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comments1.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927" firstSheet="23" activeTab="31"/>
  </bookViews>
  <sheets>
    <sheet name="Информация JSON" sheetId="1" state="hidden" r:id="rId2"/>
    <sheet name="Инструкция" sheetId="2" r:id="rId3"/>
    <sheet name="Пояснения" sheetId="3" state="hidden" r:id="rId4"/>
    <sheet name="Список листов" sheetId="4" r:id="rId5"/>
    <sheet name="Общие сведения" sheetId="5" r:id="rId6"/>
    <sheet name="Список территорий" sheetId="6" r:id="rId7"/>
    <sheet name="Перечень объектов" sheetId="7" r:id="rId8"/>
    <sheet name="Список объектов" sheetId="8" r:id="rId9"/>
    <sheet name="Сценарии" sheetId="9" r:id="rId10"/>
    <sheet name="ИИКА" sheetId="10" r:id="rId11"/>
    <sheet name="Баланс" sheetId="11" r:id="rId12"/>
    <sheet name="Условные метры" sheetId="12" r:id="rId13"/>
    <sheet name="Сырье и материалы" sheetId="13" r:id="rId14"/>
    <sheet name="ЭЭ" sheetId="14" r:id="rId15"/>
    <sheet name="Амортизация" sheetId="15" r:id="rId16"/>
    <sheet name="Аренда" sheetId="16" r:id="rId17"/>
    <sheet name="Амортизация (аналог)" sheetId="17" state="hidden" r:id="rId18"/>
    <sheet name="Покупка" sheetId="18" r:id="rId19"/>
    <sheet name="ФОТ" sheetId="19" state="hidden" r:id="rId20"/>
    <sheet name="Административные" sheetId="20" state="hidden" r:id="rId21"/>
    <sheet name="Сбытовые расходы ГО" sheetId="21" state="hidden" r:id="rId22"/>
    <sheet name="Налоги" sheetId="22" r:id="rId23"/>
    <sheet name="ИП + источники" sheetId="23" r:id="rId24"/>
    <sheet name="Экономия_корр" sheetId="24" r:id="rId25"/>
    <sheet name="Плата за негативное возд" sheetId="25" r:id="rId26"/>
    <sheet name="Корректировка НВВ" sheetId="26" r:id="rId27"/>
    <sheet name="ТМ" sheetId="27" r:id="rId28"/>
    <sheet name="Калькуляция (МЭОР)" sheetId="28" state="hidden" r:id="rId29"/>
    <sheet name="Калькуляция (МИ)" sheetId="29" state="hidden" r:id="rId30"/>
    <sheet name="Калькуляция (МИ корр)" sheetId="30" r:id="rId31"/>
    <sheet name="ТАБЛИЦЫ 1  - 3" sheetId="31" r:id="rId32"/>
    <sheet name="Комментарии" sheetId="32" r:id="rId33"/>
    <sheet name="ДПР" sheetId="33" r:id="rId34"/>
    <sheet name="ДПР (концессии)" sheetId="34" r:id="rId35"/>
    <sheet name="ГО" sheetId="35" r:id="rId36"/>
    <sheet name="Калькуляция (МСА)" sheetId="36" state="hidden" r:id="rId37"/>
    <sheet name="REESTR_MO" sheetId="37" state="hidden" r:id="rId38"/>
    <sheet name="REESTR_ORG" sheetId="38" state="hidden" r:id="rId39"/>
    <sheet name="REESTR_OBJECT" sheetId="39" state="hidden" r:id="rId40"/>
    <sheet name="REESTR_ROIV_OMS" sheetId="40" state="hidden" r:id="rId41"/>
    <sheet name="REESTR_TARIFF" sheetId="41" state="hidden" r:id="rId42"/>
    <sheet name="DICTIONARIES" sheetId="42" state="hidden" r:id="rId43"/>
    <sheet name="TEHSHEET" sheetId="43" state="hidden" r:id="rId44"/>
    <sheet name="REESTR_SEP_DIV" sheetId="44" state="hidden" r:id="rId45"/>
    <sheet name="REESTR_DOP" sheetId="45" state="hidden" r:id="rId46"/>
    <sheet name="REESTR_REAG" sheetId="46" state="hidden" r:id="rId47"/>
    <sheet name="Черновик 2" sheetId="47" r:id="rId48"/>
  </sheets>
  <definedNames>
    <definedName name="AdminExpenses_LOAD_2">Административные!$AK$24:$AK$25</definedName>
    <definedName name="AdminExpenses_pIns_comm">Административные!$AB$107</definedName>
    <definedName name="AdminExpenses_vis_flags">Административные!$AE$17:$AJ$17</definedName>
    <definedName name="AdminiExpenses_LOAD_1">Административные!$AE$25:$AJ$25</definedName>
    <definedName name="Amortization_LOAD_1">Амортизация!$AE$25:$BB$25</definedName>
    <definedName name="Amortization_LOAD_2">Амортизация!$BC$24:$BC$25</definedName>
    <definedName name="Amortization_pIns_comm">Амортизация!$AB$230</definedName>
    <definedName name="Amortization_vis_flags">Амортизация!$AI$2:$BB$2</definedName>
    <definedName name="AUTHORIZED_PERSON_EMAIL">'Общие сведения'!$AE$259</definedName>
    <definedName name="AUTHORIZED_PERSON_FIO">'Общие сведения'!$AE$256</definedName>
    <definedName name="AUTHORIZED_PERSON_PHONE">'Общие сведения'!$AE$258</definedName>
    <definedName name="AUTHORIZED_PERSON_POSITION">'Общие сведения'!$AE$257</definedName>
    <definedName name="Balance_vis_flags">Баланс!$AI$2:$BB$2</definedName>
    <definedName name="Calculation_LOAD_1">'Калькуляция (МИ)'!$AE$25:$BC$25</definedName>
    <definedName name="Calculation_LOAD_2">'Калькуляция (МИ)'!$BN$24:$BP$25</definedName>
    <definedName name="Calculation_pIns_comm">'Калькуляция (МИ)'!$AB$607</definedName>
    <definedName name="Calculation_vis_flags">'Калькуляция (МИ)'!$AJ$2:$BM$2</definedName>
    <definedName name="Calculation_vis_flags2">'Калькуляция (МИ)'!$S$25:$S$25</definedName>
    <definedName name="code">Инструкция!$B$2</definedName>
    <definedName name="COLDVSNA_TRANSP_VTOV">TEHSHEET!$V$2:$V$4</definedName>
    <definedName name="COLDVSNA_VDET_LIST">TEHSHEET!$K$20:$K$24</definedName>
    <definedName name="COLDVSNA_VTARIFF">TEHSHEET!$W$2:$W$3</definedName>
    <definedName name="COLDVSNA_VTOV">TEHSHEET!$V$2:$V$3</definedName>
    <definedName name="diametr_list">TEHSHEET!$AB$2:$AB$22</definedName>
    <definedName name="diametr_list_vo">TEHSHEET!$AG$2:$AG$140</definedName>
    <definedName name="diametr_list_vs">TEHSHEET!$AF$2:$AF$55</definedName>
    <definedName name="DOCUMENT_TYPES">TEHSHEET!$K$46:$K$52</definedName>
    <definedName name="DPR_check_range1">ДПР!$AG$28:$AG$28</definedName>
    <definedName name="DPR_ee_divide">ДПР!$AF$24</definedName>
    <definedName name="dpr_list">DICTIONARIES!$C$2:$C$43</definedName>
    <definedName name="DPR_LOAD_1">ДПР!$AC$28:$AK$28</definedName>
    <definedName name="DPR_pIns_comm">ДПР!$AB$238</definedName>
    <definedName name="DPR_vis_flags">ДПР!$W$28:$W$28</definedName>
    <definedName name="DPR_vis_flags2">ДПР!$AG$2:$AK$2</definedName>
    <definedName name="DPRConcessions_LOAD_1">'ДПР (концессии)'!$AC$26:$AK$26</definedName>
    <definedName name="DPRConcessions_pIns_comm">'ДПР (концессии)'!$AB$450</definedName>
    <definedName name="DPRConcessions_vis_flags">'ДПР (концессии)'!$W$26:$W$26</definedName>
    <definedName name="DPRConcessions_vis_flags2">'ДПР (концессии)'!$AG$2:$AK$2</definedName>
    <definedName name="Electricity_LOAD_1">ЭЭ!$AE$25:$BB$175</definedName>
    <definedName name="Electricity_vis_flags">ЭЭ!$AI$2:$BB$2</definedName>
    <definedName name="entityName">'Общие сведения'!$AI$24</definedName>
    <definedName name="et_AdminExpenses_tariff">Административные!$32:$107</definedName>
    <definedName name="et_Amortization_tariff">Амортизация!$27:$75</definedName>
    <definedName name="et_Balance_tariff_vo">Баланс!$81:$105</definedName>
    <definedName name="et_Balance_tariff_vo_transp">Баланс!$107:$117</definedName>
    <definedName name="et_Balance_tariff_vs">Баланс!$27:$62</definedName>
    <definedName name="et_Balance_tariff_vs_transp">Баланс!$65:$78</definedName>
    <definedName name="et_Calculation_tariff">'Калькуляция (МИ)'!$27:$166</definedName>
    <definedName name="et_DPR_tariff_vs">ДПР!$30:$80</definedName>
    <definedName name="et_DPRConcessions_block">'ДПР (концессии)'!$29:$79</definedName>
    <definedName name="et_DPRConcessions_tariff">'ДПР (концессии)'!$28:$28</definedName>
    <definedName name="et_GeneralInfo_fio">'Общие сведения'!$268:$268</definedName>
    <definedName name="et_GeneralInfo_tariff">'Общие сведения'!$198:$211</definedName>
    <definedName name="et_InvestmentSources_tariff">'ИП + источники'!$58:$86</definedName>
    <definedName name="et_NegativeImpactFee_tariff">'Плата за негативное возд'!$26:$28</definedName>
    <definedName name="et_NVVCorrection_tariff">'Корректировка НВВ'!$27:$77</definedName>
    <definedName name="et_ObjectList_obj">'Список объектов'!$28:$28</definedName>
    <definedName name="et_ObjectList_tariff_vs">'Список объектов'!$26:$26</definedName>
    <definedName name="et_Purchase_org2">Покупка!$38:$39</definedName>
    <definedName name="et_Purchase_org3">Покупка!$45:$46</definedName>
    <definedName name="et_Purchase_org4">Покупка!$52:$53</definedName>
    <definedName name="et_Purchase_org5">Покупка!$59:$60</definedName>
    <definedName name="et_Purchase_tariff">Покупка!$27:$62</definedName>
    <definedName name="et_Reagents_reagent">'Сырье и материалы'!$30:$30</definedName>
    <definedName name="et_Reagents_tariff">'Сырье и материалы'!$27:$47</definedName>
    <definedName name="et_Rent_tariff">Аренда!$27:$34</definedName>
    <definedName name="et_SalesExpensesGO_1">'Сбытовые расходы ГО'!$81:$81</definedName>
    <definedName name="et_SalesExpensesGO_tariff">'Сбытовые расходы ГО'!$32:$79</definedName>
    <definedName name="et_SavingsCorrection_tariff">Экономия_корр!$32:$63</definedName>
    <definedName name="et_Scenarios_tariff">Сценарии!$28:$54</definedName>
    <definedName name="et_tariff_Iika">ИИКА!$27:$31</definedName>
    <definedName name="et_Taxes_tariff">Налоги!$27:$40</definedName>
    <definedName name="et_TerritoryList_tariff">'Список территорий'!$26:$28</definedName>
    <definedName name="et_TM_tariff">ТМ!$29:$83</definedName>
    <definedName name="et_TM_tariff_transp">ТМ!$85:$90</definedName>
    <definedName name="et_WageFund_dolj">ФОТ!$29:$31</definedName>
    <definedName name="et_WageFund_tariff">ФОТ!$27:$51</definedName>
    <definedName name="FIRST_TIME_REG">'Общие сведения'!$AE$193</definedName>
    <definedName name="first_year">'Общие сведения'!$AE$25</definedName>
    <definedName name="flag_end_AdminExpenses">Административные!$AL$108</definedName>
    <definedName name="flag_end_AmorAnalog">'Амортизация (аналог)'!$AG$60</definedName>
    <definedName name="flag_end_Amortization">Амортизация!$BD$231</definedName>
    <definedName name="flag_end_Balance">Баланс!$BD$396</definedName>
    <definedName name="flag_end_CalcMeor">'Калькуляция (МЭОР)'!$AP$372</definedName>
    <definedName name="flag_end_CalcMiCorr">'Калькуляция (МИ корр)'!$BQ$647</definedName>
    <definedName name="flag_end_Calculation">'Калькуляция (МИ)'!$BQ$608</definedName>
    <definedName name="flag_end_Comments">Комментарии!$AC$40</definedName>
    <definedName name="flag_end_DPR">ДПР!$AL$239</definedName>
    <definedName name="flag_end_DPRConcessions">'ДПР (концессии)'!$AL$451</definedName>
    <definedName name="flag_end_Electricity">ЭЭ!$BD$186</definedName>
    <definedName name="flag_end_Explanations">Пояснения!$AE$27</definedName>
    <definedName name="flag_end_GeneralInfo">'Общие сведения'!$AF$269</definedName>
    <definedName name="flag_end_GO">ГО!$AF$388</definedName>
    <definedName name="flag_end_iika">ИИКА!$BC$47</definedName>
    <definedName name="flag_end_InvestmentSources">'ИП + источники'!$BF$179</definedName>
    <definedName name="flag_end_NegativeImpactFee">'Плата за негативное возд'!$AM$47</definedName>
    <definedName name="flag_end_NVVCorrection">'Корректировка НВВ'!$AI$236</definedName>
    <definedName name="flag_end_ObjectList">'Список объектов'!$AI$91</definedName>
    <definedName name="flag_end_Objects">'Перечень объектов'!$AK$80</definedName>
    <definedName name="flag_end_Purchase">Покупка!$BD$343</definedName>
    <definedName name="flag_end_Reagents">'Сырье и материалы'!$BD$117</definedName>
    <definedName name="flag_end_Rent">Аренда!$BD$76</definedName>
    <definedName name="flag_end_SalesExpensesGO">'Сбытовые расходы ГО'!$AL$80</definedName>
    <definedName name="flag_end_SavingsCorrection">Экономия_корр!$AZ$64</definedName>
    <definedName name="flag_end_Scenarios">Сценарии!$BG$136</definedName>
    <definedName name="flag_end_SheetList">'Список листов'!$AE$54</definedName>
    <definedName name="flag_end_TariffCalcMsa">'Калькуляция (МСА)'!$AG$110</definedName>
    <definedName name="flag_end_Taxes">Налоги!$BD$97</definedName>
    <definedName name="flag_end_TerritoryList">'Список территорий'!$AH$42</definedName>
    <definedName name="flag_end_TM">ТМ!$FX$311</definedName>
    <definedName name="flag_end_uslmetr">'Условные метры'!$AQ$46</definedName>
    <definedName name="flag_end_WageFund">ФОТ!$AL$132</definedName>
    <definedName name="flag_size_AdminExpenses">Административные!$E$5</definedName>
    <definedName name="flag_size_AmorAnalog">'Амортизация (аналог)'!$E$5</definedName>
    <definedName name="flag_size_Amortization">Амортизация!$E$5</definedName>
    <definedName name="flag_size_Balance">Баланс!$E$5</definedName>
    <definedName name="flag_size_CalcMeor">'Калькуляция (МЭОР)'!$E$5</definedName>
    <definedName name="flag_size_CalcMiCorr">'Калькуляция (МИ корр)'!$E$5</definedName>
    <definedName name="flag_size_Calculation">'Калькуляция (МИ)'!$E$5</definedName>
    <definedName name="flag_size_Comments">Комментарии!$E$5</definedName>
    <definedName name="flag_size_DPR">ДПР!$E$5</definedName>
    <definedName name="flag_size_DPRConcessions">'ДПР (концессии)'!$E$5</definedName>
    <definedName name="flag_size_Electricity">ЭЭ!$E$5</definedName>
    <definedName name="flag_size_Explanations">Пояснения!$E$5</definedName>
    <definedName name="flag_size_GeneralInfo">'Общие сведения'!$E$5</definedName>
    <definedName name="flag_size_GO">ГО!$E$5</definedName>
    <definedName name="flag_size_iika">ИИКА!$E$5</definedName>
    <definedName name="flag_size_InvestmentSources">'ИП + источники'!$E$5</definedName>
    <definedName name="flag_size_NegativeImpactFee">'Плата за негативное возд'!$E$5</definedName>
    <definedName name="flag_size_NVVCorrection">'Корректировка НВВ'!$E$5</definedName>
    <definedName name="flag_size_ObjectList">'Список объектов'!$E$5</definedName>
    <definedName name="flag_size_Objects">'Перечень объектов'!$E$5</definedName>
    <definedName name="flag_size_Purchase">Покупка!$E$5</definedName>
    <definedName name="flag_size_Reagents">'Сырье и материалы'!$E$5</definedName>
    <definedName name="flag_size_Rent">Аренда!$E$5</definedName>
    <definedName name="flag_size_SalesExpensesGO">'Сбытовые расходы ГО'!$E$5</definedName>
    <definedName name="flag_size_SavingsCorrection">Экономия_корр!$E$5</definedName>
    <definedName name="flag_size_Scenarios">Сценарии!$E$5</definedName>
    <definedName name="flag_size_SheetList">'Список листов'!$E$5</definedName>
    <definedName name="flag_size_TariffCalcMsa">'Калькуляция (МСА)'!$E$5</definedName>
    <definedName name="flag_size_Taxes">Налоги!$E$5</definedName>
    <definedName name="flag_size_TerritoryList">'Список территорий'!$E$5</definedName>
    <definedName name="flag_size_TM">ТМ!$E$5</definedName>
    <definedName name="flag_size_uslmetr">'Условные метры'!$E$5</definedName>
    <definedName name="flag_size_WageFund">ФОТ!$E$5</definedName>
    <definedName name="flag_start_AdminExpenses">Административные!$AA$21</definedName>
    <definedName name="flag_start_AmorAnalog">'Амортизация (аналог)'!$AA$21</definedName>
    <definedName name="flag_start_Amortization">Амортизация!$AA$21</definedName>
    <definedName name="flag_start_Balance">Баланс!$AA$21</definedName>
    <definedName name="flag_start_CalcMeor">'Калькуляция (МЭОР)'!$AA$21</definedName>
    <definedName name="flag_start_CalcMiCorr">'Калькуляция (МИ корр)'!$AA$21</definedName>
    <definedName name="flag_start_Calculation">'Калькуляция (МИ)'!$AA$21</definedName>
    <definedName name="flag_start_Comments">Комментарии!$AA$21</definedName>
    <definedName name="flag_start_DPR">ДПР!$AA$21</definedName>
    <definedName name="flag_start_DPRConcessions">'ДПР (концессии)'!$AA$21</definedName>
    <definedName name="flag_start_Electricity">ЭЭ!$AA$21</definedName>
    <definedName name="flag_start_Explanations">Пояснения!$AA$21</definedName>
    <definedName name="flag_start_GeneralInfo">'Общие сведения'!$AA$21</definedName>
    <definedName name="flag_start_GO">ГО!$AA$21</definedName>
    <definedName name="flag_start_iika">ИИКА!$AA$21</definedName>
    <definedName name="flag_start_InvestmentSources">'ИП + источники'!$AA$21</definedName>
    <definedName name="flag_start_NegativeImpactFee">'Плата за негативное возд'!$AA$21</definedName>
    <definedName name="flag_start_NVVCorrection">'Корректировка НВВ'!$AA$21</definedName>
    <definedName name="flag_start_ObjectList">'Список объектов'!$AA$21</definedName>
    <definedName name="flag_start_Objects">'Перечень объектов'!$AB$21</definedName>
    <definedName name="flag_start_Purchase">Покупка!$AA$21</definedName>
    <definedName name="flag_start_Reagents">'Сырье и материалы'!$AA$21</definedName>
    <definedName name="flag_start_Rent">Аренда!$AA$21</definedName>
    <definedName name="flag_start_SalesExpensesGO">'Сбытовые расходы ГО'!$AA$21</definedName>
    <definedName name="flag_start_SavingsCorrection">Экономия_корр!$AA$21</definedName>
    <definedName name="flag_start_Scenarios">Сценарии!$AA$21</definedName>
    <definedName name="flag_start_SheetList">'Список листов'!$AA$21</definedName>
    <definedName name="flag_start_TariffCalcMsa">'Калькуляция (МСА)'!$AA$21</definedName>
    <definedName name="flag_start_Taxes">Налоги!$AA$21</definedName>
    <definedName name="flag_start_TerritoryList">'Список территорий'!$AA$21</definedName>
    <definedName name="flag_start_TM">ТМ!$AA$21</definedName>
    <definedName name="flag_start_uslmetr">'Условные метры'!$AA$21</definedName>
    <definedName name="flag_start_WageFund">ФОТ!$AA$21</definedName>
    <definedName name="flag_vis_AdminExpenses">Административные!$B$2</definedName>
    <definedName name="flag_vis_AmorAnalog">'Амортизация (аналог)'!$B$2</definedName>
    <definedName name="flag_vis_Amortization">Амортизация!$B$2</definedName>
    <definedName name="flag_vis_Balance">Баланс!$B$2</definedName>
    <definedName name="flag_vis_CalcMeor">'Калькуляция (МЭОР)'!$B$2</definedName>
    <definedName name="flag_vis_CalcMiCorr">'Калькуляция (МИ корр)'!$B$2</definedName>
    <definedName name="flag_vis_Calculation">'Калькуляция (МИ)'!$B$2</definedName>
    <definedName name="flag_vis_Comments">Комментарии!$B$2</definedName>
    <definedName name="flag_vis_DPR">ДПР!$B$2</definedName>
    <definedName name="flag_vis_DPRConcessions">'ДПР (концессии)'!$B$2</definedName>
    <definedName name="flag_vis_Electricity">ЭЭ!$B$2</definedName>
    <definedName name="flag_vis_Explanations">Пояснения!$B$2</definedName>
    <definedName name="flag_vis_GeneralInfo">'Общие сведения'!$B$2</definedName>
    <definedName name="flag_vis_GO">ГО!$B$2</definedName>
    <definedName name="flag_vis_iika">ИИКА!$B$2</definedName>
    <definedName name="flag_vis_Instruction">Инструкция!$B$2</definedName>
    <definedName name="flag_vis_InvestmentSources">'ИП + источники'!$B$2</definedName>
    <definedName name="flag_vis_NegativeImpactFee">'Плата за негативное возд'!$B$2</definedName>
    <definedName name="flag_vis_NVVCorrection">'Корректировка НВВ'!$B$2</definedName>
    <definedName name="flag_vis_ObjectList">'Список объектов'!$B$2</definedName>
    <definedName name="flag_vis_Objects">'Перечень объектов'!$B$2</definedName>
    <definedName name="flag_vis_Purchase">Покупка!$B$2</definedName>
    <definedName name="flag_vis_Reagents">'Сырье и материалы'!$B$2</definedName>
    <definedName name="flag_vis_Rent">Аренда!$B$2</definedName>
    <definedName name="flag_vis_SalesExpensesGO">'Сбытовые расходы ГО'!$B$2</definedName>
    <definedName name="flag_vis_SavingsCorrection">Экономия_корр!$B$2</definedName>
    <definedName name="flag_vis_Scenarios">Сценарии!$B$2</definedName>
    <definedName name="flag_vis_SheetList">'Список листов'!$B$2</definedName>
    <definedName name="flag_vis_TariffCalcMsa">'Калькуляция (МСА)'!$B$2</definedName>
    <definedName name="flag_vis_Taxes">Налоги!$B$2</definedName>
    <definedName name="flag_vis_TerritoryList">'Список территорий'!$B$2</definedName>
    <definedName name="flag_vis_TM">ТМ!$B$2</definedName>
    <definedName name="flag_vis_uslmetr">'Условные метры'!$B$2</definedName>
    <definedName name="flag_vis_WageFund">ФОТ!$B$2</definedName>
    <definedName name="GeneralInfo_check_area">'Общие сведения'!$AE$22:$AE$267</definedName>
    <definedName name="GeneralInfo_LOAD_1">'Общие сведения'!$AE$44:$AE$265</definedName>
    <definedName name="GeneralInfo_pIns1">'Общие сведения'!$AE$63</definedName>
    <definedName name="GeneralInfo_pIns2">'Общие сведения'!$AE$83</definedName>
    <definedName name="GeneralInfo_pIns3">'Общие сведения'!$AE$95</definedName>
    <definedName name="GeneralInfo_pIns4">'Общие сведения'!$AE$107</definedName>
    <definedName name="GeneralInfo_pIns5">'Общие сведения'!$AE$127</definedName>
    <definedName name="GeneralInfo_pIns6">'Общие сведения'!$AE$147</definedName>
    <definedName name="GeneralInfo_pIns7">'Общие сведения'!$AE$167</definedName>
    <definedName name="GeneralInfo_tariff_start">'Общие сведения'!$AA$196</definedName>
    <definedName name="GeneralInfo_vis_flags">'Общие сведения'!$Y$196:$Y$196</definedName>
    <definedName name="glubina_list">TEHSHEET!$AE$2:$AE$6</definedName>
    <definedName name="GO_INN">'Общие сведения'!$AE$66</definedName>
    <definedName name="GO_KPP">'Общие сведения'!$AE$67</definedName>
    <definedName name="GO_ORG">'Общие сведения'!$AE$65</definedName>
    <definedName name="god">'Общие сведения'!$AE$24</definedName>
    <definedName name="grunt_list">TEHSHEET!$AD$2:$AD$3</definedName>
    <definedName name="HAS_DOC2">'Общие сведения'!$AE$72</definedName>
    <definedName name="HAS_DOC2_block">'Общие сведения'!$AE$78:$AE$83</definedName>
    <definedName name="HAS_DOC3">'Общие сведения'!$AE$84</definedName>
    <definedName name="HAS_DOC3_block">'Общие сведения'!$AE$85:$AE$95</definedName>
    <definedName name="HAS_DOC4">'Общие сведения'!$AE$96</definedName>
    <definedName name="HAS_DOC4_block">'Общие сведения'!$AE$97:$AE$107</definedName>
    <definedName name="HAS_DOC5">'Общие сведения'!$AE$108</definedName>
    <definedName name="HAS_DOC5_block">'Общие сведения'!$AE$109:$AE$127</definedName>
    <definedName name="HAS_DOC6">'Общие сведения'!$AE$128</definedName>
    <definedName name="HAS_DOC6_block">'Общие сведения'!$AE$129:$AE$147</definedName>
    <definedName name="HAS_DOC7">'Общие сведения'!$AE$148</definedName>
    <definedName name="HAS_DOC7_block">'Общие сведения'!$AE$149:$AE$167</definedName>
    <definedName name="hasTranspVO">'Общие сведения'!$AG$191</definedName>
    <definedName name="hasTranspVS">'Общие сведения'!$AF$191</definedName>
    <definedName name="hasVO">'Общие сведения'!$AE$191</definedName>
    <definedName name="hasVS">'Общие сведения'!$AD$191</definedName>
    <definedName name="inn">'Общие сведения'!$AE$42</definedName>
    <definedName name="InsB_GeneralInfo_tariff">'Общие сведения'!$AD$254</definedName>
    <definedName name="InvestmentSources_is_one_block">'ИП + источники'!$AD$24</definedName>
    <definedName name="InvestmentSources_LOAD_1">'ИП + источники'!$AE$27:$BD$174</definedName>
    <definedName name="InvestmentSources_LOAD_2">'ИП + источники'!$BE$26:$BE$174</definedName>
    <definedName name="InvestmentSources_pIns_comm">'ИП + источники'!$AB$178</definedName>
    <definedName name="InvestmentSources_vis_flags">'ИП + источники'!$AK$2:$BD$2</definedName>
    <definedName name="InvestmentSources_vis_flags2">'ИП + источники'!$R$27:$R$27</definedName>
    <definedName name="isBlocked_CalcMiCorr">'Калькуляция (МИ корр)'!$R$3</definedName>
    <definedName name="ist_info_build_list">TEHSHEET!$AA$2:$AA$3</definedName>
    <definedName name="kpp">'Общие сведения'!$AE$43</definedName>
    <definedName name="last_year">'Общие сведения'!$AF$25</definedName>
    <definedName name="last_year_vis">'Общие сведения'!$AG$25</definedName>
    <definedName name="LIST_MR_MO_OKTMO">REESTR_MO!$A$2:$E$263</definedName>
    <definedName name="List04_LOAD_1">'Условные метры'!$AC$24:$AP$41</definedName>
    <definedName name="List04_pIns_comm">'Условные метры'!$AB$45</definedName>
    <definedName name="List05_LOAD_1">'Амортизация (аналог)'!$AE$25:$AF$55</definedName>
    <definedName name="List05_pIns_comm">'Амортизация (аналог)'!$AB$59</definedName>
    <definedName name="List06_LOAD_1">ГО!$AE$25:$AE$115</definedName>
    <definedName name="List06_pIns_comm">ГО!$AB$387</definedName>
    <definedName name="List07_LOAD_1">'Калькуляция (МСА)'!$AE$25:$AF$103</definedName>
    <definedName name="List07_pIns_comm">'Калькуляция (МСА)'!$AB$109</definedName>
    <definedName name="List15_LOAD_1">'Калькуляция (МЭОР)'!$AE$25:$AK$367</definedName>
    <definedName name="List15_LOAD_2">'Калькуляция (МЭОР)'!$AM$24:$AO$367</definedName>
    <definedName name="List15_pIns_comm">'Калькуляция (МЭОР)'!$AB$371</definedName>
    <definedName name="List15_vis_flags">'Калькуляция (МЭОР)'!$AE$17:$AL$17</definedName>
    <definedName name="List15_vis_flags2">'Калькуляция (МЭОР)'!$H$25:$H$367</definedName>
    <definedName name="material_list">TEHSHEET!$AC$2:$AC$5</definedName>
    <definedName name="method_list">TEHSHEET!$K$14:$K$17</definedName>
    <definedName name="method_reg">'Общие сведения'!$AE$23</definedName>
    <definedName name="metod_list">TEHSHEET!$K$14:$K$17</definedName>
    <definedName name="MO_END_DATE">TEHSHEET!$M$20</definedName>
    <definedName name="MO_LIST_10">REESTR_MO!$B$58:$B$70</definedName>
    <definedName name="MO_LIST_11">REESTR_MO!$B$71:$B$81</definedName>
    <definedName name="MO_LIST_12">REESTR_MO!$B$82:$B$92</definedName>
    <definedName name="MO_LIST_13">REESTR_MO!$B$93:$B$110</definedName>
    <definedName name="MO_LIST_14">REESTR_MO!$B$111:$B$116</definedName>
    <definedName name="MO_LIST_15">REESTR_MO!$B$117:$B$125</definedName>
    <definedName name="MO_LIST_16">REESTR_MO!$B$126</definedName>
    <definedName name="MO_LIST_17">REESTR_MO!$B$127:$B$140</definedName>
    <definedName name="MO_LIST_18">REESTR_MO!$B$141</definedName>
    <definedName name="MO_LIST_19">REESTR_MO!$B$142:$B$160</definedName>
    <definedName name="MO_LIST_2">REESTR_MO!$B$2:$B$8</definedName>
    <definedName name="MO_LIST_20">REESTR_MO!$B$161:$B$166</definedName>
    <definedName name="MO_LIST_21">REESTR_MO!$B$167:$B$181</definedName>
    <definedName name="MO_LIST_22">REESTR_MO!$B$182</definedName>
    <definedName name="MO_LIST_23">REESTR_MO!$B$183:$B$192</definedName>
    <definedName name="MO_LIST_24">REESTR_MO!$B$193:$B$209</definedName>
    <definedName name="MO_LIST_25">REESTR_MO!$B$210:$B$217</definedName>
    <definedName name="MO_LIST_26">REESTR_MO!$B$218:$B$223</definedName>
    <definedName name="MO_LIST_27">REESTR_MO!$B$224:$B$230</definedName>
    <definedName name="MO_LIST_28">REESTR_MO!$B$231:$B$248</definedName>
    <definedName name="MO_LIST_29">REESTR_MO!$B$249:$B$263</definedName>
    <definedName name="MO_LIST_3">REESTR_MO!$B$9</definedName>
    <definedName name="MO_LIST_4">REESTR_MO!$B$10</definedName>
    <definedName name="MO_LIST_5">REESTR_MO!$B$11</definedName>
    <definedName name="MO_LIST_6">REESTR_MO!$B$12:$B$18</definedName>
    <definedName name="MO_LIST_7">REESTR_MO!$B$19:$B$26</definedName>
    <definedName name="MO_LIST_8">REESTR_MO!$B$27:$B$32</definedName>
    <definedName name="MO_LIST_9">REESTR_MO!$B$33:$B$57</definedName>
    <definedName name="MO_START_DATE">TEHSHEET!$M$19</definedName>
    <definedName name="MONTH_LIST">TEHSHEET!$R$2:$R$13</definedName>
    <definedName name="MR_LIST">REESTR_MO!$F$2:$F$29</definedName>
    <definedName name="NALOG_SYSTEM_LIST">TEHSHEET!$G$19:$G$20</definedName>
    <definedName name="NDS">TEHSHEET!$M$5</definedName>
    <definedName name="NegativeImpactFee_LOAD_1">'Плата за негативное возд'!$AE$24:$AL$24</definedName>
    <definedName name="NegativeImpactFee_pIns_comm">'Плата за негативное возд'!$AB$46</definedName>
    <definedName name="NONPRIVATE_OWNERSHIP_TYPE">TEHSHEET!$G$13:$G$15</definedName>
    <definedName name="NVVCorrection_LOAD_1">'Корректировка НВВ'!$AF$25:$AG$25</definedName>
    <definedName name="NVVCorrection_LOAD_2">'Корректировка НВВ'!$AH$24:$AH$25</definedName>
    <definedName name="NVVCorrection_pIns_comm">'Корректировка НВВ'!$AB$235</definedName>
    <definedName name="NVVCorrection_vis_flags">'Корректировка НВВ'!$S$25:$S$25</definedName>
    <definedName name="ObjectList_LOAD_1">'Список объектов'!$AE$24:$AH$24</definedName>
    <definedName name="ObjectList_LOAD_3">'Список объектов'!$AC$28:$AH$29</definedName>
    <definedName name="ObjectList_object_range">'Список объектов'!$AC$28:$AC$29</definedName>
    <definedName name="ObjectList_osn_ekpl_range">'Список объектов'!$AD$28:$AD$29</definedName>
    <definedName name="OGRN">'Общие сведения'!$AE$41</definedName>
    <definedName name="OIV_LIST">TEHSHEET!$A$94:$B$183</definedName>
    <definedName name="okopf">'Общие сведения'!$AE$45</definedName>
    <definedName name="okopf_list">DICTIONARIES!$A$2:$A$97</definedName>
    <definedName name="okpo">'Общие сведения'!$AE$44</definedName>
    <definedName name="OKTMO_VS_TYPE_LIST">REESTR_MO!$C$2:$E$263</definedName>
    <definedName name="onlyOneYear">'Общие сведения'!$AE$268</definedName>
    <definedName name="org">'Общие сведения'!$AB$33</definedName>
    <definedName name="org_declaration">'Общие сведения'!$AB$197</definedName>
    <definedName name="ORG_DIRECTOR_POSITION">'Общие сведения'!$AE$51</definedName>
    <definedName name="ORG_EMAIL">'Общие сведения'!$AE$49</definedName>
    <definedName name="ORG_END_DATE">TEHSHEET!$M$12</definedName>
    <definedName name="ORG_EXECUTOR_EMAIL">'Общие сведения'!$AE$174</definedName>
    <definedName name="ORG_EXECUTOR_FIO">'Общие сведения'!$AE$171</definedName>
    <definedName name="ORG_EXECUTOR_PHONE">'Общие сведения'!$AE$173</definedName>
    <definedName name="ORG_EXECUTOR_POSITION">'Общие сведения'!$AE$172</definedName>
    <definedName name="ORG_FIO_DIRECTOR">'Общие сведения'!$AE$50</definedName>
    <definedName name="ORG_FULL_NAME">'Общие сведения'!$AE$38</definedName>
    <definedName name="ORG_LEGAL_ADDRESS">'Общие сведения'!$AE$46</definedName>
    <definedName name="ORG_MAIL_ADDRESS">'Общие сведения'!$AE$47</definedName>
    <definedName name="ORG_PHONE">'Общие сведения'!$AE$48</definedName>
    <definedName name="ORG_SHORT_NAME">'Общие сведения'!$AE$39</definedName>
    <definedName name="ORG_SITE">'Общие сведения'!$AE$52</definedName>
    <definedName name="ORG_START_DATE">TEHSHEET!$M$11</definedName>
    <definedName name="osn_expl_list">TEHSHEET!$X$2:$X$14</definedName>
    <definedName name="OWNERSHIP_TYPE">TEHSHEET!$G$13:$G$16</definedName>
    <definedName name="OWNERSHIP_TYPE_VALUE">'Общие сведения'!$AE$55</definedName>
    <definedName name="OwnNeedsInPO">'Общие сведения'!$AE$169</definedName>
    <definedName name="PERIOD">TEHSHEET!$M$8</definedName>
    <definedName name="PERIOD_LENGTH">'Общие сведения'!$AE$26</definedName>
    <definedName name="period_list">TEHSHEET!$S$2:$S$49</definedName>
    <definedName name="pIns_AdminExpenses_1">Административные!$AC:$AC</definedName>
    <definedName name="pIns_Electricity_tariff">ЭЭ!$AB$175</definedName>
    <definedName name="pIns_Electricity_voltage">ЭЭ!$AC:$AC</definedName>
    <definedName name="pIns_Iika">ИИКА!$AB$47</definedName>
    <definedName name="pIns_InvestmentSources_tariff">'ИП + источники'!$AB$174</definedName>
    <definedName name="pIns_List04_tariff">'Условные метры'!$AB$41</definedName>
    <definedName name="pIns_List05_tariff">'Амортизация (аналог)'!$AB$55</definedName>
    <definedName name="pIns_List07_tariff">'Калькуляция (МСА)'!$AB$103</definedName>
    <definedName name="pIns_List15_1">'Калькуляция (МЭОР)'!$AC:$AC</definedName>
    <definedName name="pIns_List15_tariff">'Калькуляция (МЭОР)'!$AB$367</definedName>
    <definedName name="pIns_ObjectList_obj">'Список объектов'!$AC$29</definedName>
    <definedName name="pIns_Purchase_postav">Покупка!$AC:$AC</definedName>
    <definedName name="pIns_Reagents_reagent">'Сырье и материалы'!$AC:$AC</definedName>
    <definedName name="pIns_Reagents_tariff">'Сырье и материалы'!$AB$112</definedName>
    <definedName name="pIns_SalesExpensesGO_1">'Сбытовые расходы ГО'!$AC:$AC</definedName>
    <definedName name="pIns_Taxes_nalog">Налоги!$AC:$AC</definedName>
    <definedName name="pIns_TM_tariff">ТМ!$AB$27</definedName>
    <definedName name="pIns_WageFund_dolj">ФОТ!$AC:$AC</definedName>
    <definedName name="plat_nds">'Общие сведения'!$AE$58</definedName>
    <definedName name="Purchase_LOAD_1">Покупка!$AE$25:$BB$25</definedName>
    <definedName name="Purchase_LOAD_2">Покупка!$BC$24:$BC$25</definedName>
    <definedName name="Purchase_pIns_comm">Покупка!$AB$342</definedName>
    <definedName name="Purchase_vis_flags">Покупка!$AI$17:$BB$17</definedName>
    <definedName name="Reagents_LOAD_1">'Сырье и материалы'!$AE$25:$BB$112</definedName>
    <definedName name="Reagents_LOAD_2">'Сырье и материалы'!$BC$24:$BC$112</definedName>
    <definedName name="Reagents_pIns_comm">'Сырье и материалы'!$AB$116</definedName>
    <definedName name="Reagents_vis_flags">'Сырье и материалы'!$AI$2:$BB$2</definedName>
    <definedName name="REESTR_OBJECT_LIST">REESTR_OBJECT!$A$2:$I$7</definedName>
    <definedName name="REESTR_ORG_RANGE">REESTR_ORG!$A$2:$J$316</definedName>
    <definedName name="REGION">TEHSHEET!$A$1:$A$90</definedName>
    <definedName name="region_id">'Общие сведения'!$AF$22</definedName>
    <definedName name="region_name">'Общие сведения'!$AE$22</definedName>
    <definedName name="Rent_LOAD_1">Аренда!$AE$25:$BB$25</definedName>
    <definedName name="Rent_LOAD_2">Аренда!$BC$24:$BC$25</definedName>
    <definedName name="Rent_pIns_comm">Аренда!$AB$75</definedName>
    <definedName name="Rent_vis_flags">Аренда!$AI$17:$BB$17</definedName>
    <definedName name="roiv_oms">'Общие сведения'!$AB$31</definedName>
    <definedName name="roiv_oms_list">REESTR_ROIV_OMS!$A$2</definedName>
    <definedName name="rst_org_id">'Общие сведения'!$AA$33</definedName>
    <definedName name="SalesExpensesGO_LOAD_1">'Сбытовые расходы ГО'!$AE$25:$AJ$25</definedName>
    <definedName name="SalesExpensesGO_LOAD_2">'Сбытовые расходы ГО'!$AK$24:$AK$25</definedName>
    <definedName name="SalesExpensesGO_pIns_comm">'Сбытовые расходы ГО'!$AB$79</definedName>
    <definedName name="SalesExpensesGO_vis_flags">'Сбытовые расходы ГО'!$AE$17:$AJ$17</definedName>
    <definedName name="SavingsCorrection_LOAD_1">Экономия_корр!$AE$25:$AX$25</definedName>
    <definedName name="SavingsCorrection_LOAD_2">Экономия_корр!$AY$24:$AY$25</definedName>
    <definedName name="SavingsCorrection_pIns_comm">Экономия_корр!$AB$63</definedName>
    <definedName name="SavingsCorrection_vis_flags">Экономия_корр!$AE$2:$AX$2</definedName>
    <definedName name="SAX_PARSER_FEATURE">TEHSHEET!$K$2</definedName>
    <definedName name="Scenarios_LOAD_1">Сценарии!$AO$25:$BF$25</definedName>
    <definedName name="Scenarios_LOAD_2">Сценарии!$AI$25:$AK$25</definedName>
    <definedName name="Scenarios_LOAD_3">Сценарии!$AE$25:$AG$25</definedName>
    <definedName name="Scenarios_LOAD_COM_1">Сценарии!$AH$25:$AH$25</definedName>
    <definedName name="Scenarios_LOAD_COM_2">Сценарии!$AN$25:$AN$25</definedName>
    <definedName name="Scenarios_vis_flags">Сценарии!$AO$2:$BF$2</definedName>
    <definedName name="Scenarios_vis_flags2">Сценарии!$W$25:$W$25</definedName>
    <definedName name="sphere_list">TEHSHEET!$T$2:$T$3</definedName>
    <definedName name="STATE_SHARE">TEHSHEET!$G$7:$G$9</definedName>
    <definedName name="STATE_SHARE_EXISTENCE">'Общие сведения'!$AE$53</definedName>
    <definedName name="STATE_SHARE_VALUE">'Общие сведения'!$AE$54</definedName>
    <definedName name="STATUS_GO">'Общие сведения'!$AE$60</definedName>
    <definedName name="STATUS_GO_block">'Общие сведения'!$AE$62:$AE$63</definedName>
    <definedName name="subsidiary">'Общие сведения'!$AE$40</definedName>
    <definedName name="subsidiary_list">DICTIONARIES!$B$2</definedName>
    <definedName name="support_docs_list">TEHSHEET!$X$17:$X$36</definedName>
    <definedName name="TARIFF_CALC_METHOD">TEHSHEET!$K$39:$K$42</definedName>
    <definedName name="tariff_del">'Общие сведения'!$AF$198:$AF$254</definedName>
    <definedName name="tariff_type_list">TEHSHEET!$U$2:$U$3</definedName>
    <definedName name="tax_system">'Общие сведения'!$AE$57</definedName>
    <definedName name="Taxes_LOAD_1">Налоги!$AE$25:$BB$25</definedName>
    <definedName name="Taxes_LOAD_2">Налоги!$BC$24:$BC$25</definedName>
    <definedName name="Taxes_pIns_comm">Налоги!$AB$96</definedName>
    <definedName name="Taxes_vis_flags">Налоги!$AI$2:$BB$2</definedName>
    <definedName name="TemplateState">TEHSHEET!$D$2</definedName>
    <definedName name="TerritoryList_mo_column">'Список территорий'!$AD$24:$AD$24</definedName>
    <definedName name="TerritoryList_mr_column">'Список территорий'!$AC$24:$AC$24</definedName>
    <definedName name="TM_LOAD_1">ТМ!$AD$26:$EM$27</definedName>
    <definedName name="TM_pIns_comm">ТМ!$AB$310</definedName>
    <definedName name="TM_vis_flags">ТМ!$AG$2:$FW$2</definedName>
    <definedName name="TM_vis_flags2">ТМ!$T$24:$T$27</definedName>
    <definedName name="tpl_title">'Общие сведения'!$AL$33</definedName>
    <definedName name="tplCode">'Общие сведения'!$AI$23</definedName>
    <definedName name="VALUABLE_STATE_SHARE">TEHSHEET!$G$7:$G$9</definedName>
    <definedName name="VDET_END_DATE">TEHSHEET!$M$16</definedName>
    <definedName name="VDET_START_DATE">TEHSHEET!$M$15</definedName>
    <definedName name="version">Инструкция!$B$3</definedName>
    <definedName name="VOLTAGE_LEVEL_list">TEHSHEET!$Y$2:$Y$7</definedName>
    <definedName name="VOLTAGE_LEVEL2_list">TEHSHEET!$Z$2:$Z$8</definedName>
    <definedName name="VOTV_VDET_LIST">TEHSHEET!$K$27:$K$29</definedName>
    <definedName name="VOTV_VTARIFF">TEHSHEET!$W$6:$W$6</definedName>
    <definedName name="VOTV_VTOV">TEHSHEET!$V$6:$V$11</definedName>
    <definedName name="WageFund_LOAD_1">ФОТ!$AE$25:$AJ$25</definedName>
    <definedName name="WageFund_LOAD_2">ФОТ!$AK$24:$AK$25</definedName>
    <definedName name="WageFund_pIns_comm">ФОТ!$AB$131</definedName>
    <definedName name="WageFund_vis_flags">ФОТ!$AE$17:$AJ$17</definedName>
    <definedName name="wsAdmins_json_coms">Административные!$AC$105:$AC$107</definedName>
    <definedName name="wsAdmins_preload">Административные!$AE$28:$AH$103</definedName>
    <definedName name="wsAdmins_preload_coms">Административные!$AK$28:$AK$103</definedName>
    <definedName name="wsAdmins_preload_full">Административные!$AE$28:$AJ$103</definedName>
    <definedName name="wsAdmins_preload_json">Административные!$AE$28:$AK$103</definedName>
    <definedName name="wsAmor_json_coms">Амортизация!$AC$225:$AC$230</definedName>
    <definedName name="wsAmor_preload">Амортизация!$AE$28:$AH$223</definedName>
    <definedName name="wsAmor_preload_coms">Амортизация!$BC$28:$BC$223</definedName>
    <definedName name="wsAmor_preload_full">Амортизация!$AE$28:$BB$223</definedName>
    <definedName name="wsAmor_preload_json">Амортизация!$AE$28:$BC$223</definedName>
    <definedName name="wsAmorAnalog_json_coms">'Амортизация (аналог)'!$AC$57:$AC$59</definedName>
    <definedName name="wsAmorAnalog_preload">'Амортизация (аналог)'!$AE$28:$AF$55</definedName>
    <definedName name="wsAmorAnalog_preload_json">'Амортизация (аналог)'!$AE$28:$AF$55</definedName>
    <definedName name="wsBalance_json_coms">Баланс!$AC$393:$AC$395</definedName>
    <definedName name="wsBalance_preload">Баланс!$AE$28:$AH$391</definedName>
    <definedName name="wsBalance_preload_coms">Баланс!$BC$28:$BC$391</definedName>
    <definedName name="wsBalance_preload_full">Баланс!$AE$28:$BB$391</definedName>
    <definedName name="wsBalance_preload_json">Баланс!$AE$28:$BC$391</definedName>
    <definedName name="wsComments_json_coms">Комментарии!$AB$24:$AB$39</definedName>
    <definedName name="wsDPR_json_coms">ДПР!$AC$236:$AC$238</definedName>
    <definedName name="wsDPR_preload">ДПР!$AC$31:$AK$234</definedName>
    <definedName name="wsDPR_preload_json">ДПР!$AC$31:$AK$234</definedName>
    <definedName name="wsDPRconc_json_coms">'ДПР (концессии)'!$AC$446:$AC$450</definedName>
    <definedName name="wsDPRconc_preload">'ДПР (концессии)'!$AC$30:$AK$444</definedName>
    <definedName name="wsDPRconc_preload_json">'ДПР (концессии)'!$AC$30:$AK$444</definedName>
    <definedName name="wsEE_json_coms">ЭЭ!$AC$177:$AC$185</definedName>
    <definedName name="wsEe_preload">ЭЭ!$AE$28:$AH$175</definedName>
    <definedName name="wsEE_preload_coms">ЭЭ!$BC$28:$BC$175</definedName>
    <definedName name="wsEE_preload_full">ЭЭ!$AE$28:$BB$175</definedName>
    <definedName name="wsEE_preload_json">ЭЭ!$AE$28:$BC$175</definedName>
    <definedName name="wsGO_json_coms">ГО!$AC$385:$AC$387</definedName>
    <definedName name="wsGO_preload">ГО!$AE$28:$AE$383</definedName>
    <definedName name="wsGO_preload_json">ГО!$AE$28:$AE$383</definedName>
    <definedName name="wsIika_preload_json">ИИКА!$AE$28:$BB$47</definedName>
    <definedName name="wsIPSources_json_coms">'ИП + источники'!$AC$176:$AC$178</definedName>
    <definedName name="wsIPSources_preload">'ИП + источники'!$AE$59:$AJ$174</definedName>
    <definedName name="wsIPSources_preload_coms">'ИП + источники'!$BE$59:$BE$174</definedName>
    <definedName name="wsIPSources_preload_full">'ИП + источники'!$AE$59:$BD$174</definedName>
    <definedName name="wsIPSources_preload_json">'ИП + источники'!$AE$59:$BE$174</definedName>
    <definedName name="wsMeorCalc_json_coms">'Калькуляция (МЭОР)'!$AC$369:$AC$371</definedName>
    <definedName name="wsMeorCalc_preload">'Калькуляция (МЭОР)'!$AE$28:$AI$367</definedName>
    <definedName name="wsMeorCalc_preload_coms">'Калькуляция (МЭОР)'!$AM$28:$AO$367</definedName>
    <definedName name="wsMeorCalc_preload_full">'Калькуляция (МЭОР)'!$AE$28:$AL$367</definedName>
    <definedName name="wsMeorCalc_preload_json">'Калькуляция (МЭОР)'!$AE$28:$AO$367</definedName>
    <definedName name="wsMiCalc_json_coms">'Калькуляция (МИ)'!$AC$605:$AC$607</definedName>
    <definedName name="wsMiCalc_preload">'Калькуляция (МИ)'!$AE$28:$AI$603</definedName>
    <definedName name="wsMiCalc_preload_coms">'Калькуляция (МИ)'!$BN$28:$BP$603</definedName>
    <definedName name="wsMiCalc_preload_full">'Калькуляция (МИ)'!$AE$28:$BM$603</definedName>
    <definedName name="wsMiCalc_preload_json">'Калькуляция (МИ)'!$AE$28:$BP$603</definedName>
    <definedName name="wsMiCalcCorr_json_coms">'Калькуляция (МИ корр)'!$AC$608:$AC$646</definedName>
    <definedName name="wsMiCalcCorr_preload">'Калькуляция (МИ корр)'!$AE$28:$AI$606</definedName>
    <definedName name="wsMiCalcCorr_preload_coms">'Калькуляция (МИ корр)'!$BN$28:$BP$606</definedName>
    <definedName name="wsMiCalcCorr_preload_full">'Калькуляция (МИ корр)'!$AE$28:$BM$606</definedName>
    <definedName name="wsMiCalcCorr_preload_json">'Калькуляция (МИ корр)'!$AE$28:$BP$606</definedName>
    <definedName name="wsMsaCalc_json_coms">'Калькуляция (МСА)'!$AC$107:$AC$109</definedName>
    <definedName name="wsMsaCalc_preload">'Калькуляция (МСА)'!$AE$25</definedName>
    <definedName name="wsMsaCalc_preload_full">'Калькуляция (МСА)'!$AE$28:$AF$103</definedName>
    <definedName name="wsMsaCalc_preload_json">'Калькуляция (МСА)'!$AE$28:$AF$103</definedName>
    <definedName name="wsNegativePays_json_coms">'Плата за негативное возд'!$AC$40:$AC$46</definedName>
    <definedName name="wsNegativePays_preload">'Плата за негативное возд'!$AE$27:$AL$38</definedName>
    <definedName name="wsNegativePays_preload_json">'Плата за негативное возд'!$AE$27:$AL$38</definedName>
    <definedName name="wsNvvCorr_json_coms">'Корректировка НВВ'!$AC$233:$AC$235</definedName>
    <definedName name="wsNvvCorr_preload">'Корректировка НВВ'!$AF$28:$AG$231</definedName>
    <definedName name="wsNvvCorr_preload_coms">'Корректировка НВВ'!$AH$28:$AH$231</definedName>
    <definedName name="wsNvvCorr_preload_json">'Корректировка НВВ'!$AF$28:$AH$231</definedName>
    <definedName name="wsObjectList_preload_json">'Список объектов'!$AH$28:$AH$91</definedName>
    <definedName name="wsObjects_json_coms">'Перечень объектов'!$AC$77:$AC$79</definedName>
    <definedName name="wsObjects_preload">'Перечень объектов'!$AF$28:$AG$75</definedName>
    <definedName name="wsObjects_preload_full">'Перечень объектов'!$AF$28:$AJ$75</definedName>
    <definedName name="wsObjects_preload_json">'Перечень объектов'!$AF$28:$AJ$75</definedName>
    <definedName name="wsPurchase_json_coms">Покупка!$AC$329:$AC$342</definedName>
    <definedName name="wsPurchase_preload">Покупка!$AE$28:$AH$327</definedName>
    <definedName name="wsPurchase_preload_coms">Покупка!$BC$28:$BC$327</definedName>
    <definedName name="wsPurchase_preload_full">Покупка!$AE$28:$BB$327</definedName>
    <definedName name="wsPurchase_preload_json">Покупка!$AE$28:$BC$327</definedName>
    <definedName name="wsReagents_json_coms">'Сырье и материалы'!$AC$114:$AC$116</definedName>
    <definedName name="wsReagents_preload">'Сырье и материалы'!$AE$28:$AH$111</definedName>
    <definedName name="wsReagents_preload_coms">'Сырье и материалы'!$BC$28:$BC$111</definedName>
    <definedName name="wsReagents_preload_full">'Сырье и материалы'!$AE$28:$BB$111</definedName>
    <definedName name="wsReagents_preload_json">'Сырье и материалы'!$AE$28:$BC$111</definedName>
    <definedName name="wsRent_json_coms">Аренда!$AC$69:$AC$75</definedName>
    <definedName name="wsRent_preload">Аренда!$AE$28:$AH$67</definedName>
    <definedName name="wsRent_preload_coms">Аренда!$BC$28:$BC$67</definedName>
    <definedName name="wsRent_preload_full">Аренда!$AE$28:$BB$67</definedName>
    <definedName name="wsRent_preload_json">Аренда!$AE$28:$BC$67</definedName>
    <definedName name="wsSavingsCorr_json_coms">Экономия_корр!$AC$61:$AC$63</definedName>
    <definedName name="wsSavingsCorr_preload">Экономия_корр!$AE$25</definedName>
    <definedName name="wsSavingsCorr_preload_coms">Экономия_корр!$AY$28:$AY$59</definedName>
    <definedName name="wsSavingsCorr_preload_full">Экономия_корр!$AE$28:$AX$59</definedName>
    <definedName name="wsSavingsCorr_preload_json">Экономия_корр!$AE$28:$AY$59</definedName>
    <definedName name="wsScenarios_preload">Сценарии!$AE$29:$AI$136</definedName>
    <definedName name="wsScenarios_preload_coms">Сценарии!$AH$29:$AN$136</definedName>
    <definedName name="wsScenarios_preload_full">Сценарии!$AE$29:$BF$136</definedName>
    <definedName name="wsScenarios_preload_json">Сценарии!$AE$29:$BF$136</definedName>
    <definedName name="wsSellingCosts_json_coms">'Сбытовые расходы ГО'!$AC$77:$AC$79</definedName>
    <definedName name="wsSellingCosts_preload">'Сбытовые расходы ГО'!$AE$28:$AH$75</definedName>
    <definedName name="wsSellingCosts_preload_coms">'Сбытовые расходы ГО'!$AK$28:$AK$75</definedName>
    <definedName name="wsSellingCosts_preload_full">'Сбытовые расходы ГО'!$AE$28:$AJ$75</definedName>
    <definedName name="wsSellingCosts_preload_json">'Сбытовые расходы ГО'!$AE$28:$AK$75</definedName>
    <definedName name="wsTaxes_json_coms">Налоги!$AC$85:$AC$96</definedName>
    <definedName name="wsTaxes_preload">Налоги!$AE$28:$AH$83</definedName>
    <definedName name="wsTaxes_preload_coms">Налоги!$BC$28:$BC$83</definedName>
    <definedName name="wsTaxes_preload_full">Налоги!$AE$28:$BB$83</definedName>
    <definedName name="wsTaxes_preload_json">Налоги!$AE$28:$BC$83</definedName>
    <definedName name="wsTerritoryList_preload">'Список территорий'!$AC$27:$AG$42</definedName>
    <definedName name="wsTerritoryList_preload_json">'Список территорий'!$AF$27:$AG$42</definedName>
    <definedName name="wsTM_json_coms">ТМ!$AC$307:$AC$310</definedName>
    <definedName name="wsTM_preload">ТМ!$AD$26:$AD$26</definedName>
    <definedName name="wsTM_preload_full">ТМ!$AD$34:$FW$305</definedName>
    <definedName name="wsTM_preload_json">ТМ!$AD$34:$FW$305</definedName>
    <definedName name="wsUslMetr_json_coms">'Условные метры'!$AC$43:$AC$45</definedName>
    <definedName name="wsUslMetr_preload">'Условные метры'!$AC$30:$AP$41</definedName>
    <definedName name="wsUslMetr_preload_json">'Условные метры'!$AD$30:$AP$41</definedName>
    <definedName name="wsWageFund_json_coms">ФОТ!$AC$129:$AC$131</definedName>
    <definedName name="wsWageFund_preload">ФОТ!$AE$28:$AH$127</definedName>
    <definedName name="wsWageFund_preload_coms">ФОТ!$AK$28:$AK$127</definedName>
    <definedName name="wsWageFund_preload_full">ФОТ!$AE$28:$AJ$127</definedName>
    <definedName name="wsWageFund_preload_json">ФОТ!$AE$28:$AK$127</definedName>
    <definedName name="XML_MR_MO_OKTMO_LIST_TAG_NAMES">TEHSHEET!$K$5:$K$11</definedName>
    <definedName name="YEAR_LIST">TEHSHEET!$Q$2:$Q$20</definedName>
    <definedName name="year_list2">TEHSHEET!$Q$11:$Q$20</definedName>
    <definedName name="YES_NO">TEHSHEET!$G$2:$G$3</definedName>
    <definedName name="isOrgDeclare">'Общие сведения'!$G$197</definedName>
    <definedName name="wsIPSources_preload_one_block">'ИП + источники'!$AE$29:$AJ$57</definedName>
    <definedName name="wsIPSources_preload_coms_one_block">'ИП + источники'!$BE$29:$BE$57</definedName>
    <definedName name="wsIPSources_preload_full_one_block">'ИП + источники'!$AE$29:$BD$57</definedName>
    <definedName name="wsIPSources_preload_json_one_block">'ИП + источники'!$AE$29:$BE$57</definedName>
    <definedName name="org_id">'Общие сведения'!$Z$33</definedName>
    <definedName name="fas_region_id">'Общие сведения'!$AA$22</definedName>
    <definedName name="Scenarios_NDS_common_json_preload">Сценарии!$AE$26:$BF$26</definedName>
    <definedName name="_xlnm._FilterDatabase" localSheetId="4">'Общие сведения'!#REF!</definedName>
    <definedName name="_xlnm._FilterDatabase" localSheetId="5">'Список территорий'!$AA$21:$AG$22</definedName>
  </definedNames>
  <calcPr calcId="0" iterate="0" iterateCount="100" iterateDelta="0.001"/>
</workbook>
</file>

<file path=xl/comments1.xml><?xml version="1.0" encoding="utf-8"?>
<comments xmlns="http://schemas.openxmlformats.org/spreadsheetml/2006/main">
  <authors>
    <author>Author</author>
  </authors>
  <commentList>
    <comment ref="AB33"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38"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39"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1"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2"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3"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4"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5"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7"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6"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8"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9"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0"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1"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2"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7"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8"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6"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9"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60"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3" authorId="0">
      <text>
        <r>
          <rPr>
            <sz val="9"/>
            <color indexed="81"/>
            <rFont val="Arial"/>
            <family val="2"/>
          </rPr>
          <t>Для изменения данных об участии в организации необходимо обновить информацию в карточке реестра организаций</t>
        </r>
      </text>
    </comment>
    <comment ref="AE54" authorId="0">
      <text>
        <r>
          <rPr>
            <sz val="9"/>
            <color indexed="81"/>
            <rFont val="Arial"/>
            <family val="2"/>
          </rPr>
          <t>Для изменения данных об участии в организации необходимо обновить информацию в карточке реестра организаций</t>
        </r>
      </text>
    </comment>
    <comment ref="AE55" authorId="0">
      <text>
        <r>
          <rPr>
            <sz val="9"/>
            <color indexed="81"/>
            <rFont val="Arial"/>
            <family val="2"/>
          </rPr>
          <t>Для изменения данных об участии в организации необходимо обновить информацию в карточке реестра организаций</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<sst xmlns="http://schemas.openxmlformats.org/spreadsheetml/2006/main" count="124855" uniqueCount="8372">
  <si>
    <t>Расположение</t>
  </si>
  <si>
    <t>Тип</t>
  </si>
  <si>
    <t>Комментарий</t>
  </si>
  <si>
    <t xml:space="preserve"> (требуется обновление)</t>
  </si>
  <si>
    <t>Код отчёта: EXPERT.VSVO.2026.EIAS</t>
  </si>
  <si>
    <t>Версия отчёта: 1.1.3</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</si>
  <si>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</si>
  <si>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</si>
  <si>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</si>
  <si>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</si>
  <si>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</si>
  <si>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</si>
  <si>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 xml:space="preserve"> - выбор по даблклику (необязательные)</t>
  </si>
  <si>
    <t xml:space="preserve"> - выбор по даблклику (обязательные)</t>
  </si>
  <si>
    <t>Работа с реестрами</t>
  </si>
  <si>
    <t>Если в предложенном Вам списке необходимая организация, территория или объект отсутствуют, обратитесь к ответственному за поддержание реестра Вашего региона либо в службу поддержки пользователей ФГИС «ТАРИФ». В случае возникновения ошибок или вопросов, пожалуйста, также оставьте обращение на портале поддержки ФГИС «ТАРИФ» по адресу:</t>
  </si>
  <si>
    <t>https://support.tarif.gov.ru/</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</si>
  <si>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</si>
  <si>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</si>
  <si>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flag_vis</t>
  </si>
  <si>
    <t>flag_size</t>
  </si>
  <si>
    <t>Понятия, используемые в Типовом экспертном заключении</t>
  </si>
  <si>
    <t>№ п/п</t>
  </si>
  <si>
    <t>Используемое понятие</t>
  </si>
  <si>
    <t>Расшифровка (пояснения)</t>
  </si>
  <si>
    <t>факт по данным организации</t>
  </si>
  <si>
    <t>фактические значения расходов в соответствии с данными раздельного учета затрат по видам деятельности организаций, осуществляющих горячее водоснабжение, холодное водоснабжение и (или) водоотведение</t>
  </si>
  <si>
    <t>факт, принятый органом регулирования</t>
  </si>
  <si>
    <r>
      <t xml:space="preserve">фактические значения расходов в соответствии с данными бухгалтерской и статистической отчетности регулируемой организации за соответствующий период, с учетом данных, полученных по результатам проведенных органом регулирования тарифов мероприятий по контролю, предусмотренных Постановление Правительства РФ </t>
    </r>
    <r>
      <rPr>
        <b/>
        <charset val="204"/>
        <color rgb="FFFF0000"/>
        <family val="2"/>
        <rFont val="Tahoma"/>
        <sz val="9"/>
        <u/>
      </rPr>
      <t>от 27.06.2013 N 543 (ред. от 17.08.2020)</t>
    </r>
    <r>
      <rPr>
        <charset val="204"/>
        <family val="2"/>
        <rFont val="Tahoma"/>
        <sz val="9"/>
      </rPr>
      <t xml:space="preserve"> "О государственном контроле (надзоре) в области регулируемых государством цен (тарифов).</t>
    </r>
  </si>
  <si>
    <t>Список листов</t>
  </si>
  <si>
    <t>* для перехода на лист дважды кликните по названию</t>
  </si>
  <si>
    <t>скрыть</t>
  </si>
  <si>
    <t>Общие сведения</t>
  </si>
  <si>
    <t xml:space="preserve"> Сведения о регулируемой организации_x000D_
 Информация о рассмотрении дела об установлении тарифов</t>
  </si>
  <si>
    <t>Список территорий</t>
  </si>
  <si>
    <t xml:space="preserve"> Перечень муниципальных образований, на территории которых организация оказывает услуги холодного водоснабжения / водоотведения</t>
  </si>
  <si>
    <t>Перечень объектов</t>
  </si>
  <si>
    <t xml:space="preserve"> Перечень объектов организации, с помощью которых организация оказывает услуги холодного водоснабжения/ водоотведения</t>
  </si>
  <si>
    <t>Список объектов</t>
  </si>
  <si>
    <t xml:space="preserve"> Правоустанавливающие и подтверждающие документы на объекты коммунальной инфраструктуры</t>
  </si>
  <si>
    <t>Сценарии</t>
  </si>
  <si>
    <t xml:space="preserve"> Ключевые сценарные показатели</t>
  </si>
  <si>
    <t>ИИКА</t>
  </si>
  <si>
    <t xml:space="preserve"> Индекс изменения количества активов</t>
  </si>
  <si>
    <t>Баланс</t>
  </si>
  <si>
    <t xml:space="preserve"> Баланс водоснабжения / водоотведения</t>
  </si>
  <si>
    <t>Условные метры</t>
  </si>
  <si>
    <t xml:space="preserve"> Расчет условных метров водопроводной (канализационной) сети</t>
  </si>
  <si>
    <t>Сырье и материалы</t>
  </si>
  <si>
    <t xml:space="preserve"> Расходы на реагенты</t>
  </si>
  <si>
    <t>ЭЭ</t>
  </si>
  <si>
    <t xml:space="preserve"> Расходы на электрическую энергию</t>
  </si>
  <si>
    <t>Амортизация</t>
  </si>
  <si>
    <t xml:space="preserve"> Амортизация основных средств и нематериальных активов, относимых к объектам централизованной системы        водоснабжения/водоотведения</t>
  </si>
  <si>
    <t>отобразить</t>
  </si>
  <si>
    <t>Амортизация (аналог)</t>
  </si>
  <si>
    <t xml:space="preserve"> Нормативный уровень расходов на амортизацию основных средств и нематериальных активов, относимых к объектам централизованой системы водоснабжения / водоотведения, используемым для транспортировки воды / сточных вод</t>
  </si>
  <si>
    <t>Аренда</t>
  </si>
  <si>
    <t xml:space="preserve"> Аренда</t>
  </si>
  <si>
    <t>Покупка</t>
  </si>
  <si>
    <t xml:space="preserve"> Расходы на оплату товаров (услуг, работ), приобретаемых у других организаций</t>
  </si>
  <si>
    <t>ФОТ</t>
  </si>
  <si>
    <t xml:space="preserve"> Расходы на оплату труда и страховые взносы на обязательное социальное страхование основного производственного персонала, в том числе налоги и сборы с фонда оплаты труда</t>
  </si>
  <si>
    <t>Административные</t>
  </si>
  <si>
    <t xml:space="preserve"> Административные расходы</t>
  </si>
  <si>
    <t>Сбытовые расходы ГО</t>
  </si>
  <si>
    <t xml:space="preserve"> Сбытовые расходы гарантирующей организации</t>
  </si>
  <si>
    <t>Налоги</t>
  </si>
  <si>
    <t xml:space="preserve"> Расшифровка по налогам и платежам</t>
  </si>
  <si>
    <t>ИП + источники</t>
  </si>
  <si>
    <t xml:space="preserve"> План и факт по источникам финансирования инвестиционной программы</t>
  </si>
  <si>
    <t>Экономия_корр</t>
  </si>
  <si>
    <t xml:space="preserve"> Расчет экономии средств, достигнутой в результате снижения расходов предыдущего долгосрочного периода регулирования</t>
  </si>
  <si>
    <t>Плата за негативное возд</t>
  </si>
  <si>
    <t xml:space="preserve"> Плата за негативное воздействие на работу централизованных систем водоотведения</t>
  </si>
  <si>
    <t>Корректировка НВВ</t>
  </si>
  <si>
    <t xml:space="preserve"> Расчет показателей корректировки необходимой валовой выручки</t>
  </si>
  <si>
    <t>Калькуляция (МЭОР)</t>
  </si>
  <si>
    <t xml:space="preserve"> Расчет тарифа методом экономически обоснованных расходов</t>
  </si>
  <si>
    <t>Калькуляция (МИ)</t>
  </si>
  <si>
    <t xml:space="preserve"> Расчет тарифа методом индексации</t>
  </si>
  <si>
    <t>Калькуляция (МИ корр)</t>
  </si>
  <si>
    <t>ТМ</t>
  </si>
  <si>
    <t xml:space="preserve"> Тарифное меню</t>
  </si>
  <si>
    <t>ДПР</t>
  </si>
  <si>
    <t xml:space="preserve"> Долгосрочные параметры регулирования тарифов</t>
  </si>
  <si>
    <t>ДПР (концессии)</t>
  </si>
  <si>
    <t xml:space="preserve"> Долгосрочные параметры регулирования тарифов (концессии)</t>
  </si>
  <si>
    <t>ГО</t>
  </si>
  <si>
    <t xml:space="preserve"> Калькуляция расходов гарантирующей организации</t>
  </si>
  <si>
    <t>Калькуляция (МСА)</t>
  </si>
  <si>
    <t xml:space="preserve"> Расчет тарифа на транспортировку холодной воды / сточных вод методом сравнения аналогов</t>
  </si>
  <si>
    <t>tariffId</t>
  </si>
  <si>
    <t>vis_1</t>
  </si>
  <si>
    <t>blok_1</t>
  </si>
  <si>
    <t>blok_2</t>
  </si>
  <si>
    <t>ren_1</t>
  </si>
  <si>
    <t>del_2</t>
  </si>
  <si>
    <t>dyn_1</t>
  </si>
  <si>
    <t>dyn_2</t>
  </si>
  <si>
    <t>del_1</t>
  </si>
  <si>
    <t>Наименование субъекта Российской Федерации</t>
  </si>
  <si>
    <t>Кемеровская область</t>
  </si>
  <si>
    <t>Метод регулирования</t>
  </si>
  <si>
    <t>Метод индексации</t>
  </si>
  <si>
    <t>Период регулирования</t>
  </si>
  <si>
    <t>Первый год долгосрочного периода регулирования</t>
  </si>
  <si>
    <t>Период долгосрочной индексации (количество лет)</t>
  </si>
  <si>
    <t>Количество лет корректировки</t>
  </si>
  <si>
    <t>Экспертное заключение</t>
  </si>
  <si>
    <t>РЕГИОНАЛЬНАЯ ЭНЕРГЕТИЧЕСКАЯ КОМИССИЯ КУЗБАССА</t>
  </si>
  <si>
    <t>по результатам экспертизы предложения</t>
  </si>
  <si>
    <t>ОАО «СКЭК»</t>
  </si>
  <si>
    <t>1. Сведения о регулируемой организации</t>
  </si>
  <si>
    <t>Полное наименование юридического лица (индивидуального предпринимателя) в соответствии с данными из ЕГРЮЛ/ЕГРИП</t>
  </si>
  <si>
    <t>ОТКРЫТОЕ АКЦИОНЕРНОЕ ОБЩЕСТВО "СЕВЕРО-КУЗБАССКАЯ ЭНЕРГЕТИЧЕСКАЯ КОМПАНИЯ"</t>
  </si>
  <si>
    <t>Сокращенное наименование юридического лица (индивидуального предпринимателя) в соответствии с данными из ЕГРЮЛ/ЕГРИП</t>
  </si>
  <si>
    <t>Наименование (описание) обособленного подразделения</t>
  </si>
  <si>
    <t>ОГРН</t>
  </si>
  <si>
    <t>1084205006600</t>
  </si>
  <si>
    <t>ИНН</t>
  </si>
  <si>
    <t>4205153492</t>
  </si>
  <si>
    <t>КПП</t>
  </si>
  <si>
    <t>420501001</t>
  </si>
  <si>
    <t>Код по ОКПО</t>
  </si>
  <si>
    <t>26623916</t>
  </si>
  <si>
    <t>L2_7</t>
  </si>
  <si>
    <t>Организационно-правовая форма</t>
  </si>
  <si>
    <t>1 22 00 | Акционерные общества</t>
  </si>
  <si>
    <t>L2_8</t>
  </si>
  <si>
    <t>Юридический адрес</t>
  </si>
  <si>
    <t>650000, Россия, Кемеровская область, г. Кемерово, ул. Кузбасская, 6</t>
  </si>
  <si>
    <t>L2_9</t>
  </si>
  <si>
    <t>Фактический адрес</t>
  </si>
  <si>
    <t>L2_10</t>
  </si>
  <si>
    <t>Телефон организации</t>
  </si>
  <si>
    <t>+73842362683</t>
  </si>
  <si>
    <t>L2_11</t>
  </si>
  <si>
    <t>e-mail</t>
  </si>
  <si>
    <t>kornilova@skek.ru</t>
  </si>
  <si>
    <t>L2_12</t>
  </si>
  <si>
    <t>ФИО руководителя</t>
  </si>
  <si>
    <t>Кучеев Андрей Геннадьевич</t>
  </si>
  <si>
    <t>L2_13</t>
  </si>
  <si>
    <t>Должность руководителя</t>
  </si>
  <si>
    <t>Генеральный директор</t>
  </si>
  <si>
    <t>L2_14</t>
  </si>
  <si>
    <t>Официальный сайт регулируемой организации в сети "Интернет"</t>
  </si>
  <si>
    <t>www.skek.ru</t>
  </si>
  <si>
    <t>L2_15</t>
  </si>
  <si>
    <t>Государственное и (или) муниципальное участие в юридическом лице</t>
  </si>
  <si>
    <t>Наличие</t>
  </si>
  <si>
    <t>нет</t>
  </si>
  <si>
    <t>L3_1</t>
  </si>
  <si>
    <t>Сведения о доле, %</t>
  </si>
  <si>
    <t>0%</t>
  </si>
  <si>
    <t>L3_2</t>
  </si>
  <si>
    <t>Преобладающий тип собственности в юридическом лице</t>
  </si>
  <si>
    <t>частная</t>
  </si>
  <si>
    <t>L3_3</t>
  </si>
  <si>
    <t>Наличие раздельного учёта затрат по регулируемым видам деятельности в сфере холодного водоснабжения / водоотведения</t>
  </si>
  <si>
    <t>да</t>
  </si>
  <si>
    <t>L4_1</t>
  </si>
  <si>
    <t>Система налогообложения</t>
  </si>
  <si>
    <t>ОСНО (общая система налогообложения)</t>
  </si>
  <si>
    <t>Плательщик НДС</t>
  </si>
  <si>
    <t>L4_2</t>
  </si>
  <si>
    <t>Является ли деятельность в сфере холодного водоснабжения / водоотведения профильным видом деятельности</t>
  </si>
  <si>
    <t>L4_3</t>
  </si>
  <si>
    <t>STATUS_GO</t>
  </si>
  <si>
    <t>Наличие статуса гарантирующей организации (ГО)</t>
  </si>
  <si>
    <t>L4_4</t>
  </si>
  <si>
    <t>URL-ссылка на документ, подтверждающий статус ГО</t>
  </si>
  <si>
    <t>et_2</t>
  </si>
  <si>
    <t>×</t>
  </si>
  <si>
    <t>go</t>
  </si>
  <si>
    <t>{                  _x000D_
         funcDyn: 'msgone',_x000D_
         blok: '',_x000D_
         wsCross: '',_x000D_
         linkFormula: '',_x000D_
         levelDyn: ''_x000D_
}</t>
  </si>
  <si>
    <t>Добавить</t>
  </si>
  <si>
    <t>Наименование гарантирующей организации (ГО)</t>
  </si>
  <si>
    <t>L9_1</t>
  </si>
  <si>
    <t>ИНН ГО</t>
  </si>
  <si>
    <t>L9_2</t>
  </si>
  <si>
    <t>КПП ГО</t>
  </si>
  <si>
    <t>L9_3</t>
  </si>
  <si>
    <t>Реквизиты письма ГО о направлении данных для расчета</t>
  </si>
  <si>
    <t>L9_4</t>
  </si>
  <si>
    <t>ГО плательщик НДС</t>
  </si>
  <si>
    <t>L9_5</t>
  </si>
  <si>
    <t>Наличие программы в области энергосбережения и повышения энергетической эффективности</t>
  </si>
  <si>
    <t>L4_6</t>
  </si>
  <si>
    <t>HAS_DOC2</t>
  </si>
  <si>
    <t>Наличие программы комплексного развития</t>
  </si>
  <si>
    <t>L4_7</t>
  </si>
  <si>
    <t>Реквизиты решения</t>
  </si>
  <si>
    <t>Наименование</t>
  </si>
  <si>
    <t>Об утверждении муниципальной программы Ленинск-Кузнецкого городского округа "Жилищно-коммунальный и дорожный комплекс, благоустройство, энергосбережение и повышение энергоэффективности" на 2024 - 2026 годы</t>
  </si>
  <si>
    <t>Вид</t>
  </si>
  <si>
    <t>постановление</t>
  </si>
  <si>
    <t>Номер</t>
  </si>
  <si>
    <t>2136</t>
  </si>
  <si>
    <t>Дата принятия</t>
  </si>
  <si>
    <t>09.11.2023  (ред. от 29.02.2024)</t>
  </si>
  <si>
    <t>URL-ссылка на решение</t>
  </si>
  <si>
    <t>HAS_DOC3</t>
  </si>
  <si>
    <t>Наличие схемы холодного водоснабжения / водоотведения</t>
  </si>
  <si>
    <t>L4_8</t>
  </si>
  <si>
    <t>Об утверждении схемы водоснабжения и водоотведения Ленинск-Кузнецкого городского округа на период 2016-2021  годов с перспективой до 2031 года</t>
  </si>
  <si>
    <t>199</t>
  </si>
  <si>
    <t>HAS_DOC4</t>
  </si>
  <si>
    <t>Наличие закона субъекта по льготным тарифам</t>
  </si>
  <si>
    <t>L4_9</t>
  </si>
  <si>
    <t>О льготных ценах (тарифах) на тепловую энергию (мощность), теплоноситель, горячее, холодное водоснабжение, водоотведение, твердое топливо, сжиженный газ на территории Кемеровской области - Кузбасса</t>
  </si>
  <si>
    <t>закон</t>
  </si>
  <si>
    <t>69-ОЗ</t>
  </si>
  <si>
    <t>HAS_DOC5</t>
  </si>
  <si>
    <t>L4_10</t>
  </si>
  <si>
    <t>"Об утверждении Инвестиционной программы ОАО "Северо-Кузбасская энергетическая компания" в сфере холодного водоснабжения и водоотведения Ленинск-Кузнецкого городского округа на  2019-2028 годы"</t>
  </si>
  <si>
    <t>600  (ред. от 17.11.2022 № 383)</t>
  </si>
  <si>
    <t>Дата начала реализации / действия инвестиционной программы</t>
  </si>
  <si>
    <t>Дата окончания реализации / действия инвестиционной программы</t>
  </si>
  <si>
    <t xml:space="preserve"> "Об утверждении Инвестиционной программы ОАО "Северо-Кузбасская энергетическая компания" в сфере холодного водоснабжения и водоотведения Полысаевского городского округа на  2019-2028 годы"</t>
  </si>
  <si>
    <t>601</t>
  </si>
  <si>
    <t xml:space="preserve">
    {
      funcDyn: 'addIp',
      blok: '',
      wsCross: '',
      linkFormula: '',
      levelDyn: '',
      addedValue: 'GeneralInfo_pIns5'
    }
    </t>
  </si>
  <si>
    <t>HAS_DOC6</t>
  </si>
  <si>
    <t>L4_11</t>
  </si>
  <si>
    <t xml:space="preserve">
    {
      funcDyn: 'addIp',
      blok: '',
      wsCross: '',
      linkFormula: '',
      levelDyn: '',
      addedValue: 'GeneralInfo_pIns6'
    }
    </t>
  </si>
  <si>
    <t>HAS_DOC7</t>
  </si>
  <si>
    <t>L4_12</t>
  </si>
  <si>
    <t>Концессионное соглашение № 1/ Л-К в отношении объектов холодного водоснабжения и водоотведения, находящихся в муниципальной собственности Ленинск-Кузнецкого городского округа</t>
  </si>
  <si>
    <t>соглашение</t>
  </si>
  <si>
    <t>1/Л-К</t>
  </si>
  <si>
    <t>Дата начала реализации / действия концессионного соглашения</t>
  </si>
  <si>
    <t>Дата окончания реализации / действия концессионного соглашения</t>
  </si>
  <si>
    <t>Концессионное соглашение № 3 в отношении объектов холодного водоснабжения и водоотведения, находящихся в муниципальной собственности Полысаевского городского округа</t>
  </si>
  <si>
    <t>3</t>
  </si>
  <si>
    <t xml:space="preserve">
    {
      funcDyn: 'addIp',
      blok: '',
      wsCross: '',
      linkFormula: '',
      levelDyn: '',
      addedValue: 'GeneralInfo_pIns7'
    }
    </t>
  </si>
  <si>
    <t>Иные сведения</t>
  </si>
  <si>
    <t>L4_13</t>
  </si>
  <si>
    <t>Полезный отпуск рассчитывается с учётом собственных нужд предприятия _x000D_
(п.8.1 баланса ВС и п.3 баланса ВО)</t>
  </si>
  <si>
    <t>L4_14</t>
  </si>
  <si>
    <t/>
  </si>
  <si>
    <t>Данные об ответственном исполнителе от организации</t>
  </si>
  <si>
    <t>ФИО исполнителя</t>
  </si>
  <si>
    <t>Жулега Светлана Михайловна</t>
  </si>
  <si>
    <t>L5_1</t>
  </si>
  <si>
    <t>Должность исполнителя</t>
  </si>
  <si>
    <t>ведущий специалист группы тарифного регулирования</t>
  </si>
  <si>
    <t>L5_2</t>
  </si>
  <si>
    <t>Контактный телефон исполнителя</t>
  </si>
  <si>
    <t>8(3842)68-18-95</t>
  </si>
  <si>
    <t>L5_3</t>
  </si>
  <si>
    <t>e-mail исполнителя</t>
  </si>
  <si>
    <t>julega@skek.ru</t>
  </si>
  <si>
    <t>L5_4</t>
  </si>
  <si>
    <t>Перечень нормативных правовых актов, использованных в процессе проведения экспертизы предложения об установлении тарифов:</t>
  </si>
  <si>
    <t>1. Гражданский кодекс Российской Федерации;</t>
  </si>
  <si>
    <t>2. Налоговый кодекс Российской Федерации;</t>
  </si>
  <si>
    <t>3. Федеральный закон от 17.08.1995 № 147-ФЗ "О естественных монополиях";</t>
  </si>
  <si>
    <t>4. Федеральный закон от 26.07.2006 № 135-ФЗ "О защите конкуренции";</t>
  </si>
  <si>
    <t>5. Федеральный закон от 07.12.2011 № 416-ФЗ "О водоснабжении и водоотведении";</t>
  </si>
  <si>
    <t>6. Федеральный закон от 23.11.2009 № 261-ФЗ "Об энергосбережении и о повышении энергетической эффективности, и о внесении изменений в отдельные законодательные акты Российской Федерации";</t>
  </si>
  <si>
    <t>7. Постановление Правительства Российской Федерации от 13.05.2013 № 406 "О государственном регулировании тарифов в сфере водоснабжения и водоотведения";</t>
  </si>
  <si>
    <t>8. Постановление Правительства Российской Федерации от 29.07.2013 № 641 "Об инвестиционных и производственных программах организаций, осуществляющих деятельность в сфере водоснабжения и водоотведения";</t>
  </si>
  <si>
    <t>9. Методические указания по расчету регулируемых тарифов в сфере водоснабжения и водоотведения, утвержденные приказом ФСТ России от 27.12.2013 № 1746-э;</t>
  </si>
  <si>
    <t>10. Регламент установления регулируемых тарифов в сфере водоснабжения и водоотведения, утвержденный приказом ФСТ России от 16.07.2014 № 1154-э;</t>
  </si>
  <si>
    <t>11. Приказ Минстроя России от 29.07.2022 № 623/пр "Об утверждении Порядка ведения раздельного учета затрат по видам деятельности организаций, осуществляющих горячее водоснабжение, холодное водоснабжение и (или) водоотведение, и единой системы классификации таких затрат";</t>
  </si>
  <si>
    <t>12. Приказ Минстроя России от 04.04.2014 № 162/пр "Об утверждении перечня показателей надежности, качества, энергетической эффективности объектов централизованных систем горячего водоснабжения, холодного водоснабжения и (или) водоотведения, порядка и правил определения плановых значений и фактических значений таких показателей";</t>
  </si>
  <si>
    <t>13. Приказ Минстроя России от 23.03.2020 №154/пр "Об утверждении типовых отраслевых норм численности работников водопроводно-канализационного хозяйства";</t>
  </si>
  <si>
    <t>2. Информация о рассмотрении дела об установлении тарифов</t>
  </si>
  <si>
    <t>Организация регулируется впервые</t>
  </si>
  <si>
    <t>L6_1</t>
  </si>
  <si>
    <t>Реквизиты решения, которым установлены действующие тарифы</t>
  </si>
  <si>
    <t>L6_2</t>
  </si>
  <si>
    <t>406</t>
  </si>
  <si>
    <t>L6_3</t>
  </si>
  <si>
    <t>L6_4</t>
  </si>
  <si>
    <t>et_GeneralInfo_tariff</t>
  </si>
  <si>
    <t>Заявление организации</t>
  </si>
  <si>
    <t>isTransp</t>
  </si>
  <si>
    <t>et_1</t>
  </si>
  <si>
    <t>Номер тарифа (идентификатор)</t>
  </si>
  <si>
    <t>Вид тарифа</t>
  </si>
  <si>
    <t>Тип тарифа</t>
  </si>
  <si>
    <t>Вид(-ы) деятельности</t>
  </si>
  <si>
    <t>Дополнительный признак дифференциации тарифа</t>
  </si>
  <si>
    <t>Номер входящий</t>
  </si>
  <si>
    <t>Дата регистрации</t>
  </si>
  <si>
    <t>Дополнительные сведения</t>
  </si>
  <si>
    <t>Дата начала действия тарифа</t>
  </si>
  <si>
    <t>Метод регулирования, предложенный организацией</t>
  </si>
  <si>
    <t>1</t>
  </si>
  <si>
    <t>Водоснабжение</t>
  </si>
  <si>
    <t>ХВС.42.26322895.0022</t>
  </si>
  <si>
    <t>тариф на питьевую воду</t>
  </si>
  <si>
    <t>одноставочный</t>
  </si>
  <si>
    <t>Производство (подъём / добыча) воды :: Очистка воды :: Транспортировка воды :: Сбыт (распределение) воды</t>
  </si>
  <si>
    <t>питьевая вода</t>
  </si>
  <si>
    <t>Оказание услуг на территории: город Ленинск-Кузнецкий (ОКТМО: 32719000) - г Ленинск-Кузнецкий, г Полысаево</t>
  </si>
  <si>
    <t>СКОРРЕКТИРОВАННЫЕ ЗАЯВЛЕНИЯ зарегистрированы  11.08.2025 вх. № 5016;  31.10.2025 вх. № 6997;    13.11.2025 № 7326.</t>
  </si>
  <si>
    <t>2</t>
  </si>
  <si>
    <t>Водоотведение</t>
  </si>
  <si>
    <t>ВО.42.26322895.0024</t>
  </si>
  <si>
    <t>тариф на водоотведение</t>
  </si>
  <si>
    <t>Приём сточных вод :: Очистка сточных вод :: Транспортировка сточных вод</t>
  </si>
  <si>
    <t>без дифференциации</t>
  </si>
  <si>
    <t>Оказание услуг на территории: город Ленинск-Кузнецкий (ОКТМО: 32719000) - г Ленинск-Кузнецкий</t>
  </si>
  <si>
    <t>СКОРРЕКТИРОВАННЫЕ ЗАЯВЛЕНИЯ зарегистрированы  11.08.2025 вх. № 5016;  31.10.2025 вх. № 6997;   06.11.2025 № 7129 ;   13.11.2025 № 7326.</t>
  </si>
  <si>
    <t>ВО.42.26322895.0025</t>
  </si>
  <si>
    <t>Оказание услуг на территории: город Полысаево (ОКТМО: 32732000) - г Полысаево</t>
  </si>
  <si>
    <t>et_GeneralInfo_go</t>
  </si>
  <si>
    <t>{                  _x000D_
         funcDyn: 'tariff',_x000D_
         blok: 'blok_1',_x000D_
         wsCross: 'Список территорий',_x000D_
         linkFormula: 'AB-AG',_x000D_
         levelDyn: ''_x000D_
}</t>
  </si>
  <si>
    <t>Добавить тариф</t>
  </si>
  <si>
    <t>Решение об открытии дела об установлении тарифов</t>
  </si>
  <si>
    <t>Номер дела об установлении тарифа</t>
  </si>
  <si>
    <t>№ 30-ВСиВО</t>
  </si>
  <si>
    <t>L7_2</t>
  </si>
  <si>
    <t>ФИО уполномоченного по делу</t>
  </si>
  <si>
    <t>Белоусова Ирина Анатольевна</t>
  </si>
  <si>
    <t>L7_3</t>
  </si>
  <si>
    <t>Должность уполномоченного по делу</t>
  </si>
  <si>
    <t>Главный консультант</t>
  </si>
  <si>
    <t>L7_4</t>
  </si>
  <si>
    <t>Контактный телефон уполномоченного по делу</t>
  </si>
  <si>
    <t>8 (384-2) 34-94-52</t>
  </si>
  <si>
    <t>L7_5</t>
  </si>
  <si>
    <t>e-mail уполномоченного по делу</t>
  </si>
  <si>
    <t>belousova-ia@recko.ako.ru</t>
  </si>
  <si>
    <t>L7_6</t>
  </si>
  <si>
    <t>Добавить строку</t>
  </si>
  <si>
    <t>Выбранный метод регулирования</t>
  </si>
  <si>
    <t>Представленные документы и материалы достаточны и предложение регулируемой организации об установлении тарифов соответствует законодательству Российской Федерации</t>
  </si>
  <si>
    <t>Тариф корректируется только на период регулирования</t>
  </si>
  <si>
    <t>L9</t>
  </si>
  <si>
    <t>tariffNum</t>
  </si>
  <si>
    <t>nomer_name</t>
  </si>
  <si>
    <t>ren_2</t>
  </si>
  <si>
    <t>pok_js</t>
  </si>
  <si>
    <t>PJ_DYN</t>
  </si>
  <si>
    <t>PJ_NAME</t>
  </si>
  <si>
    <t>PJ_NAME_MO</t>
  </si>
  <si>
    <t>PJ_NAME_OKTMO</t>
  </si>
  <si>
    <t>dyn_add</t>
  </si>
  <si>
    <t>dyn_fill</t>
  </si>
  <si>
    <t>pok</t>
  </si>
  <si>
    <t>l1</t>
  </si>
  <si>
    <t>l2</t>
  </si>
  <si>
    <t>l3</t>
  </si>
  <si>
    <t>l5</t>
  </si>
  <si>
    <t>l4</t>
  </si>
  <si>
    <t>PJ_TERR</t>
  </si>
  <si>
    <t>dyn_names</t>
  </si>
  <si>
    <t>Муниципальный район</t>
  </si>
  <si>
    <t>Муниципальное образование</t>
  </si>
  <si>
    <t>15</t>
  </si>
  <si>
    <t>30</t>
  </si>
  <si>
    <t>11,25</t>
  </si>
  <si>
    <t>28,5</t>
  </si>
  <si>
    <t>ОКТМО</t>
  </si>
  <si>
    <t xml:space="preserve">Тип муниципального образования </t>
  </si>
  <si>
    <t>P_TERR</t>
  </si>
  <si>
    <t>DYN_MRMO</t>
  </si>
  <si>
    <t>!== 0</t>
  </si>
  <si>
    <t>{                  _x000D_
         funcDyn: 'mrmo',_x000D_
         blok: '',_x000D_
         wsCross: '',_x000D_
         linkFormula: '',_x000D_
         levelDyn: '1'_x000D_
}</t>
  </si>
  <si>
    <t>Добавить территорию</t>
  </si>
  <si>
    <t>Ленинск-Кузнецкий муниципальный округ</t>
  </si>
  <si>
    <t>32514000</t>
  </si>
  <si>
    <t>муниципальный округ</t>
  </si>
  <si>
    <t>{                  _x000D_
         funcDyn: 'msg1',_x000D_
         blok: 'blok_1',_x000D_
         wsCross: 'Перечень объектов',_x000D_
         linkFormula: 'AC-AB',_x000D_
         levelDyn: ''_x000D_
}</t>
  </si>
  <si>
    <t>det_name</t>
  </si>
  <si>
    <t>frmls</t>
  </si>
  <si>
    <t>PJ_NAME_ED_IZM</t>
  </si>
  <si>
    <t>prd2_name</t>
  </si>
  <si>
    <t>pf_name</t>
  </si>
  <si>
    <t>Принято органом регулирования</t>
  </si>
  <si>
    <t>Предложение организации</t>
  </si>
  <si>
    <t>Не определено</t>
  </si>
  <si>
    <t>PJ_YEAR</t>
  </si>
  <si>
    <t>PJ_PF</t>
  </si>
  <si>
    <t>PJ_DOP</t>
  </si>
  <si>
    <t>checkUnique</t>
  </si>
  <si>
    <t>Наименование показателя</t>
  </si>
  <si>
    <t>Единица измерения</t>
  </si>
  <si>
    <t>Комментарии</t>
  </si>
  <si>
    <t>t</t>
  </si>
  <si>
    <t>0</t>
  </si>
  <si>
    <t>VS/VO</t>
  </si>
  <si>
    <t>L3</t>
  </si>
  <si>
    <t>Водонасосные станции (водозаборные узлы)</t>
  </si>
  <si>
    <t>ед.</t>
  </si>
  <si>
    <t>P_WATER_PUMP</t>
  </si>
  <si>
    <t>Скважины</t>
  </si>
  <si>
    <t>P_WELLS</t>
  </si>
  <si>
    <t>Подкачивающие насосные станции</t>
  </si>
  <si>
    <t>P_PUMP_STATION</t>
  </si>
  <si>
    <t>Водонапорные башни</t>
  </si>
  <si>
    <t>P_WATER_TOWERS</t>
  </si>
  <si>
    <t>SUMIFS('Условные метры'!$AK$29:$AK$lastRow,'Условные метры'!$F$29:$F$lastRow, $FcurrRow,'Условные метры'!$G$29:$G$lastRow,"Итог")</t>
  </si>
  <si>
    <t>SUMIFS('Условные метры'!$AM$29:$AM$lastRow,'Условные метры'!$F$29:$F$lastRow, $FcurrRow,'Условные метры'!$G$29:$G$lastRow,"Итог")</t>
  </si>
  <si>
    <t>Водопроводные сети</t>
  </si>
  <si>
    <t>км</t>
  </si>
  <si>
    <t>P_WATER_NETS</t>
  </si>
  <si>
    <t>Биологические очистные сооружения</t>
  </si>
  <si>
    <t>P_BIO_CLEAN</t>
  </si>
  <si>
    <t>Канализационные насосные станции</t>
  </si>
  <si>
    <t>P_SEWER_PUMP</t>
  </si>
  <si>
    <t>Канализационные сети</t>
  </si>
  <si>
    <t>P_SEWER_NETS</t>
  </si>
  <si>
    <t>P_OTHER</t>
  </si>
  <si>
    <t>DYN_OBJ_LIST</t>
  </si>
  <si>
    <t>!== 'Водонасосные станции (водозаборные узлы)::ед.' &amp;&amp; row.det_name.toLowerCase() !== 'Скважины::ед.' &amp;&amp; row.det_name.toLowerCase() !== 'Подкачивающие насосные станции::ед.' &amp;&amp; row.det_name.toLowerCase() !== 'Водонапорные башни::ед.' &amp;&amp; row.det_name.toLowerCase() !== 'Водопроводные сети::км' &amp;&amp; row.det_name.toLowerCase() !== 'Биологические очистные сооружения::ед.' &amp;&amp; row.det_name.toLowerCase() !== 'Канализационные насосные станции::ед.' &amp;&amp; row.det_name.toLowerCase() !== 'Канализационные сети::км' &amp;&amp; row.det_name.toLowerCase() !== 'Краткое описание технологического процесса'</t>
  </si>
  <si>
    <t>{                  _x000D_
         funcDyn: 'msg',_x000D_
         blok: '',_x000D_
         wsCross: '',_x000D_
         linkFormula: '',_x000D_
         levelDyn: '1',_x000D_
         addDynValue: 'det_name|AC|0'_x000D_
}</t>
  </si>
  <si>
    <t>Краткое описание технологического процесса</t>
  </si>
  <si>
    <t>P_TEH_PROC</t>
  </si>
  <si>
    <t>Протяженность сетей принята  на основании данных  представленных форм № ОС-1  (в т.ч. г. Ленинск-Кузнецкий -  556,131 км, г. Полысаево -  168,456 км.)  Справочно, данные  форм статистической отчетности "1-водопровод" за 2024 год : г. Ленинск-Кузнецкий -  555,05 км, г. Полысаево - 168,456 км).</t>
  </si>
  <si>
    <t>Организация предоставляет услуги питьевого водоснабжения потребителям, находящимся в границах нескольких муниципальных образований – г. Ленинск-Кузнецкий, г. Полысаево, г. Белово  (МУП «Водоканал»), Ленинск-Кузнецкого муниципального округа   (ООО «Энергоресурс»). Услуги по отведению и очистке сточных вод предоставляются только потребителям г. Ленинск-Кузнецкий.   Система водоснабжения предусматривает получение воды из двух источников: поверхностного (открытого) и подземного. Основным источником водоснабжения служит поверхностная вода р. Томь.  (Продолжение - на Листе "Комментарии".)</t>
  </si>
  <si>
    <t>Протяженность сетей принята  на основании данных  представленных форм № ОС-1 .  Справочно, данные  форм статистической отчетности "1-водопровод" за 2024 год : г. Ленинск-Кузнецкий -  145,53 км.</t>
  </si>
  <si>
    <t>1._x0009_ЦЕНТРАЛИЗОВАННАЯ СИСТЕМА ВОДООТВЕДЕНИЯ Г. ЛЕНИНСК-КУЗНЕЦКИЙ. Сточные воды от объектов жилищного фонда, предприятий и организаций по самотечным коллекторам поступают на КНС (канализационные насосные станции): КНС № 1; КНС № 2 квартала «Профсоюзный»;  КНС квартала «Кемеровский» ; КНС «КСК».ю принимающая стоки от 4-х КНС микрорайонов № 1, №2, №3, № 4, Северной Промзоны, пр. Ленина; КНС № 6 (по ул. Суворова),   перекачивающая стоки на КНС №3; КНС № 3 шахты «Комсомолец», принимающая  стоки от КНС № 4, № 5 шахты «Им. 7-го Ноября» и КНС № 6; КНС шахты «Им. Кирова»; КНС № 7 (по ул. Зварыгина); КНС «ГАИ»; КНС по ул. Васильева.  (Продолжение - на Листе "Комментарии".)</t>
  </si>
  <si>
    <t>Протяженность сетей принята  на основании данных  представленных форм № ОС-1 .  (Согласно данным  формы статистической отчетности "1-водопровод" за 2024 год : г. Полысаево -  39,86 км).</t>
  </si>
  <si>
    <t>Канализационные сети расположены в основном в центральной части города Полысаево и состоят из безнапорных и напорных трубопроводов канализации. Из-за сложности рельефа в черте города часть стоков транспортируется по напорным трубопроводам с помощью локальных насосных канализационных станций. Сбор канализационных сточных вод производится по разветвленной сети, начиная от выпусков из зданий по внутриквартальным сетям ф150-200мм, которые собирают стоки в количестве 2182 тыс. м3/год к двум коллекторам. По коллектору ф300мм стоки транспортируются в канализационную насосную станцию (КНС), по коллектору ф200мм – в главную насосную станцию (ГНС), которые соединены между собой коллектором ф300мм. От ГНС стоки поступают на очистные сооружения, пропускной способностью 12,2 тыс. м3/сутки. (Продолжение - на Листе "Комментарии".)</t>
  </si>
  <si>
    <t>{                  _x000D_
         funcDyn: 'msg1',_x000D_
         blok: 'blok_1',_x000D_
         wsCross: 'Список объектов',_x000D_
         linkFormula: 'AB-AC',_x000D_
         levelDyn: ''_x000D_
}</t>
  </si>
  <si>
    <t>Комментарии и обоснования к разделу</t>
  </si>
  <si>
    <t>{                  _x000D_
         funcDyn: 'msg',_x000D_
         blok: '',_x000D_
         wsCross: '',_x000D_
         linkFormula: '',_x000D_
         levelDyn: ''_x000D_
}</t>
  </si>
  <si>
    <t>Добавить комментарий</t>
  </si>
  <si>
    <t>PJ_NAME_EXP</t>
  </si>
  <si>
    <t>PJ_NAME_DOC_TYPE</t>
  </si>
  <si>
    <t>PJ_NAME_DOC_NUM</t>
  </si>
  <si>
    <t>PJ_NAME_DOC_DATE</t>
  </si>
  <si>
    <t>PJ_OBJ_LIST</t>
  </si>
  <si>
    <t>Правоустанавливающие и подтверждающие документы на объекты коммунальной инфраструктуры</t>
  </si>
  <si>
    <t>Объект коммунальной инфраструктуры</t>
  </si>
  <si>
    <t>Основание эксплуатации</t>
  </si>
  <si>
    <t>Вид документа</t>
  </si>
  <si>
    <t>Номер документа</t>
  </si>
  <si>
    <t>Дата документа</t>
  </si>
  <si>
    <t>Срок действия</t>
  </si>
  <si>
    <t>Наименование объекта</t>
  </si>
  <si>
    <t>адрес</t>
  </si>
  <si>
    <t>P_OBJ_LIST_PROPS</t>
  </si>
  <si>
    <t>DYN_OBJ</t>
  </si>
  <si>
    <t>{                  _x000D_
         funcDyn: 'obj',_x000D_
         blok: '',_x000D_
         wsCross: '',_x000D_
         linkFormula: '',_x000D_
         levelDyn: '1'_x000D_
}</t>
  </si>
  <si>
    <t>Добавить объект</t>
  </si>
  <si>
    <t>Скважина №6а</t>
  </si>
  <si>
    <t>г Ленинск-Кузнецкий, в 1200 м на юг от водонапорной башни в пос.Озеровка по ул.Центральной, б/н</t>
  </si>
  <si>
    <t>концессионное соглашение</t>
  </si>
  <si>
    <t>14.11.2019</t>
  </si>
  <si>
    <t>Скважина №2а</t>
  </si>
  <si>
    <t>г Ленинск-Кузнецкий, в 800 м (слева) на северо-запад от 261 км автомобильной дороги Новосибирск-Ленинск-Кузнецкий-Кемерово-Юрга, б/н</t>
  </si>
  <si>
    <t>Скважина №4а</t>
  </si>
  <si>
    <t>г Ленинск-Кузнецкий, в 950 м (справа) на северо-запад от 261 км автомобильной дороги Новосибирск-Ленинск-Кузнецкий-Кемерово-Юрга, б/н</t>
  </si>
  <si>
    <t>сети водоснабжения</t>
  </si>
  <si>
    <t>г Ленинск-Кузнецкий, г. Ленинск-Кузнецкий, -</t>
  </si>
  <si>
    <t>4</t>
  </si>
  <si>
    <t>Скважина №7а</t>
  </si>
  <si>
    <t>г Ленинск-Кузнецкий, за придорожной полосой автомобильной дороги Новосибирск-Ленинск-Кузнецкий-Кемерово-Юрга, 259 км+500м(справа), корпус 9</t>
  </si>
  <si>
    <t>5</t>
  </si>
  <si>
    <t>насосная станция Подъем №2</t>
  </si>
  <si>
    <t>г Ленинск-Кузнецкий, пр.Кирова, 20а</t>
  </si>
  <si>
    <t>6</t>
  </si>
  <si>
    <t>Насосная станция №16</t>
  </si>
  <si>
    <t>г Ленинск-Кузнецкий, пр.Ленина, 82"б"</t>
  </si>
  <si>
    <t>7</t>
  </si>
  <si>
    <t>насосная станция  №17</t>
  </si>
  <si>
    <t>г Ленинск-Кузнецкий, пр.Ленина, 86"б"</t>
  </si>
  <si>
    <t>8</t>
  </si>
  <si>
    <t>Насосная станция  Гидроузел №2</t>
  </si>
  <si>
    <t>г Ленинск-Кузнецкий, проезд Объездная дорога, 13</t>
  </si>
  <si>
    <t>9</t>
  </si>
  <si>
    <t>Скважина Никитинская 534</t>
  </si>
  <si>
    <t>г Ленинск-Кузнецкий, ул. Никитинская, 2"б"</t>
  </si>
  <si>
    <t>10</t>
  </si>
  <si>
    <t>Скважина Никитинская 602</t>
  </si>
  <si>
    <t>г Ленинск-Кузнецкий, ул. Никитинская, 2"в" сооружение 1</t>
  </si>
  <si>
    <t>11</t>
  </si>
  <si>
    <t>насосная станция</t>
  </si>
  <si>
    <t>г Ленинск-Кузнецкий, ул. Розы Люксембург, 47"б"</t>
  </si>
  <si>
    <t>12</t>
  </si>
  <si>
    <t>Насосная станция  Гидроузел №4</t>
  </si>
  <si>
    <t>г Ленинск-Кузнецкий, ул. Суворова, 209</t>
  </si>
  <si>
    <t>13</t>
  </si>
  <si>
    <t>г Полысаево, г. Полысаево, -</t>
  </si>
  <si>
    <t>14</t>
  </si>
  <si>
    <t>Гидроузел №6</t>
  </si>
  <si>
    <t>г Полысаево, проезд Межквартальный,, д.7, строение 2</t>
  </si>
  <si>
    <t>Насосная станция Демьяновский ГУ Гидроузел №1</t>
  </si>
  <si>
    <t>п Демьяновка, за придорожной полосой автомобильной дороги Новосибирск-Ленинск-Кузнецкий-Кемерово-Юрга, 259 км+500м(справа) корпус 5, корпус 5</t>
  </si>
  <si>
    <t>16</t>
  </si>
  <si>
    <t>НФС               Насосная станция 5-го подъема</t>
  </si>
  <si>
    <t>п Демьяновка, пер. Новый, 18, корпус 8</t>
  </si>
  <si>
    <t>17</t>
  </si>
  <si>
    <t>п Никитинский, ул. Никитинская, 2"б"</t>
  </si>
  <si>
    <t>18</t>
  </si>
  <si>
    <t>п Никитинский, ул. Никитинская, 2"в" сооружение 1</t>
  </si>
  <si>
    <t>19</t>
  </si>
  <si>
    <t>Насосная станция 2-го подъема</t>
  </si>
  <si>
    <t>пгт Крапивинский, 1 км автомобильной дороги Крапивинский-Панфилово, б/н</t>
  </si>
  <si>
    <t>20</t>
  </si>
  <si>
    <t>Насосная станция 3-го подъема</t>
  </si>
  <si>
    <t>пгт Крапивинский, 8 км автомобильной дороги Крапивинский-Панфилово, б/н</t>
  </si>
  <si>
    <t>21</t>
  </si>
  <si>
    <t>Водозабор- насосная станция 1-го подъема</t>
  </si>
  <si>
    <t>пгт Крапивинский, пгт. Крапивинский, корпус 1</t>
  </si>
  <si>
    <t>22</t>
  </si>
  <si>
    <t>Сети водоотведения</t>
  </si>
  <si>
    <t>г Ленинск-Кузнецкий, г. Ленинск-Кузнецкий, б/н</t>
  </si>
  <si>
    <t>КНС квартала "Днепровский"</t>
  </si>
  <si>
    <t>г Ленинск-Кузнецкий, На северо-запад в 58 метрах от не жилого здания по ул. Юргинская, 4/3</t>
  </si>
  <si>
    <t>КНС №5</t>
  </si>
  <si>
    <t>г Ленинск-Кузнецкий, ул. Абая, 3"а"</t>
  </si>
  <si>
    <t>КНС квартала "Кемеровский"</t>
  </si>
  <si>
    <t>г Ленинск-Кузнецкий, ул. Абрамцева, б/н</t>
  </si>
  <si>
    <t>КНС по ул.Васильева</t>
  </si>
  <si>
    <t>г Ленинск-Кузнецкий, ул. Васильева, 12</t>
  </si>
  <si>
    <t>КНС №7</t>
  </si>
  <si>
    <t>г Ленинск-Кузнецкий, ул. Вокзальная, 28"б"</t>
  </si>
  <si>
    <t>КНС ш. Кирова</t>
  </si>
  <si>
    <t>г Ленинск-Кузнецкий, ул. Кирсанова, 3"в"</t>
  </si>
  <si>
    <t>КНС шахты им. Ярославского</t>
  </si>
  <si>
    <t>г Ленинск-Кузнецкий, ул. Нефтебазы, 1"б"</t>
  </si>
  <si>
    <t>КНС №2              кв. Профсоюзный</t>
  </si>
  <si>
    <t>г Ленинск-Кузнецкий, ул. Пирогова, 9"6"</t>
  </si>
  <si>
    <t>КНС №1</t>
  </si>
  <si>
    <t>г Ленинск-Кузнецкий, ул. Пушкина, 2"в"</t>
  </si>
  <si>
    <t>КНС №6</t>
  </si>
  <si>
    <t>г Ленинск-Кузнецкий, ул. Суворова, 270 "б"</t>
  </si>
  <si>
    <t>КНС "КСК"</t>
  </si>
  <si>
    <t>г Ленинск-Кузнецкий, ул. Тверская, 70</t>
  </si>
  <si>
    <t>КНС "ГАИ"</t>
  </si>
  <si>
    <t>г Ленинск-Кузнецкий, ул. Топкинская, 2"б"</t>
  </si>
  <si>
    <t>КНС №3</t>
  </si>
  <si>
    <t>г Ленинск-Кузнецкий, ул. Чекалина, 9"б"</t>
  </si>
  <si>
    <t>кнс №4</t>
  </si>
  <si>
    <t>г Ленинск-Кузнецкий, ул. Шилина, 9"б"</t>
  </si>
  <si>
    <t>ГНС</t>
  </si>
  <si>
    <t>г Ленинск-Кузнецкий, ул. Широкая, 33</t>
  </si>
  <si>
    <t>Очистные сооружения города</t>
  </si>
  <si>
    <t>г Ленинск-Кузнецкий, ул. Широкая, 41</t>
  </si>
  <si>
    <t>Очистные сооружения п. Никитинский</t>
  </si>
  <si>
    <t>г Ленинск-Кузнецкий, ул.Никитинская, 2 "а"</t>
  </si>
  <si>
    <t>г Полысаево, г. Полысаево, б/н</t>
  </si>
  <si>
    <t>Сети водоотведения (транспортировка)</t>
  </si>
  <si>
    <t>КНС ул. 65 лет Кузбассу</t>
  </si>
  <si>
    <t>г Полысаево, На площадке, ограниченной улицами: ул. Луначарского-ул. Копровая; ул. Бажова-ул. Крупской, б/н</t>
  </si>
  <si>
    <t>КНС 13 квартала</t>
  </si>
  <si>
    <t>г Полысаево, На северо-востоке в 218 метрах от угла дома №30 по ул. Молодогвардейцев, б/н</t>
  </si>
  <si>
    <t>КНС ТЦ "Спутник"</t>
  </si>
  <si>
    <t>г Полысаево, ул. Крупской, б/н</t>
  </si>
  <si>
    <t>КНС</t>
  </si>
  <si>
    <t>г Полысаево, ул. Молодогвардейцев, 32 стр.1</t>
  </si>
  <si>
    <t>КНС ул. Победы</t>
  </si>
  <si>
    <t>г Полысаево, ул. Победы, б/н</t>
  </si>
  <si>
    <t>Очистные сооружения</t>
  </si>
  <si>
    <t>г Полысаево, ул. Садовая, 1</t>
  </si>
  <si>
    <t>г Полысаево, ул. Свердлова, 19а</t>
  </si>
  <si>
    <t>{                  _x000D_
         funcDyn: 'msg1',_x000D_
         blok: 'blok_1',_x000D_
         wsCross: 'Сценарии',_x000D_
         linkFormula: 'AB-AB',_x000D_
         levelDyn: ''_x000D_
}</t>
  </si>
  <si>
    <t>Наименование параметра</t>
  </si>
  <si>
    <t>Факт по данным организации</t>
  </si>
  <si>
    <t>Факт, принятый органом регулирования</t>
  </si>
  <si>
    <t>% роста / снижения</t>
  </si>
  <si>
    <t>Отклонение (принято органом регулирования - заявлено организацией)</t>
  </si>
  <si>
    <t>et_Scenarios_tariff</t>
  </si>
  <si>
    <t>Ставка НДС</t>
  </si>
  <si>
    <t>%</t>
  </si>
  <si>
    <t>P_NDS_COMMON</t>
  </si>
  <si>
    <t>ИОР</t>
  </si>
  <si>
    <t>Индексы</t>
  </si>
  <si>
    <t>ИЭР</t>
  </si>
  <si>
    <t>l1_1</t>
  </si>
  <si>
    <t>Индекс эффективности операционных расходов</t>
  </si>
  <si>
    <t>P_IND_OP</t>
  </si>
  <si>
    <t>ИПЦ</t>
  </si>
  <si>
    <t>l1_2</t>
  </si>
  <si>
    <t>Индекс потребительских цен</t>
  </si>
  <si>
    <t>P_IND_PRICE</t>
  </si>
  <si>
    <t>l1_3</t>
  </si>
  <si>
    <t>Индекс роста цен на электроэнергию</t>
  </si>
  <si>
    <t>P_IND_PRICE_GROW</t>
  </si>
  <si>
    <t>ИКА</t>
  </si>
  <si>
    <t>l1_4</t>
  </si>
  <si>
    <t>Индекс изменения количества активов</t>
  </si>
  <si>
    <t>P_IND_ACT</t>
  </si>
  <si>
    <t>Индекс роста номинальной заработной платы</t>
  </si>
  <si>
    <t>P_IND_FOT</t>
  </si>
  <si>
    <t>Налоговые ставки</t>
  </si>
  <si>
    <t>СВФОТ</t>
  </si>
  <si>
    <t>l2_1</t>
  </si>
  <si>
    <t>Ставка страховых взносов с ФОТ</t>
  </si>
  <si>
    <t>P_INS_FOT</t>
  </si>
  <si>
    <t>l2_2</t>
  </si>
  <si>
    <t>P_NDS</t>
  </si>
  <si>
    <t>Ставка водного налога</t>
  </si>
  <si>
    <t>P_WAT_TAX</t>
  </si>
  <si>
    <t>l3_1_1</t>
  </si>
  <si>
    <t>2.1.1</t>
  </si>
  <si>
    <t>Ставка водного налога из поверхностных источников для населения</t>
  </si>
  <si>
    <t>руб./тыс.куб.м.</t>
  </si>
  <si>
    <t>P_SURF_PEOPLE</t>
  </si>
  <si>
    <t>DYN_SURF_PEOPLE</t>
  </si>
  <si>
    <t>l3_1_2</t>
  </si>
  <si>
    <t>2.2.1</t>
  </si>
  <si>
    <t>Ставка водного налога из поверхностных источников для прочих потребителей</t>
  </si>
  <si>
    <t>P_SURF_OTHER</t>
  </si>
  <si>
    <t>DYN_SURF_OTHER</t>
  </si>
  <si>
    <t>l3_2_1</t>
  </si>
  <si>
    <t>2.3.1</t>
  </si>
  <si>
    <t>Ставка водного налога из подземных источников для населения</t>
  </si>
  <si>
    <t>P_UND_PEOPLE</t>
  </si>
  <si>
    <t>DYN_UND_PEOPLE</t>
  </si>
  <si>
    <t>l3_2_2</t>
  </si>
  <si>
    <t>2.4.1</t>
  </si>
  <si>
    <t>Ставка водного налога из подземных источников для прочих потребителей</t>
  </si>
  <si>
    <t>P_UND_OTHER</t>
  </si>
  <si>
    <t>DYN_UND_OTHER</t>
  </si>
  <si>
    <t>Ставки налога на имущество</t>
  </si>
  <si>
    <t>P_RENT_TAX</t>
  </si>
  <si>
    <t>Ставка налога при УСН</t>
  </si>
  <si>
    <t>P_USN_TAX</t>
  </si>
  <si>
    <t>l6</t>
  </si>
  <si>
    <t>Доля общехозяйственных расходов</t>
  </si>
  <si>
    <t>P_HOZ_EXP</t>
  </si>
  <si>
    <t>l7</t>
  </si>
  <si>
    <t>Доля общепроизводственных расходов</t>
  </si>
  <si>
    <t>P_PROD_EXP</t>
  </si>
  <si>
    <t>В соответствии с утвержденными долгосрочными параметрами регулирования тарифов (утв. Постановлением РЭК Кемеровской области от 17.12.2019 № 602 (в ред.  Пост-я РЭК Кузбасса от 02.02.2021 № 42)</t>
  </si>
  <si>
    <t>Согласно базовому варианту "Прогноза соц.-экономического развития РФ на 2026 год и на плановый период 2027 и 2028 годов" от 26.09.2025</t>
  </si>
  <si>
    <t>Согласно базовому варианту "Прогноза соц.-экономического развития РФ на 2026 год и на плановый период 2027 и 2028 годов" от 26.09.2025.</t>
  </si>
  <si>
    <t>Организацией предложено: г. Ленинск-Кузнецкий - 0,0001858, г. Полысаево - 0,0000402. РЭК Кузбасса принято: г. Ленинск-Кузнецкий - 0,0001832812, г. Полысаево - 0,000029823.</t>
  </si>
  <si>
    <t>Не заявлен.</t>
  </si>
  <si>
    <t>1) Постановление Правительства РФ от 30.12.2006 N 876 (ред. от 29.12.2017); 2) Постановление Правительства РФ от 26.12.2014 N 1509.</t>
  </si>
  <si>
    <t>1) Постановление Правительства РФ от 30.12.2006 N 876 (ред. от 29.12.2017); 2) Постановление Правительства РФ от 26.12.2014 N 1509 (ред. от 21.12.2024).</t>
  </si>
  <si>
    <t xml:space="preserve">Пункт 3 Статьи 333.12  "Налогового кодекса Российской Федерации (часть вторая)" от 05.08.2000 N 117-ФЗ. </t>
  </si>
  <si>
    <t>Пункт 3 Статьи 333.12  "Налогового кодекса Российской Федерации (часть вторая)" от 05.08.2000 N 117-ФЗ (ред. от 15.12.2025)</t>
  </si>
  <si>
    <t>1) В части, исчисляемой от остаточной стоимости имущества - 2,2% ; 2) В части, исчисляемой от кадастровой стоимости, - 2,0%   ( Статья 380 "Налогового кодекса Российской Федерации (часть вторая)" от 05.08.2000 N 117-ФЗ; Закон Кемеровской области - Кузбасса от 26.11.2003 N 60-ОЗ (ред. от 27.11.2025) "О налоге на имущество организаций").</t>
  </si>
  <si>
    <t>ПЛАН 2024г.: 1,194% г. Ленинск-Кузнецкий +0,299% г. Полысаево (Приказ Ген. директора ОАО "СКЭК" № 371 от 31.12.2022 "О внесении изменений в Учетную политику");  ФАКТ 2024 г.:  9,202% г. Ленинск-Кузнецкий + 2,304% г. Полысаево (Приказ № 375 от 31.12.2023).</t>
  </si>
  <si>
    <t xml:space="preserve"> 9,202% г. Ленинск-Кузнецкий + 2,304% г. Полысаево (Приказ  Первого заместителя Генерального директора ОАО "СКЭК"  от 31.12.2023 № 375 "О внесении изменений в Учетную политику").</t>
  </si>
  <si>
    <t>(25%  - Отдел энергоснабжения г. Ленинск-Кузнецкий + 20,39%  - Группа энергоснабжения г. Полысаево) Приказ  Генерального директора ОАО "СКЭК"  от 31.12.2020 № 320 "О внесении изменений в Учетную политику".</t>
  </si>
  <si>
    <t>Организацией предложено в размере 0,00011890 . РЭК Кузбасса принято в размере  0,00011892.</t>
  </si>
  <si>
    <t>ПЛАН 2024г -0,498%  (Приказ Ген. директора ОАО "СКЭК" № 371 от 31.12.2022 "О внесении изменений в Учетную политику");  ФАКТ 2024 г. - 3,023% (Приказ Первого заместителя Ген. директора ОАО "СКЭК" № 375 от 31.12.2023).</t>
  </si>
  <si>
    <t>(3,023% ) Приказ  Первого заместителя Генерального директора ОАО "СКЭК"  от 31.12.2023 № 375 "О внесении изменений в Учетную политику".</t>
  </si>
  <si>
    <t>(10%) Приказ  Генерального директора ОАО "СКЭК"  от 31.12.2020 № 320 "О внесении изменений в Учетную политику".</t>
  </si>
  <si>
    <t>Организацией предложено в размере 0,00 . РЭК Кузбасса принято в размере  0,00.</t>
  </si>
  <si>
    <t>ПЛАН 2024г. - 0,247%  (Приказ Ген. директора ОАО "СКЭК" № 371 от 31.12.2022 "О внесении изменений в Учетную политику");  ФАКТ 2024 г. - 4,441%  (Приказ Первого заместителя Ген. директора ОАО "СКЭК" № 375 от 31.12.2023).</t>
  </si>
  <si>
    <t>(4,441%) Приказ  Первого заместителя Генерального директора ОАО "СКЭК"  от 31.12.2023 № 375 "О внесении изменений в Учетную политику".</t>
  </si>
  <si>
    <t>(9,47% ) Приказ  Генерального директора ОАО "СКЭК"  от 31.12.2020 № 320 "О внесении изменений в Учетную политику".</t>
  </si>
  <si>
    <t>(9,47% )Приказ  Генерального директора ОАО "СКЭК"  от 31.12.2020 № 320 "О внесении изменений в Учетную политику".</t>
  </si>
  <si>
    <t>{                  _x000D_
         funcDyn: 'msg1',_x000D_
         blok: 'blok_1',_x000D_
         wsCross: 'ИИКА',_x000D_
         linkFormula: 'AB-AB',_x000D_
         levelDyn: ''_x000D_
}</t>
  </si>
  <si>
    <t>P_IND_ACTIVE</t>
  </si>
  <si>
    <t>Изменение количества условных километров водопроводной (канализационной) сети</t>
  </si>
  <si>
    <t>P_IND_KM</t>
  </si>
  <si>
    <t>Изменение операционных расходов на_x000D_
водоподготовку, очистку сточных вод, связанное с вводом в эксплуатацию нового объекта водоподготовки, включая резервуары воды, очистки сточных вод в году i</t>
  </si>
  <si>
    <t>P_OPER</t>
  </si>
  <si>
    <t>P_IND_EFFECTIVE</t>
  </si>
  <si>
    <t>{                  _x000D_
         funcDyn: 'msg1',_x000D_
         blok: 'blok_1',_x000D_
         wsCross: 'Баланс',_x000D_
         linkFormula: 'AB-AB',_x000D_
         levelDyn: ''_x000D_
}</t>
  </si>
  <si>
    <t>Ссылка на правовую норму (основание для принятия показателя в расчет тарифа)</t>
  </si>
  <si>
    <t>VO/VS</t>
  </si>
  <si>
    <t>Вид воды</t>
  </si>
  <si>
    <t>P_VS_WATER_TYPE</t>
  </si>
  <si>
    <t>Объём воды из источников водоснабжения, всего</t>
  </si>
  <si>
    <t>тыс.куб.м</t>
  </si>
  <si>
    <t>P_VS_VOL_SOURCES</t>
  </si>
  <si>
    <t>l4_1</t>
  </si>
  <si>
    <t>2.1</t>
  </si>
  <si>
    <t>Поднято воды из поверхностных источников</t>
  </si>
  <si>
    <t>P_VS_VOL_SOURCES_SURF</t>
  </si>
  <si>
    <t>l4_2</t>
  </si>
  <si>
    <t>2.2</t>
  </si>
  <si>
    <t>Поднято воды из подземных источников</t>
  </si>
  <si>
    <t>P_VS_VOL_SOURCES_UND</t>
  </si>
  <si>
    <t>l4_3</t>
  </si>
  <si>
    <t>2.3</t>
  </si>
  <si>
    <t>Доочищенная сточная вода для нужд технического водоснабжения</t>
  </si>
  <si>
    <t>P_VS_STOCK_CLEAN</t>
  </si>
  <si>
    <t>Расход воды на технологические нужды всего</t>
  </si>
  <si>
    <t>P_VS_TEH_USE</t>
  </si>
  <si>
    <t>l5_1</t>
  </si>
  <si>
    <t>3.1</t>
  </si>
  <si>
    <t>Расход воды на собственные нужды водоподготовки</t>
  </si>
  <si>
    <t>P_VS_TEH_USE_SELF</t>
  </si>
  <si>
    <t>l5_2</t>
  </si>
  <si>
    <t>3.2</t>
  </si>
  <si>
    <t>Расход воды на промывку сетей</t>
  </si>
  <si>
    <t>P_VS_TEH_USE_CLEAN</t>
  </si>
  <si>
    <t>Получено воды со стороны</t>
  </si>
  <si>
    <t>P_VS_WATER_FROM_OTHER</t>
  </si>
  <si>
    <t>Объём воды, прошедшей водоподготовку (справочно)</t>
  </si>
  <si>
    <t>P_VS_VOL_PREPAIRED</t>
  </si>
  <si>
    <t>l8</t>
  </si>
  <si>
    <t>Объём воды, поданной в сеть всего</t>
  </si>
  <si>
    <t>P_VS_VOL_NETS</t>
  </si>
  <si>
    <t>l8_1</t>
  </si>
  <si>
    <t>6.1</t>
  </si>
  <si>
    <t>Объём воды, поданной в сеть из собственных источников</t>
  </si>
  <si>
    <t>P_VS_VOL_NETS_SELF</t>
  </si>
  <si>
    <t>l8_2</t>
  </si>
  <si>
    <t>6.2</t>
  </si>
  <si>
    <t>Объём воды, поданной в сеть от других операторов</t>
  </si>
  <si>
    <t>P_VS_VOL_NETS_OTHER</t>
  </si>
  <si>
    <t>l8_3</t>
  </si>
  <si>
    <t>6.3</t>
  </si>
  <si>
    <t>Получено от других территорий, дифференцированных по тарифу</t>
  </si>
  <si>
    <t>P_VS_VOL_NETS_OTHER_TERR</t>
  </si>
  <si>
    <t>l9</t>
  </si>
  <si>
    <t>Потери воды</t>
  </si>
  <si>
    <t>P_VS_LOSS</t>
  </si>
  <si>
    <t>l9_1</t>
  </si>
  <si>
    <t>7.1</t>
  </si>
  <si>
    <t>Уровень потерь воды</t>
  </si>
  <si>
    <t>P_VS_LOSS_PERCENT</t>
  </si>
  <si>
    <t>l10</t>
  </si>
  <si>
    <t>Отпущено воды, всего</t>
  </si>
  <si>
    <t>P_VS_RELEASE</t>
  </si>
  <si>
    <t>l10_1</t>
  </si>
  <si>
    <t>8.1</t>
  </si>
  <si>
    <t>Расход воды на нужды предприятия</t>
  </si>
  <si>
    <t>P_VS_RELEASE_SELF</t>
  </si>
  <si>
    <t>l10_1_1</t>
  </si>
  <si>
    <t>8.1.1</t>
  </si>
  <si>
    <t>хозяйственные нужды</t>
  </si>
  <si>
    <t>P_VS_RELEASE_SELF_HOZ</t>
  </si>
  <si>
    <t>l10_1_2</t>
  </si>
  <si>
    <t>8.1.2</t>
  </si>
  <si>
    <t>на основное производство</t>
  </si>
  <si>
    <t>P_VS_RELEASE_SELF_PROD</t>
  </si>
  <si>
    <t>l10_1_3</t>
  </si>
  <si>
    <t>8.1.3</t>
  </si>
  <si>
    <t>прочие</t>
  </si>
  <si>
    <t>P_VS_RELEASE_SELF_OTHER</t>
  </si>
  <si>
    <t>ПО</t>
  </si>
  <si>
    <t>l10_2</t>
  </si>
  <si>
    <t>8.2</t>
  </si>
  <si>
    <t>Отпущено воды другим водопроводам</t>
  </si>
  <si>
    <t>P_VS_RELEASE_OTHER_PIPES</t>
  </si>
  <si>
    <t>l10_2_1</t>
  </si>
  <si>
    <t>8.2.1</t>
  </si>
  <si>
    <t>по приборам учёта</t>
  </si>
  <si>
    <t>P_VS_RELEASE_OTHER_PIPES_METERS</t>
  </si>
  <si>
    <t>l10_2_2</t>
  </si>
  <si>
    <t>8.2.2</t>
  </si>
  <si>
    <t>по нормативам</t>
  </si>
  <si>
    <t>P_VS_RELEASE_OTHER_PIPES_NORMS</t>
  </si>
  <si>
    <t>l10_3</t>
  </si>
  <si>
    <t>8.3</t>
  </si>
  <si>
    <t>Отпущено воды по категориям потребителей</t>
  </si>
  <si>
    <t>P_VS_RELEASE_CONS</t>
  </si>
  <si>
    <t>l10_3_1</t>
  </si>
  <si>
    <t>8.3.1</t>
  </si>
  <si>
    <t>Финансируемые из бюджетов всех уровней</t>
  </si>
  <si>
    <t>P_VS_RELEASE_CONS_BUDJ</t>
  </si>
  <si>
    <t>l10_3_1_1</t>
  </si>
  <si>
    <t>8.3.1.1</t>
  </si>
  <si>
    <t>P_VS_RELEASE_CONS_BUDJ_METERS</t>
  </si>
  <si>
    <t>l10_3_1_2</t>
  </si>
  <si>
    <t>8.3.1.2</t>
  </si>
  <si>
    <t>P_VS_RELEASE_CONS_BUDJ_NORMS</t>
  </si>
  <si>
    <t>население</t>
  </si>
  <si>
    <t>l10_3_2</t>
  </si>
  <si>
    <t>8.3.2</t>
  </si>
  <si>
    <t>Население</t>
  </si>
  <si>
    <t>P_VS_RELEASE_CONS_PEOPLE</t>
  </si>
  <si>
    <t>l10_3_2_1</t>
  </si>
  <si>
    <t>8.3.2.1</t>
  </si>
  <si>
    <t>P_VS_RELEASE_CONS_PEOPLE_METERS</t>
  </si>
  <si>
    <t>l10_3_2_2</t>
  </si>
  <si>
    <t>8.3.2.2</t>
  </si>
  <si>
    <t>P_VS_RELEASE_CONS_PEOPLE_NORMS</t>
  </si>
  <si>
    <t>l10_3_3</t>
  </si>
  <si>
    <t>8.3.3</t>
  </si>
  <si>
    <t>Прочие потребители</t>
  </si>
  <si>
    <t>P_VS_RELEASE_CONS_OTHER</t>
  </si>
  <si>
    <t>l10_3_3_1</t>
  </si>
  <si>
    <t>8.3.3.1</t>
  </si>
  <si>
    <t>P_VS_RELEASE_CONS_OTHER_METERS</t>
  </si>
  <si>
    <t>l10_3_3_2</t>
  </si>
  <si>
    <t>8.3.3.2</t>
  </si>
  <si>
    <t>P_VS_RELEASE_CONS_OTHER_NORMS</t>
  </si>
  <si>
    <t>l10_4</t>
  </si>
  <si>
    <t>8.4</t>
  </si>
  <si>
    <t>Передано на другие территории, дифференцированные по тарифу</t>
  </si>
  <si>
    <t>P_VS_RELEASE_OTHER_TERR</t>
  </si>
  <si>
    <t>8.5</t>
  </si>
  <si>
    <t>Для приготовления горячей воды (справочно)</t>
  </si>
  <si>
    <t>P_VS_RELEASE_HOT</t>
  </si>
  <si>
    <t>P_VS_TR_WATER_TYPE</t>
  </si>
  <si>
    <t>Объём воды, поступившей в сеть</t>
  </si>
  <si>
    <t>P_VS_TR_VOL_NETS</t>
  </si>
  <si>
    <t>из собственных источников</t>
  </si>
  <si>
    <t>P_VS_TR_VOL_NETS_SELF</t>
  </si>
  <si>
    <t>от других операторов</t>
  </si>
  <si>
    <t>P_VS_TR_VOL_NETS_OTHER</t>
  </si>
  <si>
    <t>получено от других территорий, дифференцированных по тарифу</t>
  </si>
  <si>
    <t>P_VS_TR_VOL_NETS_OTHER_TERR</t>
  </si>
  <si>
    <t>P_VS_TR_LOSS</t>
  </si>
  <si>
    <t>P_VS_TR_LOSS_PERCENT</t>
  </si>
  <si>
    <t>P_VS_TR_RELEASE_SELF</t>
  </si>
  <si>
    <t>l6_1</t>
  </si>
  <si>
    <t>4.1</t>
  </si>
  <si>
    <t>P_VS_TR_RELEASE_SELF_HOZ</t>
  </si>
  <si>
    <t>l6_2</t>
  </si>
  <si>
    <t>4.2</t>
  </si>
  <si>
    <t>P_VS_TR_RELEASE_SELF_PROD</t>
  </si>
  <si>
    <t>P_VS_TR_RELEASE_OTHER_PIPES</t>
  </si>
  <si>
    <t>l7_1</t>
  </si>
  <si>
    <t>5.1</t>
  </si>
  <si>
    <t>P_VS_TR_RELEASE_OTHER_PIPES_METERS</t>
  </si>
  <si>
    <t>l7_2</t>
  </si>
  <si>
    <t>5.2</t>
  </si>
  <si>
    <t>P_VS_TR_RELEASE_OTHER_PIPES_NORMS</t>
  </si>
  <si>
    <t>P_VS_TR_RELEASE_OTHER_TERR</t>
  </si>
  <si>
    <t>P_VS_TR_RELEASE_HOT</t>
  </si>
  <si>
    <t>Вид стоков</t>
  </si>
  <si>
    <t>P_VO_STOK_TYPE</t>
  </si>
  <si>
    <t>Принято сточных вод, всего</t>
  </si>
  <si>
    <t>P_VO_STOK_ACCEPT</t>
  </si>
  <si>
    <t>Хозяйственные нужды предприятия</t>
  </si>
  <si>
    <t>P_VO_STOK_SELF</t>
  </si>
  <si>
    <t>Принято по категориям потребителей</t>
  </si>
  <si>
    <t>P_VO_ACCEPT_CONS</t>
  </si>
  <si>
    <t>P_VO_ACCEPT_CONS_BUDJ</t>
  </si>
  <si>
    <t>l6_1_1</t>
  </si>
  <si>
    <t>4.1.1</t>
  </si>
  <si>
    <t>P_VO_ACCEPT_CONS_BUDJ_METERS</t>
  </si>
  <si>
    <t>l6_1_2</t>
  </si>
  <si>
    <t>4.1.2</t>
  </si>
  <si>
    <t>P_VO_ACCEPT_CONS_BUDJ_NORMS</t>
  </si>
  <si>
    <t>P_VO_ACCEPT_CONS_PEOPLE</t>
  </si>
  <si>
    <t>l6_2_1</t>
  </si>
  <si>
    <t>4.2.1</t>
  </si>
  <si>
    <t>P_VO_ACCEPT_CONS_PEOPLE_METERS</t>
  </si>
  <si>
    <t>l6_2_2</t>
  </si>
  <si>
    <t>4.2.2</t>
  </si>
  <si>
    <t>P_VO_ACCEPT_CONS_PEOPLE_NORMS</t>
  </si>
  <si>
    <t>l6_3</t>
  </si>
  <si>
    <t>4.3</t>
  </si>
  <si>
    <t>P_VO_ACCEPT_CONS_OTHER</t>
  </si>
  <si>
    <t>l6_3_1</t>
  </si>
  <si>
    <t>4.3.1</t>
  </si>
  <si>
    <t>P_VO_ACCEPT_CONS_OTHER_METERS</t>
  </si>
  <si>
    <t>l6_3_2</t>
  </si>
  <si>
    <t>4.3.2</t>
  </si>
  <si>
    <t>P_VO_ACCEPT_CONS_OTHER_NORMS</t>
  </si>
  <si>
    <t>l6_4</t>
  </si>
  <si>
    <t>4.4</t>
  </si>
  <si>
    <t>Принято сточных вод от других канализационных сетей</t>
  </si>
  <si>
    <t>P_VO_ACCEPT_CONS_OTHER_SEWER</t>
  </si>
  <si>
    <t>l6_4_1</t>
  </si>
  <si>
    <t>4.4.1</t>
  </si>
  <si>
    <t>P_VO_ACCEPT_CONS_OTHER_SEWER_METERS</t>
  </si>
  <si>
    <t>l6_4_2</t>
  </si>
  <si>
    <t>4.4.2</t>
  </si>
  <si>
    <t>P_VO_ACCEPT_CONS_OTHER_SEWER_NORMS</t>
  </si>
  <si>
    <t>l6_5</t>
  </si>
  <si>
    <t>4.5</t>
  </si>
  <si>
    <t>P_VO_ACCEPT_OTHER_TERR</t>
  </si>
  <si>
    <t>Неучтённый приток сточных вод</t>
  </si>
  <si>
    <t>P_VO_STOK_UNACC</t>
  </si>
  <si>
    <t>Объём сточных вод, прошедших очистку (справочно)</t>
  </si>
  <si>
    <t>P_VO_STOK_VOL_CLEAN</t>
  </si>
  <si>
    <t>Пропущено через собственные очистные сооружения</t>
  </si>
  <si>
    <t>P_VO_STOK_SELF_STATIONS</t>
  </si>
  <si>
    <t>Передано сточных вод другим канализациям</t>
  </si>
  <si>
    <t>P_VO_STOK_OTHER_SEWERS</t>
  </si>
  <si>
    <t>На очистные сооружения</t>
  </si>
  <si>
    <t>P_VO_STOK_OTHER_SEWERS_CLEAN</t>
  </si>
  <si>
    <t>В канализационную сеть</t>
  </si>
  <si>
    <t>P_VO_STOK_OTHER_SEWERS_NETS</t>
  </si>
  <si>
    <t>l11</t>
  </si>
  <si>
    <t>P_VO_RELEASE_OTHER_TERR</t>
  </si>
  <si>
    <t>l12</t>
  </si>
  <si>
    <t>Сброшенные воды без очистки</t>
  </si>
  <si>
    <t>P_VO_STOK_UNCLEAN</t>
  </si>
  <si>
    <t>P_VO_TR_STOK_TYPE</t>
  </si>
  <si>
    <t>Объём транспортируемых сточных вод</t>
  </si>
  <si>
    <t>P_VO_TR_STOK_VOL</t>
  </si>
  <si>
    <t>на собственные очистные сооружения</t>
  </si>
  <si>
    <t>P_VO_TR_STOK_VOL_SELF</t>
  </si>
  <si>
    <t>другим организациям</t>
  </si>
  <si>
    <t>P_VO_TR_STOK_VOL_OTHER_ORG</t>
  </si>
  <si>
    <t>P_VO_TR_STOK_VOL_OTHER_TERR</t>
  </si>
  <si>
    <t>Приём сточных вод, поступающих на очистные сооружения</t>
  </si>
  <si>
    <t>P_VO_TR_STOK_ACCEPT_CLEAN</t>
  </si>
  <si>
    <t>от собственных нужд</t>
  </si>
  <si>
    <t>P_VO_TR_STOK_ACCEPT_CLEAN_SELF</t>
  </si>
  <si>
    <t>от других канализаций или отдельных канализационных сетей</t>
  </si>
  <si>
    <t>P_VO_TR_STOK_ACCEPT_CLEAN_OTHER_SEWER</t>
  </si>
  <si>
    <t>l5_2_1</t>
  </si>
  <si>
    <t>3.2.1</t>
  </si>
  <si>
    <t>P_VO_TR_STOK_ACCEPT_CLEAN_OTHER_SEWER_METER</t>
  </si>
  <si>
    <t>l5_2_2</t>
  </si>
  <si>
    <t>3.2.2</t>
  </si>
  <si>
    <t>P_VO_TR_STOK_ACCEPT_CLEAN_OTHER_SEWER_NORMS</t>
  </si>
  <si>
    <t>l5_3</t>
  </si>
  <si>
    <t>3.3</t>
  </si>
  <si>
    <t>P_VO_TR_ACCEPT_OTHER_TERR</t>
  </si>
  <si>
    <t>Рассчитано как сумма показателей по пунктам 3 и 6.</t>
  </si>
  <si>
    <t>Объемы забора воды из р. Томь.</t>
  </si>
  <si>
    <t>Объемы добычи воды из скважин Демьяновского водозабора (план 2026 г. соответствует суммарным данным налоговых деклараций за 2024 год).</t>
  </si>
  <si>
    <t>Отображены утвержденные нормативные объемы  расхода воды при ее производстве и транспортировке, рассчитанные в размере 6,92% (г. Ленинск-Кузнецкий) и 6,88% (г. Полысаево) от объема воды, поданной в распределительную сеть, согласно представленному "Экспертному заключению по расчету потерь и расходов воды при ее производстве и транспортировке".</t>
  </si>
  <si>
    <t>Принято на уровне фактического показателя 2024 года.</t>
  </si>
  <si>
    <t>Плановые объемы подачи воды в сеть указаны без утвержденных нормативных объемов расхода воды при ее транспортировке (так как в шаблоне не предусмотрена соответствующая строка), в связи с чем уровень потерь воды, отражаемый по сроке 9.1, не совпадает с утвержденными ДПР.</t>
  </si>
  <si>
    <t>Объемы потерь воды при транспортировке рассчитаны, исходя из нормативных уровней потерь по г. Ленинск-Кузнецкий (42,91%) и г. Полысаево (32,71%) согласно утвержденным ДПР (Постановление РЭК Кемеровской области от 17.12.2019 № 602, в ред.  Постановления РЭК Кузбасса от 02.02.2021 № 42).</t>
  </si>
  <si>
    <t>Отраженные по данной строке показатели не соответствуют утвержденным ДПР из-за отсутствия в данном шаблоне строки "Нормативный расход воды при транспортировке" - данные объемы должны включаться в объемы воды, поданной в распределительную сеть (здесь отражены по пункту 5.2).</t>
  </si>
  <si>
    <t>Принято на уровне, предложенном организацией.</t>
  </si>
  <si>
    <t>Объемы воды для нужд собственных производств (в т.ч. Котельные и ГВС).</t>
  </si>
  <si>
    <t>П. 5 "Методических указаний..." (приказ ФСТ № 1746-э от 27.12.2013).</t>
  </si>
  <si>
    <t>Объемы потребления иногородними абонентами, получающими воду с НФС пос. Демьяновский.  Рассчитано согласно п. 5 "Методических указаний..." (приказ ФСТ № 1746-э от 27.12.2013), на основании данных о динамике объемов реализации для собственных нужд  за 2021-2024 гг.</t>
  </si>
  <si>
    <t>П. 5 "Методических указаний..." (приказ ФСТ № 1746-э от 27.12.2013), на основании данных о динамике объемов реализации по данной категории потребителей за 2021-2024 гг. (с учетом подключаемых и выбывающих абонентов).</t>
  </si>
  <si>
    <t>Объемы водоотведения от собственных производственных участков (в том числе котельные и ГВС). Принято на уровне, предложенном организацией.</t>
  </si>
  <si>
    <t>П. 5 "Методических указаний..." (приказ ФСТ № 1746-э от 27.12.2013), на основании данных о динамике объемов реализации по данной категории потребителей за 2021-2024 гг. (с учетом подключаемых и выбывающих абонентов)</t>
  </si>
  <si>
    <t>Объем потребления воды на нужды собственных производств (в том числе котельные и ГВС). Принято в размере, предложенном организацией (на уровне факта 2024 г.).</t>
  </si>
  <si>
    <t>П. 5 "Методических указаний..." (приказ ФСТ № 1746-э от 27.12.2013), с учетом данных о динамике объемов реализации по данной категории потребителей за 2021-2024 гг. (с учетом подключаемых и выбывающих абонентов)  (со снижением к плану 2025 г. в размере  5%).</t>
  </si>
  <si>
    <t>Принимается  в соответствии с  подходом, принятым при выдаче ДПР организатору конкурса на заключение концессионного соглашения в 2019 году.</t>
  </si>
  <si>
    <t>{                  _x000D_
         funcDyn: 'msg1',_x000D_
         blok: 'blok_1',_x000D_
         wsCross: 'Условные метры',_x000D_
         linkFormula: 'AB-AB',_x000D_
         levelDyn: ''_x000D_
}</t>
  </si>
  <si>
    <t>l9_2</t>
  </si>
  <si>
    <t>l9_3</t>
  </si>
  <si>
    <t>l9_4</t>
  </si>
  <si>
    <t>l13</t>
  </si>
  <si>
    <t>l14</t>
  </si>
  <si>
    <t>PJ_UM</t>
  </si>
  <si>
    <t>Диаметр трубопровода</t>
  </si>
  <si>
    <t>№_x000D_
п/п</t>
  </si>
  <si>
    <t>Размер диаметра трубопровода, мм</t>
  </si>
  <si>
    <t>Тип материала трубопровода</t>
  </si>
  <si>
    <t>Тип грунта</t>
  </si>
  <si>
    <t>Глубина грунта, м</t>
  </si>
  <si>
    <t>Средняя стоимость строительства 1 км трубопровода, _x000D_
тыс. руб.</t>
  </si>
  <si>
    <t>Средняя стоимость строительства 1 км трубопровода диаметром 500 мм, тыс.руб.</t>
  </si>
  <si>
    <t>Источник информации по средней стоимости строительства</t>
  </si>
  <si>
    <t>Kd</t>
  </si>
  <si>
    <t>Протяженность</t>
  </si>
  <si>
    <t>усл.км</t>
  </si>
  <si>
    <t>Итог</t>
  </si>
  <si>
    <t>P_UM</t>
  </si>
  <si>
    <t>DYN_UM</t>
  </si>
  <si>
    <t>{                  _x000D_
         funcDyn: 'diam',_x000D_
         blok: '',_x000D_
         wsCross: '',_x000D_
         linkFormula: '',_x000D_
         levelDyn: '1'_x000D_
}</t>
  </si>
  <si>
    <t>{                  _x000D_
         funcDyn: 'msg1',_x000D_
         blok: 'blok_1',_x000D_
         wsCross: 'Сырье и материалы',_x000D_
         linkFormula: 'AB-AB',_x000D_
         levelDyn: ''_x000D_
}</t>
  </si>
  <si>
    <t xml:space="preserve"> Расходы на сырье и материалы</t>
  </si>
  <si>
    <t>Всего по тарифу</t>
  </si>
  <si>
    <t>тыс.руб.</t>
  </si>
  <si>
    <t>PJ_REAG_TOTAL</t>
  </si>
  <si>
    <t>Реагенты</t>
  </si>
  <si>
    <t>PJ_REAG_SUM</t>
  </si>
  <si>
    <t>PJ_REAG</t>
  </si>
  <si>
    <t>DYN_REAG</t>
  </si>
  <si>
    <t>Расход (ед. изм.)</t>
  </si>
  <si>
    <t>т</t>
  </si>
  <si>
    <t>PJ_CONS</t>
  </si>
  <si>
    <t>Цена за тонну</t>
  </si>
  <si>
    <t>руб.</t>
  </si>
  <si>
    <t>PJ_PRICE</t>
  </si>
  <si>
    <t>Горюче-смазочные материалы</t>
  </si>
  <si>
    <t>PJ_GSM_TOTAL</t>
  </si>
  <si>
    <t>Расходы на горюче-смазочные материалы, не превышающие 5 процентов_x000D_
общей величины расходов на сырье и материалы</t>
  </si>
  <si>
    <t>PJ_GSM_UNDER_5</t>
  </si>
  <si>
    <t>Расходы на горюче-смазочные материалы, превышающие 5 процентов_x000D_
общей величины расходов на сырье и материалы, в том числе:</t>
  </si>
  <si>
    <t>PJ_GSM_OVER_5</t>
  </si>
  <si>
    <t>PJ_GSM</t>
  </si>
  <si>
    <t>DYN_GSM</t>
  </si>
  <si>
    <t>Цена за единицу</t>
  </si>
  <si>
    <t>{                  _x000D_
         funcDyn: 'msg',_x000D_
         blok: '',_x000D_
         wsCross: '',_x000D_
         linkFormula: '',_x000D_
         levelDyn: '2'_x000D_
}</t>
  </si>
  <si>
    <t>Материалы</t>
  </si>
  <si>
    <t>Материалы и малоценные основные средства</t>
  </si>
  <si>
    <t>PJ_MAT_TOTAL</t>
  </si>
  <si>
    <t>Расходы на материалы и малоценные основные средства, не превышающие 5 процентов общей величины расходов на сырье и материалы</t>
  </si>
  <si>
    <t>PJ_MAT_UNDER_5</t>
  </si>
  <si>
    <t>Расходы на материалы и малоценные основные средства, превышающие 5 процентов общей величины расходов на сырье и материалы, в том числе:</t>
  </si>
  <si>
    <t>PJ_MAT_OVER_5</t>
  </si>
  <si>
    <t>PJ_MAT</t>
  </si>
  <si>
    <t>DYN_MAT</t>
  </si>
  <si>
    <t>{                  _x000D_
         funcDyn: 'msg',_x000D_
         blok: '',_x000D_
         wsCross: '',_x000D_
         linkFormula: '',_x000D_
         levelDyn: '3'_x000D_
}</t>
  </si>
  <si>
    <t>{                  _x000D_
         funcDyn: 'msg1',_x000D_
         blok: 'blok_1',_x000D_
         wsCross: 'ЭЭ',_x000D_
         linkFormula: 'AB-AB',_x000D_
         levelDyn: ''_x000D_
}</t>
  </si>
  <si>
    <t>PJ_NAME_ORG</t>
  </si>
  <si>
    <t>P_TOTAL_MONEY</t>
  </si>
  <si>
    <t>Объём покупаемой электроэнергии всего</t>
  </si>
  <si>
    <t>тыс.кВтч</t>
  </si>
  <si>
    <t>P_VOL_EE</t>
  </si>
  <si>
    <t>Объём воды/сточных вод</t>
  </si>
  <si>
    <t>тыс.куб.м.</t>
  </si>
  <si>
    <t>P_VOL_WATER</t>
  </si>
  <si>
    <t>Средний (расчетный) тариф</t>
  </si>
  <si>
    <t>руб./кВтч</t>
  </si>
  <si>
    <t>P_AVG_TAR</t>
  </si>
  <si>
    <t>Удельный расход электроэнергии</t>
  </si>
  <si>
    <t>кВтч/куб.м.</t>
  </si>
  <si>
    <t>P_EE_CONS</t>
  </si>
  <si>
    <t>Одноставочный тариф</t>
  </si>
  <si>
    <t>P_ONE_MONEY</t>
  </si>
  <si>
    <t>DYN_ONE</t>
  </si>
  <si>
    <t>Тариф на электроэнергию</t>
  </si>
  <si>
    <t>P_ONE_TAR</t>
  </si>
  <si>
    <t>Объём покупной электроэнергии</t>
  </si>
  <si>
    <t>P_ONE_VOL</t>
  </si>
  <si>
    <t>!== 'не определено' &amp;&amp; row.l6 !== null</t>
  </si>
  <si>
    <t>Двухставочный тариф</t>
  </si>
  <si>
    <t>P_DBL_MONEY</t>
  </si>
  <si>
    <t>DYN_DBL</t>
  </si>
  <si>
    <t>Затраты на электроэнергию</t>
  </si>
  <si>
    <t xml:space="preserve">тыс.руб. </t>
  </si>
  <si>
    <t>P_DBL_EE</t>
  </si>
  <si>
    <t>l7_1_1</t>
  </si>
  <si>
    <t>P_DBL_EE_TAR</t>
  </si>
  <si>
    <t>l7_1_2</t>
  </si>
  <si>
    <t>P_DBL_EE_VOL</t>
  </si>
  <si>
    <t>Затраты на электрическую мощность</t>
  </si>
  <si>
    <t>P_DBL_POWER_MONEY</t>
  </si>
  <si>
    <t>l7_2_1</t>
  </si>
  <si>
    <t>Тариф на электрическую мощность</t>
  </si>
  <si>
    <t>руб./МВт в мес</t>
  </si>
  <si>
    <t>P_DBL_POWER_TAR</t>
  </si>
  <si>
    <t>l7_2_2</t>
  </si>
  <si>
    <t>Объём покупной мощности</t>
  </si>
  <si>
    <t>МВт в мес.</t>
  </si>
  <si>
    <t>P_DBL_POWER_VOL</t>
  </si>
  <si>
    <t>!== 'не определено' &amp;&amp; row.l7 !== null</t>
  </si>
  <si>
    <t>{                  _x000D_
         funcDyn: 'msg',_x000D_
         blok: '',_x000D_
         wsCross: '',_x000D_
         linkFormula: '',_x000D_
         levelDyn: '2',_x000D_
         addDynValue: 'det_name|AC|0'_x000D_
}</t>
  </si>
  <si>
    <t xml:space="preserve">Добавить </t>
  </si>
  <si>
    <t>Пункты 90 и 95 "Методических указаний" (приказ ФСТ № 1746-э от 27.12.2013). Формулы (39.1), (39.2), (39.3).</t>
  </si>
  <si>
    <t>В ПЛАНЕ на 2026 год отражены суммарные объемы электроэнергии по г. Ленинск-Кузнецкий  (26982,09 тыс. кВт*ч),  ПНС пер. Совнархозный, 34 (436,32 тыс.кВт*ч) и по г. Полысаево (1967,88 тыс. кВт*ч), рассчитанные как произведения утвержденных показателей удельного расхода энергии на соответствующие плановые объемы подачи воды в распределительную сеть.</t>
  </si>
  <si>
    <t>Отражены объемы подачи воды в распределительную сеть (с учетом расходов воды при ее производстве и транспортировке), так как при заключении Концессионных соглашений удельный расход электроэнергии был рассчитан  по отношению к данному показателю. В том числе: г. Ленинск-Кузнецкий -  18737,561 тыс. м3 (включая ПНС пер. Совнархозный),  г. Полысаево -  3123,61 тыс. м3.</t>
  </si>
  <si>
    <t>Средневзвешенное значение ДПР, утвержденных для г. Ленинск-Кузнецкий (1,44 кВт*ч/м3) и г. Полысаево (0,63 кВт*ч/м3)  постановлением РЭК Кемеровской области от 17.12.2019 № 602 (в ред.  Постановления РЭК Кузбасса от 02.02.2021 № 42), а также ДПР по договору аренды ПНС (пер. Совнархозный) от 15.05.2025 № 1, выданных  письмом РЭК Кузбасса от 01.10.2024 № М-10-61/3430-01   (4,74 кВт*ч/м3).</t>
  </si>
  <si>
    <t>ПАО "Кузбассэнергосбыт" (ИНН: 4205109214, КПП: 420501001)</t>
  </si>
  <si>
    <t>НН</t>
  </si>
  <si>
    <t>Плановые затраты на 2026 год заявлены организацией с учетом ДОПОЛНИТЕЛЬНЫХ ЗАТРАТ по подкачивающей насосной станции (ПНС) пер. Совнархозный, 34  (по одноставочному тарифу).</t>
  </si>
  <si>
    <t>Специалистом РЭК Кузбасса фактические затраты на энергию НН  за 2024 год (по ДВУХСТАВОЧНОМУ тарифу, в соответствии с представленными документами), а также плановые затраты на 2026 год отражены в разделе "ДВУХСТАВОЧНЫЙ ТАРИФ".</t>
  </si>
  <si>
    <t>СН2</t>
  </si>
  <si>
    <t>План  на 2026 г.: в том числе г. Ленинск-Кузнецкий - 72455,09 тыс. руб., ПНС пер. Совнархозный -  3340,22 тыс. руб.,  г. Полысаево - 11414,90 тыс. руб.</t>
  </si>
  <si>
    <t>Фактические средневзвешенные цены отчетного периода (г. Ленинск-Кузнецкий - 2,07558 руб./кВт*ч, по ПНС пер. Совнархозный  -  5,9115 руб./кВт*ч,  по г. Полысаево  - 4,4794 руб./кВт*ч,   уточненные на основании представленных счетов-фактур и расшифровок к ним), с учетом ИЦП электроэнергии 114,4% на 2025 г. и 113,2% на 2026 г., согласно базовому варианту Прогноза Минэкономразвития России от 26.09.2025.</t>
  </si>
  <si>
    <t>Плановые объемы потребления энергии СН-2 на 2026 год определены в соответствии с фактическими долями потребления электроэнергии СН-2 в общем объеме энергии за 2024 г.  В том числе: г. Ленинск-Кузнецкий - 26956,09 тыс. кВт*ч., ПНС пер. Совнархозный -   436,32 тыс. кВт*ч.,  г. Полысаево -  1967,79 тыс. кВт*ч.</t>
  </si>
  <si>
    <t>План  на 2026 г.: в том числе г. Ленинск-Кузнецкий - 120677,77 тыс. руб., ,  г. Полысаево - 1271,32 тыс. руб. (ПНС пер. Совнархозный -  одноставочный тариф).</t>
  </si>
  <si>
    <t>Фактические средневзвешенные цены отчетного периода,  уточненные на основании представленных счетов-фактур и расшифровок к ним, с учетом ИЦП электроэнергии 1114,4% на 2025 г. и 113,2% на 2026 г., согласно базовому варианту Прогноза Минэкономразвития России от 26.09.2025.</t>
  </si>
  <si>
    <t>Плановый объем заявленной мощности на 2026 год определен на уровне факта отчетного 2024 г., уточненного на основании представленных счетов-фактур на поставку электроэнергии и расшифровок к ним,  в том числе г. Ленинск-Кузнецкий - 3,83 МВт/мес., ,  г. Полысаево - 0,10167 МВт/мес.</t>
  </si>
  <si>
    <t>План  на 2026 г.: в том числе г. Ленинск-Кузнецкий - 148,07 тыс. руб., ПНС пер. Совнархозный -  см. энергию СН-2  (согласно представленным документам).,  г. Полысаево - 0,83 тыс. руб.</t>
  </si>
  <si>
    <t>Фактические средневзвешенные цены отчетного 2024 г. (г. Ленинск-Кузнецкий - 4,39867 руб./кВт*ч, г. Полысаево - 7,9398 руб./кВт*ч), с учетом ИЦП электроэнергии 114,4% на 2025 г. и 113,2% на 2026 г., согласно базовому варианту Прогноза Минэкономразвития России от 26.09.2025.</t>
  </si>
  <si>
    <t>Плановые объемы потребления энергии НН на 2026 год определены в соответствии с фактическими долями потребления электроэнергии НН в общем объеме энергии за 2024 г. (в том числе г. Ленинск-Кузнецкий -  25,99 тыс. кВт*ч.,   г. Полысаево - 0,08 тыс. кВт*ч.).</t>
  </si>
  <si>
    <t>По факту 2024 г. и по плану 2026 г. отражены затраты по г. Ленинск-Кузнецкий (согласно представленным документам).  По г. Полысаево и ПНС пер. Совнархозный - одноставочный тариф.</t>
  </si>
  <si>
    <t>Принято, исходя из фактической средневзвешенной цены отчетного периода (2024 г.) с учетом ИЦП электроэнергии 114,4% на 2025 г. и 113,2% на 2026 г., согласно базовому варианту Прогноза Минэкономразвития России от 26.09.2025.</t>
  </si>
  <si>
    <t>Принято на уровне факта 2024 г.</t>
  </si>
  <si>
    <t>Пункты 90 и 95 "Методических указаний" (приказ ФСТ № 1746-э от 27.12.2013). Формулы (39.1), (39.2), (39.3). ОСНОВАНИЕ:  Пункт 8 Статьи 25  Федерального закона от 23.11.2009 N 261-ФЗ (ред. от 31.07.2025 N 353-ФЗ) "Об энергосбережении и о повышении энергетической эффективности и о внесении изменений в отдельные законодательные акты Российской Федерации".</t>
  </si>
  <si>
    <t>Годовой показатель потребления электроэнергии рассчитан, исходя из утвержденного показателя удельного расхода энергии и планового годового объема пропуска сточных вод через очистные сооружения.</t>
  </si>
  <si>
    <t>Общий объем пропуска сточных вод через очистные сооружения, включая  неучтенный (ливневый)  приток.</t>
  </si>
  <si>
    <t>В соответствии с утвержденными ДПР (Постановление РЭК Кемеровской области от 17.12.2019 № 602, в ред.  постановления РЭК Кузбасса от 02.02.2021 № 42).</t>
  </si>
  <si>
    <t>СН1</t>
  </si>
  <si>
    <t>План 2026 г. = Фактическая средневзвешенная цена отчетного периода (2024 г.) с учетом ИЦП электроэнергии 114,4% на 2025 г. и 113,2% на 2026 г., согласно базовому варианту Прогноза Минэкономразвития России от 26.09.2025.</t>
  </si>
  <si>
    <t>Плановая доля энергии СН-1  на 2026 г. определена на уровне фактической доли энергии  СН-1 в общем объеме потребления энергии в отчетном периоде (2024 г.).</t>
  </si>
  <si>
    <t>Плановая доля энергии НН  на 2026 г. определена на уровне фактической доли энергии  НН в общем объеме потребления энергии в отчетном периоде (2024 г.).</t>
  </si>
  <si>
    <t>Учтено в составе затрат на энергию, оплачиваемую по двух-ставочному тарифу.</t>
  </si>
  <si>
    <t>Плановая доля энергии СН-2  на 2026 г. определена на уровне фактической доли энергии  СН-2 в общем объеме потребления энергии в отчетном периоде (2024 г.).</t>
  </si>
  <si>
    <t>Фактическая средневзвешенная цена отчетного периода (2025,02 руб./кВтч*мес, согласно представленным документам) с учетом ИЦП электроэнергии 114,4% на 2025 г. и 113,2% на 2026 г., согласно базовому варианту Прогноза Минэкономразвития России от 26.09.2025.</t>
  </si>
  <si>
    <t>На уровне факта отчетного 2024 г.</t>
  </si>
  <si>
    <t>Годовой показатель потребления электроэнергии рассчитан, исходя из утвержденного показателя удельного расхода энергии и планового годового объема пропуска сточных вод.</t>
  </si>
  <si>
    <t>По плану 2026 года отражен общий объем пропуска сточных вод через очистные сооружения, включая  неучтенный (ливневый)  приток в размере 0,0 тыс. м3 (как это было предусмотрено при выдаче ДПР организатору конкурса на заключение концессионного соглашения в 2019 г.).</t>
  </si>
  <si>
    <t>Фактическая средневзвешенная цена отчетного периода (2024 г.) с учетом ИЦП электроэнергии 114,4% на 2025 г. и 113,2% на 2026 г., согласно базовому варианту Прогноза Минэкономразвития России от 26.09.2025.</t>
  </si>
  <si>
    <t>Плановая доля энергии СН-1 на 2026 г. определена на уровне фактической доли энергии  СН-1 в общем объеме потребления энергии в отчетном периоде (2024 г.).</t>
  </si>
  <si>
    <t>(На уровне факта отчетного 2024 г.).</t>
  </si>
  <si>
    <t>Плановая доля энергии СН-2 на 2026 г. определена на уровне фактической доли энергии  СН-2 в общем объеме потребления энергии в отчетном периоде (2024 г.).</t>
  </si>
  <si>
    <t>Фактическая средневзвешенная цена отчетного периода (808,17 руб./кВч*мес, согласно представленным документам) с учетом ИЦП электроэнергии 114,4% на 2025 г. и 113,2% на 2026 г., согласно базовому варианту Прогноза Минэкономразвития России от 26.09.2025.</t>
  </si>
  <si>
    <t>(На уровне уточненного факта отчетного 2024 г.).</t>
  </si>
  <si>
    <t>{                  _x000D_
         funcDyn: 'msg1',_x000D_
         blok: 'blok_1',_x000D_
         wsCross: 'Амортизация',_x000D_
         linkFormula: 'AB-AB',_x000D_
         levelDyn: ''_x000D_
}</t>
  </si>
  <si>
    <t>Поставка электроэнергии осуществляется на основании договоров энергоснабжения, заключенных с ПАО "Кузбассэнергосбыт":   по г. Ленинск-Кузнецкий -   договоры  от  01.05.2019 №  400791 ( энергия уровня  напряжения СН-2 по двухставочному тарифу)  и № 400793  (энергия уровня НН, СН-1 и СН-2 по одноставочному тарифу); по г. Полысаево -  договоры  от 01.05.2019 №  420440 (энергия СН-1 и СН-2 по двухставочному тарифу) и  № 420441  (энергия НН и СН-2 по одноставочному тарифу).</t>
  </si>
  <si>
    <t xml:space="preserve">ФАКТИЧЕСКИЕ ЗАТРАТЫ на покупную электроэнергии по ВОДОСНАБЖЕНИЮ ЗА 2024 ГОД.  При корректировке фактических затрат  показатели ФИЗИЧЕСКОГО ОБЪЕМА энергии  приняты: 1) по г. Ленинск-Кузнецкий - 24217,20 тыс. кВт*ч  на сумму 50318,93 тыс. руб.  (в т.ч. НН - 23,33 тыс. кВт*ч на сумму  102,62 тыс. руб.; СН-2 - 24193,87 тыс. кВт*ч на сумму 50216,31 тыс. руб.) - исходя из фактического показателя объема подачи воды в распределительную сеть  (16817,5 тыс. м3) и показателя удельного расхода энергии, утвержденного в качестве долгосрочного параметра регулирования тарифов (1,44 кВт*ч/м3), указанного в Приложении № 8.1 к Концессионному соглашению № 1/Л-К; при этом сохранено фактическое соотношение энергии НН и энергии СН-2 в общем объеме потребления энергии; 2) по г. Полысаево - на уровне факта 2024 г., уточненного на основании представленных документов: всего - 854,50 кВт*ч/м3 на сумму 3823,11 тыс. руб., в т.ч. НН - 0,04 тыс. кВт*ч на сумму 0,3 тыс. руб., СН-2 -  854,45 тыс. кВт*ч на сумму 3822,80 тыс. руб. ). </t>
  </si>
  <si>
    <t xml:space="preserve"> Экономия УДЕЛЬНОГО РАСХОДА электроэнергии  по г. Полысаево не сохранена, так как  не связана с выполнением мероприятий по энергосбережению (Инвестиционной программой не предусмотрены мероприятия по снижению удельного расхода энергии, в форме "1-водопровод" выполнение соответствующих мероприятий не отражено).  ОСНОВАНИЕ: Пункт 8 Статьи 25  Федерального закона от 23.11.2009 N 261-ФЗ (ред. от 13.06.2023 № 240-ФЗ) "Об энергосбережении и о повышении энергетической эффективности и о внесении изменений в отдельные законодательные акты Российской Федерации".</t>
  </si>
  <si>
    <t>Показатели МОЩНОСТИ приняты на уровне фактических, уточненных на основании представленных счетов-фактур и расшифровок к ним (уровень напряжения СН-2: г. Ленинск-Кузнецкий - 3,83 МВт/мес. на сумму 93187,13 тыс. руб., г. Полысаево - 0,10167 МВт/мес.   на сумму  981,70 тыс. руб..; уровень напряжения НН  по г. Ленинск-Кузнецкий - 0,01 МВт/мес. на сумму  258,75 тыс. руб.).</t>
  </si>
  <si>
    <t>ФАКТИЧЕСКИЕ ЗАТРАТЫ на покупную электроэнергию по ВОДООТВЕДЕНИЮ Г. ЛЕНИНСК-КУЗНЕЦКИЙ ЗА 2024 ГОД.  Затраты на покупку АКТИВНОЙ ЭНЕРГИИ  И МОЩНОСТИ  приняты на уровне фактических, уточненных на основании представленных счетов-фактур и расшифровок. Экономия электроэнергии  не сохранена, так как  не связана с выполнением мероприятий по энергосбережению (Инвестиционной программой не предусмотрены мероприятия по снижению удельного расхода энергии, в форме "1-канализация" выполнение соответствующих мероприятий не отражено). ОСНОВАНИЕ:  Пункт 8 Статьи 25  Федерального закона от 23.11.2009 N 261-ФЗ (ред. от 13.06.2023 № 240-ФЗ) "Об энергосбережении и о повышении энергетической эффективности и о внесении изменений в отдельные законодательные акты Российской Федерации".</t>
  </si>
  <si>
    <t>ФАКТИЧЕСКИЕ ЗАТРАТЫ на покупную электроэнергию по ВОДООТВЕДЕНИЮ Г.ПОЛЫСАЕВО ЗА 2024 ГОД.  Общий фактический объем потребления АКТИВНОЙ ЭНЕРГИИ рассчитан как произведение утвержденного удельного расхода (0,63 кВт*ч / м3) на фактический объем пропуска сточных вод  (1106,15105 тыс. м3 БЕЗ УЧЕТА ливневого притока, равных объемам реализации на потребительском рынке, как это было предусмотрено при выдаче ДПР организатору конкурса на заключение концессионного соглашения)), средневзвешенная цена уточнена на основании представленных счетов-фактур и расшифровок.  Объемы и цены заявленной мощности уточнены на основании представленных документов.</t>
  </si>
  <si>
    <t>ПЛАНОВЫЕ ЗАТРАТЫ затраты на покупную электроэнергию на 2026 год ПО ПИТЬЕВОЙ ВОДЕ.  ОРГАНИЗАЦИЕЙ заявлены затраты на 2026 год С УЧЕТОМ ДОПОЛНИТЕЛЬНЫХ ЗАТРАТ  в размере 3930,30 тыс. руб. (энергия уровня напряжения НН  в объеме 436,32 тыс. кВт*ч по средней цене 9,01 руб./кВт*ч, ) ПО НОВОМУ ОБЪЕКТУ КАПИТАЛЬНОГО СТРОИТЕЛЬСТВА - подкачивающей насосной станции, расположенной по адресу: г. Ленинск-Кузнецкий, пер. Совнархозный, 34.   Специалистом РЭК Кузбасса данные расходы учтены  в составе затрат на покупную электроэнергию уровня напряжения СН-2 (на основании представленных документов), в объеме  436,32 тыс. кВт*ч, на сумму  3340,22 тыс. руб.</t>
  </si>
  <si>
    <t xml:space="preserve"> Амортизация основных средств и нематериальных активов, относимых к объектам централизованной системы водоснабжения/водоотведения</t>
  </si>
  <si>
    <t>et_Amortization_tariff</t>
  </si>
  <si>
    <t>Первоначальная (восстановительная) стоимость на начало периода</t>
  </si>
  <si>
    <t>P_FUNDS_INIT_TOTAL</t>
  </si>
  <si>
    <t>1.1</t>
  </si>
  <si>
    <t>Здания</t>
  </si>
  <si>
    <t>P_FUNDS_INIT_BUILD</t>
  </si>
  <si>
    <t>1.2</t>
  </si>
  <si>
    <t>Сооружения и передаточные устройства</t>
  </si>
  <si>
    <t>P_FUNDS_INIT_STRUCT</t>
  </si>
  <si>
    <t>1.3</t>
  </si>
  <si>
    <t>Машины и оборудование</t>
  </si>
  <si>
    <t>P_FUNDS_INIT_MACHINES</t>
  </si>
  <si>
    <t>1.4</t>
  </si>
  <si>
    <t>Транспорт</t>
  </si>
  <si>
    <t>P_FUNDS_INIT_TRANSPORT</t>
  </si>
  <si>
    <t>l1_5</t>
  </si>
  <si>
    <t>1.5</t>
  </si>
  <si>
    <t>Прочее</t>
  </si>
  <si>
    <t>P_FUNDS_INIT_OTHER</t>
  </si>
  <si>
    <t>Ввод основных фондов</t>
  </si>
  <si>
    <t>P_FUNDS_ENTRY_TOTAL</t>
  </si>
  <si>
    <t>P_FUNDS_ENTRY_BUILD</t>
  </si>
  <si>
    <t>P_FUNDS_ENTRY_STRUCT</t>
  </si>
  <si>
    <t>l2_3</t>
  </si>
  <si>
    <t>P_FUNDS_ENTRY_MACHINES</t>
  </si>
  <si>
    <t>l2_4</t>
  </si>
  <si>
    <t>2.4</t>
  </si>
  <si>
    <t>P_FUNDS_ENTRY_TRANSPORT</t>
  </si>
  <si>
    <t>l2_5</t>
  </si>
  <si>
    <t>2.5</t>
  </si>
  <si>
    <t>P_FUNDS_ENTRY_OTHER</t>
  </si>
  <si>
    <t>Выбытие основных фондов</t>
  </si>
  <si>
    <t>P_FUNDS_OUT_TOTAL</t>
  </si>
  <si>
    <t>l3_1</t>
  </si>
  <si>
    <t>P_FUNDS_OUT_BUILD</t>
  </si>
  <si>
    <t>l3_2</t>
  </si>
  <si>
    <t>P_FUNDS_OUT_STRUCT</t>
  </si>
  <si>
    <t>l3_3</t>
  </si>
  <si>
    <t>P_FUNDS_OUT_MACHINES</t>
  </si>
  <si>
    <t>l3_4</t>
  </si>
  <si>
    <t>3.4</t>
  </si>
  <si>
    <t>P_FUNDS_OUT_TRANSPORT</t>
  </si>
  <si>
    <t>l3_5</t>
  </si>
  <si>
    <t>3.5</t>
  </si>
  <si>
    <t>P_FUNDS_OUT_OTHER</t>
  </si>
  <si>
    <t>Первоначальная (восстановительная) стоимость на конец периода</t>
  </si>
  <si>
    <t>P_INIT_PRICE_TOTAL</t>
  </si>
  <si>
    <t>P_INIT_PRICE_BUILD</t>
  </si>
  <si>
    <t>P_INIT_PRICE_STRUCT</t>
  </si>
  <si>
    <t>P_INIT_PRICE_MACHINES</t>
  </si>
  <si>
    <t>l4_4</t>
  </si>
  <si>
    <t>P_INIT_PRICE_TRANSPORT</t>
  </si>
  <si>
    <t>l4_5</t>
  </si>
  <si>
    <t>P_INIT_PRICE_OTHER</t>
  </si>
  <si>
    <t>Среднегодовая стоимость</t>
  </si>
  <si>
    <t>P_AVG_YEAR_PRICE_TOTAL</t>
  </si>
  <si>
    <t>P_AVG_YEAR_PRICE_BUILD</t>
  </si>
  <si>
    <t>P_AVG_YEAR_PRICE_STRUCT</t>
  </si>
  <si>
    <t>5.3</t>
  </si>
  <si>
    <t>P_AVG_YEAR_PRICE_MACHINES</t>
  </si>
  <si>
    <t>l5_4</t>
  </si>
  <si>
    <t>5.4</t>
  </si>
  <si>
    <t>P_AVG_YEAR_PRICE_TRANSPORT</t>
  </si>
  <si>
    <t>l5_5</t>
  </si>
  <si>
    <t>5.5</t>
  </si>
  <si>
    <t>P_AVG_YEAR_PRICE_OTHER</t>
  </si>
  <si>
    <t>Средняя норма амортизационных отчислений</t>
  </si>
  <si>
    <t>P_AVG_AMOR_TOTAL</t>
  </si>
  <si>
    <t>P_AVG_AMOR_BUILD</t>
  </si>
  <si>
    <t>P_AVG_AMOR_STRUCT</t>
  </si>
  <si>
    <t>P_AVG_AMOR_MACHINES</t>
  </si>
  <si>
    <t>6.4</t>
  </si>
  <si>
    <t>P_AVG_AMOR_TRANSPORT</t>
  </si>
  <si>
    <t>6.5</t>
  </si>
  <si>
    <t>P_AVG_AMOR_OTHER</t>
  </si>
  <si>
    <t>Сумма амортизационных отчислений</t>
  </si>
  <si>
    <t>P_SUM_AMOR_TOTAL</t>
  </si>
  <si>
    <t>P_SUM_AMOR_BUILD</t>
  </si>
  <si>
    <t>7.2</t>
  </si>
  <si>
    <t>P_SUM_AMOR_STRUCT</t>
  </si>
  <si>
    <t>l7_3</t>
  </si>
  <si>
    <t>7.3</t>
  </si>
  <si>
    <t>P_SUM_AMOR_MACHINES</t>
  </si>
  <si>
    <t>l7_4</t>
  </si>
  <si>
    <t>7.4</t>
  </si>
  <si>
    <t>P_SUM_AMOR_TRANSPORT</t>
  </si>
  <si>
    <t>l7_5</t>
  </si>
  <si>
    <t>7.5</t>
  </si>
  <si>
    <t>P_SUM_AMOR_OTHER</t>
  </si>
  <si>
    <t>Переоценка на 31.12.XX</t>
  </si>
  <si>
    <t>P_REPRICE_TOTAL</t>
  </si>
  <si>
    <t>P_REPRICE_BUILD</t>
  </si>
  <si>
    <t>P_REPRICE_STRUCT</t>
  </si>
  <si>
    <t>P_REPRICE_MACHINES</t>
  </si>
  <si>
    <t>l8_4</t>
  </si>
  <si>
    <t>P_REPRICE_TRANSPORT</t>
  </si>
  <si>
    <t>l8_5</t>
  </si>
  <si>
    <t>P_REPRICE_OTHER</t>
  </si>
  <si>
    <t>1) П. 43 Основ ценообразования (Постановление Правительства РФ от 13.05.2013 № 406). 2)  П. 28 "Методических указаний по расчету регулируемых тарифов в сфере водоснабжения и водоотведения" (Приказ ФСТ России от 27.12.2013 № 1746-э (ред. от 27.05.2024)).</t>
  </si>
  <si>
    <t>3) Приказ Минфина России от 17.09.2020 N 204н "Об утверждении Федеральных стандартов бухгалтерского учета ФСБУ 6/2020 "Основные средства" и ФСБУ 26/2020 "Капитальные вложения" (Зарегистрировано в Минюсте России 15.10.2020 N 60399). 4) Постановление Правительства РФ от 01.01.2002 N 1 (ред. от 18.11.2022) "О Классификации основных средств, включаемых в амортизационные группы".</t>
  </si>
  <si>
    <t>По факту 2024 г. (ПРИНЯТО ОРГАНОМ РЕГУЛИРОВАНИЯ)  и в плане на 2026 г. отражена стоимость объектов СОБСТВЕННЫХ ОСНОВНЫХ СРЕДСТВ (Строительство сетей, не предусмотренных Инвестпрограммами), учитываемая на сч. 01, в том числе  г. Ленинск-Кузнецкий - 1539,37752  тыс. руб., г. Полысаево - 206,72298 тыс. руб.  ПЛАН на 2026 г.:  г. Ленинск-Кузнецкий - 2428,594 тыс. руб., г. Полысаево - 424,507 тыс. руб.</t>
  </si>
  <si>
    <t>Отражена стоимость мероприятий утвержденных Инвестиционных программ, учитываемая на сч. 04. ФАКТ 2024 г.:  г. Ленинск-Кузнецкий - 12205,66 тыс. руб., г. Полысаево -  6855,02883 тыс. руб.  ПЛАН НА 2026 г.:  г. Ленинск-Кузнецкий - 154638,2 тыс. руб., г. Полысаево  - 65277,60 тыс. руб.</t>
  </si>
  <si>
    <t>1) Постановление РЭК Кемеровской области от 17.12.2019 N 600 (ред. от 17.11.2022) "Об утверждении инвестиционной программы ОАО "Северо-Кузбасская энергетическая компания" в сфере холодного водоснабжения и водоотведения Ленинск-Кузнецкого городского округа на 2019 - 2028 годы" (в ред. постановления РЭК Кемеровской области от 26.12.2019 N 864, постановления РЭК Кузбасса от 17.11.2022 N 383). 2) Постановление РЭК Кемеровской области от 17.12.2019 N 601 (ред. от 26.12.2019) "Об утверждении инвестиционной программы ОАО "Северо-Кузбасская энергетическая компания" в сфере холодного водоснабжения и водоотведения Полысаевского городского округа на 2019 - 2028 годы" (в ред. постановления РЭК Кемеровской области от 26.12.2019 N 865).</t>
  </si>
  <si>
    <t>По факту 2024 г. (ПРИНЯТО ОРГАНОМ РЕГУЛИРОВАНИЯ)  отражена стоимость объектов СОБСТВЕННЫХ ОСНОВНЫХ СРЕДСТВ (Строительство сетей, не предусмотренных Инвестпрограммами), учитываемая на сч. 01, в том числе  г. Ленинск-Кузнецкий - 889,21682  тыс. руб., г. Полысаево -  217,78445 тыс. руб.</t>
  </si>
  <si>
    <t>Отражена стоимость мероприятий утвержденных Инвестиционных программ, учитываемая на сч. 04. ФАКТ 2024 г. (ПРИНЯТО ОРГАНОМ РЕГУЛИРОВАНИЯ):   г. Ленинск-Кузнецкий -  8280,37 тыс. руб.,  г. Полысаево -  4052,09 тыс. руб.   ПЛАН НА  2026 г. : г. Ленинск-Кузнецкий - 66403,40 тыс. руб.,  г. Полысаево - 26010,10 тыс. руб.</t>
  </si>
  <si>
    <t>СОБСТВЕННЫЕ ОСНОВНЫЕ СРЕДСТВА, учитываемые на сч. 01,</t>
  </si>
  <si>
    <t>Стоимость мероприятий утвержденных Инвестиционных программ , учитываемая на сч. 04.</t>
  </si>
  <si>
    <t>Отражено по факту 2024 г. (ПРИНЯТО ОРГАНОМ РЕГУЛИРОВАНИЯ): амортизация объектов СОБСТВЕННЫХ ОСНОВНЫХ СРЕДСТВ (водопроводные сети), учитываемая на сч. 02:  г. Ленинск-Кузнецкий  - 141,59302 тыс. руб.;  г. Полысаево - 25,134 тыс. руб.   ПЛАН на 2026 г.: г. Ленинск-Кузнецкий - 161,92 тыс. руб., г. Полысаево -  28,30 тыс. руб.</t>
  </si>
  <si>
    <t>Отражена амортизация объектов, создаваемых (реконструируемых) в соответствии с утвержденными Инвестиционными программами, учитываемая на сч. 05. (г. Ленинск-Кузнецкий -  2617,00  тыс. руб., г. Полысаево - 1163,74 тыс. руб.).  План на 2026 г.: г. Ленинск-Кузнецкий - 5090,40 тыс. руб., г. Полысаево - 4450,12 тыс. руб.</t>
  </si>
  <si>
    <t>Отражена стоимость объектов СОБСТВЕННЫХ ОСНОВНЫХ СРЕДСТВ (Строительство сетей, не предусмотренных Инвестпрограммами), учитываемая на сч. 01.</t>
  </si>
  <si>
    <t>Отражена совокупная стоимость мероприятий утвержденной на 2019-2025 гг. Инвестиционной программы в сфере водоотведения, учитываемая на сч. 04.</t>
  </si>
  <si>
    <t>Постановление РЭК Кемеровской области от 17.12.2019 N 600 (ред. от 17.11.2022) "Об утверждении инвестиционной программы ОАО "Северо-Кузбасская энергетическая компания" в сфере холодного водоснабжения и водоотведения Ленинск-Кузнецкого городского округа на 2019 - 2028 годы" (в ред. постановления РЭК Кемеровской области от 26.12.2019 N 864, постановления РЭК Кузбасса от 17.11.2022 N 383).</t>
  </si>
  <si>
    <t>Отражена совокупная стоимость мероприятий утвержденной на 2026 год Инвестиционной программы в сфере водоотведения, учитываемая на сч. 04.</t>
  </si>
  <si>
    <t>Отражена амортизация объектов СОБСТВЕННЫХ ОСНОВНЫХ СРЕДСТВ (Строительство сетей, не предусмотренных Инвестпрограммами), учитываемая на сч. 02.</t>
  </si>
  <si>
    <t>(Введение объектов в эксплуатацию запланировано на конец 2028 г.).</t>
  </si>
  <si>
    <t>По факту 2024 г. (ПРИНЯТО ОРГАНОМ РЕГУЛИРОВАНИЯ)  и в плане на 2026 г. (ПРИНЯТО ОРГАНОМ РЕГУЛИРОВАНИЯ)  отражена стоимость объектов СОБСТВЕННЫХ ОСНОВНЫХ СРЕДСТВ (Строительство сетей, не предусмотренных Инвестпрограммой в сфере водоотведения), учитываемая на сч. 01,.</t>
  </si>
  <si>
    <t>По факту 2024 г. (ПРИНЯТО ОРГАНОМ РЕГУЛИРОВАНИЯ)  и в плане на 2026 г. (ПРИНЯТО ОРГАНОМ РЕГУЛИРОВАНИЯ)  отражена стоимость  строительства и реконструкции объектов , предусмотренная Инвестпрограммой в сфере водоотведения), учитываемая на сч. 04.</t>
  </si>
  <si>
    <t>Постановление РЭК Кемеровской области от 17.12.2019 N 601 (ред. от 26.12.2019) "Об утверждении инвестиционной программы ОАО "Северо-Кузбасская энергетическая компания" в сфере холодного водоснабжения и водоотведения Полысаевского городского округа на 2019 - 2028 годы" (в ред. постановления РЭК Кемеровской области от 26.12.2019 N 865).</t>
  </si>
  <si>
    <t>Отражена стоимость  строительства и реконструкции объектов , предусмотренная Инвестпрограммой в сфере водоотведения), учитываемая на сч. 04.</t>
  </si>
  <si>
    <t>По факту 2024 г. (ПРИНЯТО ОРГАНОМ РЕГУЛИРОВАНИЯ)  и в плане на 2026 г. (ПРИНЯТО ОРГАНОМ РЕГУЛИРОВАНИЯ)  отражена амортизация  объектов СОБСТВЕННЫХ ОСНОВНЫХ СРЕДСТВ (Строительство сетей, не предусмотренных Инвестпрограммой в сфере водоотведения), учитываемая на сч. 02,.</t>
  </si>
  <si>
    <t>По факту 2024 г. (ПРИНЯТО ОРГАНОМ РЕГУЛИРОВАНИЯ)  и в плане на 2026 г. (ПРИНЯТО ОРГАНОМ РЕГУЛИРОВАНИЯ)  отражена амортизация объектов, построенных (реконструированных) в соответствии с утвержденной Инвестпрограммой в сфере водоотведения), учитываемая на сч. 05.</t>
  </si>
  <si>
    <t>{                  _x000D_
         funcDyn: 'msg1',_x000D_
         blok: 'blok_1',_x000D_
         wsCross: 'Амортизация (аналог)',_x000D_
         linkFormula: 'AB-AB',_x000D_
         levelDyn: ''_x000D_
}</t>
  </si>
  <si>
    <t xml:space="preserve">АМОРТИЗАЦИЯ 6 ЧАСТИ МЕРОПРИЯТИЙ ПО СТРОИТЕЛЬСТВУ И РЕКОНСТРУКЦИИ  ОБЪЕКТОВ КОНЦЕССИОННЫХ СОГЛАШЕНИЙ № 1/Л-К и № 3, отражаемая на сч. 05 (ВСЕ ВИДЫ ДЕЯТЕЛЬНОСТИ):   ФАКТИЧЕСКИЕ ЗАТРАТЫ 2024 г. и ПЛАНОВЫЕ ЗАТРАТЫ на 2025 год приняты на уровне величин, предусмотренных утвержденными Инвестиционными программами в сфере холодного водоснабжения и водоотведения по г. Ленинск-Кузнецкий и г. Полысаево (Постановление РЭК Кемеровской области от 17.12.2019 N 600 (ред. от 17.11.2022) </t>
  </si>
  <si>
    <t xml:space="preserve"> "Об утверждении инвестиционной программы ОАО "Северо-Кузбасская энергетическая компания" в сфере холодного водоснабжения и водоотведения Ленинск-Кузнецкого городского округа на 2019 - 2028 годы" (в ред. постановления РЭК Кемеровской области от 26.12.2019 N 864, постановления РЭК Кузбасса от 17.11.2022 N 383); Постановление РЭК Кемеровской области от 17.12.2019 N 601 (ред. от 26.12.2019) "Об утверждении инвестиционной программы ОАО "Северо-Кузбасская энергетическая компания" в сфере холодного водоснабжения и водоотведения Полысаевского городского округа на 2019 - 2028 годы" (в ред. постановления РЭК Кемеровской области от 26.12.2019 N 865).</t>
  </si>
  <si>
    <t>АМОРТИЗАЦИЯ СОБСТВЕННЫХ ОСНОВНЫХ СРЕДСТВ, отражаемая на сч. 05 (ВСЕ ВИДЫ ДЕЯТЕЛЬНОСТИ):  ФАКТ 2024 г.  - затраты приняты на уровне величин, отраженных в  представленных регистрах бухгалтерского учета (Ведомости износа основных средств; аналитические отчеты). ПЛАНОВЫЕ ЗАТРАТЫ на  2026 год рассчитаны на основнаии данных представленных Ведомостей износа и инвентарных карточек учета объектов основных средств.</t>
  </si>
  <si>
    <t xml:space="preserve">СУЩЕСТВЕННАЯ  РАЗНИЦА  фактических показателей  балансовой стоимости и амортизационных отчислений  в части  основных средств, создаваемых (реконструируемых) в соответствии с Инвестиционными программами, возникла преимущественно в связи с тем, что  значительная часть объектов находится на текущий момент на стадии НЕЗАВЕРШЕННОГО ПРОИЗВОДСТВА, в связи с чем  стоимость таких мероприятий (объектов) отражается на сч. 08 и, следовательно,  амортизация в этой части пока не начисляется. </t>
  </si>
  <si>
    <t>Единица измерений</t>
  </si>
  <si>
    <t>et_Rent_tariff</t>
  </si>
  <si>
    <t>Арендная и концессионная плата, лизинговые платежи</t>
  </si>
  <si>
    <t>Арендная и концессионная плата. Лизинговые платежи в отношении централизованных систем водоснабжения и (или) водоотведения либо объектов, входящих в состав таких систем</t>
  </si>
  <si>
    <t>P_RENT_CONC</t>
  </si>
  <si>
    <t>Аренда имущества</t>
  </si>
  <si>
    <t>P_RENT_PROPERTY</t>
  </si>
  <si>
    <t>l1_1_1</t>
  </si>
  <si>
    <t>1.1.1</t>
  </si>
  <si>
    <t>Аренда муниципальной или государственной собственности</t>
  </si>
  <si>
    <t>P_RENT_GOS</t>
  </si>
  <si>
    <t>l1_1_2</t>
  </si>
  <si>
    <t>1.1.2</t>
  </si>
  <si>
    <t>Аренда частной собственности</t>
  </si>
  <si>
    <t>P_RENT_PRIV</t>
  </si>
  <si>
    <t>Концессия</t>
  </si>
  <si>
    <t>Концессионная плата</t>
  </si>
  <si>
    <t>P_CONC</t>
  </si>
  <si>
    <t>Лизинг</t>
  </si>
  <si>
    <t>Лизинговые платежи</t>
  </si>
  <si>
    <t>P_LEASE</t>
  </si>
  <si>
    <t>Аренда зем. Участков</t>
  </si>
  <si>
    <t>Аренда земельных участков</t>
  </si>
  <si>
    <t>P_RENT_LAND</t>
  </si>
  <si>
    <t>1.4.1</t>
  </si>
  <si>
    <t>Аренда земельных участков, находяцихся в государственной или муниципальной собственности</t>
  </si>
  <si>
    <t>P_RENT_LAND_GOS</t>
  </si>
  <si>
    <t>1.4.2</t>
  </si>
  <si>
    <t>Аренда земельных участков, находящихся в собственности граждан и юридических лиц</t>
  </si>
  <si>
    <t>P_RENT_LAND_PRIV</t>
  </si>
  <si>
    <t>П. 29 "Методических указаний…" ФСТ России (приказ от 27.12.2013 № 1746-э).</t>
  </si>
  <si>
    <t>Расходы на аренду ПНС ПЕР. СОВНАРХОЗНЫЙ, 34, приняты на основании условий Договора аренды  объектов водоснабжения, находящихся в муниципальной собственности,  от 15.05.2025 № 1 -  в размере 1392,16 тыс. руб.  (копия договора представлена письмом ОАО "СКЭК" от  09.07.2025 № 4273).</t>
  </si>
  <si>
    <t>Пункт 5 «Правил определения размера арендной платы...» (утверждены Постановлением Правительства РФ от 16.07.2009 N 582 (ред. от 10.02.2023) "Об основных принципах определения арендной платы при аренде земельных участков, находящихся в государственной или муниципальной собственности, и о Правилах определения размера арендной платы, а также порядка, условий и сроков внесения арендной платы за земли, находящиеся в собственности Российской Федерации").</t>
  </si>
  <si>
    <t>(Подтверждено уведомлениями арендодателя о величине арендной платы на 2024  и на 2025 годы, исчисленной в пределах 0,7% от измененной кадастровой стоимости земельных участков)</t>
  </si>
  <si>
    <t>Пункт 5 «Правил определения размера арендной платы, а также порядка, условий и сроков внесения арендной платы за земли, находящиеся в собственности Российской Федерации» (утверждены Постановлением Правительства РФ от 16.07.2009 N 582 (ред. от 10.02.2023).</t>
  </si>
  <si>
    <t>{                  _x000D_
         funcDyn: 'msg1',_x000D_
         blok: 'blok_1',_x000D_
         wsCross: 'Покупка',_x000D_
         linkFormula: 'AB-AB',_x000D_
         levelDyn: ''_x000D_
}</t>
  </si>
  <si>
    <t>1) АРЕНДА ЗЕМЕЛЬНЫХ УЧАСТКОВ (ВСЕ ВИДЫ ДЕЯТЕЛЬНОСТИ). Организацией представлена пояснительная записка следующего содержания: В бухгалтерском учете согласно ФСБУ обязательства по аренде на счете 76 отражаются по ПРИВЕДЕННОЙ СТОИМОСТИ арендных платежей. Такая стоимость равна номинальной сумме будущих платежей, дисконтированной по ставке, по которой может быть получен заем на сопоставимый срок.  По этой ставке ежемесячно начисляются проценты на остаток обязательств и уменьшается текущий платеж. Право пользования активом (ППА)  амортизируется на срок полезного использования, равный сроку аренды.</t>
  </si>
  <si>
    <t>Вместе с тем, согласно разъяснениям ФАС (от 05.08.2022 № МШ/74227/22), обязательность применения принципов ФСБУ начиная с 2022 года НЕ ВЛЕЧЕТ за собой изменения подходов к оценке экономической обоснованности расходов, учитываемых в необходимой валовой выручке регулируемых организаций, которые основываются на рпинципах регулирования тарифов, установленных в отраслевых федеральных законах и в утвержденных Правительством Российской Федерации основах ценообразования. Кроме того, не меняется терминология и сущность затрат, установленная в смежных отраслях права (регулирование инвестиционной деятельности, требования к проведению ремонтных работ и т.д.).</t>
  </si>
  <si>
    <t>На основании указанного, регулирующим органом приняты к учету в составе скорректированной НВВ отчетного 2024 года  расходы на аренду, указанные в договорах аренды земельных участков  и в уведомлениях о размере арендной платы на 2024 год (которые рассчитаны в размере 0,7% от ИЗМЕНЕННОЙ кадастровой стоимости), а не величины расходов, отраженные в составе себестоимости на счетах учета затрат 20-19 (Питьевая вода) и 20-21 (Водоотведение), где учитывается только ППА без процентов на остаток обязательств (которые, в свою очередь, отражаются  на сч. 91-02).</t>
  </si>
  <si>
    <t>ИНЫЕ НОРМАТИВНО-ПРАВОВЫЕ АКТЫ, принятые во внимание при рассмотрении затрат по данной статье:  1) Приказ Минфина России от 16.10.2018 N 208н (ред. от 29.06.2022) "Об утверждении Федерального стандарта бухгалтерского учета ФСБУ 25/2018 "Бухгалтерский учет аренды". 2) Приказ Минэкономразвития России от 23.04.2013 N 217 "Об утверждении ставки арендной платы в отношении земельных участков, находящихся в собственности Российской Федерации и предоставленных (занятых) для размещения трубопроводов и иных объектов, используемых в сфере тепло-, водоснабжения, водоотведения и очистки сточных вод".</t>
  </si>
  <si>
    <t>2) ПИТЬЕВАЯ ВОДА. Организацией заявлены ПЛАНОВЫЕ ЗАТРАТЫ на 2026 год  по АРЕНДЕ МУНИЦИПАЛЬНОГО ИМУЩЕСТВА  - согласно договора аренды  ПОДКАЧИВАЮЩЕЙ НАСОСНОЙ СТАНЦИИ (ПНС), расположенной по адресу: пер. Совнархозный, 34 (объект нового строительства), в размере ожидаемой величины 3676,00 тыс. руб.  Специалистом РЭК Кузбасса расходы  на аренду данного объекта приняты на основании условий Договора аренды от 15.05.2025 № 1 -  в размере 1392,16 тыс. руб.  (копия договора представлена письмом ОАО "СКЭК" от  09.07.2025 № 4273).</t>
  </si>
  <si>
    <t>Удельная величина амортизации</t>
  </si>
  <si>
    <t>тыс.руб./усл.км</t>
  </si>
  <si>
    <t>P_AMOR_UD</t>
  </si>
  <si>
    <t>Годовая сумма амортизации</t>
  </si>
  <si>
    <t>P_AMOR_YEAR</t>
  </si>
  <si>
    <t>Протяженность водопроводной / канализационной сети в сопоставимых величинах</t>
  </si>
  <si>
    <t>P_LENGTH</t>
  </si>
  <si>
    <t>Нормативный уровень расходов на амортизацию в расчете на протяженность сети</t>
  </si>
  <si>
    <t>P_AMOR_NORMS</t>
  </si>
  <si>
    <t>Удельные текущие расходы гарантирующей организации (ГО) (УТР)</t>
  </si>
  <si>
    <t>P_UD_EXP</t>
  </si>
  <si>
    <t>15% УТР</t>
  </si>
  <si>
    <t>P_UTR</t>
  </si>
  <si>
    <t>{                  _x000D_
         funcDyn: 'msg1',_x000D_
         blok: 'blok_1',_x000D_
         wsCross: 'Аренда',_x000D_
         linkFormula: 'AB-AB',_x000D_
         levelDyn: ''_x000D_
}</t>
  </si>
  <si>
    <t>Поставщик</t>
  </si>
  <si>
    <t>et_Purchase_tariff</t>
  </si>
  <si>
    <t>Итого_пок_усл</t>
  </si>
  <si>
    <t>Затраты на холодную воду</t>
  </si>
  <si>
    <t>P_VS_TOTAL</t>
  </si>
  <si>
    <t>Перечень организаций ВС</t>
  </si>
  <si>
    <t>Затраты</t>
  </si>
  <si>
    <t>P_MONEY</t>
  </si>
  <si>
    <t>DYN_ORG_VS</t>
  </si>
  <si>
    <t>Объём холодной воды (покупка)</t>
  </si>
  <si>
    <t>P_VOL</t>
  </si>
  <si>
    <t>Тариф на холодную воду</t>
  </si>
  <si>
    <t>руб./куб. м</t>
  </si>
  <si>
    <t>P_TARIFF</t>
  </si>
  <si>
    <t>{                  _x000D_
         funcDyn: 'org',_x000D_
         blok: '',_x000D_
         wsCross: '',_x000D_
         linkFormula: '',_x000D_
         levelDyn: 1,_x000D_
         sphere: 'VS',_x000D_
         addDynValue: 'det_name|AC|0'_x000D_
}</t>
  </si>
  <si>
    <t>Добавить поставщика</t>
  </si>
  <si>
    <t>Затраты на транспортировку холодной воды</t>
  </si>
  <si>
    <t>P_VS_TR_TOTAL</t>
  </si>
  <si>
    <t>Перечень организаций ВС трансп</t>
  </si>
  <si>
    <t>DYN_ORG_VS_TR</t>
  </si>
  <si>
    <t>Объём холодной воды (транспортировка)</t>
  </si>
  <si>
    <t>Тариф на транспортировку холодной воды</t>
  </si>
  <si>
    <t>Затраты на водоотведение</t>
  </si>
  <si>
    <t>P_VO_TOTAL</t>
  </si>
  <si>
    <t>Перечень организаций ВО</t>
  </si>
  <si>
    <t>DYN_ORG_VO</t>
  </si>
  <si>
    <t>Объём пропущенных стоков (водоотведение)</t>
  </si>
  <si>
    <t>{                  _x000D_
         funcDyn: 'org',_x000D_
         blok: '',_x000D_
         wsCross: '',_x000D_
         linkFormula: '',_x000D_
         levelDyn: 2,_x000D_
         sphere: 'VO',_x000D_
         addDynValue: 'det_name|AC|0'_x000D_
}</t>
  </si>
  <si>
    <t>Затраты на транспортировку сточных вод</t>
  </si>
  <si>
    <t>P_VO_TR_TOTAL</t>
  </si>
  <si>
    <t>Перечень организаций ВО трансп</t>
  </si>
  <si>
    <t>DYN_ORG_VO_TR</t>
  </si>
  <si>
    <t>Объём пропущенных стоков (транспортировка)</t>
  </si>
  <si>
    <t>Тариф на транспортировку сточных вод</t>
  </si>
  <si>
    <t>{                  _x000D_
         funcDyn: 'org',_x000D_
         blok: '',_x000D_
         wsCross: '',_x000D_
         linkFormula: '',_x000D_
         levelDyn: 3,_x000D_
         sphere: 'VO',_x000D_
         addDynValue: 'det_name|AC|0'_x000D_
}</t>
  </si>
  <si>
    <t>Затраты на очистку сточных вод</t>
  </si>
  <si>
    <t>P_VO_CLEAN_TOTAL</t>
  </si>
  <si>
    <t>Перечень организаций очистка стоков</t>
  </si>
  <si>
    <t>DYN_ORG_VO_CLEAN</t>
  </si>
  <si>
    <t>Объём пропущенных стоков (очистка)</t>
  </si>
  <si>
    <t>Тариф на очистку сточных вод</t>
  </si>
  <si>
    <t>{                  _x000D_
         funcDyn: 'org',_x000D_
         blok: '',_x000D_
         wsCross: '',_x000D_
         linkFormula: '',_x000D_
         levelDyn: 4,_x000D_
         sphere: 'VO',_x000D_
         addDynValue: 'det_name|AC|0'_x000D_
}</t>
  </si>
  <si>
    <t>Затраты на тепловую энергию</t>
  </si>
  <si>
    <t>P_TE</t>
  </si>
  <si>
    <t>Затраты на тепловую энергию, всего</t>
  </si>
  <si>
    <t>P_TE_TOTAL</t>
  </si>
  <si>
    <t>DYN_ORG_TE</t>
  </si>
  <si>
    <t>Затраты на покупку энергии</t>
  </si>
  <si>
    <t>P_ENERGY</t>
  </si>
  <si>
    <t>Объём покупной энергии</t>
  </si>
  <si>
    <t>тыс. Гкал</t>
  </si>
  <si>
    <t>P_ENERGY_VOL</t>
  </si>
  <si>
    <t>Ставка за энергию</t>
  </si>
  <si>
    <t>руб./Гкал</t>
  </si>
  <si>
    <t>P_ENERGY_RATE</t>
  </si>
  <si>
    <t>Затраты на покупку мощности</t>
  </si>
  <si>
    <t>P_POWER</t>
  </si>
  <si>
    <t>Мощность</t>
  </si>
  <si>
    <t>Гкал/ч</t>
  </si>
  <si>
    <t>P_POWER_VOL</t>
  </si>
  <si>
    <t>Ставка за мощность</t>
  </si>
  <si>
    <t>тыс. руб./Гкал/ч</t>
  </si>
  <si>
    <t>P_POWER_RATE</t>
  </si>
  <si>
    <t>{                  _x000D_
         funcDyn: 'org',_x000D_
         blok: '',_x000D_
         wsCross: '',_x000D_
         linkFormula: '',_x000D_
         levelDyn: 5,_x000D_
         sphere: 'TE'_x000D_
}</t>
  </si>
  <si>
    <t>Затраты на теплоноситель</t>
  </si>
  <si>
    <t>P_TN</t>
  </si>
  <si>
    <t>DYN_ORG_TN</t>
  </si>
  <si>
    <t>Объём теплоносителя</t>
  </si>
  <si>
    <t>Тариф на теплоноситель</t>
  </si>
  <si>
    <t>{                  _x000D_
         funcDyn: 'org',_x000D_
         blok: '',_x000D_
         wsCross: '',_x000D_
         linkFormula: '',_x000D_
         levelDyn: 6,_x000D_
         sphere: 'TN'_x000D_
}</t>
  </si>
  <si>
    <t>Затраты на горячую воду</t>
  </si>
  <si>
    <t>P_GVS</t>
  </si>
  <si>
    <t>DYN_ORG_HVS</t>
  </si>
  <si>
    <t>Объём горячей воды</t>
  </si>
  <si>
    <t>Тариф на горячую воду</t>
  </si>
  <si>
    <t>{                  _x000D_
         funcDyn: 'org',_x000D_
         blok: '',_x000D_
         wsCross: '',_x000D_
         linkFormula: '',_x000D_
         levelDyn: 7,_x000D_
         sphere: 'GVS'_x000D_
}</t>
  </si>
  <si>
    <t>Затраты на топливо</t>
  </si>
  <si>
    <t>P_FUEL</t>
  </si>
  <si>
    <t>DYN_OTHER</t>
  </si>
  <si>
    <t>Количество (объем) топлива</t>
  </si>
  <si>
    <t>Цена топлива</t>
  </si>
  <si>
    <t>{                  _x000D_
         funcDyn: 'msg',_x000D_
         blok: '',_x000D_
         wsCross: '',_x000D_
         linkFormula: '',_x000D_
         levelDyn: 8_x000D_
}</t>
  </si>
  <si>
    <t>П. 49 (1) Методических указаний ФСТ России от 27.12.2013 № 1746-э.</t>
  </si>
  <si>
    <t>ОАО «СКЭК» (ИНН: 4205153492, КПП: 420501001)</t>
  </si>
  <si>
    <t>Постановление РЭК Кемеровской области от 27.12.2019 N 877 (ред. от 25.11.2022) "Об установлении долгосрочных параметров регулирования и долгосрочных тарифов ОАО "Северо-Кузбасская энергетическая компания" на тепловую энергию, реализуемую на потребительском рынке Ленинск-Кузнецкого городского округа, на период 2019 - 2028 годы" (в ред. постановлений РЭК Кузбасса от 18.12.2020 N 744, от 14.12.2021 N 685, от 25.11.2022 N 682, от 05.12.2023 N 478, от 19.12.2024 N 670).</t>
  </si>
  <si>
    <t>Приказ Генерального директора ОАО "СКЭК" от 31.12.2019 № 344 "О внесении изменений в Учетную политику" (Пункт 1.11, об учете и распределении затрат по  тепловой энергии на производственные нужды котельных  НФС и ОСВ г. Ленинск-Кузнецкий).</t>
  </si>
  <si>
    <t>АО ХК "СДС-УГОЛЬ"</t>
  </si>
  <si>
    <t xml:space="preserve">На уровне среднегодового факта за 2022-2024 гг. </t>
  </si>
  <si>
    <t>От фактической средневзвешенной цены списания  2024 года  (2855,44 руб./т) с учетом ИЦП угля энергетического каменного 103,2% на 2025 г. и 101,5% на 2026г. (согласно базовому варианту Прогноза МЭР РФ от 26.09.2025).</t>
  </si>
  <si>
    <t>П. 49 Методических указаний ФСТ России от 27.12.2013 № 1746-э.</t>
  </si>
  <si>
    <t>Постановление РЭК Кемеровской области от 27.12.2019 N 877 (ред. от 25.11.2022) "Об установлении долгосрочных параметров регулирования и долгосрочных тарифов ОАО "Северо-Кузбасская энергетическая компания" на тепловую энергию, реализуемую на потребительском рынке Ленинск-Кузнецкого городского округа, на период 2019 - 2028 годы" (в ред. постановлений РЭК Кузбасса от 18.12.2020 N 744, от 14.12.2021 N 685, от 25.11.2022 N 682, от 05.12.2023 N 478).</t>
  </si>
  <si>
    <t>АО "СУЭК-КУЗБАСС"</t>
  </si>
  <si>
    <t xml:space="preserve">Количество - на уровне факта 2024 г. (по предложению орг-ции). </t>
  </si>
  <si>
    <t>Цена покупки (БЕЗ СТОИМОСТИ ДОСТАВКИ, так как не представлен договор) - от фактической цены 2024 года  с учетом ИЦП угля энергетического каменного 103,2% на 2025 г. и 101,5% на 2026г. (согласно базовому варианту Прогноза МЭР РФ от 26.09.2025).</t>
  </si>
  <si>
    <t>{                  _x000D_
         funcDyn: 'msg1',_x000D_
         blok: 'blok_1',_x000D_
         wsCross: 'ФОТ',_x000D_
         linkFormula: 'AB-AB',_x000D_
         levelDyn: ''_x000D_
}</t>
  </si>
  <si>
    <t xml:space="preserve">1) ПИТЬЕВАЯ ВОДА. ФАКТИЧЕСКИЕ ЗАТРАТЫ ОТЧЕТНОГО 2024 г. по данной статье полностью документально подтверждены и признаны регулирующим органом экономически обоснованными в полном объеме, в том числе:  Затраты на ТЕПЛОВУЮ ЭНЕРГИЮ, производимую СОБСТВЕННЫМИ КОТЕЛЬНЫМИ  ОАО "СКЭК", для отопления НФС (насосно-фильтровальной станции в пос. Демьяновка)  г. Ленинск-Кузнецкий - 5810,807 тыс. руб.  - в объеме 1845,92 Гкал по среднему тарифу 3147,92 руб./Гкал  (г. Полысаево - 0,0 тыс. руб.). </t>
  </si>
  <si>
    <t xml:space="preserve">Фактические затраты на УГОЛЬ: 1) г. Ленинск-Кузнецкий (уголь марок  ДР(0-300) (в объеме 1,78 т по средней цене списания в производство 1737,19 руб./т без НДС)  и ДОМ (13-30) (в объеме 3,5 т по 2855,44 руб./т без НДС) для отопления  НФС в пос. Никитинский, уголь ДР (0-300) для  дежурной аварийной машины на водопроводных сетях в объеме 4,47 т по средней цене 1745,06 руб./т без НДС) - всего 20,887 тыс. руб.;  2) г. Полысаево - уголь ДОМ (13-30) в объеме 10,47 т по средней цене списания в производство 2849,90 руб./т без НДС (для отопления насосной станции в пгт. Красногорский)  - 29,839 тыс. руб. </t>
  </si>
  <si>
    <t>Средние фактические цены поставки угля в 2024 г. : 1) УГОЛЬ ДОМ (13-30)  по  Договору поставки угольной продукции № 528-ТУ от 14.11.2022  с  АО "ХК "СДС-УГОЛЬ"  - 2375,10 руб./т (без учета НДС), ПЛЮС ДОСТАВКА до склада потребителя (Договор № 11152-С-МТС от 22.12.2023 на  оказание услуг по перевозке груза  (угля) автомобильным транспортом с ИП  Дедковский Е.А.)  -  521,67 руб./т (без НДС), итого -  2896,77 руб./т; 2) УГОЛЬ ДР (0-300) по  Договору поставки угольной продукции № СУЭК-КУЗ-23/5198С от 25.12.2023 (поставщик - АО "СУЭК-Кузбасс")  -  1526,81 руб./т (без НДС), ПЛЮС стоимость  доставки по Договору № 11223-С-МТС от 29.12.2023 (на  оказание услуг по перевозке груза  (угля) автомобильным транспортом с ИП Акулов Р.Д.) - 229,09 руб./т без учета НДС, итого - 1755,90 руб./т.</t>
  </si>
  <si>
    <t>УКАЗАННЫЕ ЦЕНЫ ПОСТАВКИ  (без учета стоимости транспортировки до склада потребителя) НАХОДЯТСЯ В ПРЕДЕЛАХ ЗНАЧЕНИЙ, установленных "Прогнозом  цен на уголь с 01.01.2026", размещенным на официальном сайте РЭК Кузбасса (Уголь ДО - 2892,90 руб./т , уголь ДР - 1860,50 руб./т без учета НДС).</t>
  </si>
  <si>
    <t xml:space="preserve">ПИТЬЕВАЯ ВОДА ПЛАН 2026 г.:  ТЕПЛОВАЯ ЭНЕРГИЯ: 6711,79  тыс. руб. Объемы по полугодиям (1-е - 1012,19 Гкал, 2-е - 734,03 Гкал) рассчитаны как среднее арифметическое от фактических показателей 2022-2024 годов. Тарифы 1-го п/годия 2026 - на уровне 2-го п/годия 2025 г. согласно Постановления РЭК Кузбасса от  27.12.2019 № 877 (ред. от 19.12.2024 № 670) - 3641,56 руб./Гкал; тарифы 2- го п/годия 2026г. -  с учетом ИЦП электроэнергии, газа и пара 113,2% на 2026 г. согласно Прогноза Минэкономразвития России от 26.09.2025.  </t>
  </si>
  <si>
    <t xml:space="preserve"> УГОЛЬ ДР, ДО, ДГ:  51,719 тыс. руб.  (г. Ленинск-Кузнецкий -  20,46413 тыс. руб., г. Полысаево - 31,25 тыс. руб.). Объемы  - на уровне факта 2024 г. (ДР г. Ленинск-Кузнецкий - 6,25 т, ДОМ - 3,5 т г. Ленинск-Кузнецкий + 10,47 т г. Полысаево). Плановые цены - (ДР  - 1599,29 руб./т, ДОМ - 2991,02 руб./т  по г. Ленинск-Кузнецкий и 2985,22 руб/т  по г. Полысаево без учета НДС ) - от соответствующих фактических средневзвешенных 2024 г. с учетом индекса цен производителей (ИЦП)  угля каменного энергетического 103,2% на 2025 г. и 101,5% на 2026 г. согласно Прогноза Минэкономразвития РФ от 26.09.2025.</t>
  </si>
  <si>
    <t xml:space="preserve">2) ВОДООТВЕДЕНИЕ г. ЛЕНИНСК-КУЗНЕЦКИЙ. ФАКТ 2024 г.:  Затраты на ТЕПЛОВУЮ ЭНЕРГИЮ, производимую СОБСТВЕННЫМИ КОТЕЛЬНЫМИ  ОАО "СКЭК", для отопления Очистных сооружений ("котельная ОСВ") -   949,517 тыс. руб. (в объеме 300,6 Гкал по средней цене  3158,74 руб./Гкал) +  затраты на УГОЛЬ ДР для отопления дежурной аварийной машины, работающей на канализационных сетях, -  11,663 тыс. руб. (6,69 т по средней цене списания 1743,39 руб./т), признаны обоснованными в размере фактических документально подтвержденных затрат. </t>
  </si>
  <si>
    <t xml:space="preserve">ПЛАН НА 2026 ГОД.  ТЕПЛОВАЯ ЭНЕРГИЯ -   1863,75 тыс. руб.  Объемы по полугодиям (1-е - 313,7 Гкал, 2-е - 175 Гкал) рассчитаны как среднее арифметическое от фактических показателей 2022-2024 годов. Тарифы 1-го п/годия 2026 - на уровне 2-го п/годия 2025 г. согласно Постановления РЭК Кузбасса от  27.12.2019 № 877 (ред. от 19.12.2024 № 670) - 3641,56 руб./Гкал; тарифы 2- го п/годия 2026г. -  с учетом ИЦП эл. энергии, газа и пара 113,2% на 2026 г. согласно Прогноза Минэкономразвития России от 26.09.2025.  </t>
  </si>
  <si>
    <t>УГОЛЬ ДР - 10,70 тыс. руб. Объем  принят на уровне  фактического расхода 2024 г.  - 6,69 т. Плановая цена - 1599,29 руб./т - от фактической средневзвешенной 2024 г., с учетом ИЦП  угля каменного энергетического 103,2% на 2025 г. и 101,5% на 2026 г. согласно Прогноза Минэкономразвития РФ от 26.09.2025.</t>
  </si>
  <si>
    <t>Расходы на оплату труда и страховые взносы на обязательное социальное страхование по видам персонала, в том числе налоги и сборы с фонда оплаты труда</t>
  </si>
  <si>
    <t>ПП</t>
  </si>
  <si>
    <t>Расходы на оплату труда производственного персонала</t>
  </si>
  <si>
    <t>P_PROD_TOTAL</t>
  </si>
  <si>
    <t>P_SUM</t>
  </si>
  <si>
    <t>DYN_PROD</t>
  </si>
  <si>
    <t>ЧИСЛ_ПП</t>
  </si>
  <si>
    <t>численность</t>
  </si>
  <si>
    <t>чел.</t>
  </si>
  <si>
    <t>P_COUNT</t>
  </si>
  <si>
    <t>среднемесячная заработная плата</t>
  </si>
  <si>
    <t>руб./чел.</t>
  </si>
  <si>
    <t>P_AVG</t>
  </si>
  <si>
    <t>СОЦ_ПП</t>
  </si>
  <si>
    <t>Страховые взносы на обязательное социальное страхование производственного персонала</t>
  </si>
  <si>
    <t>P_SOC_INS_PROD</t>
  </si>
  <si>
    <t>РП</t>
  </si>
  <si>
    <t>Расходы на оплату труда ремонтного персонала</t>
  </si>
  <si>
    <t>P_REPAIR_TOTAL</t>
  </si>
  <si>
    <t>DYN_REPAIR</t>
  </si>
  <si>
    <t>ЧИСЛ_РЕМ</t>
  </si>
  <si>
    <t>СОЦ_РП</t>
  </si>
  <si>
    <t>Страховые взносы на обязательное социальное страхование ремонтного персонала</t>
  </si>
  <si>
    <t>P_SOC_INS_REPAIR</t>
  </si>
  <si>
    <t>АУП</t>
  </si>
  <si>
    <t>Расходы на оплату труда административно-управленческого персонала</t>
  </si>
  <si>
    <t>P_ADM_TOTAL</t>
  </si>
  <si>
    <t>DYN_ADM</t>
  </si>
  <si>
    <t>{                  _x000D_
         funcDyn: 'msg',_x000D_
         blok: '',_x000D_
         wsCross: '',_x000D_
         linkFormula: '',_x000D_
         levelDyn: '3',_x000D_
         addDynValue: 'det_name|AC|0'_x000D_
}</t>
  </si>
  <si>
    <t>СОЦ_АУП</t>
  </si>
  <si>
    <t>Страховые взносы на обязательное социальное страхование административно-управленческого персонала</t>
  </si>
  <si>
    <t>P_SOC_INS_ADM</t>
  </si>
  <si>
    <t>СП</t>
  </si>
  <si>
    <t>Расходы на оплату труда сбытового персонала</t>
  </si>
  <si>
    <t>P_SBYT_TOTAL</t>
  </si>
  <si>
    <t>DYN_SBYT</t>
  </si>
  <si>
    <t>{                  _x000D_
         funcDyn: 'msg',_x000D_
         blok: '',_x000D_
         wsCross: '',_x000D_
         linkFormula: '',_x000D_
         levelDyn: '4',_x000D_
         addDynValue: 'det_name|AC|0'_x000D_
}</t>
  </si>
  <si>
    <t>СОЦ_СП</t>
  </si>
  <si>
    <t>Страховые взносы на обязательное социальное страхование сбытового персонала</t>
  </si>
  <si>
    <t>P_SOC_INS_SBYT</t>
  </si>
  <si>
    <t>{                  _x000D_
         funcDyn: 'msg1',_x000D_
         blok: 'blok_1',_x000D_
         wsCross: 'Административные',_x000D_
         linkFormula: 'AB-AB',_x000D_
         levelDyn: ''_x000D_
}</t>
  </si>
  <si>
    <t>P_FOT_ADM</t>
  </si>
  <si>
    <t>p3</t>
  </si>
  <si>
    <t>Оплата работ и (или) услуг, выполняемых по договорам сторонними организациями или индивидуальными предпринимателями:</t>
  </si>
  <si>
    <t>P_OTHER_ORG</t>
  </si>
  <si>
    <t>p3_1</t>
  </si>
  <si>
    <t>услуги связи и интернет</t>
  </si>
  <si>
    <t>P_COMMS</t>
  </si>
  <si>
    <t>p3_2</t>
  </si>
  <si>
    <t>юридические услуги</t>
  </si>
  <si>
    <t>P_LEGAL</t>
  </si>
  <si>
    <t>p3_3</t>
  </si>
  <si>
    <t>аудиторские услуги</t>
  </si>
  <si>
    <t>P_AUDIT</t>
  </si>
  <si>
    <t>p3_4</t>
  </si>
  <si>
    <t>консультационные услуги</t>
  </si>
  <si>
    <t>P_CONSULT</t>
  </si>
  <si>
    <t>p3_5</t>
  </si>
  <si>
    <t>услуги по вневедомственной охране объектов и территорий</t>
  </si>
  <si>
    <t>P_SEQ</t>
  </si>
  <si>
    <t>p3_6</t>
  </si>
  <si>
    <t>l3_6</t>
  </si>
  <si>
    <t>3.6</t>
  </si>
  <si>
    <t>информационные услуги</t>
  </si>
  <si>
    <t>P_INFO</t>
  </si>
  <si>
    <t>p3_7</t>
  </si>
  <si>
    <t>l3_7</t>
  </si>
  <si>
    <t>3.7</t>
  </si>
  <si>
    <t>иные работы и (или) услуги</t>
  </si>
  <si>
    <t>P_OTHER_SERV</t>
  </si>
  <si>
    <t>p4</t>
  </si>
  <si>
    <t>Арендная плата, лизинговые платежи, не связанные с арендой (лизингом) централизованных систем водоснабжения (водоотведения) либо объектов, входящих в состав таких систем</t>
  </si>
  <si>
    <t>P_RENT</t>
  </si>
  <si>
    <t>p5</t>
  </si>
  <si>
    <t>Служебные командировки</t>
  </si>
  <si>
    <t>P_TRIPS</t>
  </si>
  <si>
    <t>p6</t>
  </si>
  <si>
    <t>Обучение персонала</t>
  </si>
  <si>
    <t>P_EDU</t>
  </si>
  <si>
    <t>p7</t>
  </si>
  <si>
    <t>Страхование производственных объектов</t>
  </si>
  <si>
    <t>P_OBJ_INS</t>
  </si>
  <si>
    <t>p8</t>
  </si>
  <si>
    <t>Прочие расходы, всего:</t>
  </si>
  <si>
    <t>p8_1</t>
  </si>
  <si>
    <t>амортизация непроизводственных активов</t>
  </si>
  <si>
    <t>P_AMOR</t>
  </si>
  <si>
    <t>p8_2</t>
  </si>
  <si>
    <t>расходы по охране объектов и территорий</t>
  </si>
  <si>
    <t>P_OBJ_SEQ</t>
  </si>
  <si>
    <t>p8_3</t>
  </si>
  <si>
    <t>иные расходы</t>
  </si>
  <si>
    <t>P_OTHER_EXP</t>
  </si>
  <si>
    <t>{                  _x000D_
         funcDyn: 'msg1',_x000D_
         blok: 'blok_1',_x000D_
         wsCross: 'Сбытовые расходы ГО',_x000D_
         linkFormula: 'AB-AB',_x000D_
         levelDyn: ''_x000D_
}</t>
  </si>
  <si>
    <t>Добавить комментарии</t>
  </si>
  <si>
    <t>l0</t>
  </si>
  <si>
    <t>Расходы на формирование резервов по сомнительным долгам (дебиторской задолженности)</t>
  </si>
  <si>
    <t>P_DEBTS</t>
  </si>
  <si>
    <t>Расходы на приобретение материалов, связанные со сбытовой деятельностью</t>
  </si>
  <si>
    <t>P_MATERIALS</t>
  </si>
  <si>
    <t>Расходы на содержание помещений, используемых при осуществлении сбытовой деятельности</t>
  </si>
  <si>
    <t>P_ROOMS</t>
  </si>
  <si>
    <t>Расходы на оплату труда, страховые взносы на обязательное социальное страхование, выплачиваемые из фонда оплаты труда сбытового персонала</t>
  </si>
  <si>
    <t>P_FOT</t>
  </si>
  <si>
    <t>Расходы на амортизацию основных средств и нематериальных активов, используемых при осуществлении сбытовой деятельности</t>
  </si>
  <si>
    <t>Расходы на аренду, лизинг имущества, используемого при осуществлении сбытовой деятельности</t>
  </si>
  <si>
    <t>Расходы на уплату процентов по займам и кредитам, привлечение которых обосновано ростом дебиторской задолженности абонентов за регулируемые услуги водоснабжения (водоотведения)</t>
  </si>
  <si>
    <t>P_CREDIT</t>
  </si>
  <si>
    <t>Расходы на оплату работ и (или) услуг, выполняемых сторонними организациями или индивидуальными предпринимателями, связанных со сбытовой деятельностью</t>
  </si>
  <si>
    <t>P_ORGS</t>
  </si>
  <si>
    <t>Прочие расходы, связанные со сбытовой деятельностью</t>
  </si>
  <si>
    <t>DYN_GO</t>
  </si>
  <si>
    <t>{                  _x000D_
         funcDyn: 'msg',_x000D_
         blok: '',_x000D_
         wsCross: '',_x000D_
         linkFormula: '',_x000D_
         levelDyn: '1'_x000D_
}</t>
  </si>
  <si>
    <t>{                  _x000D_
         funcDyn: 'msg1',_x000D_
         blok: 'blok_1',_x000D_
         wsCross: 'Налоги',_x000D_
         linkFormula: 'AB-AB',_x000D_
         levelDyn: ''_x000D_
}</t>
  </si>
  <si>
    <t>Налоги и платежи, относимые на указанный вид деятельности</t>
  </si>
  <si>
    <t>P_TAXES</t>
  </si>
  <si>
    <t>Транспортный налог</t>
  </si>
  <si>
    <t>P_TR_TAX</t>
  </si>
  <si>
    <t>Земельный налог и арендная плата за землю</t>
  </si>
  <si>
    <t>P_LAND_TAX</t>
  </si>
  <si>
    <t>негативное воздействие</t>
  </si>
  <si>
    <t>Плата за негативное воздействие на окружающую среду</t>
  </si>
  <si>
    <t>P_NEG_TAX</t>
  </si>
  <si>
    <t>Водный налог</t>
  </si>
  <si>
    <t>P_WATER_TAX</t>
  </si>
  <si>
    <t>Плата за пользование водным объектом</t>
  </si>
  <si>
    <t>P_WATER_PAY</t>
  </si>
  <si>
    <t>Налог на имущество</t>
  </si>
  <si>
    <t>P_PROP_TAX</t>
  </si>
  <si>
    <t>налог на прибыль</t>
  </si>
  <si>
    <t>Налог на прибыль</t>
  </si>
  <si>
    <t>P_INCOME_TAX</t>
  </si>
  <si>
    <t>Единый налог при упрощенной системе налогообложения</t>
  </si>
  <si>
    <t>P_USN</t>
  </si>
  <si>
    <t>Обязательное страхование, предусмотренное Законодательством РФ</t>
  </si>
  <si>
    <t>P_INS</t>
  </si>
  <si>
    <t>Прочие налоги и сборы</t>
  </si>
  <si>
    <t>P_OTHER_TAX</t>
  </si>
  <si>
    <t>DYN_TAXES</t>
  </si>
  <si>
    <t>П. 49 (2) Методических указаний ФСТ России от 27.12.2013 № 1746-э.</t>
  </si>
  <si>
    <t>Глава 28 "ТРАНСПОРТНЫЙ НАЛОГ" "Налогового кодекса Российской Федерации (часть вторая)" от 05.08.2000 N 117-ФЗ. 2) Закон Кемеровской области от 28.11.2002 N 95-ОЗ (ред. от 27.11.2025) "О транспортном налоге". 3) Приказ ФНС России от 04.09.2019 N ММВ-7-21/440@.</t>
  </si>
  <si>
    <t>1) Глава 31 "ЗЕМЕЛЬНЫЙ НАЛОГ" "Налогового кодекса Российской Федерации (часть вторая)" от 05.08.2000 N 117-ФЗ. 2) Постановление Кемеровского городского Совета народных депутатов от 30.09.2005 N 263 (ред. от 27.06.2025) "Об установлении и введении в действие на территории города Кемерово земельного налога"  (для  затрат на сч. 26). 3)  Приказ ФНС России от 04.09.2019 N ММВ-7-21/440@.</t>
  </si>
  <si>
    <t>Приказ Первого заместителя Генерального директора ОАО "СКЭК" от 31.12.2023 № 375 "О внесении изменений в Учетную политику" (Пункт 1.1).</t>
  </si>
  <si>
    <t>Глава 25.2. "ВОДНЫЙ НАЛОГ" "Налогового кодекса Российской Федерации (часть вторая)" от 05.08.2000 N 117-ФЗ. (ред. от 28.11.2025 N 425-ФЗ)</t>
  </si>
  <si>
    <t>1) Постановление Правительства РФ от 30.12.2006 N 876 (ред. от 29.12.2017) "О ставках платы за пользование водными объектами, находящимися в федеральной собственности"; 2) Постановление Правительства РФ от 26.12.2014 N 1509 (ред. от 21.12.2024) "О ставках платы за пользование водными объектами, находящимися в федеральной собственности, и внесении изменений в раздел I ставок платы за пользование водными объектами, находящимися в федеральной собственности".</t>
  </si>
  <si>
    <t>Глава 30 "НАЛОГ НА ИМУЩЕСТВО ОРГАНИЗАЦИЙ" Налогового кодекса РФ (Часть вторая);  Закон Кемеровской области - Кузбасса от 26.11.2003 N 60-ОЗ (ред. от 05.05.2025 N 47-ОЗ, от 30.06.2025 N 79-ОЗ, от 27.11.2025 N 144-ОЗ) ) "О налоге на имущество организаций".</t>
  </si>
  <si>
    <t>Глава 25 "НАЛОГ НА ПРИБЫЛЬ ОРГАНИЗАЦИЙ" "Налогового кодекса Российской Федерации (часть вторая)" от 05.08.2000 N 117-ФЗ.</t>
  </si>
  <si>
    <t>Приказ Генерального директора ОАО "СКЭК" от 30.06.2023 № 166/1 "О внесении изменений в Учетную политику" (Пункт 1.1, внесение изменений в пункт 3.5.3 о распределении общехозяйственных расходов, учитываемых на сч. 26 ).</t>
  </si>
  <si>
    <t>1) Глава 28 "ТРАНСПОРТНЫЙ НАЛОГ" "Налогового кодекса Российской Федерации (часть вторая)" от 05.08.2000 N 117-ФЗ. 2) Закон Кемеровской области от 28.11.2002 N 95-ОЗ (ред. от 27.11.2025) "О транспортном налоге". 3) Приказ ФНС России от 04.09.2019 N ММВ-7-21/440@.</t>
  </si>
  <si>
    <t>1) П. 45, п. 65 (б) "Основ ценообразования " (Постановление Правительства РФ от 13.05.2013 № 406).  2) Постановление Правительства РФ от 13.09.2016 N 913 (ред. от 24.01.2020) "О ставках платы за негативное воздействие на окружающую среду и дополнительных коэффициентах" (в ред. от 24.01.2020 N 39). 3) Распоряжение Правительства РФ от 01.09.2025 N 2409-р  "О ставках платы за негативное воздействие на окружающую среду в 2026 - 2030 годах и внесении изменений в Распоряжение Правительства РФ от 10.07.2025 N 1852-р".</t>
  </si>
  <si>
    <t>) Глава 28 "ТРАНСПОРТНЫЙ НАЛОГ" "Налогового кодекса Российской Федерации (часть вторая)" от 05.08.2000 N 117-ФЗ. 2) Закон Кемеровской области от 28.11.2002 N 95-ОЗ (ред. от 27.11.2025) "О транспортном налоге". 3) Приказ ФНС России от 04.09.2019 N ММВ-7-21/440@.</t>
  </si>
  <si>
    <t>1) П. 45, п. 65 (б) "Основ ценообразования " (Постановление Правительства РФ от 13.05.2013 № 406).  2) Постановление Правительства РФ от 13.09.2016 N 913 (ред. от 24.01.2020) "О ставках платы за негативное воздействие на окружающую среду и дополнительных коэффициентах" (в ред. Постановлений Правительства РФ от 09.12.2017 N 1499, от 29.06.2018 N 758, от 24.01.2020 N 39). 3) Распоряжение Правительства РФ от 01.09.2025 N 2409-р (ред. от 26.12.2025) "О ставках платы за негативное воздействие на окружающую среду в 2026 - 2030 годах и внесении изменений в Распоряжение Правительства РФ от 10.07.2025 N 1852-р".</t>
  </si>
  <si>
    <t>Глава 30 "НАЛОГ НА ИМУЩЕСТВО ОРГАНИЗАЦИЙ" Налогового кодекса РФ (Часть вторая);  Закон Кемеровской области - Кузбасса от 26.11.2003 N 60-ОЗ (ред. от 04.09.2023) "О налоге на имущество организаций".</t>
  </si>
  <si>
    <t>{                  _x000D_
         funcDyn: 'msg1',_x000D_
         blok: 'blok_1',_x000D_
         wsCross: 'ИП + источники',_x000D_
         linkFormula: 'AB-AB',_x000D_
         levelDyn: ''_x000D_
}</t>
  </si>
  <si>
    <t xml:space="preserve">1) ПЛАТА ЗА ВОДОПОЛЬЗОВАНИЕ.  Забор воды из реки Томь осуществляется организацией на основании Договора водопользования от 09.12.2019  №  42-13.01.03.003-Р-ДХИО-С-2019-02664/00. Плановый годовой объем воды, потребляемый НАСЕЛЕНИЕМ, на 2026 г. принят  специалистом РЭК Кузбасса  в целях расчета платы за пользование водным объектом  на уровне ФАКТА 2024 г. согласно  представленного в соответствии с договором от 09.12.2019  Отчета о параметрах водопользования - 4883,16 тыс. м3.  Плановая  ставка платы  за водопользование в части потребления населением - 326 руб./тыс. м3 с учетом фактического индекса потребительских цен 2024 г. 108,5% согласно  базовому варианту Прогноза  Минэкономразвития РФ от 26.09.2025. </t>
  </si>
  <si>
    <t xml:space="preserve">Плановый годовой объем по ПРОЧИМ ПОТРЕБИТЕЛЯМ  на 2026 г. - от  общих плановых объемов забора воды из р. Томь (23404,57  тыс. м3  за вычетом объемов по населению 4883,16 тыс. м3 и объема добычи из скважин 17,625 тыс. м3); ставка платы - 270,00 руб./тыс. м3 с учетом коэффициента 4,84  с учетом фактического индекса потребительских цен  (ИПЦ) 2024 г. 108,5% согласно  базовому варианту Прогноза  Минэкономразвития РФ от 26.09.2025. (Постановление Правительства РФ  от 26 декабря 2014 г. № 1509, в ред. Постановления Правительства РФ от от 21.12.2024 N 1847).  </t>
  </si>
  <si>
    <t>2) ВОДНЫЙ НАЛОГ :  Плановый объем добычи воды из артезианских скважин Демьяновского водозабора принят на уровне фактического показателя за 2024 г. (согласно данным представленных деклараций по водному налогу) - 17,625  тыс. м3/год. Налоговая ставка - 326,00 руб./тыс. м3  с учетом ИПЦ  105,1% на 2026 год согласно базовому варианту Прогноза  Минэкономразвития России от 26.09.2025 (п. 3 Статьи 333.12  Налогового Кодекса РФ).</t>
  </si>
  <si>
    <t>3), 4). ТРАНСПОРТНЫЙ НАЛОГ, ЗЕМЕЛЬНЫЙ НАЛОГ:  Плановые суммы налоговых платежей  на 2026 г. приняты в соответствии с предложением организации на уровне документально подтвержденных фактических затрат за 2024 г., отражаемых на счете 26 (см. "Уведомление о результатах рассмотрения налоговым органом пояснений и (или) документов в связи с сообщением об исчисленных налоговым органом суммах транспортного налога, налога на имущество, земельного налога"  от  02.07.2025 № 266999845) и распределяемых в соответствии с действующей Учетной политикой (ВОДОСНАБЖЕНИЕ г. Ленинск-Кузнецкий - 9,202%,    ВОДОСНАБЖЕНИЕ г. Полысаево - 2,304%, ВОДООТВЕДЕНИЕ г. Ленинск-Кузнецкий - 3,023%,  на  ВОДООТВЕДЕНИЕ г. Полысаево - 4,441%) (см. Приказ Первого заместителя Генерального директора ОАО "СКЭК" от 31.12.2023 № 375 "О внесении изменений в Учетную политику" (Пункт 1.1).</t>
  </si>
  <si>
    <t>5) НАЛОГ НА ИМУЩЕСТВО:  суммы налоговых платежей по всем категориям имущества приняты на уровне величин, рассчитанных организацией на основании положений Главы 30 "НАЛОГ НА ИМУЩЕСТВО ОРГАНИЗАЦИЙ" Налогового кодекса  Российской Федерации (в том числе по имуществу, переданному в концессию - в размере величин, учтенных при расчете дисконтированной валовой выручки и выдаче цен, сведений, долгосрочных параметров организаторам конкурсов на заключение концессионных соглашений в отношении объектов систем водоснабжения и водоотведения г. Ленинск-Кузнецкий, г. Полысаево) (специалистом РЭК расчетные величины уточнены на основании представленных документов).</t>
  </si>
  <si>
    <t>6) ПЛАТА ЗА НЕГАТИВНОЕ ВОЗДЕЙСТВИЕ НА ОКРУЖАЮЩУЮ СРЕДУ:  ФАКТИЧЕСКИЙ ЗАТРАТЫ отчетного 2024 года по г. Ленинск-Кузнецкий  приняты с уточнением  (Плата за выбросы в атмосферный воздух в пределах нормативов допустимых выбросов - (0,07488 + 11,66035 + 0,20128) =11,937 тыс. руб.; плата за сброс загрязняющих веществ в водные объекты в пределах НДС - (31,37706+0,32728)= 31,70 тыс. руб. (согласно представленной декларации за 2024 год, в части объектов г. Ленинск-Кузнецкий, относимых к системе ВО);  по г. Полысаево - приняты на уровне отраженной организацией величины.</t>
  </si>
  <si>
    <t xml:space="preserve">ПЛАН НА 2026 ГОД.  В РЭК кузбасса поступили НОВЫЕ ЗАЯВЛЕНИЯ ОАО "СКЭК" о корректировке  долгосрочных тарифов на водоотведение (от 31.10.2025 вх. № 6997, от 06.11.2025 вх. № 7129), вместе со СКОРРЕКТИРОВАННЫми расчетами финансовых потребностей в сфере водоотведения,  в связи с введением в действие  НОВЫХ СТАВОК  ПЛАТЫ  за негативное воздействие на окружающую среду, установленных Распоряжением Правительства РФ от 01.09.2025 N 2409-р  "О ставках платы за негативное воздействие на окружающую среду в 2026 - 2030 годах и внесении изменений в Распоряжение Правительства РФ от 10.07.2025 N 1852-р", существенно влияющих на  общий размер необходимой валовой выручки.  </t>
  </si>
  <si>
    <t>Организацией были представлены расчеты  ожидаемых  сумм  платы за негативное воздействие  и анализ тарифных последствий повышения ставок платы  на 2026 год (сопроводительные письма к документам, загруженным  на  электронную платформу ЕИАС: от 05.11.2025 вх. № 7096, от 31.10.2025 № 6997, от 06.11.2025 № 7135).</t>
  </si>
  <si>
    <t xml:space="preserve">По итогам проведенной экспертизы  специалистом РЭК Кузбасса   предложенные плановые величины затрат по данной статье приняты в размерах, предложенных организацией. </t>
  </si>
  <si>
    <t>Данные  о фактических расходах за отчетный 2024 год по статье "НАЛОГИ И СБОРЫ" (по всем видам налоговых платежей)  сопровождены соответствующими налоговыми декларациями, сообщениями налоговой инспекции , выписками из ЕГРН, а также  прочими документами и признаны подтвержденными в полном объеме.</t>
  </si>
  <si>
    <t>Заполняется в целом по организации в случае утверждения для такой организации единой инвестиционной программы по всем видам тарифов</t>
  </si>
  <si>
    <t>Источник финансирования, без НДС</t>
  </si>
  <si>
    <t>Плановый размер финансирования утвержденной инвестиционной программы</t>
  </si>
  <si>
    <t>Объем фактического ввода объектов системы водоснабжения и водоотведения в эксплуатацию по данным организации</t>
  </si>
  <si>
    <t>Объем фактического ввода объектов системы водоснабжения и водоотведения в эксплуатацию, принятый органом регулирования</t>
  </si>
  <si>
    <t>Источники финансирования инвестиционной программы, всего</t>
  </si>
  <si>
    <t>P_INV_TOTAL</t>
  </si>
  <si>
    <t>Собственные средства</t>
  </si>
  <si>
    <t>P_SELF_FUNDS</t>
  </si>
  <si>
    <t>Амортизационные отчисления</t>
  </si>
  <si>
    <t>Прибыль на капвложения</t>
  </si>
  <si>
    <t>P_INCOME_KAP</t>
  </si>
  <si>
    <t>l1_1_3</t>
  </si>
  <si>
    <t>1.1.3</t>
  </si>
  <si>
    <t>Прочие собственные средства</t>
  </si>
  <si>
    <t>P_OTHER_SELF_FUNDS</t>
  </si>
  <si>
    <t>l1_1_4</t>
  </si>
  <si>
    <t>1.1.4</t>
  </si>
  <si>
    <t>За счет платы за технологическое присоединение</t>
  </si>
  <si>
    <t>P_TEH</t>
  </si>
  <si>
    <t>1.1.5</t>
  </si>
  <si>
    <t>Экономия расходов в результате реализации мероприятий инвестиционной программы</t>
  </si>
  <si>
    <t>P_ECO_TOTAL</t>
  </si>
  <si>
    <t>1.1.5.1</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</si>
  <si>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</si>
  <si>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P_ECO_AMOR</t>
  </si>
  <si>
    <t>1.1.5.2</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</si>
  <si>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</si>
  <si>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P_ECO_INCOME_KAP</t>
  </si>
  <si>
    <t>1.1.5.3</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</si>
  <si>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</si>
  <si>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P_ECO_OTHER_FUNDS</t>
  </si>
  <si>
    <t>1.1.5.4</t>
  </si>
  <si>
    <t>Экономия средств, достигнутая регулируемой организацией в результате снижения расходов</t>
  </si>
  <si>
    <t>P_ECO_EXP_REDUCT</t>
  </si>
  <si>
    <t>Привлеченные средства</t>
  </si>
  <si>
    <t>P_RAISED_FUNDS</t>
  </si>
  <si>
    <t>l1_2_1</t>
  </si>
  <si>
    <t>1.2.1</t>
  </si>
  <si>
    <t>Кредиты</t>
  </si>
  <si>
    <t>l1_2_2</t>
  </si>
  <si>
    <t>1.2.2</t>
  </si>
  <si>
    <t>Займы</t>
  </si>
  <si>
    <t>P_LOANS</t>
  </si>
  <si>
    <t>l1_2_3</t>
  </si>
  <si>
    <t>1.2.3</t>
  </si>
  <si>
    <t>Прочие привлеченные средства</t>
  </si>
  <si>
    <t>P_OTHER_RAISED_FUNDS</t>
  </si>
  <si>
    <t>Бюджетное финансирование</t>
  </si>
  <si>
    <t>P_BUDJ_TOTAL</t>
  </si>
  <si>
    <t>l1_3_1</t>
  </si>
  <si>
    <t>1.3.1</t>
  </si>
  <si>
    <t>Федеральный бюджет</t>
  </si>
  <si>
    <t>P_FED_BUDJ</t>
  </si>
  <si>
    <t>l1_3_2</t>
  </si>
  <si>
    <t>1.3.2</t>
  </si>
  <si>
    <t>Бюджет субъекта РФ</t>
  </si>
  <si>
    <t>P_SUBJ_BUDJ</t>
  </si>
  <si>
    <t>l1_3_3</t>
  </si>
  <si>
    <t>1.3.3</t>
  </si>
  <si>
    <t>Бюджет муниципального образования</t>
  </si>
  <si>
    <t>P_MYN_BUDJ</t>
  </si>
  <si>
    <t>Прочие источники финансирования</t>
  </si>
  <si>
    <t>P_OTHER_FUNDS</t>
  </si>
  <si>
    <t>l1_4_1</t>
  </si>
  <si>
    <t>l1_4_2</t>
  </si>
  <si>
    <t>Доход от взимания платы за нарушение нормативов по объёму и (или) составу сточных вод</t>
  </si>
  <si>
    <t>P_INCOME_BREAK_NORMS</t>
  </si>
  <si>
    <t>l1_4_3</t>
  </si>
  <si>
    <t>1.4.3</t>
  </si>
  <si>
    <t>Доход от взимания платы за негативное воздействие на работу централизованной системы водоотведения</t>
  </si>
  <si>
    <t>P_INCOME_NEG</t>
  </si>
  <si>
    <t>l1_4_4</t>
  </si>
  <si>
    <t>1.4.4</t>
  </si>
  <si>
    <t>Прочие</t>
  </si>
  <si>
    <t>P_OTHER_FUNDS_OTHER</t>
  </si>
  <si>
    <t>График возврата и обслуживания заемных средств из тарифной выручки</t>
  </si>
  <si>
    <t>P_TAR_GAIN</t>
  </si>
  <si>
    <t>погашение займов и кредитов из нормативной прибыли</t>
  </si>
  <si>
    <t>P_CREDIT_PAY</t>
  </si>
  <si>
    <t>уплата процентов по кредитам из нормативной прибыли</t>
  </si>
  <si>
    <t>P_CREDIT_PERC_PAY</t>
  </si>
  <si>
    <t>погашение займов и кредитов из амортизации</t>
  </si>
  <si>
    <t>P_CREDIT_PAY_AMOR</t>
  </si>
  <si>
    <t>1) Постановление региональной энергетической комиссии Кемеровской области от 17.12.2019 № 600 "Об утверждении инвестиционной программы ОАО «Северо-Кузбасская энергетическая компания» в сфере холодного водоснабжения и водоотведения Ленинск-Кузнецкого городского округа на 2019-2028 годы"; 2) Постановление региональной энергетической комиссии Кемеровской области от 17.12.2019 № 601 "Об утверждении инвестиционной программы ОАО «Северо-Кузбасская энергетическая компания» в сфере холодного водоснабжения и водоотведения Полысаевского городского округа на 2019-2028 годы"</t>
  </si>
  <si>
    <t>1) Постановление Региональной энергетической комиссии Кузбасса от 28.11.2023 № 409  «Об утверждении производственной программы в сфере холодного водоснабжения питьевой водой, водоотведения и об установлении тарифов на питьевую воду, водоотведение  ОАО «Северо-Кузбасская энергетическая компания»   (г. Ленинск-Кузнецкий, г. Полысаево, п. Никитинский, п. ст. Индустрия, п. Красногорский, п. Шахты N 5 Ленинск-Кузнецкого муниципального округа)» (в ред. постановлений РЭК Кузбасса от 26.11.2024 N 406, от 27.12.2024 N 816, от 18.04.2025 N 124, с изм., внесенными решением Кемеровского областного суда от 02.11.2024 N 3а-157/2024).            2)  ЭКСПЕРТНОЕ ЗАКЛЮЧЕНИЕ ОАО "Агентство энергетических экспертиз" по анализу материалов ОАО «Северо – Кузбасская энергетическая компания» (Ленинск-Кузнецкий городской округ, Полысаевский городской округ), ИНН 4205153492, представленных для подтверждения фактических расходов ремонтной программы в сферах водоснабжения и водоотведения за 2024 год .</t>
  </si>
  <si>
    <t>1) Фактическая суммарная экономия по инвестиционным мероприятиям г. Ленинск-Кузнецкий составила (-136,44 ) тыс. руб. 2)  Фактическая экономия по  ЗАВЕРШЕННЫМ мероприятиям в  г. Полысаево (п. 1.4.2.1.4.) составила  (-343,49) тыс. руб. , ; сумма перерасхода по прочим мероприятиям  - (+1294,82) тыс. руб. Итоговая величина перерасхода к учету не принята  в связи с тем, что данные мероприятия  по состоянию на конец отчетного периода НЕ ЗАВЕРШЕНЫ.</t>
  </si>
  <si>
    <t>ФАКТ 2024 г.: Перерасход в размере (+0,41) тыс. руб. к учету НЕ ПРИНЯТ, так как по состоянию на конец отчетного периода   данное мероприятие НЕ ЗАВЕРШЕНО.  ПЛАН НА 2026 ГОД принят в соответствии  с утвержденной  Инвестиционной программой в сфере водоотведения.</t>
  </si>
  <si>
    <t>Постановление региональной энергетической комиссии Кемеровской области от 17.12.2019 № 601 "Об утверждении инвестиционной программы ОАО «Северо-Кузбасская энергетическая компания» в сфере холодного водоснабжения и водоотведения Полысаевского городского округа на 2019-2028 годы"</t>
  </si>
  <si>
    <t xml:space="preserve">Фактическая экономия по ЗАВЕРШЕННЫМ инвестиционным мероприятиям (ПРОЕКТИРОВАНИЕ Очистных сооружений) составила  (-5480,61) тыс. руб.; перерасход по прочим мероприятиям (СТРОИТЕЛЬСТВО ОЧИСТНЫХ СООРУЖЕНИЙ) - (+5502,00) тыс. руб. (в том числе в счет плана будущих периодов - 5502,00 тыс. руб.). Так как оба мероприятия относятся к одному  и тому же объекту, сумма перерасхода принята в пределах плановой величины  стоимости инвестиционных мероприятий отчетного периода (экономия в части проектирования направлена на финансирование строительства объекта, итоговая фактическая стоимость будет определяться после полного завершения работ).  </t>
  </si>
  <si>
    <t>{                  _x000D_
         funcDyn: 'msg1',_x000D_
         blok: 'blok_1',_x000D_
         wsCross: 'Экономия_корр',_x000D_
         linkFormula: 'AB-AB',_x000D_
         levelDyn: ''_x000D_
}</t>
  </si>
  <si>
    <t>* данные без НДС</t>
  </si>
  <si>
    <t>Показатели</t>
  </si>
  <si>
    <t>Предложения организации</t>
  </si>
  <si>
    <t>Экономия расходов всего</t>
  </si>
  <si>
    <t>Экономия операционных расходов</t>
  </si>
  <si>
    <t>P_ECO_OPER</t>
  </si>
  <si>
    <t>Экономия от снижения потребления электрической энергии (мощности)</t>
  </si>
  <si>
    <t>P_ECO_POWER_RED</t>
  </si>
  <si>
    <t>Экономия от снижения потребления прочих энергетических ресурсов, холодной воды, теплоносителя</t>
  </si>
  <si>
    <t>P_ECO_OTHER_RED</t>
  </si>
  <si>
    <t>Значение индекса потребительских цен</t>
  </si>
  <si>
    <t>P_PRICE_IND</t>
  </si>
  <si>
    <t>Кумулятивное значение индекса потребительских цен</t>
  </si>
  <si>
    <t>P_IND_KUM</t>
  </si>
  <si>
    <t>Экономия</t>
  </si>
  <si>
    <t>Экономия расходов с учетом ИПЦ</t>
  </si>
  <si>
    <t>P_ECO_IPC</t>
  </si>
  <si>
    <t>{                  _x000D_
         funcDyn: 'msg1',_x000D_
         blok: 'blok_1',_x000D_
         wsCross: 'Плата за негативное возд',_x000D_
         linkFormula: 'AB-AB',_x000D_
         levelDyn: ''_x000D_
}</t>
  </si>
  <si>
    <t xml:space="preserve"> Плата за негативное воздействие на работу централизованных систем водоотведения (принято органом регулирования)</t>
  </si>
  <si>
    <t>№</t>
  </si>
  <si>
    <t>Начислено в соответствии с пунктом 26(1) Основ ценообразования в сфере водоснабжения и водоотведения</t>
  </si>
  <si>
    <t>Направлено на внесение платы за негативное воздействие на окружающую среду</t>
  </si>
  <si>
    <t>Направлено на компенсацию вреда, причиненного водному объекту</t>
  </si>
  <si>
    <t>Предусмотрено на финансирование мероприятий инвестиционной программы по строительству, реконструкции и модернизации объектов централизованной системы водоотведения</t>
  </si>
  <si>
    <t>Предусмотрено на финансирование мероприятий производственной программы регулируемой организации</t>
  </si>
  <si>
    <t>Направлено на возврат займов и кредитов, в том числе процентов по займам и кредитам, привлекаемым на реализацию производственной программы и (или) инвестиционной программы (не более 50% от начисленной платы за негативное воздействие на работу ЦСВ)</t>
  </si>
  <si>
    <t>Подлежит к исключению</t>
  </si>
  <si>
    <t>Доходы регулируемой организации от взимания платы за нарушение нормативов по объёму и (или) составу сточных вод</t>
  </si>
  <si>
    <t>Доходы от взимания платы за негативное воздействие на работу централизованной системы водоотведения</t>
  </si>
  <si>
    <t>{                  _x000D_
         funcDyn: 'msg1',_x000D_
         blok: 'blok_1',_x000D_
         wsCross: 'Корректировка НВВ',_x000D_
         linkFormula: 'AB-AB',_x000D_
         levelDyn: ''_x000D_
}</t>
  </si>
  <si>
    <t>В графе "Направлено на внесение платы за негативное воздействие на окружающую среду" отображены суммы платы, исчисленные СВЕРХ установленных нормативов допустимого сброса загрязняющих веществ в водные объекты (как это предложено в расчете организации), подтвержденные представленными декларациями и расчетами сумм такой платы за 2024 год.</t>
  </si>
  <si>
    <t>В графе "Направлено на компенсацию вреда, причиненного водному объекту"  отображены расходы  по договору № 70-2024 от  22.03.2024 на выполнение работ  по искусственному воспроизводству водных биоресурсов в водных объектах рыбохозяйственного значения, заключенному с ООО "Томский научно-производственный рыбоводный комплекс" (ООО "ТРК", г. Томск),  см. представленный в дополнительных материалах Акт оказания услуг от 25.07.2024.</t>
  </si>
  <si>
    <t>По графе "Направлено на возврат займов и кредитов, в том числе процентов по займам и кредитам, привлекаемым на реализацию производственной программы и (или) инвестиционной программы (не более 50% от начисленной платы за негативное воздействие на работу ЦСВ)" (в связи с отсутствием в шаблоне соответствующей графы)  отражены  убытки от списания задолженности  абонентов, признанной безнадежной,   по плате за нарушение нормативов по объёму и (или) составу сточных вод,  плате за негативное воздействие на работу централизованной системы водоотведения (см. представленную организацией  "Книгу проводок по счетам бухгалтерского учета"  Дт сч. 63 - Кт сч. 62).</t>
  </si>
  <si>
    <t xml:space="preserve">Суммы  фактически исчисленной за 2024 год платы  абонентов за нарушение нормативов по объёму и (или) составу сточных вод,  платы за негативное воздействие на работу централизованной системы водоотведения  подтверждены  оборотными ведомостями и аналитическими отчетами по сч. 62 и сч. 90. </t>
  </si>
  <si>
    <t>ИЗБЫТОК СРЕДСТВ (г. Ленинск-Кузнецкий - 33616,7 тыс. руб., г. Полысаево - 2043,64 тыс. руб., итого 35660,34 тыс. руб.), полученный  в виде платы за нарушение нормативов качества и состава сточных вод, за негативное воздействие на систему водоотведения, определенный  в соответствии с пунктом 26 (1)  Основ ценобразования, БУДЕТ ИСКЛЮЧЕН при корректировке тарифов на 2028 год (абзац пятый п. 26 (1)).</t>
  </si>
  <si>
    <t>Условное обозначение</t>
  </si>
  <si>
    <t>et_NVVCorrection_tariff</t>
  </si>
  <si>
    <t>isVO</t>
  </si>
  <si>
    <t>I</t>
  </si>
  <si>
    <t>Расчет размера корректировки необходимой валовой выручки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t>
  </si>
  <si>
    <r>
      <t>ΔHBB</t>
    </r>
    <r>
      <rPr>
        <b/>
        <charset val="204"/>
        <family val="2"/>
        <rFont val="Tahoma"/>
        <sz val="9"/>
        <vertAlign val="superscript"/>
      </rPr>
      <t>K</t>
    </r>
    <r>
      <rPr>
        <b/>
        <charset val="204"/>
        <family val="2"/>
        <rFont val="Tahoma"/>
        <sz val="9"/>
        <vertAlign val="subscript"/>
      </rPr>
      <t>i-2</t>
    </r>
  </si>
  <si>
    <t>P_NVV_CORR_AMOUNT</t>
  </si>
  <si>
    <t>Товарная выручка</t>
  </si>
  <si>
    <r>
      <t>ТВ</t>
    </r>
    <r>
      <rPr>
        <b/>
        <charset val="204"/>
        <family val="2"/>
        <rFont val="Tahoma"/>
        <sz val="9"/>
        <vertAlign val="superscript"/>
      </rPr>
      <t>Ф</t>
    </r>
    <r>
      <rPr>
        <b/>
        <charset val="204"/>
        <family val="2"/>
        <rFont val="Tahoma"/>
        <sz val="9"/>
        <vertAlign val="subscript"/>
      </rPr>
      <t>i-2</t>
    </r>
  </si>
  <si>
    <t>P_GOODS_INCOME</t>
  </si>
  <si>
    <t>Скорректированная фактическая величина необходимой валовой выручки</t>
  </si>
  <si>
    <r>
      <t>HBB</t>
    </r>
    <r>
      <rPr>
        <b/>
        <charset val="204"/>
        <family val="2"/>
        <rFont val="Tahoma"/>
        <sz val="9"/>
        <vertAlign val="superscript"/>
      </rPr>
      <t>Ф</t>
    </r>
    <r>
      <rPr>
        <b/>
        <charset val="204"/>
        <family val="2"/>
        <rFont val="Tahoma"/>
        <sz val="9"/>
        <vertAlign val="subscript"/>
      </rPr>
      <t>i-2</t>
    </r>
  </si>
  <si>
    <t>P_NVV_CORR_FACT</t>
  </si>
  <si>
    <t>Операц_расходы</t>
  </si>
  <si>
    <t>Операционные расходы, определенные на (i-2)-й год исходя из фактических значений параметров расчета тарифов</t>
  </si>
  <si>
    <r>
      <t>ОР</t>
    </r>
    <r>
      <rPr>
        <charset val="204"/>
        <family val="2"/>
        <rFont val="Tahoma"/>
        <sz val="9"/>
        <vertAlign val="superscript"/>
      </rPr>
      <t>Ф</t>
    </r>
    <r>
      <rPr>
        <charset val="204"/>
        <family val="2"/>
        <rFont val="Tahoma"/>
        <sz val="9"/>
        <vertAlign val="subscript"/>
      </rPr>
      <t>i-2</t>
    </r>
  </si>
  <si>
    <t>P_EXP_FROM_FACT</t>
  </si>
  <si>
    <t>фактические документально подтвержденные неподконтрольные расходы, в том числе:</t>
  </si>
  <si>
    <r>
      <t>Н Р</t>
    </r>
    <r>
      <rPr>
        <charset val="204"/>
        <family val="2"/>
        <rFont val="Tahoma"/>
        <sz val="9"/>
        <vertAlign val="superscript"/>
      </rPr>
      <t>Ф</t>
    </r>
    <r>
      <rPr>
        <charset val="204"/>
        <family val="2"/>
        <rFont val="Tahoma"/>
        <sz val="9"/>
        <vertAlign val="subscript"/>
      </rPr>
      <t>i-2</t>
    </r>
  </si>
  <si>
    <t>P_FACT_EXP</t>
  </si>
  <si>
    <t>l1_2_2_1</t>
  </si>
  <si>
    <t>расходы на оплату товаров (услуг, работ), приобретаемых у других организаций, осуществляющих регулируемые виды деятельности;</t>
  </si>
  <si>
    <t>P_FACT_EXP_FROM_ORG</t>
  </si>
  <si>
    <t>l1_2_2_2</t>
  </si>
  <si>
    <t>2.2.2</t>
  </si>
  <si>
    <t>расходы на реагенты</t>
  </si>
  <si>
    <t>P_FACT_EXP_REAG</t>
  </si>
  <si>
    <t>l1_2_2_3</t>
  </si>
  <si>
    <t>2.2.3</t>
  </si>
  <si>
    <t>расходы на уплату налогов, сборов и других обязательных платежей</t>
  </si>
  <si>
    <t>P_FACT_EXP_TAX</t>
  </si>
  <si>
    <t>Расходы на мероприятия по защите централизованных систем водоснабжения</t>
  </si>
  <si>
    <t>l1_2_2_4</t>
  </si>
  <si>
    <t>2.2.4</t>
  </si>
  <si>
    <t>Расходы на мероприятия по защите централизованных систем водоснабжения и (или) водоотведения и их отдельных объектов от угроз техногенного, природного характера и террористических актов, по предотвращению возникновения аварийных ситуаций, снижению риска и смягчению последствий чрезвычайных ситуаций (за исключением мероприятий, включенных в инвестиционную программу)</t>
  </si>
  <si>
    <t>P_FACT_EXP_SEQ</t>
  </si>
  <si>
    <t>l1_2_2_5</t>
  </si>
  <si>
    <t>2.2.5</t>
  </si>
  <si>
    <t>расходы на арендную и концессионную плату, лизинговые платежи</t>
  </si>
  <si>
    <t>P_FACT_EXP_RENT</t>
  </si>
  <si>
    <t>резерв по сомнительным долгам гарантирующей организации</t>
  </si>
  <si>
    <t>l1_2_2_6</t>
  </si>
  <si>
    <t>2.2.6</t>
  </si>
  <si>
    <t>расходы по сомнительным долгам для гарантирующей организации</t>
  </si>
  <si>
    <t>P_FACT_EXP_DEBTS</t>
  </si>
  <si>
    <t>Экономия расходов</t>
  </si>
  <si>
    <t>l1_2_2_7</t>
  </si>
  <si>
    <t>2.2.7</t>
  </si>
  <si>
    <t>экономия средств, достигнутая в результате снижения расходов предыдущего долгосрочного периода регулирования</t>
  </si>
  <si>
    <t>P_FACT_EXP_ECO</t>
  </si>
  <si>
    <t>Расходы на обслуживание бесхозяйных сетей</t>
  </si>
  <si>
    <t>l1_2_2_8</t>
  </si>
  <si>
    <t>2.2.8</t>
  </si>
  <si>
    <t>расходы на обслуживание бесхозяйных сетей, эксплуатируемых регулируемой организацией</t>
  </si>
  <si>
    <t>P_FACT_EXP_OWNERLESS</t>
  </si>
  <si>
    <t>Расходы на компенсацию экономически обоснованных расходов</t>
  </si>
  <si>
    <t>l1_2_2_9</t>
  </si>
  <si>
    <t>2.2.9</t>
  </si>
  <si>
    <t>расходы на компенсацию экономически обоснованных расходов (выпадающих доходов прошлых периодов)</t>
  </si>
  <si>
    <t>P_FACT_EXP_EOR</t>
  </si>
  <si>
    <t>Займы и кредиты (для метода индексации)</t>
  </si>
  <si>
    <t>l1_2_2_10</t>
  </si>
  <si>
    <t>2.2.10</t>
  </si>
  <si>
    <t>расходы на займы и кредиты (для метода индексации)</t>
  </si>
  <si>
    <t>P_FACT_EXP_CREDIT</t>
  </si>
  <si>
    <t>Расходы концессионера на осуществление государственного кадастрового учета</t>
  </si>
  <si>
    <t>l1_2_2_11</t>
  </si>
  <si>
    <t>2.2.11</t>
  </si>
  <si>
    <t>расходы концессионера на осуществление государственного кадастрового учета и (или) государственной регистрации права собственности концедента</t>
  </si>
  <si>
    <t>P_FACT_EXP_CONS</t>
  </si>
  <si>
    <t>расходы на электрическую энергию</t>
  </si>
  <si>
    <r>
      <t>РТ</t>
    </r>
    <r>
      <rPr>
        <charset val="204"/>
        <family val="2"/>
        <rFont val="Tahoma"/>
        <sz val="9"/>
        <vertAlign val="superscript"/>
      </rPr>
      <t>Ф</t>
    </r>
    <r>
      <rPr>
        <charset val="204"/>
        <family val="2"/>
        <rFont val="Tahoma"/>
        <sz val="9"/>
        <vertAlign val="subscript"/>
      </rPr>
      <t>i-2</t>
    </r>
  </si>
  <si>
    <t>P_EE_EXP</t>
  </si>
  <si>
    <t>l1_2_3_1</t>
  </si>
  <si>
    <t>удельное потребление электрической энергии, установленное на соответствующий год</t>
  </si>
  <si>
    <t>УПЭФi-2</t>
  </si>
  <si>
    <t>P_EE_YEAR</t>
  </si>
  <si>
    <t>l1_2_3_2</t>
  </si>
  <si>
    <t>2.3.2</t>
  </si>
  <si>
    <t>фактический объём поданной воды (принятых сточных вод)</t>
  </si>
  <si>
    <t>Q ф i-2</t>
  </si>
  <si>
    <t>P_WATER_VOL_FACT</t>
  </si>
  <si>
    <t>l1_2_3_3</t>
  </si>
  <si>
    <t>2.3.3</t>
  </si>
  <si>
    <t>фактическая (расчетная) цена на электрическую энергию, определяемая в i-2 году</t>
  </si>
  <si>
    <t>ЦТ ф i-2</t>
  </si>
  <si>
    <t>P_EE_PRICE</t>
  </si>
  <si>
    <t>амортизация</t>
  </si>
  <si>
    <t>l1_2_4</t>
  </si>
  <si>
    <t>расходы на амортизацию в (i-2)-м году, определенные исходя из фактического состава имущества в (i-2)-м году</t>
  </si>
  <si>
    <r>
      <t>А</t>
    </r>
    <r>
      <rPr>
        <charset val="204"/>
        <family val="2"/>
        <rFont val="Tahoma"/>
        <sz val="9"/>
        <vertAlign val="superscript"/>
      </rPr>
      <t>Ф</t>
    </r>
    <r>
      <rPr>
        <charset val="204"/>
        <family val="2"/>
        <rFont val="Tahoma"/>
        <sz val="9"/>
        <vertAlign val="subscript"/>
      </rPr>
      <t>i-2</t>
    </r>
  </si>
  <si>
    <t>Нормативная прибыль</t>
  </si>
  <si>
    <t>l1_2_5</t>
  </si>
  <si>
    <t>величина нормативной прибыли</t>
  </si>
  <si>
    <r>
      <t>ПР</t>
    </r>
    <r>
      <rPr>
        <charset val="204"/>
        <family val="2"/>
        <rFont val="Tahoma"/>
        <sz val="9"/>
        <vertAlign val="subscript"/>
      </rPr>
      <t>i-2</t>
    </r>
  </si>
  <si>
    <t>P_NORM_INCOME</t>
  </si>
  <si>
    <t>РПП</t>
  </si>
  <si>
    <t>l1_2_6</t>
  </si>
  <si>
    <t>2.6</t>
  </si>
  <si>
    <t>расчетная предпринимательская прибыль гарантирующей организации</t>
  </si>
  <si>
    <r>
      <t>ПР</t>
    </r>
    <r>
      <rPr>
        <charset val="204"/>
        <family val="2"/>
        <rFont val="Tahoma"/>
        <sz val="9"/>
        <vertAlign val="superscript"/>
      </rPr>
      <t>ГО Ф</t>
    </r>
    <r>
      <rPr>
        <charset val="204"/>
        <family val="2"/>
        <rFont val="Tahoma"/>
        <sz val="9"/>
        <vertAlign val="subscript"/>
      </rPr>
      <t>i-2</t>
    </r>
  </si>
  <si>
    <t>P_INCOME_GO</t>
  </si>
  <si>
    <t>l1_2_7_0</t>
  </si>
  <si>
    <t>2.7</t>
  </si>
  <si>
    <t>размер корректировки необходимой валовой выручки, учтенной при регулирования на год i-2</t>
  </si>
  <si>
    <t>P_NVV_CORR_YEAR</t>
  </si>
  <si>
    <t>l1_2_7</t>
  </si>
  <si>
    <t>2.7.1</t>
  </si>
  <si>
    <t>величина отклонения показателя ввода объектов системы водоснабжения и (или) водоотведения в эксплуатацию и изменения инвестиционной программы</t>
  </si>
  <si>
    <r>
      <t>ΔИ</t>
    </r>
    <r>
      <rPr>
        <charset val="204"/>
        <family val="2"/>
        <rFont val="Tahoma"/>
        <sz val="9"/>
        <vertAlign val="subscript"/>
      </rPr>
      <t>i-4</t>
    </r>
  </si>
  <si>
    <t>P_WATER_OBJ_IN</t>
  </si>
  <si>
    <t>l1_2_8</t>
  </si>
  <si>
    <t>2.7.2</t>
  </si>
  <si>
    <t>степень исполнения регулируемой организацией производственной программы</t>
  </si>
  <si>
    <r>
      <t>ΔЦП</t>
    </r>
    <r>
      <rPr>
        <charset val="204"/>
        <family val="2"/>
        <rFont val="Tahoma"/>
        <sz val="9"/>
        <vertAlign val="subscript"/>
      </rPr>
      <t>i-4</t>
    </r>
  </si>
  <si>
    <t>P_PROIZ_PROG</t>
  </si>
  <si>
    <t>l1_2_10</t>
  </si>
  <si>
    <t>2.7.3</t>
  </si>
  <si>
    <t>размер корректировки необходимой валовой выручки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t>
  </si>
  <si>
    <t>ΔHBBKi-4</t>
  </si>
  <si>
    <t>P_NVV_CORR_LAST_PERIOD</t>
  </si>
  <si>
    <t>l1_2_9</t>
  </si>
  <si>
    <t>2.9</t>
  </si>
  <si>
    <t>величина изменения необходимой валовой выручки в году i-2, проводимого в целях сглаживания</t>
  </si>
  <si>
    <t xml:space="preserve"> ΔHBBСi-2</t>
  </si>
  <si>
    <t>P_NVV_CORR_SMOOTH</t>
  </si>
  <si>
    <t>2.10</t>
  </si>
  <si>
    <t>Доходы от взимания платы за нарушение нормативов по объему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 26(1) Основ ценообразования в сфере водоснабжения и водоотведения)</t>
  </si>
  <si>
    <t>P_INCOME_VOL_STOK</t>
  </si>
  <si>
    <t>2.11</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</si>
  <si>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регулируемой организации (в соответствии с п. 26(1) Основ ценообразования в сфере водоснабжения и водоотведения)</t>
  </si>
  <si>
    <t>Избыток средств, полученный за отчётные периоды регулирования</t>
  </si>
  <si>
    <t>НВВфi-2</t>
  </si>
  <si>
    <t>P_SURPLUS</t>
  </si>
  <si>
    <t>Экономически не обоснованные доходы / расходы прошлых периодов регулирования</t>
  </si>
  <si>
    <t>P_NOT_EOR</t>
  </si>
  <si>
    <t>Бюджетные субсидии, полученные на финансирование расходов, учтенных в тарифах</t>
  </si>
  <si>
    <t>P_BUDJ</t>
  </si>
  <si>
    <t>Величина отклонения по результатам досудебного рассмотрения споров</t>
  </si>
  <si>
    <t>P_PRE_TRIAL</t>
  </si>
  <si>
    <t>Величина отклонения по результатам рассмотрения разногласий</t>
  </si>
  <si>
    <t>P_DISPUTE</t>
  </si>
  <si>
    <t>II</t>
  </si>
  <si>
    <t>Расчет размера корректировки необходимой валовой выручки, в случае если на i-2 год применялся метод экономически обоснованных расходов</t>
  </si>
  <si>
    <t>P_NVV_COR_EOR</t>
  </si>
  <si>
    <t>Величина, определяющая результаты деятельности регулируемой организации до перехода к регулированию цен (тарифов) на основе долгосрочных параметров регулирования</t>
  </si>
  <si>
    <r>
      <t>ΔРЕЗ</t>
    </r>
    <r>
      <rPr>
        <charset val="204"/>
        <family val="2"/>
        <rFont val="Tahoma"/>
        <sz val="9"/>
        <vertAlign val="subscript"/>
      </rPr>
      <t>i-2</t>
    </r>
  </si>
  <si>
    <t>P_ORG_VALUE</t>
  </si>
  <si>
    <t>l2_1_1</t>
  </si>
  <si>
    <t>экономически обоснованные расходы регулируемой организации, понесенные в периоды регулирования, предшествовавшие переходу к регулированию цен (тарифов) на основе долгосрочных параметров регулирования и не возмещенные регулируемой организации (не учтенные в тарифах)</t>
  </si>
  <si>
    <r>
      <t>ΔРЕЗ</t>
    </r>
    <r>
      <rPr>
        <charset val="204"/>
        <family val="2"/>
        <rFont val="Tahoma"/>
        <sz val="9"/>
        <vertAlign val="superscript"/>
      </rPr>
      <t>+</t>
    </r>
    <r>
      <rPr>
        <charset val="204"/>
        <family val="2"/>
        <rFont val="Tahoma"/>
        <sz val="9"/>
        <vertAlign val="subscript"/>
      </rPr>
      <t>i-2</t>
    </r>
  </si>
  <si>
    <t>P_EOR_NOT_TARIFF</t>
  </si>
  <si>
    <t>l2_1_2</t>
  </si>
  <si>
    <t>доходы регулируемой организации, необоснованно полученные в периоды регулирования, предшествовавшие переходу к регулированию цен (тарифов) на основе долгосрочных параметров регулирования</t>
  </si>
  <si>
    <r>
      <t>ΔРЕЗ</t>
    </r>
    <r>
      <rPr>
        <charset val="204"/>
        <family val="2"/>
        <rFont val="Tahoma"/>
        <sz val="9"/>
        <vertAlign val="superscript"/>
      </rPr>
      <t>-</t>
    </r>
    <r>
      <rPr>
        <charset val="204"/>
        <family val="2"/>
        <rFont val="Tahoma"/>
        <sz val="9"/>
        <vertAlign val="subscript"/>
      </rPr>
      <t>i-2</t>
    </r>
  </si>
  <si>
    <t>P_INCOME_PAST</t>
  </si>
  <si>
    <t>III</t>
  </si>
  <si>
    <t>Величина отклонения показателя ввода объектов системы водоснабжения и (или) водоотведения в эксплуатацию и изменения инвестиционной программы</t>
  </si>
  <si>
    <r>
      <t>ΔИ</t>
    </r>
    <r>
      <rPr>
        <b/>
        <charset val="204"/>
        <family val="2"/>
        <rFont val="Tahoma"/>
        <sz val="9"/>
        <vertAlign val="subscript"/>
      </rPr>
      <t>i-2</t>
    </r>
  </si>
  <si>
    <t>P_WATER_INVEST</t>
  </si>
  <si>
    <t>IV</t>
  </si>
  <si>
    <t>Степень исполнения регулируемой организацией обязательств по созданию и (или) реконструкции объектов концессионного соглашения, по эксплуатации объектов по договору аренды централизованных систем горячего водоснабжения, холодного водоснабжения и (или) водоотведения, отдельных объектов таких систем, находящихся в государственной или муниципальной собственности, по реализации инвестиционной программы, производственной программы при недостижении регулируемой организацией утверждённых плановых значений показателей надежности и качества объектов централизованных систем водоснабжения и (или) водоотведения (корректировка по показателям надежности и качества)</t>
  </si>
  <si>
    <r>
      <t>ΔЦП</t>
    </r>
    <r>
      <rPr>
        <b/>
        <charset val="204"/>
        <family val="2"/>
        <rFont val="Tahoma"/>
        <sz val="9"/>
        <vertAlign val="subscript"/>
      </rPr>
      <t>i-2</t>
    </r>
  </si>
  <si>
    <t>V</t>
  </si>
  <si>
    <t>Доходы от взимания платы за нарушение нормативов по объёму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п.14 Методических указаний)</t>
  </si>
  <si>
    <t>P_INCOME_STOK_VO</t>
  </si>
  <si>
    <t>VI</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</si>
  <si>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регулируемой организации (в соответствии с п.14 Методических указаний)</t>
  </si>
  <si>
    <t>P_INCOME_NEG_METHODIC</t>
  </si>
  <si>
    <t>Недополученные доходы / Выпадающие расходы</t>
  </si>
  <si>
    <t>P_INCOME_NOT_RECIEVED</t>
  </si>
  <si>
    <t>P_SURPLUS_PAST</t>
  </si>
  <si>
    <t>P_NOT_EOR_PAST</t>
  </si>
  <si>
    <t>P_BUDJ_PAST</t>
  </si>
  <si>
    <t>P_PRE_TRIAL_VIII</t>
  </si>
  <si>
    <t>P_DISPUTE_IX</t>
  </si>
  <si>
    <t>Показатели корректировки необходимой валовой выручки</t>
  </si>
  <si>
    <t>P_CORR_TOTAL</t>
  </si>
  <si>
    <t>П. 91 Методических указаний № 1746-э.</t>
  </si>
  <si>
    <t>Выручка от реализации услуг по регулируемому виду деятельности в 2024 году (уточненное значение), определенная исходя из фактического объема полезного отпуска услуг в 2024 г. (в том числе по полугодиям) и установленных на 2024 год тарифов, без учета уровня собираемости платежей (п. 91 Методических указаний).</t>
  </si>
  <si>
    <t>П. 95 Методических указаний № 1746-э.</t>
  </si>
  <si>
    <t xml:space="preserve">Базовый уровень операционных расходов 2019 г. с учетом Индексов эффективности расходов на 2020 - 2024 гг. = 1 %/год, и ИПЦ Минэкономразвития РФ 103,4% на 2020 г., 106,7% на 2021 г., 113,8% на 2022 г., 105,9% на 2023 г., 108,5% на 2024 год (Формула 40 Методических указаний,  (j = 2024, i 0 = 2019) ИКА на 2022 г.: 0,0000642 и 0,0000033; ИКА на 2023 г.: 0,00000066 и 0,0006534; ИКА на 2024 г.: 0,0001833 и 0,0000298  (г. Ленинск-Кузнецкий и г. Полысаево соответственно). </t>
  </si>
  <si>
    <t>Расходы на покупную тепловую энергию и уголь для отопления производственных объектов. См. Лист "Покупка".</t>
  </si>
  <si>
    <t>См. Лист "Налоги".</t>
  </si>
  <si>
    <t>См. Лист "Аренда".</t>
  </si>
  <si>
    <t>Фактические расходы подтверждены.</t>
  </si>
  <si>
    <t>Недополученные доходы и неучтенные  экономически обоснованные расходы  2022 г., ранее утвержденные в составе НВВ на 2024 год.</t>
  </si>
  <si>
    <t>Подтверждено расчетом  ежемесячных сумм дефицита оборотных средств по регулируемым видам деятельности. Ставки по представленным кредитным договорам ,заключенным с  ПАО "Сбербанк" и  ПАО "Банк ВТБ", соответствуют требованиям  пункта 22 Методических указаний № 1746-э.</t>
  </si>
  <si>
    <t>См .пояснения на листе "ЭЭ".</t>
  </si>
  <si>
    <t xml:space="preserve">Средневзвешенное значение ДПР, утвержденных для г. Ленинск-Кузнецкий (1,44 кВт*ч/м3) постановлением РЭК Кемеровской области от 17.12.2019 № 602 (в ред.  Постановления РЭК Кузбасса от 02.02.2021 № 42) и  ФАКТИЧЕСКОГО по г. Полысаево (0,33 кВт*ч/м3)  </t>
  </si>
  <si>
    <t>См. Лист "Амортизация".</t>
  </si>
  <si>
    <t>Рассчитано в соответствии с п. 86 Методических указаний № 1746-э и с утвержденными ДПР  - в размере 9,7% (г. Ленинск-Кузнецкий) и 16,73% (г. Полысаево) от  скорректированных регулятором  сумм НВВ 2024 г. (без учета прибыли и налога на прибыль).</t>
  </si>
  <si>
    <t>Расходы приняты на уровне величин, учтенных при  выдаче цен, сведений, параметров регулирования  (в том числе показателей предельного (максимального) роста необходимой валовой выручки концессионера от осуществления регулируемого вида деятельности) организаторам конкурсов на заключение  концессионных соглашений в сфере холодного водоснабжения (Письма РЭК Кемеровской области  от 30.08.2019 № М-10-63/3056-01 и № М-10-63/3057-01). (п. 10 статьи 46, п. 16.5)  Статьи 10   Федерального закона ФЗ-115 от  21.07.2005 .</t>
  </si>
  <si>
    <t>Отражена величина ИЗБЫТКА средств в НВВ 2022 г. , возникшего в связи с  НЕДОВЫПОЛНЕНИЕМ плана мероприятий Производственной программы в части КАПИТАЛЬНОГО РЕМОНТА объектов системы водоснабжения (Согласно  Постановления РЭК Кузбасса от 18.04.2025 № 124, с учетом  решения Кемеровского областного суда от 02.11.2024 N 3а-157/2024).</t>
  </si>
  <si>
    <t>Согласно  плану 2024 г., утвержденному ранее.</t>
  </si>
  <si>
    <t xml:space="preserve">Разница между  общей величиной Нормативной прибыли и суммой Инвестиционных расходов и расходов на социальное развитие (не подлежит включению в состав Нормативной Прибыли,  п. 86  Методических указаний ФСТ № 1746-э) </t>
  </si>
  <si>
    <t>Выручка от реализации услуг по регулируемому виду деятельности в 2024 году, определенная исходя из фактического объема полезного отпуска услуг в 2024 году (в том числе по полугодиям) и установленных на 2024 год тарифов, без учета уровня собираемости платежей
 (п. 91 Методических указаний).</t>
  </si>
  <si>
    <t>Базовый уровень операционных расходов 2019 г. с учетом Индексов эффективности расходов на 2020 - 2024 годы = 1 %/ год, и ИПЦ Минэкономразвития РФ 103,4% на 2020 г., 106,7% на 2021 г., 113,8% на 2022 г., 105,9% на 2023 г., 108,5% на 2024 г. (Формула 40 Методических указаний,  (j = 2024, i 0 = 2019) ИКА 2022 г = 0,0001865 ; ИКА 2023 г. = 0; ИКА 2024 г. = 0,00011892.</t>
  </si>
  <si>
    <t>См. лист "Налоги".</t>
  </si>
  <si>
    <t>По ранее принятому плану 2024 г.</t>
  </si>
  <si>
    <t>Подтверждено расчетом  ежемесячных сумм дефицита оборотных средств по регулируемым видам деятельности. Ставки по представленным кредитным договорам ,заключенным с  ПАО "Сбербанк" и  ПАО "Банк ВТБ", соответствуют требованиям  пункта 22 Мет. указаний.</t>
  </si>
  <si>
    <t>См. Лист "ЭЭ".</t>
  </si>
  <si>
    <t>Согласно  пунктам 95, 86 и Формуле (31) Методических указаний - в размере 0,77% от скорректированной величины НВВ 2024 г. (без учета Прибыли и Налога на прибыль), в соответствии с утвержденным уровнем Нормативной прибыли на 2024 год.</t>
  </si>
  <si>
    <t>На уровне величины, включенной в расчет предельного роста необходимой валовой выручки концессионера, предусмотренного конкурсной документацией при организации конкурса на заключение  Концессионных соглашений (п. 10 статьи 46  Федерального закона ФЗ-115 от  21.07.2005 "О концессионных соглашениях"), с учетом доп. расходов, включенных при утверждении плана на 2024 год (1500,00 тыс. руб.).</t>
  </si>
  <si>
    <t>Базовый уровень операционных расходов 2019 г. с учетом Индексов эффективности расходов на 2020 - 2024 годы = 1% /год, и ИПЦ Минэкономразвития РФ 103,4% на 2020 г., 106,7% на 2021 г., 113,8% на 2022 г., 105,9% на 2023 г., 108,5% на 2024 г. (Формула 40 Методических указаний,  (j = 2024, i 0 = 2019) ИКА 2022 г. = 0,0110729; ИКА 2023 г. = 0,0006521; ИКА 2024 г. = 0.</t>
  </si>
  <si>
    <t>Подтверждено.</t>
  </si>
  <si>
    <t>Объем стоков, принятых на очистку  принят равным объему реализации на потребительском рынке, как это было предусмотрено при выдаче ДПР организатору конкурса на заключение концессионного соглашения.</t>
  </si>
  <si>
    <t>Принято  в соответствии с  планом финансирования мероприятий утвержденной Инвестпрограммы в сфере водоотведения.</t>
  </si>
  <si>
    <t>Согласно  пунктам 95, 86 и Формуле (31) Методических указаний - в размере 28,08% от скорректированной величины НВВ 2024 г. (без учета Прибыли и Налога на прибыль), в соответствии с утвержденным уровнем Нормативной прибыли на 2024 год.</t>
  </si>
  <si>
    <t>На уровне величины, включенной в расчет предельного роста необходимой валовой выручки концессионера, предусмотренного конкурсной документацией при организации конкурса на заключение  Концессионных соглашений (п. 10 статьи 46  Федерального закона ФЗ-115 от  21.07.2005 "О концессионных соглашениях").</t>
  </si>
  <si>
    <t>Учтен недостаток ИНВЕСТИЦИОННЫХ СРЕДСТВ в составе НОРМАТИВНОЙ ПРИБЫЛИ, возникший в связи с уменьшением расчетной базы при применении Формул (31) и (38) Методических указаний.</t>
  </si>
  <si>
    <t>{                  _x000D_
         funcDyn: 'msg1',_x000D_
         blok: 'blok_1',_x000D_
         wsCross: 'ТМ',_x000D_
         linkFormula: 'AD-AB',_x000D_
         levelDyn: ''_x000D_
}</t>
  </si>
  <si>
    <t>* по показателям могут быть положительные и отрицательные значения в результате финансово-хозяйственной деятельности</t>
  </si>
  <si>
    <t>Отклонение, %</t>
  </si>
  <si>
    <t>et_TM_tariff</t>
  </si>
  <si>
    <t>sphere</t>
  </si>
  <si>
    <t>type</t>
  </si>
  <si>
    <t>Утверждаемый тариф</t>
  </si>
  <si>
    <t>Дополнительные признаки дифференциации тарифов</t>
  </si>
  <si>
    <t>Одноставочный тариф:</t>
  </si>
  <si>
    <t>тариф.прочие.I</t>
  </si>
  <si>
    <t>для прочих потребителей с 01.01 по 30.06 без НДС</t>
  </si>
  <si>
    <t xml:space="preserve">Тариф с 01.01 по 30.06 (в рамках 2026 г. - с 01.01 по 30.09) для прочих потребителей без НДС </t>
  </si>
  <si>
    <t>руб./куб.м</t>
  </si>
  <si>
    <t>P_SNGL_1_OTHER</t>
  </si>
  <si>
    <t>тариф.прочие.II</t>
  </si>
  <si>
    <t>для прочих потребителей с 01.07 по 31.12 без НДС</t>
  </si>
  <si>
    <t>Тариф с 01.07 по 31.12 (в рамках 2026 г. - с 01.10 по 31.12) для прочих потребителей без НДС</t>
  </si>
  <si>
    <t>P_SNGL_2_OTHER</t>
  </si>
  <si>
    <t>для прочих потребителей без НДС</t>
  </si>
  <si>
    <t>Темп роста тарифов с 01.07  (в рамках 2026 г. - с 01.10)</t>
  </si>
  <si>
    <t>P_SNGL_GROW_OTHER</t>
  </si>
  <si>
    <t>ПО.прочие</t>
  </si>
  <si>
    <t>Объём реализации услуги с 01.01 по 31.12</t>
  </si>
  <si>
    <t>P_SNGL_VOL_OTHER</t>
  </si>
  <si>
    <t>тариф.население.I</t>
  </si>
  <si>
    <t>для населения с 01.01 по 30.06 с НДС</t>
  </si>
  <si>
    <t>Тариф с 01.01 по 30.06 (в рамках 2026 г. - с 01.01 по 30.09) для населения с НДС</t>
  </si>
  <si>
    <t>P_SNGL_1_PPL</t>
  </si>
  <si>
    <t>тариф.население.II</t>
  </si>
  <si>
    <t>для населения с 01.07 по 31.12 с НДС</t>
  </si>
  <si>
    <t>Тариф с 01.07 по 31.12 (в рамках 2026 г. - с 01.10 по 31.12)  для населения с НДС</t>
  </si>
  <si>
    <t>P_SNGL_2_PPL</t>
  </si>
  <si>
    <t>для населения с НДС</t>
  </si>
  <si>
    <t>P_SNGL_GROW_PPL</t>
  </si>
  <si>
    <t>ПО.население</t>
  </si>
  <si>
    <t>Объём реализации услуги для населения с 01.01 по 31.12</t>
  </si>
  <si>
    <t>P_SNGL_VOL_PPL</t>
  </si>
  <si>
    <t>P_SNGL_EXTRA_TARIFF</t>
  </si>
  <si>
    <t>DYN_SNGL</t>
  </si>
  <si>
    <t>P_SNGL_EXTRA_TARIFF_2</t>
  </si>
  <si>
    <t>P_SNGL_EXTRA_VOL</t>
  </si>
  <si>
    <t>!== 'для прочих потребителей с 01.01 по 30.06 без НДС' &amp;&amp; row.det_name.toLowerCase() !== 'для прочих потребителей с 01.07 по 31.12 без НДС' &amp;&amp; row.det_name.toLowerCase() !== 'для прочих потребителей без НДС' &amp;&amp; row.det_name.toLowerCase() !== 'для населения с 01.01 по 30.06 с НДС' &amp;&amp; row.det_name.toLowerCase() !== 'для населения с 01.07 по 31.12 с НДС' &amp;&amp; row.det_name.toLowerCase() !== 'для населения с НДС' &amp;&amp; row.l1_1 !== null &amp;&amp; row.det_name.toLowerCase() !== 'не определено'</t>
  </si>
  <si>
    <t>{                  _x000D_
         funcDyn: 'msg',_x000D_
         blok: '',_x000D_
         wsCross: '',_x000D_
         linkFormula: '',_x000D_
         levelDyn: '',_x000D_
         addDynValue: 'det_name|AB|0'_x000D_
}</t>
  </si>
  <si>
    <t>Двухставочный тариф:</t>
  </si>
  <si>
    <t>Тариф с 01.01 по 30.06 для прочих потребителей без НДС (в рамках 2026 г. - с 01.01 по 30.09):</t>
  </si>
  <si>
    <t>перевод двухставочного тарифа в одноставочный тариф</t>
  </si>
  <si>
    <t>P_DBL_1_OTHER_TRANSF</t>
  </si>
  <si>
    <t>P_DBL_1_OTHER_RATE</t>
  </si>
  <si>
    <t>ПО.прочие.I</t>
  </si>
  <si>
    <t>l2_1_3</t>
  </si>
  <si>
    <t>P_DBL_1_OTHER_VOL</t>
  </si>
  <si>
    <t>l2_1_4</t>
  </si>
  <si>
    <t>тыс.руб./куб.м*час/в месяц</t>
  </si>
  <si>
    <t>P_DBL_1_OTHER_RATE_MAINTAN</t>
  </si>
  <si>
    <t>l2_1_5</t>
  </si>
  <si>
    <t>величина присоединённой мощности</t>
  </si>
  <si>
    <t>куб.м*час</t>
  </si>
  <si>
    <t>P_DBL_1_OTHER_POWER</t>
  </si>
  <si>
    <t>Тариф с 01.07 по 31.12 (в рамках 2026 г. - с 01.10 по 31.12) для прочих потребителей без НДС:</t>
  </si>
  <si>
    <t>P_DBL_2_OTHER_TRANSF</t>
  </si>
  <si>
    <t>P_DBL_2_OTHER_RATE</t>
  </si>
  <si>
    <t>ПО.прочие.II</t>
  </si>
  <si>
    <t>P_DBL_2_OTHER_VOL</t>
  </si>
  <si>
    <t>P_DBL_2_OTHER_RATE_MAINTAN</t>
  </si>
  <si>
    <t>P_DBL_2_OTHER_POWER</t>
  </si>
  <si>
    <t>Тариф с 01.01 по 30.06  (в рамках 2026 г. - с 01.01 по 30.09) для населения с НДС:</t>
  </si>
  <si>
    <t>P_DBL_1_PPL_TRANSF</t>
  </si>
  <si>
    <t>P_DBL_1_PPL_RATE</t>
  </si>
  <si>
    <t>ПО.население.I</t>
  </si>
  <si>
    <t>P_DBL_1_PPL_VOL</t>
  </si>
  <si>
    <t>P_DBL_1_PPL_RATE_MAINTAN</t>
  </si>
  <si>
    <t>P_DBL_1_PPL_POWER</t>
  </si>
  <si>
    <t>Тариф с 01.07 по 31.12 (в рамках 2026 г. - с 01.10 по 31.12) для населения с НДС:</t>
  </si>
  <si>
    <t>P_DBL_2_PPL_TRANSF</t>
  </si>
  <si>
    <t>P_DBL_2_PPL_RATE</t>
  </si>
  <si>
    <t>ПО.население.II</t>
  </si>
  <si>
    <t>P_DBL_2_PPL_VOL</t>
  </si>
  <si>
    <t>P_DBL_2_PPL_RATE_MAINTAN</t>
  </si>
  <si>
    <t>P_DBL_2_PPL_POWER</t>
  </si>
  <si>
    <t>P_DBL_EXTRA_TRANSF</t>
  </si>
  <si>
    <t>P_DBL_EXTRA_RATE</t>
  </si>
  <si>
    <t>P_DBL_EXTRA_VOL</t>
  </si>
  <si>
    <t>P_DBL_EXTRA_RATE_MAINTAN</t>
  </si>
  <si>
    <t>P_DBL_EXTRA_POWER</t>
  </si>
  <si>
    <t>P_DBL_EXTRA_TRANSF_2</t>
  </si>
  <si>
    <t>P_DBL_EXTRA_RATE_2</t>
  </si>
  <si>
    <t>P_DBL_EXTRA_VOL_2</t>
  </si>
  <si>
    <t>P_DBL_EXTRA_RATE_MAINTAN_2</t>
  </si>
  <si>
    <t>P_DBL_EXTRA_POWER_2</t>
  </si>
  <si>
    <t>!== 'для прочих потребителей с 01.01 по 30.06 без НДС' &amp;&amp; row.det_name.toLowerCase() !== 'для прочих потребителей с 01.07 по 31.12 без НДС' &amp;&amp; row.det_name.toLowerCase() !== 'для населения с 01.01 по 30.06 с НДС' &amp;&amp; row.det_name.toLowerCase() !== 'для населения с 01.07 по 31.12 с НДС' row.l2_1 !== null &amp;&amp; row.det_name.toLowerCase() !== 'не определено'</t>
  </si>
  <si>
    <t>с 01.01 по 30.06 без НДС</t>
  </si>
  <si>
    <t>Тариф с 01.01 по 30.06  (в рамках 2026 г. - с 01.01 по 30.09) без НДС</t>
  </si>
  <si>
    <t>P_TR_1</t>
  </si>
  <si>
    <t>с 01.07 по 31.12 без НДС</t>
  </si>
  <si>
    <t>Тариф с 01.07 по 31.12 (в рамках 2026 г. - с 01.10 по 31.12) без НДС</t>
  </si>
  <si>
    <t>P_TR_2</t>
  </si>
  <si>
    <t>Темп роста тарифов с 01.07 (в рамках 2026 г. - с 01.10)</t>
  </si>
  <si>
    <t>P_TR_GROW</t>
  </si>
  <si>
    <t>P_TR_VOL</t>
  </si>
  <si>
    <t>P_TR_EXTRA</t>
  </si>
  <si>
    <t>DYN_TR</t>
  </si>
  <si>
    <t>!== 'с 01.01 по 30.06 без НДС' &amp;&amp; row.det_name.toLowerCase() !== 'с 01.07 по 31.12 без НДС' &amp;&amp; row.l1_1 !== null &amp;&amp; row.det_name.toLowerCase() !== 'не определено'</t>
  </si>
  <si>
    <t>г. Ленинск-Кузнецкий, г. Полысаево (кроме потребителей, получающих воду с НФС пос. Демьяновский) (с 01.01. по 30.09.)</t>
  </si>
  <si>
    <t>с 01.01. по 30.09.</t>
  </si>
  <si>
    <t>г. Ленинск-Кузнецкий, г. Полысаево (кроме потребителей, получающих воду с НФС пос. Демьяновский) (с 01.10. по 31.12.)</t>
  </si>
  <si>
    <t>с 01.10. по 31.12.</t>
  </si>
  <si>
    <t>Иногородние потребители, получающие воду с НФС пос. Демьяновский (с 01.01. по 30.09.)</t>
  </si>
  <si>
    <t>Иногородние потребители, получающие воду с НФС пос. Демьяновский (с 01.10. по 31.12.)</t>
  </si>
  <si>
    <t>г. Ленинск-Кузнецкий, г. Полысаево, для населения, с НДС (с 01.01. по 30.09.)</t>
  </si>
  <si>
    <t>г. Ленинск-Кузнецкий, г. Полысаево, для населения, с НДС (с 01.10. по 31.12.)</t>
  </si>
  <si>
    <t>Иногородние потребители, получающие воду с НФС пос. Демьяновский (с 01.01. по 30.09.) для населения с НДС</t>
  </si>
  <si>
    <t>Иногородние потребители, получающие воду с НФС пос. Демьяновский (с 01.10. по 31.12.) для населения с НДС</t>
  </si>
  <si>
    <t>с 01.10.. по 31.12.</t>
  </si>
  <si>
    <t>{                  _x000D_
         funcDyn: 'msg1',_x000D_
         blok: 'blok_1',_x000D_
         wsCross: 'Калькуляция (МЭОР)',_x000D_
         linkFormula: 'AB-AD',_x000D_
         levelDyn: ''_x000D_
}</t>
  </si>
  <si>
    <t>Согласно П. 8(2) "Основ ценообразования в сфере водоснабжения и водоотведения" (введен Постановлением Правительства РФ от 20.11.2025 N 1834), подлежащие регулированию тарифы в сферах холодного водоснабжения  и водоотведения устанавливаются (корректируются) на 2026 год органами регулирования тарифов с календарной разбивкой с 1 января 2026 г. по 30 сентября 2026 г. и с 1 октября 2026 г. по 31 декабря 2026 г.</t>
  </si>
  <si>
    <t xml:space="preserve">Средневзвешенные тарифы на питьевую воду, указанные на Листе "Калькуляция" (в том числе по полугодиям), не соответствуют тарифам, указанным в тарифном меню, из-за  принятой  дифференциации по территориальному признаку. </t>
  </si>
  <si>
    <t>det2_name</t>
  </si>
  <si>
    <t xml:space="preserve"> Расчет тарифа методом экономически обоснованных расходов (затрат)</t>
  </si>
  <si>
    <t>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t>
  </si>
  <si>
    <t>Указание на подтверждающие документы / URL-ссылка на копии подтверждающих документов</t>
  </si>
  <si>
    <t>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t>
  </si>
  <si>
    <t>отклонение факта по данным организации к факту принятому органом регулирования</t>
  </si>
  <si>
    <t>Производственные расходы:</t>
  </si>
  <si>
    <t>Расходы на приобретение сырья и материалов и их хранение, в том числе:</t>
  </si>
  <si>
    <t>P_MATERIALS_EXP</t>
  </si>
  <si>
    <t>реагенты</t>
  </si>
  <si>
    <t>P_REAG</t>
  </si>
  <si>
    <t>горюче-смазочные материалы</t>
  </si>
  <si>
    <t>P_GSM</t>
  </si>
  <si>
    <t>материалы и малоценные основные средства</t>
  </si>
  <si>
    <t>P_OTHER_MATS</t>
  </si>
  <si>
    <t>Расходы на энергетические ресурсы и холодную воду, в том числе:</t>
  </si>
  <si>
    <t>P_ER_EXP</t>
  </si>
  <si>
    <t>электроэнергия</t>
  </si>
  <si>
    <t>P_EE</t>
  </si>
  <si>
    <t>теплоэнергия</t>
  </si>
  <si>
    <t>теплоноситель</t>
  </si>
  <si>
    <t>1.2.4</t>
  </si>
  <si>
    <t>топливо</t>
  </si>
  <si>
    <t>1.2.5</t>
  </si>
  <si>
    <t>холодная вода</t>
  </si>
  <si>
    <t>P_HVS</t>
  </si>
  <si>
    <t>1.2.6</t>
  </si>
  <si>
    <t>транспортировка холодной воды</t>
  </si>
  <si>
    <t>P_HVS_TR</t>
  </si>
  <si>
    <t>1.2.7</t>
  </si>
  <si>
    <t>водоотведение</t>
  </si>
  <si>
    <t>P_VO</t>
  </si>
  <si>
    <t>1.2.8</t>
  </si>
  <si>
    <t>транспортировка сточных вод</t>
  </si>
  <si>
    <t>P_VO_TR</t>
  </si>
  <si>
    <t>1.2.9</t>
  </si>
  <si>
    <t>очистка сточных вод</t>
  </si>
  <si>
    <t>P_VO_CLEAN</t>
  </si>
  <si>
    <t>Расходы на оплату работ и услуг, выполняемых сторонними организациями и индивидуальными предпринимателями, связанные с эксплуатацией централизованных систем либо объектов в составе таких систем</t>
  </si>
  <si>
    <t>P_SERVICES</t>
  </si>
  <si>
    <t>Расходы на оплату труда и страховые взносы на обязательное социальное страхование производственного персонала, в том числе налоги и сборы, в том числе:</t>
  </si>
  <si>
    <t>P_FOT_TOTAL_PROD</t>
  </si>
  <si>
    <t>расходы на оплату труда производственного персонала</t>
  </si>
  <si>
    <t>P_FOT_PROD</t>
  </si>
  <si>
    <t>страховые взносы на обязательное социальное страхование производственного персонала, в том числе налоги и сборы</t>
  </si>
  <si>
    <t>P_FOT_INS_PROD</t>
  </si>
  <si>
    <t>Расходы на уплату процентов по займам и кредитам</t>
  </si>
  <si>
    <t>l1_6</t>
  </si>
  <si>
    <t>1.6</t>
  </si>
  <si>
    <t>Общехозяйственные расходы</t>
  </si>
  <si>
    <t>P_HOZ</t>
  </si>
  <si>
    <t>l1_7</t>
  </si>
  <si>
    <t>1.7</t>
  </si>
  <si>
    <t>Прочие производственные расходы, в том числе:</t>
  </si>
  <si>
    <t>P_OTHER_PROD</t>
  </si>
  <si>
    <t>услуги по обращению с осадком сточных вод, тыс.руб.</t>
  </si>
  <si>
    <t>1.7.1</t>
  </si>
  <si>
    <t>услуги по обращению с осадком сточных вод</t>
  </si>
  <si>
    <t>P_STOK</t>
  </si>
  <si>
    <t>расходы на амортизацию автотранспорта, тыс.руб.</t>
  </si>
  <si>
    <t>1.7.2</t>
  </si>
  <si>
    <t>расходы на амортизацию автотранспорта</t>
  </si>
  <si>
    <t>P_TRANSP_AMOR</t>
  </si>
  <si>
    <t>контроль качества воды и сточных вод, тыс.руб.</t>
  </si>
  <si>
    <t>1.7.3</t>
  </si>
  <si>
    <t>контроль качества воды и сточных вод</t>
  </si>
  <si>
    <t>P_QUALITY_WATER</t>
  </si>
  <si>
    <t>расходы на аварийно-диспетчерское обслуживание, тыс.руб.</t>
  </si>
  <si>
    <t>1.7.4</t>
  </si>
  <si>
    <t>расходы на аварийно-диспетчерское обслуживание</t>
  </si>
  <si>
    <t>P_DISP</t>
  </si>
  <si>
    <t>P_OTHER_EXTRA</t>
  </si>
  <si>
    <t>!== 'услуги по обращению с осадком сточных вод, тыс.руб.' &amp;&amp; row.det_name.toLowerCase() !== 'расходы на амортизацию автотранспорта, тыс.руб.' &amp;&amp; row.det_name.toLowerCase() !== 'контроль качества воды и сточных вод, тыс.руб.' &amp;&amp; row.det_name.toLowerCase() !== 'расходы на аварийно-диспетчерское обслуживание, тыс.руб.' &amp;&amp; row.det_name.toLowerCase() !== 'не определено'</t>
  </si>
  <si>
    <t>Ремонтные расходы:</t>
  </si>
  <si>
    <t>P_REPAIR</t>
  </si>
  <si>
    <t>Расходы на ремонт централизованных систем водоснабжения и (или) водоотведения либо объектов, входящих в состав таких систем</t>
  </si>
  <si>
    <t>P_REPAIR_SYSTEM</t>
  </si>
  <si>
    <t>Расходы на оплату труда и страховые взносы на обязательное социальное страхование ремонтного персонала, в том числе налоги и сборы, в том числе:</t>
  </si>
  <si>
    <t>P_FOT_TOTAL_REPAIR</t>
  </si>
  <si>
    <t>l2_2_1</t>
  </si>
  <si>
    <t>расходы на оплату труда ремонтного персонала</t>
  </si>
  <si>
    <t>P_FOT_REPAIR</t>
  </si>
  <si>
    <t>l2_2_2</t>
  </si>
  <si>
    <t>страховые взносы на обязательное социальное страхование ремонтного персонала, в том числе налоги и сборы</t>
  </si>
  <si>
    <t>P_FOT_INS_REPAIR</t>
  </si>
  <si>
    <t>Административные расходы:</t>
  </si>
  <si>
    <t>P_ADM</t>
  </si>
  <si>
    <t>Расходы на оплату работ и услуг, выполняемых сторонними организациями</t>
  </si>
  <si>
    <t>Расходы на оплату труда и страховые взносы на обязательное социальное страхование административно-управленческого персонала, в том числе налоги и сборы, в том числе:</t>
  </si>
  <si>
    <t>P_FOT_ADM_TOTAL</t>
  </si>
  <si>
    <t>расходы на оплату труда административно-управленческого персонала</t>
  </si>
  <si>
    <t>страховые взносы на обязательное социальное страхование административно-управленческого персонала, в том числе налоги и сборы</t>
  </si>
  <si>
    <t>P_FOT_INS_ADM</t>
  </si>
  <si>
    <t>Арендная плата, лизинговые платежи, не связанные с арендой (лизингом) централизованных систем водоснабжения и (или) водоотведения либо объектов, входящих в состав таких систем</t>
  </si>
  <si>
    <t>P_INSUR</t>
  </si>
  <si>
    <t>Прочие административные расходы, в том числе:</t>
  </si>
  <si>
    <t>P_OTHER_ADM_TOTAL</t>
  </si>
  <si>
    <t>l3_7_1</t>
  </si>
  <si>
    <t>3.7.1</t>
  </si>
  <si>
    <t>расходы на амортизацию непроизводственных активов</t>
  </si>
  <si>
    <t>P_NON_PROD_AMOR</t>
  </si>
  <si>
    <t>l3_7_2</t>
  </si>
  <si>
    <t>3.7.2</t>
  </si>
  <si>
    <t>P_SEQ_OBJ</t>
  </si>
  <si>
    <t>l3_7_3</t>
  </si>
  <si>
    <t>3.7.3</t>
  </si>
  <si>
    <t>P_OTHER_ADM</t>
  </si>
  <si>
    <t>Сбытовые расходы гарантирующих организаций</t>
  </si>
  <si>
    <t>P_SBYT_GO</t>
  </si>
  <si>
    <t>Амортизация основных средств и нематериальных активов</t>
  </si>
  <si>
    <t>в том числе инвестиционная (справочно)</t>
  </si>
  <si>
    <t>P_AMOR_INV</t>
  </si>
  <si>
    <t>Расходы на арендную плату, лизинговые платежи, концессионную плату</t>
  </si>
  <si>
    <t>P_RENT_LEASE_CONC</t>
  </si>
  <si>
    <t>Расходы, связанные с уплатой налогов и сборов</t>
  </si>
  <si>
    <t>Нормативная прибыль:</t>
  </si>
  <si>
    <t>средства на возврат займов и кредитов и процентов по ним</t>
  </si>
  <si>
    <t>расходы на капитальные вложения</t>
  </si>
  <si>
    <t>P_CAP</t>
  </si>
  <si>
    <t>расходы на социальные нужды, предусмотренные коллективными договорами</t>
  </si>
  <si>
    <t>P_SOC</t>
  </si>
  <si>
    <t>Расчетная предпринимательская прибыль гарантирующей организации</t>
  </si>
  <si>
    <t>P_RPP_GO</t>
  </si>
  <si>
    <t>P_OWNERLESS</t>
  </si>
  <si>
    <t>Доходы от взимания платы за нарушение нормативов по объёму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пунктом 26(1) Основ ценообразования в сфере водоснабжения и водоотведения)</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</si>
  <si>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организации (в соответствии с пунктом 26(1) Основ ценообразования в сфере водоснабжения и водоотведения)</t>
  </si>
  <si>
    <t>Недополученные доходы, выпадающие расходы</t>
  </si>
  <si>
    <t>Избыток средств, полученный за отчётные периоды регулирования, в том числе:</t>
  </si>
  <si>
    <t>l14_1</t>
  </si>
  <si>
    <t>14.1</t>
  </si>
  <si>
    <t>l14_2</t>
  </si>
  <si>
    <t>14.2</t>
  </si>
  <si>
    <t>P_BUDJ_SUBS</t>
  </si>
  <si>
    <t>l15</t>
  </si>
  <si>
    <t>l16</t>
  </si>
  <si>
    <t>l17</t>
  </si>
  <si>
    <t>Необходимая валовая выручка</t>
  </si>
  <si>
    <t>P_NVV</t>
  </si>
  <si>
    <t>l17_1</t>
  </si>
  <si>
    <t>17.1</t>
  </si>
  <si>
    <t>в части условно-переменных расходов</t>
  </si>
  <si>
    <t>P_NVV_VAR</t>
  </si>
  <si>
    <t>l17_2</t>
  </si>
  <si>
    <t>17.2</t>
  </si>
  <si>
    <t>в части условно-постоянных расходов</t>
  </si>
  <si>
    <t>P_NVV_CONST</t>
  </si>
  <si>
    <t>l18</t>
  </si>
  <si>
    <t>Полезный отпуск без разбивки по группам потребителей</t>
  </si>
  <si>
    <t>P_USEFULL_TOTAL</t>
  </si>
  <si>
    <t>l18_1</t>
  </si>
  <si>
    <t>18.1</t>
  </si>
  <si>
    <t>I полугодие: объём реализации (в рамках 2026 г. - с 01.01 по 30.09)</t>
  </si>
  <si>
    <t>P_USEFULL_1_VOL</t>
  </si>
  <si>
    <t>l18_2</t>
  </si>
  <si>
    <t>18.2</t>
  </si>
  <si>
    <t>I полугодие: тариф (в рамках 2026 г. - с 01.01 по 30.09)</t>
  </si>
  <si>
    <t>P_USEFULL_1_TARIFF</t>
  </si>
  <si>
    <t>l18_3</t>
  </si>
  <si>
    <t>18.3</t>
  </si>
  <si>
    <t>II полугодие: объём реализации по населению (в рамках 2026 г. - с 01.10 по 31.12)</t>
  </si>
  <si>
    <t>P_USEFULL_2_VOL</t>
  </si>
  <si>
    <t>l18_4</t>
  </si>
  <si>
    <t>18.4</t>
  </si>
  <si>
    <t>II полугодие: тариф (в рамках 2026 г. - с 01.10 по 31.12)</t>
  </si>
  <si>
    <t>P_USEFULL_2_TARIFF</t>
  </si>
  <si>
    <t>l18_5</t>
  </si>
  <si>
    <t>18.5</t>
  </si>
  <si>
    <t>темп роста тарифа</t>
  </si>
  <si>
    <t>P_GROW_TARIFF</t>
  </si>
  <si>
    <t>l18_6</t>
  </si>
  <si>
    <t>18.6</t>
  </si>
  <si>
    <t>средневзвешенный тариф</t>
  </si>
  <si>
    <t>P_AVG_TARIFF</t>
  </si>
  <si>
    <t>l19</t>
  </si>
  <si>
    <t>Итого НВВ для населения</t>
  </si>
  <si>
    <t>P_NVV_PPL</t>
  </si>
  <si>
    <t>l20</t>
  </si>
  <si>
    <t>Полезный отпуск для населения:</t>
  </si>
  <si>
    <t>P_USEFULL_PPL_TOTAL</t>
  </si>
  <si>
    <t>l20_1</t>
  </si>
  <si>
    <t>20.1</t>
  </si>
  <si>
    <t>I полугодие: объём реализации по населению (в рамках 2026 г. - с 01.01 по 30.09)</t>
  </si>
  <si>
    <t>P_USEFULL_PPL_1_VOL</t>
  </si>
  <si>
    <t>l20_2</t>
  </si>
  <si>
    <t>20.2</t>
  </si>
  <si>
    <t>I полугодие: тариф для населения (в рамках 2026 г. - с 01.01 по 30.09)</t>
  </si>
  <si>
    <t>P_USEFULL_PPL_1_TARIFF</t>
  </si>
  <si>
    <t>l20_3</t>
  </si>
  <si>
    <t>20.3</t>
  </si>
  <si>
    <t>P_USEFULL_PPL_2_VOL</t>
  </si>
  <si>
    <t>l20_4</t>
  </si>
  <si>
    <t>20.4</t>
  </si>
  <si>
    <t>II полугодие: тариф для населения (в рамках 2026 г. - с 01.10 по 31.12)</t>
  </si>
  <si>
    <t>P_USEFULL_PPL_2_TARIFF</t>
  </si>
  <si>
    <t>Справочные показатели:</t>
  </si>
  <si>
    <t>P_SPRAV</t>
  </si>
  <si>
    <t>21.1</t>
  </si>
  <si>
    <t>Размер компенсации за счёт средств бюджетов бюджетной системы Российской Федерации (при наличии)</t>
  </si>
  <si>
    <t>P_BUDJ_COMP</t>
  </si>
  <si>
    <t>22.2</t>
  </si>
  <si>
    <t>Бюджетные субсидии, полученные в целях возмещения затрат в связи с выполнением работ, оказанием услуг, необходимых для осуществления регулируемых видов деятельности, за исключением субсидий, полученных регулируемой организацией на компенсацию недополученных доходов, возникающих в результате установления льготных цен (тарифов) (при наличии)</t>
  </si>
  <si>
    <t>P_BUDJ_SUBS_WORKS</t>
  </si>
  <si>
    <t>{                  _x000D_
         funcDyn: 'msg1',_x000D_
         blok: 'blok_1',_x000D_
         wsCross: 'Калькуляция (МИ)',_x000D_
         linkFormula: 'AB-AB',_x000D_
         levelDyn: ''_x000D_
}</t>
  </si>
  <si>
    <t>pok_indx</t>
  </si>
  <si>
    <t>pok_rab</t>
  </si>
  <si>
    <t>pok_eor</t>
  </si>
  <si>
    <t>det_name_eor</t>
  </si>
  <si>
    <t>et_Calculation_tariff</t>
  </si>
  <si>
    <t>Операционные расходы</t>
  </si>
  <si>
    <t>коэффициент изменения операционных расходов</t>
  </si>
  <si>
    <t>P_OPER_KOEF</t>
  </si>
  <si>
    <t>расходы на приобретение сырья и материалов и их хранение, в том числе:</t>
  </si>
  <si>
    <t>l1_2_1_1</t>
  </si>
  <si>
    <t>1.2.1.1</t>
  </si>
  <si>
    <t>l1_2_1_2</t>
  </si>
  <si>
    <t>1.2.1.2</t>
  </si>
  <si>
    <t>расходы на оплату регулируемыми организациями выполняемых сторонними организациями работ и (или) услуг</t>
  </si>
  <si>
    <t>расходы на оплату труда и страховые взносы на обязательное социальное страхование производственного персонала, в том числе:</t>
  </si>
  <si>
    <t>P_FOT_TOTAL</t>
  </si>
  <si>
    <t>1.2.3.1</t>
  </si>
  <si>
    <t>1.2.3.2</t>
  </si>
  <si>
    <t>страховые взносы на обязательное социальное страхование производственного персонала</t>
  </si>
  <si>
    <t>общехозяйственные расходы</t>
  </si>
  <si>
    <t>прочие производственные расходы</t>
  </si>
  <si>
    <t>P_OTHER_PROD_TOTAL</t>
  </si>
  <si>
    <t>l1_2_5_1</t>
  </si>
  <si>
    <t>1.2.5.1</t>
  </si>
  <si>
    <t>амортизация автотранспорта</t>
  </si>
  <si>
    <t>l1_2_5_2</t>
  </si>
  <si>
    <t>1.2.5.2</t>
  </si>
  <si>
    <t>расходы на обезвоживание, обезвреживание и захоронение осадка сточных вод</t>
  </si>
  <si>
    <t>P_DRY</t>
  </si>
  <si>
    <t>l1_2_5_3</t>
  </si>
  <si>
    <t>1.2.5.3</t>
  </si>
  <si>
    <t>расходы на приобретение (использование) вспомогательных материалов, запасных частей</t>
  </si>
  <si>
    <t>P_SPARE_PARTS</t>
  </si>
  <si>
    <t>l1_2_5_4</t>
  </si>
  <si>
    <t>1.2.5.4</t>
  </si>
  <si>
    <t>расходы на эксплуатацию, техническое обслуживание и ремонт автотранспорта</t>
  </si>
  <si>
    <t>P_TRANSP_REPAIR</t>
  </si>
  <si>
    <t>l1_2_5_5</t>
  </si>
  <si>
    <t>1.2.5.5</t>
  </si>
  <si>
    <t>расходы на осуществление производственного контроля качества воды и производственного контроля состава и свойств сточных вод расходы на осуществление производственного контроля качества воды и производственного контроля состава и свойств сточных вод</t>
  </si>
  <si>
    <t>l1_2_5_6</t>
  </si>
  <si>
    <t>1.2.5.6</t>
  </si>
  <si>
    <t>l1_2_5_7</t>
  </si>
  <si>
    <t>1.2.5.7</t>
  </si>
  <si>
    <t>иные производственные расходы</t>
  </si>
  <si>
    <t>расходы на текущий ремонт централизованных систем водоснабжения и (или) водоотведения либо объектов, входящих в состав таких систем</t>
  </si>
  <si>
    <t>расходы на капитальный ремонт централизованных систем водоснабжения и (или) водоотведения либо объектов, входящих в состав таких систем</t>
  </si>
  <si>
    <t>P_REPAIR_SYSTEM_CAP</t>
  </si>
  <si>
    <t>расходы на оплату труда и страховые взносы на обязательное социальное страхование ремонтного персонала, в том числе:</t>
  </si>
  <si>
    <t>l1_3_3_1</t>
  </si>
  <si>
    <t>1.3.3.1</t>
  </si>
  <si>
    <t>l1_3_3_2</t>
  </si>
  <si>
    <t>1.3.3.2</t>
  </si>
  <si>
    <t>страховые взносы на обязательное социальное страхование ремонтного персонала</t>
  </si>
  <si>
    <t>Административные расходы</t>
  </si>
  <si>
    <t>расходы на оплату работ и услуг, выполняемых сторонними организациями, в том числе:</t>
  </si>
  <si>
    <t>l1_4_1_1</t>
  </si>
  <si>
    <t>1.4.1.1</t>
  </si>
  <si>
    <t>l1_4_1_2</t>
  </si>
  <si>
    <t>1.4.1.2</t>
  </si>
  <si>
    <t>l1_4_1_3</t>
  </si>
  <si>
    <t>1.4.1.3</t>
  </si>
  <si>
    <t>l1_4_1_4</t>
  </si>
  <si>
    <t>1.4.1.4</t>
  </si>
  <si>
    <t>l1_4_1_5</t>
  </si>
  <si>
    <t>1.4.1.5</t>
  </si>
  <si>
    <t>P_SEQURITY_OBJ</t>
  </si>
  <si>
    <t>l1_4_1_6</t>
  </si>
  <si>
    <t>1.4.1.6</t>
  </si>
  <si>
    <t>l1_4_1_7</t>
  </si>
  <si>
    <t>1.4.1.7</t>
  </si>
  <si>
    <t>P_OTHER_ORG_EXTRA</t>
  </si>
  <si>
    <t>расходы на оплату труда и страховые взносы на обязательное социальное страхование административно-управленческого персонала, в том числе:</t>
  </si>
  <si>
    <t>l1_4_2_1</t>
  </si>
  <si>
    <t>1.4.2.1</t>
  </si>
  <si>
    <t>l1_4_2_2</t>
  </si>
  <si>
    <t>1.4.2.2</t>
  </si>
  <si>
    <t>страховые взносы на обязательное социальное страхование административно-управленческого персонала</t>
  </si>
  <si>
    <t>арендная плата, лизинговые платежи, не связанные с арендой (лизингом) централизованных систем водоснабжения и (или) водоотведения либо объектов, входящих в состав таких систем</t>
  </si>
  <si>
    <t>служебные командировки</t>
  </si>
  <si>
    <t>l1_4_5</t>
  </si>
  <si>
    <t>1.4.5</t>
  </si>
  <si>
    <t>обучение персонала</t>
  </si>
  <si>
    <t>l1_4_6</t>
  </si>
  <si>
    <t>1.4.6</t>
  </si>
  <si>
    <t>страхование производственных объектов</t>
  </si>
  <si>
    <t>l1_4_7</t>
  </si>
  <si>
    <t>1.4.7</t>
  </si>
  <si>
    <t>прочие административные расходы</t>
  </si>
  <si>
    <t>l1_4_7_1</t>
  </si>
  <si>
    <t>1.4.7.1</t>
  </si>
  <si>
    <t>l1_4_7_2</t>
  </si>
  <si>
    <t>1.4.7.2</t>
  </si>
  <si>
    <t>l1_4_7_3</t>
  </si>
  <si>
    <t>1.4.7.3</t>
  </si>
  <si>
    <t>Сбытовые расходы гарантирующих организаций (за исключением указанных в п.2.6)</t>
  </si>
  <si>
    <t>Реагенты до 2020 года</t>
  </si>
  <si>
    <t>P_REAG_2020</t>
  </si>
  <si>
    <t>Операционные расходы по концессионным соглашениям</t>
  </si>
  <si>
    <t>P_OPER_CONC</t>
  </si>
  <si>
    <t>DYN_CONC</t>
  </si>
  <si>
    <t>!== 'не определено'</t>
  </si>
  <si>
    <t>Неподконтрольные расходы</t>
  </si>
  <si>
    <t>P_UNCONTOLL</t>
  </si>
  <si>
    <t>Расходы на оплату товаров (услуг, работ), приобретаемых у других организаций</t>
  </si>
  <si>
    <t>P_SERVICES_2</t>
  </si>
  <si>
    <t>расходы на тепловую энергию</t>
  </si>
  <si>
    <t>2.1.2</t>
  </si>
  <si>
    <t>расходы на теплоноситель</t>
  </si>
  <si>
    <t>2.1.3</t>
  </si>
  <si>
    <t>расходы на транспортировку воды</t>
  </si>
  <si>
    <t>P_TR</t>
  </si>
  <si>
    <t>2.1.4</t>
  </si>
  <si>
    <t>расходы на покупку воды</t>
  </si>
  <si>
    <t>P_WATER</t>
  </si>
  <si>
    <t>2.1.5</t>
  </si>
  <si>
    <t>услуги по горячему водоснабжению</t>
  </si>
  <si>
    <t>l2_1_6</t>
  </si>
  <si>
    <t>2.1.6</t>
  </si>
  <si>
    <t>услуги по приготовлению воды на нужды горячего водоснабжения</t>
  </si>
  <si>
    <t>P_GVS_PREP</t>
  </si>
  <si>
    <t>l2_1_7</t>
  </si>
  <si>
    <t>2.1.7</t>
  </si>
  <si>
    <t>услуги по транспортировке горячей воды</t>
  </si>
  <si>
    <t>P_GVS_TR</t>
  </si>
  <si>
    <t>l2_1_8</t>
  </si>
  <si>
    <t>2.1.8</t>
  </si>
  <si>
    <t>услуги по водоотведению</t>
  </si>
  <si>
    <t>l2_1_9</t>
  </si>
  <si>
    <t>2.1.9</t>
  </si>
  <si>
    <t>услуги по транспортировке сточных вод</t>
  </si>
  <si>
    <t>l2_1_10</t>
  </si>
  <si>
    <t>2.1.10</t>
  </si>
  <si>
    <t>услуги по очистке сточных вод</t>
  </si>
  <si>
    <t>2.1.11</t>
  </si>
  <si>
    <t>расходы на топливо</t>
  </si>
  <si>
    <t>Расходы на реагенты</t>
  </si>
  <si>
    <t>Налоги и сборы и другие обязательные платежи</t>
  </si>
  <si>
    <t>l2_3_1</t>
  </si>
  <si>
    <t>P_TAX_INCOME</t>
  </si>
  <si>
    <t>l2_3_2</t>
  </si>
  <si>
    <t>налог на имущество организаций</t>
  </si>
  <si>
    <t>P_TAX_PROP</t>
  </si>
  <si>
    <t>l2_3_3</t>
  </si>
  <si>
    <t>земельный налог и арендная плата за землю</t>
  </si>
  <si>
    <t>P_TAX_LAND</t>
  </si>
  <si>
    <t>l2_3_4</t>
  </si>
  <si>
    <t>2.3.4</t>
  </si>
  <si>
    <t>водный налог</t>
  </si>
  <si>
    <t>P_TAX_WATER</t>
  </si>
  <si>
    <t>l2_3_5</t>
  </si>
  <si>
    <t>2.3.5</t>
  </si>
  <si>
    <t>плата за пользование водным объектом</t>
  </si>
  <si>
    <t>P_WATER_OBJ</t>
  </si>
  <si>
    <t>l2_3_6</t>
  </si>
  <si>
    <t>2.3.6</t>
  </si>
  <si>
    <t>транспортный налог</t>
  </si>
  <si>
    <t>P_TAX_TRANSP</t>
  </si>
  <si>
    <t>l2_3_7</t>
  </si>
  <si>
    <t>2.3.7</t>
  </si>
  <si>
    <t>плата за негативное воздействие на окружающую среду</t>
  </si>
  <si>
    <t>P_TAX_NEG</t>
  </si>
  <si>
    <t>l2_3_8</t>
  </si>
  <si>
    <t>2.3.8</t>
  </si>
  <si>
    <t>единый налог при УСН</t>
  </si>
  <si>
    <t>2.3.9</t>
  </si>
  <si>
    <t>обязательное страхование, предусмотренное Законодательством РФ</t>
  </si>
  <si>
    <t>P_TAX_INS</t>
  </si>
  <si>
    <t>l2_3_9</t>
  </si>
  <si>
    <t>2.3.10</t>
  </si>
  <si>
    <t>прочие налоги и сборы</t>
  </si>
  <si>
    <t>P_OTHER_TAXES</t>
  </si>
  <si>
    <t>P_SEQ_SYSTEM</t>
  </si>
  <si>
    <t>P_RENT_CONC_LEASE</t>
  </si>
  <si>
    <t>l2_6</t>
  </si>
  <si>
    <t>Сбытовые расходы гарантирующей организации</t>
  </si>
  <si>
    <t>P_SBYT_GO_2</t>
  </si>
  <si>
    <t>l2_6_1</t>
  </si>
  <si>
    <t>2.6.1</t>
  </si>
  <si>
    <t>P_DOUBT_DEBT</t>
  </si>
  <si>
    <t>l2_7</t>
  </si>
  <si>
    <t>P_ECONOMY</t>
  </si>
  <si>
    <t>l2_8</t>
  </si>
  <si>
    <t>2.8</t>
  </si>
  <si>
    <t>l2_9</t>
  </si>
  <si>
    <t>P_EOR_COMP</t>
  </si>
  <si>
    <t>l2_10</t>
  </si>
  <si>
    <t>P_CREDIT_TOTAL</t>
  </si>
  <si>
    <t>l2_10_1</t>
  </si>
  <si>
    <t>2.10.1</t>
  </si>
  <si>
    <t>возврат займов и кредитов</t>
  </si>
  <si>
    <t>l2_10_2</t>
  </si>
  <si>
    <t>2.10.2</t>
  </si>
  <si>
    <t>проценты по займам и кредитам</t>
  </si>
  <si>
    <t>P_CREDIT_PERCENT</t>
  </si>
  <si>
    <t>l2_11</t>
  </si>
  <si>
    <t>Расходы концессионера на осуществление государственного кадастрового учета и (или) государственной регистрации права собственности концедента</t>
  </si>
  <si>
    <t>P_CONC_KADASTR</t>
  </si>
  <si>
    <t>ээ</t>
  </si>
  <si>
    <t>Расходы на электрическую энергию</t>
  </si>
  <si>
    <t>Амортизация основных средств и нематериальных активов, относимых к объектам централизованной системы водоснабжения (водоотведения)</t>
  </si>
  <si>
    <t>средства на возврат инвестиционных займов</t>
  </si>
  <si>
    <t>P_NORM_INCOME_INVEST</t>
  </si>
  <si>
    <t>средства на уплату процентов по инвестиционным займам</t>
  </si>
  <si>
    <t>P_LEASE_PERCENT</t>
  </si>
  <si>
    <t>капитальные расходы</t>
  </si>
  <si>
    <t>иные экономически обоснованные расходы на социальные нужды</t>
  </si>
  <si>
    <t>иные экономически обоснованные расходы на социальные нужды в соответствии с пунктом 86 настоящих Методических указаний</t>
  </si>
  <si>
    <t>P_OTHER_EOR</t>
  </si>
  <si>
    <t>Возврат инвестированного капитала</t>
  </si>
  <si>
    <t>P_INVEST_RET</t>
  </si>
  <si>
    <t>Полная величина инвестированного капитала</t>
  </si>
  <si>
    <t>P_INVEST_VOL</t>
  </si>
  <si>
    <t>Срок возврата инвестированного капитала</t>
  </si>
  <si>
    <t>лет</t>
  </si>
  <si>
    <t>P_INVEST_PERIOD</t>
  </si>
  <si>
    <t>Доход на инвестированный капитал</t>
  </si>
  <si>
    <t>P_INVEST_INCOME</t>
  </si>
  <si>
    <t>Первоначальный размер инвестированного капитала</t>
  </si>
  <si>
    <t>P_INVEST_FIRST_PAY</t>
  </si>
  <si>
    <t>Доходность первоначального размера инвестированного капитала</t>
  </si>
  <si>
    <t>P_INVEST_FIRST_INCOME</t>
  </si>
  <si>
    <t>База инвестированного капитала</t>
  </si>
  <si>
    <t>P_INVEST_BASE</t>
  </si>
  <si>
    <t>Чистый оборотный капитал</t>
  </si>
  <si>
    <t>P_INVEST_CLEAN_FUND</t>
  </si>
  <si>
    <t>l5_4_1</t>
  </si>
  <si>
    <t>5.4.1</t>
  </si>
  <si>
    <t>Норматив чистого оборотного капитала</t>
  </si>
  <si>
    <t>P_CLEAN_FUND_NORM</t>
  </si>
  <si>
    <t>Норма доходности</t>
  </si>
  <si>
    <t>P_INCOME_NORM</t>
  </si>
  <si>
    <t>l5_5_1</t>
  </si>
  <si>
    <t>5.5.1</t>
  </si>
  <si>
    <t>Норма доходности нового капитала</t>
  </si>
  <si>
    <t>P_INCOME_NORM_NEW</t>
  </si>
  <si>
    <t>l5_5_2</t>
  </si>
  <si>
    <t>5.5.2</t>
  </si>
  <si>
    <t>Норма доходности старого капитала</t>
  </si>
  <si>
    <t>P_INCOME_NORM_OLD</t>
  </si>
  <si>
    <t>L11</t>
  </si>
  <si>
    <t>l7_0</t>
  </si>
  <si>
    <t>P_NVV_CORR</t>
  </si>
  <si>
    <t>Справочно в том числе:</t>
  </si>
  <si>
    <t>Ввод объектов системы водоснабжения и (или) водоотведения в эксплуатацию и изменение утверждённой инвестиционной программы</t>
  </si>
  <si>
    <t>P_WATER_EXPLOIT</t>
  </si>
  <si>
    <t>L4</t>
  </si>
  <si>
    <t>Степень исполнения регулируемой организацией обязательств по созданию и (или) реконструкции объектов концессионного соглашения, по эксплуатации объектов по договору аренды централизованных систем горячего водоснабжения, холодного водоснабжения и (или) водоотведения, отдельных объектов таких систем, находящихся в государственной или муниципальной собственности, по реализации инвестиционной программы, производственной программы при недостижении регулируемой организацией утверждённых плановых значений показателей надежности и качества объектов централизованных систем водоснабжения и (или) водоотведения</t>
  </si>
  <si>
    <t>P_STEPEN_REG</t>
  </si>
  <si>
    <t>Размер корректировки НВВ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 тарифов</t>
  </si>
  <si>
    <t>P_NVV_PAST</t>
  </si>
  <si>
    <t>L5</t>
  </si>
  <si>
    <t>L6</t>
  </si>
  <si>
    <t>L7</t>
  </si>
  <si>
    <t>P_OTHER_INCOME</t>
  </si>
  <si>
    <t>L8</t>
  </si>
  <si>
    <t>L8_1</t>
  </si>
  <si>
    <t>l15_1</t>
  </si>
  <si>
    <t>L8_2</t>
  </si>
  <si>
    <t>l15_2</t>
  </si>
  <si>
    <t>P_PRE_TIRAL</t>
  </si>
  <si>
    <t>L10</t>
  </si>
  <si>
    <t>Величина сглаживания НВВ</t>
  </si>
  <si>
    <t>P_NVV_SMOOTH</t>
  </si>
  <si>
    <t>% сглаживания НВВ</t>
  </si>
  <si>
    <t>P_NVV_SMOOTH_PERCENT</t>
  </si>
  <si>
    <t>Итого НВВ для расчёта тарифа</t>
  </si>
  <si>
    <t>P_NVV_TARIFF</t>
  </si>
  <si>
    <t>l19_1</t>
  </si>
  <si>
    <t>l19_2</t>
  </si>
  <si>
    <t>l19_3</t>
  </si>
  <si>
    <t>II полугодие: объём реализации (в рамках 2026 г. - с 01.10 по 31.12)</t>
  </si>
  <si>
    <t>l19_4</t>
  </si>
  <si>
    <t>l19_5</t>
  </si>
  <si>
    <t>l19_6</t>
  </si>
  <si>
    <t>l21</t>
  </si>
  <si>
    <t>l21_1</t>
  </si>
  <si>
    <t>l21_2</t>
  </si>
  <si>
    <t>l21_3</t>
  </si>
  <si>
    <t>l21_4</t>
  </si>
  <si>
    <t>Финансовый результат по данным раздельного учета (указывается фактическая(ий) прибыль / убыток, как результат операционной деятельности организации в бухгалтерском учёте по регулируемому виду деятельности)</t>
  </si>
  <si>
    <t>P_FIN_RESULT</t>
  </si>
  <si>
    <t>https://portal.eias.ru/Portal/DownloadPage.aspx?type=12&amp;guid=fd4d886b-5009-4913-a658-26e3bd0deec9 ; https://portal.eias.ru/Portal/DownloadPage.aspx?type=12&amp;guid=ad90893d-391c-4b21-999e-f5b27c1cfccc ; https://portal.eias.ru/Portal/DownloadPage.aspx?type=12&amp;guid=4fb1817b-d773-481b-bdae-db779c4194c1 ; https://portal.eias.ru/Portal/DownloadPage.aspx?type=12&amp;guid=3006f6b2-f51a-4c1a-a01f-3e4c8586c0d7</t>
  </si>
  <si>
    <t>Постановление Правительства РФ от 17.12.2024 N 1810 "О внесении изменений в некоторые акты Правительства Российской Федерации" ; п. 61 (2) Основ Ценообразования в сфере водоснабжения и водоотведения" (утв. Постановлением Правительства РФ от 13.05.2013 № 406 "О государственном регулировании тарифов в сфере водоснабжения и водоотведения").</t>
  </si>
  <si>
    <t>Рассчитано исходя из базового уровня Операц. асходов 2024 г. (за исключением ФОТ  основного производств. персонала (ОПП) и страховых взносов на обязательное соц. страхование, выплачиваемых из  ФОТ ОПП) с учетом ИПЦ Минэкономразвития РФ на 2025 год 105,8%, а также с учетом индекса эффективности операц.  расходов 0%, индекса изменения количества активов - 0%. ФОТ ОПП (всего - 101384,87 тыс. руб.)  рассчитан, исходя из плановых величин, принятых на 2025 год Постановлением РЭК Кузбасса   от 26.11.2024 № 406 (г. Ленинск-Кузнецкий - 76198,83 тыс. руб., г. Полысаево - 19041,73 тыс. руб.), с учетом доплаты до МРОТ,  рассчитанной организацией (г. Ленинск-Кузнецкий - 4712,61 тыс. руб., г. Полысаево - 1431,69 тыс. руб.) ; отчисления из ФОТ (30618,24 тыс. руб.)  -  согласно действующего законодательства 30,2%. ДОП. ПОЯСНЕНИЯ см. ниже в разделе "Комментарии".</t>
  </si>
  <si>
    <t>Базовый вариант "Прогноза соц.-экономического развития Российской Федерации на 2025 год и на плановый период 2026 и 2027 годов" (опубликован на официальном сайте Минэкономразвития России  30.09.2024).</t>
  </si>
  <si>
    <t>1) Статья 1 Федерального закона от 19.06.2000 N 82-ФЗ (ред. от 29.10.2024) "О минимальном размере оплаты труда". 2) «Кузбасское региональное соглашение между Кемеровским областным союзом организаций профсоюзов «Федерация профсоюзных организаций Кузбасса», Правительством Кемеровской области - Кузбасса и работодателями Кемеровской области - Кузбасса на 2025 - 2027 годы» (Зарег. Министерством труда и занятости населения Кузбасса 23.10.2024 № 12).</t>
  </si>
  <si>
    <t>3) Постановление Совмина СССР, ВЦСПС от 01.08.1989 № 601  «О районных коэффициентах к заработной плате рабочих и служащих предприятий, организаций и учреждений, расположенных в Кемеровской области и на территории г. Воркуты и Инты».</t>
  </si>
  <si>
    <t>Согласно пункту 2 "Изменений, которые вносятся в акты Правительства Российской Федерации",  ДАННЫЙ ВИД РАСХОДОВ ПЕРЕСМОТРУ НЕ ПОДЛЕЖИТ.</t>
  </si>
  <si>
    <t>п. 42 Методических указаний ФСТ России № 1746-э.</t>
  </si>
  <si>
    <t>Общая сумма корректировок за 2019-2028 гг.  составит  0,00 тыс. руб.</t>
  </si>
  <si>
    <t>П. 9 "Основ ценообразования в сфере водоснабжения и водоотведения" (Постановление Правительства РФ от 13.05.2013 N 406 (ред. от 28.11.2023) "О государственном регулировании тарифов в сфере водоснабжения и водоотведения"</t>
  </si>
  <si>
    <t>В данной калькуляции указываются средневзвешенные тарифы, без учета дифференциации по территориям (см. Лист "ТМ").</t>
  </si>
  <si>
    <t>Рассчитано исходя из базового уровня операционных расходов 2024 года (за исключением фонда оплаты труда (ФОТ)  основного производственного персонала (ОПП) и страховых взносов на обязательное социальное страхование, выплачиваемых из  ФОТ ОПП) с учетом ИПЦ Минэкономразвития РФ на 2025 год 105,8%, а также с учетом индекса эффективности операционных расходов 0%, индекса изменения количества активов - 0%. ФОТ ОПП (60244,97 тыс. руб.)  рассчитан, исходя из плановой величины, принятой на 2025 год Постановлением РЭК Кузбасса   от 26.11.2024 № 406 (55868,99 тыс. руб.), с учетом доплаты до МРОТ,  рассчитанной организацией (4375,98 тыс. руб.) ; отчисления с ФОТ -  согласно действующего законодательства 30,2% (18193,99 тыс. руб.). ДОП. ПОЯСНЕНИЯ см. ниже в разделе "Комментарии".</t>
  </si>
  <si>
    <t>https://portal.eias.ru/Portal/DownloadPage.aspx?type=12&amp;guid=fcc0c975-fdc2-4789-b191-b1153fe00b8c    https://portal.eias.ru/Portal/DownloadPage.aspx?type=12&amp;guid=077d2691-0a06-49f5-939a-f818de439748   https://portal.eias.ru/Portal/DownloadPage.aspx?type=12&amp;guid=1bafc34e-059a-4c5d-9ad3-371aade4a6d8   https://portal.eias.ru/Portal/DownloadPage.aspx?type=12&amp;guid=37bb9642-0224-42d9-9557-4c02ec2b6cef  https://portal.eias.ru/Portal/DownloadPage.aspx?type=12&amp;guid=2311a567-0018-465b-af0d-5f7e38f0fb45</t>
  </si>
  <si>
    <t>Соаглсно пункту 2 "Изменений, которые вносятся в акты Правительства Российской Федерации",  ДАННЫЙ ВИД РАСХОДОВ ПЕРЕСМОТРУ НЕ ПОДЛЕЖИТ.</t>
  </si>
  <si>
    <t>П. 42 Методических указаний ФСТ № 1746-э.</t>
  </si>
  <si>
    <t>Сумма корректировок по данной статье будет сведена к нулю до 31.12.2028.</t>
  </si>
  <si>
    <t>П. 9 "Основ ценообразования в сфере водоснабжения и водоотведения" (Постановление Правительства РФ от 13.05.2013 N 406 (ред. от 28.11.2023) "О государственном регулировании тарифов в сфере водоснабжения и водоотведения" .</t>
  </si>
  <si>
    <t>Рассчитано исходя из базового уровня операционных расходов 2024 года (за исключением фонда оплаты труда (ФОТ)  основного производственного персонала (ОПП) и страховых взносов на обязательное социальное страхование, выплачиваемых из  ФОТ ОПП) с учетом ИПЦ Минэкономразвития РФ на 2025 год 105,8%, а также с учетом индекса эффективности операционных расходов 0%, индекса изменения количества активов - 0%. ФОТ ОПП (30817,29 тыс. руб.) рассчитан, исходя из плановой величины (27701,85 тыс. руб.), принятой на 2025 год Постановлением РЭК Кузбасса   от 26.11.2024 № 406, с учетом доплаты до МРОТ, рассчитанной организацией (3115,44 тыс. руб.); отчисления с ФОТ -  согласно действующего законодательства 30,2% (9306,82 тыс. руб.). ДОП. ПОЯСНЕНИЯ см. ниже в разделе "Комментарии".</t>
  </si>
  <si>
    <t>{                  _x000D_
         funcDyn: 'msg1',_x000D_
         blok: 'blok_1',_x000D_
         wsCross: 'Калькуляция (МИ корр)',_x000D_
         linkFormula: 'AB-AB',_x000D_
         levelDyn: ''_x000D_
}</t>
  </si>
  <si>
    <t>rePaint</t>
  </si>
  <si>
    <t>{                  _x000D_
         funcDyn: 'msg',_x000D_
         blok: '',_x000D_
         wsCross: '',_x000D_
         linkFormula: '',_x000D_
         levelDyn: '1',_x000D_
        addDynValue: 'det_name|AC|0'_x000D_
}</t>
  </si>
  <si>
    <t>https://portal.eias.ru/Portal/DownloadPage.aspx?type=12&amp;guid=3fdcf7dc-e8d7-49aa-bd8e-a4f7b90d6211</t>
  </si>
  <si>
    <t>1) Пункты 90, 95 (Формула 39)  Методических указаний ФСТ России № 1746-э. 2) 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3) "ИНФОРМАЦИЯ о ценах, значениях, параметрах,  выданная в соответствии с пунктами 2-8 и 13 Части 8 Статьи 41.1. Федерального закона от 07.12.2011 № 416-ФЗ организатору конкурса на заключение договора аренды в отношении ПНС пер. Совнархозный, 34  (письмо РЭК Кузбасса от 01.10.2024 № М-10-61/3430-01 ).</t>
  </si>
  <si>
    <t>1) РАСХОДЫ ПО КОНЦЕССИОННЫМ СОГЛАШЕНИЯМ № 1/Л-К и № 3: Рассчитано исходя из базовых уровней операц. расходов 2019 г. с коэффициентом индексации 1,5403822114471, рассчитанным в соответствии с Метод. указаниями (с учетом индексов эффективности О.Р. на 2020 - 2026 гг. в размере 1%/год и с учетом ИПЦ на 2020 г. 103,4%; на 2021 г. 106,7%, на 2022 г. 113,8%, на 2023 г. 105,9%, на 2024 г. 108,5%, на 2025 г. 109,0%, на 2026 г. 105,1%  (согласно Прогнозу от 26.09.2025). РАЗМЕР ИКА на 2020-2026 гг.  ПРИНЯТ РАВНЫМ (0), будет учитываться при корректировке НВВ каждого отчетного года. См. также письмо ФАС России в адрес РЭК Кузбасса от 26.06.2025 исх. № ВК/59497/25 (вх. от 27.06.2025 № 4012) по вопросу кор-ки операционных расходов организаций-концессионеров на 2026 год. 2) РАСХОДЫ ПО ДОГОВОРУ АРЕНДЫ ПНС от 15.05.2025 №1:  - от базового уровня О.Р. 2024 г. с учетом ИПЦ 109,0% на 2025 г., 105,1% на 2026 г., индексы эффективности О.Р.  на 2025 и 2026 гг. - 1%/год.</t>
  </si>
  <si>
    <t>Базовый вариант "Прогноза соц.-экономического развития Российской Федерации на 2026 год и на плановый период 2027 и 2028 годов" (опубликован на официальном сайте Минэкономразвития России  26.09.2025.</t>
  </si>
  <si>
    <t>ИТОГО Операционные расходы на 2026 год:   г. Ленинск-Кузнецкий -  228360,01  тыс. руб., г. Полысаево - 114979,84 тыс. руб.,  ПНС пер. Совнархозный -  3848,42 тыс. руб.</t>
  </si>
  <si>
    <t>Операционные расходы, рассчитанные исходя из Базового уровня Операционных расходов 2024 года (Концессионное соглашение № 1 /Л-К от  14.11.2019, Концессионное соглашение № 3 от 14.11.2019.).</t>
  </si>
  <si>
    <t>https://portal.eias.ru/Portal/DownloadPage.aspx?type=12&amp;guid=f0128cc7-8c43-4f62-97e2-53c4f8c4b9ea</t>
  </si>
  <si>
    <t>1) Пункт 95 Методических указаний ФСт России № 1746-э. 2) 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t>
  </si>
  <si>
    <t xml:space="preserve">Базовый уровень операционных расходов 2019 г. с учетом Индексов эффективности расходов на 2020 - 2024 гг. = 1 /год, и ИПЦ Минэкономразвития РФ 103,4% на 2020 г., 106,7% на 2021 г., 113,8% на 2022 г., 105,9% на 2023 г., 108,5% на 2024 год (Формула 40 Методических указаний,  (j = 2024, i 0 = 2019) ИКА на 2022 г.: 0,0000642 и 0,0000033; ИКА на 2023 г.: 0,00000066 и 0,0006534; ИКА на 2024 г.: 0,0001833 и 0,0000298  (г. Ленинск-Кузнецкий и г. Полысаево соответственно). </t>
  </si>
  <si>
    <t>П. 49 Методических указаний ФСТ №  1749-э.</t>
  </si>
  <si>
    <t xml:space="preserve">https://portal.eias.ru/Portal/DownloadPage.aspx?type=12&amp;guid=a9bb17ce-573a-466a-8a72-abbb17b9554e   https://portal.eias.ru/Portal/DownloadPage.aspx?type=12&amp;guid=689593e5-c833-46c3-ac15-f24713f324ce    https://portal.eias.ru/Portal/DownloadPage.aspx?type=12&amp;guid=e1b818f4-cfd3-4d1e-a217-023e3eeceb6c   https://portal.eias.ru/Portal/DownloadPage.aspx?type=12&amp;guid=6a475086-f6fb-40ac-b75a-5418ff2ed260  https://portal.eias.ru/Portal/DownloadPage.aspx?type=12&amp;guid=1e915e80-f35b-4e63-8332-aeb977c30d1d   https://portal.eias.ru/Portal/DownloadPage.aspx?type=12&amp;guid=570c8503-be77-4316-85b7-31080e05cc99  https://portal.eias.ru/Portal/DownloadPage.aspx?type=12&amp;guid=afb5574b-592d-495d-a348-0f8d5729fb7e   https://portal.eias.ru/Portal/DownloadPage.aspx?type=12&amp;guid=58b2c142-3eab-4769-826b-c748df28c6fb   https://portal.eias.ru/Portal/DownloadPage.aspx?type=12&amp;guid=79dc963a-4ce6-4013-8657-4c1fdb93004b </t>
  </si>
  <si>
    <t>1) П. 49 (1) Методических указаний ФСТ № 1749-э.                    2) Постановление РЭК Кемеровской области от 27.12.2019 N 877 (ред. от 25.11.2022) "Об установлении долгосрочных параметров регулирования и долгосрочных тарифов ОАО "Северо-Кузбасская энергетическая компания" на тепловую энергию, реализуемую на потребительском рынке Ленинск-Кузнецкого городского округа, на период 2019 - 2028 годы" (в ред. постановлений РЭК Кузбасса от 18.12.2020 N 744, от 14.12.2021 N 685, от 25.11.2022 N 682, от 05.12.2023 N 478, от 19.12.2024 N 670).    3)  Приказ Генерального директора ОАО "СКЭК" от 31.12.2019 № 344 "О внесении изменений в Учетную политику" (Пункт 1.11, об учете и распределении затрат по  тепловой энергии на производственные нужды котельных  НФС и ОСВ г. Ленинск-Кузнецкий).</t>
  </si>
  <si>
    <t>Учтены расходы на ТЕПЛОВУЮ ЭНЕРГИЮ, производимую собственными котельными ОАО "СКЭК", и затраты на УГОЛЬ для отопления Очистных сооружений и и аварийной машины, работающей на канализационных сетях  г. Ленинск-Кузнецкий.  См. Лист "Покупка".</t>
  </si>
  <si>
    <t xml:space="preserve">https://data-platform.ru/lk/files/Files/imenod/82cd714b-d903-4ffb-8cac-bf81762fbc77;  https://data-platform.ru/lk/files/Files/imenod/cd4e3351-5457-4525-af79-f759a681355e </t>
  </si>
  <si>
    <t>Распределение косвенных расходов (налоги)  - см. Приказ Первого заместителя Генерального директора ОАО "СКЭК" от 31.12.2023 № 375 "О внесении изменений в Учетную политику" (Пункт 1.1).</t>
  </si>
  <si>
    <t>https://portal.eias.ru/Portal/DownloadPage.aspx?type=12&amp;guid=b4229ec8-bd54-4640-828f-3135aeaf6792</t>
  </si>
  <si>
    <t>https://portal.eias.ru/Portal/DownloadPage.aspx?type=12&amp;guid=b9f01887-c39f-4bf2-9b18-40b3cf88754e      https://portal.eias.ru/Portal/DownloadPage.aspx?type=12&amp;guid=ffcab32f-9fad-4e12-a784-d6168600d5ef   https://portal.eias.ru/Portal/DownloadPage.aspx?type=12&amp;guid=b977c9cf-292f-4e24-a589-9d63c9d46700    https://portal.eias.ru/Portal/DownloadPage.aspx?type=12&amp;guid=dacbb68e-e50f-4af5-be14-03b0a79a31ff  ; https://data-platform.ru/lk/files/Files/imenod/7940050c-ed34-4560-a1fd-cb831c528084</t>
  </si>
  <si>
    <t>https://portal.eias.ru/Portal/DownloadPage.aspx?type=12&amp;guid=ae30bbf5-8c92-4701-b4fe-b89ed03b62ce ; https://data-platform.ru/lk/files/Files/imenod/0013e813-81f3-47c3-b826-2079ae8f2c55</t>
  </si>
  <si>
    <t>https://data-platform.ru/lk/files/Files/imenod/14b10f0f-740b-438a-baf5-d6ac03d69217  ;  https://data-platform.ru/lk/files/Files/imenod/42f75cc5-f408-443b-821d-170ad5ea398b</t>
  </si>
  <si>
    <t>https://portal.eias.ru/Portal/DownloadPage.aspx?type=12&amp;guid=0c16ffe4-3d90-4c73-a584-dcd4b80a074f   https://portal.eias.ru/Portal/DownloadPage.aspx?type=12&amp;guid=35339b67-3e7f-4bab-8c06-e9a0a177338c   https://portal.eias.ru/Portal/DownloadPage.aspx?type=12&amp;guid=70a5a592-bf83-450b-b680-03e73306a15b    https://portal.eias.ru/Portal/DownloadPage.aspx?type=12&amp;guid=2564cad9-a313-4bad-a2e9-ab54c54d1ef0  ; https://data-platform.ru/lk/files/Files/imenod/500b4be1-d589-490b-861d-fe2a5e2f2eea</t>
  </si>
  <si>
    <t>https://portal.eias.ru/Portal/DownloadPage.aspx?type=12&amp;guid=42995a97-2705-44ad-a164-12da8adae6ca ; https://data-platform.ru/lk/files/Files/imenod/3003b28b-5c90-4422-81f9-cdc60c5bc6e8</t>
  </si>
  <si>
    <t>https://portal.eias.ru/Portal/DownloadPage.aspx?type=12&amp;guid=1dcbb171-41f2-47b2-8103-e691655b5bfc  https://portal.eias.ru/Portal/DownloadPage.aspx?type=12&amp;guid=afeb5391-1d1f-4f44-b348-4855632aad9c</t>
  </si>
  <si>
    <t xml:space="preserve">https://portal.eias.ru/Portal/DownloadPage.aspx?type=12&amp;guid=1dcc8e5c-2074-4a9b-b9b8-e54bbe574b1b   https://portal.eias.ru/Portal/DownloadPage.aspx?type=12&amp;guid=86b25d07-f0ae-493b-ac86-90ae032a3080   https://portal.eias.ru/Portal/DownloadPage.aspx?type=12&amp;guid=1b120b2c-f1e8-4132-a5ab-8b99198873a8    https://portal.eias.ru/Portal/DownloadPage.aspx?type=12&amp;guid=fc83eace-c008-44dd-a45e-9879bda99cff  https://portal.eias.ru/Portal/DownloadPage.aspx?type=12&amp;guid=38ab8e50-05d9-49f1-9156-f0a48b853429   https://portal.eias.ru/Portal/DownloadPage.aspx?type=12&amp;guid=9258df06-055b-4484-bdfe-581c987a14ca https://portal.eias.ru/Portal/DownloadPage.aspx?type=12&amp;guid=f6392b93-cf48-4a24-adb0-6067d94a3d28  https://portal.eias.ru/Portal/DownloadPage.aspx?type=12&amp;guid=4e03c816-b3f1-43f3-9062-28a3c93ab820  https://portal.eias.ru/Portal/DownloadPage.aspx?type=12&amp;guid=e4cb0dd7-b8de-4a30-aabb-d91e7a9b6529 </t>
  </si>
  <si>
    <t>См. Лист "Аренда".  https://data-platform.ru/lk/files/Files/imenod/17d0e905-82ed-46fc-a710-b71da5cd0190 ;  https://data-platform.ru/lk/files/Files/imenod/a1ca34f6-d088-451f-bd8d-2594cc0fdc26 ; https://data-platform.ru/lk/files/Files/imenod/4ba6c05a-5341-4326-a095-89cf8fb94bb2 ; https://data-platform.ru/lk/files/Files/imenod/7d6cbc5f-bf74-4d44-afba-2d79e62d84a1 ;  https://data-platform.ru/lk/files/Files/imenod/dc240f95-46e8-4539-8ceb-4b72cb1255d8 ;  https://data-platform.ru/lk/files/Files/imenod/78f4dd50-f84b-4768-8856-aa0ef4a0f528</t>
  </si>
  <si>
    <t xml:space="preserve">https://portal.eias.ru/Portal/DownloadPage.aspx?type=12&amp;guid=ed785713-c8d3-45d2-89cf-0acdc6bfc2f1  https://portal.eias.ru/Portal/DownloadPage.aspx?type=12&amp;guid=c8b92280-6a78-4ed4-bebe-a91a5dae3c7f  https://portal.eias.ru/Portal/DownloadPage.aspx?type=12&amp;guid=4ab3cc3b-a4da-4732-9a8b-2b372940d485   https://portal.eias.ru/Portal/DownloadPage.aspx?type=12&amp;guid=3625c4a0-f379-43da-aea5-7a3d7aa10cde   https://portal.eias.ru/Portal/DownloadPage.aspx?type=12&amp;guid=f29db0bb-5020-4882-88a9-f1d2b9cc122d   https://portal.eias.ru/Portal/DownloadPage.aspx?type=12&amp;guid=df616fa6-1bb2-47de-afd6-2ca31f2da667  https://portal.eias.ru/Portal/DownloadPage.aspx?type=12&amp;guid=4a2fc4be-7fa2-4f10-93a4-623133225557   https://portal.eias.ru/Portal/DownloadPage.aspx?type=12&amp;guid=4dcd3542-9aa9-4047-8adc-26876713d0c7   https://portal.eias.ru/Portal/DownloadPage.aspx?type=12&amp;guid=a2b838eb-7053-4bba-8132-f4635b1b6301   </t>
  </si>
  <si>
    <t>1) П. 49 (4) Методических указаний ФСТ № 1749-э. 2) Пункты 1 и 2 Статьи 266 "Налоговый кодекс Российской Федерации (часть вторая)" от 05.08.2000 N 117-ФЗ. 3) Статья 196  "Гражданского кодекса Российской Федерации (часть первая)" от 30.11.1994 № 51-ФЗ (ред. от 24.07.2023). 4) Письмо Департамента налоговой и таможенно-тарифной политики Минфина РФ от 25.11.2008  N 03-03-06/2/158 "О списании в целях налогообложения прибыли организаций безнадежной задолженности в виде процентов по кредитам" 5) Письмо Департамента налоговой и таможенной политики Минфина России от 06.08.2018  N 03-03-06/1/55301 "О признании задолженности безнадежной для целей налогообложения прибыли организаций".</t>
  </si>
  <si>
    <t>Фактические расходы отчетного периода признаны обоснованными в полном объеме.  К учету в необходимой валовой выручке на 2026 год расходы не приняты - будут учитываться по факту возникновения затрат  при корректировке  НВВ отчетного периода в соответствующем периоде регулирования (п. 12 Методических указаний ФСТ № 1746-э).</t>
  </si>
  <si>
    <t>https://portal.eias.ru/Portal/DownloadPage.aspx?type=12&amp;guid=12bcf3c0-c5b1-4d87-829e-7e528dba99be   https://portal.eias.ru/Portal/DownloadPage.aspx?type=12&amp;guid=5e9a73b3-44d3-47a6-bcb2-e68facc0ea2c    https://portal.eias.ru/Portal/DownloadPage.aspx?type=12&amp;guid=8dab0366-7fcd-4fa5-b075-4e1719bd760a   https://portal.eias.ru/Portal/DownloadPage.aspx?type=12&amp;guid=bed2d777-9c15-4c08-8b47-8d6b00ae4e53   https://portal.eias.ru/Portal/DownloadPage.aspx?type=12&amp;guid=efbd26c3-75b6-44a0-8f8a-4f04d53ead1a</t>
  </si>
  <si>
    <t>См. Лист "Корректировка НВВ".</t>
  </si>
  <si>
    <t>https://portal.eias.ru/Portal/DownloadPage.aspx?type=12&amp;guid=2a53cc5d-f071-4027-9996-44ccda21cf3f   https://portal.eias.ru/Portal/DownloadPage.aspx?type=12&amp;guid=5804e192-194a-4a69-96e7-e0d8ff5efb2e</t>
  </si>
  <si>
    <t>https://data-platform.ru/lk/files/Files/imenod/d08b629b-96ac-46d0-a05e-939cb5303c38 ; https://data-platform.ru/lk/files/Files/imenod/aaf43bf7-64e8-4e7f-892a-323f7974b063</t>
  </si>
  <si>
    <t>П. 88, п. 22  Методических указаний ФСТ России № 1746-э.</t>
  </si>
  <si>
    <t>Фактические расходы подтверждены расчетом  ежемесячных сумм дефицита оборотных средств по регулируемым видам деятельности. Ставки по представленным кредитным договорам ,заключенным с  ПАО "Сбербанк" и  ПАО "Банк ВТБ", соответствуют требованиям  пункта 22 Мет. указаний. На 2026 г. расходы не заявлены.</t>
  </si>
  <si>
    <t>https://portal.eias.ru/Portal/DownloadPage.aspx?type=12&amp;guid=8a046170-6862-4aa2-a16c-8138da2a5a72   https://portal.eias.ru/Portal/DownloadPage.aspx?type=12&amp;guid=b217734d-421a-4158-9b43-d7f405f34a85  https://portal.eias.ru/Portal/DownloadPage.aspx?type=12&amp;guid=5dbd0651-71e7-425b-a6ad-b1cb98d8c3b9   https://portal.eias.ru/Portal/DownloadPage.aspx?type=12&amp;guid=abf926c2-dcbc-4ec3-b4d8-22583b8dcac9   https://portal.eias.ru/Portal/DownloadPage.aspx?type=12&amp;guid=bd744efd-a444-444c-92ff-16aced1bb3c9   https://portal.eias.ru/Portal/DownloadPage.aspx?type=12&amp;guid=dbe0b4d0-e51c-458c-a7cf-29345d5e75f7   https://portal.eias.ru/Portal/DownloadPage.aspx?type=12&amp;guid=e111b28a-223f-4231-8634-fe7c315eacef    https://portal.eias.ru/Portal/DownloadPage.aspx?type=12&amp;guid=4b46da1a-4738-4e19-b966-7ab4b0a39e5a  https://portal.eias.ru/Portal/DownloadPage.aspx?type=12&amp;guid=294ff3f1-a685-4771-a7a5-d5024d5314f1</t>
  </si>
  <si>
    <t>1) Пункты 90 и 95 "Методических указаний" (приказ ФСТ № 1746-э от 27.12.2013). Формулы (39.1), (39.2), (39.3). 2) Пункт 8 Статьи 25  Федерального закона от 23.11.2009 N 261-ФЗ (ред. от 31.07.2025 N 353-ФЗ ) "Об энергосбережении и о повышении энергетической эффективности и о внесении изменений в отдельные законодательные акты Российской Федерации".</t>
  </si>
  <si>
    <t xml:space="preserve">https://portal.eias.ru/Portal/DownloadPage.aspx?type=12&amp;guid=6c0eb6c8-2dcb-40f3-9783-69842ad3e5c8   https://portal.eias.ru/Portal/DownloadPage.aspx?type=12&amp;guid=5137ef31-d344-464e-b46f-a1c01ae47760    https://portal.eias.ru/Portal/DownloadPage.aspx?type=12&amp;guid=de7f03bb-2237-4abe-9a28-35b4bea6a14f    https://portal.eias.ru/Portal/DownloadPage.aspx?type=12&amp;guid=89838b2d-844a-48d4-a62a-b05814b9299c  https://portal.eias.ru/Portal/DownloadPage.aspx?type=12&amp;guid=6b00c64a-4b3d-413d-bddd-b76185357371   https://portal.eias.ru/Portal/DownloadPage.aspx?type=12&amp;guid=07d0f482-79c1-49b1-a76b-3fd87ba7de9c   https://portal.eias.ru/Portal/DownloadPage.aspx?type=12&amp;guid=e1f4e9ec-a1c5-4da8-821c-fc0cfc623589  </t>
  </si>
  <si>
    <t xml:space="preserve">1) П. 77, п. 43 Основ ценообразования (Постановление Правительства РФ от 13.05.2013 № 406). 2)  Приказ Минфина России от 17.09.2020 N 204н "Об утверждении Федеральных стандартов бухгалтерского учета ФСБУ 6/2020 "Основные средства" и ФСБУ 26/2020 "Капитальные вложения" (Зарегистрировано в Минюсте России 15.10.2020 N 60399). 3) Постановление Правительства РФ от 01.01.2002 N 1 (ред. от 18.11.2022) "О Классификации основных средств, включаемых в амортизационные группы". 4) Постановление региональной энергетической комиссии Кемеровской области от 17.12.2019 № 600  (в ред. от 17.11.2022 № 383), от 17.12.2019 № 601. </t>
  </si>
  <si>
    <t>См. лист "Амортизация".</t>
  </si>
  <si>
    <t>https://portal.eias.ru/Portal/DownloadPage.aspx?type=12&amp;guid=dfd64719-69a0-423b-bfe2-30215cd8cc20</t>
  </si>
  <si>
    <t>1) П. 84, п. 86 Методических указаний ФСТ № 1746-э (Формула 31). 2) 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3) ПРЕДПИСАНИЕ ФАС РОССИИ от 22.06.2026 № СП / 62214/26.</t>
  </si>
  <si>
    <t>Рассчитано, исходя из  скорректированной регулятором плановой НВВ 2026 г. (без учета прибыли и  налога на прибыль)  и  утвержденных нормативных уровней прибыли (г. Ленинск-Кузнецкий - 17,6%, г. Полысаево - 20,16%). Сумма, ПЕРЕСЧИТАННАЯ в связи с ПРЕДПИСАНИЕМ ФАС РОССИИ, составила величину, идентичную принятой ранее (всего - 94026,78 тыс. руб., в том числе по г. Ленинск-Кузнецкий - 62120,73 тыс. руб.).</t>
  </si>
  <si>
    <t>https://portal.eias.ru/Portal/DownloadPage.aspx?type=12&amp;guid=dfd64719-69a0-423b-bfe2-30215cd8cc20 ; https://data-platform.ru/lk/files/Files/imenod/e2907e38-8892-48dc-82cd-382dee79f4b0 ;  https://data-platform.ru/lk/files/Files/imenod/7ae1a521-c05b-4904-97f2-f37fcc3f48d8</t>
  </si>
  <si>
    <t>Определено как разница между  общей расчетной величиной Нормативной прибыли и суммой расходов на социальное развитие (п. 5.4). СПРАВОЧНО: ПЛАНОВАЯ СТОИМОСТЬ МЕРОПРИЯТИЙ ИНВЕСТИЦИОННОЙ ПРОГРАММЫ, утвержденная на 2026 год: г. Ленинск-Кузнецкий -61313,00 тыс. руб., г. Полысаево - 21559,98 тыс. руб., итого - 82872,98 тыс. руб.  ОБРАЗОВАВШИЙСЯ ИЗБЫТОК СРЕДСТВ  в размере 10896,98 тыс. руб. ПОДЛЕЖИТ ИСКЛЮЧЕНИЮ НА ОСНОВАНИИ п. 86 Методических указаний ФСТ России № 1746-э. (см. ниже пункт 7.5).</t>
  </si>
  <si>
    <t>https://data-platform.ru/lk/files/Files/imenod/bde7da69-c6f4-4333-8d60-b2ebaa302e42 ; https://data-platform.ru/lk/files/Files/imenod/2c432530-edba-4eed-9ece-4fd90ea0c3bf ;  https://data-platform.ru/lk/files/Files/imenod/844a197e-fe89-4160-83de-1799409f67d9</t>
  </si>
  <si>
    <t xml:space="preserve">ФАКТ 2024 г.: Сумма, распределенная организацией со сч. 91-04, скорректирована регулятором в части оздоровления сотрудников (принято в части отдыха в санаториях "ТАНАЙ"и "РОССИЯ" - 163,74 тыс. руб., , распределено согласно Учетной политике: г. Ленинск-Кузнецкий - 179,29 тыс.руб., г. Полысаево - 44,89 тыс. руб., ).  План на 2026 г.:  от факта 2024 г. с учетом ИПЦ 109,0% на 2025 г. и 105,1% на 2026 г.   </t>
  </si>
  <si>
    <t>https://data-platform.ru/lk/files/Files/imenod/b2aa25a8-528f-43a6-ad38-7e77888a123a ; https://data-platform.ru/lk/files/Files/imenod/70a72f1c-132e-45f3-967e-cd217d980757</t>
  </si>
  <si>
    <t>1) П. 78(1) Основ ценобразования, П. 86(1) Методических указаний ФСТ № 1746-э. 2) Постановление Администрации Ленинск-Кузнецкого городского округа  от 24.07.2019 № 1293 «Об определении гарантирующей организации в сфере водоснабжения и водоотведения на территории Ленинск-Кузнецкого городского округа». 3) Постановление Администрации Полысаевского городского округа  от 01.07.2019 № 1065 «Об определении гарантирующих организаций, осуществляющих  холодное водоснабжение и водоотведение на территории Полысаевского городского округа».</t>
  </si>
  <si>
    <t xml:space="preserve">Фактический показатель 2024 г. и плановый показатель 2026 г. приняты на уровне величин, включенных в расчет предельного роста НВВ  концессионера, предусмотренного конкурсной документацией при заключении  Конц. соглашений    (п. 10 статьи 46, п. 16.5)  Статьи 10   Федерального закона ФЗ-115 от  21.07.2005 </t>
  </si>
  <si>
    <t>https://data-platform.ru/lk/files/Files/imenod/720ba66a-b069-4248-988a-e7a10dbef294 ; https://data-platform.ru/lk/files/Files/imenod/e2907e38-8892-48dc-82cd-382dee79f4b0 ; https://data-platform.ru/lk/files/Files/imenod/7ae1a521-c05b-4904-97f2-f37fcc3f48d8</t>
  </si>
  <si>
    <t>1) П. 67 "Основ ценообразования", Пункт 92 "Методических указаний" (приказ ФСТ № 1746-э от 27.12.2013). Формула 35). 2) Постановление РЭК Кемеровской области от 17.12.2019 N 600 (ред. от 17.11.2022) (в ред.  от 26.12.2019 N 864,  от 17.11.2022 N 383). 3) Постановление РЭК Кемеровской области от 17.12.2019 N 601  (в ред. от 26.12.2019 N 865).  4)  ПРЕДПИСАНИЕ ФАС РОССИИ от 22.06.2026 № СП /62214/26.</t>
  </si>
  <si>
    <t>Во исполнение ПРЕДПИСАНИЯ ФАС России Региональной энергетической комиссией Кузбасса учтена по  данной статье  сумма затрат в размере (-136,44) тыс. руб.  Принимая во внимание, что в процессе тарифного регулирования на 2026 год ранее по данной статье была отражена положительная величина в размере 8,37 тыс. руб., итоговая сумма корректировки НВВ составила:
8,37 тыс. руб.+ (-136,44) тыс. руб. = (-128,07) тыс. руб. (См. ниже "Комментарии и обоснования к разделу").</t>
  </si>
  <si>
    <t>https://data-platform.ru/lk/files/Files/imenod/0545ce59-7c8e-4b5e-bb2b-2f4ce96ea1f9 ;  https://data-platform.ru/lk/files/Files/imenod/0545ce59-7c8e-4b5e-bb2b-2f4ce96ea1f9 ; https://data-platform.ru/lk/files/Files/imenod/35c7409c-b0a9-4c25-a2ba-75d3ff281d54 ; https://data-platform.ru/lk/files/Files/imenod/bcb31414-d3bb-4b9c-b136-7652b4374d0b ; https://data-platform.ru/lk/files/Files/imenod/939fdc57-7f08-4a7b-8500-728344acef0f ;  https://data-platform.ru/lk/files/Files/imenod/c1bbfbd4-9dca-4d30-b3fd-2d1673ea8fa1 ;  https://data-platform.ru/lk/files/Files/imenod/726c8f1f-d41a-4e96-9b78-9ee2a0748bf7 ;  https://data-platform.ru/lk/files/Files/imenod/bcb31414-d3bb-4b9c-b136-7652b4374d0b</t>
  </si>
  <si>
    <t xml:space="preserve">Пункт 93 (Формула 36) Методических указаний ФСТ России № 1746-э. </t>
  </si>
  <si>
    <t>Агрегированный показатель (А2024) = 1;  процент корректировки - 0%.</t>
  </si>
  <si>
    <t xml:space="preserve">https://data-platform.ru/lk/files/Files/imenod/c68f6cbf-8dfc-4319-b5fb-6b20617dbd59 </t>
  </si>
  <si>
    <t xml:space="preserve">П. 95 Методических указаний ФСТ России № 1746-э.  </t>
  </si>
  <si>
    <t>Организацией представлен скорректированный  расчет величины данной корректировки от 11.08.2025. Расчет специалиста РЭК Кузбасса с пояснениями - см. лист "Корректировка НВВ".</t>
  </si>
  <si>
    <t>https://data-platform.ru/lk/files/Files/imenod/5aa2c8e6-a32d-4d12-9271-c8b7645c64db ; https://data-platform.ru/lk/files/Files/imenod/720ba66a-b069-4248-988a-e7a10dbef294 ;  https://data-platform.ru/lk/files/Files/imenod/773b5b34-402d-4658-9243-9c5bf0e25bb8 ;  https://data-platform.ru/lk/files/Files/imenod/f4966ed1-a438-449e-b232-a1ba70f0ab88 ;  https://data-platform.ru/lk/files/Files/imenod/ddfd034e-8ba9-423c-ba17-697f448b8e18</t>
  </si>
  <si>
    <t xml:space="preserve">П. 12 Методических указаний ФСТ России № 1746-э.  </t>
  </si>
  <si>
    <t>ОРГАНИЗАЦИЕЙ ЗАЯВЛЕНЫ  НЕУЧТЕННЫЕ ФАКТИЧЕСКИЕ ЗАТРАТЫ 2024 г.:  1) Расходы по прямым договорам с собственниками помещений в многоквартирных жилых домах (МКЖД)  г. ПОЛЫСАЕВО (услуги  ООО "РКЦ" по агентскому договору) - 332,84 тыс. руб.; 2) перерасход по капитальному ремонту - 2111,16 тыс. руб.; 3) перерасход по РЕАГЕНТАМ - 16912,02 тыс. руб. РЕГУЛЯТОРОМ УЧТЕНО: 1) Услуги ООО "РКЦ" - 332,738 тыс. руб.  2) ПЕРЕРАСХОД по КАПРЕМОНТУ  - 2111,16 тыс. руб. (с учетом итогов 2023 г.).  Перерасход по РЕАГЕНТАМ отклонен, так как данные затраты учитывались в составе Операционных расходов, при этом возникший  перерасход по О.Р. связан с  резким увеличением  суммы Административных расходов, распределенной на данный вид деятельности, БЕЗ ПРЕДОСТАВЛЕНИЯ ОБОСНОВАНИЯ такого распределения.</t>
  </si>
  <si>
    <t xml:space="preserve">П. 12 (1); п. 86 Методических указаний ФСТ России № 1746-э.  </t>
  </si>
  <si>
    <t>По данной статье учтено: 1) Избыток средств, образующийся в составе РАСЧЕТНОЙ НОРМАТИВНОЙ ПРИБЫЛИ  2026 г. в связи с существенным увеличением расчетной базы (см. выше пункт 5.3) - 10896,98 тыс. руб.  2)  см. ниже п. 7.5.1.</t>
  </si>
  <si>
    <t>https://data-platform.ru/lk/files/Files/imenod/fb26aad7-cc76-41e1-b73b-0ffebb533939 ; https://data-platform.ru/lk/files/Files/imenod/9bc3655e-9107-4c3b-9e77-7d3ccec169ff ;  https://data-platform.ru/lk/files/Files/imenod/578c4518-1889-4f79-9313-aca7ba7a6e8a ;  https://data-platform.ru/lk/files/Files/imenod/dd98d781-184f-4687-ba2d-cdc88bf9dfa9 ;  https://data-platform.ru/lk/files/Files/imenod/e9784d75-a2d2-453f-a253-8020d16e3a09</t>
  </si>
  <si>
    <t xml:space="preserve">П. 12 (1) Методических указаний ФСТ России № 1746-э.  </t>
  </si>
  <si>
    <t xml:space="preserve">По данной статье учтена амортизация объектов, источником финансирования строительства которых является ПЛАТА ЗА ПОДКЛЮЧЕНИЕ  (технологическое присоединение) к централизованной системе водоснабжения.  Определено на основании документов, представленных в данном тарифном деле, а также в деле № 4-ВСиВО «Об установлении платы за подключение (технологическое присоединение)              к централизованным системам холодного водоснабжения и водоотведения  на 2024-2028 годы для ОАО «СКЭК» (Ленинск-Кузнецкий городской округ, Полысаевский городской округ)» </t>
  </si>
  <si>
    <t>https://data-platform.ru/lk/files/Files/imenod/f7996a7d-388c-4cbe-beaf-ee090dfe8e32</t>
  </si>
  <si>
    <t>1) п. 42 Методических указаний ФСТ России № 1746-э. 2) ПРЕДПИСАНИЕ ФАС РОССИИ от 22.06.2026 № СП / 62214/26.</t>
  </si>
  <si>
    <t xml:space="preserve">ОБщая величина корректировок в целях сглаживания роста тарифов, учтенных регулирующим органом  в процессе регулирования тарифов на 2019-2026 гг., составила (-310687,59) тыс. руб. Ввиду значительной суммы накопленного отрицательного сглаживания  (49,6 % от НВВ в сфере холодного водоснабжения) специалистом РЭК Кузбасса данная статья  скорректирована в сторону увеличения на сумму, равную сумме исключенных из состава НВВ экономически необоснованных расходов в сфере водоотведения (по предписанию ФАС России) - на 136,44 тыс. руб.  </t>
  </si>
  <si>
    <t>https://portal.eias.ru/Portal/DownloadPage.aspx?type=12&amp;guid=dcec55e9-cddd-425d-94a6-3033fd73456d</t>
  </si>
  <si>
    <t>https://data-platform.ru/lk/files/Files/imenod/8ecac87b-8c53-41ba-a855-266d929baf06</t>
  </si>
  <si>
    <t>Организацией представлен скорректированный расчет финансовых потребностей  в сфере холодного водоснабжения от  11.08.2025 (предложение от 06.11.2025 - идентично предыдущему).</t>
  </si>
  <si>
    <t>В данной калькуляции  специалистом РЭК Кузбасса указываются средневзвешенные тарифы, без учета дифференциации по территориям (см. Лист "ТМ").</t>
  </si>
  <si>
    <t>П. 8(2) "Основ ценообразования в сфере водоснабжения и водоотведения" (введен Постановлением Правительства РФ от 20.11.2025 N 1834)</t>
  </si>
  <si>
    <t xml:space="preserve">
Подлежащие регулированию тарифы в сферах холодного водоснабжения  и водоотведения устанавливаются (корректируются) на 2026 год органами регулирования тарифов с календарной разбивкой с 1 января 2026 г. по 30 сентября 2026 г. и с 1 октября 2026 г. по 31 декабря 2026 г.</t>
  </si>
  <si>
    <t>В данной калькуляции специалистом РЭК Кузбасса указываются средневзвешенные тарифы, без учета дифференциации по территориям (см. Лист "ТМ").</t>
  </si>
  <si>
    <t>https://data-platform.ru/lk/files/Files/imenod/611e2986-661b-43b2-b811-3668925e7196</t>
  </si>
  <si>
    <t>https://portal.eias.ru/Portal/DownloadPage.aspx?type=12&amp;guid=fc736dc5-a49e-41f3-8fe6-d6b7b83b2ef8  https://portal.eias.ru/Portal/DownloadPage.aspx?type=12&amp;guid=76d74a56-b222-4044-9d97-b62108d99fc4    https://portal.eias.ru/Portal/DownloadPage.aspx?type=12&amp;guid=3974603a-16ef-4b12-90ea-a4faada411b5   https://portal.eias.ru/Portal/DownloadPage.aspx?type=12&amp;guid=d37273bc-3f76-40b2-97bc-5b5123236dcc   https://portal.eias.ru/Portal/DownloadPage.aspx?type=12&amp;guid=37eb2125-dce7-453f-91aa-212eac89d61f    https://portal.eias.ru/Portal/DownloadPage.aspx?type=12&amp;guid=e290bda2-9bb2-4ee2-a685-596a5b94dfe3</t>
  </si>
  <si>
    <t>1) Пункты 90, 95 (Формула 39)  Методических указаний ФСТ России № 1746-э. 2) 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t>
  </si>
  <si>
    <t>Рассчитано исходя из базового уровня операционных расходов 2019 г. (120490,55 тыс. руб.) с применением коэффициента индексации 1,5403822114471, рассчитанного в соответствии с Методическими указаниями (с учетом индексов эффективности О.Р. на 2020 - 2026 гг. в размере 1%/год и с учетом ИПЦ на 2020 г. 103,4%; на 2021 г. 106,7%, на 2022 г. 113,8%, на 2023 г. 105,9%, на 2024 г. 108,5%, на 2025 г. 109,0%, на 2026 г. 105,1%  согласно "Прогнозу соц.-экономического развития РФ на 2026 год и на плановый период 2027 и 2028 годов" от 26.09.2025). РАЗМЕР ИКА на 2020-2026 гг.  ПРИНЯТ РАВНЫМ (0), будет учитываться при корректировке НВВ каждого отчетного года. См. также письмо ФАС России в адрес РЭК Кузбасса от 26.06.2025 исх. № ВК/59497/25 (вх. от 27.06.2025 № 4012) по вопросу корректировки операционных расходов регулируемых организаций - концессионеров на 2026 год.</t>
  </si>
  <si>
    <t>Базовый вариант "Прогноза соц.-экономического развития Российской Федерации на 2026 год и на плановый период 2027 и 2028 годов" (опубликован на официальном сайте Минэкономразвития России  26.09.2025).</t>
  </si>
  <si>
    <t>Операционные расходы, рассчитанные исходя из Базового уровня О.Р. (Концессионное соглашение № 1 /Л-К от  14.11.2019).</t>
  </si>
  <si>
    <t>https://portal.eias.ru/Portal/DownloadPage.aspx?type=12&amp;guid=a9bb17ce-573a-466a-8a72-abbb17b9554e   https://portal.eias.ru/Portal/DownloadPage.aspx?type=12&amp;guid=689593e5-c833-46c3-ac15-f24713f324ce    https://portal.eias.ru/Portal/DownloadPage.aspx?type=12&amp;guid=e1b818f4-cfd3-4d1e-a217-023e3eeceb6c   https://portal.eias.ru/Portal/DownloadPage.aspx?type=12&amp;guid=6a475086-f6fb-40ac-b75a-5418ff2ed260  https://portal.eias.ru/Portal/DownloadPage.aspx?type=12&amp;guid=1e915e80-f35b-4e63-8332-aeb977c30d1d   https://portal.eias.ru/Portal/DownloadPage.aspx?type=12&amp;guid=570c8503-be77-4316-85b7-31080e05cc99  https://portal.eias.ru/Portal/DownloadPage.aspx?type=12&amp;guid=afb5574b-592d-495d-a348-0f8d5729fb7e   https://portal.eias.ru/Portal/DownloadPage.aspx?type=12&amp;guid=58b2c142-3eab-4769-826b-c748df28c6fb   https://portal.eias.ru/Portal/DownloadPage.aspx?type=12&amp;g</t>
  </si>
  <si>
    <t>См. Лист "Покупка".</t>
  </si>
  <si>
    <t xml:space="preserve">https://portal.eias.ru/Portal/DownloadPage.aspx?type=12&amp;guid=b9f01887-c39f-4bf2-9b18-40b3cf88754e      https://portal.eias.ru/Portal/DownloadPage.aspx?type=12&amp;guid=ffcab32f-9fad-4e12-a784-d6168600d5ef   https://portal.eias.ru/Portal/DownloadPage.aspx?type=12&amp;guid=b977c9cf-292f-4e24-a589-9d63c9d46700    https://portal.eias.ru/Portal/DownloadPage.aspx?type=12&amp;guid=dacbb68e-e50f-4af5-be14-03b0a79a31ff  </t>
  </si>
  <si>
    <t>См. лист "НАЛОГИ",</t>
  </si>
  <si>
    <t>https://portal.eias.ru/Portal/DownloadPage.aspx?type=12&amp;guid=ae30bbf5-8c92-4701-b4fe-b89ed03b62ce</t>
  </si>
  <si>
    <t>https://portal.eias.ru/Portal/DownloadPage.aspx?type=12&amp;guid=42995a97-2705-44ad-a164-12da8adae6ca</t>
  </si>
  <si>
    <t>https://portal.eias.ru/Portal/DownloadPage.aspx?type=12&amp;guid=f31458f9-ff4e-423f-afdf-52477e8c9de1  https://portal.eias.ru/Portal/DownloadPage.aspx?type=12&amp;guid=7596c9d8-1620-4506-bb1f-0988296189de   https://portal.eias.ru/Portal/DownloadPage.aspx?type=12&amp;guid=07c0474d-5e5a-4635-956d-025ea7787bf5 ; https://data-platform.ru/lk/files/Files/imenod/95cc2cd7-8eda-4be5-844e-13df9a29a20f ;  https://data-platform.ru/lk/files/Files/imenod/d5b8b0d2-ceed-44be-980c-a6e6c41626f7 ;  https://data-platform.ru/lk/files/Files/imenod/272c18f9-9f25-422c-8313-626e83dae022 ; https://data-platform.ru/lk/files/Files/imenod/c8c7f3c9-6a41-48c3-9d3f-e9a2557c2132</t>
  </si>
  <si>
    <t>Учтено в соответствии с ОБРАЩЕНИЕМ ОРГАНИЗАЦИИ от 06.11.2025 вх. № 7129 и Распоряжением Правительства РФ от 01.09.2025 N 2409-р "О ставках платы за негативное воздействие на окружающую среду в 2026 - 2030 годах и внесении изменений в Распоряжение Правительства РФ от 10.07.2025 N 1852-р".</t>
  </si>
  <si>
    <t>См. Лист  "Аренда".</t>
  </si>
  <si>
    <t>1) П. 49 (4) Методических указаний ФСТ № 1749-э. 2) Пункты 1 и 2 Статьи 266 "Налоговый кодекс Российской Федерации (часть вторая)" от 05.08.2000 N 117-ФЗ. 3) Статья 196  "Гражданского кодекса Российской Федерации (часть первая)" от 30.11.1994 № 51-ФЗ (ред. от 24.07.2023). 4) Письмо Департамента налоговой и таможенно-тарифной политики Минфина РФ от 25.11.2008  N 03-03-06/2/158 "О списании в целях налогообложения прибыли организаций безнадежной задолженности в виде процентов по кредитам" 5) Письмо Департамента налоговой и таможенной политики Минфина России от 06.08.2018  N 03-03-06/1/55301 "О признании задолженности безнадежной"</t>
  </si>
  <si>
    <t>https://portal.eias.ru/Portal/DownloadPage.aspx?type=12&amp;guid=3c9e6d4c-d35f-4dcf-80c6-9db5ba20eb4f  https://portal.eias.ru/Portal/DownloadPage.aspx?type=12&amp;guid=9961ad76-179a-4fad-aa1e-1676380dc90c  https://portal.eias.ru/Portal/DownloadPage.aspx?type=12&amp;guid=5cb74ea1-82cd-4cbf-b8c7-5e0b5c670491   https://portal.eias.ru/Portal/DownloadPage.aspx?type=12&amp;guid=000ddce9-022a-4a37-9bcf-726e2f63717b  https://portal.eias.ru/Portal/DownloadPage.aspx?type=12&amp;guid=3a54256b-a9dc-4a3f-8412-02561a4c80b8     https://portal.eias.ru/Portal/DownloadPage.aspx?type=12&amp;guid=526ac187-a9b1-4004-967a-2727c4d62d70   https://portal.eias.ru/Portal/DownloadPage.aspx?type=12&amp;guid=813d458a-25b8-4964-8b06-8f755ac2e901  https://portal.eias.ru/Portal/DownloadPage.aspx?type=12&amp;guid=f58df33f-4843-4821-af8a-9f4f3e8835d4  https://portal.eias.ru/Portal/DownloadPage.aspx?type=12&amp;guid=104b086b-a58c-42dc-a533-9027ecee1184</t>
  </si>
  <si>
    <t>ОРГАНИЗАЦИЕЙ ЗАЯВЛЕНО:  1) Затраты на дополнительные лабораторные анализы сточных вод (в связи с изменением требования действующего законодательства) - 492,71 тыс. руб.; 2) перерасход по капитальному ремонту - 445,19 тыс. руб. РЕГУЛЯТОРОМ УЧТЕН  ПЕРЕРАСХОД по КАПРЕМОНТУ в размере заявленной величины.  Затраты на ЛАБОРАТОРНЫЕ ИССЛЕДОВАНИЯ относятся к Операционным расходам (могут быть учтены в последующих периодах регулирования  в составе Неподконтрольных расходов по факту возникновения соответствующих затрат).</t>
  </si>
  <si>
    <t xml:space="preserve"> Подтверждено расчетом  ежемесячных сумм дефицита оборотных средств по регулируемым видам деятельности. Ставки по представленным кредитным договорам ,заключенным с  ПАО "Сбербанк" и  ПАО "Банк ВТБ", соответствуют требованиям  пункта 22 Мет. указаний. </t>
  </si>
  <si>
    <t>1) Пункты 90 и 95 "Методических указаний" (приказ ФСТ № 1746-э от 27.12.2013). Формулы (39.1), (39.2), (39.3). 2) Пункт 8 Статьи 25  Федерального закона от 23.11.2009 N 261-ФЗ (ред. от 31.07.2025 N 353-ФЗ)  "Об энергосбережении и о повышении энергетической эффективности и о внесении изменений в отдельные законодательные акты Российской Федерации".</t>
  </si>
  <si>
    <t>1) П. 43 Основ ценообразования (Постановление Правительства РФ от 13.05.2013 № 406). 2)  П. 28 "Методических указаний по расчету регулируемых тарифов в сфере водоснабжения и водоотведения" (Приказ ФСТ России от 27.12.2013 № 1746-э (ред. от 27.05.2024)).  3) Приказ Минфина России от 17.09.2020 N 204н "Об утверждении Федеральных стандартов бухгалтерского учета ФСБУ 6/2020 "Основные средства" и ФСБУ 26/2020 "Капитальные вложения" (Зарегистрировано в Минюсте России 15.10.2020 N 60399). 4) Постановление Правительства РФ от 01.01.2002 N 1 (ред. от 18.11.2022) "О Классификации основных средств, включаемых в амортизационные группы".</t>
  </si>
  <si>
    <t>1) П. 84, п. 86 Методических указаний ФСТ № 1746-э (Формула 31). 2) 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t>
  </si>
  <si>
    <t>Рассчитано, исходя из  скорректированной регулятором плановой НВВ 2026 г. (без учета прибыли и  налога на прибыль)  и  утвержденного нормативного уровня прибыли (1,28%).</t>
  </si>
  <si>
    <t>Постановление региональной энергетической комиссии Кемеровской области от 17.12.2019 № 600 "Об утверждении инвестиционной программы ОАО «Северо-Кузбасская энергетическая компания» в сфере холодного водоснабжения и водоотведения Ленинск-Кузнецкого городского округа на 2019-2028 годы".</t>
  </si>
  <si>
    <t>Определено как разница между  общей расчетной величиной Нормативной прибыли и суммой расходов на социальное развитие (п. 5.4). СПРАВОЧНО: ПЛАНОВАЯ СТОИМОСТЬ МЕРОПРИЯТИЙ ИНВЕСТИЦИОННОЙ ПРОГРАММЫ, утвержденная на 2026 год в сфере водоотведения : г. Ленинск-Кузнецкий - 2227,80 тыс. руб., ОБРАЗОВАВШИЙСЯ ИЗБЫТОК СРЕДСТВ  в размере 333,04 тыс. руб. ПОДЛЕЖИТ ИСКЛЮЧЕНИЮ НА ОСНОВАНИИ п. 86 Методических указаний ФСТ России № 1746-э. (см. ниже пункт 7.7).</t>
  </si>
  <si>
    <t>П. 78 основ ценообразования, п.86 Методических указаний ФСТ № 1746-э (Формула 31).</t>
  </si>
  <si>
    <t xml:space="preserve"> Сумма фактических затрат 2024 г., распределенная организацией со сч. 91-04, скорректирована регулятором в части оздоровления сотрудников (принято в части отдыха в санаториях "ТАНАЙ"и "РОССИЯ" - 163,74 тыс. руб., распределено согласно Учетной политике - 3,023%) , итого   53,9501+163,74*3,023/100  =  58,90 тыс. руб. ПЛАН 2026 г. -  от факта 2024 г. с учетом ИПЦ 109,0% на 2025 г. и 105,1% на 2026 г.</t>
  </si>
  <si>
    <t>https://data-platform.ru/lk/files/Files/imenod/b2aa25a8-528f-43a6-ad38-7e77888a123a</t>
  </si>
  <si>
    <t>1) П. 78(1) Основ ценобразования, П. 86(1) Методических указаний ФСТ № 1746-э. 2) Постановление Администрации Ленинск-Кузнецкого городского округа  от 24.07.2019 № 1293 «Об определении гарантирующей организации в сфере водоснабжения и водоотведения на территории Ленинск-Кузнецкого городского округа».</t>
  </si>
  <si>
    <t>https://data-platform.ru/lk/files/Files/imenod/e2907e38-8892-48dc-82cd-382dee79f4b0 ; https://data-platform.ru/lk/files/Files/imenod/720ba66a-b069-4248-988a-e7a10dbef294</t>
  </si>
  <si>
    <t xml:space="preserve">П. 67 "Основ ценообразования", п.92 Методических указаний  ФСТ № 1746-э. 2) Постановление РЭК Кемеровской области от 17.12.2019 N 600 (ред. от 17.11.2022) "Об утверждении инвестиционной программы ОАО "Северо-Кузбасская энергетическая компания" в сфере холодного водоснабжения и водоотведения Ленинск-Кузнецкого городского округа на 2019 - 2028 годы" (в ред. постановления РЭК Кемеровской области от 26.12.2019 N 864, постановления РЭК Кузбасса от 17.11.2022 N 383). </t>
  </si>
  <si>
    <t>Экономия инвестиционных расходов отсутствует; стоимость НЕЗАВЕРШЕННЫХ мероприятий будет определяться по их завершении в соответствующих периодах регулирования (перерасход в размере 0,41 тыс. руб. в части стоимости мероприятий, относящихся к будущим периодам, к учету в НВВ 2026 г. не принят).</t>
  </si>
  <si>
    <t>https://data-platform.ru/lk/files/Files/imenod/0545ce59-7c8e-4b5e-bb2b-2f4ce96ea1f9 ; https://data-platform.ru/lk/files/Files/imenod/0545ce59-7c8e-4b5e-bb2b-2f4ce96ea1f9 ; https://data-platform.ru/lk/files/Files/imenod/35c7409c-b0a9-4c25-a2ba-75d3ff281d54 ; https://data-platform.ru/lk/files/Files/imenod/bcb31414-d3bb-4b9c-b136-7652b4374d0b</t>
  </si>
  <si>
    <t>https://data-platform.ru/lk/files/Files/imenod/25285021-6235-4045-ad18-d87400fb8d59</t>
  </si>
  <si>
    <t>П. 91 и 95 Методических указаний ФСТ России № 1746-э.</t>
  </si>
  <si>
    <t xml:space="preserve">https://portal.eias.ru/Portal/DownloadPage.aspx?type=12&amp;guid=1bf040a6-6679-403d-a7cf-8df57ecb5c64    https://portal.eias.ru/Portal/DownloadPage.aspx?type=12&amp;guid=e82479e8-64fc-4485-a101-b6d6dd2572b8    https://portal.eias.ru/Portal/DownloadPage.aspx?type=12&amp;guid=ab14fa8a-e8b2-4911-837c-9f3cf45db638  https://portal.eias.ru/Portal/DownloadPage.aspx?type=12&amp;guid=664c95c8-dac0-4d6f-a66d-d482fa8d2fcd  </t>
  </si>
  <si>
    <t>Пункт 26 (1) "Основ ценообразования в сфере водоснабжения и водоотведения" (Постановление Правительства РФ от 13.05.2013 N 406 (ред. от 20.11.2025) "О государственном регулировании тарифов в сфере водоснабжения и водоотведения").</t>
  </si>
  <si>
    <t>ИЗБЫТОК СРЕДСТВ (г. Ленинск-Кузнецкий - 33616,7 тыс. руб., ), полученный  в виде платы за нарушение нормативов качества и состава сточных вод, за негативное воздействие на систему водоотведения, определенный  в соответствии с пунктом 26 (1)  Основ ценообразования, БУДЕТ ИСКЛЮЧЕН при корректировке тарифов на 2028 год (абзац пятый п. 26 (1)).</t>
  </si>
  <si>
    <t>https://portal.eias.ru/Portal/DownloadPage.aspx?type=12&amp;guid=1bf040a6-6679-403d-a7cf-8df57ecb5c64    https://portal.eias.ru/Portal/DownloadPage.aspx?type=12&amp;guid=e82479e8-64fc-4485-a101-b6d6dd2572b8    https://portal.eias.ru/Portal/DownloadPage.aspx?type=12&amp;guid=ab14fa8a-e8b2-4911-837c-9f3cf45db638  https://portal.eias.ru/Portal/DownloadPage.aspx?type=12&amp;guid=664c95c8-dac0-4d6f-a66d-d482fa8d2fcd   https://data-platform.ru/lk/files/Files/imenod/74718021-c821-440a-9dce-b23dfac48166</t>
  </si>
  <si>
    <t>По данной статье учтено: 1) Избыток средств, образующийся в составе РАСЧЕТНОЙ НОРМАТИВНОЙ ПРИБЫЛИ  2026 г. в связи с существенным увеличением расчетной базы (см. выше пункт 5.3) - 333,04 тыс. руб.  2)  см. ниже п. 7.7.1.</t>
  </si>
  <si>
    <t>https://data-platform.ru/lk/files/Files/imenod/fb26aad7-cc76-41e1-b73b-0ffebb533939 ; https://data-platform.ru/lk/files/Files/imenod/55a5e1e7-30de-44a6-9d24-180061f18fa7 ;  https://data-platform.ru/lk/files/Files/imenod/dd98d781-184f-4687-ba2d-cdc88bf9dfa9</t>
  </si>
  <si>
    <t>https://portal.eias.ru/Portal/DownloadPage.aspx?type=12&amp;guid=304a6c95-bd0e-4d42-b3df-778d2f2fe353</t>
  </si>
  <si>
    <t>ОБщая величина корректировок в целях сглаживания роста тарифов, учтенных регулирующим органом  в процессе регулирования тарифов на 2019-2026 гг., составила (-65 513,56) тыс. руб.</t>
  </si>
  <si>
    <t>https://data-platform.ru/lk/files/Files/imenod/37700cd4-a122-4747-927c-dbb23b3773bc</t>
  </si>
  <si>
    <t>См. скорректированный  ОРГАНИЗАЦИЕЙ расчет финансовых потребностей в сфере водоотведения г. Ленинск-Кузнецкий от 06.11.2025 вх.№ 7129, представленный в связи с изменением ставок платы за негативное воздействие на окружающую среду.</t>
  </si>
  <si>
    <t>П. 8(2) Постановление Правительства РФ от 13.05.2013 N 406 (ред. от 20.11.2025) "О государственном регулировании тарифов в сфере водоснабжения и водоотведения"  (введен Постановлением Правительства РФ от 20.11.2025 N 1834).</t>
  </si>
  <si>
    <t>Подлежащие регулированию тарифы в сферах холодного водоснабжения и водоотведения устанавливаются (корректируются) на 2026 год органами регулирования тарифов с календарной разбивкой с 1 января 2026 г. по 30 сентября 2026 г. и с 1 октября 2026 г. по 31 декабря 2026 г.</t>
  </si>
  <si>
    <t>Рассчитано исходя из базового уровня операционных расходов 2019 г. (39830,04 тыс. руб.) с применением коэффициента индексации 1,5403822114471, рассчитанного в соответствии с Методическими указаниями (с учетом индексов эффективности О.Р. на 2020 - 2026 гг. в размере 1%/год и с учетом ИПЦ на 2020 г. 103,4%; на 2021 г. 106,7%, на 2022 г. 113,8%, на 2023 г. 105,9%, на 2024 г. 108,5%, на 2025 г. 109,0%, на 2026 г. 105,1%  согласно "Прогнозу соц.-экономического развития РФ на 2026 год и на плановый период 2027 и 2028 годов" от 26.09.2025). РАЗМЕР ИКА на 2020-2026 гг.  ПРИНЯТ РАВНЫМ (0), будет учитываться при корректировке НВВ каждого отчетного года. См. также письмо ФАС России в адрес РЭК Кузбасса от 26.06.2025 исх. № ВК/59497/25 (вх. от 27.06.2025 № 4012) по вопросу корректировки операционных расходов регулируемых организаций - концессионеров на 2026 год.</t>
  </si>
  <si>
    <t>Операционные расходы, рассчитанные исходя из Базового уровня О.Р. (Концессионное соглашение № 1 /Л-К от  14.11.2019, Концессионное соглашение № 3 от 14.11.2019.).</t>
  </si>
  <si>
    <t>Приказ Первого заместителя Генерального директора ОАО "СКЭК" от 31.12.2023 № 375 "О внесении изменений в Учетную политику" (Пункт 1.1).  -см. распределение косвенных расходов (в т.ч. налогов и обязательных платежей).</t>
  </si>
  <si>
    <t xml:space="preserve">https://portal.eias.ru/Portal/DownloadPage.aspx?type=12&amp;guid=f31458f9-ff4e-423f-afdf-52477e8c9de1  https://portal.eias.ru/Portal/DownloadPage.aspx?type=12&amp;guid=7596c9d8-1620-4506-bb1f-0988296189de   https://portal.eias.ru/Portal/DownloadPage.aspx?type=12&amp;guid=07c0474d-5e5a-4635-956d-025ea7787bf5 ; https://data-platform.ru/lk/files/Files/imenod/95cc2cd7-8eda-4be5-844e-13df9a29a20f ; https://data-platform.ru/lk/files/Files/imenod/272c18f9-9f25-422c-8313-626e83dae022 ; </t>
  </si>
  <si>
    <t xml:space="preserve">ОРГАНИЗАЦИЕЙ ЗАЯВЛЕНО:  1) Расходы по прямым договорам с собственниками помещений в  многоквартирных жилых домах (МКЖД) (услуги ООО "РКЦ" по агентскому договору) - 332,738 тыс. руб.; 2) дополнительные лабораторные анализы (в связи с изменением требований законодательства) - 236,18 тыс. руб.; 3) перерасход по капитальному ремонту - 331,55 тыс. руб.; 4) перерасход по РЕАГЕНТАМ - 494,25 тыс. руб. РЕГУЛЯТОРОМ УЧТЕНО:  1) Расходы по агентскому договору с ООО "РКЦ" - 332,738 тыс. руб.; 2) перерасход по КАПИТАЛЬНОМУ РЕМОНТУ - 331,55 тыс. руб. Прочее отклонено, так как относится к ОПЕРАЦИОННЫМ расходам (по которым имеется экономия в размере 968,60 тыс. руб.). </t>
  </si>
  <si>
    <t>См. Лист "ЭЭ",</t>
  </si>
  <si>
    <t>1) П. 77, п. 43 Основ ценообразования (Постановление Правительства РФ от 13.05.2013 № 406). 2)  Приказ Минфина России от 17.09.2020 N 204н "Об утверждении Федеральных стандартов бухгалтерского учета ФСБУ 6/2020 "Основные средства" и ФСБУ 26/2020 "Капитальные вложения" (Зарегистрировано в Минюсте России 15.10.2020 N 60399). 3) Постановление Правительства РФ от 01.01.2002 N 1 (ред. от 18.11.2022) "О Классификации основных средств, включаемых в амортизационные группы". 4) Постановление региональной энергетической комиссии Кемеровской области от 17.12.2019 № 600  (в ред. от 17.11.2022 № 383), от 17.12.2019 № 601.</t>
  </si>
  <si>
    <t>В соответствии с постановлением РЭК Кузбасса от 17.12.2019 № 601.</t>
  </si>
  <si>
    <t xml:space="preserve">1) П. 84, п. 86 Методических указаний ФСТ № 1746-э (Формула 31). 2) 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3) 2) ПРЕДПИСАНИЕ ФАС РОССИИ  от 22.06.2026 № СП / 62214 / 26. </t>
  </si>
  <si>
    <t>Рассчитано, исходя из  скорректированной регулятором плановой НВВ 2026 г. (без учета прибыли и  налога на прибыль)  и  утвержденного нормативного уровня прибыли (60,47%).   На основании ПРЕДПИСАНИЯ ФАС РОССИИ сумма рассчитана заново. Однако, в связи с тем, что расчетная база составила величину, ИДЕНТИЧНУЮ предыдущей, рассчитанный показатель нормативной прибыли  ОСТАЛСЯ НА ПРЕЖНЕМ УРОВНЕ (см. "Комментарии и обоснования к разделу").</t>
  </si>
  <si>
    <t>Расходы на 2026 год определены как разница между общей величиной расчетной нормативной прибыли и суммой расходов на социальное развитие. СПРАВОЧНО:  стоимость мероприятий Инвестиционной программы, запланированная на 2025 год, составляет 37808,43 тыс. руб. Образующийся НЕДОСТАТОК СРЕДСТВ на выполнение  инвестиционных мероприятий (обусловленный  применением Формулой расчета прибыли) в размере 9825,54  тыс. руб., учтен  в составе затрат по пункту  7.6.</t>
  </si>
  <si>
    <t>https://portal.eias.ru/Portal/DownloadPage.aspx?type=12&amp;guid=dcec55e9-cddd-425d-94a6-3033fd73456d ;  https://data-platform.ru/lk/files/Files/imenod/2c432530-edba-4eed-9ece-4fd90ea0c3bf ; https://data-platform.ru/lk/files/Files/imenod/844a197e-fe89-4160-83de-1799409f67d9</t>
  </si>
  <si>
    <t xml:space="preserve"> Сумма, распределенная организацией со сч. 91-04, скорректирована регулятором в части оздоровления сотрудников (принято в части отдыха в санаториях "ТАНАЙ"и "РОССИЯ" - 163,74 тыс. руб., распределено согласно Учетной политике в размере 4,441% ,итого по статье - 86,53 тыс. руб.). ПЛАН на 2026 г.:   от факта 2024 г. , с учетом ИПЦ 109,0% на 2025 г. и 105,1% на 2026 г.</t>
  </si>
  <si>
    <t>https://data-platform.ru/lk/files/Files/imenod/70a72f1c-132e-45f3-967e-cd217d980757</t>
  </si>
  <si>
    <t>1) П. 78(1) Основ ценообразования, П. 86(1) Методических указаний ФСТ № 1746-э. 2) Постановление Администрации Полысаевского городского округа  от 01.07.2019 № 1065 «Об определении гарантирующих организаций, осуществляющих  холодное водоснабжение и водоотведение на территории Полысаевского городского округа».</t>
  </si>
  <si>
    <t>Фактический размер 2024 г. и плановый размер расчетной предпринимательской прибыли на 2026 г. определен специалистом РЭК Кузбасса  на уровне величины, включенной в расчет предельного роста необходимой валовой выручки концессионера, предусмотренного конкурсной документацией при организации конкурса на заключение  Концессионных соглашений (п. 10 статьи 46  Федерального закона ФЗ-115 от  21.07.2005 "О концессионных соглашениях").</t>
  </si>
  <si>
    <t>https://data-platform.ru/lk/files/Files/imenod/7ae1a521-c05b-4904-97f2-f37fcc3f48d8 ; https://data-platform.ru/lk/files/Files/imenod/720ba66a-b069-4248-988a-e7a10dbef294</t>
  </si>
  <si>
    <t>П. 67 "Основ ценообразования", п.92 Методических указаний  ФСТ № 1746-э. 2)  Постановление РЭК Кемеровской области от 17.12.2019 N 601 (ред. от 26.12.2019) "Об утверждении инвестиционной программы ОАО "Северо-Кузбасская энергетическая компания" в сфере холодного водоснабжения и водоотведения Полысаевского городского округа на 2019 - 2028 годы" (в ред. постановления РЭК Кемеровской области от 26.12.2019 N 865).</t>
  </si>
  <si>
    <t xml:space="preserve">Экономия по ЗАВЕРШЕННЫМ инвестиционным мероприятиям: 5480,61 тыс. руб.; перерасход по прочим мероприятиям:  5502,00 тыс. руб. (в том числе в счет плана будущих периодов - 5502,00 тыс. руб.). Так как оба мероприятия (проектирование и  строительство) относятся к одному объекту, сумма корректировки принята равной 0,00 тыс. руб. (экономия в части проектирования направлена на финансирование строительства объекта, итоговая фактическая стоимость будет определяться после полного завершения работ).  </t>
  </si>
  <si>
    <t>https://data-platform.ru/lk/files/Files/imenod/939fdc57-7f08-4a7b-8500-728344acef0f ; https://data-platform.ru/lk/files/Files/imenod/c1bbfbd4-9dca-4d30-b3fd-2d1673ea8fa1 ;  https://data-platform.ru/lk/files/Files/imenod/726c8f1f-d41a-4e96-9b78-9ee2a0748bf7 ;  https://data-platform.ru/lk/files/Files/imenod/bcb31414-d3bb-4b9c-b136-7652b4374d0b</t>
  </si>
  <si>
    <t>Пункт 93 (Формула 36) Методических указаний ФСТ России № 1746-э.</t>
  </si>
  <si>
    <t xml:space="preserve"> Агрегированный показатель (А2024) = 1;  процент корректировки - 0%.</t>
  </si>
  <si>
    <t>https://portal.eias.ru/Portal/DownloadPage.aspx?type=12&amp;guid=fb897b10-2049-470a-b489-39b4d81ec330</t>
  </si>
  <si>
    <t xml:space="preserve">П. 91 и 95 Методических указаний ФСТ № 1746-э </t>
  </si>
  <si>
    <t>https://portal.eias.ru/Portal/DownloadPage.aspx?type=12&amp;guid=1bf040a6-6679-403d-a7cf-8df57ecb5c64   https://portal.eias.ru/Portal/DownloadPage.aspx?type=12&amp;guid=e82479e8-64fc-4485-a101-b6d6dd2572b8   https://portal.eias.ru/Portal/DownloadPage.aspx?type=12&amp;guid=ab14fa8a-e8b2-4911-837c-9f3cf45db638   https://portal.eias.ru/Portal/DownloadPage.aspx?type=12&amp;guid=664c95c8-dac0-4d6f-a66d-d482fa8d2fcd</t>
  </si>
  <si>
    <t xml:space="preserve">пунктом 26 (1)  "Основы ценообразования в сфере водоснабжения и водоотведения" (утв. Постановление Правительства РФ от 13.05.2013 N 406 (ред. от 20.11.2025) "О государственном регулировании тарифов в сфере водоснабжения и водоотведения"). </t>
  </si>
  <si>
    <t>ИЗБЫТОК СРЕДСТВ (г. Полысаево - 2043,64 тыс. руб.), полученный  в виде платы за нарушение нормативов качества и состава сточных вод, за негативное воздействие на систему водоотведения, определенный  в соответствии с пунктом 26 (1)  Основ ценообразования, БУДЕТ ИСКЛЮЧЕН при корректировке тарифов на 2028 год (абзац пятый п. 26 (1)).</t>
  </si>
  <si>
    <t>https://data-platform.ru/lk/files/Files/imenod/5aa2c8e6-a32d-4d12-9271-c8b7645c64db</t>
  </si>
  <si>
    <t xml:space="preserve">1) П. 12 Методических указаний ФСТ России № 1746-э.  2) П. 78 "Основ ценообразования". 3) ПРЕДПИСАНИЕ ФАС РОССИИ от 22.06.2026  № СП/62214/26 </t>
  </si>
  <si>
    <t>Учтен остаток недополученного дохода за 2022 г. в размере 5000,00 тыс. руб., заявленный организацией, но не учтенный  регулирующим органом при корректировке тарифов на 2024 г.  В процессе тарифного регулирования на 2026-2028 гг. по данной статье также был учтен НЕДОСТАТОК ИНВЕСТИЦИОННЫХ СРЕДСТВ в составе НОРМАТИВНОЙ ПРИБЫЛИ в размере  9825,57 тыс. руб., (возникший в связи с уменьшением расчетной базы при применении Формул (31) и (38) Методических указаний). В соответствии с ПРЕДПИСАНИЕМ ФАС РОССИИ от 22.06.2026  № СП/62214/26  данная сумма средств ИСКЛЮЧЕНА  из состава НВВ  на 2026 год (см. "ОБоснования и комментарии к разделу").</t>
  </si>
  <si>
    <t>https://data-platform.ru/lk/files/Files/imenod/fb26aad7-cc76-41e1-b73b-0ffebb533939 ; https://data-platform.ru/lk/files/Files/imenod/a7da38a1-80cc-4068-9781-e71d83a45f01 ; https://data-platform.ru/lk/files/Files/imenod/e9784d75-a2d2-453f-a253-8020d16e3a09</t>
  </si>
  <si>
    <t xml:space="preserve"> П. 12.1. Методических указаний ФСТ России № 1746-э.</t>
  </si>
  <si>
    <t xml:space="preserve">1)  П. 42 Методических указаний ФСТ № 1746-э.   2) ПРЕДПИСАНИЕ ФАС РОССИИ  от 22.06.2026 № СП / 62214 / 26. </t>
  </si>
  <si>
    <t xml:space="preserve">Общая величина корректировок в целях сглаживания роста тарифов, учтенных регулирующим органом  в процессе регулирования тарифов на 2019-2026 гг., составила (-116341,18) тыс. руб.  Ввиду значительной суммы накопленного отрицательного сглаживания  (149,8 % от НВВ в сфере водоотведения г. Полысаево) специалистом РЭК Кузбасса  сумма, учтенная по данной статье  ранее при установлении тарифов  на 2026 год в размере (-74991,92) тыс. руб.,  скорректирована в сторону увеличения на сумму, РАВНУЮ СУММЕ ИСКЛЮЧЕННЫХ из состава НВВ экономически необоснованных расходов в сфере водоотведения (ПО ПРЕДПИСАНИЮ ФАС РОССИИ) – 9 825,56 тыс. руб. </t>
  </si>
  <si>
    <t>https://data-platform.ru/lk/files/Files/imenod/49096bfd-e6ec-49e9-9ee5-fae1f2b34980</t>
  </si>
  <si>
    <t>П. 8(2) Постановления Правительства РФ от 13.05.2013 N 406 (ред. от 20.11.2025) "О государственном регулировании тарифов в сфере водоснабжения и водоотведения"  (введен Постановлением Правительства РФ от 20.11.2025 N 1834).</t>
  </si>
  <si>
    <t>{                  _x000D_
         funcDyn: 'msg1',_x000D_
         blok: 'blok_1',_x000D_
         wsCross: 'ДПР',_x000D_
         linkFormula: 'AB-AB',_x000D_
         levelDyn: ''_x000D_
}</t>
  </si>
  <si>
    <t>В графе "ПРИНЯТО ОРГАНОМ РЕГУЛИРОВАНИЯ на 2024 год" отображен расчет финансовых потребностей и тарифов  в сфере  холодного водоснабжения и водоотведения в соответствии с Постановлением РЭК Кузбасса от 18.04.2025 N 124 "О внесении изменений в постановление Региональной энергетической комиссии Кузбасса от 28.11.2023 N 409 "Об утверждении производственной программы в сфере холодного водоснабжения питьевой водой, водоотведения и об установлении тарифов на питьевую воду, водоотведение ОАО "Северо-Кузбасская энергетическая компания" (Ленинск-Кузнецкий городской округ, Полысаевский городской округ)"  (с изменениями, внесенными решением Кемеровского областного суда от 02.11.2024 N 3а-157/2024).</t>
  </si>
  <si>
    <t>В графе "ПРИНЯТО ОРГАНОМ РЕГУЛИРОВАНИЯ на 2025 год" отображен расчет финансовых потребностей и тарифов  в сфере  холодного водоснабжения и водоотведения в соответствии с Постановлением РЭК Кузбасса от 27.12.2024 N 816 "О внесении изменений в постановление Региональной энергетической комиссии Кузбасса от 28.11.2023 N 409 "Об утверждении производственной программы в сфере холодного водоснабжения питьевой водой, водоотведения и об установлении тарифов на питьевую воду, водоотведение ОАО "Северо-Кузбасская энергетическая компания" (г. Ленинск-Кузнецкий, г. Полысаево, п. Никитинский, п. ст. Индустрия, п. Красногорский, п. Шахты N 5 Ленинск-Кузнецкого муниципального округа)".</t>
  </si>
  <si>
    <t>Графа "ПРЕДЛОЖЕНИЕ ОРГАНИЗАЦИИ НА 2026 ГОД" заполнена на основании СКОРРЕКТИРОВАННЫХ  расчетов финансовых потребностей в сфере холодного водоснабжения и водоотведения, представленных  ОАО "СКЭК"  вместе со СКОРРЕКТИРОВАННЫМ ЗАЯВЛЕНИЕМ  от 11.08.2025 (вх. № 5016), а также НОВЫМ СКОРРЕКТИРОВАННЫМ ЗАЯВЛЕНИЕМ, представленным организацией  06.11.2025 (вх. № 7129) в связи с существенным изменением ставок платы за негативное воздействие на окружающую среду согласно Распоряжению Правительства РФ от 01.09.2025 N 2409-р "О ставках платы за негативное воздействие на окружающую среду в 2026 - 2030 годах и внесении изменений в Распоряжение Правительства РФ от 10.07.2025 N 1852-р".</t>
  </si>
  <si>
    <t>Кроме того, от организации в адрес РЭК Кузбасса поступили  2 заявления, согласно которым предлагалось установить СРЕДНЕВЗВЕШЕННЫЕ ТАРИФЫ  в сфере холодного водоснабжения и водоотведения, единые  для  всех  муниципальных образований, которые обслуживает  ОАО "СКЭК" (Кемеровский городской округ; Кемеровский муниципальный округ; Березовский городской округ;  г. Ленинск-Кузнецкий, г. ПОлысаево, пос. Никитинский, пос. Индустрия,  пос. Красногорский, пос. Шахты № 5  Ленинск-Кузнецкого муниципального округа; Чебулинский муниципальный округ; Яшкинский муниципальный округ; Яйский муниципальный округ).</t>
  </si>
  <si>
    <t>Согласно заявлению ОАО "СКЭК от 31.10.2025 вх. № 6997,  организацией предложено установить (скорректировать)  тарифы на 2026 год в следующих размерах:   ПИТЬЕВАЯ ВОДА - 91,22 руб./м3;  водоотведение - 66,72 руб/м3.</t>
  </si>
  <si>
    <t>Согласно заявлению ОАО "СКЭК от 13.11.2025 вх. № 7326,  организацией предложено установить (скорректировать)  тарифы на 2026 год (в связи с существенным изменением ставок платы за негативное воздействие на окружающую среду) в следующих размерах:   ПИТЬЕВАЯ ВОДА - 91,22 руб./м3;  водоотведение - 67,08 руб/м3.</t>
  </si>
  <si>
    <t xml:space="preserve">По итогам проведенной экспертизы  регулирующим органом принято решение об установлении (корректировке) тарифов на 2026 год  ДИФФЕРЕНЦИРОВАННО по каждой территории, как и ранее. </t>
  </si>
  <si>
    <t>Расчет финансовых потребностей в сфере холодного водоснабжения и водоотведения на 2026 г. произведен специалистом РЭК в соответствии с положениями Главы VII Методических указаний ФСТ № 1746-э.</t>
  </si>
  <si>
    <t>ДОПОЛНИТЕЛЬНОЕ ПОЯСНЕНИЕ  в связи с ПРЕДПИСАНИЕМ ФАС РОССИИ от 22.06.2026 № СП / 62214 /26.</t>
  </si>
  <si>
    <t>В целях исполнения предписания ФАС России от 22.06.2026  № СП/62214/26 в экспертные заключения ОАО «СКЭК» на 2026 год (Ленинск-Кузнецкий городской округ - номер тарифа (идентификатор): ХВС.42.26322895.0022  (питьевая вода) и ВО.42.26322895.0025 (водоотведение г. Полысаево) вносятся следующие изменения.</t>
  </si>
  <si>
    <t>Пунктом  2  вышеуказанного документа Федеральной антимонопольной службой России  предписано:  «…исключить из состава необходимой валовой выручки ОАО «СКЭК» экономически необоснованные расходы в сфере водоотведения в размере 9 825,54 тыс. руб., а также иные взаимозависимые статьи затрат».</t>
  </si>
  <si>
    <t>«…произвести дополнительный анализ и расчет расходов (показателей) на основании мотивировочной части настоящего предписания и отразить соответствующий анализ в экспертном заключении (с указанием документов и материалов, на основании которых принималось решение, причин учета (неучета) представленных регулируемой организацией документов и расчетов) по статьям затрат и показателю: «Величина отклонения показателя ввода объектов системы водоснабжения и (или) водоотведения в эксплуатацию и изменения инвестиционной программы» за 2024 год, по итогам которого исключить экономически необоснованные расходы, отразив соответствующие анализ и расчеты в экспертном заключении».</t>
  </si>
  <si>
    <t>I.  ТАРИФ НА  ВОДООТВЕДЕНИЕ г. ПОЛЫСАЕВО.   1.1 «НОРМАТИВНАЯ ПРИБЫЛЬ»   
При утверждении тарифов ОАО «СКЭК» на водоотведение  (г. Полысаево) на 2026 год специалистом РЭК Кузбасса  в соответствии  с пунктом  86 Методических указаний ФСТ № 1746-э был рассчитан показатель нормативной прибыли в размере 28 082,02 тыс. руб., исходя из скорректированной регулятором плановой НВВ 2026 г. (46 439,58 тыс. руб. без учета прибыли и налога на прибыль), и утвержденного нормативного уровня прибыли – 60,47%.</t>
  </si>
  <si>
    <t xml:space="preserve">Указанная величина нормативной прибыли включает расходы, учтенные в соответствии с пунктом 78 «Основ ценообразования»:
1) расходы на социальное развитие – 99,13 тыс. руб.;
2) расходы на капитальные вложения (инвестиции), предусмотренные утвержденной Инвестиционной программой № 601, которые были определены как разность между рассчитанной величиной нормативной прибыли и суммой расходов на социальное развитие: 28 082,02 тыс. руб. – 99,13 тыс. руб. =  27 982,89 тыс. руб. </t>
  </si>
  <si>
    <t xml:space="preserve">Вместе с тем, Инвестиционной программой № 601 сумма инвестиционных расходов в сфере водоотведения г. Полысаево, финансируемых в 2026 году за счет нормативной прибыли, была предусмотрена в размере 37 808,43 тыс. руб., что превышает величину, принятую  РЭК Кузбасса к учету в составе НВВ на 2026 год, на  9 825,54 тыс. руб. </t>
  </si>
  <si>
    <t>Таким образом, в составе плановой нормативной прибыли на 2026 год, рассчитанной в соответствии с Пунктом 86 Методических указаний, образовался  недостаток средств в размере разницы между величиной плановых расходов на капитальные вложения, рассчитанных специалистом РЭК Кузбасса на основании Пункта  86 Методических указаний и пункта 78 «Основ ценообразования», и величиной капитальных вложений, покрываемых за счет нормативной прибыли согласно утвержденным инвестиционным программам.
В целях финансового обеспечения исполнения инвестиционной программы сумма данного дефицита средств была учтена регулирующим органом по статье затрат «Недополученные доходы / Выпадающие расходы».</t>
  </si>
  <si>
    <t>ФАС России установлено, что такой дополнительный учет средств в составе необходимой валовой выручки на 2026 год не соответствует пункту 15 Основ ценообразования, который устанавливает следующее:  «В случае если регулируемая организация в течение истекшего периода регулирования понесла экономически обоснованные расходы, не учтенные органом регулирования тарифов при установлении тарифов на ее товары (работы, услуги), или имеет недополученные доходы прошлых периодов регулирования, то такие расходы (недополученные доходы), а также расходы, связанные с обслуживанием заемных средств и собственных средств, направляемых на покрытие недостатка средств, учитываются в соответствии с методическими указаниями органом регулирования тарифов при установлении тарифов для такой регулируемой организации в полном объеме не позднее чем на 3-й годовой период регулирования, следующий за периодом регулирования, в котором указанные расходы (недополученные доходы) были подтверждены бухгалтерской и статистической отчетностью.»</t>
  </si>
  <si>
    <t xml:space="preserve">В связи с этим РЭК Кузбасса исключает данные расходы в размере   9 825,54 тыс. руб. из состава необходимой валовой выручки  по  водоотведению на 2026 год.
Соответствующие изменения отражены в  настоящем экспертном заключении:      лист «Калькуляция (МИ корр)» пункт 7.6 строка 577.   </t>
  </si>
  <si>
    <t>1.2. "ВЕЛИЧИНА СГЛАЖИВАНИЯ НВВ". Общая величина корректировок в целях сглаживания роста тарифов, учтенных регулирующим органом  в процессе регулирования тарифов на 2019-2026 гг., составила (-116341,18) тыс. руб.  (см. Таблицу 1 на Листе "ТАБЛИЦЫ 1 и 2"). Ввиду значительной суммы накопленного отрицательного сглаживания за предыдущие периоды (149,8 % от НВВ в сфере водоотведения) специалистом РЭК Кузбасса статья «ВЕЛИЧИНА СГЛАЖИВАНИЯ НВВ» (в составе НВВ на 2026 год) скорректирована в сторону увеличения на сумму, равную сумме исключенных из состава НВВ экономически необоснованных расходов в сфере водоотведения (по предписанию ФАС России) –                       9 825,56 тыс. руб. (соответствующие изменения отражены в настоящем экспертном заключении: лист «Калькуляция (МИ корр)» пункт 8, строка 583).</t>
  </si>
  <si>
    <t xml:space="preserve">1.3.  После произведенных корректировок показатель «РАСЧЕТНАЯ ПРЕДПРИНИМАТЕЛЬСКАЯ ПРИБЫЛЬ»  НЕ ИЗМЕНИЛСЯ  в связи с тем, что в процессе тарифного регулирования  на 2026 год данная величина была определена РЭК Кузбасса на уровне величины, включенной в расчет предельного роста НВВ концессионера, предусмотренного конкурсной документацией при заключении  Концессионного соглашения (3 127,31 тыс. руб.) - НИЖЕ, чем установленный пунктом 86(1) Методических указаний уровень  ( 5% от суммы Текущих расходов и Амортизации).    </t>
  </si>
  <si>
    <t xml:space="preserve">II. ТАРИФ НА ПИТЬЕВУЮ ВОДУ (г. ЛЕНИСК-КУЗНЕЦКИЙ, г. ПОЛЫСАЕВО).  </t>
  </si>
  <si>
    <t xml:space="preserve">2.1   Статья "ВЕЛИЧИНА ОТКЛОНЕНИЯ ПОКАЗАТЕЛЯ  ВВОДА  ОБЪЕКТОВ  СИСТЕМЫ ВОДОСНАБЖЕНИЯ  В ЭКСПЛУАТАЦИЮ  И ИЗМЕНЕНИЯ  ИНВЕСТИЦИОННОЙ   ПРОГРАММЫ».   В представленной ТАБЛИЦЕ 2 ( на Листе "ТАБЛИЦЫ 1 и 2")  иллюстрируются итоги исполнения Инвестиционной программы № 601, утвержденной на 2024 год, в части оказываемых услуг в сфере холодного водоснабжения (г.  ЛЕНИНСК-КУЗНЕЦКИЙ):.  Суммарная экономия по мероприятиям, запланированным на 2024 г., составила (-136,00) тыс. руб.                   </t>
  </si>
  <si>
    <t xml:space="preserve">Величина отклонения показателя ввода объектов системы водоснабжения и (или) водоотведения в эксплуатацию и изменения инвестиционной программы рассчитывается по формуле 35 Методических указаний. где:
  - объем собственных средств на реализацию инвестиционной программы, учтенный при установлении тарифов на (i-2)-й год и включающий амортизацию основных средств  и  нематериальных активов (ХВС г. Ленинск-Кузнецкий – Амортизация - 2 617,00 тыс. руб.),  расходы из прибыли (31 188,90 тыс. руб.) и иные собственные средства, определенные инвестиционной программой;
  - объем фактического ввода объектов системы водоснабжения и (или) водоотведения в эксплуатацию и изменения инвестиционной программы в (i-2)-м году по стоимости, определенной в инвестиционной программе на год (i-2), - 33 669,46 тыс. руб.;
  - плановый размер финансирования инвестиционной программы, утвержденной в установленном порядке на (i-2)-й год, за счет всех источников финансирования – 33 805,90 тыс. руб.
</t>
  </si>
  <si>
    <t>ΔИ 2024  = (2 617,00 + 31 188,90)  * (33 669,46  / (2 617,00 + 31 188,90) - 1) = -136,44 тыс. руб.</t>
  </si>
  <si>
    <t xml:space="preserve">Таким образом, величина отклонения показателя ΔИi-2 составила             136,44 тыс. руб. (к снятию). Данная сумма ранее не была исключена при корректировке необходимой валовой выручки 2026 года. </t>
  </si>
  <si>
    <t>По итогам проведенного анализа, экономии расходов по завершенному мероприятию инвестиционной программы (п. 1.4.1.1.1.) по основаниям, указанным в пункте 67 Основ ценообразования № 406, не выявлено.</t>
  </si>
  <si>
    <t>Во исполнение предписания ФАС России РЭК Кузбасса учитывает по статье «Величина отклонения показателя ввода объектов системы водоснабжения в эксплуатацию и изменения инвестиционной программы» сумму затрат в размере (-136,44) тыс. руб.  Принимая во внимание, что в процессе тарифного регулирования на 2026 год по данной статье была отражена положительная величина в размере 8,37 тыс. руб., итоговая сумма корректировки НВВ составила:
8,37 тыс. руб.+ (-136,44) тыс. руб. = (-128,07) тыс. руб.</t>
  </si>
  <si>
    <t xml:space="preserve">Соответствующие изменения отражены в экспертном заключении: лист «Калькуляция (МИ корр)» пункт 7.1 строка 282.   </t>
  </si>
  <si>
    <t>2.2. Статья "ВЕЛИЧИНА СГЛАЖИВАНИЯ НВВ".   Ввиду значительной суммы накопленного отрицательного сглаживания за предыдущие периоды (-       310 687,59   тыс. руб., или  49,6 % от НВВ в сфере холодного водоснабжения, см. ТАБЛИЦУ 1 на листе "ТАБЛИЦЫ 1 и 2") специалистом РЭК Кузбасса статья «Величина сглаживания НВВ» (в составе НВВ на 2026 год) скорректирована в сторону увеличения на сумму, равную сумме исключенных из состава НВВ экономически необоснованных расходов в сфере водоотведения (по предписанию ФАС России) - на 136,44 тыс. руб.  (соответствующие изменения отражены в  настоящем  экспертном заключении: лист «Калькуляция (МИ корр)» пункт 8, строка 293).</t>
  </si>
  <si>
    <t xml:space="preserve"> 2.3. В связи с внесением корректировок по двум вышеуказанным статьям, специалистом РЭК Кузбасса ПЕРЕСЧИТАНА взаимозависимая статья «НОРМАТИВНАЯ ПРИБЫЛЬ» (в части расходов по регулируемой деятельности, осуществляемой в г. Ленинск-Кузнецкий, в рамках Концессионного соглашения от 14.11.2019 № 1/Л-К). Однако, в связи с тем, что расчетная база составила величину, идентичную предыдущей, рассчитанный показатель нормативной прибыли ОСТАЛСЯ НА ПРЕЖНЕМ УРОВНЕ: всего - 94026,78 тыс. руб., в том числе по г. Ленинск-Кузнецкий - 62120,73 тыс. руб.  (см. Лист «Калькуляция (МИ корр)» пункт 5  строка 262).   </t>
  </si>
  <si>
    <t xml:space="preserve">2.4. Показатель «РАСЧЕТНАЯ ПРЕДПРИНИМАТЕЛЬСКАЯ ПРИБЫЛЬ»  ТАКЖЕ НЕ ИЗМЕНИЛСЯ,  в связи с тем, что в процессе тарифного регулирования на  2026 год данная величина была определена РЭК Кузбасса на уровне величины, включенной в расчет предельного роста НВВ  концессионера, предусмотренного конкурсной документацией при заключении  Концессионного соглашения (10 581,70 тыс. руб.), -  НИЖЕ, чем установленный пунктом 86(1) Методических указаний уровень  ( 5% от суммы Текущих расходов и Амортизации).  </t>
  </si>
  <si>
    <t>ПРОЧИЕ СТАТЬИ ЗАТРАТ  в сфере холодного водоснабжения (в том числе затраты по  г. Полысаево - в части регулируемой деятельности, осуществляемой в рамках Концессионного соглашения от 14.11.2019 № 3)  ОСТАЛИСЬ НА ПРЕЖНЕМ УРОВНЕ, согласно утвержденному постановлению РЭК Кузбасса от 18.12.2025 № 572. В связи с чем НВВ и  ТАРИФЫ НА ПИТЬЕВУЮ ВОДУ, устанавливаемые на 2026 год, ТАКЖЕ НЕ ИЗМЕНИЛИСЬ.</t>
  </si>
  <si>
    <t>III. ПУНКТОМ 3 вышеуказанного документа ФАС России предписано «По результатам исполнения пункта 2 настоящего предписания исполнительному органу Кемеровской области в области государственного регулирования цен (тарифов) в сфере водоснабжения и водоотведения пересмотреть величину необходимой валовой выручки ОАО «СКЭК» на 2026 год в соответствии с положениями Основ ценообразования № 406 и мотивировочной частью настоящего предписания, исключив выявленные экономически необоснованные расходы из необходимой валовой выручки ОАО «СКЭК»».</t>
  </si>
  <si>
    <t>По результатам исполнения п. 2 предписания ФАС России от 22.06.2026 № СП/62214/26 РЭК Кузбасса:
3.1. были исключены экономически необоснованные расходы в размере    9 825,54 тыс. руб. в части оказываемых услуг ВОДООТВЕДЕНИЯ  (г.  ПОЛЫСАЕВО Ленинск-Кузнецкого муниципального округа). При этом на равнозначную сумму в сторону увеличения была скорректирована статья «Величина сглаживания НВВ» ввиду значительной суммы накопленного отрицательного сглаживания за предыдущие периоды. В связи с чем НВВ и тарифы на 2026 год по водоотведению ОСТАЛИСЬ НА РАНЕЕ УТВЕРЖДЕННОМ УРОВНЕ.</t>
  </si>
  <si>
    <t>2.2. были исключены экономически необоснованные расходы в размере:
 136,44 тыс. руб. -  в части оказываемых услуг ХОЛОДНОГО ВОДОСНАБЖЕНИЯ   (г.  ЛЕНИНСК-КУЗНЕЦКИЙ Ленинск-Кузнецкого муниципального округа). При этом на 136,44 тыс. руб. в сторону увеличения была скорректирована статья «Величина сглаживания НВВ» ввиду значительной суммы накопленного отрицательного сглаживания за предыдущие периоды. В связи с чем НВВ и тарифы на 2026 год по холодному водоснабжению ОСТАЛИСЬ НА РАНЕЕ УТВЕРЖДЕННОМ УРОВНЕ.</t>
  </si>
  <si>
    <t>IV. ПУНКТОМ 4  вышеуказанного документа ФАС России предписано «По результатам исполнения пунктов 2, 3 настоящего предписания исполнительному органу Кемеровской области в области государственного регулирования цен (тарифов) в сфере водоснабжения и водоотведения не позднее 01.10.2026 пересмотреть и ввести в действие тарифы в сфере водоснабжения и водоотведения для ОАО «СКЭК» на 2026 год».</t>
  </si>
  <si>
    <t>РЭК Кузбасса отмечает, что в связи с тем, что  размер НВВ и тарифов  в сфере холодного водоснабжения и водоотведения  по итогам исполнения аунктов 2, 3 предписания ФАС  остались на прежнем уровне, ВНОСИТЬ ИЗМЕНЕНИЯ В ПОСТАНОВЛЕНИЕ  РЭК Кузбасса  от 18.12.2025 № 572 «О внесении изменений в постановление Региональной энергетической комиссии Кузбасса от 28.11.2023 № 409 «Об утверждении производственной программы в сфере холодного водоснабжения питьевой водой, водоотведения и об установлении тарифов  на питьевую воду, водоотведение ОАО «Северо-Кузбасская энергетическая компания» (г. Ленинск-Кузнецкий, г. Полысаево, п. Никитинский, п. ст. Индустрия, п. Красногорский, п. Шахты № 5 Ленинск-Кузнецкого муниципального округа)» в части 2026 года»,  НЕ ТРЕБУЕТСЯ.</t>
  </si>
  <si>
    <t>Таблица 1.   НАКОПЛЕННЫЕ СУММЫ СГЛАЖИВАНИЯ  (ДО КОРРЕКТИРОВКИ В СВЯЗИ С ПРЕДПИСАНИЕМ ФАС РОССИИ)</t>
  </si>
  <si>
    <t>Наименование услуги</t>
  </si>
  <si>
    <t>2019 г.</t>
  </si>
  <si>
    <t>2020 г.</t>
  </si>
  <si>
    <t>2021 г.</t>
  </si>
  <si>
    <t>2022 г.</t>
  </si>
  <si>
    <t>2023 г.</t>
  </si>
  <si>
    <t>2024 г.</t>
  </si>
  <si>
    <t>2025 г.</t>
  </si>
  <si>
    <t>2026 г.</t>
  </si>
  <si>
    <t>Накопленная сумма корректировок за 2019-2026</t>
  </si>
  <si>
    <t>Питьевая вода</t>
  </si>
  <si>
    <t xml:space="preserve">-  59 476,06   </t>
  </si>
  <si>
    <t xml:space="preserve">-   75 616,80   </t>
  </si>
  <si>
    <t xml:space="preserve">-  108 432,02   </t>
  </si>
  <si>
    <t xml:space="preserve">-       310 687,59   </t>
  </si>
  <si>
    <t>Водоотведение  г. Ленинск-Кузнецкий</t>
  </si>
  <si>
    <t xml:space="preserve">-         65 513,56   </t>
  </si>
  <si>
    <t>Водоотведение  г. Полысаево</t>
  </si>
  <si>
    <t xml:space="preserve">-    8 873,11   </t>
  </si>
  <si>
    <t xml:space="preserve">-   32 476,15   </t>
  </si>
  <si>
    <t xml:space="preserve">-    74 991,92   </t>
  </si>
  <si>
    <t xml:space="preserve">-       116 341,18   </t>
  </si>
  <si>
    <t>Таблица 2. НАКОПЛЕННЫЕ СУММЫ СГЛАЖИВАНИЯ (ПОСЛЕ КОРРЕКТИРОВКИ В СВЯЗИ С ПРЕДПИСАНИЕМ ФАС)</t>
  </si>
  <si>
    <t xml:space="preserve">-  108 295,59   </t>
  </si>
  <si>
    <t xml:space="preserve">-       310 551,16   </t>
  </si>
  <si>
    <t xml:space="preserve">-    65 166,36   </t>
  </si>
  <si>
    <t xml:space="preserve">-       106 515,62   </t>
  </si>
  <si>
    <t>Таблица 3</t>
  </si>
  <si>
    <t>Пункт в перечне меропри-ятий ИП</t>
  </si>
  <si>
    <t>Наименование мероприятия Инвестиционной программы № 600</t>
  </si>
  <si>
    <t>Период выполнения согласно утвержденной ИП</t>
  </si>
  <si>
    <t xml:space="preserve"> План 2024 </t>
  </si>
  <si>
    <t xml:space="preserve"> Факт 2024 </t>
  </si>
  <si>
    <t xml:space="preserve"> Факт 2024, принятый РЭК Кузбасса </t>
  </si>
  <si>
    <t xml:space="preserve"> Откл. ВСЕГО </t>
  </si>
  <si>
    <t>Примечание</t>
  </si>
  <si>
    <t>1.4.1.1.1.</t>
  </si>
  <si>
    <t>Замена сетей ВС с увелич. Диаметра (ул. Мечникова)</t>
  </si>
  <si>
    <t>2023-2024</t>
  </si>
  <si>
    <t xml:space="preserve">-              37,38   </t>
  </si>
  <si>
    <t>ЗАВЕРШЕНО</t>
  </si>
  <si>
    <t>1.4.1.1.2.</t>
  </si>
  <si>
    <t>Замена сетей ВС с увелич. Диаметра (ул. Оптимистическая)</t>
  </si>
  <si>
    <t>2024-2025</t>
  </si>
  <si>
    <t xml:space="preserve">-                       1,74   </t>
  </si>
  <si>
    <t>продолжается</t>
  </si>
  <si>
    <t>1.4.2.1.4.</t>
  </si>
  <si>
    <t>Установка  КИПиА в узловых точках сетей ВС (21 шт.)</t>
  </si>
  <si>
    <t>2024-2028</t>
  </si>
  <si>
    <t xml:space="preserve">-                     73,16   </t>
  </si>
  <si>
    <t>1.5.1.</t>
  </si>
  <si>
    <t>Строительство сетей водоснабжения для ликвидации колонок</t>
  </si>
  <si>
    <t>2023-2028</t>
  </si>
  <si>
    <t xml:space="preserve">-                     24,16   </t>
  </si>
  <si>
    <t>1.5.2.</t>
  </si>
  <si>
    <t xml:space="preserve">Строительство сетей с устройством ПНС и баками запаса воды ул. Туснолобовой - ул. Чехова для водоснабжения участка № 10 </t>
  </si>
  <si>
    <t>2022-2026</t>
  </si>
  <si>
    <t xml:space="preserve">-                     17,80   </t>
  </si>
  <si>
    <t>В том числе В СЧЕТ БУДУЩИХ ПЕРИОДОВ -                17,8 тыс. руб.</t>
  </si>
  <si>
    <t xml:space="preserve"> </t>
  </si>
  <si>
    <t>ИТОГО:</t>
  </si>
  <si>
    <t xml:space="preserve">-          136,44 </t>
  </si>
  <si>
    <t>I. ПИТЬЕВАЯ ВОДА. 1. ОТКРЫТЫЙ ВОДОЗАБОР расположен в районе пгт. Крапивино, в 367 км от устья. Комплекс объектов водоснабжения введен в эксплуатацию в 1981 г. Проектная производительность – 105,5 тыс. м3/сут. В состав комплекса входят: 1)  Ковшевой водозабор на р. Томь с насосной станцией 1-го подъема (расположены в створе с. Крапивино); 2)  Водоводы неочищенной воды Д=1000; 1400 мм от водозаборных сооружений до станции подготовки воды (НФС), протяженностью 62,8 км; 3) Насосные станции подкачки по трассе водоводов 2-го, 3-го и 4-го подъемов. Работа станций ведется в последовательном режиме (насосная станция 4-го подъема находится в резерве); 4) Станция подготовки воды (насосно-фильтровальная станция, НФС) расположена в с. Демьяновка. Проектная мощность – 105,50 тыс. м3/сут. Годы ввода в эксплуатацию – 1983 и 1985.</t>
  </si>
  <si>
    <t>В состав НФС входят: отстойники (для удаления взвешенных примесей); комплекс хлорирования (для обеззараживания воды); скоростные фильтры в количестве 5 штук; 3 резервуара чистой воды, емкостью 6000 м3 каждый; насосная станция 5-го подъема. Насосная станция 5-го подъема транзитом подает воду по водоводу Д=1000 мм в г. Белово. Длина водовода – 40,3 км. По пути к водоводу подключены г. Полысаево (от гидроузла № 6 врезка в трубу Д=400 мм), пос. Грамотеино и пос. Красногорский. 
ГИДРОУЗЕЛ № 2. Подача воды осуществляется с НФС в количестве 50,0 тыс. м3/сут. Год строительства гидроузла – 1981. В состав гидроузла входят: 2 резервуара чистой воды, емкостью по 10000 м3 каждый; насосная станция.</t>
  </si>
  <si>
    <t xml:space="preserve">ГИДРОУЗЕЛ № 4 расположен в районе ул. Узловая и ул. Суворова. Год строительства – 1961. В составе гидроузла: 2 резервуара чистой воды, емкостью 500 м3 каждый; насосная станция. Гидроузел обслуживает шахты «Им. 7 Ноября», «Комсомолец», район «Телецентр» и прилегающий к ул. Суворова частный сектор (расположенный на высоких отметках). Для обесцвечивания и осветления речной воды (очистки от грубодисперсных грязевых и коллоидных загрязнений) применяется КОАГУЛЯНТ оксихлорид алюминия (20%), а также, в случае сезонного увеличения загрязненности и мутности воды, - ФЛОКУЛЯНТ «Праестол 650 TR». Обеззараживание воды производится с помощью НАТРИЯ ГИПОХЛОРИТА (до 2022 г. применялся жидкий хлор). Для обеззараживания оборудования насосно-фильтровальной станции используется гипохлорит кальция. </t>
  </si>
  <si>
    <t xml:space="preserve">2. НИКИТИНСКИЙ ПОДЗЕМНЫЙ ВОДОЗАБОР. Забор воды для обеспечения питьевым водоснабжением п. Никитинский производится из 2-х скважин (1 рабочая и 1 резервная) глубиной 100 м, диаметром 300 мм, расположенных в 2 км северо-западнее п. Никитинский. 
Подъем воды производится глубинными насосами ЭЦВ 8-25-150, которые круглосуточно обслуживаются машинистами насосных установок.
Вода из скважин по трубопроводу Д= 100 мм протяженностью 2,2 км. подается в подземный железобетонный резервуар перекачной насосной станции емкостью 600 м3. В резервуаре производится обеззараживание воды гипохлоритом натрия (контакт в течение 19 часов), после чего вода подается по трубопроводу Д=150 мм в разводящую сеть поселка. </t>
  </si>
  <si>
    <t xml:space="preserve">В здании машинного отделения перекачной станции расположены насосная станция, хлораторная, операторская, лаборатория. Подача воды на поселок осуществляется насосами ЦНС-105-196, которые обслуживаются круглосуточно машинистами насосных установок (5 человек). Чистка и дезинфекция резервуара производится по графику 1 раз в год (используется гипохлорит натрия). </t>
  </si>
  <si>
    <t xml:space="preserve">II. ВОДООТВЕДЕНИЕ г. ЛЕНИНСК-КУЗНЕЦКИЙ. 1. ЦЕНТРАЛИЗОВАННАЯ СИСТЕМА ВОДООТВЕДЕНИЯ Г. ЛЕНИНСК-КУЗНЕЦКИЙ. Сточные воды от объектов жилищного фонда, предприятий и организаций по самотечным коллекторам поступают на КНС (канализационные насосные станции): КНС № 1; КНС № 2 квартала «Профсоюзный»;  КНС квартала «Кемеровский» ; КНС «КСК»,  принимающая стоки от 4-х КНС микрорайонов № 1, №2, №3, № 4, Северной Промзоны, пр. Ленина; КНС № 6 (по ул. Суворова),   перекачивающая стоки на КНС №3; КНС № 3 шахты «Комсомолец», принимающая  стоки от КНС № 4, № 5 шахты «Им. 7-го Ноября» и КНС № 6; КНС шахты «Им. Кирова»; КНС № 7 (по ул. Зварыгина); КНС «ГАИ»; КНС по ул. Васильева. </t>
  </si>
  <si>
    <t>Главная насосная станция (ГНС) принимает сточные воды со всех вышеперечисленных КНС и далее по двум напорным коллекторам 2Д=600 мм направляет их на очистные сооружения. 
Действующие СООРУЖЕНИЯ ОЧИСТКИ СТОЧНЫХ ВОД  расположены на правом берегу р. Иня, к северо-востоку от города. Тип сооружений: сооружения механической и биологической очистки на аэротенках, проектной производительностью 65,0 тыс. м3/сут; фактический объем пропуска стоков – около 19,8 м3/сут.  Степень очистки сточных вод до нормативного уровня: по взвеш. веществам – 90%, по БПКполн. – 84%. Для обеззараживания сточных вод применяется жидкий хлор.</t>
  </si>
  <si>
    <t>В состав очистных сооружений входят: - приемная камера; - горизонтальные песколовки; - первичные вертикальные отстойники; - аэротенки 3-хкоридорные; - вторичные вертикальные отстойники; - радиальные отстойники; - хлораторная; - илоуплотнители – 2 шт.; - метантенки – 4 шт.; - иловые площадки; - насосно-воздуходувная станция; - водослив-аэратор. Сброс очищенных стоков осуществляется по трубопроводу Д=1000 мм в     р. Иня (КАР/ОБЬ/2965), на 489 км от устья (выпуск № 1). Главный самотечный коллектор имеет сечение 1200 мм, уличные коллектора (чугун) – 800-200 мм, напорные коллекторы – 150-600 мм (сталь). Учет объема сточных вод, сбрасываемых в водный объект, производится расходомером-счетчиком ультразвуковым «ВЗЛЕТ-РСЛ».</t>
  </si>
  <si>
    <t>2. СИСТЕМА ВОДООТВЕДЕНИЯ ПОС. НИКИТИНСКИЙ.   Сточные воды, отводимые от объектов жилищного фонда, предприятий и организаций, поступают по самотечному центральному коллектору на очистные сооружения п. Никитинский. Очистка производится методом полного окисления на типовой компактной установке КУ-200 (проектная производительность – 200,00 м3/сут.). На территории очистных сооружений расположены: АБК, компрессорная, установки КУ-200 – 2 шт. (летняя и зимняя), 3 иловые площадки, контактный резервуар. В состав компактной установки Ку-200 входят: - верхний распределительный колодец; - зона аэрации и сбраживания (1 шт.); - зона отстоя (1 шт.); - распределительный колодец; - иловые площадки (3 шт.); - сбросовые колодцы (3 шт.); - контактный резервуар. Сточная вода из сети канализации направляется в распределительный колодец сточных вод.</t>
  </si>
  <si>
    <t>Канализационные сети расположены в основном в центральной части города Полысаево и состоят из безнапорных и напорных трубопроводов канализации. Сбор канализационных сточных вод производится по разветвленной сети, начиная от выпусков из зданий по внутриквартальным сетям ф150-200мм, которые собирают стоки  к двум коллекторам. По коллектору ф300мм стоки транспортируются в канализационную насосную станцию (КНС), по коллектору ф200мм – в главную насосную станцию (ГНС), которые соединены между собой коллектором ф300мм. От ГНС стоки поступают на очистные сооружения, пропускной способностью 12,2 тыс. м3/сутки. На очистных сооружениях стоки проходят иловые карты, отстойники с последующей очисткой на биофильтрах и фильтровальных станциях, и обеззараживанием стоков на хлораторной станции с использованием гипохлорита натрия.</t>
  </si>
  <si>
    <t>В СВЯЗИ С ИСПОЛНЕНИЕМ ПРЕДПИСАНИЯ ФАС РОССИИ (исх.от 22.06.2026 № СП/62245/26)
 в экспертном заключении на листе "Калькуляция (МИ корр)" изменились
 строки  282, 293,  577,   583,  а также добавились строки с 617 по 645; и лист  "ТАБЛИЦЫ  1 - 3".</t>
  </si>
  <si>
    <t>На листе "Общие сведения" в ячейке "АЕ  60"  "Наличие статуса  гарантирующей организации (ГО)" ошибочно указано значение  "НЕТ", но  фактически  организация является гарантирующей. Изменить статус  организации  в данном шаблоне  не представляется возможным.</t>
  </si>
  <si>
    <t xml:space="preserve">Организация признана гарантирующей с 01.01.2019 в соответствии с   Постановлением Администрации Ленинск-Кузнецкого городского округа  от 24.07.2019 № 1293 «Об определении гарантирующей организации в сфере водоснабжения и водоотведения на территории Ленинск-Кузнецкого городского округа».,  Постановлением Администрации Полысаевского городского округа  от 01.07.2019 № 1065 «Об определении гарантирующих организаций, осуществляющих  холодное водоснабжение и водоотведение на территории Полысаевского городского округа».
 </t>
  </si>
  <si>
    <t>Специалистом РЭК Кузбасса в техническую поддержку ФГИС ТАРИФ  были направлены заявки TARIF-12012, TARIF-11792 на исправление ошибки  "Наличие статуса гарантирующей организации (ГО)", на текущий момент  данная проблема не устранена.</t>
  </si>
  <si>
    <t>checkEE</t>
  </si>
  <si>
    <t>l4_2_1</t>
  </si>
  <si>
    <t>l4_2_2</t>
  </si>
  <si>
    <t>l4_2_3</t>
  </si>
  <si>
    <t>l4_2_4</t>
  </si>
  <si>
    <t>P_BASE</t>
  </si>
  <si>
    <t>P_IND</t>
  </si>
  <si>
    <t>P_NORM</t>
  </si>
  <si>
    <t>P_WATER_LOSS</t>
  </si>
  <si>
    <t>P_EE_TOTAL</t>
  </si>
  <si>
    <t>P_EE_VS_PREP</t>
  </si>
  <si>
    <t>P_EE_VS_TR</t>
  </si>
  <si>
    <t>P_EE_VO_CLEAN</t>
  </si>
  <si>
    <t>P_EE_VO_TR</t>
  </si>
  <si>
    <t>Удельный расход ЭЭ делится по технологическим процессам</t>
  </si>
  <si>
    <t>Год</t>
  </si>
  <si>
    <t>Базовый уровень операционных расходов</t>
  </si>
  <si>
    <t>Нормативный уровень прибыли</t>
  </si>
  <si>
    <t>Показатели энергетической эффективности</t>
  </si>
  <si>
    <t>Удельный расход электрической энергии</t>
  </si>
  <si>
    <t>удельный расход ЭЭ, потребляемой в процессе подготовки воды</t>
  </si>
  <si>
    <t>удельный расход ЭЭ, потребляемой в процессе транспортировки воды</t>
  </si>
  <si>
    <t>удельный расход ЭЭ, потребляемой в процессе очистки сточных вод</t>
  </si>
  <si>
    <t>удельный расход ЭЭ, потребляемой в процессе транспортировки сточных вод</t>
  </si>
  <si>
    <t>кВтч/куб.м</t>
  </si>
  <si>
    <t>check</t>
  </si>
  <si>
    <t>{                  _x000D_
         funcDyn: 'msg1',_x000D_
         blok: 'blok_1',_x000D_
         wsCross: 'ДПР (концессии)',_x000D_
         linkFormula: 'AB-AB',_x000D_
         levelDyn: ''_x000D_
}</t>
  </si>
  <si>
    <t>Долгосрочные параметры регулирования тарифов в части деятельности, осуществляемой на основании Договора аренды объектов водоснабжения, находящихся в муниципальной собственности (ПНС пер. Совнархозный, 34)  от 15.05.2025 № 1, установлены Дополнительным соглашением  от 15.05.2025 к указанному договору и находятся в пределах значений, определенных РЭК Кузбасса в  "ИНФОРМАЦИИ о ценах, значениях, параметрах...",  выданной в соответствии с пунктами 2-8 и 13 Части 8 Статьи 41.1. Федерального закона от 07.12.2011 № 416-ФЗ организатору конкурса на заключение договора аренды в отношении ПНС пер. Совнархозный, 34  (письмо РЭК Кузбасса от 01.10.2024 № М-10-61/3430-01 ).</t>
  </si>
  <si>
    <t>DYN_DPR</t>
  </si>
  <si>
    <t>{                  _x000D_
         funcDyn: 'msg',_x000D_
         blok: '',_x000D_
         wsCross: '',_x000D_
         linkFormula: '',_x000D_
         levelDyn: '1',_x000D_
         addDynValue: 'det_name|AB|0'_x000D_
}</t>
  </si>
  <si>
    <t>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ЛЕНИНСК-КУЗНЕЦКИЙ ГОРОДСКОЙ ОКРУГ</t>
  </si>
  <si>
    <t>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ПОЛЫСАЕВСКИЙ ГОРОДСКОЙ ОКРУГ</t>
  </si>
  <si>
    <t>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t>
  </si>
  <si>
    <t>{                  _x000D_
         funcDyn: 'msg1',_x000D_
         blok: 'blok_1',_x000D_
         wsCross: 'ГО',_x000D_
         linkFormula: 'AB-AB',_x000D_
         levelDyn: ''_x000D_
}</t>
  </si>
  <si>
    <t>Долгосрочные параметры регулирования тарифов в части деятельности, осуществляемой на основании Концессионного соглашения от 14.11.2019 № 1/Л-К, Концессионного соглашения от 14.11.2019 № 3, утверждены  НА ПЕРИОД с 18.12.2019 по 31.12.2028 .</t>
  </si>
  <si>
    <t xml:space="preserve">По виду деятельности "ПИТЬЕВАЯ ВОДА"   отражены  СУММАРНЫЕ  значения удельного расхода электроэнергии, полученные сложением показателей по  объектам, переданным в концессию,  и  по ПНС пер. Совнархозный. </t>
  </si>
  <si>
    <t>Величина, принятая органом регулирования</t>
  </si>
  <si>
    <t>расходы на приобретение сырья и материалов и их хранение</t>
  </si>
  <si>
    <t>расходы на оплату труда и страховые взносы на обязательное социальное страхование основного производственного персонала</t>
  </si>
  <si>
    <t>l1_1_3_1</t>
  </si>
  <si>
    <t>1.1.3.1</t>
  </si>
  <si>
    <t>расходы на оплату труда основного производственного персонала</t>
  </si>
  <si>
    <t>l1_1_3_1_1</t>
  </si>
  <si>
    <t>1.1.3.1.1</t>
  </si>
  <si>
    <t>численность персонала основного производственного персонала</t>
  </si>
  <si>
    <t>чел</t>
  </si>
  <si>
    <t>P_PROD_COUNT</t>
  </si>
  <si>
    <t>l1_1_3_1_2</t>
  </si>
  <si>
    <t>1.1.3.1.2</t>
  </si>
  <si>
    <t>средняя заработная плата основного производственного персонала</t>
  </si>
  <si>
    <t>руб./мес</t>
  </si>
  <si>
    <t>P_PROD_AVG</t>
  </si>
  <si>
    <t>l1_1_3_2</t>
  </si>
  <si>
    <t>1.1.3.2</t>
  </si>
  <si>
    <t>страховые взносы на обязательное социальное страхование основного производственного персонала</t>
  </si>
  <si>
    <t>расходы на уплату процентов по займам и кредитам</t>
  </si>
  <si>
    <t>l1_1_5</t>
  </si>
  <si>
    <t>l1_1_6</t>
  </si>
  <si>
    <t>1.1.6</t>
  </si>
  <si>
    <t>прочие производственные расходы:</t>
  </si>
  <si>
    <t>l1_1_6_1</t>
  </si>
  <si>
    <t>1.1.6.1</t>
  </si>
  <si>
    <t>P_AMOR_TRANSP</t>
  </si>
  <si>
    <t>l1_1_6_2</t>
  </si>
  <si>
    <t>1.1.6.2</t>
  </si>
  <si>
    <t>l1_1_6_3</t>
  </si>
  <si>
    <t>1.1.6.3</t>
  </si>
  <si>
    <t>l1_1_6_4</t>
  </si>
  <si>
    <t>1.1.6.4</t>
  </si>
  <si>
    <t>расходы на эксплуатацию, техническое обслуживание и ремонт автотранспорт</t>
  </si>
  <si>
    <t>l1_1_6_5</t>
  </si>
  <si>
    <t>1.1.6.5</t>
  </si>
  <si>
    <t>l1_1_6_6</t>
  </si>
  <si>
    <t>1.1.6.6</t>
  </si>
  <si>
    <t>l1_1_6_7</t>
  </si>
  <si>
    <t>1.1.6.7</t>
  </si>
  <si>
    <t>Ремонтные расходы</t>
  </si>
  <si>
    <t>расходы на текущий ремонт производственных фондов</t>
  </si>
  <si>
    <t>расходы на капитальный ремонт производственных фондов</t>
  </si>
  <si>
    <t>расходы на оплату труда и страховые взносы на обязательное социальное страхование ремонтного персонала</t>
  </si>
  <si>
    <t>l1_2_3_1_1</t>
  </si>
  <si>
    <t>1.2.3.1.1</t>
  </si>
  <si>
    <t>численность персонала ремонтного персонала</t>
  </si>
  <si>
    <t>P_REPAIR_COUNT</t>
  </si>
  <si>
    <t>l1_2_3_1_2</t>
  </si>
  <si>
    <t>1.2.3.1.2</t>
  </si>
  <si>
    <t>средняя заработная плата ремонтного персонала</t>
  </si>
  <si>
    <t>P_REPAIR_AVG</t>
  </si>
  <si>
    <t>l1_3_1_1</t>
  </si>
  <si>
    <t>1.3.1.1</t>
  </si>
  <si>
    <t>l1_3_1_2</t>
  </si>
  <si>
    <t>1.3.1.2</t>
  </si>
  <si>
    <t>l1_3_1_3</t>
  </si>
  <si>
    <t>1.3.1.3</t>
  </si>
  <si>
    <t>l1_3_1_4</t>
  </si>
  <si>
    <t>1.3.1.4</t>
  </si>
  <si>
    <t>l1_3_1_5</t>
  </si>
  <si>
    <t>1.3.1.5</t>
  </si>
  <si>
    <t>расходы на оплату труда и страховые взносы на обязательное социальное страхование административно-управленческого персонала</t>
  </si>
  <si>
    <t>l1_3_2_1</t>
  </si>
  <si>
    <t>1.3.2.1</t>
  </si>
  <si>
    <t>l1_3_2_1_1</t>
  </si>
  <si>
    <t>1.3.2.1.1</t>
  </si>
  <si>
    <t>численность административно-управленческого персонала</t>
  </si>
  <si>
    <t>P_ADM_COUNT</t>
  </si>
  <si>
    <t>l1_3_2_1_2</t>
  </si>
  <si>
    <t>1.3.2.1.2</t>
  </si>
  <si>
    <t>средняя заработная плата административно-управленческого персонала</t>
  </si>
  <si>
    <t>P_ADM_AVG</t>
  </si>
  <si>
    <t>l1_3_2_2</t>
  </si>
  <si>
    <t>1.3.2.2</t>
  </si>
  <si>
    <t>Арендная плата, лизинговые платежи, не связанные с арендой (лизингом) основных производственных фондов</t>
  </si>
  <si>
    <t>l1_3_4</t>
  </si>
  <si>
    <t>1.3.4</t>
  </si>
  <si>
    <t>l1_3_5</t>
  </si>
  <si>
    <t>1.3.5</t>
  </si>
  <si>
    <t>l1_3_6</t>
  </si>
  <si>
    <t>1.3.6</t>
  </si>
  <si>
    <t>Страхование производственных_x000D_
объектов</t>
  </si>
  <si>
    <t>l1_3_7</t>
  </si>
  <si>
    <t>1.3.7</t>
  </si>
  <si>
    <t>Прочие административные расходы</t>
  </si>
  <si>
    <t>l1_3_7_1</t>
  </si>
  <si>
    <t>1.3.7.1</t>
  </si>
  <si>
    <t>Расходы на амортизацию непроизводственных активов</t>
  </si>
  <si>
    <t>l1_3_7_2</t>
  </si>
  <si>
    <t>1.3.7.2</t>
  </si>
  <si>
    <t>Расходы по охране объектов и территорий</t>
  </si>
  <si>
    <t>l1_3_7_3</t>
  </si>
  <si>
    <t>1.3.7.3</t>
  </si>
  <si>
    <t>Прочие операционные расходы</t>
  </si>
  <si>
    <t>P_OPER_EXTRA</t>
  </si>
  <si>
    <t>DYN_OPER</t>
  </si>
  <si>
    <t>P_UNCONTROLL</t>
  </si>
  <si>
    <t>P_OTHER_EXP_TE</t>
  </si>
  <si>
    <t>P_OTHER_EXP_TN</t>
  </si>
  <si>
    <t>P_OTHER_EXP_TRANSP_WATER</t>
  </si>
  <si>
    <t>P_OTHER_EXP_WATER</t>
  </si>
  <si>
    <t>P_OTHER_EXP_GVS</t>
  </si>
  <si>
    <t>P_OTHER_EXP_GVS_PREP</t>
  </si>
  <si>
    <t>P_OTHER_EXP_GVS_TRANSP</t>
  </si>
  <si>
    <t>P_OTHER_EXP_VO</t>
  </si>
  <si>
    <t>P_OTHER_EXP_TRANSP_STOCK</t>
  </si>
  <si>
    <t>P_OTHER_EXP_WATER_CLEAN</t>
  </si>
  <si>
    <t>P_OTHER_EXP_FUEL</t>
  </si>
  <si>
    <t>P_REAGENTS</t>
  </si>
  <si>
    <t>Налоги и сборы</t>
  </si>
  <si>
    <t>Налог на имущество организаций</t>
  </si>
  <si>
    <t>l2_2_3</t>
  </si>
  <si>
    <t>Земельный налог</t>
  </si>
  <si>
    <t>l2_2_4</t>
  </si>
  <si>
    <t>l2_2_5</t>
  </si>
  <si>
    <t>l2_2_6</t>
  </si>
  <si>
    <t>Единый налог при УСН</t>
  </si>
  <si>
    <t>P_INSURANCE</t>
  </si>
  <si>
    <t>l2_2_8</t>
  </si>
  <si>
    <t>l2_8_1</t>
  </si>
  <si>
    <t>Возврат займов и кредитов</t>
  </si>
  <si>
    <t>l2_8_2</t>
  </si>
  <si>
    <t>2.6.2</t>
  </si>
  <si>
    <t>Проценты по займам и кредитам (на обслуживание займов и кредитов, привлекаемых на пополнение оборотных средств)</t>
  </si>
  <si>
    <t>P_ECO_EXP</t>
  </si>
  <si>
    <t>l2_12</t>
  </si>
  <si>
    <t>Расходы на оплату услуг банков</t>
  </si>
  <si>
    <t>P_BANKS</t>
  </si>
  <si>
    <t>P_CONC_KADR</t>
  </si>
  <si>
    <t>l2_13</t>
  </si>
  <si>
    <t>2.12</t>
  </si>
  <si>
    <t>Прочие неподконтрольные расходы</t>
  </si>
  <si>
    <t>P_UNCONTROLL_EXTRA</t>
  </si>
  <si>
    <t>DYN_UNC</t>
  </si>
  <si>
    <t>{                  _x000D_
         funcDyn: 'msg1',_x000D_
         blok: 'blok_1',_x000D_
         wsCross: 'Калькуляция (МСА)',_x000D_
         linkFormula: 'AB-AB',_x000D_
         levelDyn: ''_x000D_
}</t>
  </si>
  <si>
    <t>Необходимая валовая выручка транзитной организации</t>
  </si>
  <si>
    <t>P_NVV_TRANZ</t>
  </si>
  <si>
    <t>УТР</t>
  </si>
  <si>
    <t>P_UD_EXP_GO</t>
  </si>
  <si>
    <t>текущие расходы ГО, отнесенные на вид деятельности по транспортировке воды/сточных вод</t>
  </si>
  <si>
    <t>P_CURR_EXP_GO</t>
  </si>
  <si>
    <t xml:space="preserve">в т.ч. расходы на электрическую энергию* </t>
  </si>
  <si>
    <t>P_PRICE_IND_LAST</t>
  </si>
  <si>
    <t>P_PRICE_IND_CURR</t>
  </si>
  <si>
    <t>протяженность сети ГО, определенная в сопоставимых величинах</t>
  </si>
  <si>
    <t>P_GO_LENGTH</t>
  </si>
  <si>
    <t>Протяженность сети транзитной организации</t>
  </si>
  <si>
    <t>P_TRANZ_LENGTH</t>
  </si>
  <si>
    <t xml:space="preserve">фактическая протяженность сетей </t>
  </si>
  <si>
    <t>P_LENGTH_FACT</t>
  </si>
  <si>
    <t>Нормативный уровень расходов на амортизацию</t>
  </si>
  <si>
    <t>P_AMOR_NORM_EXP</t>
  </si>
  <si>
    <t>норматив амортизации</t>
  </si>
  <si>
    <t>P_AMOR_NORM</t>
  </si>
  <si>
    <t>Объем транспортируемой холодной воды / сточных вод</t>
  </si>
  <si>
    <t>тыс.м3</t>
  </si>
  <si>
    <t>1 полугодие (в рамках 2026 г. - с 01.01 по 30.09)</t>
  </si>
  <si>
    <t>P_VOL_1</t>
  </si>
  <si>
    <t>2 полугодие (в рамках 2026 г. - с 01.10 по 31.12)</t>
  </si>
  <si>
    <t>P_VOL_2</t>
  </si>
  <si>
    <t>Среднегодовой тариф</t>
  </si>
  <si>
    <t>6.1.1</t>
  </si>
  <si>
    <t>Тариф с 1.01 по 30.06 (в рамках 2026 г. - с 01.01 по 30.09)</t>
  </si>
  <si>
    <t>P_AVG_1</t>
  </si>
  <si>
    <t>6.1.2</t>
  </si>
  <si>
    <t>Тариф с 1.07 по 31.12 (в рамках 2026 г. - с 01.10 по 31.12)</t>
  </si>
  <si>
    <t>P_AVG_2</t>
  </si>
  <si>
    <t xml:space="preserve">Темп рост тарифа </t>
  </si>
  <si>
    <t>P_GROW</t>
  </si>
  <si>
    <t>{                  _x000D_
         funcDyn: 'msg1',_x000D_
         blok: '',_x000D_
         wsCross: '',_x000D_
         linkFormula: '',_x000D_
         levelDyn: ''_x000D_
}</t>
  </si>
  <si>
    <t>* - не учитываются в текущих расходах ГО в случае, если ТО не владеет на законных основаниях насосными станциями, канализационными насосными станциями, насосным оборудованием, иным оборудованием, потребляющим электрическую энергию, затрачиваемую в технологическом процессе транспортировки воды и (или) транспортировки сточных вод</t>
  </si>
  <si>
    <t>mrName</t>
  </si>
  <si>
    <t>moName</t>
  </si>
  <si>
    <t>oktmo</t>
  </si>
  <si>
    <t>Беловский муниципальный округ</t>
  </si>
  <si>
    <t>32501000</t>
  </si>
  <si>
    <t>Гурьевский муниципальный округ</t>
  </si>
  <si>
    <t>32502000</t>
  </si>
  <si>
    <t>Ижморский муниципальный округ</t>
  </si>
  <si>
    <t>32504000</t>
  </si>
  <si>
    <t>Кемеровский муниципальный округ</t>
  </si>
  <si>
    <t>32507000</t>
  </si>
  <si>
    <t>Крапивинский муниципальный округ</t>
  </si>
  <si>
    <t>32510000</t>
  </si>
  <si>
    <t>32513000</t>
  </si>
  <si>
    <t>Мариинский муниципальный округ</t>
  </si>
  <si>
    <t>32516000</t>
  </si>
  <si>
    <t>Междуреченский муниципальный округ</t>
  </si>
  <si>
    <t>32517000</t>
  </si>
  <si>
    <t>Новокузнецкий  муниципальный округ</t>
  </si>
  <si>
    <t>32519000</t>
  </si>
  <si>
    <t>Прокопьевский муниципальный округ</t>
  </si>
  <si>
    <t>32522000</t>
  </si>
  <si>
    <t>Промышленновский муниципальный округ</t>
  </si>
  <si>
    <t>32525000</t>
  </si>
  <si>
    <t>Таштагольский муниципальный округ</t>
  </si>
  <si>
    <t>32527000</t>
  </si>
  <si>
    <t>Тисульский муниципальный округ</t>
  </si>
  <si>
    <t>32528000</t>
  </si>
  <si>
    <t>Топкинский муниципальный округ</t>
  </si>
  <si>
    <t>32531000</t>
  </si>
  <si>
    <t>Тяжинский муниципальный округ</t>
  </si>
  <si>
    <t>32534000</t>
  </si>
  <si>
    <t>Чебулинский муниципальный округ</t>
  </si>
  <si>
    <t>32537000</t>
  </si>
  <si>
    <t>Юргинский муниципальный округ</t>
  </si>
  <si>
    <t>32540000</t>
  </si>
  <si>
    <t>Яйский муниципальный округ</t>
  </si>
  <si>
    <t>32543000</t>
  </si>
  <si>
    <t>Яшкинский муниципальный округ</t>
  </si>
  <si>
    <t>32546000</t>
  </si>
  <si>
    <t>Беловский муниципальный район</t>
  </si>
  <si>
    <t>Сельское поселение Беловского муниципального района/Бековское</t>
  </si>
  <si>
    <t>32601402</t>
  </si>
  <si>
    <t>Сельское поселение Беловского муниципального района/Евтинское</t>
  </si>
  <si>
    <t>32601412</t>
  </si>
  <si>
    <t>Сельское поселение Беловского муниципального района/Новобачатское</t>
  </si>
  <si>
    <t>32601414</t>
  </si>
  <si>
    <t>Сельское поселение Беловского муниципального района/Менчерепское</t>
  </si>
  <si>
    <t>32601432</t>
  </si>
  <si>
    <t>Сельское поселение Беловского муниципального района/Моховское</t>
  </si>
  <si>
    <t>32601436</t>
  </si>
  <si>
    <t>Сельское поселение Беловского муниципального района/Пермяковское</t>
  </si>
  <si>
    <t>32601444</t>
  </si>
  <si>
    <t>Сельское поселение Беловского муниципального района/Старобачатское</t>
  </si>
  <si>
    <t>32601451</t>
  </si>
  <si>
    <t>Сельское поселение Беловского муниципального района/Старопестеревское</t>
  </si>
  <si>
    <t>32601452</t>
  </si>
  <si>
    <t>Гурьевский муниципальный район</t>
  </si>
  <si>
    <t>Городское поселение Гурьевского муниципального района/город Гурьевск</t>
  </si>
  <si>
    <t>32602101</t>
  </si>
  <si>
    <t>Городское поселение Гурьевского муниципального района/город Салаир</t>
  </si>
  <si>
    <t>32602104</t>
  </si>
  <si>
    <t>Сельское поселение Гурьевского муниципального района/Горскинское</t>
  </si>
  <si>
    <t>32602404</t>
  </si>
  <si>
    <t>Сельское поселение Гурьевского муниципального района/Малосалаирское</t>
  </si>
  <si>
    <t>32602420</t>
  </si>
  <si>
    <t>Сельское поселение Гурьевского муниципального района/Новопестеревское</t>
  </si>
  <si>
    <t>32602428</t>
  </si>
  <si>
    <t>Сельское поселение Гурьевского муниципального района/Раздольное</t>
  </si>
  <si>
    <t>32602430</t>
  </si>
  <si>
    <t>Сельское поселение Гурьевского муниципального района/Сосновское</t>
  </si>
  <si>
    <t>32602435</t>
  </si>
  <si>
    <t>Сельское поселение Гурьевского муниципального района/Ур-Бедаревское</t>
  </si>
  <si>
    <t>32602450</t>
  </si>
  <si>
    <t>Сельское поселение Гурьевского муниципального района/Урское</t>
  </si>
  <si>
    <t>32602455</t>
  </si>
  <si>
    <t>Ижморский муниципальный район</t>
  </si>
  <si>
    <t>Городское поселение Ижморского муниципального района/п.г.т. Ижморский</t>
  </si>
  <si>
    <t>32604151</t>
  </si>
  <si>
    <t>Сельское поселение Ижморского муниципального района/Колыонское</t>
  </si>
  <si>
    <t>32604416</t>
  </si>
  <si>
    <t>Сельское поселение Ижморского муниципального района/Красноярское</t>
  </si>
  <si>
    <t>32604420</t>
  </si>
  <si>
    <t>Сельское поселение Ижморского муниципального района/Постниковское</t>
  </si>
  <si>
    <t>32604424</t>
  </si>
  <si>
    <t>Сельское поселение Ижморского муниципального района/Святославское</t>
  </si>
  <si>
    <t>32604428</t>
  </si>
  <si>
    <t>Сельское поселение Ижморского муниципального района/Симбирское</t>
  </si>
  <si>
    <t>32604432</t>
  </si>
  <si>
    <t>Сельское поселение Ижморского муниципального района/Троицкое</t>
  </si>
  <si>
    <t>32604436</t>
  </si>
  <si>
    <t>Кемеровский муниципальный район</t>
  </si>
  <si>
    <t>Сельское поселение Кемеровского муниципального района/Арсентьевское</t>
  </si>
  <si>
    <t>32607404</t>
  </si>
  <si>
    <t>Сельское поселение Кемеровского муниципального района/Береговое</t>
  </si>
  <si>
    <t>32607408</t>
  </si>
  <si>
    <t>Сельское поселение Кемеровского муниципального района/Березовское</t>
  </si>
  <si>
    <t>32607412</t>
  </si>
  <si>
    <t>Сельское поселение Кемеровского муниципального района/Щегловское</t>
  </si>
  <si>
    <t>32607416</t>
  </si>
  <si>
    <t>Сельское поселение Кемеровского муниципального района/Елыкаевское</t>
  </si>
  <si>
    <t>32607424</t>
  </si>
  <si>
    <t>Сельское поселение Кемеровского муниципального района/Звездное</t>
  </si>
  <si>
    <t>32607426</t>
  </si>
  <si>
    <t>Сельское поселение Кемеровского муниципального района/Ясногорское</t>
  </si>
  <si>
    <t>32607428</t>
  </si>
  <si>
    <t>Сельское поселение Кемеровского муниципального района/Суховское</t>
  </si>
  <si>
    <t>32607441</t>
  </si>
  <si>
    <t>Сельское поселение Кемеровского муниципального района/Ягуновское</t>
  </si>
  <si>
    <t>32607444</t>
  </si>
  <si>
    <t>Крапивинский муниципальный район</t>
  </si>
  <si>
    <t>32610000</t>
  </si>
  <si>
    <t>Городское поселение Крапивинского муниципального района/п.г.т. Крапивинский</t>
  </si>
  <si>
    <t>32610151</t>
  </si>
  <si>
    <t>Городское поселение Крапивинского муниципального района/п.г.т. Зеленогорский</t>
  </si>
  <si>
    <t>32610153</t>
  </si>
  <si>
    <t>Сельское поселение Крапивинского муниципального района/Банновское</t>
  </si>
  <si>
    <t>32610404</t>
  </si>
  <si>
    <t>Сельское поселение Крапивинского муниципального района/Барачатское</t>
  </si>
  <si>
    <t>32610408</t>
  </si>
  <si>
    <t>Сельское поселение Крапивинского муниципального района/Борисовское</t>
  </si>
  <si>
    <t>32610412</t>
  </si>
  <si>
    <t>Сельское поселение Крапивинского муниципального района/Зеленовское</t>
  </si>
  <si>
    <t>32610416</t>
  </si>
  <si>
    <t>Сельское поселение Крапивинского муниципального района/Каменское</t>
  </si>
  <si>
    <t>32610420</t>
  </si>
  <si>
    <t>Сельское поселение Крапивинского муниципального района/Крапивинское</t>
  </si>
  <si>
    <t>32610424</t>
  </si>
  <si>
    <t>Сельское поселение Крапивинского муниципального района/Мельковское</t>
  </si>
  <si>
    <t>32610428</t>
  </si>
  <si>
    <t>Сельское поселение Крапивинского муниципального района/Тарадановское</t>
  </si>
  <si>
    <t>32610436</t>
  </si>
  <si>
    <t>Сельское поселение Крапивинского муниципального района/Шевелевское</t>
  </si>
  <si>
    <t>32610446</t>
  </si>
  <si>
    <t>Ленинск-Кузнецкий муниципальный район</t>
  </si>
  <si>
    <t>32613000</t>
  </si>
  <si>
    <t>Сельское поселение Ленинск-Кузнецкого муниципального района/Горняцкое</t>
  </si>
  <si>
    <t>32613412</t>
  </si>
  <si>
    <t>Сельское поселение Ленинск-Кузнецкого муниципального района/Демьяновское</t>
  </si>
  <si>
    <t>32613416</t>
  </si>
  <si>
    <t>Сельское поселение Ленинск-Кузнецкого муниципального района/Драченинское</t>
  </si>
  <si>
    <t>32613420</t>
  </si>
  <si>
    <t>Сельское поселение Ленинск-Кузнецкого муниципального района/Краснинское</t>
  </si>
  <si>
    <t>32613432</t>
  </si>
  <si>
    <t>Сельское поселение Ленинск-Кузнецкого муниципального района/Подгорновское</t>
  </si>
  <si>
    <t>32613448</t>
  </si>
  <si>
    <t>Сельское поселение Ленинск-Кузнецкого муниципального района/Чкаловское</t>
  </si>
  <si>
    <t>32613452</t>
  </si>
  <si>
    <t>Сельское поселение Ленинск-Кузнецкого муниципального района/Чусовитинское</t>
  </si>
  <si>
    <t>32613456</t>
  </si>
  <si>
    <t>Сельское поселение Ленинск-Кузнецкого муниципального района/Шабановское</t>
  </si>
  <si>
    <t>32613460</t>
  </si>
  <si>
    <t>Мариинский муниципальный район</t>
  </si>
  <si>
    <t>Городское поселение Мариинского муниципального района/город Мариинск</t>
  </si>
  <si>
    <t>32616101</t>
  </si>
  <si>
    <t>Сельское поселение Мариинского муниципального района/Белогородское</t>
  </si>
  <si>
    <t>32616404</t>
  </si>
  <si>
    <t>Сельское поселение Мариинского муниципального района/Благовещенское</t>
  </si>
  <si>
    <t>32616408</t>
  </si>
  <si>
    <t>Сельское поселение Мариинского муниципального района/Большеантибесское</t>
  </si>
  <si>
    <t>32616412</t>
  </si>
  <si>
    <t>Сельское поселение Мариинского муниципального района/Калининское</t>
  </si>
  <si>
    <t>32616414</t>
  </si>
  <si>
    <t>Сельское поселение Мариинского муниципального района/Кийское</t>
  </si>
  <si>
    <t>32616415</t>
  </si>
  <si>
    <t>Сельское поселение Мариинского муниципального района/Красноорловское</t>
  </si>
  <si>
    <t>32616416</t>
  </si>
  <si>
    <t>Сельское поселение Мариинского муниципального района/Лебяжье</t>
  </si>
  <si>
    <t>32616420</t>
  </si>
  <si>
    <t>Сельское поселение Мариинского муниципального района/Малопесчанское</t>
  </si>
  <si>
    <t>32616424</t>
  </si>
  <si>
    <t>Сельское поселение Мариинского муниципального района/Николаевское</t>
  </si>
  <si>
    <t>32616428</t>
  </si>
  <si>
    <t>Сельское поселение Мариинского муниципального района/Первомайское</t>
  </si>
  <si>
    <t>32616440</t>
  </si>
  <si>
    <t>Сельское поселение Мариинского муниципального района/Сусловское</t>
  </si>
  <si>
    <t>32616444</t>
  </si>
  <si>
    <t>Сельское поселение Мариинского муниципального района/Таежно-Михайловское</t>
  </si>
  <si>
    <t>32616448</t>
  </si>
  <si>
    <t>Новокузнецкий муниципальный район</t>
  </si>
  <si>
    <t>32619000</t>
  </si>
  <si>
    <t>Сельское поселение Новокузнецкого муниципального района/Центральное</t>
  </si>
  <si>
    <t>32619404</t>
  </si>
  <si>
    <t>Безруковское</t>
  </si>
  <si>
    <t>32619408</t>
  </si>
  <si>
    <t>Бунгурское</t>
  </si>
  <si>
    <t>32619416</t>
  </si>
  <si>
    <t>Еланское</t>
  </si>
  <si>
    <t>32619420</t>
  </si>
  <si>
    <t>Сельское поселение Новокузнецкого муниципального района/Загорское</t>
  </si>
  <si>
    <t>32619422</t>
  </si>
  <si>
    <t>Ильинское</t>
  </si>
  <si>
    <t>32619424</t>
  </si>
  <si>
    <t>32619428</t>
  </si>
  <si>
    <t>Сельское поселение Новокузнецкого муниципального района/Красулинское</t>
  </si>
  <si>
    <t>32619432</t>
  </si>
  <si>
    <t>Сельское поселение Новокузнецкого муниципального района/Кузедеевское</t>
  </si>
  <si>
    <t>32619433</t>
  </si>
  <si>
    <t>Куртуковское</t>
  </si>
  <si>
    <t>32619434</t>
  </si>
  <si>
    <t>Металлургское</t>
  </si>
  <si>
    <t>32619440</t>
  </si>
  <si>
    <t>Орловское</t>
  </si>
  <si>
    <t>32619446</t>
  </si>
  <si>
    <t>Сары-Чумышское</t>
  </si>
  <si>
    <t>32619450</t>
  </si>
  <si>
    <t>Сидоровское</t>
  </si>
  <si>
    <t>32619456</t>
  </si>
  <si>
    <t>Сельское поселение Новокузнецкого муниципального района/Сосновское</t>
  </si>
  <si>
    <t>32619460</t>
  </si>
  <si>
    <t>Сельское поселение Новокузнецкого муниципального района/Терсинское</t>
  </si>
  <si>
    <t>32619468</t>
  </si>
  <si>
    <t>32619470</t>
  </si>
  <si>
    <t>32619473</t>
  </si>
  <si>
    <t>Прокопьевский муниципальный район</t>
  </si>
  <si>
    <t>Сельское поселение Прокопьевского муниципального района/Большеталдинское</t>
  </si>
  <si>
    <t>32622404</t>
  </si>
  <si>
    <t>Сельское поселение Прокопьевского муниципального района/Бурлаковское</t>
  </si>
  <si>
    <t>32622408</t>
  </si>
  <si>
    <t>Сельское поселение Прокопьевского муниципального района/Калачевское</t>
  </si>
  <si>
    <t>32622420</t>
  </si>
  <si>
    <t>Сельское поселение Прокопьевского муниципального района/Каменно-Ключевское</t>
  </si>
  <si>
    <t>32622424</t>
  </si>
  <si>
    <t>Сельское поселение Прокопьевского муниципального района/Кузбасское</t>
  </si>
  <si>
    <t>32622436</t>
  </si>
  <si>
    <t>Сельское поселение Прокопьевского муниципального района/Михайловское</t>
  </si>
  <si>
    <t>32622444</t>
  </si>
  <si>
    <t>Сельское поселение Прокопьевского муниципального района/Сафоновское</t>
  </si>
  <si>
    <t>32622448</t>
  </si>
  <si>
    <t>Сельское поселение Прокопьевского муниципального района/Терентьевское</t>
  </si>
  <si>
    <t>32622452</t>
  </si>
  <si>
    <t>Сельское поселение Прокопьевского муниципального района/Трудармейское</t>
  </si>
  <si>
    <t>32622454</t>
  </si>
  <si>
    <t>Сельское поселение Прокопьевского муниципального района/Яснополянское</t>
  </si>
  <si>
    <t>32622460</t>
  </si>
  <si>
    <t>Промышленновский муниципальный район</t>
  </si>
  <si>
    <t>32625000</t>
  </si>
  <si>
    <t>Городское поселение Промышленновского муниципального района/п.г.т. Промышленная</t>
  </si>
  <si>
    <t>32625151</t>
  </si>
  <si>
    <t>Сельское поселение Промышленновского муниципальног района/Вагановское</t>
  </si>
  <si>
    <t>32625408</t>
  </si>
  <si>
    <t>Сельское поселение Промышленновского муниципального района/Калинкинское</t>
  </si>
  <si>
    <t>32625414</t>
  </si>
  <si>
    <t>Сельское поселение Промышленновского муниципального района/Лебедевское</t>
  </si>
  <si>
    <t>32625416</t>
  </si>
  <si>
    <t>Сельское поселение Промышленновского муниципального района/Окунёвское</t>
  </si>
  <si>
    <t>32625424</t>
  </si>
  <si>
    <t>Сельское поселение Промышленновского муниципального района/Плотниковское</t>
  </si>
  <si>
    <t>32625428</t>
  </si>
  <si>
    <t>Сельское поселение Промышленновского муниципального района/Падунское</t>
  </si>
  <si>
    <t>32625432</t>
  </si>
  <si>
    <t>Сельское поселение Промышленновского муниципального района/Пушкинское</t>
  </si>
  <si>
    <t>32625436</t>
  </si>
  <si>
    <t>Сельское поселение Промышленновского муниципального района/Тарабаринское</t>
  </si>
  <si>
    <t>32625440</t>
  </si>
  <si>
    <t>Сельское поселение Промышленновского муниципального района/Тарасовское</t>
  </si>
  <si>
    <t>32625444</t>
  </si>
  <si>
    <t>Сельское поселение Промышленновского муниципального района/Титовское</t>
  </si>
  <si>
    <t>32625448</t>
  </si>
  <si>
    <t>Таштагольский муниципальный район</t>
  </si>
  <si>
    <t>Городское поселение Таштагольского муниципального района/город Таштагол</t>
  </si>
  <si>
    <t>32627101</t>
  </si>
  <si>
    <t>Городское поселение Таштагольского муниципального района/п.г.т. Каз</t>
  </si>
  <si>
    <t>32627154</t>
  </si>
  <si>
    <t>Городское поселение Таштагольского муниципального района/п.г.т. Мундыбаш</t>
  </si>
  <si>
    <t>32627157</t>
  </si>
  <si>
    <t>Городское поселение Таштагольского муниципального района/п.г.т. Спасск</t>
  </si>
  <si>
    <t>32627162</t>
  </si>
  <si>
    <t>Городское поселение Таштагольского муниципального района/п.г.т. Темиртау</t>
  </si>
  <si>
    <t>32627165</t>
  </si>
  <si>
    <t>город-курорт Шерегеш</t>
  </si>
  <si>
    <t>32627175</t>
  </si>
  <si>
    <t>Сельское поселение Таштагольского муниципального района/Каларское</t>
  </si>
  <si>
    <t>32627413</t>
  </si>
  <si>
    <t>Сельское поселение Таштагольского муниципального района/Коуринское</t>
  </si>
  <si>
    <t>32627417</t>
  </si>
  <si>
    <t>Сельское поселение Таштагольского муниципального района/Кызыл-Шорское</t>
  </si>
  <si>
    <t>32627420</t>
  </si>
  <si>
    <t>Сельское поселение Таштагольского муниципального района/Усть-Кабырзинское</t>
  </si>
  <si>
    <t>32627438</t>
  </si>
  <si>
    <t>Тисульский муниципальный район</t>
  </si>
  <si>
    <t>32628000</t>
  </si>
  <si>
    <t>Городское поселение Тисульского муниципального района/п.г.т. Тисуль</t>
  </si>
  <si>
    <t>32628151</t>
  </si>
  <si>
    <t>Городское поселение Тисульского муниципального района/п.г.т. Белогорск</t>
  </si>
  <si>
    <t>32628154</t>
  </si>
  <si>
    <t>Городское поселение Тисульского муниципального района/п.г.т.Комсомольск</t>
  </si>
  <si>
    <t>32628160</t>
  </si>
  <si>
    <t>Сельское поселение Тисульского муниципального района/Берикульское</t>
  </si>
  <si>
    <t>32628402</t>
  </si>
  <si>
    <t>Сельское поселение Тисульского муниципального района/Большебарандатское</t>
  </si>
  <si>
    <t>32628408</t>
  </si>
  <si>
    <t>Сельское поселение Тисульского муниципального района/Куликовское</t>
  </si>
  <si>
    <t>32628412</t>
  </si>
  <si>
    <t>Сельское поселение Тисульского муниципального района/Листвянское</t>
  </si>
  <si>
    <t>32628415</t>
  </si>
  <si>
    <t>Сельское поселение Тисульского муниципального района/Серебряковское</t>
  </si>
  <si>
    <t>32628418</t>
  </si>
  <si>
    <t>Сельское поселение Тисульского муниципального района/Полуторниковское</t>
  </si>
  <si>
    <t>32628420</t>
  </si>
  <si>
    <t>Сельское поселение Тисульского муниципального района/Тамбарское</t>
  </si>
  <si>
    <t>32628424</t>
  </si>
  <si>
    <t>Сельское поселение Тисульского муниципального района/Третьяковское</t>
  </si>
  <si>
    <t>32628428</t>
  </si>
  <si>
    <t>Сельское поселение Тисульского муниципального района/Утинское</t>
  </si>
  <si>
    <t>32628436</t>
  </si>
  <si>
    <t>Сельское поселение Тисульского муниципального района/Центральное</t>
  </si>
  <si>
    <t>32628440</t>
  </si>
  <si>
    <t>Топкинский муниципальный район</t>
  </si>
  <si>
    <t>Городское поселение Топкинского муниципального района/город Топки</t>
  </si>
  <si>
    <t>32631101</t>
  </si>
  <si>
    <t>Сельское поселение Топкинского муниципального района/Верх-Падунское</t>
  </si>
  <si>
    <t>32631404</t>
  </si>
  <si>
    <t>Сельское поселение Топкинского муниципального района/Зарубинское</t>
  </si>
  <si>
    <t>32631412</t>
  </si>
  <si>
    <t>Сельское поселение Топкинского муниципального района/Лукошкинское</t>
  </si>
  <si>
    <t>32631416</t>
  </si>
  <si>
    <t>Сельское поселение Топкинского муниципального района/Осиногривское</t>
  </si>
  <si>
    <t>32631420</t>
  </si>
  <si>
    <t>Сельское поселение Топкинского муниципального района/Соломинское</t>
  </si>
  <si>
    <t>32631424</t>
  </si>
  <si>
    <t>Сельское поселение Топкинского муниципального района/Топкинское</t>
  </si>
  <si>
    <t>32631428</t>
  </si>
  <si>
    <t>Сельское поселение Топкинского муниципального района/Усть-Сосновское</t>
  </si>
  <si>
    <t>32631432</t>
  </si>
  <si>
    <t>Сельское поселение Топкинского муниципального района/Хорошеборское</t>
  </si>
  <si>
    <t>32631436</t>
  </si>
  <si>
    <t>Сельское поселение Топкинского муниципального района/Черемичкинское</t>
  </si>
  <si>
    <t>32631440</t>
  </si>
  <si>
    <t>Сельское поселение Топкинского муниципального района/Шишинское</t>
  </si>
  <si>
    <t>32631444</t>
  </si>
  <si>
    <t>Сельское поселение Топкинского муниципального района/Юрьевское</t>
  </si>
  <si>
    <t>32631448</t>
  </si>
  <si>
    <t>Тяжинский муниципальный район</t>
  </si>
  <si>
    <t>Городское поселение Тяжинского муниципального района/п.г.т. Тяжинский</t>
  </si>
  <si>
    <t>32634151</t>
  </si>
  <si>
    <t>Городское поселение Тяжинского муниципального района/п.г.т. Итатский</t>
  </si>
  <si>
    <t>32634154</t>
  </si>
  <si>
    <t>Сельское поселение Тяжинского муниципального района/Кубитетское</t>
  </si>
  <si>
    <t>32634404</t>
  </si>
  <si>
    <t>Сельское поселение Тяжинского муниципального района/Листвянское</t>
  </si>
  <si>
    <t>32634408</t>
  </si>
  <si>
    <t>Сельское поселение Тяжинского муниципального района/Акимо-Анненское</t>
  </si>
  <si>
    <t>32634412</t>
  </si>
  <si>
    <t>Сельское поселение Тяжинского муниципального района/Новоподзорновское</t>
  </si>
  <si>
    <t>32634414</t>
  </si>
  <si>
    <t>Сельское поселение Тяжинского муниципального района/Новопокровское</t>
  </si>
  <si>
    <t>32634416</t>
  </si>
  <si>
    <t>Сельское поселение Тяжинского муниципального района/Преображенское</t>
  </si>
  <si>
    <t>32634420</t>
  </si>
  <si>
    <t>Сельское поселение Тяжинского муниципального района/Нововосточное</t>
  </si>
  <si>
    <t>32634424</t>
  </si>
  <si>
    <t>Сельское поселение Тяжинского муниципального района/Ступишинское</t>
  </si>
  <si>
    <t>32634428</t>
  </si>
  <si>
    <t>Сельское поселение Тяжинского муниципального района/Тисульское</t>
  </si>
  <si>
    <t>32634432</t>
  </si>
  <si>
    <t>Сельское поселение Тяжинского муниципального района/Чулымское</t>
  </si>
  <si>
    <t>32634436</t>
  </si>
  <si>
    <t>Чебулинский муниципальный район</t>
  </si>
  <si>
    <t>Городское поселение Чебулинского муниципального района/п.г.т. Верх-Чебула</t>
  </si>
  <si>
    <t>32637151</t>
  </si>
  <si>
    <t>Сельское поселение Чебулинского муниципального района/Алчедатское</t>
  </si>
  <si>
    <t>32637404</t>
  </si>
  <si>
    <t>Сельское поселение Чебулинского муниципального района/Ивановское</t>
  </si>
  <si>
    <t>32637412</t>
  </si>
  <si>
    <t>Сельское поселение Чебулинского муниципального района/Усманское</t>
  </si>
  <si>
    <t>32637420</t>
  </si>
  <si>
    <t>Сельское поселение Чебулинского муниципального района/Усть-Сертинское</t>
  </si>
  <si>
    <t>32637424</t>
  </si>
  <si>
    <t>Сельское поселение Чебулинского муниципального района/Усть-Чебулинское</t>
  </si>
  <si>
    <t>32637428</t>
  </si>
  <si>
    <t>Сельское поселение Чебулинского муниципального района/Чумайское</t>
  </si>
  <si>
    <t>32637432</t>
  </si>
  <si>
    <t>Юргинский муниципальный район</t>
  </si>
  <si>
    <t>Сельское поселение Юргинского муниципального района/Арлюкское</t>
  </si>
  <si>
    <t>32640404</t>
  </si>
  <si>
    <t>Сельское поселение Юргинского муниципального района/Зеледеевское</t>
  </si>
  <si>
    <t>32640408</t>
  </si>
  <si>
    <t>Сельское поселение Юргинского муниципального района/Лебяжье-Асановское</t>
  </si>
  <si>
    <t>32640412</t>
  </si>
  <si>
    <t>Сельское поселение Юргинского муниципального района/Мальцевское</t>
  </si>
  <si>
    <t>32640416</t>
  </si>
  <si>
    <t>Сельское поселение Юргинского муниципального района/Новоромановское</t>
  </si>
  <si>
    <t>32640420</t>
  </si>
  <si>
    <t>Сельское поселение Юргинского муниципального района/Попереченское</t>
  </si>
  <si>
    <t>32640424</t>
  </si>
  <si>
    <t>Сельское поселение Юргинского муниципального района/Проскоковское</t>
  </si>
  <si>
    <t>32640428</t>
  </si>
  <si>
    <t>Сельское поселение Юргинского муниципального района/Тальское</t>
  </si>
  <si>
    <t>32640432</t>
  </si>
  <si>
    <t>Сельское поселение Юргинского муниципального района/Юргинское</t>
  </si>
  <si>
    <t>32640436</t>
  </si>
  <si>
    <t>Яйский муниципальный район</t>
  </si>
  <si>
    <t>Городское поселение Яйского муниципального района/ п.г.т. Яя</t>
  </si>
  <si>
    <t>32643151</t>
  </si>
  <si>
    <t>Сельское поселение Яйского муниципального района/Безлесное</t>
  </si>
  <si>
    <t>32643404</t>
  </si>
  <si>
    <t>Сельское поселение Яйского муниципального района/Бекетское</t>
  </si>
  <si>
    <t>32643408</t>
  </si>
  <si>
    <t>Сельское поселение Яйского муниципального района/Вознесенское</t>
  </si>
  <si>
    <t>32643412</t>
  </si>
  <si>
    <t>Сельское поселение Яйского муниципального района/Дачно-Троицкое</t>
  </si>
  <si>
    <t>32643416</t>
  </si>
  <si>
    <t>Сельское поселение Яйского муниципального района/Кайлинское</t>
  </si>
  <si>
    <t>32643424</t>
  </si>
  <si>
    <t>Сельское поселение Яйского муниципального района/Китатское</t>
  </si>
  <si>
    <t>32643428</t>
  </si>
  <si>
    <t>Сельское поселение Яйского муниципального района/Марьевское</t>
  </si>
  <si>
    <t>32643432</t>
  </si>
  <si>
    <t>Сельское поселение Яйского муниципального района/Судженское</t>
  </si>
  <si>
    <t>32643436</t>
  </si>
  <si>
    <t>Сельское поселение Яйского муниципального района/Улановское</t>
  </si>
  <si>
    <t>32643440</t>
  </si>
  <si>
    <t>Яшкинский муниципальный район</t>
  </si>
  <si>
    <t>Городское поселение Яшкинского муниципального района/п.г.т. Яшкино</t>
  </si>
  <si>
    <t>32646151</t>
  </si>
  <si>
    <t>Сельское поселение Яшкинского муниципального района/Акациевское</t>
  </si>
  <si>
    <t>32646402</t>
  </si>
  <si>
    <t>Сельское поселение Яшкинского муниципального района/Дубровинское</t>
  </si>
  <si>
    <t>32646408</t>
  </si>
  <si>
    <t>Сельское поселение Яшкинского муниципального района/Колмогоровское</t>
  </si>
  <si>
    <t>32646414</t>
  </si>
  <si>
    <t>Сельское поселение Яшкинского муниципального района/Ленинское</t>
  </si>
  <si>
    <t>32646419</t>
  </si>
  <si>
    <t>Сельское поселение Яшкинского муниципального района/Литвиновское</t>
  </si>
  <si>
    <t>32646420</t>
  </si>
  <si>
    <t>Сельское поселение Яшкинского муниципального района/Пачинское</t>
  </si>
  <si>
    <t>32646424</t>
  </si>
  <si>
    <t>Сельское поселение Яшкинского муниципального района/Пашковское</t>
  </si>
  <si>
    <t>32646428</t>
  </si>
  <si>
    <t>Сельское поселение Яшкинского муниципального района/Поломошинское</t>
  </si>
  <si>
    <t>32646432</t>
  </si>
  <si>
    <t>Сельское поселение Яшкинского муниципального района/Таловское</t>
  </si>
  <si>
    <t>32646436</t>
  </si>
  <si>
    <t>Сельское поселение Яшкинского муниципального района/Шахтерское</t>
  </si>
  <si>
    <t>32646450</t>
  </si>
  <si>
    <t>город Кемерово</t>
  </si>
  <si>
    <t>32701000</t>
  </si>
  <si>
    <t>город Анжеро-Судженск</t>
  </si>
  <si>
    <t>32704000</t>
  </si>
  <si>
    <t>город Белово</t>
  </si>
  <si>
    <t>32707000</t>
  </si>
  <si>
    <t>город Березовский</t>
  </si>
  <si>
    <t>32710000</t>
  </si>
  <si>
    <t>город Калтан</t>
  </si>
  <si>
    <t>32715000</t>
  </si>
  <si>
    <t>город Киселевск</t>
  </si>
  <si>
    <t>32716000</t>
  </si>
  <si>
    <t>город Ленинск-Кузнецкий</t>
  </si>
  <si>
    <t>32719000</t>
  </si>
  <si>
    <t>город Междуреченск</t>
  </si>
  <si>
    <t>32725000</t>
  </si>
  <si>
    <t>город Мыски</t>
  </si>
  <si>
    <t>32728000</t>
  </si>
  <si>
    <t>город Новокузнецк</t>
  </si>
  <si>
    <t>32731000</t>
  </si>
  <si>
    <t>город Полысаево</t>
  </si>
  <si>
    <t>32732000</t>
  </si>
  <si>
    <t>город Осинники</t>
  </si>
  <si>
    <t>32734000</t>
  </si>
  <si>
    <t>город Прокопьевск</t>
  </si>
  <si>
    <t>32737000</t>
  </si>
  <si>
    <t>город Тайга</t>
  </si>
  <si>
    <t>32740000</t>
  </si>
  <si>
    <t>город Юрга</t>
  </si>
  <si>
    <t>32749000</t>
  </si>
  <si>
    <t>поселок городского типа Краснобродский</t>
  </si>
  <si>
    <t>32751000</t>
  </si>
  <si>
    <t>regionFasId</t>
  </si>
  <si>
    <t>regionName</t>
  </si>
  <si>
    <t>orgFasId</t>
  </si>
  <si>
    <t>orgName</t>
  </si>
  <si>
    <t>orgFullName</t>
  </si>
  <si>
    <t>inn</t>
  </si>
  <si>
    <t>kpp</t>
  </si>
  <si>
    <t>ogrn</t>
  </si>
  <si>
    <t>okpo</t>
  </si>
  <si>
    <t>okopf</t>
  </si>
  <si>
    <t>factAddress</t>
  </si>
  <si>
    <t>legalAddress</t>
  </si>
  <si>
    <t>phone</t>
  </si>
  <si>
    <t>email</t>
  </si>
  <si>
    <t>fioDirector</t>
  </si>
  <si>
    <t>postDirector</t>
  </si>
  <si>
    <t>webSite</t>
  </si>
  <si>
    <t>isUsn</t>
  </si>
  <si>
    <t>sphereCode</t>
  </si>
  <si>
    <t>Анжеро-Судженская ЛПДС филиала "Новосибирское РНУ" АО "Транснефть - Западная Сибирь"</t>
  </si>
  <si>
    <t>Анжеро-Судженская линейная производственно-диспетчерская станция  филиала "Новосибирское РНУ" АО "Транснефть - Западная Сибирь"</t>
  </si>
  <si>
    <t>5502020634</t>
  </si>
  <si>
    <t>424603001</t>
  </si>
  <si>
    <t>1025500514489</t>
  </si>
  <si>
    <t>00139152</t>
  </si>
  <si>
    <t>1 22 67 | Непубличные акционерные общества</t>
  </si>
  <si>
    <t>Российская Федерация, 652472, г. Анжеро-Судженск</t>
  </si>
  <si>
    <t>Российская Федерация, 644033, г. Омск, ул. Красный Путь, 111, корп. 1</t>
  </si>
  <si>
    <t>+73832299637</t>
  </si>
  <si>
    <t>MakushkinaIS@oms.transneft.ru</t>
  </si>
  <si>
    <t>Летушев Алексей Сергеевич</t>
  </si>
  <si>
    <t xml:space="preserve"> Начальника управления</t>
  </si>
  <si>
    <t>westernsiberia.transneft.ru</t>
  </si>
  <si>
    <t>VS</t>
  </si>
  <si>
    <t>АО "Кемеровская генерация"</t>
  </si>
  <si>
    <t>Акционерное общество "Кемеровская генерация"</t>
  </si>
  <si>
    <t>4205243192</t>
  </si>
  <si>
    <t>1122224002284</t>
  </si>
  <si>
    <t>37717187</t>
  </si>
  <si>
    <t>Российская Федерация, 650000, Кемеровская область, г. Кемерово, пр-т Кузнецкий, д. 7 этаж3</t>
  </si>
  <si>
    <t>115054, Российская Федерация, г.Москва, ул. Дубининская, дом 53, строение 5, эт/пом/ком 2/V/1</t>
  </si>
  <si>
    <t>+73842453350</t>
  </si>
  <si>
    <t>kemgen@sibgenco.ru</t>
  </si>
  <si>
    <t>Катуганов Андрей Владимирович</t>
  </si>
  <si>
    <t>генеральный директор</t>
  </si>
  <si>
    <t>www.sibgenco.ru</t>
  </si>
  <si>
    <t>АО "Кузнецкая ТЭЦ"</t>
  </si>
  <si>
    <t>Акционерное общество "Кузнецкая ТЭЦ"</t>
  </si>
  <si>
    <t>4205243178</t>
  </si>
  <si>
    <t>425301001</t>
  </si>
  <si>
    <t>1122224002295</t>
  </si>
  <si>
    <t>37717224</t>
  </si>
  <si>
    <t>654084, Кемеровская область – Кузбасс, г.о. Новокузнецкий, г. Новокузнецк, р-н Кузнецкий, ул. Новороссийская, д. 35, этаж 2, помещ. 26</t>
  </si>
  <si>
    <t>+73843468317</t>
  </si>
  <si>
    <t>tomilovaIA@tkck.ru</t>
  </si>
  <si>
    <t>Грунин Вадим Васильевич</t>
  </si>
  <si>
    <t>kuzneck-tec.ru</t>
  </si>
  <si>
    <t>АО "ПО Водоканал"</t>
  </si>
  <si>
    <t>Акционерное общество "Производственное объединение Водоканал"</t>
  </si>
  <si>
    <t>4223030694</t>
  </si>
  <si>
    <t>422301001</t>
  </si>
  <si>
    <t>1024201883320</t>
  </si>
  <si>
    <t>653000, Кемеровская область, г. Прокопьевск, пер. Артема,7</t>
  </si>
  <si>
    <t>+73846612606</t>
  </si>
  <si>
    <t>vodapr_plan@mail.ru</t>
  </si>
  <si>
    <t>Сахапов Руслан Ангамович</t>
  </si>
  <si>
    <t>vodapr.ru</t>
  </si>
  <si>
    <t>АО "РУСАЛ Новокузнецкий Алюминиевый Завод"</t>
  </si>
  <si>
    <t>Акционерное общество "РУСАЛ Новокузнецкий Алюминиевый Завод"</t>
  </si>
  <si>
    <t>4221000535</t>
  </si>
  <si>
    <t>997550001</t>
  </si>
  <si>
    <t>1024201821093</t>
  </si>
  <si>
    <t>05785276</t>
  </si>
  <si>
    <t>РОССИЯ, 654000, Кемеровская область, г. Новокузнецк, пр-д Ферросплавный, д. 7</t>
  </si>
  <si>
    <t>РОССИЯ, 654000, Кемеровская область, г. Новокузнецк</t>
  </si>
  <si>
    <t>+73843397322</t>
  </si>
  <si>
    <t>RostovVV@nkaz.rusal.ru</t>
  </si>
  <si>
    <t>Терентьев Андрей Александрович</t>
  </si>
  <si>
    <t>Управляющий директор</t>
  </si>
  <si>
    <t>www.rusal.ru</t>
  </si>
  <si>
    <t>АО "Транснефть-Западная Сибирь"</t>
  </si>
  <si>
    <t>Акционерное общество "Транснефть-Западная Сибирь"</t>
  </si>
  <si>
    <t>546050001</t>
  </si>
  <si>
    <t>644040, г. Омск, пер. Нефтяной, 18</t>
  </si>
  <si>
    <t>644033, г. Омск, ул. Красный путь, 111,  кор.1</t>
  </si>
  <si>
    <t>(3812) 69-16-98, ф. (3812) 69-11-70 приемная</t>
  </si>
  <si>
    <t>ZenzerovaLV@omsornu.oms.transneft.ru</t>
  </si>
  <si>
    <t>Шувалов Владимир Валерьевич</t>
  </si>
  <si>
    <t>Начальник ОРНУ</t>
  </si>
  <si>
    <t>http://www.transsibneft.com/index.htm</t>
  </si>
  <si>
    <t>АО ЦОФ "Берёзовская"</t>
  </si>
  <si>
    <t>Акционерное общество Центральная обогатительная фабрика "Берёзовская"</t>
  </si>
  <si>
    <t>4203001617</t>
  </si>
  <si>
    <t>424950001</t>
  </si>
  <si>
    <t>1024200646018</t>
  </si>
  <si>
    <t>00160212</t>
  </si>
  <si>
    <t>1 22 47 | Публичные акционерные общества</t>
  </si>
  <si>
    <t>Российская Федерация, 652421, Кемеровская область, г.Берёзовский</t>
  </si>
  <si>
    <t>38445-39980; 39981</t>
  </si>
  <si>
    <t>ccm@koks.metholding.ru</t>
  </si>
  <si>
    <t>Куколев Александр Анатольевич</t>
  </si>
  <si>
    <t>Ачинская дистанция гражданских сооружений - СП КЖД - филиала ОАО "РЖД"</t>
  </si>
  <si>
    <t>Ачинская дистанция гражданских сооружений - структурное подразделение Красноярской железной дороги - филиала ОАО "РЖД"</t>
  </si>
  <si>
    <t>7708503727</t>
  </si>
  <si>
    <t>421301001</t>
  </si>
  <si>
    <t>1037739877295</t>
  </si>
  <si>
    <t>662156, Красноярский край, г.Ачинск, ул.Привокзальная, 3</t>
  </si>
  <si>
    <t>107174, г.Москва, ул.Новая Басманная, д.2</t>
  </si>
  <si>
    <t>(39151) 65695 / 66477</t>
  </si>
  <si>
    <t>semyach@ach.krw.ru</t>
  </si>
  <si>
    <t>начальник дистанции</t>
  </si>
  <si>
    <t>Гурьевский филиал ПАО "ЧМК"</t>
  </si>
  <si>
    <t>Гурьевский филиал публичного акционерного общества "Челябинский металлургический завод"</t>
  </si>
  <si>
    <t>7450001007</t>
  </si>
  <si>
    <t>421243001</t>
  </si>
  <si>
    <t>1027402812777</t>
  </si>
  <si>
    <t>64069199</t>
  </si>
  <si>
    <t>652780,Кемеровская область- Кузбасс. г. Гурьевск. ул. Ю. Гагарина, д.1</t>
  </si>
  <si>
    <t>454047, Челябинская обл. г. Челябинск, ул. 2-я Павелецкая, д.14</t>
  </si>
  <si>
    <t>+73846350036</t>
  </si>
  <si>
    <t>Gur-Stal@gmz.kuzbass.net</t>
  </si>
  <si>
    <t>Дворянчиков Владимир Николаевич</t>
  </si>
  <si>
    <t>директор филиала</t>
  </si>
  <si>
    <t>КАО "Азот"</t>
  </si>
  <si>
    <t>КЕМЕРОВСКОЕ АКЦИОНЕРНОЕ ОБЩЕСТВО " АЗОТ "</t>
  </si>
  <si>
    <t>4205000908</t>
  </si>
  <si>
    <t>1024200705077</t>
  </si>
  <si>
    <t>05761637</t>
  </si>
  <si>
    <t>РОССИЯ, 650021, Кемеровская область, г. Кемерово, ул. Грузовая, стр. 1</t>
  </si>
  <si>
    <t>(3842) 571-577, 570-669/ 570-091, 571-924, 255-947</t>
  </si>
  <si>
    <t>info@azot.kuzbass.net</t>
  </si>
  <si>
    <t>Безух Игорь Геннадьевич</t>
  </si>
  <si>
    <t>www.kem-azot.ru</t>
  </si>
  <si>
    <t>Красноярская дирекция по тепловодоснабжению</t>
  </si>
  <si>
    <t>Красноярская дирекция по тепловодоснабжению - структурное подразделение Центральной дирекции по тепловодоснабжению - филиала ОАО "Российские железные дороги"</t>
  </si>
  <si>
    <t>246645014</t>
  </si>
  <si>
    <t xml:space="preserve"> 660021 г.Красноярск, ул.Горького, д.6</t>
  </si>
  <si>
    <t>107174, г.Москва, ул.Новая Басманная, д. 2, Красноярской ДТВ - 660021 г.Красноярск, ул.Горького, д.6</t>
  </si>
  <si>
    <t>+73912595298</t>
  </si>
  <si>
    <t>PotemkinaTE@krw.ru</t>
  </si>
  <si>
    <t>Гамалей Николай Иванович</t>
  </si>
  <si>
    <t>начальник дирекции</t>
  </si>
  <si>
    <t>Кузбасский территориальный участок ЗСД по тепловодоснабжению - СП ЦД по тепловодоснабжению - филиал ОАО "РЖД"</t>
  </si>
  <si>
    <t>Кузбасский территориальный  участок Западно-Сибирской дирекции по тепловодоснабжению - структурного подразделения Центральной дирекции по тепловодоснабжению-филиал ОАО "РЖД"</t>
  </si>
  <si>
    <t>540775040</t>
  </si>
  <si>
    <t>630132, г.Новосибирск, ул.Движенцев, 20</t>
  </si>
  <si>
    <t>(383)-229-23-71/ 2292371</t>
  </si>
  <si>
    <t>Кутлин Владимир Николаевич</t>
  </si>
  <si>
    <t>МКП "ВКХ"</t>
  </si>
  <si>
    <t>Муниципальное казенное предприятие Новокузнецкого городского округа "Водопроводно-канализационное хозяйство"</t>
  </si>
  <si>
    <t>4217191774</t>
  </si>
  <si>
    <t>421701001</t>
  </si>
  <si>
    <t>1184205022847</t>
  </si>
  <si>
    <t>34166812</t>
  </si>
  <si>
    <t>6 51 43 | Муниципальные казенные предприятия</t>
  </si>
  <si>
    <t>654041, Кемеровская область, г. Новокузнецк, ул. Сеченова, 19А</t>
  </si>
  <si>
    <t>8-384-3-92-11-44</t>
  </si>
  <si>
    <t>mkpvkh2018@mail.ru</t>
  </si>
  <si>
    <t>Климентоа Артем Николаевич</t>
  </si>
  <si>
    <t>Директор</t>
  </si>
  <si>
    <t>МКП "Водоканал" ТМР</t>
  </si>
  <si>
    <t>Муниципальное казенное предприятие "Водоканал"Таштаголького муниципального района</t>
  </si>
  <si>
    <t>4252015570</t>
  </si>
  <si>
    <t>425201001</t>
  </si>
  <si>
    <t>1194205017269</t>
  </si>
  <si>
    <t>41121336</t>
  </si>
  <si>
    <t>6 52 43 | Муниципальные унитарные предприятия</t>
  </si>
  <si>
    <t>652992, Кемеровская область, г. Таштагол, ул. Геологическая д.62, пом.1</t>
  </si>
  <si>
    <t>83843465636</t>
  </si>
  <si>
    <t>ukek.econ@yandex.ru</t>
  </si>
  <si>
    <t>Скутнев Александр Николаевич</t>
  </si>
  <si>
    <t>МКП "ВОДОРЕСУРС" ТМО</t>
  </si>
  <si>
    <t>МУНИЦИПАЛЬНОЕ КАЗЕННОЕ ПРЕДПРИЯТИЕ "ВОДОРЕСУРС" ТАШТАГОЛЬСКОГО МУНИЦИПАЛЬНОГО ОКРУГА</t>
  </si>
  <si>
    <t>4214046627</t>
  </si>
  <si>
    <t>421401001</t>
  </si>
  <si>
    <t>1254200013704</t>
  </si>
  <si>
    <t>73333590</t>
  </si>
  <si>
    <t>652992, КЕМЕРОВСКАЯ ОБЛАСТЬ - КУЗБАСС, М.Р-Н ТАШТАГОЛЬСКИЙ, Г.П. ТАШТАГОЛЬСКОЕ, Г ТАШТАГОЛ, УЛ ГЕОЛОГИЧЕСКАЯ, Д. 62</t>
  </si>
  <si>
    <t>3847332030</t>
  </si>
  <si>
    <t>vodoresurs42@yandex.ru</t>
  </si>
  <si>
    <t>Азаренок Игорь Геннадьевич</t>
  </si>
  <si>
    <t>ДИРЕКТОР</t>
  </si>
  <si>
    <t>МКП "КОМФОРТ"</t>
  </si>
  <si>
    <t>Муниципальное казенное предприятие "КОМФОРТ" Тяжинского муниципального округа</t>
  </si>
  <si>
    <t>4213011357</t>
  </si>
  <si>
    <t>1164205054860</t>
  </si>
  <si>
    <t>00198054</t>
  </si>
  <si>
    <t>652240,  Кемеровская область, р. Тяжинский. пгт. Тяжинский, ул. Сибирская, д. 11А</t>
  </si>
  <si>
    <t>652240, Кемеровская область, р. Тяжинский. пгт. Тяжинский, ул. Сибирская, д. 11А</t>
  </si>
  <si>
    <t>8(384-49) 28-6-11</t>
  </si>
  <si>
    <t>komfort.mup@mail.ru</t>
  </si>
  <si>
    <t>Клевцов Виктор Григорьевич</t>
  </si>
  <si>
    <t>директор</t>
  </si>
  <si>
    <t>МКП "КТВС НМР"</t>
  </si>
  <si>
    <t>Муниципальное казенное предприятие "Котельные, тепловые и водопроводные сети Новокузнецкого муниципального района"</t>
  </si>
  <si>
    <t>4252015404</t>
  </si>
  <si>
    <t>1194205013034</t>
  </si>
  <si>
    <t>53873567</t>
  </si>
  <si>
    <t>654201, Кемеровская область, Новокузнецкий район,с. Сосновка, ул. Юдина, д.1, литера а, помещение 3</t>
  </si>
  <si>
    <t>+73843921213</t>
  </si>
  <si>
    <t>office@ktsnr.ru</t>
  </si>
  <si>
    <t>Цыганков Олег Вадимович</t>
  </si>
  <si>
    <t>https://ktvsnr.ru/</t>
  </si>
  <si>
    <t>МКП МГО "Водоканал"</t>
  </si>
  <si>
    <t>Муниципальное казенное предприятие Мысковского городского округа "Водоканал"</t>
  </si>
  <si>
    <t>4214040978</t>
  </si>
  <si>
    <t>1204200001521</t>
  </si>
  <si>
    <t>50089809</t>
  </si>
  <si>
    <t>652840, Кемеровская область- Кузбасс, г. Мыски, ул. Олимпийская, д.1</t>
  </si>
  <si>
    <t>+73847430022</t>
  </si>
  <si>
    <t>mkp-vdk@ya.ru</t>
  </si>
  <si>
    <t>Бусель Михаил Александрович</t>
  </si>
  <si>
    <t>водоканалмыски.рф</t>
  </si>
  <si>
    <t>МКП ММО "Ресурс"</t>
  </si>
  <si>
    <t>Муниципальное казенное предприятие Мариинского муниципального округа "Ресурс"</t>
  </si>
  <si>
    <t>4213012417</t>
  </si>
  <si>
    <t>1194205016125</t>
  </si>
  <si>
    <t>94647895</t>
  </si>
  <si>
    <t>652150, Кемеровская область, г. Мариинск, ул. Дорожная л. 8</t>
  </si>
  <si>
    <t>mkpresurs@mail.ru</t>
  </si>
  <si>
    <t>Барков Анатолий Викторович</t>
  </si>
  <si>
    <t>МКП ОГО "Теплоэнерго"</t>
  </si>
  <si>
    <t>Муниципальное казенное предприятие Осинниковского городского округа "Теплоэнерго"</t>
  </si>
  <si>
    <t>4222016746</t>
  </si>
  <si>
    <t>422201001</t>
  </si>
  <si>
    <t>1194205015113</t>
  </si>
  <si>
    <t>89948915</t>
  </si>
  <si>
    <t>652815, Кемеровская область, г. Осинники, ул. Чайковского, дом 1 "А"</t>
  </si>
  <si>
    <t>teploenergo_osinniki@list.ru</t>
  </si>
  <si>
    <t>Волховицкий Владимир Алексеевич</t>
  </si>
  <si>
    <t>МКП "Тепло"</t>
  </si>
  <si>
    <t>Муниципальное казенное предприятие "Тепло"</t>
  </si>
  <si>
    <t>4230032501</t>
  </si>
  <si>
    <t>423001001</t>
  </si>
  <si>
    <t>1184205004070</t>
  </si>
  <si>
    <t>25494144</t>
  </si>
  <si>
    <t>652305, Кемеровская обл., г. Топки, ул. Алма-Атинская,31"3"</t>
  </si>
  <si>
    <t>3845431132</t>
  </si>
  <si>
    <t>mkpjkh-topki@mail.ru</t>
  </si>
  <si>
    <t>Сербай Галина Николаевна</t>
  </si>
  <si>
    <t>МКП "Теплосеть" КГО</t>
  </si>
  <si>
    <t>Муниципальное казенное предприятие "Теплосеть" Калтанского городского округа</t>
  </si>
  <si>
    <t>4222016778</t>
  </si>
  <si>
    <t>1194205017555</t>
  </si>
  <si>
    <t>41180706</t>
  </si>
  <si>
    <t>652740, Кемеровская область, г. Калтан, пр. Комсомольский, д.7/3</t>
  </si>
  <si>
    <t>teploset_kaltan@mail.ru</t>
  </si>
  <si>
    <t>И ванов Андрей Анатольевич</t>
  </si>
  <si>
    <t>МП "Исток"</t>
  </si>
  <si>
    <t>Муниципальное предприятие города Киселевска "Исток"</t>
  </si>
  <si>
    <t>4211023572</t>
  </si>
  <si>
    <t>421101001</t>
  </si>
  <si>
    <t>1094211000828</t>
  </si>
  <si>
    <t>62503786</t>
  </si>
  <si>
    <t>652700, Кемеровская обл, Киселевск г, Коммунальная ул, 5</t>
  </si>
  <si>
    <t>8-384-64-3-44-98 (ф)</t>
  </si>
  <si>
    <t>mp.istok@mail.ru</t>
  </si>
  <si>
    <t>Стариков Сергей Николаевич</t>
  </si>
  <si>
    <t>и о Директора</t>
  </si>
  <si>
    <t>МУП "Водоканал"</t>
  </si>
  <si>
    <t>Муниципальное унитарное предприятие "Водоканал"</t>
  </si>
  <si>
    <t>4202043124</t>
  </si>
  <si>
    <t>420201001</t>
  </si>
  <si>
    <t>1124202000053</t>
  </si>
  <si>
    <t>37701795</t>
  </si>
  <si>
    <t>652617 РФ, Кемеровская обл., г. Белово, пгт. Грамотеино, ул. Колмогоровская, 12</t>
  </si>
  <si>
    <t>+73845295204</t>
  </si>
  <si>
    <t>vodokanal.mup@mail.ru</t>
  </si>
  <si>
    <t>Муратов Евгений Тахирович</t>
  </si>
  <si>
    <t>https://belvod.ru/</t>
  </si>
  <si>
    <t>МУП Гурьевского муниципального района "УК ЖКХ"</t>
  </si>
  <si>
    <t>Муниципальное унитарное предприятие Гурьевского муниципального района "Управляющая компания жилищно-коммунального хозяйства"</t>
  </si>
  <si>
    <t>4202047136</t>
  </si>
  <si>
    <t>1144202000029</t>
  </si>
  <si>
    <t>16715422</t>
  </si>
  <si>
    <t>652774, Кемеровская обл., Гурьевский округ, с. Малая Салаирка, ул. Школьная 15а</t>
  </si>
  <si>
    <t>652780, Кемеровская обл., Гурьевский округ, г. Салаир, ул. Молодежная, зд.7а, помещ.2</t>
  </si>
  <si>
    <t>+73846331247</t>
  </si>
  <si>
    <t>komhoz2010@yandex.ru</t>
  </si>
  <si>
    <t>Барышев Валерий Викторович</t>
  </si>
  <si>
    <t>МУП "ИЖКХ" Ижморского муниципального округа"</t>
  </si>
  <si>
    <t>Муниципальное унитарное предприятие "Ижморское жилищно-коммунальное хозяйство" Ижморского муниципального округа"</t>
  </si>
  <si>
    <t>4246021336</t>
  </si>
  <si>
    <t>424601001</t>
  </si>
  <si>
    <t>1174205014048</t>
  </si>
  <si>
    <t>15853524</t>
  </si>
  <si>
    <t>652120, Кемеровская область, Ижморский район, пгт Ижморский ул. Гагарина, дом 15</t>
  </si>
  <si>
    <t>8(384) 59-2-19-61</t>
  </si>
  <si>
    <t>mypgkh@mail.ru</t>
  </si>
  <si>
    <t>Смоляков Анатолий Леонидович</t>
  </si>
  <si>
    <t>МУП "Комфорт"</t>
  </si>
  <si>
    <t>Муниципальное унитарное предприятие "Комфорт"</t>
  </si>
  <si>
    <t>4230026593</t>
  </si>
  <si>
    <t>1094230000842</t>
  </si>
  <si>
    <t>62481292</t>
  </si>
  <si>
    <t>652050, Кемеровская обл. г. Юрга, ул. Шоссейная 54А</t>
  </si>
  <si>
    <t>652081, Кемеровская обл., Юргинский район, с. Верх-Тайменка, пер. Школьный 2</t>
  </si>
  <si>
    <t>+73845149030</t>
  </si>
  <si>
    <t>komfort-priemnaya@mail.ru</t>
  </si>
  <si>
    <t>Сивин Максим Геннадьевич</t>
  </si>
  <si>
    <t>МУП "Междуреченский Водоканал"</t>
  </si>
  <si>
    <t>Муниципальное унитарное предприятие  "Междуреченский Водоканал"</t>
  </si>
  <si>
    <t>4214040174</t>
  </si>
  <si>
    <t>1184205021219</t>
  </si>
  <si>
    <t>33873105</t>
  </si>
  <si>
    <t>652870,Кемеровская область, г. Междуреченск, ул. Кузнецкая, 27</t>
  </si>
  <si>
    <t>+73847525402</t>
  </si>
  <si>
    <t>vodamzk@mail.ru</t>
  </si>
  <si>
    <t>Братенков Евгений Владимирович</t>
  </si>
  <si>
    <t>vodamzk.ru</t>
  </si>
  <si>
    <t>МУП "ТЖКХ" Тисульского муниципального района"</t>
  </si>
  <si>
    <t>Муниципальное унитарное предприятие "Тисульское жилищно-коммунальное хозяйство"  Тисульского муниципального района</t>
  </si>
  <si>
    <t>4213012375</t>
  </si>
  <si>
    <t>1194205015047</t>
  </si>
  <si>
    <t>89951930</t>
  </si>
  <si>
    <t>652210, Кемеровская область-Кузбасс, Тисульский р-н,п.г.т. Тисуль, ул. Энгельса, 22</t>
  </si>
  <si>
    <t>652210, Кемеровская область-Кузбасс, Тисульский р-н,п.г.т. Тисуль, ул. Ленина, 53 оф.3</t>
  </si>
  <si>
    <t>+78961700346</t>
  </si>
  <si>
    <t>mupgkh2019@yandex.ru</t>
  </si>
  <si>
    <t>Иванов Алексей Александрович</t>
  </si>
  <si>
    <t>ООО "АВК ПЛЮС"</t>
  </si>
  <si>
    <t>Общество с ограниченной ответственностью "АВК ПЛЮС"</t>
  </si>
  <si>
    <t>4205252430</t>
  </si>
  <si>
    <t>1124205017595</t>
  </si>
  <si>
    <t>1 23 00 | Общества с ограниченной ответственностью</t>
  </si>
  <si>
    <t>650023, г. Кемерово, пр-т Ленина, д. 106-а, кв. 4</t>
  </si>
  <si>
    <t>8-3842-57-43-46</t>
  </si>
  <si>
    <t>Романченко Наталья Владимировна</t>
  </si>
  <si>
    <t>ООО "Велес+"</t>
  </si>
  <si>
    <t>Общество с ограниченной ответственностью "Велес+"</t>
  </si>
  <si>
    <t>4212046580</t>
  </si>
  <si>
    <t>421201001</t>
  </si>
  <si>
    <t>1244200011769</t>
  </si>
  <si>
    <t>47822979</t>
  </si>
  <si>
    <t>652594, Кемеровская область-Кузбасс, Ленинск-Кузнецкий муниципальный округ, д. Красноярка, пер. Школьный, д. 2, кв.1</t>
  </si>
  <si>
    <t>89609006007</t>
  </si>
  <si>
    <t>oooveles.2014@mail.ru</t>
  </si>
  <si>
    <t>Соколова Оксана Николаевна</t>
  </si>
  <si>
    <t>ООО "Водоканал"</t>
  </si>
  <si>
    <t>Общество с ограниченной ответственностью "Водоканал"</t>
  </si>
  <si>
    <t>4217166136</t>
  </si>
  <si>
    <t>1144217006966</t>
  </si>
  <si>
    <t>Российская Федерация, 654005, Кемеровская область, г. Новокузнецк, пр. Строителей, 98</t>
  </si>
  <si>
    <t>+73843900897</t>
  </si>
  <si>
    <t>office@vdk.ru</t>
  </si>
  <si>
    <t>Рябов Константин Владимирович</t>
  </si>
  <si>
    <t>www.vdk.ru</t>
  </si>
  <si>
    <t>ООО "ВодСнаб"</t>
  </si>
  <si>
    <t>Общество с ограниченной ответственностью "ВодСнаб"</t>
  </si>
  <si>
    <t>4230030215</t>
  </si>
  <si>
    <t>1154230000880</t>
  </si>
  <si>
    <t>27633845</t>
  </si>
  <si>
    <t>652050,  Кемеровская область, Город Юрга, ул. Шоссейная 14 А</t>
  </si>
  <si>
    <t>+73845147979</t>
  </si>
  <si>
    <t>vspr@upravkom.ru</t>
  </si>
  <si>
    <t>Шаптала Дмитрий Алексеевич</t>
  </si>
  <si>
    <t>Конкурсный управляющий</t>
  </si>
  <si>
    <t>ООО "Горводоканал"</t>
  </si>
  <si>
    <t>Общество с ограниченной ответственностью "Горводоканал"</t>
  </si>
  <si>
    <t>5406737355</t>
  </si>
  <si>
    <t>540501001</t>
  </si>
  <si>
    <t>1135476022252</t>
  </si>
  <si>
    <t>23549421</t>
  </si>
  <si>
    <t>652150, Кемеровская обл., г. Мариинск, пер. Южный, д. 1</t>
  </si>
  <si>
    <t>630083, г.Новосибирск, ул. Большевистская, д. 122, кв. 17</t>
  </si>
  <si>
    <t>8-38443-5-18-56</t>
  </si>
  <si>
    <t>vam.81@mail.ru</t>
  </si>
  <si>
    <t>Клюева Наталья Николаевна</t>
  </si>
  <si>
    <t>ООО "КВС"</t>
  </si>
  <si>
    <t>Общество с ограниченной ответственностью "Киселевский Водоснаб"</t>
  </si>
  <si>
    <t>4223104956</t>
  </si>
  <si>
    <t>1164205072745</t>
  </si>
  <si>
    <t>04017049</t>
  </si>
  <si>
    <t>653053, Кемеровская область, г. Прокопьевск, ул. Гайдара, 50а</t>
  </si>
  <si>
    <t>+73846692205</t>
  </si>
  <si>
    <t>ks_voda@mail.ru</t>
  </si>
  <si>
    <t>Хадыев Ибрагим Файзылхакович</t>
  </si>
  <si>
    <t>ООО "КК-ИНВЕСТ"</t>
  </si>
  <si>
    <t>Общество с ограниченной ответственностью "КК-ИНВЕСТ"</t>
  </si>
  <si>
    <t>1901133713</t>
  </si>
  <si>
    <t>190101001</t>
  </si>
  <si>
    <t>1174205005413</t>
  </si>
  <si>
    <t>09809016</t>
  </si>
  <si>
    <t>650066,г. Кемерово, пр. Ленина, д. 61</t>
  </si>
  <si>
    <t>655004, Республика Хакасия, г. Абакан, ул. Некрасова, д. 31, стр.1, 3Н помещение14</t>
  </si>
  <si>
    <t>+78384272062</t>
  </si>
  <si>
    <t>kkioffice@kkinvest.ru</t>
  </si>
  <si>
    <t>Бельков Вадим Витальевич</t>
  </si>
  <si>
    <t>kkinvest.ru</t>
  </si>
  <si>
    <t>ООО "НТСК"</t>
  </si>
  <si>
    <t>Общество с ограниченной ответственностью "Новосибирская теплосетевая компания"</t>
  </si>
  <si>
    <t>5406993045</t>
  </si>
  <si>
    <t>540601001</t>
  </si>
  <si>
    <t>1185476068909</t>
  </si>
  <si>
    <t>680070, г. Кемерово, ул. Свободы, д. 10</t>
  </si>
  <si>
    <t>630007, Новосибирская область, город Новосибирск, Серебренниковская ул., д. 4, офис 40</t>
  </si>
  <si>
    <t>ke@sibgenco.ru</t>
  </si>
  <si>
    <t>Косов Александр Александрович</t>
  </si>
  <si>
    <t>https://sibgenco.ru</t>
  </si>
  <si>
    <t>ООО "Промышленновские коммунальные системы"</t>
  </si>
  <si>
    <t>Общество с ограниченной ответственностью "Промышленновские коммунальные системы"</t>
  </si>
  <si>
    <t>4240009967</t>
  </si>
  <si>
    <t>424001001</t>
  </si>
  <si>
    <t>1084240000327</t>
  </si>
  <si>
    <t>652380,Кемеровская область, пгт.Промышленная, ул.Некрасова ,20</t>
  </si>
  <si>
    <t>8 (38442) 7-45-83, 7-42-39; 7-47-31</t>
  </si>
  <si>
    <t>pks@rambler.ru</t>
  </si>
  <si>
    <t>Минаков Александр Сергеевич</t>
  </si>
  <si>
    <t>ООО "Ресурс-Гарант"</t>
  </si>
  <si>
    <t>Общество с органиченной ответственностью "Ресурс-Гарант"</t>
  </si>
  <si>
    <t>4213010240</t>
  </si>
  <si>
    <t>1134213000130</t>
  </si>
  <si>
    <t>14795813</t>
  </si>
  <si>
    <t>652210, Кемеровская обл.,Тисульский район, пгт. Тисуль, ул. Энгельса 22</t>
  </si>
  <si>
    <t>652210, Кемеровская обл.,Тисульский район, пгт. Тисуль, пер.Весенний, 6</t>
  </si>
  <si>
    <t>+73844721637</t>
  </si>
  <si>
    <t>ooo_tek@bk.ru</t>
  </si>
  <si>
    <t>Баум Павел Владимирович</t>
  </si>
  <si>
    <t>ООО санаторий "Кедровый бор"</t>
  </si>
  <si>
    <t>Общество с ограниченной ответственностью санаторий "Кедровый бор"</t>
  </si>
  <si>
    <t>4234006397</t>
  </si>
  <si>
    <t>425001001</t>
  </si>
  <si>
    <t>1024202050718</t>
  </si>
  <si>
    <t>50593318</t>
  </si>
  <si>
    <t>650505,Кемеровская область-Кузбасс, р-н Кемеровский, д. Подъяково, ул. Кедровый бор, д.3</t>
  </si>
  <si>
    <t>+78384269321</t>
  </si>
  <si>
    <t>priemnaya@kedbor.kru.ru</t>
  </si>
  <si>
    <t>Борисенко Олеся Викторовна</t>
  </si>
  <si>
    <t>ООО "СДС"</t>
  </si>
  <si>
    <t>Общество с ограниченной ответственностью "СибДорСтрой"</t>
  </si>
  <si>
    <t>4229006578</t>
  </si>
  <si>
    <t>422901001</t>
  </si>
  <si>
    <t>1054229000759</t>
  </si>
  <si>
    <t>74314814</t>
  </si>
  <si>
    <t>652320, Кемеровская обл., Топкинский окр., г. Топки, ул. Советская д.58</t>
  </si>
  <si>
    <t>8-384-54-3-25-87</t>
  </si>
  <si>
    <t>vkh_tpk@mail.ru ;      topkivoda@mail.ru</t>
  </si>
  <si>
    <t>Кондратов Анатолий Алексеевич</t>
  </si>
  <si>
    <t>ООО "СПК "Чистогорский"</t>
  </si>
  <si>
    <t>Общество с ограниченной ответственностью "Сельскохозяйственный Производственный Комплекс "Чистогорский"</t>
  </si>
  <si>
    <t>4238013194</t>
  </si>
  <si>
    <t>423801001</t>
  </si>
  <si>
    <t>1024202126508</t>
  </si>
  <si>
    <t>10896629</t>
  </si>
  <si>
    <t>Российская Федерация, 654235, Кемеровская область, Новокузнецкий район, п.Чистогорский</t>
  </si>
  <si>
    <t>+73843551119</t>
  </si>
  <si>
    <t>chistogorskiy.peo@mail.ru</t>
  </si>
  <si>
    <t>Чернышов Михаил Юревич</t>
  </si>
  <si>
    <t>http://chistogorsk.ru/</t>
  </si>
  <si>
    <t>ООО "ТВК"</t>
  </si>
  <si>
    <t>Общество с ограниченной ответственностью "ТВК"</t>
  </si>
  <si>
    <t>4202026697</t>
  </si>
  <si>
    <t>1054202026317</t>
  </si>
  <si>
    <t>76905258</t>
  </si>
  <si>
    <t>652614, г.Белово пгт.Грамотеино мкр.Листвяжный 53</t>
  </si>
  <si>
    <t>(384-52)2-87-45</t>
  </si>
  <si>
    <t>Tatyana.Gintner@belovo.belon.ru</t>
  </si>
  <si>
    <t>Баранов Александр Александрович</t>
  </si>
  <si>
    <t>ООО "ТВКХ"</t>
  </si>
  <si>
    <t>Общество с ограниченной ответственностью "Тайгинское ВКХ"</t>
  </si>
  <si>
    <t>4205375960</t>
  </si>
  <si>
    <t>1184205024706</t>
  </si>
  <si>
    <t>34971287</t>
  </si>
  <si>
    <t>652400, Российская Федерация, Кемеровская область, г. Тайга, ул. Никитина, д.2, каб. 201</t>
  </si>
  <si>
    <t>+78384482356</t>
  </si>
  <si>
    <t>Божанов Антон Владимирович</t>
  </si>
  <si>
    <t>ООО "Тепло-энергетические предприятия"</t>
  </si>
  <si>
    <t>Общество с ограниченной ответственностью "Тепло-энергетические предприятия"</t>
  </si>
  <si>
    <t>4212427497</t>
  </si>
  <si>
    <t>1054212007002</t>
  </si>
  <si>
    <t>72272448</t>
  </si>
  <si>
    <t>652449 Кемеровская область Крапивинский район пгт Зеленогорский ул.Центральная д.406 кор.2 пом.1</t>
  </si>
  <si>
    <t>+78384462535</t>
  </si>
  <si>
    <t>120971@rambler.ru</t>
  </si>
  <si>
    <t>Сметанин Евгений Сергеевич</t>
  </si>
  <si>
    <t>тэп42.рф</t>
  </si>
  <si>
    <t>ООО "Теплоэнерго"</t>
  </si>
  <si>
    <t>Общество с ограниченной ответственностью "Теплоэнерго"</t>
  </si>
  <si>
    <t>4214046200</t>
  </si>
  <si>
    <t>1254200008787</t>
  </si>
  <si>
    <t>89453549</t>
  </si>
  <si>
    <t>652800, Кемеровская область- Кузбасс, г.о. Осинниковский, г. Осинники, ул. Кирова 2-й переулок, зд. 1/1</t>
  </si>
  <si>
    <t>+78002008912</t>
  </si>
  <si>
    <t>Бишлер Павел Владимирович</t>
  </si>
  <si>
    <t>energoosinniki.ru</t>
  </si>
  <si>
    <t>ООО "УК"Журавлевы горы"</t>
  </si>
  <si>
    <t>Общество с ограниченной ответственностью "Управляющая компания "Журавлевы горы"</t>
  </si>
  <si>
    <t>4250007020</t>
  </si>
  <si>
    <t>1104250000733</t>
  </si>
  <si>
    <t>69971929</t>
  </si>
  <si>
    <t>650521, Российская Федерация, Кемеровская область, Кемеровский район, д. Солонечная, ул. Сиреневый туман, 2</t>
  </si>
  <si>
    <t>650521, Российская Федерация, Кемеровская область, Кемеровский район, д. Солонечная, ул. Журавушкин переулок, 1</t>
  </si>
  <si>
    <t>+73842496041</t>
  </si>
  <si>
    <t>zhurgory@mail.ru</t>
  </si>
  <si>
    <t>Жуков Владимир Данилович</t>
  </si>
  <si>
    <t>ООО "Чистая вода"</t>
  </si>
  <si>
    <t>Общество с ограниченной ответственностью "Чистая вода"</t>
  </si>
  <si>
    <t>4246023100</t>
  </si>
  <si>
    <t>1214200011321</t>
  </si>
  <si>
    <t>59209528</t>
  </si>
  <si>
    <t>652470,Кемеровская область-Кузбасс, г. Анжеро-Судженск, ул. Горняцкая, д. 4</t>
  </si>
  <si>
    <t>8-384-53-5-05-63</t>
  </si>
  <si>
    <t>chistaya_voda@internet.ru</t>
  </si>
  <si>
    <t>Мысак Сергей Дмитриевич</t>
  </si>
  <si>
    <t>ООО "ЭК"</t>
  </si>
  <si>
    <t>Общество с ограниченной ответственностью "ЭнергоКомпания"</t>
  </si>
  <si>
    <t>4202044463</t>
  </si>
  <si>
    <t>1124202001285</t>
  </si>
  <si>
    <t>10900160</t>
  </si>
  <si>
    <t>Российская Федерация, 652642, Кемеровская область, г. Белово, пгт Бачатский, ул. Комсомольская, 10</t>
  </si>
  <si>
    <t>(38452) 7-00-69, 7-42-34</t>
  </si>
  <si>
    <t>EnergyCompany2012@mail.ru; igoshindv@yandex.ru</t>
  </si>
  <si>
    <t>Дмитрий Валерьевич Игошин</t>
  </si>
  <si>
    <t>ООО "Энергоресурс"</t>
  </si>
  <si>
    <t>Общество с ограниченной ответственностью "Энергоресурс"</t>
  </si>
  <si>
    <t>4205284720</t>
  </si>
  <si>
    <t>1144205004822</t>
  </si>
  <si>
    <t>16728086</t>
  </si>
  <si>
    <t>Российская Федерация, 650000, г. Кемерово, ул. Кузбасская, 10, оф. 312</t>
  </si>
  <si>
    <t>+78384290079</t>
  </si>
  <si>
    <t>energoresurs42@yandex.ru</t>
  </si>
  <si>
    <t>Хараман Сергей Викторович</t>
  </si>
  <si>
    <t>энергоресурс42.рф</t>
  </si>
  <si>
    <t>ООО "Энергосервис г. Гурьевска"</t>
  </si>
  <si>
    <t>Общество с ограниченной ответственностью "Энергосервис г. Гурьевска"</t>
  </si>
  <si>
    <t>4202049045</t>
  </si>
  <si>
    <t>1154202000260</t>
  </si>
  <si>
    <t>27610011</t>
  </si>
  <si>
    <t>Российская Федерация, 652780, Кемеровская область, г. Гурьевск, ул. Партизанская, 19</t>
  </si>
  <si>
    <t>+73846354250</t>
  </si>
  <si>
    <t>uktsgur@rambler.ru</t>
  </si>
  <si>
    <t>Журавлев Евгений Владимирович</t>
  </si>
  <si>
    <t>ООО "ЭнергоТранзит"</t>
  </si>
  <si>
    <t>Общество  с ограниченной ответственностью "ЭнергоТранзит"</t>
  </si>
  <si>
    <t>5406603432</t>
  </si>
  <si>
    <t>1165476072233</t>
  </si>
  <si>
    <t>00072962</t>
  </si>
  <si>
    <t>654005, Кемеровская обл.,  г. Новокузнецк, ул. Коммунальная 25</t>
  </si>
  <si>
    <t>654005, Кемеровская обл.,  г. Новокузнецк, ул. Орджоникидзе 12, офис 7</t>
  </si>
  <si>
    <t>+78923626586</t>
  </si>
  <si>
    <t>info@teh-gorod.ru</t>
  </si>
  <si>
    <t>Лемешков Евгений Геннадьевич</t>
  </si>
  <si>
    <t>energo-tranzit.ru</t>
  </si>
  <si>
    <t>ПАО "ЕВРАЗ"</t>
  </si>
  <si>
    <t>ПУБЛИЧНОЕ АКЦИОНЕРНОЕ ОБЩЕСТВО "ЕВРАЗ"</t>
  </si>
  <si>
    <t>6623000680</t>
  </si>
  <si>
    <t>662301001</t>
  </si>
  <si>
    <t>1026601367539</t>
  </si>
  <si>
    <t>00186269</t>
  </si>
  <si>
    <t>654043, Кемеровская область, г. Новокузнецк, шоссе Космическое, д.16</t>
  </si>
  <si>
    <t>622025,СВЕРДЛОВСКАЯ ОБЛАСТЬ,Г. НИЖНИЙ ТАГИЛ,УЛ. МЕТАЛЛУРГОВ,Д.1</t>
  </si>
  <si>
    <t>+73843595900</t>
  </si>
  <si>
    <t>post@ntmk.ru</t>
  </si>
  <si>
    <t>Зайцев Владислав Николаевич</t>
  </si>
  <si>
    <t>Публичное акционерное общество "ЕВРАЗ"</t>
  </si>
  <si>
    <t>622025, Свердловская область, г. Нижний Тагил, ул. Металлургов, д.1</t>
  </si>
  <si>
    <t>8384-3-59-59-00, 8384-3-59-77-81</t>
  </si>
  <si>
    <t>zsmk@evraz.com</t>
  </si>
  <si>
    <t>Синяев Павел Александрович</t>
  </si>
  <si>
    <t>www.evraz.com</t>
  </si>
  <si>
    <t>Филиал АО ""УК "Кузбассразрезуголь" "Бачатский угольный разрез"</t>
  </si>
  <si>
    <t>4205049090</t>
  </si>
  <si>
    <t>420202004</t>
  </si>
  <si>
    <t>1034205040935</t>
  </si>
  <si>
    <t>14789675</t>
  </si>
  <si>
    <t>3 00 02 | Филиалы юридических лиц</t>
  </si>
  <si>
    <t>Российская Федерация, 652642, Кемеровская область, пгт. Бачатский, ул.  Комсомольская, здание 19А</t>
  </si>
  <si>
    <t>Российская Федерация, 652642, Кемеровская область, г. Белово-9, Комсомольская ул., 19 А</t>
  </si>
  <si>
    <t>+73845270420</t>
  </si>
  <si>
    <t>office@bach.kru.ru</t>
  </si>
  <si>
    <t>Соломенников Сергей Александрович</t>
  </si>
  <si>
    <t>Филиал АО "УК "Кузбассразрезуголь" "Талдинский угольный разрез"</t>
  </si>
  <si>
    <t>Филиал акционерного общества "Угольная компания "Кузбассразрезуголь" "Талдинский угольный разрез"</t>
  </si>
  <si>
    <t>423802002</t>
  </si>
  <si>
    <t>14792950</t>
  </si>
  <si>
    <t>Российская Федерация, 654212, Кемеровская область, Новокузнецкий район, с. Красулино</t>
  </si>
  <si>
    <t>Российская Федерация, 650054, г. Кемерово, Пионерский бульвар, 4 а</t>
  </si>
  <si>
    <t>(3843) 790-216</t>
  </si>
  <si>
    <t>office@tld.kru.ru</t>
  </si>
  <si>
    <t>Барашкин Андрей Борисович</t>
  </si>
  <si>
    <t>kru.kem.ru</t>
  </si>
  <si>
    <t>ФКУ КП-3 ГУФСИН России по Кемеровской области</t>
  </si>
  <si>
    <t>Федеральное казенное учреждение "Колония-поселение № 3 Главного управления Федеральной службы исполнения наказаний по Кемеровской области</t>
  </si>
  <si>
    <t>4244001260</t>
  </si>
  <si>
    <t>1024201368740</t>
  </si>
  <si>
    <t>08830994</t>
  </si>
  <si>
    <t>7 51 04 | Федеральные государственные казенные учреждения</t>
  </si>
  <si>
    <t>652285, Кемеровская обл., Чебулинский район, п. Новоивановский, ул. Трактовая, 2</t>
  </si>
  <si>
    <t>+73844423184</t>
  </si>
  <si>
    <t>kp3@42.fsin.gov.ru</t>
  </si>
  <si>
    <t>Сутормин Иван Михайлович</t>
  </si>
  <si>
    <t>Начальник, подполковник внутренней службы</t>
  </si>
  <si>
    <t>VO</t>
  </si>
  <si>
    <t>АО "Знамя"</t>
  </si>
  <si>
    <t xml:space="preserve"> АКЦИОНЕРНОЕ ОБЩЕСТВО "ЗНАМЯ"</t>
  </si>
  <si>
    <t>4211002950</t>
  </si>
  <si>
    <t>1024201255286</t>
  </si>
  <si>
    <t>07511502</t>
  </si>
  <si>
    <t>РОССИЯ, 652718, Кемеровская обл., Киселевск, ул. Ускатная, дом 6а</t>
  </si>
  <si>
    <t>+73846474876</t>
  </si>
  <si>
    <t>oao_znamya@mail.ru</t>
  </si>
  <si>
    <t>Галкин Леонид Андреевич</t>
  </si>
  <si>
    <t>АО "Кузбасская птицефабрика"</t>
  </si>
  <si>
    <t>Акционерное общество  "Кузбасская птицефабрика"</t>
  </si>
  <si>
    <t>4238019693</t>
  </si>
  <si>
    <t>1064238008416</t>
  </si>
  <si>
    <t>16372465</t>
  </si>
  <si>
    <t>Российская Федерация, 654241, Кемеровская область, Новокузнецкий район, пос. Степной</t>
  </si>
  <si>
    <t>+73843557281</t>
  </si>
  <si>
    <t>kpf@kuzbasskay.ru</t>
  </si>
  <si>
    <t>Меркулов Сергей Сергеевич</t>
  </si>
  <si>
    <t>АО "Спецавтохозяйство"</t>
  </si>
  <si>
    <t>Акционерное общество "Спецавтохозяйство"</t>
  </si>
  <si>
    <t>4205425065</t>
  </si>
  <si>
    <t>1244200013804</t>
  </si>
  <si>
    <t>650055, Кемеровская область - Кузбасс, город Кемерово, ул. Автозаводская, д. 10А</t>
  </si>
  <si>
    <t>+73842288122</t>
  </si>
  <si>
    <t>info@sahkem.ru</t>
  </si>
  <si>
    <t>Цыганков Константин Николаевич</t>
  </si>
  <si>
    <t>сах-кемерово.рф</t>
  </si>
  <si>
    <t>АО "СУЭК-Кузбасс"</t>
  </si>
  <si>
    <t>Акционерное общество  "СУЭК-Кузбасс"</t>
  </si>
  <si>
    <t>4212024138</t>
  </si>
  <si>
    <t>1074212001368</t>
  </si>
  <si>
    <t>80298858</t>
  </si>
  <si>
    <t>Российская Федерация, 652507, Кемеровская область, г.Ленинск-Кузнецкий, ул. Васильева, 1</t>
  </si>
  <si>
    <t xml:space="preserve"> (384)-56-93-001; (384)-56-95-739</t>
  </si>
  <si>
    <t>suek-kuzbass@suek.ru; tsh@suek.ru</t>
  </si>
  <si>
    <t>Лупий Михаил Григорьевич</t>
  </si>
  <si>
    <t>Руководитель АО "СУЭК-Кузбасс",</t>
  </si>
  <si>
    <t>https://intranet.suek.ru</t>
  </si>
  <si>
    <t>МБУ "Кемдор"</t>
  </si>
  <si>
    <t>Муниципальное бюджетное учреждение "Кемеровские автодороги"</t>
  </si>
  <si>
    <t>4205159600</t>
  </si>
  <si>
    <t>1084205012572</t>
  </si>
  <si>
    <t>7 54 03 | Муниципальные бюджетные учреждения</t>
  </si>
  <si>
    <t>Российская Федерация, 650025, Кемеровская область, г. Кемерово, пр. Кузнецкий, 69</t>
  </si>
  <si>
    <t>Калинкин Андрей Александрович</t>
  </si>
  <si>
    <t>И.о. директора</t>
  </si>
  <si>
    <t>МКП "ЖКХ"</t>
  </si>
  <si>
    <t>Муниципальное казённое предприятие "Жилищно-коммунальное хозяйство"</t>
  </si>
  <si>
    <t>4230005515</t>
  </si>
  <si>
    <t>1124230001048</t>
  </si>
  <si>
    <t>10899556</t>
  </si>
  <si>
    <t>Российская Федерация, 652300, Кемеровская обл., г.Топки, ул. Алма-Атинская, 31</t>
  </si>
  <si>
    <t>Российская Федерация, 652300, Кемеровская обл., г.Топки, мкр.Красная Горка, 17а</t>
  </si>
  <si>
    <t>+78384543113</t>
  </si>
  <si>
    <t>ib7413@bk.ru</t>
  </si>
  <si>
    <t>Андриенко Ирина Геннадьевна</t>
  </si>
  <si>
    <t>МП "Кристалл"</t>
  </si>
  <si>
    <t>Муниципальное предприятие Киселевского городского округа "Кристалл"</t>
  </si>
  <si>
    <t>4223124159</t>
  </si>
  <si>
    <t>1194205012407</t>
  </si>
  <si>
    <t>49540268</t>
  </si>
  <si>
    <t>652700, Кемеровская область, г. Киселевск, ул. Коммунальная, оф.2</t>
  </si>
  <si>
    <t>+73846420610</t>
  </si>
  <si>
    <t>mpkristall@yandex.ru</t>
  </si>
  <si>
    <t>Кравченко Максим Николаевич</t>
  </si>
  <si>
    <t>http://mpkristall.ru</t>
  </si>
  <si>
    <t>ООО "Авексима Сибирь"</t>
  </si>
  <si>
    <t>Общество с ограниченной ответственностью "Авексима Сибирь"</t>
  </si>
  <si>
    <t>4205051780</t>
  </si>
  <si>
    <t>1034205050472</t>
  </si>
  <si>
    <t>14795782</t>
  </si>
  <si>
    <t>Российская Федерация, 652473, Кемеровская область- Кузбасс, г. Анжеро-Судженск, ул. Герцена, д. 7</t>
  </si>
  <si>
    <t>(38453) 5-22-91</t>
  </si>
  <si>
    <t>asfarm-sale@inbox.ru</t>
  </si>
  <si>
    <t>Солодухина Людмила Михайловна</t>
  </si>
  <si>
    <t>voda.aveximasib.ru</t>
  </si>
  <si>
    <t>ООО"БелГОС"</t>
  </si>
  <si>
    <t>Общество с ограниченной ответственностью "Беловские Городские Очистные сооружения"</t>
  </si>
  <si>
    <t>4202023230</t>
  </si>
  <si>
    <t>1034202004407</t>
  </si>
  <si>
    <t>652600, Кемеровская область,  г.Белово,  ул.Кузбасская, 6</t>
  </si>
  <si>
    <t>8 (384-52)4-37-28; 2-92-28</t>
  </si>
  <si>
    <t>belgos@front.ru</t>
  </si>
  <si>
    <t>ООО "Белсток"</t>
  </si>
  <si>
    <t>Общество с ограниченной ответственностью "Белсток"</t>
  </si>
  <si>
    <t>4202047785</t>
  </si>
  <si>
    <t>1144202000491</t>
  </si>
  <si>
    <t>22926672</t>
  </si>
  <si>
    <t>Российская Федерация, 652600, Кемеровская область, г. Белово, ул. Береговая, 5</t>
  </si>
  <si>
    <t>83845261984</t>
  </si>
  <si>
    <t>kuzbass82@bk.ru</t>
  </si>
  <si>
    <t>Шатилова Светлана Владимировна</t>
  </si>
  <si>
    <t>ООО "Велес"</t>
  </si>
  <si>
    <t>Общество с ограниченной ответственностью "Велес"</t>
  </si>
  <si>
    <t>4246025556</t>
  </si>
  <si>
    <t>1244200003541</t>
  </si>
  <si>
    <t>81331339</t>
  </si>
  <si>
    <t>652470,  Кемеровская область-Кузбасс г. Анжеро-Судженск ул. им 50 - летия Октября д.9 пом. 23</t>
  </si>
  <si>
    <t>652491, Кемеровская область-Кузбасс г. Анжеро-Судженск пгт Рудничный, ул. Коммунистическая д.10, кв.16</t>
  </si>
  <si>
    <t>89234841149,89950611149</t>
  </si>
  <si>
    <t>veles42ru@mail.ru</t>
  </si>
  <si>
    <t>Пономарев Дмитрий Михайлович</t>
  </si>
  <si>
    <t>ООО "Водокомплекс"</t>
  </si>
  <si>
    <t>Общество с ограниченной ответственностью "Водокомплекс"</t>
  </si>
  <si>
    <t>5406734820</t>
  </si>
  <si>
    <t>1135476004168</t>
  </si>
  <si>
    <t>652150, Кемеровская обл., г.Мариинск, пер. Южный, д.1</t>
  </si>
  <si>
    <t>630083, Новосибирская область, г Новосибирск, ул. Большевистская, д. 122, кв. 17</t>
  </si>
  <si>
    <t>ООО"Водоснабжение"</t>
  </si>
  <si>
    <t>Общество с ограниченной ответственностью "Водоснабжение"</t>
  </si>
  <si>
    <t>4202023801</t>
  </si>
  <si>
    <t>1034202007212</t>
  </si>
  <si>
    <t>652600, Кемеровская область, г.Белово, ул.2-я Рабочая</t>
  </si>
  <si>
    <t>8 (384-52) 6-13-31</t>
  </si>
  <si>
    <t>Kuzbass82@bk.ru</t>
  </si>
  <si>
    <t>ООО "ОФ "Прокопьевскуголь"</t>
  </si>
  <si>
    <t>Общество с ограниченной ответственностью "Обогатительная фабрика "Прокопьевскуголь"</t>
  </si>
  <si>
    <t>4223036696</t>
  </si>
  <si>
    <t>1044223005485</t>
  </si>
  <si>
    <t>72297626</t>
  </si>
  <si>
    <t>Российская Федерация, 653016, Кемеровская область, г. Прокопьевск, ул. Кутузова, 1</t>
  </si>
  <si>
    <t>Российская Федерация, 653045, Кемеровская область, г. Прокопьевск, ул.Кутузова,1</t>
  </si>
  <si>
    <t>+73846676740</t>
  </si>
  <si>
    <t>priemnaya-ofpu@yandex.ru</t>
  </si>
  <si>
    <t>Михайленко Сергей Владимирович</t>
  </si>
  <si>
    <t>ООО "Сети Шерегеша"</t>
  </si>
  <si>
    <t>4253042513</t>
  </si>
  <si>
    <t>1184205013926</t>
  </si>
  <si>
    <t>31594275</t>
  </si>
  <si>
    <t>652971, Кемеровская область - Кузбасс, Таштагольский район, пгт. Шерегеш, ул. Горнолыжная ,д. 3.</t>
  </si>
  <si>
    <t>654033, Кемеровская область - Кузбасс, г. Новокузнецк, ул. Некрасова, д. 30, корп. 1 пом. 1.</t>
  </si>
  <si>
    <t>bykov.dv@mehanik42.ru</t>
  </si>
  <si>
    <t>Ивушкина Ольга Константиновна</t>
  </si>
  <si>
    <t>seti-sheregesha.tilda.ws</t>
  </si>
  <si>
    <t>ООО "Тепло"</t>
  </si>
  <si>
    <t>Общество с ограниченной ответственностью "Тепло"</t>
  </si>
  <si>
    <t>4252000648</t>
  </si>
  <si>
    <t>1104252000600</t>
  </si>
  <si>
    <t>67705253</t>
  </si>
  <si>
    <t>Российская Федерация, 652992, Кемеровская область, Таштагольский район, г. Таштагол, ул. Геологическая, 61</t>
  </si>
  <si>
    <t>gkh42@yandex.ru</t>
  </si>
  <si>
    <t>Болдыков Геннадий Филиппович</t>
  </si>
  <si>
    <t>TE</t>
  </si>
  <si>
    <t>АО "Каскад-Энерго"</t>
  </si>
  <si>
    <t>Акционерное общество  "Каскад-энерго"</t>
  </si>
  <si>
    <t>4246003760</t>
  </si>
  <si>
    <t>1034246002273</t>
  </si>
  <si>
    <t>14791755</t>
  </si>
  <si>
    <t>Российская Федерация, 652470, Кемеровская область, г. Анжеро-Судженск, ул. Ленина, 4</t>
  </si>
  <si>
    <t>(38453) 6-22-08</t>
  </si>
  <si>
    <t>kasenergo@mail.ru</t>
  </si>
  <si>
    <t>Лермонтов Юрий Борисович</t>
  </si>
  <si>
    <t>http://kas-energo.ru/</t>
  </si>
  <si>
    <t>АО "Кузбассэнерго"</t>
  </si>
  <si>
    <t>Кузбасское  акционерное общество энергетики и электрификации "Кузбассэнерго"</t>
  </si>
  <si>
    <t>4200000333</t>
  </si>
  <si>
    <t>1024200678260</t>
  </si>
  <si>
    <t>00105638</t>
  </si>
  <si>
    <t>Российская Федерация, 650000, г. Кемерово, пр. Кузнецкий, 30</t>
  </si>
  <si>
    <t>(3842) 45-33-50. 36-68-45. 45-37-77</t>
  </si>
  <si>
    <t>Лариошкин Виктор Анатольевич</t>
  </si>
  <si>
    <t>АО "Ново-Кемеровская ТЭЦ"</t>
  </si>
  <si>
    <t>Акционерное общество "Ново-Кемеровская ТЭЦ"</t>
  </si>
  <si>
    <t>4205243185</t>
  </si>
  <si>
    <t>1122224002251</t>
  </si>
  <si>
    <t>37717201</t>
  </si>
  <si>
    <t>Российская Федерация, 650000, Кемеровская область, г. Кемерово, ул.Грузовая, 1 Б, пом 403</t>
  </si>
  <si>
    <t>(3842)57-15-06</t>
  </si>
  <si>
    <t>nktec@sibgenco.ru</t>
  </si>
  <si>
    <t>Носков Вячеслав Александрович</t>
  </si>
  <si>
    <t>АО "Теплоэнерго"</t>
  </si>
  <si>
    <t>Акционерное общество "Теплоэнерго"</t>
  </si>
  <si>
    <t>4205049011</t>
  </si>
  <si>
    <t>1034205041375</t>
  </si>
  <si>
    <t>14788109</t>
  </si>
  <si>
    <t>Российская Федерация, 650044, г. Кемерово, ул. Шахтерская, 3а</t>
  </si>
  <si>
    <t>(3842) 64-33-79</t>
  </si>
  <si>
    <t>teplokem@yandex.ru</t>
  </si>
  <si>
    <t>Недосекин Константин Викторович</t>
  </si>
  <si>
    <t>Генеральный директор ООО "УстэК" (упр. компания)</t>
  </si>
  <si>
    <t>www.tessib.ru</t>
  </si>
  <si>
    <t>АО "Угольная компания "Северный Кузбасс"</t>
  </si>
  <si>
    <t>Акционерное общество "Угольная компания "Северный Кузбасс"</t>
  </si>
  <si>
    <t>4250005979</t>
  </si>
  <si>
    <t>1094250000327</t>
  </si>
  <si>
    <t>Российская Федерация, 652427, Кемеровская область, г. Березовский, ул. Матросова, 1</t>
  </si>
  <si>
    <t>(38445) 41-810, 56-139, 41-012, факс 5-56-63</t>
  </si>
  <si>
    <t>company@kuzcoal.ru</t>
  </si>
  <si>
    <t>Салихов Альберт Фидаилович</t>
  </si>
  <si>
    <t>www.kuzcoal.ru</t>
  </si>
  <si>
    <t>ГБУЗ ККПБ</t>
  </si>
  <si>
    <t>Государственное бюджетное учреждение здравоохранения "Кузбасская клиническая психиатрическая больница"</t>
  </si>
  <si>
    <t>4206008018</t>
  </si>
  <si>
    <t>1034205016746</t>
  </si>
  <si>
    <t>01927727</t>
  </si>
  <si>
    <t>650036, Кемеровская область - Кузбасс, г. Кемерово, ул. Волгоградская д.41</t>
  </si>
  <si>
    <t>8-384-2-54-24-98 приемная</t>
  </si>
  <si>
    <t>05-guz-kokpb@kuzdrav.ru</t>
  </si>
  <si>
    <t>Сорокина Вероника Альбертовна</t>
  </si>
  <si>
    <t>главный врач</t>
  </si>
  <si>
    <t>www.kokpb.org</t>
  </si>
  <si>
    <t>ГБУЗ ККЦОЗШ</t>
  </si>
  <si>
    <t>Государственное бюджетное учреждение здравоохранения Кузбасский клинический центр охраны здоровья шахтеров имени святой великомученицы Варвары</t>
  </si>
  <si>
    <t>4212007870</t>
  </si>
  <si>
    <t>1024201298527</t>
  </si>
  <si>
    <t>34772056</t>
  </si>
  <si>
    <t>7 52 01 | Государственные автономные учреждения субъектов Российской Федерации</t>
  </si>
  <si>
    <t>652509, Кемеровская область, г. Ленинск-Кузнецкий, 7 микрорайон, 9</t>
  </si>
  <si>
    <t>3845624050</t>
  </si>
  <si>
    <t>info@gnkc.lnk.kuzbass.net</t>
  </si>
  <si>
    <t>Калаева Ганна Юрьевна</t>
  </si>
  <si>
    <t>И.о. главного врача</t>
  </si>
  <si>
    <t>www.mine-med.ru</t>
  </si>
  <si>
    <t>ГБУ "Малиновский дом - интернат для граждан, имеющих психические расстройства"</t>
  </si>
  <si>
    <t>Государственное бюджетное стационарное учреждение социального обслуживания "Малиновский дом - интернат для граждан, имеющих психические расстройства"</t>
  </si>
  <si>
    <t>4222003754</t>
  </si>
  <si>
    <t>1024201856403</t>
  </si>
  <si>
    <t>05245249</t>
  </si>
  <si>
    <t>652831, Кемеровская область - Кузбасс, г. Калтан, п. Малиновка, ул.60 лет Октября д.1 к.А</t>
  </si>
  <si>
    <t>malinovskij-internat@yandex.ru</t>
  </si>
  <si>
    <t>Свирин Иван Васильевич</t>
  </si>
  <si>
    <t>malpi.kmr.socinfo.ru</t>
  </si>
  <si>
    <t>ЗАО "Тяжинское ДРСУ"</t>
  </si>
  <si>
    <t>Закрытое акционерное общество "Тяжинское дорожное ремонтно-строительное управление"</t>
  </si>
  <si>
    <t>4243005819</t>
  </si>
  <si>
    <t>424301001</t>
  </si>
  <si>
    <t>1064243002702</t>
  </si>
  <si>
    <t>03430646</t>
  </si>
  <si>
    <t>Российская Федерация, 652240, Кемеровская область, Тяжинский район, пгт Тяжинский, ул. Ленина, 65</t>
  </si>
  <si>
    <t>(38449) 2-74-39, 2-10-04, факс 2-74-67</t>
  </si>
  <si>
    <t>tjndrsu@mail.ru</t>
  </si>
  <si>
    <t>Григорович Сергей Дмитриевич</t>
  </si>
  <si>
    <t>ИП Задояная Ксения Анатольевна</t>
  </si>
  <si>
    <t>Индивидуальный предприниматель Задояная Ксения Анатольевна</t>
  </si>
  <si>
    <t>590422002896</t>
  </si>
  <si>
    <t>отсутствует</t>
  </si>
  <si>
    <t>317595800042051</t>
  </si>
  <si>
    <t>0112841376</t>
  </si>
  <si>
    <t>5 01 02 | Индивидуальные предприниматели</t>
  </si>
  <si>
    <t>614090, г. Пермь, ул. Вижайская, д. 28, кв. 67</t>
  </si>
  <si>
    <t>+79641853785</t>
  </si>
  <si>
    <t>almazseti@mail.ru</t>
  </si>
  <si>
    <t>Задояная Ксения Анатольевна</t>
  </si>
  <si>
    <t>Индивидуальный предприниматель</t>
  </si>
  <si>
    <t>ИП Задояный Ю.Л.</t>
  </si>
  <si>
    <t>Индивидуальный предприниматель Задояный Юрий Леонидович</t>
  </si>
  <si>
    <t>590400141991</t>
  </si>
  <si>
    <t>324595800044307</t>
  </si>
  <si>
    <t>2031373501</t>
  </si>
  <si>
    <t>398027,г. Липецк, ул.Свиридова д.4, кв.41</t>
  </si>
  <si>
    <t>614503, Пермсий край, Пермский район, с Троица,ул. Вищшневая, д. 22</t>
  </si>
  <si>
    <t>Задоянный Юрий Леонидович</t>
  </si>
  <si>
    <t>индивидуальный предприниматель</t>
  </si>
  <si>
    <t>almazseti.ru</t>
  </si>
  <si>
    <t>МП "ГУЖКХ"</t>
  </si>
  <si>
    <t>Муниципальное предприятие Новокузнецкого городского округа "Городское управление жилищно-коммунального хозяйства"</t>
  </si>
  <si>
    <t>4253026631</t>
  </si>
  <si>
    <t>1154253000494</t>
  </si>
  <si>
    <t>26647012</t>
  </si>
  <si>
    <t>654000, Кемеровская область, г. Новокузнецк, ул. Покрышкина,22А</t>
  </si>
  <si>
    <t>654025, Кемеровская область, г. Новокузнецк, ул. Новаторов, 10</t>
  </si>
  <si>
    <t>8-384-3-20-98-06</t>
  </si>
  <si>
    <t>mp44120@mail.ru</t>
  </si>
  <si>
    <t>Лученков Андрей Васильевич</t>
  </si>
  <si>
    <t>МУП "ГТХ"</t>
  </si>
  <si>
    <t>Муниципальное унитарное предприятие "Городское Тепловое Хозяйство"</t>
  </si>
  <si>
    <t>4223121302</t>
  </si>
  <si>
    <t>1184205010186</t>
  </si>
  <si>
    <t>28602108</t>
  </si>
  <si>
    <t>653000, Кемеровская область, г. Прокопьевск, ул. Рудничная, д.6</t>
  </si>
  <si>
    <t>mup22052018@mail.ru</t>
  </si>
  <si>
    <t>Маркова Наталья Владимировна</t>
  </si>
  <si>
    <t>МУП "МТСК"</t>
  </si>
  <si>
    <t>Муниципальное унитарное предприятие "Междуреченская теплосетевая компания"</t>
  </si>
  <si>
    <t>4214039620</t>
  </si>
  <si>
    <t>1174205029822</t>
  </si>
  <si>
    <t>20440057</t>
  </si>
  <si>
    <t>652870, Кемеровская область, г. Междуреченск, ул. Юности, 3а</t>
  </si>
  <si>
    <t>652870, Кемеровская область, г. Междуреченск, ул. Кузнецкая, 11а</t>
  </si>
  <si>
    <t>8(38475)23223</t>
  </si>
  <si>
    <t>mtsk@rikt.ru</t>
  </si>
  <si>
    <t>Крамаренко Дмитрий Николаевич</t>
  </si>
  <si>
    <t>ООО "Авангард"</t>
  </si>
  <si>
    <t>Общество с ограниченной ответственностью "Авангард"</t>
  </si>
  <si>
    <t>4212016828</t>
  </si>
  <si>
    <t>1064212017924</t>
  </si>
  <si>
    <t>9538222866</t>
  </si>
  <si>
    <t>652507, Кемеровская область-Кузбасс, г.Ленинск-Кузнецкий, ул.Спасстанция, 15/18, офис 207</t>
  </si>
  <si>
    <t>+73845654478</t>
  </si>
  <si>
    <t>Соколов Никита Эдуардович</t>
  </si>
  <si>
    <t>ООО "А-Энерго"</t>
  </si>
  <si>
    <t>Общество с ограниченной ответственностью "А-Энерго"</t>
  </si>
  <si>
    <t>4205331498</t>
  </si>
  <si>
    <t>1164205070743</t>
  </si>
  <si>
    <t>03712652</t>
  </si>
  <si>
    <t>Российская Федерация, 652152, Кемеровская область, г. Мариинск, ул. Юбилейная, 2А</t>
  </si>
  <si>
    <t>Российская Федерация, 650070, Кемеровская область, г. Кемерово, ул. Тухачевского д.61 пом.19</t>
  </si>
  <si>
    <t>info@ a-energo42.ru</t>
  </si>
  <si>
    <t>Лысенко Игорь Юрьевич</t>
  </si>
  <si>
    <t>ООО "Аэрокузбасс"</t>
  </si>
  <si>
    <t>Общество с ограниченной ответственностью "АЭРОКУЗБАСС"</t>
  </si>
  <si>
    <t>7716154981</t>
  </si>
  <si>
    <t>1024201755940</t>
  </si>
  <si>
    <t>18404933</t>
  </si>
  <si>
    <t>Российская Федерация, 654000, Кемеровская область, г. Новокузнецк, ул. Аэропортовая, зд.7</t>
  </si>
  <si>
    <t>(3843) 79-09-18, факс 79-09-62</t>
  </si>
  <si>
    <t>reception@aerokuz.net</t>
  </si>
  <si>
    <t>Ермаков Кирилл Юрьевич</t>
  </si>
  <si>
    <t>www.aerokuz.ru</t>
  </si>
  <si>
    <t>ООО "ВЕЛЕС"</t>
  </si>
  <si>
    <t>Общество с ограниченной ответственностью "ВЕЛЕС"</t>
  </si>
  <si>
    <t>4212036655</t>
  </si>
  <si>
    <t>1144212000547</t>
  </si>
  <si>
    <t>22928323</t>
  </si>
  <si>
    <t>Российская Федерация, 652523, Кемеровская область, г. Ленинск-Кузнецкий, ул. Телефонная, д. 13, оф. 227</t>
  </si>
  <si>
    <t>(38456) 494-14</t>
  </si>
  <si>
    <t>ooo-veles.hol.es</t>
  </si>
  <si>
    <t>ООО "ЕНИСЕЙ"</t>
  </si>
  <si>
    <t>ОБЩЕСТВО С ОГРАНИЧЕННОЙ ОТВЕТСТВЕННОСТЬЮ "ЕНИСЕЙ"</t>
  </si>
  <si>
    <t>5405024680</t>
  </si>
  <si>
    <t>220401001</t>
  </si>
  <si>
    <t>1185476051947</t>
  </si>
  <si>
    <t>29744796</t>
  </si>
  <si>
    <t>652238, Кемеровская обл., Тисульский район, п.г.т. Белогорск, ул. Лесная, д. 1Б</t>
  </si>
  <si>
    <t>659321 Алтайский край, г. Бийск, ул. Советская, д. 189/3, кв. 42</t>
  </si>
  <si>
    <t>+78385455545</t>
  </si>
  <si>
    <t>oenisei@yandex.ru</t>
  </si>
  <si>
    <t>Овсянников Иван Витальевич</t>
  </si>
  <si>
    <t>ООО "ЖКХ Тамбар"</t>
  </si>
  <si>
    <t>Общество с ограниченной ответственностью "ЖКХ Тамбар"</t>
  </si>
  <si>
    <t>4243006153</t>
  </si>
  <si>
    <t>1074243000259</t>
  </si>
  <si>
    <t>82740726</t>
  </si>
  <si>
    <t>652236, Кемеровская область, Тисульский район, с. Тамбар, ул. Комсомольская, 13а</t>
  </si>
  <si>
    <t>8 (38447)5-14-82ф. 5-14-39</t>
  </si>
  <si>
    <t>jkh_tambar@mail.ru</t>
  </si>
  <si>
    <t>Тарабанова Нина Викторовна</t>
  </si>
  <si>
    <t>ООО "Завод "Горэкс-Светотехника"</t>
  </si>
  <si>
    <t>Общество с ограниченной ответственностью "Завод взрывозащищенного и общепромышленного оборудования "Горэкс-Светотехника"</t>
  </si>
  <si>
    <t>4223027701</t>
  </si>
  <si>
    <t>771501001</t>
  </si>
  <si>
    <t>1024201884288</t>
  </si>
  <si>
    <t>50578968</t>
  </si>
  <si>
    <t>Российская Федерация, 653024, Кемеровская область, г. Прокопьевск, ул. Сафоновская, 28</t>
  </si>
  <si>
    <t>Российская Федерация, 127576, г. Москва, ул. Новгородская, 1</t>
  </si>
  <si>
    <t>(3846) 66-92-75, 66-92-40, 66-91-84</t>
  </si>
  <si>
    <t>Абрамов Игорь Александрович</t>
  </si>
  <si>
    <t>ООО "ИНТЕГРАЛ"</t>
  </si>
  <si>
    <t>Общество с ограниченной ответственностью "ИНТЕГРАЛ"</t>
  </si>
  <si>
    <t>7707422881</t>
  </si>
  <si>
    <t>770701001</t>
  </si>
  <si>
    <t>1187746947332</t>
  </si>
  <si>
    <t>34288478</t>
  </si>
  <si>
    <t>652050, Кемеровская область, г. Юрга, ул. Шоссейная, д. 3, офис № 3</t>
  </si>
  <si>
    <t>127055, Россия, г. Москва, ул. Лесная, д.61, строение 2, цокольный этаж № 0, помещение 1, комната 2</t>
  </si>
  <si>
    <t>Рахимов Собир Расимович</t>
  </si>
  <si>
    <t>ООО "ИТГ"</t>
  </si>
  <si>
    <t>Общество с ограниченной ответственностью "Ижморская ТеплоГенерация"</t>
  </si>
  <si>
    <t>4246026849</t>
  </si>
  <si>
    <t>1254200007445</t>
  </si>
  <si>
    <t>93958262</t>
  </si>
  <si>
    <t>652120, Кемеровская область - Кузбасс, Ижморский муниципальный округ, пгт. Ижморский, ул. Коммунистическая, здание 10, помещение 10</t>
  </si>
  <si>
    <t>89039074752</t>
  </si>
  <si>
    <t>priemnaya@itg-nk.ru</t>
  </si>
  <si>
    <t>Оршанский Владистав Леонидович</t>
  </si>
  <si>
    <t>ООО "Коммунальщик"</t>
  </si>
  <si>
    <t>Общество с ограниченной ответственностью "Коммунальщик"</t>
  </si>
  <si>
    <t>4212012358</t>
  </si>
  <si>
    <t>1064212014866</t>
  </si>
  <si>
    <t>93148468</t>
  </si>
  <si>
    <t>652576, Кем.обл., Ленинск-Кузнецкий р-он, с.Красное, ул. 40лет Октября, д.2</t>
  </si>
  <si>
    <t>8-384-56-61-3-80</t>
  </si>
  <si>
    <t>kommunalhik-kr@yandex.ru</t>
  </si>
  <si>
    <t>Коневский Михаил Васильевич</t>
  </si>
  <si>
    <t>ООО "Коммунэнерго"</t>
  </si>
  <si>
    <t>Общество с ограниченной ответственностью "Коммунэнерго"</t>
  </si>
  <si>
    <t>4205296028</t>
  </si>
  <si>
    <t>1144205016295</t>
  </si>
  <si>
    <t>Российская Федерация, 650070, г. Кемерово, ул. Терешковой, 55 А</t>
  </si>
  <si>
    <t>Российская Федерация, 650099, г. Кемерово, ул. Н. Островского, 32-320</t>
  </si>
  <si>
    <t>(3842) 39-02-03, 39-02-10</t>
  </si>
  <si>
    <t>kommunenergo@gmail.com</t>
  </si>
  <si>
    <t>Козаченко Александра Витальевна</t>
  </si>
  <si>
    <t>www.kek42.ru</t>
  </si>
  <si>
    <t>ООО "КОТК"</t>
  </si>
  <si>
    <t>Общество с ограниченной ответственностью "Киселевская объединенная тепловая компания"</t>
  </si>
  <si>
    <t>4211023156</t>
  </si>
  <si>
    <t>1094211000399</t>
  </si>
  <si>
    <t>89929674</t>
  </si>
  <si>
    <t>652704, Россия, Кемеровская область, г. Киселевск, ул. Лутугина, 10</t>
  </si>
  <si>
    <t>(38464) 71344</t>
  </si>
  <si>
    <t>priemnay@kotk.net</t>
  </si>
  <si>
    <t>Охрименко Сергей Михайлович</t>
  </si>
  <si>
    <t>http://kotk.su</t>
  </si>
  <si>
    <t>ООО "КПК"</t>
  </si>
  <si>
    <t>ООО "Кузбасский Промышленный Консалтинг"</t>
  </si>
  <si>
    <t>4205277956</t>
  </si>
  <si>
    <t>1134205026372</t>
  </si>
  <si>
    <t>16709315</t>
  </si>
  <si>
    <t>650070, г. Кемерово, ул. Двужильного, д. 4, оф. 207</t>
  </si>
  <si>
    <t>650070, г. Кемерово, пр. Молодежный, дом 9/1, 84</t>
  </si>
  <si>
    <t>Ваганов Виталий Игоревич</t>
  </si>
  <si>
    <t>vaganov2000@mail.ru</t>
  </si>
  <si>
    <t>ООО "КузнецкТеплоСбыт"</t>
  </si>
  <si>
    <t>Общество с ограниченной ответственностью "Кузнецк ТеплоСбыт"</t>
  </si>
  <si>
    <t>4217146884</t>
  </si>
  <si>
    <t>1124217006902</t>
  </si>
  <si>
    <t>10892637</t>
  </si>
  <si>
    <t>Российская Федерация, 654006, Кемеровская область, г. Новокузнецк, ул. Рудокопровая, 4</t>
  </si>
  <si>
    <t>(3843) 357-623, 357-513 факс</t>
  </si>
  <si>
    <t>akleeva_np@nkmk.ru</t>
  </si>
  <si>
    <t>Головко Дмитрий Сергеевич</t>
  </si>
  <si>
    <t>Исполнительный директор</t>
  </si>
  <si>
    <t>ООО "Лесная поляна-Плюс"</t>
  </si>
  <si>
    <t>Общество с ограниченной ответственностью "Лесная поляна-Плюс"</t>
  </si>
  <si>
    <t>4205265799</t>
  </si>
  <si>
    <t>1134205010389</t>
  </si>
  <si>
    <t>Российская Федерация, 650071, г. Кемерово, ул. Молодежная, 1</t>
  </si>
  <si>
    <t>Батюченко Олег Олегович</t>
  </si>
  <si>
    <t>ООО "МАК им. А.А. Леонова"</t>
  </si>
  <si>
    <t>Общество с ограниченной ответственностью "Международный Аэропорт Кемерово имени Алексея Архиповича Леонова"</t>
  </si>
  <si>
    <t>4205074963</t>
  </si>
  <si>
    <t>1044205068159</t>
  </si>
  <si>
    <t>74297145</t>
  </si>
  <si>
    <t>Российская Федерация, 650070, г. Кемерово, Аэропорт</t>
  </si>
  <si>
    <t>(3842) 39-02-14, 39-02-92</t>
  </si>
  <si>
    <t>priemnaya@airkem.ru</t>
  </si>
  <si>
    <t>Рейх Александр Генрихович</t>
  </si>
  <si>
    <t>http://www.airkem.ru/</t>
  </si>
  <si>
    <t>ООО "Мастер"</t>
  </si>
  <si>
    <t>Общество с ограниченной ответственностью "Мастер"</t>
  </si>
  <si>
    <t>4212034016</t>
  </si>
  <si>
    <t>1124212000538</t>
  </si>
  <si>
    <t>10878130</t>
  </si>
  <si>
    <t>652509, Кемеровская область-Кузбасс, г. Ленинск-Кзнецкий, пос.Никитинский, пр-т. Шахтеров, 26</t>
  </si>
  <si>
    <t>652509, Кемеровская область-Кузбасс, г. Ленинск-Кзнецкий, пос.Никитинский, ул. Молодежная,3</t>
  </si>
  <si>
    <t>8(384)56-6-32-24</t>
  </si>
  <si>
    <t>teh.nik2011@yandex.ru</t>
  </si>
  <si>
    <t>Тамбовцев Виктор Александрович</t>
  </si>
  <si>
    <t>ООО "Мир тепла"</t>
  </si>
  <si>
    <t>Общество с ограниченной ответственностью "Мир тепла"</t>
  </si>
  <si>
    <t>4246022837</t>
  </si>
  <si>
    <t>1204200016734</t>
  </si>
  <si>
    <t>59901595</t>
  </si>
  <si>
    <t>652470, Кемеровская область- Кузбасс, г. Анжеро - Судженск, ул. Ленина, д. 7, оф. 216</t>
  </si>
  <si>
    <t>89236030618</t>
  </si>
  <si>
    <t>sduvjkmuf@yandex.ru</t>
  </si>
  <si>
    <t>Дуванов Сергей Анатольевич</t>
  </si>
  <si>
    <t>ООО "НИИуглеобогащения"</t>
  </si>
  <si>
    <t>Общество с ограниченной ответственностью "Научно-исследовательский институт углеобогащения"</t>
  </si>
  <si>
    <t>4223056766</t>
  </si>
  <si>
    <t>1124223001055</t>
  </si>
  <si>
    <t>37714562</t>
  </si>
  <si>
    <t>Российская Федерация,653000,  Кемеровская область-Кузбасс, г. Прокопьевск, ул. Горная, зд.1 оф. 12</t>
  </si>
  <si>
    <t>(3846) 61-49-13,8-950-595-02-27</t>
  </si>
  <si>
    <t>KuchumovaAR@suek.ru</t>
  </si>
  <si>
    <t>Гущин Алексей Алексеевич</t>
  </si>
  <si>
    <t>sibniicoal.ru</t>
  </si>
  <si>
    <t>ООО "Новая сетевая компания"</t>
  </si>
  <si>
    <t>Общество с ограниченной ответственностью "Новая сетевая компания"</t>
  </si>
  <si>
    <t>4246017160</t>
  </si>
  <si>
    <t>1104246000352</t>
  </si>
  <si>
    <t>67692792</t>
  </si>
  <si>
    <t>(38453) 6-45-50</t>
  </si>
  <si>
    <t>kas-energo.ru</t>
  </si>
  <si>
    <t>Габриель Владимимр Арнгольдтович</t>
  </si>
  <si>
    <t>ООО "НТК"</t>
  </si>
  <si>
    <t>Общество с ограниченной ответственностью "Новокузнецкая теплосетевая компания"</t>
  </si>
  <si>
    <t>4253009805</t>
  </si>
  <si>
    <t>1124253006448</t>
  </si>
  <si>
    <t>10898812</t>
  </si>
  <si>
    <t>Российская Федерация, 654027, Кемеровская область, г. Новокузнецк, ул. Сибиряков-Гвардейцев, 2, офис 318</t>
  </si>
  <si>
    <t>Российская Федерация, 654005, г. Новокузнецк, проезд Колхозный, д.12, корпус 7</t>
  </si>
  <si>
    <t>(3843) 46-83-17</t>
  </si>
  <si>
    <t>zdsk@yandex.ru</t>
  </si>
  <si>
    <t>Карташев Игорь Юрьевич</t>
  </si>
  <si>
    <t>ntsk-nk.ru</t>
  </si>
  <si>
    <t>ООО "Панфиловец"</t>
  </si>
  <si>
    <t>Общество  с  ограниченной  ответственностью  " Панфиловец "</t>
  </si>
  <si>
    <t>4212021835</t>
  </si>
  <si>
    <t>1024201303983</t>
  </si>
  <si>
    <t>50576478</t>
  </si>
  <si>
    <t>Российская Федерация, 652592, Кемеровская область, Ленинск-Кузнецкий район, с. Панфилово, ул. Советская, 103а</t>
  </si>
  <si>
    <t>(38456) 6-52-11, 6-52-28, 6-52-36</t>
  </si>
  <si>
    <t>milaplk24@mail.ru</t>
  </si>
  <si>
    <t>Пермяков Владимир Степанович</t>
  </si>
  <si>
    <t>ООО "СибСтройСервис"</t>
  </si>
  <si>
    <t>Общество с ограниченной ответственностью "СибСтройСервис"</t>
  </si>
  <si>
    <t>4211022988</t>
  </si>
  <si>
    <t>1094211000245</t>
  </si>
  <si>
    <t>89919836</t>
  </si>
  <si>
    <t>Российская Федерация, 652723, Кемеровская область, г. Киселевск, ул. Краснобродская, 5</t>
  </si>
  <si>
    <t>(838464) 5-60-60;3-43-69</t>
  </si>
  <si>
    <t>sibstroi2009@mail.ru</t>
  </si>
  <si>
    <t>Кошаташян Серго Акопович</t>
  </si>
  <si>
    <t>ООО "СибТЭКО"</t>
  </si>
  <si>
    <t>Общество с ограниченной ответственностью "Сибирская теплоэнергетическая компания"</t>
  </si>
  <si>
    <t>4205323056</t>
  </si>
  <si>
    <t>1164205052923</t>
  </si>
  <si>
    <t>27647675</t>
  </si>
  <si>
    <t>650002, г. Кемерово, ул. Институтская д.1, оф.121</t>
  </si>
  <si>
    <t>8-961-717-53-86</t>
  </si>
  <si>
    <t>sibteko@mail.ru</t>
  </si>
  <si>
    <t>Матузов Сергей Владимирович</t>
  </si>
  <si>
    <t>сибтэко.рф</t>
  </si>
  <si>
    <t>ООО "Сибэнерго"</t>
  </si>
  <si>
    <t>Общество с ограниченной ответственностью "Сибэнерго"</t>
  </si>
  <si>
    <t>4217085977</t>
  </si>
  <si>
    <t>1064217063778</t>
  </si>
  <si>
    <t>95384983</t>
  </si>
  <si>
    <t>Российская Федерация, 654007, Кемеровская область, г. Новокузнецк, пр. Пионерский, 42</t>
  </si>
  <si>
    <t>Российская Федерация, 630099, Новосибирская область, г. Новосибирск,ул.Фрунзе, д. 80, офис 627</t>
  </si>
  <si>
    <t>3843-468523 Лайвина Юлия Сергеевна</t>
  </si>
  <si>
    <t>Карташев Игорь Юрьевич (Договор о передаче полномо</t>
  </si>
  <si>
    <t>sg-nk.ru</t>
  </si>
  <si>
    <t>ООО "СТК"</t>
  </si>
  <si>
    <t>Общество с ограниченной ответственностью "Сибирская тепловая компания"</t>
  </si>
  <si>
    <t>4223104900</t>
  </si>
  <si>
    <t>1164205071898</t>
  </si>
  <si>
    <t>03880846</t>
  </si>
  <si>
    <t>652715 Кемеровская обл., г. Киселевск, ул. Краснобродская,6</t>
  </si>
  <si>
    <t>3846422264</t>
  </si>
  <si>
    <t>558554@mail.ru</t>
  </si>
  <si>
    <t>Катина Ольга Владимировна</t>
  </si>
  <si>
    <t>https://stk-kis.ru/</t>
  </si>
  <si>
    <t>4250009980</t>
  </si>
  <si>
    <t>1154250016315</t>
  </si>
  <si>
    <t>27617243</t>
  </si>
  <si>
    <t>652420, Кемеровская область, г. Березовский, ул. Строителей,д.1, пом.58</t>
  </si>
  <si>
    <t>650000, Кемеровская область, г. Кемерово, ул. Н. Островского, д.32</t>
  </si>
  <si>
    <t>8-384-2-3-30-93;   8-384-45-3-30-93; 3-38-3</t>
  </si>
  <si>
    <t>chaikoffskiy@hk-tdk.ru</t>
  </si>
  <si>
    <t>Чайковский Вячеслав Львович</t>
  </si>
  <si>
    <t>Управляющий</t>
  </si>
  <si>
    <t>siberianhot.nethouse.ru</t>
  </si>
  <si>
    <t>ООО "СЭР"</t>
  </si>
  <si>
    <t>Общество с ограниченной ответственностью "СибЭнергоРесурс"</t>
  </si>
  <si>
    <t>4213011759</t>
  </si>
  <si>
    <t>1174205012189</t>
  </si>
  <si>
    <t>15602101</t>
  </si>
  <si>
    <t>652150,  Кемеровская область-Кузбасс, Мариинский р-н, г. Мариинск,ул. Ленина, д.32, оф.305</t>
  </si>
  <si>
    <t>+79230307364</t>
  </si>
  <si>
    <t>ser_kemerovo@mail.ru</t>
  </si>
  <si>
    <t>Новиков Вадим Валерьевич</t>
  </si>
  <si>
    <t>ООО "Теплоресурс"</t>
  </si>
  <si>
    <t>Общество с ограниченной ответственностью "Теплоресурс"</t>
  </si>
  <si>
    <t>4202042410</t>
  </si>
  <si>
    <t>1114202003453</t>
  </si>
  <si>
    <t>92776381</t>
  </si>
  <si>
    <t>Российская Федерация, 652774, Кемеровская область, Гурьевский район, с. Малая Салаирка, ул. Школьная, д. 15а</t>
  </si>
  <si>
    <t>(38463) 31-372, 31-291, 31-247</t>
  </si>
  <si>
    <t>Важенин Михаил Петрович</t>
  </si>
  <si>
    <t>ООО "ТеплоРесурс"</t>
  </si>
  <si>
    <t>Общество с ограниченной ответственностью "ТеплоРесурс"</t>
  </si>
  <si>
    <t>4246019288</t>
  </si>
  <si>
    <t>1144246000470</t>
  </si>
  <si>
    <t>26624591</t>
  </si>
  <si>
    <t>Российская Федерация, Кемеровская область, 652491, г. Анжеро-Судженск, пгт Рудничный, ул.Советская, д. 2а</t>
  </si>
  <si>
    <t>8(38453) 647-26</t>
  </si>
  <si>
    <t>teplosnab06@mail.ru</t>
  </si>
  <si>
    <t>Баранов Евгений Сергеевич</t>
  </si>
  <si>
    <t>ООО "Теплосети"</t>
  </si>
  <si>
    <t>Общество с ограниченной ответственностью "Теплосети"</t>
  </si>
  <si>
    <t>4246024979</t>
  </si>
  <si>
    <t>1234200009988</t>
  </si>
  <si>
    <t>77537472</t>
  </si>
  <si>
    <t>652156, Кемеровская область - Кузбасс, г. Мариинск, ул. Трудовая, 2</t>
  </si>
  <si>
    <t>8(38443) 574-38</t>
  </si>
  <si>
    <t>teploservismar@yandex.ru</t>
  </si>
  <si>
    <t>Подгол Валерий Анатольевич</t>
  </si>
  <si>
    <t>Общество с ограниченной ответственностью ООО "Тепловые сети"</t>
  </si>
  <si>
    <t>4246023140</t>
  </si>
  <si>
    <t>1214200012730</t>
  </si>
  <si>
    <t>50594045</t>
  </si>
  <si>
    <t>652055, Кемеровская область - КУзбасс, городской округ Юргинский, г. Юрга, ул. Заводская, 2 "А"</t>
  </si>
  <si>
    <t>+73845177787</t>
  </si>
  <si>
    <t>ts@upravkom.ru</t>
  </si>
  <si>
    <t>Овчинников Сергей Михайлович</t>
  </si>
  <si>
    <t>https://ts.upravkom.ru</t>
  </si>
  <si>
    <t>ООО "Теплоснаб"</t>
  </si>
  <si>
    <t>Общество с ограниченной ответственностью "Теплоснаб"</t>
  </si>
  <si>
    <t>4205325631</t>
  </si>
  <si>
    <t>1164205058379</t>
  </si>
  <si>
    <t>01710956</t>
  </si>
  <si>
    <t>650036, г. Кемерово, ул. Терешковой, д. 39, корпус 3, офис 409</t>
  </si>
  <si>
    <t>8-905-900-40-42,</t>
  </si>
  <si>
    <t>klimachev.82@mail.ru</t>
  </si>
  <si>
    <t>Климачев Николай Алексеевич</t>
  </si>
  <si>
    <t>ООО "ТеплоСнаб"</t>
  </si>
  <si>
    <t>Общество с ограниченной ответственностью "ТеплоСнаб"</t>
  </si>
  <si>
    <t>4213011290</t>
  </si>
  <si>
    <t>1164213050022</t>
  </si>
  <si>
    <t>10897267</t>
  </si>
  <si>
    <t>652150 Кемеровская обл., г.Мариинск., ул.Ленина, д.81?</t>
  </si>
  <si>
    <t>83844351662</t>
  </si>
  <si>
    <t>tsnk42@mail.ru</t>
  </si>
  <si>
    <t>Миронов Владимир Алексеевич</t>
  </si>
  <si>
    <t>ООО "ТЕПЛОТОН М"</t>
  </si>
  <si>
    <t>ОБЩЕСТВО С ОГРАНИЧЕННОЙ ОТВЕТСТВЕННОСТЬЮ "ТЕПЛОТОН М"</t>
  </si>
  <si>
    <t>5405088203</t>
  </si>
  <si>
    <t>1235400035386</t>
  </si>
  <si>
    <t>48878858</t>
  </si>
  <si>
    <t>652150, Кемеровская область, г. Мариинск, переулок Южный, дом1.</t>
  </si>
  <si>
    <t>630083, Новосибирская обл, г Новосибирск, Октябрьский р-н, ул Большевистская, д 122, кв 17</t>
  </si>
  <si>
    <t>3844351490</t>
  </si>
  <si>
    <t>ooostroi_m@mail.ru</t>
  </si>
  <si>
    <t>ООО "Теплоэнергетик"</t>
  </si>
  <si>
    <t>Общество с ограниченной ответственностью "Теплоэнергетик"</t>
  </si>
  <si>
    <t>4202030492</t>
  </si>
  <si>
    <t>1074202000597</t>
  </si>
  <si>
    <t>97774151</t>
  </si>
  <si>
    <t>Российская Федерация, 652645, Кемеровская область, г. Белово, ул. Аэродромная, д. 2 В, корп 1</t>
  </si>
  <si>
    <t>(38452) 3-48-34, 3-44-30</t>
  </si>
  <si>
    <t>tek@sibgenco.ru</t>
  </si>
  <si>
    <t>Пятков Василий Владимирович</t>
  </si>
  <si>
    <t>ООО "ТК"</t>
  </si>
  <si>
    <t>Общество с ограниченной ответственностью "Тепловая компания"</t>
  </si>
  <si>
    <t>4205389843</t>
  </si>
  <si>
    <t>1204200008033</t>
  </si>
  <si>
    <t>44435041</t>
  </si>
  <si>
    <t>652840, Кемеровская обл.-Кузбасс, г. Мыски, ул. Рембазовская, д.2/6</t>
  </si>
  <si>
    <t>384-74-2-01-58. 384-74-2-29-09</t>
  </si>
  <si>
    <t>kuzbass-teplo@mail.ru</t>
  </si>
  <si>
    <t>Николаева Марина Григорьевна</t>
  </si>
  <si>
    <t>teplo-myski.ru</t>
  </si>
  <si>
    <t>ООО "ТК "Актив"</t>
  </si>
  <si>
    <t>Общество с ограниченной ответственностью "Тепловая компания "Актив"</t>
  </si>
  <si>
    <t>4223117521</t>
  </si>
  <si>
    <t>1174205007613</t>
  </si>
  <si>
    <t>12556984</t>
  </si>
  <si>
    <t>653053, Кемеровская область-Кузбасс, г. Прокопьевск, ул. Гайдара, д.43, пом.6</t>
  </si>
  <si>
    <t>652700, Кемеровская обл., г. Киселевск, ул. Советская , 3б</t>
  </si>
  <si>
    <t>+73846668200</t>
  </si>
  <si>
    <t>OOOAktiv@mail.ru</t>
  </si>
  <si>
    <t>Войтов Сергей Викторович</t>
  </si>
  <si>
    <t>https://tk-aktiv.ru/</t>
  </si>
  <si>
    <t>ООО "Топкинский цемент"</t>
  </si>
  <si>
    <t>Общество с ограниченной ответственностью "Топкинский цемент"</t>
  </si>
  <si>
    <t>4229004316</t>
  </si>
  <si>
    <t>1024201979592</t>
  </si>
  <si>
    <t>53086734</t>
  </si>
  <si>
    <t>Российская Федерация, 652300, Кемеровская обл, Топкинский р-н, Топки г,ул.Промзона, Промплощадка ООО Топкинский цемент</t>
  </si>
  <si>
    <t>838454-380-10, 380-26,380-35, 380-12</t>
  </si>
  <si>
    <t>topcem@sibcem.ru</t>
  </si>
  <si>
    <t>Оспельников Алексей Юрьевич</t>
  </si>
  <si>
    <t>www.sibcem.ru</t>
  </si>
  <si>
    <t>ООО "ТЭК"</t>
  </si>
  <si>
    <t>Общество с ограниченной ответственностью "Тисульская Энергетическая Компания"</t>
  </si>
  <si>
    <t>4213010025</t>
  </si>
  <si>
    <t>1124213000493</t>
  </si>
  <si>
    <t>10917366</t>
  </si>
  <si>
    <t>Российская Федерация, 652210, Кемеровская область, Тисульский район,  пгт Тисуль, ул. Энгельса, 22</t>
  </si>
  <si>
    <t>Российская Федерация, 652210, Кемеровская область, Тисульский район,  пгт Тисуль, пер. Весенний, 6</t>
  </si>
  <si>
    <t>ООО "ТЭР"</t>
  </si>
  <si>
    <t>Общество с ограниченной ответственностью "Теплоэнергоремонт"</t>
  </si>
  <si>
    <t>4223117458</t>
  </si>
  <si>
    <t>1174205006909</t>
  </si>
  <si>
    <t>11170277</t>
  </si>
  <si>
    <t>653033, Кемеровская обл, г. Прокопьевск, ул. Институтская, д.2</t>
  </si>
  <si>
    <t>83846643771</t>
  </si>
  <si>
    <t>prk-ter@mail.ru</t>
  </si>
  <si>
    <t>Тимошенкова Наталья Александровна</t>
  </si>
  <si>
    <t>ООО "ТЭС +"</t>
  </si>
  <si>
    <t>Общество с ограниченной ответственностью "ТеплоЭнергоСбытПлюс"</t>
  </si>
  <si>
    <t>4230028336</t>
  </si>
  <si>
    <t>1104230001149</t>
  </si>
  <si>
    <t>69970143</t>
  </si>
  <si>
    <t>Российская Федерация, 652300, Кемеровская область- Кузбасс, г. Топки, ул. Советская, 48</t>
  </si>
  <si>
    <t>(38454) 4-79-26</t>
  </si>
  <si>
    <t>zkh_topki@mail.ru</t>
  </si>
  <si>
    <t>Кошман Роман  Евгеньевич</t>
  </si>
  <si>
    <t>tes-plus.i-gkh.ru</t>
  </si>
  <si>
    <t>ООО "ТЭС"</t>
  </si>
  <si>
    <t>Общество с ограниченной ответственностью "ТеплоЭнергоСбыт"</t>
  </si>
  <si>
    <t>4229007860</t>
  </si>
  <si>
    <t>1074229000526</t>
  </si>
  <si>
    <t>80317142</t>
  </si>
  <si>
    <t>Российская Федерация, 652300, Кемеровская область, г. Топки, ул. Советская, 48</t>
  </si>
  <si>
    <t>Кошман Евгений Владимирович</t>
  </si>
  <si>
    <t>ООО "УК "ЖилКомплекс"</t>
  </si>
  <si>
    <t>Общество с ограниченной ответственностью «Управляющая Компания «ЖилКомплекс»</t>
  </si>
  <si>
    <t>4214039965</t>
  </si>
  <si>
    <t>1184205009427</t>
  </si>
  <si>
    <t>28500313</t>
  </si>
  <si>
    <t>652842, Кемеровская область, г. Мыски, ул. 50 лет Пионерии, 8</t>
  </si>
  <si>
    <t>652845, Кемеровская область, г. Мыски, ул. Восточная, д. 6-1, офис 1</t>
  </si>
  <si>
    <t>89095187643</t>
  </si>
  <si>
    <t>zhilkom.yk@yandex.ru</t>
  </si>
  <si>
    <t>Жданов Сергей Владимирович</t>
  </si>
  <si>
    <t>ООО "УКиТС"</t>
  </si>
  <si>
    <t>Общество с ограниченной ответственностью "Управление котельных и тепловых сетей"</t>
  </si>
  <si>
    <t>4204007393</t>
  </si>
  <si>
    <t>420401001</t>
  </si>
  <si>
    <t>1074204000529</t>
  </si>
  <si>
    <t>(38463) 5-42-50, 5-17-04, 5-40-68 (факс)</t>
  </si>
  <si>
    <t>ООО "УТС"</t>
  </si>
  <si>
    <t>Общество с ограниченной ответственностью "Управление тепловых систем"</t>
  </si>
  <si>
    <t>4205369653</t>
  </si>
  <si>
    <t>420536965</t>
  </si>
  <si>
    <t>1184205011550</t>
  </si>
  <si>
    <t>28765559</t>
  </si>
  <si>
    <t>650993, Кемеровская обл., г. Кемерово, ул. Н.Островского, д.32, офис 317</t>
  </si>
  <si>
    <t>83847524254, 8 (38475) 2 02 54</t>
  </si>
  <si>
    <t>mupktspr@yandex.ru, Uts42plan@mail.ru</t>
  </si>
  <si>
    <t>ООО ХК "СДС - Энерго"</t>
  </si>
  <si>
    <t>Общество с ограниченной ответственностью Холдинговая компания "СДС - Энерго"</t>
  </si>
  <si>
    <t>4250003450</t>
  </si>
  <si>
    <t>1064250010241</t>
  </si>
  <si>
    <t>95376720</t>
  </si>
  <si>
    <t>Российская Федерация, 650066, г. Кемерово, пр. Октябрьский, д. 53/2</t>
  </si>
  <si>
    <t>(3842) 57-42-02</t>
  </si>
  <si>
    <t>office@sdsenergo.ru</t>
  </si>
  <si>
    <t>Чупахин Евгений Валентинович</t>
  </si>
  <si>
    <t>www.sdsenergo.ru</t>
  </si>
  <si>
    <t>ООО "Шанс"</t>
  </si>
  <si>
    <t>Общество с ограниченной ответственностью "Шанс"</t>
  </si>
  <si>
    <t>4212025734</t>
  </si>
  <si>
    <t>1084212000025</t>
  </si>
  <si>
    <t>82749319</t>
  </si>
  <si>
    <t>652572, Кемеровская область, Ленинск-Кузнецкий район, п.Чкаловский, ул.Садовая, 5"А"-2</t>
  </si>
  <si>
    <t>8-384-56-62-2-20</t>
  </si>
  <si>
    <t>shans@lnk.kuzbass.net</t>
  </si>
  <si>
    <t>Сосновский Владимир Евгеньевич</t>
  </si>
  <si>
    <t>ООО "Энергоснаб"</t>
  </si>
  <si>
    <t>Общество с ограниченной ответственностью "Энергоснаб"</t>
  </si>
  <si>
    <t>5402084384</t>
  </si>
  <si>
    <t>1245400027509</t>
  </si>
  <si>
    <t>95918427</t>
  </si>
  <si>
    <t>652240, Кемеровская облать - Кузбасс, пгт. Тяжинский,ул. Советская, д.20, пом. 8</t>
  </si>
  <si>
    <t>energosnab24@mail.ru</t>
  </si>
  <si>
    <t>Суббота Александр Геннадьевич</t>
  </si>
  <si>
    <t>ООО "ЭТС"</t>
  </si>
  <si>
    <t>Общество с ограниченной ответственностью "ЭнергоТеплоСервис"</t>
  </si>
  <si>
    <t>4205316725</t>
  </si>
  <si>
    <t>1154205015623</t>
  </si>
  <si>
    <t>27634649</t>
  </si>
  <si>
    <t>650040, Кемеровская область-Кузбасс, г. Кемерово,  ул.Юрия Двужильного, д.4 каб. 207</t>
  </si>
  <si>
    <t>650071, Кемеровская область-Кузбасс, г. Кемерово, б-р. Осенний, д.3</t>
  </si>
  <si>
    <t>8-906-938-45-05</t>
  </si>
  <si>
    <t>dir@ets-gk.ru</t>
  </si>
  <si>
    <t>Стоцкий Никита Юрьевич</t>
  </si>
  <si>
    <t>ООО "ЮКЭК"</t>
  </si>
  <si>
    <t>Общество с ограниченной ответственностью "Южно-Кузбасская энергетическая компания"</t>
  </si>
  <si>
    <t>4228010684</t>
  </si>
  <si>
    <t>422801001</t>
  </si>
  <si>
    <t>1074228000153</t>
  </si>
  <si>
    <t>80292941</t>
  </si>
  <si>
    <t>Российская Федерация, 652990, Кемеровская обл, Таштагольский р-н, Таштагол г, Мира ул, 30А</t>
  </si>
  <si>
    <t>(38473) 3-47-39</t>
  </si>
  <si>
    <t>ukek@ukek.su</t>
  </si>
  <si>
    <t>Нежелеев Алексей Ильич</t>
  </si>
  <si>
    <t>http://www.ukek.su/</t>
  </si>
  <si>
    <t>ООО "Юргинские котельные"</t>
  </si>
  <si>
    <t>Общество с ограниченной ответственностью "Юргинские котельные"</t>
  </si>
  <si>
    <t>4230032075</t>
  </si>
  <si>
    <t>1174205021275</t>
  </si>
  <si>
    <t>19322002</t>
  </si>
  <si>
    <t>652050, Кемеровская областьКузбасс, г. Юрга, ул. Заводская, 2 "А"</t>
  </si>
  <si>
    <t>+73845177789</t>
  </si>
  <si>
    <t>yurkoteln@upravkom.ru</t>
  </si>
  <si>
    <t>Кукарских Сергей Анатольевич</t>
  </si>
  <si>
    <t>ООО "Ясная Поляна"</t>
  </si>
  <si>
    <t>Общество с ограниченной ответственностью "Ясная Поляна"</t>
  </si>
  <si>
    <t>4223118934</t>
  </si>
  <si>
    <t>1174205014279</t>
  </si>
  <si>
    <t>15888924</t>
  </si>
  <si>
    <t>653002, Кемеровская обл., г. Прокопьевск, ул. Грунтовая 17</t>
  </si>
  <si>
    <t>653250, Кемеровская обл., Прокопьевский р-н, п. Трудармейский, ул. Линейная, 116</t>
  </si>
  <si>
    <t>+73846611963</t>
  </si>
  <si>
    <t>tepleemir@gmail.ru</t>
  </si>
  <si>
    <t>Дубровский Сергей Иванович</t>
  </si>
  <si>
    <t>ПАО "ЮК ГРЭС"</t>
  </si>
  <si>
    <t>Публичное акционерное общество "Южно-Кузбасская ГРЭС"</t>
  </si>
  <si>
    <t>4222010511</t>
  </si>
  <si>
    <t>1064205110122</t>
  </si>
  <si>
    <t>95371667</t>
  </si>
  <si>
    <t>Российская Федерация, 652740, Кемеровская область, г. Калтан, ул. Комсомольская, 20</t>
  </si>
  <si>
    <t>(38471) 3-29-68, 3-27-39</t>
  </si>
  <si>
    <t>tatyana.patanina@mechel.com; ukgres.reception@mech</t>
  </si>
  <si>
    <t>Коноплев Виталий Сергеевич</t>
  </si>
  <si>
    <t>www.ukgres.ru</t>
  </si>
  <si>
    <t>Филиал АО УК "Кузбассразрезуголь" "Вахрушевский угольный разрез"</t>
  </si>
  <si>
    <t>Филиал акционерного общества Угольная компания "Кузбассразрезуголь" "Вахрушевский угольный разрез"</t>
  </si>
  <si>
    <t>422343002</t>
  </si>
  <si>
    <t>Российская Федерация, 652640, Кемеровская область, пгт. Краснобродский, ул. Комсомольская, 15</t>
  </si>
  <si>
    <t>Российская Федерация, 650054, г. Кемерово, Пионерский б-р, 4А</t>
  </si>
  <si>
    <t>(38452) 7-70-01, 7-85-77</t>
  </si>
  <si>
    <t>Федосеев Виктор Константинович</t>
  </si>
  <si>
    <t>Филиал АО "УК "Кузбассразрезуголь" "Кедровский угольный разрез"</t>
  </si>
  <si>
    <t>Филиал АО "УК "Кузбассразрезуголь" "Кедровский угольны разрез"</t>
  </si>
  <si>
    <t>14788090</t>
  </si>
  <si>
    <t>650054, г. Кемерово, Пионерский бульвар, 4А</t>
  </si>
  <si>
    <t>8-384-2-44-03-00, факс 44-06-58</t>
  </si>
  <si>
    <t>office@kru.ru</t>
  </si>
  <si>
    <t>Парамонов Сергей Викторович</t>
  </si>
  <si>
    <t>Филиал ФГБУ "ЦЖКУ" МИНОБОРОНЫ РОССИИ (по ЦВО)</t>
  </si>
  <si>
    <t>Филиал Федерального государственного бюджетного учреждения "Центральное жилищно-коммунальное управление" Министерства обороны Российской Федерации (по Центральному военному округу)</t>
  </si>
  <si>
    <t>7729314745</t>
  </si>
  <si>
    <t>667043001</t>
  </si>
  <si>
    <t>1027700430889</t>
  </si>
  <si>
    <t>08371977</t>
  </si>
  <si>
    <t>7 51 03 | Федеральные государственные бюджетные учреждения</t>
  </si>
  <si>
    <t>ул. Маневровая, д. 36 лит. А, г. Екатеринбург, 620050</t>
  </si>
  <si>
    <t>г. Москва, ул. Спартаковская, 2Б</t>
  </si>
  <si>
    <t>+79122101540</t>
  </si>
  <si>
    <t>navloginova@cvo.zhky.ru</t>
  </si>
  <si>
    <t>Логинова Надежда Васильевна</t>
  </si>
  <si>
    <t xml:space="preserve">Начальник </t>
  </si>
  <si>
    <t>TN</t>
  </si>
  <si>
    <t>GVS</t>
  </si>
  <si>
    <t>Акционерное общество "Энергопромышленная компания", г. Екатеринбург</t>
  </si>
  <si>
    <t>6661105959</t>
  </si>
  <si>
    <t>667101001</t>
  </si>
  <si>
    <t>1026605226053</t>
  </si>
  <si>
    <t>57652589</t>
  </si>
  <si>
    <t>(343) 251 19 55 (доб. 137)</t>
  </si>
  <si>
    <t>Кугаевская Любовь Борисовна</t>
  </si>
  <si>
    <t>EE</t>
  </si>
  <si>
    <t>АО "Газпром энергосбыт"</t>
  </si>
  <si>
    <t>Акционерное общество "Газпром энергосбыт"</t>
  </si>
  <si>
    <t>7705750968</t>
  </si>
  <si>
    <t>781001001</t>
  </si>
  <si>
    <t>5067746436731</t>
  </si>
  <si>
    <t>97201337</t>
  </si>
  <si>
    <t>196210, город Санкт-Петербург, Стартовая ул, д. 6 литера Д, помещ. 125</t>
  </si>
  <si>
    <t>(495) 428-40-90</t>
  </si>
  <si>
    <t>Аширов Станислав Олегович</t>
  </si>
  <si>
    <t>АО "КузбассЭлектро"</t>
  </si>
  <si>
    <t>Акционерное общество "КузбассЭлектро"</t>
  </si>
  <si>
    <t>4202002174</t>
  </si>
  <si>
    <t>1024200546512</t>
  </si>
  <si>
    <t>00159887</t>
  </si>
  <si>
    <t>РОССИЯ, 652600, Кемеровская область, г. Белово, ул. Кемеровская, дом 4</t>
  </si>
  <si>
    <t>(38452) 6-10-45</t>
  </si>
  <si>
    <t>kuzbasselektro@inbox.ru</t>
  </si>
  <si>
    <t>Немцев Сергей Алексеевич</t>
  </si>
  <si>
    <t>www.kuzbasselektro.ru</t>
  </si>
  <si>
    <t>АО "КФ"</t>
  </si>
  <si>
    <t>Акционерное общество "Кузнецкие ферросплавы"</t>
  </si>
  <si>
    <t>4216001565</t>
  </si>
  <si>
    <t>421601001</t>
  </si>
  <si>
    <t>1024201825174</t>
  </si>
  <si>
    <t>00186476</t>
  </si>
  <si>
    <t>Российская Федерация, 654077, Кемеровская область, г. Новокузнецк, ул. Обнорского, 170</t>
  </si>
  <si>
    <t>Коренная Кристина Александровна</t>
  </si>
  <si>
    <t>АО "Мосэнергосбыт"</t>
  </si>
  <si>
    <t>7736520080</t>
  </si>
  <si>
    <t>997650001</t>
  </si>
  <si>
    <t>1057746557329</t>
  </si>
  <si>
    <t>117312, г. Москва, ул. Вавилова, д. 9</t>
  </si>
  <si>
    <t>(499) 550-9-550</t>
  </si>
  <si>
    <t>info@mosenergosbyt.ru</t>
  </si>
  <si>
    <t>Ковалев Андрей Викторович</t>
  </si>
  <si>
    <t>управляющий директор</t>
  </si>
  <si>
    <t>АО "Новосибирскэнергосбыт"</t>
  </si>
  <si>
    <t>5407025576</t>
  </si>
  <si>
    <t>1065407151127</t>
  </si>
  <si>
    <t>630099,РФ,г. Новосибирск, ул.Орджоникидзе,д.32</t>
  </si>
  <si>
    <t>(383)229-89-89</t>
  </si>
  <si>
    <t>info@nskes.ru</t>
  </si>
  <si>
    <t>Генеральный директор Подчасова Татьяна Николаевна</t>
  </si>
  <si>
    <t>АО "СибПСК"</t>
  </si>
  <si>
    <t>Акционерное общество "Сибирская Промышленная Сетевая Компания"</t>
  </si>
  <si>
    <t>4205234208</t>
  </si>
  <si>
    <t>1114205043480</t>
  </si>
  <si>
    <t>37695913</t>
  </si>
  <si>
    <t>Российская Федерация, 650991, г. Кемерово, ул. Н.Островского,12 2 этаж</t>
  </si>
  <si>
    <t>(3842) 77-09-87, факс 77-09-88</t>
  </si>
  <si>
    <t>sibpsk@yandex.ru</t>
  </si>
  <si>
    <t>Борисенко Илья Андреевич</t>
  </si>
  <si>
    <t>www.zaosibpsk.ru</t>
  </si>
  <si>
    <t>АО "СИБУР Энерго"</t>
  </si>
  <si>
    <t>7727276526</t>
  </si>
  <si>
    <t>366301001</t>
  </si>
  <si>
    <t>1063667286858</t>
  </si>
  <si>
    <t>394014, г.Воронеж, Ленинский пр-т, 2</t>
  </si>
  <si>
    <t>(473) 228-03-00</t>
  </si>
  <si>
    <t>post@siburem.ru</t>
  </si>
  <si>
    <t>Андреев Владимир Александро</t>
  </si>
  <si>
    <t>АО "Система"</t>
  </si>
  <si>
    <t>АКЦИОНЕРНОЕ ОБЩЕСТВО "СИСТЕМА"</t>
  </si>
  <si>
    <t>4205173700</t>
  </si>
  <si>
    <t>1094205003298</t>
  </si>
  <si>
    <t>89916803</t>
  </si>
  <si>
    <t>Российская Федерация, 650000, Кемеровская обл, Кемерово г, пр. Советский, 6, оф.1</t>
  </si>
  <si>
    <t>(3842) 34-65-25, 57-03-74</t>
  </si>
  <si>
    <t>mazeevsa@yandex.ru ; sistema.orem@yandex.ru</t>
  </si>
  <si>
    <t>Наумов М.Е.</t>
  </si>
  <si>
    <t>АО «СШЭМК»</t>
  </si>
  <si>
    <t>Акционерное общество "Специализированная шахтная энергомеханическая компания»</t>
  </si>
  <si>
    <t>4208003209</t>
  </si>
  <si>
    <t>1034205018242</t>
  </si>
  <si>
    <t>РОССИЯ,650002,Кемеровская обл,Кемерово, пр. Шахтёров, дом 50В</t>
  </si>
  <si>
    <t>(3842) 64-26-20, 64-28-71/ф. 64-51-12</t>
  </si>
  <si>
    <t>ntn@kuzcoal.ru, kgf@kuzcoal.ru,  uev@kuzcoal.ru</t>
  </si>
  <si>
    <t>Николаев Андрей Анатольевич</t>
  </si>
  <si>
    <t>www.shemk.kuzcoal.ru</t>
  </si>
  <si>
    <t>АО "Электросеть"</t>
  </si>
  <si>
    <t>Акционерное общество "Электросеть"</t>
  </si>
  <si>
    <t>7714734225</t>
  </si>
  <si>
    <t>421443001</t>
  </si>
  <si>
    <t>1087746413468</t>
  </si>
  <si>
    <t>85702442</t>
  </si>
  <si>
    <t>Российская Федерация,652882, Кемеровская область, г. Междуреченск, проезд Горького, д.25</t>
  </si>
  <si>
    <t>Российская Федерация, 127083, г. Москва, ул. Мишина, д. 35, стр. 2</t>
  </si>
  <si>
    <t>(38475) 2-23-17, 3-20-89</t>
  </si>
  <si>
    <t>info@zaoelektroset.ru</t>
  </si>
  <si>
    <t>Шерстобитов Александр Николаевич</t>
  </si>
  <si>
    <t>Директор филиала</t>
  </si>
  <si>
    <t>www.zaoelektroset.ru</t>
  </si>
  <si>
    <t>Западно-Сибирская дирекция по энергообеспечению-Трансэнерго, филиала ОАО "РЖД"</t>
  </si>
  <si>
    <t>540745012</t>
  </si>
  <si>
    <t>630004, г. Новосибирск, Вокзальная магистраль, 14</t>
  </si>
  <si>
    <t>Целько Александр Витильевич</t>
  </si>
  <si>
    <t>Кемеровский филиал ООО "МЕЧЕЛ-ЭНЕРГО"</t>
  </si>
  <si>
    <t>7722245108</t>
  </si>
  <si>
    <t>420543001</t>
  </si>
  <si>
    <t>1027700016706</t>
  </si>
  <si>
    <t>62505992</t>
  </si>
  <si>
    <t>Российская Федерация, 650036, г.Кемерово, пр-кт Ленина, д.90/4</t>
  </si>
  <si>
    <t>(3842)453744, 89617086272</t>
  </si>
  <si>
    <t>Агеев Андрей Владимирович</t>
  </si>
  <si>
    <t>директор Кемеровского филиала</t>
  </si>
  <si>
    <t>Красноярская дирекция по энергообеспечению - СП Трансэнерго - филиал ОАО "РЖД"</t>
  </si>
  <si>
    <t>Красноярская дирекция по энергообеспечению - структурное подразделение «Трансэнерго» филиал открытого акционерного общества "Российские Железные Дороги"</t>
  </si>
  <si>
    <t>246045007</t>
  </si>
  <si>
    <t>21839830</t>
  </si>
  <si>
    <t>660018, Россия, Красноярский край, г. Красноярск, ул. Толстого, д. 20</t>
  </si>
  <si>
    <t>107174, РФ, г.Москва, ул.Новая Басманная, д.2</t>
  </si>
  <si>
    <t>8(391) 229-23-49</t>
  </si>
  <si>
    <t>mti@krw.ru</t>
  </si>
  <si>
    <t>Антипкин Александр Сергеевич</t>
  </si>
  <si>
    <t>Начальник</t>
  </si>
  <si>
    <t>https://company.rzd.ru/ru/9349/page/105554?id=1892</t>
  </si>
  <si>
    <t>ОАО "Новосибирскэнергосбыт"</t>
  </si>
  <si>
    <t>Открытое акционерное общество "Новосибирскэнергосбыт"</t>
  </si>
  <si>
    <t>(383) 229-84-20, вн. 73-020</t>
  </si>
  <si>
    <t>Chinyaeva@nskes.ru</t>
  </si>
  <si>
    <t>Чиняева Ольга Андреевна</t>
  </si>
  <si>
    <t>Руководитель группы анализа ОРЭ</t>
  </si>
  <si>
    <t>www.новосибирскэнергосбыт.рф</t>
  </si>
  <si>
    <t>ОАО «ЭСК РусГидро»</t>
  </si>
  <si>
    <t>ОАО «Энергосбытовая компания РусГидро»</t>
  </si>
  <si>
    <t>7804403972</t>
  </si>
  <si>
    <t>772801001</t>
  </si>
  <si>
    <t>1089848039973</t>
  </si>
  <si>
    <t>87441773</t>
  </si>
  <si>
    <t xml:space="preserve"> 117393, г. Москва, ул. Архитектора Власова,  д.51</t>
  </si>
  <si>
    <t>(495) 225-32-32 и (495) 225-32-33</t>
  </si>
  <si>
    <t>Кимерин Владимир Анатольевич</t>
  </si>
  <si>
    <t>Общество с ограниченной ответственностью "АРСТЭМ-ЭнергоТрейд", г.Екатеринбург</t>
  </si>
  <si>
    <t>6672185635</t>
  </si>
  <si>
    <t>668501001</t>
  </si>
  <si>
    <t>1056604415394</t>
  </si>
  <si>
    <t>Общество с ограниченной ответственностью «ЛУКОЙЛ-ЭНЕРГОСЕТИ»</t>
  </si>
  <si>
    <t>5260230051</t>
  </si>
  <si>
    <t>775050001</t>
  </si>
  <si>
    <t>1088607000217</t>
  </si>
  <si>
    <t>109028, г. Москва, Покровский бульвар, д.3 стр.1</t>
  </si>
  <si>
    <t>109028, г. Москва, Покровский бульвар, д.3 стр.1, ком. 22</t>
  </si>
  <si>
    <t>(495) 627-80-15, (495) 620-23-63</t>
  </si>
  <si>
    <t>energoseti@lukoil.com</t>
  </si>
  <si>
    <t>Михайлов Дмитрий Александрович</t>
  </si>
  <si>
    <t>www.es.lukoil.com</t>
  </si>
  <si>
    <t>ООО "ГлавЭнергоСбыт"</t>
  </si>
  <si>
    <t>7725571452</t>
  </si>
  <si>
    <t>772501001</t>
  </si>
  <si>
    <t>1067746647583</t>
  </si>
  <si>
    <t>115054, г.Москва, ул. Дубининская, д.53 стр. 6</t>
  </si>
  <si>
    <t>8 -495-795-25-38 (добавочный- 37-23)</t>
  </si>
  <si>
    <t>Антонов Андрей Данилович</t>
  </si>
  <si>
    <t>ООО "ГЭС"</t>
  </si>
  <si>
    <t>Общество с ограниченной ответственностью "Горэлектросеть"</t>
  </si>
  <si>
    <t>4217127144</t>
  </si>
  <si>
    <t>540701001</t>
  </si>
  <si>
    <t>1104217005837</t>
  </si>
  <si>
    <t>67689436</t>
  </si>
  <si>
    <t>Российская Федерация, 654007, Кемеровская обл., г. Новокузнецк, пр. Пионерский, 42</t>
  </si>
  <si>
    <t>Российская Федерация, 630099, Новосибирская область, г. Новосибирск, ул. Фрунзе, д. 80, офис 627</t>
  </si>
  <si>
    <t>(3843) 74-60-51, 46-83-17</t>
  </si>
  <si>
    <t>Генеральный директор ООО "УК "НовокузнецкЭнерго"</t>
  </si>
  <si>
    <t>www.gorset-nk.ru</t>
  </si>
  <si>
    <t>ООО "ЕЭТ"</t>
  </si>
  <si>
    <t>Общество с ограниченной ответственностью "ЕвроЭнергоТранс"</t>
  </si>
  <si>
    <t>4217084532</t>
  </si>
  <si>
    <t>1064217062018</t>
  </si>
  <si>
    <t>95374200</t>
  </si>
  <si>
    <t>654063, Российская Федерация, Кемеровская область, г. Новокузнецк, ул. Рудокопровая, 4</t>
  </si>
  <si>
    <t>(3843) 357-600, 357-647</t>
  </si>
  <si>
    <t>energotrans@evraz.com</t>
  </si>
  <si>
    <t>Беспалов Илья Николаевич</t>
  </si>
  <si>
    <t>Генеральный  директор</t>
  </si>
  <si>
    <t>www.eetrans.ru</t>
  </si>
  <si>
    <t>ООО "Инженерные изыскания"</t>
  </si>
  <si>
    <t>Общество с ограниченной ответственностью "Инженерные изыскания"</t>
  </si>
  <si>
    <t>1103029229</t>
  </si>
  <si>
    <t>352801001</t>
  </si>
  <si>
    <t>1041100670093</t>
  </si>
  <si>
    <t>15088704</t>
  </si>
  <si>
    <t>162608, Вологодская обл., г.Череповец, ул. Мира, д. 30</t>
  </si>
  <si>
    <t>8 (8202) 53-24-92</t>
  </si>
  <si>
    <t>ingizisk4@ingizisk.ru</t>
  </si>
  <si>
    <t>Круглов Дмитрий Александрович</t>
  </si>
  <si>
    <t>ООО "Инициатива ЭСК"</t>
  </si>
  <si>
    <t>4407007293</t>
  </si>
  <si>
    <t>440701001</t>
  </si>
  <si>
    <t>1054460383890</t>
  </si>
  <si>
    <t>119571, Москва г, Академика Анохина ул, дом № 9 помещение VII</t>
  </si>
  <si>
    <t>8 (495) 276-23-20 (30)</t>
  </si>
  <si>
    <t>info@kronoenergo.ru</t>
  </si>
  <si>
    <t>Беляков Сергей Альбертович</t>
  </si>
  <si>
    <t>ООО «Кузбасская энергосетевая компания»</t>
  </si>
  <si>
    <t>Общество с ограниченной ответственностью «Кузбасская энергосетевая компания»</t>
  </si>
  <si>
    <t>4205109750</t>
  </si>
  <si>
    <t>1064205113136</t>
  </si>
  <si>
    <t>95376274</t>
  </si>
  <si>
    <t>650099, Российская Федерация, Кемеровская область, г. Кемерово, ул. Н. Островского, дом 32, оф. 209</t>
  </si>
  <si>
    <t>(3842) 36-48-17/ 36-47-19</t>
  </si>
  <si>
    <t>kek@kemnet.ru</t>
  </si>
  <si>
    <t>Куруч Петр Иванович</t>
  </si>
  <si>
    <t>www.ooo-kenk.ru</t>
  </si>
  <si>
    <t>ООО "КЭС"</t>
  </si>
  <si>
    <t>Общество с ограниченной ответственностью "КузбассЭнергоСеть"</t>
  </si>
  <si>
    <t>4205395036</t>
  </si>
  <si>
    <t>1214200002004</t>
  </si>
  <si>
    <t>99333014</t>
  </si>
  <si>
    <t>650070, кемеровская область - Кузбасс, г. Кемерово, ул. Терешковой 49А, оф.304</t>
  </si>
  <si>
    <t>info.kes@bk.ru</t>
  </si>
  <si>
    <t>Колесников Андрей Яковлевич</t>
  </si>
  <si>
    <t>kes-42.ru</t>
  </si>
  <si>
    <t>ООО "МагнитЭнерго"</t>
  </si>
  <si>
    <t>Общество с ограниченной ответственностью "МагнитЭнерго"</t>
  </si>
  <si>
    <t>7715902899</t>
  </si>
  <si>
    <t>231101001</t>
  </si>
  <si>
    <t>1127746076710</t>
  </si>
  <si>
    <t>350072, Краснодарский край, г. Краснодар, ул. Солнечная, д. 15/5</t>
  </si>
  <si>
    <t>(861)2774554 доб. 15690, факс 210-98-10 доб. 16401</t>
  </si>
  <si>
    <t>magnitenergo@magnitenergo.ru</t>
  </si>
  <si>
    <t>Самарченко Ольга Петровна</t>
  </si>
  <si>
    <t>http://magnitenergo.ru</t>
  </si>
  <si>
    <t>ООО "Металлэнергофинанс"</t>
  </si>
  <si>
    <t>Общество с ограниченной ответственностью «Металлэнергофинанс»</t>
  </si>
  <si>
    <t>4217039402</t>
  </si>
  <si>
    <t>1024201465903</t>
  </si>
  <si>
    <t>654006, Кемеровская область - Кузбасс, г.Новокузнецк, ул.Рудокопровая (Центральный р-н), д.4</t>
  </si>
  <si>
    <t>654063, Кемеровская область - Кузбасс, г.Новокузнецк, ул.Рудокопровая (Центральный р-н), д.4</t>
  </si>
  <si>
    <t>(495) 729-50-71</t>
  </si>
  <si>
    <t>mef_nk@evraz.com</t>
  </si>
  <si>
    <t>Леонтьев Андрей Георгиевич</t>
  </si>
  <si>
    <t>ООО "МЕЧЕЛ-ЭНЕРГО"</t>
  </si>
  <si>
    <t>771401001</t>
  </si>
  <si>
    <t>56669318</t>
  </si>
  <si>
    <t>(351) 218-2269 (126)</t>
  </si>
  <si>
    <t>Гвоздев Виктор Сергеевич</t>
  </si>
  <si>
    <t>ООО "МСК Энерго"</t>
  </si>
  <si>
    <t>7725567512</t>
  </si>
  <si>
    <t>770601001</t>
  </si>
  <si>
    <t>1067746494254</t>
  </si>
  <si>
    <t>95178019</t>
  </si>
  <si>
    <t>117246, г. Москва, Научный проезд, д. 19</t>
  </si>
  <si>
    <t>Россия, 119607, г. Москва, ул. Раменки, д.17, корп. 1</t>
  </si>
  <si>
    <t>8(495) 745-56-70</t>
  </si>
  <si>
    <t>www.msk-energo.ru</t>
  </si>
  <si>
    <t>Мартыненков Алексей Викторович</t>
  </si>
  <si>
    <t>ООО "МТС ЭНЕРГО"</t>
  </si>
  <si>
    <t>Общество с ограниченной ответственностью "МТС ЭНЕРГО"</t>
  </si>
  <si>
    <t>9709006506</t>
  </si>
  <si>
    <t>772601001</t>
  </si>
  <si>
    <t>1177746748376</t>
  </si>
  <si>
    <t>117545,г.Москва,презд.1-й Дорожный,3а пом.4</t>
  </si>
  <si>
    <t>89167618353 Забарака М.Н.</t>
  </si>
  <si>
    <t>Гогев Андрей Валентинович</t>
  </si>
  <si>
    <t>mnzabara@mts-energo.ru</t>
  </si>
  <si>
    <t>ООО "Неоватт"</t>
  </si>
  <si>
    <t>ОБЩЕСТВО С ОГРАНИЧЕННОЙ ОТВЕТСТВЕННОСТЬЮ "НЕОВАТТ"</t>
  </si>
  <si>
    <t>6027205976</t>
  </si>
  <si>
    <t>602701001</t>
  </si>
  <si>
    <t>1216000003878</t>
  </si>
  <si>
    <t>180006, Псковская область, г Псков, ул Леона Поземского, д. 125в, офис 8</t>
  </si>
  <si>
    <t>ООО "ОК РУСАЛ Энергосеть"</t>
  </si>
  <si>
    <t>Общество с ограниченной ответственностью "Объединенная компания РУСАЛ Энергосеть"</t>
  </si>
  <si>
    <t>7709806795</t>
  </si>
  <si>
    <t>5087746246671</t>
  </si>
  <si>
    <t>88382127</t>
  </si>
  <si>
    <t>Россия, 654034, Кемеровская область - Кузбасс, г. Новокузнецк, Ферросплавный проезд, д. 7</t>
  </si>
  <si>
    <t>(343) 370-62-30, (3843) 39-72-60,  39-77-52</t>
  </si>
  <si>
    <t>Vladislav.Rostov@rusal.com, Sergey.Pozdnyakov@rusa</t>
  </si>
  <si>
    <t>Ростов Владислав Викторович</t>
  </si>
  <si>
    <t>http://energo.rusal.ru</t>
  </si>
  <si>
    <t>ООО "ОЭСК"</t>
  </si>
  <si>
    <t>Общество с ограниченной ответственностью "ОЭСК"</t>
  </si>
  <si>
    <t>4223052779</t>
  </si>
  <si>
    <t>1094223000519</t>
  </si>
  <si>
    <t>89915364</t>
  </si>
  <si>
    <t>Российская Федерация, 653000, Кемеровская область, г. Прокопьевск, ул. Космонавта Волынова, 15</t>
  </si>
  <si>
    <t>Российская Федерация, 653047, Кемеровская область, г. Прокопьевск, ул. Гайдара, 43</t>
  </si>
  <si>
    <t>(3846) 69-35-00</t>
  </si>
  <si>
    <t>elektroseti@elektroseti.com, l.sbytova@elektroseti</t>
  </si>
  <si>
    <t>Галицкий Игорь Анатольевич</t>
  </si>
  <si>
    <t>www.elektroseti.com</t>
  </si>
  <si>
    <t>ООО "Промэнергосбыт"</t>
  </si>
  <si>
    <t>Общество с ограниченной ответственностью "Промэнергосбыт"</t>
  </si>
  <si>
    <t>4217088174</t>
  </si>
  <si>
    <t>770401001</t>
  </si>
  <si>
    <t>1064217067210</t>
  </si>
  <si>
    <t>654005, Кемеровская обл., г.Новокузнецк, пр.Строителей, д.3, к.2</t>
  </si>
  <si>
    <t>119048, Россия, г.Москва, Вн.тер.г. муниципальный округ Хамовники, Комсомольский пр-кт, д. 42, стр. 3, этаж 2, ком. 15</t>
  </si>
  <si>
    <t>(3843)-58-30-55</t>
  </si>
  <si>
    <t>Бондаренко Илья Алексеевич</t>
  </si>
  <si>
    <t>ООО "Регионэнергосеть"</t>
  </si>
  <si>
    <t>Общество с ограниченной ответственностью "Регионэнергосеть"</t>
  </si>
  <si>
    <t>4205271471</t>
  </si>
  <si>
    <t>1134205018804</t>
  </si>
  <si>
    <t>16385427</t>
  </si>
  <si>
    <t>650002,Кемеровская область. г. Кемерово, ул. Институтская, д. 1, офис 430</t>
  </si>
  <si>
    <t>info@regset42.ru</t>
  </si>
  <si>
    <t>Костенко Иван Евгеньевич</t>
  </si>
  <si>
    <t>regset42.ru</t>
  </si>
  <si>
    <t>ООО "РН-Энерго"</t>
  </si>
  <si>
    <t>Общество с ограниченной ответственностью "РН-Энерго"</t>
  </si>
  <si>
    <t>7706525041</t>
  </si>
  <si>
    <t>1047796118182</t>
  </si>
  <si>
    <t>72147789</t>
  </si>
  <si>
    <t>119071, г.Москва, ул. Малая Калужская, д.19</t>
  </si>
  <si>
    <t>+7(495)2313182, +7(495) 777-47-42</t>
  </si>
  <si>
    <t>a_dudkin@rosneft.ru, rn-energo@rn-energo.com</t>
  </si>
  <si>
    <t>Собко Наталья Николаевна</t>
  </si>
  <si>
    <t>www.rosneft.ru</t>
  </si>
  <si>
    <t>ООО "Росатом Энергосбыт бизнес"</t>
  </si>
  <si>
    <t>Общество с ограниченной ответственностью "Росатом Энергосбыт бизнес"</t>
  </si>
  <si>
    <t>4633017746</t>
  </si>
  <si>
    <t>1064633003038</t>
  </si>
  <si>
    <t>78756874</t>
  </si>
  <si>
    <t>115432, г. Москва, вн. тер. г. муниципальный округ Даниловский, Проектируемый проезд 4062-й д. 6, стр. 25</t>
  </si>
  <si>
    <t>4957899921</t>
  </si>
  <si>
    <t>info@business.atomsbt.ru</t>
  </si>
  <si>
    <t>Николаев Алексей Валерьевич</t>
  </si>
  <si>
    <t>ООО "РСК"</t>
  </si>
  <si>
    <t>Общество с ограниченной ответственностью  "Ресурсоснабжающая компания"</t>
  </si>
  <si>
    <t>4205372624</t>
  </si>
  <si>
    <t>1184205017380</t>
  </si>
  <si>
    <t>32696990</t>
  </si>
  <si>
    <t>650023, г. Кемерово, пр. Ленина, д.124-66</t>
  </si>
  <si>
    <t>8-384-2-45-31-30, 8-800-700-91-04</t>
  </si>
  <si>
    <t>RSK42@bk.ru</t>
  </si>
  <si>
    <t>Баулин Андрей Владимирович</t>
  </si>
  <si>
    <t>rsk42.ru</t>
  </si>
  <si>
    <t>ООО "Русэнергосбыт"</t>
  </si>
  <si>
    <t xml:space="preserve">Общество с ограниченной ответственностью «РУСЭНЕРГОСБЫТ» </t>
  </si>
  <si>
    <t>7706284124</t>
  </si>
  <si>
    <t>1027706023058</t>
  </si>
  <si>
    <t>119048, г. Москва, проспект Комсомольский, д. 42, стр. 3, этаж 4, пом. 7</t>
  </si>
  <si>
    <t>8(495) 926-69-79, 926-99-00</t>
  </si>
  <si>
    <t>info@ruses.ru</t>
  </si>
  <si>
    <t>Зиновьев Андрей Васильевич</t>
  </si>
  <si>
    <t>www.ruses.ru</t>
  </si>
  <si>
    <t>ООО "Р-Энергия"</t>
  </si>
  <si>
    <t>Общество с ограниченной ответственностью «Р-Энергия»</t>
  </si>
  <si>
    <t>6229054695</t>
  </si>
  <si>
    <t>623401001</t>
  </si>
  <si>
    <t>1066229062448</t>
  </si>
  <si>
    <t>94389375</t>
  </si>
  <si>
    <t>390000, Рязанская область, г. Рязань, ул. Радищева, 61</t>
  </si>
  <si>
    <t>(4912)70-20-10</t>
  </si>
  <si>
    <t>info@rnrg.ru</t>
  </si>
  <si>
    <t>Шишкин Илья Александрович</t>
  </si>
  <si>
    <t>www.rgmek.ru</t>
  </si>
  <si>
    <t>ООО "СЭС"</t>
  </si>
  <si>
    <t>Общество с ограниченной ответственностью "СибЭнергоСеть"</t>
  </si>
  <si>
    <t>4223127110</t>
  </si>
  <si>
    <t>1204200011432</t>
  </si>
  <si>
    <t>654018, Кемеровская область, г.Киселевск, ул. Дзержинского, д.25, офис 25</t>
  </si>
  <si>
    <t>Варельди Джафар Назимович</t>
  </si>
  <si>
    <t>Sibenergoset.ru/sibenergoset@mail.ru</t>
  </si>
  <si>
    <t>ООО "СЭТ-42"</t>
  </si>
  <si>
    <t>Общество с ограниченной ответственностью "СибЭнерго Транс-42"</t>
  </si>
  <si>
    <t>4223086707</t>
  </si>
  <si>
    <t>1154223001624</t>
  </si>
  <si>
    <t>27626673</t>
  </si>
  <si>
    <t>Российская Федерация, 652726, Кемеровская область, г. Киселевск,  ул. Дзержинского, д. 25</t>
  </si>
  <si>
    <t>Российская Федерация, 652726, Кемеровская область, г. Киселевск, ул. Дзержинского, д. 25</t>
  </si>
  <si>
    <t>set42@list.ru</t>
  </si>
  <si>
    <t>Зятиков Андрей Викторович</t>
  </si>
  <si>
    <t>set42.ru</t>
  </si>
  <si>
    <t>ООО "Транснефтьэнерго"</t>
  </si>
  <si>
    <t>Общество с ограниченной ответственностью "Траснефтьэнерго"</t>
  </si>
  <si>
    <t>7703552167</t>
  </si>
  <si>
    <t>772301001</t>
  </si>
  <si>
    <t>1057747096990</t>
  </si>
  <si>
    <t>77359488</t>
  </si>
  <si>
    <t>109390, город Москва, улица Люблинская, д.6</t>
  </si>
  <si>
    <t>(499)7998688, (499)7998691</t>
  </si>
  <si>
    <t>info@tne.transneft.ru</t>
  </si>
  <si>
    <t>Емельянов Сергей Михайлович</t>
  </si>
  <si>
    <t>http://www.transneftenergo.trans</t>
  </si>
  <si>
    <t>ООО "ТрансХимЭнерго"</t>
  </si>
  <si>
    <t>Общество с ограниченной ответственностью "ТрансХимЭнерго"</t>
  </si>
  <si>
    <t>4205220893</t>
  </si>
  <si>
    <t>1114205015220</t>
  </si>
  <si>
    <t>69994497</t>
  </si>
  <si>
    <t>650000, Кемеровская обл, г. Кемерово, проспект Советский, д.6, офис 29</t>
  </si>
  <si>
    <t>8-(384-2) 900366</t>
  </si>
  <si>
    <t>tranchimenergo@mail.ru</t>
  </si>
  <si>
    <t>Газов Сергей Владимирович</t>
  </si>
  <si>
    <t>tranchimenergo.ru</t>
  </si>
  <si>
    <t>ООО "ТСО "Сибирь"</t>
  </si>
  <si>
    <t>Общество с ограниченной ответственностью "Территориальная мсетевая организпция "Сибирь"</t>
  </si>
  <si>
    <t>4205282579</t>
  </si>
  <si>
    <t>1144205003403</t>
  </si>
  <si>
    <t>16723278</t>
  </si>
  <si>
    <t>Российская Федерация,650036, г. Кемеровро, ул. Терешковой, 39/3, оф. 309</t>
  </si>
  <si>
    <t>(3842) 63-06-08, 8-905-074-84-56</t>
  </si>
  <si>
    <t>tso42sib@gmail.com</t>
  </si>
  <si>
    <t>Юсупов Шамиль Таирович</t>
  </si>
  <si>
    <t>http://tso42.ru</t>
  </si>
  <si>
    <t>ООО "Черкизово ТЭК"</t>
  </si>
  <si>
    <t>Общество с ограниченной ответственностью "Черкизово Топливно-Энергетический Комплекс"</t>
  </si>
  <si>
    <t>7714974474</t>
  </si>
  <si>
    <t>771001001</t>
  </si>
  <si>
    <t>1177746151978</t>
  </si>
  <si>
    <t>125047, г. Москва, вн.тер.г. Муниципальный округ Тверской, ул. Лесная, д. 5, этаж 7, ком. 20А</t>
  </si>
  <si>
    <t>Измайлов Леонид Георгиевич</t>
  </si>
  <si>
    <t>ООО "Электросетьсервис"</t>
  </si>
  <si>
    <t>Общество с ограниченной ответственностью "Электросетьсервис"</t>
  </si>
  <si>
    <t>4223057103</t>
  </si>
  <si>
    <t>1124223001440</t>
  </si>
  <si>
    <t>37719938</t>
  </si>
  <si>
    <t>(3846) 61-33-34, 8-913-138-1344</t>
  </si>
  <si>
    <t>office@elsetservice.ru</t>
  </si>
  <si>
    <t>Портненко Александр Дмитриевич</t>
  </si>
  <si>
    <t>www.elsetservice.ru</t>
  </si>
  <si>
    <t>ООО "Энергетическая компания "СТИ"</t>
  </si>
  <si>
    <t>Общество с ограниченной ответственностью "Энергетическая компания "Сбыт Трейдинг Инновации"</t>
  </si>
  <si>
    <t>7810786145</t>
  </si>
  <si>
    <t>783901001</t>
  </si>
  <si>
    <t>1027810325773</t>
  </si>
  <si>
    <t>190005, Санкт-Петербург, Троицкий проспект, д.12, лит.А, пом 4 "Н"</t>
  </si>
  <si>
    <t>mail.sti@gmail.com</t>
  </si>
  <si>
    <t>Хан Андрей Валерьевич</t>
  </si>
  <si>
    <t>ООО «Энергетическая компания «СТИ»</t>
  </si>
  <si>
    <t>Общество с ограниченной ответственностью «Энергетическая компания «СТИ»</t>
  </si>
  <si>
    <t>7839041402</t>
  </si>
  <si>
    <t>1157847267522</t>
  </si>
  <si>
    <t>23190463</t>
  </si>
  <si>
    <t>190005, Санкт-Петербург, Троицкий проспект, д. 12 лит. А, пом 4 «Н»</t>
  </si>
  <si>
    <t>(812) 251-13-73</t>
  </si>
  <si>
    <t>info@ek-sti.ru</t>
  </si>
  <si>
    <t>Аблатаев Данияр Абдуллаевич</t>
  </si>
  <si>
    <t>http://www.ek-sti.ru</t>
  </si>
  <si>
    <t>ООО "ЭнергоПаритет"</t>
  </si>
  <si>
    <t>Общество с ограниченной ответственностью "ЭнергоПаритет"</t>
  </si>
  <si>
    <t>4205262491</t>
  </si>
  <si>
    <t>1134205006320</t>
  </si>
  <si>
    <t>Российская Федерация, 650036, Кемеровская область, г. Кемерово, пр. Ленина, 90/2, оф.808</t>
  </si>
  <si>
    <t>nfo@eparitet.ru</t>
  </si>
  <si>
    <t>Горх Олег Вольдемарович</t>
  </si>
  <si>
    <t>www.eparitet.ru</t>
  </si>
  <si>
    <t>ООО "Энергопрофит"</t>
  </si>
  <si>
    <t>Общество с ограниченной ответственностью "Энергопрофит"</t>
  </si>
  <si>
    <t>7708341064</t>
  </si>
  <si>
    <t>770801001</t>
  </si>
  <si>
    <t>1197746052602</t>
  </si>
  <si>
    <t>35752535</t>
  </si>
  <si>
    <t>101000, Москва, Милютинский переулок, д.12, эт.4, пом.423</t>
  </si>
  <si>
    <t>Новиков Максим Сергеевич</t>
  </si>
  <si>
    <t>ООО "ЭнергоРесурс"</t>
  </si>
  <si>
    <t>Общество с ограниченной ответственностью "ЭнергоРесурс"</t>
  </si>
  <si>
    <t>4205250834</t>
  </si>
  <si>
    <t>1124205015967</t>
  </si>
  <si>
    <t>10898806</t>
  </si>
  <si>
    <t>Российская Федерация, 650070, г. Кемерово, ул. Свободы, 8, оф. 32</t>
  </si>
  <si>
    <t>(3842) 66-00-37</t>
  </si>
  <si>
    <t>Шапкин Константин Сергеевич</t>
  </si>
  <si>
    <t>ООО "ЭСКК"</t>
  </si>
  <si>
    <t>Общество с ограниченной ответственностью "Энергосбытовая компания Кузбасса"</t>
  </si>
  <si>
    <t>4205140782</t>
  </si>
  <si>
    <t>1074205021219</t>
  </si>
  <si>
    <t>82736854</t>
  </si>
  <si>
    <t>Российская Федерация, 650099, г. Кемерово, ул. Н. Островского, д. 12 А</t>
  </si>
  <si>
    <t>(3842) 34-97-56</t>
  </si>
  <si>
    <t>eskk@sdsenergo.ru</t>
  </si>
  <si>
    <t>ООО ЭСК Новая энергия</t>
  </si>
  <si>
    <t>7453333057</t>
  </si>
  <si>
    <t>745301001</t>
  </si>
  <si>
    <t>1197456057370</t>
  </si>
  <si>
    <t>123112, г. Москва, Пресненская набережная, д. 10, эт. 5</t>
  </si>
  <si>
    <t>454080, г. Челябинск, ул. Энтузиастов, 26 А, офис 305.</t>
  </si>
  <si>
    <t>tel:+78002221200</t>
  </si>
  <si>
    <t>corp@enerone.ru</t>
  </si>
  <si>
    <t>ООО "Юргинский машиностроительный завод"</t>
  </si>
  <si>
    <t>Общество с ограниченной ответственностью "Юргинский машиностроительный завод"</t>
  </si>
  <si>
    <t>4230020425</t>
  </si>
  <si>
    <t>1054230016180</t>
  </si>
  <si>
    <t>76913134</t>
  </si>
  <si>
    <t>Российская Федерация, 652050, Кемеровская область, г. Юрга, ул. Шоссейная, д. 3</t>
  </si>
  <si>
    <t>(38451) 7-41-15</t>
  </si>
  <si>
    <t>yumz@yumz.ru</t>
  </si>
  <si>
    <t>Аношин Сергей Юрьевич</t>
  </si>
  <si>
    <t>www.yumz.ru</t>
  </si>
  <si>
    <t>ПАО "КОКС"</t>
  </si>
  <si>
    <t>Публичное акционерное общество "КОКС"</t>
  </si>
  <si>
    <t>4205001274</t>
  </si>
  <si>
    <t>1024200680877</t>
  </si>
  <si>
    <t>00186683</t>
  </si>
  <si>
    <t>Российская Федерация, 650021, г. Кемерово, ул. 1-я Стахановская, 6</t>
  </si>
  <si>
    <t>(3842) 57-08-00, 57-16-23</t>
  </si>
  <si>
    <t>office@kem.metholding.ru</t>
  </si>
  <si>
    <t>Булаевский Борис Хаимович</t>
  </si>
  <si>
    <t>www.kemkoks.ru</t>
  </si>
  <si>
    <t>ПАО "Кузбассэнергосбыт"</t>
  </si>
  <si>
    <t>Публичное акционерное общество «Кузбасская энергетическая сбытовая компания»</t>
  </si>
  <si>
    <t>4205109214</t>
  </si>
  <si>
    <t>1064205110133</t>
  </si>
  <si>
    <t>00127290</t>
  </si>
  <si>
    <t>650036, г. Кемерово, пр. Ленина, 90/4</t>
  </si>
  <si>
    <t>(384-2) 71-95-00</t>
  </si>
  <si>
    <t>kesadm@mechel.com</t>
  </si>
  <si>
    <t>Петров Леонид Прохорович</t>
  </si>
  <si>
    <t>www.kuzesc.ru</t>
  </si>
  <si>
    <t>ПАО "ФСК - Россети"</t>
  </si>
  <si>
    <t>ПАО "Федеральная сетевая компания - Россети"</t>
  </si>
  <si>
    <t>4716016979</t>
  </si>
  <si>
    <t>997450001</t>
  </si>
  <si>
    <t>1024701893336</t>
  </si>
  <si>
    <t>121353, г.Москва, вн.тер.г. муниципальный округ Можайский, ул.Беловежская, д.4</t>
  </si>
  <si>
    <t>Рюмин А.В.</t>
  </si>
  <si>
    <t>Свердловский филиал ООО "ЕЭС-Гарант"</t>
  </si>
  <si>
    <t>5024173259</t>
  </si>
  <si>
    <t>1175024009918</t>
  </si>
  <si>
    <t>620075, г.Екатеринбург, ул.Кузнечная, д.92</t>
  </si>
  <si>
    <t>Казакова Юлия Валерьевна</t>
  </si>
  <si>
    <t>Директор Свердловского филиала</t>
  </si>
  <si>
    <t>филиал "Забайкальский" АО "Оборонэнерго"</t>
  </si>
  <si>
    <t>АО "Оборонэнерго" филиал "Забайкальский"</t>
  </si>
  <si>
    <t>7704726225</t>
  </si>
  <si>
    <t>753643001</t>
  </si>
  <si>
    <t>1097746264230</t>
  </si>
  <si>
    <t>90718149</t>
  </si>
  <si>
    <t>672027, г.Чита, ул.. Смоленская, д. 39, корп. 4</t>
  </si>
  <si>
    <t>8(3022)321494</t>
  </si>
  <si>
    <t>info@baikal.oboronenergo.ru</t>
  </si>
  <si>
    <t>Филиал ПАО "Россети Сибирь" - "Кузбассэнерго-РЭС"</t>
  </si>
  <si>
    <t>Филиал публичного акционерного общество "Россети Сибирь"- "Кузбассэнерго-РЭС"</t>
  </si>
  <si>
    <t>2460069527</t>
  </si>
  <si>
    <t>420502001</t>
  </si>
  <si>
    <t>1052460054327</t>
  </si>
  <si>
    <t>85226438</t>
  </si>
  <si>
    <t>650099, Российская Федерация, Кемеровская облпсть, г. Кемерово, ул. Н. Островского, д. 11</t>
  </si>
  <si>
    <t>Россия, 660021, Красноярский край, г. Красноярск, ул. Бограда, 144а</t>
  </si>
  <si>
    <t>(3842) 45-45-25, 45-49-34</t>
  </si>
  <si>
    <t>info@ke.rosseti-sib.ru</t>
  </si>
  <si>
    <t>Клейменов И.П.</t>
  </si>
  <si>
    <t>Зам. генерального директора - директор филиала</t>
  </si>
  <si>
    <t>www.rosseti-sib.ru</t>
  </si>
  <si>
    <t>филиал "Сибирский" АО "Оборонэнерго"</t>
  </si>
  <si>
    <t>540643001</t>
  </si>
  <si>
    <t>30732901</t>
  </si>
  <si>
    <t>630099, Новосибирская область, г. Новосибирск, ул. Советская, 12</t>
  </si>
  <si>
    <t>117140, г.Москва, ул. Русаковская, д.13, стр.19, 21-25</t>
  </si>
  <si>
    <t>8-383-319-13-70</t>
  </si>
  <si>
    <t>info@sb.oen.su, tapresyan@sb.oen.su</t>
  </si>
  <si>
    <t>Мананников Дмитрий Александрович</t>
  </si>
  <si>
    <t>www.oboronenergo.su</t>
  </si>
  <si>
    <t>form</t>
  </si>
  <si>
    <t>start_date</t>
  </si>
  <si>
    <t>end_date</t>
  </si>
  <si>
    <t>report_date</t>
  </si>
  <si>
    <t>entity_id</t>
  </si>
  <si>
    <t>entity_code</t>
  </si>
  <si>
    <t>entity_name</t>
  </si>
  <si>
    <t>scenario_id</t>
  </si>
  <si>
    <t>scenario_name</t>
  </si>
  <si>
    <t>fil_id</t>
  </si>
  <si>
    <t>fil_code</t>
  </si>
  <si>
    <t>fil_name</t>
  </si>
  <si>
    <t>nomer2_id</t>
  </si>
  <si>
    <t>nomer2_code</t>
  </si>
  <si>
    <t>nomer2_name</t>
  </si>
  <si>
    <t>nmob_id</t>
  </si>
  <si>
    <t>nmob_code</t>
  </si>
  <si>
    <t>nmob_name</t>
  </si>
  <si>
    <t>nsrf_id</t>
  </si>
  <si>
    <t>nsrf_code</t>
  </si>
  <si>
    <t>nsrf_name</t>
  </si>
  <si>
    <t>det_id</t>
  </si>
  <si>
    <t>det_code</t>
  </si>
  <si>
    <t>lgl_id</t>
  </si>
  <si>
    <t>l_base_service_production</t>
  </si>
  <si>
    <t>l_base_service_cleaning</t>
  </si>
  <si>
    <t>l_base_service_transmission</t>
  </si>
  <si>
    <t>l_address_mr</t>
  </si>
  <si>
    <t>l_address_mo</t>
  </si>
  <si>
    <t>l_address_oktmo</t>
  </si>
  <si>
    <t>l_address_location</t>
  </si>
  <si>
    <t>l_address_loc_oktmo</t>
  </si>
  <si>
    <t>l_address_street</t>
  </si>
  <si>
    <t>l_address_building</t>
  </si>
  <si>
    <t>l_pr_ic</t>
  </si>
  <si>
    <t>l_pr_cl</t>
  </si>
  <si>
    <t>l_pr_station_type</t>
  </si>
  <si>
    <t>l_pr_water_type</t>
  </si>
  <si>
    <t>l_pr_depreciation</t>
  </si>
  <si>
    <t>l_pr_start_exploit_date</t>
  </si>
  <si>
    <t>l_cln_ic</t>
  </si>
  <si>
    <t>l_cln_cl</t>
  </si>
  <si>
    <t>l_cln_org</t>
  </si>
  <si>
    <t>l_cln_inn</t>
  </si>
  <si>
    <t>l_cln_kpp</t>
  </si>
  <si>
    <t>l_cln_fil</t>
  </si>
  <si>
    <t>l_cln_source_name</t>
  </si>
  <si>
    <t>l_cln_mr</t>
  </si>
  <si>
    <t>l_cln_mo</t>
  </si>
  <si>
    <t>l_cln_oktmo</t>
  </si>
  <si>
    <t>l_cln_location</t>
  </si>
  <si>
    <t>l_cln_loc_oktmo</t>
  </si>
  <si>
    <t>l_cln_street</t>
  </si>
  <si>
    <t>l_cln_building</t>
  </si>
  <si>
    <t>l_cln_depreciation</t>
  </si>
  <si>
    <t>l_tr_ic</t>
  </si>
  <si>
    <t>l_tr_cl</t>
  </si>
  <si>
    <t>l_tr_org</t>
  </si>
  <si>
    <t>l_tr_inn</t>
  </si>
  <si>
    <t>l_tr_kpp</t>
  </si>
  <si>
    <t>l_tr_fil</t>
  </si>
  <si>
    <t>l_tr_source_name</t>
  </si>
  <si>
    <t>l_tr_mr</t>
  </si>
  <si>
    <t>l_tr_mo</t>
  </si>
  <si>
    <t>l_tr_oktmo</t>
  </si>
  <si>
    <t>l_tr_location</t>
  </si>
  <si>
    <t>l_tr_loc_oktmo</t>
  </si>
  <si>
    <t>l_tr_street</t>
  </si>
  <si>
    <t>l_tr_building</t>
  </si>
  <si>
    <t>l_tr_net_type</t>
  </si>
  <si>
    <t>l_</t>
  </si>
  <si>
    <t>l_tr_l_vsna_total</t>
  </si>
  <si>
    <t>l_tr_l_vsna_50_250</t>
  </si>
  <si>
    <t>l_tr_l_vsna_251_400</t>
  </si>
  <si>
    <t>l_tr_l_vsna_401_550</t>
  </si>
  <si>
    <t>l_tr_l_vsna_551_700</t>
  </si>
  <si>
    <t>l_tr_l_vsna_701</t>
  </si>
  <si>
    <t>l_tr_l_vsna_over_total</t>
  </si>
  <si>
    <t>l_tr_l_vsna_over_50_250</t>
  </si>
  <si>
    <t>l_tr_l_vsna_over_251_400</t>
  </si>
  <si>
    <t>l_tr_l_vsna_over_401_550</t>
  </si>
  <si>
    <t>l_tr_l_vsna_over_551_700</t>
  </si>
  <si>
    <t>l_tr_l_vsna_over_701</t>
  </si>
  <si>
    <t>l_tr_l_vsna_u_ch_total</t>
  </si>
  <si>
    <t>l_tr_l_vsna_u_ch_50_250</t>
  </si>
  <si>
    <t>l_tr_l_vsna_u_ch_251_400</t>
  </si>
  <si>
    <t>l_tr_l_vsna_u_ch_401_550</t>
  </si>
  <si>
    <t>l_tr_l_vsna_u_ch_551_700</t>
  </si>
  <si>
    <t>l_tr_l_vsna_u_ch_701</t>
  </si>
  <si>
    <t>l_tr_l_vsna_u_nonch_total</t>
  </si>
  <si>
    <t>l_tr_l_vsna_u_nonch_50_250</t>
  </si>
  <si>
    <t>l_tr_l_vsna_u_nonch_251_400</t>
  </si>
  <si>
    <t>l_tr_l_vsna_u_nonch_401_550</t>
  </si>
  <si>
    <t>l_tr_l_vsna_u_nonch_551_700</t>
  </si>
  <si>
    <t>l_tr_l_vsna_u_nonch_701</t>
  </si>
  <si>
    <t>l_tr_depreciation</t>
  </si>
  <si>
    <t>l_current_state</t>
  </si>
  <si>
    <t>l_ownership_type</t>
  </si>
  <si>
    <t>l_base_of_contract</t>
  </si>
  <si>
    <t>l_url</t>
  </si>
  <si>
    <t>l_exploit_doc_type</t>
  </si>
  <si>
    <t>l_exploit_doc_base</t>
  </si>
  <si>
    <t>l_exploit_doc_number</t>
  </si>
  <si>
    <t>l_exploit_doc_date</t>
  </si>
  <si>
    <t>l_exploit_doc_url</t>
  </si>
  <si>
    <t>id</t>
  </si>
  <si>
    <t>address</t>
  </si>
  <si>
    <t>sce:REESTR.VSNA.SOURCE.2025</t>
  </si>
  <si>
    <t>НС</t>
  </si>
  <si>
    <t>г Ленинск-Кузнецкий</t>
  </si>
  <si>
    <t>32514000001</t>
  </si>
  <si>
    <t>ул. Суворова</t>
  </si>
  <si>
    <t>209</t>
  </si>
  <si>
    <t>150.0000000000</t>
  </si>
  <si>
    <t>50.0000000000</t>
  </si>
  <si>
    <t>4 подъёма</t>
  </si>
  <si>
    <t>питьевая</t>
  </si>
  <si>
    <t>40.0000000000</t>
  </si>
  <si>
    <t>01.01.1961</t>
  </si>
  <si>
    <t>эксплуатируется</t>
  </si>
  <si>
    <t>муниципальное имущество</t>
  </si>
  <si>
    <t>https://portal.eias.ru/Portal/DownloadPage.aspx?type=12&amp;guid=0e8b6c7e-49cc-44a2-8029-ccdb01b64371</t>
  </si>
  <si>
    <t>Скважина №1</t>
  </si>
  <si>
    <t>д Михайловка</t>
  </si>
  <si>
    <t>32537000126</t>
  </si>
  <si>
    <t>ул Школьная</t>
  </si>
  <si>
    <t>1"б"</t>
  </si>
  <si>
    <t>10.0000000000</t>
  </si>
  <si>
    <t>8.0000000000</t>
  </si>
  <si>
    <t>артезианская скважина</t>
  </si>
  <si>
    <t>80.0000000000</t>
  </si>
  <si>
    <t>01.01.1980</t>
  </si>
  <si>
    <t>https://portal.eias.ru/Portal/DownloadPage.aspx?type=12&amp;guid=e280bcd3-8022-49df-9a12-d5a58e8cfe66</t>
  </si>
  <si>
    <t>2019/ЧМР</t>
  </si>
  <si>
    <t>13.11.2019</t>
  </si>
  <si>
    <t>д Михайловка, ул Школьная, 1"б"</t>
  </si>
  <si>
    <t>скважина №2</t>
  </si>
  <si>
    <t>ул Молодежная</t>
  </si>
  <si>
    <t>1"а"</t>
  </si>
  <si>
    <t>01.01.1982</t>
  </si>
  <si>
    <t>д Михайловка, ул Молодежная, 1"а"</t>
  </si>
  <si>
    <t>Правобережная НС [нет]</t>
  </si>
  <si>
    <t>г Кемерово</t>
  </si>
  <si>
    <t>32701000001</t>
  </si>
  <si>
    <t>ул. Терешковой</t>
  </si>
  <si>
    <t>3750.0000000000</t>
  </si>
  <si>
    <t>1714.6331967213</t>
  </si>
  <si>
    <t>3 подъёма</t>
  </si>
  <si>
    <t>43.7500000000</t>
  </si>
  <si>
    <t>01.02.2007</t>
  </si>
  <si>
    <t>https://portal.eias.ru/Portal/DownloadPage.aspx?type=12&amp;guid=5157f90c-9253-41fb-a824-d1052072a661</t>
  </si>
  <si>
    <t>договор</t>
  </si>
  <si>
    <t>28.12.2018</t>
  </si>
  <si>
    <t>г Кемерово, ул. Терешковой, 14</t>
  </si>
  <si>
    <t>Гидроузел "Рудник" [нет]</t>
  </si>
  <si>
    <t>ул. Мамонтова</t>
  </si>
  <si>
    <t>б/н</t>
  </si>
  <si>
    <t>1875.0000000000</t>
  </si>
  <si>
    <t>480.5943761384</t>
  </si>
  <si>
    <t>21.3300000000</t>
  </si>
  <si>
    <t>12.05.2009</t>
  </si>
  <si>
    <t>г Кемерово, ул. Мамонтова, б/н</t>
  </si>
  <si>
    <t>скважина №14</t>
  </si>
  <si>
    <t>п Акация</t>
  </si>
  <si>
    <t>32546000251</t>
  </si>
  <si>
    <t>ул.Мира</t>
  </si>
  <si>
    <t>25</t>
  </si>
  <si>
    <t>2.0000000000</t>
  </si>
  <si>
    <t>60.0000000000</t>
  </si>
  <si>
    <t>01.01.1990</t>
  </si>
  <si>
    <t>https://portal.eias.ru/Portal/DownloadPage.aspx?type=12&amp;guid=1af1e839-9786-4b0d-9507-dfe76311e92c</t>
  </si>
  <si>
    <t>№7/ЯМО</t>
  </si>
  <si>
    <t>28.09.2021</t>
  </si>
  <si>
    <t>п Акация, ул.Мира, 25</t>
  </si>
  <si>
    <t>1а</t>
  </si>
  <si>
    <t>6.0000000000</t>
  </si>
  <si>
    <t>70.0000000000</t>
  </si>
  <si>
    <t>01.01.1960</t>
  </si>
  <si>
    <t>п Акация, ул.Мира, 1а</t>
  </si>
  <si>
    <t>Скважина №10</t>
  </si>
  <si>
    <t>п Акация, ул.Мира, 21</t>
  </si>
  <si>
    <t>ПНС 52 [нет]</t>
  </si>
  <si>
    <t>ул. Пролетарская</t>
  </si>
  <si>
    <t>41.6000000000</t>
  </si>
  <si>
    <t>14.3400000000</t>
  </si>
  <si>
    <t>26.3000000000</t>
  </si>
  <si>
    <t>31.10.2008</t>
  </si>
  <si>
    <t>г Кемерово, ул. Пролетарская, 22</t>
  </si>
  <si>
    <t>НС-2 подъема НФС-2 [нет]</t>
  </si>
  <si>
    <t>ул. Советская</t>
  </si>
  <si>
    <t>38</t>
  </si>
  <si>
    <t>10000.0000000000</t>
  </si>
  <si>
    <t>6214.0691029144</t>
  </si>
  <si>
    <t>2 подъёма</t>
  </si>
  <si>
    <t>г Кемерово, ул. Советская, 38</t>
  </si>
  <si>
    <t>Скважина б/н</t>
  </si>
  <si>
    <t>п Новостройка</t>
  </si>
  <si>
    <t>32543000216</t>
  </si>
  <si>
    <t>-</t>
  </si>
  <si>
    <t>6.5000000000</t>
  </si>
  <si>
    <t>0.5800000000</t>
  </si>
  <si>
    <t>100.0000000000</t>
  </si>
  <si>
    <t>01.01.1992</t>
  </si>
  <si>
    <t>https://portal.eias.ru/Portal/DownloadPage.aspx?type=12&amp;guid=150fcd94-7654-4533-9165-48c46bc5f5eb</t>
  </si>
  <si>
    <t>№2023/ЯЯ</t>
  </si>
  <si>
    <t>11.11.2024</t>
  </si>
  <si>
    <t>п Новостройка, -, -</t>
  </si>
  <si>
    <t>Ягуновский водозабор НС-2 подъема [нет]</t>
  </si>
  <si>
    <t>сеть</t>
  </si>
  <si>
    <t>1 км южнее г. Кемерово и 1 км восточнее автодороги Кемерово-Промышленная</t>
  </si>
  <si>
    <t>125.0000000000</t>
  </si>
  <si>
    <t>128.1484517304</t>
  </si>
  <si>
    <t>4205153492.0</t>
  </si>
  <si>
    <t>НС-2 подъема</t>
  </si>
  <si>
    <t>32701000.0</t>
  </si>
  <si>
    <t>32701000001.0</t>
  </si>
  <si>
    <t>без адреса</t>
  </si>
  <si>
    <t>магистральная</t>
  </si>
  <si>
    <t>31.0835000000</t>
  </si>
  <si>
    <t>30.8335000000</t>
  </si>
  <si>
    <t>0.2500000000</t>
  </si>
  <si>
    <t>0.0000000000</t>
  </si>
  <si>
    <t>42.0000000000</t>
  </si>
  <si>
    <t>https://portal.eias.ru/Portal/DownloadPage.aspx?type=12&amp;guid=e60adf38-a8cc-447d-acb0-3634e0bb8ad4</t>
  </si>
  <si>
    <t>г Кемерово, 1 км южнее г. Кемерово и 1 км восточнее автодороги Кемерово-Промышленная, б/н</t>
  </si>
  <si>
    <t>НС-2 подъема Бердовского водозабора</t>
  </si>
  <si>
    <t>666.6000000000</t>
  </si>
  <si>
    <t>385.0324453552</t>
  </si>
  <si>
    <t>1 подъёма</t>
  </si>
  <si>
    <t>31.12.1996</t>
  </si>
  <si>
    <t>г Кемерово, без адреса, б/н</t>
  </si>
  <si>
    <t>Скважина</t>
  </si>
  <si>
    <t>п 1-й</t>
  </si>
  <si>
    <t>32537000156</t>
  </si>
  <si>
    <t>ул. Воронова</t>
  </si>
  <si>
    <t>8а</t>
  </si>
  <si>
    <t>01.01.1973</t>
  </si>
  <si>
    <t>п 1-й, ул. Воронова, 8а</t>
  </si>
  <si>
    <t>с Усть-Чебула</t>
  </si>
  <si>
    <t>32537000236</t>
  </si>
  <si>
    <t>ул. Школьная</t>
  </si>
  <si>
    <t>1в</t>
  </si>
  <si>
    <t>01.01.1989</t>
  </si>
  <si>
    <t>с Усть-Чебула, ул. Школьная, 1в</t>
  </si>
  <si>
    <t>д Курск-Смоленка</t>
  </si>
  <si>
    <t>32537000121</t>
  </si>
  <si>
    <t>ул Советская</t>
  </si>
  <si>
    <t>2"а"</t>
  </si>
  <si>
    <t>01.01.1970</t>
  </si>
  <si>
    <t>д Курск-Смоленка, ул Советская, 2"а"</t>
  </si>
  <si>
    <t>НС-3 ж.р. Кедровка (подача на ж.р. Кедровка) [нет]</t>
  </si>
  <si>
    <t>ж.р. Кедровка, ул. Павленко</t>
  </si>
  <si>
    <t>306.5079690346</t>
  </si>
  <si>
    <t>45.9600000000</t>
  </si>
  <si>
    <t>г Кемерово, ж.р. Кедровка, ул. Павленко, б/н</t>
  </si>
  <si>
    <t>с Алчедат</t>
  </si>
  <si>
    <t>32537000211</t>
  </si>
  <si>
    <t>ул Октябрьская</t>
  </si>
  <si>
    <t>43"в"</t>
  </si>
  <si>
    <t>01.01.1986</t>
  </si>
  <si>
    <t>с Алчедат, ул Октябрьская, 43"в"</t>
  </si>
  <si>
    <t>Скважиная (резервная)</t>
  </si>
  <si>
    <t>ул Юбилейная</t>
  </si>
  <si>
    <t>34"а"</t>
  </si>
  <si>
    <t>с Алчедат, ул Юбилейная, 34"а"</t>
  </si>
  <si>
    <t>д Дмитриевка</t>
  </si>
  <si>
    <t>32537000106</t>
  </si>
  <si>
    <t>_</t>
  </si>
  <si>
    <t>13.9200000000</t>
  </si>
  <si>
    <t>32537000.0</t>
  </si>
  <si>
    <t>32537000106.0</t>
  </si>
  <si>
    <t>ул Набережная</t>
  </si>
  <si>
    <t>16а</t>
  </si>
  <si>
    <t>магистральная и разводящая</t>
  </si>
  <si>
    <t>5.3680000000</t>
  </si>
  <si>
    <t>д Дмитриевка, д Дмитриевка, _</t>
  </si>
  <si>
    <t>ПНС 14 [нет]</t>
  </si>
  <si>
    <t>пр. Ленина</t>
  </si>
  <si>
    <t>132 Б</t>
  </si>
  <si>
    <t>20.2100000000</t>
  </si>
  <si>
    <t>69.0000000000</t>
  </si>
  <si>
    <t>30.12.1985</t>
  </si>
  <si>
    <t>г Кемерово, пр. Ленина, 132 Б</t>
  </si>
  <si>
    <t>Сети водоснабжения     д. Юрты-Константиновы</t>
  </si>
  <si>
    <t>д Юрты-Константиновы</t>
  </si>
  <si>
    <t>32546000246</t>
  </si>
  <si>
    <t>32546000.0</t>
  </si>
  <si>
    <t>32546000246.0</t>
  </si>
  <si>
    <t>2.6610000000</t>
  </si>
  <si>
    <t>75.0000000000</t>
  </si>
  <si>
    <t>д Юрты-Константиновы, -, -</t>
  </si>
  <si>
    <t>д Дауровка</t>
  </si>
  <si>
    <t>32546000131</t>
  </si>
  <si>
    <t>ул.Центральная</t>
  </si>
  <si>
    <t>15а</t>
  </si>
  <si>
    <t>1.0000000000</t>
  </si>
  <si>
    <t>д Дауровка, ул.Центральная, 15а</t>
  </si>
  <si>
    <t>Сети водоснабжения     д. Дауровка</t>
  </si>
  <si>
    <t>32546000131.0</t>
  </si>
  <si>
    <t>0.7830000000</t>
  </si>
  <si>
    <t>д Дауровка, -, -</t>
  </si>
  <si>
    <t>д Усть-Сосновка</t>
  </si>
  <si>
    <t>32546000241</t>
  </si>
  <si>
    <t>01.01.1978</t>
  </si>
  <si>
    <t>д Усть-Сосновка, ул.Центральная, 8а</t>
  </si>
  <si>
    <t>д Северная</t>
  </si>
  <si>
    <t>32546000226</t>
  </si>
  <si>
    <t>ул.Молодежная</t>
  </si>
  <si>
    <t>д Северная, ул.Молодежная, 12</t>
  </si>
  <si>
    <t>д Мелково</t>
  </si>
  <si>
    <t>32546000186</t>
  </si>
  <si>
    <t>ул.Речная</t>
  </si>
  <si>
    <t>д Мелково, ул.Речная, 8а</t>
  </si>
  <si>
    <t>Скважина №14/4290</t>
  </si>
  <si>
    <t>с Поломошное</t>
  </si>
  <si>
    <t>32546000351</t>
  </si>
  <si>
    <t>пер.Школьный</t>
  </si>
  <si>
    <t>2б</t>
  </si>
  <si>
    <t>01.01.1985</t>
  </si>
  <si>
    <t>с Поломошное, пер.Школьный, 2б</t>
  </si>
  <si>
    <t>д Курск-Смоленка, ул Советская, 34"а"</t>
  </si>
  <si>
    <t>Зона А [нет]</t>
  </si>
  <si>
    <t>46</t>
  </si>
  <si>
    <t>2083.3000000000</t>
  </si>
  <si>
    <t>1221.3836520947</t>
  </si>
  <si>
    <t>23.5500000000</t>
  </si>
  <si>
    <t>01.09.2008</t>
  </si>
  <si>
    <t>г Кемерово, ул. Терешковой, 46</t>
  </si>
  <si>
    <t>сеть водоснабжения</t>
  </si>
  <si>
    <t>д Шестаково</t>
  </si>
  <si>
    <t>32537000151</t>
  </si>
  <si>
    <t>32537000151.0</t>
  </si>
  <si>
    <t>ул Оренбургская</t>
  </si>
  <si>
    <t>2в</t>
  </si>
  <si>
    <t>0.8250000000</t>
  </si>
  <si>
    <t>д Шестаково, ул Школьная, _</t>
  </si>
  <si>
    <t>Зона Б [нет]</t>
  </si>
  <si>
    <t>ул. Космическая</t>
  </si>
  <si>
    <t>нечётная сторона</t>
  </si>
  <si>
    <t>625.0000000000</t>
  </si>
  <si>
    <t>338.1351320583</t>
  </si>
  <si>
    <t>51.2000000000</t>
  </si>
  <si>
    <t>01.02.1973</t>
  </si>
  <si>
    <t>г Кемерово, ул. Космическая, нечётная сторона</t>
  </si>
  <si>
    <t>Сети водоснабжения     д. Крылово</t>
  </si>
  <si>
    <t>д Крылово</t>
  </si>
  <si>
    <t>32546000171</t>
  </si>
  <si>
    <t>32546000171.0</t>
  </si>
  <si>
    <t>0.7090000000</t>
  </si>
  <si>
    <t>д Крылово, -, -</t>
  </si>
  <si>
    <t>п Яшкинский</t>
  </si>
  <si>
    <t>32546000311</t>
  </si>
  <si>
    <t>ул.Спортивная</t>
  </si>
  <si>
    <t>2а</t>
  </si>
  <si>
    <t>3.0000000000</t>
  </si>
  <si>
    <t>п Яшкинский, ул.Спортивная, 2а</t>
  </si>
  <si>
    <t>ул.Окрайняя</t>
  </si>
  <si>
    <t>24</t>
  </si>
  <si>
    <t>01.01.2003</t>
  </si>
  <si>
    <t>п Яшкинский, ул.Окрайняя, 24</t>
  </si>
  <si>
    <t>ВНС "Лесная поляна" [нет]</t>
  </si>
  <si>
    <t>автодорога г. Кемерово-Лесная поляна</t>
  </si>
  <si>
    <t>120.6303506375</t>
  </si>
  <si>
    <t>15.7000000000</t>
  </si>
  <si>
    <t>30.11.2007</t>
  </si>
  <si>
    <t>г Кемерово, автодорога г. Кемерово-Лесная поляна, б/н</t>
  </si>
  <si>
    <t>д Ольговка</t>
  </si>
  <si>
    <t>32543000146</t>
  </si>
  <si>
    <t>0.7000000000</t>
  </si>
  <si>
    <t>01.01.1975</t>
  </si>
  <si>
    <t>д Ольговка, -, -</t>
  </si>
  <si>
    <t>Скважина №11/4130</t>
  </si>
  <si>
    <t>пгт Яшкино</t>
  </si>
  <si>
    <t>32546000051</t>
  </si>
  <si>
    <t>ул.Ленинская</t>
  </si>
  <si>
    <t>01.01.1965</t>
  </si>
  <si>
    <t>пгт Яшкино, ул.Ленинская, 2а</t>
  </si>
  <si>
    <t>Скважина №5</t>
  </si>
  <si>
    <t>ул.Железнодорожная</t>
  </si>
  <si>
    <t>5.0000000000</t>
  </si>
  <si>
    <t>01.01.1958</t>
  </si>
  <si>
    <t>пгт Яшкино, ул.Железнодорожная, 1а</t>
  </si>
  <si>
    <t>Гидроузел №4 [нет]</t>
  </si>
  <si>
    <t>ул. Мартемьянова</t>
  </si>
  <si>
    <t>291.6000000000</t>
  </si>
  <si>
    <t>171.7312158470</t>
  </si>
  <si>
    <t>19.3900000000</t>
  </si>
  <si>
    <t>31.12.2009</t>
  </si>
  <si>
    <t>г Кемерово, ул. Мартемьянова, б/н</t>
  </si>
  <si>
    <t>Скважина №1           КМ-65</t>
  </si>
  <si>
    <t>р.Яя</t>
  </si>
  <si>
    <t>01.01.1988</t>
  </si>
  <si>
    <t>пгт Яшкино, р.Яя, -</t>
  </si>
  <si>
    <t>Скважина №2           КМ-66</t>
  </si>
  <si>
    <t>Скважина №2/4076</t>
  </si>
  <si>
    <t>с Колмогорово</t>
  </si>
  <si>
    <t>32546000316</t>
  </si>
  <si>
    <t>ул.Мирная</t>
  </si>
  <si>
    <t>108б</t>
  </si>
  <si>
    <t>4.0000000000</t>
  </si>
  <si>
    <t>01.01.1981</t>
  </si>
  <si>
    <t>с Колмогорово, ул.Мирная, 108б</t>
  </si>
  <si>
    <t>ПНС Боровой [нет]</t>
  </si>
  <si>
    <t>п-к Боровой, ул. 2-ая Парковая</t>
  </si>
  <si>
    <t>208.3000000000</t>
  </si>
  <si>
    <t>126.0093351548</t>
  </si>
  <si>
    <t>г Кемерово, п-к Боровой, ул. 2-ая Парковая, б/н</t>
  </si>
  <si>
    <t>Скважина №1/2058</t>
  </si>
  <si>
    <t>108а</t>
  </si>
  <si>
    <t>01.01.1968</t>
  </si>
  <si>
    <t>государственное имущество</t>
  </si>
  <si>
    <t>с Колмогорово, ул.Мирная, 108а</t>
  </si>
  <si>
    <t>Скважина №13/2366</t>
  </si>
  <si>
    <t>ул.70-лет Октября</t>
  </si>
  <si>
    <t>01.01.1969</t>
  </si>
  <si>
    <t>с Поломошное, ул.70-лет Октября, 2б</t>
  </si>
  <si>
    <t>Сети водоснабжения д. Марьевка</t>
  </si>
  <si>
    <t>д Марьевка</t>
  </si>
  <si>
    <t>32543000126</t>
  </si>
  <si>
    <t>17.0000000000</t>
  </si>
  <si>
    <t>2.8000000000</t>
  </si>
  <si>
    <t>32543000.0</t>
  </si>
  <si>
    <t>32543000126.0</t>
  </si>
  <si>
    <t>6.5070000000</t>
  </si>
  <si>
    <t>д Марьевка, -, -</t>
  </si>
  <si>
    <t>Сети водоснабжения с. Новониколаевка</t>
  </si>
  <si>
    <t>с Новониколаевка</t>
  </si>
  <si>
    <t>32543000281</t>
  </si>
  <si>
    <t>19.5000000000</t>
  </si>
  <si>
    <t>2.4100000000</t>
  </si>
  <si>
    <t>32543000281.0</t>
  </si>
  <si>
    <t>10.4920000000</t>
  </si>
  <si>
    <t>с Новониколаевка, -, -</t>
  </si>
  <si>
    <t>с Судженка</t>
  </si>
  <si>
    <t>32543000286</t>
  </si>
  <si>
    <t>ул. Заречная</t>
  </si>
  <si>
    <t>за домом №45</t>
  </si>
  <si>
    <t>0.6000000000</t>
  </si>
  <si>
    <t>с Судженка, ул. Заречная, за домом №45</t>
  </si>
  <si>
    <t>94а</t>
  </si>
  <si>
    <t>2.7000000000</t>
  </si>
  <si>
    <t>с Судженка, ул. Советская, 94а</t>
  </si>
  <si>
    <t>пр.Ленина</t>
  </si>
  <si>
    <t>86"б"</t>
  </si>
  <si>
    <t>20.0000000000</t>
  </si>
  <si>
    <t>30.0000000000</t>
  </si>
  <si>
    <t>17.01.1995</t>
  </si>
  <si>
    <t>ул.65 лет Октября</t>
  </si>
  <si>
    <t>31</t>
  </si>
  <si>
    <t>п Яшкинский, ул.65 лет Октября, 31</t>
  </si>
  <si>
    <t>Сети водоснабжения     с. Красноселка</t>
  </si>
  <si>
    <t>с Красноселка</t>
  </si>
  <si>
    <t>32546000326</t>
  </si>
  <si>
    <t>3.5000000000</t>
  </si>
  <si>
    <t>32546000326.0</t>
  </si>
  <si>
    <t>6.1180000000</t>
  </si>
  <si>
    <t>с Красноселка, -, -</t>
  </si>
  <si>
    <t>д Балахнино</t>
  </si>
  <si>
    <t>32546000106</t>
  </si>
  <si>
    <t>01.01.1979</t>
  </si>
  <si>
    <t>д Балахнино, ул.Центральная, 1а</t>
  </si>
  <si>
    <t>Сети водоснабжения     п. Шахтер</t>
  </si>
  <si>
    <t>п Шахтер</t>
  </si>
  <si>
    <t>32546000306</t>
  </si>
  <si>
    <t>32546000306.0</t>
  </si>
  <si>
    <t>7.2220000000</t>
  </si>
  <si>
    <t>п Шахтер, -, -</t>
  </si>
  <si>
    <t>д Ботьево</t>
  </si>
  <si>
    <t>32546000111</t>
  </si>
  <si>
    <t>ул.Школьная</t>
  </si>
  <si>
    <t>13а</t>
  </si>
  <si>
    <t>д Ботьево, ул.Школьная, 13а</t>
  </si>
  <si>
    <t>Сети водоснабжения п. Новостройка</t>
  </si>
  <si>
    <t>32543000216.0</t>
  </si>
  <si>
    <t>2.6700000000</t>
  </si>
  <si>
    <t>п.ст Судженка</t>
  </si>
  <si>
    <t>32543000231</t>
  </si>
  <si>
    <t>пер. Садовый</t>
  </si>
  <si>
    <t>01.01.1999</t>
  </si>
  <si>
    <t>п.ст Судженка, пер. Садовый, 6</t>
  </si>
  <si>
    <t>водозабор д. Петровка [нет]</t>
  </si>
  <si>
    <t>п. Петровка</t>
  </si>
  <si>
    <t>ул. Красина</t>
  </si>
  <si>
    <t>3.6000000000</t>
  </si>
  <si>
    <t>0.5562386157</t>
  </si>
  <si>
    <t>31.12.1992</t>
  </si>
  <si>
    <t>г Кемерово, п. Петровка, ул. Красина</t>
  </si>
  <si>
    <t>с Нижнеяшкино</t>
  </si>
  <si>
    <t>32546000336</t>
  </si>
  <si>
    <t>ул.Комарова</t>
  </si>
  <si>
    <t>01.01.1967</t>
  </si>
  <si>
    <t>с Нижнеяшкино, ул.Комарова, 12</t>
  </si>
  <si>
    <t>ПНС 17/2 [нет]</t>
  </si>
  <si>
    <t>б-р Строителей</t>
  </si>
  <si>
    <t>4 А</t>
  </si>
  <si>
    <t>33.3000000000</t>
  </si>
  <si>
    <t>4.4700000000</t>
  </si>
  <si>
    <t>87.7100000000</t>
  </si>
  <si>
    <t>01.09.1980</t>
  </si>
  <si>
    <t>г Кемерово, б-р Строителей, 4 А</t>
  </si>
  <si>
    <t>01.01.1971</t>
  </si>
  <si>
    <t>с Нижнеяшкино, -, -</t>
  </si>
  <si>
    <t>ул.Коммунистическая</t>
  </si>
  <si>
    <t>с Нижнеяшкино, ул.Коммунистическая, -</t>
  </si>
  <si>
    <t>Сети водоснабжения     с. Нижнеяшкино</t>
  </si>
  <si>
    <t>32546000336.0</t>
  </si>
  <si>
    <t>3.4560000000</t>
  </si>
  <si>
    <t>с Пача</t>
  </si>
  <si>
    <t>32546000341</t>
  </si>
  <si>
    <t>ул.Лесная</t>
  </si>
  <si>
    <t>01.01.1991</t>
  </si>
  <si>
    <t>с Пача, ул.Лесная, 2в</t>
  </si>
  <si>
    <t>ПНС Лапичево [нет]</t>
  </si>
  <si>
    <t>п. Лапичево, ул. Гвардейская</t>
  </si>
  <si>
    <t>возле дома №22</t>
  </si>
  <si>
    <t>2.9930555556</t>
  </si>
  <si>
    <t>18.0000000000</t>
  </si>
  <si>
    <t>11.08.2011</t>
  </si>
  <si>
    <t>г Кемерово, п. Лапичево, ул. Гвардейская, возле дома №22</t>
  </si>
  <si>
    <t>Скважина №6/2865</t>
  </si>
  <si>
    <t>9б</t>
  </si>
  <si>
    <t>с Колмогорово, ул.Ленинская, 9б</t>
  </si>
  <si>
    <t>82"б"</t>
  </si>
  <si>
    <t>ул. Розы Люксембург</t>
  </si>
  <si>
    <t>47"б"</t>
  </si>
  <si>
    <t>15.0000000000</t>
  </si>
  <si>
    <t>25.0000000000</t>
  </si>
  <si>
    <t>НФС-2 [нет]</t>
  </si>
  <si>
    <t>ОС</t>
  </si>
  <si>
    <t>8333.3000000000</t>
  </si>
  <si>
    <t>6482.5752504554</t>
  </si>
  <si>
    <t>Насосно-фильтровальная станция (НФС-2)</t>
  </si>
  <si>
    <t>32507000.0</t>
  </si>
  <si>
    <t>п Металлплощадка</t>
  </si>
  <si>
    <t>32507000311.0</t>
  </si>
  <si>
    <t>60.8300000000</t>
  </si>
  <si>
    <t>с Усманка</t>
  </si>
  <si>
    <t>32537000226</t>
  </si>
  <si>
    <t>от скважины по ул.Молодежная,16 в районе  котельной детского сада №13</t>
  </si>
  <si>
    <t>32537000226.0</t>
  </si>
  <si>
    <t>ул Молодежная, в районе котельной детского сада №13</t>
  </si>
  <si>
    <t>3.7280000000</t>
  </si>
  <si>
    <t>с Усманка, от скважины по ул.Молодежная,16 в районе  котельной детского сада №13, _</t>
  </si>
  <si>
    <t>от скважины по ул.Молодежная,16 в районе  центральной котельной  №12</t>
  </si>
  <si>
    <t>ул Молодежная в районе центральной котельной №12</t>
  </si>
  <si>
    <t>2.0630000000</t>
  </si>
  <si>
    <t>с Усманка, от скважины по ул.Молодежная,16 в районе  центральной котельной  №12, _</t>
  </si>
  <si>
    <t>скважина №13</t>
  </si>
  <si>
    <t>23</t>
  </si>
  <si>
    <t>п Акация, ул.Мира, 23</t>
  </si>
  <si>
    <t>Скважина №15/4692а</t>
  </si>
  <si>
    <t>27</t>
  </si>
  <si>
    <t>п Акация, ул.Мира, 27</t>
  </si>
  <si>
    <t>НФС-2, НС-2 подъема (Правый берег)</t>
  </si>
  <si>
    <t>5912.5000000000</t>
  </si>
  <si>
    <t>Правобережная НС, гидроузел "Рудник", НС-3 Рудничного р-на, НС-3 Кировского р-на, ВНС "Лесная поляна", ПНС Боровой</t>
  </si>
  <si>
    <t>Советская</t>
  </si>
  <si>
    <t>567.6464700000</t>
  </si>
  <si>
    <t>420.8364700000</t>
  </si>
  <si>
    <t>83.6000000000</t>
  </si>
  <si>
    <t>26.3800000000</t>
  </si>
  <si>
    <t>15.5700000000</t>
  </si>
  <si>
    <t>21.2600000000</t>
  </si>
  <si>
    <t>Насосная станция 2-ого подъема долина р. Каменушка</t>
  </si>
  <si>
    <t>г Березовский</t>
  </si>
  <si>
    <t>32710000001</t>
  </si>
  <si>
    <t>ул. Н.Барзас</t>
  </si>
  <si>
    <t>180.0000000000</t>
  </si>
  <si>
    <t>120.0000000000</t>
  </si>
  <si>
    <t>01.12.1970</t>
  </si>
  <si>
    <t>аренда</t>
  </si>
  <si>
    <t>https://portal.eias.ru/Portal/DownloadPage.aspx?type=12&amp;guid=1e47cac2-138b-4f0a-8e2d-28ab6d5fc9c4</t>
  </si>
  <si>
    <t>20.06.2002</t>
  </si>
  <si>
    <t>г Березовский, ул. Н.Барзас, нет</t>
  </si>
  <si>
    <t>пгт Верх-Чебула</t>
  </si>
  <si>
    <t>32537000051</t>
  </si>
  <si>
    <t>от скважины №1231 по ул. 40 лет Победы</t>
  </si>
  <si>
    <t>Скважина №1231</t>
  </si>
  <si>
    <t>32537000051.0</t>
  </si>
  <si>
    <t>ул. 40 лет Победы</t>
  </si>
  <si>
    <t>6.1100000000</t>
  </si>
  <si>
    <t>пгт Верх-Чебула, от скважины №1231 по ул. 40 лет Победы, _</t>
  </si>
  <si>
    <t>7.8510000000</t>
  </si>
  <si>
    <t>пгт Верх-Чебула, пгт Верх-Чебула, _</t>
  </si>
  <si>
    <t>НС-3 ж.р. Кедровка [нет]</t>
  </si>
  <si>
    <t>383.2862021858</t>
  </si>
  <si>
    <t>Станция обезжелезивания</t>
  </si>
  <si>
    <t>ул. Павленко</t>
  </si>
  <si>
    <t>ул. Пасова</t>
  </si>
  <si>
    <t>4а</t>
  </si>
  <si>
    <t>пгт Верх-Чебула, ул. Пасова, 4а</t>
  </si>
  <si>
    <t>2"в"</t>
  </si>
  <si>
    <t>д Шестаково, ул Оренбургская, 2"в"</t>
  </si>
  <si>
    <t>п Ленинский</t>
  </si>
  <si>
    <t>32546000261</t>
  </si>
  <si>
    <t>ул.Юбилейная</t>
  </si>
  <si>
    <t>п Ленинский, ул.Юбилейная, 2а</t>
  </si>
  <si>
    <t>Поселковый водозабор</t>
  </si>
  <si>
    <t>пгт Яя</t>
  </si>
  <si>
    <t>32543000051</t>
  </si>
  <si>
    <t>01.12.1900</t>
  </si>
  <si>
    <t>пгт Яя, ул.Юбилейная, 1</t>
  </si>
  <si>
    <t>с Вознесенка</t>
  </si>
  <si>
    <t>32543000261</t>
  </si>
  <si>
    <t>ул. Молодежная</t>
  </si>
  <si>
    <t>около дома №2</t>
  </si>
  <si>
    <t>с Вознесенка, ул. Молодежная, около дома №2</t>
  </si>
  <si>
    <t>ул. Центральная</t>
  </si>
  <si>
    <t>80 метров от дома №18</t>
  </si>
  <si>
    <t>1.1700000000</t>
  </si>
  <si>
    <t>с Вознесенка, ул. Центральная, 80 метров от дома №18</t>
  </si>
  <si>
    <t>Ягуновский водозабор, НС-2 подъема [нет]</t>
  </si>
  <si>
    <t>41.3900000000</t>
  </si>
  <si>
    <t>01.06.2003</t>
  </si>
  <si>
    <t>Сети водоснабжения с. Вознесенка</t>
  </si>
  <si>
    <t>13.0000000000</t>
  </si>
  <si>
    <t>32543000261.0</t>
  </si>
  <si>
    <t>7.0700000000</t>
  </si>
  <si>
    <t>с Вознесенка, -, -</t>
  </si>
  <si>
    <t>Станция подготовки питьевой воды п. Петровский [нет]</t>
  </si>
  <si>
    <t>п. Петровский</t>
  </si>
  <si>
    <t>7.0258424408</t>
  </si>
  <si>
    <t>Станция подготовки питьевой воды п. Петровский</t>
  </si>
  <si>
    <t>г Кемерово, п. Петровский, б/н</t>
  </si>
  <si>
    <t>Сети водоснабжения     д. Усть-Сосновка</t>
  </si>
  <si>
    <t>32546000241.0</t>
  </si>
  <si>
    <t>1.0250000000</t>
  </si>
  <si>
    <t>д Усть-Сосновка, -, -</t>
  </si>
  <si>
    <t>д Кулаково</t>
  </si>
  <si>
    <t>32546000176</t>
  </si>
  <si>
    <t>ул.Животноводов</t>
  </si>
  <si>
    <t>д Кулаково, ул.Животноводов, 1а</t>
  </si>
  <si>
    <t>Скважина №12/4268</t>
  </si>
  <si>
    <t>ул.Бениваленского</t>
  </si>
  <si>
    <t>41а</t>
  </si>
  <si>
    <t>с Поломошное, ул.Бениваленского, 41а</t>
  </si>
  <si>
    <t>42</t>
  </si>
  <si>
    <t>с Поломошное, ул.Центральная, 42</t>
  </si>
  <si>
    <t>НФС-2 НС Пугачёвского водозабора [нет]</t>
  </si>
  <si>
    <t>1791.6000000000</t>
  </si>
  <si>
    <t>303.4157559199</t>
  </si>
  <si>
    <t>01.01.2007</t>
  </si>
  <si>
    <t>Сети водоснабжения     с. Поломошное</t>
  </si>
  <si>
    <t>32546000351.0</t>
  </si>
  <si>
    <t>17.5670000000</t>
  </si>
  <si>
    <t>с Поломошное, -, -</t>
  </si>
  <si>
    <t>Сети водоснабжения д. Ольговка</t>
  </si>
  <si>
    <t>32543000146.0</t>
  </si>
  <si>
    <t>3.4490000000</t>
  </si>
  <si>
    <t>д Сергеевка</t>
  </si>
  <si>
    <t>32543000156</t>
  </si>
  <si>
    <t>0.1200000000</t>
  </si>
  <si>
    <t>д Сергеевка, -, -</t>
  </si>
  <si>
    <t>32537000236.0</t>
  </si>
  <si>
    <t>4.8760000000</t>
  </si>
  <si>
    <t>с Усть-Чебула, с Усть-Чебула, _</t>
  </si>
  <si>
    <t>с Чумай</t>
  </si>
  <si>
    <t>32537000241</t>
  </si>
  <si>
    <t>Скважина №2</t>
  </si>
  <si>
    <t>32537000241.0</t>
  </si>
  <si>
    <t>ул Ленинская</t>
  </si>
  <si>
    <t>125</t>
  </si>
  <si>
    <t>6.4110000000</t>
  </si>
  <si>
    <t>с Чумай, с Чумай, _</t>
  </si>
  <si>
    <t>Сети водоснабжения     п. Яшкинский</t>
  </si>
  <si>
    <t>32546000311.0</t>
  </si>
  <si>
    <t>9.7530000000</t>
  </si>
  <si>
    <t>п Яшкинский, -, -</t>
  </si>
  <si>
    <t>НФС-2 НС руслового водозабора [нет]</t>
  </si>
  <si>
    <t>5000.0000000000</t>
  </si>
  <si>
    <t>865.0941484517</t>
  </si>
  <si>
    <t>61.6800000000</t>
  </si>
  <si>
    <t>01.01.1962</t>
  </si>
  <si>
    <t>д Корчуганово</t>
  </si>
  <si>
    <t>32546000161</t>
  </si>
  <si>
    <t>ул.Клубная</t>
  </si>
  <si>
    <t>2и</t>
  </si>
  <si>
    <t>д Корчуганово, ул.Клубная, 2и</t>
  </si>
  <si>
    <t>Сети водоснабжения     д. Корчуганово</t>
  </si>
  <si>
    <t>32546000161.0</t>
  </si>
  <si>
    <t>1.9500000000</t>
  </si>
  <si>
    <t>д Корчуганово, -, -</t>
  </si>
  <si>
    <t>Петровский водозабор [нет]</t>
  </si>
  <si>
    <t>33.0000000000</t>
  </si>
  <si>
    <t>31.12.1975</t>
  </si>
  <si>
    <t>п.ш. "Южная"</t>
  </si>
  <si>
    <t>г. Березовский</t>
  </si>
  <si>
    <t>63.8000000000</t>
  </si>
  <si>
    <t>Насосная станция №1,2,12 п.ш. "Южная"</t>
  </si>
  <si>
    <t>32710000.0</t>
  </si>
  <si>
    <t>32710000001.0</t>
  </si>
  <si>
    <t>1,2-я НС ул. Таежная, 12-я НС в лесу</t>
  </si>
  <si>
    <t>97.8610000000</t>
  </si>
  <si>
    <t>96.4130000000</t>
  </si>
  <si>
    <t>1.4480000000</t>
  </si>
  <si>
    <t>81.0000000000</t>
  </si>
  <si>
    <t>г Березовский, г. Березовский, нет</t>
  </si>
  <si>
    <t>01.01.1972</t>
  </si>
  <si>
    <t>д Дмитриевка, ул Набережная, 16а</t>
  </si>
  <si>
    <t>32537000156.0</t>
  </si>
  <si>
    <t>ул Воронова</t>
  </si>
  <si>
    <t>3.6940000000</t>
  </si>
  <si>
    <t>п 1-й, п 1-й, _</t>
  </si>
  <si>
    <t>ул.Заречная</t>
  </si>
  <si>
    <t>28.09.202</t>
  </si>
  <si>
    <t>пгт Яшкино, ул.Заречная, 16а</t>
  </si>
  <si>
    <t>ул.Рабочая</t>
  </si>
  <si>
    <t>14б</t>
  </si>
  <si>
    <t>01.01.2004</t>
  </si>
  <si>
    <t>пгт Яшкино, ул.Рабочая, 14б</t>
  </si>
  <si>
    <t>ул.Советская</t>
  </si>
  <si>
    <t>136в</t>
  </si>
  <si>
    <t>пгт Яшкино, ул.Советская, 136в</t>
  </si>
  <si>
    <t>Сети водоснабжения с. Судженка</t>
  </si>
  <si>
    <t>3.3000000000</t>
  </si>
  <si>
    <t>32543000286.0</t>
  </si>
  <si>
    <t>10.5640000000</t>
  </si>
  <si>
    <t>с Судженка, -, -</t>
  </si>
  <si>
    <t>с Улановка</t>
  </si>
  <si>
    <t>32543000291</t>
  </si>
  <si>
    <t>ул. Советская, на въезде в с. Улановка</t>
  </si>
  <si>
    <t>с Улановка, ул. Советская, на въезде в с. Улановка, -</t>
  </si>
  <si>
    <t>ул. Ленина, территория КФХ Цыганков</t>
  </si>
  <si>
    <t>2.2000000000</t>
  </si>
  <si>
    <t>01.01.1976</t>
  </si>
  <si>
    <t>с Улановка, ул. Ленина, территория КФХ Цыганков, -</t>
  </si>
  <si>
    <t>в 800 м (слева) на северо-запад от 261 км автомобильной дороги Новосибирск-Ленинск-Кузнецкий-Кемерово-Юрга</t>
  </si>
  <si>
    <t>65.0000000000</t>
  </si>
  <si>
    <t>45.0000000000</t>
  </si>
  <si>
    <t>15.07.1966</t>
  </si>
  <si>
    <t>в 950 м (справа) на северо-запад от 261 км автомобильной дороги Новосибирск-Ленинск-Кузнецкий-Кемерово-Юрга</t>
  </si>
  <si>
    <t>07.05.1957</t>
  </si>
  <si>
    <t>подкачивающая станция</t>
  </si>
  <si>
    <t>с Усманка, ул Молодежная, 16</t>
  </si>
  <si>
    <t>5в</t>
  </si>
  <si>
    <t>с Усманка, ул Молодежная, 5в</t>
  </si>
  <si>
    <t>д Каленово</t>
  </si>
  <si>
    <t>32546000146</t>
  </si>
  <si>
    <t>д Каленово, ул.Мирная, 2а</t>
  </si>
  <si>
    <t>ул.Строительная</t>
  </si>
  <si>
    <t>д Ботьево, ул.Строительная, 24</t>
  </si>
  <si>
    <t>49</t>
  </si>
  <si>
    <t>д Юрты-Константиновы, ул.Мира, 49</t>
  </si>
  <si>
    <t>ул.Новая</t>
  </si>
  <si>
    <t>с Красноселка, ул.Новая, 2а</t>
  </si>
  <si>
    <t>НС-4 ж.р. Промышленновский [нет]</t>
  </si>
  <si>
    <t>ж.р. Промышленновский, ул. Промшоссе</t>
  </si>
  <si>
    <t>57.7400000000</t>
  </si>
  <si>
    <t>01.10.2014</t>
  </si>
  <si>
    <t>г Кемерово, ж.р. Промышленновский, ул. Промшоссе, б/н</t>
  </si>
  <si>
    <t>ул. Механическая</t>
  </si>
  <si>
    <t>44</t>
  </si>
  <si>
    <t>п.ст Судженка, ул. Механическая, 44</t>
  </si>
  <si>
    <t>Сети водоснабжения п.ст. Судженка</t>
  </si>
  <si>
    <t>1.2000000000</t>
  </si>
  <si>
    <t>32543000231.0</t>
  </si>
  <si>
    <t>11.0870000000</t>
  </si>
  <si>
    <t>п.ст Судженка, -, -</t>
  </si>
  <si>
    <t>п Турат</t>
  </si>
  <si>
    <t>32543000236</t>
  </si>
  <si>
    <t>ул. Лесная</t>
  </si>
  <si>
    <t>п Турат, ул. Лесная, 5</t>
  </si>
  <si>
    <t>ПНС 9 [нет]</t>
  </si>
  <si>
    <t>пр. Октябрьский</t>
  </si>
  <si>
    <t>61</t>
  </si>
  <si>
    <t>7.8500000000</t>
  </si>
  <si>
    <t>71.0400000000</t>
  </si>
  <si>
    <t>01.05.1987</t>
  </si>
  <si>
    <t>г Кемерово, пр. Октябрьский, 61</t>
  </si>
  <si>
    <t>Сети водоснабжения     с. Колмогорово</t>
  </si>
  <si>
    <t>32546000316.0</t>
  </si>
  <si>
    <t>13.2320000000</t>
  </si>
  <si>
    <t>с Колмогорово, -, -</t>
  </si>
  <si>
    <t>Врезки в водопроводну сеть с. Колмогорово</t>
  </si>
  <si>
    <t>уличная</t>
  </si>
  <si>
    <t>2.3920000000</t>
  </si>
  <si>
    <t>Наружние сети водоснабжения         с. Колмогорово</t>
  </si>
  <si>
    <t>пер.Ленинский</t>
  </si>
  <si>
    <t>От дома№6 до участка №9</t>
  </si>
  <si>
    <t>0.2170000000</t>
  </si>
  <si>
    <t>с Колмогорово, пер.Ленинский, От дома№6 до участка №9</t>
  </si>
  <si>
    <t>д Морковкино</t>
  </si>
  <si>
    <t>32546000196</t>
  </si>
  <si>
    <t>д Морковкино, ул.Молодежная, 1а</t>
  </si>
  <si>
    <t>ВОС Поселкового водозабора</t>
  </si>
  <si>
    <t>32543000051.0</t>
  </si>
  <si>
    <t>ПНС Греческая деревня [нет]</t>
  </si>
  <si>
    <t>ж.р. Кедровка, ул. Греческая деревня</t>
  </si>
  <si>
    <t>восточнее дома  №118</t>
  </si>
  <si>
    <t>6.9500000000</t>
  </si>
  <si>
    <t>17.3000000000</t>
  </si>
  <si>
    <t>13.07.2012</t>
  </si>
  <si>
    <t>г Кемерово, ж.р. Кедровка, ул. Греческая деревня, восточнее дома  №118</t>
  </si>
  <si>
    <t>5"г"</t>
  </si>
  <si>
    <t>с Усманка, ул Молодежная, 5"г"</t>
  </si>
  <si>
    <t>НС-3 Рудничного р-на [нет]</t>
  </si>
  <si>
    <t>пер. Бакинский</t>
  </si>
  <si>
    <t>15 А</t>
  </si>
  <si>
    <t>527.9696038251</t>
  </si>
  <si>
    <t>60.3700000000</t>
  </si>
  <si>
    <t>01.03.1980</t>
  </si>
  <si>
    <t>г Кемерово, пер. Бакинский, 15 А</t>
  </si>
  <si>
    <t>Сети водоснабжения     п. Акация</t>
  </si>
  <si>
    <t>32546000251.0</t>
  </si>
  <si>
    <t>10.2970000000</t>
  </si>
  <si>
    <t>п Акация, -, -</t>
  </si>
  <si>
    <t>скважина №3</t>
  </si>
  <si>
    <t>д Зырянка</t>
  </si>
  <si>
    <t>32546000136</t>
  </si>
  <si>
    <t>14а</t>
  </si>
  <si>
    <t>д Зырянка, ул.Центральная, 14а</t>
  </si>
  <si>
    <t>Скважина №3661(1)</t>
  </si>
  <si>
    <t>6а</t>
  </si>
  <si>
    <t>01.01.1977</t>
  </si>
  <si>
    <t>д Зырянка, ул.Юбилейная, 6а</t>
  </si>
  <si>
    <t>Сети водоснабжения     д. Кулаково</t>
  </si>
  <si>
    <t>32546000176.0</t>
  </si>
  <si>
    <t>3.1760000000</t>
  </si>
  <si>
    <t>д Кулаково, -, -</t>
  </si>
  <si>
    <t>ст Тутальская</t>
  </si>
  <si>
    <t>32546000361</t>
  </si>
  <si>
    <t>ул.Линейная</t>
  </si>
  <si>
    <t>39а</t>
  </si>
  <si>
    <t>16.0000000000</t>
  </si>
  <si>
    <t>ст Тутальская, ул.Линейная, 39а</t>
  </si>
  <si>
    <t>Ковшевой водозабор с насосной станцией 1-ого подъема долина р. Барзас</t>
  </si>
  <si>
    <t>860.0000000000</t>
  </si>
  <si>
    <t>231.0000000000</t>
  </si>
  <si>
    <t>водозабор</t>
  </si>
  <si>
    <t>68.0000000000</t>
  </si>
  <si>
    <t>01.12.1990</t>
  </si>
  <si>
    <t>Насосная станция №2 п.ш. "Березовская"</t>
  </si>
  <si>
    <t>76.0000000000</t>
  </si>
  <si>
    <t>46.0000000000</t>
  </si>
  <si>
    <t>01.11.1975</t>
  </si>
  <si>
    <t>Насосная станция №1 п.ш. "Южная"</t>
  </si>
  <si>
    <t>ул. Гвардейская</t>
  </si>
  <si>
    <t>14.7100000000</t>
  </si>
  <si>
    <t>01.09.1966</t>
  </si>
  <si>
    <t>г Березовский, ул. Гвардейская, нет</t>
  </si>
  <si>
    <t>Насосная станция №2 п.ш. "Южная"</t>
  </si>
  <si>
    <t>ул. Калинина</t>
  </si>
  <si>
    <t>39.0000000000</t>
  </si>
  <si>
    <t>01.09.2004</t>
  </si>
  <si>
    <t>г Березовский, ул. Калинина, нет</t>
  </si>
  <si>
    <t>Cети водоснабжения</t>
  </si>
  <si>
    <t>ул. Ленина</t>
  </si>
  <si>
    <t>160а</t>
  </si>
  <si>
    <t>26.8500000000</t>
  </si>
  <si>
    <t>д Покровка</t>
  </si>
  <si>
    <t>32537000146</t>
  </si>
  <si>
    <t>32537000146.0</t>
  </si>
  <si>
    <t>ул. Зеленая</t>
  </si>
  <si>
    <t>2.8070000000</t>
  </si>
  <si>
    <t>д Покровка, д Покровка, _</t>
  </si>
  <si>
    <t>пгт Верх-Чебула, ул. Советская, 8</t>
  </si>
  <si>
    <t>пгт Верх-Чебула, ул. 40 лет Победы, 1"б"</t>
  </si>
  <si>
    <t>Сети водоснабжения     пгт. Яя</t>
  </si>
  <si>
    <t>75.6095000000</t>
  </si>
  <si>
    <t>пгт Яя, -, -</t>
  </si>
  <si>
    <t>с Ишим</t>
  </si>
  <si>
    <t>32543000266</t>
  </si>
  <si>
    <t>ул. Декабристов, на въезде в с. Ишим</t>
  </si>
  <si>
    <t>с Ишим, ул. Декабристов, на въезде в с. Ишим, -</t>
  </si>
  <si>
    <t>Сети водоснабжения с. Ишим</t>
  </si>
  <si>
    <t>32543000266.0</t>
  </si>
  <si>
    <t>9.8900000000</t>
  </si>
  <si>
    <t>с Ишим, -, -</t>
  </si>
  <si>
    <t>с Кайла</t>
  </si>
  <si>
    <t>32543000271</t>
  </si>
  <si>
    <t>10а</t>
  </si>
  <si>
    <t>с Кайла, ул. Центральная, 10а</t>
  </si>
  <si>
    <t>п. Барзас, ст. Барзас</t>
  </si>
  <si>
    <t>43.0000000000</t>
  </si>
  <si>
    <t>5.0900000000</t>
  </si>
  <si>
    <t>артезианские скважины</t>
  </si>
  <si>
    <t>ул. Мира, пер. Восточный, ул. ст. Барзас</t>
  </si>
  <si>
    <t>33.6445000000</t>
  </si>
  <si>
    <t>94.0000000000</t>
  </si>
  <si>
    <t>д Соболинка</t>
  </si>
  <si>
    <t>32543000161</t>
  </si>
  <si>
    <t>ул. Таежная</t>
  </si>
  <si>
    <t>около дома №55</t>
  </si>
  <si>
    <t>0.0500000000</t>
  </si>
  <si>
    <t>д Соболинка, ул. Таежная, около дома №55</t>
  </si>
  <si>
    <t>Насосно-фильтровальная станция (НФС)</t>
  </si>
  <si>
    <t>520.0000000000</t>
  </si>
  <si>
    <t>230.9200000000</t>
  </si>
  <si>
    <t>НФС</t>
  </si>
  <si>
    <t>Артезианская скважина</t>
  </si>
  <si>
    <t>2"д"</t>
  </si>
  <si>
    <t>4.5000000000</t>
  </si>
  <si>
    <t>п 1-й, ул Школьная, 2"д"</t>
  </si>
  <si>
    <t>Сети водоснабжения     ст. Тутальская</t>
  </si>
  <si>
    <t>32546000361.0</t>
  </si>
  <si>
    <t>7.6940000000</t>
  </si>
  <si>
    <t>ст Тутальская, -, -</t>
  </si>
  <si>
    <t>ПНС ул. Антипова [нет]</t>
  </si>
  <si>
    <t>ул. Антипова</t>
  </si>
  <si>
    <t>67.5111566485</t>
  </si>
  <si>
    <t>22.9900000000</t>
  </si>
  <si>
    <t>30.11.2008</t>
  </si>
  <si>
    <t>г Кемерово, ул. Антипова, б/н</t>
  </si>
  <si>
    <t>ПНС 11 ЦТП [нет]</t>
  </si>
  <si>
    <t>ул. Аврора</t>
  </si>
  <si>
    <t>47.2600000000</t>
  </si>
  <si>
    <t>39.5000000000</t>
  </si>
  <si>
    <t>30.08.2004</t>
  </si>
  <si>
    <t>г Кемерово, ул. Аврора, 6</t>
  </si>
  <si>
    <t>Сети водоснабжения д. Сергеевка</t>
  </si>
  <si>
    <t>32543000156.0</t>
  </si>
  <si>
    <t>3.5100000000</t>
  </si>
  <si>
    <t>Сети водоснабжения с. Улановка</t>
  </si>
  <si>
    <t>32543000291.0</t>
  </si>
  <si>
    <t>7.5110000000</t>
  </si>
  <si>
    <t>с Улановка, -, -</t>
  </si>
  <si>
    <t>с Яя-Борик</t>
  </si>
  <si>
    <t>32543000296</t>
  </si>
  <si>
    <t>около дома № 1В</t>
  </si>
  <si>
    <t>1.5600000000</t>
  </si>
  <si>
    <t>с Яя-Борик, ул. Центральная, около дома № 1В</t>
  </si>
  <si>
    <t>Скважина м-н Южный</t>
  </si>
  <si>
    <t>мкр Южный</t>
  </si>
  <si>
    <t>20"к"</t>
  </si>
  <si>
    <t>01.01.1995</t>
  </si>
  <si>
    <t>пгт Верх-Чебула, мкр Южный, 20"к"</t>
  </si>
  <si>
    <t>Скважина №2 в пойме р. Кия</t>
  </si>
  <si>
    <t>с Чумай, ул Ленинская, 125</t>
  </si>
  <si>
    <t>нфс</t>
  </si>
  <si>
    <t>11а</t>
  </si>
  <si>
    <t>пгт Яшкино, ул.Молодежная, 11а</t>
  </si>
  <si>
    <t>д Ботьево, ул.Новая, 15</t>
  </si>
  <si>
    <t>Сети водоснабжения     д. Ботьево</t>
  </si>
  <si>
    <t>32546000111.0</t>
  </si>
  <si>
    <t>7.2300000000</t>
  </si>
  <si>
    <t>д Ботьево, -, -</t>
  </si>
  <si>
    <t>Скважина №4027</t>
  </si>
  <si>
    <t>п Дубровка</t>
  </si>
  <si>
    <t>32546000256</t>
  </si>
  <si>
    <t>28а</t>
  </si>
  <si>
    <t>п Дубровка, ул.Мира, 28а</t>
  </si>
  <si>
    <t>Сети водоснабжения     д. Каленово</t>
  </si>
  <si>
    <t>32546000146.0</t>
  </si>
  <si>
    <t>1.0730000000</t>
  </si>
  <si>
    <t>д Каленово, -, -</t>
  </si>
  <si>
    <t>сети водоснабжения (техническая вода)</t>
  </si>
  <si>
    <t>п Новоивановский 4-й</t>
  </si>
  <si>
    <t>32537000206</t>
  </si>
  <si>
    <t>ул Трактовая</t>
  </si>
  <si>
    <t>1ж</t>
  </si>
  <si>
    <t>32537000206.0</t>
  </si>
  <si>
    <t>ул Садовая</t>
  </si>
  <si>
    <t>1г</t>
  </si>
  <si>
    <t>0.9860000000</t>
  </si>
  <si>
    <t>п Новоивановский 4-й, ул Трактовая, 1ж</t>
  </si>
  <si>
    <t>НС-3 ж.р. Кедровка (подача на ж.р. Промышленновский) [нет]</t>
  </si>
  <si>
    <t>61.6026867031</t>
  </si>
  <si>
    <t>46.3700000000</t>
  </si>
  <si>
    <t>09.04.1996</t>
  </si>
  <si>
    <t>п Новоивановский 3-й</t>
  </si>
  <si>
    <t>32537000201</t>
  </si>
  <si>
    <t>ул Крымская</t>
  </si>
  <si>
    <t>1н</t>
  </si>
  <si>
    <t>32537000201.0</t>
  </si>
  <si>
    <t>0.6060000000</t>
  </si>
  <si>
    <t>п Новоивановский 3-й, ул Крымская, 1н</t>
  </si>
  <si>
    <t>ул.Сибирская</t>
  </si>
  <si>
    <t>пгт Яшкино, ул.Сибирская, 2</t>
  </si>
  <si>
    <t>ул.Солнечная</t>
  </si>
  <si>
    <t>01.01.1987</t>
  </si>
  <si>
    <t>пгт Яшкино, ул.Солнечная, 4а</t>
  </si>
  <si>
    <t>ул.Дружбы народов</t>
  </si>
  <si>
    <t>пгт Яшкино, ул.Дружбы народов, 13а</t>
  </si>
  <si>
    <t>ул.Гагарина</t>
  </si>
  <si>
    <t>п Ленинский, ул.Гагарина, 2а</t>
  </si>
  <si>
    <t>Сети водоснабжения с. Яя-Борик</t>
  </si>
  <si>
    <t>32543000296.0</t>
  </si>
  <si>
    <t>6.1620000000</t>
  </si>
  <si>
    <t>с Яя-Борик, -, -</t>
  </si>
  <si>
    <t>в 1200 м на юг от водонапорной башни в пос.Озеровка по ул.Центральной</t>
  </si>
  <si>
    <t>06.04.1967</t>
  </si>
  <si>
    <t>за придорожной полосой автомобильной дороги Новосибирск-Ленинск-Кузнецкий-Кемерово-Юрга, 259 км+500м(справа)</t>
  </si>
  <si>
    <t>корпус 9</t>
  </si>
  <si>
    <t>24.06.1966</t>
  </si>
  <si>
    <t>п Никитинский</t>
  </si>
  <si>
    <t>32514000256</t>
  </si>
  <si>
    <t>ул. Никитинская</t>
  </si>
  <si>
    <t>2"в" сооружение 1</t>
  </si>
  <si>
    <t>15.11.1994</t>
  </si>
  <si>
    <t>Ягуновский водозабор [нет]</t>
  </si>
  <si>
    <t>139.6958105647</t>
  </si>
  <si>
    <t>Водоподготовительная станция</t>
  </si>
  <si>
    <t>с Ягуново</t>
  </si>
  <si>
    <t>32507000456.0</t>
  </si>
  <si>
    <t>с Николаевка</t>
  </si>
  <si>
    <t>32537000221</t>
  </si>
  <si>
    <t>32537000221.0</t>
  </si>
  <si>
    <t>ул Осипова</t>
  </si>
  <si>
    <t>6.2450000000</t>
  </si>
  <si>
    <t>с Николаевка, с Николаевка, _</t>
  </si>
  <si>
    <t>13"а"</t>
  </si>
  <si>
    <t>с Николаевка, ул Осипова, 13"а"</t>
  </si>
  <si>
    <t>ул.Ленина</t>
  </si>
  <si>
    <t>01.01.2005</t>
  </si>
  <si>
    <t>с Пача, ул.Ленина, 1в</t>
  </si>
  <si>
    <t>Насосная станция №12 п.ш. "Южная"</t>
  </si>
  <si>
    <t>10.0900000000</t>
  </si>
  <si>
    <t>56.0000000000</t>
  </si>
  <si>
    <t>01.02.1992</t>
  </si>
  <si>
    <t>г Березовский, ул. Таежная, нет</t>
  </si>
  <si>
    <t>Скважина №1/4076</t>
  </si>
  <si>
    <t>с Пача, ул.Ленина, 2б</t>
  </si>
  <si>
    <t>Скважина №3/1777</t>
  </si>
  <si>
    <t>с Красноселка, ул.Лесная, 2б</t>
  </si>
  <si>
    <t>Скважина №2/3837</t>
  </si>
  <si>
    <t>1б</t>
  </si>
  <si>
    <t>с Красноселка, ул.Лесная, 1б</t>
  </si>
  <si>
    <t>с Пашково</t>
  </si>
  <si>
    <t>32546000346</t>
  </si>
  <si>
    <t>ул.Зеленая</t>
  </si>
  <si>
    <t>с Пашково, ул.Зеленая, 6а</t>
  </si>
  <si>
    <t>ул. Речная</t>
  </si>
  <si>
    <t>п Турат, ул. Речная, 2</t>
  </si>
  <si>
    <t>Сети водоснабжения п. Турат</t>
  </si>
  <si>
    <t>1.8000000000</t>
  </si>
  <si>
    <t>32543000236.0</t>
  </si>
  <si>
    <t>6.1160000000</t>
  </si>
  <si>
    <t>п Турат, -, -</t>
  </si>
  <si>
    <t>д Арышево</t>
  </si>
  <si>
    <t>32543000106</t>
  </si>
  <si>
    <t>0.2000000000</t>
  </si>
  <si>
    <t>д Арышево, -, -</t>
  </si>
  <si>
    <t>Сети водоснабжения     п. Ленинский</t>
  </si>
  <si>
    <t>32546000261.0</t>
  </si>
  <si>
    <t>6.2680000000</t>
  </si>
  <si>
    <t>п Ленинский, -, -</t>
  </si>
  <si>
    <t>Сети водоснабжения     д. Морковкино</t>
  </si>
  <si>
    <t>32546000196.0</t>
  </si>
  <si>
    <t>1.6360000000</t>
  </si>
  <si>
    <t>д Морковкино, -, -</t>
  </si>
  <si>
    <t>Бывшая деревня Ивановка ул.Лесная</t>
  </si>
  <si>
    <t>д Морковкино, Бывшая деревня Ивановка ул.Лесная, 1г</t>
  </si>
  <si>
    <t>ул.Роза-Люксембург</t>
  </si>
  <si>
    <t>18а</t>
  </si>
  <si>
    <t>2.5000000000</t>
  </si>
  <si>
    <t>0.5000000000</t>
  </si>
  <si>
    <t>с Пашково, ул.Роза-Люксембург, 18а</t>
  </si>
  <si>
    <t>Сети водоснабжения д. Арышево</t>
  </si>
  <si>
    <t>32543000106.0</t>
  </si>
  <si>
    <t>3.4850000000</t>
  </si>
  <si>
    <t>с Усть-Серта</t>
  </si>
  <si>
    <t>32537000231</t>
  </si>
  <si>
    <t>32537000231.0</t>
  </si>
  <si>
    <t>ул Кирова</t>
  </si>
  <si>
    <t>9.3420000000</t>
  </si>
  <si>
    <t>с Усть-Серта, с Усть-Серта, _</t>
  </si>
  <si>
    <t>скважина №6 д.Власково</t>
  </si>
  <si>
    <t>д Власково</t>
  </si>
  <si>
    <t>32546000121</t>
  </si>
  <si>
    <t>ул.Нагорная</t>
  </si>
  <si>
    <t>01.01.1984</t>
  </si>
  <si>
    <t>д Власково, ул.Нагорная, 11а</t>
  </si>
  <si>
    <t>скважина №7 д.Власково</t>
  </si>
  <si>
    <t>01.01.1996</t>
  </si>
  <si>
    <t>д Власково, ул.Центральная, 2а</t>
  </si>
  <si>
    <t>НС-3 Кировского р-на [нет]</t>
  </si>
  <si>
    <t>1250.0000000000</t>
  </si>
  <si>
    <t>703.5878870674</t>
  </si>
  <si>
    <t>д Сосновый Острог</t>
  </si>
  <si>
    <t>32546000236</t>
  </si>
  <si>
    <t>ул.Весенняя</t>
  </si>
  <si>
    <t>0.4000000000</t>
  </si>
  <si>
    <t>д Сосновый Острог, ул.Весенняя, 1а</t>
  </si>
  <si>
    <t>Скважина №20/3671</t>
  </si>
  <si>
    <t>п.ст Литвиново</t>
  </si>
  <si>
    <t>32546000281</t>
  </si>
  <si>
    <t>п.ст Литвиново, ул.Молодежная, 14а</t>
  </si>
  <si>
    <t>ПНС 16 [нет]</t>
  </si>
  <si>
    <t>ул. Волгоградская</t>
  </si>
  <si>
    <t>8 А</t>
  </si>
  <si>
    <t>5.8400000000</t>
  </si>
  <si>
    <t>80.4200000000</t>
  </si>
  <si>
    <t>01.08.1983</t>
  </si>
  <si>
    <t>г Кемерово, ул. Волгоградская, 8 А</t>
  </si>
  <si>
    <t>Скважина №429/2813</t>
  </si>
  <si>
    <t>ул.Октябрьская</t>
  </si>
  <si>
    <t>31а</t>
  </si>
  <si>
    <t>п.ст Литвиново, ул.Октябрьская, 31а</t>
  </si>
  <si>
    <t>Барзасский водоподъем долина р. Барзас (в резерве)</t>
  </si>
  <si>
    <t>249.0000000000</t>
  </si>
  <si>
    <t>92.0000000000</t>
  </si>
  <si>
    <t>п. Барзас</t>
  </si>
  <si>
    <t>ул. Мира, пер. Восточный</t>
  </si>
  <si>
    <t>23.0000000000</t>
  </si>
  <si>
    <t>2.8900000000</t>
  </si>
  <si>
    <t>01.12.1968</t>
  </si>
  <si>
    <t>г Березовский, ул. Мира, пер. Восточный, нет</t>
  </si>
  <si>
    <t>д Орлово-Розово</t>
  </si>
  <si>
    <t>32537000136</t>
  </si>
  <si>
    <t>32537000136.0</t>
  </si>
  <si>
    <t>2.6750000000</t>
  </si>
  <si>
    <t>д Орлово-Розово, д Орлово-Розово, _</t>
  </si>
  <si>
    <t>ул Губернаторская</t>
  </si>
  <si>
    <t>23"а"</t>
  </si>
  <si>
    <t>01.01.2012</t>
  </si>
  <si>
    <t>пгт Верх-Чебула, ул Губернаторская, 23"а"</t>
  </si>
  <si>
    <t>станция повышения давления</t>
  </si>
  <si>
    <t>ул Ленина</t>
  </si>
  <si>
    <t>01.01.2013</t>
  </si>
  <si>
    <t>пгт Верх-Чебула, ул Ленина, 160а</t>
  </si>
  <si>
    <t>ул Зеленая</t>
  </si>
  <si>
    <t>14"а"</t>
  </si>
  <si>
    <t>д Покровка, ул Зеленая, 14"а"</t>
  </si>
  <si>
    <t>НС-2</t>
  </si>
  <si>
    <t>В 150м на север от ж.д. №14 по ул.1-я Осиновка</t>
  </si>
  <si>
    <t>01.01.1955</t>
  </si>
  <si>
    <t>пгт Яшкино, В 150м на север от ж.д. №14 по ул.1-я Осиновка, -</t>
  </si>
  <si>
    <t>д Данковка</t>
  </si>
  <si>
    <t>32543000111</t>
  </si>
  <si>
    <t>д Данковка, ул. Молодежная, -</t>
  </si>
  <si>
    <t>ул. Красная Горка</t>
  </si>
  <si>
    <t>с Кайла, ул. Красная Горка, -</t>
  </si>
  <si>
    <t>Сети водоснабжения с. Кайла</t>
  </si>
  <si>
    <t>32543000271.0</t>
  </si>
  <si>
    <t>7.1300000000</t>
  </si>
  <si>
    <t>с Кайла, -, -</t>
  </si>
  <si>
    <t>с Мальцево</t>
  </si>
  <si>
    <t>32543000276</t>
  </si>
  <si>
    <t>0.1700000000</t>
  </si>
  <si>
    <t>с Мальцево, -, -</t>
  </si>
  <si>
    <t>п. Октябрьский (техническая вода)</t>
  </si>
  <si>
    <t>5.5000000000</t>
  </si>
  <si>
    <t>насосная станция 1</t>
  </si>
  <si>
    <t>НС 1 в лесу</t>
  </si>
  <si>
    <t>технологическая</t>
  </si>
  <si>
    <t>3.1090000000</t>
  </si>
  <si>
    <t>98.0000000000</t>
  </si>
  <si>
    <t>пгт Крапивинский</t>
  </si>
  <si>
    <t>32510000051</t>
  </si>
  <si>
    <t>пгт. Крапивинский</t>
  </si>
  <si>
    <t>корпус 1</t>
  </si>
  <si>
    <t>9600.0000000000</t>
  </si>
  <si>
    <t>2237.0000000000</t>
  </si>
  <si>
    <t>техническая</t>
  </si>
  <si>
    <t>72.0000000000</t>
  </si>
  <si>
    <t>п Новоивановский 2-й</t>
  </si>
  <si>
    <t>32537000196</t>
  </si>
  <si>
    <t>ул Весенняя</t>
  </si>
  <si>
    <t>11н</t>
  </si>
  <si>
    <t>32537000196.0</t>
  </si>
  <si>
    <t>0.4440000000</t>
  </si>
  <si>
    <t>п Новоивановский 2-й, ул Весенняя, 11н</t>
  </si>
  <si>
    <t>Скважина №16/433</t>
  </si>
  <si>
    <t>ул.Больничная</t>
  </si>
  <si>
    <t>7а</t>
  </si>
  <si>
    <t>п.ст Литвиново, ул.Больничная, 7а</t>
  </si>
  <si>
    <t>п.ст Литвиново, ул.Железнодорожная, 17</t>
  </si>
  <si>
    <t>п Октябрьский</t>
  </si>
  <si>
    <t>32546000266</t>
  </si>
  <si>
    <t>п Октябрьский, ул.Октябрьская, 20</t>
  </si>
  <si>
    <t>Сети водоснабжения     п. Октябрьский</t>
  </si>
  <si>
    <t>32546000266.0</t>
  </si>
  <si>
    <t>1.3750000000</t>
  </si>
  <si>
    <t>п Октябрьский, -, -</t>
  </si>
  <si>
    <t>Сети водоснабжения д. Соболинка</t>
  </si>
  <si>
    <t>32543000161.0</t>
  </si>
  <si>
    <t>1.2100000000</t>
  </si>
  <si>
    <t>д Соболинка, -, -</t>
  </si>
  <si>
    <t>п Безлесный</t>
  </si>
  <si>
    <t>32543000176</t>
  </si>
  <si>
    <t>1.4700000000</t>
  </si>
  <si>
    <t>п Безлесный, -, -</t>
  </si>
  <si>
    <t>Скважина п - 1-й</t>
  </si>
  <si>
    <t>ул. Филина</t>
  </si>
  <si>
    <t>2г</t>
  </si>
  <si>
    <t>0.4100000000</t>
  </si>
  <si>
    <t>бесхозное имущество</t>
  </si>
  <si>
    <t>передаточный акт</t>
  </si>
  <si>
    <t>https://portal.eias.ru/Portal/DownloadPage.aspx?type=12&amp;guid=f8ca966d-7520-49d6-a936-854e235aa50b</t>
  </si>
  <si>
    <t>бесхозяйный объект</t>
  </si>
  <si>
    <t>736-п</t>
  </si>
  <si>
    <t>09.11.2022</t>
  </si>
  <si>
    <t>п 1-й, ул. Филина, 2г</t>
  </si>
  <si>
    <t>НС-3</t>
  </si>
  <si>
    <t>ул.Куйбышева</t>
  </si>
  <si>
    <t>9а</t>
  </si>
  <si>
    <t>пгт Яшкино, ул.Куйбышева, 9а</t>
  </si>
  <si>
    <t>Сети водоснабжения     п. Дубровка</t>
  </si>
  <si>
    <t>32546000256.0</t>
  </si>
  <si>
    <t>5.7540000000</t>
  </si>
  <si>
    <t>п Дубровка, -, -</t>
  </si>
  <si>
    <t>п.ст Хопкино</t>
  </si>
  <si>
    <t>32546000291</t>
  </si>
  <si>
    <t>33а</t>
  </si>
  <si>
    <t>п.ст Хопкино, ул.Железнодорожная, 33а</t>
  </si>
  <si>
    <t>Сети водоснабжения     п/ст. Хопкино</t>
  </si>
  <si>
    <t>32546000291.0</t>
  </si>
  <si>
    <t>2.7320000000</t>
  </si>
  <si>
    <t>п.ст Хопкино, -, -</t>
  </si>
  <si>
    <t>с Пача, ул.Ленина, 2г</t>
  </si>
  <si>
    <t>ПНС 17/1 [нет]</t>
  </si>
  <si>
    <t>пр. Московский</t>
  </si>
  <si>
    <t>26.4500000000</t>
  </si>
  <si>
    <t>68.5400000000</t>
  </si>
  <si>
    <t>01.05.1988</t>
  </si>
  <si>
    <t>г Кемерово, пр. Московский, 27</t>
  </si>
  <si>
    <t>Скважина №1/4077</t>
  </si>
  <si>
    <t>с Пача, ул.Ленина, 2в</t>
  </si>
  <si>
    <t>ул.Лесоводов</t>
  </si>
  <si>
    <t>29а</t>
  </si>
  <si>
    <t>пгт Яшкино, ул.Лесоводов, 29а</t>
  </si>
  <si>
    <t>ул.Энтузиастов</t>
  </si>
  <si>
    <t>26а</t>
  </si>
  <si>
    <t>6.3000000000</t>
  </si>
  <si>
    <t>пгт Яшкино, ул.Энтузиастов, 26а</t>
  </si>
  <si>
    <t>Скважина №9/4546</t>
  </si>
  <si>
    <t>ул.Колхозная</t>
  </si>
  <si>
    <t>22а</t>
  </si>
  <si>
    <t>пгт Яшкино, ул.Колхозная, 22а</t>
  </si>
  <si>
    <t>Скважина №8/4422</t>
  </si>
  <si>
    <t>ул.Коллективная</t>
  </si>
  <si>
    <t>34а</t>
  </si>
  <si>
    <t>пгт Яшкино, ул.Коллективная, 34а</t>
  </si>
  <si>
    <t>д Саломатово</t>
  </si>
  <si>
    <t>32546000221</t>
  </si>
  <si>
    <t>д Саломатово, ул.Весенняя, 2а</t>
  </si>
  <si>
    <t>Сети водоснабжения     д. Саломатово</t>
  </si>
  <si>
    <t>32546000221.0</t>
  </si>
  <si>
    <t>4.1350000000</t>
  </si>
  <si>
    <t>д Саломатово, -, -</t>
  </si>
  <si>
    <t>пер.Мирный</t>
  </si>
  <si>
    <t>с Пашково, пер.Мирный, 7а</t>
  </si>
  <si>
    <t>ул.Леонова</t>
  </si>
  <si>
    <t>43</t>
  </si>
  <si>
    <t>01.01.1956</t>
  </si>
  <si>
    <t>с Пашково, ул.Леонова, 43</t>
  </si>
  <si>
    <t>Скважина п - Новоивановский</t>
  </si>
  <si>
    <t>п Новоивановский</t>
  </si>
  <si>
    <t>32537000191</t>
  </si>
  <si>
    <t>6.2500000000</t>
  </si>
  <si>
    <t>https://portal.eias.ru/Portal/DownloadPage.aspx?type=12&amp;guid=8b62a477-99cd-4972-94b5-5e89683290da</t>
  </si>
  <si>
    <t>№369-п</t>
  </si>
  <si>
    <t>01.06.2022</t>
  </si>
  <si>
    <t>п Новоивановский, ул. Школьная, 18</t>
  </si>
  <si>
    <t>2"б"</t>
  </si>
  <si>
    <t>г. Ленинск-Кузнецкий</t>
  </si>
  <si>
    <t>32510000.0</t>
  </si>
  <si>
    <t>32510000051.0</t>
  </si>
  <si>
    <t>555.1600000000</t>
  </si>
  <si>
    <t>292.4000000000</t>
  </si>
  <si>
    <t>52.6000000000</t>
  </si>
  <si>
    <t>37.2500000000</t>
  </si>
  <si>
    <t>132.9100000000</t>
  </si>
  <si>
    <t>79.9000000000</t>
  </si>
  <si>
    <t>ул 60 лет ВЛКСМ</t>
  </si>
  <si>
    <t>19"а"</t>
  </si>
  <si>
    <t>с Усть-Серта, ул 60 лет ВЛКСМ, 19"а"</t>
  </si>
  <si>
    <t>ул Сибирская</t>
  </si>
  <si>
    <t>26"а"</t>
  </si>
  <si>
    <t>с Усть-Серта, ул Сибирская, 26"а"</t>
  </si>
  <si>
    <t>п Чиндатский</t>
  </si>
  <si>
    <t>32543000241</t>
  </si>
  <si>
    <t>ул. Возрождения</t>
  </si>
  <si>
    <t>около дома №13</t>
  </si>
  <si>
    <t>0.1500000000</t>
  </si>
  <si>
    <t>п Чиндатский, ул. Возрождения, около дома №13</t>
  </si>
  <si>
    <t>Сети водоснабжения     д. Власково</t>
  </si>
  <si>
    <t>32546000121.0</t>
  </si>
  <si>
    <t>2.6430000000</t>
  </si>
  <si>
    <t>д Власково, -, -</t>
  </si>
  <si>
    <t>д Нижняя Тайменка</t>
  </si>
  <si>
    <t>32546000206</t>
  </si>
  <si>
    <t>ул.Кирпичная</t>
  </si>
  <si>
    <t>5а</t>
  </si>
  <si>
    <t>д Нижняя Тайменка, ул.Кирпичная, 5а</t>
  </si>
  <si>
    <t>пер.Кедровый</t>
  </si>
  <si>
    <t>1.5000000000</t>
  </si>
  <si>
    <t>с Пашково, пер.Кедровый, 6а</t>
  </si>
  <si>
    <t>Сети водоснабжения     д. Зырянка</t>
  </si>
  <si>
    <t>32546000136.0</t>
  </si>
  <si>
    <t>4.0970000000</t>
  </si>
  <si>
    <t>д Зырянка, -, -</t>
  </si>
  <si>
    <t>Сети водоснабжения     д. Балахнино</t>
  </si>
  <si>
    <t>32546000106.0</t>
  </si>
  <si>
    <t>1.6690000000</t>
  </si>
  <si>
    <t>д Балахнино, -, -</t>
  </si>
  <si>
    <t>Сети водоснабжения п. Чиндатский</t>
  </si>
  <si>
    <t>32543000241.0</t>
  </si>
  <si>
    <t>0.9200000000</t>
  </si>
  <si>
    <t>п Чиндатский, -, -</t>
  </si>
  <si>
    <t>с Бекет</t>
  </si>
  <si>
    <t>32543000251</t>
  </si>
  <si>
    <t>бывший скотный двор</t>
  </si>
  <si>
    <t>0.5700000000</t>
  </si>
  <si>
    <t>с Бекет, бывший скотный двор, -</t>
  </si>
  <si>
    <t>ст. Барзас</t>
  </si>
  <si>
    <t>ул. Станция Барзас</t>
  </si>
  <si>
    <t>01.12.1998</t>
  </si>
  <si>
    <t>г Березовский, ул. Станция Барзас, нет</t>
  </si>
  <si>
    <t>Насосная станция 3-ого подъема</t>
  </si>
  <si>
    <t>ул. Строителей</t>
  </si>
  <si>
    <t>630.0000000000</t>
  </si>
  <si>
    <t>354.3700000000</t>
  </si>
  <si>
    <t>01.12.1971</t>
  </si>
  <si>
    <t>г Березовский, ул. Строителей, 6</t>
  </si>
  <si>
    <t>с Пашково, ул.Коммунистическая, 13а</t>
  </si>
  <si>
    <t>с Пашково, ул.Леонова, 4а</t>
  </si>
  <si>
    <t>Сети водоснабжения д. Данковка</t>
  </si>
  <si>
    <t>32543000111.0</t>
  </si>
  <si>
    <t>3.5700000000</t>
  </si>
  <si>
    <t>д Данковка, -, -</t>
  </si>
  <si>
    <t>Скважина №3588</t>
  </si>
  <si>
    <t>д Емельяновка</t>
  </si>
  <si>
    <t>32543000116</t>
  </si>
  <si>
    <t>за домом 28</t>
  </si>
  <si>
    <t>0.5600000000</t>
  </si>
  <si>
    <t>д Емельяновка, ул. Центральная, за домом 28</t>
  </si>
  <si>
    <t>Сети водоснабжения с. Мальцево</t>
  </si>
  <si>
    <t>32543000276.0</t>
  </si>
  <si>
    <t>2.8500000000</t>
  </si>
  <si>
    <t>1 км автомобильной дороги Крапивинский-Панфилово</t>
  </si>
  <si>
    <t>8000.0000000000</t>
  </si>
  <si>
    <t>8 км автомобильной дороги Крапивинский-Панфилово</t>
  </si>
  <si>
    <t>8600.0000000000</t>
  </si>
  <si>
    <t>Скважина №3662(4750)</t>
  </si>
  <si>
    <t>д Нижняя Тайменка, ул.Центральная, 7а</t>
  </si>
  <si>
    <t>ул.Строителей (АБЗ)</t>
  </si>
  <si>
    <t>п.ст Литвиново, ул.Строителей (АБЗ), 2б</t>
  </si>
  <si>
    <t>Скважина №2382</t>
  </si>
  <si>
    <t>д Литвиново</t>
  </si>
  <si>
    <t>32546000181</t>
  </si>
  <si>
    <t>д Литвиново, ул.Центральная, 5а</t>
  </si>
  <si>
    <t>Сети водоснабжения     п/ст. Литвиново</t>
  </si>
  <si>
    <t>32546000281.0</t>
  </si>
  <si>
    <t>11.9980000000</t>
  </si>
  <si>
    <t>п.ст Литвиново, -, -</t>
  </si>
  <si>
    <t>с Таловка</t>
  </si>
  <si>
    <t>32546000356</t>
  </si>
  <si>
    <t>с Таловка, ул.Молодежная, -</t>
  </si>
  <si>
    <t>ул.Тайгинская</t>
  </si>
  <si>
    <t>01.01.1966</t>
  </si>
  <si>
    <t>с Таловка, ул.Тайгинская, -</t>
  </si>
  <si>
    <t>п Воскресенка (Суровка)</t>
  </si>
  <si>
    <t>32543000181</t>
  </si>
  <si>
    <t>ул. Весенняя</t>
  </si>
  <si>
    <t>п Воскресенка (Суровка), ул. Весенняя, -</t>
  </si>
  <si>
    <t>НФС-2 НС ковшевого водозабора [нет]</t>
  </si>
  <si>
    <t>5671.3300000000</t>
  </si>
  <si>
    <t>35.0000000000</t>
  </si>
  <si>
    <t>01.10.1980</t>
  </si>
  <si>
    <t>ул Центральная 200м на восток от дома №65</t>
  </si>
  <si>
    <t>д Орлово-Розово, ул Центральная 200м на восток от дома №65, _</t>
  </si>
  <si>
    <t>32537000211.0</t>
  </si>
  <si>
    <t>43в</t>
  </si>
  <si>
    <t>5.4610000000</t>
  </si>
  <si>
    <t>с Алчедат, с Алчедат, _</t>
  </si>
  <si>
    <t>Скважина №7/9_54</t>
  </si>
  <si>
    <t>пер. Базарный</t>
  </si>
  <si>
    <t>пгт Яшкино, пер. Базарный, 11а</t>
  </si>
  <si>
    <t>Скважина №12/4627</t>
  </si>
  <si>
    <t>ул.Фестивальная</t>
  </si>
  <si>
    <t>пгт Яшкино, ул.Фестивальная, 7а</t>
  </si>
  <si>
    <t>с Колмогорово, ул.Ленинская, 9а</t>
  </si>
  <si>
    <t>Скважина №3/2865</t>
  </si>
  <si>
    <t>63а</t>
  </si>
  <si>
    <t>01.01.1983</t>
  </si>
  <si>
    <t>с Колмогорово, ул.Мирная, 63а</t>
  </si>
  <si>
    <t>п Демьяновка</t>
  </si>
  <si>
    <t>32514000181</t>
  </si>
  <si>
    <t>пер. Новый</t>
  </si>
  <si>
    <t>18, корпус 8</t>
  </si>
  <si>
    <t>за придорожной полосой автомобильной дороги Новосибирск-Ленинск-Кузнецкий-Кемерово-Юрга, 259 км+500м(справа) корпус 5</t>
  </si>
  <si>
    <t>корпус 5</t>
  </si>
  <si>
    <t>1600.0000000000</t>
  </si>
  <si>
    <t>10.03.1981</t>
  </si>
  <si>
    <t>3а</t>
  </si>
  <si>
    <t>32537000191.0</t>
  </si>
  <si>
    <t>3.8670000000</t>
  </si>
  <si>
    <t>п Новоивановский, ул Трактовая, 3а</t>
  </si>
  <si>
    <t>Буровая водозаборная разведочно-эксплуатационная скважина</t>
  </si>
  <si>
    <t>1"г"</t>
  </si>
  <si>
    <t>01.01.2018</t>
  </si>
  <si>
    <t>п Новоивановский, ул Садовая, 1"г"</t>
  </si>
  <si>
    <t>32537000126.0</t>
  </si>
  <si>
    <t>1.3630000000</t>
  </si>
  <si>
    <t>ул.Шоссейная</t>
  </si>
  <si>
    <t>23б</t>
  </si>
  <si>
    <t>пгт Яшкино, ул.Шоссейная, 23б</t>
  </si>
  <si>
    <t>136г</t>
  </si>
  <si>
    <t>пгт Яшкино, ул.Советская, 136г</t>
  </si>
  <si>
    <t>Сети водоснабжения п. Безлесный</t>
  </si>
  <si>
    <t>32543000176.0</t>
  </si>
  <si>
    <t>6.2430000000</t>
  </si>
  <si>
    <t>Сети водоснабжения п. Воскресенка</t>
  </si>
  <si>
    <t>32543000181.0</t>
  </si>
  <si>
    <t>1.6500000000</t>
  </si>
  <si>
    <t>п Воскресенка (Суровка), -, -</t>
  </si>
  <si>
    <t>Скважина с - Чумай</t>
  </si>
  <si>
    <t>ул. Подгорная</t>
  </si>
  <si>
    <t>с Чумай, ул. Подгорная, 13а</t>
  </si>
  <si>
    <t>НФС-2, НС-2 подъема (Левый берег)</t>
  </si>
  <si>
    <t>7837.5000000000</t>
  </si>
  <si>
    <t>4499.4359061931</t>
  </si>
  <si>
    <t>зона А, зона Б, гидроузел №4, ПНС 9, ПНС 14, ПНС 16, ПНС 17/1, ПНС 17/2, ПНС 19, ПНС 54, ПНС 11 ЦТП, ПНС 52</t>
  </si>
  <si>
    <t>911.4967000000</t>
  </si>
  <si>
    <t>694.4603000000</t>
  </si>
  <si>
    <t>121.7644000000</t>
  </si>
  <si>
    <t>44.7460000000</t>
  </si>
  <si>
    <t>21.5800000000</t>
  </si>
  <si>
    <t>28.9460000000</t>
  </si>
  <si>
    <t>3.6800000000</t>
  </si>
  <si>
    <t>6.5100000000</t>
  </si>
  <si>
    <t>901.3067000000</t>
  </si>
  <si>
    <t>687.9503000000</t>
  </si>
  <si>
    <t>25.2660000000</t>
  </si>
  <si>
    <t>Барзасский водозабор НС 2-го подъема [нет]</t>
  </si>
  <si>
    <t>369.8568989071</t>
  </si>
  <si>
    <t>НС-3 ж.р. Кедровка, НС-4 ж.р. Промышленновский, ПНС Лапичево, ПНС Греческая деревня</t>
  </si>
  <si>
    <t>231.1645000000</t>
  </si>
  <si>
    <t>197.2350000000</t>
  </si>
  <si>
    <t>33.7995000000</t>
  </si>
  <si>
    <t>0.1300000000</t>
  </si>
  <si>
    <t>21.3600000000</t>
  </si>
  <si>
    <t>209.8045000000</t>
  </si>
  <si>
    <t>12.4395000000</t>
  </si>
  <si>
    <t>1 км южнее г Кемерово и 1 км восточнее автодороги Кемерово-Промышленная</t>
  </si>
  <si>
    <t>158.3000000000</t>
  </si>
  <si>
    <t>62.0800000000</t>
  </si>
  <si>
    <t>г Кемерово, 1 км южнее г Кемерово и 1 км восточнее автодороги Кемерово-Промышленная, б/н</t>
  </si>
  <si>
    <t>г Полысаево</t>
  </si>
  <si>
    <t>32514000006</t>
  </si>
  <si>
    <t>г. Полысаево</t>
  </si>
  <si>
    <t>4000.0000000000</t>
  </si>
  <si>
    <t>1150.0000000000</t>
  </si>
  <si>
    <t>32514000.0</t>
  </si>
  <si>
    <t>32514000006.0</t>
  </si>
  <si>
    <t>167.9900000000</t>
  </si>
  <si>
    <t>156.7000000000</t>
  </si>
  <si>
    <t>3.7900000000</t>
  </si>
  <si>
    <t>7.5000000000</t>
  </si>
  <si>
    <t>https://portal.eias.ru/Portal/DownloadPage.aspx?type=12&amp;guid=b5abaa24-f7b1-46b0-816a-a02115bbccbe</t>
  </si>
  <si>
    <t>https://portal.eias.ru/Portal/DownloadPage.aspx?type=12&amp;guid=e2dfbb37-35b0-4f34-be6b-c51be3651fd2</t>
  </si>
  <si>
    <t>Сети водоснабжения     с. Пача</t>
  </si>
  <si>
    <t>32546000341.0</t>
  </si>
  <si>
    <t>12.0700000000</t>
  </si>
  <si>
    <t>с Пача, -, -</t>
  </si>
  <si>
    <t>Врезки в водопроводну сеть с. Пача</t>
  </si>
  <si>
    <t>0.5630000000</t>
  </si>
  <si>
    <t>Сети водоснабжения с. Бекет</t>
  </si>
  <si>
    <t>32543000251.0</t>
  </si>
  <si>
    <t>5.6220000000</t>
  </si>
  <si>
    <t>с Бекет, -, -</t>
  </si>
  <si>
    <t>п. Октябрьский</t>
  </si>
  <si>
    <t>1040.0000000000</t>
  </si>
  <si>
    <t>360.0000000000</t>
  </si>
  <si>
    <t>насосные станции 1,2,3-го подъема, Барзасский подъем</t>
  </si>
  <si>
    <t>3-я НС ул. Строителей, 1, 2-я НС в лесу</t>
  </si>
  <si>
    <t>113.5929100000</t>
  </si>
  <si>
    <t>98.5840100000</t>
  </si>
  <si>
    <t>2.9219000000</t>
  </si>
  <si>
    <t>12.0870000000</t>
  </si>
  <si>
    <t>п.ш. "Березовская"</t>
  </si>
  <si>
    <t>в лесу</t>
  </si>
  <si>
    <t>84.6090000000</t>
  </si>
  <si>
    <t>83.5030000000</t>
  </si>
  <si>
    <t>1.1060000000</t>
  </si>
  <si>
    <t>97.0000000000</t>
  </si>
  <si>
    <t>Водопроводные сети пгт Яшкино</t>
  </si>
  <si>
    <t>Насоосная станция</t>
  </si>
  <si>
    <t>32546000051.0</t>
  </si>
  <si>
    <t>65.1940000000</t>
  </si>
  <si>
    <t>пгт Яшкино, -, -</t>
  </si>
  <si>
    <t>ул. Братьев Сидельниковых</t>
  </si>
  <si>
    <t>д Юрты-Константиновы, ул. Братьев Сидельниковых, 1а</t>
  </si>
  <si>
    <t>ПНС 19 [нет]</t>
  </si>
  <si>
    <t>142 А</t>
  </si>
  <si>
    <t>11.9300000000</t>
  </si>
  <si>
    <t>г Кемерово, пр. Ленина, 142 А</t>
  </si>
  <si>
    <t>Скважина №1174</t>
  </si>
  <si>
    <t>Ближе к двум домам по ул. Советская,1а</t>
  </si>
  <si>
    <t>пгт Верх-Чебула, ул. 40 лет Победы, Ближе к двум домам по ул. Советская,1а</t>
  </si>
  <si>
    <t>Сети водоснабжения     с. Пашково</t>
  </si>
  <si>
    <t>32546000346.0</t>
  </si>
  <si>
    <t>9.3620000000</t>
  </si>
  <si>
    <t>с Пашково, -, -</t>
  </si>
  <si>
    <t>ПНС 54 (не работает) [нет]</t>
  </si>
  <si>
    <t>ул. Сибиряков-Гвардейцев</t>
  </si>
  <si>
    <t>19 А</t>
  </si>
  <si>
    <t>87.0800000000</t>
  </si>
  <si>
    <t>01.12.1980</t>
  </si>
  <si>
    <t>г Кемерово, ул. Сибиряков-Гвардейцев, 19 А</t>
  </si>
  <si>
    <t>ул.Верхняя</t>
  </si>
  <si>
    <t>12б</t>
  </si>
  <si>
    <t>д Северная, ул.Верхняя, 12б</t>
  </si>
  <si>
    <t>Сети водоснабжения д. Емельяновка</t>
  </si>
  <si>
    <t>32543000116.0</t>
  </si>
  <si>
    <t>3.0220000000</t>
  </si>
  <si>
    <t>д Емельяновка, -, -</t>
  </si>
  <si>
    <t>проезд Межквартальный,</t>
  </si>
  <si>
    <t>д.7, строение 2</t>
  </si>
  <si>
    <t>3600.0000000000</t>
  </si>
  <si>
    <t>504.0000000000</t>
  </si>
  <si>
    <t>Насосная пос.Красногорский</t>
  </si>
  <si>
    <t>п Красногорский</t>
  </si>
  <si>
    <t>32514000231</t>
  </si>
  <si>
    <t>ул. Магистральная</t>
  </si>
  <si>
    <t>строение 1</t>
  </si>
  <si>
    <t>200.0000000000</t>
  </si>
  <si>
    <t>33.4000000000</t>
  </si>
  <si>
    <t>п Красногорский, ул. Магистральная, строение 1</t>
  </si>
  <si>
    <t>11"а"</t>
  </si>
  <si>
    <t>с Усть-Серта, ул Кирова, 11"а"</t>
  </si>
  <si>
    <t>32537000121.0</t>
  </si>
  <si>
    <t>8.3930000000</t>
  </si>
  <si>
    <t>д Курск-Смоленка, д Курск-Смоленка, _</t>
  </si>
  <si>
    <t>Сети водоснабжения     д. Нижняя-Тайменка</t>
  </si>
  <si>
    <t>32546000206.0</t>
  </si>
  <si>
    <t>2.4050000000</t>
  </si>
  <si>
    <t>д Нижняя Тайменка, -, -</t>
  </si>
  <si>
    <t>Скважина №8</t>
  </si>
  <si>
    <t>ул.Набережная</t>
  </si>
  <si>
    <t>д Крылово, ул.Набережная, 4а</t>
  </si>
  <si>
    <t>19а</t>
  </si>
  <si>
    <t>д Марьевка, ул. Школьная, 19а</t>
  </si>
  <si>
    <t>ул. Федорова</t>
  </si>
  <si>
    <t>12а</t>
  </si>
  <si>
    <t>1.6000000000</t>
  </si>
  <si>
    <t>д Марьевка, ул. Федорова, 12а</t>
  </si>
  <si>
    <t>напротив дома №11</t>
  </si>
  <si>
    <t>с Новониколаевка, ул. Школьная, напротив дома №11</t>
  </si>
  <si>
    <t>за домом №6</t>
  </si>
  <si>
    <t>0.0100000000</t>
  </si>
  <si>
    <t>с Новониколаевка, ул. Школьная, за домом №6</t>
  </si>
  <si>
    <t>ул. Садовая</t>
  </si>
  <si>
    <t>за домом №1б</t>
  </si>
  <si>
    <t>с Новониколаевка, ул. Садовая, за домом №1б</t>
  </si>
  <si>
    <t>проезд Объездная дорога</t>
  </si>
  <si>
    <t>7500.0000000000</t>
  </si>
  <si>
    <t>пр.Кирова</t>
  </si>
  <si>
    <t>20а</t>
  </si>
  <si>
    <t>400.0000000000</t>
  </si>
  <si>
    <t>Сети водоснабжения     д. Литвиново</t>
  </si>
  <si>
    <t>32546000181.0</t>
  </si>
  <si>
    <t>1.8430000000</t>
  </si>
  <si>
    <t>д Литвиново, -, -</t>
  </si>
  <si>
    <t>Сети водоснабжения     с. Таловка</t>
  </si>
  <si>
    <t>32546000356.0</t>
  </si>
  <si>
    <t>7.2970000000</t>
  </si>
  <si>
    <t>с Таловка, -, -</t>
  </si>
  <si>
    <t>с Таловка, ул.Новая, -</t>
  </si>
  <si>
    <t>п Шахтер, ул.Лесная, 9а</t>
  </si>
  <si>
    <t>п Шахтер, ул.Строительная, 4а</t>
  </si>
  <si>
    <t>п Майский / входило в состав сельского поселения Безлесное Яйского муниципального района</t>
  </si>
  <si>
    <t>32543000196</t>
  </si>
  <si>
    <t>п Майский / входило в состав сельского поселения Безлесное Яйского муниципального района, -, -</t>
  </si>
  <si>
    <t>Сети водоснабжения п. Майский</t>
  </si>
  <si>
    <t>32543000196.0</t>
  </si>
  <si>
    <t>2.9750000000</t>
  </si>
  <si>
    <t>НС-3 Рудничного р-на</t>
  </si>
  <si>
    <t>ПНС 19</t>
  </si>
  <si>
    <t>ПНС 9</t>
  </si>
  <si>
    <t>НФС-2 НС руслового водозабора</t>
  </si>
  <si>
    <t>ПНС Лапичево</t>
  </si>
  <si>
    <t>НФС-2 НС Пугачёвского водозабора</t>
  </si>
  <si>
    <t>420501001.0</t>
  </si>
  <si>
    <t>ПНС Греческая деревня</t>
  </si>
  <si>
    <t>Ягуновский водозабор, НС-2 подъема</t>
  </si>
  <si>
    <t>Ягуновский водозабор</t>
  </si>
  <si>
    <t>Зона А</t>
  </si>
  <si>
    <t>зона А, зона Б, ПНС ул. Грузовая, гидроузел №4, Гидроузел Рудник, ПНС 9, ПНС 14, ПНС 16, ПНС 17/1, ПНС 17/2, ПНС 19, ПНС 54, ПНС 11 ЦТП, ПНС 52</t>
  </si>
  <si>
    <t>932.5607000000</t>
  </si>
  <si>
    <t>710.8323000000</t>
  </si>
  <si>
    <t>126.4564000000</t>
  </si>
  <si>
    <t>922.3707000000</t>
  </si>
  <si>
    <t>704.3223000000</t>
  </si>
  <si>
    <t>ПНС ул. Грузовая</t>
  </si>
  <si>
    <t>ул. Грузовая</t>
  </si>
  <si>
    <t>340.0000000000</t>
  </si>
  <si>
    <t>46.7000000000</t>
  </si>
  <si>
    <t>31.10.2024</t>
  </si>
  <si>
    <t>г Кемерово, ул. Грузовая, -</t>
  </si>
  <si>
    <t>Гидроузел "Рудник"</t>
  </si>
  <si>
    <t>ПНС 54 (не работает)</t>
  </si>
  <si>
    <t>10.5031100000</t>
  </si>
  <si>
    <t>НФС-2 НС ковшевого водозабора</t>
  </si>
  <si>
    <t>НФС-2</t>
  </si>
  <si>
    <t>65.3283700000</t>
  </si>
  <si>
    <t>ПНС 14</t>
  </si>
  <si>
    <t>ПНС 11 ЦТП</t>
  </si>
  <si>
    <t>Правобережная НС</t>
  </si>
  <si>
    <t>ПНС 16</t>
  </si>
  <si>
    <t>НС-3 Кировского р-на</t>
  </si>
  <si>
    <t>ПНС 52</t>
  </si>
  <si>
    <t>НС-3 ж.р. Кедровка</t>
  </si>
  <si>
    <t>ПНС ул. Антипова</t>
  </si>
  <si>
    <t>8.4330000000</t>
  </si>
  <si>
    <t>ПНС 17/1</t>
  </si>
  <si>
    <t>556.1300000000</t>
  </si>
  <si>
    <t>293.3700000000</t>
  </si>
  <si>
    <t>168.4600000000</t>
  </si>
  <si>
    <t>157.1700000000</t>
  </si>
  <si>
    <t>1.5854500000</t>
  </si>
  <si>
    <t>ВНС "Лесная поляна"</t>
  </si>
  <si>
    <t>НС-3 ж.р. Кедровка (подача на ж.р. Кедровка)</t>
  </si>
  <si>
    <t>Зона Б</t>
  </si>
  <si>
    <t>НС-4 ж.р. Промышленновский</t>
  </si>
  <si>
    <t>НС-2 подъема НФС-2</t>
  </si>
  <si>
    <t>Барзасский водозабор НС 2-го подъема</t>
  </si>
  <si>
    <t>231.1705000000</t>
  </si>
  <si>
    <t>197.2410000000</t>
  </si>
  <si>
    <t>209.8105000000</t>
  </si>
  <si>
    <t>Ягуновский водозабор НС-2 подъема</t>
  </si>
  <si>
    <t>32.7805000000</t>
  </si>
  <si>
    <t>32.5305000000</t>
  </si>
  <si>
    <t>589.7034700000</t>
  </si>
  <si>
    <t>440.6694700000</t>
  </si>
  <si>
    <t>85.8240000000</t>
  </si>
  <si>
    <t>6.4560000000</t>
  </si>
  <si>
    <t>ПНС 17/2</t>
  </si>
  <si>
    <t>НС-2 Петровский водозабор</t>
  </si>
  <si>
    <t>ПНС Боровой</t>
  </si>
  <si>
    <t>НС-2 на д. Петровка</t>
  </si>
  <si>
    <t>1.7900000000</t>
  </si>
  <si>
    <t>30.09.2023</t>
  </si>
  <si>
    <t>Гидроузел №4</t>
  </si>
  <si>
    <t>НС-3 ж.р. Кедровка (подача на ж.р. Промышленновский)</t>
  </si>
  <si>
    <t>5.6436000000</t>
  </si>
  <si>
    <t>sce:REESTR.VOTV.SOURCE.2025</t>
  </si>
  <si>
    <t>КНС-4 (ОСК-1)</t>
  </si>
  <si>
    <t>территория ОСК-1</t>
  </si>
  <si>
    <t>833.3000000000</t>
  </si>
  <si>
    <t>217.1300000000</t>
  </si>
  <si>
    <t>низковольтная КНС</t>
  </si>
  <si>
    <t>16.9000000000</t>
  </si>
  <si>
    <t>31.08.2010</t>
  </si>
  <si>
    <t>частная собственность</t>
  </si>
  <si>
    <t>https://portal.eias.ru/Portal/DownloadPage.aspx?type=12&amp;guid=e30434a9-75c5-4e4a-a328-10c2ac837f12</t>
  </si>
  <si>
    <t>6-14-14</t>
  </si>
  <si>
    <t>01.01.2014</t>
  </si>
  <si>
    <t>г Кемерово, территория ОСК-1, б/н</t>
  </si>
  <si>
    <t>Канализационная насосная станция №1</t>
  </si>
  <si>
    <t>пр-кт. Ленина</t>
  </si>
  <si>
    <t>28</t>
  </si>
  <si>
    <t>57.8000000000</t>
  </si>
  <si>
    <t>01.12.1976</t>
  </si>
  <si>
    <t>без номера</t>
  </si>
  <si>
    <t>г Березовский, пр-кт. Ленина, 28</t>
  </si>
  <si>
    <t>ул. Лесокомбинатовская</t>
  </si>
  <si>
    <t>югозападнее дома №36</t>
  </si>
  <si>
    <t>5197.5329007286</t>
  </si>
  <si>
    <t>высоковольтная КНС</t>
  </si>
  <si>
    <t>43.3300000000</t>
  </si>
  <si>
    <t>01.01.1964</t>
  </si>
  <si>
    <t>г Кемерово, ул. Лесокомбинатовская, югозападнее дома №36</t>
  </si>
  <si>
    <t>КНС (п. Комиссарово)</t>
  </si>
  <si>
    <t>п. Комиссарово</t>
  </si>
  <si>
    <t>7.9400000000</t>
  </si>
  <si>
    <t>31.10.2006</t>
  </si>
  <si>
    <t>г Кемерово, п. Комиссарово, б/н</t>
  </si>
  <si>
    <t>Канализационная насосная станция №7</t>
  </si>
  <si>
    <t>01.12.1959</t>
  </si>
  <si>
    <t>г Березовский, ул. Школьная, б/н</t>
  </si>
  <si>
    <t>КНС 1 Б "Лесная поляна"</t>
  </si>
  <si>
    <t>город-спутник "Лесная поляна"</t>
  </si>
  <si>
    <t>37.1983151184</t>
  </si>
  <si>
    <t>8.4000000000</t>
  </si>
  <si>
    <t>01.11.2001</t>
  </si>
  <si>
    <t>г Кемерово, город-спутник "Лесная поляна", б/н</t>
  </si>
  <si>
    <t>ОСК-2 (Правобережные)</t>
  </si>
  <si>
    <t>Кировский р-он, ул. 40 лет Октября</t>
  </si>
  <si>
    <t>1666.6666666667</t>
  </si>
  <si>
    <t>595.1548269581</t>
  </si>
  <si>
    <t>г Кемерово, Кировский р-он, ул. 40 лет Октября, б/н</t>
  </si>
  <si>
    <t>КНС 1 А "Лесная поляна"</t>
  </si>
  <si>
    <t>416.6000000000</t>
  </si>
  <si>
    <t>153.4727914390</t>
  </si>
  <si>
    <t>30.09.2008</t>
  </si>
  <si>
    <t>900.0000000000</t>
  </si>
  <si>
    <t>865.0000000000</t>
  </si>
  <si>
    <t>Главная насосная станция</t>
  </si>
  <si>
    <t>32514000001.0</t>
  </si>
  <si>
    <t>89.0000000000</t>
  </si>
  <si>
    <t>220.0000000000</t>
  </si>
  <si>
    <t>ул. Молодогвардейцев</t>
  </si>
  <si>
    <t>32</t>
  </si>
  <si>
    <t>КНС "Зелёный остров"</t>
  </si>
  <si>
    <t>Зелёный остров, ул. Хрустальная</t>
  </si>
  <si>
    <t>72</t>
  </si>
  <si>
    <t>29.1600000000</t>
  </si>
  <si>
    <t>24.4800000000</t>
  </si>
  <si>
    <t>31.12.1997</t>
  </si>
  <si>
    <t>безвозмездное пользование</t>
  </si>
  <si>
    <t>27.10.2010</t>
  </si>
  <si>
    <t>г Кемерово, Зелёный остров, ул. Хрустальная, 72</t>
  </si>
  <si>
    <t>КНС-2 ПНИ ж.р. Кедровка</t>
  </si>
  <si>
    <t>ж.р. Кедровка ул. Уньга</t>
  </si>
  <si>
    <t>292.7000000000</t>
  </si>
  <si>
    <t>22.0000000000</t>
  </si>
  <si>
    <t>08.01.1998</t>
  </si>
  <si>
    <t>г Кемерово, ж.р. Кедровка ул. Уньга, б/н</t>
  </si>
  <si>
    <t>КНС-1 хоз-быт Кедровка</t>
  </si>
  <si>
    <t>ж.р. Кедровка, ул. Подгорная</t>
  </si>
  <si>
    <t>159.0700000000</t>
  </si>
  <si>
    <t>г Кемерово, ж.р. Кедровка, ул. Подгорная, б/н</t>
  </si>
  <si>
    <t>КНС-3 ж.р. Промышленновский</t>
  </si>
  <si>
    <t>в р-не доиа №66</t>
  </si>
  <si>
    <t>250.0000000000</t>
  </si>
  <si>
    <t>151.8500000000</t>
  </si>
  <si>
    <t>22.4500000000</t>
  </si>
  <si>
    <t>31.01.2011</t>
  </si>
  <si>
    <t>г Кемерово, ж.р. Промышленновский, ул. Промшоссе, в р-не доиа №66</t>
  </si>
  <si>
    <t>КНС-4 ул. Беломорская (ж.р. Промышленновский)</t>
  </si>
  <si>
    <t>ж.р. Промышленновский, ул. Беломорская</t>
  </si>
  <si>
    <t>17.6800000000</t>
  </si>
  <si>
    <t>21.5000000000</t>
  </si>
  <si>
    <t>г Кемерово, ж.р. Промышленновский, ул. Беломорская, б/н</t>
  </si>
  <si>
    <t>1041.6700000000</t>
  </si>
  <si>
    <t>331.1800000000</t>
  </si>
  <si>
    <t>КНС-1, КНС-2, КНС-3, КНС-4, КНС-5</t>
  </si>
  <si>
    <t>г Березовский, г. Березовский, б/н</t>
  </si>
  <si>
    <t>ул. Крупской</t>
  </si>
  <si>
    <t>4.9000000000</t>
  </si>
  <si>
    <t>КНС 2/6</t>
  </si>
  <si>
    <t>ул. 3-я Заречная</t>
  </si>
  <si>
    <t>№54</t>
  </si>
  <si>
    <t>5500.0000000000</t>
  </si>
  <si>
    <t>4670.9774590164</t>
  </si>
  <si>
    <t>57.5000000000</t>
  </si>
  <si>
    <t>01.12.1986</t>
  </si>
  <si>
    <t>г Кемерово, ул. 3-я Заречная, №54</t>
  </si>
  <si>
    <t>ул. Победы</t>
  </si>
  <si>
    <t>25.8000000000</t>
  </si>
  <si>
    <t>1.4000000000</t>
  </si>
  <si>
    <t>01.01.2008</t>
  </si>
  <si>
    <t>700.0000000000</t>
  </si>
  <si>
    <t>300.0000000000</t>
  </si>
  <si>
    <t>ул. Восточная</t>
  </si>
  <si>
    <t>пгт Верх-Чебула, пгт Верх-Чебула, б/н</t>
  </si>
  <si>
    <t>Сети канализации пгт. Яя</t>
  </si>
  <si>
    <t>29.1700000000</t>
  </si>
  <si>
    <t>29.2000000000</t>
  </si>
  <si>
    <t>90.0000000000</t>
  </si>
  <si>
    <t>КНС ул. Чехова</t>
  </si>
  <si>
    <t>ул. Чехова</t>
  </si>
  <si>
    <t>14.6000000000</t>
  </si>
  <si>
    <t>01.01.2019</t>
  </si>
  <si>
    <t>пгт Яя, ул. Чехова, -</t>
  </si>
  <si>
    <t>КНС ул. Восточная</t>
  </si>
  <si>
    <t>24.0000000000</t>
  </si>
  <si>
    <t>01.01.2016</t>
  </si>
  <si>
    <t>пгт Яя, ул. Восточная, -</t>
  </si>
  <si>
    <t>75.9000000000</t>
  </si>
  <si>
    <t>38.3100000000</t>
  </si>
  <si>
    <t>КНС-6, КНС-7, КНС-8</t>
  </si>
  <si>
    <t>КНС (на территории НПО "Прогресс")</t>
  </si>
  <si>
    <t>территория НПО "Прогресс"</t>
  </si>
  <si>
    <t>1666.6000000000</t>
  </si>
  <si>
    <t>753.8500000000</t>
  </si>
  <si>
    <t>47.3700000000</t>
  </si>
  <si>
    <t>01.06.1973</t>
  </si>
  <si>
    <t>г Кемерово, территория НПО "Прогресс", б/н</t>
  </si>
  <si>
    <t>79.1700000000</t>
  </si>
  <si>
    <t>31.1800000000</t>
  </si>
  <si>
    <t>410.0000000000</t>
  </si>
  <si>
    <t>01.01.1998</t>
  </si>
  <si>
    <t>пгт Верх-Чебула, ул. Восточная, б/н</t>
  </si>
  <si>
    <t>КНС №2</t>
  </si>
  <si>
    <t>ул. Октябрьская</t>
  </si>
  <si>
    <t>7.0000000000</t>
  </si>
  <si>
    <t>01.01.2010</t>
  </si>
  <si>
    <t>пгт Верх-Чебула, ул. Октябрьская, б/н</t>
  </si>
  <si>
    <t>КНС ул. Ленинградская</t>
  </si>
  <si>
    <t>ул. Ленинградская</t>
  </si>
  <si>
    <t>01.01.2017</t>
  </si>
  <si>
    <t>пгт Яя, ул. Ленинградская, -</t>
  </si>
  <si>
    <t>Канализационная насосная станция №8</t>
  </si>
  <si>
    <t>ул. Фрунзе</t>
  </si>
  <si>
    <t>160.0000000000</t>
  </si>
  <si>
    <t>01.12.1972</t>
  </si>
  <si>
    <t>г Березовский, ул. Фрунзе, б/н</t>
  </si>
  <si>
    <t>КНС-5 ул. Брюханова ж.р.Кедровка</t>
  </si>
  <si>
    <t>ул. Брюханова ж.р.Кедровка</t>
  </si>
  <si>
    <t>1.2500000000</t>
  </si>
  <si>
    <t>10.03.2016</t>
  </si>
  <si>
    <t>г Кемерово, ул. Брюханова ж.р.Кедровка, -</t>
  </si>
  <si>
    <t>КНС 68 квартал</t>
  </si>
  <si>
    <t>г. Кемерово, пр-т Комсомольский</t>
  </si>
  <si>
    <t>183.0000000000</t>
  </si>
  <si>
    <t>19.2200000000</t>
  </si>
  <si>
    <t>01.01.2015</t>
  </si>
  <si>
    <t>г Кемерово, г. Кемерово, пр-т Комсомольский, -</t>
  </si>
  <si>
    <t>КНС ул. Суворова</t>
  </si>
  <si>
    <t>г. Кемерово, ул. Суворова</t>
  </si>
  <si>
    <t>3.3900000000</t>
  </si>
  <si>
    <t>г Кемерово, г. Кемерово, ул. Суворова, 12</t>
  </si>
  <si>
    <t>ул. Пирогова</t>
  </si>
  <si>
    <t>9"6"</t>
  </si>
  <si>
    <t>74.0000000000</t>
  </si>
  <si>
    <t>ул. Чекалина</t>
  </si>
  <si>
    <t>9"б"</t>
  </si>
  <si>
    <t>500.0000000000</t>
  </si>
  <si>
    <t>78.0000000000</t>
  </si>
  <si>
    <t>ул. Шилина</t>
  </si>
  <si>
    <t>73.0000000000</t>
  </si>
  <si>
    <t>ул. Абая</t>
  </si>
  <si>
    <t>3"а"</t>
  </si>
  <si>
    <t>КНС-2 ж.р. Лесная поляна</t>
  </si>
  <si>
    <t>город Кемерово, ж.р. Лесная поляна, б-р Осенний</t>
  </si>
  <si>
    <t>здание КНС 2</t>
  </si>
  <si>
    <t>14.0000000000</t>
  </si>
  <si>
    <t>15.05.2020</t>
  </si>
  <si>
    <t>https://portal.eias.ru/Portal/DownloadPage.aspx?type=12&amp;guid=a4021adc-81ff-4fd6-916f-c84c6d5471b1</t>
  </si>
  <si>
    <t>собственность</t>
  </si>
  <si>
    <t>КНС-2/2020</t>
  </si>
  <si>
    <t>г Кемерово, город Кемерово, ж.р. Лесная поляна, б-р Осенний, здание КНС 2</t>
  </si>
  <si>
    <t>КНС-1</t>
  </si>
  <si>
    <t>ул.Ворошилова</t>
  </si>
  <si>
    <t>3"б"</t>
  </si>
  <si>
    <t>85.0000000000</t>
  </si>
  <si>
    <t>пгт Яшкино, ул.Ворошилова, 3"б"</t>
  </si>
  <si>
    <t>КНС-2</t>
  </si>
  <si>
    <t>В 500м на северо-восток от жилого д.44 по ул.Ленинская</t>
  </si>
  <si>
    <t>пгт Яшкино, В 500м на северо-восток от жилого д.44 по ул.Ленинская, -</t>
  </si>
  <si>
    <t>КНС Иртыш-Эко-2-ПФ (г/у Рудник)</t>
  </si>
  <si>
    <t>город Кемерово, проспект Кузбасский</t>
  </si>
  <si>
    <t>0.1400000000</t>
  </si>
  <si>
    <t>г Кемерово, город Кемерово, проспект Кузбасский, 6</t>
  </si>
  <si>
    <t>Модульная канализационная станция, г. Кемерово, ж.р. Кедровка, котельная №8</t>
  </si>
  <si>
    <t>г. Кемерово, ж.р. Кедровка</t>
  </si>
  <si>
    <t>31.10.2019</t>
  </si>
  <si>
    <t>собственное имущество</t>
  </si>
  <si>
    <t>https://portal.eias.ru/Portal/DownloadPage.aspx?type=12&amp;guid=2fd08668-5d20-4e8a-be76-f94378e354a9</t>
  </si>
  <si>
    <t>акт приёма-передачи</t>
  </si>
  <si>
    <t>003882</t>
  </si>
  <si>
    <t>г Кемерово, г. Кемерово, ж.р. Кедровка, -</t>
  </si>
  <si>
    <t>КНС ж.к. "5 Звезд"</t>
  </si>
  <si>
    <t>г. Кемерово, пр. Химиков</t>
  </si>
  <si>
    <t>8А</t>
  </si>
  <si>
    <t>12.5000000000</t>
  </si>
  <si>
    <t>2.2500000000</t>
  </si>
  <si>
    <t>https://portal.eias.ru/Portal/DownloadPage.aspx?type=12&amp;guid=1b4d0d23-faa0-45fe-8406-9b3b4b0d3b55</t>
  </si>
  <si>
    <t>г Кемерово, г. Кемерово, пр. Химиков, 8А</t>
  </si>
  <si>
    <t>270 "б"</t>
  </si>
  <si>
    <t>77.0000000000</t>
  </si>
  <si>
    <t>ул. Вокзальная</t>
  </si>
  <si>
    <t>28"б"</t>
  </si>
  <si>
    <t>Канализационная насосная станция №4</t>
  </si>
  <si>
    <t>ул. Энтузиастов</t>
  </si>
  <si>
    <t>01.01.1994</t>
  </si>
  <si>
    <t>г Березовский, ул. Энтузиастов, б/н</t>
  </si>
  <si>
    <t>ул. Топкинская</t>
  </si>
  <si>
    <t>01.01.2000</t>
  </si>
  <si>
    <t>КНС-3</t>
  </si>
  <si>
    <t>ул.Сосновая</t>
  </si>
  <si>
    <t>пгт Яшкино, ул.Сосновая, 2"а"</t>
  </si>
  <si>
    <t>КНС-4</t>
  </si>
  <si>
    <t>в 300м на северо-восток от жилого дома 13 по ул.Полевая</t>
  </si>
  <si>
    <t>пгт Яшкино, в 300м на северо-восток от жилого дома 13 по ул.Полевая, -</t>
  </si>
  <si>
    <t>Сети канализации п. Акация</t>
  </si>
  <si>
    <t>КНС просп. В.В.Михайлова, 5б, Лесная поляна (в резерве)</t>
  </si>
  <si>
    <t>г. Кемерово, ж.р. Лесная поляна, пр. В.В.Михайлова</t>
  </si>
  <si>
    <t>5Б</t>
  </si>
  <si>
    <t>01.01.2020</t>
  </si>
  <si>
    <t>https://portal.eias.ru/Portal/DownloadPage.aspx?type=12&amp;guid=06faf915-b456-4a6c-90ff-4b7134076442</t>
  </si>
  <si>
    <t>г Кемерово, г. Кемерово, ж.р. Лесная поляна, пр. В.В.Михайлова, 5Б</t>
  </si>
  <si>
    <t>КНС просп. В.В. Михайлова, 3, Лесная поляна</t>
  </si>
  <si>
    <t>22.5000000000</t>
  </si>
  <si>
    <t>1.8300000000</t>
  </si>
  <si>
    <t>г Кемерово, г. Кемерово, ж.р. Лесная поляна, пр. В.В.Михайлова, 3</t>
  </si>
  <si>
    <t>КНС № 3 жилой район Лесная Поляна, 400 м юго-западнее бульв. Солнечный</t>
  </si>
  <si>
    <t>ж.р. Лесная Поляна, 400 м юго-западнее бульв. Солнечный</t>
  </si>
  <si>
    <t>720.0000000000</t>
  </si>
  <si>
    <t>87.5000000000</t>
  </si>
  <si>
    <t>01.01.2021</t>
  </si>
  <si>
    <t>г Кемерово, ж.р. Лесная Поляна, 400 м юго-западнее бульв. Солнечный, -</t>
  </si>
  <si>
    <t>ОСК-1 (Левобережные)</t>
  </si>
  <si>
    <t>заводский р-он, северовосток левобережной части</t>
  </si>
  <si>
    <t>10416.6000000000</t>
  </si>
  <si>
    <t>5338.8126138434</t>
  </si>
  <si>
    <t>КНС-4, КНС (п. Комиссарово), КНС-2 (Ягуновка), КНС-3 (Ягуновка), КНС 2 (Рудник), КНС 3 (Рудник), КНС-4 (Рудник), КНС (Мартемьянова), КНС (ул. Кедровская), КНС 1 ("Лесная поляна"), КНС 1 А ("Лесная поляна"), КНС 1 Б ("Лесная поляна"), КНС "Зеленый остров"</t>
  </si>
  <si>
    <t>53.0000000000</t>
  </si>
  <si>
    <t>г Кемерово, заводский р-он, северовосток левобережной части, б/н</t>
  </si>
  <si>
    <t>4166.6000000000</t>
  </si>
  <si>
    <t>ГНС ОСК-2, КНС на территории НПО "Прогресс"</t>
  </si>
  <si>
    <t>территория ПО Прогресс</t>
  </si>
  <si>
    <t>ОСК-3 (Кедровка)</t>
  </si>
  <si>
    <t>ж.р. Кедровка, ул. Чесноковская</t>
  </si>
  <si>
    <t>327.6434426230</t>
  </si>
  <si>
    <t>КНС-4 ул. Беломорская, КНС-3 "Промышленонский", КНС-2 "ПНИ" ж.р. Кедровка, КНС-1 "Хоз.быт" ж.р. Кедровка</t>
  </si>
  <si>
    <t>г Кемерово, ж.р. Кедровка, ул. Чесноковская, б/н</t>
  </si>
  <si>
    <t>37.5000000000</t>
  </si>
  <si>
    <t>КНС (ул. Волгоградская, 44) (ИТК-40)</t>
  </si>
  <si>
    <t>КНС с сетями</t>
  </si>
  <si>
    <t>Ленинский р-он, ул. Волгоградская</t>
  </si>
  <si>
    <t>15.03.1979</t>
  </si>
  <si>
    <t>91.0000000000</t>
  </si>
  <si>
    <t>г Кемерово, Ленинский р-он, ул. Волгоградская, 44</t>
  </si>
  <si>
    <t>Камера гашения по ул. Волгоградская, 45 канализационного коллектора Ду-1000мм [камера гашения по ул. Волгоградская ,45]</t>
  </si>
  <si>
    <t>45</t>
  </si>
  <si>
    <t>78.1000000000</t>
  </si>
  <si>
    <t>г Кемерово, ул. Волгоградская, 45</t>
  </si>
  <si>
    <t>КНС с.Колмогорово</t>
  </si>
  <si>
    <t>Сети канализации п.Ленинский</t>
  </si>
  <si>
    <t>Канализационная насосная станция №2</t>
  </si>
  <si>
    <t>ул. Промышленная</t>
  </si>
  <si>
    <t>80.8900000000</t>
  </si>
  <si>
    <t>01.07.1986</t>
  </si>
  <si>
    <t>г Березовский, ул. Промышленная, 9</t>
  </si>
  <si>
    <t>Канализационная насосная станция №3</t>
  </si>
  <si>
    <t>б-р. Молодежный</t>
  </si>
  <si>
    <t>21.8900000000</t>
  </si>
  <si>
    <t>01.12.1987</t>
  </si>
  <si>
    <t>г Березовский, б-р. Молодежный, 11</t>
  </si>
  <si>
    <t>Сети канализации п.ст.Литвиново</t>
  </si>
  <si>
    <t>КНС 3 (Рудник)</t>
  </si>
  <si>
    <t>ул. О. Кошевого</t>
  </si>
  <si>
    <t>25.1300000000</t>
  </si>
  <si>
    <t>58.6300000000</t>
  </si>
  <si>
    <t>01.06.1998</t>
  </si>
  <si>
    <t>г Кемерово, ул. О. Кошевого, б/н</t>
  </si>
  <si>
    <t>Сети канализации с.Пача</t>
  </si>
  <si>
    <t>ПОС п.ш. "Южная"</t>
  </si>
  <si>
    <t>ул. А.Лужбина</t>
  </si>
  <si>
    <t>г Березовский, ул. А.Лужбина, б/н</t>
  </si>
  <si>
    <t>32 стр.1</t>
  </si>
  <si>
    <t>648.0000000000</t>
  </si>
  <si>
    <t>127.3000000000</t>
  </si>
  <si>
    <t>На северо-востоке в 218 метрах от угла дома №30 по ул. Молодогвардейцев</t>
  </si>
  <si>
    <t>5.4000000000</t>
  </si>
  <si>
    <t>Сети канализации с.Поломошное</t>
  </si>
  <si>
    <t>Сети канализации пгт.Яшкино</t>
  </si>
  <si>
    <t>ГОС</t>
  </si>
  <si>
    <t>ул. На площадке Очистные сооружения</t>
  </si>
  <si>
    <t>на площадке очистных сооружений</t>
  </si>
  <si>
    <t>г Березовский, ул. На площадке Очистные сооружения, б/н</t>
  </si>
  <si>
    <t>ул. Абрамцева</t>
  </si>
  <si>
    <t>12.0000000000</t>
  </si>
  <si>
    <t>7291.6666666667</t>
  </si>
  <si>
    <t>61.0000000000</t>
  </si>
  <si>
    <t>ул. Тверская</t>
  </si>
  <si>
    <t>70</t>
  </si>
  <si>
    <t>695.0000000000</t>
  </si>
  <si>
    <t>79.0000000000</t>
  </si>
  <si>
    <t>КНС 2 (Ягуновка)</t>
  </si>
  <si>
    <t>п. Комиссарово, ул. Центральная</t>
  </si>
  <si>
    <t>145.8000000000</t>
  </si>
  <si>
    <t>93.3463114754</t>
  </si>
  <si>
    <t>5.4500000000</t>
  </si>
  <si>
    <t>29.05.2014</t>
  </si>
  <si>
    <t>г Кемерово, п. Комиссарово, ул. Центральная, б/н</t>
  </si>
  <si>
    <t>На северо-запад в 58 метрах от не жилого здания по ул. Юргинская</t>
  </si>
  <si>
    <t>4/3</t>
  </si>
  <si>
    <t>ул. Широкая</t>
  </si>
  <si>
    <t>33</t>
  </si>
  <si>
    <t>КНС 2 (Рудник)</t>
  </si>
  <si>
    <t>ул. Узкоколейная</t>
  </si>
  <si>
    <t>№1 А</t>
  </si>
  <si>
    <t>1.0600000000</t>
  </si>
  <si>
    <t>59.1500000000</t>
  </si>
  <si>
    <t>г Кемерово, ул. Узкоколейная, №1 А</t>
  </si>
  <si>
    <t>Сети канализации п. Яшкинский</t>
  </si>
  <si>
    <t>Сети канализации д.Ботьево</t>
  </si>
  <si>
    <t>КНС 1</t>
  </si>
  <si>
    <t>пр-т Советский</t>
  </si>
  <si>
    <t>№70</t>
  </si>
  <si>
    <t>1189.4217896175</t>
  </si>
  <si>
    <t>г Кемерово, пр-т Советский, №70</t>
  </si>
  <si>
    <t>КНС 3 (Ягуновка), законсервирована</t>
  </si>
  <si>
    <t>п. Пионер, ул. Ирбитская</t>
  </si>
  <si>
    <t>112.5000000000</t>
  </si>
  <si>
    <t>г Кемерово, п. Пионер, ул. Ирбитская, б/н</t>
  </si>
  <si>
    <t>КНС (ул. Кедровская) [нет]</t>
  </si>
  <si>
    <t>ул. Таёжная</t>
  </si>
  <si>
    <t>№10</t>
  </si>
  <si>
    <t>16.6000000000</t>
  </si>
  <si>
    <t>2.4200000000</t>
  </si>
  <si>
    <t>01.11.2002</t>
  </si>
  <si>
    <t>г Кемерово, ул. Таёжная, №10</t>
  </si>
  <si>
    <t>41</t>
  </si>
  <si>
    <t>3050.0000000000</t>
  </si>
  <si>
    <t>ул.Никитинская</t>
  </si>
  <si>
    <t>2 "а"</t>
  </si>
  <si>
    <t>11.2000000000</t>
  </si>
  <si>
    <t>32514000256.0</t>
  </si>
  <si>
    <t>Сети канализации п. Дубровка</t>
  </si>
  <si>
    <t>Сети канализации с.Колмогорово</t>
  </si>
  <si>
    <t>КНС 1 "Лесная поляна"</t>
  </si>
  <si>
    <t>103.4700000000</t>
  </si>
  <si>
    <t>КНС ул. Школьная</t>
  </si>
  <si>
    <t>4.6000000000</t>
  </si>
  <si>
    <t>пгт Яя, ул. Школьная, -</t>
  </si>
  <si>
    <t>КНС (Мартемьянова)</t>
  </si>
  <si>
    <t>5.6000000000</t>
  </si>
  <si>
    <t>46.3900000000</t>
  </si>
  <si>
    <t>01.03.2001</t>
  </si>
  <si>
    <t>Очистные сооружения (КОС)</t>
  </si>
  <si>
    <t>ул. Пушкина</t>
  </si>
  <si>
    <t>ул. Свердлова</t>
  </si>
  <si>
    <t>1842.0000000000</t>
  </si>
  <si>
    <t>Канализационная насосная станция №6</t>
  </si>
  <si>
    <t>01.12.1962</t>
  </si>
  <si>
    <t>г Березовский, ул. Ленина, 9а</t>
  </si>
  <si>
    <t>Канализационный колодец с перекачным насосом</t>
  </si>
  <si>
    <t>01.12.1994</t>
  </si>
  <si>
    <t>Сети канализации с. Пашково</t>
  </si>
  <si>
    <t>КНС 4 (Рудник)</t>
  </si>
  <si>
    <t>ул. Ногинская</t>
  </si>
  <si>
    <t>№ 10 А</t>
  </si>
  <si>
    <t>60.0900000000</t>
  </si>
  <si>
    <t>51.6100000000</t>
  </si>
  <si>
    <t>г Кемерово, ул. Ногинская, № 10 А</t>
  </si>
  <si>
    <t>ПОС п.ш. "Березовская"</t>
  </si>
  <si>
    <t>г Березовский, ул. Ленина, б/н</t>
  </si>
  <si>
    <t>На площадке, ограниченной улицами: ул. Луначарского-ул. Копровая; ул. Бажова-ул. Крупской</t>
  </si>
  <si>
    <t>19.0000000000</t>
  </si>
  <si>
    <t>КНС-1 ж.р. Лесная поляна</t>
  </si>
  <si>
    <t>здание КНС 1</t>
  </si>
  <si>
    <t>65.8000000000</t>
  </si>
  <si>
    <t>https://portal.eias.ru/Portal/DownloadPage.aspx?type=12&amp;guid=eeef887d-554e-4822-9c30-5823ae54bec9</t>
  </si>
  <si>
    <t>КНС-1-НКЛ/2020</t>
  </si>
  <si>
    <t>г Кемерово, город Кемерово, ж.р. Лесная поляна, б-р Осенний, здание КНС 1</t>
  </si>
  <si>
    <t>ул. Васильева</t>
  </si>
  <si>
    <t>ул. Кирсанова</t>
  </si>
  <si>
    <t>3"в"</t>
  </si>
  <si>
    <t>ул. Нефтебазы</t>
  </si>
  <si>
    <t>21.0000000000</t>
  </si>
  <si>
    <t>Сливная станция ЖБО. ОСК-1_г. Кемерово, Левобережные очистные сооружения</t>
  </si>
  <si>
    <t>хозяйственное ведение</t>
  </si>
  <si>
    <t>https://portal.eias.ru/Portal/DownloadPage.aspx?type=12&amp;guid=2e3d9e47-cb46-4f98-9b5f-8fe420171136</t>
  </si>
  <si>
    <t>инвентарная карточка учёта объекта основных средств</t>
  </si>
  <si>
    <t>013534</t>
  </si>
  <si>
    <t>30.11.2024</t>
  </si>
  <si>
    <t>87.7000000000</t>
  </si>
  <si>
    <t>пгт Яшкино, _, _</t>
  </si>
  <si>
    <t>п Никитинский, ул.Никитинская, 2 "а"</t>
  </si>
  <si>
    <t>tariff_id</t>
  </si>
  <si>
    <t>prd</t>
  </si>
  <si>
    <t>vid</t>
  </si>
  <si>
    <t>tip</t>
  </si>
  <si>
    <t>vdet</t>
  </si>
  <si>
    <t>vtov</t>
  </si>
  <si>
    <t>dop</t>
  </si>
  <si>
    <t>nom</t>
  </si>
  <si>
    <t>data</t>
  </si>
  <si>
    <t>dop_sved</t>
  </si>
  <si>
    <t>method</t>
  </si>
  <si>
    <t>first_year</t>
  </si>
  <si>
    <t>years_count</t>
  </si>
  <si>
    <t>sngl1</t>
  </si>
  <si>
    <t>sngl2</t>
  </si>
  <si>
    <t>dbl1</t>
  </si>
  <si>
    <t>dbl2</t>
  </si>
  <si>
    <t>trnsp1</t>
  </si>
  <si>
    <t>trnsp2</t>
  </si>
  <si>
    <t>status</t>
  </si>
  <si>
    <t>first</t>
  </si>
  <si>
    <t>second</t>
  </si>
  <si>
    <t>ХВС.42.26322895.0043</t>
  </si>
  <si>
    <t>2026</t>
  </si>
  <si>
    <t>Подвоз воды</t>
  </si>
  <si>
    <t>5076, 5133, 5292</t>
  </si>
  <si>
    <t>2025-08-12</t>
  </si>
  <si>
    <t>от 26.08.25 № 5347, а также информация из тарифного дела ОАО СКЭК г. Кемерово</t>
  </si>
  <si>
    <t>Метод экономически обоснованных расходов</t>
  </si>
  <si>
    <t>2026.0</t>
  </si>
  <si>
    <t>Принят</t>
  </si>
  <si>
    <t>588.13</t>
  </si>
  <si>
    <t>634.75</t>
  </si>
  <si>
    <t>ХВС.42.26322895.0042</t>
  </si>
  <si>
    <t>2025</t>
  </si>
  <si>
    <t>2025.0</t>
  </si>
  <si>
    <t>ХВС.42.26322895.0035</t>
  </si>
  <si>
    <t>тариф на техническую воду</t>
  </si>
  <si>
    <t>Производство (подъём / добыча) воды :: Транспортировка воды :: Сбыт (распределение) воды</t>
  </si>
  <si>
    <t>техническая вода</t>
  </si>
  <si>
    <t>3116</t>
  </si>
  <si>
    <t>2024-04-27</t>
  </si>
  <si>
    <t>от 20.12.2024 № 2024/000665/3 (вх. от 20.12.2024 № 8682)</t>
  </si>
  <si>
    <t>2024</t>
  </si>
  <si>
    <t>5.0</t>
  </si>
  <si>
    <t>20.77</t>
  </si>
  <si>
    <t>ХВС.42.26322895.0034</t>
  </si>
  <si>
    <t>68.92</t>
  </si>
  <si>
    <t>75.81</t>
  </si>
  <si>
    <t>ХВС.42.26322895.0033</t>
  </si>
  <si>
    <t>3108</t>
  </si>
  <si>
    <t>от 31.05.2024, от 08.10.2024, от 20.12.2024 № 8683</t>
  </si>
  <si>
    <t>9.97</t>
  </si>
  <si>
    <t>11.17</t>
  </si>
  <si>
    <t>ХВС.42.26322895.0032</t>
  </si>
  <si>
    <t>68.32</t>
  </si>
  <si>
    <t>76.52</t>
  </si>
  <si>
    <t>ХВС.42.26322895.0031</t>
  </si>
  <si>
    <t>3031</t>
  </si>
  <si>
    <t>2024-04-26</t>
  </si>
  <si>
    <t>доп.материалы от 14.10.2024, от 17.10.2024 № 7005, от 22.10.2024 № 7126, от 25.10.2024 № 7217 от 20.12.2024 № 8675</t>
  </si>
  <si>
    <t>2021</t>
  </si>
  <si>
    <t>10.0</t>
  </si>
  <si>
    <t>76.79</t>
  </si>
  <si>
    <t>86.00</t>
  </si>
  <si>
    <t>ХВС.42.26322895.0030</t>
  </si>
  <si>
    <t>3024</t>
  </si>
  <si>
    <t>от 20.12.2024 № 2024/000658 (вх. от 20.12.2024 №8686)</t>
  </si>
  <si>
    <t>2019</t>
  </si>
  <si>
    <t>20.0</t>
  </si>
  <si>
    <t>53.23</t>
  </si>
  <si>
    <t>58.56</t>
  </si>
  <si>
    <t>ХВС.42.26322895.0029</t>
  </si>
  <si>
    <t>459.34</t>
  </si>
  <si>
    <t>523.14</t>
  </si>
  <si>
    <t>ХВС.42.26322895.0028</t>
  </si>
  <si>
    <t>467.26</t>
  </si>
  <si>
    <t>565.72</t>
  </si>
  <si>
    <t>ХВС.42.26322895.0026</t>
  </si>
  <si>
    <t>5.74</t>
  </si>
  <si>
    <t>22.07</t>
  </si>
  <si>
    <t>ХВС.42.26322895.0025</t>
  </si>
  <si>
    <t>62.88</t>
  </si>
  <si>
    <t>№ 2988; № 8671</t>
  </si>
  <si>
    <t>47.80</t>
  </si>
  <si>
    <t>53.53</t>
  </si>
  <si>
    <t>ХВС.42.26322895.0021</t>
  </si>
  <si>
    <t>№ 8566</t>
  </si>
  <si>
    <t>2024-12-18</t>
  </si>
  <si>
    <t>№ 8668 от 20.12.2024, № 8802 от 25.12.2024</t>
  </si>
  <si>
    <t>53.91</t>
  </si>
  <si>
    <t>74.94</t>
  </si>
  <si>
    <t>ХВС.42.26322895.0017</t>
  </si>
  <si>
    <t>2819</t>
  </si>
  <si>
    <t>2022-04-29</t>
  </si>
  <si>
    <t>48.57</t>
  </si>
  <si>
    <t>ХВС.42.26322895.0016</t>
  </si>
  <si>
    <t>2551</t>
  </si>
  <si>
    <t>2023-04-28</t>
  </si>
  <si>
    <t>вх. № 3082 от 25.05.2023; № 5835 от 18.10.2023</t>
  </si>
  <si>
    <t>9.29</t>
  </si>
  <si>
    <t>ХВС.42.26322895.0015</t>
  </si>
  <si>
    <t>62.22</t>
  </si>
  <si>
    <t>ХВС.42.26322895.0014</t>
  </si>
  <si>
    <t>66.77</t>
  </si>
  <si>
    <t>ВО.42.26322895.0036</t>
  </si>
  <si>
    <t>43.27</t>
  </si>
  <si>
    <t>47.60</t>
  </si>
  <si>
    <t>ВО.42.26322895.0033</t>
  </si>
  <si>
    <t>85.47</t>
  </si>
  <si>
    <t>95.73</t>
  </si>
  <si>
    <t>ВО.42.26322895.0032</t>
  </si>
  <si>
    <t>35.50</t>
  </si>
  <si>
    <t>ВО.42.26322895.0031</t>
  </si>
  <si>
    <t>Оказание услуг на территории: город Кемерово (ОКТМО: 32701000) - водоотведение сточных вод, отводимых потребителями в камеру гашения по ул. Волгоградской, 45 канализационного коллектора ДУ-1000 мм</t>
  </si>
  <si>
    <t>62.00</t>
  </si>
  <si>
    <t>74.40</t>
  </si>
  <si>
    <t>ВО.42.26322895.0030</t>
  </si>
  <si>
    <t>Оказание услуг на территории: город Кемерово (ОКТМО: 32701000) - г Кемерово, кроме ул. Волгоградская</t>
  </si>
  <si>
    <t>35.84</t>
  </si>
  <si>
    <t>39.42</t>
  </si>
  <si>
    <t>ВО.42.26322895.0027</t>
  </si>
  <si>
    <t>39.48</t>
  </si>
  <si>
    <t>48.52</t>
  </si>
  <si>
    <t>54.34</t>
  </si>
  <si>
    <t>40.56</t>
  </si>
  <si>
    <t>45.43</t>
  </si>
  <si>
    <t>ВО.42.26322895.0023</t>
  </si>
  <si>
    <t>37.06</t>
  </si>
  <si>
    <t>56.45</t>
  </si>
  <si>
    <t>ВО.42.26322895.0022</t>
  </si>
  <si>
    <t>тариф на транспортировку сточных вод</t>
  </si>
  <si>
    <t>Транспортировка сточных вод</t>
  </si>
  <si>
    <t>2989</t>
  </si>
  <si>
    <t>Метод сравнения аналогов</t>
  </si>
  <si>
    <t>ВО.42.26322895.0020</t>
  </si>
  <si>
    <t>водоотведение сточных вод, отводимых потребителями в камеру гашения по ул.Волгоградской, 45 канализационного коллектора ДУ-1000мм</t>
  </si>
  <si>
    <t>56.57</t>
  </si>
  <si>
    <t>ВО.42.26322895.0019</t>
  </si>
  <si>
    <t>водоотведение сточных вод, отводимых потребителями за исключением потребителей, отводящих сточные воды в камеру гашения по ул.Волгоградской, 45 канализационного коллектора ДУ-1000мм</t>
  </si>
  <si>
    <t>32.70</t>
  </si>
  <si>
    <t>ВО.42.26322895.0018</t>
  </si>
  <si>
    <t>77.84</t>
  </si>
  <si>
    <t>ВО.42.26322895.0017</t>
  </si>
  <si>
    <t>31.55</t>
  </si>
  <si>
    <t>36.28</t>
  </si>
  <si>
    <t>OPF_VALUE</t>
  </si>
  <si>
    <t>DPR_LIST</t>
  </si>
  <si>
    <t>1 10 51 | Полные товарищества</t>
  </si>
  <si>
    <t>1 10 64 | Товарищества на вере (коммандитные товарищества)</t>
  </si>
  <si>
    <t>Оказание услуг на территории: Борковское (ОКТМО: 61658475) - с Борки (ул. Приозерная, ул. Славянская, ул. Пражская)</t>
  </si>
  <si>
    <t>Оказание услуг на территории: Борковское (ОКТМО: 61658475) - улицы Приозерная, Славянская, Пражская, Братиславская, Цветочный бульвар</t>
  </si>
  <si>
    <t>Оказание услуг на территории: Выжелесское (ОКТМО: 61646409) - с Иванково, с Малышево</t>
  </si>
  <si>
    <t>Оказание услуг на территории: Захаровский муниципальный район (ОКТМО: 61604000) - сельские поселения Безлыченское, Сменовское</t>
  </si>
  <si>
    <t>1 30 00 | Хозяйственные партнерства</t>
  </si>
  <si>
    <t>Оказание услуг на территории: Искровское (ОКТМО: 61634485) - д Букрино, д Ялино, д Шевцово</t>
  </si>
  <si>
    <t>1 41 00 | Сельскохозяйственные производственные кооперативы</t>
  </si>
  <si>
    <t>Оказание услуг на территории: Искровское (ОКТМО: 61634485) - п Искра, п Госплемстанция</t>
  </si>
  <si>
    <t>1 41 53 | Сельскохозяйственные артели (колхозы)</t>
  </si>
  <si>
    <t>Оказание услуг на территории: Касимовский муниципальный район (ОКТМО: 61608000) - городское поселение Сынтульское, сельское поселение Лощининское (д Баженова)</t>
  </si>
  <si>
    <t>1 41 54 | Рыболовецкие артели (колхозы)</t>
  </si>
  <si>
    <t>Оказание услуг на территории: Касимовский муниципальный район (ОКТМО: 61608000) - сельские поселения Гиблицкое, Ибердусское, Китовское, Клетинское, Погостинское, Лощининское</t>
  </si>
  <si>
    <t>1 41 55 | Кооперативные хозяйства (коопхозы)</t>
  </si>
  <si>
    <t>Оказание услуг на территории: Ленинское (ОКТМО: 61648438) - п свх им Ленина</t>
  </si>
  <si>
    <t>1 42 00 | Производственные кооперативы (кроме сельскохозяйственных производственных кооперативов)</t>
  </si>
  <si>
    <t>Оказание услуг на территории: Листвянское (ОКТМО: 61634457) - д Зубенки</t>
  </si>
  <si>
    <t>1 53 00 | Крестьянские (фермерские) хозяйства</t>
  </si>
  <si>
    <t>Оказание услуг на территории: Листвянское (ОКТМО: 61634457) - п Листвянка</t>
  </si>
  <si>
    <t>1 90 00 | Прочие юридические лица, являющиеся коммерческими организациями</t>
  </si>
  <si>
    <t>Оказание услуг на территории: Листвянское (ОКТМО: 61634457) - с Александрово</t>
  </si>
  <si>
    <t>2 01 01 | Гаражные и гаражно-строительные кооперативы</t>
  </si>
  <si>
    <t>Оказание услуг на территории: Михайловский муниципальный район (ОКТМО: 61617000) - городское поселение Михайловское</t>
  </si>
  <si>
    <t>2 01 02 | Жилищные или жилищно-строительные кооперативы</t>
  </si>
  <si>
    <t>Оказание услуг на территории: Михайловское (ОКТМО: 61617101) - г Михайлов</t>
  </si>
  <si>
    <t>2 01 03 | Жилищные накопительные кооперативы</t>
  </si>
  <si>
    <t>Оказание услуг на территории: Окское (ОКТМО: 61634475) - д Аксиньино</t>
  </si>
  <si>
    <t>2 01 04 | Кредитные потребительские кооперативы</t>
  </si>
  <si>
    <t>Оказание услуг на территории: Окское (ОКТМО: 61634475) - п Окский</t>
  </si>
  <si>
    <t>2 01 05 | Кредитные потребительские кооперативы граждан</t>
  </si>
  <si>
    <t>Оказание услуг на территории: Сараевский муниципальный район (ОКТМО: 61640000) - сельские поселения Алексеевское, Высоковское, Телятниковское, Новобокинское</t>
  </si>
  <si>
    <t>2 01 06 | Кредитные кооперативы второго уровня</t>
  </si>
  <si>
    <t>Оказание услуг на территории: Спасский муниципальный район (ОКТМО: 61646000) - сельские поселения Выжелесское, Панинское, Федотьевское</t>
  </si>
  <si>
    <t>2 01 07 | Потребительские общества</t>
  </si>
  <si>
    <t>Оказание услуг на территории: Спасский муниципальный район (ОКТМО: 61646000) - сельские поселения Заречинское, Исадское, Кутуковское, Перкинское, Собчаковское, Троицкое, Федотьевское</t>
  </si>
  <si>
    <t>2 01 08 | Общества взаимного страхования</t>
  </si>
  <si>
    <t>Оказание услуг на территории: Спасский муниципальный район (ОКТМО: 61646000) - сельские поселения Заречинское, Перкинское, Собчаковское, Троицкое</t>
  </si>
  <si>
    <t>2 01 09 | Сельскохозяйственные потребительские перерабатывающие кооперативы</t>
  </si>
  <si>
    <t>Оказание услуг на территории: Спасский муниципальный район (ОКТМО: 61646000) - сельские поселения Ижевское (с Ижевское), Лакашинское (с Лакаш, с Городковичи), Киструсское (с Деревенское)</t>
  </si>
  <si>
    <t>2 01 10 | Сельскохозяйственные потребительские сбытовые (торговые) кооперативы</t>
  </si>
  <si>
    <t>Оказание услуг на территории: Спасский муниципальный район (ОКТМО: 61646000) - сельские поселения Исадское, Кутуковское</t>
  </si>
  <si>
    <t>2 01 11 | Сельскохозяйственные потребительские обслуживающие кооперативы</t>
  </si>
  <si>
    <t>Оказание услуг на территории: Старожиловское (ОКТМО: 61648151) - рп Старожилово</t>
  </si>
  <si>
    <t>2 01 12 | Сельскохозяйственные потребительские снабженческие кооперативы</t>
  </si>
  <si>
    <t>Оказание услуг на территории: Турлатовское (ОКТМО: 61634496) - д Марьино</t>
  </si>
  <si>
    <t>2 01 15 | Сельскохозяйственные потребительские животноводческие кооперативы</t>
  </si>
  <si>
    <t>Оказание услуг на территории: Турлатовское (ОКТМО: 61634496) - д Турлатово</t>
  </si>
  <si>
    <t>2 01 16 | Сельскохозяйственные потребительские растениеводческие кооперативы</t>
  </si>
  <si>
    <t>Оказание услуг на территории: Турлатовское (ОКТМО: 61634496) - д Турлатово, с Реткино, д Марьино-1, д Марьино-2, с Каменец</t>
  </si>
  <si>
    <t>2 01 21 | Фонды проката</t>
  </si>
  <si>
    <t>Оказание услуг на территории: Турлатовское (ОКТМО: 61634496) - с Каменец</t>
  </si>
  <si>
    <t>2 02 01 | Политические партии</t>
  </si>
  <si>
    <t>Оказание услуг на территории: Турлатовское (ОКТМО: 61634496) - с Реткино</t>
  </si>
  <si>
    <t>2 02 02 | Профсоюзные организации</t>
  </si>
  <si>
    <t>Оказание услуг на территории: Шелемишевское (ОКТМО: 61644496) - д Шелемишевские хутора, в/г № 2</t>
  </si>
  <si>
    <t>2 02 10 | Общественные движения</t>
  </si>
  <si>
    <t>Оказание услуг на территории: Шиловский муниципальный район (ОКТМО: 61658000) - Шиловское городское поселение, Борковское сельское поселение (ул. Приозерная, Славянская, Пражская, Братиславская, Цветочный бульвар)</t>
  </si>
  <si>
    <t>2 02 11 | Органы общественной самодеятельности</t>
  </si>
  <si>
    <t>Оказание услуг на территории: Ягодновское (ОКТМО: 61640481) - с Ягодное</t>
  </si>
  <si>
    <t>2 02 17 | Территориальные общественные самоуправления</t>
  </si>
  <si>
    <t>Оказание услуг на территории: Касимовский муниципальный район (ОКТМО: 61608000) - сельские поселения Крутоярское, Лашманское</t>
  </si>
  <si>
    <t>2 06 01 | Ассоциации (союзы) экономического взаимодействия субъектов Российской Федерации</t>
  </si>
  <si>
    <t>Оказание услуг на территории: Касимовский муниципальный район (ОКТМО: 61608000) - сельское поселение Крутоярское</t>
  </si>
  <si>
    <t>2 06 03 | Советы муниципальных образований субъектов Российской Федерации</t>
  </si>
  <si>
    <t>Оказание услуг на территории: Касимовский муниципальный район (ОКТМО: 61608000) - сельское поселение Лашманское</t>
  </si>
  <si>
    <t>2 06 04 | Союзы (ассоциации) кредитных кооперативов</t>
  </si>
  <si>
    <t>Оказание услуг на территории: Кирицкое (ОКТМО: 61646452) - п Павловка</t>
  </si>
  <si>
    <t>2 06 05 | Союзы (ассоциации) кооперативов</t>
  </si>
  <si>
    <t>Оказание услуг на территории: Михайловский муниципальный район (ОКТМО: 61617000) - п Первомайский</t>
  </si>
  <si>
    <t>2 06 06 | Союзы (ассоциации) общественных объединений</t>
  </si>
  <si>
    <t>Оказание услуг на территории: Скопинский муниципальный район (ОКТМО: 61644000) - городские поселения Павелецкое, Побединское</t>
  </si>
  <si>
    <t>2 06 07 | Союзы (ассоциации) общин малочисленных народов</t>
  </si>
  <si>
    <t>Оказание услуг на территории: Скопинский муниципальный район (ОКТМО: 61644000) - сельские поселения Вослебовское, Успенское</t>
  </si>
  <si>
    <t>2 06 08 | Союзы потребительских обществ</t>
  </si>
  <si>
    <t>Оказание услуг на территории: Спасский муниципальный район (ОКТМО: 61646000) - городское поселение Спасск-Рязанское</t>
  </si>
  <si>
    <t>2 06 09 | Адвокатские палаты</t>
  </si>
  <si>
    <t>Оказание услуг на территории: Спасский муниципальный район (ОКТМО: 61646000) - сельские поселения Ижевское (с Ижевское), Выжелесское (с Выжелес, с Иванково, с Дегтяное), Киструсское (с Деревенское), Лакашинское (с Лакаш)</t>
  </si>
  <si>
    <t>2 06 10 | Нотариальные палаты</t>
  </si>
  <si>
    <t>Оказание услуг на территории: Ухоловское (ОКТМО: 61650151) - рп Ухолово</t>
  </si>
  <si>
    <t>2 06 11 | Торгово-промышленные палаты</t>
  </si>
  <si>
    <t>2 06 12 | Объединения работодателей</t>
  </si>
  <si>
    <t>2 06 13 | Объединения фермерских хозяйств</t>
  </si>
  <si>
    <t>2 06 14 | Некоммерческие партнерства</t>
  </si>
  <si>
    <t>2 06 15 | Адвокатские бюро</t>
  </si>
  <si>
    <t>2 06 16 | Коллегии адвокатов</t>
  </si>
  <si>
    <t>2 06 19 | Саморегулируемые организации</t>
  </si>
  <si>
    <t>2 06 20 | Объединения (ассоциации и союзы) благотворительных организаций</t>
  </si>
  <si>
    <t>2 07 02 | Садоводческие или огороднические некоммерческие товарищества</t>
  </si>
  <si>
    <t>2 07 16 | Товарищества собственников жилья</t>
  </si>
  <si>
    <t>2 11 00 | Казачьи общества, внесенные в государственный реестр казачьих обществ в Российской Федерации</t>
  </si>
  <si>
    <t>2 12 00 | Общины коренных малочисленных народов Российской Федерации</t>
  </si>
  <si>
    <t>3 00 01 | Представительства юридических лиц</t>
  </si>
  <si>
    <t>3 00 03 | Обособленные подразделения юридических лиц</t>
  </si>
  <si>
    <t>3 00 04 | Структурные подразделения обособленных подразделений юридических лиц</t>
  </si>
  <si>
    <t>3 00 05 | Паевые инвестиционные фонды</t>
  </si>
  <si>
    <t>3 00 06 | Простые товарищества</t>
  </si>
  <si>
    <t>3 00 08 | Районные суды, городские суды, межрайонные суды (районные суды)</t>
  </si>
  <si>
    <t>4 00 01 | Межправительственные международные организации</t>
  </si>
  <si>
    <t>4 00 02 | Неправительственные международные организации</t>
  </si>
  <si>
    <t>5 01 01 | Главы крестьянских (фермерских) хозяйств</t>
  </si>
  <si>
    <t>5 02 01 | Адвокаты, учредившие адвокатский кабинет</t>
  </si>
  <si>
    <t>5 02 02 | Нотариусы, занимающиеся частной практикой</t>
  </si>
  <si>
    <t>6 51 41 | Федеральные казенные предприятия</t>
  </si>
  <si>
    <t>6 51 42 | Казенные предприятия субъектов Российской Федерации</t>
  </si>
  <si>
    <t>6 52 41 | Федеральные государственные унитарные предприятия</t>
  </si>
  <si>
    <t>6 52 42 | Государственные унитарные предприятия субъектов Российской Федерации</t>
  </si>
  <si>
    <t>7 04 01 | Благотворительные фонды</t>
  </si>
  <si>
    <t>7 04 02 | Негосударственные пенсионные фонды</t>
  </si>
  <si>
    <t>7 04 03 | Общественные фонды</t>
  </si>
  <si>
    <t>7 04 04 | Экологические фонды</t>
  </si>
  <si>
    <t>7 14 00 | Автономные некоммерческие организации</t>
  </si>
  <si>
    <t>7 15 00 | Религиозные организации</t>
  </si>
  <si>
    <t>7 16 01 | Государственные корпорации</t>
  </si>
  <si>
    <t>7 16 02 | Государственные компании</t>
  </si>
  <si>
    <t>7 16 10 | Отделения иностранных некоммерческих неправительственных организаций</t>
  </si>
  <si>
    <t>7 51 01 | Федеральные государственные автономные учреждения</t>
  </si>
  <si>
    <t>7 51 05 | Государственные внебюджетные фонды Российской Федерации</t>
  </si>
  <si>
    <t>7 52 03 | Государственные бюджетные учреждения субъектов Российской Федерации</t>
  </si>
  <si>
    <t>7 52 04 | Государственные казенные учреждения субъектов Российской Федерации</t>
  </si>
  <si>
    <t>7 53 00 | Государственные академии наук</t>
  </si>
  <si>
    <t>7 54 01 | Муниципальные автономные учреждения</t>
  </si>
  <si>
    <t>7 54 04 | Муниципальные казенные учреждения</t>
  </si>
  <si>
    <t>7 55 00 | Частные учреждения</t>
  </si>
  <si>
    <t>7 55 02 | Благотворительные учреждения</t>
  </si>
  <si>
    <t>7 55 05 | Общественные учреждения</t>
  </si>
  <si>
    <t>Алтайский край</t>
  </si>
  <si>
    <t>RU22</t>
  </si>
  <si>
    <t>TemplateState</t>
  </si>
  <si>
    <t>YES_NO</t>
  </si>
  <si>
    <t>SAX_PARSER_FEATURE</t>
  </si>
  <si>
    <t>DNS</t>
  </si>
  <si>
    <t>YEAR_LIST</t>
  </si>
  <si>
    <t>MONTH_LIST</t>
  </si>
  <si>
    <t>period_list</t>
  </si>
  <si>
    <t>sphere_list</t>
  </si>
  <si>
    <t>tariff_type_list</t>
  </si>
  <si>
    <t>COLDVSNA_VTOV;COLDVSNA_TRANSP_VTOV</t>
  </si>
  <si>
    <t>COLDVSNA_VTARIFF</t>
  </si>
  <si>
    <t>osn_expl_list</t>
  </si>
  <si>
    <t>VOLTAGE_LEVEL_list</t>
  </si>
  <si>
    <t>VOLTAGE_LEVEL2_list</t>
  </si>
  <si>
    <t>ist_info_build_list</t>
  </si>
  <si>
    <t>diametr_list</t>
  </si>
  <si>
    <t>material_list</t>
  </si>
  <si>
    <t>grunt_list</t>
  </si>
  <si>
    <t>glubina_list</t>
  </si>
  <si>
    <t>diametr_list_vs</t>
  </si>
  <si>
    <t>diametr_list_vo</t>
  </si>
  <si>
    <t>Амурская область</t>
  </si>
  <si>
    <t>RU28</t>
  </si>
  <si>
    <t>FORMED</t>
  </si>
  <si>
    <t>YES</t>
  </si>
  <si>
    <t>https://eias.ru</t>
  </si>
  <si>
    <t>Январь</t>
  </si>
  <si>
    <t>Без разбивки</t>
  </si>
  <si>
    <t>Утверждённые укрупнённые НЦС</t>
  </si>
  <si>
    <t>100</t>
  </si>
  <si>
    <t>чугун</t>
  </si>
  <si>
    <t>сухой</t>
  </si>
  <si>
    <t>0-15</t>
  </si>
  <si>
    <t>0-55</t>
  </si>
  <si>
    <t>Архангельская область</t>
  </si>
  <si>
    <t>RU29</t>
  </si>
  <si>
    <t>Февраль</t>
  </si>
  <si>
    <t>двухставочный</t>
  </si>
  <si>
    <t>ВН1</t>
  </si>
  <si>
    <t>Сметные расчёты организации</t>
  </si>
  <si>
    <t>110</t>
  </si>
  <si>
    <t>сталь</t>
  </si>
  <si>
    <t>мокрый</t>
  </si>
  <si>
    <t>16-25</t>
  </si>
  <si>
    <t>56-65</t>
  </si>
  <si>
    <t>Астраханская область</t>
  </si>
  <si>
    <t>RU30</t>
  </si>
  <si>
    <t>XML_MR_MO_OKTMO_LIST_TAG_NAMES</t>
  </si>
  <si>
    <t>NDS</t>
  </si>
  <si>
    <t>Март</t>
  </si>
  <si>
    <t>горячая вода</t>
  </si>
  <si>
    <t>ВН</t>
  </si>
  <si>
    <t>железобетон</t>
  </si>
  <si>
    <t>26-35</t>
  </si>
  <si>
    <t>66-75</t>
  </si>
  <si>
    <t>Белгородская область</t>
  </si>
  <si>
    <t>RU31</t>
  </si>
  <si>
    <t>STATE_SHARE</t>
  </si>
  <si>
    <t>NSRF</t>
  </si>
  <si>
    <t>Апрель</t>
  </si>
  <si>
    <t>VOTV_VTOV</t>
  </si>
  <si>
    <t>VOTV_VTARIFF</t>
  </si>
  <si>
    <t>оперативное управление</t>
  </si>
  <si>
    <t>150</t>
  </si>
  <si>
    <t>полиэтилен</t>
  </si>
  <si>
    <t>36-45</t>
  </si>
  <si>
    <t>76-85</t>
  </si>
  <si>
    <t>Брянская область</t>
  </si>
  <si>
    <t>RU32</t>
  </si>
  <si>
    <t>VALUABLE_STATE_SHARE</t>
  </si>
  <si>
    <t>MR_NAME</t>
  </si>
  <si>
    <t>Май</t>
  </si>
  <si>
    <t>160</t>
  </si>
  <si>
    <t>46-55</t>
  </si>
  <si>
    <t>86-95</t>
  </si>
  <si>
    <t>Владимирская область</t>
  </si>
  <si>
    <t>RU33</t>
  </si>
  <si>
    <t>менее 50 %</t>
  </si>
  <si>
    <t>OKTMO_MR_NAME</t>
  </si>
  <si>
    <t>PERIOD</t>
  </si>
  <si>
    <t>Июнь</t>
  </si>
  <si>
    <t>жидкие бытовые отходы</t>
  </si>
  <si>
    <t>200</t>
  </si>
  <si>
    <t>96-105</t>
  </si>
  <si>
    <t>Волгоградская область</t>
  </si>
  <si>
    <t>RU34</t>
  </si>
  <si>
    <t>50 % и более</t>
  </si>
  <si>
    <t>MO_NAME</t>
  </si>
  <si>
    <t>Июль</t>
  </si>
  <si>
    <t>поверхностные сточные воды</t>
  </si>
  <si>
    <t>договор хранения</t>
  </si>
  <si>
    <t>Генерация напряжения</t>
  </si>
  <si>
    <t>250</t>
  </si>
  <si>
    <t>106-115</t>
  </si>
  <si>
    <t>Вологодская область</t>
  </si>
  <si>
    <t>RU35</t>
  </si>
  <si>
    <t>100 %</t>
  </si>
  <si>
    <t>OKTMO_NAME</t>
  </si>
  <si>
    <t>Август</t>
  </si>
  <si>
    <t>хозяйственно-бытовые сточные воды</t>
  </si>
  <si>
    <t>договор эксплуатации</t>
  </si>
  <si>
    <t>300</t>
  </si>
  <si>
    <t>116-125</t>
  </si>
  <si>
    <t>Воронежская область</t>
  </si>
  <si>
    <t>RU36</t>
  </si>
  <si>
    <t>TYPE</t>
  </si>
  <si>
    <t>Организация</t>
  </si>
  <si>
    <t>Сентябрь</t>
  </si>
  <si>
    <t>сточные воды (нормативы)</t>
  </si>
  <si>
    <t>договор обслуживания</t>
  </si>
  <si>
    <t>315</t>
  </si>
  <si>
    <t>126-135</t>
  </si>
  <si>
    <t>г. Москва</t>
  </si>
  <si>
    <t>RU77</t>
  </si>
  <si>
    <t>Москва</t>
  </si>
  <si>
    <t>OWNERSHIP_TYPE</t>
  </si>
  <si>
    <t>TOTAL_PPL_COUNT</t>
  </si>
  <si>
    <t>Октябрь</t>
  </si>
  <si>
    <t>сточные воды (иные)</t>
  </si>
  <si>
    <t>350</t>
  </si>
  <si>
    <t>136-145</t>
  </si>
  <si>
    <t>г.Байконур</t>
  </si>
  <si>
    <t>RU00</t>
  </si>
  <si>
    <t>NONPRIVATE_OWNERSHIP_TYPE</t>
  </si>
  <si>
    <t>Ноябрь</t>
  </si>
  <si>
    <t>договор инвестирования</t>
  </si>
  <si>
    <t>355</t>
  </si>
  <si>
    <t>146-155</t>
  </si>
  <si>
    <t>г.Санкт-Петербург</t>
  </si>
  <si>
    <t>RU78</t>
  </si>
  <si>
    <t>Cанкт-Петербург</t>
  </si>
  <si>
    <t>федеральная</t>
  </si>
  <si>
    <t>METHOD_LIST</t>
  </si>
  <si>
    <t>Декабрь</t>
  </si>
  <si>
    <t>доверительное управление</t>
  </si>
  <si>
    <t>400</t>
  </si>
  <si>
    <t>156-165</t>
  </si>
  <si>
    <t>г.Севастополь</t>
  </si>
  <si>
    <t>RU92</t>
  </si>
  <si>
    <t>Севастополь</t>
  </si>
  <si>
    <t>субъект РФ</t>
  </si>
  <si>
    <t>Виды деятельности</t>
  </si>
  <si>
    <t>субаренда</t>
  </si>
  <si>
    <t>450</t>
  </si>
  <si>
    <t>166-175</t>
  </si>
  <si>
    <t>Донецкая Народная Республика</t>
  </si>
  <si>
    <t>RU80</t>
  </si>
  <si>
    <t>муниципальная</t>
  </si>
  <si>
    <t>500</t>
  </si>
  <si>
    <t>176-185</t>
  </si>
  <si>
    <t>Еврейская автономная область</t>
  </si>
  <si>
    <t>RU79</t>
  </si>
  <si>
    <t>support_docs_list</t>
  </si>
  <si>
    <t>600</t>
  </si>
  <si>
    <t>186-195</t>
  </si>
  <si>
    <t>Забайкальский край</t>
  </si>
  <si>
    <t>RU75</t>
  </si>
  <si>
    <t>Метод обеспечения доходности инвестированного капитала</t>
  </si>
  <si>
    <t>630</t>
  </si>
  <si>
    <t>196-205</t>
  </si>
  <si>
    <t>Запорожская область</t>
  </si>
  <si>
    <t>RU85</t>
  </si>
  <si>
    <t>NALOG_SYSTEM_LIST</t>
  </si>
  <si>
    <t>Территории</t>
  </si>
  <si>
    <t>свидетельство</t>
  </si>
  <si>
    <t>700</t>
  </si>
  <si>
    <t>206-215</t>
  </si>
  <si>
    <t>Ивановская область</t>
  </si>
  <si>
    <t>RU37</t>
  </si>
  <si>
    <t>ОСНО</t>
  </si>
  <si>
    <t>COLDVSNA_VDET_LIST</t>
  </si>
  <si>
    <t>710</t>
  </si>
  <si>
    <t>216-225</t>
  </si>
  <si>
    <t>Иркутская область</t>
  </si>
  <si>
    <t>RU38</t>
  </si>
  <si>
    <t>УСН</t>
  </si>
  <si>
    <t>Производство (подъём / добыча) воды</t>
  </si>
  <si>
    <t>800</t>
  </si>
  <si>
    <t>226-235</t>
  </si>
  <si>
    <t>Кабардино-Балкарская республика</t>
  </si>
  <si>
    <t>RU07</t>
  </si>
  <si>
    <t>Республика Кабардино-Балкария</t>
  </si>
  <si>
    <t>Очистка воды</t>
  </si>
  <si>
    <t>распоряжение</t>
  </si>
  <si>
    <t>900</t>
  </si>
  <si>
    <t>236-245</t>
  </si>
  <si>
    <t>Калининградская область</t>
  </si>
  <si>
    <t>RU39</t>
  </si>
  <si>
    <t>Транспортировка воды</t>
  </si>
  <si>
    <t>решение</t>
  </si>
  <si>
    <t>1000</t>
  </si>
  <si>
    <t>246-255</t>
  </si>
  <si>
    <t>Калужская область</t>
  </si>
  <si>
    <t>RU40</t>
  </si>
  <si>
    <t>Сбыт (распределение) воды</t>
  </si>
  <si>
    <t>приказ</t>
  </si>
  <si>
    <t>256-265</t>
  </si>
  <si>
    <t>Камчатский край</t>
  </si>
  <si>
    <t>RU41</t>
  </si>
  <si>
    <t>лицензия</t>
  </si>
  <si>
    <t>266-275</t>
  </si>
  <si>
    <t>Карачаево-Черкесская республика</t>
  </si>
  <si>
    <t>RU09</t>
  </si>
  <si>
    <t>Республика Карачаево-Черкессия</t>
  </si>
  <si>
    <t>276-285</t>
  </si>
  <si>
    <t>RU42</t>
  </si>
  <si>
    <t>VOTV_VDET_LIST</t>
  </si>
  <si>
    <t>государственный контракт</t>
  </si>
  <si>
    <t>286-295</t>
  </si>
  <si>
    <t>Кировская область</t>
  </si>
  <si>
    <t>RU43</t>
  </si>
  <si>
    <t>Приём сточных вод</t>
  </si>
  <si>
    <t>балансовая справка</t>
  </si>
  <si>
    <t>296-305</t>
  </si>
  <si>
    <t>Костромская область</t>
  </si>
  <si>
    <t>RU44</t>
  </si>
  <si>
    <t>Очистка сточных вод</t>
  </si>
  <si>
    <t>кадастровый паспорт</t>
  </si>
  <si>
    <t>306-315</t>
  </si>
  <si>
    <t>Краснодарский край</t>
  </si>
  <si>
    <t>RU23</t>
  </si>
  <si>
    <t>технический паспорт</t>
  </si>
  <si>
    <t>316-325</t>
  </si>
  <si>
    <t>Красноярский край</t>
  </si>
  <si>
    <t>RU24</t>
  </si>
  <si>
    <t>устав</t>
  </si>
  <si>
    <t>326-335</t>
  </si>
  <si>
    <t>Курганская область</t>
  </si>
  <si>
    <t>RU45</t>
  </si>
  <si>
    <t>акт ввода в эксплуатацию</t>
  </si>
  <si>
    <t>296-325</t>
  </si>
  <si>
    <t>336-345</t>
  </si>
  <si>
    <t>Курская область</t>
  </si>
  <si>
    <t>RU46</t>
  </si>
  <si>
    <t>план приватизации</t>
  </si>
  <si>
    <t>326-375</t>
  </si>
  <si>
    <t>346-355</t>
  </si>
  <si>
    <t>Ленинградская область</t>
  </si>
  <si>
    <t>RU47</t>
  </si>
  <si>
    <t>разрешение на ввод объекта в эксплуатацию</t>
  </si>
  <si>
    <t>376-425</t>
  </si>
  <si>
    <t>356-365</t>
  </si>
  <si>
    <t>Липецкая область</t>
  </si>
  <si>
    <t>RU48</t>
  </si>
  <si>
    <t>выписка из ЕГРН</t>
  </si>
  <si>
    <t>426-475</t>
  </si>
  <si>
    <t>366-375</t>
  </si>
  <si>
    <t>Луганская Народная Республика</t>
  </si>
  <si>
    <t>RU81</t>
  </si>
  <si>
    <t>выписка из РФИ</t>
  </si>
  <si>
    <t>476-525</t>
  </si>
  <si>
    <t>376-385</t>
  </si>
  <si>
    <t>Магаданская область</t>
  </si>
  <si>
    <t>RU49</t>
  </si>
  <si>
    <t>документов нет вообще</t>
  </si>
  <si>
    <t>526-575</t>
  </si>
  <si>
    <t>386-395</t>
  </si>
  <si>
    <t>Московская область</t>
  </si>
  <si>
    <t>RU50</t>
  </si>
  <si>
    <t>576-625</t>
  </si>
  <si>
    <t>396-405</t>
  </si>
  <si>
    <t>Мурманская область</t>
  </si>
  <si>
    <t>RU51</t>
  </si>
  <si>
    <t>TARIFF_CALC_METHOD</t>
  </si>
  <si>
    <t>626-675</t>
  </si>
  <si>
    <t>406-415</t>
  </si>
  <si>
    <t>Ненецкий автономный округ</t>
  </si>
  <si>
    <t>RU83</t>
  </si>
  <si>
    <t>676-725</t>
  </si>
  <si>
    <t>416-425</t>
  </si>
  <si>
    <t>Нижегородская область</t>
  </si>
  <si>
    <t>RU52</t>
  </si>
  <si>
    <t>726-775</t>
  </si>
  <si>
    <t>426-435</t>
  </si>
  <si>
    <t>Новгородская область</t>
  </si>
  <si>
    <t>RU53</t>
  </si>
  <si>
    <t>776-825</t>
  </si>
  <si>
    <t>436-445</t>
  </si>
  <si>
    <t>Новосибирская область</t>
  </si>
  <si>
    <t>RU54</t>
  </si>
  <si>
    <t>826-875</t>
  </si>
  <si>
    <t>446-455</t>
  </si>
  <si>
    <t>Омская область</t>
  </si>
  <si>
    <t>RU55</t>
  </si>
  <si>
    <t>876-925</t>
  </si>
  <si>
    <t>456-465</t>
  </si>
  <si>
    <t>Оренбургская область</t>
  </si>
  <si>
    <t>RU56</t>
  </si>
  <si>
    <t>926-975</t>
  </si>
  <si>
    <t>466-475</t>
  </si>
  <si>
    <t>Орловская область</t>
  </si>
  <si>
    <t>RU57</t>
  </si>
  <si>
    <t>DOCUMENT_TYPES</t>
  </si>
  <si>
    <t>976-1050</t>
  </si>
  <si>
    <t>476-485</t>
  </si>
  <si>
    <t>Пензенская область</t>
  </si>
  <si>
    <t>RU58</t>
  </si>
  <si>
    <t>1051-1150</t>
  </si>
  <si>
    <t>486-495</t>
  </si>
  <si>
    <t>Пермский край</t>
  </si>
  <si>
    <t>RU59</t>
  </si>
  <si>
    <t>1151-1250</t>
  </si>
  <si>
    <t>496-505</t>
  </si>
  <si>
    <t>Приморский край</t>
  </si>
  <si>
    <t>RU25</t>
  </si>
  <si>
    <t>1251-1350</t>
  </si>
  <si>
    <t>506-515</t>
  </si>
  <si>
    <t>Псковская область</t>
  </si>
  <si>
    <t>RU60</t>
  </si>
  <si>
    <t>1351-1450</t>
  </si>
  <si>
    <t>516-525</t>
  </si>
  <si>
    <t>Республика Адыгея</t>
  </si>
  <si>
    <t>RU01</t>
  </si>
  <si>
    <t>1451-1550</t>
  </si>
  <si>
    <t>526-535</t>
  </si>
  <si>
    <t>Республика Алтай</t>
  </si>
  <si>
    <t>RU04</t>
  </si>
  <si>
    <t>1551-1650</t>
  </si>
  <si>
    <t>536-545</t>
  </si>
  <si>
    <t>Республика Башкортостан</t>
  </si>
  <si>
    <t>RU02</t>
  </si>
  <si>
    <t>протокол</t>
  </si>
  <si>
    <t>1651-1750</t>
  </si>
  <si>
    <t>546-555</t>
  </si>
  <si>
    <t>Республика Бурятия</t>
  </si>
  <si>
    <t>RU03</t>
  </si>
  <si>
    <t>1751-1850</t>
  </si>
  <si>
    <t>556-565</t>
  </si>
  <si>
    <t>Республика Дагестан</t>
  </si>
  <si>
    <t>RU05</t>
  </si>
  <si>
    <t>1851-1950</t>
  </si>
  <si>
    <t>566-575</t>
  </si>
  <si>
    <t>Республика Ингушетия</t>
  </si>
  <si>
    <t>RU06</t>
  </si>
  <si>
    <t>1951-2050</t>
  </si>
  <si>
    <t>576-585</t>
  </si>
  <si>
    <t>Республика Калмыкия</t>
  </si>
  <si>
    <t>RU08</t>
  </si>
  <si>
    <t>586-595</t>
  </si>
  <si>
    <t>Республика Карелия</t>
  </si>
  <si>
    <t>RU10</t>
  </si>
  <si>
    <t>596-605</t>
  </si>
  <si>
    <t>Республика Коми</t>
  </si>
  <si>
    <t>RU11</t>
  </si>
  <si>
    <t>606-615</t>
  </si>
  <si>
    <t>Республика Крым</t>
  </si>
  <si>
    <t>RU82</t>
  </si>
  <si>
    <t>Крым</t>
  </si>
  <si>
    <t>616-625</t>
  </si>
  <si>
    <t>Республика Марий Эл</t>
  </si>
  <si>
    <t>RU12</t>
  </si>
  <si>
    <t>626-635</t>
  </si>
  <si>
    <t>Республика Мордовия</t>
  </si>
  <si>
    <t>RU13</t>
  </si>
  <si>
    <t>636-645</t>
  </si>
  <si>
    <t>Республика Саха (Якутия)</t>
  </si>
  <si>
    <t>RU14</t>
  </si>
  <si>
    <t>646-655</t>
  </si>
  <si>
    <t>Республика Северная Осетия-Алания</t>
  </si>
  <si>
    <t>RU15</t>
  </si>
  <si>
    <t>Республика Северная Осетия (Алания)</t>
  </si>
  <si>
    <t>656-665</t>
  </si>
  <si>
    <t>Республика Татарстан</t>
  </si>
  <si>
    <t>RU16</t>
  </si>
  <si>
    <t>666-675</t>
  </si>
  <si>
    <t>Республика Тыва</t>
  </si>
  <si>
    <t>RU17</t>
  </si>
  <si>
    <t>Республика Тыва (Тува)</t>
  </si>
  <si>
    <t>676-685</t>
  </si>
  <si>
    <t>Республика Хакасия</t>
  </si>
  <si>
    <t>RU19</t>
  </si>
  <si>
    <t>686-695</t>
  </si>
  <si>
    <t>Ростовская область</t>
  </si>
  <si>
    <t>RU61</t>
  </si>
  <si>
    <t>696-705</t>
  </si>
  <si>
    <t>Рязанская область</t>
  </si>
  <si>
    <t>RU62</t>
  </si>
  <si>
    <t>706-715</t>
  </si>
  <si>
    <t>Самарская область</t>
  </si>
  <si>
    <t>RU63</t>
  </si>
  <si>
    <t>716-725</t>
  </si>
  <si>
    <t>Саратовская область</t>
  </si>
  <si>
    <t>RU64</t>
  </si>
  <si>
    <t>726-735</t>
  </si>
  <si>
    <t>Сахалинская область</t>
  </si>
  <si>
    <t>RU65</t>
  </si>
  <si>
    <t>736-745</t>
  </si>
  <si>
    <t>Свердловская область</t>
  </si>
  <si>
    <t>RU66</t>
  </si>
  <si>
    <t>746-755</t>
  </si>
  <si>
    <t>Смоленская область</t>
  </si>
  <si>
    <t>RU67</t>
  </si>
  <si>
    <t>756-765</t>
  </si>
  <si>
    <t>Ставропольский край</t>
  </si>
  <si>
    <t>RU26</t>
  </si>
  <si>
    <t>766-775</t>
  </si>
  <si>
    <t>Тамбовская область</t>
  </si>
  <si>
    <t>RU68</t>
  </si>
  <si>
    <t>776-785</t>
  </si>
  <si>
    <t>Тверская область</t>
  </si>
  <si>
    <t>RU69</t>
  </si>
  <si>
    <t>786-795</t>
  </si>
  <si>
    <t>Томская область</t>
  </si>
  <si>
    <t>RU70</t>
  </si>
  <si>
    <t>796-825</t>
  </si>
  <si>
    <t>Тульская область</t>
  </si>
  <si>
    <t>RU71</t>
  </si>
  <si>
    <t>Тюменская область</t>
  </si>
  <si>
    <t>RU72</t>
  </si>
  <si>
    <t>Удмуртская республика</t>
  </si>
  <si>
    <t>RU18</t>
  </si>
  <si>
    <t>Республика Удмуртия</t>
  </si>
  <si>
    <t>Ульяновская область</t>
  </si>
  <si>
    <t>RU73</t>
  </si>
  <si>
    <t>976-1025</t>
  </si>
  <si>
    <t>Хабаровский край</t>
  </si>
  <si>
    <t>RU27</t>
  </si>
  <si>
    <t>1026-1075</t>
  </si>
  <si>
    <t>Ханты-Мансийский автономный округ</t>
  </si>
  <si>
    <t>RU86</t>
  </si>
  <si>
    <t>1076-1125</t>
  </si>
  <si>
    <t>Херсонская область</t>
  </si>
  <si>
    <t>RU84</t>
  </si>
  <si>
    <t>1126-1175</t>
  </si>
  <si>
    <t>Челябинская область</t>
  </si>
  <si>
    <t>RU74</t>
  </si>
  <si>
    <t>1176-1225</t>
  </si>
  <si>
    <t>Чеченская республика</t>
  </si>
  <si>
    <t>RU20</t>
  </si>
  <si>
    <t>Республика Чечня</t>
  </si>
  <si>
    <t>1226-1275</t>
  </si>
  <si>
    <t>Чувашская республика</t>
  </si>
  <si>
    <t>RU21</t>
  </si>
  <si>
    <t>Республика Чувашия</t>
  </si>
  <si>
    <t>1276-1325</t>
  </si>
  <si>
    <t>Чукотский автономный округ</t>
  </si>
  <si>
    <t>RU87</t>
  </si>
  <si>
    <t>1326-1375</t>
  </si>
  <si>
    <t>Ямало-Ненецкий автономный округ</t>
  </si>
  <si>
    <t>RU89</t>
  </si>
  <si>
    <t>1376-1425</t>
  </si>
  <si>
    <t>Ярославская область</t>
  </si>
  <si>
    <t>RU76</t>
  </si>
  <si>
    <t>1426-1475</t>
  </si>
  <si>
    <t>1476-1525</t>
  </si>
  <si>
    <t>1526-1575</t>
  </si>
  <si>
    <t>1576-1625</t>
  </si>
  <si>
    <t>УПРАВЛЕНИЕ АЛТАЙСКОГО КРАЯ ПО ГОСУДАРСТВЕННОМУ РЕГУЛИРОВАНИЮ ЦЕН И ТАРИФОВ</t>
  </si>
  <si>
    <t>1626-1675</t>
  </si>
  <si>
    <t>УПРАВЛЕНИЕ ГОСУДАРСТВЕННОГО РЕГУЛИРОВАНИЯ ЦЕН И ТАРИФОВ АМУРСКОЙ ОБЛАСТИ</t>
  </si>
  <si>
    <t>1676-1725</t>
  </si>
  <si>
    <t>АГЕНТСТВО ПО ТАРИФАМ И ЦЕНАМ АРХАНГЕЛЬСКОЙ ОБЛАСТИ</t>
  </si>
  <si>
    <t>1726-1775</t>
  </si>
  <si>
    <t>МИНИСТЕРСТВО СТРОИТЕЛЬСТВА И ЖИЛИЩНО-КОММУНАЛЬНОГО ХОЗЯЙСТВА АСТРАХАНСКОЙ ОБЛАСТИ</t>
  </si>
  <si>
    <t>1776-1825</t>
  </si>
  <si>
    <t>МИНИСТЕРСТВО ЖИЛИЩНО-КОММУНАЛЬНОГО ХОЗЯЙСТВА БЕЛГОРОДСКОЙ ОБЛАСТИ</t>
  </si>
  <si>
    <t>1826-1875</t>
  </si>
  <si>
    <t>УПРАВЛЕНИЕ ГОСУДАРСТВЕННОГО РЕГУЛИРОВАНИЯ ТАРИФОВ БРЯНСКОЙ ОБЛАСТИ</t>
  </si>
  <si>
    <t>1876-1925</t>
  </si>
  <si>
    <t>МИНИСТЕРСТВО ГОСУДАРСТВЕННОГО РЕГУЛИРОВАНИЯ ЦЕН И ТАРИФОВ ВЛАДИМИРСКОЙ ОБЛАСТИ</t>
  </si>
  <si>
    <t>1926-1975</t>
  </si>
  <si>
    <t>КОМИТЕТ ТАРИФНОГО РЕГУЛИРОВАНИЯ ВОЛГОГРАДСКОЙ ОБЛАСТИ</t>
  </si>
  <si>
    <t>1976-2025</t>
  </si>
  <si>
    <t>ДЕПАРТАМЕНТ ТОПЛИВНО-ЭНЕРГЕТИЧЕСКОГО КОМПЛЕКСА И ТАРИФНОГО РЕГУЛИРОВАНИЯ ВОЛОГОДСКОЙ ОБЛАСТИ</t>
  </si>
  <si>
    <t>2026-2075</t>
  </si>
  <si>
    <t>ДЕПАРТАМЕНТ ГОСУДАРСТВЕННОГО РЕГУЛИРОВАНИЯ ТАРИФОВ ВОРОНЕЖСКОЙ ОБЛАСТИ</t>
  </si>
  <si>
    <t>2076-2125</t>
  </si>
  <si>
    <t>ДЕПАРТАМЕНТ ЭКОНОМИЧЕСКОЙ ПОЛИТИКИ И РАЗВИТИЯ ГОРОДА МОСКВЫ</t>
  </si>
  <si>
    <t>2126-2175</t>
  </si>
  <si>
    <t>г. Байконур</t>
  </si>
  <si>
    <t>УПРАВЛЕНИЕ ЭКОНОМИЧЕСКОГО РАЗВИТИЯ АДМИНИСТРАЦИИ ГОРОДА БАЙКОНУР</t>
  </si>
  <si>
    <t>2176-2225</t>
  </si>
  <si>
    <t>г. Санкт-Петербург</t>
  </si>
  <si>
    <t>КОМИТЕТ ПО ТАРИФАМ САНКТ-ПЕТЕРБУРГА</t>
  </si>
  <si>
    <t>2226-2275</t>
  </si>
  <si>
    <t>г. Севастополь</t>
  </si>
  <si>
    <t>ДЕПАРТАМЕНТ ГОРОДСКОГО ХОЗЯЙСТВА ГОРОДА СЕВАСТОПОЛЯ</t>
  </si>
  <si>
    <t>2276-2325</t>
  </si>
  <si>
    <t>РЕСПУБЛИКАНСКАЯ СЛУЖБА ПО ТАРИФАМ ДОНЕЦКОЙ НАРОДНОЙ РЕСПУБЛИКИ</t>
  </si>
  <si>
    <t>2326-2375</t>
  </si>
  <si>
    <t>ДЕПАРТАМЕНТ ТАРИФОВ И ЦЕН ПРАВИТЕЛЬСТВА ЕВРЕЙСКОЙ АВТОНОМНОЙ ОБЛАСТИ</t>
  </si>
  <si>
    <t>2376-2425</t>
  </si>
  <si>
    <t>РЕГИОНАЛЬНАЯ СЛУЖБА ПО ТАРИФАМ И ЦЕНООБРАЗОВАНИЮ ЗАБАЙКАЛЬСКОГО КРАЯ</t>
  </si>
  <si>
    <t>2426-2475</t>
  </si>
  <si>
    <t>МИНИСТЕРСТВО ПО ТАРИФАМ И ЦЕНОВОМУ РЕГУЛИРОВАНИЮ ВОЕННО-ГРАЖДАНСКОЙ АДМИНИСТРАЦИИ ЗАПОРОЖСКОЙ ОБЛАСТИ</t>
  </si>
  <si>
    <t>2476-2525</t>
  </si>
  <si>
    <t>ДЕПАРТАМЕНТ ЭНЕРГЕТИКИ И ТАРИФОВ ИВАНОВСКОЙ ОБЛАСТИ</t>
  </si>
  <si>
    <t>2526-2575</t>
  </si>
  <si>
    <t>СЛУЖБА ПО ТАРИФАМ ИРКУТСКОЙ ОБЛАСТИ</t>
  </si>
  <si>
    <t>2576-2625</t>
  </si>
  <si>
    <t>ГОСУДАРСТВЕННЫЙ КОМИТЕТ КАБАРДИНО-БАЛКАРСКОЙ РЕСПУБЛИКИ ПО ТАРИФАМ И ЖИЛИЩНОМУ НАДЗОРУ</t>
  </si>
  <si>
    <t>2626-2675</t>
  </si>
  <si>
    <t>СЛУЖБА ПО ГОСУДАРСТВЕННОМУ РЕГУЛИРОВАНИЮ ЦЕН И ТАРИФОВ КАЛИНИНГРАДСКОЙ ОБЛАСТИ</t>
  </si>
  <si>
    <t>2676-2725</t>
  </si>
  <si>
    <t>МИНИСТЕРСТВО КОНКУРЕНТНОЙ ПОЛИТИКИ КАЛУЖСКОЙ ОБЛАСТИ</t>
  </si>
  <si>
    <t>2726-2775</t>
  </si>
  <si>
    <t>РЕГИОНАЛЬНАЯ СЛУЖБА ПО ТАРИФАМ И ЦЕНАМ КАМЧАТСКОГО КРАЯ</t>
  </si>
  <si>
    <t>2776-2825</t>
  </si>
  <si>
    <t>ГЛАВНОЕ УПРАВЛЕНИЕ КАРАЧАЕВО-ЧЕРКЕССКОЙ РЕСПУБЛИКИ ПО ТАРИФАМ И ЦЕНАМ</t>
  </si>
  <si>
    <t>2826-2875</t>
  </si>
  <si>
    <t>2876-2925</t>
  </si>
  <si>
    <t>РЕГИОНАЛЬНАЯ СЛУЖБА ПО ТАРИФАМ КИРОВСКОЙ ОБЛАСТИ</t>
  </si>
  <si>
    <t>2926-2975</t>
  </si>
  <si>
    <t>ДЕПАРТАМЕНТ ГОСУДАРСТВЕННОГО РЕГУЛИРОВАНИЯ ЦЕН И ТАРИФОВ КОСТРОМСКОЙ ОБЛАСТИ</t>
  </si>
  <si>
    <t>2976-3050</t>
  </si>
  <si>
    <t>ДЕПАРТАМЕНТ ГОСУДАРСТВЕННОГО РЕГУЛИРОВАНИЯ ТАРИФОВ КРАСНОДАРСКОГО КРАЯ</t>
  </si>
  <si>
    <t>3051-3150</t>
  </si>
  <si>
    <t>МИНИСТЕРСТВО ТАРИФНОЙ ПОЛИТИКИ КРАСНОЯРСКОГО КРАЯ</t>
  </si>
  <si>
    <t>3151-3250</t>
  </si>
  <si>
    <t>ДЕПАРТАМЕНТ ГОСУДАРСТВЕННОГО РЕГУЛИРОВАНИЯ ЦЕН И ТАРИФОВ КУРГАНСКОЙ ОБЛАСТИ</t>
  </si>
  <si>
    <t>3251-3350</t>
  </si>
  <si>
    <t>КОМИТЕТ ПО ТАРИФАМ И ЦЕНАМ КУРСКОЙ ОБЛАСТИ</t>
  </si>
  <si>
    <t>3351-3450</t>
  </si>
  <si>
    <t>КОМИТЕТ ПО ТАРИФАМ И ЦЕНОВОЙ ПОЛИТИКЕ ЛЕНИНГРАДСКОЙ ОБЛАСТИ</t>
  </si>
  <si>
    <t>3451-3550</t>
  </si>
  <si>
    <t>УПРАВЛЕНИЕ ЭНЕРГЕТИКИ И ТАРИФОВ ЛИПЕЦКОЙ ОБЛАСТИ</t>
  </si>
  <si>
    <t>3551-3650</t>
  </si>
  <si>
    <t>КОМИТЕТ ТАРИФНОГО И ЦЕНОВОГО РЕГУЛИРОВАНИЯ ЛУГАНСКОЙ НАРОДНОЙ РЕСПУБЛИКИ</t>
  </si>
  <si>
    <t>3651-3750</t>
  </si>
  <si>
    <t>ДЕПАРТАМЕНТ ЦЕН И ТАРИФОВ МАГАДАНСКОЙ ОБЛАСТИ</t>
  </si>
  <si>
    <t>3751-3850</t>
  </si>
  <si>
    <t>КОМИТЕТ ПО ЦЕНАМ И ТАРИФАМ МОСКОВСКОЙ ОБЛАСТИ</t>
  </si>
  <si>
    <t>3851-3950</t>
  </si>
  <si>
    <t>КОМИТЕТ ПО ТАРИФНОМУ РЕГУЛИРОВАНИЮ МУРМАНСКОЙ ОБЛАСТИ</t>
  </si>
  <si>
    <t>3951-4050</t>
  </si>
  <si>
    <t>УПРАВЛЕНИЕ ПО ГОСУДАРСТВЕННОМУ РЕГУЛИРОВАНИЮ ЦЕН (ТАРИФОВ) НЕНЕЦКОГО АВТОНОМНОГО ОКРУГА</t>
  </si>
  <si>
    <t>4051-4150</t>
  </si>
  <si>
    <t>РЕГИОНАЛЬНАЯ СЛУЖБА ПО ТАРИФАМ НИЖЕГОРОДСКОЙ ОБЛАСТИ</t>
  </si>
  <si>
    <t>4151-4250</t>
  </si>
  <si>
    <t>КОМИТЕТ ПО ТАРИФНОЙ ПОЛИТИКЕ НОВГОРОДСКОЙ ОБЛАСТИ</t>
  </si>
  <si>
    <t>4251-4350</t>
  </si>
  <si>
    <t>ДЕПАРТАМЕНТ ПО ТАРИФАМ НОВОСИБИРСКОЙ ОБЛАСТИ</t>
  </si>
  <si>
    <t>4351-4450</t>
  </si>
  <si>
    <t>РЕГИОНАЛЬНАЯ ЭНЕРГЕТИЧЕСКАЯ КОМИССИЯ ОМСКОЙ ОБЛАСТИ</t>
  </si>
  <si>
    <t>4451-4550</t>
  </si>
  <si>
    <t>ДЕПАРТАМЕНТ ОРЕНБУРГСКОЙ ОБЛАСТИ ПО ЦЕНАМ И РЕГУЛИРОВАНИЮ ТАРИФОВ</t>
  </si>
  <si>
    <t>4551-4650</t>
  </si>
  <si>
    <t>УПРАВЛЕНИЕ ПО ТАРИФАМ И ЦЕНОВОЙ ПОЛИТИКЕ ОРЛОВСКОЙ ОБЛАСТИ</t>
  </si>
  <si>
    <t>4651-4750</t>
  </si>
  <si>
    <t>УПРАВЛЕНИЕ ПО РЕГУЛИРОВАНИЮ ТАРИФОВ, РАЗВИТИЮ ИНФРАСТРУКТУРЫ И ЭНЕРГОСБЕРЕЖЕНИЮ ПЕНЗЕНСКОЙ ОБЛАСТИ</t>
  </si>
  <si>
    <t>4751-4850</t>
  </si>
  <si>
    <t>МИНИСТЕРСТВО ТАРИФНОГО РЕГУЛИРОВАНИЯ И ЭНЕРГЕТИКИ ПЕРМСКОГО КРАЯ</t>
  </si>
  <si>
    <t>4851-4950</t>
  </si>
  <si>
    <t>АГЕНТСТВО ПО ТАРИФАМ ПРИМОРСКОГО КРАЯ</t>
  </si>
  <si>
    <t>КОМИТЕТ ПО ТАРИФАМ И ЭНЕРГЕТИКЕ ПСКОВСКОЙ ОБЛАСТИ</t>
  </si>
  <si>
    <t>УПРАВЛЕНИЕ ГОСУДАРСТВЕННОГО РЕГУЛИРОВАНИЯ ЦЕН И ТАРИФОВ РЕСПУБЛИКИ АДЫГЕЯ</t>
  </si>
  <si>
    <t>КОМИТЕТ ПО ТАРИФАМ РЕСПУБЛИКИ АЛТАЙ</t>
  </si>
  <si>
    <t>ГОСУДАРСТВЕННЫЙ КОМИТЕТ РЕСПУБЛИКИ БАШКОРТОСТАН ПО ТАРИФАМ</t>
  </si>
  <si>
    <t>РЕСПУБЛИКАНСКАЯ СЛУЖБА ПО ТАРИФАМ РЕСПУБЛИКИ БУРЯТИЯ</t>
  </si>
  <si>
    <t>РЕСПУБЛИКАНСКАЯ СЛУЖБА ПО ТАРИФАМ РЕСПУБЛИКИ ДАГЕСТАН</t>
  </si>
  <si>
    <t>МИНИСТЕРСТВО ПРОМЫШЛЕННОСТИ И ЦИФРОВОГО РАЗВИТИЯ РЕСПУБЛИКИ ИНГУШЕТИЯ</t>
  </si>
  <si>
    <t>РЕГИОНАЛЬНАЯ СЛУЖБА ПО ТАРИФАМ РЕСПУБЛИКИ КАЛМЫКИЯ</t>
  </si>
  <si>
    <t>ГОСУДАРСТВЕННЫЙ КОМИТЕТ РЕСПУБЛИКИ КАРЕЛИЯ ПО ЦЕНАМ И ТАРИФАМ</t>
  </si>
  <si>
    <t>КОМИТЕТ РЕСПУБЛИКИ КОМИ ПО ТАРИФАМ</t>
  </si>
  <si>
    <t>ГОСУДАРСТВЕННЫЙ КОМИТЕТ ПО ЦЕНАМ И ТАРИФАМ РЕСПУБЛИКИ КРЫМ</t>
  </si>
  <si>
    <t>МИНИСТЕРСТВО ПРОМЫШЛЕННОСТИ, ЭКОНОМИЧЕСКОГО РАЗВИТИЯ И ТОРГОВЛИ РЕСПУБЛИКИ МАРИЙ ЭЛ</t>
  </si>
  <si>
    <t>ГОСУДАРСТВЕННЫЙ КОМИТЕТ ПО ТАРИФАМ РЕСПУБЛИКИ МОРДОВИЯ</t>
  </si>
  <si>
    <t>ГОСУДАРСТВЕННЫЙ КОМИТЕТ ПО ЦЕНОВОЙ ПОЛИТИКЕ РЕСПУБЛИКИ САХА (ЯКУТИЯ)</t>
  </si>
  <si>
    <t>РЕГИОНАЛЬНАЯ СЛУЖБА ПО ТАРИФАМ РЕСПУБЛИКИ СЕВЕРНАЯ ОСЕТИЯ-АЛАНИЯ</t>
  </si>
  <si>
    <t>ГОСУДАРСТВЕННЫЙ КОМИТЕТ РЕСПУБЛИКИ ТАТАРСТАН ПО ТАРИФАМ</t>
  </si>
  <si>
    <t>СЛУЖБА ПО ТАРИФАМ РЕСПУБЛИКИ ТЫВА</t>
  </si>
  <si>
    <t>ГОСУДАРСТВЕННЫЙ КОМИТЕТ ЭНЕРГЕТИКИ И ТАРИФНОГО РЕГУЛИРОВАНИЯ РЕСПУБЛИКИ ХАКАСИЯ</t>
  </si>
  <si>
    <t>РЕГИОНАЛЬНАЯ СЛУЖБА ПО ТАРИФАМ РОСТОВСКОЙ ОБЛАСТИ</t>
  </si>
  <si>
    <t>ГЛАВНОЕ УПРАВЛЕНИЕ "РЕГИОНАЛЬНАЯ ЭНЕРГЕТИЧЕСКАЯ КОМИССИЯ" РЯЗАНСКОЙ ОБЛАСТИ</t>
  </si>
  <si>
    <t>ДЕПАРТАМЕНТ ЦЕНОВОГО И ТАРИФНОГО РЕГУЛИРОВАНИЯ САМАРСКОЙ ОБЛАСТИ</t>
  </si>
  <si>
    <t>КОМИТЕТ ГОСУДАРСТВЕННОГО РЕГУЛИРОВАНИЯ ТАРИФОВ САРАТОВСКОЙ ОБЛАСТИ</t>
  </si>
  <si>
    <t>РЕГИОНАЛЬНАЯ ЭНЕРГЕТИЧЕСКАЯ КОМИССИЯ САХАЛИНСКОЙ ОБЛАСТИ</t>
  </si>
  <si>
    <t>РЕГИОНАЛЬНАЯ ЭНЕРГЕТИЧЕСКАЯ КОМИССИЯ СВЕРДЛОВСКОЙ ОБЛАСТИ</t>
  </si>
  <si>
    <t>ДЕПАРТАМЕНТ СМОЛЕНСКОЙ ОБЛАСТИ ПО ЭНЕРГЕТИКЕ, ЭНЕРГОЭФФЕКТИВНОСТИ, ТАРИФНОЙ ПОЛИТИКЕ</t>
  </si>
  <si>
    <t>РЕГИОНАЛЬНАЯ ТАРИФНАЯ КОМИССИЯ СТАВРОПОЛЬСКОГО КРАЯ</t>
  </si>
  <si>
    <t>ДЕПАРТАМЕНТ ЦЕН И ТАРИФОВ ТАМБОВСКОЙ ОБЛАСТИ</t>
  </si>
  <si>
    <t>ГЛАВНОЕ УПРАВЛЕНИЕ "РЕГИОНАЛЬНАЯ ЭНЕРГЕТИЧЕСКАЯ КОМИССИЯ" ТВЕРСКОЙ ОБЛАСТИ</t>
  </si>
  <si>
    <t>ДЕПАРТАМЕНТ ТАРИФНОГО РЕГУЛИРОВАНИЯ ТОМСКОЙ ОБЛАСТИ</t>
  </si>
  <si>
    <t>КОМИТЕТ ТУЛЬСКОЙ ОБЛАСТИ ПО ТАРИФАМ</t>
  </si>
  <si>
    <t>ДЕПАРТАМЕНТ ТАРИФНОЙ И ЦЕНОВОЙ ПОЛИТИКИ ТЮМЕНСКОЙ ОБЛАСТИ</t>
  </si>
  <si>
    <t>МИНИСТЕРСТВО СТРОИТЕЛЬСТВА, ЖИЛИЩНО-КОММУНАЛЬНОГО ХОЗЯЙСТВА И ЭНЕРГЕТИКИ УДМУРТСКОЙ РЕСПУБЛИКИ</t>
  </si>
  <si>
    <t>АГЕНТСТВО ПО РЕГУЛИРОВАНИЮ ЦЕН И ТАРИФОВ УЛЬЯНОВСКОЙ ОБЛАСТИ</t>
  </si>
  <si>
    <t>КОМИТЕТ ПО ЦЕНАМ И ТАРИФАМ ПРАВИТЕЛЬСТВА ХАБАРОВСКОГО КРАЯ</t>
  </si>
  <si>
    <t>РЕГИОНАЛЬНАЯ СЛУЖБА ПО ТАРИФАМ ХАНТЫ-МАНСИЙСКОГО АВТОНОМНОГО ОКРУГА - ЮГРЫ</t>
  </si>
  <si>
    <t>СЛУЖБА ЦЕН И ТАРИФОВ ХЕРСОНСКОЙ ОБЛАСТИ</t>
  </si>
  <si>
    <t>МИНИСТЕРСТВО ТАРИФНОГО РЕГУЛИРОВАНИЯ И ЭНЕРГЕТИКИ ЧЕЛЯБИНСКОЙ ОБЛАСТИ</t>
  </si>
  <si>
    <t>ГОСУДАРСТВЕННЫЙ КОМИТЕТ ЦЕН И ТАРИФОВ ЧЕЧЕНСКОЙ РЕСПУБЛИКИ</t>
  </si>
  <si>
    <t>ГОСУДАРСТВЕННАЯ СЛУЖБА ЧУВАШСКОЙ РЕСПУБЛИКИ ПО КОНКУРЕНТНОЙ ПОЛИТИКЕ И ТАРИФАМ</t>
  </si>
  <si>
    <t>КОМИТЕТ ГОСУДАРСТВЕННОГО РЕГУЛИРОВАНИЯ ЦЕН И ТАРИФОВ ЧУКОТСКОГО АВТОНОМНОГО ОКРУГА</t>
  </si>
  <si>
    <t>ДЕПАРТАМЕНТ ТАРИФНОЙ ПОЛИТИКИ, ЭНЕРГЕТИКИ И ЖИЛИЩНО-КОММУНАЛЬНОГО КОМПЛЕКСА ЯМАЛО-НЕНЕЦКОГО</t>
  </si>
  <si>
    <t>МИНИСТЕРСТВО ТАРИФНОГО РЕГУЛИРОВАНИЯ ЯРОСЛАВСКОЙ ОБЛАСТИ</t>
  </si>
  <si>
    <t>name</t>
  </si>
  <si>
    <t>"Бачатский угольный разрез" - филиал АО "УК "Кузбассразрезуголь"</t>
  </si>
  <si>
    <t>Кемеровская ГРЭС</t>
  </si>
  <si>
    <t>Кемеровская ТЭЦ</t>
  </si>
  <si>
    <t>"Талдинский угольный разрез" - филиал АО "УК "Кузбассразрезуголь"</t>
  </si>
  <si>
    <t>dopName</t>
  </si>
  <si>
    <t>Оказание услуг на территории: город Кемерово (ОКТМО: 32701000) - жилые районы Кедровка, Промышленновский</t>
  </si>
  <si>
    <t>Оказание услуг на территории: город Полысаево (ОКТМО: 32732000) - г Ленинск-Кузнецкий, г Полысаево</t>
  </si>
  <si>
    <t>Оказание услуг на территории: город Полысаево (ОКТМО: 32732000) - транспортировка</t>
  </si>
  <si>
    <t>Оказание услуг на территории: Ленинск-Кузнецкий муниципальный округ (ОКТМО: 32514000) - г Ленинск-Кузнецкий</t>
  </si>
  <si>
    <t>Оказание услуг на территории: Ленинск-Кузнецкий муниципальный округ (ОКТМО: 32514000) - г Полысаево</t>
  </si>
  <si>
    <t>Оказание услуг на территории: Яшкинский муниципальный округ (ОКТМО: 32546000) - имущество, переданное по договору аренды</t>
  </si>
  <si>
    <t>Оказание услуг на территории: Яшкинский муниципальный округ (ОКТМО: 32546000) - имущество, переданное по концессионному соглашению</t>
  </si>
  <si>
    <t>Оказание услуг на территории: Яшкинский муниципальный район (ОКТМО: 32646000) - пгт Яшкино</t>
  </si>
  <si>
    <t>Оказание услуг на территории: Яшкинский муниципальный район (ОКТМО: 32646000) - сельские поселения</t>
  </si>
  <si>
    <t>агар питательный</t>
  </si>
  <si>
    <t>агар Эндо</t>
  </si>
  <si>
    <t>алюминий окись</t>
  </si>
  <si>
    <t>алюминий сернокислый</t>
  </si>
  <si>
    <t>аммиак</t>
  </si>
  <si>
    <t>аммиачная вода</t>
  </si>
  <si>
    <t>аммоний</t>
  </si>
  <si>
    <t>аммоний хлористый</t>
  </si>
  <si>
    <t>барий хлористый</t>
  </si>
  <si>
    <t>биоксимин</t>
  </si>
  <si>
    <t>бромфеноловый синий</t>
  </si>
  <si>
    <t>водорода перекись</t>
  </si>
  <si>
    <t>гексан</t>
  </si>
  <si>
    <t>гидроксиламин солянокислый</t>
  </si>
  <si>
    <t>гидрохлорид кальция</t>
  </si>
  <si>
    <t>гипохлорит кальция</t>
  </si>
  <si>
    <t>гипохлорит натрия</t>
  </si>
  <si>
    <t>глицерин</t>
  </si>
  <si>
    <t>дифенилкарбазид</t>
  </si>
  <si>
    <t>дифенилкарбазон</t>
  </si>
  <si>
    <t>железо сернокислое</t>
  </si>
  <si>
    <t>железо трёххлористое</t>
  </si>
  <si>
    <t>известь негашёная (порошок)</t>
  </si>
  <si>
    <t>известь негашёная гидратная</t>
  </si>
  <si>
    <t>известь хлорная</t>
  </si>
  <si>
    <t>калий азотнокислый</t>
  </si>
  <si>
    <t>калий двухромовокислый</t>
  </si>
  <si>
    <t>калий йодистый</t>
  </si>
  <si>
    <t>калий марганцевокислый</t>
  </si>
  <si>
    <t>калий фосфорнокислый</t>
  </si>
  <si>
    <t>калий хлористый</t>
  </si>
  <si>
    <t>калий-натрий виннокислый</t>
  </si>
  <si>
    <t>кальций углекислый</t>
  </si>
  <si>
    <t>кальций хлористый</t>
  </si>
  <si>
    <t>кальция гипохлорит</t>
  </si>
  <si>
    <t>кварцевый песок</t>
  </si>
  <si>
    <t>кислота азотная</t>
  </si>
  <si>
    <t>кислота аскорбиновая</t>
  </si>
  <si>
    <t>кислота лимонная</t>
  </si>
  <si>
    <t>кислота розоловая (аурин)</t>
  </si>
  <si>
    <t>кислота серная</t>
  </si>
  <si>
    <t>кислота соляная</t>
  </si>
  <si>
    <t>кислота уксусная</t>
  </si>
  <si>
    <t>кислота щавелевая</t>
  </si>
  <si>
    <t>крахмал</t>
  </si>
  <si>
    <t>лантан азотнокислый</t>
  </si>
  <si>
    <t>магний сернокислый</t>
  </si>
  <si>
    <t>модифицированные аминофосфоновые кислоты и фосфонаты (FLOSPERSE)</t>
  </si>
  <si>
    <t>натр едкий</t>
  </si>
  <si>
    <t>натрий гидроокись</t>
  </si>
  <si>
    <t>натрий салициловокислый</t>
  </si>
  <si>
    <t>натрий сернокислый</t>
  </si>
  <si>
    <t>натрий углекислый</t>
  </si>
  <si>
    <t>натрий уксуснокислый</t>
  </si>
  <si>
    <t>натрий хлористый</t>
  </si>
  <si>
    <t>пеногаситель (FLOFOAM)</t>
  </si>
  <si>
    <t>реактив Грисса</t>
  </si>
  <si>
    <t>реактив Несслера</t>
  </si>
  <si>
    <t>свинец уксуснокислый</t>
  </si>
  <si>
    <t>серебро азотнокислое</t>
  </si>
  <si>
    <t>серебро сернокислое</t>
  </si>
  <si>
    <t>сода кальцинированная</t>
  </si>
  <si>
    <t>сода каустическая</t>
  </si>
  <si>
    <t>соль 1 сорт</t>
  </si>
  <si>
    <t>соль пищевая поваренная</t>
  </si>
  <si>
    <t>соль таблетированная</t>
  </si>
  <si>
    <t>соль техническая</t>
  </si>
  <si>
    <t>соль экстра</t>
  </si>
  <si>
    <t>спирт</t>
  </si>
  <si>
    <t>сульфат алюминия 1 сорт</t>
  </si>
  <si>
    <t>сульфат алюминия жидкий</t>
  </si>
  <si>
    <t>сульфат алюминия технический</t>
  </si>
  <si>
    <t>сульфат аммония</t>
  </si>
  <si>
    <t>тиомочевина</t>
  </si>
  <si>
    <t>тиосульфат натрия</t>
  </si>
  <si>
    <t>углерод порошкообразный</t>
  </si>
  <si>
    <t>углерод четырёххлористый</t>
  </si>
  <si>
    <t>фенолфталеин</t>
  </si>
  <si>
    <t>хлор</t>
  </si>
  <si>
    <t>хлор жидкий</t>
  </si>
  <si>
    <t>хлорамин</t>
  </si>
  <si>
    <t>хлороформ</t>
  </si>
  <si>
    <t>этиленгликоль</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</si>
</sst>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1" formatCode="_(* #,##0_);_(* (#,##0);_(* &quot;-&quot;_);_(@_)"/>
    <numFmt numFmtId="42" formatCode="_(&quot;$&quot;* #,##0_);_(&quot;$&quot;* (#,##0);_(&quot;$&quot;* &quot;-&quot;_);_(@_)"/>
    <numFmt numFmtId="43" formatCode="_(* #,##0.00_);_(* (#,##0.00);_(* &quot;-&quot;??_);_(@_)"/>
    <numFmt numFmtId="44" formatCode="_(&quot;$&quot;* #,##0.00_);_(&quot;$&quot;* (#,##0.00);_(&quot;$&quot;* &quot;-&quot;??_);_(@_)"/>
    <numFmt numFmtId="171" formatCode=";;;"/>
    <numFmt numFmtId="172" formatCode="#,##0.000"/>
    <numFmt numFmtId="173" formatCode="0.000%"/>
    <numFmt numFmtId="174" formatCode="dd\.mm\.yyyy"/>
    <numFmt numFmtId="175" formatCode="0.0"/>
  </numFmts>
  <fonts count="95">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6500"/>
      <name val="Calibri"/>
      <scheme val="minor"/>
    </font>
    <font>
      <b/>
      <sz val="11"/>
      <color rgb="FF3F3F3F"/>
      <name val="Calibri"/>
      <scheme val="minor"/>
    </font>
    <font>
      <b/>
      <sz val="18"/>
      <color theme="3"/>
      <name val="Cambria"/>
      <scheme val="major"/>
    </font>
    <font>
      <b/>
      <sz val="11"/>
      <color theme="1"/>
      <name val="Calibri"/>
      <scheme val="minor"/>
    </font>
    <font>
      <sz val="11"/>
      <color rgb="FFFF0000"/>
      <name val="Calibri"/>
      <scheme val="minor"/>
    </font>
    <font>
      <sz val="9"/>
      <color auto="1"/>
      <name val="Tahoma"/>
    </font>
    <font>
      <sz val="10"/>
      <color auto="1"/>
      <name val="Arial Cyr"/>
    </font>
    <font>
      <sz val="14"/>
      <color rgb="FFBCBCBC"/>
      <name val="Calibri"/>
    </font>
    <font>
      <sz val="14"/>
      <color rgb="FFC0C0C0"/>
      <name val="Calibri"/>
      <scheme val="minor"/>
    </font>
    <font>
      <b/>
      <sz val="9"/>
      <color auto="1"/>
      <name val="Tahoma"/>
    </font>
    <font>
      <sz val="9"/>
      <color theme="1"/>
      <name val="Tahoma"/>
    </font>
    <font>
      <b/>
      <sz val="8"/>
      <color auto="1"/>
      <name val="Tahoma"/>
    </font>
    <font>
      <sz val="8"/>
      <color auto="1"/>
      <name val="Tahoma"/>
    </font>
    <font>
      <sz val="9"/>
      <color rgb="FFFFFFFF"/>
      <name val="Tahoma"/>
    </font>
    <font>
      <b/>
      <sz val="10"/>
      <color auto="1"/>
      <name val="Tahoma"/>
    </font>
    <font>
      <sz val="8"/>
      <color rgb="FF0070C0"/>
      <name val="Tahoma"/>
    </font>
    <font>
      <sz val="10"/>
      <color auto="1"/>
      <name val="Tahoma"/>
    </font>
    <font>
      <sz val="9"/>
      <color rgb="FFFF0000"/>
      <name val="Tahoma"/>
    </font>
    <font>
      <sz val="9"/>
      <color rgb="FF0070C0"/>
      <name val="Tahoma"/>
    </font>
    <font>
      <b/>
      <sz val="9"/>
      <color rgb="FF000000"/>
      <name val="Tahoma"/>
    </font>
    <font>
      <b/>
      <u/>
      <sz val="9"/>
      <color theme="1"/>
      <name val="Tahoma"/>
    </font>
    <font>
      <sz val="8"/>
      <color theme="1"/>
      <name val="Tahoma"/>
    </font>
    <font>
      <b/>
      <sz val="8"/>
      <color theme="1"/>
      <name val="Tahoma"/>
    </font>
    <font>
      <sz val="8"/>
      <color rgb="FFFFFFFF"/>
      <name val="Tahoma"/>
    </font>
    <font>
      <sz val="11"/>
      <color rgb="FFBCBCBC"/>
      <name val="Wingdings 2"/>
    </font>
    <font>
      <sz val="9"/>
      <color theme="0"/>
      <name val="Tahoma"/>
    </font>
    <font>
      <b/>
      <sz val="9"/>
      <color rgb="FF333399"/>
      <name val="Tahoma"/>
    </font>
    <font>
      <b/>
      <sz val="9"/>
      <color theme="1"/>
      <name val="Calibri"/>
      <scheme val="minor"/>
    </font>
    <font>
      <b/>
      <sz val="9"/>
      <color theme="1"/>
      <name val="Tahoma"/>
    </font>
    <font>
      <sz val="9"/>
      <color rgb="FF000080"/>
      <name val="Tahoma"/>
    </font>
    <font>
      <sz val="9"/>
      <color theme="0" tint="-0.15"/>
      <name val="Tahoma"/>
    </font>
    <font>
      <b/>
      <sz val="9"/>
      <color theme="0"/>
      <name val="Tahoma"/>
    </font>
    <font>
      <u/>
      <sz val="10"/>
      <color rgb="FF000080"/>
      <name val="Tahoma"/>
    </font>
    <font>
      <sz val="12"/>
      <color theme="1"/>
      <name val="Tahoma"/>
    </font>
    <font>
      <sz val="16"/>
      <color auto="1"/>
      <name val="Tahoma"/>
    </font>
    <font>
      <b/>
      <sz val="16"/>
      <color auto="1"/>
      <name val="Tahoma"/>
    </font>
    <font>
      <u/>
      <sz val="9"/>
      <color rgb="FF000080"/>
      <name val="Tahoma"/>
    </font>
    <font>
      <sz val="8"/>
      <color rgb="FF000000"/>
      <name val="Tahoma"/>
    </font>
    <font>
      <sz val="14"/>
      <color rgb="FFBCBCBC"/>
      <name val="Calibri"/>
      <scheme val="minor"/>
    </font>
    <font>
      <b/>
      <u/>
      <sz val="11"/>
      <color rgb="FF0000FF"/>
      <name val="Tahoma"/>
    </font>
    <font>
      <sz val="11"/>
      <color rgb="FFFFFFFF"/>
      <name val="Tahoma"/>
    </font>
    <font>
      <b/>
      <sz val="8"/>
      <color rgb="FF000000"/>
      <name val="Tahoma"/>
    </font>
    <font>
      <sz val="11"/>
      <color rgb="FF000000"/>
      <name val="Tahoma"/>
    </font>
    <font>
      <sz val="10"/>
      <color rgb="FF000000"/>
      <name val="Arial Cyr"/>
    </font>
    <font>
      <sz val="10"/>
      <color rgb="FF000000"/>
      <name val="Tahoma"/>
    </font>
    <font>
      <sz val="11"/>
      <color theme="1"/>
      <name val="Tahoma"/>
    </font>
    <font>
      <sz val="11"/>
      <color rgb="FFBCBCBC"/>
      <name val="Tahoma"/>
    </font>
    <font>
      <u/>
      <sz val="9"/>
      <color auto="1"/>
      <name val="Tahoma"/>
    </font>
    <font>
      <sz val="20"/>
      <color auto="1"/>
      <name val="Tahoma"/>
    </font>
    <font>
      <sz val="12"/>
      <color auto="1"/>
      <name val="Tahoma"/>
    </font>
    <font>
      <sz val="18"/>
      <color auto="1"/>
      <name val="Tahoma"/>
    </font>
    <font>
      <b/>
      <sz val="9"/>
      <color rgb="FFFF0000"/>
      <name val="Tahoma"/>
    </font>
    <font>
      <sz val="8"/>
      <color rgb="FFFF0000"/>
      <name val="Tahoma"/>
    </font>
    <font>
      <sz val="14"/>
      <color theme="0" tint="-0.15"/>
      <name val="Calibri"/>
      <scheme val="minor"/>
    </font>
    <font>
      <sz val="16"/>
      <color theme="0"/>
      <name val="Tahoma"/>
    </font>
    <font>
      <sz val="8"/>
      <color theme="0"/>
      <name val="Tahoma"/>
    </font>
    <font>
      <sz val="11"/>
      <color auto="1"/>
      <name val="Calibri"/>
      <scheme val="minor"/>
    </font>
    <font>
      <sz val="9"/>
      <color rgb="FFCC0000"/>
      <name val="Tahoma"/>
    </font>
    <font>
      <b/>
      <u/>
      <sz val="9"/>
      <color rgb="FFFFFFFF"/>
      <name val="Tahoma"/>
    </font>
    <font>
      <b/>
      <sz val="9"/>
      <color rgb="FFBCBCBC"/>
      <name val="Tahoma"/>
    </font>
    <font>
      <b/>
      <sz val="10"/>
      <color rgb="FF000000"/>
      <name val="Tahoma"/>
    </font>
    <font>
      <u/>
      <sz val="20"/>
      <color rgb="FF000000"/>
      <name val="Tahoma"/>
    </font>
    <font>
      <u/>
      <sz val="20"/>
      <color rgb="FF003366"/>
      <name val="Tahoma"/>
    </font>
    <font>
      <sz val="11"/>
      <color rgb="FF000000"/>
      <name val="Marlett"/>
    </font>
    <font>
      <sz val="11"/>
      <color rgb="FF000000"/>
      <name val="Calibri"/>
    </font>
    <font>
      <sz val="9"/>
      <color theme="1"/>
      <name val="Calibri"/>
      <scheme val="minor"/>
    </font>
    <font>
      <sz val="9"/>
      <color auto="1"/>
      <name val="Calibri"/>
      <scheme val="minor"/>
    </font>
    <font>
      <sz val="11"/>
      <color auto="1"/>
      <name val="Tahoma"/>
    </font>
    <font>
      <u/>
      <sz val="10"/>
      <color rgb="FF0000FF"/>
      <name val="Tahoma"/>
    </font>
    <font>
      <u/>
      <sz val="9"/>
      <color theme="10"/>
      <name val="Tahoma"/>
    </font>
    <font>
      <b/>
      <sz val="11"/>
      <color rgb="FF000000"/>
      <name val="TT Commons"/>
      <scheme val="minor"/>
    </font>
    <font>
      <b/>
      <sz val="9"/>
      <color rgb="FFFFFFFF"/>
      <name val="Tahoma"/>
    </font>
    <font>
      <b/>
      <u/>
      <sz val="9"/>
      <color theme="10"/>
      <name val="Tahoma"/>
    </font>
    <font>
      <b/>
      <sz val="11"/>
      <color auto="1"/>
      <name val="Calibri"/>
    </font>
    <font>
      <sz val="12"/>
      <color auto="1"/>
      <name val="Calibri"/>
    </font>
    <font>
      <b/>
      <sz val="11"/>
      <color auto="1"/>
      <name val="Tahoma"/>
    </font>
    <font>
      <sz val="11"/>
      <color indexed="0"/>
      <name val="Calibri"/>
      <family val="2"/>
      <scheme val="minor"/>
    </font>
    <font>
      <b/>
      <sz val="12"/>
      <color auto="1"/>
      <name val="Calibri"/>
    </font>
    <font>
      <b/>
      <i/>
      <sz val="12"/>
      <color auto="1"/>
      <name val="Calibri"/>
    </font>
    <font>
      <b/>
      <i/>
      <sz val="11"/>
      <color auto="1"/>
      <name val="Calibri"/>
    </font>
    <font>
      <b/>
      <i/>
      <sz val="14"/>
      <color auto="1"/>
      <name val="Calibri"/>
    </font>
  </fonts>
  <fills count="59">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D7EAD3"/>
      </patternFill>
    </fill>
    <fill>
      <patternFill patternType="solid">
        <fgColor rgb="FFFFFFC0"/>
      </patternFill>
    </fill>
    <fill>
      <patternFill patternType="solid">
        <fgColor rgb="FFE3FAFD"/>
      </patternFill>
    </fill>
    <fill>
      <patternFill patternType="solid">
        <fgColor rgb="FFFFFFFF"/>
      </patternFill>
    </fill>
    <fill>
      <patternFill patternType="solid">
        <fgColor theme="0"/>
      </patternFill>
    </fill>
    <fill>
      <patternFill patternType="solid">
        <fgColor rgb="FF0066CC"/>
      </patternFill>
    </fill>
    <fill>
      <patternFill patternType="solid">
        <fgColor rgb="FFFFFF00"/>
      </patternFill>
    </fill>
    <fill>
      <patternFill patternType="solid">
        <fgColor rgb="FFFF8080"/>
      </patternFill>
    </fill>
    <fill>
      <patternFill patternType="solid">
        <fgColor rgb="FF808080"/>
      </patternFill>
    </fill>
    <fill>
      <patternFill patternType="lightDown">
        <fgColor rgb="FFBCBCBC"/>
      </patternFill>
    </fill>
    <fill>
      <patternFill patternType="solid">
        <fgColor theme="0" tint="-0.15"/>
      </patternFill>
    </fill>
    <fill>
      <patternFill patternType="solid">
        <fgColor theme="0" tint="-0.25"/>
      </patternFill>
    </fill>
    <fill>
      <patternFill patternType="solid">
        <fgColor rgb="FFCC0000"/>
      </patternFill>
    </fill>
    <fill>
      <patternFill patternType="solid">
        <fgColor rgb="FFD3DBDB"/>
      </patternFill>
    </fill>
    <fill>
      <patternFill patternType="solid">
        <fgColor rgb="FF0070C0"/>
      </patternFill>
    </fill>
    <fill>
      <patternFill patternType="solid">
        <fgColor rgb="FF00B0F0"/>
      </patternFill>
    </fill>
    <fill>
      <patternFill patternType="solid">
        <fgColor rgb="FFFF0000"/>
      </patternFill>
    </fill>
    <fill>
      <patternFill patternType="solid">
        <fgColor rgb="FFB7E4FF"/>
      </patternFill>
    </fill>
    <fill>
      <patternFill patternType="solid">
        <fgColor rgb="FFF0F075"/>
      </patternFill>
    </fill>
    <fill>
      <patternFill patternType="solid">
        <fgColor rgb="FFCCC0DA"/>
      </patternFill>
    </fill>
    <fill>
      <patternFill patternType="solid">
        <fgColor rgb="FFF79646"/>
      </patternFill>
    </fill>
    <fill>
      <patternFill patternType="solid">
        <fgColor rgb="FFBCBCBC"/>
      </patternFill>
    </fill>
    <fill>
      <patternFill patternType="solid">
        <fgColor theme="0" tint="-0.05"/>
      </patternFill>
    </fill>
    <fill>
      <patternFill patternType="solid">
        <fgColor rgb="FFEAEBEE"/>
      </patternFill>
    </fill>
    <fill>
      <patternFill patternType="lightDown">
        <fgColor rgb="FFC0C0C0"/>
      </patternFill>
    </fill>
    <fill>
      <patternFill patternType="solid">
        <fgColor rgb="FFFFF2CC"/>
      </patternFill>
    </fill>
  </fills>
  <borders count="103">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right style="thin">
        <color rgb="FFC0C0C0"/>
      </right>
      <top/>
      <bottom/>
    </border>
    <border>
      <left style="thin">
        <color rgb="FFC0C0C0"/>
      </left>
      <right style="thin">
        <color rgb="FFC0C0C0"/>
      </right>
      <top style="thin">
        <color rgb="FFC0C0C0"/>
      </top>
      <bottom style="thin">
        <color rgb="FFC0C0C0"/>
      </bottom>
    </border>
    <border>
      <left style="thin">
        <color rgb="FFC0C0C0"/>
      </left>
      <right style="thin">
        <color rgb="FFC0C0C0"/>
      </right>
      <top style="thin">
        <color rgb="FFC0C0C0"/>
      </top>
      <bottom/>
    </border>
    <border>
      <left style="thin">
        <color theme="0" tint="-0.25"/>
      </left>
      <right style="thin">
        <color theme="0" tint="-0.25"/>
      </right>
      <top style="thin">
        <color theme="0" tint="-0.25"/>
      </top>
      <bottom/>
    </border>
    <border>
      <left style="thin">
        <color rgb="FFC0C0C0"/>
      </left>
      <right/>
      <top style="thin">
        <color rgb="FFC0C0C0"/>
      </top>
      <bottom style="thin">
        <color rgb="FFC0C0C0"/>
      </bottom>
    </border>
    <border>
      <left style="thin">
        <color theme="0" tint="-0.15"/>
      </left>
      <right style="thin">
        <color theme="0" tint="-0.15"/>
      </right>
      <top style="thin">
        <color theme="0" tint="-0.15"/>
      </top>
      <bottom style="thin">
        <color theme="0" tint="-0.15"/>
      </bottom>
    </border>
    <border>
      <left style="thin">
        <color rgb="FFC0C0C0"/>
      </left>
      <right/>
      <top style="thin">
        <color rgb="FFC0C0C0"/>
      </top>
      <bottom/>
    </border>
    <border>
      <left style="thin">
        <color rgb="FFD9D9D9"/>
      </left>
      <right style="thin">
        <color rgb="FFD9D9D9"/>
      </right>
      <top style="thin">
        <color rgb="FFD9D9D9"/>
      </top>
      <bottom style="thin">
        <color rgb="FFD9D9D9"/>
      </bottom>
    </border>
    <border>
      <left style="thin">
        <color rgb="FFBCBCBC"/>
      </left>
      <right style="thin">
        <color rgb="FFBCBCBC"/>
      </right>
      <top style="thin">
        <color rgb="FFBCBCBC"/>
      </top>
      <bottom style="thin">
        <color rgb="FFBCBCBC"/>
      </bottom>
    </border>
    <border>
      <left style="thin">
        <color theme="0" tint="-0.25"/>
      </left>
      <right style="thin">
        <color theme="0" tint="-0.25"/>
      </right>
      <top style="thin">
        <color theme="0" tint="-0.25"/>
      </top>
      <bottom style="thin">
        <color theme="0" tint="-0.25"/>
      </bottom>
    </border>
    <border>
      <left/>
      <right/>
      <top style="thin">
        <color rgb="FFD9D9D9"/>
      </top>
      <bottom style="thin">
        <color rgb="FFD9D9D9"/>
      </bottom>
    </border>
    <border>
      <left style="thin">
        <color theme="0" tint="-0.25"/>
      </left>
      <right style="thin">
        <color theme="0" tint="-0.35"/>
      </right>
      <top style="thin">
        <color theme="0" tint="-0.25"/>
      </top>
      <bottom style="thin">
        <color theme="0" tint="-0.35"/>
      </bottom>
    </border>
    <border>
      <left style="thin">
        <color theme="0" tint="-0.35"/>
      </left>
      <right style="thin">
        <color theme="0" tint="-0.35"/>
      </right>
      <top style="thin">
        <color theme="0" tint="-0.25"/>
      </top>
      <bottom style="thin">
        <color theme="0" tint="-0.35"/>
      </bottom>
    </border>
    <border>
      <left style="thin">
        <color theme="0" tint="-0.35"/>
      </left>
      <right style="thin">
        <color theme="0" tint="-0.25"/>
      </right>
      <top style="thin">
        <color theme="0" tint="-0.25"/>
      </top>
      <bottom style="thin">
        <color theme="0" tint="-0.35"/>
      </bottom>
    </border>
    <border>
      <left/>
      <right/>
      <top style="thin">
        <color rgb="FFBCBCBC"/>
      </top>
      <bottom style="thin">
        <color rgb="FFBCBCBC"/>
      </bottom>
    </border>
    <border>
      <left style="thin">
        <color theme="0" tint="-0.35"/>
      </left>
      <right/>
      <top style="thin">
        <color theme="0" tint="-0.35"/>
      </top>
      <bottom style="thin">
        <color rgb="FFBCBCBC"/>
      </bottom>
    </border>
    <border>
      <left/>
      <right/>
      <top style="thin">
        <color theme="0" tint="-0.35"/>
      </top>
      <bottom style="thin">
        <color rgb="FFBCBCBC"/>
      </bottom>
    </border>
    <border>
      <left/>
      <right style="thin">
        <color theme="0" tint="-0.25"/>
      </right>
      <top style="thin">
        <color theme="0" tint="-0.35"/>
      </top>
      <bottom style="thin">
        <color rgb="FFBCBCBC"/>
      </bottom>
    </border>
    <border>
      <left style="thin">
        <color theme="0" tint="-0.35"/>
      </left>
      <right style="thin">
        <color theme="0" tint="-0.35"/>
      </right>
      <top style="thin">
        <color theme="0" tint="-0.35"/>
      </top>
      <bottom style="thin">
        <color theme="0" tint="-0.35"/>
      </bottom>
    </border>
    <border>
      <left/>
      <right style="thin">
        <color theme="0" tint="-0.25"/>
      </right>
      <top style="thin">
        <color theme="0" tint="-0.25"/>
      </top>
      <bottom style="thin">
        <color theme="0" tint="-0.25"/>
      </bottom>
    </border>
    <border>
      <left/>
      <right/>
      <top style="thin">
        <color rgb="FFBCBCBC"/>
      </top>
      <bottom/>
    </border>
    <border>
      <left style="thin">
        <color rgb="FFBCBCBC"/>
      </left>
      <right style="thin">
        <color rgb="FFBCBCBC"/>
      </right>
      <top style="thin">
        <color rgb="FFBCBCBC"/>
      </top>
      <bottom/>
    </border>
    <border>
      <left/>
      <right style="thin">
        <color theme="0" tint="-0.35"/>
      </right>
      <top style="thin">
        <color theme="0" tint="-0.35"/>
      </top>
      <bottom style="thin">
        <color rgb="FFBCBCBC"/>
      </bottom>
    </border>
    <border>
      <left style="thin">
        <color theme="0" tint="-0.35"/>
      </left>
      <right style="thin">
        <color theme="0" tint="-0.25"/>
      </right>
      <top style="thin">
        <color theme="0" tint="-0.35"/>
      </top>
      <bottom style="thin">
        <color theme="0" tint="-0.35"/>
      </bottom>
    </border>
    <border>
      <left/>
      <right/>
      <top/>
      <bottom style="thin">
        <color theme="0" tint="-0.25"/>
      </bottom>
    </border>
    <border>
      <left/>
      <right style="thin">
        <color rgb="FFBCBCBC"/>
      </right>
      <top style="thin">
        <color rgb="FFBCBCBC"/>
      </top>
      <bottom style="thin">
        <color rgb="FFBCBCBC"/>
      </bottom>
    </border>
    <border>
      <left style="thin">
        <color rgb="FFBCBCBC"/>
      </left>
      <right/>
      <top style="thin">
        <color rgb="FFBCBCBC"/>
      </top>
      <bottom style="thin">
        <color rgb="FFBCBCBC"/>
      </bottom>
    </border>
    <border>
      <left style="thin">
        <color rgb="FFBCBCBC"/>
      </left>
      <right/>
      <top/>
      <bottom style="thin">
        <color rgb="FFBCBCBC"/>
      </bottom>
    </border>
    <border>
      <left/>
      <right/>
      <top/>
      <bottom style="thin">
        <color rgb="FFBCBCBC"/>
      </bottom>
    </border>
    <border>
      <left style="thin">
        <color theme="0" tint="-0.35"/>
      </left>
      <right/>
      <top style="thin">
        <color theme="0" tint="-0.35"/>
      </top>
      <bottom style="thin">
        <color theme="0" tint="-0.35"/>
      </bottom>
    </border>
    <border>
      <left/>
      <right/>
      <top style="thin">
        <color theme="0" tint="-0.25"/>
      </top>
      <bottom style="thin">
        <color rgb="FFBCBCBC"/>
      </bottom>
    </border>
    <border>
      <left/>
      <right style="thin">
        <color theme="0" tint="-0.25"/>
      </right>
      <top style="thin">
        <color theme="0" tint="-0.25"/>
      </top>
      <bottom style="thin">
        <color rgb="FFBCBCBC"/>
      </bottom>
    </border>
    <border>
      <left style="thin">
        <color theme="0" tint="-0.25"/>
      </left>
      <right/>
      <top style="thin">
        <color theme="0" tint="-0.25"/>
      </top>
      <bottom style="thin">
        <color rgb="FFBCBCBC"/>
      </bottom>
    </border>
    <border>
      <left style="thin">
        <color theme="0" tint="-0.25"/>
      </left>
      <right/>
      <top style="thin">
        <color theme="0" tint="-0.25"/>
      </top>
      <bottom style="thin">
        <color theme="0" tint="-0.25"/>
      </bottom>
    </border>
    <border>
      <left/>
      <right/>
      <top style="thin">
        <color theme="0" tint="-0.25"/>
      </top>
      <bottom style="thin">
        <color theme="0" tint="-0.25"/>
      </bottom>
    </border>
    <border>
      <left style="thin">
        <color theme="0" tint="-0.35"/>
      </left>
      <right/>
      <top/>
      <bottom style="thin">
        <color theme="0" tint="-0.35"/>
      </bottom>
    </border>
    <border>
      <left style="thin">
        <color theme="0" tint="-0.35"/>
      </left>
      <right style="thin">
        <color theme="0" tint="-0.35"/>
      </right>
      <top/>
      <bottom style="thin">
        <color theme="0" tint="-0.35"/>
      </bottom>
    </border>
    <border>
      <left/>
      <right/>
      <top style="thin">
        <color theme="0" tint="-0.35"/>
      </top>
      <bottom style="thin">
        <color theme="0" tint="-0.35"/>
      </bottom>
    </border>
    <border>
      <left style="thin">
        <color rgb="FFBCBCBC"/>
      </left>
      <right/>
      <top style="thin">
        <color theme="0" tint="-0.25"/>
      </top>
      <bottom style="thin">
        <color theme="0" tint="-0.25"/>
      </bottom>
    </border>
    <border>
      <left style="thin">
        <color theme="0" tint="-0.25"/>
      </left>
      <right/>
      <top style="thin">
        <color theme="0" tint="-0.25"/>
      </top>
      <bottom/>
    </border>
    <border>
      <left style="thin">
        <color theme="0" tint="-0.35"/>
      </left>
      <right/>
      <top style="thin">
        <color theme="0" tint="-0.25"/>
      </top>
      <bottom style="thin">
        <color theme="0" tint="-0.35"/>
      </bottom>
    </border>
    <border>
      <left style="thin">
        <color rgb="FFBCBCBC"/>
      </left>
      <right/>
      <top/>
      <bottom/>
    </border>
    <border>
      <left style="thin">
        <color theme="0" tint="-0.25"/>
      </left>
      <right style="thin">
        <color theme="0" tint="-0.25"/>
      </right>
      <top/>
      <bottom style="thin">
        <color theme="0" tint="-0.25"/>
      </bottom>
    </border>
    <border>
      <left/>
      <right/>
      <top style="thin">
        <color theme="0" tint="-0.25"/>
      </top>
      <bottom/>
    </border>
    <border>
      <left/>
      <right style="thin">
        <color theme="0" tint="-0.25"/>
      </right>
      <top style="thin">
        <color theme="0" tint="-0.25"/>
      </top>
      <bottom/>
    </border>
    <border>
      <left/>
      <right style="thin">
        <color theme="0" tint="-0.25"/>
      </right>
      <top/>
      <bottom style="thin">
        <color theme="0" tint="-0.25"/>
      </bottom>
    </border>
    <border>
      <left style="thin">
        <color theme="0" tint="-0.25"/>
      </left>
      <right style="thin">
        <color theme="0" tint="-0.35"/>
      </right>
      <top style="thin">
        <color theme="0" tint="-0.35"/>
      </top>
      <bottom style="thin">
        <color theme="0" tint="-0.35"/>
      </bottom>
    </border>
    <border>
      <left/>
      <right style="thin">
        <color theme="0" tint="-0.25"/>
      </right>
      <top style="thin">
        <color rgb="FFBCBCBC"/>
      </top>
      <bottom style="thin">
        <color rgb="FFBCBCBC"/>
      </bottom>
    </border>
    <border>
      <left/>
      <right style="thin">
        <color theme="0" tint="-0.25"/>
      </right>
      <top/>
      <bottom/>
    </border>
    <border>
      <left style="thin">
        <color rgb="FFBCBCBC"/>
      </left>
      <right/>
      <top style="thin">
        <color rgb="FFBCBCBC"/>
      </top>
      <bottom/>
    </border>
    <border>
      <left/>
      <right/>
      <top style="thin">
        <color theme="0" tint="-0.15"/>
      </top>
      <bottom style="thin">
        <color rgb="FFBCBCBC"/>
      </bottom>
    </border>
    <border>
      <left style="thin">
        <color rgb="FFBCBCBC"/>
      </left>
      <right style="thin">
        <color theme="0" tint="-0.25"/>
      </right>
      <top style="thin">
        <color rgb="FFBCBCBC"/>
      </top>
      <bottom style="thin">
        <color rgb="FFBCBCBC"/>
      </bottom>
    </border>
    <border>
      <left/>
      <right style="thin">
        <color rgb="FFBCBCBC"/>
      </right>
      <top/>
      <bottom style="thin">
        <color rgb="FFBCBCBC"/>
      </bottom>
    </border>
    <border>
      <left/>
      <right/>
      <top style="thin">
        <color rgb="FF969696"/>
      </top>
      <bottom style="thin">
        <color rgb="FF969696"/>
      </bottom>
    </border>
    <border>
      <left/>
      <right/>
      <top style="thin">
        <color rgb="FFC0C0C0"/>
      </top>
      <bottom/>
    </border>
    <border>
      <left/>
      <right/>
      <top style="thin">
        <color rgb="FFC0C0C0"/>
      </top>
      <bottom style="thin">
        <color rgb="FFC0C0C0"/>
      </bottom>
    </border>
    <border>
      <left/>
      <right style="thin">
        <color rgb="FFBCBCBC"/>
      </right>
      <top style="thin">
        <color rgb="FFBCBCBC"/>
      </top>
      <bottom/>
    </border>
    <border>
      <left/>
      <right style="thin">
        <color rgb="FFBCBCBC"/>
      </right>
      <top/>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style="thin">
        <color theme="0" tint="-0.25"/>
      </left>
      <right style="thin">
        <color theme="0" tint="-0.25"/>
      </right>
      <top/>
      <bottom/>
    </border>
    <border>
      <left style="thin">
        <color theme="0" tint="-0.25"/>
      </left>
      <right/>
      <top/>
      <bottom/>
    </border>
    <border>
      <left style="thin">
        <color theme="0" tint="-0.25"/>
      </left>
      <right/>
      <top/>
      <bottom style="thin">
        <color theme="0" tint="-0.25"/>
      </bottom>
    </border>
    <border>
      <left style="thin">
        <color theme="0" tint="-0.35"/>
      </left>
      <right/>
      <top style="thin">
        <color rgb="FFBCBCBC"/>
      </top>
      <bottom style="thin">
        <color rgb="FFBCBCBC"/>
      </bottom>
    </border>
    <border>
      <left/>
      <right style="thin">
        <color theme="0" tint="-0.25"/>
      </right>
      <top style="thin">
        <color theme="0" tint="-0.35"/>
      </top>
      <bottom style="thin">
        <color theme="0" tint="-0.35"/>
      </bottom>
    </border>
    <border>
      <left style="thin">
        <color theme="0" tint="-0.35"/>
      </left>
      <right/>
      <top/>
      <bottom/>
    </border>
    <border>
      <left/>
      <right style="thin">
        <color theme="0" tint="-0.35"/>
      </right>
      <top/>
      <bottom/>
    </border>
    <border>
      <left style="thin">
        <color theme="0" tint="-0.35"/>
      </left>
      <right/>
      <top style="thin">
        <color rgb="FFBCBCBC"/>
      </top>
      <bottom/>
    </border>
    <border>
      <left/>
      <right style="thin">
        <color theme="0" tint="-0.35"/>
      </right>
      <top style="thin">
        <color rgb="FFBCBCBC"/>
      </top>
      <bottom/>
    </border>
    <border>
      <left style="thin">
        <color rgb="FFBCBCBC"/>
      </left>
      <right style="thin">
        <color rgb="FFBCBCBC"/>
      </right>
      <top/>
      <bottom style="thin">
        <color rgb="FFBCBCBC"/>
      </bottom>
    </border>
    <border>
      <left style="thin">
        <color rgb="FFBCBCBC"/>
      </left>
      <right style="thin">
        <color rgb="FFBCBCBC"/>
      </right>
      <top/>
      <bottom/>
    </border>
    <border>
      <left style="thin">
        <color rgb="FFBCBCBC"/>
      </left>
      <right/>
      <top style="thin">
        <color theme="0" tint="-0.25"/>
      </top>
      <bottom/>
    </border>
    <border>
      <left style="thin">
        <color theme="0" tint="-0.35"/>
      </left>
      <right/>
      <top style="thin">
        <color theme="0" tint="-0.35"/>
      </top>
      <bottom/>
    </border>
    <border>
      <left style="thin">
        <color rgb="FFBFBFBF"/>
      </left>
      <right style="thin">
        <color rgb="FFBFBFBF"/>
      </right>
      <top style="thin">
        <color rgb="FFBFBFBF"/>
      </top>
      <bottom style="thin">
        <color rgb="FFBFBFBF"/>
      </bottom>
    </border>
    <border>
      <left style="thin">
        <color theme="0" tint="-0.35"/>
      </left>
      <right/>
      <top/>
      <bottom style="thin">
        <color rgb="FFC0C0C0"/>
      </bottom>
    </border>
    <border>
      <left/>
      <right/>
      <top style="thin">
        <color theme="0" tint="-0.35"/>
      </top>
      <bottom style="thin">
        <color rgb="FFC0C0C0"/>
      </bottom>
    </border>
    <border>
      <left/>
      <right style="thin">
        <color theme="0" tint="-0.35"/>
      </right>
      <top/>
      <bottom style="thin">
        <color rgb="FFC0C0C0"/>
      </bottom>
    </border>
    <border>
      <left style="thin">
        <color theme="0" tint="-0.35"/>
      </left>
      <right/>
      <top style="thin">
        <color theme="0" tint="-0.35"/>
      </top>
      <bottom style="thin">
        <color rgb="FFC0C0C0"/>
      </bottom>
    </border>
    <border>
      <left/>
      <right/>
      <top/>
      <bottom style="thin">
        <color rgb="FFC0C0C0"/>
      </bottom>
    </border>
    <border>
      <left/>
      <right style="thin">
        <color rgb="FFC0C0C0"/>
      </right>
      <top style="thin">
        <color rgb="FFC0C0C0"/>
      </top>
      <bottom style="thin">
        <color rgb="FFC0C0C0"/>
      </bottom>
    </border>
    <border>
      <left style="thin">
        <color rgb="FF000000"/>
      </left>
      <right style="thin">
        <color rgb="FF000000"/>
      </right>
      <top style="thin">
        <color rgb="FF000000"/>
      </top>
      <bottom style="thin">
        <color rgb="FF000000"/>
      </bottom>
    </border>
    <border>
      <left/>
      <right style="thin">
        <color rgb="FF000000"/>
      </right>
      <top style="thin">
        <color rgb="FF000000"/>
      </top>
      <bottom style="thin">
        <color rgb="FF000000"/>
      </bottom>
    </border>
    <border>
      <left/>
      <right/>
      <top style="thin">
        <color rgb="FF000000"/>
      </top>
      <bottom/>
    </border>
    <border>
      <left/>
      <right/>
      <top style="thin">
        <color rgb="FF000000"/>
      </top>
      <bottom style="thin">
        <color rgb="FF000000"/>
      </bottom>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
      <left/>
      <right style="thin">
        <color rgb="FF000000"/>
      </right>
      <top/>
      <bottom style="thin">
        <color rgb="FF000000"/>
      </bottom>
    </border>
    <border>
      <left/>
      <right/>
      <top/>
      <bottom style="thin">
        <color rgb="FF000000"/>
      </bottom>
    </border>
    <border>
      <left/>
      <right style="thin">
        <color rgb="FF000000"/>
      </right>
      <top/>
      <bottom/>
    </border>
    <border>
      <left style="thin">
        <color rgb="FF000000"/>
      </left>
      <right/>
      <top/>
      <bottom style="thin">
        <color rgb="FF000000"/>
      </bottom>
    </border>
    <border>
      <left/>
      <right style="thin">
        <color rgb="FF000000"/>
      </right>
      <top style="thin">
        <color rgb="FF000000"/>
      </top>
      <bottom/>
    </border>
    <border>
      <left style="thin">
        <color rgb="FF000000"/>
      </left>
      <right style="thin">
        <color rgb="FF000000"/>
      </right>
      <top/>
      <bottom/>
    </border>
  </borders>
  <cellStyleXfs count="81">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2" fillId="14" borderId="0" applyFont="1" applyFill="1" applyBorder="0">
      <alignment vertical="top"/>
    </xf>
    <xf numFmtId="0" fontId="2" fillId="15" borderId="0" applyFont="1" applyFill="1" applyBorder="0">
      <alignment vertical="top"/>
    </xf>
    <xf numFmtId="0" fontId="2" fillId="16" borderId="0" applyFont="1" applyFill="1" applyBorder="0">
      <alignment vertical="top"/>
    </xf>
    <xf numFmtId="0" fontId="2" fillId="17" borderId="0" applyFont="1" applyFill="1" applyBorder="0">
      <alignment vertical="top"/>
    </xf>
    <xf numFmtId="0" fontId="2" fillId="18" borderId="0" applyFont="1" applyFill="1" applyBorder="0">
      <alignment vertical="top"/>
    </xf>
    <xf numFmtId="0" fontId="2"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43" fontId="6" fillId="0" borderId="0" applyFont="0" applyFill="0" applyBorder="0" applyNumberFormat="1">
      <alignment vertical="top"/>
    </xf>
    <xf numFmtId="41" fontId="6" fillId="0" borderId="0" applyFont="0" applyFill="0" applyBorder="0" applyNumberFormat="1">
      <alignment vertical="top"/>
    </xf>
    <xf numFmtId="44" fontId="6" fillId="0" borderId="0" applyFont="0" applyFill="0" applyBorder="0" applyNumberFormat="1">
      <alignment vertical="top"/>
    </xf>
    <xf numFmtId="42"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6" fillId="32" borderId="7" applyFont="0" applyFill="1" applyBorder="1">
      <alignment vertical="top"/>
    </xf>
    <xf numFmtId="0" fontId="15" fillId="27" borderId="8" applyFont="1" applyFill="1" applyBorder="1">
      <alignment vertical="top"/>
    </xf>
    <xf numFmtId="9" fontId="6" fillId="0" borderId="0" applyFont="0" applyFill="0" applyBorder="0" applyNumberFormat="1">
      <alignment vertical="top"/>
    </xf>
    <xf numFmtId="0" fontId="16" fillId="0" borderId="0" applyFont="1" applyFill="0" applyBorder="0">
      <alignment vertical="top"/>
    </xf>
    <xf numFmtId="0" fontId="17" fillId="0" borderId="9" applyFont="1" applyFill="0" applyBorder="1">
      <alignment vertical="top"/>
    </xf>
    <xf numFmtId="0" fontId="18" fillId="0" borderId="0" applyFont="1" applyFill="0" applyBorder="0">
      <alignment vertical="top"/>
    </xf>
    <xf numFmtId="49" fontId="19" fillId="0" borderId="0" applyFont="1" applyFill="0" applyBorder="0" applyNumberFormat="1">
      <alignment vertical="top"/>
    </xf>
    <xf numFmtId="0" fontId="20" fillId="0" borderId="0" applyFont="1" applyFill="0" applyBorder="0"/>
    <xf numFmtId="0" fontId="1" fillId="0" borderId="0" applyFont="1" applyFill="0" applyBorder="0"/>
    <xf numFmtId="0" fontId="19" fillId="0" borderId="0" applyFont="1" applyFill="0" applyBorder="0">
      <alignment horizontal="left" vertical="center"/>
    </xf>
    <xf numFmtId="49" fontId="21" fillId="0" borderId="0" applyFont="1" applyFill="0" applyBorder="0" applyNumberFormat="1">
      <alignment horizontal="center" vertical="center" wrapText="1"/>
    </xf>
    <xf numFmtId="0" fontId="22" fillId="0" borderId="10" applyFont="1" applyFill="0" applyBorder="1">
      <alignment horizontal="center" vertical="top" wrapText="1"/>
    </xf>
    <xf numFmtId="0" fontId="23" fillId="0" borderId="11" applyFont="1" applyFill="0" applyBorder="1">
      <alignment horizontal="center" vertical="center"/>
    </xf>
    <xf numFmtId="0" fontId="23" fillId="0" borderId="12" applyFont="1" applyFill="0" applyBorder="1">
      <alignment horizontal="center" vertical="center"/>
    </xf>
    <xf numFmtId="4" fontId="23" fillId="0" borderId="11" applyFont="1" applyFill="0" applyBorder="1" applyNumberFormat="1">
      <alignment horizontal="right" vertical="center"/>
    </xf>
    <xf numFmtId="0" fontId="19" fillId="0" borderId="11" applyFont="1" applyFill="0" applyBorder="1">
      <alignment horizontal="center" vertical="center"/>
    </xf>
    <xf numFmtId="49" fontId="19" fillId="33" borderId="13" applyFont="1" applyFill="1" applyBorder="1" applyNumberFormat="1">
      <alignment horizontal="left" vertical="center" wrapText="1"/>
    </xf>
    <xf numFmtId="4" fontId="23" fillId="0" borderId="12" applyFont="1" applyFill="0" applyBorder="1" applyNumberFormat="1">
      <alignment horizontal="right" vertical="center"/>
    </xf>
    <xf numFmtId="0" fontId="19" fillId="0" borderId="11" applyFont="1" applyFill="0" applyBorder="1">
      <alignment horizontal="left" vertical="center" wrapText="1" indent="1"/>
    </xf>
    <xf numFmtId="0" fontId="19" fillId="0" borderId="14" applyFont="1" applyFill="0" applyBorder="1">
      <alignment horizontal="center" vertical="center"/>
    </xf>
    <xf numFmtId="4" fontId="23" fillId="33" borderId="15" applyFont="1" applyFill="1" applyBorder="1" applyNumberFormat="1">
      <alignment horizontal="right" vertical="center"/>
    </xf>
    <xf numFmtId="4" fontId="23" fillId="34" borderId="15" applyFont="1" applyFill="1" applyBorder="1" applyNumberFormat="1">
      <alignment horizontal="right" vertical="center"/>
    </xf>
    <xf numFmtId="49" fontId="24" fillId="34" borderId="15" applyFont="1" applyFill="1" applyBorder="1" applyNumberFormat="1">
      <alignment horizontal="left" vertical="center" wrapText="1"/>
    </xf>
    <xf numFmtId="4" fontId="25" fillId="4" borderId="0" applyFont="1" applyFill="1" applyBorder="0" applyNumberFormat="1"/>
    <xf numFmtId="0" fontId="19" fillId="0" borderId="12" applyFont="1" applyFill="0" applyBorder="1">
      <alignment horizontal="left" vertical="center" wrapText="1" indent="2"/>
    </xf>
    <xf numFmtId="0" fontId="19" fillId="0" borderId="16" applyFont="1" applyFill="0" applyBorder="1">
      <alignment horizontal="center" vertical="center"/>
    </xf>
    <xf numFmtId="4" fontId="19" fillId="34" borderId="15" applyFont="1" applyFill="1" applyBorder="1" applyNumberFormat="1">
      <alignment horizontal="right" vertical="center"/>
    </xf>
    <xf numFmtId="4" fontId="19" fillId="0" borderId="11" applyFont="1" applyFill="0" applyBorder="1" applyNumberFormat="1">
      <alignment horizontal="left" vertical="center" indent="3"/>
    </xf>
    <xf numFmtId="0" fontId="19" fillId="0" borderId="11" applyFont="1" applyFill="0" applyBorder="1">
      <alignment horizontal="left" vertical="center" wrapText="1" indent="2"/>
    </xf>
    <xf numFmtId="0" fontId="23" fillId="0" borderId="11" applyFont="1" applyFill="0" applyBorder="1">
      <alignment vertical="center" wrapText="1"/>
    </xf>
    <xf numFmtId="4" fontId="23" fillId="0" borderId="14" applyFont="1" applyFill="0" applyBorder="1" applyNumberFormat="1">
      <alignment horizontal="right" vertical="center"/>
    </xf>
    <xf numFmtId="49" fontId="24" fillId="0" borderId="11" applyFont="1" applyFill="0" applyBorder="1" applyNumberFormat="1">
      <alignment horizontal="left" vertical="center" wrapText="1"/>
    </xf>
    <xf numFmtId="49" fontId="19" fillId="35" borderId="11" applyFont="1" applyFill="1" applyBorder="1" applyNumberFormat="1">
      <alignment horizontal="left" vertical="center" wrapText="1"/>
    </xf>
    <xf numFmtId="0" fontId="19" fillId="0" borderId="12" applyFont="1" applyFill="0" applyBorder="1">
      <alignment horizontal="left" vertical="center" wrapText="1" indent="1"/>
    </xf>
    <xf numFmtId="4" fontId="19" fillId="34" borderId="11" applyFont="1" applyFill="1" applyBorder="1" applyNumberFormat="1">
      <alignment horizontal="right" vertical="center"/>
    </xf>
    <xf numFmtId="4" fontId="19" fillId="34" borderId="12" applyFont="1" applyFill="1" applyBorder="1" applyNumberFormat="1">
      <alignment horizontal="right" vertical="center"/>
    </xf>
    <xf numFmtId="49" fontId="24" fillId="34" borderId="11" applyFont="1" applyFill="1" applyBorder="1" applyNumberFormat="1">
      <alignment horizontal="left" vertical="center" wrapText="1"/>
    </xf>
    <xf numFmtId="4" fontId="19" fillId="34" borderId="16" applyFont="1" applyFill="1" applyBorder="1" applyNumberFormat="1">
      <alignment horizontal="right" vertical="center"/>
    </xf>
    <xf numFmtId="0" fontId="21" fillId="0" borderId="0" applyFont="1" applyFill="0" applyBorder="0">
      <alignment horizontal="center" vertical="center" wrapText="1"/>
    </xf>
    <xf numFmtId="49" fontId="19" fillId="34" borderId="17" applyFont="1" applyFill="1" applyBorder="1" applyNumberFormat="1">
      <alignment horizontal="left" vertical="center" wrapText="1"/>
    </xf>
  </cellStyleXfs>
  <cellXfs count="7469">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2" fillId="14" borderId="0" xfId="13" applyFont="1" applyFill="1">
      <alignment vertical="top"/>
    </xf>
    <xf numFmtId="0" fontId="2" fillId="15" borderId="0" xfId="14" applyFont="1" applyFill="1">
      <alignment vertical="top"/>
    </xf>
    <xf numFmtId="0" fontId="2" fillId="16" borderId="0" xfId="15" applyFont="1" applyFill="1">
      <alignment vertical="top"/>
    </xf>
    <xf numFmtId="0" fontId="2" fillId="17" borderId="0" xfId="16" applyFont="1" applyFill="1">
      <alignment vertical="top"/>
    </xf>
    <xf numFmtId="0" fontId="2" fillId="18" borderId="0" xfId="17" applyFont="1" applyFill="1">
      <alignment vertical="top"/>
    </xf>
    <xf numFmtId="0" fontId="2"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43" fontId="6" fillId="0" borderId="0" xfId="28" applyFont="0" applyNumberFormat="1">
      <alignment vertical="top"/>
    </xf>
    <xf numFmtId="41" fontId="6" fillId="0" borderId="0" xfId="29" applyFont="0" applyNumberFormat="1">
      <alignment vertical="top"/>
    </xf>
    <xf numFmtId="44" fontId="6" fillId="0" borderId="0" xfId="30" applyFont="0" applyNumberFormat="1">
      <alignment vertical="top"/>
    </xf>
    <xf numFmtId="42"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6" fillId="32" borderId="7" xfId="41" applyFont="0" applyFill="1" applyBorder="1">
      <alignment vertical="top"/>
    </xf>
    <xf numFmtId="0" fontId="15" fillId="27" borderId="8" xfId="42" applyFont="1" applyFill="1" applyBorder="1">
      <alignment vertical="top"/>
    </xf>
    <xf numFmtId="9" fontId="6" fillId="0" borderId="0" xfId="43" applyFont="0" applyNumberFormat="1">
      <alignment vertical="top"/>
    </xf>
    <xf numFmtId="0" fontId="16" fillId="0" borderId="0" xfId="44" applyFont="1">
      <alignment vertical="top"/>
    </xf>
    <xf numFmtId="0" fontId="17" fillId="0" borderId="9" xfId="45" applyFont="1" applyBorder="1">
      <alignment vertical="top"/>
    </xf>
    <xf numFmtId="0" fontId="18" fillId="0" borderId="0" xfId="46" applyFont="1">
      <alignment vertical="top"/>
    </xf>
    <xf numFmtId="49" fontId="19" fillId="0" borderId="0" xfId="47" applyFont="1" applyNumberFormat="1">
      <alignment vertical="top"/>
    </xf>
    <xf numFmtId="0" fontId="20" fillId="0" borderId="0" xfId="48" applyFont="1"/>
    <xf numFmtId="0" fontId="1" fillId="0" borderId="0" xfId="49" applyFont="1"/>
    <xf numFmtId="0" fontId="19" fillId="0" borderId="0" xfId="50" applyFont="1">
      <alignment horizontal="left" vertical="center"/>
    </xf>
    <xf numFmtId="49" fontId="21" fillId="0" borderId="0" xfId="51" applyFont="1" applyNumberFormat="1">
      <alignment horizontal="center" vertical="center" wrapText="1"/>
    </xf>
    <xf numFmtId="0" fontId="22" fillId="0" borderId="10" xfId="52" applyFont="1" applyBorder="1">
      <alignment horizontal="center" vertical="top" wrapText="1"/>
    </xf>
    <xf numFmtId="0" fontId="23" fillId="0" borderId="11" xfId="53" applyFont="1" applyBorder="1">
      <alignment horizontal="center" vertical="center"/>
    </xf>
    <xf numFmtId="0" fontId="23" fillId="0" borderId="12" xfId="54" applyFont="1" applyBorder="1">
      <alignment horizontal="center" vertical="center"/>
    </xf>
    <xf numFmtId="4" fontId="23" fillId="0" borderId="11" xfId="55" applyFont="1" applyBorder="1" applyNumberFormat="1">
      <alignment horizontal="right" vertical="center"/>
    </xf>
    <xf numFmtId="0" fontId="19" fillId="0" borderId="11" xfId="56" applyFont="1" applyBorder="1">
      <alignment horizontal="center" vertical="center"/>
    </xf>
    <xf numFmtId="49" fontId="19" fillId="33" borderId="13" xfId="57" applyFont="1" applyFill="1" applyBorder="1" applyNumberFormat="1">
      <alignment horizontal="left" vertical="center" wrapText="1"/>
    </xf>
    <xf numFmtId="4" fontId="23" fillId="0" borderId="12" xfId="58" applyFont="1" applyBorder="1" applyNumberFormat="1">
      <alignment horizontal="right" vertical="center"/>
    </xf>
    <xf numFmtId="0" fontId="19" fillId="0" borderId="11" xfId="59" applyFont="1" applyBorder="1">
      <alignment horizontal="left" vertical="center" wrapText="1" indent="1"/>
    </xf>
    <xf numFmtId="0" fontId="19" fillId="0" borderId="14" xfId="60" applyFont="1" applyBorder="1">
      <alignment horizontal="center" vertical="center"/>
    </xf>
    <xf numFmtId="4" fontId="23" fillId="33" borderId="15" xfId="61" applyFont="1" applyFill="1" applyBorder="1" applyNumberFormat="1">
      <alignment horizontal="right" vertical="center"/>
    </xf>
    <xf numFmtId="4" fontId="23" fillId="34" borderId="15" xfId="62" applyFont="1" applyFill="1" applyBorder="1" applyNumberFormat="1">
      <alignment horizontal="right" vertical="center"/>
    </xf>
    <xf numFmtId="49" fontId="24" fillId="34" borderId="15" xfId="63" applyFont="1" applyFill="1" applyBorder="1" applyNumberFormat="1">
      <alignment horizontal="left" vertical="center" wrapText="1"/>
    </xf>
    <xf numFmtId="4" fontId="25" fillId="4" borderId="0" xfId="64" applyFont="1" applyFill="1" applyNumberFormat="1"/>
    <xf numFmtId="0" fontId="19" fillId="0" borderId="12" xfId="65" applyFont="1" applyBorder="1">
      <alignment horizontal="left" vertical="center" wrapText="1" indent="2"/>
    </xf>
    <xf numFmtId="0" fontId="19" fillId="0" borderId="16" xfId="66" applyFont="1" applyBorder="1">
      <alignment horizontal="center" vertical="center"/>
    </xf>
    <xf numFmtId="4" fontId="19" fillId="34" borderId="15" xfId="67" applyFont="1" applyFill="1" applyBorder="1" applyNumberFormat="1">
      <alignment horizontal="right" vertical="center"/>
    </xf>
    <xf numFmtId="4" fontId="19" fillId="0" borderId="11" xfId="68" applyFont="1" applyBorder="1" applyNumberFormat="1">
      <alignment horizontal="left" vertical="center" indent="3"/>
    </xf>
    <xf numFmtId="0" fontId="19" fillId="0" borderId="11" xfId="69" applyFont="1" applyBorder="1">
      <alignment horizontal="left" vertical="center" wrapText="1" indent="2"/>
    </xf>
    <xf numFmtId="0" fontId="23" fillId="0" borderId="11" xfId="70" applyFont="1" applyBorder="1">
      <alignment vertical="center" wrapText="1"/>
    </xf>
    <xf numFmtId="4" fontId="23" fillId="0" borderId="14" xfId="71" applyFont="1" applyBorder="1" applyNumberFormat="1">
      <alignment horizontal="right" vertical="center"/>
    </xf>
    <xf numFmtId="49" fontId="24" fillId="0" borderId="11" xfId="72" applyFont="1" applyBorder="1" applyNumberFormat="1">
      <alignment horizontal="left" vertical="center" wrapText="1"/>
    </xf>
    <xf numFmtId="49" fontId="19" fillId="35" borderId="11" xfId="73" applyFont="1" applyFill="1" applyBorder="1" applyNumberFormat="1">
      <alignment horizontal="left" vertical="center" wrapText="1"/>
    </xf>
    <xf numFmtId="0" fontId="19" fillId="0" borderId="12" xfId="74" applyFont="1" applyBorder="1">
      <alignment horizontal="left" vertical="center" wrapText="1" indent="1"/>
    </xf>
    <xf numFmtId="4" fontId="19" fillId="34" borderId="11" xfId="75" applyFont="1" applyFill="1" applyBorder="1" applyNumberFormat="1">
      <alignment horizontal="right" vertical="center"/>
    </xf>
    <xf numFmtId="4" fontId="19" fillId="34" borderId="12" xfId="76" applyFont="1" applyFill="1" applyBorder="1" applyNumberFormat="1">
      <alignment horizontal="right" vertical="center"/>
    </xf>
    <xf numFmtId="49" fontId="24" fillId="34" borderId="11" xfId="77" applyFont="1" applyFill="1" applyBorder="1" applyNumberFormat="1">
      <alignment horizontal="left" vertical="center" wrapText="1"/>
    </xf>
    <xf numFmtId="4" fontId="19" fillId="34" borderId="16" xfId="78" applyFont="1" applyFill="1" applyBorder="1" applyNumberFormat="1">
      <alignment horizontal="right" vertical="center"/>
    </xf>
    <xf numFmtId="0" fontId="21" fillId="0" borderId="0" xfId="79" applyFont="1">
      <alignment horizontal="center" vertical="center" wrapText="1"/>
    </xf>
    <xf numFmtId="49" fontId="19" fillId="34" borderId="17" xfId="80" applyFont="1" applyFill="1" applyBorder="1" applyNumberFormat="1">
      <alignment horizontal="left" vertical="center" wrapText="1"/>
    </xf>
    <xf numFmtId="49" fontId="19" fillId="0" borderId="0" xfId="0" applyFont="1" applyNumberFormat="1">
      <alignment vertical="top"/>
    </xf>
    <xf numFmtId="49" fontId="19" fillId="0" borderId="18" xfId="0" applyFont="1" applyBorder="1" applyNumberFormat="1">
      <alignment horizontal="center" vertical="center" wrapText="1"/>
    </xf>
    <xf numFmtId="0" fontId="24" fillId="0" borderId="18" xfId="0" applyFont="1" applyBorder="1">
      <alignment vertical="center" wrapText="1"/>
    </xf>
    <xf numFmtId="0" fontId="19" fillId="0" borderId="18" xfId="0" applyFont="1" applyBorder="1">
      <alignment horizontal="center" vertical="center"/>
    </xf>
    <xf numFmtId="0" fontId="19" fillId="36" borderId="19" xfId="0" applyFont="1" applyFill="1" applyBorder="1">
      <alignment horizontal="center" vertical="center" wrapText="1"/>
    </xf>
    <xf numFmtId="0" fontId="19" fillId="0" borderId="18" xfId="0" applyFont="1" applyBorder="1">
      <alignment horizontal="center" vertical="center" wrapText="1"/>
    </xf>
    <xf numFmtId="0" fontId="24" fillId="0" borderId="18" xfId="0" applyFont="1" applyBorder="1">
      <alignment horizontal="center" vertical="center" wrapText="1"/>
    </xf>
    <xf numFmtId="0" fontId="24" fillId="0" borderId="19" xfId="0" applyFont="1" applyBorder="1">
      <alignment horizontal="center" vertical="center" wrapText="1"/>
    </xf>
    <xf numFmtId="0" fontId="19" fillId="0" borderId="19" xfId="0" applyFont="1" applyBorder="1">
      <alignment horizontal="center" vertical="center" wrapText="1"/>
    </xf>
    <xf numFmtId="0" fontId="24" fillId="0" borderId="13" xfId="0" applyFont="1" applyBorder="1">
      <alignment horizontal="center" vertical="center" wrapText="1"/>
    </xf>
    <xf numFmtId="49" fontId="23" fillId="0" borderId="0" xfId="0" applyFont="1" applyNumberFormat="1">
      <alignment horizontal="center" vertical="center" wrapText="1" shrinkToFit="1"/>
    </xf>
    <xf numFmtId="0" fontId="26" fillId="0" borderId="0" xfId="0" applyFont="1">
      <alignment horizontal="center" vertical="center"/>
    </xf>
    <xf numFmtId="0" fontId="19" fillId="0" borderId="19" xfId="0" applyFont="1" applyBorder="1">
      <alignment horizontal="right" vertical="center" wrapText="1" indent="1"/>
    </xf>
    <xf numFmtId="0" fontId="24" fillId="0" borderId="0" xfId="0" applyFont="1">
      <alignment vertical="center"/>
    </xf>
    <xf numFmtId="0" fontId="19" fillId="0" borderId="19" xfId="0" applyFont="1" applyBorder="1">
      <alignment horizontal="right" vertical="center" wrapText="1" indent="1"/>
    </xf>
    <xf numFmtId="0" fontId="27" fillId="0" borderId="0" xfId="0" applyFont="1">
      <alignment vertical="top"/>
    </xf>
    <xf numFmtId="49" fontId="27" fillId="0" borderId="0" xfId="0" applyFont="1" applyNumberFormat="1">
      <alignment vertical="top"/>
    </xf>
    <xf numFmtId="49" fontId="19" fillId="0" borderId="0" xfId="0" applyFont="1" applyNumberFormat="1">
      <alignment vertical="center" wrapText="1"/>
    </xf>
    <xf numFmtId="0" fontId="28" fillId="0" borderId="20" xfId="0" applyFont="1" applyBorder="1">
      <alignment horizontal="center" vertical="center"/>
    </xf>
    <xf numFmtId="0" fontId="19" fillId="0" borderId="0" xfId="0" applyFont="1"/>
    <xf numFmtId="0" fontId="19" fillId="36" borderId="0" xfId="0" applyFont="1" applyFill="1"/>
    <xf numFmtId="49" fontId="19" fillId="34" borderId="17" xfId="0" applyFont="1" applyFill="1" applyBorder="1" applyNumberFormat="1">
      <alignment horizontal="left" vertical="center" wrapText="1"/>
      <protection locked="0"/>
    </xf>
    <xf numFmtId="0" fontId="26" fillId="0" borderId="0" xfId="0" applyFont="1">
      <alignment vertical="center"/>
    </xf>
    <xf numFmtId="0" fontId="26" fillId="0" borderId="0" xfId="0" applyFont="1">
      <alignment vertical="center" wrapText="1"/>
    </xf>
    <xf numFmtId="0" fontId="25" fillId="0" borderId="0" xfId="0" applyFont="1">
      <alignment vertical="center"/>
    </xf>
    <xf numFmtId="0" fontId="29" fillId="0" borderId="0" xfId="0" applyFont="1">
      <alignment vertical="center"/>
    </xf>
    <xf numFmtId="0" fontId="25" fillId="0" borderId="0" xfId="0" applyFont="1">
      <alignment horizontal="center" vertical="center"/>
    </xf>
    <xf numFmtId="0" fontId="26" fillId="0" borderId="0" xfId="0" applyFont="1">
      <alignment horizontal="left" vertical="center" wrapText="1"/>
    </xf>
    <xf numFmtId="49" fontId="30" fillId="0" borderId="0" xfId="0" applyFont="1" applyNumberFormat="1">
      <alignment horizontal="right" vertical="center" wrapText="1"/>
    </xf>
    <xf numFmtId="49" fontId="19" fillId="0" borderId="0" xfId="0" applyFont="1" applyNumberFormat="1">
      <alignment vertical="center" wrapText="1"/>
    </xf>
    <xf numFmtId="49" fontId="23" fillId="0" borderId="0" xfId="0" applyFont="1" applyNumberFormat="1">
      <alignment vertical="center" wrapText="1"/>
    </xf>
    <xf numFmtId="49" fontId="19" fillId="0" borderId="0" xfId="0" applyFont="1" applyNumberFormat="1">
      <alignment horizontal="left" vertical="center" wrapText="1"/>
    </xf>
    <xf numFmtId="0" fontId="19" fillId="36" borderId="21" xfId="0" applyFont="1" applyFill="1" applyBorder="1">
      <alignment horizontal="center" vertical="center" wrapText="1"/>
    </xf>
    <xf numFmtId="0" fontId="19" fillId="36" borderId="22" xfId="0" applyFont="1" applyFill="1" applyBorder="1">
      <alignment horizontal="center" vertical="center" wrapText="1"/>
    </xf>
    <xf numFmtId="0" fontId="19" fillId="36" borderId="23" xfId="0" applyFont="1" applyFill="1" applyBorder="1">
      <alignment horizontal="center" vertical="center" wrapText="1"/>
    </xf>
    <xf numFmtId="49" fontId="19" fillId="0" borderId="0" xfId="0" applyFont="1" applyNumberFormat="1">
      <alignment horizontal="left" vertical="center" wrapText="1"/>
    </xf>
    <xf numFmtId="49" fontId="19" fillId="0" borderId="0" xfId="0" applyFont="1" applyNumberFormat="1">
      <alignment horizontal="right" vertical="center" wrapText="1"/>
    </xf>
    <xf numFmtId="0" fontId="24" fillId="0" borderId="0" xfId="0" applyFont="1"/>
    <xf numFmtId="49" fontId="19" fillId="0" borderId="19" xfId="0" applyFont="1" applyBorder="1" applyNumberFormat="1">
      <alignment horizontal="center" vertical="center"/>
    </xf>
    <xf numFmtId="0" fontId="31" fillId="0" borderId="0" xfId="0" applyFont="1"/>
    <xf numFmtId="0" fontId="0" fillId="0" borderId="0" xfId="0" applyFont="1">
      <alignment horizontal="left" vertical="center"/>
    </xf>
    <xf numFmtId="0" fontId="24" fillId="0" borderId="0" xfId="0" applyFont="1">
      <alignment horizontal="center" vertical="center"/>
    </xf>
    <xf numFmtId="0" fontId="0" fillId="0" borderId="0" xfId="0" applyFont="1">
      <alignment horizontal="center"/>
    </xf>
    <xf numFmtId="0" fontId="19" fillId="0" borderId="0" xfId="0" applyFont="1">
      <alignment horizontal="center"/>
    </xf>
    <xf numFmtId="0" fontId="19" fillId="0" borderId="0" xfId="0" applyFont="1">
      <alignment horizontal="center" wrapText="1"/>
    </xf>
    <xf numFmtId="0" fontId="0" fillId="0" borderId="0" xfId="0" applyFont="1">
      <alignment horizontal="center" vertical="center"/>
    </xf>
    <xf numFmtId="0" fontId="32" fillId="0" borderId="0" xfId="0" applyFont="1">
      <alignment vertical="center" wrapText="1"/>
    </xf>
    <xf numFmtId="0" fontId="24" fillId="0" borderId="0" xfId="0" applyFont="1">
      <alignment horizontal="center"/>
    </xf>
    <xf numFmtId="0" fontId="19" fillId="0" borderId="19" xfId="0" applyFont="1" applyBorder="1">
      <alignment horizontal="center" vertical="center"/>
    </xf>
    <xf numFmtId="0" fontId="24" fillId="37" borderId="19" xfId="0" applyFont="1" applyFill="1" applyBorder="1">
      <alignment horizontal="left" vertical="center" wrapText="1"/>
    </xf>
    <xf numFmtId="0" fontId="24" fillId="0" borderId="19" xfId="0" applyFont="1" applyBorder="1">
      <alignment vertical="center" wrapText="1"/>
    </xf>
    <xf numFmtId="0" fontId="24" fillId="0" borderId="19" xfId="0" applyFont="1" applyBorder="1">
      <alignment horizontal="center" vertical="center"/>
    </xf>
    <xf numFmtId="0" fontId="24" fillId="0" borderId="19" xfId="0" applyFont="1" applyBorder="1">
      <alignment horizontal="left" vertical="center" wrapText="1"/>
    </xf>
    <xf numFmtId="0" fontId="19" fillId="0" borderId="19" xfId="0" applyFont="1" applyBorder="1">
      <alignment horizontal="left" vertical="center" wrapText="1"/>
    </xf>
    <xf numFmtId="0" fontId="19" fillId="0" borderId="19" xfId="0" applyFont="1" applyBorder="1">
      <alignment vertical="center" wrapText="1"/>
    </xf>
    <xf numFmtId="0" fontId="24" fillId="0" borderId="0" xfId="0" applyFont="1">
      <alignment wrapText="1"/>
    </xf>
    <xf numFmtId="4" fontId="19" fillId="34" borderId="19" xfId="0" applyFont="1" applyFill="1" applyBorder="1" applyNumberFormat="1">
      <alignment horizontal="right" vertical="center"/>
      <protection locked="0"/>
    </xf>
    <xf numFmtId="4" fontId="19" fillId="33" borderId="19" xfId="0" applyFont="1" applyFill="1" applyBorder="1" applyNumberFormat="1">
      <alignment horizontal="right" vertical="center"/>
    </xf>
    <xf numFmtId="0" fontId="19" fillId="0" borderId="0" xfId="0" applyFont="1">
      <alignment vertical="center"/>
    </xf>
    <xf numFmtId="0" fontId="24" fillId="0" borderId="0" xfId="0" applyFont="1">
      <alignment vertical="center" wrapText="1"/>
    </xf>
    <xf numFmtId="49" fontId="19" fillId="36" borderId="19" xfId="0" applyFont="1" applyFill="1" applyBorder="1" applyNumberFormat="1">
      <alignment horizontal="center" vertical="center" wrapText="1"/>
    </xf>
    <xf numFmtId="0" fontId="24" fillId="0" borderId="0" xfId="0" applyFont="1">
      <alignment horizontal="center" vertical="center" wrapText="1"/>
    </xf>
    <xf numFmtId="0" fontId="23" fillId="0" borderId="0" xfId="0" applyFont="1"/>
    <xf numFmtId="0" fontId="19" fillId="0" borderId="0" xfId="0" applyFont="1">
      <alignment vertical="center" wrapText="1"/>
    </xf>
    <xf numFmtId="0" fontId="24" fillId="0" borderId="0" xfId="0" applyFont="1"/>
    <xf numFmtId="0" fontId="24" fillId="0" borderId="0" xfId="0" applyFont="1">
      <alignment horizontal="center"/>
    </xf>
    <xf numFmtId="171" fontId="33" fillId="0" borderId="0" xfId="0" applyFont="1" applyNumberFormat="1">
      <alignment horizontal="left" vertical="center" wrapText="1"/>
    </xf>
    <xf numFmtId="0" fontId="26" fillId="0" borderId="0" xfId="0" applyFont="1"/>
    <xf numFmtId="0" fontId="25" fillId="0" borderId="0" xfId="0" applyFont="1"/>
    <xf numFmtId="0" fontId="25" fillId="0" borderId="0" xfId="0" applyFont="1">
      <alignment horizontal="left"/>
    </xf>
    <xf numFmtId="0" fontId="26" fillId="0" borderId="0" xfId="0" applyFont="1">
      <alignment horizontal="left"/>
    </xf>
    <xf numFmtId="0" fontId="34" fillId="0" borderId="0" xfId="0" applyFont="1">
      <alignment horizontal="left" vertical="top" wrapText="1"/>
    </xf>
    <xf numFmtId="0" fontId="35" fillId="0" borderId="0" xfId="0" applyFont="1">
      <alignment vertical="center" wrapText="1"/>
    </xf>
    <xf numFmtId="0" fontId="35" fillId="0" borderId="0" xfId="0" applyFont="1">
      <alignment vertical="center"/>
    </xf>
    <xf numFmtId="49" fontId="36" fillId="0" borderId="0" xfId="0" applyFont="1" applyNumberFormat="1">
      <alignment horizontal="left" vertical="center" wrapText="1" indent="4"/>
    </xf>
    <xf numFmtId="0" fontId="36" fillId="0" borderId="0" xfId="0" applyFont="1">
      <alignment horizontal="center" vertical="center" wrapText="1"/>
    </xf>
    <xf numFmtId="0" fontId="36" fillId="0" borderId="0" xfId="0" applyFont="1">
      <alignment vertical="center" wrapText="1"/>
    </xf>
    <xf numFmtId="0" fontId="36" fillId="0" borderId="0" xfId="0" applyFont="1">
      <alignment vertical="center"/>
    </xf>
    <xf numFmtId="49" fontId="26" fillId="0" borderId="0" xfId="0" applyFont="1" applyNumberFormat="1">
      <alignment vertical="center" wrapText="1"/>
    </xf>
    <xf numFmtId="49" fontId="37" fillId="38" borderId="0" xfId="0" applyFont="1" applyFill="1" applyNumberFormat="1">
      <alignment horizontal="center" vertical="center"/>
    </xf>
    <xf numFmtId="0" fontId="26" fillId="39" borderId="0" xfId="0" applyFont="1" applyFill="1">
      <alignment horizontal="right" vertical="center"/>
    </xf>
    <xf numFmtId="0" fontId="26" fillId="39" borderId="0" xfId="0" applyFont="1" applyFill="1">
      <alignment horizontal="center" vertical="center"/>
    </xf>
    <xf numFmtId="0" fontId="35" fillId="39" borderId="0" xfId="0" applyFont="1" applyFill="1">
      <alignment horizontal="right" vertical="center"/>
    </xf>
    <xf numFmtId="49" fontId="35" fillId="0" borderId="0" xfId="0" applyFont="1" applyNumberFormat="1">
      <alignment vertical="center" wrapText="1"/>
    </xf>
    <xf numFmtId="49" fontId="26" fillId="0" borderId="0" xfId="0" applyFont="1" applyNumberFormat="1">
      <alignment vertical="top"/>
    </xf>
    <xf numFmtId="0" fontId="26" fillId="39" borderId="0" xfId="0" applyFont="1" applyFill="1">
      <alignment horizontal="left" vertical="center"/>
    </xf>
    <xf numFmtId="49" fontId="27" fillId="38" borderId="0" xfId="0" applyFont="1" applyFill="1" applyNumberFormat="1">
      <alignment horizontal="center" vertical="center"/>
    </xf>
    <xf numFmtId="49" fontId="19" fillId="40" borderId="0" xfId="0" applyFont="1" applyFill="1" applyNumberFormat="1">
      <alignment vertical="top"/>
    </xf>
    <xf numFmtId="49" fontId="38" fillId="0" borderId="0" xfId="0" applyFont="1" applyNumberFormat="1">
      <alignment horizontal="center" vertical="center" wrapText="1"/>
    </xf>
    <xf numFmtId="49" fontId="39" fillId="41" borderId="24" xfId="0" applyFont="1" applyFill="1" applyBorder="1" applyNumberFormat="1">
      <alignment horizontal="left" vertical="center" wrapText="1"/>
    </xf>
    <xf numFmtId="49" fontId="40" fillId="42" borderId="25"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7" xfId="0" applyFont="1" applyFill="1" applyBorder="1" applyNumberFormat="1">
      <alignment horizontal="left" vertical="center" wrapText="1" indent="1"/>
    </xf>
    <xf numFmtId="49" fontId="40" fillId="42" borderId="26" xfId="0" applyFont="1" applyFill="1" applyBorder="1" applyNumberFormat="1">
      <alignment vertical="center" wrapText="1"/>
    </xf>
    <xf numFmtId="49" fontId="19" fillId="33" borderId="28" xfId="0" applyFont="1" applyFill="1" applyBorder="1" applyNumberFormat="1">
      <alignment horizontal="left" vertical="center" wrapText="1" indent="1"/>
    </xf>
    <xf numFmtId="0" fontId="39" fillId="41" borderId="24" xfId="0" applyFont="1" applyFill="1" applyBorder="1">
      <alignment horizontal="left" vertical="center"/>
    </xf>
    <xf numFmtId="0" fontId="19" fillId="39" borderId="0" xfId="0" applyFont="1" applyFill="1">
      <alignment horizontal="left" vertical="center"/>
    </xf>
    <xf numFmtId="49" fontId="19" fillId="0" borderId="29" xfId="0" applyFont="1" applyBorder="1" applyNumberFormat="1">
      <alignment vertical="center" wrapText="1"/>
    </xf>
    <xf numFmtId="0" fontId="39" fillId="41" borderId="30" xfId="0" applyFont="1" applyFill="1" applyBorder="1">
      <alignment horizontal="left" vertical="center"/>
    </xf>
    <xf numFmtId="0" fontId="24" fillId="0" borderId="18" xfId="0" applyFont="1" applyBorder="1">
      <alignment horizontal="center" vertical="center"/>
    </xf>
    <xf numFmtId="0" fontId="19" fillId="37" borderId="18" xfId="0" applyFont="1" applyFill="1" applyBorder="1">
      <alignment horizontal="center" vertical="center" wrapText="1"/>
    </xf>
    <xf numFmtId="0" fontId="19" fillId="37" borderId="31" xfId="0" applyFont="1" applyFill="1" applyBorder="1">
      <alignment horizontal="center" vertical="center" wrapText="1"/>
    </xf>
    <xf numFmtId="49" fontId="40" fillId="42" borderId="32" xfId="0" applyFont="1" applyFill="1" applyBorder="1" applyNumberFormat="1">
      <alignment horizontal="left" vertical="center" wrapText="1" indent="1"/>
    </xf>
    <xf numFmtId="3" fontId="19" fillId="34" borderId="19" xfId="0" applyFont="1" applyFill="1" applyBorder="1" applyNumberFormat="1">
      <alignment horizontal="right" vertical="center"/>
      <protection locked="0"/>
    </xf>
    <xf numFmtId="49" fontId="19" fillId="34" borderId="18" xfId="0" applyFont="1" applyFill="1" applyBorder="1" applyNumberFormat="1">
      <alignment horizontal="left" vertical="center" wrapText="1"/>
      <protection locked="0"/>
    </xf>
    <xf numFmtId="0" fontId="0" fillId="0" borderId="19" xfId="0" applyFont="1" applyBorder="1">
      <alignment horizontal="center" vertical="center" wrapText="1"/>
    </xf>
    <xf numFmtId="4" fontId="19" fillId="33" borderId="19" xfId="0" applyFont="1" applyFill="1" applyBorder="1" applyNumberFormat="1">
      <alignment horizontal="right" vertical="center"/>
    </xf>
    <xf numFmtId="0" fontId="19" fillId="0" borderId="19" xfId="0" applyFont="1" applyBorder="1">
      <alignment horizontal="left" vertical="center" wrapText="1" indent="1"/>
    </xf>
    <xf numFmtId="0" fontId="41" fillId="0" borderId="20" xfId="0" applyFont="1" applyBorder="1">
      <alignment vertical="center"/>
    </xf>
    <xf numFmtId="0" fontId="41" fillId="0" borderId="20" xfId="0" applyFont="1" applyBorder="1"/>
    <xf numFmtId="0" fontId="42" fillId="0" borderId="20" xfId="0" applyFont="1" applyBorder="1">
      <alignment vertical="center" wrapText="1"/>
    </xf>
    <xf numFmtId="49" fontId="19" fillId="34" borderId="33" xfId="0" applyFont="1" applyFill="1" applyBorder="1" applyNumberFormat="1">
      <alignment horizontal="left" vertical="center" wrapText="1" indent="1"/>
      <protection locked="0"/>
    </xf>
    <xf numFmtId="0" fontId="24" fillId="0" borderId="19" xfId="0" applyFont="1" applyBorder="1">
      <alignment horizontal="right" vertical="center" wrapText="1" indent="1"/>
    </xf>
    <xf numFmtId="0" fontId="24" fillId="0" borderId="19" xfId="0" applyFont="1" applyBorder="1">
      <alignment horizontal="right" vertical="center" indent="1"/>
    </xf>
    <xf numFmtId="0" fontId="19" fillId="35" borderId="19" xfId="0" applyFont="1" applyFill="1" applyBorder="1">
      <alignment horizontal="left" vertical="center" wrapText="1"/>
      <protection locked="0"/>
    </xf>
    <xf numFmtId="49" fontId="24" fillId="34" borderId="19" xfId="0" applyFont="1" applyFill="1" applyBorder="1" applyNumberFormat="1">
      <alignment horizontal="left" vertical="center" wrapText="1"/>
      <protection locked="0"/>
    </xf>
    <xf numFmtId="49" fontId="42" fillId="0" borderId="34" xfId="0" applyFont="1" applyBorder="1" applyNumberFormat="1">
      <alignment horizontal="left" vertical="center" wrapText="1" indent="4"/>
    </xf>
    <xf numFmtId="49" fontId="42" fillId="0" borderId="0" xfId="0" applyFont="1" applyNumberFormat="1">
      <alignment horizontal="left" vertical="center" wrapText="1" indent="4"/>
    </xf>
    <xf numFmtId="49" fontId="42" fillId="0" borderId="20" xfId="0" applyFont="1" applyBorder="1" applyNumberFormat="1">
      <alignment horizontal="left" vertical="center" indent="1"/>
    </xf>
    <xf numFmtId="0" fontId="19" fillId="0" borderId="0" xfId="0" applyFont="1">
      <alignment horizontal="left" vertical="center" wrapText="1"/>
    </xf>
    <xf numFmtId="0" fontId="23" fillId="36" borderId="19" xfId="0" applyFont="1" applyFill="1" applyBorder="1">
      <alignment horizontal="center" vertical="center" wrapText="1"/>
    </xf>
    <xf numFmtId="49" fontId="42" fillId="0" borderId="20" xfId="0" applyFont="1" applyBorder="1" applyNumberFormat="1">
      <alignment vertical="center" wrapText="1"/>
    </xf>
    <xf numFmtId="0" fontId="24" fillId="0" borderId="0" xfId="0" applyFont="1">
      <alignment horizontal="left" vertical="center" wrapText="1"/>
    </xf>
    <xf numFmtId="0" fontId="1" fillId="0" borderId="20" xfId="0" applyFont="1" applyBorder="1"/>
    <xf numFmtId="49" fontId="42" fillId="0" borderId="20" xfId="0" applyFont="1" applyBorder="1" applyNumberFormat="1">
      <alignment horizontal="center" vertical="center" wrapText="1"/>
    </xf>
    <xf numFmtId="49" fontId="39" fillId="41" borderId="35" xfId="0" applyFont="1" applyFill="1" applyBorder="1" applyNumberFormat="1">
      <alignment horizontal="left" vertical="center" wrapText="1"/>
    </xf>
    <xf numFmtId="0" fontId="23" fillId="0" borderId="18" xfId="0" applyFont="1" applyBorder="1">
      <alignment horizontal="center" vertical="center"/>
    </xf>
    <xf numFmtId="0" fontId="23" fillId="0" borderId="18" xfId="0" applyFont="1" applyBorder="1">
      <alignment vertical="center" wrapText="1"/>
    </xf>
    <xf numFmtId="4" fontId="23" fillId="33" borderId="18" xfId="0" applyFont="1" applyFill="1" applyBorder="1" applyNumberFormat="1">
      <alignment horizontal="right" vertical="center"/>
    </xf>
    <xf numFmtId="0" fontId="19" fillId="0" borderId="18" xfId="0" applyFont="1" applyBorder="1">
      <alignment horizontal="left" vertical="center" wrapText="1" indent="1"/>
    </xf>
    <xf numFmtId="4" fontId="19" fillId="34" borderId="18" xfId="0" applyFont="1" applyFill="1" applyBorder="1" applyNumberFormat="1">
      <alignment horizontal="right" vertical="center"/>
      <protection locked="0"/>
    </xf>
    <xf numFmtId="4" fontId="23" fillId="0" borderId="18" xfId="0" applyFont="1" applyBorder="1" applyNumberFormat="1">
      <alignment horizontal="right" vertical="center"/>
    </xf>
    <xf numFmtId="0" fontId="1" fillId="0" borderId="20" xfId="0" applyFont="1" applyBorder="1">
      <alignment vertical="center" wrapText="1"/>
    </xf>
    <xf numFmtId="49" fontId="23" fillId="0" borderId="18" xfId="0" applyFont="1" applyBorder="1" applyNumberFormat="1">
      <alignment horizontal="center" vertical="center"/>
    </xf>
    <xf numFmtId="0" fontId="23" fillId="0" borderId="18" xfId="0" applyFont="1" applyBorder="1">
      <alignment horizontal="left" vertical="center" wrapText="1"/>
    </xf>
    <xf numFmtId="49" fontId="19" fillId="0" borderId="18" xfId="0" applyFont="1" applyBorder="1" applyNumberFormat="1">
      <alignment horizontal="center" vertical="center"/>
    </xf>
    <xf numFmtId="0" fontId="19" fillId="0" borderId="18" xfId="0" applyFont="1" applyBorder="1">
      <alignment horizontal="left" vertical="center" wrapText="1" indent="2"/>
    </xf>
    <xf numFmtId="0" fontId="39" fillId="41" borderId="36" xfId="0" applyFont="1" applyFill="1" applyBorder="1">
      <alignment horizontal="left" vertical="center"/>
    </xf>
    <xf numFmtId="0" fontId="1" fillId="0" borderId="20" xfId="0" applyFont="1" applyBorder="1">
      <alignment vertical="center"/>
    </xf>
    <xf numFmtId="0" fontId="39" fillId="41" borderId="35" xfId="0" applyFont="1" applyFill="1" applyBorder="1">
      <alignment horizontal="left" vertical="center"/>
    </xf>
    <xf numFmtId="4" fontId="23" fillId="34" borderId="18" xfId="0" applyFont="1" applyFill="1" applyBorder="1" applyNumberFormat="1">
      <alignment horizontal="right" vertical="center"/>
      <protection locked="0"/>
    </xf>
    <xf numFmtId="0" fontId="24" fillId="0" borderId="20" xfId="0" applyFont="1" applyBorder="1">
      <alignment vertical="center"/>
    </xf>
    <xf numFmtId="4" fontId="42" fillId="33" borderId="18" xfId="0" applyFont="1" applyFill="1" applyBorder="1" applyNumberFormat="1">
      <alignment horizontal="right" vertical="center" wrapText="1"/>
    </xf>
    <xf numFmtId="4" fontId="19" fillId="34" borderId="18" xfId="0" applyFont="1" applyFill="1" applyBorder="1" applyNumberFormat="1">
      <alignment horizontal="right" vertical="center" wrapText="1"/>
      <protection locked="0"/>
    </xf>
    <xf numFmtId="4" fontId="24" fillId="34" borderId="18" xfId="0" applyFont="1" applyFill="1" applyBorder="1" applyNumberFormat="1">
      <alignment horizontal="right" vertical="center" wrapText="1"/>
      <protection locked="0"/>
    </xf>
    <xf numFmtId="4" fontId="24" fillId="34" borderId="18" xfId="0" applyFont="1" applyFill="1" applyBorder="1" applyNumberFormat="1">
      <alignment horizontal="right"/>
      <protection locked="0"/>
    </xf>
    <xf numFmtId="49" fontId="40" fillId="42" borderId="36"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35" xfId="0" applyFont="1" applyFill="1" applyBorder="1" applyNumberFormat="1">
      <alignment horizontal="left" vertical="center" wrapText="1" indent="1"/>
    </xf>
    <xf numFmtId="0" fontId="23" fillId="0" borderId="18" xfId="0" applyFont="1" applyBorder="1">
      <alignment horizontal="center" vertical="center" wrapText="1"/>
    </xf>
    <xf numFmtId="4" fontId="24" fillId="33" borderId="18" xfId="0" applyFont="1" applyFill="1" applyBorder="1" applyNumberFormat="1">
      <alignment horizontal="right"/>
    </xf>
    <xf numFmtId="0" fontId="24" fillId="0" borderId="20" xfId="0" applyFont="1" applyBorder="1">
      <alignment vertical="center" wrapText="1"/>
    </xf>
    <xf numFmtId="0" fontId="24" fillId="0" borderId="20" xfId="0" applyFont="1" applyBorder="1"/>
    <xf numFmtId="4" fontId="24" fillId="33" borderId="18" xfId="0" applyFont="1" applyFill="1" applyBorder="1" applyNumberFormat="1">
      <alignment horizontal="right" vertical="center"/>
    </xf>
    <xf numFmtId="4" fontId="24" fillId="34" borderId="18" xfId="0" applyFont="1" applyFill="1" applyBorder="1" applyNumberFormat="1">
      <alignment horizontal="right" vertical="center"/>
      <protection locked="0"/>
    </xf>
    <xf numFmtId="49" fontId="24" fillId="0" borderId="18" xfId="0" applyFont="1" applyBorder="1" applyNumberFormat="1">
      <alignment horizontal="center" vertical="center"/>
    </xf>
    <xf numFmtId="0" fontId="42" fillId="0" borderId="0" xfId="0" applyFont="1"/>
    <xf numFmtId="0" fontId="39" fillId="41" borderId="37" xfId="0" applyFont="1" applyFill="1" applyBorder="1">
      <alignment horizontal="left" vertical="center"/>
    </xf>
    <xf numFmtId="0" fontId="39" fillId="41" borderId="38" xfId="0" applyFont="1" applyFill="1" applyBorder="1">
      <alignment horizontal="left" vertical="center"/>
    </xf>
    <xf numFmtId="49" fontId="19" fillId="0" borderId="18" xfId="0" applyFont="1" applyBorder="1" applyNumberFormat="1">
      <alignment horizontal="left" vertical="center" wrapText="1"/>
    </xf>
    <xf numFmtId="0" fontId="0" fillId="0" borderId="18" xfId="0" applyFont="1" applyBorder="1">
      <alignment horizontal="center" vertical="center" wrapText="1"/>
    </xf>
    <xf numFmtId="49" fontId="23" fillId="0" borderId="18" xfId="0" applyFont="1" applyBorder="1" applyNumberFormat="1">
      <alignment horizontal="left" vertical="center" wrapText="1"/>
    </xf>
    <xf numFmtId="49" fontId="23" fillId="0" borderId="18" xfId="0" applyFont="1" applyBorder="1" applyNumberFormat="1">
      <alignment horizontal="center" vertical="center" wrapText="1"/>
    </xf>
    <xf numFmtId="4" fontId="0" fillId="34" borderId="18" xfId="0" applyFont="1" applyFill="1" applyBorder="1" applyNumberFormat="1">
      <alignment horizontal="right" vertical="center" wrapText="1"/>
      <protection locked="0"/>
    </xf>
    <xf numFmtId="0" fontId="1" fillId="0" borderId="20" xfId="0" applyFont="1" applyBorder="1">
      <alignment wrapText="1"/>
    </xf>
    <xf numFmtId="0" fontId="34" fillId="0" borderId="0" xfId="0" applyFont="1">
      <alignment horizontal="left" vertical="center" wrapText="1"/>
    </xf>
    <xf numFmtId="49" fontId="36" fillId="0" borderId="20" xfId="0" applyFont="1" applyBorder="1" applyNumberFormat="1">
      <alignment vertical="center"/>
    </xf>
    <xf numFmtId="0" fontId="39" fillId="41" borderId="0" xfId="0" applyFont="1" applyFill="1">
      <alignment horizontal="left" vertical="center"/>
    </xf>
    <xf numFmtId="49" fontId="26" fillId="0" borderId="0" xfId="0" applyFont="1" applyNumberFormat="1">
      <alignment vertical="center"/>
    </xf>
    <xf numFmtId="0" fontId="24" fillId="0" borderId="28" xfId="0" applyFont="1" applyBorder="1">
      <alignment horizontal="center" vertical="center" wrapText="1"/>
    </xf>
    <xf numFmtId="0" fontId="24" fillId="0" borderId="39" xfId="0" applyFont="1" applyBorder="1">
      <alignment horizontal="center" vertical="center" wrapText="1"/>
    </xf>
    <xf numFmtId="4" fontId="24" fillId="34" borderId="28" xfId="0" applyFont="1" applyFill="1" applyBorder="1" applyNumberFormat="1">
      <alignment horizontal="right" vertical="center"/>
      <protection locked="0"/>
    </xf>
    <xf numFmtId="0" fontId="42" fillId="0" borderId="20" xfId="0" applyFont="1" applyBorder="1">
      <alignment horizontal="left" vertical="center" indent="1"/>
    </xf>
    <xf numFmtId="0" fontId="24" fillId="0" borderId="18" xfId="0" applyFont="1" applyBorder="1">
      <alignment horizontal="left" vertical="center" wrapText="1"/>
    </xf>
    <xf numFmtId="4" fontId="19" fillId="33" borderId="18" xfId="0" applyFont="1" applyFill="1" applyBorder="1" applyNumberFormat="1">
      <alignment horizontal="right" vertical="center"/>
    </xf>
    <xf numFmtId="49" fontId="40" fillId="42" borderId="26" xfId="0" applyFont="1" applyFill="1" applyBorder="1" applyNumberFormat="1">
      <alignment horizontal="left" vertical="center" indent="1"/>
    </xf>
    <xf numFmtId="0" fontId="19" fillId="39" borderId="0" xfId="0" applyFont="1" applyFill="1">
      <alignment horizontal="left" vertical="center" wrapText="1"/>
    </xf>
    <xf numFmtId="49" fontId="40" fillId="42" borderId="40" xfId="0" applyFont="1" applyFill="1" applyBorder="1" applyNumberFormat="1">
      <alignment horizontal="left" vertical="center" wrapText="1" indent="1"/>
    </xf>
    <xf numFmtId="49" fontId="40" fillId="42" borderId="41" xfId="0" applyFont="1" applyFill="1" applyBorder="1" applyNumberFormat="1">
      <alignment horizontal="left" vertical="center" wrapText="1" indent="1"/>
    </xf>
    <xf numFmtId="49" fontId="40" fillId="42" borderId="40" xfId="0" applyFont="1" applyFill="1" applyBorder="1" applyNumberFormat="1">
      <alignment horizontal="left" vertical="center" wrapText="1"/>
    </xf>
    <xf numFmtId="49" fontId="40" fillId="42" borderId="42" xfId="0" applyFont="1" applyFill="1" applyBorder="1" applyNumberFormat="1">
      <alignment horizontal="left" vertical="center" wrapText="1"/>
    </xf>
    <xf numFmtId="0" fontId="19" fillId="43" borderId="0" xfId="0" applyFont="1" applyFill="1">
      <alignment horizontal="left" vertical="center" wrapText="1"/>
    </xf>
    <xf numFmtId="0" fontId="24" fillId="43" borderId="0" xfId="0" applyFont="1" applyFill="1">
      <alignment horizontal="center" vertical="center" wrapText="1"/>
    </xf>
    <xf numFmtId="4" fontId="19" fillId="43" borderId="0" xfId="0" applyFont="1" applyFill="1" applyNumberFormat="1">
      <alignment horizontal="right" vertical="center"/>
    </xf>
    <xf numFmtId="49" fontId="19" fillId="43" borderId="35" xfId="0" applyFont="1" applyFill="1" applyBorder="1" applyNumberFormat="1">
      <alignment horizontal="left" vertical="center"/>
    </xf>
    <xf numFmtId="49" fontId="43" fillId="43" borderId="43" xfId="0" applyFont="1" applyFill="1" applyBorder="1" applyNumberFormat="1">
      <alignment horizontal="left" vertical="center" indent="1"/>
    </xf>
    <xf numFmtId="49" fontId="19" fillId="43" borderId="44" xfId="0" applyFont="1" applyFill="1" applyBorder="1" applyNumberFormat="1">
      <alignment horizontal="left" vertical="center" indent="1"/>
    </xf>
    <xf numFmtId="49" fontId="43" fillId="43" borderId="44" xfId="0" applyFont="1" applyFill="1" applyBorder="1" applyNumberFormat="1">
      <alignment horizontal="left" vertical="center" indent="1"/>
    </xf>
    <xf numFmtId="4" fontId="39" fillId="41" borderId="38" xfId="0" applyFont="1" applyFill="1" applyBorder="1" applyNumberFormat="1">
      <alignment horizontal="right" vertical="center"/>
    </xf>
    <xf numFmtId="0" fontId="19" fillId="33" borderId="18" xfId="0" applyFont="1" applyFill="1" applyBorder="1">
      <alignment horizontal="left" vertical="center" wrapText="1" indent="1"/>
    </xf>
    <xf numFmtId="0" fontId="24" fillId="42" borderId="35" xfId="0" applyFont="1" applyFill="1" applyBorder="1">
      <alignment vertical="center" wrapText="1"/>
    </xf>
    <xf numFmtId="172" fontId="24" fillId="34" borderId="19" xfId="0" applyFont="1" applyFill="1" applyBorder="1" applyNumberFormat="1">
      <alignment horizontal="right" vertical="center"/>
      <protection locked="0"/>
    </xf>
    <xf numFmtId="172" fontId="43" fillId="43" borderId="44" xfId="0" applyFont="1" applyFill="1" applyBorder="1" applyNumberFormat="1">
      <alignment horizontal="left" vertical="center" indent="1"/>
    </xf>
    <xf numFmtId="172" fontId="0" fillId="34" borderId="19" xfId="0" applyFont="1" applyFill="1" applyBorder="1" applyNumberFormat="1">
      <alignment horizontal="right" vertical="center"/>
      <protection locked="0"/>
    </xf>
    <xf numFmtId="172" fontId="19" fillId="34" borderId="19" xfId="0" applyFont="1" applyFill="1" applyBorder="1" applyNumberFormat="1">
      <alignment horizontal="right" vertical="center"/>
      <protection locked="0"/>
    </xf>
    <xf numFmtId="172" fontId="0" fillId="33" borderId="19" xfId="0" applyFont="1" applyFill="1" applyBorder="1" applyNumberFormat="1">
      <alignment horizontal="right" vertical="center"/>
    </xf>
    <xf numFmtId="173" fontId="0" fillId="33" borderId="19" xfId="0" applyFont="1" applyFill="1" applyBorder="1" applyNumberFormat="1">
      <alignment horizontal="right" vertical="center"/>
    </xf>
    <xf numFmtId="173" fontId="43" fillId="43" borderId="44" xfId="0" applyFont="1" applyFill="1" applyBorder="1" applyNumberFormat="1">
      <alignment horizontal="left" vertical="center" indent="1"/>
    </xf>
    <xf numFmtId="172" fontId="43" fillId="43" borderId="29" xfId="0" applyFont="1" applyFill="1" applyBorder="1" applyNumberFormat="1">
      <alignment horizontal="left" vertical="center" indent="1"/>
    </xf>
    <xf numFmtId="49" fontId="19" fillId="34" borderId="19" xfId="0" applyFont="1" applyFill="1" applyBorder="1" applyNumberFormat="1">
      <alignment horizontal="left" vertical="center" wrapText="1"/>
      <protection locked="0"/>
    </xf>
    <xf numFmtId="49" fontId="42" fillId="0" borderId="20" xfId="0" applyFont="1" applyBorder="1" applyNumberFormat="1">
      <alignment horizontal="left" vertical="center" wrapText="1" indent="1"/>
    </xf>
    <xf numFmtId="0" fontId="23" fillId="33" borderId="44" xfId="0" applyFont="1" applyFill="1" applyBorder="1">
      <alignment vertical="center" wrapText="1"/>
    </xf>
    <xf numFmtId="0" fontId="23" fillId="33" borderId="29" xfId="0" applyFont="1" applyFill="1" applyBorder="1">
      <alignment vertical="center" wrapText="1"/>
    </xf>
    <xf numFmtId="49" fontId="23" fillId="33" borderId="44" xfId="0" applyFont="1" applyFill="1" applyBorder="1" applyNumberFormat="1">
      <alignment vertical="center" wrapText="1"/>
    </xf>
    <xf numFmtId="49" fontId="23" fillId="33" borderId="29" xfId="0" applyFont="1" applyFill="1" applyBorder="1" applyNumberFormat="1">
      <alignment vertical="center" wrapText="1"/>
    </xf>
    <xf numFmtId="0" fontId="19" fillId="43" borderId="44" xfId="0" applyFont="1" applyFill="1" applyBorder="1">
      <alignment horizontal="left" vertical="center" indent="1"/>
    </xf>
    <xf numFmtId="0" fontId="19" fillId="43" borderId="29" xfId="0" applyFont="1" applyFill="1" applyBorder="1">
      <alignment horizontal="left" vertical="center" indent="1"/>
    </xf>
    <xf numFmtId="0" fontId="42" fillId="0" borderId="0" xfId="0" applyFont="1">
      <alignment vertical="center"/>
    </xf>
    <xf numFmtId="0" fontId="23" fillId="0" borderId="19" xfId="0" applyFont="1" applyBorder="1">
      <alignment horizontal="left" vertical="center" wrapText="1"/>
    </xf>
    <xf numFmtId="0" fontId="23" fillId="0" borderId="19" xfId="0" applyFont="1" applyBorder="1">
      <alignment horizontal="center" vertical="center" wrapText="1"/>
    </xf>
    <xf numFmtId="4" fontId="42" fillId="34" borderId="19" xfId="0" applyFont="1" applyFill="1" applyBorder="1" applyNumberFormat="1">
      <alignment horizontal="right" vertical="center"/>
      <protection locked="0"/>
    </xf>
    <xf numFmtId="4" fontId="23" fillId="33" borderId="19" xfId="0" applyFont="1" applyFill="1" applyBorder="1" applyNumberFormat="1">
      <alignment vertical="center"/>
    </xf>
    <xf numFmtId="0" fontId="19" fillId="0" borderId="0" xfId="0" applyFont="1">
      <alignment horizontal="center" vertical="center" wrapText="1"/>
    </xf>
    <xf numFmtId="4" fontId="19" fillId="34" borderId="18" xfId="0" applyFont="1" applyFill="1" applyBorder="1" applyNumberFormat="1">
      <alignment horizontal="right" vertical="center" wrapText="1"/>
      <protection locked="0"/>
    </xf>
    <xf numFmtId="49" fontId="19" fillId="0" borderId="18" xfId="0" applyFont="1" applyBorder="1" applyNumberFormat="1">
      <alignment horizontal="center" vertical="center"/>
    </xf>
    <xf numFmtId="0" fontId="19" fillId="0" borderId="18" xfId="0" applyFont="1" applyBorder="1">
      <alignment horizontal="center" vertical="center"/>
    </xf>
    <xf numFmtId="4" fontId="23" fillId="34" borderId="18" xfId="0" applyFont="1" applyFill="1" applyBorder="1" applyNumberFormat="1">
      <alignment vertical="center"/>
      <protection locked="0"/>
    </xf>
    <xf numFmtId="0" fontId="24" fillId="0" borderId="45" xfId="0" applyFont="1" applyBorder="1">
      <alignment horizontal="center" vertical="center" wrapText="1"/>
    </xf>
    <xf numFmtId="4" fontId="24" fillId="34" borderId="46" xfId="0" applyFont="1" applyFill="1" applyBorder="1" applyNumberFormat="1">
      <alignment horizontal="right" vertical="center"/>
      <protection locked="0"/>
    </xf>
    <xf numFmtId="4" fontId="24" fillId="42" borderId="47" xfId="0" applyFont="1" applyFill="1" applyBorder="1" applyNumberFormat="1">
      <alignment horizontal="right" vertical="center"/>
    </xf>
    <xf numFmtId="0" fontId="44" fillId="43" borderId="44" xfId="0" applyFont="1" applyFill="1" applyBorder="1">
      <alignment horizontal="left" vertical="center" indent="1"/>
    </xf>
    <xf numFmtId="4" fontId="45" fillId="41" borderId="24" xfId="0" applyFont="1" applyFill="1" applyBorder="1" applyNumberFormat="1">
      <alignment horizontal="right" vertical="center"/>
    </xf>
    <xf numFmtId="172" fontId="24" fillId="34" borderId="18" xfId="0" applyFont="1" applyFill="1" applyBorder="1" applyNumberFormat="1">
      <alignment horizontal="right" vertical="center"/>
      <protection locked="0"/>
    </xf>
    <xf numFmtId="49" fontId="40" fillId="42" borderId="26" xfId="0" applyFont="1" applyFill="1" applyBorder="1" applyNumberFormat="1">
      <alignment horizontal="left" vertical="center"/>
    </xf>
    <xf numFmtId="49" fontId="24" fillId="34" borderId="18" xfId="0" applyFont="1" applyFill="1" applyBorder="1" applyNumberFormat="1">
      <alignment horizontal="left" vertical="center" wrapText="1"/>
      <protection locked="0"/>
    </xf>
    <xf numFmtId="0" fontId="24" fillId="42" borderId="24" xfId="0" applyFont="1" applyFill="1" applyBorder="1">
      <alignment vertical="center" wrapText="1"/>
    </xf>
    <xf numFmtId="0" fontId="24" fillId="42" borderId="24" xfId="0" applyFont="1" applyFill="1" applyBorder="1">
      <alignment vertical="center"/>
    </xf>
    <xf numFmtId="0" fontId="24" fillId="42" borderId="35" xfId="0" applyFont="1" applyFill="1" applyBorder="1">
      <alignment vertical="center"/>
    </xf>
    <xf numFmtId="0" fontId="24" fillId="42" borderId="26" xfId="0" applyFont="1" applyFill="1" applyBorder="1">
      <alignment vertical="center" wrapText="1"/>
    </xf>
    <xf numFmtId="0" fontId="24" fillId="42" borderId="32" xfId="0" applyFont="1" applyFill="1" applyBorder="1">
      <alignment vertical="center" wrapText="1"/>
    </xf>
    <xf numFmtId="172" fontId="19" fillId="33" borderId="19" xfId="0" applyFont="1" applyFill="1" applyBorder="1" applyNumberFormat="1">
      <alignment horizontal="right" vertical="center"/>
    </xf>
    <xf numFmtId="172" fontId="24" fillId="34" borderId="28" xfId="0" applyFont="1" applyFill="1" applyBorder="1" applyNumberFormat="1">
      <alignment horizontal="right" vertical="center"/>
      <protection locked="0"/>
    </xf>
    <xf numFmtId="172" fontId="24" fillId="34" borderId="46" xfId="0" applyFont="1" applyFill="1" applyBorder="1" applyNumberFormat="1">
      <alignment horizontal="right" vertical="center"/>
      <protection locked="0"/>
    </xf>
    <xf numFmtId="0" fontId="23" fillId="0" borderId="20" xfId="0" applyFont="1" applyBorder="1" quotePrefix="1">
      <alignment horizontal="left" vertical="center" indent="1"/>
    </xf>
    <xf numFmtId="0" fontId="42" fillId="0" borderId="20" xfId="0" applyFont="1" applyBorder="1" quotePrefix="1">
      <alignment horizontal="left" vertical="center" indent="1"/>
    </xf>
    <xf numFmtId="49" fontId="42" fillId="0" borderId="20" xfId="0" applyFont="1" applyBorder="1" applyNumberFormat="1" quotePrefix="1">
      <alignment horizontal="left" vertical="center" indent="1"/>
    </xf>
    <xf numFmtId="0" fontId="30" fillId="0" borderId="0" xfId="0" applyFont="1"/>
    <xf numFmtId="0" fontId="28" fillId="0" borderId="20" xfId="0" applyFont="1" applyBorder="1">
      <alignment horizontal="left" vertical="center" indent="1"/>
    </xf>
    <xf numFmtId="0" fontId="30" fillId="0" borderId="20" xfId="0" applyFont="1" applyBorder="1"/>
    <xf numFmtId="0" fontId="46" fillId="4" borderId="18" xfId="0" applyFont="1" applyFill="1" applyBorder="1">
      <alignment horizontal="center" vertical="center"/>
    </xf>
    <xf numFmtId="0" fontId="30" fillId="4" borderId="18" xfId="0" applyFont="1" applyFill="1" applyBorder="1">
      <alignment vertical="center"/>
    </xf>
    <xf numFmtId="0" fontId="30" fillId="4" borderId="18" xfId="0" applyFont="1" applyFill="1" applyBorder="1">
      <alignment vertical="center" wrapText="1"/>
    </xf>
    <xf numFmtId="0" fontId="30" fillId="0" borderId="0" xfId="0" applyFont="1">
      <alignment horizontal="left" vertical="center" indent="1"/>
    </xf>
    <xf numFmtId="0" fontId="24" fillId="0" borderId="29" xfId="0" applyFont="1" applyBorder="1">
      <alignment vertical="center"/>
    </xf>
    <xf numFmtId="0" fontId="24" fillId="0" borderId="29" xfId="0" applyFont="1" applyBorder="1">
      <alignment vertical="center" wrapText="1"/>
    </xf>
    <xf numFmtId="0" fontId="19" fillId="0" borderId="19" xfId="0" applyFont="1" applyBorder="1">
      <alignment vertical="center" wrapText="1"/>
    </xf>
    <xf numFmtId="0" fontId="19" fillId="0" borderId="29" xfId="0" applyFont="1" applyBorder="1">
      <alignment horizontal="left" vertical="center" wrapText="1" indent="1"/>
    </xf>
    <xf numFmtId="0" fontId="19" fillId="0" borderId="19" xfId="0" applyFont="1" applyBorder="1">
      <alignment horizontal="left" vertical="center" wrapText="1" indent="2"/>
    </xf>
    <xf numFmtId="0" fontId="24" fillId="0" borderId="19" xfId="0" applyFont="1" applyBorder="1">
      <alignment horizontal="left" vertical="center" wrapText="1" indent="3"/>
    </xf>
    <xf numFmtId="0" fontId="19" fillId="0" borderId="44" xfId="0" applyFont="1" applyBorder="1">
      <alignment horizontal="left" vertical="center" wrapText="1" indent="1"/>
    </xf>
    <xf numFmtId="0" fontId="19" fillId="0" borderId="48" xfId="0" applyFont="1" applyBorder="1">
      <alignment vertical="center" wrapText="1"/>
    </xf>
    <xf numFmtId="0" fontId="19" fillId="0" borderId="48" xfId="0" applyFont="1" applyBorder="1">
      <alignment horizontal="left" vertical="center" wrapText="1" indent="1"/>
    </xf>
    <xf numFmtId="0" fontId="19" fillId="0" borderId="44" xfId="0" applyFont="1" applyBorder="1">
      <alignment vertical="center" wrapText="1"/>
    </xf>
    <xf numFmtId="0" fontId="24" fillId="0" borderId="19" xfId="0" applyFont="1" applyBorder="1">
      <alignment horizontal="left" vertical="center" wrapText="1" indent="2"/>
    </xf>
    <xf numFmtId="0" fontId="24" fillId="0" borderId="19" xfId="0" applyFont="1" applyBorder="1">
      <alignment horizontal="left" vertical="center" wrapText="1" indent="1"/>
    </xf>
    <xf numFmtId="0" fontId="19" fillId="0" borderId="43" xfId="0" applyFont="1" applyBorder="1">
      <alignment horizontal="left" vertical="center" wrapText="1"/>
    </xf>
    <xf numFmtId="0" fontId="19" fillId="0" borderId="18" xfId="0" applyFont="1" applyBorder="1">
      <alignment vertical="center" wrapText="1"/>
    </xf>
    <xf numFmtId="0" fontId="24" fillId="0" borderId="18" xfId="0" applyFont="1" applyBorder="1">
      <alignment horizontal="left" vertical="center" indent="1"/>
    </xf>
    <xf numFmtId="0" fontId="24" fillId="0" borderId="18" xfId="0" applyFont="1" applyBorder="1">
      <alignment horizontal="left" vertical="center" indent="2"/>
    </xf>
    <xf numFmtId="172" fontId="19" fillId="0" borderId="0" xfId="0" applyFont="1" applyNumberFormat="1">
      <alignment vertical="top"/>
    </xf>
    <xf numFmtId="172" fontId="27" fillId="0" borderId="0" xfId="0" applyFont="1" applyNumberFormat="1">
      <alignment vertical="top"/>
    </xf>
    <xf numFmtId="172" fontId="24" fillId="33" borderId="19" xfId="0" applyFont="1" applyFill="1" applyBorder="1" applyNumberFormat="1">
      <alignment horizontal="right" vertical="center"/>
    </xf>
    <xf numFmtId="172" fontId="24" fillId="33" borderId="19" xfId="0" applyFont="1" applyFill="1" applyBorder="1" applyNumberFormat="1">
      <alignment horizontal="right" vertical="center"/>
    </xf>
    <xf numFmtId="0" fontId="35" fillId="35" borderId="19" xfId="0" applyFont="1" applyFill="1" applyBorder="1">
      <alignment horizontal="left" vertical="center" wrapText="1" indent="1"/>
      <protection locked="0"/>
    </xf>
    <xf numFmtId="0" fontId="24" fillId="0" borderId="0" xfId="0" applyFont="1">
      <alignment horizontal="left" vertical="center"/>
    </xf>
    <xf numFmtId="49" fontId="42" fillId="0" borderId="20" xfId="0" applyFont="1" applyBorder="1" applyNumberFormat="1">
      <alignment horizontal="left" vertical="center" wrapText="1" indent="4"/>
    </xf>
    <xf numFmtId="49" fontId="42" fillId="0" borderId="0" xfId="0" applyFont="1" applyNumberFormat="1" quotePrefix="1">
      <alignment horizontal="left" vertical="center" wrapText="1" indent="4"/>
    </xf>
    <xf numFmtId="49" fontId="19" fillId="36" borderId="18" xfId="0" applyFont="1" applyFill="1" applyBorder="1" applyNumberFormat="1">
      <alignment horizontal="center" vertical="center" wrapText="1"/>
    </xf>
    <xf numFmtId="4" fontId="19" fillId="33" borderId="18" xfId="0" applyFont="1" applyFill="1" applyBorder="1" applyNumberFormat="1">
      <alignment horizontal="right" vertical="center"/>
    </xf>
    <xf numFmtId="4" fontId="27" fillId="0" borderId="0" xfId="0" applyFont="1" applyNumberFormat="1">
      <alignment horizontal="right" vertical="center"/>
    </xf>
    <xf numFmtId="4" fontId="19" fillId="0" borderId="0" xfId="0" applyFont="1" applyNumberFormat="1">
      <alignment horizontal="right" vertical="center"/>
    </xf>
    <xf numFmtId="0" fontId="24" fillId="0" borderId="18" xfId="0" applyFont="1" applyBorder="1">
      <alignment horizontal="center" vertical="center"/>
    </xf>
    <xf numFmtId="0" fontId="30" fillId="4" borderId="18" xfId="0" applyFont="1" applyFill="1" applyBorder="1" quotePrefix="1">
      <alignment vertical="center" wrapText="1"/>
    </xf>
    <xf numFmtId="0" fontId="19" fillId="0" borderId="13" xfId="0" applyFont="1" applyBorder="1">
      <alignment horizontal="center" vertical="center" wrapText="1"/>
    </xf>
    <xf numFmtId="0" fontId="24" fillId="0" borderId="49" xfId="0" applyFont="1" applyBorder="1">
      <alignment horizontal="center" vertical="center" wrapText="1"/>
    </xf>
    <xf numFmtId="0" fontId="24" fillId="0" borderId="43" xfId="0" applyFont="1" applyBorder="1">
      <alignment horizontal="center" vertical="center" wrapText="1"/>
    </xf>
    <xf numFmtId="0" fontId="23" fillId="0" borderId="18" xfId="0" applyFont="1" applyBorder="1">
      <alignment horizontal="left" vertical="center" wrapText="1" indent="1"/>
    </xf>
    <xf numFmtId="0" fontId="24" fillId="33" borderId="44" xfId="0" applyFont="1" applyFill="1" applyBorder="1">
      <alignment horizontal="left" vertical="center" indent="1"/>
    </xf>
    <xf numFmtId="0" fontId="24" fillId="33" borderId="29" xfId="0" applyFont="1" applyFill="1" applyBorder="1">
      <alignment horizontal="left" vertical="center" indent="1"/>
    </xf>
    <xf numFmtId="0" fontId="47" fillId="0" borderId="0" xfId="0" applyFont="1">
      <alignment vertical="center"/>
    </xf>
    <xf numFmtId="0" fontId="19" fillId="0" borderId="0" xfId="0" applyFont="1">
      <alignment horizontal="left" vertical="center"/>
    </xf>
    <xf numFmtId="0" fontId="19" fillId="0" borderId="0" xfId="0" applyFont="1">
      <alignment horizontal="left" vertical="center"/>
    </xf>
    <xf numFmtId="0" fontId="19" fillId="0" borderId="0" xfId="0" applyFont="1">
      <alignment horizontal="left" vertical="center" indent="2"/>
    </xf>
    <xf numFmtId="49" fontId="40" fillId="42" borderId="41" xfId="0" applyFont="1" applyFill="1" applyBorder="1" applyNumberFormat="1">
      <alignment horizontal="left" vertical="center" wrapText="1"/>
    </xf>
    <xf numFmtId="49" fontId="24" fillId="0" borderId="0" xfId="0" applyFont="1" applyNumberFormat="1"/>
    <xf numFmtId="49" fontId="42" fillId="44" borderId="44" xfId="0" applyFont="1" applyFill="1" applyBorder="1" applyNumberFormat="1">
      <alignment horizontal="left" vertical="center" wrapText="1"/>
    </xf>
    <xf numFmtId="49" fontId="42" fillId="44" borderId="29" xfId="0" applyFont="1" applyFill="1" applyBorder="1" applyNumberFormat="1">
      <alignment horizontal="left" vertical="center" wrapText="1"/>
    </xf>
    <xf numFmtId="0" fontId="19" fillId="36" borderId="50" xfId="0" applyFont="1" applyFill="1" applyBorder="1">
      <alignment horizontal="center" vertical="center" wrapText="1"/>
    </xf>
    <xf numFmtId="0" fontId="19" fillId="0" borderId="0" xfId="0" applyFont="1">
      <alignment horizontal="left" vertical="center"/>
    </xf>
    <xf numFmtId="0" fontId="19" fillId="0" borderId="0" xfId="0" applyFont="1">
      <alignment horizontal="left" vertical="center"/>
    </xf>
    <xf numFmtId="0" fontId="19" fillId="0" borderId="0" xfId="0" applyFont="1">
      <alignment horizontal="left"/>
    </xf>
    <xf numFmtId="0" fontId="24" fillId="0" borderId="0" xfId="0" applyFont="1">
      <alignment horizontal="left"/>
    </xf>
    <xf numFmtId="0" fontId="35" fillId="0" borderId="0" xfId="0" applyFont="1">
      <alignment horizontal="left" vertical="center" wrapText="1"/>
    </xf>
    <xf numFmtId="0" fontId="35" fillId="0" borderId="0" xfId="0" applyFont="1">
      <alignment horizontal="left" vertical="center"/>
    </xf>
    <xf numFmtId="0" fontId="1" fillId="0" borderId="0" xfId="0" applyFont="1"/>
    <xf numFmtId="0" fontId="35" fillId="40" borderId="0" xfId="0" applyFont="1" applyFill="1">
      <alignment vertical="center"/>
    </xf>
    <xf numFmtId="0" fontId="39" fillId="41" borderId="18" xfId="0" applyFont="1" applyFill="1" applyBorder="1">
      <alignment horizontal="left" vertical="center"/>
    </xf>
    <xf numFmtId="4" fontId="23" fillId="34" borderId="18" xfId="0" applyFont="1" applyFill="1" applyBorder="1" applyNumberFormat="1">
      <alignment horizontal="right" vertical="center" wrapText="1"/>
      <protection locked="0"/>
    </xf>
    <xf numFmtId="0" fontId="24" fillId="42" borderId="35" xfId="0" applyFont="1" applyFill="1" applyBorder="1"/>
    <xf numFmtId="0" fontId="26" fillId="40" borderId="0" xfId="0" applyFont="1" applyFill="1">
      <alignment vertical="center"/>
    </xf>
    <xf numFmtId="49" fontId="19" fillId="34" borderId="19" xfId="0" applyFont="1" applyFill="1" applyBorder="1" applyNumberFormat="1">
      <alignment horizontal="left" vertical="center" wrapText="1" indent="1"/>
      <protection locked="0"/>
    </xf>
    <xf numFmtId="49" fontId="19" fillId="35" borderId="19" xfId="0" applyFont="1" applyFill="1" applyBorder="1" applyNumberFormat="1">
      <alignment horizontal="left" vertical="center" wrapText="1" indent="1"/>
      <protection locked="0"/>
    </xf>
    <xf numFmtId="0" fontId="48" fillId="0" borderId="0" xfId="0" applyFont="1">
      <alignment vertical="center"/>
    </xf>
    <xf numFmtId="0" fontId="48" fillId="0" borderId="0" xfId="0" applyFont="1">
      <alignment vertical="center" wrapText="1"/>
    </xf>
    <xf numFmtId="0" fontId="49" fillId="0" borderId="0" xfId="0" applyFont="1">
      <alignment vertical="center"/>
    </xf>
    <xf numFmtId="0" fontId="19" fillId="35" borderId="19" xfId="0" applyFont="1" applyFill="1" applyBorder="1">
      <alignment horizontal="left" vertical="center" wrapText="1" indent="1"/>
      <protection locked="0"/>
    </xf>
    <xf numFmtId="0" fontId="19" fillId="35" borderId="19" xfId="0" applyFont="1" applyFill="1" applyBorder="1">
      <alignment horizontal="left" vertical="center" wrapText="1" indent="1"/>
      <protection locked="0"/>
    </xf>
    <xf numFmtId="0" fontId="19" fillId="34" borderId="19" xfId="0" applyFont="1" applyFill="1" applyBorder="1">
      <alignment horizontal="left" vertical="center" wrapText="1" indent="1"/>
      <protection locked="0"/>
    </xf>
    <xf numFmtId="49" fontId="24" fillId="35" borderId="19" xfId="0" applyFont="1" applyFill="1" applyBorder="1" applyNumberFormat="1">
      <alignment horizontal="left" vertical="center" wrapText="1" indent="1"/>
      <protection locked="0"/>
    </xf>
    <xf numFmtId="49" fontId="24" fillId="33" borderId="19" xfId="0" applyFont="1" applyFill="1" applyBorder="1" applyNumberFormat="1">
      <alignment horizontal="left" vertical="center" wrapText="1" indent="1"/>
    </xf>
    <xf numFmtId="49" fontId="19" fillId="0" borderId="29" xfId="0" applyFont="1" applyBorder="1" applyNumberFormat="1">
      <alignment horizontal="right" vertical="center" wrapText="1" indent="1"/>
    </xf>
    <xf numFmtId="0" fontId="24" fillId="35" borderId="19" xfId="0" applyFont="1" applyFill="1" applyBorder="1">
      <alignment horizontal="left" vertical="center" wrapText="1" indent="1"/>
      <protection locked="0"/>
    </xf>
    <xf numFmtId="49" fontId="19" fillId="0" borderId="19" xfId="0" applyFont="1" applyBorder="1" applyNumberFormat="1">
      <alignment horizontal="right" vertical="center" wrapText="1" indent="1"/>
    </xf>
    <xf numFmtId="49" fontId="40" fillId="42" borderId="42" xfId="0" applyFont="1" applyFill="1" applyBorder="1" applyNumberFormat="1">
      <alignment horizontal="right" vertical="center" wrapText="1" indent="1"/>
    </xf>
    <xf numFmtId="0" fontId="24" fillId="33" borderId="19" xfId="0" applyFont="1" applyFill="1" applyBorder="1">
      <alignment horizontal="left" vertical="center" wrapText="1" indent="1"/>
    </xf>
    <xf numFmtId="0" fontId="19" fillId="33" borderId="19" xfId="0" applyFont="1" applyFill="1" applyBorder="1">
      <alignment horizontal="left" vertical="center" indent="1"/>
    </xf>
    <xf numFmtId="0" fontId="23" fillId="0" borderId="19" xfId="0" applyFont="1" applyBorder="1">
      <alignment horizontal="right" vertical="center" wrapText="1" indent="1"/>
    </xf>
    <xf numFmtId="0" fontId="42" fillId="33" borderId="19" xfId="0" applyFont="1" applyFill="1" applyBorder="1">
      <alignment horizontal="left" vertical="center" wrapText="1" indent="1"/>
    </xf>
    <xf numFmtId="49" fontId="19" fillId="0" borderId="19" xfId="0" applyFont="1" applyBorder="1" applyNumberFormat="1">
      <alignment horizontal="right" vertical="center" wrapText="1" indent="1"/>
    </xf>
    <xf numFmtId="0" fontId="19" fillId="34" borderId="19" xfId="0" applyFont="1" applyFill="1" applyBorder="1">
      <alignment horizontal="left" vertical="center" wrapText="1" indent="1"/>
      <protection locked="0"/>
    </xf>
    <xf numFmtId="14" fontId="24" fillId="34" borderId="19" xfId="0" applyFont="1" applyFill="1" applyBorder="1" applyNumberFormat="1">
      <alignment horizontal="left" vertical="center" wrapText="1" indent="1"/>
      <protection locked="0"/>
    </xf>
    <xf numFmtId="49" fontId="50" fillId="34" borderId="19" xfId="0" applyFont="1" applyFill="1" applyBorder="1" applyNumberFormat="1">
      <alignment horizontal="left" vertical="center" wrapText="1" indent="1"/>
      <protection locked="0"/>
    </xf>
    <xf numFmtId="0" fontId="24" fillId="0" borderId="51" xfId="0" applyFont="1" applyBorder="1"/>
    <xf numFmtId="0" fontId="35" fillId="0" borderId="51" xfId="0" applyFont="1" applyBorder="1">
      <alignment vertical="center"/>
    </xf>
    <xf numFmtId="172" fontId="24" fillId="34" borderId="45" xfId="0" applyFont="1" applyFill="1" applyBorder="1" applyNumberFormat="1">
      <alignment horizontal="right" vertical="center"/>
      <protection locked="0"/>
    </xf>
    <xf numFmtId="49" fontId="19" fillId="33" borderId="18" xfId="0" applyFont="1" applyFill="1" applyBorder="1" applyNumberFormat="1">
      <alignment horizontal="left" vertical="center" wrapText="1" indent="1"/>
    </xf>
    <xf numFmtId="49" fontId="48" fillId="0" borderId="0" xfId="0" applyFont="1" applyNumberFormat="1">
      <alignment vertical="top"/>
    </xf>
    <xf numFmtId="49" fontId="42" fillId="44" borderId="43" xfId="0" applyFont="1" applyFill="1" applyBorder="1" applyNumberFormat="1">
      <alignment horizontal="left" vertical="center"/>
    </xf>
    <xf numFmtId="4" fontId="24" fillId="0" borderId="46" xfId="0" applyFont="1" applyBorder="1" applyNumberFormat="1">
      <alignment horizontal="right" vertical="center"/>
    </xf>
    <xf numFmtId="0" fontId="26" fillId="45" borderId="0" xfId="0" applyFont="1" applyFill="1">
      <alignment vertical="center" wrapText="1"/>
    </xf>
    <xf numFmtId="0" fontId="26" fillId="46" borderId="0" xfId="0" applyFont="1" applyFill="1">
      <alignment vertical="center" wrapText="1"/>
    </xf>
    <xf numFmtId="0" fontId="26" fillId="46" borderId="0" xfId="0" applyFont="1" applyFill="1">
      <alignment vertical="center"/>
    </xf>
    <xf numFmtId="0" fontId="26" fillId="46" borderId="0" xfId="0" applyFont="1" applyFill="1">
      <alignment vertical="center"/>
    </xf>
    <xf numFmtId="0" fontId="51" fillId="0" borderId="0" xfId="0" applyFont="1">
      <alignment horizontal="left" vertical="center"/>
    </xf>
    <xf numFmtId="49" fontId="37" fillId="38" borderId="0" xfId="0" applyFont="1" applyFill="1" applyNumberFormat="1">
      <alignment horizontal="center" vertical="top"/>
    </xf>
    <xf numFmtId="49" fontId="26" fillId="39" borderId="0" xfId="0" applyFont="1" applyFill="1" applyNumberFormat="1">
      <alignment horizontal="right"/>
    </xf>
    <xf numFmtId="0" fontId="19" fillId="0" borderId="0" xfId="0" applyFont="1">
      <alignment vertical="top"/>
    </xf>
    <xf numFmtId="49" fontId="50" fillId="34" borderId="19" xfId="0" applyFont="1" applyFill="1" applyBorder="1" applyNumberFormat="1">
      <alignment horizontal="left" vertical="center" wrapText="1" indent="1"/>
    </xf>
    <xf numFmtId="49" fontId="19" fillId="34" borderId="19" xfId="0" applyFont="1" applyFill="1" applyBorder="1" applyNumberFormat="1">
      <alignment horizontal="left" vertical="center" wrapText="1" indent="1"/>
    </xf>
    <xf numFmtId="49" fontId="19" fillId="35" borderId="19" xfId="0" applyFont="1" applyFill="1" applyBorder="1" applyNumberFormat="1">
      <alignment horizontal="left" vertical="center" wrapText="1" indent="1"/>
    </xf>
    <xf numFmtId="174" fontId="24" fillId="35" borderId="19" xfId="0" applyFont="1" applyFill="1" applyBorder="1" applyNumberFormat="1">
      <alignment horizontal="left" vertical="center" wrapText="1" indent="1"/>
      <protection locked="0"/>
    </xf>
    <xf numFmtId="49" fontId="52" fillId="0" borderId="0" xfId="0" applyFont="1" applyNumberFormat="1">
      <alignment horizontal="center" vertical="center" wrapText="1"/>
    </xf>
    <xf numFmtId="0" fontId="53" fillId="0" borderId="0" xfId="0" applyFont="1">
      <alignment wrapText="1"/>
    </xf>
    <xf numFmtId="49" fontId="54" fillId="0" borderId="0" xfId="0" applyFont="1" applyNumberFormat="1">
      <alignment wrapText="1"/>
    </xf>
    <xf numFmtId="49" fontId="26" fillId="36" borderId="0" xfId="0" applyFont="1" applyFill="1" applyNumberFormat="1">
      <alignment vertical="center" wrapText="1"/>
    </xf>
    <xf numFmtId="49" fontId="25" fillId="47" borderId="0" xfId="0" applyFont="1" applyFill="1" applyNumberFormat="1">
      <alignment vertical="center" wrapText="1"/>
    </xf>
    <xf numFmtId="49" fontId="19" fillId="0" borderId="0" xfId="0" applyFont="1" applyNumberFormat="1">
      <alignment vertical="center"/>
    </xf>
    <xf numFmtId="0" fontId="19" fillId="0" borderId="0" xfId="0" applyFont="1"/>
    <xf numFmtId="0" fontId="0" fillId="0" borderId="0" xfId="0" applyFont="1">
      <alignment horizontal="center" vertical="center"/>
    </xf>
    <xf numFmtId="0" fontId="0" fillId="0" borderId="0" xfId="0" applyFont="1">
      <alignment horizontal="center"/>
    </xf>
    <xf numFmtId="0" fontId="0" fillId="0" borderId="0" xfId="0" applyFont="1">
      <alignment horizontal="center" vertical="center" wrapText="1"/>
    </xf>
    <xf numFmtId="49" fontId="0" fillId="0" borderId="0" xfId="0" applyFont="1" applyNumberFormat="1">
      <alignment horizontal="center" vertical="top"/>
    </xf>
    <xf numFmtId="0" fontId="33" fillId="0" borderId="0" xfId="0" applyFont="1">
      <alignment horizontal="center"/>
    </xf>
    <xf numFmtId="0" fontId="51" fillId="0" borderId="0" xfId="0" applyFont="1">
      <alignment horizontal="center" vertical="center"/>
    </xf>
    <xf numFmtId="0" fontId="51" fillId="0" borderId="0" xfId="0" applyFont="1">
      <alignment horizontal="center" vertical="center" wrapText="1"/>
    </xf>
    <xf numFmtId="0" fontId="55" fillId="0" borderId="0" xfId="0" applyFont="1">
      <alignment horizontal="center" vertical="center" wrapText="1"/>
    </xf>
    <xf numFmtId="0" fontId="55" fillId="0" borderId="0" xfId="0" applyFont="1">
      <alignment horizontal="center" vertical="center"/>
    </xf>
    <xf numFmtId="49" fontId="56" fillId="0" borderId="0" xfId="0" applyFont="1" applyNumberFormat="1">
      <alignment horizontal="center" wrapText="1"/>
    </xf>
    <xf numFmtId="0" fontId="57" fillId="0" borderId="0" xfId="0" applyFont="1">
      <alignment horizontal="center"/>
    </xf>
    <xf numFmtId="0" fontId="58" fillId="0" borderId="0" xfId="0" applyFont="1">
      <alignment horizontal="center" vertical="top" wrapText="1"/>
    </xf>
    <xf numFmtId="49" fontId="0" fillId="0" borderId="0" xfId="0" applyFont="1" applyNumberFormat="1">
      <alignment horizontal="center" vertical="center" wrapText="1"/>
    </xf>
    <xf numFmtId="0" fontId="51" fillId="0" borderId="0" xfId="0" applyFont="1">
      <alignment horizontal="center"/>
    </xf>
    <xf numFmtId="0" fontId="55" fillId="0" borderId="0" xfId="0" applyFont="1">
      <alignment horizontal="center"/>
    </xf>
    <xf numFmtId="0" fontId="0" fillId="0" borderId="0" xfId="0" applyFont="1">
      <alignment horizontal="center"/>
    </xf>
    <xf numFmtId="0" fontId="0" fillId="0" borderId="0" xfId="0" applyFont="1">
      <alignment horizontal="center" wrapText="1"/>
    </xf>
    <xf numFmtId="0" fontId="58" fillId="0" borderId="0" xfId="0" applyFont="1">
      <alignment horizontal="center"/>
    </xf>
    <xf numFmtId="0" fontId="0" fillId="25" borderId="0" xfId="0" applyFont="1" applyFill="1">
      <alignment horizontal="center" vertical="center"/>
    </xf>
    <xf numFmtId="0" fontId="0" fillId="25" borderId="0" xfId="0" applyFont="1" applyFill="1">
      <alignment horizontal="center"/>
    </xf>
    <xf numFmtId="0" fontId="0" fillId="25" borderId="0" xfId="0" applyFont="1" applyFill="1">
      <alignment horizontal="center"/>
    </xf>
    <xf numFmtId="0" fontId="59" fillId="0" borderId="0" xfId="0" applyFont="1"/>
    <xf numFmtId="49" fontId="19" fillId="0" borderId="0" xfId="0" applyFont="1" applyNumberFormat="1">
      <alignment vertical="center"/>
    </xf>
    <xf numFmtId="0" fontId="59" fillId="0" borderId="20" xfId="0" applyFont="1" applyBorder="1">
      <alignment vertical="center"/>
    </xf>
    <xf numFmtId="49" fontId="60" fillId="0" borderId="0" xfId="0" applyFont="1" applyNumberFormat="1">
      <alignment horizontal="center" vertical="center" wrapText="1"/>
    </xf>
    <xf numFmtId="0" fontId="19" fillId="0" borderId="18" xfId="0" applyFont="1" applyBorder="1">
      <alignment horizontal="left" vertical="center" wrapText="1"/>
    </xf>
    <xf numFmtId="0" fontId="19" fillId="35" borderId="18" xfId="0" applyFont="1" applyFill="1" applyBorder="1">
      <alignment horizontal="left" vertical="center" wrapText="1" indent="1"/>
      <protection locked="0"/>
    </xf>
    <xf numFmtId="0" fontId="19" fillId="0" borderId="36" xfId="0" applyFont="1" applyBorder="1">
      <alignment horizontal="right" vertical="center" wrapText="1" indent="1"/>
    </xf>
    <xf numFmtId="0" fontId="19" fillId="0" borderId="24" xfId="0" applyFont="1" applyBorder="1">
      <alignment horizontal="right" vertical="center" wrapText="1" indent="1"/>
    </xf>
    <xf numFmtId="0" fontId="19" fillId="0" borderId="35" xfId="0" applyFont="1" applyBorder="1">
      <alignment horizontal="right" vertical="center" wrapText="1" indent="1"/>
    </xf>
    <xf numFmtId="0" fontId="19" fillId="35" borderId="18" xfId="0" applyFont="1" applyFill="1" applyBorder="1">
      <alignment horizontal="left" vertical="center" wrapText="1" indent="1"/>
      <protection locked="0"/>
    </xf>
    <xf numFmtId="0" fontId="19" fillId="35" borderId="18" xfId="0" applyFont="1" applyFill="1" applyBorder="1">
      <alignment horizontal="left" vertical="center" wrapText="1" indent="1"/>
      <protection locked="0"/>
    </xf>
    <xf numFmtId="49" fontId="37" fillId="38" borderId="0" xfId="0" applyFont="1" applyFill="1" applyNumberFormat="1">
      <alignment horizontal="center" vertical="center"/>
    </xf>
    <xf numFmtId="49" fontId="26" fillId="39" borderId="0" xfId="0" applyFont="1" applyFill="1" applyNumberFormat="1">
      <alignment vertical="center" wrapText="1"/>
    </xf>
    <xf numFmtId="49" fontId="24" fillId="34" borderId="19" xfId="0" applyFont="1" applyFill="1" applyBorder="1" applyNumberFormat="1">
      <alignment horizontal="left" vertical="center" wrapText="1" indent="1"/>
      <protection locked="0"/>
    </xf>
    <xf numFmtId="0" fontId="46" fillId="4" borderId="18" xfId="0" applyFont="1" applyFill="1" applyBorder="1">
      <alignment horizontal="center" vertical="center"/>
    </xf>
    <xf numFmtId="0" fontId="30" fillId="4" borderId="18" xfId="0" applyFont="1" applyFill="1" applyBorder="1">
      <alignment vertical="center"/>
    </xf>
    <xf numFmtId="0" fontId="30" fillId="4" borderId="18" xfId="0" applyFont="1" applyFill="1" applyBorder="1">
      <alignment vertical="center" wrapText="1"/>
    </xf>
    <xf numFmtId="0" fontId="30" fillId="4" borderId="18" xfId="0" applyFont="1" applyFill="1" applyBorder="1" quotePrefix="1">
      <alignment vertical="center" wrapText="1"/>
    </xf>
    <xf numFmtId="0" fontId="24" fillId="48" borderId="0" xfId="0" applyFont="1" applyFill="1">
      <alignment horizontal="center" vertical="center"/>
    </xf>
    <xf numFmtId="49" fontId="19" fillId="48" borderId="0" xfId="0" applyFont="1" applyFill="1" applyNumberFormat="1">
      <alignment horizontal="center" vertical="center"/>
    </xf>
    <xf numFmtId="0" fontId="19" fillId="48" borderId="0" xfId="0" applyFont="1" applyFill="1">
      <alignment horizontal="center" vertical="center"/>
    </xf>
    <xf numFmtId="0" fontId="19" fillId="0" borderId="0" xfId="0" applyFont="1">
      <alignment vertical="center" wrapText="1"/>
    </xf>
    <xf numFmtId="0" fontId="19" fillId="0" borderId="0" xfId="0" applyFont="1">
      <alignment vertical="top"/>
    </xf>
    <xf numFmtId="0" fontId="61" fillId="0" borderId="0" xfId="0" applyFont="1">
      <alignment wrapText="1"/>
    </xf>
    <xf numFmtId="0" fontId="19" fillId="0" borderId="0" xfId="0" applyFont="1">
      <alignment horizontal="center" vertical="center" wrapText="1"/>
    </xf>
    <xf numFmtId="0" fontId="19" fillId="0" borderId="0" xfId="0" applyFont="1">
      <alignment horizontal="center" wrapText="1"/>
    </xf>
    <xf numFmtId="0" fontId="19" fillId="0" borderId="0" xfId="0" applyFont="1">
      <alignment vertical="center" wrapText="1"/>
    </xf>
    <xf numFmtId="0" fontId="19" fillId="0" borderId="0" xfId="0" applyFont="1"/>
    <xf numFmtId="0" fontId="48" fillId="0" borderId="0" xfId="0" applyFont="1">
      <alignment horizontal="center" vertical="center"/>
    </xf>
    <xf numFmtId="0" fontId="49" fillId="0" borderId="0" xfId="0" applyFont="1">
      <alignment horizontal="center" vertical="center"/>
    </xf>
    <xf numFmtId="0" fontId="48" fillId="0" borderId="0" xfId="0" applyFont="1">
      <alignment horizontal="left" vertical="center" wrapText="1"/>
    </xf>
    <xf numFmtId="0" fontId="62" fillId="0" borderId="0" xfId="0" applyFont="1">
      <alignment vertical="center" wrapText="1"/>
    </xf>
    <xf numFmtId="0" fontId="62" fillId="0" borderId="0" xfId="0" applyFont="1">
      <alignment vertical="center"/>
    </xf>
    <xf numFmtId="0" fontId="63" fillId="0" borderId="0" xfId="0" applyFont="1">
      <alignment vertical="center"/>
    </xf>
    <xf numFmtId="0" fontId="64" fillId="0" borderId="0" xfId="0" applyFont="1">
      <alignment vertical="center"/>
    </xf>
    <xf numFmtId="0" fontId="19" fillId="0" borderId="0" xfId="0" applyFont="1">
      <alignment vertical="top"/>
    </xf>
    <xf numFmtId="0" fontId="31" fillId="0" borderId="0" xfId="0" applyFont="1">
      <alignment horizontal="center" vertical="center" wrapText="1"/>
    </xf>
    <xf numFmtId="0" fontId="31" fillId="0" borderId="0" xfId="0" applyFont="1">
      <alignment vertical="center"/>
    </xf>
    <xf numFmtId="0" fontId="31" fillId="0" borderId="0" xfId="0" applyFont="1">
      <alignment horizontal="center" vertical="center"/>
    </xf>
    <xf numFmtId="0" fontId="31" fillId="0" borderId="0" xfId="0" applyFont="1">
      <alignment vertical="center" wrapText="1"/>
    </xf>
    <xf numFmtId="49" fontId="31" fillId="0" borderId="0" xfId="0" applyFont="1" applyNumberFormat="1">
      <alignment vertical="top"/>
    </xf>
    <xf numFmtId="0" fontId="19" fillId="0" borderId="0" xfId="0" applyFont="1"/>
    <xf numFmtId="0" fontId="24" fillId="0" borderId="0" xfId="0" applyFont="1">
      <alignment vertical="center"/>
    </xf>
    <xf numFmtId="0" fontId="23" fillId="0" borderId="29" xfId="0" applyFont="1" applyBorder="1">
      <alignment horizontal="right" vertical="center" wrapText="1" indent="1"/>
    </xf>
    <xf numFmtId="0" fontId="42" fillId="0" borderId="19" xfId="0" applyFont="1" applyBorder="1">
      <alignment horizontal="left" vertical="center" wrapText="1" indent="1"/>
    </xf>
    <xf numFmtId="49" fontId="40" fillId="42" borderId="38" xfId="0" applyFont="1" applyFill="1" applyBorder="1" applyNumberFormat="1">
      <alignment horizontal="right" vertical="center" wrapText="1" indent="1"/>
    </xf>
    <xf numFmtId="0" fontId="19" fillId="0" borderId="0" xfId="0" applyFont="1">
      <alignment vertical="center"/>
    </xf>
    <xf numFmtId="0" fontId="31" fillId="0" borderId="0" xfId="0" applyFont="1">
      <alignment horizontal="left" vertical="center"/>
    </xf>
    <xf numFmtId="0" fontId="24" fillId="25" borderId="0" xfId="0" applyFont="1" applyFill="1"/>
    <xf numFmtId="0" fontId="31" fillId="0" borderId="0" xfId="0" applyFont="1">
      <alignment horizontal="center"/>
    </xf>
    <xf numFmtId="0" fontId="65" fillId="0" borderId="0" xfId="0" applyFont="1"/>
    <xf numFmtId="0" fontId="66" fillId="0" borderId="0" xfId="0" applyFont="1">
      <alignment vertical="center"/>
    </xf>
    <xf numFmtId="0" fontId="19" fillId="0" borderId="0" xfId="0" applyFont="1">
      <alignment vertical="top"/>
    </xf>
    <xf numFmtId="0" fontId="19" fillId="25" borderId="0" xfId="0" applyFont="1" applyFill="1">
      <alignment horizontal="center"/>
    </xf>
    <xf numFmtId="0" fontId="19" fillId="48" borderId="0" xfId="0" applyFont="1" applyFill="1">
      <alignment horizontal="center" vertical="center"/>
    </xf>
    <xf numFmtId="49" fontId="24" fillId="48" borderId="0" xfId="0" applyFont="1" applyFill="1" applyNumberFormat="1">
      <alignment horizontal="center" vertical="center"/>
    </xf>
    <xf numFmtId="0" fontId="19" fillId="48" borderId="0" xfId="0" applyFont="1" applyFill="1">
      <alignment horizontal="left" vertical="center"/>
    </xf>
    <xf numFmtId="0" fontId="19" fillId="0" borderId="0" xfId="0" applyFont="1">
      <alignment vertical="center"/>
    </xf>
    <xf numFmtId="0" fontId="24" fillId="42" borderId="24" xfId="0" applyFont="1" applyFill="1" applyBorder="1">
      <alignment vertical="center" wrapText="1"/>
    </xf>
    <xf numFmtId="0" fontId="24" fillId="42" borderId="24" xfId="0" applyFont="1" applyFill="1" applyBorder="1">
      <alignment vertical="center"/>
    </xf>
    <xf numFmtId="0" fontId="24" fillId="42" borderId="35" xfId="0" applyFont="1" applyFill="1" applyBorder="1">
      <alignment vertical="center" wrapText="1"/>
    </xf>
    <xf numFmtId="0" fontId="24" fillId="0" borderId="0" xfId="0" applyFont="1">
      <alignment vertical="center" wrapText="1"/>
    </xf>
    <xf numFmtId="49" fontId="24" fillId="0" borderId="0" xfId="0" applyFont="1" applyNumberFormat="1">
      <alignment horizontal="center" vertical="center"/>
    </xf>
    <xf numFmtId="0" fontId="19" fillId="0" borderId="0" xfId="0" applyFont="1">
      <alignment horizontal="center" vertical="center" wrapText="1"/>
    </xf>
    <xf numFmtId="0" fontId="0" fillId="0" borderId="0" xfId="0" applyFont="1">
      <alignment horizontal="center" vertical="center"/>
    </xf>
    <xf numFmtId="0" fontId="24" fillId="0" borderId="0" xfId="0" applyFont="1">
      <alignment horizontal="center" vertical="center"/>
    </xf>
    <xf numFmtId="49" fontId="19" fillId="0" borderId="0" xfId="0" applyFont="1" applyNumberFormat="1">
      <alignment horizontal="center" vertical="center"/>
    </xf>
    <xf numFmtId="49" fontId="40" fillId="42" borderId="24" xfId="0" applyFont="1" applyFill="1" applyBorder="1" applyNumberFormat="1">
      <alignment vertical="center"/>
    </xf>
    <xf numFmtId="49" fontId="19" fillId="0" borderId="19" xfId="0" applyFont="1" applyBorder="1" applyNumberFormat="1">
      <alignment horizontal="center" vertical="center" wrapText="1"/>
    </xf>
    <xf numFmtId="0" fontId="24" fillId="0" borderId="0" xfId="0" applyFont="1">
      <alignment vertical="center"/>
    </xf>
    <xf numFmtId="0" fontId="24" fillId="0" borderId="0" xfId="0" applyFont="1"/>
    <xf numFmtId="0" fontId="24" fillId="0" borderId="0" xfId="0" applyFont="1">
      <alignment horizontal="left" vertical="center"/>
    </xf>
    <xf numFmtId="0" fontId="24" fillId="0" borderId="18" xfId="0" applyFont="1" applyBorder="1">
      <alignment horizontal="center" vertical="center" wrapText="1"/>
    </xf>
    <xf numFmtId="0" fontId="19" fillId="0" borderId="0" xfId="0" applyFont="1">
      <alignment horizontal="center" vertical="center"/>
    </xf>
    <xf numFmtId="49" fontId="19" fillId="0" borderId="0" xfId="0" applyFont="1" applyNumberFormat="1">
      <alignment horizontal="center" vertical="center"/>
    </xf>
    <xf numFmtId="0" fontId="19" fillId="0" borderId="0" xfId="0" applyFont="1">
      <alignment horizontal="center"/>
    </xf>
    <xf numFmtId="0" fontId="19" fillId="0" borderId="0" xfId="0" applyFont="1">
      <alignment horizontal="left" vertical="center"/>
    </xf>
    <xf numFmtId="0" fontId="23" fillId="0" borderId="0" xfId="0" applyFont="1">
      <alignment horizontal="center"/>
    </xf>
    <xf numFmtId="0" fontId="23" fillId="0" borderId="0" xfId="0" applyFont="1"/>
    <xf numFmtId="49" fontId="19" fillId="0" borderId="19" xfId="0" applyFont="1" applyBorder="1" applyNumberFormat="1">
      <alignment horizontal="left" vertical="center" wrapText="1"/>
    </xf>
    <xf numFmtId="4" fontId="19" fillId="33" borderId="19" xfId="0" applyFont="1" applyFill="1" applyBorder="1" applyNumberFormat="1">
      <alignment horizontal="right" vertical="center" wrapText="1"/>
    </xf>
    <xf numFmtId="49" fontId="19" fillId="0" borderId="52" xfId="0" applyFont="1" applyBorder="1" applyNumberFormat="1">
      <alignment horizontal="center" vertical="center" wrapText="1"/>
    </xf>
    <xf numFmtId="49" fontId="19" fillId="0" borderId="52" xfId="0" applyFont="1" applyBorder="1" applyNumberFormat="1">
      <alignment horizontal="left" vertical="center" wrapText="1" indent="1"/>
    </xf>
    <xf numFmtId="172" fontId="19" fillId="33" borderId="19" xfId="0" applyFont="1" applyFill="1" applyBorder="1" applyNumberFormat="1">
      <alignment horizontal="right" vertical="center" wrapText="1"/>
    </xf>
    <xf numFmtId="49" fontId="23" fillId="0" borderId="19" xfId="0" applyFont="1" applyBorder="1" applyNumberFormat="1">
      <alignment horizontal="left" vertical="center" wrapText="1"/>
    </xf>
    <xf numFmtId="4" fontId="23" fillId="33" borderId="19" xfId="0" applyFont="1" applyFill="1" applyBorder="1" applyNumberFormat="1">
      <alignment horizontal="right" vertical="center" wrapText="1"/>
    </xf>
    <xf numFmtId="1" fontId="19" fillId="0" borderId="19" xfId="0" applyFont="1" applyBorder="1" applyNumberFormat="1">
      <alignment horizontal="center" vertical="center" wrapText="1"/>
    </xf>
    <xf numFmtId="4" fontId="19" fillId="34" borderId="19" xfId="0" applyFont="1" applyFill="1" applyBorder="1" applyNumberFormat="1">
      <alignment horizontal="right" vertical="center" wrapText="1"/>
      <protection locked="0"/>
    </xf>
    <xf numFmtId="0" fontId="19" fillId="0" borderId="0" xfId="0" applyFont="1">
      <alignment horizontal="center" vertical="center"/>
    </xf>
    <xf numFmtId="0" fontId="19" fillId="0" borderId="0" xfId="0" applyFont="1">
      <alignment vertical="center" wrapText="1"/>
    </xf>
    <xf numFmtId="4" fontId="19" fillId="0" borderId="0" xfId="0" applyFont="1" applyNumberFormat="1">
      <alignment horizontal="center" vertical="center"/>
    </xf>
    <xf numFmtId="0" fontId="0" fillId="0" borderId="0" xfId="0" applyFont="1"/>
    <xf numFmtId="0" fontId="19" fillId="25" borderId="0" xfId="0" applyFont="1" applyFill="1">
      <alignment horizontal="center"/>
    </xf>
    <xf numFmtId="0" fontId="24" fillId="0" borderId="0" xfId="0" applyFont="1">
      <alignment vertical="center"/>
    </xf>
    <xf numFmtId="49" fontId="42" fillId="0" borderId="20" xfId="0" applyFont="1" applyBorder="1" applyNumberFormat="1">
      <alignment vertical="center" wrapText="1"/>
    </xf>
    <xf numFmtId="0" fontId="24" fillId="0" borderId="18" xfId="0" applyFont="1" applyBorder="1">
      <alignment horizontal="center" vertical="center" wrapText="1"/>
    </xf>
    <xf numFmtId="172" fontId="39" fillId="41" borderId="24" xfId="0" applyFont="1" applyFill="1" applyBorder="1" applyNumberFormat="1">
      <alignment horizontal="right" vertical="center"/>
    </xf>
    <xf numFmtId="172" fontId="0" fillId="33" borderId="19" xfId="0" applyFont="1" applyFill="1" applyBorder="1" applyNumberFormat="1">
      <alignment vertical="center" wrapText="1"/>
    </xf>
    <xf numFmtId="49" fontId="23" fillId="0" borderId="19" xfId="0" applyFont="1" applyBorder="1" applyNumberFormat="1">
      <alignment horizontal="left" vertical="center" wrapText="1" shrinkToFit="1"/>
    </xf>
    <xf numFmtId="49" fontId="23" fillId="0" borderId="43" xfId="0" applyFont="1" applyBorder="1" applyNumberFormat="1">
      <alignment horizontal="center" vertical="center" wrapText="1" shrinkToFit="1"/>
    </xf>
    <xf numFmtId="49" fontId="19" fillId="0" borderId="19" xfId="0" applyFont="1" applyBorder="1" applyNumberFormat="1">
      <alignment horizontal="left" vertical="center" wrapText="1" shrinkToFit="1" indent="1"/>
    </xf>
    <xf numFmtId="49" fontId="19" fillId="0" borderId="43" xfId="0" applyFont="1" applyBorder="1" applyNumberFormat="1">
      <alignment horizontal="center" vertical="center" wrapText="1" shrinkToFit="1"/>
    </xf>
    <xf numFmtId="49" fontId="19" fillId="0" borderId="19" xfId="0" applyFont="1" applyBorder="1" applyNumberFormat="1">
      <alignment horizontal="left" vertical="center" wrapText="1" shrinkToFit="1" indent="2"/>
    </xf>
    <xf numFmtId="49" fontId="19" fillId="0" borderId="19" xfId="0" applyFont="1" applyBorder="1" applyNumberFormat="1">
      <alignment horizontal="left" vertical="center" wrapText="1" shrinkToFit="1" indent="3"/>
    </xf>
    <xf numFmtId="49" fontId="19" fillId="0" borderId="19" xfId="0" applyFont="1" applyBorder="1" applyNumberFormat="1">
      <alignment horizontal="left" vertical="center" wrapText="1" shrinkToFit="1" indent="4"/>
    </xf>
    <xf numFmtId="49" fontId="19" fillId="0" borderId="19" xfId="0" applyFont="1" applyBorder="1" applyNumberFormat="1">
      <alignment horizontal="left" vertical="center" wrapText="1" shrinkToFit="1" indent="3"/>
    </xf>
    <xf numFmtId="49" fontId="19" fillId="0" borderId="43" xfId="0" applyFont="1" applyBorder="1" applyNumberFormat="1">
      <alignment horizontal="center" vertical="center" wrapText="1" shrinkToFit="1"/>
    </xf>
    <xf numFmtId="49" fontId="19" fillId="0" borderId="19" xfId="0" applyFont="1" applyBorder="1" applyNumberFormat="1">
      <alignment horizontal="left" vertical="center" wrapText="1" shrinkToFit="1" indent="1"/>
    </xf>
    <xf numFmtId="0" fontId="24" fillId="0" borderId="0" xfId="0" applyFont="1">
      <alignment vertical="center"/>
    </xf>
    <xf numFmtId="0" fontId="24" fillId="0" borderId="18" xfId="0" applyFont="1" applyBorder="1">
      <alignment horizontal="center" vertical="center" wrapText="1"/>
    </xf>
    <xf numFmtId="4" fontId="24" fillId="33" borderId="18" xfId="0" applyFont="1" applyFill="1" applyBorder="1" applyNumberFormat="1">
      <alignment horizontal="right" vertical="center" wrapText="1"/>
    </xf>
    <xf numFmtId="4" fontId="24" fillId="34" borderId="18" xfId="0" applyFont="1" applyFill="1" applyBorder="1" applyNumberFormat="1">
      <alignment horizontal="right" vertical="center" wrapText="1"/>
      <protection locked="0"/>
    </xf>
    <xf numFmtId="0" fontId="24" fillId="0" borderId="0" xfId="0" applyFont="1">
      <alignment vertical="center"/>
    </xf>
    <xf numFmtId="49" fontId="23" fillId="0" borderId="44" xfId="0" applyFont="1" applyBorder="1" applyNumberFormat="1">
      <alignment vertical="center" wrapText="1"/>
    </xf>
    <xf numFmtId="49" fontId="19" fillId="0" borderId="19" xfId="0" applyFont="1" applyBorder="1" applyNumberFormat="1">
      <alignment horizontal="left" vertical="center" wrapText="1" shrinkToFit="1"/>
    </xf>
    <xf numFmtId="0" fontId="19" fillId="0" borderId="19" xfId="0" applyFont="1" applyBorder="1">
      <alignment horizontal="left" vertical="center" wrapText="1" shrinkToFit="1" indent="1"/>
    </xf>
    <xf numFmtId="49" fontId="19" fillId="0" borderId="0" xfId="0" applyFont="1" applyNumberFormat="1"/>
    <xf numFmtId="49" fontId="19" fillId="0" borderId="0" xfId="0" applyFont="1" applyNumberFormat="1">
      <alignment horizontal="center" vertical="top"/>
    </xf>
    <xf numFmtId="49" fontId="19" fillId="34" borderId="19" xfId="50" applyFont="1" applyFill="1" applyBorder="1" applyNumberFormat="1">
      <alignment horizontal="left" vertical="center" wrapText="1" indent="1"/>
      <protection locked="0"/>
    </xf>
    <xf numFmtId="49" fontId="40" fillId="0" borderId="49" xfId="0" applyFont="1" applyBorder="1" applyNumberFormat="1">
      <alignment horizontal="left" vertical="center" wrapText="1"/>
    </xf>
    <xf numFmtId="49" fontId="40" fillId="0" borderId="53" xfId="0" applyFont="1" applyBorder="1" applyNumberFormat="1">
      <alignment horizontal="left" vertical="center" wrapText="1"/>
    </xf>
    <xf numFmtId="49" fontId="40" fillId="0" borderId="54" xfId="0" applyFont="1" applyBorder="1" applyNumberFormat="1">
      <alignment horizontal="left" vertical="center" wrapText="1"/>
    </xf>
    <xf numFmtId="0" fontId="19" fillId="0" borderId="0" xfId="0" applyFont="1"/>
    <xf numFmtId="0" fontId="19" fillId="0" borderId="0" xfId="0" applyFont="1">
      <alignment vertical="center" wrapText="1"/>
    </xf>
    <xf numFmtId="0" fontId="19" fillId="33" borderId="24" xfId="0" applyFont="1" applyFill="1" applyBorder="1">
      <alignment horizontal="left" vertical="center"/>
    </xf>
    <xf numFmtId="0" fontId="26" fillId="49" borderId="0" xfId="0" applyFont="1" applyFill="1">
      <alignment vertical="center"/>
    </xf>
    <xf numFmtId="0" fontId="26" fillId="39" borderId="0" xfId="0" applyFont="1" applyFill="1">
      <alignment vertical="center"/>
    </xf>
    <xf numFmtId="49" fontId="66" fillId="49" borderId="0" xfId="0" applyFont="1" applyFill="1" applyNumberFormat="1">
      <alignment vertical="center" wrapText="1"/>
    </xf>
    <xf numFmtId="0" fontId="24" fillId="0" borderId="29" xfId="0" applyFont="1" applyBorder="1">
      <alignment vertical="center" wrapText="1"/>
    </xf>
    <xf numFmtId="10" fontId="24" fillId="34" borderId="19" xfId="0" applyFont="1" applyFill="1" applyBorder="1" applyNumberFormat="1">
      <alignment horizontal="right" vertical="center"/>
      <protection locked="0"/>
    </xf>
    <xf numFmtId="0" fontId="24" fillId="0" borderId="53" xfId="0" applyFont="1" applyBorder="1">
      <alignment horizontal="center" vertical="center" wrapText="1"/>
    </xf>
    <xf numFmtId="0" fontId="24" fillId="0" borderId="29" xfId="0" applyFont="1" applyBorder="1">
      <alignment horizontal="center" vertical="center" wrapText="1"/>
    </xf>
    <xf numFmtId="0" fontId="1" fillId="0" borderId="0" xfId="0" applyFont="1"/>
    <xf numFmtId="0" fontId="35" fillId="0" borderId="0" xfId="0" applyFont="1">
      <alignment vertical="center"/>
    </xf>
    <xf numFmtId="0" fontId="24" fillId="0" borderId="0" xfId="0" applyFont="1">
      <alignment vertical="center"/>
    </xf>
    <xf numFmtId="0" fontId="30" fillId="0" borderId="0" xfId="0" applyFont="1">
      <alignment horizontal="left" vertical="center"/>
    </xf>
    <xf numFmtId="49" fontId="42" fillId="0" borderId="20" xfId="0" applyFont="1" applyBorder="1" applyNumberFormat="1" quotePrefix="1">
      <alignment horizontal="left" vertical="center" indent="1"/>
    </xf>
    <xf numFmtId="49" fontId="36" fillId="0" borderId="20" xfId="0" applyFont="1" applyBorder="1" applyNumberFormat="1">
      <alignment vertical="center"/>
    </xf>
    <xf numFmtId="49" fontId="36" fillId="0" borderId="0" xfId="0" applyFont="1" applyNumberFormat="1">
      <alignment horizontal="left" vertical="center" wrapText="1" indent="4"/>
    </xf>
    <xf numFmtId="0" fontId="24" fillId="0" borderId="18" xfId="0" applyFont="1" applyBorder="1">
      <alignment horizontal="center" vertical="center" wrapText="1"/>
    </xf>
    <xf numFmtId="0" fontId="24" fillId="0" borderId="18" xfId="0" applyFont="1" applyBorder="1">
      <alignment horizontal="center" vertical="center" wrapText="1"/>
    </xf>
    <xf numFmtId="0" fontId="39" fillId="41" borderId="0" xfId="0" applyFont="1" applyFill="1">
      <alignment horizontal="left" vertical="center"/>
    </xf>
    <xf numFmtId="0" fontId="24" fillId="0" borderId="0" xfId="0" applyFont="1"/>
    <xf numFmtId="0" fontId="17" fillId="0" borderId="0" xfId="0" applyFont="1"/>
    <xf numFmtId="0" fontId="23" fillId="0" borderId="18" xfId="0" applyFont="1" applyBorder="1">
      <alignment vertical="center" wrapText="1"/>
    </xf>
    <xf numFmtId="0" fontId="23" fillId="0" borderId="18" xfId="0" applyFont="1" applyBorder="1">
      <alignment horizontal="center" vertical="center" wrapText="1"/>
    </xf>
    <xf numFmtId="0" fontId="35" fillId="0" borderId="0" xfId="0" applyFont="1">
      <alignment horizontal="center" vertical="center"/>
    </xf>
    <xf numFmtId="0" fontId="35" fillId="0" borderId="0" xfId="0" applyFont="1">
      <alignment vertical="center" wrapText="1"/>
    </xf>
    <xf numFmtId="0" fontId="24" fillId="42" borderId="24" xfId="0" applyFont="1" applyFill="1" applyBorder="1">
      <alignment vertical="center" wrapText="1"/>
    </xf>
    <xf numFmtId="0" fontId="24" fillId="42" borderId="35" xfId="0" applyFont="1" applyFill="1" applyBorder="1">
      <alignment vertical="center" wrapText="1"/>
    </xf>
    <xf numFmtId="0" fontId="24" fillId="0" borderId="52" xfId="0" applyFont="1" applyBorder="1">
      <alignment horizontal="center" vertical="center" wrapText="1"/>
    </xf>
    <xf numFmtId="0" fontId="24" fillId="35" borderId="29" xfId="0" applyFont="1" applyFill="1" applyBorder="1">
      <alignment horizontal="left" vertical="center" wrapText="1" indent="1"/>
      <protection locked="0"/>
    </xf>
    <xf numFmtId="49" fontId="19" fillId="0" borderId="55" xfId="0" applyFont="1" applyBorder="1" applyNumberFormat="1">
      <alignment horizontal="right" vertical="center" wrapText="1" indent="1"/>
    </xf>
    <xf numFmtId="49" fontId="19" fillId="0" borderId="52" xfId="0" applyFont="1" applyBorder="1" applyNumberFormat="1">
      <alignment horizontal="center" vertical="center"/>
    </xf>
    <xf numFmtId="0" fontId="19" fillId="0" borderId="52" xfId="0" applyFont="1" applyBorder="1">
      <alignment horizontal="left" vertical="center" wrapText="1" indent="1"/>
    </xf>
    <xf numFmtId="172" fontId="24" fillId="34" borderId="52" xfId="0" applyFont="1" applyFill="1" applyBorder="1" applyNumberFormat="1">
      <alignment horizontal="right" vertical="center"/>
      <protection locked="0"/>
    </xf>
    <xf numFmtId="172" fontId="0" fillId="34" borderId="52" xfId="0" applyFont="1" applyFill="1" applyBorder="1" applyNumberFormat="1">
      <alignment horizontal="right" vertical="center"/>
      <protection locked="0"/>
    </xf>
    <xf numFmtId="172" fontId="19" fillId="34" borderId="52" xfId="0" applyFont="1" applyFill="1" applyBorder="1" applyNumberFormat="1">
      <alignment horizontal="right" vertical="center"/>
      <protection locked="0"/>
    </xf>
    <xf numFmtId="49" fontId="24" fillId="34" borderId="52" xfId="0" applyFont="1" applyFill="1" applyBorder="1" applyNumberFormat="1">
      <alignment horizontal="left" vertical="center" wrapText="1"/>
      <protection locked="0"/>
    </xf>
    <xf numFmtId="173" fontId="0" fillId="33" borderId="52" xfId="0" applyFont="1" applyFill="1" applyBorder="1" applyNumberFormat="1">
      <alignment horizontal="right" vertical="center"/>
    </xf>
    <xf numFmtId="172" fontId="0" fillId="33" borderId="52" xfId="0" applyFont="1" applyFill="1" applyBorder="1" applyNumberFormat="1">
      <alignment horizontal="right" vertical="center"/>
    </xf>
    <xf numFmtId="0" fontId="19" fillId="0" borderId="13" xfId="0" applyFont="1" applyBorder="1">
      <alignment horizontal="center" vertical="center"/>
    </xf>
    <xf numFmtId="0" fontId="19" fillId="0" borderId="13" xfId="0" applyFont="1" applyBorder="1">
      <alignment horizontal="left" vertical="center" wrapText="1"/>
    </xf>
    <xf numFmtId="172" fontId="24" fillId="0" borderId="13" xfId="0" applyFont="1" applyBorder="1" applyNumberFormat="1">
      <alignment horizontal="right" vertical="center"/>
    </xf>
    <xf numFmtId="172" fontId="0" fillId="0" borderId="13" xfId="0" applyFont="1" applyBorder="1" applyNumberFormat="1">
      <alignment horizontal="right" vertical="center"/>
    </xf>
    <xf numFmtId="172" fontId="19" fillId="0" borderId="13" xfId="0" applyFont="1" applyBorder="1" applyNumberFormat="1">
      <alignment horizontal="right" vertical="center"/>
    </xf>
    <xf numFmtId="49" fontId="24" fillId="0" borderId="13" xfId="0" applyFont="1" applyBorder="1" applyNumberFormat="1">
      <alignment horizontal="left" vertical="center"/>
    </xf>
    <xf numFmtId="173" fontId="0" fillId="0" borderId="13" xfId="0" applyFont="1" applyBorder="1" applyNumberFormat="1">
      <alignment horizontal="right" vertical="center"/>
    </xf>
    <xf numFmtId="172" fontId="0" fillId="34" borderId="18" xfId="0" applyFont="1" applyFill="1" applyBorder="1" applyNumberFormat="1">
      <alignment horizontal="right" vertical="center"/>
      <protection locked="0"/>
    </xf>
    <xf numFmtId="172" fontId="19" fillId="34" borderId="18" xfId="0" applyFont="1" applyFill="1" applyBorder="1" applyNumberFormat="1">
      <alignment horizontal="right" vertical="center"/>
      <protection locked="0"/>
    </xf>
    <xf numFmtId="173" fontId="0" fillId="33" borderId="18" xfId="0" applyFont="1" applyFill="1" applyBorder="1" applyNumberFormat="1">
      <alignment horizontal="right" vertical="center"/>
    </xf>
    <xf numFmtId="172" fontId="0" fillId="33" borderId="18" xfId="0" applyFont="1" applyFill="1" applyBorder="1" applyNumberFormat="1">
      <alignment horizontal="right" vertical="center"/>
    </xf>
    <xf numFmtId="0" fontId="24" fillId="43" borderId="0" xfId="0" applyFont="1" applyFill="1">
      <alignment horizontal="left" vertical="center"/>
    </xf>
    <xf numFmtId="0" fontId="24" fillId="43" borderId="0" xfId="0" applyFont="1" applyFill="1"/>
    <xf numFmtId="0" fontId="19" fillId="43" borderId="0" xfId="0" applyFont="1" applyFill="1"/>
    <xf numFmtId="0" fontId="30" fillId="43" borderId="0" xfId="0" applyFont="1" applyFill="1"/>
    <xf numFmtId="0" fontId="26" fillId="43" borderId="0" xfId="0" applyFont="1" applyFill="1">
      <alignment vertical="center"/>
    </xf>
    <xf numFmtId="0" fontId="51" fillId="43" borderId="0" xfId="0" applyFont="1" applyFill="1">
      <alignment horizontal="center" vertical="center"/>
    </xf>
    <xf numFmtId="0" fontId="0" fillId="43" borderId="0" xfId="0" applyFont="1" applyFill="1">
      <alignment horizontal="left" vertical="center"/>
    </xf>
    <xf numFmtId="49" fontId="19" fillId="43" borderId="0" xfId="0" applyFont="1" applyFill="1" applyNumberFormat="1">
      <alignment vertical="top"/>
    </xf>
    <xf numFmtId="0" fontId="26" fillId="43" borderId="0" xfId="0" applyFont="1" applyFill="1">
      <alignment horizontal="center" vertical="center"/>
    </xf>
    <xf numFmtId="49" fontId="19" fillId="43" borderId="0" xfId="0" applyFont="1" applyFill="1" applyNumberFormat="1">
      <alignment horizontal="center" vertical="top"/>
    </xf>
    <xf numFmtId="49" fontId="19" fillId="43" borderId="0" xfId="0" applyFont="1" applyFill="1" applyNumberFormat="1">
      <alignment vertical="center" wrapText="1"/>
    </xf>
    <xf numFmtId="0" fontId="19" fillId="43" borderId="0" xfId="0" applyFont="1" applyFill="1"/>
    <xf numFmtId="0" fontId="24" fillId="43" borderId="0" xfId="0" applyFont="1" applyFill="1">
      <alignment horizontal="center"/>
    </xf>
    <xf numFmtId="0" fontId="24" fillId="43" borderId="0" xfId="0" applyFont="1" applyFill="1">
      <alignment vertical="center" wrapText="1"/>
    </xf>
    <xf numFmtId="0" fontId="24" fillId="43" borderId="0" xfId="0" applyFont="1" applyFill="1">
      <alignment wrapText="1"/>
    </xf>
    <xf numFmtId="0" fontId="24" fillId="43" borderId="0" xfId="0" applyFont="1" applyFill="1">
      <alignment vertical="center"/>
    </xf>
    <xf numFmtId="0" fontId="19" fillId="43" borderId="0" xfId="0" applyFont="1" applyFill="1">
      <alignment vertical="center"/>
    </xf>
    <xf numFmtId="0" fontId="24" fillId="43" borderId="0" xfId="0" applyFont="1" applyFill="1">
      <alignment vertical="center"/>
    </xf>
    <xf numFmtId="49" fontId="19" fillId="43" borderId="0" xfId="0" applyFont="1" applyFill="1" applyNumberFormat="1">
      <alignment horizontal="center" vertical="center" wrapText="1"/>
    </xf>
    <xf numFmtId="49" fontId="19" fillId="43" borderId="0" xfId="0" applyFont="1" applyFill="1" applyNumberFormat="1">
      <alignment horizontal="center" vertical="top"/>
    </xf>
    <xf numFmtId="0" fontId="31" fillId="43" borderId="0" xfId="0" applyFont="1" applyFill="1">
      <alignment horizontal="center"/>
    </xf>
    <xf numFmtId="49" fontId="67" fillId="0" borderId="0" xfId="0" applyFont="1" applyNumberFormat="1">
      <alignment horizontal="center" vertical="center" wrapText="1"/>
    </xf>
    <xf numFmtId="175" fontId="26" fillId="43" borderId="0" xfId="0" applyFont="1" applyFill="1" applyNumberFormat="1">
      <alignment vertical="center"/>
    </xf>
    <xf numFmtId="175" fontId="19" fillId="43" borderId="0" xfId="0" applyFont="1" applyFill="1" applyNumberFormat="1">
      <alignment vertical="top"/>
    </xf>
    <xf numFmtId="49" fontId="19" fillId="35" borderId="19" xfId="0" applyFont="1" applyFill="1" applyBorder="1" applyNumberFormat="1">
      <alignment horizontal="right" vertical="center" wrapText="1" indent="1"/>
      <protection locked="0"/>
    </xf>
    <xf numFmtId="0" fontId="39" fillId="0" borderId="0" xfId="0" applyFont="1">
      <alignment vertical="center"/>
    </xf>
    <xf numFmtId="0" fontId="68" fillId="0" borderId="0" xfId="0" applyFont="1">
      <alignment vertical="center"/>
    </xf>
    <xf numFmtId="0" fontId="69" fillId="0" borderId="0" xfId="0" applyFont="1">
      <alignment vertical="center"/>
    </xf>
    <xf numFmtId="0" fontId="68" fillId="0" borderId="0" xfId="0" applyFont="1">
      <alignment vertical="center" wrapText="1"/>
    </xf>
    <xf numFmtId="0" fontId="62" fillId="37" borderId="0" xfId="0" applyFont="1" applyFill="1">
      <alignment vertical="center"/>
    </xf>
    <xf numFmtId="0" fontId="19" fillId="0" borderId="56" xfId="0" applyFont="1" applyBorder="1">
      <alignment horizontal="center" vertical="center" wrapText="1"/>
    </xf>
    <xf numFmtId="49" fontId="40" fillId="42" borderId="36" xfId="0" applyFont="1" applyFill="1" applyBorder="1" applyNumberFormat="1">
      <alignment vertical="center"/>
    </xf>
    <xf numFmtId="0" fontId="24" fillId="43" borderId="0" xfId="0" applyFont="1" applyFill="1">
      <alignment vertical="center"/>
    </xf>
    <xf numFmtId="0" fontId="19" fillId="43" borderId="0" xfId="0" applyFont="1" applyFill="1"/>
    <xf numFmtId="0" fontId="24" fillId="43" borderId="0" xfId="0" applyFont="1" applyFill="1">
      <alignment vertical="center"/>
    </xf>
    <xf numFmtId="0" fontId="19" fillId="43" borderId="0" xfId="0" applyFont="1" applyFill="1">
      <alignment horizontal="center"/>
    </xf>
    <xf numFmtId="0" fontId="44" fillId="43" borderId="36" xfId="0" applyFont="1" applyFill="1" applyBorder="1">
      <alignment horizontal="center" vertical="center" wrapText="1"/>
    </xf>
    <xf numFmtId="0" fontId="40" fillId="42" borderId="25" xfId="0" applyFont="1" applyFill="1" applyBorder="1">
      <alignment horizontal="left" vertical="center" wrapText="1" indent="1"/>
    </xf>
    <xf numFmtId="0" fontId="19" fillId="40" borderId="0" xfId="0" applyFont="1" applyFill="1">
      <alignment vertical="top"/>
    </xf>
    <xf numFmtId="0" fontId="0" fillId="0" borderId="0" xfId="0" applyFont="1">
      <alignment horizontal="center" vertical="top"/>
    </xf>
    <xf numFmtId="0" fontId="19" fillId="43" borderId="0" xfId="0" applyFont="1" applyFill="1">
      <alignment vertical="top"/>
    </xf>
    <xf numFmtId="0" fontId="19" fillId="0" borderId="0" xfId="0" applyFont="1">
      <alignment vertical="center"/>
    </xf>
    <xf numFmtId="0" fontId="0" fillId="0" borderId="0" xfId="0" applyFont="1">
      <alignment horizontal="center" vertical="top"/>
    </xf>
    <xf numFmtId="0" fontId="19" fillId="43" borderId="0" xfId="0" applyFont="1" applyFill="1">
      <alignment vertical="top"/>
    </xf>
    <xf numFmtId="0" fontId="19" fillId="43" borderId="0" xfId="0" applyFont="1" applyFill="1">
      <alignment vertical="top"/>
    </xf>
    <xf numFmtId="0" fontId="38" fillId="0" borderId="0" xfId="0" applyFont="1">
      <alignment horizontal="center" vertical="center" wrapText="1"/>
    </xf>
    <xf numFmtId="0" fontId="52" fillId="0" borderId="0" xfId="0" applyFont="1">
      <alignment horizontal="center" vertical="center" wrapText="1"/>
    </xf>
    <xf numFmtId="0" fontId="19" fillId="39" borderId="0" xfId="0" applyFont="1" applyFill="1">
      <alignment vertical="top"/>
    </xf>
    <xf numFmtId="0" fontId="24" fillId="42" borderId="57" xfId="0" applyFont="1" applyFill="1" applyBorder="1">
      <alignment vertical="center"/>
    </xf>
    <xf numFmtId="0" fontId="40" fillId="42" borderId="36" xfId="0" applyFont="1" applyFill="1" applyBorder="1">
      <alignment vertical="center"/>
    </xf>
    <xf numFmtId="0" fontId="40" fillId="42" borderId="24" xfId="0" applyFont="1" applyFill="1" applyBorder="1">
      <alignment vertical="center"/>
    </xf>
    <xf numFmtId="0" fontId="31" fillId="0" borderId="0" xfId="0" applyFont="1">
      <alignment horizontal="left"/>
    </xf>
    <xf numFmtId="0" fontId="19" fillId="0" borderId="18" xfId="0" applyFont="1" applyBorder="1">
      <alignment horizontal="center" vertical="center" wrapText="1"/>
    </xf>
    <xf numFmtId="0" fontId="23" fillId="43" borderId="0" xfId="0" applyFont="1" applyFill="1"/>
    <xf numFmtId="0" fontId="19" fillId="43" borderId="0" xfId="0" applyFont="1" applyFill="1">
      <alignment horizontal="center"/>
    </xf>
    <xf numFmtId="49" fontId="19" fillId="43" borderId="0" xfId="0" applyFont="1" applyFill="1" applyNumberFormat="1">
      <alignment vertical="top"/>
    </xf>
    <xf numFmtId="0" fontId="52" fillId="0" borderId="58" xfId="0" applyFont="1" applyBorder="1">
      <alignment horizontal="center" vertical="center" wrapText="1"/>
    </xf>
    <xf numFmtId="0" fontId="52" fillId="0" borderId="58" xfId="0" applyFont="1" applyBorder="1">
      <alignment vertical="center" wrapText="1"/>
    </xf>
    <xf numFmtId="0" fontId="23" fillId="43" borderId="0" xfId="0" applyFont="1" applyFill="1"/>
    <xf numFmtId="49" fontId="19" fillId="43" borderId="0" xfId="0" applyFont="1" applyFill="1" applyNumberFormat="1">
      <alignment vertical="top"/>
    </xf>
    <xf numFmtId="0" fontId="24" fillId="43" borderId="0" xfId="0" applyFont="1" applyFill="1"/>
    <xf numFmtId="0" fontId="24" fillId="43" borderId="0" xfId="0" applyFont="1" applyFill="1">
      <alignment horizontal="center"/>
    </xf>
    <xf numFmtId="0" fontId="26" fillId="43" borderId="0" xfId="0" applyFont="1" applyFill="1"/>
    <xf numFmtId="0" fontId="25" fillId="43" borderId="0" xfId="0" applyFont="1" applyFill="1"/>
    <xf numFmtId="49" fontId="26" fillId="0" borderId="0" xfId="0" applyFont="1" applyNumberFormat="1"/>
    <xf numFmtId="0" fontId="40" fillId="42" borderId="36" xfId="0" applyFont="1" applyFill="1" applyBorder="1">
      <alignment horizontal="left" vertical="center" wrapText="1" indent="1"/>
    </xf>
    <xf numFmtId="0" fontId="40" fillId="42" borderId="36" xfId="0" applyFont="1" applyFill="1" applyBorder="1">
      <alignment vertical="center"/>
    </xf>
    <xf numFmtId="0" fontId="26" fillId="0" borderId="0" xfId="0" applyFont="1">
      <alignment horizontal="center" vertical="top"/>
    </xf>
    <xf numFmtId="0" fontId="26" fillId="0" borderId="0" xfId="0" applyFont="1">
      <alignment vertical="top"/>
    </xf>
    <xf numFmtId="0" fontId="26" fillId="0" borderId="0" xfId="0" applyFont="1">
      <alignment wrapText="1"/>
    </xf>
    <xf numFmtId="49" fontId="19" fillId="43" borderId="0" xfId="0" applyFont="1" applyFill="1" applyNumberFormat="1">
      <alignment vertical="top"/>
    </xf>
    <xf numFmtId="0" fontId="31" fillId="43" borderId="0" xfId="0" applyFont="1" applyFill="1">
      <alignment vertical="center"/>
    </xf>
    <xf numFmtId="0" fontId="19" fillId="35" borderId="18" xfId="0" applyFont="1" applyFill="1" applyBorder="1">
      <alignment horizontal="left" vertical="center" wrapText="1" indent="1"/>
      <protection locked="0"/>
    </xf>
    <xf numFmtId="0" fontId="59" fillId="43" borderId="0" xfId="0" applyFont="1" applyFill="1"/>
    <xf numFmtId="0" fontId="19" fillId="36" borderId="18" xfId="0" applyFont="1" applyFill="1" applyBorder="1">
      <alignment horizontal="center" vertical="center" wrapText="1"/>
    </xf>
    <xf numFmtId="0" fontId="42" fillId="43" borderId="0" xfId="0" applyFont="1" applyFill="1"/>
    <xf numFmtId="0" fontId="31" fillId="43" borderId="0" xfId="0" applyFont="1" applyFill="1"/>
    <xf numFmtId="0" fontId="24" fillId="43" borderId="0" xfId="0" applyFont="1" applyFill="1">
      <alignment horizontal="left" vertical="center" wrapText="1"/>
    </xf>
    <xf numFmtId="0" fontId="1" fillId="0" borderId="0" xfId="0" applyFont="1"/>
    <xf numFmtId="0" fontId="1" fillId="43" borderId="0" xfId="0" applyFont="1" applyFill="1"/>
    <xf numFmtId="0" fontId="24" fillId="0" borderId="0" xfId="0" applyFont="1">
      <alignment vertical="center"/>
    </xf>
    <xf numFmtId="0" fontId="17" fillId="43" borderId="0" xfId="0" applyFont="1" applyFill="1"/>
    <xf numFmtId="0" fontId="42" fillId="0" borderId="0" xfId="0" applyFont="1"/>
    <xf numFmtId="0" fontId="24" fillId="0" borderId="0" xfId="0" applyFont="1">
      <alignment horizontal="left" vertical="center"/>
    </xf>
    <xf numFmtId="0" fontId="36" fillId="0" borderId="0" xfId="0" applyFont="1">
      <alignment vertical="center"/>
    </xf>
    <xf numFmtId="0" fontId="19" fillId="36" borderId="18" xfId="0" applyFont="1" applyFill="1" applyBorder="1">
      <alignment horizontal="center" vertical="center" wrapText="1"/>
    </xf>
    <xf numFmtId="0" fontId="19" fillId="0" borderId="0" xfId="0" applyFont="1">
      <alignment vertical="top" wrapText="1"/>
    </xf>
    <xf numFmtId="0" fontId="35" fillId="43" borderId="0" xfId="0" applyFont="1" applyFill="1">
      <alignment vertical="center"/>
    </xf>
    <xf numFmtId="0" fontId="35" fillId="43" borderId="0" xfId="0" applyFont="1" applyFill="1">
      <alignment vertical="center" wrapText="1"/>
    </xf>
    <xf numFmtId="0" fontId="36" fillId="43" borderId="0" xfId="0" applyFont="1" applyFill="1">
      <alignment vertical="center" wrapText="1"/>
    </xf>
    <xf numFmtId="0" fontId="36" fillId="43" borderId="0" xfId="0" applyFont="1" applyFill="1">
      <alignment horizontal="center" vertical="center" wrapText="1"/>
    </xf>
    <xf numFmtId="0" fontId="36" fillId="43" borderId="0" xfId="0" applyFont="1" applyFill="1">
      <alignment vertical="center"/>
    </xf>
    <xf numFmtId="0" fontId="35" fillId="43" borderId="0" xfId="0" applyFont="1" applyFill="1">
      <alignment horizontal="center" vertical="center"/>
    </xf>
    <xf numFmtId="0" fontId="24" fillId="0" borderId="0" xfId="0" applyFont="1">
      <alignment vertical="top" wrapText="1"/>
    </xf>
    <xf numFmtId="0" fontId="24" fillId="42" borderId="27" xfId="0" applyFont="1" applyFill="1" applyBorder="1">
      <alignment vertical="center" wrapText="1"/>
    </xf>
    <xf numFmtId="0" fontId="31" fillId="0" borderId="0" xfId="0" applyFont="1">
      <alignment horizontal="left" vertical="center"/>
    </xf>
    <xf numFmtId="0" fontId="24" fillId="43" borderId="0" xfId="0" applyFont="1" applyFill="1">
      <alignment vertical="center"/>
    </xf>
    <xf numFmtId="4" fontId="24" fillId="34" borderId="18" xfId="0" applyFont="1" applyFill="1" applyBorder="1" applyNumberFormat="1">
      <alignment horizontal="right" vertical="center" wrapText="1"/>
      <protection locked="0"/>
    </xf>
    <xf numFmtId="0" fontId="23" fillId="0" borderId="19" xfId="0" applyFont="1" applyBorder="1">
      <alignment horizontal="center" vertical="center" wrapText="1" shrinkToFit="1"/>
    </xf>
    <xf numFmtId="0" fontId="19" fillId="0" borderId="19" xfId="0" applyFont="1" applyBorder="1">
      <alignment horizontal="center" vertical="center" wrapText="1" shrinkToFit="1"/>
    </xf>
    <xf numFmtId="0" fontId="19" fillId="0" borderId="19" xfId="0" applyFont="1" applyBorder="1">
      <alignment horizontal="center" vertical="center" wrapText="1" shrinkToFit="1"/>
    </xf>
    <xf numFmtId="0" fontId="24" fillId="43" borderId="0" xfId="0" applyFont="1" applyFill="1">
      <alignment vertical="center"/>
    </xf>
    <xf numFmtId="0" fontId="19" fillId="0" borderId="0" xfId="0" applyFont="1">
      <alignment wrapText="1"/>
    </xf>
    <xf numFmtId="0" fontId="24" fillId="0" borderId="24" xfId="0" applyFont="1" applyBorder="1">
      <alignment horizontal="center" vertical="center" wrapText="1"/>
    </xf>
    <xf numFmtId="1" fontId="24" fillId="0" borderId="0" xfId="0" applyFont="1" applyNumberFormat="1">
      <alignment vertical="center"/>
    </xf>
    <xf numFmtId="0" fontId="24" fillId="0" borderId="0" xfId="0" applyFont="1">
      <alignment horizontal="center" vertical="center" wrapText="1"/>
    </xf>
    <xf numFmtId="0" fontId="19" fillId="0" borderId="24" xfId="0" applyFont="1" applyBorder="1">
      <alignment horizontal="center" vertical="center"/>
    </xf>
    <xf numFmtId="0" fontId="19" fillId="0" borderId="24" xfId="0" applyFont="1" applyBorder="1">
      <alignment horizontal="center" vertical="center" wrapText="1"/>
    </xf>
    <xf numFmtId="0" fontId="19" fillId="36" borderId="0" xfId="0" applyFont="1" applyFill="1">
      <alignment horizontal="center" vertical="center" wrapText="1"/>
    </xf>
    <xf numFmtId="0" fontId="19" fillId="0" borderId="30" xfId="0" applyFont="1" applyBorder="1">
      <alignment horizontal="center" vertical="center" wrapText="1"/>
    </xf>
    <xf numFmtId="49" fontId="0" fillId="0" borderId="24" xfId="0" applyFont="1" applyBorder="1" applyNumberFormat="1">
      <alignment horizontal="center" vertical="center" wrapText="1"/>
    </xf>
    <xf numFmtId="0" fontId="19" fillId="0" borderId="30" xfId="0" applyFont="1" applyBorder="1">
      <alignment horizontal="center" vertical="center" wrapText="1"/>
    </xf>
    <xf numFmtId="0" fontId="24" fillId="0" borderId="0" xfId="0" applyFont="1">
      <alignment vertical="center" wrapText="1"/>
    </xf>
    <xf numFmtId="0" fontId="24" fillId="0" borderId="24" xfId="0" applyFont="1" applyBorder="1">
      <alignment horizontal="center" vertical="center" wrapText="1"/>
    </xf>
    <xf numFmtId="0" fontId="1" fillId="0" borderId="0" xfId="0" applyFont="1"/>
    <xf numFmtId="0" fontId="35" fillId="0" borderId="0" xfId="0" applyFont="1"/>
    <xf numFmtId="49" fontId="19" fillId="35" borderId="18" xfId="0" applyFont="1" applyFill="1" applyBorder="1" applyNumberFormat="1">
      <alignment horizontal="left" vertical="center" wrapText="1"/>
      <protection locked="0"/>
    </xf>
    <xf numFmtId="49" fontId="19" fillId="35" borderId="18" xfId="0" applyFont="1" applyFill="1" applyBorder="1" applyNumberFormat="1">
      <alignment horizontal="center" vertical="center" wrapText="1"/>
      <protection locked="0"/>
    </xf>
    <xf numFmtId="0" fontId="52" fillId="0" borderId="0" xfId="0" applyFont="1">
      <alignment vertical="center" wrapText="1"/>
    </xf>
    <xf numFmtId="0" fontId="24" fillId="0" borderId="30" xfId="0" applyFont="1" applyBorder="1">
      <alignment vertical="center"/>
    </xf>
    <xf numFmtId="0" fontId="19" fillId="0" borderId="30" xfId="0" applyFont="1" applyBorder="1">
      <alignment horizontal="center" vertical="center" wrapText="1"/>
    </xf>
    <xf numFmtId="0" fontId="24" fillId="0" borderId="30" xfId="0" applyFont="1" applyBorder="1">
      <alignment horizontal="center" vertical="center" wrapText="1"/>
    </xf>
    <xf numFmtId="0" fontId="24" fillId="37" borderId="30" xfId="0" applyFont="1" applyFill="1" applyBorder="1">
      <alignment horizontal="center" vertical="center" wrapText="1"/>
    </xf>
    <xf numFmtId="0" fontId="19" fillId="0" borderId="30" xfId="0" applyFont="1" applyBorder="1">
      <alignment horizontal="center" vertical="center"/>
    </xf>
    <xf numFmtId="0" fontId="19" fillId="36" borderId="30" xfId="0" applyFont="1" applyFill="1" applyBorder="1">
      <alignment horizontal="center" vertical="center" wrapText="1"/>
    </xf>
    <xf numFmtId="0" fontId="19" fillId="36" borderId="0" xfId="0" applyFont="1" applyFill="1">
      <alignment horizontal="center" vertical="center" wrapText="1"/>
    </xf>
    <xf numFmtId="0" fontId="24" fillId="0" borderId="0" xfId="0" applyFont="1">
      <alignment horizontal="center" vertical="center" wrapText="1"/>
    </xf>
    <xf numFmtId="0" fontId="24" fillId="0" borderId="0" xfId="0" applyFont="1">
      <alignment horizontal="center" vertical="center" wrapText="1"/>
    </xf>
    <xf numFmtId="0" fontId="19" fillId="0" borderId="0" xfId="0" applyFont="1">
      <alignment horizontal="center" vertical="center" wrapText="1"/>
    </xf>
    <xf numFmtId="49" fontId="40" fillId="42" borderId="18" xfId="0" applyFont="1" applyFill="1" applyBorder="1" applyNumberFormat="1">
      <alignment horizontal="left" vertical="center" indent="1"/>
    </xf>
    <xf numFmtId="49" fontId="19" fillId="39" borderId="0" xfId="0" applyFont="1" applyFill="1" applyNumberFormat="1">
      <alignment vertical="top"/>
    </xf>
    <xf numFmtId="0" fontId="0" fillId="0" borderId="0" xfId="0" applyFont="1">
      <alignment horizontal="left" vertical="center"/>
    </xf>
    <xf numFmtId="0" fontId="19" fillId="40" borderId="0" xfId="0" applyFont="1" applyFill="1">
      <alignment horizontal="left" vertical="top"/>
    </xf>
    <xf numFmtId="0" fontId="24" fillId="0" borderId="0" xfId="0" applyFont="1">
      <alignment horizontal="left" vertical="center"/>
    </xf>
    <xf numFmtId="0" fontId="24" fillId="0" borderId="0" xfId="0" applyFont="1">
      <alignment horizontal="left"/>
    </xf>
    <xf numFmtId="0" fontId="0" fillId="0" borderId="0" xfId="0" applyFont="1">
      <alignment horizontal="left"/>
    </xf>
    <xf numFmtId="0" fontId="24" fillId="43" borderId="0" xfId="0" applyFont="1" applyFill="1">
      <alignment horizontal="left"/>
    </xf>
    <xf numFmtId="0" fontId="1" fillId="0" borderId="0" xfId="0" applyFont="1"/>
    <xf numFmtId="0" fontId="66" fillId="0" borderId="0" xfId="0" applyFont="1">
      <alignment horizontal="center" vertical="center"/>
    </xf>
    <xf numFmtId="49" fontId="24" fillId="50" borderId="19" xfId="0" applyFont="1" applyFill="1" applyBorder="1" applyNumberFormat="1">
      <alignment horizontal="left" vertical="center" wrapText="1" indent="1"/>
    </xf>
    <xf numFmtId="0" fontId="19" fillId="50" borderId="19" xfId="0" applyFont="1" applyFill="1" applyBorder="1">
      <alignment horizontal="left" vertical="center" wrapText="1" indent="1"/>
    </xf>
    <xf numFmtId="49" fontId="19" fillId="50" borderId="19" xfId="0" applyFont="1" applyFill="1" applyBorder="1" applyNumberFormat="1">
      <alignment horizontal="left" vertical="center" wrapText="1" indent="1"/>
    </xf>
    <xf numFmtId="0" fontId="19" fillId="0" borderId="0" xfId="0" applyFont="1">
      <alignment wrapText="1"/>
    </xf>
    <xf numFmtId="0" fontId="19" fillId="33" borderId="28" xfId="0" applyFont="1" applyFill="1" applyBorder="1">
      <alignment horizontal="left" vertical="center" wrapText="1" indent="1"/>
    </xf>
    <xf numFmtId="0" fontId="19" fillId="0" borderId="18" xfId="0" applyFont="1" applyBorder="1">
      <alignment horizontal="center" vertical="center" wrapText="1"/>
    </xf>
    <xf numFmtId="0" fontId="19" fillId="0" borderId="18" xfId="0" applyFont="1" applyBorder="1">
      <alignment horizontal="center" vertical="center" wrapText="1"/>
    </xf>
    <xf numFmtId="4" fontId="23" fillId="33" borderId="18" xfId="0" applyFont="1" applyFill="1" applyBorder="1" applyNumberFormat="1">
      <alignment horizontal="right" vertical="center"/>
    </xf>
    <xf numFmtId="0" fontId="19" fillId="0" borderId="18" xfId="0" applyFont="1" applyBorder="1">
      <alignment horizontal="left" vertical="center" wrapText="1" indent="1"/>
    </xf>
    <xf numFmtId="4" fontId="19" fillId="0" borderId="18" xfId="0" applyFont="1" applyBorder="1" applyNumberFormat="1">
      <alignment horizontal="right" vertical="center"/>
    </xf>
    <xf numFmtId="4" fontId="23" fillId="0" borderId="18" xfId="0" applyFont="1" applyBorder="1" applyNumberFormat="1">
      <alignment horizontal="right" vertical="center"/>
    </xf>
    <xf numFmtId="0" fontId="19" fillId="0" borderId="18" xfId="0" applyFont="1" applyBorder="1">
      <alignment horizontal="left" vertical="center" wrapText="1" indent="2"/>
    </xf>
    <xf numFmtId="0" fontId="19" fillId="0" borderId="18" xfId="0" applyFont="1" applyBorder="1">
      <alignment horizontal="center" vertical="center" wrapText="1"/>
    </xf>
    <xf numFmtId="4" fontId="19" fillId="33" borderId="18" xfId="0" applyFont="1" applyFill="1" applyBorder="1" applyNumberFormat="1">
      <alignment horizontal="right" vertical="center"/>
    </xf>
    <xf numFmtId="0" fontId="19" fillId="0" borderId="18" xfId="0" applyFont="1" applyBorder="1">
      <alignment horizontal="left" vertical="center" wrapText="1" indent="3"/>
    </xf>
    <xf numFmtId="0" fontId="19" fillId="37" borderId="18" xfId="0" applyFont="1" applyFill="1" applyBorder="1">
      <alignment horizontal="left" vertical="center" wrapText="1" indent="3"/>
    </xf>
    <xf numFmtId="4" fontId="23" fillId="33" borderId="18" xfId="0" applyFont="1" applyFill="1" applyBorder="1" applyNumberFormat="1">
      <alignment horizontal="right" vertical="center"/>
    </xf>
    <xf numFmtId="0" fontId="19" fillId="37" borderId="18" xfId="0" applyFont="1" applyFill="1" applyBorder="1">
      <alignment horizontal="center" vertical="center"/>
    </xf>
    <xf numFmtId="4" fontId="19" fillId="34" borderId="18" xfId="0" applyFont="1" applyFill="1" applyBorder="1" applyNumberFormat="1">
      <alignment horizontal="right" vertical="center"/>
      <protection locked="0"/>
    </xf>
    <xf numFmtId="4" fontId="19" fillId="33" borderId="18" xfId="0" applyFont="1" applyFill="1" applyBorder="1" applyNumberFormat="1">
      <alignment horizontal="right" vertical="center"/>
    </xf>
    <xf numFmtId="49" fontId="19" fillId="34" borderId="19" xfId="0" applyFont="1" applyFill="1" applyBorder="1" applyNumberFormat="1">
      <alignment horizontal="left" vertical="center" wrapText="1"/>
      <protection locked="0"/>
    </xf>
    <xf numFmtId="49" fontId="23" fillId="42" borderId="36"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35" xfId="0" applyFont="1" applyFill="1" applyBorder="1" applyNumberFormat="1">
      <alignment horizontal="left" vertical="center" wrapText="1" indent="1"/>
    </xf>
    <xf numFmtId="4" fontId="23" fillId="33" borderId="18" xfId="0" applyFont="1" applyFill="1" applyBorder="1" applyNumberFormat="1">
      <alignment horizontal="right" vertical="center"/>
    </xf>
    <xf numFmtId="0" fontId="19" fillId="37" borderId="18" xfId="0" applyFont="1" applyFill="1" applyBorder="1">
      <alignment horizontal="center" vertical="center" wrapText="1"/>
    </xf>
    <xf numFmtId="0" fontId="19" fillId="37" borderId="18" xfId="0" applyFont="1" applyFill="1" applyBorder="1">
      <alignment horizontal="left" vertical="center" wrapText="1" indent="2"/>
    </xf>
    <xf numFmtId="0" fontId="19" fillId="37" borderId="18" xfId="0" applyFont="1" applyFill="1" applyBorder="1">
      <alignment horizontal="left" vertical="center" wrapText="1" indent="2"/>
    </xf>
    <xf numFmtId="0" fontId="19" fillId="37" borderId="18" xfId="0" applyFont="1" applyFill="1" applyBorder="1">
      <alignment horizontal="left" vertical="center" wrapText="1" indent="1"/>
    </xf>
    <xf numFmtId="4" fontId="19" fillId="33" borderId="18" xfId="0" applyFont="1" applyFill="1" applyBorder="1" applyNumberFormat="1">
      <alignment horizontal="right" vertical="center"/>
    </xf>
    <xf numFmtId="49" fontId="19" fillId="37" borderId="18" xfId="0" applyFont="1" applyFill="1" applyBorder="1" applyNumberFormat="1">
      <alignment horizontal="center" vertical="center"/>
    </xf>
    <xf numFmtId="172" fontId="23" fillId="33" borderId="18" xfId="0" applyFont="1" applyFill="1" applyBorder="1" applyNumberFormat="1">
      <alignment horizontal="right" vertical="center"/>
    </xf>
    <xf numFmtId="172" fontId="23" fillId="33" borderId="18" xfId="0" applyFont="1" applyFill="1" applyBorder="1" applyNumberFormat="1">
      <alignment horizontal="right" vertical="center"/>
    </xf>
    <xf numFmtId="4" fontId="19" fillId="33" borderId="18" xfId="0" applyFont="1" applyFill="1" applyBorder="1" applyNumberFormat="1">
      <alignment horizontal="right" vertical="center"/>
    </xf>
    <xf numFmtId="4" fontId="23" fillId="33" borderId="18" xfId="0" applyFont="1" applyFill="1" applyBorder="1" applyNumberFormat="1">
      <alignment horizontal="right" vertical="center"/>
    </xf>
    <xf numFmtId="49" fontId="23" fillId="42" borderId="36" xfId="0" applyFont="1" applyFill="1" applyBorder="1" applyNumberFormat="1">
      <alignment vertical="center"/>
    </xf>
    <xf numFmtId="0" fontId="19" fillId="42" borderId="24" xfId="0" applyFont="1" applyFill="1" applyBorder="1">
      <alignment vertical="center" wrapText="1"/>
    </xf>
    <xf numFmtId="0" fontId="19" fillId="42" borderId="35" xfId="0" applyFont="1" applyFill="1" applyBorder="1">
      <alignment vertical="center" wrapText="1"/>
    </xf>
    <xf numFmtId="49" fontId="23" fillId="0" borderId="18" xfId="0" applyFont="1" applyBorder="1" applyNumberFormat="1">
      <alignment horizontal="center" vertical="center"/>
    </xf>
    <xf numFmtId="0" fontId="23" fillId="0" borderId="18" xfId="0" applyFont="1" applyBorder="1">
      <alignment horizontal="left" vertical="center" wrapText="1"/>
    </xf>
    <xf numFmtId="0" fontId="23" fillId="0" borderId="18" xfId="0" applyFont="1" applyBorder="1">
      <alignment horizontal="center" vertical="center"/>
    </xf>
    <xf numFmtId="49" fontId="19" fillId="0" borderId="18" xfId="0" applyFont="1" applyBorder="1" applyNumberFormat="1">
      <alignment horizontal="center" vertical="center"/>
    </xf>
    <xf numFmtId="0" fontId="19" fillId="0" borderId="18" xfId="0" applyFont="1" applyBorder="1">
      <alignment horizontal="left" vertical="center" wrapText="1" indent="1"/>
    </xf>
    <xf numFmtId="0" fontId="19" fillId="0" borderId="18" xfId="0" applyFont="1" applyBorder="1">
      <alignment horizontal="center" vertical="center"/>
    </xf>
    <xf numFmtId="0" fontId="19" fillId="0" borderId="18" xfId="0" applyFont="1" applyBorder="1">
      <alignment horizontal="left" vertical="center" wrapText="1" indent="2"/>
    </xf>
    <xf numFmtId="49" fontId="23" fillId="0" borderId="18" xfId="0" applyFont="1" applyBorder="1" applyNumberFormat="1">
      <alignment horizontal="center" vertical="center" wrapText="1"/>
    </xf>
    <xf numFmtId="0" fontId="23" fillId="0" borderId="18" xfId="0" applyFont="1" applyBorder="1">
      <alignment horizontal="left" vertical="center" wrapText="1"/>
    </xf>
    <xf numFmtId="4" fontId="23" fillId="33" borderId="18" xfId="0" applyFont="1" applyFill="1" applyBorder="1" applyNumberFormat="1">
      <alignment horizontal="right" vertical="center"/>
    </xf>
    <xf numFmtId="4" fontId="19" fillId="33" borderId="18" xfId="0" applyFont="1" applyFill="1" applyBorder="1" applyNumberFormat="1">
      <alignment horizontal="right" vertical="center"/>
    </xf>
    <xf numFmtId="49" fontId="19" fillId="34" borderId="19" xfId="0" applyFont="1" applyFill="1" applyBorder="1" applyNumberFormat="1">
      <alignment horizontal="left" vertical="center" wrapText="1"/>
      <protection locked="0"/>
    </xf>
    <xf numFmtId="49" fontId="23" fillId="0" borderId="18" xfId="0" applyFont="1" applyBorder="1" applyNumberFormat="1">
      <alignment horizontal="center" vertical="center"/>
    </xf>
    <xf numFmtId="0" fontId="23" fillId="0" borderId="18" xfId="0" applyFont="1" applyBorder="1">
      <alignment horizontal="left" vertical="center" wrapText="1" indent="1"/>
    </xf>
    <xf numFmtId="49" fontId="23" fillId="34" borderId="19" xfId="0" applyFont="1" applyFill="1" applyBorder="1" applyNumberFormat="1">
      <alignment horizontal="left" vertical="center" wrapText="1"/>
      <protection locked="0"/>
    </xf>
    <xf numFmtId="49" fontId="19" fillId="0" borderId="18" xfId="0" applyFont="1" applyBorder="1" applyNumberFormat="1">
      <alignment horizontal="center" vertical="center"/>
    </xf>
    <xf numFmtId="0" fontId="19" fillId="0" borderId="18" xfId="0" applyFont="1" applyBorder="1">
      <alignment horizontal="left" vertical="center" wrapText="1" indent="2"/>
    </xf>
    <xf numFmtId="4" fontId="19" fillId="34" borderId="18" xfId="0" applyFont="1" applyFill="1" applyBorder="1" applyNumberFormat="1">
      <alignment horizontal="right" vertical="center"/>
      <protection locked="0"/>
    </xf>
    <xf numFmtId="4" fontId="23" fillId="34" borderId="18" xfId="0" applyFont="1" applyFill="1" applyBorder="1" applyNumberFormat="1">
      <alignment horizontal="right" vertical="center"/>
      <protection locked="0"/>
    </xf>
    <xf numFmtId="49" fontId="19" fillId="34" borderId="19" xfId="0" applyFont="1" applyFill="1" applyBorder="1" applyNumberFormat="1">
      <alignment horizontal="left" vertical="center" wrapText="1"/>
      <protection locked="0"/>
    </xf>
    <xf numFmtId="0" fontId="23" fillId="0" borderId="18" xfId="0" applyFont="1" applyBorder="1">
      <alignment horizontal="center" vertical="center"/>
    </xf>
    <xf numFmtId="0" fontId="19" fillId="0" borderId="18" xfId="0" applyFont="1" applyBorder="1">
      <alignment horizontal="left" vertical="center" wrapText="1" indent="1"/>
    </xf>
    <xf numFmtId="0" fontId="19" fillId="0" borderId="18" xfId="0" applyFont="1" applyBorder="1">
      <alignment horizontal="center" vertical="center"/>
    </xf>
    <xf numFmtId="4" fontId="19" fillId="33" borderId="18" xfId="0" applyFont="1" applyFill="1" applyBorder="1" applyNumberFormat="1">
      <alignment horizontal="right" vertical="center"/>
    </xf>
    <xf numFmtId="0" fontId="19" fillId="0" borderId="18" xfId="0" applyFont="1" applyBorder="1">
      <alignment horizontal="left" vertical="center" wrapText="1"/>
    </xf>
    <xf numFmtId="4" fontId="19" fillId="0" borderId="18" xfId="0" applyFont="1" applyBorder="1" applyNumberFormat="1">
      <alignment horizontal="right" vertical="center"/>
    </xf>
    <xf numFmtId="0" fontId="19" fillId="0" borderId="18" xfId="0" applyFont="1" applyBorder="1">
      <alignment vertical="center" wrapText="1"/>
    </xf>
    <xf numFmtId="0" fontId="19" fillId="37" borderId="18" xfId="0" applyFont="1" applyFill="1" applyBorder="1">
      <alignment horizontal="left" vertical="center" wrapText="1" indent="1"/>
    </xf>
    <xf numFmtId="49" fontId="19" fillId="37" borderId="18" xfId="0" applyFont="1" applyFill="1" applyBorder="1" applyNumberFormat="1">
      <alignment horizontal="center" vertical="center"/>
    </xf>
    <xf numFmtId="0" fontId="19" fillId="37" borderId="18" xfId="0" applyFont="1" applyFill="1" applyBorder="1">
      <alignment vertical="center" wrapText="1"/>
    </xf>
    <xf numFmtId="172" fontId="23" fillId="33" borderId="18" xfId="0" applyFont="1" applyFill="1" applyBorder="1" applyNumberFormat="1">
      <alignment horizontal="right" vertical="center"/>
    </xf>
    <xf numFmtId="4" fontId="23" fillId="0" borderId="18" xfId="0" applyFont="1" applyBorder="1" applyNumberFormat="1">
      <alignment horizontal="right" vertical="center"/>
    </xf>
    <xf numFmtId="172" fontId="19" fillId="34" borderId="18" xfId="0" applyFont="1" applyFill="1" applyBorder="1" applyNumberFormat="1">
      <alignment horizontal="right" vertical="center"/>
      <protection locked="0"/>
    </xf>
    <xf numFmtId="172" fontId="19" fillId="33" borderId="18" xfId="0" applyFont="1" applyFill="1" applyBorder="1" applyNumberFormat="1">
      <alignment horizontal="right" vertical="center"/>
    </xf>
    <xf numFmtId="0" fontId="25" fillId="43" borderId="0" xfId="0" applyFont="1" applyFill="1">
      <alignment vertical="center"/>
    </xf>
    <xf numFmtId="49" fontId="19" fillId="0" borderId="0" xfId="0" applyFont="1" applyNumberFormat="1">
      <alignment horizontal="center" vertical="top"/>
    </xf>
    <xf numFmtId="0" fontId="19" fillId="0" borderId="0" xfId="0" applyFont="1">
      <alignment vertical="top" wrapText="1"/>
    </xf>
    <xf numFmtId="0" fontId="19" fillId="0" borderId="0" xfId="0" applyFont="1">
      <alignment vertical="top" wrapText="1"/>
    </xf>
    <xf numFmtId="0" fontId="19" fillId="0" borderId="46" xfId="0" applyFont="1" applyBorder="1">
      <alignment horizontal="center" vertical="center" wrapText="1"/>
    </xf>
    <xf numFmtId="0" fontId="19" fillId="0" borderId="28" xfId="0" applyFont="1" applyBorder="1">
      <alignment horizontal="center" vertical="center" wrapText="1"/>
    </xf>
    <xf numFmtId="0" fontId="19" fillId="41" borderId="38" xfId="0" applyFont="1" applyFill="1" applyBorder="1">
      <alignment horizontal="left" vertical="center"/>
    </xf>
    <xf numFmtId="0" fontId="19" fillId="0" borderId="39" xfId="0" applyFont="1" applyBorder="1">
      <alignment horizontal="center" vertical="center" wrapText="1"/>
    </xf>
    <xf numFmtId="4" fontId="19" fillId="34" borderId="28" xfId="0" applyFont="1" applyFill="1" applyBorder="1" applyNumberFormat="1">
      <alignment horizontal="right" vertical="center"/>
      <protection locked="0"/>
    </xf>
    <xf numFmtId="172" fontId="19" fillId="34" borderId="28" xfId="0" applyFont="1" applyFill="1" applyBorder="1" applyNumberFormat="1">
      <alignment horizontal="right" vertical="center"/>
      <protection locked="0"/>
    </xf>
    <xf numFmtId="0" fontId="19" fillId="0" borderId="0" xfId="0" applyFont="1">
      <alignment horizontal="left" vertical="center"/>
    </xf>
    <xf numFmtId="0" fontId="19" fillId="43" borderId="0" xfId="0" applyFont="1" applyFill="1">
      <alignment vertical="center"/>
    </xf>
    <xf numFmtId="0" fontId="19" fillId="0" borderId="0" xfId="0" applyFont="1">
      <alignment horizontal="center"/>
    </xf>
    <xf numFmtId="0" fontId="19" fillId="0" borderId="0" xfId="0" applyFont="1">
      <alignment horizontal="center" vertical="center"/>
    </xf>
    <xf numFmtId="0" fontId="19" fillId="43" borderId="0" xfId="0" applyFont="1" applyFill="1">
      <alignment vertical="center"/>
    </xf>
    <xf numFmtId="0" fontId="23" fillId="37" borderId="18" xfId="0" applyFont="1" applyFill="1" applyBorder="1">
      <alignment horizontal="center" vertical="center"/>
    </xf>
    <xf numFmtId="0" fontId="23" fillId="37" borderId="18" xfId="0" applyFont="1" applyFill="1" applyBorder="1">
      <alignment horizontal="left" vertical="center" wrapText="1"/>
    </xf>
    <xf numFmtId="0" fontId="23" fillId="37" borderId="18" xfId="0" applyFont="1" applyFill="1" applyBorder="1">
      <alignment horizontal="center" vertical="center" wrapText="1"/>
    </xf>
    <xf numFmtId="4" fontId="23" fillId="33" borderId="18" xfId="0" applyFont="1" applyFill="1" applyBorder="1" applyNumberFormat="1">
      <alignment horizontal="right" vertical="center" wrapText="1"/>
    </xf>
    <xf numFmtId="49" fontId="23" fillId="34" borderId="18" xfId="0" applyFont="1" applyFill="1" applyBorder="1" applyNumberFormat="1">
      <alignment horizontal="left" vertical="center" wrapText="1"/>
      <protection locked="0"/>
    </xf>
    <xf numFmtId="49" fontId="19" fillId="34" borderId="18" xfId="0" applyFont="1" applyFill="1" applyBorder="1" applyNumberFormat="1">
      <alignment horizontal="left" vertical="center" wrapText="1"/>
      <protection locked="0"/>
    </xf>
    <xf numFmtId="0" fontId="19" fillId="0" borderId="18" xfId="0" applyFont="1" applyBorder="1">
      <alignment vertical="center" wrapText="1"/>
    </xf>
    <xf numFmtId="0" fontId="70" fillId="0" borderId="0" xfId="0" applyFont="1"/>
    <xf numFmtId="0" fontId="19" fillId="0" borderId="0" xfId="0" applyFont="1">
      <alignment wrapText="1"/>
    </xf>
    <xf numFmtId="49" fontId="19" fillId="0" borderId="18" xfId="0" applyFont="1" applyBorder="1" applyNumberFormat="1">
      <alignment horizontal="center" vertical="center" wrapText="1"/>
    </xf>
    <xf numFmtId="49" fontId="19" fillId="0" borderId="18" xfId="0" applyFont="1" applyBorder="1" applyNumberFormat="1">
      <alignment horizontal="left" vertical="center" wrapText="1" indent="1"/>
    </xf>
    <xf numFmtId="49" fontId="19" fillId="0" borderId="18" xfId="0" applyFont="1" applyBorder="1" applyNumberFormat="1">
      <alignment horizontal="left" vertical="center" wrapText="1"/>
    </xf>
    <xf numFmtId="172" fontId="19" fillId="33" borderId="18" xfId="0" applyFont="1" applyFill="1" applyBorder="1" applyNumberFormat="1">
      <alignment horizontal="right" vertical="center" wrapText="1"/>
    </xf>
    <xf numFmtId="172" fontId="19" fillId="34" borderId="18" xfId="0" applyFont="1" applyFill="1" applyBorder="1" applyNumberFormat="1">
      <alignment horizontal="right" vertical="center" wrapText="1"/>
      <protection locked="0"/>
    </xf>
    <xf numFmtId="0" fontId="25" fillId="0" borderId="0" xfId="0" applyFont="1">
      <alignment vertical="center" wrapText="1"/>
    </xf>
    <xf numFmtId="0" fontId="25" fillId="43" borderId="0" xfId="0" applyFont="1" applyFill="1">
      <alignment vertical="center" wrapText="1"/>
    </xf>
    <xf numFmtId="0" fontId="26" fillId="0" borderId="0" xfId="0" applyFont="1">
      <alignment horizontal="left" vertical="center"/>
    </xf>
    <xf numFmtId="0" fontId="25" fillId="0" borderId="0" xfId="0" applyFont="1">
      <alignment horizontal="center" vertical="center" wrapText="1"/>
    </xf>
    <xf numFmtId="0" fontId="25" fillId="43" borderId="0" xfId="0" applyFont="1" applyFill="1">
      <alignment horizontal="center" vertical="center" wrapText="1"/>
    </xf>
    <xf numFmtId="0" fontId="19" fillId="19" borderId="0" xfId="0" applyFont="1" applyFill="1"/>
    <xf numFmtId="0" fontId="23" fillId="0" borderId="0" xfId="0" applyFont="1" quotePrefix="1">
      <alignment horizontal="left" vertical="center" wrapText="1" indent="4"/>
    </xf>
    <xf numFmtId="49" fontId="23" fillId="0" borderId="0" xfId="0" applyFont="1" applyNumberFormat="1">
      <alignment horizontal="left" vertical="center" wrapText="1" indent="4"/>
    </xf>
    <xf numFmtId="0" fontId="19" fillId="43" borderId="0" xfId="0" applyFont="1" applyFill="1">
      <alignment vertical="center" wrapText="1"/>
    </xf>
    <xf numFmtId="0" fontId="19" fillId="0" borderId="19" xfId="0" applyFont="1" applyBorder="1">
      <alignment horizontal="center" vertical="center" wrapText="1"/>
    </xf>
    <xf numFmtId="0" fontId="19" fillId="0" borderId="43" xfId="0" applyFont="1" applyBorder="1">
      <alignment horizontal="center" vertical="center" wrapText="1"/>
    </xf>
    <xf numFmtId="0" fontId="19" fillId="43" borderId="0" xfId="0" applyFont="1" applyFill="1">
      <alignment vertical="top"/>
    </xf>
    <xf numFmtId="0" fontId="19" fillId="0" borderId="0" xfId="0" applyFont="1">
      <alignment horizontal="center" vertical="center" wrapText="1"/>
    </xf>
    <xf numFmtId="0" fontId="19" fillId="43" borderId="0" xfId="0" applyFont="1" applyFill="1">
      <alignment horizontal="center" vertical="center" wrapText="1"/>
    </xf>
    <xf numFmtId="0" fontId="19" fillId="41" borderId="24" xfId="0" applyFont="1" applyFill="1" applyBorder="1">
      <alignment horizontal="left" vertical="center"/>
    </xf>
    <xf numFmtId="4" fontId="23" fillId="41" borderId="24" xfId="0" applyFont="1" applyFill="1" applyBorder="1" applyNumberFormat="1">
      <alignment horizontal="right" vertical="center"/>
    </xf>
    <xf numFmtId="0" fontId="19" fillId="0" borderId="18" xfId="0" applyFont="1" applyBorder="1">
      <alignment horizontal="center" vertical="center" wrapText="1"/>
      <protection locked="0"/>
    </xf>
    <xf numFmtId="0" fontId="19" fillId="0" borderId="0" xfId="0" applyFont="1">
      <alignment horizontal="center" vertical="center"/>
    </xf>
    <xf numFmtId="0" fontId="19" fillId="0" borderId="0" xfId="0" applyFont="1">
      <alignment horizontal="center" vertical="top" wrapText="1"/>
    </xf>
    <xf numFmtId="0" fontId="23" fillId="42" borderId="36" xfId="0" applyFont="1" applyFill="1" applyBorder="1">
      <alignment horizontal="left" vertical="center" wrapText="1" indent="1"/>
    </xf>
    <xf numFmtId="0" fontId="19" fillId="0" borderId="0" xfId="0" applyFont="1">
      <alignment horizontal="center" vertical="center" wrapText="1"/>
    </xf>
    <xf numFmtId="0" fontId="19" fillId="43" borderId="0" xfId="0" applyFont="1" applyFill="1">
      <alignment horizontal="center" vertical="center" wrapText="1"/>
    </xf>
    <xf numFmtId="0" fontId="19" fillId="35" borderId="18" xfId="0" applyFont="1" applyFill="1" applyBorder="1">
      <alignment horizontal="left" vertical="center" wrapText="1" indent="1"/>
      <protection locked="0"/>
    </xf>
    <xf numFmtId="0" fontId="19" fillId="0" borderId="18" xfId="0" applyFont="1" applyBorder="1">
      <alignment horizontal="center" vertical="center" wrapText="1"/>
    </xf>
    <xf numFmtId="0" fontId="19" fillId="0" borderId="18" xfId="0" applyFont="1" applyBorder="1">
      <alignment horizontal="center" vertical="center" wrapText="1"/>
      <protection locked="0"/>
    </xf>
    <xf numFmtId="4" fontId="19" fillId="34" borderId="18" xfId="0" applyFont="1" applyFill="1" applyBorder="1" applyNumberFormat="1">
      <alignment horizontal="right" vertical="center"/>
      <protection locked="0"/>
    </xf>
    <xf numFmtId="49" fontId="19" fillId="34" borderId="18" xfId="0" applyFont="1" applyFill="1" applyBorder="1" applyNumberFormat="1">
      <alignment horizontal="left" vertical="center" wrapText="1"/>
      <protection locked="0"/>
    </xf>
    <xf numFmtId="0" fontId="19" fillId="36" borderId="18" xfId="0" applyFont="1" applyFill="1" applyBorder="1">
      <alignment horizontal="center" vertical="center" wrapText="1"/>
    </xf>
    <xf numFmtId="0" fontId="19" fillId="0" borderId="18" xfId="0" applyFont="1" applyBorder="1">
      <alignment horizontal="left" vertical="center" wrapText="1" indent="2"/>
    </xf>
    <xf numFmtId="4" fontId="19" fillId="34" borderId="18" xfId="0" applyFont="1" applyFill="1" applyBorder="1" applyNumberFormat="1">
      <alignment horizontal="right" vertical="center" wrapText="1"/>
      <protection locked="0"/>
    </xf>
    <xf numFmtId="0" fontId="26" fillId="0" borderId="0" xfId="0" applyFont="1"/>
    <xf numFmtId="0" fontId="19" fillId="0" borderId="18" xfId="0" applyFont="1" applyBorder="1">
      <alignment horizontal="center" vertical="center"/>
    </xf>
    <xf numFmtId="0" fontId="19" fillId="0" borderId="0" xfId="0" applyFont="1"/>
    <xf numFmtId="0" fontId="19" fillId="43" borderId="0" xfId="0" applyFont="1" applyFill="1"/>
    <xf numFmtId="0" fontId="19" fillId="0" borderId="18" xfId="0" applyFont="1" applyBorder="1">
      <alignment horizontal="center"/>
    </xf>
    <xf numFmtId="49" fontId="19" fillId="35" borderId="18" xfId="0" applyFont="1" applyFill="1" applyBorder="1" applyNumberFormat="1">
      <alignment horizontal="left" vertical="center" wrapText="1" indent="1"/>
      <protection locked="0"/>
    </xf>
    <xf numFmtId="0" fontId="19" fillId="0" borderId="0" xfId="0" applyFont="1">
      <alignment horizontal="center"/>
    </xf>
    <xf numFmtId="4" fontId="24" fillId="33" borderId="18" xfId="0" applyFont="1" applyFill="1" applyBorder="1" applyNumberFormat="1">
      <alignment horizontal="right" vertical="center" wrapText="1"/>
    </xf>
    <xf numFmtId="0" fontId="23" fillId="33" borderId="43" xfId="0" applyFont="1" applyFill="1" applyBorder="1">
      <alignment horizontal="left" vertical="center" indent="1"/>
    </xf>
    <xf numFmtId="0" fontId="19" fillId="43" borderId="43" xfId="0" applyFont="1" applyFill="1" applyBorder="1">
      <alignment horizontal="left" vertical="center" wrapText="1"/>
    </xf>
    <xf numFmtId="0" fontId="19" fillId="43" borderId="44" xfId="0" applyFont="1" applyFill="1" applyBorder="1">
      <alignment horizontal="center" vertical="center"/>
    </xf>
    <xf numFmtId="0" fontId="19" fillId="43" borderId="44" xfId="0" applyFont="1" applyFill="1" applyBorder="1">
      <alignment horizontal="left" vertical="center" indent="1"/>
    </xf>
    <xf numFmtId="0" fontId="23" fillId="0" borderId="0" xfId="0" applyFont="1">
      <alignment vertical="center"/>
    </xf>
    <xf numFmtId="0" fontId="23" fillId="43" borderId="0" xfId="0" applyFont="1" applyFill="1">
      <alignment vertical="center"/>
    </xf>
    <xf numFmtId="4" fontId="23" fillId="34" borderId="19" xfId="0" applyFont="1" applyFill="1" applyBorder="1" applyNumberFormat="1">
      <alignment horizontal="right" vertical="center"/>
      <protection locked="0"/>
    </xf>
    <xf numFmtId="0" fontId="19" fillId="0" borderId="19" xfId="0" applyFont="1" applyBorder="1">
      <alignment horizontal="left" vertical="center" wrapText="1"/>
    </xf>
    <xf numFmtId="49" fontId="19" fillId="35" borderId="19" xfId="0" applyFont="1" applyFill="1" applyBorder="1" applyNumberFormat="1">
      <alignment horizontal="left" vertical="center" wrapText="1"/>
      <protection locked="0"/>
    </xf>
    <xf numFmtId="4" fontId="19" fillId="34" borderId="19" xfId="0" applyFont="1" applyFill="1" applyBorder="1" applyNumberFormat="1">
      <alignment horizontal="right" vertical="center"/>
      <protection locked="0"/>
    </xf>
    <xf numFmtId="0" fontId="19" fillId="0" borderId="44" xfId="0" applyFont="1" applyBorder="1">
      <alignment horizontal="center" vertical="center"/>
    </xf>
    <xf numFmtId="0" fontId="19" fillId="0" borderId="19" xfId="0" applyFont="1" applyBorder="1">
      <alignment horizontal="left" vertical="center" wrapText="1" indent="1"/>
    </xf>
    <xf numFmtId="0" fontId="23" fillId="0" borderId="0" xfId="0" applyFont="1">
      <alignment horizontal="center" vertical="center"/>
    </xf>
    <xf numFmtId="0" fontId="19" fillId="35" borderId="19" xfId="0" applyFont="1" applyFill="1" applyBorder="1">
      <alignment horizontal="left" vertical="center" wrapText="1"/>
      <protection locked="0"/>
    </xf>
    <xf numFmtId="0" fontId="19" fillId="43" borderId="29" xfId="0" applyFont="1" applyFill="1" applyBorder="1">
      <alignment horizontal="left" vertical="center" indent="1"/>
    </xf>
    <xf numFmtId="0" fontId="31" fillId="43" borderId="0" xfId="0" applyFont="1" applyFill="1">
      <alignment horizontal="left" vertical="center"/>
    </xf>
    <xf numFmtId="14" fontId="66" fillId="0" borderId="0" xfId="0" applyFont="1" applyNumberFormat="1">
      <alignment vertical="center"/>
    </xf>
    <xf numFmtId="0" fontId="19" fillId="34" borderId="19" xfId="0" applyFont="1" applyFill="1" applyBorder="1">
      <alignment horizontal="left" vertical="center" wrapText="1"/>
      <protection locked="0"/>
    </xf>
    <xf numFmtId="0" fontId="66" fillId="0" borderId="0" xfId="0" applyFont="1"/>
    <xf numFmtId="0" fontId="66" fillId="0" borderId="0" xfId="0" applyFont="1">
      <alignment horizontal="center"/>
    </xf>
    <xf numFmtId="0" fontId="66" fillId="43" borderId="0" xfId="0" applyFont="1" applyFill="1"/>
    <xf numFmtId="0" fontId="31" fillId="0" borderId="0" xfId="0" applyFont="1">
      <alignment vertical="top"/>
    </xf>
    <xf numFmtId="49" fontId="66" fillId="0" borderId="0" xfId="0" applyFont="1" applyNumberFormat="1"/>
    <xf numFmtId="0" fontId="31" fillId="0" borderId="0" xfId="0" applyFont="1">
      <alignment horizontal="center" vertical="center" wrapText="1"/>
    </xf>
    <xf numFmtId="49" fontId="31" fillId="0" borderId="0" xfId="0" applyFont="1" applyNumberFormat="1">
      <alignment horizontal="center" vertical="center" wrapText="1"/>
    </xf>
    <xf numFmtId="0" fontId="19" fillId="34" borderId="18" xfId="0" applyFont="1" applyFill="1" applyBorder="1">
      <alignment horizontal="left" vertical="center" wrapText="1"/>
      <protection locked="0"/>
    </xf>
    <xf numFmtId="49" fontId="31" fillId="0" borderId="0" xfId="0" applyFont="1" applyNumberFormat="1"/>
    <xf numFmtId="4" fontId="23" fillId="0" borderId="18" xfId="0" applyFont="1" applyBorder="1" applyNumberFormat="1">
      <alignment horizontal="right" vertical="center"/>
      <protection locked="0"/>
    </xf>
    <xf numFmtId="4" fontId="19" fillId="35" borderId="28" xfId="0" applyFont="1" applyFill="1" applyBorder="1" applyNumberFormat="1">
      <alignment horizontal="right" vertical="center"/>
      <protection locked="0"/>
    </xf>
    <xf numFmtId="0" fontId="66" fillId="0" borderId="0" xfId="0" applyFont="1">
      <alignment horizontal="left" vertical="center"/>
    </xf>
    <xf numFmtId="0" fontId="19" fillId="0" borderId="0" xfId="0" applyFont="1">
      <alignment horizontal="left"/>
    </xf>
    <xf numFmtId="49" fontId="65" fillId="0" borderId="0" xfId="0" applyFont="1" applyNumberFormat="1"/>
    <xf numFmtId="0" fontId="19" fillId="25" borderId="0" xfId="0" applyFont="1" applyFill="1">
      <alignment horizontal="center" vertical="center"/>
    </xf>
    <xf numFmtId="0" fontId="19" fillId="0" borderId="0" xfId="0" applyFont="1">
      <alignment horizontal="center" vertical="top"/>
    </xf>
    <xf numFmtId="0" fontId="19" fillId="39" borderId="0" xfId="0" applyFont="1" applyFill="1">
      <alignment horizontal="center" vertical="center"/>
    </xf>
    <xf numFmtId="0" fontId="19" fillId="0" borderId="0" xfId="0" applyFont="1">
      <alignment vertical="center"/>
    </xf>
    <xf numFmtId="0" fontId="31" fillId="40" borderId="0" xfId="0" applyFont="1" applyFill="1">
      <alignment horizontal="left" vertical="top"/>
    </xf>
    <xf numFmtId="0" fontId="19" fillId="36" borderId="19" xfId="0" applyFont="1" applyFill="1" applyBorder="1">
      <alignment horizontal="center" vertical="center" wrapText="1"/>
    </xf>
    <xf numFmtId="0" fontId="19" fillId="0" borderId="18" xfId="0" applyFont="1" applyBorder="1">
      <alignment horizontal="left" indent="1"/>
    </xf>
    <xf numFmtId="0" fontId="19" fillId="0" borderId="59" xfId="0" applyFont="1" applyBorder="1">
      <alignment horizontal="center" vertical="center" wrapText="1"/>
    </xf>
    <xf numFmtId="0" fontId="19" fillId="0" borderId="36" xfId="0" applyFont="1" applyBorder="1">
      <alignment horizontal="center" vertical="center" wrapText="1"/>
    </xf>
    <xf numFmtId="4" fontId="19" fillId="33" borderId="18" xfId="0" applyFont="1" applyFill="1" applyBorder="1" applyNumberFormat="1">
      <alignment horizontal="right" vertical="center" wrapText="1"/>
    </xf>
    <xf numFmtId="0" fontId="19" fillId="0" borderId="18" xfId="0" applyFont="1" applyBorder="1">
      <alignment horizontal="right" vertical="center" wrapText="1"/>
    </xf>
    <xf numFmtId="0" fontId="19" fillId="0" borderId="18" xfId="0" applyFont="1" applyBorder="1" quotePrefix="1">
      <alignment horizontal="left" vertical="center" wrapText="1" indent="1"/>
    </xf>
    <xf numFmtId="4" fontId="23" fillId="33" borderId="18" xfId="0" applyFont="1" applyFill="1" applyBorder="1" applyNumberFormat="1">
      <alignment horizontal="right" vertical="center" wrapText="1"/>
    </xf>
    <xf numFmtId="49" fontId="40" fillId="42" borderId="42" xfId="0" applyFont="1" applyFill="1" applyBorder="1" applyNumberFormat="1">
      <alignment horizontal="left" vertical="center" wrapText="1" indent="1"/>
    </xf>
    <xf numFmtId="0" fontId="19" fillId="34" borderId="28" xfId="0" applyFont="1" applyFill="1" applyBorder="1">
      <alignment horizontal="left" vertical="center" wrapText="1" indent="1"/>
      <protection locked="0"/>
    </xf>
    <xf numFmtId="174" fontId="24" fillId="35" borderId="19" xfId="0" applyFont="1" applyFill="1" applyBorder="1" applyNumberFormat="1">
      <alignment horizontal="left" vertical="center" wrapText="1" indent="1"/>
    </xf>
    <xf numFmtId="174" fontId="19" fillId="35" borderId="18" xfId="0" applyFont="1" applyFill="1" applyBorder="1" applyNumberFormat="1">
      <alignment horizontal="left" vertical="center" wrapText="1" indent="1"/>
      <protection locked="0"/>
    </xf>
    <xf numFmtId="172" fontId="19" fillId="33" borderId="18" xfId="0" applyFont="1" applyFill="1" applyBorder="1" applyNumberFormat="1">
      <alignment horizontal="right" vertical="center"/>
    </xf>
    <xf numFmtId="4" fontId="19" fillId="0" borderId="18" xfId="0" applyFont="1" applyBorder="1" applyNumberFormat="1">
      <alignment horizontal="right" vertical="center"/>
    </xf>
    <xf numFmtId="4" fontId="19" fillId="33" borderId="18" xfId="0" applyFont="1" applyFill="1" applyBorder="1" applyNumberFormat="1">
      <alignment horizontal="right" vertical="center"/>
    </xf>
    <xf numFmtId="4" fontId="19" fillId="33" borderId="18" xfId="0" applyFont="1" applyFill="1" applyBorder="1" applyNumberFormat="1">
      <alignment horizontal="right" vertical="center"/>
    </xf>
    <xf numFmtId="4" fontId="19" fillId="0" borderId="18" xfId="0" applyFont="1" applyBorder="1" applyNumberFormat="1">
      <alignment horizontal="right" vertical="center"/>
    </xf>
    <xf numFmtId="172" fontId="19" fillId="33" borderId="18" xfId="0" applyFont="1" applyFill="1" applyBorder="1" applyNumberFormat="1">
      <alignment horizontal="right" vertical="center"/>
    </xf>
    <xf numFmtId="49" fontId="24" fillId="34" borderId="19" xfId="0" applyFont="1" applyFill="1" applyBorder="1" applyNumberFormat="1">
      <alignment horizontal="right" vertical="center"/>
      <protection locked="0"/>
    </xf>
    <xf numFmtId="0" fontId="19" fillId="0" borderId="0" xfId="0" applyFont="1">
      <alignment horizontal="left" vertical="center" wrapText="1"/>
    </xf>
    <xf numFmtId="0" fontId="24" fillId="0" borderId="0" xfId="0" applyFont="1">
      <alignment horizontal="right" vertical="center"/>
    </xf>
    <xf numFmtId="172" fontId="24" fillId="0" borderId="0" xfId="0" applyFont="1" applyNumberFormat="1">
      <alignment horizontal="right" vertical="center"/>
    </xf>
    <xf numFmtId="49" fontId="24" fillId="0" borderId="0" xfId="0" applyFont="1" applyNumberFormat="1">
      <alignment horizontal="left" vertical="center" wrapText="1"/>
    </xf>
    <xf numFmtId="0" fontId="19" fillId="35" borderId="18" xfId="0" applyFont="1" applyFill="1" applyBorder="1">
      <alignment horizontal="left" vertical="center" wrapText="1" indent="1"/>
      <protection locked="0"/>
    </xf>
    <xf numFmtId="0" fontId="19" fillId="35" borderId="52" xfId="0" applyFont="1" applyFill="1" applyBorder="1">
      <alignment horizontal="left" vertical="center" wrapText="1" indent="1"/>
      <protection locked="0"/>
    </xf>
    <xf numFmtId="0" fontId="26" fillId="0" borderId="0" xfId="0" applyFont="1">
      <alignment vertical="center"/>
    </xf>
    <xf numFmtId="0" fontId="1" fillId="0" borderId="0" xfId="0" applyFont="1">
      <alignment vertical="center"/>
    </xf>
    <xf numFmtId="0" fontId="31" fillId="0" borderId="0" xfId="0" applyFont="1">
      <alignment horizontal="center" vertical="center"/>
    </xf>
    <xf numFmtId="0" fontId="51" fillId="0" borderId="0" xfId="0" applyFont="1">
      <alignment horizontal="left" vertical="top"/>
    </xf>
    <xf numFmtId="49" fontId="19" fillId="0" borderId="60" xfId="0" applyFont="1" applyBorder="1" applyNumberFormat="1">
      <alignment vertical="top"/>
    </xf>
    <xf numFmtId="0" fontId="27" fillId="0" borderId="0" xfId="0" applyFont="1">
      <alignment vertical="center" wrapText="1"/>
    </xf>
    <xf numFmtId="0" fontId="19" fillId="0" borderId="0" xfId="0" applyFont="1">
      <alignment vertical="top"/>
    </xf>
    <xf numFmtId="0" fontId="0" fillId="25" borderId="0" xfId="0" applyFont="1" applyFill="1">
      <alignment horizontal="center" vertical="center" wrapText="1"/>
    </xf>
    <xf numFmtId="0" fontId="19" fillId="43" borderId="0" xfId="0" applyFont="1" applyFill="1">
      <alignment horizontal="left" vertical="center"/>
    </xf>
    <xf numFmtId="0" fontId="19" fillId="43" borderId="0" xfId="0" applyFont="1" applyFill="1">
      <alignment vertical="center" wrapText="1"/>
    </xf>
    <xf numFmtId="0" fontId="27" fillId="43" borderId="0" xfId="0" applyFont="1" applyFill="1">
      <alignment vertical="center" wrapText="1"/>
    </xf>
    <xf numFmtId="0" fontId="19" fillId="43" borderId="0" xfId="0" applyFont="1" applyFill="1">
      <alignment vertical="top"/>
    </xf>
    <xf numFmtId="0" fontId="71" fillId="0" borderId="0" xfId="0" applyFont="1">
      <alignment vertical="center" wrapText="1"/>
    </xf>
    <xf numFmtId="0" fontId="23" fillId="0" borderId="0" xfId="0" applyFont="1">
      <alignment vertical="center" wrapText="1"/>
    </xf>
    <xf numFmtId="0" fontId="72" fillId="0" borderId="0" xfId="0" applyFont="1">
      <alignment vertical="center" wrapText="1"/>
    </xf>
    <xf numFmtId="0" fontId="73" fillId="0" borderId="0" xfId="0" applyFont="1">
      <alignment horizontal="center" vertical="top" wrapText="1"/>
    </xf>
    <xf numFmtId="0" fontId="19" fillId="37" borderId="0" xfId="0" applyFont="1" applyFill="1">
      <alignment vertical="top"/>
    </xf>
    <xf numFmtId="0" fontId="1" fillId="0" borderId="0" xfId="0" applyFont="1"/>
    <xf numFmtId="172" fontId="19" fillId="34" borderId="39" xfId="0" applyFont="1" applyFill="1" applyBorder="1" applyNumberFormat="1">
      <alignment horizontal="right" vertical="center"/>
      <protection locked="0"/>
    </xf>
    <xf numFmtId="172" fontId="24" fillId="34" borderId="39" xfId="0" applyFont="1" applyFill="1" applyBorder="1" applyNumberFormat="1">
      <alignment horizontal="right" vertical="center"/>
      <protection locked="0"/>
    </xf>
    <xf numFmtId="49" fontId="24" fillId="0" borderId="19" xfId="0" applyFont="1" applyBorder="1" applyNumberFormat="1">
      <alignment horizontal="left" vertical="center" wrapText="1"/>
    </xf>
    <xf numFmtId="0" fontId="51" fillId="19" borderId="0" xfId="0" applyFont="1" applyFill="1">
      <alignment horizontal="center" vertical="center"/>
    </xf>
    <xf numFmtId="0" fontId="36" fillId="0" borderId="0" xfId="0" applyFont="1">
      <alignment horizontal="left" vertical="center" wrapText="1" indent="4"/>
    </xf>
    <xf numFmtId="0" fontId="35" fillId="0" borderId="0" xfId="0" applyFont="1">
      <alignment vertical="center"/>
    </xf>
    <xf numFmtId="0" fontId="51" fillId="0" borderId="0" xfId="0" applyFont="1">
      <alignment horizontal="center" vertical="center"/>
    </xf>
    <xf numFmtId="0" fontId="35" fillId="43" borderId="0" xfId="0" applyFont="1" applyFill="1">
      <alignment vertical="center"/>
    </xf>
    <xf numFmtId="0" fontId="26" fillId="0" borderId="0" xfId="0" applyFont="1">
      <alignment vertical="center"/>
    </xf>
    <xf numFmtId="0" fontId="35" fillId="0" borderId="0" xfId="0" applyFont="1">
      <alignment vertical="center" wrapText="1"/>
    </xf>
    <xf numFmtId="0" fontId="19" fillId="0" borderId="0" xfId="0" applyFont="1"/>
    <xf numFmtId="0" fontId="25" fillId="0" borderId="0" xfId="0" applyFont="1">
      <alignment vertical="center" wrapText="1"/>
    </xf>
    <xf numFmtId="0" fontId="25" fillId="0" borderId="0" xfId="0" applyFont="1">
      <alignment horizontal="center" vertical="center" wrapText="1"/>
    </xf>
    <xf numFmtId="0" fontId="25" fillId="0" borderId="0" xfId="0" applyFont="1">
      <alignment vertical="center"/>
    </xf>
    <xf numFmtId="0" fontId="1" fillId="0" borderId="0" xfId="0" applyFont="1"/>
    <xf numFmtId="49" fontId="23" fillId="0" borderId="0" xfId="0" applyFont="1" applyNumberFormat="1">
      <alignment vertical="top"/>
    </xf>
    <xf numFmtId="0" fontId="19" fillId="4" borderId="0" xfId="0" applyFont="1" applyFill="1">
      <alignment horizontal="left" vertical="center"/>
    </xf>
    <xf numFmtId="0" fontId="19" fillId="4" borderId="0" xfId="0" applyFont="1" applyFill="1">
      <alignment horizontal="center" vertical="center"/>
    </xf>
    <xf numFmtId="0" fontId="19" fillId="43" borderId="0" xfId="0" applyFont="1" applyFill="1">
      <alignment horizontal="center" vertical="top"/>
    </xf>
    <xf numFmtId="0" fontId="19" fillId="0" borderId="0" xfId="0" applyFont="1">
      <alignment horizontal="right" vertical="center" wrapText="1"/>
    </xf>
    <xf numFmtId="0" fontId="19" fillId="4" borderId="0" xfId="0" applyFont="1" applyFill="1">
      <alignment horizontal="left" vertical="center" wrapText="1"/>
    </xf>
    <xf numFmtId="0" fontId="0" fillId="4" borderId="0" xfId="0" applyFont="1" applyFill="1">
      <alignment horizontal="center" vertical="center" wrapText="1"/>
    </xf>
    <xf numFmtId="0" fontId="19" fillId="4" borderId="0" xfId="0" applyFont="1" applyFill="1">
      <alignment vertical="center" wrapText="1"/>
    </xf>
    <xf numFmtId="0" fontId="19" fillId="4" borderId="0" xfId="0" applyFont="1" applyFill="1">
      <alignment horizontal="center" vertical="center" wrapText="1"/>
    </xf>
    <xf numFmtId="0" fontId="19" fillId="4" borderId="0" xfId="0" applyFont="1" applyFill="1">
      <alignment vertical="top"/>
    </xf>
    <xf numFmtId="0" fontId="24" fillId="4" borderId="0" xfId="0" applyFont="1" applyFill="1"/>
    <xf numFmtId="0" fontId="19" fillId="4" borderId="0" xfId="0" applyFont="1" applyFill="1">
      <alignment vertical="top"/>
    </xf>
    <xf numFmtId="0" fontId="27" fillId="4" borderId="0" xfId="0" applyFont="1" applyFill="1">
      <alignment vertical="top"/>
    </xf>
    <xf numFmtId="0" fontId="19" fillId="4" borderId="0" xfId="0" applyFont="1" applyFill="1"/>
    <xf numFmtId="0" fontId="19" fillId="4" borderId="0" xfId="0" applyFont="1" applyFill="1">
      <alignment vertical="top"/>
    </xf>
    <xf numFmtId="0" fontId="0" fillId="43" borderId="0" xfId="0" applyFont="1" applyFill="1">
      <alignment horizontal="center" vertical="center" wrapText="1"/>
    </xf>
    <xf numFmtId="49" fontId="19" fillId="4" borderId="0" xfId="0" applyFont="1" applyFill="1" applyNumberFormat="1">
      <alignment vertical="center" wrapText="1"/>
    </xf>
    <xf numFmtId="49" fontId="19" fillId="4" borderId="0" xfId="0" applyFont="1" applyFill="1" applyNumberFormat="1">
      <alignment vertical="top"/>
    </xf>
    <xf numFmtId="0" fontId="31" fillId="4" borderId="0" xfId="0" applyFont="1" applyFill="1"/>
    <xf numFmtId="49" fontId="19" fillId="4" borderId="0" xfId="0" applyFont="1" applyFill="1" applyNumberFormat="1">
      <alignment vertical="top"/>
    </xf>
    <xf numFmtId="49" fontId="27" fillId="43" borderId="0" xfId="0" applyFont="1" applyFill="1" applyNumberFormat="1">
      <alignment vertical="top"/>
    </xf>
    <xf numFmtId="49" fontId="31" fillId="4" borderId="0" xfId="0" applyFont="1" applyFill="1" applyNumberFormat="1"/>
    <xf numFmtId="0" fontId="0" fillId="4" borderId="0" xfId="0" applyFont="1" applyFill="1">
      <alignment horizontal="center"/>
    </xf>
    <xf numFmtId="0" fontId="24" fillId="4" borderId="0" xfId="0" applyFont="1" applyFill="1">
      <alignment horizontal="left"/>
    </xf>
    <xf numFmtId="0" fontId="24" fillId="4" borderId="0" xfId="0" applyFont="1" applyFill="1">
      <alignment wrapText="1"/>
    </xf>
    <xf numFmtId="0" fontId="24" fillId="4" borderId="0" xfId="0" applyFont="1" applyFill="1">
      <alignment horizontal="center"/>
    </xf>
    <xf numFmtId="0" fontId="24" fillId="4" borderId="0" xfId="0" applyFont="1" applyFill="1">
      <alignment vertical="center" wrapText="1"/>
    </xf>
    <xf numFmtId="0" fontId="0" fillId="43" borderId="0" xfId="0" applyFont="1" applyFill="1">
      <alignment horizontal="center"/>
    </xf>
    <xf numFmtId="0" fontId="24" fillId="4" borderId="0" xfId="0" applyFont="1" applyFill="1">
      <alignment vertical="center"/>
    </xf>
    <xf numFmtId="0" fontId="0" fillId="4" borderId="0" xfId="0" applyFont="1" applyFill="1">
      <alignment horizontal="center" vertical="center"/>
    </xf>
    <xf numFmtId="0" fontId="24" fillId="4" borderId="0" xfId="0" applyFont="1" applyFill="1">
      <alignment horizontal="left" vertical="center"/>
    </xf>
    <xf numFmtId="0" fontId="19" fillId="4" borderId="0" xfId="0" applyFont="1" applyFill="1">
      <alignment vertical="center"/>
    </xf>
    <xf numFmtId="49" fontId="19" fillId="4" borderId="0" xfId="0" applyFont="1" applyFill="1" applyNumberFormat="1">
      <alignment vertical="top"/>
    </xf>
    <xf numFmtId="0" fontId="24" fillId="4" borderId="0" xfId="0" applyFont="1" applyFill="1">
      <alignment vertical="center"/>
    </xf>
    <xf numFmtId="0" fontId="31" fillId="0" borderId="0" xfId="0" applyFont="1"/>
    <xf numFmtId="0" fontId="31" fillId="0" borderId="0" xfId="0" applyFont="1">
      <alignment vertical="center"/>
    </xf>
    <xf numFmtId="0" fontId="24" fillId="0" borderId="0" xfId="0" applyFont="1"/>
    <xf numFmtId="0" fontId="31" fillId="4" borderId="0" xfId="0" applyFont="1" applyFill="1"/>
    <xf numFmtId="0" fontId="19" fillId="4" borderId="0" xfId="0" applyFont="1" applyFill="1"/>
    <xf numFmtId="0" fontId="19" fillId="4" borderId="0" xfId="0" applyFont="1" applyFill="1">
      <alignment horizontal="center"/>
    </xf>
    <xf numFmtId="0" fontId="24" fillId="4" borderId="0" xfId="0" applyFont="1" applyFill="1">
      <alignment vertical="center"/>
    </xf>
    <xf numFmtId="49" fontId="19" fillId="4" borderId="0" xfId="0" applyFont="1" applyFill="1" applyNumberFormat="1">
      <alignment horizontal="center"/>
    </xf>
    <xf numFmtId="0" fontId="0" fillId="43" borderId="0" xfId="0" applyFont="1" applyFill="1">
      <alignment horizontal="center" vertical="center"/>
    </xf>
    <xf numFmtId="0" fontId="24" fillId="4" borderId="0" xfId="0" applyFont="1" applyFill="1">
      <alignment horizontal="center" vertical="center" wrapText="1"/>
    </xf>
    <xf numFmtId="0" fontId="31" fillId="4" borderId="0" xfId="0" applyFont="1" applyFill="1">
      <alignment vertical="center"/>
    </xf>
    <xf numFmtId="0" fontId="19" fillId="4" borderId="0" xfId="0" applyFont="1" applyFill="1"/>
    <xf numFmtId="0" fontId="19" fillId="4" borderId="0" xfId="0" applyFont="1" applyFill="1">
      <alignment horizontal="center"/>
    </xf>
    <xf numFmtId="0" fontId="19" fillId="4" borderId="0" xfId="0" applyFont="1" applyFill="1">
      <alignment horizontal="left" vertical="top"/>
    </xf>
    <xf numFmtId="0" fontId="23" fillId="4" borderId="0" xfId="0" applyFont="1" applyFill="1"/>
    <xf numFmtId="0" fontId="24" fillId="4" borderId="0" xfId="0" applyFont="1" applyFill="1">
      <alignment vertical="center"/>
    </xf>
    <xf numFmtId="0" fontId="0" fillId="4" borderId="0" xfId="0" applyFont="1" applyFill="1">
      <alignment horizontal="center"/>
    </xf>
    <xf numFmtId="0" fontId="24" fillId="4" borderId="0" xfId="0" applyFont="1" applyFill="1"/>
    <xf numFmtId="0" fontId="24" fillId="4" borderId="0" xfId="0" applyFont="1" applyFill="1">
      <alignment horizontal="center"/>
    </xf>
    <xf numFmtId="0" fontId="19" fillId="4" borderId="0" xfId="0" applyFont="1" applyFill="1">
      <alignment horizontal="left" vertical="top"/>
    </xf>
    <xf numFmtId="0" fontId="26" fillId="4" borderId="0" xfId="0" applyFont="1" applyFill="1"/>
    <xf numFmtId="0" fontId="51" fillId="4" borderId="0" xfId="0" applyFont="1" applyFill="1">
      <alignment horizontal="center"/>
    </xf>
    <xf numFmtId="0" fontId="66" fillId="4" borderId="0" xfId="0" applyFont="1" applyFill="1"/>
    <xf numFmtId="0" fontId="25" fillId="4" borderId="0" xfId="0" applyFont="1" applyFill="1"/>
    <xf numFmtId="0" fontId="51" fillId="43" borderId="0" xfId="0" applyFont="1" applyFill="1">
      <alignment horizontal="center"/>
    </xf>
    <xf numFmtId="0" fontId="24" fillId="4" borderId="0" xfId="0" applyFont="1" applyFill="1">
      <alignment horizontal="center" vertical="center" wrapText="1"/>
    </xf>
    <xf numFmtId="0" fontId="24" fillId="43" borderId="0" xfId="0" applyFont="1" applyFill="1">
      <alignment horizontal="center" vertical="center" wrapText="1"/>
    </xf>
    <xf numFmtId="49" fontId="19" fillId="4" borderId="0" xfId="0" applyFont="1" applyFill="1" applyNumberFormat="1">
      <alignment vertical="top"/>
    </xf>
    <xf numFmtId="0" fontId="0" fillId="43" borderId="0" xfId="0" applyFont="1" applyFill="1">
      <alignment horizontal="center"/>
    </xf>
    <xf numFmtId="49" fontId="24" fillId="4" borderId="0" xfId="0" applyFont="1" applyFill="1" applyNumberFormat="1"/>
    <xf numFmtId="0" fontId="42" fillId="4" borderId="0" xfId="0" applyFont="1" applyFill="1"/>
    <xf numFmtId="0" fontId="19" fillId="4" borderId="0" xfId="0" applyFont="1" applyFill="1">
      <alignment horizontal="center" vertical="center"/>
    </xf>
    <xf numFmtId="0" fontId="31" fillId="4" borderId="0" xfId="0" applyFont="1" applyFill="1">
      <alignment horizontal="left" vertical="center"/>
    </xf>
    <xf numFmtId="0" fontId="24" fillId="4" borderId="0" xfId="0" applyFont="1" applyFill="1">
      <alignment horizontal="left" vertical="center" wrapText="1"/>
    </xf>
    <xf numFmtId="0" fontId="42" fillId="4" borderId="0" xfId="0" applyFont="1" applyFill="1">
      <alignment vertical="center"/>
    </xf>
    <xf numFmtId="0" fontId="42" fillId="43" borderId="0" xfId="0" applyFont="1" applyFill="1">
      <alignment vertical="center"/>
    </xf>
    <xf numFmtId="49" fontId="24" fillId="4" borderId="0" xfId="0" applyFont="1" applyFill="1" applyNumberFormat="1">
      <alignment vertical="center"/>
    </xf>
    <xf numFmtId="0" fontId="19" fillId="4" borderId="0" xfId="0" applyFont="1" applyFill="1">
      <alignment vertical="top"/>
    </xf>
    <xf numFmtId="0" fontId="1" fillId="43" borderId="0" xfId="0" applyFont="1" applyFill="1"/>
    <xf numFmtId="0" fontId="1" fillId="4" borderId="0" xfId="0" applyFont="1" applyFill="1"/>
    <xf numFmtId="0" fontId="24" fillId="4" borderId="0" xfId="0" applyFont="1" applyFill="1">
      <alignment vertical="center"/>
    </xf>
    <xf numFmtId="0" fontId="1" fillId="4" borderId="0" xfId="0" applyFont="1" applyFill="1"/>
    <xf numFmtId="0" fontId="17" fillId="4" borderId="0" xfId="0" applyFont="1" applyFill="1"/>
    <xf numFmtId="0" fontId="35" fillId="4" borderId="0" xfId="0" applyFont="1" applyFill="1">
      <alignment vertical="center"/>
    </xf>
    <xf numFmtId="0" fontId="51" fillId="4" borderId="0" xfId="0" applyFont="1" applyFill="1">
      <alignment horizontal="center" vertical="center"/>
    </xf>
    <xf numFmtId="0" fontId="26" fillId="4" borderId="0" xfId="0" applyFont="1" applyFill="1">
      <alignment vertical="center"/>
    </xf>
    <xf numFmtId="0" fontId="35" fillId="4" borderId="0" xfId="0" applyFont="1" applyFill="1">
      <alignment vertical="center" wrapText="1"/>
    </xf>
    <xf numFmtId="0" fontId="36" fillId="4" borderId="0" xfId="0" applyFont="1" applyFill="1">
      <alignment vertical="center" wrapText="1"/>
    </xf>
    <xf numFmtId="0" fontId="36" fillId="4" borderId="0" xfId="0" applyFont="1" applyFill="1">
      <alignment horizontal="center" vertical="center" wrapText="1"/>
    </xf>
    <xf numFmtId="0" fontId="36" fillId="4" borderId="0" xfId="0" applyFont="1" applyFill="1">
      <alignment vertical="center"/>
    </xf>
    <xf numFmtId="0" fontId="66" fillId="4" borderId="0" xfId="0" applyFont="1" applyFill="1">
      <alignment vertical="center"/>
    </xf>
    <xf numFmtId="0" fontId="66" fillId="43" borderId="0" xfId="0" applyFont="1" applyFill="1">
      <alignment vertical="center"/>
    </xf>
    <xf numFmtId="0" fontId="24" fillId="4" borderId="0" xfId="0" applyFont="1" applyFill="1">
      <alignment horizontal="center" vertical="center"/>
    </xf>
    <xf numFmtId="49" fontId="35" fillId="4" borderId="0" xfId="0" applyFont="1" applyFill="1" applyNumberFormat="1">
      <alignment vertical="center"/>
    </xf>
    <xf numFmtId="0" fontId="31" fillId="4" borderId="0" xfId="0" applyFont="1" applyFill="1">
      <alignment horizontal="left"/>
    </xf>
    <xf numFmtId="0" fontId="24" fillId="4" borderId="0" xfId="0" applyFont="1" applyFill="1">
      <alignment vertical="center"/>
    </xf>
    <xf numFmtId="0" fontId="24" fillId="4" borderId="0" xfId="0" applyFont="1" applyFill="1">
      <alignment vertical="center"/>
    </xf>
    <xf numFmtId="174" fontId="24" fillId="34" borderId="19" xfId="0" applyFont="1" applyFill="1" applyBorder="1" applyNumberFormat="1">
      <alignment horizontal="left" vertical="center" wrapText="1" indent="1"/>
      <protection locked="0"/>
    </xf>
    <xf numFmtId="49" fontId="24" fillId="4" borderId="0" xfId="0" applyFont="1" applyFill="1" applyNumberFormat="1"/>
    <xf numFmtId="49" fontId="19" fillId="0" borderId="0" xfId="0" applyFont="1" applyNumberFormat="1"/>
    <xf numFmtId="0" fontId="19" fillId="39" borderId="0" xfId="0" applyFont="1" applyFill="1"/>
    <xf numFmtId="0" fontId="1" fillId="0" borderId="0" xfId="0" applyFont="1"/>
    <xf numFmtId="49" fontId="19" fillId="0" borderId="0" xfId="0" applyFont="1" applyNumberFormat="1">
      <alignment horizontal="left" vertical="top"/>
    </xf>
    <xf numFmtId="49" fontId="19" fillId="0" borderId="0" xfId="0" applyFont="1" applyNumberFormat="1">
      <alignment horizontal="left" vertical="top"/>
    </xf>
    <xf numFmtId="172" fontId="19" fillId="33" borderId="19" xfId="0" applyFont="1" applyFill="1" applyBorder="1" applyNumberFormat="1">
      <alignment horizontal="right" vertical="center" wrapText="1"/>
    </xf>
    <xf numFmtId="4" fontId="19" fillId="33" borderId="19" xfId="0" applyFont="1" applyFill="1" applyBorder="1" applyNumberFormat="1">
      <alignment horizontal="right" vertical="center" wrapText="1"/>
    </xf>
    <xf numFmtId="4" fontId="19" fillId="0" borderId="0" xfId="0" applyFont="1" applyNumberFormat="1"/>
    <xf numFmtId="49" fontId="67" fillId="0" borderId="0" xfId="0" applyFont="1" applyNumberFormat="1">
      <alignment vertical="top" wrapText="1"/>
    </xf>
    <xf numFmtId="0" fontId="19" fillId="0" borderId="18" xfId="0" applyFont="1" applyBorder="1">
      <alignment horizontal="left" vertical="center" wrapText="1"/>
    </xf>
    <xf numFmtId="0" fontId="19" fillId="0" borderId="19" xfId="0" applyFont="1" applyBorder="1">
      <alignment horizontal="left" vertical="center" wrapText="1"/>
    </xf>
    <xf numFmtId="0" fontId="23" fillId="37" borderId="19" xfId="0" applyFont="1" applyFill="1" applyBorder="1">
      <alignment horizontal="left" vertical="center" wrapText="1"/>
    </xf>
    <xf numFmtId="0" fontId="19" fillId="0" borderId="19" xfId="0" applyFont="1" applyBorder="1">
      <alignment horizontal="left" vertical="center" wrapText="1" indent="1"/>
    </xf>
    <xf numFmtId="4" fontId="19" fillId="33" borderId="18" xfId="0" applyFont="1" applyFill="1" applyBorder="1" applyNumberFormat="1">
      <alignment horizontal="right" vertical="center" wrapText="1"/>
    </xf>
    <xf numFmtId="4" fontId="19" fillId="33" borderId="19" xfId="0" applyFont="1" applyFill="1" applyBorder="1" applyNumberFormat="1">
      <alignment vertical="center"/>
    </xf>
    <xf numFmtId="172" fontId="19" fillId="34" borderId="19" xfId="0" applyFont="1" applyFill="1" applyBorder="1" applyNumberFormat="1">
      <alignment horizontal="right" vertical="center"/>
      <protection locked="0"/>
    </xf>
    <xf numFmtId="172" fontId="19" fillId="33" borderId="19" xfId="0" applyFont="1" applyFill="1" applyBorder="1" applyNumberFormat="1">
      <alignment vertical="center"/>
    </xf>
    <xf numFmtId="4" fontId="19" fillId="34" borderId="19" xfId="0" applyFont="1" applyFill="1" applyBorder="1" applyNumberFormat="1">
      <alignment horizontal="right" vertical="center"/>
      <protection locked="0"/>
    </xf>
    <xf numFmtId="4" fontId="19" fillId="34" borderId="19" xfId="0" applyFont="1" applyFill="1" applyBorder="1" applyNumberFormat="1">
      <alignment vertical="center"/>
      <protection locked="0"/>
    </xf>
    <xf numFmtId="49" fontId="23" fillId="42" borderId="40" xfId="0" applyFont="1" applyFill="1" applyBorder="1" applyNumberFormat="1">
      <alignment horizontal="left" vertical="center" wrapText="1" indent="1"/>
    </xf>
    <xf numFmtId="49" fontId="23" fillId="42" borderId="41" xfId="0" applyFont="1" applyFill="1" applyBorder="1" applyNumberFormat="1">
      <alignment horizontal="left" vertical="center" wrapText="1" indent="1"/>
    </xf>
    <xf numFmtId="0" fontId="19" fillId="43" borderId="44" xfId="0" applyFont="1" applyFill="1" applyBorder="1">
      <alignment horizontal="left" vertical="center" indent="1"/>
    </xf>
    <xf numFmtId="0" fontId="19" fillId="43" borderId="29" xfId="0" applyFont="1" applyFill="1" applyBorder="1">
      <alignment horizontal="left" vertical="center" indent="1"/>
    </xf>
    <xf numFmtId="0" fontId="19" fillId="0" borderId="44" xfId="0" applyFont="1" applyBorder="1">
      <alignment horizontal="left" vertical="center" indent="1"/>
    </xf>
    <xf numFmtId="0" fontId="19" fillId="0" borderId="29" xfId="0" applyFont="1" applyBorder="1">
      <alignment horizontal="left" vertical="center" indent="1"/>
    </xf>
    <xf numFmtId="172" fontId="19" fillId="33" borderId="19" xfId="0" applyFont="1" applyFill="1" applyBorder="1" applyNumberFormat="1">
      <alignment vertical="center"/>
    </xf>
    <xf numFmtId="4" fontId="19" fillId="0" borderId="44" xfId="0" applyFont="1" applyBorder="1" applyNumberFormat="1">
      <alignment horizontal="right" vertical="center"/>
    </xf>
    <xf numFmtId="4" fontId="19" fillId="0" borderId="44" xfId="0" applyFont="1" applyBorder="1" applyNumberFormat="1">
      <alignment vertical="center"/>
    </xf>
    <xf numFmtId="4" fontId="19" fillId="0" borderId="29" xfId="0" applyFont="1" applyBorder="1" applyNumberFormat="1">
      <alignment vertical="center"/>
    </xf>
    <xf numFmtId="0" fontId="19" fillId="0" borderId="0" xfId="0" applyFont="1">
      <alignment vertical="top"/>
    </xf>
    <xf numFmtId="0" fontId="19" fillId="33" borderId="18" xfId="0" applyFont="1" applyFill="1" applyBorder="1">
      <alignment vertical="center"/>
    </xf>
    <xf numFmtId="0" fontId="19" fillId="33" borderId="61" xfId="0" applyFont="1" applyFill="1" applyBorder="1">
      <alignment vertical="center"/>
    </xf>
    <xf numFmtId="0" fontId="19" fillId="0" borderId="18" xfId="0" applyFont="1" applyBorder="1">
      <alignment horizontal="left" vertical="center" wrapText="1" indent="1"/>
    </xf>
    <xf numFmtId="0" fontId="19" fillId="37" borderId="18" xfId="0" applyFont="1" applyFill="1" applyBorder="1">
      <alignment horizontal="left" vertical="center" wrapText="1" indent="1"/>
    </xf>
    <xf numFmtId="172" fontId="19" fillId="33" borderId="18" xfId="0" applyFont="1" applyFill="1" applyBorder="1" applyNumberFormat="1">
      <alignment horizontal="right" vertical="center"/>
    </xf>
    <xf numFmtId="4" fontId="19" fillId="33" borderId="18" xfId="0" applyFont="1" applyFill="1" applyBorder="1" applyNumberFormat="1">
      <alignment horizontal="right" vertical="center"/>
    </xf>
    <xf numFmtId="4" fontId="19" fillId="0" borderId="18" xfId="0" applyFont="1" applyBorder="1" applyNumberFormat="1">
      <alignment horizontal="right" vertical="center"/>
    </xf>
    <xf numFmtId="4" fontId="19" fillId="33" borderId="18" xfId="0" applyFont="1" applyFill="1" applyBorder="1" applyNumberFormat="1">
      <alignment horizontal="right" vertical="center"/>
    </xf>
    <xf numFmtId="49" fontId="19" fillId="0" borderId="19" xfId="0" applyFont="1" applyBorder="1" applyNumberFormat="1">
      <alignment horizontal="left" vertical="center" wrapText="1"/>
    </xf>
    <xf numFmtId="0" fontId="24" fillId="11" borderId="19" xfId="0" applyFont="1" applyFill="1" applyBorder="1">
      <alignment horizontal="center" vertical="center" wrapText="1"/>
    </xf>
    <xf numFmtId="0" fontId="19" fillId="11" borderId="19" xfId="0" applyFont="1" applyFill="1" applyBorder="1">
      <alignment horizontal="center" vertical="center" wrapText="1"/>
    </xf>
    <xf numFmtId="0" fontId="24" fillId="11" borderId="18" xfId="0" applyFont="1" applyFill="1" applyBorder="1">
      <alignment horizontal="center" vertical="center" wrapText="1"/>
    </xf>
    <xf numFmtId="0" fontId="24" fillId="11" borderId="49" xfId="0" applyFont="1" applyFill="1" applyBorder="1">
      <alignment horizontal="center" vertical="center" wrapText="1"/>
    </xf>
    <xf numFmtId="0" fontId="24" fillId="11" borderId="43" xfId="0" applyFont="1" applyFill="1" applyBorder="1">
      <alignment horizontal="center" vertical="center" wrapText="1"/>
    </xf>
    <xf numFmtId="0" fontId="19" fillId="11" borderId="18" xfId="0" applyFont="1" applyFill="1" applyBorder="1">
      <alignment horizontal="center" vertical="center" wrapText="1"/>
    </xf>
    <xf numFmtId="0" fontId="19" fillId="11" borderId="19" xfId="0" applyFont="1" applyFill="1" applyBorder="1">
      <alignment horizontal="center" vertical="center" wrapText="1"/>
    </xf>
    <xf numFmtId="0" fontId="19" fillId="11" borderId="43" xfId="0" applyFont="1" applyFill="1" applyBorder="1">
      <alignment horizontal="center" vertical="center" wrapText="1"/>
    </xf>
    <xf numFmtId="0" fontId="19" fillId="11" borderId="18" xfId="0" applyFont="1" applyFill="1" applyBorder="1">
      <alignment horizontal="center" vertical="center" wrapText="1"/>
    </xf>
    <xf numFmtId="0" fontId="24" fillId="11" borderId="18" xfId="0" applyFont="1" applyFill="1" applyBorder="1">
      <alignment horizontal="center" vertical="center" wrapText="1"/>
    </xf>
    <xf numFmtId="0" fontId="24" fillId="11" borderId="18" xfId="0" applyFont="1" applyFill="1" applyBorder="1">
      <alignment horizontal="center" vertical="center" wrapText="1"/>
    </xf>
    <xf numFmtId="0" fontId="24" fillId="11" borderId="49" xfId="0" applyFont="1" applyFill="1" applyBorder="1">
      <alignment horizontal="center" vertical="center" wrapText="1"/>
    </xf>
    <xf numFmtId="0" fontId="24" fillId="11" borderId="43" xfId="0" applyFont="1" applyFill="1" applyBorder="1">
      <alignment horizontal="center" vertical="center" wrapText="1"/>
    </xf>
    <xf numFmtId="49" fontId="19" fillId="0" borderId="44" xfId="0" applyFont="1" applyBorder="1" applyNumberFormat="1">
      <alignment horizontal="left" vertical="center" wrapText="1" indent="1"/>
    </xf>
    <xf numFmtId="49" fontId="19" fillId="0" borderId="19" xfId="0" applyFont="1" applyBorder="1" applyNumberFormat="1">
      <alignment horizontal="left" vertical="center" wrapText="1" indent="1"/>
    </xf>
    <xf numFmtId="49" fontId="23" fillId="0" borderId="0" xfId="0" applyFont="1" applyNumberFormat="1">
      <alignment vertical="top"/>
    </xf>
    <xf numFmtId="0" fontId="53" fillId="0" borderId="0" xfId="0" applyFont="1">
      <alignment wrapText="1"/>
    </xf>
    <xf numFmtId="49" fontId="56" fillId="0" borderId="0" xfId="0" applyFont="1" applyNumberFormat="1">
      <alignment wrapText="1"/>
    </xf>
    <xf numFmtId="49" fontId="56" fillId="0" borderId="0" xfId="0" applyFont="1" applyNumberFormat="1">
      <alignment vertical="center" wrapText="1"/>
    </xf>
    <xf numFmtId="49" fontId="54" fillId="0" borderId="0" xfId="0" applyFont="1" applyNumberFormat="1">
      <alignment wrapText="1"/>
    </xf>
    <xf numFmtId="49" fontId="56" fillId="0" borderId="0" xfId="0" applyFont="1" applyNumberFormat="1">
      <alignment horizontal="center" wrapText="1"/>
    </xf>
    <xf numFmtId="0" fontId="74" fillId="0" borderId="0" xfId="0" applyFont="1">
      <alignment horizontal="center" vertical="center" wrapText="1"/>
    </xf>
    <xf numFmtId="49" fontId="75" fillId="0" borderId="0" xfId="0" applyFont="1" applyNumberFormat="1">
      <alignment horizontal="center" wrapText="1"/>
    </xf>
    <xf numFmtId="49" fontId="56" fillId="0" borderId="0" xfId="0" applyFont="1" applyNumberFormat="1">
      <alignment horizontal="center" vertical="center" wrapText="1"/>
    </xf>
    <xf numFmtId="49" fontId="76" fillId="0" borderId="0" xfId="0" applyFont="1" applyNumberFormat="1">
      <alignment wrapText="1"/>
    </xf>
    <xf numFmtId="0" fontId="28" fillId="0" borderId="0" xfId="0" applyFont="1">
      <alignment horizontal="left" vertical="center" wrapText="1"/>
    </xf>
    <xf numFmtId="49" fontId="19" fillId="0" borderId="0" xfId="0" applyFont="1" applyNumberFormat="1">
      <alignment vertical="top" wrapText="1"/>
    </xf>
    <xf numFmtId="0" fontId="56" fillId="0" borderId="0" xfId="0" applyFont="1">
      <alignment wrapText="1"/>
    </xf>
    <xf numFmtId="0" fontId="74" fillId="0" borderId="0" xfId="0" applyFont="1">
      <alignment horizontal="left" vertical="center" wrapText="1"/>
    </xf>
    <xf numFmtId="0" fontId="77" fillId="0" borderId="0" xfId="0" applyFont="1">
      <alignment vertical="center" wrapText="1"/>
    </xf>
    <xf numFmtId="0" fontId="56" fillId="0" borderId="51" xfId="0" applyFont="1" applyBorder="1">
      <alignment wrapText="1"/>
    </xf>
    <xf numFmtId="0" fontId="56" fillId="0" borderId="0" xfId="0" applyFont="1"/>
    <xf numFmtId="0" fontId="74" fillId="0" borderId="0" xfId="0" applyFont="1"/>
    <xf numFmtId="0" fontId="58" fillId="0" borderId="0" xfId="0" applyFont="1">
      <alignment wrapText="1"/>
    </xf>
    <xf numFmtId="0" fontId="0" fillId="34" borderId="59" xfId="0" applyFont="1" applyFill="1" applyBorder="1">
      <alignment horizontal="center" vertical="center" wrapText="1"/>
    </xf>
    <xf numFmtId="0" fontId="0" fillId="46" borderId="59" xfId="0" applyFont="1" applyFill="1" applyBorder="1">
      <alignment horizontal="center" vertical="center" wrapText="1"/>
    </xf>
    <xf numFmtId="0" fontId="0" fillId="33" borderId="59" xfId="0" applyFont="1" applyFill="1" applyBorder="1">
      <alignment horizontal="center" vertical="center" wrapText="1"/>
    </xf>
    <xf numFmtId="0" fontId="0" fillId="35" borderId="59" xfId="0" applyFont="1" applyFill="1" applyBorder="1">
      <alignment horizontal="center" vertical="center" wrapText="1"/>
    </xf>
    <xf numFmtId="0" fontId="19" fillId="51" borderId="18" xfId="0" applyFont="1" applyFill="1" applyBorder="1">
      <alignment horizontal="center" vertical="center" wrapText="1"/>
    </xf>
    <xf numFmtId="0" fontId="19" fillId="50" borderId="18" xfId="0" applyFont="1" applyFill="1" applyBorder="1">
      <alignment horizontal="center" vertical="center" wrapText="1"/>
    </xf>
    <xf numFmtId="0" fontId="74" fillId="0" borderId="51" xfId="0" applyFont="1" applyBorder="1">
      <alignment horizontal="left" vertical="center" wrapText="1"/>
    </xf>
    <xf numFmtId="0" fontId="74" fillId="0" borderId="30" xfId="0" applyFont="1" applyBorder="1">
      <alignment horizontal="left" vertical="center" wrapText="1"/>
    </xf>
    <xf numFmtId="0" fontId="58" fillId="0" borderId="0" xfId="0" applyFont="1"/>
    <xf numFmtId="0" fontId="58" fillId="0" borderId="51" xfId="0" applyFont="1" applyBorder="1">
      <alignment wrapText="1"/>
    </xf>
    <xf numFmtId="0" fontId="56" fillId="0" borderId="37" xfId="0" applyFont="1" applyBorder="1">
      <alignment wrapText="1"/>
    </xf>
    <xf numFmtId="0" fontId="56" fillId="0" borderId="38" xfId="0" applyFont="1" applyBorder="1">
      <alignment wrapText="1"/>
    </xf>
    <xf numFmtId="0" fontId="56" fillId="0" borderId="38" xfId="0" applyFont="1" applyBorder="1">
      <alignment vertical="center" wrapText="1"/>
    </xf>
    <xf numFmtId="0" fontId="54" fillId="0" borderId="0" xfId="0" applyFont="1"/>
    <xf numFmtId="49" fontId="20" fillId="0" borderId="0" xfId="0" applyFont="1" applyNumberFormat="1"/>
    <xf numFmtId="0" fontId="19" fillId="51" borderId="19" xfId="0" applyFont="1" applyFill="1" applyBorder="1">
      <alignment horizontal="left" vertical="center" wrapText="1" indent="1"/>
    </xf>
    <xf numFmtId="0" fontId="24" fillId="0" borderId="0" xfId="0" applyFont="1"/>
    <xf numFmtId="0" fontId="24" fillId="0" borderId="0" xfId="0" applyFont="1">
      <alignment horizontal="left"/>
    </xf>
    <xf numFmtId="0" fontId="24" fillId="4" borderId="0" xfId="0" applyFont="1" applyFill="1"/>
    <xf numFmtId="0" fontId="0" fillId="4" borderId="0" xfId="0" applyFont="1" applyFill="1">
      <alignment horizontal="center"/>
    </xf>
    <xf numFmtId="0" fontId="0" fillId="0" borderId="0" xfId="0" applyFont="1">
      <alignment horizontal="center"/>
    </xf>
    <xf numFmtId="0" fontId="24" fillId="43" borderId="0" xfId="0" applyFont="1" applyFill="1"/>
    <xf numFmtId="0" fontId="19" fillId="43" borderId="0" xfId="0" applyFont="1" applyFill="1"/>
    <xf numFmtId="0" fontId="19" fillId="4" borderId="0" xfId="0" applyFont="1" applyFill="1"/>
    <xf numFmtId="0" fontId="19" fillId="0" borderId="0" xfId="0" applyFont="1">
      <alignment vertical="center"/>
    </xf>
    <xf numFmtId="0" fontId="0" fillId="0" borderId="0" xfId="0" applyFont="1">
      <alignment horizontal="center" vertical="center"/>
    </xf>
    <xf numFmtId="0" fontId="24" fillId="4" borderId="0" xfId="0" applyFont="1" applyFill="1">
      <alignment horizontal="center"/>
    </xf>
    <xf numFmtId="0" fontId="19" fillId="0" borderId="0" xfId="0" applyFont="1">
      <alignment vertical="top"/>
    </xf>
    <xf numFmtId="0" fontId="24" fillId="0" borderId="0" xfId="0" applyFont="1">
      <alignment vertical="center" wrapText="1"/>
    </xf>
    <xf numFmtId="49" fontId="19" fillId="4" borderId="0" xfId="0" applyFont="1" applyFill="1" applyNumberFormat="1">
      <alignment vertical="top"/>
    </xf>
    <xf numFmtId="0" fontId="0" fillId="0" borderId="0" xfId="0" applyFont="1">
      <alignment horizontal="center" vertical="center" wrapText="1"/>
    </xf>
    <xf numFmtId="0" fontId="24" fillId="4" borderId="0" xfId="0" applyFont="1" applyFill="1">
      <alignment vertical="center" wrapText="1"/>
    </xf>
    <xf numFmtId="0" fontId="24" fillId="0" borderId="0" xfId="0" applyFont="1">
      <alignment wrapText="1"/>
    </xf>
    <xf numFmtId="49" fontId="19" fillId="0" borderId="0" xfId="50" applyFont="1" applyNumberFormat="1">
      <alignment horizontal="left" vertical="center"/>
    </xf>
    <xf numFmtId="49" fontId="0" fillId="0" borderId="24" xfId="0" applyFont="1" applyBorder="1" applyNumberFormat="1">
      <alignment horizontal="center" vertical="center" wrapText="1"/>
    </xf>
    <xf numFmtId="49" fontId="0" fillId="0" borderId="38" xfId="0" applyFont="1" applyBorder="1" applyNumberFormat="1">
      <alignment horizontal="center" vertical="center" wrapText="1"/>
    </xf>
    <xf numFmtId="3" fontId="0" fillId="0" borderId="24" xfId="0" applyFont="1" applyBorder="1" applyNumberFormat="1">
      <alignment horizontal="center" vertical="center" wrapText="1"/>
    </xf>
    <xf numFmtId="0" fontId="39" fillId="41" borderId="30" xfId="0" applyFont="1" applyFill="1" applyBorder="1">
      <alignment horizontal="left" vertical="center"/>
    </xf>
    <xf numFmtId="0" fontId="39" fillId="41" borderId="24" xfId="0" applyFont="1" applyFill="1" applyBorder="1">
      <alignment horizontal="left" vertical="center"/>
    </xf>
    <xf numFmtId="172" fontId="39" fillId="41" borderId="24" xfId="0" applyFont="1" applyFill="1" applyBorder="1" applyNumberFormat="1">
      <alignment horizontal="right" vertical="center"/>
    </xf>
    <xf numFmtId="49" fontId="52" fillId="0" borderId="0" xfId="0" applyFont="1" applyNumberFormat="1">
      <alignment horizontal="center" vertical="center" wrapText="1"/>
    </xf>
    <xf numFmtId="0" fontId="0" fillId="35" borderId="18" xfId="0" applyFont="1" applyFill="1" applyBorder="1">
      <alignment horizontal="left" vertical="center" wrapText="1"/>
      <protection locked="0"/>
    </xf>
    <xf numFmtId="0" fontId="0" fillId="34" borderId="18" xfId="0" applyFont="1" applyFill="1" applyBorder="1">
      <alignment horizontal="left" vertical="center" wrapText="1"/>
      <protection locked="0"/>
    </xf>
    <xf numFmtId="3" fontId="0" fillId="34" borderId="18" xfId="0" applyFont="1" applyFill="1" applyBorder="1" applyNumberFormat="1">
      <alignment horizontal="left" vertical="center" wrapText="1"/>
      <protection locked="0"/>
    </xf>
    <xf numFmtId="4" fontId="0" fillId="34" borderId="18" xfId="0" applyFont="1" applyFill="1" applyBorder="1" applyNumberFormat="1">
      <alignment horizontal="right" vertical="center" wrapText="1"/>
      <protection locked="0"/>
    </xf>
    <xf numFmtId="0" fontId="0" fillId="34" borderId="18" xfId="0" applyFont="1" applyFill="1" applyBorder="1">
      <alignment horizontal="left" vertical="center" wrapText="1" indent="1"/>
      <protection locked="0"/>
    </xf>
    <xf numFmtId="172" fontId="0" fillId="33" borderId="19" xfId="0" applyFont="1" applyFill="1" applyBorder="1" applyNumberFormat="1">
      <alignment vertical="center" wrapText="1"/>
    </xf>
    <xf numFmtId="172" fontId="0" fillId="34" borderId="18" xfId="0" applyFont="1" applyFill="1" applyBorder="1" applyNumberFormat="1">
      <alignment horizontal="right" vertical="center" wrapText="1"/>
      <protection locked="0"/>
    </xf>
    <xf numFmtId="172" fontId="0" fillId="34" borderId="19" xfId="0" applyFont="1" applyFill="1" applyBorder="1" applyNumberFormat="1">
      <alignment vertical="center" wrapText="1"/>
      <protection locked="0"/>
    </xf>
    <xf numFmtId="49" fontId="0" fillId="34" borderId="18" xfId="0" applyFont="1" applyFill="1" applyBorder="1" applyNumberFormat="1">
      <alignment horizontal="left" vertical="center" wrapText="1"/>
      <protection locked="0"/>
    </xf>
    <xf numFmtId="49" fontId="40" fillId="42" borderId="37" xfId="0" applyFont="1" applyFill="1" applyBorder="1" applyNumberFormat="1">
      <alignment vertical="center"/>
    </xf>
    <xf numFmtId="49" fontId="40" fillId="42" borderId="38" xfId="0" applyFont="1" applyFill="1" applyBorder="1" applyNumberFormat="1">
      <alignment vertical="center"/>
    </xf>
    <xf numFmtId="49" fontId="40" fillId="42" borderId="62" xfId="0" applyFont="1" applyFill="1" applyBorder="1" applyNumberFormat="1">
      <alignment vertical="center"/>
    </xf>
    <xf numFmtId="0" fontId="19" fillId="0" borderId="0" xfId="0" applyFont="1">
      <alignment vertical="top"/>
    </xf>
    <xf numFmtId="0" fontId="24" fillId="0" borderId="0" xfId="0" applyFont="1">
      <alignment wrapText="1"/>
    </xf>
    <xf numFmtId="49" fontId="52" fillId="0" borderId="0" xfId="0" applyFont="1" applyNumberFormat="1">
      <alignment horizontal="center" vertical="center" wrapText="1"/>
    </xf>
    <xf numFmtId="4" fontId="23" fillId="34" borderId="18" xfId="0" applyFont="1" applyFill="1" applyBorder="1" applyNumberFormat="1">
      <alignment horizontal="right" vertical="center"/>
      <protection locked="0"/>
    </xf>
    <xf numFmtId="0" fontId="0" fillId="25" borderId="0" xfId="0" applyFont="1" applyFill="1">
      <alignment horizontal="center"/>
    </xf>
    <xf numFmtId="49" fontId="19" fillId="4" borderId="0" xfId="0" applyFont="1" applyFill="1" applyNumberFormat="1">
      <alignment vertical="top"/>
    </xf>
    <xf numFmtId="0" fontId="19" fillId="43" borderId="0" xfId="0" applyFont="1" applyFill="1">
      <alignment vertical="top"/>
    </xf>
    <xf numFmtId="49" fontId="19" fillId="43" borderId="0" xfId="0" applyFont="1" applyFill="1" applyNumberFormat="1">
      <alignment vertical="top"/>
    </xf>
    <xf numFmtId="0" fontId="19" fillId="4" borderId="0" xfId="0" applyFont="1" applyFill="1">
      <alignment vertical="top"/>
    </xf>
    <xf numFmtId="0" fontId="0" fillId="0" borderId="0" xfId="0" applyFont="1">
      <alignment horizontal="center"/>
    </xf>
    <xf numFmtId="0" fontId="39" fillId="41" borderId="36" xfId="0" applyFont="1" applyFill="1" applyBorder="1">
      <alignment horizontal="left" vertical="center"/>
    </xf>
    <xf numFmtId="49" fontId="39" fillId="41" borderId="24" xfId="0" applyFont="1" applyFill="1" applyBorder="1" applyNumberFormat="1">
      <alignment horizontal="left" vertical="center" wrapText="1"/>
    </xf>
    <xf numFmtId="49" fontId="39" fillId="41" borderId="35" xfId="0" applyFont="1" applyFill="1" applyBorder="1" applyNumberFormat="1">
      <alignment horizontal="left" vertical="center" wrapText="1"/>
    </xf>
    <xf numFmtId="49" fontId="19" fillId="0" borderId="19" xfId="0" applyFont="1" applyBorder="1" applyNumberFormat="1">
      <alignment horizontal="center" vertical="center" wrapText="1"/>
    </xf>
    <xf numFmtId="49" fontId="19" fillId="0" borderId="19" xfId="0" applyFont="1" applyBorder="1" applyNumberFormat="1">
      <alignment horizontal="left" vertical="center" wrapText="1"/>
    </xf>
    <xf numFmtId="4" fontId="19" fillId="33" borderId="19" xfId="0" applyFont="1" applyFill="1" applyBorder="1" applyNumberFormat="1">
      <alignment horizontal="right" vertical="center" wrapText="1"/>
    </xf>
    <xf numFmtId="49" fontId="19" fillId="0" borderId="52" xfId="0" applyFont="1" applyBorder="1" applyNumberFormat="1">
      <alignment horizontal="center" vertical="center" wrapText="1"/>
    </xf>
    <xf numFmtId="49" fontId="19" fillId="0" borderId="52" xfId="0" applyFont="1" applyBorder="1" applyNumberFormat="1">
      <alignment horizontal="left" vertical="center" wrapText="1" indent="1"/>
    </xf>
    <xf numFmtId="4" fontId="19" fillId="34" borderId="52" xfId="0" applyFont="1" applyFill="1" applyBorder="1" applyNumberFormat="1">
      <alignment horizontal="right" vertical="center" wrapText="1"/>
      <protection locked="0"/>
    </xf>
    <xf numFmtId="172" fontId="19" fillId="33" borderId="19" xfId="0" applyFont="1" applyFill="1" applyBorder="1" applyNumberFormat="1">
      <alignment horizontal="right" vertical="center" wrapText="1"/>
    </xf>
    <xf numFmtId="1" fontId="23" fillId="0" borderId="19" xfId="0" applyFont="1" applyBorder="1" applyNumberFormat="1">
      <alignment horizontal="center" vertical="center" wrapText="1"/>
    </xf>
    <xf numFmtId="49" fontId="23" fillId="0" borderId="19" xfId="0" applyFont="1" applyBorder="1" applyNumberFormat="1">
      <alignment horizontal="left" vertical="center" wrapText="1"/>
    </xf>
    <xf numFmtId="49" fontId="23" fillId="0" borderId="19" xfId="0" applyFont="1" applyBorder="1" applyNumberFormat="1">
      <alignment horizontal="center" vertical="center" wrapText="1"/>
    </xf>
    <xf numFmtId="4" fontId="23" fillId="33" borderId="19" xfId="0" applyFont="1" applyFill="1" applyBorder="1" applyNumberFormat="1">
      <alignment horizontal="right" vertical="center" wrapText="1"/>
    </xf>
    <xf numFmtId="1" fontId="19" fillId="0" borderId="19" xfId="0" applyFont="1" applyBorder="1" applyNumberFormat="1">
      <alignment horizontal="center" vertical="center" wrapText="1"/>
    </xf>
    <xf numFmtId="4" fontId="19" fillId="34" borderId="19" xfId="0" applyFont="1" applyFill="1" applyBorder="1" applyNumberFormat="1">
      <alignment horizontal="right" vertical="center" wrapText="1"/>
      <protection locked="0"/>
    </xf>
    <xf numFmtId="0" fontId="19" fillId="0" borderId="0" xfId="0" applyFont="1"/>
    <xf numFmtId="0" fontId="19" fillId="0" borderId="18" xfId="0" applyFont="1" applyBorder="1">
      <alignment horizontal="center" vertical="center"/>
    </xf>
    <xf numFmtId="49" fontId="0" fillId="0" borderId="0" xfId="0" applyFont="1" applyNumberFormat="1">
      <alignment horizontal="center" vertical="top"/>
    </xf>
    <xf numFmtId="49" fontId="19" fillId="43" borderId="0" xfId="0" applyFont="1" applyFill="1" applyNumberFormat="1">
      <alignment vertical="top"/>
    </xf>
    <xf numFmtId="0" fontId="0" fillId="25" borderId="0" xfId="0" applyFont="1" applyFill="1">
      <alignment horizontal="center" vertical="center"/>
    </xf>
    <xf numFmtId="0" fontId="24" fillId="4" borderId="0" xfId="0" applyFont="1" applyFill="1"/>
    <xf numFmtId="0" fontId="39" fillId="41" borderId="30" xfId="0" applyFont="1" applyFill="1" applyBorder="1">
      <alignment horizontal="left" vertical="center"/>
    </xf>
    <xf numFmtId="0" fontId="52" fillId="0" borderId="0" xfId="0" applyFont="1">
      <alignment horizontal="center" vertical="center" wrapText="1"/>
    </xf>
    <xf numFmtId="49" fontId="23" fillId="42" borderId="36" xfId="0" applyFont="1" applyFill="1" applyBorder="1" applyNumberFormat="1">
      <alignment horizontal="left" vertical="center" wrapText="1" indent="1"/>
    </xf>
    <xf numFmtId="49" fontId="40" fillId="42" borderId="26" xfId="0" applyFont="1" applyFill="1" applyBorder="1" applyNumberFormat="1">
      <alignment horizontal="left" vertical="center" indent="1"/>
    </xf>
    <xf numFmtId="49" fontId="23" fillId="42" borderId="24" xfId="0" applyFont="1" applyFill="1" applyBorder="1" applyNumberFormat="1">
      <alignment horizontal="left" vertical="center" wrapText="1" indent="1"/>
    </xf>
    <xf numFmtId="49" fontId="23" fillId="42" borderId="35" xfId="0" applyFont="1" applyFill="1" applyBorder="1" applyNumberFormat="1">
      <alignment horizontal="left" vertical="center" wrapText="1" indent="1"/>
    </xf>
    <xf numFmtId="0" fontId="66" fillId="0" borderId="0" xfId="0" applyFont="1">
      <alignment vertical="center"/>
    </xf>
    <xf numFmtId="4" fontId="23" fillId="34" borderId="18" xfId="0" applyFont="1" applyFill="1" applyBorder="1" applyNumberFormat="1">
      <alignment horizontal="right" vertical="center"/>
      <protection locked="0"/>
    </xf>
    <xf numFmtId="0" fontId="24" fillId="0" borderId="0" xfId="0" applyFont="1">
      <alignment vertical="top" wrapText="1"/>
    </xf>
    <xf numFmtId="0" fontId="38" fillId="0" borderId="0" xfId="0" applyFont="1">
      <alignment horizontal="center" vertical="center" wrapText="1"/>
    </xf>
    <xf numFmtId="4" fontId="23" fillId="34" borderId="18" xfId="0" applyFont="1" applyFill="1" applyBorder="1" applyNumberFormat="1">
      <alignment horizontal="right" vertical="center"/>
    </xf>
    <xf numFmtId="49" fontId="19" fillId="34" borderId="19" xfId="0" applyFont="1" applyFill="1" applyBorder="1" applyNumberFormat="1">
      <alignment horizontal="left" vertical="center" wrapText="1"/>
    </xf>
    <xf numFmtId="172" fontId="19" fillId="34" borderId="18" xfId="0" applyFont="1" applyFill="1" applyBorder="1" applyNumberFormat="1">
      <alignment horizontal="right" vertical="center"/>
    </xf>
    <xf numFmtId="49" fontId="23" fillId="34" borderId="19" xfId="0" applyFont="1" applyFill="1" applyBorder="1" applyNumberFormat="1">
      <alignment horizontal="left" vertical="center" wrapText="1"/>
    </xf>
    <xf numFmtId="4" fontId="19" fillId="34" borderId="18" xfId="0" applyFont="1" applyFill="1" applyBorder="1" applyNumberFormat="1">
      <alignment horizontal="right" vertical="center"/>
    </xf>
    <xf numFmtId="0" fontId="19" fillId="34" borderId="19" xfId="0" applyFont="1" applyFill="1" applyBorder="1">
      <alignment horizontal="left" vertical="center" wrapText="1"/>
    </xf>
    <xf numFmtId="0" fontId="19" fillId="35" borderId="18" xfId="0" applyFont="1" applyFill="1" applyBorder="1">
      <alignment horizontal="left" vertical="center" wrapText="1" indent="1"/>
    </xf>
    <xf numFmtId="4" fontId="19" fillId="34" borderId="18" xfId="0" applyFont="1" applyFill="1" applyBorder="1" applyNumberFormat="1">
      <alignment horizontal="right" vertical="center" wrapText="1"/>
    </xf>
    <xf numFmtId="0" fontId="19" fillId="34" borderId="19" xfId="0" applyFont="1" applyFill="1" applyBorder="1">
      <alignment horizontal="left" vertical="center" wrapText="1"/>
    </xf>
    <xf numFmtId="4" fontId="23" fillId="34" borderId="18" xfId="0" applyFont="1" applyFill="1" applyBorder="1" applyNumberFormat="1">
      <alignment horizontal="right" vertical="center"/>
    </xf>
    <xf numFmtId="49" fontId="23" fillId="34" borderId="19" xfId="0" applyFont="1" applyFill="1" applyBorder="1" applyNumberFormat="1">
      <alignment horizontal="left" vertical="center" wrapText="1"/>
    </xf>
    <xf numFmtId="4" fontId="19" fillId="34" borderId="18" xfId="0" applyFont="1" applyFill="1" applyBorder="1" applyNumberFormat="1">
      <alignment horizontal="right" vertical="center"/>
    </xf>
    <xf numFmtId="49" fontId="19" fillId="34" borderId="19" xfId="0" applyFont="1" applyFill="1" applyBorder="1" applyNumberFormat="1">
      <alignment horizontal="left" vertical="center" wrapText="1"/>
    </xf>
    <xf numFmtId="4" fontId="23" fillId="34" borderId="18" xfId="0" applyFont="1" applyFill="1" applyBorder="1" applyNumberFormat="1">
      <alignment horizontal="right" vertical="center"/>
    </xf>
    <xf numFmtId="49" fontId="19" fillId="34" borderId="19" xfId="0" applyFont="1" applyFill="1" applyBorder="1" applyNumberFormat="1">
      <alignment horizontal="left" vertical="center" wrapText="1"/>
    </xf>
    <xf numFmtId="172" fontId="19" fillId="34" borderId="18" xfId="0" applyFont="1" applyFill="1" applyBorder="1" applyNumberFormat="1">
      <alignment horizontal="right" vertical="center"/>
    </xf>
    <xf numFmtId="4" fontId="19" fillId="34" borderId="18" xfId="0" applyFont="1" applyFill="1" applyBorder="1" applyNumberFormat="1">
      <alignment horizontal="right" vertical="center"/>
    </xf>
    <xf numFmtId="0" fontId="19" fillId="34" borderId="19" xfId="0" applyFont="1" applyFill="1" applyBorder="1">
      <alignment horizontal="left" vertical="center" wrapText="1"/>
    </xf>
    <xf numFmtId="4" fontId="19" fillId="34" borderId="18" xfId="0" applyFont="1" applyFill="1" applyBorder="1" applyNumberFormat="1">
      <alignment horizontal="right" vertical="center"/>
    </xf>
    <xf numFmtId="49" fontId="19" fillId="34" borderId="19" xfId="0" applyFont="1" applyFill="1" applyBorder="1" applyNumberFormat="1">
      <alignment horizontal="left" vertical="center" wrapText="1"/>
    </xf>
    <xf numFmtId="4" fontId="19" fillId="34" borderId="18" xfId="0" applyFont="1" applyFill="1" applyBorder="1" applyNumberFormat="1">
      <alignment horizontal="right" vertical="center" wrapText="1"/>
    </xf>
    <xf numFmtId="4" fontId="19" fillId="34" borderId="18" xfId="0" applyFont="1" applyFill="1" applyBorder="1" applyNumberFormat="1">
      <alignment horizontal="right" vertical="center" wrapText="1"/>
    </xf>
    <xf numFmtId="0" fontId="19" fillId="34" borderId="19" xfId="0" applyFont="1" applyFill="1" applyBorder="1">
      <alignment horizontal="left" vertical="center" wrapText="1"/>
    </xf>
    <xf numFmtId="172" fontId="19" fillId="34" borderId="18" xfId="0" applyFont="1" applyFill="1" applyBorder="1" applyNumberFormat="1">
      <alignment horizontal="right" vertical="center"/>
    </xf>
    <xf numFmtId="172" fontId="19" fillId="34" borderId="18" xfId="0" applyFont="1" applyFill="1" applyBorder="1" applyNumberFormat="1">
      <alignment horizontal="right" vertical="center"/>
    </xf>
    <xf numFmtId="4" fontId="19" fillId="34" borderId="18" xfId="0" applyFont="1" applyFill="1" applyBorder="1" applyNumberFormat="1">
      <alignment horizontal="right" vertical="center"/>
    </xf>
    <xf numFmtId="4" fontId="23" fillId="34" borderId="18" xfId="0" applyFont="1" applyFill="1" applyBorder="1" applyNumberFormat="1">
      <alignment horizontal="right" vertical="center"/>
    </xf>
    <xf numFmtId="172" fontId="19" fillId="34" borderId="28" xfId="0" applyFont="1" applyFill="1" applyBorder="1" applyNumberFormat="1">
      <alignment horizontal="right" vertical="center"/>
      <protection locked="0"/>
    </xf>
    <xf numFmtId="0" fontId="0" fillId="25" borderId="0" xfId="0" applyFont="1" applyFill="1">
      <alignment horizontal="center" vertical="center"/>
    </xf>
    <xf numFmtId="4" fontId="39" fillId="41" borderId="35" xfId="0" applyFont="1" applyFill="1" applyBorder="1" applyNumberFormat="1">
      <alignment horizontal="right" vertical="center" wrapText="1"/>
    </xf>
    <xf numFmtId="0" fontId="23" fillId="0" borderId="19" xfId="0" applyFont="1" applyBorder="1">
      <alignment horizontal="center" vertical="center" wrapText="1" shrinkToFit="1"/>
    </xf>
    <xf numFmtId="49" fontId="23" fillId="0" borderId="19" xfId="0" applyFont="1" applyBorder="1" applyNumberFormat="1">
      <alignment horizontal="left" vertical="center" wrapText="1" shrinkToFit="1"/>
    </xf>
    <xf numFmtId="49" fontId="23" fillId="0" borderId="43" xfId="0" applyFont="1" applyBorder="1" applyNumberFormat="1">
      <alignment horizontal="center" vertical="center" wrapText="1" shrinkToFit="1"/>
    </xf>
    <xf numFmtId="0" fontId="19" fillId="0" borderId="19" xfId="0" applyFont="1" applyBorder="1">
      <alignment horizontal="center" vertical="center" wrapText="1" shrinkToFit="1"/>
    </xf>
    <xf numFmtId="49" fontId="19" fillId="0" borderId="19" xfId="0" applyFont="1" applyBorder="1" applyNumberFormat="1">
      <alignment horizontal="left" vertical="center" wrapText="1" shrinkToFit="1" indent="1"/>
    </xf>
    <xf numFmtId="49" fontId="19" fillId="0" borderId="43" xfId="0" applyFont="1" applyBorder="1" applyNumberFormat="1">
      <alignment horizontal="center" vertical="center" wrapText="1" shrinkToFit="1"/>
    </xf>
    <xf numFmtId="49" fontId="19" fillId="0" borderId="19" xfId="0" applyFont="1" applyBorder="1" applyNumberFormat="1">
      <alignment horizontal="left" vertical="center" wrapText="1" shrinkToFit="1" indent="2"/>
    </xf>
    <xf numFmtId="49" fontId="19" fillId="0" borderId="19" xfId="0" applyFont="1" applyBorder="1" applyNumberFormat="1">
      <alignment horizontal="left" vertical="center" wrapText="1" shrinkToFit="1" indent="3"/>
    </xf>
    <xf numFmtId="49" fontId="19" fillId="0" borderId="19" xfId="0" applyFont="1" applyBorder="1" applyNumberFormat="1">
      <alignment horizontal="left" vertical="center" wrapText="1" shrinkToFit="1" indent="4"/>
    </xf>
    <xf numFmtId="0" fontId="52" fillId="0" borderId="0" xfId="0" applyFont="1">
      <alignment horizontal="center" vertical="center" wrapText="1"/>
    </xf>
    <xf numFmtId="49" fontId="19" fillId="35" borderId="19" xfId="0" applyFont="1" applyFill="1" applyBorder="1" applyNumberFormat="1">
      <alignment horizontal="left" vertical="center" wrapText="1" shrinkToFit="1" indent="1"/>
      <protection locked="0"/>
    </xf>
    <xf numFmtId="0" fontId="35" fillId="0" borderId="0" xfId="0" applyFont="1">
      <alignment vertical="center"/>
    </xf>
    <xf numFmtId="0" fontId="19" fillId="42" borderId="43" xfId="0" applyFont="1" applyFill="1" applyBorder="1">
      <alignment horizontal="center" vertical="center" wrapText="1" shrinkToFit="1"/>
    </xf>
    <xf numFmtId="49" fontId="40" fillId="42" borderId="38" xfId="0" applyFont="1" applyFill="1" applyBorder="1" applyNumberFormat="1">
      <alignment horizontal="left" vertical="center" indent="2"/>
    </xf>
    <xf numFmtId="49" fontId="19" fillId="42" borderId="44" xfId="0" applyFont="1" applyFill="1" applyBorder="1" applyNumberFormat="1">
      <alignment horizontal="center" vertical="center" wrapText="1" shrinkToFit="1"/>
    </xf>
    <xf numFmtId="49" fontId="23" fillId="0" borderId="19" xfId="0" applyFont="1" applyBorder="1" applyNumberFormat="1">
      <alignment horizontal="left" vertical="center" wrapText="1" shrinkToFit="1" indent="2"/>
    </xf>
    <xf numFmtId="49" fontId="19" fillId="0" borderId="0" xfId="0" applyFont="1" applyNumberFormat="1">
      <alignment vertical="top"/>
    </xf>
    <xf numFmtId="0" fontId="19" fillId="0" borderId="19" xfId="0" applyFont="1" applyBorder="1">
      <alignment horizontal="left" vertical="center" wrapText="1" shrinkToFit="1" indent="1"/>
    </xf>
    <xf numFmtId="0" fontId="24" fillId="0" borderId="0" xfId="0" applyFont="1">
      <alignment vertical="top" wrapText="1"/>
    </xf>
    <xf numFmtId="0" fontId="23" fillId="0" borderId="0" xfId="0" applyFont="1">
      <alignment horizontal="center" vertical="center" wrapText="1" shrinkToFit="1"/>
    </xf>
    <xf numFmtId="49" fontId="23" fillId="0" borderId="0" xfId="0" applyFont="1" applyNumberFormat="1">
      <alignment horizontal="left" vertical="center" wrapText="1" shrinkToFit="1"/>
    </xf>
    <xf numFmtId="49" fontId="23" fillId="0" borderId="0" xfId="0" applyFont="1" applyNumberFormat="1">
      <alignment horizontal="center" vertical="center" wrapText="1" shrinkToFit="1"/>
    </xf>
    <xf numFmtId="0" fontId="19" fillId="0" borderId="0" xfId="0" applyFont="1">
      <alignment vertical="top"/>
    </xf>
    <xf numFmtId="0" fontId="19" fillId="4" borderId="0" xfId="0" applyFont="1" applyFill="1">
      <alignment vertical="top"/>
    </xf>
    <xf numFmtId="0" fontId="19" fillId="43" borderId="0" xfId="0" applyFont="1" applyFill="1">
      <alignment vertical="top"/>
    </xf>
    <xf numFmtId="0" fontId="52" fillId="0" borderId="0" xfId="0" applyFont="1">
      <alignment horizontal="center" vertical="center" wrapText="1"/>
    </xf>
    <xf numFmtId="0" fontId="19" fillId="41" borderId="24" xfId="0" applyFont="1" applyFill="1" applyBorder="1">
      <alignment horizontal="left" vertical="center"/>
    </xf>
    <xf numFmtId="49" fontId="19" fillId="41" borderId="24" xfId="0" applyFont="1" applyFill="1" applyBorder="1" applyNumberFormat="1">
      <alignment horizontal="left" vertical="center" wrapText="1"/>
    </xf>
    <xf numFmtId="49" fontId="19" fillId="41" borderId="35" xfId="0" applyFont="1" applyFill="1" applyBorder="1" applyNumberFormat="1">
      <alignment horizontal="left" vertical="center" wrapText="1"/>
    </xf>
    <xf numFmtId="0" fontId="19" fillId="0" borderId="19" xfId="0" applyFont="1" applyBorder="1">
      <alignment horizontal="left" vertical="center" wrapText="1" shrinkToFit="1" indent="2"/>
    </xf>
    <xf numFmtId="49" fontId="19" fillId="0" borderId="19" xfId="0" applyFont="1" applyBorder="1" applyNumberFormat="1">
      <alignment horizontal="left" vertical="center" wrapText="1" shrinkToFit="1"/>
    </xf>
    <xf numFmtId="49" fontId="19" fillId="0" borderId="44" xfId="0" applyFont="1" applyBorder="1" applyNumberFormat="1">
      <alignment horizontal="left" vertical="center" wrapText="1" shrinkToFit="1" indent="1"/>
    </xf>
    <xf numFmtId="49" fontId="23" fillId="0" borderId="44" xfId="0" applyFont="1" applyBorder="1" applyNumberFormat="1">
      <alignment vertical="center" wrapText="1"/>
    </xf>
    <xf numFmtId="0" fontId="26" fillId="0" borderId="0" xfId="0" applyFont="1">
      <alignment vertical="center"/>
    </xf>
    <xf numFmtId="49" fontId="19" fillId="0" borderId="44" xfId="0" applyFont="1" applyBorder="1" applyNumberFormat="1">
      <alignment horizontal="left" vertical="center" wrapText="1" indent="1"/>
    </xf>
    <xf numFmtId="172" fontId="19" fillId="34" borderId="19" xfId="0" applyFont="1" applyFill="1" applyBorder="1" applyNumberFormat="1">
      <alignment horizontal="right" vertical="center" wrapText="1"/>
      <protection locked="0"/>
    </xf>
    <xf numFmtId="49" fontId="19" fillId="0" borderId="19" xfId="0" applyFont="1" applyBorder="1" applyNumberFormat="1">
      <alignment horizontal="left" vertical="center" wrapText="1" indent="1"/>
    </xf>
    <xf numFmtId="0" fontId="52" fillId="0" borderId="0" xfId="0" applyFont="1">
      <alignment horizontal="center" vertical="center" wrapText="1"/>
    </xf>
    <xf numFmtId="0" fontId="1" fillId="0" borderId="0" xfId="0" applyFont="1"/>
    <xf numFmtId="0" fontId="53" fillId="0" borderId="0" xfId="0" applyFont="1">
      <alignment wrapText="1"/>
    </xf>
    <xf numFmtId="0" fontId="19" fillId="0" borderId="0" xfId="0" applyFont="1">
      <alignment horizontal="left" vertical="center"/>
    </xf>
    <xf numFmtId="0" fontId="24" fillId="0" borderId="0" xfId="0" applyFont="1">
      <alignment wrapText="1"/>
    </xf>
    <xf numFmtId="0" fontId="24" fillId="0" borderId="0" xfId="0" applyFont="1">
      <alignment vertical="center"/>
    </xf>
    <xf numFmtId="0" fontId="24" fillId="43" borderId="0" xfId="0" applyFont="1" applyFill="1">
      <alignment vertical="center"/>
    </xf>
    <xf numFmtId="0" fontId="24" fillId="4" borderId="0" xfId="0" applyFont="1" applyFill="1">
      <alignment vertical="center"/>
    </xf>
    <xf numFmtId="0" fontId="24" fillId="0" borderId="0" xfId="0" applyFont="1"/>
    <xf numFmtId="49" fontId="42" fillId="0" borderId="20" xfId="0" applyFont="1" applyBorder="1" applyNumberFormat="1" quotePrefix="1">
      <alignment horizontal="left" vertical="center" indent="1"/>
    </xf>
    <xf numFmtId="49" fontId="42" fillId="0" borderId="20" xfId="0" applyFont="1" applyBorder="1" applyNumberFormat="1">
      <alignment vertical="center" wrapText="1"/>
    </xf>
    <xf numFmtId="49" fontId="42" fillId="0" borderId="20" xfId="0" applyFont="1" applyBorder="1" applyNumberFormat="1">
      <alignment horizontal="center" vertical="center" wrapText="1"/>
    </xf>
    <xf numFmtId="0" fontId="1" fillId="0" borderId="20" xfId="0" applyFont="1" applyBorder="1"/>
    <xf numFmtId="0" fontId="31" fillId="0" borderId="0" xfId="0" applyFont="1">
      <alignment vertical="center"/>
    </xf>
    <xf numFmtId="49" fontId="40" fillId="42" borderId="38" xfId="0" applyFont="1" applyFill="1" applyBorder="1" applyNumberFormat="1">
      <alignment vertical="center"/>
    </xf>
    <xf numFmtId="49" fontId="38" fillId="0" borderId="0" xfId="0" applyFont="1" applyNumberFormat="1">
      <alignment horizontal="center" vertical="center" wrapText="1"/>
    </xf>
    <xf numFmtId="49" fontId="40" fillId="42" borderId="36" xfId="0" applyFont="1" applyFill="1" applyBorder="1" applyNumberFormat="1">
      <alignment vertical="center"/>
    </xf>
    <xf numFmtId="49" fontId="40" fillId="42" borderId="24" xfId="0" applyFont="1" applyFill="1" applyBorder="1" applyNumberFormat="1">
      <alignment vertical="center"/>
    </xf>
    <xf numFmtId="0" fontId="24" fillId="42" borderId="24" xfId="0" applyFont="1" applyFill="1" applyBorder="1">
      <alignment vertical="center" wrapText="1"/>
    </xf>
    <xf numFmtId="0" fontId="24" fillId="42" borderId="24" xfId="0" applyFont="1" applyFill="1" applyBorder="1">
      <alignment vertical="center"/>
    </xf>
    <xf numFmtId="0" fontId="24" fillId="42" borderId="35" xfId="0" applyFont="1" applyFill="1" applyBorder="1">
      <alignment vertical="center"/>
    </xf>
    <xf numFmtId="0" fontId="24" fillId="11" borderId="43" xfId="0" applyFont="1" applyFill="1" applyBorder="1">
      <alignment horizontal="center" vertical="center" wrapText="1"/>
    </xf>
    <xf numFmtId="0" fontId="24" fillId="0" borderId="0" xfId="0" applyFont="1">
      <alignment horizontal="center" vertical="center" wrapText="1"/>
    </xf>
    <xf numFmtId="0" fontId="24" fillId="0" borderId="0" xfId="0" applyFont="1">
      <alignment horizontal="left" vertical="center"/>
    </xf>
    <xf numFmtId="0" fontId="42" fillId="0" borderId="0" xfId="0" applyFont="1">
      <alignment horizontal="left" vertical="center"/>
    </xf>
    <xf numFmtId="0" fontId="52" fillId="0" borderId="58" xfId="0" applyFont="1" applyBorder="1">
      <alignment horizontal="center" vertical="center" wrapText="1"/>
    </xf>
    <xf numFmtId="49" fontId="40" fillId="42" borderId="36" xfId="0" applyFont="1" applyFill="1" applyBorder="1" applyNumberFormat="1">
      <alignment vertical="center"/>
    </xf>
    <xf numFmtId="49" fontId="40" fillId="42" borderId="24" xfId="0" applyFont="1" applyFill="1" applyBorder="1" applyNumberFormat="1">
      <alignment vertical="center"/>
    </xf>
    <xf numFmtId="0" fontId="24" fillId="42" borderId="24" xfId="0" applyFont="1" applyFill="1" applyBorder="1">
      <alignment vertical="center" wrapText="1"/>
    </xf>
    <xf numFmtId="0" fontId="24" fillId="42" borderId="24" xfId="0" applyFont="1" applyFill="1" applyBorder="1">
      <alignment vertical="center"/>
    </xf>
    <xf numFmtId="0" fontId="24" fillId="42" borderId="35" xfId="0" applyFont="1" applyFill="1" applyBorder="1">
      <alignment vertical="center"/>
    </xf>
    <xf numFmtId="0" fontId="24" fillId="0" borderId="13" xfId="0" applyFont="1" applyBorder="1">
      <alignment horizontal="center" vertical="center" wrapText="1"/>
    </xf>
    <xf numFmtId="4" fontId="24" fillId="33" borderId="18" xfId="0" applyFont="1" applyFill="1" applyBorder="1" applyNumberFormat="1">
      <alignment horizontal="right" vertical="center" wrapText="1"/>
    </xf>
    <xf numFmtId="4" fontId="24" fillId="34" borderId="18" xfId="0" applyFont="1" applyFill="1" applyBorder="1" applyNumberFormat="1">
      <alignment horizontal="right" vertical="center" wrapText="1"/>
      <protection locked="0"/>
    </xf>
    <xf numFmtId="4" fontId="24" fillId="42" borderId="35" xfId="0" applyFont="1" applyFill="1" applyBorder="1" applyNumberFormat="1">
      <alignment horizontal="right" vertical="center" wrapText="1"/>
    </xf>
    <xf numFmtId="49" fontId="40" fillId="42" borderId="38" xfId="0" applyFont="1" applyFill="1" applyBorder="1" applyNumberFormat="1">
      <alignment horizontal="left" vertical="center" indent="2"/>
    </xf>
    <xf numFmtId="4" fontId="42" fillId="34" borderId="18" xfId="0" applyFont="1" applyFill="1" applyBorder="1" applyNumberFormat="1">
      <alignment horizontal="right" vertical="center" wrapText="1"/>
      <protection locked="0"/>
    </xf>
    <xf numFmtId="4" fontId="42" fillId="0" borderId="24" xfId="0" applyFont="1" applyBorder="1" applyNumberFormat="1">
      <alignment horizontal="right" vertical="center" wrapText="1"/>
    </xf>
    <xf numFmtId="0" fontId="31" fillId="0" borderId="0" xfId="0" applyFont="1">
      <alignment horizontal="left" vertical="center"/>
    </xf>
    <xf numFmtId="0" fontId="19" fillId="43" borderId="0" xfId="0" applyFont="1" applyFill="1">
      <alignment vertical="center"/>
    </xf>
    <xf numFmtId="0" fontId="19" fillId="0" borderId="0" xfId="0" applyFont="1">
      <alignment vertical="center"/>
    </xf>
    <xf numFmtId="49" fontId="40" fillId="42" borderId="36" xfId="0" applyFont="1" applyFill="1" applyBorder="1" applyNumberFormat="1">
      <alignment vertical="center"/>
    </xf>
    <xf numFmtId="49" fontId="40" fillId="42" borderId="24" xfId="0" applyFont="1" applyFill="1" applyBorder="1" applyNumberFormat="1">
      <alignment vertical="center"/>
    </xf>
    <xf numFmtId="0" fontId="24" fillId="42" borderId="24" xfId="0" applyFont="1" applyFill="1" applyBorder="1">
      <alignment vertical="center" wrapText="1"/>
    </xf>
    <xf numFmtId="0" fontId="24" fillId="42" borderId="35" xfId="0" applyFont="1" applyFill="1" applyBorder="1">
      <alignment vertical="center"/>
    </xf>
    <xf numFmtId="0" fontId="19" fillId="11" borderId="43" xfId="0" applyFont="1" applyFill="1" applyBorder="1">
      <alignment horizontal="center" vertical="center" wrapText="1"/>
    </xf>
    <xf numFmtId="0" fontId="19" fillId="0" borderId="0" xfId="0" applyFont="1">
      <alignment horizontal="center" vertical="center" wrapText="1"/>
    </xf>
    <xf numFmtId="0" fontId="38" fillId="0" borderId="0" xfId="0" applyFont="1">
      <alignment horizontal="center" vertical="center" wrapText="1"/>
    </xf>
    <xf numFmtId="49" fontId="40" fillId="42" borderId="36" xfId="0" applyFont="1" applyFill="1" applyBorder="1" applyNumberFormat="1">
      <alignment vertical="center"/>
    </xf>
    <xf numFmtId="49" fontId="40" fillId="42" borderId="24" xfId="0" applyFont="1" applyFill="1" applyBorder="1" applyNumberFormat="1">
      <alignment vertical="center"/>
    </xf>
    <xf numFmtId="0" fontId="24" fillId="42" borderId="24" xfId="0" applyFont="1" applyFill="1" applyBorder="1">
      <alignment vertical="center" wrapText="1"/>
    </xf>
    <xf numFmtId="0" fontId="24" fillId="42" borderId="24" xfId="0" applyFont="1" applyFill="1" applyBorder="1">
      <alignment vertical="center"/>
    </xf>
    <xf numFmtId="0" fontId="24" fillId="42" borderId="35" xfId="0" applyFont="1" applyFill="1" applyBorder="1">
      <alignment vertical="center"/>
    </xf>
    <xf numFmtId="4" fontId="24" fillId="34" borderId="18" xfId="0" applyFont="1" applyFill="1" applyBorder="1" applyNumberFormat="1">
      <alignment horizontal="right" vertical="center" wrapText="1"/>
      <protection locked="0"/>
    </xf>
    <xf numFmtId="4" fontId="19" fillId="34" borderId="18" xfId="0" applyFont="1" applyFill="1" applyBorder="1" applyNumberFormat="1">
      <alignment horizontal="right" vertical="center"/>
      <protection locked="0"/>
    </xf>
    <xf numFmtId="172" fontId="19" fillId="34" borderId="18" xfId="0" applyFont="1" applyFill="1" applyBorder="1" applyNumberFormat="1">
      <alignment horizontal="right" vertical="center"/>
      <protection locked="0"/>
    </xf>
    <xf numFmtId="0" fontId="19" fillId="0" borderId="19" xfId="0" applyFont="1" applyBorder="1">
      <alignment horizontal="right" vertical="center" wrapText="1" indent="1"/>
    </xf>
    <xf numFmtId="0" fontId="24" fillId="0" borderId="0" xfId="0" applyFont="1">
      <alignment horizontal="center"/>
    </xf>
    <xf numFmtId="0" fontId="19" fillId="0" borderId="19" xfId="0" applyFont="1" applyBorder="1">
      <alignment horizontal="center" vertical="center" wrapText="1"/>
    </xf>
    <xf numFmtId="0" fontId="24" fillId="0" borderId="0" xfId="0" applyFont="1">
      <alignment horizontal="center" vertical="center" wrapText="1"/>
    </xf>
    <xf numFmtId="0" fontId="19" fillId="0" borderId="0" xfId="0" applyFont="1">
      <alignment horizontal="center"/>
    </xf>
    <xf numFmtId="0" fontId="19" fillId="0" borderId="0" xfId="0" applyFont="1">
      <alignment horizontal="center"/>
    </xf>
    <xf numFmtId="4" fontId="19" fillId="34" borderId="18" xfId="0" applyFont="1" applyFill="1" applyBorder="1" applyNumberFormat="1">
      <alignment horizontal="right" vertical="center"/>
      <protection locked="0"/>
    </xf>
    <xf numFmtId="0" fontId="24" fillId="0" borderId="0" xfId="0" applyFont="1"/>
    <xf numFmtId="0" fontId="24" fillId="0" borderId="0" xfId="0" applyFont="1">
      <alignment horizontal="left"/>
    </xf>
    <xf numFmtId="0" fontId="24" fillId="48" borderId="0" xfId="0" applyFont="1" applyFill="1">
      <alignment horizontal="center" vertical="center"/>
    </xf>
    <xf numFmtId="0" fontId="0" fillId="25" borderId="0" xfId="0" applyFont="1" applyFill="1">
      <alignment horizontal="center"/>
    </xf>
    <xf numFmtId="0" fontId="0" fillId="0" borderId="0" xfId="0" applyFont="1">
      <alignment horizontal="left"/>
    </xf>
    <xf numFmtId="0" fontId="0" fillId="0" borderId="0" xfId="0" applyFont="1">
      <alignment horizontal="center" wrapText="1"/>
    </xf>
    <xf numFmtId="0" fontId="0" fillId="0" borderId="0" xfId="0" applyFont="1">
      <alignment horizontal="center"/>
    </xf>
    <xf numFmtId="0" fontId="24" fillId="43" borderId="0" xfId="0" applyFont="1" applyFill="1"/>
    <xf numFmtId="0" fontId="24" fillId="43" borderId="0" xfId="0" applyFont="1" applyFill="1">
      <alignment horizontal="left"/>
    </xf>
    <xf numFmtId="0" fontId="19" fillId="43" borderId="0" xfId="0" applyFont="1" applyFill="1"/>
    <xf numFmtId="0" fontId="24" fillId="43" borderId="0" xfId="0" applyFont="1" applyFill="1">
      <alignment wrapText="1"/>
    </xf>
    <xf numFmtId="0" fontId="24" fillId="4" borderId="0" xfId="0" applyFont="1" applyFill="1"/>
    <xf numFmtId="0" fontId="0" fillId="4" borderId="0" xfId="0" applyFont="1" applyFill="1">
      <alignment horizontal="center"/>
    </xf>
    <xf numFmtId="0" fontId="24" fillId="4" borderId="0" xfId="0" applyFont="1" applyFill="1">
      <alignment horizontal="left"/>
    </xf>
    <xf numFmtId="0" fontId="19" fillId="4" borderId="0" xfId="0" applyFont="1" applyFill="1"/>
    <xf numFmtId="0" fontId="24" fillId="4" borderId="0" xfId="0" applyFont="1" applyFill="1">
      <alignment wrapText="1"/>
    </xf>
    <xf numFmtId="0" fontId="19" fillId="0" borderId="0" xfId="0" applyFont="1">
      <alignment vertical="center"/>
    </xf>
    <xf numFmtId="0" fontId="19" fillId="0" borderId="0" xfId="0" applyFont="1">
      <alignment horizontal="left" vertical="center"/>
    </xf>
    <xf numFmtId="0" fontId="0" fillId="0" borderId="0" xfId="0" applyFont="1">
      <alignment horizontal="left" vertical="center"/>
    </xf>
    <xf numFmtId="0" fontId="24" fillId="0" borderId="0" xfId="0" applyFont="1">
      <alignment horizontal="center" vertical="center"/>
    </xf>
    <xf numFmtId="0" fontId="23" fillId="0" borderId="63" xfId="0" applyFont="1" applyBorder="1" quotePrefix="1">
      <alignment horizontal="left" vertical="center" indent="1"/>
    </xf>
    <xf numFmtId="0" fontId="41" fillId="0" borderId="63" xfId="0" applyFont="1" applyBorder="1">
      <alignment vertical="center"/>
    </xf>
    <xf numFmtId="0" fontId="41" fillId="0" borderId="63" xfId="0" applyFont="1" applyBorder="1"/>
    <xf numFmtId="0" fontId="24" fillId="43" borderId="0" xfId="0" applyFont="1" applyFill="1">
      <alignment horizontal="center"/>
    </xf>
    <xf numFmtId="0" fontId="19" fillId="0" borderId="0" xfId="0" applyFont="1">
      <alignment horizontal="center"/>
    </xf>
    <xf numFmtId="0" fontId="19" fillId="0" borderId="0" xfId="0" applyFont="1">
      <alignment horizontal="center" wrapText="1"/>
    </xf>
    <xf numFmtId="0" fontId="0" fillId="0" borderId="0" xfId="0" applyFont="1">
      <alignment horizontal="center" vertical="center"/>
    </xf>
    <xf numFmtId="0" fontId="32" fillId="0" borderId="0" xfId="0" applyFont="1">
      <alignment vertical="center" wrapText="1"/>
    </xf>
    <xf numFmtId="0" fontId="19" fillId="0" borderId="19" xfId="0" applyFont="1" applyBorder="1">
      <alignment horizontal="center" vertical="center" wrapText="1"/>
    </xf>
    <xf numFmtId="0" fontId="19" fillId="52" borderId="19" xfId="0" applyFont="1" applyFill="1" applyBorder="1">
      <alignment horizontal="center" vertical="center" wrapText="1"/>
    </xf>
    <xf numFmtId="0" fontId="24" fillId="0" borderId="19" xfId="0" applyFont="1" applyBorder="1">
      <alignment horizontal="center" vertical="center" wrapText="1"/>
    </xf>
    <xf numFmtId="0" fontId="24" fillId="52" borderId="11" xfId="0" applyFont="1" applyFill="1" applyBorder="1">
      <alignment horizontal="center" vertical="center" wrapText="1"/>
    </xf>
    <xf numFmtId="0" fontId="19" fillId="0" borderId="0" xfId="0" applyFont="1">
      <alignment vertical="top"/>
    </xf>
    <xf numFmtId="0" fontId="0" fillId="0" borderId="0" xfId="0" applyFont="1">
      <alignment horizontal="center" vertical="top"/>
    </xf>
    <xf numFmtId="0" fontId="19" fillId="43" borderId="0" xfId="0" applyFont="1" applyFill="1">
      <alignment vertical="top"/>
    </xf>
    <xf numFmtId="0" fontId="19" fillId="0" borderId="64" xfId="0" applyFont="1" applyBorder="1">
      <alignment horizontal="center" vertical="center" wrapText="1"/>
    </xf>
    <xf numFmtId="0" fontId="24" fillId="0" borderId="0" xfId="0" applyFont="1">
      <alignment vertical="center" wrapText="1"/>
    </xf>
    <xf numFmtId="0" fontId="24" fillId="0" borderId="0" xfId="0" applyFont="1">
      <alignment horizontal="right" vertical="center"/>
    </xf>
    <xf numFmtId="0" fontId="0" fillId="0" borderId="0" xfId="0" applyFont="1">
      <alignment horizontal="center" vertical="center" wrapText="1"/>
    </xf>
    <xf numFmtId="0" fontId="24" fillId="43" borderId="0" xfId="0" applyFont="1" applyFill="1">
      <alignment vertical="center" wrapText="1"/>
    </xf>
    <xf numFmtId="0" fontId="39" fillId="41" borderId="64" xfId="0" applyFont="1" applyFill="1" applyBorder="1">
      <alignment horizontal="left" vertical="center"/>
    </xf>
    <xf numFmtId="0" fontId="39" fillId="41" borderId="65" xfId="0" applyFont="1" applyFill="1" applyBorder="1">
      <alignment horizontal="left" vertical="center"/>
    </xf>
    <xf numFmtId="49" fontId="39" fillId="41" borderId="65" xfId="0" applyFont="1" applyFill="1" applyBorder="1" applyNumberFormat="1">
      <alignment horizontal="left" vertical="center" wrapText="1"/>
    </xf>
    <xf numFmtId="0" fontId="19" fillId="0" borderId="19" xfId="0" applyFont="1" applyBorder="1">
      <alignment horizontal="center" vertical="center"/>
    </xf>
    <xf numFmtId="0" fontId="24" fillId="0" borderId="19" xfId="0" applyFont="1" applyBorder="1">
      <alignment vertical="center" wrapText="1"/>
    </xf>
    <xf numFmtId="0" fontId="24" fillId="0" borderId="19" xfId="0" applyFont="1" applyBorder="1">
      <alignment horizontal="center" vertical="center"/>
    </xf>
    <xf numFmtId="172" fontId="24" fillId="34" borderId="19" xfId="0" applyFont="1" applyFill="1" applyBorder="1" applyNumberFormat="1">
      <alignment horizontal="right" vertical="center"/>
      <protection locked="0"/>
    </xf>
    <xf numFmtId="0" fontId="24" fillId="0" borderId="19" xfId="0" applyFont="1" applyBorder="1">
      <alignment horizontal="left" vertical="center" wrapText="1"/>
    </xf>
    <xf numFmtId="0" fontId="24" fillId="0" borderId="0" xfId="0" applyFont="1">
      <alignment wrapText="1"/>
    </xf>
    <xf numFmtId="0" fontId="19" fillId="0" borderId="0" xfId="0" applyFont="1"/>
    <xf numFmtId="0" fontId="24" fillId="48" borderId="0" xfId="0" applyFont="1" applyFill="1">
      <alignment horizontal="center" vertical="center"/>
    </xf>
    <xf numFmtId="0" fontId="0" fillId="53" borderId="0" xfId="0" applyFont="1" applyFill="1">
      <alignment horizontal="center" vertical="center"/>
    </xf>
    <xf numFmtId="49" fontId="40" fillId="42" borderId="38" xfId="0" applyFont="1" applyFill="1" applyBorder="1" applyNumberFormat="1">
      <alignment vertical="center"/>
    </xf>
    <xf numFmtId="0" fontId="24" fillId="42" borderId="24" xfId="0" applyFont="1" applyFill="1" applyBorder="1">
      <alignment vertical="center"/>
    </xf>
    <xf numFmtId="0" fontId="19" fillId="48" borderId="0" xfId="0" applyFont="1" applyFill="1">
      <alignment horizontal="center" vertical="center"/>
    </xf>
    <xf numFmtId="49" fontId="19" fillId="0" borderId="0" xfId="0" applyFont="1" applyNumberFormat="1">
      <alignment vertical="top"/>
    </xf>
    <xf numFmtId="49" fontId="19" fillId="48" borderId="0" xfId="0" applyFont="1" applyFill="1" applyNumberFormat="1">
      <alignment horizontal="center" vertical="center"/>
    </xf>
    <xf numFmtId="0" fontId="24" fillId="0" borderId="0" xfId="0" applyFont="1">
      <alignment horizontal="center" vertical="center"/>
    </xf>
    <xf numFmtId="49" fontId="19" fillId="0" borderId="0" xfId="0" applyFont="1" applyNumberFormat="1">
      <alignment horizontal="center" vertical="center"/>
    </xf>
    <xf numFmtId="4" fontId="23" fillId="33" borderId="18" xfId="0" applyFont="1" applyFill="1" applyBorder="1" applyNumberFormat="1">
      <alignment horizontal="right" vertical="center"/>
    </xf>
    <xf numFmtId="0" fontId="19" fillId="0" borderId="0" xfId="0" applyFont="1">
      <alignment vertical="top" wrapText="1"/>
    </xf>
    <xf numFmtId="4" fontId="19" fillId="34" borderId="18" xfId="0" applyFont="1" applyFill="1" applyBorder="1" applyNumberFormat="1">
      <alignment horizontal="right" vertical="center"/>
      <protection locked="0"/>
    </xf>
    <xf numFmtId="4" fontId="23" fillId="0" borderId="18" xfId="0" applyFont="1" applyBorder="1" applyNumberFormat="1">
      <alignment horizontal="right" vertical="center"/>
    </xf>
    <xf numFmtId="0" fontId="30" fillId="43" borderId="59" xfId="0" applyFont="1" applyFill="1" applyBorder="1">
      <alignment horizontal="right" vertical="center" wrapText="1" indent="1"/>
    </xf>
    <xf numFmtId="0" fontId="30" fillId="43" borderId="66" xfId="0" applyFont="1" applyFill="1" applyBorder="1">
      <alignment horizontal="right" vertical="center" wrapText="1" indent="1"/>
    </xf>
    <xf numFmtId="0" fontId="30" fillId="43" borderId="51" xfId="0" applyFont="1" applyFill="1" applyBorder="1">
      <alignment horizontal="right" vertical="center" wrapText="1" indent="1"/>
    </xf>
    <xf numFmtId="0" fontId="30" fillId="43" borderId="0" xfId="0" applyFont="1" applyFill="1">
      <alignment horizontal="right" vertical="center" wrapText="1" indent="1"/>
    </xf>
    <xf numFmtId="0" fontId="58" fillId="0" borderId="0" xfId="0" applyFont="1">
      <alignment vertical="center" wrapText="1"/>
    </xf>
    <xf numFmtId="0" fontId="30" fillId="43" borderId="67" xfId="0" applyFont="1" applyFill="1" applyBorder="1">
      <alignment horizontal="right" vertical="center" wrapText="1" indent="1"/>
    </xf>
    <xf numFmtId="0" fontId="30" fillId="43" borderId="37" xfId="0" applyFont="1" applyFill="1" applyBorder="1">
      <alignment horizontal="right" vertical="center" wrapText="1" indent="1"/>
    </xf>
    <xf numFmtId="0" fontId="30" fillId="43" borderId="38" xfId="0" applyFont="1" applyFill="1" applyBorder="1">
      <alignment horizontal="right" vertical="center" wrapText="1" indent="1"/>
    </xf>
    <xf numFmtId="0" fontId="58" fillId="0" borderId="0" xfId="0" applyFont="1">
      <alignment vertical="top" wrapText="1"/>
    </xf>
    <xf numFmtId="49" fontId="56" fillId="0" borderId="0" xfId="0" applyFont="1" applyNumberFormat="1">
      <alignment vertical="top" wrapText="1"/>
    </xf>
    <xf numFmtId="0" fontId="74" fillId="0" borderId="0" xfId="0" applyFont="1">
      <alignment vertical="center" wrapText="1"/>
    </xf>
    <xf numFmtId="0" fontId="28" fillId="0" borderId="0" xfId="0" applyFont="1">
      <alignment vertical="center"/>
    </xf>
    <xf numFmtId="0" fontId="28" fillId="0" borderId="0" xfId="0" applyFont="1">
      <alignment vertical="center"/>
    </xf>
    <xf numFmtId="0" fontId="30" fillId="54" borderId="68" xfId="0" applyFont="1" applyFill="1" applyBorder="1">
      <alignment horizontal="center" vertical="center" wrapText="1"/>
    </xf>
    <xf numFmtId="0" fontId="30" fillId="54" borderId="69" xfId="0" applyFont="1" applyFill="1" applyBorder="1">
      <alignment horizontal="center" vertical="center" wrapText="1"/>
    </xf>
    <xf numFmtId="0" fontId="30" fillId="54" borderId="70" xfId="0" applyFont="1" applyFill="1" applyBorder="1">
      <alignment horizontal="center" vertical="center" wrapText="1"/>
    </xf>
    <xf numFmtId="0" fontId="58" fillId="0" borderId="51" xfId="0" applyFont="1" applyBorder="1">
      <alignment vertical="center" wrapText="1"/>
    </xf>
    <xf numFmtId="0" fontId="58" fillId="0" borderId="51" xfId="0" applyFont="1" applyBorder="1">
      <alignment horizontal="left" vertical="center" wrapText="1"/>
    </xf>
    <xf numFmtId="0" fontId="58" fillId="0" borderId="0" xfId="0" applyFont="1">
      <alignment horizontal="left" vertical="center" wrapText="1"/>
    </xf>
    <xf numFmtId="0" fontId="78" fillId="0" borderId="0" xfId="0" applyFont="1">
      <alignment vertical="top" wrapText="1"/>
    </xf>
    <xf numFmtId="0" fontId="26" fillId="0" borderId="0" xfId="0" applyFont="1">
      <alignment horizontal="center" vertical="top"/>
    </xf>
    <xf numFmtId="49" fontId="67" fillId="0" borderId="0" xfId="0" applyFont="1" applyNumberFormat="1">
      <alignment horizontal="center" vertical="top" wrapText="1"/>
    </xf>
    <xf numFmtId="0" fontId="19" fillId="0" borderId="51" xfId="0" applyFont="1" applyBorder="1">
      <alignment horizontal="center" vertical="center" wrapText="1"/>
    </xf>
    <xf numFmtId="0" fontId="19" fillId="0" borderId="67" xfId="0" applyFont="1" applyBorder="1">
      <alignment horizontal="center" vertical="center" wrapText="1"/>
    </xf>
    <xf numFmtId="0" fontId="19" fillId="0" borderId="37" xfId="0" applyFont="1" applyBorder="1">
      <alignment horizontal="center" vertical="center" wrapText="1"/>
    </xf>
    <xf numFmtId="0" fontId="19" fillId="0" borderId="62" xfId="0" applyFont="1" applyBorder="1">
      <alignment horizontal="center" vertical="center" wrapText="1"/>
    </xf>
    <xf numFmtId="49" fontId="19" fillId="0" borderId="18" xfId="0" applyFont="1" applyBorder="1" applyNumberFormat="1">
      <alignment horizontal="right" vertical="center" wrapText="1"/>
    </xf>
    <xf numFmtId="0" fontId="19" fillId="0" borderId="19" xfId="0" applyFont="1" applyBorder="1">
      <alignment horizontal="right" vertical="center" wrapText="1" indent="1"/>
    </xf>
    <xf numFmtId="0" fontId="26" fillId="0" borderId="71" xfId="0" applyFont="1" applyBorder="1">
      <alignment vertical="center" wrapText="1"/>
    </xf>
    <xf numFmtId="0" fontId="26" fillId="0" borderId="52" xfId="0" applyFont="1" applyBorder="1">
      <alignment vertical="center" wrapText="1"/>
    </xf>
    <xf numFmtId="0" fontId="42" fillId="55" borderId="13" xfId="0" applyFont="1" applyFill="1" applyBorder="1">
      <alignment horizontal="left" vertical="center" wrapText="1" indent="4"/>
    </xf>
    <xf numFmtId="0" fontId="42" fillId="55" borderId="19" xfId="0" applyFont="1" applyFill="1" applyBorder="1">
      <alignment horizontal="left" vertical="center" wrapText="1" indent="4"/>
    </xf>
    <xf numFmtId="0" fontId="19" fillId="35" borderId="59" xfId="0" applyFont="1" applyFill="1" applyBorder="1">
      <alignment horizontal="center" vertical="center" wrapText="1"/>
      <protection locked="0"/>
    </xf>
    <xf numFmtId="0" fontId="19" fillId="35" borderId="66" xfId="0" applyFont="1" applyFill="1" applyBorder="1">
      <alignment horizontal="center" vertical="center" wrapText="1"/>
      <protection locked="0"/>
    </xf>
    <xf numFmtId="0" fontId="19" fillId="35" borderId="51" xfId="0" applyFont="1" applyFill="1" applyBorder="1">
      <alignment horizontal="center" vertical="center" wrapText="1"/>
      <protection locked="0"/>
    </xf>
    <xf numFmtId="0" fontId="19" fillId="35" borderId="67" xfId="0" applyFont="1" applyFill="1" applyBorder="1">
      <alignment horizontal="center" vertical="center" wrapText="1"/>
      <protection locked="0"/>
    </xf>
    <xf numFmtId="0" fontId="19" fillId="35" borderId="37" xfId="0" applyFont="1" applyFill="1" applyBorder="1">
      <alignment horizontal="center" vertical="center" wrapText="1"/>
      <protection locked="0"/>
    </xf>
    <xf numFmtId="0" fontId="19" fillId="35" borderId="62" xfId="0" applyFont="1" applyFill="1" applyBorder="1">
      <alignment horizontal="center" vertical="center" wrapText="1"/>
      <protection locked="0"/>
    </xf>
    <xf numFmtId="0" fontId="26" fillId="0" borderId="67" xfId="0" applyFont="1" applyBorder="1">
      <alignment horizontal="center" vertical="center"/>
    </xf>
    <xf numFmtId="0" fontId="19" fillId="0" borderId="19" xfId="0" applyFont="1" applyBorder="1">
      <alignment horizontal="center" vertical="center" textRotation="90" wrapText="1"/>
    </xf>
    <xf numFmtId="0" fontId="23" fillId="0" borderId="0" xfId="0" applyFont="1">
      <alignment vertical="center" wrapText="1"/>
    </xf>
    <xf numFmtId="0" fontId="26" fillId="0" borderId="13" xfId="0" applyFont="1" applyBorder="1">
      <alignment vertical="center" wrapText="1"/>
    </xf>
    <xf numFmtId="0" fontId="26" fillId="0" borderId="0" xfId="0" applyFont="1">
      <alignment horizontal="center" vertical="center"/>
    </xf>
    <xf numFmtId="49" fontId="23" fillId="55" borderId="19" xfId="0" applyFont="1" applyFill="1" applyBorder="1" applyNumberFormat="1">
      <alignment horizontal="left" vertical="center" wrapText="1" indent="4"/>
    </xf>
    <xf numFmtId="0" fontId="19" fillId="0" borderId="36" xfId="0" applyFont="1" applyBorder="1">
      <alignment horizontal="right" vertical="center" wrapText="1" indent="1"/>
    </xf>
    <xf numFmtId="0" fontId="19" fillId="0" borderId="24" xfId="0" applyFont="1" applyBorder="1">
      <alignment horizontal="right" vertical="center" wrapText="1" indent="1"/>
    </xf>
    <xf numFmtId="0" fontId="19" fillId="0" borderId="35" xfId="0" applyFont="1" applyBorder="1">
      <alignment horizontal="right" vertical="center" wrapText="1" indent="1"/>
    </xf>
    <xf numFmtId="49" fontId="42" fillId="55" borderId="19" xfId="0" applyFont="1" applyFill="1" applyBorder="1" applyNumberFormat="1">
      <alignment horizontal="center" vertical="center" wrapText="1"/>
    </xf>
    <xf numFmtId="0" fontId="23" fillId="35" borderId="19" xfId="0" applyFont="1" applyFill="1" applyBorder="1">
      <alignment horizontal="center" vertical="center"/>
      <protection locked="0"/>
    </xf>
    <xf numFmtId="49" fontId="42" fillId="56" borderId="19" xfId="0" applyFont="1" applyFill="1" applyBorder="1" applyNumberFormat="1">
      <alignment horizontal="center" vertical="center" wrapText="1"/>
    </xf>
    <xf numFmtId="0" fontId="23" fillId="50" borderId="19" xfId="0" applyFont="1" applyFill="1" applyBorder="1">
      <alignment horizontal="center" vertical="center"/>
    </xf>
    <xf numFmtId="0" fontId="42" fillId="55" borderId="19" xfId="0" applyFont="1" applyFill="1" applyBorder="1">
      <alignment horizontal="center" vertical="center" wrapText="1"/>
    </xf>
    <xf numFmtId="0" fontId="23" fillId="55" borderId="19" xfId="0" applyFont="1" applyFill="1" applyBorder="1">
      <alignment horizontal="center" vertical="center" wrapText="1"/>
    </xf>
    <xf numFmtId="0" fontId="19" fillId="0" borderId="43" xfId="0" applyFont="1" applyBorder="1">
      <alignment vertical="center"/>
    </xf>
    <xf numFmtId="0" fontId="19" fillId="0" borderId="44" xfId="0" applyFont="1" applyBorder="1">
      <alignment vertical="center"/>
    </xf>
    <xf numFmtId="0" fontId="19" fillId="0" borderId="29" xfId="0" applyFont="1" applyBorder="1">
      <alignment vertical="center"/>
    </xf>
    <xf numFmtId="0" fontId="19" fillId="0" borderId="13" xfId="0" applyFont="1" applyBorder="1">
      <alignment horizontal="center" vertical="center" textRotation="90" wrapText="1"/>
    </xf>
    <xf numFmtId="0" fontId="19" fillId="0" borderId="71" xfId="0" applyFont="1" applyBorder="1">
      <alignment horizontal="center" vertical="center" textRotation="90" wrapText="1"/>
    </xf>
    <xf numFmtId="0" fontId="19" fillId="0" borderId="52" xfId="0" applyFont="1" applyBorder="1">
      <alignment horizontal="center" vertical="center" textRotation="90" wrapText="1"/>
    </xf>
    <xf numFmtId="0" fontId="19" fillId="0" borderId="43" xfId="0" applyFont="1" applyBorder="1">
      <alignment horizontal="right" vertical="center" wrapText="1" indent="1"/>
    </xf>
    <xf numFmtId="0" fontId="19" fillId="0" borderId="29" xfId="0" applyFont="1" applyBorder="1">
      <alignment horizontal="right" vertical="center" wrapText="1" indent="1"/>
    </xf>
    <xf numFmtId="0" fontId="24" fillId="0" borderId="19" xfId="0" applyFont="1" applyBorder="1">
      <alignment horizontal="right" vertical="center" wrapText="1" indent="1"/>
    </xf>
    <xf numFmtId="0" fontId="19" fillId="0" borderId="72" xfId="0" applyFont="1" applyBorder="1">
      <alignment horizontal="right" vertical="center" wrapText="1" indent="1"/>
    </xf>
    <xf numFmtId="0" fontId="19" fillId="0" borderId="58" xfId="0" applyFont="1" applyBorder="1">
      <alignment horizontal="right" vertical="center" wrapText="1" indent="1"/>
    </xf>
    <xf numFmtId="0" fontId="19" fillId="0" borderId="73" xfId="0" applyFont="1" applyBorder="1">
      <alignment horizontal="right" vertical="center" wrapText="1" indent="1"/>
    </xf>
    <xf numFmtId="0" fontId="19" fillId="0" borderId="55" xfId="0" applyFont="1" applyBorder="1">
      <alignment horizontal="right" vertical="center" wrapText="1" indent="1"/>
    </xf>
    <xf numFmtId="0" fontId="19" fillId="0" borderId="44" xfId="0" applyFont="1" applyBorder="1">
      <alignment horizontal="right" vertical="center" wrapText="1" indent="1"/>
    </xf>
    <xf numFmtId="0" fontId="52" fillId="0" borderId="58" xfId="0" applyFont="1" applyBorder="1">
      <alignment horizontal="center" vertical="top" wrapText="1"/>
    </xf>
    <xf numFmtId="0" fontId="23" fillId="0" borderId="20" xfId="0" applyFont="1" applyBorder="1" quotePrefix="1">
      <alignment horizontal="left" vertical="center" wrapText="1" indent="1"/>
    </xf>
    <xf numFmtId="0" fontId="23" fillId="0" borderId="20" xfId="0" applyFont="1" applyBorder="1">
      <alignment horizontal="left" vertical="center" wrapText="1" indent="1"/>
    </xf>
    <xf numFmtId="0" fontId="24" fillId="0" borderId="0" xfId="0" applyFont="1">
      <alignment horizontal="center" vertical="top" wrapText="1"/>
    </xf>
    <xf numFmtId="0" fontId="72" fillId="0" borderId="0" xfId="0" applyFont="1">
      <alignment horizontal="center" vertical="center" wrapText="1"/>
    </xf>
    <xf numFmtId="0" fontId="19" fillId="34" borderId="74" xfId="0" applyFont="1" applyFill="1" applyBorder="1">
      <alignment horizontal="left" vertical="center" wrapText="1"/>
      <protection locked="0"/>
    </xf>
    <xf numFmtId="0" fontId="19" fillId="34" borderId="24" xfId="0" applyFont="1" applyFill="1" applyBorder="1">
      <alignment horizontal="left" vertical="center" wrapText="1"/>
      <protection locked="0"/>
    </xf>
    <xf numFmtId="0" fontId="19" fillId="34" borderId="57" xfId="0" applyFont="1" applyFill="1" applyBorder="1">
      <alignment horizontal="left" vertical="center" wrapText="1"/>
      <protection locked="0"/>
    </xf>
    <xf numFmtId="49" fontId="23" fillId="0" borderId="0" xfId="0" applyFont="1" applyNumberFormat="1">
      <alignment horizontal="center" vertical="center" wrapText="1" shrinkToFit="1"/>
    </xf>
    <xf numFmtId="49" fontId="19" fillId="0" borderId="19" xfId="0" applyFont="1" applyBorder="1" applyNumberFormat="1">
      <alignment horizontal="center" vertical="center" wrapText="1"/>
    </xf>
    <xf numFmtId="0" fontId="24" fillId="0" borderId="13" xfId="0" applyFont="1" applyBorder="1">
      <alignment horizontal="center" vertical="center" wrapText="1"/>
    </xf>
    <xf numFmtId="0" fontId="24" fillId="0" borderId="52" xfId="0" applyFont="1" applyBorder="1">
      <alignment horizontal="center" vertical="center" wrapText="1"/>
    </xf>
    <xf numFmtId="0" fontId="24" fillId="0" borderId="0" xfId="0" applyFont="1">
      <alignment horizontal="center" vertical="center"/>
    </xf>
    <xf numFmtId="0" fontId="24" fillId="0" borderId="0" xfId="0" applyFont="1">
      <alignment horizontal="center"/>
    </xf>
    <xf numFmtId="49" fontId="19" fillId="34" borderId="43" xfId="0" applyFont="1" applyFill="1" applyBorder="1" applyNumberFormat="1">
      <alignment horizontal="left" vertical="center" wrapText="1"/>
      <protection locked="0"/>
    </xf>
    <xf numFmtId="49" fontId="19" fillId="34" borderId="44" xfId="0" applyFont="1" applyFill="1" applyBorder="1" applyNumberFormat="1">
      <alignment horizontal="left" vertical="center" wrapText="1"/>
      <protection locked="0"/>
    </xf>
    <xf numFmtId="49" fontId="19" fillId="34" borderId="29" xfId="0" applyFont="1" applyFill="1" applyBorder="1" applyNumberFormat="1">
      <alignment horizontal="left" vertical="center" wrapText="1"/>
      <protection locked="0"/>
    </xf>
    <xf numFmtId="0" fontId="19" fillId="0" borderId="39" xfId="0" applyFont="1" applyBorder="1">
      <alignment horizontal="center" vertical="center" wrapText="1"/>
    </xf>
    <xf numFmtId="0" fontId="19" fillId="0" borderId="47" xfId="0" applyFont="1" applyBorder="1">
      <alignment horizontal="center" vertical="center" wrapText="1"/>
    </xf>
    <xf numFmtId="0" fontId="19" fillId="0" borderId="75" xfId="0" applyFont="1" applyBorder="1">
      <alignment horizontal="center" vertical="center" wrapText="1"/>
    </xf>
    <xf numFmtId="0" fontId="19" fillId="34" borderId="25" xfId="0" applyFont="1" applyFill="1" applyBorder="1">
      <alignment horizontal="left" vertical="center" wrapText="1"/>
      <protection locked="0"/>
    </xf>
    <xf numFmtId="0" fontId="19" fillId="34" borderId="26" xfId="0" applyFont="1" applyFill="1" applyBorder="1">
      <alignment horizontal="left" vertical="center" wrapText="1"/>
      <protection locked="0"/>
    </xf>
    <xf numFmtId="0" fontId="19" fillId="34" borderId="27" xfId="0" applyFont="1" applyFill="1" applyBorder="1">
      <alignment horizontal="left" vertical="center" wrapText="1"/>
      <protection locked="0"/>
    </xf>
    <xf numFmtId="0" fontId="24" fillId="0" borderId="0" xfId="0" applyFont="1">
      <alignment horizontal="center" vertical="top"/>
    </xf>
    <xf numFmtId="0" fontId="19" fillId="0" borderId="19" xfId="0" applyFont="1" applyBorder="1">
      <alignment horizontal="center" vertical="center" wrapText="1"/>
    </xf>
    <xf numFmtId="0" fontId="24" fillId="0" borderId="0" xfId="0" applyFont="1">
      <alignment horizontal="center" vertical="center" wrapText="1"/>
    </xf>
    <xf numFmtId="0" fontId="19" fillId="0" borderId="19" xfId="0" applyFont="1" applyBorder="1">
      <alignment horizontal="center" vertical="center" wrapText="1"/>
    </xf>
    <xf numFmtId="0" fontId="24" fillId="0" borderId="0" xfId="0" applyFont="1">
      <alignment horizontal="center" vertical="top" wrapText="1"/>
    </xf>
    <xf numFmtId="0" fontId="24" fillId="0" borderId="0" xfId="0" applyFont="1">
      <alignment horizontal="center" vertical="center" wrapText="1"/>
    </xf>
    <xf numFmtId="0" fontId="19" fillId="0" borderId="28" xfId="0" applyFont="1" applyBorder="1">
      <alignment horizontal="center" vertical="center" wrapText="1"/>
    </xf>
    <xf numFmtId="0" fontId="79" fillId="0" borderId="28" xfId="0" applyFont="1" applyBorder="1">
      <alignment vertical="center"/>
    </xf>
    <xf numFmtId="0" fontId="19" fillId="34" borderId="76" xfId="0" applyFont="1" applyFill="1" applyBorder="1">
      <alignment horizontal="left" vertical="center" wrapText="1"/>
      <protection locked="0"/>
    </xf>
    <xf numFmtId="0" fontId="19" fillId="34" borderId="0" xfId="0" applyFont="1" applyFill="1">
      <alignment horizontal="left" vertical="center" wrapText="1"/>
      <protection locked="0"/>
    </xf>
    <xf numFmtId="0" fontId="19" fillId="34" borderId="77" xfId="0" applyFont="1" applyFill="1" applyBorder="1">
      <alignment horizontal="left" vertical="center" wrapText="1"/>
      <protection locked="0"/>
    </xf>
    <xf numFmtId="0" fontId="19" fillId="34" borderId="78" xfId="0" applyFont="1" applyFill="1" applyBorder="1">
      <alignment horizontal="left" vertical="center" wrapText="1"/>
      <protection locked="0"/>
    </xf>
    <xf numFmtId="0" fontId="19" fillId="34" borderId="30" xfId="0" applyFont="1" applyFill="1" applyBorder="1">
      <alignment horizontal="left" vertical="center" wrapText="1"/>
      <protection locked="0"/>
    </xf>
    <xf numFmtId="0" fontId="19" fillId="34" borderId="79" xfId="0" applyFont="1" applyFill="1" applyBorder="1">
      <alignment horizontal="left" vertical="center" wrapText="1"/>
      <protection locked="0"/>
    </xf>
    <xf numFmtId="0" fontId="19" fillId="0" borderId="18" xfId="0" applyFont="1" applyBorder="1">
      <alignment horizontal="center" vertical="center" wrapText="1"/>
    </xf>
    <xf numFmtId="0" fontId="24" fillId="0" borderId="19" xfId="0" applyFont="1" applyBorder="1">
      <alignment horizontal="center" vertical="center" wrapText="1"/>
    </xf>
    <xf numFmtId="0" fontId="24" fillId="0" borderId="36" xfId="0" applyFont="1" applyBorder="1">
      <alignment horizontal="center" vertical="center" wrapText="1"/>
    </xf>
    <xf numFmtId="0" fontId="19" fillId="36" borderId="18" xfId="0" applyFont="1" applyFill="1" applyBorder="1">
      <alignment horizontal="center" vertical="center" wrapText="1"/>
    </xf>
    <xf numFmtId="0" fontId="19" fillId="34" borderId="36" xfId="0" applyFont="1" applyFill="1" applyBorder="1">
      <alignment horizontal="left" vertical="center" wrapText="1"/>
      <protection locked="0"/>
    </xf>
    <xf numFmtId="0" fontId="19" fillId="34" borderId="35" xfId="0" applyFont="1" applyFill="1" applyBorder="1">
      <alignment horizontal="left" vertical="center" wrapText="1"/>
      <protection locked="0"/>
    </xf>
    <xf numFmtId="0" fontId="19" fillId="0" borderId="0" xfId="0" applyFont="1">
      <alignment horizontal="center" vertical="top"/>
    </xf>
    <xf numFmtId="0" fontId="19" fillId="0" borderId="0" xfId="0" applyFont="1">
      <alignment horizontal="center"/>
    </xf>
    <xf numFmtId="0" fontId="1" fillId="0" borderId="18" xfId="0" applyFont="1" applyBorder="1">
      <alignment vertical="center"/>
    </xf>
    <xf numFmtId="49" fontId="19" fillId="34" borderId="80" xfId="0" applyFont="1" applyFill="1" applyBorder="1" applyNumberFormat="1">
      <alignment horizontal="left" vertical="top" wrapText="1"/>
      <protection locked="0"/>
    </xf>
    <xf numFmtId="49" fontId="70" fillId="34" borderId="80" xfId="0" applyFont="1" applyFill="1" applyBorder="1" applyNumberFormat="1">
      <alignment horizontal="left" vertical="top" wrapText="1"/>
      <protection locked="0"/>
    </xf>
    <xf numFmtId="0" fontId="24" fillId="0" borderId="18" xfId="0" applyFont="1" applyBorder="1">
      <alignment horizontal="center" vertical="center" wrapText="1"/>
    </xf>
    <xf numFmtId="0" fontId="24" fillId="0" borderId="24" xfId="0" applyFont="1" applyBorder="1">
      <alignment horizontal="center" vertical="center" wrapText="1"/>
    </xf>
    <xf numFmtId="0" fontId="24" fillId="0" borderId="35" xfId="0" applyFont="1" applyBorder="1">
      <alignment horizontal="center" vertical="center" wrapText="1"/>
    </xf>
    <xf numFmtId="0" fontId="24" fillId="11" borderId="18" xfId="0" applyFont="1" applyFill="1" applyBorder="1">
      <alignment horizontal="center" vertical="center" wrapText="1"/>
    </xf>
    <xf numFmtId="0" fontId="23" fillId="0" borderId="0" xfId="0" applyFont="1">
      <alignment horizontal="center"/>
    </xf>
    <xf numFmtId="49" fontId="0" fillId="0" borderId="18" xfId="0" applyFont="1" applyBorder="1" applyNumberFormat="1">
      <alignment horizontal="center" vertical="center" wrapText="1"/>
    </xf>
    <xf numFmtId="49" fontId="0" fillId="0" borderId="31" xfId="0" applyFont="1" applyBorder="1" applyNumberFormat="1">
      <alignment horizontal="center" vertical="center" wrapText="1"/>
    </xf>
    <xf numFmtId="49" fontId="0" fillId="0" borderId="81" xfId="0" applyFont="1" applyBorder="1" applyNumberFormat="1">
      <alignment horizontal="center" vertical="center" wrapText="1"/>
    </xf>
    <xf numFmtId="49" fontId="0" fillId="0" borderId="80" xfId="0" applyFont="1" applyBorder="1" applyNumberFormat="1">
      <alignment horizontal="center" vertical="center" wrapText="1"/>
    </xf>
    <xf numFmtId="3" fontId="0" fillId="0" borderId="18" xfId="0" applyFont="1" applyBorder="1" applyNumberFormat="1">
      <alignment horizontal="center" vertical="center" wrapText="1"/>
    </xf>
    <xf numFmtId="0" fontId="19" fillId="0" borderId="36" xfId="0" applyFont="1" applyBorder="1">
      <alignment horizontal="center"/>
    </xf>
    <xf numFmtId="0" fontId="19" fillId="0" borderId="24" xfId="0" applyFont="1" applyBorder="1">
      <alignment horizontal="center"/>
    </xf>
    <xf numFmtId="0" fontId="19" fillId="0" borderId="35" xfId="0" applyFont="1" applyBorder="1">
      <alignment horizontal="center"/>
    </xf>
    <xf numFmtId="0" fontId="19" fillId="36" borderId="19" xfId="0" applyFont="1" applyFill="1" applyBorder="1">
      <alignment horizontal="center" vertical="center" wrapText="1"/>
    </xf>
    <xf numFmtId="49" fontId="19" fillId="34" borderId="36" xfId="0" applyFont="1" applyFill="1" applyBorder="1" applyNumberFormat="1">
      <alignment horizontal="left" vertical="top" wrapText="1"/>
      <protection locked="0"/>
    </xf>
    <xf numFmtId="49" fontId="19" fillId="34" borderId="24" xfId="0" applyFont="1" applyFill="1" applyBorder="1" applyNumberFormat="1">
      <alignment horizontal="left" vertical="top" wrapText="1"/>
      <protection locked="0"/>
    </xf>
    <xf numFmtId="49" fontId="19" fillId="34" borderId="35" xfId="0" applyFont="1" applyFill="1" applyBorder="1" applyNumberFormat="1">
      <alignment horizontal="left" vertical="top" wrapText="1"/>
      <protection locked="0"/>
    </xf>
    <xf numFmtId="0" fontId="19" fillId="0" borderId="36" xfId="0" applyFont="1" applyBorder="1">
      <alignment horizontal="center" vertical="center" wrapText="1"/>
    </xf>
    <xf numFmtId="0" fontId="19" fillId="0" borderId="24" xfId="0" applyFont="1" applyBorder="1">
      <alignment horizontal="center" vertical="center" wrapText="1"/>
    </xf>
    <xf numFmtId="0" fontId="19" fillId="0" borderId="35" xfId="0" applyFont="1" applyBorder="1">
      <alignment horizontal="center" vertical="center" wrapText="1"/>
    </xf>
    <xf numFmtId="0" fontId="19" fillId="0" borderId="18" xfId="0" applyFont="1" applyBorder="1">
      <alignment horizontal="center" vertical="center"/>
    </xf>
    <xf numFmtId="0" fontId="24" fillId="0" borderId="31" xfId="0" applyFont="1" applyBorder="1">
      <alignment horizontal="center" vertical="center" wrapText="1"/>
    </xf>
    <xf numFmtId="0" fontId="24" fillId="0" borderId="80" xfId="0" applyFont="1" applyBorder="1">
      <alignment horizontal="center" vertical="center" wrapText="1"/>
    </xf>
    <xf numFmtId="49" fontId="42" fillId="0" borderId="20" xfId="0" applyFont="1" applyBorder="1" applyNumberFormat="1" quotePrefix="1">
      <alignment horizontal="left" vertical="center" wrapText="1" indent="1"/>
    </xf>
    <xf numFmtId="49" fontId="42" fillId="0" borderId="20" xfId="0" applyFont="1" applyBorder="1" applyNumberFormat="1">
      <alignment horizontal="left" vertical="center" wrapText="1" indent="1"/>
    </xf>
    <xf numFmtId="0" fontId="24" fillId="0" borderId="82" xfId="0" applyFont="1" applyBorder="1">
      <alignment horizontal="center" vertical="center" wrapText="1"/>
    </xf>
    <xf numFmtId="0" fontId="24" fillId="0" borderId="54" xfId="0" applyFont="1" applyBorder="1">
      <alignment horizontal="center" vertical="center" wrapText="1"/>
    </xf>
    <xf numFmtId="0" fontId="79" fillId="0" borderId="18" xfId="0" applyFont="1" applyBorder="1"/>
    <xf numFmtId="0" fontId="26" fillId="0" borderId="0" xfId="0" applyFont="1">
      <alignment horizontal="center"/>
    </xf>
    <xf numFmtId="49" fontId="52" fillId="0" borderId="67" xfId="0" applyFont="1" applyBorder="1" applyNumberFormat="1">
      <alignment horizontal="center" vertical="top" wrapText="1"/>
    </xf>
    <xf numFmtId="0" fontId="52" fillId="0" borderId="67" xfId="0" applyFont="1" applyBorder="1">
      <alignment horizontal="center" vertical="top" wrapText="1"/>
    </xf>
    <xf numFmtId="0" fontId="80" fillId="0" borderId="18" xfId="0" applyFont="1" applyBorder="1"/>
    <xf numFmtId="0" fontId="70" fillId="0" borderId="18" xfId="0" applyFont="1" applyBorder="1">
      <alignment vertical="center"/>
    </xf>
    <xf numFmtId="0" fontId="19" fillId="0" borderId="0" xfId="0" applyFont="1">
      <alignment horizontal="center" vertical="top" wrapText="1"/>
    </xf>
    <xf numFmtId="0" fontId="19" fillId="0" borderId="0" xfId="0" applyFont="1">
      <alignment horizontal="center" vertical="center" wrapText="1"/>
    </xf>
    <xf numFmtId="49" fontId="81" fillId="34" borderId="80" xfId="0" applyFont="1" applyFill="1" applyBorder="1" applyNumberFormat="1">
      <alignment horizontal="left" vertical="top" wrapText="1"/>
      <protection locked="0"/>
    </xf>
    <xf numFmtId="0" fontId="59" fillId="0" borderId="18" xfId="0" applyFont="1" applyBorder="1">
      <alignment vertical="center"/>
    </xf>
    <xf numFmtId="0" fontId="24" fillId="37" borderId="18" xfId="0" applyFont="1" applyFill="1" applyBorder="1">
      <alignment horizontal="center" vertical="center" wrapText="1"/>
    </xf>
    <xf numFmtId="49" fontId="19" fillId="34" borderId="18" xfId="0" applyFont="1" applyFill="1" applyBorder="1" applyNumberFormat="1">
      <alignment horizontal="left" vertical="top" wrapText="1"/>
      <protection locked="0"/>
    </xf>
    <xf numFmtId="0" fontId="24" fillId="0" borderId="18" xfId="0" applyFont="1" applyBorder="1">
      <alignment vertical="center" wrapText="1"/>
    </xf>
    <xf numFmtId="0" fontId="24" fillId="0" borderId="18" xfId="0" applyFont="1" applyBorder="1"/>
    <xf numFmtId="49" fontId="19" fillId="32" borderId="18" xfId="0" applyFont="1" applyFill="1" applyBorder="1" applyNumberFormat="1">
      <alignment horizontal="left" vertical="top" wrapText="1"/>
    </xf>
    <xf numFmtId="49" fontId="70" fillId="0" borderId="18" xfId="0" applyFont="1" applyBorder="1" applyNumberFormat="1">
      <alignment horizontal="left" vertical="top" wrapText="1"/>
    </xf>
    <xf numFmtId="49" fontId="19" fillId="0" borderId="18" xfId="0" applyFont="1" applyBorder="1" applyNumberFormat="1">
      <alignment horizontal="center" vertical="center" wrapText="1"/>
    </xf>
    <xf numFmtId="49" fontId="70" fillId="34" borderId="18" xfId="0" applyFont="1" applyFill="1" applyBorder="1" applyNumberFormat="1">
      <alignment horizontal="left" vertical="top" wrapText="1"/>
      <protection locked="0"/>
    </xf>
    <xf numFmtId="0" fontId="19" fillId="0" borderId="43" xfId="0" applyFont="1" applyBorder="1">
      <alignment horizontal="center" vertical="center" wrapText="1"/>
    </xf>
    <xf numFmtId="0" fontId="19" fillId="0" borderId="44" xfId="0" applyFont="1" applyBorder="1">
      <alignment horizontal="center" vertical="center" wrapText="1"/>
    </xf>
    <xf numFmtId="0" fontId="19" fillId="0" borderId="29" xfId="0" applyFont="1" applyBorder="1">
      <alignment horizontal="center" vertical="center" wrapText="1"/>
    </xf>
    <xf numFmtId="49" fontId="40" fillId="42" borderId="36" xfId="0" applyFont="1" applyFill="1" applyBorder="1" applyNumberFormat="1">
      <alignment horizontal="left" vertical="center" indent="1"/>
    </xf>
    <xf numFmtId="49" fontId="40" fillId="42" borderId="24" xfId="0" applyFont="1" applyFill="1" applyBorder="1" applyNumberFormat="1">
      <alignment horizontal="left" vertical="center" indent="1"/>
    </xf>
    <xf numFmtId="0" fontId="19" fillId="34" borderId="18" xfId="0" applyFont="1" applyFill="1" applyBorder="1">
      <alignment horizontal="left" vertical="center" wrapText="1"/>
      <protection locked="0"/>
    </xf>
    <xf numFmtId="0" fontId="19" fillId="0" borderId="43" xfId="0" applyFont="1" applyBorder="1">
      <alignment horizontal="right" vertical="center" wrapText="1"/>
    </xf>
    <xf numFmtId="0" fontId="19" fillId="0" borderId="29" xfId="0" applyFont="1" applyBorder="1">
      <alignment horizontal="right" vertical="center" wrapText="1"/>
    </xf>
    <xf numFmtId="0" fontId="1" fillId="0" borderId="0" xfId="0" applyFont="1">
      <alignment horizontal="center" vertical="top"/>
    </xf>
    <xf numFmtId="0" fontId="1" fillId="0" borderId="0" xfId="0" applyFont="1">
      <alignment horizontal="center"/>
    </xf>
    <xf numFmtId="49" fontId="19" fillId="34" borderId="18" xfId="0" applyFont="1" applyFill="1" applyBorder="1" applyNumberFormat="1">
      <alignment horizontal="left" vertical="top" wrapText="1"/>
    </xf>
    <xf numFmtId="49" fontId="19" fillId="34" borderId="28" xfId="0" applyFont="1" applyFill="1" applyBorder="1" applyNumberFormat="1">
      <alignment horizontal="left" vertical="center" wrapText="1"/>
      <protection locked="0"/>
    </xf>
    <xf numFmtId="0" fontId="19" fillId="0" borderId="83" xfId="0" applyFont="1" applyBorder="1">
      <alignment horizontal="center" vertical="center" wrapText="1"/>
    </xf>
    <xf numFmtId="0" fontId="19" fillId="0" borderId="76" xfId="0" applyFont="1" applyBorder="1">
      <alignment horizontal="center" vertical="center" wrapText="1"/>
    </xf>
    <xf numFmtId="0" fontId="19" fillId="0" borderId="45" xfId="0" applyFont="1" applyBorder="1">
      <alignment horizontal="center" vertical="center" wrapText="1"/>
    </xf>
    <xf numFmtId="49" fontId="19" fillId="34" borderId="33" xfId="0" applyFont="1" applyFill="1" applyBorder="1" applyNumberFormat="1">
      <alignment horizontal="left" vertical="center" wrapText="1"/>
      <protection locked="0"/>
    </xf>
    <xf numFmtId="0" fontId="24" fillId="0" borderId="83" xfId="0" applyFont="1" applyBorder="1">
      <alignment horizontal="center" vertical="center" wrapText="1"/>
    </xf>
    <xf numFmtId="0" fontId="24" fillId="0" borderId="76" xfId="0" applyFont="1" applyBorder="1">
      <alignment horizontal="center" vertical="center" wrapText="1"/>
    </xf>
    <xf numFmtId="0" fontId="24" fillId="0" borderId="45" xfId="0" applyFont="1" applyBorder="1">
      <alignment horizontal="center" vertical="center" wrapText="1"/>
    </xf>
    <xf numFmtId="0" fontId="24" fillId="0" borderId="28" xfId="0" applyFont="1" applyBorder="1">
      <alignment horizontal="center" vertical="center" wrapText="1"/>
    </xf>
    <xf numFmtId="0" fontId="24" fillId="0" borderId="39" xfId="0" applyFont="1" applyBorder="1">
      <alignment horizontal="center" vertical="center" wrapText="1"/>
    </xf>
    <xf numFmtId="0" fontId="52" fillId="0" borderId="0" xfId="0" applyFont="1">
      <alignment horizontal="center" vertical="top" wrapText="1"/>
    </xf>
    <xf numFmtId="49" fontId="19" fillId="35" borderId="18" xfId="0" applyFont="1" applyFill="1" applyBorder="1" applyNumberFormat="1">
      <alignment horizontal="left" vertical="center" wrapText="1"/>
      <protection locked="0"/>
    </xf>
    <xf numFmtId="49" fontId="19" fillId="35" borderId="36" xfId="0" applyFont="1" applyFill="1" applyBorder="1" applyNumberFormat="1">
      <alignment horizontal="left" vertical="center" wrapText="1"/>
      <protection locked="0"/>
    </xf>
    <xf numFmtId="0" fontId="42" fillId="0" borderId="20" xfId="0" applyFont="1" applyBorder="1">
      <alignment horizontal="left" vertical="center" wrapText="1" indent="1"/>
    </xf>
    <xf numFmtId="49" fontId="42" fillId="0" borderId="20" xfId="0" applyFont="1" applyBorder="1" applyNumberFormat="1">
      <alignment vertical="center" wrapText="1"/>
    </xf>
    <xf numFmtId="49" fontId="42" fillId="0" borderId="20" xfId="0" applyFont="1" applyBorder="1" applyNumberFormat="1">
      <alignment horizontal="center" vertical="center" wrapText="1"/>
    </xf>
    <xf numFmtId="0" fontId="19" fillId="0" borderId="82" xfId="0" applyFont="1" applyBorder="1">
      <alignment horizontal="center" vertical="center" wrapText="1"/>
    </xf>
    <xf numFmtId="0" fontId="19" fillId="0" borderId="54" xfId="0" applyFont="1" applyBorder="1">
      <alignment horizontal="center" vertical="center" wrapText="1"/>
    </xf>
    <xf numFmtId="0" fontId="19" fillId="0" borderId="0" xfId="0" applyFont="1">
      <alignment horizontal="left" vertical="center" wrapText="1"/>
    </xf>
    <xf numFmtId="0" fontId="82" fillId="0" borderId="0" xfId="0" applyFont="1">
      <alignment vertical="center" wrapText="1"/>
    </xf>
    <xf numFmtId="0" fontId="30" fillId="0" borderId="0" xfId="0" applyFont="1"/>
    <xf numFmtId="0" fontId="0" fillId="25" borderId="0" xfId="0" applyFont="1" applyFill="1">
      <alignment horizontal="center"/>
    </xf>
    <xf numFmtId="0" fontId="30" fillId="43" borderId="0" xfId="0" applyFont="1" applyFill="1"/>
    <xf numFmtId="0" fontId="46" fillId="4" borderId="18" xfId="0" applyFont="1" applyFill="1" applyBorder="1">
      <alignment horizontal="center" vertical="center"/>
    </xf>
    <xf numFmtId="0" fontId="30" fillId="4" borderId="18" xfId="0" applyFont="1" applyFill="1" applyBorder="1">
      <alignment vertical="center"/>
    </xf>
    <xf numFmtId="0" fontId="30" fillId="4" borderId="18" xfId="0" applyFont="1" applyFill="1" applyBorder="1">
      <alignment vertical="center" wrapText="1"/>
    </xf>
    <xf numFmtId="0" fontId="0" fillId="25" borderId="0" xfId="0" applyFont="1" applyFill="1">
      <alignment horizontal="center"/>
    </xf>
    <xf numFmtId="0" fontId="46" fillId="4" borderId="18" xfId="0" applyFont="1" applyFill="1" applyBorder="1">
      <alignment horizontal="center" vertical="center"/>
    </xf>
    <xf numFmtId="0" fontId="30" fillId="4" borderId="18" xfId="0" applyFont="1" applyFill="1" applyBorder="1">
      <alignment vertical="center"/>
    </xf>
    <xf numFmtId="0" fontId="30" fillId="4" borderId="18" xfId="0" applyFont="1" applyFill="1" applyBorder="1">
      <alignment vertical="center" wrapText="1"/>
    </xf>
    <xf numFmtId="0" fontId="19" fillId="0" borderId="0" xfId="0" applyFont="1"/>
    <xf numFmtId="0" fontId="30" fillId="4" borderId="18" xfId="0" applyFont="1" applyFill="1" applyBorder="1" quotePrefix="1">
      <alignment vertical="center" wrapText="1"/>
    </xf>
    <xf numFmtId="0" fontId="19" fillId="25" borderId="0" xfId="0" applyFont="1" applyFill="1">
      <alignment horizontal="center"/>
    </xf>
    <xf numFmtId="0" fontId="30" fillId="4" borderId="18" xfId="0" applyFont="1" applyFill="1" applyBorder="1" quotePrefix="1">
      <alignment vertical="center" wrapText="1"/>
    </xf>
    <xf numFmtId="0" fontId="19" fillId="33" borderId="18" xfId="0" applyFont="1" applyFill="1" applyBorder="1">
      <alignment horizontal="left" vertical="center" wrapText="1" indent="1"/>
    </xf>
    <xf numFmtId="0" fontId="19" fillId="35" borderId="18" xfId="0" applyFont="1" applyFill="1" applyBorder="1">
      <alignment horizontal="left" vertical="center" wrapText="1" indent="1"/>
      <protection locked="0"/>
    </xf>
    <xf numFmtId="49" fontId="0" fillId="0" borderId="0" xfId="0" applyFont="1" applyNumberFormat="1">
      <alignment vertical="top"/>
    </xf>
    <xf numFmtId="0" fontId="23" fillId="33" borderId="19" xfId="0" applyFont="1" applyFill="1" applyBorder="1">
      <alignment horizontal="center" vertical="center"/>
    </xf>
    <xf numFmtId="0" fontId="19" fillId="33" borderId="19" xfId="0" applyFont="1" applyFill="1" applyBorder="1">
      <alignment horizontal="left" vertical="center" wrapText="1" indent="1"/>
    </xf>
    <xf numFmtId="49" fontId="19" fillId="33" borderId="19" xfId="0" applyFont="1" applyFill="1" applyBorder="1" applyNumberFormat="1">
      <alignment horizontal="left" vertical="center" wrapText="1" indent="1"/>
    </xf>
    <xf numFmtId="49" fontId="19" fillId="33" borderId="19" xfId="0" applyFont="1" applyFill="1" applyBorder="1" applyNumberFormat="1">
      <alignment horizontal="left" vertical="center" wrapText="1" indent="1"/>
    </xf>
    <xf numFmtId="0" fontId="19" fillId="33" borderId="19" xfId="0" applyFont="1" applyFill="1" applyBorder="1">
      <alignment horizontal="left" vertical="center" wrapText="1" indent="1"/>
    </xf>
    <xf numFmtId="0" fontId="19" fillId="33" borderId="19" xfId="0" applyFont="1" applyFill="1" applyBorder="1">
      <alignment horizontal="left" vertical="center" wrapText="1" indent="1"/>
    </xf>
    <xf numFmtId="0" fontId="19" fillId="33" borderId="19" xfId="0" applyFont="1" applyFill="1" applyBorder="1">
      <alignment horizontal="left" vertical="center" wrapText="1" indent="1"/>
    </xf>
    <xf numFmtId="49" fontId="24" fillId="33" borderId="19" xfId="0" applyFont="1" applyFill="1" applyBorder="1" applyNumberFormat="1">
      <alignment horizontal="left" vertical="center" wrapText="1" indent="1"/>
    </xf>
    <xf numFmtId="0" fontId="0" fillId="25" borderId="0" xfId="0" applyFont="1" applyFill="1">
      <alignment horizontal="center" vertical="center"/>
    </xf>
    <xf numFmtId="175" fontId="26" fillId="43" borderId="0" xfId="0" applyFont="1" applyFill="1" applyNumberFormat="1">
      <alignment vertical="center"/>
    </xf>
    <xf numFmtId="49" fontId="67" fillId="0" borderId="0" xfId="0" applyFont="1" applyNumberFormat="1">
      <alignment horizontal="center" vertical="center" wrapText="1"/>
    </xf>
    <xf numFmtId="0" fontId="19" fillId="0" borderId="19" xfId="0" applyFont="1" applyBorder="1">
      <alignment horizontal="right" vertical="center" wrapText="1" indent="1"/>
    </xf>
    <xf numFmtId="49" fontId="50" fillId="34" borderId="19" xfId="0" applyFont="1" applyFill="1" applyBorder="1" applyNumberFormat="1">
      <alignment horizontal="left" vertical="center" wrapText="1" indent="1"/>
      <protection locked="0"/>
    </xf>
    <xf numFmtId="0" fontId="19" fillId="48" borderId="0" xfId="0" applyFont="1" applyFill="1">
      <alignment horizontal="center" vertical="center"/>
    </xf>
    <xf numFmtId="0" fontId="26" fillId="0" borderId="0" xfId="0" applyFont="1">
      <alignment vertical="center"/>
    </xf>
    <xf numFmtId="49" fontId="50" fillId="34" borderId="19" xfId="0" applyFont="1" applyFill="1" applyBorder="1" applyNumberFormat="1">
      <alignment horizontal="left" vertical="center" wrapText="1" indent="1"/>
    </xf>
    <xf numFmtId="0" fontId="26" fillId="0" borderId="0" xfId="0" applyFont="1">
      <alignment vertical="center" wrapText="1"/>
    </xf>
    <xf numFmtId="49" fontId="40" fillId="42" borderId="42" xfId="0" applyFont="1" applyFill="1" applyBorder="1" applyNumberFormat="1">
      <alignment horizontal="left" vertical="center" wrapText="1"/>
    </xf>
    <xf numFmtId="49" fontId="40" fillId="42" borderId="40" xfId="0" applyFont="1" applyFill="1" applyBorder="1" applyNumberFormat="1">
      <alignment horizontal="left" vertical="center" wrapText="1"/>
    </xf>
    <xf numFmtId="49" fontId="40" fillId="42" borderId="41" xfId="0" applyFont="1" applyFill="1" applyBorder="1" applyNumberFormat="1">
      <alignment horizontal="left" vertical="center" wrapText="1"/>
    </xf>
    <xf numFmtId="49" fontId="67" fillId="0" borderId="0" xfId="0" applyFont="1" applyNumberFormat="1">
      <alignment vertical="top" wrapText="1"/>
    </xf>
    <xf numFmtId="49" fontId="40" fillId="0" borderId="49" xfId="0" applyFont="1" applyBorder="1" applyNumberFormat="1">
      <alignment horizontal="left" vertical="center" wrapText="1"/>
    </xf>
    <xf numFmtId="49" fontId="40" fillId="0" borderId="53" xfId="0" applyFont="1" applyBorder="1" applyNumberFormat="1">
      <alignment horizontal="left" vertical="center" wrapText="1"/>
    </xf>
    <xf numFmtId="49" fontId="40" fillId="0" borderId="54" xfId="0" applyFont="1" applyBorder="1" applyNumberFormat="1">
      <alignment horizontal="left" vertical="center" wrapText="1"/>
    </xf>
    <xf numFmtId="0" fontId="24" fillId="0" borderId="19" xfId="0" applyFont="1" applyBorder="1">
      <alignment horizontal="right" vertical="center" wrapText="1" indent="1"/>
    </xf>
    <xf numFmtId="0" fontId="19" fillId="50" borderId="19" xfId="0" applyFont="1" applyFill="1" applyBorder="1">
      <alignment horizontal="left" vertical="center" wrapText="1" indent="1"/>
    </xf>
    <xf numFmtId="0" fontId="26" fillId="0" borderId="0" xfId="0" applyFont="1">
      <alignment vertical="center"/>
    </xf>
    <xf numFmtId="49" fontId="19" fillId="34" borderId="19" xfId="0" applyFont="1" applyFill="1" applyBorder="1" applyNumberFormat="1">
      <alignment horizontal="left" vertical="center" wrapText="1" indent="1"/>
    </xf>
    <xf numFmtId="49" fontId="24" fillId="34" borderId="19" xfId="0" applyFont="1" applyFill="1" applyBorder="1" applyNumberFormat="1">
      <alignment horizontal="left" vertical="center" wrapText="1" indent="1"/>
    </xf>
    <xf numFmtId="0" fontId="19" fillId="0" borderId="13" xfId="0" applyFont="1" applyBorder="1">
      <alignment horizontal="center" vertical="center" textRotation="90" wrapText="1"/>
    </xf>
    <xf numFmtId="0" fontId="19" fillId="0" borderId="43" xfId="0" applyFont="1" applyBorder="1">
      <alignment horizontal="right" vertical="center" wrapText="1" indent="1"/>
    </xf>
    <xf numFmtId="0" fontId="19" fillId="0" borderId="29" xfId="0" applyFont="1" applyBorder="1">
      <alignment horizontal="right" vertical="center" wrapText="1" indent="1"/>
    </xf>
    <xf numFmtId="49" fontId="19" fillId="34" borderId="19" xfId="0" applyFont="1" applyFill="1" applyBorder="1" applyNumberFormat="1">
      <alignment horizontal="left" vertical="center" wrapText="1" indent="1"/>
      <protection locked="0"/>
    </xf>
    <xf numFmtId="0" fontId="19" fillId="0" borderId="71" xfId="0" applyFont="1" applyBorder="1">
      <alignment horizontal="center" vertical="center" textRotation="90" wrapText="1"/>
    </xf>
    <xf numFmtId="49" fontId="19" fillId="35" borderId="19" xfId="0" applyFont="1" applyFill="1" applyBorder="1" applyNumberFormat="1">
      <alignment horizontal="left" vertical="center" wrapText="1" indent="1"/>
      <protection locked="0"/>
    </xf>
    <xf numFmtId="174" fontId="24" fillId="35" borderId="19" xfId="0" applyFont="1" applyFill="1" applyBorder="1" applyNumberFormat="1">
      <alignment horizontal="left" vertical="center" wrapText="1" indent="1"/>
      <protection locked="0"/>
    </xf>
    <xf numFmtId="0" fontId="19" fillId="0" borderId="52" xfId="0" applyFont="1" applyBorder="1">
      <alignment horizontal="center" vertical="center" textRotation="90" wrapText="1"/>
    </xf>
    <xf numFmtId="49" fontId="50" fillId="34" borderId="19" xfId="0" applyFont="1" applyFill="1" applyBorder="1" applyNumberFormat="1">
      <alignment horizontal="left" vertical="center" wrapText="1" indent="1"/>
      <protection locked="0"/>
    </xf>
    <xf numFmtId="0" fontId="52" fillId="0" borderId="58" xfId="0" applyFont="1" applyBorder="1">
      <alignment horizontal="center" vertical="top" wrapText="1"/>
    </xf>
    <xf numFmtId="49" fontId="19" fillId="34" borderId="19" xfId="0" applyFont="1" applyFill="1" applyBorder="1" applyNumberFormat="1">
      <alignment horizontal="left" vertical="center" wrapText="1" indent="1"/>
    </xf>
    <xf numFmtId="49" fontId="19" fillId="35" borderId="19" xfId="0" applyFont="1" applyFill="1" applyBorder="1" applyNumberFormat="1">
      <alignment horizontal="left" vertical="center" wrapText="1" indent="1"/>
    </xf>
    <xf numFmtId="174" fontId="24" fillId="35" borderId="19" xfId="0" applyFont="1" applyFill="1" applyBorder="1" applyNumberFormat="1">
      <alignment horizontal="left" vertical="center" wrapText="1" indent="1"/>
    </xf>
    <xf numFmtId="49" fontId="50" fillId="34" borderId="19" xfId="0" applyFont="1" applyFill="1" applyBorder="1" applyNumberFormat="1">
      <alignment horizontal="left" vertical="center" wrapText="1" indent="1"/>
    </xf>
    <xf numFmtId="0" fontId="19" fillId="0" borderId="19" xfId="0" applyFont="1" applyBorder="1">
      <alignment horizontal="center" vertical="center" textRotation="90" wrapText="1"/>
    </xf>
    <xf numFmtId="49" fontId="19" fillId="34" borderId="19" xfId="0" applyFont="1" applyFill="1" applyBorder="1" applyNumberFormat="1">
      <alignment horizontal="left" vertical="center" wrapText="1" indent="1"/>
      <protection locked="0"/>
    </xf>
    <xf numFmtId="49" fontId="19" fillId="35" borderId="19" xfId="0" applyFont="1" applyFill="1" applyBorder="1" applyNumberFormat="1">
      <alignment horizontal="left" vertical="center" wrapText="1" indent="1"/>
      <protection locked="0"/>
    </xf>
    <xf numFmtId="49" fontId="19" fillId="34" borderId="19" xfId="0" applyFont="1" applyFill="1" applyBorder="1" applyNumberFormat="1">
      <alignment horizontal="left" vertical="center" wrapText="1" indent="1"/>
    </xf>
    <xf numFmtId="49" fontId="19" fillId="35" borderId="19" xfId="0" applyFont="1" applyFill="1" applyBorder="1" applyNumberFormat="1">
      <alignment horizontal="left" vertical="center" wrapText="1" indent="1"/>
    </xf>
    <xf numFmtId="49" fontId="83" fillId="34" borderId="19" xfId="0" applyFont="1" applyFill="1" applyBorder="1" applyNumberFormat="1">
      <alignment horizontal="left" vertical="center" wrapText="1" indent="1"/>
      <protection locked="0"/>
    </xf>
    <xf numFmtId="0" fontId="19" fillId="0" borderId="51" xfId="0" applyFont="1" applyBorder="1">
      <alignment horizontal="center" vertical="center" wrapText="1"/>
    </xf>
    <xf numFmtId="0" fontId="19" fillId="0" borderId="67" xfId="0" applyFont="1" applyBorder="1">
      <alignment horizontal="center" vertical="center" wrapText="1"/>
    </xf>
    <xf numFmtId="49" fontId="19" fillId="0" borderId="55" xfId="0" applyFont="1" applyBorder="1" applyNumberFormat="1">
      <alignment horizontal="right" vertical="center" wrapText="1" indent="1"/>
    </xf>
    <xf numFmtId="0" fontId="26" fillId="0" borderId="0" xfId="0" applyFont="1">
      <alignment horizontal="left" vertical="center" wrapText="1"/>
    </xf>
    <xf numFmtId="49" fontId="19" fillId="0" borderId="29" xfId="0" applyFont="1" applyBorder="1" applyNumberFormat="1">
      <alignment horizontal="right" vertical="center" wrapText="1" indent="1"/>
    </xf>
    <xf numFmtId="0" fontId="19" fillId="0" borderId="37" xfId="0" applyFont="1" applyBorder="1">
      <alignment horizontal="center" vertical="center" wrapText="1"/>
    </xf>
    <xf numFmtId="0" fontId="19" fillId="0" borderId="62" xfId="0" applyFont="1" applyBorder="1">
      <alignment horizontal="center" vertical="center" wrapText="1"/>
    </xf>
    <xf numFmtId="174" fontId="24" fillId="35" borderId="19" xfId="0" applyFont="1" applyFill="1" applyBorder="1" applyNumberFormat="1">
      <alignment horizontal="left" vertical="center" wrapText="1" indent="1"/>
      <protection locked="0"/>
    </xf>
    <xf numFmtId="49" fontId="26" fillId="0" borderId="0" xfId="0" applyFont="1" applyNumberFormat="1">
      <alignment vertical="center"/>
    </xf>
    <xf numFmtId="0" fontId="26" fillId="0" borderId="0" xfId="0" applyFont="1">
      <alignment horizontal="center" vertical="top"/>
    </xf>
    <xf numFmtId="0" fontId="26" fillId="0" borderId="67" xfId="0" applyFont="1" applyBorder="1">
      <alignment horizontal="center" vertical="center"/>
    </xf>
    <xf numFmtId="0" fontId="19" fillId="35" borderId="51" xfId="0" applyFont="1" applyFill="1" applyBorder="1">
      <alignment horizontal="center" vertical="center" wrapText="1"/>
    </xf>
    <xf numFmtId="0" fontId="19" fillId="35" borderId="67" xfId="0" applyFont="1" applyFill="1" applyBorder="1">
      <alignment horizontal="center" vertical="center" wrapText="1"/>
    </xf>
    <xf numFmtId="0" fontId="23" fillId="0" borderId="19" xfId="0" applyFont="1" applyBorder="1">
      <alignment horizontal="right" vertical="center" wrapText="1" indent="1"/>
    </xf>
    <xf numFmtId="0" fontId="42" fillId="33" borderId="19" xfId="0" applyFont="1" applyFill="1" applyBorder="1">
      <alignment horizontal="left" vertical="center" wrapText="1" indent="1"/>
    </xf>
    <xf numFmtId="49" fontId="67" fillId="0" borderId="0" xfId="0" applyFont="1" applyNumberFormat="1">
      <alignment horizontal="center" vertical="top" wrapText="1"/>
    </xf>
    <xf numFmtId="14" fontId="66" fillId="0" borderId="0" xfId="0" applyFont="1" applyNumberFormat="1">
      <alignment vertical="center"/>
    </xf>
    <xf numFmtId="0" fontId="66" fillId="0" borderId="0" xfId="0" applyFont="1">
      <alignment vertical="center"/>
    </xf>
    <xf numFmtId="49" fontId="19" fillId="0" borderId="19" xfId="0" applyFont="1" applyBorder="1" applyNumberFormat="1">
      <alignment horizontal="right" vertical="center" wrapText="1" indent="1"/>
    </xf>
    <xf numFmtId="49" fontId="24" fillId="33" borderId="19" xfId="0" applyFont="1" applyFill="1" applyBorder="1" applyNumberFormat="1">
      <alignment horizontal="left" vertical="center" wrapText="1" indent="1"/>
    </xf>
    <xf numFmtId="0" fontId="24" fillId="35" borderId="19" xfId="0" applyFont="1" applyFill="1" applyBorder="1">
      <alignment horizontal="left" vertical="center" wrapText="1" indent="1"/>
    </xf>
    <xf numFmtId="49" fontId="24" fillId="50" borderId="19" xfId="0" applyFont="1" applyFill="1" applyBorder="1" applyNumberFormat="1">
      <alignment horizontal="left" vertical="center" wrapText="1" indent="1"/>
    </xf>
    <xf numFmtId="0" fontId="19" fillId="0" borderId="19" xfId="0" applyFont="1" applyBorder="1">
      <alignment horizontal="right" vertical="center" wrapText="1" indent="1"/>
    </xf>
    <xf numFmtId="0" fontId="19" fillId="34" borderId="19" xfId="0" applyFont="1" applyFill="1" applyBorder="1">
      <alignment horizontal="left" vertical="center" wrapText="1" indent="1"/>
    </xf>
    <xf numFmtId="174" fontId="24" fillId="34" borderId="19" xfId="0" applyFont="1" applyFill="1" applyBorder="1" applyNumberFormat="1">
      <alignment horizontal="left" vertical="center" wrapText="1" indent="1"/>
    </xf>
    <xf numFmtId="14" fontId="24" fillId="34" borderId="19" xfId="0" applyFont="1" applyFill="1" applyBorder="1" applyNumberFormat="1">
      <alignment horizontal="left" vertical="center" wrapText="1" indent="1"/>
    </xf>
    <xf numFmtId="174" fontId="19" fillId="35" borderId="18" xfId="0" applyFont="1" applyFill="1" applyBorder="1" applyNumberFormat="1">
      <alignment horizontal="left" vertical="center" wrapText="1" indent="1"/>
    </xf>
    <xf numFmtId="0" fontId="19" fillId="35" borderId="18" xfId="0" applyFont="1" applyFill="1" applyBorder="1">
      <alignment horizontal="left" vertical="center" wrapText="1" indent="1"/>
    </xf>
    <xf numFmtId="0" fontId="19" fillId="35" borderId="18" xfId="0" applyFont="1" applyFill="1" applyBorder="1">
      <alignment horizontal="left" vertical="center" wrapText="1" indent="1"/>
    </xf>
    <xf numFmtId="0" fontId="19" fillId="35" borderId="51" xfId="0" applyFont="1" applyFill="1" applyBorder="1">
      <alignment horizontal="center" vertical="center" wrapText="1"/>
      <protection locked="0"/>
    </xf>
    <xf numFmtId="0" fontId="19" fillId="35" borderId="67" xfId="0" applyFont="1" applyFill="1" applyBorder="1">
      <alignment horizontal="center" vertical="center" wrapText="1"/>
      <protection locked="0"/>
    </xf>
    <xf numFmtId="0" fontId="24" fillId="35" borderId="19" xfId="0" applyFont="1" applyFill="1" applyBorder="1">
      <alignment horizontal="left" vertical="center" wrapText="1" indent="1"/>
      <protection locked="0"/>
    </xf>
    <xf numFmtId="0" fontId="19" fillId="34" borderId="19" xfId="0" applyFont="1" applyFill="1" applyBorder="1">
      <alignment horizontal="left" vertical="center" wrapText="1" indent="1"/>
      <protection locked="0"/>
    </xf>
    <xf numFmtId="174" fontId="24" fillId="34" borderId="19" xfId="0" applyFont="1" applyFill="1" applyBorder="1" applyNumberFormat="1">
      <alignment horizontal="left" vertical="center" wrapText="1" indent="1"/>
      <protection locked="0"/>
    </xf>
    <xf numFmtId="14" fontId="24" fillId="34" borderId="19" xfId="0" applyFont="1" applyFill="1" applyBorder="1" applyNumberFormat="1">
      <alignment horizontal="left" vertical="center" wrapText="1" indent="1"/>
      <protection locked="0"/>
    </xf>
    <xf numFmtId="174" fontId="19" fillId="35" borderId="18" xfId="0" applyFont="1" applyFill="1" applyBorder="1" applyNumberFormat="1">
      <alignment horizontal="left" vertical="center" wrapText="1" indent="1"/>
      <protection locked="0"/>
    </xf>
    <xf numFmtId="0" fontId="19" fillId="35" borderId="18" xfId="0" applyFont="1" applyFill="1" applyBorder="1">
      <alignment horizontal="left" vertical="center" wrapText="1" indent="1"/>
      <protection locked="0"/>
    </xf>
    <xf numFmtId="0" fontId="19" fillId="0" borderId="72" xfId="0" applyFont="1" applyBorder="1">
      <alignment horizontal="right" vertical="center" wrapText="1" indent="1"/>
    </xf>
    <xf numFmtId="0" fontId="19" fillId="0" borderId="58" xfId="0" applyFont="1" applyBorder="1">
      <alignment horizontal="right" vertical="center" wrapText="1" indent="1"/>
    </xf>
    <xf numFmtId="49" fontId="19" fillId="35" borderId="19" xfId="0" applyFont="1" applyFill="1" applyBorder="1" applyNumberFormat="1">
      <alignment horizontal="right" vertical="center" wrapText="1" indent="1"/>
    </xf>
    <xf numFmtId="175" fontId="19" fillId="43" borderId="0" xfId="0" applyFont="1" applyFill="1" applyNumberFormat="1">
      <alignment vertical="top"/>
    </xf>
    <xf numFmtId="49" fontId="48" fillId="0" borderId="0" xfId="0" applyFont="1" applyNumberFormat="1">
      <alignment vertical="top"/>
    </xf>
    <xf numFmtId="0" fontId="19" fillId="0" borderId="44" xfId="0" applyFont="1" applyBorder="1">
      <alignment horizontal="right" vertical="center" wrapText="1" indent="1"/>
    </xf>
    <xf numFmtId="49" fontId="24" fillId="34" borderId="19" xfId="0" applyFont="1" applyFill="1" applyBorder="1" applyNumberFormat="1">
      <alignment horizontal="left" vertical="center" wrapText="1" indent="1"/>
      <protection locked="0"/>
    </xf>
    <xf numFmtId="49" fontId="0" fillId="0" borderId="0" xfId="0" applyFont="1" applyNumberFormat="1">
      <alignment vertical="top"/>
    </xf>
    <xf numFmtId="49" fontId="0" fillId="0" borderId="0" xfId="0" applyFont="1" applyNumberFormat="1">
      <alignment vertical="top"/>
    </xf>
    <xf numFmtId="0" fontId="19" fillId="0" borderId="0" xfId="0" applyFont="1">
      <alignment vertical="top"/>
    </xf>
    <xf numFmtId="0" fontId="19" fillId="43" borderId="0" xfId="0" applyFont="1" applyFill="1">
      <alignment vertical="center" wrapText="1"/>
    </xf>
    <xf numFmtId="0" fontId="19" fillId="0" borderId="0" xfId="0" applyFont="1">
      <alignment vertical="center"/>
    </xf>
    <xf numFmtId="0" fontId="19" fillId="48" borderId="0" xfId="0" applyFont="1" applyFill="1">
      <alignment horizontal="center" vertical="center"/>
    </xf>
    <xf numFmtId="0" fontId="61" fillId="0" borderId="0" xfId="0" applyFont="1">
      <alignment wrapText="1"/>
    </xf>
    <xf numFmtId="0" fontId="19" fillId="0" borderId="0" xfId="0" applyFont="1">
      <alignment horizontal="center" vertical="center" wrapText="1"/>
    </xf>
    <xf numFmtId="0" fontId="24" fillId="0" borderId="0" xfId="0" applyFont="1">
      <alignment horizontal="center" vertical="top" wrapText="1"/>
    </xf>
    <xf numFmtId="0" fontId="72" fillId="0" borderId="0" xfId="0" applyFont="1">
      <alignment horizontal="center" vertical="center" wrapText="1"/>
    </xf>
    <xf numFmtId="0" fontId="72" fillId="0" borderId="0" xfId="0" applyFont="1">
      <alignment vertical="center" wrapText="1"/>
    </xf>
    <xf numFmtId="0" fontId="39" fillId="41" borderId="24" xfId="0" applyFont="1" applyFill="1" applyBorder="1">
      <alignment horizontal="left" vertical="center"/>
    </xf>
    <xf numFmtId="49" fontId="39" fillId="41" borderId="24" xfId="0" applyFont="1" applyFill="1" applyBorder="1" applyNumberFormat="1">
      <alignment horizontal="left" vertical="center" wrapText="1"/>
    </xf>
    <xf numFmtId="0" fontId="19" fillId="0" borderId="0" xfId="0" applyFont="1">
      <alignment vertical="center" wrapText="1"/>
    </xf>
    <xf numFmtId="0" fontId="73" fillId="0" borderId="0" xfId="0" applyFont="1">
      <alignment horizontal="center" vertical="top" wrapText="1"/>
    </xf>
    <xf numFmtId="0" fontId="19" fillId="0" borderId="0" xfId="0" applyFont="1">
      <alignment horizontal="center" wrapText="1"/>
    </xf>
    <xf numFmtId="0" fontId="19" fillId="0" borderId="0" xfId="0" applyFont="1">
      <alignment vertical="center" wrapText="1"/>
    </xf>
    <xf numFmtId="0" fontId="19" fillId="0" borderId="0" xfId="0" applyFont="1">
      <alignment wrapText="1"/>
    </xf>
    <xf numFmtId="0" fontId="52" fillId="0" borderId="0" xfId="0" applyFont="1">
      <alignment horizontal="center" vertical="center" wrapText="1"/>
    </xf>
    <xf numFmtId="0" fontId="19" fillId="0" borderId="56" xfId="0" applyFont="1" applyBorder="1">
      <alignment horizontal="center" vertical="center" wrapText="1"/>
    </xf>
    <xf numFmtId="0" fontId="19" fillId="33" borderId="28" xfId="0" applyFont="1" applyFill="1" applyBorder="1">
      <alignment horizontal="left" vertical="center" wrapText="1" indent="1"/>
    </xf>
    <xf numFmtId="49" fontId="19" fillId="33" borderId="28" xfId="0" applyFont="1" applyFill="1" applyBorder="1" applyNumberFormat="1">
      <alignment horizontal="left" vertical="center" wrapText="1" indent="1"/>
    </xf>
    <xf numFmtId="0" fontId="19" fillId="34" borderId="28" xfId="0" applyFont="1" applyFill="1" applyBorder="1">
      <alignment horizontal="left" vertical="center" wrapText="1" indent="1"/>
    </xf>
    <xf numFmtId="49" fontId="19" fillId="34" borderId="33" xfId="0" applyFont="1" applyFill="1" applyBorder="1" applyNumberFormat="1">
      <alignment horizontal="left" vertical="center" wrapText="1" indent="1"/>
    </xf>
    <xf numFmtId="0" fontId="19" fillId="0" borderId="0" xfId="0" applyFont="1">
      <alignment vertical="center" wrapText="1"/>
    </xf>
    <xf numFmtId="49" fontId="40" fillId="42" borderId="25" xfId="0" applyFont="1" applyFill="1" applyBorder="1" applyNumberFormat="1">
      <alignment horizontal="left" vertical="center" wrapText="1" indent="1"/>
    </xf>
    <xf numFmtId="49" fontId="40" fillId="42" borderId="26" xfId="0" applyFont="1" applyFill="1" applyBorder="1" applyNumberFormat="1">
      <alignment horizontal="left" vertical="center" indent="1"/>
    </xf>
    <xf numFmtId="49" fontId="40" fillId="42" borderId="26" xfId="0" applyFont="1" applyFill="1" applyBorder="1" applyNumberFormat="1">
      <alignment horizontal="left" vertical="center" wrapText="1" indent="1"/>
    </xf>
    <xf numFmtId="49" fontId="40" fillId="42" borderId="27" xfId="0" applyFont="1" applyFill="1" applyBorder="1" applyNumberFormat="1">
      <alignment horizontal="left" vertical="center" wrapText="1" indent="1"/>
    </xf>
    <xf numFmtId="0" fontId="19" fillId="34" borderId="28" xfId="0" applyFont="1" applyFill="1" applyBorder="1">
      <alignment horizontal="left" vertical="center" wrapText="1" indent="1"/>
      <protection locked="0"/>
    </xf>
    <xf numFmtId="49" fontId="19" fillId="34" borderId="33" xfId="0" applyFont="1" applyFill="1" applyBorder="1" applyNumberFormat="1">
      <alignment horizontal="left" vertical="center" wrapText="1" indent="1"/>
      <protection locked="0"/>
    </xf>
    <xf numFmtId="49" fontId="40" fillId="42" borderId="25" xfId="0" applyFont="1" applyFill="1" applyBorder="1" applyNumberFormat="1">
      <alignment horizontal="left" vertical="center" wrapText="1" indent="1"/>
    </xf>
    <xf numFmtId="49" fontId="40" fillId="42" borderId="26" xfId="0" applyFont="1" applyFill="1" applyBorder="1" applyNumberFormat="1">
      <alignment horizontal="left" vertical="center"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7" xfId="0" applyFont="1" applyFill="1" applyBorder="1" applyNumberFormat="1">
      <alignment horizontal="left" vertical="center" wrapText="1" indent="1"/>
    </xf>
    <xf numFmtId="49" fontId="40" fillId="42" borderId="25" xfId="0" applyFont="1" applyFill="1" applyBorder="1" applyNumberFormat="1">
      <alignment horizontal="left" vertical="center" wrapText="1" indent="1"/>
    </xf>
    <xf numFmtId="49" fontId="40" fillId="42" borderId="26" xfId="0" applyFont="1" applyFill="1" applyBorder="1" applyNumberFormat="1">
      <alignment horizontal="left" vertical="center"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7" xfId="0" applyFont="1" applyFill="1" applyBorder="1" applyNumberFormat="1">
      <alignment horizontal="left" vertical="center" wrapText="1" indent="1"/>
    </xf>
    <xf numFmtId="49" fontId="40" fillId="42" borderId="25" xfId="0" applyFont="1" applyFill="1" applyBorder="1" applyNumberFormat="1">
      <alignment horizontal="left" vertical="center" wrapText="1" indent="1"/>
    </xf>
    <xf numFmtId="49" fontId="40" fillId="42" borderId="26" xfId="0" applyFont="1" applyFill="1" applyBorder="1" applyNumberFormat="1">
      <alignment horizontal="left" vertical="center"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7" xfId="0" applyFont="1" applyFill="1" applyBorder="1" applyNumberFormat="1">
      <alignment horizontal="left" vertical="center" wrapText="1" indent="1"/>
    </xf>
    <xf numFmtId="49" fontId="0" fillId="0" borderId="0" xfId="0" applyFont="1" applyNumberFormat="1">
      <alignment vertical="top"/>
    </xf>
    <xf numFmtId="0" fontId="0" fillId="0" borderId="0" xfId="0" applyFont="1">
      <alignment horizontal="center"/>
    </xf>
    <xf numFmtId="0" fontId="24" fillId="43" borderId="0" xfId="0" applyFont="1" applyFill="1">
      <alignment horizontal="center"/>
    </xf>
    <xf numFmtId="0" fontId="24" fillId="0" borderId="0" xfId="0" applyFont="1"/>
    <xf numFmtId="0" fontId="19" fillId="39" borderId="0" xfId="0" applyFont="1" applyFill="1"/>
    <xf numFmtId="0" fontId="24" fillId="48" borderId="0" xfId="0" applyFont="1" applyFill="1">
      <alignment horizontal="center" vertical="center"/>
    </xf>
    <xf numFmtId="0" fontId="24" fillId="0" borderId="0" xfId="0" applyFont="1">
      <alignment horizontal="center" vertical="center"/>
    </xf>
    <xf numFmtId="0" fontId="24" fillId="0" borderId="0" xfId="0" applyFont="1">
      <alignment horizontal="center"/>
    </xf>
    <xf numFmtId="0" fontId="24" fillId="4" borderId="0" xfId="0" applyFont="1" applyFill="1"/>
    <xf numFmtId="0" fontId="24" fillId="43" borderId="0" xfId="0" applyFont="1" applyFill="1"/>
    <xf numFmtId="0" fontId="0" fillId="25" borderId="0" xfId="0" applyFont="1" applyFill="1">
      <alignment horizontal="center" vertical="center" wrapText="1"/>
    </xf>
    <xf numFmtId="0" fontId="31" fillId="0" borderId="0" xfId="0" applyFont="1">
      <alignment vertical="center"/>
    </xf>
    <xf numFmtId="0" fontId="31" fillId="0" borderId="0" xfId="0" applyFont="1"/>
    <xf numFmtId="0" fontId="24" fillId="0" borderId="18" xfId="0" applyFont="1" applyBorder="1">
      <alignment horizontal="center" vertical="center"/>
    </xf>
    <xf numFmtId="49" fontId="19" fillId="0" borderId="29" xfId="0" applyFont="1" applyBorder="1" applyNumberFormat="1">
      <alignment vertical="center" wrapText="1"/>
    </xf>
    <xf numFmtId="49" fontId="19" fillId="0" borderId="19" xfId="0" applyFont="1" applyBorder="1" applyNumberFormat="1">
      <alignment horizontal="center" vertical="center"/>
    </xf>
    <xf numFmtId="3" fontId="19" fillId="34" borderId="19" xfId="0" applyFont="1" applyFill="1" applyBorder="1" applyNumberFormat="1">
      <alignment horizontal="right" vertical="center"/>
    </xf>
    <xf numFmtId="49" fontId="19" fillId="34" borderId="18" xfId="0" applyFont="1" applyFill="1" applyBorder="1" applyNumberFormat="1">
      <alignment horizontal="left" vertical="center" wrapText="1"/>
    </xf>
    <xf numFmtId="4" fontId="19" fillId="34" borderId="19" xfId="0" applyFont="1" applyFill="1" applyBorder="1" applyNumberFormat="1">
      <alignment horizontal="right" vertical="center"/>
    </xf>
    <xf numFmtId="0" fontId="31" fillId="43" borderId="0" xfId="0" applyFont="1" applyFill="1">
      <alignment horizontal="center"/>
    </xf>
    <xf numFmtId="49" fontId="52" fillId="0" borderId="0" xfId="0" applyFont="1" applyNumberFormat="1">
      <alignment horizontal="center" vertical="center" wrapText="1"/>
    </xf>
    <xf numFmtId="49" fontId="19" fillId="35" borderId="18" xfId="0" applyFont="1" applyFill="1" applyBorder="1" applyNumberFormat="1">
      <alignment horizontal="left" vertical="center" wrapText="1"/>
    </xf>
    <xf numFmtId="49" fontId="19" fillId="35" borderId="18" xfId="0" applyFont="1" applyFill="1" applyBorder="1" applyNumberFormat="1">
      <alignment horizontal="center" vertical="center" wrapText="1"/>
    </xf>
    <xf numFmtId="4" fontId="19" fillId="34" borderId="19" xfId="0" applyFont="1" applyFill="1" applyBorder="1" applyNumberFormat="1">
      <alignment horizontal="right" vertical="center"/>
    </xf>
    <xf numFmtId="49" fontId="19" fillId="34" borderId="18" xfId="0" applyFont="1" applyFill="1" applyBorder="1" applyNumberFormat="1">
      <alignment horizontal="left" vertical="center" wrapText="1"/>
    </xf>
    <xf numFmtId="0" fontId="31" fillId="4" borderId="0" xfId="0" applyFont="1" applyFill="1"/>
    <xf numFmtId="49" fontId="31" fillId="4" borderId="0" xfId="0" applyFont="1" applyFill="1" applyNumberFormat="1"/>
    <xf numFmtId="0" fontId="31" fillId="43" borderId="0" xfId="0" applyFont="1" applyFill="1"/>
    <xf numFmtId="49" fontId="19" fillId="0" borderId="0" xfId="0" applyFont="1" applyNumberFormat="1">
      <alignment horizontal="right" vertical="center" wrapText="1"/>
    </xf>
    <xf numFmtId="49" fontId="40" fillId="42" borderId="26" xfId="0" applyFont="1" applyFill="1" applyBorder="1" applyNumberFormat="1">
      <alignment horizontal="left" vertical="center"/>
    </xf>
    <xf numFmtId="49" fontId="40" fillId="42" borderId="32" xfId="0" applyFont="1" applyFill="1" applyBorder="1" applyNumberFormat="1">
      <alignment horizontal="left" vertical="center" wrapText="1" indent="1"/>
    </xf>
    <xf numFmtId="49" fontId="24" fillId="0" borderId="0" xfId="0" applyFont="1" applyNumberFormat="1"/>
    <xf numFmtId="49" fontId="19" fillId="34" borderId="43" xfId="0" applyFont="1" applyFill="1" applyBorder="1" applyNumberFormat="1">
      <alignment horizontal="left" vertical="center" wrapText="1"/>
    </xf>
    <xf numFmtId="49" fontId="19" fillId="34" borderId="44" xfId="0" applyFont="1" applyFill="1" applyBorder="1" applyNumberFormat="1">
      <alignment horizontal="left" vertical="center" wrapText="1"/>
    </xf>
    <xf numFmtId="49" fontId="19" fillId="34" borderId="29" xfId="0" applyFont="1" applyFill="1" applyBorder="1" applyNumberFormat="1">
      <alignment horizontal="left" vertical="center" wrapText="1"/>
    </xf>
    <xf numFmtId="3" fontId="19" fillId="34" borderId="19" xfId="0" applyFont="1" applyFill="1" applyBorder="1" applyNumberFormat="1">
      <alignment horizontal="right" vertical="center"/>
      <protection locked="0"/>
    </xf>
    <xf numFmtId="49" fontId="19" fillId="34" borderId="18" xfId="0" applyFont="1" applyFill="1" applyBorder="1" applyNumberFormat="1">
      <alignment horizontal="left" vertical="center" wrapText="1"/>
      <protection locked="0"/>
    </xf>
    <xf numFmtId="4" fontId="19" fillId="34" borderId="19" xfId="0" applyFont="1" applyFill="1" applyBorder="1" applyNumberFormat="1">
      <alignment horizontal="right" vertical="center"/>
      <protection locked="0"/>
    </xf>
    <xf numFmtId="49" fontId="40" fillId="42" borderId="25" xfId="0" applyFont="1" applyFill="1" applyBorder="1" applyNumberFormat="1">
      <alignment horizontal="left" vertical="center" wrapText="1" indent="1"/>
    </xf>
    <xf numFmtId="49" fontId="40" fillId="42" borderId="26" xfId="0" applyFont="1" applyFill="1" applyBorder="1" applyNumberFormat="1">
      <alignment horizontal="left" vertical="center"/>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32" xfId="0" applyFont="1" applyFill="1" applyBorder="1" applyNumberFormat="1">
      <alignment horizontal="left" vertical="center" wrapText="1" indent="1"/>
    </xf>
    <xf numFmtId="49" fontId="19" fillId="34" borderId="43" xfId="0" applyFont="1" applyFill="1" applyBorder="1" applyNumberFormat="1">
      <alignment horizontal="left" vertical="center" wrapText="1"/>
      <protection locked="0"/>
    </xf>
    <xf numFmtId="49" fontId="19" fillId="34" borderId="44" xfId="0" applyFont="1" applyFill="1" applyBorder="1" applyNumberFormat="1">
      <alignment horizontal="left" vertical="center" wrapText="1"/>
      <protection locked="0"/>
    </xf>
    <xf numFmtId="49" fontId="19" fillId="34" borderId="29" xfId="0" applyFont="1" applyFill="1" applyBorder="1" applyNumberFormat="1">
      <alignment horizontal="left" vertical="center" wrapText="1"/>
      <protection locked="0"/>
    </xf>
    <xf numFmtId="49" fontId="40" fillId="42" borderId="25" xfId="0" applyFont="1" applyFill="1" applyBorder="1" applyNumberFormat="1">
      <alignment horizontal="left" vertical="center" wrapText="1" indent="1"/>
    </xf>
    <xf numFmtId="49" fontId="40" fillId="42" borderId="26" xfId="0" applyFont="1" applyFill="1" applyBorder="1" applyNumberFormat="1">
      <alignment horizontal="left" vertical="center"/>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32" xfId="0" applyFont="1" applyFill="1" applyBorder="1" applyNumberFormat="1">
      <alignment horizontal="left" vertical="center" wrapText="1" indent="1"/>
    </xf>
    <xf numFmtId="49" fontId="40" fillId="42" borderId="25" xfId="0" applyFont="1" applyFill="1" applyBorder="1" applyNumberFormat="1">
      <alignment horizontal="left" vertical="center" wrapText="1" indent="1"/>
    </xf>
    <xf numFmtId="49" fontId="40" fillId="42" borderId="26" xfId="0" applyFont="1" applyFill="1" applyBorder="1" applyNumberFormat="1">
      <alignment horizontal="left" vertical="center"/>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32" xfId="0" applyFont="1" applyFill="1" applyBorder="1" applyNumberFormat="1">
      <alignment horizontal="left" vertical="center" wrapText="1" indent="1"/>
    </xf>
    <xf numFmtId="0" fontId="0" fillId="0" borderId="0" xfId="0" applyFont="1">
      <alignment horizontal="center" vertical="center"/>
    </xf>
    <xf numFmtId="0" fontId="24" fillId="43" borderId="0" xfId="0" applyFont="1" applyFill="1">
      <alignment vertical="center"/>
    </xf>
    <xf numFmtId="0" fontId="19" fillId="0" borderId="0" xfId="0" applyFont="1">
      <alignment vertical="top"/>
    </xf>
    <xf numFmtId="0" fontId="19" fillId="0" borderId="0" xfId="0" applyFont="1">
      <alignment vertical="center"/>
    </xf>
    <xf numFmtId="0" fontId="24" fillId="0" borderId="0" xfId="0" applyFont="1">
      <alignment vertical="center"/>
    </xf>
    <xf numFmtId="0" fontId="19" fillId="34" borderId="74" xfId="0" applyFont="1" applyFill="1" applyBorder="1">
      <alignment horizontal="left" vertical="center" wrapText="1"/>
    </xf>
    <xf numFmtId="0" fontId="19" fillId="34" borderId="24" xfId="0" applyFont="1" applyFill="1" applyBorder="1">
      <alignment horizontal="left" vertical="center" wrapText="1"/>
    </xf>
    <xf numFmtId="0" fontId="19" fillId="34" borderId="57" xfId="0" applyFont="1" applyFill="1" applyBorder="1">
      <alignment horizontal="left" vertical="center" wrapText="1"/>
    </xf>
    <xf numFmtId="49" fontId="19" fillId="0" borderId="0" xfId="0" applyFont="1" applyNumberFormat="1">
      <alignment vertical="top"/>
    </xf>
    <xf numFmtId="49" fontId="19" fillId="4" borderId="0" xfId="0" applyFont="1" applyFill="1" applyNumberFormat="1">
      <alignment vertical="top"/>
    </xf>
    <xf numFmtId="49" fontId="19" fillId="43" borderId="0" xfId="0" applyFont="1" applyFill="1" applyNumberFormat="1">
      <alignment vertical="top"/>
    </xf>
    <xf numFmtId="49" fontId="19" fillId="43" borderId="0" xfId="0" applyFont="1" applyFill="1" applyNumberFormat="1">
      <alignment horizontal="center" vertical="top"/>
    </xf>
    <xf numFmtId="0" fontId="24" fillId="0" borderId="0" xfId="0" applyFont="1">
      <alignment horizontal="center" vertical="top"/>
    </xf>
    <xf numFmtId="0" fontId="19" fillId="0" borderId="0" xfId="0" applyFont="1"/>
    <xf numFmtId="0" fontId="19" fillId="0" borderId="18" xfId="0" applyFont="1" applyBorder="1">
      <alignment horizontal="center" vertical="center"/>
    </xf>
    <xf numFmtId="0" fontId="19" fillId="33" borderId="18" xfId="0" applyFont="1" applyFill="1" applyBorder="1">
      <alignment horizontal="left" vertical="center" wrapText="1" indent="1"/>
    </xf>
    <xf numFmtId="49" fontId="19" fillId="33" borderId="18" xfId="0" applyFont="1" applyFill="1" applyBorder="1" applyNumberFormat="1">
      <alignment horizontal="left" vertical="center" wrapText="1" indent="1"/>
    </xf>
    <xf numFmtId="0" fontId="19" fillId="4" borderId="0" xfId="0" applyFont="1" applyFill="1"/>
    <xf numFmtId="0" fontId="19" fillId="43" borderId="0" xfId="0" applyFont="1" applyFill="1"/>
    <xf numFmtId="49" fontId="40" fillId="42" borderId="26" xfId="0" applyFont="1" applyFill="1" applyBorder="1" applyNumberFormat="1">
      <alignment vertical="center" wrapText="1"/>
    </xf>
    <xf numFmtId="49" fontId="40" fillId="42" borderId="25" xfId="0" applyFont="1" applyFill="1" applyBorder="1" applyNumberFormat="1">
      <alignment horizontal="left" vertical="center" wrapText="1" indent="1"/>
    </xf>
    <xf numFmtId="49" fontId="40" fillId="42" borderId="26" xfId="0" applyFont="1" applyFill="1" applyBorder="1" applyNumberFormat="1">
      <alignment vertical="center" wrapTex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32" xfId="0" applyFont="1" applyFill="1" applyBorder="1" applyNumberFormat="1">
      <alignment horizontal="left" vertical="center" wrapText="1" indent="1"/>
    </xf>
    <xf numFmtId="49" fontId="40" fillId="42" borderId="25" xfId="0" applyFont="1" applyFill="1" applyBorder="1" applyNumberFormat="1">
      <alignment horizontal="left" vertical="center" wrapText="1" indent="1"/>
    </xf>
    <xf numFmtId="49" fontId="40" fillId="42" borderId="26" xfId="0" applyFont="1" applyFill="1" applyBorder="1" applyNumberFormat="1">
      <alignment vertical="center" wrapTex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32" xfId="0" applyFont="1" applyFill="1" applyBorder="1" applyNumberFormat="1">
      <alignment horizontal="left" vertical="center" wrapText="1" indent="1"/>
    </xf>
    <xf numFmtId="49" fontId="40" fillId="42" borderId="25" xfId="0" applyFont="1" applyFill="1" applyBorder="1" applyNumberFormat="1">
      <alignment horizontal="left" vertical="center" wrapText="1" indent="1"/>
    </xf>
    <xf numFmtId="49" fontId="40" fillId="42" borderId="26" xfId="0" applyFont="1" applyFill="1" applyBorder="1" applyNumberFormat="1">
      <alignment vertical="center" wrapTex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32" xfId="0" applyFont="1" applyFill="1" applyBorder="1" applyNumberFormat="1">
      <alignment horizontal="left" vertical="center" wrapText="1" indent="1"/>
    </xf>
    <xf numFmtId="0" fontId="19" fillId="0" borderId="0" xfId="50" applyFont="1">
      <alignment horizontal="left" vertical="center"/>
    </xf>
    <xf numFmtId="0" fontId="41" fillId="0" borderId="20" xfId="0" applyFont="1" applyBorder="1"/>
    <xf numFmtId="0" fontId="19" fillId="11" borderId="19" xfId="0" applyFont="1" applyFill="1" applyBorder="1">
      <alignment horizontal="center" vertical="center" wrapText="1"/>
    </xf>
    <xf numFmtId="0" fontId="19" fillId="0" borderId="19" xfId="0" applyFont="1" applyBorder="1">
      <alignment horizontal="center" vertical="center" wrapText="1"/>
    </xf>
    <xf numFmtId="4" fontId="24" fillId="34" borderId="19" xfId="0" applyFont="1" applyFill="1" applyBorder="1" applyNumberFormat="1">
      <alignment horizontal="right" vertical="center"/>
      <protection locked="0"/>
    </xf>
    <xf numFmtId="4" fontId="24" fillId="34" borderId="19" xfId="0" applyFont="1" applyFill="1" applyBorder="1" applyNumberFormat="1">
      <alignment horizontal="right" vertical="center"/>
    </xf>
    <xf numFmtId="0" fontId="24" fillId="0" borderId="0" xfId="0" applyFont="1">
      <alignment horizontal="right" vertical="center"/>
    </xf>
    <xf numFmtId="0" fontId="0" fillId="0" borderId="0" xfId="0" applyFont="1">
      <alignment horizontal="center" vertical="center" wrapText="1"/>
    </xf>
    <xf numFmtId="0" fontId="24" fillId="43" borderId="0" xfId="0" applyFont="1" applyFill="1">
      <alignment vertical="center" wrapText="1"/>
    </xf>
    <xf numFmtId="0" fontId="24" fillId="0" borderId="0" xfId="0" applyFont="1">
      <alignment horizontal="left"/>
    </xf>
    <xf numFmtId="0" fontId="24" fillId="0" borderId="0" xfId="0" applyFont="1">
      <alignment vertical="center" wrapText="1"/>
    </xf>
    <xf numFmtId="0" fontId="24" fillId="0" borderId="0" xfId="0" applyFont="1">
      <alignment horizontal="center" vertical="center" wrapText="1"/>
    </xf>
    <xf numFmtId="0" fontId="39" fillId="41" borderId="30" xfId="0" applyFont="1" applyFill="1" applyBorder="1">
      <alignment horizontal="left" vertical="center"/>
    </xf>
    <xf numFmtId="0" fontId="24" fillId="4" borderId="0" xfId="0" applyFont="1" applyFill="1">
      <alignment vertical="center" wrapText="1"/>
    </xf>
    <xf numFmtId="0" fontId="19" fillId="0" borderId="0" xfId="0" applyFont="1">
      <alignment horizontal="left" vertical="center"/>
    </xf>
    <xf numFmtId="49" fontId="43" fillId="43" borderId="43" xfId="0" applyFont="1" applyFill="1" applyBorder="1" applyNumberFormat="1">
      <alignment horizontal="left" vertical="center" indent="1"/>
    </xf>
    <xf numFmtId="49" fontId="19" fillId="43" borderId="44" xfId="0" applyFont="1" applyFill="1" applyBorder="1" applyNumberFormat="1">
      <alignment horizontal="left" vertical="center" indent="1"/>
    </xf>
    <xf numFmtId="49" fontId="43" fillId="43" borderId="44" xfId="0" applyFont="1" applyFill="1" applyBorder="1" applyNumberFormat="1">
      <alignment horizontal="left" vertical="center" indent="1"/>
    </xf>
    <xf numFmtId="0" fontId="44" fillId="43" borderId="44" xfId="0" applyFont="1" applyFill="1" applyBorder="1">
      <alignment horizontal="left" vertical="center" indent="1"/>
    </xf>
    <xf numFmtId="0" fontId="19" fillId="0" borderId="19" xfId="0" applyFont="1" applyBorder="1">
      <alignment horizontal="center" vertical="center"/>
    </xf>
    <xf numFmtId="0" fontId="24" fillId="37" borderId="19" xfId="0" applyFont="1" applyFill="1" applyBorder="1">
      <alignment horizontal="left" vertical="center" wrapText="1"/>
    </xf>
    <xf numFmtId="0" fontId="24" fillId="0" borderId="19" xfId="0" applyFont="1" applyBorder="1">
      <alignment horizontal="center" vertical="center"/>
    </xf>
    <xf numFmtId="172" fontId="24" fillId="34" borderId="19" xfId="0" applyFont="1" applyFill="1" applyBorder="1" applyNumberFormat="1">
      <alignment horizontal="right" vertical="center"/>
    </xf>
    <xf numFmtId="49" fontId="24" fillId="34" borderId="19" xfId="0" applyFont="1" applyFill="1" applyBorder="1" applyNumberFormat="1">
      <alignment horizontal="left" vertical="center" wrapText="1"/>
    </xf>
    <xf numFmtId="173" fontId="0" fillId="33" borderId="19" xfId="0" applyFont="1" applyFill="1" applyBorder="1" applyNumberFormat="1">
      <alignment horizontal="right" vertical="center"/>
    </xf>
    <xf numFmtId="172" fontId="0" fillId="33" borderId="19" xfId="0" applyFont="1" applyFill="1" applyBorder="1" applyNumberFormat="1">
      <alignment horizontal="right" vertical="center"/>
    </xf>
    <xf numFmtId="0" fontId="24" fillId="0" borderId="19" xfId="0" applyFont="1" applyBorder="1">
      <alignment vertical="center" wrapText="1"/>
    </xf>
    <xf numFmtId="0" fontId="24" fillId="0" borderId="19" xfId="0" applyFont="1" applyBorder="1">
      <alignment horizontal="left" vertical="center" wrapText="1"/>
    </xf>
    <xf numFmtId="0" fontId="24" fillId="0" borderId="0" xfId="0" applyFont="1"/>
    <xf numFmtId="0" fontId="24" fillId="43" borderId="0" xfId="0" applyFont="1" applyFill="1"/>
    <xf numFmtId="0" fontId="19" fillId="0" borderId="0" xfId="0" applyFont="1">
      <alignment horizontal="left" vertical="center"/>
    </xf>
    <xf numFmtId="0" fontId="24" fillId="4" borderId="0" xfId="0" applyFont="1" applyFill="1"/>
    <xf numFmtId="172" fontId="43" fillId="43" borderId="44" xfId="0" applyFont="1" applyFill="1" applyBorder="1" applyNumberFormat="1">
      <alignment horizontal="left" vertical="center" indent="1"/>
    </xf>
    <xf numFmtId="173" fontId="43" fillId="43" borderId="44" xfId="0" applyFont="1" applyFill="1" applyBorder="1" applyNumberFormat="1">
      <alignment horizontal="left" vertical="center" indent="1"/>
    </xf>
    <xf numFmtId="172" fontId="43" fillId="43" borderId="29" xfId="0" applyFont="1" applyFill="1" applyBorder="1" applyNumberFormat="1">
      <alignment horizontal="left" vertical="center" indent="1"/>
    </xf>
    <xf numFmtId="172" fontId="0" fillId="34" borderId="19" xfId="0" applyFont="1" applyFill="1" applyBorder="1" applyNumberFormat="1">
      <alignment horizontal="right" vertical="center"/>
    </xf>
    <xf numFmtId="0" fontId="19" fillId="0" borderId="13" xfId="0" applyFont="1" applyBorder="1">
      <alignment horizontal="center" vertical="center"/>
    </xf>
    <xf numFmtId="0" fontId="19" fillId="0" borderId="13" xfId="0" applyFont="1" applyBorder="1">
      <alignment horizontal="left" vertical="center" wrapText="1"/>
    </xf>
    <xf numFmtId="0" fontId="24" fillId="0" borderId="13" xfId="0" applyFont="1" applyBorder="1">
      <alignment horizontal="center" vertical="center" wrapText="1"/>
    </xf>
    <xf numFmtId="172" fontId="24" fillId="0" borderId="13" xfId="0" applyFont="1" applyBorder="1" applyNumberFormat="1">
      <alignment horizontal="right" vertical="center"/>
    </xf>
    <xf numFmtId="172" fontId="0" fillId="0" borderId="13" xfId="0" applyFont="1" applyBorder="1" applyNumberFormat="1">
      <alignment horizontal="right" vertical="center"/>
    </xf>
    <xf numFmtId="172" fontId="19" fillId="0" borderId="13" xfId="0" applyFont="1" applyBorder="1" applyNumberFormat="1">
      <alignment horizontal="right" vertical="center"/>
    </xf>
    <xf numFmtId="49" fontId="24" fillId="0" borderId="13" xfId="0" applyFont="1" applyBorder="1" applyNumberFormat="1">
      <alignment horizontal="left" vertical="center"/>
    </xf>
    <xf numFmtId="173" fontId="0" fillId="0" borderId="13" xfId="0" applyFont="1" applyBorder="1" applyNumberFormat="1">
      <alignment horizontal="right" vertical="center"/>
    </xf>
    <xf numFmtId="49" fontId="19" fillId="0" borderId="18" xfId="0" applyFont="1" applyBorder="1" applyNumberFormat="1">
      <alignment horizontal="center" vertical="center"/>
    </xf>
    <xf numFmtId="0" fontId="19" fillId="0" borderId="18" xfId="0" applyFont="1" applyBorder="1">
      <alignment horizontal="left" vertical="center" wrapText="1" indent="1"/>
    </xf>
    <xf numFmtId="0" fontId="24" fillId="0" borderId="18" xfId="0" applyFont="1" applyBorder="1">
      <alignment horizontal="center" vertical="center" wrapText="1"/>
    </xf>
    <xf numFmtId="172" fontId="24" fillId="34" borderId="18" xfId="0" applyFont="1" applyFill="1" applyBorder="1" applyNumberFormat="1">
      <alignment horizontal="right" vertical="center"/>
    </xf>
    <xf numFmtId="172" fontId="0" fillId="34" borderId="18" xfId="0" applyFont="1" applyFill="1" applyBorder="1" applyNumberFormat="1">
      <alignment horizontal="right" vertical="center"/>
    </xf>
    <xf numFmtId="172" fontId="19" fillId="34" borderId="18" xfId="0" applyFont="1" applyFill="1" applyBorder="1" applyNumberFormat="1">
      <alignment horizontal="right" vertical="center"/>
    </xf>
    <xf numFmtId="49" fontId="24" fillId="34" borderId="18" xfId="0" applyFont="1" applyFill="1" applyBorder="1" applyNumberFormat="1">
      <alignment horizontal="left" vertical="center" wrapText="1"/>
    </xf>
    <xf numFmtId="173" fontId="0" fillId="33" borderId="18" xfId="0" applyFont="1" applyFill="1" applyBorder="1" applyNumberFormat="1">
      <alignment horizontal="right" vertical="center"/>
    </xf>
    <xf numFmtId="172" fontId="0" fillId="33" borderId="18" xfId="0" applyFont="1" applyFill="1" applyBorder="1" applyNumberFormat="1">
      <alignment horizontal="right" vertical="center"/>
    </xf>
    <xf numFmtId="0" fontId="19" fillId="35" borderId="18" xfId="0" applyFont="1" applyFill="1" applyBorder="1">
      <alignment horizontal="left" vertical="center" wrapText="1" indent="1"/>
    </xf>
    <xf numFmtId="49" fontId="19" fillId="0" borderId="52" xfId="0" applyFont="1" applyBorder="1" applyNumberFormat="1">
      <alignment horizontal="center" vertical="center"/>
    </xf>
    <xf numFmtId="0" fontId="19" fillId="0" borderId="52" xfId="0" applyFont="1" applyBorder="1">
      <alignment horizontal="left" vertical="center" wrapText="1" indent="1"/>
    </xf>
    <xf numFmtId="0" fontId="24" fillId="0" borderId="52" xfId="0" applyFont="1" applyBorder="1">
      <alignment horizontal="center" vertical="center" wrapText="1"/>
    </xf>
    <xf numFmtId="172" fontId="24" fillId="34" borderId="52" xfId="0" applyFont="1" applyFill="1" applyBorder="1" applyNumberFormat="1">
      <alignment horizontal="right" vertical="center"/>
    </xf>
    <xf numFmtId="172" fontId="0" fillId="34" borderId="52" xfId="0" applyFont="1" applyFill="1" applyBorder="1" applyNumberFormat="1">
      <alignment horizontal="right" vertical="center"/>
    </xf>
    <xf numFmtId="172" fontId="19" fillId="34" borderId="52" xfId="0" applyFont="1" applyFill="1" applyBorder="1" applyNumberFormat="1">
      <alignment horizontal="right" vertical="center"/>
    </xf>
    <xf numFmtId="49" fontId="24" fillId="34" borderId="52" xfId="0" applyFont="1" applyFill="1" applyBorder="1" applyNumberFormat="1">
      <alignment horizontal="left" vertical="center" wrapText="1"/>
    </xf>
    <xf numFmtId="173" fontId="0" fillId="33" borderId="52" xfId="0" applyFont="1" applyFill="1" applyBorder="1" applyNumberFormat="1">
      <alignment horizontal="right" vertical="center"/>
    </xf>
    <xf numFmtId="172" fontId="0" fillId="33" borderId="52" xfId="0" applyFont="1" applyFill="1" applyBorder="1" applyNumberFormat="1">
      <alignment horizontal="right" vertical="center"/>
    </xf>
    <xf numFmtId="0" fontId="19" fillId="35" borderId="52" xfId="0" applyFont="1" applyFill="1" applyBorder="1">
      <alignment horizontal="left" vertical="center" wrapText="1" indent="1"/>
    </xf>
    <xf numFmtId="0" fontId="19" fillId="0" borderId="19" xfId="0" applyFont="1" applyBorder="1">
      <alignment horizontal="left" vertical="center" wrapText="1" indent="1"/>
    </xf>
    <xf numFmtId="0" fontId="24" fillId="0" borderId="19" xfId="0" applyFont="1" applyBorder="1">
      <alignment horizontal="center" vertical="center" wrapText="1"/>
    </xf>
    <xf numFmtId="172" fontId="19" fillId="34" borderId="19" xfId="0" applyFont="1" applyFill="1" applyBorder="1" applyNumberFormat="1">
      <alignment horizontal="right" vertical="center"/>
    </xf>
    <xf numFmtId="0" fontId="19" fillId="35" borderId="19" xfId="0" applyFont="1" applyFill="1" applyBorder="1">
      <alignment horizontal="left" vertical="center" wrapText="1" indent="1"/>
    </xf>
    <xf numFmtId="0" fontId="19" fillId="0" borderId="19" xfId="0" applyFont="1" applyBorder="1">
      <alignment vertical="center" wrapText="1"/>
    </xf>
    <xf numFmtId="0" fontId="19" fillId="0" borderId="19" xfId="0" applyFont="1" applyBorder="1">
      <alignment horizontal="left" vertical="center" wrapText="1"/>
    </xf>
    <xf numFmtId="49" fontId="19" fillId="34" borderId="19" xfId="0" applyFont="1" applyFill="1" applyBorder="1" applyNumberFormat="1">
      <alignment horizontal="left" vertical="center" wrapText="1"/>
    </xf>
    <xf numFmtId="0" fontId="0" fillId="0" borderId="0" xfId="0" applyFont="1">
      <alignment vertical="center" wrapText="1"/>
    </xf>
    <xf numFmtId="172" fontId="24" fillId="34" borderId="19" xfId="0" applyFont="1" applyFill="1" applyBorder="1" applyNumberFormat="1">
      <alignment horizontal="right" vertical="center"/>
      <protection locked="0"/>
    </xf>
    <xf numFmtId="49" fontId="24" fillId="34" borderId="19" xfId="0" applyFont="1" applyFill="1" applyBorder="1" applyNumberFormat="1">
      <alignment horizontal="left" vertical="center" wrapText="1"/>
      <protection locked="0"/>
    </xf>
    <xf numFmtId="172" fontId="0" fillId="34" borderId="19" xfId="0" applyFont="1" applyFill="1" applyBorder="1" applyNumberFormat="1">
      <alignment horizontal="right" vertical="center"/>
      <protection locked="0"/>
    </xf>
    <xf numFmtId="172" fontId="24" fillId="34" borderId="18" xfId="0" applyFont="1" applyFill="1" applyBorder="1" applyNumberFormat="1">
      <alignment horizontal="right" vertical="center"/>
      <protection locked="0"/>
    </xf>
    <xf numFmtId="172" fontId="0" fillId="34" borderId="18" xfId="0" applyFont="1" applyFill="1" applyBorder="1" applyNumberFormat="1">
      <alignment horizontal="right" vertical="center"/>
      <protection locked="0"/>
    </xf>
    <xf numFmtId="172" fontId="19" fillId="34" borderId="18" xfId="0" applyFont="1" applyFill="1" applyBorder="1" applyNumberFormat="1">
      <alignment horizontal="right" vertical="center"/>
      <protection locked="0"/>
    </xf>
    <xf numFmtId="49" fontId="24" fillId="34" borderId="18" xfId="0" applyFont="1" applyFill="1" applyBorder="1" applyNumberFormat="1">
      <alignment horizontal="left" vertical="center" wrapText="1"/>
      <protection locked="0"/>
    </xf>
    <xf numFmtId="49" fontId="40" fillId="42" borderId="25" xfId="0" applyFont="1" applyFill="1" applyBorder="1" applyNumberFormat="1">
      <alignment horizontal="left" vertical="center" wrapText="1" indent="1"/>
    </xf>
    <xf numFmtId="49" fontId="40" fillId="42" borderId="26" xfId="0" applyFont="1" applyFill="1" applyBorder="1" applyNumberFormat="1">
      <alignment horizontal="left" vertical="center"/>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172" fontId="24" fillId="34" borderId="52" xfId="0" applyFont="1" applyFill="1" applyBorder="1" applyNumberFormat="1">
      <alignment horizontal="right" vertical="center"/>
      <protection locked="0"/>
    </xf>
    <xf numFmtId="172" fontId="0" fillId="34" borderId="52" xfId="0" applyFont="1" applyFill="1" applyBorder="1" applyNumberFormat="1">
      <alignment horizontal="right" vertical="center"/>
      <protection locked="0"/>
    </xf>
    <xf numFmtId="172" fontId="19" fillId="34" borderId="52" xfId="0" applyFont="1" applyFill="1" applyBorder="1" applyNumberFormat="1">
      <alignment horizontal="right" vertical="center"/>
      <protection locked="0"/>
    </xf>
    <xf numFmtId="49" fontId="24" fillId="34" borderId="52" xfId="0" applyFont="1" applyFill="1" applyBorder="1" applyNumberFormat="1">
      <alignment horizontal="left" vertical="center" wrapText="1"/>
      <protection locked="0"/>
    </xf>
    <xf numFmtId="49" fontId="40" fillId="42" borderId="25" xfId="0" applyFont="1" applyFill="1" applyBorder="1" applyNumberFormat="1">
      <alignment horizontal="left" vertical="center" wrapText="1" indent="1"/>
    </xf>
    <xf numFmtId="49" fontId="40" fillId="42" borderId="26" xfId="0" applyFont="1" applyFill="1" applyBorder="1" applyNumberFormat="1">
      <alignment horizontal="left" vertical="center"/>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172" fontId="19" fillId="34" borderId="19" xfId="0" applyFont="1" applyFill="1" applyBorder="1" applyNumberFormat="1">
      <alignment horizontal="right" vertical="center"/>
      <protection locked="0"/>
    </xf>
    <xf numFmtId="49" fontId="40" fillId="42" borderId="25" xfId="0" applyFont="1" applyFill="1" applyBorder="1" applyNumberFormat="1">
      <alignment horizontal="left" vertical="center" wrapText="1" indent="1"/>
    </xf>
    <xf numFmtId="49" fontId="40" fillId="42" borderId="26" xfId="0" applyFont="1" applyFill="1" applyBorder="1" applyNumberFormat="1">
      <alignment horizontal="left" vertical="center"/>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5" xfId="0" applyFont="1" applyFill="1" applyBorder="1" applyNumberFormat="1">
      <alignment horizontal="left" vertical="center" wrapText="1" indent="1"/>
    </xf>
    <xf numFmtId="49" fontId="40" fillId="42" borderId="26" xfId="0" applyFont="1" applyFill="1" applyBorder="1" applyNumberFormat="1">
      <alignment horizontal="left" vertical="center"/>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19" fillId="34" borderId="19" xfId="0" applyFont="1" applyFill="1" applyBorder="1" applyNumberFormat="1">
      <alignment horizontal="left" vertical="center" wrapText="1"/>
      <protection locked="0"/>
    </xf>
    <xf numFmtId="0" fontId="0" fillId="0" borderId="0" xfId="0" applyFont="1">
      <alignment vertical="center" wrapText="1"/>
    </xf>
    <xf numFmtId="49" fontId="40" fillId="42" borderId="25" xfId="0" applyFont="1" applyFill="1" applyBorder="1" applyNumberFormat="1">
      <alignment horizontal="left" vertical="center" wrapText="1" indent="1"/>
    </xf>
    <xf numFmtId="49" fontId="40" fillId="42" borderId="26" xfId="0" applyFont="1" applyFill="1" applyBorder="1" applyNumberFormat="1">
      <alignment horizontal="left" vertical="center"/>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5" xfId="0" applyFont="1" applyFill="1" applyBorder="1" applyNumberFormat="1">
      <alignment horizontal="left" vertical="center" wrapText="1" indent="1"/>
    </xf>
    <xf numFmtId="49" fontId="40" fillId="42" borderId="26" xfId="0" applyFont="1" applyFill="1" applyBorder="1" applyNumberFormat="1">
      <alignment horizontal="left" vertical="center"/>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5" xfId="0" applyFont="1" applyFill="1" applyBorder="1" applyNumberFormat="1">
      <alignment horizontal="left" vertical="center" wrapText="1" indent="1"/>
    </xf>
    <xf numFmtId="49" fontId="40" fillId="42" borderId="26" xfId="0" applyFont="1" applyFill="1" applyBorder="1" applyNumberFormat="1">
      <alignment horizontal="left" vertical="center"/>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5" xfId="0" applyFont="1" applyFill="1" applyBorder="1" applyNumberFormat="1">
      <alignment horizontal="left" vertical="center" wrapText="1" indent="1"/>
    </xf>
    <xf numFmtId="49" fontId="40" fillId="42" borderId="26" xfId="0" applyFont="1" applyFill="1" applyBorder="1" applyNumberFormat="1">
      <alignment horizontal="left" vertical="center"/>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0" fontId="0" fillId="0" borderId="0" xfId="0" applyFont="1">
      <alignment vertical="center" wrapText="1"/>
    </xf>
    <xf numFmtId="49" fontId="40" fillId="42" borderId="25" xfId="0" applyFont="1" applyFill="1" applyBorder="1" applyNumberFormat="1">
      <alignment horizontal="left" vertical="center" wrapText="1" indent="1"/>
    </xf>
    <xf numFmtId="49" fontId="40" fillId="42" borderId="26" xfId="0" applyFont="1" applyFill="1" applyBorder="1" applyNumberFormat="1">
      <alignment horizontal="left" vertical="center"/>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5" xfId="0" applyFont="1" applyFill="1" applyBorder="1" applyNumberFormat="1">
      <alignment horizontal="left" vertical="center" wrapText="1" indent="1"/>
    </xf>
    <xf numFmtId="49" fontId="40" fillId="42" borderId="26" xfId="0" applyFont="1" applyFill="1" applyBorder="1" applyNumberFormat="1">
      <alignment horizontal="left" vertical="center"/>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5" xfId="0" applyFont="1" applyFill="1" applyBorder="1" applyNumberFormat="1">
      <alignment horizontal="left" vertical="center" wrapText="1" indent="1"/>
    </xf>
    <xf numFmtId="49" fontId="40" fillId="42" borderId="26" xfId="0" applyFont="1" applyFill="1" applyBorder="1" applyNumberFormat="1">
      <alignment horizontal="left" vertical="center"/>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5" xfId="0" applyFont="1" applyFill="1" applyBorder="1" applyNumberFormat="1">
      <alignment horizontal="left" vertical="center" wrapText="1" indent="1"/>
    </xf>
    <xf numFmtId="49" fontId="40" fillId="42" borderId="26" xfId="0" applyFont="1" applyFill="1" applyBorder="1" applyNumberFormat="1">
      <alignment horizontal="left" vertical="center"/>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0" fontId="1" fillId="0" borderId="0" xfId="47" applyFont="1" applyNumberFormat="1"/>
    <xf numFmtId="0" fontId="53" fillId="0" borderId="0" xfId="47" applyFont="1" applyNumberFormat="1">
      <alignment wrapText="1"/>
    </xf>
    <xf numFmtId="0" fontId="53" fillId="0" borderId="0" xfId="0" applyFont="1">
      <alignment wrapText="1"/>
    </xf>
    <xf numFmtId="0" fontId="53" fillId="0" borderId="0" xfId="0" applyFont="1">
      <alignment wrapText="1"/>
    </xf>
    <xf numFmtId="0" fontId="0" fillId="25" borderId="0" xfId="0" applyFont="1" applyFill="1">
      <alignment horizontal="center"/>
    </xf>
    <xf numFmtId="0" fontId="24" fillId="43" borderId="0" xfId="0" applyFont="1" applyFill="1"/>
    <xf numFmtId="0" fontId="24" fillId="0" borderId="0" xfId="0" applyFont="1"/>
    <xf numFmtId="0" fontId="24" fillId="4" borderId="0" xfId="0" applyFont="1" applyFill="1"/>
    <xf numFmtId="0" fontId="41" fillId="0" borderId="63" xfId="0" applyFont="1" applyBorder="1"/>
    <xf numFmtId="0" fontId="19" fillId="52" borderId="19" xfId="0" applyFont="1" applyFill="1" applyBorder="1">
      <alignment horizontal="center" vertical="center" wrapText="1"/>
    </xf>
    <xf numFmtId="0" fontId="19" fillId="0" borderId="19" xfId="0" applyFont="1" applyBorder="1">
      <alignment horizontal="center" vertical="center" wrapText="1"/>
    </xf>
    <xf numFmtId="0" fontId="24" fillId="52" borderId="11" xfId="0" applyFont="1" applyFill="1" applyBorder="1">
      <alignment horizontal="center" vertical="center" wrapText="1"/>
    </xf>
    <xf numFmtId="0" fontId="24" fillId="0" borderId="0" xfId="0" applyFont="1">
      <alignment horizontal="right" vertical="center"/>
    </xf>
    <xf numFmtId="0" fontId="0" fillId="0" borderId="0" xfId="0" applyFont="1">
      <alignment horizontal="center" vertical="center" wrapText="1"/>
    </xf>
    <xf numFmtId="0" fontId="24" fillId="43" borderId="0" xfId="0" applyFont="1" applyFill="1">
      <alignment vertical="center" wrapText="1"/>
    </xf>
    <xf numFmtId="0" fontId="24" fillId="0" borderId="0" xfId="0" applyFont="1">
      <alignment horizontal="left"/>
    </xf>
    <xf numFmtId="0" fontId="24" fillId="48" borderId="0" xfId="0" applyFont="1" applyFill="1">
      <alignment horizontal="center" vertical="center"/>
    </xf>
    <xf numFmtId="0" fontId="24" fillId="0" borderId="0" xfId="0" applyFont="1">
      <alignment vertical="center" wrapText="1"/>
    </xf>
    <xf numFmtId="0" fontId="24" fillId="0" borderId="0" xfId="0" applyFont="1">
      <alignment horizontal="center" vertical="top" wrapText="1"/>
    </xf>
    <xf numFmtId="0" fontId="24" fillId="0" borderId="0" xfId="0" applyFont="1">
      <alignment horizontal="center" vertical="center" wrapText="1"/>
    </xf>
    <xf numFmtId="0" fontId="39" fillId="41" borderId="64" xfId="0" applyFont="1" applyFill="1" applyBorder="1">
      <alignment horizontal="left" vertical="center"/>
    </xf>
    <xf numFmtId="0" fontId="39" fillId="41" borderId="65" xfId="0" applyFont="1" applyFill="1" applyBorder="1">
      <alignment horizontal="left" vertical="center"/>
    </xf>
    <xf numFmtId="49" fontId="39" fillId="41" borderId="65" xfId="0" applyFont="1" applyFill="1" applyBorder="1" applyNumberFormat="1">
      <alignment horizontal="left" vertical="center" wrapText="1"/>
    </xf>
    <xf numFmtId="0" fontId="53" fillId="0" borderId="0" xfId="0" applyFont="1">
      <alignment wrapText="1"/>
    </xf>
    <xf numFmtId="0" fontId="24" fillId="4" borderId="0" xfId="0" applyFont="1" applyFill="1">
      <alignment vertical="center" wrapText="1"/>
    </xf>
    <xf numFmtId="0" fontId="1" fillId="0" borderId="0" xfId="0" applyFont="1"/>
    <xf numFmtId="0" fontId="1" fillId="0" borderId="0" xfId="0" applyFont="1"/>
    <xf numFmtId="0" fontId="19" fillId="0" borderId="0" xfId="0" applyFont="1">
      <alignment horizontal="left" vertical="center"/>
    </xf>
    <xf numFmtId="0" fontId="19" fillId="0" borderId="19" xfId="0" applyFont="1" applyBorder="1">
      <alignment horizontal="center" vertical="center"/>
    </xf>
    <xf numFmtId="0" fontId="24" fillId="0" borderId="19" xfId="0" applyFont="1" applyBorder="1">
      <alignment vertical="center" wrapText="1"/>
    </xf>
    <xf numFmtId="0" fontId="24" fillId="0" borderId="19" xfId="0" applyFont="1" applyBorder="1">
      <alignment horizontal="center" vertical="center"/>
    </xf>
    <xf numFmtId="172" fontId="24" fillId="34" borderId="19" xfId="0" applyFont="1" applyFill="1" applyBorder="1" applyNumberFormat="1">
      <alignment horizontal="right" vertical="center"/>
    </xf>
    <xf numFmtId="0" fontId="24" fillId="4" borderId="0" xfId="0" applyFont="1" applyFill="1"/>
    <xf numFmtId="0" fontId="24" fillId="0" borderId="19" xfId="0" applyFont="1" applyBorder="1">
      <alignment horizontal="left" vertical="center" wrapText="1"/>
    </xf>
    <xf numFmtId="0" fontId="19" fillId="0" borderId="84" xfId="0" applyFont="1" applyBorder="1">
      <alignment horizontal="right" vertical="center" wrapText="1" indent="1"/>
    </xf>
    <xf numFmtId="172" fontId="24" fillId="34" borderId="19" xfId="0" applyFont="1" applyFill="1" applyBorder="1" applyNumberFormat="1">
      <alignment horizontal="right" vertical="center"/>
      <protection locked="0"/>
    </xf>
    <xf numFmtId="0" fontId="19" fillId="0" borderId="84" xfId="0" applyFont="1" applyBorder="1">
      <alignment horizontal="right" vertical="center" wrapText="1" indent="1"/>
    </xf>
    <xf numFmtId="0" fontId="19" fillId="0" borderId="84" xfId="0" applyFont="1" applyBorder="1">
      <alignment horizontal="right" vertical="center" wrapText="1" indent="1"/>
    </xf>
    <xf numFmtId="0" fontId="24" fillId="0" borderId="0" xfId="47" applyFont="1" applyNumberFormat="1">
      <alignment wrapText="1"/>
    </xf>
    <xf numFmtId="49" fontId="19" fillId="0" borderId="0" xfId="0" applyFont="1" applyNumberFormat="1">
      <alignment vertical="top"/>
    </xf>
    <xf numFmtId="0" fontId="24" fillId="0" borderId="0" xfId="0" applyFont="1">
      <alignment vertical="center"/>
    </xf>
    <xf numFmtId="0" fontId="24" fillId="4" borderId="0" xfId="0" applyFont="1" applyFill="1">
      <alignment vertical="center"/>
    </xf>
    <xf numFmtId="0" fontId="42" fillId="0" borderId="20" xfId="0" applyFont="1" applyBorder="1">
      <alignment vertical="center" wrapText="1"/>
    </xf>
    <xf numFmtId="0" fontId="24" fillId="11" borderId="19" xfId="0" applyFont="1" applyFill="1" applyBorder="1">
      <alignment horizontal="center" vertical="center" wrapText="1"/>
    </xf>
    <xf numFmtId="0" fontId="24" fillId="11" borderId="43" xfId="0" applyFont="1" applyFill="1" applyBorder="1">
      <alignment horizontal="center" vertical="center" wrapText="1"/>
    </xf>
    <xf numFmtId="0" fontId="24" fillId="0" borderId="43" xfId="0" applyFont="1" applyBorder="1">
      <alignment horizontal="center" vertical="center" wrapText="1"/>
    </xf>
    <xf numFmtId="49" fontId="27" fillId="0" borderId="0" xfId="0" applyFont="1" applyNumberFormat="1">
      <alignment vertical="top"/>
    </xf>
    <xf numFmtId="0" fontId="24" fillId="0" borderId="0" xfId="0" applyFont="1">
      <alignment horizontal="left" vertical="center"/>
    </xf>
    <xf numFmtId="49" fontId="24" fillId="0" borderId="18" xfId="0" applyFont="1" applyBorder="1" applyNumberFormat="1">
      <alignment horizontal="center" vertical="center"/>
    </xf>
    <xf numFmtId="0" fontId="24" fillId="0" borderId="29" xfId="0" applyFont="1" applyBorder="1">
      <alignment vertical="center" wrapText="1"/>
    </xf>
    <xf numFmtId="0" fontId="19" fillId="33" borderId="24" xfId="0" applyFont="1" applyFill="1" applyBorder="1">
      <alignment horizontal="left" vertical="center"/>
    </xf>
    <xf numFmtId="0" fontId="24" fillId="33" borderId="44" xfId="0" applyFont="1" applyFill="1" applyBorder="1">
      <alignment horizontal="left" vertical="center" indent="1"/>
    </xf>
    <xf numFmtId="0" fontId="24" fillId="33" borderId="29" xfId="0" applyFont="1" applyFill="1" applyBorder="1">
      <alignment horizontal="left" vertical="center" indent="1"/>
    </xf>
    <xf numFmtId="0" fontId="19" fillId="0" borderId="19" xfId="0" applyFont="1" applyBorder="1">
      <alignment vertical="center" wrapText="1"/>
    </xf>
    <xf numFmtId="172" fontId="19" fillId="33" borderId="19" xfId="0" applyFont="1" applyFill="1" applyBorder="1" applyNumberFormat="1">
      <alignment horizontal="right" vertical="center"/>
    </xf>
    <xf numFmtId="0" fontId="19" fillId="0" borderId="29" xfId="0" applyFont="1" applyBorder="1">
      <alignment horizontal="left" vertical="center" wrapText="1" indent="1"/>
    </xf>
    <xf numFmtId="0" fontId="19" fillId="0" borderId="19" xfId="0" applyFont="1" applyBorder="1">
      <alignment horizontal="left" vertical="center" wrapText="1" indent="2"/>
    </xf>
    <xf numFmtId="0" fontId="24" fillId="0" borderId="19" xfId="0" applyFont="1" applyBorder="1">
      <alignment horizontal="left" vertical="center" wrapText="1" indent="3"/>
    </xf>
    <xf numFmtId="0" fontId="19" fillId="0" borderId="0" xfId="0" applyFont="1">
      <alignment vertical="top"/>
    </xf>
    <xf numFmtId="0" fontId="19" fillId="0" borderId="44" xfId="0" applyFont="1" applyBorder="1">
      <alignment horizontal="left" vertical="center" wrapText="1" indent="1"/>
    </xf>
    <xf numFmtId="0" fontId="0" fillId="0" borderId="0" xfId="0" applyFont="1">
      <alignment horizontal="center" vertical="top"/>
    </xf>
    <xf numFmtId="0" fontId="19" fillId="43" borderId="0" xfId="0" applyFont="1" applyFill="1">
      <alignment vertical="top"/>
    </xf>
    <xf numFmtId="49" fontId="19" fillId="0" borderId="0" xfId="0" applyFont="1" applyNumberFormat="1">
      <alignment horizontal="left" vertical="center"/>
    </xf>
    <xf numFmtId="0" fontId="27" fillId="0" borderId="0" xfId="0" applyFont="1">
      <alignment vertical="top"/>
    </xf>
    <xf numFmtId="172" fontId="19" fillId="0" borderId="0" xfId="0" applyFont="1" applyNumberFormat="1">
      <alignment vertical="top"/>
    </xf>
    <xf numFmtId="172" fontId="27" fillId="0" borderId="0" xfId="0" applyFont="1" applyNumberFormat="1">
      <alignment vertical="top"/>
    </xf>
    <xf numFmtId="49" fontId="19" fillId="4" borderId="0" xfId="0" applyFont="1" applyFill="1" applyNumberFormat="1">
      <alignment vertical="top"/>
    </xf>
    <xf numFmtId="0" fontId="24" fillId="0" borderId="29" xfId="0" applyFont="1" applyBorder="1">
      <alignment vertical="center"/>
    </xf>
    <xf numFmtId="0" fontId="24" fillId="0" borderId="19" xfId="0" applyFont="1" applyBorder="1">
      <alignment horizontal="right" vertical="center" indent="1"/>
    </xf>
    <xf numFmtId="0" fontId="19" fillId="0" borderId="48" xfId="0" applyFont="1" applyBorder="1">
      <alignment vertical="center" wrapText="1"/>
    </xf>
    <xf numFmtId="172" fontId="24" fillId="33" borderId="19" xfId="0" applyFont="1" applyFill="1" applyBorder="1" applyNumberFormat="1">
      <alignment horizontal="right" vertical="center"/>
    </xf>
    <xf numFmtId="0" fontId="19" fillId="0" borderId="48" xfId="0" applyFont="1" applyBorder="1">
      <alignment horizontal="left" vertical="center" wrapText="1" indent="1"/>
    </xf>
    <xf numFmtId="0" fontId="19" fillId="0" borderId="44" xfId="0" applyFont="1" applyBorder="1">
      <alignment vertical="center" wrapText="1"/>
    </xf>
    <xf numFmtId="0" fontId="24" fillId="0" borderId="19" xfId="0" applyFont="1" applyBorder="1">
      <alignment horizontal="right" vertical="center" wrapText="1" indent="1"/>
    </xf>
    <xf numFmtId="172" fontId="24" fillId="33" borderId="19" xfId="0" applyFont="1" applyFill="1" applyBorder="1" applyNumberFormat="1">
      <alignment horizontal="right" vertical="center"/>
    </xf>
    <xf numFmtId="0" fontId="24" fillId="0" borderId="19" xfId="0" applyFont="1" applyBorder="1">
      <alignment horizontal="left" vertical="center" wrapText="1" indent="2"/>
    </xf>
    <xf numFmtId="0" fontId="24" fillId="0" borderId="19" xfId="0" applyFont="1" applyBorder="1">
      <alignment horizontal="left" vertical="center" wrapText="1" indent="1"/>
    </xf>
    <xf numFmtId="0" fontId="19" fillId="0" borderId="43" xfId="0" applyFont="1" applyBorder="1">
      <alignment horizontal="left" vertical="center" wrapText="1"/>
    </xf>
    <xf numFmtId="0" fontId="24" fillId="0" borderId="18" xfId="0" applyFont="1" applyBorder="1">
      <alignment vertical="center" wrapText="1"/>
    </xf>
    <xf numFmtId="0" fontId="19" fillId="0" borderId="18" xfId="0" applyFont="1" applyBorder="1">
      <alignment vertical="center" wrapText="1"/>
    </xf>
    <xf numFmtId="0" fontId="24" fillId="0" borderId="18" xfId="0" applyFont="1" applyBorder="1">
      <alignment horizontal="left" vertical="center" indent="1"/>
    </xf>
    <xf numFmtId="0" fontId="24" fillId="0" borderId="18" xfId="0" applyFont="1" applyBorder="1">
      <alignment horizontal="left" vertical="center" indent="2"/>
    </xf>
    <xf numFmtId="172" fontId="24" fillId="0" borderId="0" xfId="0" applyFont="1" applyNumberFormat="1">
      <alignment horizontal="right" vertical="center"/>
    </xf>
    <xf numFmtId="0" fontId="79" fillId="0" borderId="28" xfId="0" applyFont="1" applyBorder="1">
      <alignment vertical="center"/>
    </xf>
    <xf numFmtId="0" fontId="19" fillId="34" borderId="0" xfId="0" applyFont="1" applyFill="1">
      <alignment horizontal="left" vertical="center" wrapText="1"/>
      <protection locked="0"/>
    </xf>
    <xf numFmtId="0" fontId="19" fillId="34" borderId="0" xfId="0" applyFont="1" applyFill="1">
      <alignment horizontal="left" vertical="center" wrapText="1"/>
    </xf>
    <xf numFmtId="0" fontId="19" fillId="34" borderId="78" xfId="0" applyFont="1" applyFill="1" applyBorder="1">
      <alignment horizontal="left" vertical="center" wrapText="1"/>
    </xf>
    <xf numFmtId="0" fontId="19" fillId="34" borderId="30" xfId="0" applyFont="1" applyFill="1" applyBorder="1">
      <alignment horizontal="left" vertical="center" wrapText="1"/>
    </xf>
    <xf numFmtId="0" fontId="19" fillId="34" borderId="30" xfId="0" applyFont="1" applyFill="1" applyBorder="1">
      <alignment horizontal="left" vertical="center" wrapText="1"/>
      <protection locked="0"/>
    </xf>
    <xf numFmtId="0" fontId="19" fillId="34" borderId="79" xfId="0" applyFont="1" applyFill="1" applyBorder="1">
      <alignment horizontal="left" vertical="center" wrapText="1"/>
    </xf>
    <xf numFmtId="0" fontId="24" fillId="42" borderId="24" xfId="0" applyFont="1" applyFill="1" applyBorder="1">
      <alignment vertical="center"/>
    </xf>
    <xf numFmtId="0" fontId="19" fillId="43" borderId="0" xfId="0" applyFont="1" applyFill="1"/>
    <xf numFmtId="0" fontId="31" fillId="0" borderId="0" xfId="0" applyFont="1">
      <alignment vertical="center"/>
    </xf>
    <xf numFmtId="0" fontId="19" fillId="0" borderId="0" xfId="0" applyFont="1"/>
    <xf numFmtId="0" fontId="19" fillId="0" borderId="0" xfId="0" applyFont="1">
      <alignment horizontal="center" vertical="top"/>
    </xf>
    <xf numFmtId="0" fontId="19" fillId="0" borderId="0" xfId="0" applyFont="1">
      <alignment horizontal="center"/>
    </xf>
    <xf numFmtId="0" fontId="39" fillId="41" borderId="30" xfId="0" applyFont="1" applyFill="1" applyBorder="1">
      <alignment horizontal="left" vertical="center"/>
    </xf>
    <xf numFmtId="0" fontId="39" fillId="41" borderId="24" xfId="0" applyFont="1" applyFill="1" applyBorder="1">
      <alignment horizontal="left" vertical="center"/>
    </xf>
    <xf numFmtId="172" fontId="39" fillId="41" borderId="24" xfId="0" applyFont="1" applyFill="1" applyBorder="1" applyNumberFormat="1">
      <alignment horizontal="right" vertical="center"/>
    </xf>
    <xf numFmtId="172" fontId="39" fillId="41" borderId="24" xfId="0" applyFont="1" applyFill="1" applyBorder="1" applyNumberFormat="1">
      <alignment horizontal="right" vertical="center"/>
    </xf>
    <xf numFmtId="49" fontId="52" fillId="0" borderId="0" xfId="0" applyFont="1" applyNumberFormat="1">
      <alignment horizontal="center" vertical="center" wrapText="1"/>
    </xf>
    <xf numFmtId="0" fontId="19" fillId="0" borderId="18" xfId="0" applyFont="1" applyBorder="1">
      <alignment horizontal="center" vertical="center" wrapText="1"/>
    </xf>
    <xf numFmtId="0" fontId="0" fillId="35" borderId="18" xfId="0" applyFont="1" applyFill="1" applyBorder="1">
      <alignment horizontal="left" vertical="center" wrapText="1"/>
    </xf>
    <xf numFmtId="0" fontId="0" fillId="34" borderId="18" xfId="0" applyFont="1" applyFill="1" applyBorder="1">
      <alignment horizontal="left" vertical="center" wrapText="1"/>
    </xf>
    <xf numFmtId="3" fontId="0" fillId="34" borderId="18" xfId="0" applyFont="1" applyFill="1" applyBorder="1" applyNumberFormat="1">
      <alignment horizontal="left" vertical="center" wrapText="1"/>
    </xf>
    <xf numFmtId="4" fontId="0" fillId="34" borderId="18" xfId="0" applyFont="1" applyFill="1" applyBorder="1" applyNumberFormat="1">
      <alignment horizontal="right" vertical="center" wrapText="1"/>
    </xf>
    <xf numFmtId="0" fontId="0" fillId="34" borderId="18" xfId="0" applyFont="1" applyFill="1" applyBorder="1">
      <alignment horizontal="left" vertical="center" wrapText="1" indent="1"/>
    </xf>
    <xf numFmtId="172" fontId="0" fillId="33" borderId="19" xfId="0" applyFont="1" applyFill="1" applyBorder="1" applyNumberFormat="1">
      <alignment vertical="center" wrapText="1"/>
    </xf>
    <xf numFmtId="172" fontId="0" fillId="34" borderId="18" xfId="0" applyFont="1" applyFill="1" applyBorder="1" applyNumberFormat="1">
      <alignment horizontal="right" vertical="center" wrapText="1"/>
    </xf>
    <xf numFmtId="172" fontId="0" fillId="34" borderId="19" xfId="0" applyFont="1" applyFill="1" applyBorder="1" applyNumberFormat="1">
      <alignment vertical="center" wrapText="1"/>
    </xf>
    <xf numFmtId="172" fontId="0" fillId="33" borderId="19" xfId="0" applyFont="1" applyFill="1" applyBorder="1" applyNumberFormat="1">
      <alignment vertical="center" wrapText="1"/>
    </xf>
    <xf numFmtId="49" fontId="0" fillId="34" borderId="18" xfId="0" applyFont="1" applyFill="1" applyBorder="1" applyNumberFormat="1">
      <alignment horizontal="left" vertical="center" wrapText="1"/>
    </xf>
    <xf numFmtId="0" fontId="19" fillId="4" borderId="0" xfId="0" applyFont="1" applyFill="1"/>
    <xf numFmtId="0" fontId="24" fillId="0" borderId="0" xfId="0" applyFont="1"/>
    <xf numFmtId="49" fontId="40" fillId="42" borderId="37" xfId="0" applyFont="1" applyFill="1" applyBorder="1" applyNumberFormat="1">
      <alignment vertical="center"/>
    </xf>
    <xf numFmtId="49" fontId="40" fillId="42" borderId="38" xfId="0" applyFont="1" applyFill="1" applyBorder="1" applyNumberFormat="1">
      <alignment vertical="center"/>
    </xf>
    <xf numFmtId="49" fontId="40" fillId="42" borderId="38" xfId="0" applyFont="1" applyFill="1" applyBorder="1" applyNumberFormat="1">
      <alignment vertical="center"/>
    </xf>
    <xf numFmtId="49" fontId="40" fillId="42" borderId="38" xfId="0" applyFont="1" applyFill="1" applyBorder="1" applyNumberFormat="1">
      <alignment vertical="center"/>
    </xf>
    <xf numFmtId="49" fontId="40" fillId="42" borderId="62" xfId="0" applyFont="1" applyFill="1" applyBorder="1" applyNumberFormat="1">
      <alignment vertical="center"/>
    </xf>
    <xf numFmtId="49" fontId="40" fillId="42" borderId="37" xfId="0" applyFont="1" applyFill="1" applyBorder="1" applyNumberFormat="1">
      <alignment vertical="center"/>
    </xf>
    <xf numFmtId="49" fontId="40" fillId="42" borderId="38" xfId="0" applyFont="1" applyFill="1" applyBorder="1" applyNumberFormat="1">
      <alignment vertical="center"/>
    </xf>
    <xf numFmtId="49" fontId="40" fillId="42" borderId="38" xfId="0" applyFont="1" applyFill="1" applyBorder="1" applyNumberFormat="1">
      <alignment vertical="center"/>
    </xf>
    <xf numFmtId="49" fontId="40" fillId="42" borderId="38" xfId="0" applyFont="1" applyFill="1" applyBorder="1" applyNumberFormat="1">
      <alignment vertical="center"/>
    </xf>
    <xf numFmtId="49" fontId="40" fillId="42" borderId="38" xfId="0" applyFont="1" applyFill="1" applyBorder="1" applyNumberFormat="1">
      <alignment vertical="center"/>
    </xf>
    <xf numFmtId="49" fontId="40" fillId="42" borderId="38" xfId="0" applyFont="1" applyFill="1" applyBorder="1" applyNumberFormat="1">
      <alignment vertical="center"/>
    </xf>
    <xf numFmtId="49" fontId="40" fillId="42" borderId="38" xfId="0" applyFont="1" applyFill="1" applyBorder="1" applyNumberFormat="1">
      <alignment vertical="center"/>
    </xf>
    <xf numFmtId="49" fontId="40" fillId="42" borderId="38" xfId="0" applyFont="1" applyFill="1" applyBorder="1" applyNumberFormat="1">
      <alignment vertical="center"/>
    </xf>
    <xf numFmtId="49" fontId="40" fillId="42" borderId="38" xfId="0" applyFont="1" applyFill="1" applyBorder="1" applyNumberFormat="1">
      <alignment vertical="center"/>
    </xf>
    <xf numFmtId="49" fontId="40" fillId="42" borderId="38" xfId="0" applyFont="1" applyFill="1" applyBorder="1" applyNumberFormat="1">
      <alignment vertical="center"/>
    </xf>
    <xf numFmtId="49" fontId="40" fillId="42" borderId="38" xfId="0" applyFont="1" applyFill="1" applyBorder="1" applyNumberFormat="1">
      <alignment vertical="center"/>
    </xf>
    <xf numFmtId="49" fontId="40" fillId="42" borderId="38" xfId="0" applyFont="1" applyFill="1" applyBorder="1" applyNumberFormat="1">
      <alignment vertical="center"/>
    </xf>
    <xf numFmtId="49" fontId="40" fillId="42" borderId="38" xfId="0" applyFont="1" applyFill="1" applyBorder="1" applyNumberFormat="1">
      <alignment vertical="center"/>
    </xf>
    <xf numFmtId="49" fontId="40" fillId="42" borderId="38" xfId="0" applyFont="1" applyFill="1" applyBorder="1" applyNumberFormat="1">
      <alignment vertical="center"/>
    </xf>
    <xf numFmtId="49" fontId="40" fillId="42" borderId="62" xfId="0" applyFont="1" applyFill="1" applyBorder="1" applyNumberFormat="1">
      <alignment vertical="center"/>
    </xf>
    <xf numFmtId="49" fontId="40" fillId="42" borderId="37" xfId="0" applyFont="1" applyFill="1" applyBorder="1" applyNumberFormat="1">
      <alignment vertical="center"/>
    </xf>
    <xf numFmtId="49" fontId="40" fillId="42" borderId="38" xfId="0" applyFont="1" applyFill="1" applyBorder="1" applyNumberFormat="1">
      <alignment vertical="center"/>
    </xf>
    <xf numFmtId="49" fontId="40" fillId="42" borderId="38" xfId="0" applyFont="1" applyFill="1" applyBorder="1" applyNumberFormat="1">
      <alignment vertical="center"/>
    </xf>
    <xf numFmtId="49" fontId="40" fillId="42" borderId="38" xfId="0" applyFont="1" applyFill="1" applyBorder="1" applyNumberFormat="1">
      <alignment vertical="center"/>
    </xf>
    <xf numFmtId="49" fontId="40" fillId="42" borderId="38" xfId="0" applyFont="1" applyFill="1" applyBorder="1" applyNumberFormat="1">
      <alignment vertical="center"/>
    </xf>
    <xf numFmtId="49" fontId="40" fillId="42" borderId="38" xfId="0" applyFont="1" applyFill="1" applyBorder="1" applyNumberFormat="1">
      <alignment vertical="center"/>
    </xf>
    <xf numFmtId="49" fontId="40" fillId="42" borderId="38" xfId="0" applyFont="1" applyFill="1" applyBorder="1" applyNumberFormat="1">
      <alignment vertical="center"/>
    </xf>
    <xf numFmtId="49" fontId="40" fillId="42" borderId="38" xfId="0" applyFont="1" applyFill="1" applyBorder="1" applyNumberFormat="1">
      <alignment vertical="center"/>
    </xf>
    <xf numFmtId="49" fontId="40" fillId="42" borderId="38" xfId="0" applyFont="1" applyFill="1" applyBorder="1" applyNumberFormat="1">
      <alignment vertical="center"/>
    </xf>
    <xf numFmtId="49" fontId="40" fillId="42" borderId="38" xfId="0" applyFont="1" applyFill="1" applyBorder="1" applyNumberFormat="1">
      <alignment vertical="center"/>
    </xf>
    <xf numFmtId="49" fontId="40" fillId="42" borderId="38" xfId="0" applyFont="1" applyFill="1" applyBorder="1" applyNumberFormat="1">
      <alignment vertical="center"/>
    </xf>
    <xf numFmtId="49" fontId="40" fillId="42" borderId="38" xfId="0" applyFont="1" applyFill="1" applyBorder="1" applyNumberFormat="1">
      <alignment vertical="center"/>
    </xf>
    <xf numFmtId="49" fontId="40" fillId="42" borderId="38" xfId="0" applyFont="1" applyFill="1" applyBorder="1" applyNumberFormat="1">
      <alignment vertical="center"/>
    </xf>
    <xf numFmtId="49" fontId="40" fillId="42" borderId="38" xfId="0" applyFont="1" applyFill="1" applyBorder="1" applyNumberFormat="1">
      <alignment vertical="center"/>
    </xf>
    <xf numFmtId="49" fontId="40" fillId="42" borderId="62" xfId="0" applyFont="1" applyFill="1" applyBorder="1" applyNumberFormat="1">
      <alignment vertical="center"/>
    </xf>
    <xf numFmtId="49" fontId="40" fillId="42" borderId="37" xfId="0" applyFont="1" applyFill="1" applyBorder="1" applyNumberFormat="1">
      <alignment vertical="center"/>
    </xf>
    <xf numFmtId="49" fontId="40" fillId="42" borderId="38" xfId="0" applyFont="1" applyFill="1" applyBorder="1" applyNumberFormat="1">
      <alignment vertical="center"/>
    </xf>
    <xf numFmtId="49" fontId="40" fillId="42" borderId="38" xfId="0" applyFont="1" applyFill="1" applyBorder="1" applyNumberFormat="1">
      <alignment vertical="center"/>
    </xf>
    <xf numFmtId="49" fontId="40" fillId="42" borderId="38" xfId="0" applyFont="1" applyFill="1" applyBorder="1" applyNumberFormat="1">
      <alignment vertical="center"/>
    </xf>
    <xf numFmtId="49" fontId="40" fillId="42" borderId="38" xfId="0" applyFont="1" applyFill="1" applyBorder="1" applyNumberFormat="1">
      <alignment vertical="center"/>
    </xf>
    <xf numFmtId="49" fontId="40" fillId="42" borderId="38" xfId="0" applyFont="1" applyFill="1" applyBorder="1" applyNumberFormat="1">
      <alignment vertical="center"/>
    </xf>
    <xf numFmtId="49" fontId="40" fillId="42" borderId="38" xfId="0" applyFont="1" applyFill="1" applyBorder="1" applyNumberFormat="1">
      <alignment vertical="center"/>
    </xf>
    <xf numFmtId="49" fontId="40" fillId="42" borderId="38" xfId="0" applyFont="1" applyFill="1" applyBorder="1" applyNumberFormat="1">
      <alignment vertical="center"/>
    </xf>
    <xf numFmtId="49" fontId="40" fillId="42" borderId="38" xfId="0" applyFont="1" applyFill="1" applyBorder="1" applyNumberFormat="1">
      <alignment vertical="center"/>
    </xf>
    <xf numFmtId="49" fontId="40" fillId="42" borderId="38" xfId="0" applyFont="1" applyFill="1" applyBorder="1" applyNumberFormat="1">
      <alignment vertical="center"/>
    </xf>
    <xf numFmtId="49" fontId="40" fillId="42" borderId="38" xfId="0" applyFont="1" applyFill="1" applyBorder="1" applyNumberFormat="1">
      <alignment vertical="center"/>
    </xf>
    <xf numFmtId="49" fontId="40" fillId="42" borderId="38" xfId="0" applyFont="1" applyFill="1" applyBorder="1" applyNumberFormat="1">
      <alignment vertical="center"/>
    </xf>
    <xf numFmtId="49" fontId="40" fillId="42" borderId="38" xfId="0" applyFont="1" applyFill="1" applyBorder="1" applyNumberFormat="1">
      <alignment vertical="center"/>
    </xf>
    <xf numFmtId="49" fontId="40" fillId="42" borderId="38" xfId="0" applyFont="1" applyFill="1" applyBorder="1" applyNumberFormat="1">
      <alignment vertical="center"/>
    </xf>
    <xf numFmtId="49" fontId="40" fillId="42" borderId="62" xfId="0" applyFont="1" applyFill="1" applyBorder="1" applyNumberFormat="1">
      <alignment vertical="center"/>
    </xf>
    <xf numFmtId="0" fontId="31" fillId="0" borderId="0" xfId="0" applyFont="1">
      <alignment vertical="center"/>
    </xf>
    <xf numFmtId="0" fontId="24" fillId="43" borderId="0" xfId="0" applyFont="1" applyFill="1">
      <alignment vertical="center"/>
    </xf>
    <xf numFmtId="49" fontId="52" fillId="0" borderId="0" xfId="0" applyFont="1" applyNumberFormat="1">
      <alignment horizontal="center" vertical="center" wrapText="1"/>
    </xf>
    <xf numFmtId="0" fontId="19" fillId="34" borderId="36" xfId="0" applyFont="1" applyFill="1" applyBorder="1">
      <alignment horizontal="left" vertical="center" wrapText="1"/>
    </xf>
    <xf numFmtId="0" fontId="19" fillId="34" borderId="35" xfId="0" applyFont="1" applyFill="1" applyBorder="1">
      <alignment horizontal="left" vertical="center" wrapText="1"/>
    </xf>
    <xf numFmtId="0" fontId="24" fillId="4" borderId="0" xfId="0" applyFont="1" applyFill="1">
      <alignment vertical="center"/>
    </xf>
    <xf numFmtId="49" fontId="42" fillId="0" borderId="20" xfId="0" applyFont="1" applyBorder="1" applyNumberFormat="1">
      <alignment horizontal="left" vertical="center" indent="1"/>
    </xf>
    <xf numFmtId="49" fontId="42" fillId="0" borderId="34" xfId="0" applyFont="1" applyBorder="1" applyNumberFormat="1">
      <alignment horizontal="left" vertical="center" wrapText="1" indent="4"/>
    </xf>
    <xf numFmtId="0" fontId="24" fillId="0" borderId="0" xfId="0" applyFont="1">
      <alignment horizontal="center" vertical="center" wrapText="1"/>
    </xf>
    <xf numFmtId="0" fontId="31" fillId="0" borderId="0" xfId="0" applyFont="1">
      <alignment horizontal="center" vertical="center" wrapText="1"/>
    </xf>
    <xf numFmtId="0" fontId="24" fillId="43" borderId="0" xfId="0" applyFont="1" applyFill="1">
      <alignment horizontal="center" vertical="center" wrapText="1"/>
    </xf>
    <xf numFmtId="49" fontId="31" fillId="0" borderId="0" xfId="0" applyFont="1" applyNumberFormat="1">
      <alignment horizontal="center" vertical="center" wrapText="1"/>
    </xf>
    <xf numFmtId="49" fontId="19" fillId="36" borderId="19" xfId="0" applyFont="1" applyFill="1" applyBorder="1" applyNumberFormat="1">
      <alignment horizontal="center" vertical="center" wrapText="1"/>
    </xf>
    <xf numFmtId="4" fontId="19" fillId="33" borderId="19" xfId="0" applyFont="1" applyFill="1" applyBorder="1" applyNumberFormat="1">
      <alignment horizontal="right" vertical="center"/>
    </xf>
    <xf numFmtId="0" fontId="24" fillId="4" borderId="0" xfId="0" applyFont="1" applyFill="1">
      <alignment horizontal="center" vertical="center" wrapText="1"/>
    </xf>
    <xf numFmtId="0" fontId="1" fillId="0" borderId="0" xfId="0" applyFont="1">
      <alignment horizontal="center" vertical="center" wrapText="1"/>
    </xf>
    <xf numFmtId="49" fontId="19" fillId="34" borderId="19" xfId="0" applyFont="1" applyFill="1" applyBorder="1" applyNumberFormat="1">
      <alignment horizontal="right" vertical="center" wrapText="1"/>
    </xf>
    <xf numFmtId="0" fontId="19" fillId="36" borderId="19" xfId="0" applyFont="1" applyFill="1" applyBorder="1">
      <alignment horizontal="center" vertical="center" wrapText="1"/>
    </xf>
    <xf numFmtId="0" fontId="19" fillId="50" borderId="19" xfId="0" applyFont="1" applyFill="1" applyBorder="1">
      <alignment horizontal="left" vertical="center" wrapText="1"/>
    </xf>
    <xf numFmtId="0" fontId="22" fillId="0" borderId="0" xfId="0" applyFont="1">
      <alignment horizontal="center" vertical="top" wrapText="1"/>
    </xf>
    <xf numFmtId="0" fontId="19" fillId="36" borderId="11" xfId="0" applyFont="1" applyFill="1" applyBorder="1">
      <alignment horizontal="center" vertical="center" wrapText="1"/>
    </xf>
    <xf numFmtId="4" fontId="19" fillId="34" borderId="19" xfId="0" applyFont="1" applyFill="1" applyBorder="1" applyNumberFormat="1">
      <alignment horizontal="right" vertical="center"/>
    </xf>
    <xf numFmtId="49" fontId="24" fillId="34" borderId="19" xfId="0" applyFont="1" applyFill="1" applyBorder="1" applyNumberFormat="1">
      <alignment horizontal="left" vertical="center" wrapText="1"/>
    </xf>
    <xf numFmtId="0" fontId="1" fillId="0" borderId="0" xfId="0" applyFont="1">
      <alignment horizontal="center" vertical="center"/>
    </xf>
    <xf numFmtId="49" fontId="40" fillId="57" borderId="85" xfId="0" applyFont="1" applyFill="1" applyBorder="1" applyNumberFormat="1">
      <alignment horizontal="left" vertical="center" wrapText="1" indent="1"/>
    </xf>
    <xf numFmtId="49" fontId="40" fillId="57" borderId="86" xfId="0" applyFont="1" applyFill="1" applyBorder="1" applyNumberFormat="1">
      <alignment vertical="center" wrapTex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7" xfId="0" applyFont="1" applyFill="1" applyBorder="1" applyNumberFormat="1">
      <alignment horizontal="left" vertical="center" wrapText="1" indent="1"/>
    </xf>
    <xf numFmtId="0" fontId="22" fillId="0" borderId="58" xfId="0" applyFont="1" applyBorder="1">
      <alignment horizontal="center" vertical="top" wrapText="1"/>
    </xf>
    <xf numFmtId="0" fontId="19" fillId="35" borderId="19" xfId="0" applyFont="1" applyFill="1" applyBorder="1">
      <alignment horizontal="left" vertical="center" wrapText="1"/>
    </xf>
    <xf numFmtId="0" fontId="24" fillId="35" borderId="19" xfId="0" applyFont="1" applyFill="1" applyBorder="1">
      <alignment horizontal="center" vertical="center" wrapText="1"/>
    </xf>
    <xf numFmtId="49" fontId="40" fillId="57" borderId="88" xfId="0" applyFont="1" applyFill="1" applyBorder="1" applyNumberFormat="1">
      <alignment horizontal="left" vertical="center" wrapText="1" indent="1"/>
    </xf>
    <xf numFmtId="49" fontId="40" fillId="57" borderId="86" xfId="0" applyFont="1" applyFill="1" applyBorder="1" applyNumberFormat="1">
      <alignment vertical="center" wrapTex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8" xfId="0" applyFont="1" applyFill="1" applyBorder="1" applyNumberFormat="1">
      <alignment horizontal="left" vertical="center" wrapText="1" indent="1"/>
    </xf>
    <xf numFmtId="49" fontId="40" fillId="57" borderId="86" xfId="0" applyFont="1" applyFill="1" applyBorder="1" applyNumberFormat="1">
      <alignment vertical="center" wrapTex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0" fontId="0" fillId="0" borderId="0" xfId="0" applyFont="1">
      <alignment vertical="center" wrapText="1"/>
    </xf>
    <xf numFmtId="49" fontId="19" fillId="34" borderId="19" xfId="0" applyFont="1" applyFill="1" applyBorder="1" applyNumberFormat="1">
      <alignment horizontal="right" vertical="center" wrapText="1"/>
      <protection locked="0"/>
    </xf>
    <xf numFmtId="49" fontId="40" fillId="57" borderId="85" xfId="0" applyFont="1" applyFill="1" applyBorder="1" applyNumberFormat="1">
      <alignment horizontal="left" vertical="center" wrapText="1" indent="1"/>
    </xf>
    <xf numFmtId="49" fontId="40" fillId="57" borderId="86" xfId="0" applyFont="1" applyFill="1" applyBorder="1" applyNumberFormat="1">
      <alignment vertical="center" wrapTex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7" xfId="0" applyFont="1" applyFill="1" applyBorder="1" applyNumberFormat="1">
      <alignment horizontal="left" vertical="center" wrapText="1" indent="1"/>
    </xf>
    <xf numFmtId="49" fontId="40" fillId="57" borderId="88" xfId="0" applyFont="1" applyFill="1" applyBorder="1" applyNumberFormat="1">
      <alignment horizontal="left" vertical="center" wrapText="1" indent="1"/>
    </xf>
    <xf numFmtId="49" fontId="40" fillId="57" borderId="86" xfId="0" applyFont="1" applyFill="1" applyBorder="1" applyNumberFormat="1">
      <alignment vertical="center" wrapTex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8" xfId="0" applyFont="1" applyFill="1" applyBorder="1" applyNumberFormat="1">
      <alignment horizontal="left" vertical="center" wrapText="1" indent="1"/>
    </xf>
    <xf numFmtId="49" fontId="40" fillId="57" borderId="86" xfId="0" applyFont="1" applyFill="1" applyBorder="1" applyNumberFormat="1">
      <alignment vertical="center" wrapTex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0" fontId="0" fillId="0" borderId="0" xfId="0" applyFont="1">
      <alignment vertical="center" wrapText="1"/>
    </xf>
    <xf numFmtId="49" fontId="40" fillId="57" borderId="85" xfId="0" applyFont="1" applyFill="1" applyBorder="1" applyNumberFormat="1">
      <alignment horizontal="left" vertical="center" wrapText="1" indent="1"/>
    </xf>
    <xf numFmtId="49" fontId="40" fillId="57" borderId="86" xfId="0" applyFont="1" applyFill="1" applyBorder="1" applyNumberFormat="1">
      <alignment vertical="center" wrapTex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7" xfId="0" applyFont="1" applyFill="1" applyBorder="1" applyNumberFormat="1">
      <alignment horizontal="left" vertical="center" wrapText="1" indent="1"/>
    </xf>
    <xf numFmtId="49" fontId="40" fillId="57" borderId="88" xfId="0" applyFont="1" applyFill="1" applyBorder="1" applyNumberFormat="1">
      <alignment horizontal="left" vertical="center" wrapText="1" indent="1"/>
    </xf>
    <xf numFmtId="49" fontId="40" fillId="57" borderId="86" xfId="0" applyFont="1" applyFill="1" applyBorder="1" applyNumberFormat="1">
      <alignment vertical="center" wrapTex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8" xfId="0" applyFont="1" applyFill="1" applyBorder="1" applyNumberFormat="1">
      <alignment horizontal="left" vertical="center" wrapText="1" indent="1"/>
    </xf>
    <xf numFmtId="49" fontId="40" fillId="57" borderId="86" xfId="0" applyFont="1" applyFill="1" applyBorder="1" applyNumberFormat="1">
      <alignment vertical="center" wrapTex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0" fontId="0" fillId="0" borderId="0" xfId="0" applyFont="1">
      <alignment vertical="center" wrapText="1"/>
    </xf>
    <xf numFmtId="49" fontId="40" fillId="57" borderId="85" xfId="0" applyFont="1" applyFill="1" applyBorder="1" applyNumberFormat="1">
      <alignment horizontal="left" vertical="center" wrapText="1" indent="1"/>
    </xf>
    <xf numFmtId="49" fontId="40" fillId="57" borderId="86" xfId="0" applyFont="1" applyFill="1" applyBorder="1" applyNumberFormat="1">
      <alignment vertical="center" wrapTex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7" xfId="0" applyFont="1" applyFill="1" applyBorder="1" applyNumberFormat="1">
      <alignment horizontal="left" vertical="center" wrapText="1" indent="1"/>
    </xf>
    <xf numFmtId="49" fontId="40" fillId="57" borderId="88" xfId="0" applyFont="1" applyFill="1" applyBorder="1" applyNumberFormat="1">
      <alignment horizontal="left" vertical="center" wrapText="1" indent="1"/>
    </xf>
    <xf numFmtId="49" fontId="40" fillId="57" borderId="86" xfId="0" applyFont="1" applyFill="1" applyBorder="1" applyNumberFormat="1">
      <alignment vertical="center" wrapTex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8" xfId="0" applyFont="1" applyFill="1" applyBorder="1" applyNumberFormat="1">
      <alignment horizontal="left" vertical="center" wrapText="1" indent="1"/>
    </xf>
    <xf numFmtId="49" fontId="40" fillId="57" borderId="86" xfId="0" applyFont="1" applyFill="1" applyBorder="1" applyNumberFormat="1">
      <alignment vertical="center" wrapTex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49" fontId="40" fillId="57" borderId="86" xfId="0" applyFont="1" applyFill="1" applyBorder="1" applyNumberFormat="1">
      <alignment horizontal="left" vertical="center" wrapText="1" indent="1"/>
    </xf>
    <xf numFmtId="0" fontId="1" fillId="0" borderId="18" xfId="0" applyFont="1" applyBorder="1">
      <alignment vertical="center"/>
    </xf>
    <xf numFmtId="49" fontId="19" fillId="34" borderId="24" xfId="0" applyFont="1" applyFill="1" applyBorder="1" applyNumberFormat="1">
      <alignment horizontal="left" vertical="top" wrapText="1"/>
      <protection locked="0"/>
    </xf>
    <xf numFmtId="49" fontId="19" fillId="34" borderId="24" xfId="0" applyFont="1" applyFill="1" applyBorder="1" applyNumberFormat="1">
      <alignment horizontal="left" vertical="top" wrapText="1"/>
    </xf>
    <xf numFmtId="49" fontId="19" fillId="34" borderId="36" xfId="0" applyFont="1" applyFill="1" applyBorder="1" applyNumberFormat="1">
      <alignment horizontal="left" vertical="top" wrapText="1"/>
    </xf>
    <xf numFmtId="49" fontId="19" fillId="34" borderId="35" xfId="0" applyFont="1" applyFill="1" applyBorder="1" applyNumberFormat="1">
      <alignment horizontal="left" vertical="top" wrapText="1"/>
    </xf>
    <xf numFmtId="0" fontId="24" fillId="42" borderId="24" xfId="0" applyFont="1" applyFill="1" applyBorder="1">
      <alignment vertical="center"/>
    </xf>
    <xf numFmtId="49" fontId="42" fillId="0" borderId="20" xfId="0" applyFont="1" applyBorder="1" applyNumberFormat="1">
      <alignment vertical="center" wrapText="1"/>
    </xf>
    <xf numFmtId="0" fontId="24" fillId="0" borderId="0" xfId="0" applyFont="1">
      <alignment horizontal="center" vertical="center" wrapText="1"/>
    </xf>
    <xf numFmtId="0" fontId="31" fillId="0" borderId="0" xfId="0" applyFont="1">
      <alignment horizontal="center" vertical="center"/>
    </xf>
    <xf numFmtId="0" fontId="31" fillId="0" borderId="0" xfId="0" applyFont="1">
      <alignment horizontal="center" vertical="center"/>
    </xf>
    <xf numFmtId="0" fontId="24" fillId="0" borderId="0" xfId="0" applyFont="1">
      <alignment horizontal="center" vertical="center"/>
    </xf>
    <xf numFmtId="4" fontId="19" fillId="33" borderId="19" xfId="0" applyFont="1" applyFill="1" applyBorder="1" applyNumberFormat="1">
      <alignment horizontal="right" vertical="center"/>
    </xf>
    <xf numFmtId="4" fontId="24" fillId="34" borderId="18" xfId="0" applyFont="1" applyFill="1" applyBorder="1" applyNumberFormat="1">
      <alignment horizontal="right" vertical="center"/>
    </xf>
    <xf numFmtId="0" fontId="44" fillId="43" borderId="36" xfId="0" applyFont="1" applyFill="1" applyBorder="1">
      <alignment horizontal="center" vertical="center" wrapText="1"/>
    </xf>
    <xf numFmtId="0" fontId="19" fillId="43" borderId="0" xfId="0" applyFont="1" applyFill="1">
      <alignment horizontal="left" vertical="center" wrapText="1"/>
    </xf>
    <xf numFmtId="4" fontId="19" fillId="43" borderId="0" xfId="0" applyFont="1" applyFill="1" applyNumberFormat="1">
      <alignment horizontal="right" vertical="center"/>
    </xf>
    <xf numFmtId="49" fontId="19" fillId="43" borderId="35" xfId="0" applyFont="1" applyFill="1" applyBorder="1" applyNumberFormat="1">
      <alignment horizontal="left" vertical="center"/>
    </xf>
    <xf numFmtId="0" fontId="1" fillId="0" borderId="0" xfId="0" applyFont="1">
      <alignment horizontal="center" vertical="center" wrapText="1"/>
    </xf>
    <xf numFmtId="0" fontId="19" fillId="50" borderId="18" xfId="0" applyFont="1" applyFill="1" applyBorder="1">
      <alignment horizontal="left" vertical="center" wrapText="1"/>
    </xf>
    <xf numFmtId="49" fontId="19" fillId="0" borderId="0" xfId="0" applyFont="1" applyNumberFormat="1">
      <alignment horizontal="left" vertical="center"/>
    </xf>
    <xf numFmtId="0" fontId="19" fillId="35" borderId="19" xfId="0" applyFont="1" applyFill="1" applyBorder="1">
      <alignment horizontal="left" vertical="center" wrapText="1"/>
    </xf>
    <xf numFmtId="0" fontId="19" fillId="43" borderId="0" xfId="0" applyFont="1" applyFill="1">
      <alignment vertical="center"/>
    </xf>
    <xf numFmtId="0" fontId="51" fillId="0" borderId="0" xfId="0" applyFont="1">
      <alignment horizontal="left" vertical="top"/>
    </xf>
    <xf numFmtId="0" fontId="40" fillId="42" borderId="25" xfId="0" applyFont="1" applyFill="1" applyBorder="1">
      <alignment horizontal="left" vertical="center" wrapText="1" indent="1"/>
    </xf>
    <xf numFmtId="0" fontId="19" fillId="4" borderId="0" xfId="0" applyFont="1" applyFill="1">
      <alignment vertical="center"/>
    </xf>
    <xf numFmtId="0" fontId="0" fillId="0" borderId="0" xfId="0" applyFont="1">
      <alignment vertical="center" wrapText="1"/>
    </xf>
    <xf numFmtId="4" fontId="24" fillId="34" borderId="18" xfId="0" applyFont="1" applyFill="1" applyBorder="1" applyNumberFormat="1">
      <alignment horizontal="right" vertical="center"/>
      <protection locked="0"/>
    </xf>
    <xf numFmtId="0" fontId="19" fillId="35" borderId="19" xfId="0" applyFont="1" applyFill="1" applyBorder="1">
      <alignment horizontal="left" vertical="center" wrapText="1"/>
      <protection locked="0"/>
    </xf>
    <xf numFmtId="0" fontId="40" fillId="42" borderId="25" xfId="0" applyFont="1" applyFill="1" applyBorder="1">
      <alignment horizontal="left" vertical="center" wrapText="1" indent="1"/>
    </xf>
    <xf numFmtId="49" fontId="40" fillId="42" borderId="26" xfId="0" applyFont="1" applyFill="1" applyBorder="1" applyNumberFormat="1">
      <alignment vertical="center" wrapTex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32" xfId="0" applyFont="1" applyFill="1" applyBorder="1" applyNumberFormat="1">
      <alignment horizontal="left" vertical="center" wrapText="1" indent="1"/>
    </xf>
    <xf numFmtId="49" fontId="40" fillId="42" borderId="25" xfId="0" applyFont="1" applyFill="1" applyBorder="1" applyNumberFormat="1">
      <alignment horizontal="left" vertical="center" wrapText="1" indent="1"/>
    </xf>
    <xf numFmtId="49" fontId="40" fillId="42" borderId="26" xfId="0" applyFont="1" applyFill="1" applyBorder="1" applyNumberFormat="1">
      <alignment vertical="center" wrapTex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32" xfId="0" applyFont="1" applyFill="1" applyBorder="1" applyNumberFormat="1">
      <alignment horizontal="left" vertical="center" wrapText="1" indent="1"/>
    </xf>
    <xf numFmtId="0" fontId="0" fillId="0" borderId="0" xfId="0" applyFont="1">
      <alignment vertical="center" wrapText="1"/>
    </xf>
    <xf numFmtId="0" fontId="40" fillId="42" borderId="25" xfId="0" applyFont="1" applyFill="1" applyBorder="1">
      <alignment horizontal="left" vertical="center" wrapText="1" indent="1"/>
    </xf>
    <xf numFmtId="49" fontId="40" fillId="42" borderId="26" xfId="0" applyFont="1" applyFill="1" applyBorder="1" applyNumberFormat="1">
      <alignment vertical="center" wrapTex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32" xfId="0" applyFont="1" applyFill="1" applyBorder="1" applyNumberFormat="1">
      <alignment horizontal="left" vertical="center" wrapText="1" indent="1"/>
    </xf>
    <xf numFmtId="49" fontId="40" fillId="42" borderId="25" xfId="0" applyFont="1" applyFill="1" applyBorder="1" applyNumberFormat="1">
      <alignment horizontal="left" vertical="center" wrapText="1" indent="1"/>
    </xf>
    <xf numFmtId="49" fontId="40" fillId="42" borderId="26" xfId="0" applyFont="1" applyFill="1" applyBorder="1" applyNumberFormat="1">
      <alignment vertical="center" wrapTex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32" xfId="0" applyFont="1" applyFill="1" applyBorder="1" applyNumberFormat="1">
      <alignment horizontal="left" vertical="center" wrapText="1" indent="1"/>
    </xf>
    <xf numFmtId="0" fontId="0" fillId="0" borderId="0" xfId="0" applyFont="1">
      <alignment vertical="center" wrapText="1"/>
    </xf>
    <xf numFmtId="0" fontId="40" fillId="42" borderId="25" xfId="0" applyFont="1" applyFill="1" applyBorder="1">
      <alignment horizontal="left" vertical="center" wrapText="1" indent="1"/>
    </xf>
    <xf numFmtId="49" fontId="40" fillId="42" borderId="26" xfId="0" applyFont="1" applyFill="1" applyBorder="1" applyNumberFormat="1">
      <alignment vertical="center" wrapTex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32" xfId="0" applyFont="1" applyFill="1" applyBorder="1" applyNumberFormat="1">
      <alignment horizontal="left" vertical="center" wrapText="1" indent="1"/>
    </xf>
    <xf numFmtId="49" fontId="40" fillId="42" borderId="25" xfId="0" applyFont="1" applyFill="1" applyBorder="1" applyNumberFormat="1">
      <alignment horizontal="left" vertical="center" wrapText="1" indent="1"/>
    </xf>
    <xf numFmtId="49" fontId="40" fillId="42" borderId="26" xfId="0" applyFont="1" applyFill="1" applyBorder="1" applyNumberFormat="1">
      <alignment vertical="center" wrapTex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26" xfId="0" applyFont="1" applyFill="1" applyBorder="1" applyNumberFormat="1">
      <alignment horizontal="left" vertical="center" wrapText="1" indent="1"/>
    </xf>
    <xf numFmtId="49" fontId="40" fillId="42" borderId="32" xfId="0" applyFont="1" applyFill="1" applyBorder="1" applyNumberFormat="1">
      <alignment horizontal="left" vertical="center" wrapText="1" indent="1"/>
    </xf>
    <xf numFmtId="0" fontId="19" fillId="0" borderId="24" xfId="0" applyFont="1" applyBorder="1">
      <alignment horizontal="center" vertical="center" wrapText="1"/>
    </xf>
    <xf numFmtId="0" fontId="52" fillId="0" borderId="58" xfId="0" applyFont="1" applyBorder="1">
      <alignment horizontal="center" vertical="center" wrapText="1"/>
    </xf>
    <xf numFmtId="49" fontId="19" fillId="34" borderId="36" xfId="0" applyFont="1" applyFill="1" applyBorder="1" applyNumberFormat="1">
      <alignment horizontal="left" vertical="top" wrapText="1"/>
      <protection locked="0"/>
    </xf>
    <xf numFmtId="49" fontId="19" fillId="34" borderId="35" xfId="0" applyFont="1" applyFill="1" applyBorder="1" applyNumberFormat="1">
      <alignment horizontal="left" vertical="top" wrapText="1"/>
      <protection locked="0"/>
    </xf>
    <xf numFmtId="0" fontId="19" fillId="43" borderId="0" xfId="0" applyFont="1" applyFill="1">
      <alignment horizontal="center"/>
    </xf>
    <xf numFmtId="0" fontId="19" fillId="0" borderId="0" xfId="0" applyFont="1">
      <alignment horizontal="left"/>
    </xf>
    <xf numFmtId="0" fontId="19" fillId="4" borderId="0" xfId="0" applyFont="1" applyFill="1">
      <alignment horizontal="center"/>
    </xf>
    <xf numFmtId="0" fontId="23" fillId="0" borderId="0" xfId="0" applyFont="1">
      <alignment horizontal="center"/>
    </xf>
    <xf numFmtId="1" fontId="24" fillId="0" borderId="0" xfId="0" applyFont="1" applyNumberFormat="1">
      <alignment vertical="center"/>
    </xf>
    <xf numFmtId="49" fontId="39" fillId="41" borderId="35" xfId="0" applyFont="1" applyFill="1" applyBorder="1" applyNumberFormat="1">
      <alignment horizontal="left" vertical="center" wrapText="1"/>
    </xf>
    <xf numFmtId="0" fontId="33" fillId="0" borderId="0" xfId="0" applyFont="1">
      <alignment horizontal="center"/>
    </xf>
    <xf numFmtId="0" fontId="23" fillId="43" borderId="0" xfId="0" applyFont="1" applyFill="1"/>
    <xf numFmtId="0" fontId="23" fillId="0" borderId="18" xfId="0" applyFont="1" applyBorder="1">
      <alignment horizontal="center" vertical="center"/>
    </xf>
    <xf numFmtId="0" fontId="23" fillId="0" borderId="18" xfId="0" applyFont="1" applyBorder="1">
      <alignment vertical="center" wrapText="1"/>
    </xf>
    <xf numFmtId="4" fontId="23" fillId="34" borderId="18" xfId="0" applyFont="1" applyFill="1" applyBorder="1" applyNumberFormat="1">
      <alignment horizontal="right" vertical="center"/>
    </xf>
    <xf numFmtId="0" fontId="19" fillId="4" borderId="0" xfId="0" applyFont="1" applyFill="1">
      <alignment horizontal="left" vertical="top"/>
    </xf>
    <xf numFmtId="4" fontId="19" fillId="34" borderId="18" xfId="0" applyFont="1" applyFill="1" applyBorder="1" applyNumberFormat="1">
      <alignment horizontal="right" vertical="center"/>
    </xf>
    <xf numFmtId="4" fontId="23" fillId="0" borderId="18" xfId="0" applyFont="1" applyBorder="1" applyNumberFormat="1">
      <alignment horizontal="right" vertical="center"/>
    </xf>
    <xf numFmtId="49" fontId="31" fillId="0" borderId="0" xfId="0" applyFont="1" applyNumberFormat="1"/>
    <xf numFmtId="4" fontId="23" fillId="34" borderId="18" xfId="0" applyFont="1" applyFill="1" applyBorder="1" applyNumberFormat="1">
      <alignment horizontal="right" vertical="center"/>
      <protection locked="0"/>
    </xf>
    <xf numFmtId="4" fontId="19" fillId="34" borderId="18" xfId="0" applyFont="1" applyFill="1" applyBorder="1" applyNumberFormat="1">
      <alignment horizontal="right" vertical="center"/>
      <protection locked="0"/>
    </xf>
    <xf numFmtId="0" fontId="1" fillId="0" borderId="0" xfId="0" applyFont="1">
      <alignment vertical="center"/>
    </xf>
    <xf numFmtId="49" fontId="70" fillId="34" borderId="80" xfId="0" applyFont="1" applyFill="1" applyBorder="1" applyNumberFormat="1">
      <alignment horizontal="left" vertical="top" wrapText="1"/>
      <protection locked="0"/>
    </xf>
    <xf numFmtId="49" fontId="70" fillId="34" borderId="80" xfId="0" applyFont="1" applyFill="1" applyBorder="1" applyNumberFormat="1">
      <alignment horizontal="left" vertical="top" wrapText="1"/>
    </xf>
    <xf numFmtId="49" fontId="19" fillId="34" borderId="80" xfId="0" applyFont="1" applyFill="1" applyBorder="1" applyNumberFormat="1">
      <alignment horizontal="left" vertical="top" wrapText="1"/>
    </xf>
    <xf numFmtId="49" fontId="19" fillId="34" borderId="80" xfId="0" applyFont="1" applyFill="1" applyBorder="1" applyNumberFormat="1">
      <alignment horizontal="left" vertical="top" wrapText="1"/>
      <protection locked="0"/>
    </xf>
    <xf numFmtId="0" fontId="24" fillId="25" borderId="0" xfId="0" applyFont="1" applyFill="1"/>
    <xf numFmtId="0" fontId="24" fillId="0" borderId="0" xfId="0" applyFont="1">
      <alignment horizontal="left"/>
    </xf>
    <xf numFmtId="0" fontId="24" fillId="4" borderId="0" xfId="0" applyFont="1" applyFill="1">
      <alignment horizontal="center"/>
    </xf>
    <xf numFmtId="0" fontId="1" fillId="0" borderId="20" xfId="0" applyFont="1" applyBorder="1">
      <alignment vertical="center" wrapText="1"/>
    </xf>
    <xf numFmtId="0" fontId="39" fillId="41" borderId="36" xfId="0" applyFont="1" applyFill="1" applyBorder="1">
      <alignment horizontal="left" vertical="center"/>
    </xf>
    <xf numFmtId="0" fontId="31" fillId="0" borderId="0" xfId="0" applyFont="1">
      <alignment horizontal="left" vertical="center"/>
    </xf>
    <xf numFmtId="49" fontId="23" fillId="0" borderId="18" xfId="0" applyFont="1" applyBorder="1" applyNumberFormat="1">
      <alignment horizontal="center" vertical="center"/>
    </xf>
    <xf numFmtId="0" fontId="23" fillId="0" borderId="18" xfId="0" applyFont="1" applyBorder="1">
      <alignment horizontal="left" vertical="center" wrapText="1"/>
    </xf>
    <xf numFmtId="0" fontId="23" fillId="36" borderId="19" xfId="0" applyFont="1" applyFill="1" applyBorder="1">
      <alignment horizontal="center" vertical="center" wrapText="1"/>
    </xf>
    <xf numFmtId="4" fontId="19" fillId="33" borderId="18" xfId="0" applyFont="1" applyFill="1" applyBorder="1" applyNumberFormat="1">
      <alignment horizontal="right" vertical="center"/>
    </xf>
    <xf numFmtId="0" fontId="19" fillId="4" borderId="0" xfId="0" applyFont="1" applyFill="1">
      <alignment horizontal="left" vertical="top"/>
    </xf>
    <xf numFmtId="0" fontId="19" fillId="0" borderId="18" xfId="0" applyFont="1" applyBorder="1">
      <alignment horizontal="left" vertical="center" wrapText="1" indent="1"/>
    </xf>
    <xf numFmtId="0" fontId="19" fillId="36" borderId="19" xfId="0" applyFont="1" applyFill="1" applyBorder="1">
      <alignment horizontal="center" vertical="center" wrapText="1"/>
    </xf>
    <xf numFmtId="4" fontId="19" fillId="34" borderId="18" xfId="0" applyFont="1" applyFill="1" applyBorder="1" applyNumberFormat="1">
      <alignment horizontal="right" vertical="center"/>
    </xf>
    <xf numFmtId="0" fontId="19" fillId="0" borderId="18" xfId="0" applyFont="1" applyBorder="1">
      <alignment horizontal="left" vertical="center" wrapText="1" indent="2"/>
    </xf>
    <xf numFmtId="0" fontId="19" fillId="0" borderId="18" xfId="0" applyFont="1" applyBorder="1">
      <alignment horizontal="left" indent="1"/>
    </xf>
    <xf numFmtId="4" fontId="19" fillId="34" borderId="18" xfId="0" applyFont="1" applyFill="1" applyBorder="1" applyNumberFormat="1">
      <alignment horizontal="right" vertical="center"/>
      <protection locked="0"/>
    </xf>
    <xf numFmtId="0" fontId="19" fillId="25" borderId="0" xfId="0" applyFont="1" applyFill="1">
      <alignment horizontal="center"/>
    </xf>
    <xf numFmtId="0" fontId="19" fillId="4" borderId="0" xfId="0" applyFont="1" applyFill="1">
      <alignment vertical="top"/>
    </xf>
    <xf numFmtId="0" fontId="24" fillId="0" borderId="0" xfId="0" applyFont="1">
      <alignment vertical="center"/>
    </xf>
    <xf numFmtId="49" fontId="42" fillId="0" borderId="20" xfId="0" applyFont="1" applyBorder="1" applyNumberFormat="1">
      <alignment horizontal="left" vertical="center" wrapText="1" indent="1"/>
    </xf>
    <xf numFmtId="0" fontId="24" fillId="0" borderId="82" xfId="0" applyFont="1" applyBorder="1">
      <alignment horizontal="center" vertical="center" wrapText="1"/>
    </xf>
    <xf numFmtId="0" fontId="24" fillId="0" borderId="54" xfId="0" applyFont="1" applyBorder="1">
      <alignment horizontal="center" vertical="center" wrapText="1"/>
    </xf>
    <xf numFmtId="0" fontId="24" fillId="11" borderId="43" xfId="0" applyFont="1" applyFill="1" applyBorder="1">
      <alignment horizontal="center" vertical="center" wrapText="1"/>
    </xf>
    <xf numFmtId="0" fontId="24" fillId="0" borderId="18" xfId="0" applyFont="1" applyBorder="1">
      <alignment horizontal="center" vertical="center" wrapText="1"/>
    </xf>
    <xf numFmtId="0" fontId="24" fillId="0" borderId="0" xfId="0" applyFont="1">
      <alignment horizontal="center" vertical="center" wrapText="1"/>
    </xf>
    <xf numFmtId="0" fontId="39" fillId="41" borderId="36" xfId="0" applyFont="1" applyFill="1" applyBorder="1">
      <alignment horizontal="left" vertical="center"/>
    </xf>
    <xf numFmtId="49" fontId="39" fillId="41" borderId="24" xfId="0" applyFont="1" applyFill="1" applyBorder="1" applyNumberFormat="1">
      <alignment horizontal="left" vertical="center" wrapText="1"/>
    </xf>
    <xf numFmtId="49" fontId="39" fillId="41" borderId="35" xfId="0" applyFont="1" applyFill="1" applyBorder="1" applyNumberFormat="1">
      <alignment horizontal="left" vertical="center" wrapText="1"/>
    </xf>
    <xf numFmtId="0" fontId="24" fillId="0" borderId="0" xfId="0" applyFont="1">
      <alignment horizontal="left" vertical="center"/>
    </xf>
    <xf numFmtId="0" fontId="23" fillId="43" borderId="0" xfId="0" applyFont="1" applyFill="1"/>
    <xf numFmtId="0" fontId="23" fillId="0" borderId="0" xfId="0" applyFont="1"/>
    <xf numFmtId="49" fontId="19" fillId="0" borderId="19" xfId="0" applyFont="1" applyBorder="1" applyNumberFormat="1">
      <alignment horizontal="center" vertical="center" wrapText="1"/>
    </xf>
    <xf numFmtId="49" fontId="19" fillId="0" borderId="19" xfId="0" applyFont="1" applyBorder="1" applyNumberFormat="1">
      <alignment horizontal="left" vertical="center" wrapText="1"/>
    </xf>
    <xf numFmtId="49" fontId="19" fillId="0" borderId="19" xfId="0" applyFont="1" applyBorder="1" applyNumberFormat="1">
      <alignment horizontal="center" vertical="center" wrapText="1"/>
    </xf>
    <xf numFmtId="4" fontId="19" fillId="33" borderId="19" xfId="0" applyFont="1" applyFill="1" applyBorder="1" applyNumberFormat="1">
      <alignment horizontal="right" vertical="center" wrapText="1"/>
    </xf>
    <xf numFmtId="4" fontId="19" fillId="33" borderId="19" xfId="0" applyFont="1" applyFill="1" applyBorder="1" applyNumberFormat="1">
      <alignment horizontal="right" vertical="center" wrapText="1"/>
    </xf>
    <xf numFmtId="0" fontId="23" fillId="4" borderId="0" xfId="0" applyFont="1" applyFill="1"/>
    <xf numFmtId="0" fontId="24" fillId="0" borderId="0" xfId="0" applyFont="1">
      <alignment horizontal="left" vertical="center"/>
    </xf>
    <xf numFmtId="49" fontId="19" fillId="0" borderId="52" xfId="0" applyFont="1" applyBorder="1" applyNumberFormat="1">
      <alignment horizontal="center" vertical="center" wrapText="1"/>
    </xf>
    <xf numFmtId="49" fontId="19" fillId="0" borderId="52" xfId="0" applyFont="1" applyBorder="1" applyNumberFormat="1">
      <alignment horizontal="left" vertical="center" wrapText="1" indent="1"/>
    </xf>
    <xf numFmtId="49" fontId="19" fillId="0" borderId="52" xfId="0" applyFont="1" applyBorder="1" applyNumberFormat="1">
      <alignment horizontal="center" vertical="center" wrapText="1"/>
    </xf>
    <xf numFmtId="4" fontId="19" fillId="34" borderId="52" xfId="0" applyFont="1" applyFill="1" applyBorder="1" applyNumberFormat="1">
      <alignment horizontal="right" vertical="center" wrapText="1"/>
    </xf>
    <xf numFmtId="49" fontId="19" fillId="0" borderId="52" xfId="0" applyFont="1" applyBorder="1" applyNumberFormat="1">
      <alignment horizontal="left" vertical="center" wrapText="1" indent="1"/>
    </xf>
    <xf numFmtId="172" fontId="19" fillId="33" borderId="19" xfId="0" applyFont="1" applyFill="1" applyBorder="1" applyNumberFormat="1">
      <alignment horizontal="right" vertical="center" wrapText="1"/>
    </xf>
    <xf numFmtId="172" fontId="19" fillId="33" borderId="19" xfId="0" applyFont="1" applyFill="1" applyBorder="1" applyNumberFormat="1">
      <alignment horizontal="right" vertical="center" wrapText="1"/>
    </xf>
    <xf numFmtId="0" fontId="42" fillId="0" borderId="0" xfId="0" applyFont="1">
      <alignment horizontal="left" vertical="center"/>
    </xf>
    <xf numFmtId="1" fontId="23" fillId="0" borderId="19" xfId="0" applyFont="1" applyBorder="1" applyNumberFormat="1">
      <alignment horizontal="center" vertical="center" wrapText="1"/>
    </xf>
    <xf numFmtId="49" fontId="23" fillId="0" borderId="19" xfId="0" applyFont="1" applyBorder="1" applyNumberFormat="1">
      <alignment horizontal="left" vertical="center" wrapText="1"/>
    </xf>
    <xf numFmtId="49" fontId="23" fillId="0" borderId="19" xfId="0" applyFont="1" applyBorder="1" applyNumberFormat="1">
      <alignment horizontal="center" vertical="center" wrapText="1"/>
    </xf>
    <xf numFmtId="4" fontId="23" fillId="33" borderId="19" xfId="0" applyFont="1" applyFill="1" applyBorder="1" applyNumberFormat="1">
      <alignment horizontal="right" vertical="center" wrapText="1"/>
    </xf>
    <xf numFmtId="4" fontId="23" fillId="33" borderId="19" xfId="0" applyFont="1" applyFill="1" applyBorder="1" applyNumberFormat="1">
      <alignment horizontal="right" vertical="center" wrapText="1"/>
    </xf>
    <xf numFmtId="1" fontId="19" fillId="0" borderId="19" xfId="0" applyFont="1" applyBorder="1" applyNumberFormat="1">
      <alignment horizontal="center" vertical="center" wrapText="1"/>
    </xf>
    <xf numFmtId="49" fontId="19" fillId="0" borderId="19" xfId="0" applyFont="1" applyBorder="1" applyNumberFormat="1">
      <alignment horizontal="left" vertical="center" wrapText="1"/>
    </xf>
    <xf numFmtId="1" fontId="19" fillId="0" borderId="19" xfId="0" applyFont="1" applyBorder="1" applyNumberFormat="1">
      <alignment horizontal="center" vertical="center" wrapText="1"/>
    </xf>
    <xf numFmtId="4" fontId="19" fillId="34" borderId="19" xfId="0" applyFont="1" applyFill="1" applyBorder="1" applyNumberFormat="1">
      <alignment horizontal="right" vertical="center" wrapText="1"/>
    </xf>
    <xf numFmtId="4" fontId="19" fillId="34" borderId="19" xfId="0" applyFont="1" applyFill="1" applyBorder="1" applyNumberFormat="1">
      <alignment horizontal="right" vertical="center" wrapText="1"/>
    </xf>
    <xf numFmtId="4" fontId="19" fillId="34" borderId="52" xfId="0" applyFont="1" applyFill="1" applyBorder="1" applyNumberFormat="1">
      <alignment horizontal="right" vertical="center" wrapText="1"/>
      <protection locked="0"/>
    </xf>
    <xf numFmtId="4" fontId="19" fillId="34" borderId="19" xfId="0" applyFont="1" applyFill="1" applyBorder="1" applyNumberFormat="1">
      <alignment horizontal="right" vertical="center" wrapText="1"/>
      <protection locked="0"/>
    </xf>
    <xf numFmtId="4" fontId="19" fillId="34" borderId="19" xfId="0" applyFont="1" applyFill="1" applyBorder="1" applyNumberFormat="1">
      <alignment horizontal="right" vertical="center" wrapText="1"/>
      <protection locked="0"/>
    </xf>
    <xf numFmtId="4" fontId="19" fillId="0" borderId="0" xfId="0" applyFont="1" applyNumberFormat="1">
      <alignment horizontal="center" vertical="center"/>
    </xf>
    <xf numFmtId="0" fontId="24" fillId="43" borderId="0" xfId="0" applyFont="1" applyFill="1">
      <alignment vertical="center"/>
    </xf>
    <xf numFmtId="0" fontId="19" fillId="0" borderId="0" xfId="0" applyFont="1"/>
    <xf numFmtId="0" fontId="52" fillId="0" borderId="58" xfId="0" applyFont="1" applyBorder="1">
      <alignment horizontal="center" vertical="center" wrapText="1"/>
    </xf>
    <xf numFmtId="0" fontId="24" fillId="4" borderId="0" xfId="0" applyFont="1" applyFill="1">
      <alignment vertical="center"/>
    </xf>
    <xf numFmtId="0" fontId="24" fillId="42" borderId="24" xfId="0" applyFont="1" applyFill="1" applyBorder="1">
      <alignment vertical="center"/>
    </xf>
    <xf numFmtId="0" fontId="24" fillId="42" borderId="35" xfId="0" applyFont="1" applyFill="1" applyBorder="1">
      <alignment vertical="center"/>
    </xf>
    <xf numFmtId="0" fontId="26" fillId="43" borderId="0" xfId="0" applyFont="1" applyFill="1"/>
    <xf numFmtId="0" fontId="26" fillId="0" borderId="0" xfId="0" applyFont="1"/>
    <xf numFmtId="0" fontId="26" fillId="4" borderId="0" xfId="0" applyFont="1" applyFill="1"/>
    <xf numFmtId="0" fontId="1" fillId="0" borderId="20" xfId="0" applyFont="1" applyBorder="1">
      <alignment vertical="center"/>
    </xf>
    <xf numFmtId="0" fontId="25" fillId="0" borderId="0" xfId="0" applyFont="1">
      <alignment horizontal="left"/>
    </xf>
    <xf numFmtId="0" fontId="26" fillId="0" borderId="0" xfId="0" applyFont="1">
      <alignment horizontal="left"/>
    </xf>
    <xf numFmtId="0" fontId="26" fillId="0" borderId="0" xfId="0" applyFont="1"/>
    <xf numFmtId="49" fontId="26" fillId="0" borderId="0" xfId="0" applyFont="1" applyNumberFormat="1"/>
    <xf numFmtId="0" fontId="26" fillId="0" borderId="0" xfId="0" applyFont="1">
      <alignment horizontal="center"/>
    </xf>
    <xf numFmtId="4" fontId="45" fillId="41" borderId="24" xfId="0" applyFont="1" applyFill="1" applyBorder="1" applyNumberFormat="1">
      <alignment horizontal="right" vertical="center"/>
    </xf>
    <xf numFmtId="0" fontId="39" fillId="41" borderId="35" xfId="0" applyFont="1" applyFill="1" applyBorder="1">
      <alignment horizontal="left" vertical="center"/>
    </xf>
    <xf numFmtId="0" fontId="66" fillId="0" borderId="0" xfId="0" applyFont="1"/>
    <xf numFmtId="49" fontId="66" fillId="0" borderId="0" xfId="0" applyFont="1" applyNumberFormat="1"/>
    <xf numFmtId="4" fontId="23" fillId="33" borderId="18" xfId="0" applyFont="1" applyFill="1" applyBorder="1" applyNumberFormat="1">
      <alignment horizontal="right" vertical="center"/>
    </xf>
    <xf numFmtId="4" fontId="23" fillId="34" borderId="18" xfId="0" applyFont="1" applyFill="1" applyBorder="1" applyNumberFormat="1">
      <alignment horizontal="right" vertical="center"/>
    </xf>
    <xf numFmtId="49" fontId="52" fillId="0" borderId="67" xfId="0" applyFont="1" applyBorder="1" applyNumberFormat="1">
      <alignment horizontal="center" vertical="top" wrapText="1"/>
    </xf>
    <xf numFmtId="49" fontId="24" fillId="0" borderId="19" xfId="0" applyFont="1" applyBorder="1" applyNumberFormat="1">
      <alignment horizontal="left" vertical="center" wrapText="1"/>
    </xf>
    <xf numFmtId="49" fontId="22" fillId="0" borderId="10" xfId="0" applyFont="1" applyBorder="1" applyNumberFormat="1">
      <alignment horizontal="center" vertical="top" wrapText="1"/>
    </xf>
    <xf numFmtId="0" fontId="19" fillId="0" borderId="11" xfId="0" applyFont="1" applyBorder="1">
      <alignment horizontal="center" vertical="center"/>
    </xf>
    <xf numFmtId="49" fontId="19" fillId="33" borderId="19" xfId="0" applyFont="1" applyFill="1" applyBorder="1" applyNumberFormat="1">
      <alignment horizontal="left" vertical="center" wrapText="1"/>
    </xf>
    <xf numFmtId="0" fontId="23" fillId="0" borderId="11" xfId="0" applyFont="1" applyBorder="1">
      <alignment horizontal="center" vertical="center"/>
    </xf>
    <xf numFmtId="4" fontId="19" fillId="0" borderId="12" xfId="0" applyFont="1" applyBorder="1" applyNumberFormat="1">
      <alignment horizontal="right" vertical="center"/>
    </xf>
    <xf numFmtId="4" fontId="23" fillId="0" borderId="12" xfId="0" applyFont="1" applyBorder="1" applyNumberFormat="1">
      <alignment horizontal="right" vertical="center"/>
    </xf>
    <xf numFmtId="4" fontId="23" fillId="0" borderId="16" xfId="0" applyFont="1" applyBorder="1" applyNumberFormat="1">
      <alignment horizontal="right" vertical="center"/>
    </xf>
    <xf numFmtId="49" fontId="24" fillId="0" borderId="12" xfId="0" applyFont="1" applyBorder="1" applyNumberFormat="1">
      <alignment horizontal="left" vertical="center" wrapText="1"/>
    </xf>
    <xf numFmtId="0" fontId="19" fillId="36" borderId="18" xfId="0" applyFont="1" applyFill="1" applyBorder="1">
      <alignment horizontal="left" vertical="center" wrapText="1" indent="1"/>
    </xf>
    <xf numFmtId="4" fontId="19" fillId="34" borderId="18" xfId="0" applyFont="1" applyFill="1" applyBorder="1" applyNumberFormat="1">
      <alignment horizontal="right" vertical="center"/>
    </xf>
    <xf numFmtId="0" fontId="19" fillId="0" borderId="18" xfId="0" applyFont="1" applyBorder="1">
      <alignment horizontal="left" vertical="center" wrapText="1" indent="2"/>
    </xf>
    <xf numFmtId="0" fontId="19" fillId="0" borderId="14" xfId="0" applyFont="1" applyBorder="1">
      <alignment horizontal="center" vertical="center"/>
    </xf>
    <xf numFmtId="0" fontId="19" fillId="0" borderId="11" xfId="0" applyFont="1" applyBorder="1">
      <alignment horizontal="left" vertical="center" wrapText="1" indent="2"/>
    </xf>
    <xf numFmtId="4" fontId="19" fillId="34" borderId="15" xfId="0" applyFont="1" applyFill="1" applyBorder="1" applyNumberFormat="1">
      <alignment horizontal="right" vertical="center"/>
    </xf>
    <xf numFmtId="49" fontId="24" fillId="34" borderId="15" xfId="0" applyFont="1" applyFill="1" applyBorder="1" applyNumberFormat="1">
      <alignment horizontal="left" vertical="center" wrapText="1"/>
    </xf>
    <xf numFmtId="4" fontId="26" fillId="4" borderId="0" xfId="0" applyFont="1" applyFill="1" applyNumberFormat="1"/>
    <xf numFmtId="0" fontId="26" fillId="0" borderId="0" xfId="0" applyFont="1">
      <alignment wrapText="1"/>
    </xf>
    <xf numFmtId="0" fontId="40" fillId="42" borderId="36" xfId="0" applyFont="1" applyFill="1" applyBorder="1">
      <alignment horizontal="left" vertical="center" wrapText="1" indent="1"/>
    </xf>
    <xf numFmtId="49" fontId="40" fillId="42" borderId="24" xfId="0" applyFont="1" applyFill="1" applyBorder="1" applyNumberFormat="1">
      <alignment horizontal="left" vertical="center" wrapText="1" indent="1"/>
    </xf>
    <xf numFmtId="49" fontId="40" fillId="42" borderId="35" xfId="0" applyFont="1" applyFill="1" applyBorder="1" applyNumberFormat="1">
      <alignment horizontal="left" vertical="center" wrapText="1" indent="1"/>
    </xf>
    <xf numFmtId="0" fontId="26" fillId="0" borderId="0" xfId="0" applyFont="1">
      <alignment vertical="top"/>
    </xf>
    <xf numFmtId="0" fontId="52" fillId="0" borderId="67" xfId="0" applyFont="1" applyBorder="1">
      <alignment horizontal="center" vertical="top" wrapText="1"/>
    </xf>
    <xf numFmtId="4" fontId="23" fillId="0" borderId="18" xfId="0" applyFont="1" applyBorder="1" applyNumberFormat="1">
      <alignment horizontal="right" vertical="center"/>
    </xf>
    <xf numFmtId="0" fontId="26" fillId="0" borderId="0" xfId="0" applyFont="1">
      <alignment horizontal="center" vertical="top"/>
    </xf>
    <xf numFmtId="49" fontId="26" fillId="0" borderId="0" xfId="0" applyFont="1" applyNumberFormat="1">
      <alignment vertical="top"/>
    </xf>
    <xf numFmtId="0" fontId="55" fillId="0" borderId="0" xfId="0" applyFont="1">
      <alignment horizontal="center"/>
    </xf>
    <xf numFmtId="0" fontId="25" fillId="43" borderId="0" xfId="0" applyFont="1" applyFill="1"/>
    <xf numFmtId="4" fontId="23" fillId="33" borderId="18" xfId="0" applyFont="1" applyFill="1" applyBorder="1" applyNumberFormat="1">
      <alignment horizontal="right" vertical="center"/>
    </xf>
    <xf numFmtId="4" fontId="23" fillId="33" borderId="18" xfId="0" applyFont="1" applyFill="1" applyBorder="1" applyNumberFormat="1">
      <alignment horizontal="right" vertical="center"/>
      <protection locked="0"/>
    </xf>
    <xf numFmtId="4" fontId="23" fillId="34" borderId="18" xfId="0" applyFont="1" applyFill="1" applyBorder="1" applyNumberFormat="1">
      <alignment horizontal="right" vertical="center"/>
    </xf>
    <xf numFmtId="0" fontId="25" fillId="4" borderId="0" xfId="0" applyFont="1" applyFill="1"/>
    <xf numFmtId="0" fontId="22" fillId="0" borderId="10" xfId="0" applyFont="1" applyBorder="1">
      <alignment horizontal="center" vertical="top" wrapText="1"/>
    </xf>
    <xf numFmtId="0" fontId="23" fillId="0" borderId="12" xfId="0" applyFont="1" applyBorder="1">
      <alignment horizontal="center" vertical="center"/>
    </xf>
    <xf numFmtId="4" fontId="23" fillId="0" borderId="11" xfId="0" applyFont="1" applyBorder="1" applyNumberFormat="1">
      <alignment horizontal="right" vertical="center"/>
    </xf>
    <xf numFmtId="49" fontId="19" fillId="33" borderId="13" xfId="0" applyFont="1" applyFill="1" applyBorder="1" applyNumberFormat="1">
      <alignment horizontal="left" vertical="center" wrapText="1"/>
    </xf>
    <xf numFmtId="0" fontId="19" fillId="0" borderId="11" xfId="0" applyFont="1" applyBorder="1">
      <alignment horizontal="left" vertical="center" wrapText="1" indent="1"/>
    </xf>
    <xf numFmtId="4" fontId="23" fillId="33" borderId="15" xfId="0" applyFont="1" applyFill="1" applyBorder="1" applyNumberFormat="1">
      <alignment horizontal="right" vertical="center"/>
    </xf>
    <xf numFmtId="4" fontId="23" fillId="34" borderId="15" xfId="0" applyFont="1" applyFill="1" applyBorder="1" applyNumberFormat="1">
      <alignment horizontal="right" vertical="center"/>
    </xf>
    <xf numFmtId="4" fontId="25" fillId="4" borderId="0" xfId="0" applyFont="1" applyFill="1" applyNumberFormat="1"/>
    <xf numFmtId="0" fontId="19" fillId="0" borderId="12" xfId="0" applyFont="1" applyBorder="1">
      <alignment horizontal="left" vertical="center" wrapText="1" indent="2"/>
    </xf>
    <xf numFmtId="0" fontId="19" fillId="0" borderId="16" xfId="0" applyFont="1" applyBorder="1">
      <alignment horizontal="center" vertical="center"/>
    </xf>
    <xf numFmtId="4" fontId="19" fillId="0" borderId="11" xfId="0" applyFont="1" applyBorder="1" applyNumberFormat="1">
      <alignment horizontal="left" vertical="center" indent="3"/>
    </xf>
    <xf numFmtId="0" fontId="40" fillId="57" borderId="14" xfId="0" applyFont="1" applyFill="1" applyBorder="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0" fontId="19" fillId="0" borderId="12" xfId="0" applyFont="1" applyBorder="1">
      <alignment horizontal="left" vertical="center" wrapText="1" indent="1"/>
    </xf>
    <xf numFmtId="4" fontId="19" fillId="34" borderId="11" xfId="0" applyFont="1" applyFill="1" applyBorder="1" applyNumberFormat="1">
      <alignment horizontal="right" vertical="center"/>
    </xf>
    <xf numFmtId="4" fontId="19" fillId="34" borderId="12" xfId="0" applyFont="1" applyFill="1" applyBorder="1" applyNumberFormat="1">
      <alignment horizontal="right" vertical="center"/>
    </xf>
    <xf numFmtId="0" fontId="40" fillId="57" borderId="14" xfId="0" applyFont="1" applyFill="1" applyBorder="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90" xfId="0" applyFont="1" applyFill="1" applyBorder="1" applyNumberFormat="1">
      <alignment horizontal="left" vertical="center" wrapText="1" indent="1"/>
    </xf>
    <xf numFmtId="4" fontId="23" fillId="0" borderId="14" xfId="0" applyFont="1" applyBorder="1" applyNumberFormat="1">
      <alignment horizontal="right" vertical="center"/>
    </xf>
    <xf numFmtId="49" fontId="24" fillId="0" borderId="11" xfId="0" applyFont="1" applyBorder="1" applyNumberFormat="1">
      <alignment horizontal="left" vertical="center" wrapText="1"/>
    </xf>
    <xf numFmtId="49" fontId="24" fillId="34" borderId="11" xfId="0" applyFont="1" applyFill="1" applyBorder="1" applyNumberFormat="1">
      <alignment horizontal="left" vertical="center" wrapText="1"/>
    </xf>
    <xf numFmtId="4" fontId="19" fillId="34" borderId="16" xfId="0" applyFont="1" applyFill="1" applyBorder="1" applyNumberFormat="1">
      <alignment horizontal="right" vertical="center"/>
    </xf>
    <xf numFmtId="0" fontId="40" fillId="57" borderId="14" xfId="0" applyFont="1" applyFill="1" applyBorder="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90" xfId="0" applyFont="1" applyFill="1" applyBorder="1" applyNumberFormat="1">
      <alignment horizontal="left" vertical="center" wrapText="1" indent="1"/>
    </xf>
    <xf numFmtId="0" fontId="23" fillId="0" borderId="11" xfId="0" applyFont="1" applyBorder="1">
      <alignment vertical="center" wrapText="1"/>
    </xf>
    <xf numFmtId="49" fontId="19" fillId="35" borderId="11" xfId="0" applyFont="1" applyFill="1" applyBorder="1" applyNumberFormat="1">
      <alignment horizontal="left" vertical="center" wrapText="1"/>
    </xf>
    <xf numFmtId="0" fontId="40" fillId="57" borderId="14" xfId="0" applyFont="1" applyFill="1" applyBorder="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90" xfId="0" applyFont="1" applyFill="1" applyBorder="1" applyNumberFormat="1">
      <alignment horizontal="left" vertical="center" wrapText="1" indent="1"/>
    </xf>
    <xf numFmtId="0" fontId="40" fillId="42" borderId="36" xfId="0" applyFont="1" applyFill="1" applyBorder="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35" xfId="0" applyFont="1" applyFill="1" applyBorder="1" applyNumberFormat="1">
      <alignment horizontal="left" vertical="center" wrapText="1" indent="1"/>
    </xf>
    <xf numFmtId="0" fontId="40" fillId="42" borderId="36" xfId="0" applyFont="1" applyFill="1" applyBorder="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35" xfId="0" applyFont="1" applyFill="1" applyBorder="1" applyNumberFormat="1">
      <alignment horizontal="left" vertical="center" wrapText="1" indent="1"/>
    </xf>
    <xf numFmtId="0" fontId="40" fillId="42" borderId="36" xfId="0" applyFont="1" applyFill="1" applyBorder="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35" xfId="0" applyFont="1" applyFill="1" applyBorder="1" applyNumberFormat="1">
      <alignment horizontal="left" vertical="center" wrapText="1" indent="1"/>
    </xf>
    <xf numFmtId="0" fontId="40" fillId="42" borderId="36" xfId="0" applyFont="1" applyFill="1" applyBorder="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35" xfId="0" applyFont="1" applyFill="1" applyBorder="1" applyNumberFormat="1">
      <alignment horizontal="left" vertical="center" wrapText="1" indent="1"/>
    </xf>
    <xf numFmtId="0" fontId="40" fillId="42" borderId="36" xfId="0" applyFont="1" applyFill="1" applyBorder="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35" xfId="0" applyFont="1" applyFill="1" applyBorder="1" applyNumberFormat="1">
      <alignment horizontal="left" vertical="center" wrapText="1" indent="1"/>
    </xf>
    <xf numFmtId="49" fontId="24" fillId="34" borderId="15" xfId="63" applyFont="1" applyFill="1" applyBorder="1" applyNumberFormat="1">
      <alignment horizontal="left" vertical="center" wrapText="1"/>
      <protection locked="0"/>
    </xf>
    <xf numFmtId="4" fontId="19" fillId="34" borderId="15" xfId="67" applyFont="1" applyFill="1" applyBorder="1" applyNumberFormat="1">
      <alignment horizontal="right" vertical="center"/>
      <protection locked="0"/>
    </xf>
    <xf numFmtId="0" fontId="40" fillId="57" borderId="14" xfId="0" applyFont="1" applyFill="1" applyBorder="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0" fontId="40" fillId="57" borderId="14" xfId="0" applyFont="1" applyFill="1" applyBorder="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90" xfId="0" applyFont="1" applyFill="1" applyBorder="1" applyNumberFormat="1">
      <alignment horizontal="left" vertical="center" wrapText="1" indent="1"/>
    </xf>
    <xf numFmtId="0" fontId="40" fillId="57" borderId="14" xfId="0" applyFont="1" applyFill="1" applyBorder="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90" xfId="0" applyFont="1" applyFill="1" applyBorder="1" applyNumberFormat="1">
      <alignment horizontal="left" vertical="center" wrapText="1" indent="1"/>
    </xf>
    <xf numFmtId="49" fontId="19" fillId="35" borderId="11" xfId="73" applyFont="1" applyFill="1" applyBorder="1" applyNumberFormat="1">
      <alignment horizontal="left" vertical="center" wrapText="1"/>
      <protection locked="0"/>
    </xf>
    <xf numFmtId="4" fontId="19" fillId="34" borderId="11" xfId="75" applyFont="1" applyFill="1" applyBorder="1" applyNumberFormat="1">
      <alignment horizontal="right" vertical="center"/>
      <protection locked="0"/>
    </xf>
    <xf numFmtId="4" fontId="19" fillId="34" borderId="12" xfId="76" applyFont="1" applyFill="1" applyBorder="1" applyNumberFormat="1">
      <alignment horizontal="right" vertical="center"/>
      <protection locked="0"/>
    </xf>
    <xf numFmtId="49" fontId="24" fillId="34" borderId="11" xfId="77" applyFont="1" applyFill="1" applyBorder="1" applyNumberFormat="1">
      <alignment horizontal="left" vertical="center" wrapText="1"/>
      <protection locked="0"/>
    </xf>
    <xf numFmtId="0" fontId="40" fillId="57" borderId="14" xfId="0" applyFont="1" applyFill="1" applyBorder="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90" xfId="0" applyFont="1" applyFill="1" applyBorder="1" applyNumberFormat="1">
      <alignment horizontal="left" vertical="center" wrapText="1" indent="1"/>
    </xf>
    <xf numFmtId="0" fontId="40" fillId="42" borderId="36" xfId="0" applyFont="1" applyFill="1" applyBorder="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35" xfId="0" applyFont="1" applyFill="1" applyBorder="1" applyNumberFormat="1">
      <alignment horizontal="left" vertical="center" wrapText="1" indent="1"/>
    </xf>
    <xf numFmtId="0" fontId="40" fillId="42" borderId="36" xfId="0" applyFont="1" applyFill="1" applyBorder="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35" xfId="0" applyFont="1" applyFill="1" applyBorder="1" applyNumberFormat="1">
      <alignment horizontal="left" vertical="center" wrapText="1" indent="1"/>
    </xf>
    <xf numFmtId="0" fontId="40" fillId="42" borderId="36" xfId="0" applyFont="1" applyFill="1" applyBorder="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35" xfId="0" applyFont="1" applyFill="1" applyBorder="1" applyNumberFormat="1">
      <alignment horizontal="left" vertical="center" wrapText="1" indent="1"/>
    </xf>
    <xf numFmtId="0" fontId="40" fillId="42" borderId="36" xfId="0" applyFont="1" applyFill="1" applyBorder="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35" xfId="0" applyFont="1" applyFill="1" applyBorder="1" applyNumberFormat="1">
      <alignment horizontal="left" vertical="center" wrapText="1" indent="1"/>
    </xf>
    <xf numFmtId="0" fontId="40" fillId="42" borderId="36" xfId="0" applyFont="1" applyFill="1" applyBorder="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35" xfId="0" applyFont="1" applyFill="1" applyBorder="1" applyNumberFormat="1">
      <alignment horizontal="left" vertical="center" wrapText="1" indent="1"/>
    </xf>
    <xf numFmtId="0" fontId="40" fillId="57" borderId="14" xfId="0" applyFont="1" applyFill="1" applyBorder="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0" fontId="40" fillId="57" borderId="14" xfId="0" applyFont="1" applyFill="1" applyBorder="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90" xfId="0" applyFont="1" applyFill="1" applyBorder="1" applyNumberFormat="1">
      <alignment horizontal="left" vertical="center" wrapText="1" indent="1"/>
    </xf>
    <xf numFmtId="0" fontId="40" fillId="57" borderId="14" xfId="0" applyFont="1" applyFill="1" applyBorder="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90" xfId="0" applyFont="1" applyFill="1" applyBorder="1" applyNumberFormat="1">
      <alignment horizontal="left" vertical="center" wrapText="1" indent="1"/>
    </xf>
    <xf numFmtId="0" fontId="40" fillId="57" borderId="14" xfId="0" applyFont="1" applyFill="1" applyBorder="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90" xfId="0" applyFont="1" applyFill="1" applyBorder="1" applyNumberFormat="1">
      <alignment horizontal="left" vertical="center" wrapText="1" indent="1"/>
    </xf>
    <xf numFmtId="0" fontId="40" fillId="42" borderId="36" xfId="0" applyFont="1" applyFill="1" applyBorder="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35" xfId="0" applyFont="1" applyFill="1" applyBorder="1" applyNumberFormat="1">
      <alignment horizontal="left" vertical="center" wrapText="1" indent="1"/>
    </xf>
    <xf numFmtId="0" fontId="40" fillId="42" borderId="36" xfId="0" applyFont="1" applyFill="1" applyBorder="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35" xfId="0" applyFont="1" applyFill="1" applyBorder="1" applyNumberFormat="1">
      <alignment horizontal="left" vertical="center" wrapText="1" indent="1"/>
    </xf>
    <xf numFmtId="0" fontId="40" fillId="42" borderId="36" xfId="0" applyFont="1" applyFill="1" applyBorder="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35" xfId="0" applyFont="1" applyFill="1" applyBorder="1" applyNumberFormat="1">
      <alignment horizontal="left" vertical="center" wrapText="1" indent="1"/>
    </xf>
    <xf numFmtId="0" fontId="40" fillId="42" borderId="36" xfId="0" applyFont="1" applyFill="1" applyBorder="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35" xfId="0" applyFont="1" applyFill="1" applyBorder="1" applyNumberFormat="1">
      <alignment horizontal="left" vertical="center" wrapText="1" indent="1"/>
    </xf>
    <xf numFmtId="0" fontId="40" fillId="42" borderId="36" xfId="0" applyFont="1" applyFill="1" applyBorder="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35" xfId="0" applyFont="1" applyFill="1" applyBorder="1" applyNumberFormat="1">
      <alignment horizontal="left" vertical="center" wrapText="1" indent="1"/>
    </xf>
    <xf numFmtId="0" fontId="40" fillId="57" borderId="14" xfId="0" applyFont="1" applyFill="1" applyBorder="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0" fontId="40" fillId="57" borderId="14" xfId="0" applyFont="1" applyFill="1" applyBorder="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90" xfId="0" applyFont="1" applyFill="1" applyBorder="1" applyNumberFormat="1">
      <alignment horizontal="left" vertical="center" wrapText="1" indent="1"/>
    </xf>
    <xf numFmtId="0" fontId="40" fillId="57" borderId="14" xfId="0" applyFont="1" applyFill="1" applyBorder="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90" xfId="0" applyFont="1" applyFill="1" applyBorder="1" applyNumberFormat="1">
      <alignment horizontal="left" vertical="center" wrapText="1" indent="1"/>
    </xf>
    <xf numFmtId="0" fontId="40" fillId="57" borderId="14" xfId="0" applyFont="1" applyFill="1" applyBorder="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65" xfId="0" applyFont="1" applyFill="1" applyBorder="1" applyNumberFormat="1">
      <alignment horizontal="left" vertical="center" wrapText="1" indent="1"/>
    </xf>
    <xf numFmtId="49" fontId="40" fillId="57" borderId="90" xfId="0" applyFont="1" applyFill="1" applyBorder="1" applyNumberFormat="1">
      <alignment horizontal="left" vertical="center" wrapText="1" indent="1"/>
    </xf>
    <xf numFmtId="49" fontId="42" fillId="0" borderId="20" xfId="0" applyFont="1" applyBorder="1" applyNumberFormat="1">
      <alignment horizontal="left" vertical="center" wrapText="1" indent="4"/>
    </xf>
    <xf numFmtId="49" fontId="23" fillId="0" borderId="0" xfId="0" applyFont="1" applyNumberFormat="1">
      <alignment horizontal="left" vertical="center" wrapText="1" indent="4"/>
    </xf>
    <xf numFmtId="0" fontId="19" fillId="11" borderId="19" xfId="0" applyFont="1" applyFill="1" applyBorder="1">
      <alignment horizontal="center" vertical="center" wrapText="1"/>
    </xf>
    <xf numFmtId="0" fontId="19" fillId="0" borderId="19" xfId="0" applyFont="1" applyBorder="1">
      <alignment horizontal="center" vertical="center" wrapText="1"/>
    </xf>
    <xf numFmtId="0" fontId="19" fillId="11" borderId="43" xfId="0" applyFont="1" applyFill="1" applyBorder="1">
      <alignment horizontal="center" vertical="center" wrapText="1"/>
    </xf>
    <xf numFmtId="0" fontId="19" fillId="0" borderId="43" xfId="0" applyFont="1" applyBorder="1">
      <alignment horizontal="center" vertical="center" wrapText="1"/>
    </xf>
    <xf numFmtId="0" fontId="19" fillId="0" borderId="0" xfId="0" applyFont="1">
      <alignment horizontal="center" vertical="center" wrapText="1"/>
    </xf>
    <xf numFmtId="0" fontId="19" fillId="43" borderId="0" xfId="0" applyFont="1" applyFill="1">
      <alignment horizontal="center" vertical="center" wrapText="1"/>
    </xf>
    <xf numFmtId="0" fontId="19" fillId="0" borderId="0" xfId="0" applyFont="1">
      <alignment vertical="center"/>
    </xf>
    <xf numFmtId="0" fontId="19" fillId="0" borderId="0" xfId="0" applyFont="1">
      <alignment horizontal="center" vertical="center"/>
    </xf>
    <xf numFmtId="0" fontId="19" fillId="0" borderId="0" xfId="0" applyFont="1">
      <alignment horizontal="center" vertical="top" wrapText="1"/>
    </xf>
    <xf numFmtId="0" fontId="19" fillId="0" borderId="0" xfId="0" applyFont="1">
      <alignment horizontal="center" vertical="center" wrapText="1"/>
    </xf>
    <xf numFmtId="0" fontId="39" fillId="41" borderId="37" xfId="0" applyFont="1" applyFill="1" applyBorder="1">
      <alignment horizontal="left" vertical="center"/>
    </xf>
    <xf numFmtId="0" fontId="19" fillId="41" borderId="24" xfId="0" applyFont="1" applyFill="1" applyBorder="1">
      <alignment horizontal="left" vertical="center"/>
    </xf>
    <xf numFmtId="4" fontId="23" fillId="41" borderId="24" xfId="0" applyFont="1" applyFill="1" applyBorder="1" applyNumberFormat="1">
      <alignment horizontal="right" vertical="center"/>
    </xf>
    <xf numFmtId="0" fontId="19" fillId="36" borderId="18" xfId="0" applyFont="1" applyFill="1" applyBorder="1">
      <alignment horizontal="center" vertical="center" wrapText="1"/>
    </xf>
    <xf numFmtId="0" fontId="19" fillId="0" borderId="18" xfId="0" applyFont="1" applyBorder="1">
      <alignment vertical="center" wrapText="1"/>
    </xf>
    <xf numFmtId="0" fontId="19" fillId="0" borderId="18" xfId="0" applyFont="1" applyBorder="1">
      <alignment horizontal="center" vertical="center" wrapText="1"/>
    </xf>
    <xf numFmtId="4" fontId="19" fillId="34" borderId="18" xfId="0" applyFont="1" applyFill="1" applyBorder="1" applyNumberFormat="1">
      <alignment horizontal="right" vertical="center" wrapText="1"/>
    </xf>
    <xf numFmtId="0" fontId="19" fillId="0" borderId="18" xfId="0" applyFont="1" applyBorder="1">
      <alignment horizontal="center" vertical="center"/>
    </xf>
    <xf numFmtId="0" fontId="19" fillId="35" borderId="18" xfId="0" applyFont="1" applyFill="1" applyBorder="1">
      <alignment horizontal="left" vertical="center" wrapText="1" indent="1"/>
    </xf>
    <xf numFmtId="0" fontId="19" fillId="0" borderId="18" xfId="0" applyFont="1" applyBorder="1">
      <alignment horizontal="center" vertical="center" wrapText="1"/>
    </xf>
    <xf numFmtId="0" fontId="19" fillId="0" borderId="0" xfId="0" applyFont="1">
      <alignment horizontal="center" vertical="center"/>
    </xf>
    <xf numFmtId="0" fontId="19" fillId="0" borderId="0" xfId="0" applyFont="1">
      <alignment horizontal="center" vertical="top" wrapText="1"/>
    </xf>
    <xf numFmtId="0" fontId="23" fillId="42" borderId="36" xfId="0" applyFont="1" applyFill="1" applyBorder="1">
      <alignment horizontal="left" vertical="center" wrapText="1" indent="1"/>
    </xf>
    <xf numFmtId="49" fontId="23" fillId="42" borderId="24" xfId="0" applyFont="1" applyFill="1" applyBorder="1" applyNumberFormat="1">
      <alignment horizontal="left" vertical="center" wrapText="1" indent="1"/>
    </xf>
    <xf numFmtId="49" fontId="23" fillId="42" borderId="35" xfId="0" applyFont="1" applyFill="1" applyBorder="1" applyNumberFormat="1">
      <alignment horizontal="left" vertical="center" wrapText="1" indent="1"/>
    </xf>
    <xf numFmtId="0" fontId="19" fillId="34" borderId="18" xfId="0" applyFont="1" applyFill="1" applyBorder="1">
      <alignment horizontal="left" vertical="center" wrapText="1"/>
    </xf>
    <xf numFmtId="0" fontId="19" fillId="0" borderId="0" xfId="0" applyFont="1">
      <alignment horizontal="center" vertical="center" wrapText="1"/>
    </xf>
    <xf numFmtId="0" fontId="19" fillId="43" borderId="0" xfId="0" applyFont="1" applyFill="1">
      <alignment horizontal="center" vertical="center" wrapText="1"/>
    </xf>
    <xf numFmtId="0" fontId="31" fillId="0" borderId="0" xfId="0" applyFont="1">
      <alignment horizontal="center" vertical="center" wrapText="1"/>
    </xf>
    <xf numFmtId="0" fontId="19" fillId="0" borderId="18" xfId="0" applyFont="1" applyBorder="1">
      <alignment horizontal="center" vertical="center"/>
    </xf>
    <xf numFmtId="0" fontId="19" fillId="35" borderId="18" xfId="0" applyFont="1" applyFill="1" applyBorder="1">
      <alignment horizontal="left" vertical="center" wrapText="1" indent="1"/>
    </xf>
    <xf numFmtId="0" fontId="19" fillId="0" borderId="18" xfId="0" applyFont="1" applyBorder="1">
      <alignment horizontal="center" vertical="center" wrapText="1"/>
    </xf>
    <xf numFmtId="0" fontId="19" fillId="0" borderId="18" xfId="0" applyFont="1" applyBorder="1">
      <alignment horizontal="center" vertical="center" wrapText="1"/>
    </xf>
    <xf numFmtId="4" fontId="19" fillId="34" borderId="18" xfId="0" applyFont="1" applyFill="1" applyBorder="1" applyNumberFormat="1">
      <alignment horizontal="right" vertical="center"/>
    </xf>
    <xf numFmtId="49" fontId="19" fillId="34" borderId="18" xfId="0" applyFont="1" applyFill="1" applyBorder="1" applyNumberFormat="1">
      <alignment horizontal="left" vertical="center" wrapText="1"/>
    </xf>
    <xf numFmtId="0" fontId="24" fillId="4" borderId="0" xfId="0" applyFont="1" applyFill="1">
      <alignment horizontal="center" vertical="center" wrapText="1"/>
    </xf>
    <xf numFmtId="0" fontId="24" fillId="43" borderId="0" xfId="0" applyFont="1" applyFill="1">
      <alignment horizontal="center" vertical="center" wrapText="1"/>
    </xf>
    <xf numFmtId="0" fontId="19" fillId="36" borderId="18" xfId="0" applyFont="1" applyFill="1" applyBorder="1">
      <alignment horizontal="center" vertical="center" wrapText="1"/>
    </xf>
    <xf numFmtId="0" fontId="19" fillId="0" borderId="18" xfId="0" applyFont="1" applyBorder="1">
      <alignment horizontal="left" vertical="center" wrapText="1" indent="2"/>
    </xf>
    <xf numFmtId="4" fontId="19" fillId="34" borderId="18" xfId="0" applyFont="1" applyFill="1" applyBorder="1" applyNumberFormat="1">
      <alignment horizontal="right" vertical="center" wrapText="1"/>
    </xf>
    <xf numFmtId="4" fontId="19" fillId="34" borderId="18" xfId="0" applyFont="1" applyFill="1" applyBorder="1" applyNumberFormat="1">
      <alignment horizontal="right" vertical="center" wrapText="1"/>
      <protection locked="0"/>
    </xf>
    <xf numFmtId="49" fontId="19" fillId="34" borderId="18" xfId="0" applyFont="1" applyFill="1" applyBorder="1" applyNumberFormat="1">
      <alignment horizontal="left" vertical="center" wrapText="1"/>
      <protection locked="0"/>
    </xf>
    <xf numFmtId="0" fontId="23" fillId="42" borderId="36" xfId="0" applyFont="1" applyFill="1" applyBorder="1">
      <alignment horizontal="left" vertical="center" wrapText="1" indent="1"/>
    </xf>
    <xf numFmtId="49" fontId="40" fillId="42" borderId="26" xfId="0" applyFont="1" applyFill="1" applyBorder="1" applyNumberFormat="1">
      <alignment horizontal="left" vertical="center"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35" xfId="0" applyFont="1" applyFill="1" applyBorder="1" applyNumberFormat="1">
      <alignment horizontal="left" vertical="center" wrapText="1" indent="1"/>
    </xf>
    <xf numFmtId="0" fontId="23" fillId="42" borderId="36" xfId="0" applyFont="1" applyFill="1" applyBorder="1">
      <alignment horizontal="left" vertical="center" wrapText="1" indent="1"/>
    </xf>
    <xf numFmtId="49" fontId="40" fillId="42" borderId="26" xfId="0" applyFont="1" applyFill="1" applyBorder="1" applyNumberFormat="1">
      <alignment horizontal="left" vertical="center"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35" xfId="0" applyFont="1" applyFill="1" applyBorder="1" applyNumberFormat="1">
      <alignment horizontal="left" vertical="center" wrapText="1" indent="1"/>
    </xf>
    <xf numFmtId="0" fontId="23" fillId="42" borderId="36" xfId="0" applyFont="1" applyFill="1" applyBorder="1">
      <alignment horizontal="left" vertical="center" wrapText="1" indent="1"/>
    </xf>
    <xf numFmtId="49" fontId="40" fillId="42" borderId="26" xfId="0" applyFont="1" applyFill="1" applyBorder="1" applyNumberFormat="1">
      <alignment horizontal="left" vertical="center"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35" xfId="0" applyFont="1" applyFill="1" applyBorder="1" applyNumberFormat="1">
      <alignment horizontal="left" vertical="center" wrapText="1" indent="1"/>
    </xf>
    <xf numFmtId="0" fontId="19" fillId="34" borderId="18" xfId="0" applyFont="1" applyFill="1" applyBorder="1">
      <alignment horizontal="left" vertical="center" wrapText="1"/>
      <protection locked="0"/>
    </xf>
    <xf numFmtId="0" fontId="23" fillId="42" borderId="36" xfId="0" applyFont="1" applyFill="1" applyBorder="1">
      <alignment horizontal="left" vertical="center" wrapText="1" indent="1"/>
    </xf>
    <xf numFmtId="49" fontId="40" fillId="42" borderId="26" xfId="0" applyFont="1" applyFill="1" applyBorder="1" applyNumberFormat="1">
      <alignment horizontal="left" vertical="center"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35" xfId="0" applyFont="1" applyFill="1" applyBorder="1" applyNumberFormat="1">
      <alignment horizontal="left" vertical="center" wrapText="1" indent="1"/>
    </xf>
    <xf numFmtId="0" fontId="23" fillId="42" borderId="36" xfId="0" applyFont="1" applyFill="1" applyBorder="1">
      <alignment horizontal="left" vertical="center" wrapText="1" indent="1"/>
    </xf>
    <xf numFmtId="49" fontId="40" fillId="42" borderId="26" xfId="0" applyFont="1" applyFill="1" applyBorder="1" applyNumberFormat="1">
      <alignment horizontal="left" vertical="center"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35" xfId="0" applyFont="1" applyFill="1" applyBorder="1" applyNumberFormat="1">
      <alignment horizontal="left" vertical="center" wrapText="1" indent="1"/>
    </xf>
    <xf numFmtId="0" fontId="23" fillId="42" borderId="36" xfId="0" applyFont="1" applyFill="1" applyBorder="1">
      <alignment horizontal="left" vertical="center" wrapText="1" indent="1"/>
    </xf>
    <xf numFmtId="49" fontId="40" fillId="42" borderId="26" xfId="0" applyFont="1" applyFill="1" applyBorder="1" applyNumberFormat="1">
      <alignment horizontal="left" vertical="center"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35" xfId="0" applyFont="1" applyFill="1" applyBorder="1" applyNumberFormat="1">
      <alignment horizontal="left" vertical="center" wrapText="1" indent="1"/>
    </xf>
    <xf numFmtId="0" fontId="23" fillId="42" borderId="36" xfId="0" applyFont="1" applyFill="1" applyBorder="1">
      <alignment horizontal="left" vertical="center" wrapText="1" indent="1"/>
    </xf>
    <xf numFmtId="49" fontId="40" fillId="42" borderId="26" xfId="0" applyFont="1" applyFill="1" applyBorder="1" applyNumberFormat="1">
      <alignment horizontal="left" vertical="center"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35" xfId="0" applyFont="1" applyFill="1" applyBorder="1" applyNumberFormat="1">
      <alignment horizontal="left" vertical="center" wrapText="1" indent="1"/>
    </xf>
    <xf numFmtId="0" fontId="23" fillId="42" borderId="36" xfId="0" applyFont="1" applyFill="1" applyBorder="1">
      <alignment horizontal="left" vertical="center" wrapText="1" indent="1"/>
    </xf>
    <xf numFmtId="49" fontId="40" fillId="42" borderId="26" xfId="0" applyFont="1" applyFill="1" applyBorder="1" applyNumberFormat="1">
      <alignment horizontal="left" vertical="center"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35" xfId="0" applyFont="1" applyFill="1" applyBorder="1" applyNumberFormat="1">
      <alignment horizontal="left" vertical="center" wrapText="1" indent="1"/>
    </xf>
    <xf numFmtId="0" fontId="23" fillId="42" borderId="36" xfId="0" applyFont="1" applyFill="1" applyBorder="1">
      <alignment horizontal="left" vertical="center" wrapText="1" indent="1"/>
    </xf>
    <xf numFmtId="49" fontId="40" fillId="42" borderId="26" xfId="0" applyFont="1" applyFill="1" applyBorder="1" applyNumberFormat="1">
      <alignment horizontal="left" vertical="center"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35" xfId="0" applyFont="1" applyFill="1" applyBorder="1" applyNumberFormat="1">
      <alignment horizontal="left" vertical="center" wrapText="1" indent="1"/>
    </xf>
    <xf numFmtId="0" fontId="23" fillId="42" borderId="36" xfId="0" applyFont="1" applyFill="1" applyBorder="1">
      <alignment horizontal="left" vertical="center" wrapText="1" indent="1"/>
    </xf>
    <xf numFmtId="49" fontId="40" fillId="42" borderId="26" xfId="0" applyFont="1" applyFill="1" applyBorder="1" applyNumberFormat="1">
      <alignment horizontal="left" vertical="center"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35" xfId="0" applyFont="1" applyFill="1" applyBorder="1" applyNumberFormat="1">
      <alignment horizontal="left" vertical="center" wrapText="1" indent="1"/>
    </xf>
    <xf numFmtId="0" fontId="23" fillId="42" borderId="36" xfId="0" applyFont="1" applyFill="1" applyBorder="1">
      <alignment horizontal="left" vertical="center" wrapText="1" indent="1"/>
    </xf>
    <xf numFmtId="49" fontId="40" fillId="42" borderId="26" xfId="0" applyFont="1" applyFill="1" applyBorder="1" applyNumberFormat="1">
      <alignment horizontal="left" vertical="center"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35" xfId="0" applyFont="1" applyFill="1" applyBorder="1" applyNumberFormat="1">
      <alignment horizontal="left" vertical="center" wrapText="1" indent="1"/>
    </xf>
    <xf numFmtId="0" fontId="23" fillId="42" borderId="36" xfId="0" applyFont="1" applyFill="1" applyBorder="1">
      <alignment horizontal="left" vertical="center" wrapText="1" indent="1"/>
    </xf>
    <xf numFmtId="49" fontId="40" fillId="42" borderId="26" xfId="0" applyFont="1" applyFill="1" applyBorder="1" applyNumberFormat="1">
      <alignment horizontal="left" vertical="center"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35" xfId="0" applyFont="1" applyFill="1" applyBorder="1" applyNumberFormat="1">
      <alignment horizontal="left" vertical="center" wrapText="1" indent="1"/>
    </xf>
    <xf numFmtId="0" fontId="70" fillId="0" borderId="18" xfId="0" applyFont="1" applyBorder="1">
      <alignment vertical="center"/>
    </xf>
    <xf numFmtId="49" fontId="42" fillId="0" borderId="0" xfId="0" applyFont="1" applyNumberFormat="1">
      <alignment horizontal="left" vertical="center" wrapText="1" indent="4"/>
    </xf>
    <xf numFmtId="49" fontId="19" fillId="36" borderId="18" xfId="0" applyFont="1" applyFill="1" applyBorder="1" applyNumberFormat="1">
      <alignment horizontal="center" vertical="center" wrapText="1"/>
    </xf>
    <xf numFmtId="0" fontId="19" fillId="0" borderId="18" xfId="0" applyFont="1" applyBorder="1">
      <alignment horizontal="center" vertical="center" wrapText="1"/>
    </xf>
    <xf numFmtId="4" fontId="24" fillId="33" borderId="18" xfId="0" applyFont="1" applyFill="1" applyBorder="1" applyNumberFormat="1">
      <alignment horizontal="right" vertical="center" wrapText="1"/>
    </xf>
    <xf numFmtId="4" fontId="24" fillId="33" borderId="18" xfId="0" applyFont="1" applyFill="1" applyBorder="1" applyNumberFormat="1">
      <alignment horizontal="right" vertical="center"/>
    </xf>
    <xf numFmtId="49" fontId="0" fillId="0" borderId="0" xfId="0" applyFont="1" applyNumberFormat="1">
      <alignment horizontal="center" vertical="top"/>
    </xf>
    <xf numFmtId="0" fontId="35" fillId="0" borderId="0" xfId="0" applyFont="1">
      <alignment vertical="center"/>
    </xf>
    <xf numFmtId="4" fontId="24" fillId="34" borderId="18" xfId="0" applyFont="1" applyFill="1" applyBorder="1" applyNumberFormat="1">
      <alignment horizontal="right" vertical="center" wrapText="1"/>
    </xf>
    <xf numFmtId="4" fontId="19" fillId="33" borderId="18" xfId="0" applyFont="1" applyFill="1" applyBorder="1" applyNumberFormat="1">
      <alignment horizontal="right" vertical="center"/>
    </xf>
    <xf numFmtId="4" fontId="24" fillId="34" borderId="18" xfId="0" applyFont="1" applyFill="1" applyBorder="1" applyNumberFormat="1">
      <alignment horizontal="right" vertical="center" wrapText="1"/>
    </xf>
    <xf numFmtId="4" fontId="24" fillId="34" borderId="18" xfId="0" applyFont="1" applyFill="1" applyBorder="1" applyNumberFormat="1">
      <alignment horizontal="right" vertical="center" wrapText="1"/>
      <protection locked="0"/>
    </xf>
    <xf numFmtId="4" fontId="24" fillId="34" borderId="18" xfId="0" applyFont="1" applyFill="1" applyBorder="1" applyNumberFormat="1">
      <alignment horizontal="right" vertical="center" wrapText="1"/>
      <protection locked="0"/>
    </xf>
    <xf numFmtId="4" fontId="19" fillId="0" borderId="0" xfId="0" applyFont="1" applyNumberFormat="1">
      <alignment horizontal="right" vertical="center"/>
    </xf>
    <xf numFmtId="0" fontId="24" fillId="0" borderId="20" xfId="0" applyFont="1" applyBorder="1">
      <alignment vertical="center"/>
    </xf>
    <xf numFmtId="49" fontId="19" fillId="0" borderId="18" xfId="0" applyFont="1" applyBorder="1" applyNumberFormat="1">
      <alignment horizontal="center" vertical="center"/>
    </xf>
    <xf numFmtId="0" fontId="19" fillId="0" borderId="18" xfId="0" applyFont="1" applyBorder="1">
      <alignment horizontal="left" vertical="center" wrapText="1"/>
    </xf>
    <xf numFmtId="0" fontId="59" fillId="0" borderId="0" xfId="0" applyFont="1"/>
    <xf numFmtId="0" fontId="19" fillId="0" borderId="18" xfId="0" applyFont="1" applyBorder="1">
      <alignment horizontal="center" vertical="center"/>
    </xf>
    <xf numFmtId="49" fontId="19" fillId="4" borderId="0" xfId="0" applyFont="1" applyFill="1" applyNumberFormat="1">
      <alignment vertical="top"/>
    </xf>
    <xf numFmtId="49" fontId="19" fillId="43" borderId="0" xfId="0" applyFont="1" applyFill="1" applyNumberFormat="1">
      <alignment vertical="top"/>
    </xf>
    <xf numFmtId="0" fontId="24" fillId="0" borderId="18" xfId="0" applyFont="1" applyBorder="1">
      <alignment horizontal="center" vertical="center"/>
    </xf>
    <xf numFmtId="4" fontId="24" fillId="33" borderId="18" xfId="0" applyFont="1" applyFill="1" applyBorder="1" applyNumberFormat="1">
      <alignment horizontal="right"/>
    </xf>
    <xf numFmtId="49" fontId="40" fillId="42" borderId="36" xfId="0" applyFont="1" applyFill="1" applyBorder="1" applyNumberFormat="1">
      <alignment horizontal="left" vertical="center" wrapText="1" indent="1"/>
    </xf>
    <xf numFmtId="49" fontId="40" fillId="42" borderId="36"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35" xfId="0" applyFont="1" applyFill="1" applyBorder="1" applyNumberFormat="1">
      <alignment horizontal="left" vertical="center" wrapText="1" indent="1"/>
    </xf>
    <xf numFmtId="49" fontId="40" fillId="42" borderId="36"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35" xfId="0" applyFont="1" applyFill="1" applyBorder="1" applyNumberFormat="1">
      <alignment horizontal="left" vertical="center" wrapText="1" indent="1"/>
    </xf>
    <xf numFmtId="49" fontId="40" fillId="42" borderId="36"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35" xfId="0" applyFont="1" applyFill="1" applyBorder="1" applyNumberFormat="1">
      <alignment horizontal="left" vertical="center" wrapText="1" indent="1"/>
    </xf>
    <xf numFmtId="0" fontId="59" fillId="0" borderId="18" xfId="0" applyFont="1" applyBorder="1">
      <alignment vertical="center"/>
    </xf>
    <xf numFmtId="49" fontId="81" fillId="34" borderId="80" xfId="0" applyFont="1" applyFill="1" applyBorder="1" applyNumberFormat="1">
      <alignment horizontal="left" vertical="top" wrapText="1"/>
      <protection locked="0"/>
    </xf>
    <xf numFmtId="49" fontId="81" fillId="34" borderId="80" xfId="0" applyFont="1" applyFill="1" applyBorder="1" applyNumberFormat="1">
      <alignment horizontal="left" vertical="top" wrapText="1"/>
    </xf>
    <xf numFmtId="0" fontId="23" fillId="0" borderId="18" xfId="0" applyFont="1" applyBorder="1">
      <alignment horizontal="center" vertical="center" wrapText="1"/>
    </xf>
    <xf numFmtId="4" fontId="42" fillId="33" borderId="18" xfId="0" applyFont="1" applyFill="1" applyBorder="1" applyNumberFormat="1">
      <alignment horizontal="right" vertical="center" wrapText="1"/>
    </xf>
    <xf numFmtId="4" fontId="19" fillId="34" borderId="18" xfId="0" applyFont="1" applyFill="1" applyBorder="1" applyNumberFormat="1">
      <alignment horizontal="right" vertical="center" wrapText="1"/>
    </xf>
    <xf numFmtId="0" fontId="19" fillId="0" borderId="0" xfId="0" applyFont="1">
      <alignment horizontal="center"/>
    </xf>
    <xf numFmtId="0" fontId="19" fillId="43" borderId="0" xfId="0" applyFont="1" applyFill="1"/>
    <xf numFmtId="0" fontId="19" fillId="0" borderId="0" xfId="0" applyFont="1">
      <alignment horizontal="center"/>
    </xf>
    <xf numFmtId="0" fontId="19" fillId="0" borderId="0" xfId="0" applyFont="1"/>
    <xf numFmtId="0" fontId="19" fillId="43" borderId="0" xfId="0" applyFont="1" applyFill="1"/>
    <xf numFmtId="0" fontId="19" fillId="0" borderId="18" xfId="0" applyFont="1" applyBorder="1">
      <alignment horizontal="center"/>
    </xf>
    <xf numFmtId="4" fontId="24" fillId="34" borderId="18" xfId="0" applyFont="1" applyFill="1" applyBorder="1" applyNumberFormat="1">
      <alignment horizontal="right"/>
    </xf>
    <xf numFmtId="49" fontId="19" fillId="34" borderId="19" xfId="0" applyFont="1" applyFill="1" applyBorder="1" applyNumberFormat="1">
      <alignment horizontal="left" vertical="center" wrapText="1"/>
    </xf>
    <xf numFmtId="0" fontId="19" fillId="0" borderId="0" xfId="0" applyFont="1">
      <alignment horizontal="left"/>
    </xf>
    <xf numFmtId="49" fontId="19" fillId="0" borderId="0" xfId="0" applyFont="1" applyNumberFormat="1"/>
    <xf numFmtId="49" fontId="19" fillId="35" borderId="18" xfId="0" applyFont="1" applyFill="1" applyBorder="1" applyNumberFormat="1">
      <alignment horizontal="left" vertical="center" wrapText="1" indent="1"/>
    </xf>
    <xf numFmtId="49" fontId="24" fillId="4" borderId="0" xfId="0" applyFont="1" applyFill="1" applyNumberFormat="1"/>
    <xf numFmtId="49" fontId="23" fillId="42" borderId="36" xfId="0" applyFont="1" applyFill="1" applyBorder="1" applyNumberFormat="1">
      <alignment horizontal="left" vertical="center" wrapText="1" indent="1"/>
    </xf>
    <xf numFmtId="4" fontId="19" fillId="34" borderId="18" xfId="0" applyFont="1" applyFill="1" applyBorder="1" applyNumberFormat="1">
      <alignment horizontal="right" vertical="center" wrapText="1"/>
      <protection locked="0"/>
    </xf>
    <xf numFmtId="4" fontId="24" fillId="34" borderId="18" xfId="0" applyFont="1" applyFill="1" applyBorder="1" applyNumberFormat="1">
      <alignment horizontal="right"/>
      <protection locked="0"/>
    </xf>
    <xf numFmtId="49" fontId="19" fillId="34" borderId="19" xfId="0" applyFont="1" applyFill="1" applyBorder="1" applyNumberFormat="1">
      <alignment horizontal="left" vertical="center" wrapText="1"/>
      <protection locked="0"/>
    </xf>
    <xf numFmtId="49" fontId="23" fillId="42" borderId="36" xfId="0" applyFont="1" applyFill="1" applyBorder="1" applyNumberFormat="1">
      <alignment horizontal="left" vertical="center" wrapText="1" indent="1"/>
    </xf>
    <xf numFmtId="49" fontId="40" fillId="42" borderId="26" xfId="0" applyFont="1" applyFill="1" applyBorder="1" applyNumberFormat="1">
      <alignment horizontal="left" vertical="center" indent="1"/>
    </xf>
    <xf numFmtId="49" fontId="23"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35" xfId="0" applyFont="1" applyFill="1" applyBorder="1" applyNumberFormat="1">
      <alignment horizontal="left" vertical="center" wrapText="1" indent="1"/>
    </xf>
    <xf numFmtId="49" fontId="23" fillId="42" borderId="36" xfId="0" applyFont="1" applyFill="1" applyBorder="1" applyNumberFormat="1">
      <alignment horizontal="left" vertical="center" wrapText="1" indent="1"/>
    </xf>
    <xf numFmtId="49" fontId="40" fillId="42" borderId="26" xfId="0" applyFont="1" applyFill="1" applyBorder="1" applyNumberFormat="1">
      <alignment horizontal="left" vertical="center" indent="1"/>
    </xf>
    <xf numFmtId="49" fontId="23"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35" xfId="0" applyFont="1" applyFill="1" applyBorder="1" applyNumberFormat="1">
      <alignment horizontal="left" vertical="center" wrapText="1" indent="1"/>
    </xf>
    <xf numFmtId="49" fontId="23" fillId="42" borderId="36" xfId="0" applyFont="1" applyFill="1" applyBorder="1" applyNumberFormat="1">
      <alignment horizontal="left" vertical="center" wrapText="1" indent="1"/>
    </xf>
    <xf numFmtId="49" fontId="40" fillId="42" borderId="26" xfId="0" applyFont="1" applyFill="1" applyBorder="1" applyNumberFormat="1">
      <alignment horizontal="left" vertical="center" indent="1"/>
    </xf>
    <xf numFmtId="49" fontId="23"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24" xfId="0" applyFont="1" applyFill="1" applyBorder="1" applyNumberFormat="1">
      <alignment horizontal="left" vertical="center" wrapText="1" indent="1"/>
    </xf>
    <xf numFmtId="49" fontId="40" fillId="42" borderId="35" xfId="0" applyFont="1" applyFill="1" applyBorder="1" applyNumberFormat="1">
      <alignment horizontal="left" vertical="center" wrapText="1" indent="1"/>
    </xf>
    <xf numFmtId="49" fontId="19" fillId="4" borderId="0" xfId="0" applyFont="1" applyFill="1" applyNumberFormat="1">
      <alignment vertical="top"/>
    </xf>
    <xf numFmtId="49" fontId="19" fillId="43" borderId="0" xfId="0" applyFont="1" applyFill="1" applyNumberFormat="1">
      <alignment vertical="top"/>
    </xf>
    <xf numFmtId="0" fontId="24" fillId="0" borderId="20" xfId="0" applyFont="1" applyBorder="1">
      <alignment vertical="center" wrapText="1"/>
    </xf>
    <xf numFmtId="0" fontId="24" fillId="0" borderId="20" xfId="0" applyFont="1" applyBorder="1"/>
    <xf numFmtId="0" fontId="24" fillId="36" borderId="0" xfId="0" applyFont="1" applyFill="1"/>
    <xf numFmtId="0" fontId="24" fillId="36" borderId="0" xfId="0" applyFont="1" applyFill="1">
      <alignment horizontal="center" vertical="center"/>
    </xf>
    <xf numFmtId="0" fontId="24" fillId="36" borderId="0" xfId="0" applyFont="1" applyFill="1"/>
    <xf numFmtId="0" fontId="24" fillId="36" borderId="0" xfId="0" applyFont="1" applyFill="1">
      <alignment horizontal="center" vertical="top"/>
    </xf>
    <xf numFmtId="0" fontId="33" fillId="0" borderId="0" xfId="0" applyFont="1"/>
    <xf numFmtId="0" fontId="42" fillId="36" borderId="0" xfId="0" applyFont="1" applyFill="1"/>
    <xf numFmtId="0" fontId="31" fillId="36" borderId="0" xfId="0" applyFont="1" applyFill="1"/>
    <xf numFmtId="49" fontId="31" fillId="36" borderId="0" xfId="0" applyFont="1" applyFill="1" applyNumberFormat="1"/>
    <xf numFmtId="0" fontId="33" fillId="0" borderId="0" xfId="0" applyFont="1"/>
    <xf numFmtId="0" fontId="19" fillId="41" borderId="38" xfId="0" applyFont="1" applyFill="1" applyBorder="1">
      <alignment horizontal="left" vertical="center"/>
    </xf>
    <xf numFmtId="0" fontId="33" fillId="0" borderId="0" xfId="0" applyFont="1"/>
    <xf numFmtId="0" fontId="42" fillId="43" borderId="0" xfId="0" applyFont="1" applyFill="1"/>
    <xf numFmtId="0" fontId="42" fillId="4" borderId="0" xfId="0" applyFont="1" applyFill="1"/>
    <xf numFmtId="4" fontId="19" fillId="33" borderId="18" xfId="0" applyFont="1" applyFill="1" applyBorder="1" applyNumberFormat="1">
      <alignment horizontal="right" vertical="center"/>
    </xf>
    <xf numFmtId="0" fontId="19" fillId="0" borderId="18" xfId="0" applyFont="1" applyBorder="1">
      <alignment horizontal="left" vertical="center" wrapText="1" indent="3"/>
    </xf>
    <xf numFmtId="0" fontId="33" fillId="0" borderId="0" xfId="0" applyFont="1"/>
    <xf numFmtId="0" fontId="33" fillId="0" borderId="0" xfId="0" applyFont="1"/>
    <xf numFmtId="0" fontId="33" fillId="0" borderId="0" xfId="0" applyFont="1"/>
    <xf numFmtId="0" fontId="33" fillId="0" borderId="0" xfId="0" applyFont="1"/>
    <xf numFmtId="0" fontId="33" fillId="0" borderId="0" xfId="0" applyFont="1"/>
    <xf numFmtId="0" fontId="24" fillId="0" borderId="18" xfId="0" applyFont="1" applyBorder="1"/>
    <xf numFmtId="49" fontId="19" fillId="34" borderId="18" xfId="0" applyFont="1" applyFill="1" applyBorder="1" applyNumberFormat="1">
      <alignment horizontal="left" vertical="top" wrapText="1"/>
      <protection locked="0"/>
    </xf>
    <xf numFmtId="49" fontId="19" fillId="34" borderId="18" xfId="0" applyFont="1" applyFill="1" applyBorder="1" applyNumberFormat="1">
      <alignment horizontal="left" vertical="top" wrapText="1"/>
    </xf>
    <xf numFmtId="0" fontId="24" fillId="42" borderId="24" xfId="0" applyFont="1" applyFill="1" applyBorder="1">
      <alignment vertical="center" wrapText="1"/>
    </xf>
    <xf numFmtId="0" fontId="34" fillId="0" borderId="0" xfId="0" applyFont="1">
      <alignment horizontal="left" vertical="top" wrapText="1"/>
    </xf>
    <xf numFmtId="0" fontId="24" fillId="11" borderId="18" xfId="0" applyFont="1" applyFill="1" applyBorder="1">
      <alignment horizontal="center" vertical="center" wrapText="1"/>
    </xf>
    <xf numFmtId="0" fontId="42" fillId="0" borderId="0" xfId="0" applyFont="1"/>
    <xf numFmtId="0" fontId="23" fillId="0" borderId="0" xfId="0" applyFont="1"/>
    <xf numFmtId="49" fontId="23" fillId="0" borderId="18" xfId="0" applyFont="1" applyBorder="1" applyNumberFormat="1">
      <alignment horizontal="center" vertical="center" wrapText="1"/>
    </xf>
    <xf numFmtId="49" fontId="23" fillId="0" borderId="18" xfId="0" applyFont="1" applyBorder="1" applyNumberFormat="1">
      <alignment horizontal="left" vertical="center" wrapText="1"/>
    </xf>
    <xf numFmtId="4" fontId="23" fillId="33" borderId="18" xfId="0" applyFont="1" applyFill="1" applyBorder="1" applyNumberFormat="1">
      <alignment horizontal="right" vertical="center" wrapText="1"/>
    </xf>
    <xf numFmtId="49" fontId="19" fillId="0" borderId="18" xfId="0" applyFont="1" applyBorder="1" applyNumberFormat="1">
      <alignment horizontal="center" vertical="center" wrapText="1"/>
    </xf>
    <xf numFmtId="49" fontId="19" fillId="0" borderId="18" xfId="0" applyFont="1" applyBorder="1" applyNumberFormat="1">
      <alignment horizontal="left" vertical="center" wrapText="1" indent="1"/>
    </xf>
    <xf numFmtId="49" fontId="19" fillId="0" borderId="18" xfId="0" applyFont="1" applyBorder="1" applyNumberFormat="1">
      <alignment horizontal="left" vertical="center" wrapText="1"/>
    </xf>
    <xf numFmtId="172" fontId="19" fillId="33" borderId="18" xfId="0" applyFont="1" applyFill="1" applyBorder="1" applyNumberFormat="1">
      <alignment horizontal="right" vertical="center" wrapText="1"/>
    </xf>
    <xf numFmtId="172" fontId="19" fillId="34" borderId="18" xfId="0" applyFont="1" applyFill="1" applyBorder="1" applyNumberFormat="1">
      <alignment horizontal="right" vertical="center" wrapText="1"/>
    </xf>
    <xf numFmtId="0" fontId="33" fillId="0" borderId="0" xfId="0" applyFont="1"/>
    <xf numFmtId="172" fontId="19" fillId="34" borderId="18" xfId="0" applyFont="1" applyFill="1" applyBorder="1" applyNumberFormat="1">
      <alignment horizontal="right" vertical="center" wrapText="1"/>
      <protection locked="0"/>
    </xf>
    <xf numFmtId="0" fontId="33" fillId="0" borderId="0" xfId="0" applyFont="1"/>
    <xf numFmtId="0" fontId="33" fillId="0" borderId="0" xfId="0" applyFont="1"/>
    <xf numFmtId="0" fontId="19" fillId="0" borderId="18" xfId="0" applyFont="1" applyBorder="1">
      <alignment horizontal="center" vertical="center" wrapText="1"/>
    </xf>
    <xf numFmtId="49" fontId="19" fillId="32" borderId="18" xfId="0" applyFont="1" applyFill="1" applyBorder="1" applyNumberFormat="1">
      <alignment horizontal="left" vertical="top" wrapText="1"/>
    </xf>
    <xf numFmtId="49" fontId="70" fillId="0" borderId="18" xfId="0" applyFont="1" applyBorder="1" applyNumberFormat="1">
      <alignment horizontal="left" vertical="top" wrapText="1"/>
    </xf>
    <xf numFmtId="0" fontId="39" fillId="41" borderId="38" xfId="0" applyFont="1" applyFill="1" applyBorder="1">
      <alignment horizontal="left" vertical="center"/>
    </xf>
    <xf numFmtId="4" fontId="39" fillId="41" borderId="38" xfId="0" applyFont="1" applyFill="1" applyBorder="1" applyNumberFormat="1">
      <alignment horizontal="right" vertical="center"/>
    </xf>
    <xf numFmtId="49" fontId="19" fillId="0" borderId="18" xfId="0" applyFont="1" applyBorder="1" applyNumberFormat="1">
      <alignment horizontal="center" vertical="center" wrapText="1"/>
    </xf>
    <xf numFmtId="49" fontId="19" fillId="0" borderId="18" xfId="0" applyFont="1" applyBorder="1" applyNumberFormat="1">
      <alignment horizontal="left" vertical="center" wrapText="1"/>
    </xf>
    <xf numFmtId="4" fontId="0" fillId="34" borderId="18" xfId="0" applyFont="1" applyFill="1" applyBorder="1" applyNumberFormat="1">
      <alignment horizontal="right" vertical="center" wrapText="1"/>
    </xf>
    <xf numFmtId="4" fontId="0" fillId="34" borderId="18" xfId="0" applyFont="1" applyFill="1" applyBorder="1" applyNumberFormat="1">
      <alignment horizontal="right" vertical="center" wrapText="1"/>
      <protection locked="0"/>
    </xf>
    <xf numFmtId="49" fontId="70" fillId="34" borderId="18" xfId="0" applyFont="1" applyFill="1" applyBorder="1" applyNumberFormat="1">
      <alignment horizontal="left" vertical="top" wrapText="1"/>
    </xf>
    <xf numFmtId="49" fontId="70" fillId="34" borderId="18" xfId="0" applyFont="1" applyFill="1" applyBorder="1" applyNumberFormat="1">
      <alignment horizontal="left" vertical="top" wrapText="1"/>
      <protection locked="0"/>
    </xf>
    <xf numFmtId="0" fontId="19" fillId="0" borderId="0" xfId="0" applyFont="1">
      <alignment vertical="top"/>
    </xf>
    <xf numFmtId="0" fontId="39" fillId="41" borderId="18" xfId="0" applyFont="1" applyFill="1" applyBorder="1">
      <alignment horizontal="left" vertical="center"/>
    </xf>
    <xf numFmtId="0" fontId="65" fillId="0" borderId="0" xfId="0" applyFont="1"/>
    <xf numFmtId="49" fontId="65" fillId="0" borderId="0" xfId="0" applyFont="1" applyNumberFormat="1"/>
    <xf numFmtId="0" fontId="23" fillId="37" borderId="18" xfId="0" applyFont="1" applyFill="1" applyBorder="1">
      <alignment horizontal="center" vertical="center"/>
    </xf>
    <xf numFmtId="0" fontId="23" fillId="37" borderId="18" xfId="0" applyFont="1" applyFill="1" applyBorder="1">
      <alignment horizontal="left" vertical="center" wrapText="1"/>
    </xf>
    <xf numFmtId="0" fontId="23" fillId="37" borderId="18" xfId="0" applyFont="1" applyFill="1" applyBorder="1">
      <alignment horizontal="center" vertical="center" wrapText="1"/>
    </xf>
    <xf numFmtId="49" fontId="23" fillId="34" borderId="18" xfId="0" applyFont="1" applyFill="1" applyBorder="1" applyNumberFormat="1">
      <alignment horizontal="left" vertical="center" wrapText="1"/>
    </xf>
    <xf numFmtId="4" fontId="23" fillId="34" borderId="18" xfId="0" applyFont="1" applyFill="1" applyBorder="1" applyNumberFormat="1">
      <alignment horizontal="right" vertical="center" wrapText="1"/>
    </xf>
    <xf numFmtId="4" fontId="19" fillId="33" borderId="18" xfId="0" applyFont="1" applyFill="1" applyBorder="1" applyNumberFormat="1">
      <alignment horizontal="right" vertical="center" wrapText="1"/>
    </xf>
    <xf numFmtId="49" fontId="19" fillId="37" borderId="18" xfId="0" applyFont="1" applyFill="1" applyBorder="1" applyNumberFormat="1">
      <alignment horizontal="center" vertical="center"/>
    </xf>
    <xf numFmtId="0" fontId="19" fillId="37" borderId="18" xfId="0" applyFont="1" applyFill="1" applyBorder="1">
      <alignment horizontal="left" vertical="center" wrapText="1" indent="2"/>
    </xf>
    <xf numFmtId="0" fontId="19" fillId="0" borderId="18" xfId="0" applyFont="1" applyBorder="1">
      <alignment horizontal="right" vertical="center" wrapText="1"/>
    </xf>
    <xf numFmtId="0" fontId="19" fillId="0" borderId="18" xfId="0" applyFont="1" applyBorder="1" quotePrefix="1">
      <alignment horizontal="left" vertical="center" wrapText="1" indent="1"/>
    </xf>
    <xf numFmtId="0" fontId="1" fillId="0" borderId="0" xfId="0" applyFont="1"/>
    <xf numFmtId="4" fontId="23" fillId="33" borderId="18" xfId="0" applyFont="1" applyFill="1" applyBorder="1" applyNumberFormat="1">
      <alignment horizontal="right" vertical="center" wrapText="1"/>
    </xf>
    <xf numFmtId="0" fontId="33" fillId="0" borderId="0" xfId="0" applyFont="1"/>
    <xf numFmtId="49" fontId="23" fillId="34" borderId="18" xfId="0" applyFont="1" applyFill="1" applyBorder="1" applyNumberFormat="1">
      <alignment horizontal="left" vertical="center" wrapText="1"/>
      <protection locked="0"/>
    </xf>
    <xf numFmtId="0" fontId="33" fillId="0" borderId="0" xfId="0" applyFont="1"/>
    <xf numFmtId="4" fontId="23" fillId="34" borderId="18" xfId="0" applyFont="1" applyFill="1" applyBorder="1" applyNumberFormat="1">
      <alignment horizontal="right" vertical="center" wrapText="1"/>
      <protection locked="0"/>
    </xf>
    <xf numFmtId="0" fontId="33" fillId="0" borderId="0" xfId="0" applyFont="1"/>
    <xf numFmtId="0" fontId="33" fillId="0" borderId="0" xfId="0" applyFont="1"/>
    <xf numFmtId="0" fontId="33" fillId="0" borderId="0" xfId="0" applyFont="1"/>
    <xf numFmtId="0" fontId="33" fillId="0" borderId="0" xfId="0" applyFont="1"/>
    <xf numFmtId="0" fontId="33" fillId="0" borderId="0" xfId="0" applyFont="1"/>
    <xf numFmtId="0" fontId="33" fillId="0" borderId="0" xfId="0" applyFont="1"/>
    <xf numFmtId="0" fontId="33" fillId="0" borderId="0" xfId="0" applyFont="1"/>
    <xf numFmtId="0" fontId="33" fillId="0" borderId="0" xfId="0" applyFont="1"/>
    <xf numFmtId="4" fontId="23" fillId="34" borderId="18" xfId="0" applyFont="1" applyFill="1" applyBorder="1" applyNumberFormat="1">
      <alignment horizontal="right" vertical="center"/>
      <protection locked="0"/>
    </xf>
    <xf numFmtId="0" fontId="33" fillId="0" borderId="0" xfId="0" applyFont="1"/>
    <xf numFmtId="0" fontId="33" fillId="0" borderId="0" xfId="0" applyFont="1"/>
    <xf numFmtId="0" fontId="33" fillId="0" borderId="0" xfId="0" applyFont="1"/>
    <xf numFmtId="0" fontId="33" fillId="0" borderId="0" xfId="0" applyFont="1"/>
    <xf numFmtId="0" fontId="33" fillId="0" borderId="0" xfId="0" applyFont="1"/>
    <xf numFmtId="0" fontId="33" fillId="0" borderId="0" xfId="0" applyFont="1"/>
    <xf numFmtId="0" fontId="33" fillId="0" borderId="0" xfId="0" applyFont="1"/>
    <xf numFmtId="0" fontId="33" fillId="0" borderId="0" xfId="0" applyFont="1"/>
    <xf numFmtId="49" fontId="42" fillId="0" borderId="20" xfId="0" applyFont="1" applyBorder="1" applyNumberFormat="1">
      <alignment horizontal="left" vertical="center" wrapText="1" indent="1"/>
    </xf>
    <xf numFmtId="0" fontId="48" fillId="0" borderId="0" xfId="0" applyFont="1">
      <alignment vertical="center"/>
    </xf>
    <xf numFmtId="49" fontId="42" fillId="44" borderId="43" xfId="0" applyFont="1" applyFill="1" applyBorder="1" applyNumberFormat="1">
      <alignment horizontal="left" vertical="center"/>
    </xf>
    <xf numFmtId="49" fontId="42" fillId="44" borderId="44" xfId="0" applyFont="1" applyFill="1" applyBorder="1" applyNumberFormat="1">
      <alignment horizontal="left" vertical="center" wrapText="1"/>
    </xf>
    <xf numFmtId="49" fontId="42" fillId="44" borderId="29" xfId="0" applyFont="1" applyFill="1" applyBorder="1" applyNumberFormat="1">
      <alignment horizontal="left" vertical="center" wrapText="1"/>
    </xf>
    <xf numFmtId="0" fontId="19" fillId="0" borderId="19" xfId="0" applyFont="1" applyBorder="1">
      <alignment horizontal="center" vertical="center" wrapText="1"/>
    </xf>
    <xf numFmtId="0" fontId="19" fillId="0" borderId="43" xfId="0" applyFont="1" applyBorder="1">
      <alignment horizontal="center" vertical="center" wrapText="1"/>
    </xf>
    <xf numFmtId="0" fontId="19" fillId="0" borderId="44" xfId="0" applyFont="1" applyBorder="1">
      <alignment horizontal="center" vertical="center" wrapText="1"/>
    </xf>
    <xf numFmtId="0" fontId="19" fillId="0" borderId="29" xfId="0" applyFont="1" applyBorder="1">
      <alignment horizontal="center" vertical="center" wrapText="1"/>
    </xf>
    <xf numFmtId="0" fontId="19" fillId="0" borderId="0" xfId="0" applyFont="1">
      <alignment horizontal="left" vertical="center" wrapText="1"/>
    </xf>
    <xf numFmtId="0" fontId="19" fillId="0" borderId="0" xfId="0" applyFont="1">
      <alignment horizontal="center" vertical="center" wrapText="1"/>
    </xf>
    <xf numFmtId="0" fontId="19" fillId="43" borderId="0" xfId="0" applyFont="1" applyFill="1">
      <alignment vertical="center"/>
    </xf>
    <xf numFmtId="0" fontId="19" fillId="0" borderId="43" xfId="0" applyFont="1" applyBorder="1">
      <alignment horizontal="right" vertical="center" wrapText="1"/>
    </xf>
    <xf numFmtId="0" fontId="19" fillId="0" borderId="29" xfId="0" applyFont="1" applyBorder="1">
      <alignment horizontal="right" vertical="center" wrapText="1"/>
    </xf>
    <xf numFmtId="0" fontId="23" fillId="33" borderId="43" xfId="0" applyFont="1" applyFill="1" applyBorder="1">
      <alignment horizontal="left" vertical="center" indent="1"/>
    </xf>
    <xf numFmtId="0" fontId="23" fillId="33" borderId="44" xfId="0" applyFont="1" applyFill="1" applyBorder="1">
      <alignment vertical="center" wrapText="1"/>
    </xf>
    <xf numFmtId="0" fontId="23" fillId="33" borderId="29" xfId="0" applyFont="1" applyFill="1" applyBorder="1">
      <alignment vertical="center" wrapText="1"/>
    </xf>
    <xf numFmtId="49" fontId="23" fillId="33" borderId="44" xfId="0" applyFont="1" applyFill="1" applyBorder="1" applyNumberFormat="1">
      <alignment vertical="center" wrapText="1"/>
    </xf>
    <xf numFmtId="49" fontId="23" fillId="33" borderId="29" xfId="0" applyFont="1" applyFill="1" applyBorder="1" applyNumberFormat="1">
      <alignment vertical="center" wrapText="1"/>
    </xf>
    <xf numFmtId="0" fontId="19" fillId="0" borderId="0" xfId="0" applyFont="1">
      <alignment vertical="center"/>
    </xf>
    <xf numFmtId="0" fontId="19" fillId="25" borderId="0" xfId="0" applyFont="1" applyFill="1">
      <alignment horizontal="center" vertical="center"/>
    </xf>
    <xf numFmtId="0" fontId="19" fillId="43" borderId="43" xfId="0" applyFont="1" applyFill="1" applyBorder="1">
      <alignment horizontal="left" vertical="center" wrapText="1"/>
    </xf>
    <xf numFmtId="0" fontId="19" fillId="43" borderId="44" xfId="0" applyFont="1" applyFill="1" applyBorder="1">
      <alignment horizontal="center" vertical="center"/>
    </xf>
    <xf numFmtId="0" fontId="19" fillId="43" borderId="44" xfId="0" applyFont="1" applyFill="1" applyBorder="1">
      <alignment horizontal="left" vertical="center" indent="1"/>
    </xf>
    <xf numFmtId="0" fontId="19" fillId="43" borderId="29" xfId="0" applyFont="1" applyFill="1" applyBorder="1">
      <alignment horizontal="left" vertical="center" indent="1"/>
    </xf>
    <xf numFmtId="0" fontId="19" fillId="43" borderId="29" xfId="0" applyFont="1" applyFill="1" applyBorder="1">
      <alignment horizontal="left" vertical="center" indent="1"/>
    </xf>
    <xf numFmtId="0" fontId="19" fillId="43" borderId="44" xfId="0" applyFont="1" applyFill="1" applyBorder="1">
      <alignment horizontal="left" vertical="center" indent="1"/>
    </xf>
    <xf numFmtId="0" fontId="23" fillId="0" borderId="0" xfId="0" applyFont="1">
      <alignment vertical="center"/>
    </xf>
    <xf numFmtId="0" fontId="23" fillId="43" borderId="0" xfId="0" applyFont="1" applyFill="1">
      <alignment vertical="center"/>
    </xf>
    <xf numFmtId="0" fontId="23" fillId="0" borderId="19" xfId="0" applyFont="1" applyBorder="1">
      <alignment horizontal="left" vertical="center" wrapText="1"/>
    </xf>
    <xf numFmtId="0" fontId="23" fillId="0" borderId="19" xfId="0" applyFont="1" applyBorder="1">
      <alignment horizontal="center" vertical="center" wrapText="1"/>
    </xf>
    <xf numFmtId="4" fontId="23" fillId="34" borderId="19" xfId="0" applyFont="1" applyFill="1" applyBorder="1" applyNumberFormat="1">
      <alignment horizontal="right" vertical="center"/>
    </xf>
    <xf numFmtId="4" fontId="23" fillId="33" borderId="19" xfId="0" applyFont="1" applyFill="1" applyBorder="1" applyNumberFormat="1">
      <alignment vertical="center"/>
    </xf>
    <xf numFmtId="4" fontId="42" fillId="34" borderId="19" xfId="0" applyFont="1" applyFill="1" applyBorder="1" applyNumberFormat="1">
      <alignment horizontal="right" vertical="center"/>
    </xf>
    <xf numFmtId="0" fontId="42" fillId="4" borderId="0" xfId="0" applyFont="1" applyFill="1">
      <alignment vertical="center"/>
    </xf>
    <xf numFmtId="0" fontId="42" fillId="43" borderId="0" xfId="0" applyFont="1" applyFill="1">
      <alignment vertical="center"/>
    </xf>
    <xf numFmtId="0" fontId="19" fillId="0" borderId="19" xfId="0" applyFont="1" applyBorder="1">
      <alignment horizontal="left" vertical="center" wrapText="1"/>
    </xf>
    <xf numFmtId="4" fontId="19" fillId="33" borderId="18" xfId="0" applyFont="1" applyFill="1" applyBorder="1" applyNumberFormat="1">
      <alignment horizontal="right" vertical="center" wrapText="1"/>
    </xf>
    <xf numFmtId="4" fontId="19" fillId="33" borderId="19" xfId="0" applyFont="1" applyFill="1" applyBorder="1" applyNumberFormat="1">
      <alignment vertical="center"/>
    </xf>
    <xf numFmtId="0" fontId="42" fillId="0" borderId="0" xfId="0" applyFont="1">
      <alignment vertical="center"/>
    </xf>
    <xf numFmtId="172" fontId="19" fillId="34" borderId="19" xfId="0" applyFont="1" applyFill="1" applyBorder="1" applyNumberFormat="1">
      <alignment horizontal="right" vertical="center"/>
    </xf>
    <xf numFmtId="172" fontId="19" fillId="33" borderId="19" xfId="0" applyFont="1" applyFill="1" applyBorder="1" applyNumberFormat="1">
      <alignment vertical="center"/>
    </xf>
    <xf numFmtId="0" fontId="23" fillId="37" borderId="19" xfId="0" applyFont="1" applyFill="1" applyBorder="1">
      <alignment horizontal="left" vertical="center" wrapText="1"/>
    </xf>
    <xf numFmtId="0" fontId="19" fillId="0" borderId="19" xfId="0" applyFont="1" applyBorder="1">
      <alignment horizontal="left" vertical="center" wrapText="1"/>
    </xf>
    <xf numFmtId="0" fontId="21" fillId="0" borderId="58" xfId="0" applyFont="1" applyBorder="1">
      <alignment horizontal="center" vertical="top" wrapText="1"/>
    </xf>
    <xf numFmtId="49" fontId="19" fillId="35" borderId="19" xfId="0" applyFont="1" applyFill="1" applyBorder="1" applyNumberFormat="1">
      <alignment horizontal="left" vertical="center" wrapText="1"/>
    </xf>
    <xf numFmtId="4" fontId="19" fillId="34" borderId="19" xfId="0" applyFont="1" applyFill="1" applyBorder="1" applyNumberFormat="1">
      <alignment horizontal="right" vertical="center"/>
    </xf>
    <xf numFmtId="4" fontId="19" fillId="34" borderId="19" xfId="0" applyFont="1" applyFill="1" applyBorder="1" applyNumberFormat="1">
      <alignment vertical="center"/>
    </xf>
    <xf numFmtId="49" fontId="23" fillId="42" borderId="40" xfId="0" applyFont="1" applyFill="1" applyBorder="1" applyNumberFormat="1">
      <alignment horizontal="left" vertical="center" wrapText="1" indent="1"/>
    </xf>
    <xf numFmtId="49" fontId="23" fillId="42" borderId="41" xfId="0" applyFont="1" applyFill="1" applyBorder="1" applyNumberFormat="1">
      <alignment horizontal="left" vertical="center" wrapText="1" indent="1"/>
    </xf>
    <xf numFmtId="0" fontId="19" fillId="43" borderId="44" xfId="0" applyFont="1" applyFill="1" applyBorder="1">
      <alignment horizontal="left" vertical="center" indent="1"/>
    </xf>
    <xf numFmtId="0" fontId="19" fillId="43" borderId="29" xfId="0" applyFont="1" applyFill="1" applyBorder="1">
      <alignment horizontal="left" vertical="center" indent="1"/>
    </xf>
    <xf numFmtId="0" fontId="19" fillId="0" borderId="44" xfId="0" applyFont="1" applyBorder="1">
      <alignment horizontal="center" vertical="center"/>
    </xf>
    <xf numFmtId="0" fontId="19" fillId="0" borderId="44" xfId="0" applyFont="1" applyBorder="1">
      <alignment horizontal="left" vertical="center" indent="1"/>
    </xf>
    <xf numFmtId="0" fontId="19" fillId="0" borderId="29" xfId="0" applyFont="1" applyBorder="1">
      <alignment horizontal="left" vertical="center" indent="1"/>
    </xf>
    <xf numFmtId="0" fontId="19" fillId="0" borderId="19" xfId="0" applyFont="1" applyBorder="1">
      <alignment horizontal="left" vertical="center" wrapText="1" indent="1"/>
    </xf>
    <xf numFmtId="0" fontId="19" fillId="0" borderId="19" xfId="0" applyFont="1" applyBorder="1">
      <alignment horizontal="left" vertical="center" wrapText="1" indent="1"/>
    </xf>
    <xf numFmtId="172" fontId="19" fillId="33" borderId="19" xfId="0" applyFont="1" applyFill="1" applyBorder="1" applyNumberFormat="1">
      <alignment vertical="center"/>
    </xf>
    <xf numFmtId="4" fontId="19" fillId="0" borderId="44" xfId="0" applyFont="1" applyBorder="1" applyNumberFormat="1">
      <alignment horizontal="right" vertical="center"/>
    </xf>
    <xf numFmtId="4" fontId="19" fillId="0" borderId="44" xfId="0" applyFont="1" applyBorder="1" applyNumberFormat="1">
      <alignment vertical="center"/>
    </xf>
    <xf numFmtId="4" fontId="19" fillId="0" borderId="29" xfId="0" applyFont="1" applyBorder="1" applyNumberFormat="1">
      <alignment vertical="center"/>
    </xf>
    <xf numFmtId="49" fontId="24" fillId="4" borderId="0" xfId="0" applyFont="1" applyFill="1" applyNumberFormat="1">
      <alignment vertical="center"/>
    </xf>
    <xf numFmtId="0" fontId="19" fillId="43" borderId="0" xfId="0" applyFont="1" applyFill="1">
      <alignment vertical="top"/>
    </xf>
    <xf numFmtId="0" fontId="19" fillId="0" borderId="0" xfId="0" applyFont="1">
      <alignment vertical="top"/>
    </xf>
    <xf numFmtId="0" fontId="19" fillId="4" borderId="0" xfId="0" applyFont="1" applyFill="1">
      <alignment vertical="top"/>
    </xf>
    <xf numFmtId="49" fontId="19" fillId="43" borderId="0" xfId="0" applyFont="1" applyFill="1" applyNumberFormat="1">
      <alignment vertical="top"/>
    </xf>
    <xf numFmtId="4" fontId="23" fillId="34" borderId="18" xfId="0" applyFont="1" applyFill="1" applyBorder="1" applyNumberFormat="1">
      <alignment vertical="center"/>
    </xf>
    <xf numFmtId="0" fontId="19" fillId="0" borderId="18" xfId="0" applyFont="1" applyBorder="1">
      <alignment horizontal="left" vertical="center" wrapText="1"/>
    </xf>
    <xf numFmtId="0" fontId="19" fillId="33" borderId="18" xfId="0" applyFont="1" applyFill="1" applyBorder="1">
      <alignment vertical="center"/>
    </xf>
    <xf numFmtId="0" fontId="19" fillId="33" borderId="61" xfId="0" applyFont="1" applyFill="1" applyBorder="1">
      <alignment vertical="center"/>
    </xf>
    <xf numFmtId="0" fontId="19" fillId="35" borderId="19" xfId="0" applyFont="1" applyFill="1" applyBorder="1">
      <alignment horizontal="left" vertical="center" wrapText="1"/>
    </xf>
    <xf numFmtId="49" fontId="40" fillId="42" borderId="40" xfId="0" applyFont="1" applyFill="1" applyBorder="1" applyNumberFormat="1">
      <alignment horizontal="left" vertical="center" wrapText="1" indent="1"/>
    </xf>
    <xf numFmtId="49" fontId="40" fillId="42" borderId="41" xfId="0" applyFont="1" applyFill="1" applyBorder="1" applyNumberFormat="1">
      <alignment horizontal="left" vertical="center" wrapText="1" indent="1"/>
    </xf>
    <xf numFmtId="0" fontId="23" fillId="0" borderId="0" xfId="0" applyFont="1">
      <alignment horizontal="center" vertical="center"/>
    </xf>
    <xf numFmtId="0" fontId="33" fillId="0" borderId="0" xfId="0" applyFont="1">
      <alignment vertical="center"/>
    </xf>
    <xf numFmtId="4" fontId="23" fillId="34" borderId="19" xfId="0" applyFont="1" applyFill="1" applyBorder="1" applyNumberFormat="1">
      <alignment horizontal="right" vertical="center"/>
      <protection locked="0"/>
    </xf>
    <xf numFmtId="0" fontId="33" fillId="0" borderId="0" xfId="0" applyFont="1">
      <alignment vertical="center"/>
    </xf>
    <xf numFmtId="172" fontId="19" fillId="34" borderId="19" xfId="0" applyFont="1" applyFill="1" applyBorder="1" applyNumberFormat="1">
      <alignment horizontal="right" vertical="center"/>
      <protection locked="0"/>
    </xf>
    <xf numFmtId="0" fontId="33" fillId="0" borderId="0" xfId="0" applyFont="1">
      <alignment vertical="center"/>
    </xf>
    <xf numFmtId="0" fontId="33" fillId="0" borderId="0" xfId="0" applyFont="1">
      <alignment vertical="center"/>
    </xf>
    <xf numFmtId="49" fontId="19" fillId="35" borderId="19" xfId="0" applyFont="1" applyFill="1" applyBorder="1" applyNumberFormat="1">
      <alignment horizontal="left" vertical="center" wrapText="1"/>
      <protection locked="0"/>
    </xf>
    <xf numFmtId="4" fontId="19" fillId="34" borderId="19" xfId="0" applyFont="1" applyFill="1" applyBorder="1" applyNumberFormat="1">
      <alignment horizontal="right" vertical="center"/>
      <protection locked="0"/>
    </xf>
    <xf numFmtId="4" fontId="19" fillId="34" borderId="19" xfId="0" applyFont="1" applyFill="1" applyBorder="1" applyNumberFormat="1">
      <alignment vertical="center"/>
      <protection locked="0"/>
    </xf>
    <xf numFmtId="49" fontId="40" fillId="42" borderId="26" xfId="0" applyFont="1" applyFill="1" applyBorder="1" applyNumberFormat="1">
      <alignment horizontal="left" vertical="center" indent="1"/>
    </xf>
    <xf numFmtId="49" fontId="40" fillId="42" borderId="40" xfId="0" applyFont="1" applyFill="1" applyBorder="1" applyNumberFormat="1">
      <alignment horizontal="left" vertical="center" wrapTex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1" xfId="0" applyFont="1" applyFill="1" applyBorder="1" applyNumberFormat="1">
      <alignment horizontal="left" vertical="center" wrapText="1" indent="1"/>
    </xf>
    <xf numFmtId="49" fontId="40" fillId="42" borderId="26" xfId="0" applyFont="1" applyFill="1" applyBorder="1" applyNumberFormat="1">
      <alignment horizontal="left" vertical="center" indent="1"/>
    </xf>
    <xf numFmtId="49" fontId="40" fillId="42" borderId="40" xfId="0" applyFont="1" applyFill="1" applyBorder="1" applyNumberFormat="1">
      <alignment horizontal="left" vertical="center" wrapTex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1" xfId="0" applyFont="1" applyFill="1" applyBorder="1" applyNumberFormat="1">
      <alignment horizontal="left" vertical="center" wrapText="1" indent="1"/>
    </xf>
    <xf numFmtId="0" fontId="33" fillId="0" borderId="0" xfId="0" applyFont="1">
      <alignment vertical="center"/>
    </xf>
    <xf numFmtId="0" fontId="33" fillId="0" borderId="0" xfId="0" applyFont="1">
      <alignment vertical="center"/>
    </xf>
    <xf numFmtId="49" fontId="40" fillId="42" borderId="26" xfId="0" applyFont="1" applyFill="1" applyBorder="1" applyNumberFormat="1">
      <alignment horizontal="left" vertical="center" indent="1"/>
    </xf>
    <xf numFmtId="49" fontId="40" fillId="42" borderId="40" xfId="0" applyFont="1" applyFill="1" applyBorder="1" applyNumberFormat="1">
      <alignment horizontal="left" vertical="center" wrapTex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1" xfId="0" applyFont="1" applyFill="1" applyBorder="1" applyNumberFormat="1">
      <alignment horizontal="left" vertical="center" wrapText="1" indent="1"/>
    </xf>
    <xf numFmtId="0" fontId="33" fillId="0" borderId="0" xfId="0" applyFont="1">
      <alignment vertical="center"/>
    </xf>
    <xf numFmtId="0" fontId="33" fillId="0" borderId="0" xfId="0" applyFont="1">
      <alignment vertical="center"/>
    </xf>
    <xf numFmtId="0" fontId="33" fillId="0" borderId="0" xfId="0" applyFont="1">
      <alignment vertical="center"/>
    </xf>
    <xf numFmtId="0" fontId="33" fillId="0" borderId="0" xfId="0" applyFont="1">
      <alignment vertical="center"/>
    </xf>
    <xf numFmtId="49" fontId="40" fillId="42" borderId="26" xfId="0" applyFont="1" applyFill="1" applyBorder="1" applyNumberFormat="1">
      <alignment horizontal="left" vertical="center" indent="1"/>
    </xf>
    <xf numFmtId="49" fontId="40" fillId="42" borderId="40" xfId="0" applyFont="1" applyFill="1" applyBorder="1" applyNumberFormat="1">
      <alignment horizontal="left" vertical="center" wrapTex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1" xfId="0" applyFont="1" applyFill="1" applyBorder="1" applyNumberFormat="1">
      <alignment horizontal="left" vertical="center" wrapText="1" indent="1"/>
    </xf>
    <xf numFmtId="49" fontId="40" fillId="42" borderId="26" xfId="0" applyFont="1" applyFill="1" applyBorder="1" applyNumberFormat="1">
      <alignment horizontal="left" vertical="center" indent="1"/>
    </xf>
    <xf numFmtId="49" fontId="40" fillId="42" borderId="40" xfId="0" applyFont="1" applyFill="1" applyBorder="1" applyNumberFormat="1">
      <alignment horizontal="left" vertical="center" wrapTex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1" xfId="0" applyFont="1" applyFill="1" applyBorder="1" applyNumberFormat="1">
      <alignment horizontal="left" vertical="center" wrapText="1" indent="1"/>
    </xf>
    <xf numFmtId="0" fontId="33" fillId="0" borderId="0" xfId="0" applyFont="1">
      <alignment vertical="center"/>
    </xf>
    <xf numFmtId="0" fontId="33" fillId="0" borderId="0" xfId="0" applyFont="1">
      <alignment vertical="center"/>
    </xf>
    <xf numFmtId="49" fontId="40" fillId="42" borderId="26" xfId="0" applyFont="1" applyFill="1" applyBorder="1" applyNumberFormat="1">
      <alignment horizontal="left" vertical="center" indent="1"/>
    </xf>
    <xf numFmtId="49" fontId="40" fillId="42" borderId="40" xfId="0" applyFont="1" applyFill="1" applyBorder="1" applyNumberFormat="1">
      <alignment horizontal="left" vertical="center" wrapTex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1" xfId="0" applyFont="1" applyFill="1" applyBorder="1" applyNumberFormat="1">
      <alignment horizontal="left" vertical="center" wrapText="1" indent="1"/>
    </xf>
    <xf numFmtId="0" fontId="33" fillId="0" borderId="0" xfId="0" applyFont="1">
      <alignment vertical="center"/>
    </xf>
    <xf numFmtId="0" fontId="33" fillId="0" borderId="0" xfId="0" applyFont="1">
      <alignment vertical="center"/>
    </xf>
    <xf numFmtId="0" fontId="33" fillId="0" borderId="0" xfId="0" applyFont="1">
      <alignment vertical="center"/>
    </xf>
    <xf numFmtId="0" fontId="33" fillId="0" borderId="0" xfId="0" applyFont="1">
      <alignment vertical="center"/>
    </xf>
    <xf numFmtId="49" fontId="40" fillId="42" borderId="26" xfId="0" applyFont="1" applyFill="1" applyBorder="1" applyNumberFormat="1">
      <alignment horizontal="left" vertical="center" indent="1"/>
    </xf>
    <xf numFmtId="49" fontId="40" fillId="42" borderId="40" xfId="0" applyFont="1" applyFill="1" applyBorder="1" applyNumberFormat="1">
      <alignment horizontal="left" vertical="center" wrapTex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1" xfId="0" applyFont="1" applyFill="1" applyBorder="1" applyNumberFormat="1">
      <alignment horizontal="left" vertical="center" wrapText="1" indent="1"/>
    </xf>
    <xf numFmtId="49" fontId="40" fillId="42" borderId="26" xfId="0" applyFont="1" applyFill="1" applyBorder="1" applyNumberFormat="1">
      <alignment horizontal="left" vertical="center" indent="1"/>
    </xf>
    <xf numFmtId="49" fontId="40" fillId="42" borderId="40" xfId="0" applyFont="1" applyFill="1" applyBorder="1" applyNumberFormat="1">
      <alignment horizontal="left" vertical="center" wrapTex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0" xfId="0" applyFont="1" applyFill="1" applyBorder="1" applyNumberFormat="1">
      <alignment horizontal="left" vertical="center" wrapText="1" indent="1"/>
    </xf>
    <xf numFmtId="49" fontId="23" fillId="42" borderId="41" xfId="0" applyFont="1" applyFill="1" applyBorder="1" applyNumberFormat="1">
      <alignment horizontal="left" vertical="center" wrapText="1" indent="1"/>
    </xf>
    <xf numFmtId="0" fontId="33" fillId="0" borderId="0" xfId="0" applyFont="1">
      <alignment vertical="center"/>
    </xf>
    <xf numFmtId="0" fontId="33" fillId="0" borderId="0" xfId="0" applyFont="1">
      <alignment vertical="center"/>
    </xf>
    <xf numFmtId="49" fontId="40" fillId="42" borderId="26" xfId="0" applyFont="1" applyFill="1" applyBorder="1" applyNumberFormat="1">
      <alignment horizontal="left" vertical="center" indent="1"/>
    </xf>
    <xf numFmtId="49" fontId="40" fillId="42" borderId="40" xfId="0" applyFont="1" applyFill="1" applyBorder="1" applyNumberFormat="1">
      <alignment horizontal="left" vertical="center" wrapTex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0" xfId="0" applyFont="1" applyFill="1" applyBorder="1" applyNumberFormat="1">
      <alignment horizontal="left" vertical="center" wrapText="1" indent="1"/>
    </xf>
    <xf numFmtId="49" fontId="40" fillId="42" borderId="41" xfId="0" applyFont="1" applyFill="1" applyBorder="1" applyNumberFormat="1">
      <alignment horizontal="left" vertical="center" wrapText="1" indent="1"/>
    </xf>
    <xf numFmtId="0" fontId="19" fillId="34" borderId="18" xfId="0" applyFont="1" applyFill="1" applyBorder="1">
      <alignment horizontal="left" vertical="center" wrapText="1"/>
    </xf>
    <xf numFmtId="0" fontId="19" fillId="34" borderId="36" xfId="0" applyFont="1" applyFill="1" applyBorder="1">
      <alignment horizontal="left" vertical="center" wrapText="1"/>
      <protection locked="0"/>
    </xf>
    <xf numFmtId="0" fontId="19" fillId="34" borderId="24" xfId="0" applyFont="1" applyFill="1" applyBorder="1">
      <alignment horizontal="left" vertical="center" wrapText="1"/>
      <protection locked="0"/>
    </xf>
    <xf numFmtId="0" fontId="19" fillId="34" borderId="35" xfId="0" applyFont="1" applyFill="1" applyBorder="1">
      <alignment horizontal="left" vertical="center" wrapText="1"/>
      <protection locked="0"/>
    </xf>
    <xf numFmtId="0" fontId="24" fillId="42" borderId="35" xfId="0" applyFont="1" applyFill="1" applyBorder="1">
      <alignment vertical="center" wrapText="1"/>
    </xf>
    <xf numFmtId="0" fontId="24" fillId="0" borderId="0" xfId="0" applyFont="1">
      <alignment vertical="center"/>
    </xf>
    <xf numFmtId="0" fontId="1" fillId="43" borderId="0" xfId="0" applyFont="1" applyFill="1"/>
    <xf numFmtId="0" fontId="35" fillId="0" borderId="0" xfId="0" applyFont="1">
      <alignment vertical="center"/>
    </xf>
    <xf numFmtId="0" fontId="24" fillId="4" borderId="0" xfId="0" applyFont="1" applyFill="1">
      <alignment vertical="center"/>
    </xf>
    <xf numFmtId="49" fontId="36" fillId="0" borderId="20" xfId="0" applyFont="1" applyBorder="1" applyNumberFormat="1">
      <alignment vertical="center"/>
    </xf>
    <xf numFmtId="49" fontId="36" fillId="0" borderId="0" xfId="0" applyFont="1" applyNumberFormat="1">
      <alignment horizontal="left" vertical="center" wrapText="1" indent="4"/>
    </xf>
    <xf numFmtId="0" fontId="24" fillId="0" borderId="18" xfId="0" applyFont="1" applyBorder="1">
      <alignment horizontal="center" vertical="center" wrapText="1"/>
    </xf>
    <xf numFmtId="0" fontId="24" fillId="11" borderId="18" xfId="0" applyFont="1" applyFill="1" applyBorder="1">
      <alignment horizontal="center" vertical="center" wrapText="1"/>
    </xf>
    <xf numFmtId="0" fontId="24" fillId="0" borderId="18" xfId="0" applyFont="1" applyBorder="1">
      <alignment horizontal="center" vertical="center" wrapText="1"/>
    </xf>
    <xf numFmtId="0" fontId="24" fillId="11" borderId="18" xfId="0" applyFont="1" applyFill="1" applyBorder="1">
      <alignment horizontal="center" vertical="center" wrapText="1"/>
    </xf>
    <xf numFmtId="0" fontId="24" fillId="0" borderId="0" xfId="0" applyFont="1">
      <alignment horizontal="center" vertical="center" wrapText="1"/>
    </xf>
    <xf numFmtId="0" fontId="24" fillId="0" borderId="0" xfId="0" applyFont="1">
      <alignment horizontal="center" vertical="center" wrapText="1"/>
    </xf>
    <xf numFmtId="0" fontId="24" fillId="0" borderId="0" xfId="0" applyFont="1">
      <alignment vertical="center"/>
    </xf>
    <xf numFmtId="0" fontId="1" fillId="0" borderId="0" xfId="0" applyFont="1"/>
    <xf numFmtId="0" fontId="1" fillId="0" borderId="0" xfId="0" applyFont="1">
      <alignment horizontal="center" vertical="top"/>
    </xf>
    <xf numFmtId="0" fontId="1" fillId="0" borderId="0" xfId="0" applyFont="1">
      <alignment horizontal="center"/>
    </xf>
    <xf numFmtId="0" fontId="39" fillId="41" borderId="30" xfId="0" applyFont="1" applyFill="1" applyBorder="1">
      <alignment horizontal="left" vertical="center"/>
    </xf>
    <xf numFmtId="0" fontId="39" fillId="41" borderId="0" xfId="0" applyFont="1" applyFill="1">
      <alignment horizontal="left" vertical="center"/>
    </xf>
    <xf numFmtId="0" fontId="24" fillId="0" borderId="0" xfId="0" applyFont="1"/>
    <xf numFmtId="49" fontId="23" fillId="0" borderId="18" xfId="0" applyFont="1" applyBorder="1" applyNumberFormat="1">
      <alignment horizontal="center" vertical="center" wrapText="1"/>
    </xf>
    <xf numFmtId="0" fontId="23" fillId="0" borderId="18" xfId="0" applyFont="1" applyBorder="1">
      <alignment horizontal="left" vertical="center" wrapText="1"/>
    </xf>
    <xf numFmtId="0" fontId="19" fillId="0" borderId="18" xfId="0" applyFont="1" applyBorder="1">
      <alignment horizontal="center" vertical="center" wrapText="1"/>
    </xf>
    <xf numFmtId="4" fontId="23" fillId="33" borderId="18" xfId="0" applyFont="1" applyFill="1" applyBorder="1" applyNumberFormat="1">
      <alignment horizontal="right" vertical="center"/>
    </xf>
    <xf numFmtId="4" fontId="19" fillId="33" borderId="18" xfId="0" applyFont="1" applyFill="1" applyBorder="1" applyNumberFormat="1">
      <alignment horizontal="right" vertical="center"/>
    </xf>
    <xf numFmtId="49" fontId="19" fillId="34" borderId="19" xfId="0" applyFont="1" applyFill="1" applyBorder="1" applyNumberFormat="1">
      <alignment horizontal="left" vertical="center" wrapText="1"/>
    </xf>
    <xf numFmtId="0" fontId="19" fillId="34" borderId="19" xfId="0" applyFont="1" applyFill="1" applyBorder="1">
      <alignment horizontal="left" vertical="center" wrapText="1"/>
    </xf>
    <xf numFmtId="0" fontId="1" fillId="4" borderId="0" xfId="0" applyFont="1" applyFill="1"/>
    <xf numFmtId="0" fontId="17" fillId="43" borderId="0" xfId="0" applyFont="1" applyFill="1"/>
    <xf numFmtId="0" fontId="42" fillId="0" borderId="0" xfId="0" applyFont="1"/>
    <xf numFmtId="49" fontId="23" fillId="0" borderId="18" xfId="0" applyFont="1" applyBorder="1" applyNumberFormat="1">
      <alignment horizontal="center" vertical="center"/>
    </xf>
    <xf numFmtId="0" fontId="23" fillId="0" borderId="18" xfId="0" applyFont="1" applyBorder="1">
      <alignment horizontal="left" vertical="center" wrapText="1" indent="1"/>
    </xf>
    <xf numFmtId="0" fontId="23" fillId="0" borderId="18" xfId="0" applyFont="1" applyBorder="1">
      <alignment horizontal="center" vertical="center" wrapText="1"/>
    </xf>
    <xf numFmtId="49" fontId="23" fillId="34" borderId="19" xfId="0" applyFont="1" applyFill="1" applyBorder="1" applyNumberFormat="1">
      <alignment horizontal="left" vertical="center" wrapText="1"/>
    </xf>
    <xf numFmtId="0" fontId="17" fillId="4" borderId="0" xfId="0" applyFont="1" applyFill="1"/>
    <xf numFmtId="49" fontId="19" fillId="0" borderId="18" xfId="0" applyFont="1" applyBorder="1" applyNumberFormat="1">
      <alignment horizontal="center" vertical="center"/>
    </xf>
    <xf numFmtId="0" fontId="19" fillId="0" borderId="18" xfId="0" applyFont="1" applyBorder="1">
      <alignment horizontal="left" vertical="center" wrapText="1" indent="2"/>
    </xf>
    <xf numFmtId="4" fontId="19" fillId="33" borderId="18" xfId="0" applyFont="1" applyFill="1" applyBorder="1" applyNumberFormat="1">
      <alignment horizontal="right" vertical="center"/>
    </xf>
    <xf numFmtId="0" fontId="1" fillId="0" borderId="0" xfId="0" applyFont="1"/>
    <xf numFmtId="0" fontId="1" fillId="0" borderId="0" xfId="0" applyFont="1"/>
    <xf numFmtId="4" fontId="23" fillId="34" borderId="18" xfId="0" applyFont="1" applyFill="1" applyBorder="1" applyNumberFormat="1">
      <alignment horizontal="right" vertical="center"/>
    </xf>
    <xf numFmtId="0" fontId="24" fillId="0" borderId="0" xfId="0" applyFont="1">
      <alignment horizontal="left" vertical="center"/>
    </xf>
    <xf numFmtId="0" fontId="1" fillId="0" borderId="0" xfId="0" applyFont="1"/>
    <xf numFmtId="4" fontId="19" fillId="34" borderId="18" xfId="0" applyFont="1" applyFill="1" applyBorder="1" applyNumberFormat="1">
      <alignment horizontal="right" vertical="center"/>
    </xf>
    <xf numFmtId="0" fontId="52" fillId="0" borderId="0" xfId="0" applyFont="1">
      <alignment horizontal="center" vertical="center" wrapText="1"/>
    </xf>
    <xf numFmtId="0" fontId="19" fillId="36" borderId="18" xfId="0" applyFont="1" applyFill="1" applyBorder="1">
      <alignment horizontal="center" vertical="center" wrapText="1"/>
    </xf>
    <xf numFmtId="0" fontId="19" fillId="35" borderId="18" xfId="0" applyFont="1" applyFill="1" applyBorder="1">
      <alignment horizontal="left" vertical="center" wrapText="1" indent="1"/>
    </xf>
    <xf numFmtId="4" fontId="19" fillId="34" borderId="18" xfId="0" applyFont="1" applyFill="1" applyBorder="1" applyNumberFormat="1">
      <alignment horizontal="right" vertical="center"/>
    </xf>
    <xf numFmtId="49" fontId="19" fillId="34" borderId="19" xfId="0" applyFont="1" applyFill="1" applyBorder="1" applyNumberFormat="1">
      <alignment horizontal="left" vertical="center" wrapText="1"/>
    </xf>
    <xf numFmtId="0" fontId="1" fillId="4" borderId="0" xfId="0" applyFont="1" applyFill="1"/>
    <xf numFmtId="0" fontId="19" fillId="0" borderId="0" xfId="0" applyFont="1">
      <alignment vertical="top" wrapText="1"/>
    </xf>
    <xf numFmtId="49" fontId="23" fillId="42" borderId="36" xfId="0" applyFont="1" applyFill="1" applyBorder="1" applyNumberFormat="1">
      <alignment horizontal="left" vertical="center" wrapText="1" indent="1"/>
    </xf>
    <xf numFmtId="49" fontId="40" fillId="42" borderId="26" xfId="0" applyFont="1" applyFill="1" applyBorder="1" applyNumberFormat="1">
      <alignment horizontal="left" vertical="center" indent="1"/>
    </xf>
    <xf numFmtId="49" fontId="23" fillId="42" borderId="24" xfId="0" applyFont="1" applyFill="1" applyBorder="1" applyNumberFormat="1">
      <alignment horizontal="left" vertical="center" wrapText="1" indent="1"/>
    </xf>
    <xf numFmtId="49" fontId="23" fillId="42" borderId="35" xfId="0" applyFont="1" applyFill="1" applyBorder="1" applyNumberFormat="1">
      <alignment horizontal="left" vertical="center" wrapText="1" indent="1"/>
    </xf>
    <xf numFmtId="0" fontId="1" fillId="43" borderId="0" xfId="0" applyFont="1" applyFill="1"/>
    <xf numFmtId="0" fontId="23" fillId="0" borderId="18" xfId="0" applyFont="1" applyBorder="1">
      <alignment horizontal="center" vertical="center"/>
    </xf>
    <xf numFmtId="4" fontId="23" fillId="33" borderId="18" xfId="0" applyFont="1" applyFill="1" applyBorder="1" applyNumberFormat="1">
      <alignment horizontal="right" vertical="center"/>
    </xf>
    <xf numFmtId="0" fontId="19" fillId="0" borderId="18" xfId="0" applyFont="1" applyBorder="1">
      <alignment horizontal="left" vertical="center" wrapText="1" indent="1"/>
    </xf>
    <xf numFmtId="0" fontId="19" fillId="0" borderId="18" xfId="0" applyFont="1" applyBorder="1">
      <alignment horizontal="center" vertical="center"/>
    </xf>
    <xf numFmtId="4" fontId="19" fillId="33" borderId="18" xfId="0" applyFont="1" applyFill="1" applyBorder="1" applyNumberFormat="1">
      <alignment horizontal="right" vertical="center"/>
    </xf>
    <xf numFmtId="4" fontId="19" fillId="33" borderId="18" xfId="0" applyFont="1" applyFill="1" applyBorder="1" applyNumberFormat="1">
      <alignment horizontal="right" vertical="center"/>
    </xf>
    <xf numFmtId="0" fontId="66" fillId="0" borderId="0" xfId="0" applyFont="1">
      <alignment vertical="center"/>
    </xf>
    <xf numFmtId="4" fontId="19" fillId="33" borderId="18" xfId="0" applyFont="1" applyFill="1" applyBorder="1" applyNumberFormat="1">
      <alignment horizontal="right" vertical="center"/>
    </xf>
    <xf numFmtId="0" fontId="17" fillId="0" borderId="0" xfId="0" applyFont="1"/>
    <xf numFmtId="0" fontId="23" fillId="0" borderId="18" xfId="0" applyFont="1" applyBorder="1">
      <alignment vertical="center" wrapText="1"/>
    </xf>
    <xf numFmtId="0" fontId="19" fillId="0" borderId="18" xfId="0" applyFont="1" applyBorder="1">
      <alignment horizontal="left" vertical="center" wrapText="1"/>
    </xf>
    <xf numFmtId="4" fontId="23" fillId="0" borderId="18" xfId="0" applyFont="1" applyBorder="1" applyNumberFormat="1">
      <alignment horizontal="right" vertical="center"/>
    </xf>
    <xf numFmtId="0" fontId="24" fillId="0" borderId="0" xfId="0" applyFont="1"/>
    <xf numFmtId="0" fontId="19" fillId="0" borderId="18" xfId="0" applyFont="1" applyBorder="1">
      <alignment vertical="center" wrapText="1"/>
    </xf>
    <xf numFmtId="0" fontId="19" fillId="37" borderId="18" xfId="0" applyFont="1" applyFill="1" applyBorder="1">
      <alignment horizontal="left" vertical="center" wrapText="1" indent="1"/>
    </xf>
    <xf numFmtId="49" fontId="19" fillId="37" borderId="18" xfId="0" applyFont="1" applyFill="1" applyBorder="1" applyNumberFormat="1">
      <alignment horizontal="center" vertical="center"/>
    </xf>
    <xf numFmtId="0" fontId="19" fillId="37" borderId="18" xfId="0" applyFont="1" applyFill="1" applyBorder="1">
      <alignment vertical="center" wrapText="1"/>
    </xf>
    <xf numFmtId="172" fontId="23" fillId="33" borderId="18" xfId="0" applyFont="1" applyFill="1" applyBorder="1" applyNumberFormat="1">
      <alignment horizontal="right" vertical="center"/>
    </xf>
    <xf numFmtId="4" fontId="23" fillId="0" borderId="18" xfId="0" applyFont="1" applyBorder="1" applyNumberFormat="1">
      <alignment horizontal="right" vertical="center"/>
    </xf>
    <xf numFmtId="0" fontId="19" fillId="0" borderId="18" xfId="0" applyFont="1" applyBorder="1">
      <alignment horizontal="left" vertical="center" wrapText="1" indent="1"/>
    </xf>
    <xf numFmtId="172" fontId="19" fillId="34" borderId="18" xfId="0" applyFont="1" applyFill="1" applyBorder="1" applyNumberFormat="1">
      <alignment horizontal="right" vertical="center"/>
    </xf>
    <xf numFmtId="172" fontId="19" fillId="33" borderId="18" xfId="0" applyFont="1" applyFill="1" applyBorder="1" applyNumberFormat="1">
      <alignment horizontal="right" vertical="center"/>
    </xf>
    <xf numFmtId="4" fontId="19" fillId="0" borderId="18" xfId="0" applyFont="1" applyBorder="1" applyNumberFormat="1">
      <alignment horizontal="right" vertical="center"/>
    </xf>
    <xf numFmtId="0" fontId="36" fillId="0" borderId="0" xfId="0" applyFont="1">
      <alignment vertical="center"/>
    </xf>
    <xf numFmtId="4" fontId="23" fillId="34" borderId="18" xfId="0" applyFont="1" applyFill="1" applyBorder="1" applyNumberFormat="1">
      <alignment horizontal="right" vertical="center"/>
    </xf>
    <xf numFmtId="4" fontId="19" fillId="34" borderId="18" xfId="0" applyFont="1" applyFill="1" applyBorder="1" applyNumberFormat="1">
      <alignment horizontal="right" vertical="center"/>
    </xf>
    <xf numFmtId="49" fontId="19" fillId="34" borderId="19" xfId="0" applyFont="1" applyFill="1" applyBorder="1" applyNumberFormat="1">
      <alignment horizontal="left" vertical="center" wrapText="1"/>
      <protection locked="0"/>
    </xf>
    <xf numFmtId="0" fontId="19" fillId="34" borderId="19" xfId="0" applyFont="1" applyFill="1" applyBorder="1">
      <alignment horizontal="left" vertical="center" wrapText="1"/>
      <protection locked="0"/>
    </xf>
    <xf numFmtId="0" fontId="84" fillId="0" borderId="0" xfId="0" applyFont="1"/>
    <xf numFmtId="49" fontId="23" fillId="34" borderId="19" xfId="0" applyFont="1" applyFill="1" applyBorder="1" applyNumberFormat="1">
      <alignment horizontal="left" vertical="center" wrapText="1"/>
      <protection locked="0"/>
    </xf>
    <xf numFmtId="0" fontId="84" fillId="0" borderId="0" xfId="0" applyFont="1"/>
    <xf numFmtId="0" fontId="84" fillId="0" borderId="0" xfId="0" applyFont="1"/>
    <xf numFmtId="4" fontId="23" fillId="34" borderId="18" xfId="0" applyFont="1" applyFill="1" applyBorder="1" applyNumberFormat="1">
      <alignment horizontal="right" vertical="center"/>
      <protection locked="0"/>
    </xf>
    <xf numFmtId="0" fontId="84" fillId="0" borderId="0" xfId="0" applyFont="1"/>
    <xf numFmtId="0" fontId="84" fillId="0" borderId="0" xfId="0" applyFont="1"/>
    <xf numFmtId="0" fontId="84" fillId="0" borderId="0" xfId="0" applyFont="1"/>
    <xf numFmtId="0" fontId="84" fillId="0" borderId="0" xfId="0" applyFont="1"/>
    <xf numFmtId="4" fontId="19" fillId="34" borderId="18" xfId="0" applyFont="1" applyFill="1" applyBorder="1" applyNumberFormat="1">
      <alignment horizontal="right" vertical="center"/>
      <protection locked="0"/>
    </xf>
    <xf numFmtId="49" fontId="23" fillId="42" borderId="36" xfId="0" applyFont="1" applyFill="1" applyBorder="1" applyNumberFormat="1">
      <alignment horizontal="left" vertical="center" wrapText="1" indent="1"/>
    </xf>
    <xf numFmtId="49" fontId="40" fillId="42" borderId="26" xfId="0" applyFont="1" applyFill="1" applyBorder="1" applyNumberFormat="1">
      <alignment horizontal="left" vertical="center"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35" xfId="0" applyFont="1" applyFill="1" applyBorder="1" applyNumberFormat="1">
      <alignment horizontal="left" vertical="center" wrapText="1" indent="1"/>
    </xf>
    <xf numFmtId="0" fontId="84" fillId="0" borderId="0" xfId="0" applyFont="1"/>
    <xf numFmtId="0" fontId="84" fillId="0" borderId="0" xfId="0" applyFont="1"/>
    <xf numFmtId="0" fontId="84" fillId="0" borderId="0" xfId="0" applyFont="1"/>
    <xf numFmtId="0" fontId="84" fillId="0" borderId="0" xfId="0" applyFont="1"/>
    <xf numFmtId="0" fontId="84" fillId="0" borderId="0" xfId="0" applyFont="1"/>
    <xf numFmtId="0" fontId="84" fillId="0" borderId="0" xfId="0" applyFont="1"/>
    <xf numFmtId="0" fontId="84" fillId="0" borderId="0" xfId="0" applyFont="1"/>
    <xf numFmtId="0" fontId="84" fillId="0" borderId="0" xfId="0" applyFont="1"/>
    <xf numFmtId="0" fontId="84" fillId="0" borderId="0" xfId="0" applyFont="1"/>
    <xf numFmtId="0" fontId="84" fillId="0" borderId="0" xfId="0" applyFont="1"/>
    <xf numFmtId="0" fontId="84" fillId="0" borderId="0" xfId="0" applyFont="1"/>
    <xf numFmtId="172" fontId="19" fillId="34" borderId="18" xfId="0" applyFont="1" applyFill="1" applyBorder="1" applyNumberFormat="1">
      <alignment horizontal="right" vertical="center"/>
      <protection locked="0"/>
    </xf>
    <xf numFmtId="0" fontId="84" fillId="0" borderId="0" xfId="0" applyFont="1"/>
    <xf numFmtId="4" fontId="23" fillId="34" borderId="18" xfId="0" applyFont="1" applyFill="1" applyBorder="1" applyNumberFormat="1">
      <alignment horizontal="right" vertical="center"/>
      <protection locked="0"/>
    </xf>
    <xf numFmtId="0" fontId="84" fillId="0" borderId="0" xfId="0" applyFont="1"/>
    <xf numFmtId="4" fontId="19" fillId="34" borderId="18" xfId="0" applyFont="1" applyFill="1" applyBorder="1" applyNumberFormat="1">
      <alignment horizontal="right" vertical="center"/>
      <protection locked="0"/>
    </xf>
    <xf numFmtId="0" fontId="84" fillId="0" borderId="0" xfId="0" applyFont="1"/>
    <xf numFmtId="0" fontId="84" fillId="0" borderId="0" xfId="0" applyFont="1"/>
    <xf numFmtId="0" fontId="84" fillId="0" borderId="0" xfId="0" applyFont="1"/>
    <xf numFmtId="0" fontId="84" fillId="0" borderId="0" xfId="0" applyFont="1"/>
    <xf numFmtId="0" fontId="84" fillId="0" borderId="0" xfId="0" applyFont="1"/>
    <xf numFmtId="0" fontId="84" fillId="0" borderId="0" xfId="0" applyFont="1"/>
    <xf numFmtId="0" fontId="84" fillId="0" borderId="0" xfId="0" applyFont="1"/>
    <xf numFmtId="49" fontId="23" fillId="42" borderId="36" xfId="0" applyFont="1" applyFill="1" applyBorder="1" applyNumberFormat="1">
      <alignment horizontal="left" vertical="center" wrapText="1" indent="1"/>
    </xf>
    <xf numFmtId="49" fontId="40" fillId="42" borderId="26" xfId="0" applyFont="1" applyFill="1" applyBorder="1" applyNumberFormat="1">
      <alignment horizontal="left" vertical="center"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35" xfId="0" applyFont="1" applyFill="1" applyBorder="1" applyNumberFormat="1">
      <alignment horizontal="left" vertical="center" wrapText="1" indent="1"/>
    </xf>
    <xf numFmtId="0" fontId="84" fillId="0" borderId="0" xfId="0" applyFont="1"/>
    <xf numFmtId="0" fontId="84" fillId="0" borderId="0" xfId="0" applyFont="1"/>
    <xf numFmtId="0" fontId="84" fillId="0" borderId="0" xfId="0" applyFont="1"/>
    <xf numFmtId="0" fontId="84" fillId="0" borderId="0" xfId="0" applyFont="1"/>
    <xf numFmtId="0" fontId="84" fillId="0" borderId="0" xfId="0" applyFont="1"/>
    <xf numFmtId="0" fontId="84" fillId="0" borderId="0" xfId="0" applyFont="1"/>
    <xf numFmtId="0" fontId="84" fillId="0" borderId="0" xfId="0" applyFont="1"/>
    <xf numFmtId="0" fontId="84" fillId="0" borderId="0" xfId="0" applyFont="1"/>
    <xf numFmtId="0" fontId="84" fillId="0" borderId="0" xfId="0" applyFont="1"/>
    <xf numFmtId="0" fontId="84" fillId="0" borderId="0" xfId="0" applyFont="1"/>
    <xf numFmtId="0" fontId="84" fillId="0" borderId="0" xfId="0" applyFont="1"/>
    <xf numFmtId="0" fontId="84" fillId="0" borderId="0" xfId="0" applyFont="1"/>
    <xf numFmtId="0" fontId="84" fillId="0" borderId="0" xfId="0" applyFont="1"/>
    <xf numFmtId="0" fontId="84" fillId="0" borderId="0" xfId="0" applyFont="1"/>
    <xf numFmtId="0" fontId="84" fillId="0" borderId="0" xfId="0" applyFont="1"/>
    <xf numFmtId="0" fontId="84" fillId="0" borderId="0" xfId="0" applyFont="1"/>
    <xf numFmtId="0" fontId="84" fillId="0" borderId="0" xfId="0" applyFont="1"/>
    <xf numFmtId="0" fontId="84" fillId="0" borderId="0" xfId="0" applyFont="1"/>
    <xf numFmtId="0" fontId="84" fillId="0" borderId="0" xfId="0" applyFont="1"/>
    <xf numFmtId="0" fontId="84" fillId="0" borderId="0" xfId="0" applyFont="1"/>
    <xf numFmtId="49" fontId="23" fillId="42" borderId="36" xfId="0" applyFont="1" applyFill="1" applyBorder="1" applyNumberFormat="1">
      <alignment horizontal="left" vertical="center" wrapText="1" indent="1"/>
    </xf>
    <xf numFmtId="49" fontId="40" fillId="42" borderId="26" xfId="0" applyFont="1" applyFill="1" applyBorder="1" applyNumberFormat="1">
      <alignment horizontal="left" vertical="center"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35" xfId="0" applyFont="1" applyFill="1" applyBorder="1" applyNumberFormat="1">
      <alignment horizontal="left" vertical="center" wrapText="1" indent="1"/>
    </xf>
    <xf numFmtId="0" fontId="84" fillId="0" borderId="0" xfId="0" applyFont="1"/>
    <xf numFmtId="0" fontId="84" fillId="0" borderId="0" xfId="0" applyFont="1"/>
    <xf numFmtId="0" fontId="84" fillId="0" borderId="0" xfId="0" applyFont="1"/>
    <xf numFmtId="0" fontId="84" fillId="0" borderId="0" xfId="0" applyFont="1"/>
    <xf numFmtId="0" fontId="84" fillId="0" borderId="0" xfId="0" applyFont="1"/>
    <xf numFmtId="0" fontId="84" fillId="0" borderId="0" xfId="0" applyFont="1"/>
    <xf numFmtId="0" fontId="84" fillId="0" borderId="0" xfId="0" applyFont="1"/>
    <xf numFmtId="0" fontId="84" fillId="0" borderId="0" xfId="0" applyFont="1"/>
    <xf numFmtId="0" fontId="84" fillId="0" borderId="0" xfId="0" applyFont="1"/>
    <xf numFmtId="0" fontId="84" fillId="0" borderId="0" xfId="0" applyFont="1"/>
    <xf numFmtId="0" fontId="84" fillId="0" borderId="0" xfId="0" applyFont="1"/>
    <xf numFmtId="0" fontId="84" fillId="0" borderId="0" xfId="0" applyFont="1"/>
    <xf numFmtId="0" fontId="84" fillId="0" borderId="0" xfId="0" applyFont="1"/>
    <xf numFmtId="0" fontId="24" fillId="42" borderId="24" xfId="0" applyFont="1" applyFill="1" applyBorder="1">
      <alignment vertical="center" wrapText="1"/>
    </xf>
    <xf numFmtId="0" fontId="35" fillId="43" borderId="0" xfId="0" applyFont="1" applyFill="1">
      <alignment vertical="center"/>
    </xf>
    <xf numFmtId="49" fontId="36" fillId="0" borderId="20" xfId="0" applyFont="1" applyBorder="1" applyNumberFormat="1">
      <alignment vertical="center"/>
    </xf>
    <xf numFmtId="49" fontId="36" fillId="0" borderId="0" xfId="0" applyFont="1" applyNumberFormat="1">
      <alignment horizontal="left" vertical="center" wrapText="1" indent="4"/>
    </xf>
    <xf numFmtId="0" fontId="24" fillId="0" borderId="18" xfId="0" applyFont="1" applyBorder="1">
      <alignment horizontal="center" vertical="center" wrapText="1"/>
    </xf>
    <xf numFmtId="0" fontId="19" fillId="0" borderId="0" xfId="0" applyFont="1"/>
    <xf numFmtId="0" fontId="39" fillId="41" borderId="0" xfId="0" applyFont="1" applyFill="1">
      <alignment horizontal="left" vertical="center"/>
    </xf>
    <xf numFmtId="0" fontId="55" fillId="0" borderId="0" xfId="0" applyFont="1">
      <alignment horizontal="center" vertical="center" wrapText="1"/>
    </xf>
    <xf numFmtId="0" fontId="25" fillId="0" borderId="0" xfId="0" applyFont="1">
      <alignment vertical="center" wrapText="1"/>
    </xf>
    <xf numFmtId="0" fontId="25" fillId="43" borderId="0" xfId="0" applyFont="1" applyFill="1">
      <alignment vertical="center" wrapText="1"/>
    </xf>
    <xf numFmtId="0" fontId="35" fillId="0" borderId="0" xfId="0" applyFont="1">
      <alignment horizontal="left" vertical="center" wrapText="1"/>
    </xf>
    <xf numFmtId="0" fontId="25" fillId="0" borderId="0" xfId="0" applyFont="1">
      <alignment vertical="center" wrapText="1"/>
    </xf>
    <xf numFmtId="4" fontId="23" fillId="33" borderId="18" xfId="0" applyFont="1" applyFill="1" applyBorder="1" applyNumberFormat="1">
      <alignment horizontal="right" vertical="center"/>
    </xf>
    <xf numFmtId="4" fontId="23" fillId="34" borderId="18" xfId="0" applyFont="1" applyFill="1" applyBorder="1" applyNumberFormat="1">
      <alignment horizontal="right" vertical="center"/>
    </xf>
    <xf numFmtId="49" fontId="19" fillId="34" borderId="19" xfId="0" applyFont="1" applyFill="1" applyBorder="1" applyNumberFormat="1">
      <alignment horizontal="left" vertical="center" wrapText="1"/>
    </xf>
    <xf numFmtId="0" fontId="36" fillId="0" borderId="0" xfId="0" applyFont="1">
      <alignment horizontal="center" vertical="center" wrapText="1"/>
    </xf>
    <xf numFmtId="0" fontId="36" fillId="4" borderId="0" xfId="0" applyFont="1" applyFill="1">
      <alignment vertical="center" wrapText="1"/>
    </xf>
    <xf numFmtId="0" fontId="36" fillId="43" borderId="0" xfId="0" applyFont="1" applyFill="1">
      <alignment vertical="center" wrapText="1"/>
    </xf>
    <xf numFmtId="0" fontId="26" fillId="43" borderId="0" xfId="0" applyFont="1" applyFill="1">
      <alignment vertical="center"/>
    </xf>
    <xf numFmtId="0" fontId="26" fillId="0" borderId="0" xfId="0" applyFont="1">
      <alignment horizontal="left" vertical="center"/>
    </xf>
    <xf numFmtId="0" fontId="35" fillId="0" borderId="0" xfId="0" applyFont="1">
      <alignment horizontal="left" vertical="center"/>
    </xf>
    <xf numFmtId="0" fontId="26" fillId="0" borderId="0" xfId="0" applyFont="1">
      <alignment vertical="center"/>
    </xf>
    <xf numFmtId="172" fontId="19" fillId="34" borderId="18" xfId="0" applyFont="1" applyFill="1" applyBorder="1" applyNumberFormat="1">
      <alignment horizontal="right" vertical="center"/>
    </xf>
    <xf numFmtId="172" fontId="19" fillId="33" borderId="18" xfId="0" applyFont="1" applyFill="1" applyBorder="1" applyNumberFormat="1">
      <alignment horizontal="right" vertical="center"/>
    </xf>
    <xf numFmtId="4" fontId="19" fillId="33" borderId="18" xfId="0" applyFont="1" applyFill="1" applyBorder="1" applyNumberFormat="1">
      <alignment horizontal="right" vertical="center"/>
    </xf>
    <xf numFmtId="4" fontId="19" fillId="0" borderId="18" xfId="0" applyFont="1" applyBorder="1" applyNumberFormat="1">
      <alignment horizontal="right" vertical="center"/>
    </xf>
    <xf numFmtId="0" fontId="35" fillId="4" borderId="0" xfId="0" applyFont="1" applyFill="1">
      <alignment vertical="center"/>
    </xf>
    <xf numFmtId="0" fontId="25" fillId="0" borderId="0" xfId="0" applyFont="1">
      <alignment horizontal="center" vertical="center" wrapText="1"/>
    </xf>
    <xf numFmtId="0" fontId="25" fillId="43" borderId="0" xfId="0" applyFont="1" applyFill="1">
      <alignment horizontal="center" vertical="center" wrapText="1"/>
    </xf>
    <xf numFmtId="0" fontId="25" fillId="0" borderId="0" xfId="0" applyFont="1">
      <alignment horizontal="center" vertical="center" wrapText="1"/>
    </xf>
    <xf numFmtId="0" fontId="23" fillId="0" borderId="18" xfId="0" applyFont="1" applyBorder="1">
      <alignment horizontal="left" vertical="center" wrapText="1" indent="1"/>
    </xf>
    <xf numFmtId="49" fontId="23" fillId="34" borderId="19" xfId="0" applyFont="1" applyFill="1" applyBorder="1" applyNumberFormat="1">
      <alignment horizontal="left" vertical="center" wrapText="1"/>
    </xf>
    <xf numFmtId="0" fontId="36" fillId="4" borderId="0" xfId="0" applyFont="1" applyFill="1">
      <alignment horizontal="center" vertical="center" wrapText="1"/>
    </xf>
    <xf numFmtId="0" fontId="36" fillId="43" borderId="0" xfId="0" applyFont="1" applyFill="1">
      <alignment horizontal="center" vertical="center" wrapText="1"/>
    </xf>
    <xf numFmtId="0" fontId="29" fillId="0" borderId="0" xfId="0" applyFont="1">
      <alignment vertical="center"/>
    </xf>
    <xf numFmtId="4" fontId="19" fillId="33" borderId="18" xfId="0" applyFont="1" applyFill="1" applyBorder="1" applyNumberFormat="1">
      <alignment horizontal="right" vertical="center"/>
    </xf>
    <xf numFmtId="4" fontId="19" fillId="34" borderId="18" xfId="0" applyFont="1" applyFill="1" applyBorder="1" applyNumberFormat="1">
      <alignment horizontal="right" vertical="center"/>
    </xf>
    <xf numFmtId="0" fontId="19" fillId="34" borderId="19" xfId="0" applyFont="1" applyFill="1" applyBorder="1">
      <alignment horizontal="left" vertical="center" wrapText="1"/>
    </xf>
    <xf numFmtId="0" fontId="19" fillId="37" borderId="18" xfId="0" applyFont="1" applyFill="1" applyBorder="1">
      <alignment horizontal="left" vertical="center" wrapText="1" indent="3"/>
    </xf>
    <xf numFmtId="0" fontId="55" fillId="0" borderId="0" xfId="0" applyFont="1">
      <alignment horizontal="center" vertical="center"/>
    </xf>
    <xf numFmtId="0" fontId="25" fillId="0" borderId="0" xfId="0" applyFont="1">
      <alignment vertical="center"/>
    </xf>
    <xf numFmtId="0" fontId="25" fillId="43" borderId="0" xfId="0" applyFont="1" applyFill="1">
      <alignment vertical="center"/>
    </xf>
    <xf numFmtId="0" fontId="25" fillId="0" borderId="0" xfId="0" applyFont="1">
      <alignment vertical="center"/>
    </xf>
    <xf numFmtId="0" fontId="36" fillId="4" borderId="0" xfId="0" applyFont="1" applyFill="1">
      <alignment vertical="center"/>
    </xf>
    <xf numFmtId="0" fontId="36" fillId="43" borderId="0" xfId="0" applyFont="1" applyFill="1">
      <alignment vertical="center"/>
    </xf>
    <xf numFmtId="0" fontId="70" fillId="0" borderId="0" xfId="0" applyFont="1"/>
    <xf numFmtId="4" fontId="19" fillId="33" borderId="18" xfId="0" applyFont="1" applyFill="1" applyBorder="1" applyNumberFormat="1">
      <alignment horizontal="right" vertical="center"/>
    </xf>
    <xf numFmtId="4" fontId="19" fillId="33" borderId="18" xfId="0" applyFont="1" applyFill="1" applyBorder="1" applyNumberFormat="1">
      <alignment horizontal="right" vertical="center"/>
    </xf>
    <xf numFmtId="4" fontId="19" fillId="0" borderId="18" xfId="0" applyFont="1" applyBorder="1" applyNumberFormat="1">
      <alignment horizontal="right" vertical="center"/>
    </xf>
    <xf numFmtId="0" fontId="19" fillId="37" borderId="18" xfId="0" applyFont="1" applyFill="1" applyBorder="1">
      <alignment horizontal="center" vertical="center"/>
    </xf>
    <xf numFmtId="0" fontId="51" fillId="0" borderId="0" xfId="0" applyFont="1">
      <alignment horizontal="center" vertical="center"/>
    </xf>
    <xf numFmtId="0" fontId="19" fillId="35" borderId="18" xfId="0" applyFont="1" applyFill="1" applyBorder="1">
      <alignment horizontal="left" vertical="center" wrapText="1" indent="1"/>
    </xf>
    <xf numFmtId="0" fontId="63" fillId="0" borderId="0" xfId="0" applyFont="1">
      <alignment vertical="center"/>
    </xf>
    <xf numFmtId="0" fontId="19" fillId="37" borderId="18" xfId="0" applyFont="1" applyFill="1" applyBorder="1">
      <alignment horizontal="center" vertical="center" wrapText="1"/>
    </xf>
    <xf numFmtId="0" fontId="66" fillId="0" borderId="0" xfId="0" applyFont="1">
      <alignment horizontal="left" vertical="center"/>
    </xf>
    <xf numFmtId="0" fontId="66" fillId="0" borderId="0" xfId="0" applyFont="1">
      <alignment horizontal="center" vertical="center"/>
    </xf>
    <xf numFmtId="0" fontId="19" fillId="37" borderId="18" xfId="0" applyFont="1" applyFill="1" applyBorder="1">
      <alignment horizontal="left" vertical="center" wrapText="1" indent="2"/>
    </xf>
    <xf numFmtId="0" fontId="66" fillId="4" borderId="0" xfId="0" applyFont="1" applyFill="1">
      <alignment vertical="center"/>
    </xf>
    <xf numFmtId="0" fontId="66" fillId="43" borderId="0" xfId="0" applyFont="1" applyFill="1">
      <alignment vertical="center"/>
    </xf>
    <xf numFmtId="0" fontId="19" fillId="37" borderId="18" xfId="0" applyFont="1" applyFill="1" applyBorder="1">
      <alignment horizontal="left" vertical="center" wrapText="1" indent="1"/>
    </xf>
    <xf numFmtId="4" fontId="19" fillId="34" borderId="18" xfId="0" applyFont="1" applyFill="1" applyBorder="1" applyNumberFormat="1">
      <alignment horizontal="right" vertical="center" wrapText="1"/>
    </xf>
    <xf numFmtId="0" fontId="19" fillId="34" borderId="19" xfId="0" applyFont="1" applyFill="1" applyBorder="1">
      <alignment horizontal="left" vertical="center" wrapText="1"/>
    </xf>
    <xf numFmtId="0" fontId="36" fillId="0" borderId="0" xfId="0" applyFont="1">
      <alignment vertical="center"/>
    </xf>
    <xf numFmtId="0" fontId="19" fillId="19" borderId="0" xfId="0" applyFont="1" applyFill="1"/>
    <xf numFmtId="0" fontId="23" fillId="0" borderId="18" xfId="0" applyFont="1" applyBorder="1">
      <alignment horizontal="center" vertical="center"/>
    </xf>
    <xf numFmtId="0" fontId="23" fillId="0" borderId="18" xfId="0" applyFont="1" applyBorder="1">
      <alignment horizontal="left" vertical="center" wrapText="1"/>
    </xf>
    <xf numFmtId="4" fontId="23" fillId="34" borderId="18" xfId="0" applyFont="1" applyFill="1" applyBorder="1" applyNumberFormat="1">
      <alignment horizontal="right" vertical="center"/>
    </xf>
    <xf numFmtId="4" fontId="23" fillId="33" borderId="18" xfId="0" applyFont="1" applyFill="1" applyBorder="1" applyNumberFormat="1">
      <alignment horizontal="right" vertical="center"/>
    </xf>
    <xf numFmtId="49" fontId="23" fillId="34" borderId="19" xfId="0" applyFont="1" applyFill="1" applyBorder="1" applyNumberFormat="1">
      <alignment horizontal="left" vertical="center" wrapText="1"/>
    </xf>
    <xf numFmtId="0" fontId="19" fillId="0" borderId="18" xfId="0" applyFont="1" applyBorder="1">
      <alignment horizontal="center" vertical="center"/>
    </xf>
    <xf numFmtId="0" fontId="19" fillId="0" borderId="18" xfId="0" applyFont="1" applyBorder="1">
      <alignment horizontal="left" vertical="center" wrapText="1" indent="1"/>
    </xf>
    <xf numFmtId="4" fontId="19" fillId="34" borderId="18" xfId="0" applyFont="1" applyFill="1" applyBorder="1" applyNumberFormat="1">
      <alignment horizontal="right" vertical="center"/>
    </xf>
    <xf numFmtId="49" fontId="19" fillId="34" borderId="19" xfId="0" applyFont="1" applyFill="1" applyBorder="1" applyNumberFormat="1">
      <alignment horizontal="left" vertical="center" wrapText="1"/>
    </xf>
    <xf numFmtId="0" fontId="19" fillId="0" borderId="18" xfId="0" applyFont="1" applyBorder="1">
      <alignment horizontal="left" vertical="center" wrapText="1" indent="2"/>
    </xf>
    <xf numFmtId="0" fontId="26" fillId="40" borderId="0" xfId="0" applyFont="1" applyFill="1">
      <alignment vertical="center"/>
    </xf>
    <xf numFmtId="0" fontId="35" fillId="40" borderId="0" xfId="0" applyFont="1" applyFill="1">
      <alignment vertical="center"/>
    </xf>
    <xf numFmtId="4" fontId="23" fillId="34" borderId="18" xfId="0" applyFont="1" applyFill="1" applyBorder="1" applyNumberFormat="1">
      <alignment horizontal="right" vertical="center"/>
    </xf>
    <xf numFmtId="49" fontId="19" fillId="0" borderId="19" xfId="0" applyFont="1" applyBorder="1" applyNumberFormat="1">
      <alignment horizontal="left" vertical="center" wrapText="1"/>
    </xf>
    <xf numFmtId="0" fontId="19" fillId="37" borderId="18" xfId="0" applyFont="1" applyFill="1" applyBorder="1">
      <alignment horizontal="left" vertical="center" wrapText="1" indent="1"/>
    </xf>
    <xf numFmtId="172" fontId="23" fillId="33" borderId="18" xfId="0" applyFont="1" applyFill="1" applyBorder="1" applyNumberFormat="1">
      <alignment horizontal="right" vertical="center"/>
    </xf>
    <xf numFmtId="172" fontId="19" fillId="34" borderId="18" xfId="0" applyFont="1" applyFill="1" applyBorder="1" applyNumberFormat="1">
      <alignment horizontal="right" vertical="center"/>
    </xf>
    <xf numFmtId="4" fontId="23" fillId="34" borderId="18" xfId="0" applyFont="1" applyFill="1" applyBorder="1" applyNumberFormat="1">
      <alignment horizontal="right" vertical="center"/>
    </xf>
    <xf numFmtId="4" fontId="19" fillId="34" borderId="18" xfId="0" applyFont="1" applyFill="1" applyBorder="1" applyNumberFormat="1">
      <alignment horizontal="right" vertical="center"/>
    </xf>
    <xf numFmtId="0" fontId="55" fillId="0" borderId="0" xfId="0" applyFont="1">
      <alignment vertical="center" wrapText="1"/>
    </xf>
    <xf numFmtId="49" fontId="19" fillId="34" borderId="19" xfId="0" applyFont="1" applyFill="1" applyBorder="1" applyNumberFormat="1">
      <alignment horizontal="left" vertical="center" wrapText="1"/>
      <protection locked="0"/>
    </xf>
    <xf numFmtId="172" fontId="19" fillId="34" borderId="18" xfId="0" applyFont="1" applyFill="1" applyBorder="1" applyNumberFormat="1">
      <alignment horizontal="right" vertical="center"/>
      <protection locked="0"/>
    </xf>
    <xf numFmtId="49" fontId="23" fillId="34" borderId="19" xfId="0" applyFont="1" applyFill="1" applyBorder="1" applyNumberFormat="1">
      <alignment horizontal="left" vertical="center" wrapText="1"/>
      <protection locked="0"/>
    </xf>
    <xf numFmtId="4" fontId="19" fillId="34" borderId="18" xfId="0" applyFont="1" applyFill="1" applyBorder="1" applyNumberFormat="1">
      <alignment horizontal="right" vertical="center"/>
      <protection locked="0"/>
    </xf>
    <xf numFmtId="0" fontId="19" fillId="34" borderId="19" xfId="0" applyFont="1" applyFill="1" applyBorder="1">
      <alignment horizontal="left" vertical="center" wrapText="1"/>
      <protection locked="0"/>
    </xf>
    <xf numFmtId="4" fontId="19" fillId="34" borderId="18" xfId="0" applyFont="1" applyFill="1" applyBorder="1" applyNumberFormat="1">
      <alignment horizontal="right" vertical="center"/>
      <protection locked="0"/>
    </xf>
    <xf numFmtId="4" fontId="19" fillId="34" borderId="18" xfId="0" applyFont="1" applyFill="1" applyBorder="1" applyNumberFormat="1">
      <alignment horizontal="right" vertical="center"/>
      <protection locked="0"/>
    </xf>
    <xf numFmtId="0" fontId="55" fillId="0" borderId="0" xfId="0" applyFont="1">
      <alignment vertical="center"/>
    </xf>
    <xf numFmtId="0" fontId="55" fillId="0" borderId="0" xfId="0" applyFont="1">
      <alignment vertical="center"/>
    </xf>
    <xf numFmtId="0" fontId="55" fillId="0" borderId="0" xfId="0" applyFont="1">
      <alignment vertical="center"/>
    </xf>
    <xf numFmtId="0" fontId="23" fillId="42" borderId="36" xfId="0" applyFont="1" applyFill="1" applyBorder="1">
      <alignment horizontal="left" vertical="center" wrapText="1" indent="1"/>
    </xf>
    <xf numFmtId="49" fontId="40" fillId="42" borderId="26" xfId="0" applyFont="1" applyFill="1" applyBorder="1" applyNumberFormat="1">
      <alignment horizontal="left" vertical="center"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35" xfId="0" applyFont="1" applyFill="1" applyBorder="1" applyNumberFormat="1">
      <alignment horizontal="left" vertical="center" wrapText="1" indent="1"/>
    </xf>
    <xf numFmtId="0" fontId="55" fillId="0" borderId="0" xfId="0" applyFont="1">
      <alignment vertical="center"/>
    </xf>
    <xf numFmtId="0" fontId="55" fillId="0" borderId="0" xfId="0" applyFont="1">
      <alignment vertical="center"/>
    </xf>
    <xf numFmtId="0" fontId="55" fillId="0" borderId="0" xfId="0" applyFont="1">
      <alignment vertical="center"/>
    </xf>
    <xf numFmtId="4" fontId="19" fillId="34" borderId="18" xfId="0" applyFont="1" applyFill="1" applyBorder="1" applyNumberFormat="1">
      <alignment horizontal="right" vertical="center" wrapText="1"/>
      <protection locked="0"/>
    </xf>
    <xf numFmtId="0" fontId="19" fillId="34" borderId="19" xfId="0" applyFont="1" applyFill="1" applyBorder="1">
      <alignment horizontal="left" vertical="center" wrapText="1"/>
      <protection locked="0"/>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4" fontId="23" fillId="34" borderId="18" xfId="0" applyFont="1" applyFill="1" applyBorder="1" applyNumberFormat="1">
      <alignment horizontal="right" vertical="center"/>
      <protection locked="0"/>
    </xf>
    <xf numFmtId="4" fontId="23" fillId="34" borderId="18" xfId="0" applyFont="1" applyFill="1" applyBorder="1" applyNumberFormat="1">
      <alignment horizontal="right" vertical="center"/>
      <protection locked="0"/>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172" fontId="19" fillId="34" borderId="18" xfId="0" applyFont="1" applyFill="1" applyBorder="1" applyNumberFormat="1">
      <alignment horizontal="right" vertical="center"/>
      <protection locked="0"/>
    </xf>
    <xf numFmtId="0" fontId="55" fillId="0" borderId="0" xfId="0" applyFont="1">
      <alignment vertical="center"/>
    </xf>
    <xf numFmtId="4" fontId="23" fillId="34" borderId="18" xfId="0" applyFont="1" applyFill="1" applyBorder="1" applyNumberFormat="1">
      <alignment horizontal="right" vertical="center"/>
      <protection locked="0"/>
    </xf>
    <xf numFmtId="0" fontId="55" fillId="0" borderId="0" xfId="0" applyFont="1">
      <alignment vertical="center"/>
    </xf>
    <xf numFmtId="4" fontId="19" fillId="34" borderId="18" xfId="0" applyFont="1" applyFill="1" applyBorder="1" applyNumberFormat="1">
      <alignment horizontal="right" vertical="center"/>
      <protection locked="0"/>
    </xf>
    <xf numFmtId="0" fontId="55" fillId="0" borderId="0" xfId="0" applyFont="1">
      <alignment vertical="center" wrapText="1"/>
    </xf>
    <xf numFmtId="0" fontId="55" fillId="0" borderId="0" xfId="0" applyFont="1">
      <alignment vertical="center"/>
    </xf>
    <xf numFmtId="0" fontId="55" fillId="0" borderId="0" xfId="0" applyFont="1">
      <alignment vertical="center"/>
    </xf>
    <xf numFmtId="0" fontId="55" fillId="0" borderId="0" xfId="0" applyFont="1">
      <alignment vertical="center"/>
    </xf>
    <xf numFmtId="0" fontId="23" fillId="42" borderId="36" xfId="0" applyFont="1" applyFill="1" applyBorder="1">
      <alignment horizontal="left" vertical="center" wrapText="1" indent="1"/>
    </xf>
    <xf numFmtId="49" fontId="40" fillId="42" borderId="26" xfId="0" applyFont="1" applyFill="1" applyBorder="1" applyNumberFormat="1">
      <alignment horizontal="left" vertical="center"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35" xfId="0" applyFont="1" applyFill="1" applyBorder="1" applyNumberFormat="1">
      <alignment horizontal="left" vertical="center" wrapText="1" indent="1"/>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wrapText="1"/>
    </xf>
    <xf numFmtId="0" fontId="55" fillId="0" borderId="0" xfId="0" applyFont="1">
      <alignment vertical="center"/>
    </xf>
    <xf numFmtId="0" fontId="55" fillId="0" borderId="0" xfId="0" applyFont="1">
      <alignment vertical="center"/>
    </xf>
    <xf numFmtId="0" fontId="55" fillId="0" borderId="0" xfId="0" applyFont="1">
      <alignment vertical="center"/>
    </xf>
    <xf numFmtId="0" fontId="23" fillId="42" borderId="36" xfId="0" applyFont="1" applyFill="1" applyBorder="1">
      <alignment horizontal="left" vertical="center" wrapText="1" indent="1"/>
    </xf>
    <xf numFmtId="49" fontId="40" fillId="42" borderId="26" xfId="0" applyFont="1" applyFill="1" applyBorder="1" applyNumberFormat="1">
      <alignment horizontal="left" vertical="center"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35" xfId="0" applyFont="1" applyFill="1" applyBorder="1" applyNumberFormat="1">
      <alignment horizontal="left" vertical="center" wrapText="1" indent="1"/>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49" fontId="19" fillId="0" borderId="0" xfId="0" applyFont="1" applyNumberFormat="1">
      <alignment vertical="top"/>
    </xf>
    <xf numFmtId="49" fontId="19" fillId="34" borderId="18" xfId="0" applyFont="1" applyFill="1" applyBorder="1" applyNumberFormat="1">
      <alignment horizontal="left" vertical="top" wrapText="1"/>
    </xf>
    <xf numFmtId="0" fontId="36" fillId="0" borderId="0" xfId="0" applyFont="1">
      <alignment vertical="center" wrapText="1"/>
    </xf>
    <xf numFmtId="4" fontId="23" fillId="34" borderId="18" xfId="0" applyFont="1" applyFill="1" applyBorder="1" applyNumberFormat="1">
      <alignment horizontal="right" vertical="center"/>
    </xf>
    <xf numFmtId="49" fontId="19" fillId="34" borderId="19" xfId="0" applyFont="1" applyFill="1" applyBorder="1" applyNumberFormat="1">
      <alignment horizontal="left" vertical="center" wrapText="1"/>
    </xf>
    <xf numFmtId="172" fontId="19" fillId="34" borderId="18" xfId="0" applyFont="1" applyFill="1" applyBorder="1" applyNumberFormat="1">
      <alignment horizontal="right" vertical="center"/>
    </xf>
    <xf numFmtId="172" fontId="19" fillId="33" borderId="18" xfId="0" applyFont="1" applyFill="1" applyBorder="1" applyNumberFormat="1">
      <alignment horizontal="right" vertical="center"/>
    </xf>
    <xf numFmtId="4" fontId="19" fillId="0" borderId="18" xfId="0" applyFont="1" applyBorder="1" applyNumberFormat="1">
      <alignment horizontal="right" vertical="center"/>
    </xf>
    <xf numFmtId="4" fontId="85" fillId="36" borderId="18" xfId="0" applyFont="1" applyFill="1" applyBorder="1" applyNumberFormat="1">
      <alignment horizontal="right" vertical="center"/>
    </xf>
    <xf numFmtId="4" fontId="23" fillId="0" borderId="18" xfId="0" applyFont="1" applyBorder="1" applyNumberFormat="1">
      <alignment horizontal="right" vertical="center"/>
    </xf>
    <xf numFmtId="4" fontId="19" fillId="33" borderId="18" xfId="0" applyFont="1" applyFill="1" applyBorder="1" applyNumberFormat="1">
      <alignment horizontal="right" vertical="center"/>
    </xf>
    <xf numFmtId="4" fontId="27" fillId="36" borderId="18" xfId="0" applyFont="1" applyFill="1" applyBorder="1" applyNumberFormat="1">
      <alignment horizontal="right" vertical="center"/>
    </xf>
    <xf numFmtId="4" fontId="19" fillId="33" borderId="18" xfId="0" applyFont="1" applyFill="1" applyBorder="1" applyNumberFormat="1">
      <alignment horizontal="right" vertical="center"/>
    </xf>
    <xf numFmtId="4" fontId="27" fillId="36" borderId="18" xfId="0" applyFont="1" applyFill="1" applyBorder="1" applyNumberFormat="1">
      <alignment horizontal="right" vertical="center"/>
    </xf>
    <xf numFmtId="4" fontId="19" fillId="34" borderId="18" xfId="0" applyFont="1" applyFill="1" applyBorder="1" applyNumberFormat="1">
      <alignment horizontal="right" vertical="center"/>
    </xf>
    <xf numFmtId="4" fontId="19" fillId="33" borderId="18" xfId="0" applyFont="1" applyFill="1" applyBorder="1" applyNumberFormat="1">
      <alignment horizontal="right" vertical="center"/>
    </xf>
    <xf numFmtId="4" fontId="27" fillId="36" borderId="18" xfId="0" applyFont="1" applyFill="1" applyBorder="1" applyNumberFormat="1">
      <alignment horizontal="right" vertical="center"/>
    </xf>
    <xf numFmtId="0" fontId="19" fillId="34" borderId="19" xfId="0" applyFont="1" applyFill="1" applyBorder="1">
      <alignment horizontal="left" vertical="center" wrapText="1"/>
    </xf>
    <xf numFmtId="172" fontId="19" fillId="34" borderId="18" xfId="0" applyFont="1" applyFill="1" applyBorder="1" applyNumberFormat="1">
      <alignment horizontal="right" vertical="center"/>
    </xf>
    <xf numFmtId="4" fontId="23" fillId="33" borderId="18" xfId="0" applyFont="1" applyFill="1" applyBorder="1" applyNumberFormat="1">
      <alignment horizontal="right" vertical="center"/>
    </xf>
    <xf numFmtId="4" fontId="85" fillId="36" borderId="18" xfId="0" applyFont="1" applyFill="1" applyBorder="1" applyNumberFormat="1">
      <alignment horizontal="right" vertical="center"/>
    </xf>
    <xf numFmtId="4" fontId="19" fillId="34" borderId="18" xfId="0" applyFont="1" applyFill="1" applyBorder="1" applyNumberFormat="1">
      <alignment horizontal="right" vertical="center"/>
    </xf>
    <xf numFmtId="4" fontId="27" fillId="36" borderId="18" xfId="0" applyFont="1" applyFill="1" applyBorder="1" applyNumberFormat="1">
      <alignment horizontal="right" vertical="center"/>
    </xf>
    <xf numFmtId="4" fontId="19" fillId="0" borderId="18" xfId="0" applyFont="1" applyBorder="1" applyNumberFormat="1">
      <alignment horizontal="right" vertical="center"/>
    </xf>
    <xf numFmtId="49" fontId="19" fillId="34" borderId="19" xfId="0" applyFont="1" applyFill="1" applyBorder="1" applyNumberFormat="1">
      <alignment horizontal="left" vertical="center" wrapText="1"/>
    </xf>
    <xf numFmtId="0" fontId="47" fillId="0" borderId="0" xfId="0" applyFont="1">
      <alignment vertical="center"/>
    </xf>
    <xf numFmtId="0" fontId="19" fillId="0" borderId="0" xfId="0" applyFont="1">
      <alignment vertical="top" wrapText="1"/>
    </xf>
    <xf numFmtId="0" fontId="26" fillId="0" borderId="0" xfId="0" applyFont="1">
      <alignment horizontal="center" vertical="center"/>
    </xf>
    <xf numFmtId="0" fontId="25" fillId="0" borderId="0" xfId="0" applyFont="1">
      <alignment horizontal="center" vertical="center"/>
    </xf>
    <xf numFmtId="4" fontId="19" fillId="34" borderId="18" xfId="0" applyFont="1" applyFill="1" applyBorder="1" applyNumberFormat="1">
      <alignment horizontal="right" vertical="center" wrapText="1"/>
    </xf>
    <xf numFmtId="4" fontId="19" fillId="34" borderId="18" xfId="0" applyFont="1" applyFill="1" applyBorder="1" applyNumberFormat="1">
      <alignment horizontal="right" vertical="center" wrapText="1"/>
    </xf>
    <xf numFmtId="0" fontId="19" fillId="34" borderId="19" xfId="0" applyFont="1" applyFill="1" applyBorder="1">
      <alignment horizontal="left" vertical="center" wrapText="1"/>
    </xf>
    <xf numFmtId="0" fontId="51" fillId="19" borderId="0" xfId="0" applyFont="1" applyFill="1">
      <alignment horizontal="center" vertical="center"/>
    </xf>
    <xf numFmtId="49" fontId="23" fillId="0" borderId="18" xfId="0" applyFont="1" applyBorder="1" applyNumberFormat="1">
      <alignment horizontal="center" vertical="center"/>
    </xf>
    <xf numFmtId="49" fontId="19" fillId="0" borderId="18" xfId="0" applyFont="1" applyBorder="1" applyNumberFormat="1">
      <alignment horizontal="center" vertical="center"/>
    </xf>
    <xf numFmtId="4" fontId="23" fillId="34" borderId="18" xfId="0" applyFont="1" applyFill="1" applyBorder="1" applyNumberFormat="1">
      <alignment horizontal="right" vertical="center"/>
    </xf>
    <xf numFmtId="172" fontId="23" fillId="33" borderId="18" xfId="0" applyFont="1" applyFill="1" applyBorder="1" applyNumberFormat="1">
      <alignment horizontal="right" vertical="center"/>
    </xf>
    <xf numFmtId="172" fontId="19" fillId="34" borderId="18" xfId="0" applyFont="1" applyFill="1" applyBorder="1" applyNumberFormat="1">
      <alignment horizontal="right" vertical="center"/>
    </xf>
    <xf numFmtId="172" fontId="19" fillId="33" borderId="18" xfId="0" applyFont="1" applyFill="1" applyBorder="1" applyNumberFormat="1">
      <alignment horizontal="right" vertical="center"/>
    </xf>
    <xf numFmtId="4" fontId="23" fillId="34" borderId="18" xfId="0" applyFont="1" applyFill="1" applyBorder="1" applyNumberFormat="1">
      <alignment horizontal="right" vertical="center"/>
    </xf>
    <xf numFmtId="0" fontId="55" fillId="0" borderId="0" xfId="0" applyFont="1">
      <alignment vertical="center" wrapText="1"/>
    </xf>
    <xf numFmtId="4" fontId="23" fillId="34" borderId="18" xfId="0" applyFont="1" applyFill="1" applyBorder="1" applyNumberFormat="1">
      <alignment horizontal="right" vertical="center"/>
      <protection locked="0"/>
    </xf>
    <xf numFmtId="4" fontId="23" fillId="34" borderId="18" xfId="0" applyFont="1" applyFill="1" applyBorder="1" applyNumberFormat="1">
      <alignment horizontal="right" vertical="center"/>
      <protection locked="0"/>
    </xf>
    <xf numFmtId="49" fontId="83" fillId="34" borderId="19" xfId="0" applyFont="1" applyFill="1" applyBorder="1" applyNumberFormat="1">
      <alignment horizontal="left" vertical="center" wrapText="1"/>
      <protection locked="0"/>
    </xf>
    <xf numFmtId="49" fontId="19" fillId="34" borderId="19" xfId="0" applyFont="1" applyFill="1" applyBorder="1" applyNumberFormat="1">
      <alignment horizontal="left" vertical="center" wrapText="1"/>
      <protection locked="0"/>
    </xf>
    <xf numFmtId="172" fontId="19" fillId="34" borderId="18" xfId="0" applyFont="1" applyFill="1" applyBorder="1" applyNumberFormat="1">
      <alignment horizontal="right" vertical="center"/>
      <protection locked="0"/>
    </xf>
    <xf numFmtId="49" fontId="23" fillId="34" borderId="19" xfId="0" applyFont="1" applyFill="1" applyBorder="1" applyNumberFormat="1">
      <alignment horizontal="left" vertical="center" wrapText="1"/>
      <protection locked="0"/>
    </xf>
    <xf numFmtId="4" fontId="19" fillId="34" borderId="18" xfId="0" applyFont="1" applyFill="1" applyBorder="1" applyNumberFormat="1">
      <alignment horizontal="right" vertical="center"/>
      <protection locked="0"/>
    </xf>
    <xf numFmtId="0" fontId="19" fillId="34" borderId="19" xfId="0" applyFont="1" applyFill="1" applyBorder="1">
      <alignment horizontal="left" vertical="center" wrapText="1"/>
      <protection locked="0"/>
    </xf>
    <xf numFmtId="172" fontId="19" fillId="34" borderId="18" xfId="0" applyFont="1" applyFill="1" applyBorder="1" applyNumberFormat="1">
      <alignment horizontal="right" vertical="center"/>
      <protection locked="0"/>
    </xf>
    <xf numFmtId="0" fontId="55" fillId="0" borderId="0" xfId="0" applyFont="1">
      <alignment vertical="center"/>
    </xf>
    <xf numFmtId="0" fontId="55" fillId="0" borderId="0" xfId="0" applyFont="1">
      <alignment vertical="center"/>
    </xf>
    <xf numFmtId="0" fontId="55" fillId="0" borderId="0" xfId="0" applyFont="1">
      <alignment vertical="center"/>
    </xf>
    <xf numFmtId="0" fontId="19" fillId="35" borderId="18" xfId="0" applyFont="1" applyFill="1" applyBorder="1">
      <alignment horizontal="left" vertical="center" wrapText="1" indent="1"/>
      <protection locked="0"/>
    </xf>
    <xf numFmtId="4" fontId="19" fillId="34" borderId="18" xfId="0" applyFont="1" applyFill="1" applyBorder="1" applyNumberFormat="1">
      <alignment horizontal="right" vertical="center"/>
      <protection locked="0"/>
    </xf>
    <xf numFmtId="49" fontId="83" fillId="34" borderId="19" xfId="0" applyFont="1" applyFill="1" applyBorder="1" applyNumberFormat="1">
      <alignment horizontal="left" vertical="center" wrapText="1"/>
      <protection locked="0"/>
    </xf>
    <xf numFmtId="49" fontId="19" fillId="34" borderId="19" xfId="0" applyFont="1" applyFill="1" applyBorder="1" applyNumberFormat="1">
      <alignment horizontal="left" vertical="center" wrapText="1"/>
      <protection locked="0"/>
    </xf>
    <xf numFmtId="49" fontId="23" fillId="42" borderId="36" xfId="0" applyFont="1" applyFill="1" applyBorder="1" applyNumberFormat="1">
      <alignment horizontal="left" vertical="center" wrapText="1" indent="1"/>
    </xf>
    <xf numFmtId="49" fontId="40" fillId="42" borderId="26" xfId="0" applyFont="1" applyFill="1" applyBorder="1" applyNumberFormat="1">
      <alignment horizontal="left" vertical="center"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35" xfId="0" applyFont="1" applyFill="1" applyBorder="1" applyNumberFormat="1">
      <alignment horizontal="left" vertical="center" wrapText="1" indent="1"/>
    </xf>
    <xf numFmtId="0" fontId="55" fillId="0" borderId="0" xfId="0" applyFont="1">
      <alignment vertical="center"/>
    </xf>
    <xf numFmtId="0" fontId="55" fillId="0" borderId="0" xfId="0" applyFont="1">
      <alignment vertical="center"/>
    </xf>
    <xf numFmtId="0" fontId="55" fillId="0" borderId="0" xfId="0" applyFont="1">
      <alignment vertical="center"/>
    </xf>
    <xf numFmtId="4" fontId="19" fillId="34" borderId="18" xfId="0" applyFont="1" applyFill="1" applyBorder="1" applyNumberFormat="1">
      <alignment horizontal="right" vertical="center" wrapText="1"/>
      <protection locked="0"/>
    </xf>
    <xf numFmtId="4" fontId="19" fillId="34" borderId="18" xfId="0" applyFont="1" applyFill="1" applyBorder="1" applyNumberFormat="1">
      <alignment horizontal="right" vertical="center" wrapText="1"/>
      <protection locked="0"/>
    </xf>
    <xf numFmtId="0" fontId="19" fillId="34" borderId="19" xfId="0" applyFont="1" applyFill="1" applyBorder="1">
      <alignment horizontal="left" vertical="center" wrapText="1"/>
      <protection locked="0"/>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4" fontId="23" fillId="34" borderId="18" xfId="0" applyFont="1" applyFill="1" applyBorder="1" applyNumberFormat="1">
      <alignment horizontal="right" vertical="center"/>
      <protection locked="0"/>
    </xf>
    <xf numFmtId="0" fontId="55" fillId="0" borderId="0" xfId="0" applyFont="1">
      <alignment vertical="center"/>
    </xf>
    <xf numFmtId="49" fontId="86" fillId="34" borderId="19" xfId="0" applyFont="1" applyFill="1" applyBorder="1" applyNumberFormat="1">
      <alignment horizontal="left" vertical="center" wrapText="1"/>
      <protection locked="0"/>
    </xf>
    <xf numFmtId="0" fontId="55" fillId="0" borderId="0" xfId="0" applyFont="1">
      <alignment vertical="center"/>
    </xf>
    <xf numFmtId="0" fontId="55" fillId="0" borderId="0" xfId="0" applyFont="1">
      <alignment vertical="center"/>
    </xf>
    <xf numFmtId="0" fontId="55" fillId="0" borderId="0" xfId="0" applyFont="1">
      <alignment vertical="center"/>
    </xf>
    <xf numFmtId="172" fontId="19" fillId="34" borderId="18" xfId="0" applyFont="1" applyFill="1" applyBorder="1" applyNumberFormat="1">
      <alignment horizontal="right" vertical="center"/>
      <protection locked="0"/>
    </xf>
    <xf numFmtId="0" fontId="55" fillId="0" borderId="0" xfId="0" applyFont="1">
      <alignment vertical="center"/>
    </xf>
    <xf numFmtId="4" fontId="23" fillId="34" borderId="18" xfId="0" applyFont="1" applyFill="1" applyBorder="1" applyNumberFormat="1">
      <alignment horizontal="right" vertical="center"/>
      <protection locked="0"/>
    </xf>
    <xf numFmtId="0" fontId="55" fillId="0" borderId="0" xfId="0" applyFont="1">
      <alignment vertical="center"/>
    </xf>
    <xf numFmtId="0" fontId="55" fillId="0" borderId="0" xfId="0" applyFont="1">
      <alignment vertical="center" wrapText="1"/>
    </xf>
    <xf numFmtId="0" fontId="55" fillId="0" borderId="0" xfId="0" applyFont="1">
      <alignment vertical="center"/>
    </xf>
    <xf numFmtId="0" fontId="55" fillId="0" borderId="0" xfId="0" applyFont="1">
      <alignment vertical="center"/>
    </xf>
    <xf numFmtId="0" fontId="55" fillId="0" borderId="0" xfId="0" applyFont="1">
      <alignment vertical="center"/>
    </xf>
    <xf numFmtId="49" fontId="23" fillId="42" borderId="36" xfId="0" applyFont="1" applyFill="1" applyBorder="1" applyNumberFormat="1">
      <alignment horizontal="left" vertical="center" wrapText="1" indent="1"/>
    </xf>
    <xf numFmtId="49" fontId="40" fillId="42" borderId="26" xfId="0" applyFont="1" applyFill="1" applyBorder="1" applyNumberFormat="1">
      <alignment horizontal="left" vertical="center"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35" xfId="0" applyFont="1" applyFill="1" applyBorder="1" applyNumberFormat="1">
      <alignment horizontal="left" vertical="center" wrapText="1" indent="1"/>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wrapText="1"/>
    </xf>
    <xf numFmtId="0" fontId="55" fillId="0" borderId="0" xfId="0" applyFont="1">
      <alignment vertical="center"/>
    </xf>
    <xf numFmtId="0" fontId="55" fillId="0" borderId="0" xfId="0" applyFont="1">
      <alignment vertical="center"/>
    </xf>
    <xf numFmtId="0" fontId="55" fillId="0" borderId="0" xfId="0" applyFont="1">
      <alignment vertical="center"/>
    </xf>
    <xf numFmtId="49" fontId="23" fillId="42" borderId="36" xfId="0" applyFont="1" applyFill="1" applyBorder="1" applyNumberFormat="1">
      <alignment horizontal="left" vertical="center" wrapText="1" indent="1"/>
    </xf>
    <xf numFmtId="49" fontId="40" fillId="42" borderId="26" xfId="0" applyFont="1" applyFill="1" applyBorder="1" applyNumberFormat="1">
      <alignment horizontal="left" vertical="center"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42" borderId="35" xfId="0" applyFont="1" applyFill="1" applyBorder="1" applyNumberFormat="1">
      <alignment horizontal="left" vertical="center" wrapText="1" indent="1"/>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49" fontId="19" fillId="34" borderId="18" xfId="0" applyFont="1" applyFill="1" applyBorder="1" applyNumberFormat="1">
      <alignment horizontal="left" vertical="top" wrapText="1"/>
      <protection locked="0"/>
    </xf>
    <xf numFmtId="0" fontId="19" fillId="42" borderId="24" xfId="0" applyFont="1" applyFill="1" applyBorder="1">
      <alignment vertical="center" wrapText="1"/>
    </xf>
    <xf numFmtId="0" fontId="87" fillId="36" borderId="91" xfId="0" applyFont="1" applyFill="1" applyBorder="1">
      <alignment horizontal="center" vertical="center"/>
    </xf>
    <xf numFmtId="0" fontId="87" fillId="0" borderId="91" xfId="0" applyFont="1" applyBorder="1">
      <alignment horizontal="center" vertical="center"/>
    </xf>
    <xf numFmtId="0" fontId="87" fillId="0" borderId="92" xfId="0" applyFont="1" applyBorder="1">
      <alignment horizontal="center" vertical="center"/>
    </xf>
    <xf numFmtId="0" fontId="87" fillId="36" borderId="93" xfId="0" applyFont="1" applyFill="1" applyBorder="1">
      <alignment horizontal="center" vertical="center"/>
    </xf>
    <xf numFmtId="0" fontId="87" fillId="36" borderId="94" xfId="0" applyFont="1" applyFill="1" applyBorder="1">
      <alignment horizontal="center" vertical="center"/>
    </xf>
    <xf numFmtId="0" fontId="87" fillId="30" borderId="95" xfId="0" applyFont="1" applyFill="1" applyBorder="1">
      <alignment horizontal="center" vertical="center"/>
    </xf>
    <xf numFmtId="0" fontId="87" fillId="58" borderId="96" xfId="0" applyFont="1" applyFill="1" applyBorder="1">
      <alignment horizontal="center" vertical="center"/>
    </xf>
    <xf numFmtId="0" fontId="88" fillId="0" borderId="96" xfId="0" applyFont="1" applyBorder="1">
      <alignment horizontal="center" vertical="center"/>
    </xf>
    <xf numFmtId="0" fontId="23" fillId="0" borderId="96" xfId="0" applyFont="1" applyBorder="1">
      <alignment horizontal="center" vertical="center"/>
    </xf>
    <xf numFmtId="0" fontId="23" fillId="0" borderId="97" xfId="0" applyFont="1" applyBorder="1">
      <alignment horizontal="center" vertical="center"/>
    </xf>
    <xf numFmtId="0" fontId="23" fillId="30" borderId="97" xfId="0" applyFont="1" applyFill="1" applyBorder="1">
      <alignment horizontal="center" vertical="center"/>
    </xf>
    <xf numFmtId="0" fontId="28" fillId="30" borderId="97" xfId="0" applyFont="1" applyFill="1" applyBorder="1">
      <alignment horizontal="center" vertical="center"/>
    </xf>
    <xf numFmtId="0" fontId="28" fillId="30" borderId="94" xfId="0" applyFont="1" applyFill="1" applyBorder="1">
      <alignment horizontal="center" vertical="center"/>
    </xf>
    <xf numFmtId="0" fontId="28" fillId="30" borderId="96" xfId="0" applyFont="1" applyFill="1" applyBorder="1">
      <alignment horizontal="center" vertical="center"/>
    </xf>
    <xf numFmtId="0" fontId="28" fillId="30" borderId="98" xfId="0" applyFont="1" applyFill="1" applyBorder="1">
      <alignment horizontal="center" vertical="center"/>
    </xf>
    <xf numFmtId="0" fontId="28" fillId="30" borderId="91" xfId="0" applyFont="1" applyFill="1" applyBorder="1">
      <alignment horizontal="center" vertical="center"/>
    </xf>
    <xf numFmtId="0" fontId="87" fillId="36" borderId="96" xfId="0" applyFont="1" applyFill="1" applyBorder="1">
      <alignment horizontal="center" vertical="center"/>
    </xf>
    <xf numFmtId="0" fontId="23" fillId="0" borderId="99" xfId="0" applyFont="1" applyBorder="1">
      <alignment horizontal="center" vertical="center"/>
    </xf>
    <xf numFmtId="0" fontId="23" fillId="0" borderId="98" xfId="0" applyFont="1" applyBorder="1">
      <alignment horizontal="center" vertical="center"/>
    </xf>
    <xf numFmtId="0" fontId="23" fillId="0" borderId="100" xfId="0" applyFont="1" applyBorder="1">
      <alignment horizontal="center" vertical="center"/>
    </xf>
    <xf numFmtId="0" fontId="89" fillId="36" borderId="96" xfId="0" applyFont="1" applyFill="1" applyBorder="1">
      <alignment horizontal="center" vertical="center"/>
    </xf>
    <xf numFmtId="0" fontId="89" fillId="0" borderId="97" xfId="0" applyFont="1" applyBorder="1">
      <alignment horizontal="center" vertical="center"/>
    </xf>
    <xf numFmtId="0" fontId="23" fillId="0" borderId="92" xfId="0" applyFont="1" applyBorder="1">
      <alignment horizontal="center" vertical="center"/>
    </xf>
    <xf numFmtId="0" fontId="90" fillId="0" borderId="0" xfId="0" applyFont="1">
      <alignment vertical="top"/>
    </xf>
    <xf numFmtId="0" fontId="28" fillId="39" borderId="98" xfId="0" applyFont="1" applyFill="1" applyBorder="1">
      <alignment horizontal="center" vertical="center"/>
    </xf>
    <xf numFmtId="0" fontId="28" fillId="39" borderId="91" xfId="0" applyFont="1" applyFill="1" applyBorder="1">
      <alignment horizontal="center" vertical="center"/>
    </xf>
    <xf numFmtId="0" fontId="28" fillId="39" borderId="96" xfId="0" applyFont="1" applyFill="1" applyBorder="1">
      <alignment horizontal="center" vertical="center"/>
    </xf>
    <xf numFmtId="0" fontId="87" fillId="36" borderId="101" xfId="0" applyFont="1" applyFill="1" applyBorder="1">
      <alignment horizontal="center" vertical="center"/>
    </xf>
    <xf numFmtId="0" fontId="91" fillId="36" borderId="91" xfId="0" applyFont="1" applyFill="1" applyBorder="1">
      <alignment horizontal="center" vertical="center"/>
    </xf>
    <xf numFmtId="0" fontId="91" fillId="36" borderId="92" xfId="0" applyFont="1" applyFill="1" applyBorder="1">
      <alignment horizontal="center" vertical="center"/>
    </xf>
    <xf numFmtId="0" fontId="92" fillId="36" borderId="92" xfId="0" applyFont="1" applyFill="1" applyBorder="1">
      <alignment horizontal="center" vertical="center"/>
    </xf>
    <xf numFmtId="0" fontId="93" fillId="36" borderId="92" xfId="0" applyFont="1" applyFill="1" applyBorder="1">
      <alignment horizontal="center" vertical="center"/>
    </xf>
    <xf numFmtId="0" fontId="87" fillId="58" borderId="92" xfId="0" applyFont="1" applyFill="1" applyBorder="1">
      <alignment horizontal="center" vertical="center"/>
    </xf>
    <xf numFmtId="0" fontId="87" fillId="58" borderId="94" xfId="0" applyFont="1" applyFill="1" applyBorder="1">
      <alignment vertical="center"/>
    </xf>
    <xf numFmtId="0" fontId="23" fillId="58" borderId="91" xfId="0" applyFont="1" applyFill="1" applyBorder="1">
      <alignment horizontal="center" vertical="center"/>
    </xf>
    <xf numFmtId="0" fontId="87" fillId="58" borderId="96" xfId="0" applyFont="1" applyFill="1" applyBorder="1">
      <alignment vertical="center"/>
    </xf>
    <xf numFmtId="0" fontId="87" fillId="58" borderId="97" xfId="0" applyFont="1" applyFill="1" applyBorder="1">
      <alignment vertical="center"/>
    </xf>
    <xf numFmtId="0" fontId="92" fillId="58" borderId="97" xfId="0" applyFont="1" applyFill="1" applyBorder="1">
      <alignment vertical="center"/>
    </xf>
    <xf numFmtId="0" fontId="91" fillId="58" borderId="99" xfId="0" applyFont="1" applyFill="1" applyBorder="1">
      <alignment vertical="center"/>
    </xf>
    <xf numFmtId="0" fontId="92" fillId="58" borderId="97" xfId="0" applyFont="1" applyFill="1" applyBorder="1">
      <alignment vertical="center"/>
    </xf>
    <xf numFmtId="0" fontId="87" fillId="36" borderId="97" xfId="0" applyFont="1" applyFill="1" applyBorder="1">
      <alignment horizontal="center" vertical="center"/>
    </xf>
    <xf numFmtId="0" fontId="87" fillId="36" borderId="98" xfId="0" applyFont="1" applyFill="1" applyBorder="1">
      <alignment vertical="center"/>
    </xf>
    <xf numFmtId="0" fontId="23" fillId="36" borderId="96" xfId="0" applyFont="1" applyFill="1" applyBorder="1">
      <alignment horizontal="center" vertical="center"/>
    </xf>
    <xf numFmtId="0" fontId="87" fillId="36" borderId="96" xfId="0" applyFont="1" applyFill="1" applyBorder="1">
      <alignment vertical="center"/>
    </xf>
    <xf numFmtId="0" fontId="87" fillId="36" borderId="97" xfId="0" applyFont="1" applyFill="1" applyBorder="1">
      <alignment vertical="center"/>
    </xf>
    <xf numFmtId="0" fontId="93" fillId="36" borderId="97" xfId="0" applyFont="1" applyFill="1" applyBorder="1">
      <alignment vertical="center"/>
    </xf>
    <xf numFmtId="0" fontId="91" fillId="36" borderId="92" xfId="0" applyFont="1" applyFill="1" applyBorder="1">
      <alignment vertical="center"/>
    </xf>
    <xf numFmtId="0" fontId="93" fillId="36" borderId="97" xfId="0" applyFont="1" applyFill="1" applyBorder="1">
      <alignment vertical="center"/>
    </xf>
    <xf numFmtId="0" fontId="91" fillId="36" borderId="97" xfId="0" applyFont="1" applyFill="1" applyBorder="1">
      <alignment vertical="center"/>
    </xf>
    <xf numFmtId="0" fontId="91" fillId="36" borderId="96" xfId="0" applyFont="1" applyFill="1" applyBorder="1">
      <alignment horizontal="left" vertical="center"/>
    </xf>
    <xf numFmtId="0" fontId="91" fillId="36" borderId="102" xfId="0" applyFont="1" applyFill="1" applyBorder="1">
      <alignment vertical="center"/>
    </xf>
    <xf numFmtId="0" fontId="93" fillId="58" borderId="97" xfId="0" applyFont="1" applyFill="1" applyBorder="1">
      <alignment vertical="center"/>
    </xf>
    <xf numFmtId="0" fontId="87" fillId="58" borderId="92" xfId="0" applyFont="1" applyFill="1" applyBorder="1">
      <alignment vertical="center"/>
    </xf>
    <xf numFmtId="0" fontId="93" fillId="58" borderId="97" xfId="0" applyFont="1" applyFill="1" applyBorder="1">
      <alignment vertical="center"/>
    </xf>
    <xf numFmtId="0" fontId="87" fillId="36" borderId="102" xfId="0" applyFont="1" applyFill="1" applyBorder="1">
      <alignment horizontal="center" vertical="center"/>
    </xf>
    <xf numFmtId="0" fontId="87" fillId="36" borderId="99" xfId="0" applyFont="1" applyFill="1" applyBorder="1">
      <alignment horizontal="center" vertical="center"/>
    </xf>
    <xf numFmtId="0" fontId="87" fillId="36" borderId="0" xfId="0" applyFont="1" applyFill="1">
      <alignment vertical="center"/>
    </xf>
    <xf numFmtId="0" fontId="87" fillId="36" borderId="102" xfId="0" applyFont="1" applyFill="1" applyBorder="1">
      <alignment vertical="center"/>
    </xf>
    <xf numFmtId="0" fontId="87" fillId="36" borderId="99" xfId="0" applyFont="1" applyFill="1" applyBorder="1">
      <alignment vertical="center"/>
    </xf>
    <xf numFmtId="0" fontId="87" fillId="58" borderId="99" xfId="0" applyFont="1" applyFill="1" applyBorder="1">
      <alignment vertical="center"/>
    </xf>
    <xf numFmtId="0" fontId="93" fillId="36" borderId="99" xfId="0" applyFont="1" applyFill="1" applyBorder="1">
      <alignment vertical="center"/>
    </xf>
    <xf numFmtId="0" fontId="87" fillId="36" borderId="99" xfId="0" applyFont="1" applyFill="1" applyBorder="1">
      <alignment vertical="center"/>
    </xf>
    <xf numFmtId="0" fontId="93" fillId="36" borderId="99" xfId="0" applyFont="1" applyFill="1" applyBorder="1">
      <alignment vertical="center"/>
    </xf>
    <xf numFmtId="0" fontId="91" fillId="36" borderId="94" xfId="0" applyFont="1" applyFill="1" applyBorder="1">
      <alignment vertical="center"/>
    </xf>
    <xf numFmtId="0" fontId="91" fillId="36" borderId="94" xfId="0" applyFont="1" applyFill="1" applyBorder="1">
      <alignment horizontal="center" vertical="center"/>
    </xf>
    <xf numFmtId="0" fontId="91" fillId="36" borderId="91" xfId="0" applyFont="1" applyFill="1" applyBorder="1">
      <alignment vertical="center"/>
    </xf>
    <xf numFmtId="0" fontId="91" fillId="36" borderId="92" xfId="0" applyFont="1" applyFill="1" applyBorder="1">
      <alignment vertical="center"/>
    </xf>
    <xf numFmtId="0" fontId="94" fillId="58" borderId="94" xfId="0" applyFont="1" applyFill="1" applyBorder="1">
      <alignment vertical="center"/>
    </xf>
    <xf numFmtId="0" fontId="94" fillId="58" borderId="94" xfId="0" applyFont="1" applyFill="1" applyBorder="1">
      <alignment vertical="center"/>
    </xf>
    <xf numFmtId="0" fontId="24" fillId="0" borderId="0" xfId="0" applyFont="1">
      <alignment vertical="center"/>
    </xf>
    <xf numFmtId="49" fontId="19" fillId="34" borderId="17" xfId="0" applyFont="1" applyFill="1" applyBorder="1" applyNumberFormat="1">
      <alignment horizontal="left" vertical="center" wrapText="1"/>
      <protection locked="0"/>
    </xf>
    <xf numFmtId="49" fontId="19" fillId="34" borderId="17" xfId="80" applyFont="1" applyFill="1" applyBorder="1" applyNumberFormat="1">
      <alignment horizontal="left" vertical="center" wrapText="1"/>
      <protection locked="0"/>
    </xf>
    <xf numFmtId="0" fontId="24" fillId="4" borderId="0" xfId="0" applyFont="1" applyFill="1">
      <alignment horizontal="center" vertical="center"/>
    </xf>
    <xf numFmtId="0" fontId="19" fillId="0" borderId="46" xfId="0" applyFont="1" applyBorder="1">
      <alignment horizontal="center" vertical="center" wrapText="1"/>
    </xf>
    <xf numFmtId="0" fontId="19" fillId="0" borderId="28" xfId="0" applyFont="1" applyBorder="1">
      <alignment horizontal="center" vertical="center" wrapText="1"/>
    </xf>
    <xf numFmtId="0" fontId="24" fillId="0" borderId="51" xfId="0" applyFont="1" applyBorder="1"/>
    <xf numFmtId="0" fontId="19" fillId="0" borderId="39" xfId="0" applyFont="1" applyBorder="1">
      <alignment horizontal="center" vertical="center" wrapText="1"/>
    </xf>
    <xf numFmtId="4" fontId="19" fillId="35" borderId="28" xfId="0" applyFont="1" applyFill="1" applyBorder="1" applyNumberFormat="1">
      <alignment horizontal="right" vertical="center"/>
    </xf>
    <xf numFmtId="172" fontId="19" fillId="34" borderId="28" xfId="0" applyFont="1" applyFill="1" applyBorder="1" applyNumberFormat="1">
      <alignment horizontal="right" vertical="center"/>
    </xf>
    <xf numFmtId="4" fontId="19" fillId="34" borderId="28" xfId="0" applyFont="1" applyFill="1" applyBorder="1" applyNumberFormat="1">
      <alignment horizontal="right" vertical="center"/>
    </xf>
    <xf numFmtId="172" fontId="19" fillId="34" borderId="28" xfId="0" applyFont="1" applyFill="1" applyBorder="1" applyNumberFormat="1">
      <alignment horizontal="right" vertical="center"/>
    </xf>
    <xf numFmtId="0" fontId="35" fillId="0" borderId="51" xfId="0" applyFont="1" applyBorder="1">
      <alignment vertical="center"/>
    </xf>
    <xf numFmtId="0" fontId="35" fillId="0" borderId="0" xfId="0" applyFont="1">
      <alignment vertical="center"/>
    </xf>
    <xf numFmtId="172" fontId="19" fillId="34" borderId="39" xfId="0" applyFont="1" applyFill="1" applyBorder="1" applyNumberFormat="1">
      <alignment horizontal="right" vertical="center"/>
    </xf>
    <xf numFmtId="0" fontId="24" fillId="0" borderId="39" xfId="0" applyFont="1" applyBorder="1">
      <alignment horizontal="center" vertical="center" wrapText="1"/>
    </xf>
    <xf numFmtId="172" fontId="24" fillId="34" borderId="28" xfId="0" applyFont="1" applyFill="1" applyBorder="1" applyNumberFormat="1">
      <alignment horizontal="right" vertical="center"/>
    </xf>
    <xf numFmtId="4" fontId="24" fillId="34" borderId="28" xfId="0" applyFont="1" applyFill="1" applyBorder="1" applyNumberFormat="1">
      <alignment horizontal="right" vertical="center"/>
    </xf>
    <xf numFmtId="172" fontId="24" fillId="34" borderId="39" xfId="0" applyFont="1" applyFill="1" applyBorder="1" applyNumberFormat="1">
      <alignment horizontal="right" vertical="center"/>
    </xf>
    <xf numFmtId="0" fontId="51" fillId="0" borderId="0" xfId="0" applyFont="1">
      <alignment vertical="center"/>
    </xf>
    <xf numFmtId="4" fontId="19" fillId="35" borderId="28" xfId="0" applyFont="1" applyFill="1" applyBorder="1" applyNumberFormat="1">
      <alignment horizontal="right" vertical="center"/>
      <protection locked="0"/>
    </xf>
    <xf numFmtId="172" fontId="19" fillId="34" borderId="28" xfId="0" applyFont="1" applyFill="1" applyBorder="1" applyNumberFormat="1">
      <alignment horizontal="right" vertical="center"/>
      <protection locked="0"/>
    </xf>
    <xf numFmtId="4" fontId="19" fillId="34" borderId="28" xfId="0" applyFont="1" applyFill="1" applyBorder="1" applyNumberFormat="1">
      <alignment horizontal="right" vertical="center"/>
      <protection locked="0"/>
    </xf>
    <xf numFmtId="172" fontId="19" fillId="34" borderId="28" xfId="0" applyFont="1" applyFill="1" applyBorder="1" applyNumberFormat="1">
      <alignment horizontal="right" vertical="center"/>
      <protection locked="0"/>
    </xf>
    <xf numFmtId="172" fontId="19" fillId="36" borderId="28" xfId="0" applyFont="1" applyFill="1" applyBorder="1" applyNumberFormat="1">
      <alignment horizontal="righ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172" fontId="19" fillId="36" borderId="39" xfId="0" applyFont="1" applyFill="1" applyBorder="1" applyNumberFormat="1">
      <alignment horizontal="right" vertical="center"/>
    </xf>
    <xf numFmtId="0" fontId="51" fillId="0" borderId="0" xfId="0" applyFont="1">
      <alignment vertical="center"/>
    </xf>
    <xf numFmtId="172" fontId="24" fillId="36" borderId="28" xfId="0" applyFont="1" applyFill="1" applyBorder="1" applyNumberFormat="1">
      <alignment horizontal="right" vertical="center"/>
    </xf>
    <xf numFmtId="172" fontId="24" fillId="36" borderId="39" xfId="0" applyFont="1" applyFill="1" applyBorder="1" applyNumberFormat="1">
      <alignment horizontal="righ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19" fillId="0" borderId="28" xfId="0" applyFont="1" applyBorder="1">
      <alignment horizontal="center" vertical="center" wrapText="1"/>
    </xf>
    <xf numFmtId="49" fontId="19" fillId="34" borderId="28" xfId="0" applyFont="1" applyFill="1" applyBorder="1" applyNumberFormat="1">
      <alignment horizontal="left" vertical="center" wrapText="1"/>
    </xf>
    <xf numFmtId="0" fontId="24" fillId="42" borderId="26" xfId="0" applyFont="1" applyFill="1" applyBorder="1">
      <alignment vertical="center" wrapText="1"/>
    </xf>
    <xf numFmtId="0" fontId="24" fillId="42" borderId="32" xfId="0" applyFont="1" applyFill="1" applyBorder="1">
      <alignment vertical="center" wrapText="1"/>
    </xf>
    <xf numFmtId="0" fontId="24" fillId="0" borderId="28" xfId="0" applyFont="1" applyBorder="1">
      <alignment horizontal="center" vertical="center" wrapText="1"/>
    </xf>
    <xf numFmtId="0" fontId="24" fillId="0" borderId="39" xfId="0" applyFont="1" applyBorder="1">
      <alignment horizontal="center" vertical="center" wrapText="1"/>
    </xf>
    <xf numFmtId="0" fontId="24" fillId="0" borderId="28" xfId="0" applyFont="1" applyBorder="1">
      <alignment horizontal="center" vertical="center" wrapText="1"/>
    </xf>
    <xf numFmtId="0" fontId="52" fillId="0" borderId="0" xfId="0" applyFont="1">
      <alignment horizontal="center" vertical="top" wrapText="1"/>
    </xf>
    <xf numFmtId="49" fontId="19" fillId="35" borderId="18" xfId="0" applyFont="1" applyFill="1" applyBorder="1" applyNumberFormat="1">
      <alignment horizontal="left" vertical="center" wrapText="1"/>
    </xf>
    <xf numFmtId="49" fontId="19" fillId="35" borderId="36" xfId="0" applyFont="1" applyFill="1" applyBorder="1" applyNumberFormat="1">
      <alignment horizontal="left" vertical="center" wrapText="1"/>
    </xf>
    <xf numFmtId="49" fontId="24" fillId="4" borderId="0" xfId="0" applyFont="1" applyFill="1" applyNumberFormat="1"/>
    <xf numFmtId="0" fontId="24" fillId="0" borderId="45" xfId="0" applyFont="1" applyBorder="1">
      <alignment horizontal="center" vertical="center" wrapText="1"/>
    </xf>
    <xf numFmtId="4" fontId="24" fillId="34" borderId="46" xfId="0" applyFont="1" applyFill="1" applyBorder="1" applyNumberFormat="1">
      <alignment horizontal="right" vertical="center"/>
    </xf>
    <xf numFmtId="172" fontId="24" fillId="34" borderId="46" xfId="0" applyFont="1" applyFill="1" applyBorder="1" applyNumberFormat="1">
      <alignment horizontal="right" vertical="center"/>
    </xf>
    <xf numFmtId="172" fontId="24" fillId="34" borderId="45" xfId="0" applyFont="1" applyFill="1" applyBorder="1" applyNumberFormat="1">
      <alignment horizontal="right" vertical="center"/>
    </xf>
    <xf numFmtId="49" fontId="35" fillId="4" borderId="0" xfId="0" applyFont="1" applyFill="1" applyNumberFormat="1">
      <alignment vertical="center"/>
    </xf>
    <xf numFmtId="4" fontId="24" fillId="0" borderId="46" xfId="0" applyFont="1" applyBorder="1" applyNumberFormat="1">
      <alignment horizontal="right" vertical="center"/>
    </xf>
    <xf numFmtId="49" fontId="40" fillId="42" borderId="42" xfId="0" applyFont="1" applyFill="1" applyBorder="1" applyNumberFormat="1">
      <alignment horizontal="left" vertical="center" wrapText="1" indent="1"/>
    </xf>
    <xf numFmtId="4" fontId="24" fillId="42" borderId="47" xfId="0" applyFont="1" applyFill="1" applyBorder="1" applyNumberFormat="1">
      <alignment horizontal="right" vertical="center"/>
    </xf>
    <xf numFmtId="49" fontId="27" fillId="43" borderId="0" xfId="0" applyFont="1" applyFill="1" applyNumberFormat="1">
      <alignment vertical="top"/>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49" fontId="19" fillId="35" borderId="18" xfId="0" applyFont="1" applyFill="1" applyBorder="1" applyNumberFormat="1">
      <alignment horizontal="left" vertical="center" wrapText="1"/>
      <protection locked="0"/>
    </xf>
    <xf numFmtId="0" fontId="51" fillId="0" borderId="0" xfId="0" applyFont="1">
      <alignment vertical="center"/>
    </xf>
    <xf numFmtId="4" fontId="24" fillId="34" borderId="46" xfId="0" applyFont="1" applyFill="1" applyBorder="1" applyNumberFormat="1">
      <alignment horizontal="right" vertical="center"/>
      <protection locked="0"/>
    </xf>
    <xf numFmtId="172" fontId="24" fillId="34" borderId="46" xfId="0" applyFont="1" applyFill="1" applyBorder="1" applyNumberFormat="1">
      <alignment horizontal="right" vertical="center"/>
      <protection locked="0"/>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49" fontId="40" fillId="42" borderId="42" xfId="0" applyFont="1" applyFill="1" applyBorder="1" applyNumberFormat="1">
      <alignment horizontal="left" vertical="center" wrapText="1" indent="1"/>
    </xf>
    <xf numFmtId="4" fontId="24" fillId="42" borderId="47" xfId="0" applyFont="1" applyFill="1" applyBorder="1" applyNumberFormat="1">
      <alignment horizontal="right" vertical="center"/>
    </xf>
    <xf numFmtId="4" fontId="24" fillId="42" borderId="47" xfId="0" applyFont="1" applyFill="1" applyBorder="1" applyNumberFormat="1">
      <alignment horizontal="right" vertical="center"/>
    </xf>
    <xf numFmtId="4" fontId="24" fillId="42" borderId="47" xfId="0" applyFont="1" applyFill="1" applyBorder="1" applyNumberFormat="1">
      <alignment horizontal="right" vertical="center"/>
    </xf>
    <xf numFmtId="4" fontId="24" fillId="42" borderId="47" xfId="0" applyFont="1" applyFill="1" applyBorder="1" applyNumberFormat="1">
      <alignment horizontal="right" vertical="center"/>
    </xf>
    <xf numFmtId="4" fontId="24" fillId="42" borderId="47" xfId="0" applyFont="1" applyFill="1" applyBorder="1" applyNumberFormat="1">
      <alignment horizontal="right" vertical="center"/>
    </xf>
    <xf numFmtId="4" fontId="24" fillId="42" borderId="47" xfId="0" applyFont="1" applyFill="1" applyBorder="1" applyNumberFormat="1">
      <alignment horizontal="right" vertical="center"/>
    </xf>
    <xf numFmtId="4" fontId="24" fillId="42" borderId="47" xfId="0" applyFont="1" applyFill="1" applyBorder="1" applyNumberFormat="1">
      <alignment horizontal="right" vertical="center"/>
    </xf>
    <xf numFmtId="4" fontId="24" fillId="42" borderId="47" xfId="0" applyFont="1" applyFill="1" applyBorder="1" applyNumberFormat="1">
      <alignment horizontal="right" vertical="center"/>
    </xf>
    <xf numFmtId="4" fontId="24" fillId="42" borderId="47" xfId="0" applyFont="1" applyFill="1" applyBorder="1" applyNumberFormat="1">
      <alignment horizontal="righ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49" fontId="40" fillId="42" borderId="42" xfId="0" applyFont="1" applyFill="1" applyBorder="1" applyNumberFormat="1">
      <alignment horizontal="left" vertical="center" wrapText="1" indent="1"/>
    </xf>
    <xf numFmtId="4" fontId="24" fillId="42" borderId="47" xfId="0" applyFont="1" applyFill="1" applyBorder="1" applyNumberFormat="1">
      <alignment horizontal="right" vertical="center"/>
    </xf>
    <xf numFmtId="4" fontId="24" fillId="42" borderId="47" xfId="0" applyFont="1" applyFill="1" applyBorder="1" applyNumberFormat="1">
      <alignment horizontal="right" vertical="center"/>
    </xf>
    <xf numFmtId="4" fontId="24" fillId="42" borderId="47" xfId="0" applyFont="1" applyFill="1" applyBorder="1" applyNumberFormat="1">
      <alignment horizontal="right" vertical="center"/>
    </xf>
    <xf numFmtId="4" fontId="24" fillId="42" borderId="47" xfId="0" applyFont="1" applyFill="1" applyBorder="1" applyNumberFormat="1">
      <alignment horizontal="right" vertical="center"/>
    </xf>
    <xf numFmtId="4" fontId="24" fillId="42" borderId="47" xfId="0" applyFont="1" applyFill="1" applyBorder="1" applyNumberFormat="1">
      <alignment horizontal="right" vertical="center"/>
    </xf>
    <xf numFmtId="4" fontId="24" fillId="42" borderId="47" xfId="0" applyFont="1" applyFill="1" applyBorder="1" applyNumberFormat="1">
      <alignment horizontal="right" vertical="center"/>
    </xf>
    <xf numFmtId="4" fontId="24" fillId="42" borderId="47" xfId="0" applyFont="1" applyFill="1" applyBorder="1" applyNumberFormat="1">
      <alignment horizontal="right" vertical="center"/>
    </xf>
    <xf numFmtId="4" fontId="24" fillId="42" borderId="47" xfId="0" applyFont="1" applyFill="1" applyBorder="1" applyNumberFormat="1">
      <alignment horizontal="right" vertical="center"/>
    </xf>
    <xf numFmtId="4" fontId="24" fillId="42" borderId="47" xfId="0" applyFont="1" applyFill="1" applyBorder="1" applyNumberFormat="1">
      <alignment horizontal="righ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49" fontId="40" fillId="42" borderId="42" xfId="0" applyFont="1" applyFill="1" applyBorder="1" applyNumberFormat="1">
      <alignment horizontal="left" vertical="center" wrapText="1" indent="1"/>
    </xf>
    <xf numFmtId="4" fontId="24" fillId="42" borderId="47" xfId="0" applyFont="1" applyFill="1" applyBorder="1" applyNumberFormat="1">
      <alignment horizontal="right" vertical="center"/>
    </xf>
    <xf numFmtId="4" fontId="24" fillId="42" borderId="47" xfId="0" applyFont="1" applyFill="1" applyBorder="1" applyNumberFormat="1">
      <alignment horizontal="right" vertical="center"/>
    </xf>
    <xf numFmtId="4" fontId="24" fillId="42" borderId="47" xfId="0" applyFont="1" applyFill="1" applyBorder="1" applyNumberFormat="1">
      <alignment horizontal="right" vertical="center"/>
    </xf>
    <xf numFmtId="4" fontId="24" fillId="42" borderId="47" xfId="0" applyFont="1" applyFill="1" applyBorder="1" applyNumberFormat="1">
      <alignment horizontal="right" vertical="center"/>
    </xf>
    <xf numFmtId="4" fontId="24" fillId="42" borderId="47" xfId="0" applyFont="1" applyFill="1" applyBorder="1" applyNumberFormat="1">
      <alignment horizontal="right" vertical="center"/>
    </xf>
    <xf numFmtId="4" fontId="24" fillId="42" borderId="47" xfId="0" applyFont="1" applyFill="1" applyBorder="1" applyNumberFormat="1">
      <alignment horizontal="right" vertical="center"/>
    </xf>
    <xf numFmtId="4" fontId="24" fillId="42" borderId="47" xfId="0" applyFont="1" applyFill="1" applyBorder="1" applyNumberFormat="1">
      <alignment horizontal="right" vertical="center"/>
    </xf>
    <xf numFmtId="4" fontId="24" fillId="42" borderId="47" xfId="0" applyFont="1" applyFill="1" applyBorder="1" applyNumberFormat="1">
      <alignment horizontal="right" vertical="center"/>
    </xf>
    <xf numFmtId="4" fontId="24" fillId="42" borderId="47" xfId="0" applyFont="1" applyFill="1" applyBorder="1" applyNumberFormat="1">
      <alignment horizontal="right" vertical="center"/>
    </xf>
    <xf numFmtId="49" fontId="19" fillId="34" borderId="33" xfId="0" applyFont="1" applyFill="1" applyBorder="1" applyNumberFormat="1">
      <alignment horizontal="left" vertical="center" wrapText="1"/>
    </xf>
    <xf numFmtId="49" fontId="19" fillId="34" borderId="28" xfId="0" applyFont="1" applyFill="1" applyBorder="1" applyNumberFormat="1">
      <alignment horizontal="left" vertical="center" wrapText="1"/>
      <protection locked="0"/>
    </xf>
    <xf numFmtId="49" fontId="19" fillId="34" borderId="33" xfId="0" applyFont="1" applyFill="1" applyBorder="1" applyNumberFormat="1">
      <alignment horizontal="left" vertical="center" wrapText="1"/>
      <protection locked="0"/>
    </xf>
    <xf numFmtId="0" fontId="24" fillId="42" borderId="27" xfId="0" applyFont="1" applyFill="1" applyBorder="1">
      <alignment vertical="center" wrapText="1"/>
    </xf>
    <xf numFmtId="0" fontId="19" fillId="0" borderId="0" xfId="0" applyFont="1">
      <alignment horizontal="left" vertical="center"/>
    </xf>
    <xf numFmtId="4" fontId="39" fillId="41" borderId="35" xfId="0" applyFont="1" applyFill="1" applyBorder="1" applyNumberFormat="1">
      <alignment horizontal="right" vertical="center" wrapText="1"/>
    </xf>
    <xf numFmtId="49" fontId="0" fillId="0" borderId="0" xfId="0" applyFont="1" applyNumberFormat="1">
      <alignment vertical="top"/>
    </xf>
    <xf numFmtId="0" fontId="23" fillId="0" borderId="19" xfId="0" applyFont="1" applyBorder="1">
      <alignment horizontal="center" vertical="center" wrapText="1" shrinkToFit="1"/>
    </xf>
    <xf numFmtId="49" fontId="23" fillId="0" borderId="19" xfId="0" applyFont="1" applyBorder="1" applyNumberFormat="1">
      <alignment horizontal="left" vertical="center" wrapText="1" shrinkToFit="1"/>
    </xf>
    <xf numFmtId="49" fontId="23" fillId="0" borderId="43" xfId="0" applyFont="1" applyBorder="1" applyNumberFormat="1">
      <alignment horizontal="center" vertical="center" wrapText="1" shrinkToFit="1"/>
    </xf>
    <xf numFmtId="4" fontId="24" fillId="33" borderId="18" xfId="0" applyFont="1" applyFill="1" applyBorder="1" applyNumberFormat="1">
      <alignment horizontal="right" vertical="center" wrapText="1"/>
    </xf>
    <xf numFmtId="0" fontId="19" fillId="0" borderId="19" xfId="0" applyFont="1" applyBorder="1">
      <alignment horizontal="center" vertical="center" wrapText="1" shrinkToFit="1"/>
    </xf>
    <xf numFmtId="49" fontId="19" fillId="0" borderId="19" xfId="0" applyFont="1" applyBorder="1" applyNumberFormat="1">
      <alignment horizontal="left" vertical="center" wrapText="1" shrinkToFit="1" indent="1"/>
    </xf>
    <xf numFmtId="49" fontId="19" fillId="0" borderId="43" xfId="0" applyFont="1" applyBorder="1" applyNumberFormat="1">
      <alignment horizontal="center" vertical="center" wrapText="1" shrinkToFit="1"/>
    </xf>
    <xf numFmtId="4" fontId="24" fillId="33" borderId="18" xfId="0" applyFont="1" applyFill="1" applyBorder="1" applyNumberFormat="1">
      <alignment horizontal="right" vertical="center" wrapText="1"/>
    </xf>
    <xf numFmtId="0" fontId="19" fillId="0" borderId="19" xfId="0" applyFont="1" applyBorder="1">
      <alignment horizontal="center" vertical="center" wrapText="1" shrinkToFit="1"/>
    </xf>
    <xf numFmtId="49" fontId="19" fillId="0" borderId="19" xfId="0" applyFont="1" applyBorder="1" applyNumberFormat="1">
      <alignment horizontal="left" vertical="center" wrapText="1" shrinkToFit="1" indent="2"/>
    </xf>
    <xf numFmtId="49" fontId="19" fillId="0" borderId="43" xfId="0" applyFont="1" applyBorder="1" applyNumberFormat="1">
      <alignment horizontal="center" vertical="center" wrapText="1" shrinkToFit="1"/>
    </xf>
    <xf numFmtId="4" fontId="24" fillId="34" borderId="18" xfId="0" applyFont="1" applyFill="1" applyBorder="1" applyNumberFormat="1">
      <alignment horizontal="right" vertical="center" wrapText="1"/>
    </xf>
    <xf numFmtId="49" fontId="19" fillId="0" borderId="19" xfId="0" applyFont="1" applyBorder="1" applyNumberFormat="1">
      <alignment horizontal="left" vertical="center" wrapText="1" shrinkToFit="1" indent="2"/>
    </xf>
    <xf numFmtId="49" fontId="19" fillId="0" borderId="19" xfId="0" applyFont="1" applyBorder="1" applyNumberFormat="1">
      <alignment horizontal="left" vertical="center" wrapText="1" shrinkToFit="1" indent="3"/>
    </xf>
    <xf numFmtId="49" fontId="19" fillId="0" borderId="19" xfId="0" applyFont="1" applyBorder="1" applyNumberFormat="1">
      <alignment horizontal="left" vertical="center" wrapText="1" shrinkToFit="1" indent="4"/>
    </xf>
    <xf numFmtId="49" fontId="19" fillId="0" borderId="19" xfId="0" applyFont="1" applyBorder="1" applyNumberFormat="1">
      <alignment horizontal="left" vertical="center" wrapText="1" shrinkToFit="1" indent="4"/>
    </xf>
    <xf numFmtId="49" fontId="19" fillId="0" borderId="19" xfId="0" applyFont="1" applyBorder="1" applyNumberFormat="1">
      <alignment horizontal="left" vertical="center" wrapText="1" shrinkToFit="1" indent="3"/>
    </xf>
    <xf numFmtId="49" fontId="19" fillId="0" borderId="19" xfId="0" applyFont="1" applyBorder="1" applyNumberFormat="1">
      <alignment horizontal="left" vertical="center" wrapText="1" shrinkToFit="1" indent="1"/>
    </xf>
    <xf numFmtId="0" fontId="19" fillId="0" borderId="19" xfId="0" applyFont="1" applyBorder="1">
      <alignment horizontal="center" vertical="center" wrapText="1" shrinkToFit="1"/>
    </xf>
    <xf numFmtId="49" fontId="19" fillId="0" borderId="19" xfId="0" applyFont="1" applyBorder="1" applyNumberFormat="1">
      <alignment horizontal="left" vertical="center" wrapText="1" shrinkToFit="1" indent="3"/>
    </xf>
    <xf numFmtId="49" fontId="19" fillId="0" borderId="43" xfId="0" applyFont="1" applyBorder="1" applyNumberFormat="1">
      <alignment horizontal="center" vertical="center" wrapText="1" shrinkToFit="1"/>
    </xf>
    <xf numFmtId="49" fontId="19" fillId="0" borderId="19" xfId="0" applyFont="1" applyBorder="1" applyNumberFormat="1">
      <alignment horizontal="left" vertical="center" wrapText="1" shrinkToFit="1" indent="1"/>
    </xf>
    <xf numFmtId="49" fontId="19" fillId="0" borderId="0" xfId="0" applyFont="1" applyNumberFormat="1"/>
    <xf numFmtId="0" fontId="52" fillId="0" borderId="0" xfId="0" applyFont="1">
      <alignment horizontal="center" vertical="center" wrapText="1"/>
    </xf>
    <xf numFmtId="49" fontId="19" fillId="35" borderId="19" xfId="0" applyFont="1" applyFill="1" applyBorder="1" applyNumberFormat="1">
      <alignment horizontal="left" vertical="center" wrapText="1" shrinkToFit="1" indent="1"/>
    </xf>
    <xf numFmtId="4" fontId="24" fillId="34" borderId="18" xfId="0" applyFont="1" applyFill="1" applyBorder="1" applyNumberFormat="1">
      <alignment horizontal="right" vertical="center" wrapText="1"/>
    </xf>
    <xf numFmtId="0" fontId="19" fillId="43" borderId="0" xfId="0" applyFont="1" applyFill="1">
      <alignment vertical="top"/>
    </xf>
    <xf numFmtId="0" fontId="19" fillId="0" borderId="0" xfId="0" applyFont="1">
      <alignment vertical="top" wrapText="1"/>
    </xf>
    <xf numFmtId="0" fontId="19" fillId="42" borderId="43" xfId="0" applyFont="1" applyFill="1" applyBorder="1">
      <alignment horizontal="center" vertical="center" wrapText="1" shrinkToFit="1"/>
    </xf>
    <xf numFmtId="49" fontId="40" fillId="42" borderId="38" xfId="0" applyFont="1" applyFill="1" applyBorder="1" applyNumberFormat="1">
      <alignment horizontal="left" vertical="center" indent="2"/>
    </xf>
    <xf numFmtId="49" fontId="19" fillId="42" borderId="44" xfId="0" applyFont="1" applyFill="1" applyBorder="1" applyNumberFormat="1">
      <alignment horizontal="center" vertical="center" wrapText="1" shrinkToFit="1"/>
    </xf>
    <xf numFmtId="4" fontId="24" fillId="42" borderId="35" xfId="0" applyFont="1" applyFill="1" applyBorder="1" applyNumberFormat="1">
      <alignment horizontal="right" vertical="center" wrapText="1"/>
    </xf>
    <xf numFmtId="0" fontId="23" fillId="0" borderId="19" xfId="0" applyFont="1" applyBorder="1">
      <alignment horizontal="center" vertical="center" wrapText="1" shrinkToFit="1"/>
    </xf>
    <xf numFmtId="49" fontId="23" fillId="0" borderId="19" xfId="0" applyFont="1" applyBorder="1" applyNumberFormat="1">
      <alignment horizontal="left" vertical="center" wrapText="1" shrinkToFit="1"/>
    </xf>
    <xf numFmtId="49" fontId="23" fillId="0" borderId="43" xfId="0" applyFont="1" applyBorder="1" applyNumberFormat="1">
      <alignment horizontal="center" vertical="center" wrapText="1" shrinkToFit="1"/>
    </xf>
    <xf numFmtId="0" fontId="31" fillId="0" borderId="0" xfId="0" applyFont="1">
      <alignment horizontal="left"/>
    </xf>
    <xf numFmtId="0" fontId="19" fillId="0" borderId="0" xfId="0" applyFont="1">
      <alignment horizontal="left" vertical="center"/>
    </xf>
    <xf numFmtId="49" fontId="23" fillId="0" borderId="19" xfId="0" applyFont="1" applyBorder="1" applyNumberFormat="1">
      <alignment horizontal="left" vertical="center" wrapText="1" shrinkToFit="1" indent="2"/>
    </xf>
    <xf numFmtId="0" fontId="19" fillId="43" borderId="0" xfId="0" applyFont="1" applyFill="1">
      <alignment vertical="top"/>
    </xf>
    <xf numFmtId="4" fontId="24" fillId="34" borderId="18" xfId="0" applyFont="1" applyFill="1" applyBorder="1" applyNumberFormat="1">
      <alignment horizontal="right" vertical="center" wrapText="1"/>
    </xf>
    <xf numFmtId="0" fontId="19" fillId="0" borderId="19" xfId="0" applyFont="1" applyBorder="1">
      <alignment horizontal="left" vertical="center" wrapText="1" shrinkToFit="1" indent="1"/>
    </xf>
    <xf numFmtId="49" fontId="40" fillId="42" borderId="38" xfId="0" applyFont="1" applyFill="1" applyBorder="1" applyNumberFormat="1">
      <alignment horizontal="left" vertical="center" indent="2"/>
    </xf>
    <xf numFmtId="4" fontId="42" fillId="34" borderId="18" xfId="0" applyFont="1" applyFill="1" applyBorder="1" applyNumberFormat="1">
      <alignment horizontal="right" vertical="center" wrapText="1"/>
    </xf>
    <xf numFmtId="4" fontId="24" fillId="34" borderId="18" xfId="0" applyFont="1" applyFill="1" applyBorder="1" applyNumberFormat="1">
      <alignment horizontal="right" vertical="center" wrapText="1"/>
      <protection locked="0"/>
    </xf>
    <xf numFmtId="0" fontId="19" fillId="42" borderId="43" xfId="0" applyFont="1" applyFill="1" applyBorder="1">
      <alignment horizontal="center" vertical="center" wrapText="1" shrinkToFit="1"/>
    </xf>
    <xf numFmtId="49" fontId="40" fillId="42" borderId="38" xfId="0" applyFont="1" applyFill="1" applyBorder="1" applyNumberFormat="1">
      <alignment horizontal="left" vertical="center" indent="2"/>
    </xf>
    <xf numFmtId="49" fontId="19" fillId="42" borderId="44" xfId="0" applyFont="1" applyFill="1" applyBorder="1" applyNumberFormat="1">
      <alignment horizontal="center" vertical="center" wrapText="1" shrinkToFit="1"/>
    </xf>
    <xf numFmtId="4" fontId="24" fillId="42" borderId="35" xfId="0" applyFont="1" applyFill="1" applyBorder="1" applyNumberFormat="1">
      <alignment horizontal="right" vertical="center" wrapText="1"/>
    </xf>
    <xf numFmtId="4" fontId="24" fillId="34" borderId="18" xfId="0" applyFont="1" applyFill="1" applyBorder="1" applyNumberFormat="1">
      <alignment horizontal="right" vertical="center" wrapText="1"/>
      <protection locked="0"/>
    </xf>
    <xf numFmtId="0" fontId="19" fillId="42" borderId="43" xfId="0" applyFont="1" applyFill="1" applyBorder="1">
      <alignment horizontal="center" vertical="center" wrapText="1" shrinkToFit="1"/>
    </xf>
    <xf numFmtId="49" fontId="40" fillId="42" borderId="38" xfId="0" applyFont="1" applyFill="1" applyBorder="1" applyNumberFormat="1">
      <alignment horizontal="left" vertical="center" indent="2"/>
    </xf>
    <xf numFmtId="49" fontId="19" fillId="42" borderId="44" xfId="0" applyFont="1" applyFill="1" applyBorder="1" applyNumberFormat="1">
      <alignment horizontal="center" vertical="center" wrapText="1" shrinkToFit="1"/>
    </xf>
    <xf numFmtId="4" fontId="24" fillId="42" borderId="35" xfId="0" applyFont="1" applyFill="1" applyBorder="1" applyNumberFormat="1">
      <alignment horizontal="right" vertical="center" wrapText="1"/>
    </xf>
    <xf numFmtId="4" fontId="42" fillId="34" borderId="18" xfId="0" applyFont="1" applyFill="1" applyBorder="1" applyNumberFormat="1">
      <alignment horizontal="right" vertical="center" wrapText="1"/>
      <protection locked="0"/>
    </xf>
    <xf numFmtId="0" fontId="19" fillId="42" borderId="43" xfId="0" applyFont="1" applyFill="1" applyBorder="1">
      <alignment horizontal="center" vertical="center" wrapText="1" shrinkToFit="1"/>
    </xf>
    <xf numFmtId="49" fontId="40" fillId="42" borderId="38" xfId="0" applyFont="1" applyFill="1" applyBorder="1" applyNumberFormat="1">
      <alignment horizontal="left" vertical="center" indent="2"/>
    </xf>
    <xf numFmtId="49" fontId="19" fillId="42" borderId="44" xfId="0" applyFont="1" applyFill="1" applyBorder="1" applyNumberFormat="1">
      <alignment horizontal="center" vertical="center" wrapText="1" shrinkToFit="1"/>
    </xf>
    <xf numFmtId="4" fontId="24" fillId="42" borderId="35" xfId="0" applyFont="1" applyFill="1" applyBorder="1" applyNumberFormat="1">
      <alignment horizontal="right" vertical="center" wrapText="1"/>
    </xf>
    <xf numFmtId="0" fontId="19" fillId="42" borderId="43" xfId="0" applyFont="1" applyFill="1" applyBorder="1">
      <alignment horizontal="center" vertical="center" wrapText="1" shrinkToFit="1"/>
    </xf>
    <xf numFmtId="49" fontId="40" fillId="42" borderId="38" xfId="0" applyFont="1" applyFill="1" applyBorder="1" applyNumberFormat="1">
      <alignment horizontal="left" vertical="center" indent="2"/>
    </xf>
    <xf numFmtId="49" fontId="19" fillId="42" borderId="44" xfId="0" applyFont="1" applyFill="1" applyBorder="1" applyNumberFormat="1">
      <alignment horizontal="center" vertical="center" wrapText="1" shrinkToFit="1"/>
    </xf>
    <xf numFmtId="4" fontId="24" fillId="42" borderId="35" xfId="0" applyFont="1" applyFill="1" applyBorder="1" applyNumberFormat="1">
      <alignment horizontal="right" vertical="center" wrapText="1"/>
    </xf>
    <xf numFmtId="0" fontId="19" fillId="42" borderId="43" xfId="0" applyFont="1" applyFill="1" applyBorder="1">
      <alignment horizontal="center" vertical="center" wrapText="1" shrinkToFit="1"/>
    </xf>
    <xf numFmtId="49" fontId="40" fillId="42" borderId="38" xfId="0" applyFont="1" applyFill="1" applyBorder="1" applyNumberFormat="1">
      <alignment horizontal="left" vertical="center" indent="2"/>
    </xf>
    <xf numFmtId="49" fontId="19" fillId="42" borderId="44" xfId="0" applyFont="1" applyFill="1" applyBorder="1" applyNumberFormat="1">
      <alignment horizontal="center" vertical="center" wrapText="1" shrinkToFit="1"/>
    </xf>
    <xf numFmtId="4" fontId="24" fillId="42" borderId="35" xfId="0" applyFont="1" applyFill="1" applyBorder="1" applyNumberFormat="1">
      <alignment horizontal="right" vertical="center" wrapText="1"/>
    </xf>
    <xf numFmtId="0" fontId="19" fillId="42" borderId="43" xfId="0" applyFont="1" applyFill="1" applyBorder="1">
      <alignment horizontal="center" vertical="center" wrapText="1" shrinkToFit="1"/>
    </xf>
    <xf numFmtId="49" fontId="40" fillId="42" borderId="38" xfId="0" applyFont="1" applyFill="1" applyBorder="1" applyNumberFormat="1">
      <alignment horizontal="left" vertical="center" indent="2"/>
    </xf>
    <xf numFmtId="49" fontId="19" fillId="42" borderId="44" xfId="0" applyFont="1" applyFill="1" applyBorder="1" applyNumberFormat="1">
      <alignment horizontal="center" vertical="center" wrapText="1" shrinkToFit="1"/>
    </xf>
    <xf numFmtId="4" fontId="24" fillId="42" borderId="35" xfId="0" applyFont="1" applyFill="1" applyBorder="1" applyNumberFormat="1">
      <alignment horizontal="right" vertical="center" wrapText="1"/>
    </xf>
    <xf numFmtId="0" fontId="31" fillId="0" borderId="0" xfId="0" applyFont="1">
      <alignment horizontal="left" vertical="center"/>
    </xf>
    <xf numFmtId="0" fontId="24" fillId="43" borderId="0" xfId="0" applyFont="1" applyFill="1">
      <alignment vertical="center"/>
    </xf>
    <xf numFmtId="0" fontId="52" fillId="0" borderId="0" xfId="0" applyFont="1">
      <alignment horizontal="center" vertical="center" wrapText="1"/>
    </xf>
    <xf numFmtId="0" fontId="19" fillId="0" borderId="0" xfId="0" applyFont="1">
      <alignment vertical="top"/>
    </xf>
    <xf numFmtId="0" fontId="19" fillId="4" borderId="0" xfId="0" applyFont="1" applyFill="1">
      <alignment vertical="top"/>
    </xf>
    <xf numFmtId="0" fontId="19" fillId="43" borderId="0" xfId="0" applyFont="1" applyFill="1">
      <alignment vertical="top"/>
    </xf>
    <xf numFmtId="0" fontId="19" fillId="41" borderId="24" xfId="0" applyFont="1" applyFill="1" applyBorder="1">
      <alignment horizontal="left" vertical="center"/>
    </xf>
    <xf numFmtId="49" fontId="19" fillId="41" borderId="24" xfId="0" applyFont="1" applyFill="1" applyBorder="1" applyNumberFormat="1">
      <alignment horizontal="left" vertical="center" wrapText="1"/>
    </xf>
    <xf numFmtId="49" fontId="19" fillId="41" borderId="35" xfId="0" applyFont="1" applyFill="1" applyBorder="1" applyNumberFormat="1">
      <alignment horizontal="left" vertical="center" wrapText="1"/>
    </xf>
    <xf numFmtId="49" fontId="23" fillId="0" borderId="19" xfId="0" applyFont="1" applyBorder="1" applyNumberFormat="1">
      <alignment horizontal="left" vertical="center" wrapText="1"/>
    </xf>
    <xf numFmtId="4" fontId="19" fillId="0" borderId="0" xfId="0" applyFont="1" applyNumberFormat="1"/>
    <xf numFmtId="4" fontId="19" fillId="33" borderId="19" xfId="0" applyFont="1" applyFill="1" applyBorder="1" applyNumberFormat="1">
      <alignment horizontal="right" vertical="center" wrapText="1"/>
    </xf>
    <xf numFmtId="0" fontId="19" fillId="0" borderId="19" xfId="0" applyFont="1" applyBorder="1">
      <alignment horizontal="left" vertical="center" wrapText="1" shrinkToFit="1" indent="1"/>
    </xf>
    <xf numFmtId="0" fontId="19" fillId="0" borderId="19" xfId="0" applyFont="1" applyBorder="1">
      <alignment horizontal="left" vertical="center" wrapText="1" shrinkToFit="1" indent="2"/>
    </xf>
    <xf numFmtId="49" fontId="19" fillId="0" borderId="19" xfId="0" applyFont="1" applyBorder="1" applyNumberFormat="1">
      <alignment horizontal="left" vertical="center" wrapText="1" shrinkToFit="1"/>
    </xf>
    <xf numFmtId="172" fontId="19" fillId="33" borderId="19" xfId="0" applyFont="1" applyFill="1" applyBorder="1" applyNumberFormat="1">
      <alignment horizontal="right" vertical="center" wrapText="1"/>
    </xf>
    <xf numFmtId="49" fontId="19" fillId="0" borderId="19" xfId="0" applyFont="1" applyBorder="1" applyNumberFormat="1">
      <alignment horizontal="left" vertical="center" wrapText="1" shrinkToFit="1"/>
    </xf>
    <xf numFmtId="49" fontId="19" fillId="0" borderId="44" xfId="0" applyFont="1" applyBorder="1" applyNumberFormat="1">
      <alignment horizontal="left" vertical="center" wrapText="1" shrinkToFit="1" indent="1"/>
    </xf>
    <xf numFmtId="49" fontId="23" fillId="0" borderId="44" xfId="0" applyFont="1" applyBorder="1" applyNumberFormat="1">
      <alignment vertical="center" wrapText="1"/>
    </xf>
    <xf numFmtId="0" fontId="26" fillId="0" borderId="0" xfId="0" applyFont="1">
      <alignment vertical="center"/>
    </xf>
    <xf numFmtId="49" fontId="19" fillId="0" borderId="44" xfId="0" applyFont="1" applyBorder="1" applyNumberFormat="1">
      <alignment horizontal="left" vertical="center" wrapText="1" indent="1"/>
    </xf>
    <xf numFmtId="172" fontId="19" fillId="34" borderId="19" xfId="0" applyFont="1" applyFill="1" applyBorder="1" applyNumberFormat="1">
      <alignment horizontal="right" vertical="center" wrapText="1"/>
    </xf>
    <xf numFmtId="49" fontId="19" fillId="0" borderId="44" xfId="0" applyFont="1" applyBorder="1" applyNumberFormat="1">
      <alignment horizontal="left" vertical="center" wrapText="1" indent="1"/>
    </xf>
    <xf numFmtId="49" fontId="23" fillId="0" borderId="44" xfId="0" applyFont="1" applyBorder="1" applyNumberFormat="1">
      <alignment vertical="center" wrapText="1"/>
    </xf>
    <xf numFmtId="49" fontId="19" fillId="0" borderId="19" xfId="0" applyFont="1" applyBorder="1" applyNumberFormat="1">
      <alignment horizontal="left" vertical="center" wrapText="1" indent="1"/>
    </xf>
    <xf numFmtId="49" fontId="19" fillId="0" borderId="19" xfId="0" applyFont="1" applyBorder="1" applyNumberFormat="1">
      <alignment horizontal="left" vertical="center" wrapText="1" indent="1"/>
    </xf>
    <xf numFmtId="172" fontId="19" fillId="34" borderId="19" xfId="0" applyFont="1" applyFill="1" applyBorder="1" applyNumberFormat="1">
      <alignment horizontal="right" vertical="center" wrapText="1"/>
      <protection locked="0"/>
    </xf>
    <xf numFmtId="0" fontId="24" fillId="43" borderId="0" xfId="0" applyFont="1" applyFill="1">
      <alignment vertical="center"/>
    </xf>
    <xf numFmtId="0" fontId="52" fillId="0" borderId="0" xfId="0" applyFont="1">
      <alignment horizontal="center" vertical="center" wrapText="1"/>
    </xf>
    <xf numFmtId="0" fontId="24" fillId="4" borderId="0" xfId="0" applyFont="1" applyFill="1">
      <alignment vertical="center"/>
    </xf>
  </cellXfs>
  <cellStyles count="110">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te" xfId="41" builtinId="10"/>
    <cellStyle name="Output" xfId="42" builtinId="21"/>
    <cellStyle name="Percent" xfId="43" builtinId="5"/>
    <cellStyle name="Title" xfId="44" builtinId="15"/>
    <cellStyle name="Total" xfId="45" builtinId="25"/>
    <cellStyle name="Warning Text" xfId="46" builtinId="11"/>
    <cellStyle name="Обычный 10 2" xfId="47"/>
    <cellStyle name="Обычный 10 3" xfId="48"/>
    <cellStyle name="Обычный 11 4 3 3 2 3 3" xfId="49"/>
    <cellStyle name="Обычный 11 4 3 3 2 3 3 2" xfId="49"/>
    <cellStyle name="Обычный 11 4 3 3 2 3 3 2 2" xfId="49"/>
    <cellStyle name="Обычный 11 4 3 3 2 3 3 3" xfId="49"/>
    <cellStyle name="Обычный 12 3 2 2 3" xfId="49"/>
    <cellStyle name="Обычный 12 3 2 2 3 2" xfId="49"/>
    <cellStyle name="Обычный 12 3 2 2 3 2 2" xfId="49"/>
    <cellStyle name="Обычный 12 3 2 2 3 2 2 2" xfId="49"/>
    <cellStyle name="Обычный 12 3 2 2 3 2 2 2 2" xfId="49"/>
    <cellStyle name="Обычный 12 3 2 2 3 2 2 3" xfId="49"/>
    <cellStyle name="Обычный 12 3 2 2 3 2 3" xfId="49"/>
    <cellStyle name="Обычный 12 3 2 2 3 3" xfId="49"/>
    <cellStyle name="Обычный 12 3 2 2 3 3 2" xfId="49"/>
    <cellStyle name="Обычный 12 3 2 2 3 4" xfId="49"/>
    <cellStyle name="Обычный 12 3 2 2 3 4 2" xfId="49"/>
    <cellStyle name="Обычный 12 3 2 2 3 5" xfId="49"/>
    <cellStyle name="Обычный 12 3 2 2 3 5 2" xfId="49"/>
    <cellStyle name="Обычный 12 3 2 2 3 6" xfId="49"/>
    <cellStyle name="Обычный 2" xfId="47"/>
    <cellStyle name="Обычный 2 15" xfId="49"/>
    <cellStyle name="Обычный 2 2" xfId="49"/>
    <cellStyle name="Обычный 3" xfId="49"/>
    <cellStyle name="Обычный 3 2" xfId="49"/>
    <cellStyle name="Обычный 3 2 2" xfId="49"/>
    <cellStyle name="Обычный 3 3" xfId="49"/>
    <cellStyle name="Обычный 4" xfId="48"/>
    <cellStyle name="Обычный 4 2" xfId="49"/>
    <cellStyle name="Обычный 4 2 2" xfId="49"/>
    <cellStyle name="Обычный 4 2 2 2" xfId="49"/>
    <cellStyle name="Обычный 4 2 3" xfId="49"/>
    <cellStyle name="Обычный_SIMPLE_1_massive2" xfId="50"/>
    <cellStyle name="s1" xfId="51"/>
    <cellStyle name="s2" xfId="52"/>
    <cellStyle name="s3" xfId="53"/>
    <cellStyle name="s4" xfId="54"/>
    <cellStyle name="s5" xfId="55"/>
    <cellStyle name="s6" xfId="56"/>
    <cellStyle name="s7" xfId="57"/>
    <cellStyle name="s8" xfId="58"/>
    <cellStyle name="s9" xfId="59"/>
    <cellStyle name="s10" xfId="60"/>
    <cellStyle name="s11" xfId="61"/>
    <cellStyle name="s12" xfId="62"/>
    <cellStyle name="s13" xfId="63"/>
    <cellStyle name="s14" xfId="64"/>
    <cellStyle name="s15" xfId="65"/>
    <cellStyle name="s16" xfId="66"/>
    <cellStyle name="s17" xfId="67"/>
    <cellStyle name="s18" xfId="68"/>
    <cellStyle name="s19" xfId="69"/>
    <cellStyle name="s20" xfId="70"/>
    <cellStyle name="s21" xfId="71"/>
    <cellStyle name="s22" xfId="72"/>
    <cellStyle name="s23" xfId="73"/>
    <cellStyle name="s24" xfId="74"/>
    <cellStyle name="s25" xfId="75"/>
    <cellStyle name="s26" xfId="76"/>
    <cellStyle name="s27" xfId="77"/>
    <cellStyle name="s28" xfId="78"/>
    <cellStyle name="s29" xfId="79"/>
    <cellStyle name="s30" xfId="8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sharedStrings" Target="sharedStrings.xml"/><Relationship Id="rId50" Type="http://schemas.openxmlformats.org/officeDocument/2006/relationships/theme" Target="theme/theme1.xml"/><Relationship Id="rId51" Type="http://schemas.openxmlformats.org/officeDocument/2006/relationships/sheetMetadata" Target="metadata.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https://support.tarif.gov.ru/" TargetMode="External"/></Relationships>
</file>

<file path=xl/worksheets/_rels/sheet5.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hyperlink" Target="mailto:julega@skek.ru" TargetMode="External"/></Relationships>
</file>

<file path=xl/worksheets/_rels/sheet30.xml.rels><?xml version="1.0" encoding="UTF-8" standalone="yes"?>
<Relationships xmlns="http://schemas.openxmlformats.org/package/2006/relationships"><Relationship Id="rId1" Type="http://schemas.openxmlformats.org/officeDocument/2006/relationships/hyperlink" Target="https://portal.eias.ru/Portal/DownloadPage.aspx?type=12&amp;guid=3fdcf7dc-e8d7-49aa-bd8e-a4f7b90d6211" TargetMode="External"/><Relationship Id="rId2" Type="http://schemas.openxmlformats.org/officeDocument/2006/relationships/hyperlink" Target="https://portal.eias.ru/Portal/DownloadPage.aspx?type=12&amp;guid=f0128cc7-8c43-4f62-97e2-53c4f8c4b9ea" TargetMode="External"/><Relationship Id="rId3" Type="http://schemas.openxmlformats.org/officeDocument/2006/relationships/hyperlink" Target="https://portal.eias.ru/Portal/DownloadPage.aspx?type=12&amp;guid=b4229ec8-bd54-4640-828f-3135aeaf6792" TargetMode="External"/><Relationship Id="rId4" Type="http://schemas.openxmlformats.org/officeDocument/2006/relationships/hyperlink" Target="https://portal.eias.ru/Portal/DownloadPage.aspx?type=12&amp;guid=ae30bbf5-8c92-4701-b4fe-b89ed03b62ce" TargetMode="External"/><Relationship Id="rId5" Type="http://schemas.openxmlformats.org/officeDocument/2006/relationships/hyperlink" Target="https://portal.eias.ru/Portal/DownloadPage.aspx?type=12&amp;guid=42995a97-2705-44ad-a164-12da8adae6ca" TargetMode="External"/><Relationship Id="rId6" Type="http://schemas.openxmlformats.org/officeDocument/2006/relationships/hyperlink" Target="https://portal.eias.ru/Portal/DownloadPage.aspx?type=12&amp;guid=dfd64719-69a0-423b-bfe2-30215cd8cc20" TargetMode="External"/><Relationship Id="rId7" Type="http://schemas.openxmlformats.org/officeDocument/2006/relationships/hyperlink" Target="https://portal.eias.ru/Portal/DownloadPage.aspx?type=12&amp;guid=dfd64719-69a0-423b-bfe2-30215cd8cc20" TargetMode="External"/><Relationship Id="rId8" Type="http://schemas.openxmlformats.org/officeDocument/2006/relationships/hyperlink" Target="https://data-platform.ru/lk/files/Files/imenod/bde7da69-c6f4-4333-8d60-b2ebaa302e42" TargetMode="External"/><Relationship Id="rId9" Type="http://schemas.openxmlformats.org/officeDocument/2006/relationships/hyperlink" Target="https://data-platform.ru/lk/files/Files/imenod/720ba66a-b069-4248-988a-e7a10dbef294" TargetMode="External"/><Relationship Id="rId10" Type="http://schemas.openxmlformats.org/officeDocument/2006/relationships/hyperlink" Target="https://data-platform.ru/lk/files/Files/imenod/c68f6cbf-8dfc-4319-b5fb-6b20617dbd59" TargetMode="External"/><Relationship Id="rId11" Type="http://schemas.openxmlformats.org/officeDocument/2006/relationships/hyperlink" Target="https://data-platform.ru/lk/files/Files/imenod/f7996a7d-388c-4cbe-beaf-ee090dfe8e32" TargetMode="External"/><Relationship Id="rId12" Type="http://schemas.openxmlformats.org/officeDocument/2006/relationships/hyperlink" Target="https://portal.eias.ru/Portal/DownloadPage.aspx?type=12&amp;guid=dcec55e9-cddd-425d-94a6-3033fd73456d" TargetMode="External"/><Relationship Id="rId13" Type="http://schemas.openxmlformats.org/officeDocument/2006/relationships/hyperlink" Target="https://data-platform.ru/lk/files/Files/imenod/8ecac87b-8c53-41ba-a855-266d929baf06" TargetMode="External"/><Relationship Id="rId14" Type="http://schemas.openxmlformats.org/officeDocument/2006/relationships/hyperlink" Target="https://data-platform.ru/lk/files/Files/imenod/611e2986-661b-43b2-b811-3668925e7196" TargetMode="External"/><Relationship Id="rId15" Type="http://schemas.openxmlformats.org/officeDocument/2006/relationships/hyperlink" Target="https://portal.eias.ru/Portal/DownloadPage.aspx?type=12&amp;guid=3fdcf7dc-e8d7-49aa-bd8e-a4f7b90d6211" TargetMode="External"/><Relationship Id="rId16" Type="http://schemas.openxmlformats.org/officeDocument/2006/relationships/hyperlink" Target="https://portal.eias.ru/Portal/DownloadPage.aspx?type=12&amp;guid=f0128cc7-8c43-4f62-97e2-53c4f8c4b9ea" TargetMode="External"/><Relationship Id="rId17" Type="http://schemas.openxmlformats.org/officeDocument/2006/relationships/hyperlink" Target="https://portal.eias.ru/Portal/DownloadPage.aspx?type=12&amp;guid=b4229ec8-bd54-4640-828f-3135aeaf6792" TargetMode="External"/><Relationship Id="rId18" Type="http://schemas.openxmlformats.org/officeDocument/2006/relationships/hyperlink" Target="https://portal.eias.ru/Portal/DownloadPage.aspx?type=12&amp;guid=ae30bbf5-8c92-4701-b4fe-b89ed03b62ce" TargetMode="External"/><Relationship Id="rId19" Type="http://schemas.openxmlformats.org/officeDocument/2006/relationships/hyperlink" Target="https://portal.eias.ru/Portal/DownloadPage.aspx?type=12&amp;guid=42995a97-2705-44ad-a164-12da8adae6ca" TargetMode="External"/><Relationship Id="rId20" Type="http://schemas.openxmlformats.org/officeDocument/2006/relationships/hyperlink" Target="https://portal.eias.ru/Portal/DownloadPage.aspx?type=12&amp;guid=dfd64719-69a0-423b-bfe2-30215cd8cc20" TargetMode="External"/><Relationship Id="rId21" Type="http://schemas.openxmlformats.org/officeDocument/2006/relationships/hyperlink" Target="https://data-platform.ru/lk/files/Files/imenod/b2aa25a8-528f-43a6-ad38-7e77888a123a" TargetMode="External"/><Relationship Id="rId22" Type="http://schemas.openxmlformats.org/officeDocument/2006/relationships/hyperlink" Target="https://data-platform.ru/lk/files/Files/imenod/720ba66a-b069-4248-988a-e7a10dbef294" TargetMode="External"/><Relationship Id="rId23" Type="http://schemas.openxmlformats.org/officeDocument/2006/relationships/hyperlink" Target="https://data-platform.ru/lk/files/Files/imenod/25285021-6235-4045-ad18-d87400fb8d59" TargetMode="External"/><Relationship Id="rId24" Type="http://schemas.openxmlformats.org/officeDocument/2006/relationships/hyperlink" Target="https://portal.eias.ru/Portal/DownloadPage.aspx?type=12&amp;guid=304a6c95-bd0e-4d42-b3df-778d2f2fe353" TargetMode="External"/><Relationship Id="rId25" Type="http://schemas.openxmlformats.org/officeDocument/2006/relationships/hyperlink" Target="https://data-platform.ru/lk/files/Files/imenod/37700cd4-a122-4747-927c-dbb23b3773bc" TargetMode="External"/><Relationship Id="rId26" Type="http://schemas.openxmlformats.org/officeDocument/2006/relationships/hyperlink" Target="https://data-platform.ru/lk/files/Files/imenod/611e2986-661b-43b2-b811-3668925e7196" TargetMode="External"/><Relationship Id="rId27" Type="http://schemas.openxmlformats.org/officeDocument/2006/relationships/hyperlink" Target="https://portal.eias.ru/Portal/DownloadPage.aspx?type=12&amp;guid=3fdcf7dc-e8d7-49aa-bd8e-a4f7b90d6211" TargetMode="External"/><Relationship Id="rId28" Type="http://schemas.openxmlformats.org/officeDocument/2006/relationships/hyperlink" Target="https://portal.eias.ru/Portal/DownloadPage.aspx?type=12&amp;guid=f0128cc7-8c43-4f62-97e2-53c4f8c4b9ea" TargetMode="External"/><Relationship Id="rId29" Type="http://schemas.openxmlformats.org/officeDocument/2006/relationships/hyperlink" Target="https://portal.eias.ru/Portal/DownloadPage.aspx?type=12&amp;guid=b4229ec8-bd54-4640-828f-3135aeaf6792" TargetMode="External"/><Relationship Id="rId30" Type="http://schemas.openxmlformats.org/officeDocument/2006/relationships/hyperlink" Target="https://portal.eias.ru/Portal/DownloadPage.aspx?type=12&amp;guid=ae30bbf5-8c92-4701-b4fe-b89ed03b62ce" TargetMode="External"/><Relationship Id="rId31" Type="http://schemas.openxmlformats.org/officeDocument/2006/relationships/hyperlink" Target="https://portal.eias.ru/Portal/DownloadPage.aspx?type=12&amp;guid=42995a97-2705-44ad-a164-12da8adae6ca" TargetMode="External"/><Relationship Id="rId32" Type="http://schemas.openxmlformats.org/officeDocument/2006/relationships/hyperlink" Target="https://portal.eias.ru/Portal/DownloadPage.aspx?type=12&amp;guid=dfd64719-69a0-423b-bfe2-30215cd8cc20" TargetMode="External"/><Relationship Id="rId33" Type="http://schemas.openxmlformats.org/officeDocument/2006/relationships/hyperlink" Target="https://portal.eias.ru/Portal/DownloadPage.aspx?type=12&amp;guid=dcec55e9-cddd-425d-94a6-3033fd73456d" TargetMode="External"/><Relationship Id="rId34" Type="http://schemas.openxmlformats.org/officeDocument/2006/relationships/hyperlink" Target="https://data-platform.ru/lk/files/Files/imenod/70a72f1c-132e-45f3-967e-cd217d980757" TargetMode="External"/><Relationship Id="rId35" Type="http://schemas.openxmlformats.org/officeDocument/2006/relationships/hyperlink" Target="https://data-platform.ru/lk/files/Files/imenod/7ae1a521-c05b-4904-97f2-f37fcc3f48d8" TargetMode="External"/><Relationship Id="rId36" Type="http://schemas.openxmlformats.org/officeDocument/2006/relationships/hyperlink" Target="https://portal.eias.ru/Portal/DownloadPage.aspx?type=12&amp;guid=fb897b10-2049-470a-b489-39b4d81ec330" TargetMode="External"/><Relationship Id="rId37" Type="http://schemas.openxmlformats.org/officeDocument/2006/relationships/hyperlink" Target="https://data-platform.ru/lk/files/Files/imenod/5aa2c8e6-a32d-4d12-9271-c8b7645c64db" TargetMode="External"/><Relationship Id="rId38" Type="http://schemas.openxmlformats.org/officeDocument/2006/relationships/hyperlink" Target="https://portal.eias.ru/Portal/DownloadPage.aspx?type=12&amp;guid=304a6c95-bd0e-4d42-b3df-778d2f2fe353" TargetMode="External"/><Relationship Id="rId39" Type="http://schemas.openxmlformats.org/officeDocument/2006/relationships/hyperlink" Target="https://data-platform.ru/lk/files/Files/imenod/49096bfd-e6ec-49e9-9ee5-fae1f2b34980" TargetMode="External"/><Relationship Id="rId40" Type="http://schemas.openxmlformats.org/officeDocument/2006/relationships/hyperlink" Target="https://data-platform.ru/lk/files/Files/imenod/611e2986-661b-43b2-b811-3668925e719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BAA4EC1-6FD8-B9BE-6121-9451B1751B38}" mc:Ignorable="x14ac xr xr2 xr3">
  <sheetPr>
    <tabColor theme="3" tint="-0.25"/>
  </sheetPr>
  <dimension ref="A1:C1"/>
  <sheetViews>
    <sheetView topLeftCell="A1" workbookViewId="0">
      <selection activeCell="A1" sqref="A1"/>
    </sheetView>
  </sheetViews>
  <sheetFormatPr customHeight="1" defaultRowHeight="11.25"/>
  <cols>
    <col min="1" max="1" style="1441" width="37.140625" customWidth="1"/>
    <col min="2" max="2" style="1441" width="25.7109375" customWidth="1"/>
    <col min="3" max="3" style="1441" width="64.57421875" customWidth="1"/>
  </cols>
  <sheetData>
    <row customHeight="1" ht="11.25">
      <c r="A1" s="1142" t="s">
        <v>0</v>
      </c>
      <c r="B1" s="995" t="s">
        <v>1</v>
      </c>
      <c r="C1" s="995" t="s">
        <v>2</v>
      </c>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5943891-C67E-0088-1358-78F4C863E86B}" mc:Ignorable="x14ac xr xr2 xr3">
  <dimension ref="A1:AA18"/>
  <sheetViews>
    <sheetView topLeftCell="A1" showGridLines="0" showRowColHeaders="0" workbookViewId="0">
      <selection activeCell="A1" sqref="A1"/>
    </sheetView>
  </sheetViews>
  <sheetFormatPr defaultColWidth="10.421875" customHeight="1" defaultRowHeight="12.600000000000001"/>
  <cols>
    <col min="1" max="1" style="1175" width="5.140625" customWidth="1"/>
    <col min="2" max="2" style="439" width="8.57421875" customWidth="1"/>
    <col min="3" max="3" style="1175" width="15.57421875" customWidth="1"/>
    <col min="4" max="25" style="1175" width="6.00390625" customWidth="1"/>
    <col min="26" max="27" style="1175" width="10.421875"/>
  </cols>
  <sheetData>
    <row customHeight="1" ht="15.75">
      <c r="A1" s="1143"/>
      <c r="B1" s="438"/>
      <c r="C1" s="1144"/>
      <c r="D1" s="1144"/>
      <c r="E1" s="1144"/>
      <c r="F1" s="1144"/>
      <c r="G1" s="1144"/>
      <c r="H1" s="1144"/>
      <c r="I1" s="1144"/>
      <c r="J1" s="1144"/>
      <c r="K1" s="1144"/>
      <c r="L1" s="1144"/>
      <c r="M1" s="1144"/>
      <c r="N1" s="1144"/>
      <c r="O1" s="1144"/>
      <c r="P1" s="1144"/>
      <c r="Q1" s="1144"/>
      <c r="R1" s="1144"/>
      <c r="S1" s="1144"/>
      <c r="T1" s="1144"/>
      <c r="U1" s="1144"/>
      <c r="V1" s="1144"/>
      <c r="W1" s="1144"/>
      <c r="X1" s="1144"/>
      <c r="Y1" s="1145"/>
      <c r="Z1" s="1144"/>
      <c r="AA1" s="1146" t="s">
        <v>3</v>
      </c>
    </row>
    <row s="439" customFormat="1" customHeight="1" ht="17.25">
      <c r="A2" s="1147"/>
      <c r="B2" s="1459" t="s">
        <v>4</v>
      </c>
      <c r="C2" s="1459"/>
      <c r="D2" s="1459"/>
      <c r="E2" s="1459"/>
      <c r="F2" s="1459"/>
      <c r="G2" s="1459"/>
      <c r="H2" s="1459"/>
      <c r="I2" s="1459"/>
      <c r="J2" s="1459"/>
      <c r="K2" s="1459"/>
      <c r="L2" s="1459"/>
      <c r="M2" s="1459"/>
      <c r="N2" s="1459"/>
      <c r="O2" s="1459"/>
      <c r="P2" s="1459"/>
      <c r="Q2" s="1148"/>
      <c r="R2" s="1148"/>
      <c r="S2" s="1148"/>
      <c r="T2" s="1148"/>
      <c r="U2" s="1148"/>
      <c r="V2" s="1149"/>
      <c r="W2" s="1148"/>
      <c r="X2" s="1148"/>
      <c r="Y2" s="1150"/>
      <c r="Z2" s="1147"/>
      <c r="AA2" s="1147"/>
    </row>
    <row customHeight="1" ht="15.75">
      <c r="A3" s="1144"/>
      <c r="B3" s="1460" t="s">
        <v>5</v>
      </c>
      <c r="C3" s="1461"/>
      <c r="D3" s="1461"/>
      <c r="E3" s="1461"/>
      <c r="F3" s="1461"/>
      <c r="G3" s="1461"/>
      <c r="H3" s="1461"/>
      <c r="I3" s="1461"/>
      <c r="J3" s="1461"/>
      <c r="K3" s="1461"/>
      <c r="L3" s="1461"/>
      <c r="M3" s="1461"/>
      <c r="N3" s="1461"/>
      <c r="O3" s="1461"/>
      <c r="P3" s="1461"/>
      <c r="Q3" s="1151"/>
      <c r="R3" s="1151"/>
      <c r="S3" s="1152"/>
      <c r="T3" s="1152"/>
      <c r="U3" s="1152"/>
      <c r="V3" s="1151"/>
      <c r="W3" s="1151"/>
      <c r="X3" s="1151"/>
      <c r="Y3" s="1151"/>
      <c r="Z3" s="1144"/>
      <c r="AA3" s="424"/>
    </row>
    <row customHeight="1" ht="16.5">
      <c r="A4" s="1144"/>
      <c r="B4" s="440"/>
      <c r="C4" s="1144"/>
      <c r="D4" s="1151"/>
      <c r="E4" s="1151"/>
      <c r="F4" s="1151"/>
      <c r="G4" s="1151"/>
      <c r="H4" s="1151"/>
      <c r="I4" s="1151"/>
      <c r="J4" s="1151"/>
      <c r="K4" s="1151"/>
      <c r="L4" s="1151"/>
      <c r="M4" s="1151"/>
      <c r="N4" s="1151"/>
      <c r="O4" s="1151"/>
      <c r="P4" s="1151"/>
      <c r="Q4" s="1151"/>
      <c r="R4" s="1151"/>
      <c r="S4" s="1151"/>
      <c r="T4" s="1151"/>
      <c r="U4" s="1151"/>
      <c r="V4" s="1151"/>
      <c r="W4" s="1151"/>
      <c r="X4" s="1151"/>
      <c r="Y4" s="1151"/>
      <c r="Z4" s="1144"/>
      <c r="AA4" s="424"/>
    </row>
    <row customHeight="1" ht="22.5">
      <c r="A5" s="1153"/>
      <c r="B5" s="1462"/>
      <c r="C5" s="1463"/>
      <c r="D5" s="1463"/>
      <c r="E5" s="1463"/>
      <c r="F5" s="1463"/>
      <c r="G5" s="1463"/>
      <c r="H5" s="1463"/>
      <c r="I5" s="1463"/>
      <c r="J5" s="1463"/>
      <c r="K5" s="1463"/>
      <c r="L5" s="1463"/>
      <c r="M5" s="1463"/>
      <c r="N5" s="1463"/>
      <c r="O5" s="1463"/>
      <c r="P5" s="1463"/>
      <c r="Q5" s="1463"/>
      <c r="R5" s="1463"/>
      <c r="S5" s="1463"/>
      <c r="T5" s="1463"/>
      <c r="U5" s="1463"/>
      <c r="V5" s="1463"/>
      <c r="W5" s="1463"/>
      <c r="X5" s="1463"/>
      <c r="Y5" s="1464"/>
      <c r="Z5" s="1153"/>
      <c r="AA5" s="424"/>
    </row>
    <row customHeight="1" ht="13.5">
      <c r="A6" s="1154"/>
      <c r="B6" s="1451" t="s">
        <v>6</v>
      </c>
      <c r="C6" s="1454"/>
      <c r="D6" s="1155"/>
      <c r="E6" s="1155"/>
      <c r="F6" s="1155"/>
      <c r="G6" s="1155"/>
      <c r="H6" s="1155"/>
      <c r="I6" s="1155"/>
      <c r="J6" s="1155"/>
      <c r="K6" s="1155"/>
      <c r="L6" s="1155"/>
      <c r="M6" s="1155"/>
      <c r="N6" s="1155"/>
      <c r="O6" s="1155"/>
      <c r="P6" s="1155"/>
      <c r="Q6" s="1155"/>
      <c r="R6" s="1155"/>
      <c r="S6" s="1155"/>
      <c r="T6" s="1155"/>
      <c r="U6" s="1155"/>
      <c r="V6" s="1155"/>
      <c r="W6" s="1155"/>
      <c r="X6" s="1155"/>
      <c r="Y6" s="1156"/>
      <c r="Z6" s="1157"/>
      <c r="AA6" s="1158"/>
    </row>
    <row customHeight="1" ht="13.5">
      <c r="A7" s="1154"/>
      <c r="B7" s="1451"/>
      <c r="C7" s="1454"/>
      <c r="D7" s="1155"/>
      <c r="E7" s="1155"/>
      <c r="F7" s="1159"/>
      <c r="G7" s="1159"/>
      <c r="H7" s="1159"/>
      <c r="I7" s="1159"/>
      <c r="J7" s="1159"/>
      <c r="K7" s="1159"/>
      <c r="L7" s="1159"/>
      <c r="M7" s="1159"/>
      <c r="N7" s="1159"/>
      <c r="O7" s="1155"/>
      <c r="P7" s="1159"/>
      <c r="Q7" s="1159"/>
      <c r="R7" s="1159"/>
      <c r="S7" s="1159"/>
      <c r="T7" s="1159"/>
      <c r="U7" s="1159"/>
      <c r="V7" s="1159"/>
      <c r="W7" s="1159"/>
      <c r="X7" s="1159"/>
      <c r="Y7" s="1156"/>
      <c r="Z7" s="1157"/>
      <c r="AA7" s="1158"/>
    </row>
    <row customHeight="1" ht="13.5">
      <c r="A8" s="1154"/>
      <c r="B8" s="1451"/>
      <c r="C8" s="1454"/>
      <c r="D8" s="1160"/>
      <c r="E8" s="1161" t="s">
        <v>7</v>
      </c>
      <c r="F8" s="1465" t="s">
        <v>8</v>
      </c>
      <c r="G8" s="1453"/>
      <c r="H8" s="1453"/>
      <c r="I8" s="1453"/>
      <c r="J8" s="1453"/>
      <c r="K8" s="1453"/>
      <c r="L8" s="1453"/>
      <c r="M8" s="1453"/>
      <c r="N8" s="1160"/>
      <c r="O8" s="1162" t="s">
        <v>7</v>
      </c>
      <c r="P8" s="1466" t="s">
        <v>9</v>
      </c>
      <c r="Q8" s="1467"/>
      <c r="R8" s="1467"/>
      <c r="S8" s="1467"/>
      <c r="T8" s="1467"/>
      <c r="U8" s="1467"/>
      <c r="V8" s="1467"/>
      <c r="W8" s="1467"/>
      <c r="X8" s="1467"/>
      <c r="Y8" s="1156"/>
      <c r="Z8" s="1157"/>
      <c r="AA8" s="1158"/>
    </row>
    <row customHeight="1" ht="13.5">
      <c r="A9" s="1154"/>
      <c r="B9" s="1451"/>
      <c r="C9" s="1454"/>
      <c r="D9" s="1160"/>
      <c r="E9" s="1163" t="s">
        <v>7</v>
      </c>
      <c r="F9" s="1465" t="s">
        <v>10</v>
      </c>
      <c r="G9" s="1453"/>
      <c r="H9" s="1453"/>
      <c r="I9" s="1453"/>
      <c r="J9" s="1453"/>
      <c r="K9" s="1453"/>
      <c r="L9" s="1453"/>
      <c r="M9" s="1453"/>
      <c r="N9" s="1160"/>
      <c r="O9" s="1164" t="s">
        <v>7</v>
      </c>
      <c r="P9" s="1466" t="s">
        <v>11</v>
      </c>
      <c r="Q9" s="1467"/>
      <c r="R9" s="1467"/>
      <c r="S9" s="1467"/>
      <c r="T9" s="1467"/>
      <c r="U9" s="1467"/>
      <c r="V9" s="1467"/>
      <c r="W9" s="1467"/>
      <c r="X9" s="1467"/>
      <c r="Y9" s="1156"/>
      <c r="Z9" s="1157"/>
      <c r="AA9" s="1158"/>
    </row>
    <row customHeight="1" ht="13.5">
      <c r="A10" s="1154"/>
      <c r="B10" s="1451"/>
      <c r="C10" s="1452"/>
      <c r="D10" s="1160"/>
      <c r="E10" s="1165" t="s">
        <v>7</v>
      </c>
      <c r="F10" s="1467" t="s">
        <v>12</v>
      </c>
      <c r="G10" s="1468"/>
      <c r="H10" s="1468"/>
      <c r="I10" s="1468"/>
      <c r="J10" s="1468"/>
      <c r="K10" s="1468"/>
      <c r="L10" s="1468"/>
      <c r="M10" s="1468"/>
      <c r="N10" s="1468"/>
      <c r="O10" s="1166" t="s">
        <v>7</v>
      </c>
      <c r="P10" s="1467" t="s">
        <v>13</v>
      </c>
      <c r="Q10" s="1468"/>
      <c r="R10" s="1468"/>
      <c r="S10" s="1468"/>
      <c r="T10" s="1468"/>
      <c r="U10" s="1468"/>
      <c r="V10" s="1468"/>
      <c r="W10" s="1468"/>
      <c r="X10" s="1468"/>
      <c r="Y10" s="1156"/>
      <c r="Z10" s="1157"/>
      <c r="AA10" s="1158"/>
    </row>
    <row customHeight="1" ht="30">
      <c r="A11" s="1154"/>
      <c r="B11" s="1451"/>
      <c r="C11" s="1452"/>
      <c r="D11" s="1167"/>
      <c r="E11" s="1168"/>
      <c r="F11" s="1159"/>
      <c r="G11" s="1159"/>
      <c r="H11" s="1159"/>
      <c r="I11" s="1159"/>
      <c r="J11" s="1159"/>
      <c r="K11" s="1159"/>
      <c r="L11" s="1159"/>
      <c r="M11" s="1159"/>
      <c r="N11" s="1159"/>
      <c r="O11" s="1168"/>
      <c r="P11" s="1159"/>
      <c r="Q11" s="1159"/>
      <c r="R11" s="1159"/>
      <c r="S11" s="1159"/>
      <c r="T11" s="1159"/>
      <c r="U11" s="1159"/>
      <c r="V11" s="1159"/>
      <c r="W11" s="1159"/>
      <c r="X11" s="1159"/>
      <c r="Y11" s="1156"/>
      <c r="Z11" s="1157"/>
      <c r="AA11" s="1158"/>
    </row>
    <row customHeight="1" ht="19.5">
      <c r="A12" s="1154"/>
      <c r="B12" s="1449" t="s">
        <v>14</v>
      </c>
      <c r="C12" s="1450"/>
      <c r="D12" s="1160"/>
      <c r="E12" s="1169"/>
      <c r="F12" s="1169"/>
      <c r="G12" s="1169"/>
      <c r="H12" s="1169"/>
      <c r="I12" s="1169"/>
      <c r="J12" s="1169"/>
      <c r="K12" s="1169"/>
      <c r="L12" s="1169"/>
      <c r="M12" s="1169"/>
      <c r="N12" s="1169"/>
      <c r="O12" s="1169"/>
      <c r="P12" s="1169"/>
      <c r="Q12" s="1169"/>
      <c r="R12" s="1169"/>
      <c r="S12" s="1169"/>
      <c r="T12" s="1169"/>
      <c r="U12" s="1169"/>
      <c r="V12" s="1169"/>
      <c r="W12" s="1169"/>
      <c r="X12" s="1169"/>
      <c r="Y12" s="1156"/>
      <c r="Z12" s="1157"/>
      <c r="AA12" s="1158"/>
    </row>
    <row customHeight="1" ht="37.5">
      <c r="B13" s="1451"/>
      <c r="C13" s="1452"/>
      <c r="D13" s="1170"/>
      <c r="E13" s="1453" t="s">
        <v>15</v>
      </c>
      <c r="F13" s="1453"/>
      <c r="G13" s="1453"/>
      <c r="H13" s="1453"/>
      <c r="I13" s="1453"/>
      <c r="J13" s="1453"/>
      <c r="K13" s="1453"/>
      <c r="L13" s="1453"/>
      <c r="M13" s="1453"/>
      <c r="N13" s="1453"/>
      <c r="O13" s="1453"/>
      <c r="P13" s="1453"/>
      <c r="Q13" s="1453"/>
      <c r="R13" s="1453"/>
      <c r="S13" s="1453"/>
      <c r="T13" s="1453"/>
      <c r="U13" s="1453"/>
      <c r="V13" s="1453"/>
      <c r="W13" s="1453"/>
      <c r="X13" s="1453"/>
      <c r="Y13" s="1156"/>
      <c r="Z13" s="1157"/>
    </row>
    <row customHeight="1" ht="37.5">
      <c r="A14" s="1154"/>
      <c r="B14" s="1451"/>
      <c r="C14" s="1452"/>
      <c r="D14" s="1170"/>
      <c r="E14" s="1639" t="s">
        <v>16</v>
      </c>
      <c r="F14" s="1453"/>
      <c r="G14" s="1453"/>
      <c r="H14" s="1453"/>
      <c r="I14" s="1453"/>
      <c r="J14" s="1453"/>
      <c r="K14" s="1453"/>
      <c r="L14" s="1453"/>
      <c r="M14" s="1453"/>
      <c r="N14" s="1453"/>
      <c r="O14" s="1453"/>
      <c r="P14" s="1453"/>
      <c r="Q14" s="1453"/>
      <c r="R14" s="1453"/>
      <c r="S14" s="1453"/>
      <c r="T14" s="1453"/>
      <c r="U14" s="1453"/>
      <c r="V14" s="1453"/>
      <c r="W14" s="1453"/>
      <c r="X14" s="1453"/>
      <c r="Y14" s="1156"/>
      <c r="Z14" s="1157"/>
      <c r="AA14" s="1158"/>
    </row>
    <row customHeight="1" ht="13.5">
      <c r="A15" s="1154"/>
      <c r="B15" s="1449" t="s">
        <v>17</v>
      </c>
      <c r="C15" s="1450"/>
      <c r="D15" s="1155"/>
      <c r="E15" s="1169"/>
      <c r="F15" s="1169"/>
      <c r="G15" s="1169"/>
      <c r="H15" s="1169"/>
      <c r="I15" s="1169"/>
      <c r="J15" s="1169"/>
      <c r="K15" s="1169"/>
      <c r="L15" s="1169"/>
      <c r="M15" s="1169"/>
      <c r="N15" s="1169"/>
      <c r="O15" s="1169"/>
      <c r="P15" s="1169"/>
      <c r="Q15" s="1169"/>
      <c r="R15" s="1169"/>
      <c r="S15" s="1169"/>
      <c r="T15" s="1169"/>
      <c r="U15" s="1169"/>
      <c r="V15" s="1169"/>
      <c r="W15" s="1169"/>
      <c r="X15" s="1169"/>
      <c r="Y15" s="1156"/>
      <c r="Z15" s="1157"/>
      <c r="AA15" s="1158"/>
    </row>
    <row customHeight="1" ht="65.25">
      <c r="A16" s="1154"/>
      <c r="B16" s="1451"/>
      <c r="C16" s="1454"/>
      <c r="D16" s="1160"/>
      <c r="E16" s="1457" t="s">
        <v>18</v>
      </c>
      <c r="F16" s="1457"/>
      <c r="G16" s="1457"/>
      <c r="H16" s="1457"/>
      <c r="I16" s="1457"/>
      <c r="J16" s="1457"/>
      <c r="K16" s="1457"/>
      <c r="L16" s="1457"/>
      <c r="M16" s="1457"/>
      <c r="N16" s="1457"/>
      <c r="O16" s="1457"/>
      <c r="P16" s="1457"/>
      <c r="Q16" s="1457"/>
      <c r="R16" s="1457"/>
      <c r="S16" s="1457"/>
      <c r="T16" s="1457"/>
      <c r="U16" s="1457"/>
      <c r="V16" s="1457"/>
      <c r="W16" s="1457"/>
      <c r="X16" s="1457"/>
      <c r="Y16" s="1156"/>
      <c r="Z16" s="1157"/>
      <c r="AA16" s="1158"/>
    </row>
    <row customHeight="1" ht="16.5">
      <c r="A17" s="1154"/>
      <c r="B17" s="1455"/>
      <c r="C17" s="1456"/>
      <c r="D17" s="1171"/>
      <c r="E17" s="1172"/>
      <c r="F17" s="1172"/>
      <c r="G17" s="1172"/>
      <c r="H17" s="1172"/>
      <c r="I17" s="1172"/>
      <c r="J17" s="1172"/>
      <c r="K17" s="1172"/>
      <c r="L17" s="1172"/>
      <c r="M17" s="1172"/>
      <c r="N17" s="1172"/>
      <c r="O17" s="1172"/>
      <c r="P17" s="1172"/>
      <c r="Q17" s="1172"/>
      <c r="R17" s="1172"/>
      <c r="S17" s="1172"/>
      <c r="T17" s="1172"/>
      <c r="U17" s="1172"/>
      <c r="V17" s="1172"/>
      <c r="W17" s="1172"/>
      <c r="X17" s="1172"/>
      <c r="Y17" s="1173"/>
      <c r="Z17" s="1157"/>
      <c r="AA17" s="1174"/>
    </row>
    <row customHeight="1" ht="95.25">
      <c r="A18" s="1144"/>
      <c r="B18" s="1457"/>
      <c r="C18" s="1458"/>
      <c r="D18" s="1458"/>
      <c r="E18" s="1458"/>
      <c r="F18" s="1458"/>
      <c r="G18" s="1458"/>
      <c r="H18" s="1458"/>
      <c r="I18" s="1458"/>
      <c r="J18" s="1458"/>
      <c r="K18" s="1458"/>
      <c r="L18" s="1458"/>
      <c r="M18" s="1458"/>
      <c r="N18" s="1458"/>
      <c r="O18" s="1458"/>
      <c r="P18" s="1458"/>
      <c r="Q18" s="1458"/>
      <c r="R18" s="1458"/>
      <c r="S18" s="1458"/>
      <c r="T18" s="1458"/>
      <c r="U18" s="1458"/>
      <c r="V18" s="1458"/>
      <c r="W18" s="1458"/>
      <c r="X18" s="1458"/>
      <c r="Y18" s="1458"/>
      <c r="Z18" s="1144"/>
      <c r="AA18" s="424"/>
    </row>
  </sheetData>
  <sheetProtection insertRows="0" deleteColumns="0" deleteRows="0" sort="0" autoFilter="0" insertColumns="1"/>
  <mergeCells count="16">
    <mergeCell ref="B2:P2"/>
    <mergeCell ref="B3:P3"/>
    <mergeCell ref="B5:Y5"/>
    <mergeCell ref="B6:C11"/>
    <mergeCell ref="F8:M8"/>
    <mergeCell ref="P8:X8"/>
    <mergeCell ref="F9:M9"/>
    <mergeCell ref="P9:X9"/>
    <mergeCell ref="F10:N10"/>
    <mergeCell ref="P10:X10"/>
    <mergeCell ref="B12:C14"/>
    <mergeCell ref="E14:X14"/>
    <mergeCell ref="B15:C17"/>
    <mergeCell ref="E16:X16"/>
    <mergeCell ref="B18:Y18"/>
    <mergeCell ref="E13:X13"/>
  </mergeCells>
  <hyperlinks>
    <hyperlink ref="E14:X14" r:id="rId1" tooltip="Перейти на портал поддержки" xr:uid="{160085AA-291A-5CC2-1B98-B9FD62853A2E}"/>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3D99F1F-4A74-CA38-CE18-652C6DAC7F4C}" mc:Ignorable="x14ac xr xr2 xr3">
  <sheetPr>
    <tabColor theme="6" tint="0.4"/>
  </sheetPr>
  <dimension ref="A1:AE27"/>
  <sheetViews>
    <sheetView topLeftCell="AA21" showGridLines="0" workbookViewId="0">
      <selection activeCell="AA21" sqref="AA21"/>
    </sheetView>
  </sheetViews>
  <sheetFormatPr defaultColWidth="9.140625" customHeight="1" defaultRowHeight="11.25"/>
  <cols>
    <col min="1" max="1" style="1331" width="3.57421875" hidden="1" customWidth="1"/>
    <col min="2" max="2" style="1223" width="8.57421875" hidden="1" customWidth="1"/>
    <col min="3" max="4" style="1331" width="3.57421875" hidden="1" customWidth="1"/>
    <col min="5" max="5" style="1182" width="3.57421875" hidden="1" customWidth="1"/>
    <col min="6" max="26" style="1331" width="3.57421875" hidden="1" customWidth="1"/>
    <col min="27" max="27" style="1331" width="3.7109375" customWidth="1"/>
    <col min="28" max="28" style="1331" width="6.140625" customWidth="1"/>
    <col min="29" max="29" style="1331" width="20.7109375" customWidth="1"/>
    <col min="30" max="30" style="1331" width="92.57421875" customWidth="1"/>
    <col min="31" max="31" style="1331" width="9.140625"/>
  </cols>
  <sheetData>
    <row customHeight="1" ht="11.25" hidden="1">
      <c r="E1" s="118"/>
    </row>
    <row s="1223" customFormat="1" customHeight="1" ht="11.25" hidden="1">
      <c r="B2" s="448" t="s">
        <v>19</v>
      </c>
    </row>
    <row customHeight="1" ht="11.25" hidden="1">
      <c r="E3" s="118"/>
    </row>
    <row customHeight="1" ht="11.25" hidden="1">
      <c r="E4" s="118"/>
    </row>
    <row s="1182" customFormat="1" customHeight="1" ht="11.25" hidden="1">
      <c r="A5" s="118"/>
      <c r="B5" s="430"/>
      <c r="C5" s="118"/>
      <c r="D5" s="118"/>
      <c r="E5" s="622" t="s">
        <v>20</v>
      </c>
    </row>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c r="AA21" s="427"/>
    </row>
    <row customHeight="1" ht="20.25">
      <c r="AB22" s="253" t="s">
        <v>21</v>
      </c>
      <c r="AC22" s="233"/>
      <c r="AD22" s="233"/>
    </row>
    <row r="24" s="1541" customFormat="1" customHeight="1" ht="30">
      <c r="B24" s="431"/>
      <c r="E24" s="263"/>
      <c r="AB24" s="87" t="s">
        <v>22</v>
      </c>
      <c r="AC24" s="87" t="s">
        <v>23</v>
      </c>
      <c r="AD24" s="87" t="s">
        <v>24</v>
      </c>
    </row>
    <row customHeight="1" ht="33.75">
      <c r="AB25" s="87">
        <v>1</v>
      </c>
      <c r="AC25" s="254" t="s">
        <v>25</v>
      </c>
      <c r="AD25" s="254" t="s">
        <v>26</v>
      </c>
    </row>
    <row customHeight="1" ht="69">
      <c r="AB26" s="87">
        <v>2</v>
      </c>
      <c r="AC26" s="254" t="s">
        <v>27</v>
      </c>
      <c r="AD26" s="254" t="s">
        <v>28</v>
      </c>
    </row>
    <row customHeight="1" ht="11.25">
      <c r="AE27" s="118"/>
    </row>
  </sheetData>
  <sheetProtection formatColumns="0" formatRows="0" insertRows="0" deleteColumns="0" deleteRows="0" sort="0" autoFilter="0" insertColumns="1"/>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27DE708-F2C6-1748-1C18-BA24F4DB3BAD}" mc:Ignorable="x14ac xr xr2 xr3">
  <sheetPr>
    <tabColor theme="0"/>
  </sheetPr>
  <dimension ref="A1:AE54"/>
  <sheetViews>
    <sheetView topLeftCell="AA21" showGridLines="0" workbookViewId="0">
      <selection activeCell="AA21" sqref="AA21"/>
    </sheetView>
  </sheetViews>
  <sheetFormatPr defaultColWidth="9.140625" customHeight="1" defaultRowHeight="12.75"/>
  <cols>
    <col min="1" max="1" style="317" width="8.00390625" hidden="1" customWidth="1"/>
    <col min="2" max="2" style="446" width="14.28125" hidden="1" customWidth="1"/>
    <col min="3" max="4" style="317" width="3.57421875" hidden="1" customWidth="1"/>
    <col min="5" max="5" style="625" width="4.7109375" hidden="1" customWidth="1"/>
    <col min="6" max="26" style="317" width="3.57421875" hidden="1" customWidth="1"/>
    <col min="27" max="27" style="317" width="3.7109375" customWidth="1"/>
    <col min="28" max="28" style="317" width="11.7109375" customWidth="1"/>
    <col min="29" max="29" style="317" width="32.8515625" customWidth="1"/>
    <col min="30" max="30" style="317" width="133.57421875" customWidth="1"/>
    <col min="31" max="31" style="317" width="9.140625"/>
  </cols>
  <sheetData>
    <row customHeight="1" ht="11.25" hidden="1">
      <c r="E1" s="317"/>
    </row>
    <row s="446" customFormat="1" customHeight="1" ht="11.25" hidden="1">
      <c r="B2" s="448" t="s">
        <v>19</v>
      </c>
    </row>
    <row customHeight="1" ht="11.25" hidden="1">
      <c r="E3" s="317"/>
    </row>
    <row customHeight="1" ht="11.25" hidden="1">
      <c r="E4" s="317"/>
    </row>
    <row s="625" customFormat="1" customHeight="1" ht="11.25" hidden="1">
      <c r="A5" s="317"/>
      <c r="B5" s="446"/>
      <c r="C5" s="317"/>
      <c r="D5" s="317"/>
      <c r="E5" s="624" t="s">
        <v>20</v>
      </c>
    </row>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2.75">
      <c r="AA21" s="427"/>
    </row>
    <row customHeight="1" ht="24.75">
      <c r="AB22" s="318" t="s">
        <v>29</v>
      </c>
      <c r="AC22" s="319"/>
      <c r="AD22" s="319"/>
    </row>
    <row customHeight="1" ht="16.5">
      <c r="AB23" s="323" t="s">
        <v>30</v>
      </c>
    </row>
    <row customHeight="1" ht="27.056250000000002">
      <c r="B24" s="448" t="b">
        <v>1</v>
      </c>
      <c r="E24" s="625">
        <v>27.75</v>
      </c>
      <c r="AB24" s="320" t="s">
        <v>31</v>
      </c>
      <c r="AC24" s="321" t="s">
        <v>32</v>
      </c>
      <c r="AD24" s="322" t="s">
        <v>33</v>
      </c>
    </row>
    <row customHeight="1" ht="27.056250000000002">
      <c r="B25" s="448" t="b">
        <v>1</v>
      </c>
      <c r="E25" s="625">
        <v>27.75</v>
      </c>
      <c r="AB25" s="320" t="s">
        <v>31</v>
      </c>
      <c r="AC25" s="321" t="s">
        <v>34</v>
      </c>
      <c r="AD25" s="322" t="s">
        <v>35</v>
      </c>
    </row>
    <row customHeight="1" ht="27.056250000000002">
      <c r="B26" s="448" t="b">
        <v>1</v>
      </c>
      <c r="E26" s="625">
        <v>27.75</v>
      </c>
      <c r="AB26" s="320" t="s">
        <v>31</v>
      </c>
      <c r="AC26" s="321" t="s">
        <v>36</v>
      </c>
      <c r="AD26" s="322" t="s">
        <v>37</v>
      </c>
    </row>
    <row customHeight="1" ht="27.056250000000002">
      <c r="B27" s="448" t="b">
        <v>1</v>
      </c>
      <c r="E27" s="625">
        <v>27.75</v>
      </c>
      <c r="AB27" s="320" t="s">
        <v>31</v>
      </c>
      <c r="AC27" s="321" t="s">
        <v>38</v>
      </c>
      <c r="AD27" s="322" t="s">
        <v>39</v>
      </c>
    </row>
    <row customHeight="1" ht="27.056250000000002">
      <c r="B28" s="448">
        <f>NOT(method_reg="Метод сравнения аналогов")</f>
        <v>1</v>
      </c>
      <c r="E28" s="625">
        <v>27.75</v>
      </c>
      <c r="AB28" s="320" t="s">
        <v>31</v>
      </c>
      <c r="AC28" s="321" t="s">
        <v>40</v>
      </c>
      <c r="AD28" s="322" t="s">
        <v>41</v>
      </c>
    </row>
    <row s="1441" customFormat="1" customHeight="1" ht="27.056250000000002">
      <c r="A29" s="317"/>
      <c r="B29" s="449">
        <f>method_reg="Метод индексации"</f>
        <v>1</v>
      </c>
      <c r="C29" s="317"/>
      <c r="D29" s="317"/>
      <c r="E29" s="625">
        <v>27.75</v>
      </c>
      <c r="F29" s="317"/>
      <c r="G29" s="317"/>
      <c r="H29" s="317"/>
      <c r="I29" s="317"/>
      <c r="J29" s="317"/>
      <c r="K29" s="317"/>
      <c r="L29" s="317"/>
      <c r="M29" s="317"/>
      <c r="N29" s="317"/>
      <c r="O29" s="317"/>
      <c r="P29" s="317"/>
      <c r="Q29" s="317"/>
      <c r="R29" s="317"/>
      <c r="S29" s="317"/>
      <c r="T29" s="317"/>
      <c r="U29" s="317"/>
      <c r="V29" s="317"/>
      <c r="W29" s="317"/>
      <c r="X29" s="317"/>
      <c r="Y29" s="317"/>
      <c r="Z29" s="317"/>
      <c r="AA29" s="317"/>
      <c r="AB29" s="320" t="s">
        <v>31</v>
      </c>
      <c r="AC29" s="321" t="s">
        <v>42</v>
      </c>
      <c r="AD29" s="322" t="s">
        <v>43</v>
      </c>
      <c r="AE29" s="317"/>
    </row>
    <row customHeight="1" ht="27.056250000000002">
      <c r="B30" s="448" t="b">
        <v>1</v>
      </c>
      <c r="E30" s="625">
        <v>27.75</v>
      </c>
      <c r="AB30" s="320" t="s">
        <v>31</v>
      </c>
      <c r="AC30" s="321" t="s">
        <v>44</v>
      </c>
      <c r="AD30" s="322" t="s">
        <v>45</v>
      </c>
    </row>
    <row customHeight="1" ht="27.056250000000002">
      <c r="A31" s="317"/>
      <c r="B31" s="448">
        <f>OR(method_reg="Метод индексации",method_reg="Метод сравнения аналогов")</f>
        <v>1</v>
      </c>
      <c r="C31" s="317"/>
      <c r="D31" s="317"/>
      <c r="E31" s="625">
        <v>27.75</v>
      </c>
      <c r="F31" s="317"/>
      <c r="G31" s="317"/>
      <c r="H31" s="317"/>
      <c r="I31" s="317"/>
      <c r="J31" s="317"/>
      <c r="K31" s="317"/>
      <c r="L31" s="317"/>
      <c r="M31" s="317"/>
      <c r="N31" s="317"/>
      <c r="O31" s="317"/>
      <c r="P31" s="317"/>
      <c r="Q31" s="317"/>
      <c r="R31" s="317"/>
      <c r="S31" s="317"/>
      <c r="T31" s="317"/>
      <c r="U31" s="317"/>
      <c r="V31" s="317"/>
      <c r="W31" s="317"/>
      <c r="X31" s="317"/>
      <c r="Y31" s="317"/>
      <c r="Z31" s="317"/>
      <c r="AA31" s="317"/>
      <c r="AB31" s="464" t="s">
        <v>31</v>
      </c>
      <c r="AC31" s="465" t="s">
        <v>46</v>
      </c>
      <c r="AD31" s="466" t="s">
        <v>47</v>
      </c>
      <c r="AE31" s="428"/>
    </row>
    <row customHeight="1" ht="27.056250000000002">
      <c r="B32" s="448">
        <f>NOT(method_reg="Метод сравнения аналогов")</f>
        <v>1</v>
      </c>
      <c r="E32" s="625">
        <v>27.75</v>
      </c>
      <c r="AB32" s="320" t="s">
        <v>31</v>
      </c>
      <c r="AC32" s="321" t="s">
        <v>48</v>
      </c>
      <c r="AD32" s="322" t="s">
        <v>49</v>
      </c>
    </row>
    <row customHeight="1" ht="27.056250000000002">
      <c r="B33" s="448">
        <f>NOT(method_reg="Метод сравнения аналогов")</f>
        <v>1</v>
      </c>
      <c r="E33" s="625">
        <v>27.75</v>
      </c>
      <c r="AB33" s="320" t="s">
        <v>31</v>
      </c>
      <c r="AC33" s="321" t="s">
        <v>50</v>
      </c>
      <c r="AD33" s="322" t="s">
        <v>51</v>
      </c>
    </row>
    <row customHeight="1" ht="27.056250000000002">
      <c r="B34" s="448">
        <f>NOT(method_reg="Метод сравнения аналогов")</f>
        <v>1</v>
      </c>
      <c r="E34" s="625">
        <v>27.75</v>
      </c>
      <c r="AB34" s="320" t="s">
        <v>31</v>
      </c>
      <c r="AC34" s="321" t="s">
        <v>52</v>
      </c>
      <c r="AD34" s="322" t="s">
        <v>53</v>
      </c>
    </row>
    <row customHeight="1" ht="27.056250000000002" hidden="1">
      <c r="A35" s="317"/>
      <c r="B35" s="448">
        <f>method_reg="Метод сравнения аналогов"</f>
        <v>0</v>
      </c>
      <c r="C35" s="317"/>
      <c r="D35" s="317"/>
      <c r="E35" s="625">
        <v>27.75</v>
      </c>
      <c r="F35" s="317"/>
      <c r="G35" s="317"/>
      <c r="H35" s="317"/>
      <c r="I35" s="317"/>
      <c r="J35" s="317"/>
      <c r="K35" s="317"/>
      <c r="L35" s="317"/>
      <c r="M35" s="317"/>
      <c r="N35" s="317"/>
      <c r="O35" s="317"/>
      <c r="P35" s="317"/>
      <c r="Q35" s="317"/>
      <c r="R35" s="317"/>
      <c r="S35" s="317"/>
      <c r="T35" s="317"/>
      <c r="U35" s="317"/>
      <c r="V35" s="317"/>
      <c r="W35" s="317"/>
      <c r="X35" s="317"/>
      <c r="Y35" s="317"/>
      <c r="Z35" s="317"/>
      <c r="AA35" s="317"/>
      <c r="AB35" s="464" t="s">
        <v>54</v>
      </c>
      <c r="AC35" s="465" t="s">
        <v>55</v>
      </c>
      <c r="AD35" s="466" t="s">
        <v>56</v>
      </c>
      <c r="AE35" s="317"/>
    </row>
    <row customHeight="1" ht="27.056250000000002">
      <c r="B36" s="448">
        <f>NOT(method_reg="Метод сравнения аналогов")</f>
        <v>1</v>
      </c>
      <c r="E36" s="625">
        <v>27.75</v>
      </c>
      <c r="AB36" s="320" t="s">
        <v>31</v>
      </c>
      <c r="AC36" s="321" t="s">
        <v>57</v>
      </c>
      <c r="AD36" s="322" t="s">
        <v>58</v>
      </c>
    </row>
    <row customHeight="1" ht="27.056250000000002">
      <c r="B37" s="448">
        <f>NOT(method_reg="Метод сравнения аналогов")</f>
        <v>1</v>
      </c>
      <c r="E37" s="625">
        <v>27.75</v>
      </c>
      <c r="AB37" s="320" t="s">
        <v>31</v>
      </c>
      <c r="AC37" s="321" t="s">
        <v>59</v>
      </c>
      <c r="AD37" s="322" t="s">
        <v>60</v>
      </c>
    </row>
    <row customHeight="1" ht="27.056250000000002" hidden="1">
      <c r="A38" s="317"/>
      <c r="B38" s="448">
        <f>AND(OR(god=first_year,method_reg="Метод обеспечения доходности инвестированного капитала"),NOT(method_reg="Метод сравнения аналогов"))</f>
        <v>0</v>
      </c>
      <c r="C38" s="317"/>
      <c r="D38" s="317"/>
      <c r="E38" s="625">
        <v>27.75</v>
      </c>
      <c r="F38" s="317"/>
      <c r="G38" s="317"/>
      <c r="H38" s="317"/>
      <c r="I38" s="317"/>
      <c r="J38" s="317"/>
      <c r="K38" s="317"/>
      <c r="L38" s="317"/>
      <c r="M38" s="317"/>
      <c r="N38" s="317"/>
      <c r="O38" s="317"/>
      <c r="P38" s="317"/>
      <c r="Q38" s="317"/>
      <c r="R38" s="317"/>
      <c r="S38" s="317"/>
      <c r="T38" s="317"/>
      <c r="U38" s="317"/>
      <c r="V38" s="317"/>
      <c r="W38" s="317"/>
      <c r="X38" s="317"/>
      <c r="Y38" s="317"/>
      <c r="Z38" s="317"/>
      <c r="AA38" s="317"/>
      <c r="AB38" s="320" t="s">
        <v>54</v>
      </c>
      <c r="AC38" s="321" t="s">
        <v>61</v>
      </c>
      <c r="AD38" s="353" t="s">
        <v>62</v>
      </c>
      <c r="AE38" s="317"/>
    </row>
    <row customHeight="1" ht="27.056250000000002" hidden="1">
      <c r="A39" s="317"/>
      <c r="B39" s="448">
        <f>AND(OR(god=first_year,method_reg="Метод обеспечения доходности инвестированного капитала"),NOT(method_reg="Метод сравнения аналогов"))</f>
        <v>0</v>
      </c>
      <c r="C39" s="317"/>
      <c r="D39" s="317"/>
      <c r="E39" s="625">
        <v>27.75</v>
      </c>
      <c r="F39" s="317"/>
      <c r="G39" s="317"/>
      <c r="H39" s="317"/>
      <c r="I39" s="317"/>
      <c r="J39" s="317"/>
      <c r="K39" s="317"/>
      <c r="L39" s="317"/>
      <c r="M39" s="317"/>
      <c r="N39" s="317"/>
      <c r="O39" s="317"/>
      <c r="P39" s="317"/>
      <c r="Q39" s="317"/>
      <c r="R39" s="317"/>
      <c r="S39" s="317"/>
      <c r="T39" s="317"/>
      <c r="U39" s="317"/>
      <c r="V39" s="317"/>
      <c r="W39" s="317"/>
      <c r="X39" s="317"/>
      <c r="Y39" s="317"/>
      <c r="Z39" s="317"/>
      <c r="AA39" s="317"/>
      <c r="AB39" s="320" t="s">
        <v>54</v>
      </c>
      <c r="AC39" s="321" t="s">
        <v>63</v>
      </c>
      <c r="AD39" s="353" t="s">
        <v>64</v>
      </c>
      <c r="AE39" s="317"/>
    </row>
    <row customHeight="1" ht="27.056250000000002" hidden="1">
      <c r="A40" s="317"/>
      <c r="B40" s="448">
        <f>AND(OR(god=first_year,method_reg="Метод обеспечения доходности инвестированного капитала"),NOT(method_reg="Метод сравнения аналогов"),STATUS_GO="да")</f>
        <v>0</v>
      </c>
      <c r="C40" s="317"/>
      <c r="D40" s="317"/>
      <c r="E40" s="625">
        <v>27.75</v>
      </c>
      <c r="F40" s="317"/>
      <c r="G40" s="317"/>
      <c r="H40" s="317"/>
      <c r="I40" s="317"/>
      <c r="J40" s="317"/>
      <c r="K40" s="317"/>
      <c r="L40" s="317"/>
      <c r="M40" s="317"/>
      <c r="N40" s="317"/>
      <c r="O40" s="317"/>
      <c r="P40" s="317"/>
      <c r="Q40" s="317"/>
      <c r="R40" s="317"/>
      <c r="S40" s="317"/>
      <c r="T40" s="317"/>
      <c r="U40" s="317"/>
      <c r="V40" s="317"/>
      <c r="W40" s="317"/>
      <c r="X40" s="317"/>
      <c r="Y40" s="317"/>
      <c r="Z40" s="317"/>
      <c r="AA40" s="317"/>
      <c r="AB40" s="320" t="s">
        <v>54</v>
      </c>
      <c r="AC40" s="321" t="s">
        <v>65</v>
      </c>
      <c r="AD40" s="353" t="s">
        <v>66</v>
      </c>
      <c r="AE40" s="317"/>
    </row>
    <row customHeight="1" ht="27.056250000000002">
      <c r="B41" s="448">
        <f>NOT(method_reg="Метод сравнения аналогов")</f>
        <v>1</v>
      </c>
      <c r="E41" s="625">
        <v>27.75</v>
      </c>
      <c r="AB41" s="320" t="s">
        <v>31</v>
      </c>
      <c r="AC41" s="321" t="s">
        <v>67</v>
      </c>
      <c r="AD41" s="322" t="s">
        <v>68</v>
      </c>
    </row>
    <row customHeight="1" ht="27.056250000000002">
      <c r="B42" s="448">
        <f>AND(method_reg&lt;&gt;"Метод сравнения аналогов",OR(HAS_DOC5="да",HAS_DOC6="да"))</f>
        <v>1</v>
      </c>
      <c r="E42" s="625">
        <v>27.75</v>
      </c>
      <c r="AB42" s="320" t="s">
        <v>31</v>
      </c>
      <c r="AC42" s="321" t="s">
        <v>69</v>
      </c>
      <c r="AD42" s="322" t="s">
        <v>70</v>
      </c>
    </row>
    <row customHeight="1" ht="27.056250000000002">
      <c r="B43" s="448">
        <f>AND(NOT(method_reg="Метод экономически обоснованных расходов"),NOT(method_reg="Метод сравнения аналогов"))</f>
        <v>1</v>
      </c>
      <c r="E43" s="625">
        <v>27.75</v>
      </c>
      <c r="AB43" s="320" t="s">
        <v>31</v>
      </c>
      <c r="AC43" s="321" t="s">
        <v>71</v>
      </c>
      <c r="AD43" s="322" t="s">
        <v>72</v>
      </c>
    </row>
    <row customHeight="1" ht="27.056250000000002">
      <c r="A44" s="317"/>
      <c r="B44" s="448">
        <f>AND(NOT(method_reg="Метод сравнения аналогов"),hasVO)</f>
        <v>1</v>
      </c>
      <c r="C44" s="317"/>
      <c r="D44" s="317"/>
      <c r="E44" s="625">
        <v>27.75</v>
      </c>
      <c r="F44" s="317"/>
      <c r="G44" s="317"/>
      <c r="H44" s="317"/>
      <c r="I44" s="317"/>
      <c r="J44" s="317"/>
      <c r="K44" s="317"/>
      <c r="L44" s="317"/>
      <c r="M44" s="317"/>
      <c r="N44" s="317"/>
      <c r="O44" s="317"/>
      <c r="P44" s="317"/>
      <c r="Q44" s="317"/>
      <c r="R44" s="317"/>
      <c r="S44" s="317"/>
      <c r="T44" s="317"/>
      <c r="U44" s="317"/>
      <c r="V44" s="317"/>
      <c r="W44" s="317"/>
      <c r="X44" s="317"/>
      <c r="Y44" s="317"/>
      <c r="Z44" s="317"/>
      <c r="AA44" s="317"/>
      <c r="AB44" s="320" t="s">
        <v>31</v>
      </c>
      <c r="AC44" s="321" t="s">
        <v>73</v>
      </c>
      <c r="AD44" s="322" t="s">
        <v>74</v>
      </c>
      <c r="AE44" s="317"/>
    </row>
    <row customHeight="1" ht="27.056250000000002">
      <c r="B45" s="448">
        <f>AND(NOT(method_reg="Метод экономически обоснованных расходов"),NOT(method_reg="Метод сравнения аналогов"))</f>
        <v>1</v>
      </c>
      <c r="E45" s="625">
        <v>27.75</v>
      </c>
      <c r="AB45" s="320" t="s">
        <v>31</v>
      </c>
      <c r="AC45" s="321" t="s">
        <v>75</v>
      </c>
      <c r="AD45" s="322" t="s">
        <v>76</v>
      </c>
    </row>
    <row customHeight="1" ht="27.056250000000002" hidden="1">
      <c r="A46" s="317"/>
      <c r="B46" s="448">
        <f>method_reg="Метод экономически обоснованных расходов"</f>
        <v>0</v>
      </c>
      <c r="C46" s="317"/>
      <c r="D46" s="317"/>
      <c r="E46" s="625">
        <v>27.75</v>
      </c>
      <c r="F46" s="317"/>
      <c r="G46" s="317"/>
      <c r="H46" s="317"/>
      <c r="I46" s="317"/>
      <c r="J46" s="317"/>
      <c r="K46" s="317"/>
      <c r="L46" s="317"/>
      <c r="M46" s="317"/>
      <c r="N46" s="317"/>
      <c r="O46" s="317"/>
      <c r="P46" s="317"/>
      <c r="Q46" s="317"/>
      <c r="R46" s="317"/>
      <c r="S46" s="317"/>
      <c r="T46" s="317"/>
      <c r="U46" s="317"/>
      <c r="V46" s="317"/>
      <c r="W46" s="317"/>
      <c r="X46" s="317"/>
      <c r="Y46" s="317"/>
      <c r="Z46" s="317"/>
      <c r="AA46" s="317"/>
      <c r="AB46" s="320" t="s">
        <v>54</v>
      </c>
      <c r="AC46" s="321" t="s">
        <v>77</v>
      </c>
      <c r="AD46" s="322" t="s">
        <v>78</v>
      </c>
      <c r="AE46" s="317"/>
    </row>
    <row customHeight="1" ht="27.056250000000002" hidden="1">
      <c r="A47" s="317"/>
      <c r="B47" s="448">
        <f>AND(first_year=god,OR(method_reg="Метод обеспечения доходности инвестированного капитала",method_reg="Метод индексации"))</f>
        <v>0</v>
      </c>
      <c r="C47" s="317"/>
      <c r="D47" s="317"/>
      <c r="E47" s="625">
        <v>27.75</v>
      </c>
      <c r="F47" s="317"/>
      <c r="G47" s="317"/>
      <c r="H47" s="317"/>
      <c r="I47" s="317"/>
      <c r="J47" s="317"/>
      <c r="K47" s="317"/>
      <c r="L47" s="317"/>
      <c r="M47" s="317"/>
      <c r="N47" s="317"/>
      <c r="O47" s="317"/>
      <c r="P47" s="317"/>
      <c r="Q47" s="317"/>
      <c r="R47" s="317"/>
      <c r="S47" s="317"/>
      <c r="T47" s="317"/>
      <c r="U47" s="317"/>
      <c r="V47" s="317"/>
      <c r="W47" s="317"/>
      <c r="X47" s="317"/>
      <c r="Y47" s="317"/>
      <c r="Z47" s="317"/>
      <c r="AA47" s="317"/>
      <c r="AB47" s="320" t="s">
        <v>54</v>
      </c>
      <c r="AC47" s="321" t="s">
        <v>79</v>
      </c>
      <c r="AD47" s="322" t="s">
        <v>80</v>
      </c>
      <c r="AE47" s="317"/>
    </row>
    <row customHeight="1" ht="27.105">
      <c r="A48" s="317"/>
      <c r="B48" s="503">
        <f>AND(OR(method_reg="Метод индексации",method_reg="Метод обеспечения доходности инвестированного капитала"),first_year&lt;&gt;god)</f>
        <v>1</v>
      </c>
      <c r="C48" s="317"/>
      <c r="D48" s="317"/>
      <c r="E48" s="625">
        <v>27.8</v>
      </c>
      <c r="F48" s="317"/>
      <c r="G48" s="317"/>
      <c r="H48" s="317"/>
      <c r="I48" s="317"/>
      <c r="J48" s="317"/>
      <c r="K48" s="317"/>
      <c r="L48" s="317"/>
      <c r="M48" s="317"/>
      <c r="N48" s="317"/>
      <c r="O48" s="317"/>
      <c r="P48" s="317"/>
      <c r="Q48" s="317"/>
      <c r="R48" s="317"/>
      <c r="S48" s="317"/>
      <c r="T48" s="317"/>
      <c r="U48" s="317"/>
      <c r="V48" s="317"/>
      <c r="W48" s="317"/>
      <c r="X48" s="317"/>
      <c r="Y48" s="317"/>
      <c r="Z48" s="317"/>
      <c r="AA48" s="317"/>
      <c r="AB48" s="320" t="s">
        <v>31</v>
      </c>
      <c r="AC48" s="321" t="s">
        <v>81</v>
      </c>
      <c r="AD48" s="322" t="s">
        <v>80</v>
      </c>
      <c r="AE48" s="317"/>
    </row>
    <row customHeight="1" ht="27.056250000000002">
      <c r="B49" s="448">
        <f>NOT(method_reg="Метод сравнения аналогов")</f>
        <v>1</v>
      </c>
      <c r="E49" s="625">
        <v>27.75</v>
      </c>
      <c r="AB49" s="320" t="s">
        <v>31</v>
      </c>
      <c r="AC49" s="321" t="s">
        <v>82</v>
      </c>
      <c r="AD49" s="322" t="s">
        <v>83</v>
      </c>
    </row>
    <row customHeight="1" ht="27.056250000000002">
      <c r="A50" s="317"/>
      <c r="B50" s="448">
        <f>OR(method_reg="Метод индексации",method_reg="Метод обеспечения доходности инвестированного капитала")</f>
        <v>1</v>
      </c>
      <c r="C50" s="317"/>
      <c r="D50" s="317"/>
      <c r="E50" s="625">
        <v>27.75</v>
      </c>
      <c r="F50" s="317"/>
      <c r="G50" s="317"/>
      <c r="H50" s="317"/>
      <c r="I50" s="317"/>
      <c r="J50" s="317"/>
      <c r="K50" s="317"/>
      <c r="L50" s="317"/>
      <c r="M50" s="317"/>
      <c r="N50" s="317"/>
      <c r="O50" s="317"/>
      <c r="P50" s="317"/>
      <c r="Q50" s="317"/>
      <c r="R50" s="317"/>
      <c r="S50" s="317"/>
      <c r="T50" s="317"/>
      <c r="U50" s="317"/>
      <c r="V50" s="317"/>
      <c r="W50" s="317"/>
      <c r="X50" s="317"/>
      <c r="Y50" s="317"/>
      <c r="Z50" s="317"/>
      <c r="AA50" s="317"/>
      <c r="AB50" s="320" t="s">
        <v>31</v>
      </c>
      <c r="AC50" s="321" t="s">
        <v>84</v>
      </c>
      <c r="AD50" s="322" t="s">
        <v>85</v>
      </c>
      <c r="AE50" s="317"/>
    </row>
    <row customHeight="1" ht="27.056250000000002">
      <c r="A51" s="317"/>
      <c r="B51" s="448">
        <f>OR(method_reg="Метод индексации",method_reg="Метод обеспечения доходности инвестированного капитала")</f>
        <v>1</v>
      </c>
      <c r="C51" s="317"/>
      <c r="D51" s="317"/>
      <c r="E51" s="625">
        <v>27.75</v>
      </c>
      <c r="F51" s="317"/>
      <c r="G51" s="317"/>
      <c r="H51" s="317"/>
      <c r="I51" s="317"/>
      <c r="J51" s="317"/>
      <c r="K51" s="317"/>
      <c r="L51" s="317"/>
      <c r="M51" s="317"/>
      <c r="N51" s="317"/>
      <c r="O51" s="317"/>
      <c r="P51" s="317"/>
      <c r="Q51" s="317"/>
      <c r="R51" s="317"/>
      <c r="S51" s="317"/>
      <c r="T51" s="317"/>
      <c r="U51" s="317"/>
      <c r="V51" s="317"/>
      <c r="W51" s="317"/>
      <c r="X51" s="317"/>
      <c r="Y51" s="317"/>
      <c r="Z51" s="317"/>
      <c r="AA51" s="317"/>
      <c r="AB51" s="320" t="s">
        <v>31</v>
      </c>
      <c r="AC51" s="321" t="s">
        <v>86</v>
      </c>
      <c r="AD51" s="322" t="s">
        <v>87</v>
      </c>
      <c r="AE51" s="317"/>
    </row>
    <row customHeight="1" ht="27.056250000000002">
      <c r="A52" s="317"/>
      <c r="B52" s="448">
        <f>OR(method_reg="Метод сравнения аналогов",AND(method_reg="Метод индексации",STATUS_GO="да"))</f>
        <v>0</v>
      </c>
      <c r="C52" s="317"/>
      <c r="D52" s="317"/>
      <c r="E52" s="625">
        <v>27.75</v>
      </c>
      <c r="F52" s="317"/>
      <c r="G52" s="317"/>
      <c r="H52" s="317"/>
      <c r="I52" s="317"/>
      <c r="J52" s="317"/>
      <c r="K52" s="317"/>
      <c r="L52" s="317"/>
      <c r="M52" s="317"/>
      <c r="N52" s="317"/>
      <c r="O52" s="317"/>
      <c r="P52" s="317"/>
      <c r="Q52" s="317"/>
      <c r="R52" s="317"/>
      <c r="S52" s="317"/>
      <c r="T52" s="317"/>
      <c r="U52" s="317"/>
      <c r="V52" s="317"/>
      <c r="W52" s="317"/>
      <c r="X52" s="317"/>
      <c r="Y52" s="317"/>
      <c r="Z52" s="317"/>
      <c r="AA52" s="317"/>
      <c r="AB52" s="464" t="s">
        <v>31</v>
      </c>
      <c r="AC52" s="465" t="s">
        <v>88</v>
      </c>
      <c r="AD52" s="466" t="s">
        <v>89</v>
      </c>
      <c r="AE52" s="317"/>
    </row>
    <row customHeight="1" ht="27.056250000000002" hidden="1">
      <c r="A53" s="317"/>
      <c r="B53" s="448">
        <f>method_reg="Метод сравнения аналогов"</f>
        <v>0</v>
      </c>
      <c r="C53" s="317"/>
      <c r="D53" s="317"/>
      <c r="E53" s="625">
        <v>27.75</v>
      </c>
      <c r="F53" s="317"/>
      <c r="G53" s="317"/>
      <c r="H53" s="317"/>
      <c r="I53" s="317"/>
      <c r="J53" s="317"/>
      <c r="K53" s="317"/>
      <c r="L53" s="317"/>
      <c r="M53" s="317"/>
      <c r="N53" s="317"/>
      <c r="O53" s="317"/>
      <c r="P53" s="317"/>
      <c r="Q53" s="317"/>
      <c r="R53" s="317"/>
      <c r="S53" s="317"/>
      <c r="T53" s="317"/>
      <c r="U53" s="317"/>
      <c r="V53" s="317"/>
      <c r="W53" s="317"/>
      <c r="X53" s="317"/>
      <c r="Y53" s="317"/>
      <c r="Z53" s="317"/>
      <c r="AA53" s="317"/>
      <c r="AB53" s="464" t="s">
        <v>54</v>
      </c>
      <c r="AC53" s="465" t="s">
        <v>90</v>
      </c>
      <c r="AD53" s="467" t="s">
        <v>91</v>
      </c>
      <c r="AE53" s="317"/>
    </row>
    <row customHeight="1" ht="12.75">
      <c r="AE54" s="428"/>
    </row>
  </sheetData>
  <sheetProtection formatColumns="0" formatRows="0"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FE582BD8-C328-51E8-96B8-DBDEFE0F093E}" mc:Ignorable="x14ac xr xr2 xr3">
  <sheetPr>
    <tabColor theme="3" tint="0.6"/>
    <pageSetUpPr fitToPage="1"/>
  </sheetPr>
  <dimension ref="A1:BA269"/>
  <sheetViews>
    <sheetView topLeftCell="AD45" showGridLines="0" zoomScale="120" workbookViewId="0">
      <selection activeCell="AE174" sqref="AE174"/>
    </sheetView>
  </sheetViews>
  <sheetFormatPr defaultColWidth="9.140625" customHeight="1" defaultRowHeight="19.5"/>
  <cols>
    <col min="1" max="1" style="1319" width="13.7109375" hidden="1" customWidth="1"/>
    <col min="2" max="2" style="986" width="14.28125" hidden="1" customWidth="1"/>
    <col min="3" max="4" style="1319" width="3.57421875" hidden="1" customWidth="1"/>
    <col min="5" max="5" style="626" width="4.7109375" hidden="1" customWidth="1"/>
    <col min="6" max="21" style="1319" width="3.57421875" hidden="1" customWidth="1"/>
    <col min="22" max="22" style="1319" width="5.8515625" hidden="1" customWidth="1"/>
    <col min="23" max="23" style="1319" width="12.140625" hidden="1" customWidth="1"/>
    <col min="24" max="25" style="1319" width="6.140625" hidden="1" customWidth="1"/>
    <col min="26" max="26" style="1656" width="12.57421875" hidden="1" customWidth="1"/>
    <col min="27" max="27" style="1319" width="3.43359375" customWidth="1"/>
    <col min="28" max="28" style="1363" width="12.00390625" customWidth="1"/>
    <col min="29" max="29" style="1363" width="18.00390625" customWidth="1"/>
    <col min="30" max="30" style="1363" width="56.86328125" customWidth="1"/>
    <col min="31" max="31" style="1363" width="81.07421875" customWidth="1"/>
    <col min="32" max="32" style="383" width="3.00390625" customWidth="1"/>
    <col min="33" max="33" style="1319" width="29.8515625" hidden="1" customWidth="1"/>
    <col min="34" max="34" style="1319" width="18.57421875" hidden="1" customWidth="1"/>
    <col min="35" max="53" style="1319" width="12.00390625" hidden="1" customWidth="1"/>
  </cols>
  <sheetData>
    <row customHeight="1" ht="11.25" hidden="1">
      <c r="E1" s="103"/>
      <c r="V1" s="103" t="s">
        <v>92</v>
      </c>
      <c r="W1" s="504" t="s">
        <v>93</v>
      </c>
      <c r="X1" s="469" t="s">
        <v>94</v>
      </c>
      <c r="Y1" s="469" t="s">
        <v>95</v>
      </c>
      <c r="Z1" s="506" t="s">
        <v>96</v>
      </c>
      <c r="AA1" s="506" t="s">
        <v>97</v>
      </c>
      <c r="AB1" s="507"/>
      <c r="AC1" s="507"/>
      <c r="AD1" s="505" t="s">
        <v>98</v>
      </c>
      <c r="AE1" s="505" t="s">
        <v>99</v>
      </c>
      <c r="AF1" s="504" t="s">
        <v>100</v>
      </c>
    </row>
    <row s="986" customFormat="1" customHeight="1" ht="11.25" hidden="1">
      <c r="B2" s="447" t="s">
        <v>19</v>
      </c>
      <c r="W2" s="92"/>
      <c r="X2" s="92"/>
      <c r="Y2" s="92"/>
      <c r="Z2" s="567"/>
      <c r="AA2" s="92"/>
      <c r="AB2" s="429"/>
      <c r="AC2" s="429"/>
      <c r="AD2" s="429"/>
      <c r="AE2" s="429"/>
      <c r="AF2" s="478"/>
      <c r="AG2" s="92"/>
      <c r="AH2" s="92"/>
      <c r="AI2" s="92"/>
      <c r="AJ2" s="92"/>
      <c r="AK2" s="92"/>
      <c r="AL2" s="92"/>
      <c r="AM2" s="92"/>
      <c r="AN2" s="92"/>
      <c r="AO2" s="92"/>
      <c r="AP2" s="92"/>
      <c r="AQ2" s="92"/>
      <c r="AR2" s="92"/>
      <c r="AS2" s="92"/>
      <c r="AT2" s="92"/>
      <c r="AU2" s="92"/>
      <c r="AV2" s="92"/>
      <c r="AW2" s="92"/>
      <c r="AX2" s="92"/>
      <c r="AY2" s="92"/>
      <c r="AZ2" s="92"/>
      <c r="BA2" s="92"/>
    </row>
    <row s="986" customFormat="1" customHeight="1" ht="11.25" hidden="1">
      <c r="B3" s="429"/>
      <c r="W3" s="92"/>
      <c r="X3" s="92"/>
      <c r="Y3" s="92"/>
      <c r="Z3" s="567"/>
      <c r="AA3" s="92"/>
      <c r="AB3" s="429"/>
      <c r="AC3" s="429"/>
      <c r="AD3" s="429"/>
      <c r="AE3" s="429"/>
      <c r="AF3" s="478"/>
      <c r="AG3" s="92"/>
      <c r="AH3" s="92"/>
      <c r="AI3" s="92"/>
      <c r="AJ3" s="92"/>
      <c r="AK3" s="92"/>
      <c r="AL3" s="92"/>
      <c r="AM3" s="92"/>
      <c r="AN3" s="92"/>
      <c r="AO3" s="92"/>
      <c r="AP3" s="92"/>
      <c r="AQ3" s="92"/>
      <c r="AR3" s="92"/>
      <c r="AS3" s="92"/>
      <c r="AT3" s="92"/>
      <c r="AU3" s="92"/>
      <c r="AV3" s="92"/>
      <c r="AW3" s="92"/>
      <c r="AX3" s="92"/>
      <c r="AY3" s="92"/>
      <c r="AZ3" s="92"/>
      <c r="BA3" s="92"/>
    </row>
    <row s="986" customFormat="1" customHeight="1" ht="11.25" hidden="1">
      <c r="B4" s="429"/>
      <c r="W4" s="92"/>
      <c r="X4" s="92"/>
      <c r="Y4" s="92"/>
      <c r="Z4" s="567"/>
      <c r="AA4" s="92"/>
      <c r="AB4" s="429"/>
      <c r="AC4" s="429"/>
      <c r="AD4" s="429"/>
      <c r="AE4" s="429"/>
      <c r="AF4" s="478"/>
      <c r="AG4" s="92"/>
      <c r="AH4" s="92"/>
      <c r="AI4" s="92"/>
      <c r="AJ4" s="92"/>
      <c r="AK4" s="92"/>
      <c r="AL4" s="92"/>
      <c r="AM4" s="92"/>
      <c r="AN4" s="92"/>
      <c r="AO4" s="92"/>
      <c r="AP4" s="92"/>
      <c r="AQ4" s="92"/>
      <c r="AR4" s="92"/>
      <c r="AS4" s="92"/>
      <c r="AT4" s="92"/>
      <c r="AU4" s="92"/>
      <c r="AV4" s="92"/>
      <c r="AW4" s="92"/>
      <c r="AX4" s="92"/>
      <c r="AY4" s="92"/>
      <c r="AZ4" s="92"/>
      <c r="BA4" s="92"/>
    </row>
    <row s="627" customFormat="1" customHeight="1" ht="11.25" hidden="1">
      <c r="A5" s="434"/>
      <c r="B5" s="429"/>
      <c r="C5" s="434"/>
      <c r="D5" s="434"/>
      <c r="E5" s="628" t="s">
        <v>20</v>
      </c>
      <c r="V5" s="434"/>
      <c r="W5" s="630"/>
      <c r="X5" s="630"/>
      <c r="Y5" s="630"/>
      <c r="Z5" s="631"/>
      <c r="AA5" s="630">
        <v>3.43</v>
      </c>
      <c r="AB5" s="630">
        <v>12</v>
      </c>
      <c r="AC5" s="630">
        <v>18</v>
      </c>
      <c r="AD5" s="630">
        <v>56.86</v>
      </c>
      <c r="AE5" s="630">
        <v>65</v>
      </c>
      <c r="AF5" s="630">
        <v>3</v>
      </c>
      <c r="AG5" s="630"/>
      <c r="AH5" s="630"/>
      <c r="AI5" s="630"/>
      <c r="AJ5" s="630"/>
      <c r="AK5" s="630"/>
      <c r="AL5" s="630"/>
      <c r="AM5" s="630"/>
      <c r="AN5" s="630"/>
      <c r="AO5" s="630"/>
      <c r="AP5" s="630"/>
      <c r="AQ5" s="630"/>
      <c r="AR5" s="630"/>
      <c r="AS5" s="630"/>
      <c r="AT5" s="630"/>
      <c r="AU5" s="630"/>
      <c r="AV5" s="630"/>
      <c r="AW5" s="630"/>
      <c r="AX5" s="630"/>
      <c r="AY5" s="630"/>
      <c r="AZ5" s="630"/>
      <c r="BA5" s="630"/>
    </row>
    <row s="986" customFormat="1" customHeight="1" ht="11.25" hidden="1">
      <c r="B6" s="429"/>
      <c r="E6" s="627"/>
      <c r="W6" s="92"/>
      <c r="X6" s="92"/>
      <c r="Y6" s="92"/>
      <c r="Z6" s="567"/>
      <c r="AA6" s="92"/>
      <c r="AB6" s="429"/>
      <c r="AC6" s="429"/>
      <c r="AD6" s="429"/>
      <c r="AE6" s="429"/>
      <c r="AF6" s="478"/>
      <c r="AG6" s="92"/>
      <c r="AH6" s="92"/>
      <c r="AI6" s="92"/>
      <c r="AJ6" s="92"/>
      <c r="AK6" s="92"/>
      <c r="AL6" s="92"/>
      <c r="AM6" s="92"/>
      <c r="AN6" s="92"/>
      <c r="AO6" s="92"/>
      <c r="AP6" s="92"/>
      <c r="AQ6" s="92"/>
      <c r="AR6" s="92"/>
      <c r="AS6" s="92"/>
      <c r="AT6" s="92"/>
      <c r="AU6" s="92"/>
      <c r="AV6" s="92"/>
      <c r="AW6" s="92"/>
      <c r="AX6" s="92"/>
      <c r="AY6" s="92"/>
      <c r="AZ6" s="92"/>
      <c r="BA6" s="92"/>
    </row>
    <row s="986" customFormat="1" customHeight="1" ht="11.25" hidden="1">
      <c r="B7" s="429"/>
      <c r="E7" s="627"/>
      <c r="W7" s="92"/>
      <c r="X7" s="92"/>
      <c r="Y7" s="92"/>
      <c r="Z7" s="567"/>
      <c r="AA7" s="92"/>
      <c r="AB7" s="429"/>
      <c r="AC7" s="429"/>
      <c r="AD7" s="429"/>
      <c r="AE7" s="429"/>
      <c r="AF7" s="478"/>
      <c r="AG7" s="92"/>
      <c r="AH7" s="92"/>
      <c r="AI7" s="92"/>
      <c r="AJ7" s="92"/>
      <c r="AK7" s="92"/>
      <c r="AL7" s="92"/>
      <c r="AM7" s="92"/>
      <c r="AN7" s="92"/>
      <c r="AO7" s="92"/>
      <c r="AP7" s="92"/>
      <c r="AQ7" s="92"/>
      <c r="AR7" s="92"/>
      <c r="AS7" s="92"/>
      <c r="AT7" s="92"/>
      <c r="AU7" s="92"/>
      <c r="AV7" s="92"/>
      <c r="AW7" s="92"/>
      <c r="AX7" s="92"/>
      <c r="AY7" s="92"/>
      <c r="AZ7" s="92"/>
      <c r="BA7" s="92"/>
    </row>
    <row s="986" customFormat="1" customHeight="1" ht="11.25" hidden="1">
      <c r="B8" s="429"/>
      <c r="E8" s="627"/>
      <c r="W8" s="92"/>
      <c r="X8" s="92"/>
      <c r="Y8" s="92"/>
      <c r="Z8" s="567"/>
      <c r="AA8" s="92"/>
      <c r="AB8" s="429"/>
      <c r="AC8" s="429"/>
      <c r="AD8" s="429"/>
      <c r="AE8" s="429"/>
      <c r="AF8" s="478"/>
      <c r="AG8" s="92"/>
      <c r="AH8" s="92"/>
      <c r="AI8" s="92"/>
      <c r="AJ8" s="92"/>
      <c r="AK8" s="92"/>
      <c r="AL8" s="92"/>
      <c r="AM8" s="92"/>
      <c r="AN8" s="92"/>
      <c r="AO8" s="92"/>
      <c r="AP8" s="92"/>
      <c r="AQ8" s="92"/>
      <c r="AR8" s="92"/>
      <c r="AS8" s="92"/>
      <c r="AT8" s="92"/>
      <c r="AU8" s="92"/>
      <c r="AV8" s="92"/>
      <c r="AW8" s="92"/>
      <c r="AX8" s="92"/>
      <c r="AY8" s="92"/>
      <c r="AZ8" s="92"/>
      <c r="BA8" s="92"/>
    </row>
    <row s="986" customFormat="1" customHeight="1" ht="11.25" hidden="1">
      <c r="B9" s="429"/>
      <c r="E9" s="627"/>
      <c r="W9" s="92"/>
      <c r="X9" s="92"/>
      <c r="Y9" s="92"/>
      <c r="Z9" s="567"/>
      <c r="AA9" s="92"/>
      <c r="AB9" s="429"/>
      <c r="AC9" s="429"/>
      <c r="AD9" s="429"/>
      <c r="AE9" s="429"/>
      <c r="AF9" s="478"/>
      <c r="AG9" s="92"/>
      <c r="AH9" s="92"/>
      <c r="AI9" s="92"/>
      <c r="AJ9" s="92"/>
      <c r="AK9" s="92"/>
      <c r="AL9" s="92"/>
      <c r="AM9" s="92"/>
      <c r="AN9" s="92"/>
      <c r="AO9" s="92"/>
      <c r="AP9" s="92"/>
      <c r="AQ9" s="92"/>
      <c r="AR9" s="92"/>
      <c r="AS9" s="92"/>
      <c r="AT9" s="92"/>
      <c r="AU9" s="92"/>
      <c r="AV9" s="92"/>
      <c r="AW9" s="92"/>
      <c r="AX9" s="92"/>
      <c r="AY9" s="92"/>
      <c r="AZ9" s="92"/>
      <c r="BA9" s="92"/>
    </row>
    <row s="986" customFormat="1" customHeight="1" ht="11.25" hidden="1">
      <c r="B10" s="429"/>
      <c r="E10" s="627"/>
      <c r="W10" s="92"/>
      <c r="X10" s="92"/>
      <c r="Y10" s="92"/>
      <c r="Z10" s="567"/>
      <c r="AA10" s="92"/>
      <c r="AB10" s="429"/>
      <c r="AC10" s="429"/>
      <c r="AD10" s="429"/>
      <c r="AE10" s="429"/>
      <c r="AF10" s="478"/>
      <c r="AG10" s="92"/>
      <c r="AH10" s="92"/>
      <c r="AI10" s="92"/>
      <c r="AJ10" s="92"/>
      <c r="AK10" s="92"/>
      <c r="AL10" s="92"/>
      <c r="AM10" s="92"/>
      <c r="AN10" s="92"/>
      <c r="AO10" s="92"/>
      <c r="AP10" s="92"/>
      <c r="AQ10" s="92"/>
      <c r="AR10" s="92"/>
      <c r="AS10" s="92"/>
      <c r="AT10" s="92"/>
      <c r="AU10" s="92"/>
      <c r="AV10" s="92"/>
      <c r="AW10" s="92"/>
      <c r="AX10" s="92"/>
      <c r="AY10" s="92"/>
      <c r="AZ10" s="92"/>
      <c r="BA10" s="92"/>
    </row>
    <row s="986" customFormat="1" customHeight="1" ht="11.25" hidden="1">
      <c r="B11" s="429"/>
      <c r="E11" s="627"/>
      <c r="W11" s="92"/>
      <c r="X11" s="92"/>
      <c r="Y11" s="92"/>
      <c r="Z11" s="567"/>
      <c r="AA11" s="92"/>
      <c r="AB11" s="429"/>
      <c r="AC11" s="429"/>
      <c r="AD11" s="429"/>
      <c r="AE11" s="429"/>
      <c r="AF11" s="478"/>
      <c r="AG11" s="92"/>
      <c r="AH11" s="92"/>
      <c r="AI11" s="92"/>
      <c r="AJ11" s="92"/>
      <c r="AK11" s="92"/>
      <c r="AL11" s="92"/>
      <c r="AM11" s="92"/>
      <c r="AN11" s="92"/>
      <c r="AO11" s="92"/>
      <c r="AP11" s="92"/>
      <c r="AQ11" s="92"/>
      <c r="AR11" s="92"/>
      <c r="AS11" s="92"/>
      <c r="AT11" s="92"/>
      <c r="AU11" s="92"/>
      <c r="AV11" s="92"/>
      <c r="AW11" s="92"/>
      <c r="AX11" s="92"/>
      <c r="AY11" s="92"/>
      <c r="AZ11" s="92"/>
      <c r="BA11" s="92"/>
    </row>
    <row s="986" customFormat="1" customHeight="1" ht="11.25" hidden="1">
      <c r="B12" s="429"/>
      <c r="E12" s="627"/>
      <c r="W12" s="92"/>
      <c r="X12" s="92"/>
      <c r="Y12" s="92"/>
      <c r="Z12" s="567"/>
      <c r="AA12" s="92"/>
      <c r="AB12" s="429"/>
      <c r="AC12" s="429"/>
      <c r="AD12" s="429"/>
      <c r="AE12" s="429"/>
      <c r="AF12" s="478"/>
      <c r="AG12" s="92"/>
      <c r="AH12" s="92"/>
      <c r="AI12" s="92"/>
      <c r="AJ12" s="92"/>
      <c r="AK12" s="92"/>
      <c r="AL12" s="92"/>
      <c r="AM12" s="92"/>
      <c r="AN12" s="92"/>
      <c r="AO12" s="92"/>
      <c r="AP12" s="92"/>
      <c r="AQ12" s="92"/>
      <c r="AR12" s="92"/>
      <c r="AS12" s="92"/>
      <c r="AT12" s="92"/>
      <c r="AU12" s="92"/>
      <c r="AV12" s="92"/>
      <c r="AW12" s="92"/>
      <c r="AX12" s="92"/>
      <c r="AY12" s="92"/>
      <c r="AZ12" s="92"/>
      <c r="BA12" s="92"/>
    </row>
    <row s="986" customFormat="1" customHeight="1" ht="11.25" hidden="1">
      <c r="B13" s="429"/>
      <c r="E13" s="627"/>
      <c r="W13" s="92"/>
      <c r="X13" s="92"/>
      <c r="Y13" s="92"/>
      <c r="Z13" s="567"/>
      <c r="AA13" s="92"/>
      <c r="AB13" s="429"/>
      <c r="AC13" s="429"/>
      <c r="AD13" s="429"/>
      <c r="AE13" s="429"/>
      <c r="AF13" s="478"/>
      <c r="AG13" s="92"/>
      <c r="AH13" s="92"/>
      <c r="AI13" s="92"/>
      <c r="AJ13" s="92"/>
      <c r="AK13" s="92"/>
      <c r="AL13" s="92"/>
      <c r="AM13" s="92"/>
      <c r="AN13" s="92"/>
      <c r="AO13" s="92"/>
      <c r="AP13" s="92"/>
      <c r="AQ13" s="92"/>
      <c r="AR13" s="92"/>
      <c r="AS13" s="92"/>
      <c r="AT13" s="92"/>
      <c r="AU13" s="92"/>
      <c r="AV13" s="92"/>
      <c r="AW13" s="92"/>
      <c r="AX13" s="92"/>
      <c r="AY13" s="92"/>
      <c r="AZ13" s="92"/>
      <c r="BA13" s="92"/>
    </row>
    <row s="986" customFormat="1" customHeight="1" ht="11.25" hidden="1">
      <c r="B14" s="429"/>
      <c r="E14" s="627"/>
      <c r="W14" s="92"/>
      <c r="X14" s="92"/>
      <c r="Y14" s="92"/>
      <c r="Z14" s="567"/>
      <c r="AA14" s="92"/>
      <c r="AB14" s="429"/>
      <c r="AC14" s="429"/>
      <c r="AD14" s="429"/>
      <c r="AE14" s="429"/>
      <c r="AF14" s="478"/>
      <c r="AG14" s="92"/>
      <c r="AH14" s="92"/>
      <c r="AI14" s="92"/>
      <c r="AJ14" s="92"/>
      <c r="AK14" s="92"/>
      <c r="AL14" s="92"/>
      <c r="AM14" s="92"/>
      <c r="AN14" s="92"/>
      <c r="AO14" s="92"/>
      <c r="AP14" s="92"/>
      <c r="AQ14" s="92"/>
      <c r="AR14" s="92"/>
      <c r="AS14" s="92"/>
      <c r="AT14" s="92"/>
      <c r="AU14" s="92"/>
      <c r="AV14" s="92"/>
      <c r="AW14" s="92"/>
      <c r="AX14" s="92"/>
      <c r="AY14" s="92"/>
      <c r="AZ14" s="92"/>
      <c r="BA14" s="92"/>
    </row>
    <row s="986" customFormat="1" customHeight="1" ht="11.25" hidden="1">
      <c r="B15" s="429"/>
      <c r="E15" s="627"/>
      <c r="W15" s="92"/>
      <c r="X15" s="92"/>
      <c r="Y15" s="92"/>
      <c r="Z15" s="567"/>
      <c r="AA15" s="92"/>
      <c r="AB15" s="429"/>
      <c r="AC15" s="429"/>
      <c r="AD15" s="429"/>
      <c r="AE15" s="429"/>
      <c r="AF15" s="478"/>
      <c r="AG15" s="92"/>
      <c r="AH15" s="92"/>
      <c r="AI15" s="92"/>
      <c r="AJ15" s="92"/>
      <c r="AK15" s="92"/>
      <c r="AL15" s="92"/>
      <c r="AM15" s="92"/>
      <c r="AN15" s="92"/>
      <c r="AO15" s="92"/>
      <c r="AP15" s="92"/>
      <c r="AQ15" s="92"/>
      <c r="AR15" s="92"/>
      <c r="AS15" s="92"/>
      <c r="AT15" s="92"/>
      <c r="AU15" s="92"/>
      <c r="AV15" s="92"/>
      <c r="AW15" s="92"/>
      <c r="AX15" s="92"/>
      <c r="AY15" s="92"/>
      <c r="AZ15" s="92"/>
      <c r="BA15" s="92"/>
    </row>
    <row s="986" customFormat="1" customHeight="1" ht="11.25" hidden="1">
      <c r="B16" s="429"/>
      <c r="E16" s="627"/>
      <c r="W16" s="92"/>
      <c r="X16" s="92"/>
      <c r="Y16" s="92"/>
      <c r="Z16" s="567"/>
      <c r="AA16" s="92"/>
      <c r="AB16" s="429"/>
      <c r="AC16" s="429"/>
      <c r="AD16" s="429"/>
      <c r="AE16" s="429"/>
      <c r="AF16" s="478"/>
      <c r="AG16" s="92"/>
      <c r="AH16" s="92"/>
      <c r="AI16" s="92"/>
      <c r="AJ16" s="92"/>
      <c r="AK16" s="92"/>
      <c r="AL16" s="92"/>
      <c r="AM16" s="92"/>
      <c r="AN16" s="92"/>
      <c r="AO16" s="92"/>
      <c r="AP16" s="92"/>
      <c r="AQ16" s="92"/>
      <c r="AR16" s="92"/>
      <c r="AS16" s="92"/>
      <c r="AT16" s="92"/>
      <c r="AU16" s="92"/>
      <c r="AV16" s="92"/>
      <c r="AW16" s="92"/>
      <c r="AX16" s="92"/>
      <c r="AY16" s="92"/>
      <c r="AZ16" s="92"/>
      <c r="BA16" s="92"/>
    </row>
    <row s="986" customFormat="1" customHeight="1" ht="11.25" hidden="1">
      <c r="B17" s="429"/>
      <c r="E17" s="627"/>
      <c r="W17" s="92"/>
      <c r="X17" s="92"/>
      <c r="Y17" s="92"/>
      <c r="Z17" s="567"/>
      <c r="AA17" s="92"/>
      <c r="AB17" s="429"/>
      <c r="AC17" s="429"/>
      <c r="AD17" s="429"/>
      <c r="AE17" s="429"/>
      <c r="AF17" s="478"/>
      <c r="AG17" s="92"/>
      <c r="AH17" s="92"/>
      <c r="AI17" s="92"/>
      <c r="AJ17" s="92"/>
      <c r="AK17" s="92"/>
      <c r="AL17" s="92"/>
      <c r="AM17" s="92"/>
      <c r="AN17" s="92"/>
      <c r="AO17" s="92"/>
      <c r="AP17" s="92"/>
      <c r="AQ17" s="92"/>
      <c r="AR17" s="92"/>
      <c r="AS17" s="92"/>
      <c r="AT17" s="92"/>
      <c r="AU17" s="92"/>
      <c r="AV17" s="92"/>
      <c r="AW17" s="92"/>
      <c r="AX17" s="92"/>
      <c r="AY17" s="92"/>
      <c r="AZ17" s="92"/>
      <c r="BA17" s="92"/>
    </row>
    <row s="986" customFormat="1" customHeight="1" ht="11.25" hidden="1">
      <c r="B18" s="429"/>
      <c r="E18" s="627"/>
      <c r="W18" s="92"/>
      <c r="X18" s="92"/>
      <c r="Y18" s="92"/>
      <c r="Z18" s="567"/>
      <c r="AA18" s="92"/>
      <c r="AB18" s="429"/>
      <c r="AC18" s="429"/>
      <c r="AD18" s="429"/>
      <c r="AE18" s="429"/>
      <c r="AF18" s="478"/>
      <c r="AG18" s="92"/>
      <c r="AH18" s="92"/>
      <c r="AI18" s="92"/>
      <c r="AJ18" s="92"/>
      <c r="AK18" s="92"/>
      <c r="AL18" s="92"/>
      <c r="AM18" s="92"/>
      <c r="AN18" s="92"/>
      <c r="AO18" s="92"/>
      <c r="AP18" s="92"/>
      <c r="AQ18" s="92"/>
      <c r="AR18" s="92"/>
      <c r="AS18" s="92"/>
      <c r="AT18" s="92"/>
      <c r="AU18" s="92"/>
      <c r="AV18" s="92"/>
      <c r="AW18" s="92"/>
      <c r="AX18" s="92"/>
      <c r="AY18" s="92"/>
      <c r="AZ18" s="92"/>
      <c r="BA18" s="92"/>
    </row>
    <row customHeight="1" ht="11.25" hidden="1"/>
    <row customHeight="1" ht="11.25" hidden="1"/>
    <row customHeight="1" ht="10.96875">
      <c r="E21" s="644">
        <v>11.25</v>
      </c>
      <c r="AA21" s="427"/>
      <c r="AF21" s="103"/>
    </row>
    <row customHeight="1" ht="19.0125">
      <c r="E22" s="644">
        <v>19.5</v>
      </c>
      <c r="AA22" s="1319">
        <v>552</v>
      </c>
      <c r="AB22" s="1493" t="s">
        <v>101</v>
      </c>
      <c r="AC22" s="1494"/>
      <c r="AD22" s="1495"/>
      <c r="AE22" s="270" t="s">
        <v>102</v>
      </c>
      <c r="AF22" s="648" cm="1" t="str">
        <f t="array" ref="AF22:AF22">INDEX(TEHSHEET!B1:B90,MATCH(region_name,REGION,0))</f>
        <v>RU42</v>
      </c>
    </row>
    <row customHeight="1" ht="19.0125">
      <c r="E23" s="644">
        <v>19.5</v>
      </c>
      <c r="AB23" s="456"/>
      <c r="AC23" s="457"/>
      <c r="AD23" s="458" t="s">
        <v>103</v>
      </c>
      <c r="AE23" s="960" t="s">
        <v>104</v>
      </c>
      <c r="AH23" s="103" t="str">
        <f>IF(AND(AE23="Метод индексации",god=first_year),"методом индексации установленных тарифов",IF(AND(AE23="Метод индексации",god&lt;&gt;first_year),"методом индексации установленных тарифов (при корректировке тарифов, начиная со второго года долгосрочного периода регулирования)",IF(AE23="Метод экономически обоснованных расходов","методом экономически обоснованных расходов (затрат)",IF(AE23="Метод сравнения аналогов","методом сравнения аналогов",IF(AE23="Метод обеспечения доходности инвестированного капитала","методом обеспечения доходности инвестированного капитала","выберите метод регулирования")))))</f>
        <v>методом индексации установленных тарифов (при корректировке тарифов, начиная со второго года долгосрочного периода регулирования)</v>
      </c>
      <c r="AI23" s="103" t="str">
        <f>IF(method_reg="Метод индексации","INDEX",IF(method_reg="Метод экономически обоснованных расходов","EOR",IF(method_reg="Метод сравнения аналогов","ANALOG","RAB")))</f>
        <v>INDEX</v>
      </c>
    </row>
    <row customHeight="1" ht="19.0125">
      <c r="E24" s="644">
        <v>19.5</v>
      </c>
      <c r="AB24" s="1493" t="s">
        <v>105</v>
      </c>
      <c r="AC24" s="1494"/>
      <c r="AD24" s="1495"/>
      <c r="AE24" s="1654">
        <v>2026</v>
      </c>
      <c r="AF24" s="384"/>
      <c r="AI24" s="103" t="str">
        <f>ORG_SHORT_NAME&amp;"_ИНН:"&amp;inn&amp;"_КПП:"&amp;kpp</f>
        <v>ОАО «СКЭК»_ИНН:4205153492_КПП:420501001</v>
      </c>
    </row>
    <row customHeight="1" ht="19.0125">
      <c r="B25" s="447">
        <f>AND(NOT(method_reg="Метод экономически обоснованных расходов"),NOT(method_reg="Метод сравнения аналогов"))</f>
        <v>1</v>
      </c>
      <c r="E25" s="644">
        <v>19.5</v>
      </c>
      <c r="AB25" s="1493" t="s">
        <v>106</v>
      </c>
      <c r="AC25" s="1494"/>
      <c r="AD25" s="1495"/>
      <c r="AE25" s="460">
        <v>2024</v>
      </c>
      <c r="AF25" s="650">
        <f>first_year+PERIOD_LENGTH-1</f>
        <v>2028</v>
      </c>
      <c r="AG25" s="103" cm="1" t="str">
        <f t="array" ref="AG25:AG25">IF(AE268="да",god,last_year)</f>
        <v>2026</v>
      </c>
    </row>
    <row customHeight="1" ht="19.0125">
      <c r="B26" s="447">
        <f>AND(NOT(method_reg="Метод экономически обоснованных расходов"),NOT(method_reg="Метод сравнения аналогов"))</f>
        <v>1</v>
      </c>
      <c r="E26" s="644">
        <v>19.5</v>
      </c>
      <c r="AB26" s="1493" t="s">
        <v>107</v>
      </c>
      <c r="AC26" s="1494"/>
      <c r="AD26" s="1495"/>
      <c r="AE26" s="460">
        <v>5</v>
      </c>
      <c r="AF26" s="384"/>
    </row>
    <row customHeight="1" ht="19.0125">
      <c r="B27" s="447">
        <f>AND(NOT(method_reg="Метод экономически обоснованных расходов"),NOT(method_reg="Метод сравнения аналогов"),NOT(god=first_year))</f>
        <v>1</v>
      </c>
      <c r="E27" s="644">
        <v>19.5</v>
      </c>
      <c r="AB27" s="1493" t="s">
        <v>108</v>
      </c>
      <c r="AC27" s="1494"/>
      <c r="AD27" s="1495"/>
      <c r="AE27" s="270">
        <f>IF(OR(PERIOD_LENGTH-god+first_year&lt;=0,PERIOD_LENGTH-god+first_year&gt;10),"",PERIOD_LENGTH-god+first_year)</f>
        <v>3</v>
      </c>
      <c r="AF27" s="384"/>
    </row>
    <row customHeight="1" ht="7.3125">
      <c r="E28" s="644">
        <v>7.5</v>
      </c>
    </row>
    <row customHeight="1" ht="7.3125">
      <c r="E29" s="644">
        <v>7.5</v>
      </c>
    </row>
    <row customHeight="1" ht="19.0125">
      <c r="E30" s="644">
        <v>19.5</v>
      </c>
      <c r="AB30" s="1496" t="s">
        <v>109</v>
      </c>
      <c r="AC30" s="1496"/>
      <c r="AD30" s="1496"/>
      <c r="AE30" s="1496"/>
      <c r="AF30" s="385"/>
      <c r="AG30" s="105"/>
      <c r="AH30" s="105"/>
      <c r="AI30" s="105"/>
      <c r="AJ30" s="105"/>
      <c r="AK30" s="105"/>
      <c r="AL30" s="105"/>
    </row>
    <row customHeight="1" ht="19.0125">
      <c r="E31" s="644">
        <v>19.5</v>
      </c>
      <c r="AB31" s="1497" t="s">
        <v>110</v>
      </c>
      <c r="AC31" s="1497"/>
      <c r="AD31" s="1497"/>
      <c r="AE31" s="1497"/>
      <c r="AF31" s="385"/>
      <c r="AG31" s="105"/>
      <c r="AH31" s="105"/>
      <c r="AI31" s="105"/>
      <c r="AJ31" s="105"/>
      <c r="AK31" s="105"/>
      <c r="AL31" s="105"/>
    </row>
    <row customHeight="1" ht="19.0125">
      <c r="E32" s="644">
        <v>19.5</v>
      </c>
      <c r="AB32" s="1498" t="s">
        <v>111</v>
      </c>
      <c r="AC32" s="1498"/>
      <c r="AD32" s="1498"/>
      <c r="AE32" s="1498"/>
      <c r="AF32" s="385"/>
      <c r="AG32" s="105"/>
      <c r="AH32" s="105"/>
      <c r="AI32" s="105"/>
      <c r="AJ32" s="105"/>
      <c r="AK32" s="105"/>
      <c r="AL32" s="105"/>
    </row>
    <row customHeight="1" ht="19.0125">
      <c r="E33" s="644">
        <v>19.5</v>
      </c>
      <c r="Z33" s="1656">
        <v>450982</v>
      </c>
      <c r="AA33" s="649">
        <v>26322895</v>
      </c>
      <c r="AB33" s="1657" t="s">
        <v>112</v>
      </c>
      <c r="AC33" s="1499"/>
      <c r="AD33" s="1499"/>
      <c r="AE33" s="1499"/>
      <c r="AG33" s="105"/>
      <c r="AH33" s="105"/>
      <c r="AI33" s="105"/>
      <c r="AJ33" s="105"/>
      <c r="AK33" s="105"/>
      <c r="AL33" s="103" t="str">
        <f>_xlfn.IFERROR(region_name&amp;" / "&amp;god&amp;" / "&amp;org&amp;" (ИНН:"&amp;inn&amp;", КПП:"&amp;kpp&amp;") / ДПР: "&amp;first_year&amp;"-"&amp;last_year,"")</f>
        <v>Кемеровская область / 2026 / ОАО «СКЭК» (ИНН:4205153492, КПП:420501001) / ДПР: 2024-2028</v>
      </c>
    </row>
    <row customHeight="1" ht="28.171875">
      <c r="E34" s="644">
        <v>19.5</v>
      </c>
      <c r="AB34" s="1500" t="str">
        <f>"об установлении тарифов в сфере "&amp;IF(AND(OR(hasVS,hasTranspVS),OR(hasVO,hasTranspVO)),"холодного водоснабжения / водоотведения",IF(OR(hasVS,hasTranspVS),"холодного водоснабжения",IF(OR(hasVO,hasTranspVO),"водоотведения","&lt;не указано&gt;")))&amp;" "&amp;AH23</f>
        <v>об установлении тарифов в сфере холодного водоснабжения / водоотведения методом индексации установленных тарифов (при корректировке тарифов, начиная со второго года долгосрочного периода регулирования)</v>
      </c>
      <c r="AC34" s="1500"/>
      <c r="AD34" s="1500"/>
      <c r="AE34" s="1500"/>
      <c r="AG34" s="105"/>
      <c r="AH34" s="105"/>
      <c r="AI34" s="105"/>
      <c r="AJ34" s="105"/>
      <c r="AK34" s="105"/>
      <c r="AL34" s="105"/>
    </row>
    <row customHeight="1" ht="19.0125">
      <c r="E35" s="644">
        <v>19.5</v>
      </c>
      <c r="AB35" s="1501" t="str">
        <f>IF(god="","",IF(AND(method_reg&lt;&gt;"Метод сравнения аналогов",method_reg&lt;&gt;"Метод экономически обоснованных расходов"),"долгосрочного периода регулирования тарифов "&amp;first_year&amp;"-"&amp;last_year&amp;" гг.","на "&amp;god&amp;" год"))</f>
        <v>долгосрочного периода регулирования тарифов 2024-2028 гг.</v>
      </c>
      <c r="AC35" s="1501"/>
      <c r="AD35" s="1501"/>
      <c r="AE35" s="1501"/>
      <c r="AF35" s="385"/>
      <c r="AG35" s="105"/>
      <c r="AH35" s="105"/>
      <c r="AI35" s="105"/>
      <c r="AJ35" s="105"/>
      <c r="AK35" s="105"/>
      <c r="AL35" s="105"/>
    </row>
    <row customHeight="1" ht="10.96875">
      <c r="E36" s="644">
        <v>11.25</v>
      </c>
      <c r="AB36" s="1502"/>
      <c r="AC36" s="1503"/>
      <c r="AD36" s="1503"/>
      <c r="AE36" s="1504"/>
      <c r="AF36" s="479"/>
      <c r="AG36" s="107"/>
      <c r="AH36" s="92"/>
      <c r="AI36" s="1491"/>
      <c r="AJ36" s="1491"/>
      <c r="AK36" s="92"/>
      <c r="AL36" s="107"/>
    </row>
    <row customHeight="1" ht="19.0125">
      <c r="E37" s="644">
        <v>19.5</v>
      </c>
      <c r="AB37" s="1492" t="s">
        <v>113</v>
      </c>
      <c r="AC37" s="1492"/>
      <c r="AD37" s="1492"/>
      <c r="AE37" s="1492"/>
      <c r="AF37" s="480"/>
      <c r="AG37" s="108"/>
      <c r="AH37" s="108"/>
      <c r="AI37" s="108"/>
      <c r="AJ37" s="108"/>
      <c r="AK37" s="108"/>
      <c r="AL37" s="104"/>
    </row>
    <row customHeight="1" ht="35.1">
      <c r="E38" s="644">
        <v>36</v>
      </c>
      <c r="AB38" s="1476" t="s">
        <v>114</v>
      </c>
      <c r="AC38" s="1476"/>
      <c r="AD38" s="1476"/>
      <c r="AE38" s="1658" t="s">
        <v>115</v>
      </c>
      <c r="AF38" s="481"/>
      <c r="AG38" s="104"/>
      <c r="AH38" s="104"/>
      <c r="AI38" s="104"/>
    </row>
    <row customHeight="1" ht="35.1">
      <c r="E39" s="644">
        <v>36</v>
      </c>
      <c r="AB39" s="1476" t="s">
        <v>116</v>
      </c>
      <c r="AC39" s="1476"/>
      <c r="AD39" s="1476"/>
      <c r="AE39" s="1658" t="s">
        <v>112</v>
      </c>
      <c r="AF39" s="481"/>
    </row>
    <row customHeight="1" ht="19.0125">
      <c r="E40" s="644">
        <v>19.5</v>
      </c>
      <c r="AB40" s="1476" t="s">
        <v>117</v>
      </c>
      <c r="AC40" s="1476"/>
      <c r="AD40" s="1476"/>
      <c r="AE40" s="1176"/>
      <c r="AF40" s="384"/>
    </row>
    <row customHeight="1" ht="19.0125">
      <c r="E41" s="644">
        <v>19.5</v>
      </c>
      <c r="AB41" s="1476" t="s">
        <v>118</v>
      </c>
      <c r="AC41" s="1476"/>
      <c r="AD41" s="1476"/>
      <c r="AE41" s="1659" t="s">
        <v>119</v>
      </c>
      <c r="AF41" s="384"/>
    </row>
    <row customHeight="1" ht="19.0125">
      <c r="E42" s="644">
        <v>19.5</v>
      </c>
      <c r="AB42" s="1476" t="s">
        <v>120</v>
      </c>
      <c r="AC42" s="1476"/>
      <c r="AD42" s="1476"/>
      <c r="AE42" s="1659" t="s">
        <v>121</v>
      </c>
      <c r="AF42" s="384"/>
    </row>
    <row customHeight="1" ht="19.0125">
      <c r="E43" s="644">
        <v>19.5</v>
      </c>
      <c r="AB43" s="1476" t="s">
        <v>122</v>
      </c>
      <c r="AC43" s="1476"/>
      <c r="AD43" s="1476"/>
      <c r="AE43" s="1659" t="s">
        <v>123</v>
      </c>
      <c r="AF43" s="384"/>
    </row>
    <row customHeight="1" ht="19.0125">
      <c r="E44" s="644">
        <v>19.5</v>
      </c>
      <c r="AB44" s="1476" t="s">
        <v>124</v>
      </c>
      <c r="AC44" s="1476"/>
      <c r="AD44" s="1476"/>
      <c r="AE44" s="1660" t="s">
        <v>125</v>
      </c>
      <c r="AF44" s="384"/>
      <c r="AG44" s="103" t="s">
        <v>126</v>
      </c>
    </row>
    <row customHeight="1" ht="19.0125">
      <c r="E45" s="644">
        <v>19.5</v>
      </c>
      <c r="AB45" s="1476" t="s">
        <v>127</v>
      </c>
      <c r="AC45" s="1476"/>
      <c r="AD45" s="1476"/>
      <c r="AE45" s="1661" t="s">
        <v>128</v>
      </c>
      <c r="AF45" s="384"/>
      <c r="AG45" s="103" t="s">
        <v>129</v>
      </c>
    </row>
    <row customHeight="1" ht="19.0125">
      <c r="E46" s="644">
        <v>19.5</v>
      </c>
      <c r="AB46" s="1476" t="s">
        <v>130</v>
      </c>
      <c r="AC46" s="1476"/>
      <c r="AD46" s="1476"/>
      <c r="AE46" s="1661" t="s">
        <v>131</v>
      </c>
      <c r="AG46" s="103" t="s">
        <v>132</v>
      </c>
    </row>
    <row customHeight="1" ht="19.0125">
      <c r="E47" s="644">
        <v>19.5</v>
      </c>
      <c r="AB47" s="1476" t="s">
        <v>133</v>
      </c>
      <c r="AC47" s="1476"/>
      <c r="AD47" s="1476"/>
      <c r="AE47" s="1661" t="s">
        <v>131</v>
      </c>
      <c r="AG47" s="103" t="s">
        <v>134</v>
      </c>
    </row>
    <row customHeight="1" ht="19.0125">
      <c r="E48" s="644">
        <v>19.5</v>
      </c>
      <c r="AB48" s="1476" t="s">
        <v>135</v>
      </c>
      <c r="AC48" s="1476"/>
      <c r="AD48" s="1476"/>
      <c r="AE48" s="1661" t="s">
        <v>136</v>
      </c>
      <c r="AG48" s="103" t="s">
        <v>137</v>
      </c>
    </row>
    <row customHeight="1" ht="19.0125">
      <c r="E49" s="644">
        <v>19.5</v>
      </c>
      <c r="AB49" s="1476" t="s">
        <v>138</v>
      </c>
      <c r="AC49" s="1476"/>
      <c r="AD49" s="1476"/>
      <c r="AE49" s="1662" t="s">
        <v>139</v>
      </c>
      <c r="AG49" s="103" t="s">
        <v>140</v>
      </c>
    </row>
    <row customHeight="1" ht="19.0125">
      <c r="E50" s="644">
        <v>19.5</v>
      </c>
      <c r="AB50" s="1476" t="s">
        <v>141</v>
      </c>
      <c r="AC50" s="1476"/>
      <c r="AD50" s="1476"/>
      <c r="AE50" s="1661" t="s">
        <v>142</v>
      </c>
      <c r="AG50" s="103" t="s">
        <v>143</v>
      </c>
    </row>
    <row customHeight="1" ht="19.0125">
      <c r="E51" s="644">
        <v>19.5</v>
      </c>
      <c r="AB51" s="1476" t="s">
        <v>144</v>
      </c>
      <c r="AC51" s="1476"/>
      <c r="AD51" s="1476"/>
      <c r="AE51" s="1661" t="s">
        <v>145</v>
      </c>
      <c r="AG51" s="103" t="s">
        <v>146</v>
      </c>
    </row>
    <row customHeight="1" ht="19.0125">
      <c r="E52" s="644">
        <v>19.5</v>
      </c>
      <c r="AB52" s="1476" t="s">
        <v>147</v>
      </c>
      <c r="AC52" s="1476"/>
      <c r="AD52" s="1476"/>
      <c r="AE52" s="1663" t="s">
        <v>148</v>
      </c>
      <c r="AG52" s="103" t="s">
        <v>149</v>
      </c>
    </row>
    <row customHeight="1" ht="19.0125">
      <c r="E53" s="644">
        <v>19.5</v>
      </c>
      <c r="AB53" s="1476" t="s">
        <v>150</v>
      </c>
      <c r="AC53" s="1476"/>
      <c r="AD53" s="93" t="s">
        <v>151</v>
      </c>
      <c r="AE53" s="390" t="s">
        <v>152</v>
      </c>
      <c r="AG53" s="103" t="s">
        <v>153</v>
      </c>
    </row>
    <row customHeight="1" ht="19.0125">
      <c r="E54" s="644">
        <v>19.5</v>
      </c>
      <c r="AB54" s="1476"/>
      <c r="AC54" s="1476"/>
      <c r="AD54" s="93" t="s">
        <v>154</v>
      </c>
      <c r="AE54" s="1664" t="s">
        <v>155</v>
      </c>
      <c r="AG54" s="103" t="s">
        <v>156</v>
      </c>
    </row>
    <row customHeight="1" ht="19.0125">
      <c r="E55" s="644">
        <v>19.5</v>
      </c>
      <c r="AB55" s="1476"/>
      <c r="AC55" s="1476"/>
      <c r="AD55" s="93" t="s">
        <v>157</v>
      </c>
      <c r="AE55" s="1664" t="s">
        <v>158</v>
      </c>
      <c r="AG55" s="103" t="s">
        <v>159</v>
      </c>
    </row>
    <row customHeight="1" ht="24.862499999999997">
      <c r="E56" s="644">
        <v>25.5</v>
      </c>
      <c r="AB56" s="1476" t="s">
        <v>160</v>
      </c>
      <c r="AC56" s="1476"/>
      <c r="AD56" s="1476"/>
      <c r="AE56" s="390" t="s">
        <v>161</v>
      </c>
      <c r="AF56" s="482"/>
      <c r="AG56" s="103" t="s">
        <v>162</v>
      </c>
    </row>
    <row customHeight="1" ht="24.862499999999997">
      <c r="E57" s="644">
        <v>25.5</v>
      </c>
      <c r="AB57" s="1476" t="s">
        <v>163</v>
      </c>
      <c r="AC57" s="1476"/>
      <c r="AD57" s="1476"/>
      <c r="AE57" s="1664" t="s">
        <v>164</v>
      </c>
      <c r="AF57" s="651"/>
      <c r="AG57" s="575"/>
    </row>
    <row customHeight="1" ht="19.0125">
      <c r="E58" s="644">
        <v>19.5</v>
      </c>
      <c r="AB58" s="1476" t="s">
        <v>165</v>
      </c>
      <c r="AC58" s="1476"/>
      <c r="AD58" s="1476"/>
      <c r="AE58" s="390" t="s">
        <v>161</v>
      </c>
      <c r="AG58" s="103" t="s">
        <v>166</v>
      </c>
    </row>
    <row customHeight="1" ht="24.862499999999997">
      <c r="E59" s="644">
        <v>25.5</v>
      </c>
      <c r="AB59" s="1476" t="s">
        <v>167</v>
      </c>
      <c r="AC59" s="1476"/>
      <c r="AD59" s="1476"/>
      <c r="AE59" s="390" t="s">
        <v>161</v>
      </c>
      <c r="AF59" s="482"/>
      <c r="AG59" s="103" t="s">
        <v>168</v>
      </c>
    </row>
    <row customHeight="1" ht="19.0125">
      <c r="B60" s="447">
        <f>NOT(method_reg="Метод сравнения аналогов")</f>
        <v>1</v>
      </c>
      <c r="E60" s="644">
        <v>19.5</v>
      </c>
      <c r="F60" s="103" t="s">
        <v>169</v>
      </c>
      <c r="AB60" s="1476" t="s">
        <v>170</v>
      </c>
      <c r="AC60" s="1476"/>
      <c r="AD60" s="1476"/>
      <c r="AE60" s="390" t="s">
        <v>152</v>
      </c>
      <c r="AG60" s="103" t="s">
        <v>171</v>
      </c>
    </row>
    <row customHeight="1" ht="19.171875">
      <c r="A61" s="1319"/>
      <c r="B61" s="447">
        <f>AND(NOT(method_reg="Метод сравнения аналогов"),STATUS_GO="да")</f>
        <v>0</v>
      </c>
      <c r="C61" s="1319"/>
      <c r="D61" s="1319"/>
      <c r="E61" s="644">
        <v>12</v>
      </c>
      <c r="F61" s="1319"/>
      <c r="G61" s="1319"/>
      <c r="H61" s="1319"/>
      <c r="I61" s="1319"/>
      <c r="J61" s="1319"/>
      <c r="K61" s="1319"/>
      <c r="L61" s="1319"/>
      <c r="M61" s="1319"/>
      <c r="N61" s="1319"/>
      <c r="O61" s="1319"/>
      <c r="P61" s="1319"/>
      <c r="Q61" s="1319"/>
      <c r="R61" s="1319"/>
      <c r="S61" s="1319"/>
      <c r="T61" s="1319"/>
      <c r="U61" s="1319"/>
      <c r="V61" s="1319"/>
      <c r="W61" s="1319"/>
      <c r="X61" s="1319"/>
      <c r="Y61" s="1319"/>
      <c r="Z61" s="1656"/>
      <c r="AA61" s="643"/>
      <c r="AB61" s="1476" t="s">
        <v>172</v>
      </c>
      <c r="AC61" s="1476"/>
      <c r="AD61" s="1476"/>
      <c r="AE61" s="1669"/>
      <c r="AF61" s="643"/>
      <c r="AG61" s="1319"/>
      <c r="AH61" s="1319"/>
      <c r="AI61" s="1319"/>
      <c r="AJ61" s="1319"/>
      <c r="AK61" s="1319"/>
      <c r="AL61" s="1319"/>
      <c r="AM61" s="1319"/>
      <c r="AN61" s="1319"/>
      <c r="AO61" s="1319"/>
      <c r="AP61" s="1319"/>
      <c r="AQ61" s="1319"/>
      <c r="AR61" s="1319"/>
      <c r="AS61" s="1319"/>
      <c r="AT61" s="1319"/>
      <c r="AU61" s="1319"/>
      <c r="AV61" s="1319"/>
      <c r="AW61" s="1319"/>
      <c r="AX61" s="1319"/>
      <c r="AY61" s="1319"/>
      <c r="AZ61" s="1319"/>
      <c r="BA61" s="1319"/>
    </row>
    <row customHeight="1" ht="11.700000000000001" hidden="1">
      <c r="A62" s="1319"/>
      <c r="B62" s="447">
        <f>AND(NOT(method_reg="Метод сравнения аналогов"),STATUS_GO="да")</f>
        <v>0</v>
      </c>
      <c r="C62" s="1319"/>
      <c r="D62" s="1319"/>
      <c r="E62" s="644">
        <v>12</v>
      </c>
      <c r="F62" s="1319"/>
      <c r="G62" s="1319"/>
      <c r="H62" s="1319"/>
      <c r="I62" s="1319"/>
      <c r="J62" s="1319"/>
      <c r="K62" s="1319"/>
      <c r="L62" s="1319"/>
      <c r="M62" s="1319"/>
      <c r="N62" s="1319"/>
      <c r="O62" s="1319"/>
      <c r="P62" s="1319"/>
      <c r="Q62" s="1319"/>
      <c r="R62" s="1319"/>
      <c r="S62" s="1319"/>
      <c r="T62" s="1319"/>
      <c r="U62" s="1319"/>
      <c r="V62" s="1319"/>
      <c r="W62" s="504">
        <f>ROW(Y62)&gt;ROW(Y$62)</f>
        <v>0</v>
      </c>
      <c r="X62" s="1319"/>
      <c r="Y62" s="103" t="s">
        <v>173</v>
      </c>
      <c r="Z62" s="1656"/>
      <c r="AA62" s="643" t="s">
        <v>174</v>
      </c>
      <c r="AB62" s="1476" t="s">
        <v>172</v>
      </c>
      <c r="AC62" s="1476"/>
      <c r="AD62" s="1476"/>
      <c r="AE62" s="418"/>
      <c r="AF62" s="643"/>
      <c r="AG62" s="1319"/>
      <c r="AH62" s="1319"/>
      <c r="AI62" s="1319"/>
      <c r="AJ62" s="1319"/>
      <c r="AK62" s="1319"/>
      <c r="AL62" s="1319"/>
      <c r="AM62" s="1319"/>
      <c r="AN62" s="1319"/>
      <c r="AO62" s="1319"/>
      <c r="AP62" s="1319"/>
      <c r="AQ62" s="1319"/>
      <c r="AR62" s="1319"/>
      <c r="AS62" s="1319"/>
      <c r="AT62" s="1319"/>
      <c r="AU62" s="1319"/>
      <c r="AV62" s="1319"/>
      <c r="AW62" s="1319"/>
      <c r="AX62" s="1319"/>
      <c r="AY62" s="1319"/>
      <c r="AZ62" s="1319"/>
      <c r="BA62" s="1319"/>
    </row>
    <row customHeight="1" ht="13.649999999999999">
      <c r="A63" s="1319"/>
      <c r="B63" s="447">
        <f>AND(NOT(method_reg="Метод сравнения аналогов"),STATUS_GO="да")</f>
        <v>0</v>
      </c>
      <c r="C63" s="1319"/>
      <c r="D63" s="1319"/>
      <c r="E63" s="644">
        <v>14</v>
      </c>
      <c r="F63" s="103" t="s">
        <v>175</v>
      </c>
      <c r="G63" s="1319"/>
      <c r="H63" s="1319"/>
      <c r="I63" s="1319"/>
      <c r="J63" s="1319"/>
      <c r="K63" s="1319"/>
      <c r="L63" s="1319"/>
      <c r="M63" s="1319"/>
      <c r="N63" s="1319"/>
      <c r="O63" s="1319"/>
      <c r="P63" s="1319"/>
      <c r="Q63" s="1319"/>
      <c r="R63" s="1319"/>
      <c r="S63" s="1319"/>
      <c r="T63" s="1319"/>
      <c r="U63" s="1319"/>
      <c r="V63" s="1319"/>
      <c r="W63" s="1319"/>
      <c r="X63" s="1319"/>
      <c r="Y63" s="104" t="s">
        <v>176</v>
      </c>
      <c r="Z63" s="1656"/>
      <c r="AA63" s="1319"/>
      <c r="AB63" s="261"/>
      <c r="AC63" s="260"/>
      <c r="AD63" s="260"/>
      <c r="AE63" s="364" t="s">
        <v>177</v>
      </c>
      <c r="AF63" s="1096"/>
      <c r="AG63" s="1319"/>
      <c r="AH63" s="1319"/>
      <c r="AI63" s="1319"/>
      <c r="AJ63" s="1319"/>
      <c r="AK63" s="1319"/>
      <c r="AL63" s="1319"/>
      <c r="AM63" s="1319"/>
      <c r="AN63" s="1319"/>
      <c r="AO63" s="1319"/>
      <c r="AP63" s="1319"/>
      <c r="AQ63" s="1319"/>
      <c r="AR63" s="1319"/>
      <c r="AS63" s="1319"/>
      <c r="AT63" s="1319"/>
      <c r="AU63" s="1319"/>
      <c r="AV63" s="1319"/>
      <c r="AW63" s="1319"/>
      <c r="AX63" s="1319"/>
      <c r="AY63" s="1319"/>
      <c r="AZ63" s="1319"/>
      <c r="BA63" s="1319"/>
    </row>
    <row customHeight="1" ht="13.649999999999999" hidden="1">
      <c r="A64" s="1319"/>
      <c r="B64" s="447">
        <f>method_reg="Метод сравнения аналогов"</f>
        <v>0</v>
      </c>
      <c r="C64" s="1319"/>
      <c r="D64" s="1319"/>
      <c r="E64" s="644">
        <v>14</v>
      </c>
      <c r="F64" s="1319"/>
      <c r="G64" s="1319"/>
      <c r="H64" s="1319"/>
      <c r="I64" s="1319"/>
      <c r="J64" s="1319"/>
      <c r="K64" s="1319"/>
      <c r="L64" s="1319"/>
      <c r="M64" s="1319"/>
      <c r="N64" s="1319"/>
      <c r="O64" s="1319"/>
      <c r="P64" s="1319"/>
      <c r="Q64" s="1319"/>
      <c r="R64" s="1319"/>
      <c r="S64" s="1319"/>
      <c r="T64" s="1319"/>
      <c r="U64" s="1319"/>
      <c r="V64" s="1319"/>
      <c r="W64" s="1319"/>
      <c r="X64" s="1319"/>
      <c r="Y64" s="1319"/>
      <c r="Z64" s="1656"/>
      <c r="AA64" s="1319"/>
      <c r="AB64" s="569"/>
      <c r="AC64" s="570"/>
      <c r="AD64" s="570"/>
      <c r="AE64" s="571"/>
      <c r="AF64" s="1096"/>
      <c r="AG64" s="1319"/>
      <c r="AH64" s="1319"/>
      <c r="AI64" s="1319"/>
      <c r="AJ64" s="1319"/>
      <c r="AK64" s="1319"/>
      <c r="AL64" s="1319"/>
      <c r="AM64" s="1319"/>
      <c r="AN64" s="1319"/>
      <c r="AO64" s="1319"/>
      <c r="AP64" s="1319"/>
      <c r="AQ64" s="1319"/>
      <c r="AR64" s="1319"/>
      <c r="AS64" s="1319"/>
      <c r="AT64" s="1319"/>
      <c r="AU64" s="1319"/>
      <c r="AV64" s="1319"/>
      <c r="AW64" s="1319"/>
      <c r="AX64" s="1319"/>
      <c r="AY64" s="1319"/>
      <c r="AZ64" s="1319"/>
      <c r="BA64" s="1319"/>
    </row>
    <row customHeight="1" ht="19.0125" hidden="1">
      <c r="A65" s="1319"/>
      <c r="B65" s="447">
        <f>method_reg="Метод сравнения аналогов"</f>
        <v>0</v>
      </c>
      <c r="C65" s="1319"/>
      <c r="D65" s="1319"/>
      <c r="E65" s="644">
        <v>19.5</v>
      </c>
      <c r="F65" s="1319"/>
      <c r="G65" s="1319"/>
      <c r="H65" s="1319"/>
      <c r="I65" s="1319"/>
      <c r="J65" s="1319"/>
      <c r="K65" s="1319"/>
      <c r="L65" s="1319"/>
      <c r="M65" s="1319"/>
      <c r="N65" s="1319"/>
      <c r="O65" s="1319"/>
      <c r="P65" s="1319"/>
      <c r="Q65" s="1319"/>
      <c r="R65" s="1319"/>
      <c r="S65" s="1319"/>
      <c r="T65" s="1319"/>
      <c r="U65" s="1319"/>
      <c r="V65" s="1319"/>
      <c r="W65" s="1319"/>
      <c r="X65" s="1319"/>
      <c r="Y65" s="1319"/>
      <c r="Z65" s="1656"/>
      <c r="AA65" s="1319"/>
      <c r="AB65" s="1510" t="s">
        <v>178</v>
      </c>
      <c r="AC65" s="1510"/>
      <c r="AD65" s="1510"/>
      <c r="AE65" s="762"/>
      <c r="AF65" s="1096"/>
      <c r="AG65" s="962" t="s">
        <v>179</v>
      </c>
      <c r="AH65" s="1319"/>
      <c r="AI65" s="1319"/>
      <c r="AJ65" s="1319"/>
      <c r="AK65" s="1319"/>
      <c r="AL65" s="1319"/>
      <c r="AM65" s="1319"/>
      <c r="AN65" s="1319"/>
      <c r="AO65" s="1319"/>
      <c r="AP65" s="1319"/>
      <c r="AQ65" s="1319"/>
      <c r="AR65" s="1319"/>
      <c r="AS65" s="1319"/>
      <c r="AT65" s="1319"/>
      <c r="AU65" s="1319"/>
      <c r="AV65" s="1319"/>
      <c r="AW65" s="1319"/>
      <c r="AX65" s="1319"/>
      <c r="AY65" s="1319"/>
      <c r="AZ65" s="1319"/>
      <c r="BA65" s="1319"/>
    </row>
    <row customHeight="1" ht="19.0125" hidden="1">
      <c r="A66" s="1319"/>
      <c r="B66" s="447">
        <f>method_reg="Метод сравнения аналогов"</f>
        <v>0</v>
      </c>
      <c r="C66" s="1319"/>
      <c r="D66" s="1319"/>
      <c r="E66" s="644">
        <v>19.5</v>
      </c>
      <c r="F66" s="1319"/>
      <c r="G66" s="1319"/>
      <c r="H66" s="1319"/>
      <c r="I66" s="1319"/>
      <c r="J66" s="1319"/>
      <c r="K66" s="1319"/>
      <c r="L66" s="1319"/>
      <c r="M66" s="1319"/>
      <c r="N66" s="1319"/>
      <c r="O66" s="1319"/>
      <c r="P66" s="1319"/>
      <c r="Q66" s="1319"/>
      <c r="R66" s="1319"/>
      <c r="S66" s="1319"/>
      <c r="T66" s="1319"/>
      <c r="U66" s="1319"/>
      <c r="V66" s="1319"/>
      <c r="W66" s="1319"/>
      <c r="X66" s="1319"/>
      <c r="Y66" s="1319"/>
      <c r="Z66" s="1656"/>
      <c r="AA66" s="1319"/>
      <c r="AB66" s="1510" t="s">
        <v>180</v>
      </c>
      <c r="AC66" s="1510"/>
      <c r="AD66" s="1510"/>
      <c r="AE66" s="762"/>
      <c r="AF66" s="1096"/>
      <c r="AG66" s="962" t="s">
        <v>181</v>
      </c>
      <c r="AH66" s="1319"/>
      <c r="AI66" s="1319"/>
      <c r="AJ66" s="1319"/>
      <c r="AK66" s="1319"/>
      <c r="AL66" s="1319"/>
      <c r="AM66" s="1319"/>
      <c r="AN66" s="1319"/>
      <c r="AO66" s="1319"/>
      <c r="AP66" s="1319"/>
      <c r="AQ66" s="1319"/>
      <c r="AR66" s="1319"/>
      <c r="AS66" s="1319"/>
      <c r="AT66" s="1319"/>
      <c r="AU66" s="1319"/>
      <c r="AV66" s="1319"/>
      <c r="AW66" s="1319"/>
      <c r="AX66" s="1319"/>
      <c r="AY66" s="1319"/>
      <c r="AZ66" s="1319"/>
      <c r="BA66" s="1319"/>
    </row>
    <row customHeight="1" ht="19.0125" hidden="1">
      <c r="A67" s="1319"/>
      <c r="B67" s="447">
        <f>method_reg="Метод сравнения аналогов"</f>
        <v>0</v>
      </c>
      <c r="C67" s="1319"/>
      <c r="D67" s="1319"/>
      <c r="E67" s="644">
        <v>19.5</v>
      </c>
      <c r="F67" s="1319"/>
      <c r="G67" s="1319"/>
      <c r="H67" s="1319"/>
      <c r="I67" s="1319"/>
      <c r="J67" s="1319"/>
      <c r="K67" s="1319"/>
      <c r="L67" s="1319"/>
      <c r="M67" s="1319"/>
      <c r="N67" s="1319"/>
      <c r="O67" s="1319"/>
      <c r="P67" s="1319"/>
      <c r="Q67" s="1319"/>
      <c r="R67" s="1319"/>
      <c r="S67" s="1319"/>
      <c r="T67" s="1319"/>
      <c r="U67" s="1319"/>
      <c r="V67" s="1319"/>
      <c r="W67" s="1319"/>
      <c r="X67" s="1319"/>
      <c r="Y67" s="1319"/>
      <c r="Z67" s="1656"/>
      <c r="AA67" s="1319"/>
      <c r="AB67" s="1510" t="s">
        <v>182</v>
      </c>
      <c r="AC67" s="1510"/>
      <c r="AD67" s="1510"/>
      <c r="AE67" s="762"/>
      <c r="AF67" s="1096"/>
      <c r="AG67" s="962" t="s">
        <v>183</v>
      </c>
      <c r="AH67" s="1319"/>
      <c r="AI67" s="1319"/>
      <c r="AJ67" s="1319"/>
      <c r="AK67" s="1319"/>
      <c r="AL67" s="1319"/>
      <c r="AM67" s="1319"/>
      <c r="AN67" s="1319"/>
      <c r="AO67" s="1319"/>
      <c r="AP67" s="1319"/>
      <c r="AQ67" s="1319"/>
      <c r="AR67" s="1319"/>
      <c r="AS67" s="1319"/>
      <c r="AT67" s="1319"/>
      <c r="AU67" s="1319"/>
      <c r="AV67" s="1319"/>
      <c r="AW67" s="1319"/>
      <c r="AX67" s="1319"/>
      <c r="AY67" s="1319"/>
      <c r="AZ67" s="1319"/>
      <c r="BA67" s="1319"/>
    </row>
    <row customHeight="1" ht="19.0125" hidden="1">
      <c r="A68" s="1319"/>
      <c r="B68" s="447">
        <f>method_reg="Метод сравнения аналогов"</f>
        <v>0</v>
      </c>
      <c r="C68" s="1319"/>
      <c r="D68" s="1319"/>
      <c r="E68" s="644">
        <v>19.5</v>
      </c>
      <c r="F68" s="1319"/>
      <c r="G68" s="1319"/>
      <c r="H68" s="1319"/>
      <c r="I68" s="1319"/>
      <c r="J68" s="1319"/>
      <c r="K68" s="1319"/>
      <c r="L68" s="1319"/>
      <c r="M68" s="1319"/>
      <c r="N68" s="1319"/>
      <c r="O68" s="1319"/>
      <c r="P68" s="1319"/>
      <c r="Q68" s="1319"/>
      <c r="R68" s="1319"/>
      <c r="S68" s="1319"/>
      <c r="T68" s="1319"/>
      <c r="U68" s="1319"/>
      <c r="V68" s="1319"/>
      <c r="W68" s="1319"/>
      <c r="X68" s="1319"/>
      <c r="Y68" s="1319"/>
      <c r="Z68" s="1656"/>
      <c r="AA68" s="1319"/>
      <c r="AB68" s="1476" t="s">
        <v>184</v>
      </c>
      <c r="AC68" s="1476"/>
      <c r="AD68" s="1476"/>
      <c r="AE68" s="1684"/>
      <c r="AF68" s="1096"/>
      <c r="AG68" s="962" t="s">
        <v>185</v>
      </c>
      <c r="AH68" s="1319"/>
      <c r="AI68" s="1319"/>
      <c r="AJ68" s="1319"/>
      <c r="AK68" s="1319"/>
      <c r="AL68" s="1319"/>
      <c r="AM68" s="1319"/>
      <c r="AN68" s="1319"/>
      <c r="AO68" s="1319"/>
      <c r="AP68" s="1319"/>
      <c r="AQ68" s="1319"/>
      <c r="AR68" s="1319"/>
      <c r="AS68" s="1319"/>
      <c r="AT68" s="1319"/>
      <c r="AU68" s="1319"/>
      <c r="AV68" s="1319"/>
      <c r="AW68" s="1319"/>
      <c r="AX68" s="1319"/>
      <c r="AY68" s="1319"/>
      <c r="AZ68" s="1319"/>
      <c r="BA68" s="1319"/>
    </row>
    <row customHeight="1" ht="19.0125" hidden="1">
      <c r="A69" s="1319"/>
      <c r="B69" s="447">
        <f>method_reg="Метод сравнения аналогов"</f>
        <v>0</v>
      </c>
      <c r="C69" s="1319"/>
      <c r="D69" s="1319"/>
      <c r="E69" s="644">
        <v>19.5</v>
      </c>
      <c r="F69" s="1319"/>
      <c r="G69" s="1319"/>
      <c r="H69" s="1319"/>
      <c r="I69" s="1319"/>
      <c r="J69" s="1319"/>
      <c r="K69" s="1319"/>
      <c r="L69" s="1319"/>
      <c r="M69" s="1319"/>
      <c r="N69" s="1319"/>
      <c r="O69" s="1319"/>
      <c r="P69" s="1319"/>
      <c r="Q69" s="1319"/>
      <c r="R69" s="1319"/>
      <c r="S69" s="1319"/>
      <c r="T69" s="1319"/>
      <c r="U69" s="1319"/>
      <c r="V69" s="1319"/>
      <c r="W69" s="1319"/>
      <c r="X69" s="1319"/>
      <c r="Y69" s="1319"/>
      <c r="Z69" s="1656"/>
      <c r="AA69" s="1319"/>
      <c r="AB69" s="1476" t="s">
        <v>186</v>
      </c>
      <c r="AC69" s="1476"/>
      <c r="AD69" s="1476"/>
      <c r="AE69" s="1685"/>
      <c r="AF69" s="1096"/>
      <c r="AG69" s="962" t="s">
        <v>187</v>
      </c>
      <c r="AH69" s="1319"/>
      <c r="AI69" s="1319"/>
      <c r="AJ69" s="1319"/>
      <c r="AK69" s="1319"/>
      <c r="AL69" s="1319"/>
      <c r="AM69" s="1319"/>
      <c r="AN69" s="1319"/>
      <c r="AO69" s="1319"/>
      <c r="AP69" s="1319"/>
      <c r="AQ69" s="1319"/>
      <c r="AR69" s="1319"/>
      <c r="AS69" s="1319"/>
      <c r="AT69" s="1319"/>
      <c r="AU69" s="1319"/>
      <c r="AV69" s="1319"/>
      <c r="AW69" s="1319"/>
      <c r="AX69" s="1319"/>
      <c r="AY69" s="1319"/>
      <c r="AZ69" s="1319"/>
      <c r="BA69" s="1319"/>
    </row>
    <row customHeight="1" ht="13.649999999999999">
      <c r="B70" s="103"/>
      <c r="E70" s="644">
        <v>14</v>
      </c>
      <c r="AB70" s="569"/>
      <c r="AC70" s="570"/>
      <c r="AD70" s="570"/>
      <c r="AE70" s="571"/>
      <c r="AF70" s="1096"/>
    </row>
    <row customHeight="1" ht="19.0125">
      <c r="B71" s="103"/>
      <c r="E71" s="644">
        <v>19.5</v>
      </c>
      <c r="AB71" s="1476" t="s">
        <v>188</v>
      </c>
      <c r="AC71" s="1476"/>
      <c r="AD71" s="1476"/>
      <c r="AE71" s="389" t="s">
        <v>161</v>
      </c>
      <c r="AF71" s="1096"/>
      <c r="AG71" s="103" t="s">
        <v>189</v>
      </c>
    </row>
    <row customHeight="1" ht="19.0125">
      <c r="B72" s="103"/>
      <c r="E72" s="644">
        <v>19.5</v>
      </c>
      <c r="F72" s="103" t="s">
        <v>190</v>
      </c>
      <c r="AB72" s="1476" t="s">
        <v>191</v>
      </c>
      <c r="AC72" s="1476"/>
      <c r="AD72" s="1476"/>
      <c r="AE72" s="389" t="s">
        <v>161</v>
      </c>
      <c r="AF72" s="1096"/>
      <c r="AG72" s="103" t="s">
        <v>192</v>
      </c>
    </row>
    <row customHeight="1" ht="42.421875">
      <c r="A73" s="1319"/>
      <c r="B73" s="447">
        <f>HAS_DOC2="да"</f>
        <v>1</v>
      </c>
      <c r="C73" s="1319"/>
      <c r="D73" s="1319"/>
      <c r="E73" s="644">
        <v>19.5</v>
      </c>
      <c r="F73" s="1319"/>
      <c r="G73" s="1319"/>
      <c r="H73" s="1319"/>
      <c r="I73" s="1319"/>
      <c r="J73" s="1319"/>
      <c r="K73" s="1319"/>
      <c r="L73" s="1319"/>
      <c r="M73" s="1319"/>
      <c r="N73" s="1319"/>
      <c r="O73" s="1319"/>
      <c r="P73" s="1319"/>
      <c r="Q73" s="1319"/>
      <c r="R73" s="1319"/>
      <c r="S73" s="1319"/>
      <c r="T73" s="1319"/>
      <c r="U73" s="1319"/>
      <c r="V73" s="1319"/>
      <c r="W73" s="1319"/>
      <c r="X73" s="1319"/>
      <c r="Y73" s="1319"/>
      <c r="Z73" s="1656"/>
      <c r="AA73" s="1319"/>
      <c r="AB73" s="1505" t="s">
        <v>193</v>
      </c>
      <c r="AC73" s="1508" t="s">
        <v>194</v>
      </c>
      <c r="AD73" s="1509"/>
      <c r="AE73" s="381" t="s">
        <v>195</v>
      </c>
      <c r="AF73" s="1096"/>
      <c r="AG73" s="1319"/>
      <c r="AH73" s="1319"/>
      <c r="AI73" s="1319"/>
      <c r="AJ73" s="1319"/>
      <c r="AK73" s="1319"/>
      <c r="AL73" s="1319"/>
      <c r="AM73" s="1319"/>
      <c r="AN73" s="1319"/>
      <c r="AO73" s="1319"/>
      <c r="AP73" s="1319"/>
      <c r="AQ73" s="1319"/>
      <c r="AR73" s="1319"/>
      <c r="AS73" s="1319"/>
      <c r="AT73" s="1319"/>
      <c r="AU73" s="1319"/>
      <c r="AV73" s="1319"/>
      <c r="AW73" s="1319"/>
      <c r="AX73" s="1319"/>
      <c r="AY73" s="1319"/>
      <c r="AZ73" s="1319"/>
      <c r="BA73" s="1319"/>
    </row>
    <row customHeight="1" ht="19.0125">
      <c r="A74" s="1319"/>
      <c r="B74" s="447">
        <f>HAS_DOC2="да"</f>
        <v>1</v>
      </c>
      <c r="C74" s="1319"/>
      <c r="D74" s="1319"/>
      <c r="E74" s="644">
        <v>19.5</v>
      </c>
      <c r="F74" s="1319"/>
      <c r="G74" s="1319"/>
      <c r="H74" s="1319"/>
      <c r="I74" s="1319"/>
      <c r="J74" s="1319"/>
      <c r="K74" s="1319"/>
      <c r="L74" s="1319"/>
      <c r="M74" s="1319"/>
      <c r="N74" s="1319"/>
      <c r="O74" s="1319"/>
      <c r="P74" s="1319"/>
      <c r="Q74" s="1319"/>
      <c r="R74" s="1319"/>
      <c r="S74" s="1319"/>
      <c r="T74" s="1319"/>
      <c r="U74" s="1319"/>
      <c r="V74" s="1319"/>
      <c r="W74" s="1319"/>
      <c r="X74" s="1319"/>
      <c r="Y74" s="1319"/>
      <c r="Z74" s="1656"/>
      <c r="AA74" s="1319"/>
      <c r="AB74" s="1506"/>
      <c r="AC74" s="1508" t="s">
        <v>196</v>
      </c>
      <c r="AD74" s="1509"/>
      <c r="AE74" s="382" t="s">
        <v>197</v>
      </c>
      <c r="AF74" s="1096"/>
      <c r="AG74" s="1319"/>
      <c r="AH74" s="1319"/>
      <c r="AI74" s="1319"/>
      <c r="AJ74" s="1319"/>
      <c r="AK74" s="1319"/>
      <c r="AL74" s="1319"/>
      <c r="AM74" s="1319"/>
      <c r="AN74" s="1319"/>
      <c r="AO74" s="1319"/>
      <c r="AP74" s="1319"/>
      <c r="AQ74" s="1319"/>
      <c r="AR74" s="1319"/>
      <c r="AS74" s="1319"/>
      <c r="AT74" s="1319"/>
      <c r="AU74" s="1319"/>
      <c r="AV74" s="1319"/>
      <c r="AW74" s="1319"/>
      <c r="AX74" s="1319"/>
      <c r="AY74" s="1319"/>
      <c r="AZ74" s="1319"/>
      <c r="BA74" s="1319"/>
    </row>
    <row customHeight="1" ht="19.0125">
      <c r="A75" s="1319"/>
      <c r="B75" s="447">
        <f>HAS_DOC2="да"</f>
        <v>1</v>
      </c>
      <c r="C75" s="1319"/>
      <c r="D75" s="1319"/>
      <c r="E75" s="644">
        <v>19.5</v>
      </c>
      <c r="F75" s="1319"/>
      <c r="G75" s="1319"/>
      <c r="H75" s="1319"/>
      <c r="I75" s="1319"/>
      <c r="J75" s="1319"/>
      <c r="K75" s="1319"/>
      <c r="L75" s="1319"/>
      <c r="M75" s="1319"/>
      <c r="N75" s="1319"/>
      <c r="O75" s="1319"/>
      <c r="P75" s="1319"/>
      <c r="Q75" s="1319"/>
      <c r="R75" s="1319"/>
      <c r="S75" s="1319"/>
      <c r="T75" s="1319"/>
      <c r="U75" s="1319"/>
      <c r="V75" s="1319"/>
      <c r="W75" s="1319"/>
      <c r="X75" s="1319"/>
      <c r="Y75" s="1319"/>
      <c r="Z75" s="1656"/>
      <c r="AA75" s="1319"/>
      <c r="AB75" s="1506"/>
      <c r="AC75" s="1508" t="s">
        <v>198</v>
      </c>
      <c r="AD75" s="1509"/>
      <c r="AE75" s="381" t="s">
        <v>199</v>
      </c>
      <c r="AF75" s="1096"/>
      <c r="AG75" s="1319"/>
      <c r="AH75" s="1319"/>
      <c r="AI75" s="1319"/>
      <c r="AJ75" s="1319"/>
      <c r="AK75" s="1319"/>
      <c r="AL75" s="1319"/>
      <c r="AM75" s="1319"/>
      <c r="AN75" s="1319"/>
      <c r="AO75" s="1319"/>
      <c r="AP75" s="1319"/>
      <c r="AQ75" s="1319"/>
      <c r="AR75" s="1319"/>
      <c r="AS75" s="1319"/>
      <c r="AT75" s="1319"/>
      <c r="AU75" s="1319"/>
      <c r="AV75" s="1319"/>
      <c r="AW75" s="1319"/>
      <c r="AX75" s="1319"/>
      <c r="AY75" s="1319"/>
      <c r="AZ75" s="1319"/>
      <c r="BA75" s="1319"/>
    </row>
    <row customHeight="1" ht="19.0125">
      <c r="A76" s="1319"/>
      <c r="B76" s="447">
        <f>HAS_DOC2="да"</f>
        <v>1</v>
      </c>
      <c r="C76" s="1319"/>
      <c r="D76" s="1319"/>
      <c r="E76" s="644">
        <v>19.5</v>
      </c>
      <c r="F76" s="1319"/>
      <c r="G76" s="1319"/>
      <c r="H76" s="1319"/>
      <c r="I76" s="1319"/>
      <c r="J76" s="1319"/>
      <c r="K76" s="1319"/>
      <c r="L76" s="1319"/>
      <c r="M76" s="1319"/>
      <c r="N76" s="1319"/>
      <c r="O76" s="1319"/>
      <c r="P76" s="1319"/>
      <c r="Q76" s="1319"/>
      <c r="R76" s="1319"/>
      <c r="S76" s="1319"/>
      <c r="T76" s="1319"/>
      <c r="U76" s="1319"/>
      <c r="V76" s="1319"/>
      <c r="W76" s="1319"/>
      <c r="X76" s="1319"/>
      <c r="Y76" s="1319"/>
      <c r="Z76" s="1656"/>
      <c r="AA76" s="1319"/>
      <c r="AB76" s="1506"/>
      <c r="AC76" s="1508" t="s">
        <v>200</v>
      </c>
      <c r="AD76" s="1509"/>
      <c r="AE76" s="421" t="s">
        <v>201</v>
      </c>
      <c r="AF76" s="383"/>
      <c r="AG76" s="1319"/>
      <c r="AH76" s="1319"/>
      <c r="AI76" s="1319"/>
      <c r="AJ76" s="1319"/>
      <c r="AK76" s="1319"/>
      <c r="AL76" s="1319"/>
      <c r="AM76" s="1319"/>
      <c r="AN76" s="1319"/>
      <c r="AO76" s="1319"/>
      <c r="AP76" s="1319"/>
      <c r="AQ76" s="1319"/>
      <c r="AR76" s="1319"/>
      <c r="AS76" s="1319"/>
      <c r="AT76" s="1319"/>
      <c r="AU76" s="1319"/>
      <c r="AV76" s="1319"/>
      <c r="AW76" s="1319"/>
      <c r="AX76" s="1319"/>
      <c r="AY76" s="1319"/>
      <c r="AZ76" s="1319"/>
      <c r="BA76" s="1319"/>
    </row>
    <row customHeight="1" ht="19.0125">
      <c r="A77" s="1319"/>
      <c r="B77" s="447">
        <f>HAS_DOC2="да"</f>
        <v>1</v>
      </c>
      <c r="C77" s="1319"/>
      <c r="D77" s="1319"/>
      <c r="E77" s="644">
        <v>19.5</v>
      </c>
      <c r="F77" s="1319"/>
      <c r="G77" s="1319"/>
      <c r="H77" s="1319"/>
      <c r="I77" s="1319"/>
      <c r="J77" s="1319"/>
      <c r="K77" s="1319"/>
      <c r="L77" s="1319"/>
      <c r="M77" s="1319"/>
      <c r="N77" s="1319"/>
      <c r="O77" s="1319"/>
      <c r="P77" s="1319"/>
      <c r="Q77" s="1319"/>
      <c r="R77" s="1319"/>
      <c r="S77" s="1319"/>
      <c r="T77" s="1319"/>
      <c r="U77" s="1319"/>
      <c r="V77" s="1319"/>
      <c r="W77" s="1319"/>
      <c r="X77" s="1319"/>
      <c r="Y77" s="1319"/>
      <c r="Z77" s="1656"/>
      <c r="AA77" s="1319"/>
      <c r="AB77" s="1507"/>
      <c r="AC77" s="1508" t="s">
        <v>202</v>
      </c>
      <c r="AD77" s="1509"/>
      <c r="AE77" s="402"/>
      <c r="AF77" s="383"/>
      <c r="AG77" s="1319"/>
      <c r="AH77" s="1319"/>
      <c r="AI77" s="1319"/>
      <c r="AJ77" s="1319"/>
      <c r="AK77" s="1319"/>
      <c r="AL77" s="1319"/>
      <c r="AM77" s="1319"/>
      <c r="AN77" s="1319"/>
      <c r="AO77" s="1319"/>
      <c r="AP77" s="1319"/>
      <c r="AQ77" s="1319"/>
      <c r="AR77" s="1319"/>
      <c r="AS77" s="1319"/>
      <c r="AT77" s="1319"/>
      <c r="AU77" s="1319"/>
      <c r="AV77" s="1319"/>
      <c r="AW77" s="1319"/>
      <c r="AX77" s="1319"/>
      <c r="AY77" s="1319"/>
      <c r="AZ77" s="1319"/>
      <c r="BA77" s="1319"/>
    </row>
    <row customHeight="1" ht="19.0125" hidden="1">
      <c r="A78" s="1319"/>
      <c r="B78" s="447">
        <f>HAS_DOC2="да"</f>
        <v>1</v>
      </c>
      <c r="C78" s="1319"/>
      <c r="D78" s="1319"/>
      <c r="E78" s="644">
        <v>19.5</v>
      </c>
      <c r="F78" s="1319"/>
      <c r="G78" s="1319"/>
      <c r="H78" s="1319"/>
      <c r="I78" s="1319"/>
      <c r="J78" s="1319"/>
      <c r="K78" s="1319"/>
      <c r="L78" s="1319"/>
      <c r="M78" s="1319"/>
      <c r="N78" s="1319"/>
      <c r="O78" s="1319"/>
      <c r="P78" s="1319"/>
      <c r="Q78" s="1319"/>
      <c r="R78" s="1319"/>
      <c r="S78" s="1319"/>
      <c r="T78" s="1319"/>
      <c r="U78" s="1319"/>
      <c r="V78" s="1319"/>
      <c r="W78" s="504">
        <f>ROW(Y78)&gt;ROW(Y$78)</f>
        <v>0</v>
      </c>
      <c r="X78" s="1319"/>
      <c r="Y78" s="103" t="s">
        <v>173</v>
      </c>
      <c r="Z78" s="1656"/>
      <c r="AA78" s="1516" t="s">
        <v>174</v>
      </c>
      <c r="AB78" s="1505" t="s">
        <v>193</v>
      </c>
      <c r="AC78" s="1508" t="s">
        <v>194</v>
      </c>
      <c r="AD78" s="1509"/>
      <c r="AE78" s="1696"/>
      <c r="AF78" s="383"/>
      <c r="AG78" s="1319"/>
      <c r="AH78" s="1319"/>
      <c r="AI78" s="1319"/>
      <c r="AJ78" s="1319"/>
      <c r="AK78" s="1319"/>
      <c r="AL78" s="1319"/>
      <c r="AM78" s="1319"/>
      <c r="AN78" s="1319"/>
      <c r="AO78" s="1319"/>
      <c r="AP78" s="1319"/>
      <c r="AQ78" s="1319"/>
      <c r="AR78" s="1319"/>
      <c r="AS78" s="1319"/>
      <c r="AT78" s="1319"/>
      <c r="AU78" s="1319"/>
      <c r="AV78" s="1319"/>
      <c r="AW78" s="1319"/>
      <c r="AX78" s="1319"/>
      <c r="AY78" s="1319"/>
      <c r="AZ78" s="1319"/>
      <c r="BA78" s="1319"/>
    </row>
    <row customHeight="1" ht="19.0125" hidden="1">
      <c r="A79" s="1319"/>
      <c r="B79" s="447">
        <f>HAS_DOC2="да"</f>
        <v>1</v>
      </c>
      <c r="C79" s="1319"/>
      <c r="D79" s="1319"/>
      <c r="E79" s="644">
        <v>19.5</v>
      </c>
      <c r="F79" s="1319"/>
      <c r="G79" s="1319"/>
      <c r="H79" s="1319"/>
      <c r="I79" s="1319"/>
      <c r="J79" s="1319"/>
      <c r="K79" s="1319"/>
      <c r="L79" s="1319"/>
      <c r="M79" s="1319"/>
      <c r="N79" s="1319"/>
      <c r="O79" s="1319"/>
      <c r="P79" s="1319"/>
      <c r="Q79" s="1319"/>
      <c r="R79" s="1319"/>
      <c r="S79" s="1319"/>
      <c r="T79" s="1319"/>
      <c r="U79" s="1319"/>
      <c r="V79" s="1319"/>
      <c r="W79" s="504" cm="1" t="str">
        <f t="array" ref="W79:W79">W78</f>
        <v>false</v>
      </c>
      <c r="X79" s="1319"/>
      <c r="Y79" s="1319"/>
      <c r="Z79" s="1656"/>
      <c r="AA79" s="1516"/>
      <c r="AB79" s="1506"/>
      <c r="AC79" s="1508" t="s">
        <v>196</v>
      </c>
      <c r="AD79" s="1509"/>
      <c r="AE79" s="1697"/>
      <c r="AF79" s="383"/>
      <c r="AG79" s="1319"/>
      <c r="AH79" s="1319"/>
      <c r="AI79" s="1319"/>
      <c r="AJ79" s="1319"/>
      <c r="AK79" s="1319"/>
      <c r="AL79" s="1319"/>
      <c r="AM79" s="1319"/>
      <c r="AN79" s="1319"/>
      <c r="AO79" s="1319"/>
      <c r="AP79" s="1319"/>
      <c r="AQ79" s="1319"/>
      <c r="AR79" s="1319"/>
      <c r="AS79" s="1319"/>
      <c r="AT79" s="1319"/>
      <c r="AU79" s="1319"/>
      <c r="AV79" s="1319"/>
      <c r="AW79" s="1319"/>
      <c r="AX79" s="1319"/>
      <c r="AY79" s="1319"/>
      <c r="AZ79" s="1319"/>
      <c r="BA79" s="1319"/>
    </row>
    <row customHeight="1" ht="19.0125" hidden="1">
      <c r="A80" s="1319"/>
      <c r="B80" s="447">
        <f>HAS_DOC2="да"</f>
        <v>1</v>
      </c>
      <c r="C80" s="1319"/>
      <c r="D80" s="1319"/>
      <c r="E80" s="644">
        <v>19.5</v>
      </c>
      <c r="F80" s="1319"/>
      <c r="G80" s="1319"/>
      <c r="H80" s="1319"/>
      <c r="I80" s="1319"/>
      <c r="J80" s="1319"/>
      <c r="K80" s="1319"/>
      <c r="L80" s="1319"/>
      <c r="M80" s="1319"/>
      <c r="N80" s="1319"/>
      <c r="O80" s="1319"/>
      <c r="P80" s="1319"/>
      <c r="Q80" s="1319"/>
      <c r="R80" s="1319"/>
      <c r="S80" s="1319"/>
      <c r="T80" s="1319"/>
      <c r="U80" s="1319"/>
      <c r="V80" s="1319"/>
      <c r="W80" s="504" cm="1" t="str">
        <f t="array" ref="W80:W80">W79</f>
        <v>false</v>
      </c>
      <c r="X80" s="1319"/>
      <c r="Y80" s="1319"/>
      <c r="Z80" s="1656"/>
      <c r="AA80" s="1516"/>
      <c r="AB80" s="1506"/>
      <c r="AC80" s="1508" t="s">
        <v>198</v>
      </c>
      <c r="AD80" s="1509"/>
      <c r="AE80" s="1696"/>
      <c r="AF80" s="383"/>
      <c r="AG80" s="1319"/>
      <c r="AH80" s="1319"/>
      <c r="AI80" s="1319"/>
      <c r="AJ80" s="1319"/>
      <c r="AK80" s="1319"/>
      <c r="AL80" s="1319"/>
      <c r="AM80" s="1319"/>
      <c r="AN80" s="1319"/>
      <c r="AO80" s="1319"/>
      <c r="AP80" s="1319"/>
      <c r="AQ80" s="1319"/>
      <c r="AR80" s="1319"/>
      <c r="AS80" s="1319"/>
      <c r="AT80" s="1319"/>
      <c r="AU80" s="1319"/>
      <c r="AV80" s="1319"/>
      <c r="AW80" s="1319"/>
      <c r="AX80" s="1319"/>
      <c r="AY80" s="1319"/>
      <c r="AZ80" s="1319"/>
      <c r="BA80" s="1319"/>
    </row>
    <row customHeight="1" ht="19.0125" hidden="1">
      <c r="A81" s="1319"/>
      <c r="B81" s="447">
        <f>HAS_DOC2="да"</f>
        <v>1</v>
      </c>
      <c r="C81" s="1319"/>
      <c r="D81" s="1319"/>
      <c r="E81" s="644">
        <v>19.5</v>
      </c>
      <c r="F81" s="1319"/>
      <c r="G81" s="1319"/>
      <c r="H81" s="1319"/>
      <c r="I81" s="1319"/>
      <c r="J81" s="1319"/>
      <c r="K81" s="1319"/>
      <c r="L81" s="1319"/>
      <c r="M81" s="1319"/>
      <c r="N81" s="1319"/>
      <c r="O81" s="1319"/>
      <c r="P81" s="1319"/>
      <c r="Q81" s="1319"/>
      <c r="R81" s="1319"/>
      <c r="S81" s="1319"/>
      <c r="T81" s="1319"/>
      <c r="U81" s="1319"/>
      <c r="V81" s="1319"/>
      <c r="W81" s="504" cm="1" t="str">
        <f t="array" ref="W81:W81">W80</f>
        <v>false</v>
      </c>
      <c r="X81" s="1319"/>
      <c r="Y81" s="1319"/>
      <c r="Z81" s="1656"/>
      <c r="AA81" s="1516"/>
      <c r="AB81" s="1506"/>
      <c r="AC81" s="1508" t="s">
        <v>200</v>
      </c>
      <c r="AD81" s="1509"/>
      <c r="AE81" s="1698"/>
      <c r="AF81" s="383"/>
      <c r="AG81" s="1319"/>
      <c r="AH81" s="1319"/>
      <c r="AI81" s="1319"/>
      <c r="AJ81" s="1319"/>
      <c r="AK81" s="1319"/>
      <c r="AL81" s="1319"/>
      <c r="AM81" s="1319"/>
      <c r="AN81" s="1319"/>
      <c r="AO81" s="1319"/>
      <c r="AP81" s="1319"/>
      <c r="AQ81" s="1319"/>
      <c r="AR81" s="1319"/>
      <c r="AS81" s="1319"/>
      <c r="AT81" s="1319"/>
      <c r="AU81" s="1319"/>
      <c r="AV81" s="1319"/>
      <c r="AW81" s="1319"/>
      <c r="AX81" s="1319"/>
      <c r="AY81" s="1319"/>
      <c r="AZ81" s="1319"/>
      <c r="BA81" s="1319"/>
    </row>
    <row customHeight="1" ht="19.0125" hidden="1">
      <c r="A82" s="1319"/>
      <c r="B82" s="447">
        <f>HAS_DOC2="да"</f>
        <v>1</v>
      </c>
      <c r="C82" s="1319"/>
      <c r="D82" s="1319"/>
      <c r="E82" s="644">
        <v>19.5</v>
      </c>
      <c r="F82" s="1319"/>
      <c r="G82" s="1319"/>
      <c r="H82" s="1319"/>
      <c r="I82" s="1319"/>
      <c r="J82" s="1319"/>
      <c r="K82" s="1319"/>
      <c r="L82" s="1319"/>
      <c r="M82" s="1319"/>
      <c r="N82" s="1319"/>
      <c r="O82" s="1319"/>
      <c r="P82" s="1319"/>
      <c r="Q82" s="1319"/>
      <c r="R82" s="1319"/>
      <c r="S82" s="1319"/>
      <c r="T82" s="1319"/>
      <c r="U82" s="1319"/>
      <c r="V82" s="1319"/>
      <c r="W82" s="504" cm="1" t="str">
        <f t="array" ref="W82:W82">W81</f>
        <v>false</v>
      </c>
      <c r="X82" s="1319"/>
      <c r="Y82" s="1319"/>
      <c r="Z82" s="1656"/>
      <c r="AA82" s="1516"/>
      <c r="AB82" s="1507"/>
      <c r="AC82" s="1508" t="s">
        <v>202</v>
      </c>
      <c r="AD82" s="1509"/>
      <c r="AE82" s="1699"/>
      <c r="AF82" s="383"/>
      <c r="AG82" s="1319"/>
      <c r="AH82" s="1319"/>
      <c r="AI82" s="1319"/>
      <c r="AJ82" s="1319"/>
      <c r="AK82" s="1319"/>
      <c r="AL82" s="1319"/>
      <c r="AM82" s="1319"/>
      <c r="AN82" s="1319"/>
      <c r="AO82" s="1319"/>
      <c r="AP82" s="1319"/>
      <c r="AQ82" s="1319"/>
      <c r="AR82" s="1319"/>
      <c r="AS82" s="1319"/>
      <c r="AT82" s="1319"/>
      <c r="AU82" s="1319"/>
      <c r="AV82" s="1319"/>
      <c r="AW82" s="1319"/>
      <c r="AX82" s="1319"/>
      <c r="AY82" s="1319"/>
      <c r="AZ82" s="1319"/>
      <c r="BA82" s="1319"/>
    </row>
    <row customHeight="1" ht="14.625">
      <c r="A83" s="1319"/>
      <c r="B83" s="447">
        <f>HAS_DOC2="да"</f>
        <v>1</v>
      </c>
      <c r="C83" s="1319"/>
      <c r="D83" s="1319"/>
      <c r="E83" s="644">
        <v>15</v>
      </c>
      <c r="F83" s="103" t="s">
        <v>190</v>
      </c>
      <c r="G83" s="1319"/>
      <c r="H83" s="1319"/>
      <c r="I83" s="1319"/>
      <c r="J83" s="1319"/>
      <c r="K83" s="1319"/>
      <c r="L83" s="1319"/>
      <c r="M83" s="1319"/>
      <c r="N83" s="1319"/>
      <c r="O83" s="1319"/>
      <c r="P83" s="1319"/>
      <c r="Q83" s="1319"/>
      <c r="R83" s="1319"/>
      <c r="S83" s="1319"/>
      <c r="T83" s="1319"/>
      <c r="U83" s="1319"/>
      <c r="V83" s="1319"/>
      <c r="W83" s="1319"/>
      <c r="X83" s="1319"/>
      <c r="Y83" s="104" t="s">
        <v>176</v>
      </c>
      <c r="Z83" s="1656"/>
      <c r="AA83" s="1319"/>
      <c r="AB83" s="261"/>
      <c r="AC83" s="260"/>
      <c r="AD83" s="260"/>
      <c r="AE83" s="364" t="s">
        <v>177</v>
      </c>
      <c r="AF83" s="383"/>
      <c r="AG83" s="1319"/>
      <c r="AH83" s="1319"/>
      <c r="AI83" s="1319"/>
      <c r="AJ83" s="1319"/>
      <c r="AK83" s="1319"/>
      <c r="AL83" s="1319"/>
      <c r="AM83" s="1319"/>
      <c r="AN83" s="1319"/>
      <c r="AO83" s="1319"/>
      <c r="AP83" s="1319"/>
      <c r="AQ83" s="1319"/>
      <c r="AR83" s="1319"/>
      <c r="AS83" s="1319"/>
      <c r="AT83" s="1319"/>
      <c r="AU83" s="1319"/>
      <c r="AV83" s="1319"/>
      <c r="AW83" s="1319"/>
      <c r="AX83" s="1319"/>
      <c r="AY83" s="1319"/>
      <c r="AZ83" s="1319"/>
      <c r="BA83" s="1319"/>
    </row>
    <row customHeight="1" ht="19.0125">
      <c r="B84" s="103"/>
      <c r="E84" s="644">
        <v>19.5</v>
      </c>
      <c r="F84" s="103" t="s">
        <v>203</v>
      </c>
      <c r="AB84" s="1476" t="s">
        <v>204</v>
      </c>
      <c r="AC84" s="1476"/>
      <c r="AD84" s="1476"/>
      <c r="AE84" s="389" t="s">
        <v>161</v>
      </c>
      <c r="AG84" s="103" t="s">
        <v>205</v>
      </c>
    </row>
    <row customHeight="1" ht="37.921875">
      <c r="A85" s="1319"/>
      <c r="B85" s="447">
        <f>HAS_DOC3="да"</f>
        <v>1</v>
      </c>
      <c r="C85" s="1319"/>
      <c r="D85" s="1319"/>
      <c r="E85" s="644">
        <v>19.5</v>
      </c>
      <c r="F85" s="1319"/>
      <c r="G85" s="1319"/>
      <c r="H85" s="1319"/>
      <c r="I85" s="1319"/>
      <c r="J85" s="1319"/>
      <c r="K85" s="1319"/>
      <c r="L85" s="1319"/>
      <c r="M85" s="1319"/>
      <c r="N85" s="1319"/>
      <c r="O85" s="1319"/>
      <c r="P85" s="1319"/>
      <c r="Q85" s="1319"/>
      <c r="R85" s="1319"/>
      <c r="S85" s="1319"/>
      <c r="T85" s="1319"/>
      <c r="U85" s="1319"/>
      <c r="V85" s="1319"/>
      <c r="W85" s="1319"/>
      <c r="X85" s="1319"/>
      <c r="Y85" s="1319"/>
      <c r="Z85" s="1656"/>
      <c r="AA85" s="1319"/>
      <c r="AB85" s="1488" t="s">
        <v>193</v>
      </c>
      <c r="AC85" s="1476" t="s">
        <v>194</v>
      </c>
      <c r="AD85" s="1476"/>
      <c r="AE85" s="381" t="s">
        <v>206</v>
      </c>
      <c r="AF85" s="383"/>
      <c r="AG85" s="1319"/>
      <c r="AH85" s="1319"/>
      <c r="AI85" s="1319"/>
      <c r="AJ85" s="1319"/>
      <c r="AK85" s="1319"/>
      <c r="AL85" s="1319"/>
      <c r="AM85" s="1319"/>
      <c r="AN85" s="1319"/>
      <c r="AO85" s="1319"/>
      <c r="AP85" s="1319"/>
      <c r="AQ85" s="1319"/>
      <c r="AR85" s="1319"/>
      <c r="AS85" s="1319"/>
      <c r="AT85" s="1319"/>
      <c r="AU85" s="1319"/>
      <c r="AV85" s="1319"/>
      <c r="AW85" s="1319"/>
      <c r="AX85" s="1319"/>
      <c r="AY85" s="1319"/>
      <c r="AZ85" s="1319"/>
      <c r="BA85" s="1319"/>
    </row>
    <row customHeight="1" ht="19.0125">
      <c r="A86" s="1319"/>
      <c r="B86" s="447">
        <f>HAS_DOC3="да"</f>
        <v>1</v>
      </c>
      <c r="C86" s="1319"/>
      <c r="D86" s="1319"/>
      <c r="E86" s="644">
        <v>19.5</v>
      </c>
      <c r="F86" s="1319"/>
      <c r="G86" s="1319"/>
      <c r="H86" s="1319"/>
      <c r="I86" s="1319"/>
      <c r="J86" s="1319"/>
      <c r="K86" s="1319"/>
      <c r="L86" s="1319"/>
      <c r="M86" s="1319"/>
      <c r="N86" s="1319"/>
      <c r="O86" s="1319"/>
      <c r="P86" s="1319"/>
      <c r="Q86" s="1319"/>
      <c r="R86" s="1319"/>
      <c r="S86" s="1319"/>
      <c r="T86" s="1319"/>
      <c r="U86" s="1319"/>
      <c r="V86" s="1319"/>
      <c r="W86" s="1319"/>
      <c r="X86" s="1319"/>
      <c r="Y86" s="1319"/>
      <c r="Z86" s="1656"/>
      <c r="AA86" s="1319"/>
      <c r="AB86" s="1488"/>
      <c r="AC86" s="1476" t="s">
        <v>196</v>
      </c>
      <c r="AD86" s="1476"/>
      <c r="AE86" s="382" t="s">
        <v>197</v>
      </c>
      <c r="AF86" s="383"/>
      <c r="AG86" s="1319"/>
      <c r="AH86" s="1319"/>
      <c r="AI86" s="1319"/>
      <c r="AJ86" s="1319"/>
      <c r="AK86" s="1319"/>
      <c r="AL86" s="1319"/>
      <c r="AM86" s="1319"/>
      <c r="AN86" s="1319"/>
      <c r="AO86" s="1319"/>
      <c r="AP86" s="1319"/>
      <c r="AQ86" s="1319"/>
      <c r="AR86" s="1319"/>
      <c r="AS86" s="1319"/>
      <c r="AT86" s="1319"/>
      <c r="AU86" s="1319"/>
      <c r="AV86" s="1319"/>
      <c r="AW86" s="1319"/>
      <c r="AX86" s="1319"/>
      <c r="AY86" s="1319"/>
      <c r="AZ86" s="1319"/>
      <c r="BA86" s="1319"/>
    </row>
    <row customHeight="1" ht="19.0125">
      <c r="A87" s="1319"/>
      <c r="B87" s="447">
        <f>HAS_DOC3="да"</f>
        <v>1</v>
      </c>
      <c r="C87" s="1319"/>
      <c r="D87" s="1319"/>
      <c r="E87" s="644">
        <v>19.5</v>
      </c>
      <c r="F87" s="1319"/>
      <c r="G87" s="1319"/>
      <c r="H87" s="1319"/>
      <c r="I87" s="1319"/>
      <c r="J87" s="1319"/>
      <c r="K87" s="1319"/>
      <c r="L87" s="1319"/>
      <c r="M87" s="1319"/>
      <c r="N87" s="1319"/>
      <c r="O87" s="1319"/>
      <c r="P87" s="1319"/>
      <c r="Q87" s="1319"/>
      <c r="R87" s="1319"/>
      <c r="S87" s="1319"/>
      <c r="T87" s="1319"/>
      <c r="U87" s="1319"/>
      <c r="V87" s="1319"/>
      <c r="W87" s="1319"/>
      <c r="X87" s="1319"/>
      <c r="Y87" s="1319"/>
      <c r="Z87" s="1656"/>
      <c r="AA87" s="1319"/>
      <c r="AB87" s="1488"/>
      <c r="AC87" s="1476" t="s">
        <v>198</v>
      </c>
      <c r="AD87" s="1476"/>
      <c r="AE87" s="381" t="s">
        <v>207</v>
      </c>
      <c r="AF87" s="383"/>
      <c r="AG87" s="1319"/>
      <c r="AH87" s="1319"/>
      <c r="AI87" s="1319"/>
      <c r="AJ87" s="1319"/>
      <c r="AK87" s="1319"/>
      <c r="AL87" s="1319"/>
      <c r="AM87" s="1319"/>
      <c r="AN87" s="1319"/>
      <c r="AO87" s="1319"/>
      <c r="AP87" s="1319"/>
      <c r="AQ87" s="1319"/>
      <c r="AR87" s="1319"/>
      <c r="AS87" s="1319"/>
      <c r="AT87" s="1319"/>
      <c r="AU87" s="1319"/>
      <c r="AV87" s="1319"/>
      <c r="AW87" s="1319"/>
      <c r="AX87" s="1319"/>
      <c r="AY87" s="1319"/>
      <c r="AZ87" s="1319"/>
      <c r="BA87" s="1319"/>
    </row>
    <row customHeight="1" ht="19.0125">
      <c r="A88" s="1319"/>
      <c r="B88" s="447">
        <f>HAS_DOC3="да"</f>
        <v>1</v>
      </c>
      <c r="C88" s="1319"/>
      <c r="D88" s="1319"/>
      <c r="E88" s="644">
        <v>19.5</v>
      </c>
      <c r="F88" s="1319"/>
      <c r="G88" s="1319"/>
      <c r="H88" s="1319"/>
      <c r="I88" s="1319"/>
      <c r="J88" s="1319"/>
      <c r="K88" s="1319"/>
      <c r="L88" s="1319"/>
      <c r="M88" s="1319"/>
      <c r="N88" s="1319"/>
      <c r="O88" s="1319"/>
      <c r="P88" s="1319"/>
      <c r="Q88" s="1319"/>
      <c r="R88" s="1319"/>
      <c r="S88" s="1319"/>
      <c r="T88" s="1319"/>
      <c r="U88" s="1319"/>
      <c r="V88" s="1319"/>
      <c r="W88" s="1319"/>
      <c r="X88" s="1319"/>
      <c r="Y88" s="1319"/>
      <c r="Z88" s="1656"/>
      <c r="AA88" s="1319"/>
      <c r="AB88" s="1488"/>
      <c r="AC88" s="1476" t="s">
        <v>200</v>
      </c>
      <c r="AD88" s="1476"/>
      <c r="AE88" s="421">
        <v>42776</v>
      </c>
      <c r="AF88" s="383"/>
      <c r="AG88" s="1319"/>
      <c r="AH88" s="1319"/>
      <c r="AI88" s="1319"/>
      <c r="AJ88" s="1319"/>
      <c r="AK88" s="1319"/>
      <c r="AL88" s="1319"/>
      <c r="AM88" s="1319"/>
      <c r="AN88" s="1319"/>
      <c r="AO88" s="1319"/>
      <c r="AP88" s="1319"/>
      <c r="AQ88" s="1319"/>
      <c r="AR88" s="1319"/>
      <c r="AS88" s="1319"/>
      <c r="AT88" s="1319"/>
      <c r="AU88" s="1319"/>
      <c r="AV88" s="1319"/>
      <c r="AW88" s="1319"/>
      <c r="AX88" s="1319"/>
      <c r="AY88" s="1319"/>
      <c r="AZ88" s="1319"/>
      <c r="BA88" s="1319"/>
    </row>
    <row customHeight="1" ht="19.0125">
      <c r="A89" s="1319"/>
      <c r="B89" s="447">
        <f>HAS_DOC3="да"</f>
        <v>1</v>
      </c>
      <c r="C89" s="1319"/>
      <c r="D89" s="1319"/>
      <c r="E89" s="644">
        <v>19.5</v>
      </c>
      <c r="F89" s="1319"/>
      <c r="G89" s="1319"/>
      <c r="H89" s="1319"/>
      <c r="I89" s="1319"/>
      <c r="J89" s="1319"/>
      <c r="K89" s="1319"/>
      <c r="L89" s="1319"/>
      <c r="M89" s="1319"/>
      <c r="N89" s="1319"/>
      <c r="O89" s="1319"/>
      <c r="P89" s="1319"/>
      <c r="Q89" s="1319"/>
      <c r="R89" s="1319"/>
      <c r="S89" s="1319"/>
      <c r="T89" s="1319"/>
      <c r="U89" s="1319"/>
      <c r="V89" s="1319"/>
      <c r="W89" s="1319"/>
      <c r="X89" s="1319"/>
      <c r="Y89" s="1319"/>
      <c r="Z89" s="1656"/>
      <c r="AA89" s="1319"/>
      <c r="AB89" s="1488"/>
      <c r="AC89" s="1476" t="s">
        <v>202</v>
      </c>
      <c r="AD89" s="1476"/>
      <c r="AE89" s="402"/>
      <c r="AF89" s="383"/>
      <c r="AG89" s="1319"/>
      <c r="AH89" s="1319"/>
      <c r="AI89" s="1319"/>
      <c r="AJ89" s="1319"/>
      <c r="AK89" s="1319"/>
      <c r="AL89" s="1319"/>
      <c r="AM89" s="1319"/>
      <c r="AN89" s="1319"/>
      <c r="AO89" s="1319"/>
      <c r="AP89" s="1319"/>
      <c r="AQ89" s="1319"/>
      <c r="AR89" s="1319"/>
      <c r="AS89" s="1319"/>
      <c r="AT89" s="1319"/>
      <c r="AU89" s="1319"/>
      <c r="AV89" s="1319"/>
      <c r="AW89" s="1319"/>
      <c r="AX89" s="1319"/>
      <c r="AY89" s="1319"/>
      <c r="AZ89" s="1319"/>
      <c r="BA89" s="1319"/>
    </row>
    <row customHeight="1" ht="19.0125" hidden="1">
      <c r="A90" s="1319"/>
      <c r="B90" s="447">
        <f>HAS_DOC3="да"</f>
        <v>1</v>
      </c>
      <c r="C90" s="1319"/>
      <c r="D90" s="1319"/>
      <c r="E90" s="644">
        <v>19.5</v>
      </c>
      <c r="F90" s="1319"/>
      <c r="G90" s="1319"/>
      <c r="H90" s="1319"/>
      <c r="I90" s="1319"/>
      <c r="J90" s="1319"/>
      <c r="K90" s="1319"/>
      <c r="L90" s="1319"/>
      <c r="M90" s="1319"/>
      <c r="N90" s="1319"/>
      <c r="O90" s="1319"/>
      <c r="P90" s="1319"/>
      <c r="Q90" s="1319"/>
      <c r="R90" s="1319"/>
      <c r="S90" s="1319"/>
      <c r="T90" s="1319"/>
      <c r="U90" s="1319"/>
      <c r="V90" s="1319"/>
      <c r="W90" s="504">
        <f>ROW(Y90)&gt;ROW(Y$90)</f>
        <v>0</v>
      </c>
      <c r="X90" s="1319"/>
      <c r="Y90" s="103" t="s">
        <v>173</v>
      </c>
      <c r="Z90" s="1656"/>
      <c r="AA90" s="1516" t="s">
        <v>174</v>
      </c>
      <c r="AB90" s="1505" t="s">
        <v>193</v>
      </c>
      <c r="AC90" s="1508" t="s">
        <v>194</v>
      </c>
      <c r="AD90" s="1509"/>
      <c r="AE90" s="1696"/>
      <c r="AF90" s="383"/>
      <c r="AG90" s="1319"/>
      <c r="AH90" s="1319"/>
      <c r="AI90" s="1319"/>
      <c r="AJ90" s="1319"/>
      <c r="AK90" s="1319"/>
      <c r="AL90" s="1319"/>
      <c r="AM90" s="1319"/>
      <c r="AN90" s="1319"/>
      <c r="AO90" s="1319"/>
      <c r="AP90" s="1319"/>
      <c r="AQ90" s="1319"/>
      <c r="AR90" s="1319"/>
      <c r="AS90" s="1319"/>
      <c r="AT90" s="1319"/>
      <c r="AU90" s="1319"/>
      <c r="AV90" s="1319"/>
      <c r="AW90" s="1319"/>
      <c r="AX90" s="1319"/>
      <c r="AY90" s="1319"/>
      <c r="AZ90" s="1319"/>
      <c r="BA90" s="1319"/>
    </row>
    <row customHeight="1" ht="19.0125" hidden="1">
      <c r="A91" s="1319"/>
      <c r="B91" s="447">
        <f>HAS_DOC3="да"</f>
        <v>1</v>
      </c>
      <c r="C91" s="1319"/>
      <c r="D91" s="1319"/>
      <c r="E91" s="644">
        <v>19.5</v>
      </c>
      <c r="F91" s="1319"/>
      <c r="G91" s="1319"/>
      <c r="H91" s="1319"/>
      <c r="I91" s="1319"/>
      <c r="J91" s="1319"/>
      <c r="K91" s="1319"/>
      <c r="L91" s="1319"/>
      <c r="M91" s="1319"/>
      <c r="N91" s="1319"/>
      <c r="O91" s="1319"/>
      <c r="P91" s="1319"/>
      <c r="Q91" s="1319"/>
      <c r="R91" s="1319"/>
      <c r="S91" s="1319"/>
      <c r="T91" s="1319"/>
      <c r="U91" s="1319"/>
      <c r="V91" s="1319"/>
      <c r="W91" s="504" cm="1" t="str">
        <f t="array" ref="W91:W91">W90</f>
        <v>false</v>
      </c>
      <c r="X91" s="1319"/>
      <c r="Y91" s="1319"/>
      <c r="Z91" s="1656"/>
      <c r="AA91" s="1516"/>
      <c r="AB91" s="1506"/>
      <c r="AC91" s="1508" t="s">
        <v>196</v>
      </c>
      <c r="AD91" s="1509"/>
      <c r="AE91" s="1697"/>
      <c r="AF91" s="383"/>
      <c r="AG91" s="1319"/>
      <c r="AH91" s="1319"/>
      <c r="AI91" s="1319"/>
      <c r="AJ91" s="1319"/>
      <c r="AK91" s="1319"/>
      <c r="AL91" s="1319"/>
      <c r="AM91" s="1319"/>
      <c r="AN91" s="1319"/>
      <c r="AO91" s="1319"/>
      <c r="AP91" s="1319"/>
      <c r="AQ91" s="1319"/>
      <c r="AR91" s="1319"/>
      <c r="AS91" s="1319"/>
      <c r="AT91" s="1319"/>
      <c r="AU91" s="1319"/>
      <c r="AV91" s="1319"/>
      <c r="AW91" s="1319"/>
      <c r="AX91" s="1319"/>
      <c r="AY91" s="1319"/>
      <c r="AZ91" s="1319"/>
      <c r="BA91" s="1319"/>
    </row>
    <row customHeight="1" ht="19.0125" hidden="1">
      <c r="A92" s="1319"/>
      <c r="B92" s="447">
        <f>HAS_DOC3="да"</f>
        <v>1</v>
      </c>
      <c r="C92" s="1319"/>
      <c r="D92" s="1319"/>
      <c r="E92" s="644">
        <v>19.5</v>
      </c>
      <c r="F92" s="1319"/>
      <c r="G92" s="1319"/>
      <c r="H92" s="1319"/>
      <c r="I92" s="1319"/>
      <c r="J92" s="1319"/>
      <c r="K92" s="1319"/>
      <c r="L92" s="1319"/>
      <c r="M92" s="1319"/>
      <c r="N92" s="1319"/>
      <c r="O92" s="1319"/>
      <c r="P92" s="1319"/>
      <c r="Q92" s="1319"/>
      <c r="R92" s="1319"/>
      <c r="S92" s="1319"/>
      <c r="T92" s="1319"/>
      <c r="U92" s="1319"/>
      <c r="V92" s="1319"/>
      <c r="W92" s="504" cm="1" t="str">
        <f t="array" ref="W92:W92">W91</f>
        <v>false</v>
      </c>
      <c r="X92" s="1319"/>
      <c r="Y92" s="1319"/>
      <c r="Z92" s="1656"/>
      <c r="AA92" s="1516"/>
      <c r="AB92" s="1506"/>
      <c r="AC92" s="1508" t="s">
        <v>198</v>
      </c>
      <c r="AD92" s="1509"/>
      <c r="AE92" s="1696"/>
      <c r="AF92" s="383"/>
      <c r="AG92" s="1319"/>
      <c r="AH92" s="1319"/>
      <c r="AI92" s="1319"/>
      <c r="AJ92" s="1319"/>
      <c r="AK92" s="1319"/>
      <c r="AL92" s="1319"/>
      <c r="AM92" s="1319"/>
      <c r="AN92" s="1319"/>
      <c r="AO92" s="1319"/>
      <c r="AP92" s="1319"/>
      <c r="AQ92" s="1319"/>
      <c r="AR92" s="1319"/>
      <c r="AS92" s="1319"/>
      <c r="AT92" s="1319"/>
      <c r="AU92" s="1319"/>
      <c r="AV92" s="1319"/>
      <c r="AW92" s="1319"/>
      <c r="AX92" s="1319"/>
      <c r="AY92" s="1319"/>
      <c r="AZ92" s="1319"/>
      <c r="BA92" s="1319"/>
    </row>
    <row customHeight="1" ht="19.0125" hidden="1">
      <c r="A93" s="1319"/>
      <c r="B93" s="447">
        <f>HAS_DOC3="да"</f>
        <v>1</v>
      </c>
      <c r="C93" s="1319"/>
      <c r="D93" s="1319"/>
      <c r="E93" s="644">
        <v>19.5</v>
      </c>
      <c r="F93" s="1319"/>
      <c r="G93" s="1319"/>
      <c r="H93" s="1319"/>
      <c r="I93" s="1319"/>
      <c r="J93" s="1319"/>
      <c r="K93" s="1319"/>
      <c r="L93" s="1319"/>
      <c r="M93" s="1319"/>
      <c r="N93" s="1319"/>
      <c r="O93" s="1319"/>
      <c r="P93" s="1319"/>
      <c r="Q93" s="1319"/>
      <c r="R93" s="1319"/>
      <c r="S93" s="1319"/>
      <c r="T93" s="1319"/>
      <c r="U93" s="1319"/>
      <c r="V93" s="1319"/>
      <c r="W93" s="504" cm="1" t="str">
        <f t="array" ref="W93:W93">W92</f>
        <v>false</v>
      </c>
      <c r="X93" s="1319"/>
      <c r="Y93" s="1319"/>
      <c r="Z93" s="1656"/>
      <c r="AA93" s="1516"/>
      <c r="AB93" s="1506"/>
      <c r="AC93" s="1508" t="s">
        <v>200</v>
      </c>
      <c r="AD93" s="1509"/>
      <c r="AE93" s="1698"/>
      <c r="AF93" s="383"/>
      <c r="AG93" s="1319"/>
      <c r="AH93" s="1319"/>
      <c r="AI93" s="1319"/>
      <c r="AJ93" s="1319"/>
      <c r="AK93" s="1319"/>
      <c r="AL93" s="1319"/>
      <c r="AM93" s="1319"/>
      <c r="AN93" s="1319"/>
      <c r="AO93" s="1319"/>
      <c r="AP93" s="1319"/>
      <c r="AQ93" s="1319"/>
      <c r="AR93" s="1319"/>
      <c r="AS93" s="1319"/>
      <c r="AT93" s="1319"/>
      <c r="AU93" s="1319"/>
      <c r="AV93" s="1319"/>
      <c r="AW93" s="1319"/>
      <c r="AX93" s="1319"/>
      <c r="AY93" s="1319"/>
      <c r="AZ93" s="1319"/>
      <c r="BA93" s="1319"/>
    </row>
    <row customHeight="1" ht="19.0125" hidden="1">
      <c r="A94" s="1319"/>
      <c r="B94" s="447">
        <f>HAS_DOC3="да"</f>
        <v>1</v>
      </c>
      <c r="C94" s="1319"/>
      <c r="D94" s="1319"/>
      <c r="E94" s="644">
        <v>19.5</v>
      </c>
      <c r="F94" s="1319"/>
      <c r="G94" s="1319"/>
      <c r="H94" s="1319"/>
      <c r="I94" s="1319"/>
      <c r="J94" s="1319"/>
      <c r="K94" s="1319"/>
      <c r="L94" s="1319"/>
      <c r="M94" s="1319"/>
      <c r="N94" s="1319"/>
      <c r="O94" s="1319"/>
      <c r="P94" s="1319"/>
      <c r="Q94" s="1319"/>
      <c r="R94" s="1319"/>
      <c r="S94" s="1319"/>
      <c r="T94" s="1319"/>
      <c r="U94" s="1319"/>
      <c r="V94" s="1319"/>
      <c r="W94" s="504" cm="1" t="str">
        <f t="array" ref="W94:W94">W93</f>
        <v>false</v>
      </c>
      <c r="X94" s="1319"/>
      <c r="Y94" s="1319"/>
      <c r="Z94" s="1656"/>
      <c r="AA94" s="1516"/>
      <c r="AB94" s="1507"/>
      <c r="AC94" s="1508" t="s">
        <v>202</v>
      </c>
      <c r="AD94" s="1509"/>
      <c r="AE94" s="1699"/>
      <c r="AF94" s="383"/>
      <c r="AG94" s="1319"/>
      <c r="AH94" s="1319"/>
      <c r="AI94" s="1319"/>
      <c r="AJ94" s="1319"/>
      <c r="AK94" s="1319"/>
      <c r="AL94" s="1319"/>
      <c r="AM94" s="1319"/>
      <c r="AN94" s="1319"/>
      <c r="AO94" s="1319"/>
      <c r="AP94" s="1319"/>
      <c r="AQ94" s="1319"/>
      <c r="AR94" s="1319"/>
      <c r="AS94" s="1319"/>
      <c r="AT94" s="1319"/>
      <c r="AU94" s="1319"/>
      <c r="AV94" s="1319"/>
      <c r="AW94" s="1319"/>
      <c r="AX94" s="1319"/>
      <c r="AY94" s="1319"/>
      <c r="AZ94" s="1319"/>
      <c r="BA94" s="1319"/>
    </row>
    <row customHeight="1" ht="14.625">
      <c r="A95" s="1319"/>
      <c r="B95" s="447">
        <f>HAS_DOC3="да"</f>
        <v>1</v>
      </c>
      <c r="C95" s="1319"/>
      <c r="D95" s="1319"/>
      <c r="E95" s="644">
        <v>15</v>
      </c>
      <c r="F95" s="103" t="s">
        <v>203</v>
      </c>
      <c r="G95" s="1319"/>
      <c r="H95" s="1319"/>
      <c r="I95" s="1319"/>
      <c r="J95" s="1319"/>
      <c r="K95" s="1319"/>
      <c r="L95" s="1319"/>
      <c r="M95" s="1319"/>
      <c r="N95" s="1319"/>
      <c r="O95" s="1319"/>
      <c r="P95" s="1319"/>
      <c r="Q95" s="1319"/>
      <c r="R95" s="1319"/>
      <c r="S95" s="1319"/>
      <c r="T95" s="1319"/>
      <c r="U95" s="1319"/>
      <c r="V95" s="1319"/>
      <c r="W95" s="1319"/>
      <c r="X95" s="1319"/>
      <c r="Y95" s="104" t="s">
        <v>176</v>
      </c>
      <c r="Z95" s="1656"/>
      <c r="AA95" s="1319"/>
      <c r="AB95" s="261"/>
      <c r="AC95" s="260"/>
      <c r="AD95" s="260"/>
      <c r="AE95" s="364" t="s">
        <v>177</v>
      </c>
      <c r="AF95" s="383"/>
      <c r="AG95" s="1319"/>
      <c r="AH95" s="1319"/>
      <c r="AI95" s="1319"/>
      <c r="AJ95" s="1319"/>
      <c r="AK95" s="1319"/>
      <c r="AL95" s="1319"/>
      <c r="AM95" s="1319"/>
      <c r="AN95" s="1319"/>
      <c r="AO95" s="1319"/>
      <c r="AP95" s="1319"/>
      <c r="AQ95" s="1319"/>
      <c r="AR95" s="1319"/>
      <c r="AS95" s="1319"/>
      <c r="AT95" s="1319"/>
      <c r="AU95" s="1319"/>
      <c r="AV95" s="1319"/>
      <c r="AW95" s="1319"/>
      <c r="AX95" s="1319"/>
      <c r="AY95" s="1319"/>
      <c r="AZ95" s="1319"/>
      <c r="BA95" s="1319"/>
    </row>
    <row customHeight="1" ht="19.0125">
      <c r="B96" s="447">
        <f>NOT(method_reg="Метод сравнения аналогов")</f>
        <v>1</v>
      </c>
      <c r="E96" s="644">
        <v>19.5</v>
      </c>
      <c r="F96" s="103" t="s">
        <v>208</v>
      </c>
      <c r="AB96" s="1476" t="s">
        <v>209</v>
      </c>
      <c r="AC96" s="1476"/>
      <c r="AD96" s="1476"/>
      <c r="AE96" s="389" t="s">
        <v>161</v>
      </c>
      <c r="AG96" s="103" t="s">
        <v>210</v>
      </c>
    </row>
    <row customHeight="1" ht="43.171875">
      <c r="A97" s="1319"/>
      <c r="B97" s="447">
        <f>AND(NOT(method_reg="Метод сравнения аналогов"),HAS_DOC4="да")</f>
        <v>1</v>
      </c>
      <c r="C97" s="1319"/>
      <c r="D97" s="1319"/>
      <c r="E97" s="644">
        <v>19.5</v>
      </c>
      <c r="F97" s="1319"/>
      <c r="G97" s="1319"/>
      <c r="H97" s="1319"/>
      <c r="I97" s="1319"/>
      <c r="J97" s="1319"/>
      <c r="K97" s="1319"/>
      <c r="L97" s="1319"/>
      <c r="M97" s="1319"/>
      <c r="N97" s="1319"/>
      <c r="O97" s="1319"/>
      <c r="P97" s="1319"/>
      <c r="Q97" s="1319"/>
      <c r="R97" s="1319"/>
      <c r="S97" s="1319"/>
      <c r="T97" s="1319"/>
      <c r="U97" s="1319"/>
      <c r="V97" s="1319"/>
      <c r="W97" s="1319"/>
      <c r="X97" s="1319"/>
      <c r="Y97" s="1319"/>
      <c r="Z97" s="1656"/>
      <c r="AA97" s="1319"/>
      <c r="AB97" s="1488" t="s">
        <v>193</v>
      </c>
      <c r="AC97" s="1476" t="s">
        <v>194</v>
      </c>
      <c r="AD97" s="1476"/>
      <c r="AE97" s="381" t="s">
        <v>211</v>
      </c>
      <c r="AF97" s="383"/>
      <c r="AG97" s="1319"/>
      <c r="AH97" s="1319"/>
      <c r="AI97" s="1319"/>
      <c r="AJ97" s="1319"/>
      <c r="AK97" s="1319"/>
      <c r="AL97" s="1319"/>
      <c r="AM97" s="1319"/>
      <c r="AN97" s="1319"/>
      <c r="AO97" s="1319"/>
      <c r="AP97" s="1319"/>
      <c r="AQ97" s="1319"/>
      <c r="AR97" s="1319"/>
      <c r="AS97" s="1319"/>
      <c r="AT97" s="1319"/>
      <c r="AU97" s="1319"/>
      <c r="AV97" s="1319"/>
      <c r="AW97" s="1319"/>
      <c r="AX97" s="1319"/>
      <c r="AY97" s="1319"/>
      <c r="AZ97" s="1319"/>
      <c r="BA97" s="1319"/>
    </row>
    <row customHeight="1" ht="19.0125">
      <c r="A98" s="1319"/>
      <c r="B98" s="447">
        <f>AND(NOT(method_reg="Метод сравнения аналогов"),HAS_DOC4="да")</f>
        <v>1</v>
      </c>
      <c r="C98" s="1319"/>
      <c r="D98" s="1319"/>
      <c r="E98" s="644">
        <v>19.5</v>
      </c>
      <c r="F98" s="1319"/>
      <c r="G98" s="1319"/>
      <c r="H98" s="1319"/>
      <c r="I98" s="1319"/>
      <c r="J98" s="1319"/>
      <c r="K98" s="1319"/>
      <c r="L98" s="1319"/>
      <c r="M98" s="1319"/>
      <c r="N98" s="1319"/>
      <c r="O98" s="1319"/>
      <c r="P98" s="1319"/>
      <c r="Q98" s="1319"/>
      <c r="R98" s="1319"/>
      <c r="S98" s="1319"/>
      <c r="T98" s="1319"/>
      <c r="U98" s="1319"/>
      <c r="V98" s="1319"/>
      <c r="W98" s="1319"/>
      <c r="X98" s="1319"/>
      <c r="Y98" s="1319"/>
      <c r="Z98" s="1656"/>
      <c r="AA98" s="1319"/>
      <c r="AB98" s="1488"/>
      <c r="AC98" s="1476" t="s">
        <v>196</v>
      </c>
      <c r="AD98" s="1476"/>
      <c r="AE98" s="382" t="s">
        <v>212</v>
      </c>
      <c r="AF98" s="383"/>
      <c r="AG98" s="1319"/>
      <c r="AH98" s="1319"/>
      <c r="AI98" s="1319"/>
      <c r="AJ98" s="1319"/>
      <c r="AK98" s="1319"/>
      <c r="AL98" s="1319"/>
      <c r="AM98" s="1319"/>
      <c r="AN98" s="1319"/>
      <c r="AO98" s="1319"/>
      <c r="AP98" s="1319"/>
      <c r="AQ98" s="1319"/>
      <c r="AR98" s="1319"/>
      <c r="AS98" s="1319"/>
      <c r="AT98" s="1319"/>
      <c r="AU98" s="1319"/>
      <c r="AV98" s="1319"/>
      <c r="AW98" s="1319"/>
      <c r="AX98" s="1319"/>
      <c r="AY98" s="1319"/>
      <c r="AZ98" s="1319"/>
      <c r="BA98" s="1319"/>
    </row>
    <row customHeight="1" ht="19.0125">
      <c r="A99" s="1319"/>
      <c r="B99" s="447">
        <f>AND(NOT(method_reg="Метод сравнения аналогов"),HAS_DOC4="да")</f>
        <v>1</v>
      </c>
      <c r="C99" s="1319"/>
      <c r="D99" s="1319"/>
      <c r="E99" s="644">
        <v>19.5</v>
      </c>
      <c r="F99" s="1319"/>
      <c r="G99" s="1319"/>
      <c r="H99" s="1319"/>
      <c r="I99" s="1319"/>
      <c r="J99" s="1319"/>
      <c r="K99" s="1319"/>
      <c r="L99" s="1319"/>
      <c r="M99" s="1319"/>
      <c r="N99" s="1319"/>
      <c r="O99" s="1319"/>
      <c r="P99" s="1319"/>
      <c r="Q99" s="1319"/>
      <c r="R99" s="1319"/>
      <c r="S99" s="1319"/>
      <c r="T99" s="1319"/>
      <c r="U99" s="1319"/>
      <c r="V99" s="1319"/>
      <c r="W99" s="1319"/>
      <c r="X99" s="1319"/>
      <c r="Y99" s="1319"/>
      <c r="Z99" s="1656"/>
      <c r="AA99" s="1319"/>
      <c r="AB99" s="1488"/>
      <c r="AC99" s="1476" t="s">
        <v>198</v>
      </c>
      <c r="AD99" s="1476"/>
      <c r="AE99" s="381" t="s">
        <v>213</v>
      </c>
      <c r="AF99" s="383"/>
      <c r="AG99" s="1319"/>
      <c r="AH99" s="1319"/>
      <c r="AI99" s="1319"/>
      <c r="AJ99" s="1319"/>
      <c r="AK99" s="1319"/>
      <c r="AL99" s="1319"/>
      <c r="AM99" s="1319"/>
      <c r="AN99" s="1319"/>
      <c r="AO99" s="1319"/>
      <c r="AP99" s="1319"/>
      <c r="AQ99" s="1319"/>
      <c r="AR99" s="1319"/>
      <c r="AS99" s="1319"/>
      <c r="AT99" s="1319"/>
      <c r="AU99" s="1319"/>
      <c r="AV99" s="1319"/>
      <c r="AW99" s="1319"/>
      <c r="AX99" s="1319"/>
      <c r="AY99" s="1319"/>
      <c r="AZ99" s="1319"/>
      <c r="BA99" s="1319"/>
    </row>
    <row customHeight="1" ht="19.0125">
      <c r="A100" s="1319"/>
      <c r="B100" s="447">
        <f>AND(NOT(method_reg="Метод сравнения аналогов"),HAS_DOC4="да")</f>
        <v>1</v>
      </c>
      <c r="C100" s="1319"/>
      <c r="D100" s="1319"/>
      <c r="E100" s="644">
        <v>19.5</v>
      </c>
      <c r="F100" s="1319"/>
      <c r="G100" s="1319"/>
      <c r="H100" s="1319"/>
      <c r="I100" s="1319"/>
      <c r="J100" s="1319"/>
      <c r="K100" s="1319"/>
      <c r="L100" s="1319"/>
      <c r="M100" s="1319"/>
      <c r="N100" s="1319"/>
      <c r="O100" s="1319"/>
      <c r="P100" s="1319"/>
      <c r="Q100" s="1319"/>
      <c r="R100" s="1319"/>
      <c r="S100" s="1319"/>
      <c r="T100" s="1319"/>
      <c r="U100" s="1319"/>
      <c r="V100" s="1319"/>
      <c r="W100" s="1319"/>
      <c r="X100" s="1319"/>
      <c r="Y100" s="1319"/>
      <c r="Z100" s="1656"/>
      <c r="AA100" s="1319"/>
      <c r="AB100" s="1488"/>
      <c r="AC100" s="1476" t="s">
        <v>200</v>
      </c>
      <c r="AD100" s="1476"/>
      <c r="AE100" s="421">
        <v>44015</v>
      </c>
      <c r="AF100" s="383"/>
      <c r="AG100" s="1319"/>
      <c r="AH100" s="1319"/>
      <c r="AI100" s="1319"/>
      <c r="AJ100" s="1319"/>
      <c r="AK100" s="1319"/>
      <c r="AL100" s="1319"/>
      <c r="AM100" s="1319"/>
      <c r="AN100" s="1319"/>
      <c r="AO100" s="1319"/>
      <c r="AP100" s="1319"/>
      <c r="AQ100" s="1319"/>
      <c r="AR100" s="1319"/>
      <c r="AS100" s="1319"/>
      <c r="AT100" s="1319"/>
      <c r="AU100" s="1319"/>
      <c r="AV100" s="1319"/>
      <c r="AW100" s="1319"/>
      <c r="AX100" s="1319"/>
      <c r="AY100" s="1319"/>
      <c r="AZ100" s="1319"/>
      <c r="BA100" s="1319"/>
    </row>
    <row customHeight="1" ht="19.0125">
      <c r="A101" s="1319"/>
      <c r="B101" s="447">
        <f>AND(NOT(method_reg="Метод сравнения аналогов"),HAS_DOC4="да")</f>
        <v>1</v>
      </c>
      <c r="C101" s="1319"/>
      <c r="D101" s="1319"/>
      <c r="E101" s="644">
        <v>19.5</v>
      </c>
      <c r="F101" s="1319"/>
      <c r="G101" s="1319"/>
      <c r="H101" s="1319"/>
      <c r="I101" s="1319"/>
      <c r="J101" s="1319"/>
      <c r="K101" s="1319"/>
      <c r="L101" s="1319"/>
      <c r="M101" s="1319"/>
      <c r="N101" s="1319"/>
      <c r="O101" s="1319"/>
      <c r="P101" s="1319"/>
      <c r="Q101" s="1319"/>
      <c r="R101" s="1319"/>
      <c r="S101" s="1319"/>
      <c r="T101" s="1319"/>
      <c r="U101" s="1319"/>
      <c r="V101" s="1319"/>
      <c r="W101" s="1319"/>
      <c r="X101" s="1319"/>
      <c r="Y101" s="1319"/>
      <c r="Z101" s="1656"/>
      <c r="AA101" s="1319"/>
      <c r="AB101" s="1488"/>
      <c r="AC101" s="1476" t="s">
        <v>202</v>
      </c>
      <c r="AD101" s="1476"/>
      <c r="AE101" s="402"/>
      <c r="AF101" s="383"/>
      <c r="AG101" s="1319"/>
      <c r="AH101" s="1319"/>
      <c r="AI101" s="1319"/>
      <c r="AJ101" s="1319"/>
      <c r="AK101" s="1319"/>
      <c r="AL101" s="1319"/>
      <c r="AM101" s="1319"/>
      <c r="AN101" s="1319"/>
      <c r="AO101" s="1319"/>
      <c r="AP101" s="1319"/>
      <c r="AQ101" s="1319"/>
      <c r="AR101" s="1319"/>
      <c r="AS101" s="1319"/>
      <c r="AT101" s="1319"/>
      <c r="AU101" s="1319"/>
      <c r="AV101" s="1319"/>
      <c r="AW101" s="1319"/>
      <c r="AX101" s="1319"/>
      <c r="AY101" s="1319"/>
      <c r="AZ101" s="1319"/>
      <c r="BA101" s="1319"/>
    </row>
    <row customHeight="1" ht="19.0125" hidden="1">
      <c r="A102" s="1319"/>
      <c r="B102" s="447">
        <f>AND(NOT(method_reg="Метод сравнения аналогов"),HAS_DOC4="да")</f>
        <v>1</v>
      </c>
      <c r="C102" s="1319"/>
      <c r="D102" s="1319"/>
      <c r="E102" s="644">
        <v>19.5</v>
      </c>
      <c r="F102" s="1319"/>
      <c r="G102" s="1319"/>
      <c r="H102" s="1319"/>
      <c r="I102" s="1319"/>
      <c r="J102" s="1319"/>
      <c r="K102" s="1319"/>
      <c r="L102" s="1319"/>
      <c r="M102" s="1319"/>
      <c r="N102" s="1319"/>
      <c r="O102" s="1319"/>
      <c r="P102" s="1319"/>
      <c r="Q102" s="1319"/>
      <c r="R102" s="1319"/>
      <c r="S102" s="1319"/>
      <c r="T102" s="1319"/>
      <c r="U102" s="1319"/>
      <c r="V102" s="1319"/>
      <c r="W102" s="504">
        <f>ROW(Y102)&gt;ROW(Y$102)</f>
        <v>0</v>
      </c>
      <c r="X102" s="1319"/>
      <c r="Y102" s="103" t="s">
        <v>173</v>
      </c>
      <c r="Z102" s="1656"/>
      <c r="AA102" s="1516" t="s">
        <v>174</v>
      </c>
      <c r="AB102" s="1505" t="s">
        <v>193</v>
      </c>
      <c r="AC102" s="1508" t="s">
        <v>194</v>
      </c>
      <c r="AD102" s="1509"/>
      <c r="AE102" s="1696"/>
      <c r="AF102" s="383"/>
      <c r="AG102" s="1319"/>
      <c r="AH102" s="1319"/>
      <c r="AI102" s="1319"/>
      <c r="AJ102" s="1319"/>
      <c r="AK102" s="1319"/>
      <c r="AL102" s="1319"/>
      <c r="AM102" s="1319"/>
      <c r="AN102" s="1319"/>
      <c r="AO102" s="1319"/>
      <c r="AP102" s="1319"/>
      <c r="AQ102" s="1319"/>
      <c r="AR102" s="1319"/>
      <c r="AS102" s="1319"/>
      <c r="AT102" s="1319"/>
      <c r="AU102" s="1319"/>
      <c r="AV102" s="1319"/>
      <c r="AW102" s="1319"/>
      <c r="AX102" s="1319"/>
      <c r="AY102" s="1319"/>
      <c r="AZ102" s="1319"/>
      <c r="BA102" s="1319"/>
    </row>
    <row customHeight="1" ht="19.0125" hidden="1">
      <c r="A103" s="1319"/>
      <c r="B103" s="447">
        <f>AND(NOT(method_reg="Метод сравнения аналогов"),HAS_DOC4="да")</f>
        <v>1</v>
      </c>
      <c r="C103" s="1319"/>
      <c r="D103" s="1319"/>
      <c r="E103" s="644">
        <v>19.5</v>
      </c>
      <c r="F103" s="1319"/>
      <c r="G103" s="1319"/>
      <c r="H103" s="1319"/>
      <c r="I103" s="1319"/>
      <c r="J103" s="1319"/>
      <c r="K103" s="1319"/>
      <c r="L103" s="1319"/>
      <c r="M103" s="1319"/>
      <c r="N103" s="1319"/>
      <c r="O103" s="1319"/>
      <c r="P103" s="1319"/>
      <c r="Q103" s="1319"/>
      <c r="R103" s="1319"/>
      <c r="S103" s="1319"/>
      <c r="T103" s="1319"/>
      <c r="U103" s="1319"/>
      <c r="V103" s="1319"/>
      <c r="W103" s="504" cm="1" t="str">
        <f t="array" ref="W103:W103">W102</f>
        <v>false</v>
      </c>
      <c r="X103" s="1319"/>
      <c r="Y103" s="1319"/>
      <c r="Z103" s="1656"/>
      <c r="AA103" s="1516"/>
      <c r="AB103" s="1506"/>
      <c r="AC103" s="1508" t="s">
        <v>196</v>
      </c>
      <c r="AD103" s="1509"/>
      <c r="AE103" s="1697"/>
      <c r="AF103" s="383"/>
      <c r="AG103" s="1319"/>
      <c r="AH103" s="1319"/>
      <c r="AI103" s="1319"/>
      <c r="AJ103" s="1319"/>
      <c r="AK103" s="1319"/>
      <c r="AL103" s="1319"/>
      <c r="AM103" s="1319"/>
      <c r="AN103" s="1319"/>
      <c r="AO103" s="1319"/>
      <c r="AP103" s="1319"/>
      <c r="AQ103" s="1319"/>
      <c r="AR103" s="1319"/>
      <c r="AS103" s="1319"/>
      <c r="AT103" s="1319"/>
      <c r="AU103" s="1319"/>
      <c r="AV103" s="1319"/>
      <c r="AW103" s="1319"/>
      <c r="AX103" s="1319"/>
      <c r="AY103" s="1319"/>
      <c r="AZ103" s="1319"/>
      <c r="BA103" s="1319"/>
    </row>
    <row customHeight="1" ht="19.0125" hidden="1">
      <c r="A104" s="1319"/>
      <c r="B104" s="447">
        <f>AND(NOT(method_reg="Метод сравнения аналогов"),HAS_DOC4="да")</f>
        <v>1</v>
      </c>
      <c r="C104" s="1319"/>
      <c r="D104" s="1319"/>
      <c r="E104" s="644">
        <v>19.5</v>
      </c>
      <c r="F104" s="1319"/>
      <c r="G104" s="1319"/>
      <c r="H104" s="1319"/>
      <c r="I104" s="1319"/>
      <c r="J104" s="1319"/>
      <c r="K104" s="1319"/>
      <c r="L104" s="1319"/>
      <c r="M104" s="1319"/>
      <c r="N104" s="1319"/>
      <c r="O104" s="1319"/>
      <c r="P104" s="1319"/>
      <c r="Q104" s="1319"/>
      <c r="R104" s="1319"/>
      <c r="S104" s="1319"/>
      <c r="T104" s="1319"/>
      <c r="U104" s="1319"/>
      <c r="V104" s="1319"/>
      <c r="W104" s="504" cm="1" t="str">
        <f t="array" ref="W104:W104">W103</f>
        <v>false</v>
      </c>
      <c r="X104" s="1319"/>
      <c r="Y104" s="1319"/>
      <c r="Z104" s="1656"/>
      <c r="AA104" s="1516"/>
      <c r="AB104" s="1506"/>
      <c r="AC104" s="1508" t="s">
        <v>198</v>
      </c>
      <c r="AD104" s="1509"/>
      <c r="AE104" s="1696"/>
      <c r="AF104" s="383"/>
      <c r="AG104" s="1319"/>
      <c r="AH104" s="1319"/>
      <c r="AI104" s="1319"/>
      <c r="AJ104" s="1319"/>
      <c r="AK104" s="1319"/>
      <c r="AL104" s="1319"/>
      <c r="AM104" s="1319"/>
      <c r="AN104" s="1319"/>
      <c r="AO104" s="1319"/>
      <c r="AP104" s="1319"/>
      <c r="AQ104" s="1319"/>
      <c r="AR104" s="1319"/>
      <c r="AS104" s="1319"/>
      <c r="AT104" s="1319"/>
      <c r="AU104" s="1319"/>
      <c r="AV104" s="1319"/>
      <c r="AW104" s="1319"/>
      <c r="AX104" s="1319"/>
      <c r="AY104" s="1319"/>
      <c r="AZ104" s="1319"/>
      <c r="BA104" s="1319"/>
    </row>
    <row customHeight="1" ht="19.0125" hidden="1">
      <c r="A105" s="1319"/>
      <c r="B105" s="447">
        <f>AND(NOT(method_reg="Метод сравнения аналогов"),HAS_DOC4="да")</f>
        <v>1</v>
      </c>
      <c r="C105" s="1319"/>
      <c r="D105" s="1319"/>
      <c r="E105" s="644">
        <v>19.5</v>
      </c>
      <c r="F105" s="1319"/>
      <c r="G105" s="1319"/>
      <c r="H105" s="1319"/>
      <c r="I105" s="1319"/>
      <c r="J105" s="1319"/>
      <c r="K105" s="1319"/>
      <c r="L105" s="1319"/>
      <c r="M105" s="1319"/>
      <c r="N105" s="1319"/>
      <c r="O105" s="1319"/>
      <c r="P105" s="1319"/>
      <c r="Q105" s="1319"/>
      <c r="R105" s="1319"/>
      <c r="S105" s="1319"/>
      <c r="T105" s="1319"/>
      <c r="U105" s="1319"/>
      <c r="V105" s="1319"/>
      <c r="W105" s="504" cm="1" t="str">
        <f t="array" ref="W105:W105">W104</f>
        <v>false</v>
      </c>
      <c r="X105" s="1319"/>
      <c r="Y105" s="1319"/>
      <c r="Z105" s="1656"/>
      <c r="AA105" s="1516"/>
      <c r="AB105" s="1506"/>
      <c r="AC105" s="1508" t="s">
        <v>200</v>
      </c>
      <c r="AD105" s="1509"/>
      <c r="AE105" s="1698"/>
      <c r="AF105" s="383"/>
      <c r="AG105" s="1319"/>
      <c r="AH105" s="1319"/>
      <c r="AI105" s="1319"/>
      <c r="AJ105" s="1319"/>
      <c r="AK105" s="1319"/>
      <c r="AL105" s="1319"/>
      <c r="AM105" s="1319"/>
      <c r="AN105" s="1319"/>
      <c r="AO105" s="1319"/>
      <c r="AP105" s="1319"/>
      <c r="AQ105" s="1319"/>
      <c r="AR105" s="1319"/>
      <c r="AS105" s="1319"/>
      <c r="AT105" s="1319"/>
      <c r="AU105" s="1319"/>
      <c r="AV105" s="1319"/>
      <c r="AW105" s="1319"/>
      <c r="AX105" s="1319"/>
      <c r="AY105" s="1319"/>
      <c r="AZ105" s="1319"/>
      <c r="BA105" s="1319"/>
    </row>
    <row customHeight="1" ht="19.0125" hidden="1">
      <c r="A106" s="1319"/>
      <c r="B106" s="447">
        <f>AND(NOT(method_reg="Метод сравнения аналогов"),HAS_DOC4="да")</f>
        <v>1</v>
      </c>
      <c r="C106" s="1319"/>
      <c r="D106" s="1319"/>
      <c r="E106" s="644">
        <v>19.5</v>
      </c>
      <c r="F106" s="1319"/>
      <c r="G106" s="1319"/>
      <c r="H106" s="1319"/>
      <c r="I106" s="1319"/>
      <c r="J106" s="1319"/>
      <c r="K106" s="1319"/>
      <c r="L106" s="1319"/>
      <c r="M106" s="1319"/>
      <c r="N106" s="1319"/>
      <c r="O106" s="1319"/>
      <c r="P106" s="1319"/>
      <c r="Q106" s="1319"/>
      <c r="R106" s="1319"/>
      <c r="S106" s="1319"/>
      <c r="T106" s="1319"/>
      <c r="U106" s="1319"/>
      <c r="V106" s="1319"/>
      <c r="W106" s="504" cm="1" t="str">
        <f t="array" ref="W106:W106">W105</f>
        <v>false</v>
      </c>
      <c r="X106" s="1319"/>
      <c r="Y106" s="1319"/>
      <c r="Z106" s="1656"/>
      <c r="AA106" s="1516"/>
      <c r="AB106" s="1507"/>
      <c r="AC106" s="1508" t="s">
        <v>202</v>
      </c>
      <c r="AD106" s="1509"/>
      <c r="AE106" s="1699"/>
      <c r="AF106" s="383"/>
      <c r="AG106" s="1319"/>
      <c r="AH106" s="1319"/>
      <c r="AI106" s="1319"/>
      <c r="AJ106" s="1319"/>
      <c r="AK106" s="1319"/>
      <c r="AL106" s="1319"/>
      <c r="AM106" s="1319"/>
      <c r="AN106" s="1319"/>
      <c r="AO106" s="1319"/>
      <c r="AP106" s="1319"/>
      <c r="AQ106" s="1319"/>
      <c r="AR106" s="1319"/>
      <c r="AS106" s="1319"/>
      <c r="AT106" s="1319"/>
      <c r="AU106" s="1319"/>
      <c r="AV106" s="1319"/>
      <c r="AW106" s="1319"/>
      <c r="AX106" s="1319"/>
      <c r="AY106" s="1319"/>
      <c r="AZ106" s="1319"/>
      <c r="BA106" s="1319"/>
    </row>
    <row customHeight="1" ht="14.625">
      <c r="A107" s="1319"/>
      <c r="B107" s="447">
        <f>AND(NOT(method_reg="Метод сравнения аналогов"),HAS_DOC4="да")</f>
        <v>1</v>
      </c>
      <c r="C107" s="1319"/>
      <c r="D107" s="1319"/>
      <c r="E107" s="644">
        <v>15</v>
      </c>
      <c r="F107" s="103" t="s">
        <v>208</v>
      </c>
      <c r="G107" s="1319"/>
      <c r="H107" s="1319"/>
      <c r="I107" s="1319"/>
      <c r="J107" s="1319"/>
      <c r="K107" s="1319"/>
      <c r="L107" s="1319"/>
      <c r="M107" s="1319"/>
      <c r="N107" s="1319"/>
      <c r="O107" s="1319"/>
      <c r="P107" s="1319"/>
      <c r="Q107" s="1319"/>
      <c r="R107" s="1319"/>
      <c r="S107" s="1319"/>
      <c r="T107" s="1319"/>
      <c r="U107" s="1319"/>
      <c r="V107" s="1319"/>
      <c r="W107" s="1319"/>
      <c r="X107" s="1319"/>
      <c r="Y107" s="104" t="s">
        <v>176</v>
      </c>
      <c r="Z107" s="1656"/>
      <c r="AA107" s="1319"/>
      <c r="AB107" s="261"/>
      <c r="AC107" s="260"/>
      <c r="AD107" s="260"/>
      <c r="AE107" s="364" t="s">
        <v>177</v>
      </c>
      <c r="AF107" s="383"/>
      <c r="AG107" s="1319"/>
      <c r="AH107" s="1319"/>
      <c r="AI107" s="1319"/>
      <c r="AJ107" s="1319"/>
      <c r="AK107" s="1319"/>
      <c r="AL107" s="1319"/>
      <c r="AM107" s="1319"/>
      <c r="AN107" s="1319"/>
      <c r="AO107" s="1319"/>
      <c r="AP107" s="1319"/>
      <c r="AQ107" s="1319"/>
      <c r="AR107" s="1319"/>
      <c r="AS107" s="1319"/>
      <c r="AT107" s="1319"/>
      <c r="AU107" s="1319"/>
      <c r="AV107" s="1319"/>
      <c r="AW107" s="1319"/>
      <c r="AX107" s="1319"/>
      <c r="AY107" s="1319"/>
      <c r="AZ107" s="1319"/>
      <c r="BA107" s="1319"/>
    </row>
    <row customHeight="1" ht="28.921875">
      <c r="B108" s="447">
        <f>NOT(method_reg="Метод сравнения аналогов")</f>
        <v>1</v>
      </c>
      <c r="E108" s="644">
        <v>25.5</v>
      </c>
      <c r="F108" s="103" t="s">
        <v>214</v>
      </c>
      <c r="AB108" s="1476" t="str">
        <f>"Наличие утверждённых ОИВ инвестиционных программ, действующих в течение "&amp;god-2&amp;" года, для организации, оказывающей услуги холодного водоснабжения/водоотведения"</f>
        <v>Наличие утверждённых ОИВ инвестиционных программ, действующих в течение 2024 года, для организации, оказывающей услуги холодного водоснабжения/водоотведения</v>
      </c>
      <c r="AC108" s="1476"/>
      <c r="AD108" s="1476"/>
      <c r="AE108" s="389" t="s">
        <v>161</v>
      </c>
      <c r="AF108" s="482"/>
      <c r="AG108" s="103" t="s">
        <v>215</v>
      </c>
    </row>
    <row customHeight="1" ht="44.671875">
      <c r="A109" s="1319"/>
      <c r="B109" s="447">
        <f>AND(NOT(method_reg="Метод сравнения аналогов"),HAS_DOC5="да")</f>
        <v>1</v>
      </c>
      <c r="C109" s="1319"/>
      <c r="D109" s="1319"/>
      <c r="E109" s="644">
        <v>19.5</v>
      </c>
      <c r="F109" s="1319"/>
      <c r="G109" s="1319"/>
      <c r="H109" s="1319"/>
      <c r="I109" s="1319"/>
      <c r="J109" s="1319"/>
      <c r="K109" s="1319"/>
      <c r="L109" s="1319"/>
      <c r="M109" s="1319"/>
      <c r="N109" s="1319"/>
      <c r="O109" s="1319"/>
      <c r="P109" s="1319"/>
      <c r="Q109" s="1319"/>
      <c r="R109" s="1319"/>
      <c r="S109" s="1319"/>
      <c r="T109" s="1319"/>
      <c r="U109" s="1319"/>
      <c r="V109" s="1319"/>
      <c r="W109" s="1319"/>
      <c r="X109" s="1319"/>
      <c r="Y109" s="1319"/>
      <c r="Z109" s="1656"/>
      <c r="AA109" s="1319"/>
      <c r="AB109" s="1505" t="s">
        <v>193</v>
      </c>
      <c r="AC109" s="1476" t="s">
        <v>194</v>
      </c>
      <c r="AD109" s="1476"/>
      <c r="AE109" s="1701" t="s">
        <v>216</v>
      </c>
      <c r="AF109" s="383"/>
      <c r="AG109" s="1319"/>
      <c r="AH109" s="1319"/>
      <c r="AI109" s="1319"/>
      <c r="AJ109" s="1319"/>
      <c r="AK109" s="1319"/>
      <c r="AL109" s="1319"/>
      <c r="AM109" s="1319"/>
      <c r="AN109" s="1319"/>
      <c r="AO109" s="1319"/>
      <c r="AP109" s="1319"/>
      <c r="AQ109" s="1319"/>
      <c r="AR109" s="1319"/>
      <c r="AS109" s="1319"/>
      <c r="AT109" s="1319"/>
      <c r="AU109" s="1319"/>
      <c r="AV109" s="1319"/>
      <c r="AW109" s="1319"/>
      <c r="AX109" s="1319"/>
      <c r="AY109" s="1319"/>
      <c r="AZ109" s="1319"/>
      <c r="BA109" s="1319"/>
    </row>
    <row customHeight="1" ht="19.921875">
      <c r="A110" s="1319"/>
      <c r="B110" s="447">
        <f>AND(NOT(method_reg="Метод сравнения аналогов"),HAS_DOC5="да")</f>
        <v>1</v>
      </c>
      <c r="C110" s="1319"/>
      <c r="D110" s="1319"/>
      <c r="E110" s="644">
        <v>19.5</v>
      </c>
      <c r="F110" s="1319"/>
      <c r="G110" s="1319"/>
      <c r="H110" s="1319"/>
      <c r="I110" s="1319"/>
      <c r="J110" s="1319"/>
      <c r="K110" s="1319"/>
      <c r="L110" s="1319"/>
      <c r="M110" s="1319"/>
      <c r="N110" s="1319"/>
      <c r="O110" s="1319"/>
      <c r="P110" s="1319"/>
      <c r="Q110" s="1319"/>
      <c r="R110" s="1319"/>
      <c r="S110" s="1319"/>
      <c r="T110" s="1319"/>
      <c r="U110" s="1319"/>
      <c r="V110" s="1319"/>
      <c r="W110" s="1319"/>
      <c r="X110" s="1319"/>
      <c r="Y110" s="1319"/>
      <c r="Z110" s="1656"/>
      <c r="AA110" s="1319"/>
      <c r="AB110" s="1506"/>
      <c r="AC110" s="1476" t="s">
        <v>196</v>
      </c>
      <c r="AD110" s="1476"/>
      <c r="AE110" s="1702" t="s">
        <v>197</v>
      </c>
      <c r="AF110" s="383"/>
      <c r="AG110" s="1319"/>
      <c r="AH110" s="1319"/>
      <c r="AI110" s="1319"/>
      <c r="AJ110" s="1319"/>
      <c r="AK110" s="1319"/>
      <c r="AL110" s="1319"/>
      <c r="AM110" s="1319"/>
      <c r="AN110" s="1319"/>
      <c r="AO110" s="1319"/>
      <c r="AP110" s="1319"/>
      <c r="AQ110" s="1319"/>
      <c r="AR110" s="1319"/>
      <c r="AS110" s="1319"/>
      <c r="AT110" s="1319"/>
      <c r="AU110" s="1319"/>
      <c r="AV110" s="1319"/>
      <c r="AW110" s="1319"/>
      <c r="AX110" s="1319"/>
      <c r="AY110" s="1319"/>
      <c r="AZ110" s="1319"/>
      <c r="BA110" s="1319"/>
    </row>
    <row customHeight="1" ht="19.0125">
      <c r="A111" s="1319"/>
      <c r="B111" s="447">
        <f>AND(NOT(method_reg="Метод сравнения аналогов"),HAS_DOC5="да")</f>
        <v>1</v>
      </c>
      <c r="C111" s="1319"/>
      <c r="D111" s="1319"/>
      <c r="E111" s="644">
        <v>19.5</v>
      </c>
      <c r="F111" s="1319"/>
      <c r="G111" s="1319"/>
      <c r="H111" s="1319"/>
      <c r="I111" s="1319"/>
      <c r="J111" s="1319"/>
      <c r="K111" s="1319"/>
      <c r="L111" s="1319"/>
      <c r="M111" s="1319"/>
      <c r="N111" s="1319"/>
      <c r="O111" s="1319"/>
      <c r="P111" s="1319"/>
      <c r="Q111" s="1319"/>
      <c r="R111" s="1319"/>
      <c r="S111" s="1319"/>
      <c r="T111" s="1319"/>
      <c r="U111" s="1319"/>
      <c r="V111" s="1319"/>
      <c r="W111" s="1319"/>
      <c r="X111" s="1319"/>
      <c r="Y111" s="1319"/>
      <c r="Z111" s="1656"/>
      <c r="AA111" s="1319"/>
      <c r="AB111" s="1506"/>
      <c r="AC111" s="1476" t="s">
        <v>198</v>
      </c>
      <c r="AD111" s="1476"/>
      <c r="AE111" s="1701" t="s">
        <v>217</v>
      </c>
      <c r="AF111" s="383"/>
      <c r="AG111" s="1319"/>
      <c r="AH111" s="1319"/>
      <c r="AI111" s="1319"/>
      <c r="AJ111" s="1319"/>
      <c r="AK111" s="1319"/>
      <c r="AL111" s="1319"/>
      <c r="AM111" s="1319"/>
      <c r="AN111" s="1319"/>
      <c r="AO111" s="1319"/>
      <c r="AP111" s="1319"/>
      <c r="AQ111" s="1319"/>
      <c r="AR111" s="1319"/>
      <c r="AS111" s="1319"/>
      <c r="AT111" s="1319"/>
      <c r="AU111" s="1319"/>
      <c r="AV111" s="1319"/>
      <c r="AW111" s="1319"/>
      <c r="AX111" s="1319"/>
      <c r="AY111" s="1319"/>
      <c r="AZ111" s="1319"/>
      <c r="BA111" s="1319"/>
    </row>
    <row customHeight="1" ht="19.0125">
      <c r="A112" s="1319"/>
      <c r="B112" s="447">
        <f>AND(NOT(method_reg="Метод сравнения аналогов"),HAS_DOC5="да")</f>
        <v>1</v>
      </c>
      <c r="C112" s="1319"/>
      <c r="D112" s="1319"/>
      <c r="E112" s="644">
        <v>19.5</v>
      </c>
      <c r="F112" s="1319"/>
      <c r="G112" s="1319"/>
      <c r="H112" s="1319"/>
      <c r="I112" s="1319"/>
      <c r="J112" s="1319"/>
      <c r="K112" s="1319"/>
      <c r="L112" s="1319"/>
      <c r="M112" s="1319"/>
      <c r="N112" s="1319"/>
      <c r="O112" s="1319"/>
      <c r="P112" s="1319"/>
      <c r="Q112" s="1319"/>
      <c r="R112" s="1319"/>
      <c r="S112" s="1319"/>
      <c r="T112" s="1319"/>
      <c r="U112" s="1319"/>
      <c r="V112" s="1319"/>
      <c r="W112" s="1319"/>
      <c r="X112" s="1319"/>
      <c r="Y112" s="1319"/>
      <c r="Z112" s="1656"/>
      <c r="AA112" s="1319"/>
      <c r="AB112" s="1506"/>
      <c r="AC112" s="1476" t="s">
        <v>200</v>
      </c>
      <c r="AD112" s="1476"/>
      <c r="AE112" s="421">
        <v>43816</v>
      </c>
      <c r="AF112" s="383"/>
      <c r="AG112" s="1319"/>
      <c r="AH112" s="1319"/>
      <c r="AI112" s="1319"/>
      <c r="AJ112" s="1319"/>
      <c r="AK112" s="1319"/>
      <c r="AL112" s="1319"/>
      <c r="AM112" s="1319"/>
      <c r="AN112" s="1319"/>
      <c r="AO112" s="1319"/>
      <c r="AP112" s="1319"/>
      <c r="AQ112" s="1319"/>
      <c r="AR112" s="1319"/>
      <c r="AS112" s="1319"/>
      <c r="AT112" s="1319"/>
      <c r="AU112" s="1319"/>
      <c r="AV112" s="1319"/>
      <c r="AW112" s="1319"/>
      <c r="AX112" s="1319"/>
      <c r="AY112" s="1319"/>
      <c r="AZ112" s="1319"/>
      <c r="BA112" s="1319"/>
    </row>
    <row customHeight="1" ht="19.0125">
      <c r="A113" s="1319"/>
      <c r="B113" s="447">
        <f>AND(NOT(method_reg="Метод сравнения аналогов"),HAS_DOC5="да")</f>
        <v>1</v>
      </c>
      <c r="C113" s="1319"/>
      <c r="D113" s="1319"/>
      <c r="E113" s="644">
        <v>19.5</v>
      </c>
      <c r="F113" s="1319"/>
      <c r="G113" s="1319"/>
      <c r="H113" s="1319"/>
      <c r="I113" s="1319"/>
      <c r="J113" s="1319"/>
      <c r="K113" s="1319"/>
      <c r="L113" s="1319"/>
      <c r="M113" s="1319"/>
      <c r="N113" s="1319"/>
      <c r="O113" s="1319"/>
      <c r="P113" s="1319"/>
      <c r="Q113" s="1319"/>
      <c r="R113" s="1319"/>
      <c r="S113" s="1319"/>
      <c r="T113" s="1319"/>
      <c r="U113" s="1319"/>
      <c r="V113" s="1319"/>
      <c r="W113" s="1319"/>
      <c r="X113" s="1319"/>
      <c r="Y113" s="1319"/>
      <c r="Z113" s="1656"/>
      <c r="AA113" s="1319"/>
      <c r="AB113" s="1506"/>
      <c r="AC113" s="1476" t="s">
        <v>218</v>
      </c>
      <c r="AD113" s="1476"/>
      <c r="AE113" s="421">
        <v>43817.69149305556</v>
      </c>
      <c r="AF113" s="383"/>
      <c r="AG113" s="1319"/>
      <c r="AH113" s="1319"/>
      <c r="AI113" s="1319"/>
      <c r="AJ113" s="1319"/>
      <c r="AK113" s="1319"/>
      <c r="AL113" s="1319"/>
      <c r="AM113" s="1319"/>
      <c r="AN113" s="1319"/>
      <c r="AO113" s="1319"/>
      <c r="AP113" s="1319"/>
      <c r="AQ113" s="1319"/>
      <c r="AR113" s="1319"/>
      <c r="AS113" s="1319"/>
      <c r="AT113" s="1319"/>
      <c r="AU113" s="1319"/>
      <c r="AV113" s="1319"/>
      <c r="AW113" s="1319"/>
      <c r="AX113" s="1319"/>
      <c r="AY113" s="1319"/>
      <c r="AZ113" s="1319"/>
      <c r="BA113" s="1319"/>
    </row>
    <row customHeight="1" ht="19.0125">
      <c r="A114" s="1319"/>
      <c r="B114" s="447">
        <f>AND(NOT(method_reg="Метод сравнения аналогов"),HAS_DOC5="да")</f>
        <v>1</v>
      </c>
      <c r="C114" s="1319"/>
      <c r="D114" s="1319"/>
      <c r="E114" s="644">
        <v>19.5</v>
      </c>
      <c r="F114" s="1319"/>
      <c r="G114" s="1319"/>
      <c r="H114" s="1319"/>
      <c r="I114" s="1319"/>
      <c r="J114" s="1319"/>
      <c r="K114" s="1319"/>
      <c r="L114" s="1319"/>
      <c r="M114" s="1319"/>
      <c r="N114" s="1319"/>
      <c r="O114" s="1319"/>
      <c r="P114" s="1319"/>
      <c r="Q114" s="1319"/>
      <c r="R114" s="1319"/>
      <c r="S114" s="1319"/>
      <c r="T114" s="1319"/>
      <c r="U114" s="1319"/>
      <c r="V114" s="1319"/>
      <c r="W114" s="1319"/>
      <c r="X114" s="1319"/>
      <c r="Y114" s="1319"/>
      <c r="Z114" s="1656"/>
      <c r="AA114" s="1319"/>
      <c r="AB114" s="1507"/>
      <c r="AC114" s="1476" t="s">
        <v>219</v>
      </c>
      <c r="AD114" s="1476"/>
      <c r="AE114" s="421">
        <v>47118</v>
      </c>
      <c r="AF114" s="383"/>
      <c r="AG114" s="1319"/>
      <c r="AH114" s="1319"/>
      <c r="AI114" s="1319"/>
      <c r="AJ114" s="1319"/>
      <c r="AK114" s="1319"/>
      <c r="AL114" s="1319"/>
      <c r="AM114" s="1319"/>
      <c r="AN114" s="1319"/>
      <c r="AO114" s="1319"/>
      <c r="AP114" s="1319"/>
      <c r="AQ114" s="1319"/>
      <c r="AR114" s="1319"/>
      <c r="AS114" s="1319"/>
      <c r="AT114" s="1319"/>
      <c r="AU114" s="1319"/>
      <c r="AV114" s="1319"/>
      <c r="AW114" s="1319"/>
      <c r="AX114" s="1319"/>
      <c r="AY114" s="1319"/>
      <c r="AZ114" s="1319"/>
      <c r="BA114" s="1319"/>
    </row>
    <row customHeight="1" ht="19.0125" hidden="1">
      <c r="A115" s="1319"/>
      <c r="B115" s="447">
        <f>AND(NOT(method_reg="Метод сравнения аналогов"),HAS_DOC5="да")</f>
        <v>1</v>
      </c>
      <c r="C115" s="1319"/>
      <c r="D115" s="1319"/>
      <c r="E115" s="644">
        <v>19.5</v>
      </c>
      <c r="F115" s="1319"/>
      <c r="G115" s="1319"/>
      <c r="H115" s="1319"/>
      <c r="I115" s="1319"/>
      <c r="J115" s="1319"/>
      <c r="K115" s="1319"/>
      <c r="L115" s="1319"/>
      <c r="M115" s="1319"/>
      <c r="N115" s="1319"/>
      <c r="O115" s="1319"/>
      <c r="P115" s="1319"/>
      <c r="Q115" s="1319"/>
      <c r="R115" s="1319"/>
      <c r="S115" s="1319"/>
      <c r="T115" s="1319"/>
      <c r="U115" s="1319"/>
      <c r="V115" s="1319"/>
      <c r="W115" s="504">
        <f>ROW(Y115)&gt;ROW(Y$115)</f>
        <v>0</v>
      </c>
      <c r="X115" s="1319"/>
      <c r="Y115" s="103" t="s">
        <v>173</v>
      </c>
      <c r="Z115" s="1656"/>
      <c r="AA115" s="1516" t="s">
        <v>174</v>
      </c>
      <c r="AB115" s="1505" t="s">
        <v>193</v>
      </c>
      <c r="AC115" s="1476" t="s">
        <v>194</v>
      </c>
      <c r="AD115" s="1476"/>
      <c r="AE115" s="419"/>
      <c r="AF115" s="383"/>
      <c r="AG115" s="1319"/>
      <c r="AH115" s="1319"/>
      <c r="AI115" s="1319"/>
      <c r="AJ115" s="1319"/>
      <c r="AK115" s="1319"/>
      <c r="AL115" s="1319"/>
      <c r="AM115" s="1319"/>
      <c r="AN115" s="1319"/>
      <c r="AO115" s="1319"/>
      <c r="AP115" s="1319"/>
      <c r="AQ115" s="1319"/>
      <c r="AR115" s="1319"/>
      <c r="AS115" s="1319"/>
      <c r="AT115" s="1319"/>
      <c r="AU115" s="1319"/>
      <c r="AV115" s="1319"/>
      <c r="AW115" s="1319"/>
      <c r="AX115" s="1319"/>
      <c r="AY115" s="1319"/>
      <c r="AZ115" s="1319"/>
      <c r="BA115" s="1319"/>
    </row>
    <row customHeight="1" ht="19.0125" hidden="1">
      <c r="A116" s="1319"/>
      <c r="B116" s="447">
        <f>AND(NOT(method_reg="Метод сравнения аналогов"),HAS_DOC5="да")</f>
        <v>1</v>
      </c>
      <c r="C116" s="1319"/>
      <c r="D116" s="1319"/>
      <c r="E116" s="644">
        <v>19.5</v>
      </c>
      <c r="F116" s="1319"/>
      <c r="G116" s="1319"/>
      <c r="H116" s="1319"/>
      <c r="I116" s="1319"/>
      <c r="J116" s="1319"/>
      <c r="K116" s="1319"/>
      <c r="L116" s="1319"/>
      <c r="M116" s="1319"/>
      <c r="N116" s="1319"/>
      <c r="O116" s="1319"/>
      <c r="P116" s="1319"/>
      <c r="Q116" s="1319"/>
      <c r="R116" s="1319"/>
      <c r="S116" s="1319"/>
      <c r="T116" s="1319"/>
      <c r="U116" s="1319"/>
      <c r="V116" s="1319"/>
      <c r="W116" s="504" cm="1" t="str">
        <f t="array" ref="W116:W116">W115</f>
        <v>false</v>
      </c>
      <c r="X116" s="1319"/>
      <c r="Y116" s="1319"/>
      <c r="Z116" s="1656"/>
      <c r="AA116" s="1516"/>
      <c r="AB116" s="1506"/>
      <c r="AC116" s="1476" t="s">
        <v>196</v>
      </c>
      <c r="AD116" s="1476"/>
      <c r="AE116" s="420"/>
      <c r="AF116" s="383"/>
      <c r="AG116" s="1319"/>
      <c r="AH116" s="1319"/>
      <c r="AI116" s="1319"/>
      <c r="AJ116" s="1319"/>
      <c r="AK116" s="1319"/>
      <c r="AL116" s="1319"/>
      <c r="AM116" s="1319"/>
      <c r="AN116" s="1319"/>
      <c r="AO116" s="1319"/>
      <c r="AP116" s="1319"/>
      <c r="AQ116" s="1319"/>
      <c r="AR116" s="1319"/>
      <c r="AS116" s="1319"/>
      <c r="AT116" s="1319"/>
      <c r="AU116" s="1319"/>
      <c r="AV116" s="1319"/>
      <c r="AW116" s="1319"/>
      <c r="AX116" s="1319"/>
      <c r="AY116" s="1319"/>
      <c r="AZ116" s="1319"/>
      <c r="BA116" s="1319"/>
    </row>
    <row customHeight="1" ht="19.0125" hidden="1">
      <c r="A117" s="1319"/>
      <c r="B117" s="447">
        <f>AND(NOT(method_reg="Метод сравнения аналогов"),HAS_DOC5="да")</f>
        <v>1</v>
      </c>
      <c r="C117" s="1319"/>
      <c r="D117" s="1319"/>
      <c r="E117" s="644">
        <v>19.5</v>
      </c>
      <c r="F117" s="1319"/>
      <c r="G117" s="1319"/>
      <c r="H117" s="1319"/>
      <c r="I117" s="1319"/>
      <c r="J117" s="1319"/>
      <c r="K117" s="1319"/>
      <c r="L117" s="1319"/>
      <c r="M117" s="1319"/>
      <c r="N117" s="1319"/>
      <c r="O117" s="1319"/>
      <c r="P117" s="1319"/>
      <c r="Q117" s="1319"/>
      <c r="R117" s="1319"/>
      <c r="S117" s="1319"/>
      <c r="T117" s="1319"/>
      <c r="U117" s="1319"/>
      <c r="V117" s="1319"/>
      <c r="W117" s="504" cm="1" t="str">
        <f t="array" ref="W117:W117">W116</f>
        <v>false</v>
      </c>
      <c r="X117" s="1319"/>
      <c r="Y117" s="1319"/>
      <c r="Z117" s="1656"/>
      <c r="AA117" s="1516"/>
      <c r="AB117" s="1506"/>
      <c r="AC117" s="1476" t="s">
        <v>198</v>
      </c>
      <c r="AD117" s="1476"/>
      <c r="AE117" s="419"/>
      <c r="AF117" s="383"/>
      <c r="AG117" s="1319"/>
      <c r="AH117" s="1319"/>
      <c r="AI117" s="1319"/>
      <c r="AJ117" s="1319"/>
      <c r="AK117" s="1319"/>
      <c r="AL117" s="1319"/>
      <c r="AM117" s="1319"/>
      <c r="AN117" s="1319"/>
      <c r="AO117" s="1319"/>
      <c r="AP117" s="1319"/>
      <c r="AQ117" s="1319"/>
      <c r="AR117" s="1319"/>
      <c r="AS117" s="1319"/>
      <c r="AT117" s="1319"/>
      <c r="AU117" s="1319"/>
      <c r="AV117" s="1319"/>
      <c r="AW117" s="1319"/>
      <c r="AX117" s="1319"/>
      <c r="AY117" s="1319"/>
      <c r="AZ117" s="1319"/>
      <c r="BA117" s="1319"/>
    </row>
    <row customHeight="1" ht="19.0125" hidden="1">
      <c r="A118" s="1319"/>
      <c r="B118" s="447">
        <f>AND(NOT(method_reg="Метод сравнения аналогов"),HAS_DOC5="да")</f>
        <v>1</v>
      </c>
      <c r="C118" s="1319"/>
      <c r="D118" s="1319"/>
      <c r="E118" s="644">
        <v>19.5</v>
      </c>
      <c r="F118" s="1319"/>
      <c r="G118" s="1319"/>
      <c r="H118" s="1319"/>
      <c r="I118" s="1319"/>
      <c r="J118" s="1319"/>
      <c r="K118" s="1319"/>
      <c r="L118" s="1319"/>
      <c r="M118" s="1319"/>
      <c r="N118" s="1319"/>
      <c r="O118" s="1319"/>
      <c r="P118" s="1319"/>
      <c r="Q118" s="1319"/>
      <c r="R118" s="1319"/>
      <c r="S118" s="1319"/>
      <c r="T118" s="1319"/>
      <c r="U118" s="1319"/>
      <c r="V118" s="1319"/>
      <c r="W118" s="504" cm="1" t="str">
        <f t="array" ref="W118:W118">W117</f>
        <v>false</v>
      </c>
      <c r="X118" s="1319"/>
      <c r="Y118" s="1319"/>
      <c r="Z118" s="1656"/>
      <c r="AA118" s="1516"/>
      <c r="AB118" s="1506"/>
      <c r="AC118" s="1476" t="s">
        <v>200</v>
      </c>
      <c r="AD118" s="1476"/>
      <c r="AE118" s="1698"/>
      <c r="AF118" s="383"/>
      <c r="AG118" s="1319"/>
      <c r="AH118" s="1319"/>
      <c r="AI118" s="1319"/>
      <c r="AJ118" s="1319"/>
      <c r="AK118" s="1319"/>
      <c r="AL118" s="1319"/>
      <c r="AM118" s="1319"/>
      <c r="AN118" s="1319"/>
      <c r="AO118" s="1319"/>
      <c r="AP118" s="1319"/>
      <c r="AQ118" s="1319"/>
      <c r="AR118" s="1319"/>
      <c r="AS118" s="1319"/>
      <c r="AT118" s="1319"/>
      <c r="AU118" s="1319"/>
      <c r="AV118" s="1319"/>
      <c r="AW118" s="1319"/>
      <c r="AX118" s="1319"/>
      <c r="AY118" s="1319"/>
      <c r="AZ118" s="1319"/>
      <c r="BA118" s="1319"/>
    </row>
    <row customHeight="1" ht="19.0125" hidden="1">
      <c r="A119" s="1319"/>
      <c r="B119" s="447">
        <f>AND(NOT(method_reg="Метод сравнения аналогов"),HAS_DOC5="да")</f>
        <v>1</v>
      </c>
      <c r="C119" s="1319"/>
      <c r="D119" s="1319"/>
      <c r="E119" s="644">
        <v>19.5</v>
      </c>
      <c r="F119" s="1319"/>
      <c r="G119" s="1319"/>
      <c r="H119" s="1319"/>
      <c r="I119" s="1319"/>
      <c r="J119" s="1319"/>
      <c r="K119" s="1319"/>
      <c r="L119" s="1319"/>
      <c r="M119" s="1319"/>
      <c r="N119" s="1319"/>
      <c r="O119" s="1319"/>
      <c r="P119" s="1319"/>
      <c r="Q119" s="1319"/>
      <c r="R119" s="1319"/>
      <c r="S119" s="1319"/>
      <c r="T119" s="1319"/>
      <c r="U119" s="1319"/>
      <c r="V119" s="1319"/>
      <c r="W119" s="504" cm="1" t="str">
        <f t="array" ref="W119:W119">W118</f>
        <v>false</v>
      </c>
      <c r="X119" s="1319"/>
      <c r="Y119" s="1319"/>
      <c r="Z119" s="1656"/>
      <c r="AA119" s="1516"/>
      <c r="AB119" s="1506"/>
      <c r="AC119" s="1476" t="s">
        <v>218</v>
      </c>
      <c r="AD119" s="1476"/>
      <c r="AE119" s="1698"/>
      <c r="AF119" s="383"/>
      <c r="AG119" s="1319"/>
      <c r="AH119" s="1319"/>
      <c r="AI119" s="1319"/>
      <c r="AJ119" s="1319"/>
      <c r="AK119" s="1319"/>
      <c r="AL119" s="1319"/>
      <c r="AM119" s="1319"/>
      <c r="AN119" s="1319"/>
      <c r="AO119" s="1319"/>
      <c r="AP119" s="1319"/>
      <c r="AQ119" s="1319"/>
      <c r="AR119" s="1319"/>
      <c r="AS119" s="1319"/>
      <c r="AT119" s="1319"/>
      <c r="AU119" s="1319"/>
      <c r="AV119" s="1319"/>
      <c r="AW119" s="1319"/>
      <c r="AX119" s="1319"/>
      <c r="AY119" s="1319"/>
      <c r="AZ119" s="1319"/>
      <c r="BA119" s="1319"/>
    </row>
    <row customHeight="1" ht="19.0125" hidden="1">
      <c r="A120" s="1319"/>
      <c r="B120" s="447">
        <f>AND(NOT(method_reg="Метод сравнения аналогов"),HAS_DOC5="да")</f>
        <v>1</v>
      </c>
      <c r="C120" s="1319"/>
      <c r="D120" s="1319"/>
      <c r="E120" s="644">
        <v>19.5</v>
      </c>
      <c r="F120" s="1319"/>
      <c r="G120" s="1319"/>
      <c r="H120" s="1319"/>
      <c r="I120" s="1319"/>
      <c r="J120" s="1319"/>
      <c r="K120" s="1319"/>
      <c r="L120" s="1319"/>
      <c r="M120" s="1319"/>
      <c r="N120" s="1319"/>
      <c r="O120" s="1319"/>
      <c r="P120" s="1319"/>
      <c r="Q120" s="1319"/>
      <c r="R120" s="1319"/>
      <c r="S120" s="1319"/>
      <c r="T120" s="1319"/>
      <c r="U120" s="1319"/>
      <c r="V120" s="1319"/>
      <c r="W120" s="504" cm="1" t="str">
        <f t="array" ref="W120:W120">W119</f>
        <v>false</v>
      </c>
      <c r="X120" s="1319"/>
      <c r="Y120" s="1319"/>
      <c r="Z120" s="1656"/>
      <c r="AA120" s="1516"/>
      <c r="AB120" s="1507"/>
      <c r="AC120" s="1476" t="s">
        <v>219</v>
      </c>
      <c r="AD120" s="1476"/>
      <c r="AE120" s="1698"/>
      <c r="AF120" s="383"/>
      <c r="AG120" s="1319"/>
      <c r="AH120" s="1319"/>
      <c r="AI120" s="1319"/>
      <c r="AJ120" s="1319"/>
      <c r="AK120" s="1319"/>
      <c r="AL120" s="1319"/>
      <c r="AM120" s="1319"/>
      <c r="AN120" s="1319"/>
      <c r="AO120" s="1319"/>
      <c r="AP120" s="1319"/>
      <c r="AQ120" s="1319"/>
      <c r="AR120" s="1319"/>
      <c r="AS120" s="1319"/>
      <c r="AT120" s="1319"/>
      <c r="AU120" s="1319"/>
      <c r="AV120" s="1319"/>
      <c r="AW120" s="1319"/>
      <c r="AX120" s="1319"/>
      <c r="AY120" s="1319"/>
      <c r="AZ120" s="1319"/>
      <c r="BA120" s="1319"/>
    </row>
    <row s="1656" customFormat="1" customHeight="1" ht="45.421875">
      <c r="A121" s="1319"/>
      <c r="B121" s="447">
        <f>AND(NOT(method_reg="Метод сравнения аналогов"),HAS_DOC5="да")</f>
        <v>1</v>
      </c>
      <c r="C121" s="1319"/>
      <c r="D121" s="1319"/>
      <c r="E121" s="644">
        <v>19.5</v>
      </c>
      <c r="F121" s="1319"/>
      <c r="G121" s="1319"/>
      <c r="H121" s="1319"/>
      <c r="I121" s="1319"/>
      <c r="J121" s="1319"/>
      <c r="K121" s="1319"/>
      <c r="L121" s="1319"/>
      <c r="M121" s="1319"/>
      <c r="N121" s="1319"/>
      <c r="O121" s="1319"/>
      <c r="P121" s="1319"/>
      <c r="Q121" s="1319"/>
      <c r="R121" s="1319"/>
      <c r="S121" s="1319"/>
      <c r="T121" s="1319"/>
      <c r="U121" s="1319"/>
      <c r="V121" s="1319"/>
      <c r="W121" s="504">
        <f>ROW(Y121)&gt;ROW(Y$115)</f>
        <v>1</v>
      </c>
      <c r="X121" s="1319"/>
      <c r="Y121" s="103"/>
      <c r="Z121" s="1656"/>
      <c r="AA121" s="1516" t="s">
        <v>174</v>
      </c>
      <c r="AB121" s="1505" t="s">
        <v>193</v>
      </c>
      <c r="AC121" s="1476" t="s">
        <v>194</v>
      </c>
      <c r="AD121" s="1476"/>
      <c r="AE121" s="1701" t="s">
        <v>220</v>
      </c>
      <c r="AF121" s="383"/>
      <c r="AG121" s="1319"/>
      <c r="AH121" s="1319"/>
      <c r="AI121" s="1319"/>
      <c r="AJ121" s="1319"/>
      <c r="AK121" s="1319"/>
      <c r="AL121" s="1319"/>
      <c r="AM121" s="1319"/>
      <c r="AN121" s="1319"/>
      <c r="AO121" s="1319"/>
      <c r="AP121" s="1319"/>
      <c r="AQ121" s="1319"/>
      <c r="AR121" s="1319"/>
      <c r="AS121" s="1319"/>
      <c r="AT121" s="1319"/>
      <c r="AU121" s="1319"/>
      <c r="AV121" s="1319"/>
      <c r="AW121" s="1319"/>
      <c r="AX121" s="1319"/>
      <c r="AY121" s="1319"/>
      <c r="AZ121" s="1319"/>
      <c r="BA121" s="1319"/>
    </row>
    <row s="1656" customFormat="1" customHeight="1" ht="18.75">
      <c r="A122" s="1319"/>
      <c r="B122" s="447">
        <f>AND(NOT(method_reg="Метод сравнения аналогов"),HAS_DOC5="да")</f>
        <v>1</v>
      </c>
      <c r="C122" s="1319"/>
      <c r="D122" s="1319"/>
      <c r="E122" s="644">
        <v>19.5</v>
      </c>
      <c r="F122" s="1319"/>
      <c r="G122" s="1319"/>
      <c r="H122" s="1319"/>
      <c r="I122" s="1319"/>
      <c r="J122" s="1319"/>
      <c r="K122" s="1319"/>
      <c r="L122" s="1319"/>
      <c r="M122" s="1319"/>
      <c r="N122" s="1319"/>
      <c r="O122" s="1319"/>
      <c r="P122" s="1319"/>
      <c r="Q122" s="1319"/>
      <c r="R122" s="1319"/>
      <c r="S122" s="1319"/>
      <c r="T122" s="1319"/>
      <c r="U122" s="1319"/>
      <c r="V122" s="1319"/>
      <c r="W122" s="504" cm="1" t="str">
        <f t="array" ref="W122:W122">W121</f>
        <v>true</v>
      </c>
      <c r="X122" s="1319"/>
      <c r="Y122" s="1319"/>
      <c r="Z122" s="1656"/>
      <c r="AA122" s="1516"/>
      <c r="AB122" s="1506"/>
      <c r="AC122" s="1476" t="s">
        <v>196</v>
      </c>
      <c r="AD122" s="1476"/>
      <c r="AE122" s="1702" t="s">
        <v>197</v>
      </c>
      <c r="AF122" s="383"/>
      <c r="AG122" s="1319"/>
      <c r="AH122" s="1319"/>
      <c r="AI122" s="1319"/>
      <c r="AJ122" s="1319"/>
      <c r="AK122" s="1319"/>
      <c r="AL122" s="1319"/>
      <c r="AM122" s="1319"/>
      <c r="AN122" s="1319"/>
      <c r="AO122" s="1319"/>
      <c r="AP122" s="1319"/>
      <c r="AQ122" s="1319"/>
      <c r="AR122" s="1319"/>
      <c r="AS122" s="1319"/>
      <c r="AT122" s="1319"/>
      <c r="AU122" s="1319"/>
      <c r="AV122" s="1319"/>
      <c r="AW122" s="1319"/>
      <c r="AX122" s="1319"/>
      <c r="AY122" s="1319"/>
      <c r="AZ122" s="1319"/>
      <c r="BA122" s="1319"/>
    </row>
    <row s="1656" customFormat="1" customHeight="1" ht="18.75">
      <c r="A123" s="1319"/>
      <c r="B123" s="447">
        <f>AND(NOT(method_reg="Метод сравнения аналогов"),HAS_DOC5="да")</f>
        <v>1</v>
      </c>
      <c r="C123" s="1319"/>
      <c r="D123" s="1319"/>
      <c r="E123" s="644">
        <v>19.5</v>
      </c>
      <c r="F123" s="1319"/>
      <c r="G123" s="1319"/>
      <c r="H123" s="1319"/>
      <c r="I123" s="1319"/>
      <c r="J123" s="1319"/>
      <c r="K123" s="1319"/>
      <c r="L123" s="1319"/>
      <c r="M123" s="1319"/>
      <c r="N123" s="1319"/>
      <c r="O123" s="1319"/>
      <c r="P123" s="1319"/>
      <c r="Q123" s="1319"/>
      <c r="R123" s="1319"/>
      <c r="S123" s="1319"/>
      <c r="T123" s="1319"/>
      <c r="U123" s="1319"/>
      <c r="V123" s="1319"/>
      <c r="W123" s="504" cm="1" t="str">
        <f t="array" ref="W123:W123">W122</f>
        <v>true</v>
      </c>
      <c r="X123" s="1319"/>
      <c r="Y123" s="1319"/>
      <c r="Z123" s="1656"/>
      <c r="AA123" s="1516"/>
      <c r="AB123" s="1506"/>
      <c r="AC123" s="1476" t="s">
        <v>198</v>
      </c>
      <c r="AD123" s="1476"/>
      <c r="AE123" s="1701" t="s">
        <v>221</v>
      </c>
      <c r="AF123" s="383"/>
      <c r="AG123" s="1319"/>
      <c r="AH123" s="1319"/>
      <c r="AI123" s="1319"/>
      <c r="AJ123" s="1319"/>
      <c r="AK123" s="1319"/>
      <c r="AL123" s="1319"/>
      <c r="AM123" s="1319"/>
      <c r="AN123" s="1319"/>
      <c r="AO123" s="1319"/>
      <c r="AP123" s="1319"/>
      <c r="AQ123" s="1319"/>
      <c r="AR123" s="1319"/>
      <c r="AS123" s="1319"/>
      <c r="AT123" s="1319"/>
      <c r="AU123" s="1319"/>
      <c r="AV123" s="1319"/>
      <c r="AW123" s="1319"/>
      <c r="AX123" s="1319"/>
      <c r="AY123" s="1319"/>
      <c r="AZ123" s="1319"/>
      <c r="BA123" s="1319"/>
    </row>
    <row s="1656" customFormat="1" customHeight="1" ht="18.75">
      <c r="A124" s="1319"/>
      <c r="B124" s="447">
        <f>AND(NOT(method_reg="Метод сравнения аналогов"),HAS_DOC5="да")</f>
        <v>1</v>
      </c>
      <c r="C124" s="1319"/>
      <c r="D124" s="1319"/>
      <c r="E124" s="644">
        <v>19.5</v>
      </c>
      <c r="F124" s="1319"/>
      <c r="G124" s="1319"/>
      <c r="H124" s="1319"/>
      <c r="I124" s="1319"/>
      <c r="J124" s="1319"/>
      <c r="K124" s="1319"/>
      <c r="L124" s="1319"/>
      <c r="M124" s="1319"/>
      <c r="N124" s="1319"/>
      <c r="O124" s="1319"/>
      <c r="P124" s="1319"/>
      <c r="Q124" s="1319"/>
      <c r="R124" s="1319"/>
      <c r="S124" s="1319"/>
      <c r="T124" s="1319"/>
      <c r="U124" s="1319"/>
      <c r="V124" s="1319"/>
      <c r="W124" s="504" cm="1" t="str">
        <f t="array" ref="W124:W124">W123</f>
        <v>true</v>
      </c>
      <c r="X124" s="1319"/>
      <c r="Y124" s="1319"/>
      <c r="Z124" s="1656"/>
      <c r="AA124" s="1516"/>
      <c r="AB124" s="1506"/>
      <c r="AC124" s="1476" t="s">
        <v>200</v>
      </c>
      <c r="AD124" s="1476"/>
      <c r="AE124" s="421">
        <v>43816</v>
      </c>
      <c r="AF124" s="383"/>
      <c r="AG124" s="1319"/>
      <c r="AH124" s="1319"/>
      <c r="AI124" s="1319"/>
      <c r="AJ124" s="1319"/>
      <c r="AK124" s="1319"/>
      <c r="AL124" s="1319"/>
      <c r="AM124" s="1319"/>
      <c r="AN124" s="1319"/>
      <c r="AO124" s="1319"/>
      <c r="AP124" s="1319"/>
      <c r="AQ124" s="1319"/>
      <c r="AR124" s="1319"/>
      <c r="AS124" s="1319"/>
      <c r="AT124" s="1319"/>
      <c r="AU124" s="1319"/>
      <c r="AV124" s="1319"/>
      <c r="AW124" s="1319"/>
      <c r="AX124" s="1319"/>
      <c r="AY124" s="1319"/>
      <c r="AZ124" s="1319"/>
      <c r="BA124" s="1319"/>
    </row>
    <row s="1656" customFormat="1" customHeight="1" ht="18.75">
      <c r="A125" s="1319"/>
      <c r="B125" s="447">
        <f>AND(NOT(method_reg="Метод сравнения аналогов"),HAS_DOC5="да")</f>
        <v>1</v>
      </c>
      <c r="C125" s="1319"/>
      <c r="D125" s="1319"/>
      <c r="E125" s="644">
        <v>19.5</v>
      </c>
      <c r="F125" s="1319"/>
      <c r="G125" s="1319"/>
      <c r="H125" s="1319"/>
      <c r="I125" s="1319"/>
      <c r="J125" s="1319"/>
      <c r="K125" s="1319"/>
      <c r="L125" s="1319"/>
      <c r="M125" s="1319"/>
      <c r="N125" s="1319"/>
      <c r="O125" s="1319"/>
      <c r="P125" s="1319"/>
      <c r="Q125" s="1319"/>
      <c r="R125" s="1319"/>
      <c r="S125" s="1319"/>
      <c r="T125" s="1319"/>
      <c r="U125" s="1319"/>
      <c r="V125" s="1319"/>
      <c r="W125" s="504" cm="1" t="str">
        <f t="array" ref="W125:W125">W124</f>
        <v>true</v>
      </c>
      <c r="X125" s="1319"/>
      <c r="Y125" s="1319"/>
      <c r="Z125" s="1656"/>
      <c r="AA125" s="1516"/>
      <c r="AB125" s="1506"/>
      <c r="AC125" s="1476" t="s">
        <v>218</v>
      </c>
      <c r="AD125" s="1476"/>
      <c r="AE125" s="421">
        <v>43817</v>
      </c>
      <c r="AF125" s="383"/>
      <c r="AG125" s="1319"/>
      <c r="AH125" s="1319"/>
      <c r="AI125" s="1319"/>
      <c r="AJ125" s="1319"/>
      <c r="AK125" s="1319"/>
      <c r="AL125" s="1319"/>
      <c r="AM125" s="1319"/>
      <c r="AN125" s="1319"/>
      <c r="AO125" s="1319"/>
      <c r="AP125" s="1319"/>
      <c r="AQ125" s="1319"/>
      <c r="AR125" s="1319"/>
      <c r="AS125" s="1319"/>
      <c r="AT125" s="1319"/>
      <c r="AU125" s="1319"/>
      <c r="AV125" s="1319"/>
      <c r="AW125" s="1319"/>
      <c r="AX125" s="1319"/>
      <c r="AY125" s="1319"/>
      <c r="AZ125" s="1319"/>
      <c r="BA125" s="1319"/>
    </row>
    <row s="1656" customFormat="1" customHeight="1" ht="18.75">
      <c r="A126" s="1319"/>
      <c r="B126" s="447">
        <f>AND(NOT(method_reg="Метод сравнения аналогов"),HAS_DOC5="да")</f>
        <v>1</v>
      </c>
      <c r="C126" s="1319"/>
      <c r="D126" s="1319"/>
      <c r="E126" s="644">
        <v>19.5</v>
      </c>
      <c r="F126" s="1319"/>
      <c r="G126" s="1319"/>
      <c r="H126" s="1319"/>
      <c r="I126" s="1319"/>
      <c r="J126" s="1319"/>
      <c r="K126" s="1319"/>
      <c r="L126" s="1319"/>
      <c r="M126" s="1319"/>
      <c r="N126" s="1319"/>
      <c r="O126" s="1319"/>
      <c r="P126" s="1319"/>
      <c r="Q126" s="1319"/>
      <c r="R126" s="1319"/>
      <c r="S126" s="1319"/>
      <c r="T126" s="1319"/>
      <c r="U126" s="1319"/>
      <c r="V126" s="1319"/>
      <c r="W126" s="504" cm="1" t="str">
        <f t="array" ref="W126:W126">W125</f>
        <v>true</v>
      </c>
      <c r="X126" s="1319"/>
      <c r="Y126" s="1319"/>
      <c r="Z126" s="1656"/>
      <c r="AA126" s="1516"/>
      <c r="AB126" s="1507"/>
      <c r="AC126" s="1476" t="s">
        <v>219</v>
      </c>
      <c r="AD126" s="1476"/>
      <c r="AE126" s="421">
        <v>47118</v>
      </c>
      <c r="AF126" s="383"/>
      <c r="AG126" s="1319"/>
      <c r="AH126" s="1319"/>
      <c r="AI126" s="1319"/>
      <c r="AJ126" s="1319"/>
      <c r="AK126" s="1319"/>
      <c r="AL126" s="1319"/>
      <c r="AM126" s="1319"/>
      <c r="AN126" s="1319"/>
      <c r="AO126" s="1319"/>
      <c r="AP126" s="1319"/>
      <c r="AQ126" s="1319"/>
      <c r="AR126" s="1319"/>
      <c r="AS126" s="1319"/>
      <c r="AT126" s="1319"/>
      <c r="AU126" s="1319"/>
      <c r="AV126" s="1319"/>
      <c r="AW126" s="1319"/>
      <c r="AX126" s="1319"/>
      <c r="AY126" s="1319"/>
      <c r="AZ126" s="1319"/>
      <c r="BA126" s="1319"/>
    </row>
    <row customHeight="1" ht="14.625">
      <c r="A127" s="1319"/>
      <c r="B127" s="447">
        <f>AND(NOT(method_reg="Метод сравнения аналогов"),HAS_DOC5="да")</f>
        <v>1</v>
      </c>
      <c r="C127" s="1319"/>
      <c r="D127" s="1319"/>
      <c r="E127" s="644">
        <v>15</v>
      </c>
      <c r="F127" s="103" t="s">
        <v>214</v>
      </c>
      <c r="G127" s="1319"/>
      <c r="H127" s="1319"/>
      <c r="I127" s="1319"/>
      <c r="J127" s="1319"/>
      <c r="K127" s="1319"/>
      <c r="L127" s="1319"/>
      <c r="M127" s="1319"/>
      <c r="N127" s="1319"/>
      <c r="O127" s="1319"/>
      <c r="P127" s="1319"/>
      <c r="Q127" s="1319"/>
      <c r="R127" s="1319"/>
      <c r="S127" s="1319"/>
      <c r="T127" s="1319"/>
      <c r="U127" s="1319"/>
      <c r="V127" s="1319"/>
      <c r="W127" s="1319"/>
      <c r="X127" s="1319"/>
      <c r="Y127" s="104" t="s">
        <v>222</v>
      </c>
      <c r="Z127" s="1656"/>
      <c r="AA127" s="1319"/>
      <c r="AB127" s="261"/>
      <c r="AC127" s="260"/>
      <c r="AD127" s="260"/>
      <c r="AE127" s="364" t="s">
        <v>177</v>
      </c>
      <c r="AF127" s="383"/>
      <c r="AG127" s="1319"/>
      <c r="AH127" s="1319"/>
      <c r="AI127" s="1319"/>
      <c r="AJ127" s="1319"/>
      <c r="AK127" s="1319"/>
      <c r="AL127" s="1319"/>
      <c r="AM127" s="1319"/>
      <c r="AN127" s="1319"/>
      <c r="AO127" s="1319"/>
      <c r="AP127" s="1319"/>
      <c r="AQ127" s="1319"/>
      <c r="AR127" s="1319"/>
      <c r="AS127" s="1319"/>
      <c r="AT127" s="1319"/>
      <c r="AU127" s="1319"/>
      <c r="AV127" s="1319"/>
      <c r="AW127" s="1319"/>
      <c r="AX127" s="1319"/>
      <c r="AY127" s="1319"/>
      <c r="AZ127" s="1319"/>
      <c r="BA127" s="1319"/>
    </row>
    <row customHeight="1" ht="24.862499999999997">
      <c r="B128" s="447">
        <f>NOT(method_reg="Метод сравнения аналогов")</f>
        <v>1</v>
      </c>
      <c r="E128" s="644">
        <v>25.5</v>
      </c>
      <c r="F128" s="103" t="s">
        <v>223</v>
      </c>
      <c r="AB128" s="1476" t="str">
        <f>"Наличие утверждённых ОИВ инвестиционных программ, действующих в течение "&amp;god&amp;" года, для организации, оказывающей услуги холодного водоснабжения/водоотведения"</f>
        <v>Наличие утверждённых ОИВ инвестиционных программ, действующих в течение 2026 года, для организации, оказывающей услуги холодного водоснабжения/водоотведения</v>
      </c>
      <c r="AC128" s="1476"/>
      <c r="AD128" s="1476"/>
      <c r="AE128" s="389" t="s">
        <v>161</v>
      </c>
      <c r="AF128" s="482"/>
      <c r="AG128" s="103" t="s">
        <v>224</v>
      </c>
    </row>
    <row customHeight="1" ht="40.171875">
      <c r="A129" s="1319"/>
      <c r="B129" s="447">
        <f>AND(NOT(method_reg="Метод сравнения аналогов"),HAS_DOC6="да")</f>
        <v>1</v>
      </c>
      <c r="C129" s="1319"/>
      <c r="D129" s="1319"/>
      <c r="E129" s="644">
        <v>19.5</v>
      </c>
      <c r="F129" s="1319"/>
      <c r="G129" s="1319"/>
      <c r="H129" s="1319"/>
      <c r="I129" s="1319"/>
      <c r="J129" s="1319"/>
      <c r="K129" s="1319"/>
      <c r="L129" s="1319"/>
      <c r="M129" s="1319"/>
      <c r="N129" s="1319"/>
      <c r="O129" s="1319"/>
      <c r="P129" s="1319"/>
      <c r="Q129" s="1319"/>
      <c r="R129" s="1319"/>
      <c r="S129" s="1319"/>
      <c r="T129" s="1319"/>
      <c r="U129" s="1319"/>
      <c r="V129" s="1319"/>
      <c r="W129" s="1319"/>
      <c r="X129" s="1319"/>
      <c r="Y129" s="1319"/>
      <c r="Z129" s="1656"/>
      <c r="AA129" s="1319"/>
      <c r="AB129" s="1488" t="s">
        <v>193</v>
      </c>
      <c r="AC129" s="1476" t="s">
        <v>194</v>
      </c>
      <c r="AD129" s="1476"/>
      <c r="AE129" s="1701" t="s">
        <v>216</v>
      </c>
      <c r="AF129" s="383"/>
      <c r="AG129" s="1319"/>
      <c r="AH129" s="1319"/>
      <c r="AI129" s="1319"/>
      <c r="AJ129" s="1319"/>
      <c r="AK129" s="1319"/>
      <c r="AL129" s="1319"/>
      <c r="AM129" s="1319"/>
      <c r="AN129" s="1319"/>
      <c r="AO129" s="1319"/>
      <c r="AP129" s="1319"/>
      <c r="AQ129" s="1319"/>
      <c r="AR129" s="1319"/>
      <c r="AS129" s="1319"/>
      <c r="AT129" s="1319"/>
      <c r="AU129" s="1319"/>
      <c r="AV129" s="1319"/>
      <c r="AW129" s="1319"/>
      <c r="AX129" s="1319"/>
      <c r="AY129" s="1319"/>
      <c r="AZ129" s="1319"/>
      <c r="BA129" s="1319"/>
    </row>
    <row customHeight="1" ht="19.0125">
      <c r="A130" s="1319"/>
      <c r="B130" s="447">
        <f>AND(NOT(method_reg="Метод сравнения аналогов"),HAS_DOC6="да")</f>
        <v>1</v>
      </c>
      <c r="C130" s="1319"/>
      <c r="D130" s="1319"/>
      <c r="E130" s="644">
        <v>19.5</v>
      </c>
      <c r="F130" s="1319"/>
      <c r="G130" s="1319"/>
      <c r="H130" s="1319"/>
      <c r="I130" s="1319"/>
      <c r="J130" s="1319"/>
      <c r="K130" s="1319"/>
      <c r="L130" s="1319"/>
      <c r="M130" s="1319"/>
      <c r="N130" s="1319"/>
      <c r="O130" s="1319"/>
      <c r="P130" s="1319"/>
      <c r="Q130" s="1319"/>
      <c r="R130" s="1319"/>
      <c r="S130" s="1319"/>
      <c r="T130" s="1319"/>
      <c r="U130" s="1319"/>
      <c r="V130" s="1319"/>
      <c r="W130" s="1319"/>
      <c r="X130" s="1319"/>
      <c r="Y130" s="1319"/>
      <c r="Z130" s="1656"/>
      <c r="AA130" s="1319"/>
      <c r="AB130" s="1488"/>
      <c r="AC130" s="1476" t="s">
        <v>196</v>
      </c>
      <c r="AD130" s="1476"/>
      <c r="AE130" s="1702" t="s">
        <v>197</v>
      </c>
      <c r="AF130" s="383"/>
      <c r="AG130" s="1319"/>
      <c r="AH130" s="1319"/>
      <c r="AI130" s="1319"/>
      <c r="AJ130" s="1319"/>
      <c r="AK130" s="1319"/>
      <c r="AL130" s="1319"/>
      <c r="AM130" s="1319"/>
      <c r="AN130" s="1319"/>
      <c r="AO130" s="1319"/>
      <c r="AP130" s="1319"/>
      <c r="AQ130" s="1319"/>
      <c r="AR130" s="1319"/>
      <c r="AS130" s="1319"/>
      <c r="AT130" s="1319"/>
      <c r="AU130" s="1319"/>
      <c r="AV130" s="1319"/>
      <c r="AW130" s="1319"/>
      <c r="AX130" s="1319"/>
      <c r="AY130" s="1319"/>
      <c r="AZ130" s="1319"/>
      <c r="BA130" s="1319"/>
    </row>
    <row customHeight="1" ht="19.0125">
      <c r="A131" s="1319"/>
      <c r="B131" s="447">
        <f>AND(NOT(method_reg="Метод сравнения аналогов"),HAS_DOC6="да")</f>
        <v>1</v>
      </c>
      <c r="C131" s="1319"/>
      <c r="D131" s="1319"/>
      <c r="E131" s="644">
        <v>19.5</v>
      </c>
      <c r="F131" s="1319"/>
      <c r="G131" s="1319"/>
      <c r="H131" s="1319"/>
      <c r="I131" s="1319"/>
      <c r="J131" s="1319"/>
      <c r="K131" s="1319"/>
      <c r="L131" s="1319"/>
      <c r="M131" s="1319"/>
      <c r="N131" s="1319"/>
      <c r="O131" s="1319"/>
      <c r="P131" s="1319"/>
      <c r="Q131" s="1319"/>
      <c r="R131" s="1319"/>
      <c r="S131" s="1319"/>
      <c r="T131" s="1319"/>
      <c r="U131" s="1319"/>
      <c r="V131" s="1319"/>
      <c r="W131" s="1319"/>
      <c r="X131" s="1319"/>
      <c r="Y131" s="1319"/>
      <c r="Z131" s="1656"/>
      <c r="AA131" s="1319"/>
      <c r="AB131" s="1488"/>
      <c r="AC131" s="1476" t="s">
        <v>198</v>
      </c>
      <c r="AD131" s="1476"/>
      <c r="AE131" s="1701" t="s">
        <v>217</v>
      </c>
      <c r="AF131" s="383"/>
      <c r="AG131" s="1319"/>
      <c r="AH131" s="1319"/>
      <c r="AI131" s="1319"/>
      <c r="AJ131" s="1319"/>
      <c r="AK131" s="1319"/>
      <c r="AL131" s="1319"/>
      <c r="AM131" s="1319"/>
      <c r="AN131" s="1319"/>
      <c r="AO131" s="1319"/>
      <c r="AP131" s="1319"/>
      <c r="AQ131" s="1319"/>
      <c r="AR131" s="1319"/>
      <c r="AS131" s="1319"/>
      <c r="AT131" s="1319"/>
      <c r="AU131" s="1319"/>
      <c r="AV131" s="1319"/>
      <c r="AW131" s="1319"/>
      <c r="AX131" s="1319"/>
      <c r="AY131" s="1319"/>
      <c r="AZ131" s="1319"/>
      <c r="BA131" s="1319"/>
    </row>
    <row customHeight="1" ht="19.0125">
      <c r="A132" s="1319"/>
      <c r="B132" s="447">
        <f>AND(NOT(method_reg="Метод сравнения аналогов"),HAS_DOC6="да")</f>
        <v>1</v>
      </c>
      <c r="C132" s="1319"/>
      <c r="D132" s="1319"/>
      <c r="E132" s="644">
        <v>19.5</v>
      </c>
      <c r="F132" s="1319"/>
      <c r="G132" s="1319"/>
      <c r="H132" s="1319"/>
      <c r="I132" s="1319"/>
      <c r="J132" s="1319"/>
      <c r="K132" s="1319"/>
      <c r="L132" s="1319"/>
      <c r="M132" s="1319"/>
      <c r="N132" s="1319"/>
      <c r="O132" s="1319"/>
      <c r="P132" s="1319"/>
      <c r="Q132" s="1319"/>
      <c r="R132" s="1319"/>
      <c r="S132" s="1319"/>
      <c r="T132" s="1319"/>
      <c r="U132" s="1319"/>
      <c r="V132" s="1319"/>
      <c r="W132" s="1319"/>
      <c r="X132" s="1319"/>
      <c r="Y132" s="1319"/>
      <c r="Z132" s="1656"/>
      <c r="AA132" s="1319"/>
      <c r="AB132" s="1488"/>
      <c r="AC132" s="1476" t="s">
        <v>200</v>
      </c>
      <c r="AD132" s="1476"/>
      <c r="AE132" s="421">
        <v>43816</v>
      </c>
      <c r="AF132" s="383"/>
      <c r="AG132" s="1319"/>
      <c r="AH132" s="1319"/>
      <c r="AI132" s="1319"/>
      <c r="AJ132" s="1319"/>
      <c r="AK132" s="1319"/>
      <c r="AL132" s="1319"/>
      <c r="AM132" s="1319"/>
      <c r="AN132" s="1319"/>
      <c r="AO132" s="1319"/>
      <c r="AP132" s="1319"/>
      <c r="AQ132" s="1319"/>
      <c r="AR132" s="1319"/>
      <c r="AS132" s="1319"/>
      <c r="AT132" s="1319"/>
      <c r="AU132" s="1319"/>
      <c r="AV132" s="1319"/>
      <c r="AW132" s="1319"/>
      <c r="AX132" s="1319"/>
      <c r="AY132" s="1319"/>
      <c r="AZ132" s="1319"/>
      <c r="BA132" s="1319"/>
    </row>
    <row customHeight="1" ht="19.0125">
      <c r="A133" s="1319"/>
      <c r="B133" s="447">
        <f>AND(NOT(method_reg="Метод сравнения аналогов"),HAS_DOC6="да")</f>
        <v>1</v>
      </c>
      <c r="C133" s="1319"/>
      <c r="D133" s="1319"/>
      <c r="E133" s="644">
        <v>19.5</v>
      </c>
      <c r="F133" s="1319"/>
      <c r="G133" s="1319"/>
      <c r="H133" s="1319"/>
      <c r="I133" s="1319"/>
      <c r="J133" s="1319"/>
      <c r="K133" s="1319"/>
      <c r="L133" s="1319"/>
      <c r="M133" s="1319"/>
      <c r="N133" s="1319"/>
      <c r="O133" s="1319"/>
      <c r="P133" s="1319"/>
      <c r="Q133" s="1319"/>
      <c r="R133" s="1319"/>
      <c r="S133" s="1319"/>
      <c r="T133" s="1319"/>
      <c r="U133" s="1319"/>
      <c r="V133" s="1319"/>
      <c r="W133" s="1319"/>
      <c r="X133" s="1319"/>
      <c r="Y133" s="1319"/>
      <c r="Z133" s="1656"/>
      <c r="AA133" s="1319"/>
      <c r="AB133" s="1488"/>
      <c r="AC133" s="1476" t="s">
        <v>218</v>
      </c>
      <c r="AD133" s="1476"/>
      <c r="AE133" s="421">
        <v>43817</v>
      </c>
      <c r="AF133" s="383"/>
      <c r="AG133" s="1319"/>
      <c r="AH133" s="1319"/>
      <c r="AI133" s="1319"/>
      <c r="AJ133" s="1319"/>
      <c r="AK133" s="1319"/>
      <c r="AL133" s="1319"/>
      <c r="AM133" s="1319"/>
      <c r="AN133" s="1319"/>
      <c r="AO133" s="1319"/>
      <c r="AP133" s="1319"/>
      <c r="AQ133" s="1319"/>
      <c r="AR133" s="1319"/>
      <c r="AS133" s="1319"/>
      <c r="AT133" s="1319"/>
      <c r="AU133" s="1319"/>
      <c r="AV133" s="1319"/>
      <c r="AW133" s="1319"/>
      <c r="AX133" s="1319"/>
      <c r="AY133" s="1319"/>
      <c r="AZ133" s="1319"/>
      <c r="BA133" s="1319"/>
    </row>
    <row customHeight="1" ht="19.0125">
      <c r="A134" s="1319"/>
      <c r="B134" s="447">
        <f>AND(NOT(method_reg="Метод сравнения аналогов"),HAS_DOC6="да")</f>
        <v>1</v>
      </c>
      <c r="C134" s="1319"/>
      <c r="D134" s="1319"/>
      <c r="E134" s="644">
        <v>19.5</v>
      </c>
      <c r="F134" s="1319"/>
      <c r="G134" s="1319"/>
      <c r="H134" s="1319"/>
      <c r="I134" s="1319"/>
      <c r="J134" s="1319"/>
      <c r="K134" s="1319"/>
      <c r="L134" s="1319"/>
      <c r="M134" s="1319"/>
      <c r="N134" s="1319"/>
      <c r="O134" s="1319"/>
      <c r="P134" s="1319"/>
      <c r="Q134" s="1319"/>
      <c r="R134" s="1319"/>
      <c r="S134" s="1319"/>
      <c r="T134" s="1319"/>
      <c r="U134" s="1319"/>
      <c r="V134" s="1319"/>
      <c r="W134" s="1319"/>
      <c r="X134" s="1319"/>
      <c r="Y134" s="1319"/>
      <c r="Z134" s="1656"/>
      <c r="AA134" s="1319"/>
      <c r="AB134" s="1488"/>
      <c r="AC134" s="1476" t="s">
        <v>219</v>
      </c>
      <c r="AD134" s="1476"/>
      <c r="AE134" s="421">
        <v>47118</v>
      </c>
      <c r="AF134" s="383"/>
      <c r="AG134" s="1319"/>
      <c r="AH134" s="1319"/>
      <c r="AI134" s="1319"/>
      <c r="AJ134" s="1319"/>
      <c r="AK134" s="1319"/>
      <c r="AL134" s="1319"/>
      <c r="AM134" s="1319"/>
      <c r="AN134" s="1319"/>
      <c r="AO134" s="1319"/>
      <c r="AP134" s="1319"/>
      <c r="AQ134" s="1319"/>
      <c r="AR134" s="1319"/>
      <c r="AS134" s="1319"/>
      <c r="AT134" s="1319"/>
      <c r="AU134" s="1319"/>
      <c r="AV134" s="1319"/>
      <c r="AW134" s="1319"/>
      <c r="AX134" s="1319"/>
      <c r="AY134" s="1319"/>
      <c r="AZ134" s="1319"/>
      <c r="BA134" s="1319"/>
    </row>
    <row customHeight="1" ht="19.0125" hidden="1">
      <c r="A135" s="1319"/>
      <c r="B135" s="447">
        <f>AND(NOT(method_reg="Метод сравнения аналогов"),HAS_DOC6="да")</f>
        <v>1</v>
      </c>
      <c r="C135" s="1319"/>
      <c r="D135" s="1319"/>
      <c r="E135" s="644">
        <v>19.5</v>
      </c>
      <c r="F135" s="1319"/>
      <c r="G135" s="1319"/>
      <c r="H135" s="1319"/>
      <c r="I135" s="1319"/>
      <c r="J135" s="1319"/>
      <c r="K135" s="1319"/>
      <c r="L135" s="1319"/>
      <c r="M135" s="1319"/>
      <c r="N135" s="1319"/>
      <c r="O135" s="1319"/>
      <c r="P135" s="1319"/>
      <c r="Q135" s="1319"/>
      <c r="R135" s="1319"/>
      <c r="S135" s="1319"/>
      <c r="T135" s="1319"/>
      <c r="U135" s="1319"/>
      <c r="V135" s="1319"/>
      <c r="W135" s="504">
        <f>ROW(Y135)&gt;ROW(Y$135)</f>
        <v>0</v>
      </c>
      <c r="X135" s="1319"/>
      <c r="Y135" s="103" t="s">
        <v>173</v>
      </c>
      <c r="Z135" s="1656"/>
      <c r="AA135" s="1516" t="s">
        <v>174</v>
      </c>
      <c r="AB135" s="1488" t="s">
        <v>193</v>
      </c>
      <c r="AC135" s="1476" t="s">
        <v>194</v>
      </c>
      <c r="AD135" s="1476"/>
      <c r="AE135" s="419"/>
      <c r="AF135" s="383"/>
      <c r="AG135" s="1319"/>
      <c r="AH135" s="1319"/>
      <c r="AI135" s="1319"/>
      <c r="AJ135" s="1319"/>
      <c r="AK135" s="1319"/>
      <c r="AL135" s="1319"/>
      <c r="AM135" s="1319"/>
      <c r="AN135" s="1319"/>
      <c r="AO135" s="1319"/>
      <c r="AP135" s="1319"/>
      <c r="AQ135" s="1319"/>
      <c r="AR135" s="1319"/>
      <c r="AS135" s="1319"/>
      <c r="AT135" s="1319"/>
      <c r="AU135" s="1319"/>
      <c r="AV135" s="1319"/>
      <c r="AW135" s="1319"/>
      <c r="AX135" s="1319"/>
      <c r="AY135" s="1319"/>
      <c r="AZ135" s="1319"/>
      <c r="BA135" s="1319"/>
    </row>
    <row customHeight="1" ht="19.0125" hidden="1">
      <c r="A136" s="1319"/>
      <c r="B136" s="447">
        <f>AND(NOT(method_reg="Метод сравнения аналогов"),HAS_DOC6="да")</f>
        <v>1</v>
      </c>
      <c r="C136" s="1319"/>
      <c r="D136" s="1319"/>
      <c r="E136" s="644">
        <v>19.5</v>
      </c>
      <c r="F136" s="1319"/>
      <c r="G136" s="1319"/>
      <c r="H136" s="1319"/>
      <c r="I136" s="1319"/>
      <c r="J136" s="1319"/>
      <c r="K136" s="1319"/>
      <c r="L136" s="1319"/>
      <c r="M136" s="1319"/>
      <c r="N136" s="1319"/>
      <c r="O136" s="1319"/>
      <c r="P136" s="1319"/>
      <c r="Q136" s="1319"/>
      <c r="R136" s="1319"/>
      <c r="S136" s="1319"/>
      <c r="T136" s="1319"/>
      <c r="U136" s="1319"/>
      <c r="V136" s="1319"/>
      <c r="W136" s="504" cm="1" t="str">
        <f t="array" ref="W136:W136">W135</f>
        <v>false</v>
      </c>
      <c r="X136" s="1319"/>
      <c r="Y136" s="1319"/>
      <c r="Z136" s="1656"/>
      <c r="AA136" s="1516"/>
      <c r="AB136" s="1488"/>
      <c r="AC136" s="1476" t="s">
        <v>196</v>
      </c>
      <c r="AD136" s="1476"/>
      <c r="AE136" s="420"/>
      <c r="AF136" s="383"/>
      <c r="AG136" s="1319"/>
      <c r="AH136" s="1319"/>
      <c r="AI136" s="1319"/>
      <c r="AJ136" s="1319"/>
      <c r="AK136" s="1319"/>
      <c r="AL136" s="1319"/>
      <c r="AM136" s="1319"/>
      <c r="AN136" s="1319"/>
      <c r="AO136" s="1319"/>
      <c r="AP136" s="1319"/>
      <c r="AQ136" s="1319"/>
      <c r="AR136" s="1319"/>
      <c r="AS136" s="1319"/>
      <c r="AT136" s="1319"/>
      <c r="AU136" s="1319"/>
      <c r="AV136" s="1319"/>
      <c r="AW136" s="1319"/>
      <c r="AX136" s="1319"/>
      <c r="AY136" s="1319"/>
      <c r="AZ136" s="1319"/>
      <c r="BA136" s="1319"/>
    </row>
    <row customHeight="1" ht="19.0125" hidden="1">
      <c r="A137" s="1319"/>
      <c r="B137" s="447">
        <f>AND(NOT(method_reg="Метод сравнения аналогов"),HAS_DOC6="да")</f>
        <v>1</v>
      </c>
      <c r="C137" s="1319"/>
      <c r="D137" s="1319"/>
      <c r="E137" s="644">
        <v>19.5</v>
      </c>
      <c r="F137" s="1319"/>
      <c r="G137" s="1319"/>
      <c r="H137" s="1319"/>
      <c r="I137" s="1319"/>
      <c r="J137" s="1319"/>
      <c r="K137" s="1319"/>
      <c r="L137" s="1319"/>
      <c r="M137" s="1319"/>
      <c r="N137" s="1319"/>
      <c r="O137" s="1319"/>
      <c r="P137" s="1319"/>
      <c r="Q137" s="1319"/>
      <c r="R137" s="1319"/>
      <c r="S137" s="1319"/>
      <c r="T137" s="1319"/>
      <c r="U137" s="1319"/>
      <c r="V137" s="1319"/>
      <c r="W137" s="504" cm="1" t="str">
        <f t="array" ref="W137:W137">W136</f>
        <v>false</v>
      </c>
      <c r="X137" s="1319"/>
      <c r="Y137" s="1319"/>
      <c r="Z137" s="1656"/>
      <c r="AA137" s="1516"/>
      <c r="AB137" s="1488"/>
      <c r="AC137" s="1476" t="s">
        <v>198</v>
      </c>
      <c r="AD137" s="1476"/>
      <c r="AE137" s="419"/>
      <c r="AF137" s="383"/>
      <c r="AG137" s="1319"/>
      <c r="AH137" s="1319"/>
      <c r="AI137" s="1319"/>
      <c r="AJ137" s="1319"/>
      <c r="AK137" s="1319"/>
      <c r="AL137" s="1319"/>
      <c r="AM137" s="1319"/>
      <c r="AN137" s="1319"/>
      <c r="AO137" s="1319"/>
      <c r="AP137" s="1319"/>
      <c r="AQ137" s="1319"/>
      <c r="AR137" s="1319"/>
      <c r="AS137" s="1319"/>
      <c r="AT137" s="1319"/>
      <c r="AU137" s="1319"/>
      <c r="AV137" s="1319"/>
      <c r="AW137" s="1319"/>
      <c r="AX137" s="1319"/>
      <c r="AY137" s="1319"/>
      <c r="AZ137" s="1319"/>
      <c r="BA137" s="1319"/>
    </row>
    <row customHeight="1" ht="19.0125" hidden="1">
      <c r="A138" s="1319"/>
      <c r="B138" s="447">
        <f>AND(NOT(method_reg="Метод сравнения аналогов"),HAS_DOC6="да")</f>
        <v>1</v>
      </c>
      <c r="C138" s="1319"/>
      <c r="D138" s="1319"/>
      <c r="E138" s="644">
        <v>19.5</v>
      </c>
      <c r="F138" s="1319"/>
      <c r="G138" s="1319"/>
      <c r="H138" s="1319"/>
      <c r="I138" s="1319"/>
      <c r="J138" s="1319"/>
      <c r="K138" s="1319"/>
      <c r="L138" s="1319"/>
      <c r="M138" s="1319"/>
      <c r="N138" s="1319"/>
      <c r="O138" s="1319"/>
      <c r="P138" s="1319"/>
      <c r="Q138" s="1319"/>
      <c r="R138" s="1319"/>
      <c r="S138" s="1319"/>
      <c r="T138" s="1319"/>
      <c r="U138" s="1319"/>
      <c r="V138" s="1319"/>
      <c r="W138" s="504" cm="1" t="str">
        <f t="array" ref="W138:W138">W137</f>
        <v>false</v>
      </c>
      <c r="X138" s="1319"/>
      <c r="Y138" s="1319"/>
      <c r="Z138" s="1656"/>
      <c r="AA138" s="1516"/>
      <c r="AB138" s="1488"/>
      <c r="AC138" s="1476" t="s">
        <v>200</v>
      </c>
      <c r="AD138" s="1476"/>
      <c r="AE138" s="1698"/>
      <c r="AF138" s="383"/>
      <c r="AG138" s="1319"/>
      <c r="AH138" s="1319"/>
      <c r="AI138" s="1319"/>
      <c r="AJ138" s="1319"/>
      <c r="AK138" s="1319"/>
      <c r="AL138" s="1319"/>
      <c r="AM138" s="1319"/>
      <c r="AN138" s="1319"/>
      <c r="AO138" s="1319"/>
      <c r="AP138" s="1319"/>
      <c r="AQ138" s="1319"/>
      <c r="AR138" s="1319"/>
      <c r="AS138" s="1319"/>
      <c r="AT138" s="1319"/>
      <c r="AU138" s="1319"/>
      <c r="AV138" s="1319"/>
      <c r="AW138" s="1319"/>
      <c r="AX138" s="1319"/>
      <c r="AY138" s="1319"/>
      <c r="AZ138" s="1319"/>
      <c r="BA138" s="1319"/>
    </row>
    <row customHeight="1" ht="19.0125" hidden="1">
      <c r="A139" s="1319"/>
      <c r="B139" s="447">
        <f>AND(NOT(method_reg="Метод сравнения аналогов"),HAS_DOC6="да")</f>
        <v>1</v>
      </c>
      <c r="C139" s="1319"/>
      <c r="D139" s="1319"/>
      <c r="E139" s="644">
        <v>19.5</v>
      </c>
      <c r="F139" s="1319"/>
      <c r="G139" s="1319"/>
      <c r="H139" s="1319"/>
      <c r="I139" s="1319"/>
      <c r="J139" s="1319"/>
      <c r="K139" s="1319"/>
      <c r="L139" s="1319"/>
      <c r="M139" s="1319"/>
      <c r="N139" s="1319"/>
      <c r="O139" s="1319"/>
      <c r="P139" s="1319"/>
      <c r="Q139" s="1319"/>
      <c r="R139" s="1319"/>
      <c r="S139" s="1319"/>
      <c r="T139" s="1319"/>
      <c r="U139" s="1319"/>
      <c r="V139" s="1319"/>
      <c r="W139" s="504" cm="1" t="str">
        <f t="array" ref="W139:W139">W138</f>
        <v>false</v>
      </c>
      <c r="X139" s="1319"/>
      <c r="Y139" s="1319"/>
      <c r="Z139" s="1656"/>
      <c r="AA139" s="1516"/>
      <c r="AB139" s="1488"/>
      <c r="AC139" s="1476" t="s">
        <v>218</v>
      </c>
      <c r="AD139" s="1476"/>
      <c r="AE139" s="1698"/>
      <c r="AF139" s="383"/>
      <c r="AG139" s="1319"/>
      <c r="AH139" s="1319"/>
      <c r="AI139" s="1319"/>
      <c r="AJ139" s="1319"/>
      <c r="AK139" s="1319"/>
      <c r="AL139" s="1319"/>
      <c r="AM139" s="1319"/>
      <c r="AN139" s="1319"/>
      <c r="AO139" s="1319"/>
      <c r="AP139" s="1319"/>
      <c r="AQ139" s="1319"/>
      <c r="AR139" s="1319"/>
      <c r="AS139" s="1319"/>
      <c r="AT139" s="1319"/>
      <c r="AU139" s="1319"/>
      <c r="AV139" s="1319"/>
      <c r="AW139" s="1319"/>
      <c r="AX139" s="1319"/>
      <c r="AY139" s="1319"/>
      <c r="AZ139" s="1319"/>
      <c r="BA139" s="1319"/>
    </row>
    <row customHeight="1" ht="19.0125" hidden="1">
      <c r="A140" s="1319"/>
      <c r="B140" s="447">
        <f>AND(NOT(method_reg="Метод сравнения аналогов"),HAS_DOC6="да")</f>
        <v>1</v>
      </c>
      <c r="C140" s="1319"/>
      <c r="D140" s="1319"/>
      <c r="E140" s="644">
        <v>19.5</v>
      </c>
      <c r="F140" s="1319"/>
      <c r="G140" s="1319"/>
      <c r="H140" s="1319"/>
      <c r="I140" s="1319"/>
      <c r="J140" s="1319"/>
      <c r="K140" s="1319"/>
      <c r="L140" s="1319"/>
      <c r="M140" s="1319"/>
      <c r="N140" s="1319"/>
      <c r="O140" s="1319"/>
      <c r="P140" s="1319"/>
      <c r="Q140" s="1319"/>
      <c r="R140" s="1319"/>
      <c r="S140" s="1319"/>
      <c r="T140" s="1319"/>
      <c r="U140" s="1319"/>
      <c r="V140" s="1319"/>
      <c r="W140" s="504" cm="1" t="str">
        <f t="array" ref="W140:W140">W139</f>
        <v>false</v>
      </c>
      <c r="X140" s="1319"/>
      <c r="Y140" s="1319"/>
      <c r="Z140" s="1656"/>
      <c r="AA140" s="1516"/>
      <c r="AB140" s="1488"/>
      <c r="AC140" s="1476" t="s">
        <v>219</v>
      </c>
      <c r="AD140" s="1476"/>
      <c r="AE140" s="1698"/>
      <c r="AF140" s="383"/>
      <c r="AG140" s="1319"/>
      <c r="AH140" s="1319"/>
      <c r="AI140" s="1319"/>
      <c r="AJ140" s="1319"/>
      <c r="AK140" s="1319"/>
      <c r="AL140" s="1319"/>
      <c r="AM140" s="1319"/>
      <c r="AN140" s="1319"/>
      <c r="AO140" s="1319"/>
      <c r="AP140" s="1319"/>
      <c r="AQ140" s="1319"/>
      <c r="AR140" s="1319"/>
      <c r="AS140" s="1319"/>
      <c r="AT140" s="1319"/>
      <c r="AU140" s="1319"/>
      <c r="AV140" s="1319"/>
      <c r="AW140" s="1319"/>
      <c r="AX140" s="1319"/>
      <c r="AY140" s="1319"/>
      <c r="AZ140" s="1319"/>
      <c r="BA140" s="1319"/>
    </row>
    <row s="1656" customFormat="1" customHeight="1" ht="36.421875">
      <c r="A141" s="1319"/>
      <c r="B141" s="447">
        <f>AND(NOT(method_reg="Метод сравнения аналогов"),HAS_DOC6="да")</f>
        <v>1</v>
      </c>
      <c r="C141" s="1319"/>
      <c r="D141" s="1319"/>
      <c r="E141" s="644">
        <v>19.5</v>
      </c>
      <c r="F141" s="1319"/>
      <c r="G141" s="1319"/>
      <c r="H141" s="1319"/>
      <c r="I141" s="1319"/>
      <c r="J141" s="1319"/>
      <c r="K141" s="1319"/>
      <c r="L141" s="1319"/>
      <c r="M141" s="1319"/>
      <c r="N141" s="1319"/>
      <c r="O141" s="1319"/>
      <c r="P141" s="1319"/>
      <c r="Q141" s="1319"/>
      <c r="R141" s="1319"/>
      <c r="S141" s="1319"/>
      <c r="T141" s="1319"/>
      <c r="U141" s="1319"/>
      <c r="V141" s="1319"/>
      <c r="W141" s="504">
        <f>ROW(Y141)&gt;ROW(Y$135)</f>
        <v>1</v>
      </c>
      <c r="X141" s="1319"/>
      <c r="Y141" s="103"/>
      <c r="Z141" s="1656"/>
      <c r="AA141" s="1516" t="s">
        <v>174</v>
      </c>
      <c r="AB141" s="1488" t="s">
        <v>193</v>
      </c>
      <c r="AC141" s="1476" t="s">
        <v>194</v>
      </c>
      <c r="AD141" s="1476"/>
      <c r="AE141" s="1701" t="s">
        <v>220</v>
      </c>
      <c r="AF141" s="383"/>
      <c r="AG141" s="1319"/>
      <c r="AH141" s="1319"/>
      <c r="AI141" s="1319"/>
      <c r="AJ141" s="1319"/>
      <c r="AK141" s="1319"/>
      <c r="AL141" s="1319"/>
      <c r="AM141" s="1319"/>
      <c r="AN141" s="1319"/>
      <c r="AO141" s="1319"/>
      <c r="AP141" s="1319"/>
      <c r="AQ141" s="1319"/>
      <c r="AR141" s="1319"/>
      <c r="AS141" s="1319"/>
      <c r="AT141" s="1319"/>
      <c r="AU141" s="1319"/>
      <c r="AV141" s="1319"/>
      <c r="AW141" s="1319"/>
      <c r="AX141" s="1319"/>
      <c r="AY141" s="1319"/>
      <c r="AZ141" s="1319"/>
      <c r="BA141" s="1319"/>
    </row>
    <row s="1656" customFormat="1" customHeight="1" ht="18.75">
      <c r="A142" s="1319"/>
      <c r="B142" s="447">
        <f>AND(NOT(method_reg="Метод сравнения аналогов"),HAS_DOC6="да")</f>
        <v>1</v>
      </c>
      <c r="C142" s="1319"/>
      <c r="D142" s="1319"/>
      <c r="E142" s="644">
        <v>19.5</v>
      </c>
      <c r="F142" s="1319"/>
      <c r="G142" s="1319"/>
      <c r="H142" s="1319"/>
      <c r="I142" s="1319"/>
      <c r="J142" s="1319"/>
      <c r="K142" s="1319"/>
      <c r="L142" s="1319"/>
      <c r="M142" s="1319"/>
      <c r="N142" s="1319"/>
      <c r="O142" s="1319"/>
      <c r="P142" s="1319"/>
      <c r="Q142" s="1319"/>
      <c r="R142" s="1319"/>
      <c r="S142" s="1319"/>
      <c r="T142" s="1319"/>
      <c r="U142" s="1319"/>
      <c r="V142" s="1319"/>
      <c r="W142" s="504" cm="1" t="str">
        <f t="array" ref="W142:W142">W141</f>
        <v>true</v>
      </c>
      <c r="X142" s="1319"/>
      <c r="Y142" s="1319"/>
      <c r="Z142" s="1656"/>
      <c r="AA142" s="1516"/>
      <c r="AB142" s="1488"/>
      <c r="AC142" s="1476" t="s">
        <v>196</v>
      </c>
      <c r="AD142" s="1476"/>
      <c r="AE142" s="1702" t="s">
        <v>197</v>
      </c>
      <c r="AF142" s="383"/>
      <c r="AG142" s="1319"/>
      <c r="AH142" s="1319"/>
      <c r="AI142" s="1319"/>
      <c r="AJ142" s="1319"/>
      <c r="AK142" s="1319"/>
      <c r="AL142" s="1319"/>
      <c r="AM142" s="1319"/>
      <c r="AN142" s="1319"/>
      <c r="AO142" s="1319"/>
      <c r="AP142" s="1319"/>
      <c r="AQ142" s="1319"/>
      <c r="AR142" s="1319"/>
      <c r="AS142" s="1319"/>
      <c r="AT142" s="1319"/>
      <c r="AU142" s="1319"/>
      <c r="AV142" s="1319"/>
      <c r="AW142" s="1319"/>
      <c r="AX142" s="1319"/>
      <c r="AY142" s="1319"/>
      <c r="AZ142" s="1319"/>
      <c r="BA142" s="1319"/>
    </row>
    <row s="1656" customFormat="1" customHeight="1" ht="18.75">
      <c r="A143" s="1319"/>
      <c r="B143" s="447">
        <f>AND(NOT(method_reg="Метод сравнения аналогов"),HAS_DOC6="да")</f>
        <v>1</v>
      </c>
      <c r="C143" s="1319"/>
      <c r="D143" s="1319"/>
      <c r="E143" s="644">
        <v>19.5</v>
      </c>
      <c r="F143" s="1319"/>
      <c r="G143" s="1319"/>
      <c r="H143" s="1319"/>
      <c r="I143" s="1319"/>
      <c r="J143" s="1319"/>
      <c r="K143" s="1319"/>
      <c r="L143" s="1319"/>
      <c r="M143" s="1319"/>
      <c r="N143" s="1319"/>
      <c r="O143" s="1319"/>
      <c r="P143" s="1319"/>
      <c r="Q143" s="1319"/>
      <c r="R143" s="1319"/>
      <c r="S143" s="1319"/>
      <c r="T143" s="1319"/>
      <c r="U143" s="1319"/>
      <c r="V143" s="1319"/>
      <c r="W143" s="504" cm="1" t="str">
        <f t="array" ref="W143:W143">W142</f>
        <v>true</v>
      </c>
      <c r="X143" s="1319"/>
      <c r="Y143" s="1319"/>
      <c r="Z143" s="1656"/>
      <c r="AA143" s="1516"/>
      <c r="AB143" s="1488"/>
      <c r="AC143" s="1476" t="s">
        <v>198</v>
      </c>
      <c r="AD143" s="1476"/>
      <c r="AE143" s="1701" t="s">
        <v>221</v>
      </c>
      <c r="AF143" s="383"/>
      <c r="AG143" s="1319"/>
      <c r="AH143" s="1319"/>
      <c r="AI143" s="1319"/>
      <c r="AJ143" s="1319"/>
      <c r="AK143" s="1319"/>
      <c r="AL143" s="1319"/>
      <c r="AM143" s="1319"/>
      <c r="AN143" s="1319"/>
      <c r="AO143" s="1319"/>
      <c r="AP143" s="1319"/>
      <c r="AQ143" s="1319"/>
      <c r="AR143" s="1319"/>
      <c r="AS143" s="1319"/>
      <c r="AT143" s="1319"/>
      <c r="AU143" s="1319"/>
      <c r="AV143" s="1319"/>
      <c r="AW143" s="1319"/>
      <c r="AX143" s="1319"/>
      <c r="AY143" s="1319"/>
      <c r="AZ143" s="1319"/>
      <c r="BA143" s="1319"/>
    </row>
    <row s="1656" customFormat="1" customHeight="1" ht="18.75">
      <c r="A144" s="1319"/>
      <c r="B144" s="447">
        <f>AND(NOT(method_reg="Метод сравнения аналогов"),HAS_DOC6="да")</f>
        <v>1</v>
      </c>
      <c r="C144" s="1319"/>
      <c r="D144" s="1319"/>
      <c r="E144" s="644">
        <v>19.5</v>
      </c>
      <c r="F144" s="1319"/>
      <c r="G144" s="1319"/>
      <c r="H144" s="1319"/>
      <c r="I144" s="1319"/>
      <c r="J144" s="1319"/>
      <c r="K144" s="1319"/>
      <c r="L144" s="1319"/>
      <c r="M144" s="1319"/>
      <c r="N144" s="1319"/>
      <c r="O144" s="1319"/>
      <c r="P144" s="1319"/>
      <c r="Q144" s="1319"/>
      <c r="R144" s="1319"/>
      <c r="S144" s="1319"/>
      <c r="T144" s="1319"/>
      <c r="U144" s="1319"/>
      <c r="V144" s="1319"/>
      <c r="W144" s="504" cm="1" t="str">
        <f t="array" ref="W144:W144">W143</f>
        <v>true</v>
      </c>
      <c r="X144" s="1319"/>
      <c r="Y144" s="1319"/>
      <c r="Z144" s="1656"/>
      <c r="AA144" s="1516"/>
      <c r="AB144" s="1488"/>
      <c r="AC144" s="1476" t="s">
        <v>200</v>
      </c>
      <c r="AD144" s="1476"/>
      <c r="AE144" s="421">
        <v>43816</v>
      </c>
      <c r="AF144" s="383"/>
      <c r="AG144" s="1319"/>
      <c r="AH144" s="1319"/>
      <c r="AI144" s="1319"/>
      <c r="AJ144" s="1319"/>
      <c r="AK144" s="1319"/>
      <c r="AL144" s="1319"/>
      <c r="AM144" s="1319"/>
      <c r="AN144" s="1319"/>
      <c r="AO144" s="1319"/>
      <c r="AP144" s="1319"/>
      <c r="AQ144" s="1319"/>
      <c r="AR144" s="1319"/>
      <c r="AS144" s="1319"/>
      <c r="AT144" s="1319"/>
      <c r="AU144" s="1319"/>
      <c r="AV144" s="1319"/>
      <c r="AW144" s="1319"/>
      <c r="AX144" s="1319"/>
      <c r="AY144" s="1319"/>
      <c r="AZ144" s="1319"/>
      <c r="BA144" s="1319"/>
    </row>
    <row s="1656" customFormat="1" customHeight="1" ht="18.75">
      <c r="A145" s="1319"/>
      <c r="B145" s="447">
        <f>AND(NOT(method_reg="Метод сравнения аналогов"),HAS_DOC6="да")</f>
        <v>1</v>
      </c>
      <c r="C145" s="1319"/>
      <c r="D145" s="1319"/>
      <c r="E145" s="644">
        <v>19.5</v>
      </c>
      <c r="F145" s="1319"/>
      <c r="G145" s="1319"/>
      <c r="H145" s="1319"/>
      <c r="I145" s="1319"/>
      <c r="J145" s="1319"/>
      <c r="K145" s="1319"/>
      <c r="L145" s="1319"/>
      <c r="M145" s="1319"/>
      <c r="N145" s="1319"/>
      <c r="O145" s="1319"/>
      <c r="P145" s="1319"/>
      <c r="Q145" s="1319"/>
      <c r="R145" s="1319"/>
      <c r="S145" s="1319"/>
      <c r="T145" s="1319"/>
      <c r="U145" s="1319"/>
      <c r="V145" s="1319"/>
      <c r="W145" s="504" cm="1" t="str">
        <f t="array" ref="W145:W145">W144</f>
        <v>true</v>
      </c>
      <c r="X145" s="1319"/>
      <c r="Y145" s="1319"/>
      <c r="Z145" s="1656"/>
      <c r="AA145" s="1516"/>
      <c r="AB145" s="1488"/>
      <c r="AC145" s="1476" t="s">
        <v>218</v>
      </c>
      <c r="AD145" s="1476"/>
      <c r="AE145" s="421">
        <v>43817</v>
      </c>
      <c r="AF145" s="383"/>
      <c r="AG145" s="1319"/>
      <c r="AH145" s="1319"/>
      <c r="AI145" s="1319"/>
      <c r="AJ145" s="1319"/>
      <c r="AK145" s="1319"/>
      <c r="AL145" s="1319"/>
      <c r="AM145" s="1319"/>
      <c r="AN145" s="1319"/>
      <c r="AO145" s="1319"/>
      <c r="AP145" s="1319"/>
      <c r="AQ145" s="1319"/>
      <c r="AR145" s="1319"/>
      <c r="AS145" s="1319"/>
      <c r="AT145" s="1319"/>
      <c r="AU145" s="1319"/>
      <c r="AV145" s="1319"/>
      <c r="AW145" s="1319"/>
      <c r="AX145" s="1319"/>
      <c r="AY145" s="1319"/>
      <c r="AZ145" s="1319"/>
      <c r="BA145" s="1319"/>
    </row>
    <row s="1656" customFormat="1" customHeight="1" ht="18.75">
      <c r="A146" s="1319"/>
      <c r="B146" s="447">
        <f>AND(NOT(method_reg="Метод сравнения аналогов"),HAS_DOC6="да")</f>
        <v>1</v>
      </c>
      <c r="C146" s="1319"/>
      <c r="D146" s="1319"/>
      <c r="E146" s="644">
        <v>19.5</v>
      </c>
      <c r="F146" s="1319"/>
      <c r="G146" s="1319"/>
      <c r="H146" s="1319"/>
      <c r="I146" s="1319"/>
      <c r="J146" s="1319"/>
      <c r="K146" s="1319"/>
      <c r="L146" s="1319"/>
      <c r="M146" s="1319"/>
      <c r="N146" s="1319"/>
      <c r="O146" s="1319"/>
      <c r="P146" s="1319"/>
      <c r="Q146" s="1319"/>
      <c r="R146" s="1319"/>
      <c r="S146" s="1319"/>
      <c r="T146" s="1319"/>
      <c r="U146" s="1319"/>
      <c r="V146" s="1319"/>
      <c r="W146" s="504" cm="1" t="str">
        <f t="array" ref="W146:W146">W145</f>
        <v>true</v>
      </c>
      <c r="X146" s="1319"/>
      <c r="Y146" s="1319"/>
      <c r="Z146" s="1656"/>
      <c r="AA146" s="1516"/>
      <c r="AB146" s="1488"/>
      <c r="AC146" s="1476" t="s">
        <v>219</v>
      </c>
      <c r="AD146" s="1476"/>
      <c r="AE146" s="421">
        <v>47118</v>
      </c>
      <c r="AF146" s="383"/>
      <c r="AG146" s="1319"/>
      <c r="AH146" s="1319"/>
      <c r="AI146" s="1319"/>
      <c r="AJ146" s="1319"/>
      <c r="AK146" s="1319"/>
      <c r="AL146" s="1319"/>
      <c r="AM146" s="1319"/>
      <c r="AN146" s="1319"/>
      <c r="AO146" s="1319"/>
      <c r="AP146" s="1319"/>
      <c r="AQ146" s="1319"/>
      <c r="AR146" s="1319"/>
      <c r="AS146" s="1319"/>
      <c r="AT146" s="1319"/>
      <c r="AU146" s="1319"/>
      <c r="AV146" s="1319"/>
      <c r="AW146" s="1319"/>
      <c r="AX146" s="1319"/>
      <c r="AY146" s="1319"/>
      <c r="AZ146" s="1319"/>
      <c r="BA146" s="1319"/>
    </row>
    <row customHeight="1" ht="14.625">
      <c r="A147" s="1319"/>
      <c r="B147" s="447">
        <f>AND(NOT(method_reg="Метод сравнения аналогов"),HAS_DOC6="да")</f>
        <v>1</v>
      </c>
      <c r="C147" s="1319"/>
      <c r="D147" s="1319"/>
      <c r="E147" s="644">
        <v>15</v>
      </c>
      <c r="F147" s="103" t="s">
        <v>223</v>
      </c>
      <c r="G147" s="1319"/>
      <c r="H147" s="1319"/>
      <c r="I147" s="1319"/>
      <c r="J147" s="1319"/>
      <c r="K147" s="1319"/>
      <c r="L147" s="1319"/>
      <c r="M147" s="1319"/>
      <c r="N147" s="1319"/>
      <c r="O147" s="1319"/>
      <c r="P147" s="1319"/>
      <c r="Q147" s="1319"/>
      <c r="R147" s="1319"/>
      <c r="S147" s="1319"/>
      <c r="T147" s="1319"/>
      <c r="U147" s="1319"/>
      <c r="V147" s="1319"/>
      <c r="W147" s="1319"/>
      <c r="X147" s="1319"/>
      <c r="Y147" s="104" t="s">
        <v>225</v>
      </c>
      <c r="Z147" s="1656"/>
      <c r="AA147" s="1319"/>
      <c r="AB147" s="261"/>
      <c r="AC147" s="260"/>
      <c r="AD147" s="260"/>
      <c r="AE147" s="364" t="s">
        <v>177</v>
      </c>
      <c r="AF147" s="383"/>
      <c r="AG147" s="1319"/>
      <c r="AH147" s="1319"/>
      <c r="AI147" s="1319"/>
      <c r="AJ147" s="1319"/>
      <c r="AK147" s="1319"/>
      <c r="AL147" s="1319"/>
      <c r="AM147" s="1319"/>
      <c r="AN147" s="1319"/>
      <c r="AO147" s="1319"/>
      <c r="AP147" s="1319"/>
      <c r="AQ147" s="1319"/>
      <c r="AR147" s="1319"/>
      <c r="AS147" s="1319"/>
      <c r="AT147" s="1319"/>
      <c r="AU147" s="1319"/>
      <c r="AV147" s="1319"/>
      <c r="AW147" s="1319"/>
      <c r="AX147" s="1319"/>
      <c r="AY147" s="1319"/>
      <c r="AZ147" s="1319"/>
      <c r="BA147" s="1319"/>
    </row>
    <row customHeight="1" ht="24.862499999999997">
      <c r="B148" s="447">
        <f>NOT(method_reg="Метод сравнения аналогов")</f>
        <v>1</v>
      </c>
      <c r="E148" s="644">
        <v>25.5</v>
      </c>
      <c r="F148" s="103" t="s">
        <v>226</v>
      </c>
      <c r="AB148" s="1476" t="str">
        <f>"Наличие утверждённых ОИВ концессионных соглашений, действующих в течение "&amp;god&amp;" года, для организации, оказывающей услуги холодного водоснабжения/водоотведения"</f>
        <v>Наличие утверждённых ОИВ концессионных соглашений, действующих в течение 2026 года, для организации, оказывающей услуги холодного водоснабжения/водоотведения</v>
      </c>
      <c r="AC148" s="1476"/>
      <c r="AD148" s="1476"/>
      <c r="AE148" s="389" t="s">
        <v>161</v>
      </c>
      <c r="AF148" s="482"/>
      <c r="AG148" s="103" t="s">
        <v>227</v>
      </c>
    </row>
    <row customHeight="1" ht="41.671875">
      <c r="A149" s="1319"/>
      <c r="B149" s="447">
        <f>AND(NOT(method_reg="Метод сравнения аналогов"),HAS_DOC7="да")</f>
        <v>1</v>
      </c>
      <c r="C149" s="1319"/>
      <c r="D149" s="1319"/>
      <c r="E149" s="644">
        <v>19.5</v>
      </c>
      <c r="F149" s="1319"/>
      <c r="G149" s="1319"/>
      <c r="H149" s="1319"/>
      <c r="I149" s="1319"/>
      <c r="J149" s="1319"/>
      <c r="K149" s="1319"/>
      <c r="L149" s="1319"/>
      <c r="M149" s="1319"/>
      <c r="N149" s="1319"/>
      <c r="O149" s="1319"/>
      <c r="P149" s="1319"/>
      <c r="Q149" s="1319"/>
      <c r="R149" s="1319"/>
      <c r="S149" s="1319"/>
      <c r="T149" s="1319"/>
      <c r="U149" s="1319"/>
      <c r="V149" s="1319"/>
      <c r="W149" s="1319"/>
      <c r="X149" s="1319"/>
      <c r="Y149" s="1319"/>
      <c r="Z149" s="1656"/>
      <c r="AA149" s="1319"/>
      <c r="AB149" s="1488" t="s">
        <v>193</v>
      </c>
      <c r="AC149" s="1476" t="s">
        <v>194</v>
      </c>
      <c r="AD149" s="1476"/>
      <c r="AE149" s="1701" t="s">
        <v>228</v>
      </c>
      <c r="AF149" s="383"/>
      <c r="AG149" s="1319"/>
      <c r="AH149" s="1319"/>
      <c r="AI149" s="1319"/>
      <c r="AJ149" s="1319"/>
      <c r="AK149" s="1319"/>
      <c r="AL149" s="1319"/>
      <c r="AM149" s="1319"/>
      <c r="AN149" s="1319"/>
      <c r="AO149" s="1319"/>
      <c r="AP149" s="1319"/>
      <c r="AQ149" s="1319"/>
      <c r="AR149" s="1319"/>
      <c r="AS149" s="1319"/>
      <c r="AT149" s="1319"/>
      <c r="AU149" s="1319"/>
      <c r="AV149" s="1319"/>
      <c r="AW149" s="1319"/>
      <c r="AX149" s="1319"/>
      <c r="AY149" s="1319"/>
      <c r="AZ149" s="1319"/>
      <c r="BA149" s="1319"/>
    </row>
    <row customHeight="1" ht="19.0125">
      <c r="A150" s="1319"/>
      <c r="B150" s="447">
        <f>AND(NOT(method_reg="Метод сравнения аналогов"),HAS_DOC7="да")</f>
        <v>1</v>
      </c>
      <c r="C150" s="1319"/>
      <c r="D150" s="1319"/>
      <c r="E150" s="644">
        <v>19.5</v>
      </c>
      <c r="F150" s="1319"/>
      <c r="G150" s="1319"/>
      <c r="H150" s="1319"/>
      <c r="I150" s="1319"/>
      <c r="J150" s="1319"/>
      <c r="K150" s="1319"/>
      <c r="L150" s="1319"/>
      <c r="M150" s="1319"/>
      <c r="N150" s="1319"/>
      <c r="O150" s="1319"/>
      <c r="P150" s="1319"/>
      <c r="Q150" s="1319"/>
      <c r="R150" s="1319"/>
      <c r="S150" s="1319"/>
      <c r="T150" s="1319"/>
      <c r="U150" s="1319"/>
      <c r="V150" s="1319"/>
      <c r="W150" s="1319"/>
      <c r="X150" s="1319"/>
      <c r="Y150" s="1319"/>
      <c r="Z150" s="1656"/>
      <c r="AA150" s="1319"/>
      <c r="AB150" s="1488"/>
      <c r="AC150" s="1476" t="s">
        <v>196</v>
      </c>
      <c r="AD150" s="1476"/>
      <c r="AE150" s="1701" t="s">
        <v>229</v>
      </c>
      <c r="AF150" s="383"/>
      <c r="AG150" s="1319"/>
      <c r="AH150" s="1319"/>
      <c r="AI150" s="1319"/>
      <c r="AJ150" s="1319"/>
      <c r="AK150" s="1319"/>
      <c r="AL150" s="1319"/>
      <c r="AM150" s="1319"/>
      <c r="AN150" s="1319"/>
      <c r="AO150" s="1319"/>
      <c r="AP150" s="1319"/>
      <c r="AQ150" s="1319"/>
      <c r="AR150" s="1319"/>
      <c r="AS150" s="1319"/>
      <c r="AT150" s="1319"/>
      <c r="AU150" s="1319"/>
      <c r="AV150" s="1319"/>
      <c r="AW150" s="1319"/>
      <c r="AX150" s="1319"/>
      <c r="AY150" s="1319"/>
      <c r="AZ150" s="1319"/>
      <c r="BA150" s="1319"/>
    </row>
    <row customHeight="1" ht="19.0125">
      <c r="A151" s="1319"/>
      <c r="B151" s="447">
        <f>AND(NOT(method_reg="Метод сравнения аналогов"),HAS_DOC7="да")</f>
        <v>1</v>
      </c>
      <c r="C151" s="1319"/>
      <c r="D151" s="1319"/>
      <c r="E151" s="644">
        <v>19.5</v>
      </c>
      <c r="F151" s="1319"/>
      <c r="G151" s="1319"/>
      <c r="H151" s="1319"/>
      <c r="I151" s="1319"/>
      <c r="J151" s="1319"/>
      <c r="K151" s="1319"/>
      <c r="L151" s="1319"/>
      <c r="M151" s="1319"/>
      <c r="N151" s="1319"/>
      <c r="O151" s="1319"/>
      <c r="P151" s="1319"/>
      <c r="Q151" s="1319"/>
      <c r="R151" s="1319"/>
      <c r="S151" s="1319"/>
      <c r="T151" s="1319"/>
      <c r="U151" s="1319"/>
      <c r="V151" s="1319"/>
      <c r="W151" s="1319"/>
      <c r="X151" s="1319"/>
      <c r="Y151" s="1319"/>
      <c r="Z151" s="1656"/>
      <c r="AA151" s="1319"/>
      <c r="AB151" s="1488"/>
      <c r="AC151" s="1476" t="s">
        <v>198</v>
      </c>
      <c r="AD151" s="1476"/>
      <c r="AE151" s="1701" t="s">
        <v>230</v>
      </c>
      <c r="AF151" s="383"/>
      <c r="AG151" s="1319"/>
      <c r="AH151" s="1319"/>
      <c r="AI151" s="1319"/>
      <c r="AJ151" s="1319"/>
      <c r="AK151" s="1319"/>
      <c r="AL151" s="1319"/>
      <c r="AM151" s="1319"/>
      <c r="AN151" s="1319"/>
      <c r="AO151" s="1319"/>
      <c r="AP151" s="1319"/>
      <c r="AQ151" s="1319"/>
      <c r="AR151" s="1319"/>
      <c r="AS151" s="1319"/>
      <c r="AT151" s="1319"/>
      <c r="AU151" s="1319"/>
      <c r="AV151" s="1319"/>
      <c r="AW151" s="1319"/>
      <c r="AX151" s="1319"/>
      <c r="AY151" s="1319"/>
      <c r="AZ151" s="1319"/>
      <c r="BA151" s="1319"/>
    </row>
    <row customHeight="1" ht="19.0125">
      <c r="A152" s="1319"/>
      <c r="B152" s="447">
        <f>AND(NOT(method_reg="Метод сравнения аналогов"),HAS_DOC7="да")</f>
        <v>1</v>
      </c>
      <c r="C152" s="1319"/>
      <c r="D152" s="1319"/>
      <c r="E152" s="644">
        <v>19.5</v>
      </c>
      <c r="F152" s="1319"/>
      <c r="G152" s="1319"/>
      <c r="H152" s="1319"/>
      <c r="I152" s="1319"/>
      <c r="J152" s="1319"/>
      <c r="K152" s="1319"/>
      <c r="L152" s="1319"/>
      <c r="M152" s="1319"/>
      <c r="N152" s="1319"/>
      <c r="O152" s="1319"/>
      <c r="P152" s="1319"/>
      <c r="Q152" s="1319"/>
      <c r="R152" s="1319"/>
      <c r="S152" s="1319"/>
      <c r="T152" s="1319"/>
      <c r="U152" s="1319"/>
      <c r="V152" s="1319"/>
      <c r="W152" s="1319"/>
      <c r="X152" s="1319"/>
      <c r="Y152" s="1319"/>
      <c r="Z152" s="1656"/>
      <c r="AA152" s="1319"/>
      <c r="AB152" s="1488"/>
      <c r="AC152" s="1476" t="s">
        <v>200</v>
      </c>
      <c r="AD152" s="1476"/>
      <c r="AE152" s="421">
        <v>43783</v>
      </c>
      <c r="AF152" s="383"/>
      <c r="AG152" s="1319"/>
      <c r="AH152" s="1319"/>
      <c r="AI152" s="1319"/>
      <c r="AJ152" s="1319"/>
      <c r="AK152" s="1319"/>
      <c r="AL152" s="1319"/>
      <c r="AM152" s="1319"/>
      <c r="AN152" s="1319"/>
      <c r="AO152" s="1319"/>
      <c r="AP152" s="1319"/>
      <c r="AQ152" s="1319"/>
      <c r="AR152" s="1319"/>
      <c r="AS152" s="1319"/>
      <c r="AT152" s="1319"/>
      <c r="AU152" s="1319"/>
      <c r="AV152" s="1319"/>
      <c r="AW152" s="1319"/>
      <c r="AX152" s="1319"/>
      <c r="AY152" s="1319"/>
      <c r="AZ152" s="1319"/>
      <c r="BA152" s="1319"/>
    </row>
    <row customHeight="1" ht="19.0125">
      <c r="A153" s="1319"/>
      <c r="B153" s="447">
        <f>AND(NOT(method_reg="Метод сравнения аналогов"),HAS_DOC7="да")</f>
        <v>1</v>
      </c>
      <c r="C153" s="1319"/>
      <c r="D153" s="1319"/>
      <c r="E153" s="644">
        <v>19.5</v>
      </c>
      <c r="F153" s="1319"/>
      <c r="G153" s="1319"/>
      <c r="H153" s="1319"/>
      <c r="I153" s="1319"/>
      <c r="J153" s="1319"/>
      <c r="K153" s="1319"/>
      <c r="L153" s="1319"/>
      <c r="M153" s="1319"/>
      <c r="N153" s="1319"/>
      <c r="O153" s="1319"/>
      <c r="P153" s="1319"/>
      <c r="Q153" s="1319"/>
      <c r="R153" s="1319"/>
      <c r="S153" s="1319"/>
      <c r="T153" s="1319"/>
      <c r="U153" s="1319"/>
      <c r="V153" s="1319"/>
      <c r="W153" s="1319"/>
      <c r="X153" s="1319"/>
      <c r="Y153" s="1319"/>
      <c r="Z153" s="1656"/>
      <c r="AA153" s="1319"/>
      <c r="AB153" s="1488"/>
      <c r="AC153" s="1476" t="s">
        <v>231</v>
      </c>
      <c r="AD153" s="1476"/>
      <c r="AE153" s="421">
        <v>43783</v>
      </c>
      <c r="AF153" s="383"/>
      <c r="AG153" s="1319"/>
      <c r="AH153" s="1319"/>
      <c r="AI153" s="1319"/>
      <c r="AJ153" s="1319"/>
      <c r="AK153" s="1319"/>
      <c r="AL153" s="1319"/>
      <c r="AM153" s="1319"/>
      <c r="AN153" s="1319"/>
      <c r="AO153" s="1319"/>
      <c r="AP153" s="1319"/>
      <c r="AQ153" s="1319"/>
      <c r="AR153" s="1319"/>
      <c r="AS153" s="1319"/>
      <c r="AT153" s="1319"/>
      <c r="AU153" s="1319"/>
      <c r="AV153" s="1319"/>
      <c r="AW153" s="1319"/>
      <c r="AX153" s="1319"/>
      <c r="AY153" s="1319"/>
      <c r="AZ153" s="1319"/>
      <c r="BA153" s="1319"/>
    </row>
    <row customHeight="1" ht="19.0125">
      <c r="A154" s="1319"/>
      <c r="B154" s="447">
        <f>AND(NOT(method_reg="Метод сравнения аналогов"),HAS_DOC7="да")</f>
        <v>1</v>
      </c>
      <c r="C154" s="1319"/>
      <c r="D154" s="1319"/>
      <c r="E154" s="644">
        <v>19.5</v>
      </c>
      <c r="F154" s="1319"/>
      <c r="G154" s="1319"/>
      <c r="H154" s="1319"/>
      <c r="I154" s="1319"/>
      <c r="J154" s="1319"/>
      <c r="K154" s="1319"/>
      <c r="L154" s="1319"/>
      <c r="M154" s="1319"/>
      <c r="N154" s="1319"/>
      <c r="O154" s="1319"/>
      <c r="P154" s="1319"/>
      <c r="Q154" s="1319"/>
      <c r="R154" s="1319"/>
      <c r="S154" s="1319"/>
      <c r="T154" s="1319"/>
      <c r="U154" s="1319"/>
      <c r="V154" s="1319"/>
      <c r="W154" s="1319"/>
      <c r="X154" s="1319"/>
      <c r="Y154" s="1319"/>
      <c r="Z154" s="1656"/>
      <c r="AA154" s="1319"/>
      <c r="AB154" s="1488"/>
      <c r="AC154" s="1476" t="s">
        <v>232</v>
      </c>
      <c r="AD154" s="1476"/>
      <c r="AE154" s="421">
        <v>47118</v>
      </c>
      <c r="AF154" s="383"/>
      <c r="AG154" s="1319"/>
      <c r="AH154" s="1319"/>
      <c r="AI154" s="1319"/>
      <c r="AJ154" s="1319"/>
      <c r="AK154" s="1319"/>
      <c r="AL154" s="1319"/>
      <c r="AM154" s="1319"/>
      <c r="AN154" s="1319"/>
      <c r="AO154" s="1319"/>
      <c r="AP154" s="1319"/>
      <c r="AQ154" s="1319"/>
      <c r="AR154" s="1319"/>
      <c r="AS154" s="1319"/>
      <c r="AT154" s="1319"/>
      <c r="AU154" s="1319"/>
      <c r="AV154" s="1319"/>
      <c r="AW154" s="1319"/>
      <c r="AX154" s="1319"/>
      <c r="AY154" s="1319"/>
      <c r="AZ154" s="1319"/>
      <c r="BA154" s="1319"/>
    </row>
    <row customHeight="1" ht="19.0125" hidden="1">
      <c r="A155" s="1319"/>
      <c r="B155" s="447">
        <f>AND(NOT(method_reg="Метод сравнения аналогов"),HAS_DOC7="да")</f>
        <v>1</v>
      </c>
      <c r="C155" s="1319"/>
      <c r="D155" s="1319"/>
      <c r="E155" s="644">
        <v>19.5</v>
      </c>
      <c r="F155" s="1319"/>
      <c r="G155" s="1319"/>
      <c r="H155" s="1319"/>
      <c r="I155" s="1319"/>
      <c r="J155" s="1319"/>
      <c r="K155" s="1319"/>
      <c r="L155" s="1319"/>
      <c r="M155" s="1319"/>
      <c r="N155" s="1319"/>
      <c r="O155" s="1319"/>
      <c r="P155" s="1319"/>
      <c r="Q155" s="1319"/>
      <c r="R155" s="1319"/>
      <c r="S155" s="1319"/>
      <c r="T155" s="1319"/>
      <c r="U155" s="1319"/>
      <c r="V155" s="1319"/>
      <c r="W155" s="504">
        <f>ROW(Y155)&gt;ROW(Y$155)</f>
        <v>0</v>
      </c>
      <c r="X155" s="1319"/>
      <c r="Y155" s="103" t="s">
        <v>173</v>
      </c>
      <c r="Z155" s="1656"/>
      <c r="AA155" s="1516" t="s">
        <v>174</v>
      </c>
      <c r="AB155" s="1488" t="s">
        <v>193</v>
      </c>
      <c r="AC155" s="1476" t="s">
        <v>194</v>
      </c>
      <c r="AD155" s="1476"/>
      <c r="AE155" s="419"/>
      <c r="AF155" s="383"/>
      <c r="AG155" s="1319"/>
      <c r="AH155" s="1319"/>
      <c r="AI155" s="1319"/>
      <c r="AJ155" s="1319"/>
      <c r="AK155" s="1319"/>
      <c r="AL155" s="1319"/>
      <c r="AM155" s="1319"/>
      <c r="AN155" s="1319"/>
      <c r="AO155" s="1319"/>
      <c r="AP155" s="1319"/>
      <c r="AQ155" s="1319"/>
      <c r="AR155" s="1319"/>
      <c r="AS155" s="1319"/>
      <c r="AT155" s="1319"/>
      <c r="AU155" s="1319"/>
      <c r="AV155" s="1319"/>
      <c r="AW155" s="1319"/>
      <c r="AX155" s="1319"/>
      <c r="AY155" s="1319"/>
      <c r="AZ155" s="1319"/>
      <c r="BA155" s="1319"/>
    </row>
    <row customHeight="1" ht="19.0125" hidden="1">
      <c r="A156" s="1319"/>
      <c r="B156" s="447">
        <f>AND(NOT(method_reg="Метод сравнения аналогов"),HAS_DOC7="да")</f>
        <v>1</v>
      </c>
      <c r="C156" s="1319"/>
      <c r="D156" s="1319"/>
      <c r="E156" s="644">
        <v>19.5</v>
      </c>
      <c r="F156" s="1319"/>
      <c r="G156" s="1319"/>
      <c r="H156" s="1319"/>
      <c r="I156" s="1319"/>
      <c r="J156" s="1319"/>
      <c r="K156" s="1319"/>
      <c r="L156" s="1319"/>
      <c r="M156" s="1319"/>
      <c r="N156" s="1319"/>
      <c r="O156" s="1319"/>
      <c r="P156" s="1319"/>
      <c r="Q156" s="1319"/>
      <c r="R156" s="1319"/>
      <c r="S156" s="1319"/>
      <c r="T156" s="1319"/>
      <c r="U156" s="1319"/>
      <c r="V156" s="1319"/>
      <c r="W156" s="504" cm="1" t="str">
        <f t="array" ref="W156:W156">W155</f>
        <v>false</v>
      </c>
      <c r="X156" s="1319"/>
      <c r="Y156" s="1319"/>
      <c r="Z156" s="1656"/>
      <c r="AA156" s="1516"/>
      <c r="AB156" s="1488"/>
      <c r="AC156" s="1476" t="s">
        <v>196</v>
      </c>
      <c r="AD156" s="1476"/>
      <c r="AE156" s="1697"/>
      <c r="AF156" s="383"/>
      <c r="AG156" s="1319"/>
      <c r="AH156" s="1319"/>
      <c r="AI156" s="1319"/>
      <c r="AJ156" s="1319"/>
      <c r="AK156" s="1319"/>
      <c r="AL156" s="1319"/>
      <c r="AM156" s="1319"/>
      <c r="AN156" s="1319"/>
      <c r="AO156" s="1319"/>
      <c r="AP156" s="1319"/>
      <c r="AQ156" s="1319"/>
      <c r="AR156" s="1319"/>
      <c r="AS156" s="1319"/>
      <c r="AT156" s="1319"/>
      <c r="AU156" s="1319"/>
      <c r="AV156" s="1319"/>
      <c r="AW156" s="1319"/>
      <c r="AX156" s="1319"/>
      <c r="AY156" s="1319"/>
      <c r="AZ156" s="1319"/>
      <c r="BA156" s="1319"/>
    </row>
    <row customHeight="1" ht="19.0125" hidden="1">
      <c r="A157" s="1319"/>
      <c r="B157" s="447">
        <f>AND(NOT(method_reg="Метод сравнения аналогов"),HAS_DOC7="да")</f>
        <v>1</v>
      </c>
      <c r="C157" s="1319"/>
      <c r="D157" s="1319"/>
      <c r="E157" s="644">
        <v>19.5</v>
      </c>
      <c r="F157" s="1319"/>
      <c r="G157" s="1319"/>
      <c r="H157" s="1319"/>
      <c r="I157" s="1319"/>
      <c r="J157" s="1319"/>
      <c r="K157" s="1319"/>
      <c r="L157" s="1319"/>
      <c r="M157" s="1319"/>
      <c r="N157" s="1319"/>
      <c r="O157" s="1319"/>
      <c r="P157" s="1319"/>
      <c r="Q157" s="1319"/>
      <c r="R157" s="1319"/>
      <c r="S157" s="1319"/>
      <c r="T157" s="1319"/>
      <c r="U157" s="1319"/>
      <c r="V157" s="1319"/>
      <c r="W157" s="504" cm="1" t="str">
        <f t="array" ref="W157:W157">W156</f>
        <v>false</v>
      </c>
      <c r="X157" s="1319"/>
      <c r="Y157" s="1319"/>
      <c r="Z157" s="1656"/>
      <c r="AA157" s="1516"/>
      <c r="AB157" s="1488"/>
      <c r="AC157" s="1476" t="s">
        <v>198</v>
      </c>
      <c r="AD157" s="1476"/>
      <c r="AE157" s="419"/>
      <c r="AF157" s="383"/>
      <c r="AG157" s="1319"/>
      <c r="AH157" s="1319"/>
      <c r="AI157" s="1319"/>
      <c r="AJ157" s="1319"/>
      <c r="AK157" s="1319"/>
      <c r="AL157" s="1319"/>
      <c r="AM157" s="1319"/>
      <c r="AN157" s="1319"/>
      <c r="AO157" s="1319"/>
      <c r="AP157" s="1319"/>
      <c r="AQ157" s="1319"/>
      <c r="AR157" s="1319"/>
      <c r="AS157" s="1319"/>
      <c r="AT157" s="1319"/>
      <c r="AU157" s="1319"/>
      <c r="AV157" s="1319"/>
      <c r="AW157" s="1319"/>
      <c r="AX157" s="1319"/>
      <c r="AY157" s="1319"/>
      <c r="AZ157" s="1319"/>
      <c r="BA157" s="1319"/>
    </row>
    <row customHeight="1" ht="19.0125" hidden="1">
      <c r="A158" s="1319"/>
      <c r="B158" s="447">
        <f>AND(NOT(method_reg="Метод сравнения аналогов"),HAS_DOC7="да")</f>
        <v>1</v>
      </c>
      <c r="C158" s="1319"/>
      <c r="D158" s="1319"/>
      <c r="E158" s="644">
        <v>19.5</v>
      </c>
      <c r="F158" s="1319"/>
      <c r="G158" s="1319"/>
      <c r="H158" s="1319"/>
      <c r="I158" s="1319"/>
      <c r="J158" s="1319"/>
      <c r="K158" s="1319"/>
      <c r="L158" s="1319"/>
      <c r="M158" s="1319"/>
      <c r="N158" s="1319"/>
      <c r="O158" s="1319"/>
      <c r="P158" s="1319"/>
      <c r="Q158" s="1319"/>
      <c r="R158" s="1319"/>
      <c r="S158" s="1319"/>
      <c r="T158" s="1319"/>
      <c r="U158" s="1319"/>
      <c r="V158" s="1319"/>
      <c r="W158" s="504" cm="1" t="str">
        <f t="array" ref="W158:W158">W157</f>
        <v>false</v>
      </c>
      <c r="X158" s="1319"/>
      <c r="Y158" s="1319"/>
      <c r="Z158" s="1656"/>
      <c r="AA158" s="1516"/>
      <c r="AB158" s="1488"/>
      <c r="AC158" s="1476" t="s">
        <v>200</v>
      </c>
      <c r="AD158" s="1476"/>
      <c r="AE158" s="1698"/>
      <c r="AF158" s="383"/>
      <c r="AG158" s="1319"/>
      <c r="AH158" s="1319"/>
      <c r="AI158" s="1319"/>
      <c r="AJ158" s="1319"/>
      <c r="AK158" s="1319"/>
      <c r="AL158" s="1319"/>
      <c r="AM158" s="1319"/>
      <c r="AN158" s="1319"/>
      <c r="AO158" s="1319"/>
      <c r="AP158" s="1319"/>
      <c r="AQ158" s="1319"/>
      <c r="AR158" s="1319"/>
      <c r="AS158" s="1319"/>
      <c r="AT158" s="1319"/>
      <c r="AU158" s="1319"/>
      <c r="AV158" s="1319"/>
      <c r="AW158" s="1319"/>
      <c r="AX158" s="1319"/>
      <c r="AY158" s="1319"/>
      <c r="AZ158" s="1319"/>
      <c r="BA158" s="1319"/>
    </row>
    <row customHeight="1" ht="19.0125" hidden="1">
      <c r="A159" s="1319"/>
      <c r="B159" s="447">
        <f>AND(NOT(method_reg="Метод сравнения аналогов"),HAS_DOC7="да")</f>
        <v>1</v>
      </c>
      <c r="C159" s="1319"/>
      <c r="D159" s="1319"/>
      <c r="E159" s="644">
        <v>19.5</v>
      </c>
      <c r="F159" s="1319"/>
      <c r="G159" s="1319"/>
      <c r="H159" s="1319"/>
      <c r="I159" s="1319"/>
      <c r="J159" s="1319"/>
      <c r="K159" s="1319"/>
      <c r="L159" s="1319"/>
      <c r="M159" s="1319"/>
      <c r="N159" s="1319"/>
      <c r="O159" s="1319"/>
      <c r="P159" s="1319"/>
      <c r="Q159" s="1319"/>
      <c r="R159" s="1319"/>
      <c r="S159" s="1319"/>
      <c r="T159" s="1319"/>
      <c r="U159" s="1319"/>
      <c r="V159" s="1319"/>
      <c r="W159" s="504" cm="1" t="str">
        <f t="array" ref="W159:W159">W158</f>
        <v>false</v>
      </c>
      <c r="X159" s="1319"/>
      <c r="Y159" s="1319"/>
      <c r="Z159" s="1656"/>
      <c r="AA159" s="1516"/>
      <c r="AB159" s="1488"/>
      <c r="AC159" s="1476" t="s">
        <v>231</v>
      </c>
      <c r="AD159" s="1476"/>
      <c r="AE159" s="1698"/>
      <c r="AF159" s="383"/>
      <c r="AG159" s="1319"/>
      <c r="AH159" s="1319"/>
      <c r="AI159" s="1319"/>
      <c r="AJ159" s="1319"/>
      <c r="AK159" s="1319"/>
      <c r="AL159" s="1319"/>
      <c r="AM159" s="1319"/>
      <c r="AN159" s="1319"/>
      <c r="AO159" s="1319"/>
      <c r="AP159" s="1319"/>
      <c r="AQ159" s="1319"/>
      <c r="AR159" s="1319"/>
      <c r="AS159" s="1319"/>
      <c r="AT159" s="1319"/>
      <c r="AU159" s="1319"/>
      <c r="AV159" s="1319"/>
      <c r="AW159" s="1319"/>
      <c r="AX159" s="1319"/>
      <c r="AY159" s="1319"/>
      <c r="AZ159" s="1319"/>
      <c r="BA159" s="1319"/>
    </row>
    <row customHeight="1" ht="19.0125" hidden="1">
      <c r="A160" s="1319"/>
      <c r="B160" s="447">
        <f>AND(NOT(method_reg="Метод сравнения аналогов"),HAS_DOC7="да")</f>
        <v>1</v>
      </c>
      <c r="C160" s="1319"/>
      <c r="D160" s="1319"/>
      <c r="E160" s="644">
        <v>19.5</v>
      </c>
      <c r="F160" s="1319"/>
      <c r="G160" s="1319"/>
      <c r="H160" s="1319"/>
      <c r="I160" s="1319"/>
      <c r="J160" s="1319"/>
      <c r="K160" s="1319"/>
      <c r="L160" s="1319"/>
      <c r="M160" s="1319"/>
      <c r="N160" s="1319"/>
      <c r="O160" s="1319"/>
      <c r="P160" s="1319"/>
      <c r="Q160" s="1319"/>
      <c r="R160" s="1319"/>
      <c r="S160" s="1319"/>
      <c r="T160" s="1319"/>
      <c r="U160" s="1319"/>
      <c r="V160" s="1319"/>
      <c r="W160" s="504" cm="1" t="str">
        <f t="array" ref="W160:W160">W159</f>
        <v>false</v>
      </c>
      <c r="X160" s="1319"/>
      <c r="Y160" s="1319"/>
      <c r="Z160" s="1656"/>
      <c r="AA160" s="1516"/>
      <c r="AB160" s="1488"/>
      <c r="AC160" s="1476" t="s">
        <v>232</v>
      </c>
      <c r="AD160" s="1476"/>
      <c r="AE160" s="1698"/>
      <c r="AF160" s="383"/>
      <c r="AG160" s="1319"/>
      <c r="AH160" s="1319"/>
      <c r="AI160" s="1319"/>
      <c r="AJ160" s="1319"/>
      <c r="AK160" s="1319"/>
      <c r="AL160" s="1319"/>
      <c r="AM160" s="1319"/>
      <c r="AN160" s="1319"/>
      <c r="AO160" s="1319"/>
      <c r="AP160" s="1319"/>
      <c r="AQ160" s="1319"/>
      <c r="AR160" s="1319"/>
      <c r="AS160" s="1319"/>
      <c r="AT160" s="1319"/>
      <c r="AU160" s="1319"/>
      <c r="AV160" s="1319"/>
      <c r="AW160" s="1319"/>
      <c r="AX160" s="1319"/>
      <c r="AY160" s="1319"/>
      <c r="AZ160" s="1319"/>
      <c r="BA160" s="1319"/>
    </row>
    <row s="1656" customFormat="1" customHeight="1" ht="49.921875">
      <c r="A161" s="1319"/>
      <c r="B161" s="447">
        <f>AND(NOT(method_reg="Метод сравнения аналогов"),HAS_DOC7="да")</f>
        <v>1</v>
      </c>
      <c r="C161" s="1319"/>
      <c r="D161" s="1319"/>
      <c r="E161" s="644">
        <v>19.5</v>
      </c>
      <c r="F161" s="1319"/>
      <c r="G161" s="1319"/>
      <c r="H161" s="1319"/>
      <c r="I161" s="1319"/>
      <c r="J161" s="1319"/>
      <c r="K161" s="1319"/>
      <c r="L161" s="1319"/>
      <c r="M161" s="1319"/>
      <c r="N161" s="1319"/>
      <c r="O161" s="1319"/>
      <c r="P161" s="1319"/>
      <c r="Q161" s="1319"/>
      <c r="R161" s="1319"/>
      <c r="S161" s="1319"/>
      <c r="T161" s="1319"/>
      <c r="U161" s="1319"/>
      <c r="V161" s="1319"/>
      <c r="W161" s="504">
        <f>ROW(Y161)&gt;ROW(Y$155)</f>
        <v>1</v>
      </c>
      <c r="X161" s="1319"/>
      <c r="Y161" s="103"/>
      <c r="Z161" s="1656"/>
      <c r="AA161" s="1516" t="s">
        <v>174</v>
      </c>
      <c r="AB161" s="1488" t="s">
        <v>193</v>
      </c>
      <c r="AC161" s="1476" t="s">
        <v>194</v>
      </c>
      <c r="AD161" s="1476"/>
      <c r="AE161" s="1701" t="s">
        <v>233</v>
      </c>
      <c r="AF161" s="383"/>
      <c r="AG161" s="1319"/>
      <c r="AH161" s="1319"/>
      <c r="AI161" s="1319"/>
      <c r="AJ161" s="1319"/>
      <c r="AK161" s="1319"/>
      <c r="AL161" s="1319"/>
      <c r="AM161" s="1319"/>
      <c r="AN161" s="1319"/>
      <c r="AO161" s="1319"/>
      <c r="AP161" s="1319"/>
      <c r="AQ161" s="1319"/>
      <c r="AR161" s="1319"/>
      <c r="AS161" s="1319"/>
      <c r="AT161" s="1319"/>
      <c r="AU161" s="1319"/>
      <c r="AV161" s="1319"/>
      <c r="AW161" s="1319"/>
      <c r="AX161" s="1319"/>
      <c r="AY161" s="1319"/>
      <c r="AZ161" s="1319"/>
      <c r="BA161" s="1319"/>
    </row>
    <row s="1656" customFormat="1" customHeight="1" ht="18.75">
      <c r="A162" s="1319"/>
      <c r="B162" s="447">
        <f>AND(NOT(method_reg="Метод сравнения аналогов"),HAS_DOC7="да")</f>
        <v>1</v>
      </c>
      <c r="C162" s="1319"/>
      <c r="D162" s="1319"/>
      <c r="E162" s="644">
        <v>19.5</v>
      </c>
      <c r="F162" s="1319"/>
      <c r="G162" s="1319"/>
      <c r="H162" s="1319"/>
      <c r="I162" s="1319"/>
      <c r="J162" s="1319"/>
      <c r="K162" s="1319"/>
      <c r="L162" s="1319"/>
      <c r="M162" s="1319"/>
      <c r="N162" s="1319"/>
      <c r="O162" s="1319"/>
      <c r="P162" s="1319"/>
      <c r="Q162" s="1319"/>
      <c r="R162" s="1319"/>
      <c r="S162" s="1319"/>
      <c r="T162" s="1319"/>
      <c r="U162" s="1319"/>
      <c r="V162" s="1319"/>
      <c r="W162" s="504" cm="1" t="str">
        <f t="array" ref="W162:W162">W161</f>
        <v>true</v>
      </c>
      <c r="X162" s="1319"/>
      <c r="Y162" s="1319"/>
      <c r="Z162" s="1656"/>
      <c r="AA162" s="1516"/>
      <c r="AB162" s="1488"/>
      <c r="AC162" s="1476" t="s">
        <v>196</v>
      </c>
      <c r="AD162" s="1476"/>
      <c r="AE162" s="382" t="s">
        <v>229</v>
      </c>
      <c r="AF162" s="383"/>
      <c r="AG162" s="1319"/>
      <c r="AH162" s="1319"/>
      <c r="AI162" s="1319"/>
      <c r="AJ162" s="1319"/>
      <c r="AK162" s="1319"/>
      <c r="AL162" s="1319"/>
      <c r="AM162" s="1319"/>
      <c r="AN162" s="1319"/>
      <c r="AO162" s="1319"/>
      <c r="AP162" s="1319"/>
      <c r="AQ162" s="1319"/>
      <c r="AR162" s="1319"/>
      <c r="AS162" s="1319"/>
      <c r="AT162" s="1319"/>
      <c r="AU162" s="1319"/>
      <c r="AV162" s="1319"/>
      <c r="AW162" s="1319"/>
      <c r="AX162" s="1319"/>
      <c r="AY162" s="1319"/>
      <c r="AZ162" s="1319"/>
      <c r="BA162" s="1319"/>
    </row>
    <row s="1656" customFormat="1" customHeight="1" ht="18.75">
      <c r="A163" s="1319"/>
      <c r="B163" s="447">
        <f>AND(NOT(method_reg="Метод сравнения аналогов"),HAS_DOC7="да")</f>
        <v>1</v>
      </c>
      <c r="C163" s="1319"/>
      <c r="D163" s="1319"/>
      <c r="E163" s="644">
        <v>19.5</v>
      </c>
      <c r="F163" s="1319"/>
      <c r="G163" s="1319"/>
      <c r="H163" s="1319"/>
      <c r="I163" s="1319"/>
      <c r="J163" s="1319"/>
      <c r="K163" s="1319"/>
      <c r="L163" s="1319"/>
      <c r="M163" s="1319"/>
      <c r="N163" s="1319"/>
      <c r="O163" s="1319"/>
      <c r="P163" s="1319"/>
      <c r="Q163" s="1319"/>
      <c r="R163" s="1319"/>
      <c r="S163" s="1319"/>
      <c r="T163" s="1319"/>
      <c r="U163" s="1319"/>
      <c r="V163" s="1319"/>
      <c r="W163" s="504" cm="1" t="str">
        <f t="array" ref="W163:W163">W162</f>
        <v>true</v>
      </c>
      <c r="X163" s="1319"/>
      <c r="Y163" s="1319"/>
      <c r="Z163" s="1656"/>
      <c r="AA163" s="1516"/>
      <c r="AB163" s="1488"/>
      <c r="AC163" s="1476" t="s">
        <v>198</v>
      </c>
      <c r="AD163" s="1476"/>
      <c r="AE163" s="1701" t="s">
        <v>234</v>
      </c>
      <c r="AF163" s="383"/>
      <c r="AG163" s="1319"/>
      <c r="AH163" s="1319"/>
      <c r="AI163" s="1319"/>
      <c r="AJ163" s="1319"/>
      <c r="AK163" s="1319"/>
      <c r="AL163" s="1319"/>
      <c r="AM163" s="1319"/>
      <c r="AN163" s="1319"/>
      <c r="AO163" s="1319"/>
      <c r="AP163" s="1319"/>
      <c r="AQ163" s="1319"/>
      <c r="AR163" s="1319"/>
      <c r="AS163" s="1319"/>
      <c r="AT163" s="1319"/>
      <c r="AU163" s="1319"/>
      <c r="AV163" s="1319"/>
      <c r="AW163" s="1319"/>
      <c r="AX163" s="1319"/>
      <c r="AY163" s="1319"/>
      <c r="AZ163" s="1319"/>
      <c r="BA163" s="1319"/>
    </row>
    <row s="1656" customFormat="1" customHeight="1" ht="18.75">
      <c r="A164" s="1319"/>
      <c r="B164" s="447">
        <f>AND(NOT(method_reg="Метод сравнения аналогов"),HAS_DOC7="да")</f>
        <v>1</v>
      </c>
      <c r="C164" s="1319"/>
      <c r="D164" s="1319"/>
      <c r="E164" s="644">
        <v>19.5</v>
      </c>
      <c r="F164" s="1319"/>
      <c r="G164" s="1319"/>
      <c r="H164" s="1319"/>
      <c r="I164" s="1319"/>
      <c r="J164" s="1319"/>
      <c r="K164" s="1319"/>
      <c r="L164" s="1319"/>
      <c r="M164" s="1319"/>
      <c r="N164" s="1319"/>
      <c r="O164" s="1319"/>
      <c r="P164" s="1319"/>
      <c r="Q164" s="1319"/>
      <c r="R164" s="1319"/>
      <c r="S164" s="1319"/>
      <c r="T164" s="1319"/>
      <c r="U164" s="1319"/>
      <c r="V164" s="1319"/>
      <c r="W164" s="504" cm="1" t="str">
        <f t="array" ref="W164:W164">W163</f>
        <v>true</v>
      </c>
      <c r="X164" s="1319"/>
      <c r="Y164" s="1319"/>
      <c r="Z164" s="1656"/>
      <c r="AA164" s="1516"/>
      <c r="AB164" s="1488"/>
      <c r="AC164" s="1476" t="s">
        <v>200</v>
      </c>
      <c r="AD164" s="1476"/>
      <c r="AE164" s="421">
        <v>43783</v>
      </c>
      <c r="AF164" s="383"/>
      <c r="AG164" s="1319"/>
      <c r="AH164" s="1319"/>
      <c r="AI164" s="1319"/>
      <c r="AJ164" s="1319"/>
      <c r="AK164" s="1319"/>
      <c r="AL164" s="1319"/>
      <c r="AM164" s="1319"/>
      <c r="AN164" s="1319"/>
      <c r="AO164" s="1319"/>
      <c r="AP164" s="1319"/>
      <c r="AQ164" s="1319"/>
      <c r="AR164" s="1319"/>
      <c r="AS164" s="1319"/>
      <c r="AT164" s="1319"/>
      <c r="AU164" s="1319"/>
      <c r="AV164" s="1319"/>
      <c r="AW164" s="1319"/>
      <c r="AX164" s="1319"/>
      <c r="AY164" s="1319"/>
      <c r="AZ164" s="1319"/>
      <c r="BA164" s="1319"/>
    </row>
    <row s="1656" customFormat="1" customHeight="1" ht="18.75">
      <c r="A165" s="1319"/>
      <c r="B165" s="447">
        <f>AND(NOT(method_reg="Метод сравнения аналогов"),HAS_DOC7="да")</f>
        <v>1</v>
      </c>
      <c r="C165" s="1319"/>
      <c r="D165" s="1319"/>
      <c r="E165" s="644">
        <v>19.5</v>
      </c>
      <c r="F165" s="1319"/>
      <c r="G165" s="1319"/>
      <c r="H165" s="1319"/>
      <c r="I165" s="1319"/>
      <c r="J165" s="1319"/>
      <c r="K165" s="1319"/>
      <c r="L165" s="1319"/>
      <c r="M165" s="1319"/>
      <c r="N165" s="1319"/>
      <c r="O165" s="1319"/>
      <c r="P165" s="1319"/>
      <c r="Q165" s="1319"/>
      <c r="R165" s="1319"/>
      <c r="S165" s="1319"/>
      <c r="T165" s="1319"/>
      <c r="U165" s="1319"/>
      <c r="V165" s="1319"/>
      <c r="W165" s="504" cm="1" t="str">
        <f t="array" ref="W165:W165">W164</f>
        <v>true</v>
      </c>
      <c r="X165" s="1319"/>
      <c r="Y165" s="1319"/>
      <c r="Z165" s="1656"/>
      <c r="AA165" s="1516"/>
      <c r="AB165" s="1488"/>
      <c r="AC165" s="1476" t="s">
        <v>231</v>
      </c>
      <c r="AD165" s="1476"/>
      <c r="AE165" s="421">
        <v>43783</v>
      </c>
      <c r="AF165" s="383"/>
      <c r="AG165" s="1319"/>
      <c r="AH165" s="1319"/>
      <c r="AI165" s="1319"/>
      <c r="AJ165" s="1319"/>
      <c r="AK165" s="1319"/>
      <c r="AL165" s="1319"/>
      <c r="AM165" s="1319"/>
      <c r="AN165" s="1319"/>
      <c r="AO165" s="1319"/>
      <c r="AP165" s="1319"/>
      <c r="AQ165" s="1319"/>
      <c r="AR165" s="1319"/>
      <c r="AS165" s="1319"/>
      <c r="AT165" s="1319"/>
      <c r="AU165" s="1319"/>
      <c r="AV165" s="1319"/>
      <c r="AW165" s="1319"/>
      <c r="AX165" s="1319"/>
      <c r="AY165" s="1319"/>
      <c r="AZ165" s="1319"/>
      <c r="BA165" s="1319"/>
    </row>
    <row s="1656" customFormat="1" customHeight="1" ht="18.75">
      <c r="A166" s="1319"/>
      <c r="B166" s="447">
        <f>AND(NOT(method_reg="Метод сравнения аналогов"),HAS_DOC7="да")</f>
        <v>1</v>
      </c>
      <c r="C166" s="1319"/>
      <c r="D166" s="1319"/>
      <c r="E166" s="644">
        <v>19.5</v>
      </c>
      <c r="F166" s="1319"/>
      <c r="G166" s="1319"/>
      <c r="H166" s="1319"/>
      <c r="I166" s="1319"/>
      <c r="J166" s="1319"/>
      <c r="K166" s="1319"/>
      <c r="L166" s="1319"/>
      <c r="M166" s="1319"/>
      <c r="N166" s="1319"/>
      <c r="O166" s="1319"/>
      <c r="P166" s="1319"/>
      <c r="Q166" s="1319"/>
      <c r="R166" s="1319"/>
      <c r="S166" s="1319"/>
      <c r="T166" s="1319"/>
      <c r="U166" s="1319"/>
      <c r="V166" s="1319"/>
      <c r="W166" s="504" cm="1" t="str">
        <f t="array" ref="W166:W166">W165</f>
        <v>true</v>
      </c>
      <c r="X166" s="1319"/>
      <c r="Y166" s="1319"/>
      <c r="Z166" s="1656"/>
      <c r="AA166" s="1516"/>
      <c r="AB166" s="1488"/>
      <c r="AC166" s="1476" t="s">
        <v>232</v>
      </c>
      <c r="AD166" s="1476"/>
      <c r="AE166" s="421">
        <v>47118</v>
      </c>
      <c r="AF166" s="383"/>
      <c r="AG166" s="1319"/>
      <c r="AH166" s="1319"/>
      <c r="AI166" s="1319"/>
      <c r="AJ166" s="1319"/>
      <c r="AK166" s="1319"/>
      <c r="AL166" s="1319"/>
      <c r="AM166" s="1319"/>
      <c r="AN166" s="1319"/>
      <c r="AO166" s="1319"/>
      <c r="AP166" s="1319"/>
      <c r="AQ166" s="1319"/>
      <c r="AR166" s="1319"/>
      <c r="AS166" s="1319"/>
      <c r="AT166" s="1319"/>
      <c r="AU166" s="1319"/>
      <c r="AV166" s="1319"/>
      <c r="AW166" s="1319"/>
      <c r="AX166" s="1319"/>
      <c r="AY166" s="1319"/>
      <c r="AZ166" s="1319"/>
      <c r="BA166" s="1319"/>
    </row>
    <row customHeight="1" ht="14.625">
      <c r="A167" s="1319"/>
      <c r="B167" s="447">
        <f>AND(NOT(method_reg="Метод сравнения аналогов"),HAS_DOC7="да")</f>
        <v>1</v>
      </c>
      <c r="C167" s="1319"/>
      <c r="D167" s="1319"/>
      <c r="E167" s="644">
        <v>15</v>
      </c>
      <c r="F167" s="103" t="s">
        <v>226</v>
      </c>
      <c r="G167" s="1319"/>
      <c r="H167" s="1319"/>
      <c r="I167" s="1319"/>
      <c r="J167" s="1319"/>
      <c r="K167" s="1319"/>
      <c r="L167" s="1319"/>
      <c r="M167" s="1319"/>
      <c r="N167" s="1319"/>
      <c r="O167" s="1319"/>
      <c r="P167" s="1319"/>
      <c r="Q167" s="1319"/>
      <c r="R167" s="1319"/>
      <c r="S167" s="1319"/>
      <c r="T167" s="1319"/>
      <c r="U167" s="1319"/>
      <c r="V167" s="1319"/>
      <c r="W167" s="1319"/>
      <c r="X167" s="1319"/>
      <c r="Y167" s="104" t="s">
        <v>235</v>
      </c>
      <c r="Z167" s="1656"/>
      <c r="AA167" s="1319"/>
      <c r="AB167" s="261"/>
      <c r="AC167" s="260"/>
      <c r="AD167" s="260"/>
      <c r="AE167" s="364" t="s">
        <v>177</v>
      </c>
      <c r="AF167" s="383"/>
      <c r="AG167" s="1319"/>
      <c r="AH167" s="1319"/>
      <c r="AI167" s="1319"/>
      <c r="AJ167" s="1319"/>
      <c r="AK167" s="1319"/>
      <c r="AL167" s="1319"/>
      <c r="AM167" s="1319"/>
      <c r="AN167" s="1319"/>
      <c r="AO167" s="1319"/>
      <c r="AP167" s="1319"/>
      <c r="AQ167" s="1319"/>
      <c r="AR167" s="1319"/>
      <c r="AS167" s="1319"/>
      <c r="AT167" s="1319"/>
      <c r="AU167" s="1319"/>
      <c r="AV167" s="1319"/>
      <c r="AW167" s="1319"/>
      <c r="AX167" s="1319"/>
      <c r="AY167" s="1319"/>
      <c r="AZ167" s="1319"/>
      <c r="BA167" s="1319"/>
    </row>
    <row customHeight="1" ht="19.0125">
      <c r="B168" s="103"/>
      <c r="E168" s="644">
        <v>19.5</v>
      </c>
      <c r="AB168" s="1476" t="s">
        <v>236</v>
      </c>
      <c r="AC168" s="1476"/>
      <c r="AD168" s="1476"/>
      <c r="AE168" s="381"/>
      <c r="AG168" s="103" t="s">
        <v>237</v>
      </c>
    </row>
    <row customHeight="1" ht="24.862499999999997">
      <c r="B169" s="103"/>
      <c r="E169" s="644">
        <v>25.5</v>
      </c>
      <c r="F169" s="103" t="s">
        <v>169</v>
      </c>
      <c r="AB169" s="1476" t="s">
        <v>238</v>
      </c>
      <c r="AC169" s="1476"/>
      <c r="AD169" s="1476"/>
      <c r="AE169" s="389" t="s">
        <v>161</v>
      </c>
      <c r="AF169" s="482"/>
      <c r="AG169" s="380" t="s">
        <v>239</v>
      </c>
    </row>
    <row customHeight="1" ht="10.96875">
      <c r="B170" s="103"/>
      <c r="E170" s="644">
        <v>11.25</v>
      </c>
      <c r="AE170" s="139" t="s">
        <v>240</v>
      </c>
    </row>
    <row customHeight="1" ht="19.0125">
      <c r="B171" s="103"/>
      <c r="E171" s="644">
        <v>19.5</v>
      </c>
      <c r="AB171" s="1476" t="s">
        <v>241</v>
      </c>
      <c r="AC171" s="1476"/>
      <c r="AD171" s="93" t="s">
        <v>242</v>
      </c>
      <c r="AE171" s="381" t="s">
        <v>243</v>
      </c>
      <c r="AG171" s="103" t="s">
        <v>244</v>
      </c>
    </row>
    <row customHeight="1" ht="19.0125">
      <c r="B172" s="103"/>
      <c r="E172" s="644">
        <v>19.5</v>
      </c>
      <c r="AB172" s="1476"/>
      <c r="AC172" s="1476"/>
      <c r="AD172" s="93" t="s">
        <v>245</v>
      </c>
      <c r="AE172" s="381" t="s">
        <v>246</v>
      </c>
      <c r="AG172" s="103" t="s">
        <v>247</v>
      </c>
    </row>
    <row customHeight="1" ht="19.0125">
      <c r="B173" s="103"/>
      <c r="E173" s="644">
        <v>19.5</v>
      </c>
      <c r="AB173" s="1476"/>
      <c r="AC173" s="1476"/>
      <c r="AD173" s="93" t="s">
        <v>248</v>
      </c>
      <c r="AE173" s="381" t="s">
        <v>249</v>
      </c>
      <c r="AG173" s="103" t="s">
        <v>250</v>
      </c>
    </row>
    <row customHeight="1" ht="19.0125">
      <c r="B174" s="103"/>
      <c r="E174" s="644">
        <v>19.5</v>
      </c>
      <c r="AB174" s="1476"/>
      <c r="AC174" s="1476"/>
      <c r="AD174" s="93" t="s">
        <v>251</v>
      </c>
      <c r="AE174" s="1705" t="s">
        <v>252</v>
      </c>
      <c r="AG174" s="103" t="s">
        <v>253</v>
      </c>
    </row>
    <row customHeight="1" ht="10.96875">
      <c r="B175" s="103"/>
      <c r="E175" s="644">
        <v>11.25</v>
      </c>
      <c r="AB175" s="200"/>
      <c r="AC175" s="200"/>
      <c r="AD175" s="200"/>
      <c r="AE175" s="293"/>
    </row>
    <row customHeight="1" ht="14.625">
      <c r="B176" s="103"/>
      <c r="E176" s="644">
        <v>15</v>
      </c>
      <c r="AB176" s="1489" t="s">
        <v>254</v>
      </c>
      <c r="AC176" s="1489"/>
      <c r="AD176" s="1489"/>
      <c r="AE176" s="1489"/>
    </row>
    <row customHeight="1" ht="14.625">
      <c r="B177" s="103"/>
      <c r="E177" s="644">
        <v>15</v>
      </c>
      <c r="AB177" s="1490" t="s">
        <v>255</v>
      </c>
      <c r="AC177" s="1490"/>
      <c r="AD177" s="1490"/>
      <c r="AE177" s="1490"/>
      <c r="AF177" s="483"/>
    </row>
    <row customHeight="1" ht="14.625">
      <c r="B178" s="103"/>
      <c r="E178" s="644">
        <v>15</v>
      </c>
      <c r="AB178" s="1477" t="s">
        <v>256</v>
      </c>
      <c r="AC178" s="1477"/>
      <c r="AD178" s="1477"/>
      <c r="AE178" s="1477"/>
      <c r="AF178" s="483"/>
    </row>
    <row customHeight="1" ht="14.625">
      <c r="B179" s="103"/>
      <c r="E179" s="644">
        <v>15</v>
      </c>
      <c r="AB179" s="1477" t="s">
        <v>257</v>
      </c>
      <c r="AC179" s="1477"/>
      <c r="AD179" s="1477"/>
      <c r="AE179" s="1477"/>
      <c r="AF179" s="483"/>
    </row>
    <row customHeight="1" ht="14.625">
      <c r="B180" s="103"/>
      <c r="E180" s="644">
        <v>15</v>
      </c>
      <c r="AB180" s="1477" t="s">
        <v>258</v>
      </c>
      <c r="AC180" s="1477"/>
      <c r="AD180" s="1477"/>
      <c r="AE180" s="1477"/>
      <c r="AF180" s="483"/>
    </row>
    <row customHeight="1" ht="14.625">
      <c r="B181" s="103"/>
      <c r="E181" s="644">
        <v>15</v>
      </c>
      <c r="AB181" s="1477" t="s">
        <v>259</v>
      </c>
      <c r="AC181" s="1477"/>
      <c r="AD181" s="1477"/>
      <c r="AE181" s="1477"/>
      <c r="AF181" s="483"/>
    </row>
    <row customHeight="1" ht="26.568750000000005">
      <c r="B182" s="103"/>
      <c r="E182" s="644">
        <v>27.25</v>
      </c>
      <c r="AB182" s="1477" t="s">
        <v>260</v>
      </c>
      <c r="AC182" s="1477"/>
      <c r="AD182" s="1477"/>
      <c r="AE182" s="1477"/>
      <c r="AF182" s="484"/>
    </row>
    <row customHeight="1" ht="14.625">
      <c r="B183" s="103"/>
      <c r="E183" s="644">
        <v>15</v>
      </c>
      <c r="AB183" s="1477" t="s">
        <v>261</v>
      </c>
      <c r="AC183" s="1477"/>
      <c r="AD183" s="1477"/>
      <c r="AE183" s="1477"/>
      <c r="AF183" s="483"/>
    </row>
    <row customHeight="1" ht="26.568750000000005">
      <c r="B184" s="103"/>
      <c r="E184" s="644">
        <v>27.25</v>
      </c>
      <c r="AB184" s="1477" t="s">
        <v>262</v>
      </c>
      <c r="AC184" s="1477"/>
      <c r="AD184" s="1477"/>
      <c r="AE184" s="1477"/>
      <c r="AF184" s="484"/>
    </row>
    <row customHeight="1" ht="14.625">
      <c r="B185" s="103"/>
      <c r="E185" s="644">
        <v>15</v>
      </c>
      <c r="AB185" s="1477" t="s">
        <v>263</v>
      </c>
      <c r="AC185" s="1477"/>
      <c r="AD185" s="1477"/>
      <c r="AE185" s="1477"/>
      <c r="AF185" s="483"/>
    </row>
    <row customHeight="1" ht="14.625">
      <c r="B186" s="103"/>
      <c r="E186" s="644">
        <v>15</v>
      </c>
      <c r="AB186" s="1477" t="s">
        <v>264</v>
      </c>
      <c r="AC186" s="1477"/>
      <c r="AD186" s="1477"/>
      <c r="AE186" s="1477"/>
      <c r="AF186" s="483"/>
    </row>
    <row customHeight="1" ht="26.568750000000005">
      <c r="B187" s="103"/>
      <c r="E187" s="644">
        <v>27.25</v>
      </c>
      <c r="AB187" s="1477" t="s">
        <v>265</v>
      </c>
      <c r="AC187" s="1477"/>
      <c r="AD187" s="1477"/>
      <c r="AE187" s="1477"/>
      <c r="AF187" s="484"/>
    </row>
    <row customHeight="1" ht="35.1">
      <c r="B188" s="103"/>
      <c r="E188" s="644">
        <v>36</v>
      </c>
      <c r="AB188" s="1477" t="s">
        <v>266</v>
      </c>
      <c r="AC188" s="1477"/>
      <c r="AD188" s="1477"/>
      <c r="AE188" s="1477"/>
      <c r="AF188" s="484"/>
    </row>
    <row customHeight="1" ht="14.625">
      <c r="B189" s="103"/>
      <c r="E189" s="644">
        <v>15</v>
      </c>
      <c r="W189" s="504">
        <f>NOT(method_reg="Метод сравнения аналогов")</f>
        <v>1</v>
      </c>
      <c r="AB189" s="1477" t="s">
        <v>267</v>
      </c>
      <c r="AC189" s="1477"/>
      <c r="AD189" s="1477"/>
      <c r="AE189" s="1477"/>
      <c r="AF189" s="483"/>
    </row>
    <row customHeight="1" ht="14.625">
      <c r="B190" s="103"/>
      <c r="E190" s="644">
        <v>15</v>
      </c>
      <c r="AB190" s="1478" t="str">
        <f>IF(W189,"14","13")&amp;". Иные нормативные правовые акты Российской Федерации."</f>
        <v>14. Иные нормативные правовые акты Российской Федерации.</v>
      </c>
      <c r="AC190" s="1478"/>
      <c r="AD190" s="1478"/>
      <c r="AE190" s="1478"/>
      <c r="AF190" s="483"/>
    </row>
    <row customHeight="1" ht="11.700000000000001">
      <c r="B191" s="103"/>
      <c r="E191" s="644">
        <v>12</v>
      </c>
      <c r="AB191" s="496"/>
      <c r="AC191" s="496"/>
      <c r="AD191" s="647">
        <f>COUNTIF(AE211:AE254,"Водоснабжение")&gt;0</f>
        <v>1</v>
      </c>
      <c r="AE191" s="647">
        <f>COUNTIF(AE211:AE254,"Водоотведение")&gt;0</f>
        <v>1</v>
      </c>
      <c r="AF191" s="648">
        <f>COUNTIF(AE211:AE254,"Транспортировка воды")&gt;0</f>
        <v>0</v>
      </c>
      <c r="AG191" s="649">
        <f>COUNTIF(AE211:AE254,"Транспортировка сточных вод")&gt;0</f>
        <v>0</v>
      </c>
    </row>
    <row customHeight="1" ht="19.0125">
      <c r="B192" s="103"/>
      <c r="E192" s="644">
        <v>19.5</v>
      </c>
      <c r="AB192" s="1479" t="s">
        <v>268</v>
      </c>
      <c r="AC192" s="1479"/>
      <c r="AD192" s="1479"/>
      <c r="AE192" s="1480"/>
      <c r="AF192" s="480"/>
      <c r="AG192" s="108"/>
      <c r="AH192" s="108"/>
      <c r="AI192" s="108"/>
      <c r="AJ192" s="108"/>
      <c r="AK192" s="108"/>
      <c r="AL192" s="104"/>
    </row>
    <row customHeight="1" ht="24.862499999999997">
      <c r="B193" s="103"/>
      <c r="E193" s="644">
        <v>25.5</v>
      </c>
      <c r="AB193" s="1475" t="s">
        <v>269</v>
      </c>
      <c r="AC193" s="1475"/>
      <c r="AD193" s="1475"/>
      <c r="AE193" s="601" t="s">
        <v>152</v>
      </c>
      <c r="AF193" s="482"/>
      <c r="AG193" s="108" t="s">
        <v>270</v>
      </c>
      <c r="AH193" s="108"/>
      <c r="AI193" s="108"/>
      <c r="AJ193" s="108"/>
      <c r="AK193" s="108"/>
      <c r="AL193" s="104"/>
    </row>
    <row customHeight="1" ht="19.0125">
      <c r="A194" s="1319"/>
      <c r="B194" s="447">
        <f>FIRST_TIME_REG="нет"</f>
        <v>1</v>
      </c>
      <c r="C194" s="1319"/>
      <c r="D194" s="1319"/>
      <c r="E194" s="644">
        <v>19.5</v>
      </c>
      <c r="F194" s="1319"/>
      <c r="G194" s="1319"/>
      <c r="H194" s="1319"/>
      <c r="I194" s="1319"/>
      <c r="J194" s="1319"/>
      <c r="K194" s="1319"/>
      <c r="L194" s="1319"/>
      <c r="M194" s="1319"/>
      <c r="N194" s="1319"/>
      <c r="O194" s="1319"/>
      <c r="P194" s="1319"/>
      <c r="Q194" s="1319"/>
      <c r="R194" s="1319"/>
      <c r="S194" s="1319"/>
      <c r="T194" s="1319"/>
      <c r="U194" s="1319"/>
      <c r="V194" s="1319"/>
      <c r="W194" s="1319"/>
      <c r="X194" s="1319"/>
      <c r="Y194" s="1319"/>
      <c r="Z194" s="1656"/>
      <c r="AA194" s="1319"/>
      <c r="AB194" s="1471" t="s">
        <v>271</v>
      </c>
      <c r="AC194" s="1472"/>
      <c r="AD194" s="602" t="s">
        <v>196</v>
      </c>
      <c r="AE194" s="1702" t="s">
        <v>197</v>
      </c>
      <c r="AF194" s="383"/>
      <c r="AG194" s="108" t="s">
        <v>272</v>
      </c>
      <c r="AH194" s="108"/>
      <c r="AI194" s="108"/>
      <c r="AJ194" s="108"/>
      <c r="AK194" s="108"/>
      <c r="AL194" s="104"/>
      <c r="AM194" s="1319"/>
      <c r="AN194" s="1319"/>
      <c r="AO194" s="1319"/>
      <c r="AP194" s="1319"/>
      <c r="AQ194" s="1319"/>
      <c r="AR194" s="1319"/>
      <c r="AS194" s="1319"/>
      <c r="AT194" s="1319"/>
      <c r="AU194" s="1319"/>
      <c r="AV194" s="1319"/>
      <c r="AW194" s="1319"/>
      <c r="AX194" s="1319"/>
      <c r="AY194" s="1319"/>
      <c r="AZ194" s="1319"/>
      <c r="BA194" s="1319"/>
    </row>
    <row customHeight="1" ht="19.0125">
      <c r="A195" s="1319"/>
      <c r="B195" s="447">
        <f>FIRST_TIME_REG="нет"</f>
        <v>1</v>
      </c>
      <c r="C195" s="1319"/>
      <c r="D195" s="1319"/>
      <c r="E195" s="644">
        <v>19.5</v>
      </c>
      <c r="F195" s="1319"/>
      <c r="G195" s="1319"/>
      <c r="H195" s="1319"/>
      <c r="I195" s="1319"/>
      <c r="J195" s="1319"/>
      <c r="K195" s="1319"/>
      <c r="L195" s="1319"/>
      <c r="M195" s="1319"/>
      <c r="N195" s="1319"/>
      <c r="O195" s="1319"/>
      <c r="P195" s="1319"/>
      <c r="Q195" s="1319"/>
      <c r="R195" s="1319"/>
      <c r="S195" s="1319"/>
      <c r="T195" s="1319"/>
      <c r="U195" s="1319"/>
      <c r="V195" s="1319"/>
      <c r="W195" s="1319"/>
      <c r="X195" s="1319"/>
      <c r="Y195" s="1319"/>
      <c r="Z195" s="1656"/>
      <c r="AA195" s="1319"/>
      <c r="AB195" s="1471"/>
      <c r="AC195" s="1472"/>
      <c r="AD195" s="391" t="s">
        <v>198</v>
      </c>
      <c r="AE195" s="1701" t="s">
        <v>273</v>
      </c>
      <c r="AF195" s="383"/>
      <c r="AG195" s="103" t="s">
        <v>274</v>
      </c>
      <c r="AH195" s="1319"/>
      <c r="AI195" s="1319"/>
      <c r="AJ195" s="1319"/>
      <c r="AK195" s="1319"/>
      <c r="AL195" s="1319"/>
      <c r="AM195" s="1319"/>
      <c r="AN195" s="1319"/>
      <c r="AO195" s="1319"/>
      <c r="AP195" s="1319"/>
      <c r="AQ195" s="1319"/>
      <c r="AR195" s="1319"/>
      <c r="AS195" s="1319"/>
      <c r="AT195" s="1319"/>
      <c r="AU195" s="1319"/>
      <c r="AV195" s="1319"/>
      <c r="AW195" s="1319"/>
      <c r="AX195" s="1319"/>
      <c r="AY195" s="1319"/>
      <c r="AZ195" s="1319"/>
      <c r="BA195" s="1319"/>
    </row>
    <row customHeight="1" ht="19.0125">
      <c r="A196" s="1319"/>
      <c r="B196" s="447">
        <f>FIRST_TIME_REG="нет"</f>
        <v>1</v>
      </c>
      <c r="C196" s="1319"/>
      <c r="D196" s="1319"/>
      <c r="E196" s="644">
        <v>19.5</v>
      </c>
      <c r="F196" s="1319"/>
      <c r="G196" s="1319"/>
      <c r="H196" s="1319"/>
      <c r="I196" s="1319"/>
      <c r="J196" s="1319"/>
      <c r="K196" s="1319"/>
      <c r="L196" s="1319"/>
      <c r="M196" s="1319"/>
      <c r="N196" s="1319"/>
      <c r="O196" s="1319"/>
      <c r="P196" s="1319"/>
      <c r="Q196" s="1319"/>
      <c r="R196" s="1319"/>
      <c r="S196" s="1319"/>
      <c r="T196" s="1319"/>
      <c r="U196" s="1319"/>
      <c r="V196" s="1319"/>
      <c r="W196" s="1319"/>
      <c r="X196" s="1319"/>
      <c r="Y196" s="1319"/>
      <c r="Z196" s="1656"/>
      <c r="AA196" s="1319"/>
      <c r="AB196" s="1473"/>
      <c r="AC196" s="1474"/>
      <c r="AD196" s="391" t="s">
        <v>200</v>
      </c>
      <c r="AE196" s="1713">
        <v>45622</v>
      </c>
      <c r="AF196" s="383"/>
      <c r="AG196" s="103" t="s">
        <v>275</v>
      </c>
      <c r="AH196" s="1319"/>
      <c r="AI196" s="1319"/>
      <c r="AJ196" s="1319"/>
      <c r="AK196" s="1319"/>
      <c r="AL196" s="1319"/>
      <c r="AM196" s="1319"/>
      <c r="AN196" s="1319"/>
      <c r="AO196" s="1319"/>
      <c r="AP196" s="1319"/>
      <c r="AQ196" s="1319"/>
      <c r="AR196" s="1319"/>
      <c r="AS196" s="1319"/>
      <c r="AT196" s="1319"/>
      <c r="AU196" s="1319"/>
      <c r="AV196" s="1319"/>
      <c r="AW196" s="1319"/>
      <c r="AX196" s="1319"/>
      <c r="AY196" s="1319"/>
      <c r="AZ196" s="1319"/>
      <c r="BA196" s="1319"/>
    </row>
    <row customHeight="1" ht="19.9875">
      <c r="B197" s="103">
        <f>NOT(FIRST_TIME_REG="")</f>
        <v>1</v>
      </c>
      <c r="E197" s="644">
        <v>20.5</v>
      </c>
      <c r="F197" s="168" t="s">
        <v>276</v>
      </c>
      <c r="G197" s="1319">
        <f>IF(ISERR(SEARCH("отсутствует",org_declaration)),TRUE,FALSE)</f>
        <v>1</v>
      </c>
      <c r="AB197" s="1481" t="s">
        <v>277</v>
      </c>
      <c r="AC197" s="1482"/>
      <c r="AD197" s="493"/>
      <c r="AE197" s="494"/>
      <c r="AF197" s="485"/>
      <c r="AG197" s="485"/>
      <c r="AN197" s="103" t="s">
        <v>278</v>
      </c>
    </row>
    <row customHeight="1" ht="18.28125" hidden="1">
      <c r="A198" s="1319"/>
      <c r="B198" s="103">
        <f>NOT(FIRST_TIME_REG="")</f>
        <v>1</v>
      </c>
      <c r="C198" s="1319"/>
      <c r="D198" s="1319"/>
      <c r="E198" s="644">
        <v>18.75</v>
      </c>
      <c r="F198" s="103" cm="1" t="str">
        <f t="array" ref="F198:F198">Z198</f>
        <v>0</v>
      </c>
      <c r="G198" s="1319"/>
      <c r="H198" s="1319"/>
      <c r="I198" s="1319"/>
      <c r="J198" s="1319"/>
      <c r="K198" s="1319"/>
      <c r="L198" s="1319"/>
      <c r="M198" s="1319"/>
      <c r="N198" s="1319"/>
      <c r="O198" s="1319"/>
      <c r="P198" s="1319"/>
      <c r="Q198" s="1319"/>
      <c r="R198" s="1319"/>
      <c r="S198" s="1319"/>
      <c r="T198" s="1319"/>
      <c r="U198" s="1319"/>
      <c r="V198" s="249" cm="1" t="str">
        <f t="array" ref="V198:V198">AE199</f>
        <v>0</v>
      </c>
      <c r="W198" s="504">
        <f>Z198&gt;0</f>
        <v>0</v>
      </c>
      <c r="X198" s="103" t="s">
        <v>279</v>
      </c>
      <c r="Y198" s="1319"/>
      <c r="Z198" s="1469">
        <v>0</v>
      </c>
      <c r="AA198" s="1487"/>
      <c r="AB198" s="1717"/>
      <c r="AC198" s="1718"/>
      <c r="AD198" s="397" t="str">
        <f>"Тариф "&amp;Z198</f>
        <v>Тариф 0</v>
      </c>
      <c r="AE198" s="398"/>
      <c r="AF198" s="1470" t="s">
        <v>174</v>
      </c>
      <c r="AG198" s="103" t="str">
        <f>AD198&amp;" ("&amp;AE198&amp;") - "&amp;AE200&amp;IF(AE204="",""," ("&amp;AE204&amp;")")</f>
        <v>Тариф 0 () - </v>
      </c>
      <c r="AH198" s="103" cm="1" t="str">
        <f t="array" ref="AH198:AH198">AE203</f>
        <v>0</v>
      </c>
      <c r="AI198" s="249" cm="1" t="str">
        <f t="array" ref="AI198:AI198">AE200</f>
        <v>0</v>
      </c>
      <c r="AJ198" s="103" cm="1" t="str">
        <f t="array" ref="AJ198:AJ198">AE204</f>
        <v>0</v>
      </c>
      <c r="AK198" s="103" cm="1" t="str">
        <f t="array" ref="AK198:AK198">AE201</f>
        <v>0</v>
      </c>
      <c r="AL198" s="916" cm="1" t="str">
        <f t="array" ref="AL198:AL198">AE208</f>
        <v>46023</v>
      </c>
      <c r="AM198" s="501" cm="1" t="str">
        <f t="array" ref="AM198:AM198">AE209</f>
        <v>0</v>
      </c>
      <c r="AN198" s="103">
        <f>IF(ISERR(SEARCH("трансп",AI198)),FALSE,TRUE)</f>
        <v>0</v>
      </c>
      <c r="AO198" s="1319"/>
      <c r="AP198" s="1319"/>
      <c r="AQ198" s="1319"/>
      <c r="AR198" s="1319"/>
      <c r="AS198" s="1319"/>
      <c r="AT198" s="1319"/>
      <c r="AU198" s="1319"/>
      <c r="AV198" s="1319"/>
      <c r="AW198" s="1319"/>
      <c r="AX198" s="1319"/>
      <c r="AY198" s="1319"/>
      <c r="AZ198" s="1319"/>
      <c r="BA198" s="1319"/>
    </row>
    <row customHeight="1" ht="16.0875" hidden="1">
      <c r="A199" s="1319"/>
      <c r="B199" s="103">
        <f>NOT(FIRST_TIME_REG="")</f>
        <v>1</v>
      </c>
      <c r="C199" s="1319"/>
      <c r="D199" s="1319"/>
      <c r="E199" s="644">
        <v>16.5</v>
      </c>
      <c r="F199" s="103" cm="1" t="str">
        <f t="array" ref="F199:F199">F198</f>
        <v>0</v>
      </c>
      <c r="G199" s="1319"/>
      <c r="H199" s="1319"/>
      <c r="I199" s="1319"/>
      <c r="J199" s="1319"/>
      <c r="K199" s="1319"/>
      <c r="L199" s="1319"/>
      <c r="M199" s="1319"/>
      <c r="N199" s="1319"/>
      <c r="O199" s="1319"/>
      <c r="P199" s="1319"/>
      <c r="Q199" s="1319"/>
      <c r="R199" s="1319"/>
      <c r="S199" s="1319"/>
      <c r="T199" s="1319"/>
      <c r="U199" s="1319"/>
      <c r="V199" s="249"/>
      <c r="W199" s="504" cm="1" t="str">
        <f t="array" ref="W199:W199">W198</f>
        <v>false</v>
      </c>
      <c r="X199" s="1319"/>
      <c r="Y199" s="1319"/>
      <c r="Z199" s="1469"/>
      <c r="AA199" s="1487"/>
      <c r="AB199" s="1717"/>
      <c r="AC199" s="1718"/>
      <c r="AD199" s="399" t="s">
        <v>280</v>
      </c>
      <c r="AE199" s="390"/>
      <c r="AF199" s="1470"/>
      <c r="AG199" s="1319"/>
      <c r="AH199" s="1319"/>
      <c r="AI199" s="1319"/>
      <c r="AJ199" s="1319"/>
      <c r="AK199" s="1319"/>
      <c r="AL199" s="1319"/>
      <c r="AM199" s="1319"/>
      <c r="AN199" s="1319"/>
      <c r="AO199" s="1319"/>
      <c r="AP199" s="1319"/>
      <c r="AQ199" s="1319"/>
      <c r="AR199" s="1319"/>
      <c r="AS199" s="1319"/>
      <c r="AT199" s="1319"/>
      <c r="AU199" s="1319"/>
      <c r="AV199" s="1319"/>
      <c r="AW199" s="1319"/>
      <c r="AX199" s="1319"/>
      <c r="AY199" s="1319"/>
      <c r="AZ199" s="1319"/>
      <c r="BA199" s="1319"/>
    </row>
    <row customHeight="1" ht="16.0875" hidden="1">
      <c r="A200" s="1319"/>
      <c r="B200" s="103">
        <f>NOT(FIRST_TIME_REG="")</f>
        <v>1</v>
      </c>
      <c r="C200" s="1319"/>
      <c r="D200" s="1319"/>
      <c r="E200" s="644">
        <v>16.5</v>
      </c>
      <c r="F200" s="103" cm="1" t="str">
        <f t="array" ref="F200:F200">F199</f>
        <v>0</v>
      </c>
      <c r="G200" s="1319"/>
      <c r="H200" s="1319"/>
      <c r="I200" s="1319"/>
      <c r="J200" s="1319"/>
      <c r="K200" s="1319"/>
      <c r="L200" s="1319"/>
      <c r="M200" s="1319"/>
      <c r="N200" s="1319"/>
      <c r="O200" s="1319"/>
      <c r="P200" s="1319"/>
      <c r="Q200" s="1319"/>
      <c r="R200" s="1319"/>
      <c r="S200" s="1319"/>
      <c r="T200" s="1319"/>
      <c r="U200" s="1319"/>
      <c r="V200" s="249"/>
      <c r="W200" s="504" cm="1" t="str">
        <f t="array" ref="W200:W200">W199</f>
        <v>false</v>
      </c>
      <c r="X200" s="1319"/>
      <c r="Y200" s="1319"/>
      <c r="Z200" s="1469"/>
      <c r="AA200" s="1487"/>
      <c r="AB200" s="1717"/>
      <c r="AC200" s="1718"/>
      <c r="AD200" s="399" t="s">
        <v>281</v>
      </c>
      <c r="AE200" s="1726"/>
      <c r="AF200" s="1470"/>
      <c r="AG200" s="1319"/>
      <c r="AH200" s="1319"/>
      <c r="AI200" s="1319"/>
      <c r="AJ200" s="1319"/>
      <c r="AK200" s="1319"/>
      <c r="AL200" s="1319"/>
      <c r="AM200" s="1319"/>
      <c r="AN200" s="1319"/>
      <c r="AO200" s="1319"/>
      <c r="AP200" s="1319"/>
      <c r="AQ200" s="1319"/>
      <c r="AR200" s="1319"/>
      <c r="AS200" s="1319"/>
      <c r="AT200" s="1319"/>
      <c r="AU200" s="1319"/>
      <c r="AV200" s="1319"/>
      <c r="AW200" s="1319"/>
      <c r="AX200" s="1319"/>
      <c r="AY200" s="1319"/>
      <c r="AZ200" s="1319"/>
      <c r="BA200" s="1319"/>
    </row>
    <row customHeight="1" ht="16.0875" hidden="1">
      <c r="A201" s="1319"/>
      <c r="B201" s="103">
        <f>NOT(FIRST_TIME_REG="")</f>
        <v>1</v>
      </c>
      <c r="C201" s="1319"/>
      <c r="D201" s="1319"/>
      <c r="E201" s="644">
        <v>16.5</v>
      </c>
      <c r="F201" s="103" cm="1" t="str">
        <f t="array" ref="F201:F201">F200</f>
        <v>0</v>
      </c>
      <c r="G201" s="1319"/>
      <c r="H201" s="1319"/>
      <c r="I201" s="1319"/>
      <c r="J201" s="1319"/>
      <c r="K201" s="1319"/>
      <c r="L201" s="1319"/>
      <c r="M201" s="1319"/>
      <c r="N201" s="1319"/>
      <c r="O201" s="1319"/>
      <c r="P201" s="1319"/>
      <c r="Q201" s="1319"/>
      <c r="R201" s="1319"/>
      <c r="S201" s="1319"/>
      <c r="T201" s="1319"/>
      <c r="U201" s="1319"/>
      <c r="V201" s="249"/>
      <c r="W201" s="504" cm="1" t="str">
        <f t="array" ref="W201:W201">W200</f>
        <v>false</v>
      </c>
      <c r="X201" s="1319"/>
      <c r="Y201" s="1319"/>
      <c r="Z201" s="1469"/>
      <c r="AA201" s="1487"/>
      <c r="AB201" s="1717"/>
      <c r="AC201" s="1718"/>
      <c r="AD201" s="399" t="s">
        <v>282</v>
      </c>
      <c r="AE201" s="1726"/>
      <c r="AF201" s="1470"/>
      <c r="AG201" s="1319"/>
      <c r="AH201" s="1319"/>
      <c r="AI201" s="1319"/>
      <c r="AJ201" s="1319"/>
      <c r="AK201" s="1319"/>
      <c r="AL201" s="1319"/>
      <c r="AM201" s="1319"/>
      <c r="AN201" s="1319"/>
      <c r="AO201" s="1319"/>
      <c r="AP201" s="1319"/>
      <c r="AQ201" s="1319"/>
      <c r="AR201" s="1319"/>
      <c r="AS201" s="1319"/>
      <c r="AT201" s="1319"/>
      <c r="AU201" s="1319"/>
      <c r="AV201" s="1319"/>
      <c r="AW201" s="1319"/>
      <c r="AX201" s="1319"/>
      <c r="AY201" s="1319"/>
      <c r="AZ201" s="1319"/>
      <c r="BA201" s="1319"/>
    </row>
    <row customHeight="1" ht="16.0875" hidden="1">
      <c r="A202" s="1319"/>
      <c r="B202" s="103">
        <f>NOT(FIRST_TIME_REG="")</f>
        <v>1</v>
      </c>
      <c r="C202" s="1319"/>
      <c r="D202" s="1319"/>
      <c r="E202" s="644">
        <v>16.5</v>
      </c>
      <c r="F202" s="103" cm="1" t="str">
        <f t="array" ref="F202:F202">F201</f>
        <v>0</v>
      </c>
      <c r="G202" s="1319"/>
      <c r="H202" s="1319"/>
      <c r="I202" s="1319"/>
      <c r="J202" s="1319"/>
      <c r="K202" s="1319"/>
      <c r="L202" s="1319"/>
      <c r="M202" s="1319"/>
      <c r="N202" s="1319"/>
      <c r="O202" s="1319"/>
      <c r="P202" s="1319"/>
      <c r="Q202" s="1319"/>
      <c r="R202" s="1319"/>
      <c r="S202" s="1319"/>
      <c r="T202" s="1319"/>
      <c r="U202" s="1319"/>
      <c r="V202" s="249"/>
      <c r="W202" s="504" cm="1" t="str">
        <f t="array" ref="W202:W202">W201</f>
        <v>false</v>
      </c>
      <c r="X202" s="1319"/>
      <c r="Y202" s="1319"/>
      <c r="Z202" s="1469"/>
      <c r="AA202" s="1487"/>
      <c r="AB202" s="1717"/>
      <c r="AC202" s="1718"/>
      <c r="AD202" s="399" t="s">
        <v>283</v>
      </c>
      <c r="AE202" s="761"/>
      <c r="AF202" s="1470"/>
      <c r="AG202" s="1319"/>
      <c r="AH202" s="1319"/>
      <c r="AI202" s="1319"/>
      <c r="AJ202" s="1319"/>
      <c r="AK202" s="1319"/>
      <c r="AL202" s="1319"/>
      <c r="AM202" s="1319"/>
      <c r="AN202" s="1319"/>
      <c r="AO202" s="1319"/>
      <c r="AP202" s="1319"/>
      <c r="AQ202" s="1319"/>
      <c r="AR202" s="1319"/>
      <c r="AS202" s="1319"/>
      <c r="AT202" s="1319"/>
      <c r="AU202" s="1319"/>
      <c r="AV202" s="1319"/>
      <c r="AW202" s="1319"/>
      <c r="AX202" s="1319"/>
      <c r="AY202" s="1319"/>
      <c r="AZ202" s="1319"/>
      <c r="BA202" s="1319"/>
    </row>
    <row customHeight="1" ht="16.0875" hidden="1">
      <c r="A203" s="1319"/>
      <c r="B203" s="103">
        <f>NOT(FIRST_TIME_REG="")</f>
        <v>1</v>
      </c>
      <c r="C203" s="1319"/>
      <c r="D203" s="1319"/>
      <c r="E203" s="644">
        <v>16.5</v>
      </c>
      <c r="F203" s="103" cm="1" t="str">
        <f t="array" ref="F203:F203">F202</f>
        <v>0</v>
      </c>
      <c r="G203" s="1319"/>
      <c r="H203" s="1319"/>
      <c r="I203" s="1319"/>
      <c r="J203" s="1319"/>
      <c r="K203" s="1319"/>
      <c r="L203" s="1319"/>
      <c r="M203" s="1319"/>
      <c r="N203" s="1319"/>
      <c r="O203" s="1319"/>
      <c r="P203" s="1319"/>
      <c r="Q203" s="1319"/>
      <c r="R203" s="1319"/>
      <c r="S203" s="1319"/>
      <c r="T203" s="1319"/>
      <c r="U203" s="1319"/>
      <c r="V203" s="249"/>
      <c r="W203" s="504" cm="1" t="str">
        <f t="array" ref="W203:W203">W202</f>
        <v>false</v>
      </c>
      <c r="X203" s="1319"/>
      <c r="Y203" s="1319"/>
      <c r="Z203" s="1469"/>
      <c r="AA203" s="1487"/>
      <c r="AB203" s="1717"/>
      <c r="AC203" s="1718"/>
      <c r="AD203" s="95" t="str">
        <f>IF(AE198="Водоотведение","Вид сточных вод","Вид воды")</f>
        <v>Вид воды</v>
      </c>
      <c r="AE203" s="1726"/>
      <c r="AF203" s="1470"/>
      <c r="AG203" s="1319"/>
      <c r="AH203" s="1319"/>
      <c r="AI203" s="1319"/>
      <c r="AJ203" s="1319"/>
      <c r="AK203" s="1319"/>
      <c r="AL203" s="1319"/>
      <c r="AM203" s="1319"/>
      <c r="AN203" s="1319"/>
      <c r="AO203" s="1319"/>
      <c r="AP203" s="1319"/>
      <c r="AQ203" s="1319"/>
      <c r="AR203" s="1319"/>
      <c r="AS203" s="1319"/>
      <c r="AT203" s="1319"/>
      <c r="AU203" s="1319"/>
      <c r="AV203" s="1319"/>
      <c r="AW203" s="1319"/>
      <c r="AX203" s="1319"/>
      <c r="AY203" s="1319"/>
      <c r="AZ203" s="1319"/>
      <c r="BA203" s="1319"/>
    </row>
    <row customHeight="1" ht="16.0875" hidden="1">
      <c r="A204" s="1319"/>
      <c r="B204" s="103">
        <f>NOT(FIRST_TIME_REG="")</f>
        <v>1</v>
      </c>
      <c r="C204" s="1319"/>
      <c r="D204" s="1319"/>
      <c r="E204" s="644">
        <v>16.5</v>
      </c>
      <c r="F204" s="103" cm="1" t="str">
        <f t="array" ref="F204:F204">F203</f>
        <v>0</v>
      </c>
      <c r="G204" s="1319"/>
      <c r="H204" s="1319"/>
      <c r="I204" s="1319"/>
      <c r="J204" s="1319"/>
      <c r="K204" s="1319"/>
      <c r="L204" s="1319"/>
      <c r="M204" s="1319"/>
      <c r="N204" s="1319"/>
      <c r="O204" s="1319"/>
      <c r="P204" s="1319"/>
      <c r="Q204" s="1319"/>
      <c r="R204" s="1319"/>
      <c r="S204" s="1319"/>
      <c r="T204" s="1319"/>
      <c r="U204" s="1319"/>
      <c r="V204" s="249"/>
      <c r="W204" s="504" cm="1" t="str">
        <f t="array" ref="W204:W204">W203</f>
        <v>false</v>
      </c>
      <c r="X204" s="1319"/>
      <c r="Y204" s="1319"/>
      <c r="Z204" s="1469"/>
      <c r="AA204" s="1487"/>
      <c r="AB204" s="1717"/>
      <c r="AC204" s="1718"/>
      <c r="AD204" s="95" t="s">
        <v>284</v>
      </c>
      <c r="AE204" s="761"/>
      <c r="AF204" s="1470"/>
      <c r="AG204" s="1319"/>
      <c r="AH204" s="1319"/>
      <c r="AI204" s="1319"/>
      <c r="AJ204" s="1319"/>
      <c r="AK204" s="1319"/>
      <c r="AL204" s="1319"/>
      <c r="AM204" s="1319"/>
      <c r="AN204" s="1319"/>
      <c r="AO204" s="1319"/>
      <c r="AP204" s="1319"/>
      <c r="AQ204" s="1319"/>
      <c r="AR204" s="1319"/>
      <c r="AS204" s="1319"/>
      <c r="AT204" s="1319"/>
      <c r="AU204" s="1319"/>
      <c r="AV204" s="1319"/>
      <c r="AW204" s="1319"/>
      <c r="AX204" s="1319"/>
      <c r="AY204" s="1319"/>
      <c r="AZ204" s="1319"/>
      <c r="BA204" s="1319"/>
    </row>
    <row customHeight="1" ht="16.0875" hidden="1">
      <c r="A205" s="1319"/>
      <c r="B205" s="447">
        <f>AND(org_declaration="Заявление организации",NOT(FIRST_TIME_REG=""))</f>
        <v>1</v>
      </c>
      <c r="C205" s="1319"/>
      <c r="D205" s="1319"/>
      <c r="E205" s="644">
        <v>16.5</v>
      </c>
      <c r="F205" s="103" cm="1" t="str">
        <f t="array" ref="F205:F205">F204</f>
        <v>0</v>
      </c>
      <c r="G205" s="1319"/>
      <c r="H205" s="1319"/>
      <c r="I205" s="1319"/>
      <c r="J205" s="1319"/>
      <c r="K205" s="1319"/>
      <c r="L205" s="1319"/>
      <c r="M205" s="1319"/>
      <c r="N205" s="1319"/>
      <c r="O205" s="1319"/>
      <c r="P205" s="1319"/>
      <c r="Q205" s="1319"/>
      <c r="R205" s="1319"/>
      <c r="S205" s="1319"/>
      <c r="T205" s="1319"/>
      <c r="U205" s="1319"/>
      <c r="V205" s="249"/>
      <c r="W205" s="504" cm="1" t="str">
        <f t="array" ref="W205:W205">W204</f>
        <v>false</v>
      </c>
      <c r="X205" s="1319"/>
      <c r="Y205" s="1319"/>
      <c r="Z205" s="1469"/>
      <c r="AA205" s="1487"/>
      <c r="AB205" s="1717"/>
      <c r="AC205" s="1718"/>
      <c r="AD205" s="399" t="s">
        <v>285</v>
      </c>
      <c r="AE205" s="1729"/>
      <c r="AF205" s="1470"/>
      <c r="AG205" s="1319"/>
      <c r="AH205" s="1319"/>
      <c r="AI205" s="1319"/>
      <c r="AJ205" s="1319"/>
      <c r="AK205" s="1319"/>
      <c r="AL205" s="1319"/>
      <c r="AM205" s="1319"/>
      <c r="AN205" s="1319"/>
      <c r="AO205" s="1319"/>
      <c r="AP205" s="1319"/>
      <c r="AQ205" s="1319"/>
      <c r="AR205" s="1319"/>
      <c r="AS205" s="1319"/>
      <c r="AT205" s="1319"/>
      <c r="AU205" s="1319"/>
      <c r="AV205" s="1319"/>
      <c r="AW205" s="1319"/>
      <c r="AX205" s="1319"/>
      <c r="AY205" s="1319"/>
      <c r="AZ205" s="1319"/>
      <c r="BA205" s="1319"/>
    </row>
    <row customHeight="1" ht="16.0875" hidden="1">
      <c r="A206" s="1319"/>
      <c r="B206" s="447">
        <f>AND(org_declaration="Заявление организации",NOT(FIRST_TIME_REG=""))</f>
        <v>1</v>
      </c>
      <c r="C206" s="1319"/>
      <c r="D206" s="1319"/>
      <c r="E206" s="644">
        <v>16.5</v>
      </c>
      <c r="F206" s="103" cm="1" t="str">
        <f t="array" ref="F206:F206">F205</f>
        <v>0</v>
      </c>
      <c r="G206" s="1319"/>
      <c r="H206" s="1319"/>
      <c r="I206" s="1319"/>
      <c r="J206" s="1319"/>
      <c r="K206" s="1319"/>
      <c r="L206" s="1319"/>
      <c r="M206" s="1319"/>
      <c r="N206" s="1319"/>
      <c r="O206" s="1319"/>
      <c r="P206" s="1319"/>
      <c r="Q206" s="1319"/>
      <c r="R206" s="1319"/>
      <c r="S206" s="1319"/>
      <c r="T206" s="1319"/>
      <c r="U206" s="1319"/>
      <c r="V206" s="249"/>
      <c r="W206" s="504" cm="1" t="str">
        <f t="array" ref="W206:W206">W205</f>
        <v>false</v>
      </c>
      <c r="X206" s="1319"/>
      <c r="Y206" s="1319"/>
      <c r="Z206" s="1469"/>
      <c r="AA206" s="1487"/>
      <c r="AB206" s="1717"/>
      <c r="AC206" s="1718"/>
      <c r="AD206" s="399" t="s">
        <v>286</v>
      </c>
      <c r="AE206" s="1730"/>
      <c r="AF206" s="1470"/>
      <c r="AG206" s="1319"/>
      <c r="AH206" s="1319"/>
      <c r="AI206" s="1319"/>
      <c r="AJ206" s="1319"/>
      <c r="AK206" s="1319"/>
      <c r="AL206" s="1319"/>
      <c r="AM206" s="1319"/>
      <c r="AN206" s="1319"/>
      <c r="AO206" s="1319"/>
      <c r="AP206" s="1319"/>
      <c r="AQ206" s="1319"/>
      <c r="AR206" s="1319"/>
      <c r="AS206" s="1319"/>
      <c r="AT206" s="1319"/>
      <c r="AU206" s="1319"/>
      <c r="AV206" s="1319"/>
      <c r="AW206" s="1319"/>
      <c r="AX206" s="1319"/>
      <c r="AY206" s="1319"/>
      <c r="AZ206" s="1319"/>
      <c r="BA206" s="1319"/>
    </row>
    <row customHeight="1" ht="16.0875" hidden="1">
      <c r="A207" s="1319"/>
      <c r="B207" s="447">
        <f>NOT(FIRST_TIME_REG="")</f>
        <v>1</v>
      </c>
      <c r="C207" s="1319"/>
      <c r="D207" s="1319"/>
      <c r="E207" s="644">
        <v>16.5</v>
      </c>
      <c r="F207" s="103" cm="1" t="str">
        <f t="array" ref="F207:F207">F206</f>
        <v>0</v>
      </c>
      <c r="G207" s="1319"/>
      <c r="H207" s="1319"/>
      <c r="I207" s="1319"/>
      <c r="J207" s="1319"/>
      <c r="K207" s="1319"/>
      <c r="L207" s="1319"/>
      <c r="M207" s="1319"/>
      <c r="N207" s="1319"/>
      <c r="O207" s="1319"/>
      <c r="P207" s="1319"/>
      <c r="Q207" s="1319"/>
      <c r="R207" s="1319"/>
      <c r="S207" s="1319"/>
      <c r="T207" s="1319"/>
      <c r="U207" s="1319"/>
      <c r="V207" s="249"/>
      <c r="W207" s="504" cm="1" t="str">
        <f t="array" ref="W207:W207">W206</f>
        <v>false</v>
      </c>
      <c r="X207" s="1319"/>
      <c r="Y207" s="1319"/>
      <c r="Z207" s="1469"/>
      <c r="AA207" s="1487"/>
      <c r="AB207" s="1717"/>
      <c r="AC207" s="1718"/>
      <c r="AD207" s="399" t="s">
        <v>287</v>
      </c>
      <c r="AE207" s="1731"/>
      <c r="AF207" s="1470"/>
      <c r="AG207" s="1319"/>
      <c r="AH207" s="1319"/>
      <c r="AI207" s="1319"/>
      <c r="AJ207" s="1319"/>
      <c r="AK207" s="1319"/>
      <c r="AL207" s="1319"/>
      <c r="AM207" s="1319"/>
      <c r="AN207" s="1319"/>
      <c r="AO207" s="1319"/>
      <c r="AP207" s="1319"/>
      <c r="AQ207" s="1319"/>
      <c r="AR207" s="1319"/>
      <c r="AS207" s="1319"/>
      <c r="AT207" s="1319"/>
      <c r="AU207" s="1319"/>
      <c r="AV207" s="1319"/>
      <c r="AW207" s="1319"/>
      <c r="AX207" s="1319"/>
      <c r="AY207" s="1319"/>
      <c r="AZ207" s="1319"/>
      <c r="BA207" s="1319"/>
    </row>
    <row customHeight="1" ht="16.0875" hidden="1">
      <c r="A208" s="1319"/>
      <c r="B208" s="447">
        <f>AND(org_declaration="Заявление организации",NOT(FIRST_TIME_REG=""))</f>
        <v>1</v>
      </c>
      <c r="C208" s="1319"/>
      <c r="D208" s="1319"/>
      <c r="E208" s="644">
        <v>16.5</v>
      </c>
      <c r="F208" s="103" cm="1" t="str">
        <f t="array" ref="F208:F208">F207</f>
        <v>0</v>
      </c>
      <c r="G208" s="1319"/>
      <c r="H208" s="1319"/>
      <c r="I208" s="1319"/>
      <c r="J208" s="1319"/>
      <c r="K208" s="1319"/>
      <c r="L208" s="1319"/>
      <c r="M208" s="1319"/>
      <c r="N208" s="1319"/>
      <c r="O208" s="1319"/>
      <c r="P208" s="1319"/>
      <c r="Q208" s="1319"/>
      <c r="R208" s="1319"/>
      <c r="S208" s="1319"/>
      <c r="T208" s="1319"/>
      <c r="U208" s="1319"/>
      <c r="V208" s="249"/>
      <c r="W208" s="504" cm="1" t="str">
        <f t="array" ref="W208:W208">W207</f>
        <v>false</v>
      </c>
      <c r="X208" s="1319"/>
      <c r="Y208" s="1319"/>
      <c r="Z208" s="1469"/>
      <c r="AA208" s="1487"/>
      <c r="AB208" s="1717"/>
      <c r="AC208" s="1718"/>
      <c r="AD208" s="399" t="s">
        <v>288</v>
      </c>
      <c r="AE208" s="1732" t="str">
        <f>IF(ISBLANK(god),"",DATE(god,1,1))</f>
        <v>46023</v>
      </c>
      <c r="AF208" s="1470"/>
      <c r="AG208" s="1319"/>
      <c r="AH208" s="1319"/>
      <c r="AI208" s="1319"/>
      <c r="AJ208" s="1319"/>
      <c r="AK208" s="1319"/>
      <c r="AL208" s="1319"/>
      <c r="AM208" s="1319"/>
      <c r="AN208" s="1319"/>
      <c r="AO208" s="1319"/>
      <c r="AP208" s="1319"/>
      <c r="AQ208" s="1319"/>
      <c r="AR208" s="1319"/>
      <c r="AS208" s="1319"/>
      <c r="AT208" s="1319"/>
      <c r="AU208" s="1319"/>
      <c r="AV208" s="1319"/>
      <c r="AW208" s="1319"/>
      <c r="AX208" s="1319"/>
      <c r="AY208" s="1319"/>
      <c r="AZ208" s="1319"/>
      <c r="BA208" s="1319"/>
    </row>
    <row customHeight="1" ht="16.0875" hidden="1">
      <c r="A209" s="1319"/>
      <c r="B209" s="447">
        <f>AND(org_declaration="Заявление организации",NOT(FIRST_TIME_REG=""))</f>
        <v>1</v>
      </c>
      <c r="C209" s="1319"/>
      <c r="D209" s="1319"/>
      <c r="E209" s="644">
        <v>16.5</v>
      </c>
      <c r="F209" s="103" cm="1" t="str">
        <f t="array" ref="F209:F209">F208</f>
        <v>0</v>
      </c>
      <c r="G209" s="1319"/>
      <c r="H209" s="1319"/>
      <c r="I209" s="1319"/>
      <c r="J209" s="1319"/>
      <c r="K209" s="1319"/>
      <c r="L209" s="1319"/>
      <c r="M209" s="1319"/>
      <c r="N209" s="1319"/>
      <c r="O209" s="1319"/>
      <c r="P209" s="1319"/>
      <c r="Q209" s="1319"/>
      <c r="R209" s="1319"/>
      <c r="S209" s="1319"/>
      <c r="T209" s="1319"/>
      <c r="U209" s="1319"/>
      <c r="V209" s="249"/>
      <c r="W209" s="504" cm="1" t="str">
        <f t="array" ref="W209:W209">W208</f>
        <v>false</v>
      </c>
      <c r="X209" s="1319"/>
      <c r="Y209" s="1319"/>
      <c r="Z209" s="1469"/>
      <c r="AA209" s="1487"/>
      <c r="AB209" s="1717"/>
      <c r="AC209" s="1718"/>
      <c r="AD209" s="399" t="s">
        <v>289</v>
      </c>
      <c r="AE209" s="1733"/>
      <c r="AF209" s="1470"/>
      <c r="AG209" s="1319"/>
      <c r="AH209" s="1319"/>
      <c r="AI209" s="1319"/>
      <c r="AJ209" s="1319"/>
      <c r="AK209" s="1319"/>
      <c r="AL209" s="1319"/>
      <c r="AM209" s="1319"/>
      <c r="AN209" s="1319"/>
      <c r="AO209" s="1319"/>
      <c r="AP209" s="1319"/>
      <c r="AQ209" s="1319"/>
      <c r="AR209" s="1319"/>
      <c r="AS209" s="1319"/>
      <c r="AT209" s="1319"/>
      <c r="AU209" s="1319"/>
      <c r="AV209" s="1319"/>
      <c r="AW209" s="1319"/>
      <c r="AX209" s="1319"/>
      <c r="AY209" s="1319"/>
      <c r="AZ209" s="1319"/>
      <c r="BA209" s="1319"/>
    </row>
    <row customHeight="1" ht="21.9375" hidden="1">
      <c r="A210" s="1319"/>
      <c r="B210" s="447">
        <f>AND(org_declaration="Заявление организации",NOT(FIRST_TIME_REG=""))</f>
        <v>1</v>
      </c>
      <c r="C210" s="1319"/>
      <c r="D210" s="1319"/>
      <c r="E210" s="644">
        <v>22.5</v>
      </c>
      <c r="F210" s="103" cm="1" t="str">
        <f t="array" ref="F210:F210">F209</f>
        <v>0</v>
      </c>
      <c r="G210" s="1319"/>
      <c r="H210" s="1319"/>
      <c r="I210" s="1319"/>
      <c r="J210" s="1319"/>
      <c r="K210" s="1319"/>
      <c r="L210" s="1319"/>
      <c r="M210" s="1319"/>
      <c r="N210" s="1319"/>
      <c r="O210" s="1319"/>
      <c r="P210" s="1319"/>
      <c r="Q210" s="1319"/>
      <c r="R210" s="1319"/>
      <c r="S210" s="1319"/>
      <c r="T210" s="1319"/>
      <c r="U210" s="1319"/>
      <c r="V210" s="249"/>
      <c r="W210" s="504">
        <f>AND(W209,AE209&lt;&gt;"Метод экономически обоснованных расходов",AE209&lt;&gt;"Метод сравнения аналогов")</f>
        <v>0</v>
      </c>
      <c r="X210" s="1319"/>
      <c r="Y210" s="1319"/>
      <c r="Z210" s="1469"/>
      <c r="AA210" s="1487"/>
      <c r="AB210" s="1717"/>
      <c r="AC210" s="1718"/>
      <c r="AD210" s="95" t="str">
        <f>IF(OR(AE209="экономически обоснованных расходов (затрат)",AE209="сравнения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210" s="1734"/>
      <c r="AF210" s="1470"/>
      <c r="AG210" s="1319"/>
      <c r="AH210" s="1319"/>
      <c r="AI210" s="1319"/>
      <c r="AJ210" s="1319"/>
      <c r="AK210" s="1319"/>
      <c r="AL210" s="1319"/>
      <c r="AM210" s="1319"/>
      <c r="AN210" s="1319"/>
      <c r="AO210" s="1319"/>
      <c r="AP210" s="1319"/>
      <c r="AQ210" s="1319"/>
      <c r="AR210" s="1319"/>
      <c r="AS210" s="1319"/>
      <c r="AT210" s="1319"/>
      <c r="AU210" s="1319"/>
      <c r="AV210" s="1319"/>
      <c r="AW210" s="1319"/>
      <c r="AX210" s="1319"/>
      <c r="AY210" s="1319"/>
      <c r="AZ210" s="1319"/>
      <c r="BA210" s="1319"/>
    </row>
    <row customHeight="1" ht="16.0875" hidden="1">
      <c r="A211" s="1319"/>
      <c r="B211" s="447">
        <f>AND(org_declaration="Заявление организации",NOT(FIRST_TIME_REG=""))</f>
        <v>1</v>
      </c>
      <c r="C211" s="1319"/>
      <c r="D211" s="1319"/>
      <c r="E211" s="644">
        <v>16.5</v>
      </c>
      <c r="F211" s="103" cm="1" t="str">
        <f t="array" ref="F211:F211">F210</f>
        <v>0</v>
      </c>
      <c r="G211" s="1319"/>
      <c r="H211" s="1319"/>
      <c r="I211" s="1319"/>
      <c r="J211" s="1319"/>
      <c r="K211" s="1319"/>
      <c r="L211" s="1319"/>
      <c r="M211" s="1319"/>
      <c r="N211" s="1319"/>
      <c r="O211" s="1319"/>
      <c r="P211" s="1319"/>
      <c r="Q211" s="1319"/>
      <c r="R211" s="1319"/>
      <c r="S211" s="1319"/>
      <c r="T211" s="1319"/>
      <c r="U211" s="1319"/>
      <c r="V211" s="249"/>
      <c r="W211" s="504">
        <f>AND(W210,AE209&lt;&gt;"Метод экономически обоснованных расходов",AE209&lt;&gt;"Метод сравнения аналогов")</f>
        <v>0</v>
      </c>
      <c r="X211" s="1319"/>
      <c r="Y211" s="1319"/>
      <c r="Z211" s="1469"/>
      <c r="AA211" s="1487"/>
      <c r="AB211" s="1717"/>
      <c r="AC211" s="1718"/>
      <c r="AD211" s="399" t="s">
        <v>107</v>
      </c>
      <c r="AE211" s="1734"/>
      <c r="AF211" s="1470"/>
      <c r="AG211" s="1319"/>
      <c r="AH211" s="1319"/>
      <c r="AI211" s="1319"/>
      <c r="AJ211" s="1319"/>
      <c r="AK211" s="1319"/>
      <c r="AL211" s="1319"/>
      <c r="AM211" s="1319"/>
      <c r="AN211" s="1319"/>
      <c r="AO211" s="1319"/>
      <c r="AP211" s="1319"/>
      <c r="AQ211" s="1319"/>
      <c r="AR211" s="1319"/>
      <c r="AS211" s="1319"/>
      <c r="AT211" s="1319"/>
      <c r="AU211" s="1319"/>
      <c r="AV211" s="1319"/>
      <c r="AW211" s="1319"/>
      <c r="AX211" s="1319"/>
      <c r="AY211" s="1319"/>
      <c r="AZ211" s="1319"/>
      <c r="BA211" s="1319"/>
    </row>
    <row s="1656" customFormat="1" customHeight="1" ht="19.171875">
      <c r="A212" s="1319"/>
      <c r="B212" s="103">
        <f>NOT(FIRST_TIME_REG="")</f>
        <v>1</v>
      </c>
      <c r="C212" s="1319"/>
      <c r="D212" s="1319"/>
      <c r="E212" s="644">
        <v>18.75</v>
      </c>
      <c r="F212" s="103" cm="1" t="str">
        <f t="array" ref="F212:F212">Z212</f>
        <v>1</v>
      </c>
      <c r="G212" s="1319"/>
      <c r="H212" s="1319"/>
      <c r="I212" s="1319"/>
      <c r="J212" s="1319"/>
      <c r="K212" s="1319"/>
      <c r="L212" s="1319"/>
      <c r="M212" s="1319"/>
      <c r="N212" s="1319"/>
      <c r="O212" s="1319"/>
      <c r="P212" s="1319"/>
      <c r="Q212" s="1319"/>
      <c r="R212" s="1319"/>
      <c r="S212" s="1319"/>
      <c r="T212" s="1319"/>
      <c r="U212" s="1319"/>
      <c r="V212" s="249" cm="1" t="str">
        <f t="array" ref="V212:V212">AE213</f>
        <v>ХВС.42.26322895.0022</v>
      </c>
      <c r="W212" s="504">
        <f>Z212&gt;0</f>
        <v>1</v>
      </c>
      <c r="X212" s="103"/>
      <c r="Y212" s="1319"/>
      <c r="Z212" s="1469" t="s">
        <v>290</v>
      </c>
      <c r="AA212" s="1487"/>
      <c r="AB212" s="1483"/>
      <c r="AC212" s="1484"/>
      <c r="AD212" s="397" t="str">
        <f>"Тариф "&amp;Z212</f>
        <v>Тариф 1</v>
      </c>
      <c r="AE212" s="398" t="s">
        <v>291</v>
      </c>
      <c r="AF212" s="1470" t="s">
        <v>174</v>
      </c>
      <c r="AG212" s="103" t="str">
        <f>AD212&amp;" ("&amp;AE212&amp;") - "&amp;AE214&amp;IF(AE218="",""," ("&amp;AE218&amp;")")</f>
        <v>Тариф 1 (Водоснабжение) - тариф на питьевую воду (Оказание услуг на территории: город Ленинск-Кузнецкий (ОКТМО: 32719000) - г Ленинск-Кузнецкий, г Полысаево)</v>
      </c>
      <c r="AH212" s="103" cm="1" t="str">
        <f t="array" ref="AH212:AH212">AE217</f>
        <v>питьевая вода</v>
      </c>
      <c r="AI212" s="249" cm="1" t="str">
        <f t="array" ref="AI212:AI212">AE214</f>
        <v>тариф на питьевую воду</v>
      </c>
      <c r="AJ212" s="103" cm="1" t="str">
        <f t="array" ref="AJ212:AJ212">AE218</f>
        <v>Оказание услуг на территории: город Ленинск-Кузнецкий (ОКТМО: 32719000) - г Ленинск-Кузнецкий, г Полысаево</v>
      </c>
      <c r="AK212" s="103" cm="1" t="str">
        <f t="array" ref="AK212:AK212">AE215</f>
        <v>одноставочный</v>
      </c>
      <c r="AL212" s="916" cm="1" t="str">
        <f t="array" ref="AL212:AL212">AE222</f>
        <v>46023</v>
      </c>
      <c r="AM212" s="501" cm="1" t="str">
        <f t="array" ref="AM212:AM212">AE223</f>
        <v>Метод индексации</v>
      </c>
      <c r="AN212" s="103">
        <f>IF(ISERR(SEARCH("трансп",AI212)),FALSE,TRUE)</f>
        <v>0</v>
      </c>
      <c r="AO212" s="1319"/>
      <c r="AP212" s="1319"/>
      <c r="AQ212" s="1319"/>
      <c r="AR212" s="1319"/>
      <c r="AS212" s="1319"/>
      <c r="AT212" s="1319"/>
      <c r="AU212" s="1319"/>
      <c r="AV212" s="1319"/>
      <c r="AW212" s="1319"/>
      <c r="AX212" s="1319"/>
      <c r="AY212" s="1319"/>
      <c r="AZ212" s="1319"/>
      <c r="BA212" s="1319"/>
    </row>
    <row s="1656" customFormat="1" customHeight="1" ht="17.671875">
      <c r="A213" s="1319"/>
      <c r="B213" s="103">
        <f>NOT(FIRST_TIME_REG="")</f>
        <v>1</v>
      </c>
      <c r="C213" s="1319"/>
      <c r="D213" s="1319"/>
      <c r="E213" s="644">
        <v>16.5</v>
      </c>
      <c r="F213" s="103" cm="1" t="str">
        <f t="array" ref="F213:F213">F212</f>
        <v>1</v>
      </c>
      <c r="G213" s="1319"/>
      <c r="H213" s="1319"/>
      <c r="I213" s="1319"/>
      <c r="J213" s="1319"/>
      <c r="K213" s="1319"/>
      <c r="L213" s="1319"/>
      <c r="M213" s="1319"/>
      <c r="N213" s="1319"/>
      <c r="O213" s="1319"/>
      <c r="P213" s="1319"/>
      <c r="Q213" s="1319"/>
      <c r="R213" s="1319"/>
      <c r="S213" s="1319"/>
      <c r="T213" s="1319"/>
      <c r="U213" s="1319"/>
      <c r="V213" s="249"/>
      <c r="W213" s="504" cm="1" t="str">
        <f t="array" ref="W213:W213">W212</f>
        <v>true</v>
      </c>
      <c r="X213" s="1319"/>
      <c r="Y213" s="1319"/>
      <c r="Z213" s="1469"/>
      <c r="AA213" s="1487"/>
      <c r="AB213" s="1483"/>
      <c r="AC213" s="1484"/>
      <c r="AD213" s="399" t="s">
        <v>280</v>
      </c>
      <c r="AE213" s="390" t="s">
        <v>292</v>
      </c>
      <c r="AF213" s="1470"/>
      <c r="AG213" s="1319"/>
      <c r="AH213" s="1319">
        <v>8362886418</v>
      </c>
      <c r="AI213" s="1319"/>
      <c r="AJ213" s="1319"/>
      <c r="AK213" s="1319"/>
      <c r="AL213" s="1319"/>
      <c r="AM213" s="1319"/>
      <c r="AN213" s="1319"/>
      <c r="AO213" s="1319"/>
      <c r="AP213" s="1319"/>
      <c r="AQ213" s="1319"/>
      <c r="AR213" s="1319"/>
      <c r="AS213" s="1319"/>
      <c r="AT213" s="1319"/>
      <c r="AU213" s="1319"/>
      <c r="AV213" s="1319"/>
      <c r="AW213" s="1319"/>
      <c r="AX213" s="1319"/>
      <c r="AY213" s="1319"/>
      <c r="AZ213" s="1319"/>
      <c r="BA213" s="1319"/>
    </row>
    <row s="1656" customFormat="1" customHeight="1" ht="20.671875">
      <c r="A214" s="1319"/>
      <c r="B214" s="103">
        <f>NOT(FIRST_TIME_REG="")</f>
        <v>1</v>
      </c>
      <c r="C214" s="1319"/>
      <c r="D214" s="1319"/>
      <c r="E214" s="644">
        <v>16.5</v>
      </c>
      <c r="F214" s="103" cm="1" t="str">
        <f t="array" ref="F214:F214">F213</f>
        <v>1</v>
      </c>
      <c r="G214" s="1319"/>
      <c r="H214" s="1319"/>
      <c r="I214" s="1319"/>
      <c r="J214" s="1319"/>
      <c r="K214" s="1319"/>
      <c r="L214" s="1319"/>
      <c r="M214" s="1319"/>
      <c r="N214" s="1319"/>
      <c r="O214" s="1319"/>
      <c r="P214" s="1319"/>
      <c r="Q214" s="1319"/>
      <c r="R214" s="1319"/>
      <c r="S214" s="1319"/>
      <c r="T214" s="1319"/>
      <c r="U214" s="1319"/>
      <c r="V214" s="249"/>
      <c r="W214" s="504" cm="1" t="str">
        <f t="array" ref="W214:W214">W213</f>
        <v>true</v>
      </c>
      <c r="X214" s="1319"/>
      <c r="Y214" s="1319"/>
      <c r="Z214" s="1469"/>
      <c r="AA214" s="1487"/>
      <c r="AB214" s="1483"/>
      <c r="AC214" s="1484"/>
      <c r="AD214" s="399" t="s">
        <v>281</v>
      </c>
      <c r="AE214" s="392" t="s">
        <v>293</v>
      </c>
      <c r="AF214" s="1470"/>
      <c r="AG214" s="1319"/>
      <c r="AH214" s="1319"/>
      <c r="AI214" s="1319"/>
      <c r="AJ214" s="1319"/>
      <c r="AK214" s="1319"/>
      <c r="AL214" s="1319"/>
      <c r="AM214" s="1319"/>
      <c r="AN214" s="1319"/>
      <c r="AO214" s="1319"/>
      <c r="AP214" s="1319"/>
      <c r="AQ214" s="1319"/>
      <c r="AR214" s="1319"/>
      <c r="AS214" s="1319"/>
      <c r="AT214" s="1319"/>
      <c r="AU214" s="1319"/>
      <c r="AV214" s="1319"/>
      <c r="AW214" s="1319"/>
      <c r="AX214" s="1319"/>
      <c r="AY214" s="1319"/>
      <c r="AZ214" s="1319"/>
      <c r="BA214" s="1319"/>
    </row>
    <row s="1656" customFormat="1" customHeight="1" ht="16.921875">
      <c r="A215" s="1319"/>
      <c r="B215" s="103">
        <f>NOT(FIRST_TIME_REG="")</f>
        <v>1</v>
      </c>
      <c r="C215" s="1319"/>
      <c r="D215" s="1319"/>
      <c r="E215" s="644">
        <v>16.5</v>
      </c>
      <c r="F215" s="103" cm="1" t="str">
        <f t="array" ref="F215:F215">F214</f>
        <v>1</v>
      </c>
      <c r="G215" s="1319"/>
      <c r="H215" s="1319"/>
      <c r="I215" s="1319"/>
      <c r="J215" s="1319"/>
      <c r="K215" s="1319"/>
      <c r="L215" s="1319"/>
      <c r="M215" s="1319"/>
      <c r="N215" s="1319"/>
      <c r="O215" s="1319"/>
      <c r="P215" s="1319"/>
      <c r="Q215" s="1319"/>
      <c r="R215" s="1319"/>
      <c r="S215" s="1319"/>
      <c r="T215" s="1319"/>
      <c r="U215" s="1319"/>
      <c r="V215" s="249"/>
      <c r="W215" s="504" cm="1" t="str">
        <f t="array" ref="W215:W215">W214</f>
        <v>true</v>
      </c>
      <c r="X215" s="1319"/>
      <c r="Y215" s="1319"/>
      <c r="Z215" s="1469"/>
      <c r="AA215" s="1487"/>
      <c r="AB215" s="1483"/>
      <c r="AC215" s="1484"/>
      <c r="AD215" s="399" t="s">
        <v>282</v>
      </c>
      <c r="AE215" s="392" t="s">
        <v>294</v>
      </c>
      <c r="AF215" s="1470"/>
      <c r="AG215" s="1319"/>
      <c r="AH215" s="1319"/>
      <c r="AI215" s="1319"/>
      <c r="AJ215" s="1319"/>
      <c r="AK215" s="1319"/>
      <c r="AL215" s="1319"/>
      <c r="AM215" s="1319"/>
      <c r="AN215" s="1319"/>
      <c r="AO215" s="1319"/>
      <c r="AP215" s="1319"/>
      <c r="AQ215" s="1319"/>
      <c r="AR215" s="1319"/>
      <c r="AS215" s="1319"/>
      <c r="AT215" s="1319"/>
      <c r="AU215" s="1319"/>
      <c r="AV215" s="1319"/>
      <c r="AW215" s="1319"/>
      <c r="AX215" s="1319"/>
      <c r="AY215" s="1319"/>
      <c r="AZ215" s="1319"/>
      <c r="BA215" s="1319"/>
    </row>
    <row s="1656" customFormat="1" customHeight="1" ht="29.671875">
      <c r="A216" s="1319"/>
      <c r="B216" s="103">
        <f>NOT(FIRST_TIME_REG="")</f>
        <v>1</v>
      </c>
      <c r="C216" s="1319"/>
      <c r="D216" s="1319"/>
      <c r="E216" s="644">
        <v>16.5</v>
      </c>
      <c r="F216" s="103" cm="1" t="str">
        <f t="array" ref="F216:F216">F215</f>
        <v>1</v>
      </c>
      <c r="G216" s="1319"/>
      <c r="H216" s="1319"/>
      <c r="I216" s="1319"/>
      <c r="J216" s="1319"/>
      <c r="K216" s="1319"/>
      <c r="L216" s="1319"/>
      <c r="M216" s="1319"/>
      <c r="N216" s="1319"/>
      <c r="O216" s="1319"/>
      <c r="P216" s="1319"/>
      <c r="Q216" s="1319"/>
      <c r="R216" s="1319"/>
      <c r="S216" s="1319"/>
      <c r="T216" s="1319"/>
      <c r="U216" s="1319"/>
      <c r="V216" s="249"/>
      <c r="W216" s="504" cm="1" t="str">
        <f t="array" ref="W216:W216">W215</f>
        <v>true</v>
      </c>
      <c r="X216" s="1319"/>
      <c r="Y216" s="1319"/>
      <c r="Z216" s="1469"/>
      <c r="AA216" s="1487"/>
      <c r="AB216" s="1483"/>
      <c r="AC216" s="1484"/>
      <c r="AD216" s="399" t="s">
        <v>283</v>
      </c>
      <c r="AE216" s="761" t="s">
        <v>295</v>
      </c>
      <c r="AF216" s="1470"/>
      <c r="AG216" s="1319"/>
      <c r="AH216" s="1319"/>
      <c r="AI216" s="1319"/>
      <c r="AJ216" s="1319"/>
      <c r="AK216" s="1319"/>
      <c r="AL216" s="1319"/>
      <c r="AM216" s="1319"/>
      <c r="AN216" s="1319"/>
      <c r="AO216" s="1319"/>
      <c r="AP216" s="1319"/>
      <c r="AQ216" s="1319"/>
      <c r="AR216" s="1319"/>
      <c r="AS216" s="1319"/>
      <c r="AT216" s="1319"/>
      <c r="AU216" s="1319"/>
      <c r="AV216" s="1319"/>
      <c r="AW216" s="1319"/>
      <c r="AX216" s="1319"/>
      <c r="AY216" s="1319"/>
      <c r="AZ216" s="1319"/>
      <c r="BA216" s="1319"/>
    </row>
    <row s="1656" customFormat="1" customHeight="1" ht="22.171875">
      <c r="A217" s="1319"/>
      <c r="B217" s="103">
        <f>NOT(FIRST_TIME_REG="")</f>
        <v>1</v>
      </c>
      <c r="C217" s="1319"/>
      <c r="D217" s="1319"/>
      <c r="E217" s="644">
        <v>16.5</v>
      </c>
      <c r="F217" s="103" cm="1" t="str">
        <f t="array" ref="F217:F217">F216</f>
        <v>1</v>
      </c>
      <c r="G217" s="1319"/>
      <c r="H217" s="1319"/>
      <c r="I217" s="1319"/>
      <c r="J217" s="1319"/>
      <c r="K217" s="1319"/>
      <c r="L217" s="1319"/>
      <c r="M217" s="1319"/>
      <c r="N217" s="1319"/>
      <c r="O217" s="1319"/>
      <c r="P217" s="1319"/>
      <c r="Q217" s="1319"/>
      <c r="R217" s="1319"/>
      <c r="S217" s="1319"/>
      <c r="T217" s="1319"/>
      <c r="U217" s="1319"/>
      <c r="V217" s="249"/>
      <c r="W217" s="504" cm="1" t="str">
        <f t="array" ref="W217:W217">W216</f>
        <v>true</v>
      </c>
      <c r="X217" s="1319"/>
      <c r="Y217" s="1319"/>
      <c r="Z217" s="1469"/>
      <c r="AA217" s="1487"/>
      <c r="AB217" s="1483"/>
      <c r="AC217" s="1484"/>
      <c r="AD217" s="95" t="str">
        <f>IF(AE212="Водоотведение","Вид сточных вод","Вид воды")</f>
        <v>Вид воды</v>
      </c>
      <c r="AE217" s="392" t="s">
        <v>296</v>
      </c>
      <c r="AF217" s="1470"/>
      <c r="AG217" s="1319"/>
      <c r="AH217" s="1319"/>
      <c r="AI217" s="1319"/>
      <c r="AJ217" s="1319"/>
      <c r="AK217" s="1319"/>
      <c r="AL217" s="1319"/>
      <c r="AM217" s="1319"/>
      <c r="AN217" s="1319"/>
      <c r="AO217" s="1319"/>
      <c r="AP217" s="1319"/>
      <c r="AQ217" s="1319"/>
      <c r="AR217" s="1319"/>
      <c r="AS217" s="1319"/>
      <c r="AT217" s="1319"/>
      <c r="AU217" s="1319"/>
      <c r="AV217" s="1319"/>
      <c r="AW217" s="1319"/>
      <c r="AX217" s="1319"/>
      <c r="AY217" s="1319"/>
      <c r="AZ217" s="1319"/>
      <c r="BA217" s="1319"/>
    </row>
    <row s="1656" customFormat="1" customHeight="1" ht="28.921875">
      <c r="A218" s="1319"/>
      <c r="B218" s="103">
        <f>NOT(FIRST_TIME_REG="")</f>
        <v>1</v>
      </c>
      <c r="C218" s="1319"/>
      <c r="D218" s="1319"/>
      <c r="E218" s="644">
        <v>16.5</v>
      </c>
      <c r="F218" s="103" cm="1" t="str">
        <f t="array" ref="F218:F218">F217</f>
        <v>1</v>
      </c>
      <c r="G218" s="1319"/>
      <c r="H218" s="1319"/>
      <c r="I218" s="1319"/>
      <c r="J218" s="1319"/>
      <c r="K218" s="1319"/>
      <c r="L218" s="1319"/>
      <c r="M218" s="1319"/>
      <c r="N218" s="1319"/>
      <c r="O218" s="1319"/>
      <c r="P218" s="1319"/>
      <c r="Q218" s="1319"/>
      <c r="R218" s="1319"/>
      <c r="S218" s="1319"/>
      <c r="T218" s="1319"/>
      <c r="U218" s="1319"/>
      <c r="V218" s="249"/>
      <c r="W218" s="504" cm="1" t="str">
        <f t="array" ref="W218:W218">W217</f>
        <v>true</v>
      </c>
      <c r="X218" s="1319"/>
      <c r="Y218" s="1319"/>
      <c r="Z218" s="1469"/>
      <c r="AA218" s="1487"/>
      <c r="AB218" s="1483"/>
      <c r="AC218" s="1484"/>
      <c r="AD218" s="95" t="s">
        <v>284</v>
      </c>
      <c r="AE218" s="761" t="s">
        <v>297</v>
      </c>
      <c r="AF218" s="1470"/>
      <c r="AG218" s="1319"/>
      <c r="AH218" s="1319"/>
      <c r="AI218" s="1319"/>
      <c r="AJ218" s="1319"/>
      <c r="AK218" s="1319"/>
      <c r="AL218" s="1319"/>
      <c r="AM218" s="1319"/>
      <c r="AN218" s="1319"/>
      <c r="AO218" s="1319"/>
      <c r="AP218" s="1319"/>
      <c r="AQ218" s="1319"/>
      <c r="AR218" s="1319"/>
      <c r="AS218" s="1319"/>
      <c r="AT218" s="1319"/>
      <c r="AU218" s="1319"/>
      <c r="AV218" s="1319"/>
      <c r="AW218" s="1319"/>
      <c r="AX218" s="1319"/>
      <c r="AY218" s="1319"/>
      <c r="AZ218" s="1319"/>
      <c r="BA218" s="1319"/>
    </row>
    <row s="1656" customFormat="1" customHeight="1" ht="15.75">
      <c r="A219" s="1319"/>
      <c r="B219" s="447">
        <f>AND(org_declaration="Заявление организации",NOT(FIRST_TIME_REG=""))</f>
        <v>1</v>
      </c>
      <c r="C219" s="1319"/>
      <c r="D219" s="1319"/>
      <c r="E219" s="644">
        <v>16.5</v>
      </c>
      <c r="F219" s="103" cm="1" t="str">
        <f t="array" ref="F219:F219">F218</f>
        <v>1</v>
      </c>
      <c r="G219" s="1319"/>
      <c r="H219" s="1319"/>
      <c r="I219" s="1319"/>
      <c r="J219" s="1319"/>
      <c r="K219" s="1319"/>
      <c r="L219" s="1319"/>
      <c r="M219" s="1319"/>
      <c r="N219" s="1319"/>
      <c r="O219" s="1319"/>
      <c r="P219" s="1319"/>
      <c r="Q219" s="1319"/>
      <c r="R219" s="1319"/>
      <c r="S219" s="1319"/>
      <c r="T219" s="1319"/>
      <c r="U219" s="1319"/>
      <c r="V219" s="249"/>
      <c r="W219" s="504" cm="1" t="str">
        <f t="array" ref="W219:W219">W218</f>
        <v>true</v>
      </c>
      <c r="X219" s="1319"/>
      <c r="Y219" s="1319"/>
      <c r="Z219" s="1469"/>
      <c r="AA219" s="1487"/>
      <c r="AB219" s="1483"/>
      <c r="AC219" s="1484"/>
      <c r="AD219" s="399" t="s">
        <v>285</v>
      </c>
      <c r="AE219" s="400">
        <v>2498</v>
      </c>
      <c r="AF219" s="1470"/>
      <c r="AG219" s="1319"/>
      <c r="AH219" s="1319"/>
      <c r="AI219" s="1319"/>
      <c r="AJ219" s="1319"/>
      <c r="AK219" s="1319"/>
      <c r="AL219" s="1319"/>
      <c r="AM219" s="1319"/>
      <c r="AN219" s="1319"/>
      <c r="AO219" s="1319"/>
      <c r="AP219" s="1319"/>
      <c r="AQ219" s="1319"/>
      <c r="AR219" s="1319"/>
      <c r="AS219" s="1319"/>
      <c r="AT219" s="1319"/>
      <c r="AU219" s="1319"/>
      <c r="AV219" s="1319"/>
      <c r="AW219" s="1319"/>
      <c r="AX219" s="1319"/>
      <c r="AY219" s="1319"/>
      <c r="AZ219" s="1319"/>
      <c r="BA219" s="1319"/>
    </row>
    <row s="1656" customFormat="1" customHeight="1" ht="16.921875">
      <c r="A220" s="1319"/>
      <c r="B220" s="447">
        <f>AND(org_declaration="Заявление организации",NOT(FIRST_TIME_REG=""))</f>
        <v>1</v>
      </c>
      <c r="C220" s="1319"/>
      <c r="D220" s="1319"/>
      <c r="E220" s="644">
        <v>16.5</v>
      </c>
      <c r="F220" s="103" cm="1" t="str">
        <f t="array" ref="F220:F220">F219</f>
        <v>1</v>
      </c>
      <c r="G220" s="1319"/>
      <c r="H220" s="1319"/>
      <c r="I220" s="1319"/>
      <c r="J220" s="1319"/>
      <c r="K220" s="1319"/>
      <c r="L220" s="1319"/>
      <c r="M220" s="1319"/>
      <c r="N220" s="1319"/>
      <c r="O220" s="1319"/>
      <c r="P220" s="1319"/>
      <c r="Q220" s="1319"/>
      <c r="R220" s="1319"/>
      <c r="S220" s="1319"/>
      <c r="T220" s="1319"/>
      <c r="U220" s="1319"/>
      <c r="V220" s="249"/>
      <c r="W220" s="504" cm="1" t="str">
        <f t="array" ref="W220:W220">W219</f>
        <v>true</v>
      </c>
      <c r="X220" s="1319"/>
      <c r="Y220" s="1319"/>
      <c r="Z220" s="1469"/>
      <c r="AA220" s="1487"/>
      <c r="AB220" s="1483"/>
      <c r="AC220" s="1484"/>
      <c r="AD220" s="399" t="s">
        <v>286</v>
      </c>
      <c r="AE220" s="1086">
        <v>45775</v>
      </c>
      <c r="AF220" s="1470"/>
      <c r="AG220" s="1319"/>
      <c r="AH220" s="1319"/>
      <c r="AI220" s="1319"/>
      <c r="AJ220" s="1319"/>
      <c r="AK220" s="1319"/>
      <c r="AL220" s="1319"/>
      <c r="AM220" s="1319"/>
      <c r="AN220" s="1319"/>
      <c r="AO220" s="1319"/>
      <c r="AP220" s="1319"/>
      <c r="AQ220" s="1319"/>
      <c r="AR220" s="1319"/>
      <c r="AS220" s="1319"/>
      <c r="AT220" s="1319"/>
      <c r="AU220" s="1319"/>
      <c r="AV220" s="1319"/>
      <c r="AW220" s="1319"/>
      <c r="AX220" s="1319"/>
      <c r="AY220" s="1319"/>
      <c r="AZ220" s="1319"/>
      <c r="BA220" s="1319"/>
    </row>
    <row s="1656" customFormat="1" customHeight="1" ht="39.421875">
      <c r="A221" s="1319"/>
      <c r="B221" s="447">
        <f>NOT(FIRST_TIME_REG="")</f>
        <v>1</v>
      </c>
      <c r="C221" s="1319"/>
      <c r="D221" s="1319"/>
      <c r="E221" s="644">
        <v>16.5</v>
      </c>
      <c r="F221" s="103" cm="1" t="str">
        <f t="array" ref="F221:F221">F220</f>
        <v>1</v>
      </c>
      <c r="G221" s="1319"/>
      <c r="H221" s="1319"/>
      <c r="I221" s="1319"/>
      <c r="J221" s="1319"/>
      <c r="K221" s="1319"/>
      <c r="L221" s="1319"/>
      <c r="M221" s="1319"/>
      <c r="N221" s="1319"/>
      <c r="O221" s="1319"/>
      <c r="P221" s="1319"/>
      <c r="Q221" s="1319"/>
      <c r="R221" s="1319"/>
      <c r="S221" s="1319"/>
      <c r="T221" s="1319"/>
      <c r="U221" s="1319"/>
      <c r="V221" s="249"/>
      <c r="W221" s="504" cm="1" t="str">
        <f t="array" ref="W221:W221">W220</f>
        <v>true</v>
      </c>
      <c r="X221" s="1319"/>
      <c r="Y221" s="1319"/>
      <c r="Z221" s="1469"/>
      <c r="AA221" s="1487"/>
      <c r="AB221" s="1483"/>
      <c r="AC221" s="1484"/>
      <c r="AD221" s="399" t="s">
        <v>287</v>
      </c>
      <c r="AE221" s="401" t="s">
        <v>298</v>
      </c>
      <c r="AF221" s="1470"/>
      <c r="AG221" s="1319"/>
      <c r="AH221" s="1319"/>
      <c r="AI221" s="1319"/>
      <c r="AJ221" s="1319"/>
      <c r="AK221" s="1319"/>
      <c r="AL221" s="1319"/>
      <c r="AM221" s="1319"/>
      <c r="AN221" s="1319"/>
      <c r="AO221" s="1319"/>
      <c r="AP221" s="1319"/>
      <c r="AQ221" s="1319"/>
      <c r="AR221" s="1319"/>
      <c r="AS221" s="1319"/>
      <c r="AT221" s="1319"/>
      <c r="AU221" s="1319"/>
      <c r="AV221" s="1319"/>
      <c r="AW221" s="1319"/>
      <c r="AX221" s="1319"/>
      <c r="AY221" s="1319"/>
      <c r="AZ221" s="1319"/>
      <c r="BA221" s="1319"/>
    </row>
    <row s="1656" customFormat="1" customHeight="1" ht="15.75">
      <c r="A222" s="1319"/>
      <c r="B222" s="447">
        <f>AND(org_declaration="Заявление организации",NOT(FIRST_TIME_REG=""))</f>
        <v>1</v>
      </c>
      <c r="C222" s="1319"/>
      <c r="D222" s="1319"/>
      <c r="E222" s="644">
        <v>16.5</v>
      </c>
      <c r="F222" s="103" cm="1" t="str">
        <f t="array" ref="F222:F222">F221</f>
        <v>1</v>
      </c>
      <c r="G222" s="1319"/>
      <c r="H222" s="1319"/>
      <c r="I222" s="1319"/>
      <c r="J222" s="1319"/>
      <c r="K222" s="1319"/>
      <c r="L222" s="1319"/>
      <c r="M222" s="1319"/>
      <c r="N222" s="1319"/>
      <c r="O222" s="1319"/>
      <c r="P222" s="1319"/>
      <c r="Q222" s="1319"/>
      <c r="R222" s="1319"/>
      <c r="S222" s="1319"/>
      <c r="T222" s="1319"/>
      <c r="U222" s="1319"/>
      <c r="V222" s="249"/>
      <c r="W222" s="504" cm="1" t="str">
        <f t="array" ref="W222:W222">W221</f>
        <v>true</v>
      </c>
      <c r="X222" s="1319"/>
      <c r="Y222" s="1319"/>
      <c r="Z222" s="1469"/>
      <c r="AA222" s="1487"/>
      <c r="AB222" s="1483"/>
      <c r="AC222" s="1484"/>
      <c r="AD222" s="399" t="s">
        <v>288</v>
      </c>
      <c r="AE222" s="948" t="str">
        <f>IF(ISBLANK(god),"",DATE(god,1,1))</f>
        <v>46023</v>
      </c>
      <c r="AF222" s="1470"/>
      <c r="AG222" s="1319"/>
      <c r="AH222" s="1319"/>
      <c r="AI222" s="1319"/>
      <c r="AJ222" s="1319"/>
      <c r="AK222" s="1319"/>
      <c r="AL222" s="1319"/>
      <c r="AM222" s="1319"/>
      <c r="AN222" s="1319"/>
      <c r="AO222" s="1319"/>
      <c r="AP222" s="1319"/>
      <c r="AQ222" s="1319"/>
      <c r="AR222" s="1319"/>
      <c r="AS222" s="1319"/>
      <c r="AT222" s="1319"/>
      <c r="AU222" s="1319"/>
      <c r="AV222" s="1319"/>
      <c r="AW222" s="1319"/>
      <c r="AX222" s="1319"/>
      <c r="AY222" s="1319"/>
      <c r="AZ222" s="1319"/>
      <c r="BA222" s="1319"/>
    </row>
    <row s="1656" customFormat="1" customHeight="1" ht="15.75">
      <c r="A223" s="1319"/>
      <c r="B223" s="447">
        <f>AND(org_declaration="Заявление организации",NOT(FIRST_TIME_REG=""))</f>
        <v>1</v>
      </c>
      <c r="C223" s="1319"/>
      <c r="D223" s="1319"/>
      <c r="E223" s="644">
        <v>16.5</v>
      </c>
      <c r="F223" s="103" cm="1" t="str">
        <f t="array" ref="F223:F223">F222</f>
        <v>1</v>
      </c>
      <c r="G223" s="1319"/>
      <c r="H223" s="1319"/>
      <c r="I223" s="1319"/>
      <c r="J223" s="1319"/>
      <c r="K223" s="1319"/>
      <c r="L223" s="1319"/>
      <c r="M223" s="1319"/>
      <c r="N223" s="1319"/>
      <c r="O223" s="1319"/>
      <c r="P223" s="1319"/>
      <c r="Q223" s="1319"/>
      <c r="R223" s="1319"/>
      <c r="S223" s="1319"/>
      <c r="T223" s="1319"/>
      <c r="U223" s="1319"/>
      <c r="V223" s="249"/>
      <c r="W223" s="504" cm="1" t="str">
        <f t="array" ref="W223:W223">W222</f>
        <v>true</v>
      </c>
      <c r="X223" s="1319"/>
      <c r="Y223" s="1319"/>
      <c r="Z223" s="1469"/>
      <c r="AA223" s="1487"/>
      <c r="AB223" s="1483"/>
      <c r="AC223" s="1484"/>
      <c r="AD223" s="399" t="s">
        <v>289</v>
      </c>
      <c r="AE223" s="459" t="s">
        <v>104</v>
      </c>
      <c r="AF223" s="1470"/>
      <c r="AG223" s="1319"/>
      <c r="AH223" s="1319"/>
      <c r="AI223" s="1319"/>
      <c r="AJ223" s="1319"/>
      <c r="AK223" s="1319"/>
      <c r="AL223" s="1319"/>
      <c r="AM223" s="1319"/>
      <c r="AN223" s="1319"/>
      <c r="AO223" s="1319"/>
      <c r="AP223" s="1319"/>
      <c r="AQ223" s="1319"/>
      <c r="AR223" s="1319"/>
      <c r="AS223" s="1319"/>
      <c r="AT223" s="1319"/>
      <c r="AU223" s="1319"/>
      <c r="AV223" s="1319"/>
      <c r="AW223" s="1319"/>
      <c r="AX223" s="1319"/>
      <c r="AY223" s="1319"/>
      <c r="AZ223" s="1319"/>
      <c r="BA223" s="1319"/>
    </row>
    <row s="1656" customFormat="1" customHeight="1" ht="21.75">
      <c r="A224" s="1319"/>
      <c r="B224" s="447">
        <f>AND(org_declaration="Заявление организации",NOT(FIRST_TIME_REG=""))</f>
        <v>1</v>
      </c>
      <c r="C224" s="1319"/>
      <c r="D224" s="1319"/>
      <c r="E224" s="644">
        <v>22.5</v>
      </c>
      <c r="F224" s="103" cm="1" t="str">
        <f t="array" ref="F224:F224">F223</f>
        <v>1</v>
      </c>
      <c r="G224" s="1319"/>
      <c r="H224" s="1319"/>
      <c r="I224" s="1319"/>
      <c r="J224" s="1319"/>
      <c r="K224" s="1319"/>
      <c r="L224" s="1319"/>
      <c r="M224" s="1319"/>
      <c r="N224" s="1319"/>
      <c r="O224" s="1319"/>
      <c r="P224" s="1319"/>
      <c r="Q224" s="1319"/>
      <c r="R224" s="1319"/>
      <c r="S224" s="1319"/>
      <c r="T224" s="1319"/>
      <c r="U224" s="1319"/>
      <c r="V224" s="249"/>
      <c r="W224" s="504">
        <f>AND(W223,AE223&lt;&gt;"Метод экономически обоснованных расходов",AE223&lt;&gt;"Метод сравнения аналогов")</f>
        <v>1</v>
      </c>
      <c r="X224" s="1319"/>
      <c r="Y224" s="1319"/>
      <c r="Z224" s="1469"/>
      <c r="AA224" s="1487"/>
      <c r="AB224" s="1483"/>
      <c r="AC224" s="1484"/>
      <c r="AD224" s="95" t="str">
        <f>IF(OR(AE223="экономически обоснованных расходов (затрат)",AE223="сравнения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224" s="460">
        <v>2024</v>
      </c>
      <c r="AF224" s="1470"/>
      <c r="AG224" s="1319"/>
      <c r="AH224" s="1319"/>
      <c r="AI224" s="1319"/>
      <c r="AJ224" s="1319"/>
      <c r="AK224" s="1319"/>
      <c r="AL224" s="1319"/>
      <c r="AM224" s="1319"/>
      <c r="AN224" s="1319"/>
      <c r="AO224" s="1319"/>
      <c r="AP224" s="1319"/>
      <c r="AQ224" s="1319"/>
      <c r="AR224" s="1319"/>
      <c r="AS224" s="1319"/>
      <c r="AT224" s="1319"/>
      <c r="AU224" s="1319"/>
      <c r="AV224" s="1319"/>
      <c r="AW224" s="1319"/>
      <c r="AX224" s="1319"/>
      <c r="AY224" s="1319"/>
      <c r="AZ224" s="1319"/>
      <c r="BA224" s="1319"/>
    </row>
    <row s="1656" customFormat="1" customHeight="1" ht="15.75">
      <c r="A225" s="1319"/>
      <c r="B225" s="447">
        <f>AND(org_declaration="Заявление организации",NOT(FIRST_TIME_REG=""))</f>
        <v>1</v>
      </c>
      <c r="C225" s="1319"/>
      <c r="D225" s="1319"/>
      <c r="E225" s="644">
        <v>16.5</v>
      </c>
      <c r="F225" s="103" cm="1" t="str">
        <f t="array" ref="F225:F225">F224</f>
        <v>1</v>
      </c>
      <c r="G225" s="1319"/>
      <c r="H225" s="1319"/>
      <c r="I225" s="1319"/>
      <c r="J225" s="1319"/>
      <c r="K225" s="1319"/>
      <c r="L225" s="1319"/>
      <c r="M225" s="1319"/>
      <c r="N225" s="1319"/>
      <c r="O225" s="1319"/>
      <c r="P225" s="1319"/>
      <c r="Q225" s="1319"/>
      <c r="R225" s="1319"/>
      <c r="S225" s="1319"/>
      <c r="T225" s="1319"/>
      <c r="U225" s="1319"/>
      <c r="V225" s="249"/>
      <c r="W225" s="504">
        <f>AND(W224,AE223&lt;&gt;"Метод экономически обоснованных расходов",AE223&lt;&gt;"Метод сравнения аналогов")</f>
        <v>1</v>
      </c>
      <c r="X225" s="1319"/>
      <c r="Y225" s="1319"/>
      <c r="Z225" s="1469"/>
      <c r="AA225" s="1487"/>
      <c r="AB225" s="1483"/>
      <c r="AC225" s="1484"/>
      <c r="AD225" s="399" t="s">
        <v>107</v>
      </c>
      <c r="AE225" s="460">
        <v>5</v>
      </c>
      <c r="AF225" s="1470"/>
      <c r="AG225" s="1319"/>
      <c r="AH225" s="1319"/>
      <c r="AI225" s="1319"/>
      <c r="AJ225" s="1319"/>
      <c r="AK225" s="1319"/>
      <c r="AL225" s="1319"/>
      <c r="AM225" s="1319"/>
      <c r="AN225" s="1319"/>
      <c r="AO225" s="1319"/>
      <c r="AP225" s="1319"/>
      <c r="AQ225" s="1319"/>
      <c r="AR225" s="1319"/>
      <c r="AS225" s="1319"/>
      <c r="AT225" s="1319"/>
      <c r="AU225" s="1319"/>
      <c r="AV225" s="1319"/>
      <c r="AW225" s="1319"/>
      <c r="AX225" s="1319"/>
      <c r="AY225" s="1319"/>
      <c r="AZ225" s="1319"/>
      <c r="BA225" s="1319"/>
    </row>
    <row s="1656" customFormat="1" customHeight="1" ht="18">
      <c r="A226" s="1319"/>
      <c r="B226" s="103">
        <f>NOT(FIRST_TIME_REG="")</f>
        <v>1</v>
      </c>
      <c r="C226" s="1319"/>
      <c r="D226" s="1319"/>
      <c r="E226" s="644">
        <v>18.75</v>
      </c>
      <c r="F226" s="103" cm="1" t="str">
        <f t="array" ref="F226:F226">Z226</f>
        <v>2</v>
      </c>
      <c r="G226" s="1319"/>
      <c r="H226" s="1319"/>
      <c r="I226" s="1319"/>
      <c r="J226" s="1319"/>
      <c r="K226" s="1319"/>
      <c r="L226" s="1319"/>
      <c r="M226" s="1319"/>
      <c r="N226" s="1319"/>
      <c r="O226" s="1319"/>
      <c r="P226" s="1319"/>
      <c r="Q226" s="1319"/>
      <c r="R226" s="1319"/>
      <c r="S226" s="1319"/>
      <c r="T226" s="1319"/>
      <c r="U226" s="1319"/>
      <c r="V226" s="249" cm="1" t="str">
        <f t="array" ref="V226:V226">AE227</f>
        <v>ВО.42.26322895.0024</v>
      </c>
      <c r="W226" s="504">
        <f>Z226&gt;0</f>
        <v>1</v>
      </c>
      <c r="X226" s="103"/>
      <c r="Y226" s="1319"/>
      <c r="Z226" s="1469" t="s">
        <v>299</v>
      </c>
      <c r="AA226" s="1487"/>
      <c r="AB226" s="1483"/>
      <c r="AC226" s="1484"/>
      <c r="AD226" s="397" t="str">
        <f>"Тариф "&amp;Z226</f>
        <v>Тариф 2</v>
      </c>
      <c r="AE226" s="398" t="s">
        <v>300</v>
      </c>
      <c r="AF226" s="1470" t="s">
        <v>174</v>
      </c>
      <c r="AG226" s="103" t="str">
        <f>AD226&amp;" ("&amp;AE226&amp;") - "&amp;AE228&amp;IF(AE232="",""," ("&amp;AE232&amp;")")</f>
        <v>Тариф 2 (Водоотведение) - тариф на водоотведение (Оказание услуг на территории: город Ленинск-Кузнецкий (ОКТМО: 32719000) - г Ленинск-Кузнецкий)</v>
      </c>
      <c r="AH226" s="103" cm="1" t="str">
        <f t="array" ref="AH226:AH226">AE231</f>
        <v>без дифференциации</v>
      </c>
      <c r="AI226" s="249" cm="1" t="str">
        <f t="array" ref="AI226:AI226">AE228</f>
        <v>тариф на водоотведение</v>
      </c>
      <c r="AJ226" s="103" cm="1" t="str">
        <f t="array" ref="AJ226:AJ226">AE232</f>
        <v>Оказание услуг на территории: город Ленинск-Кузнецкий (ОКТМО: 32719000) - г Ленинск-Кузнецкий</v>
      </c>
      <c r="AK226" s="103" cm="1" t="str">
        <f t="array" ref="AK226:AK226">AE229</f>
        <v>одноставочный</v>
      </c>
      <c r="AL226" s="916" cm="1" t="str">
        <f t="array" ref="AL226:AL226">AE236</f>
        <v>46023</v>
      </c>
      <c r="AM226" s="501" cm="1" t="str">
        <f t="array" ref="AM226:AM226">AE237</f>
        <v>Метод индексации</v>
      </c>
      <c r="AN226" s="103">
        <f>IF(ISERR(SEARCH("трансп",AI226)),FALSE,TRUE)</f>
        <v>0</v>
      </c>
      <c r="AO226" s="1319"/>
      <c r="AP226" s="1319"/>
      <c r="AQ226" s="1319"/>
      <c r="AR226" s="1319"/>
      <c r="AS226" s="1319"/>
      <c r="AT226" s="1319"/>
      <c r="AU226" s="1319"/>
      <c r="AV226" s="1319"/>
      <c r="AW226" s="1319"/>
      <c r="AX226" s="1319"/>
      <c r="AY226" s="1319"/>
      <c r="AZ226" s="1319"/>
      <c r="BA226" s="1319"/>
    </row>
    <row s="1656" customFormat="1" customHeight="1" ht="15.75">
      <c r="A227" s="1319"/>
      <c r="B227" s="103">
        <f>NOT(FIRST_TIME_REG="")</f>
        <v>1</v>
      </c>
      <c r="C227" s="1319"/>
      <c r="D227" s="1319"/>
      <c r="E227" s="644">
        <v>16.5</v>
      </c>
      <c r="F227" s="103" cm="1" t="str">
        <f t="array" ref="F227:F227">F226</f>
        <v>2</v>
      </c>
      <c r="G227" s="1319"/>
      <c r="H227" s="1319"/>
      <c r="I227" s="1319"/>
      <c r="J227" s="1319"/>
      <c r="K227" s="1319"/>
      <c r="L227" s="1319"/>
      <c r="M227" s="1319"/>
      <c r="N227" s="1319"/>
      <c r="O227" s="1319"/>
      <c r="P227" s="1319"/>
      <c r="Q227" s="1319"/>
      <c r="R227" s="1319"/>
      <c r="S227" s="1319"/>
      <c r="T227" s="1319"/>
      <c r="U227" s="1319"/>
      <c r="V227" s="249"/>
      <c r="W227" s="504" cm="1" t="str">
        <f t="array" ref="W227:W227">W226</f>
        <v>true</v>
      </c>
      <c r="X227" s="1319"/>
      <c r="Y227" s="1319"/>
      <c r="Z227" s="1469"/>
      <c r="AA227" s="1487"/>
      <c r="AB227" s="1483"/>
      <c r="AC227" s="1484"/>
      <c r="AD227" s="399" t="s">
        <v>280</v>
      </c>
      <c r="AE227" s="390" t="s">
        <v>301</v>
      </c>
      <c r="AF227" s="1470"/>
      <c r="AG227" s="1319"/>
      <c r="AH227" s="1319">
        <v>8362886418</v>
      </c>
      <c r="AI227" s="1319"/>
      <c r="AJ227" s="1319"/>
      <c r="AK227" s="1319"/>
      <c r="AL227" s="1319"/>
      <c r="AM227" s="1319"/>
      <c r="AN227" s="1319"/>
      <c r="AO227" s="1319"/>
      <c r="AP227" s="1319"/>
      <c r="AQ227" s="1319"/>
      <c r="AR227" s="1319"/>
      <c r="AS227" s="1319"/>
      <c r="AT227" s="1319"/>
      <c r="AU227" s="1319"/>
      <c r="AV227" s="1319"/>
      <c r="AW227" s="1319"/>
      <c r="AX227" s="1319"/>
      <c r="AY227" s="1319"/>
      <c r="AZ227" s="1319"/>
      <c r="BA227" s="1319"/>
    </row>
    <row s="1656" customFormat="1" customHeight="1" ht="15.75">
      <c r="A228" s="1319"/>
      <c r="B228" s="103">
        <f>NOT(FIRST_TIME_REG="")</f>
        <v>1</v>
      </c>
      <c r="C228" s="1319"/>
      <c r="D228" s="1319"/>
      <c r="E228" s="644">
        <v>16.5</v>
      </c>
      <c r="F228" s="103" cm="1" t="str">
        <f t="array" ref="F228:F228">F227</f>
        <v>2</v>
      </c>
      <c r="G228" s="1319"/>
      <c r="H228" s="1319"/>
      <c r="I228" s="1319"/>
      <c r="J228" s="1319"/>
      <c r="K228" s="1319"/>
      <c r="L228" s="1319"/>
      <c r="M228" s="1319"/>
      <c r="N228" s="1319"/>
      <c r="O228" s="1319"/>
      <c r="P228" s="1319"/>
      <c r="Q228" s="1319"/>
      <c r="R228" s="1319"/>
      <c r="S228" s="1319"/>
      <c r="T228" s="1319"/>
      <c r="U228" s="1319"/>
      <c r="V228" s="249"/>
      <c r="W228" s="504" cm="1" t="str">
        <f t="array" ref="W228:W228">W227</f>
        <v>true</v>
      </c>
      <c r="X228" s="1319"/>
      <c r="Y228" s="1319"/>
      <c r="Z228" s="1469"/>
      <c r="AA228" s="1487"/>
      <c r="AB228" s="1483"/>
      <c r="AC228" s="1484"/>
      <c r="AD228" s="399" t="s">
        <v>281</v>
      </c>
      <c r="AE228" s="392" t="s">
        <v>302</v>
      </c>
      <c r="AF228" s="1470"/>
      <c r="AG228" s="1319"/>
      <c r="AH228" s="1319"/>
      <c r="AI228" s="1319"/>
      <c r="AJ228" s="1319"/>
      <c r="AK228" s="1319"/>
      <c r="AL228" s="1319"/>
      <c r="AM228" s="1319"/>
      <c r="AN228" s="1319"/>
      <c r="AO228" s="1319"/>
      <c r="AP228" s="1319"/>
      <c r="AQ228" s="1319"/>
      <c r="AR228" s="1319"/>
      <c r="AS228" s="1319"/>
      <c r="AT228" s="1319"/>
      <c r="AU228" s="1319"/>
      <c r="AV228" s="1319"/>
      <c r="AW228" s="1319"/>
      <c r="AX228" s="1319"/>
      <c r="AY228" s="1319"/>
      <c r="AZ228" s="1319"/>
      <c r="BA228" s="1319"/>
    </row>
    <row s="1656" customFormat="1" customHeight="1" ht="15.75">
      <c r="A229" s="1319"/>
      <c r="B229" s="103">
        <f>NOT(FIRST_TIME_REG="")</f>
        <v>1</v>
      </c>
      <c r="C229" s="1319"/>
      <c r="D229" s="1319"/>
      <c r="E229" s="644">
        <v>16.5</v>
      </c>
      <c r="F229" s="103" cm="1" t="str">
        <f t="array" ref="F229:F229">F228</f>
        <v>2</v>
      </c>
      <c r="G229" s="1319"/>
      <c r="H229" s="1319"/>
      <c r="I229" s="1319"/>
      <c r="J229" s="1319"/>
      <c r="K229" s="1319"/>
      <c r="L229" s="1319"/>
      <c r="M229" s="1319"/>
      <c r="N229" s="1319"/>
      <c r="O229" s="1319"/>
      <c r="P229" s="1319"/>
      <c r="Q229" s="1319"/>
      <c r="R229" s="1319"/>
      <c r="S229" s="1319"/>
      <c r="T229" s="1319"/>
      <c r="U229" s="1319"/>
      <c r="V229" s="249"/>
      <c r="W229" s="504" cm="1" t="str">
        <f t="array" ref="W229:W229">W228</f>
        <v>true</v>
      </c>
      <c r="X229" s="1319"/>
      <c r="Y229" s="1319"/>
      <c r="Z229" s="1469"/>
      <c r="AA229" s="1487"/>
      <c r="AB229" s="1483"/>
      <c r="AC229" s="1484"/>
      <c r="AD229" s="399" t="s">
        <v>282</v>
      </c>
      <c r="AE229" s="392" t="s">
        <v>294</v>
      </c>
      <c r="AF229" s="1470"/>
      <c r="AG229" s="1319"/>
      <c r="AH229" s="1319"/>
      <c r="AI229" s="1319"/>
      <c r="AJ229" s="1319"/>
      <c r="AK229" s="1319"/>
      <c r="AL229" s="1319"/>
      <c r="AM229" s="1319"/>
      <c r="AN229" s="1319"/>
      <c r="AO229" s="1319"/>
      <c r="AP229" s="1319"/>
      <c r="AQ229" s="1319"/>
      <c r="AR229" s="1319"/>
      <c r="AS229" s="1319"/>
      <c r="AT229" s="1319"/>
      <c r="AU229" s="1319"/>
      <c r="AV229" s="1319"/>
      <c r="AW229" s="1319"/>
      <c r="AX229" s="1319"/>
      <c r="AY229" s="1319"/>
      <c r="AZ229" s="1319"/>
      <c r="BA229" s="1319"/>
    </row>
    <row s="1656" customFormat="1" customHeight="1" ht="17.671875">
      <c r="A230" s="1319"/>
      <c r="B230" s="103">
        <f>NOT(FIRST_TIME_REG="")</f>
        <v>1</v>
      </c>
      <c r="C230" s="1319"/>
      <c r="D230" s="1319"/>
      <c r="E230" s="644">
        <v>16.5</v>
      </c>
      <c r="F230" s="103" cm="1" t="str">
        <f t="array" ref="F230:F230">F229</f>
        <v>2</v>
      </c>
      <c r="G230" s="1319"/>
      <c r="H230" s="1319"/>
      <c r="I230" s="1319"/>
      <c r="J230" s="1319"/>
      <c r="K230" s="1319"/>
      <c r="L230" s="1319"/>
      <c r="M230" s="1319"/>
      <c r="N230" s="1319"/>
      <c r="O230" s="1319"/>
      <c r="P230" s="1319"/>
      <c r="Q230" s="1319"/>
      <c r="R230" s="1319"/>
      <c r="S230" s="1319"/>
      <c r="T230" s="1319"/>
      <c r="U230" s="1319"/>
      <c r="V230" s="249"/>
      <c r="W230" s="504" cm="1" t="str">
        <f t="array" ref="W230:W230">W229</f>
        <v>true</v>
      </c>
      <c r="X230" s="1319"/>
      <c r="Y230" s="1319"/>
      <c r="Z230" s="1469"/>
      <c r="AA230" s="1487"/>
      <c r="AB230" s="1483"/>
      <c r="AC230" s="1484"/>
      <c r="AD230" s="399" t="s">
        <v>283</v>
      </c>
      <c r="AE230" s="761" t="s">
        <v>303</v>
      </c>
      <c r="AF230" s="1470"/>
      <c r="AG230" s="1319"/>
      <c r="AH230" s="1319"/>
      <c r="AI230" s="1319"/>
      <c r="AJ230" s="1319"/>
      <c r="AK230" s="1319"/>
      <c r="AL230" s="1319"/>
      <c r="AM230" s="1319"/>
      <c r="AN230" s="1319"/>
      <c r="AO230" s="1319"/>
      <c r="AP230" s="1319"/>
      <c r="AQ230" s="1319"/>
      <c r="AR230" s="1319"/>
      <c r="AS230" s="1319"/>
      <c r="AT230" s="1319"/>
      <c r="AU230" s="1319"/>
      <c r="AV230" s="1319"/>
      <c r="AW230" s="1319"/>
      <c r="AX230" s="1319"/>
      <c r="AY230" s="1319"/>
      <c r="AZ230" s="1319"/>
      <c r="BA230" s="1319"/>
    </row>
    <row s="1656" customFormat="1" customHeight="1" ht="20.671875">
      <c r="A231" s="1319"/>
      <c r="B231" s="103">
        <f>NOT(FIRST_TIME_REG="")</f>
        <v>1</v>
      </c>
      <c r="C231" s="1319"/>
      <c r="D231" s="1319"/>
      <c r="E231" s="644">
        <v>16.5</v>
      </c>
      <c r="F231" s="103" cm="1" t="str">
        <f t="array" ref="F231:F231">F230</f>
        <v>2</v>
      </c>
      <c r="G231" s="1319"/>
      <c r="H231" s="1319"/>
      <c r="I231" s="1319"/>
      <c r="J231" s="1319"/>
      <c r="K231" s="1319"/>
      <c r="L231" s="1319"/>
      <c r="M231" s="1319"/>
      <c r="N231" s="1319"/>
      <c r="O231" s="1319"/>
      <c r="P231" s="1319"/>
      <c r="Q231" s="1319"/>
      <c r="R231" s="1319"/>
      <c r="S231" s="1319"/>
      <c r="T231" s="1319"/>
      <c r="U231" s="1319"/>
      <c r="V231" s="249"/>
      <c r="W231" s="504" cm="1" t="str">
        <f t="array" ref="W231:W231">W230</f>
        <v>true</v>
      </c>
      <c r="X231" s="1319"/>
      <c r="Y231" s="1319"/>
      <c r="Z231" s="1469"/>
      <c r="AA231" s="1487"/>
      <c r="AB231" s="1483"/>
      <c r="AC231" s="1484"/>
      <c r="AD231" s="95" t="str">
        <f>IF(AE226="Водоотведение","Вид сточных вод","Вид воды")</f>
        <v>Вид сточных вод</v>
      </c>
      <c r="AE231" s="392" t="s">
        <v>304</v>
      </c>
      <c r="AF231" s="1470"/>
      <c r="AG231" s="1319"/>
      <c r="AH231" s="1319"/>
      <c r="AI231" s="1319"/>
      <c r="AJ231" s="1319"/>
      <c r="AK231" s="1319"/>
      <c r="AL231" s="1319"/>
      <c r="AM231" s="1319"/>
      <c r="AN231" s="1319"/>
      <c r="AO231" s="1319"/>
      <c r="AP231" s="1319"/>
      <c r="AQ231" s="1319"/>
      <c r="AR231" s="1319"/>
      <c r="AS231" s="1319"/>
      <c r="AT231" s="1319"/>
      <c r="AU231" s="1319"/>
      <c r="AV231" s="1319"/>
      <c r="AW231" s="1319"/>
      <c r="AX231" s="1319"/>
      <c r="AY231" s="1319"/>
      <c r="AZ231" s="1319"/>
      <c r="BA231" s="1319"/>
    </row>
    <row s="1656" customFormat="1" customHeight="1" ht="23.25">
      <c r="A232" s="1319"/>
      <c r="B232" s="103">
        <f>NOT(FIRST_TIME_REG="")</f>
        <v>1</v>
      </c>
      <c r="C232" s="1319"/>
      <c r="D232" s="1319"/>
      <c r="E232" s="644">
        <v>16.5</v>
      </c>
      <c r="F232" s="103" cm="1" t="str">
        <f t="array" ref="F232:F232">F231</f>
        <v>2</v>
      </c>
      <c r="G232" s="1319"/>
      <c r="H232" s="1319"/>
      <c r="I232" s="1319"/>
      <c r="J232" s="1319"/>
      <c r="K232" s="1319"/>
      <c r="L232" s="1319"/>
      <c r="M232" s="1319"/>
      <c r="N232" s="1319"/>
      <c r="O232" s="1319"/>
      <c r="P232" s="1319"/>
      <c r="Q232" s="1319"/>
      <c r="R232" s="1319"/>
      <c r="S232" s="1319"/>
      <c r="T232" s="1319"/>
      <c r="U232" s="1319"/>
      <c r="V232" s="249"/>
      <c r="W232" s="504" cm="1" t="str">
        <f t="array" ref="W232:W232">W231</f>
        <v>true</v>
      </c>
      <c r="X232" s="1319"/>
      <c r="Y232" s="1319"/>
      <c r="Z232" s="1469"/>
      <c r="AA232" s="1487"/>
      <c r="AB232" s="1483"/>
      <c r="AC232" s="1484"/>
      <c r="AD232" s="95" t="s">
        <v>284</v>
      </c>
      <c r="AE232" s="761" t="s">
        <v>305</v>
      </c>
      <c r="AF232" s="1470"/>
      <c r="AG232" s="1319"/>
      <c r="AH232" s="1319"/>
      <c r="AI232" s="1319"/>
      <c r="AJ232" s="1319"/>
      <c r="AK232" s="1319"/>
      <c r="AL232" s="1319"/>
      <c r="AM232" s="1319"/>
      <c r="AN232" s="1319"/>
      <c r="AO232" s="1319"/>
      <c r="AP232" s="1319"/>
      <c r="AQ232" s="1319"/>
      <c r="AR232" s="1319"/>
      <c r="AS232" s="1319"/>
      <c r="AT232" s="1319"/>
      <c r="AU232" s="1319"/>
      <c r="AV232" s="1319"/>
      <c r="AW232" s="1319"/>
      <c r="AX232" s="1319"/>
      <c r="AY232" s="1319"/>
      <c r="AZ232" s="1319"/>
      <c r="BA232" s="1319"/>
    </row>
    <row s="1656" customFormat="1" customHeight="1" ht="15.75">
      <c r="A233" s="1319"/>
      <c r="B233" s="447">
        <f>AND(org_declaration="Заявление организации",NOT(FIRST_TIME_REG=""))</f>
        <v>1</v>
      </c>
      <c r="C233" s="1319"/>
      <c r="D233" s="1319"/>
      <c r="E233" s="644">
        <v>16.5</v>
      </c>
      <c r="F233" s="103" cm="1" t="str">
        <f t="array" ref="F233:F233">F232</f>
        <v>2</v>
      </c>
      <c r="G233" s="1319"/>
      <c r="H233" s="1319"/>
      <c r="I233" s="1319"/>
      <c r="J233" s="1319"/>
      <c r="K233" s="1319"/>
      <c r="L233" s="1319"/>
      <c r="M233" s="1319"/>
      <c r="N233" s="1319"/>
      <c r="O233" s="1319"/>
      <c r="P233" s="1319"/>
      <c r="Q233" s="1319"/>
      <c r="R233" s="1319"/>
      <c r="S233" s="1319"/>
      <c r="T233" s="1319"/>
      <c r="U233" s="1319"/>
      <c r="V233" s="249"/>
      <c r="W233" s="504" cm="1" t="str">
        <f t="array" ref="W233:W233">W232</f>
        <v>true</v>
      </c>
      <c r="X233" s="1319"/>
      <c r="Y233" s="1319"/>
      <c r="Z233" s="1469"/>
      <c r="AA233" s="1487"/>
      <c r="AB233" s="1483"/>
      <c r="AC233" s="1484"/>
      <c r="AD233" s="399" t="s">
        <v>285</v>
      </c>
      <c r="AE233" s="400">
        <v>2498</v>
      </c>
      <c r="AF233" s="1470"/>
      <c r="AG233" s="1319"/>
      <c r="AH233" s="1319"/>
      <c r="AI233" s="1319"/>
      <c r="AJ233" s="1319"/>
      <c r="AK233" s="1319"/>
      <c r="AL233" s="1319"/>
      <c r="AM233" s="1319"/>
      <c r="AN233" s="1319"/>
      <c r="AO233" s="1319"/>
      <c r="AP233" s="1319"/>
      <c r="AQ233" s="1319"/>
      <c r="AR233" s="1319"/>
      <c r="AS233" s="1319"/>
      <c r="AT233" s="1319"/>
      <c r="AU233" s="1319"/>
      <c r="AV233" s="1319"/>
      <c r="AW233" s="1319"/>
      <c r="AX233" s="1319"/>
      <c r="AY233" s="1319"/>
      <c r="AZ233" s="1319"/>
      <c r="BA233" s="1319"/>
    </row>
    <row s="1656" customFormat="1" customHeight="1" ht="15.75">
      <c r="A234" s="1319"/>
      <c r="B234" s="447">
        <f>AND(org_declaration="Заявление организации",NOT(FIRST_TIME_REG=""))</f>
        <v>1</v>
      </c>
      <c r="C234" s="1319"/>
      <c r="D234" s="1319"/>
      <c r="E234" s="644">
        <v>16.5</v>
      </c>
      <c r="F234" s="103" cm="1" t="str">
        <f t="array" ref="F234:F234">F233</f>
        <v>2</v>
      </c>
      <c r="G234" s="1319"/>
      <c r="H234" s="1319"/>
      <c r="I234" s="1319"/>
      <c r="J234" s="1319"/>
      <c r="K234" s="1319"/>
      <c r="L234" s="1319"/>
      <c r="M234" s="1319"/>
      <c r="N234" s="1319"/>
      <c r="O234" s="1319"/>
      <c r="P234" s="1319"/>
      <c r="Q234" s="1319"/>
      <c r="R234" s="1319"/>
      <c r="S234" s="1319"/>
      <c r="T234" s="1319"/>
      <c r="U234" s="1319"/>
      <c r="V234" s="249"/>
      <c r="W234" s="504" cm="1" t="str">
        <f t="array" ref="W234:W234">W233</f>
        <v>true</v>
      </c>
      <c r="X234" s="1319"/>
      <c r="Y234" s="1319"/>
      <c r="Z234" s="1469"/>
      <c r="AA234" s="1487"/>
      <c r="AB234" s="1483"/>
      <c r="AC234" s="1484"/>
      <c r="AD234" s="399" t="s">
        <v>286</v>
      </c>
      <c r="AE234" s="1086">
        <v>45775</v>
      </c>
      <c r="AF234" s="1470"/>
      <c r="AG234" s="1319"/>
      <c r="AH234" s="1319"/>
      <c r="AI234" s="1319"/>
      <c r="AJ234" s="1319"/>
      <c r="AK234" s="1319"/>
      <c r="AL234" s="1319"/>
      <c r="AM234" s="1319"/>
      <c r="AN234" s="1319"/>
      <c r="AO234" s="1319"/>
      <c r="AP234" s="1319"/>
      <c r="AQ234" s="1319"/>
      <c r="AR234" s="1319"/>
      <c r="AS234" s="1319"/>
      <c r="AT234" s="1319"/>
      <c r="AU234" s="1319"/>
      <c r="AV234" s="1319"/>
      <c r="AW234" s="1319"/>
      <c r="AX234" s="1319"/>
      <c r="AY234" s="1319"/>
      <c r="AZ234" s="1319"/>
      <c r="BA234" s="1319"/>
    </row>
    <row s="1656" customFormat="1" customHeight="1" ht="34.171875">
      <c r="A235" s="1319"/>
      <c r="B235" s="447">
        <f>NOT(FIRST_TIME_REG="")</f>
        <v>1</v>
      </c>
      <c r="C235" s="1319"/>
      <c r="D235" s="1319"/>
      <c r="E235" s="644">
        <v>16.5</v>
      </c>
      <c r="F235" s="103" cm="1" t="str">
        <f t="array" ref="F235:F235">F234</f>
        <v>2</v>
      </c>
      <c r="G235" s="1319"/>
      <c r="H235" s="1319"/>
      <c r="I235" s="1319"/>
      <c r="J235" s="1319"/>
      <c r="K235" s="1319"/>
      <c r="L235" s="1319"/>
      <c r="M235" s="1319"/>
      <c r="N235" s="1319"/>
      <c r="O235" s="1319"/>
      <c r="P235" s="1319"/>
      <c r="Q235" s="1319"/>
      <c r="R235" s="1319"/>
      <c r="S235" s="1319"/>
      <c r="T235" s="1319"/>
      <c r="U235" s="1319"/>
      <c r="V235" s="249"/>
      <c r="W235" s="504" cm="1" t="str">
        <f t="array" ref="W235:W235">W234</f>
        <v>true</v>
      </c>
      <c r="X235" s="1319"/>
      <c r="Y235" s="1319"/>
      <c r="Z235" s="1469"/>
      <c r="AA235" s="1487"/>
      <c r="AB235" s="1483"/>
      <c r="AC235" s="1484"/>
      <c r="AD235" s="399" t="s">
        <v>287</v>
      </c>
      <c r="AE235" s="401" t="s">
        <v>306</v>
      </c>
      <c r="AF235" s="1470"/>
      <c r="AG235" s="1319"/>
      <c r="AH235" s="1319"/>
      <c r="AI235" s="1319"/>
      <c r="AJ235" s="1319"/>
      <c r="AK235" s="1319"/>
      <c r="AL235" s="1319"/>
      <c r="AM235" s="1319"/>
      <c r="AN235" s="1319"/>
      <c r="AO235" s="1319"/>
      <c r="AP235" s="1319"/>
      <c r="AQ235" s="1319"/>
      <c r="AR235" s="1319"/>
      <c r="AS235" s="1319"/>
      <c r="AT235" s="1319"/>
      <c r="AU235" s="1319"/>
      <c r="AV235" s="1319"/>
      <c r="AW235" s="1319"/>
      <c r="AX235" s="1319"/>
      <c r="AY235" s="1319"/>
      <c r="AZ235" s="1319"/>
      <c r="BA235" s="1319"/>
    </row>
    <row s="1656" customFormat="1" customHeight="1" ht="15.75">
      <c r="A236" s="1319"/>
      <c r="B236" s="447">
        <f>AND(org_declaration="Заявление организации",NOT(FIRST_TIME_REG=""))</f>
        <v>1</v>
      </c>
      <c r="C236" s="1319"/>
      <c r="D236" s="1319"/>
      <c r="E236" s="644">
        <v>16.5</v>
      </c>
      <c r="F236" s="103" cm="1" t="str">
        <f t="array" ref="F236:F236">F235</f>
        <v>2</v>
      </c>
      <c r="G236" s="1319"/>
      <c r="H236" s="1319"/>
      <c r="I236" s="1319"/>
      <c r="J236" s="1319"/>
      <c r="K236" s="1319"/>
      <c r="L236" s="1319"/>
      <c r="M236" s="1319"/>
      <c r="N236" s="1319"/>
      <c r="O236" s="1319"/>
      <c r="P236" s="1319"/>
      <c r="Q236" s="1319"/>
      <c r="R236" s="1319"/>
      <c r="S236" s="1319"/>
      <c r="T236" s="1319"/>
      <c r="U236" s="1319"/>
      <c r="V236" s="249"/>
      <c r="W236" s="504" cm="1" t="str">
        <f t="array" ref="W236:W236">W235</f>
        <v>true</v>
      </c>
      <c r="X236" s="1319"/>
      <c r="Y236" s="1319"/>
      <c r="Z236" s="1469"/>
      <c r="AA236" s="1487"/>
      <c r="AB236" s="1483"/>
      <c r="AC236" s="1484"/>
      <c r="AD236" s="399" t="s">
        <v>288</v>
      </c>
      <c r="AE236" s="948" t="str">
        <f>IF(ISBLANK(god),"",DATE(god,1,1))</f>
        <v>46023</v>
      </c>
      <c r="AF236" s="1470"/>
      <c r="AG236" s="1319"/>
      <c r="AH236" s="1319"/>
      <c r="AI236" s="1319"/>
      <c r="AJ236" s="1319"/>
      <c r="AK236" s="1319"/>
      <c r="AL236" s="1319"/>
      <c r="AM236" s="1319"/>
      <c r="AN236" s="1319"/>
      <c r="AO236" s="1319"/>
      <c r="AP236" s="1319"/>
      <c r="AQ236" s="1319"/>
      <c r="AR236" s="1319"/>
      <c r="AS236" s="1319"/>
      <c r="AT236" s="1319"/>
      <c r="AU236" s="1319"/>
      <c r="AV236" s="1319"/>
      <c r="AW236" s="1319"/>
      <c r="AX236" s="1319"/>
      <c r="AY236" s="1319"/>
      <c r="AZ236" s="1319"/>
      <c r="BA236" s="1319"/>
    </row>
    <row s="1656" customFormat="1" customHeight="1" ht="15.75">
      <c r="A237" s="1319"/>
      <c r="B237" s="447">
        <f>AND(org_declaration="Заявление организации",NOT(FIRST_TIME_REG=""))</f>
        <v>1</v>
      </c>
      <c r="C237" s="1319"/>
      <c r="D237" s="1319"/>
      <c r="E237" s="644">
        <v>16.5</v>
      </c>
      <c r="F237" s="103" cm="1" t="str">
        <f t="array" ref="F237:F237">F236</f>
        <v>2</v>
      </c>
      <c r="G237" s="1319"/>
      <c r="H237" s="1319"/>
      <c r="I237" s="1319"/>
      <c r="J237" s="1319"/>
      <c r="K237" s="1319"/>
      <c r="L237" s="1319"/>
      <c r="M237" s="1319"/>
      <c r="N237" s="1319"/>
      <c r="O237" s="1319"/>
      <c r="P237" s="1319"/>
      <c r="Q237" s="1319"/>
      <c r="R237" s="1319"/>
      <c r="S237" s="1319"/>
      <c r="T237" s="1319"/>
      <c r="U237" s="1319"/>
      <c r="V237" s="249"/>
      <c r="W237" s="504" cm="1" t="str">
        <f t="array" ref="W237:W237">W236</f>
        <v>true</v>
      </c>
      <c r="X237" s="1319"/>
      <c r="Y237" s="1319"/>
      <c r="Z237" s="1469"/>
      <c r="AA237" s="1487"/>
      <c r="AB237" s="1483"/>
      <c r="AC237" s="1484"/>
      <c r="AD237" s="399" t="s">
        <v>289</v>
      </c>
      <c r="AE237" s="459" t="s">
        <v>104</v>
      </c>
      <c r="AF237" s="1470"/>
      <c r="AG237" s="1319"/>
      <c r="AH237" s="1319"/>
      <c r="AI237" s="1319"/>
      <c r="AJ237" s="1319"/>
      <c r="AK237" s="1319"/>
      <c r="AL237" s="1319"/>
      <c r="AM237" s="1319"/>
      <c r="AN237" s="1319"/>
      <c r="AO237" s="1319"/>
      <c r="AP237" s="1319"/>
      <c r="AQ237" s="1319"/>
      <c r="AR237" s="1319"/>
      <c r="AS237" s="1319"/>
      <c r="AT237" s="1319"/>
      <c r="AU237" s="1319"/>
      <c r="AV237" s="1319"/>
      <c r="AW237" s="1319"/>
      <c r="AX237" s="1319"/>
      <c r="AY237" s="1319"/>
      <c r="AZ237" s="1319"/>
      <c r="BA237" s="1319"/>
    </row>
    <row s="1656" customFormat="1" customHeight="1" ht="21.75">
      <c r="A238" s="1319"/>
      <c r="B238" s="447">
        <f>AND(org_declaration="Заявление организации",NOT(FIRST_TIME_REG=""))</f>
        <v>1</v>
      </c>
      <c r="C238" s="1319"/>
      <c r="D238" s="1319"/>
      <c r="E238" s="644">
        <v>22.5</v>
      </c>
      <c r="F238" s="103" cm="1" t="str">
        <f t="array" ref="F238:F238">F237</f>
        <v>2</v>
      </c>
      <c r="G238" s="1319"/>
      <c r="H238" s="1319"/>
      <c r="I238" s="1319"/>
      <c r="J238" s="1319"/>
      <c r="K238" s="1319"/>
      <c r="L238" s="1319"/>
      <c r="M238" s="1319"/>
      <c r="N238" s="1319"/>
      <c r="O238" s="1319"/>
      <c r="P238" s="1319"/>
      <c r="Q238" s="1319"/>
      <c r="R238" s="1319"/>
      <c r="S238" s="1319"/>
      <c r="T238" s="1319"/>
      <c r="U238" s="1319"/>
      <c r="V238" s="249"/>
      <c r="W238" s="504">
        <f>AND(W237,AE237&lt;&gt;"Метод экономически обоснованных расходов",AE237&lt;&gt;"Метод сравнения аналогов")</f>
        <v>1</v>
      </c>
      <c r="X238" s="1319"/>
      <c r="Y238" s="1319"/>
      <c r="Z238" s="1469"/>
      <c r="AA238" s="1487"/>
      <c r="AB238" s="1483"/>
      <c r="AC238" s="1484"/>
      <c r="AD238" s="95" t="str">
        <f>IF(OR(AE237="экономически обоснованных расходов (затрат)",AE237="сравнения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238" s="460">
        <v>2024</v>
      </c>
      <c r="AF238" s="1470"/>
      <c r="AG238" s="1319"/>
      <c r="AH238" s="1319"/>
      <c r="AI238" s="1319"/>
      <c r="AJ238" s="1319"/>
      <c r="AK238" s="1319"/>
      <c r="AL238" s="1319"/>
      <c r="AM238" s="1319"/>
      <c r="AN238" s="1319"/>
      <c r="AO238" s="1319"/>
      <c r="AP238" s="1319"/>
      <c r="AQ238" s="1319"/>
      <c r="AR238" s="1319"/>
      <c r="AS238" s="1319"/>
      <c r="AT238" s="1319"/>
      <c r="AU238" s="1319"/>
      <c r="AV238" s="1319"/>
      <c r="AW238" s="1319"/>
      <c r="AX238" s="1319"/>
      <c r="AY238" s="1319"/>
      <c r="AZ238" s="1319"/>
      <c r="BA238" s="1319"/>
    </row>
    <row s="1656" customFormat="1" customHeight="1" ht="15.75">
      <c r="A239" s="1319"/>
      <c r="B239" s="447">
        <f>AND(org_declaration="Заявление организации",NOT(FIRST_TIME_REG=""))</f>
        <v>1</v>
      </c>
      <c r="C239" s="1319"/>
      <c r="D239" s="1319"/>
      <c r="E239" s="644">
        <v>16.5</v>
      </c>
      <c r="F239" s="103" cm="1" t="str">
        <f t="array" ref="F239:F239">F238</f>
        <v>2</v>
      </c>
      <c r="G239" s="1319"/>
      <c r="H239" s="1319"/>
      <c r="I239" s="1319"/>
      <c r="J239" s="1319"/>
      <c r="K239" s="1319"/>
      <c r="L239" s="1319"/>
      <c r="M239" s="1319"/>
      <c r="N239" s="1319"/>
      <c r="O239" s="1319"/>
      <c r="P239" s="1319"/>
      <c r="Q239" s="1319"/>
      <c r="R239" s="1319"/>
      <c r="S239" s="1319"/>
      <c r="T239" s="1319"/>
      <c r="U239" s="1319"/>
      <c r="V239" s="249"/>
      <c r="W239" s="504">
        <f>AND(W238,AE237&lt;&gt;"Метод экономически обоснованных расходов",AE237&lt;&gt;"Метод сравнения аналогов")</f>
        <v>1</v>
      </c>
      <c r="X239" s="1319"/>
      <c r="Y239" s="1319"/>
      <c r="Z239" s="1469"/>
      <c r="AA239" s="1487"/>
      <c r="AB239" s="1483"/>
      <c r="AC239" s="1484"/>
      <c r="AD239" s="399" t="s">
        <v>107</v>
      </c>
      <c r="AE239" s="460">
        <v>5</v>
      </c>
      <c r="AF239" s="1470"/>
      <c r="AG239" s="1319"/>
      <c r="AH239" s="1319"/>
      <c r="AI239" s="1319"/>
      <c r="AJ239" s="1319"/>
      <c r="AK239" s="1319"/>
      <c r="AL239" s="1319"/>
      <c r="AM239" s="1319"/>
      <c r="AN239" s="1319"/>
      <c r="AO239" s="1319"/>
      <c r="AP239" s="1319"/>
      <c r="AQ239" s="1319"/>
      <c r="AR239" s="1319"/>
      <c r="AS239" s="1319"/>
      <c r="AT239" s="1319"/>
      <c r="AU239" s="1319"/>
      <c r="AV239" s="1319"/>
      <c r="AW239" s="1319"/>
      <c r="AX239" s="1319"/>
      <c r="AY239" s="1319"/>
      <c r="AZ239" s="1319"/>
      <c r="BA239" s="1319"/>
    </row>
    <row s="1656" customFormat="1" customHeight="1" ht="18">
      <c r="A240" s="1319"/>
      <c r="B240" s="103">
        <f>NOT(FIRST_TIME_REG="")</f>
        <v>1</v>
      </c>
      <c r="C240" s="1319"/>
      <c r="D240" s="1319"/>
      <c r="E240" s="644">
        <v>18.75</v>
      </c>
      <c r="F240" s="103" cm="1" t="str">
        <f t="array" ref="F240:F240">Z240</f>
        <v>3</v>
      </c>
      <c r="G240" s="1319"/>
      <c r="H240" s="1319"/>
      <c r="I240" s="1319"/>
      <c r="J240" s="1319"/>
      <c r="K240" s="1319"/>
      <c r="L240" s="1319"/>
      <c r="M240" s="1319"/>
      <c r="N240" s="1319"/>
      <c r="O240" s="1319"/>
      <c r="P240" s="1319"/>
      <c r="Q240" s="1319"/>
      <c r="R240" s="1319"/>
      <c r="S240" s="1319"/>
      <c r="T240" s="1319"/>
      <c r="U240" s="1319"/>
      <c r="V240" s="249" cm="1" t="str">
        <f t="array" ref="V240:V240">AE241</f>
        <v>ВО.42.26322895.0025</v>
      </c>
      <c r="W240" s="504">
        <f>Z240&gt;0</f>
        <v>1</v>
      </c>
      <c r="X240" s="103"/>
      <c r="Y240" s="1319"/>
      <c r="Z240" s="1469" t="s">
        <v>234</v>
      </c>
      <c r="AA240" s="1487"/>
      <c r="AB240" s="1483"/>
      <c r="AC240" s="1484"/>
      <c r="AD240" s="397" t="str">
        <f>"Тариф "&amp;Z240</f>
        <v>Тариф 3</v>
      </c>
      <c r="AE240" s="398" t="s">
        <v>300</v>
      </c>
      <c r="AF240" s="1470" t="s">
        <v>174</v>
      </c>
      <c r="AG240" s="103" t="str">
        <f>AD240&amp;" ("&amp;AE240&amp;") - "&amp;AE242&amp;IF(AE246="",""," ("&amp;AE246&amp;")")</f>
        <v>Тариф 3 (Водоотведение) - тариф на водоотведение (Оказание услуг на территории: город Полысаево (ОКТМО: 32732000) - г Полысаево)</v>
      </c>
      <c r="AH240" s="103" cm="1" t="str">
        <f t="array" ref="AH240:AH240">AE245</f>
        <v>без дифференциации</v>
      </c>
      <c r="AI240" s="249" cm="1" t="str">
        <f t="array" ref="AI240:AI240">AE242</f>
        <v>тариф на водоотведение</v>
      </c>
      <c r="AJ240" s="103" cm="1" t="str">
        <f t="array" ref="AJ240:AJ240">AE246</f>
        <v>Оказание услуг на территории: город Полысаево (ОКТМО: 32732000) - г Полысаево</v>
      </c>
      <c r="AK240" s="103" cm="1" t="str">
        <f t="array" ref="AK240:AK240">AE243</f>
        <v>одноставочный</v>
      </c>
      <c r="AL240" s="916" cm="1" t="str">
        <f t="array" ref="AL240:AL240">AE250</f>
        <v>46023</v>
      </c>
      <c r="AM240" s="501" cm="1" t="str">
        <f t="array" ref="AM240:AM240">AE251</f>
        <v>Метод индексации</v>
      </c>
      <c r="AN240" s="103">
        <f>IF(ISERR(SEARCH("трансп",AI240)),FALSE,TRUE)</f>
        <v>0</v>
      </c>
      <c r="AO240" s="1319"/>
      <c r="AP240" s="1319"/>
      <c r="AQ240" s="1319"/>
      <c r="AR240" s="1319"/>
      <c r="AS240" s="1319"/>
      <c r="AT240" s="1319"/>
      <c r="AU240" s="1319"/>
      <c r="AV240" s="1319"/>
      <c r="AW240" s="1319"/>
      <c r="AX240" s="1319"/>
      <c r="AY240" s="1319"/>
      <c r="AZ240" s="1319"/>
      <c r="BA240" s="1319"/>
    </row>
    <row s="1656" customFormat="1" customHeight="1" ht="15.75">
      <c r="A241" s="1319"/>
      <c r="B241" s="103">
        <f>NOT(FIRST_TIME_REG="")</f>
        <v>1</v>
      </c>
      <c r="C241" s="1319"/>
      <c r="D241" s="1319"/>
      <c r="E241" s="644">
        <v>16.5</v>
      </c>
      <c r="F241" s="103" cm="1" t="str">
        <f t="array" ref="F241:F241">F240</f>
        <v>3</v>
      </c>
      <c r="G241" s="1319"/>
      <c r="H241" s="1319"/>
      <c r="I241" s="1319"/>
      <c r="J241" s="1319"/>
      <c r="K241" s="1319"/>
      <c r="L241" s="1319"/>
      <c r="M241" s="1319"/>
      <c r="N241" s="1319"/>
      <c r="O241" s="1319"/>
      <c r="P241" s="1319"/>
      <c r="Q241" s="1319"/>
      <c r="R241" s="1319"/>
      <c r="S241" s="1319"/>
      <c r="T241" s="1319"/>
      <c r="U241" s="1319"/>
      <c r="V241" s="249"/>
      <c r="W241" s="504" cm="1" t="str">
        <f t="array" ref="W241:W241">W240</f>
        <v>true</v>
      </c>
      <c r="X241" s="1319"/>
      <c r="Y241" s="1319"/>
      <c r="Z241" s="1469"/>
      <c r="AA241" s="1487"/>
      <c r="AB241" s="1483"/>
      <c r="AC241" s="1484"/>
      <c r="AD241" s="399" t="s">
        <v>280</v>
      </c>
      <c r="AE241" s="390" t="s">
        <v>307</v>
      </c>
      <c r="AF241" s="1470"/>
      <c r="AG241" s="1319"/>
      <c r="AH241" s="1319">
        <v>8362886418</v>
      </c>
      <c r="AI241" s="1319"/>
      <c r="AJ241" s="1319"/>
      <c r="AK241" s="1319"/>
      <c r="AL241" s="1319"/>
      <c r="AM241" s="1319"/>
      <c r="AN241" s="1319"/>
      <c r="AO241" s="1319"/>
      <c r="AP241" s="1319"/>
      <c r="AQ241" s="1319"/>
      <c r="AR241" s="1319"/>
      <c r="AS241" s="1319"/>
      <c r="AT241" s="1319"/>
      <c r="AU241" s="1319"/>
      <c r="AV241" s="1319"/>
      <c r="AW241" s="1319"/>
      <c r="AX241" s="1319"/>
      <c r="AY241" s="1319"/>
      <c r="AZ241" s="1319"/>
      <c r="BA241" s="1319"/>
    </row>
    <row s="1656" customFormat="1" customHeight="1" ht="15.75">
      <c r="A242" s="1319"/>
      <c r="B242" s="103">
        <f>NOT(FIRST_TIME_REG="")</f>
        <v>1</v>
      </c>
      <c r="C242" s="1319"/>
      <c r="D242" s="1319"/>
      <c r="E242" s="644">
        <v>16.5</v>
      </c>
      <c r="F242" s="103" cm="1" t="str">
        <f t="array" ref="F242:F242">F241</f>
        <v>3</v>
      </c>
      <c r="G242" s="1319"/>
      <c r="H242" s="1319"/>
      <c r="I242" s="1319"/>
      <c r="J242" s="1319"/>
      <c r="K242" s="1319"/>
      <c r="L242" s="1319"/>
      <c r="M242" s="1319"/>
      <c r="N242" s="1319"/>
      <c r="O242" s="1319"/>
      <c r="P242" s="1319"/>
      <c r="Q242" s="1319"/>
      <c r="R242" s="1319"/>
      <c r="S242" s="1319"/>
      <c r="T242" s="1319"/>
      <c r="U242" s="1319"/>
      <c r="V242" s="249"/>
      <c r="W242" s="504" cm="1" t="str">
        <f t="array" ref="W242:W242">W241</f>
        <v>true</v>
      </c>
      <c r="X242" s="1319"/>
      <c r="Y242" s="1319"/>
      <c r="Z242" s="1469"/>
      <c r="AA242" s="1487"/>
      <c r="AB242" s="1483"/>
      <c r="AC242" s="1484"/>
      <c r="AD242" s="399" t="s">
        <v>281</v>
      </c>
      <c r="AE242" s="392" t="s">
        <v>302</v>
      </c>
      <c r="AF242" s="1470"/>
      <c r="AG242" s="1319"/>
      <c r="AH242" s="1319"/>
      <c r="AI242" s="1319"/>
      <c r="AJ242" s="1319"/>
      <c r="AK242" s="1319"/>
      <c r="AL242" s="1319"/>
      <c r="AM242" s="1319"/>
      <c r="AN242" s="1319"/>
      <c r="AO242" s="1319"/>
      <c r="AP242" s="1319"/>
      <c r="AQ242" s="1319"/>
      <c r="AR242" s="1319"/>
      <c r="AS242" s="1319"/>
      <c r="AT242" s="1319"/>
      <c r="AU242" s="1319"/>
      <c r="AV242" s="1319"/>
      <c r="AW242" s="1319"/>
      <c r="AX242" s="1319"/>
      <c r="AY242" s="1319"/>
      <c r="AZ242" s="1319"/>
      <c r="BA242" s="1319"/>
    </row>
    <row s="1656" customFormat="1" customHeight="1" ht="15.75">
      <c r="A243" s="1319"/>
      <c r="B243" s="103">
        <f>NOT(FIRST_TIME_REG="")</f>
        <v>1</v>
      </c>
      <c r="C243" s="1319"/>
      <c r="D243" s="1319"/>
      <c r="E243" s="644">
        <v>16.5</v>
      </c>
      <c r="F243" s="103" cm="1" t="str">
        <f t="array" ref="F243:F243">F242</f>
        <v>3</v>
      </c>
      <c r="G243" s="1319"/>
      <c r="H243" s="1319"/>
      <c r="I243" s="1319"/>
      <c r="J243" s="1319"/>
      <c r="K243" s="1319"/>
      <c r="L243" s="1319"/>
      <c r="M243" s="1319"/>
      <c r="N243" s="1319"/>
      <c r="O243" s="1319"/>
      <c r="P243" s="1319"/>
      <c r="Q243" s="1319"/>
      <c r="R243" s="1319"/>
      <c r="S243" s="1319"/>
      <c r="T243" s="1319"/>
      <c r="U243" s="1319"/>
      <c r="V243" s="249"/>
      <c r="W243" s="504" cm="1" t="str">
        <f t="array" ref="W243:W243">W242</f>
        <v>true</v>
      </c>
      <c r="X243" s="1319"/>
      <c r="Y243" s="1319"/>
      <c r="Z243" s="1469"/>
      <c r="AA243" s="1487"/>
      <c r="AB243" s="1483"/>
      <c r="AC243" s="1484"/>
      <c r="AD243" s="399" t="s">
        <v>282</v>
      </c>
      <c r="AE243" s="392" t="s">
        <v>294</v>
      </c>
      <c r="AF243" s="1470"/>
      <c r="AG243" s="1319"/>
      <c r="AH243" s="1319"/>
      <c r="AI243" s="1319"/>
      <c r="AJ243" s="1319"/>
      <c r="AK243" s="1319"/>
      <c r="AL243" s="1319"/>
      <c r="AM243" s="1319"/>
      <c r="AN243" s="1319"/>
      <c r="AO243" s="1319"/>
      <c r="AP243" s="1319"/>
      <c r="AQ243" s="1319"/>
      <c r="AR243" s="1319"/>
      <c r="AS243" s="1319"/>
      <c r="AT243" s="1319"/>
      <c r="AU243" s="1319"/>
      <c r="AV243" s="1319"/>
      <c r="AW243" s="1319"/>
      <c r="AX243" s="1319"/>
      <c r="AY243" s="1319"/>
      <c r="AZ243" s="1319"/>
      <c r="BA243" s="1319"/>
    </row>
    <row s="1656" customFormat="1" customHeight="1" ht="20.671875">
      <c r="A244" s="1319"/>
      <c r="B244" s="103">
        <f>NOT(FIRST_TIME_REG="")</f>
        <v>1</v>
      </c>
      <c r="C244" s="1319"/>
      <c r="D244" s="1319"/>
      <c r="E244" s="644">
        <v>16.5</v>
      </c>
      <c r="F244" s="103" cm="1" t="str">
        <f t="array" ref="F244:F244">F243</f>
        <v>3</v>
      </c>
      <c r="G244" s="1319"/>
      <c r="H244" s="1319"/>
      <c r="I244" s="1319"/>
      <c r="J244" s="1319"/>
      <c r="K244" s="1319"/>
      <c r="L244" s="1319"/>
      <c r="M244" s="1319"/>
      <c r="N244" s="1319"/>
      <c r="O244" s="1319"/>
      <c r="P244" s="1319"/>
      <c r="Q244" s="1319"/>
      <c r="R244" s="1319"/>
      <c r="S244" s="1319"/>
      <c r="T244" s="1319"/>
      <c r="U244" s="1319"/>
      <c r="V244" s="249"/>
      <c r="W244" s="504" cm="1" t="str">
        <f t="array" ref="W244:W244">W243</f>
        <v>true</v>
      </c>
      <c r="X244" s="1319"/>
      <c r="Y244" s="1319"/>
      <c r="Z244" s="1469"/>
      <c r="AA244" s="1487"/>
      <c r="AB244" s="1483"/>
      <c r="AC244" s="1484"/>
      <c r="AD244" s="399" t="s">
        <v>283</v>
      </c>
      <c r="AE244" s="761" t="s">
        <v>303</v>
      </c>
      <c r="AF244" s="1470"/>
      <c r="AG244" s="1319"/>
      <c r="AH244" s="1319"/>
      <c r="AI244" s="1319"/>
      <c r="AJ244" s="1319"/>
      <c r="AK244" s="1319"/>
      <c r="AL244" s="1319"/>
      <c r="AM244" s="1319"/>
      <c r="AN244" s="1319"/>
      <c r="AO244" s="1319"/>
      <c r="AP244" s="1319"/>
      <c r="AQ244" s="1319"/>
      <c r="AR244" s="1319"/>
      <c r="AS244" s="1319"/>
      <c r="AT244" s="1319"/>
      <c r="AU244" s="1319"/>
      <c r="AV244" s="1319"/>
      <c r="AW244" s="1319"/>
      <c r="AX244" s="1319"/>
      <c r="AY244" s="1319"/>
      <c r="AZ244" s="1319"/>
      <c r="BA244" s="1319"/>
    </row>
    <row s="1656" customFormat="1" customHeight="1" ht="20.671875">
      <c r="A245" s="1319"/>
      <c r="B245" s="103">
        <f>NOT(FIRST_TIME_REG="")</f>
        <v>1</v>
      </c>
      <c r="C245" s="1319"/>
      <c r="D245" s="1319"/>
      <c r="E245" s="644">
        <v>16.5</v>
      </c>
      <c r="F245" s="103" cm="1" t="str">
        <f t="array" ref="F245:F245">F244</f>
        <v>3</v>
      </c>
      <c r="G245" s="1319"/>
      <c r="H245" s="1319"/>
      <c r="I245" s="1319"/>
      <c r="J245" s="1319"/>
      <c r="K245" s="1319"/>
      <c r="L245" s="1319"/>
      <c r="M245" s="1319"/>
      <c r="N245" s="1319"/>
      <c r="O245" s="1319"/>
      <c r="P245" s="1319"/>
      <c r="Q245" s="1319"/>
      <c r="R245" s="1319"/>
      <c r="S245" s="1319"/>
      <c r="T245" s="1319"/>
      <c r="U245" s="1319"/>
      <c r="V245" s="249"/>
      <c r="W245" s="504" cm="1" t="str">
        <f t="array" ref="W245:W245">W244</f>
        <v>true</v>
      </c>
      <c r="X245" s="1319"/>
      <c r="Y245" s="1319"/>
      <c r="Z245" s="1469"/>
      <c r="AA245" s="1487"/>
      <c r="AB245" s="1483"/>
      <c r="AC245" s="1484"/>
      <c r="AD245" s="95" t="str">
        <f>IF(AE240="Водоотведение","Вид сточных вод","Вид воды")</f>
        <v>Вид сточных вод</v>
      </c>
      <c r="AE245" s="392" t="s">
        <v>304</v>
      </c>
      <c r="AF245" s="1470"/>
      <c r="AG245" s="1319"/>
      <c r="AH245" s="1319"/>
      <c r="AI245" s="1319"/>
      <c r="AJ245" s="1319"/>
      <c r="AK245" s="1319"/>
      <c r="AL245" s="1319"/>
      <c r="AM245" s="1319"/>
      <c r="AN245" s="1319"/>
      <c r="AO245" s="1319"/>
      <c r="AP245" s="1319"/>
      <c r="AQ245" s="1319"/>
      <c r="AR245" s="1319"/>
      <c r="AS245" s="1319"/>
      <c r="AT245" s="1319"/>
      <c r="AU245" s="1319"/>
      <c r="AV245" s="1319"/>
      <c r="AW245" s="1319"/>
      <c r="AX245" s="1319"/>
      <c r="AY245" s="1319"/>
      <c r="AZ245" s="1319"/>
      <c r="BA245" s="1319"/>
    </row>
    <row s="1656" customFormat="1" customHeight="1" ht="26.671875">
      <c r="A246" s="1319"/>
      <c r="B246" s="103">
        <f>NOT(FIRST_TIME_REG="")</f>
        <v>1</v>
      </c>
      <c r="C246" s="1319"/>
      <c r="D246" s="1319"/>
      <c r="E246" s="644">
        <v>16.5</v>
      </c>
      <c r="F246" s="103" cm="1" t="str">
        <f t="array" ref="F246:F246">F245</f>
        <v>3</v>
      </c>
      <c r="G246" s="1319"/>
      <c r="H246" s="1319"/>
      <c r="I246" s="1319"/>
      <c r="J246" s="1319"/>
      <c r="K246" s="1319"/>
      <c r="L246" s="1319"/>
      <c r="M246" s="1319"/>
      <c r="N246" s="1319"/>
      <c r="O246" s="1319"/>
      <c r="P246" s="1319"/>
      <c r="Q246" s="1319"/>
      <c r="R246" s="1319"/>
      <c r="S246" s="1319"/>
      <c r="T246" s="1319"/>
      <c r="U246" s="1319"/>
      <c r="V246" s="249"/>
      <c r="W246" s="504" cm="1" t="str">
        <f t="array" ref="W246:W246">W245</f>
        <v>true</v>
      </c>
      <c r="X246" s="1319"/>
      <c r="Y246" s="1319"/>
      <c r="Z246" s="1469"/>
      <c r="AA246" s="1487"/>
      <c r="AB246" s="1483"/>
      <c r="AC246" s="1484"/>
      <c r="AD246" s="95" t="s">
        <v>284</v>
      </c>
      <c r="AE246" s="761" t="s">
        <v>308</v>
      </c>
      <c r="AF246" s="1470"/>
      <c r="AG246" s="1319"/>
      <c r="AH246" s="1319"/>
      <c r="AI246" s="1319"/>
      <c r="AJ246" s="1319"/>
      <c r="AK246" s="1319"/>
      <c r="AL246" s="1319"/>
      <c r="AM246" s="1319"/>
      <c r="AN246" s="1319"/>
      <c r="AO246" s="1319"/>
      <c r="AP246" s="1319"/>
      <c r="AQ246" s="1319"/>
      <c r="AR246" s="1319"/>
      <c r="AS246" s="1319"/>
      <c r="AT246" s="1319"/>
      <c r="AU246" s="1319"/>
      <c r="AV246" s="1319"/>
      <c r="AW246" s="1319"/>
      <c r="AX246" s="1319"/>
      <c r="AY246" s="1319"/>
      <c r="AZ246" s="1319"/>
      <c r="BA246" s="1319"/>
    </row>
    <row s="1656" customFormat="1" customHeight="1" ht="18.421875">
      <c r="A247" s="1319"/>
      <c r="B247" s="447">
        <f>AND(org_declaration="Заявление организации",NOT(FIRST_TIME_REG=""))</f>
        <v>1</v>
      </c>
      <c r="C247" s="1319"/>
      <c r="D247" s="1319"/>
      <c r="E247" s="644">
        <v>16.5</v>
      </c>
      <c r="F247" s="103" cm="1" t="str">
        <f t="array" ref="F247:F247">F246</f>
        <v>3</v>
      </c>
      <c r="G247" s="1319"/>
      <c r="H247" s="1319"/>
      <c r="I247" s="1319"/>
      <c r="J247" s="1319"/>
      <c r="K247" s="1319"/>
      <c r="L247" s="1319"/>
      <c r="M247" s="1319"/>
      <c r="N247" s="1319"/>
      <c r="O247" s="1319"/>
      <c r="P247" s="1319"/>
      <c r="Q247" s="1319"/>
      <c r="R247" s="1319"/>
      <c r="S247" s="1319"/>
      <c r="T247" s="1319"/>
      <c r="U247" s="1319"/>
      <c r="V247" s="249"/>
      <c r="W247" s="504" cm="1" t="str">
        <f t="array" ref="W247:W247">W246</f>
        <v>true</v>
      </c>
      <c r="X247" s="1319"/>
      <c r="Y247" s="1319"/>
      <c r="Z247" s="1469"/>
      <c r="AA247" s="1487"/>
      <c r="AB247" s="1483"/>
      <c r="AC247" s="1484"/>
      <c r="AD247" s="399" t="s">
        <v>285</v>
      </c>
      <c r="AE247" s="400">
        <v>2498</v>
      </c>
      <c r="AF247" s="1470"/>
      <c r="AG247" s="1319"/>
      <c r="AH247" s="1319"/>
      <c r="AI247" s="1319"/>
      <c r="AJ247" s="1319"/>
      <c r="AK247" s="1319"/>
      <c r="AL247" s="1319"/>
      <c r="AM247" s="1319"/>
      <c r="AN247" s="1319"/>
      <c r="AO247" s="1319"/>
      <c r="AP247" s="1319"/>
      <c r="AQ247" s="1319"/>
      <c r="AR247" s="1319"/>
      <c r="AS247" s="1319"/>
      <c r="AT247" s="1319"/>
      <c r="AU247" s="1319"/>
      <c r="AV247" s="1319"/>
      <c r="AW247" s="1319"/>
      <c r="AX247" s="1319"/>
      <c r="AY247" s="1319"/>
      <c r="AZ247" s="1319"/>
      <c r="BA247" s="1319"/>
    </row>
    <row s="1656" customFormat="1" customHeight="1" ht="21.421875">
      <c r="A248" s="1319"/>
      <c r="B248" s="447">
        <f>AND(org_declaration="Заявление организации",NOT(FIRST_TIME_REG=""))</f>
        <v>1</v>
      </c>
      <c r="C248" s="1319"/>
      <c r="D248" s="1319"/>
      <c r="E248" s="644">
        <v>16.5</v>
      </c>
      <c r="F248" s="103" cm="1" t="str">
        <f t="array" ref="F248:F248">F247</f>
        <v>3</v>
      </c>
      <c r="G248" s="1319"/>
      <c r="H248" s="1319"/>
      <c r="I248" s="1319"/>
      <c r="J248" s="1319"/>
      <c r="K248" s="1319"/>
      <c r="L248" s="1319"/>
      <c r="M248" s="1319"/>
      <c r="N248" s="1319"/>
      <c r="O248" s="1319"/>
      <c r="P248" s="1319"/>
      <c r="Q248" s="1319"/>
      <c r="R248" s="1319"/>
      <c r="S248" s="1319"/>
      <c r="T248" s="1319"/>
      <c r="U248" s="1319"/>
      <c r="V248" s="249"/>
      <c r="W248" s="504" cm="1" t="str">
        <f t="array" ref="W248:W248">W247</f>
        <v>true</v>
      </c>
      <c r="X248" s="1319"/>
      <c r="Y248" s="1319"/>
      <c r="Z248" s="1469"/>
      <c r="AA248" s="1487"/>
      <c r="AB248" s="1483"/>
      <c r="AC248" s="1484"/>
      <c r="AD248" s="399" t="s">
        <v>286</v>
      </c>
      <c r="AE248" s="1086">
        <v>45775</v>
      </c>
      <c r="AF248" s="1470"/>
      <c r="AG248" s="1319"/>
      <c r="AH248" s="1319"/>
      <c r="AI248" s="1319"/>
      <c r="AJ248" s="1319"/>
      <c r="AK248" s="1319"/>
      <c r="AL248" s="1319"/>
      <c r="AM248" s="1319"/>
      <c r="AN248" s="1319"/>
      <c r="AO248" s="1319"/>
      <c r="AP248" s="1319"/>
      <c r="AQ248" s="1319"/>
      <c r="AR248" s="1319"/>
      <c r="AS248" s="1319"/>
      <c r="AT248" s="1319"/>
      <c r="AU248" s="1319"/>
      <c r="AV248" s="1319"/>
      <c r="AW248" s="1319"/>
      <c r="AX248" s="1319"/>
      <c r="AY248" s="1319"/>
      <c r="AZ248" s="1319"/>
      <c r="BA248" s="1319"/>
    </row>
    <row s="1656" customFormat="1" customHeight="1" ht="34.921875">
      <c r="A249" s="1319"/>
      <c r="B249" s="447">
        <f>NOT(FIRST_TIME_REG="")</f>
        <v>1</v>
      </c>
      <c r="C249" s="1319"/>
      <c r="D249" s="1319"/>
      <c r="E249" s="644">
        <v>16.5</v>
      </c>
      <c r="F249" s="103" cm="1" t="str">
        <f t="array" ref="F249:F249">F248</f>
        <v>3</v>
      </c>
      <c r="G249" s="1319"/>
      <c r="H249" s="1319"/>
      <c r="I249" s="1319"/>
      <c r="J249" s="1319"/>
      <c r="K249" s="1319"/>
      <c r="L249" s="1319"/>
      <c r="M249" s="1319"/>
      <c r="N249" s="1319"/>
      <c r="O249" s="1319"/>
      <c r="P249" s="1319"/>
      <c r="Q249" s="1319"/>
      <c r="R249" s="1319"/>
      <c r="S249" s="1319"/>
      <c r="T249" s="1319"/>
      <c r="U249" s="1319"/>
      <c r="V249" s="249"/>
      <c r="W249" s="504" cm="1" t="str">
        <f t="array" ref="W249:W249">W248</f>
        <v>true</v>
      </c>
      <c r="X249" s="1319"/>
      <c r="Y249" s="1319"/>
      <c r="Z249" s="1469"/>
      <c r="AA249" s="1487"/>
      <c r="AB249" s="1483"/>
      <c r="AC249" s="1484"/>
      <c r="AD249" s="399" t="s">
        <v>287</v>
      </c>
      <c r="AE249" s="401" t="s">
        <v>306</v>
      </c>
      <c r="AF249" s="1470"/>
      <c r="AG249" s="1319"/>
      <c r="AH249" s="1319"/>
      <c r="AI249" s="1319"/>
      <c r="AJ249" s="1319"/>
      <c r="AK249" s="1319"/>
      <c r="AL249" s="1319"/>
      <c r="AM249" s="1319"/>
      <c r="AN249" s="1319"/>
      <c r="AO249" s="1319"/>
      <c r="AP249" s="1319"/>
      <c r="AQ249" s="1319"/>
      <c r="AR249" s="1319"/>
      <c r="AS249" s="1319"/>
      <c r="AT249" s="1319"/>
      <c r="AU249" s="1319"/>
      <c r="AV249" s="1319"/>
      <c r="AW249" s="1319"/>
      <c r="AX249" s="1319"/>
      <c r="AY249" s="1319"/>
      <c r="AZ249" s="1319"/>
      <c r="BA249" s="1319"/>
    </row>
    <row s="1656" customFormat="1" customHeight="1" ht="15.75">
      <c r="A250" s="1319"/>
      <c r="B250" s="447">
        <f>AND(org_declaration="Заявление организации",NOT(FIRST_TIME_REG=""))</f>
        <v>1</v>
      </c>
      <c r="C250" s="1319"/>
      <c r="D250" s="1319"/>
      <c r="E250" s="644">
        <v>16.5</v>
      </c>
      <c r="F250" s="103" cm="1" t="str">
        <f t="array" ref="F250:F250">F249</f>
        <v>3</v>
      </c>
      <c r="G250" s="1319"/>
      <c r="H250" s="1319"/>
      <c r="I250" s="1319"/>
      <c r="J250" s="1319"/>
      <c r="K250" s="1319"/>
      <c r="L250" s="1319"/>
      <c r="M250" s="1319"/>
      <c r="N250" s="1319"/>
      <c r="O250" s="1319"/>
      <c r="P250" s="1319"/>
      <c r="Q250" s="1319"/>
      <c r="R250" s="1319"/>
      <c r="S250" s="1319"/>
      <c r="T250" s="1319"/>
      <c r="U250" s="1319"/>
      <c r="V250" s="249"/>
      <c r="W250" s="504" cm="1" t="str">
        <f t="array" ref="W250:W250">W249</f>
        <v>true</v>
      </c>
      <c r="X250" s="1319"/>
      <c r="Y250" s="1319"/>
      <c r="Z250" s="1469"/>
      <c r="AA250" s="1487"/>
      <c r="AB250" s="1483"/>
      <c r="AC250" s="1484"/>
      <c r="AD250" s="399" t="s">
        <v>288</v>
      </c>
      <c r="AE250" s="948" t="str">
        <f>IF(ISBLANK(god),"",DATE(god,1,1))</f>
        <v>46023</v>
      </c>
      <c r="AF250" s="1470"/>
      <c r="AG250" s="1319"/>
      <c r="AH250" s="1319"/>
      <c r="AI250" s="1319"/>
      <c r="AJ250" s="1319"/>
      <c r="AK250" s="1319"/>
      <c r="AL250" s="1319"/>
      <c r="AM250" s="1319"/>
      <c r="AN250" s="1319"/>
      <c r="AO250" s="1319"/>
      <c r="AP250" s="1319"/>
      <c r="AQ250" s="1319"/>
      <c r="AR250" s="1319"/>
      <c r="AS250" s="1319"/>
      <c r="AT250" s="1319"/>
      <c r="AU250" s="1319"/>
      <c r="AV250" s="1319"/>
      <c r="AW250" s="1319"/>
      <c r="AX250" s="1319"/>
      <c r="AY250" s="1319"/>
      <c r="AZ250" s="1319"/>
      <c r="BA250" s="1319"/>
    </row>
    <row s="1656" customFormat="1" customHeight="1" ht="15.75">
      <c r="A251" s="1319"/>
      <c r="B251" s="447">
        <f>AND(org_declaration="Заявление организации",NOT(FIRST_TIME_REG=""))</f>
        <v>1</v>
      </c>
      <c r="C251" s="1319"/>
      <c r="D251" s="1319"/>
      <c r="E251" s="644">
        <v>16.5</v>
      </c>
      <c r="F251" s="103" cm="1" t="str">
        <f t="array" ref="F251:F251">F250</f>
        <v>3</v>
      </c>
      <c r="G251" s="1319"/>
      <c r="H251" s="1319"/>
      <c r="I251" s="1319"/>
      <c r="J251" s="1319"/>
      <c r="K251" s="1319"/>
      <c r="L251" s="1319"/>
      <c r="M251" s="1319"/>
      <c r="N251" s="1319"/>
      <c r="O251" s="1319"/>
      <c r="P251" s="1319"/>
      <c r="Q251" s="1319"/>
      <c r="R251" s="1319"/>
      <c r="S251" s="1319"/>
      <c r="T251" s="1319"/>
      <c r="U251" s="1319"/>
      <c r="V251" s="249"/>
      <c r="W251" s="504" cm="1" t="str">
        <f t="array" ref="W251:W251">W250</f>
        <v>true</v>
      </c>
      <c r="X251" s="1319"/>
      <c r="Y251" s="1319"/>
      <c r="Z251" s="1469"/>
      <c r="AA251" s="1487"/>
      <c r="AB251" s="1483"/>
      <c r="AC251" s="1484"/>
      <c r="AD251" s="399" t="s">
        <v>289</v>
      </c>
      <c r="AE251" s="459" t="s">
        <v>104</v>
      </c>
      <c r="AF251" s="1470"/>
      <c r="AG251" s="1319"/>
      <c r="AH251" s="1319"/>
      <c r="AI251" s="1319"/>
      <c r="AJ251" s="1319"/>
      <c r="AK251" s="1319"/>
      <c r="AL251" s="1319"/>
      <c r="AM251" s="1319"/>
      <c r="AN251" s="1319"/>
      <c r="AO251" s="1319"/>
      <c r="AP251" s="1319"/>
      <c r="AQ251" s="1319"/>
      <c r="AR251" s="1319"/>
      <c r="AS251" s="1319"/>
      <c r="AT251" s="1319"/>
      <c r="AU251" s="1319"/>
      <c r="AV251" s="1319"/>
      <c r="AW251" s="1319"/>
      <c r="AX251" s="1319"/>
      <c r="AY251" s="1319"/>
      <c r="AZ251" s="1319"/>
      <c r="BA251" s="1319"/>
    </row>
    <row s="1656" customFormat="1" customHeight="1" ht="21.75">
      <c r="A252" s="1319"/>
      <c r="B252" s="447">
        <f>AND(org_declaration="Заявление организации",NOT(FIRST_TIME_REG=""))</f>
        <v>1</v>
      </c>
      <c r="C252" s="1319"/>
      <c r="D252" s="1319"/>
      <c r="E252" s="644">
        <v>22.5</v>
      </c>
      <c r="F252" s="103" cm="1" t="str">
        <f t="array" ref="F252:F252">F251</f>
        <v>3</v>
      </c>
      <c r="G252" s="1319"/>
      <c r="H252" s="1319"/>
      <c r="I252" s="1319"/>
      <c r="J252" s="1319"/>
      <c r="K252" s="1319"/>
      <c r="L252" s="1319"/>
      <c r="M252" s="1319"/>
      <c r="N252" s="1319"/>
      <c r="O252" s="1319"/>
      <c r="P252" s="1319"/>
      <c r="Q252" s="1319"/>
      <c r="R252" s="1319"/>
      <c r="S252" s="1319"/>
      <c r="T252" s="1319"/>
      <c r="U252" s="1319"/>
      <c r="V252" s="249"/>
      <c r="W252" s="504">
        <f>AND(W251,AE251&lt;&gt;"Метод экономически обоснованных расходов",AE251&lt;&gt;"Метод сравнения аналогов")</f>
        <v>1</v>
      </c>
      <c r="X252" s="1319"/>
      <c r="Y252" s="1319"/>
      <c r="Z252" s="1469"/>
      <c r="AA252" s="1487"/>
      <c r="AB252" s="1483"/>
      <c r="AC252" s="1484"/>
      <c r="AD252" s="95" t="str">
        <f>IF(OR(AE251="экономически обоснованных расходов (затрат)",AE251="сравнения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252" s="460">
        <v>2024</v>
      </c>
      <c r="AF252" s="1470"/>
      <c r="AG252" s="1319"/>
      <c r="AH252" s="1319"/>
      <c r="AI252" s="1319"/>
      <c r="AJ252" s="1319"/>
      <c r="AK252" s="1319"/>
      <c r="AL252" s="1319"/>
      <c r="AM252" s="1319"/>
      <c r="AN252" s="1319"/>
      <c r="AO252" s="1319"/>
      <c r="AP252" s="1319"/>
      <c r="AQ252" s="1319"/>
      <c r="AR252" s="1319"/>
      <c r="AS252" s="1319"/>
      <c r="AT252" s="1319"/>
      <c r="AU252" s="1319"/>
      <c r="AV252" s="1319"/>
      <c r="AW252" s="1319"/>
      <c r="AX252" s="1319"/>
      <c r="AY252" s="1319"/>
      <c r="AZ252" s="1319"/>
      <c r="BA252" s="1319"/>
    </row>
    <row s="1656" customFormat="1" customHeight="1" ht="15.75">
      <c r="A253" s="1319"/>
      <c r="B253" s="447">
        <f>AND(org_declaration="Заявление организации",NOT(FIRST_TIME_REG=""))</f>
        <v>1</v>
      </c>
      <c r="C253" s="1319"/>
      <c r="D253" s="1319"/>
      <c r="E253" s="644">
        <v>16.5</v>
      </c>
      <c r="F253" s="103" cm="1" t="str">
        <f t="array" ref="F253:F253">F252</f>
        <v>3</v>
      </c>
      <c r="G253" s="1319"/>
      <c r="H253" s="1319"/>
      <c r="I253" s="1319"/>
      <c r="J253" s="1319"/>
      <c r="K253" s="1319"/>
      <c r="L253" s="1319"/>
      <c r="M253" s="1319"/>
      <c r="N253" s="1319"/>
      <c r="O253" s="1319"/>
      <c r="P253" s="1319"/>
      <c r="Q253" s="1319"/>
      <c r="R253" s="1319"/>
      <c r="S253" s="1319"/>
      <c r="T253" s="1319"/>
      <c r="U253" s="1319"/>
      <c r="V253" s="249"/>
      <c r="W253" s="504">
        <f>AND(W252,AE251&lt;&gt;"Метод экономически обоснованных расходов",AE251&lt;&gt;"Метод сравнения аналогов")</f>
        <v>1</v>
      </c>
      <c r="X253" s="1319"/>
      <c r="Y253" s="1319"/>
      <c r="Z253" s="1469"/>
      <c r="AA253" s="1487"/>
      <c r="AB253" s="1483"/>
      <c r="AC253" s="1484"/>
      <c r="AD253" s="399" t="s">
        <v>107</v>
      </c>
      <c r="AE253" s="460">
        <v>5</v>
      </c>
      <c r="AF253" s="1470"/>
      <c r="AG253" s="1319"/>
      <c r="AH253" s="1319"/>
      <c r="AI253" s="1319"/>
      <c r="AJ253" s="1319"/>
      <c r="AK253" s="1319"/>
      <c r="AL253" s="1319"/>
      <c r="AM253" s="1319"/>
      <c r="AN253" s="1319"/>
      <c r="AO253" s="1319"/>
      <c r="AP253" s="1319"/>
      <c r="AQ253" s="1319"/>
      <c r="AR253" s="1319"/>
      <c r="AS253" s="1319"/>
      <c r="AT253" s="1319"/>
      <c r="AU253" s="1319"/>
      <c r="AV253" s="1319"/>
      <c r="AW253" s="1319"/>
      <c r="AX253" s="1319"/>
      <c r="AY253" s="1319"/>
      <c r="AZ253" s="1319"/>
      <c r="BA253" s="1319"/>
    </row>
    <row customHeight="1" ht="19.0125">
      <c r="B254" s="986">
        <f>NOT(FIRST_TIME_REG="")</f>
        <v>1</v>
      </c>
      <c r="E254" s="644">
        <v>19.5</v>
      </c>
      <c r="F254" s="168" t="s">
        <v>309</v>
      </c>
      <c r="X254" s="293" t="s">
        <v>310</v>
      </c>
      <c r="Z254" s="103"/>
      <c r="AB254" s="1485"/>
      <c r="AC254" s="1486"/>
      <c r="AD254" s="495" t="s">
        <v>311</v>
      </c>
      <c r="AE254" s="259"/>
    </row>
    <row customHeight="1" ht="19.0125">
      <c r="E255" s="644">
        <v>19.5</v>
      </c>
      <c r="Z255" s="103"/>
      <c r="AB255" s="1511" t="s">
        <v>312</v>
      </c>
      <c r="AC255" s="1512"/>
      <c r="AD255" s="393" t="s">
        <v>313</v>
      </c>
      <c r="AE255" s="381" t="s">
        <v>314</v>
      </c>
      <c r="AG255" s="103" t="s">
        <v>315</v>
      </c>
    </row>
    <row customHeight="1" ht="19.0125">
      <c r="E256" s="644">
        <v>19.5</v>
      </c>
      <c r="Z256" s="103"/>
      <c r="AB256" s="1511"/>
      <c r="AC256" s="1512"/>
      <c r="AD256" s="393" t="s">
        <v>316</v>
      </c>
      <c r="AE256" s="381" t="s">
        <v>317</v>
      </c>
      <c r="AG256" s="103" t="s">
        <v>318</v>
      </c>
    </row>
    <row customHeight="1" ht="19.0125">
      <c r="E257" s="644">
        <v>19.5</v>
      </c>
      <c r="Z257" s="103"/>
      <c r="AB257" s="1511"/>
      <c r="AC257" s="1512"/>
      <c r="AD257" s="393" t="s">
        <v>319</v>
      </c>
      <c r="AE257" s="381" t="s">
        <v>320</v>
      </c>
      <c r="AG257" s="103" t="s">
        <v>321</v>
      </c>
    </row>
    <row customHeight="1" ht="19.0125">
      <c r="E258" s="644">
        <v>19.5</v>
      </c>
      <c r="Z258" s="103"/>
      <c r="AB258" s="1511"/>
      <c r="AC258" s="1512"/>
      <c r="AD258" s="393" t="s">
        <v>322</v>
      </c>
      <c r="AE258" s="381" t="s">
        <v>323</v>
      </c>
      <c r="AG258" s="103" t="s">
        <v>324</v>
      </c>
    </row>
    <row customHeight="1" ht="19.0125">
      <c r="E259" s="644">
        <v>19.5</v>
      </c>
      <c r="Z259" s="103"/>
      <c r="AB259" s="1511"/>
      <c r="AC259" s="1512"/>
      <c r="AD259" s="393" t="s">
        <v>325</v>
      </c>
      <c r="AE259" s="381" t="s">
        <v>326</v>
      </c>
      <c r="AG259" s="103" t="s">
        <v>327</v>
      </c>
    </row>
    <row customHeight="1" ht="19.0125" hidden="1">
      <c r="A260" s="1319"/>
      <c r="B260" s="986"/>
      <c r="C260" s="1319"/>
      <c r="D260" s="1319"/>
      <c r="E260" s="644">
        <v>19.5</v>
      </c>
      <c r="F260" s="1319"/>
      <c r="G260" s="1319"/>
      <c r="H260" s="1319"/>
      <c r="I260" s="1319"/>
      <c r="J260" s="1319"/>
      <c r="K260" s="1319"/>
      <c r="L260" s="1319"/>
      <c r="M260" s="1319"/>
      <c r="N260" s="1319"/>
      <c r="O260" s="1319"/>
      <c r="P260" s="1319"/>
      <c r="Q260" s="1319"/>
      <c r="R260" s="1319"/>
      <c r="S260" s="1319"/>
      <c r="T260" s="1319"/>
      <c r="U260" s="1319"/>
      <c r="V260" s="1319"/>
      <c r="W260" s="504">
        <f>ROW(X260)&gt;ROW(X$260)</f>
        <v>0</v>
      </c>
      <c r="X260" s="103" t="s">
        <v>279</v>
      </c>
      <c r="Y260" s="1319"/>
      <c r="Z260" s="103"/>
      <c r="AA260" s="1319"/>
      <c r="AB260" s="1511"/>
      <c r="AC260" s="1512"/>
      <c r="AD260" s="1745"/>
      <c r="AE260" s="1697"/>
      <c r="AF260" s="643" t="s">
        <v>174</v>
      </c>
      <c r="AG260" s="1319"/>
      <c r="AH260" s="1319"/>
      <c r="AI260" s="1319"/>
      <c r="AJ260" s="1319"/>
      <c r="AK260" s="1319"/>
      <c r="AL260" s="1319"/>
      <c r="AM260" s="1319"/>
      <c r="AN260" s="1319"/>
      <c r="AO260" s="1319"/>
      <c r="AP260" s="1319"/>
      <c r="AQ260" s="1319"/>
      <c r="AR260" s="1319"/>
      <c r="AS260" s="1319"/>
      <c r="AT260" s="1319"/>
      <c r="AU260" s="1319"/>
      <c r="AV260" s="1319"/>
      <c r="AW260" s="1319"/>
      <c r="AX260" s="1319"/>
      <c r="AY260" s="1319"/>
      <c r="AZ260" s="1319"/>
      <c r="BA260" s="1319"/>
    </row>
    <row customHeight="1" ht="14.625">
      <c r="E261" s="644">
        <v>15</v>
      </c>
      <c r="X261" s="293" t="s">
        <v>176</v>
      </c>
      <c r="Z261" s="103"/>
      <c r="AB261" s="1511"/>
      <c r="AC261" s="1512"/>
      <c r="AD261" s="394" t="s">
        <v>328</v>
      </c>
      <c r="AE261" s="364"/>
    </row>
    <row customHeight="1" ht="19.0125">
      <c r="E262" s="644">
        <v>19.5</v>
      </c>
      <c r="Z262" s="103"/>
      <c r="AB262" s="1511"/>
      <c r="AC262" s="1512"/>
      <c r="AD262" s="393" t="s">
        <v>329</v>
      </c>
      <c r="AE262" s="395" cm="1" t="str">
        <f t="array" ref="AE262:AE262">method_reg</f>
        <v>Метод индексации</v>
      </c>
    </row>
    <row customHeight="1" ht="19.0125">
      <c r="E263" s="644">
        <v>19.5</v>
      </c>
      <c r="Z263" s="103"/>
      <c r="AB263" s="1511"/>
      <c r="AC263" s="1512"/>
      <c r="AD263" s="393" t="s">
        <v>105</v>
      </c>
      <c r="AE263" s="396" cm="1" t="str">
        <f t="array" ref="AE263:AE263">god</f>
        <v>2026</v>
      </c>
    </row>
    <row customHeight="1" ht="19.0125">
      <c r="B264" s="447">
        <f>AND(NOT(method_reg="Метод экономически обоснованных расходов"),NOT(method_reg="Метод сравнения аналогов"))</f>
        <v>1</v>
      </c>
      <c r="E264" s="644">
        <v>19.5</v>
      </c>
      <c r="Z264" s="103"/>
      <c r="AB264" s="1511"/>
      <c r="AC264" s="1512"/>
      <c r="AD264" s="393" t="s">
        <v>106</v>
      </c>
      <c r="AE264" s="396" cm="1" t="str">
        <f t="array" ref="AE264:AE264">first_year</f>
        <v>2024</v>
      </c>
    </row>
    <row customHeight="1" ht="19.0125">
      <c r="B265" s="447">
        <f>AND(NOT(method_reg="Метод экономически обоснованных расходов"),NOT(method_reg="Метод сравнения аналогов"))</f>
        <v>1</v>
      </c>
      <c r="E265" s="644">
        <v>19.5</v>
      </c>
      <c r="Z265" s="103"/>
      <c r="AB265" s="1513"/>
      <c r="AC265" s="1514"/>
      <c r="AD265" s="393" t="s">
        <v>107</v>
      </c>
      <c r="AE265" s="396" cm="1" t="str">
        <f t="array" ref="AE265:AE265">PERIOD_LENGTH</f>
        <v>5</v>
      </c>
    </row>
    <row customHeight="1" ht="37.05">
      <c r="E266" s="644">
        <v>38</v>
      </c>
      <c r="Z266" s="103"/>
      <c r="AB266" s="1508" t="s">
        <v>330</v>
      </c>
      <c r="AC266" s="1515"/>
      <c r="AD266" s="1509"/>
      <c r="AE266" s="389" t="s">
        <v>161</v>
      </c>
      <c r="AF266" s="482"/>
    </row>
    <row customHeight="1" ht="10.96875">
      <c r="E267" s="644">
        <v>11.25</v>
      </c>
      <c r="Z267" s="103"/>
      <c r="AF267" s="428"/>
    </row>
    <row s="1656" customFormat="1" customHeight="1" ht="19.0125">
      <c r="A268" s="1656"/>
      <c r="B268" s="447">
        <f>AND(NOT(god=first_year),(method_reg="Метод индексации"))</f>
        <v>1</v>
      </c>
      <c r="C268" s="1656"/>
      <c r="D268" s="1656"/>
      <c r="E268" s="645">
        <v>19.5</v>
      </c>
      <c r="F268" s="1656"/>
      <c r="G268" s="1656"/>
      <c r="H268" s="1656"/>
      <c r="I268" s="1656"/>
      <c r="J268" s="1656"/>
      <c r="K268" s="1656"/>
      <c r="L268" s="1656"/>
      <c r="M268" s="1656"/>
      <c r="N268" s="1656"/>
      <c r="O268" s="1656"/>
      <c r="P268" s="1656"/>
      <c r="Q268" s="1656"/>
      <c r="R268" s="1656"/>
      <c r="S268" s="1656"/>
      <c r="T268" s="1656"/>
      <c r="U268" s="1656"/>
      <c r="V268" s="1656"/>
      <c r="W268" s="1656"/>
      <c r="X268" s="407"/>
      <c r="Y268" s="1656"/>
      <c r="Z268" s="103"/>
      <c r="AA268" s="1656"/>
      <c r="AB268" s="1508" t="s">
        <v>331</v>
      </c>
      <c r="AC268" s="1515"/>
      <c r="AD268" s="1509"/>
      <c r="AE268" s="463" t="s">
        <v>161</v>
      </c>
      <c r="AF268" s="643"/>
      <c r="AG268" s="0" t="s">
        <v>332</v>
      </c>
      <c r="AH268" s="0"/>
      <c r="AI268" s="0"/>
      <c r="AJ268" s="485"/>
      <c r="AK268" s="485"/>
      <c r="AL268" s="485"/>
      <c r="AM268" s="485"/>
      <c r="AN268" s="485"/>
      <c r="AO268" s="0"/>
      <c r="AP268" s="0"/>
      <c r="AQ268" s="0"/>
      <c r="AR268" s="0"/>
      <c r="AS268" s="0"/>
      <c r="AT268" s="0"/>
      <c r="AU268" s="0"/>
      <c r="AV268" s="0"/>
      <c r="AW268" s="0"/>
      <c r="AX268" s="0"/>
      <c r="AY268" s="0"/>
      <c r="AZ268" s="0"/>
      <c r="BA268" s="0"/>
    </row>
    <row customHeight="1" ht="11.25">
      <c r="Z269" s="103"/>
      <c r="AF269" s="428"/>
    </row>
  </sheetData>
  <sheetProtection formatColumns="0" formatRows="0" insertRows="0" deleteColumns="0" deleteRows="0" sort="0" autoFilter="0" insertColumns="1"/>
  <mergeCells count="194">
    <mergeCell ref="AC86:AD86"/>
    <mergeCell ref="AA155:AA160"/>
    <mergeCell ref="AB115:AB120"/>
    <mergeCell ref="AC115:AD115"/>
    <mergeCell ref="AC116:AD116"/>
    <mergeCell ref="AC117:AD117"/>
    <mergeCell ref="AC118:AD118"/>
    <mergeCell ref="AC119:AD119"/>
    <mergeCell ref="AC120:AD120"/>
    <mergeCell ref="AB135:AB140"/>
    <mergeCell ref="AC135:AD135"/>
    <mergeCell ref="AC136:AD136"/>
    <mergeCell ref="AC137:AD137"/>
    <mergeCell ref="AC138:AD138"/>
    <mergeCell ref="AC139:AD139"/>
    <mergeCell ref="AC140:AD140"/>
    <mergeCell ref="AA115:AA120"/>
    <mergeCell ref="AA135:AA140"/>
    <mergeCell ref="AB128:AD128"/>
    <mergeCell ref="AC134:AD134"/>
    <mergeCell ref="AB129:AB134"/>
    <mergeCell ref="AC129:AD129"/>
    <mergeCell ref="AC130:AD130"/>
    <mergeCell ref="AC87:AD87"/>
    <mergeCell ref="AB255:AC265"/>
    <mergeCell ref="AB266:AD266"/>
    <mergeCell ref="AB268:AD268"/>
    <mergeCell ref="AA78:AA82"/>
    <mergeCell ref="AA90:AA94"/>
    <mergeCell ref="AB90:AB94"/>
    <mergeCell ref="AC90:AD90"/>
    <mergeCell ref="AC91:AD91"/>
    <mergeCell ref="AC92:AD92"/>
    <mergeCell ref="AC93:AD93"/>
    <mergeCell ref="AC94:AD94"/>
    <mergeCell ref="AA102:AA106"/>
    <mergeCell ref="AB102:AB106"/>
    <mergeCell ref="AC102:AD102"/>
    <mergeCell ref="AC103:AD103"/>
    <mergeCell ref="AC104:AD104"/>
    <mergeCell ref="AC105:AD105"/>
    <mergeCell ref="AC106:AD106"/>
    <mergeCell ref="AB84:AD84"/>
    <mergeCell ref="AB85:AB89"/>
    <mergeCell ref="AC85:AD85"/>
    <mergeCell ref="AC131:AD131"/>
    <mergeCell ref="AC132:AD132"/>
    <mergeCell ref="AC133:AD133"/>
    <mergeCell ref="AC88:AD88"/>
    <mergeCell ref="AB108:AD108"/>
    <mergeCell ref="AB109:AB114"/>
    <mergeCell ref="AC109:AD109"/>
    <mergeCell ref="AC110:AD110"/>
    <mergeCell ref="AC111:AD111"/>
    <mergeCell ref="AC112:AD112"/>
    <mergeCell ref="AC113:AD113"/>
    <mergeCell ref="AC114:AD114"/>
    <mergeCell ref="AB96:AD96"/>
    <mergeCell ref="AB97:AB101"/>
    <mergeCell ref="AC97:AD97"/>
    <mergeCell ref="AC98:AD98"/>
    <mergeCell ref="AC99:AD99"/>
    <mergeCell ref="AC100:AD100"/>
    <mergeCell ref="AC101:AD101"/>
    <mergeCell ref="AC89:AD89"/>
    <mergeCell ref="AB59:AD59"/>
    <mergeCell ref="AB60:AD60"/>
    <mergeCell ref="AB62:AD62"/>
    <mergeCell ref="AB71:AD71"/>
    <mergeCell ref="AB72:AD72"/>
    <mergeCell ref="AB73:AB77"/>
    <mergeCell ref="AC78:AD78"/>
    <mergeCell ref="AC79:AD79"/>
    <mergeCell ref="AC80:AD80"/>
    <mergeCell ref="AB65:AD65"/>
    <mergeCell ref="AB66:AD66"/>
    <mergeCell ref="AB67:AD67"/>
    <mergeCell ref="AB68:AD68"/>
    <mergeCell ref="AB69:AD69"/>
    <mergeCell ref="AC73:AD73"/>
    <mergeCell ref="AC74:AD74"/>
    <mergeCell ref="AC75:AD75"/>
    <mergeCell ref="AC76:AD76"/>
    <mergeCell ref="AC77:AD77"/>
    <mergeCell ref="AB78:AB82"/>
    <mergeCell ref="AC81:AD81"/>
    <mergeCell ref="AC82:AD82"/>
    <mergeCell ref="AB61:AD61"/>
    <mergeCell ref="AB22:AD22"/>
    <mergeCell ref="AB30:AE30"/>
    <mergeCell ref="AB31:AE31"/>
    <mergeCell ref="AB32:AE32"/>
    <mergeCell ref="AB33:AE33"/>
    <mergeCell ref="AB34:AE34"/>
    <mergeCell ref="AB40:AD40"/>
    <mergeCell ref="AB41:AD41"/>
    <mergeCell ref="AB35:AE35"/>
    <mergeCell ref="AB36:AE36"/>
    <mergeCell ref="AB27:AD27"/>
    <mergeCell ref="AB24:AD24"/>
    <mergeCell ref="AB25:AD25"/>
    <mergeCell ref="AB26:AD26"/>
    <mergeCell ref="AI36:AJ36"/>
    <mergeCell ref="AB37:AE37"/>
    <mergeCell ref="AB38:AD38"/>
    <mergeCell ref="AB39:AD39"/>
    <mergeCell ref="AB51:AD51"/>
    <mergeCell ref="AB52:AD52"/>
    <mergeCell ref="AB53:AC55"/>
    <mergeCell ref="AB56:AD56"/>
    <mergeCell ref="AB58:AD58"/>
    <mergeCell ref="AB45:AD45"/>
    <mergeCell ref="AB46:AD46"/>
    <mergeCell ref="AB47:AD47"/>
    <mergeCell ref="AB48:AD48"/>
    <mergeCell ref="AB49:AD49"/>
    <mergeCell ref="AB50:AD50"/>
    <mergeCell ref="AB42:AD42"/>
    <mergeCell ref="AB43:AD43"/>
    <mergeCell ref="AB44:AD44"/>
    <mergeCell ref="AB57:AD57"/>
    <mergeCell ref="AB179:AE179"/>
    <mergeCell ref="AB148:AD148"/>
    <mergeCell ref="AB149:AB154"/>
    <mergeCell ref="AC149:AD149"/>
    <mergeCell ref="AC150:AD150"/>
    <mergeCell ref="AC151:AD151"/>
    <mergeCell ref="AC152:AD152"/>
    <mergeCell ref="AC153:AD153"/>
    <mergeCell ref="AC154:AD154"/>
    <mergeCell ref="AB169:AD169"/>
    <mergeCell ref="AB168:AD168"/>
    <mergeCell ref="AB171:AC174"/>
    <mergeCell ref="AB176:AE176"/>
    <mergeCell ref="AB177:AE177"/>
    <mergeCell ref="AB178:AE178"/>
    <mergeCell ref="AB155:AB160"/>
    <mergeCell ref="Z198:Z211"/>
    <mergeCell ref="AF198:AF211"/>
    <mergeCell ref="AB194:AC196"/>
    <mergeCell ref="AB193:AD193"/>
    <mergeCell ref="AC155:AD155"/>
    <mergeCell ref="AC156:AD156"/>
    <mergeCell ref="AC157:AD157"/>
    <mergeCell ref="AC158:AD158"/>
    <mergeCell ref="AC159:AD159"/>
    <mergeCell ref="AC160:AD160"/>
    <mergeCell ref="AB186:AE186"/>
    <mergeCell ref="AB187:AE187"/>
    <mergeCell ref="AB188:AE188"/>
    <mergeCell ref="AB189:AE189"/>
    <mergeCell ref="AB190:AE190"/>
    <mergeCell ref="AB192:AE192"/>
    <mergeCell ref="AB180:AE180"/>
    <mergeCell ref="AB181:AE181"/>
    <mergeCell ref="AB182:AE182"/>
    <mergeCell ref="AB183:AE183"/>
    <mergeCell ref="AB184:AE184"/>
    <mergeCell ref="AB185:AE185"/>
    <mergeCell ref="AB197:AC254"/>
    <mergeCell ref="AA198:AA211"/>
    <mergeCell ref="Z212:Z225"/>
    <mergeCell ref="AF212:AF225"/>
    <mergeCell ref="AA212:AA225"/>
    <mergeCell ref="Z226:Z239"/>
    <mergeCell ref="AF226:AF239"/>
    <mergeCell ref="AA226:AA239"/>
    <mergeCell ref="Z240:Z253"/>
    <mergeCell ref="AF240:AF253"/>
    <mergeCell ref="AA240:AA253"/>
    <mergeCell ref="AB121:AB126"/>
    <mergeCell ref="AC121:AD121"/>
    <mergeCell ref="AC122:AD122"/>
    <mergeCell ref="AC123:AD123"/>
    <mergeCell ref="AC124:AD124"/>
    <mergeCell ref="AC125:AD125"/>
    <mergeCell ref="AC126:AD126"/>
    <mergeCell ref="AA121:AA126"/>
    <mergeCell ref="AB141:AB146"/>
    <mergeCell ref="AC141:AD141"/>
    <mergeCell ref="AC142:AD142"/>
    <mergeCell ref="AC143:AD143"/>
    <mergeCell ref="AC144:AD144"/>
    <mergeCell ref="AC145:AD145"/>
    <mergeCell ref="AC146:AD146"/>
    <mergeCell ref="AA141:AA146"/>
    <mergeCell ref="AA161:AA166"/>
    <mergeCell ref="AB161:AB166"/>
    <mergeCell ref="AC161:AD161"/>
    <mergeCell ref="AC162:AD162"/>
    <mergeCell ref="AC163:AD163"/>
    <mergeCell ref="AC164:AD164"/>
    <mergeCell ref="AC165:AD165"/>
    <mergeCell ref="AC166:AD166"/>
  </mergeCells>
  <dataValidations count="28">
    <dataValidation type="list" allowBlank="1" showInputMessage="1" showErrorMessage="1" errorTitle="Внимание" error="Пожалуйста, выберите значение из списка!" sqref="AE53 AE108 AE84 AE96 AE128 AE148 AE69 AE71:AE72 AE266 AE193 AE169">
      <formula1>YES_NO</formula1>
    </dataValidation>
    <dataValidation type="list" showInputMessage="1" showErrorMessage="1" errorTitle="Внимание" error="Пожалуйста, выберите значение из списка" sqref="AE55">
      <formula1>OWNERSHIP_TYPE</formula1>
    </dataValidation>
    <dataValidation type="list" showInputMessage="1" showErrorMessage="1" errorTitle="Внимание" error="Пожалуйста, выберите значение из списка" sqref="AE54">
      <formula1>STATE_SHARE</formula1>
    </dataValidation>
    <dataValidation type="list" showDropDown="1" sqref="Z24">
      <formula1>year_list2</formula1>
    </dataValidation>
    <dataValidation type="list" showDropDown="1" sqref="Z26">
      <formula1>period_list</formula1>
    </dataValidation>
    <dataValidation type="list" showDropDown="1" sqref="Z45">
      <formula1>okopf_list</formula1>
    </dataValidation>
    <dataValidation type="list" showDropDown="1" sqref="Z53 Z266 Z71:Z72 Z84 Z96 Z108 Z128 Z148 Z169 Z56:Z60">
      <formula1>YES_NO</formula1>
    </dataValidation>
    <dataValidation type="list" showDropDown="1" showInputMessage="1" showErrorMessage="1" sqref="Z55">
      <formula1>OWNERSHIP_TYPE</formula1>
    </dataValidation>
    <dataValidation type="date" operator="notEqual" allowBlank="1" showInputMessage="1" showErrorMessage="1" sqref="Z81 Z88 Z100 Z132:Z146 Z152:Z166 Z76 Z93 Z105 Z112:Z126 Z196:Z197 Z254">
      <formula1>1</formula1>
    </dataValidation>
    <dataValidation type="list" showInputMessage="1" errorTitle="Внимание" error="Пожалуйста, выберите значение из списка" prompt="Выберите значение из списка или укажите свой вариант" sqref="AE79 AE86 AE98 AE110 AE130 AE150 AE194 AE74 AE91 AE103 AE116 AE136 AE156 AE122 AE142 AE162">
      <formula1>DOCUMENT_TYPES</formula1>
    </dataValidation>
    <dataValidation type="list" showInputMessage="1" showErrorMessage="1" errorTitle="Внимание" error="Пожалуйста, выберите значение из списка!" sqref="AE26">
      <formula1>period_list</formula1>
    </dataValidation>
    <dataValidation type="list" showDropDown="1" showInputMessage="1" showErrorMessage="1" sqref="Z94 Z77 Z61:Z62 Z82 Z89 Z101 Z106">
      <formula1>"FAS_URL"</formula1>
    </dataValidation>
    <dataValidation type="list" showDropDown="1" sqref="Z40">
      <formula1>subsidiary_list</formula1>
    </dataValidation>
    <dataValidation type="list" showInputMessage="1" showErrorMessage="1" errorTitle="Внимание" error="Пожалуйста, выберите значение из списка!" sqref="AE25">
      <formula1>YEAR_LIST</formula1>
    </dataValidation>
    <dataValidation type="list" allowBlank="1" showInputMessage="1" showErrorMessage="1" errorTitle="Ошибка" error="Выберите значение из списка" prompt="Выберите значение из списка" sqref="AE210 AE224 AE238 AE252">
      <formula1>YEAR_LIST</formula1>
    </dataValidation>
    <dataValidation type="list" allowBlank="1" showInputMessage="1" showErrorMessage="1" errorTitle="Ошибка" error="Выберите значение из списка" prompt="Выберите значение из списка" sqref="AE211 AE225 AE239 AE253">
      <formula1>period_list</formula1>
    </dataValidation>
    <dataValidation type="list" allowBlank="1" showInputMessage="1" showErrorMessage="1" errorTitle="Внимание" error="Пожалуйста, выберите значение из списка!" sqref="AE209 AE223 AE237 AE251">
      <formula1>TARIFF_CALC_METHOD</formula1>
    </dataValidation>
    <dataValidation type="list" allowBlank="1" showInputMessage="1" showErrorMessage="1" errorTitle="Ошибка" error="Выберите значение из списка" prompt="Выберите значение из списка" sqref="AE201 AE215 AE229 AE243">
      <formula1>tariff_type_list</formula1>
    </dataValidation>
    <dataValidation type="list" allowBlank="1" showInputMessage="1" showErrorMessage="1" sqref="AE23">
      <formula1>metod_list</formula1>
    </dataValidation>
    <dataValidation type="list" allowBlank="1" showInputMessage="1" showErrorMessage="1" sqref="AE268">
      <formula1>YES_NO</formula1>
    </dataValidation>
    <dataValidation type="list" allowBlank="1" showInputMessage="1" showErrorMessage="1" sqref="AB197">
      <formula1>"Заявление организации,Заявление организации (отсутствует)"</formula1>
    </dataValidation>
    <dataValidation type="list" allowBlank="1" showInputMessage="1" showErrorMessage="1" errorTitle="Ошибка" error="Выберите значение из списка" prompt="Выберите значение из списка" sqref="AE200 AE214">
      <formula1>COLDVSNA_VTARIFF</formula1>
    </dataValidation>
    <dataValidation type="list" allowBlank="1" showInputMessage="1" showErrorMessage="1" errorTitle="Ошибка" error="Выберите значение из списка" prompt="Выберите значение из списка" sqref="AE203 AE217">
      <formula1>COLDVSNA_VTOV</formula1>
    </dataValidation>
    <dataValidation type="textLength" operator="lessThanOrEqual" allowBlank="1" showInputMessage="1" showErrorMessage="1" errorTitle="Ошибка" error="Допускается ввод не более 900 символов!" sqref="AE65:AE67">
      <formula1>900</formula1>
    </dataValidation>
    <dataValidation type="list" allowBlank="1" showInputMessage="1" showErrorMessage="1" errorTitle="Ошибка" error="Выберите значение из списка" sqref="AE228">
      <formula1>VOTV_VTARIFF</formula1>
    </dataValidation>
    <dataValidation type="list" allowBlank="1" showInputMessage="1" showErrorMessage="1" errorTitle="Ошибка" error="Выберите значение из списка" sqref="AE231">
      <formula1>VOTV_VTOV</formula1>
    </dataValidation>
    <dataValidation type="list" allowBlank="1" showInputMessage="1" showErrorMessage="1" errorTitle="Ошибка" error="Выберите значение из списка" sqref="AE242">
      <formula1>VOTV_VTARIFF</formula1>
    </dataValidation>
    <dataValidation type="list" allowBlank="1" showInputMessage="1" showErrorMessage="1" errorTitle="Ошибка" error="Выберите значение из списка" sqref="AE245">
      <formula1>VOTV_VTOV</formula1>
    </dataValidation>
  </dataValidations>
  <hyperlinks>
    <hyperlink ref="AE174" r:id="rId3" xr:uid="{D2E8FEEA-578F-6BF8-3F78-14D3398BA494}"/>
  </hyperlinks>
  <printOptions horizontalCentered="1"/>
  <pageMargins left="0.35" right="0.35" top="0.40" bottom="0.40" header="0.08" footer="0.08"/>
  <pageSetup paperSize="9" scale="46" fitToHeight="0" pageOrder="downThenOver" orientation="portrait"/>
  <headerFooter>
    <oddHeader>&amp;L&amp;C&amp;R</oddHeader>
    <oddFooter>&amp;L&amp;C&amp;R</oddFooter>
    <evenHeader>&amp;L&amp;C&amp;R</evenHeader>
    <evenFooter>&amp;L&amp;C&amp;R</evenFooter>
  </headerFooter>
  <rowBreaks count="1" manualBreakCount="1">
    <brk id="169" man="1" max="1048576"/>
  </rowBreaks>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1101D58-B9B7-01FE-1766-8F7596798488}" mc:Ignorable="x14ac xr xr2 xr3">
  <sheetPr>
    <tabColor theme="3" tint="0.6"/>
    <outlinePr summaryRight="0" summaryBelow="0"/>
    <pageSetUpPr fitToPage="1"/>
  </sheetPr>
  <dimension ref="A1:AR43"/>
  <sheetViews>
    <sheetView showGridLines="0" workbookViewId="0">
      <pane xSplit="31" ySplit="24" topLeftCell="AF29" activePane="bottomRight" state="frozen"/>
      <selection pane="bottomLeft" activeCell="A25" sqref="A25"/>
      <selection pane="topRight" activeCell="AF1" sqref="AF1"/>
      <selection pane="bottomRight" activeCell="AF31" sqref="AF31"/>
    </sheetView>
  </sheetViews>
  <sheetFormatPr defaultColWidth="9.140625" customHeight="1" defaultRowHeight="11.25"/>
  <cols>
    <col min="1" max="1" style="573" width="3.57421875" hidden="1" customWidth="1"/>
    <col min="2" max="2" style="1191" width="8.57421875" hidden="1" customWidth="1"/>
    <col min="3" max="4" style="573" width="3.57421875" hidden="1" customWidth="1"/>
    <col min="5" max="5" style="971" width="3.57421875" hidden="1" customWidth="1"/>
    <col min="6" max="16" style="573" width="3.57421875" hidden="1" customWidth="1"/>
    <col min="17" max="17" style="967" width="3.57421875" hidden="1" customWidth="1"/>
    <col min="18" max="19" style="573" width="3.57421875" hidden="1" customWidth="1"/>
    <col min="20" max="20" style="1308" width="3.57421875" hidden="1" customWidth="1"/>
    <col min="21" max="21" style="573" width="8.57421875" hidden="1" customWidth="1"/>
    <col min="22" max="25" style="573" width="6.00390625" hidden="1" customWidth="1"/>
    <col min="26" max="26" style="573" width="5.140625" hidden="1" customWidth="1"/>
    <col min="27" max="27" style="573" width="3.7109375" customWidth="1"/>
    <col min="28" max="28" style="110" width="11.00390625" customWidth="1"/>
    <col min="29" max="30" style="110" width="45.00390625" customWidth="1"/>
    <col min="31" max="31" style="116" width="14.00390625" customWidth="1"/>
    <col min="32" max="32" style="116" width="35.00390625" customWidth="1"/>
    <col min="33" max="33" style="110" width="35.00390625" customWidth="1"/>
    <col min="34" max="34" style="110" width="9.140625"/>
    <col min="35" max="41" style="573" width="9.140625" hidden="1"/>
    <col min="42" max="44" style="110" width="9.140625" hidden="1"/>
  </cols>
  <sheetData>
    <row customHeight="1" ht="11.25" hidden="1">
      <c r="E1" s="144"/>
      <c r="F1" s="144" t="s">
        <v>333</v>
      </c>
      <c r="G1" s="144" t="s">
        <v>334</v>
      </c>
      <c r="U1" s="470" t="s">
        <v>93</v>
      </c>
      <c r="V1" s="468" t="s">
        <v>98</v>
      </c>
      <c r="W1" s="468" t="s">
        <v>94</v>
      </c>
      <c r="X1" s="468" t="s">
        <v>95</v>
      </c>
      <c r="Y1" s="468" t="s">
        <v>96</v>
      </c>
      <c r="Z1" s="468" t="s">
        <v>100</v>
      </c>
      <c r="AA1" s="470" t="s">
        <v>97</v>
      </c>
      <c r="AB1" s="469" t="s">
        <v>335</v>
      </c>
      <c r="AC1" s="469" t="s">
        <v>99</v>
      </c>
      <c r="AI1" s="144" t="s">
        <v>336</v>
      </c>
      <c r="AJ1" s="144" t="s">
        <v>337</v>
      </c>
      <c r="AK1" s="144" t="s">
        <v>338</v>
      </c>
      <c r="AL1" s="144" t="s">
        <v>339</v>
      </c>
      <c r="AM1" s="144" t="s">
        <v>340</v>
      </c>
      <c r="AN1" s="144" t="s">
        <v>341</v>
      </c>
      <c r="AO1" s="144" t="s">
        <v>342</v>
      </c>
    </row>
    <row s="441" customFormat="1" customHeight="1" ht="11.25" hidden="1">
      <c r="A2" s="431"/>
      <c r="B2" s="969" t="s">
        <v>19</v>
      </c>
      <c r="C2" s="431"/>
      <c r="D2" s="431"/>
      <c r="E2" s="431"/>
      <c r="F2" s="431"/>
      <c r="G2" s="431"/>
      <c r="H2" s="431"/>
      <c r="I2" s="431"/>
      <c r="J2" s="431"/>
      <c r="K2" s="431"/>
      <c r="L2" s="431"/>
      <c r="M2" s="431"/>
      <c r="N2" s="431"/>
      <c r="O2" s="431"/>
      <c r="P2" s="431"/>
      <c r="Q2" s="431"/>
      <c r="R2" s="431"/>
      <c r="S2" s="431"/>
      <c r="T2" s="661"/>
      <c r="U2" s="293"/>
      <c r="V2" s="431"/>
      <c r="W2" s="431"/>
      <c r="X2" s="431"/>
      <c r="Y2" s="431"/>
      <c r="Z2" s="431"/>
      <c r="AA2" s="431"/>
      <c r="AI2" s="431"/>
      <c r="AJ2" s="431"/>
      <c r="AK2" s="431"/>
      <c r="AL2" s="431"/>
      <c r="AM2" s="431"/>
      <c r="AN2" s="431"/>
      <c r="AO2" s="431"/>
    </row>
    <row customHeight="1" ht="11.25" hidden="1">
      <c r="E3" s="144"/>
    </row>
    <row customHeight="1" ht="11.25" hidden="1">
      <c r="E4" s="144"/>
    </row>
    <row s="632" customFormat="1" customHeight="1" ht="11.25" hidden="1">
      <c r="A5" s="144"/>
      <c r="B5" s="431"/>
      <c r="C5" s="144"/>
      <c r="D5" s="144"/>
      <c r="E5" s="970" t="s">
        <v>20</v>
      </c>
      <c r="F5" s="971"/>
      <c r="G5" s="971"/>
      <c r="H5" s="971"/>
      <c r="I5" s="971"/>
      <c r="J5" s="971"/>
      <c r="K5" s="971"/>
      <c r="L5" s="971"/>
      <c r="M5" s="971"/>
      <c r="N5" s="971"/>
      <c r="O5" s="971"/>
      <c r="P5" s="971"/>
      <c r="Q5" s="972"/>
      <c r="R5" s="971"/>
      <c r="S5" s="971"/>
      <c r="T5" s="973"/>
      <c r="U5" s="971"/>
      <c r="V5" s="971"/>
      <c r="W5" s="971"/>
      <c r="X5" s="971"/>
      <c r="Y5" s="971"/>
      <c r="Z5" s="971"/>
      <c r="AA5" s="626" t="s">
        <v>234</v>
      </c>
      <c r="AB5" s="644">
        <v>11</v>
      </c>
      <c r="AC5" s="644">
        <v>45</v>
      </c>
      <c r="AD5" s="644">
        <v>45</v>
      </c>
      <c r="AE5" s="644">
        <v>14</v>
      </c>
      <c r="AF5" s="644">
        <v>35</v>
      </c>
      <c r="AG5" s="644">
        <v>35</v>
      </c>
      <c r="AH5" s="632" t="s">
        <v>234</v>
      </c>
      <c r="AI5" s="971"/>
      <c r="AJ5" s="971"/>
      <c r="AK5" s="971"/>
      <c r="AL5" s="971"/>
      <c r="AM5" s="971"/>
      <c r="AN5" s="971"/>
      <c r="AO5" s="971"/>
    </row>
    <row customHeight="1" ht="11.25" hidden="1">
      <c r="A6" s="144" t="s">
        <v>343</v>
      </c>
      <c r="AC6" s="98" t="s">
        <v>344</v>
      </c>
      <c r="AD6" s="98" t="s">
        <v>345</v>
      </c>
      <c r="AE6" s="98" t="s">
        <v>346</v>
      </c>
      <c r="AF6" s="116" t="s">
        <v>347</v>
      </c>
      <c r="AG6" s="98" t="s">
        <v>348</v>
      </c>
    </row>
    <row s="573" customFormat="1" customHeight="1" ht="11.25" hidden="1">
      <c r="B7" s="431"/>
      <c r="E7" s="971"/>
      <c r="Q7" s="967"/>
      <c r="T7" s="968"/>
      <c r="AE7" s="200"/>
      <c r="AF7" s="200"/>
    </row>
    <row s="573" customFormat="1" customHeight="1" ht="11.25" hidden="1">
      <c r="B8" s="431"/>
      <c r="E8" s="971"/>
      <c r="Q8" s="967"/>
      <c r="T8" s="968"/>
      <c r="AE8" s="200"/>
      <c r="AF8" s="200"/>
    </row>
    <row s="573" customFormat="1" customHeight="1" ht="11.25" hidden="1">
      <c r="A9" s="144" t="s">
        <v>349</v>
      </c>
      <c r="B9" s="431"/>
      <c r="E9" s="971"/>
      <c r="Q9" s="967"/>
      <c r="T9" s="968"/>
      <c r="AE9" s="200"/>
      <c r="AF9" s="200" cm="1" t="str">
        <f t="array" ref="AF9:AF9">AF24</f>
        <v>Тип муниципального образования </v>
      </c>
      <c r="AG9" s="200" cm="1" t="str">
        <f t="array" ref="AG9:AG9">AG24</f>
        <v>Дополнительные сведения</v>
      </c>
    </row>
    <row s="573" customFormat="1" customHeight="1" ht="11.25" hidden="1">
      <c r="A10" s="144" t="s">
        <v>350</v>
      </c>
      <c r="B10" s="431"/>
      <c r="E10" s="971"/>
      <c r="Q10" s="967"/>
      <c r="T10" s="968"/>
      <c r="AC10" s="144" t="s">
        <v>338</v>
      </c>
      <c r="AD10" s="144" t="s">
        <v>339</v>
      </c>
      <c r="AE10" s="200" t="s">
        <v>340</v>
      </c>
      <c r="AF10" s="200"/>
    </row>
    <row s="573" customFormat="1" customHeight="1" ht="11.25" hidden="1">
      <c r="B11" s="431"/>
      <c r="E11" s="971"/>
      <c r="Q11" s="974"/>
      <c r="T11" s="968"/>
      <c r="AE11" s="200"/>
    </row>
    <row s="573" customFormat="1" customHeight="1" ht="11.25" hidden="1">
      <c r="B12" s="431"/>
      <c r="E12" s="971"/>
      <c r="Q12" s="974"/>
      <c r="T12" s="968"/>
    </row>
    <row s="573" customFormat="1" customHeight="1" ht="11.25" hidden="1">
      <c r="B13" s="431"/>
      <c r="E13" s="971"/>
      <c r="Q13" s="974"/>
      <c r="T13" s="968"/>
    </row>
    <row s="573" customFormat="1" customHeight="1" ht="11.25" hidden="1">
      <c r="B14" s="431"/>
      <c r="E14" s="971"/>
      <c r="Q14" s="974"/>
      <c r="T14" s="968"/>
    </row>
    <row s="573" customFormat="1" customHeight="1" ht="11.25" hidden="1">
      <c r="B15" s="431"/>
      <c r="E15" s="971"/>
      <c r="Q15" s="974"/>
      <c r="T15" s="968"/>
    </row>
    <row s="573" customFormat="1" customHeight="1" ht="11.25" hidden="1">
      <c r="B16" s="431"/>
      <c r="E16" s="971"/>
      <c r="Q16" s="974"/>
      <c r="T16" s="968"/>
    </row>
    <row customHeight="1" ht="11.25" hidden="1">
      <c r="Q17" s="974"/>
      <c r="AE17" s="98"/>
      <c r="AF17" s="98"/>
    </row>
    <row customHeight="1" ht="11.25" hidden="1">
      <c r="A18" s="144"/>
      <c r="Q18" s="974"/>
      <c r="AC18" s="98" t="s">
        <v>351</v>
      </c>
      <c r="AD18" s="98" t="s">
        <v>352</v>
      </c>
      <c r="AE18" s="98"/>
      <c r="AF18" s="98"/>
    </row>
    <row customHeight="1" ht="11.25" hidden="1">
      <c r="Q19" s="974"/>
      <c r="AE19" s="98"/>
      <c r="AF19" s="98"/>
    </row>
    <row customHeight="1" ht="11.25" hidden="1">
      <c r="Q20" s="974"/>
      <c r="AE20" s="98"/>
      <c r="AF20" s="98"/>
    </row>
    <row customHeight="1" ht="15">
      <c r="E21" s="971" t="s">
        <v>353</v>
      </c>
      <c r="Q21" s="974"/>
      <c r="U21" s="968"/>
      <c r="V21" s="968"/>
      <c r="W21" s="968"/>
      <c r="X21" s="968"/>
      <c r="Y21" s="968"/>
      <c r="Z21" s="968"/>
      <c r="AA21" s="968"/>
      <c r="AB21" s="109"/>
      <c r="AC21" s="361" cm="1" t="str">
        <f t="array" ref="AC21:AC21">tpl_title</f>
        <v>Кемеровская область / 2026 / ОАО «СКЭК» (ИНН:4205153492, КПП:420501001) / ДПР: 2024-2028</v>
      </c>
      <c r="AD21" s="109"/>
      <c r="AE21" s="109"/>
      <c r="AF21" s="109"/>
    </row>
    <row customHeight="1" ht="30">
      <c r="E22" s="971" t="s">
        <v>354</v>
      </c>
      <c r="Q22" s="974"/>
      <c r="S22" s="968"/>
      <c r="U22" s="968"/>
      <c r="V22" s="968"/>
      <c r="W22" s="968"/>
      <c r="X22" s="968"/>
      <c r="Y22" s="968"/>
      <c r="Z22" s="968"/>
      <c r="AA22" s="968"/>
      <c r="AB22" s="1517" t="s">
        <v>35</v>
      </c>
      <c r="AC22" s="1518"/>
      <c r="AD22" s="1518"/>
      <c r="AE22" s="1518"/>
      <c r="AF22" s="1518"/>
      <c r="AG22" s="1518"/>
    </row>
    <row customHeight="1" ht="11.25">
      <c r="E23" s="638" t="s">
        <v>355</v>
      </c>
      <c r="Q23" s="974"/>
      <c r="U23" s="975"/>
      <c r="V23" s="975"/>
      <c r="W23" s="975"/>
      <c r="X23" s="975"/>
      <c r="Y23" s="975"/>
      <c r="Z23" s="975"/>
      <c r="AA23" s="975"/>
      <c r="AB23" s="111"/>
      <c r="AC23" s="111"/>
      <c r="AD23" s="111"/>
      <c r="AE23" s="112"/>
      <c r="AF23" s="112"/>
      <c r="AG23" s="112"/>
    </row>
    <row customHeight="1" ht="28.5">
      <c r="E24" s="971" t="s">
        <v>356</v>
      </c>
      <c r="U24" s="975"/>
      <c r="V24" s="975"/>
      <c r="W24" s="975"/>
      <c r="X24" s="975"/>
      <c r="Y24" s="975"/>
      <c r="Z24" s="975"/>
      <c r="AA24" s="975"/>
      <c r="AB24" s="113" t="s">
        <v>22</v>
      </c>
      <c r="AC24" s="114" t="s">
        <v>351</v>
      </c>
      <c r="AD24" s="114" t="s">
        <v>352</v>
      </c>
      <c r="AE24" s="114" t="s">
        <v>357</v>
      </c>
      <c r="AF24" s="368" t="s">
        <v>358</v>
      </c>
      <c r="AG24" s="115" t="s">
        <v>287</v>
      </c>
    </row>
    <row customHeight="1" ht="11.25" hidden="1">
      <c r="E25" s="971">
        <v>0</v>
      </c>
      <c r="U25" s="975"/>
      <c r="V25" s="975"/>
      <c r="W25" s="975"/>
      <c r="X25" s="975"/>
      <c r="Y25" s="975"/>
      <c r="Z25" s="975"/>
      <c r="AA25" s="975"/>
      <c r="AB25" s="730"/>
      <c r="AC25" s="730"/>
      <c r="AD25" s="730"/>
      <c r="AE25" s="730"/>
      <c r="AF25" s="730"/>
      <c r="AG25" s="730"/>
    </row>
    <row customHeight="1" ht="15" hidden="1">
      <c r="A26" s="573"/>
      <c r="B26" s="1191"/>
      <c r="C26" s="573"/>
      <c r="D26" s="573"/>
      <c r="E26" s="971" t="s">
        <v>353</v>
      </c>
      <c r="F26" s="139" cm="1" t="str">
        <f t="array" ref="F26:F26">Y26</f>
        <v>0</v>
      </c>
      <c r="G26" s="573"/>
      <c r="H26" s="573"/>
      <c r="I26" s="573"/>
      <c r="J26" s="573"/>
      <c r="K26" s="573"/>
      <c r="L26" s="573"/>
      <c r="M26" s="573"/>
      <c r="N26" s="573"/>
      <c r="O26" s="573"/>
      <c r="P26" s="573"/>
      <c r="Q26" s="967"/>
      <c r="R26" s="573"/>
      <c r="S26" s="573"/>
      <c r="T26" s="1308"/>
      <c r="U26" s="470">
        <f>Y26&gt;0</f>
        <v>0</v>
      </c>
      <c r="V26" s="473"/>
      <c r="W26" s="474" t="s">
        <v>279</v>
      </c>
      <c r="X26" s="473"/>
      <c r="Y26" s="1519">
        <v>0</v>
      </c>
      <c r="Z26" s="1520"/>
      <c r="AA26" s="976"/>
      <c r="AB26" s="176" cm="1" t="str">
        <f t="array" ref="AB26:AB26">INDEX('Общие сведения'!$AG$197:$AG$254,MATCH($Y26,'Общие сведения'!$Z$197:$Z$254,0))</f>
        <v>Тариф 0 () - </v>
      </c>
      <c r="AC26" s="170"/>
      <c r="AD26" s="170"/>
      <c r="AE26" s="170"/>
      <c r="AF26" s="170"/>
      <c r="AG26" s="170"/>
      <c r="AH26" s="110"/>
      <c r="AI26" s="573"/>
      <c r="AJ26" s="573"/>
      <c r="AK26" s="573"/>
      <c r="AL26" s="573"/>
      <c r="AM26" s="573"/>
      <c r="AN26" s="573"/>
      <c r="AO26" s="573"/>
      <c r="AP26" s="110"/>
      <c r="AQ26" s="110"/>
      <c r="AR26" s="110"/>
    </row>
    <row customHeight="1" ht="15" hidden="1">
      <c r="A27" s="573"/>
      <c r="B27" s="1191"/>
      <c r="C27" s="573"/>
      <c r="D27" s="573"/>
      <c r="E27" s="971" t="s">
        <v>353</v>
      </c>
      <c r="F27" s="139" cm="1" t="str">
        <f t="array" ref="F27:F27">OFFSET(E27,-1,1)</f>
        <v>0</v>
      </c>
      <c r="G27" s="144" cm="1" t="str">
        <f t="array" ref="G27:G27">AB27</f>
        <v>0</v>
      </c>
      <c r="H27" s="573"/>
      <c r="I27" s="573"/>
      <c r="J27" s="573"/>
      <c r="K27" s="573"/>
      <c r="L27" s="573"/>
      <c r="M27" s="573"/>
      <c r="N27" s="573"/>
      <c r="O27" s="573"/>
      <c r="P27" s="573"/>
      <c r="Q27" s="967"/>
      <c r="R27" s="573"/>
      <c r="S27" s="573"/>
      <c r="T27" s="977"/>
      <c r="U27" s="470">
        <f>AND(F27&gt;0,AB27&gt;0)</f>
        <v>0</v>
      </c>
      <c r="V27" s="475"/>
      <c r="W27" s="476"/>
      <c r="X27" s="764" t="s">
        <v>173</v>
      </c>
      <c r="Y27" s="1519"/>
      <c r="Z27" s="1520"/>
      <c r="AA27" s="668" t="s">
        <v>174</v>
      </c>
      <c r="AB27" s="652">
        <v>0</v>
      </c>
      <c r="AC27" s="765"/>
      <c r="AD27" s="175"/>
      <c r="AE27" s="175"/>
      <c r="AF27" s="1772"/>
      <c r="AG27" s="1773"/>
      <c r="AH27" s="110"/>
      <c r="AI27" s="144" t="s">
        <v>359</v>
      </c>
      <c r="AJ27" s="144" t="s">
        <v>360</v>
      </c>
      <c r="AK27" s="144" cm="1" t="str">
        <f t="array" ref="AK27:AK27">AC27</f>
        <v>0</v>
      </c>
      <c r="AL27" s="144" cm="1" t="str">
        <f t="array" ref="AL27:AL27">AD27</f>
        <v>0</v>
      </c>
      <c r="AM27" s="144" cm="1" t="str">
        <f t="array" ref="AM27:AM27">AE27</f>
        <v>0</v>
      </c>
      <c r="AN27" s="573"/>
      <c r="AO27" s="144" t="b">
        <v>1</v>
      </c>
      <c r="AP27" s="110"/>
      <c r="AQ27" s="110"/>
      <c r="AR27" s="110"/>
    </row>
    <row customHeight="1" ht="15" hidden="1">
      <c r="A28" s="573"/>
      <c r="B28" s="1191"/>
      <c r="C28" s="573"/>
      <c r="D28" s="573"/>
      <c r="E28" s="971" t="s">
        <v>353</v>
      </c>
      <c r="F28" s="139" cm="1" t="str">
        <f t="array" ref="F28:F28">OFFSET(E28,-1,1)</f>
        <v>0</v>
      </c>
      <c r="G28" s="144" t="s">
        <v>361</v>
      </c>
      <c r="H28" s="573"/>
      <c r="I28" s="573"/>
      <c r="J28" s="573"/>
      <c r="K28" s="573"/>
      <c r="L28" s="573"/>
      <c r="M28" s="573"/>
      <c r="N28" s="573"/>
      <c r="O28" s="573"/>
      <c r="P28" s="764"/>
      <c r="Q28" s="967"/>
      <c r="R28" s="573"/>
      <c r="S28" s="573"/>
      <c r="T28" s="1308"/>
      <c r="U28" s="470" cm="1" t="str">
        <f t="array" ref="U28:U28">U26</f>
        <v>false</v>
      </c>
      <c r="V28" s="573"/>
      <c r="W28" s="573"/>
      <c r="X28" s="764" t="s">
        <v>362</v>
      </c>
      <c r="Y28" s="1519"/>
      <c r="Z28" s="1520"/>
      <c r="AA28" s="471"/>
      <c r="AB28" s="171"/>
      <c r="AC28" s="256" t="s">
        <v>363</v>
      </c>
      <c r="AD28" s="172"/>
      <c r="AE28" s="172"/>
      <c r="AF28" s="172"/>
      <c r="AG28" s="173"/>
      <c r="AH28" s="110"/>
      <c r="AI28" s="573"/>
      <c r="AJ28" s="573"/>
      <c r="AK28" s="573"/>
      <c r="AL28" s="573"/>
      <c r="AM28" s="573"/>
      <c r="AN28" s="144" t="s">
        <v>360</v>
      </c>
      <c r="AO28" s="573"/>
      <c r="AP28" s="110"/>
      <c r="AQ28" s="110"/>
      <c r="AR28" s="110"/>
    </row>
    <row s="1656" customFormat="1" customHeight="1" ht="21.421875">
      <c r="A29" s="573"/>
      <c r="B29" s="1191"/>
      <c r="C29" s="573"/>
      <c r="D29" s="573"/>
      <c r="E29" s="971" t="s">
        <v>353</v>
      </c>
      <c r="F29" s="139" cm="1" t="str">
        <f t="array" ref="F29:F29">Y29</f>
        <v>1</v>
      </c>
      <c r="G29" s="573"/>
      <c r="H29" s="573"/>
      <c r="I29" s="573"/>
      <c r="J29" s="573"/>
      <c r="K29" s="573"/>
      <c r="L29" s="573"/>
      <c r="M29" s="573"/>
      <c r="N29" s="573"/>
      <c r="O29" s="573"/>
      <c r="P29" s="573"/>
      <c r="Q29" s="967"/>
      <c r="R29" s="573"/>
      <c r="S29" s="573"/>
      <c r="T29" s="1308"/>
      <c r="U29" s="470">
        <f>Y29&gt;0</f>
        <v>1</v>
      </c>
      <c r="V29" s="473"/>
      <c r="W29" s="474" cm="1" t="str">
        <f t="array" ref="W29:W29">'Общие сведения'!$AG$212</f>
        <v>Тариф 1 (Водоснабжение) - тариф на питьевую воду (Оказание услуг на территории: город Ленинск-Кузнецкий (ОКТМО: 32719000) - г Ленинск-Кузнецкий, г Полысаево)</v>
      </c>
      <c r="X29" s="473"/>
      <c r="Y29" s="1519" t="s">
        <v>290</v>
      </c>
      <c r="Z29" s="1520"/>
      <c r="AA29" s="976"/>
      <c r="AB29" s="176" cm="1" t="str">
        <f t="array" ref="AB29:AB29">'Общие сведения'!$AG$212</f>
        <v>Тариф 1 (Водоснабжение) - тариф на питьевую воду (Оказание услуг на территории: город Ленинск-Кузнецкий (ОКТМО: 32719000) - г Ленинск-Кузнецкий, г Полысаево)</v>
      </c>
      <c r="AC29" s="170"/>
      <c r="AD29" s="170"/>
      <c r="AE29" s="170"/>
      <c r="AF29" s="170"/>
      <c r="AG29" s="170"/>
      <c r="AH29" s="110"/>
      <c r="AI29" s="573"/>
      <c r="AJ29" s="573"/>
      <c r="AK29" s="573"/>
      <c r="AL29" s="573"/>
      <c r="AM29" s="573"/>
      <c r="AN29" s="573"/>
      <c r="AO29" s="573"/>
      <c r="AP29" s="110"/>
      <c r="AQ29" s="110"/>
      <c r="AR29" s="110"/>
    </row>
    <row s="1656" customFormat="1" customHeight="1" ht="15" hidden="1">
      <c r="A30" s="573"/>
      <c r="B30" s="1191"/>
      <c r="C30" s="573"/>
      <c r="D30" s="573"/>
      <c r="E30" s="971" t="s">
        <v>353</v>
      </c>
      <c r="F30" s="139" cm="1" t="str">
        <f t="array" ref="F30:F30">OFFSET(E30,-1,1)</f>
        <v>1</v>
      </c>
      <c r="G30" s="144" cm="1" t="str">
        <f t="array" ref="G30:G30">AB30</f>
        <v>0</v>
      </c>
      <c r="H30" s="573"/>
      <c r="I30" s="573"/>
      <c r="J30" s="573"/>
      <c r="K30" s="573"/>
      <c r="L30" s="573"/>
      <c r="M30" s="573"/>
      <c r="N30" s="573"/>
      <c r="O30" s="573"/>
      <c r="P30" s="573"/>
      <c r="Q30" s="967"/>
      <c r="R30" s="573"/>
      <c r="S30" s="573"/>
      <c r="T30" s="977"/>
      <c r="U30" s="470">
        <f>AND(F30&gt;0,AB30&gt;0)</f>
        <v>0</v>
      </c>
      <c r="V30" s="475"/>
      <c r="W30" s="476"/>
      <c r="X30" s="764" t="s">
        <v>173</v>
      </c>
      <c r="Y30" s="1519"/>
      <c r="Z30" s="1520"/>
      <c r="AA30" s="668" t="s">
        <v>174</v>
      </c>
      <c r="AB30" s="652">
        <v>0</v>
      </c>
      <c r="AC30" s="765"/>
      <c r="AD30" s="175"/>
      <c r="AE30" s="175"/>
      <c r="AF30" s="1772"/>
      <c r="AG30" s="1773"/>
      <c r="AH30" s="110"/>
      <c r="AI30" s="144" t="s">
        <v>359</v>
      </c>
      <c r="AJ30" s="144" t="s">
        <v>360</v>
      </c>
      <c r="AK30" s="144" cm="1" t="str">
        <f t="array" ref="AK30:AK30">AC30</f>
        <v>0</v>
      </c>
      <c r="AL30" s="144" cm="1" t="str">
        <f t="array" ref="AL30:AL30">AD30</f>
        <v>0</v>
      </c>
      <c r="AM30" s="144" cm="1" t="str">
        <f t="array" ref="AM30:AM30">AE30</f>
        <v>0</v>
      </c>
      <c r="AN30" s="573"/>
      <c r="AO30" s="144" t="b">
        <v>1</v>
      </c>
      <c r="AP30" s="110"/>
      <c r="AQ30" s="110"/>
      <c r="AR30" s="110"/>
    </row>
    <row s="1656" customFormat="1" customHeight="1" ht="25.171875">
      <c r="A31" s="573"/>
      <c r="B31" s="1191"/>
      <c r="C31" s="573"/>
      <c r="D31" s="573"/>
      <c r="E31" s="971" t="s">
        <v>353</v>
      </c>
      <c r="F31" s="139" cm="1" t="str">
        <f t="array" ref="F31:F31">OFFSET(E31,-1,1)</f>
        <v>1</v>
      </c>
      <c r="G31" s="144" cm="1" t="str">
        <f t="array" ref="G31:G31">AB31</f>
        <v>1</v>
      </c>
      <c r="H31" s="573"/>
      <c r="I31" s="573"/>
      <c r="J31" s="573"/>
      <c r="K31" s="573"/>
      <c r="L31" s="573"/>
      <c r="M31" s="573"/>
      <c r="N31" s="573"/>
      <c r="O31" s="573"/>
      <c r="P31" s="573"/>
      <c r="Q31" s="967"/>
      <c r="R31" s="573"/>
      <c r="S31" s="573"/>
      <c r="T31" s="977"/>
      <c r="U31" s="470">
        <f>AND(F31&gt;0,AB31&gt;0)</f>
        <v>1</v>
      </c>
      <c r="V31" s="475"/>
      <c r="W31" s="476"/>
      <c r="X31" s="764"/>
      <c r="Y31" s="1519"/>
      <c r="Z31" s="1520"/>
      <c r="AA31" s="668" t="s">
        <v>174</v>
      </c>
      <c r="AB31" s="652" t="s">
        <v>290</v>
      </c>
      <c r="AC31" s="765" t="s">
        <v>364</v>
      </c>
      <c r="AD31" s="175" t="s">
        <v>364</v>
      </c>
      <c r="AE31" s="175" t="s">
        <v>365</v>
      </c>
      <c r="AF31" s="946" t="s">
        <v>366</v>
      </c>
      <c r="AG31" s="192"/>
      <c r="AH31" s="110"/>
      <c r="AI31" s="144" t="s">
        <v>359</v>
      </c>
      <c r="AJ31" s="144" t="s">
        <v>360</v>
      </c>
      <c r="AK31" s="144" cm="1" t="str">
        <f t="array" ref="AK31:AK31">AC31</f>
        <v>Ленинск-Кузнецкий муниципальный округ</v>
      </c>
      <c r="AL31" s="144" cm="1" t="str">
        <f t="array" ref="AL31:AL31">AD31</f>
        <v>Ленинск-Кузнецкий муниципальный округ</v>
      </c>
      <c r="AM31" s="144" cm="1" t="str">
        <f t="array" ref="AM31:AM31">AE31</f>
        <v>32514000</v>
      </c>
      <c r="AN31" s="573"/>
      <c r="AO31" s="144" t="b">
        <v>1</v>
      </c>
      <c r="AP31" s="110"/>
      <c r="AQ31" s="110"/>
      <c r="AR31" s="110"/>
    </row>
    <row s="1656" customFormat="1" customHeight="1" ht="20.671875">
      <c r="A32" s="573"/>
      <c r="B32" s="1191"/>
      <c r="C32" s="573"/>
      <c r="D32" s="573"/>
      <c r="E32" s="971" t="s">
        <v>353</v>
      </c>
      <c r="F32" s="139" cm="1" t="str">
        <f t="array" ref="F32:F32">OFFSET(E32,-1,1)</f>
        <v>1</v>
      </c>
      <c r="G32" s="144" cm="1" t="str">
        <f t="array" ref="G32:G32">AB32</f>
        <v>2</v>
      </c>
      <c r="H32" s="573"/>
      <c r="I32" s="573"/>
      <c r="J32" s="573"/>
      <c r="K32" s="573"/>
      <c r="L32" s="573"/>
      <c r="M32" s="573"/>
      <c r="N32" s="573"/>
      <c r="O32" s="573"/>
      <c r="P32" s="573"/>
      <c r="Q32" s="967"/>
      <c r="R32" s="573"/>
      <c r="S32" s="573"/>
      <c r="T32" s="977"/>
      <c r="U32" s="470">
        <f>AND(F32&gt;0,AB32&gt;0)</f>
        <v>1</v>
      </c>
      <c r="V32" s="475"/>
      <c r="W32" s="476"/>
      <c r="X32" s="764"/>
      <c r="Y32" s="1519"/>
      <c r="Z32" s="1520"/>
      <c r="AA32" s="668" t="s">
        <v>174</v>
      </c>
      <c r="AB32" s="652" t="s">
        <v>299</v>
      </c>
      <c r="AC32" s="765" t="s">
        <v>364</v>
      </c>
      <c r="AD32" s="175" t="s">
        <v>364</v>
      </c>
      <c r="AE32" s="175" t="s">
        <v>365</v>
      </c>
      <c r="AF32" s="946" t="s">
        <v>366</v>
      </c>
      <c r="AG32" s="192"/>
      <c r="AH32" s="110"/>
      <c r="AI32" s="144" t="s">
        <v>359</v>
      </c>
      <c r="AJ32" s="144" t="s">
        <v>360</v>
      </c>
      <c r="AK32" s="144" cm="1" t="str">
        <f t="array" ref="AK32:AK32">AC32</f>
        <v>Ленинск-Кузнецкий муниципальный округ</v>
      </c>
      <c r="AL32" s="144" cm="1" t="str">
        <f t="array" ref="AL32:AL32">AD32</f>
        <v>Ленинск-Кузнецкий муниципальный округ</v>
      </c>
      <c r="AM32" s="144" cm="1" t="str">
        <f t="array" ref="AM32:AM32">AE32</f>
        <v>32514000</v>
      </c>
      <c r="AN32" s="573"/>
      <c r="AO32" s="144" t="b">
        <v>1</v>
      </c>
      <c r="AP32" s="110"/>
      <c r="AQ32" s="110"/>
      <c r="AR32" s="110"/>
    </row>
    <row s="1656" customFormat="1" customHeight="1" ht="15">
      <c r="A33" s="573"/>
      <c r="B33" s="1191"/>
      <c r="C33" s="573"/>
      <c r="D33" s="573"/>
      <c r="E33" s="971" t="s">
        <v>353</v>
      </c>
      <c r="F33" s="139" cm="1" t="str">
        <f t="array" ref="F33:F33">OFFSET(E33,-1,1)</f>
        <v>1</v>
      </c>
      <c r="G33" s="144" t="s">
        <v>361</v>
      </c>
      <c r="H33" s="573"/>
      <c r="I33" s="573"/>
      <c r="J33" s="573"/>
      <c r="K33" s="573"/>
      <c r="L33" s="573"/>
      <c r="M33" s="573"/>
      <c r="N33" s="573"/>
      <c r="O33" s="573"/>
      <c r="P33" s="764"/>
      <c r="Q33" s="967"/>
      <c r="R33" s="573"/>
      <c r="S33" s="573"/>
      <c r="T33" s="1308"/>
      <c r="U33" s="470" cm="1" t="str">
        <f t="array" ref="U33:U33">U29</f>
        <v>true</v>
      </c>
      <c r="V33" s="573"/>
      <c r="W33" s="573"/>
      <c r="X33" s="764" t="s">
        <v>362</v>
      </c>
      <c r="Y33" s="1519"/>
      <c r="Z33" s="1520"/>
      <c r="AA33" s="471"/>
      <c r="AB33" s="171"/>
      <c r="AC33" s="256" t="s">
        <v>363</v>
      </c>
      <c r="AD33" s="172"/>
      <c r="AE33" s="172"/>
      <c r="AF33" s="172"/>
      <c r="AG33" s="173"/>
      <c r="AH33" s="110"/>
      <c r="AI33" s="573"/>
      <c r="AJ33" s="573"/>
      <c r="AK33" s="573"/>
      <c r="AL33" s="573"/>
      <c r="AM33" s="573"/>
      <c r="AN33" s="144" t="s">
        <v>360</v>
      </c>
      <c r="AO33" s="573"/>
      <c r="AP33" s="110"/>
      <c r="AQ33" s="110"/>
      <c r="AR33" s="110"/>
    </row>
    <row s="1656" customFormat="1" customHeight="1" ht="19.171875">
      <c r="A34" s="573"/>
      <c r="B34" s="1191"/>
      <c r="C34" s="573"/>
      <c r="D34" s="573"/>
      <c r="E34" s="971" t="s">
        <v>353</v>
      </c>
      <c r="F34" s="139" cm="1" t="str">
        <f t="array" ref="F34:F34">Y34</f>
        <v>2</v>
      </c>
      <c r="G34" s="573"/>
      <c r="H34" s="573"/>
      <c r="I34" s="573"/>
      <c r="J34" s="573"/>
      <c r="K34" s="573"/>
      <c r="L34" s="573"/>
      <c r="M34" s="573"/>
      <c r="N34" s="573"/>
      <c r="O34" s="573"/>
      <c r="P34" s="573"/>
      <c r="Q34" s="967"/>
      <c r="R34" s="573"/>
      <c r="S34" s="573"/>
      <c r="T34" s="1308"/>
      <c r="U34" s="470">
        <f>Y34&gt;0</f>
        <v>1</v>
      </c>
      <c r="V34" s="473"/>
      <c r="W34" s="474" cm="1" t="str">
        <f t="array" ref="W34:W34">'Общие сведения'!$AG$226</f>
        <v>Тариф 2 (Водоотведение) - тариф на водоотведение (Оказание услуг на территории: город Ленинск-Кузнецкий (ОКТМО: 32719000) - г Ленинск-Кузнецкий)</v>
      </c>
      <c r="X34" s="473"/>
      <c r="Y34" s="1519" t="s">
        <v>299</v>
      </c>
      <c r="Z34" s="1520"/>
      <c r="AA34" s="976"/>
      <c r="AB34" s="176" cm="1" t="str">
        <f t="array" ref="AB34:AB34">'Общие сведения'!$AG$226</f>
        <v>Тариф 2 (Водоотведение) - тариф на водоотведение (Оказание услуг на территории: город Ленинск-Кузнецкий (ОКТМО: 32719000) - г Ленинск-Кузнецкий)</v>
      </c>
      <c r="AC34" s="170"/>
      <c r="AD34" s="170"/>
      <c r="AE34" s="170"/>
      <c r="AF34" s="170"/>
      <c r="AG34" s="170"/>
      <c r="AH34" s="110"/>
      <c r="AI34" s="573"/>
      <c r="AJ34" s="573"/>
      <c r="AK34" s="573"/>
      <c r="AL34" s="573"/>
      <c r="AM34" s="573"/>
      <c r="AN34" s="573"/>
      <c r="AO34" s="573"/>
      <c r="AP34" s="110"/>
      <c r="AQ34" s="110"/>
      <c r="AR34" s="110"/>
    </row>
    <row s="1656" customFormat="1" customHeight="1" ht="15" hidden="1">
      <c r="A35" s="573"/>
      <c r="B35" s="1191"/>
      <c r="C35" s="573"/>
      <c r="D35" s="573"/>
      <c r="E35" s="971" t="s">
        <v>353</v>
      </c>
      <c r="F35" s="139" cm="1" t="str">
        <f t="array" ref="F35:F35">OFFSET(E35,-1,1)</f>
        <v>2</v>
      </c>
      <c r="G35" s="144" cm="1" t="str">
        <f t="array" ref="G35:G35">AB35</f>
        <v>0</v>
      </c>
      <c r="H35" s="573"/>
      <c r="I35" s="573"/>
      <c r="J35" s="573"/>
      <c r="K35" s="573"/>
      <c r="L35" s="573"/>
      <c r="M35" s="573"/>
      <c r="N35" s="573"/>
      <c r="O35" s="573"/>
      <c r="P35" s="573"/>
      <c r="Q35" s="967"/>
      <c r="R35" s="573"/>
      <c r="S35" s="573"/>
      <c r="T35" s="977"/>
      <c r="U35" s="470">
        <f>AND(F35&gt;0,AB35&gt;0)</f>
        <v>0</v>
      </c>
      <c r="V35" s="475"/>
      <c r="W35" s="476"/>
      <c r="X35" s="764" t="s">
        <v>173</v>
      </c>
      <c r="Y35" s="1519"/>
      <c r="Z35" s="1520"/>
      <c r="AA35" s="668" t="s">
        <v>174</v>
      </c>
      <c r="AB35" s="652">
        <v>0</v>
      </c>
      <c r="AC35" s="765"/>
      <c r="AD35" s="175"/>
      <c r="AE35" s="175"/>
      <c r="AF35" s="1772"/>
      <c r="AG35" s="1773"/>
      <c r="AH35" s="110"/>
      <c r="AI35" s="144" t="s">
        <v>359</v>
      </c>
      <c r="AJ35" s="144" t="s">
        <v>360</v>
      </c>
      <c r="AK35" s="144" cm="1" t="str">
        <f t="array" ref="AK35:AK35">AC35</f>
        <v>0</v>
      </c>
      <c r="AL35" s="144" cm="1" t="str">
        <f t="array" ref="AL35:AL35">AD35</f>
        <v>0</v>
      </c>
      <c r="AM35" s="144" cm="1" t="str">
        <f t="array" ref="AM35:AM35">AE35</f>
        <v>0</v>
      </c>
      <c r="AN35" s="573"/>
      <c r="AO35" s="144" t="b">
        <v>1</v>
      </c>
      <c r="AP35" s="110"/>
      <c r="AQ35" s="110"/>
      <c r="AR35" s="110"/>
    </row>
    <row s="1656" customFormat="1" customHeight="1" ht="22.921875">
      <c r="A36" s="573"/>
      <c r="B36" s="1191"/>
      <c r="C36" s="573"/>
      <c r="D36" s="573"/>
      <c r="E36" s="971" t="s">
        <v>353</v>
      </c>
      <c r="F36" s="139" cm="1" t="str">
        <f t="array" ref="F36:F36">OFFSET(E36,-1,1)</f>
        <v>2</v>
      </c>
      <c r="G36" s="144" cm="1" t="str">
        <f t="array" ref="G36:G36">AB36</f>
        <v>1</v>
      </c>
      <c r="H36" s="573"/>
      <c r="I36" s="573"/>
      <c r="J36" s="573"/>
      <c r="K36" s="573"/>
      <c r="L36" s="573"/>
      <c r="M36" s="573"/>
      <c r="N36" s="573"/>
      <c r="O36" s="573"/>
      <c r="P36" s="573"/>
      <c r="Q36" s="967"/>
      <c r="R36" s="573"/>
      <c r="S36" s="573"/>
      <c r="T36" s="977"/>
      <c r="U36" s="470">
        <f>AND(F36&gt;0,AB36&gt;0)</f>
        <v>1</v>
      </c>
      <c r="V36" s="475"/>
      <c r="W36" s="476"/>
      <c r="X36" s="764"/>
      <c r="Y36" s="1519"/>
      <c r="Z36" s="1520"/>
      <c r="AA36" s="668" t="s">
        <v>174</v>
      </c>
      <c r="AB36" s="652" t="s">
        <v>290</v>
      </c>
      <c r="AC36" s="765" t="s">
        <v>364</v>
      </c>
      <c r="AD36" s="175" t="s">
        <v>364</v>
      </c>
      <c r="AE36" s="175" t="s">
        <v>365</v>
      </c>
      <c r="AF36" s="946" t="s">
        <v>366</v>
      </c>
      <c r="AG36" s="192"/>
      <c r="AH36" s="110"/>
      <c r="AI36" s="144" t="s">
        <v>359</v>
      </c>
      <c r="AJ36" s="144" t="s">
        <v>360</v>
      </c>
      <c r="AK36" s="144" cm="1" t="str">
        <f t="array" ref="AK36:AK36">AC36</f>
        <v>Ленинск-Кузнецкий муниципальный округ</v>
      </c>
      <c r="AL36" s="144" cm="1" t="str">
        <f t="array" ref="AL36:AL36">AD36</f>
        <v>Ленинск-Кузнецкий муниципальный округ</v>
      </c>
      <c r="AM36" s="144" cm="1" t="str">
        <f t="array" ref="AM36:AM36">AE36</f>
        <v>32514000</v>
      </c>
      <c r="AN36" s="573"/>
      <c r="AO36" s="144" t="b">
        <v>1</v>
      </c>
      <c r="AP36" s="110"/>
      <c r="AQ36" s="110"/>
      <c r="AR36" s="110"/>
    </row>
    <row s="1656" customFormat="1" customHeight="1" ht="15">
      <c r="A37" s="573"/>
      <c r="B37" s="1191"/>
      <c r="C37" s="573"/>
      <c r="D37" s="573"/>
      <c r="E37" s="971" t="s">
        <v>353</v>
      </c>
      <c r="F37" s="139" cm="1" t="str">
        <f t="array" ref="F37:F37">OFFSET(E37,-1,1)</f>
        <v>2</v>
      </c>
      <c r="G37" s="144" t="s">
        <v>361</v>
      </c>
      <c r="H37" s="573"/>
      <c r="I37" s="573"/>
      <c r="J37" s="573"/>
      <c r="K37" s="573"/>
      <c r="L37" s="573"/>
      <c r="M37" s="573"/>
      <c r="N37" s="573"/>
      <c r="O37" s="573"/>
      <c r="P37" s="764"/>
      <c r="Q37" s="967"/>
      <c r="R37" s="573"/>
      <c r="S37" s="573"/>
      <c r="T37" s="1308"/>
      <c r="U37" s="470" cm="1" t="str">
        <f t="array" ref="U37:U37">U34</f>
        <v>true</v>
      </c>
      <c r="V37" s="573"/>
      <c r="W37" s="573"/>
      <c r="X37" s="764" t="s">
        <v>362</v>
      </c>
      <c r="Y37" s="1519"/>
      <c r="Z37" s="1520"/>
      <c r="AA37" s="471"/>
      <c r="AB37" s="171"/>
      <c r="AC37" s="256" t="s">
        <v>363</v>
      </c>
      <c r="AD37" s="172"/>
      <c r="AE37" s="172"/>
      <c r="AF37" s="172"/>
      <c r="AG37" s="173"/>
      <c r="AH37" s="110"/>
      <c r="AI37" s="573"/>
      <c r="AJ37" s="573"/>
      <c r="AK37" s="573"/>
      <c r="AL37" s="573"/>
      <c r="AM37" s="573"/>
      <c r="AN37" s="144" t="s">
        <v>360</v>
      </c>
      <c r="AO37" s="573"/>
      <c r="AP37" s="110"/>
      <c r="AQ37" s="110"/>
      <c r="AR37" s="110"/>
    </row>
    <row s="1656" customFormat="1" customHeight="1" ht="17.671875">
      <c r="A38" s="573"/>
      <c r="B38" s="1191"/>
      <c r="C38" s="573"/>
      <c r="D38" s="573"/>
      <c r="E38" s="971" t="s">
        <v>353</v>
      </c>
      <c r="F38" s="139" cm="1" t="str">
        <f t="array" ref="F38:F38">Y38</f>
        <v>3</v>
      </c>
      <c r="G38" s="573"/>
      <c r="H38" s="573"/>
      <c r="I38" s="573"/>
      <c r="J38" s="573"/>
      <c r="K38" s="573"/>
      <c r="L38" s="573"/>
      <c r="M38" s="573"/>
      <c r="N38" s="573"/>
      <c r="O38" s="573"/>
      <c r="P38" s="573"/>
      <c r="Q38" s="967"/>
      <c r="R38" s="573"/>
      <c r="S38" s="573"/>
      <c r="T38" s="1308"/>
      <c r="U38" s="470">
        <f>Y38&gt;0</f>
        <v>1</v>
      </c>
      <c r="V38" s="473"/>
      <c r="W38" s="474" cm="1" t="str">
        <f t="array" ref="W38:W38">'Общие сведения'!$AG$240</f>
        <v>Тариф 3 (Водоотведение) - тариф на водоотведение (Оказание услуг на территории: город Полысаево (ОКТМО: 32732000) - г Полысаево)</v>
      </c>
      <c r="X38" s="473"/>
      <c r="Y38" s="1519" t="s">
        <v>234</v>
      </c>
      <c r="Z38" s="1520"/>
      <c r="AA38" s="976"/>
      <c r="AB38" s="176" cm="1" t="str">
        <f t="array" ref="AB38:AB38">'Общие сведения'!$AG$240</f>
        <v>Тариф 3 (Водоотведение) - тариф на водоотведение (Оказание услуг на территории: город Полысаево (ОКТМО: 32732000) - г Полысаево)</v>
      </c>
      <c r="AC38" s="170"/>
      <c r="AD38" s="170"/>
      <c r="AE38" s="170"/>
      <c r="AF38" s="170"/>
      <c r="AG38" s="170"/>
      <c r="AH38" s="110"/>
      <c r="AI38" s="573"/>
      <c r="AJ38" s="573"/>
      <c r="AK38" s="573"/>
      <c r="AL38" s="573"/>
      <c r="AM38" s="573"/>
      <c r="AN38" s="573"/>
      <c r="AO38" s="573"/>
      <c r="AP38" s="110"/>
      <c r="AQ38" s="110"/>
      <c r="AR38" s="110"/>
    </row>
    <row s="1656" customFormat="1" customHeight="1" ht="15" hidden="1">
      <c r="A39" s="573"/>
      <c r="B39" s="1191"/>
      <c r="C39" s="573"/>
      <c r="D39" s="573"/>
      <c r="E39" s="971" t="s">
        <v>353</v>
      </c>
      <c r="F39" s="139" cm="1" t="str">
        <f t="array" ref="F39:F39">OFFSET(E39,-1,1)</f>
        <v>3</v>
      </c>
      <c r="G39" s="144" cm="1" t="str">
        <f t="array" ref="G39:G39">AB39</f>
        <v>0</v>
      </c>
      <c r="H39" s="573"/>
      <c r="I39" s="573"/>
      <c r="J39" s="573"/>
      <c r="K39" s="573"/>
      <c r="L39" s="573"/>
      <c r="M39" s="573"/>
      <c r="N39" s="573"/>
      <c r="O39" s="573"/>
      <c r="P39" s="573"/>
      <c r="Q39" s="967"/>
      <c r="R39" s="573"/>
      <c r="S39" s="573"/>
      <c r="T39" s="977"/>
      <c r="U39" s="470">
        <f>AND(F39&gt;0,AB39&gt;0)</f>
        <v>0</v>
      </c>
      <c r="V39" s="475"/>
      <c r="W39" s="476"/>
      <c r="X39" s="764" t="s">
        <v>173</v>
      </c>
      <c r="Y39" s="1519"/>
      <c r="Z39" s="1520"/>
      <c r="AA39" s="668" t="s">
        <v>174</v>
      </c>
      <c r="AB39" s="652">
        <v>0</v>
      </c>
      <c r="AC39" s="765"/>
      <c r="AD39" s="175"/>
      <c r="AE39" s="175"/>
      <c r="AF39" s="1772"/>
      <c r="AG39" s="1773"/>
      <c r="AH39" s="110"/>
      <c r="AI39" s="144" t="s">
        <v>359</v>
      </c>
      <c r="AJ39" s="144" t="s">
        <v>360</v>
      </c>
      <c r="AK39" s="144" cm="1" t="str">
        <f t="array" ref="AK39:AK39">AC39</f>
        <v>0</v>
      </c>
      <c r="AL39" s="144" cm="1" t="str">
        <f t="array" ref="AL39:AL39">AD39</f>
        <v>0</v>
      </c>
      <c r="AM39" s="144" cm="1" t="str">
        <f t="array" ref="AM39:AM39">AE39</f>
        <v>0</v>
      </c>
      <c r="AN39" s="573"/>
      <c r="AO39" s="144" t="b">
        <v>1</v>
      </c>
      <c r="AP39" s="110"/>
      <c r="AQ39" s="110"/>
      <c r="AR39" s="110"/>
    </row>
    <row s="1656" customFormat="1" customHeight="1" ht="21.421875">
      <c r="A40" s="573"/>
      <c r="B40" s="1191"/>
      <c r="C40" s="573"/>
      <c r="D40" s="573"/>
      <c r="E40" s="971" t="s">
        <v>353</v>
      </c>
      <c r="F40" s="139" cm="1" t="str">
        <f t="array" ref="F40:F40">OFFSET(E40,-1,1)</f>
        <v>3</v>
      </c>
      <c r="G40" s="144" cm="1" t="str">
        <f t="array" ref="G40:G40">AB40</f>
        <v>1</v>
      </c>
      <c r="H40" s="573"/>
      <c r="I40" s="573"/>
      <c r="J40" s="573"/>
      <c r="K40" s="573"/>
      <c r="L40" s="573"/>
      <c r="M40" s="573"/>
      <c r="N40" s="573"/>
      <c r="O40" s="573"/>
      <c r="P40" s="573"/>
      <c r="Q40" s="967"/>
      <c r="R40" s="573"/>
      <c r="S40" s="573"/>
      <c r="T40" s="977"/>
      <c r="U40" s="470">
        <f>AND(F40&gt;0,AB40&gt;0)</f>
        <v>1</v>
      </c>
      <c r="V40" s="475"/>
      <c r="W40" s="476"/>
      <c r="X40" s="764"/>
      <c r="Y40" s="1519"/>
      <c r="Z40" s="1520"/>
      <c r="AA40" s="668" t="s">
        <v>174</v>
      </c>
      <c r="AB40" s="652" t="s">
        <v>290</v>
      </c>
      <c r="AC40" s="765" t="s">
        <v>364</v>
      </c>
      <c r="AD40" s="175" t="s">
        <v>364</v>
      </c>
      <c r="AE40" s="175" t="s">
        <v>365</v>
      </c>
      <c r="AF40" s="946" t="s">
        <v>366</v>
      </c>
      <c r="AG40" s="192"/>
      <c r="AH40" s="110"/>
      <c r="AI40" s="144" t="s">
        <v>359</v>
      </c>
      <c r="AJ40" s="144" t="s">
        <v>360</v>
      </c>
      <c r="AK40" s="144" cm="1" t="str">
        <f t="array" ref="AK40:AK40">AC40</f>
        <v>Ленинск-Кузнецкий муниципальный округ</v>
      </c>
      <c r="AL40" s="144" cm="1" t="str">
        <f t="array" ref="AL40:AL40">AD40</f>
        <v>Ленинск-Кузнецкий муниципальный округ</v>
      </c>
      <c r="AM40" s="144" cm="1" t="str">
        <f t="array" ref="AM40:AM40">AE40</f>
        <v>32514000</v>
      </c>
      <c r="AN40" s="573"/>
      <c r="AO40" s="144" t="b">
        <v>1</v>
      </c>
      <c r="AP40" s="110"/>
      <c r="AQ40" s="110"/>
      <c r="AR40" s="110"/>
    </row>
    <row s="1656" customFormat="1" customHeight="1" ht="15">
      <c r="A41" s="573"/>
      <c r="B41" s="1191"/>
      <c r="C41" s="573"/>
      <c r="D41" s="573"/>
      <c r="E41" s="971" t="s">
        <v>353</v>
      </c>
      <c r="F41" s="139" cm="1" t="str">
        <f t="array" ref="F41:F41">OFFSET(E41,-1,1)</f>
        <v>3</v>
      </c>
      <c r="G41" s="144" t="s">
        <v>361</v>
      </c>
      <c r="H41" s="573"/>
      <c r="I41" s="573"/>
      <c r="J41" s="573"/>
      <c r="K41" s="573"/>
      <c r="L41" s="573"/>
      <c r="M41" s="573"/>
      <c r="N41" s="573"/>
      <c r="O41" s="573"/>
      <c r="P41" s="764"/>
      <c r="Q41" s="967"/>
      <c r="R41" s="573"/>
      <c r="S41" s="573"/>
      <c r="T41" s="1308"/>
      <c r="U41" s="470" cm="1" t="str">
        <f t="array" ref="U41:U41">U38</f>
        <v>true</v>
      </c>
      <c r="V41" s="573"/>
      <c r="W41" s="573"/>
      <c r="X41" s="764" t="s">
        <v>362</v>
      </c>
      <c r="Y41" s="1519"/>
      <c r="Z41" s="1520"/>
      <c r="AA41" s="471"/>
      <c r="AB41" s="171"/>
      <c r="AC41" s="256" t="s">
        <v>363</v>
      </c>
      <c r="AD41" s="172"/>
      <c r="AE41" s="172"/>
      <c r="AF41" s="172"/>
      <c r="AG41" s="173"/>
      <c r="AH41" s="110"/>
      <c r="AI41" s="573"/>
      <c r="AJ41" s="573"/>
      <c r="AK41" s="573"/>
      <c r="AL41" s="573"/>
      <c r="AM41" s="573"/>
      <c r="AN41" s="144" t="s">
        <v>360</v>
      </c>
      <c r="AO41" s="573"/>
      <c r="AP41" s="110"/>
      <c r="AQ41" s="110"/>
      <c r="AR41" s="110"/>
    </row>
    <row s="1656" customFormat="1" customHeight="1" ht="14.25">
      <c r="A42" s="502"/>
      <c r="B42" s="664"/>
      <c r="C42" s="502"/>
      <c r="D42" s="502"/>
      <c r="E42" s="873" t="s">
        <v>355</v>
      </c>
      <c r="F42" s="485"/>
      <c r="G42" s="502"/>
      <c r="H42" s="502"/>
      <c r="I42" s="502"/>
      <c r="J42" s="502"/>
      <c r="K42" s="502"/>
      <c r="L42" s="502"/>
      <c r="M42" s="502"/>
      <c r="N42" s="502"/>
      <c r="O42" s="502"/>
      <c r="P42" s="502"/>
      <c r="Q42" s="502"/>
      <c r="R42" s="502"/>
      <c r="S42" s="502"/>
      <c r="T42" s="502"/>
      <c r="U42" s="472"/>
      <c r="V42" s="477" t="s">
        <v>177</v>
      </c>
      <c r="W42" s="764" t="s">
        <v>367</v>
      </c>
      <c r="X42" s="502"/>
      <c r="Y42" s="502"/>
      <c r="Z42" s="502"/>
      <c r="AA42" s="502"/>
      <c r="AC42" s="96"/>
      <c r="AD42" s="96"/>
      <c r="AE42" s="96"/>
      <c r="AF42" s="96"/>
      <c r="AH42" s="0"/>
      <c r="AI42" s="502"/>
      <c r="AJ42" s="502"/>
      <c r="AK42" s="502"/>
      <c r="AL42" s="502"/>
      <c r="AM42" s="502"/>
      <c r="AN42" s="502"/>
      <c r="AO42" s="502"/>
      <c r="AQ42" s="97"/>
    </row>
    <row s="1656" customFormat="1" customHeight="1" ht="11.25" hidden="1">
      <c r="A43" s="502"/>
      <c r="B43" s="664"/>
      <c r="C43" s="502"/>
      <c r="D43" s="502"/>
      <c r="E43" s="665"/>
      <c r="F43" s="978"/>
      <c r="G43" s="502"/>
      <c r="H43" s="502"/>
      <c r="I43" s="502"/>
      <c r="J43" s="502"/>
      <c r="K43" s="502"/>
      <c r="L43" s="502"/>
      <c r="M43" s="502"/>
      <c r="N43" s="502"/>
      <c r="O43" s="502"/>
      <c r="P43" s="502"/>
      <c r="Q43" s="502"/>
      <c r="R43" s="502"/>
      <c r="S43" s="502"/>
      <c r="T43" s="502"/>
      <c r="U43" s="472"/>
      <c r="V43" s="502"/>
      <c r="W43" s="502"/>
      <c r="X43" s="502"/>
      <c r="Y43" s="502"/>
      <c r="Z43" s="502"/>
      <c r="AA43" s="502"/>
      <c r="AC43" s="96"/>
      <c r="AD43" s="96"/>
      <c r="AE43" s="96"/>
      <c r="AF43" s="96"/>
      <c r="AG43" s="96"/>
      <c r="AI43" s="502"/>
      <c r="AJ43" s="502"/>
      <c r="AK43" s="502"/>
      <c r="AL43" s="502"/>
      <c r="AM43" s="502"/>
      <c r="AN43" s="502"/>
      <c r="AO43" s="502"/>
      <c r="AR43" s="97"/>
    </row>
  </sheetData>
  <sheetProtection formatColumns="0" formatRows="0" insertRows="0" deleteColumns="0" deleteRows="0" sort="0" autoFilter="0" insertColumns="1"/>
  <mergeCells count="9">
    <mergeCell ref="AB22:AG22"/>
    <mergeCell ref="Y26:Y28"/>
    <mergeCell ref="Z26:Z28"/>
    <mergeCell ref="Y29:Y33"/>
    <mergeCell ref="Z29:Z33"/>
    <mergeCell ref="Y34:Y37"/>
    <mergeCell ref="Z34:Z37"/>
    <mergeCell ref="Y38:Y41"/>
    <mergeCell ref="Z38:Z41"/>
  </mergeCells>
  <dataValidations count="10">
    <dataValidation type="list" showInputMessage="1" showErrorMessage="1" errorTitle="Внимание" error="Пожалуйста, выберите МО из списка" sqref="WQV27 WGZ27 VXD27 VNH27 VDL27 UTP27 UJT27 TZX27 TQB27 TGF27 SWJ27 SMN27 SCR27 RSV27 RIZ27 QZD27 QPH27 QFL27 PVP27 PLT27 PBX27 OSB27 OIF27 NYJ27 NON27 NER27 MUV27 MKZ27 MBD27 LRH27 LHL27 KXP27 KNT27 KDX27 JUB27 JKF27 JAJ27 IQN27 IGR27 HWV27 HMZ27 HDD27 GTH27 GJL27 FZP27 FPT27 FFX27 EWB27 EMF27 ECJ27 DSN27 DIR27 CYV27 COZ27 CFD27 BVH27 BLL27 BBP27 ART27 AHX27 YB27 OF27 EJ27">
      <formula1>MO_LIST_12</formula1>
    </dataValidation>
    <dataValidation type="list" showInputMessage="1" showErrorMessage="1" errorTitle="Внимание" error="Пожалуйста, выберите значение из списка" sqref="WUS27 WKW27 WBA27 VRE27 VHI27 UXM27 UNQ27 UDU27 TTY27 TKC27 TAG27 SQK27 SGO27 RWS27 RMW27 RDA27 QTE27 QJI27 PZM27 PPQ27 PFU27 OVY27 OMC27 OCG27 NSK27 NIO27 MYS27 MOW27 MFA27 LVE27 LLI27 LBM27 KRQ27 KHU27 JXY27 JOC27 JEG27 IUK27 IKO27 IAS27 HQW27 HHA27 GXE27 GNI27 GDM27 FTQ27 FJU27 EZY27 EQC27 EGG27 DWK27 DMO27 DCS27 CSW27 CJA27 BZE27 BPI27 BFM27 AVQ27 ALU27 ABY27 SC27 IG27">
      <formula1>DOCUMENT_TYPES</formula1>
    </dataValidation>
    <dataValidation type="list" allowBlank="1" showInputMessage="1" showErrorMessage="1" errorTitle="Внимание" error="Пожалуйста, выберите МР из списка!" sqref="WQU27 WGY27 VXC27 VNG27 VDK27 UTO27 UJS27 TZW27 TQA27 TGE27 SWI27 SMM27 SCQ27 RSU27 RIY27 QZC27 QPG27 QFK27 PVO27 PLS27 PBW27 OSA27 OIE27 NYI27 NOM27 NEQ27 MUU27 MKY27 MBC27 LRG27 LHK27 KXO27 KNS27 KDW27 JUA27 JKE27 JAI27 IQM27 IGQ27 HWU27 HMY27 HDC27 GTG27 GJK27 FZO27 FPS27 FFW27 EWA27 EME27 ECI27 DSM27 DIQ27 CYU27 COY27 CFC27 BVG27 BLK27 BBO27 ARS27 AHW27 YA27 OE27 EI27">
      <formula1>MR_LIST</formula1>
    </dataValidation>
    <dataValidation type="list" showInputMessage="1" showErrorMessage="1" errorTitle="Внимание" error="Пожалуйста, выберите значение из списка" sqref="WTQ27 WJU27 VZY27 VQC27 VGG27 UWK27 UMO27 UCS27 TSW27 TJA27 SZE27 SPI27 SFM27 RVQ27 RLU27 RBY27 QSC27 QIG27 PYK27 POO27 PES27 OUW27 OLA27 OBE27 NRI27 NHM27 MXQ27 MNU27 MDY27 LUC27 LKG27 LAK27 KQO27 KGS27 JWW27 JNA27 JDE27 ITI27 IJM27 HZQ27 HPU27 HFY27 GWC27 GMG27 GCK27 FSO27 FIS27 EYW27 EPA27 EFE27 DVI27 DLM27 DBQ27 CRU27 CHY27 BYC27 BOG27 BEK27 AUO27 AKS27 AAW27 RA27 HE27 WTT27 WJX27 WAB27 VQF27 VGJ27 UWN27 UMR27 UCV27 TSZ27 TJD27 SZH27 SPL27 SFP27 RVT27 RLX27 RCB27 QSF27 QIJ27 PYN27 POR27 PEV27 OUZ27 OLD27 OBH27 NRL27 NHP27 MXT27 MNX27 MEB27 LUF27 LKJ27 LAN27 KQR27 KGV27 JWZ27 JND27 JDH27 ITL27 IJP27 HZT27 HPX27 HGB27 GWF27 GMJ27 GCN27 FSR27 FIV27 EYZ27 EPD27 EFH27 DVL27 DLP27 DBT27 CRX27 CIB27 BYF27 BOJ27 BEN27 AUR27 AKV27 AAZ27 RD27 HH27">
      <formula1>MONTH_LIST</formula1>
    </dataValidation>
    <dataValidation type="whole" allowBlank="1" showInputMessage="1" showErrorMessage="1" errorTitle="Внимание" error="Пожалуйста, укажите число!" sqref="WTR27 WJV27 VZZ27 VQD27 VGH27 UWL27 UMP27 UCT27 TSX27 TJB27 SZF27 SPJ27 SFN27 RVR27 RLV27 RBZ27 QSD27 QIH27 PYL27 POP27 PET27 OUX27 OLB27 OBF27 NRJ27 NHN27 MXR27 MNV27 MDZ27 LUD27 LKH27 LAL27 KQP27 KGT27 JWX27 JNB27 JDF27 ITJ27 IJN27 HZR27 HPV27 HFZ27 GWD27 GMH27 GCL27 FSP27 FIT27 EYX27 EPB27 EFF27 DVJ27 DLN27 DBR27 CRV27 CHZ27 BYD27 BOH27 BEL27 AUP27 AKT27 AAX27 RB27 HF27 WTU27 WJY27 WAC27 VQG27 VGK27 UWO27 UMS27 UCW27 TTA27 TJE27 SZI27 SPM27 SFQ27 RVU27 RLY27 RCC27 QSG27 QIK27 PYO27 POS27 PEW27 OVA27 OLE27 OBI27 NRM27 NHQ27 MXU27 MNY27 MEC27 LUG27 LKK27 LAO27 KQS27 KGW27 JXA27 JNE27 JDI27 ITM27 IJQ27 HZU27 HPY27 HGC27 GWG27 GMK27 GCO27 FSS27 FIW27 EZA27 EPE27 EFI27 DVM27 DLQ27 DBU27 CRY27 CIC27 BYG27 BOK27 BEO27 AUS27 AKW27 ABA27 RE27 HI27">
      <formula1>1</formula1>
      <formula2>31</formula2>
    </dataValidation>
    <dataValidation type="list" showInputMessage="1" showErrorMessage="1" errorTitle="Внимание" error="Пожалуйста, выберите значение из списка" sqref="WTH27 WJL27 VZP27 VPT27 VFX27 UWB27 UMF27 UCJ27 TSN27 TIR27 SYV27 SOZ27 SFD27 RVH27 RLL27 RBP27 QRT27 QHX27 PYB27 POF27 PEJ27 OUN27 OKR27 OAV27 NQZ27 NHD27 MXH27 MNL27 MDP27 LTT27 LJX27 LAB27 KQF27 KGJ27 JWN27 JMR27 JCV27 ISZ27 IJD27 HZH27 HPL27 HFP27 GVT27 GLX27 GCB27 FSF27 FIJ27 EYN27 EOR27 EEV27 DUZ27 DLD27 DBH27 CRL27 CHP27 BXT27 BNX27 BEB27 AUF27 AKJ27 AAN27 QR27 GV27">
      <formula1>YES_NO</formula1>
    </dataValidation>
    <dataValidation type="list" allowBlank="1" showInputMessage="1" showErrorMessage="1" errorTitle="Внимание" error="Пожалуйста, выберите значение из списка!" sqref="WUQ27 WKU27 WAY27 VRC27 VHG27 UXK27 UNO27 UDS27 TTW27 TKA27 TAE27 SQI27 SGM27 RWQ27 RMU27 RCY27 QTC27 QJG27 PZK27 PPO27 PFS27 OVW27 OMA27 OCE27 NSI27 NIM27 MYQ27 MOU27 MEY27 LVC27 LLG27 LBK27 KRO27 KHS27 JXW27 JOA27 JEE27 IUI27 IKM27 IAQ27 HQU27 HGY27 GXC27 GNG27 GDK27 FTO27 FJS27 EZW27 EQA27 EGE27 DWI27 DMM27 DCQ27 CSU27 CIY27 BZC27 BPG27 BFK27 AVO27 ALS27 ABW27 SA27 IE27 WUK27 WKO27 WAS27 VQW27 VHA27 UXE27 UNI27 UDM27 TTQ27 TJU27 SZY27 SQC27 SGG27 RWK27 RMO27 RCS27 QSW27 QJA27 PZE27 PPI27 PFM27 OVQ27 OLU27 OBY27 NSC27 NIG27 MYK27 MOO27 MES27 LUW27 LLA27 LBE27 KRI27 KHM27 JXQ27 JNU27 JDY27 IUC27 IKG27 IAK27 HQO27 HGS27 GWW27 GNA27 GDE27 FTI27 FJM27 EZQ27 EPU27 EFY27 DWC27 DMG27 DCK27 CSO27 CIS27 BYW27 BPA27 BFE27 AVI27 ALM27 ABQ27 RU27 HY27 WUW27 WLA27 WBE27 VRI27 VHM27 UXQ27 UNU27 UDY27 TUC27 TKG27 TAK27 SQO27 SGS27 RWW27 RNA27 RDE27 QTI27 QJM27 PZQ27 PPU27 PFY27 OWC27 OMG27 OCK27 NSO27 NIS27 MYW27 MPA27 MFE27 LVI27 LLM27 LBQ27 KRU27 KHY27 JYC27 JOG27 JEK27 IUO27 IKS27 IAW27 HRA27 HHE27 GXI27 GNM27 GDQ27 FTU27 FJY27 FAC27 EQG27 EGK27 DWO27 DMS27 DCW27 CTA27 CJE27 BZI27 BPM27 BFQ27 AVU27 ALY27 ACC27 SG27 IK27">
      <formula1>YES_NO</formula1>
    </dataValidation>
    <dataValidation type="list" showInputMessage="1" showErrorMessage="1" errorTitle="Внимание" error="Пожалуйста, выберите значение из списка" sqref="WTS27 WJW27 WAA27 VQE27 VGI27 UWM27 UMQ27 UCU27 TSY27 TJC27 SZG27 SPK27 SFO27 RVS27 RLW27 RCA27 QSE27 QII27 PYM27 POQ27 PEU27 OUY27 OLC27 OBG27 NRK27 NHO27 MXS27 MNW27 MEA27 LUE27 LKI27 LAM27 KQQ27 KGU27 JWY27 JNC27 JDG27 ITK27 IJO27 HZS27 HPW27 HGA27 GWE27 GMI27 GCM27 FSQ27 FIU27 EYY27 EPC27 EFG27 DVK27 DLO27 DBS27 CRW27 CIA27 BYE27 BOI27 BEM27 AUQ27 AKU27 AAY27 RC27 HG27">
      <formula1>TF_END_YEAR_LIST</formula1>
    </dataValidation>
    <dataValidation type="list" showInputMessage="1" showErrorMessage="1" errorTitle="Внимание" error="Пожалуйста, выберите значение из списка" sqref="WTP27 WJT27 VZX27 VQB27 VGF27 UWJ27 UMN27 UCR27 TSV27 TIZ27 SZD27 SPH27 SFL27 RVP27 RLT27 RBX27 QSB27 QIF27 PYJ27 PON27 PER27 OUV27 OKZ27 OBD27 NRH27 NHL27 MXP27 MNT27 MDX27 LUB27 LKF27 LAJ27 KQN27 KGR27 JWV27 JMZ27 JDD27 ITH27 IJL27 HZP27 HPT27 HFX27 GWB27 GMF27 GCJ27 FSN27 FIR27 EYV27 EOZ27 EFD27 DVH27 DLL27 DBP27 CRT27 CHX27 BYB27 BOF27 BEJ27 AUN27 AKR27 AAV27 QZ27 HD27">
      <formula1>TF_START_YEAR_LIST</formula1>
    </dataValidation>
    <dataValidation type="whole" allowBlank="1" showInputMessage="1" showErrorMessage="1" errorTitle="Внимание" error="Необходимо указать целое положительное значение!" sqref="WRO27 WHS27 VXW27 VOA27 VEE27 UUI27 UKM27 UAQ27 TQU27 TGY27 SXC27 SNG27 SDK27 RTO27 RJS27 QZW27 QQA27 QGE27 PWI27 PMM27 PCQ27 OSU27 OIY27 NZC27 NPG27 NFK27 MVO27 MLS27 MBW27 LSA27 LIE27 KYI27 KOM27 KEQ27 JUU27 JKY27 JBC27 IRG27 IHK27 HXO27 HNS27 HDW27 GUA27 GKE27 GAI27 FQM27 FGQ27 EWU27 EMY27 EDC27 DTG27 DJK27 CZO27 CPS27 CFW27 BWA27 BME27 BCI27 ASM27 AIQ27 YU27 OY27 FC27">
      <formula1>0</formula1>
      <formula2>10000000</formula2>
    </dataValidation>
  </dataValidations>
  <pageMargins left="0.35" right="0.35" top="0.40" bottom="0.40" header="0.31" footer="0.31"/>
  <pageSetup paperSize="9" scale="42" fitToHeight="0"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2175054-8C08-5918-0758-6C9F8092FDA8}" mc:Ignorable="x14ac xr xr2 xr3">
  <sheetPr>
    <tabColor theme="3" tint="0.6"/>
    <outlinePr summaryRight="0" summaryBelow="0"/>
    <pageSetUpPr fitToPage="1"/>
  </sheetPr>
  <dimension ref="A1:BE81"/>
  <sheetViews>
    <sheetView showGridLines="0" workbookViewId="0">
      <pane xSplit="31" ySplit="25" topLeftCell="AF70" activePane="bottomRight" state="frozen"/>
      <selection pane="bottomLeft" activeCell="A26" sqref="A26"/>
      <selection pane="topRight" activeCell="AF1" sqref="AF1"/>
      <selection pane="bottomRight" activeCell="AB49" sqref="AB49"/>
    </sheetView>
  </sheetViews>
  <sheetFormatPr defaultColWidth="8.7109375" customHeight="1" defaultRowHeight="11.25"/>
  <cols>
    <col min="1" max="1" style="110" width="3.57421875" hidden="1" customWidth="1"/>
    <col min="2" max="2" style="1191" width="8.57421875" hidden="1" customWidth="1"/>
    <col min="3" max="4" style="110" width="3.57421875" hidden="1" customWidth="1"/>
    <col min="5" max="5" style="640" width="3.57421875" hidden="1" customWidth="1"/>
    <col min="6" max="7" style="110" width="4.00390625" hidden="1" customWidth="1"/>
    <col min="8" max="9" style="110" width="3.57421875" hidden="1" customWidth="1"/>
    <col min="10" max="10" style="110" width="12.421875" hidden="1" customWidth="1"/>
    <col min="11" max="11" style="110" width="9.7109375" hidden="1" customWidth="1"/>
    <col min="12" max="16" style="110" width="3.57421875" hidden="1" customWidth="1"/>
    <col min="17" max="17" style="110" width="5.57421875" hidden="1" customWidth="1"/>
    <col min="18" max="19" style="110" width="3.57421875" hidden="1" customWidth="1"/>
    <col min="20" max="20" style="1656" width="3.57421875" hidden="1" customWidth="1"/>
    <col min="21" max="21" style="1656" width="6.140625" hidden="1" customWidth="1"/>
    <col min="22" max="22" style="1656" width="10.140625" hidden="1" customWidth="1"/>
    <col min="23" max="23" style="1656" width="5.8515625" hidden="1" customWidth="1"/>
    <col min="24" max="25" style="1656" width="6.140625" hidden="1" customWidth="1"/>
    <col min="26" max="26" style="1656" width="5.57421875" hidden="1" customWidth="1"/>
    <col min="27" max="27" style="1656" width="5.28125" hidden="1" customWidth="1"/>
    <col min="28" max="28" style="110" width="3.00390625" customWidth="1"/>
    <col min="29" max="29" style="110" width="11.00390625" customWidth="1"/>
    <col min="30" max="30" style="110" width="70.00390625" customWidth="1"/>
    <col min="31" max="31" style="110" width="15.00390625" customWidth="1"/>
    <col min="32" max="32" style="110" width="20.00390625" customWidth="1"/>
    <col min="33" max="33" style="116" width="20.00390625" customWidth="1"/>
    <col min="34" max="35" style="110" width="20.00390625" customWidth="1"/>
    <col min="36" max="36" style="116" width="35.57421875" customWidth="1"/>
    <col min="37" max="37" style="110" width="3.7109375" customWidth="1"/>
    <col min="38" max="38" style="110" width="8.7109375" hidden="1"/>
    <col min="39" max="42" style="1011" width="8.7109375" hidden="1"/>
    <col min="43" max="44" style="632" width="8.7109375" hidden="1"/>
    <col min="45" max="57" style="110" width="8.7109375" hidden="1"/>
  </cols>
  <sheetData>
    <row s="573" customFormat="1" customHeight="1" ht="11.25" hidden="1">
      <c r="B1" s="431"/>
      <c r="E1" s="874"/>
      <c r="F1" s="144" t="s">
        <v>333</v>
      </c>
      <c r="H1" s="144" t="s">
        <v>343</v>
      </c>
      <c r="J1" s="144" t="s">
        <v>368</v>
      </c>
      <c r="P1" s="144" t="s">
        <v>369</v>
      </c>
      <c r="T1" s="968"/>
      <c r="U1" s="470" t="s">
        <v>335</v>
      </c>
      <c r="V1" s="468" t="s">
        <v>93</v>
      </c>
      <c r="W1" s="468" t="s">
        <v>98</v>
      </c>
      <c r="X1" s="468" t="s">
        <v>94</v>
      </c>
      <c r="Y1" s="468" t="s">
        <v>95</v>
      </c>
      <c r="Z1" s="468" t="s">
        <v>96</v>
      </c>
      <c r="AA1" s="468" t="s">
        <v>100</v>
      </c>
      <c r="AB1" s="470" t="s">
        <v>97</v>
      </c>
      <c r="AC1" s="470"/>
      <c r="AD1" s="470" t="s">
        <v>99</v>
      </c>
      <c r="AG1" s="200"/>
      <c r="AJ1" s="200"/>
      <c r="AM1" s="1002" t="s">
        <v>336</v>
      </c>
      <c r="AN1" s="1002" t="s">
        <v>337</v>
      </c>
      <c r="AO1" s="1002" t="s">
        <v>338</v>
      </c>
      <c r="AP1" s="1002" t="s">
        <v>370</v>
      </c>
      <c r="AQ1" s="971" t="s">
        <v>341</v>
      </c>
      <c r="AR1" s="971" t="s">
        <v>342</v>
      </c>
    </row>
    <row s="1191" customFormat="1" customHeight="1" ht="11.25" hidden="1">
      <c r="B2" s="969" t="s">
        <v>19</v>
      </c>
      <c r="T2" s="661"/>
      <c r="U2" s="661"/>
      <c r="V2" s="661"/>
      <c r="W2" s="661"/>
      <c r="X2" s="661"/>
      <c r="Y2" s="661"/>
      <c r="Z2" s="661"/>
      <c r="AA2" s="661"/>
      <c r="AF2" s="969">
        <f>method_reg&lt;&gt;"Метод сравнения аналогов"</f>
        <v>1</v>
      </c>
      <c r="AG2" s="969">
        <f>method_reg&lt;&gt;"Метод сравнения аналогов"</f>
        <v>1</v>
      </c>
      <c r="AH2" s="1191" cm="1" t="str">
        <f t="array" ref="AH2:AH2">isOrgDeclare</f>
        <v>true</v>
      </c>
      <c r="AM2" s="1001"/>
      <c r="AN2" s="1001"/>
      <c r="AO2" s="1001"/>
      <c r="AP2" s="1001"/>
      <c r="AQ2" s="1010"/>
      <c r="AR2" s="1010"/>
    </row>
    <row s="573" customFormat="1" customHeight="1" ht="11.25" hidden="1">
      <c r="B3" s="431"/>
      <c r="E3" s="874"/>
      <c r="T3" s="968"/>
      <c r="U3" s="968"/>
      <c r="V3" s="968"/>
      <c r="W3" s="968"/>
      <c r="X3" s="968"/>
      <c r="Y3" s="968"/>
      <c r="Z3" s="968"/>
      <c r="AA3" s="968"/>
      <c r="AG3" s="200"/>
      <c r="AJ3" s="200"/>
      <c r="AM3" s="1002"/>
      <c r="AN3" s="1002"/>
      <c r="AO3" s="1002"/>
      <c r="AP3" s="1002"/>
      <c r="AQ3" s="971"/>
      <c r="AR3" s="971"/>
    </row>
    <row s="573" customFormat="1" customHeight="1" ht="11.25" hidden="1">
      <c r="B4" s="431"/>
      <c r="E4" s="874"/>
      <c r="T4" s="968"/>
      <c r="U4" s="968"/>
      <c r="V4" s="968"/>
      <c r="W4" s="968"/>
      <c r="X4" s="968"/>
      <c r="Y4" s="968"/>
      <c r="Z4" s="968"/>
      <c r="AA4" s="968"/>
      <c r="AG4" s="200"/>
      <c r="AJ4" s="200"/>
      <c r="AM4" s="1002"/>
      <c r="AN4" s="1002"/>
      <c r="AO4" s="1002"/>
      <c r="AP4" s="1002"/>
      <c r="AQ4" s="971"/>
      <c r="AR4" s="971"/>
    </row>
    <row s="883" customFormat="1" customHeight="1" ht="11.25" hidden="1">
      <c r="A5" s="874"/>
      <c r="B5" s="431"/>
      <c r="C5" s="874"/>
      <c r="D5" s="874"/>
      <c r="E5" s="875" t="s">
        <v>20</v>
      </c>
      <c r="T5" s="998"/>
      <c r="U5" s="998"/>
      <c r="V5" s="998"/>
      <c r="W5" s="998"/>
      <c r="X5" s="998"/>
      <c r="Y5" s="998"/>
      <c r="Z5" s="998"/>
      <c r="AA5" s="998"/>
      <c r="AB5" s="626">
        <v>3</v>
      </c>
      <c r="AC5" s="626">
        <v>11</v>
      </c>
      <c r="AD5" s="626">
        <v>70</v>
      </c>
      <c r="AE5" s="626">
        <v>15</v>
      </c>
      <c r="AF5" s="626">
        <v>20</v>
      </c>
      <c r="AG5" s="626">
        <v>20</v>
      </c>
      <c r="AH5" s="626">
        <v>20</v>
      </c>
      <c r="AI5" s="626">
        <v>20</v>
      </c>
      <c r="AJ5" s="626">
        <v>20</v>
      </c>
      <c r="AK5" s="875" t="s">
        <v>234</v>
      </c>
      <c r="AM5" s="1003"/>
      <c r="AN5" s="1003"/>
      <c r="AO5" s="1003"/>
      <c r="AP5" s="1003"/>
    </row>
    <row s="573" customFormat="1" customHeight="1" ht="11.25" hidden="1">
      <c r="A6" s="144" t="s">
        <v>371</v>
      </c>
      <c r="B6" s="431"/>
      <c r="E6" s="875"/>
      <c r="T6" s="968"/>
      <c r="U6" s="968"/>
      <c r="V6" s="968"/>
      <c r="W6" s="968"/>
      <c r="X6" s="968"/>
      <c r="Y6" s="968"/>
      <c r="Z6" s="968"/>
      <c r="AA6" s="968"/>
      <c r="AF6" s="144">
        <f>god-2</f>
        <v>2024</v>
      </c>
      <c r="AG6" s="144">
        <f>god-1</f>
        <v>2025</v>
      </c>
      <c r="AH6" s="144" cm="1" t="str">
        <f t="array" ref="AH6:AH6">god</f>
        <v>2026</v>
      </c>
      <c r="AI6" s="144" cm="1" t="str">
        <f t="array" ref="AI6:AI6">god</f>
        <v>2026</v>
      </c>
      <c r="AJ6" s="144" cm="1" t="str">
        <f t="array" ref="AJ6:AJ6">god</f>
        <v>2026</v>
      </c>
      <c r="AM6" s="1002"/>
      <c r="AN6" s="1002"/>
      <c r="AO6" s="1002"/>
      <c r="AP6" s="1002"/>
      <c r="AQ6" s="971"/>
      <c r="AR6" s="971"/>
    </row>
    <row s="573" customFormat="1" customHeight="1" ht="11.25" hidden="1">
      <c r="A7" s="144" t="s">
        <v>372</v>
      </c>
      <c r="B7" s="431"/>
      <c r="E7" s="875"/>
      <c r="T7" s="968"/>
      <c r="U7" s="968"/>
      <c r="V7" s="968"/>
      <c r="W7" s="968"/>
      <c r="X7" s="968"/>
      <c r="Y7" s="968"/>
      <c r="Z7" s="968"/>
      <c r="AA7" s="968"/>
      <c r="AF7" s="369" cm="1" t="str">
        <f t="array" ref="AF7:AF7">AF25</f>
        <v>Принято органом регулирования</v>
      </c>
      <c r="AG7" s="369" t="s">
        <v>373</v>
      </c>
      <c r="AH7" s="370" t="s">
        <v>374</v>
      </c>
      <c r="AI7" s="370" t="s">
        <v>373</v>
      </c>
      <c r="AJ7" s="369" t="s">
        <v>375</v>
      </c>
      <c r="AM7" s="1002"/>
      <c r="AN7" s="1002"/>
      <c r="AO7" s="1002"/>
      <c r="AP7" s="1002"/>
      <c r="AQ7" s="971"/>
      <c r="AR7" s="971"/>
    </row>
    <row s="573" customFormat="1" customHeight="1" ht="11.25" hidden="1">
      <c r="B8" s="431"/>
      <c r="E8" s="875"/>
      <c r="T8" s="968"/>
      <c r="U8" s="968"/>
      <c r="V8" s="968"/>
      <c r="W8" s="968"/>
      <c r="X8" s="968"/>
      <c r="Y8" s="968"/>
      <c r="Z8" s="968"/>
      <c r="AA8" s="968"/>
      <c r="AG8" s="200"/>
      <c r="AJ8" s="200"/>
      <c r="AM8" s="1002"/>
      <c r="AN8" s="1002"/>
      <c r="AO8" s="1002"/>
      <c r="AP8" s="1002"/>
      <c r="AQ8" s="971"/>
      <c r="AR8" s="971"/>
    </row>
    <row s="1002" customFormat="1" customHeight="1" ht="11.25" hidden="1">
      <c r="A9" s="1002" t="s">
        <v>376</v>
      </c>
      <c r="B9" s="1001"/>
      <c r="E9" s="1003"/>
      <c r="T9" s="1004"/>
      <c r="U9" s="1004"/>
      <c r="V9" s="1004"/>
      <c r="W9" s="1004"/>
      <c r="X9" s="1004"/>
      <c r="Y9" s="1004"/>
      <c r="Z9" s="1004"/>
      <c r="AA9" s="1004"/>
      <c r="AF9" s="1002" cm="1" t="str">
        <f t="array" ref="AF9:AF9">AF6</f>
        <v>2024</v>
      </c>
      <c r="AG9" s="1002" cm="1" t="str">
        <f t="array" ref="AG9:AG9">AG6</f>
        <v>2025</v>
      </c>
      <c r="AH9" s="1002" cm="1" t="str">
        <f t="array" ref="AH9:AH9">AH6</f>
        <v>2026</v>
      </c>
      <c r="AI9" s="1002" cm="1" t="str">
        <f t="array" ref="AI9:AI9">AI6</f>
        <v>2026</v>
      </c>
      <c r="AQ9" s="971"/>
      <c r="AR9" s="971"/>
    </row>
    <row s="1002" customFormat="1" customHeight="1" ht="11.25" hidden="1">
      <c r="A10" s="1002" t="s">
        <v>377</v>
      </c>
      <c r="B10" s="1001"/>
      <c r="E10" s="1003"/>
      <c r="T10" s="1004"/>
      <c r="U10" s="1004"/>
      <c r="V10" s="1004"/>
      <c r="W10" s="1004"/>
      <c r="X10" s="1004"/>
      <c r="Y10" s="1004"/>
      <c r="Z10" s="1004"/>
      <c r="AA10" s="1004"/>
      <c r="AF10" s="1002" cm="1" t="str">
        <f t="array" ref="AF10:AF10">AF25</f>
        <v>Принято органом регулирования</v>
      </c>
      <c r="AG10" s="1002" cm="1" t="str">
        <f t="array" ref="AG10:AG10">AG25</f>
        <v>Принято органом регулирования</v>
      </c>
      <c r="AH10" s="1002" cm="1" t="str">
        <f t="array" ref="AH10:AH10">AH25</f>
        <v>Предложение организации</v>
      </c>
      <c r="AI10" s="1002" cm="1" t="str">
        <f t="array" ref="AI10:AI10">AI25</f>
        <v>Принято органом регулирования</v>
      </c>
      <c r="AQ10" s="971"/>
      <c r="AR10" s="971"/>
    </row>
    <row s="1002" customFormat="1" customHeight="1" ht="11.25" hidden="1">
      <c r="A11" s="1002" t="s">
        <v>378</v>
      </c>
      <c r="B11" s="1001"/>
      <c r="E11" s="1003"/>
      <c r="T11" s="1004"/>
      <c r="U11" s="1004"/>
      <c r="V11" s="1004"/>
      <c r="W11" s="1004"/>
      <c r="X11" s="1004"/>
      <c r="Y11" s="1004"/>
      <c r="Z11" s="1004"/>
      <c r="AA11" s="1004"/>
      <c r="AG11" s="1000"/>
      <c r="AJ11" s="1000" cm="1" t="str">
        <f t="array" ref="AJ11:AJ11">AJ24</f>
        <v>Комментарии</v>
      </c>
      <c r="AQ11" s="971"/>
      <c r="AR11" s="971"/>
    </row>
    <row s="1002" customFormat="1" customHeight="1" ht="11.25" hidden="1">
      <c r="A12" s="1002" t="s">
        <v>350</v>
      </c>
      <c r="B12" s="1001"/>
      <c r="E12" s="1003"/>
      <c r="T12" s="1004"/>
      <c r="U12" s="1004"/>
      <c r="V12" s="1004"/>
      <c r="W12" s="1004"/>
      <c r="X12" s="1004"/>
      <c r="Y12" s="1004"/>
      <c r="Z12" s="1004"/>
      <c r="AA12" s="1004"/>
      <c r="AB12" s="1004"/>
      <c r="AD12" s="1002" t="s">
        <v>338</v>
      </c>
      <c r="AE12" s="1002" t="s">
        <v>370</v>
      </c>
      <c r="AG12" s="1000"/>
      <c r="AJ12" s="1000"/>
      <c r="AQ12" s="971"/>
      <c r="AR12" s="971"/>
    </row>
    <row s="573" customFormat="1" customHeight="1" ht="11.25" hidden="1">
      <c r="B13" s="431"/>
      <c r="E13" s="875"/>
      <c r="T13" s="968"/>
      <c r="U13" s="968"/>
      <c r="V13" s="968"/>
      <c r="W13" s="968"/>
      <c r="X13" s="968"/>
      <c r="Y13" s="968"/>
      <c r="Z13" s="968"/>
      <c r="AA13" s="968"/>
      <c r="AB13" s="968"/>
      <c r="AC13" s="968"/>
      <c r="AD13" s="999"/>
      <c r="AE13" s="999"/>
      <c r="AF13" s="999"/>
      <c r="AG13" s="999"/>
      <c r="AJ13" s="999"/>
      <c r="AM13" s="1002"/>
      <c r="AN13" s="1002"/>
      <c r="AO13" s="1002"/>
      <c r="AP13" s="1002"/>
      <c r="AQ13" s="971"/>
      <c r="AR13" s="971"/>
    </row>
    <row s="573" customFormat="1" customHeight="1" ht="11.25" hidden="1">
      <c r="B14" s="431"/>
      <c r="E14" s="875"/>
      <c r="T14" s="968"/>
      <c r="U14" s="968"/>
      <c r="V14" s="968"/>
      <c r="W14" s="968"/>
      <c r="X14" s="968"/>
      <c r="Y14" s="968"/>
      <c r="Z14" s="968"/>
      <c r="AA14" s="968"/>
      <c r="AB14" s="968"/>
      <c r="AC14" s="968"/>
      <c r="AD14" s="999"/>
      <c r="AE14" s="999"/>
      <c r="AF14" s="999"/>
      <c r="AG14" s="999"/>
      <c r="AJ14" s="999"/>
      <c r="AM14" s="1002"/>
      <c r="AN14" s="1002"/>
      <c r="AO14" s="1002"/>
      <c r="AP14" s="1002"/>
      <c r="AQ14" s="971"/>
      <c r="AR14" s="971"/>
    </row>
    <row s="573" customFormat="1" customHeight="1" ht="11.25" hidden="1">
      <c r="B15" s="431"/>
      <c r="E15" s="875"/>
      <c r="T15" s="968"/>
      <c r="U15" s="968"/>
      <c r="V15" s="968"/>
      <c r="W15" s="968"/>
      <c r="X15" s="968"/>
      <c r="Y15" s="968"/>
      <c r="Z15" s="968"/>
      <c r="AA15" s="968"/>
      <c r="AB15" s="968"/>
      <c r="AC15" s="968"/>
      <c r="AD15" s="999"/>
      <c r="AE15" s="999"/>
      <c r="AF15" s="999"/>
      <c r="AG15" s="999"/>
      <c r="AJ15" s="999"/>
      <c r="AM15" s="1002"/>
      <c r="AN15" s="1002"/>
      <c r="AO15" s="1002"/>
      <c r="AP15" s="1002"/>
      <c r="AQ15" s="971"/>
      <c r="AR15" s="971"/>
    </row>
    <row s="573" customFormat="1" customHeight="1" ht="11.25" hidden="1">
      <c r="B16" s="431"/>
      <c r="E16" s="875"/>
      <c r="T16" s="968"/>
      <c r="U16" s="968"/>
      <c r="V16" s="968"/>
      <c r="W16" s="968"/>
      <c r="X16" s="968"/>
      <c r="Y16" s="968"/>
      <c r="Z16" s="968"/>
      <c r="AA16" s="968"/>
      <c r="AB16" s="968"/>
      <c r="AC16" s="968"/>
      <c r="AD16" s="999"/>
      <c r="AE16" s="999"/>
      <c r="AF16" s="999"/>
      <c r="AG16" s="999"/>
      <c r="AJ16" s="999"/>
      <c r="AM16" s="1002"/>
      <c r="AN16" s="1002"/>
      <c r="AO16" s="1002"/>
      <c r="AP16" s="1002"/>
      <c r="AQ16" s="971"/>
      <c r="AR16" s="971"/>
    </row>
    <row s="573" customFormat="1" customHeight="1" ht="11.25" hidden="1">
      <c r="B17" s="431"/>
      <c r="E17" s="875"/>
      <c r="T17" s="968"/>
      <c r="U17" s="968"/>
      <c r="V17" s="968"/>
      <c r="W17" s="968"/>
      <c r="X17" s="968"/>
      <c r="Y17" s="968"/>
      <c r="Z17" s="968"/>
      <c r="AA17" s="968"/>
      <c r="AB17" s="968"/>
      <c r="AC17" s="968"/>
      <c r="AD17" s="999"/>
      <c r="AE17" s="999"/>
      <c r="AF17" s="999"/>
      <c r="AG17" s="999"/>
      <c r="AJ17" s="999"/>
      <c r="AM17" s="1002"/>
      <c r="AN17" s="1002"/>
      <c r="AO17" s="1002"/>
      <c r="AP17" s="1002"/>
      <c r="AQ17" s="971"/>
      <c r="AR17" s="971"/>
    </row>
    <row s="573" customFormat="1" customHeight="1" ht="11.25" hidden="1">
      <c r="A18" s="144" t="s">
        <v>379</v>
      </c>
      <c r="B18" s="431"/>
      <c r="E18" s="875"/>
      <c r="T18" s="968"/>
      <c r="U18" s="968"/>
      <c r="V18" s="968"/>
      <c r="W18" s="968"/>
      <c r="X18" s="968"/>
      <c r="Y18" s="968"/>
      <c r="Z18" s="968"/>
      <c r="AA18" s="968"/>
      <c r="AB18" s="968"/>
      <c r="AC18" s="968"/>
      <c r="AD18" s="956" t="s">
        <v>194</v>
      </c>
      <c r="AE18" s="999"/>
      <c r="AF18" s="999"/>
      <c r="AG18" s="999"/>
      <c r="AJ18" s="999"/>
      <c r="AM18" s="1002"/>
      <c r="AN18" s="1002"/>
      <c r="AO18" s="1002"/>
      <c r="AP18" s="1002"/>
      <c r="AQ18" s="971"/>
      <c r="AR18" s="971"/>
    </row>
    <row s="573" customFormat="1" customHeight="1" ht="11.25" hidden="1">
      <c r="B19" s="431"/>
      <c r="E19" s="875"/>
      <c r="T19" s="968"/>
      <c r="U19" s="968"/>
      <c r="V19" s="968"/>
      <c r="W19" s="968"/>
      <c r="X19" s="968"/>
      <c r="Y19" s="968"/>
      <c r="Z19" s="968"/>
      <c r="AA19" s="968"/>
      <c r="AB19" s="968"/>
      <c r="AC19" s="968"/>
      <c r="AD19" s="999"/>
      <c r="AE19" s="999"/>
      <c r="AF19" s="999"/>
      <c r="AG19" s="999"/>
      <c r="AJ19" s="999"/>
      <c r="AM19" s="1002"/>
      <c r="AN19" s="1002"/>
      <c r="AO19" s="1002"/>
      <c r="AP19" s="1002"/>
      <c r="AQ19" s="971"/>
      <c r="AR19" s="971"/>
    </row>
    <row s="573" customFormat="1" customHeight="1" ht="11.25" hidden="1">
      <c r="B20" s="431"/>
      <c r="E20" s="875"/>
      <c r="T20" s="968"/>
      <c r="U20" s="968"/>
      <c r="V20" s="968"/>
      <c r="W20" s="968"/>
      <c r="X20" s="968"/>
      <c r="Y20" s="968"/>
      <c r="Z20" s="968"/>
      <c r="AA20" s="968"/>
      <c r="AB20" s="968"/>
      <c r="AC20" s="968"/>
      <c r="AD20" s="999"/>
      <c r="AE20" s="999"/>
      <c r="AF20" s="999"/>
      <c r="AG20" s="999"/>
      <c r="AJ20" s="999"/>
      <c r="AM20" s="1002"/>
      <c r="AN20" s="1002"/>
      <c r="AO20" s="1002"/>
      <c r="AP20" s="1002"/>
      <c r="AQ20" s="971"/>
      <c r="AR20" s="971"/>
    </row>
    <row s="573" customFormat="1" customHeight="1" ht="14.625">
      <c r="B21" s="431"/>
      <c r="E21" s="875">
        <v>15</v>
      </c>
      <c r="T21" s="968"/>
      <c r="U21" s="968"/>
      <c r="V21" s="968"/>
      <c r="W21" s="968"/>
      <c r="X21" s="968"/>
      <c r="Y21" s="968"/>
      <c r="Z21" s="968"/>
      <c r="AA21" s="968"/>
      <c r="AB21" s="663"/>
      <c r="AC21" s="471"/>
      <c r="AD21" s="361" cm="1" t="str">
        <f t="array" ref="AD21:AD21">tpl_title</f>
        <v>Кемеровская область / 2026 / ОАО «СКЭК» (ИНН:4205153492, КПП:420501001) / ДПР: 2024-2028</v>
      </c>
      <c r="AE21" s="471"/>
      <c r="AF21" s="471"/>
      <c r="AG21" s="471"/>
      <c r="AJ21" s="471"/>
      <c r="AM21" s="1002"/>
      <c r="AN21" s="1002"/>
      <c r="AO21" s="1002"/>
      <c r="AP21" s="1002"/>
      <c r="AQ21" s="971"/>
      <c r="AR21" s="971"/>
    </row>
    <row customHeight="1" ht="20.475">
      <c r="E22" s="640">
        <v>21</v>
      </c>
      <c r="S22" s="0"/>
      <c r="AB22" s="0"/>
      <c r="AC22" s="1517" t="s">
        <v>37</v>
      </c>
      <c r="AD22" s="1518"/>
      <c r="AE22" s="1518"/>
      <c r="AF22" s="1518"/>
      <c r="AG22" s="1518"/>
      <c r="AH22" s="1518"/>
      <c r="AI22" s="1518"/>
      <c r="AJ22" s="1518"/>
    </row>
    <row customHeight="1" ht="8.775">
      <c r="E23" s="640">
        <v>9</v>
      </c>
      <c r="AB23" s="111"/>
      <c r="AC23" s="111"/>
      <c r="AD23" s="111"/>
      <c r="AE23" s="111"/>
      <c r="AF23" s="111"/>
      <c r="AG23" s="1524"/>
      <c r="AH23" s="1524"/>
      <c r="AI23" s="91"/>
      <c r="AJ23" s="91"/>
    </row>
    <row customHeight="1" ht="20.475">
      <c r="E24" s="640">
        <v>21</v>
      </c>
      <c r="AB24" s="111"/>
      <c r="AC24" s="1525" t="s">
        <v>22</v>
      </c>
      <c r="AD24" s="1525" t="s">
        <v>380</v>
      </c>
      <c r="AE24" s="1525" t="s">
        <v>381</v>
      </c>
      <c r="AF24" s="354" t="str">
        <f>god-2&amp;" год"</f>
        <v>2024 год</v>
      </c>
      <c r="AG24" s="88" t="str">
        <f>god-1&amp;" год"</f>
        <v>2025 год</v>
      </c>
      <c r="AH24" s="1127" t="str">
        <f>god&amp;" год"</f>
        <v>2026 год</v>
      </c>
      <c r="AI24" s="88" t="str">
        <f>god&amp;" год"</f>
        <v>2026 год</v>
      </c>
      <c r="AJ24" s="1526" t="s">
        <v>382</v>
      </c>
    </row>
    <row s="1331" customFormat="1" customHeight="1" ht="35.1">
      <c r="B25" s="430"/>
      <c r="E25" s="634">
        <v>36</v>
      </c>
      <c r="F25" s="118" t="s">
        <v>383</v>
      </c>
      <c r="AC25" s="1525"/>
      <c r="AD25" s="1525"/>
      <c r="AE25" s="1525"/>
      <c r="AF25" s="88" t="s">
        <v>373</v>
      </c>
      <c r="AG25" s="88" t="s">
        <v>373</v>
      </c>
      <c r="AH25" s="1127" t="s">
        <v>374</v>
      </c>
      <c r="AI25" s="88" t="s">
        <v>373</v>
      </c>
      <c r="AJ25" s="1527"/>
      <c r="AM25" s="1005"/>
      <c r="AN25" s="1005"/>
      <c r="AO25" s="1005"/>
      <c r="AP25" s="1005"/>
      <c r="AQ25" s="623"/>
      <c r="AR25" s="623"/>
    </row>
    <row s="1656" customFormat="1" customHeight="1" ht="11.25">
      <c r="B26" s="664"/>
      <c r="E26" s="641" t="s">
        <v>384</v>
      </c>
      <c r="F26" s="168"/>
      <c r="G26" s="168"/>
      <c r="T26" s="0" t="s">
        <v>385</v>
      </c>
      <c r="AD26" s="96"/>
      <c r="AE26" s="96"/>
      <c r="AF26" s="96"/>
      <c r="AG26" s="96"/>
      <c r="AM26" s="1012"/>
      <c r="AN26" s="1012"/>
      <c r="AO26" s="1012"/>
      <c r="AP26" s="1012"/>
      <c r="AQ26" s="629"/>
      <c r="AR26" s="1015"/>
    </row>
    <row s="1331" customFormat="1" customHeight="1" ht="14.625" hidden="1">
      <c r="A27" s="1331"/>
      <c r="B27" s="430"/>
      <c r="C27" s="1331"/>
      <c r="D27" s="1331"/>
      <c r="E27" s="634">
        <v>15</v>
      </c>
      <c r="F27" s="118" cm="1" t="str">
        <f t="array" ref="F27:F27">Z27</f>
        <v>0</v>
      </c>
      <c r="G27" s="1331"/>
      <c r="H27" s="1331"/>
      <c r="I27" s="1331"/>
      <c r="J27" s="1331"/>
      <c r="K27" s="1331"/>
      <c r="L27" s="1331"/>
      <c r="M27" s="1331"/>
      <c r="N27" s="1331"/>
      <c r="O27" s="1331"/>
      <c r="P27" s="1331"/>
      <c r="Q27" s="1331"/>
      <c r="R27" s="1331"/>
      <c r="S27" s="1331"/>
      <c r="T27" s="1089" cm="1" t="str">
        <f t="array" ref="T27:T27">INDEX('Общие сведения'!$AE$197:$AE$254,MATCH($Z27,'Общие сведения'!$Z$197:$Z$254,0))</f>
        <v>0</v>
      </c>
      <c r="U27" s="1331"/>
      <c r="V27" s="468">
        <f>Z27&gt;0</f>
        <v>0</v>
      </c>
      <c r="W27" s="1331"/>
      <c r="X27" s="118" t="s">
        <v>279</v>
      </c>
      <c r="Y27" s="1331"/>
      <c r="Z27" s="1528">
        <v>0</v>
      </c>
      <c r="AA27" s="1529"/>
      <c r="AB27" s="1331"/>
      <c r="AC27" s="176" cm="1" t="str">
        <f t="array" ref="AC27:AC27">INDEX('Общие сведения'!$AG$197:$AG$254,MATCH($Z27,'Общие сведения'!$Z$197:$Z$254,0))</f>
        <v>Тариф 0 () - </v>
      </c>
      <c r="AD27" s="176"/>
      <c r="AE27" s="170"/>
      <c r="AF27" s="170"/>
      <c r="AG27" s="170"/>
      <c r="AH27" s="170"/>
      <c r="AI27" s="170"/>
      <c r="AJ27" s="170"/>
      <c r="AK27" s="1331"/>
      <c r="AL27" s="1331"/>
      <c r="AM27" s="1005"/>
      <c r="AN27" s="1005"/>
      <c r="AO27" s="1005"/>
      <c r="AP27" s="1005"/>
      <c r="AQ27" s="623"/>
      <c r="AR27" s="623"/>
      <c r="AS27" s="1331"/>
      <c r="AT27" s="1331"/>
      <c r="AU27" s="1331"/>
      <c r="AV27" s="1331"/>
      <c r="AW27" s="1331"/>
      <c r="AX27" s="1331"/>
      <c r="AY27" s="1331"/>
      <c r="AZ27" s="1331"/>
      <c r="BA27" s="1331"/>
      <c r="BB27" s="1331"/>
      <c r="BC27" s="1331"/>
      <c r="BD27" s="1331"/>
      <c r="BE27" s="1331"/>
    </row>
    <row s="1331" customFormat="1" customHeight="1" ht="14.625" hidden="1">
      <c r="A28" s="1331"/>
      <c r="B28" s="969">
        <f>AND(T27="Водоснабжение",method_reg&lt;&gt;"Метод сравнения аналогов")</f>
        <v>0</v>
      </c>
      <c r="C28" s="1331"/>
      <c r="D28" s="1331"/>
      <c r="E28" s="634">
        <v>15</v>
      </c>
      <c r="F28" s="139" cm="1" t="str">
        <f t="array" ref="F28:F28">OFFSET(E28,-1,1)</f>
        <v>0</v>
      </c>
      <c r="G28" s="487"/>
      <c r="H28" s="118" t="s">
        <v>344</v>
      </c>
      <c r="I28" s="118" t="s">
        <v>386</v>
      </c>
      <c r="J28" s="118" t="str">
        <f>AD28&amp;"::"&amp;AE28</f>
        <v>Водонасосные станции (водозаборные узлы)::ед.</v>
      </c>
      <c r="K28" s="120"/>
      <c r="L28" s="1331"/>
      <c r="M28" s="1331"/>
      <c r="N28" s="1331"/>
      <c r="O28" s="1331"/>
      <c r="P28" s="1331"/>
      <c r="Q28" s="1331"/>
      <c r="R28" s="1331"/>
      <c r="S28" s="1331"/>
      <c r="T28" s="1331"/>
      <c r="U28" s="1331"/>
      <c r="V28" s="468" cm="1" t="str">
        <f t="array" ref="V28:V28">V27</f>
        <v>false</v>
      </c>
      <c r="W28" s="1331"/>
      <c r="X28" s="1331"/>
      <c r="Y28" s="1331"/>
      <c r="Z28" s="1528"/>
      <c r="AA28" s="1529"/>
      <c r="AB28" s="1331"/>
      <c r="AC28" s="180">
        <v>1</v>
      </c>
      <c r="AD28" s="178" t="s">
        <v>387</v>
      </c>
      <c r="AE28" s="119" t="s">
        <v>388</v>
      </c>
      <c r="AF28" s="1815"/>
      <c r="AG28" s="1815"/>
      <c r="AH28" s="1815"/>
      <c r="AI28" s="1815"/>
      <c r="AJ28" s="1816"/>
      <c r="AK28" s="1331"/>
      <c r="AL28" s="1331"/>
      <c r="AM28" s="1005" t="s">
        <v>389</v>
      </c>
      <c r="AN28" s="1005"/>
      <c r="AO28" s="1005"/>
      <c r="AP28" s="1005"/>
      <c r="AQ28" s="623"/>
      <c r="AR28" s="623"/>
      <c r="AS28" s="1331"/>
      <c r="AT28" s="1331"/>
      <c r="AU28" s="1331"/>
      <c r="AV28" s="1331"/>
      <c r="AW28" s="1331"/>
      <c r="AX28" s="1331"/>
      <c r="AY28" s="1331"/>
      <c r="AZ28" s="1331"/>
      <c r="BA28" s="1331"/>
      <c r="BB28" s="1331"/>
      <c r="BC28" s="1331"/>
      <c r="BD28" s="1331"/>
      <c r="BE28" s="1331"/>
    </row>
    <row s="1331" customFormat="1" customHeight="1" ht="14.625" hidden="1">
      <c r="A29" s="1331"/>
      <c r="B29" s="969" cm="1" t="str">
        <f t="array" ref="B29:B29">B28</f>
        <v>false</v>
      </c>
      <c r="C29" s="1331"/>
      <c r="D29" s="1331"/>
      <c r="E29" s="634">
        <v>15</v>
      </c>
      <c r="F29" s="139" cm="1" t="str">
        <f t="array" ref="F29:F29">OFFSET(E29,-1,1)</f>
        <v>0</v>
      </c>
      <c r="G29" s="139"/>
      <c r="H29" s="118" t="s">
        <v>344</v>
      </c>
      <c r="I29" s="118" t="s">
        <v>386</v>
      </c>
      <c r="J29" s="118" t="str">
        <f>AD29&amp;"::"&amp;AE29</f>
        <v>Скважины::ед.</v>
      </c>
      <c r="K29" s="1331"/>
      <c r="L29" s="1331"/>
      <c r="M29" s="1331"/>
      <c r="N29" s="1331"/>
      <c r="O29" s="1331"/>
      <c r="P29" s="1331"/>
      <c r="Q29" s="1331"/>
      <c r="R29" s="1331"/>
      <c r="S29" s="1331"/>
      <c r="T29" s="1331"/>
      <c r="U29" s="1331"/>
      <c r="V29" s="468" cm="1" t="str">
        <f t="array" ref="V29:V29">V28</f>
        <v>false</v>
      </c>
      <c r="W29" s="1331"/>
      <c r="X29" s="1331"/>
      <c r="Y29" s="1331"/>
      <c r="Z29" s="1528"/>
      <c r="AA29" s="1529"/>
      <c r="AB29" s="1331"/>
      <c r="AC29" s="180">
        <v>2</v>
      </c>
      <c r="AD29" s="178" t="s">
        <v>390</v>
      </c>
      <c r="AE29" s="119" t="s">
        <v>388</v>
      </c>
      <c r="AF29" s="1815"/>
      <c r="AG29" s="1815"/>
      <c r="AH29" s="1815"/>
      <c r="AI29" s="1815"/>
      <c r="AJ29" s="1816"/>
      <c r="AK29" s="1331"/>
      <c r="AL29" s="1331"/>
      <c r="AM29" s="1005" t="s">
        <v>391</v>
      </c>
      <c r="AN29" s="1005"/>
      <c r="AO29" s="1005"/>
      <c r="AP29" s="1005"/>
      <c r="AQ29" s="623"/>
      <c r="AR29" s="623"/>
      <c r="AS29" s="1331"/>
      <c r="AT29" s="1331"/>
      <c r="AU29" s="1331"/>
      <c r="AV29" s="1331"/>
      <c r="AW29" s="1331"/>
      <c r="AX29" s="1331"/>
      <c r="AY29" s="1331"/>
      <c r="AZ29" s="1331"/>
      <c r="BA29" s="1331"/>
      <c r="BB29" s="1331"/>
      <c r="BC29" s="1331"/>
      <c r="BD29" s="1331"/>
      <c r="BE29" s="1331"/>
    </row>
    <row s="1331" customFormat="1" customHeight="1" ht="14.625" hidden="1">
      <c r="A30" s="1331"/>
      <c r="B30" s="969">
        <f>T27="Водоснабжение"</f>
        <v>0</v>
      </c>
      <c r="C30" s="1331"/>
      <c r="D30" s="1331"/>
      <c r="E30" s="634">
        <v>15</v>
      </c>
      <c r="F30" s="139" cm="1" t="str">
        <f t="array" ref="F30:F30">OFFSET(E30,-1,1)</f>
        <v>0</v>
      </c>
      <c r="G30" s="139" t="s">
        <v>50</v>
      </c>
      <c r="H30" s="118" t="s">
        <v>344</v>
      </c>
      <c r="I30" s="118" t="s">
        <v>386</v>
      </c>
      <c r="J30" s="118" t="str">
        <f>AD30&amp;"::"&amp;AE30</f>
        <v>Подкачивающие насосные станции::ед.</v>
      </c>
      <c r="K30" s="1331"/>
      <c r="L30" s="118" t="s">
        <v>50</v>
      </c>
      <c r="M30" s="1331"/>
      <c r="N30" s="1331"/>
      <c r="O30" s="1331"/>
      <c r="P30" s="1331"/>
      <c r="Q30" s="1331"/>
      <c r="R30" s="1331"/>
      <c r="S30" s="1331"/>
      <c r="T30" s="1331"/>
      <c r="U30" s="1331"/>
      <c r="V30" s="468" cm="1" t="str">
        <f t="array" ref="V30:V30">V29</f>
        <v>false</v>
      </c>
      <c r="W30" s="1331"/>
      <c r="X30" s="1331"/>
      <c r="Y30" s="1331"/>
      <c r="Z30" s="1528"/>
      <c r="AA30" s="1529"/>
      <c r="AB30" s="1331"/>
      <c r="AC30" s="180">
        <f>IF(B29,3,1)</f>
        <v>1</v>
      </c>
      <c r="AD30" s="178" t="s">
        <v>392</v>
      </c>
      <c r="AE30" s="119" t="s">
        <v>388</v>
      </c>
      <c r="AF30" s="1815"/>
      <c r="AG30" s="1815"/>
      <c r="AH30" s="1815"/>
      <c r="AI30" s="1815"/>
      <c r="AJ30" s="1816"/>
      <c r="AK30" s="1331"/>
      <c r="AL30" s="1331"/>
      <c r="AM30" s="1005" t="s">
        <v>393</v>
      </c>
      <c r="AN30" s="1005"/>
      <c r="AO30" s="1005"/>
      <c r="AP30" s="1005"/>
      <c r="AQ30" s="623"/>
      <c r="AR30" s="623"/>
      <c r="AS30" s="1331"/>
      <c r="AT30" s="1331"/>
      <c r="AU30" s="1331"/>
      <c r="AV30" s="1331"/>
      <c r="AW30" s="1331"/>
      <c r="AX30" s="1331"/>
      <c r="AY30" s="1331"/>
      <c r="AZ30" s="1331"/>
      <c r="BA30" s="1331"/>
      <c r="BB30" s="1331"/>
      <c r="BC30" s="1331"/>
      <c r="BD30" s="1331"/>
      <c r="BE30" s="1331"/>
    </row>
    <row s="1331" customFormat="1" customHeight="1" ht="14.625" hidden="1">
      <c r="A31" s="1331"/>
      <c r="B31" s="969" cm="1" t="str">
        <f t="array" ref="B31:B31">B29</f>
        <v>false</v>
      </c>
      <c r="C31" s="1331"/>
      <c r="D31" s="1331"/>
      <c r="E31" s="634">
        <v>15</v>
      </c>
      <c r="F31" s="139" cm="1" t="str">
        <f t="array" ref="F31:F31">OFFSET(E31,-1,1)</f>
        <v>0</v>
      </c>
      <c r="G31" s="139"/>
      <c r="H31" s="118" t="s">
        <v>344</v>
      </c>
      <c r="I31" s="118" t="s">
        <v>386</v>
      </c>
      <c r="J31" s="118" t="str">
        <f>AD31&amp;"::"&amp;AE31</f>
        <v>Водонапорные башни::ед.</v>
      </c>
      <c r="K31" s="1331"/>
      <c r="L31" s="1331"/>
      <c r="M31" s="1331"/>
      <c r="N31" s="1331"/>
      <c r="O31" s="1331"/>
      <c r="P31" s="1331"/>
      <c r="Q31" s="1331"/>
      <c r="R31" s="1331"/>
      <c r="S31" s="1331"/>
      <c r="T31" s="1331"/>
      <c r="U31" s="1331"/>
      <c r="V31" s="468" cm="1" t="str">
        <f t="array" ref="V31:V31">V30</f>
        <v>false</v>
      </c>
      <c r="W31" s="1331"/>
      <c r="X31" s="1331"/>
      <c r="Y31" s="1331"/>
      <c r="Z31" s="1528"/>
      <c r="AA31" s="1529"/>
      <c r="AB31" s="1331"/>
      <c r="AC31" s="180">
        <v>4</v>
      </c>
      <c r="AD31" s="178" t="s">
        <v>394</v>
      </c>
      <c r="AE31" s="119" t="s">
        <v>388</v>
      </c>
      <c r="AF31" s="1815"/>
      <c r="AG31" s="1815"/>
      <c r="AH31" s="1815"/>
      <c r="AI31" s="1815"/>
      <c r="AJ31" s="1816"/>
      <c r="AK31" s="1331"/>
      <c r="AL31" s="1331"/>
      <c r="AM31" s="1005" t="s">
        <v>395</v>
      </c>
      <c r="AN31" s="1005"/>
      <c r="AO31" s="1005"/>
      <c r="AP31" s="1005"/>
      <c r="AQ31" s="623"/>
      <c r="AR31" s="623"/>
      <c r="AS31" s="1331"/>
      <c r="AT31" s="1331"/>
      <c r="AU31" s="1331"/>
      <c r="AV31" s="1331"/>
      <c r="AW31" s="1331"/>
      <c r="AX31" s="1331"/>
      <c r="AY31" s="1331"/>
      <c r="AZ31" s="1331"/>
      <c r="BA31" s="1331"/>
      <c r="BB31" s="1331"/>
      <c r="BC31" s="1331"/>
      <c r="BD31" s="1331"/>
      <c r="BE31" s="1331"/>
    </row>
    <row s="1331" customFormat="1" customHeight="1" ht="14.625" hidden="1">
      <c r="A32" s="1331"/>
      <c r="B32" s="969">
        <f>T27="Водоснабжение"</f>
        <v>0</v>
      </c>
      <c r="C32" s="1331"/>
      <c r="D32" s="1331"/>
      <c r="E32" s="634">
        <v>15</v>
      </c>
      <c r="F32" s="139" cm="1" t="str">
        <f t="array" ref="F32:F32">OFFSET(E32,-1,1)</f>
        <v>0</v>
      </c>
      <c r="G32" s="139"/>
      <c r="H32" s="118" t="s">
        <v>344</v>
      </c>
      <c r="I32" s="118" t="s">
        <v>386</v>
      </c>
      <c r="J32" s="118" t="str">
        <f>AD32&amp;"::"&amp;AE32</f>
        <v>Водопроводные сети::км</v>
      </c>
      <c r="K32" s="1331"/>
      <c r="L32" s="1331"/>
      <c r="M32" s="1331"/>
      <c r="N32" s="1331"/>
      <c r="O32" s="1331"/>
      <c r="P32" s="118" t="s">
        <v>396</v>
      </c>
      <c r="Q32" s="118" t="s">
        <v>397</v>
      </c>
      <c r="R32" s="1331"/>
      <c r="S32" s="1331"/>
      <c r="T32" s="1331"/>
      <c r="U32" s="1331"/>
      <c r="V32" s="468" cm="1" t="str">
        <f t="array" ref="V32:V32">V31</f>
        <v>false</v>
      </c>
      <c r="W32" s="1331"/>
      <c r="X32" s="1331"/>
      <c r="Y32" s="1331"/>
      <c r="Z32" s="1528"/>
      <c r="AA32" s="1529"/>
      <c r="AB32" s="1331"/>
      <c r="AC32" s="180">
        <f>IF(B29,5,2)</f>
        <v>2</v>
      </c>
      <c r="AD32" s="178" t="s">
        <v>398</v>
      </c>
      <c r="AE32" s="119" t="s">
        <v>399</v>
      </c>
      <c r="AF32" s="1817"/>
      <c r="AG32" s="1817"/>
      <c r="AH32" s="1817"/>
      <c r="AI32" s="1817"/>
      <c r="AJ32" s="1816"/>
      <c r="AK32" s="1331"/>
      <c r="AL32" s="1331"/>
      <c r="AM32" s="1005" t="s">
        <v>400</v>
      </c>
      <c r="AN32" s="1005"/>
      <c r="AO32" s="1005"/>
      <c r="AP32" s="1005"/>
      <c r="AQ32" s="623"/>
      <c r="AR32" s="623"/>
      <c r="AS32" s="1331"/>
      <c r="AT32" s="1331"/>
      <c r="AU32" s="1331"/>
      <c r="AV32" s="1331"/>
      <c r="AW32" s="1331"/>
      <c r="AX32" s="1331"/>
      <c r="AY32" s="1331"/>
      <c r="AZ32" s="1331"/>
      <c r="BA32" s="1331"/>
      <c r="BB32" s="1331"/>
      <c r="BC32" s="1331"/>
      <c r="BD32" s="1331"/>
      <c r="BE32" s="1331"/>
    </row>
    <row s="1331" customFormat="1" customHeight="1" ht="14.625" hidden="1">
      <c r="A33" s="1331"/>
      <c r="B33" s="969">
        <f>AND(T27="Водоотведение",method_reg&lt;&gt;"Метод сравнения аналогов")</f>
        <v>0</v>
      </c>
      <c r="C33" s="1331"/>
      <c r="D33" s="1331"/>
      <c r="E33" s="634">
        <v>15</v>
      </c>
      <c r="F33" s="139" cm="1" t="str">
        <f t="array" ref="F33:F33">OFFSET(E33,-1,1)</f>
        <v>0</v>
      </c>
      <c r="G33" s="487"/>
      <c r="H33" s="118" t="s">
        <v>344</v>
      </c>
      <c r="I33" s="118" t="s">
        <v>386</v>
      </c>
      <c r="J33" s="118" t="str">
        <f>AD33&amp;"::"&amp;AE33</f>
        <v>Биологические очистные сооружения::ед.</v>
      </c>
      <c r="K33" s="120"/>
      <c r="L33" s="1331"/>
      <c r="M33" s="1331"/>
      <c r="N33" s="1331"/>
      <c r="O33" s="1331"/>
      <c r="P33" s="1331"/>
      <c r="Q33" s="1331"/>
      <c r="R33" s="1331"/>
      <c r="S33" s="1331"/>
      <c r="T33" s="1331"/>
      <c r="U33" s="1331"/>
      <c r="V33" s="468" cm="1" t="str">
        <f t="array" ref="V33:V33">V32</f>
        <v>false</v>
      </c>
      <c r="W33" s="1331"/>
      <c r="X33" s="1331"/>
      <c r="Y33" s="1331"/>
      <c r="Z33" s="1528"/>
      <c r="AA33" s="1529"/>
      <c r="AB33" s="1331"/>
      <c r="AC33" s="180">
        <v>1</v>
      </c>
      <c r="AD33" s="178" t="s">
        <v>401</v>
      </c>
      <c r="AE33" s="119" t="s">
        <v>388</v>
      </c>
      <c r="AF33" s="1815"/>
      <c r="AG33" s="1815"/>
      <c r="AH33" s="1815"/>
      <c r="AI33" s="1815"/>
      <c r="AJ33" s="1816"/>
      <c r="AK33" s="1331"/>
      <c r="AL33" s="1331"/>
      <c r="AM33" s="1005" t="s">
        <v>402</v>
      </c>
      <c r="AN33" s="1005"/>
      <c r="AO33" s="1005"/>
      <c r="AP33" s="1005"/>
      <c r="AQ33" s="623"/>
      <c r="AR33" s="623"/>
      <c r="AS33" s="1331"/>
      <c r="AT33" s="1331"/>
      <c r="AU33" s="1331"/>
      <c r="AV33" s="1331"/>
      <c r="AW33" s="1331"/>
      <c r="AX33" s="1331"/>
      <c r="AY33" s="1331"/>
      <c r="AZ33" s="1331"/>
      <c r="BA33" s="1331"/>
      <c r="BB33" s="1331"/>
      <c r="BC33" s="1331"/>
      <c r="BD33" s="1331"/>
      <c r="BE33" s="1331"/>
    </row>
    <row s="1331" customFormat="1" customHeight="1" ht="14.625" hidden="1">
      <c r="A34" s="1331"/>
      <c r="B34" s="969">
        <f>T27="Водоотведение"</f>
        <v>0</v>
      </c>
      <c r="C34" s="1331"/>
      <c r="D34" s="1331"/>
      <c r="E34" s="634">
        <v>15</v>
      </c>
      <c r="F34" s="139" cm="1" t="str">
        <f t="array" ref="F34:F34">OFFSET(E34,-1,1)</f>
        <v>0</v>
      </c>
      <c r="G34" s="139" t="s">
        <v>50</v>
      </c>
      <c r="H34" s="118" t="s">
        <v>344</v>
      </c>
      <c r="I34" s="118" t="s">
        <v>386</v>
      </c>
      <c r="J34" s="118" t="str">
        <f>AD34&amp;"::"&amp;AE34</f>
        <v>Канализационные насосные станции::ед.</v>
      </c>
      <c r="K34" s="1331"/>
      <c r="L34" s="1331"/>
      <c r="M34" s="1331"/>
      <c r="N34" s="1331"/>
      <c r="O34" s="1331"/>
      <c r="P34" s="1331"/>
      <c r="Q34" s="1331"/>
      <c r="R34" s="1331"/>
      <c r="S34" s="1331"/>
      <c r="T34" s="1331"/>
      <c r="U34" s="1331"/>
      <c r="V34" s="468" cm="1" t="str">
        <f t="array" ref="V34:V34">V33</f>
        <v>false</v>
      </c>
      <c r="W34" s="1331"/>
      <c r="X34" s="1331"/>
      <c r="Y34" s="1331"/>
      <c r="Z34" s="1528"/>
      <c r="AA34" s="1529"/>
      <c r="AB34" s="1331"/>
      <c r="AC34" s="180">
        <f>IF(B33,2,1)</f>
        <v>1</v>
      </c>
      <c r="AD34" s="178" t="s">
        <v>403</v>
      </c>
      <c r="AE34" s="119" t="s">
        <v>388</v>
      </c>
      <c r="AF34" s="1815"/>
      <c r="AG34" s="1815"/>
      <c r="AH34" s="1815"/>
      <c r="AI34" s="1815"/>
      <c r="AJ34" s="1816"/>
      <c r="AK34" s="1331"/>
      <c r="AL34" s="1331"/>
      <c r="AM34" s="1005" t="s">
        <v>404</v>
      </c>
      <c r="AN34" s="1005"/>
      <c r="AO34" s="1005"/>
      <c r="AP34" s="1005"/>
      <c r="AQ34" s="623"/>
      <c r="AR34" s="623"/>
      <c r="AS34" s="1331"/>
      <c r="AT34" s="1331"/>
      <c r="AU34" s="1331"/>
      <c r="AV34" s="1331"/>
      <c r="AW34" s="1331"/>
      <c r="AX34" s="1331"/>
      <c r="AY34" s="1331"/>
      <c r="AZ34" s="1331"/>
      <c r="BA34" s="1331"/>
      <c r="BB34" s="1331"/>
      <c r="BC34" s="1331"/>
      <c r="BD34" s="1331"/>
      <c r="BE34" s="1331"/>
    </row>
    <row s="1331" customFormat="1" customHeight="1" ht="14.625" hidden="1">
      <c r="A35" s="1331"/>
      <c r="B35" s="969" cm="1" t="str">
        <f t="array" ref="B35:B35">B34</f>
        <v>false</v>
      </c>
      <c r="C35" s="1331"/>
      <c r="D35" s="1331"/>
      <c r="E35" s="634">
        <v>15</v>
      </c>
      <c r="F35" s="139" cm="1" t="str">
        <f t="array" ref="F35:F35">OFFSET(E35,-1,1)</f>
        <v>0</v>
      </c>
      <c r="G35" s="139"/>
      <c r="H35" s="118" t="s">
        <v>344</v>
      </c>
      <c r="I35" s="118" t="s">
        <v>386</v>
      </c>
      <c r="J35" s="118" t="str">
        <f>AD35&amp;"::"&amp;AE35</f>
        <v>Канализационные сети::км</v>
      </c>
      <c r="K35" s="1331"/>
      <c r="L35" s="118" t="s">
        <v>50</v>
      </c>
      <c r="M35" s="1331"/>
      <c r="N35" s="1331"/>
      <c r="O35" s="1331"/>
      <c r="P35" s="118" t="s">
        <v>396</v>
      </c>
      <c r="Q35" s="118" t="s">
        <v>397</v>
      </c>
      <c r="R35" s="1331"/>
      <c r="S35" s="1331"/>
      <c r="T35" s="1331"/>
      <c r="U35" s="1331"/>
      <c r="V35" s="468" cm="1" t="str">
        <f t="array" ref="V35:V35">V34</f>
        <v>false</v>
      </c>
      <c r="W35" s="1331"/>
      <c r="X35" s="1331"/>
      <c r="Y35" s="1331"/>
      <c r="Z35" s="1528"/>
      <c r="AA35" s="1529"/>
      <c r="AB35" s="1331"/>
      <c r="AC35" s="180">
        <f>AC34+1</f>
        <v>2</v>
      </c>
      <c r="AD35" s="178" t="s">
        <v>405</v>
      </c>
      <c r="AE35" s="119" t="s">
        <v>399</v>
      </c>
      <c r="AF35" s="1817"/>
      <c r="AG35" s="1817"/>
      <c r="AH35" s="1817"/>
      <c r="AI35" s="1817"/>
      <c r="AJ35" s="1816"/>
      <c r="AK35" s="1331"/>
      <c r="AL35" s="1331"/>
      <c r="AM35" s="1005" t="s">
        <v>406</v>
      </c>
      <c r="AN35" s="1005"/>
      <c r="AO35" s="1005"/>
      <c r="AP35" s="1005"/>
      <c r="AQ35" s="623"/>
      <c r="AR35" s="623"/>
      <c r="AS35" s="1331"/>
      <c r="AT35" s="1331"/>
      <c r="AU35" s="1331"/>
      <c r="AV35" s="1331"/>
      <c r="AW35" s="1331"/>
      <c r="AX35" s="1331"/>
      <c r="AY35" s="1331"/>
      <c r="AZ35" s="1331"/>
      <c r="BA35" s="1331"/>
      <c r="BB35" s="1331"/>
      <c r="BC35" s="1331"/>
      <c r="BD35" s="1331"/>
      <c r="BE35" s="1331"/>
    </row>
    <row s="1029" customFormat="1" customHeight="1" ht="14.625" hidden="1">
      <c r="A36" s="1029"/>
      <c r="B36" s="430"/>
      <c r="C36" s="1029"/>
      <c r="D36" s="1029"/>
      <c r="E36" s="642">
        <v>15</v>
      </c>
      <c r="F36" s="139" cm="1" t="str">
        <f t="array" ref="F36:F36">OFFSET(E36,-1,1)</f>
        <v>0</v>
      </c>
      <c r="G36" s="139"/>
      <c r="H36" s="120" t="s">
        <v>344</v>
      </c>
      <c r="I36" s="120" t="s">
        <v>386</v>
      </c>
      <c r="J36" s="120" t="str">
        <f>AD36&amp;"::"&amp;AE36</f>
        <v>::</v>
      </c>
      <c r="K36" s="1029"/>
      <c r="L36" s="1029"/>
      <c r="M36" s="1029"/>
      <c r="N36" s="1029"/>
      <c r="O36" s="1029"/>
      <c r="P36" s="1029"/>
      <c r="Q36" s="1029"/>
      <c r="R36" s="1029"/>
      <c r="S36" s="1029"/>
      <c r="T36" s="1029"/>
      <c r="U36" s="118">
        <v>0</v>
      </c>
      <c r="V36" s="468">
        <f>AND(F36&gt;0,U36&gt;0)</f>
        <v>0</v>
      </c>
      <c r="W36" s="1029"/>
      <c r="X36" s="1029"/>
      <c r="Y36" s="764" t="s">
        <v>173</v>
      </c>
      <c r="Z36" s="1528"/>
      <c r="AA36" s="1529"/>
      <c r="AB36" s="422" t="s">
        <v>174</v>
      </c>
      <c r="AC36" s="180">
        <f>IF(OFFSET(C36,-8-U36,-1),5,IF(OFFSET(C36,-3-U36,-1),3,2))+U36</f>
        <v>2</v>
      </c>
      <c r="AD36" s="1820"/>
      <c r="AE36" s="1821"/>
      <c r="AF36" s="1822"/>
      <c r="AG36" s="1822"/>
      <c r="AH36" s="1822"/>
      <c r="AI36" s="1822"/>
      <c r="AJ36" s="1823"/>
      <c r="AK36" s="1029"/>
      <c r="AL36" s="1029"/>
      <c r="AM36" s="1013" t="s">
        <v>407</v>
      </c>
      <c r="AN36" s="1013" t="s">
        <v>408</v>
      </c>
      <c r="AO36" s="1016" cm="1" t="str">
        <f t="array" ref="AO36:AO36">AD36</f>
        <v>0</v>
      </c>
      <c r="AP36" s="1016" cm="1" t="str">
        <f t="array" ref="AP36:AP36">AE36</f>
        <v>0</v>
      </c>
      <c r="AQ36" s="698"/>
      <c r="AR36" s="698" t="b">
        <v>1</v>
      </c>
      <c r="AS36" s="1029"/>
      <c r="AT36" s="1029"/>
      <c r="AU36" s="1029"/>
      <c r="AV36" s="1029"/>
      <c r="AW36" s="1029"/>
      <c r="AX36" s="1029"/>
      <c r="AY36" s="1029"/>
      <c r="AZ36" s="1029"/>
      <c r="BA36" s="1029"/>
      <c r="BB36" s="1029"/>
      <c r="BC36" s="1029"/>
      <c r="BD36" s="1029"/>
      <c r="BE36" s="1029"/>
    </row>
    <row s="1331" customFormat="1" customHeight="1" ht="14.625" hidden="1">
      <c r="A37" s="1331"/>
      <c r="B37" s="430"/>
      <c r="C37" s="1331"/>
      <c r="D37" s="1331"/>
      <c r="E37" s="634">
        <v>15</v>
      </c>
      <c r="F37" s="139" cm="1" t="str">
        <f t="array" ref="F37:F37">OFFSET(E37,-1,1)</f>
        <v>0</v>
      </c>
      <c r="G37" s="139"/>
      <c r="H37" s="1331"/>
      <c r="I37" s="1331"/>
      <c r="J37" s="117" t="s">
        <v>409</v>
      </c>
      <c r="K37" s="1331"/>
      <c r="L37" s="1331"/>
      <c r="M37" s="1331"/>
      <c r="N37" s="1331"/>
      <c r="O37" s="1331"/>
      <c r="P37" s="1331"/>
      <c r="Q37" s="1331"/>
      <c r="R37" s="1331"/>
      <c r="S37" s="1331"/>
      <c r="T37" s="1331"/>
      <c r="U37" s="1331"/>
      <c r="V37" s="468" cm="1" t="str">
        <f t="array" ref="V37:V37">V35</f>
        <v>false</v>
      </c>
      <c r="W37" s="1331"/>
      <c r="X37" s="1331"/>
      <c r="Y37" s="764" t="s">
        <v>410</v>
      </c>
      <c r="Z37" s="1528"/>
      <c r="AA37" s="1529"/>
      <c r="AB37" s="1331"/>
      <c r="AC37" s="171"/>
      <c r="AD37" s="304" t="s">
        <v>177</v>
      </c>
      <c r="AE37" s="172"/>
      <c r="AF37" s="172"/>
      <c r="AG37" s="172"/>
      <c r="AH37" s="172"/>
      <c r="AI37" s="172"/>
      <c r="AJ37" s="183"/>
      <c r="AK37" s="1331"/>
      <c r="AL37" s="1331"/>
      <c r="AM37" s="1005"/>
      <c r="AN37" s="1005"/>
      <c r="AO37" s="1005"/>
      <c r="AP37" s="1005"/>
      <c r="AQ37" s="623" t="s">
        <v>408</v>
      </c>
      <c r="AR37" s="623"/>
      <c r="AS37" s="1331"/>
      <c r="AT37" s="1331"/>
      <c r="AU37" s="1331"/>
      <c r="AV37" s="1331"/>
      <c r="AW37" s="1331"/>
      <c r="AX37" s="1331"/>
      <c r="AY37" s="1331"/>
      <c r="AZ37" s="1331"/>
      <c r="BA37" s="1331"/>
      <c r="BB37" s="1331"/>
      <c r="BC37" s="1331"/>
      <c r="BD37" s="1331"/>
      <c r="BE37" s="1331"/>
    </row>
    <row s="1331" customFormat="1" customHeight="1" ht="14.625" hidden="1">
      <c r="A38" s="1331"/>
      <c r="B38" s="430"/>
      <c r="C38" s="1331"/>
      <c r="D38" s="1331"/>
      <c r="E38" s="634">
        <v>15</v>
      </c>
      <c r="F38" s="139" cm="1" t="str">
        <f t="array" ref="F38:F38">OFFSET(E38,-1,1)</f>
        <v>0</v>
      </c>
      <c r="G38" s="139"/>
      <c r="H38" s="118" t="s">
        <v>345</v>
      </c>
      <c r="I38" s="118" t="s">
        <v>386</v>
      </c>
      <c r="J38" s="365" cm="1" t="str">
        <f t="array" ref="J38:J38">AD38</f>
        <v>Краткое описание технологического процесса</v>
      </c>
      <c r="K38" s="1331"/>
      <c r="L38" s="1331"/>
      <c r="M38" s="1331"/>
      <c r="N38" s="1331"/>
      <c r="O38" s="1331"/>
      <c r="P38" s="1331"/>
      <c r="Q38" s="1331"/>
      <c r="R38" s="1331"/>
      <c r="S38" s="1331"/>
      <c r="T38" s="1331"/>
      <c r="U38" s="1331"/>
      <c r="V38" s="468" cm="1" t="str">
        <f t="array" ref="V38:V38">V37</f>
        <v>false</v>
      </c>
      <c r="W38" s="1331"/>
      <c r="X38" s="1331"/>
      <c r="Y38" s="1331"/>
      <c r="Z38" s="1528"/>
      <c r="AA38" s="1529"/>
      <c r="AB38" s="1331"/>
      <c r="AC38" s="180"/>
      <c r="AD38" s="178" t="s">
        <v>411</v>
      </c>
      <c r="AE38" s="119"/>
      <c r="AF38" s="1831"/>
      <c r="AG38" s="1832"/>
      <c r="AH38" s="1832"/>
      <c r="AI38" s="1832"/>
      <c r="AJ38" s="1833"/>
      <c r="AK38" s="1331"/>
      <c r="AL38" s="1331"/>
      <c r="AM38" s="1005" t="s">
        <v>412</v>
      </c>
      <c r="AN38" s="1005"/>
      <c r="AO38" s="1005"/>
      <c r="AP38" s="1005"/>
      <c r="AQ38" s="623"/>
      <c r="AR38" s="623"/>
      <c r="AS38" s="1331"/>
      <c r="AT38" s="1331"/>
      <c r="AU38" s="1331"/>
      <c r="AV38" s="1331"/>
      <c r="AW38" s="1331"/>
      <c r="AX38" s="1331"/>
      <c r="AY38" s="1331"/>
      <c r="AZ38" s="1331"/>
      <c r="BA38" s="1331"/>
      <c r="BB38" s="1331"/>
      <c r="BC38" s="1331"/>
      <c r="BD38" s="1331"/>
      <c r="BE38" s="1331"/>
    </row>
    <row s="541" customFormat="1" customHeight="1" ht="18.421875">
      <c r="A39" s="1331"/>
      <c r="B39" s="430"/>
      <c r="C39" s="1331"/>
      <c r="D39" s="1331"/>
      <c r="E39" s="634">
        <v>15</v>
      </c>
      <c r="F39" s="118" cm="1" t="str">
        <f t="array" ref="F39:F39">Z39</f>
        <v>1</v>
      </c>
      <c r="G39" s="1331"/>
      <c r="H39" s="1331"/>
      <c r="I39" s="1331"/>
      <c r="J39" s="1331"/>
      <c r="K39" s="1331"/>
      <c r="L39" s="1331"/>
      <c r="M39" s="1331"/>
      <c r="N39" s="1331"/>
      <c r="O39" s="1331"/>
      <c r="P39" s="1331"/>
      <c r="Q39" s="1331"/>
      <c r="R39" s="1331"/>
      <c r="S39" s="1331"/>
      <c r="T39" s="1089" cm="1" t="str">
        <f t="array" ref="T39:T39">INDEX('Общие сведения'!$AE$197:$AE$254,MATCH($Z39,'Общие сведения'!$Z$197:$Z$254,0))</f>
        <v>Водоснабжение</v>
      </c>
      <c r="U39" s="1331"/>
      <c r="V39" s="468">
        <f>Z39&gt;0</f>
        <v>1</v>
      </c>
      <c r="W39" s="1331"/>
      <c r="X39" s="118" cm="1" t="str">
        <f t="array" ref="X39:X39">'Список территорий'!$AB$29</f>
        <v>Тариф 1 (Водоснабжение) - тариф на питьевую воду (Оказание услуг на территории: город Ленинск-Кузнецкий (ОКТМО: 32719000) - г Ленинск-Кузнецкий, г Полысаево)</v>
      </c>
      <c r="Y39" s="1331"/>
      <c r="Z39" s="1528" t="s">
        <v>290</v>
      </c>
      <c r="AA39" s="1529"/>
      <c r="AB39" s="1331"/>
      <c r="AC39" s="176" cm="1" t="str">
        <f t="array" ref="AC39:AC39">'Список территорий'!$AB$29</f>
        <v>Тариф 1 (Водоснабжение) - тариф на питьевую воду (Оказание услуг на территории: город Ленинск-Кузнецкий (ОКТМО: 32719000) - г Ленинск-Кузнецкий, г Полысаево)</v>
      </c>
      <c r="AD39" s="176"/>
      <c r="AE39" s="170"/>
      <c r="AF39" s="170"/>
      <c r="AG39" s="170"/>
      <c r="AH39" s="170"/>
      <c r="AI39" s="170"/>
      <c r="AJ39" s="170"/>
      <c r="AK39" s="1331"/>
      <c r="AL39" s="1331"/>
      <c r="AM39" s="1005"/>
      <c r="AN39" s="1005"/>
      <c r="AO39" s="1005"/>
      <c r="AP39" s="1005"/>
      <c r="AQ39" s="623"/>
      <c r="AR39" s="623"/>
      <c r="AS39" s="1331"/>
      <c r="AT39" s="1331"/>
      <c r="AU39" s="1331"/>
      <c r="AV39" s="1331"/>
      <c r="AW39" s="1331"/>
      <c r="AX39" s="1331"/>
      <c r="AY39" s="1331"/>
      <c r="AZ39" s="1331"/>
      <c r="BA39" s="1331"/>
      <c r="BB39" s="1331"/>
      <c r="BC39" s="1331"/>
      <c r="BD39" s="1331"/>
      <c r="BE39" s="1331"/>
    </row>
    <row s="541" customFormat="1" customHeight="1" ht="14.625">
      <c r="A40" s="1331"/>
      <c r="B40" s="969">
        <f>AND(T39="Водоснабжение",method_reg&lt;&gt;"Метод сравнения аналогов")</f>
        <v>1</v>
      </c>
      <c r="C40" s="1331"/>
      <c r="D40" s="1331"/>
      <c r="E40" s="634">
        <v>15</v>
      </c>
      <c r="F40" s="139" cm="1" t="str">
        <f t="array" ref="F40:F40">OFFSET(E40,-1,1)</f>
        <v>1</v>
      </c>
      <c r="G40" s="487"/>
      <c r="H40" s="118" t="s">
        <v>344</v>
      </c>
      <c r="I40" s="118" t="s">
        <v>386</v>
      </c>
      <c r="J40" s="118" t="str">
        <f>AD40&amp;"::"&amp;AE40</f>
        <v>Водонасосные станции (водозаборные узлы)::ед.</v>
      </c>
      <c r="K40" s="120"/>
      <c r="L40" s="1331"/>
      <c r="M40" s="1331"/>
      <c r="N40" s="1331"/>
      <c r="O40" s="1331"/>
      <c r="P40" s="1331"/>
      <c r="Q40" s="1331"/>
      <c r="R40" s="1331"/>
      <c r="S40" s="1331"/>
      <c r="T40" s="1331"/>
      <c r="U40" s="1331"/>
      <c r="V40" s="468" cm="1" t="str">
        <f t="array" ref="V40:V40">V39</f>
        <v>true</v>
      </c>
      <c r="W40" s="1331"/>
      <c r="X40" s="1331"/>
      <c r="Y40" s="1331"/>
      <c r="Z40" s="1528"/>
      <c r="AA40" s="1529"/>
      <c r="AB40" s="1331"/>
      <c r="AC40" s="180">
        <v>1</v>
      </c>
      <c r="AD40" s="178" t="s">
        <v>387</v>
      </c>
      <c r="AE40" s="119" t="s">
        <v>388</v>
      </c>
      <c r="AF40" s="184">
        <v>1</v>
      </c>
      <c r="AG40" s="184">
        <v>1</v>
      </c>
      <c r="AH40" s="184">
        <v>1</v>
      </c>
      <c r="AI40" s="184">
        <v>1</v>
      </c>
      <c r="AJ40" s="185"/>
      <c r="AK40" s="1331"/>
      <c r="AL40" s="1331"/>
      <c r="AM40" s="1005" t="s">
        <v>389</v>
      </c>
      <c r="AN40" s="1005"/>
      <c r="AO40" s="1005"/>
      <c r="AP40" s="1005"/>
      <c r="AQ40" s="623"/>
      <c r="AR40" s="623"/>
      <c r="AS40" s="1331"/>
      <c r="AT40" s="1331"/>
      <c r="AU40" s="1331"/>
      <c r="AV40" s="1331"/>
      <c r="AW40" s="1331"/>
      <c r="AX40" s="1331"/>
      <c r="AY40" s="1331"/>
      <c r="AZ40" s="1331"/>
      <c r="BA40" s="1331"/>
      <c r="BB40" s="1331"/>
      <c r="BC40" s="1331"/>
      <c r="BD40" s="1331"/>
      <c r="BE40" s="1331"/>
    </row>
    <row s="541" customFormat="1" customHeight="1" ht="14.625">
      <c r="A41" s="1331"/>
      <c r="B41" s="969" cm="1" t="str">
        <f t="array" ref="B41:B41">B40</f>
        <v>true</v>
      </c>
      <c r="C41" s="1331"/>
      <c r="D41" s="1331"/>
      <c r="E41" s="634">
        <v>15</v>
      </c>
      <c r="F41" s="139" cm="1" t="str">
        <f t="array" ref="F41:F41">OFFSET(E41,-1,1)</f>
        <v>1</v>
      </c>
      <c r="G41" s="139"/>
      <c r="H41" s="118" t="s">
        <v>344</v>
      </c>
      <c r="I41" s="118" t="s">
        <v>386</v>
      </c>
      <c r="J41" s="118" t="str">
        <f>AD41&amp;"::"&amp;AE41</f>
        <v>Скважины::ед.</v>
      </c>
      <c r="K41" s="1331"/>
      <c r="L41" s="1331"/>
      <c r="M41" s="1331"/>
      <c r="N41" s="1331"/>
      <c r="O41" s="1331"/>
      <c r="P41" s="1331"/>
      <c r="Q41" s="1331"/>
      <c r="R41" s="1331"/>
      <c r="S41" s="1331"/>
      <c r="T41" s="1331"/>
      <c r="U41" s="1331"/>
      <c r="V41" s="468" cm="1" t="str">
        <f t="array" ref="V41:V41">V40</f>
        <v>true</v>
      </c>
      <c r="W41" s="1331"/>
      <c r="X41" s="1331"/>
      <c r="Y41" s="1331"/>
      <c r="Z41" s="1528"/>
      <c r="AA41" s="1529"/>
      <c r="AB41" s="1331"/>
      <c r="AC41" s="180">
        <v>2</v>
      </c>
      <c r="AD41" s="178" t="s">
        <v>390</v>
      </c>
      <c r="AE41" s="119" t="s">
        <v>388</v>
      </c>
      <c r="AF41" s="184">
        <v>7</v>
      </c>
      <c r="AG41" s="184">
        <v>7</v>
      </c>
      <c r="AH41" s="184">
        <v>6</v>
      </c>
      <c r="AI41" s="184">
        <v>6</v>
      </c>
      <c r="AJ41" s="185"/>
      <c r="AK41" s="1331"/>
      <c r="AL41" s="1331"/>
      <c r="AM41" s="1005" t="s">
        <v>391</v>
      </c>
      <c r="AN41" s="1005"/>
      <c r="AO41" s="1005"/>
      <c r="AP41" s="1005"/>
      <c r="AQ41" s="623"/>
      <c r="AR41" s="623"/>
      <c r="AS41" s="1331"/>
      <c r="AT41" s="1331"/>
      <c r="AU41" s="1331"/>
      <c r="AV41" s="1331"/>
      <c r="AW41" s="1331"/>
      <c r="AX41" s="1331"/>
      <c r="AY41" s="1331"/>
      <c r="AZ41" s="1331"/>
      <c r="BA41" s="1331"/>
      <c r="BB41" s="1331"/>
      <c r="BC41" s="1331"/>
      <c r="BD41" s="1331"/>
      <c r="BE41" s="1331"/>
    </row>
    <row s="541" customFormat="1" customHeight="1" ht="14.625">
      <c r="A42" s="1331"/>
      <c r="B42" s="969">
        <f>T39="Водоснабжение"</f>
        <v>1</v>
      </c>
      <c r="C42" s="1331"/>
      <c r="D42" s="1331"/>
      <c r="E42" s="634">
        <v>15</v>
      </c>
      <c r="F42" s="139" cm="1" t="str">
        <f t="array" ref="F42:F42">OFFSET(E42,-1,1)</f>
        <v>1</v>
      </c>
      <c r="G42" s="139" t="s">
        <v>50</v>
      </c>
      <c r="H42" s="118" t="s">
        <v>344</v>
      </c>
      <c r="I42" s="118" t="s">
        <v>386</v>
      </c>
      <c r="J42" s="118" t="str">
        <f>AD42&amp;"::"&amp;AE42</f>
        <v>Подкачивающие насосные станции::ед.</v>
      </c>
      <c r="K42" s="1331"/>
      <c r="L42" s="118" t="s">
        <v>50</v>
      </c>
      <c r="M42" s="1331"/>
      <c r="N42" s="1331"/>
      <c r="O42" s="1331"/>
      <c r="P42" s="1331"/>
      <c r="Q42" s="1331"/>
      <c r="R42" s="1331"/>
      <c r="S42" s="1331"/>
      <c r="T42" s="1331"/>
      <c r="U42" s="1331"/>
      <c r="V42" s="468" cm="1" t="str">
        <f t="array" ref="V42:V42">V41</f>
        <v>true</v>
      </c>
      <c r="W42" s="1331"/>
      <c r="X42" s="1331"/>
      <c r="Y42" s="1331"/>
      <c r="Z42" s="1528"/>
      <c r="AA42" s="1529"/>
      <c r="AB42" s="1331"/>
      <c r="AC42" s="180">
        <f>IF(B41,3,1)</f>
        <v>3</v>
      </c>
      <c r="AD42" s="178" t="s">
        <v>392</v>
      </c>
      <c r="AE42" s="119" t="s">
        <v>388</v>
      </c>
      <c r="AF42" s="184">
        <v>13</v>
      </c>
      <c r="AG42" s="184">
        <v>13</v>
      </c>
      <c r="AH42" s="184">
        <v>13</v>
      </c>
      <c r="AI42" s="184">
        <v>13</v>
      </c>
      <c r="AJ42" s="185"/>
      <c r="AK42" s="1331"/>
      <c r="AL42" s="1331"/>
      <c r="AM42" s="1005" t="s">
        <v>393</v>
      </c>
      <c r="AN42" s="1005"/>
      <c r="AO42" s="1005"/>
      <c r="AP42" s="1005"/>
      <c r="AQ42" s="623"/>
      <c r="AR42" s="623"/>
      <c r="AS42" s="1331"/>
      <c r="AT42" s="1331"/>
      <c r="AU42" s="1331"/>
      <c r="AV42" s="1331"/>
      <c r="AW42" s="1331"/>
      <c r="AX42" s="1331"/>
      <c r="AY42" s="1331"/>
      <c r="AZ42" s="1331"/>
      <c r="BA42" s="1331"/>
      <c r="BB42" s="1331"/>
      <c r="BC42" s="1331"/>
      <c r="BD42" s="1331"/>
      <c r="BE42" s="1331"/>
    </row>
    <row s="541" customFormat="1" customHeight="1" ht="14.625">
      <c r="A43" s="1331"/>
      <c r="B43" s="969" cm="1" t="str">
        <f t="array" ref="B43:B43">B41</f>
        <v>true</v>
      </c>
      <c r="C43" s="1331"/>
      <c r="D43" s="1331"/>
      <c r="E43" s="634">
        <v>15</v>
      </c>
      <c r="F43" s="139" cm="1" t="str">
        <f t="array" ref="F43:F43">OFFSET(E43,-1,1)</f>
        <v>1</v>
      </c>
      <c r="G43" s="139"/>
      <c r="H43" s="118" t="s">
        <v>344</v>
      </c>
      <c r="I43" s="118" t="s">
        <v>386</v>
      </c>
      <c r="J43" s="118" t="str">
        <f>AD43&amp;"::"&amp;AE43</f>
        <v>Водонапорные башни::ед.</v>
      </c>
      <c r="K43" s="1331"/>
      <c r="L43" s="1331"/>
      <c r="M43" s="1331"/>
      <c r="N43" s="1331"/>
      <c r="O43" s="1331"/>
      <c r="P43" s="1331"/>
      <c r="Q43" s="1331"/>
      <c r="R43" s="1331"/>
      <c r="S43" s="1331"/>
      <c r="T43" s="1331"/>
      <c r="U43" s="1331"/>
      <c r="V43" s="468" cm="1" t="str">
        <f t="array" ref="V43:V43">V42</f>
        <v>true</v>
      </c>
      <c r="W43" s="1331"/>
      <c r="X43" s="1331"/>
      <c r="Y43" s="1331"/>
      <c r="Z43" s="1528"/>
      <c r="AA43" s="1529"/>
      <c r="AB43" s="1331"/>
      <c r="AC43" s="180">
        <v>4</v>
      </c>
      <c r="AD43" s="178" t="s">
        <v>394</v>
      </c>
      <c r="AE43" s="119" t="s">
        <v>388</v>
      </c>
      <c r="AF43" s="184">
        <v>0</v>
      </c>
      <c r="AG43" s="184">
        <v>0</v>
      </c>
      <c r="AH43" s="184">
        <v>0</v>
      </c>
      <c r="AI43" s="184">
        <v>0</v>
      </c>
      <c r="AJ43" s="185"/>
      <c r="AK43" s="1331"/>
      <c r="AL43" s="1331"/>
      <c r="AM43" s="1005" t="s">
        <v>395</v>
      </c>
      <c r="AN43" s="1005"/>
      <c r="AO43" s="1005"/>
      <c r="AP43" s="1005"/>
      <c r="AQ43" s="623"/>
      <c r="AR43" s="623"/>
      <c r="AS43" s="1331"/>
      <c r="AT43" s="1331"/>
      <c r="AU43" s="1331"/>
      <c r="AV43" s="1331"/>
      <c r="AW43" s="1331"/>
      <c r="AX43" s="1331"/>
      <c r="AY43" s="1331"/>
      <c r="AZ43" s="1331"/>
      <c r="BA43" s="1331"/>
      <c r="BB43" s="1331"/>
      <c r="BC43" s="1331"/>
      <c r="BD43" s="1331"/>
      <c r="BE43" s="1331"/>
    </row>
    <row s="541" customFormat="1" customHeight="1" ht="104.671875">
      <c r="A44" s="1331"/>
      <c r="B44" s="969">
        <f>T39="Водоснабжение"</f>
        <v>1</v>
      </c>
      <c r="C44" s="1331"/>
      <c r="D44" s="1331"/>
      <c r="E44" s="634">
        <v>15</v>
      </c>
      <c r="F44" s="139" cm="1" t="str">
        <f t="array" ref="F44:F44">OFFSET(E44,-1,1)</f>
        <v>1</v>
      </c>
      <c r="G44" s="139"/>
      <c r="H44" s="118" t="s">
        <v>344</v>
      </c>
      <c r="I44" s="118" t="s">
        <v>386</v>
      </c>
      <c r="J44" s="118" t="str">
        <f>AD44&amp;"::"&amp;AE44</f>
        <v>Водопроводные сети::км</v>
      </c>
      <c r="K44" s="1331"/>
      <c r="L44" s="1331"/>
      <c r="M44" s="1331"/>
      <c r="N44" s="1331"/>
      <c r="O44" s="1331"/>
      <c r="P44" s="118" t="s">
        <v>396</v>
      </c>
      <c r="Q44" s="118" t="s">
        <v>397</v>
      </c>
      <c r="R44" s="1331"/>
      <c r="S44" s="1331"/>
      <c r="T44" s="1331"/>
      <c r="U44" s="1331"/>
      <c r="V44" s="468" cm="1" t="str">
        <f t="array" ref="V44:V44">V43</f>
        <v>true</v>
      </c>
      <c r="W44" s="1331"/>
      <c r="X44" s="1331"/>
      <c r="Y44" s="1331"/>
      <c r="Z44" s="1528"/>
      <c r="AA44" s="1529"/>
      <c r="AB44" s="1331"/>
      <c r="AC44" s="180">
        <f>IF(B41,5,2)</f>
        <v>5</v>
      </c>
      <c r="AD44" s="178" t="s">
        <v>398</v>
      </c>
      <c r="AE44" s="119" t="s">
        <v>399</v>
      </c>
      <c r="AF44" s="137">
        <v>722.91</v>
      </c>
      <c r="AG44" s="137">
        <v>722.91</v>
      </c>
      <c r="AH44" s="137">
        <v>724.59</v>
      </c>
      <c r="AI44" s="137">
        <f>556.131+168.456</f>
        <v>724.587</v>
      </c>
      <c r="AJ44" s="185" t="s">
        <v>413</v>
      </c>
      <c r="AK44" s="1331"/>
      <c r="AL44" s="1331"/>
      <c r="AM44" s="1005" t="s">
        <v>400</v>
      </c>
      <c r="AN44" s="1005"/>
      <c r="AO44" s="1005"/>
      <c r="AP44" s="1005"/>
      <c r="AQ44" s="623"/>
      <c r="AR44" s="623"/>
      <c r="AS44" s="1331"/>
      <c r="AT44" s="1331"/>
      <c r="AU44" s="1331"/>
      <c r="AV44" s="1331"/>
      <c r="AW44" s="1331"/>
      <c r="AX44" s="1331"/>
      <c r="AY44" s="1331"/>
      <c r="AZ44" s="1331"/>
      <c r="BA44" s="1331"/>
      <c r="BB44" s="1331"/>
      <c r="BC44" s="1331"/>
      <c r="BD44" s="1331"/>
      <c r="BE44" s="1331"/>
    </row>
    <row s="541" customFormat="1" customHeight="1" ht="14.25" hidden="1">
      <c r="A45" s="1331"/>
      <c r="B45" s="969">
        <f>AND(T39="Водоотведение",method_reg&lt;&gt;"Метод сравнения аналогов")</f>
        <v>0</v>
      </c>
      <c r="C45" s="1331"/>
      <c r="D45" s="1331"/>
      <c r="E45" s="634">
        <v>15</v>
      </c>
      <c r="F45" s="139" cm="1" t="str">
        <f t="array" ref="F45:F45">OFFSET(E45,-1,1)</f>
        <v>1</v>
      </c>
      <c r="G45" s="487"/>
      <c r="H45" s="118" t="s">
        <v>344</v>
      </c>
      <c r="I45" s="118" t="s">
        <v>386</v>
      </c>
      <c r="J45" s="118" t="str">
        <f>AD45&amp;"::"&amp;AE45</f>
        <v>Биологические очистные сооружения::ед.</v>
      </c>
      <c r="K45" s="120"/>
      <c r="L45" s="1331"/>
      <c r="M45" s="1331"/>
      <c r="N45" s="1331"/>
      <c r="O45" s="1331"/>
      <c r="P45" s="1331"/>
      <c r="Q45" s="1331"/>
      <c r="R45" s="1331"/>
      <c r="S45" s="1331"/>
      <c r="T45" s="1331"/>
      <c r="U45" s="1331"/>
      <c r="V45" s="468" cm="1" t="str">
        <f t="array" ref="V45:V45">V44</f>
        <v>true</v>
      </c>
      <c r="W45" s="1331"/>
      <c r="X45" s="1331"/>
      <c r="Y45" s="1331"/>
      <c r="Z45" s="1528"/>
      <c r="AA45" s="1529"/>
      <c r="AB45" s="1331"/>
      <c r="AC45" s="180">
        <v>1</v>
      </c>
      <c r="AD45" s="178" t="s">
        <v>401</v>
      </c>
      <c r="AE45" s="119" t="s">
        <v>388</v>
      </c>
      <c r="AF45" s="1815"/>
      <c r="AG45" s="1815"/>
      <c r="AH45" s="1815"/>
      <c r="AI45" s="1815"/>
      <c r="AJ45" s="1816"/>
      <c r="AK45" s="1331"/>
      <c r="AL45" s="1331"/>
      <c r="AM45" s="1005" t="s">
        <v>402</v>
      </c>
      <c r="AN45" s="1005"/>
      <c r="AO45" s="1005"/>
      <c r="AP45" s="1005"/>
      <c r="AQ45" s="623"/>
      <c r="AR45" s="623"/>
      <c r="AS45" s="1331"/>
      <c r="AT45" s="1331"/>
      <c r="AU45" s="1331"/>
      <c r="AV45" s="1331"/>
      <c r="AW45" s="1331"/>
      <c r="AX45" s="1331"/>
      <c r="AY45" s="1331"/>
      <c r="AZ45" s="1331"/>
      <c r="BA45" s="1331"/>
      <c r="BB45" s="1331"/>
      <c r="BC45" s="1331"/>
      <c r="BD45" s="1331"/>
      <c r="BE45" s="1331"/>
    </row>
    <row s="541" customFormat="1" customHeight="1" ht="14.25" hidden="1">
      <c r="A46" s="1331"/>
      <c r="B46" s="969">
        <f>T39="Водоотведение"</f>
        <v>0</v>
      </c>
      <c r="C46" s="1331"/>
      <c r="D46" s="1331"/>
      <c r="E46" s="634">
        <v>15</v>
      </c>
      <c r="F46" s="139" cm="1" t="str">
        <f t="array" ref="F46:F46">OFFSET(E46,-1,1)</f>
        <v>1</v>
      </c>
      <c r="G46" s="139" t="s">
        <v>50</v>
      </c>
      <c r="H46" s="118" t="s">
        <v>344</v>
      </c>
      <c r="I46" s="118" t="s">
        <v>386</v>
      </c>
      <c r="J46" s="118" t="str">
        <f>AD46&amp;"::"&amp;AE46</f>
        <v>Канализационные насосные станции::ед.</v>
      </c>
      <c r="K46" s="1331"/>
      <c r="L46" s="1331"/>
      <c r="M46" s="1331"/>
      <c r="N46" s="1331"/>
      <c r="O46" s="1331"/>
      <c r="P46" s="1331"/>
      <c r="Q46" s="1331"/>
      <c r="R46" s="1331"/>
      <c r="S46" s="1331"/>
      <c r="T46" s="1331"/>
      <c r="U46" s="1331"/>
      <c r="V46" s="468" cm="1" t="str">
        <f t="array" ref="V46:V46">V45</f>
        <v>true</v>
      </c>
      <c r="W46" s="1331"/>
      <c r="X46" s="1331"/>
      <c r="Y46" s="1331"/>
      <c r="Z46" s="1528"/>
      <c r="AA46" s="1529"/>
      <c r="AB46" s="1331"/>
      <c r="AC46" s="180">
        <f>IF(B45,2,1)</f>
        <v>1</v>
      </c>
      <c r="AD46" s="178" t="s">
        <v>403</v>
      </c>
      <c r="AE46" s="119" t="s">
        <v>388</v>
      </c>
      <c r="AF46" s="1815"/>
      <c r="AG46" s="1815"/>
      <c r="AH46" s="1815"/>
      <c r="AI46" s="1815"/>
      <c r="AJ46" s="1816"/>
      <c r="AK46" s="1331"/>
      <c r="AL46" s="1331"/>
      <c r="AM46" s="1005" t="s">
        <v>404</v>
      </c>
      <c r="AN46" s="1005"/>
      <c r="AO46" s="1005"/>
      <c r="AP46" s="1005"/>
      <c r="AQ46" s="623"/>
      <c r="AR46" s="623"/>
      <c r="AS46" s="1331"/>
      <c r="AT46" s="1331"/>
      <c r="AU46" s="1331"/>
      <c r="AV46" s="1331"/>
      <c r="AW46" s="1331"/>
      <c r="AX46" s="1331"/>
      <c r="AY46" s="1331"/>
      <c r="AZ46" s="1331"/>
      <c r="BA46" s="1331"/>
      <c r="BB46" s="1331"/>
      <c r="BC46" s="1331"/>
      <c r="BD46" s="1331"/>
      <c r="BE46" s="1331"/>
    </row>
    <row s="541" customFormat="1" customHeight="1" ht="14.25" hidden="1">
      <c r="A47" s="1331"/>
      <c r="B47" s="969" cm="1" t="str">
        <f t="array" ref="B47:B47">B46</f>
        <v>false</v>
      </c>
      <c r="C47" s="1331"/>
      <c r="D47" s="1331"/>
      <c r="E47" s="634">
        <v>15</v>
      </c>
      <c r="F47" s="139" cm="1" t="str">
        <f t="array" ref="F47:F47">OFFSET(E47,-1,1)</f>
        <v>1</v>
      </c>
      <c r="G47" s="139"/>
      <c r="H47" s="118" t="s">
        <v>344</v>
      </c>
      <c r="I47" s="118" t="s">
        <v>386</v>
      </c>
      <c r="J47" s="118" t="str">
        <f>AD47&amp;"::"&amp;AE47</f>
        <v>Канализационные сети::км</v>
      </c>
      <c r="K47" s="1331"/>
      <c r="L47" s="118" t="s">
        <v>50</v>
      </c>
      <c r="M47" s="1331"/>
      <c r="N47" s="1331"/>
      <c r="O47" s="1331"/>
      <c r="P47" s="118" t="s">
        <v>396</v>
      </c>
      <c r="Q47" s="118" t="s">
        <v>397</v>
      </c>
      <c r="R47" s="1331"/>
      <c r="S47" s="1331"/>
      <c r="T47" s="1331"/>
      <c r="U47" s="1331"/>
      <c r="V47" s="468" cm="1" t="str">
        <f t="array" ref="V47:V47">V46</f>
        <v>true</v>
      </c>
      <c r="W47" s="1331"/>
      <c r="X47" s="1331"/>
      <c r="Y47" s="1331"/>
      <c r="Z47" s="1528"/>
      <c r="AA47" s="1529"/>
      <c r="AB47" s="1331"/>
      <c r="AC47" s="180">
        <f>AC46+1</f>
        <v>2</v>
      </c>
      <c r="AD47" s="178" t="s">
        <v>405</v>
      </c>
      <c r="AE47" s="119" t="s">
        <v>399</v>
      </c>
      <c r="AF47" s="1817"/>
      <c r="AG47" s="1817"/>
      <c r="AH47" s="1817"/>
      <c r="AI47" s="1817"/>
      <c r="AJ47" s="1816"/>
      <c r="AK47" s="1331"/>
      <c r="AL47" s="1331"/>
      <c r="AM47" s="1005" t="s">
        <v>406</v>
      </c>
      <c r="AN47" s="1005"/>
      <c r="AO47" s="1005"/>
      <c r="AP47" s="1005"/>
      <c r="AQ47" s="623"/>
      <c r="AR47" s="623"/>
      <c r="AS47" s="1331"/>
      <c r="AT47" s="1331"/>
      <c r="AU47" s="1331"/>
      <c r="AV47" s="1331"/>
      <c r="AW47" s="1331"/>
      <c r="AX47" s="1331"/>
      <c r="AY47" s="1331"/>
      <c r="AZ47" s="1331"/>
      <c r="BA47" s="1331"/>
      <c r="BB47" s="1331"/>
      <c r="BC47" s="1331"/>
      <c r="BD47" s="1331"/>
      <c r="BE47" s="1331"/>
    </row>
    <row s="1029" customFormat="1" customHeight="1" ht="14.25" hidden="1">
      <c r="A48" s="1029"/>
      <c r="B48" s="430"/>
      <c r="C48" s="1029"/>
      <c r="D48" s="1029"/>
      <c r="E48" s="642">
        <v>15</v>
      </c>
      <c r="F48" s="139" cm="1" t="str">
        <f t="array" ref="F48:F48">OFFSET(E48,-1,1)</f>
        <v>1</v>
      </c>
      <c r="G48" s="139"/>
      <c r="H48" s="120" t="s">
        <v>344</v>
      </c>
      <c r="I48" s="120" t="s">
        <v>386</v>
      </c>
      <c r="J48" s="120" t="str">
        <f>AD48&amp;"::"&amp;AE48</f>
        <v>::</v>
      </c>
      <c r="K48" s="1029"/>
      <c r="L48" s="1029"/>
      <c r="M48" s="1029"/>
      <c r="N48" s="1029"/>
      <c r="O48" s="1029"/>
      <c r="P48" s="1029"/>
      <c r="Q48" s="1029"/>
      <c r="R48" s="1029"/>
      <c r="S48" s="1029"/>
      <c r="T48" s="1029"/>
      <c r="U48" s="118">
        <v>0</v>
      </c>
      <c r="V48" s="468">
        <f>AND(F48&gt;0,U48&gt;0)</f>
        <v>0</v>
      </c>
      <c r="W48" s="1029"/>
      <c r="X48" s="1029"/>
      <c r="Y48" s="764" t="s">
        <v>173</v>
      </c>
      <c r="Z48" s="1528"/>
      <c r="AA48" s="1529"/>
      <c r="AB48" s="422" t="s">
        <v>174</v>
      </c>
      <c r="AC48" s="180">
        <f>IF(OFFSET(C48,-8-U48,-1),5,IF(OFFSET(C48,-3-U48,-1),3,2))+U48</f>
        <v>5</v>
      </c>
      <c r="AD48" s="1820"/>
      <c r="AE48" s="1821"/>
      <c r="AF48" s="1822"/>
      <c r="AG48" s="1822"/>
      <c r="AH48" s="1822"/>
      <c r="AI48" s="1822"/>
      <c r="AJ48" s="1823"/>
      <c r="AK48" s="1029"/>
      <c r="AL48" s="1029"/>
      <c r="AM48" s="1013" t="s">
        <v>407</v>
      </c>
      <c r="AN48" s="1013" t="s">
        <v>408</v>
      </c>
      <c r="AO48" s="1016" cm="1" t="str">
        <f t="array" ref="AO48:AO48">AD48</f>
        <v>0</v>
      </c>
      <c r="AP48" s="1016" cm="1" t="str">
        <f t="array" ref="AP48:AP48">AE48</f>
        <v>0</v>
      </c>
      <c r="AQ48" s="698"/>
      <c r="AR48" s="698" t="b">
        <v>1</v>
      </c>
      <c r="AS48" s="1029"/>
      <c r="AT48" s="1029"/>
      <c r="AU48" s="1029"/>
      <c r="AV48" s="1029"/>
      <c r="AW48" s="1029"/>
      <c r="AX48" s="1029"/>
      <c r="AY48" s="1029"/>
      <c r="AZ48" s="1029"/>
      <c r="BA48" s="1029"/>
      <c r="BB48" s="1029"/>
      <c r="BC48" s="1029"/>
      <c r="BD48" s="1029"/>
      <c r="BE48" s="1029"/>
    </row>
    <row s="541" customFormat="1" customHeight="1" ht="14.25">
      <c r="A49" s="1331"/>
      <c r="B49" s="430"/>
      <c r="C49" s="1331"/>
      <c r="D49" s="1331"/>
      <c r="E49" s="634">
        <v>15</v>
      </c>
      <c r="F49" s="139" cm="1" t="str">
        <f t="array" ref="F49:F49">OFFSET(E49,-1,1)</f>
        <v>1</v>
      </c>
      <c r="G49" s="139"/>
      <c r="H49" s="1331"/>
      <c r="I49" s="1331"/>
      <c r="J49" s="117" t="s">
        <v>409</v>
      </c>
      <c r="K49" s="1331"/>
      <c r="L49" s="1331"/>
      <c r="M49" s="1331"/>
      <c r="N49" s="1331"/>
      <c r="O49" s="1331"/>
      <c r="P49" s="1331"/>
      <c r="Q49" s="1331"/>
      <c r="R49" s="1331"/>
      <c r="S49" s="1331"/>
      <c r="T49" s="1331"/>
      <c r="U49" s="1331"/>
      <c r="V49" s="468" cm="1" t="str">
        <f t="array" ref="V49:V49">V47</f>
        <v>true</v>
      </c>
      <c r="W49" s="1331"/>
      <c r="X49" s="1331"/>
      <c r="Y49" s="764" t="s">
        <v>410</v>
      </c>
      <c r="Z49" s="1528"/>
      <c r="AA49" s="1529"/>
      <c r="AB49" s="1331"/>
      <c r="AC49" s="171"/>
      <c r="AD49" s="304" t="s">
        <v>177</v>
      </c>
      <c r="AE49" s="172"/>
      <c r="AF49" s="172"/>
      <c r="AG49" s="172"/>
      <c r="AH49" s="172"/>
      <c r="AI49" s="172"/>
      <c r="AJ49" s="183"/>
      <c r="AK49" s="1331"/>
      <c r="AL49" s="1331"/>
      <c r="AM49" s="1005"/>
      <c r="AN49" s="1005"/>
      <c r="AO49" s="1005"/>
      <c r="AP49" s="1005"/>
      <c r="AQ49" s="623" t="s">
        <v>408</v>
      </c>
      <c r="AR49" s="623"/>
      <c r="AS49" s="1331"/>
      <c r="AT49" s="1331"/>
      <c r="AU49" s="1331"/>
      <c r="AV49" s="1331"/>
      <c r="AW49" s="1331"/>
      <c r="AX49" s="1331"/>
      <c r="AY49" s="1331"/>
      <c r="AZ49" s="1331"/>
      <c r="BA49" s="1331"/>
      <c r="BB49" s="1331"/>
      <c r="BC49" s="1331"/>
      <c r="BD49" s="1331"/>
      <c r="BE49" s="1331"/>
    </row>
    <row s="541" customFormat="1" customHeight="1" ht="77.671875">
      <c r="A50" s="1331"/>
      <c r="B50" s="430"/>
      <c r="C50" s="1331"/>
      <c r="D50" s="1331"/>
      <c r="E50" s="634">
        <v>15</v>
      </c>
      <c r="F50" s="139" cm="1" t="str">
        <f t="array" ref="F50:F50">OFFSET(E50,-1,1)</f>
        <v>1</v>
      </c>
      <c r="G50" s="139"/>
      <c r="H50" s="118" t="s">
        <v>345</v>
      </c>
      <c r="I50" s="118" t="s">
        <v>386</v>
      </c>
      <c r="J50" s="365" cm="1" t="str">
        <f t="array" ref="J50:J50">AD50</f>
        <v>Краткое описание технологического процесса</v>
      </c>
      <c r="K50" s="1331"/>
      <c r="L50" s="1331"/>
      <c r="M50" s="1331"/>
      <c r="N50" s="1331"/>
      <c r="O50" s="1331"/>
      <c r="P50" s="1331"/>
      <c r="Q50" s="1331"/>
      <c r="R50" s="1331"/>
      <c r="S50" s="1331"/>
      <c r="T50" s="1331"/>
      <c r="U50" s="1331"/>
      <c r="V50" s="468" cm="1" t="str">
        <f t="array" ref="V50:V50">V49</f>
        <v>true</v>
      </c>
      <c r="W50" s="1331"/>
      <c r="X50" s="1331"/>
      <c r="Y50" s="1331"/>
      <c r="Z50" s="1528"/>
      <c r="AA50" s="1529"/>
      <c r="AB50" s="1331"/>
      <c r="AC50" s="180"/>
      <c r="AD50" s="178" t="s">
        <v>411</v>
      </c>
      <c r="AE50" s="119"/>
      <c r="AF50" s="1530" t="s">
        <v>414</v>
      </c>
      <c r="AG50" s="1531"/>
      <c r="AH50" s="1531"/>
      <c r="AI50" s="1531"/>
      <c r="AJ50" s="1532"/>
      <c r="AK50" s="1331"/>
      <c r="AL50" s="1331"/>
      <c r="AM50" s="1005" t="s">
        <v>412</v>
      </c>
      <c r="AN50" s="1005"/>
      <c r="AO50" s="1005"/>
      <c r="AP50" s="1005"/>
      <c r="AQ50" s="623"/>
      <c r="AR50" s="623"/>
      <c r="AS50" s="1331"/>
      <c r="AT50" s="1331"/>
      <c r="AU50" s="1331"/>
      <c r="AV50" s="1331"/>
      <c r="AW50" s="1331"/>
      <c r="AX50" s="1331"/>
      <c r="AY50" s="1331"/>
      <c r="AZ50" s="1331"/>
      <c r="BA50" s="1331"/>
      <c r="BB50" s="1331"/>
      <c r="BC50" s="1331"/>
      <c r="BD50" s="1331"/>
      <c r="BE50" s="1331"/>
    </row>
    <row s="541" customFormat="1" customHeight="1" ht="22.921875">
      <c r="A51" s="1331"/>
      <c r="B51" s="430"/>
      <c r="C51" s="1331"/>
      <c r="D51" s="1331"/>
      <c r="E51" s="634">
        <v>15</v>
      </c>
      <c r="F51" s="118" cm="1" t="str">
        <f t="array" ref="F51:F51">Z51</f>
        <v>2</v>
      </c>
      <c r="G51" s="1331"/>
      <c r="H51" s="1331"/>
      <c r="I51" s="1331"/>
      <c r="J51" s="1331"/>
      <c r="K51" s="1331"/>
      <c r="L51" s="1331"/>
      <c r="M51" s="1331"/>
      <c r="N51" s="1331"/>
      <c r="O51" s="1331"/>
      <c r="P51" s="1331"/>
      <c r="Q51" s="1331"/>
      <c r="R51" s="1331"/>
      <c r="S51" s="1331"/>
      <c r="T51" s="1089" cm="1" t="str">
        <f t="array" ref="T51:T51">INDEX('Общие сведения'!$AE$197:$AE$254,MATCH($Z51,'Общие сведения'!$Z$197:$Z$254,0))</f>
        <v>Водоотведение</v>
      </c>
      <c r="U51" s="1331"/>
      <c r="V51" s="468">
        <f>Z51&gt;0</f>
        <v>1</v>
      </c>
      <c r="W51" s="1331"/>
      <c r="X51" s="118" cm="1" t="str">
        <f t="array" ref="X51:X51">'Список территорий'!$AB$34</f>
        <v>Тариф 2 (Водоотведение) - тариф на водоотведение (Оказание услуг на территории: город Ленинск-Кузнецкий (ОКТМО: 32719000) - г Ленинск-Кузнецкий)</v>
      </c>
      <c r="Y51" s="1331"/>
      <c r="Z51" s="1528" t="s">
        <v>299</v>
      </c>
      <c r="AA51" s="1529"/>
      <c r="AB51" s="1331"/>
      <c r="AC51" s="176" cm="1" t="str">
        <f t="array" ref="AC51:AC51">'Список территорий'!$AB$34</f>
        <v>Тариф 2 (Водоотведение) - тариф на водоотведение (Оказание услуг на территории: город Ленинск-Кузнецкий (ОКТМО: 32719000) - г Ленинск-Кузнецкий)</v>
      </c>
      <c r="AD51" s="176"/>
      <c r="AE51" s="170"/>
      <c r="AF51" s="170"/>
      <c r="AG51" s="170"/>
      <c r="AH51" s="170"/>
      <c r="AI51" s="170"/>
      <c r="AJ51" s="170"/>
      <c r="AK51" s="1331"/>
      <c r="AL51" s="1331"/>
      <c r="AM51" s="1005"/>
      <c r="AN51" s="1005"/>
      <c r="AO51" s="1005"/>
      <c r="AP51" s="1005"/>
      <c r="AQ51" s="623"/>
      <c r="AR51" s="623"/>
      <c r="AS51" s="1331"/>
      <c r="AT51" s="1331"/>
      <c r="AU51" s="1331"/>
      <c r="AV51" s="1331"/>
      <c r="AW51" s="1331"/>
      <c r="AX51" s="1331"/>
      <c r="AY51" s="1331"/>
      <c r="AZ51" s="1331"/>
      <c r="BA51" s="1331"/>
      <c r="BB51" s="1331"/>
      <c r="BC51" s="1331"/>
      <c r="BD51" s="1331"/>
      <c r="BE51" s="1331"/>
    </row>
    <row s="541" customFormat="1" customHeight="1" ht="14.25" hidden="1">
      <c r="A52" s="1331"/>
      <c r="B52" s="969">
        <f>AND(T51="Водоснабжение",method_reg&lt;&gt;"Метод сравнения аналогов")</f>
        <v>0</v>
      </c>
      <c r="C52" s="1331"/>
      <c r="D52" s="1331"/>
      <c r="E52" s="634">
        <v>15</v>
      </c>
      <c r="F52" s="139" cm="1" t="str">
        <f t="array" ref="F52:F52">OFFSET(E52,-1,1)</f>
        <v>2</v>
      </c>
      <c r="G52" s="487"/>
      <c r="H52" s="118" t="s">
        <v>344</v>
      </c>
      <c r="I52" s="118" t="s">
        <v>386</v>
      </c>
      <c r="J52" s="118" t="str">
        <f>AD52&amp;"::"&amp;AE52</f>
        <v>Водонасосные станции (водозаборные узлы)::ед.</v>
      </c>
      <c r="K52" s="120"/>
      <c r="L52" s="1331"/>
      <c r="M52" s="1331"/>
      <c r="N52" s="1331"/>
      <c r="O52" s="1331"/>
      <c r="P52" s="1331"/>
      <c r="Q52" s="1331"/>
      <c r="R52" s="1331"/>
      <c r="S52" s="1331"/>
      <c r="T52" s="1331"/>
      <c r="U52" s="1331"/>
      <c r="V52" s="468" cm="1" t="str">
        <f t="array" ref="V52:V52">V51</f>
        <v>true</v>
      </c>
      <c r="W52" s="1331"/>
      <c r="X52" s="1331"/>
      <c r="Y52" s="1331"/>
      <c r="Z52" s="1528"/>
      <c r="AA52" s="1529"/>
      <c r="AB52" s="1331"/>
      <c r="AC52" s="180">
        <v>1</v>
      </c>
      <c r="AD52" s="178" t="s">
        <v>387</v>
      </c>
      <c r="AE52" s="119" t="s">
        <v>388</v>
      </c>
      <c r="AF52" s="1815"/>
      <c r="AG52" s="1815"/>
      <c r="AH52" s="1815"/>
      <c r="AI52" s="1815"/>
      <c r="AJ52" s="1816"/>
      <c r="AK52" s="1331"/>
      <c r="AL52" s="1331"/>
      <c r="AM52" s="1005" t="s">
        <v>389</v>
      </c>
      <c r="AN52" s="1005"/>
      <c r="AO52" s="1005"/>
      <c r="AP52" s="1005"/>
      <c r="AQ52" s="623"/>
      <c r="AR52" s="623"/>
      <c r="AS52" s="1331"/>
      <c r="AT52" s="1331"/>
      <c r="AU52" s="1331"/>
      <c r="AV52" s="1331"/>
      <c r="AW52" s="1331"/>
      <c r="AX52" s="1331"/>
      <c r="AY52" s="1331"/>
      <c r="AZ52" s="1331"/>
      <c r="BA52" s="1331"/>
      <c r="BB52" s="1331"/>
      <c r="BC52" s="1331"/>
      <c r="BD52" s="1331"/>
      <c r="BE52" s="1331"/>
    </row>
    <row s="541" customFormat="1" customHeight="1" ht="14.25" hidden="1">
      <c r="A53" s="1331"/>
      <c r="B53" s="969" cm="1" t="str">
        <f t="array" ref="B53:B53">B52</f>
        <v>false</v>
      </c>
      <c r="C53" s="1331"/>
      <c r="D53" s="1331"/>
      <c r="E53" s="634">
        <v>15</v>
      </c>
      <c r="F53" s="139" cm="1" t="str">
        <f t="array" ref="F53:F53">OFFSET(E53,-1,1)</f>
        <v>2</v>
      </c>
      <c r="G53" s="139"/>
      <c r="H53" s="118" t="s">
        <v>344</v>
      </c>
      <c r="I53" s="118" t="s">
        <v>386</v>
      </c>
      <c r="J53" s="118" t="str">
        <f>AD53&amp;"::"&amp;AE53</f>
        <v>Скважины::ед.</v>
      </c>
      <c r="K53" s="1331"/>
      <c r="L53" s="1331"/>
      <c r="M53" s="1331"/>
      <c r="N53" s="1331"/>
      <c r="O53" s="1331"/>
      <c r="P53" s="1331"/>
      <c r="Q53" s="1331"/>
      <c r="R53" s="1331"/>
      <c r="S53" s="1331"/>
      <c r="T53" s="1331"/>
      <c r="U53" s="1331"/>
      <c r="V53" s="468" cm="1" t="str">
        <f t="array" ref="V53:V53">V52</f>
        <v>true</v>
      </c>
      <c r="W53" s="1331"/>
      <c r="X53" s="1331"/>
      <c r="Y53" s="1331"/>
      <c r="Z53" s="1528"/>
      <c r="AA53" s="1529"/>
      <c r="AB53" s="1331"/>
      <c r="AC53" s="180">
        <v>2</v>
      </c>
      <c r="AD53" s="178" t="s">
        <v>390</v>
      </c>
      <c r="AE53" s="119" t="s">
        <v>388</v>
      </c>
      <c r="AF53" s="1815"/>
      <c r="AG53" s="1815"/>
      <c r="AH53" s="1815"/>
      <c r="AI53" s="1815"/>
      <c r="AJ53" s="1816"/>
      <c r="AK53" s="1331"/>
      <c r="AL53" s="1331"/>
      <c r="AM53" s="1005" t="s">
        <v>391</v>
      </c>
      <c r="AN53" s="1005"/>
      <c r="AO53" s="1005"/>
      <c r="AP53" s="1005"/>
      <c r="AQ53" s="623"/>
      <c r="AR53" s="623"/>
      <c r="AS53" s="1331"/>
      <c r="AT53" s="1331"/>
      <c r="AU53" s="1331"/>
      <c r="AV53" s="1331"/>
      <c r="AW53" s="1331"/>
      <c r="AX53" s="1331"/>
      <c r="AY53" s="1331"/>
      <c r="AZ53" s="1331"/>
      <c r="BA53" s="1331"/>
      <c r="BB53" s="1331"/>
      <c r="BC53" s="1331"/>
      <c r="BD53" s="1331"/>
      <c r="BE53" s="1331"/>
    </row>
    <row s="541" customFormat="1" customHeight="1" ht="14.25" hidden="1">
      <c r="A54" s="1331"/>
      <c r="B54" s="969">
        <f>T51="Водоснабжение"</f>
        <v>0</v>
      </c>
      <c r="C54" s="1331"/>
      <c r="D54" s="1331"/>
      <c r="E54" s="634">
        <v>15</v>
      </c>
      <c r="F54" s="139" cm="1" t="str">
        <f t="array" ref="F54:F54">OFFSET(E54,-1,1)</f>
        <v>2</v>
      </c>
      <c r="G54" s="139" t="s">
        <v>50</v>
      </c>
      <c r="H54" s="118" t="s">
        <v>344</v>
      </c>
      <c r="I54" s="118" t="s">
        <v>386</v>
      </c>
      <c r="J54" s="118" t="str">
        <f>AD54&amp;"::"&amp;AE54</f>
        <v>Подкачивающие насосные станции::ед.</v>
      </c>
      <c r="K54" s="1331"/>
      <c r="L54" s="118" t="s">
        <v>50</v>
      </c>
      <c r="M54" s="1331"/>
      <c r="N54" s="1331"/>
      <c r="O54" s="1331"/>
      <c r="P54" s="1331"/>
      <c r="Q54" s="1331"/>
      <c r="R54" s="1331"/>
      <c r="S54" s="1331"/>
      <c r="T54" s="1331"/>
      <c r="U54" s="1331"/>
      <c r="V54" s="468" cm="1" t="str">
        <f t="array" ref="V54:V54">V53</f>
        <v>true</v>
      </c>
      <c r="W54" s="1331"/>
      <c r="X54" s="1331"/>
      <c r="Y54" s="1331"/>
      <c r="Z54" s="1528"/>
      <c r="AA54" s="1529"/>
      <c r="AB54" s="1331"/>
      <c r="AC54" s="180">
        <f>IF(B53,3,1)</f>
        <v>1</v>
      </c>
      <c r="AD54" s="178" t="s">
        <v>392</v>
      </c>
      <c r="AE54" s="119" t="s">
        <v>388</v>
      </c>
      <c r="AF54" s="1815"/>
      <c r="AG54" s="1815"/>
      <c r="AH54" s="1815"/>
      <c r="AI54" s="1815"/>
      <c r="AJ54" s="1816"/>
      <c r="AK54" s="1331"/>
      <c r="AL54" s="1331"/>
      <c r="AM54" s="1005" t="s">
        <v>393</v>
      </c>
      <c r="AN54" s="1005"/>
      <c r="AO54" s="1005"/>
      <c r="AP54" s="1005"/>
      <c r="AQ54" s="623"/>
      <c r="AR54" s="623"/>
      <c r="AS54" s="1331"/>
      <c r="AT54" s="1331"/>
      <c r="AU54" s="1331"/>
      <c r="AV54" s="1331"/>
      <c r="AW54" s="1331"/>
      <c r="AX54" s="1331"/>
      <c r="AY54" s="1331"/>
      <c r="AZ54" s="1331"/>
      <c r="BA54" s="1331"/>
      <c r="BB54" s="1331"/>
      <c r="BC54" s="1331"/>
      <c r="BD54" s="1331"/>
      <c r="BE54" s="1331"/>
    </row>
    <row s="541" customFormat="1" customHeight="1" ht="14.25" hidden="1">
      <c r="A55" s="1331"/>
      <c r="B55" s="969" cm="1" t="str">
        <f t="array" ref="B55:B55">B53</f>
        <v>false</v>
      </c>
      <c r="C55" s="1331"/>
      <c r="D55" s="1331"/>
      <c r="E55" s="634">
        <v>15</v>
      </c>
      <c r="F55" s="139" cm="1" t="str">
        <f t="array" ref="F55:F55">OFFSET(E55,-1,1)</f>
        <v>2</v>
      </c>
      <c r="G55" s="139"/>
      <c r="H55" s="118" t="s">
        <v>344</v>
      </c>
      <c r="I55" s="118" t="s">
        <v>386</v>
      </c>
      <c r="J55" s="118" t="str">
        <f>AD55&amp;"::"&amp;AE55</f>
        <v>Водонапорные башни::ед.</v>
      </c>
      <c r="K55" s="1331"/>
      <c r="L55" s="1331"/>
      <c r="M55" s="1331"/>
      <c r="N55" s="1331"/>
      <c r="O55" s="1331"/>
      <c r="P55" s="1331"/>
      <c r="Q55" s="1331"/>
      <c r="R55" s="1331"/>
      <c r="S55" s="1331"/>
      <c r="T55" s="1331"/>
      <c r="U55" s="1331"/>
      <c r="V55" s="468" cm="1" t="str">
        <f t="array" ref="V55:V55">V54</f>
        <v>true</v>
      </c>
      <c r="W55" s="1331"/>
      <c r="X55" s="1331"/>
      <c r="Y55" s="1331"/>
      <c r="Z55" s="1528"/>
      <c r="AA55" s="1529"/>
      <c r="AB55" s="1331"/>
      <c r="AC55" s="180">
        <v>4</v>
      </c>
      <c r="AD55" s="178" t="s">
        <v>394</v>
      </c>
      <c r="AE55" s="119" t="s">
        <v>388</v>
      </c>
      <c r="AF55" s="1815"/>
      <c r="AG55" s="1815"/>
      <c r="AH55" s="1815"/>
      <c r="AI55" s="1815"/>
      <c r="AJ55" s="1816"/>
      <c r="AK55" s="1331"/>
      <c r="AL55" s="1331"/>
      <c r="AM55" s="1005" t="s">
        <v>395</v>
      </c>
      <c r="AN55" s="1005"/>
      <c r="AO55" s="1005"/>
      <c r="AP55" s="1005"/>
      <c r="AQ55" s="623"/>
      <c r="AR55" s="623"/>
      <c r="AS55" s="1331"/>
      <c r="AT55" s="1331"/>
      <c r="AU55" s="1331"/>
      <c r="AV55" s="1331"/>
      <c r="AW55" s="1331"/>
      <c r="AX55" s="1331"/>
      <c r="AY55" s="1331"/>
      <c r="AZ55" s="1331"/>
      <c r="BA55" s="1331"/>
      <c r="BB55" s="1331"/>
      <c r="BC55" s="1331"/>
      <c r="BD55" s="1331"/>
      <c r="BE55" s="1331"/>
    </row>
    <row s="541" customFormat="1" customHeight="1" ht="14.25" hidden="1">
      <c r="A56" s="1331"/>
      <c r="B56" s="969">
        <f>T51="Водоснабжение"</f>
        <v>0</v>
      </c>
      <c r="C56" s="1331"/>
      <c r="D56" s="1331"/>
      <c r="E56" s="634">
        <v>15</v>
      </c>
      <c r="F56" s="139" cm="1" t="str">
        <f t="array" ref="F56:F56">OFFSET(E56,-1,1)</f>
        <v>2</v>
      </c>
      <c r="G56" s="139"/>
      <c r="H56" s="118" t="s">
        <v>344</v>
      </c>
      <c r="I56" s="118" t="s">
        <v>386</v>
      </c>
      <c r="J56" s="118" t="str">
        <f>AD56&amp;"::"&amp;AE56</f>
        <v>Водопроводные сети::км</v>
      </c>
      <c r="K56" s="1331"/>
      <c r="L56" s="1331"/>
      <c r="M56" s="1331"/>
      <c r="N56" s="1331"/>
      <c r="O56" s="1331"/>
      <c r="P56" s="118" t="s">
        <v>396</v>
      </c>
      <c r="Q56" s="118" t="s">
        <v>397</v>
      </c>
      <c r="R56" s="1331"/>
      <c r="S56" s="1331"/>
      <c r="T56" s="1331"/>
      <c r="U56" s="1331"/>
      <c r="V56" s="468" cm="1" t="str">
        <f t="array" ref="V56:V56">V55</f>
        <v>true</v>
      </c>
      <c r="W56" s="1331"/>
      <c r="X56" s="1331"/>
      <c r="Y56" s="1331"/>
      <c r="Z56" s="1528"/>
      <c r="AA56" s="1529"/>
      <c r="AB56" s="1331"/>
      <c r="AC56" s="180">
        <f>IF(B53,5,2)</f>
        <v>2</v>
      </c>
      <c r="AD56" s="178" t="s">
        <v>398</v>
      </c>
      <c r="AE56" s="119" t="s">
        <v>399</v>
      </c>
      <c r="AF56" s="1817"/>
      <c r="AG56" s="1817"/>
      <c r="AH56" s="1817"/>
      <c r="AI56" s="1817"/>
      <c r="AJ56" s="1816"/>
      <c r="AK56" s="1331"/>
      <c r="AL56" s="1331"/>
      <c r="AM56" s="1005" t="s">
        <v>400</v>
      </c>
      <c r="AN56" s="1005"/>
      <c r="AO56" s="1005"/>
      <c r="AP56" s="1005"/>
      <c r="AQ56" s="623"/>
      <c r="AR56" s="623"/>
      <c r="AS56" s="1331"/>
      <c r="AT56" s="1331"/>
      <c r="AU56" s="1331"/>
      <c r="AV56" s="1331"/>
      <c r="AW56" s="1331"/>
      <c r="AX56" s="1331"/>
      <c r="AY56" s="1331"/>
      <c r="AZ56" s="1331"/>
      <c r="BA56" s="1331"/>
      <c r="BB56" s="1331"/>
      <c r="BC56" s="1331"/>
      <c r="BD56" s="1331"/>
      <c r="BE56" s="1331"/>
    </row>
    <row s="541" customFormat="1" customHeight="1" ht="14.625">
      <c r="A57" s="1331"/>
      <c r="B57" s="969">
        <f>AND(T51="Водоотведение",method_reg&lt;&gt;"Метод сравнения аналогов")</f>
        <v>1</v>
      </c>
      <c r="C57" s="1331"/>
      <c r="D57" s="1331"/>
      <c r="E57" s="634">
        <v>15</v>
      </c>
      <c r="F57" s="139" cm="1" t="str">
        <f t="array" ref="F57:F57">OFFSET(E57,-1,1)</f>
        <v>2</v>
      </c>
      <c r="G57" s="487"/>
      <c r="H57" s="118" t="s">
        <v>344</v>
      </c>
      <c r="I57" s="118" t="s">
        <v>386</v>
      </c>
      <c r="J57" s="118" t="str">
        <f>AD57&amp;"::"&amp;AE57</f>
        <v>Биологические очистные сооружения::ед.</v>
      </c>
      <c r="K57" s="120"/>
      <c r="L57" s="1331"/>
      <c r="M57" s="1331"/>
      <c r="N57" s="1331"/>
      <c r="O57" s="1331"/>
      <c r="P57" s="1331"/>
      <c r="Q57" s="1331"/>
      <c r="R57" s="1331"/>
      <c r="S57" s="1331"/>
      <c r="T57" s="1331"/>
      <c r="U57" s="1331"/>
      <c r="V57" s="468" cm="1" t="str">
        <f t="array" ref="V57:V57">V56</f>
        <v>true</v>
      </c>
      <c r="W57" s="1331"/>
      <c r="X57" s="1331"/>
      <c r="Y57" s="1331"/>
      <c r="Z57" s="1528"/>
      <c r="AA57" s="1529"/>
      <c r="AB57" s="1331"/>
      <c r="AC57" s="180">
        <v>1</v>
      </c>
      <c r="AD57" s="178" t="s">
        <v>401</v>
      </c>
      <c r="AE57" s="119" t="s">
        <v>388</v>
      </c>
      <c r="AF57" s="184">
        <v>2</v>
      </c>
      <c r="AG57" s="184">
        <v>2</v>
      </c>
      <c r="AH57" s="184">
        <v>2</v>
      </c>
      <c r="AI57" s="184">
        <v>2</v>
      </c>
      <c r="AJ57" s="185"/>
      <c r="AK57" s="1331"/>
      <c r="AL57" s="1331"/>
      <c r="AM57" s="1005" t="s">
        <v>402</v>
      </c>
      <c r="AN57" s="1005"/>
      <c r="AO57" s="1005"/>
      <c r="AP57" s="1005"/>
      <c r="AQ57" s="623"/>
      <c r="AR57" s="623"/>
      <c r="AS57" s="1331"/>
      <c r="AT57" s="1331"/>
      <c r="AU57" s="1331"/>
      <c r="AV57" s="1331"/>
      <c r="AW57" s="1331"/>
      <c r="AX57" s="1331"/>
      <c r="AY57" s="1331"/>
      <c r="AZ57" s="1331"/>
      <c r="BA57" s="1331"/>
      <c r="BB57" s="1331"/>
      <c r="BC57" s="1331"/>
      <c r="BD57" s="1331"/>
      <c r="BE57" s="1331"/>
    </row>
    <row s="541" customFormat="1" customHeight="1" ht="14.625">
      <c r="A58" s="1331"/>
      <c r="B58" s="969">
        <f>T51="Водоотведение"</f>
        <v>1</v>
      </c>
      <c r="C58" s="1331"/>
      <c r="D58" s="1331"/>
      <c r="E58" s="634">
        <v>15</v>
      </c>
      <c r="F58" s="139" cm="1" t="str">
        <f t="array" ref="F58:F58">OFFSET(E58,-1,1)</f>
        <v>2</v>
      </c>
      <c r="G58" s="139" t="s">
        <v>50</v>
      </c>
      <c r="H58" s="118" t="s">
        <v>344</v>
      </c>
      <c r="I58" s="118" t="s">
        <v>386</v>
      </c>
      <c r="J58" s="118" t="str">
        <f>AD58&amp;"::"&amp;AE58</f>
        <v>Канализационные насосные станции::ед.</v>
      </c>
      <c r="K58" s="1331"/>
      <c r="L58" s="1331"/>
      <c r="M58" s="1331"/>
      <c r="N58" s="1331"/>
      <c r="O58" s="1331"/>
      <c r="P58" s="1331"/>
      <c r="Q58" s="1331"/>
      <c r="R58" s="1331"/>
      <c r="S58" s="1331"/>
      <c r="T58" s="1331"/>
      <c r="U58" s="1331"/>
      <c r="V58" s="468" cm="1" t="str">
        <f t="array" ref="V58:V58">V57</f>
        <v>true</v>
      </c>
      <c r="W58" s="1331"/>
      <c r="X58" s="1331"/>
      <c r="Y58" s="1331"/>
      <c r="Z58" s="1528"/>
      <c r="AA58" s="1529"/>
      <c r="AB58" s="1331"/>
      <c r="AC58" s="180">
        <f>IF(B57,2,1)</f>
        <v>2</v>
      </c>
      <c r="AD58" s="178" t="s">
        <v>403</v>
      </c>
      <c r="AE58" s="119" t="s">
        <v>388</v>
      </c>
      <c r="AF58" s="184">
        <v>15</v>
      </c>
      <c r="AG58" s="184">
        <v>15</v>
      </c>
      <c r="AH58" s="184">
        <v>15</v>
      </c>
      <c r="AI58" s="184">
        <v>15</v>
      </c>
      <c r="AJ58" s="185"/>
      <c r="AK58" s="1331"/>
      <c r="AL58" s="1331"/>
      <c r="AM58" s="1005" t="s">
        <v>404</v>
      </c>
      <c r="AN58" s="1005"/>
      <c r="AO58" s="1005"/>
      <c r="AP58" s="1005"/>
      <c r="AQ58" s="623"/>
      <c r="AR58" s="623"/>
      <c r="AS58" s="1331"/>
      <c r="AT58" s="1331"/>
      <c r="AU58" s="1331"/>
      <c r="AV58" s="1331"/>
      <c r="AW58" s="1331"/>
      <c r="AX58" s="1331"/>
      <c r="AY58" s="1331"/>
      <c r="AZ58" s="1331"/>
      <c r="BA58" s="1331"/>
      <c r="BB58" s="1331"/>
      <c r="BC58" s="1331"/>
      <c r="BD58" s="1331"/>
      <c r="BE58" s="1331"/>
    </row>
    <row s="541" customFormat="1" customHeight="1" ht="77.671875">
      <c r="A59" s="1331"/>
      <c r="B59" s="969" cm="1" t="str">
        <f t="array" ref="B59:B59">B58</f>
        <v>true</v>
      </c>
      <c r="C59" s="1331"/>
      <c r="D59" s="1331"/>
      <c r="E59" s="634">
        <v>15</v>
      </c>
      <c r="F59" s="139" cm="1" t="str">
        <f t="array" ref="F59:F59">OFFSET(E59,-1,1)</f>
        <v>2</v>
      </c>
      <c r="G59" s="139"/>
      <c r="H59" s="118" t="s">
        <v>344</v>
      </c>
      <c r="I59" s="118" t="s">
        <v>386</v>
      </c>
      <c r="J59" s="118" t="str">
        <f>AD59&amp;"::"&amp;AE59</f>
        <v>Канализационные сети::км</v>
      </c>
      <c r="K59" s="1331"/>
      <c r="L59" s="118" t="s">
        <v>50</v>
      </c>
      <c r="M59" s="1331"/>
      <c r="N59" s="1331"/>
      <c r="O59" s="1331"/>
      <c r="P59" s="118" t="s">
        <v>396</v>
      </c>
      <c r="Q59" s="118" t="s">
        <v>397</v>
      </c>
      <c r="R59" s="1331"/>
      <c r="S59" s="1331"/>
      <c r="T59" s="1331"/>
      <c r="U59" s="1331"/>
      <c r="V59" s="468" cm="1" t="str">
        <f t="array" ref="V59:V59">V58</f>
        <v>true</v>
      </c>
      <c r="W59" s="1331"/>
      <c r="X59" s="1331"/>
      <c r="Y59" s="1331"/>
      <c r="Z59" s="1528"/>
      <c r="AA59" s="1529"/>
      <c r="AB59" s="1331"/>
      <c r="AC59" s="180">
        <f>AC58+1</f>
        <v>3</v>
      </c>
      <c r="AD59" s="178" t="s">
        <v>405</v>
      </c>
      <c r="AE59" s="119" t="s">
        <v>399</v>
      </c>
      <c r="AF59" s="137">
        <v>143.19</v>
      </c>
      <c r="AG59" s="137">
        <v>143.19</v>
      </c>
      <c r="AH59" s="137">
        <v>143.4</v>
      </c>
      <c r="AI59" s="137">
        <v>143.395</v>
      </c>
      <c r="AJ59" s="185" t="s">
        <v>415</v>
      </c>
      <c r="AK59" s="1331"/>
      <c r="AL59" s="1331"/>
      <c r="AM59" s="1005" t="s">
        <v>406</v>
      </c>
      <c r="AN59" s="1005"/>
      <c r="AO59" s="1005"/>
      <c r="AP59" s="1005"/>
      <c r="AQ59" s="623"/>
      <c r="AR59" s="623"/>
      <c r="AS59" s="1331"/>
      <c r="AT59" s="1331"/>
      <c r="AU59" s="1331"/>
      <c r="AV59" s="1331"/>
      <c r="AW59" s="1331"/>
      <c r="AX59" s="1331"/>
      <c r="AY59" s="1331"/>
      <c r="AZ59" s="1331"/>
      <c r="BA59" s="1331"/>
      <c r="BB59" s="1331"/>
      <c r="BC59" s="1331"/>
      <c r="BD59" s="1331"/>
      <c r="BE59" s="1331"/>
    </row>
    <row s="1029" customFormat="1" customHeight="1" ht="14.25" hidden="1">
      <c r="A60" s="1029"/>
      <c r="B60" s="430"/>
      <c r="C60" s="1029"/>
      <c r="D60" s="1029"/>
      <c r="E60" s="642">
        <v>15</v>
      </c>
      <c r="F60" s="139" cm="1" t="str">
        <f t="array" ref="F60:F60">OFFSET(E60,-1,1)</f>
        <v>2</v>
      </c>
      <c r="G60" s="139"/>
      <c r="H60" s="120" t="s">
        <v>344</v>
      </c>
      <c r="I60" s="120" t="s">
        <v>386</v>
      </c>
      <c r="J60" s="120" t="str">
        <f>AD60&amp;"::"&amp;AE60</f>
        <v>::</v>
      </c>
      <c r="K60" s="1029"/>
      <c r="L60" s="1029"/>
      <c r="M60" s="1029"/>
      <c r="N60" s="1029"/>
      <c r="O60" s="1029"/>
      <c r="P60" s="1029"/>
      <c r="Q60" s="1029"/>
      <c r="R60" s="1029"/>
      <c r="S60" s="1029"/>
      <c r="T60" s="1029"/>
      <c r="U60" s="118">
        <v>0</v>
      </c>
      <c r="V60" s="468">
        <f>AND(F60&gt;0,U60&gt;0)</f>
        <v>0</v>
      </c>
      <c r="W60" s="1029"/>
      <c r="X60" s="1029"/>
      <c r="Y60" s="764" t="s">
        <v>173</v>
      </c>
      <c r="Z60" s="1528"/>
      <c r="AA60" s="1529"/>
      <c r="AB60" s="422" t="s">
        <v>174</v>
      </c>
      <c r="AC60" s="180">
        <f>IF(OFFSET(C60,-8-U60,-1),5,IF(OFFSET(C60,-3-U60,-1),3,2))+U60</f>
        <v>3</v>
      </c>
      <c r="AD60" s="1820"/>
      <c r="AE60" s="1821"/>
      <c r="AF60" s="1822"/>
      <c r="AG60" s="1822"/>
      <c r="AH60" s="1822"/>
      <c r="AI60" s="1822"/>
      <c r="AJ60" s="1823"/>
      <c r="AK60" s="1029"/>
      <c r="AL60" s="1029"/>
      <c r="AM60" s="1013" t="s">
        <v>407</v>
      </c>
      <c r="AN60" s="1013" t="s">
        <v>408</v>
      </c>
      <c r="AO60" s="1016" cm="1" t="str">
        <f t="array" ref="AO60:AO60">AD60</f>
        <v>0</v>
      </c>
      <c r="AP60" s="1016" cm="1" t="str">
        <f t="array" ref="AP60:AP60">AE60</f>
        <v>0</v>
      </c>
      <c r="AQ60" s="698"/>
      <c r="AR60" s="698" t="b">
        <v>1</v>
      </c>
      <c r="AS60" s="1029"/>
      <c r="AT60" s="1029"/>
      <c r="AU60" s="1029"/>
      <c r="AV60" s="1029"/>
      <c r="AW60" s="1029"/>
      <c r="AX60" s="1029"/>
      <c r="AY60" s="1029"/>
      <c r="AZ60" s="1029"/>
      <c r="BA60" s="1029"/>
      <c r="BB60" s="1029"/>
      <c r="BC60" s="1029"/>
      <c r="BD60" s="1029"/>
      <c r="BE60" s="1029"/>
    </row>
    <row s="541" customFormat="1" customHeight="1" ht="14.25">
      <c r="A61" s="1331"/>
      <c r="B61" s="430"/>
      <c r="C61" s="1331"/>
      <c r="D61" s="1331"/>
      <c r="E61" s="634">
        <v>15</v>
      </c>
      <c r="F61" s="139" cm="1" t="str">
        <f t="array" ref="F61:F61">OFFSET(E61,-1,1)</f>
        <v>2</v>
      </c>
      <c r="G61" s="139"/>
      <c r="H61" s="1331"/>
      <c r="I61" s="1331"/>
      <c r="J61" s="117" t="s">
        <v>409</v>
      </c>
      <c r="K61" s="1331"/>
      <c r="L61" s="1331"/>
      <c r="M61" s="1331"/>
      <c r="N61" s="1331"/>
      <c r="O61" s="1331"/>
      <c r="P61" s="1331"/>
      <c r="Q61" s="1331"/>
      <c r="R61" s="1331"/>
      <c r="S61" s="1331"/>
      <c r="T61" s="1331"/>
      <c r="U61" s="1331"/>
      <c r="V61" s="468" cm="1" t="str">
        <f t="array" ref="V61:V61">V59</f>
        <v>true</v>
      </c>
      <c r="W61" s="1331"/>
      <c r="X61" s="1331"/>
      <c r="Y61" s="764" t="s">
        <v>410</v>
      </c>
      <c r="Z61" s="1528"/>
      <c r="AA61" s="1529"/>
      <c r="AB61" s="1331"/>
      <c r="AC61" s="171"/>
      <c r="AD61" s="304" t="s">
        <v>177</v>
      </c>
      <c r="AE61" s="172"/>
      <c r="AF61" s="172"/>
      <c r="AG61" s="172"/>
      <c r="AH61" s="172"/>
      <c r="AI61" s="172"/>
      <c r="AJ61" s="183"/>
      <c r="AK61" s="1331"/>
      <c r="AL61" s="1331"/>
      <c r="AM61" s="1005"/>
      <c r="AN61" s="1005"/>
      <c r="AO61" s="1005"/>
      <c r="AP61" s="1005"/>
      <c r="AQ61" s="623" t="s">
        <v>408</v>
      </c>
      <c r="AR61" s="623"/>
      <c r="AS61" s="1331"/>
      <c r="AT61" s="1331"/>
      <c r="AU61" s="1331"/>
      <c r="AV61" s="1331"/>
      <c r="AW61" s="1331"/>
      <c r="AX61" s="1331"/>
      <c r="AY61" s="1331"/>
      <c r="AZ61" s="1331"/>
      <c r="BA61" s="1331"/>
      <c r="BB61" s="1331"/>
      <c r="BC61" s="1331"/>
      <c r="BD61" s="1331"/>
      <c r="BE61" s="1331"/>
    </row>
    <row s="541" customFormat="1" customHeight="1" ht="75.75">
      <c r="A62" s="1331"/>
      <c r="B62" s="430"/>
      <c r="C62" s="1331"/>
      <c r="D62" s="1331"/>
      <c r="E62" s="634">
        <v>15</v>
      </c>
      <c r="F62" s="139" cm="1" t="str">
        <f t="array" ref="F62:F62">OFFSET(E62,-1,1)</f>
        <v>2</v>
      </c>
      <c r="G62" s="139"/>
      <c r="H62" s="118" t="s">
        <v>345</v>
      </c>
      <c r="I62" s="118" t="s">
        <v>386</v>
      </c>
      <c r="J62" s="365" cm="1" t="str">
        <f t="array" ref="J62:J62">AD62</f>
        <v>Краткое описание технологического процесса</v>
      </c>
      <c r="K62" s="1331"/>
      <c r="L62" s="1331"/>
      <c r="M62" s="1331"/>
      <c r="N62" s="1331"/>
      <c r="O62" s="1331"/>
      <c r="P62" s="1331"/>
      <c r="Q62" s="1331"/>
      <c r="R62" s="1331"/>
      <c r="S62" s="1331"/>
      <c r="T62" s="1331"/>
      <c r="U62" s="1331"/>
      <c r="V62" s="468" cm="1" t="str">
        <f t="array" ref="V62:V62">V61</f>
        <v>true</v>
      </c>
      <c r="W62" s="1331"/>
      <c r="X62" s="1331"/>
      <c r="Y62" s="1331"/>
      <c r="Z62" s="1528"/>
      <c r="AA62" s="1529"/>
      <c r="AB62" s="1331"/>
      <c r="AC62" s="180"/>
      <c r="AD62" s="178" t="s">
        <v>411</v>
      </c>
      <c r="AE62" s="119"/>
      <c r="AF62" s="1530" t="s">
        <v>416</v>
      </c>
      <c r="AG62" s="1531"/>
      <c r="AH62" s="1531"/>
      <c r="AI62" s="1531"/>
      <c r="AJ62" s="1532"/>
      <c r="AK62" s="1331"/>
      <c r="AL62" s="1331"/>
      <c r="AM62" s="1005" t="s">
        <v>412</v>
      </c>
      <c r="AN62" s="1005"/>
      <c r="AO62" s="1005"/>
      <c r="AP62" s="1005"/>
      <c r="AQ62" s="623"/>
      <c r="AR62" s="623"/>
      <c r="AS62" s="1331"/>
      <c r="AT62" s="1331"/>
      <c r="AU62" s="1331"/>
      <c r="AV62" s="1331"/>
      <c r="AW62" s="1331"/>
      <c r="AX62" s="1331"/>
      <c r="AY62" s="1331"/>
      <c r="AZ62" s="1331"/>
      <c r="BA62" s="1331"/>
      <c r="BB62" s="1331"/>
      <c r="BC62" s="1331"/>
      <c r="BD62" s="1331"/>
      <c r="BE62" s="1331"/>
    </row>
    <row s="541" customFormat="1" customHeight="1" ht="21.421875">
      <c r="A63" s="1331"/>
      <c r="B63" s="430"/>
      <c r="C63" s="1331"/>
      <c r="D63" s="1331"/>
      <c r="E63" s="634">
        <v>15</v>
      </c>
      <c r="F63" s="118" cm="1" t="str">
        <f t="array" ref="F63:F63">Z63</f>
        <v>3</v>
      </c>
      <c r="G63" s="1331"/>
      <c r="H63" s="1331"/>
      <c r="I63" s="1331"/>
      <c r="J63" s="1331"/>
      <c r="K63" s="1331"/>
      <c r="L63" s="1331"/>
      <c r="M63" s="1331"/>
      <c r="N63" s="1331"/>
      <c r="O63" s="1331"/>
      <c r="P63" s="1331"/>
      <c r="Q63" s="1331"/>
      <c r="R63" s="1331"/>
      <c r="S63" s="1331"/>
      <c r="T63" s="1089" cm="1" t="str">
        <f t="array" ref="T63:T63">INDEX('Общие сведения'!$AE$197:$AE$254,MATCH($Z63,'Общие сведения'!$Z$197:$Z$254,0))</f>
        <v>Водоотведение</v>
      </c>
      <c r="U63" s="1331"/>
      <c r="V63" s="468">
        <f>Z63&gt;0</f>
        <v>1</v>
      </c>
      <c r="W63" s="1331"/>
      <c r="X63" s="118" cm="1" t="str">
        <f t="array" ref="X63:X63">'Список территорий'!$AB$38</f>
        <v>Тариф 3 (Водоотведение) - тариф на водоотведение (Оказание услуг на территории: город Полысаево (ОКТМО: 32732000) - г Полысаево)</v>
      </c>
      <c r="Y63" s="1331"/>
      <c r="Z63" s="1528" t="s">
        <v>234</v>
      </c>
      <c r="AA63" s="1529"/>
      <c r="AB63" s="1331"/>
      <c r="AC63" s="176" cm="1" t="str">
        <f t="array" ref="AC63:AC63">'Список территорий'!$AB$38</f>
        <v>Тариф 3 (Водоотведение) - тариф на водоотведение (Оказание услуг на территории: город Полысаево (ОКТМО: 32732000) - г Полысаево)</v>
      </c>
      <c r="AD63" s="176"/>
      <c r="AE63" s="170"/>
      <c r="AF63" s="170"/>
      <c r="AG63" s="170"/>
      <c r="AH63" s="170"/>
      <c r="AI63" s="170"/>
      <c r="AJ63" s="170"/>
      <c r="AK63" s="1331"/>
      <c r="AL63" s="1331"/>
      <c r="AM63" s="1005"/>
      <c r="AN63" s="1005"/>
      <c r="AO63" s="1005"/>
      <c r="AP63" s="1005"/>
      <c r="AQ63" s="623"/>
      <c r="AR63" s="623"/>
      <c r="AS63" s="1331"/>
      <c r="AT63" s="1331"/>
      <c r="AU63" s="1331"/>
      <c r="AV63" s="1331"/>
      <c r="AW63" s="1331"/>
      <c r="AX63" s="1331"/>
      <c r="AY63" s="1331"/>
      <c r="AZ63" s="1331"/>
      <c r="BA63" s="1331"/>
      <c r="BB63" s="1331"/>
      <c r="BC63" s="1331"/>
      <c r="BD63" s="1331"/>
      <c r="BE63" s="1331"/>
    </row>
    <row s="541" customFormat="1" customHeight="1" ht="14.25" hidden="1">
      <c r="A64" s="1331"/>
      <c r="B64" s="969">
        <f>AND(T63="Водоснабжение",method_reg&lt;&gt;"Метод сравнения аналогов")</f>
        <v>0</v>
      </c>
      <c r="C64" s="1331"/>
      <c r="D64" s="1331"/>
      <c r="E64" s="634">
        <v>15</v>
      </c>
      <c r="F64" s="139" cm="1" t="str">
        <f t="array" ref="F64:F64">OFFSET(E64,-1,1)</f>
        <v>3</v>
      </c>
      <c r="G64" s="487"/>
      <c r="H64" s="118" t="s">
        <v>344</v>
      </c>
      <c r="I64" s="118" t="s">
        <v>386</v>
      </c>
      <c r="J64" s="118" t="str">
        <f>AD64&amp;"::"&amp;AE64</f>
        <v>Водонасосные станции (водозаборные узлы)::ед.</v>
      </c>
      <c r="K64" s="120"/>
      <c r="L64" s="1331"/>
      <c r="M64" s="1331"/>
      <c r="N64" s="1331"/>
      <c r="O64" s="1331"/>
      <c r="P64" s="1331"/>
      <c r="Q64" s="1331"/>
      <c r="R64" s="1331"/>
      <c r="S64" s="1331"/>
      <c r="T64" s="1331"/>
      <c r="U64" s="1331"/>
      <c r="V64" s="468" cm="1" t="str">
        <f t="array" ref="V64:V64">V63</f>
        <v>true</v>
      </c>
      <c r="W64" s="1331"/>
      <c r="X64" s="1331"/>
      <c r="Y64" s="1331"/>
      <c r="Z64" s="1528"/>
      <c r="AA64" s="1529"/>
      <c r="AB64" s="1331"/>
      <c r="AC64" s="180">
        <v>1</v>
      </c>
      <c r="AD64" s="178" t="s">
        <v>387</v>
      </c>
      <c r="AE64" s="119" t="s">
        <v>388</v>
      </c>
      <c r="AF64" s="1815"/>
      <c r="AG64" s="1815"/>
      <c r="AH64" s="1815"/>
      <c r="AI64" s="1815"/>
      <c r="AJ64" s="1816"/>
      <c r="AK64" s="1331"/>
      <c r="AL64" s="1331"/>
      <c r="AM64" s="1005" t="s">
        <v>389</v>
      </c>
      <c r="AN64" s="1005"/>
      <c r="AO64" s="1005"/>
      <c r="AP64" s="1005"/>
      <c r="AQ64" s="623"/>
      <c r="AR64" s="623"/>
      <c r="AS64" s="1331"/>
      <c r="AT64" s="1331"/>
      <c r="AU64" s="1331"/>
      <c r="AV64" s="1331"/>
      <c r="AW64" s="1331"/>
      <c r="AX64" s="1331"/>
      <c r="AY64" s="1331"/>
      <c r="AZ64" s="1331"/>
      <c r="BA64" s="1331"/>
      <c r="BB64" s="1331"/>
      <c r="BC64" s="1331"/>
      <c r="BD64" s="1331"/>
      <c r="BE64" s="1331"/>
    </row>
    <row s="541" customFormat="1" customHeight="1" ht="14.25" hidden="1">
      <c r="A65" s="1331"/>
      <c r="B65" s="969" cm="1" t="str">
        <f t="array" ref="B65:B65">B64</f>
        <v>false</v>
      </c>
      <c r="C65" s="1331"/>
      <c r="D65" s="1331"/>
      <c r="E65" s="634">
        <v>15</v>
      </c>
      <c r="F65" s="139" cm="1" t="str">
        <f t="array" ref="F65:F65">OFFSET(E65,-1,1)</f>
        <v>3</v>
      </c>
      <c r="G65" s="139"/>
      <c r="H65" s="118" t="s">
        <v>344</v>
      </c>
      <c r="I65" s="118" t="s">
        <v>386</v>
      </c>
      <c r="J65" s="118" t="str">
        <f>AD65&amp;"::"&amp;AE65</f>
        <v>Скважины::ед.</v>
      </c>
      <c r="K65" s="1331"/>
      <c r="L65" s="1331"/>
      <c r="M65" s="1331"/>
      <c r="N65" s="1331"/>
      <c r="O65" s="1331"/>
      <c r="P65" s="1331"/>
      <c r="Q65" s="1331"/>
      <c r="R65" s="1331"/>
      <c r="S65" s="1331"/>
      <c r="T65" s="1331"/>
      <c r="U65" s="1331"/>
      <c r="V65" s="468" cm="1" t="str">
        <f t="array" ref="V65:V65">V64</f>
        <v>true</v>
      </c>
      <c r="W65" s="1331"/>
      <c r="X65" s="1331"/>
      <c r="Y65" s="1331"/>
      <c r="Z65" s="1528"/>
      <c r="AA65" s="1529"/>
      <c r="AB65" s="1331"/>
      <c r="AC65" s="180">
        <v>2</v>
      </c>
      <c r="AD65" s="178" t="s">
        <v>390</v>
      </c>
      <c r="AE65" s="119" t="s">
        <v>388</v>
      </c>
      <c r="AF65" s="1815"/>
      <c r="AG65" s="1815"/>
      <c r="AH65" s="1815"/>
      <c r="AI65" s="1815"/>
      <c r="AJ65" s="1816"/>
      <c r="AK65" s="1331"/>
      <c r="AL65" s="1331"/>
      <c r="AM65" s="1005" t="s">
        <v>391</v>
      </c>
      <c r="AN65" s="1005"/>
      <c r="AO65" s="1005"/>
      <c r="AP65" s="1005"/>
      <c r="AQ65" s="623"/>
      <c r="AR65" s="623"/>
      <c r="AS65" s="1331"/>
      <c r="AT65" s="1331"/>
      <c r="AU65" s="1331"/>
      <c r="AV65" s="1331"/>
      <c r="AW65" s="1331"/>
      <c r="AX65" s="1331"/>
      <c r="AY65" s="1331"/>
      <c r="AZ65" s="1331"/>
      <c r="BA65" s="1331"/>
      <c r="BB65" s="1331"/>
      <c r="BC65" s="1331"/>
      <c r="BD65" s="1331"/>
      <c r="BE65" s="1331"/>
    </row>
    <row s="541" customFormat="1" customHeight="1" ht="14.25" hidden="1">
      <c r="A66" s="1331"/>
      <c r="B66" s="969">
        <f>T63="Водоснабжение"</f>
        <v>0</v>
      </c>
      <c r="C66" s="1331"/>
      <c r="D66" s="1331"/>
      <c r="E66" s="634">
        <v>15</v>
      </c>
      <c r="F66" s="139" cm="1" t="str">
        <f t="array" ref="F66:F66">OFFSET(E66,-1,1)</f>
        <v>3</v>
      </c>
      <c r="G66" s="139" t="s">
        <v>50</v>
      </c>
      <c r="H66" s="118" t="s">
        <v>344</v>
      </c>
      <c r="I66" s="118" t="s">
        <v>386</v>
      </c>
      <c r="J66" s="118" t="str">
        <f>AD66&amp;"::"&amp;AE66</f>
        <v>Подкачивающие насосные станции::ед.</v>
      </c>
      <c r="K66" s="1331"/>
      <c r="L66" s="118" t="s">
        <v>50</v>
      </c>
      <c r="M66" s="1331"/>
      <c r="N66" s="1331"/>
      <c r="O66" s="1331"/>
      <c r="P66" s="1331"/>
      <c r="Q66" s="1331"/>
      <c r="R66" s="1331"/>
      <c r="S66" s="1331"/>
      <c r="T66" s="1331"/>
      <c r="U66" s="1331"/>
      <c r="V66" s="468" cm="1" t="str">
        <f t="array" ref="V66:V66">V65</f>
        <v>true</v>
      </c>
      <c r="W66" s="1331"/>
      <c r="X66" s="1331"/>
      <c r="Y66" s="1331"/>
      <c r="Z66" s="1528"/>
      <c r="AA66" s="1529"/>
      <c r="AB66" s="1331"/>
      <c r="AC66" s="180">
        <f>IF(B65,3,1)</f>
        <v>1</v>
      </c>
      <c r="AD66" s="178" t="s">
        <v>392</v>
      </c>
      <c r="AE66" s="119" t="s">
        <v>388</v>
      </c>
      <c r="AF66" s="1815"/>
      <c r="AG66" s="1815"/>
      <c r="AH66" s="1815"/>
      <c r="AI66" s="1815"/>
      <c r="AJ66" s="1816"/>
      <c r="AK66" s="1331"/>
      <c r="AL66" s="1331"/>
      <c r="AM66" s="1005" t="s">
        <v>393</v>
      </c>
      <c r="AN66" s="1005"/>
      <c r="AO66" s="1005"/>
      <c r="AP66" s="1005"/>
      <c r="AQ66" s="623"/>
      <c r="AR66" s="623"/>
      <c r="AS66" s="1331"/>
      <c r="AT66" s="1331"/>
      <c r="AU66" s="1331"/>
      <c r="AV66" s="1331"/>
      <c r="AW66" s="1331"/>
      <c r="AX66" s="1331"/>
      <c r="AY66" s="1331"/>
      <c r="AZ66" s="1331"/>
      <c r="BA66" s="1331"/>
      <c r="BB66" s="1331"/>
      <c r="BC66" s="1331"/>
      <c r="BD66" s="1331"/>
      <c r="BE66" s="1331"/>
    </row>
    <row s="541" customFormat="1" customHeight="1" ht="14.25" hidden="1">
      <c r="A67" s="1331"/>
      <c r="B67" s="969" cm="1" t="str">
        <f t="array" ref="B67:B67">B65</f>
        <v>false</v>
      </c>
      <c r="C67" s="1331"/>
      <c r="D67" s="1331"/>
      <c r="E67" s="634">
        <v>15</v>
      </c>
      <c r="F67" s="139" cm="1" t="str">
        <f t="array" ref="F67:F67">OFFSET(E67,-1,1)</f>
        <v>3</v>
      </c>
      <c r="G67" s="139"/>
      <c r="H67" s="118" t="s">
        <v>344</v>
      </c>
      <c r="I67" s="118" t="s">
        <v>386</v>
      </c>
      <c r="J67" s="118" t="str">
        <f>AD67&amp;"::"&amp;AE67</f>
        <v>Водонапорные башни::ед.</v>
      </c>
      <c r="K67" s="1331"/>
      <c r="L67" s="1331"/>
      <c r="M67" s="1331"/>
      <c r="N67" s="1331"/>
      <c r="O67" s="1331"/>
      <c r="P67" s="1331"/>
      <c r="Q67" s="1331"/>
      <c r="R67" s="1331"/>
      <c r="S67" s="1331"/>
      <c r="T67" s="1331"/>
      <c r="U67" s="1331"/>
      <c r="V67" s="468" cm="1" t="str">
        <f t="array" ref="V67:V67">V66</f>
        <v>true</v>
      </c>
      <c r="W67" s="1331"/>
      <c r="X67" s="1331"/>
      <c r="Y67" s="1331"/>
      <c r="Z67" s="1528"/>
      <c r="AA67" s="1529"/>
      <c r="AB67" s="1331"/>
      <c r="AC67" s="180">
        <v>4</v>
      </c>
      <c r="AD67" s="178" t="s">
        <v>394</v>
      </c>
      <c r="AE67" s="119" t="s">
        <v>388</v>
      </c>
      <c r="AF67" s="1815"/>
      <c r="AG67" s="1815"/>
      <c r="AH67" s="1815"/>
      <c r="AI67" s="1815"/>
      <c r="AJ67" s="1816"/>
      <c r="AK67" s="1331"/>
      <c r="AL67" s="1331"/>
      <c r="AM67" s="1005" t="s">
        <v>395</v>
      </c>
      <c r="AN67" s="1005"/>
      <c r="AO67" s="1005"/>
      <c r="AP67" s="1005"/>
      <c r="AQ67" s="623"/>
      <c r="AR67" s="623"/>
      <c r="AS67" s="1331"/>
      <c r="AT67" s="1331"/>
      <c r="AU67" s="1331"/>
      <c r="AV67" s="1331"/>
      <c r="AW67" s="1331"/>
      <c r="AX67" s="1331"/>
      <c r="AY67" s="1331"/>
      <c r="AZ67" s="1331"/>
      <c r="BA67" s="1331"/>
      <c r="BB67" s="1331"/>
      <c r="BC67" s="1331"/>
      <c r="BD67" s="1331"/>
      <c r="BE67" s="1331"/>
    </row>
    <row s="541" customFormat="1" customHeight="1" ht="14.25" hidden="1">
      <c r="A68" s="1331"/>
      <c r="B68" s="969">
        <f>T63="Водоснабжение"</f>
        <v>0</v>
      </c>
      <c r="C68" s="1331"/>
      <c r="D68" s="1331"/>
      <c r="E68" s="634">
        <v>15</v>
      </c>
      <c r="F68" s="139" cm="1" t="str">
        <f t="array" ref="F68:F68">OFFSET(E68,-1,1)</f>
        <v>3</v>
      </c>
      <c r="G68" s="139"/>
      <c r="H68" s="118" t="s">
        <v>344</v>
      </c>
      <c r="I68" s="118" t="s">
        <v>386</v>
      </c>
      <c r="J68" s="118" t="str">
        <f>AD68&amp;"::"&amp;AE68</f>
        <v>Водопроводные сети::км</v>
      </c>
      <c r="K68" s="1331"/>
      <c r="L68" s="1331"/>
      <c r="M68" s="1331"/>
      <c r="N68" s="1331"/>
      <c r="O68" s="1331"/>
      <c r="P68" s="118" t="s">
        <v>396</v>
      </c>
      <c r="Q68" s="118" t="s">
        <v>397</v>
      </c>
      <c r="R68" s="1331"/>
      <c r="S68" s="1331"/>
      <c r="T68" s="1331"/>
      <c r="U68" s="1331"/>
      <c r="V68" s="468" cm="1" t="str">
        <f t="array" ref="V68:V68">V67</f>
        <v>true</v>
      </c>
      <c r="W68" s="1331"/>
      <c r="X68" s="1331"/>
      <c r="Y68" s="1331"/>
      <c r="Z68" s="1528"/>
      <c r="AA68" s="1529"/>
      <c r="AB68" s="1331"/>
      <c r="AC68" s="180">
        <f>IF(B65,5,2)</f>
        <v>2</v>
      </c>
      <c r="AD68" s="178" t="s">
        <v>398</v>
      </c>
      <c r="AE68" s="119" t="s">
        <v>399</v>
      </c>
      <c r="AF68" s="1817"/>
      <c r="AG68" s="1817"/>
      <c r="AH68" s="1817"/>
      <c r="AI68" s="1817"/>
      <c r="AJ68" s="1816"/>
      <c r="AK68" s="1331"/>
      <c r="AL68" s="1331"/>
      <c r="AM68" s="1005" t="s">
        <v>400</v>
      </c>
      <c r="AN68" s="1005"/>
      <c r="AO68" s="1005"/>
      <c r="AP68" s="1005"/>
      <c r="AQ68" s="623"/>
      <c r="AR68" s="623"/>
      <c r="AS68" s="1331"/>
      <c r="AT68" s="1331"/>
      <c r="AU68" s="1331"/>
      <c r="AV68" s="1331"/>
      <c r="AW68" s="1331"/>
      <c r="AX68" s="1331"/>
      <c r="AY68" s="1331"/>
      <c r="AZ68" s="1331"/>
      <c r="BA68" s="1331"/>
      <c r="BB68" s="1331"/>
      <c r="BC68" s="1331"/>
      <c r="BD68" s="1331"/>
      <c r="BE68" s="1331"/>
    </row>
    <row s="541" customFormat="1" customHeight="1" ht="14.625">
      <c r="A69" s="1331"/>
      <c r="B69" s="969">
        <f>AND(T63="Водоотведение",method_reg&lt;&gt;"Метод сравнения аналогов")</f>
        <v>1</v>
      </c>
      <c r="C69" s="1331"/>
      <c r="D69" s="1331"/>
      <c r="E69" s="634">
        <v>15</v>
      </c>
      <c r="F69" s="139" cm="1" t="str">
        <f t="array" ref="F69:F69">OFFSET(E69,-1,1)</f>
        <v>3</v>
      </c>
      <c r="G69" s="487"/>
      <c r="H69" s="118" t="s">
        <v>344</v>
      </c>
      <c r="I69" s="118" t="s">
        <v>386</v>
      </c>
      <c r="J69" s="118" t="str">
        <f>AD69&amp;"::"&amp;AE69</f>
        <v>Биологические очистные сооружения::ед.</v>
      </c>
      <c r="K69" s="120"/>
      <c r="L69" s="1331"/>
      <c r="M69" s="1331"/>
      <c r="N69" s="1331"/>
      <c r="O69" s="1331"/>
      <c r="P69" s="1331"/>
      <c r="Q69" s="1331"/>
      <c r="R69" s="1331"/>
      <c r="S69" s="1331"/>
      <c r="T69" s="1331"/>
      <c r="U69" s="1331"/>
      <c r="V69" s="468" cm="1" t="str">
        <f t="array" ref="V69:V69">V68</f>
        <v>true</v>
      </c>
      <c r="W69" s="1331"/>
      <c r="X69" s="1331"/>
      <c r="Y69" s="1331"/>
      <c r="Z69" s="1528"/>
      <c r="AA69" s="1529"/>
      <c r="AB69" s="1331"/>
      <c r="AC69" s="180">
        <v>1</v>
      </c>
      <c r="AD69" s="178" t="s">
        <v>401</v>
      </c>
      <c r="AE69" s="119" t="s">
        <v>388</v>
      </c>
      <c r="AF69" s="184">
        <v>1</v>
      </c>
      <c r="AG69" s="184">
        <v>1</v>
      </c>
      <c r="AH69" s="184">
        <v>1</v>
      </c>
      <c r="AI69" s="184">
        <v>1</v>
      </c>
      <c r="AJ69" s="185"/>
      <c r="AK69" s="1331"/>
      <c r="AL69" s="1331"/>
      <c r="AM69" s="1005" t="s">
        <v>402</v>
      </c>
      <c r="AN69" s="1005"/>
      <c r="AO69" s="1005"/>
      <c r="AP69" s="1005"/>
      <c r="AQ69" s="623"/>
      <c r="AR69" s="623"/>
      <c r="AS69" s="1331"/>
      <c r="AT69" s="1331"/>
      <c r="AU69" s="1331"/>
      <c r="AV69" s="1331"/>
      <c r="AW69" s="1331"/>
      <c r="AX69" s="1331"/>
      <c r="AY69" s="1331"/>
      <c r="AZ69" s="1331"/>
      <c r="BA69" s="1331"/>
      <c r="BB69" s="1331"/>
      <c r="BC69" s="1331"/>
      <c r="BD69" s="1331"/>
      <c r="BE69" s="1331"/>
    </row>
    <row s="541" customFormat="1" customHeight="1" ht="14.625">
      <c r="A70" s="1331"/>
      <c r="B70" s="969">
        <f>T63="Водоотведение"</f>
        <v>1</v>
      </c>
      <c r="C70" s="1331"/>
      <c r="D70" s="1331"/>
      <c r="E70" s="634">
        <v>15</v>
      </c>
      <c r="F70" s="139" cm="1" t="str">
        <f t="array" ref="F70:F70">OFFSET(E70,-1,1)</f>
        <v>3</v>
      </c>
      <c r="G70" s="139" t="s">
        <v>50</v>
      </c>
      <c r="H70" s="118" t="s">
        <v>344</v>
      </c>
      <c r="I70" s="118" t="s">
        <v>386</v>
      </c>
      <c r="J70" s="118" t="str">
        <f>AD70&amp;"::"&amp;AE70</f>
        <v>Канализационные насосные станции::ед.</v>
      </c>
      <c r="K70" s="1331"/>
      <c r="L70" s="1331"/>
      <c r="M70" s="1331"/>
      <c r="N70" s="1331"/>
      <c r="O70" s="1331"/>
      <c r="P70" s="1331"/>
      <c r="Q70" s="1331"/>
      <c r="R70" s="1331"/>
      <c r="S70" s="1331"/>
      <c r="T70" s="1331"/>
      <c r="U70" s="1331"/>
      <c r="V70" s="468" cm="1" t="str">
        <f t="array" ref="V70:V70">V69</f>
        <v>true</v>
      </c>
      <c r="W70" s="1331"/>
      <c r="X70" s="1331"/>
      <c r="Y70" s="1331"/>
      <c r="Z70" s="1528"/>
      <c r="AA70" s="1529"/>
      <c r="AB70" s="1331"/>
      <c r="AC70" s="180">
        <f>IF(B69,2,1)</f>
        <v>2</v>
      </c>
      <c r="AD70" s="178" t="s">
        <v>403</v>
      </c>
      <c r="AE70" s="119" t="s">
        <v>388</v>
      </c>
      <c r="AF70" s="184">
        <v>6</v>
      </c>
      <c r="AG70" s="184">
        <v>6</v>
      </c>
      <c r="AH70" s="184">
        <v>6</v>
      </c>
      <c r="AI70" s="184">
        <v>6</v>
      </c>
      <c r="AJ70" s="185"/>
      <c r="AK70" s="1331"/>
      <c r="AL70" s="1331"/>
      <c r="AM70" s="1005" t="s">
        <v>404</v>
      </c>
      <c r="AN70" s="1005"/>
      <c r="AO70" s="1005"/>
      <c r="AP70" s="1005"/>
      <c r="AQ70" s="623"/>
      <c r="AR70" s="623"/>
      <c r="AS70" s="1331"/>
      <c r="AT70" s="1331"/>
      <c r="AU70" s="1331"/>
      <c r="AV70" s="1331"/>
      <c r="AW70" s="1331"/>
      <c r="AX70" s="1331"/>
      <c r="AY70" s="1331"/>
      <c r="AZ70" s="1331"/>
      <c r="BA70" s="1331"/>
      <c r="BB70" s="1331"/>
      <c r="BC70" s="1331"/>
      <c r="BD70" s="1331"/>
      <c r="BE70" s="1331"/>
    </row>
    <row s="541" customFormat="1" customHeight="1" ht="62.671875">
      <c r="A71" s="1331"/>
      <c r="B71" s="969" cm="1" t="str">
        <f t="array" ref="B71:B71">B70</f>
        <v>true</v>
      </c>
      <c r="C71" s="1331"/>
      <c r="D71" s="1331"/>
      <c r="E71" s="634">
        <v>15</v>
      </c>
      <c r="F71" s="139" cm="1" t="str">
        <f t="array" ref="F71:F71">OFFSET(E71,-1,1)</f>
        <v>3</v>
      </c>
      <c r="G71" s="139"/>
      <c r="H71" s="118" t="s">
        <v>344</v>
      </c>
      <c r="I71" s="118" t="s">
        <v>386</v>
      </c>
      <c r="J71" s="118" t="str">
        <f>AD71&amp;"::"&amp;AE71</f>
        <v>Канализационные сети::км</v>
      </c>
      <c r="K71" s="1331"/>
      <c r="L71" s="118" t="s">
        <v>50</v>
      </c>
      <c r="M71" s="1331"/>
      <c r="N71" s="1331"/>
      <c r="O71" s="1331"/>
      <c r="P71" s="118" t="s">
        <v>396</v>
      </c>
      <c r="Q71" s="118" t="s">
        <v>397</v>
      </c>
      <c r="R71" s="1331"/>
      <c r="S71" s="1331"/>
      <c r="T71" s="1331"/>
      <c r="U71" s="1331"/>
      <c r="V71" s="468" cm="1" t="str">
        <f t="array" ref="V71:V71">V70</f>
        <v>true</v>
      </c>
      <c r="W71" s="1331"/>
      <c r="X71" s="1331"/>
      <c r="Y71" s="1331"/>
      <c r="Z71" s="1528"/>
      <c r="AA71" s="1529"/>
      <c r="AB71" s="1331"/>
      <c r="AC71" s="180">
        <f>AC70+1</f>
        <v>3</v>
      </c>
      <c r="AD71" s="178" t="s">
        <v>405</v>
      </c>
      <c r="AE71" s="119" t="s">
        <v>399</v>
      </c>
      <c r="AF71" s="137">
        <v>36.87</v>
      </c>
      <c r="AG71" s="137">
        <v>36.87</v>
      </c>
      <c r="AH71" s="137">
        <v>39.86</v>
      </c>
      <c r="AI71" s="137">
        <v>38.809</v>
      </c>
      <c r="AJ71" s="185" t="s">
        <v>417</v>
      </c>
      <c r="AK71" s="1331"/>
      <c r="AL71" s="1331"/>
      <c r="AM71" s="1005" t="s">
        <v>406</v>
      </c>
      <c r="AN71" s="1005"/>
      <c r="AO71" s="1005"/>
      <c r="AP71" s="1005"/>
      <c r="AQ71" s="623"/>
      <c r="AR71" s="623"/>
      <c r="AS71" s="1331"/>
      <c r="AT71" s="1331"/>
      <c r="AU71" s="1331"/>
      <c r="AV71" s="1331"/>
      <c r="AW71" s="1331"/>
      <c r="AX71" s="1331"/>
      <c r="AY71" s="1331"/>
      <c r="AZ71" s="1331"/>
      <c r="BA71" s="1331"/>
      <c r="BB71" s="1331"/>
      <c r="BC71" s="1331"/>
      <c r="BD71" s="1331"/>
      <c r="BE71" s="1331"/>
    </row>
    <row s="1029" customFormat="1" customHeight="1" ht="14.25" hidden="1">
      <c r="A72" s="1029"/>
      <c r="B72" s="430"/>
      <c r="C72" s="1029"/>
      <c r="D72" s="1029"/>
      <c r="E72" s="642">
        <v>15</v>
      </c>
      <c r="F72" s="139" cm="1" t="str">
        <f t="array" ref="F72:F72">OFFSET(E72,-1,1)</f>
        <v>3</v>
      </c>
      <c r="G72" s="139"/>
      <c r="H72" s="120" t="s">
        <v>344</v>
      </c>
      <c r="I72" s="120" t="s">
        <v>386</v>
      </c>
      <c r="J72" s="120" t="str">
        <f>AD72&amp;"::"&amp;AE72</f>
        <v>::</v>
      </c>
      <c r="K72" s="1029"/>
      <c r="L72" s="1029"/>
      <c r="M72" s="1029"/>
      <c r="N72" s="1029"/>
      <c r="O72" s="1029"/>
      <c r="P72" s="1029"/>
      <c r="Q72" s="1029"/>
      <c r="R72" s="1029"/>
      <c r="S72" s="1029"/>
      <c r="T72" s="1029"/>
      <c r="U72" s="118">
        <v>0</v>
      </c>
      <c r="V72" s="468">
        <f>AND(F72&gt;0,U72&gt;0)</f>
        <v>0</v>
      </c>
      <c r="W72" s="1029"/>
      <c r="X72" s="1029"/>
      <c r="Y72" s="764" t="s">
        <v>173</v>
      </c>
      <c r="Z72" s="1528"/>
      <c r="AA72" s="1529"/>
      <c r="AB72" s="422" t="s">
        <v>174</v>
      </c>
      <c r="AC72" s="180">
        <f>IF(OFFSET(C72,-8-U72,-1),5,IF(OFFSET(C72,-3-U72,-1),3,2))+U72</f>
        <v>3</v>
      </c>
      <c r="AD72" s="1820"/>
      <c r="AE72" s="1821"/>
      <c r="AF72" s="1822"/>
      <c r="AG72" s="1822"/>
      <c r="AH72" s="1822"/>
      <c r="AI72" s="1822"/>
      <c r="AJ72" s="1823"/>
      <c r="AK72" s="1029"/>
      <c r="AL72" s="1029"/>
      <c r="AM72" s="1013" t="s">
        <v>407</v>
      </c>
      <c r="AN72" s="1013" t="s">
        <v>408</v>
      </c>
      <c r="AO72" s="1016" cm="1" t="str">
        <f t="array" ref="AO72:AO72">AD72</f>
        <v>0</v>
      </c>
      <c r="AP72" s="1016" cm="1" t="str">
        <f t="array" ref="AP72:AP72">AE72</f>
        <v>0</v>
      </c>
      <c r="AQ72" s="698"/>
      <c r="AR72" s="698" t="b">
        <v>1</v>
      </c>
      <c r="AS72" s="1029"/>
      <c r="AT72" s="1029"/>
      <c r="AU72" s="1029"/>
      <c r="AV72" s="1029"/>
      <c r="AW72" s="1029"/>
      <c r="AX72" s="1029"/>
      <c r="AY72" s="1029"/>
      <c r="AZ72" s="1029"/>
      <c r="BA72" s="1029"/>
      <c r="BB72" s="1029"/>
      <c r="BC72" s="1029"/>
      <c r="BD72" s="1029"/>
      <c r="BE72" s="1029"/>
    </row>
    <row s="541" customFormat="1" customHeight="1" ht="14.25">
      <c r="A73" s="1331"/>
      <c r="B73" s="430"/>
      <c r="C73" s="1331"/>
      <c r="D73" s="1331"/>
      <c r="E73" s="634">
        <v>15</v>
      </c>
      <c r="F73" s="139" cm="1" t="str">
        <f t="array" ref="F73:F73">OFFSET(E73,-1,1)</f>
        <v>3</v>
      </c>
      <c r="G73" s="139"/>
      <c r="H73" s="1331"/>
      <c r="I73" s="1331"/>
      <c r="J73" s="117" t="s">
        <v>409</v>
      </c>
      <c r="K73" s="1331"/>
      <c r="L73" s="1331"/>
      <c r="M73" s="1331"/>
      <c r="N73" s="1331"/>
      <c r="O73" s="1331"/>
      <c r="P73" s="1331"/>
      <c r="Q73" s="1331"/>
      <c r="R73" s="1331"/>
      <c r="S73" s="1331"/>
      <c r="T73" s="1331"/>
      <c r="U73" s="1331"/>
      <c r="V73" s="468" cm="1" t="str">
        <f t="array" ref="V73:V73">V71</f>
        <v>true</v>
      </c>
      <c r="W73" s="1331"/>
      <c r="X73" s="1331"/>
      <c r="Y73" s="764" t="s">
        <v>410</v>
      </c>
      <c r="Z73" s="1528"/>
      <c r="AA73" s="1529"/>
      <c r="AB73" s="1331"/>
      <c r="AC73" s="171"/>
      <c r="AD73" s="304" t="s">
        <v>177</v>
      </c>
      <c r="AE73" s="172"/>
      <c r="AF73" s="172"/>
      <c r="AG73" s="172"/>
      <c r="AH73" s="172"/>
      <c r="AI73" s="172"/>
      <c r="AJ73" s="183"/>
      <c r="AK73" s="1331"/>
      <c r="AL73" s="1331"/>
      <c r="AM73" s="1005"/>
      <c r="AN73" s="1005"/>
      <c r="AO73" s="1005"/>
      <c r="AP73" s="1005"/>
      <c r="AQ73" s="623" t="s">
        <v>408</v>
      </c>
      <c r="AR73" s="623"/>
      <c r="AS73" s="1331"/>
      <c r="AT73" s="1331"/>
      <c r="AU73" s="1331"/>
      <c r="AV73" s="1331"/>
      <c r="AW73" s="1331"/>
      <c r="AX73" s="1331"/>
      <c r="AY73" s="1331"/>
      <c r="AZ73" s="1331"/>
      <c r="BA73" s="1331"/>
      <c r="BB73" s="1331"/>
      <c r="BC73" s="1331"/>
      <c r="BD73" s="1331"/>
      <c r="BE73" s="1331"/>
    </row>
    <row s="541" customFormat="1" customHeight="1" ht="86.25">
      <c r="A74" s="1331"/>
      <c r="B74" s="430"/>
      <c r="C74" s="1331"/>
      <c r="D74" s="1331"/>
      <c r="E74" s="634">
        <v>15</v>
      </c>
      <c r="F74" s="139" cm="1" t="str">
        <f t="array" ref="F74:F74">OFFSET(E74,-1,1)</f>
        <v>3</v>
      </c>
      <c r="G74" s="139"/>
      <c r="H74" s="118" t="s">
        <v>345</v>
      </c>
      <c r="I74" s="118" t="s">
        <v>386</v>
      </c>
      <c r="J74" s="365" cm="1" t="str">
        <f t="array" ref="J74:J74">AD74</f>
        <v>Краткое описание технологического процесса</v>
      </c>
      <c r="K74" s="1331"/>
      <c r="L74" s="1331"/>
      <c r="M74" s="1331"/>
      <c r="N74" s="1331"/>
      <c r="O74" s="1331"/>
      <c r="P74" s="1331"/>
      <c r="Q74" s="1331"/>
      <c r="R74" s="1331"/>
      <c r="S74" s="1331"/>
      <c r="T74" s="1331"/>
      <c r="U74" s="1331"/>
      <c r="V74" s="468" cm="1" t="str">
        <f t="array" ref="V74:V74">V73</f>
        <v>true</v>
      </c>
      <c r="W74" s="1331"/>
      <c r="X74" s="1331"/>
      <c r="Y74" s="1331"/>
      <c r="Z74" s="1528"/>
      <c r="AA74" s="1529"/>
      <c r="AB74" s="1331"/>
      <c r="AC74" s="180"/>
      <c r="AD74" s="178" t="s">
        <v>411</v>
      </c>
      <c r="AE74" s="119"/>
      <c r="AF74" s="1530" t="s">
        <v>418</v>
      </c>
      <c r="AG74" s="1531"/>
      <c r="AH74" s="1531"/>
      <c r="AI74" s="1531"/>
      <c r="AJ74" s="1532"/>
      <c r="AK74" s="1331"/>
      <c r="AL74" s="1331"/>
      <c r="AM74" s="1005" t="s">
        <v>412</v>
      </c>
      <c r="AN74" s="1005"/>
      <c r="AO74" s="1005"/>
      <c r="AP74" s="1005"/>
      <c r="AQ74" s="623"/>
      <c r="AR74" s="623"/>
      <c r="AS74" s="1331"/>
      <c r="AT74" s="1331"/>
      <c r="AU74" s="1331"/>
      <c r="AV74" s="1331"/>
      <c r="AW74" s="1331"/>
      <c r="AX74" s="1331"/>
      <c r="AY74" s="1331"/>
      <c r="AZ74" s="1331"/>
      <c r="BA74" s="1331"/>
      <c r="BB74" s="1331"/>
      <c r="BC74" s="1331"/>
      <c r="BD74" s="1331"/>
      <c r="BE74" s="1331"/>
    </row>
    <row s="1331" customFormat="1" customHeight="1" ht="14.625">
      <c r="B75" s="430"/>
      <c r="E75" s="634">
        <v>15</v>
      </c>
      <c r="F75" s="365"/>
      <c r="G75" s="365"/>
      <c r="J75" s="365"/>
      <c r="W75" s="118" t="s">
        <v>177</v>
      </c>
      <c r="X75" s="136" t="s">
        <v>419</v>
      </c>
      <c r="Z75" s="94"/>
      <c r="AC75" s="515"/>
      <c r="AD75" s="110"/>
      <c r="AE75" s="516"/>
      <c r="AF75" s="956"/>
      <c r="AG75" s="956"/>
      <c r="AH75" s="956"/>
      <c r="AI75" s="956"/>
      <c r="AJ75" s="956"/>
      <c r="AM75" s="1005"/>
      <c r="AN75" s="1005"/>
      <c r="AO75" s="1005"/>
      <c r="AP75" s="1005"/>
      <c r="AQ75" s="623"/>
      <c r="AR75" s="623"/>
    </row>
    <row s="1328" customFormat="1" customHeight="1" ht="11.700000000000001">
      <c r="B76" s="514"/>
      <c r="E76" s="639">
        <v>12</v>
      </c>
      <c r="Q76" s="485"/>
      <c r="R76" s="485"/>
      <c r="S76" s="485"/>
      <c r="T76" s="485"/>
      <c r="U76" s="492"/>
      <c r="V76" s="492"/>
      <c r="W76" s="507"/>
      <c r="X76" s="492"/>
      <c r="Y76" s="492"/>
      <c r="Z76" s="492"/>
      <c r="AA76" s="492"/>
      <c r="AB76" s="492"/>
      <c r="AC76" s="1533" t="s">
        <v>420</v>
      </c>
      <c r="AD76" s="1534"/>
      <c r="AE76" s="1534"/>
      <c r="AF76" s="1534"/>
      <c r="AG76" s="1534"/>
      <c r="AH76" s="1534"/>
      <c r="AI76" s="1534"/>
      <c r="AJ76" s="1535"/>
      <c r="AK76" s="81"/>
      <c r="AL76" s="81"/>
      <c r="AM76" s="1014"/>
      <c r="AN76" s="1014"/>
      <c r="AO76" s="1014"/>
      <c r="AP76" s="1014"/>
      <c r="AQ76" s="681"/>
      <c r="AR76" s="681"/>
      <c r="AS76" s="81"/>
      <c r="AT76" s="81"/>
      <c r="AU76" s="81"/>
      <c r="AV76" s="81"/>
      <c r="AW76" s="81"/>
      <c r="AX76" s="81"/>
      <c r="AY76" s="81"/>
      <c r="AZ76" s="81"/>
      <c r="BA76" s="81"/>
      <c r="BB76" s="81"/>
      <c r="BC76" s="81"/>
      <c r="BD76" s="81"/>
      <c r="BE76" s="492"/>
    </row>
    <row s="1328" customFormat="1" customHeight="1" ht="14.625">
      <c r="B77" s="429"/>
      <c r="E77" s="637">
        <v>15</v>
      </c>
      <c r="Q77" s="417"/>
      <c r="R77" s="417"/>
      <c r="S77" s="417"/>
      <c r="T77" s="417"/>
      <c r="U77" s="492"/>
      <c r="V77" s="492"/>
      <c r="W77" s="507"/>
      <c r="X77" s="492"/>
      <c r="Y77" s="492"/>
      <c r="Z77" s="492"/>
      <c r="AA77" s="492"/>
      <c r="AB77" s="667"/>
      <c r="AC77" s="1536"/>
      <c r="AD77" s="1537"/>
      <c r="AE77" s="1537"/>
      <c r="AF77" s="1537"/>
      <c r="AG77" s="1537"/>
      <c r="AH77" s="1537"/>
      <c r="AI77" s="1537"/>
      <c r="AJ77" s="1538"/>
      <c r="AK77" s="81"/>
      <c r="AL77" s="81"/>
      <c r="AM77" s="1014"/>
      <c r="AN77" s="1014"/>
      <c r="AO77" s="1014"/>
      <c r="AP77" s="1014"/>
      <c r="AQ77" s="681"/>
      <c r="AR77" s="681"/>
      <c r="AS77" s="81"/>
      <c r="AT77" s="81"/>
      <c r="AU77" s="81"/>
      <c r="AV77" s="81"/>
      <c r="AW77" s="81"/>
      <c r="AX77" s="81"/>
      <c r="AY77" s="81"/>
      <c r="AZ77" s="81"/>
      <c r="BA77" s="81"/>
      <c r="BB77" s="81"/>
      <c r="BC77" s="81"/>
      <c r="BD77" s="81"/>
      <c r="BE77" s="492"/>
    </row>
    <row s="1328" customFormat="1" customHeight="1" ht="14.625" hidden="1">
      <c r="A78" s="1328"/>
      <c r="B78" s="429"/>
      <c r="C78" s="1328"/>
      <c r="D78" s="1328"/>
      <c r="E78" s="637">
        <v>15</v>
      </c>
      <c r="F78" s="1328"/>
      <c r="G78" s="1328"/>
      <c r="H78" s="1328"/>
      <c r="I78" s="1328"/>
      <c r="J78" s="1328"/>
      <c r="K78" s="1328"/>
      <c r="L78" s="1328"/>
      <c r="M78" s="1328"/>
      <c r="N78" s="1328"/>
      <c r="O78" s="1328"/>
      <c r="P78" s="1328"/>
      <c r="Q78" s="417"/>
      <c r="R78" s="417"/>
      <c r="S78" s="417"/>
      <c r="T78" s="417"/>
      <c r="U78" s="1328"/>
      <c r="V78" s="468">
        <f>ROW(Y78)&gt;ROW(X$78)</f>
        <v>0</v>
      </c>
      <c r="W78" s="507"/>
      <c r="X78" s="1328"/>
      <c r="Y78" s="764" t="s">
        <v>173</v>
      </c>
      <c r="Z78" s="492"/>
      <c r="AA78" s="492"/>
      <c r="AB78" s="668" t="s">
        <v>174</v>
      </c>
      <c r="AC78" s="1869"/>
      <c r="AD78" s="1870"/>
      <c r="AE78" s="1870"/>
      <c r="AF78" s="1870"/>
      <c r="AG78" s="1870"/>
      <c r="AH78" s="1870"/>
      <c r="AI78" s="1870"/>
      <c r="AJ78" s="1871"/>
      <c r="AK78" s="81"/>
      <c r="AL78" s="81"/>
      <c r="AM78" s="1014"/>
      <c r="AN78" s="1014"/>
      <c r="AO78" s="1014"/>
      <c r="AP78" s="1014"/>
      <c r="AQ78" s="681"/>
      <c r="AR78" s="681"/>
      <c r="AS78" s="81"/>
      <c r="AT78" s="81"/>
      <c r="AU78" s="81"/>
      <c r="AV78" s="81"/>
      <c r="AW78" s="81"/>
      <c r="AX78" s="81"/>
      <c r="AY78" s="81"/>
      <c r="AZ78" s="81"/>
      <c r="BA78" s="81"/>
      <c r="BB78" s="81"/>
      <c r="BC78" s="81"/>
      <c r="BD78" s="81"/>
      <c r="BE78" s="492"/>
    </row>
    <row s="1328" customFormat="1" customHeight="1" ht="14.625">
      <c r="B79" s="429"/>
      <c r="E79" s="637">
        <v>15</v>
      </c>
      <c r="Q79" s="417"/>
      <c r="R79" s="417"/>
      <c r="S79" s="417"/>
      <c r="T79" s="417"/>
      <c r="U79" s="492"/>
      <c r="V79" s="492"/>
      <c r="W79" s="492"/>
      <c r="Y79" s="764" t="s">
        <v>421</v>
      </c>
      <c r="Z79" s="492"/>
      <c r="AA79" s="492"/>
      <c r="AB79" s="492"/>
      <c r="AC79" s="653"/>
      <c r="AD79" s="174" t="s">
        <v>422</v>
      </c>
      <c r="AE79" s="508"/>
      <c r="AF79" s="509"/>
      <c r="AG79" s="509"/>
      <c r="AH79" s="509"/>
      <c r="AI79" s="509"/>
      <c r="AJ79" s="670"/>
      <c r="AK79" s="81"/>
      <c r="AL79" s="81"/>
      <c r="AM79" s="1014"/>
      <c r="AN79" s="1014"/>
      <c r="AO79" s="1014"/>
      <c r="AP79" s="1014"/>
      <c r="AQ79" s="681"/>
      <c r="AR79" s="681"/>
      <c r="AS79" s="81"/>
      <c r="AT79" s="81"/>
      <c r="AU79" s="81"/>
      <c r="AV79" s="81"/>
      <c r="AW79" s="81"/>
      <c r="AX79" s="81"/>
      <c r="AY79" s="81"/>
      <c r="AZ79" s="81"/>
      <c r="BA79" s="81"/>
      <c r="BB79" s="81"/>
      <c r="BC79" s="81"/>
      <c r="BD79" s="81"/>
      <c r="BE79" s="492"/>
    </row>
    <row s="1656" customFormat="1" customHeight="1" ht="11.25">
      <c r="B80" s="664"/>
      <c r="E80" s="641"/>
      <c r="F80" s="81"/>
      <c r="G80" s="81"/>
      <c r="H80" s="81"/>
      <c r="I80" s="81"/>
      <c r="J80" s="81"/>
      <c r="AD80" s="96"/>
      <c r="AE80" s="96"/>
      <c r="AF80" s="96"/>
      <c r="AG80" s="96"/>
      <c r="AK80" s="0"/>
      <c r="AM80" s="1012"/>
      <c r="AN80" s="1012"/>
      <c r="AO80" s="1012"/>
      <c r="AP80" s="1012"/>
      <c r="AQ80" s="629"/>
      <c r="AR80" s="1015"/>
    </row>
    <row s="1656" customFormat="1" customHeight="1" ht="11.25" hidden="1">
      <c r="B81" s="664"/>
      <c r="E81" s="641"/>
      <c r="F81" s="81"/>
      <c r="G81" s="81"/>
      <c r="H81" s="81"/>
      <c r="I81" s="81"/>
      <c r="J81" s="81"/>
      <c r="AD81" s="96"/>
      <c r="AE81" s="96"/>
      <c r="AF81" s="96"/>
      <c r="AG81" s="96"/>
      <c r="AM81" s="1012"/>
      <c r="AN81" s="1012"/>
      <c r="AO81" s="1012"/>
      <c r="AP81" s="1012"/>
      <c r="AQ81" s="629"/>
      <c r="AR81" s="1015"/>
    </row>
  </sheetData>
  <sheetProtection formatColumns="0" formatRows="0" insertRows="0" deleteColumns="0" deleteRows="0" sort="0" autoFilter="0" insertColumns="1"/>
  <mergeCells count="21">
    <mergeCell ref="Z27:Z38"/>
    <mergeCell ref="AA27:AA38"/>
    <mergeCell ref="AF38:AJ38"/>
    <mergeCell ref="AC76:AJ76"/>
    <mergeCell ref="AC77:AJ77"/>
    <mergeCell ref="AC78:AJ78"/>
    <mergeCell ref="AC22:AJ22"/>
    <mergeCell ref="AG23:AH23"/>
    <mergeCell ref="AC24:AC25"/>
    <mergeCell ref="AD24:AD25"/>
    <mergeCell ref="AE24:AE25"/>
    <mergeCell ref="AJ24:AJ25"/>
    <mergeCell ref="Z39:Z50"/>
    <mergeCell ref="AA39:AA50"/>
    <mergeCell ref="AF50:AJ50"/>
    <mergeCell ref="Z51:Z62"/>
    <mergeCell ref="AA51:AA62"/>
    <mergeCell ref="AF62:AJ62"/>
    <mergeCell ref="Z63:Z74"/>
    <mergeCell ref="AA63:AA74"/>
    <mergeCell ref="AF74:AJ74"/>
  </mergeCells>
  <dataValidations count="2">
    <dataValidation type="whole" allowBlank="1" showErrorMessage="1" errorTitle="Ошибка" error="Допускается ввод только неотрицательных целых чисел!" sqref="AF33:AI34 AF28:AI31 AF40 AG40 AH40 AI40 AF41 AG41 AH41 AI41 AF42 AG42 AH42 AI42 AF43 AG43 AH43 AI43 AF45 AG45 AH45 AI45 AF46 AG46 AH46 AI46 AF52 AG52 AH52 AI52 AF53 AG53 AH53 AI53 AF54 AG54 AH54 AI54 AF55 AG55 AH55 AI55 AF57 AG57 AH57 AI57 AF58 AG58 AH58 AI58 AF64 AG64 AH64 AI64 AF65 AG65 AH65 AI65 AF66 AG66 AH66 AI66 AF67 AG67 AH67 AI67 AF69 AG69 AH69 AI69 AF70 AG70 AH70 AI70">
      <formula1>0</formula1>
      <formula2>9.99999999999999E+23</formula2>
    </dataValidation>
    <dataValidation type="decimal" allowBlank="1" showErrorMessage="1" errorTitle="Ошибка" error="Допускается ввод только неотрицательных чисел!" sqref="AF32:AI32 AF35:AI36 AF44 AG44 AH44 AI44 AF47 AG47 AH47 AI47 AF48 AG48 AH48 AI48 AF56 AG56 AH56 AI56 AF59 AG59 AH59 AI59 AF60 AG60 AH60 AI60 AF68 AG68 AH68 AI68 AF71 AG71 AH71 AI71 AF72 AG72 AH72 AI72">
      <formula1>0</formula1>
      <formula2>9.99999999999999E+23</formula2>
    </dataValidation>
  </dataValidations>
  <pageMargins left="0.35" right="0.35" top="0.40" bottom="0.40" header="0.51" footer="0.51"/>
  <pageSetup paperSize="9" scale="32" fitToHeight="0"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D8FD018-6CF8-30D8-8C88-CE3EDA481768}" mc:Ignorable="x14ac xr xr2 xr3">
  <sheetPr>
    <tabColor theme="3" tint="0.6"/>
    <outlinePr summaryRight="0" summaryBelow="0"/>
    <pageSetUpPr fitToPage="1"/>
  </sheetPr>
  <dimension ref="A1:AS104"/>
  <sheetViews>
    <sheetView showGridLines="0" workbookViewId="0">
      <pane xSplit="29" ySplit="24" topLeftCell="AD68" activePane="bottomRight" state="frozen"/>
      <selection pane="bottomLeft" activeCell="A25" sqref="A25"/>
      <selection pane="topRight" activeCell="AD1" sqref="AD1"/>
      <selection pane="bottomRight" activeCell="AC81" sqref="AC81"/>
    </sheetView>
  </sheetViews>
  <sheetFormatPr defaultColWidth="8.7109375" customHeight="1" defaultRowHeight="11.25"/>
  <cols>
    <col min="1" max="1" style="573" width="3.57421875" hidden="1" customWidth="1"/>
    <col min="2" max="2" style="1191" width="8.57421875" hidden="1" customWidth="1"/>
    <col min="3" max="4" style="573" width="3.57421875" hidden="1" customWidth="1"/>
    <col min="5" max="5" style="883" width="3.57421875" hidden="1" customWidth="1"/>
    <col min="6" max="6" style="573" width="4.00390625" hidden="1" customWidth="1"/>
    <col min="7" max="8" style="573" width="3.57421875" hidden="1" customWidth="1"/>
    <col min="9" max="9" style="573" width="12.421875" hidden="1" customWidth="1"/>
    <col min="10" max="18" style="573" width="3.57421875" hidden="1" customWidth="1"/>
    <col min="19" max="19" style="1308" width="3.57421875" hidden="1" customWidth="1"/>
    <col min="20" max="20" style="1308" width="6.140625" hidden="1" customWidth="1"/>
    <col min="21" max="21" style="1308" width="10.140625" hidden="1" customWidth="1"/>
    <col min="22" max="22" style="1308" width="5.8515625" hidden="1" customWidth="1"/>
    <col min="23" max="24" style="1308" width="6.140625" hidden="1" customWidth="1"/>
    <col min="25" max="25" style="1308" width="5.57421875" hidden="1" customWidth="1"/>
    <col min="26" max="26" style="1308" width="5.28125" hidden="1" customWidth="1"/>
    <col min="27" max="27" style="573" width="3.00390625" customWidth="1"/>
    <col min="28" max="28" style="110" width="11.00390625" customWidth="1"/>
    <col min="29" max="29" style="110" width="70.00390625" customWidth="1"/>
    <col min="30" max="30" style="110" width="15.00390625" customWidth="1"/>
    <col min="31" max="31" style="110" width="20.00390625" customWidth="1"/>
    <col min="32" max="32" style="116" width="20.00390625" customWidth="1"/>
    <col min="33" max="34" style="110" width="20.00390625" customWidth="1"/>
    <col min="35" max="35" style="573" width="3.00390625" customWidth="1"/>
    <col min="36" max="36" style="573" width="8.7109375" hidden="1"/>
    <col min="37" max="43" style="1002" width="8.7109375" hidden="1"/>
    <col min="44" max="44" style="971" width="8.7109375" hidden="1"/>
    <col min="45" max="45" style="632" width="8.7109375" hidden="1"/>
  </cols>
  <sheetData>
    <row s="573" customFormat="1" customHeight="1" ht="11.25" hidden="1">
      <c r="B1" s="431"/>
      <c r="E1" s="874"/>
      <c r="F1" s="144" t="s">
        <v>333</v>
      </c>
      <c r="S1" s="968"/>
      <c r="T1" s="968"/>
      <c r="U1" s="468" t="s">
        <v>93</v>
      </c>
      <c r="V1" s="468" t="s">
        <v>98</v>
      </c>
      <c r="W1" s="468" t="s">
        <v>94</v>
      </c>
      <c r="X1" s="468" t="s">
        <v>95</v>
      </c>
      <c r="Y1" s="468" t="s">
        <v>96</v>
      </c>
      <c r="Z1" s="468" t="s">
        <v>100</v>
      </c>
      <c r="AA1" s="470" t="s">
        <v>97</v>
      </c>
      <c r="AB1" s="470" t="s">
        <v>335</v>
      </c>
      <c r="AC1" s="470" t="s">
        <v>99</v>
      </c>
      <c r="AF1" s="200"/>
      <c r="AK1" s="996" t="s">
        <v>336</v>
      </c>
      <c r="AL1" s="1000" t="s">
        <v>337</v>
      </c>
      <c r="AM1" s="1000" t="s">
        <v>338</v>
      </c>
      <c r="AN1" s="1000" t="s">
        <v>423</v>
      </c>
      <c r="AO1" s="1000" t="s">
        <v>424</v>
      </c>
      <c r="AP1" s="1000" t="s">
        <v>425</v>
      </c>
      <c r="AQ1" s="1000" t="s">
        <v>426</v>
      </c>
      <c r="AR1" s="262" t="s">
        <v>341</v>
      </c>
      <c r="AS1" s="262" t="s">
        <v>342</v>
      </c>
    </row>
    <row s="1191" customFormat="1" customHeight="1" ht="11.25" hidden="1">
      <c r="B2" s="969" t="s">
        <v>19</v>
      </c>
      <c r="S2" s="661"/>
      <c r="T2" s="661"/>
      <c r="U2" s="661"/>
      <c r="V2" s="661"/>
      <c r="W2" s="661"/>
      <c r="X2" s="661"/>
      <c r="Y2" s="661"/>
      <c r="Z2" s="661"/>
      <c r="AK2" s="1001"/>
      <c r="AL2" s="1001"/>
      <c r="AM2" s="1001"/>
      <c r="AN2" s="1001"/>
      <c r="AO2" s="1001"/>
      <c r="AP2" s="1001"/>
      <c r="AQ2" s="1001"/>
      <c r="AR2" s="1010"/>
      <c r="AS2" s="1010"/>
    </row>
    <row s="573" customFormat="1" customHeight="1" ht="11.25" hidden="1">
      <c r="B3" s="431"/>
      <c r="E3" s="874"/>
      <c r="S3" s="968"/>
      <c r="T3" s="968"/>
      <c r="U3" s="968"/>
      <c r="V3" s="968"/>
      <c r="W3" s="968"/>
      <c r="X3" s="968"/>
      <c r="Y3" s="968"/>
      <c r="Z3" s="968"/>
      <c r="AF3" s="200"/>
      <c r="AK3" s="1002"/>
      <c r="AL3" s="1002"/>
      <c r="AM3" s="1002"/>
      <c r="AN3" s="1002"/>
      <c r="AO3" s="1002"/>
      <c r="AP3" s="1002"/>
      <c r="AQ3" s="1002"/>
      <c r="AR3" s="971"/>
      <c r="AS3" s="971"/>
    </row>
    <row s="573" customFormat="1" customHeight="1" ht="11.25" hidden="1">
      <c r="B4" s="431"/>
      <c r="E4" s="874"/>
      <c r="S4" s="968"/>
      <c r="T4" s="968"/>
      <c r="U4" s="968"/>
      <c r="V4" s="968"/>
      <c r="W4" s="968"/>
      <c r="X4" s="968"/>
      <c r="Y4" s="968"/>
      <c r="Z4" s="968"/>
      <c r="AF4" s="200"/>
      <c r="AK4" s="1002"/>
      <c r="AL4" s="1002"/>
      <c r="AM4" s="1002"/>
      <c r="AN4" s="1002"/>
      <c r="AO4" s="1002"/>
      <c r="AP4" s="1002"/>
      <c r="AQ4" s="1002"/>
      <c r="AR4" s="971"/>
      <c r="AS4" s="971"/>
    </row>
    <row s="883" customFormat="1" customHeight="1" ht="11.25" hidden="1">
      <c r="A5" s="874"/>
      <c r="B5" s="431"/>
      <c r="C5" s="874"/>
      <c r="D5" s="874"/>
      <c r="E5" s="875" t="s">
        <v>20</v>
      </c>
      <c r="S5" s="998"/>
      <c r="T5" s="998"/>
      <c r="U5" s="998"/>
      <c r="V5" s="998"/>
      <c r="W5" s="998"/>
      <c r="X5" s="998"/>
      <c r="Y5" s="998"/>
      <c r="Z5" s="998"/>
      <c r="AA5" s="626">
        <v>3</v>
      </c>
      <c r="AB5" s="626">
        <v>11</v>
      </c>
      <c r="AC5" s="626">
        <v>70</v>
      </c>
      <c r="AD5" s="626">
        <v>15</v>
      </c>
      <c r="AE5" s="626">
        <v>20</v>
      </c>
      <c r="AF5" s="626">
        <v>20</v>
      </c>
      <c r="AG5" s="626">
        <v>20</v>
      </c>
      <c r="AH5" s="626">
        <v>20</v>
      </c>
      <c r="AI5" s="875">
        <v>3</v>
      </c>
      <c r="AK5" s="1003"/>
      <c r="AL5" s="1003"/>
      <c r="AM5" s="1003"/>
      <c r="AN5" s="1003"/>
      <c r="AO5" s="1003"/>
      <c r="AP5" s="1003"/>
      <c r="AQ5" s="1003"/>
    </row>
    <row s="573" customFormat="1" customHeight="1" ht="11.25" hidden="1">
      <c r="B6" s="431"/>
      <c r="E6" s="875"/>
      <c r="S6" s="968"/>
      <c r="T6" s="968"/>
      <c r="U6" s="968"/>
      <c r="V6" s="968"/>
      <c r="W6" s="968"/>
      <c r="X6" s="968"/>
      <c r="Y6" s="968"/>
      <c r="Z6" s="968"/>
      <c r="AK6" s="1002"/>
      <c r="AL6" s="1002"/>
      <c r="AM6" s="1002"/>
      <c r="AN6" s="1002"/>
      <c r="AO6" s="1002"/>
      <c r="AP6" s="1002"/>
      <c r="AQ6" s="1002"/>
      <c r="AR6" s="971"/>
      <c r="AS6" s="971"/>
    </row>
    <row s="573" customFormat="1" customHeight="1" ht="11.25" hidden="1">
      <c r="B7" s="431"/>
      <c r="E7" s="875"/>
      <c r="S7" s="968"/>
      <c r="T7" s="968"/>
      <c r="U7" s="968"/>
      <c r="V7" s="968"/>
      <c r="W7" s="968"/>
      <c r="X7" s="968"/>
      <c r="Y7" s="968"/>
      <c r="Z7" s="968"/>
      <c r="AE7" s="369"/>
      <c r="AF7" s="369"/>
      <c r="AG7" s="370"/>
      <c r="AH7" s="370"/>
      <c r="AK7" s="1002"/>
      <c r="AL7" s="1002"/>
      <c r="AM7" s="1002"/>
      <c r="AN7" s="1002"/>
      <c r="AO7" s="1002"/>
      <c r="AP7" s="1002"/>
      <c r="AQ7" s="1002"/>
      <c r="AR7" s="971"/>
      <c r="AS7" s="971"/>
    </row>
    <row s="573" customFormat="1" customHeight="1" ht="11.25" hidden="1">
      <c r="B8" s="431"/>
      <c r="E8" s="875"/>
      <c r="S8" s="968"/>
      <c r="T8" s="968"/>
      <c r="U8" s="968"/>
      <c r="V8" s="968"/>
      <c r="W8" s="968"/>
      <c r="X8" s="968"/>
      <c r="Y8" s="968"/>
      <c r="Z8" s="968"/>
      <c r="AF8" s="200"/>
      <c r="AK8" s="1002"/>
      <c r="AL8" s="1002"/>
      <c r="AM8" s="1002"/>
      <c r="AN8" s="1002"/>
      <c r="AO8" s="1002"/>
      <c r="AP8" s="1002"/>
      <c r="AQ8" s="1002"/>
      <c r="AR8" s="971"/>
      <c r="AS8" s="971"/>
    </row>
    <row s="1002" customFormat="1" customHeight="1" ht="11.25" hidden="1">
      <c r="A9" s="996" t="s">
        <v>427</v>
      </c>
      <c r="B9" s="1001"/>
      <c r="E9" s="1003"/>
      <c r="S9" s="1004"/>
      <c r="T9" s="1004"/>
      <c r="U9" s="1004"/>
      <c r="V9" s="1004"/>
      <c r="W9" s="1004"/>
      <c r="X9" s="1004"/>
      <c r="Y9" s="1004"/>
      <c r="Z9" s="1004"/>
      <c r="AF9" s="1000"/>
      <c r="AH9" s="1002" cm="1" t="str">
        <f t="array" ref="AH9:AH9">AH24</f>
        <v>Срок действия</v>
      </c>
      <c r="AR9" s="971"/>
      <c r="AS9" s="971"/>
    </row>
    <row s="1002" customFormat="1" customHeight="1" ht="11.25" hidden="1">
      <c r="A10" s="996" t="s">
        <v>350</v>
      </c>
      <c r="B10" s="1001"/>
      <c r="E10" s="1003"/>
      <c r="S10" s="1004"/>
      <c r="T10" s="1004"/>
      <c r="U10" s="1004"/>
      <c r="V10" s="1004"/>
      <c r="W10" s="1004"/>
      <c r="X10" s="1004"/>
      <c r="Y10" s="1004"/>
      <c r="Z10" s="1004"/>
      <c r="AC10" s="997" t="s">
        <v>338</v>
      </c>
      <c r="AD10" s="997" t="s">
        <v>423</v>
      </c>
      <c r="AE10" s="997" t="s">
        <v>424</v>
      </c>
      <c r="AF10" s="997" t="s">
        <v>425</v>
      </c>
      <c r="AG10" s="997" t="s">
        <v>426</v>
      </c>
      <c r="AR10" s="971"/>
      <c r="AS10" s="971"/>
    </row>
    <row s="573" customFormat="1" customHeight="1" ht="11.25" hidden="1">
      <c r="B11" s="431"/>
      <c r="E11" s="875"/>
      <c r="S11" s="968"/>
      <c r="T11" s="968"/>
      <c r="U11" s="968"/>
      <c r="V11" s="968"/>
      <c r="W11" s="968"/>
      <c r="X11" s="968"/>
      <c r="Y11" s="968"/>
      <c r="Z11" s="968"/>
      <c r="AF11" s="200"/>
      <c r="AK11" s="1002"/>
      <c r="AL11" s="1002"/>
      <c r="AM11" s="1002"/>
      <c r="AN11" s="1002"/>
      <c r="AO11" s="1002"/>
      <c r="AP11" s="1002"/>
      <c r="AQ11" s="1002"/>
      <c r="AR11" s="971"/>
      <c r="AS11" s="971"/>
    </row>
    <row s="573" customFormat="1" customHeight="1" ht="11.25" hidden="1">
      <c r="B12" s="431"/>
      <c r="E12" s="875"/>
      <c r="S12" s="968"/>
      <c r="T12" s="968"/>
      <c r="U12" s="968"/>
      <c r="V12" s="968"/>
      <c r="W12" s="968"/>
      <c r="X12" s="968"/>
      <c r="Y12" s="968"/>
      <c r="Z12" s="968"/>
      <c r="AA12" s="968"/>
      <c r="AB12" s="968"/>
      <c r="AC12" s="999"/>
      <c r="AD12" s="999"/>
      <c r="AF12" s="200"/>
      <c r="AK12" s="1002"/>
      <c r="AL12" s="1002"/>
      <c r="AM12" s="1002"/>
      <c r="AN12" s="1002"/>
      <c r="AO12" s="1002"/>
      <c r="AP12" s="1002"/>
      <c r="AQ12" s="1002"/>
      <c r="AR12" s="971"/>
      <c r="AS12" s="971"/>
    </row>
    <row s="573" customFormat="1" customHeight="1" ht="11.25" hidden="1">
      <c r="B13" s="431"/>
      <c r="E13" s="875"/>
      <c r="S13" s="968"/>
      <c r="T13" s="968"/>
      <c r="U13" s="968"/>
      <c r="V13" s="968"/>
      <c r="W13" s="968"/>
      <c r="X13" s="968"/>
      <c r="Y13" s="968"/>
      <c r="Z13" s="968"/>
      <c r="AA13" s="968"/>
      <c r="AB13" s="968"/>
      <c r="AC13" s="999"/>
      <c r="AD13" s="999"/>
      <c r="AE13" s="999"/>
      <c r="AF13" s="999"/>
      <c r="AK13" s="1002"/>
      <c r="AL13" s="1002"/>
      <c r="AM13" s="1002"/>
      <c r="AN13" s="1002"/>
      <c r="AO13" s="1002"/>
      <c r="AP13" s="1002"/>
      <c r="AQ13" s="1002"/>
      <c r="AR13" s="971"/>
      <c r="AS13" s="971"/>
    </row>
    <row s="573" customFormat="1" customHeight="1" ht="11.25" hidden="1">
      <c r="B14" s="431"/>
      <c r="E14" s="875"/>
      <c r="S14" s="968"/>
      <c r="T14" s="968"/>
      <c r="U14" s="968"/>
      <c r="V14" s="968"/>
      <c r="W14" s="968"/>
      <c r="X14" s="968"/>
      <c r="Y14" s="968"/>
      <c r="Z14" s="968"/>
      <c r="AA14" s="968"/>
      <c r="AB14" s="968"/>
      <c r="AC14" s="999"/>
      <c r="AD14" s="999"/>
      <c r="AE14" s="999"/>
      <c r="AF14" s="999"/>
      <c r="AK14" s="1002"/>
      <c r="AL14" s="1002"/>
      <c r="AM14" s="1002"/>
      <c r="AN14" s="1002"/>
      <c r="AO14" s="1002"/>
      <c r="AP14" s="1002"/>
      <c r="AQ14" s="1002"/>
      <c r="AR14" s="971"/>
      <c r="AS14" s="971"/>
    </row>
    <row s="573" customFormat="1" customHeight="1" ht="11.25" hidden="1">
      <c r="B15" s="431"/>
      <c r="E15" s="875"/>
      <c r="S15" s="968"/>
      <c r="T15" s="968"/>
      <c r="U15" s="968"/>
      <c r="V15" s="968"/>
      <c r="W15" s="968"/>
      <c r="X15" s="968"/>
      <c r="Y15" s="968"/>
      <c r="Z15" s="968"/>
      <c r="AA15" s="968"/>
      <c r="AB15" s="968"/>
      <c r="AC15" s="999"/>
      <c r="AD15" s="999"/>
      <c r="AE15" s="999"/>
      <c r="AF15" s="999"/>
      <c r="AK15" s="1002"/>
      <c r="AL15" s="1002"/>
      <c r="AM15" s="1002"/>
      <c r="AN15" s="1002"/>
      <c r="AO15" s="1002"/>
      <c r="AP15" s="1002"/>
      <c r="AQ15" s="1002"/>
      <c r="AR15" s="971"/>
      <c r="AS15" s="971"/>
    </row>
    <row s="573" customFormat="1" customHeight="1" ht="11.25" hidden="1">
      <c r="B16" s="431"/>
      <c r="E16" s="875"/>
      <c r="S16" s="968"/>
      <c r="T16" s="968"/>
      <c r="U16" s="968"/>
      <c r="V16" s="968"/>
      <c r="W16" s="968"/>
      <c r="X16" s="968"/>
      <c r="Y16" s="968"/>
      <c r="Z16" s="968"/>
      <c r="AA16" s="968"/>
      <c r="AB16" s="968"/>
      <c r="AC16" s="999"/>
      <c r="AD16" s="999"/>
      <c r="AE16" s="999"/>
      <c r="AF16" s="999"/>
      <c r="AK16" s="1002"/>
      <c r="AL16" s="1002"/>
      <c r="AM16" s="1002"/>
      <c r="AN16" s="1002"/>
      <c r="AO16" s="1002"/>
      <c r="AP16" s="1002"/>
      <c r="AQ16" s="1002"/>
      <c r="AR16" s="971"/>
      <c r="AS16" s="971"/>
    </row>
    <row s="573" customFormat="1" customHeight="1" ht="11.25" hidden="1">
      <c r="B17" s="431"/>
      <c r="E17" s="875"/>
      <c r="S17" s="968"/>
      <c r="T17" s="968"/>
      <c r="U17" s="968"/>
      <c r="V17" s="968"/>
      <c r="W17" s="968"/>
      <c r="X17" s="968"/>
      <c r="Y17" s="968"/>
      <c r="Z17" s="968"/>
      <c r="AA17" s="968"/>
      <c r="AB17" s="968"/>
      <c r="AC17" s="999"/>
      <c r="AD17" s="999"/>
      <c r="AE17" s="999"/>
      <c r="AF17" s="999"/>
      <c r="AK17" s="1002"/>
      <c r="AL17" s="1002"/>
      <c r="AM17" s="1002"/>
      <c r="AN17" s="1002"/>
      <c r="AO17" s="1002"/>
      <c r="AP17" s="1002"/>
      <c r="AQ17" s="1002"/>
      <c r="AR17" s="971"/>
      <c r="AS17" s="971"/>
    </row>
    <row s="573" customFormat="1" customHeight="1" ht="11.25" hidden="1">
      <c r="A18" s="144"/>
      <c r="B18" s="431"/>
      <c r="E18" s="875"/>
      <c r="S18" s="968"/>
      <c r="T18" s="968"/>
      <c r="U18" s="968"/>
      <c r="V18" s="968"/>
      <c r="W18" s="968"/>
      <c r="X18" s="968"/>
      <c r="Y18" s="968"/>
      <c r="Z18" s="968"/>
      <c r="AA18" s="968"/>
      <c r="AB18" s="968"/>
      <c r="AC18" s="956"/>
      <c r="AD18" s="999"/>
      <c r="AE18" s="999"/>
      <c r="AF18" s="999"/>
      <c r="AK18" s="1002"/>
      <c r="AL18" s="1002"/>
      <c r="AM18" s="1002"/>
      <c r="AN18" s="1002"/>
      <c r="AO18" s="1002"/>
      <c r="AP18" s="1002"/>
      <c r="AQ18" s="1002"/>
      <c r="AR18" s="971"/>
      <c r="AS18" s="971"/>
    </row>
    <row s="573" customFormat="1" customHeight="1" ht="11.25" hidden="1">
      <c r="B19" s="431"/>
      <c r="E19" s="875"/>
      <c r="S19" s="968"/>
      <c r="T19" s="968"/>
      <c r="U19" s="968"/>
      <c r="V19" s="968"/>
      <c r="W19" s="968"/>
      <c r="X19" s="968"/>
      <c r="Y19" s="968"/>
      <c r="Z19" s="968"/>
      <c r="AA19" s="968"/>
      <c r="AB19" s="968"/>
      <c r="AC19" s="999"/>
      <c r="AD19" s="999"/>
      <c r="AE19" s="999"/>
      <c r="AF19" s="999"/>
      <c r="AK19" s="1002"/>
      <c r="AL19" s="1002"/>
      <c r="AM19" s="1002"/>
      <c r="AN19" s="1002"/>
      <c r="AO19" s="1002"/>
      <c r="AP19" s="1002"/>
      <c r="AQ19" s="1002"/>
      <c r="AR19" s="971"/>
      <c r="AS19" s="971"/>
    </row>
    <row s="573" customFormat="1" customHeight="1" ht="11.25" hidden="1">
      <c r="B20" s="431"/>
      <c r="E20" s="875"/>
      <c r="S20" s="968"/>
      <c r="T20" s="968"/>
      <c r="U20" s="968"/>
      <c r="V20" s="968"/>
      <c r="W20" s="968"/>
      <c r="X20" s="968"/>
      <c r="Y20" s="968"/>
      <c r="Z20" s="968"/>
      <c r="AA20" s="968"/>
      <c r="AB20" s="968"/>
      <c r="AC20" s="999"/>
      <c r="AD20" s="999"/>
      <c r="AE20" s="999"/>
      <c r="AF20" s="999"/>
      <c r="AK20" s="1002"/>
      <c r="AL20" s="1002"/>
      <c r="AM20" s="1002"/>
      <c r="AN20" s="1002"/>
      <c r="AO20" s="1002"/>
      <c r="AP20" s="1002"/>
      <c r="AQ20" s="1002"/>
      <c r="AR20" s="971"/>
      <c r="AS20" s="971"/>
    </row>
    <row s="573" customFormat="1" customHeight="1" ht="14.625">
      <c r="B21" s="431"/>
      <c r="E21" s="875">
        <v>15</v>
      </c>
      <c r="S21" s="968"/>
      <c r="T21" s="968"/>
      <c r="U21" s="968"/>
      <c r="V21" s="968"/>
      <c r="W21" s="968"/>
      <c r="X21" s="968"/>
      <c r="Y21" s="968"/>
      <c r="Z21" s="968"/>
      <c r="AA21" s="663"/>
      <c r="AB21" s="471"/>
      <c r="AC21" s="361" cm="1" t="str">
        <f t="array" ref="AC21:AC21">tpl_title</f>
        <v>Кемеровская область / 2026 / ОАО «СКЭК» (ИНН:4205153492, КПП:420501001) / ДПР: 2024-2028</v>
      </c>
      <c r="AD21" s="471"/>
      <c r="AE21" s="471"/>
      <c r="AF21" s="471"/>
      <c r="AK21" s="1002"/>
      <c r="AL21" s="1002"/>
      <c r="AM21" s="1002"/>
      <c r="AN21" s="1002"/>
      <c r="AO21" s="1002"/>
      <c r="AP21" s="1002"/>
      <c r="AQ21" s="1002"/>
      <c r="AR21" s="971"/>
      <c r="AS21" s="971"/>
    </row>
    <row customHeight="1" ht="20.475">
      <c r="E22" s="640">
        <v>21</v>
      </c>
      <c r="R22" s="968"/>
      <c r="AA22" s="968"/>
      <c r="AB22" s="1517" t="s">
        <v>428</v>
      </c>
      <c r="AC22" s="1518"/>
      <c r="AD22" s="1518"/>
      <c r="AE22" s="1518"/>
      <c r="AF22" s="1518"/>
      <c r="AG22" s="1518"/>
      <c r="AH22" s="1518"/>
    </row>
    <row customHeight="1" ht="8.775">
      <c r="E23" s="640">
        <v>9</v>
      </c>
      <c r="AA23" s="975"/>
      <c r="AB23" s="111"/>
      <c r="AC23" s="111"/>
      <c r="AD23" s="111"/>
      <c r="AE23" s="111"/>
      <c r="AF23" s="1524"/>
      <c r="AG23" s="1524"/>
      <c r="AH23" s="91"/>
    </row>
    <row s="1331" customFormat="1" customHeight="1" ht="20.475">
      <c r="B24" s="430"/>
      <c r="E24" s="640">
        <v>21</v>
      </c>
      <c r="AB24" s="182" t="s">
        <v>22</v>
      </c>
      <c r="AC24" s="181" t="s">
        <v>429</v>
      </c>
      <c r="AD24" s="181" t="s">
        <v>430</v>
      </c>
      <c r="AE24" s="181" t="s">
        <v>431</v>
      </c>
      <c r="AF24" s="181" t="s">
        <v>432</v>
      </c>
      <c r="AG24" s="181" t="s">
        <v>433</v>
      </c>
      <c r="AH24" s="181" t="s">
        <v>434</v>
      </c>
      <c r="AK24" s="1005"/>
      <c r="AL24" s="1005"/>
      <c r="AM24" s="1005"/>
      <c r="AN24" s="1005"/>
      <c r="AO24" s="1005"/>
      <c r="AP24" s="1005"/>
      <c r="AQ24" s="1005"/>
      <c r="AR24" s="623"/>
      <c r="AS24" s="623"/>
    </row>
    <row s="1656" customFormat="1" customHeight="1" ht="11.25" hidden="1">
      <c r="A25" s="502"/>
      <c r="B25" s="664"/>
      <c r="C25" s="502"/>
      <c r="D25" s="502"/>
      <c r="E25" s="634">
        <v>0</v>
      </c>
      <c r="F25" s="660"/>
      <c r="G25" s="502"/>
      <c r="H25" s="502"/>
      <c r="I25" s="502"/>
      <c r="J25" s="502"/>
      <c r="K25" s="502"/>
      <c r="L25" s="502"/>
      <c r="M25" s="502"/>
      <c r="N25" s="502"/>
      <c r="O25" s="502"/>
      <c r="P25" s="502"/>
      <c r="Q25" s="502"/>
      <c r="R25" s="502"/>
      <c r="S25" s="502"/>
      <c r="T25" s="502"/>
      <c r="U25" s="502"/>
      <c r="V25" s="502"/>
      <c r="W25" s="502"/>
      <c r="X25" s="502"/>
      <c r="Y25" s="502"/>
      <c r="Z25" s="502"/>
      <c r="AA25" s="502"/>
      <c r="AB25" s="966"/>
      <c r="AC25" s="96"/>
      <c r="AD25" s="96"/>
      <c r="AE25" s="96"/>
      <c r="AF25" s="96"/>
      <c r="AI25" s="502"/>
      <c r="AJ25" s="502"/>
      <c r="AK25" s="1006"/>
      <c r="AL25" s="1006"/>
      <c r="AM25" s="1006"/>
      <c r="AN25" s="1006"/>
      <c r="AO25" s="1006"/>
      <c r="AP25" s="1007"/>
      <c r="AQ25" s="1006"/>
      <c r="AR25" s="665"/>
      <c r="AS25" s="629"/>
    </row>
    <row s="1331" customFormat="1" customHeight="1" ht="15" hidden="1">
      <c r="A26" s="1331"/>
      <c r="B26" s="430"/>
      <c r="C26" s="1331"/>
      <c r="D26" s="1331"/>
      <c r="E26" s="641" t="s">
        <v>353</v>
      </c>
      <c r="F26" s="118" cm="1" t="str">
        <f t="array" ref="F26:F26">Y26</f>
        <v>0</v>
      </c>
      <c r="G26" s="1331"/>
      <c r="H26" s="1331"/>
      <c r="I26" s="1331"/>
      <c r="J26" s="1331"/>
      <c r="K26" s="1331"/>
      <c r="L26" s="1331"/>
      <c r="M26" s="1331"/>
      <c r="N26" s="1331"/>
      <c r="O26" s="1331"/>
      <c r="P26" s="1331"/>
      <c r="Q26" s="1331"/>
      <c r="R26" s="1331"/>
      <c r="S26" s="1331"/>
      <c r="T26" s="1331"/>
      <c r="U26" s="468">
        <f>Y26&gt;0</f>
        <v>0</v>
      </c>
      <c r="V26" s="1331"/>
      <c r="W26" s="118" t="s">
        <v>279</v>
      </c>
      <c r="X26" s="1331"/>
      <c r="Y26" s="1539">
        <v>0</v>
      </c>
      <c r="Z26" s="1529"/>
      <c r="AA26" s="1331"/>
      <c r="AB26" s="176" cm="1" t="str">
        <f t="array" ref="AB26:AB26">INDEX('Общие сведения'!$AG$197:$AG$254,MATCH($Y26,'Общие сведения'!$Z$197:$Z$254,0))</f>
        <v>Тариф 0 () - </v>
      </c>
      <c r="AC26" s="176"/>
      <c r="AD26" s="170"/>
      <c r="AE26" s="170"/>
      <c r="AF26" s="170"/>
      <c r="AG26" s="170"/>
      <c r="AH26" s="170"/>
      <c r="AI26" s="1331"/>
      <c r="AJ26" s="1331"/>
      <c r="AK26" s="1005"/>
      <c r="AL26" s="1005"/>
      <c r="AM26" s="1005"/>
      <c r="AN26" s="1005"/>
      <c r="AO26" s="1005"/>
      <c r="AP26" s="1005"/>
      <c r="AQ26" s="1005"/>
      <c r="AR26" s="623"/>
      <c r="AS26" s="623"/>
    </row>
    <row s="1331" customFormat="1" customHeight="1" ht="15" hidden="1">
      <c r="A27" s="1331"/>
      <c r="B27" s="430"/>
      <c r="C27" s="1331"/>
      <c r="D27" s="1331"/>
      <c r="E27" s="634">
        <v>0</v>
      </c>
      <c r="F27" s="118" cm="1" t="str">
        <f t="array" ref="F27:F27">OFFSET(G27,-1,-1)</f>
        <v>0</v>
      </c>
      <c r="G27" s="1331"/>
      <c r="H27" s="1331"/>
      <c r="I27" s="1331"/>
      <c r="J27" s="1331"/>
      <c r="K27" s="1331"/>
      <c r="L27" s="1331"/>
      <c r="M27" s="1331"/>
      <c r="N27" s="1331"/>
      <c r="O27" s="1331"/>
      <c r="P27" s="1331"/>
      <c r="Q27" s="1331"/>
      <c r="R27" s="1331"/>
      <c r="S27" s="1331"/>
      <c r="T27" s="1331"/>
      <c r="U27" s="468" t="b">
        <v>0</v>
      </c>
      <c r="V27" s="1331"/>
      <c r="W27" s="1331"/>
      <c r="X27" s="1331"/>
      <c r="Y27" s="1539"/>
      <c r="Z27" s="1529"/>
      <c r="AA27" s="1331"/>
      <c r="AB27" s="176"/>
      <c r="AC27" s="176"/>
      <c r="AD27" s="170"/>
      <c r="AE27" s="170"/>
      <c r="AF27" s="170"/>
      <c r="AG27" s="170"/>
      <c r="AH27" s="170"/>
      <c r="AI27" s="1331"/>
      <c r="AJ27" s="1331"/>
      <c r="AK27" s="1005"/>
      <c r="AL27" s="1005"/>
      <c r="AM27" s="1005"/>
      <c r="AN27" s="1005"/>
      <c r="AO27" s="1005"/>
      <c r="AP27" s="1005"/>
      <c r="AQ27" s="1005"/>
      <c r="AR27" s="623"/>
      <c r="AS27" s="623"/>
    </row>
    <row s="1240" customFormat="1" customHeight="1" ht="14.625" hidden="1">
      <c r="A28" s="1240"/>
      <c r="B28" s="430"/>
      <c r="C28" s="1240"/>
      <c r="D28" s="1240"/>
      <c r="E28" s="634">
        <v>15</v>
      </c>
      <c r="F28" s="100" cm="1" t="str">
        <f t="array" ref="F28:F28">OFFSET(G28,-1,-1)</f>
        <v>0</v>
      </c>
      <c r="G28" s="1240"/>
      <c r="H28" s="1240"/>
      <c r="I28" s="100" t="s">
        <v>435</v>
      </c>
      <c r="J28" s="1240"/>
      <c r="K28" s="100" t="s">
        <v>436</v>
      </c>
      <c r="L28" s="1240"/>
      <c r="M28" s="1240"/>
      <c r="N28" s="1240"/>
      <c r="O28" s="1240"/>
      <c r="P28" s="1240"/>
      <c r="Q28" s="1240"/>
      <c r="R28" s="1240"/>
      <c r="S28" s="1240"/>
      <c r="T28" s="1240"/>
      <c r="U28" s="468">
        <f>AND(F28&gt;0,AB28&gt;0)</f>
        <v>0</v>
      </c>
      <c r="V28" s="1240"/>
      <c r="W28" s="1240"/>
      <c r="X28" s="764" t="s">
        <v>173</v>
      </c>
      <c r="Y28" s="1539"/>
      <c r="Z28" s="1529"/>
      <c r="AA28" s="668" t="s">
        <v>174</v>
      </c>
      <c r="AB28" s="84">
        <v>0</v>
      </c>
      <c r="AC28" s="270" t="str">
        <f>I28&amp;" :: "&amp;K28</f>
        <v>Наименование объекта :: адрес</v>
      </c>
      <c r="AD28" s="270"/>
      <c r="AE28" s="270"/>
      <c r="AF28" s="406"/>
      <c r="AG28" s="406"/>
      <c r="AH28" s="1816"/>
      <c r="AI28" s="1240"/>
      <c r="AJ28" s="1240"/>
      <c r="AK28" s="1008" t="s">
        <v>437</v>
      </c>
      <c r="AL28" s="1008" t="s">
        <v>438</v>
      </c>
      <c r="AM28" s="1008" cm="1" t="str">
        <f t="array" ref="AM28:AM28">AC28</f>
        <v>Наименование объекта :: адрес</v>
      </c>
      <c r="AN28" s="1008" cm="1" t="str">
        <f t="array" ref="AN28:AN28">AD28</f>
        <v>0</v>
      </c>
      <c r="AO28" s="1008" cm="1" t="str">
        <f t="array" ref="AO28:AO28">AE28</f>
        <v>0</v>
      </c>
      <c r="AP28" s="1008" cm="1" t="str">
        <f t="array" ref="AP28:AP28">AF28</f>
        <v>0</v>
      </c>
      <c r="AQ28" s="1008" cm="1" t="str">
        <f t="array" ref="AQ28:AQ28">AG28</f>
        <v>0</v>
      </c>
      <c r="AR28" s="633"/>
      <c r="AS28" s="633" t="b">
        <v>1</v>
      </c>
    </row>
    <row s="1331" customFormat="1" customHeight="1" ht="10.725000000000001" hidden="1">
      <c r="A29" s="1331"/>
      <c r="B29" s="430"/>
      <c r="C29" s="1331"/>
      <c r="D29" s="1331"/>
      <c r="E29" s="634">
        <v>11</v>
      </c>
      <c r="F29" s="118" cm="1" t="str">
        <f t="array" ref="F29:F29">OFFSET(G29,-1,-1)</f>
        <v>0</v>
      </c>
      <c r="G29" s="1331"/>
      <c r="H29" s="1331"/>
      <c r="I29" s="1331"/>
      <c r="J29" s="1331"/>
      <c r="K29" s="1331"/>
      <c r="L29" s="1331"/>
      <c r="M29" s="1331"/>
      <c r="N29" s="1331"/>
      <c r="O29" s="1331"/>
      <c r="P29" s="1331"/>
      <c r="Q29" s="1331"/>
      <c r="R29" s="1331"/>
      <c r="S29" s="1331"/>
      <c r="T29" s="1331"/>
      <c r="U29" s="468">
        <f>F29&gt;0</f>
        <v>0</v>
      </c>
      <c r="V29" s="1331"/>
      <c r="W29" s="1331"/>
      <c r="X29" s="764" t="s">
        <v>439</v>
      </c>
      <c r="Y29" s="1539"/>
      <c r="Z29" s="1529"/>
      <c r="AA29" s="1331"/>
      <c r="AB29" s="171"/>
      <c r="AC29" s="174" t="s">
        <v>440</v>
      </c>
      <c r="AD29" s="172"/>
      <c r="AE29" s="172"/>
      <c r="AF29" s="172"/>
      <c r="AG29" s="172"/>
      <c r="AH29" s="183"/>
      <c r="AI29" s="1331"/>
      <c r="AJ29" s="1331"/>
      <c r="AK29" s="1005"/>
      <c r="AL29" s="1005"/>
      <c r="AM29" s="1005"/>
      <c r="AN29" s="1005"/>
      <c r="AO29" s="1005"/>
      <c r="AP29" s="1005"/>
      <c r="AQ29" s="1005"/>
      <c r="AR29" s="623" t="s">
        <v>438</v>
      </c>
      <c r="AS29" s="623"/>
    </row>
    <row s="541" customFormat="1" customHeight="1" ht="23.671875">
      <c r="A30" s="1331"/>
      <c r="B30" s="430"/>
      <c r="C30" s="1331"/>
      <c r="D30" s="1331"/>
      <c r="E30" s="641" t="s">
        <v>353</v>
      </c>
      <c r="F30" s="118" cm="1" t="str">
        <f t="array" ref="F30:F30">Y30</f>
        <v>1</v>
      </c>
      <c r="G30" s="1331"/>
      <c r="H30" s="1331"/>
      <c r="I30" s="1331"/>
      <c r="J30" s="1331"/>
      <c r="K30" s="1331"/>
      <c r="L30" s="1331"/>
      <c r="M30" s="1331"/>
      <c r="N30" s="1331"/>
      <c r="O30" s="1331"/>
      <c r="P30" s="1331"/>
      <c r="Q30" s="1331"/>
      <c r="R30" s="1331"/>
      <c r="S30" s="1331"/>
      <c r="T30" s="1331"/>
      <c r="U30" s="468">
        <f>Y30&gt;0</f>
        <v>1</v>
      </c>
      <c r="V30" s="1331"/>
      <c r="W30" s="118" cm="1" t="str">
        <f t="array" ref="W30:W30">'Перечень объектов'!$AC$39</f>
        <v>Тариф 1 (Водоснабжение) - тариф на питьевую воду (Оказание услуг на территории: город Ленинск-Кузнецкий (ОКТМО: 32719000) - г Ленинск-Кузнецкий, г Полысаево)</v>
      </c>
      <c r="X30" s="1331"/>
      <c r="Y30" s="1539" t="s">
        <v>290</v>
      </c>
      <c r="Z30" s="1529"/>
      <c r="AA30" s="1331"/>
      <c r="AB30" s="176" cm="1" t="str">
        <f t="array" ref="AB30:AB30">'Перечень объектов'!$AC$39</f>
        <v>Тариф 1 (Водоснабжение) - тариф на питьевую воду (Оказание услуг на территории: город Ленинск-Кузнецкий (ОКТМО: 32719000) - г Ленинск-Кузнецкий, г Полысаево)</v>
      </c>
      <c r="AC30" s="176"/>
      <c r="AD30" s="170"/>
      <c r="AE30" s="170"/>
      <c r="AF30" s="170"/>
      <c r="AG30" s="170"/>
      <c r="AH30" s="170"/>
      <c r="AI30" s="1331"/>
      <c r="AJ30" s="1331"/>
      <c r="AK30" s="1005"/>
      <c r="AL30" s="1005"/>
      <c r="AM30" s="1005"/>
      <c r="AN30" s="1005"/>
      <c r="AO30" s="1005"/>
      <c r="AP30" s="1005"/>
      <c r="AQ30" s="1005"/>
      <c r="AR30" s="623"/>
      <c r="AS30" s="623"/>
    </row>
    <row s="541" customFormat="1" customHeight="1" ht="15" hidden="1">
      <c r="A31" s="1331"/>
      <c r="B31" s="430"/>
      <c r="C31" s="1331"/>
      <c r="D31" s="1331"/>
      <c r="E31" s="634">
        <v>0</v>
      </c>
      <c r="F31" s="118" cm="1" t="str">
        <f t="array" ref="F31:F31">OFFSET(G31,-1,-1)</f>
        <v>1</v>
      </c>
      <c r="G31" s="1331"/>
      <c r="H31" s="1331"/>
      <c r="I31" s="1331"/>
      <c r="J31" s="1331"/>
      <c r="K31" s="1331"/>
      <c r="L31" s="1331"/>
      <c r="M31" s="1331"/>
      <c r="N31" s="1331"/>
      <c r="O31" s="1331"/>
      <c r="P31" s="1331"/>
      <c r="Q31" s="1331"/>
      <c r="R31" s="1331"/>
      <c r="S31" s="1331"/>
      <c r="T31" s="1331"/>
      <c r="U31" s="468" t="b">
        <v>0</v>
      </c>
      <c r="V31" s="1331"/>
      <c r="W31" s="1331"/>
      <c r="X31" s="1331"/>
      <c r="Y31" s="1539"/>
      <c r="Z31" s="1529"/>
      <c r="AA31" s="1331"/>
      <c r="AB31" s="176"/>
      <c r="AC31" s="176"/>
      <c r="AD31" s="170"/>
      <c r="AE31" s="170"/>
      <c r="AF31" s="170"/>
      <c r="AG31" s="170"/>
      <c r="AH31" s="170"/>
      <c r="AI31" s="1331"/>
      <c r="AJ31" s="1331"/>
      <c r="AK31" s="1005"/>
      <c r="AL31" s="1005"/>
      <c r="AM31" s="1005"/>
      <c r="AN31" s="1005"/>
      <c r="AO31" s="1005"/>
      <c r="AP31" s="1005"/>
      <c r="AQ31" s="1005"/>
      <c r="AR31" s="623"/>
      <c r="AS31" s="623"/>
    </row>
    <row s="1240" customFormat="1" customHeight="1" ht="14.25" hidden="1">
      <c r="A32" s="1240"/>
      <c r="B32" s="430"/>
      <c r="C32" s="1240"/>
      <c r="D32" s="1240"/>
      <c r="E32" s="634">
        <v>15</v>
      </c>
      <c r="F32" s="100" cm="1" t="str">
        <f t="array" ref="F32:F32">OFFSET(G32,-1,-1)</f>
        <v>1</v>
      </c>
      <c r="G32" s="1240"/>
      <c r="H32" s="1240"/>
      <c r="I32" s="100" t="s">
        <v>435</v>
      </c>
      <c r="J32" s="1240"/>
      <c r="K32" s="100" t="s">
        <v>436</v>
      </c>
      <c r="L32" s="1240"/>
      <c r="M32" s="1240"/>
      <c r="N32" s="1240"/>
      <c r="O32" s="1240"/>
      <c r="P32" s="1240"/>
      <c r="Q32" s="1240"/>
      <c r="R32" s="1240"/>
      <c r="S32" s="1240"/>
      <c r="T32" s="1240"/>
      <c r="U32" s="468">
        <f>AND(F32&gt;0,AB32&gt;0)</f>
        <v>0</v>
      </c>
      <c r="V32" s="1240"/>
      <c r="W32" s="1240"/>
      <c r="X32" s="764" t="s">
        <v>173</v>
      </c>
      <c r="Y32" s="1539"/>
      <c r="Z32" s="1529"/>
      <c r="AA32" s="668" t="s">
        <v>174</v>
      </c>
      <c r="AB32" s="84">
        <v>0</v>
      </c>
      <c r="AC32" s="270" t="str">
        <f>I32&amp;" :: "&amp;K32</f>
        <v>Наименование объекта :: адрес</v>
      </c>
      <c r="AD32" s="270"/>
      <c r="AE32" s="270"/>
      <c r="AF32" s="406"/>
      <c r="AG32" s="406"/>
      <c r="AH32" s="1816"/>
      <c r="AI32" s="1240"/>
      <c r="AJ32" s="1240"/>
      <c r="AK32" s="1008" t="s">
        <v>437</v>
      </c>
      <c r="AL32" s="1008" t="s">
        <v>438</v>
      </c>
      <c r="AM32" s="1008" cm="1" t="str">
        <f t="array" ref="AM32:AM32">AC32</f>
        <v>Наименование объекта :: адрес</v>
      </c>
      <c r="AN32" s="1008" cm="1" t="str">
        <f t="array" ref="AN32:AN32">AD32</f>
        <v>0</v>
      </c>
      <c r="AO32" s="1008" cm="1" t="str">
        <f t="array" ref="AO32:AO32">AE32</f>
        <v>0</v>
      </c>
      <c r="AP32" s="1008" cm="1" t="str">
        <f t="array" ref="AP32:AP32">AF32</f>
        <v>0</v>
      </c>
      <c r="AQ32" s="1008" cm="1" t="str">
        <f t="array" ref="AQ32:AQ32">AG32</f>
        <v>0</v>
      </c>
      <c r="AR32" s="633"/>
      <c r="AS32" s="633" t="b">
        <v>1</v>
      </c>
    </row>
    <row s="1240" customFormat="1" customHeight="1" ht="23.25">
      <c r="A33" s="1240"/>
      <c r="B33" s="430"/>
      <c r="C33" s="1240"/>
      <c r="D33" s="1240"/>
      <c r="E33" s="634">
        <v>15</v>
      </c>
      <c r="F33" s="100" cm="1" t="str">
        <f t="array" ref="F33:F33">OFFSET(G33,-1,-1)</f>
        <v>1</v>
      </c>
      <c r="G33" s="1240"/>
      <c r="H33" s="1240"/>
      <c r="I33" s="100" t="s">
        <v>441</v>
      </c>
      <c r="J33" s="1240"/>
      <c r="K33" s="100" t="s">
        <v>442</v>
      </c>
      <c r="L33" s="1240"/>
      <c r="M33" s="1240"/>
      <c r="N33" s="1240"/>
      <c r="O33" s="1240"/>
      <c r="P33" s="1240"/>
      <c r="Q33" s="1240"/>
      <c r="R33" s="1240"/>
      <c r="S33" s="1240"/>
      <c r="T33" s="1240"/>
      <c r="U33" s="468">
        <f>AND(F33&gt;0,AB33&gt;0)</f>
        <v>1</v>
      </c>
      <c r="V33" s="1240"/>
      <c r="W33" s="1240"/>
      <c r="X33" s="764"/>
      <c r="Y33" s="1539"/>
      <c r="Z33" s="1529"/>
      <c r="AA33" s="668" t="s">
        <v>174</v>
      </c>
      <c r="AB33" s="84" t="s">
        <v>290</v>
      </c>
      <c r="AC33" s="270" t="str">
        <f>I33&amp;" :: "&amp;K33</f>
        <v>Скважина №6а :: г Ленинск-Кузнецкий, в 1200 м на юг от водонапорной башни в пос.Озеровка по ул.Центральной, б/н</v>
      </c>
      <c r="AD33" s="270" t="s">
        <v>443</v>
      </c>
      <c r="AE33" s="270" t="s">
        <v>229</v>
      </c>
      <c r="AF33" s="406" t="s">
        <v>230</v>
      </c>
      <c r="AG33" s="406" t="s">
        <v>444</v>
      </c>
      <c r="AH33" s="185"/>
      <c r="AI33" s="1240"/>
      <c r="AJ33" s="1240"/>
      <c r="AK33" s="1008" t="s">
        <v>437</v>
      </c>
      <c r="AL33" s="1008" t="s">
        <v>438</v>
      </c>
      <c r="AM33" s="1008" cm="1" t="str">
        <f t="array" ref="AM33:AM33">AC33</f>
        <v>Скважина №6а :: г Ленинск-Кузнецкий, в 1200 м на юг от водонапорной башни в пос.Озеровка по ул.Центральной, б/н</v>
      </c>
      <c r="AN33" s="1008" cm="1" t="str">
        <f t="array" ref="AN33:AN33">AD33</f>
        <v>концессионное соглашение</v>
      </c>
      <c r="AO33" s="1008" cm="1" t="str">
        <f t="array" ref="AO33:AO33">AE33</f>
        <v>соглашение</v>
      </c>
      <c r="AP33" s="1008" cm="1" t="str">
        <f t="array" ref="AP33:AP33">AF33</f>
        <v>1/Л-К</v>
      </c>
      <c r="AQ33" s="1008" cm="1" t="str">
        <f t="array" ref="AQ33:AQ33">AG33</f>
        <v>14.11.2019</v>
      </c>
      <c r="AR33" s="633"/>
      <c r="AS33" s="633" t="b">
        <v>1</v>
      </c>
    </row>
    <row s="1240" customFormat="1" customHeight="1" ht="23.25">
      <c r="A34" s="1240"/>
      <c r="B34" s="430"/>
      <c r="C34" s="1240"/>
      <c r="D34" s="1240"/>
      <c r="E34" s="634">
        <v>15</v>
      </c>
      <c r="F34" s="100" cm="1" t="str">
        <f t="array" ref="F34:F34">OFFSET(G34,-1,-1)</f>
        <v>1</v>
      </c>
      <c r="G34" s="1240"/>
      <c r="H34" s="1240"/>
      <c r="I34" s="100" t="s">
        <v>445</v>
      </c>
      <c r="J34" s="1240"/>
      <c r="K34" s="100" t="s">
        <v>446</v>
      </c>
      <c r="L34" s="1240"/>
      <c r="M34" s="1240"/>
      <c r="N34" s="1240"/>
      <c r="O34" s="1240"/>
      <c r="P34" s="1240"/>
      <c r="Q34" s="1240"/>
      <c r="R34" s="1240"/>
      <c r="S34" s="1240"/>
      <c r="T34" s="1240"/>
      <c r="U34" s="468">
        <f>AND(F34&gt;0,AB34&gt;0)</f>
        <v>1</v>
      </c>
      <c r="V34" s="1240"/>
      <c r="W34" s="1240"/>
      <c r="X34" s="764"/>
      <c r="Y34" s="1539"/>
      <c r="Z34" s="1529"/>
      <c r="AA34" s="668" t="s">
        <v>174</v>
      </c>
      <c r="AB34" s="84" t="s">
        <v>299</v>
      </c>
      <c r="AC34" s="270" t="str">
        <f>I34&amp;" :: "&amp;K34</f>
        <v>Скважина №2а :: г Ленинск-Кузнецкий, в 800 м (слева) на северо-запад от 261 км автомобильной дороги Новосибирск-Ленинск-Кузнецкий-Кемерово-Юрга, б/н</v>
      </c>
      <c r="AD34" s="270" t="s">
        <v>443</v>
      </c>
      <c r="AE34" s="270" t="s">
        <v>229</v>
      </c>
      <c r="AF34" s="406" t="s">
        <v>230</v>
      </c>
      <c r="AG34" s="406" t="s">
        <v>444</v>
      </c>
      <c r="AH34" s="185"/>
      <c r="AI34" s="1240"/>
      <c r="AJ34" s="1240"/>
      <c r="AK34" s="1008" t="s">
        <v>437</v>
      </c>
      <c r="AL34" s="1008" t="s">
        <v>438</v>
      </c>
      <c r="AM34" s="1008" cm="1" t="str">
        <f t="array" ref="AM34:AM34">AC34</f>
        <v>Скважина №2а :: г Ленинск-Кузнецкий, в 800 м (слева) на северо-запад от 261 км автомобильной дороги Новосибирск-Ленинск-Кузнецкий-Кемерово-Юрга, б/н</v>
      </c>
      <c r="AN34" s="1008" cm="1" t="str">
        <f t="array" ref="AN34:AN34">AD34</f>
        <v>концессионное соглашение</v>
      </c>
      <c r="AO34" s="1008" cm="1" t="str">
        <f t="array" ref="AO34:AO34">AE34</f>
        <v>соглашение</v>
      </c>
      <c r="AP34" s="1008" cm="1" t="str">
        <f t="array" ref="AP34:AP34">AF34</f>
        <v>1/Л-К</v>
      </c>
      <c r="AQ34" s="1008" cm="1" t="str">
        <f t="array" ref="AQ34:AQ34">AG34</f>
        <v>14.11.2019</v>
      </c>
      <c r="AR34" s="633"/>
      <c r="AS34" s="633" t="b">
        <v>1</v>
      </c>
    </row>
    <row s="1240" customFormat="1" customHeight="1" ht="29.671875">
      <c r="A35" s="1240"/>
      <c r="B35" s="430"/>
      <c r="C35" s="1240"/>
      <c r="D35" s="1240"/>
      <c r="E35" s="634">
        <v>15</v>
      </c>
      <c r="F35" s="100" cm="1" t="str">
        <f t="array" ref="F35:F35">OFFSET(G35,-1,-1)</f>
        <v>1</v>
      </c>
      <c r="G35" s="1240"/>
      <c r="H35" s="1240"/>
      <c r="I35" s="100" t="s">
        <v>447</v>
      </c>
      <c r="J35" s="1240"/>
      <c r="K35" s="100" t="s">
        <v>448</v>
      </c>
      <c r="L35" s="1240"/>
      <c r="M35" s="1240"/>
      <c r="N35" s="1240"/>
      <c r="O35" s="1240"/>
      <c r="P35" s="1240"/>
      <c r="Q35" s="1240"/>
      <c r="R35" s="1240"/>
      <c r="S35" s="1240"/>
      <c r="T35" s="1240"/>
      <c r="U35" s="468">
        <f>AND(F35&gt;0,AB35&gt;0)</f>
        <v>1</v>
      </c>
      <c r="V35" s="1240"/>
      <c r="W35" s="1240"/>
      <c r="X35" s="764"/>
      <c r="Y35" s="1539"/>
      <c r="Z35" s="1529"/>
      <c r="AA35" s="668" t="s">
        <v>174</v>
      </c>
      <c r="AB35" s="84" t="s">
        <v>234</v>
      </c>
      <c r="AC35" s="270" t="str">
        <f>I35&amp;" :: "&amp;K35</f>
        <v>Скважина №4а :: г Ленинск-Кузнецкий, в 950 м (справа) на северо-запад от 261 км автомобильной дороги Новосибирск-Ленинск-Кузнецкий-Кемерово-Юрга, б/н</v>
      </c>
      <c r="AD35" s="270" t="s">
        <v>443</v>
      </c>
      <c r="AE35" s="270" t="s">
        <v>229</v>
      </c>
      <c r="AF35" s="406" t="s">
        <v>230</v>
      </c>
      <c r="AG35" s="406" t="s">
        <v>444</v>
      </c>
      <c r="AH35" s="185"/>
      <c r="AI35" s="1240"/>
      <c r="AJ35" s="1240"/>
      <c r="AK35" s="1008" t="s">
        <v>437</v>
      </c>
      <c r="AL35" s="1008" t="s">
        <v>438</v>
      </c>
      <c r="AM35" s="1008" cm="1" t="str">
        <f t="array" ref="AM35:AM35">AC35</f>
        <v>Скважина №4а :: г Ленинск-Кузнецкий, в 950 м (справа) на северо-запад от 261 км автомобильной дороги Новосибирск-Ленинск-Кузнецкий-Кемерово-Юрга, б/н</v>
      </c>
      <c r="AN35" s="1008" cm="1" t="str">
        <f t="array" ref="AN35:AN35">AD35</f>
        <v>концессионное соглашение</v>
      </c>
      <c r="AO35" s="1008" cm="1" t="str">
        <f t="array" ref="AO35:AO35">AE35</f>
        <v>соглашение</v>
      </c>
      <c r="AP35" s="1008" cm="1" t="str">
        <f t="array" ref="AP35:AP35">AF35</f>
        <v>1/Л-К</v>
      </c>
      <c r="AQ35" s="1008" cm="1" t="str">
        <f t="array" ref="AQ35:AQ35">AG35</f>
        <v>14.11.2019</v>
      </c>
      <c r="AR35" s="633"/>
      <c r="AS35" s="633" t="b">
        <v>1</v>
      </c>
    </row>
    <row s="1240" customFormat="1" customHeight="1" ht="37.921875">
      <c r="A36" s="1240"/>
      <c r="B36" s="430"/>
      <c r="C36" s="1240"/>
      <c r="D36" s="1240"/>
      <c r="E36" s="634">
        <v>15</v>
      </c>
      <c r="F36" s="100" cm="1" t="str">
        <f t="array" ref="F36:F36">OFFSET(G36,-1,-1)</f>
        <v>1</v>
      </c>
      <c r="G36" s="1240"/>
      <c r="H36" s="1240"/>
      <c r="I36" s="100" t="s">
        <v>449</v>
      </c>
      <c r="J36" s="1240"/>
      <c r="K36" s="100" t="s">
        <v>450</v>
      </c>
      <c r="L36" s="1240"/>
      <c r="M36" s="1240"/>
      <c r="N36" s="1240"/>
      <c r="O36" s="1240"/>
      <c r="P36" s="1240"/>
      <c r="Q36" s="1240"/>
      <c r="R36" s="1240"/>
      <c r="S36" s="1240"/>
      <c r="T36" s="1240"/>
      <c r="U36" s="468">
        <f>AND(F36&gt;0,AB36&gt;0)</f>
        <v>1</v>
      </c>
      <c r="V36" s="1240"/>
      <c r="W36" s="1240"/>
      <c r="X36" s="764"/>
      <c r="Y36" s="1539"/>
      <c r="Z36" s="1529"/>
      <c r="AA36" s="668" t="s">
        <v>174</v>
      </c>
      <c r="AB36" s="84" t="s">
        <v>451</v>
      </c>
      <c r="AC36" s="270" t="str">
        <f>I36&amp;" :: "&amp;K36</f>
        <v>сети водоснабжения :: г Ленинск-Кузнецкий, г. Ленинск-Кузнецкий, -</v>
      </c>
      <c r="AD36" s="270" t="s">
        <v>443</v>
      </c>
      <c r="AE36" s="270" t="s">
        <v>229</v>
      </c>
      <c r="AF36" s="406" t="s">
        <v>230</v>
      </c>
      <c r="AG36" s="406" t="s">
        <v>444</v>
      </c>
      <c r="AH36" s="185"/>
      <c r="AI36" s="1240"/>
      <c r="AJ36" s="1240"/>
      <c r="AK36" s="1008" t="s">
        <v>437</v>
      </c>
      <c r="AL36" s="1008" t="s">
        <v>438</v>
      </c>
      <c r="AM36" s="1008" cm="1" t="str">
        <f t="array" ref="AM36:AM36">AC36</f>
        <v>сети водоснабжения :: г Ленинск-Кузнецкий, г. Ленинск-Кузнецкий, -</v>
      </c>
      <c r="AN36" s="1008" cm="1" t="str">
        <f t="array" ref="AN36:AN36">AD36</f>
        <v>концессионное соглашение</v>
      </c>
      <c r="AO36" s="1008" cm="1" t="str">
        <f t="array" ref="AO36:AO36">AE36</f>
        <v>соглашение</v>
      </c>
      <c r="AP36" s="1008" cm="1" t="str">
        <f t="array" ref="AP36:AP36">AF36</f>
        <v>1/Л-К</v>
      </c>
      <c r="AQ36" s="1008" cm="1" t="str">
        <f t="array" ref="AQ36:AQ36">AG36</f>
        <v>14.11.2019</v>
      </c>
      <c r="AR36" s="633"/>
      <c r="AS36" s="633" t="b">
        <v>1</v>
      </c>
    </row>
    <row s="1240" customFormat="1" customHeight="1" ht="34.921875">
      <c r="A37" s="1240"/>
      <c r="B37" s="430"/>
      <c r="C37" s="1240"/>
      <c r="D37" s="1240"/>
      <c r="E37" s="634">
        <v>15</v>
      </c>
      <c r="F37" s="100" cm="1" t="str">
        <f t="array" ref="F37:F37">OFFSET(G37,-1,-1)</f>
        <v>1</v>
      </c>
      <c r="G37" s="1240"/>
      <c r="H37" s="1240"/>
      <c r="I37" s="100" t="s">
        <v>452</v>
      </c>
      <c r="J37" s="1240"/>
      <c r="K37" s="100" t="s">
        <v>453</v>
      </c>
      <c r="L37" s="1240"/>
      <c r="M37" s="1240"/>
      <c r="N37" s="1240"/>
      <c r="O37" s="1240"/>
      <c r="P37" s="1240"/>
      <c r="Q37" s="1240"/>
      <c r="R37" s="1240"/>
      <c r="S37" s="1240"/>
      <c r="T37" s="1240"/>
      <c r="U37" s="468">
        <f>AND(F37&gt;0,AB37&gt;0)</f>
        <v>1</v>
      </c>
      <c r="V37" s="1240"/>
      <c r="W37" s="1240"/>
      <c r="X37" s="764"/>
      <c r="Y37" s="1539"/>
      <c r="Z37" s="1529"/>
      <c r="AA37" s="668" t="s">
        <v>174</v>
      </c>
      <c r="AB37" s="84" t="s">
        <v>454</v>
      </c>
      <c r="AC37" s="270" t="str">
        <f>I37&amp;" :: "&amp;K37</f>
        <v>Скважина №7а :: г Ленинск-Кузнецкий, за придорожной полосой автомобильной дороги Новосибирск-Ленинск-Кузнецкий-Кемерово-Юрга, 259 км+500м(справа), корпус 9</v>
      </c>
      <c r="AD37" s="270" t="s">
        <v>443</v>
      </c>
      <c r="AE37" s="270" t="s">
        <v>229</v>
      </c>
      <c r="AF37" s="406" t="s">
        <v>230</v>
      </c>
      <c r="AG37" s="406" t="s">
        <v>444</v>
      </c>
      <c r="AH37" s="185"/>
      <c r="AI37" s="1240"/>
      <c r="AJ37" s="1240"/>
      <c r="AK37" s="1008" t="s">
        <v>437</v>
      </c>
      <c r="AL37" s="1008" t="s">
        <v>438</v>
      </c>
      <c r="AM37" s="1008" cm="1" t="str">
        <f t="array" ref="AM37:AM37">AC37</f>
        <v>Скважина №7а :: г Ленинск-Кузнецкий, за придорожной полосой автомобильной дороги Новосибирск-Ленинск-Кузнецкий-Кемерово-Юрга, 259 км+500м(справа), корпус 9</v>
      </c>
      <c r="AN37" s="1008" cm="1" t="str">
        <f t="array" ref="AN37:AN37">AD37</f>
        <v>концессионное соглашение</v>
      </c>
      <c r="AO37" s="1008" cm="1" t="str">
        <f t="array" ref="AO37:AO37">AE37</f>
        <v>соглашение</v>
      </c>
      <c r="AP37" s="1008" cm="1" t="str">
        <f t="array" ref="AP37:AP37">AF37</f>
        <v>1/Л-К</v>
      </c>
      <c r="AQ37" s="1008" cm="1" t="str">
        <f t="array" ref="AQ37:AQ37">AG37</f>
        <v>14.11.2019</v>
      </c>
      <c r="AR37" s="633"/>
      <c r="AS37" s="633" t="b">
        <v>1</v>
      </c>
    </row>
    <row s="1240" customFormat="1" customHeight="1" ht="23.25">
      <c r="A38" s="1240"/>
      <c r="B38" s="430"/>
      <c r="C38" s="1240"/>
      <c r="D38" s="1240"/>
      <c r="E38" s="634">
        <v>15</v>
      </c>
      <c r="F38" s="100" cm="1" t="str">
        <f t="array" ref="F38:F38">OFFSET(G38,-1,-1)</f>
        <v>1</v>
      </c>
      <c r="G38" s="1240"/>
      <c r="H38" s="1240"/>
      <c r="I38" s="100" t="s">
        <v>455</v>
      </c>
      <c r="J38" s="1240"/>
      <c r="K38" s="100" t="s">
        <v>456</v>
      </c>
      <c r="L38" s="1240"/>
      <c r="M38" s="1240"/>
      <c r="N38" s="1240"/>
      <c r="O38" s="1240"/>
      <c r="P38" s="1240"/>
      <c r="Q38" s="1240"/>
      <c r="R38" s="1240"/>
      <c r="S38" s="1240"/>
      <c r="T38" s="1240"/>
      <c r="U38" s="468">
        <f>AND(F38&gt;0,AB38&gt;0)</f>
        <v>1</v>
      </c>
      <c r="V38" s="1240"/>
      <c r="W38" s="1240"/>
      <c r="X38" s="764"/>
      <c r="Y38" s="1539"/>
      <c r="Z38" s="1529"/>
      <c r="AA38" s="668" t="s">
        <v>174</v>
      </c>
      <c r="AB38" s="84" t="s">
        <v>457</v>
      </c>
      <c r="AC38" s="270" t="str">
        <f>I38&amp;" :: "&amp;K38</f>
        <v>насосная станция Подъем №2 :: г Ленинск-Кузнецкий, пр.Кирова, 20а</v>
      </c>
      <c r="AD38" s="270" t="s">
        <v>443</v>
      </c>
      <c r="AE38" s="270" t="s">
        <v>229</v>
      </c>
      <c r="AF38" s="406" t="s">
        <v>230</v>
      </c>
      <c r="AG38" s="406" t="s">
        <v>444</v>
      </c>
      <c r="AH38" s="185"/>
      <c r="AI38" s="1240"/>
      <c r="AJ38" s="1240"/>
      <c r="AK38" s="1008" t="s">
        <v>437</v>
      </c>
      <c r="AL38" s="1008" t="s">
        <v>438</v>
      </c>
      <c r="AM38" s="1008" cm="1" t="str">
        <f t="array" ref="AM38:AM38">AC38</f>
        <v>насосная станция Подъем №2 :: г Ленинск-Кузнецкий, пр.Кирова, 20а</v>
      </c>
      <c r="AN38" s="1008" cm="1" t="str">
        <f t="array" ref="AN38:AN38">AD38</f>
        <v>концессионное соглашение</v>
      </c>
      <c r="AO38" s="1008" cm="1" t="str">
        <f t="array" ref="AO38:AO38">AE38</f>
        <v>соглашение</v>
      </c>
      <c r="AP38" s="1008" cm="1" t="str">
        <f t="array" ref="AP38:AP38">AF38</f>
        <v>1/Л-К</v>
      </c>
      <c r="AQ38" s="1008" cm="1" t="str">
        <f t="array" ref="AQ38:AQ38">AG38</f>
        <v>14.11.2019</v>
      </c>
      <c r="AR38" s="633"/>
      <c r="AS38" s="633" t="b">
        <v>1</v>
      </c>
    </row>
    <row s="1240" customFormat="1" customHeight="1" ht="23.25">
      <c r="A39" s="1240"/>
      <c r="B39" s="430"/>
      <c r="C39" s="1240"/>
      <c r="D39" s="1240"/>
      <c r="E39" s="634">
        <v>15</v>
      </c>
      <c r="F39" s="100" cm="1" t="str">
        <f t="array" ref="F39:F39">OFFSET(G39,-1,-1)</f>
        <v>1</v>
      </c>
      <c r="G39" s="1240"/>
      <c r="H39" s="1240"/>
      <c r="I39" s="100" t="s">
        <v>458</v>
      </c>
      <c r="J39" s="1240"/>
      <c r="K39" s="100" t="s">
        <v>459</v>
      </c>
      <c r="L39" s="1240"/>
      <c r="M39" s="1240"/>
      <c r="N39" s="1240"/>
      <c r="O39" s="1240"/>
      <c r="P39" s="1240"/>
      <c r="Q39" s="1240"/>
      <c r="R39" s="1240"/>
      <c r="S39" s="1240"/>
      <c r="T39" s="1240"/>
      <c r="U39" s="468">
        <f>AND(F39&gt;0,AB39&gt;0)</f>
        <v>1</v>
      </c>
      <c r="V39" s="1240"/>
      <c r="W39" s="1240"/>
      <c r="X39" s="764"/>
      <c r="Y39" s="1539"/>
      <c r="Z39" s="1529"/>
      <c r="AA39" s="668" t="s">
        <v>174</v>
      </c>
      <c r="AB39" s="84" t="s">
        <v>460</v>
      </c>
      <c r="AC39" s="270" t="str">
        <f>I39&amp;" :: "&amp;K39</f>
        <v>Насосная станция №16 :: г Ленинск-Кузнецкий, пр.Ленина, 82"б"</v>
      </c>
      <c r="AD39" s="270" t="s">
        <v>443</v>
      </c>
      <c r="AE39" s="270" t="s">
        <v>229</v>
      </c>
      <c r="AF39" s="406" t="s">
        <v>230</v>
      </c>
      <c r="AG39" s="406" t="s">
        <v>444</v>
      </c>
      <c r="AH39" s="185"/>
      <c r="AI39" s="1240"/>
      <c r="AJ39" s="1240"/>
      <c r="AK39" s="1008" t="s">
        <v>437</v>
      </c>
      <c r="AL39" s="1008" t="s">
        <v>438</v>
      </c>
      <c r="AM39" s="1008" cm="1" t="str">
        <f t="array" ref="AM39:AM39">AC39</f>
        <v>Насосная станция №16 :: г Ленинск-Кузнецкий, пр.Ленина, 82"б"</v>
      </c>
      <c r="AN39" s="1008" cm="1" t="str">
        <f t="array" ref="AN39:AN39">AD39</f>
        <v>концессионное соглашение</v>
      </c>
      <c r="AO39" s="1008" cm="1" t="str">
        <f t="array" ref="AO39:AO39">AE39</f>
        <v>соглашение</v>
      </c>
      <c r="AP39" s="1008" cm="1" t="str">
        <f t="array" ref="AP39:AP39">AF39</f>
        <v>1/Л-К</v>
      </c>
      <c r="AQ39" s="1008" cm="1" t="str">
        <f t="array" ref="AQ39:AQ39">AG39</f>
        <v>14.11.2019</v>
      </c>
      <c r="AR39" s="633"/>
      <c r="AS39" s="633" t="b">
        <v>1</v>
      </c>
    </row>
    <row s="1240" customFormat="1" customHeight="1" ht="23.25">
      <c r="A40" s="1240"/>
      <c r="B40" s="430"/>
      <c r="C40" s="1240"/>
      <c r="D40" s="1240"/>
      <c r="E40" s="634">
        <v>15</v>
      </c>
      <c r="F40" s="100" cm="1" t="str">
        <f t="array" ref="F40:F40">OFFSET(G40,-1,-1)</f>
        <v>1</v>
      </c>
      <c r="G40" s="1240"/>
      <c r="H40" s="1240"/>
      <c r="I40" s="100" t="s">
        <v>461</v>
      </c>
      <c r="J40" s="1240"/>
      <c r="K40" s="100" t="s">
        <v>462</v>
      </c>
      <c r="L40" s="1240"/>
      <c r="M40" s="1240"/>
      <c r="N40" s="1240"/>
      <c r="O40" s="1240"/>
      <c r="P40" s="1240"/>
      <c r="Q40" s="1240"/>
      <c r="R40" s="1240"/>
      <c r="S40" s="1240"/>
      <c r="T40" s="1240"/>
      <c r="U40" s="468">
        <f>AND(F40&gt;0,AB40&gt;0)</f>
        <v>1</v>
      </c>
      <c r="V40" s="1240"/>
      <c r="W40" s="1240"/>
      <c r="X40" s="764"/>
      <c r="Y40" s="1539"/>
      <c r="Z40" s="1529"/>
      <c r="AA40" s="668" t="s">
        <v>174</v>
      </c>
      <c r="AB40" s="84" t="s">
        <v>463</v>
      </c>
      <c r="AC40" s="270" t="str">
        <f>I40&amp;" :: "&amp;K40</f>
        <v>насосная станция  №17 :: г Ленинск-Кузнецкий, пр.Ленина, 86"б"</v>
      </c>
      <c r="AD40" s="270" t="s">
        <v>443</v>
      </c>
      <c r="AE40" s="270" t="s">
        <v>229</v>
      </c>
      <c r="AF40" s="406" t="s">
        <v>230</v>
      </c>
      <c r="AG40" s="406" t="s">
        <v>444</v>
      </c>
      <c r="AH40" s="185"/>
      <c r="AI40" s="1240"/>
      <c r="AJ40" s="1240"/>
      <c r="AK40" s="1008" t="s">
        <v>437</v>
      </c>
      <c r="AL40" s="1008" t="s">
        <v>438</v>
      </c>
      <c r="AM40" s="1008" cm="1" t="str">
        <f t="array" ref="AM40:AM40">AC40</f>
        <v>насосная станция  №17 :: г Ленинск-Кузнецкий, пр.Ленина, 86"б"</v>
      </c>
      <c r="AN40" s="1008" cm="1" t="str">
        <f t="array" ref="AN40:AN40">AD40</f>
        <v>концессионное соглашение</v>
      </c>
      <c r="AO40" s="1008" cm="1" t="str">
        <f t="array" ref="AO40:AO40">AE40</f>
        <v>соглашение</v>
      </c>
      <c r="AP40" s="1008" cm="1" t="str">
        <f t="array" ref="AP40:AP40">AF40</f>
        <v>1/Л-К</v>
      </c>
      <c r="AQ40" s="1008" cm="1" t="str">
        <f t="array" ref="AQ40:AQ40">AG40</f>
        <v>14.11.2019</v>
      </c>
      <c r="AR40" s="633"/>
      <c r="AS40" s="633" t="b">
        <v>1</v>
      </c>
    </row>
    <row s="1240" customFormat="1" customHeight="1" ht="23.25">
      <c r="A41" s="1240"/>
      <c r="B41" s="430"/>
      <c r="C41" s="1240"/>
      <c r="D41" s="1240"/>
      <c r="E41" s="634">
        <v>15</v>
      </c>
      <c r="F41" s="100" cm="1" t="str">
        <f t="array" ref="F41:F41">OFFSET(G41,-1,-1)</f>
        <v>1</v>
      </c>
      <c r="G41" s="1240"/>
      <c r="H41" s="1240"/>
      <c r="I41" s="100" t="s">
        <v>464</v>
      </c>
      <c r="J41" s="1240"/>
      <c r="K41" s="100" t="s">
        <v>465</v>
      </c>
      <c r="L41" s="1240"/>
      <c r="M41" s="1240"/>
      <c r="N41" s="1240"/>
      <c r="O41" s="1240"/>
      <c r="P41" s="1240"/>
      <c r="Q41" s="1240"/>
      <c r="R41" s="1240"/>
      <c r="S41" s="1240"/>
      <c r="T41" s="1240"/>
      <c r="U41" s="468">
        <f>AND(F41&gt;0,AB41&gt;0)</f>
        <v>1</v>
      </c>
      <c r="V41" s="1240"/>
      <c r="W41" s="1240"/>
      <c r="X41" s="764"/>
      <c r="Y41" s="1539"/>
      <c r="Z41" s="1529"/>
      <c r="AA41" s="668" t="s">
        <v>174</v>
      </c>
      <c r="AB41" s="84" t="s">
        <v>466</v>
      </c>
      <c r="AC41" s="270" t="str">
        <f>I41&amp;" :: "&amp;K41</f>
        <v>Насосная станция  Гидроузел №2 :: г Ленинск-Кузнецкий, проезд Объездная дорога, 13</v>
      </c>
      <c r="AD41" s="270" t="s">
        <v>443</v>
      </c>
      <c r="AE41" s="270" t="s">
        <v>229</v>
      </c>
      <c r="AF41" s="406" t="s">
        <v>230</v>
      </c>
      <c r="AG41" s="406" t="s">
        <v>444</v>
      </c>
      <c r="AH41" s="185"/>
      <c r="AI41" s="1240"/>
      <c r="AJ41" s="1240"/>
      <c r="AK41" s="1008" t="s">
        <v>437</v>
      </c>
      <c r="AL41" s="1008" t="s">
        <v>438</v>
      </c>
      <c r="AM41" s="1008" cm="1" t="str">
        <f t="array" ref="AM41:AM41">AC41</f>
        <v>Насосная станция  Гидроузел №2 :: г Ленинск-Кузнецкий, проезд Объездная дорога, 13</v>
      </c>
      <c r="AN41" s="1008" cm="1" t="str">
        <f t="array" ref="AN41:AN41">AD41</f>
        <v>концессионное соглашение</v>
      </c>
      <c r="AO41" s="1008" cm="1" t="str">
        <f t="array" ref="AO41:AO41">AE41</f>
        <v>соглашение</v>
      </c>
      <c r="AP41" s="1008" cm="1" t="str">
        <f t="array" ref="AP41:AP41">AF41</f>
        <v>1/Л-К</v>
      </c>
      <c r="AQ41" s="1008" cm="1" t="str">
        <f t="array" ref="AQ41:AQ41">AG41</f>
        <v>14.11.2019</v>
      </c>
      <c r="AR41" s="633"/>
      <c r="AS41" s="633" t="b">
        <v>1</v>
      </c>
    </row>
    <row s="1240" customFormat="1" customHeight="1" ht="23.25">
      <c r="A42" s="1240"/>
      <c r="B42" s="430"/>
      <c r="C42" s="1240"/>
      <c r="D42" s="1240"/>
      <c r="E42" s="634">
        <v>15</v>
      </c>
      <c r="F42" s="100" cm="1" t="str">
        <f t="array" ref="F42:F42">OFFSET(G42,-1,-1)</f>
        <v>1</v>
      </c>
      <c r="G42" s="1240"/>
      <c r="H42" s="1240"/>
      <c r="I42" s="100" t="s">
        <v>467</v>
      </c>
      <c r="J42" s="1240"/>
      <c r="K42" s="100" t="s">
        <v>468</v>
      </c>
      <c r="L42" s="1240"/>
      <c r="M42" s="1240"/>
      <c r="N42" s="1240"/>
      <c r="O42" s="1240"/>
      <c r="P42" s="1240"/>
      <c r="Q42" s="1240"/>
      <c r="R42" s="1240"/>
      <c r="S42" s="1240"/>
      <c r="T42" s="1240"/>
      <c r="U42" s="468">
        <f>AND(F42&gt;0,AB42&gt;0)</f>
        <v>1</v>
      </c>
      <c r="V42" s="1240"/>
      <c r="W42" s="1240"/>
      <c r="X42" s="764"/>
      <c r="Y42" s="1539"/>
      <c r="Z42" s="1529"/>
      <c r="AA42" s="668" t="s">
        <v>174</v>
      </c>
      <c r="AB42" s="84" t="s">
        <v>469</v>
      </c>
      <c r="AC42" s="270" t="str">
        <f>I42&amp;" :: "&amp;K42</f>
        <v>Скважина Никитинская 534 :: г Ленинск-Кузнецкий, ул. Никитинская, 2"б"</v>
      </c>
      <c r="AD42" s="270" t="s">
        <v>443</v>
      </c>
      <c r="AE42" s="270" t="s">
        <v>229</v>
      </c>
      <c r="AF42" s="406" t="s">
        <v>230</v>
      </c>
      <c r="AG42" s="406" t="s">
        <v>444</v>
      </c>
      <c r="AH42" s="185"/>
      <c r="AI42" s="1240"/>
      <c r="AJ42" s="1240"/>
      <c r="AK42" s="1008" t="s">
        <v>437</v>
      </c>
      <c r="AL42" s="1008" t="s">
        <v>438</v>
      </c>
      <c r="AM42" s="1008" cm="1" t="str">
        <f t="array" ref="AM42:AM42">AC42</f>
        <v>Скважина Никитинская 534 :: г Ленинск-Кузнецкий, ул. Никитинская, 2"б"</v>
      </c>
      <c r="AN42" s="1008" cm="1" t="str">
        <f t="array" ref="AN42:AN42">AD42</f>
        <v>концессионное соглашение</v>
      </c>
      <c r="AO42" s="1008" cm="1" t="str">
        <f t="array" ref="AO42:AO42">AE42</f>
        <v>соглашение</v>
      </c>
      <c r="AP42" s="1008" cm="1" t="str">
        <f t="array" ref="AP42:AP42">AF42</f>
        <v>1/Л-К</v>
      </c>
      <c r="AQ42" s="1008" cm="1" t="str">
        <f t="array" ref="AQ42:AQ42">AG42</f>
        <v>14.11.2019</v>
      </c>
      <c r="AR42" s="633"/>
      <c r="AS42" s="633" t="b">
        <v>1</v>
      </c>
    </row>
    <row s="1240" customFormat="1" customHeight="1" ht="23.25">
      <c r="A43" s="1240"/>
      <c r="B43" s="430"/>
      <c r="C43" s="1240"/>
      <c r="D43" s="1240"/>
      <c r="E43" s="634">
        <v>15</v>
      </c>
      <c r="F43" s="100" cm="1" t="str">
        <f t="array" ref="F43:F43">OFFSET(G43,-1,-1)</f>
        <v>1</v>
      </c>
      <c r="G43" s="1240"/>
      <c r="H43" s="1240"/>
      <c r="I43" s="100" t="s">
        <v>470</v>
      </c>
      <c r="J43" s="1240"/>
      <c r="K43" s="100" t="s">
        <v>471</v>
      </c>
      <c r="L43" s="1240"/>
      <c r="M43" s="1240"/>
      <c r="N43" s="1240"/>
      <c r="O43" s="1240"/>
      <c r="P43" s="1240"/>
      <c r="Q43" s="1240"/>
      <c r="R43" s="1240"/>
      <c r="S43" s="1240"/>
      <c r="T43" s="1240"/>
      <c r="U43" s="468">
        <f>AND(F43&gt;0,AB43&gt;0)</f>
        <v>1</v>
      </c>
      <c r="V43" s="1240"/>
      <c r="W43" s="1240"/>
      <c r="X43" s="764"/>
      <c r="Y43" s="1539"/>
      <c r="Z43" s="1529"/>
      <c r="AA43" s="668" t="s">
        <v>174</v>
      </c>
      <c r="AB43" s="84" t="s">
        <v>472</v>
      </c>
      <c r="AC43" s="270" t="str">
        <f>I43&amp;" :: "&amp;K43</f>
        <v>Скважина Никитинская 602 :: г Ленинск-Кузнецкий, ул. Никитинская, 2"в" сооружение 1</v>
      </c>
      <c r="AD43" s="270" t="s">
        <v>443</v>
      </c>
      <c r="AE43" s="270" t="s">
        <v>229</v>
      </c>
      <c r="AF43" s="406" t="s">
        <v>230</v>
      </c>
      <c r="AG43" s="406" t="s">
        <v>444</v>
      </c>
      <c r="AH43" s="185"/>
      <c r="AI43" s="1240"/>
      <c r="AJ43" s="1240"/>
      <c r="AK43" s="1008" t="s">
        <v>437</v>
      </c>
      <c r="AL43" s="1008" t="s">
        <v>438</v>
      </c>
      <c r="AM43" s="1008" cm="1" t="str">
        <f t="array" ref="AM43:AM43">AC43</f>
        <v>Скважина Никитинская 602 :: г Ленинск-Кузнецкий, ул. Никитинская, 2"в" сооружение 1</v>
      </c>
      <c r="AN43" s="1008" cm="1" t="str">
        <f t="array" ref="AN43:AN43">AD43</f>
        <v>концессионное соглашение</v>
      </c>
      <c r="AO43" s="1008" cm="1" t="str">
        <f t="array" ref="AO43:AO43">AE43</f>
        <v>соглашение</v>
      </c>
      <c r="AP43" s="1008" cm="1" t="str">
        <f t="array" ref="AP43:AP43">AF43</f>
        <v>1/Л-К</v>
      </c>
      <c r="AQ43" s="1008" cm="1" t="str">
        <f t="array" ref="AQ43:AQ43">AG43</f>
        <v>14.11.2019</v>
      </c>
      <c r="AR43" s="633"/>
      <c r="AS43" s="633" t="b">
        <v>1</v>
      </c>
    </row>
    <row s="1240" customFormat="1" customHeight="1" ht="23.25">
      <c r="A44" s="1240"/>
      <c r="B44" s="430"/>
      <c r="C44" s="1240"/>
      <c r="D44" s="1240"/>
      <c r="E44" s="634">
        <v>15</v>
      </c>
      <c r="F44" s="100" cm="1" t="str">
        <f t="array" ref="F44:F44">OFFSET(G44,-1,-1)</f>
        <v>1</v>
      </c>
      <c r="G44" s="1240"/>
      <c r="H44" s="1240"/>
      <c r="I44" s="100" t="s">
        <v>473</v>
      </c>
      <c r="J44" s="1240"/>
      <c r="K44" s="100" t="s">
        <v>474</v>
      </c>
      <c r="L44" s="1240"/>
      <c r="M44" s="1240"/>
      <c r="N44" s="1240"/>
      <c r="O44" s="1240"/>
      <c r="P44" s="1240"/>
      <c r="Q44" s="1240"/>
      <c r="R44" s="1240"/>
      <c r="S44" s="1240"/>
      <c r="T44" s="1240"/>
      <c r="U44" s="468">
        <f>AND(F44&gt;0,AB44&gt;0)</f>
        <v>1</v>
      </c>
      <c r="V44" s="1240"/>
      <c r="W44" s="1240"/>
      <c r="X44" s="764"/>
      <c r="Y44" s="1539"/>
      <c r="Z44" s="1529"/>
      <c r="AA44" s="668" t="s">
        <v>174</v>
      </c>
      <c r="AB44" s="84" t="s">
        <v>475</v>
      </c>
      <c r="AC44" s="270" t="str">
        <f>I44&amp;" :: "&amp;K44</f>
        <v>насосная станция :: г Ленинск-Кузнецкий, ул. Розы Люксембург, 47"б"</v>
      </c>
      <c r="AD44" s="270" t="s">
        <v>443</v>
      </c>
      <c r="AE44" s="270" t="s">
        <v>229</v>
      </c>
      <c r="AF44" s="406" t="s">
        <v>230</v>
      </c>
      <c r="AG44" s="406" t="s">
        <v>444</v>
      </c>
      <c r="AH44" s="185"/>
      <c r="AI44" s="1240"/>
      <c r="AJ44" s="1240"/>
      <c r="AK44" s="1008" t="s">
        <v>437</v>
      </c>
      <c r="AL44" s="1008" t="s">
        <v>438</v>
      </c>
      <c r="AM44" s="1008" cm="1" t="str">
        <f t="array" ref="AM44:AM44">AC44</f>
        <v>насосная станция :: г Ленинск-Кузнецкий, ул. Розы Люксембург, 47"б"</v>
      </c>
      <c r="AN44" s="1008" cm="1" t="str">
        <f t="array" ref="AN44:AN44">AD44</f>
        <v>концессионное соглашение</v>
      </c>
      <c r="AO44" s="1008" cm="1" t="str">
        <f t="array" ref="AO44:AO44">AE44</f>
        <v>соглашение</v>
      </c>
      <c r="AP44" s="1008" cm="1" t="str">
        <f t="array" ref="AP44:AP44">AF44</f>
        <v>1/Л-К</v>
      </c>
      <c r="AQ44" s="1008" cm="1" t="str">
        <f t="array" ref="AQ44:AQ44">AG44</f>
        <v>14.11.2019</v>
      </c>
      <c r="AR44" s="633"/>
      <c r="AS44" s="633" t="b">
        <v>1</v>
      </c>
    </row>
    <row s="1240" customFormat="1" customHeight="1" ht="23.25">
      <c r="A45" s="1240"/>
      <c r="B45" s="430"/>
      <c r="C45" s="1240"/>
      <c r="D45" s="1240"/>
      <c r="E45" s="634">
        <v>15</v>
      </c>
      <c r="F45" s="100" cm="1" t="str">
        <f t="array" ref="F45:F45">OFFSET(G45,-1,-1)</f>
        <v>1</v>
      </c>
      <c r="G45" s="1240"/>
      <c r="H45" s="1240"/>
      <c r="I45" s="100" t="s">
        <v>476</v>
      </c>
      <c r="J45" s="1240"/>
      <c r="K45" s="100" t="s">
        <v>477</v>
      </c>
      <c r="L45" s="1240"/>
      <c r="M45" s="1240"/>
      <c r="N45" s="1240"/>
      <c r="O45" s="1240"/>
      <c r="P45" s="1240"/>
      <c r="Q45" s="1240"/>
      <c r="R45" s="1240"/>
      <c r="S45" s="1240"/>
      <c r="T45" s="1240"/>
      <c r="U45" s="468">
        <f>AND(F45&gt;0,AB45&gt;0)</f>
        <v>1</v>
      </c>
      <c r="V45" s="1240"/>
      <c r="W45" s="1240"/>
      <c r="X45" s="764"/>
      <c r="Y45" s="1539"/>
      <c r="Z45" s="1529"/>
      <c r="AA45" s="668" t="s">
        <v>174</v>
      </c>
      <c r="AB45" s="84" t="s">
        <v>478</v>
      </c>
      <c r="AC45" s="270" t="str">
        <f>I45&amp;" :: "&amp;K45</f>
        <v>Насосная станция  Гидроузел №4 :: г Ленинск-Кузнецкий, ул. Суворова, 209</v>
      </c>
      <c r="AD45" s="270" t="s">
        <v>443</v>
      </c>
      <c r="AE45" s="270" t="s">
        <v>229</v>
      </c>
      <c r="AF45" s="406" t="s">
        <v>230</v>
      </c>
      <c r="AG45" s="406" t="s">
        <v>444</v>
      </c>
      <c r="AH45" s="185"/>
      <c r="AI45" s="1240"/>
      <c r="AJ45" s="1240"/>
      <c r="AK45" s="1008" t="s">
        <v>437</v>
      </c>
      <c r="AL45" s="1008" t="s">
        <v>438</v>
      </c>
      <c r="AM45" s="1008" cm="1" t="str">
        <f t="array" ref="AM45:AM45">AC45</f>
        <v>Насосная станция  Гидроузел №4 :: г Ленинск-Кузнецкий, ул. Суворова, 209</v>
      </c>
      <c r="AN45" s="1008" cm="1" t="str">
        <f t="array" ref="AN45:AN45">AD45</f>
        <v>концессионное соглашение</v>
      </c>
      <c r="AO45" s="1008" cm="1" t="str">
        <f t="array" ref="AO45:AO45">AE45</f>
        <v>соглашение</v>
      </c>
      <c r="AP45" s="1008" cm="1" t="str">
        <f t="array" ref="AP45:AP45">AF45</f>
        <v>1/Л-К</v>
      </c>
      <c r="AQ45" s="1008" cm="1" t="str">
        <f t="array" ref="AQ45:AQ45">AG45</f>
        <v>14.11.2019</v>
      </c>
      <c r="AR45" s="633"/>
      <c r="AS45" s="633" t="b">
        <v>1</v>
      </c>
    </row>
    <row s="1240" customFormat="1" customHeight="1" ht="23.25">
      <c r="A46" s="1240"/>
      <c r="B46" s="430"/>
      <c r="C46" s="1240"/>
      <c r="D46" s="1240"/>
      <c r="E46" s="634">
        <v>15</v>
      </c>
      <c r="F46" s="100" cm="1" t="str">
        <f t="array" ref="F46:F46">OFFSET(G46,-1,-1)</f>
        <v>1</v>
      </c>
      <c r="G46" s="1240"/>
      <c r="H46" s="1240"/>
      <c r="I46" s="100" t="s">
        <v>449</v>
      </c>
      <c r="J46" s="1240"/>
      <c r="K46" s="100" t="s">
        <v>479</v>
      </c>
      <c r="L46" s="1240"/>
      <c r="M46" s="1240"/>
      <c r="N46" s="1240"/>
      <c r="O46" s="1240"/>
      <c r="P46" s="1240"/>
      <c r="Q46" s="1240"/>
      <c r="R46" s="1240"/>
      <c r="S46" s="1240"/>
      <c r="T46" s="1240"/>
      <c r="U46" s="468">
        <f>AND(F46&gt;0,AB46&gt;0)</f>
        <v>1</v>
      </c>
      <c r="V46" s="1240"/>
      <c r="W46" s="1240"/>
      <c r="X46" s="764"/>
      <c r="Y46" s="1539"/>
      <c r="Z46" s="1529"/>
      <c r="AA46" s="668" t="s">
        <v>174</v>
      </c>
      <c r="AB46" s="84" t="s">
        <v>480</v>
      </c>
      <c r="AC46" s="270" t="str">
        <f>I46&amp;" :: "&amp;K46</f>
        <v>сети водоснабжения :: г Полысаево, г. Полысаево, -</v>
      </c>
      <c r="AD46" s="270" t="s">
        <v>443</v>
      </c>
      <c r="AE46" s="270" t="s">
        <v>229</v>
      </c>
      <c r="AF46" s="406" t="s">
        <v>234</v>
      </c>
      <c r="AG46" s="406" t="s">
        <v>444</v>
      </c>
      <c r="AH46" s="185"/>
      <c r="AI46" s="1240"/>
      <c r="AJ46" s="1240"/>
      <c r="AK46" s="1008" t="s">
        <v>437</v>
      </c>
      <c r="AL46" s="1008" t="s">
        <v>438</v>
      </c>
      <c r="AM46" s="1008" cm="1" t="str">
        <f t="array" ref="AM46:AM46">AC46</f>
        <v>сети водоснабжения :: г Полысаево, г. Полысаево, -</v>
      </c>
      <c r="AN46" s="1008" cm="1" t="str">
        <f t="array" ref="AN46:AN46">AD46</f>
        <v>концессионное соглашение</v>
      </c>
      <c r="AO46" s="1008" cm="1" t="str">
        <f t="array" ref="AO46:AO46">AE46</f>
        <v>соглашение</v>
      </c>
      <c r="AP46" s="1008" cm="1" t="str">
        <f t="array" ref="AP46:AP46">AF46</f>
        <v>3</v>
      </c>
      <c r="AQ46" s="1008" cm="1" t="str">
        <f t="array" ref="AQ46:AQ46">AG46</f>
        <v>14.11.2019</v>
      </c>
      <c r="AR46" s="633"/>
      <c r="AS46" s="633" t="b">
        <v>1</v>
      </c>
    </row>
    <row s="1240" customFormat="1" customHeight="1" ht="23.25">
      <c r="A47" s="1240"/>
      <c r="B47" s="430"/>
      <c r="C47" s="1240"/>
      <c r="D47" s="1240"/>
      <c r="E47" s="634">
        <v>15</v>
      </c>
      <c r="F47" s="100" cm="1" t="str">
        <f t="array" ref="F47:F47">OFFSET(G47,-1,-1)</f>
        <v>1</v>
      </c>
      <c r="G47" s="1240"/>
      <c r="H47" s="1240"/>
      <c r="I47" s="100" t="s">
        <v>481</v>
      </c>
      <c r="J47" s="1240"/>
      <c r="K47" s="100" t="s">
        <v>482</v>
      </c>
      <c r="L47" s="1240"/>
      <c r="M47" s="1240"/>
      <c r="N47" s="1240"/>
      <c r="O47" s="1240"/>
      <c r="P47" s="1240"/>
      <c r="Q47" s="1240"/>
      <c r="R47" s="1240"/>
      <c r="S47" s="1240"/>
      <c r="T47" s="1240"/>
      <c r="U47" s="468">
        <f>AND(F47&gt;0,AB47&gt;0)</f>
        <v>1</v>
      </c>
      <c r="V47" s="1240"/>
      <c r="W47" s="1240"/>
      <c r="X47" s="764"/>
      <c r="Y47" s="1539"/>
      <c r="Z47" s="1529"/>
      <c r="AA47" s="668" t="s">
        <v>174</v>
      </c>
      <c r="AB47" s="84" t="s">
        <v>353</v>
      </c>
      <c r="AC47" s="270" t="str">
        <f>I47&amp;" :: "&amp;K47</f>
        <v>Гидроузел №6 :: г Полысаево, проезд Межквартальный,, д.7, строение 2</v>
      </c>
      <c r="AD47" s="270" t="s">
        <v>443</v>
      </c>
      <c r="AE47" s="270" t="s">
        <v>229</v>
      </c>
      <c r="AF47" s="406" t="s">
        <v>234</v>
      </c>
      <c r="AG47" s="406" t="s">
        <v>444</v>
      </c>
      <c r="AH47" s="185"/>
      <c r="AI47" s="1240"/>
      <c r="AJ47" s="1240"/>
      <c r="AK47" s="1008" t="s">
        <v>437</v>
      </c>
      <c r="AL47" s="1008" t="s">
        <v>438</v>
      </c>
      <c r="AM47" s="1008" cm="1" t="str">
        <f t="array" ref="AM47:AM47">AC47</f>
        <v>Гидроузел №6 :: г Полысаево, проезд Межквартальный,, д.7, строение 2</v>
      </c>
      <c r="AN47" s="1008" cm="1" t="str">
        <f t="array" ref="AN47:AN47">AD47</f>
        <v>концессионное соглашение</v>
      </c>
      <c r="AO47" s="1008" cm="1" t="str">
        <f t="array" ref="AO47:AO47">AE47</f>
        <v>соглашение</v>
      </c>
      <c r="AP47" s="1008" cm="1" t="str">
        <f t="array" ref="AP47:AP47">AF47</f>
        <v>3</v>
      </c>
      <c r="AQ47" s="1008" cm="1" t="str">
        <f t="array" ref="AQ47:AQ47">AG47</f>
        <v>14.11.2019</v>
      </c>
      <c r="AR47" s="633"/>
      <c r="AS47" s="633" t="b">
        <v>1</v>
      </c>
    </row>
    <row s="1240" customFormat="1" customHeight="1" ht="38.671875">
      <c r="A48" s="1240"/>
      <c r="B48" s="430"/>
      <c r="C48" s="1240"/>
      <c r="D48" s="1240"/>
      <c r="E48" s="634">
        <v>15</v>
      </c>
      <c r="F48" s="100" cm="1" t="str">
        <f t="array" ref="F48:F48">OFFSET(G48,-1,-1)</f>
        <v>1</v>
      </c>
      <c r="G48" s="1240"/>
      <c r="H48" s="1240"/>
      <c r="I48" s="100" t="s">
        <v>483</v>
      </c>
      <c r="J48" s="1240"/>
      <c r="K48" s="100" t="s">
        <v>484</v>
      </c>
      <c r="L48" s="1240"/>
      <c r="M48" s="1240"/>
      <c r="N48" s="1240"/>
      <c r="O48" s="1240"/>
      <c r="P48" s="1240"/>
      <c r="Q48" s="1240"/>
      <c r="R48" s="1240"/>
      <c r="S48" s="1240"/>
      <c r="T48" s="1240"/>
      <c r="U48" s="468">
        <f>AND(F48&gt;0,AB48&gt;0)</f>
        <v>1</v>
      </c>
      <c r="V48" s="1240"/>
      <c r="W48" s="1240"/>
      <c r="X48" s="764"/>
      <c r="Y48" s="1539"/>
      <c r="Z48" s="1529"/>
      <c r="AA48" s="668" t="s">
        <v>174</v>
      </c>
      <c r="AB48" s="84" t="s">
        <v>485</v>
      </c>
      <c r="AC48" s="270" t="str">
        <f>I48&amp;" :: "&amp;K48</f>
        <v>Насосная станция Демьяновский ГУ Гидроузел №1 :: п Демьяновка, за придорожной полосой автомобильной дороги Новосибирск-Ленинск-Кузнецкий-Кемерово-Юрга, 259 км+500м(справа) корпус 5, корпус 5</v>
      </c>
      <c r="AD48" s="270" t="s">
        <v>443</v>
      </c>
      <c r="AE48" s="270" t="s">
        <v>229</v>
      </c>
      <c r="AF48" s="406" t="s">
        <v>230</v>
      </c>
      <c r="AG48" s="406" t="s">
        <v>444</v>
      </c>
      <c r="AH48" s="185"/>
      <c r="AI48" s="1240"/>
      <c r="AJ48" s="1240"/>
      <c r="AK48" s="1008" t="s">
        <v>437</v>
      </c>
      <c r="AL48" s="1008" t="s">
        <v>438</v>
      </c>
      <c r="AM48" s="1008" cm="1" t="str">
        <f t="array" ref="AM48:AM48">AC48</f>
        <v>Насосная станция Демьяновский ГУ Гидроузел №1 :: п Демьяновка, за придорожной полосой автомобильной дороги Новосибирск-Ленинск-Кузнецкий-Кемерово-Юрга, 259 км+500м(справа) корпус 5, корпус 5</v>
      </c>
      <c r="AN48" s="1008" cm="1" t="str">
        <f t="array" ref="AN48:AN48">AD48</f>
        <v>концессионное соглашение</v>
      </c>
      <c r="AO48" s="1008" cm="1" t="str">
        <f t="array" ref="AO48:AO48">AE48</f>
        <v>соглашение</v>
      </c>
      <c r="AP48" s="1008" cm="1" t="str">
        <f t="array" ref="AP48:AP48">AF48</f>
        <v>1/Л-К</v>
      </c>
      <c r="AQ48" s="1008" cm="1" t="str">
        <f t="array" ref="AQ48:AQ48">AG48</f>
        <v>14.11.2019</v>
      </c>
      <c r="AR48" s="633"/>
      <c r="AS48" s="633" t="b">
        <v>1</v>
      </c>
    </row>
    <row s="1240" customFormat="1" customHeight="1" ht="23.25">
      <c r="A49" s="1240"/>
      <c r="B49" s="430"/>
      <c r="C49" s="1240"/>
      <c r="D49" s="1240"/>
      <c r="E49" s="634">
        <v>15</v>
      </c>
      <c r="F49" s="100" cm="1" t="str">
        <f t="array" ref="F49:F49">OFFSET(G49,-1,-1)</f>
        <v>1</v>
      </c>
      <c r="G49" s="1240"/>
      <c r="H49" s="1240"/>
      <c r="I49" s="100" t="s">
        <v>486</v>
      </c>
      <c r="J49" s="1240"/>
      <c r="K49" s="100" t="s">
        <v>487</v>
      </c>
      <c r="L49" s="1240"/>
      <c r="M49" s="1240"/>
      <c r="N49" s="1240"/>
      <c r="O49" s="1240"/>
      <c r="P49" s="1240"/>
      <c r="Q49" s="1240"/>
      <c r="R49" s="1240"/>
      <c r="S49" s="1240"/>
      <c r="T49" s="1240"/>
      <c r="U49" s="468">
        <f>AND(F49&gt;0,AB49&gt;0)</f>
        <v>1</v>
      </c>
      <c r="V49" s="1240"/>
      <c r="W49" s="1240"/>
      <c r="X49" s="764"/>
      <c r="Y49" s="1539"/>
      <c r="Z49" s="1529"/>
      <c r="AA49" s="668" t="s">
        <v>174</v>
      </c>
      <c r="AB49" s="84" t="s">
        <v>488</v>
      </c>
      <c r="AC49" s="270" t="str">
        <f>I49&amp;" :: "&amp;K49</f>
        <v>НФС               Насосная станция 5-го подъема :: п Демьяновка, пер. Новый, 18, корпус 8</v>
      </c>
      <c r="AD49" s="270" t="s">
        <v>443</v>
      </c>
      <c r="AE49" s="270" t="s">
        <v>229</v>
      </c>
      <c r="AF49" s="406" t="s">
        <v>230</v>
      </c>
      <c r="AG49" s="406" t="s">
        <v>444</v>
      </c>
      <c r="AH49" s="185"/>
      <c r="AI49" s="1240"/>
      <c r="AJ49" s="1240"/>
      <c r="AK49" s="1008" t="s">
        <v>437</v>
      </c>
      <c r="AL49" s="1008" t="s">
        <v>438</v>
      </c>
      <c r="AM49" s="1008" cm="1" t="str">
        <f t="array" ref="AM49:AM49">AC49</f>
        <v>НФС               Насосная станция 5-го подъема :: п Демьяновка, пер. Новый, 18, корпус 8</v>
      </c>
      <c r="AN49" s="1008" cm="1" t="str">
        <f t="array" ref="AN49:AN49">AD49</f>
        <v>концессионное соглашение</v>
      </c>
      <c r="AO49" s="1008" cm="1" t="str">
        <f t="array" ref="AO49:AO49">AE49</f>
        <v>соглашение</v>
      </c>
      <c r="AP49" s="1008" cm="1" t="str">
        <f t="array" ref="AP49:AP49">AF49</f>
        <v>1/Л-К</v>
      </c>
      <c r="AQ49" s="1008" cm="1" t="str">
        <f t="array" ref="AQ49:AQ49">AG49</f>
        <v>14.11.2019</v>
      </c>
      <c r="AR49" s="633"/>
      <c r="AS49" s="633" t="b">
        <v>1</v>
      </c>
    </row>
    <row s="1240" customFormat="1" customHeight="1" ht="23.25">
      <c r="A50" s="1240"/>
      <c r="B50" s="430"/>
      <c r="C50" s="1240"/>
      <c r="D50" s="1240"/>
      <c r="E50" s="634">
        <v>15</v>
      </c>
      <c r="F50" s="100" cm="1" t="str">
        <f t="array" ref="F50:F50">OFFSET(G50,-1,-1)</f>
        <v>1</v>
      </c>
      <c r="G50" s="1240"/>
      <c r="H50" s="1240"/>
      <c r="I50" s="100" t="s">
        <v>467</v>
      </c>
      <c r="J50" s="1240"/>
      <c r="K50" s="100" t="s">
        <v>489</v>
      </c>
      <c r="L50" s="1240"/>
      <c r="M50" s="1240"/>
      <c r="N50" s="1240"/>
      <c r="O50" s="1240"/>
      <c r="P50" s="1240"/>
      <c r="Q50" s="1240"/>
      <c r="R50" s="1240"/>
      <c r="S50" s="1240"/>
      <c r="T50" s="1240"/>
      <c r="U50" s="468">
        <f>AND(F50&gt;0,AB50&gt;0)</f>
        <v>1</v>
      </c>
      <c r="V50" s="1240"/>
      <c r="W50" s="1240"/>
      <c r="X50" s="764"/>
      <c r="Y50" s="1539"/>
      <c r="Z50" s="1529"/>
      <c r="AA50" s="668" t="s">
        <v>174</v>
      </c>
      <c r="AB50" s="84" t="s">
        <v>490</v>
      </c>
      <c r="AC50" s="270" t="str">
        <f>I50&amp;" :: "&amp;K50</f>
        <v>Скважина Никитинская 534 :: п Никитинский, ул. Никитинская, 2"б"</v>
      </c>
      <c r="AD50" s="270" t="s">
        <v>443</v>
      </c>
      <c r="AE50" s="270" t="s">
        <v>229</v>
      </c>
      <c r="AF50" s="406" t="s">
        <v>230</v>
      </c>
      <c r="AG50" s="406" t="s">
        <v>444</v>
      </c>
      <c r="AH50" s="185"/>
      <c r="AI50" s="1240"/>
      <c r="AJ50" s="1240"/>
      <c r="AK50" s="1008" t="s">
        <v>437</v>
      </c>
      <c r="AL50" s="1008" t="s">
        <v>438</v>
      </c>
      <c r="AM50" s="1008" cm="1" t="str">
        <f t="array" ref="AM50:AM50">AC50</f>
        <v>Скважина Никитинская 534 :: п Никитинский, ул. Никитинская, 2"б"</v>
      </c>
      <c r="AN50" s="1008" cm="1" t="str">
        <f t="array" ref="AN50:AN50">AD50</f>
        <v>концессионное соглашение</v>
      </c>
      <c r="AO50" s="1008" cm="1" t="str">
        <f t="array" ref="AO50:AO50">AE50</f>
        <v>соглашение</v>
      </c>
      <c r="AP50" s="1008" cm="1" t="str">
        <f t="array" ref="AP50:AP50">AF50</f>
        <v>1/Л-К</v>
      </c>
      <c r="AQ50" s="1008" cm="1" t="str">
        <f t="array" ref="AQ50:AQ50">AG50</f>
        <v>14.11.2019</v>
      </c>
      <c r="AR50" s="633"/>
      <c r="AS50" s="633" t="b">
        <v>1</v>
      </c>
    </row>
    <row s="1240" customFormat="1" customHeight="1" ht="23.25">
      <c r="A51" s="1240"/>
      <c r="B51" s="430"/>
      <c r="C51" s="1240"/>
      <c r="D51" s="1240"/>
      <c r="E51" s="634">
        <v>15</v>
      </c>
      <c r="F51" s="100" cm="1" t="str">
        <f t="array" ref="F51:F51">OFFSET(G51,-1,-1)</f>
        <v>1</v>
      </c>
      <c r="G51" s="1240"/>
      <c r="H51" s="1240"/>
      <c r="I51" s="100" t="s">
        <v>470</v>
      </c>
      <c r="J51" s="1240"/>
      <c r="K51" s="100" t="s">
        <v>491</v>
      </c>
      <c r="L51" s="1240"/>
      <c r="M51" s="1240"/>
      <c r="N51" s="1240"/>
      <c r="O51" s="1240"/>
      <c r="P51" s="1240"/>
      <c r="Q51" s="1240"/>
      <c r="R51" s="1240"/>
      <c r="S51" s="1240"/>
      <c r="T51" s="1240"/>
      <c r="U51" s="468">
        <f>AND(F51&gt;0,AB51&gt;0)</f>
        <v>1</v>
      </c>
      <c r="V51" s="1240"/>
      <c r="W51" s="1240"/>
      <c r="X51" s="764"/>
      <c r="Y51" s="1539"/>
      <c r="Z51" s="1529"/>
      <c r="AA51" s="668" t="s">
        <v>174</v>
      </c>
      <c r="AB51" s="84" t="s">
        <v>492</v>
      </c>
      <c r="AC51" s="270" t="str">
        <f>I51&amp;" :: "&amp;K51</f>
        <v>Скважина Никитинская 602 :: п Никитинский, ул. Никитинская, 2"в" сооружение 1</v>
      </c>
      <c r="AD51" s="270" t="s">
        <v>443</v>
      </c>
      <c r="AE51" s="270" t="s">
        <v>229</v>
      </c>
      <c r="AF51" s="406" t="s">
        <v>230</v>
      </c>
      <c r="AG51" s="406" t="s">
        <v>444</v>
      </c>
      <c r="AH51" s="185"/>
      <c r="AI51" s="1240"/>
      <c r="AJ51" s="1240"/>
      <c r="AK51" s="1008" t="s">
        <v>437</v>
      </c>
      <c r="AL51" s="1008" t="s">
        <v>438</v>
      </c>
      <c r="AM51" s="1008" cm="1" t="str">
        <f t="array" ref="AM51:AM51">AC51</f>
        <v>Скважина Никитинская 602 :: п Никитинский, ул. Никитинская, 2"в" сооружение 1</v>
      </c>
      <c r="AN51" s="1008" cm="1" t="str">
        <f t="array" ref="AN51:AN51">AD51</f>
        <v>концессионное соглашение</v>
      </c>
      <c r="AO51" s="1008" cm="1" t="str">
        <f t="array" ref="AO51:AO51">AE51</f>
        <v>соглашение</v>
      </c>
      <c r="AP51" s="1008" cm="1" t="str">
        <f t="array" ref="AP51:AP51">AF51</f>
        <v>1/Л-К</v>
      </c>
      <c r="AQ51" s="1008" cm="1" t="str">
        <f t="array" ref="AQ51:AQ51">AG51</f>
        <v>14.11.2019</v>
      </c>
      <c r="AR51" s="633"/>
      <c r="AS51" s="633" t="b">
        <v>1</v>
      </c>
    </row>
    <row s="1240" customFormat="1" customHeight="1" ht="23.25">
      <c r="A52" s="1240"/>
      <c r="B52" s="430"/>
      <c r="C52" s="1240"/>
      <c r="D52" s="1240"/>
      <c r="E52" s="634">
        <v>15</v>
      </c>
      <c r="F52" s="100" cm="1" t="str">
        <f t="array" ref="F52:F52">OFFSET(G52,-1,-1)</f>
        <v>1</v>
      </c>
      <c r="G52" s="1240"/>
      <c r="H52" s="1240"/>
      <c r="I52" s="100" t="s">
        <v>493</v>
      </c>
      <c r="J52" s="1240"/>
      <c r="K52" s="100" t="s">
        <v>494</v>
      </c>
      <c r="L52" s="1240"/>
      <c r="M52" s="1240"/>
      <c r="N52" s="1240"/>
      <c r="O52" s="1240"/>
      <c r="P52" s="1240"/>
      <c r="Q52" s="1240"/>
      <c r="R52" s="1240"/>
      <c r="S52" s="1240"/>
      <c r="T52" s="1240"/>
      <c r="U52" s="468">
        <f>AND(F52&gt;0,AB52&gt;0)</f>
        <v>1</v>
      </c>
      <c r="V52" s="1240"/>
      <c r="W52" s="1240"/>
      <c r="X52" s="764"/>
      <c r="Y52" s="1539"/>
      <c r="Z52" s="1529"/>
      <c r="AA52" s="668" t="s">
        <v>174</v>
      </c>
      <c r="AB52" s="84" t="s">
        <v>495</v>
      </c>
      <c r="AC52" s="270" t="str">
        <f>I52&amp;" :: "&amp;K52</f>
        <v>Насосная станция 2-го подъема :: пгт Крапивинский, 1 км автомобильной дороги Крапивинский-Панфилово, б/н</v>
      </c>
      <c r="AD52" s="270" t="s">
        <v>443</v>
      </c>
      <c r="AE52" s="270" t="s">
        <v>229</v>
      </c>
      <c r="AF52" s="406" t="s">
        <v>230</v>
      </c>
      <c r="AG52" s="406" t="s">
        <v>444</v>
      </c>
      <c r="AH52" s="185"/>
      <c r="AI52" s="1240"/>
      <c r="AJ52" s="1240"/>
      <c r="AK52" s="1008" t="s">
        <v>437</v>
      </c>
      <c r="AL52" s="1008" t="s">
        <v>438</v>
      </c>
      <c r="AM52" s="1008" cm="1" t="str">
        <f t="array" ref="AM52:AM52">AC52</f>
        <v>Насосная станция 2-го подъема :: пгт Крапивинский, 1 км автомобильной дороги Крапивинский-Панфилово, б/н</v>
      </c>
      <c r="AN52" s="1008" cm="1" t="str">
        <f t="array" ref="AN52:AN52">AD52</f>
        <v>концессионное соглашение</v>
      </c>
      <c r="AO52" s="1008" cm="1" t="str">
        <f t="array" ref="AO52:AO52">AE52</f>
        <v>соглашение</v>
      </c>
      <c r="AP52" s="1008" cm="1" t="str">
        <f t="array" ref="AP52:AP52">AF52</f>
        <v>1/Л-К</v>
      </c>
      <c r="AQ52" s="1008" cm="1" t="str">
        <f t="array" ref="AQ52:AQ52">AG52</f>
        <v>14.11.2019</v>
      </c>
      <c r="AR52" s="633"/>
      <c r="AS52" s="633" t="b">
        <v>1</v>
      </c>
    </row>
    <row s="1240" customFormat="1" customHeight="1" ht="28.921875">
      <c r="A53" s="1240"/>
      <c r="B53" s="430"/>
      <c r="C53" s="1240"/>
      <c r="D53" s="1240"/>
      <c r="E53" s="634">
        <v>15</v>
      </c>
      <c r="F53" s="100" cm="1" t="str">
        <f t="array" ref="F53:F53">OFFSET(G53,-1,-1)</f>
        <v>1</v>
      </c>
      <c r="G53" s="1240"/>
      <c r="H53" s="1240"/>
      <c r="I53" s="100" t="s">
        <v>496</v>
      </c>
      <c r="J53" s="1240"/>
      <c r="K53" s="100" t="s">
        <v>497</v>
      </c>
      <c r="L53" s="1240"/>
      <c r="M53" s="1240"/>
      <c r="N53" s="1240"/>
      <c r="O53" s="1240"/>
      <c r="P53" s="1240"/>
      <c r="Q53" s="1240"/>
      <c r="R53" s="1240"/>
      <c r="S53" s="1240"/>
      <c r="T53" s="1240"/>
      <c r="U53" s="468">
        <f>AND(F53&gt;0,AB53&gt;0)</f>
        <v>1</v>
      </c>
      <c r="V53" s="1240"/>
      <c r="W53" s="1240"/>
      <c r="X53" s="764"/>
      <c r="Y53" s="1539"/>
      <c r="Z53" s="1529"/>
      <c r="AA53" s="668" t="s">
        <v>174</v>
      </c>
      <c r="AB53" s="84" t="s">
        <v>498</v>
      </c>
      <c r="AC53" s="270" t="str">
        <f>I53&amp;" :: "&amp;K53</f>
        <v>Насосная станция 3-го подъема :: пгт Крапивинский, 8 км автомобильной дороги Крапивинский-Панфилово, б/н</v>
      </c>
      <c r="AD53" s="270" t="s">
        <v>443</v>
      </c>
      <c r="AE53" s="270" t="s">
        <v>229</v>
      </c>
      <c r="AF53" s="406" t="s">
        <v>230</v>
      </c>
      <c r="AG53" s="406" t="s">
        <v>444</v>
      </c>
      <c r="AH53" s="185"/>
      <c r="AI53" s="1240"/>
      <c r="AJ53" s="1240"/>
      <c r="AK53" s="1008" t="s">
        <v>437</v>
      </c>
      <c r="AL53" s="1008" t="s">
        <v>438</v>
      </c>
      <c r="AM53" s="1008" cm="1" t="str">
        <f t="array" ref="AM53:AM53">AC53</f>
        <v>Насосная станция 3-го подъема :: пгт Крапивинский, 8 км автомобильной дороги Крапивинский-Панфилово, б/н</v>
      </c>
      <c r="AN53" s="1008" cm="1" t="str">
        <f t="array" ref="AN53:AN53">AD53</f>
        <v>концессионное соглашение</v>
      </c>
      <c r="AO53" s="1008" cm="1" t="str">
        <f t="array" ref="AO53:AO53">AE53</f>
        <v>соглашение</v>
      </c>
      <c r="AP53" s="1008" cm="1" t="str">
        <f t="array" ref="AP53:AP53">AF53</f>
        <v>1/Л-К</v>
      </c>
      <c r="AQ53" s="1008" cm="1" t="str">
        <f t="array" ref="AQ53:AQ53">AG53</f>
        <v>14.11.2019</v>
      </c>
      <c r="AR53" s="633"/>
      <c r="AS53" s="633" t="b">
        <v>1</v>
      </c>
    </row>
    <row s="1240" customFormat="1" customHeight="1" ht="23.671875">
      <c r="A54" s="1240"/>
      <c r="B54" s="430"/>
      <c r="C54" s="1240"/>
      <c r="D54" s="1240"/>
      <c r="E54" s="634">
        <v>15</v>
      </c>
      <c r="F54" s="100" cm="1" t="str">
        <f t="array" ref="F54:F54">OFFSET(G54,-1,-1)</f>
        <v>1</v>
      </c>
      <c r="G54" s="1240"/>
      <c r="H54" s="1240"/>
      <c r="I54" s="100" t="s">
        <v>499</v>
      </c>
      <c r="J54" s="1240"/>
      <c r="K54" s="100" t="s">
        <v>500</v>
      </c>
      <c r="L54" s="1240"/>
      <c r="M54" s="1240"/>
      <c r="N54" s="1240"/>
      <c r="O54" s="1240"/>
      <c r="P54" s="1240"/>
      <c r="Q54" s="1240"/>
      <c r="R54" s="1240"/>
      <c r="S54" s="1240"/>
      <c r="T54" s="1240"/>
      <c r="U54" s="468">
        <f>AND(F54&gt;0,AB54&gt;0)</f>
        <v>1</v>
      </c>
      <c r="V54" s="1240"/>
      <c r="W54" s="1240"/>
      <c r="X54" s="764"/>
      <c r="Y54" s="1539"/>
      <c r="Z54" s="1529"/>
      <c r="AA54" s="668" t="s">
        <v>174</v>
      </c>
      <c r="AB54" s="84" t="s">
        <v>501</v>
      </c>
      <c r="AC54" s="270" t="str">
        <f>I54&amp;" :: "&amp;K54</f>
        <v>Водозабор- насосная станция 1-го подъема :: пгт Крапивинский, пгт. Крапивинский, корпус 1</v>
      </c>
      <c r="AD54" s="270" t="s">
        <v>443</v>
      </c>
      <c r="AE54" s="270" t="s">
        <v>229</v>
      </c>
      <c r="AF54" s="406" t="s">
        <v>230</v>
      </c>
      <c r="AG54" s="406" t="s">
        <v>444</v>
      </c>
      <c r="AH54" s="185"/>
      <c r="AI54" s="1240"/>
      <c r="AJ54" s="1240"/>
      <c r="AK54" s="1008" t="s">
        <v>437</v>
      </c>
      <c r="AL54" s="1008" t="s">
        <v>438</v>
      </c>
      <c r="AM54" s="1008" cm="1" t="str">
        <f t="array" ref="AM54:AM54">AC54</f>
        <v>Водозабор- насосная станция 1-го подъема :: пгт Крапивинский, пгт. Крапивинский, корпус 1</v>
      </c>
      <c r="AN54" s="1008" cm="1" t="str">
        <f t="array" ref="AN54:AN54">AD54</f>
        <v>концессионное соглашение</v>
      </c>
      <c r="AO54" s="1008" cm="1" t="str">
        <f t="array" ref="AO54:AO54">AE54</f>
        <v>соглашение</v>
      </c>
      <c r="AP54" s="1008" cm="1" t="str">
        <f t="array" ref="AP54:AP54">AF54</f>
        <v>1/Л-К</v>
      </c>
      <c r="AQ54" s="1008" cm="1" t="str">
        <f t="array" ref="AQ54:AQ54">AG54</f>
        <v>14.11.2019</v>
      </c>
      <c r="AR54" s="633"/>
      <c r="AS54" s="633" t="b">
        <v>1</v>
      </c>
    </row>
    <row s="541" customFormat="1" customHeight="1" ht="10.5">
      <c r="A55" s="1331"/>
      <c r="B55" s="430"/>
      <c r="C55" s="1331"/>
      <c r="D55" s="1331"/>
      <c r="E55" s="634">
        <v>11</v>
      </c>
      <c r="F55" s="118" cm="1" t="str">
        <f t="array" ref="F55:F55">OFFSET(G55,-1,-1)</f>
        <v>1</v>
      </c>
      <c r="G55" s="1331"/>
      <c r="H55" s="1331"/>
      <c r="I55" s="1331"/>
      <c r="J55" s="1331"/>
      <c r="K55" s="1331"/>
      <c r="L55" s="1331"/>
      <c r="M55" s="1331"/>
      <c r="N55" s="1331"/>
      <c r="O55" s="1331"/>
      <c r="P55" s="1331"/>
      <c r="Q55" s="1331"/>
      <c r="R55" s="1331"/>
      <c r="S55" s="1331"/>
      <c r="T55" s="1331"/>
      <c r="U55" s="468">
        <f>F55&gt;0</f>
        <v>1</v>
      </c>
      <c r="V55" s="1331"/>
      <c r="W55" s="1331"/>
      <c r="X55" s="764" t="s">
        <v>439</v>
      </c>
      <c r="Y55" s="1539"/>
      <c r="Z55" s="1529"/>
      <c r="AA55" s="1331"/>
      <c r="AB55" s="171"/>
      <c r="AC55" s="174" t="s">
        <v>440</v>
      </c>
      <c r="AD55" s="172"/>
      <c r="AE55" s="172"/>
      <c r="AF55" s="172"/>
      <c r="AG55" s="172"/>
      <c r="AH55" s="183"/>
      <c r="AI55" s="1331"/>
      <c r="AJ55" s="1331"/>
      <c r="AK55" s="1005"/>
      <c r="AL55" s="1005"/>
      <c r="AM55" s="1005"/>
      <c r="AN55" s="1005"/>
      <c r="AO55" s="1005"/>
      <c r="AP55" s="1005"/>
      <c r="AQ55" s="1005"/>
      <c r="AR55" s="623" t="s">
        <v>438</v>
      </c>
      <c r="AS55" s="623"/>
    </row>
    <row s="541" customFormat="1" customHeight="1" ht="19.921875">
      <c r="A56" s="1331"/>
      <c r="B56" s="430"/>
      <c r="C56" s="1331"/>
      <c r="D56" s="1331"/>
      <c r="E56" s="641" t="s">
        <v>353</v>
      </c>
      <c r="F56" s="118" cm="1" t="str">
        <f t="array" ref="F56:F56">Y56</f>
        <v>2</v>
      </c>
      <c r="G56" s="1331"/>
      <c r="H56" s="1331"/>
      <c r="I56" s="1331"/>
      <c r="J56" s="1331"/>
      <c r="K56" s="1331"/>
      <c r="L56" s="1331"/>
      <c r="M56" s="1331"/>
      <c r="N56" s="1331"/>
      <c r="O56" s="1331"/>
      <c r="P56" s="1331"/>
      <c r="Q56" s="1331"/>
      <c r="R56" s="1331"/>
      <c r="S56" s="1331"/>
      <c r="T56" s="1331"/>
      <c r="U56" s="468">
        <f>Y56&gt;0</f>
        <v>1</v>
      </c>
      <c r="V56" s="1331"/>
      <c r="W56" s="118" cm="1" t="str">
        <f t="array" ref="W56:W56">'Перечень объектов'!$AC$51</f>
        <v>Тариф 2 (Водоотведение) - тариф на водоотведение (Оказание услуг на территории: город Ленинск-Кузнецкий (ОКТМО: 32719000) - г Ленинск-Кузнецкий)</v>
      </c>
      <c r="X56" s="1331"/>
      <c r="Y56" s="1539" t="s">
        <v>299</v>
      </c>
      <c r="Z56" s="1529"/>
      <c r="AA56" s="1331"/>
      <c r="AB56" s="176" cm="1" t="str">
        <f t="array" ref="AB56:AB56">'Перечень объектов'!$AC$51</f>
        <v>Тариф 2 (Водоотведение) - тариф на водоотведение (Оказание услуг на территории: город Ленинск-Кузнецкий (ОКТМО: 32719000) - г Ленинск-Кузнецкий)</v>
      </c>
      <c r="AC56" s="176"/>
      <c r="AD56" s="170"/>
      <c r="AE56" s="170"/>
      <c r="AF56" s="170"/>
      <c r="AG56" s="170"/>
      <c r="AH56" s="170"/>
      <c r="AI56" s="1331"/>
      <c r="AJ56" s="1331"/>
      <c r="AK56" s="1005"/>
      <c r="AL56" s="1005"/>
      <c r="AM56" s="1005"/>
      <c r="AN56" s="1005"/>
      <c r="AO56" s="1005"/>
      <c r="AP56" s="1005"/>
      <c r="AQ56" s="1005"/>
      <c r="AR56" s="623"/>
      <c r="AS56" s="623"/>
    </row>
    <row s="541" customFormat="1" customHeight="1" ht="15" hidden="1">
      <c r="A57" s="1331"/>
      <c r="B57" s="430"/>
      <c r="C57" s="1331"/>
      <c r="D57" s="1331"/>
      <c r="E57" s="634">
        <v>0</v>
      </c>
      <c r="F57" s="118" cm="1" t="str">
        <f t="array" ref="F57:F57">OFFSET(G57,-1,-1)</f>
        <v>2</v>
      </c>
      <c r="G57" s="1331"/>
      <c r="H57" s="1331"/>
      <c r="I57" s="1331"/>
      <c r="J57" s="1331"/>
      <c r="K57" s="1331"/>
      <c r="L57" s="1331"/>
      <c r="M57" s="1331"/>
      <c r="N57" s="1331"/>
      <c r="O57" s="1331"/>
      <c r="P57" s="1331"/>
      <c r="Q57" s="1331"/>
      <c r="R57" s="1331"/>
      <c r="S57" s="1331"/>
      <c r="T57" s="1331"/>
      <c r="U57" s="468" t="b">
        <v>0</v>
      </c>
      <c r="V57" s="1331"/>
      <c r="W57" s="1331"/>
      <c r="X57" s="1331"/>
      <c r="Y57" s="1539"/>
      <c r="Z57" s="1529"/>
      <c r="AA57" s="1331"/>
      <c r="AB57" s="176"/>
      <c r="AC57" s="176"/>
      <c r="AD57" s="170"/>
      <c r="AE57" s="170"/>
      <c r="AF57" s="170"/>
      <c r="AG57" s="170"/>
      <c r="AH57" s="170"/>
      <c r="AI57" s="1331"/>
      <c r="AJ57" s="1331"/>
      <c r="AK57" s="1005"/>
      <c r="AL57" s="1005"/>
      <c r="AM57" s="1005"/>
      <c r="AN57" s="1005"/>
      <c r="AO57" s="1005"/>
      <c r="AP57" s="1005"/>
      <c r="AQ57" s="1005"/>
      <c r="AR57" s="623"/>
      <c r="AS57" s="623"/>
    </row>
    <row s="1240" customFormat="1" customHeight="1" ht="14.25" hidden="1">
      <c r="A58" s="1240"/>
      <c r="B58" s="430"/>
      <c r="C58" s="1240"/>
      <c r="D58" s="1240"/>
      <c r="E58" s="634">
        <v>15</v>
      </c>
      <c r="F58" s="100" cm="1" t="str">
        <f t="array" ref="F58:F58">OFFSET(G58,-1,-1)</f>
        <v>2</v>
      </c>
      <c r="G58" s="1240"/>
      <c r="H58" s="1240"/>
      <c r="I58" s="100" t="s">
        <v>435</v>
      </c>
      <c r="J58" s="1240"/>
      <c r="K58" s="100" t="s">
        <v>436</v>
      </c>
      <c r="L58" s="1240"/>
      <c r="M58" s="1240"/>
      <c r="N58" s="1240"/>
      <c r="O58" s="1240"/>
      <c r="P58" s="1240"/>
      <c r="Q58" s="1240"/>
      <c r="R58" s="1240"/>
      <c r="S58" s="1240"/>
      <c r="T58" s="1240"/>
      <c r="U58" s="468">
        <f>AND(F58&gt;0,AB58&gt;0)</f>
        <v>0</v>
      </c>
      <c r="V58" s="1240"/>
      <c r="W58" s="1240"/>
      <c r="X58" s="764" t="s">
        <v>173</v>
      </c>
      <c r="Y58" s="1539"/>
      <c r="Z58" s="1529"/>
      <c r="AA58" s="668" t="s">
        <v>174</v>
      </c>
      <c r="AB58" s="84">
        <v>0</v>
      </c>
      <c r="AC58" s="270" t="str">
        <f>I58&amp;" :: "&amp;K58</f>
        <v>Наименование объекта :: адрес</v>
      </c>
      <c r="AD58" s="270"/>
      <c r="AE58" s="270"/>
      <c r="AF58" s="406"/>
      <c r="AG58" s="406"/>
      <c r="AH58" s="1816"/>
      <c r="AI58" s="1240"/>
      <c r="AJ58" s="1240"/>
      <c r="AK58" s="1008" t="s">
        <v>437</v>
      </c>
      <c r="AL58" s="1008" t="s">
        <v>438</v>
      </c>
      <c r="AM58" s="1008" cm="1" t="str">
        <f t="array" ref="AM58:AM58">AC58</f>
        <v>Наименование объекта :: адрес</v>
      </c>
      <c r="AN58" s="1008" cm="1" t="str">
        <f t="array" ref="AN58:AN58">AD58</f>
        <v>0</v>
      </c>
      <c r="AO58" s="1008" cm="1" t="str">
        <f t="array" ref="AO58:AO58">AE58</f>
        <v>0</v>
      </c>
      <c r="AP58" s="1008" cm="1" t="str">
        <f t="array" ref="AP58:AP58">AF58</f>
        <v>0</v>
      </c>
      <c r="AQ58" s="1008" cm="1" t="str">
        <f t="array" ref="AQ58:AQ58">AG58</f>
        <v>0</v>
      </c>
      <c r="AR58" s="633"/>
      <c r="AS58" s="633" t="b">
        <v>1</v>
      </c>
    </row>
    <row s="1240" customFormat="1" customHeight="1" ht="23.25">
      <c r="A59" s="1240"/>
      <c r="B59" s="430"/>
      <c r="C59" s="1240"/>
      <c r="D59" s="1240"/>
      <c r="E59" s="634">
        <v>15</v>
      </c>
      <c r="F59" s="100" cm="1" t="str">
        <f t="array" ref="F59:F59">OFFSET(G59,-1,-1)</f>
        <v>2</v>
      </c>
      <c r="G59" s="1240"/>
      <c r="H59" s="1240"/>
      <c r="I59" s="100" t="s">
        <v>502</v>
      </c>
      <c r="J59" s="1240"/>
      <c r="K59" s="100" t="s">
        <v>503</v>
      </c>
      <c r="L59" s="1240"/>
      <c r="M59" s="1240"/>
      <c r="N59" s="1240"/>
      <c r="O59" s="1240"/>
      <c r="P59" s="1240"/>
      <c r="Q59" s="1240"/>
      <c r="R59" s="1240"/>
      <c r="S59" s="1240"/>
      <c r="T59" s="1240"/>
      <c r="U59" s="468">
        <f>AND(F59&gt;0,AB59&gt;0)</f>
        <v>1</v>
      </c>
      <c r="V59" s="1240"/>
      <c r="W59" s="1240"/>
      <c r="X59" s="764"/>
      <c r="Y59" s="1539"/>
      <c r="Z59" s="1529"/>
      <c r="AA59" s="668" t="s">
        <v>174</v>
      </c>
      <c r="AB59" s="84" t="s">
        <v>290</v>
      </c>
      <c r="AC59" s="270" t="str">
        <f>I59&amp;" :: "&amp;K59</f>
        <v>Сети водоотведения :: г Ленинск-Кузнецкий, г. Ленинск-Кузнецкий, б/н</v>
      </c>
      <c r="AD59" s="270" t="s">
        <v>443</v>
      </c>
      <c r="AE59" s="270" t="s">
        <v>229</v>
      </c>
      <c r="AF59" s="406" t="s">
        <v>230</v>
      </c>
      <c r="AG59" s="406" t="s">
        <v>444</v>
      </c>
      <c r="AH59" s="185"/>
      <c r="AI59" s="1240"/>
      <c r="AJ59" s="1240"/>
      <c r="AK59" s="1008" t="s">
        <v>437</v>
      </c>
      <c r="AL59" s="1008" t="s">
        <v>438</v>
      </c>
      <c r="AM59" s="1008" cm="1" t="str">
        <f t="array" ref="AM59:AM59">AC59</f>
        <v>Сети водоотведения :: г Ленинск-Кузнецкий, г. Ленинск-Кузнецкий, б/н</v>
      </c>
      <c r="AN59" s="1008" cm="1" t="str">
        <f t="array" ref="AN59:AN59">AD59</f>
        <v>концессионное соглашение</v>
      </c>
      <c r="AO59" s="1008" cm="1" t="str">
        <f t="array" ref="AO59:AO59">AE59</f>
        <v>соглашение</v>
      </c>
      <c r="AP59" s="1008" cm="1" t="str">
        <f t="array" ref="AP59:AP59">AF59</f>
        <v>1/Л-К</v>
      </c>
      <c r="AQ59" s="1008" cm="1" t="str">
        <f t="array" ref="AQ59:AQ59">AG59</f>
        <v>14.11.2019</v>
      </c>
      <c r="AR59" s="633"/>
      <c r="AS59" s="633" t="b">
        <v>1</v>
      </c>
    </row>
    <row s="1240" customFormat="1" customHeight="1" ht="23.25">
      <c r="A60" s="1240"/>
      <c r="B60" s="430"/>
      <c r="C60" s="1240"/>
      <c r="D60" s="1240"/>
      <c r="E60" s="634">
        <v>15</v>
      </c>
      <c r="F60" s="100" cm="1" t="str">
        <f t="array" ref="F60:F60">OFFSET(G60,-1,-1)</f>
        <v>2</v>
      </c>
      <c r="G60" s="1240"/>
      <c r="H60" s="1240"/>
      <c r="I60" s="100" t="s">
        <v>504</v>
      </c>
      <c r="J60" s="1240"/>
      <c r="K60" s="100" t="s">
        <v>505</v>
      </c>
      <c r="L60" s="1240"/>
      <c r="M60" s="1240"/>
      <c r="N60" s="1240"/>
      <c r="O60" s="1240"/>
      <c r="P60" s="1240"/>
      <c r="Q60" s="1240"/>
      <c r="R60" s="1240"/>
      <c r="S60" s="1240"/>
      <c r="T60" s="1240"/>
      <c r="U60" s="468">
        <f>AND(F60&gt;0,AB60&gt;0)</f>
        <v>1</v>
      </c>
      <c r="V60" s="1240"/>
      <c r="W60" s="1240"/>
      <c r="X60" s="764"/>
      <c r="Y60" s="1539"/>
      <c r="Z60" s="1529"/>
      <c r="AA60" s="668" t="s">
        <v>174</v>
      </c>
      <c r="AB60" s="84" t="s">
        <v>299</v>
      </c>
      <c r="AC60" s="270" t="str">
        <f>I60&amp;" :: "&amp;K60</f>
        <v>КНС квартала "Днепровский" :: г Ленинск-Кузнецкий, На северо-запад в 58 метрах от не жилого здания по ул. Юргинская, 4/3</v>
      </c>
      <c r="AD60" s="270" t="s">
        <v>443</v>
      </c>
      <c r="AE60" s="270" t="s">
        <v>229</v>
      </c>
      <c r="AF60" s="406" t="s">
        <v>230</v>
      </c>
      <c r="AG60" s="406" t="s">
        <v>444</v>
      </c>
      <c r="AH60" s="185"/>
      <c r="AI60" s="1240"/>
      <c r="AJ60" s="1240"/>
      <c r="AK60" s="1008" t="s">
        <v>437</v>
      </c>
      <c r="AL60" s="1008" t="s">
        <v>438</v>
      </c>
      <c r="AM60" s="1008" cm="1" t="str">
        <f t="array" ref="AM60:AM60">AC60</f>
        <v>КНС квартала "Днепровский" :: г Ленинск-Кузнецкий, На северо-запад в 58 метрах от не жилого здания по ул. Юргинская, 4/3</v>
      </c>
      <c r="AN60" s="1008" cm="1" t="str">
        <f t="array" ref="AN60:AN60">AD60</f>
        <v>концессионное соглашение</v>
      </c>
      <c r="AO60" s="1008" cm="1" t="str">
        <f t="array" ref="AO60:AO60">AE60</f>
        <v>соглашение</v>
      </c>
      <c r="AP60" s="1008" cm="1" t="str">
        <f t="array" ref="AP60:AP60">AF60</f>
        <v>1/Л-К</v>
      </c>
      <c r="AQ60" s="1008" cm="1" t="str">
        <f t="array" ref="AQ60:AQ60">AG60</f>
        <v>14.11.2019</v>
      </c>
      <c r="AR60" s="633"/>
      <c r="AS60" s="633" t="b">
        <v>1</v>
      </c>
    </row>
    <row s="1240" customFormat="1" customHeight="1" ht="23.25">
      <c r="A61" s="1240"/>
      <c r="B61" s="430"/>
      <c r="C61" s="1240"/>
      <c r="D61" s="1240"/>
      <c r="E61" s="634">
        <v>15</v>
      </c>
      <c r="F61" s="100" cm="1" t="str">
        <f t="array" ref="F61:F61">OFFSET(G61,-1,-1)</f>
        <v>2</v>
      </c>
      <c r="G61" s="1240"/>
      <c r="H61" s="1240"/>
      <c r="I61" s="100" t="s">
        <v>506</v>
      </c>
      <c r="J61" s="1240"/>
      <c r="K61" s="100" t="s">
        <v>507</v>
      </c>
      <c r="L61" s="1240"/>
      <c r="M61" s="1240"/>
      <c r="N61" s="1240"/>
      <c r="O61" s="1240"/>
      <c r="P61" s="1240"/>
      <c r="Q61" s="1240"/>
      <c r="R61" s="1240"/>
      <c r="S61" s="1240"/>
      <c r="T61" s="1240"/>
      <c r="U61" s="468">
        <f>AND(F61&gt;0,AB61&gt;0)</f>
        <v>1</v>
      </c>
      <c r="V61" s="1240"/>
      <c r="W61" s="1240"/>
      <c r="X61" s="764"/>
      <c r="Y61" s="1539"/>
      <c r="Z61" s="1529"/>
      <c r="AA61" s="668" t="s">
        <v>174</v>
      </c>
      <c r="AB61" s="84" t="s">
        <v>234</v>
      </c>
      <c r="AC61" s="270" t="str">
        <f>I61&amp;" :: "&amp;K61</f>
        <v>КНС №5 :: г Ленинск-Кузнецкий, ул. Абая, 3"а"</v>
      </c>
      <c r="AD61" s="270" t="s">
        <v>443</v>
      </c>
      <c r="AE61" s="270" t="s">
        <v>229</v>
      </c>
      <c r="AF61" s="406" t="s">
        <v>230</v>
      </c>
      <c r="AG61" s="406" t="s">
        <v>444</v>
      </c>
      <c r="AH61" s="185"/>
      <c r="AI61" s="1240"/>
      <c r="AJ61" s="1240"/>
      <c r="AK61" s="1008" t="s">
        <v>437</v>
      </c>
      <c r="AL61" s="1008" t="s">
        <v>438</v>
      </c>
      <c r="AM61" s="1008" cm="1" t="str">
        <f t="array" ref="AM61:AM61">AC61</f>
        <v>КНС №5 :: г Ленинск-Кузнецкий, ул. Абая, 3"а"</v>
      </c>
      <c r="AN61" s="1008" cm="1" t="str">
        <f t="array" ref="AN61:AN61">AD61</f>
        <v>концессионное соглашение</v>
      </c>
      <c r="AO61" s="1008" cm="1" t="str">
        <f t="array" ref="AO61:AO61">AE61</f>
        <v>соглашение</v>
      </c>
      <c r="AP61" s="1008" cm="1" t="str">
        <f t="array" ref="AP61:AP61">AF61</f>
        <v>1/Л-К</v>
      </c>
      <c r="AQ61" s="1008" cm="1" t="str">
        <f t="array" ref="AQ61:AQ61">AG61</f>
        <v>14.11.2019</v>
      </c>
      <c r="AR61" s="633"/>
      <c r="AS61" s="633" t="b">
        <v>1</v>
      </c>
    </row>
    <row s="1240" customFormat="1" customHeight="1" ht="23.25">
      <c r="A62" s="1240"/>
      <c r="B62" s="430"/>
      <c r="C62" s="1240"/>
      <c r="D62" s="1240"/>
      <c r="E62" s="634">
        <v>15</v>
      </c>
      <c r="F62" s="100" cm="1" t="str">
        <f t="array" ref="F62:F62">OFFSET(G62,-1,-1)</f>
        <v>2</v>
      </c>
      <c r="G62" s="1240"/>
      <c r="H62" s="1240"/>
      <c r="I62" s="100" t="s">
        <v>508</v>
      </c>
      <c r="J62" s="1240"/>
      <c r="K62" s="100" t="s">
        <v>509</v>
      </c>
      <c r="L62" s="1240"/>
      <c r="M62" s="1240"/>
      <c r="N62" s="1240"/>
      <c r="O62" s="1240"/>
      <c r="P62" s="1240"/>
      <c r="Q62" s="1240"/>
      <c r="R62" s="1240"/>
      <c r="S62" s="1240"/>
      <c r="T62" s="1240"/>
      <c r="U62" s="468">
        <f>AND(F62&gt;0,AB62&gt;0)</f>
        <v>1</v>
      </c>
      <c r="V62" s="1240"/>
      <c r="W62" s="1240"/>
      <c r="X62" s="764"/>
      <c r="Y62" s="1539"/>
      <c r="Z62" s="1529"/>
      <c r="AA62" s="668" t="s">
        <v>174</v>
      </c>
      <c r="AB62" s="84" t="s">
        <v>451</v>
      </c>
      <c r="AC62" s="270" t="str">
        <f>I62&amp;" :: "&amp;K62</f>
        <v>КНС квартала "Кемеровский" :: г Ленинск-Кузнецкий, ул. Абрамцева, б/н</v>
      </c>
      <c r="AD62" s="270" t="s">
        <v>443</v>
      </c>
      <c r="AE62" s="270" t="s">
        <v>229</v>
      </c>
      <c r="AF62" s="406" t="s">
        <v>230</v>
      </c>
      <c r="AG62" s="406" t="s">
        <v>444</v>
      </c>
      <c r="AH62" s="185"/>
      <c r="AI62" s="1240"/>
      <c r="AJ62" s="1240"/>
      <c r="AK62" s="1008" t="s">
        <v>437</v>
      </c>
      <c r="AL62" s="1008" t="s">
        <v>438</v>
      </c>
      <c r="AM62" s="1008" cm="1" t="str">
        <f t="array" ref="AM62:AM62">AC62</f>
        <v>КНС квартала "Кемеровский" :: г Ленинск-Кузнецкий, ул. Абрамцева, б/н</v>
      </c>
      <c r="AN62" s="1008" cm="1" t="str">
        <f t="array" ref="AN62:AN62">AD62</f>
        <v>концессионное соглашение</v>
      </c>
      <c r="AO62" s="1008" cm="1" t="str">
        <f t="array" ref="AO62:AO62">AE62</f>
        <v>соглашение</v>
      </c>
      <c r="AP62" s="1008" cm="1" t="str">
        <f t="array" ref="AP62:AP62">AF62</f>
        <v>1/Л-К</v>
      </c>
      <c r="AQ62" s="1008" cm="1" t="str">
        <f t="array" ref="AQ62:AQ62">AG62</f>
        <v>14.11.2019</v>
      </c>
      <c r="AR62" s="633"/>
      <c r="AS62" s="633" t="b">
        <v>1</v>
      </c>
    </row>
    <row s="1240" customFormat="1" customHeight="1" ht="23.25">
      <c r="A63" s="1240"/>
      <c r="B63" s="430"/>
      <c r="C63" s="1240"/>
      <c r="D63" s="1240"/>
      <c r="E63" s="634">
        <v>15</v>
      </c>
      <c r="F63" s="100" cm="1" t="str">
        <f t="array" ref="F63:F63">OFFSET(G63,-1,-1)</f>
        <v>2</v>
      </c>
      <c r="G63" s="1240"/>
      <c r="H63" s="1240"/>
      <c r="I63" s="100" t="s">
        <v>510</v>
      </c>
      <c r="J63" s="1240"/>
      <c r="K63" s="100" t="s">
        <v>511</v>
      </c>
      <c r="L63" s="1240"/>
      <c r="M63" s="1240"/>
      <c r="N63" s="1240"/>
      <c r="O63" s="1240"/>
      <c r="P63" s="1240"/>
      <c r="Q63" s="1240"/>
      <c r="R63" s="1240"/>
      <c r="S63" s="1240"/>
      <c r="T63" s="1240"/>
      <c r="U63" s="468">
        <f>AND(F63&gt;0,AB63&gt;0)</f>
        <v>1</v>
      </c>
      <c r="V63" s="1240"/>
      <c r="W63" s="1240"/>
      <c r="X63" s="764"/>
      <c r="Y63" s="1539"/>
      <c r="Z63" s="1529"/>
      <c r="AA63" s="668" t="s">
        <v>174</v>
      </c>
      <c r="AB63" s="84" t="s">
        <v>454</v>
      </c>
      <c r="AC63" s="270" t="str">
        <f>I63&amp;" :: "&amp;K63</f>
        <v>КНС по ул.Васильева :: г Ленинск-Кузнецкий, ул. Васильева, 12</v>
      </c>
      <c r="AD63" s="270" t="s">
        <v>443</v>
      </c>
      <c r="AE63" s="270" t="s">
        <v>229</v>
      </c>
      <c r="AF63" s="406" t="s">
        <v>230</v>
      </c>
      <c r="AG63" s="406" t="s">
        <v>444</v>
      </c>
      <c r="AH63" s="185"/>
      <c r="AI63" s="1240"/>
      <c r="AJ63" s="1240"/>
      <c r="AK63" s="1008" t="s">
        <v>437</v>
      </c>
      <c r="AL63" s="1008" t="s">
        <v>438</v>
      </c>
      <c r="AM63" s="1008" cm="1" t="str">
        <f t="array" ref="AM63:AM63">AC63</f>
        <v>КНС по ул.Васильева :: г Ленинск-Кузнецкий, ул. Васильева, 12</v>
      </c>
      <c r="AN63" s="1008" cm="1" t="str">
        <f t="array" ref="AN63:AN63">AD63</f>
        <v>концессионное соглашение</v>
      </c>
      <c r="AO63" s="1008" cm="1" t="str">
        <f t="array" ref="AO63:AO63">AE63</f>
        <v>соглашение</v>
      </c>
      <c r="AP63" s="1008" cm="1" t="str">
        <f t="array" ref="AP63:AP63">AF63</f>
        <v>1/Л-К</v>
      </c>
      <c r="AQ63" s="1008" cm="1" t="str">
        <f t="array" ref="AQ63:AQ63">AG63</f>
        <v>14.11.2019</v>
      </c>
      <c r="AR63" s="633"/>
      <c r="AS63" s="633" t="b">
        <v>1</v>
      </c>
    </row>
    <row s="1240" customFormat="1" customHeight="1" ht="23.25">
      <c r="A64" s="1240"/>
      <c r="B64" s="430"/>
      <c r="C64" s="1240"/>
      <c r="D64" s="1240"/>
      <c r="E64" s="634">
        <v>15</v>
      </c>
      <c r="F64" s="100" cm="1" t="str">
        <f t="array" ref="F64:F64">OFFSET(G64,-1,-1)</f>
        <v>2</v>
      </c>
      <c r="G64" s="1240"/>
      <c r="H64" s="1240"/>
      <c r="I64" s="100" t="s">
        <v>512</v>
      </c>
      <c r="J64" s="1240"/>
      <c r="K64" s="100" t="s">
        <v>513</v>
      </c>
      <c r="L64" s="1240"/>
      <c r="M64" s="1240"/>
      <c r="N64" s="1240"/>
      <c r="O64" s="1240"/>
      <c r="P64" s="1240"/>
      <c r="Q64" s="1240"/>
      <c r="R64" s="1240"/>
      <c r="S64" s="1240"/>
      <c r="T64" s="1240"/>
      <c r="U64" s="468">
        <f>AND(F64&gt;0,AB64&gt;0)</f>
        <v>1</v>
      </c>
      <c r="V64" s="1240"/>
      <c r="W64" s="1240"/>
      <c r="X64" s="764"/>
      <c r="Y64" s="1539"/>
      <c r="Z64" s="1529"/>
      <c r="AA64" s="668" t="s">
        <v>174</v>
      </c>
      <c r="AB64" s="84" t="s">
        <v>457</v>
      </c>
      <c r="AC64" s="270" t="str">
        <f>I64&amp;" :: "&amp;K64</f>
        <v>КНС №7 :: г Ленинск-Кузнецкий, ул. Вокзальная, 28"б"</v>
      </c>
      <c r="AD64" s="270" t="s">
        <v>443</v>
      </c>
      <c r="AE64" s="270" t="s">
        <v>229</v>
      </c>
      <c r="AF64" s="406" t="s">
        <v>230</v>
      </c>
      <c r="AG64" s="406" t="s">
        <v>444</v>
      </c>
      <c r="AH64" s="185"/>
      <c r="AI64" s="1240"/>
      <c r="AJ64" s="1240"/>
      <c r="AK64" s="1008" t="s">
        <v>437</v>
      </c>
      <c r="AL64" s="1008" t="s">
        <v>438</v>
      </c>
      <c r="AM64" s="1008" cm="1" t="str">
        <f t="array" ref="AM64:AM64">AC64</f>
        <v>КНС №7 :: г Ленинск-Кузнецкий, ул. Вокзальная, 28"б"</v>
      </c>
      <c r="AN64" s="1008" cm="1" t="str">
        <f t="array" ref="AN64:AN64">AD64</f>
        <v>концессионное соглашение</v>
      </c>
      <c r="AO64" s="1008" cm="1" t="str">
        <f t="array" ref="AO64:AO64">AE64</f>
        <v>соглашение</v>
      </c>
      <c r="AP64" s="1008" cm="1" t="str">
        <f t="array" ref="AP64:AP64">AF64</f>
        <v>1/Л-К</v>
      </c>
      <c r="AQ64" s="1008" cm="1" t="str">
        <f t="array" ref="AQ64:AQ64">AG64</f>
        <v>14.11.2019</v>
      </c>
      <c r="AR64" s="633"/>
      <c r="AS64" s="633" t="b">
        <v>1</v>
      </c>
    </row>
    <row s="1240" customFormat="1" customHeight="1" ht="23.25">
      <c r="A65" s="1240"/>
      <c r="B65" s="430"/>
      <c r="C65" s="1240"/>
      <c r="D65" s="1240"/>
      <c r="E65" s="634">
        <v>15</v>
      </c>
      <c r="F65" s="100" cm="1" t="str">
        <f t="array" ref="F65:F65">OFFSET(G65,-1,-1)</f>
        <v>2</v>
      </c>
      <c r="G65" s="1240"/>
      <c r="H65" s="1240"/>
      <c r="I65" s="100" t="s">
        <v>514</v>
      </c>
      <c r="J65" s="1240"/>
      <c r="K65" s="100" t="s">
        <v>515</v>
      </c>
      <c r="L65" s="1240"/>
      <c r="M65" s="1240"/>
      <c r="N65" s="1240"/>
      <c r="O65" s="1240"/>
      <c r="P65" s="1240"/>
      <c r="Q65" s="1240"/>
      <c r="R65" s="1240"/>
      <c r="S65" s="1240"/>
      <c r="T65" s="1240"/>
      <c r="U65" s="468">
        <f>AND(F65&gt;0,AB65&gt;0)</f>
        <v>1</v>
      </c>
      <c r="V65" s="1240"/>
      <c r="W65" s="1240"/>
      <c r="X65" s="764"/>
      <c r="Y65" s="1539"/>
      <c r="Z65" s="1529"/>
      <c r="AA65" s="668" t="s">
        <v>174</v>
      </c>
      <c r="AB65" s="84" t="s">
        <v>460</v>
      </c>
      <c r="AC65" s="270" t="str">
        <f>I65&amp;" :: "&amp;K65</f>
        <v>КНС ш. Кирова :: г Ленинск-Кузнецкий, ул. Кирсанова, 3"в"</v>
      </c>
      <c r="AD65" s="270" t="s">
        <v>443</v>
      </c>
      <c r="AE65" s="270" t="s">
        <v>229</v>
      </c>
      <c r="AF65" s="406" t="s">
        <v>230</v>
      </c>
      <c r="AG65" s="406" t="s">
        <v>444</v>
      </c>
      <c r="AH65" s="185"/>
      <c r="AI65" s="1240"/>
      <c r="AJ65" s="1240"/>
      <c r="AK65" s="1008" t="s">
        <v>437</v>
      </c>
      <c r="AL65" s="1008" t="s">
        <v>438</v>
      </c>
      <c r="AM65" s="1008" cm="1" t="str">
        <f t="array" ref="AM65:AM65">AC65</f>
        <v>КНС ш. Кирова :: г Ленинск-Кузнецкий, ул. Кирсанова, 3"в"</v>
      </c>
      <c r="AN65" s="1008" cm="1" t="str">
        <f t="array" ref="AN65:AN65">AD65</f>
        <v>концессионное соглашение</v>
      </c>
      <c r="AO65" s="1008" cm="1" t="str">
        <f t="array" ref="AO65:AO65">AE65</f>
        <v>соглашение</v>
      </c>
      <c r="AP65" s="1008" cm="1" t="str">
        <f t="array" ref="AP65:AP65">AF65</f>
        <v>1/Л-К</v>
      </c>
      <c r="AQ65" s="1008" cm="1" t="str">
        <f t="array" ref="AQ65:AQ65">AG65</f>
        <v>14.11.2019</v>
      </c>
      <c r="AR65" s="633"/>
      <c r="AS65" s="633" t="b">
        <v>1</v>
      </c>
    </row>
    <row s="1240" customFormat="1" customHeight="1" ht="23.25">
      <c r="A66" s="1240"/>
      <c r="B66" s="430"/>
      <c r="C66" s="1240"/>
      <c r="D66" s="1240"/>
      <c r="E66" s="634">
        <v>15</v>
      </c>
      <c r="F66" s="100" cm="1" t="str">
        <f t="array" ref="F66:F66">OFFSET(G66,-1,-1)</f>
        <v>2</v>
      </c>
      <c r="G66" s="1240"/>
      <c r="H66" s="1240"/>
      <c r="I66" s="100" t="s">
        <v>516</v>
      </c>
      <c r="J66" s="1240"/>
      <c r="K66" s="100" t="s">
        <v>517</v>
      </c>
      <c r="L66" s="1240"/>
      <c r="M66" s="1240"/>
      <c r="N66" s="1240"/>
      <c r="O66" s="1240"/>
      <c r="P66" s="1240"/>
      <c r="Q66" s="1240"/>
      <c r="R66" s="1240"/>
      <c r="S66" s="1240"/>
      <c r="T66" s="1240"/>
      <c r="U66" s="468">
        <f>AND(F66&gt;0,AB66&gt;0)</f>
        <v>1</v>
      </c>
      <c r="V66" s="1240"/>
      <c r="W66" s="1240"/>
      <c r="X66" s="764"/>
      <c r="Y66" s="1539"/>
      <c r="Z66" s="1529"/>
      <c r="AA66" s="668" t="s">
        <v>174</v>
      </c>
      <c r="AB66" s="84" t="s">
        <v>463</v>
      </c>
      <c r="AC66" s="270" t="str">
        <f>I66&amp;" :: "&amp;K66</f>
        <v>КНС шахты им. Ярославского :: г Ленинск-Кузнецкий, ул. Нефтебазы, 1"б"</v>
      </c>
      <c r="AD66" s="270" t="s">
        <v>443</v>
      </c>
      <c r="AE66" s="270" t="s">
        <v>229</v>
      </c>
      <c r="AF66" s="406" t="s">
        <v>230</v>
      </c>
      <c r="AG66" s="406" t="s">
        <v>444</v>
      </c>
      <c r="AH66" s="185"/>
      <c r="AI66" s="1240"/>
      <c r="AJ66" s="1240"/>
      <c r="AK66" s="1008" t="s">
        <v>437</v>
      </c>
      <c r="AL66" s="1008" t="s">
        <v>438</v>
      </c>
      <c r="AM66" s="1008" cm="1" t="str">
        <f t="array" ref="AM66:AM66">AC66</f>
        <v>КНС шахты им. Ярославского :: г Ленинск-Кузнецкий, ул. Нефтебазы, 1"б"</v>
      </c>
      <c r="AN66" s="1008" cm="1" t="str">
        <f t="array" ref="AN66:AN66">AD66</f>
        <v>концессионное соглашение</v>
      </c>
      <c r="AO66" s="1008" cm="1" t="str">
        <f t="array" ref="AO66:AO66">AE66</f>
        <v>соглашение</v>
      </c>
      <c r="AP66" s="1008" cm="1" t="str">
        <f t="array" ref="AP66:AP66">AF66</f>
        <v>1/Л-К</v>
      </c>
      <c r="AQ66" s="1008" cm="1" t="str">
        <f t="array" ref="AQ66:AQ66">AG66</f>
        <v>14.11.2019</v>
      </c>
      <c r="AR66" s="633"/>
      <c r="AS66" s="633" t="b">
        <v>1</v>
      </c>
    </row>
    <row s="1240" customFormat="1" customHeight="1" ht="23.25">
      <c r="A67" s="1240"/>
      <c r="B67" s="430"/>
      <c r="C67" s="1240"/>
      <c r="D67" s="1240"/>
      <c r="E67" s="634">
        <v>15</v>
      </c>
      <c r="F67" s="100" cm="1" t="str">
        <f t="array" ref="F67:F67">OFFSET(G67,-1,-1)</f>
        <v>2</v>
      </c>
      <c r="G67" s="1240"/>
      <c r="H67" s="1240"/>
      <c r="I67" s="100" t="s">
        <v>518</v>
      </c>
      <c r="J67" s="1240"/>
      <c r="K67" s="100" t="s">
        <v>519</v>
      </c>
      <c r="L67" s="1240"/>
      <c r="M67" s="1240"/>
      <c r="N67" s="1240"/>
      <c r="O67" s="1240"/>
      <c r="P67" s="1240"/>
      <c r="Q67" s="1240"/>
      <c r="R67" s="1240"/>
      <c r="S67" s="1240"/>
      <c r="T67" s="1240"/>
      <c r="U67" s="468">
        <f>AND(F67&gt;0,AB67&gt;0)</f>
        <v>1</v>
      </c>
      <c r="V67" s="1240"/>
      <c r="W67" s="1240"/>
      <c r="X67" s="764"/>
      <c r="Y67" s="1539"/>
      <c r="Z67" s="1529"/>
      <c r="AA67" s="668" t="s">
        <v>174</v>
      </c>
      <c r="AB67" s="84" t="s">
        <v>466</v>
      </c>
      <c r="AC67" s="270" t="str">
        <f>I67&amp;" :: "&amp;K67</f>
        <v>КНС №2              кв. Профсоюзный :: г Ленинск-Кузнецкий, ул. Пирогова, 9"6"</v>
      </c>
      <c r="AD67" s="270" t="s">
        <v>443</v>
      </c>
      <c r="AE67" s="270" t="s">
        <v>229</v>
      </c>
      <c r="AF67" s="406" t="s">
        <v>230</v>
      </c>
      <c r="AG67" s="406" t="s">
        <v>444</v>
      </c>
      <c r="AH67" s="185"/>
      <c r="AI67" s="1240"/>
      <c r="AJ67" s="1240"/>
      <c r="AK67" s="1008" t="s">
        <v>437</v>
      </c>
      <c r="AL67" s="1008" t="s">
        <v>438</v>
      </c>
      <c r="AM67" s="1008" cm="1" t="str">
        <f t="array" ref="AM67:AM67">AC67</f>
        <v>КНС №2              кв. Профсоюзный :: г Ленинск-Кузнецкий, ул. Пирогова, 9"6"</v>
      </c>
      <c r="AN67" s="1008" cm="1" t="str">
        <f t="array" ref="AN67:AN67">AD67</f>
        <v>концессионное соглашение</v>
      </c>
      <c r="AO67" s="1008" cm="1" t="str">
        <f t="array" ref="AO67:AO67">AE67</f>
        <v>соглашение</v>
      </c>
      <c r="AP67" s="1008" cm="1" t="str">
        <f t="array" ref="AP67:AP67">AF67</f>
        <v>1/Л-К</v>
      </c>
      <c r="AQ67" s="1008" cm="1" t="str">
        <f t="array" ref="AQ67:AQ67">AG67</f>
        <v>14.11.2019</v>
      </c>
      <c r="AR67" s="633"/>
      <c r="AS67" s="633" t="b">
        <v>1</v>
      </c>
    </row>
    <row s="1240" customFormat="1" customHeight="1" ht="23.25">
      <c r="A68" s="1240"/>
      <c r="B68" s="430"/>
      <c r="C68" s="1240"/>
      <c r="D68" s="1240"/>
      <c r="E68" s="634">
        <v>15</v>
      </c>
      <c r="F68" s="100" cm="1" t="str">
        <f t="array" ref="F68:F68">OFFSET(G68,-1,-1)</f>
        <v>2</v>
      </c>
      <c r="G68" s="1240"/>
      <c r="H68" s="1240"/>
      <c r="I68" s="100" t="s">
        <v>520</v>
      </c>
      <c r="J68" s="1240"/>
      <c r="K68" s="100" t="s">
        <v>521</v>
      </c>
      <c r="L68" s="1240"/>
      <c r="M68" s="1240"/>
      <c r="N68" s="1240"/>
      <c r="O68" s="1240"/>
      <c r="P68" s="1240"/>
      <c r="Q68" s="1240"/>
      <c r="R68" s="1240"/>
      <c r="S68" s="1240"/>
      <c r="T68" s="1240"/>
      <c r="U68" s="468">
        <f>AND(F68&gt;0,AB68&gt;0)</f>
        <v>1</v>
      </c>
      <c r="V68" s="1240"/>
      <c r="W68" s="1240"/>
      <c r="X68" s="764"/>
      <c r="Y68" s="1539"/>
      <c r="Z68" s="1529"/>
      <c r="AA68" s="668" t="s">
        <v>174</v>
      </c>
      <c r="AB68" s="84" t="s">
        <v>469</v>
      </c>
      <c r="AC68" s="270" t="str">
        <f>I68&amp;" :: "&amp;K68</f>
        <v>КНС №1 :: г Ленинск-Кузнецкий, ул. Пушкина, 2"в"</v>
      </c>
      <c r="AD68" s="270" t="s">
        <v>443</v>
      </c>
      <c r="AE68" s="270" t="s">
        <v>229</v>
      </c>
      <c r="AF68" s="406" t="s">
        <v>230</v>
      </c>
      <c r="AG68" s="406" t="s">
        <v>444</v>
      </c>
      <c r="AH68" s="185"/>
      <c r="AI68" s="1240"/>
      <c r="AJ68" s="1240"/>
      <c r="AK68" s="1008" t="s">
        <v>437</v>
      </c>
      <c r="AL68" s="1008" t="s">
        <v>438</v>
      </c>
      <c r="AM68" s="1008" cm="1" t="str">
        <f t="array" ref="AM68:AM68">AC68</f>
        <v>КНС №1 :: г Ленинск-Кузнецкий, ул. Пушкина, 2"в"</v>
      </c>
      <c r="AN68" s="1008" cm="1" t="str">
        <f t="array" ref="AN68:AN68">AD68</f>
        <v>концессионное соглашение</v>
      </c>
      <c r="AO68" s="1008" cm="1" t="str">
        <f t="array" ref="AO68:AO68">AE68</f>
        <v>соглашение</v>
      </c>
      <c r="AP68" s="1008" cm="1" t="str">
        <f t="array" ref="AP68:AP68">AF68</f>
        <v>1/Л-К</v>
      </c>
      <c r="AQ68" s="1008" cm="1" t="str">
        <f t="array" ref="AQ68:AQ68">AG68</f>
        <v>14.11.2019</v>
      </c>
      <c r="AR68" s="633"/>
      <c r="AS68" s="633" t="b">
        <v>1</v>
      </c>
    </row>
    <row s="1240" customFormat="1" customHeight="1" ht="23.25">
      <c r="A69" s="1240"/>
      <c r="B69" s="430"/>
      <c r="C69" s="1240"/>
      <c r="D69" s="1240"/>
      <c r="E69" s="634">
        <v>15</v>
      </c>
      <c r="F69" s="100" cm="1" t="str">
        <f t="array" ref="F69:F69">OFFSET(G69,-1,-1)</f>
        <v>2</v>
      </c>
      <c r="G69" s="1240"/>
      <c r="H69" s="1240"/>
      <c r="I69" s="100" t="s">
        <v>522</v>
      </c>
      <c r="J69" s="1240"/>
      <c r="K69" s="100" t="s">
        <v>523</v>
      </c>
      <c r="L69" s="1240"/>
      <c r="M69" s="1240"/>
      <c r="N69" s="1240"/>
      <c r="O69" s="1240"/>
      <c r="P69" s="1240"/>
      <c r="Q69" s="1240"/>
      <c r="R69" s="1240"/>
      <c r="S69" s="1240"/>
      <c r="T69" s="1240"/>
      <c r="U69" s="468">
        <f>AND(F69&gt;0,AB69&gt;0)</f>
        <v>1</v>
      </c>
      <c r="V69" s="1240"/>
      <c r="W69" s="1240"/>
      <c r="X69" s="764"/>
      <c r="Y69" s="1539"/>
      <c r="Z69" s="1529"/>
      <c r="AA69" s="668" t="s">
        <v>174</v>
      </c>
      <c r="AB69" s="84" t="s">
        <v>472</v>
      </c>
      <c r="AC69" s="270" t="str">
        <f>I69&amp;" :: "&amp;K69</f>
        <v>КНС №6 :: г Ленинск-Кузнецкий, ул. Суворова, 270 "б"</v>
      </c>
      <c r="AD69" s="270" t="s">
        <v>443</v>
      </c>
      <c r="AE69" s="270" t="s">
        <v>229</v>
      </c>
      <c r="AF69" s="406" t="s">
        <v>230</v>
      </c>
      <c r="AG69" s="406" t="s">
        <v>444</v>
      </c>
      <c r="AH69" s="185"/>
      <c r="AI69" s="1240"/>
      <c r="AJ69" s="1240"/>
      <c r="AK69" s="1008" t="s">
        <v>437</v>
      </c>
      <c r="AL69" s="1008" t="s">
        <v>438</v>
      </c>
      <c r="AM69" s="1008" cm="1" t="str">
        <f t="array" ref="AM69:AM69">AC69</f>
        <v>КНС №6 :: г Ленинск-Кузнецкий, ул. Суворова, 270 "б"</v>
      </c>
      <c r="AN69" s="1008" cm="1" t="str">
        <f t="array" ref="AN69:AN69">AD69</f>
        <v>концессионное соглашение</v>
      </c>
      <c r="AO69" s="1008" cm="1" t="str">
        <f t="array" ref="AO69:AO69">AE69</f>
        <v>соглашение</v>
      </c>
      <c r="AP69" s="1008" cm="1" t="str">
        <f t="array" ref="AP69:AP69">AF69</f>
        <v>1/Л-К</v>
      </c>
      <c r="AQ69" s="1008" cm="1" t="str">
        <f t="array" ref="AQ69:AQ69">AG69</f>
        <v>14.11.2019</v>
      </c>
      <c r="AR69" s="633"/>
      <c r="AS69" s="633" t="b">
        <v>1</v>
      </c>
    </row>
    <row s="1240" customFormat="1" customHeight="1" ht="23.25">
      <c r="A70" s="1240"/>
      <c r="B70" s="430"/>
      <c r="C70" s="1240"/>
      <c r="D70" s="1240"/>
      <c r="E70" s="634">
        <v>15</v>
      </c>
      <c r="F70" s="100" cm="1" t="str">
        <f t="array" ref="F70:F70">OFFSET(G70,-1,-1)</f>
        <v>2</v>
      </c>
      <c r="G70" s="1240"/>
      <c r="H70" s="1240"/>
      <c r="I70" s="100" t="s">
        <v>524</v>
      </c>
      <c r="J70" s="1240"/>
      <c r="K70" s="100" t="s">
        <v>525</v>
      </c>
      <c r="L70" s="1240"/>
      <c r="M70" s="1240"/>
      <c r="N70" s="1240"/>
      <c r="O70" s="1240"/>
      <c r="P70" s="1240"/>
      <c r="Q70" s="1240"/>
      <c r="R70" s="1240"/>
      <c r="S70" s="1240"/>
      <c r="T70" s="1240"/>
      <c r="U70" s="468">
        <f>AND(F70&gt;0,AB70&gt;0)</f>
        <v>1</v>
      </c>
      <c r="V70" s="1240"/>
      <c r="W70" s="1240"/>
      <c r="X70" s="764"/>
      <c r="Y70" s="1539"/>
      <c r="Z70" s="1529"/>
      <c r="AA70" s="668" t="s">
        <v>174</v>
      </c>
      <c r="AB70" s="84" t="s">
        <v>475</v>
      </c>
      <c r="AC70" s="270" t="str">
        <f>I70&amp;" :: "&amp;K70</f>
        <v>КНС "КСК" :: г Ленинск-Кузнецкий, ул. Тверская, 70</v>
      </c>
      <c r="AD70" s="270" t="s">
        <v>443</v>
      </c>
      <c r="AE70" s="270" t="s">
        <v>229</v>
      </c>
      <c r="AF70" s="406" t="s">
        <v>230</v>
      </c>
      <c r="AG70" s="406" t="s">
        <v>444</v>
      </c>
      <c r="AH70" s="185"/>
      <c r="AI70" s="1240"/>
      <c r="AJ70" s="1240"/>
      <c r="AK70" s="1008" t="s">
        <v>437</v>
      </c>
      <c r="AL70" s="1008" t="s">
        <v>438</v>
      </c>
      <c r="AM70" s="1008" cm="1" t="str">
        <f t="array" ref="AM70:AM70">AC70</f>
        <v>КНС "КСК" :: г Ленинск-Кузнецкий, ул. Тверская, 70</v>
      </c>
      <c r="AN70" s="1008" cm="1" t="str">
        <f t="array" ref="AN70:AN70">AD70</f>
        <v>концессионное соглашение</v>
      </c>
      <c r="AO70" s="1008" cm="1" t="str">
        <f t="array" ref="AO70:AO70">AE70</f>
        <v>соглашение</v>
      </c>
      <c r="AP70" s="1008" cm="1" t="str">
        <f t="array" ref="AP70:AP70">AF70</f>
        <v>1/Л-К</v>
      </c>
      <c r="AQ70" s="1008" cm="1" t="str">
        <f t="array" ref="AQ70:AQ70">AG70</f>
        <v>14.11.2019</v>
      </c>
      <c r="AR70" s="633"/>
      <c r="AS70" s="633" t="b">
        <v>1</v>
      </c>
    </row>
    <row s="1240" customFormat="1" customHeight="1" ht="23.25">
      <c r="A71" s="1240"/>
      <c r="B71" s="430"/>
      <c r="C71" s="1240"/>
      <c r="D71" s="1240"/>
      <c r="E71" s="634">
        <v>15</v>
      </c>
      <c r="F71" s="100" cm="1" t="str">
        <f t="array" ref="F71:F71">OFFSET(G71,-1,-1)</f>
        <v>2</v>
      </c>
      <c r="G71" s="1240"/>
      <c r="H71" s="1240"/>
      <c r="I71" s="100" t="s">
        <v>526</v>
      </c>
      <c r="J71" s="1240"/>
      <c r="K71" s="100" t="s">
        <v>527</v>
      </c>
      <c r="L71" s="1240"/>
      <c r="M71" s="1240"/>
      <c r="N71" s="1240"/>
      <c r="O71" s="1240"/>
      <c r="P71" s="1240"/>
      <c r="Q71" s="1240"/>
      <c r="R71" s="1240"/>
      <c r="S71" s="1240"/>
      <c r="T71" s="1240"/>
      <c r="U71" s="468">
        <f>AND(F71&gt;0,AB71&gt;0)</f>
        <v>1</v>
      </c>
      <c r="V71" s="1240"/>
      <c r="W71" s="1240"/>
      <c r="X71" s="764"/>
      <c r="Y71" s="1539"/>
      <c r="Z71" s="1529"/>
      <c r="AA71" s="668" t="s">
        <v>174</v>
      </c>
      <c r="AB71" s="84" t="s">
        <v>478</v>
      </c>
      <c r="AC71" s="270" t="str">
        <f>I71&amp;" :: "&amp;K71</f>
        <v>КНС "ГАИ" :: г Ленинск-Кузнецкий, ул. Топкинская, 2"б"</v>
      </c>
      <c r="AD71" s="270" t="s">
        <v>443</v>
      </c>
      <c r="AE71" s="270" t="s">
        <v>229</v>
      </c>
      <c r="AF71" s="406" t="s">
        <v>230</v>
      </c>
      <c r="AG71" s="406" t="s">
        <v>444</v>
      </c>
      <c r="AH71" s="185"/>
      <c r="AI71" s="1240"/>
      <c r="AJ71" s="1240"/>
      <c r="AK71" s="1008" t="s">
        <v>437</v>
      </c>
      <c r="AL71" s="1008" t="s">
        <v>438</v>
      </c>
      <c r="AM71" s="1008" cm="1" t="str">
        <f t="array" ref="AM71:AM71">AC71</f>
        <v>КНС "ГАИ" :: г Ленинск-Кузнецкий, ул. Топкинская, 2"б"</v>
      </c>
      <c r="AN71" s="1008" cm="1" t="str">
        <f t="array" ref="AN71:AN71">AD71</f>
        <v>концессионное соглашение</v>
      </c>
      <c r="AO71" s="1008" cm="1" t="str">
        <f t="array" ref="AO71:AO71">AE71</f>
        <v>соглашение</v>
      </c>
      <c r="AP71" s="1008" cm="1" t="str">
        <f t="array" ref="AP71:AP71">AF71</f>
        <v>1/Л-К</v>
      </c>
      <c r="AQ71" s="1008" cm="1" t="str">
        <f t="array" ref="AQ71:AQ71">AG71</f>
        <v>14.11.2019</v>
      </c>
      <c r="AR71" s="633"/>
      <c r="AS71" s="633" t="b">
        <v>1</v>
      </c>
    </row>
    <row s="1240" customFormat="1" customHeight="1" ht="23.25">
      <c r="A72" s="1240"/>
      <c r="B72" s="430"/>
      <c r="C72" s="1240"/>
      <c r="D72" s="1240"/>
      <c r="E72" s="634">
        <v>15</v>
      </c>
      <c r="F72" s="100" cm="1" t="str">
        <f t="array" ref="F72:F72">OFFSET(G72,-1,-1)</f>
        <v>2</v>
      </c>
      <c r="G72" s="1240"/>
      <c r="H72" s="1240"/>
      <c r="I72" s="100" t="s">
        <v>528</v>
      </c>
      <c r="J72" s="1240"/>
      <c r="K72" s="100" t="s">
        <v>529</v>
      </c>
      <c r="L72" s="1240"/>
      <c r="M72" s="1240"/>
      <c r="N72" s="1240"/>
      <c r="O72" s="1240"/>
      <c r="P72" s="1240"/>
      <c r="Q72" s="1240"/>
      <c r="R72" s="1240"/>
      <c r="S72" s="1240"/>
      <c r="T72" s="1240"/>
      <c r="U72" s="468">
        <f>AND(F72&gt;0,AB72&gt;0)</f>
        <v>1</v>
      </c>
      <c r="V72" s="1240"/>
      <c r="W72" s="1240"/>
      <c r="X72" s="764"/>
      <c r="Y72" s="1539"/>
      <c r="Z72" s="1529"/>
      <c r="AA72" s="668" t="s">
        <v>174</v>
      </c>
      <c r="AB72" s="84" t="s">
        <v>480</v>
      </c>
      <c r="AC72" s="270" t="str">
        <f>I72&amp;" :: "&amp;K72</f>
        <v>КНС №3 :: г Ленинск-Кузнецкий, ул. Чекалина, 9"б"</v>
      </c>
      <c r="AD72" s="270" t="s">
        <v>443</v>
      </c>
      <c r="AE72" s="270" t="s">
        <v>229</v>
      </c>
      <c r="AF72" s="406" t="s">
        <v>230</v>
      </c>
      <c r="AG72" s="406" t="s">
        <v>444</v>
      </c>
      <c r="AH72" s="185"/>
      <c r="AI72" s="1240"/>
      <c r="AJ72" s="1240"/>
      <c r="AK72" s="1008" t="s">
        <v>437</v>
      </c>
      <c r="AL72" s="1008" t="s">
        <v>438</v>
      </c>
      <c r="AM72" s="1008" cm="1" t="str">
        <f t="array" ref="AM72:AM72">AC72</f>
        <v>КНС №3 :: г Ленинск-Кузнецкий, ул. Чекалина, 9"б"</v>
      </c>
      <c r="AN72" s="1008" cm="1" t="str">
        <f t="array" ref="AN72:AN72">AD72</f>
        <v>концессионное соглашение</v>
      </c>
      <c r="AO72" s="1008" cm="1" t="str">
        <f t="array" ref="AO72:AO72">AE72</f>
        <v>соглашение</v>
      </c>
      <c r="AP72" s="1008" cm="1" t="str">
        <f t="array" ref="AP72:AP72">AF72</f>
        <v>1/Л-К</v>
      </c>
      <c r="AQ72" s="1008" cm="1" t="str">
        <f t="array" ref="AQ72:AQ72">AG72</f>
        <v>14.11.2019</v>
      </c>
      <c r="AR72" s="633"/>
      <c r="AS72" s="633" t="b">
        <v>1</v>
      </c>
    </row>
    <row s="1240" customFormat="1" customHeight="1" ht="23.25">
      <c r="A73" s="1240"/>
      <c r="B73" s="430"/>
      <c r="C73" s="1240"/>
      <c r="D73" s="1240"/>
      <c r="E73" s="634">
        <v>15</v>
      </c>
      <c r="F73" s="100" cm="1" t="str">
        <f t="array" ref="F73:F73">OFFSET(G73,-1,-1)</f>
        <v>2</v>
      </c>
      <c r="G73" s="1240"/>
      <c r="H73" s="1240"/>
      <c r="I73" s="100" t="s">
        <v>530</v>
      </c>
      <c r="J73" s="1240"/>
      <c r="K73" s="100" t="s">
        <v>531</v>
      </c>
      <c r="L73" s="1240"/>
      <c r="M73" s="1240"/>
      <c r="N73" s="1240"/>
      <c r="O73" s="1240"/>
      <c r="P73" s="1240"/>
      <c r="Q73" s="1240"/>
      <c r="R73" s="1240"/>
      <c r="S73" s="1240"/>
      <c r="T73" s="1240"/>
      <c r="U73" s="468">
        <f>AND(F73&gt;0,AB73&gt;0)</f>
        <v>1</v>
      </c>
      <c r="V73" s="1240"/>
      <c r="W73" s="1240"/>
      <c r="X73" s="764"/>
      <c r="Y73" s="1539"/>
      <c r="Z73" s="1529"/>
      <c r="AA73" s="668" t="s">
        <v>174</v>
      </c>
      <c r="AB73" s="84" t="s">
        <v>353</v>
      </c>
      <c r="AC73" s="270" t="str">
        <f>I73&amp;" :: "&amp;K73</f>
        <v>кнс №4 :: г Ленинск-Кузнецкий, ул. Шилина, 9"б"</v>
      </c>
      <c r="AD73" s="270" t="s">
        <v>443</v>
      </c>
      <c r="AE73" s="270" t="s">
        <v>229</v>
      </c>
      <c r="AF73" s="406" t="s">
        <v>230</v>
      </c>
      <c r="AG73" s="406" t="s">
        <v>444</v>
      </c>
      <c r="AH73" s="185"/>
      <c r="AI73" s="1240"/>
      <c r="AJ73" s="1240"/>
      <c r="AK73" s="1008" t="s">
        <v>437</v>
      </c>
      <c r="AL73" s="1008" t="s">
        <v>438</v>
      </c>
      <c r="AM73" s="1008" cm="1" t="str">
        <f t="array" ref="AM73:AM73">AC73</f>
        <v>кнс №4 :: г Ленинск-Кузнецкий, ул. Шилина, 9"б"</v>
      </c>
      <c r="AN73" s="1008" cm="1" t="str">
        <f t="array" ref="AN73:AN73">AD73</f>
        <v>концессионное соглашение</v>
      </c>
      <c r="AO73" s="1008" cm="1" t="str">
        <f t="array" ref="AO73:AO73">AE73</f>
        <v>соглашение</v>
      </c>
      <c r="AP73" s="1008" cm="1" t="str">
        <f t="array" ref="AP73:AP73">AF73</f>
        <v>1/Л-К</v>
      </c>
      <c r="AQ73" s="1008" cm="1" t="str">
        <f t="array" ref="AQ73:AQ73">AG73</f>
        <v>14.11.2019</v>
      </c>
      <c r="AR73" s="633"/>
      <c r="AS73" s="633" t="b">
        <v>1</v>
      </c>
    </row>
    <row s="1240" customFormat="1" customHeight="1" ht="23.25">
      <c r="A74" s="1240"/>
      <c r="B74" s="430"/>
      <c r="C74" s="1240"/>
      <c r="D74" s="1240"/>
      <c r="E74" s="634">
        <v>15</v>
      </c>
      <c r="F74" s="100" cm="1" t="str">
        <f t="array" ref="F74:F74">OFFSET(G74,-1,-1)</f>
        <v>2</v>
      </c>
      <c r="G74" s="1240"/>
      <c r="H74" s="1240"/>
      <c r="I74" s="100" t="s">
        <v>532</v>
      </c>
      <c r="J74" s="1240"/>
      <c r="K74" s="100" t="s">
        <v>533</v>
      </c>
      <c r="L74" s="1240"/>
      <c r="M74" s="1240"/>
      <c r="N74" s="1240"/>
      <c r="O74" s="1240"/>
      <c r="P74" s="1240"/>
      <c r="Q74" s="1240"/>
      <c r="R74" s="1240"/>
      <c r="S74" s="1240"/>
      <c r="T74" s="1240"/>
      <c r="U74" s="468">
        <f>AND(F74&gt;0,AB74&gt;0)</f>
        <v>1</v>
      </c>
      <c r="V74" s="1240"/>
      <c r="W74" s="1240"/>
      <c r="X74" s="764"/>
      <c r="Y74" s="1539"/>
      <c r="Z74" s="1529"/>
      <c r="AA74" s="668" t="s">
        <v>174</v>
      </c>
      <c r="AB74" s="84" t="s">
        <v>485</v>
      </c>
      <c r="AC74" s="270" t="str">
        <f>I74&amp;" :: "&amp;K74</f>
        <v>ГНС :: г Ленинск-Кузнецкий, ул. Широкая, 33</v>
      </c>
      <c r="AD74" s="270" t="s">
        <v>443</v>
      </c>
      <c r="AE74" s="270" t="s">
        <v>229</v>
      </c>
      <c r="AF74" s="406" t="s">
        <v>230</v>
      </c>
      <c r="AG74" s="406" t="s">
        <v>444</v>
      </c>
      <c r="AH74" s="185"/>
      <c r="AI74" s="1240"/>
      <c r="AJ74" s="1240"/>
      <c r="AK74" s="1008" t="s">
        <v>437</v>
      </c>
      <c r="AL74" s="1008" t="s">
        <v>438</v>
      </c>
      <c r="AM74" s="1008" cm="1" t="str">
        <f t="array" ref="AM74:AM74">AC74</f>
        <v>ГНС :: г Ленинск-Кузнецкий, ул. Широкая, 33</v>
      </c>
      <c r="AN74" s="1008" cm="1" t="str">
        <f t="array" ref="AN74:AN74">AD74</f>
        <v>концессионное соглашение</v>
      </c>
      <c r="AO74" s="1008" cm="1" t="str">
        <f t="array" ref="AO74:AO74">AE74</f>
        <v>соглашение</v>
      </c>
      <c r="AP74" s="1008" cm="1" t="str">
        <f t="array" ref="AP74:AP74">AF74</f>
        <v>1/Л-К</v>
      </c>
      <c r="AQ74" s="1008" cm="1" t="str">
        <f t="array" ref="AQ74:AQ74">AG74</f>
        <v>14.11.2019</v>
      </c>
      <c r="AR74" s="633"/>
      <c r="AS74" s="633" t="b">
        <v>1</v>
      </c>
    </row>
    <row s="1240" customFormat="1" customHeight="1" ht="23.25">
      <c r="A75" s="1240"/>
      <c r="B75" s="430"/>
      <c r="C75" s="1240"/>
      <c r="D75" s="1240"/>
      <c r="E75" s="634">
        <v>15</v>
      </c>
      <c r="F75" s="100" cm="1" t="str">
        <f t="array" ref="F75:F75">OFFSET(G75,-1,-1)</f>
        <v>2</v>
      </c>
      <c r="G75" s="1240"/>
      <c r="H75" s="1240"/>
      <c r="I75" s="100" t="s">
        <v>534</v>
      </c>
      <c r="J75" s="1240"/>
      <c r="K75" s="100" t="s">
        <v>535</v>
      </c>
      <c r="L75" s="1240"/>
      <c r="M75" s="1240"/>
      <c r="N75" s="1240"/>
      <c r="O75" s="1240"/>
      <c r="P75" s="1240"/>
      <c r="Q75" s="1240"/>
      <c r="R75" s="1240"/>
      <c r="S75" s="1240"/>
      <c r="T75" s="1240"/>
      <c r="U75" s="468">
        <f>AND(F75&gt;0,AB75&gt;0)</f>
        <v>1</v>
      </c>
      <c r="V75" s="1240"/>
      <c r="W75" s="1240"/>
      <c r="X75" s="764"/>
      <c r="Y75" s="1539"/>
      <c r="Z75" s="1529"/>
      <c r="AA75" s="668" t="s">
        <v>174</v>
      </c>
      <c r="AB75" s="84" t="s">
        <v>488</v>
      </c>
      <c r="AC75" s="270" t="str">
        <f>I75&amp;" :: "&amp;K75</f>
        <v>Очистные сооружения города :: г Ленинск-Кузнецкий, ул. Широкая, 41</v>
      </c>
      <c r="AD75" s="270" t="s">
        <v>443</v>
      </c>
      <c r="AE75" s="270" t="s">
        <v>229</v>
      </c>
      <c r="AF75" s="406" t="s">
        <v>230</v>
      </c>
      <c r="AG75" s="406" t="s">
        <v>444</v>
      </c>
      <c r="AH75" s="185"/>
      <c r="AI75" s="1240"/>
      <c r="AJ75" s="1240"/>
      <c r="AK75" s="1008" t="s">
        <v>437</v>
      </c>
      <c r="AL75" s="1008" t="s">
        <v>438</v>
      </c>
      <c r="AM75" s="1008" cm="1" t="str">
        <f t="array" ref="AM75:AM75">AC75</f>
        <v>Очистные сооружения города :: г Ленинск-Кузнецкий, ул. Широкая, 41</v>
      </c>
      <c r="AN75" s="1008" cm="1" t="str">
        <f t="array" ref="AN75:AN75">AD75</f>
        <v>концессионное соглашение</v>
      </c>
      <c r="AO75" s="1008" cm="1" t="str">
        <f t="array" ref="AO75:AO75">AE75</f>
        <v>соглашение</v>
      </c>
      <c r="AP75" s="1008" cm="1" t="str">
        <f t="array" ref="AP75:AP75">AF75</f>
        <v>1/Л-К</v>
      </c>
      <c r="AQ75" s="1008" cm="1" t="str">
        <f t="array" ref="AQ75:AQ75">AG75</f>
        <v>14.11.2019</v>
      </c>
      <c r="AR75" s="633"/>
      <c r="AS75" s="633" t="b">
        <v>1</v>
      </c>
    </row>
    <row s="1240" customFormat="1" customHeight="1" ht="23.25">
      <c r="A76" s="1240"/>
      <c r="B76" s="430"/>
      <c r="C76" s="1240"/>
      <c r="D76" s="1240"/>
      <c r="E76" s="634">
        <v>15</v>
      </c>
      <c r="F76" s="100" cm="1" t="str">
        <f t="array" ref="F76:F76">OFFSET(G76,-1,-1)</f>
        <v>2</v>
      </c>
      <c r="G76" s="1240"/>
      <c r="H76" s="1240"/>
      <c r="I76" s="100" t="s">
        <v>536</v>
      </c>
      <c r="J76" s="1240"/>
      <c r="K76" s="100" t="s">
        <v>537</v>
      </c>
      <c r="L76" s="1240"/>
      <c r="M76" s="1240"/>
      <c r="N76" s="1240"/>
      <c r="O76" s="1240"/>
      <c r="P76" s="1240"/>
      <c r="Q76" s="1240"/>
      <c r="R76" s="1240"/>
      <c r="S76" s="1240"/>
      <c r="T76" s="1240"/>
      <c r="U76" s="468">
        <f>AND(F76&gt;0,AB76&gt;0)</f>
        <v>1</v>
      </c>
      <c r="V76" s="1240"/>
      <c r="W76" s="1240"/>
      <c r="X76" s="764"/>
      <c r="Y76" s="1539"/>
      <c r="Z76" s="1529"/>
      <c r="AA76" s="668" t="s">
        <v>174</v>
      </c>
      <c r="AB76" s="84" t="s">
        <v>490</v>
      </c>
      <c r="AC76" s="270" t="str">
        <f>I76&amp;" :: "&amp;K76</f>
        <v>Очистные сооружения п. Никитинский :: г Ленинск-Кузнецкий, ул.Никитинская, 2 "а"</v>
      </c>
      <c r="AD76" s="270" t="s">
        <v>443</v>
      </c>
      <c r="AE76" s="270" t="s">
        <v>229</v>
      </c>
      <c r="AF76" s="406" t="s">
        <v>230</v>
      </c>
      <c r="AG76" s="406" t="s">
        <v>444</v>
      </c>
      <c r="AH76" s="185"/>
      <c r="AI76" s="1240"/>
      <c r="AJ76" s="1240"/>
      <c r="AK76" s="1008" t="s">
        <v>437</v>
      </c>
      <c r="AL76" s="1008" t="s">
        <v>438</v>
      </c>
      <c r="AM76" s="1008" cm="1" t="str">
        <f t="array" ref="AM76:AM76">AC76</f>
        <v>Очистные сооружения п. Никитинский :: г Ленинск-Кузнецкий, ул.Никитинская, 2 "а"</v>
      </c>
      <c r="AN76" s="1008" cm="1" t="str">
        <f t="array" ref="AN76:AN76">AD76</f>
        <v>концессионное соглашение</v>
      </c>
      <c r="AO76" s="1008" cm="1" t="str">
        <f t="array" ref="AO76:AO76">AE76</f>
        <v>соглашение</v>
      </c>
      <c r="AP76" s="1008" cm="1" t="str">
        <f t="array" ref="AP76:AP76">AF76</f>
        <v>1/Л-К</v>
      </c>
      <c r="AQ76" s="1008" cm="1" t="str">
        <f t="array" ref="AQ76:AQ76">AG76</f>
        <v>14.11.2019</v>
      </c>
      <c r="AR76" s="633"/>
      <c r="AS76" s="633" t="b">
        <v>1</v>
      </c>
    </row>
    <row s="541" customFormat="1" customHeight="1" ht="10.5">
      <c r="A77" s="1331"/>
      <c r="B77" s="430"/>
      <c r="C77" s="1331"/>
      <c r="D77" s="1331"/>
      <c r="E77" s="634">
        <v>11</v>
      </c>
      <c r="F77" s="118" cm="1" t="str">
        <f t="array" ref="F77:F77">OFFSET(G77,-1,-1)</f>
        <v>2</v>
      </c>
      <c r="G77" s="1331"/>
      <c r="H77" s="1331"/>
      <c r="I77" s="1331"/>
      <c r="J77" s="1331"/>
      <c r="K77" s="1331"/>
      <c r="L77" s="1331"/>
      <c r="M77" s="1331"/>
      <c r="N77" s="1331"/>
      <c r="O77" s="1331"/>
      <c r="P77" s="1331"/>
      <c r="Q77" s="1331"/>
      <c r="R77" s="1331"/>
      <c r="S77" s="1331"/>
      <c r="T77" s="1331"/>
      <c r="U77" s="468">
        <f>F77&gt;0</f>
        <v>1</v>
      </c>
      <c r="V77" s="1331"/>
      <c r="W77" s="1331"/>
      <c r="X77" s="764" t="s">
        <v>439</v>
      </c>
      <c r="Y77" s="1539"/>
      <c r="Z77" s="1529"/>
      <c r="AA77" s="1331"/>
      <c r="AB77" s="171"/>
      <c r="AC77" s="174" t="s">
        <v>440</v>
      </c>
      <c r="AD77" s="172"/>
      <c r="AE77" s="172"/>
      <c r="AF77" s="172"/>
      <c r="AG77" s="172"/>
      <c r="AH77" s="183"/>
      <c r="AI77" s="1331"/>
      <c r="AJ77" s="1331"/>
      <c r="AK77" s="1005"/>
      <c r="AL77" s="1005"/>
      <c r="AM77" s="1005"/>
      <c r="AN77" s="1005"/>
      <c r="AO77" s="1005"/>
      <c r="AP77" s="1005"/>
      <c r="AQ77" s="1005"/>
      <c r="AR77" s="623" t="s">
        <v>438</v>
      </c>
      <c r="AS77" s="623"/>
    </row>
    <row s="541" customFormat="1" customHeight="1" ht="21.421875">
      <c r="A78" s="1331"/>
      <c r="B78" s="430"/>
      <c r="C78" s="1331"/>
      <c r="D78" s="1331"/>
      <c r="E78" s="641" t="s">
        <v>353</v>
      </c>
      <c r="F78" s="118" cm="1" t="str">
        <f t="array" ref="F78:F78">Y78</f>
        <v>3</v>
      </c>
      <c r="G78" s="1331"/>
      <c r="H78" s="1331"/>
      <c r="I78" s="1331"/>
      <c r="J78" s="1331"/>
      <c r="K78" s="1331"/>
      <c r="L78" s="1331"/>
      <c r="M78" s="1331"/>
      <c r="N78" s="1331"/>
      <c r="O78" s="1331"/>
      <c r="P78" s="1331"/>
      <c r="Q78" s="1331"/>
      <c r="R78" s="1331"/>
      <c r="S78" s="1331"/>
      <c r="T78" s="1331"/>
      <c r="U78" s="468">
        <f>Y78&gt;0</f>
        <v>1</v>
      </c>
      <c r="V78" s="1331"/>
      <c r="W78" s="118" cm="1" t="str">
        <f t="array" ref="W78:W78">'Перечень объектов'!$AC$63</f>
        <v>Тариф 3 (Водоотведение) - тариф на водоотведение (Оказание услуг на территории: город Полысаево (ОКТМО: 32732000) - г Полысаево)</v>
      </c>
      <c r="X78" s="1331"/>
      <c r="Y78" s="1539" t="s">
        <v>234</v>
      </c>
      <c r="Z78" s="1529"/>
      <c r="AA78" s="1331"/>
      <c r="AB78" s="176" cm="1" t="str">
        <f t="array" ref="AB78:AB78">'Перечень объектов'!$AC$63</f>
        <v>Тариф 3 (Водоотведение) - тариф на водоотведение (Оказание услуг на территории: город Полысаево (ОКТМО: 32732000) - г Полысаево)</v>
      </c>
      <c r="AC78" s="176"/>
      <c r="AD78" s="170"/>
      <c r="AE78" s="170"/>
      <c r="AF78" s="170"/>
      <c r="AG78" s="170"/>
      <c r="AH78" s="170"/>
      <c r="AI78" s="1331"/>
      <c r="AJ78" s="1331"/>
      <c r="AK78" s="1005"/>
      <c r="AL78" s="1005"/>
      <c r="AM78" s="1005"/>
      <c r="AN78" s="1005"/>
      <c r="AO78" s="1005"/>
      <c r="AP78" s="1005"/>
      <c r="AQ78" s="1005"/>
      <c r="AR78" s="623"/>
      <c r="AS78" s="623"/>
    </row>
    <row s="541" customFormat="1" customHeight="1" ht="15" hidden="1">
      <c r="A79" s="1331"/>
      <c r="B79" s="430"/>
      <c r="C79" s="1331"/>
      <c r="D79" s="1331"/>
      <c r="E79" s="634">
        <v>0</v>
      </c>
      <c r="F79" s="118" cm="1" t="str">
        <f t="array" ref="F79:F79">OFFSET(G79,-1,-1)</f>
        <v>3</v>
      </c>
      <c r="G79" s="1331"/>
      <c r="H79" s="1331"/>
      <c r="I79" s="1331"/>
      <c r="J79" s="1331"/>
      <c r="K79" s="1331"/>
      <c r="L79" s="1331"/>
      <c r="M79" s="1331"/>
      <c r="N79" s="1331"/>
      <c r="O79" s="1331"/>
      <c r="P79" s="1331"/>
      <c r="Q79" s="1331"/>
      <c r="R79" s="1331"/>
      <c r="S79" s="1331"/>
      <c r="T79" s="1331"/>
      <c r="U79" s="468" t="b">
        <v>0</v>
      </c>
      <c r="V79" s="1331"/>
      <c r="W79" s="1331"/>
      <c r="X79" s="1331"/>
      <c r="Y79" s="1539"/>
      <c r="Z79" s="1529"/>
      <c r="AA79" s="1331"/>
      <c r="AB79" s="176"/>
      <c r="AC79" s="176"/>
      <c r="AD79" s="170"/>
      <c r="AE79" s="170"/>
      <c r="AF79" s="170"/>
      <c r="AG79" s="170"/>
      <c r="AH79" s="170"/>
      <c r="AI79" s="1331"/>
      <c r="AJ79" s="1331"/>
      <c r="AK79" s="1005"/>
      <c r="AL79" s="1005"/>
      <c r="AM79" s="1005"/>
      <c r="AN79" s="1005"/>
      <c r="AO79" s="1005"/>
      <c r="AP79" s="1005"/>
      <c r="AQ79" s="1005"/>
      <c r="AR79" s="623"/>
      <c r="AS79" s="623"/>
    </row>
    <row s="1240" customFormat="1" customHeight="1" ht="14.25" hidden="1">
      <c r="A80" s="1240"/>
      <c r="B80" s="430"/>
      <c r="C80" s="1240"/>
      <c r="D80" s="1240"/>
      <c r="E80" s="634">
        <v>15</v>
      </c>
      <c r="F80" s="100" cm="1" t="str">
        <f t="array" ref="F80:F80">OFFSET(G80,-1,-1)</f>
        <v>3</v>
      </c>
      <c r="G80" s="1240"/>
      <c r="H80" s="1240"/>
      <c r="I80" s="100" t="s">
        <v>435</v>
      </c>
      <c r="J80" s="1240"/>
      <c r="K80" s="100" t="s">
        <v>436</v>
      </c>
      <c r="L80" s="1240"/>
      <c r="M80" s="1240"/>
      <c r="N80" s="1240"/>
      <c r="O80" s="1240"/>
      <c r="P80" s="1240"/>
      <c r="Q80" s="1240"/>
      <c r="R80" s="1240"/>
      <c r="S80" s="1240"/>
      <c r="T80" s="1240"/>
      <c r="U80" s="468">
        <f>AND(F80&gt;0,AB80&gt;0)</f>
        <v>0</v>
      </c>
      <c r="V80" s="1240"/>
      <c r="W80" s="1240"/>
      <c r="X80" s="764" t="s">
        <v>173</v>
      </c>
      <c r="Y80" s="1539"/>
      <c r="Z80" s="1529"/>
      <c r="AA80" s="668" t="s">
        <v>174</v>
      </c>
      <c r="AB80" s="84">
        <v>0</v>
      </c>
      <c r="AC80" s="270" t="str">
        <f>I80&amp;" :: "&amp;K80</f>
        <v>Наименование объекта :: адрес</v>
      </c>
      <c r="AD80" s="270"/>
      <c r="AE80" s="270"/>
      <c r="AF80" s="406"/>
      <c r="AG80" s="406"/>
      <c r="AH80" s="1816"/>
      <c r="AI80" s="1240"/>
      <c r="AJ80" s="1240"/>
      <c r="AK80" s="1008" t="s">
        <v>437</v>
      </c>
      <c r="AL80" s="1008" t="s">
        <v>438</v>
      </c>
      <c r="AM80" s="1008" cm="1" t="str">
        <f t="array" ref="AM80:AM80">AC80</f>
        <v>Наименование объекта :: адрес</v>
      </c>
      <c r="AN80" s="1008" cm="1" t="str">
        <f t="array" ref="AN80:AN80">AD80</f>
        <v>0</v>
      </c>
      <c r="AO80" s="1008" cm="1" t="str">
        <f t="array" ref="AO80:AO80">AE80</f>
        <v>0</v>
      </c>
      <c r="AP80" s="1008" cm="1" t="str">
        <f t="array" ref="AP80:AP80">AF80</f>
        <v>0</v>
      </c>
      <c r="AQ80" s="1008" cm="1" t="str">
        <f t="array" ref="AQ80:AQ80">AG80</f>
        <v>0</v>
      </c>
      <c r="AR80" s="633"/>
      <c r="AS80" s="633" t="b">
        <v>1</v>
      </c>
    </row>
    <row s="1240" customFormat="1" customHeight="1" ht="23.25">
      <c r="A81" s="1240"/>
      <c r="B81" s="430"/>
      <c r="C81" s="1240"/>
      <c r="D81" s="1240"/>
      <c r="E81" s="634">
        <v>15</v>
      </c>
      <c r="F81" s="100" cm="1" t="str">
        <f t="array" ref="F81:F81">OFFSET(G81,-1,-1)</f>
        <v>3</v>
      </c>
      <c r="G81" s="1240"/>
      <c r="H81" s="1240"/>
      <c r="I81" s="100" t="s">
        <v>502</v>
      </c>
      <c r="J81" s="1240"/>
      <c r="K81" s="100" t="s">
        <v>538</v>
      </c>
      <c r="L81" s="1240"/>
      <c r="M81" s="1240"/>
      <c r="N81" s="1240"/>
      <c r="O81" s="1240"/>
      <c r="P81" s="1240"/>
      <c r="Q81" s="1240"/>
      <c r="R81" s="1240"/>
      <c r="S81" s="1240"/>
      <c r="T81" s="1240"/>
      <c r="U81" s="468">
        <f>AND(F81&gt;0,AB81&gt;0)</f>
        <v>1</v>
      </c>
      <c r="V81" s="1240"/>
      <c r="W81" s="1240"/>
      <c r="X81" s="764"/>
      <c r="Y81" s="1539"/>
      <c r="Z81" s="1529"/>
      <c r="AA81" s="668" t="s">
        <v>174</v>
      </c>
      <c r="AB81" s="84" t="s">
        <v>290</v>
      </c>
      <c r="AC81" s="270" t="str">
        <f>I81&amp;" :: "&amp;K81</f>
        <v>Сети водоотведения :: г Полысаево, г. Полысаево, б/н</v>
      </c>
      <c r="AD81" s="270" t="s">
        <v>443</v>
      </c>
      <c r="AE81" s="270" t="s">
        <v>229</v>
      </c>
      <c r="AF81" s="406" t="s">
        <v>234</v>
      </c>
      <c r="AG81" s="406" t="s">
        <v>444</v>
      </c>
      <c r="AH81" s="185"/>
      <c r="AI81" s="1240"/>
      <c r="AJ81" s="1240"/>
      <c r="AK81" s="1008" t="s">
        <v>437</v>
      </c>
      <c r="AL81" s="1008" t="s">
        <v>438</v>
      </c>
      <c r="AM81" s="1008" cm="1" t="str">
        <f t="array" ref="AM81:AM81">AC81</f>
        <v>Сети водоотведения :: г Полысаево, г. Полысаево, б/н</v>
      </c>
      <c r="AN81" s="1008" cm="1" t="str">
        <f t="array" ref="AN81:AN81">AD81</f>
        <v>концессионное соглашение</v>
      </c>
      <c r="AO81" s="1008" cm="1" t="str">
        <f t="array" ref="AO81:AO81">AE81</f>
        <v>соглашение</v>
      </c>
      <c r="AP81" s="1008" cm="1" t="str">
        <f t="array" ref="AP81:AP81">AF81</f>
        <v>3</v>
      </c>
      <c r="AQ81" s="1008" cm="1" t="str">
        <f t="array" ref="AQ81:AQ81">AG81</f>
        <v>14.11.2019</v>
      </c>
      <c r="AR81" s="633"/>
      <c r="AS81" s="633" t="b">
        <v>1</v>
      </c>
    </row>
    <row s="1240" customFormat="1" customHeight="1" ht="23.25">
      <c r="A82" s="1240"/>
      <c r="B82" s="430"/>
      <c r="C82" s="1240"/>
      <c r="D82" s="1240"/>
      <c r="E82" s="634">
        <v>15</v>
      </c>
      <c r="F82" s="100" cm="1" t="str">
        <f t="array" ref="F82:F82">OFFSET(G82,-1,-1)</f>
        <v>3</v>
      </c>
      <c r="G82" s="1240"/>
      <c r="H82" s="1240"/>
      <c r="I82" s="100" t="s">
        <v>539</v>
      </c>
      <c r="J82" s="1240"/>
      <c r="K82" s="100" t="s">
        <v>538</v>
      </c>
      <c r="L82" s="1240"/>
      <c r="M82" s="1240"/>
      <c r="N82" s="1240"/>
      <c r="O82" s="1240"/>
      <c r="P82" s="1240"/>
      <c r="Q82" s="1240"/>
      <c r="R82" s="1240"/>
      <c r="S82" s="1240"/>
      <c r="T82" s="1240"/>
      <c r="U82" s="468">
        <f>AND(F82&gt;0,AB82&gt;0)</f>
        <v>1</v>
      </c>
      <c r="V82" s="1240"/>
      <c r="W82" s="1240"/>
      <c r="X82" s="764"/>
      <c r="Y82" s="1539"/>
      <c r="Z82" s="1529"/>
      <c r="AA82" s="668" t="s">
        <v>174</v>
      </c>
      <c r="AB82" s="84" t="s">
        <v>299</v>
      </c>
      <c r="AC82" s="270" t="str">
        <f>I82&amp;" :: "&amp;K82</f>
        <v>Сети водоотведения (транспортировка) :: г Полысаево, г. Полысаево, б/н</v>
      </c>
      <c r="AD82" s="270" t="s">
        <v>443</v>
      </c>
      <c r="AE82" s="270" t="s">
        <v>229</v>
      </c>
      <c r="AF82" s="406" t="s">
        <v>234</v>
      </c>
      <c r="AG82" s="406" t="s">
        <v>444</v>
      </c>
      <c r="AH82" s="185"/>
      <c r="AI82" s="1240"/>
      <c r="AJ82" s="1240"/>
      <c r="AK82" s="1008" t="s">
        <v>437</v>
      </c>
      <c r="AL82" s="1008" t="s">
        <v>438</v>
      </c>
      <c r="AM82" s="1008" cm="1" t="str">
        <f t="array" ref="AM82:AM82">AC82</f>
        <v>Сети водоотведения (транспортировка) :: г Полысаево, г. Полысаево, б/н</v>
      </c>
      <c r="AN82" s="1008" cm="1" t="str">
        <f t="array" ref="AN82:AN82">AD82</f>
        <v>концессионное соглашение</v>
      </c>
      <c r="AO82" s="1008" cm="1" t="str">
        <f t="array" ref="AO82:AO82">AE82</f>
        <v>соглашение</v>
      </c>
      <c r="AP82" s="1008" cm="1" t="str">
        <f t="array" ref="AP82:AP82">AF82</f>
        <v>3</v>
      </c>
      <c r="AQ82" s="1008" cm="1" t="str">
        <f t="array" ref="AQ82:AQ82">AG82</f>
        <v>14.11.2019</v>
      </c>
      <c r="AR82" s="633"/>
      <c r="AS82" s="633" t="b">
        <v>1</v>
      </c>
    </row>
    <row s="1240" customFormat="1" customHeight="1" ht="26.671875">
      <c r="A83" s="1240"/>
      <c r="B83" s="430"/>
      <c r="C83" s="1240"/>
      <c r="D83" s="1240"/>
      <c r="E83" s="634">
        <v>15</v>
      </c>
      <c r="F83" s="100" cm="1" t="str">
        <f t="array" ref="F83:F83">OFFSET(G83,-1,-1)</f>
        <v>3</v>
      </c>
      <c r="G83" s="1240"/>
      <c r="H83" s="1240"/>
      <c r="I83" s="100" t="s">
        <v>540</v>
      </c>
      <c r="J83" s="1240"/>
      <c r="K83" s="100" t="s">
        <v>541</v>
      </c>
      <c r="L83" s="1240"/>
      <c r="M83" s="1240"/>
      <c r="N83" s="1240"/>
      <c r="O83" s="1240"/>
      <c r="P83" s="1240"/>
      <c r="Q83" s="1240"/>
      <c r="R83" s="1240"/>
      <c r="S83" s="1240"/>
      <c r="T83" s="1240"/>
      <c r="U83" s="468">
        <f>AND(F83&gt;0,AB83&gt;0)</f>
        <v>1</v>
      </c>
      <c r="V83" s="1240"/>
      <c r="W83" s="1240"/>
      <c r="X83" s="764"/>
      <c r="Y83" s="1539"/>
      <c r="Z83" s="1529"/>
      <c r="AA83" s="668" t="s">
        <v>174</v>
      </c>
      <c r="AB83" s="84" t="s">
        <v>234</v>
      </c>
      <c r="AC83" s="270" t="str">
        <f>I83&amp;" :: "&amp;K83</f>
        <v>КНС ул. 65 лет Кузбассу :: г Полысаево, На площадке, ограниченной улицами: ул. Луначарского-ул. Копровая; ул. Бажова-ул. Крупской, б/н</v>
      </c>
      <c r="AD83" s="270" t="s">
        <v>443</v>
      </c>
      <c r="AE83" s="270" t="s">
        <v>229</v>
      </c>
      <c r="AF83" s="406" t="s">
        <v>234</v>
      </c>
      <c r="AG83" s="406" t="s">
        <v>444</v>
      </c>
      <c r="AH83" s="185"/>
      <c r="AI83" s="1240"/>
      <c r="AJ83" s="1240"/>
      <c r="AK83" s="1008" t="s">
        <v>437</v>
      </c>
      <c r="AL83" s="1008" t="s">
        <v>438</v>
      </c>
      <c r="AM83" s="1008" cm="1" t="str">
        <f t="array" ref="AM83:AM83">AC83</f>
        <v>КНС ул. 65 лет Кузбассу :: г Полысаево, На площадке, ограниченной улицами: ул. Луначарского-ул. Копровая; ул. Бажова-ул. Крупской, б/н</v>
      </c>
      <c r="AN83" s="1008" cm="1" t="str">
        <f t="array" ref="AN83:AN83">AD83</f>
        <v>концессионное соглашение</v>
      </c>
      <c r="AO83" s="1008" cm="1" t="str">
        <f t="array" ref="AO83:AO83">AE83</f>
        <v>соглашение</v>
      </c>
      <c r="AP83" s="1008" cm="1" t="str">
        <f t="array" ref="AP83:AP83">AF83</f>
        <v>3</v>
      </c>
      <c r="AQ83" s="1008" cm="1" t="str">
        <f t="array" ref="AQ83:AQ83">AG83</f>
        <v>14.11.2019</v>
      </c>
      <c r="AR83" s="633"/>
      <c r="AS83" s="633" t="b">
        <v>1</v>
      </c>
    </row>
    <row s="1240" customFormat="1" customHeight="1" ht="25.171875">
      <c r="A84" s="1240"/>
      <c r="B84" s="430"/>
      <c r="C84" s="1240"/>
      <c r="D84" s="1240"/>
      <c r="E84" s="634">
        <v>15</v>
      </c>
      <c r="F84" s="100" cm="1" t="str">
        <f t="array" ref="F84:F84">OFFSET(G84,-1,-1)</f>
        <v>3</v>
      </c>
      <c r="G84" s="1240"/>
      <c r="H84" s="1240"/>
      <c r="I84" s="100" t="s">
        <v>542</v>
      </c>
      <c r="J84" s="1240"/>
      <c r="K84" s="100" t="s">
        <v>543</v>
      </c>
      <c r="L84" s="1240"/>
      <c r="M84" s="1240"/>
      <c r="N84" s="1240"/>
      <c r="O84" s="1240"/>
      <c r="P84" s="1240"/>
      <c r="Q84" s="1240"/>
      <c r="R84" s="1240"/>
      <c r="S84" s="1240"/>
      <c r="T84" s="1240"/>
      <c r="U84" s="468">
        <f>AND(F84&gt;0,AB84&gt;0)</f>
        <v>1</v>
      </c>
      <c r="V84" s="1240"/>
      <c r="W84" s="1240"/>
      <c r="X84" s="764"/>
      <c r="Y84" s="1539"/>
      <c r="Z84" s="1529"/>
      <c r="AA84" s="668" t="s">
        <v>174</v>
      </c>
      <c r="AB84" s="84" t="s">
        <v>451</v>
      </c>
      <c r="AC84" s="270" t="str">
        <f>I84&amp;" :: "&amp;K84</f>
        <v>КНС 13 квартала :: г Полысаево, На северо-востоке в 218 метрах от угла дома №30 по ул. Молодогвардейцев, б/н</v>
      </c>
      <c r="AD84" s="270" t="s">
        <v>443</v>
      </c>
      <c r="AE84" s="270" t="s">
        <v>229</v>
      </c>
      <c r="AF84" s="406" t="s">
        <v>234</v>
      </c>
      <c r="AG84" s="406" t="s">
        <v>444</v>
      </c>
      <c r="AH84" s="185"/>
      <c r="AI84" s="1240"/>
      <c r="AJ84" s="1240"/>
      <c r="AK84" s="1008" t="s">
        <v>437</v>
      </c>
      <c r="AL84" s="1008" t="s">
        <v>438</v>
      </c>
      <c r="AM84" s="1008" cm="1" t="str">
        <f t="array" ref="AM84:AM84">AC84</f>
        <v>КНС 13 квартала :: г Полысаево, На северо-востоке в 218 метрах от угла дома №30 по ул. Молодогвардейцев, б/н</v>
      </c>
      <c r="AN84" s="1008" cm="1" t="str">
        <f t="array" ref="AN84:AN84">AD84</f>
        <v>концессионное соглашение</v>
      </c>
      <c r="AO84" s="1008" cm="1" t="str">
        <f t="array" ref="AO84:AO84">AE84</f>
        <v>соглашение</v>
      </c>
      <c r="AP84" s="1008" cm="1" t="str">
        <f t="array" ref="AP84:AP84">AF84</f>
        <v>3</v>
      </c>
      <c r="AQ84" s="1008" cm="1" t="str">
        <f t="array" ref="AQ84:AQ84">AG84</f>
        <v>14.11.2019</v>
      </c>
      <c r="AR84" s="633"/>
      <c r="AS84" s="633" t="b">
        <v>1</v>
      </c>
    </row>
    <row s="1240" customFormat="1" customHeight="1" ht="23.25">
      <c r="A85" s="1240"/>
      <c r="B85" s="430"/>
      <c r="C85" s="1240"/>
      <c r="D85" s="1240"/>
      <c r="E85" s="634">
        <v>15</v>
      </c>
      <c r="F85" s="100" cm="1" t="str">
        <f t="array" ref="F85:F85">OFFSET(G85,-1,-1)</f>
        <v>3</v>
      </c>
      <c r="G85" s="1240"/>
      <c r="H85" s="1240"/>
      <c r="I85" s="100" t="s">
        <v>544</v>
      </c>
      <c r="J85" s="1240"/>
      <c r="K85" s="100" t="s">
        <v>545</v>
      </c>
      <c r="L85" s="1240"/>
      <c r="M85" s="1240"/>
      <c r="N85" s="1240"/>
      <c r="O85" s="1240"/>
      <c r="P85" s="1240"/>
      <c r="Q85" s="1240"/>
      <c r="R85" s="1240"/>
      <c r="S85" s="1240"/>
      <c r="T85" s="1240"/>
      <c r="U85" s="468">
        <f>AND(F85&gt;0,AB85&gt;0)</f>
        <v>1</v>
      </c>
      <c r="V85" s="1240"/>
      <c r="W85" s="1240"/>
      <c r="X85" s="764"/>
      <c r="Y85" s="1539"/>
      <c r="Z85" s="1529"/>
      <c r="AA85" s="668" t="s">
        <v>174</v>
      </c>
      <c r="AB85" s="84" t="s">
        <v>454</v>
      </c>
      <c r="AC85" s="270" t="str">
        <f>I85&amp;" :: "&amp;K85</f>
        <v>КНС ТЦ "Спутник" :: г Полысаево, ул. Крупской, б/н</v>
      </c>
      <c r="AD85" s="270" t="s">
        <v>443</v>
      </c>
      <c r="AE85" s="270" t="s">
        <v>229</v>
      </c>
      <c r="AF85" s="406" t="s">
        <v>234</v>
      </c>
      <c r="AG85" s="406" t="s">
        <v>444</v>
      </c>
      <c r="AH85" s="185"/>
      <c r="AI85" s="1240"/>
      <c r="AJ85" s="1240"/>
      <c r="AK85" s="1008" t="s">
        <v>437</v>
      </c>
      <c r="AL85" s="1008" t="s">
        <v>438</v>
      </c>
      <c r="AM85" s="1008" cm="1" t="str">
        <f t="array" ref="AM85:AM85">AC85</f>
        <v>КНС ТЦ "Спутник" :: г Полысаево, ул. Крупской, б/н</v>
      </c>
      <c r="AN85" s="1008" cm="1" t="str">
        <f t="array" ref="AN85:AN85">AD85</f>
        <v>концессионное соглашение</v>
      </c>
      <c r="AO85" s="1008" cm="1" t="str">
        <f t="array" ref="AO85:AO85">AE85</f>
        <v>соглашение</v>
      </c>
      <c r="AP85" s="1008" cm="1" t="str">
        <f t="array" ref="AP85:AP85">AF85</f>
        <v>3</v>
      </c>
      <c r="AQ85" s="1008" cm="1" t="str">
        <f t="array" ref="AQ85:AQ85">AG85</f>
        <v>14.11.2019</v>
      </c>
      <c r="AR85" s="633"/>
      <c r="AS85" s="633" t="b">
        <v>1</v>
      </c>
    </row>
    <row s="1240" customFormat="1" customHeight="1" ht="23.25">
      <c r="A86" s="1240"/>
      <c r="B86" s="430"/>
      <c r="C86" s="1240"/>
      <c r="D86" s="1240"/>
      <c r="E86" s="634">
        <v>15</v>
      </c>
      <c r="F86" s="100" cm="1" t="str">
        <f t="array" ref="F86:F86">OFFSET(G86,-1,-1)</f>
        <v>3</v>
      </c>
      <c r="G86" s="1240"/>
      <c r="H86" s="1240"/>
      <c r="I86" s="100" t="s">
        <v>546</v>
      </c>
      <c r="J86" s="1240"/>
      <c r="K86" s="100" t="s">
        <v>547</v>
      </c>
      <c r="L86" s="1240"/>
      <c r="M86" s="1240"/>
      <c r="N86" s="1240"/>
      <c r="O86" s="1240"/>
      <c r="P86" s="1240"/>
      <c r="Q86" s="1240"/>
      <c r="R86" s="1240"/>
      <c r="S86" s="1240"/>
      <c r="T86" s="1240"/>
      <c r="U86" s="468">
        <f>AND(F86&gt;0,AB86&gt;0)</f>
        <v>1</v>
      </c>
      <c r="V86" s="1240"/>
      <c r="W86" s="1240"/>
      <c r="X86" s="764"/>
      <c r="Y86" s="1539"/>
      <c r="Z86" s="1529"/>
      <c r="AA86" s="668" t="s">
        <v>174</v>
      </c>
      <c r="AB86" s="84" t="s">
        <v>457</v>
      </c>
      <c r="AC86" s="270" t="str">
        <f>I86&amp;" :: "&amp;K86</f>
        <v>КНС :: г Полысаево, ул. Молодогвардейцев, 32 стр.1</v>
      </c>
      <c r="AD86" s="270" t="s">
        <v>443</v>
      </c>
      <c r="AE86" s="270" t="s">
        <v>229</v>
      </c>
      <c r="AF86" s="406" t="s">
        <v>234</v>
      </c>
      <c r="AG86" s="406" t="s">
        <v>444</v>
      </c>
      <c r="AH86" s="185"/>
      <c r="AI86" s="1240"/>
      <c r="AJ86" s="1240"/>
      <c r="AK86" s="1008" t="s">
        <v>437</v>
      </c>
      <c r="AL86" s="1008" t="s">
        <v>438</v>
      </c>
      <c r="AM86" s="1008" cm="1" t="str">
        <f t="array" ref="AM86:AM86">AC86</f>
        <v>КНС :: г Полысаево, ул. Молодогвардейцев, 32 стр.1</v>
      </c>
      <c r="AN86" s="1008" cm="1" t="str">
        <f t="array" ref="AN86:AN86">AD86</f>
        <v>концессионное соглашение</v>
      </c>
      <c r="AO86" s="1008" cm="1" t="str">
        <f t="array" ref="AO86:AO86">AE86</f>
        <v>соглашение</v>
      </c>
      <c r="AP86" s="1008" cm="1" t="str">
        <f t="array" ref="AP86:AP86">AF86</f>
        <v>3</v>
      </c>
      <c r="AQ86" s="1008" cm="1" t="str">
        <f t="array" ref="AQ86:AQ86">AG86</f>
        <v>14.11.2019</v>
      </c>
      <c r="AR86" s="633"/>
      <c r="AS86" s="633" t="b">
        <v>1</v>
      </c>
    </row>
    <row s="1240" customFormat="1" customHeight="1" ht="23.25">
      <c r="A87" s="1240"/>
      <c r="B87" s="430"/>
      <c r="C87" s="1240"/>
      <c r="D87" s="1240"/>
      <c r="E87" s="634">
        <v>15</v>
      </c>
      <c r="F87" s="100" cm="1" t="str">
        <f t="array" ref="F87:F87">OFFSET(G87,-1,-1)</f>
        <v>3</v>
      </c>
      <c r="G87" s="1240"/>
      <c r="H87" s="1240"/>
      <c r="I87" s="100" t="s">
        <v>548</v>
      </c>
      <c r="J87" s="1240"/>
      <c r="K87" s="100" t="s">
        <v>549</v>
      </c>
      <c r="L87" s="1240"/>
      <c r="M87" s="1240"/>
      <c r="N87" s="1240"/>
      <c r="O87" s="1240"/>
      <c r="P87" s="1240"/>
      <c r="Q87" s="1240"/>
      <c r="R87" s="1240"/>
      <c r="S87" s="1240"/>
      <c r="T87" s="1240"/>
      <c r="U87" s="468">
        <f>AND(F87&gt;0,AB87&gt;0)</f>
        <v>1</v>
      </c>
      <c r="V87" s="1240"/>
      <c r="W87" s="1240"/>
      <c r="X87" s="764"/>
      <c r="Y87" s="1539"/>
      <c r="Z87" s="1529"/>
      <c r="AA87" s="668" t="s">
        <v>174</v>
      </c>
      <c r="AB87" s="84" t="s">
        <v>460</v>
      </c>
      <c r="AC87" s="270" t="str">
        <f>I87&amp;" :: "&amp;K87</f>
        <v>КНС ул. Победы :: г Полысаево, ул. Победы, б/н</v>
      </c>
      <c r="AD87" s="270" t="s">
        <v>443</v>
      </c>
      <c r="AE87" s="270" t="s">
        <v>229</v>
      </c>
      <c r="AF87" s="406" t="s">
        <v>234</v>
      </c>
      <c r="AG87" s="406" t="s">
        <v>444</v>
      </c>
      <c r="AH87" s="185"/>
      <c r="AI87" s="1240"/>
      <c r="AJ87" s="1240"/>
      <c r="AK87" s="1008" t="s">
        <v>437</v>
      </c>
      <c r="AL87" s="1008" t="s">
        <v>438</v>
      </c>
      <c r="AM87" s="1008" cm="1" t="str">
        <f t="array" ref="AM87:AM87">AC87</f>
        <v>КНС ул. Победы :: г Полысаево, ул. Победы, б/н</v>
      </c>
      <c r="AN87" s="1008" cm="1" t="str">
        <f t="array" ref="AN87:AN87">AD87</f>
        <v>концессионное соглашение</v>
      </c>
      <c r="AO87" s="1008" cm="1" t="str">
        <f t="array" ref="AO87:AO87">AE87</f>
        <v>соглашение</v>
      </c>
      <c r="AP87" s="1008" cm="1" t="str">
        <f t="array" ref="AP87:AP87">AF87</f>
        <v>3</v>
      </c>
      <c r="AQ87" s="1008" cm="1" t="str">
        <f t="array" ref="AQ87:AQ87">AG87</f>
        <v>14.11.2019</v>
      </c>
      <c r="AR87" s="633"/>
      <c r="AS87" s="633" t="b">
        <v>1</v>
      </c>
    </row>
    <row s="1240" customFormat="1" customHeight="1" ht="23.25">
      <c r="A88" s="1240"/>
      <c r="B88" s="430"/>
      <c r="C88" s="1240"/>
      <c r="D88" s="1240"/>
      <c r="E88" s="634">
        <v>15</v>
      </c>
      <c r="F88" s="100" cm="1" t="str">
        <f t="array" ref="F88:F88">OFFSET(G88,-1,-1)</f>
        <v>3</v>
      </c>
      <c r="G88" s="1240"/>
      <c r="H88" s="1240"/>
      <c r="I88" s="100" t="s">
        <v>550</v>
      </c>
      <c r="J88" s="1240"/>
      <c r="K88" s="100" t="s">
        <v>551</v>
      </c>
      <c r="L88" s="1240"/>
      <c r="M88" s="1240"/>
      <c r="N88" s="1240"/>
      <c r="O88" s="1240"/>
      <c r="P88" s="1240"/>
      <c r="Q88" s="1240"/>
      <c r="R88" s="1240"/>
      <c r="S88" s="1240"/>
      <c r="T88" s="1240"/>
      <c r="U88" s="468">
        <f>AND(F88&gt;0,AB88&gt;0)</f>
        <v>1</v>
      </c>
      <c r="V88" s="1240"/>
      <c r="W88" s="1240"/>
      <c r="X88" s="764"/>
      <c r="Y88" s="1539"/>
      <c r="Z88" s="1529"/>
      <c r="AA88" s="668" t="s">
        <v>174</v>
      </c>
      <c r="AB88" s="84" t="s">
        <v>463</v>
      </c>
      <c r="AC88" s="270" t="str">
        <f>I88&amp;" :: "&amp;K88</f>
        <v>Очистные сооружения :: г Полысаево, ул. Садовая, 1</v>
      </c>
      <c r="AD88" s="270" t="s">
        <v>443</v>
      </c>
      <c r="AE88" s="270" t="s">
        <v>229</v>
      </c>
      <c r="AF88" s="406" t="s">
        <v>234</v>
      </c>
      <c r="AG88" s="406" t="s">
        <v>444</v>
      </c>
      <c r="AH88" s="185"/>
      <c r="AI88" s="1240"/>
      <c r="AJ88" s="1240"/>
      <c r="AK88" s="1008" t="s">
        <v>437</v>
      </c>
      <c r="AL88" s="1008" t="s">
        <v>438</v>
      </c>
      <c r="AM88" s="1008" cm="1" t="str">
        <f t="array" ref="AM88:AM88">AC88</f>
        <v>Очистные сооружения :: г Полысаево, ул. Садовая, 1</v>
      </c>
      <c r="AN88" s="1008" cm="1" t="str">
        <f t="array" ref="AN88:AN88">AD88</f>
        <v>концессионное соглашение</v>
      </c>
      <c r="AO88" s="1008" cm="1" t="str">
        <f t="array" ref="AO88:AO88">AE88</f>
        <v>соглашение</v>
      </c>
      <c r="AP88" s="1008" cm="1" t="str">
        <f t="array" ref="AP88:AP88">AF88</f>
        <v>3</v>
      </c>
      <c r="AQ88" s="1008" cm="1" t="str">
        <f t="array" ref="AQ88:AQ88">AG88</f>
        <v>14.11.2019</v>
      </c>
      <c r="AR88" s="633"/>
      <c r="AS88" s="633" t="b">
        <v>1</v>
      </c>
    </row>
    <row s="1240" customFormat="1" customHeight="1" ht="23.25">
      <c r="A89" s="1240"/>
      <c r="B89" s="430"/>
      <c r="C89" s="1240"/>
      <c r="D89" s="1240"/>
      <c r="E89" s="634">
        <v>15</v>
      </c>
      <c r="F89" s="100" cm="1" t="str">
        <f t="array" ref="F89:F89">OFFSET(G89,-1,-1)</f>
        <v>3</v>
      </c>
      <c r="G89" s="1240"/>
      <c r="H89" s="1240"/>
      <c r="I89" s="100" t="s">
        <v>532</v>
      </c>
      <c r="J89" s="1240"/>
      <c r="K89" s="100" t="s">
        <v>552</v>
      </c>
      <c r="L89" s="1240"/>
      <c r="M89" s="1240"/>
      <c r="N89" s="1240"/>
      <c r="O89" s="1240"/>
      <c r="P89" s="1240"/>
      <c r="Q89" s="1240"/>
      <c r="R89" s="1240"/>
      <c r="S89" s="1240"/>
      <c r="T89" s="1240"/>
      <c r="U89" s="468">
        <f>AND(F89&gt;0,AB89&gt;0)</f>
        <v>1</v>
      </c>
      <c r="V89" s="1240"/>
      <c r="W89" s="1240"/>
      <c r="X89" s="764"/>
      <c r="Y89" s="1539"/>
      <c r="Z89" s="1529"/>
      <c r="AA89" s="668" t="s">
        <v>174</v>
      </c>
      <c r="AB89" s="84" t="s">
        <v>466</v>
      </c>
      <c r="AC89" s="270" t="str">
        <f>I89&amp;" :: "&amp;K89</f>
        <v>ГНС :: г Полысаево, ул. Свердлова, 19а</v>
      </c>
      <c r="AD89" s="270" t="s">
        <v>443</v>
      </c>
      <c r="AE89" s="270" t="s">
        <v>229</v>
      </c>
      <c r="AF89" s="406" t="s">
        <v>234</v>
      </c>
      <c r="AG89" s="406" t="s">
        <v>444</v>
      </c>
      <c r="AH89" s="185"/>
      <c r="AI89" s="1240"/>
      <c r="AJ89" s="1240"/>
      <c r="AK89" s="1008" t="s">
        <v>437</v>
      </c>
      <c r="AL89" s="1008" t="s">
        <v>438</v>
      </c>
      <c r="AM89" s="1008" cm="1" t="str">
        <f t="array" ref="AM89:AM89">AC89</f>
        <v>ГНС :: г Полысаево, ул. Свердлова, 19а</v>
      </c>
      <c r="AN89" s="1008" cm="1" t="str">
        <f t="array" ref="AN89:AN89">AD89</f>
        <v>концессионное соглашение</v>
      </c>
      <c r="AO89" s="1008" cm="1" t="str">
        <f t="array" ref="AO89:AO89">AE89</f>
        <v>соглашение</v>
      </c>
      <c r="AP89" s="1008" cm="1" t="str">
        <f t="array" ref="AP89:AP89">AF89</f>
        <v>3</v>
      </c>
      <c r="AQ89" s="1008" cm="1" t="str">
        <f t="array" ref="AQ89:AQ89">AG89</f>
        <v>14.11.2019</v>
      </c>
      <c r="AR89" s="633"/>
      <c r="AS89" s="633" t="b">
        <v>1</v>
      </c>
    </row>
    <row s="541" customFormat="1" customHeight="1" ht="10.5">
      <c r="A90" s="1331"/>
      <c r="B90" s="430"/>
      <c r="C90" s="1331"/>
      <c r="D90" s="1331"/>
      <c r="E90" s="634">
        <v>11</v>
      </c>
      <c r="F90" s="118" cm="1" t="str">
        <f t="array" ref="F90:F90">OFFSET(G90,-1,-1)</f>
        <v>3</v>
      </c>
      <c r="G90" s="1331"/>
      <c r="H90" s="1331"/>
      <c r="I90" s="1331"/>
      <c r="J90" s="1331"/>
      <c r="K90" s="1331"/>
      <c r="L90" s="1331"/>
      <c r="M90" s="1331"/>
      <c r="N90" s="1331"/>
      <c r="O90" s="1331"/>
      <c r="P90" s="1331"/>
      <c r="Q90" s="1331"/>
      <c r="R90" s="1331"/>
      <c r="S90" s="1331"/>
      <c r="T90" s="1331"/>
      <c r="U90" s="468">
        <f>F90&gt;0</f>
        <v>1</v>
      </c>
      <c r="V90" s="1331"/>
      <c r="W90" s="1331"/>
      <c r="X90" s="764" t="s">
        <v>439</v>
      </c>
      <c r="Y90" s="1539"/>
      <c r="Z90" s="1529"/>
      <c r="AA90" s="1331"/>
      <c r="AB90" s="171"/>
      <c r="AC90" s="174" t="s">
        <v>440</v>
      </c>
      <c r="AD90" s="172"/>
      <c r="AE90" s="172"/>
      <c r="AF90" s="172"/>
      <c r="AG90" s="172"/>
      <c r="AH90" s="183"/>
      <c r="AI90" s="1331"/>
      <c r="AJ90" s="1331"/>
      <c r="AK90" s="1005"/>
      <c r="AL90" s="1005"/>
      <c r="AM90" s="1005"/>
      <c r="AN90" s="1005"/>
      <c r="AO90" s="1005"/>
      <c r="AP90" s="1005"/>
      <c r="AQ90" s="1005"/>
      <c r="AR90" s="623" t="s">
        <v>438</v>
      </c>
      <c r="AS90" s="623"/>
    </row>
    <row customHeight="1" ht="10.725000000000001">
      <c r="A91" s="417"/>
      <c r="B91" s="417"/>
      <c r="C91" s="417"/>
      <c r="D91" s="417"/>
      <c r="E91" s="634">
        <v>11</v>
      </c>
      <c r="F91" s="417"/>
      <c r="G91" s="417"/>
      <c r="H91" s="417"/>
      <c r="I91" s="417"/>
      <c r="J91" s="417"/>
      <c r="K91" s="417"/>
      <c r="L91" s="417"/>
      <c r="M91" s="417"/>
      <c r="N91" s="417"/>
      <c r="O91" s="417"/>
      <c r="P91" s="417"/>
      <c r="Q91" s="417"/>
      <c r="R91" s="417"/>
      <c r="S91" s="417"/>
      <c r="T91" s="417"/>
      <c r="U91" s="417"/>
      <c r="V91" s="118" t="s">
        <v>177</v>
      </c>
      <c r="W91" s="136" t="s">
        <v>553</v>
      </c>
      <c r="X91" s="417"/>
      <c r="Y91" s="417"/>
      <c r="Z91" s="417"/>
      <c r="AA91" s="417"/>
      <c r="AI91" s="417"/>
      <c r="AJ91" s="417"/>
      <c r="AK91" s="1009"/>
      <c r="AL91" s="1009"/>
      <c r="AM91" s="1009"/>
      <c r="AN91" s="1009"/>
      <c r="AO91" s="1009"/>
      <c r="AP91" s="1009"/>
      <c r="AQ91" s="1009"/>
      <c r="AR91" s="662"/>
      <c r="AS91" s="681"/>
    </row>
    <row s="1656" customFormat="1" customHeight="1" ht="11.25" hidden="1">
      <c r="A92" s="502"/>
      <c r="B92" s="664"/>
      <c r="C92" s="502"/>
      <c r="D92" s="502"/>
      <c r="E92" s="634"/>
      <c r="F92" s="417"/>
      <c r="G92" s="417"/>
      <c r="H92" s="417"/>
      <c r="I92" s="417"/>
      <c r="J92" s="502"/>
      <c r="K92" s="502"/>
      <c r="L92" s="502"/>
      <c r="M92" s="502"/>
      <c r="N92" s="502"/>
      <c r="O92" s="502"/>
      <c r="P92" s="502"/>
      <c r="Q92" s="502"/>
      <c r="R92" s="502"/>
      <c r="S92" s="502"/>
      <c r="T92" s="502"/>
      <c r="U92" s="502"/>
      <c r="V92" s="502"/>
      <c r="W92" s="502"/>
      <c r="X92" s="502"/>
      <c r="Y92" s="502"/>
      <c r="Z92" s="502"/>
      <c r="AA92" s="502"/>
      <c r="AC92" s="96"/>
      <c r="AD92" s="96"/>
      <c r="AE92" s="96"/>
      <c r="AF92" s="96"/>
      <c r="AI92" s="502"/>
      <c r="AJ92" s="502"/>
      <c r="AK92" s="1006"/>
      <c r="AL92" s="1006"/>
      <c r="AM92" s="1006"/>
      <c r="AN92" s="1006"/>
      <c r="AO92" s="1006"/>
      <c r="AP92" s="1007"/>
      <c r="AQ92" s="1006"/>
      <c r="AR92" s="665"/>
      <c r="AS92" s="629"/>
    </row>
    <row customHeight="1" ht="11.25" hidden="1">
      <c r="E93" s="634"/>
    </row>
    <row customHeight="1" ht="11.25" hidden="1">
      <c r="E94" s="634"/>
    </row>
    <row customHeight="1" ht="11.25" hidden="1">
      <c r="E95" s="634"/>
    </row>
    <row customHeight="1" ht="11.25" hidden="1">
      <c r="E96" s="634"/>
    </row>
    <row customHeight="1" ht="11.25" hidden="1">
      <c r="E97" s="642"/>
    </row>
    <row customHeight="1" ht="11.25" hidden="1">
      <c r="E98" s="634"/>
    </row>
    <row customHeight="1" ht="11.25" hidden="1">
      <c r="E99" s="634"/>
    </row>
    <row customHeight="1" ht="11.25" hidden="1">
      <c r="E100" s="634"/>
    </row>
    <row customHeight="1" ht="11.25" hidden="1">
      <c r="E101" s="639"/>
    </row>
    <row customHeight="1" ht="11.25" hidden="1">
      <c r="E102" s="637"/>
    </row>
    <row customHeight="1" ht="11.25" hidden="1">
      <c r="E103" s="637"/>
    </row>
    <row customHeight="1" ht="11.25" hidden="1">
      <c r="E104" s="637"/>
    </row>
  </sheetData>
  <sheetProtection formatColumns="0" formatRows="0" insertRows="0" deleteColumns="0" deleteRows="0" sort="0" autoFilter="0" insertColumns="1"/>
  <mergeCells count="10">
    <mergeCell ref="AB22:AH22"/>
    <mergeCell ref="AF23:AG23"/>
    <mergeCell ref="Y26:Y29"/>
    <mergeCell ref="Z26:Z29"/>
    <mergeCell ref="Y30:Y55"/>
    <mergeCell ref="Z30:Z55"/>
    <mergeCell ref="Y56:Y77"/>
    <mergeCell ref="Z56:Z77"/>
    <mergeCell ref="Y78:Y90"/>
    <mergeCell ref="Z78:Z90"/>
  </mergeCells>
  <dataValidations count="1">
    <dataValidation type="list" showDropDown="1" errorTitle="Ошибка" error="Выберите значение из списка" prompt="Выберите значение из списка" sqref="AD29 AD55 AD77 AD90">
      <formula1>osn_expl_list</formula1>
    </dataValidation>
  </dataValidations>
  <pageMargins left="0.35" right="0.35" top="0.40" bottom="0.40" header="0.51" footer="0.51"/>
  <pageSetup paperSize="9" scale="32" fitToHeight="0"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BA7C578-7BA5-869F-8398-E5F4F9EEB5FB}" mc:Ignorable="x14ac xr xr2 xr3">
  <sheetPr>
    <tabColor theme="3" tint="0.6"/>
    <outlinePr summaryRight="0" summaryBelow="0"/>
    <pageSetUpPr fitToPage="1"/>
  </sheetPr>
  <dimension ref="A1:BM136"/>
  <sheetViews>
    <sheetView showGridLines="0" workbookViewId="0">
      <pane xSplit="30" ySplit="26" topLeftCell="AE58" activePane="bottomRight" state="frozen"/>
      <selection pane="bottomLeft" activeCell="A27" sqref="A27"/>
      <selection pane="topRight" activeCell="AE1" sqref="AE1"/>
      <selection pane="bottomRight" activeCell="AI60" sqref="AI60"/>
    </sheetView>
  </sheetViews>
  <sheetFormatPr defaultColWidth="9.140625" customHeight="1" defaultRowHeight="11.25"/>
  <cols>
    <col min="1" max="1" style="1331" width="3.57421875" hidden="1" customWidth="1"/>
    <col min="2" max="2" style="1223" width="8.7109375" hidden="1" customWidth="1"/>
    <col min="3" max="4" style="1331" width="3.57421875" hidden="1" customWidth="1"/>
    <col min="5" max="5" style="1182" width="3.57421875" hidden="1" customWidth="1"/>
    <col min="6" max="6" style="1178" width="8.57421875" hidden="1" customWidth="1"/>
    <col min="7" max="7" style="1331" width="7.57421875" hidden="1" customWidth="1"/>
    <col min="8" max="20" style="1331" width="3.57421875" hidden="1" customWidth="1"/>
    <col min="21" max="21" style="1331" width="8.57421875" hidden="1" customWidth="1"/>
    <col min="22" max="26" style="1331" width="6.00390625" hidden="1" customWidth="1"/>
    <col min="27" max="27" style="1331" width="3.00390625" customWidth="1"/>
    <col min="28" max="28" style="1240" width="11.00390625" customWidth="1"/>
    <col min="29" max="29" style="1327" width="40.00390625" customWidth="1"/>
    <col min="30" max="30" style="1331" width="10.00390625" customWidth="1"/>
    <col min="31" max="33" style="1331" width="15.00390625" customWidth="1"/>
    <col min="34" max="34" style="1331" width="28.7109375" customWidth="1"/>
    <col min="35" max="37" style="1331" width="15.00390625" customWidth="1"/>
    <col min="38" max="38" style="1331" width="10.8515625" customWidth="1"/>
    <col min="39" max="39" style="1331" width="10.140625" customWidth="1"/>
    <col min="40" max="40" style="1331" width="35.421875" customWidth="1"/>
    <col min="41" max="58" style="1331" width="15.00390625" hidden="1" customWidth="1"/>
    <col min="59" max="59" style="1331" width="3.00390625" customWidth="1"/>
    <col min="60" max="60" style="1331" width="9.140625" hidden="1"/>
    <col min="61" max="63" style="1245" width="9.140625" hidden="1"/>
    <col min="64" max="65" style="1182" width="9.140625" hidden="1"/>
  </cols>
  <sheetData>
    <row customHeight="1" ht="11.25" hidden="1">
      <c r="E1" s="118"/>
      <c r="F1" s="756" t="s">
        <v>333</v>
      </c>
      <c r="H1" s="118" t="s">
        <v>343</v>
      </c>
      <c r="U1" s="468" t="s">
        <v>93</v>
      </c>
      <c r="V1" s="468" t="s">
        <v>98</v>
      </c>
      <c r="W1" s="468" t="s">
        <v>94</v>
      </c>
      <c r="X1" s="468" t="s">
        <v>95</v>
      </c>
      <c r="Y1" s="468" t="s">
        <v>96</v>
      </c>
      <c r="Z1" s="468" t="s">
        <v>100</v>
      </c>
      <c r="AA1" s="468" t="s">
        <v>97</v>
      </c>
      <c r="AB1" s="468" t="s">
        <v>335</v>
      </c>
      <c r="AC1" s="468" t="s">
        <v>99</v>
      </c>
      <c r="AO1" s="1331"/>
      <c r="AP1" s="1331"/>
      <c r="AQ1" s="1331"/>
      <c r="AR1" s="1331"/>
      <c r="AS1" s="1331"/>
      <c r="AT1" s="1331"/>
      <c r="AU1" s="1331"/>
      <c r="AV1" s="1331"/>
      <c r="AW1" s="1331"/>
      <c r="AX1" s="1331"/>
      <c r="AY1" s="1331"/>
      <c r="AZ1" s="1331"/>
      <c r="BA1" s="1331"/>
      <c r="BB1" s="1331"/>
      <c r="BC1" s="1331"/>
      <c r="BD1" s="1331"/>
      <c r="BE1" s="1331"/>
      <c r="BF1" s="1331"/>
      <c r="BI1" s="1005" t="s">
        <v>336</v>
      </c>
      <c r="BJ1" s="1005" t="s">
        <v>337</v>
      </c>
      <c r="BK1" s="1005" t="s">
        <v>338</v>
      </c>
      <c r="BL1" s="623" t="s">
        <v>341</v>
      </c>
      <c r="BM1" s="623" t="s">
        <v>342</v>
      </c>
    </row>
    <row s="1223" customFormat="1" customHeight="1" ht="11.25" hidden="1">
      <c r="B2" s="448" t="s">
        <v>19</v>
      </c>
      <c r="F2" s="757"/>
      <c r="AC2" s="445"/>
      <c r="AF2" s="1223" cm="1" t="str">
        <f t="array" ref="AF2:AF2">isOrgDeclare</f>
        <v>true</v>
      </c>
      <c r="AJ2" s="1223" cm="1" t="str">
        <f t="array" ref="AJ2:AJ2">isOrgDeclare</f>
        <v>true</v>
      </c>
      <c r="AM2" s="1223" cm="1" t="str">
        <f t="array" ref="AM2:AM2">isOrgDeclare</f>
        <v>true</v>
      </c>
      <c r="AO2" s="448">
        <f>AND(AO6&lt;=last_year_vis,isOrgDeclare)</f>
        <v>0</v>
      </c>
      <c r="AP2" s="448">
        <f>AND(AP6&lt;=last_year_vis,isOrgDeclare)</f>
        <v>0</v>
      </c>
      <c r="AQ2" s="448">
        <f>AND(AQ6&lt;=last_year_vis,isOrgDeclare)</f>
        <v>0</v>
      </c>
      <c r="AR2" s="448">
        <f>AND(AR6&lt;=last_year_vis,isOrgDeclare)</f>
        <v>0</v>
      </c>
      <c r="AS2" s="448">
        <f>AND(AS6&lt;=last_year_vis,isOrgDeclare)</f>
        <v>0</v>
      </c>
      <c r="AT2" s="448">
        <f>AND(AT6&lt;=last_year_vis,isOrgDeclare)</f>
        <v>0</v>
      </c>
      <c r="AU2" s="448">
        <f>AND(AU6&lt;=last_year_vis,isOrgDeclare)</f>
        <v>0</v>
      </c>
      <c r="AV2" s="448">
        <f>AND(AV6&lt;=last_year_vis,isOrgDeclare)</f>
        <v>0</v>
      </c>
      <c r="AW2" s="448">
        <f>AND(AW6&lt;=last_year_vis,isOrgDeclare)</f>
        <v>0</v>
      </c>
      <c r="AX2" s="448">
        <f>AX6&lt;=last_year_vis</f>
        <v>0</v>
      </c>
      <c r="AY2" s="448">
        <f>AY6&lt;=last_year_vis</f>
        <v>0</v>
      </c>
      <c r="AZ2" s="448">
        <f>AZ6&lt;=last_year_vis</f>
        <v>0</v>
      </c>
      <c r="BA2" s="448">
        <f>BA6&lt;=last_year_vis</f>
        <v>0</v>
      </c>
      <c r="BB2" s="448">
        <f>BB6&lt;=last_year_vis</f>
        <v>0</v>
      </c>
      <c r="BC2" s="448">
        <f>BC6&lt;=last_year_vis</f>
        <v>0</v>
      </c>
      <c r="BD2" s="448">
        <f>BD6&lt;=last_year_vis</f>
        <v>0</v>
      </c>
      <c r="BE2" s="448">
        <f>BE6&lt;=last_year_vis</f>
        <v>0</v>
      </c>
      <c r="BF2" s="448">
        <f>BF6&lt;=last_year_vis</f>
        <v>0</v>
      </c>
      <c r="BI2" s="1017"/>
      <c r="BJ2" s="1017"/>
      <c r="BK2" s="1017"/>
      <c r="BL2" s="1022"/>
      <c r="BM2" s="1022"/>
    </row>
    <row customHeight="1" ht="11.25" hidden="1">
      <c r="E3" s="118"/>
      <c r="AO3" s="1331"/>
      <c r="AP3" s="1331"/>
      <c r="AQ3" s="1331"/>
      <c r="AR3" s="1331"/>
      <c r="AS3" s="1331"/>
      <c r="AT3" s="1331"/>
      <c r="AU3" s="1331"/>
      <c r="AV3" s="1331"/>
      <c r="AW3" s="1331"/>
      <c r="AX3" s="1331"/>
      <c r="AY3" s="1331"/>
      <c r="AZ3" s="1331"/>
      <c r="BA3" s="1331"/>
      <c r="BB3" s="1331"/>
      <c r="BC3" s="1331"/>
      <c r="BD3" s="1331"/>
      <c r="BE3" s="1331"/>
      <c r="BF3" s="1331"/>
    </row>
    <row customHeight="1" ht="11.25" hidden="1">
      <c r="E4" s="118"/>
      <c r="AO4" s="1331"/>
      <c r="AP4" s="1331"/>
      <c r="AQ4" s="1331"/>
      <c r="AR4" s="1331"/>
      <c r="AS4" s="1331"/>
      <c r="AT4" s="1331"/>
      <c r="AU4" s="1331"/>
      <c r="AV4" s="1331"/>
      <c r="AW4" s="1331"/>
      <c r="AX4" s="1331"/>
      <c r="AY4" s="1331"/>
      <c r="AZ4" s="1331"/>
      <c r="BA4" s="1331"/>
      <c r="BB4" s="1331"/>
      <c r="BC4" s="1331"/>
      <c r="BD4" s="1331"/>
      <c r="BE4" s="1331"/>
      <c r="BF4" s="1331"/>
    </row>
    <row s="1182" customFormat="1" customHeight="1" ht="11.25" hidden="1">
      <c r="A5" s="118"/>
      <c r="B5" s="430"/>
      <c r="C5" s="118"/>
      <c r="D5" s="118"/>
      <c r="E5" s="623" t="s">
        <v>20</v>
      </c>
      <c r="F5" s="758"/>
      <c r="AA5" s="623">
        <v>3</v>
      </c>
      <c r="AB5" s="633">
        <v>11</v>
      </c>
      <c r="AC5" s="636">
        <v>40</v>
      </c>
      <c r="AD5" s="623">
        <v>15</v>
      </c>
      <c r="AE5" s="623">
        <v>15</v>
      </c>
      <c r="AF5" s="623">
        <v>15</v>
      </c>
      <c r="AG5" s="623">
        <v>15</v>
      </c>
      <c r="AH5" s="623">
        <v>17.71</v>
      </c>
      <c r="AI5" s="623">
        <v>15</v>
      </c>
      <c r="AJ5" s="623">
        <v>15</v>
      </c>
      <c r="AK5" s="623">
        <v>15</v>
      </c>
      <c r="AL5" s="623">
        <v>15</v>
      </c>
      <c r="AM5" s="623">
        <v>15</v>
      </c>
      <c r="AN5" s="623">
        <v>15</v>
      </c>
      <c r="AO5" s="623">
        <v>15</v>
      </c>
      <c r="AP5" s="623">
        <v>15</v>
      </c>
      <c r="AQ5" s="623">
        <v>15</v>
      </c>
      <c r="AR5" s="623">
        <v>15</v>
      </c>
      <c r="AS5" s="623">
        <v>15</v>
      </c>
      <c r="AT5" s="623">
        <v>15</v>
      </c>
      <c r="AU5" s="623">
        <v>15</v>
      </c>
      <c r="AV5" s="623">
        <v>15</v>
      </c>
      <c r="AW5" s="623">
        <v>15</v>
      </c>
      <c r="AX5" s="623">
        <v>15</v>
      </c>
      <c r="AY5" s="623">
        <v>15</v>
      </c>
      <c r="AZ5" s="623">
        <v>15</v>
      </c>
      <c r="BA5" s="623">
        <v>15</v>
      </c>
      <c r="BB5" s="623">
        <v>15</v>
      </c>
      <c r="BC5" s="623">
        <v>15</v>
      </c>
      <c r="BD5" s="623">
        <v>15</v>
      </c>
      <c r="BE5" s="623">
        <v>15</v>
      </c>
      <c r="BF5" s="623">
        <v>15</v>
      </c>
      <c r="BG5" s="623">
        <v>3</v>
      </c>
      <c r="BI5" s="1005"/>
      <c r="BJ5" s="1005"/>
      <c r="BK5" s="1005"/>
    </row>
    <row customHeight="1" ht="11.25" hidden="1">
      <c r="A6" s="118" t="s">
        <v>371</v>
      </c>
      <c r="AE6" s="118">
        <f>god-2</f>
        <v>2024</v>
      </c>
      <c r="AF6" s="118">
        <f>god-2</f>
        <v>2024</v>
      </c>
      <c r="AG6" s="118">
        <f>god-2</f>
        <v>2024</v>
      </c>
      <c r="AH6" s="118">
        <f>god-2</f>
        <v>2024</v>
      </c>
      <c r="AI6" s="118">
        <f>god-1</f>
        <v>2025</v>
      </c>
      <c r="AJ6" s="118" cm="1" t="str">
        <f t="array" ref="AJ6:AJ6">god</f>
        <v>2026</v>
      </c>
      <c r="AK6" s="118" cm="1" t="str">
        <f t="array" ref="AK6:AK6">god</f>
        <v>2026</v>
      </c>
      <c r="AL6" s="118" cm="1" t="str">
        <f t="array" ref="AL6:AL6">god</f>
        <v>2026</v>
      </c>
      <c r="AM6" s="118" cm="1" t="str">
        <f t="array" ref="AM6:AM6">god</f>
        <v>2026</v>
      </c>
      <c r="AN6" s="118" cm="1" t="str">
        <f t="array" ref="AN6:AN6">god</f>
        <v>2026</v>
      </c>
      <c r="AO6" s="118">
        <f>god+1</f>
        <v>2027</v>
      </c>
      <c r="AP6" s="118">
        <f>god+2</f>
        <v>2028</v>
      </c>
      <c r="AQ6" s="118">
        <f>god+3</f>
        <v>2029</v>
      </c>
      <c r="AR6" s="118">
        <f>god+4</f>
        <v>2030</v>
      </c>
      <c r="AS6" s="118">
        <f>god+5</f>
        <v>2031</v>
      </c>
      <c r="AT6" s="118">
        <f>god+6</f>
        <v>2032</v>
      </c>
      <c r="AU6" s="118">
        <f>god+7</f>
        <v>2033</v>
      </c>
      <c r="AV6" s="118">
        <f>god+8</f>
        <v>2034</v>
      </c>
      <c r="AW6" s="118">
        <f>god+9</f>
        <v>2035</v>
      </c>
      <c r="AX6" s="118">
        <f>god+1</f>
        <v>2027</v>
      </c>
      <c r="AY6" s="118">
        <f>god+2</f>
        <v>2028</v>
      </c>
      <c r="AZ6" s="118">
        <f>god+3</f>
        <v>2029</v>
      </c>
      <c r="BA6" s="118">
        <f>god+4</f>
        <v>2030</v>
      </c>
      <c r="BB6" s="118">
        <f>god+5</f>
        <v>2031</v>
      </c>
      <c r="BC6" s="118">
        <f>god+6</f>
        <v>2032</v>
      </c>
      <c r="BD6" s="118">
        <f>god+7</f>
        <v>2033</v>
      </c>
      <c r="BE6" s="118">
        <f>god+8</f>
        <v>2034</v>
      </c>
      <c r="BF6" s="118">
        <f>god+9</f>
        <v>2035</v>
      </c>
    </row>
    <row customHeight="1" ht="11.25" hidden="1">
      <c r="A7" s="118" t="s">
        <v>372</v>
      </c>
      <c r="AE7" s="118" cm="1" t="str">
        <f t="array" ref="AE7:AE7">AE25</f>
        <v>Принято органом регулирования</v>
      </c>
      <c r="AF7" s="118" cm="1" t="str">
        <f t="array" ref="AF7:AF7">AF25</f>
        <v>Факт по данным организации</v>
      </c>
      <c r="AG7" s="118" cm="1" t="str">
        <f t="array" ref="AG7:AG7">AG25</f>
        <v>Факт, принятый органом регулирования</v>
      </c>
      <c r="AH7" s="118" t="s">
        <v>375</v>
      </c>
      <c r="AI7" s="118" cm="1" t="str">
        <f t="array" ref="AI7:AI7">AI25</f>
        <v>Принято органом регулирования</v>
      </c>
      <c r="AJ7" s="118" cm="1" t="str">
        <f t="array" ref="AJ7:AJ7">AJ25</f>
        <v>Предложение организации</v>
      </c>
      <c r="AK7" s="118" cm="1" t="str">
        <f t="array" ref="AK7:AK7">AK25</f>
        <v>Принято органом регулирования</v>
      </c>
      <c r="AL7" s="118" cm="1" t="str">
        <f t="array" ref="AL7:AL7">AL25</f>
        <v>% роста / снижения</v>
      </c>
      <c r="AM7" s="118" cm="1" t="str">
        <f t="array" ref="AM7:AM7">AM25</f>
        <v>Отклонение (принято органом регулирования - заявлено организацией)</v>
      </c>
      <c r="AN7" s="118" t="s">
        <v>375</v>
      </c>
      <c r="AO7" s="118" cm="1" t="str">
        <f t="array" ref="AO7:AO7">AO25</f>
        <v>Предложение организации</v>
      </c>
      <c r="AP7" s="118" cm="1" t="str">
        <f t="array" ref="AP7:AP7">AP25</f>
        <v>Предложение организации</v>
      </c>
      <c r="AQ7" s="118" cm="1" t="str">
        <f t="array" ref="AQ7:AQ7">AQ25</f>
        <v>Предложение организации</v>
      </c>
      <c r="AR7" s="118" cm="1" t="str">
        <f t="array" ref="AR7:AR7">AR25</f>
        <v>Предложение организации</v>
      </c>
      <c r="AS7" s="118" cm="1" t="str">
        <f t="array" ref="AS7:AS7">AS25</f>
        <v>Предложение организации</v>
      </c>
      <c r="AT7" s="118" cm="1" t="str">
        <f t="array" ref="AT7:AT7">AT25</f>
        <v>Предложение организации</v>
      </c>
      <c r="AU7" s="118" cm="1" t="str">
        <f t="array" ref="AU7:AU7">AU25</f>
        <v>Предложение организации</v>
      </c>
      <c r="AV7" s="118" cm="1" t="str">
        <f t="array" ref="AV7:AV7">AV25</f>
        <v>Предложение организации</v>
      </c>
      <c r="AW7" s="118" cm="1" t="str">
        <f t="array" ref="AW7:AW7">AW25</f>
        <v>Предложение организации</v>
      </c>
      <c r="AX7" s="118" cm="1" t="str">
        <f t="array" ref="AX7:AX7">AX25</f>
        <v>Принято органом регулирования</v>
      </c>
      <c r="AY7" s="118" cm="1" t="str">
        <f t="array" ref="AY7:AY7">AY25</f>
        <v>Принято органом регулирования</v>
      </c>
      <c r="AZ7" s="118" cm="1" t="str">
        <f t="array" ref="AZ7:AZ7">AZ25</f>
        <v>Принято органом регулирования</v>
      </c>
      <c r="BA7" s="118" cm="1" t="str">
        <f t="array" ref="BA7:BA7">BA25</f>
        <v>Принято органом регулирования</v>
      </c>
      <c r="BB7" s="118" cm="1" t="str">
        <f t="array" ref="BB7:BB7">BB25</f>
        <v>Принято органом регулирования</v>
      </c>
      <c r="BC7" s="118" cm="1" t="str">
        <f t="array" ref="BC7:BC7">BC25</f>
        <v>Принято органом регулирования</v>
      </c>
      <c r="BD7" s="118" cm="1" t="str">
        <f t="array" ref="BD7:BD7">BD25</f>
        <v>Принято органом регулирования</v>
      </c>
      <c r="BE7" s="118" cm="1" t="str">
        <f t="array" ref="BE7:BE7">BE25</f>
        <v>Принято органом регулирования</v>
      </c>
      <c r="BF7" s="118" cm="1" t="str">
        <f t="array" ref="BF7:BF7">BF25</f>
        <v>Принято органом регулирования</v>
      </c>
    </row>
    <row customHeight="1" ht="11.25" hidden="1">
      <c r="AE8" s="118" t="str">
        <f>AE6&amp;AE7</f>
        <v>2024Принято органом регулирования</v>
      </c>
      <c r="AF8" s="118" t="str">
        <f>AF6&amp;AF7</f>
        <v>2024Факт по данным организации</v>
      </c>
      <c r="AG8" s="118" t="str">
        <f>AG6&amp;AG7</f>
        <v>2024Факт, принятый органом регулирования</v>
      </c>
      <c r="AH8" s="118" t="str">
        <f>AH6&amp;AH7</f>
        <v>2024Не определено</v>
      </c>
      <c r="AI8" s="118" t="str">
        <f>AI6&amp;AI7</f>
        <v>2025Принято органом регулирования</v>
      </c>
      <c r="AJ8" s="118" t="str">
        <f>AJ6&amp;AJ7</f>
        <v>2026Предложение организации</v>
      </c>
      <c r="AK8" s="118" t="str">
        <f>AK6&amp;AK7</f>
        <v>2026Принято органом регулирования</v>
      </c>
      <c r="AL8" s="118" t="str">
        <f>AL6&amp;AL7</f>
        <v>2026% роста / снижения</v>
      </c>
      <c r="AM8" s="118" t="str">
        <f>AM6&amp;AM7</f>
        <v>2026Отклонение (принято органом регулирования - заявлено организацией)</v>
      </c>
      <c r="AN8" s="118" t="str">
        <f>AN6&amp;AN7</f>
        <v>2026Не определено</v>
      </c>
      <c r="AO8" s="118" t="str">
        <f>AO6&amp;AO7</f>
        <v>2027Предложение организации</v>
      </c>
      <c r="AP8" s="118" t="str">
        <f>AP6&amp;AP7</f>
        <v>2028Предложение организации</v>
      </c>
      <c r="AQ8" s="118" t="str">
        <f>AQ6&amp;AQ7</f>
        <v>2029Предложение организации</v>
      </c>
      <c r="AR8" s="118" t="str">
        <f>AR6&amp;AR7</f>
        <v>2030Предложение организации</v>
      </c>
      <c r="AS8" s="118" t="str">
        <f>AS6&amp;AS7</f>
        <v>2031Предложение организации</v>
      </c>
      <c r="AT8" s="118" t="str">
        <f>AT6&amp;AT7</f>
        <v>2032Предложение организации</v>
      </c>
      <c r="AU8" s="118" t="str">
        <f>AU6&amp;AU7</f>
        <v>2033Предложение организации</v>
      </c>
      <c r="AV8" s="118" t="str">
        <f>AV6&amp;AV7</f>
        <v>2034Предложение организации</v>
      </c>
      <c r="AW8" s="118" t="str">
        <f>AW6&amp;AW7</f>
        <v>2035Предложение организации</v>
      </c>
      <c r="AX8" s="118" t="str">
        <f>AX6&amp;AX7</f>
        <v>2027Принято органом регулирования</v>
      </c>
      <c r="AY8" s="118" t="str">
        <f>AY6&amp;AY7</f>
        <v>2028Принято органом регулирования</v>
      </c>
      <c r="AZ8" s="118" t="str">
        <f>AZ6&amp;AZ7</f>
        <v>2029Принято органом регулирования</v>
      </c>
      <c r="BA8" s="118" t="str">
        <f>BA6&amp;BA7</f>
        <v>2030Принято органом регулирования</v>
      </c>
      <c r="BB8" s="118" t="str">
        <f>BB6&amp;BB7</f>
        <v>2031Принято органом регулирования</v>
      </c>
      <c r="BC8" s="118" t="str">
        <f>BC6&amp;BC7</f>
        <v>2032Принято органом регулирования</v>
      </c>
      <c r="BD8" s="118" t="str">
        <f>BD6&amp;BD7</f>
        <v>2033Принято органом регулирования</v>
      </c>
      <c r="BE8" s="118" t="str">
        <f>BE6&amp;BE7</f>
        <v>2034Принято органом регулирования</v>
      </c>
      <c r="BF8" s="118" t="str">
        <f>BF6&amp;BF7</f>
        <v>2035Принято органом регулирования</v>
      </c>
    </row>
    <row s="1245" customFormat="1" customHeight="1" ht="11.25" hidden="1">
      <c r="A9" s="1005" t="s">
        <v>376</v>
      </c>
      <c r="B9" s="1017"/>
      <c r="F9" s="1018"/>
      <c r="AB9" s="1008"/>
      <c r="AC9" s="1019"/>
      <c r="AE9" s="1005" cm="1" t="str">
        <f t="array" ref="AE9:AE9">AE6</f>
        <v>2024</v>
      </c>
      <c r="AF9" s="1005" cm="1" t="str">
        <f t="array" ref="AF9:AF9">AF6</f>
        <v>2024</v>
      </c>
      <c r="AG9" s="1005" cm="1" t="str">
        <f t="array" ref="AG9:AG9">AG6</f>
        <v>2024</v>
      </c>
      <c r="AH9" s="1005" cm="1" t="str">
        <f t="array" ref="AH9:AH9">AH6</f>
        <v>2024</v>
      </c>
      <c r="AI9" s="1005" cm="1" t="str">
        <f t="array" ref="AI9:AI9">AI6</f>
        <v>2025</v>
      </c>
      <c r="AJ9" s="1005" cm="1" t="str">
        <f t="array" ref="AJ9:AJ9">AJ6</f>
        <v>2026</v>
      </c>
      <c r="AK9" s="1005" cm="1" t="str">
        <f t="array" ref="AK9:AK9">AK6</f>
        <v>2026</v>
      </c>
      <c r="AL9" s="1005" cm="1" t="str">
        <f t="array" ref="AL9:AL9">AL6</f>
        <v>2026</v>
      </c>
      <c r="AM9" s="1005" cm="1" t="str">
        <f t="array" ref="AM9:AM9">AM6</f>
        <v>2026</v>
      </c>
      <c r="AN9" s="1005" cm="1" t="str">
        <f t="array" ref="AN9:AN9">AN6</f>
        <v>2026</v>
      </c>
      <c r="AO9" s="1005" cm="1" t="str">
        <f t="array" ref="AO9:AO9">AO6</f>
        <v>2027</v>
      </c>
      <c r="AP9" s="1005" cm="1" t="str">
        <f t="array" ref="AP9:AP9">AP6</f>
        <v>2028</v>
      </c>
      <c r="AQ9" s="1005" cm="1" t="str">
        <f t="array" ref="AQ9:AQ9">AQ6</f>
        <v>2029</v>
      </c>
      <c r="AR9" s="1005" cm="1" t="str">
        <f t="array" ref="AR9:AR9">AR6</f>
        <v>2030</v>
      </c>
      <c r="AS9" s="1005" cm="1" t="str">
        <f t="array" ref="AS9:AS9">AS6</f>
        <v>2031</v>
      </c>
      <c r="AT9" s="1005" cm="1" t="str">
        <f t="array" ref="AT9:AT9">AT6</f>
        <v>2032</v>
      </c>
      <c r="AU9" s="1005" cm="1" t="str">
        <f t="array" ref="AU9:AU9">AU6</f>
        <v>2033</v>
      </c>
      <c r="AV9" s="1005" cm="1" t="str">
        <f t="array" ref="AV9:AV9">AV6</f>
        <v>2034</v>
      </c>
      <c r="AW9" s="1005" cm="1" t="str">
        <f t="array" ref="AW9:AW9">AW6</f>
        <v>2035</v>
      </c>
      <c r="AX9" s="1005" cm="1" t="str">
        <f t="array" ref="AX9:AX9">AX6</f>
        <v>2027</v>
      </c>
      <c r="AY9" s="1005" cm="1" t="str">
        <f t="array" ref="AY9:AY9">AY6</f>
        <v>2028</v>
      </c>
      <c r="AZ9" s="1005" cm="1" t="str">
        <f t="array" ref="AZ9:AZ9">AZ6</f>
        <v>2029</v>
      </c>
      <c r="BA9" s="1005" cm="1" t="str">
        <f t="array" ref="BA9:BA9">BA6</f>
        <v>2030</v>
      </c>
      <c r="BB9" s="1005" cm="1" t="str">
        <f t="array" ref="BB9:BB9">BB6</f>
        <v>2031</v>
      </c>
      <c r="BC9" s="1005" cm="1" t="str">
        <f t="array" ref="BC9:BC9">BC6</f>
        <v>2032</v>
      </c>
      <c r="BD9" s="1005" cm="1" t="str">
        <f t="array" ref="BD9:BD9">BD6</f>
        <v>2033</v>
      </c>
      <c r="BE9" s="1005" cm="1" t="str">
        <f t="array" ref="BE9:BE9">BE6</f>
        <v>2034</v>
      </c>
      <c r="BF9" s="1005" cm="1" t="str">
        <f t="array" ref="BF9:BF9">BF6</f>
        <v>2035</v>
      </c>
      <c r="BL9" s="623"/>
      <c r="BM9" s="623"/>
    </row>
    <row s="1245" customFormat="1" customHeight="1" ht="11.25" hidden="1">
      <c r="A10" s="1005" t="s">
        <v>377</v>
      </c>
      <c r="B10" s="1017"/>
      <c r="F10" s="1018"/>
      <c r="AB10" s="1008"/>
      <c r="AC10" s="1019"/>
      <c r="AE10" s="1005" cm="1" t="str">
        <f t="array" ref="AE10:AE10">AE25</f>
        <v>Принято органом регулирования</v>
      </c>
      <c r="AF10" s="1005" cm="1" t="str">
        <f t="array" ref="AF10:AF10">AF25</f>
        <v>Факт по данным организации</v>
      </c>
      <c r="AG10" s="1005" cm="1" t="str">
        <f t="array" ref="AG10:AG10">AG25</f>
        <v>Факт, принятый органом регулирования</v>
      </c>
      <c r="AI10" s="1005" cm="1" t="str">
        <f t="array" ref="AI10:AI10">AI25</f>
        <v>Принято органом регулирования</v>
      </c>
      <c r="AJ10" s="1005" cm="1" t="str">
        <f t="array" ref="AJ10:AJ10">AJ25</f>
        <v>Предложение организации</v>
      </c>
      <c r="AK10" s="1005" cm="1" t="str">
        <f t="array" ref="AK10:AK10">AK25</f>
        <v>Принято органом регулирования</v>
      </c>
      <c r="AL10" s="1005" cm="1" t="str">
        <f t="array" ref="AL10:AL10">AL25</f>
        <v>% роста / снижения</v>
      </c>
      <c r="AM10" s="1005" cm="1" t="str">
        <f t="array" ref="AM10:AM10">AM25</f>
        <v>Отклонение (принято органом регулирования - заявлено организацией)</v>
      </c>
      <c r="AO10" s="1005" cm="1" t="str">
        <f t="array" ref="AO10:AO10">AO25</f>
        <v>Предложение организации</v>
      </c>
      <c r="AP10" s="1005" cm="1" t="str">
        <f t="array" ref="AP10:AP10">AP25</f>
        <v>Предложение организации</v>
      </c>
      <c r="AQ10" s="1005" cm="1" t="str">
        <f t="array" ref="AQ10:AQ10">AQ25</f>
        <v>Предложение организации</v>
      </c>
      <c r="AR10" s="1005" cm="1" t="str">
        <f t="array" ref="AR10:AR10">AR25</f>
        <v>Предложение организации</v>
      </c>
      <c r="AS10" s="1005" cm="1" t="str">
        <f t="array" ref="AS10:AS10">AS25</f>
        <v>Предложение организации</v>
      </c>
      <c r="AT10" s="1005" cm="1" t="str">
        <f t="array" ref="AT10:AT10">AT25</f>
        <v>Предложение организации</v>
      </c>
      <c r="AU10" s="1005" cm="1" t="str">
        <f t="array" ref="AU10:AU10">AU25</f>
        <v>Предложение организации</v>
      </c>
      <c r="AV10" s="1005" cm="1" t="str">
        <f t="array" ref="AV10:AV10">AV25</f>
        <v>Предложение организации</v>
      </c>
      <c r="AW10" s="1005" cm="1" t="str">
        <f t="array" ref="AW10:AW10">AW25</f>
        <v>Предложение организации</v>
      </c>
      <c r="AX10" s="1005" cm="1" t="str">
        <f t="array" ref="AX10:AX10">AX25</f>
        <v>Принято органом регулирования</v>
      </c>
      <c r="AY10" s="1005" cm="1" t="str">
        <f t="array" ref="AY10:AY10">AY25</f>
        <v>Принято органом регулирования</v>
      </c>
      <c r="AZ10" s="1005" cm="1" t="str">
        <f t="array" ref="AZ10:AZ10">AZ25</f>
        <v>Принято органом регулирования</v>
      </c>
      <c r="BA10" s="1005" cm="1" t="str">
        <f t="array" ref="BA10:BA10">BA25</f>
        <v>Принято органом регулирования</v>
      </c>
      <c r="BB10" s="1005" cm="1" t="str">
        <f t="array" ref="BB10:BB10">BB25</f>
        <v>Принято органом регулирования</v>
      </c>
      <c r="BC10" s="1005" cm="1" t="str">
        <f t="array" ref="BC10:BC10">BC25</f>
        <v>Принято органом регулирования</v>
      </c>
      <c r="BD10" s="1005" cm="1" t="str">
        <f t="array" ref="BD10:BD10">BD25</f>
        <v>Принято органом регулирования</v>
      </c>
      <c r="BE10" s="1005" cm="1" t="str">
        <f t="array" ref="BE10:BE10">BE25</f>
        <v>Принято органом регулирования</v>
      </c>
      <c r="BF10" s="1005" cm="1" t="str">
        <f t="array" ref="BF10:BF10">BF25</f>
        <v>Принято органом регулирования</v>
      </c>
      <c r="BL10" s="623"/>
      <c r="BM10" s="623"/>
    </row>
    <row s="1245" customFormat="1" customHeight="1" ht="11.25" hidden="1">
      <c r="A11" s="1005" t="s">
        <v>378</v>
      </c>
      <c r="B11" s="1017"/>
      <c r="F11" s="1018"/>
      <c r="AB11" s="1008"/>
      <c r="AC11" s="1019"/>
      <c r="AH11" s="1005" cm="1" t="str">
        <f t="array" ref="AH11:AH11">AH25</f>
        <v>Комментарии</v>
      </c>
      <c r="AN11" s="1005" cm="1" t="str">
        <f t="array" ref="AN11:AN11">AN25</f>
        <v>Комментарии</v>
      </c>
      <c r="AO11" s="1245"/>
      <c r="AP11" s="1245"/>
      <c r="AQ11" s="1245"/>
      <c r="AR11" s="1245"/>
      <c r="AS11" s="1245"/>
      <c r="AT11" s="1245"/>
      <c r="AU11" s="1245"/>
      <c r="AV11" s="1245"/>
      <c r="AW11" s="1245"/>
      <c r="AX11" s="1245"/>
      <c r="AY11" s="1245"/>
      <c r="AZ11" s="1245"/>
      <c r="BA11" s="1245"/>
      <c r="BB11" s="1245"/>
      <c r="BC11" s="1245"/>
      <c r="BD11" s="1245"/>
      <c r="BE11" s="1245"/>
      <c r="BF11" s="1245"/>
      <c r="BL11" s="623"/>
      <c r="BM11" s="623"/>
    </row>
    <row s="1245" customFormat="1" customHeight="1" ht="11.25" hidden="1">
      <c r="A12" s="1005" t="s">
        <v>350</v>
      </c>
      <c r="B12" s="1017"/>
      <c r="F12" s="1018"/>
      <c r="AB12" s="1008"/>
      <c r="AC12" s="1019" t="s">
        <v>338</v>
      </c>
      <c r="AO12" s="1245"/>
      <c r="AP12" s="1245"/>
      <c r="AQ12" s="1245"/>
      <c r="AR12" s="1245"/>
      <c r="AS12" s="1245"/>
      <c r="AT12" s="1245"/>
      <c r="AU12" s="1245"/>
      <c r="AV12" s="1245"/>
      <c r="AW12" s="1245"/>
      <c r="AX12" s="1245"/>
      <c r="AY12" s="1245"/>
      <c r="AZ12" s="1245"/>
      <c r="BA12" s="1245"/>
      <c r="BB12" s="1245"/>
      <c r="BC12" s="1245"/>
      <c r="BD12" s="1245"/>
      <c r="BE12" s="1245"/>
      <c r="BF12" s="1245"/>
      <c r="BL12" s="623"/>
      <c r="BM12" s="623"/>
    </row>
    <row customHeight="1" ht="11.25" hidden="1">
      <c r="AO13" s="1331"/>
      <c r="AP13" s="1331"/>
      <c r="AQ13" s="1331"/>
      <c r="AR13" s="1331"/>
      <c r="AS13" s="1331"/>
      <c r="AT13" s="1331"/>
      <c r="AU13" s="1331"/>
      <c r="AV13" s="1331"/>
      <c r="AW13" s="1331"/>
      <c r="AX13" s="1331"/>
      <c r="AY13" s="1331"/>
      <c r="AZ13" s="1331"/>
      <c r="BA13" s="1331"/>
      <c r="BB13" s="1331"/>
      <c r="BC13" s="1331"/>
      <c r="BD13" s="1331"/>
      <c r="BE13" s="1331"/>
      <c r="BF13" s="1331"/>
    </row>
    <row customHeight="1" ht="11.25" hidden="1">
      <c r="AO14" s="1331"/>
      <c r="AP14" s="1331"/>
      <c r="AQ14" s="1331"/>
      <c r="AR14" s="1331"/>
      <c r="AS14" s="1331"/>
      <c r="AT14" s="1331"/>
      <c r="AU14" s="1331"/>
      <c r="AV14" s="1331"/>
      <c r="AW14" s="1331"/>
      <c r="AX14" s="1331"/>
      <c r="AY14" s="1331"/>
      <c r="AZ14" s="1331"/>
      <c r="BA14" s="1331"/>
      <c r="BB14" s="1331"/>
      <c r="BC14" s="1331"/>
      <c r="BD14" s="1331"/>
      <c r="BE14" s="1331"/>
      <c r="BF14" s="1331"/>
    </row>
    <row customHeight="1" ht="11.25" hidden="1">
      <c r="AO15" s="1331"/>
      <c r="AP15" s="1331"/>
      <c r="AQ15" s="1331"/>
      <c r="AR15" s="1331"/>
      <c r="AS15" s="1331"/>
      <c r="AT15" s="1331"/>
      <c r="AU15" s="1331"/>
      <c r="AV15" s="1331"/>
      <c r="AW15" s="1331"/>
      <c r="AX15" s="1331"/>
      <c r="AY15" s="1331"/>
      <c r="AZ15" s="1331"/>
      <c r="BA15" s="1331"/>
      <c r="BB15" s="1331"/>
      <c r="BC15" s="1331"/>
      <c r="BD15" s="1331"/>
      <c r="BE15" s="1331"/>
      <c r="BF15" s="1331"/>
    </row>
    <row customHeight="1" ht="11.25" hidden="1">
      <c r="AO16" s="1331"/>
      <c r="AP16" s="1331"/>
      <c r="AQ16" s="1331"/>
      <c r="AR16" s="1331"/>
      <c r="AS16" s="1331"/>
      <c r="AT16" s="1331"/>
      <c r="AU16" s="1331"/>
      <c r="AV16" s="1331"/>
      <c r="AW16" s="1331"/>
      <c r="AX16" s="1331"/>
      <c r="AY16" s="1331"/>
      <c r="AZ16" s="1331"/>
      <c r="BA16" s="1331"/>
      <c r="BB16" s="1331"/>
      <c r="BC16" s="1331"/>
      <c r="BD16" s="1331"/>
      <c r="BE16" s="1331"/>
      <c r="BF16" s="1331"/>
    </row>
    <row customHeight="1" ht="11.25" hidden="1">
      <c r="AO17" s="1331"/>
      <c r="AP17" s="1331"/>
      <c r="AQ17" s="1331"/>
      <c r="AR17" s="1331"/>
      <c r="AS17" s="1331"/>
      <c r="AT17" s="1331"/>
      <c r="AU17" s="1331"/>
      <c r="AV17" s="1331"/>
      <c r="AW17" s="1331"/>
      <c r="AX17" s="1331"/>
      <c r="AY17" s="1331"/>
      <c r="AZ17" s="1331"/>
      <c r="BA17" s="1331"/>
      <c r="BB17" s="1331"/>
      <c r="BC17" s="1331"/>
      <c r="BD17" s="1331"/>
      <c r="BE17" s="1331"/>
      <c r="BF17" s="1331"/>
    </row>
    <row customHeight="1" ht="11.25" hidden="1">
      <c r="A18" s="118" t="s">
        <v>379</v>
      </c>
      <c r="AC18" s="136" t="s">
        <v>554</v>
      </c>
      <c r="AO18" s="1331"/>
      <c r="AP18" s="1331"/>
      <c r="AQ18" s="1331"/>
      <c r="AR18" s="1331"/>
      <c r="AS18" s="1331"/>
      <c r="AT18" s="1331"/>
      <c r="AU18" s="1331"/>
      <c r="AV18" s="1331"/>
      <c r="AW18" s="1331"/>
      <c r="AX18" s="1331"/>
      <c r="AY18" s="1331"/>
      <c r="AZ18" s="1331"/>
      <c r="BA18" s="1331"/>
      <c r="BB18" s="1331"/>
      <c r="BC18" s="1331"/>
      <c r="BD18" s="1331"/>
      <c r="BE18" s="1331"/>
      <c r="BF18" s="1331"/>
    </row>
    <row customHeight="1" ht="11.25" hidden="1">
      <c r="AO19" s="1331"/>
      <c r="AP19" s="1331"/>
      <c r="AQ19" s="1331"/>
      <c r="AR19" s="1331"/>
      <c r="AS19" s="1331"/>
      <c r="AT19" s="1331"/>
      <c r="AU19" s="1331"/>
      <c r="AV19" s="1331"/>
      <c r="AW19" s="1331"/>
      <c r="AX19" s="1331"/>
      <c r="AY19" s="1331"/>
      <c r="AZ19" s="1331"/>
      <c r="BA19" s="1331"/>
      <c r="BB19" s="1331"/>
      <c r="BC19" s="1331"/>
      <c r="BD19" s="1331"/>
      <c r="BE19" s="1331"/>
      <c r="BF19" s="1331"/>
    </row>
    <row customHeight="1" ht="11.25" hidden="1">
      <c r="AO20" s="1331"/>
      <c r="AP20" s="1331"/>
      <c r="AQ20" s="1331"/>
      <c r="AR20" s="1331"/>
      <c r="AS20" s="1331"/>
      <c r="AT20" s="1331"/>
      <c r="AU20" s="1331"/>
      <c r="AV20" s="1331"/>
      <c r="AW20" s="1331"/>
      <c r="AX20" s="1331"/>
      <c r="AY20" s="1331"/>
      <c r="AZ20" s="1331"/>
      <c r="BA20" s="1331"/>
      <c r="BB20" s="1331"/>
      <c r="BC20" s="1331"/>
      <c r="BD20" s="1331"/>
      <c r="BE20" s="1331"/>
      <c r="BF20" s="1331"/>
    </row>
    <row customHeight="1" ht="14.625">
      <c r="E21" s="623">
        <v>15</v>
      </c>
      <c r="AA21" s="663"/>
      <c r="AC21" s="50" cm="1" t="str">
        <f t="array" ref="AC21:AC21">tpl_title</f>
        <v>Кемеровская область / 2026 / ОАО «СКЭК» (ИНН:4205153492, КПП:420501001) / ДПР: 2024-2028</v>
      </c>
      <c r="AD21" s="121"/>
      <c r="AE21" s="122"/>
      <c r="AO21" s="1331"/>
      <c r="AP21" s="1331"/>
      <c r="AQ21" s="1331"/>
      <c r="AR21" s="1331"/>
      <c r="AS21" s="1331"/>
      <c r="AT21" s="1331"/>
      <c r="AU21" s="1331"/>
      <c r="AV21" s="1331"/>
      <c r="AW21" s="1331"/>
      <c r="AX21" s="1331"/>
      <c r="AY21" s="1331"/>
      <c r="AZ21" s="1331"/>
      <c r="BA21" s="1331"/>
      <c r="BB21" s="1331"/>
      <c r="BC21" s="1331"/>
      <c r="BD21" s="1331"/>
      <c r="BE21" s="1331"/>
      <c r="BF21" s="1331"/>
    </row>
    <row customHeight="1" ht="15.421875">
      <c r="E22" s="623">
        <v>22.5</v>
      </c>
      <c r="AB22" s="314" t="s">
        <v>41</v>
      </c>
      <c r="AC22" s="189"/>
      <c r="AD22" s="189"/>
      <c r="AE22" s="189"/>
      <c r="AF22" s="189"/>
      <c r="AG22" s="189"/>
      <c r="AH22" s="189"/>
      <c r="AI22" s="190"/>
      <c r="AJ22" s="190"/>
      <c r="AK22" s="190"/>
      <c r="AL22" s="190"/>
      <c r="AM22" s="190"/>
      <c r="AN22" s="190"/>
      <c r="AO22" s="190"/>
      <c r="AP22" s="190"/>
      <c r="AQ22" s="190"/>
      <c r="AR22" s="190"/>
      <c r="AS22" s="190"/>
      <c r="AT22" s="190"/>
      <c r="AU22" s="190"/>
      <c r="AV22" s="190"/>
      <c r="AW22" s="190"/>
      <c r="AX22" s="190"/>
      <c r="AY22" s="190"/>
      <c r="AZ22" s="190"/>
      <c r="BA22" s="190"/>
      <c r="BB22" s="190"/>
      <c r="BC22" s="190"/>
      <c r="BD22" s="190"/>
      <c r="BE22" s="190"/>
      <c r="BF22" s="190"/>
    </row>
    <row s="1529" customFormat="1" customHeight="1" ht="8.671875">
      <c r="B23" s="430"/>
      <c r="E23" s="634">
        <v>11.25</v>
      </c>
      <c r="F23" s="756"/>
      <c r="AA23" s="123"/>
      <c r="AB23" s="124"/>
      <c r="AC23" s="125"/>
      <c r="AD23" s="126"/>
      <c r="AE23" s="127"/>
      <c r="AO23" s="1529"/>
      <c r="AP23" s="1529"/>
      <c r="AQ23" s="1529"/>
      <c r="AR23" s="1529"/>
      <c r="AS23" s="1529"/>
      <c r="AT23" s="1529"/>
      <c r="AU23" s="1529"/>
      <c r="AV23" s="1529"/>
      <c r="AW23" s="1529"/>
      <c r="AX23" s="1529"/>
      <c r="AY23" s="1529"/>
      <c r="AZ23" s="1529"/>
      <c r="BA23" s="1529"/>
      <c r="BB23" s="1529"/>
      <c r="BC23" s="1529"/>
      <c r="BD23" s="1529"/>
      <c r="BE23" s="1529"/>
      <c r="BF23" s="1529"/>
      <c r="BI23" s="1020"/>
      <c r="BJ23" s="1020"/>
      <c r="BK23" s="1020"/>
      <c r="BL23" s="634"/>
      <c r="BM23" s="634"/>
    </row>
    <row customHeight="1" ht="14.625">
      <c r="E24" s="623">
        <v>15</v>
      </c>
      <c r="AB24" s="1540" t="s">
        <v>22</v>
      </c>
      <c r="AC24" s="1540" t="s">
        <v>554</v>
      </c>
      <c r="AD24" s="1540" t="s">
        <v>381</v>
      </c>
      <c r="AE24" s="89" t="str">
        <f>god-2&amp;" год"</f>
        <v>2024 год</v>
      </c>
      <c r="AF24" s="1128" t="str">
        <f>god-2&amp;" год"</f>
        <v>2024 год</v>
      </c>
      <c r="AG24" s="89" t="str">
        <f>god-2&amp;" год"</f>
        <v>2024 год</v>
      </c>
      <c r="AH24" s="89" t="str">
        <f>god-2&amp;" год"</f>
        <v>2024 год</v>
      </c>
      <c r="AI24" s="89" t="str">
        <f>god-1&amp;" год"</f>
        <v>2025 год</v>
      </c>
      <c r="AJ24" s="1128" t="str">
        <f>god&amp;" год"</f>
        <v>2026 год</v>
      </c>
      <c r="AK24" s="89" t="str">
        <f>god&amp;" год"</f>
        <v>2026 год</v>
      </c>
      <c r="AL24" s="89" t="str">
        <f>god&amp;" год"</f>
        <v>2026 год</v>
      </c>
      <c r="AM24" s="89" t="str">
        <f>god&amp;" год"</f>
        <v>2026 год</v>
      </c>
      <c r="AN24" s="89" t="str">
        <f>god&amp;" год"</f>
        <v>2026 год</v>
      </c>
      <c r="AO24" s="1128" t="str">
        <f>god+1&amp;" год"</f>
        <v>2027 год</v>
      </c>
      <c r="AP24" s="1128" t="str">
        <f>god+2&amp;" год"</f>
        <v>2028 год</v>
      </c>
      <c r="AQ24" s="1128" t="str">
        <f>god+3&amp;" год"</f>
        <v>2029 год</v>
      </c>
      <c r="AR24" s="1128" t="str">
        <f>god+4&amp;" год"</f>
        <v>2030 год</v>
      </c>
      <c r="AS24" s="1128" t="str">
        <f>god+5&amp;" год"</f>
        <v>2031 год</v>
      </c>
      <c r="AT24" s="1128" t="str">
        <f>god+6&amp;" год"</f>
        <v>2032 год</v>
      </c>
      <c r="AU24" s="1128" t="str">
        <f>god+7&amp;" год"</f>
        <v>2033 год</v>
      </c>
      <c r="AV24" s="1128" t="str">
        <f>god+8&amp;" год"</f>
        <v>2034 год</v>
      </c>
      <c r="AW24" s="1128" t="str">
        <f>god+9&amp;" год"</f>
        <v>2035 год</v>
      </c>
      <c r="AX24" s="89" t="str">
        <f>god+1&amp;" год"</f>
        <v>2027 год</v>
      </c>
      <c r="AY24" s="89" t="str">
        <f>god+2&amp;" год"</f>
        <v>2028 год</v>
      </c>
      <c r="AZ24" s="89" t="str">
        <f>god+3&amp;" год"</f>
        <v>2029 год</v>
      </c>
      <c r="BA24" s="89" t="str">
        <f>god+4&amp;" год"</f>
        <v>2030 год</v>
      </c>
      <c r="BB24" s="89" t="str">
        <f>god+5&amp;" год"</f>
        <v>2031 год</v>
      </c>
      <c r="BC24" s="89" t="str">
        <f>god+6&amp;" год"</f>
        <v>2032 год</v>
      </c>
      <c r="BD24" s="89" t="str">
        <f>god+7&amp;" год"</f>
        <v>2033 год</v>
      </c>
      <c r="BE24" s="89" t="str">
        <f>god+8&amp;" год"</f>
        <v>2034 год</v>
      </c>
      <c r="BF24" s="89" t="str">
        <f>god+9&amp;" год"</f>
        <v>2035 год</v>
      </c>
    </row>
    <row customHeight="1" ht="34.171875">
      <c r="E25" s="623">
        <v>69</v>
      </c>
      <c r="F25" s="756" t="s">
        <v>383</v>
      </c>
      <c r="AB25" s="1540"/>
      <c r="AC25" s="1540"/>
      <c r="AD25" s="1540"/>
      <c r="AE25" s="88" t="s">
        <v>373</v>
      </c>
      <c r="AF25" s="1129" t="s">
        <v>555</v>
      </c>
      <c r="AG25" s="89" t="s">
        <v>556</v>
      </c>
      <c r="AH25" s="89" t="s">
        <v>382</v>
      </c>
      <c r="AI25" s="89" t="s">
        <v>373</v>
      </c>
      <c r="AJ25" s="1127" t="s">
        <v>374</v>
      </c>
      <c r="AK25" s="89" t="s">
        <v>373</v>
      </c>
      <c r="AL25" s="186" t="s">
        <v>557</v>
      </c>
      <c r="AM25" s="186" t="s">
        <v>558</v>
      </c>
      <c r="AN25" s="89" t="s">
        <v>382</v>
      </c>
      <c r="AO25" s="1128" t="s">
        <v>374</v>
      </c>
      <c r="AP25" s="1128" t="s">
        <v>374</v>
      </c>
      <c r="AQ25" s="1128" t="s">
        <v>374</v>
      </c>
      <c r="AR25" s="1128" t="s">
        <v>374</v>
      </c>
      <c r="AS25" s="1128" t="s">
        <v>374</v>
      </c>
      <c r="AT25" s="1128" t="s">
        <v>374</v>
      </c>
      <c r="AU25" s="1128" t="s">
        <v>374</v>
      </c>
      <c r="AV25" s="1128" t="s">
        <v>374</v>
      </c>
      <c r="AW25" s="1128" t="s">
        <v>374</v>
      </c>
      <c r="AX25" s="89" t="s">
        <v>373</v>
      </c>
      <c r="AY25" s="89" t="s">
        <v>373</v>
      </c>
      <c r="AZ25" s="89" t="s">
        <v>373</v>
      </c>
      <c r="BA25" s="89" t="s">
        <v>373</v>
      </c>
      <c r="BB25" s="89" t="s">
        <v>373</v>
      </c>
      <c r="BC25" s="89" t="s">
        <v>373</v>
      </c>
      <c r="BD25" s="89" t="s">
        <v>373</v>
      </c>
      <c r="BE25" s="89" t="s">
        <v>373</v>
      </c>
      <c r="BF25" s="89" t="s">
        <v>373</v>
      </c>
    </row>
    <row s="1656" customFormat="1" customHeight="1" ht="19.5">
      <c r="A26" s="502"/>
      <c r="B26" s="664"/>
      <c r="C26" s="502"/>
      <c r="D26" s="502"/>
      <c r="E26" s="665">
        <v>20</v>
      </c>
      <c r="F26" s="754" t="s">
        <v>559</v>
      </c>
      <c r="G26" s="502"/>
      <c r="H26" s="502"/>
      <c r="I26" s="502"/>
      <c r="J26" s="502"/>
      <c r="K26" s="502"/>
      <c r="L26" s="502"/>
      <c r="M26" s="502"/>
      <c r="N26" s="502"/>
      <c r="O26" s="502"/>
      <c r="P26" s="502"/>
      <c r="Q26" s="502"/>
      <c r="R26" s="502"/>
      <c r="S26" s="502"/>
      <c r="T26" s="502"/>
      <c r="U26" s="502"/>
      <c r="V26" s="502"/>
      <c r="W26" s="502"/>
      <c r="X26" s="502"/>
      <c r="Y26" s="502"/>
      <c r="Z26" s="502"/>
      <c r="AB26" s="86"/>
      <c r="AC26" s="578" t="s">
        <v>560</v>
      </c>
      <c r="AD26" s="132" t="s">
        <v>561</v>
      </c>
      <c r="AE26" s="1909"/>
      <c r="AF26" s="1909"/>
      <c r="AG26" s="1909"/>
      <c r="AH26" s="955"/>
      <c r="AI26" s="1909"/>
      <c r="AJ26" s="1909"/>
      <c r="AK26" s="1909"/>
      <c r="AL26" s="277">
        <f>IF(AI26&lt;&gt;0,AK26/AI26,0)</f>
        <v>0</v>
      </c>
      <c r="AM26" s="276">
        <f>AK26-AJ26</f>
        <v>0</v>
      </c>
      <c r="AN26" s="955"/>
      <c r="AO26" s="1910"/>
      <c r="AP26" s="1910"/>
      <c r="AQ26" s="1910"/>
      <c r="AR26" s="1910"/>
      <c r="AS26" s="1910"/>
      <c r="AT26" s="1910"/>
      <c r="AU26" s="1910"/>
      <c r="AV26" s="1910"/>
      <c r="AW26" s="1910"/>
      <c r="AX26" s="1910"/>
      <c r="AY26" s="1910"/>
      <c r="AZ26" s="1910"/>
      <c r="BA26" s="1910"/>
      <c r="BB26" s="1910"/>
      <c r="BC26" s="1910"/>
      <c r="BD26" s="1910"/>
      <c r="BE26" s="1910"/>
      <c r="BF26" s="1910"/>
      <c r="BI26" s="1012" t="s">
        <v>562</v>
      </c>
      <c r="BJ26" s="1012"/>
      <c r="BK26" s="1012"/>
      <c r="BL26" s="629"/>
      <c r="BM26" s="629"/>
    </row>
    <row s="1656" customFormat="1" customHeight="1" ht="11.25" hidden="1">
      <c r="A27" s="502"/>
      <c r="B27" s="664"/>
      <c r="C27" s="502"/>
      <c r="D27" s="502"/>
      <c r="E27" s="873">
        <v>0</v>
      </c>
      <c r="F27" s="754"/>
      <c r="G27" s="502"/>
      <c r="H27" s="502"/>
      <c r="I27" s="502"/>
      <c r="J27" s="502"/>
      <c r="K27" s="502"/>
      <c r="L27" s="502"/>
      <c r="M27" s="502"/>
      <c r="N27" s="502"/>
      <c r="O27" s="502"/>
      <c r="P27" s="502"/>
      <c r="Q27" s="502"/>
      <c r="R27" s="502"/>
      <c r="S27" s="502"/>
      <c r="T27" s="502"/>
      <c r="U27" s="502"/>
      <c r="V27" s="502"/>
      <c r="W27" s="502"/>
      <c r="X27" s="502"/>
      <c r="Y27" s="502"/>
      <c r="Z27" s="502"/>
      <c r="AB27" s="733"/>
      <c r="AC27" s="734"/>
      <c r="AD27" s="515"/>
      <c r="AE27" s="957"/>
      <c r="AF27" s="957"/>
      <c r="AG27" s="957"/>
      <c r="AH27" s="957"/>
      <c r="AI27" s="957"/>
      <c r="AJ27" s="957"/>
      <c r="AK27" s="957"/>
      <c r="AL27" s="957"/>
      <c r="AM27" s="957"/>
      <c r="AN27" s="957"/>
      <c r="AO27" s="957"/>
      <c r="AP27" s="957"/>
      <c r="AQ27" s="957"/>
      <c r="AR27" s="957"/>
      <c r="AS27" s="957"/>
      <c r="AT27" s="957"/>
      <c r="AU27" s="957"/>
      <c r="AV27" s="957"/>
      <c r="AW27" s="957"/>
      <c r="AX27" s="957"/>
      <c r="AY27" s="957"/>
      <c r="AZ27" s="957"/>
      <c r="BA27" s="957"/>
      <c r="BB27" s="957"/>
      <c r="BC27" s="957"/>
      <c r="BD27" s="957"/>
      <c r="BE27" s="957"/>
      <c r="BF27" s="957"/>
      <c r="BI27" s="1012"/>
      <c r="BJ27" s="1012"/>
      <c r="BK27" s="1012"/>
      <c r="BL27" s="629"/>
      <c r="BM27" s="629"/>
    </row>
    <row s="1189" customFormat="1" customHeight="1" ht="14.625" hidden="1">
      <c r="A28" s="1189"/>
      <c r="B28" s="431"/>
      <c r="C28" s="1189"/>
      <c r="D28" s="1189"/>
      <c r="E28" s="635">
        <v>15</v>
      </c>
      <c r="F28" s="756" cm="1" t="str">
        <f t="array" ref="F28:F28">Y28</f>
        <v>0</v>
      </c>
      <c r="G28" s="1189"/>
      <c r="H28" s="1189"/>
      <c r="I28" s="1189"/>
      <c r="J28" s="1189"/>
      <c r="K28" s="1189"/>
      <c r="L28" s="1189"/>
      <c r="M28" s="1189"/>
      <c r="N28" s="1189"/>
      <c r="O28" s="1189"/>
      <c r="P28" s="1189"/>
      <c r="Q28" s="1189"/>
      <c r="R28" s="1189"/>
      <c r="S28" s="1189"/>
      <c r="T28" s="1189"/>
      <c r="U28" s="468">
        <f>Y28&gt;0</f>
        <v>0</v>
      </c>
      <c r="V28" s="1189"/>
      <c r="W28" s="140" t="s">
        <v>279</v>
      </c>
      <c r="X28" s="1189"/>
      <c r="Y28" s="1519">
        <v>0</v>
      </c>
      <c r="Z28" s="1541"/>
      <c r="AA28" s="1189"/>
      <c r="AB28" s="179" cm="1" t="str">
        <f t="array" ref="AB28:AB28">INDEX('Общие сведения'!$AG$197:$AG$254,MATCH($Y28,'Общие сведения'!$Z$197:$Z$254,0))</f>
        <v>Тариф 0 () - </v>
      </c>
      <c r="AC28" s="176"/>
      <c r="AD28" s="170"/>
      <c r="AE28" s="170"/>
      <c r="AF28" s="170"/>
      <c r="AG28" s="170"/>
      <c r="AH28" s="170"/>
      <c r="AI28" s="170"/>
      <c r="AJ28" s="170"/>
      <c r="AK28" s="170"/>
      <c r="AL28" s="170"/>
      <c r="AM28" s="170"/>
      <c r="AN28" s="170"/>
      <c r="AO28" s="170"/>
      <c r="AP28" s="170"/>
      <c r="AQ28" s="170"/>
      <c r="AR28" s="170"/>
      <c r="AS28" s="170"/>
      <c r="AT28" s="170"/>
      <c r="AU28" s="170"/>
      <c r="AV28" s="170"/>
      <c r="AW28" s="170"/>
      <c r="AX28" s="170"/>
      <c r="AY28" s="170"/>
      <c r="AZ28" s="170"/>
      <c r="BA28" s="170"/>
      <c r="BB28" s="170"/>
      <c r="BC28" s="170"/>
      <c r="BD28" s="170"/>
      <c r="BE28" s="170"/>
      <c r="BF28" s="170"/>
      <c r="BG28" s="1189"/>
      <c r="BH28" s="1189"/>
      <c r="BI28" s="1021"/>
      <c r="BJ28" s="1021"/>
      <c r="BK28" s="1021"/>
      <c r="BL28" s="635"/>
      <c r="BM28" s="635"/>
    </row>
    <row customHeight="1" ht="14.625" hidden="1">
      <c r="A29" s="1331"/>
      <c r="B29" s="1223"/>
      <c r="C29" s="1331"/>
      <c r="D29" s="1331"/>
      <c r="E29" s="623">
        <v>15</v>
      </c>
      <c r="F29" s="50" cm="1" t="str">
        <f t="array" ref="F29:F29">OFFSET(E29,-1,1)</f>
        <v>0</v>
      </c>
      <c r="G29" s="118" t="s">
        <v>563</v>
      </c>
      <c r="H29" s="1331"/>
      <c r="I29" s="1331"/>
      <c r="J29" s="1331"/>
      <c r="K29" s="1331"/>
      <c r="L29" s="1331"/>
      <c r="M29" s="1331"/>
      <c r="N29" s="1331"/>
      <c r="O29" s="1331"/>
      <c r="P29" s="1331"/>
      <c r="Q29" s="1331"/>
      <c r="R29" s="1331"/>
      <c r="S29" s="1331"/>
      <c r="T29" s="1331"/>
      <c r="U29" s="468" cm="1" t="str">
        <f t="array" ref="U29:U29">U28</f>
        <v>false</v>
      </c>
      <c r="V29" s="1331"/>
      <c r="W29" s="1331"/>
      <c r="X29" s="1331"/>
      <c r="Y29" s="1519"/>
      <c r="Z29" s="1541"/>
      <c r="AA29" s="1331"/>
      <c r="AB29" s="266"/>
      <c r="AC29" s="267" t="s">
        <v>564</v>
      </c>
      <c r="AD29" s="268"/>
      <c r="AE29" s="268"/>
      <c r="AF29" s="268"/>
      <c r="AG29" s="268"/>
      <c r="AH29" s="268"/>
      <c r="AI29" s="301">
        <f>(1-AI30/100)*(1+AI31/100)*(1+AI33/100)</f>
        <v>1</v>
      </c>
      <c r="AJ29" s="301">
        <f>(1-AJ30/100)*(1+AJ31/100)*(1+AJ33/100)</f>
        <v>1</v>
      </c>
      <c r="AK29" s="301">
        <f>(1-AK30/100)*(1+AK31/100)*(1+AK33/100)</f>
        <v>1</v>
      </c>
      <c r="AL29" s="268"/>
      <c r="AM29" s="268"/>
      <c r="AN29" s="268"/>
      <c r="AO29" s="301">
        <f>(1-AO30/100)*(1+AO31/100)*(1+AO33/100)</f>
        <v>1</v>
      </c>
      <c r="AP29" s="301">
        <f>(1-AP30/100)*(1+AP31/100)*(1+AP33/100)</f>
        <v>1</v>
      </c>
      <c r="AQ29" s="301">
        <f>(1-AQ30/100)*(1+AQ31/100)*(1+AQ33/100)</f>
        <v>1</v>
      </c>
      <c r="AR29" s="301">
        <f>(1-AR30/100)*(1+AR31/100)*(1+AR33/100)</f>
        <v>1</v>
      </c>
      <c r="AS29" s="301">
        <f>(1-AS30/100)*(1+AS31/100)*(1+AS33/100)</f>
        <v>1</v>
      </c>
      <c r="AT29" s="301">
        <f>(1-AT30/100)*(1+AT31/100)*(1+AT33/100)</f>
        <v>1</v>
      </c>
      <c r="AU29" s="301">
        <f>(1-AU30/100)*(1+AU31/100)*(1+AU33/100)</f>
        <v>1</v>
      </c>
      <c r="AV29" s="301">
        <f>(1-AV30/100)*(1+AV31/100)*(1+AV33/100)</f>
        <v>1</v>
      </c>
      <c r="AW29" s="301">
        <f>(1-AW30/100)*(1+AW31/100)*(1+AW33/100)</f>
        <v>1</v>
      </c>
      <c r="AX29" s="301">
        <f>(1-AX30/100)*(1+AX31/100)*(1+AX33/100)</f>
        <v>1</v>
      </c>
      <c r="AY29" s="301">
        <f>(1-AY30/100)*(1+AY31/100)*(1+AY33/100)</f>
        <v>1</v>
      </c>
      <c r="AZ29" s="301">
        <f>(1-AZ30/100)*(1+AZ31/100)*(1+AZ33/100)</f>
        <v>1</v>
      </c>
      <c r="BA29" s="301">
        <f>(1-BA30/100)*(1+BA31/100)*(1+BA33/100)</f>
        <v>1</v>
      </c>
      <c r="BB29" s="301">
        <f>(1-BB30/100)*(1+BB31/100)*(1+BB33/100)</f>
        <v>1</v>
      </c>
      <c r="BC29" s="301">
        <f>(1-BC30/100)*(1+BC31/100)*(1+BC33/100)</f>
        <v>1</v>
      </c>
      <c r="BD29" s="301">
        <f>(1-BD30/100)*(1+BD31/100)*(1+BD33/100)</f>
        <v>1</v>
      </c>
      <c r="BE29" s="301">
        <f>(1-BE30/100)*(1+BE31/100)*(1+BE33/100)</f>
        <v>1</v>
      </c>
      <c r="BF29" s="301">
        <f>(1-BF30/100)*(1+BF31/100)*(1+BF33/100)</f>
        <v>1</v>
      </c>
      <c r="BG29" s="1331"/>
      <c r="BH29" s="1331"/>
      <c r="BI29" s="1245"/>
      <c r="BJ29" s="1245"/>
      <c r="BK29" s="1245"/>
      <c r="BL29" s="1182"/>
      <c r="BM29" s="1182"/>
    </row>
    <row customHeight="1" ht="21.9375" hidden="1">
      <c r="A30" s="1331"/>
      <c r="B30" s="448">
        <f>method_reg&lt;&gt;"Метод экономически обоснованных расходов"</f>
        <v>1</v>
      </c>
      <c r="C30" s="1331"/>
      <c r="D30" s="1331"/>
      <c r="E30" s="623">
        <v>22.5</v>
      </c>
      <c r="F30" s="50" cm="1" t="str">
        <f t="array" ref="F30:F30">OFFSET(E30,-1,1)</f>
        <v>0</v>
      </c>
      <c r="G30" s="118" t="s">
        <v>565</v>
      </c>
      <c r="H30" s="118" t="s">
        <v>566</v>
      </c>
      <c r="I30" s="1331"/>
      <c r="J30" s="1331"/>
      <c r="K30" s="1331"/>
      <c r="L30" s="1331"/>
      <c r="M30" s="1331"/>
      <c r="N30" s="1331"/>
      <c r="O30" s="1331"/>
      <c r="P30" s="1331"/>
      <c r="Q30" s="1331"/>
      <c r="R30" s="1331"/>
      <c r="S30" s="1331"/>
      <c r="T30" s="1331"/>
      <c r="U30" s="468" cm="1" t="str">
        <f t="array" ref="U30:U30">U29</f>
        <v>false</v>
      </c>
      <c r="V30" s="1331"/>
      <c r="W30" s="1331"/>
      <c r="X30" s="1331"/>
      <c r="Y30" s="1519"/>
      <c r="Z30" s="1541"/>
      <c r="AA30" s="1331"/>
      <c r="AB30" s="129">
        <v>1</v>
      </c>
      <c r="AC30" s="130" t="s">
        <v>567</v>
      </c>
      <c r="AD30" s="132" t="s">
        <v>561</v>
      </c>
      <c r="AE30" s="1927"/>
      <c r="AF30" s="1927"/>
      <c r="AG30" s="1927"/>
      <c r="AH30" s="1928"/>
      <c r="AI30" s="1927"/>
      <c r="AJ30" s="1927"/>
      <c r="AK30" s="1927"/>
      <c r="AL30" s="277">
        <f>IF(AI30&lt;&gt;0,AK30/AI30,0)</f>
        <v>0</v>
      </c>
      <c r="AM30" s="276">
        <f>AK30-AJ30</f>
        <v>0</v>
      </c>
      <c r="AN30" s="1928"/>
      <c r="AO30" s="1927"/>
      <c r="AP30" s="1927"/>
      <c r="AQ30" s="1927"/>
      <c r="AR30" s="1927"/>
      <c r="AS30" s="1927"/>
      <c r="AT30" s="1927"/>
      <c r="AU30" s="1927"/>
      <c r="AV30" s="1927"/>
      <c r="AW30" s="1927"/>
      <c r="AX30" s="1927"/>
      <c r="AY30" s="1927"/>
      <c r="AZ30" s="1927"/>
      <c r="BA30" s="1927"/>
      <c r="BB30" s="1927"/>
      <c r="BC30" s="1927"/>
      <c r="BD30" s="1927"/>
      <c r="BE30" s="1927"/>
      <c r="BF30" s="1927"/>
      <c r="BG30" s="1331"/>
      <c r="BH30" s="1331"/>
      <c r="BI30" s="1005" t="s">
        <v>568</v>
      </c>
      <c r="BJ30" s="1245"/>
      <c r="BK30" s="1245"/>
      <c r="BL30" s="1182"/>
      <c r="BM30" s="1182"/>
    </row>
    <row customHeight="1" ht="14.625" hidden="1">
      <c r="A31" s="1331"/>
      <c r="B31" s="1223"/>
      <c r="C31" s="1331"/>
      <c r="D31" s="1331"/>
      <c r="E31" s="623">
        <v>15</v>
      </c>
      <c r="F31" s="50" cm="1" t="str">
        <f t="array" ref="F31:F31">OFFSET(E31,-1,1)</f>
        <v>0</v>
      </c>
      <c r="G31" s="118" t="s">
        <v>569</v>
      </c>
      <c r="H31" s="118" t="s">
        <v>570</v>
      </c>
      <c r="I31" s="1331"/>
      <c r="J31" s="1331"/>
      <c r="K31" s="1331"/>
      <c r="L31" s="1331"/>
      <c r="M31" s="1331"/>
      <c r="N31" s="1331"/>
      <c r="O31" s="1331"/>
      <c r="P31" s="1331"/>
      <c r="Q31" s="1331"/>
      <c r="R31" s="1331"/>
      <c r="S31" s="1331"/>
      <c r="T31" s="1331"/>
      <c r="U31" s="468" cm="1" t="str">
        <f t="array" ref="U31:U31">U30</f>
        <v>false</v>
      </c>
      <c r="V31" s="1331"/>
      <c r="W31" s="1331"/>
      <c r="X31" s="1331"/>
      <c r="Y31" s="1519"/>
      <c r="Z31" s="1541"/>
      <c r="AA31" s="1331"/>
      <c r="AB31" s="129">
        <f>IF(B30,2,1)</f>
        <v>2</v>
      </c>
      <c r="AC31" s="131" t="s">
        <v>571</v>
      </c>
      <c r="AD31" s="132" t="s">
        <v>561</v>
      </c>
      <c r="AE31" s="1927"/>
      <c r="AF31" s="1927"/>
      <c r="AG31" s="1927"/>
      <c r="AH31" s="1928"/>
      <c r="AI31" s="1927"/>
      <c r="AJ31" s="1927"/>
      <c r="AK31" s="1927"/>
      <c r="AL31" s="277">
        <f>IF(AI31&lt;&gt;0,AK31/AI31,0)</f>
        <v>0</v>
      </c>
      <c r="AM31" s="276">
        <f>AK31-AJ31</f>
        <v>0</v>
      </c>
      <c r="AN31" s="1928"/>
      <c r="AO31" s="1927"/>
      <c r="AP31" s="1927"/>
      <c r="AQ31" s="1927"/>
      <c r="AR31" s="1927"/>
      <c r="AS31" s="1927"/>
      <c r="AT31" s="1927"/>
      <c r="AU31" s="1927"/>
      <c r="AV31" s="1927"/>
      <c r="AW31" s="1927"/>
      <c r="AX31" s="1927"/>
      <c r="AY31" s="1927"/>
      <c r="AZ31" s="1927"/>
      <c r="BA31" s="1927"/>
      <c r="BB31" s="1927"/>
      <c r="BC31" s="1927"/>
      <c r="BD31" s="1927"/>
      <c r="BE31" s="1927"/>
      <c r="BF31" s="1927"/>
      <c r="BG31" s="1331"/>
      <c r="BH31" s="1331"/>
      <c r="BI31" s="1005" t="s">
        <v>572</v>
      </c>
      <c r="BJ31" s="1245"/>
      <c r="BK31" s="1245"/>
      <c r="BL31" s="1182"/>
      <c r="BM31" s="1182"/>
    </row>
    <row customHeight="1" ht="14.625" hidden="1">
      <c r="A32" s="1331"/>
      <c r="B32" s="1223"/>
      <c r="C32" s="1331"/>
      <c r="D32" s="1331"/>
      <c r="E32" s="623">
        <v>15</v>
      </c>
      <c r="F32" s="50" cm="1" t="str">
        <f t="array" ref="F32:F32">OFFSET(E32,-1,1)</f>
        <v>0</v>
      </c>
      <c r="G32" s="1331"/>
      <c r="H32" s="118" t="s">
        <v>573</v>
      </c>
      <c r="I32" s="1331"/>
      <c r="J32" s="1331"/>
      <c r="K32" s="1331"/>
      <c r="L32" s="1331"/>
      <c r="M32" s="1331"/>
      <c r="N32" s="1331"/>
      <c r="O32" s="1331"/>
      <c r="P32" s="1331"/>
      <c r="Q32" s="1331"/>
      <c r="R32" s="1331"/>
      <c r="S32" s="1331"/>
      <c r="T32" s="1331"/>
      <c r="U32" s="468" cm="1" t="str">
        <f t="array" ref="U32:U32">U31</f>
        <v>false</v>
      </c>
      <c r="V32" s="1331"/>
      <c r="W32" s="1331"/>
      <c r="X32" s="1331"/>
      <c r="Y32" s="1519"/>
      <c r="Z32" s="1541"/>
      <c r="AA32" s="1331"/>
      <c r="AB32" s="129">
        <f>AB31+1</f>
        <v>3</v>
      </c>
      <c r="AC32" s="133" t="s">
        <v>574</v>
      </c>
      <c r="AD32" s="132" t="s">
        <v>561</v>
      </c>
      <c r="AE32" s="1927"/>
      <c r="AF32" s="1927"/>
      <c r="AG32" s="1927"/>
      <c r="AH32" s="1928"/>
      <c r="AI32" s="1927"/>
      <c r="AJ32" s="1927"/>
      <c r="AK32" s="1927"/>
      <c r="AL32" s="277">
        <f>IF(AI32&lt;&gt;0,AK32/AI32,0)</f>
        <v>0</v>
      </c>
      <c r="AM32" s="276">
        <f>AK32-AJ32</f>
        <v>0</v>
      </c>
      <c r="AN32" s="1928"/>
      <c r="AO32" s="1927"/>
      <c r="AP32" s="1927"/>
      <c r="AQ32" s="1927"/>
      <c r="AR32" s="1927"/>
      <c r="AS32" s="1927"/>
      <c r="AT32" s="1927"/>
      <c r="AU32" s="1927"/>
      <c r="AV32" s="1927"/>
      <c r="AW32" s="1927"/>
      <c r="AX32" s="1927"/>
      <c r="AY32" s="1927"/>
      <c r="AZ32" s="1927"/>
      <c r="BA32" s="1927"/>
      <c r="BB32" s="1927"/>
      <c r="BC32" s="1927"/>
      <c r="BD32" s="1927"/>
      <c r="BE32" s="1927"/>
      <c r="BF32" s="1927"/>
      <c r="BG32" s="1331"/>
      <c r="BH32" s="1331"/>
      <c r="BI32" s="1005" t="s">
        <v>575</v>
      </c>
      <c r="BJ32" s="1245"/>
      <c r="BK32" s="1245"/>
      <c r="BL32" s="1182"/>
      <c r="BM32" s="1182"/>
    </row>
    <row customHeight="1" ht="14.625" hidden="1">
      <c r="A33" s="1331"/>
      <c r="B33" s="448">
        <f>method_reg&lt;&gt;"Метод экономически обоснованных расходов"</f>
        <v>1</v>
      </c>
      <c r="C33" s="1331"/>
      <c r="D33" s="1331"/>
      <c r="E33" s="623">
        <v>15</v>
      </c>
      <c r="F33" s="50" cm="1" t="str">
        <f t="array" ref="F33:F33">OFFSET(E33,-1,1)</f>
        <v>0</v>
      </c>
      <c r="G33" s="118" t="s">
        <v>576</v>
      </c>
      <c r="H33" s="118" t="s">
        <v>577</v>
      </c>
      <c r="I33" s="1331"/>
      <c r="J33" s="1331"/>
      <c r="K33" s="1331"/>
      <c r="L33" s="1331"/>
      <c r="M33" s="1331"/>
      <c r="N33" s="1331"/>
      <c r="O33" s="1331"/>
      <c r="P33" s="1331"/>
      <c r="Q33" s="1331"/>
      <c r="R33" s="1331"/>
      <c r="S33" s="1331"/>
      <c r="T33" s="1331"/>
      <c r="U33" s="468" cm="1" t="str">
        <f t="array" ref="U33:U33">U32</f>
        <v>false</v>
      </c>
      <c r="V33" s="1331"/>
      <c r="W33" s="1331"/>
      <c r="X33" s="1331"/>
      <c r="Y33" s="1519"/>
      <c r="Z33" s="1541"/>
      <c r="AA33" s="1331"/>
      <c r="AB33" s="129">
        <v>4</v>
      </c>
      <c r="AC33" s="131" t="s">
        <v>578</v>
      </c>
      <c r="AD33" s="132" t="s">
        <v>561</v>
      </c>
      <c r="AE33" s="1927"/>
      <c r="AF33" s="1927"/>
      <c r="AG33" s="1927"/>
      <c r="AH33" s="1928"/>
      <c r="AI33" s="1927"/>
      <c r="AJ33" s="1927"/>
      <c r="AK33" s="1927"/>
      <c r="AL33" s="277">
        <f>IF(AI33&lt;&gt;0,AK33/AI33,0)</f>
        <v>0</v>
      </c>
      <c r="AM33" s="276">
        <f>AK33-AJ33</f>
        <v>0</v>
      </c>
      <c r="AN33" s="1928"/>
      <c r="AO33" s="1927"/>
      <c r="AP33" s="1927"/>
      <c r="AQ33" s="1927"/>
      <c r="AR33" s="1927"/>
      <c r="AS33" s="1927"/>
      <c r="AT33" s="1927"/>
      <c r="AU33" s="1927"/>
      <c r="AV33" s="1927"/>
      <c r="AW33" s="1927"/>
      <c r="AX33" s="1927"/>
      <c r="AY33" s="1927"/>
      <c r="AZ33" s="1927"/>
      <c r="BA33" s="1927"/>
      <c r="BB33" s="1927"/>
      <c r="BC33" s="1927"/>
      <c r="BD33" s="1927"/>
      <c r="BE33" s="1927"/>
      <c r="BF33" s="1927"/>
      <c r="BG33" s="1331"/>
      <c r="BH33" s="1331"/>
      <c r="BI33" s="1005" t="s">
        <v>579</v>
      </c>
      <c r="BJ33" s="1245"/>
      <c r="BK33" s="1245"/>
      <c r="BL33" s="1182"/>
      <c r="BM33" s="1182"/>
    </row>
    <row s="1441" customFormat="1" customHeight="1" ht="14.625" hidden="1">
      <c r="A34" s="145"/>
      <c r="B34" s="449"/>
      <c r="C34" s="145"/>
      <c r="D34" s="145"/>
      <c r="E34" s="682">
        <v>15</v>
      </c>
      <c r="F34" s="370" cm="1" t="str">
        <f t="array" ref="F34:F34">OFFSET(E34,-1,1)</f>
        <v>0</v>
      </c>
      <c r="G34" s="145"/>
      <c r="H34" s="145"/>
      <c r="I34" s="145"/>
      <c r="J34" s="145"/>
      <c r="K34" s="145"/>
      <c r="L34" s="145"/>
      <c r="M34" s="145"/>
      <c r="N34" s="145"/>
      <c r="O34" s="145"/>
      <c r="P34" s="145"/>
      <c r="Q34" s="145"/>
      <c r="R34" s="145"/>
      <c r="S34" s="145"/>
      <c r="T34" s="145"/>
      <c r="U34" s="468" cm="1" t="str">
        <f t="array" ref="U34:U34">U33</f>
        <v>false</v>
      </c>
      <c r="V34" s="145"/>
      <c r="W34" s="145"/>
      <c r="X34" s="145"/>
      <c r="Y34" s="1519"/>
      <c r="Z34" s="1541"/>
      <c r="AA34" s="145"/>
      <c r="AB34" s="129">
        <v>5</v>
      </c>
      <c r="AC34" s="131" t="s">
        <v>580</v>
      </c>
      <c r="AD34" s="132" t="s">
        <v>561</v>
      </c>
      <c r="AE34" s="1927"/>
      <c r="AF34" s="1927"/>
      <c r="AG34" s="1927"/>
      <c r="AH34" s="1928"/>
      <c r="AI34" s="1927"/>
      <c r="AJ34" s="1927"/>
      <c r="AK34" s="1927"/>
      <c r="AL34" s="277">
        <f>IF(AI34&lt;&gt;0,AK34/AI34,0)</f>
        <v>0</v>
      </c>
      <c r="AM34" s="276">
        <f>AK34-AJ34</f>
        <v>0</v>
      </c>
      <c r="AN34" s="1928"/>
      <c r="AO34" s="1927"/>
      <c r="AP34" s="1927"/>
      <c r="AQ34" s="1927"/>
      <c r="AR34" s="1927"/>
      <c r="AS34" s="1927"/>
      <c r="AT34" s="1927"/>
      <c r="AU34" s="1927"/>
      <c r="AV34" s="1927"/>
      <c r="AW34" s="1927"/>
      <c r="AX34" s="1927"/>
      <c r="AY34" s="1927"/>
      <c r="AZ34" s="1927"/>
      <c r="BA34" s="1927"/>
      <c r="BB34" s="1927"/>
      <c r="BC34" s="1927"/>
      <c r="BD34" s="1927"/>
      <c r="BE34" s="1927"/>
      <c r="BF34" s="1927"/>
      <c r="BG34" s="145"/>
      <c r="BH34" s="145"/>
      <c r="BI34" s="1046" t="s">
        <v>581</v>
      </c>
      <c r="BJ34" s="1046"/>
      <c r="BK34" s="1046"/>
      <c r="BL34" s="682"/>
      <c r="BM34" s="682"/>
    </row>
    <row customHeight="1" ht="14.625" hidden="1">
      <c r="A35" s="1331"/>
      <c r="B35" s="1223"/>
      <c r="C35" s="1331"/>
      <c r="D35" s="1331"/>
      <c r="E35" s="623">
        <v>15</v>
      </c>
      <c r="F35" s="50" cm="1" t="str">
        <f t="array" ref="F35:F35">OFFSET(E35,-1,1)</f>
        <v>0</v>
      </c>
      <c r="G35" s="1331"/>
      <c r="H35" s="1331"/>
      <c r="I35" s="1331"/>
      <c r="J35" s="1331"/>
      <c r="K35" s="1331"/>
      <c r="L35" s="1331"/>
      <c r="M35" s="1331"/>
      <c r="N35" s="1331"/>
      <c r="O35" s="1331"/>
      <c r="P35" s="1331"/>
      <c r="Q35" s="1331"/>
      <c r="R35" s="1331"/>
      <c r="S35" s="1331"/>
      <c r="T35" s="1331"/>
      <c r="U35" s="468" cm="1" t="str">
        <f t="array" ref="U35:U35">U33</f>
        <v>false</v>
      </c>
      <c r="V35" s="1331"/>
      <c r="W35" s="1331"/>
      <c r="X35" s="1331"/>
      <c r="Y35" s="1519"/>
      <c r="Z35" s="1541"/>
      <c r="AA35" s="1331"/>
      <c r="AB35" s="266"/>
      <c r="AC35" s="267" t="s">
        <v>582</v>
      </c>
      <c r="AD35" s="268"/>
      <c r="AE35" s="273"/>
      <c r="AF35" s="273"/>
      <c r="AG35" s="273"/>
      <c r="AH35" s="268"/>
      <c r="AI35" s="273"/>
      <c r="AJ35" s="273"/>
      <c r="AK35" s="273"/>
      <c r="AL35" s="278"/>
      <c r="AM35" s="273"/>
      <c r="AN35" s="268"/>
      <c r="AO35" s="273"/>
      <c r="AP35" s="273"/>
      <c r="AQ35" s="273"/>
      <c r="AR35" s="273"/>
      <c r="AS35" s="273"/>
      <c r="AT35" s="273"/>
      <c r="AU35" s="273"/>
      <c r="AV35" s="273"/>
      <c r="AW35" s="273"/>
      <c r="AX35" s="273"/>
      <c r="AY35" s="273"/>
      <c r="AZ35" s="273"/>
      <c r="BA35" s="273"/>
      <c r="BB35" s="273"/>
      <c r="BC35" s="273"/>
      <c r="BD35" s="273"/>
      <c r="BE35" s="273"/>
      <c r="BF35" s="279"/>
      <c r="BG35" s="1331"/>
      <c r="BH35" s="1331"/>
      <c r="BI35" s="1245"/>
      <c r="BJ35" s="1245"/>
      <c r="BK35" s="1245"/>
      <c r="BL35" s="1182"/>
      <c r="BM35" s="1182"/>
    </row>
    <row customHeight="1" ht="14.625" hidden="1">
      <c r="A36" s="1331"/>
      <c r="B36" s="1223"/>
      <c r="C36" s="1331"/>
      <c r="D36" s="1331"/>
      <c r="E36" s="623">
        <v>15</v>
      </c>
      <c r="F36" s="50" cm="1" t="str">
        <f t="array" ref="F36:F36">OFFSET(E36,-1,1)</f>
        <v>0</v>
      </c>
      <c r="G36" s="118" t="s">
        <v>583</v>
      </c>
      <c r="H36" s="118" t="s">
        <v>584</v>
      </c>
      <c r="I36" s="1331"/>
      <c r="J36" s="1331"/>
      <c r="K36" s="1331"/>
      <c r="L36" s="1331"/>
      <c r="M36" s="1331"/>
      <c r="N36" s="1331"/>
      <c r="O36" s="1331"/>
      <c r="P36" s="1331"/>
      <c r="Q36" s="1331"/>
      <c r="R36" s="1331"/>
      <c r="S36" s="1331"/>
      <c r="T36" s="1331"/>
      <c r="U36" s="468" cm="1" t="str">
        <f t="array" ref="U36:U36">U35</f>
        <v>false</v>
      </c>
      <c r="V36" s="1331"/>
      <c r="W36" s="1331"/>
      <c r="X36" s="1331"/>
      <c r="Y36" s="1519"/>
      <c r="Z36" s="1541"/>
      <c r="AA36" s="1331"/>
      <c r="AB36" s="129">
        <v>1</v>
      </c>
      <c r="AC36" s="131" t="s">
        <v>585</v>
      </c>
      <c r="AD36" s="132" t="s">
        <v>561</v>
      </c>
      <c r="AE36" s="1940"/>
      <c r="AF36" s="1940"/>
      <c r="AG36" s="1940"/>
      <c r="AH36" s="1928"/>
      <c r="AI36" s="1940"/>
      <c r="AJ36" s="1940"/>
      <c r="AK36" s="1940"/>
      <c r="AL36" s="277">
        <f>IF(AI36&lt;&gt;0,AK36/AI36,0)</f>
        <v>0</v>
      </c>
      <c r="AM36" s="276">
        <f>AK36-AJ36</f>
        <v>0</v>
      </c>
      <c r="AN36" s="1928"/>
      <c r="AO36" s="1940"/>
      <c r="AP36" s="1940"/>
      <c r="AQ36" s="1940"/>
      <c r="AR36" s="1940"/>
      <c r="AS36" s="1940"/>
      <c r="AT36" s="1940"/>
      <c r="AU36" s="1940"/>
      <c r="AV36" s="1940"/>
      <c r="AW36" s="1940"/>
      <c r="AX36" s="1940"/>
      <c r="AY36" s="1940"/>
      <c r="AZ36" s="1940"/>
      <c r="BA36" s="1940"/>
      <c r="BB36" s="1940"/>
      <c r="BC36" s="1940"/>
      <c r="BD36" s="1940"/>
      <c r="BE36" s="1940"/>
      <c r="BF36" s="1940"/>
      <c r="BG36" s="1331"/>
      <c r="BH36" s="1331"/>
      <c r="BI36" s="1005" t="s">
        <v>586</v>
      </c>
      <c r="BJ36" s="1245"/>
      <c r="BK36" s="1245"/>
      <c r="BL36" s="1182"/>
      <c r="BM36" s="1182"/>
    </row>
    <row customHeight="1" ht="15" hidden="1">
      <c r="A37" s="1331"/>
      <c r="B37" s="1223"/>
      <c r="C37" s="1331"/>
      <c r="D37" s="1331"/>
      <c r="E37" s="623">
        <v>0</v>
      </c>
      <c r="F37" s="50" cm="1" t="str">
        <f t="array" ref="F37:F37">OFFSET(E37,-1,1)</f>
        <v>0</v>
      </c>
      <c r="G37" s="1331"/>
      <c r="H37" s="118" t="s">
        <v>587</v>
      </c>
      <c r="I37" s="1331"/>
      <c r="J37" s="1331"/>
      <c r="K37" s="1331"/>
      <c r="L37" s="1331"/>
      <c r="M37" s="1331"/>
      <c r="N37" s="1331"/>
      <c r="O37" s="1331"/>
      <c r="P37" s="1331"/>
      <c r="Q37" s="1331"/>
      <c r="R37" s="1331"/>
      <c r="S37" s="1331"/>
      <c r="T37" s="1331"/>
      <c r="U37" s="468" cm="1" t="str">
        <f t="array" ref="U37:U37">U36</f>
        <v>false</v>
      </c>
      <c r="V37" s="1331"/>
      <c r="W37" s="1331"/>
      <c r="X37" s="1331"/>
      <c r="Y37" s="1519"/>
      <c r="Z37" s="1541"/>
      <c r="AA37" s="1331"/>
      <c r="AB37" s="129">
        <v>2</v>
      </c>
      <c r="AC37" s="131" t="s">
        <v>560</v>
      </c>
      <c r="AD37" s="132" t="s">
        <v>561</v>
      </c>
      <c r="AE37" s="1940"/>
      <c r="AF37" s="1927"/>
      <c r="AG37" s="1940"/>
      <c r="AH37" s="1928"/>
      <c r="AI37" s="1940"/>
      <c r="AJ37" s="1940"/>
      <c r="AK37" s="1940"/>
      <c r="AL37" s="277">
        <f>IF(AI37&lt;&gt;0,AK37/AI37,0)</f>
        <v>0</v>
      </c>
      <c r="AM37" s="276">
        <f>AK37-AJ37</f>
        <v>0</v>
      </c>
      <c r="AN37" s="1928"/>
      <c r="AO37" s="1940"/>
      <c r="AP37" s="1940"/>
      <c r="AQ37" s="1940"/>
      <c r="AR37" s="1940"/>
      <c r="AS37" s="1940"/>
      <c r="AT37" s="1940"/>
      <c r="AU37" s="1940"/>
      <c r="AV37" s="1940"/>
      <c r="AW37" s="1940"/>
      <c r="AX37" s="1940"/>
      <c r="AY37" s="1940"/>
      <c r="AZ37" s="1940"/>
      <c r="BA37" s="1940"/>
      <c r="BB37" s="1940"/>
      <c r="BC37" s="1940"/>
      <c r="BD37" s="1940"/>
      <c r="BE37" s="1940"/>
      <c r="BF37" s="1940"/>
      <c r="BG37" s="1331"/>
      <c r="BH37" s="1331"/>
      <c r="BI37" s="1005" t="s">
        <v>588</v>
      </c>
      <c r="BJ37" s="1245"/>
      <c r="BK37" s="1245"/>
      <c r="BL37" s="1182"/>
      <c r="BM37" s="1182"/>
    </row>
    <row customHeight="1" ht="14.625" hidden="1">
      <c r="A38" s="1331"/>
      <c r="B38" s="1223"/>
      <c r="C38" s="1331"/>
      <c r="D38" s="1331"/>
      <c r="E38" s="623">
        <v>15</v>
      </c>
      <c r="F38" s="50" cm="1" t="str">
        <f t="array" ref="F38:F38">OFFSET(E38,-1,1)</f>
        <v>0</v>
      </c>
      <c r="G38" s="1331"/>
      <c r="H38" s="1331"/>
      <c r="I38" s="1331"/>
      <c r="J38" s="1331"/>
      <c r="K38" s="1331"/>
      <c r="L38" s="1331"/>
      <c r="M38" s="1331"/>
      <c r="N38" s="1331"/>
      <c r="O38" s="1331"/>
      <c r="P38" s="1331"/>
      <c r="Q38" s="1331"/>
      <c r="R38" s="1331"/>
      <c r="S38" s="1331"/>
      <c r="T38" s="1331"/>
      <c r="U38" s="468" cm="1" t="str">
        <f t="array" ref="U38:U38">U37</f>
        <v>false</v>
      </c>
      <c r="V38" s="1331"/>
      <c r="W38" s="1331"/>
      <c r="X38" s="1331"/>
      <c r="Y38" s="1519"/>
      <c r="Z38" s="1541"/>
      <c r="AA38" s="1331"/>
      <c r="AB38" s="611">
        <v>2</v>
      </c>
      <c r="AC38" s="612" t="s">
        <v>589</v>
      </c>
      <c r="AD38" s="90"/>
      <c r="AE38" s="613"/>
      <c r="AF38" s="614"/>
      <c r="AG38" s="615"/>
      <c r="AH38" s="616"/>
      <c r="AI38" s="613"/>
      <c r="AJ38" s="614"/>
      <c r="AK38" s="614"/>
      <c r="AL38" s="617"/>
      <c r="AM38" s="614"/>
      <c r="AN38" s="616"/>
      <c r="AO38" s="613"/>
      <c r="AP38" s="613"/>
      <c r="AQ38" s="613"/>
      <c r="AR38" s="613"/>
      <c r="AS38" s="613"/>
      <c r="AT38" s="613"/>
      <c r="AU38" s="613"/>
      <c r="AV38" s="613"/>
      <c r="AW38" s="613"/>
      <c r="AX38" s="613"/>
      <c r="AY38" s="613"/>
      <c r="AZ38" s="613"/>
      <c r="BA38" s="613"/>
      <c r="BB38" s="613"/>
      <c r="BC38" s="613"/>
      <c r="BD38" s="613"/>
      <c r="BE38" s="613"/>
      <c r="BF38" s="613"/>
      <c r="BG38" s="1331"/>
      <c r="BH38" s="1331"/>
      <c r="BI38" s="1005" t="s">
        <v>590</v>
      </c>
      <c r="BJ38" s="1245"/>
      <c r="BK38" s="1245"/>
      <c r="BL38" s="1182"/>
      <c r="BM38" s="1182"/>
    </row>
    <row customHeight="1" ht="21.9375" hidden="1">
      <c r="A39" s="1331"/>
      <c r="B39" s="1223"/>
      <c r="C39" s="1331"/>
      <c r="D39" s="1331"/>
      <c r="E39" s="623">
        <v>22.5</v>
      </c>
      <c r="F39" s="50" cm="1" t="str">
        <f t="array" ref="F39:F39">OFFSET(E39,-1,1)</f>
        <v>0</v>
      </c>
      <c r="G39" s="1331"/>
      <c r="H39" s="118" t="s">
        <v>591</v>
      </c>
      <c r="I39" s="1331"/>
      <c r="J39" s="1331"/>
      <c r="K39" s="1331"/>
      <c r="L39" s="1331"/>
      <c r="M39" s="1331"/>
      <c r="N39" s="1331"/>
      <c r="O39" s="1331"/>
      <c r="P39" s="1331"/>
      <c r="Q39" s="1331"/>
      <c r="R39" s="1331"/>
      <c r="S39" s="1331"/>
      <c r="T39" s="1331"/>
      <c r="U39" s="468" cm="1" t="str">
        <f t="array" ref="U39:U39">U38</f>
        <v>false</v>
      </c>
      <c r="V39" s="1331"/>
      <c r="W39" s="1331"/>
      <c r="X39" s="1331"/>
      <c r="Y39" s="1519"/>
      <c r="Z39" s="1541"/>
      <c r="AA39" s="1331"/>
      <c r="AB39" s="216" t="s">
        <v>592</v>
      </c>
      <c r="AC39" s="210" t="s">
        <v>593</v>
      </c>
      <c r="AD39" s="87" t="s">
        <v>594</v>
      </c>
      <c r="AE39" s="1952"/>
      <c r="AF39" s="1953"/>
      <c r="AG39" s="1954"/>
      <c r="AH39" s="1955"/>
      <c r="AI39" s="1952"/>
      <c r="AJ39" s="1953"/>
      <c r="AK39" s="1953"/>
      <c r="AL39" s="620">
        <f>IF(AI39&lt;&gt;0,AK39/AI39,0)</f>
        <v>0</v>
      </c>
      <c r="AM39" s="621">
        <f>AK39-AJ39</f>
        <v>0</v>
      </c>
      <c r="AN39" s="1955"/>
      <c r="AO39" s="1952"/>
      <c r="AP39" s="1952"/>
      <c r="AQ39" s="1952"/>
      <c r="AR39" s="1952"/>
      <c r="AS39" s="1952"/>
      <c r="AT39" s="1952"/>
      <c r="AU39" s="1952"/>
      <c r="AV39" s="1952"/>
      <c r="AW39" s="1952"/>
      <c r="AX39" s="1952"/>
      <c r="AY39" s="1952"/>
      <c r="AZ39" s="1952"/>
      <c r="BA39" s="1952"/>
      <c r="BB39" s="1952"/>
      <c r="BC39" s="1952"/>
      <c r="BD39" s="1952"/>
      <c r="BE39" s="1952"/>
      <c r="BF39" s="1952"/>
      <c r="BG39" s="1331"/>
      <c r="BH39" s="1331"/>
      <c r="BI39" s="1005" t="s">
        <v>595</v>
      </c>
      <c r="BJ39" s="1245"/>
      <c r="BK39" s="1245"/>
      <c r="BL39" s="1182"/>
      <c r="BM39" s="1182"/>
    </row>
    <row customHeight="1" ht="21.9375" hidden="1">
      <c r="A40" s="1331"/>
      <c r="B40" s="1223"/>
      <c r="C40" s="1331"/>
      <c r="D40" s="1331"/>
      <c r="E40" s="623">
        <v>22.5</v>
      </c>
      <c r="F40" s="50" cm="1" t="str">
        <f t="array" ref="F40:F40">OFFSET(E40,-1,1)</f>
        <v>0</v>
      </c>
      <c r="G40" s="1331"/>
      <c r="H40" s="1331"/>
      <c r="I40" s="118" cm="1" t="str">
        <f t="array" ref="I40:I40">AC40</f>
        <v>0</v>
      </c>
      <c r="J40" s="1331"/>
      <c r="K40" s="1331"/>
      <c r="L40" s="1331"/>
      <c r="M40" s="1331"/>
      <c r="N40" s="1331"/>
      <c r="O40" s="1331"/>
      <c r="P40" s="1331"/>
      <c r="Q40" s="1331"/>
      <c r="R40" s="1331"/>
      <c r="S40" s="1331"/>
      <c r="T40" s="1331"/>
      <c r="U40" s="468">
        <f>AND(F40&gt;0,--RIGHT(AB40,1)&gt;1)</f>
        <v>0</v>
      </c>
      <c r="V40" s="1331"/>
      <c r="W40" s="1331"/>
      <c r="X40" s="764" t="s">
        <v>173</v>
      </c>
      <c r="Y40" s="1519"/>
      <c r="Z40" s="1541"/>
      <c r="AA40" s="422" t="s">
        <v>174</v>
      </c>
      <c r="AB40" s="216" t="s">
        <v>592</v>
      </c>
      <c r="AC40" s="1958"/>
      <c r="AD40" s="87" t="s">
        <v>594</v>
      </c>
      <c r="AE40" s="1952"/>
      <c r="AF40" s="1953"/>
      <c r="AG40" s="1954"/>
      <c r="AH40" s="1955"/>
      <c r="AI40" s="1952"/>
      <c r="AJ40" s="1953"/>
      <c r="AK40" s="1953"/>
      <c r="AL40" s="620">
        <f>IF(AI40&lt;&gt;0,AK40/AI40,0)</f>
        <v>0</v>
      </c>
      <c r="AM40" s="621">
        <f>AK40-AJ40</f>
        <v>0</v>
      </c>
      <c r="AN40" s="1955"/>
      <c r="AO40" s="1952"/>
      <c r="AP40" s="1952"/>
      <c r="AQ40" s="1952"/>
      <c r="AR40" s="1952"/>
      <c r="AS40" s="1952"/>
      <c r="AT40" s="1952"/>
      <c r="AU40" s="1952"/>
      <c r="AV40" s="1952"/>
      <c r="AW40" s="1952"/>
      <c r="AX40" s="1952"/>
      <c r="AY40" s="1952"/>
      <c r="AZ40" s="1952"/>
      <c r="BA40" s="1952"/>
      <c r="BB40" s="1952"/>
      <c r="BC40" s="1952"/>
      <c r="BD40" s="1952"/>
      <c r="BE40" s="1952"/>
      <c r="BF40" s="1952"/>
      <c r="BG40" s="1331"/>
      <c r="BH40" s="1331"/>
      <c r="BI40" s="1005" t="s">
        <v>595</v>
      </c>
      <c r="BJ40" s="1005" t="s">
        <v>596</v>
      </c>
      <c r="BK40" s="1005" cm="1" t="str">
        <f t="array" ref="BK40:BK40">AC40</f>
        <v>0</v>
      </c>
      <c r="BL40" s="1182"/>
      <c r="BM40" s="623" t="b">
        <v>1</v>
      </c>
    </row>
    <row customHeight="1" ht="14.625" hidden="1">
      <c r="A41" s="1331"/>
      <c r="B41" s="1223"/>
      <c r="C41" s="1331"/>
      <c r="D41" s="1331"/>
      <c r="E41" s="623">
        <v>15</v>
      </c>
      <c r="F41" s="50" cm="1" t="str">
        <f t="array" ref="F41:F41">OFFSET(E41,-1,1)</f>
        <v>0</v>
      </c>
      <c r="G41" s="1331"/>
      <c r="H41" s="1331"/>
      <c r="I41" s="1331"/>
      <c r="J41" s="1331"/>
      <c r="K41" s="1331"/>
      <c r="L41" s="1331"/>
      <c r="M41" s="1331"/>
      <c r="N41" s="1331"/>
      <c r="O41" s="1331"/>
      <c r="P41" s="1331"/>
      <c r="Q41" s="1331"/>
      <c r="R41" s="1331"/>
      <c r="S41" s="1331"/>
      <c r="T41" s="1331"/>
      <c r="U41" s="468">
        <f>F41&gt;0</f>
        <v>0</v>
      </c>
      <c r="V41" s="1331"/>
      <c r="W41" s="1331"/>
      <c r="X41" s="764" t="s">
        <v>421</v>
      </c>
      <c r="Y41" s="1519"/>
      <c r="Z41" s="1541"/>
      <c r="AA41" s="1331"/>
      <c r="AB41" s="171"/>
      <c r="AC41" s="304" t="s">
        <v>177</v>
      </c>
      <c r="AD41" s="172"/>
      <c r="AE41" s="172"/>
      <c r="AF41" s="172"/>
      <c r="AG41" s="172"/>
      <c r="AH41" s="172"/>
      <c r="AI41" s="172"/>
      <c r="AJ41" s="172"/>
      <c r="AK41" s="172"/>
      <c r="AL41" s="172"/>
      <c r="AM41" s="172"/>
      <c r="AN41" s="172"/>
      <c r="AO41" s="172"/>
      <c r="AP41" s="172"/>
      <c r="AQ41" s="172"/>
      <c r="AR41" s="172"/>
      <c r="AS41" s="172"/>
      <c r="AT41" s="172"/>
      <c r="AU41" s="172"/>
      <c r="AV41" s="172"/>
      <c r="AW41" s="172"/>
      <c r="AX41" s="172"/>
      <c r="AY41" s="172"/>
      <c r="AZ41" s="172"/>
      <c r="BA41" s="172"/>
      <c r="BB41" s="172"/>
      <c r="BC41" s="172"/>
      <c r="BD41" s="172"/>
      <c r="BE41" s="172"/>
      <c r="BF41" s="172"/>
      <c r="BG41" s="1331"/>
      <c r="BH41" s="1331"/>
      <c r="BI41" s="1245"/>
      <c r="BJ41" s="1245"/>
      <c r="BK41" s="1245"/>
      <c r="BL41" s="623" t="s">
        <v>596</v>
      </c>
      <c r="BM41" s="1182"/>
    </row>
    <row customHeight="1" ht="21.9375" hidden="1">
      <c r="A42" s="1331"/>
      <c r="B42" s="1223"/>
      <c r="C42" s="1331"/>
      <c r="D42" s="1331"/>
      <c r="E42" s="623">
        <v>22.5</v>
      </c>
      <c r="F42" s="50" cm="1" t="str">
        <f t="array" ref="F42:F42">OFFSET(E42,-1,1)</f>
        <v>0</v>
      </c>
      <c r="G42" s="1331"/>
      <c r="H42" s="118" t="s">
        <v>597</v>
      </c>
      <c r="I42" s="1331"/>
      <c r="J42" s="1331"/>
      <c r="K42" s="1331"/>
      <c r="L42" s="1331"/>
      <c r="M42" s="1331"/>
      <c r="N42" s="1331"/>
      <c r="O42" s="1331"/>
      <c r="P42" s="1331"/>
      <c r="Q42" s="1331"/>
      <c r="R42" s="1331"/>
      <c r="S42" s="1331"/>
      <c r="T42" s="1331"/>
      <c r="U42" s="468" cm="1" t="str">
        <f t="array" ref="U42:U42">U41</f>
        <v>false</v>
      </c>
      <c r="V42" s="1331"/>
      <c r="W42" s="1331"/>
      <c r="X42" s="1331"/>
      <c r="Y42" s="1519"/>
      <c r="Z42" s="1541"/>
      <c r="AA42" s="1331"/>
      <c r="AB42" s="603" t="s">
        <v>598</v>
      </c>
      <c r="AC42" s="604" t="s">
        <v>599</v>
      </c>
      <c r="AD42" s="600" t="s">
        <v>594</v>
      </c>
      <c r="AE42" s="1962"/>
      <c r="AF42" s="1963"/>
      <c r="AG42" s="1964"/>
      <c r="AH42" s="1965"/>
      <c r="AI42" s="1962"/>
      <c r="AJ42" s="1963"/>
      <c r="AK42" s="1963"/>
      <c r="AL42" s="609">
        <f>IF(AI42&lt;&gt;0,AK42/AI42,0)</f>
        <v>0</v>
      </c>
      <c r="AM42" s="610">
        <f>AK42-AJ42</f>
        <v>0</v>
      </c>
      <c r="AN42" s="1965"/>
      <c r="AO42" s="1962"/>
      <c r="AP42" s="1962"/>
      <c r="AQ42" s="1962"/>
      <c r="AR42" s="1962"/>
      <c r="AS42" s="1962"/>
      <c r="AT42" s="1962"/>
      <c r="AU42" s="1962"/>
      <c r="AV42" s="1962"/>
      <c r="AW42" s="1962"/>
      <c r="AX42" s="1962"/>
      <c r="AY42" s="1962"/>
      <c r="AZ42" s="1962"/>
      <c r="BA42" s="1962"/>
      <c r="BB42" s="1962"/>
      <c r="BC42" s="1962"/>
      <c r="BD42" s="1962"/>
      <c r="BE42" s="1962"/>
      <c r="BF42" s="1962"/>
      <c r="BG42" s="1331"/>
      <c r="BH42" s="1331"/>
      <c r="BI42" s="1005" t="s">
        <v>600</v>
      </c>
      <c r="BJ42" s="1245"/>
      <c r="BK42" s="1245"/>
      <c r="BL42" s="1182"/>
      <c r="BM42" s="1182"/>
    </row>
    <row customHeight="1" ht="21.9375" hidden="1">
      <c r="A43" s="1331"/>
      <c r="B43" s="1223"/>
      <c r="C43" s="1331"/>
      <c r="D43" s="1331"/>
      <c r="E43" s="623">
        <v>22.5</v>
      </c>
      <c r="F43" s="50" cm="1" t="str">
        <f t="array" ref="F43:F43">OFFSET(E43,-1,1)</f>
        <v>0</v>
      </c>
      <c r="G43" s="1331"/>
      <c r="H43" s="1331"/>
      <c r="I43" s="118" cm="1" t="str">
        <f t="array" ref="I43:I43">AC43</f>
        <v>0</v>
      </c>
      <c r="J43" s="1331"/>
      <c r="K43" s="1331"/>
      <c r="L43" s="1331"/>
      <c r="M43" s="1331"/>
      <c r="N43" s="1331"/>
      <c r="O43" s="1331"/>
      <c r="P43" s="1331"/>
      <c r="Q43" s="1331"/>
      <c r="R43" s="1331"/>
      <c r="S43" s="1331"/>
      <c r="T43" s="1331"/>
      <c r="U43" s="468">
        <f>AND(F43&gt;0,--RIGHT(AB43,1)&gt;1)</f>
        <v>0</v>
      </c>
      <c r="V43" s="1331"/>
      <c r="W43" s="1331"/>
      <c r="X43" s="764" t="s">
        <v>173</v>
      </c>
      <c r="Y43" s="1519"/>
      <c r="Z43" s="1541"/>
      <c r="AA43" s="422" t="s">
        <v>174</v>
      </c>
      <c r="AB43" s="603" t="s">
        <v>598</v>
      </c>
      <c r="AC43" s="1968"/>
      <c r="AD43" s="600" t="s">
        <v>594</v>
      </c>
      <c r="AE43" s="1962"/>
      <c r="AF43" s="1963"/>
      <c r="AG43" s="1964"/>
      <c r="AH43" s="1965"/>
      <c r="AI43" s="1962"/>
      <c r="AJ43" s="1963"/>
      <c r="AK43" s="1963"/>
      <c r="AL43" s="609">
        <f>IF(AI43&lt;&gt;0,AK43/AI43,0)</f>
        <v>0</v>
      </c>
      <c r="AM43" s="610">
        <f>AK43-AJ43</f>
        <v>0</v>
      </c>
      <c r="AN43" s="1965"/>
      <c r="AO43" s="1962"/>
      <c r="AP43" s="1962"/>
      <c r="AQ43" s="1962"/>
      <c r="AR43" s="1962"/>
      <c r="AS43" s="1962"/>
      <c r="AT43" s="1962"/>
      <c r="AU43" s="1962"/>
      <c r="AV43" s="1962"/>
      <c r="AW43" s="1962"/>
      <c r="AX43" s="1962"/>
      <c r="AY43" s="1962"/>
      <c r="AZ43" s="1962"/>
      <c r="BA43" s="1962"/>
      <c r="BB43" s="1962"/>
      <c r="BC43" s="1962"/>
      <c r="BD43" s="1962"/>
      <c r="BE43" s="1962"/>
      <c r="BF43" s="1962"/>
      <c r="BG43" s="1331"/>
      <c r="BH43" s="1331"/>
      <c r="BI43" s="1005" t="s">
        <v>600</v>
      </c>
      <c r="BJ43" s="1005" t="s">
        <v>601</v>
      </c>
      <c r="BK43" s="1005" cm="1" t="str">
        <f t="array" ref="BK43:BK43">AC43</f>
        <v>0</v>
      </c>
      <c r="BL43" s="1182"/>
      <c r="BM43" s="623" t="b">
        <v>1</v>
      </c>
    </row>
    <row customHeight="1" ht="14.625" hidden="1">
      <c r="A44" s="1331"/>
      <c r="B44" s="1223"/>
      <c r="C44" s="1331"/>
      <c r="D44" s="1331"/>
      <c r="E44" s="623">
        <v>15</v>
      </c>
      <c r="F44" s="50" cm="1" t="str">
        <f t="array" ref="F44:F44">OFFSET(E44,-1,1)</f>
        <v>0</v>
      </c>
      <c r="G44" s="1331"/>
      <c r="H44" s="1331"/>
      <c r="I44" s="1331"/>
      <c r="J44" s="1331"/>
      <c r="K44" s="1331"/>
      <c r="L44" s="1331"/>
      <c r="M44" s="1331"/>
      <c r="N44" s="1331"/>
      <c r="O44" s="1331"/>
      <c r="P44" s="1331"/>
      <c r="Q44" s="1331"/>
      <c r="R44" s="1331"/>
      <c r="S44" s="1331"/>
      <c r="T44" s="1331"/>
      <c r="U44" s="468">
        <f>F44&gt;0</f>
        <v>0</v>
      </c>
      <c r="V44" s="1331"/>
      <c r="W44" s="1331"/>
      <c r="X44" s="764" t="s">
        <v>421</v>
      </c>
      <c r="Y44" s="1519"/>
      <c r="Z44" s="1541"/>
      <c r="AA44" s="1331"/>
      <c r="AB44" s="171"/>
      <c r="AC44" s="304" t="s">
        <v>177</v>
      </c>
      <c r="AD44" s="172"/>
      <c r="AE44" s="172"/>
      <c r="AF44" s="172"/>
      <c r="AG44" s="172"/>
      <c r="AH44" s="172"/>
      <c r="AI44" s="172"/>
      <c r="AJ44" s="172"/>
      <c r="AK44" s="172"/>
      <c r="AL44" s="172"/>
      <c r="AM44" s="172"/>
      <c r="AN44" s="172"/>
      <c r="AO44" s="172"/>
      <c r="AP44" s="172"/>
      <c r="AQ44" s="172"/>
      <c r="AR44" s="172"/>
      <c r="AS44" s="172"/>
      <c r="AT44" s="172"/>
      <c r="AU44" s="172"/>
      <c r="AV44" s="172"/>
      <c r="AW44" s="172"/>
      <c r="AX44" s="172"/>
      <c r="AY44" s="172"/>
      <c r="AZ44" s="172"/>
      <c r="BA44" s="172"/>
      <c r="BB44" s="172"/>
      <c r="BC44" s="172"/>
      <c r="BD44" s="172"/>
      <c r="BE44" s="172"/>
      <c r="BF44" s="172"/>
      <c r="BG44" s="1331"/>
      <c r="BH44" s="1331"/>
      <c r="BI44" s="1245"/>
      <c r="BJ44" s="1245"/>
      <c r="BK44" s="1245"/>
      <c r="BL44" s="623" t="s">
        <v>601</v>
      </c>
      <c r="BM44" s="1182"/>
    </row>
    <row customHeight="1" ht="21.9375" hidden="1">
      <c r="A45" s="1331"/>
      <c r="B45" s="1223"/>
      <c r="C45" s="1331"/>
      <c r="D45" s="1331"/>
      <c r="E45" s="623">
        <v>22.5</v>
      </c>
      <c r="F45" s="50" cm="1" t="str">
        <f t="array" ref="F45:F45">OFFSET(E45,-1,1)</f>
        <v>0</v>
      </c>
      <c r="G45" s="1331"/>
      <c r="H45" s="118" t="s">
        <v>602</v>
      </c>
      <c r="I45" s="1331"/>
      <c r="J45" s="1331"/>
      <c r="K45" s="1331"/>
      <c r="L45" s="1331"/>
      <c r="M45" s="1331"/>
      <c r="N45" s="1331"/>
      <c r="O45" s="1331"/>
      <c r="P45" s="1331"/>
      <c r="Q45" s="1331"/>
      <c r="R45" s="1331"/>
      <c r="S45" s="1331"/>
      <c r="T45" s="1331"/>
      <c r="U45" s="468" cm="1" t="str">
        <f t="array" ref="U45:U45">U44</f>
        <v>false</v>
      </c>
      <c r="V45" s="1331"/>
      <c r="W45" s="1331"/>
      <c r="X45" s="1331"/>
      <c r="Y45" s="1519"/>
      <c r="Z45" s="1541"/>
      <c r="AA45" s="1331"/>
      <c r="AB45" s="119" t="s">
        <v>603</v>
      </c>
      <c r="AC45" s="188" t="s">
        <v>604</v>
      </c>
      <c r="AD45" s="88" t="s">
        <v>594</v>
      </c>
      <c r="AE45" s="1927"/>
      <c r="AF45" s="1940"/>
      <c r="AG45" s="1971"/>
      <c r="AH45" s="1928"/>
      <c r="AI45" s="1927"/>
      <c r="AJ45" s="1940"/>
      <c r="AK45" s="1940"/>
      <c r="AL45" s="277">
        <f>IF(AI45&lt;&gt;0,AK45/AI45,0)</f>
        <v>0</v>
      </c>
      <c r="AM45" s="276">
        <f>AK45-AJ45</f>
        <v>0</v>
      </c>
      <c r="AN45" s="1928"/>
      <c r="AO45" s="1927"/>
      <c r="AP45" s="1927"/>
      <c r="AQ45" s="1927"/>
      <c r="AR45" s="1927"/>
      <c r="AS45" s="1927"/>
      <c r="AT45" s="1927"/>
      <c r="AU45" s="1927"/>
      <c r="AV45" s="1927"/>
      <c r="AW45" s="1927"/>
      <c r="AX45" s="1927"/>
      <c r="AY45" s="1927"/>
      <c r="AZ45" s="1927"/>
      <c r="BA45" s="1927"/>
      <c r="BB45" s="1927"/>
      <c r="BC45" s="1927"/>
      <c r="BD45" s="1927"/>
      <c r="BE45" s="1927"/>
      <c r="BF45" s="1927"/>
      <c r="BG45" s="1331"/>
      <c r="BH45" s="1331"/>
      <c r="BI45" s="1005" t="s">
        <v>605</v>
      </c>
      <c r="BJ45" s="1245"/>
      <c r="BK45" s="1245"/>
      <c r="BL45" s="1182"/>
      <c r="BM45" s="1182"/>
    </row>
    <row customHeight="1" ht="21.9375" hidden="1">
      <c r="A46" s="1331"/>
      <c r="B46" s="1223"/>
      <c r="C46" s="1331"/>
      <c r="D46" s="1331"/>
      <c r="E46" s="623">
        <v>22.5</v>
      </c>
      <c r="F46" s="50" cm="1" t="str">
        <f t="array" ref="F46:F46">OFFSET(E46,-1,1)</f>
        <v>0</v>
      </c>
      <c r="G46" s="1331"/>
      <c r="H46" s="1331"/>
      <c r="I46" s="118" cm="1" t="str">
        <f t="array" ref="I46:I46">AC46</f>
        <v>0</v>
      </c>
      <c r="J46" s="1331"/>
      <c r="K46" s="1331"/>
      <c r="L46" s="1331"/>
      <c r="M46" s="1331"/>
      <c r="N46" s="1331"/>
      <c r="O46" s="1331"/>
      <c r="P46" s="1331"/>
      <c r="Q46" s="1331"/>
      <c r="R46" s="1331"/>
      <c r="S46" s="1331"/>
      <c r="T46" s="1331"/>
      <c r="U46" s="468">
        <f>AND(F46&gt;0,--RIGHT(AB46,1)&gt;1)</f>
        <v>0</v>
      </c>
      <c r="V46" s="1331"/>
      <c r="W46" s="1331"/>
      <c r="X46" s="764" t="s">
        <v>173</v>
      </c>
      <c r="Y46" s="1519"/>
      <c r="Z46" s="1541"/>
      <c r="AA46" s="422" t="s">
        <v>174</v>
      </c>
      <c r="AB46" s="119" t="s">
        <v>603</v>
      </c>
      <c r="AC46" s="1972"/>
      <c r="AD46" s="88" t="s">
        <v>594</v>
      </c>
      <c r="AE46" s="1927"/>
      <c r="AF46" s="1940"/>
      <c r="AG46" s="1971"/>
      <c r="AH46" s="1928"/>
      <c r="AI46" s="1927"/>
      <c r="AJ46" s="1940"/>
      <c r="AK46" s="1940"/>
      <c r="AL46" s="277">
        <f>IF(AI46&lt;&gt;0,AK46/AI46,0)</f>
        <v>0</v>
      </c>
      <c r="AM46" s="276">
        <f>AK46-AJ46</f>
        <v>0</v>
      </c>
      <c r="AN46" s="1928"/>
      <c r="AO46" s="1927"/>
      <c r="AP46" s="1927"/>
      <c r="AQ46" s="1927"/>
      <c r="AR46" s="1927"/>
      <c r="AS46" s="1927"/>
      <c r="AT46" s="1927"/>
      <c r="AU46" s="1927"/>
      <c r="AV46" s="1927"/>
      <c r="AW46" s="1927"/>
      <c r="AX46" s="1927"/>
      <c r="AY46" s="1927"/>
      <c r="AZ46" s="1927"/>
      <c r="BA46" s="1927"/>
      <c r="BB46" s="1927"/>
      <c r="BC46" s="1927"/>
      <c r="BD46" s="1927"/>
      <c r="BE46" s="1927"/>
      <c r="BF46" s="1927"/>
      <c r="BG46" s="1331"/>
      <c r="BH46" s="1331"/>
      <c r="BI46" s="1005" t="s">
        <v>605</v>
      </c>
      <c r="BJ46" s="1005" t="s">
        <v>606</v>
      </c>
      <c r="BK46" s="1005" cm="1" t="str">
        <f t="array" ref="BK46:BK46">AC46</f>
        <v>0</v>
      </c>
      <c r="BL46" s="1182"/>
      <c r="BM46" s="623" t="b">
        <v>1</v>
      </c>
    </row>
    <row customHeight="1" ht="14.625" hidden="1">
      <c r="A47" s="1331"/>
      <c r="B47" s="1223"/>
      <c r="C47" s="1331"/>
      <c r="D47" s="1331"/>
      <c r="E47" s="623">
        <v>15</v>
      </c>
      <c r="F47" s="50" cm="1" t="str">
        <f t="array" ref="F47:F47">OFFSET(E47,-1,1)</f>
        <v>0</v>
      </c>
      <c r="G47" s="1331"/>
      <c r="H47" s="1331"/>
      <c r="I47" s="1331"/>
      <c r="J47" s="1331"/>
      <c r="K47" s="1331"/>
      <c r="L47" s="1331"/>
      <c r="M47" s="1331"/>
      <c r="N47" s="1331"/>
      <c r="O47" s="1331"/>
      <c r="P47" s="1331"/>
      <c r="Q47" s="1331"/>
      <c r="R47" s="1331"/>
      <c r="S47" s="1331"/>
      <c r="T47" s="1331"/>
      <c r="U47" s="468">
        <f>F47&gt;0</f>
        <v>0</v>
      </c>
      <c r="V47" s="1331"/>
      <c r="W47" s="1331"/>
      <c r="X47" s="764" t="s">
        <v>421</v>
      </c>
      <c r="Y47" s="1519"/>
      <c r="Z47" s="1541"/>
      <c r="AA47" s="1331"/>
      <c r="AB47" s="171"/>
      <c r="AC47" s="304" t="s">
        <v>177</v>
      </c>
      <c r="AD47" s="172"/>
      <c r="AE47" s="172"/>
      <c r="AF47" s="172"/>
      <c r="AG47" s="172"/>
      <c r="AH47" s="172"/>
      <c r="AI47" s="172"/>
      <c r="AJ47" s="172"/>
      <c r="AK47" s="172"/>
      <c r="AL47" s="172"/>
      <c r="AM47" s="172"/>
      <c r="AN47" s="172"/>
      <c r="AO47" s="172"/>
      <c r="AP47" s="172"/>
      <c r="AQ47" s="172"/>
      <c r="AR47" s="172"/>
      <c r="AS47" s="172"/>
      <c r="AT47" s="172"/>
      <c r="AU47" s="172"/>
      <c r="AV47" s="172"/>
      <c r="AW47" s="172"/>
      <c r="AX47" s="172"/>
      <c r="AY47" s="172"/>
      <c r="AZ47" s="172"/>
      <c r="BA47" s="172"/>
      <c r="BB47" s="172"/>
      <c r="BC47" s="172"/>
      <c r="BD47" s="172"/>
      <c r="BE47" s="172"/>
      <c r="BF47" s="172"/>
      <c r="BG47" s="1331"/>
      <c r="BH47" s="1331"/>
      <c r="BI47" s="1245"/>
      <c r="BJ47" s="1245"/>
      <c r="BK47" s="1245"/>
      <c r="BL47" s="623" t="s">
        <v>606</v>
      </c>
      <c r="BM47" s="1182"/>
    </row>
    <row customHeight="1" ht="21.9375" hidden="1">
      <c r="A48" s="1331"/>
      <c r="B48" s="1223"/>
      <c r="C48" s="1331"/>
      <c r="D48" s="1331"/>
      <c r="E48" s="623">
        <v>22.5</v>
      </c>
      <c r="F48" s="50" cm="1" t="str">
        <f t="array" ref="F48:F48">OFFSET(E48,-1,1)</f>
        <v>0</v>
      </c>
      <c r="G48" s="1331"/>
      <c r="H48" s="118" t="s">
        <v>607</v>
      </c>
      <c r="I48" s="1331"/>
      <c r="J48" s="1331"/>
      <c r="K48" s="1331"/>
      <c r="L48" s="1331"/>
      <c r="M48" s="1331"/>
      <c r="N48" s="1331"/>
      <c r="O48" s="1331"/>
      <c r="P48" s="1331"/>
      <c r="Q48" s="1331"/>
      <c r="R48" s="1331"/>
      <c r="S48" s="1331"/>
      <c r="T48" s="1331"/>
      <c r="U48" s="468" cm="1" t="str">
        <f t="array" ref="U48:U48">U47</f>
        <v>false</v>
      </c>
      <c r="V48" s="1331"/>
      <c r="W48" s="1331"/>
      <c r="X48" s="1331"/>
      <c r="Y48" s="1519"/>
      <c r="Z48" s="1541"/>
      <c r="AA48" s="1331"/>
      <c r="AB48" s="119" t="s">
        <v>608</v>
      </c>
      <c r="AC48" s="188" t="s">
        <v>609</v>
      </c>
      <c r="AD48" s="88" t="s">
        <v>594</v>
      </c>
      <c r="AE48" s="1927"/>
      <c r="AF48" s="1940"/>
      <c r="AG48" s="1971"/>
      <c r="AH48" s="1928"/>
      <c r="AI48" s="1927"/>
      <c r="AJ48" s="1940"/>
      <c r="AK48" s="1940"/>
      <c r="AL48" s="277">
        <f>IF(AI48&lt;&gt;0,AK48/AI48,0)</f>
        <v>0</v>
      </c>
      <c r="AM48" s="276">
        <f>AK48-AJ48</f>
        <v>0</v>
      </c>
      <c r="AN48" s="1928"/>
      <c r="AO48" s="1927"/>
      <c r="AP48" s="1927"/>
      <c r="AQ48" s="1927"/>
      <c r="AR48" s="1927"/>
      <c r="AS48" s="1927"/>
      <c r="AT48" s="1927"/>
      <c r="AU48" s="1927"/>
      <c r="AV48" s="1927"/>
      <c r="AW48" s="1927"/>
      <c r="AX48" s="1927"/>
      <c r="AY48" s="1927"/>
      <c r="AZ48" s="1927"/>
      <c r="BA48" s="1927"/>
      <c r="BB48" s="1927"/>
      <c r="BC48" s="1927"/>
      <c r="BD48" s="1927"/>
      <c r="BE48" s="1927"/>
      <c r="BF48" s="1927"/>
      <c r="BG48" s="1331"/>
      <c r="BH48" s="1331"/>
      <c r="BI48" s="1005" t="s">
        <v>610</v>
      </c>
      <c r="BJ48" s="1245"/>
      <c r="BK48" s="1245"/>
      <c r="BL48" s="1182"/>
      <c r="BM48" s="1182"/>
    </row>
    <row customHeight="1" ht="21.9375" hidden="1">
      <c r="A49" s="1331"/>
      <c r="B49" s="1223"/>
      <c r="C49" s="1331"/>
      <c r="D49" s="1331"/>
      <c r="E49" s="623">
        <v>22.5</v>
      </c>
      <c r="F49" s="50" cm="1" t="str">
        <f t="array" ref="F49:F49">OFFSET(E49,-1,1)</f>
        <v>0</v>
      </c>
      <c r="G49" s="1331"/>
      <c r="H49" s="1331"/>
      <c r="I49" s="118" cm="1" t="str">
        <f t="array" ref="I49:I49">AC49</f>
        <v>0</v>
      </c>
      <c r="J49" s="1331"/>
      <c r="K49" s="1331"/>
      <c r="L49" s="1331"/>
      <c r="M49" s="1331"/>
      <c r="N49" s="1331"/>
      <c r="O49" s="1331"/>
      <c r="P49" s="1331"/>
      <c r="Q49" s="1331"/>
      <c r="R49" s="1331"/>
      <c r="S49" s="1331"/>
      <c r="T49" s="1331"/>
      <c r="U49" s="468">
        <f>AND(F49&gt;0,--RIGHT(AB49,1)&gt;1)</f>
        <v>0</v>
      </c>
      <c r="V49" s="1331"/>
      <c r="W49" s="1331"/>
      <c r="X49" s="764" t="s">
        <v>173</v>
      </c>
      <c r="Y49" s="1519"/>
      <c r="Z49" s="1541"/>
      <c r="AA49" s="422" t="s">
        <v>174</v>
      </c>
      <c r="AB49" s="119" t="s">
        <v>608</v>
      </c>
      <c r="AC49" s="1972"/>
      <c r="AD49" s="88" t="s">
        <v>594</v>
      </c>
      <c r="AE49" s="1927"/>
      <c r="AF49" s="1940"/>
      <c r="AG49" s="1971"/>
      <c r="AH49" s="1928"/>
      <c r="AI49" s="1927"/>
      <c r="AJ49" s="1940"/>
      <c r="AK49" s="1940"/>
      <c r="AL49" s="277">
        <f>IF(AI49&lt;&gt;0,AK49/AI49,0)</f>
        <v>0</v>
      </c>
      <c r="AM49" s="276">
        <f>AK49-AJ49</f>
        <v>0</v>
      </c>
      <c r="AN49" s="1928"/>
      <c r="AO49" s="1927"/>
      <c r="AP49" s="1927"/>
      <c r="AQ49" s="1927"/>
      <c r="AR49" s="1927"/>
      <c r="AS49" s="1927"/>
      <c r="AT49" s="1927"/>
      <c r="AU49" s="1927"/>
      <c r="AV49" s="1927"/>
      <c r="AW49" s="1927"/>
      <c r="AX49" s="1927"/>
      <c r="AY49" s="1927"/>
      <c r="AZ49" s="1927"/>
      <c r="BA49" s="1927"/>
      <c r="BB49" s="1927"/>
      <c r="BC49" s="1927"/>
      <c r="BD49" s="1927"/>
      <c r="BE49" s="1927"/>
      <c r="BF49" s="1927"/>
      <c r="BG49" s="1331"/>
      <c r="BH49" s="1331"/>
      <c r="BI49" s="1005" t="s">
        <v>610</v>
      </c>
      <c r="BJ49" s="1005" t="s">
        <v>611</v>
      </c>
      <c r="BK49" s="1005" cm="1" t="str">
        <f t="array" ref="BK49:BK49">AC49</f>
        <v>0</v>
      </c>
      <c r="BL49" s="1182"/>
      <c r="BM49" s="623" t="b">
        <v>1</v>
      </c>
    </row>
    <row customHeight="1" ht="14.625" hidden="1">
      <c r="A50" s="1331"/>
      <c r="B50" s="1223"/>
      <c r="C50" s="1331"/>
      <c r="D50" s="1331"/>
      <c r="E50" s="623">
        <v>15</v>
      </c>
      <c r="F50" s="50" cm="1" t="str">
        <f t="array" ref="F50:F50">OFFSET(E50,-1,1)</f>
        <v>0</v>
      </c>
      <c r="G50" s="1331"/>
      <c r="H50" s="1331"/>
      <c r="I50" s="1331"/>
      <c r="J50" s="1331"/>
      <c r="K50" s="1331"/>
      <c r="L50" s="1331"/>
      <c r="M50" s="1331"/>
      <c r="N50" s="1331"/>
      <c r="O50" s="1331"/>
      <c r="P50" s="1331"/>
      <c r="Q50" s="1331"/>
      <c r="R50" s="1331"/>
      <c r="S50" s="1331"/>
      <c r="T50" s="1331"/>
      <c r="U50" s="468">
        <f>F50&gt;0</f>
        <v>0</v>
      </c>
      <c r="V50" s="1331"/>
      <c r="W50" s="1331"/>
      <c r="X50" s="764" t="s">
        <v>421</v>
      </c>
      <c r="Y50" s="1519"/>
      <c r="Z50" s="1541"/>
      <c r="AA50" s="1331"/>
      <c r="AB50" s="171"/>
      <c r="AC50" s="304" t="s">
        <v>177</v>
      </c>
      <c r="AD50" s="172"/>
      <c r="AE50" s="172"/>
      <c r="AF50" s="172"/>
      <c r="AG50" s="172"/>
      <c r="AH50" s="172"/>
      <c r="AI50" s="172"/>
      <c r="AJ50" s="172"/>
      <c r="AK50" s="172"/>
      <c r="AL50" s="172"/>
      <c r="AM50" s="172"/>
      <c r="AN50" s="172"/>
      <c r="AO50" s="172"/>
      <c r="AP50" s="172"/>
      <c r="AQ50" s="172"/>
      <c r="AR50" s="172"/>
      <c r="AS50" s="172"/>
      <c r="AT50" s="172"/>
      <c r="AU50" s="172"/>
      <c r="AV50" s="172"/>
      <c r="AW50" s="172"/>
      <c r="AX50" s="172"/>
      <c r="AY50" s="172"/>
      <c r="AZ50" s="172"/>
      <c r="BA50" s="172"/>
      <c r="BB50" s="172"/>
      <c r="BC50" s="172"/>
      <c r="BD50" s="172"/>
      <c r="BE50" s="172"/>
      <c r="BF50" s="172"/>
      <c r="BG50" s="1331"/>
      <c r="BH50" s="1331"/>
      <c r="BI50" s="1245"/>
      <c r="BJ50" s="1245"/>
      <c r="BK50" s="1245"/>
      <c r="BL50" s="623" t="s">
        <v>611</v>
      </c>
      <c r="BM50" s="1182"/>
    </row>
    <row customHeight="1" ht="14.625" hidden="1">
      <c r="A51" s="1331"/>
      <c r="B51" s="1223"/>
      <c r="C51" s="1331"/>
      <c r="D51" s="1331"/>
      <c r="E51" s="623">
        <v>15</v>
      </c>
      <c r="F51" s="50" cm="1" t="str">
        <f t="array" ref="F51:F51">OFFSET(E51,-1,1)</f>
        <v>0</v>
      </c>
      <c r="G51" s="1331"/>
      <c r="H51" s="118" t="s">
        <v>348</v>
      </c>
      <c r="I51" s="1331"/>
      <c r="J51" s="1331"/>
      <c r="K51" s="1331"/>
      <c r="L51" s="1331"/>
      <c r="M51" s="1331"/>
      <c r="N51" s="1331"/>
      <c r="O51" s="1331"/>
      <c r="P51" s="1331"/>
      <c r="Q51" s="1331"/>
      <c r="R51" s="1331"/>
      <c r="S51" s="1331"/>
      <c r="T51" s="1331"/>
      <c r="U51" s="468" cm="1" t="str">
        <f t="array" ref="U51:U51">U50</f>
        <v>false</v>
      </c>
      <c r="V51" s="1331"/>
      <c r="W51" s="1331"/>
      <c r="X51" s="1331"/>
      <c r="Y51" s="1519"/>
      <c r="Z51" s="1541"/>
      <c r="AA51" s="1331"/>
      <c r="AB51" s="129">
        <v>3</v>
      </c>
      <c r="AC51" s="135" t="s">
        <v>612</v>
      </c>
      <c r="AD51" s="132" t="s">
        <v>561</v>
      </c>
      <c r="AE51" s="1927"/>
      <c r="AF51" s="1940"/>
      <c r="AG51" s="1971"/>
      <c r="AH51" s="1928"/>
      <c r="AI51" s="1927"/>
      <c r="AJ51" s="1940"/>
      <c r="AK51" s="1940"/>
      <c r="AL51" s="277">
        <f>IF(AI51&lt;&gt;0,AK51/AI51,0)</f>
        <v>0</v>
      </c>
      <c r="AM51" s="276">
        <f>AK51-AJ51</f>
        <v>0</v>
      </c>
      <c r="AN51" s="1928"/>
      <c r="AO51" s="1927"/>
      <c r="AP51" s="1927"/>
      <c r="AQ51" s="1927"/>
      <c r="AR51" s="1927"/>
      <c r="AS51" s="1927"/>
      <c r="AT51" s="1927"/>
      <c r="AU51" s="1927"/>
      <c r="AV51" s="1927"/>
      <c r="AW51" s="1927"/>
      <c r="AX51" s="1927"/>
      <c r="AY51" s="1927"/>
      <c r="AZ51" s="1927"/>
      <c r="BA51" s="1927"/>
      <c r="BB51" s="1927"/>
      <c r="BC51" s="1927"/>
      <c r="BD51" s="1927"/>
      <c r="BE51" s="1927"/>
      <c r="BF51" s="1927"/>
      <c r="BG51" s="1331"/>
      <c r="BH51" s="1331"/>
      <c r="BI51" s="1005" t="s">
        <v>613</v>
      </c>
      <c r="BJ51" s="1245"/>
      <c r="BK51" s="1245"/>
      <c r="BL51" s="1182"/>
      <c r="BM51" s="1182"/>
    </row>
    <row customHeight="1" ht="14.625" hidden="1">
      <c r="A52" s="1331"/>
      <c r="B52" s="1223"/>
      <c r="C52" s="1331"/>
      <c r="D52" s="1331"/>
      <c r="E52" s="623">
        <v>15</v>
      </c>
      <c r="F52" s="50" cm="1" t="str">
        <f t="array" ref="F52:F52">OFFSET(E52,-1,1)</f>
        <v>0</v>
      </c>
      <c r="G52" s="1331"/>
      <c r="H52" s="118" t="s">
        <v>347</v>
      </c>
      <c r="I52" s="1331"/>
      <c r="J52" s="1331"/>
      <c r="K52" s="1331"/>
      <c r="L52" s="1331"/>
      <c r="M52" s="1331"/>
      <c r="N52" s="1331"/>
      <c r="O52" s="1331"/>
      <c r="P52" s="1331"/>
      <c r="Q52" s="1331"/>
      <c r="R52" s="1331"/>
      <c r="S52" s="1331"/>
      <c r="T52" s="1331"/>
      <c r="U52" s="468" cm="1" t="str">
        <f t="array" ref="U52:U52">U51</f>
        <v>false</v>
      </c>
      <c r="V52" s="1331"/>
      <c r="W52" s="1331"/>
      <c r="X52" s="1331"/>
      <c r="Y52" s="1519"/>
      <c r="Z52" s="1541"/>
      <c r="AA52" s="1331"/>
      <c r="AB52" s="129">
        <v>4</v>
      </c>
      <c r="AC52" s="135" t="s">
        <v>614</v>
      </c>
      <c r="AD52" s="132" t="s">
        <v>561</v>
      </c>
      <c r="AE52" s="1927"/>
      <c r="AF52" s="1940"/>
      <c r="AG52" s="1971"/>
      <c r="AH52" s="1928"/>
      <c r="AI52" s="1927"/>
      <c r="AJ52" s="1940"/>
      <c r="AK52" s="1940"/>
      <c r="AL52" s="277">
        <f>IF(AI52&lt;&gt;0,AK52/AI52,0)</f>
        <v>0</v>
      </c>
      <c r="AM52" s="276">
        <f>AK52-AJ52</f>
        <v>0</v>
      </c>
      <c r="AN52" s="1928"/>
      <c r="AO52" s="1927"/>
      <c r="AP52" s="1927"/>
      <c r="AQ52" s="1927"/>
      <c r="AR52" s="1927"/>
      <c r="AS52" s="1927"/>
      <c r="AT52" s="1927"/>
      <c r="AU52" s="1927"/>
      <c r="AV52" s="1927"/>
      <c r="AW52" s="1927"/>
      <c r="AX52" s="1927"/>
      <c r="AY52" s="1927"/>
      <c r="AZ52" s="1927"/>
      <c r="BA52" s="1927"/>
      <c r="BB52" s="1927"/>
      <c r="BC52" s="1927"/>
      <c r="BD52" s="1927"/>
      <c r="BE52" s="1927"/>
      <c r="BF52" s="1927"/>
      <c r="BG52" s="1331"/>
      <c r="BH52" s="1331"/>
      <c r="BI52" s="1005" t="s">
        <v>615</v>
      </c>
      <c r="BJ52" s="1245"/>
      <c r="BK52" s="1245"/>
      <c r="BL52" s="1182"/>
      <c r="BM52" s="1182"/>
    </row>
    <row customHeight="1" ht="14.625" hidden="1">
      <c r="A53" s="1331"/>
      <c r="B53" s="1223"/>
      <c r="C53" s="1331"/>
      <c r="D53" s="1331"/>
      <c r="E53" s="623">
        <v>15</v>
      </c>
      <c r="F53" s="50" cm="1" t="str">
        <f t="array" ref="F53:F53">OFFSET(E53,-1,1)</f>
        <v>0</v>
      </c>
      <c r="G53" s="1331"/>
      <c r="H53" s="118" t="s">
        <v>616</v>
      </c>
      <c r="I53" s="1331"/>
      <c r="J53" s="1331"/>
      <c r="K53" s="1331"/>
      <c r="L53" s="1331"/>
      <c r="M53" s="1331"/>
      <c r="N53" s="1331"/>
      <c r="O53" s="1331"/>
      <c r="P53" s="1331"/>
      <c r="Q53" s="1331"/>
      <c r="R53" s="1331"/>
      <c r="S53" s="1331"/>
      <c r="T53" s="1331"/>
      <c r="U53" s="468" cm="1" t="str">
        <f t="array" ref="U53:U53">U52</f>
        <v>false</v>
      </c>
      <c r="V53" s="1331"/>
      <c r="W53" s="1331"/>
      <c r="X53" s="1331"/>
      <c r="Y53" s="1519"/>
      <c r="Z53" s="1541"/>
      <c r="AA53" s="1331"/>
      <c r="AB53" s="119" t="s">
        <v>454</v>
      </c>
      <c r="AC53" s="134" t="s">
        <v>617</v>
      </c>
      <c r="AD53" s="132"/>
      <c r="AE53" s="1971"/>
      <c r="AF53" s="1971"/>
      <c r="AG53" s="1971"/>
      <c r="AH53" s="1975"/>
      <c r="AI53" s="1971"/>
      <c r="AJ53" s="1971"/>
      <c r="AK53" s="1971"/>
      <c r="AL53" s="277">
        <f>IF(AI53&lt;&gt;0,AK53/AI53,0)</f>
        <v>0</v>
      </c>
      <c r="AM53" s="276">
        <f>AK53-AJ53</f>
        <v>0</v>
      </c>
      <c r="AN53" s="1975"/>
      <c r="AO53" s="1971"/>
      <c r="AP53" s="1971"/>
      <c r="AQ53" s="1971"/>
      <c r="AR53" s="1971"/>
      <c r="AS53" s="1971"/>
      <c r="AT53" s="1971"/>
      <c r="AU53" s="1971"/>
      <c r="AV53" s="1971"/>
      <c r="AW53" s="1971"/>
      <c r="AX53" s="1971"/>
      <c r="AY53" s="1971"/>
      <c r="AZ53" s="1971"/>
      <c r="BA53" s="1971"/>
      <c r="BB53" s="1971"/>
      <c r="BC53" s="1971"/>
      <c r="BD53" s="1971"/>
      <c r="BE53" s="1971"/>
      <c r="BF53" s="1971"/>
      <c r="BG53" s="1331"/>
      <c r="BH53" s="1331"/>
      <c r="BI53" s="1005" t="s">
        <v>618</v>
      </c>
      <c r="BJ53" s="1245"/>
      <c r="BK53" s="1245"/>
      <c r="BL53" s="1182"/>
      <c r="BM53" s="1182"/>
    </row>
    <row customHeight="1" ht="14.625" hidden="1">
      <c r="A54" s="1331"/>
      <c r="B54" s="1223"/>
      <c r="C54" s="1331"/>
      <c r="D54" s="1331"/>
      <c r="E54" s="623">
        <v>15</v>
      </c>
      <c r="F54" s="50" cm="1" t="str">
        <f t="array" ref="F54:F54">OFFSET(E54,-1,1)</f>
        <v>0</v>
      </c>
      <c r="G54" s="1331"/>
      <c r="H54" s="118" t="s">
        <v>619</v>
      </c>
      <c r="I54" s="1331"/>
      <c r="J54" s="1331"/>
      <c r="K54" s="1331"/>
      <c r="L54" s="1331"/>
      <c r="M54" s="1331"/>
      <c r="N54" s="1331"/>
      <c r="O54" s="1331"/>
      <c r="P54" s="1331"/>
      <c r="Q54" s="1331"/>
      <c r="R54" s="1331"/>
      <c r="S54" s="1331"/>
      <c r="T54" s="1331"/>
      <c r="U54" s="468" cm="1" t="str">
        <f t="array" ref="U54:U54">U53</f>
        <v>false</v>
      </c>
      <c r="V54" s="1331"/>
      <c r="W54" s="1331"/>
      <c r="X54" s="1331"/>
      <c r="Y54" s="1519"/>
      <c r="Z54" s="1541"/>
      <c r="AA54" s="1331"/>
      <c r="AB54" s="119" t="s">
        <v>457</v>
      </c>
      <c r="AC54" s="133" t="s">
        <v>620</v>
      </c>
      <c r="AD54" s="132"/>
      <c r="AE54" s="1971"/>
      <c r="AF54" s="1971"/>
      <c r="AG54" s="1971"/>
      <c r="AH54" s="1975"/>
      <c r="AI54" s="1971"/>
      <c r="AJ54" s="1971"/>
      <c r="AK54" s="1971"/>
      <c r="AL54" s="277">
        <f>IF(AI54&lt;&gt;0,AK54/AI54,0)</f>
        <v>0</v>
      </c>
      <c r="AM54" s="276">
        <f>AK54-AJ54</f>
        <v>0</v>
      </c>
      <c r="AN54" s="1975"/>
      <c r="AO54" s="1971"/>
      <c r="AP54" s="1971"/>
      <c r="AQ54" s="1971"/>
      <c r="AR54" s="1971"/>
      <c r="AS54" s="1971"/>
      <c r="AT54" s="1971"/>
      <c r="AU54" s="1971"/>
      <c r="AV54" s="1971"/>
      <c r="AW54" s="1971"/>
      <c r="AX54" s="1971"/>
      <c r="AY54" s="1971"/>
      <c r="AZ54" s="1971"/>
      <c r="BA54" s="1971"/>
      <c r="BB54" s="1971"/>
      <c r="BC54" s="1971"/>
      <c r="BD54" s="1971"/>
      <c r="BE54" s="1971"/>
      <c r="BF54" s="1971"/>
      <c r="BG54" s="1331"/>
      <c r="BH54" s="1331"/>
      <c r="BI54" s="1005" t="s">
        <v>621</v>
      </c>
      <c r="BJ54" s="1245"/>
      <c r="BK54" s="1245"/>
      <c r="BL54" s="1182"/>
      <c r="BM54" s="1182"/>
    </row>
    <row s="1976" customFormat="1" customHeight="1" ht="22.921875">
      <c r="A55" s="1189"/>
      <c r="B55" s="431"/>
      <c r="C55" s="1189"/>
      <c r="D55" s="1189"/>
      <c r="E55" s="635">
        <v>15</v>
      </c>
      <c r="F55" s="756" cm="1" t="str">
        <f t="array" ref="F55:F55">Y55</f>
        <v>1</v>
      </c>
      <c r="G55" s="1189"/>
      <c r="H55" s="1189"/>
      <c r="I55" s="1189"/>
      <c r="J55" s="1189"/>
      <c r="K55" s="1189"/>
      <c r="L55" s="1189"/>
      <c r="M55" s="1189"/>
      <c r="N55" s="1189"/>
      <c r="O55" s="1189"/>
      <c r="P55" s="1189"/>
      <c r="Q55" s="1189"/>
      <c r="R55" s="1189"/>
      <c r="S55" s="1189"/>
      <c r="T55" s="1189"/>
      <c r="U55" s="468">
        <f>Y55&gt;0</f>
        <v>1</v>
      </c>
      <c r="V55" s="1189"/>
      <c r="W55" s="140" cm="1" t="str">
        <f t="array" ref="W55:W55">'Список объектов'!$AB$30</f>
        <v>Тариф 1 (Водоснабжение) - тариф на питьевую воду (Оказание услуг на территории: город Ленинск-Кузнецкий (ОКТМО: 32719000) - г Ленинск-Кузнецкий, г Полысаево)</v>
      </c>
      <c r="X55" s="1189"/>
      <c r="Y55" s="1519" t="s">
        <v>290</v>
      </c>
      <c r="Z55" s="1541"/>
      <c r="AA55" s="1189"/>
      <c r="AB55" s="179" cm="1" t="str">
        <f t="array" ref="AB55:AB55">'Список объектов'!$AB$30</f>
        <v>Тариф 1 (Водоснабжение) - тариф на питьевую воду (Оказание услуг на территории: город Ленинск-Кузнецкий (ОКТМО: 32719000) - г Ленинск-Кузнецкий, г Полысаево)</v>
      </c>
      <c r="AC55" s="176"/>
      <c r="AD55" s="170"/>
      <c r="AE55" s="170"/>
      <c r="AF55" s="170"/>
      <c r="AG55" s="170"/>
      <c r="AH55" s="170"/>
      <c r="AI55" s="170"/>
      <c r="AJ55" s="170"/>
      <c r="AK55" s="170"/>
      <c r="AL55" s="170"/>
      <c r="AM55" s="170"/>
      <c r="AN55" s="170"/>
      <c r="AO55" s="170"/>
      <c r="AP55" s="170"/>
      <c r="AQ55" s="170"/>
      <c r="AR55" s="170"/>
      <c r="AS55" s="170"/>
      <c r="AT55" s="170"/>
      <c r="AU55" s="170"/>
      <c r="AV55" s="170"/>
      <c r="AW55" s="170"/>
      <c r="AX55" s="170"/>
      <c r="AY55" s="170"/>
      <c r="AZ55" s="170"/>
      <c r="BA55" s="170"/>
      <c r="BB55" s="170"/>
      <c r="BC55" s="170"/>
      <c r="BD55" s="170"/>
      <c r="BE55" s="170"/>
      <c r="BF55" s="170"/>
      <c r="BG55" s="1189"/>
      <c r="BH55" s="1189"/>
      <c r="BI55" s="1021"/>
      <c r="BJ55" s="1021"/>
      <c r="BK55" s="1021"/>
      <c r="BL55" s="635"/>
      <c r="BM55" s="635"/>
    </row>
    <row s="1656" customFormat="1" customHeight="1" ht="21.421875">
      <c r="A56" s="1331"/>
      <c r="B56" s="1223"/>
      <c r="C56" s="1331"/>
      <c r="D56" s="1331"/>
      <c r="E56" s="623">
        <v>15</v>
      </c>
      <c r="F56" s="50" cm="1" t="str">
        <f t="array" ref="F56:F56">OFFSET(E56,-1,1)</f>
        <v>1</v>
      </c>
      <c r="G56" s="118" t="s">
        <v>563</v>
      </c>
      <c r="H56" s="1331"/>
      <c r="I56" s="1331"/>
      <c r="J56" s="1331"/>
      <c r="K56" s="1331"/>
      <c r="L56" s="1331"/>
      <c r="M56" s="1331"/>
      <c r="N56" s="1331"/>
      <c r="O56" s="1331"/>
      <c r="P56" s="1331"/>
      <c r="Q56" s="1331"/>
      <c r="R56" s="1331"/>
      <c r="S56" s="1331"/>
      <c r="T56" s="1331"/>
      <c r="U56" s="468" cm="1" t="str">
        <f t="array" ref="U56:U56">U55</f>
        <v>true</v>
      </c>
      <c r="V56" s="1331"/>
      <c r="W56" s="1331"/>
      <c r="X56" s="1331"/>
      <c r="Y56" s="1519"/>
      <c r="Z56" s="1541"/>
      <c r="AA56" s="1331"/>
      <c r="AB56" s="266"/>
      <c r="AC56" s="267" t="s">
        <v>564</v>
      </c>
      <c r="AD56" s="268"/>
      <c r="AE56" s="268"/>
      <c r="AF56" s="268"/>
      <c r="AG56" s="268"/>
      <c r="AH56" s="268"/>
      <c r="AI56" s="301">
        <f>(1-AI57/100)*(1+AI58/100)*(1+AI60/100)</f>
        <v>1.09</v>
      </c>
      <c r="AJ56" s="301">
        <f>(1-AJ57/100)*(1+AJ58/100)*(1+AJ60/100)</f>
        <v>1.043</v>
      </c>
      <c r="AK56" s="301">
        <f>(1-AK57/100)*(1+AK58/100)*(1+AK60/100)</f>
        <v>1.04049</v>
      </c>
      <c r="AL56" s="268"/>
      <c r="AM56" s="268"/>
      <c r="AN56" s="268"/>
      <c r="AO56" s="301">
        <f>(1-AO57/100)*(1+AO58/100)*(1+AO60/100)</f>
        <v>1</v>
      </c>
      <c r="AP56" s="301">
        <f>(1-AP57/100)*(1+AP58/100)*(1+AP60/100)</f>
        <v>1</v>
      </c>
      <c r="AQ56" s="301">
        <f>(1-AQ57/100)*(1+AQ58/100)*(1+AQ60/100)</f>
        <v>1</v>
      </c>
      <c r="AR56" s="301">
        <f>(1-AR57/100)*(1+AR58/100)*(1+AR60/100)</f>
        <v>1</v>
      </c>
      <c r="AS56" s="301">
        <f>(1-AS57/100)*(1+AS58/100)*(1+AS60/100)</f>
        <v>1</v>
      </c>
      <c r="AT56" s="301">
        <f>(1-AT57/100)*(1+AT58/100)*(1+AT60/100)</f>
        <v>1</v>
      </c>
      <c r="AU56" s="301">
        <f>(1-AU57/100)*(1+AU58/100)*(1+AU60/100)</f>
        <v>1</v>
      </c>
      <c r="AV56" s="301">
        <f>(1-AV57/100)*(1+AV58/100)*(1+AV60/100)</f>
        <v>1</v>
      </c>
      <c r="AW56" s="301">
        <f>(1-AW57/100)*(1+AW58/100)*(1+AW60/100)</f>
        <v>1</v>
      </c>
      <c r="AX56" s="301">
        <f>(1-AX57/100)*(1+AX58/100)*(1+AX60/100)</f>
        <v>1</v>
      </c>
      <c r="AY56" s="301">
        <f>(1-AY57/100)*(1+AY58/100)*(1+AY60/100)</f>
        <v>1</v>
      </c>
      <c r="AZ56" s="301">
        <f>(1-AZ57/100)*(1+AZ58/100)*(1+AZ60/100)</f>
        <v>1</v>
      </c>
      <c r="BA56" s="301">
        <f>(1-BA57/100)*(1+BA58/100)*(1+BA60/100)</f>
        <v>1</v>
      </c>
      <c r="BB56" s="301">
        <f>(1-BB57/100)*(1+BB58/100)*(1+BB60/100)</f>
        <v>1</v>
      </c>
      <c r="BC56" s="301">
        <f>(1-BC57/100)*(1+BC58/100)*(1+BC60/100)</f>
        <v>1</v>
      </c>
      <c r="BD56" s="301">
        <f>(1-BD57/100)*(1+BD58/100)*(1+BD60/100)</f>
        <v>1</v>
      </c>
      <c r="BE56" s="301">
        <f>(1-BE57/100)*(1+BE58/100)*(1+BE60/100)</f>
        <v>1</v>
      </c>
      <c r="BF56" s="301">
        <f>(1-BF57/100)*(1+BF58/100)*(1+BF60/100)</f>
        <v>1</v>
      </c>
      <c r="BG56" s="1331"/>
      <c r="BH56" s="1331"/>
      <c r="BI56" s="1245"/>
      <c r="BJ56" s="1245"/>
      <c r="BK56" s="1245"/>
      <c r="BL56" s="1182"/>
      <c r="BM56" s="1182"/>
    </row>
    <row s="1656" customFormat="1" customHeight="1" ht="81.421875">
      <c r="A57" s="1331"/>
      <c r="B57" s="448">
        <f>method_reg&lt;&gt;"Метод экономически обоснованных расходов"</f>
        <v>1</v>
      </c>
      <c r="C57" s="1331"/>
      <c r="D57" s="1331"/>
      <c r="E57" s="623">
        <v>22.5</v>
      </c>
      <c r="F57" s="50" cm="1" t="str">
        <f t="array" ref="F57:F57">OFFSET(E57,-1,1)</f>
        <v>1</v>
      </c>
      <c r="G57" s="118" t="s">
        <v>565</v>
      </c>
      <c r="H57" s="118" t="s">
        <v>566</v>
      </c>
      <c r="I57" s="1331"/>
      <c r="J57" s="1331"/>
      <c r="K57" s="1331"/>
      <c r="L57" s="1331"/>
      <c r="M57" s="1331"/>
      <c r="N57" s="1331"/>
      <c r="O57" s="1331"/>
      <c r="P57" s="1331"/>
      <c r="Q57" s="1331"/>
      <c r="R57" s="1331"/>
      <c r="S57" s="1331"/>
      <c r="T57" s="1331"/>
      <c r="U57" s="468" cm="1" t="str">
        <f t="array" ref="U57:U57">U56</f>
        <v>true</v>
      </c>
      <c r="V57" s="1331"/>
      <c r="W57" s="1331"/>
      <c r="X57" s="1331"/>
      <c r="Y57" s="1519"/>
      <c r="Z57" s="1541"/>
      <c r="AA57" s="1331"/>
      <c r="AB57" s="129">
        <v>1</v>
      </c>
      <c r="AC57" s="130" t="s">
        <v>567</v>
      </c>
      <c r="AD57" s="132" t="s">
        <v>561</v>
      </c>
      <c r="AE57" s="272">
        <v>1</v>
      </c>
      <c r="AF57" s="272">
        <v>1</v>
      </c>
      <c r="AG57" s="272">
        <v>1</v>
      </c>
      <c r="AH57" s="196" t="s">
        <v>622</v>
      </c>
      <c r="AI57" s="272">
        <v>0</v>
      </c>
      <c r="AJ57" s="272"/>
      <c r="AK57" s="272">
        <v>1</v>
      </c>
      <c r="AL57" s="277">
        <f>IF(AI57&lt;&gt;0,AK57/AI57,0)</f>
        <v>0</v>
      </c>
      <c r="AM57" s="276">
        <f>AK57-AJ57</f>
        <v>1</v>
      </c>
      <c r="AN57" s="196" t="s">
        <v>622</v>
      </c>
      <c r="AO57" s="1927"/>
      <c r="AP57" s="1927"/>
      <c r="AQ57" s="1927"/>
      <c r="AR57" s="1927"/>
      <c r="AS57" s="1927"/>
      <c r="AT57" s="1927"/>
      <c r="AU57" s="1927"/>
      <c r="AV57" s="1927"/>
      <c r="AW57" s="1927"/>
      <c r="AX57" s="1927"/>
      <c r="AY57" s="1927"/>
      <c r="AZ57" s="1927"/>
      <c r="BA57" s="1927"/>
      <c r="BB57" s="1927"/>
      <c r="BC57" s="1927"/>
      <c r="BD57" s="1927"/>
      <c r="BE57" s="1927"/>
      <c r="BF57" s="1927"/>
      <c r="BG57" s="1331"/>
      <c r="BH57" s="1331"/>
      <c r="BI57" s="1005" t="s">
        <v>568</v>
      </c>
      <c r="BJ57" s="1245"/>
      <c r="BK57" s="1245"/>
      <c r="BL57" s="1182"/>
      <c r="BM57" s="1182"/>
    </row>
    <row s="1656" customFormat="1" customHeight="1" ht="66.421875">
      <c r="A58" s="1331"/>
      <c r="B58" s="1223"/>
      <c r="C58" s="1331"/>
      <c r="D58" s="1331"/>
      <c r="E58" s="623">
        <v>15</v>
      </c>
      <c r="F58" s="50" cm="1" t="str">
        <f t="array" ref="F58:F58">OFFSET(E58,-1,1)</f>
        <v>1</v>
      </c>
      <c r="G58" s="118" t="s">
        <v>569</v>
      </c>
      <c r="H58" s="118" t="s">
        <v>570</v>
      </c>
      <c r="I58" s="1331"/>
      <c r="J58" s="1331"/>
      <c r="K58" s="1331"/>
      <c r="L58" s="1331"/>
      <c r="M58" s="1331"/>
      <c r="N58" s="1331"/>
      <c r="O58" s="1331"/>
      <c r="P58" s="1331"/>
      <c r="Q58" s="1331"/>
      <c r="R58" s="1331"/>
      <c r="S58" s="1331"/>
      <c r="T58" s="1331"/>
      <c r="U58" s="468" cm="1" t="str">
        <f t="array" ref="U58:U58">U57</f>
        <v>true</v>
      </c>
      <c r="V58" s="1331"/>
      <c r="W58" s="1331"/>
      <c r="X58" s="1331"/>
      <c r="Y58" s="1519"/>
      <c r="Z58" s="1541"/>
      <c r="AA58" s="1331"/>
      <c r="AB58" s="129">
        <f>IF(B57,2,1)</f>
        <v>2</v>
      </c>
      <c r="AC58" s="131" t="s">
        <v>571</v>
      </c>
      <c r="AD58" s="132" t="s">
        <v>561</v>
      </c>
      <c r="AE58" s="272">
        <v>7.2</v>
      </c>
      <c r="AF58" s="272">
        <v>20</v>
      </c>
      <c r="AG58" s="272">
        <v>8.5</v>
      </c>
      <c r="AH58" s="196" t="s">
        <v>623</v>
      </c>
      <c r="AI58" s="272">
        <v>9</v>
      </c>
      <c r="AJ58" s="272">
        <v>4.3</v>
      </c>
      <c r="AK58" s="272">
        <v>5.1</v>
      </c>
      <c r="AL58" s="277">
        <f>IF(AI58&lt;&gt;0,AK58/AI58,0)</f>
        <v>0.566666666666667</v>
      </c>
      <c r="AM58" s="276">
        <f>AK58-AJ58</f>
        <v>0.8</v>
      </c>
      <c r="AN58" s="196" t="s">
        <v>623</v>
      </c>
      <c r="AO58" s="1927"/>
      <c r="AP58" s="1927"/>
      <c r="AQ58" s="1927"/>
      <c r="AR58" s="1927"/>
      <c r="AS58" s="1927"/>
      <c r="AT58" s="1927"/>
      <c r="AU58" s="1927"/>
      <c r="AV58" s="1927"/>
      <c r="AW58" s="1927"/>
      <c r="AX58" s="1927"/>
      <c r="AY58" s="1927"/>
      <c r="AZ58" s="1927"/>
      <c r="BA58" s="1927"/>
      <c r="BB58" s="1927"/>
      <c r="BC58" s="1927"/>
      <c r="BD58" s="1927"/>
      <c r="BE58" s="1927"/>
      <c r="BF58" s="1927"/>
      <c r="BG58" s="1331"/>
      <c r="BH58" s="1331"/>
      <c r="BI58" s="1005" t="s">
        <v>572</v>
      </c>
      <c r="BJ58" s="1245"/>
      <c r="BK58" s="1245"/>
      <c r="BL58" s="1182"/>
      <c r="BM58" s="1182"/>
    </row>
    <row s="1656" customFormat="1" customHeight="1" ht="61.171875">
      <c r="A59" s="1331"/>
      <c r="B59" s="1223"/>
      <c r="C59" s="1331"/>
      <c r="D59" s="1331"/>
      <c r="E59" s="623">
        <v>15</v>
      </c>
      <c r="F59" s="50" cm="1" t="str">
        <f t="array" ref="F59:F59">OFFSET(E59,-1,1)</f>
        <v>1</v>
      </c>
      <c r="G59" s="1331"/>
      <c r="H59" s="118" t="s">
        <v>573</v>
      </c>
      <c r="I59" s="1331"/>
      <c r="J59" s="1331"/>
      <c r="K59" s="1331"/>
      <c r="L59" s="1331"/>
      <c r="M59" s="1331"/>
      <c r="N59" s="1331"/>
      <c r="O59" s="1331"/>
      <c r="P59" s="1331"/>
      <c r="Q59" s="1331"/>
      <c r="R59" s="1331"/>
      <c r="S59" s="1331"/>
      <c r="T59" s="1331"/>
      <c r="U59" s="468" cm="1" t="str">
        <f t="array" ref="U59:U59">U58</f>
        <v>true</v>
      </c>
      <c r="V59" s="1331"/>
      <c r="W59" s="1331"/>
      <c r="X59" s="1331"/>
      <c r="Y59" s="1519"/>
      <c r="Z59" s="1541"/>
      <c r="AA59" s="1331"/>
      <c r="AB59" s="129">
        <f>AB58+1</f>
        <v>3</v>
      </c>
      <c r="AC59" s="133" t="s">
        <v>574</v>
      </c>
      <c r="AD59" s="132" t="s">
        <v>561</v>
      </c>
      <c r="AE59" s="272">
        <v>5.6</v>
      </c>
      <c r="AF59" s="272"/>
      <c r="AG59" s="272"/>
      <c r="AH59" s="196" t="s">
        <v>624</v>
      </c>
      <c r="AI59" s="272">
        <v>14.4</v>
      </c>
      <c r="AJ59" s="272"/>
      <c r="AK59" s="272">
        <v>13.2</v>
      </c>
      <c r="AL59" s="277">
        <f>IF(AI59&lt;&gt;0,AK59/AI59,0)</f>
        <v>0.916666666666667</v>
      </c>
      <c r="AM59" s="276">
        <f>AK59-AJ59</f>
        <v>13.2</v>
      </c>
      <c r="AN59" s="196" t="s">
        <v>624</v>
      </c>
      <c r="AO59" s="1927"/>
      <c r="AP59" s="1927"/>
      <c r="AQ59" s="1927"/>
      <c r="AR59" s="1927"/>
      <c r="AS59" s="1927"/>
      <c r="AT59" s="1927"/>
      <c r="AU59" s="1927"/>
      <c r="AV59" s="1927"/>
      <c r="AW59" s="1927"/>
      <c r="AX59" s="1927"/>
      <c r="AY59" s="1927"/>
      <c r="AZ59" s="1927"/>
      <c r="BA59" s="1927"/>
      <c r="BB59" s="1927"/>
      <c r="BC59" s="1927"/>
      <c r="BD59" s="1927"/>
      <c r="BE59" s="1927"/>
      <c r="BF59" s="1927"/>
      <c r="BG59" s="1331"/>
      <c r="BH59" s="1331"/>
      <c r="BI59" s="1005" t="s">
        <v>575</v>
      </c>
      <c r="BJ59" s="1245"/>
      <c r="BK59" s="1245"/>
      <c r="BL59" s="1182"/>
      <c r="BM59" s="1182"/>
    </row>
    <row s="1656" customFormat="1" customHeight="1" ht="82.171875">
      <c r="A60" s="1331"/>
      <c r="B60" s="448">
        <f>method_reg&lt;&gt;"Метод экономически обоснованных расходов"</f>
        <v>1</v>
      </c>
      <c r="C60" s="1331"/>
      <c r="D60" s="1331"/>
      <c r="E60" s="623">
        <v>15</v>
      </c>
      <c r="F60" s="50" cm="1" t="str">
        <f t="array" ref="F60:F60">OFFSET(E60,-1,1)</f>
        <v>1</v>
      </c>
      <c r="G60" s="118" t="s">
        <v>576</v>
      </c>
      <c r="H60" s="118" t="s">
        <v>577</v>
      </c>
      <c r="I60" s="1331"/>
      <c r="J60" s="1331"/>
      <c r="K60" s="1331"/>
      <c r="L60" s="1331"/>
      <c r="M60" s="1331"/>
      <c r="N60" s="1331"/>
      <c r="O60" s="1331"/>
      <c r="P60" s="1331"/>
      <c r="Q60" s="1331"/>
      <c r="R60" s="1331"/>
      <c r="S60" s="1331"/>
      <c r="T60" s="1331"/>
      <c r="U60" s="468" cm="1" t="str">
        <f t="array" ref="U60:U60">U59</f>
        <v>true</v>
      </c>
      <c r="V60" s="1331"/>
      <c r="W60" s="1331"/>
      <c r="X60" s="1331"/>
      <c r="Y60" s="1519"/>
      <c r="Z60" s="1541"/>
      <c r="AA60" s="1331"/>
      <c r="AB60" s="129">
        <v>4</v>
      </c>
      <c r="AC60" s="131" t="s">
        <v>578</v>
      </c>
      <c r="AD60" s="132" t="s">
        <v>561</v>
      </c>
      <c r="AE60" s="272">
        <f>0.0000642+0.0000033</f>
        <v>0.0000675</v>
      </c>
      <c r="AF60" s="272">
        <f>0.0001858+0.0000402</f>
        <v>0.000226</v>
      </c>
      <c r="AG60" s="272">
        <f>0.0001832812+0.000029823</f>
        <v>0.0002131042</v>
      </c>
      <c r="AH60" s="196" t="s">
        <v>625</v>
      </c>
      <c r="AI60" s="272">
        <v>0</v>
      </c>
      <c r="AJ60" s="272"/>
      <c r="AK60" s="272"/>
      <c r="AL60" s="277">
        <f>IF(AI60&lt;&gt;0,AK60/AI60,0)</f>
        <v>0</v>
      </c>
      <c r="AM60" s="276">
        <f>AK60-AJ60</f>
        <v>0</v>
      </c>
      <c r="AN60" s="196" t="s">
        <v>626</v>
      </c>
      <c r="AO60" s="1927"/>
      <c r="AP60" s="1927"/>
      <c r="AQ60" s="1927"/>
      <c r="AR60" s="1927"/>
      <c r="AS60" s="1927"/>
      <c r="AT60" s="1927"/>
      <c r="AU60" s="1927"/>
      <c r="AV60" s="1927"/>
      <c r="AW60" s="1927"/>
      <c r="AX60" s="1927"/>
      <c r="AY60" s="1927"/>
      <c r="AZ60" s="1927"/>
      <c r="BA60" s="1927"/>
      <c r="BB60" s="1927"/>
      <c r="BC60" s="1927"/>
      <c r="BD60" s="1927"/>
      <c r="BE60" s="1927"/>
      <c r="BF60" s="1927"/>
      <c r="BG60" s="1331"/>
      <c r="BH60" s="1331"/>
      <c r="BI60" s="1005" t="s">
        <v>579</v>
      </c>
      <c r="BJ60" s="1245"/>
      <c r="BK60" s="1245"/>
      <c r="BL60" s="1182"/>
      <c r="BM60" s="1182"/>
    </row>
    <row s="1441" customFormat="1" customHeight="1" ht="14.25">
      <c r="A61" s="145"/>
      <c r="B61" s="449"/>
      <c r="C61" s="145"/>
      <c r="D61" s="145"/>
      <c r="E61" s="682">
        <v>15</v>
      </c>
      <c r="F61" s="370" cm="1" t="str">
        <f t="array" ref="F61:F61">OFFSET(E61,-1,1)</f>
        <v>1</v>
      </c>
      <c r="G61" s="145"/>
      <c r="H61" s="145"/>
      <c r="I61" s="145"/>
      <c r="J61" s="145"/>
      <c r="K61" s="145"/>
      <c r="L61" s="145"/>
      <c r="M61" s="145"/>
      <c r="N61" s="145"/>
      <c r="O61" s="145"/>
      <c r="P61" s="145"/>
      <c r="Q61" s="145"/>
      <c r="R61" s="145"/>
      <c r="S61" s="145"/>
      <c r="T61" s="145"/>
      <c r="U61" s="468" cm="1" t="str">
        <f t="array" ref="U61:U61">U60</f>
        <v>true</v>
      </c>
      <c r="V61" s="145"/>
      <c r="W61" s="145"/>
      <c r="X61" s="145"/>
      <c r="Y61" s="1519"/>
      <c r="Z61" s="1541"/>
      <c r="AA61" s="145"/>
      <c r="AB61" s="129">
        <v>5</v>
      </c>
      <c r="AC61" s="131" t="s">
        <v>580</v>
      </c>
      <c r="AD61" s="132" t="s">
        <v>561</v>
      </c>
      <c r="AE61" s="272"/>
      <c r="AF61" s="272"/>
      <c r="AG61" s="272"/>
      <c r="AH61" s="196"/>
      <c r="AI61" s="272"/>
      <c r="AJ61" s="272"/>
      <c r="AK61" s="272"/>
      <c r="AL61" s="277">
        <f>IF(AI61&lt;&gt;0,AK61/AI61,0)</f>
        <v>0</v>
      </c>
      <c r="AM61" s="276">
        <f>AK61-AJ61</f>
        <v>0</v>
      </c>
      <c r="AN61" s="196"/>
      <c r="AO61" s="1927"/>
      <c r="AP61" s="1927"/>
      <c r="AQ61" s="1927"/>
      <c r="AR61" s="1927"/>
      <c r="AS61" s="1927"/>
      <c r="AT61" s="1927"/>
      <c r="AU61" s="1927"/>
      <c r="AV61" s="1927"/>
      <c r="AW61" s="1927"/>
      <c r="AX61" s="1927"/>
      <c r="AY61" s="1927"/>
      <c r="AZ61" s="1927"/>
      <c r="BA61" s="1927"/>
      <c r="BB61" s="1927"/>
      <c r="BC61" s="1927"/>
      <c r="BD61" s="1927"/>
      <c r="BE61" s="1927"/>
      <c r="BF61" s="1927"/>
      <c r="BG61" s="145"/>
      <c r="BH61" s="145"/>
      <c r="BI61" s="1046" t="s">
        <v>581</v>
      </c>
      <c r="BJ61" s="1046"/>
      <c r="BK61" s="1046"/>
      <c r="BL61" s="682"/>
      <c r="BM61" s="682"/>
    </row>
    <row s="1656" customFormat="1" customHeight="1" ht="14.25">
      <c r="A62" s="1331"/>
      <c r="B62" s="1223"/>
      <c r="C62" s="1331"/>
      <c r="D62" s="1331"/>
      <c r="E62" s="623">
        <v>15</v>
      </c>
      <c r="F62" s="50" cm="1" t="str">
        <f t="array" ref="F62:F62">OFFSET(E62,-1,1)</f>
        <v>1</v>
      </c>
      <c r="G62" s="1331"/>
      <c r="H62" s="1331"/>
      <c r="I62" s="1331"/>
      <c r="J62" s="1331"/>
      <c r="K62" s="1331"/>
      <c r="L62" s="1331"/>
      <c r="M62" s="1331"/>
      <c r="N62" s="1331"/>
      <c r="O62" s="1331"/>
      <c r="P62" s="1331"/>
      <c r="Q62" s="1331"/>
      <c r="R62" s="1331"/>
      <c r="S62" s="1331"/>
      <c r="T62" s="1331"/>
      <c r="U62" s="468" cm="1" t="str">
        <f t="array" ref="U62:U62">U60</f>
        <v>true</v>
      </c>
      <c r="V62" s="1331"/>
      <c r="W62" s="1331"/>
      <c r="X62" s="1331"/>
      <c r="Y62" s="1519"/>
      <c r="Z62" s="1541"/>
      <c r="AA62" s="1331"/>
      <c r="AB62" s="266"/>
      <c r="AC62" s="267" t="s">
        <v>582</v>
      </c>
      <c r="AD62" s="268"/>
      <c r="AE62" s="273"/>
      <c r="AF62" s="273"/>
      <c r="AG62" s="273"/>
      <c r="AH62" s="268"/>
      <c r="AI62" s="273"/>
      <c r="AJ62" s="273"/>
      <c r="AK62" s="273"/>
      <c r="AL62" s="278"/>
      <c r="AM62" s="273"/>
      <c r="AN62" s="268"/>
      <c r="AO62" s="273"/>
      <c r="AP62" s="273"/>
      <c r="AQ62" s="273"/>
      <c r="AR62" s="273"/>
      <c r="AS62" s="273"/>
      <c r="AT62" s="273"/>
      <c r="AU62" s="273"/>
      <c r="AV62" s="273"/>
      <c r="AW62" s="273"/>
      <c r="AX62" s="273"/>
      <c r="AY62" s="273"/>
      <c r="AZ62" s="273"/>
      <c r="BA62" s="273"/>
      <c r="BB62" s="273"/>
      <c r="BC62" s="273"/>
      <c r="BD62" s="273"/>
      <c r="BE62" s="273"/>
      <c r="BF62" s="279"/>
      <c r="BG62" s="1331"/>
      <c r="BH62" s="1331"/>
      <c r="BI62" s="1245"/>
      <c r="BJ62" s="1245"/>
      <c r="BK62" s="1245"/>
      <c r="BL62" s="1182"/>
      <c r="BM62" s="1182"/>
    </row>
    <row s="1656" customFormat="1" customHeight="1" ht="21.421875">
      <c r="A63" s="1331"/>
      <c r="B63" s="1223"/>
      <c r="C63" s="1331"/>
      <c r="D63" s="1331"/>
      <c r="E63" s="623">
        <v>15</v>
      </c>
      <c r="F63" s="50" cm="1" t="str">
        <f t="array" ref="F63:F63">OFFSET(E63,-1,1)</f>
        <v>1</v>
      </c>
      <c r="G63" s="118" t="s">
        <v>583</v>
      </c>
      <c r="H63" s="118" t="s">
        <v>584</v>
      </c>
      <c r="I63" s="1331"/>
      <c r="J63" s="1331"/>
      <c r="K63" s="1331"/>
      <c r="L63" s="1331"/>
      <c r="M63" s="1331"/>
      <c r="N63" s="1331"/>
      <c r="O63" s="1331"/>
      <c r="P63" s="1331"/>
      <c r="Q63" s="1331"/>
      <c r="R63" s="1331"/>
      <c r="S63" s="1331"/>
      <c r="T63" s="1331"/>
      <c r="U63" s="468" cm="1" t="str">
        <f t="array" ref="U63:U63">U62</f>
        <v>true</v>
      </c>
      <c r="V63" s="1331"/>
      <c r="W63" s="1331"/>
      <c r="X63" s="1331"/>
      <c r="Y63" s="1519"/>
      <c r="Z63" s="1541"/>
      <c r="AA63" s="1331"/>
      <c r="AB63" s="129">
        <v>1</v>
      </c>
      <c r="AC63" s="131" t="s">
        <v>585</v>
      </c>
      <c r="AD63" s="132" t="s">
        <v>561</v>
      </c>
      <c r="AE63" s="274">
        <v>30.2</v>
      </c>
      <c r="AF63" s="274">
        <v>30.2</v>
      </c>
      <c r="AG63" s="274">
        <v>30.2</v>
      </c>
      <c r="AH63" s="196"/>
      <c r="AI63" s="274">
        <v>30.2</v>
      </c>
      <c r="AJ63" s="274">
        <v>30.2</v>
      </c>
      <c r="AK63" s="274">
        <v>30.2</v>
      </c>
      <c r="AL63" s="277">
        <f>IF(AI63&lt;&gt;0,AK63/AI63,0)</f>
        <v>1</v>
      </c>
      <c r="AM63" s="276">
        <f>AK63-AJ63</f>
        <v>0</v>
      </c>
      <c r="AN63" s="196"/>
      <c r="AO63" s="1940"/>
      <c r="AP63" s="1940"/>
      <c r="AQ63" s="1940"/>
      <c r="AR63" s="1940"/>
      <c r="AS63" s="1940"/>
      <c r="AT63" s="1940"/>
      <c r="AU63" s="1940"/>
      <c r="AV63" s="1940"/>
      <c r="AW63" s="1940"/>
      <c r="AX63" s="1940"/>
      <c r="AY63" s="1940"/>
      <c r="AZ63" s="1940"/>
      <c r="BA63" s="1940"/>
      <c r="BB63" s="1940"/>
      <c r="BC63" s="1940"/>
      <c r="BD63" s="1940"/>
      <c r="BE63" s="1940"/>
      <c r="BF63" s="1940"/>
      <c r="BG63" s="1331"/>
      <c r="BH63" s="1331"/>
      <c r="BI63" s="1005" t="s">
        <v>586</v>
      </c>
      <c r="BJ63" s="1245"/>
      <c r="BK63" s="1245"/>
      <c r="BL63" s="1182"/>
      <c r="BM63" s="1182"/>
    </row>
    <row s="1656" customFormat="1" customHeight="1" ht="15" hidden="1">
      <c r="A64" s="1331"/>
      <c r="B64" s="1223"/>
      <c r="C64" s="1331"/>
      <c r="D64" s="1331"/>
      <c r="E64" s="623">
        <v>0</v>
      </c>
      <c r="F64" s="50" cm="1" t="str">
        <f t="array" ref="F64:F64">OFFSET(E64,-1,1)</f>
        <v>1</v>
      </c>
      <c r="G64" s="1331"/>
      <c r="H64" s="118" t="s">
        <v>587</v>
      </c>
      <c r="I64" s="1331"/>
      <c r="J64" s="1331"/>
      <c r="K64" s="1331"/>
      <c r="L64" s="1331"/>
      <c r="M64" s="1331"/>
      <c r="N64" s="1331"/>
      <c r="O64" s="1331"/>
      <c r="P64" s="1331"/>
      <c r="Q64" s="1331"/>
      <c r="R64" s="1331"/>
      <c r="S64" s="1331"/>
      <c r="T64" s="1331"/>
      <c r="U64" s="468" cm="1" t="str">
        <f t="array" ref="U64:U64">U63</f>
        <v>true</v>
      </c>
      <c r="V64" s="1331"/>
      <c r="W64" s="1331"/>
      <c r="X64" s="1331"/>
      <c r="Y64" s="1519"/>
      <c r="Z64" s="1541"/>
      <c r="AA64" s="1331"/>
      <c r="AB64" s="129">
        <v>2</v>
      </c>
      <c r="AC64" s="131" t="s">
        <v>560</v>
      </c>
      <c r="AD64" s="132" t="s">
        <v>561</v>
      </c>
      <c r="AE64" s="1940"/>
      <c r="AF64" s="1927"/>
      <c r="AG64" s="1940"/>
      <c r="AH64" s="1928"/>
      <c r="AI64" s="1940"/>
      <c r="AJ64" s="1940"/>
      <c r="AK64" s="1940"/>
      <c r="AL64" s="277">
        <f>IF(AI64&lt;&gt;0,AK64/AI64,0)</f>
        <v>0</v>
      </c>
      <c r="AM64" s="276">
        <f>AK64-AJ64</f>
        <v>0</v>
      </c>
      <c r="AN64" s="1928"/>
      <c r="AO64" s="1940"/>
      <c r="AP64" s="1940"/>
      <c r="AQ64" s="1940"/>
      <c r="AR64" s="1940"/>
      <c r="AS64" s="1940"/>
      <c r="AT64" s="1940"/>
      <c r="AU64" s="1940"/>
      <c r="AV64" s="1940"/>
      <c r="AW64" s="1940"/>
      <c r="AX64" s="1940"/>
      <c r="AY64" s="1940"/>
      <c r="AZ64" s="1940"/>
      <c r="BA64" s="1940"/>
      <c r="BB64" s="1940"/>
      <c r="BC64" s="1940"/>
      <c r="BD64" s="1940"/>
      <c r="BE64" s="1940"/>
      <c r="BF64" s="1940"/>
      <c r="BG64" s="1331"/>
      <c r="BH64" s="1331"/>
      <c r="BI64" s="1005" t="s">
        <v>588</v>
      </c>
      <c r="BJ64" s="1245"/>
      <c r="BK64" s="1245"/>
      <c r="BL64" s="1182"/>
      <c r="BM64" s="1182"/>
    </row>
    <row s="1656" customFormat="1" customHeight="1" ht="14.25">
      <c r="A65" s="1331"/>
      <c r="B65" s="1223"/>
      <c r="C65" s="1331"/>
      <c r="D65" s="1331"/>
      <c r="E65" s="623">
        <v>15</v>
      </c>
      <c r="F65" s="50" cm="1" t="str">
        <f t="array" ref="F65:F65">OFFSET(E65,-1,1)</f>
        <v>1</v>
      </c>
      <c r="G65" s="1331"/>
      <c r="H65" s="1331"/>
      <c r="I65" s="1331"/>
      <c r="J65" s="1331"/>
      <c r="K65" s="1331"/>
      <c r="L65" s="1331"/>
      <c r="M65" s="1331"/>
      <c r="N65" s="1331"/>
      <c r="O65" s="1331"/>
      <c r="P65" s="1331"/>
      <c r="Q65" s="1331"/>
      <c r="R65" s="1331"/>
      <c r="S65" s="1331"/>
      <c r="T65" s="1331"/>
      <c r="U65" s="468" cm="1" t="str">
        <f t="array" ref="U65:U65">U64</f>
        <v>true</v>
      </c>
      <c r="V65" s="1331"/>
      <c r="W65" s="1331"/>
      <c r="X65" s="1331"/>
      <c r="Y65" s="1519"/>
      <c r="Z65" s="1541"/>
      <c r="AA65" s="1331"/>
      <c r="AB65" s="611">
        <v>2</v>
      </c>
      <c r="AC65" s="612" t="s">
        <v>589</v>
      </c>
      <c r="AD65" s="90"/>
      <c r="AE65" s="613"/>
      <c r="AF65" s="614"/>
      <c r="AG65" s="615"/>
      <c r="AH65" s="616"/>
      <c r="AI65" s="613"/>
      <c r="AJ65" s="614"/>
      <c r="AK65" s="614"/>
      <c r="AL65" s="617"/>
      <c r="AM65" s="614"/>
      <c r="AN65" s="616"/>
      <c r="AO65" s="613"/>
      <c r="AP65" s="613"/>
      <c r="AQ65" s="613"/>
      <c r="AR65" s="613"/>
      <c r="AS65" s="613"/>
      <c r="AT65" s="613"/>
      <c r="AU65" s="613"/>
      <c r="AV65" s="613"/>
      <c r="AW65" s="613"/>
      <c r="AX65" s="613"/>
      <c r="AY65" s="613"/>
      <c r="AZ65" s="613"/>
      <c r="BA65" s="613"/>
      <c r="BB65" s="613"/>
      <c r="BC65" s="613"/>
      <c r="BD65" s="613"/>
      <c r="BE65" s="613"/>
      <c r="BF65" s="613"/>
      <c r="BG65" s="1331"/>
      <c r="BH65" s="1331"/>
      <c r="BI65" s="1005" t="s">
        <v>590</v>
      </c>
      <c r="BJ65" s="1245"/>
      <c r="BK65" s="1245"/>
      <c r="BL65" s="1182"/>
      <c r="BM65" s="1182"/>
    </row>
    <row s="1656" customFormat="1" customHeight="1" ht="62.671875">
      <c r="A66" s="1331"/>
      <c r="B66" s="1223"/>
      <c r="C66" s="1331"/>
      <c r="D66" s="1331"/>
      <c r="E66" s="623">
        <v>22.5</v>
      </c>
      <c r="F66" s="50" cm="1" t="str">
        <f t="array" ref="F66:F66">OFFSET(E66,-1,1)</f>
        <v>1</v>
      </c>
      <c r="G66" s="1331"/>
      <c r="H66" s="118" t="s">
        <v>591</v>
      </c>
      <c r="I66" s="1331"/>
      <c r="J66" s="1331"/>
      <c r="K66" s="1331"/>
      <c r="L66" s="1331"/>
      <c r="M66" s="1331"/>
      <c r="N66" s="1331"/>
      <c r="O66" s="1331"/>
      <c r="P66" s="1331"/>
      <c r="Q66" s="1331"/>
      <c r="R66" s="1331"/>
      <c r="S66" s="1331"/>
      <c r="T66" s="1331"/>
      <c r="U66" s="468" cm="1" t="str">
        <f t="array" ref="U66:U66">U65</f>
        <v>true</v>
      </c>
      <c r="V66" s="1331"/>
      <c r="W66" s="1331"/>
      <c r="X66" s="1331"/>
      <c r="Y66" s="1519"/>
      <c r="Z66" s="1541"/>
      <c r="AA66" s="1331"/>
      <c r="AB66" s="216" t="s">
        <v>592</v>
      </c>
      <c r="AC66" s="210" t="s">
        <v>593</v>
      </c>
      <c r="AD66" s="87" t="s">
        <v>594</v>
      </c>
      <c r="AE66" s="303">
        <v>283</v>
      </c>
      <c r="AF66" s="618">
        <v>283</v>
      </c>
      <c r="AG66" s="619">
        <v>283</v>
      </c>
      <c r="AH66" s="305" t="s">
        <v>627</v>
      </c>
      <c r="AI66" s="303">
        <v>326</v>
      </c>
      <c r="AJ66" s="618"/>
      <c r="AK66" s="618">
        <f>ROUND((326*1.085),0)</f>
        <v>354</v>
      </c>
      <c r="AL66" s="620">
        <f>IF(AI66&lt;&gt;0,AK66/AI66,0)</f>
        <v>1.08588957055215</v>
      </c>
      <c r="AM66" s="621">
        <f>AK66-AJ66</f>
        <v>354</v>
      </c>
      <c r="AN66" s="305" t="s">
        <v>628</v>
      </c>
      <c r="AO66" s="1952"/>
      <c r="AP66" s="1952"/>
      <c r="AQ66" s="1952"/>
      <c r="AR66" s="1952"/>
      <c r="AS66" s="1952"/>
      <c r="AT66" s="1952"/>
      <c r="AU66" s="1952"/>
      <c r="AV66" s="1952"/>
      <c r="AW66" s="1952"/>
      <c r="AX66" s="1952"/>
      <c r="AY66" s="1952"/>
      <c r="AZ66" s="1952"/>
      <c r="BA66" s="1952"/>
      <c r="BB66" s="1952"/>
      <c r="BC66" s="1952"/>
      <c r="BD66" s="1952"/>
      <c r="BE66" s="1952"/>
      <c r="BF66" s="1952"/>
      <c r="BG66" s="1331"/>
      <c r="BH66" s="1331"/>
      <c r="BI66" s="1005" t="s">
        <v>595</v>
      </c>
      <c r="BJ66" s="1245"/>
      <c r="BK66" s="1245"/>
      <c r="BL66" s="1182"/>
      <c r="BM66" s="1182"/>
    </row>
    <row s="1656" customFormat="1" customHeight="1" ht="21.75" hidden="1">
      <c r="A67" s="1331"/>
      <c r="B67" s="1223"/>
      <c r="C67" s="1331"/>
      <c r="D67" s="1331"/>
      <c r="E67" s="623">
        <v>22.5</v>
      </c>
      <c r="F67" s="50" cm="1" t="str">
        <f t="array" ref="F67:F67">OFFSET(E67,-1,1)</f>
        <v>1</v>
      </c>
      <c r="G67" s="1331"/>
      <c r="H67" s="1331"/>
      <c r="I67" s="118" cm="1" t="str">
        <f t="array" ref="I67:I67">AC67</f>
        <v>0</v>
      </c>
      <c r="J67" s="1331"/>
      <c r="K67" s="1331"/>
      <c r="L67" s="1331"/>
      <c r="M67" s="1331"/>
      <c r="N67" s="1331"/>
      <c r="O67" s="1331"/>
      <c r="P67" s="1331"/>
      <c r="Q67" s="1331"/>
      <c r="R67" s="1331"/>
      <c r="S67" s="1331"/>
      <c r="T67" s="1331"/>
      <c r="U67" s="468">
        <f>AND(F67&gt;0,--RIGHT(AB67,1)&gt;1)</f>
        <v>0</v>
      </c>
      <c r="V67" s="1331"/>
      <c r="W67" s="1331"/>
      <c r="X67" s="764" t="s">
        <v>173</v>
      </c>
      <c r="Y67" s="1519"/>
      <c r="Z67" s="1541"/>
      <c r="AA67" s="422" t="s">
        <v>174</v>
      </c>
      <c r="AB67" s="216" t="s">
        <v>592</v>
      </c>
      <c r="AC67" s="1958"/>
      <c r="AD67" s="87" t="s">
        <v>594</v>
      </c>
      <c r="AE67" s="1952"/>
      <c r="AF67" s="1953"/>
      <c r="AG67" s="1954"/>
      <c r="AH67" s="1955"/>
      <c r="AI67" s="1952"/>
      <c r="AJ67" s="1953"/>
      <c r="AK67" s="1953"/>
      <c r="AL67" s="620">
        <f>IF(AI67&lt;&gt;0,AK67/AI67,0)</f>
        <v>0</v>
      </c>
      <c r="AM67" s="621">
        <f>AK67-AJ67</f>
        <v>0</v>
      </c>
      <c r="AN67" s="1955"/>
      <c r="AO67" s="1952"/>
      <c r="AP67" s="1952"/>
      <c r="AQ67" s="1952"/>
      <c r="AR67" s="1952"/>
      <c r="AS67" s="1952"/>
      <c r="AT67" s="1952"/>
      <c r="AU67" s="1952"/>
      <c r="AV67" s="1952"/>
      <c r="AW67" s="1952"/>
      <c r="AX67" s="1952"/>
      <c r="AY67" s="1952"/>
      <c r="AZ67" s="1952"/>
      <c r="BA67" s="1952"/>
      <c r="BB67" s="1952"/>
      <c r="BC67" s="1952"/>
      <c r="BD67" s="1952"/>
      <c r="BE67" s="1952"/>
      <c r="BF67" s="1952"/>
      <c r="BG67" s="1331"/>
      <c r="BH67" s="1331"/>
      <c r="BI67" s="1005" t="s">
        <v>595</v>
      </c>
      <c r="BJ67" s="1005" t="s">
        <v>596</v>
      </c>
      <c r="BK67" s="1005" cm="1" t="str">
        <f t="array" ref="BK67:BK67">AC67</f>
        <v>0</v>
      </c>
      <c r="BL67" s="1182"/>
      <c r="BM67" s="623" t="b">
        <v>1</v>
      </c>
    </row>
    <row s="1656" customFormat="1" customHeight="1" ht="14.25">
      <c r="A68" s="1331"/>
      <c r="B68" s="1223"/>
      <c r="C68" s="1331"/>
      <c r="D68" s="1331"/>
      <c r="E68" s="623">
        <v>15</v>
      </c>
      <c r="F68" s="50" cm="1" t="str">
        <f t="array" ref="F68:F68">OFFSET(E68,-1,1)</f>
        <v>1</v>
      </c>
      <c r="G68" s="1331"/>
      <c r="H68" s="1331"/>
      <c r="I68" s="1331"/>
      <c r="J68" s="1331"/>
      <c r="K68" s="1331"/>
      <c r="L68" s="1331"/>
      <c r="M68" s="1331"/>
      <c r="N68" s="1331"/>
      <c r="O68" s="1331"/>
      <c r="P68" s="1331"/>
      <c r="Q68" s="1331"/>
      <c r="R68" s="1331"/>
      <c r="S68" s="1331"/>
      <c r="T68" s="1331"/>
      <c r="U68" s="468">
        <f>F68&gt;0</f>
        <v>1</v>
      </c>
      <c r="V68" s="1331"/>
      <c r="W68" s="1331"/>
      <c r="X68" s="764" t="s">
        <v>421</v>
      </c>
      <c r="Y68" s="1519"/>
      <c r="Z68" s="1541"/>
      <c r="AA68" s="1331"/>
      <c r="AB68" s="171"/>
      <c r="AC68" s="304" t="s">
        <v>177</v>
      </c>
      <c r="AD68" s="172"/>
      <c r="AE68" s="172"/>
      <c r="AF68" s="172"/>
      <c r="AG68" s="172"/>
      <c r="AH68" s="172"/>
      <c r="AI68" s="172"/>
      <c r="AJ68" s="172"/>
      <c r="AK68" s="172"/>
      <c r="AL68" s="172"/>
      <c r="AM68" s="172"/>
      <c r="AN68" s="172"/>
      <c r="AO68" s="172"/>
      <c r="AP68" s="172"/>
      <c r="AQ68" s="172"/>
      <c r="AR68" s="172"/>
      <c r="AS68" s="172"/>
      <c r="AT68" s="172"/>
      <c r="AU68" s="172"/>
      <c r="AV68" s="172"/>
      <c r="AW68" s="172"/>
      <c r="AX68" s="172"/>
      <c r="AY68" s="172"/>
      <c r="AZ68" s="172"/>
      <c r="BA68" s="172"/>
      <c r="BB68" s="172"/>
      <c r="BC68" s="172"/>
      <c r="BD68" s="172"/>
      <c r="BE68" s="172"/>
      <c r="BF68" s="172"/>
      <c r="BG68" s="1331"/>
      <c r="BH68" s="1331"/>
      <c r="BI68" s="1245"/>
      <c r="BJ68" s="1245"/>
      <c r="BK68" s="1245"/>
      <c r="BL68" s="623" t="s">
        <v>596</v>
      </c>
      <c r="BM68" s="1182"/>
    </row>
    <row s="1656" customFormat="1" customHeight="1" ht="64.171875">
      <c r="A69" s="1331"/>
      <c r="B69" s="1223"/>
      <c r="C69" s="1331"/>
      <c r="D69" s="1331"/>
      <c r="E69" s="623">
        <v>22.5</v>
      </c>
      <c r="F69" s="50" cm="1" t="str">
        <f t="array" ref="F69:F69">OFFSET(E69,-1,1)</f>
        <v>1</v>
      </c>
      <c r="G69" s="1331"/>
      <c r="H69" s="118" t="s">
        <v>597</v>
      </c>
      <c r="I69" s="1331"/>
      <c r="J69" s="1331"/>
      <c r="K69" s="1331"/>
      <c r="L69" s="1331"/>
      <c r="M69" s="1331"/>
      <c r="N69" s="1331"/>
      <c r="O69" s="1331"/>
      <c r="P69" s="1331"/>
      <c r="Q69" s="1331"/>
      <c r="R69" s="1331"/>
      <c r="S69" s="1331"/>
      <c r="T69" s="1331"/>
      <c r="U69" s="468" cm="1" t="str">
        <f t="array" ref="U69:U69">U68</f>
        <v>true</v>
      </c>
      <c r="V69" s="1331"/>
      <c r="W69" s="1331"/>
      <c r="X69" s="1331"/>
      <c r="Y69" s="1519"/>
      <c r="Z69" s="1541"/>
      <c r="AA69" s="1331"/>
      <c r="AB69" s="603" t="s">
        <v>598</v>
      </c>
      <c r="AC69" s="604" t="s">
        <v>599</v>
      </c>
      <c r="AD69" s="600" t="s">
        <v>594</v>
      </c>
      <c r="AE69" s="605">
        <v>1094</v>
      </c>
      <c r="AF69" s="606">
        <v>1094</v>
      </c>
      <c r="AG69" s="607">
        <v>1094</v>
      </c>
      <c r="AH69" s="608" t="s">
        <v>627</v>
      </c>
      <c r="AI69" s="605">
        <v>1256</v>
      </c>
      <c r="AJ69" s="606"/>
      <c r="AK69" s="606">
        <f>ROUND((270*4.84*1.085),0)</f>
        <v>1418</v>
      </c>
      <c r="AL69" s="609">
        <f>IF(AI69&lt;&gt;0,AK69/AI69,0)</f>
        <v>1.12898089171975</v>
      </c>
      <c r="AM69" s="610">
        <f>AK69-AJ69</f>
        <v>1418</v>
      </c>
      <c r="AN69" s="608" t="s">
        <v>628</v>
      </c>
      <c r="AO69" s="1962"/>
      <c r="AP69" s="1962"/>
      <c r="AQ69" s="1962"/>
      <c r="AR69" s="1962"/>
      <c r="AS69" s="1962"/>
      <c r="AT69" s="1962"/>
      <c r="AU69" s="1962"/>
      <c r="AV69" s="1962"/>
      <c r="AW69" s="1962"/>
      <c r="AX69" s="1962"/>
      <c r="AY69" s="1962"/>
      <c r="AZ69" s="1962"/>
      <c r="BA69" s="1962"/>
      <c r="BB69" s="1962"/>
      <c r="BC69" s="1962"/>
      <c r="BD69" s="1962"/>
      <c r="BE69" s="1962"/>
      <c r="BF69" s="1962"/>
      <c r="BG69" s="1331"/>
      <c r="BH69" s="1331"/>
      <c r="BI69" s="1005" t="s">
        <v>600</v>
      </c>
      <c r="BJ69" s="1245"/>
      <c r="BK69" s="1245"/>
      <c r="BL69" s="1182"/>
      <c r="BM69" s="1182"/>
    </row>
    <row s="1656" customFormat="1" customHeight="1" ht="21.75" hidden="1">
      <c r="A70" s="1331"/>
      <c r="B70" s="1223"/>
      <c r="C70" s="1331"/>
      <c r="D70" s="1331"/>
      <c r="E70" s="623">
        <v>22.5</v>
      </c>
      <c r="F70" s="50" cm="1" t="str">
        <f t="array" ref="F70:F70">OFFSET(E70,-1,1)</f>
        <v>1</v>
      </c>
      <c r="G70" s="1331"/>
      <c r="H70" s="1331"/>
      <c r="I70" s="118" cm="1" t="str">
        <f t="array" ref="I70:I70">AC70</f>
        <v>0</v>
      </c>
      <c r="J70" s="1331"/>
      <c r="K70" s="1331"/>
      <c r="L70" s="1331"/>
      <c r="M70" s="1331"/>
      <c r="N70" s="1331"/>
      <c r="O70" s="1331"/>
      <c r="P70" s="1331"/>
      <c r="Q70" s="1331"/>
      <c r="R70" s="1331"/>
      <c r="S70" s="1331"/>
      <c r="T70" s="1331"/>
      <c r="U70" s="468">
        <f>AND(F70&gt;0,--RIGHT(AB70,1)&gt;1)</f>
        <v>0</v>
      </c>
      <c r="V70" s="1331"/>
      <c r="W70" s="1331"/>
      <c r="X70" s="764" t="s">
        <v>173</v>
      </c>
      <c r="Y70" s="1519"/>
      <c r="Z70" s="1541"/>
      <c r="AA70" s="422" t="s">
        <v>174</v>
      </c>
      <c r="AB70" s="603" t="s">
        <v>598</v>
      </c>
      <c r="AC70" s="1968"/>
      <c r="AD70" s="600" t="s">
        <v>594</v>
      </c>
      <c r="AE70" s="1962"/>
      <c r="AF70" s="1963"/>
      <c r="AG70" s="1964"/>
      <c r="AH70" s="1965"/>
      <c r="AI70" s="1962"/>
      <c r="AJ70" s="1963"/>
      <c r="AK70" s="1963"/>
      <c r="AL70" s="609">
        <f>IF(AI70&lt;&gt;0,AK70/AI70,0)</f>
        <v>0</v>
      </c>
      <c r="AM70" s="610">
        <f>AK70-AJ70</f>
        <v>0</v>
      </c>
      <c r="AN70" s="1965"/>
      <c r="AO70" s="1962"/>
      <c r="AP70" s="1962"/>
      <c r="AQ70" s="1962"/>
      <c r="AR70" s="1962"/>
      <c r="AS70" s="1962"/>
      <c r="AT70" s="1962"/>
      <c r="AU70" s="1962"/>
      <c r="AV70" s="1962"/>
      <c r="AW70" s="1962"/>
      <c r="AX70" s="1962"/>
      <c r="AY70" s="1962"/>
      <c r="AZ70" s="1962"/>
      <c r="BA70" s="1962"/>
      <c r="BB70" s="1962"/>
      <c r="BC70" s="1962"/>
      <c r="BD70" s="1962"/>
      <c r="BE70" s="1962"/>
      <c r="BF70" s="1962"/>
      <c r="BG70" s="1331"/>
      <c r="BH70" s="1331"/>
      <c r="BI70" s="1005" t="s">
        <v>600</v>
      </c>
      <c r="BJ70" s="1005" t="s">
        <v>601</v>
      </c>
      <c r="BK70" s="1005" cm="1" t="str">
        <f t="array" ref="BK70:BK70">AC70</f>
        <v>0</v>
      </c>
      <c r="BL70" s="1182"/>
      <c r="BM70" s="623" t="b">
        <v>1</v>
      </c>
    </row>
    <row s="1656" customFormat="1" customHeight="1" ht="14.25">
      <c r="A71" s="1331"/>
      <c r="B71" s="1223"/>
      <c r="C71" s="1331"/>
      <c r="D71" s="1331"/>
      <c r="E71" s="623">
        <v>15</v>
      </c>
      <c r="F71" s="50" cm="1" t="str">
        <f t="array" ref="F71:F71">OFFSET(E71,-1,1)</f>
        <v>1</v>
      </c>
      <c r="G71" s="1331"/>
      <c r="H71" s="1331"/>
      <c r="I71" s="1331"/>
      <c r="J71" s="1331"/>
      <c r="K71" s="1331"/>
      <c r="L71" s="1331"/>
      <c r="M71" s="1331"/>
      <c r="N71" s="1331"/>
      <c r="O71" s="1331"/>
      <c r="P71" s="1331"/>
      <c r="Q71" s="1331"/>
      <c r="R71" s="1331"/>
      <c r="S71" s="1331"/>
      <c r="T71" s="1331"/>
      <c r="U71" s="468">
        <f>F71&gt;0</f>
        <v>1</v>
      </c>
      <c r="V71" s="1331"/>
      <c r="W71" s="1331"/>
      <c r="X71" s="764" t="s">
        <v>421</v>
      </c>
      <c r="Y71" s="1519"/>
      <c r="Z71" s="1541"/>
      <c r="AA71" s="1331"/>
      <c r="AB71" s="171"/>
      <c r="AC71" s="304" t="s">
        <v>177</v>
      </c>
      <c r="AD71" s="172"/>
      <c r="AE71" s="172"/>
      <c r="AF71" s="172"/>
      <c r="AG71" s="172"/>
      <c r="AH71" s="172"/>
      <c r="AI71" s="172"/>
      <c r="AJ71" s="172"/>
      <c r="AK71" s="172"/>
      <c r="AL71" s="172"/>
      <c r="AM71" s="172"/>
      <c r="AN71" s="172"/>
      <c r="AO71" s="172"/>
      <c r="AP71" s="172"/>
      <c r="AQ71" s="172"/>
      <c r="AR71" s="172"/>
      <c r="AS71" s="172"/>
      <c r="AT71" s="172"/>
      <c r="AU71" s="172"/>
      <c r="AV71" s="172"/>
      <c r="AW71" s="172"/>
      <c r="AX71" s="172"/>
      <c r="AY71" s="172"/>
      <c r="AZ71" s="172"/>
      <c r="BA71" s="172"/>
      <c r="BB71" s="172"/>
      <c r="BC71" s="172"/>
      <c r="BD71" s="172"/>
      <c r="BE71" s="172"/>
      <c r="BF71" s="172"/>
      <c r="BG71" s="1331"/>
      <c r="BH71" s="1331"/>
      <c r="BI71" s="1245"/>
      <c r="BJ71" s="1245"/>
      <c r="BK71" s="1245"/>
      <c r="BL71" s="623" t="s">
        <v>601</v>
      </c>
      <c r="BM71" s="1182"/>
    </row>
    <row s="1656" customFormat="1" customHeight="1" ht="66.421875">
      <c r="A72" s="1331"/>
      <c r="B72" s="1223"/>
      <c r="C72" s="1331"/>
      <c r="D72" s="1331"/>
      <c r="E72" s="623">
        <v>22.5</v>
      </c>
      <c r="F72" s="50" cm="1" t="str">
        <f t="array" ref="F72:F72">OFFSET(E72,-1,1)</f>
        <v>1</v>
      </c>
      <c r="G72" s="1331"/>
      <c r="H72" s="118" t="s">
        <v>602</v>
      </c>
      <c r="I72" s="1331"/>
      <c r="J72" s="1331"/>
      <c r="K72" s="1331"/>
      <c r="L72" s="1331"/>
      <c r="M72" s="1331"/>
      <c r="N72" s="1331"/>
      <c r="O72" s="1331"/>
      <c r="P72" s="1331"/>
      <c r="Q72" s="1331"/>
      <c r="R72" s="1331"/>
      <c r="S72" s="1331"/>
      <c r="T72" s="1331"/>
      <c r="U72" s="468" cm="1" t="str">
        <f t="array" ref="U72:U72">U71</f>
        <v>true</v>
      </c>
      <c r="V72" s="1331"/>
      <c r="W72" s="1331"/>
      <c r="X72" s="1331"/>
      <c r="Y72" s="1519"/>
      <c r="Z72" s="1541"/>
      <c r="AA72" s="1331"/>
      <c r="AB72" s="119" t="s">
        <v>603</v>
      </c>
      <c r="AC72" s="188" t="s">
        <v>604</v>
      </c>
      <c r="AD72" s="88" t="s">
        <v>594</v>
      </c>
      <c r="AE72" s="272">
        <v>283</v>
      </c>
      <c r="AF72" s="274">
        <v>283</v>
      </c>
      <c r="AG72" s="275">
        <v>283</v>
      </c>
      <c r="AH72" s="196" t="s">
        <v>629</v>
      </c>
      <c r="AI72" s="272">
        <v>326</v>
      </c>
      <c r="AJ72" s="274"/>
      <c r="AK72" s="274">
        <f>ROUND((326*1.085),0)</f>
        <v>354</v>
      </c>
      <c r="AL72" s="277">
        <f>IF(AI72&lt;&gt;0,AK72/AI72,0)</f>
        <v>1.08588957055215</v>
      </c>
      <c r="AM72" s="276">
        <f>AK72-AJ72</f>
        <v>354</v>
      </c>
      <c r="AN72" s="196" t="s">
        <v>630</v>
      </c>
      <c r="AO72" s="1927"/>
      <c r="AP72" s="1927"/>
      <c r="AQ72" s="1927"/>
      <c r="AR72" s="1927"/>
      <c r="AS72" s="1927"/>
      <c r="AT72" s="1927"/>
      <c r="AU72" s="1927"/>
      <c r="AV72" s="1927"/>
      <c r="AW72" s="1927"/>
      <c r="AX72" s="1927"/>
      <c r="AY72" s="1927"/>
      <c r="AZ72" s="1927"/>
      <c r="BA72" s="1927"/>
      <c r="BB72" s="1927"/>
      <c r="BC72" s="1927"/>
      <c r="BD72" s="1927"/>
      <c r="BE72" s="1927"/>
      <c r="BF72" s="1927"/>
      <c r="BG72" s="1331"/>
      <c r="BH72" s="1331"/>
      <c r="BI72" s="1005" t="s">
        <v>605</v>
      </c>
      <c r="BJ72" s="1245"/>
      <c r="BK72" s="1245"/>
      <c r="BL72" s="1182"/>
      <c r="BM72" s="1182"/>
    </row>
    <row s="1656" customFormat="1" customHeight="1" ht="21.75" hidden="1">
      <c r="A73" s="1331"/>
      <c r="B73" s="1223"/>
      <c r="C73" s="1331"/>
      <c r="D73" s="1331"/>
      <c r="E73" s="623">
        <v>22.5</v>
      </c>
      <c r="F73" s="50" cm="1" t="str">
        <f t="array" ref="F73:F73">OFFSET(E73,-1,1)</f>
        <v>1</v>
      </c>
      <c r="G73" s="1331"/>
      <c r="H73" s="1331"/>
      <c r="I73" s="118" cm="1" t="str">
        <f t="array" ref="I73:I73">AC73</f>
        <v>0</v>
      </c>
      <c r="J73" s="1331"/>
      <c r="K73" s="1331"/>
      <c r="L73" s="1331"/>
      <c r="M73" s="1331"/>
      <c r="N73" s="1331"/>
      <c r="O73" s="1331"/>
      <c r="P73" s="1331"/>
      <c r="Q73" s="1331"/>
      <c r="R73" s="1331"/>
      <c r="S73" s="1331"/>
      <c r="T73" s="1331"/>
      <c r="U73" s="468">
        <f>AND(F73&gt;0,--RIGHT(AB73,1)&gt;1)</f>
        <v>0</v>
      </c>
      <c r="V73" s="1331"/>
      <c r="W73" s="1331"/>
      <c r="X73" s="764" t="s">
        <v>173</v>
      </c>
      <c r="Y73" s="1519"/>
      <c r="Z73" s="1541"/>
      <c r="AA73" s="422" t="s">
        <v>174</v>
      </c>
      <c r="AB73" s="119" t="s">
        <v>603</v>
      </c>
      <c r="AC73" s="1972"/>
      <c r="AD73" s="88" t="s">
        <v>594</v>
      </c>
      <c r="AE73" s="1927"/>
      <c r="AF73" s="1940"/>
      <c r="AG73" s="1971"/>
      <c r="AH73" s="1928"/>
      <c r="AI73" s="1927"/>
      <c r="AJ73" s="1940"/>
      <c r="AK73" s="1940"/>
      <c r="AL73" s="277">
        <f>IF(AI73&lt;&gt;0,AK73/AI73,0)</f>
        <v>0</v>
      </c>
      <c r="AM73" s="276">
        <f>AK73-AJ73</f>
        <v>0</v>
      </c>
      <c r="AN73" s="1928"/>
      <c r="AO73" s="1927"/>
      <c r="AP73" s="1927"/>
      <c r="AQ73" s="1927"/>
      <c r="AR73" s="1927"/>
      <c r="AS73" s="1927"/>
      <c r="AT73" s="1927"/>
      <c r="AU73" s="1927"/>
      <c r="AV73" s="1927"/>
      <c r="AW73" s="1927"/>
      <c r="AX73" s="1927"/>
      <c r="AY73" s="1927"/>
      <c r="AZ73" s="1927"/>
      <c r="BA73" s="1927"/>
      <c r="BB73" s="1927"/>
      <c r="BC73" s="1927"/>
      <c r="BD73" s="1927"/>
      <c r="BE73" s="1927"/>
      <c r="BF73" s="1927"/>
      <c r="BG73" s="1331"/>
      <c r="BH73" s="1331"/>
      <c r="BI73" s="1005" t="s">
        <v>605</v>
      </c>
      <c r="BJ73" s="1005" t="s">
        <v>606</v>
      </c>
      <c r="BK73" s="1005" cm="1" t="str">
        <f t="array" ref="BK73:BK73">AC73</f>
        <v>0</v>
      </c>
      <c r="BL73" s="1182"/>
      <c r="BM73" s="623" t="b">
        <v>1</v>
      </c>
    </row>
    <row s="1656" customFormat="1" customHeight="1" ht="14.25">
      <c r="A74" s="1331"/>
      <c r="B74" s="1223"/>
      <c r="C74" s="1331"/>
      <c r="D74" s="1331"/>
      <c r="E74" s="623">
        <v>15</v>
      </c>
      <c r="F74" s="50" cm="1" t="str">
        <f t="array" ref="F74:F74">OFFSET(E74,-1,1)</f>
        <v>1</v>
      </c>
      <c r="G74" s="1331"/>
      <c r="H74" s="1331"/>
      <c r="I74" s="1331"/>
      <c r="J74" s="1331"/>
      <c r="K74" s="1331"/>
      <c r="L74" s="1331"/>
      <c r="M74" s="1331"/>
      <c r="N74" s="1331"/>
      <c r="O74" s="1331"/>
      <c r="P74" s="1331"/>
      <c r="Q74" s="1331"/>
      <c r="R74" s="1331"/>
      <c r="S74" s="1331"/>
      <c r="T74" s="1331"/>
      <c r="U74" s="468">
        <f>F74&gt;0</f>
        <v>1</v>
      </c>
      <c r="V74" s="1331"/>
      <c r="W74" s="1331"/>
      <c r="X74" s="764" t="s">
        <v>421</v>
      </c>
      <c r="Y74" s="1519"/>
      <c r="Z74" s="1541"/>
      <c r="AA74" s="1331"/>
      <c r="AB74" s="171"/>
      <c r="AC74" s="304" t="s">
        <v>177</v>
      </c>
      <c r="AD74" s="172"/>
      <c r="AE74" s="172"/>
      <c r="AF74" s="172"/>
      <c r="AG74" s="172"/>
      <c r="AH74" s="172"/>
      <c r="AI74" s="172"/>
      <c r="AJ74" s="172"/>
      <c r="AK74" s="172"/>
      <c r="AL74" s="172"/>
      <c r="AM74" s="172"/>
      <c r="AN74" s="172"/>
      <c r="AO74" s="172"/>
      <c r="AP74" s="172"/>
      <c r="AQ74" s="172"/>
      <c r="AR74" s="172"/>
      <c r="AS74" s="172"/>
      <c r="AT74" s="172"/>
      <c r="AU74" s="172"/>
      <c r="AV74" s="172"/>
      <c r="AW74" s="172"/>
      <c r="AX74" s="172"/>
      <c r="AY74" s="172"/>
      <c r="AZ74" s="172"/>
      <c r="BA74" s="172"/>
      <c r="BB74" s="172"/>
      <c r="BC74" s="172"/>
      <c r="BD74" s="172"/>
      <c r="BE74" s="172"/>
      <c r="BF74" s="172"/>
      <c r="BG74" s="1331"/>
      <c r="BH74" s="1331"/>
      <c r="BI74" s="1245"/>
      <c r="BJ74" s="1245"/>
      <c r="BK74" s="1245"/>
      <c r="BL74" s="623" t="s">
        <v>606</v>
      </c>
      <c r="BM74" s="1182"/>
    </row>
    <row s="1656" customFormat="1" customHeight="1" ht="21.75">
      <c r="A75" s="1331"/>
      <c r="B75" s="1223"/>
      <c r="C75" s="1331"/>
      <c r="D75" s="1331"/>
      <c r="E75" s="623">
        <v>22.5</v>
      </c>
      <c r="F75" s="50" cm="1" t="str">
        <f t="array" ref="F75:F75">OFFSET(E75,-1,1)</f>
        <v>1</v>
      </c>
      <c r="G75" s="1331"/>
      <c r="H75" s="118" t="s">
        <v>607</v>
      </c>
      <c r="I75" s="1331"/>
      <c r="J75" s="1331"/>
      <c r="K75" s="1331"/>
      <c r="L75" s="1331"/>
      <c r="M75" s="1331"/>
      <c r="N75" s="1331"/>
      <c r="O75" s="1331"/>
      <c r="P75" s="1331"/>
      <c r="Q75" s="1331"/>
      <c r="R75" s="1331"/>
      <c r="S75" s="1331"/>
      <c r="T75" s="1331"/>
      <c r="U75" s="468" cm="1" t="str">
        <f t="array" ref="U75:U75">U74</f>
        <v>true</v>
      </c>
      <c r="V75" s="1331"/>
      <c r="W75" s="1331"/>
      <c r="X75" s="1331"/>
      <c r="Y75" s="1519"/>
      <c r="Z75" s="1541"/>
      <c r="AA75" s="1331"/>
      <c r="AB75" s="119" t="s">
        <v>608</v>
      </c>
      <c r="AC75" s="188" t="s">
        <v>609</v>
      </c>
      <c r="AD75" s="88" t="s">
        <v>594</v>
      </c>
      <c r="AE75" s="272"/>
      <c r="AF75" s="274"/>
      <c r="AG75" s="275"/>
      <c r="AH75" s="196"/>
      <c r="AI75" s="272"/>
      <c r="AJ75" s="274"/>
      <c r="AK75" s="274"/>
      <c r="AL75" s="277">
        <f>IF(AI75&lt;&gt;0,AK75/AI75,0)</f>
        <v>0</v>
      </c>
      <c r="AM75" s="276">
        <f>AK75-AJ75</f>
        <v>0</v>
      </c>
      <c r="AN75" s="196"/>
      <c r="AO75" s="1927"/>
      <c r="AP75" s="1927"/>
      <c r="AQ75" s="1927"/>
      <c r="AR75" s="1927"/>
      <c r="AS75" s="1927"/>
      <c r="AT75" s="1927"/>
      <c r="AU75" s="1927"/>
      <c r="AV75" s="1927"/>
      <c r="AW75" s="1927"/>
      <c r="AX75" s="1927"/>
      <c r="AY75" s="1927"/>
      <c r="AZ75" s="1927"/>
      <c r="BA75" s="1927"/>
      <c r="BB75" s="1927"/>
      <c r="BC75" s="1927"/>
      <c r="BD75" s="1927"/>
      <c r="BE75" s="1927"/>
      <c r="BF75" s="1927"/>
      <c r="BG75" s="1331"/>
      <c r="BH75" s="1331"/>
      <c r="BI75" s="1005" t="s">
        <v>610</v>
      </c>
      <c r="BJ75" s="1245"/>
      <c r="BK75" s="1245"/>
      <c r="BL75" s="1182"/>
      <c r="BM75" s="1182"/>
    </row>
    <row s="1656" customFormat="1" customHeight="1" ht="21.75" hidden="1">
      <c r="A76" s="1331"/>
      <c r="B76" s="1223"/>
      <c r="C76" s="1331"/>
      <c r="D76" s="1331"/>
      <c r="E76" s="623">
        <v>22.5</v>
      </c>
      <c r="F76" s="50" cm="1" t="str">
        <f t="array" ref="F76:F76">OFFSET(E76,-1,1)</f>
        <v>1</v>
      </c>
      <c r="G76" s="1331"/>
      <c r="H76" s="1331"/>
      <c r="I76" s="118" cm="1" t="str">
        <f t="array" ref="I76:I76">AC76</f>
        <v>0</v>
      </c>
      <c r="J76" s="1331"/>
      <c r="K76" s="1331"/>
      <c r="L76" s="1331"/>
      <c r="M76" s="1331"/>
      <c r="N76" s="1331"/>
      <c r="O76" s="1331"/>
      <c r="P76" s="1331"/>
      <c r="Q76" s="1331"/>
      <c r="R76" s="1331"/>
      <c r="S76" s="1331"/>
      <c r="T76" s="1331"/>
      <c r="U76" s="468">
        <f>AND(F76&gt;0,--RIGHT(AB76,1)&gt;1)</f>
        <v>0</v>
      </c>
      <c r="V76" s="1331"/>
      <c r="W76" s="1331"/>
      <c r="X76" s="764" t="s">
        <v>173</v>
      </c>
      <c r="Y76" s="1519"/>
      <c r="Z76" s="1541"/>
      <c r="AA76" s="422" t="s">
        <v>174</v>
      </c>
      <c r="AB76" s="119" t="s">
        <v>608</v>
      </c>
      <c r="AC76" s="1972"/>
      <c r="AD76" s="88" t="s">
        <v>594</v>
      </c>
      <c r="AE76" s="1927"/>
      <c r="AF76" s="1940"/>
      <c r="AG76" s="1971"/>
      <c r="AH76" s="1928"/>
      <c r="AI76" s="1927"/>
      <c r="AJ76" s="1940"/>
      <c r="AK76" s="1940"/>
      <c r="AL76" s="277">
        <f>IF(AI76&lt;&gt;0,AK76/AI76,0)</f>
        <v>0</v>
      </c>
      <c r="AM76" s="276">
        <f>AK76-AJ76</f>
        <v>0</v>
      </c>
      <c r="AN76" s="1928"/>
      <c r="AO76" s="1927"/>
      <c r="AP76" s="1927"/>
      <c r="AQ76" s="1927"/>
      <c r="AR76" s="1927"/>
      <c r="AS76" s="1927"/>
      <c r="AT76" s="1927"/>
      <c r="AU76" s="1927"/>
      <c r="AV76" s="1927"/>
      <c r="AW76" s="1927"/>
      <c r="AX76" s="1927"/>
      <c r="AY76" s="1927"/>
      <c r="AZ76" s="1927"/>
      <c r="BA76" s="1927"/>
      <c r="BB76" s="1927"/>
      <c r="BC76" s="1927"/>
      <c r="BD76" s="1927"/>
      <c r="BE76" s="1927"/>
      <c r="BF76" s="1927"/>
      <c r="BG76" s="1331"/>
      <c r="BH76" s="1331"/>
      <c r="BI76" s="1005" t="s">
        <v>610</v>
      </c>
      <c r="BJ76" s="1005" t="s">
        <v>611</v>
      </c>
      <c r="BK76" s="1005" cm="1" t="str">
        <f t="array" ref="BK76:BK76">AC76</f>
        <v>0</v>
      </c>
      <c r="BL76" s="1182"/>
      <c r="BM76" s="623" t="b">
        <v>1</v>
      </c>
    </row>
    <row s="1656" customFormat="1" customHeight="1" ht="14.25">
      <c r="A77" s="1331"/>
      <c r="B77" s="1223"/>
      <c r="C77" s="1331"/>
      <c r="D77" s="1331"/>
      <c r="E77" s="623">
        <v>15</v>
      </c>
      <c r="F77" s="50" cm="1" t="str">
        <f t="array" ref="F77:F77">OFFSET(E77,-1,1)</f>
        <v>1</v>
      </c>
      <c r="G77" s="1331"/>
      <c r="H77" s="1331"/>
      <c r="I77" s="1331"/>
      <c r="J77" s="1331"/>
      <c r="K77" s="1331"/>
      <c r="L77" s="1331"/>
      <c r="M77" s="1331"/>
      <c r="N77" s="1331"/>
      <c r="O77" s="1331"/>
      <c r="P77" s="1331"/>
      <c r="Q77" s="1331"/>
      <c r="R77" s="1331"/>
      <c r="S77" s="1331"/>
      <c r="T77" s="1331"/>
      <c r="U77" s="468">
        <f>F77&gt;0</f>
        <v>1</v>
      </c>
      <c r="V77" s="1331"/>
      <c r="W77" s="1331"/>
      <c r="X77" s="764" t="s">
        <v>421</v>
      </c>
      <c r="Y77" s="1519"/>
      <c r="Z77" s="1541"/>
      <c r="AA77" s="1331"/>
      <c r="AB77" s="171"/>
      <c r="AC77" s="304" t="s">
        <v>177</v>
      </c>
      <c r="AD77" s="172"/>
      <c r="AE77" s="172"/>
      <c r="AF77" s="172"/>
      <c r="AG77" s="172"/>
      <c r="AH77" s="172"/>
      <c r="AI77" s="172"/>
      <c r="AJ77" s="172"/>
      <c r="AK77" s="172"/>
      <c r="AL77" s="172"/>
      <c r="AM77" s="172"/>
      <c r="AN77" s="172"/>
      <c r="AO77" s="172"/>
      <c r="AP77" s="172"/>
      <c r="AQ77" s="172"/>
      <c r="AR77" s="172"/>
      <c r="AS77" s="172"/>
      <c r="AT77" s="172"/>
      <c r="AU77" s="172"/>
      <c r="AV77" s="172"/>
      <c r="AW77" s="172"/>
      <c r="AX77" s="172"/>
      <c r="AY77" s="172"/>
      <c r="AZ77" s="172"/>
      <c r="BA77" s="172"/>
      <c r="BB77" s="172"/>
      <c r="BC77" s="172"/>
      <c r="BD77" s="172"/>
      <c r="BE77" s="172"/>
      <c r="BF77" s="172"/>
      <c r="BG77" s="1331"/>
      <c r="BH77" s="1331"/>
      <c r="BI77" s="1245"/>
      <c r="BJ77" s="1245"/>
      <c r="BK77" s="1245"/>
      <c r="BL77" s="623" t="s">
        <v>611</v>
      </c>
      <c r="BM77" s="1182"/>
    </row>
    <row s="1656" customFormat="1" customHeight="1" ht="131.671875">
      <c r="A78" s="1331"/>
      <c r="B78" s="1223"/>
      <c r="C78" s="1331"/>
      <c r="D78" s="1331"/>
      <c r="E78" s="623">
        <v>15</v>
      </c>
      <c r="F78" s="50" cm="1" t="str">
        <f t="array" ref="F78:F78">OFFSET(E78,-1,1)</f>
        <v>1</v>
      </c>
      <c r="G78" s="1331"/>
      <c r="H78" s="118" t="s">
        <v>348</v>
      </c>
      <c r="I78" s="1331"/>
      <c r="J78" s="1331"/>
      <c r="K78" s="1331"/>
      <c r="L78" s="1331"/>
      <c r="M78" s="1331"/>
      <c r="N78" s="1331"/>
      <c r="O78" s="1331"/>
      <c r="P78" s="1331"/>
      <c r="Q78" s="1331"/>
      <c r="R78" s="1331"/>
      <c r="S78" s="1331"/>
      <c r="T78" s="1331"/>
      <c r="U78" s="468" cm="1" t="str">
        <f t="array" ref="U78:U78">U77</f>
        <v>true</v>
      </c>
      <c r="V78" s="1331"/>
      <c r="W78" s="1331"/>
      <c r="X78" s="1331"/>
      <c r="Y78" s="1519"/>
      <c r="Z78" s="1541"/>
      <c r="AA78" s="1331"/>
      <c r="AB78" s="129">
        <v>3</v>
      </c>
      <c r="AC78" s="135" t="s">
        <v>612</v>
      </c>
      <c r="AD78" s="132" t="s">
        <v>561</v>
      </c>
      <c r="AE78" s="272">
        <v>2.2</v>
      </c>
      <c r="AF78" s="274">
        <v>2.2</v>
      </c>
      <c r="AG78" s="275">
        <v>2.2</v>
      </c>
      <c r="AH78" s="196" t="s">
        <v>631</v>
      </c>
      <c r="AI78" s="272">
        <v>2.2</v>
      </c>
      <c r="AJ78" s="274">
        <v>2.2</v>
      </c>
      <c r="AK78" s="274">
        <v>2.2</v>
      </c>
      <c r="AL78" s="277">
        <f>IF(AI78&lt;&gt;0,AK78/AI78,0)</f>
        <v>1</v>
      </c>
      <c r="AM78" s="276">
        <f>AK78-AJ78</f>
        <v>0</v>
      </c>
      <c r="AN78" s="196" t="s">
        <v>631</v>
      </c>
      <c r="AO78" s="1927"/>
      <c r="AP78" s="1927"/>
      <c r="AQ78" s="1927"/>
      <c r="AR78" s="1927"/>
      <c r="AS78" s="1927"/>
      <c r="AT78" s="1927"/>
      <c r="AU78" s="1927"/>
      <c r="AV78" s="1927"/>
      <c r="AW78" s="1927"/>
      <c r="AX78" s="1927"/>
      <c r="AY78" s="1927"/>
      <c r="AZ78" s="1927"/>
      <c r="BA78" s="1927"/>
      <c r="BB78" s="1927"/>
      <c r="BC78" s="1927"/>
      <c r="BD78" s="1927"/>
      <c r="BE78" s="1927"/>
      <c r="BF78" s="1927"/>
      <c r="BG78" s="1331"/>
      <c r="BH78" s="1331"/>
      <c r="BI78" s="1005" t="s">
        <v>613</v>
      </c>
      <c r="BJ78" s="1245"/>
      <c r="BK78" s="1245"/>
      <c r="BL78" s="1182"/>
      <c r="BM78" s="1182"/>
    </row>
    <row s="1656" customFormat="1" customHeight="1" ht="14.25">
      <c r="A79" s="1331"/>
      <c r="B79" s="1223"/>
      <c r="C79" s="1331"/>
      <c r="D79" s="1331"/>
      <c r="E79" s="623">
        <v>15</v>
      </c>
      <c r="F79" s="50" cm="1" t="str">
        <f t="array" ref="F79:F79">OFFSET(E79,-1,1)</f>
        <v>1</v>
      </c>
      <c r="G79" s="1331"/>
      <c r="H79" s="118" t="s">
        <v>347</v>
      </c>
      <c r="I79" s="1331"/>
      <c r="J79" s="1331"/>
      <c r="K79" s="1331"/>
      <c r="L79" s="1331"/>
      <c r="M79" s="1331"/>
      <c r="N79" s="1331"/>
      <c r="O79" s="1331"/>
      <c r="P79" s="1331"/>
      <c r="Q79" s="1331"/>
      <c r="R79" s="1331"/>
      <c r="S79" s="1331"/>
      <c r="T79" s="1331"/>
      <c r="U79" s="468" cm="1" t="str">
        <f t="array" ref="U79:U79">U78</f>
        <v>true</v>
      </c>
      <c r="V79" s="1331"/>
      <c r="W79" s="1331"/>
      <c r="X79" s="1331"/>
      <c r="Y79" s="1519"/>
      <c r="Z79" s="1541"/>
      <c r="AA79" s="1331"/>
      <c r="AB79" s="129">
        <v>4</v>
      </c>
      <c r="AC79" s="135" t="s">
        <v>614</v>
      </c>
      <c r="AD79" s="132" t="s">
        <v>561</v>
      </c>
      <c r="AE79" s="272"/>
      <c r="AF79" s="274"/>
      <c r="AG79" s="275"/>
      <c r="AH79" s="196"/>
      <c r="AI79" s="272"/>
      <c r="AJ79" s="274"/>
      <c r="AK79" s="274"/>
      <c r="AL79" s="277">
        <f>IF(AI79&lt;&gt;0,AK79/AI79,0)</f>
        <v>0</v>
      </c>
      <c r="AM79" s="276">
        <f>AK79-AJ79</f>
        <v>0</v>
      </c>
      <c r="AN79" s="196"/>
      <c r="AO79" s="1927"/>
      <c r="AP79" s="1927"/>
      <c r="AQ79" s="1927"/>
      <c r="AR79" s="1927"/>
      <c r="AS79" s="1927"/>
      <c r="AT79" s="1927"/>
      <c r="AU79" s="1927"/>
      <c r="AV79" s="1927"/>
      <c r="AW79" s="1927"/>
      <c r="AX79" s="1927"/>
      <c r="AY79" s="1927"/>
      <c r="AZ79" s="1927"/>
      <c r="BA79" s="1927"/>
      <c r="BB79" s="1927"/>
      <c r="BC79" s="1927"/>
      <c r="BD79" s="1927"/>
      <c r="BE79" s="1927"/>
      <c r="BF79" s="1927"/>
      <c r="BG79" s="1331"/>
      <c r="BH79" s="1331"/>
      <c r="BI79" s="1005" t="s">
        <v>615</v>
      </c>
      <c r="BJ79" s="1245"/>
      <c r="BK79" s="1245"/>
      <c r="BL79" s="1182"/>
      <c r="BM79" s="1182"/>
    </row>
    <row s="1656" customFormat="1" customHeight="1" ht="112.921875">
      <c r="A80" s="1331"/>
      <c r="B80" s="1223"/>
      <c r="C80" s="1331"/>
      <c r="D80" s="1331"/>
      <c r="E80" s="623">
        <v>15</v>
      </c>
      <c r="F80" s="50" cm="1" t="str">
        <f t="array" ref="F80:F80">OFFSET(E80,-1,1)</f>
        <v>1</v>
      </c>
      <c r="G80" s="1331"/>
      <c r="H80" s="118" t="s">
        <v>616</v>
      </c>
      <c r="I80" s="1331"/>
      <c r="J80" s="1331"/>
      <c r="K80" s="1331"/>
      <c r="L80" s="1331"/>
      <c r="M80" s="1331"/>
      <c r="N80" s="1331"/>
      <c r="O80" s="1331"/>
      <c r="P80" s="1331"/>
      <c r="Q80" s="1331"/>
      <c r="R80" s="1331"/>
      <c r="S80" s="1331"/>
      <c r="T80" s="1331"/>
      <c r="U80" s="468" cm="1" t="str">
        <f t="array" ref="U80:U80">U79</f>
        <v>true</v>
      </c>
      <c r="V80" s="1331"/>
      <c r="W80" s="1331"/>
      <c r="X80" s="1331"/>
      <c r="Y80" s="1519"/>
      <c r="Z80" s="1541"/>
      <c r="AA80" s="1331"/>
      <c r="AB80" s="119" t="s">
        <v>454</v>
      </c>
      <c r="AC80" s="134" t="s">
        <v>617</v>
      </c>
      <c r="AD80" s="132"/>
      <c r="AE80" s="275">
        <f>(1.194+0.299)/100</f>
        <v>0.01493</v>
      </c>
      <c r="AF80" s="275">
        <f>9.202/100+2.304/100</f>
        <v>0.11506</v>
      </c>
      <c r="AG80" s="275">
        <f>9.202/100+2.304/100</f>
        <v>0.11506</v>
      </c>
      <c r="AH80" s="280" t="s">
        <v>632</v>
      </c>
      <c r="AI80" s="275">
        <f>1.194/100+0.299/100</f>
        <v>0.01493</v>
      </c>
      <c r="AJ80" s="275">
        <f>9.202/100+2.304/100</f>
        <v>0.11506</v>
      </c>
      <c r="AK80" s="275">
        <f>9.202/100+2.304/100</f>
        <v>0.11506</v>
      </c>
      <c r="AL80" s="277">
        <f>IF(AI80&lt;&gt;0,AK80/AI80,0)</f>
        <v>7.70663094440723</v>
      </c>
      <c r="AM80" s="276">
        <f>AK80-AJ80</f>
        <v>0</v>
      </c>
      <c r="AN80" s="280" t="s">
        <v>633</v>
      </c>
      <c r="AO80" s="1971"/>
      <c r="AP80" s="1971"/>
      <c r="AQ80" s="1971"/>
      <c r="AR80" s="1971"/>
      <c r="AS80" s="1971"/>
      <c r="AT80" s="1971"/>
      <c r="AU80" s="1971"/>
      <c r="AV80" s="1971"/>
      <c r="AW80" s="1971"/>
      <c r="AX80" s="1971"/>
      <c r="AY80" s="1971"/>
      <c r="AZ80" s="1971"/>
      <c r="BA80" s="1971"/>
      <c r="BB80" s="1971"/>
      <c r="BC80" s="1971"/>
      <c r="BD80" s="1971"/>
      <c r="BE80" s="1971"/>
      <c r="BF80" s="1971"/>
      <c r="BG80" s="1331"/>
      <c r="BH80" s="1331"/>
      <c r="BI80" s="1005" t="s">
        <v>618</v>
      </c>
      <c r="BJ80" s="1245"/>
      <c r="BK80" s="1245"/>
      <c r="BL80" s="1182"/>
      <c r="BM80" s="1182"/>
    </row>
    <row s="1656" customFormat="1" customHeight="1" ht="97.921875">
      <c r="A81" s="1331"/>
      <c r="B81" s="1223"/>
      <c r="C81" s="1331"/>
      <c r="D81" s="1331"/>
      <c r="E81" s="623">
        <v>15</v>
      </c>
      <c r="F81" s="50" cm="1" t="str">
        <f t="array" ref="F81:F81">OFFSET(E81,-1,1)</f>
        <v>1</v>
      </c>
      <c r="G81" s="1331"/>
      <c r="H81" s="118" t="s">
        <v>619</v>
      </c>
      <c r="I81" s="1331"/>
      <c r="J81" s="1331"/>
      <c r="K81" s="1331"/>
      <c r="L81" s="1331"/>
      <c r="M81" s="1331"/>
      <c r="N81" s="1331"/>
      <c r="O81" s="1331"/>
      <c r="P81" s="1331"/>
      <c r="Q81" s="1331"/>
      <c r="R81" s="1331"/>
      <c r="S81" s="1331"/>
      <c r="T81" s="1331"/>
      <c r="U81" s="468" cm="1" t="str">
        <f t="array" ref="U81:U81">U80</f>
        <v>true</v>
      </c>
      <c r="V81" s="1331"/>
      <c r="W81" s="1331"/>
      <c r="X81" s="1331"/>
      <c r="Y81" s="1519"/>
      <c r="Z81" s="1541"/>
      <c r="AA81" s="1331"/>
      <c r="AB81" s="119" t="s">
        <v>457</v>
      </c>
      <c r="AC81" s="133" t="s">
        <v>620</v>
      </c>
      <c r="AD81" s="132"/>
      <c r="AE81" s="275">
        <f>0.25+0.2039</f>
        <v>0.4539</v>
      </c>
      <c r="AF81" s="275">
        <f>0.25+0.2039</f>
        <v>0.4539</v>
      </c>
      <c r="AG81" s="275">
        <f>0.25+0.2039</f>
        <v>0.4539</v>
      </c>
      <c r="AH81" s="280" t="s">
        <v>634</v>
      </c>
      <c r="AI81" s="275">
        <f>0.25+0.2039</f>
        <v>0.4539</v>
      </c>
      <c r="AJ81" s="275">
        <f>0.25+0.2039</f>
        <v>0.4539</v>
      </c>
      <c r="AK81" s="275">
        <f>0.25+0.2039</f>
        <v>0.4539</v>
      </c>
      <c r="AL81" s="277">
        <f>IF(AI81&lt;&gt;0,AK81/AI81,0)</f>
        <v>1</v>
      </c>
      <c r="AM81" s="276">
        <f>AK81-AJ81</f>
        <v>0</v>
      </c>
      <c r="AN81" s="280" t="s">
        <v>634</v>
      </c>
      <c r="AO81" s="1971"/>
      <c r="AP81" s="1971"/>
      <c r="AQ81" s="1971"/>
      <c r="AR81" s="1971"/>
      <c r="AS81" s="1971"/>
      <c r="AT81" s="1971"/>
      <c r="AU81" s="1971"/>
      <c r="AV81" s="1971"/>
      <c r="AW81" s="1971"/>
      <c r="AX81" s="1971"/>
      <c r="AY81" s="1971"/>
      <c r="AZ81" s="1971"/>
      <c r="BA81" s="1971"/>
      <c r="BB81" s="1971"/>
      <c r="BC81" s="1971"/>
      <c r="BD81" s="1971"/>
      <c r="BE81" s="1971"/>
      <c r="BF81" s="1971"/>
      <c r="BG81" s="1331"/>
      <c r="BH81" s="1331"/>
      <c r="BI81" s="1005" t="s">
        <v>621</v>
      </c>
      <c r="BJ81" s="1245"/>
      <c r="BK81" s="1245"/>
      <c r="BL81" s="1182"/>
      <c r="BM81" s="1182"/>
    </row>
    <row s="2114" customFormat="1" customHeight="1" ht="28.171875">
      <c r="A82" s="1189"/>
      <c r="B82" s="431"/>
      <c r="C82" s="1189"/>
      <c r="D82" s="1189"/>
      <c r="E82" s="635">
        <v>15</v>
      </c>
      <c r="F82" s="756" cm="1" t="str">
        <f t="array" ref="F82:F82">Y82</f>
        <v>2</v>
      </c>
      <c r="G82" s="1189"/>
      <c r="H82" s="1189"/>
      <c r="I82" s="1189"/>
      <c r="J82" s="1189"/>
      <c r="K82" s="1189"/>
      <c r="L82" s="1189"/>
      <c r="M82" s="1189"/>
      <c r="N82" s="1189"/>
      <c r="O82" s="1189"/>
      <c r="P82" s="1189"/>
      <c r="Q82" s="1189"/>
      <c r="R82" s="1189"/>
      <c r="S82" s="1189"/>
      <c r="T82" s="1189"/>
      <c r="U82" s="468">
        <f>Y82&gt;0</f>
        <v>1</v>
      </c>
      <c r="V82" s="1189"/>
      <c r="W82" s="140" cm="1" t="str">
        <f t="array" ref="W82:W82">'Список объектов'!$AB$56</f>
        <v>Тариф 2 (Водоотведение) - тариф на водоотведение (Оказание услуг на территории: город Ленинск-Кузнецкий (ОКТМО: 32719000) - г Ленинск-Кузнецкий)</v>
      </c>
      <c r="X82" s="1189"/>
      <c r="Y82" s="1519" t="s">
        <v>299</v>
      </c>
      <c r="Z82" s="1541"/>
      <c r="AA82" s="1189"/>
      <c r="AB82" s="179" cm="1" t="str">
        <f t="array" ref="AB82:AB82">'Список объектов'!$AB$56</f>
        <v>Тариф 2 (Водоотведение) - тариф на водоотведение (Оказание услуг на территории: город Ленинск-Кузнецкий (ОКТМО: 32719000) - г Ленинск-Кузнецкий)</v>
      </c>
      <c r="AC82" s="176"/>
      <c r="AD82" s="170"/>
      <c r="AE82" s="170"/>
      <c r="AF82" s="170"/>
      <c r="AG82" s="170"/>
      <c r="AH82" s="170"/>
      <c r="AI82" s="170"/>
      <c r="AJ82" s="170"/>
      <c r="AK82" s="170"/>
      <c r="AL82" s="170"/>
      <c r="AM82" s="170"/>
      <c r="AN82" s="170"/>
      <c r="AO82" s="170"/>
      <c r="AP82" s="170"/>
      <c r="AQ82" s="170"/>
      <c r="AR82" s="170"/>
      <c r="AS82" s="170"/>
      <c r="AT82" s="170"/>
      <c r="AU82" s="170"/>
      <c r="AV82" s="170"/>
      <c r="AW82" s="170"/>
      <c r="AX82" s="170"/>
      <c r="AY82" s="170"/>
      <c r="AZ82" s="170"/>
      <c r="BA82" s="170"/>
      <c r="BB82" s="170"/>
      <c r="BC82" s="170"/>
      <c r="BD82" s="170"/>
      <c r="BE82" s="170"/>
      <c r="BF82" s="170"/>
      <c r="BG82" s="1189"/>
      <c r="BH82" s="1189"/>
      <c r="BI82" s="1021"/>
      <c r="BJ82" s="1021"/>
      <c r="BK82" s="1021"/>
      <c r="BL82" s="635"/>
      <c r="BM82" s="635"/>
    </row>
    <row s="1656" customFormat="1" customHeight="1" ht="16.921875">
      <c r="A83" s="1331"/>
      <c r="B83" s="1223"/>
      <c r="C83" s="1331"/>
      <c r="D83" s="1331"/>
      <c r="E83" s="623">
        <v>15</v>
      </c>
      <c r="F83" s="50" cm="1" t="str">
        <f t="array" ref="F83:F83">OFFSET(E83,-1,1)</f>
        <v>2</v>
      </c>
      <c r="G83" s="118" t="s">
        <v>563</v>
      </c>
      <c r="H83" s="1331"/>
      <c r="I83" s="1331"/>
      <c r="J83" s="1331"/>
      <c r="K83" s="1331"/>
      <c r="L83" s="1331"/>
      <c r="M83" s="1331"/>
      <c r="N83" s="1331"/>
      <c r="O83" s="1331"/>
      <c r="P83" s="1331"/>
      <c r="Q83" s="1331"/>
      <c r="R83" s="1331"/>
      <c r="S83" s="1331"/>
      <c r="T83" s="1331"/>
      <c r="U83" s="468" cm="1" t="str">
        <f t="array" ref="U83:U83">U82</f>
        <v>true</v>
      </c>
      <c r="V83" s="1331"/>
      <c r="W83" s="1331"/>
      <c r="X83" s="1331"/>
      <c r="Y83" s="1519"/>
      <c r="Z83" s="1541"/>
      <c r="AA83" s="1331"/>
      <c r="AB83" s="266"/>
      <c r="AC83" s="267" t="s">
        <v>564</v>
      </c>
      <c r="AD83" s="268"/>
      <c r="AE83" s="268"/>
      <c r="AF83" s="268"/>
      <c r="AG83" s="268"/>
      <c r="AH83" s="268"/>
      <c r="AI83" s="301">
        <f>(1-AI84/100)*(1+AI85/100)*(1+AI87/100)</f>
        <v>1.09</v>
      </c>
      <c r="AJ83" s="301">
        <f>(1-AJ84/100)*(1+AJ85/100)*(1+AJ87/100)</f>
        <v>1.03257</v>
      </c>
      <c r="AK83" s="301">
        <f>(1-AK84/100)*(1+AK85/100)*(1+AK87/100)</f>
        <v>1.04049</v>
      </c>
      <c r="AL83" s="268"/>
      <c r="AM83" s="268"/>
      <c r="AN83" s="268"/>
      <c r="AO83" s="301">
        <f>(1-AO84/100)*(1+AO85/100)*(1+AO87/100)</f>
        <v>1</v>
      </c>
      <c r="AP83" s="301">
        <f>(1-AP84/100)*(1+AP85/100)*(1+AP87/100)</f>
        <v>1</v>
      </c>
      <c r="AQ83" s="301">
        <f>(1-AQ84/100)*(1+AQ85/100)*(1+AQ87/100)</f>
        <v>1</v>
      </c>
      <c r="AR83" s="301">
        <f>(1-AR84/100)*(1+AR85/100)*(1+AR87/100)</f>
        <v>1</v>
      </c>
      <c r="AS83" s="301">
        <f>(1-AS84/100)*(1+AS85/100)*(1+AS87/100)</f>
        <v>1</v>
      </c>
      <c r="AT83" s="301">
        <f>(1-AT84/100)*(1+AT85/100)*(1+AT87/100)</f>
        <v>1</v>
      </c>
      <c r="AU83" s="301">
        <f>(1-AU84/100)*(1+AU85/100)*(1+AU87/100)</f>
        <v>1</v>
      </c>
      <c r="AV83" s="301">
        <f>(1-AV84/100)*(1+AV85/100)*(1+AV87/100)</f>
        <v>1</v>
      </c>
      <c r="AW83" s="301">
        <f>(1-AW84/100)*(1+AW85/100)*(1+AW87/100)</f>
        <v>1</v>
      </c>
      <c r="AX83" s="301">
        <f>(1-AX84/100)*(1+AX85/100)*(1+AX87/100)</f>
        <v>1</v>
      </c>
      <c r="AY83" s="301">
        <f>(1-AY84/100)*(1+AY85/100)*(1+AY87/100)</f>
        <v>1</v>
      </c>
      <c r="AZ83" s="301">
        <f>(1-AZ84/100)*(1+AZ85/100)*(1+AZ87/100)</f>
        <v>1</v>
      </c>
      <c r="BA83" s="301">
        <f>(1-BA84/100)*(1+BA85/100)*(1+BA87/100)</f>
        <v>1</v>
      </c>
      <c r="BB83" s="301">
        <f>(1-BB84/100)*(1+BB85/100)*(1+BB87/100)</f>
        <v>1</v>
      </c>
      <c r="BC83" s="301">
        <f>(1-BC84/100)*(1+BC85/100)*(1+BC87/100)</f>
        <v>1</v>
      </c>
      <c r="BD83" s="301">
        <f>(1-BD84/100)*(1+BD85/100)*(1+BD87/100)</f>
        <v>1</v>
      </c>
      <c r="BE83" s="301">
        <f>(1-BE84/100)*(1+BE85/100)*(1+BE87/100)</f>
        <v>1</v>
      </c>
      <c r="BF83" s="301">
        <f>(1-BF84/100)*(1+BF85/100)*(1+BF87/100)</f>
        <v>1</v>
      </c>
      <c r="BG83" s="1331"/>
      <c r="BH83" s="1331"/>
      <c r="BI83" s="1245"/>
      <c r="BJ83" s="1245"/>
      <c r="BK83" s="1245"/>
      <c r="BL83" s="1182"/>
      <c r="BM83" s="1182"/>
    </row>
    <row s="1656" customFormat="1" customHeight="1" ht="87.421875">
      <c r="A84" s="1331"/>
      <c r="B84" s="448">
        <f>method_reg&lt;&gt;"Метод экономически обоснованных расходов"</f>
        <v>1</v>
      </c>
      <c r="C84" s="1331"/>
      <c r="D84" s="1331"/>
      <c r="E84" s="623">
        <v>22.5</v>
      </c>
      <c r="F84" s="50" cm="1" t="str">
        <f t="array" ref="F84:F84">OFFSET(E84,-1,1)</f>
        <v>2</v>
      </c>
      <c r="G84" s="118" t="s">
        <v>565</v>
      </c>
      <c r="H84" s="118" t="s">
        <v>566</v>
      </c>
      <c r="I84" s="1331"/>
      <c r="J84" s="1331"/>
      <c r="K84" s="1331"/>
      <c r="L84" s="1331"/>
      <c r="M84" s="1331"/>
      <c r="N84" s="1331"/>
      <c r="O84" s="1331"/>
      <c r="P84" s="1331"/>
      <c r="Q84" s="1331"/>
      <c r="R84" s="1331"/>
      <c r="S84" s="1331"/>
      <c r="T84" s="1331"/>
      <c r="U84" s="468" cm="1" t="str">
        <f t="array" ref="U84:U84">U83</f>
        <v>true</v>
      </c>
      <c r="V84" s="1331"/>
      <c r="W84" s="1331"/>
      <c r="X84" s="1331"/>
      <c r="Y84" s="1519"/>
      <c r="Z84" s="1541"/>
      <c r="AA84" s="1331"/>
      <c r="AB84" s="129">
        <v>1</v>
      </c>
      <c r="AC84" s="130" t="s">
        <v>567</v>
      </c>
      <c r="AD84" s="132" t="s">
        <v>561</v>
      </c>
      <c r="AE84" s="272">
        <v>1</v>
      </c>
      <c r="AF84" s="272">
        <v>1</v>
      </c>
      <c r="AG84" s="272">
        <v>1</v>
      </c>
      <c r="AH84" s="196" t="s">
        <v>622</v>
      </c>
      <c r="AI84" s="272">
        <v>0</v>
      </c>
      <c r="AJ84" s="272">
        <v>1</v>
      </c>
      <c r="AK84" s="272">
        <v>1</v>
      </c>
      <c r="AL84" s="277">
        <f>IF(AI84&lt;&gt;0,AK84/AI84,0)</f>
        <v>0</v>
      </c>
      <c r="AM84" s="276">
        <f>AK84-AJ84</f>
        <v>0</v>
      </c>
      <c r="AN84" s="196" t="s">
        <v>622</v>
      </c>
      <c r="AO84" s="1927"/>
      <c r="AP84" s="1927"/>
      <c r="AQ84" s="1927"/>
      <c r="AR84" s="1927"/>
      <c r="AS84" s="1927"/>
      <c r="AT84" s="1927"/>
      <c r="AU84" s="1927"/>
      <c r="AV84" s="1927"/>
      <c r="AW84" s="1927"/>
      <c r="AX84" s="1927"/>
      <c r="AY84" s="1927"/>
      <c r="AZ84" s="1927"/>
      <c r="BA84" s="1927"/>
      <c r="BB84" s="1927"/>
      <c r="BC84" s="1927"/>
      <c r="BD84" s="1927"/>
      <c r="BE84" s="1927"/>
      <c r="BF84" s="1927"/>
      <c r="BG84" s="1331"/>
      <c r="BH84" s="1331"/>
      <c r="BI84" s="1005" t="s">
        <v>568</v>
      </c>
      <c r="BJ84" s="1245"/>
      <c r="BK84" s="1245"/>
      <c r="BL84" s="1182"/>
      <c r="BM84" s="1182"/>
    </row>
    <row s="1656" customFormat="1" customHeight="1" ht="64.171875">
      <c r="A85" s="1331"/>
      <c r="B85" s="1223"/>
      <c r="C85" s="1331"/>
      <c r="D85" s="1331"/>
      <c r="E85" s="623">
        <v>15</v>
      </c>
      <c r="F85" s="50" cm="1" t="str">
        <f t="array" ref="F85:F85">OFFSET(E85,-1,1)</f>
        <v>2</v>
      </c>
      <c r="G85" s="118" t="s">
        <v>569</v>
      </c>
      <c r="H85" s="118" t="s">
        <v>570</v>
      </c>
      <c r="I85" s="1331"/>
      <c r="J85" s="1331"/>
      <c r="K85" s="1331"/>
      <c r="L85" s="1331"/>
      <c r="M85" s="1331"/>
      <c r="N85" s="1331"/>
      <c r="O85" s="1331"/>
      <c r="P85" s="1331"/>
      <c r="Q85" s="1331"/>
      <c r="R85" s="1331"/>
      <c r="S85" s="1331"/>
      <c r="T85" s="1331"/>
      <c r="U85" s="468" cm="1" t="str">
        <f t="array" ref="U85:U85">U84</f>
        <v>true</v>
      </c>
      <c r="V85" s="1331"/>
      <c r="W85" s="1331"/>
      <c r="X85" s="1331"/>
      <c r="Y85" s="1519"/>
      <c r="Z85" s="1541"/>
      <c r="AA85" s="1331"/>
      <c r="AB85" s="129">
        <f>IF(B84,2,1)</f>
        <v>2</v>
      </c>
      <c r="AC85" s="131" t="s">
        <v>571</v>
      </c>
      <c r="AD85" s="132" t="s">
        <v>561</v>
      </c>
      <c r="AE85" s="272">
        <v>7.2</v>
      </c>
      <c r="AF85" s="272">
        <v>20</v>
      </c>
      <c r="AG85" s="272">
        <v>8.5</v>
      </c>
      <c r="AH85" s="196" t="s">
        <v>623</v>
      </c>
      <c r="AI85" s="272">
        <v>9</v>
      </c>
      <c r="AJ85" s="272">
        <v>4.3</v>
      </c>
      <c r="AK85" s="272">
        <v>5.1</v>
      </c>
      <c r="AL85" s="277">
        <f>IF(AI85&lt;&gt;0,AK85/AI85,0)</f>
        <v>0.566666666666667</v>
      </c>
      <c r="AM85" s="276">
        <f>AK85-AJ85</f>
        <v>0.8</v>
      </c>
      <c r="AN85" s="196" t="s">
        <v>624</v>
      </c>
      <c r="AO85" s="1927"/>
      <c r="AP85" s="1927"/>
      <c r="AQ85" s="1927"/>
      <c r="AR85" s="1927"/>
      <c r="AS85" s="1927"/>
      <c r="AT85" s="1927"/>
      <c r="AU85" s="1927"/>
      <c r="AV85" s="1927"/>
      <c r="AW85" s="1927"/>
      <c r="AX85" s="1927"/>
      <c r="AY85" s="1927"/>
      <c r="AZ85" s="1927"/>
      <c r="BA85" s="1927"/>
      <c r="BB85" s="1927"/>
      <c r="BC85" s="1927"/>
      <c r="BD85" s="1927"/>
      <c r="BE85" s="1927"/>
      <c r="BF85" s="1927"/>
      <c r="BG85" s="1331"/>
      <c r="BH85" s="1331"/>
      <c r="BI85" s="1005" t="s">
        <v>572</v>
      </c>
      <c r="BJ85" s="1245"/>
      <c r="BK85" s="1245"/>
      <c r="BL85" s="1182"/>
      <c r="BM85" s="1182"/>
    </row>
    <row s="1656" customFormat="1" customHeight="1" ht="61.171875">
      <c r="A86" s="1331"/>
      <c r="B86" s="1223"/>
      <c r="C86" s="1331"/>
      <c r="D86" s="1331"/>
      <c r="E86" s="623">
        <v>15</v>
      </c>
      <c r="F86" s="50" cm="1" t="str">
        <f t="array" ref="F86:F86">OFFSET(E86,-1,1)</f>
        <v>2</v>
      </c>
      <c r="G86" s="1331"/>
      <c r="H86" s="118" t="s">
        <v>573</v>
      </c>
      <c r="I86" s="1331"/>
      <c r="J86" s="1331"/>
      <c r="K86" s="1331"/>
      <c r="L86" s="1331"/>
      <c r="M86" s="1331"/>
      <c r="N86" s="1331"/>
      <c r="O86" s="1331"/>
      <c r="P86" s="1331"/>
      <c r="Q86" s="1331"/>
      <c r="R86" s="1331"/>
      <c r="S86" s="1331"/>
      <c r="T86" s="1331"/>
      <c r="U86" s="468" cm="1" t="str">
        <f t="array" ref="U86:U86">U85</f>
        <v>true</v>
      </c>
      <c r="V86" s="1331"/>
      <c r="W86" s="1331"/>
      <c r="X86" s="1331"/>
      <c r="Y86" s="1519"/>
      <c r="Z86" s="1541"/>
      <c r="AA86" s="1331"/>
      <c r="AB86" s="129">
        <f>AB85+1</f>
        <v>3</v>
      </c>
      <c r="AC86" s="133" t="s">
        <v>574</v>
      </c>
      <c r="AD86" s="132" t="s">
        <v>561</v>
      </c>
      <c r="AE86" s="272">
        <v>5.6</v>
      </c>
      <c r="AF86" s="272"/>
      <c r="AG86" s="272"/>
      <c r="AH86" s="196" t="s">
        <v>623</v>
      </c>
      <c r="AI86" s="272">
        <v>14.4</v>
      </c>
      <c r="AJ86" s="272"/>
      <c r="AK86" s="272">
        <v>13.2</v>
      </c>
      <c r="AL86" s="277">
        <f>IF(AI86&lt;&gt;0,AK86/AI86,0)</f>
        <v>0.916666666666667</v>
      </c>
      <c r="AM86" s="276">
        <f>AK86-AJ86</f>
        <v>13.2</v>
      </c>
      <c r="AN86" s="196" t="s">
        <v>624</v>
      </c>
      <c r="AO86" s="1927"/>
      <c r="AP86" s="1927"/>
      <c r="AQ86" s="1927"/>
      <c r="AR86" s="1927"/>
      <c r="AS86" s="1927"/>
      <c r="AT86" s="1927"/>
      <c r="AU86" s="1927"/>
      <c r="AV86" s="1927"/>
      <c r="AW86" s="1927"/>
      <c r="AX86" s="1927"/>
      <c r="AY86" s="1927"/>
      <c r="AZ86" s="1927"/>
      <c r="BA86" s="1927"/>
      <c r="BB86" s="1927"/>
      <c r="BC86" s="1927"/>
      <c r="BD86" s="1927"/>
      <c r="BE86" s="1927"/>
      <c r="BF86" s="1927"/>
      <c r="BG86" s="1331"/>
      <c r="BH86" s="1331"/>
      <c r="BI86" s="1005" t="s">
        <v>575</v>
      </c>
      <c r="BJ86" s="1245"/>
      <c r="BK86" s="1245"/>
      <c r="BL86" s="1182"/>
      <c r="BM86" s="1182"/>
    </row>
    <row s="1656" customFormat="1" customHeight="1" ht="50.671875">
      <c r="A87" s="1331"/>
      <c r="B87" s="448">
        <f>method_reg&lt;&gt;"Метод экономически обоснованных расходов"</f>
        <v>1</v>
      </c>
      <c r="C87" s="1331"/>
      <c r="D87" s="1331"/>
      <c r="E87" s="623">
        <v>15</v>
      </c>
      <c r="F87" s="50" cm="1" t="str">
        <f t="array" ref="F87:F87">OFFSET(E87,-1,1)</f>
        <v>2</v>
      </c>
      <c r="G87" s="118" t="s">
        <v>576</v>
      </c>
      <c r="H87" s="118" t="s">
        <v>577</v>
      </c>
      <c r="I87" s="1331"/>
      <c r="J87" s="1331"/>
      <c r="K87" s="1331"/>
      <c r="L87" s="1331"/>
      <c r="M87" s="1331"/>
      <c r="N87" s="1331"/>
      <c r="O87" s="1331"/>
      <c r="P87" s="1331"/>
      <c r="Q87" s="1331"/>
      <c r="R87" s="1331"/>
      <c r="S87" s="1331"/>
      <c r="T87" s="1331"/>
      <c r="U87" s="468" cm="1" t="str">
        <f t="array" ref="U87:U87">U86</f>
        <v>true</v>
      </c>
      <c r="V87" s="1331"/>
      <c r="W87" s="1331"/>
      <c r="X87" s="1331"/>
      <c r="Y87" s="1519"/>
      <c r="Z87" s="1541"/>
      <c r="AA87" s="1331"/>
      <c r="AB87" s="129">
        <v>4</v>
      </c>
      <c r="AC87" s="131" t="s">
        <v>578</v>
      </c>
      <c r="AD87" s="132" t="s">
        <v>561</v>
      </c>
      <c r="AE87" s="272">
        <v>0.0001865</v>
      </c>
      <c r="AF87" s="272">
        <v>0.0001189</v>
      </c>
      <c r="AG87" s="272">
        <v>0.00011892</v>
      </c>
      <c r="AH87" s="196" t="s">
        <v>635</v>
      </c>
      <c r="AI87" s="272">
        <v>0</v>
      </c>
      <c r="AJ87" s="272"/>
      <c r="AK87" s="272"/>
      <c r="AL87" s="277">
        <f>IF(AI87&lt;&gt;0,AK87/AI87,0)</f>
        <v>0</v>
      </c>
      <c r="AM87" s="276">
        <f>AK87-AJ87</f>
        <v>0</v>
      </c>
      <c r="AN87" s="196" t="s">
        <v>626</v>
      </c>
      <c r="AO87" s="1927"/>
      <c r="AP87" s="1927"/>
      <c r="AQ87" s="1927"/>
      <c r="AR87" s="1927"/>
      <c r="AS87" s="1927"/>
      <c r="AT87" s="1927"/>
      <c r="AU87" s="1927"/>
      <c r="AV87" s="1927"/>
      <c r="AW87" s="1927"/>
      <c r="AX87" s="1927"/>
      <c r="AY87" s="1927"/>
      <c r="AZ87" s="1927"/>
      <c r="BA87" s="1927"/>
      <c r="BB87" s="1927"/>
      <c r="BC87" s="1927"/>
      <c r="BD87" s="1927"/>
      <c r="BE87" s="1927"/>
      <c r="BF87" s="1927"/>
      <c r="BG87" s="1331"/>
      <c r="BH87" s="1331"/>
      <c r="BI87" s="1005" t="s">
        <v>579</v>
      </c>
      <c r="BJ87" s="1245"/>
      <c r="BK87" s="1245"/>
      <c r="BL87" s="1182"/>
      <c r="BM87" s="1182"/>
    </row>
    <row s="1441" customFormat="1" customHeight="1" ht="14.25">
      <c r="A88" s="145"/>
      <c r="B88" s="449"/>
      <c r="C88" s="145"/>
      <c r="D88" s="145"/>
      <c r="E88" s="682">
        <v>15</v>
      </c>
      <c r="F88" s="370" cm="1" t="str">
        <f t="array" ref="F88:F88">OFFSET(E88,-1,1)</f>
        <v>2</v>
      </c>
      <c r="G88" s="145"/>
      <c r="H88" s="145"/>
      <c r="I88" s="145"/>
      <c r="J88" s="145"/>
      <c r="K88" s="145"/>
      <c r="L88" s="145"/>
      <c r="M88" s="145"/>
      <c r="N88" s="145"/>
      <c r="O88" s="145"/>
      <c r="P88" s="145"/>
      <c r="Q88" s="145"/>
      <c r="R88" s="145"/>
      <c r="S88" s="145"/>
      <c r="T88" s="145"/>
      <c r="U88" s="468" cm="1" t="str">
        <f t="array" ref="U88:U88">U87</f>
        <v>true</v>
      </c>
      <c r="V88" s="145"/>
      <c r="W88" s="145"/>
      <c r="X88" s="145"/>
      <c r="Y88" s="1519"/>
      <c r="Z88" s="1541"/>
      <c r="AA88" s="145"/>
      <c r="AB88" s="129">
        <v>5</v>
      </c>
      <c r="AC88" s="131" t="s">
        <v>580</v>
      </c>
      <c r="AD88" s="132" t="s">
        <v>561</v>
      </c>
      <c r="AE88" s="272"/>
      <c r="AF88" s="272"/>
      <c r="AG88" s="272"/>
      <c r="AH88" s="196"/>
      <c r="AI88" s="272"/>
      <c r="AJ88" s="272"/>
      <c r="AK88" s="272"/>
      <c r="AL88" s="277">
        <f>IF(AI88&lt;&gt;0,AK88/AI88,0)</f>
        <v>0</v>
      </c>
      <c r="AM88" s="276">
        <f>AK88-AJ88</f>
        <v>0</v>
      </c>
      <c r="AN88" s="196"/>
      <c r="AO88" s="1927"/>
      <c r="AP88" s="1927"/>
      <c r="AQ88" s="1927"/>
      <c r="AR88" s="1927"/>
      <c r="AS88" s="1927"/>
      <c r="AT88" s="1927"/>
      <c r="AU88" s="1927"/>
      <c r="AV88" s="1927"/>
      <c r="AW88" s="1927"/>
      <c r="AX88" s="1927"/>
      <c r="AY88" s="1927"/>
      <c r="AZ88" s="1927"/>
      <c r="BA88" s="1927"/>
      <c r="BB88" s="1927"/>
      <c r="BC88" s="1927"/>
      <c r="BD88" s="1927"/>
      <c r="BE88" s="1927"/>
      <c r="BF88" s="1927"/>
      <c r="BG88" s="145"/>
      <c r="BH88" s="145"/>
      <c r="BI88" s="1046" t="s">
        <v>581</v>
      </c>
      <c r="BJ88" s="1046"/>
      <c r="BK88" s="1046"/>
      <c r="BL88" s="682"/>
      <c r="BM88" s="682"/>
    </row>
    <row s="1656" customFormat="1" customHeight="1" ht="26.671875">
      <c r="A89" s="1331"/>
      <c r="B89" s="1223"/>
      <c r="C89" s="1331"/>
      <c r="D89" s="1331"/>
      <c r="E89" s="623">
        <v>15</v>
      </c>
      <c r="F89" s="50" cm="1" t="str">
        <f t="array" ref="F89:F89">OFFSET(E89,-1,1)</f>
        <v>2</v>
      </c>
      <c r="G89" s="1331"/>
      <c r="H89" s="1331"/>
      <c r="I89" s="1331"/>
      <c r="J89" s="1331"/>
      <c r="K89" s="1331"/>
      <c r="L89" s="1331"/>
      <c r="M89" s="1331"/>
      <c r="N89" s="1331"/>
      <c r="O89" s="1331"/>
      <c r="P89" s="1331"/>
      <c r="Q89" s="1331"/>
      <c r="R89" s="1331"/>
      <c r="S89" s="1331"/>
      <c r="T89" s="1331"/>
      <c r="U89" s="468" cm="1" t="str">
        <f t="array" ref="U89:U89">U87</f>
        <v>true</v>
      </c>
      <c r="V89" s="1331"/>
      <c r="W89" s="1331"/>
      <c r="X89" s="1331"/>
      <c r="Y89" s="1519"/>
      <c r="Z89" s="1541"/>
      <c r="AA89" s="1331"/>
      <c r="AB89" s="266"/>
      <c r="AC89" s="267" t="s">
        <v>582</v>
      </c>
      <c r="AD89" s="268"/>
      <c r="AE89" s="273"/>
      <c r="AF89" s="273"/>
      <c r="AG89" s="273"/>
      <c r="AH89" s="268"/>
      <c r="AI89" s="273"/>
      <c r="AJ89" s="273"/>
      <c r="AK89" s="273"/>
      <c r="AL89" s="278"/>
      <c r="AM89" s="273"/>
      <c r="AN89" s="268"/>
      <c r="AO89" s="273"/>
      <c r="AP89" s="273"/>
      <c r="AQ89" s="273"/>
      <c r="AR89" s="273"/>
      <c r="AS89" s="273"/>
      <c r="AT89" s="273"/>
      <c r="AU89" s="273"/>
      <c r="AV89" s="273"/>
      <c r="AW89" s="273"/>
      <c r="AX89" s="273"/>
      <c r="AY89" s="273"/>
      <c r="AZ89" s="273"/>
      <c r="BA89" s="273"/>
      <c r="BB89" s="273"/>
      <c r="BC89" s="273"/>
      <c r="BD89" s="273"/>
      <c r="BE89" s="273"/>
      <c r="BF89" s="279"/>
      <c r="BG89" s="1331"/>
      <c r="BH89" s="1331"/>
      <c r="BI89" s="1245"/>
      <c r="BJ89" s="1245"/>
      <c r="BK89" s="1245"/>
      <c r="BL89" s="1182"/>
      <c r="BM89" s="1182"/>
    </row>
    <row s="1656" customFormat="1" customHeight="1" ht="14.625">
      <c r="A90" s="1331"/>
      <c r="B90" s="1223"/>
      <c r="C90" s="1331"/>
      <c r="D90" s="1331"/>
      <c r="E90" s="623">
        <v>15</v>
      </c>
      <c r="F90" s="50" cm="1" t="str">
        <f t="array" ref="F90:F90">OFFSET(E90,-1,1)</f>
        <v>2</v>
      </c>
      <c r="G90" s="118" t="s">
        <v>583</v>
      </c>
      <c r="H90" s="118" t="s">
        <v>584</v>
      </c>
      <c r="I90" s="1331"/>
      <c r="J90" s="1331"/>
      <c r="K90" s="1331"/>
      <c r="L90" s="1331"/>
      <c r="M90" s="1331"/>
      <c r="N90" s="1331"/>
      <c r="O90" s="1331"/>
      <c r="P90" s="1331"/>
      <c r="Q90" s="1331"/>
      <c r="R90" s="1331"/>
      <c r="S90" s="1331"/>
      <c r="T90" s="1331"/>
      <c r="U90" s="468" cm="1" t="str">
        <f t="array" ref="U90:U90">U89</f>
        <v>true</v>
      </c>
      <c r="V90" s="1331"/>
      <c r="W90" s="1331"/>
      <c r="X90" s="1331"/>
      <c r="Y90" s="1519"/>
      <c r="Z90" s="1541"/>
      <c r="AA90" s="1331"/>
      <c r="AB90" s="129">
        <v>1</v>
      </c>
      <c r="AC90" s="131" t="s">
        <v>585</v>
      </c>
      <c r="AD90" s="132" t="s">
        <v>561</v>
      </c>
      <c r="AE90" s="274">
        <v>30.2</v>
      </c>
      <c r="AF90" s="274">
        <v>30.2</v>
      </c>
      <c r="AG90" s="274">
        <v>30.2</v>
      </c>
      <c r="AH90" s="196"/>
      <c r="AI90" s="274">
        <v>30.2</v>
      </c>
      <c r="AJ90" s="274">
        <v>30.2</v>
      </c>
      <c r="AK90" s="274">
        <v>30.2</v>
      </c>
      <c r="AL90" s="277">
        <f>IF(AI90&lt;&gt;0,AK90/AI90,0)</f>
        <v>1</v>
      </c>
      <c r="AM90" s="276">
        <f>AK90-AJ90</f>
        <v>0</v>
      </c>
      <c r="AN90" s="196"/>
      <c r="AO90" s="1940"/>
      <c r="AP90" s="1940"/>
      <c r="AQ90" s="1940"/>
      <c r="AR90" s="1940"/>
      <c r="AS90" s="1940"/>
      <c r="AT90" s="1940"/>
      <c r="AU90" s="1940"/>
      <c r="AV90" s="1940"/>
      <c r="AW90" s="1940"/>
      <c r="AX90" s="1940"/>
      <c r="AY90" s="1940"/>
      <c r="AZ90" s="1940"/>
      <c r="BA90" s="1940"/>
      <c r="BB90" s="1940"/>
      <c r="BC90" s="1940"/>
      <c r="BD90" s="1940"/>
      <c r="BE90" s="1940"/>
      <c r="BF90" s="1940"/>
      <c r="BG90" s="1331"/>
      <c r="BH90" s="1331"/>
      <c r="BI90" s="1005" t="s">
        <v>586</v>
      </c>
      <c r="BJ90" s="1245"/>
      <c r="BK90" s="1245"/>
      <c r="BL90" s="1182"/>
      <c r="BM90" s="1182"/>
    </row>
    <row s="1656" customFormat="1" customHeight="1" ht="15" hidden="1">
      <c r="A91" s="1331"/>
      <c r="B91" s="1223"/>
      <c r="C91" s="1331"/>
      <c r="D91" s="1331"/>
      <c r="E91" s="623">
        <v>0</v>
      </c>
      <c r="F91" s="50" cm="1" t="str">
        <f t="array" ref="F91:F91">OFFSET(E91,-1,1)</f>
        <v>2</v>
      </c>
      <c r="G91" s="1331"/>
      <c r="H91" s="118" t="s">
        <v>587</v>
      </c>
      <c r="I91" s="1331"/>
      <c r="J91" s="1331"/>
      <c r="K91" s="1331"/>
      <c r="L91" s="1331"/>
      <c r="M91" s="1331"/>
      <c r="N91" s="1331"/>
      <c r="O91" s="1331"/>
      <c r="P91" s="1331"/>
      <c r="Q91" s="1331"/>
      <c r="R91" s="1331"/>
      <c r="S91" s="1331"/>
      <c r="T91" s="1331"/>
      <c r="U91" s="468" cm="1" t="str">
        <f t="array" ref="U91:U91">U90</f>
        <v>true</v>
      </c>
      <c r="V91" s="1331"/>
      <c r="W91" s="1331"/>
      <c r="X91" s="1331"/>
      <c r="Y91" s="1519"/>
      <c r="Z91" s="1541"/>
      <c r="AA91" s="1331"/>
      <c r="AB91" s="129">
        <v>2</v>
      </c>
      <c r="AC91" s="131" t="s">
        <v>560</v>
      </c>
      <c r="AD91" s="132" t="s">
        <v>561</v>
      </c>
      <c r="AE91" s="1940"/>
      <c r="AF91" s="1927"/>
      <c r="AG91" s="1940"/>
      <c r="AH91" s="1928"/>
      <c r="AI91" s="1940"/>
      <c r="AJ91" s="1940"/>
      <c r="AK91" s="1940"/>
      <c r="AL91" s="277">
        <f>IF(AI91&lt;&gt;0,AK91/AI91,0)</f>
        <v>0</v>
      </c>
      <c r="AM91" s="276">
        <f>AK91-AJ91</f>
        <v>0</v>
      </c>
      <c r="AN91" s="1928"/>
      <c r="AO91" s="1940"/>
      <c r="AP91" s="1940"/>
      <c r="AQ91" s="1940"/>
      <c r="AR91" s="1940"/>
      <c r="AS91" s="1940"/>
      <c r="AT91" s="1940"/>
      <c r="AU91" s="1940"/>
      <c r="AV91" s="1940"/>
      <c r="AW91" s="1940"/>
      <c r="AX91" s="1940"/>
      <c r="AY91" s="1940"/>
      <c r="AZ91" s="1940"/>
      <c r="BA91" s="1940"/>
      <c r="BB91" s="1940"/>
      <c r="BC91" s="1940"/>
      <c r="BD91" s="1940"/>
      <c r="BE91" s="1940"/>
      <c r="BF91" s="1940"/>
      <c r="BG91" s="1331"/>
      <c r="BH91" s="1331"/>
      <c r="BI91" s="1005" t="s">
        <v>588</v>
      </c>
      <c r="BJ91" s="1245"/>
      <c r="BK91" s="1245"/>
      <c r="BL91" s="1182"/>
      <c r="BM91" s="1182"/>
    </row>
    <row s="1656" customFormat="1" customHeight="1" ht="14.25">
      <c r="A92" s="1331"/>
      <c r="B92" s="1223"/>
      <c r="C92" s="1331"/>
      <c r="D92" s="1331"/>
      <c r="E92" s="623">
        <v>15</v>
      </c>
      <c r="F92" s="50" cm="1" t="str">
        <f t="array" ref="F92:F92">OFFSET(E92,-1,1)</f>
        <v>2</v>
      </c>
      <c r="G92" s="1331"/>
      <c r="H92" s="1331"/>
      <c r="I92" s="1331"/>
      <c r="J92" s="1331"/>
      <c r="K92" s="1331"/>
      <c r="L92" s="1331"/>
      <c r="M92" s="1331"/>
      <c r="N92" s="1331"/>
      <c r="O92" s="1331"/>
      <c r="P92" s="1331"/>
      <c r="Q92" s="1331"/>
      <c r="R92" s="1331"/>
      <c r="S92" s="1331"/>
      <c r="T92" s="1331"/>
      <c r="U92" s="468" cm="1" t="str">
        <f t="array" ref="U92:U92">U91</f>
        <v>true</v>
      </c>
      <c r="V92" s="1331"/>
      <c r="W92" s="1331"/>
      <c r="X92" s="1331"/>
      <c r="Y92" s="1519"/>
      <c r="Z92" s="1541"/>
      <c r="AA92" s="1331"/>
      <c r="AB92" s="611">
        <v>2</v>
      </c>
      <c r="AC92" s="612" t="s">
        <v>589</v>
      </c>
      <c r="AD92" s="90"/>
      <c r="AE92" s="613"/>
      <c r="AF92" s="614"/>
      <c r="AG92" s="615"/>
      <c r="AH92" s="616"/>
      <c r="AI92" s="613"/>
      <c r="AJ92" s="614"/>
      <c r="AK92" s="614"/>
      <c r="AL92" s="617"/>
      <c r="AM92" s="614"/>
      <c r="AN92" s="616"/>
      <c r="AO92" s="613"/>
      <c r="AP92" s="613"/>
      <c r="AQ92" s="613"/>
      <c r="AR92" s="613"/>
      <c r="AS92" s="613"/>
      <c r="AT92" s="613"/>
      <c r="AU92" s="613"/>
      <c r="AV92" s="613"/>
      <c r="AW92" s="613"/>
      <c r="AX92" s="613"/>
      <c r="AY92" s="613"/>
      <c r="AZ92" s="613"/>
      <c r="BA92" s="613"/>
      <c r="BB92" s="613"/>
      <c r="BC92" s="613"/>
      <c r="BD92" s="613"/>
      <c r="BE92" s="613"/>
      <c r="BF92" s="613"/>
      <c r="BG92" s="1331"/>
      <c r="BH92" s="1331"/>
      <c r="BI92" s="1005" t="s">
        <v>590</v>
      </c>
      <c r="BJ92" s="1245"/>
      <c r="BK92" s="1245"/>
      <c r="BL92" s="1182"/>
      <c r="BM92" s="1182"/>
    </row>
    <row s="1656" customFormat="1" customHeight="1" ht="21.75">
      <c r="A93" s="1331"/>
      <c r="B93" s="1223"/>
      <c r="C93" s="1331"/>
      <c r="D93" s="1331"/>
      <c r="E93" s="623">
        <v>22.5</v>
      </c>
      <c r="F93" s="50" cm="1" t="str">
        <f t="array" ref="F93:F93">OFFSET(E93,-1,1)</f>
        <v>2</v>
      </c>
      <c r="G93" s="1331"/>
      <c r="H93" s="118" t="s">
        <v>591</v>
      </c>
      <c r="I93" s="1331"/>
      <c r="J93" s="1331"/>
      <c r="K93" s="1331"/>
      <c r="L93" s="1331"/>
      <c r="M93" s="1331"/>
      <c r="N93" s="1331"/>
      <c r="O93" s="1331"/>
      <c r="P93" s="1331"/>
      <c r="Q93" s="1331"/>
      <c r="R93" s="1331"/>
      <c r="S93" s="1331"/>
      <c r="T93" s="1331"/>
      <c r="U93" s="468" cm="1" t="str">
        <f t="array" ref="U93:U93">U92</f>
        <v>true</v>
      </c>
      <c r="V93" s="1331"/>
      <c r="W93" s="1331"/>
      <c r="X93" s="1331"/>
      <c r="Y93" s="1519"/>
      <c r="Z93" s="1541"/>
      <c r="AA93" s="1331"/>
      <c r="AB93" s="216" t="s">
        <v>592</v>
      </c>
      <c r="AC93" s="210" t="s">
        <v>593</v>
      </c>
      <c r="AD93" s="87" t="s">
        <v>594</v>
      </c>
      <c r="AE93" s="303"/>
      <c r="AF93" s="618"/>
      <c r="AG93" s="619"/>
      <c r="AH93" s="305"/>
      <c r="AI93" s="303"/>
      <c r="AJ93" s="618"/>
      <c r="AK93" s="618"/>
      <c r="AL93" s="620">
        <f>IF(AI93&lt;&gt;0,AK93/AI93,0)</f>
        <v>0</v>
      </c>
      <c r="AM93" s="621">
        <f>AK93-AJ93</f>
        <v>0</v>
      </c>
      <c r="AN93" s="305"/>
      <c r="AO93" s="1952"/>
      <c r="AP93" s="1952"/>
      <c r="AQ93" s="1952"/>
      <c r="AR93" s="1952"/>
      <c r="AS93" s="1952"/>
      <c r="AT93" s="1952"/>
      <c r="AU93" s="1952"/>
      <c r="AV93" s="1952"/>
      <c r="AW93" s="1952"/>
      <c r="AX93" s="1952"/>
      <c r="AY93" s="1952"/>
      <c r="AZ93" s="1952"/>
      <c r="BA93" s="1952"/>
      <c r="BB93" s="1952"/>
      <c r="BC93" s="1952"/>
      <c r="BD93" s="1952"/>
      <c r="BE93" s="1952"/>
      <c r="BF93" s="1952"/>
      <c r="BG93" s="1331"/>
      <c r="BH93" s="1331"/>
      <c r="BI93" s="1005" t="s">
        <v>595</v>
      </c>
      <c r="BJ93" s="1245"/>
      <c r="BK93" s="1245"/>
      <c r="BL93" s="1182"/>
      <c r="BM93" s="1182"/>
    </row>
    <row s="1656" customFormat="1" customHeight="1" ht="21.75" hidden="1">
      <c r="A94" s="1331"/>
      <c r="B94" s="1223"/>
      <c r="C94" s="1331"/>
      <c r="D94" s="1331"/>
      <c r="E94" s="623">
        <v>22.5</v>
      </c>
      <c r="F94" s="50" cm="1" t="str">
        <f t="array" ref="F94:F94">OFFSET(E94,-1,1)</f>
        <v>2</v>
      </c>
      <c r="G94" s="1331"/>
      <c r="H94" s="1331"/>
      <c r="I94" s="118" cm="1" t="str">
        <f t="array" ref="I94:I94">AC94</f>
        <v>0</v>
      </c>
      <c r="J94" s="1331"/>
      <c r="K94" s="1331"/>
      <c r="L94" s="1331"/>
      <c r="M94" s="1331"/>
      <c r="N94" s="1331"/>
      <c r="O94" s="1331"/>
      <c r="P94" s="1331"/>
      <c r="Q94" s="1331"/>
      <c r="R94" s="1331"/>
      <c r="S94" s="1331"/>
      <c r="T94" s="1331"/>
      <c r="U94" s="468">
        <f>AND(F94&gt;0,--RIGHT(AB94,1)&gt;1)</f>
        <v>0</v>
      </c>
      <c r="V94" s="1331"/>
      <c r="W94" s="1331"/>
      <c r="X94" s="764" t="s">
        <v>173</v>
      </c>
      <c r="Y94" s="1519"/>
      <c r="Z94" s="1541"/>
      <c r="AA94" s="422" t="s">
        <v>174</v>
      </c>
      <c r="AB94" s="216" t="s">
        <v>592</v>
      </c>
      <c r="AC94" s="1958"/>
      <c r="AD94" s="87" t="s">
        <v>594</v>
      </c>
      <c r="AE94" s="1952"/>
      <c r="AF94" s="1953"/>
      <c r="AG94" s="1954"/>
      <c r="AH94" s="1955"/>
      <c r="AI94" s="1952"/>
      <c r="AJ94" s="1953"/>
      <c r="AK94" s="1953"/>
      <c r="AL94" s="620">
        <f>IF(AI94&lt;&gt;0,AK94/AI94,0)</f>
        <v>0</v>
      </c>
      <c r="AM94" s="621">
        <f>AK94-AJ94</f>
        <v>0</v>
      </c>
      <c r="AN94" s="1955"/>
      <c r="AO94" s="1952"/>
      <c r="AP94" s="1952"/>
      <c r="AQ94" s="1952"/>
      <c r="AR94" s="1952"/>
      <c r="AS94" s="1952"/>
      <c r="AT94" s="1952"/>
      <c r="AU94" s="1952"/>
      <c r="AV94" s="1952"/>
      <c r="AW94" s="1952"/>
      <c r="AX94" s="1952"/>
      <c r="AY94" s="1952"/>
      <c r="AZ94" s="1952"/>
      <c r="BA94" s="1952"/>
      <c r="BB94" s="1952"/>
      <c r="BC94" s="1952"/>
      <c r="BD94" s="1952"/>
      <c r="BE94" s="1952"/>
      <c r="BF94" s="1952"/>
      <c r="BG94" s="1331"/>
      <c r="BH94" s="1331"/>
      <c r="BI94" s="1005" t="s">
        <v>595</v>
      </c>
      <c r="BJ94" s="1005" t="s">
        <v>596</v>
      </c>
      <c r="BK94" s="1005" cm="1" t="str">
        <f t="array" ref="BK94:BK94">AC94</f>
        <v>0</v>
      </c>
      <c r="BL94" s="1182"/>
      <c r="BM94" s="623" t="b">
        <v>1</v>
      </c>
    </row>
    <row s="1656" customFormat="1" customHeight="1" ht="14.25">
      <c r="A95" s="1331"/>
      <c r="B95" s="1223"/>
      <c r="C95" s="1331"/>
      <c r="D95" s="1331"/>
      <c r="E95" s="623">
        <v>15</v>
      </c>
      <c r="F95" s="50" cm="1" t="str">
        <f t="array" ref="F95:F95">OFFSET(E95,-1,1)</f>
        <v>2</v>
      </c>
      <c r="G95" s="1331"/>
      <c r="H95" s="1331"/>
      <c r="I95" s="1331"/>
      <c r="J95" s="1331"/>
      <c r="K95" s="1331"/>
      <c r="L95" s="1331"/>
      <c r="M95" s="1331"/>
      <c r="N95" s="1331"/>
      <c r="O95" s="1331"/>
      <c r="P95" s="1331"/>
      <c r="Q95" s="1331"/>
      <c r="R95" s="1331"/>
      <c r="S95" s="1331"/>
      <c r="T95" s="1331"/>
      <c r="U95" s="468">
        <f>F95&gt;0</f>
        <v>1</v>
      </c>
      <c r="V95" s="1331"/>
      <c r="W95" s="1331"/>
      <c r="X95" s="764" t="s">
        <v>421</v>
      </c>
      <c r="Y95" s="1519"/>
      <c r="Z95" s="1541"/>
      <c r="AA95" s="1331"/>
      <c r="AB95" s="171"/>
      <c r="AC95" s="304" t="s">
        <v>177</v>
      </c>
      <c r="AD95" s="172"/>
      <c r="AE95" s="172"/>
      <c r="AF95" s="172"/>
      <c r="AG95" s="172"/>
      <c r="AH95" s="172"/>
      <c r="AI95" s="172"/>
      <c r="AJ95" s="172"/>
      <c r="AK95" s="172"/>
      <c r="AL95" s="172"/>
      <c r="AM95" s="172"/>
      <c r="AN95" s="172"/>
      <c r="AO95" s="172"/>
      <c r="AP95" s="172"/>
      <c r="AQ95" s="172"/>
      <c r="AR95" s="172"/>
      <c r="AS95" s="172"/>
      <c r="AT95" s="172"/>
      <c r="AU95" s="172"/>
      <c r="AV95" s="172"/>
      <c r="AW95" s="172"/>
      <c r="AX95" s="172"/>
      <c r="AY95" s="172"/>
      <c r="AZ95" s="172"/>
      <c r="BA95" s="172"/>
      <c r="BB95" s="172"/>
      <c r="BC95" s="172"/>
      <c r="BD95" s="172"/>
      <c r="BE95" s="172"/>
      <c r="BF95" s="172"/>
      <c r="BG95" s="1331"/>
      <c r="BH95" s="1331"/>
      <c r="BI95" s="1245"/>
      <c r="BJ95" s="1245"/>
      <c r="BK95" s="1245"/>
      <c r="BL95" s="623" t="s">
        <v>596</v>
      </c>
      <c r="BM95" s="1182"/>
    </row>
    <row s="1656" customFormat="1" customHeight="1" ht="21.75">
      <c r="A96" s="1331"/>
      <c r="B96" s="1223"/>
      <c r="C96" s="1331"/>
      <c r="D96" s="1331"/>
      <c r="E96" s="623">
        <v>22.5</v>
      </c>
      <c r="F96" s="50" cm="1" t="str">
        <f t="array" ref="F96:F96">OFFSET(E96,-1,1)</f>
        <v>2</v>
      </c>
      <c r="G96" s="1331"/>
      <c r="H96" s="118" t="s">
        <v>597</v>
      </c>
      <c r="I96" s="1331"/>
      <c r="J96" s="1331"/>
      <c r="K96" s="1331"/>
      <c r="L96" s="1331"/>
      <c r="M96" s="1331"/>
      <c r="N96" s="1331"/>
      <c r="O96" s="1331"/>
      <c r="P96" s="1331"/>
      <c r="Q96" s="1331"/>
      <c r="R96" s="1331"/>
      <c r="S96" s="1331"/>
      <c r="T96" s="1331"/>
      <c r="U96" s="468" cm="1" t="str">
        <f t="array" ref="U96:U96">U95</f>
        <v>true</v>
      </c>
      <c r="V96" s="1331"/>
      <c r="W96" s="1331"/>
      <c r="X96" s="1331"/>
      <c r="Y96" s="1519"/>
      <c r="Z96" s="1541"/>
      <c r="AA96" s="1331"/>
      <c r="AB96" s="603" t="s">
        <v>598</v>
      </c>
      <c r="AC96" s="604" t="s">
        <v>599</v>
      </c>
      <c r="AD96" s="600" t="s">
        <v>594</v>
      </c>
      <c r="AE96" s="605"/>
      <c r="AF96" s="606"/>
      <c r="AG96" s="607"/>
      <c r="AH96" s="608"/>
      <c r="AI96" s="605"/>
      <c r="AJ96" s="606"/>
      <c r="AK96" s="606"/>
      <c r="AL96" s="609">
        <f>IF(AI96&lt;&gt;0,AK96/AI96,0)</f>
        <v>0</v>
      </c>
      <c r="AM96" s="610">
        <f>AK96-AJ96</f>
        <v>0</v>
      </c>
      <c r="AN96" s="608"/>
      <c r="AO96" s="1962"/>
      <c r="AP96" s="1962"/>
      <c r="AQ96" s="1962"/>
      <c r="AR96" s="1962"/>
      <c r="AS96" s="1962"/>
      <c r="AT96" s="1962"/>
      <c r="AU96" s="1962"/>
      <c r="AV96" s="1962"/>
      <c r="AW96" s="1962"/>
      <c r="AX96" s="1962"/>
      <c r="AY96" s="1962"/>
      <c r="AZ96" s="1962"/>
      <c r="BA96" s="1962"/>
      <c r="BB96" s="1962"/>
      <c r="BC96" s="1962"/>
      <c r="BD96" s="1962"/>
      <c r="BE96" s="1962"/>
      <c r="BF96" s="1962"/>
      <c r="BG96" s="1331"/>
      <c r="BH96" s="1331"/>
      <c r="BI96" s="1005" t="s">
        <v>600</v>
      </c>
      <c r="BJ96" s="1245"/>
      <c r="BK96" s="1245"/>
      <c r="BL96" s="1182"/>
      <c r="BM96" s="1182"/>
    </row>
    <row s="1656" customFormat="1" customHeight="1" ht="21.75" hidden="1">
      <c r="A97" s="1331"/>
      <c r="B97" s="1223"/>
      <c r="C97" s="1331"/>
      <c r="D97" s="1331"/>
      <c r="E97" s="623">
        <v>22.5</v>
      </c>
      <c r="F97" s="50" cm="1" t="str">
        <f t="array" ref="F97:F97">OFFSET(E97,-1,1)</f>
        <v>2</v>
      </c>
      <c r="G97" s="1331"/>
      <c r="H97" s="1331"/>
      <c r="I97" s="118" cm="1" t="str">
        <f t="array" ref="I97:I97">AC97</f>
        <v>0</v>
      </c>
      <c r="J97" s="1331"/>
      <c r="K97" s="1331"/>
      <c r="L97" s="1331"/>
      <c r="M97" s="1331"/>
      <c r="N97" s="1331"/>
      <c r="O97" s="1331"/>
      <c r="P97" s="1331"/>
      <c r="Q97" s="1331"/>
      <c r="R97" s="1331"/>
      <c r="S97" s="1331"/>
      <c r="T97" s="1331"/>
      <c r="U97" s="468">
        <f>AND(F97&gt;0,--RIGHT(AB97,1)&gt;1)</f>
        <v>0</v>
      </c>
      <c r="V97" s="1331"/>
      <c r="W97" s="1331"/>
      <c r="X97" s="764" t="s">
        <v>173</v>
      </c>
      <c r="Y97" s="1519"/>
      <c r="Z97" s="1541"/>
      <c r="AA97" s="422" t="s">
        <v>174</v>
      </c>
      <c r="AB97" s="603" t="s">
        <v>598</v>
      </c>
      <c r="AC97" s="1968"/>
      <c r="AD97" s="600" t="s">
        <v>594</v>
      </c>
      <c r="AE97" s="1962"/>
      <c r="AF97" s="1963"/>
      <c r="AG97" s="1964"/>
      <c r="AH97" s="1965"/>
      <c r="AI97" s="1962"/>
      <c r="AJ97" s="1963"/>
      <c r="AK97" s="1963"/>
      <c r="AL97" s="609">
        <f>IF(AI97&lt;&gt;0,AK97/AI97,0)</f>
        <v>0</v>
      </c>
      <c r="AM97" s="610">
        <f>AK97-AJ97</f>
        <v>0</v>
      </c>
      <c r="AN97" s="1965"/>
      <c r="AO97" s="1962"/>
      <c r="AP97" s="1962"/>
      <c r="AQ97" s="1962"/>
      <c r="AR97" s="1962"/>
      <c r="AS97" s="1962"/>
      <c r="AT97" s="1962"/>
      <c r="AU97" s="1962"/>
      <c r="AV97" s="1962"/>
      <c r="AW97" s="1962"/>
      <c r="AX97" s="1962"/>
      <c r="AY97" s="1962"/>
      <c r="AZ97" s="1962"/>
      <c r="BA97" s="1962"/>
      <c r="BB97" s="1962"/>
      <c r="BC97" s="1962"/>
      <c r="BD97" s="1962"/>
      <c r="BE97" s="1962"/>
      <c r="BF97" s="1962"/>
      <c r="BG97" s="1331"/>
      <c r="BH97" s="1331"/>
      <c r="BI97" s="1005" t="s">
        <v>600</v>
      </c>
      <c r="BJ97" s="1005" t="s">
        <v>601</v>
      </c>
      <c r="BK97" s="1005" cm="1" t="str">
        <f t="array" ref="BK97:BK97">AC97</f>
        <v>0</v>
      </c>
      <c r="BL97" s="1182"/>
      <c r="BM97" s="623" t="b">
        <v>1</v>
      </c>
    </row>
    <row s="1656" customFormat="1" customHeight="1" ht="14.25">
      <c r="A98" s="1331"/>
      <c r="B98" s="1223"/>
      <c r="C98" s="1331"/>
      <c r="D98" s="1331"/>
      <c r="E98" s="623">
        <v>15</v>
      </c>
      <c r="F98" s="50" cm="1" t="str">
        <f t="array" ref="F98:F98">OFFSET(E98,-1,1)</f>
        <v>2</v>
      </c>
      <c r="G98" s="1331"/>
      <c r="H98" s="1331"/>
      <c r="I98" s="1331"/>
      <c r="J98" s="1331"/>
      <c r="K98" s="1331"/>
      <c r="L98" s="1331"/>
      <c r="M98" s="1331"/>
      <c r="N98" s="1331"/>
      <c r="O98" s="1331"/>
      <c r="P98" s="1331"/>
      <c r="Q98" s="1331"/>
      <c r="R98" s="1331"/>
      <c r="S98" s="1331"/>
      <c r="T98" s="1331"/>
      <c r="U98" s="468">
        <f>F98&gt;0</f>
        <v>1</v>
      </c>
      <c r="V98" s="1331"/>
      <c r="W98" s="1331"/>
      <c r="X98" s="764" t="s">
        <v>421</v>
      </c>
      <c r="Y98" s="1519"/>
      <c r="Z98" s="1541"/>
      <c r="AA98" s="1331"/>
      <c r="AB98" s="171"/>
      <c r="AC98" s="304" t="s">
        <v>177</v>
      </c>
      <c r="AD98" s="172"/>
      <c r="AE98" s="172"/>
      <c r="AF98" s="172"/>
      <c r="AG98" s="172"/>
      <c r="AH98" s="172"/>
      <c r="AI98" s="172"/>
      <c r="AJ98" s="172"/>
      <c r="AK98" s="172"/>
      <c r="AL98" s="172"/>
      <c r="AM98" s="172"/>
      <c r="AN98" s="172"/>
      <c r="AO98" s="172"/>
      <c r="AP98" s="172"/>
      <c r="AQ98" s="172"/>
      <c r="AR98" s="172"/>
      <c r="AS98" s="172"/>
      <c r="AT98" s="172"/>
      <c r="AU98" s="172"/>
      <c r="AV98" s="172"/>
      <c r="AW98" s="172"/>
      <c r="AX98" s="172"/>
      <c r="AY98" s="172"/>
      <c r="AZ98" s="172"/>
      <c r="BA98" s="172"/>
      <c r="BB98" s="172"/>
      <c r="BC98" s="172"/>
      <c r="BD98" s="172"/>
      <c r="BE98" s="172"/>
      <c r="BF98" s="172"/>
      <c r="BG98" s="1331"/>
      <c r="BH98" s="1331"/>
      <c r="BI98" s="1245"/>
      <c r="BJ98" s="1245"/>
      <c r="BK98" s="1245"/>
      <c r="BL98" s="623" t="s">
        <v>601</v>
      </c>
      <c r="BM98" s="1182"/>
    </row>
    <row s="1656" customFormat="1" customHeight="1" ht="21.75">
      <c r="A99" s="1331"/>
      <c r="B99" s="1223"/>
      <c r="C99" s="1331"/>
      <c r="D99" s="1331"/>
      <c r="E99" s="623">
        <v>22.5</v>
      </c>
      <c r="F99" s="50" cm="1" t="str">
        <f t="array" ref="F99:F99">OFFSET(E99,-1,1)</f>
        <v>2</v>
      </c>
      <c r="G99" s="1331"/>
      <c r="H99" s="118" t="s">
        <v>602</v>
      </c>
      <c r="I99" s="1331"/>
      <c r="J99" s="1331"/>
      <c r="K99" s="1331"/>
      <c r="L99" s="1331"/>
      <c r="M99" s="1331"/>
      <c r="N99" s="1331"/>
      <c r="O99" s="1331"/>
      <c r="P99" s="1331"/>
      <c r="Q99" s="1331"/>
      <c r="R99" s="1331"/>
      <c r="S99" s="1331"/>
      <c r="T99" s="1331"/>
      <c r="U99" s="468" cm="1" t="str">
        <f t="array" ref="U99:U99">U98</f>
        <v>true</v>
      </c>
      <c r="V99" s="1331"/>
      <c r="W99" s="1331"/>
      <c r="X99" s="1331"/>
      <c r="Y99" s="1519"/>
      <c r="Z99" s="1541"/>
      <c r="AA99" s="1331"/>
      <c r="AB99" s="119" t="s">
        <v>603</v>
      </c>
      <c r="AC99" s="188" t="s">
        <v>604</v>
      </c>
      <c r="AD99" s="88" t="s">
        <v>594</v>
      </c>
      <c r="AE99" s="272"/>
      <c r="AF99" s="274"/>
      <c r="AG99" s="275"/>
      <c r="AH99" s="196"/>
      <c r="AI99" s="272"/>
      <c r="AJ99" s="274"/>
      <c r="AK99" s="274"/>
      <c r="AL99" s="277">
        <f>IF(AI99&lt;&gt;0,AK99/AI99,0)</f>
        <v>0</v>
      </c>
      <c r="AM99" s="276">
        <f>AK99-AJ99</f>
        <v>0</v>
      </c>
      <c r="AN99" s="196"/>
      <c r="AO99" s="1927"/>
      <c r="AP99" s="1927"/>
      <c r="AQ99" s="1927"/>
      <c r="AR99" s="1927"/>
      <c r="AS99" s="1927"/>
      <c r="AT99" s="1927"/>
      <c r="AU99" s="1927"/>
      <c r="AV99" s="1927"/>
      <c r="AW99" s="1927"/>
      <c r="AX99" s="1927"/>
      <c r="AY99" s="1927"/>
      <c r="AZ99" s="1927"/>
      <c r="BA99" s="1927"/>
      <c r="BB99" s="1927"/>
      <c r="BC99" s="1927"/>
      <c r="BD99" s="1927"/>
      <c r="BE99" s="1927"/>
      <c r="BF99" s="1927"/>
      <c r="BG99" s="1331"/>
      <c r="BH99" s="1331"/>
      <c r="BI99" s="1005" t="s">
        <v>605</v>
      </c>
      <c r="BJ99" s="1245"/>
      <c r="BK99" s="1245"/>
      <c r="BL99" s="1182"/>
      <c r="BM99" s="1182"/>
    </row>
    <row s="1656" customFormat="1" customHeight="1" ht="21.75" hidden="1">
      <c r="A100" s="1331"/>
      <c r="B100" s="1223"/>
      <c r="C100" s="1331"/>
      <c r="D100" s="1331"/>
      <c r="E100" s="623">
        <v>22.5</v>
      </c>
      <c r="F100" s="50" cm="1" t="str">
        <f t="array" ref="F100:F100">OFFSET(E100,-1,1)</f>
        <v>2</v>
      </c>
      <c r="G100" s="1331"/>
      <c r="H100" s="1331"/>
      <c r="I100" s="118" cm="1" t="str">
        <f t="array" ref="I100:I100">AC100</f>
        <v>0</v>
      </c>
      <c r="J100" s="1331"/>
      <c r="K100" s="1331"/>
      <c r="L100" s="1331"/>
      <c r="M100" s="1331"/>
      <c r="N100" s="1331"/>
      <c r="O100" s="1331"/>
      <c r="P100" s="1331"/>
      <c r="Q100" s="1331"/>
      <c r="R100" s="1331"/>
      <c r="S100" s="1331"/>
      <c r="T100" s="1331"/>
      <c r="U100" s="468">
        <f>AND(F100&gt;0,--RIGHT(AB100,1)&gt;1)</f>
        <v>0</v>
      </c>
      <c r="V100" s="1331"/>
      <c r="W100" s="1331"/>
      <c r="X100" s="764" t="s">
        <v>173</v>
      </c>
      <c r="Y100" s="1519"/>
      <c r="Z100" s="1541"/>
      <c r="AA100" s="422" t="s">
        <v>174</v>
      </c>
      <c r="AB100" s="119" t="s">
        <v>603</v>
      </c>
      <c r="AC100" s="1972"/>
      <c r="AD100" s="88" t="s">
        <v>594</v>
      </c>
      <c r="AE100" s="1927"/>
      <c r="AF100" s="1940"/>
      <c r="AG100" s="1971"/>
      <c r="AH100" s="1928"/>
      <c r="AI100" s="1927"/>
      <c r="AJ100" s="1940"/>
      <c r="AK100" s="1940"/>
      <c r="AL100" s="277">
        <f>IF(AI100&lt;&gt;0,AK100/AI100,0)</f>
        <v>0</v>
      </c>
      <c r="AM100" s="276">
        <f>AK100-AJ100</f>
        <v>0</v>
      </c>
      <c r="AN100" s="1928"/>
      <c r="AO100" s="1927"/>
      <c r="AP100" s="1927"/>
      <c r="AQ100" s="1927"/>
      <c r="AR100" s="1927"/>
      <c r="AS100" s="1927"/>
      <c r="AT100" s="1927"/>
      <c r="AU100" s="1927"/>
      <c r="AV100" s="1927"/>
      <c r="AW100" s="1927"/>
      <c r="AX100" s="1927"/>
      <c r="AY100" s="1927"/>
      <c r="AZ100" s="1927"/>
      <c r="BA100" s="1927"/>
      <c r="BB100" s="1927"/>
      <c r="BC100" s="1927"/>
      <c r="BD100" s="1927"/>
      <c r="BE100" s="1927"/>
      <c r="BF100" s="1927"/>
      <c r="BG100" s="1331"/>
      <c r="BH100" s="1331"/>
      <c r="BI100" s="1005" t="s">
        <v>605</v>
      </c>
      <c r="BJ100" s="1005" t="s">
        <v>606</v>
      </c>
      <c r="BK100" s="1005" cm="1" t="str">
        <f t="array" ref="BK100:BK100">AC100</f>
        <v>0</v>
      </c>
      <c r="BL100" s="1182"/>
      <c r="BM100" s="623" t="b">
        <v>1</v>
      </c>
    </row>
    <row s="1656" customFormat="1" customHeight="1" ht="14.25">
      <c r="A101" s="1331"/>
      <c r="B101" s="1223"/>
      <c r="C101" s="1331"/>
      <c r="D101" s="1331"/>
      <c r="E101" s="623">
        <v>15</v>
      </c>
      <c r="F101" s="50" cm="1" t="str">
        <f t="array" ref="F101:F101">OFFSET(E101,-1,1)</f>
        <v>2</v>
      </c>
      <c r="G101" s="1331"/>
      <c r="H101" s="1331"/>
      <c r="I101" s="1331"/>
      <c r="J101" s="1331"/>
      <c r="K101" s="1331"/>
      <c r="L101" s="1331"/>
      <c r="M101" s="1331"/>
      <c r="N101" s="1331"/>
      <c r="O101" s="1331"/>
      <c r="P101" s="1331"/>
      <c r="Q101" s="1331"/>
      <c r="R101" s="1331"/>
      <c r="S101" s="1331"/>
      <c r="T101" s="1331"/>
      <c r="U101" s="468">
        <f>F101&gt;0</f>
        <v>1</v>
      </c>
      <c r="V101" s="1331"/>
      <c r="W101" s="1331"/>
      <c r="X101" s="764" t="s">
        <v>421</v>
      </c>
      <c r="Y101" s="1519"/>
      <c r="Z101" s="1541"/>
      <c r="AA101" s="1331"/>
      <c r="AB101" s="171"/>
      <c r="AC101" s="304" t="s">
        <v>177</v>
      </c>
      <c r="AD101" s="172"/>
      <c r="AE101" s="172"/>
      <c r="AF101" s="172"/>
      <c r="AG101" s="172"/>
      <c r="AH101" s="172"/>
      <c r="AI101" s="172"/>
      <c r="AJ101" s="172"/>
      <c r="AK101" s="172"/>
      <c r="AL101" s="172"/>
      <c r="AM101" s="172"/>
      <c r="AN101" s="172"/>
      <c r="AO101" s="172"/>
      <c r="AP101" s="172"/>
      <c r="AQ101" s="172"/>
      <c r="AR101" s="172"/>
      <c r="AS101" s="172"/>
      <c r="AT101" s="172"/>
      <c r="AU101" s="172"/>
      <c r="AV101" s="172"/>
      <c r="AW101" s="172"/>
      <c r="AX101" s="172"/>
      <c r="AY101" s="172"/>
      <c r="AZ101" s="172"/>
      <c r="BA101" s="172"/>
      <c r="BB101" s="172"/>
      <c r="BC101" s="172"/>
      <c r="BD101" s="172"/>
      <c r="BE101" s="172"/>
      <c r="BF101" s="172"/>
      <c r="BG101" s="1331"/>
      <c r="BH101" s="1331"/>
      <c r="BI101" s="1245"/>
      <c r="BJ101" s="1245"/>
      <c r="BK101" s="1245"/>
      <c r="BL101" s="623" t="s">
        <v>606</v>
      </c>
      <c r="BM101" s="1182"/>
    </row>
    <row s="1656" customFormat="1" customHeight="1" ht="21.75">
      <c r="A102" s="1331"/>
      <c r="B102" s="1223"/>
      <c r="C102" s="1331"/>
      <c r="D102" s="1331"/>
      <c r="E102" s="623">
        <v>22.5</v>
      </c>
      <c r="F102" s="50" cm="1" t="str">
        <f t="array" ref="F102:F102">OFFSET(E102,-1,1)</f>
        <v>2</v>
      </c>
      <c r="G102" s="1331"/>
      <c r="H102" s="118" t="s">
        <v>607</v>
      </c>
      <c r="I102" s="1331"/>
      <c r="J102" s="1331"/>
      <c r="K102" s="1331"/>
      <c r="L102" s="1331"/>
      <c r="M102" s="1331"/>
      <c r="N102" s="1331"/>
      <c r="O102" s="1331"/>
      <c r="P102" s="1331"/>
      <c r="Q102" s="1331"/>
      <c r="R102" s="1331"/>
      <c r="S102" s="1331"/>
      <c r="T102" s="1331"/>
      <c r="U102" s="468" cm="1" t="str">
        <f t="array" ref="U102:U102">U101</f>
        <v>true</v>
      </c>
      <c r="V102" s="1331"/>
      <c r="W102" s="1331"/>
      <c r="X102" s="1331"/>
      <c r="Y102" s="1519"/>
      <c r="Z102" s="1541"/>
      <c r="AA102" s="1331"/>
      <c r="AB102" s="119" t="s">
        <v>608</v>
      </c>
      <c r="AC102" s="188" t="s">
        <v>609</v>
      </c>
      <c r="AD102" s="88" t="s">
        <v>594</v>
      </c>
      <c r="AE102" s="272"/>
      <c r="AF102" s="274"/>
      <c r="AG102" s="275"/>
      <c r="AH102" s="196"/>
      <c r="AI102" s="272"/>
      <c r="AJ102" s="274"/>
      <c r="AK102" s="274"/>
      <c r="AL102" s="277">
        <f>IF(AI102&lt;&gt;0,AK102/AI102,0)</f>
        <v>0</v>
      </c>
      <c r="AM102" s="276">
        <f>AK102-AJ102</f>
        <v>0</v>
      </c>
      <c r="AN102" s="196"/>
      <c r="AO102" s="1927"/>
      <c r="AP102" s="1927"/>
      <c r="AQ102" s="1927"/>
      <c r="AR102" s="1927"/>
      <c r="AS102" s="1927"/>
      <c r="AT102" s="1927"/>
      <c r="AU102" s="1927"/>
      <c r="AV102" s="1927"/>
      <c r="AW102" s="1927"/>
      <c r="AX102" s="1927"/>
      <c r="AY102" s="1927"/>
      <c r="AZ102" s="1927"/>
      <c r="BA102" s="1927"/>
      <c r="BB102" s="1927"/>
      <c r="BC102" s="1927"/>
      <c r="BD102" s="1927"/>
      <c r="BE102" s="1927"/>
      <c r="BF102" s="1927"/>
      <c r="BG102" s="1331"/>
      <c r="BH102" s="1331"/>
      <c r="BI102" s="1005" t="s">
        <v>610</v>
      </c>
      <c r="BJ102" s="1245"/>
      <c r="BK102" s="1245"/>
      <c r="BL102" s="1182"/>
      <c r="BM102" s="1182"/>
    </row>
    <row s="1656" customFormat="1" customHeight="1" ht="21.75" hidden="1">
      <c r="A103" s="1331"/>
      <c r="B103" s="1223"/>
      <c r="C103" s="1331"/>
      <c r="D103" s="1331"/>
      <c r="E103" s="623">
        <v>22.5</v>
      </c>
      <c r="F103" s="50" cm="1" t="str">
        <f t="array" ref="F103:F103">OFFSET(E103,-1,1)</f>
        <v>2</v>
      </c>
      <c r="G103" s="1331"/>
      <c r="H103" s="1331"/>
      <c r="I103" s="118" cm="1" t="str">
        <f t="array" ref="I103:I103">AC103</f>
        <v>0</v>
      </c>
      <c r="J103" s="1331"/>
      <c r="K103" s="1331"/>
      <c r="L103" s="1331"/>
      <c r="M103" s="1331"/>
      <c r="N103" s="1331"/>
      <c r="O103" s="1331"/>
      <c r="P103" s="1331"/>
      <c r="Q103" s="1331"/>
      <c r="R103" s="1331"/>
      <c r="S103" s="1331"/>
      <c r="T103" s="1331"/>
      <c r="U103" s="468">
        <f>AND(F103&gt;0,--RIGHT(AB103,1)&gt;1)</f>
        <v>0</v>
      </c>
      <c r="V103" s="1331"/>
      <c r="W103" s="1331"/>
      <c r="X103" s="764" t="s">
        <v>173</v>
      </c>
      <c r="Y103" s="1519"/>
      <c r="Z103" s="1541"/>
      <c r="AA103" s="422" t="s">
        <v>174</v>
      </c>
      <c r="AB103" s="119" t="s">
        <v>608</v>
      </c>
      <c r="AC103" s="1972"/>
      <c r="AD103" s="88" t="s">
        <v>594</v>
      </c>
      <c r="AE103" s="1927"/>
      <c r="AF103" s="1940"/>
      <c r="AG103" s="1971"/>
      <c r="AH103" s="1928"/>
      <c r="AI103" s="1927"/>
      <c r="AJ103" s="1940"/>
      <c r="AK103" s="1940"/>
      <c r="AL103" s="277">
        <f>IF(AI103&lt;&gt;0,AK103/AI103,0)</f>
        <v>0</v>
      </c>
      <c r="AM103" s="276">
        <f>AK103-AJ103</f>
        <v>0</v>
      </c>
      <c r="AN103" s="1928"/>
      <c r="AO103" s="1927"/>
      <c r="AP103" s="1927"/>
      <c r="AQ103" s="1927"/>
      <c r="AR103" s="1927"/>
      <c r="AS103" s="1927"/>
      <c r="AT103" s="1927"/>
      <c r="AU103" s="1927"/>
      <c r="AV103" s="1927"/>
      <c r="AW103" s="1927"/>
      <c r="AX103" s="1927"/>
      <c r="AY103" s="1927"/>
      <c r="AZ103" s="1927"/>
      <c r="BA103" s="1927"/>
      <c r="BB103" s="1927"/>
      <c r="BC103" s="1927"/>
      <c r="BD103" s="1927"/>
      <c r="BE103" s="1927"/>
      <c r="BF103" s="1927"/>
      <c r="BG103" s="1331"/>
      <c r="BH103" s="1331"/>
      <c r="BI103" s="1005" t="s">
        <v>610</v>
      </c>
      <c r="BJ103" s="1005" t="s">
        <v>611</v>
      </c>
      <c r="BK103" s="1005" cm="1" t="str">
        <f t="array" ref="BK103:BK103">AC103</f>
        <v>0</v>
      </c>
      <c r="BL103" s="1182"/>
      <c r="BM103" s="623" t="b">
        <v>1</v>
      </c>
    </row>
    <row s="1656" customFormat="1" customHeight="1" ht="14.25">
      <c r="A104" s="1331"/>
      <c r="B104" s="1223"/>
      <c r="C104" s="1331"/>
      <c r="D104" s="1331"/>
      <c r="E104" s="623">
        <v>15</v>
      </c>
      <c r="F104" s="50" cm="1" t="str">
        <f t="array" ref="F104:F104">OFFSET(E104,-1,1)</f>
        <v>2</v>
      </c>
      <c r="G104" s="1331"/>
      <c r="H104" s="1331"/>
      <c r="I104" s="1331"/>
      <c r="J104" s="1331"/>
      <c r="K104" s="1331"/>
      <c r="L104" s="1331"/>
      <c r="M104" s="1331"/>
      <c r="N104" s="1331"/>
      <c r="O104" s="1331"/>
      <c r="P104" s="1331"/>
      <c r="Q104" s="1331"/>
      <c r="R104" s="1331"/>
      <c r="S104" s="1331"/>
      <c r="T104" s="1331"/>
      <c r="U104" s="468">
        <f>F104&gt;0</f>
        <v>1</v>
      </c>
      <c r="V104" s="1331"/>
      <c r="W104" s="1331"/>
      <c r="X104" s="764" t="s">
        <v>421</v>
      </c>
      <c r="Y104" s="1519"/>
      <c r="Z104" s="1541"/>
      <c r="AA104" s="1331"/>
      <c r="AB104" s="171"/>
      <c r="AC104" s="304" t="s">
        <v>177</v>
      </c>
      <c r="AD104" s="172"/>
      <c r="AE104" s="172"/>
      <c r="AF104" s="172"/>
      <c r="AG104" s="172"/>
      <c r="AH104" s="172"/>
      <c r="AI104" s="172"/>
      <c r="AJ104" s="172"/>
      <c r="AK104" s="172"/>
      <c r="AL104" s="172"/>
      <c r="AM104" s="172"/>
      <c r="AN104" s="172"/>
      <c r="AO104" s="172"/>
      <c r="AP104" s="172"/>
      <c r="AQ104" s="172"/>
      <c r="AR104" s="172"/>
      <c r="AS104" s="172"/>
      <c r="AT104" s="172"/>
      <c r="AU104" s="172"/>
      <c r="AV104" s="172"/>
      <c r="AW104" s="172"/>
      <c r="AX104" s="172"/>
      <c r="AY104" s="172"/>
      <c r="AZ104" s="172"/>
      <c r="BA104" s="172"/>
      <c r="BB104" s="172"/>
      <c r="BC104" s="172"/>
      <c r="BD104" s="172"/>
      <c r="BE104" s="172"/>
      <c r="BF104" s="172"/>
      <c r="BG104" s="1331"/>
      <c r="BH104" s="1331"/>
      <c r="BI104" s="1245"/>
      <c r="BJ104" s="1245"/>
      <c r="BK104" s="1245"/>
      <c r="BL104" s="623" t="s">
        <v>611</v>
      </c>
      <c r="BM104" s="1182"/>
    </row>
    <row s="1656" customFormat="1" customHeight="1" ht="125.671875">
      <c r="A105" s="1331"/>
      <c r="B105" s="1223"/>
      <c r="C105" s="1331"/>
      <c r="D105" s="1331"/>
      <c r="E105" s="623">
        <v>15</v>
      </c>
      <c r="F105" s="50" cm="1" t="str">
        <f t="array" ref="F105:F105">OFFSET(E105,-1,1)</f>
        <v>2</v>
      </c>
      <c r="G105" s="1331"/>
      <c r="H105" s="118" t="s">
        <v>348</v>
      </c>
      <c r="I105" s="1331"/>
      <c r="J105" s="1331"/>
      <c r="K105" s="1331"/>
      <c r="L105" s="1331"/>
      <c r="M105" s="1331"/>
      <c r="N105" s="1331"/>
      <c r="O105" s="1331"/>
      <c r="P105" s="1331"/>
      <c r="Q105" s="1331"/>
      <c r="R105" s="1331"/>
      <c r="S105" s="1331"/>
      <c r="T105" s="1331"/>
      <c r="U105" s="468" cm="1" t="str">
        <f t="array" ref="U105:U105">U104</f>
        <v>true</v>
      </c>
      <c r="V105" s="1331"/>
      <c r="W105" s="1331"/>
      <c r="X105" s="1331"/>
      <c r="Y105" s="1519"/>
      <c r="Z105" s="1541"/>
      <c r="AA105" s="1331"/>
      <c r="AB105" s="129">
        <v>3</v>
      </c>
      <c r="AC105" s="135" t="s">
        <v>612</v>
      </c>
      <c r="AD105" s="132" t="s">
        <v>561</v>
      </c>
      <c r="AE105" s="272">
        <v>2.2</v>
      </c>
      <c r="AF105" s="274">
        <v>2.2</v>
      </c>
      <c r="AG105" s="275">
        <v>2.2</v>
      </c>
      <c r="AH105" s="196" t="s">
        <v>631</v>
      </c>
      <c r="AI105" s="272">
        <v>2.2</v>
      </c>
      <c r="AJ105" s="274">
        <v>2.2</v>
      </c>
      <c r="AK105" s="274">
        <v>2.2</v>
      </c>
      <c r="AL105" s="277">
        <f>IF(AI105&lt;&gt;0,AK105/AI105,0)</f>
        <v>1</v>
      </c>
      <c r="AM105" s="276">
        <f>AK105-AJ105</f>
        <v>0</v>
      </c>
      <c r="AN105" s="196" t="s">
        <v>631</v>
      </c>
      <c r="AO105" s="1927"/>
      <c r="AP105" s="1927"/>
      <c r="AQ105" s="1927"/>
      <c r="AR105" s="1927"/>
      <c r="AS105" s="1927"/>
      <c r="AT105" s="1927"/>
      <c r="AU105" s="1927"/>
      <c r="AV105" s="1927"/>
      <c r="AW105" s="1927"/>
      <c r="AX105" s="1927"/>
      <c r="AY105" s="1927"/>
      <c r="AZ105" s="1927"/>
      <c r="BA105" s="1927"/>
      <c r="BB105" s="1927"/>
      <c r="BC105" s="1927"/>
      <c r="BD105" s="1927"/>
      <c r="BE105" s="1927"/>
      <c r="BF105" s="1927"/>
      <c r="BG105" s="1331"/>
      <c r="BH105" s="1331"/>
      <c r="BI105" s="1005" t="s">
        <v>613</v>
      </c>
      <c r="BJ105" s="1245"/>
      <c r="BK105" s="1245"/>
      <c r="BL105" s="1182"/>
      <c r="BM105" s="1182"/>
    </row>
    <row s="1656" customFormat="1" customHeight="1" ht="14.25">
      <c r="A106" s="1331"/>
      <c r="B106" s="1223"/>
      <c r="C106" s="1331"/>
      <c r="D106" s="1331"/>
      <c r="E106" s="623">
        <v>15</v>
      </c>
      <c r="F106" s="50" cm="1" t="str">
        <f t="array" ref="F106:F106">OFFSET(E106,-1,1)</f>
        <v>2</v>
      </c>
      <c r="G106" s="1331"/>
      <c r="H106" s="118" t="s">
        <v>347</v>
      </c>
      <c r="I106" s="1331"/>
      <c r="J106" s="1331"/>
      <c r="K106" s="1331"/>
      <c r="L106" s="1331"/>
      <c r="M106" s="1331"/>
      <c r="N106" s="1331"/>
      <c r="O106" s="1331"/>
      <c r="P106" s="1331"/>
      <c r="Q106" s="1331"/>
      <c r="R106" s="1331"/>
      <c r="S106" s="1331"/>
      <c r="T106" s="1331"/>
      <c r="U106" s="468" cm="1" t="str">
        <f t="array" ref="U106:U106">U105</f>
        <v>true</v>
      </c>
      <c r="V106" s="1331"/>
      <c r="W106" s="1331"/>
      <c r="X106" s="1331"/>
      <c r="Y106" s="1519"/>
      <c r="Z106" s="1541"/>
      <c r="AA106" s="1331"/>
      <c r="AB106" s="129">
        <v>4</v>
      </c>
      <c r="AC106" s="135" t="s">
        <v>614</v>
      </c>
      <c r="AD106" s="132" t="s">
        <v>561</v>
      </c>
      <c r="AE106" s="272"/>
      <c r="AF106" s="274"/>
      <c r="AG106" s="275"/>
      <c r="AH106" s="196"/>
      <c r="AI106" s="272"/>
      <c r="AJ106" s="274"/>
      <c r="AK106" s="274"/>
      <c r="AL106" s="277">
        <f>IF(AI106&lt;&gt;0,AK106/AI106,0)</f>
        <v>0</v>
      </c>
      <c r="AM106" s="276">
        <f>AK106-AJ106</f>
        <v>0</v>
      </c>
      <c r="AN106" s="196"/>
      <c r="AO106" s="1927"/>
      <c r="AP106" s="1927"/>
      <c r="AQ106" s="1927"/>
      <c r="AR106" s="1927"/>
      <c r="AS106" s="1927"/>
      <c r="AT106" s="1927"/>
      <c r="AU106" s="1927"/>
      <c r="AV106" s="1927"/>
      <c r="AW106" s="1927"/>
      <c r="AX106" s="1927"/>
      <c r="AY106" s="1927"/>
      <c r="AZ106" s="1927"/>
      <c r="BA106" s="1927"/>
      <c r="BB106" s="1927"/>
      <c r="BC106" s="1927"/>
      <c r="BD106" s="1927"/>
      <c r="BE106" s="1927"/>
      <c r="BF106" s="1927"/>
      <c r="BG106" s="1331"/>
      <c r="BH106" s="1331"/>
      <c r="BI106" s="1005" t="s">
        <v>615</v>
      </c>
      <c r="BJ106" s="1245"/>
      <c r="BK106" s="1245"/>
      <c r="BL106" s="1182"/>
      <c r="BM106" s="1182"/>
    </row>
    <row s="1656" customFormat="1" customHeight="1" ht="87.421875">
      <c r="A107" s="1331"/>
      <c r="B107" s="1223"/>
      <c r="C107" s="1331"/>
      <c r="D107" s="1331"/>
      <c r="E107" s="623">
        <v>15</v>
      </c>
      <c r="F107" s="50" cm="1" t="str">
        <f t="array" ref="F107:F107">OFFSET(E107,-1,1)</f>
        <v>2</v>
      </c>
      <c r="G107" s="1331"/>
      <c r="H107" s="118" t="s">
        <v>616</v>
      </c>
      <c r="I107" s="1331"/>
      <c r="J107" s="1331"/>
      <c r="K107" s="1331"/>
      <c r="L107" s="1331"/>
      <c r="M107" s="1331"/>
      <c r="N107" s="1331"/>
      <c r="O107" s="1331"/>
      <c r="P107" s="1331"/>
      <c r="Q107" s="1331"/>
      <c r="R107" s="1331"/>
      <c r="S107" s="1331"/>
      <c r="T107" s="1331"/>
      <c r="U107" s="468" cm="1" t="str">
        <f t="array" ref="U107:U107">U106</f>
        <v>true</v>
      </c>
      <c r="V107" s="1331"/>
      <c r="W107" s="1331"/>
      <c r="X107" s="1331"/>
      <c r="Y107" s="1519"/>
      <c r="Z107" s="1541"/>
      <c r="AA107" s="1331"/>
      <c r="AB107" s="119" t="s">
        <v>454</v>
      </c>
      <c r="AC107" s="134" t="s">
        <v>617</v>
      </c>
      <c r="AD107" s="132"/>
      <c r="AE107" s="275">
        <f>0.498/100</f>
        <v>0.00498</v>
      </c>
      <c r="AF107" s="275">
        <f>3.023/100</f>
        <v>0.03023</v>
      </c>
      <c r="AG107" s="275">
        <f>3.023/100</f>
        <v>0.03023</v>
      </c>
      <c r="AH107" s="280" t="s">
        <v>636</v>
      </c>
      <c r="AI107" s="275">
        <f>0.498/100</f>
        <v>0.00498</v>
      </c>
      <c r="AJ107" s="275">
        <f>3.023/100</f>
        <v>0.03023</v>
      </c>
      <c r="AK107" s="275">
        <f>3.023/100</f>
        <v>0.03023</v>
      </c>
      <c r="AL107" s="277">
        <f>IF(AI107&lt;&gt;0,AK107/AI107,0)</f>
        <v>6.07028112449799</v>
      </c>
      <c r="AM107" s="276">
        <f>AK107-AJ107</f>
        <v>0</v>
      </c>
      <c r="AN107" s="280" t="s">
        <v>637</v>
      </c>
      <c r="AO107" s="1971"/>
      <c r="AP107" s="1971"/>
      <c r="AQ107" s="1971"/>
      <c r="AR107" s="1971"/>
      <c r="AS107" s="1971"/>
      <c r="AT107" s="1971"/>
      <c r="AU107" s="1971"/>
      <c r="AV107" s="1971"/>
      <c r="AW107" s="1971"/>
      <c r="AX107" s="1971"/>
      <c r="AY107" s="1971"/>
      <c r="AZ107" s="1971"/>
      <c r="BA107" s="1971"/>
      <c r="BB107" s="1971"/>
      <c r="BC107" s="1971"/>
      <c r="BD107" s="1971"/>
      <c r="BE107" s="1971"/>
      <c r="BF107" s="1971"/>
      <c r="BG107" s="1331"/>
      <c r="BH107" s="1331"/>
      <c r="BI107" s="1005" t="s">
        <v>618</v>
      </c>
      <c r="BJ107" s="1245"/>
      <c r="BK107" s="1245"/>
      <c r="BL107" s="1182"/>
      <c r="BM107" s="1182"/>
    </row>
    <row s="1656" customFormat="1" customHeight="1" ht="55.921875">
      <c r="A108" s="1331"/>
      <c r="B108" s="1223"/>
      <c r="C108" s="1331"/>
      <c r="D108" s="1331"/>
      <c r="E108" s="623">
        <v>15</v>
      </c>
      <c r="F108" s="50" cm="1" t="str">
        <f t="array" ref="F108:F108">OFFSET(E108,-1,1)</f>
        <v>2</v>
      </c>
      <c r="G108" s="1331"/>
      <c r="H108" s="118" t="s">
        <v>619</v>
      </c>
      <c r="I108" s="1331"/>
      <c r="J108" s="1331"/>
      <c r="K108" s="1331"/>
      <c r="L108" s="1331"/>
      <c r="M108" s="1331"/>
      <c r="N108" s="1331"/>
      <c r="O108" s="1331"/>
      <c r="P108" s="1331"/>
      <c r="Q108" s="1331"/>
      <c r="R108" s="1331"/>
      <c r="S108" s="1331"/>
      <c r="T108" s="1331"/>
      <c r="U108" s="468" cm="1" t="str">
        <f t="array" ref="U108:U108">U107</f>
        <v>true</v>
      </c>
      <c r="V108" s="1331"/>
      <c r="W108" s="1331"/>
      <c r="X108" s="1331"/>
      <c r="Y108" s="1519"/>
      <c r="Z108" s="1541"/>
      <c r="AA108" s="1331"/>
      <c r="AB108" s="119" t="s">
        <v>457</v>
      </c>
      <c r="AC108" s="133" t="s">
        <v>620</v>
      </c>
      <c r="AD108" s="132"/>
      <c r="AE108" s="275">
        <f>10/100</f>
        <v>0.1</v>
      </c>
      <c r="AF108" s="275">
        <v>0.1</v>
      </c>
      <c r="AG108" s="275">
        <v>0.1</v>
      </c>
      <c r="AH108" s="280" t="s">
        <v>638</v>
      </c>
      <c r="AI108" s="275">
        <v>0.1</v>
      </c>
      <c r="AJ108" s="275">
        <v>0.1</v>
      </c>
      <c r="AK108" s="275">
        <v>0.1</v>
      </c>
      <c r="AL108" s="277">
        <f>IF(AI108&lt;&gt;0,AK108/AI108,0)</f>
        <v>1</v>
      </c>
      <c r="AM108" s="276">
        <f>AK108-AJ108</f>
        <v>0</v>
      </c>
      <c r="AN108" s="280" t="s">
        <v>638</v>
      </c>
      <c r="AO108" s="1971"/>
      <c r="AP108" s="1971"/>
      <c r="AQ108" s="1971"/>
      <c r="AR108" s="1971"/>
      <c r="AS108" s="1971"/>
      <c r="AT108" s="1971"/>
      <c r="AU108" s="1971"/>
      <c r="AV108" s="1971"/>
      <c r="AW108" s="1971"/>
      <c r="AX108" s="1971"/>
      <c r="AY108" s="1971"/>
      <c r="AZ108" s="1971"/>
      <c r="BA108" s="1971"/>
      <c r="BB108" s="1971"/>
      <c r="BC108" s="1971"/>
      <c r="BD108" s="1971"/>
      <c r="BE108" s="1971"/>
      <c r="BF108" s="1971"/>
      <c r="BG108" s="1331"/>
      <c r="BH108" s="1331"/>
      <c r="BI108" s="1005" t="s">
        <v>621</v>
      </c>
      <c r="BJ108" s="1245"/>
      <c r="BK108" s="1245"/>
      <c r="BL108" s="1182"/>
      <c r="BM108" s="1182"/>
    </row>
    <row s="2239" customFormat="1" customHeight="1" ht="26.671875">
      <c r="A109" s="1189"/>
      <c r="B109" s="431"/>
      <c r="C109" s="1189"/>
      <c r="D109" s="1189"/>
      <c r="E109" s="635">
        <v>15</v>
      </c>
      <c r="F109" s="756" cm="1" t="str">
        <f t="array" ref="F109:F109">Y109</f>
        <v>3</v>
      </c>
      <c r="G109" s="1189"/>
      <c r="H109" s="1189"/>
      <c r="I109" s="1189"/>
      <c r="J109" s="1189"/>
      <c r="K109" s="1189"/>
      <c r="L109" s="1189"/>
      <c r="M109" s="1189"/>
      <c r="N109" s="1189"/>
      <c r="O109" s="1189"/>
      <c r="P109" s="1189"/>
      <c r="Q109" s="1189"/>
      <c r="R109" s="1189"/>
      <c r="S109" s="1189"/>
      <c r="T109" s="1189"/>
      <c r="U109" s="468">
        <f>Y109&gt;0</f>
        <v>1</v>
      </c>
      <c r="V109" s="1189"/>
      <c r="W109" s="140" cm="1" t="str">
        <f t="array" ref="W109:W109">'Список объектов'!$AB$78</f>
        <v>Тариф 3 (Водоотведение) - тариф на водоотведение (Оказание услуг на территории: город Полысаево (ОКТМО: 32732000) - г Полысаево)</v>
      </c>
      <c r="X109" s="1189"/>
      <c r="Y109" s="1519" t="s">
        <v>234</v>
      </c>
      <c r="Z109" s="1541"/>
      <c r="AA109" s="1189"/>
      <c r="AB109" s="179" cm="1" t="str">
        <f t="array" ref="AB109:AB109">'Список объектов'!$AB$78</f>
        <v>Тариф 3 (Водоотведение) - тариф на водоотведение (Оказание услуг на территории: город Полысаево (ОКТМО: 32732000) - г Полысаево)</v>
      </c>
      <c r="AC109" s="176"/>
      <c r="AD109" s="170"/>
      <c r="AE109" s="170"/>
      <c r="AF109" s="170"/>
      <c r="AG109" s="170"/>
      <c r="AH109" s="170"/>
      <c r="AI109" s="170"/>
      <c r="AJ109" s="170"/>
      <c r="AK109" s="170"/>
      <c r="AL109" s="170"/>
      <c r="AM109" s="170"/>
      <c r="AN109" s="170"/>
      <c r="AO109" s="170"/>
      <c r="AP109" s="170"/>
      <c r="AQ109" s="170"/>
      <c r="AR109" s="170"/>
      <c r="AS109" s="170"/>
      <c r="AT109" s="170"/>
      <c r="AU109" s="170"/>
      <c r="AV109" s="170"/>
      <c r="AW109" s="170"/>
      <c r="AX109" s="170"/>
      <c r="AY109" s="170"/>
      <c r="AZ109" s="170"/>
      <c r="BA109" s="170"/>
      <c r="BB109" s="170"/>
      <c r="BC109" s="170"/>
      <c r="BD109" s="170"/>
      <c r="BE109" s="170"/>
      <c r="BF109" s="170"/>
      <c r="BG109" s="1189"/>
      <c r="BH109" s="1189"/>
      <c r="BI109" s="1021"/>
      <c r="BJ109" s="1021"/>
      <c r="BK109" s="1021"/>
      <c r="BL109" s="635"/>
      <c r="BM109" s="635"/>
    </row>
    <row s="1656" customFormat="1" customHeight="1" ht="13.921875">
      <c r="A110" s="1331"/>
      <c r="B110" s="1223"/>
      <c r="C110" s="1331"/>
      <c r="D110" s="1331"/>
      <c r="E110" s="623">
        <v>15</v>
      </c>
      <c r="F110" s="50" cm="1" t="str">
        <f t="array" ref="F110:F110">OFFSET(E110,-1,1)</f>
        <v>3</v>
      </c>
      <c r="G110" s="118" t="s">
        <v>563</v>
      </c>
      <c r="H110" s="1331"/>
      <c r="I110" s="1331"/>
      <c r="J110" s="1331"/>
      <c r="K110" s="1331"/>
      <c r="L110" s="1331"/>
      <c r="M110" s="1331"/>
      <c r="N110" s="1331"/>
      <c r="O110" s="1331"/>
      <c r="P110" s="1331"/>
      <c r="Q110" s="1331"/>
      <c r="R110" s="1331"/>
      <c r="S110" s="1331"/>
      <c r="T110" s="1331"/>
      <c r="U110" s="468" cm="1" t="str">
        <f t="array" ref="U110:U110">U109</f>
        <v>true</v>
      </c>
      <c r="V110" s="1331"/>
      <c r="W110" s="1331"/>
      <c r="X110" s="1331"/>
      <c r="Y110" s="1519"/>
      <c r="Z110" s="1541"/>
      <c r="AA110" s="1331"/>
      <c r="AB110" s="266"/>
      <c r="AC110" s="267" t="s">
        <v>564</v>
      </c>
      <c r="AD110" s="268"/>
      <c r="AE110" s="268"/>
      <c r="AF110" s="268"/>
      <c r="AG110" s="268"/>
      <c r="AH110" s="268"/>
      <c r="AI110" s="301">
        <f>(1-AI111/100)*(1+AI112/100)*(1+AI114/100)</f>
        <v>1.09</v>
      </c>
      <c r="AJ110" s="301">
        <f>(1-AJ111/100)*(1+AJ112/100)*(1+AJ114/100)</f>
        <v>1.03257</v>
      </c>
      <c r="AK110" s="301">
        <f>(1-AK111/100)*(1+AK112/100)*(1+AK114/100)</f>
        <v>1.04049</v>
      </c>
      <c r="AL110" s="268"/>
      <c r="AM110" s="268"/>
      <c r="AN110" s="268"/>
      <c r="AO110" s="301">
        <f>(1-AO111/100)*(1+AO112/100)*(1+AO114/100)</f>
        <v>1</v>
      </c>
      <c r="AP110" s="301">
        <f>(1-AP111/100)*(1+AP112/100)*(1+AP114/100)</f>
        <v>1</v>
      </c>
      <c r="AQ110" s="301">
        <f>(1-AQ111/100)*(1+AQ112/100)*(1+AQ114/100)</f>
        <v>1</v>
      </c>
      <c r="AR110" s="301">
        <f>(1-AR111/100)*(1+AR112/100)*(1+AR114/100)</f>
        <v>1</v>
      </c>
      <c r="AS110" s="301">
        <f>(1-AS111/100)*(1+AS112/100)*(1+AS114/100)</f>
        <v>1</v>
      </c>
      <c r="AT110" s="301">
        <f>(1-AT111/100)*(1+AT112/100)*(1+AT114/100)</f>
        <v>1</v>
      </c>
      <c r="AU110" s="301">
        <f>(1-AU111/100)*(1+AU112/100)*(1+AU114/100)</f>
        <v>1</v>
      </c>
      <c r="AV110" s="301">
        <f>(1-AV111/100)*(1+AV112/100)*(1+AV114/100)</f>
        <v>1</v>
      </c>
      <c r="AW110" s="301">
        <f>(1-AW111/100)*(1+AW112/100)*(1+AW114/100)</f>
        <v>1</v>
      </c>
      <c r="AX110" s="301">
        <f>(1-AX111/100)*(1+AX112/100)*(1+AX114/100)</f>
        <v>1</v>
      </c>
      <c r="AY110" s="301">
        <f>(1-AY111/100)*(1+AY112/100)*(1+AY114/100)</f>
        <v>1</v>
      </c>
      <c r="AZ110" s="301">
        <f>(1-AZ111/100)*(1+AZ112/100)*(1+AZ114/100)</f>
        <v>1</v>
      </c>
      <c r="BA110" s="301">
        <f>(1-BA111/100)*(1+BA112/100)*(1+BA114/100)</f>
        <v>1</v>
      </c>
      <c r="BB110" s="301">
        <f>(1-BB111/100)*(1+BB112/100)*(1+BB114/100)</f>
        <v>1</v>
      </c>
      <c r="BC110" s="301">
        <f>(1-BC111/100)*(1+BC112/100)*(1+BC114/100)</f>
        <v>1</v>
      </c>
      <c r="BD110" s="301">
        <f>(1-BD111/100)*(1+BD112/100)*(1+BD114/100)</f>
        <v>1</v>
      </c>
      <c r="BE110" s="301">
        <f>(1-BE111/100)*(1+BE112/100)*(1+BE114/100)</f>
        <v>1</v>
      </c>
      <c r="BF110" s="301">
        <f>(1-BF111/100)*(1+BF112/100)*(1+BF114/100)</f>
        <v>1</v>
      </c>
      <c r="BG110" s="1331"/>
      <c r="BH110" s="1331"/>
      <c r="BI110" s="1245"/>
      <c r="BJ110" s="1245"/>
      <c r="BK110" s="1245"/>
      <c r="BL110" s="1182"/>
      <c r="BM110" s="1182"/>
    </row>
    <row s="1656" customFormat="1" customHeight="1" ht="78.421875">
      <c r="A111" s="1331"/>
      <c r="B111" s="448">
        <f>method_reg&lt;&gt;"Метод экономически обоснованных расходов"</f>
        <v>1</v>
      </c>
      <c r="C111" s="1331"/>
      <c r="D111" s="1331"/>
      <c r="E111" s="623">
        <v>22.5</v>
      </c>
      <c r="F111" s="50" cm="1" t="str">
        <f t="array" ref="F111:F111">OFFSET(E111,-1,1)</f>
        <v>3</v>
      </c>
      <c r="G111" s="118" t="s">
        <v>565</v>
      </c>
      <c r="H111" s="118" t="s">
        <v>566</v>
      </c>
      <c r="I111" s="1331"/>
      <c r="J111" s="1331"/>
      <c r="K111" s="1331"/>
      <c r="L111" s="1331"/>
      <c r="M111" s="1331"/>
      <c r="N111" s="1331"/>
      <c r="O111" s="1331"/>
      <c r="P111" s="1331"/>
      <c r="Q111" s="1331"/>
      <c r="R111" s="1331"/>
      <c r="S111" s="1331"/>
      <c r="T111" s="1331"/>
      <c r="U111" s="468" cm="1" t="str">
        <f t="array" ref="U111:U111">U110</f>
        <v>true</v>
      </c>
      <c r="V111" s="1331"/>
      <c r="W111" s="1331"/>
      <c r="X111" s="1331"/>
      <c r="Y111" s="1519"/>
      <c r="Z111" s="1541"/>
      <c r="AA111" s="1331"/>
      <c r="AB111" s="129">
        <v>1</v>
      </c>
      <c r="AC111" s="130" t="s">
        <v>567</v>
      </c>
      <c r="AD111" s="132" t="s">
        <v>561</v>
      </c>
      <c r="AE111" s="272">
        <v>1</v>
      </c>
      <c r="AF111" s="272">
        <v>1</v>
      </c>
      <c r="AG111" s="272">
        <v>1</v>
      </c>
      <c r="AH111" s="196" t="s">
        <v>622</v>
      </c>
      <c r="AI111" s="272">
        <v>0</v>
      </c>
      <c r="AJ111" s="272">
        <v>1</v>
      </c>
      <c r="AK111" s="272">
        <v>1</v>
      </c>
      <c r="AL111" s="277">
        <f>IF(AI111&lt;&gt;0,AK111/AI111,0)</f>
        <v>0</v>
      </c>
      <c r="AM111" s="276">
        <f>AK111-AJ111</f>
        <v>0</v>
      </c>
      <c r="AN111" s="196" t="s">
        <v>622</v>
      </c>
      <c r="AO111" s="1927"/>
      <c r="AP111" s="1927"/>
      <c r="AQ111" s="1927"/>
      <c r="AR111" s="1927"/>
      <c r="AS111" s="1927"/>
      <c r="AT111" s="1927"/>
      <c r="AU111" s="1927"/>
      <c r="AV111" s="1927"/>
      <c r="AW111" s="1927"/>
      <c r="AX111" s="1927"/>
      <c r="AY111" s="1927"/>
      <c r="AZ111" s="1927"/>
      <c r="BA111" s="1927"/>
      <c r="BB111" s="1927"/>
      <c r="BC111" s="1927"/>
      <c r="BD111" s="1927"/>
      <c r="BE111" s="1927"/>
      <c r="BF111" s="1927"/>
      <c r="BG111" s="1331"/>
      <c r="BH111" s="1331"/>
      <c r="BI111" s="1005" t="s">
        <v>568</v>
      </c>
      <c r="BJ111" s="1245"/>
      <c r="BK111" s="1245"/>
      <c r="BL111" s="1182"/>
      <c r="BM111" s="1182"/>
    </row>
    <row s="1656" customFormat="1" customHeight="1" ht="60.421875">
      <c r="A112" s="1331"/>
      <c r="B112" s="1223"/>
      <c r="C112" s="1331"/>
      <c r="D112" s="1331"/>
      <c r="E112" s="623">
        <v>15</v>
      </c>
      <c r="F112" s="50" cm="1" t="str">
        <f t="array" ref="F112:F112">OFFSET(E112,-1,1)</f>
        <v>3</v>
      </c>
      <c r="G112" s="118" t="s">
        <v>569</v>
      </c>
      <c r="H112" s="118" t="s">
        <v>570</v>
      </c>
      <c r="I112" s="1331"/>
      <c r="J112" s="1331"/>
      <c r="K112" s="1331"/>
      <c r="L112" s="1331"/>
      <c r="M112" s="1331"/>
      <c r="N112" s="1331"/>
      <c r="O112" s="1331"/>
      <c r="P112" s="1331"/>
      <c r="Q112" s="1331"/>
      <c r="R112" s="1331"/>
      <c r="S112" s="1331"/>
      <c r="T112" s="1331"/>
      <c r="U112" s="468" cm="1" t="str">
        <f t="array" ref="U112:U112">U111</f>
        <v>true</v>
      </c>
      <c r="V112" s="1331"/>
      <c r="W112" s="1331"/>
      <c r="X112" s="1331"/>
      <c r="Y112" s="1519"/>
      <c r="Z112" s="1541"/>
      <c r="AA112" s="1331"/>
      <c r="AB112" s="129">
        <f>IF(B111,2,1)</f>
        <v>2</v>
      </c>
      <c r="AC112" s="131" t="s">
        <v>571</v>
      </c>
      <c r="AD112" s="132" t="s">
        <v>561</v>
      </c>
      <c r="AE112" s="272">
        <v>7.2</v>
      </c>
      <c r="AF112" s="272">
        <v>20</v>
      </c>
      <c r="AG112" s="272">
        <v>8.5</v>
      </c>
      <c r="AH112" s="196" t="s">
        <v>623</v>
      </c>
      <c r="AI112" s="272">
        <v>9</v>
      </c>
      <c r="AJ112" s="272">
        <v>4.3</v>
      </c>
      <c r="AK112" s="272">
        <v>5.1</v>
      </c>
      <c r="AL112" s="277">
        <f>IF(AI112&lt;&gt;0,AK112/AI112,0)</f>
        <v>0.566666666666667</v>
      </c>
      <c r="AM112" s="276">
        <f>AK112-AJ112</f>
        <v>0.8</v>
      </c>
      <c r="AN112" s="196" t="s">
        <v>623</v>
      </c>
      <c r="AO112" s="1927"/>
      <c r="AP112" s="1927"/>
      <c r="AQ112" s="1927"/>
      <c r="AR112" s="1927"/>
      <c r="AS112" s="1927"/>
      <c r="AT112" s="1927"/>
      <c r="AU112" s="1927"/>
      <c r="AV112" s="1927"/>
      <c r="AW112" s="1927"/>
      <c r="AX112" s="1927"/>
      <c r="AY112" s="1927"/>
      <c r="AZ112" s="1927"/>
      <c r="BA112" s="1927"/>
      <c r="BB112" s="1927"/>
      <c r="BC112" s="1927"/>
      <c r="BD112" s="1927"/>
      <c r="BE112" s="1927"/>
      <c r="BF112" s="1927"/>
      <c r="BG112" s="1331"/>
      <c r="BH112" s="1331"/>
      <c r="BI112" s="1005" t="s">
        <v>572</v>
      </c>
      <c r="BJ112" s="1245"/>
      <c r="BK112" s="1245"/>
      <c r="BL112" s="1182"/>
      <c r="BM112" s="1182"/>
    </row>
    <row s="1656" customFormat="1" customHeight="1" ht="56.671875">
      <c r="A113" s="1331"/>
      <c r="B113" s="1223"/>
      <c r="C113" s="1331"/>
      <c r="D113" s="1331"/>
      <c r="E113" s="623">
        <v>15</v>
      </c>
      <c r="F113" s="50" cm="1" t="str">
        <f t="array" ref="F113:F113">OFFSET(E113,-1,1)</f>
        <v>3</v>
      </c>
      <c r="G113" s="1331"/>
      <c r="H113" s="118" t="s">
        <v>573</v>
      </c>
      <c r="I113" s="1331"/>
      <c r="J113" s="1331"/>
      <c r="K113" s="1331"/>
      <c r="L113" s="1331"/>
      <c r="M113" s="1331"/>
      <c r="N113" s="1331"/>
      <c r="O113" s="1331"/>
      <c r="P113" s="1331"/>
      <c r="Q113" s="1331"/>
      <c r="R113" s="1331"/>
      <c r="S113" s="1331"/>
      <c r="T113" s="1331"/>
      <c r="U113" s="468" cm="1" t="str">
        <f t="array" ref="U113:U113">U112</f>
        <v>true</v>
      </c>
      <c r="V113" s="1331"/>
      <c r="W113" s="1331"/>
      <c r="X113" s="1331"/>
      <c r="Y113" s="1519"/>
      <c r="Z113" s="1541"/>
      <c r="AA113" s="1331"/>
      <c r="AB113" s="129">
        <f>AB112+1</f>
        <v>3</v>
      </c>
      <c r="AC113" s="133" t="s">
        <v>574</v>
      </c>
      <c r="AD113" s="132" t="s">
        <v>561</v>
      </c>
      <c r="AE113" s="272">
        <v>5.6</v>
      </c>
      <c r="AF113" s="272"/>
      <c r="AG113" s="272"/>
      <c r="AH113" s="196" t="s">
        <v>623</v>
      </c>
      <c r="AI113" s="272">
        <v>14.4</v>
      </c>
      <c r="AJ113" s="272"/>
      <c r="AK113" s="272">
        <v>13.2</v>
      </c>
      <c r="AL113" s="277">
        <f>IF(AI113&lt;&gt;0,AK113/AI113,0)</f>
        <v>0.916666666666667</v>
      </c>
      <c r="AM113" s="276">
        <f>AK113-AJ113</f>
        <v>13.2</v>
      </c>
      <c r="AN113" s="196" t="s">
        <v>623</v>
      </c>
      <c r="AO113" s="1927"/>
      <c r="AP113" s="1927"/>
      <c r="AQ113" s="1927"/>
      <c r="AR113" s="1927"/>
      <c r="AS113" s="1927"/>
      <c r="AT113" s="1927"/>
      <c r="AU113" s="1927"/>
      <c r="AV113" s="1927"/>
      <c r="AW113" s="1927"/>
      <c r="AX113" s="1927"/>
      <c r="AY113" s="1927"/>
      <c r="AZ113" s="1927"/>
      <c r="BA113" s="1927"/>
      <c r="BB113" s="1927"/>
      <c r="BC113" s="1927"/>
      <c r="BD113" s="1927"/>
      <c r="BE113" s="1927"/>
      <c r="BF113" s="1927"/>
      <c r="BG113" s="1331"/>
      <c r="BH113" s="1331"/>
      <c r="BI113" s="1005" t="s">
        <v>575</v>
      </c>
      <c r="BJ113" s="1245"/>
      <c r="BK113" s="1245"/>
      <c r="BL113" s="1182"/>
      <c r="BM113" s="1182"/>
    </row>
    <row s="1656" customFormat="1" customHeight="1" ht="46.921875">
      <c r="A114" s="1331"/>
      <c r="B114" s="448">
        <f>method_reg&lt;&gt;"Метод экономически обоснованных расходов"</f>
        <v>1</v>
      </c>
      <c r="C114" s="1331"/>
      <c r="D114" s="1331"/>
      <c r="E114" s="623">
        <v>15</v>
      </c>
      <c r="F114" s="50" cm="1" t="str">
        <f t="array" ref="F114:F114">OFFSET(E114,-1,1)</f>
        <v>3</v>
      </c>
      <c r="G114" s="118" t="s">
        <v>576</v>
      </c>
      <c r="H114" s="118" t="s">
        <v>577</v>
      </c>
      <c r="I114" s="1331"/>
      <c r="J114" s="1331"/>
      <c r="K114" s="1331"/>
      <c r="L114" s="1331"/>
      <c r="M114" s="1331"/>
      <c r="N114" s="1331"/>
      <c r="O114" s="1331"/>
      <c r="P114" s="1331"/>
      <c r="Q114" s="1331"/>
      <c r="R114" s="1331"/>
      <c r="S114" s="1331"/>
      <c r="T114" s="1331"/>
      <c r="U114" s="468" cm="1" t="str">
        <f t="array" ref="U114:U114">U113</f>
        <v>true</v>
      </c>
      <c r="V114" s="1331"/>
      <c r="W114" s="1331"/>
      <c r="X114" s="1331"/>
      <c r="Y114" s="1519"/>
      <c r="Z114" s="1541"/>
      <c r="AA114" s="1331"/>
      <c r="AB114" s="129">
        <v>4</v>
      </c>
      <c r="AC114" s="131" t="s">
        <v>578</v>
      </c>
      <c r="AD114" s="132" t="s">
        <v>561</v>
      </c>
      <c r="AE114" s="272">
        <v>0.0110729</v>
      </c>
      <c r="AF114" s="272">
        <v>0</v>
      </c>
      <c r="AG114" s="272">
        <v>0</v>
      </c>
      <c r="AH114" s="196" t="s">
        <v>639</v>
      </c>
      <c r="AI114" s="272">
        <v>0</v>
      </c>
      <c r="AJ114" s="272"/>
      <c r="AK114" s="272"/>
      <c r="AL114" s="277">
        <f>IF(AI114&lt;&gt;0,AK114/AI114,0)</f>
        <v>0</v>
      </c>
      <c r="AM114" s="276">
        <f>AK114-AJ114</f>
        <v>0</v>
      </c>
      <c r="AN114" s="196" t="s">
        <v>626</v>
      </c>
      <c r="AO114" s="1927"/>
      <c r="AP114" s="1927"/>
      <c r="AQ114" s="1927"/>
      <c r="AR114" s="1927"/>
      <c r="AS114" s="1927"/>
      <c r="AT114" s="1927"/>
      <c r="AU114" s="1927"/>
      <c r="AV114" s="1927"/>
      <c r="AW114" s="1927"/>
      <c r="AX114" s="1927"/>
      <c r="AY114" s="1927"/>
      <c r="AZ114" s="1927"/>
      <c r="BA114" s="1927"/>
      <c r="BB114" s="1927"/>
      <c r="BC114" s="1927"/>
      <c r="BD114" s="1927"/>
      <c r="BE114" s="1927"/>
      <c r="BF114" s="1927"/>
      <c r="BG114" s="1331"/>
      <c r="BH114" s="1331"/>
      <c r="BI114" s="1005" t="s">
        <v>579</v>
      </c>
      <c r="BJ114" s="1245"/>
      <c r="BK114" s="1245"/>
      <c r="BL114" s="1182"/>
      <c r="BM114" s="1182"/>
    </row>
    <row s="1441" customFormat="1" customHeight="1" ht="14.25">
      <c r="A115" s="145"/>
      <c r="B115" s="449"/>
      <c r="C115" s="145"/>
      <c r="D115" s="145"/>
      <c r="E115" s="682">
        <v>15</v>
      </c>
      <c r="F115" s="370" cm="1" t="str">
        <f t="array" ref="F115:F115">OFFSET(E115,-1,1)</f>
        <v>3</v>
      </c>
      <c r="G115" s="145"/>
      <c r="H115" s="145"/>
      <c r="I115" s="145"/>
      <c r="J115" s="145"/>
      <c r="K115" s="145"/>
      <c r="L115" s="145"/>
      <c r="M115" s="145"/>
      <c r="N115" s="145"/>
      <c r="O115" s="145"/>
      <c r="P115" s="145"/>
      <c r="Q115" s="145"/>
      <c r="R115" s="145"/>
      <c r="S115" s="145"/>
      <c r="T115" s="145"/>
      <c r="U115" s="468" cm="1" t="str">
        <f t="array" ref="U115:U115">U114</f>
        <v>true</v>
      </c>
      <c r="V115" s="145"/>
      <c r="W115" s="145"/>
      <c r="X115" s="145"/>
      <c r="Y115" s="1519"/>
      <c r="Z115" s="1541"/>
      <c r="AA115" s="145"/>
      <c r="AB115" s="129">
        <v>5</v>
      </c>
      <c r="AC115" s="131" t="s">
        <v>580</v>
      </c>
      <c r="AD115" s="132" t="s">
        <v>561</v>
      </c>
      <c r="AE115" s="272"/>
      <c r="AF115" s="272"/>
      <c r="AG115" s="272"/>
      <c r="AH115" s="196"/>
      <c r="AI115" s="272"/>
      <c r="AJ115" s="272"/>
      <c r="AK115" s="272"/>
      <c r="AL115" s="277">
        <f>IF(AI115&lt;&gt;0,AK115/AI115,0)</f>
        <v>0</v>
      </c>
      <c r="AM115" s="276">
        <f>AK115-AJ115</f>
        <v>0</v>
      </c>
      <c r="AN115" s="196"/>
      <c r="AO115" s="1927"/>
      <c r="AP115" s="1927"/>
      <c r="AQ115" s="1927"/>
      <c r="AR115" s="1927"/>
      <c r="AS115" s="1927"/>
      <c r="AT115" s="1927"/>
      <c r="AU115" s="1927"/>
      <c r="AV115" s="1927"/>
      <c r="AW115" s="1927"/>
      <c r="AX115" s="1927"/>
      <c r="AY115" s="1927"/>
      <c r="AZ115" s="1927"/>
      <c r="BA115" s="1927"/>
      <c r="BB115" s="1927"/>
      <c r="BC115" s="1927"/>
      <c r="BD115" s="1927"/>
      <c r="BE115" s="1927"/>
      <c r="BF115" s="1927"/>
      <c r="BG115" s="145"/>
      <c r="BH115" s="145"/>
      <c r="BI115" s="1046" t="s">
        <v>581</v>
      </c>
      <c r="BJ115" s="1046"/>
      <c r="BK115" s="1046"/>
      <c r="BL115" s="682"/>
      <c r="BM115" s="682"/>
    </row>
    <row s="1656" customFormat="1" customHeight="1" ht="14.25">
      <c r="A116" s="1331"/>
      <c r="B116" s="1223"/>
      <c r="C116" s="1331"/>
      <c r="D116" s="1331"/>
      <c r="E116" s="623">
        <v>15</v>
      </c>
      <c r="F116" s="50" cm="1" t="str">
        <f t="array" ref="F116:F116">OFFSET(E116,-1,1)</f>
        <v>3</v>
      </c>
      <c r="G116" s="1331"/>
      <c r="H116" s="1331"/>
      <c r="I116" s="1331"/>
      <c r="J116" s="1331"/>
      <c r="K116" s="1331"/>
      <c r="L116" s="1331"/>
      <c r="M116" s="1331"/>
      <c r="N116" s="1331"/>
      <c r="O116" s="1331"/>
      <c r="P116" s="1331"/>
      <c r="Q116" s="1331"/>
      <c r="R116" s="1331"/>
      <c r="S116" s="1331"/>
      <c r="T116" s="1331"/>
      <c r="U116" s="468" cm="1" t="str">
        <f t="array" ref="U116:U116">U114</f>
        <v>true</v>
      </c>
      <c r="V116" s="1331"/>
      <c r="W116" s="1331"/>
      <c r="X116" s="1331"/>
      <c r="Y116" s="1519"/>
      <c r="Z116" s="1541"/>
      <c r="AA116" s="1331"/>
      <c r="AB116" s="266"/>
      <c r="AC116" s="267" t="s">
        <v>582</v>
      </c>
      <c r="AD116" s="268"/>
      <c r="AE116" s="273"/>
      <c r="AF116" s="273"/>
      <c r="AG116" s="273"/>
      <c r="AH116" s="268"/>
      <c r="AI116" s="273"/>
      <c r="AJ116" s="273"/>
      <c r="AK116" s="273"/>
      <c r="AL116" s="278"/>
      <c r="AM116" s="273"/>
      <c r="AN116" s="268"/>
      <c r="AO116" s="273"/>
      <c r="AP116" s="273"/>
      <c r="AQ116" s="273"/>
      <c r="AR116" s="273"/>
      <c r="AS116" s="273"/>
      <c r="AT116" s="273"/>
      <c r="AU116" s="273"/>
      <c r="AV116" s="273"/>
      <c r="AW116" s="273"/>
      <c r="AX116" s="273"/>
      <c r="AY116" s="273"/>
      <c r="AZ116" s="273"/>
      <c r="BA116" s="273"/>
      <c r="BB116" s="273"/>
      <c r="BC116" s="273"/>
      <c r="BD116" s="273"/>
      <c r="BE116" s="273"/>
      <c r="BF116" s="279"/>
      <c r="BG116" s="1331"/>
      <c r="BH116" s="1331"/>
      <c r="BI116" s="1245"/>
      <c r="BJ116" s="1245"/>
      <c r="BK116" s="1245"/>
      <c r="BL116" s="1182"/>
      <c r="BM116" s="1182"/>
    </row>
    <row s="1656" customFormat="1" customHeight="1" ht="14.625">
      <c r="A117" s="1331"/>
      <c r="B117" s="1223"/>
      <c r="C117" s="1331"/>
      <c r="D117" s="1331"/>
      <c r="E117" s="623">
        <v>15</v>
      </c>
      <c r="F117" s="50" cm="1" t="str">
        <f t="array" ref="F117:F117">OFFSET(E117,-1,1)</f>
        <v>3</v>
      </c>
      <c r="G117" s="118" t="s">
        <v>583</v>
      </c>
      <c r="H117" s="118" t="s">
        <v>584</v>
      </c>
      <c r="I117" s="1331"/>
      <c r="J117" s="1331"/>
      <c r="K117" s="1331"/>
      <c r="L117" s="1331"/>
      <c r="M117" s="1331"/>
      <c r="N117" s="1331"/>
      <c r="O117" s="1331"/>
      <c r="P117" s="1331"/>
      <c r="Q117" s="1331"/>
      <c r="R117" s="1331"/>
      <c r="S117" s="1331"/>
      <c r="T117" s="1331"/>
      <c r="U117" s="468" cm="1" t="str">
        <f t="array" ref="U117:U117">U116</f>
        <v>true</v>
      </c>
      <c r="V117" s="1331"/>
      <c r="W117" s="1331"/>
      <c r="X117" s="1331"/>
      <c r="Y117" s="1519"/>
      <c r="Z117" s="1541"/>
      <c r="AA117" s="1331"/>
      <c r="AB117" s="129">
        <v>1</v>
      </c>
      <c r="AC117" s="131" t="s">
        <v>585</v>
      </c>
      <c r="AD117" s="132" t="s">
        <v>561</v>
      </c>
      <c r="AE117" s="274">
        <v>30.2</v>
      </c>
      <c r="AF117" s="274">
        <v>30.2</v>
      </c>
      <c r="AG117" s="274">
        <v>30.2</v>
      </c>
      <c r="AH117" s="196"/>
      <c r="AI117" s="274">
        <v>30.2</v>
      </c>
      <c r="AJ117" s="274">
        <v>30.2</v>
      </c>
      <c r="AK117" s="274">
        <v>30.2</v>
      </c>
      <c r="AL117" s="277">
        <f>IF(AI117&lt;&gt;0,AK117/AI117,0)</f>
        <v>1</v>
      </c>
      <c r="AM117" s="276">
        <f>AK117-AJ117</f>
        <v>0</v>
      </c>
      <c r="AN117" s="196"/>
      <c r="AO117" s="1940"/>
      <c r="AP117" s="1940"/>
      <c r="AQ117" s="1940"/>
      <c r="AR117" s="1940"/>
      <c r="AS117" s="1940"/>
      <c r="AT117" s="1940"/>
      <c r="AU117" s="1940"/>
      <c r="AV117" s="1940"/>
      <c r="AW117" s="1940"/>
      <c r="AX117" s="1940"/>
      <c r="AY117" s="1940"/>
      <c r="AZ117" s="1940"/>
      <c r="BA117" s="1940"/>
      <c r="BB117" s="1940"/>
      <c r="BC117" s="1940"/>
      <c r="BD117" s="1940"/>
      <c r="BE117" s="1940"/>
      <c r="BF117" s="1940"/>
      <c r="BG117" s="1331"/>
      <c r="BH117" s="1331"/>
      <c r="BI117" s="1005" t="s">
        <v>586</v>
      </c>
      <c r="BJ117" s="1245"/>
      <c r="BK117" s="1245"/>
      <c r="BL117" s="1182"/>
      <c r="BM117" s="1182"/>
    </row>
    <row s="1656" customFormat="1" customHeight="1" ht="15" hidden="1">
      <c r="A118" s="1331"/>
      <c r="B118" s="1223"/>
      <c r="C118" s="1331"/>
      <c r="D118" s="1331"/>
      <c r="E118" s="623">
        <v>0</v>
      </c>
      <c r="F118" s="50" cm="1" t="str">
        <f t="array" ref="F118:F118">OFFSET(E118,-1,1)</f>
        <v>3</v>
      </c>
      <c r="G118" s="1331"/>
      <c r="H118" s="118" t="s">
        <v>587</v>
      </c>
      <c r="I118" s="1331"/>
      <c r="J118" s="1331"/>
      <c r="K118" s="1331"/>
      <c r="L118" s="1331"/>
      <c r="M118" s="1331"/>
      <c r="N118" s="1331"/>
      <c r="O118" s="1331"/>
      <c r="P118" s="1331"/>
      <c r="Q118" s="1331"/>
      <c r="R118" s="1331"/>
      <c r="S118" s="1331"/>
      <c r="T118" s="1331"/>
      <c r="U118" s="468" cm="1" t="str">
        <f t="array" ref="U118:U118">U117</f>
        <v>true</v>
      </c>
      <c r="V118" s="1331"/>
      <c r="W118" s="1331"/>
      <c r="X118" s="1331"/>
      <c r="Y118" s="1519"/>
      <c r="Z118" s="1541"/>
      <c r="AA118" s="1331"/>
      <c r="AB118" s="129">
        <v>2</v>
      </c>
      <c r="AC118" s="131" t="s">
        <v>560</v>
      </c>
      <c r="AD118" s="132" t="s">
        <v>561</v>
      </c>
      <c r="AE118" s="1940"/>
      <c r="AF118" s="1927"/>
      <c r="AG118" s="1940"/>
      <c r="AH118" s="1928"/>
      <c r="AI118" s="1940"/>
      <c r="AJ118" s="1940"/>
      <c r="AK118" s="1940"/>
      <c r="AL118" s="277">
        <f>IF(AI118&lt;&gt;0,AK118/AI118,0)</f>
        <v>0</v>
      </c>
      <c r="AM118" s="276">
        <f>AK118-AJ118</f>
        <v>0</v>
      </c>
      <c r="AN118" s="1928"/>
      <c r="AO118" s="1940"/>
      <c r="AP118" s="1940"/>
      <c r="AQ118" s="1940"/>
      <c r="AR118" s="1940"/>
      <c r="AS118" s="1940"/>
      <c r="AT118" s="1940"/>
      <c r="AU118" s="1940"/>
      <c r="AV118" s="1940"/>
      <c r="AW118" s="1940"/>
      <c r="AX118" s="1940"/>
      <c r="AY118" s="1940"/>
      <c r="AZ118" s="1940"/>
      <c r="BA118" s="1940"/>
      <c r="BB118" s="1940"/>
      <c r="BC118" s="1940"/>
      <c r="BD118" s="1940"/>
      <c r="BE118" s="1940"/>
      <c r="BF118" s="1940"/>
      <c r="BG118" s="1331"/>
      <c r="BH118" s="1331"/>
      <c r="BI118" s="1005" t="s">
        <v>588</v>
      </c>
      <c r="BJ118" s="1245"/>
      <c r="BK118" s="1245"/>
      <c r="BL118" s="1182"/>
      <c r="BM118" s="1182"/>
    </row>
    <row s="1656" customFormat="1" customHeight="1" ht="14.25">
      <c r="A119" s="1331"/>
      <c r="B119" s="1223"/>
      <c r="C119" s="1331"/>
      <c r="D119" s="1331"/>
      <c r="E119" s="623">
        <v>15</v>
      </c>
      <c r="F119" s="50" cm="1" t="str">
        <f t="array" ref="F119:F119">OFFSET(E119,-1,1)</f>
        <v>3</v>
      </c>
      <c r="G119" s="1331"/>
      <c r="H119" s="1331"/>
      <c r="I119" s="1331"/>
      <c r="J119" s="1331"/>
      <c r="K119" s="1331"/>
      <c r="L119" s="1331"/>
      <c r="M119" s="1331"/>
      <c r="N119" s="1331"/>
      <c r="O119" s="1331"/>
      <c r="P119" s="1331"/>
      <c r="Q119" s="1331"/>
      <c r="R119" s="1331"/>
      <c r="S119" s="1331"/>
      <c r="T119" s="1331"/>
      <c r="U119" s="468" cm="1" t="str">
        <f t="array" ref="U119:U119">U118</f>
        <v>true</v>
      </c>
      <c r="V119" s="1331"/>
      <c r="W119" s="1331"/>
      <c r="X119" s="1331"/>
      <c r="Y119" s="1519"/>
      <c r="Z119" s="1541"/>
      <c r="AA119" s="1331"/>
      <c r="AB119" s="611">
        <v>2</v>
      </c>
      <c r="AC119" s="612" t="s">
        <v>589</v>
      </c>
      <c r="AD119" s="90"/>
      <c r="AE119" s="613"/>
      <c r="AF119" s="614"/>
      <c r="AG119" s="615"/>
      <c r="AH119" s="616"/>
      <c r="AI119" s="613"/>
      <c r="AJ119" s="614"/>
      <c r="AK119" s="614"/>
      <c r="AL119" s="617"/>
      <c r="AM119" s="614"/>
      <c r="AN119" s="616"/>
      <c r="AO119" s="613"/>
      <c r="AP119" s="613"/>
      <c r="AQ119" s="613"/>
      <c r="AR119" s="613"/>
      <c r="AS119" s="613"/>
      <c r="AT119" s="613"/>
      <c r="AU119" s="613"/>
      <c r="AV119" s="613"/>
      <c r="AW119" s="613"/>
      <c r="AX119" s="613"/>
      <c r="AY119" s="613"/>
      <c r="AZ119" s="613"/>
      <c r="BA119" s="613"/>
      <c r="BB119" s="613"/>
      <c r="BC119" s="613"/>
      <c r="BD119" s="613"/>
      <c r="BE119" s="613"/>
      <c r="BF119" s="613"/>
      <c r="BG119" s="1331"/>
      <c r="BH119" s="1331"/>
      <c r="BI119" s="1005" t="s">
        <v>590</v>
      </c>
      <c r="BJ119" s="1245"/>
      <c r="BK119" s="1245"/>
      <c r="BL119" s="1182"/>
      <c r="BM119" s="1182"/>
    </row>
    <row s="1656" customFormat="1" customHeight="1" ht="21.75">
      <c r="A120" s="1331"/>
      <c r="B120" s="1223"/>
      <c r="C120" s="1331"/>
      <c r="D120" s="1331"/>
      <c r="E120" s="623">
        <v>22.5</v>
      </c>
      <c r="F120" s="50" cm="1" t="str">
        <f t="array" ref="F120:F120">OFFSET(E120,-1,1)</f>
        <v>3</v>
      </c>
      <c r="G120" s="1331"/>
      <c r="H120" s="118" t="s">
        <v>591</v>
      </c>
      <c r="I120" s="1331"/>
      <c r="J120" s="1331"/>
      <c r="K120" s="1331"/>
      <c r="L120" s="1331"/>
      <c r="M120" s="1331"/>
      <c r="N120" s="1331"/>
      <c r="O120" s="1331"/>
      <c r="P120" s="1331"/>
      <c r="Q120" s="1331"/>
      <c r="R120" s="1331"/>
      <c r="S120" s="1331"/>
      <c r="T120" s="1331"/>
      <c r="U120" s="468" cm="1" t="str">
        <f t="array" ref="U120:U120">U119</f>
        <v>true</v>
      </c>
      <c r="V120" s="1331"/>
      <c r="W120" s="1331"/>
      <c r="X120" s="1331"/>
      <c r="Y120" s="1519"/>
      <c r="Z120" s="1541"/>
      <c r="AA120" s="1331"/>
      <c r="AB120" s="216" t="s">
        <v>592</v>
      </c>
      <c r="AC120" s="210" t="s">
        <v>593</v>
      </c>
      <c r="AD120" s="87" t="s">
        <v>594</v>
      </c>
      <c r="AE120" s="303"/>
      <c r="AF120" s="618"/>
      <c r="AG120" s="619"/>
      <c r="AH120" s="305"/>
      <c r="AI120" s="303"/>
      <c r="AJ120" s="618"/>
      <c r="AK120" s="618"/>
      <c r="AL120" s="620">
        <f>IF(AI120&lt;&gt;0,AK120/AI120,0)</f>
        <v>0</v>
      </c>
      <c r="AM120" s="621">
        <f>AK120-AJ120</f>
        <v>0</v>
      </c>
      <c r="AN120" s="305"/>
      <c r="AO120" s="1952"/>
      <c r="AP120" s="1952"/>
      <c r="AQ120" s="1952"/>
      <c r="AR120" s="1952"/>
      <c r="AS120" s="1952"/>
      <c r="AT120" s="1952"/>
      <c r="AU120" s="1952"/>
      <c r="AV120" s="1952"/>
      <c r="AW120" s="1952"/>
      <c r="AX120" s="1952"/>
      <c r="AY120" s="1952"/>
      <c r="AZ120" s="1952"/>
      <c r="BA120" s="1952"/>
      <c r="BB120" s="1952"/>
      <c r="BC120" s="1952"/>
      <c r="BD120" s="1952"/>
      <c r="BE120" s="1952"/>
      <c r="BF120" s="1952"/>
      <c r="BG120" s="1331"/>
      <c r="BH120" s="1331"/>
      <c r="BI120" s="1005" t="s">
        <v>595</v>
      </c>
      <c r="BJ120" s="1245"/>
      <c r="BK120" s="1245"/>
      <c r="BL120" s="1182"/>
      <c r="BM120" s="1182"/>
    </row>
    <row s="1656" customFormat="1" customHeight="1" ht="21.75" hidden="1">
      <c r="A121" s="1331"/>
      <c r="B121" s="1223"/>
      <c r="C121" s="1331"/>
      <c r="D121" s="1331"/>
      <c r="E121" s="623">
        <v>22.5</v>
      </c>
      <c r="F121" s="50" cm="1" t="str">
        <f t="array" ref="F121:F121">OFFSET(E121,-1,1)</f>
        <v>3</v>
      </c>
      <c r="G121" s="1331"/>
      <c r="H121" s="1331"/>
      <c r="I121" s="118" cm="1" t="str">
        <f t="array" ref="I121:I121">AC121</f>
        <v>0</v>
      </c>
      <c r="J121" s="1331"/>
      <c r="K121" s="1331"/>
      <c r="L121" s="1331"/>
      <c r="M121" s="1331"/>
      <c r="N121" s="1331"/>
      <c r="O121" s="1331"/>
      <c r="P121" s="1331"/>
      <c r="Q121" s="1331"/>
      <c r="R121" s="1331"/>
      <c r="S121" s="1331"/>
      <c r="T121" s="1331"/>
      <c r="U121" s="468">
        <f>AND(F121&gt;0,--RIGHT(AB121,1)&gt;1)</f>
        <v>0</v>
      </c>
      <c r="V121" s="1331"/>
      <c r="W121" s="1331"/>
      <c r="X121" s="764" t="s">
        <v>173</v>
      </c>
      <c r="Y121" s="1519"/>
      <c r="Z121" s="1541"/>
      <c r="AA121" s="422" t="s">
        <v>174</v>
      </c>
      <c r="AB121" s="216" t="s">
        <v>592</v>
      </c>
      <c r="AC121" s="1958"/>
      <c r="AD121" s="87" t="s">
        <v>594</v>
      </c>
      <c r="AE121" s="1952"/>
      <c r="AF121" s="1953"/>
      <c r="AG121" s="1954"/>
      <c r="AH121" s="1955"/>
      <c r="AI121" s="1952"/>
      <c r="AJ121" s="1953"/>
      <c r="AK121" s="1953"/>
      <c r="AL121" s="620">
        <f>IF(AI121&lt;&gt;0,AK121/AI121,0)</f>
        <v>0</v>
      </c>
      <c r="AM121" s="621">
        <f>AK121-AJ121</f>
        <v>0</v>
      </c>
      <c r="AN121" s="1955"/>
      <c r="AO121" s="1952"/>
      <c r="AP121" s="1952"/>
      <c r="AQ121" s="1952"/>
      <c r="AR121" s="1952"/>
      <c r="AS121" s="1952"/>
      <c r="AT121" s="1952"/>
      <c r="AU121" s="1952"/>
      <c r="AV121" s="1952"/>
      <c r="AW121" s="1952"/>
      <c r="AX121" s="1952"/>
      <c r="AY121" s="1952"/>
      <c r="AZ121" s="1952"/>
      <c r="BA121" s="1952"/>
      <c r="BB121" s="1952"/>
      <c r="BC121" s="1952"/>
      <c r="BD121" s="1952"/>
      <c r="BE121" s="1952"/>
      <c r="BF121" s="1952"/>
      <c r="BG121" s="1331"/>
      <c r="BH121" s="1331"/>
      <c r="BI121" s="1005" t="s">
        <v>595</v>
      </c>
      <c r="BJ121" s="1005" t="s">
        <v>596</v>
      </c>
      <c r="BK121" s="1005" cm="1" t="str">
        <f t="array" ref="BK121:BK121">AC121</f>
        <v>0</v>
      </c>
      <c r="BL121" s="1182"/>
      <c r="BM121" s="623" t="b">
        <v>1</v>
      </c>
    </row>
    <row s="1656" customFormat="1" customHeight="1" ht="14.25">
      <c r="A122" s="1331"/>
      <c r="B122" s="1223"/>
      <c r="C122" s="1331"/>
      <c r="D122" s="1331"/>
      <c r="E122" s="623">
        <v>15</v>
      </c>
      <c r="F122" s="50" cm="1" t="str">
        <f t="array" ref="F122:F122">OFFSET(E122,-1,1)</f>
        <v>3</v>
      </c>
      <c r="G122" s="1331"/>
      <c r="H122" s="1331"/>
      <c r="I122" s="1331"/>
      <c r="J122" s="1331"/>
      <c r="K122" s="1331"/>
      <c r="L122" s="1331"/>
      <c r="M122" s="1331"/>
      <c r="N122" s="1331"/>
      <c r="O122" s="1331"/>
      <c r="P122" s="1331"/>
      <c r="Q122" s="1331"/>
      <c r="R122" s="1331"/>
      <c r="S122" s="1331"/>
      <c r="T122" s="1331"/>
      <c r="U122" s="468">
        <f>F122&gt;0</f>
        <v>1</v>
      </c>
      <c r="V122" s="1331"/>
      <c r="W122" s="1331"/>
      <c r="X122" s="764" t="s">
        <v>421</v>
      </c>
      <c r="Y122" s="1519"/>
      <c r="Z122" s="1541"/>
      <c r="AA122" s="1331"/>
      <c r="AB122" s="171"/>
      <c r="AC122" s="304" t="s">
        <v>177</v>
      </c>
      <c r="AD122" s="172"/>
      <c r="AE122" s="172"/>
      <c r="AF122" s="172"/>
      <c r="AG122" s="172"/>
      <c r="AH122" s="172"/>
      <c r="AI122" s="172"/>
      <c r="AJ122" s="172"/>
      <c r="AK122" s="172"/>
      <c r="AL122" s="172"/>
      <c r="AM122" s="172"/>
      <c r="AN122" s="172"/>
      <c r="AO122" s="172"/>
      <c r="AP122" s="172"/>
      <c r="AQ122" s="172"/>
      <c r="AR122" s="172"/>
      <c r="AS122" s="172"/>
      <c r="AT122" s="172"/>
      <c r="AU122" s="172"/>
      <c r="AV122" s="172"/>
      <c r="AW122" s="172"/>
      <c r="AX122" s="172"/>
      <c r="AY122" s="172"/>
      <c r="AZ122" s="172"/>
      <c r="BA122" s="172"/>
      <c r="BB122" s="172"/>
      <c r="BC122" s="172"/>
      <c r="BD122" s="172"/>
      <c r="BE122" s="172"/>
      <c r="BF122" s="172"/>
      <c r="BG122" s="1331"/>
      <c r="BH122" s="1331"/>
      <c r="BI122" s="1245"/>
      <c r="BJ122" s="1245"/>
      <c r="BK122" s="1245"/>
      <c r="BL122" s="623" t="s">
        <v>596</v>
      </c>
      <c r="BM122" s="1182"/>
    </row>
    <row s="1656" customFormat="1" customHeight="1" ht="21.75">
      <c r="A123" s="1331"/>
      <c r="B123" s="1223"/>
      <c r="C123" s="1331"/>
      <c r="D123" s="1331"/>
      <c r="E123" s="623">
        <v>22.5</v>
      </c>
      <c r="F123" s="50" cm="1" t="str">
        <f t="array" ref="F123:F123">OFFSET(E123,-1,1)</f>
        <v>3</v>
      </c>
      <c r="G123" s="1331"/>
      <c r="H123" s="118" t="s">
        <v>597</v>
      </c>
      <c r="I123" s="1331"/>
      <c r="J123" s="1331"/>
      <c r="K123" s="1331"/>
      <c r="L123" s="1331"/>
      <c r="M123" s="1331"/>
      <c r="N123" s="1331"/>
      <c r="O123" s="1331"/>
      <c r="P123" s="1331"/>
      <c r="Q123" s="1331"/>
      <c r="R123" s="1331"/>
      <c r="S123" s="1331"/>
      <c r="T123" s="1331"/>
      <c r="U123" s="468" cm="1" t="str">
        <f t="array" ref="U123:U123">U122</f>
        <v>true</v>
      </c>
      <c r="V123" s="1331"/>
      <c r="W123" s="1331"/>
      <c r="X123" s="1331"/>
      <c r="Y123" s="1519"/>
      <c r="Z123" s="1541"/>
      <c r="AA123" s="1331"/>
      <c r="AB123" s="603" t="s">
        <v>598</v>
      </c>
      <c r="AC123" s="604" t="s">
        <v>599</v>
      </c>
      <c r="AD123" s="600" t="s">
        <v>594</v>
      </c>
      <c r="AE123" s="605"/>
      <c r="AF123" s="606"/>
      <c r="AG123" s="607"/>
      <c r="AH123" s="608"/>
      <c r="AI123" s="605"/>
      <c r="AJ123" s="606"/>
      <c r="AK123" s="606"/>
      <c r="AL123" s="609">
        <f>IF(AI123&lt;&gt;0,AK123/AI123,0)</f>
        <v>0</v>
      </c>
      <c r="AM123" s="610">
        <f>AK123-AJ123</f>
        <v>0</v>
      </c>
      <c r="AN123" s="608"/>
      <c r="AO123" s="1962"/>
      <c r="AP123" s="1962"/>
      <c r="AQ123" s="1962"/>
      <c r="AR123" s="1962"/>
      <c r="AS123" s="1962"/>
      <c r="AT123" s="1962"/>
      <c r="AU123" s="1962"/>
      <c r="AV123" s="1962"/>
      <c r="AW123" s="1962"/>
      <c r="AX123" s="1962"/>
      <c r="AY123" s="1962"/>
      <c r="AZ123" s="1962"/>
      <c r="BA123" s="1962"/>
      <c r="BB123" s="1962"/>
      <c r="BC123" s="1962"/>
      <c r="BD123" s="1962"/>
      <c r="BE123" s="1962"/>
      <c r="BF123" s="1962"/>
      <c r="BG123" s="1331"/>
      <c r="BH123" s="1331"/>
      <c r="BI123" s="1005" t="s">
        <v>600</v>
      </c>
      <c r="BJ123" s="1245"/>
      <c r="BK123" s="1245"/>
      <c r="BL123" s="1182"/>
      <c r="BM123" s="1182"/>
    </row>
    <row s="1656" customFormat="1" customHeight="1" ht="21.75" hidden="1">
      <c r="A124" s="1331"/>
      <c r="B124" s="1223"/>
      <c r="C124" s="1331"/>
      <c r="D124" s="1331"/>
      <c r="E124" s="623">
        <v>22.5</v>
      </c>
      <c r="F124" s="50" cm="1" t="str">
        <f t="array" ref="F124:F124">OFFSET(E124,-1,1)</f>
        <v>3</v>
      </c>
      <c r="G124" s="1331"/>
      <c r="H124" s="1331"/>
      <c r="I124" s="118" cm="1" t="str">
        <f t="array" ref="I124:I124">AC124</f>
        <v>0</v>
      </c>
      <c r="J124" s="1331"/>
      <c r="K124" s="1331"/>
      <c r="L124" s="1331"/>
      <c r="M124" s="1331"/>
      <c r="N124" s="1331"/>
      <c r="O124" s="1331"/>
      <c r="P124" s="1331"/>
      <c r="Q124" s="1331"/>
      <c r="R124" s="1331"/>
      <c r="S124" s="1331"/>
      <c r="T124" s="1331"/>
      <c r="U124" s="468">
        <f>AND(F124&gt;0,--RIGHT(AB124,1)&gt;1)</f>
        <v>0</v>
      </c>
      <c r="V124" s="1331"/>
      <c r="W124" s="1331"/>
      <c r="X124" s="764" t="s">
        <v>173</v>
      </c>
      <c r="Y124" s="1519"/>
      <c r="Z124" s="1541"/>
      <c r="AA124" s="422" t="s">
        <v>174</v>
      </c>
      <c r="AB124" s="603" t="s">
        <v>598</v>
      </c>
      <c r="AC124" s="1968"/>
      <c r="AD124" s="600" t="s">
        <v>594</v>
      </c>
      <c r="AE124" s="1962"/>
      <c r="AF124" s="1963"/>
      <c r="AG124" s="1964"/>
      <c r="AH124" s="1965"/>
      <c r="AI124" s="1962"/>
      <c r="AJ124" s="1963"/>
      <c r="AK124" s="1963"/>
      <c r="AL124" s="609">
        <f>IF(AI124&lt;&gt;0,AK124/AI124,0)</f>
        <v>0</v>
      </c>
      <c r="AM124" s="610">
        <f>AK124-AJ124</f>
        <v>0</v>
      </c>
      <c r="AN124" s="1965"/>
      <c r="AO124" s="1962"/>
      <c r="AP124" s="1962"/>
      <c r="AQ124" s="1962"/>
      <c r="AR124" s="1962"/>
      <c r="AS124" s="1962"/>
      <c r="AT124" s="1962"/>
      <c r="AU124" s="1962"/>
      <c r="AV124" s="1962"/>
      <c r="AW124" s="1962"/>
      <c r="AX124" s="1962"/>
      <c r="AY124" s="1962"/>
      <c r="AZ124" s="1962"/>
      <c r="BA124" s="1962"/>
      <c r="BB124" s="1962"/>
      <c r="BC124" s="1962"/>
      <c r="BD124" s="1962"/>
      <c r="BE124" s="1962"/>
      <c r="BF124" s="1962"/>
      <c r="BG124" s="1331"/>
      <c r="BH124" s="1331"/>
      <c r="BI124" s="1005" t="s">
        <v>600</v>
      </c>
      <c r="BJ124" s="1005" t="s">
        <v>601</v>
      </c>
      <c r="BK124" s="1005" cm="1" t="str">
        <f t="array" ref="BK124:BK124">AC124</f>
        <v>0</v>
      </c>
      <c r="BL124" s="1182"/>
      <c r="BM124" s="623" t="b">
        <v>1</v>
      </c>
    </row>
    <row s="1656" customFormat="1" customHeight="1" ht="14.25">
      <c r="A125" s="1331"/>
      <c r="B125" s="1223"/>
      <c r="C125" s="1331"/>
      <c r="D125" s="1331"/>
      <c r="E125" s="623">
        <v>15</v>
      </c>
      <c r="F125" s="50" cm="1" t="str">
        <f t="array" ref="F125:F125">OFFSET(E125,-1,1)</f>
        <v>3</v>
      </c>
      <c r="G125" s="1331"/>
      <c r="H125" s="1331"/>
      <c r="I125" s="1331"/>
      <c r="J125" s="1331"/>
      <c r="K125" s="1331"/>
      <c r="L125" s="1331"/>
      <c r="M125" s="1331"/>
      <c r="N125" s="1331"/>
      <c r="O125" s="1331"/>
      <c r="P125" s="1331"/>
      <c r="Q125" s="1331"/>
      <c r="R125" s="1331"/>
      <c r="S125" s="1331"/>
      <c r="T125" s="1331"/>
      <c r="U125" s="468">
        <f>F125&gt;0</f>
        <v>1</v>
      </c>
      <c r="V125" s="1331"/>
      <c r="W125" s="1331"/>
      <c r="X125" s="764" t="s">
        <v>421</v>
      </c>
      <c r="Y125" s="1519"/>
      <c r="Z125" s="1541"/>
      <c r="AA125" s="1331"/>
      <c r="AB125" s="171"/>
      <c r="AC125" s="304" t="s">
        <v>177</v>
      </c>
      <c r="AD125" s="172"/>
      <c r="AE125" s="172"/>
      <c r="AF125" s="172"/>
      <c r="AG125" s="172"/>
      <c r="AH125" s="172"/>
      <c r="AI125" s="172"/>
      <c r="AJ125" s="172"/>
      <c r="AK125" s="172"/>
      <c r="AL125" s="172"/>
      <c r="AM125" s="172"/>
      <c r="AN125" s="172"/>
      <c r="AO125" s="172"/>
      <c r="AP125" s="172"/>
      <c r="AQ125" s="172"/>
      <c r="AR125" s="172"/>
      <c r="AS125" s="172"/>
      <c r="AT125" s="172"/>
      <c r="AU125" s="172"/>
      <c r="AV125" s="172"/>
      <c r="AW125" s="172"/>
      <c r="AX125" s="172"/>
      <c r="AY125" s="172"/>
      <c r="AZ125" s="172"/>
      <c r="BA125" s="172"/>
      <c r="BB125" s="172"/>
      <c r="BC125" s="172"/>
      <c r="BD125" s="172"/>
      <c r="BE125" s="172"/>
      <c r="BF125" s="172"/>
      <c r="BG125" s="1331"/>
      <c r="BH125" s="1331"/>
      <c r="BI125" s="1245"/>
      <c r="BJ125" s="1245"/>
      <c r="BK125" s="1245"/>
      <c r="BL125" s="623" t="s">
        <v>601</v>
      </c>
      <c r="BM125" s="1182"/>
    </row>
    <row s="1656" customFormat="1" customHeight="1" ht="21.75">
      <c r="A126" s="1331"/>
      <c r="B126" s="1223"/>
      <c r="C126" s="1331"/>
      <c r="D126" s="1331"/>
      <c r="E126" s="623">
        <v>22.5</v>
      </c>
      <c r="F126" s="50" cm="1" t="str">
        <f t="array" ref="F126:F126">OFFSET(E126,-1,1)</f>
        <v>3</v>
      </c>
      <c r="G126" s="1331"/>
      <c r="H126" s="118" t="s">
        <v>602</v>
      </c>
      <c r="I126" s="1331"/>
      <c r="J126" s="1331"/>
      <c r="K126" s="1331"/>
      <c r="L126" s="1331"/>
      <c r="M126" s="1331"/>
      <c r="N126" s="1331"/>
      <c r="O126" s="1331"/>
      <c r="P126" s="1331"/>
      <c r="Q126" s="1331"/>
      <c r="R126" s="1331"/>
      <c r="S126" s="1331"/>
      <c r="T126" s="1331"/>
      <c r="U126" s="468" cm="1" t="str">
        <f t="array" ref="U126:U126">U125</f>
        <v>true</v>
      </c>
      <c r="V126" s="1331"/>
      <c r="W126" s="1331"/>
      <c r="X126" s="1331"/>
      <c r="Y126" s="1519"/>
      <c r="Z126" s="1541"/>
      <c r="AA126" s="1331"/>
      <c r="AB126" s="119" t="s">
        <v>603</v>
      </c>
      <c r="AC126" s="188" t="s">
        <v>604</v>
      </c>
      <c r="AD126" s="88" t="s">
        <v>594</v>
      </c>
      <c r="AE126" s="272"/>
      <c r="AF126" s="274"/>
      <c r="AG126" s="275"/>
      <c r="AH126" s="196"/>
      <c r="AI126" s="272"/>
      <c r="AJ126" s="274"/>
      <c r="AK126" s="274"/>
      <c r="AL126" s="277">
        <f>IF(AI126&lt;&gt;0,AK126/AI126,0)</f>
        <v>0</v>
      </c>
      <c r="AM126" s="276">
        <f>AK126-AJ126</f>
        <v>0</v>
      </c>
      <c r="AN126" s="196"/>
      <c r="AO126" s="1927"/>
      <c r="AP126" s="1927"/>
      <c r="AQ126" s="1927"/>
      <c r="AR126" s="1927"/>
      <c r="AS126" s="1927"/>
      <c r="AT126" s="1927"/>
      <c r="AU126" s="1927"/>
      <c r="AV126" s="1927"/>
      <c r="AW126" s="1927"/>
      <c r="AX126" s="1927"/>
      <c r="AY126" s="1927"/>
      <c r="AZ126" s="1927"/>
      <c r="BA126" s="1927"/>
      <c r="BB126" s="1927"/>
      <c r="BC126" s="1927"/>
      <c r="BD126" s="1927"/>
      <c r="BE126" s="1927"/>
      <c r="BF126" s="1927"/>
      <c r="BG126" s="1331"/>
      <c r="BH126" s="1331"/>
      <c r="BI126" s="1005" t="s">
        <v>605</v>
      </c>
      <c r="BJ126" s="1245"/>
      <c r="BK126" s="1245"/>
      <c r="BL126" s="1182"/>
      <c r="BM126" s="1182"/>
    </row>
    <row s="1656" customFormat="1" customHeight="1" ht="21.75" hidden="1">
      <c r="A127" s="1331"/>
      <c r="B127" s="1223"/>
      <c r="C127" s="1331"/>
      <c r="D127" s="1331"/>
      <c r="E127" s="623">
        <v>22.5</v>
      </c>
      <c r="F127" s="50" cm="1" t="str">
        <f t="array" ref="F127:F127">OFFSET(E127,-1,1)</f>
        <v>3</v>
      </c>
      <c r="G127" s="1331"/>
      <c r="H127" s="1331"/>
      <c r="I127" s="118" cm="1" t="str">
        <f t="array" ref="I127:I127">AC127</f>
        <v>0</v>
      </c>
      <c r="J127" s="1331"/>
      <c r="K127" s="1331"/>
      <c r="L127" s="1331"/>
      <c r="M127" s="1331"/>
      <c r="N127" s="1331"/>
      <c r="O127" s="1331"/>
      <c r="P127" s="1331"/>
      <c r="Q127" s="1331"/>
      <c r="R127" s="1331"/>
      <c r="S127" s="1331"/>
      <c r="T127" s="1331"/>
      <c r="U127" s="468">
        <f>AND(F127&gt;0,--RIGHT(AB127,1)&gt;1)</f>
        <v>0</v>
      </c>
      <c r="V127" s="1331"/>
      <c r="W127" s="1331"/>
      <c r="X127" s="764" t="s">
        <v>173</v>
      </c>
      <c r="Y127" s="1519"/>
      <c r="Z127" s="1541"/>
      <c r="AA127" s="422" t="s">
        <v>174</v>
      </c>
      <c r="AB127" s="119" t="s">
        <v>603</v>
      </c>
      <c r="AC127" s="1972"/>
      <c r="AD127" s="88" t="s">
        <v>594</v>
      </c>
      <c r="AE127" s="1927"/>
      <c r="AF127" s="1940"/>
      <c r="AG127" s="1971"/>
      <c r="AH127" s="1928"/>
      <c r="AI127" s="1927"/>
      <c r="AJ127" s="1940"/>
      <c r="AK127" s="1940"/>
      <c r="AL127" s="277">
        <f>IF(AI127&lt;&gt;0,AK127/AI127,0)</f>
        <v>0</v>
      </c>
      <c r="AM127" s="276">
        <f>AK127-AJ127</f>
        <v>0</v>
      </c>
      <c r="AN127" s="1928"/>
      <c r="AO127" s="1927"/>
      <c r="AP127" s="1927"/>
      <c r="AQ127" s="1927"/>
      <c r="AR127" s="1927"/>
      <c r="AS127" s="1927"/>
      <c r="AT127" s="1927"/>
      <c r="AU127" s="1927"/>
      <c r="AV127" s="1927"/>
      <c r="AW127" s="1927"/>
      <c r="AX127" s="1927"/>
      <c r="AY127" s="1927"/>
      <c r="AZ127" s="1927"/>
      <c r="BA127" s="1927"/>
      <c r="BB127" s="1927"/>
      <c r="BC127" s="1927"/>
      <c r="BD127" s="1927"/>
      <c r="BE127" s="1927"/>
      <c r="BF127" s="1927"/>
      <c r="BG127" s="1331"/>
      <c r="BH127" s="1331"/>
      <c r="BI127" s="1005" t="s">
        <v>605</v>
      </c>
      <c r="BJ127" s="1005" t="s">
        <v>606</v>
      </c>
      <c r="BK127" s="1005" cm="1" t="str">
        <f t="array" ref="BK127:BK127">AC127</f>
        <v>0</v>
      </c>
      <c r="BL127" s="1182"/>
      <c r="BM127" s="623" t="b">
        <v>1</v>
      </c>
    </row>
    <row s="1656" customFormat="1" customHeight="1" ht="14.25">
      <c r="A128" s="1331"/>
      <c r="B128" s="1223"/>
      <c r="C128" s="1331"/>
      <c r="D128" s="1331"/>
      <c r="E128" s="623">
        <v>15</v>
      </c>
      <c r="F128" s="50" cm="1" t="str">
        <f t="array" ref="F128:F128">OFFSET(E128,-1,1)</f>
        <v>3</v>
      </c>
      <c r="G128" s="1331"/>
      <c r="H128" s="1331"/>
      <c r="I128" s="1331"/>
      <c r="J128" s="1331"/>
      <c r="K128" s="1331"/>
      <c r="L128" s="1331"/>
      <c r="M128" s="1331"/>
      <c r="N128" s="1331"/>
      <c r="O128" s="1331"/>
      <c r="P128" s="1331"/>
      <c r="Q128" s="1331"/>
      <c r="R128" s="1331"/>
      <c r="S128" s="1331"/>
      <c r="T128" s="1331"/>
      <c r="U128" s="468">
        <f>F128&gt;0</f>
        <v>1</v>
      </c>
      <c r="V128" s="1331"/>
      <c r="W128" s="1331"/>
      <c r="X128" s="764" t="s">
        <v>421</v>
      </c>
      <c r="Y128" s="1519"/>
      <c r="Z128" s="1541"/>
      <c r="AA128" s="1331"/>
      <c r="AB128" s="171"/>
      <c r="AC128" s="304" t="s">
        <v>177</v>
      </c>
      <c r="AD128" s="172"/>
      <c r="AE128" s="172"/>
      <c r="AF128" s="172"/>
      <c r="AG128" s="172"/>
      <c r="AH128" s="172"/>
      <c r="AI128" s="172"/>
      <c r="AJ128" s="172"/>
      <c r="AK128" s="172"/>
      <c r="AL128" s="172"/>
      <c r="AM128" s="172"/>
      <c r="AN128" s="172"/>
      <c r="AO128" s="172"/>
      <c r="AP128" s="172"/>
      <c r="AQ128" s="172"/>
      <c r="AR128" s="172"/>
      <c r="AS128" s="172"/>
      <c r="AT128" s="172"/>
      <c r="AU128" s="172"/>
      <c r="AV128" s="172"/>
      <c r="AW128" s="172"/>
      <c r="AX128" s="172"/>
      <c r="AY128" s="172"/>
      <c r="AZ128" s="172"/>
      <c r="BA128" s="172"/>
      <c r="BB128" s="172"/>
      <c r="BC128" s="172"/>
      <c r="BD128" s="172"/>
      <c r="BE128" s="172"/>
      <c r="BF128" s="172"/>
      <c r="BG128" s="1331"/>
      <c r="BH128" s="1331"/>
      <c r="BI128" s="1245"/>
      <c r="BJ128" s="1245"/>
      <c r="BK128" s="1245"/>
      <c r="BL128" s="623" t="s">
        <v>606</v>
      </c>
      <c r="BM128" s="1182"/>
    </row>
    <row s="1656" customFormat="1" customHeight="1" ht="21.75">
      <c r="A129" s="1331"/>
      <c r="B129" s="1223"/>
      <c r="C129" s="1331"/>
      <c r="D129" s="1331"/>
      <c r="E129" s="623">
        <v>22.5</v>
      </c>
      <c r="F129" s="50" cm="1" t="str">
        <f t="array" ref="F129:F129">OFFSET(E129,-1,1)</f>
        <v>3</v>
      </c>
      <c r="G129" s="1331"/>
      <c r="H129" s="118" t="s">
        <v>607</v>
      </c>
      <c r="I129" s="1331"/>
      <c r="J129" s="1331"/>
      <c r="K129" s="1331"/>
      <c r="L129" s="1331"/>
      <c r="M129" s="1331"/>
      <c r="N129" s="1331"/>
      <c r="O129" s="1331"/>
      <c r="P129" s="1331"/>
      <c r="Q129" s="1331"/>
      <c r="R129" s="1331"/>
      <c r="S129" s="1331"/>
      <c r="T129" s="1331"/>
      <c r="U129" s="468" cm="1" t="str">
        <f t="array" ref="U129:U129">U128</f>
        <v>true</v>
      </c>
      <c r="V129" s="1331"/>
      <c r="W129" s="1331"/>
      <c r="X129" s="1331"/>
      <c r="Y129" s="1519"/>
      <c r="Z129" s="1541"/>
      <c r="AA129" s="1331"/>
      <c r="AB129" s="119" t="s">
        <v>608</v>
      </c>
      <c r="AC129" s="188" t="s">
        <v>609</v>
      </c>
      <c r="AD129" s="88" t="s">
        <v>594</v>
      </c>
      <c r="AE129" s="272"/>
      <c r="AF129" s="274"/>
      <c r="AG129" s="275"/>
      <c r="AH129" s="196"/>
      <c r="AI129" s="272"/>
      <c r="AJ129" s="274"/>
      <c r="AK129" s="274"/>
      <c r="AL129" s="277">
        <f>IF(AI129&lt;&gt;0,AK129/AI129,0)</f>
        <v>0</v>
      </c>
      <c r="AM129" s="276">
        <f>AK129-AJ129</f>
        <v>0</v>
      </c>
      <c r="AN129" s="196"/>
      <c r="AO129" s="1927"/>
      <c r="AP129" s="1927"/>
      <c r="AQ129" s="1927"/>
      <c r="AR129" s="1927"/>
      <c r="AS129" s="1927"/>
      <c r="AT129" s="1927"/>
      <c r="AU129" s="1927"/>
      <c r="AV129" s="1927"/>
      <c r="AW129" s="1927"/>
      <c r="AX129" s="1927"/>
      <c r="AY129" s="1927"/>
      <c r="AZ129" s="1927"/>
      <c r="BA129" s="1927"/>
      <c r="BB129" s="1927"/>
      <c r="BC129" s="1927"/>
      <c r="BD129" s="1927"/>
      <c r="BE129" s="1927"/>
      <c r="BF129" s="1927"/>
      <c r="BG129" s="1331"/>
      <c r="BH129" s="1331"/>
      <c r="BI129" s="1005" t="s">
        <v>610</v>
      </c>
      <c r="BJ129" s="1245"/>
      <c r="BK129" s="1245"/>
      <c r="BL129" s="1182"/>
      <c r="BM129" s="1182"/>
    </row>
    <row s="1656" customFormat="1" customHeight="1" ht="21.75" hidden="1">
      <c r="A130" s="1331"/>
      <c r="B130" s="1223"/>
      <c r="C130" s="1331"/>
      <c r="D130" s="1331"/>
      <c r="E130" s="623">
        <v>22.5</v>
      </c>
      <c r="F130" s="50" cm="1" t="str">
        <f t="array" ref="F130:F130">OFFSET(E130,-1,1)</f>
        <v>3</v>
      </c>
      <c r="G130" s="1331"/>
      <c r="H130" s="1331"/>
      <c r="I130" s="118" cm="1" t="str">
        <f t="array" ref="I130:I130">AC130</f>
        <v>0</v>
      </c>
      <c r="J130" s="1331"/>
      <c r="K130" s="1331"/>
      <c r="L130" s="1331"/>
      <c r="M130" s="1331"/>
      <c r="N130" s="1331"/>
      <c r="O130" s="1331"/>
      <c r="P130" s="1331"/>
      <c r="Q130" s="1331"/>
      <c r="R130" s="1331"/>
      <c r="S130" s="1331"/>
      <c r="T130" s="1331"/>
      <c r="U130" s="468">
        <f>AND(F130&gt;0,--RIGHT(AB130,1)&gt;1)</f>
        <v>0</v>
      </c>
      <c r="V130" s="1331"/>
      <c r="W130" s="1331"/>
      <c r="X130" s="764" t="s">
        <v>173</v>
      </c>
      <c r="Y130" s="1519"/>
      <c r="Z130" s="1541"/>
      <c r="AA130" s="422" t="s">
        <v>174</v>
      </c>
      <c r="AB130" s="119" t="s">
        <v>608</v>
      </c>
      <c r="AC130" s="1972"/>
      <c r="AD130" s="88" t="s">
        <v>594</v>
      </c>
      <c r="AE130" s="1927"/>
      <c r="AF130" s="1940"/>
      <c r="AG130" s="1971"/>
      <c r="AH130" s="1928"/>
      <c r="AI130" s="1927"/>
      <c r="AJ130" s="1940"/>
      <c r="AK130" s="1940"/>
      <c r="AL130" s="277">
        <f>IF(AI130&lt;&gt;0,AK130/AI130,0)</f>
        <v>0</v>
      </c>
      <c r="AM130" s="276">
        <f>AK130-AJ130</f>
        <v>0</v>
      </c>
      <c r="AN130" s="1928"/>
      <c r="AO130" s="1927"/>
      <c r="AP130" s="1927"/>
      <c r="AQ130" s="1927"/>
      <c r="AR130" s="1927"/>
      <c r="AS130" s="1927"/>
      <c r="AT130" s="1927"/>
      <c r="AU130" s="1927"/>
      <c r="AV130" s="1927"/>
      <c r="AW130" s="1927"/>
      <c r="AX130" s="1927"/>
      <c r="AY130" s="1927"/>
      <c r="AZ130" s="1927"/>
      <c r="BA130" s="1927"/>
      <c r="BB130" s="1927"/>
      <c r="BC130" s="1927"/>
      <c r="BD130" s="1927"/>
      <c r="BE130" s="1927"/>
      <c r="BF130" s="1927"/>
      <c r="BG130" s="1331"/>
      <c r="BH130" s="1331"/>
      <c r="BI130" s="1005" t="s">
        <v>610</v>
      </c>
      <c r="BJ130" s="1005" t="s">
        <v>611</v>
      </c>
      <c r="BK130" s="1005" cm="1" t="str">
        <f t="array" ref="BK130:BK130">AC130</f>
        <v>0</v>
      </c>
      <c r="BL130" s="1182"/>
      <c r="BM130" s="623" t="b">
        <v>1</v>
      </c>
    </row>
    <row s="1656" customFormat="1" customHeight="1" ht="14.25">
      <c r="A131" s="1331"/>
      <c r="B131" s="1223"/>
      <c r="C131" s="1331"/>
      <c r="D131" s="1331"/>
      <c r="E131" s="623">
        <v>15</v>
      </c>
      <c r="F131" s="50" cm="1" t="str">
        <f t="array" ref="F131:F131">OFFSET(E131,-1,1)</f>
        <v>3</v>
      </c>
      <c r="G131" s="1331"/>
      <c r="H131" s="1331"/>
      <c r="I131" s="1331"/>
      <c r="J131" s="1331"/>
      <c r="K131" s="1331"/>
      <c r="L131" s="1331"/>
      <c r="M131" s="1331"/>
      <c r="N131" s="1331"/>
      <c r="O131" s="1331"/>
      <c r="P131" s="1331"/>
      <c r="Q131" s="1331"/>
      <c r="R131" s="1331"/>
      <c r="S131" s="1331"/>
      <c r="T131" s="1331"/>
      <c r="U131" s="468">
        <f>F131&gt;0</f>
        <v>1</v>
      </c>
      <c r="V131" s="1331"/>
      <c r="W131" s="1331"/>
      <c r="X131" s="764" t="s">
        <v>421</v>
      </c>
      <c r="Y131" s="1519"/>
      <c r="Z131" s="1541"/>
      <c r="AA131" s="1331"/>
      <c r="AB131" s="171"/>
      <c r="AC131" s="304" t="s">
        <v>177</v>
      </c>
      <c r="AD131" s="172"/>
      <c r="AE131" s="172"/>
      <c r="AF131" s="172"/>
      <c r="AG131" s="172"/>
      <c r="AH131" s="172"/>
      <c r="AI131" s="172"/>
      <c r="AJ131" s="172"/>
      <c r="AK131" s="172"/>
      <c r="AL131" s="172"/>
      <c r="AM131" s="172"/>
      <c r="AN131" s="172"/>
      <c r="AO131" s="172"/>
      <c r="AP131" s="172"/>
      <c r="AQ131" s="172"/>
      <c r="AR131" s="172"/>
      <c r="AS131" s="172"/>
      <c r="AT131" s="172"/>
      <c r="AU131" s="172"/>
      <c r="AV131" s="172"/>
      <c r="AW131" s="172"/>
      <c r="AX131" s="172"/>
      <c r="AY131" s="172"/>
      <c r="AZ131" s="172"/>
      <c r="BA131" s="172"/>
      <c r="BB131" s="172"/>
      <c r="BC131" s="172"/>
      <c r="BD131" s="172"/>
      <c r="BE131" s="172"/>
      <c r="BF131" s="172"/>
      <c r="BG131" s="1331"/>
      <c r="BH131" s="1331"/>
      <c r="BI131" s="1245"/>
      <c r="BJ131" s="1245"/>
      <c r="BK131" s="1245"/>
      <c r="BL131" s="623" t="s">
        <v>611</v>
      </c>
      <c r="BM131" s="1182"/>
    </row>
    <row s="1656" customFormat="1" customHeight="1" ht="126.421875">
      <c r="A132" s="1331"/>
      <c r="B132" s="1223"/>
      <c r="C132" s="1331"/>
      <c r="D132" s="1331"/>
      <c r="E132" s="623">
        <v>15</v>
      </c>
      <c r="F132" s="50" cm="1" t="str">
        <f t="array" ref="F132:F132">OFFSET(E132,-1,1)</f>
        <v>3</v>
      </c>
      <c r="G132" s="1331"/>
      <c r="H132" s="118" t="s">
        <v>348</v>
      </c>
      <c r="I132" s="1331"/>
      <c r="J132" s="1331"/>
      <c r="K132" s="1331"/>
      <c r="L132" s="1331"/>
      <c r="M132" s="1331"/>
      <c r="N132" s="1331"/>
      <c r="O132" s="1331"/>
      <c r="P132" s="1331"/>
      <c r="Q132" s="1331"/>
      <c r="R132" s="1331"/>
      <c r="S132" s="1331"/>
      <c r="T132" s="1331"/>
      <c r="U132" s="468" cm="1" t="str">
        <f t="array" ref="U132:U132">U131</f>
        <v>true</v>
      </c>
      <c r="V132" s="1331"/>
      <c r="W132" s="1331"/>
      <c r="X132" s="1331"/>
      <c r="Y132" s="1519"/>
      <c r="Z132" s="1541"/>
      <c r="AA132" s="1331"/>
      <c r="AB132" s="129">
        <v>3</v>
      </c>
      <c r="AC132" s="135" t="s">
        <v>612</v>
      </c>
      <c r="AD132" s="132" t="s">
        <v>561</v>
      </c>
      <c r="AE132" s="272">
        <v>2.2</v>
      </c>
      <c r="AF132" s="274">
        <v>2.2</v>
      </c>
      <c r="AG132" s="275">
        <v>2.2</v>
      </c>
      <c r="AH132" s="196" t="s">
        <v>631</v>
      </c>
      <c r="AI132" s="272">
        <v>2.2</v>
      </c>
      <c r="AJ132" s="274">
        <v>2.2</v>
      </c>
      <c r="AK132" s="274">
        <v>2.2</v>
      </c>
      <c r="AL132" s="277">
        <f>IF(AI132&lt;&gt;0,AK132/AI132,0)</f>
        <v>1</v>
      </c>
      <c r="AM132" s="276">
        <f>AK132-AJ132</f>
        <v>0</v>
      </c>
      <c r="AN132" s="196" t="s">
        <v>631</v>
      </c>
      <c r="AO132" s="1927"/>
      <c r="AP132" s="1927"/>
      <c r="AQ132" s="1927"/>
      <c r="AR132" s="1927"/>
      <c r="AS132" s="1927"/>
      <c r="AT132" s="1927"/>
      <c r="AU132" s="1927"/>
      <c r="AV132" s="1927"/>
      <c r="AW132" s="1927"/>
      <c r="AX132" s="1927"/>
      <c r="AY132" s="1927"/>
      <c r="AZ132" s="1927"/>
      <c r="BA132" s="1927"/>
      <c r="BB132" s="1927"/>
      <c r="BC132" s="1927"/>
      <c r="BD132" s="1927"/>
      <c r="BE132" s="1927"/>
      <c r="BF132" s="1927"/>
      <c r="BG132" s="1331"/>
      <c r="BH132" s="1331"/>
      <c r="BI132" s="1005" t="s">
        <v>613</v>
      </c>
      <c r="BJ132" s="1245"/>
      <c r="BK132" s="1245"/>
      <c r="BL132" s="1182"/>
      <c r="BM132" s="1182"/>
    </row>
    <row s="1656" customFormat="1" customHeight="1" ht="14.25">
      <c r="A133" s="1331"/>
      <c r="B133" s="1223"/>
      <c r="C133" s="1331"/>
      <c r="D133" s="1331"/>
      <c r="E133" s="623">
        <v>15</v>
      </c>
      <c r="F133" s="50" cm="1" t="str">
        <f t="array" ref="F133:F133">OFFSET(E133,-1,1)</f>
        <v>3</v>
      </c>
      <c r="G133" s="1331"/>
      <c r="H133" s="118" t="s">
        <v>347</v>
      </c>
      <c r="I133" s="1331"/>
      <c r="J133" s="1331"/>
      <c r="K133" s="1331"/>
      <c r="L133" s="1331"/>
      <c r="M133" s="1331"/>
      <c r="N133" s="1331"/>
      <c r="O133" s="1331"/>
      <c r="P133" s="1331"/>
      <c r="Q133" s="1331"/>
      <c r="R133" s="1331"/>
      <c r="S133" s="1331"/>
      <c r="T133" s="1331"/>
      <c r="U133" s="468" cm="1" t="str">
        <f t="array" ref="U133:U133">U132</f>
        <v>true</v>
      </c>
      <c r="V133" s="1331"/>
      <c r="W133" s="1331"/>
      <c r="X133" s="1331"/>
      <c r="Y133" s="1519"/>
      <c r="Z133" s="1541"/>
      <c r="AA133" s="1331"/>
      <c r="AB133" s="129">
        <v>4</v>
      </c>
      <c r="AC133" s="135" t="s">
        <v>614</v>
      </c>
      <c r="AD133" s="132" t="s">
        <v>561</v>
      </c>
      <c r="AE133" s="272"/>
      <c r="AF133" s="274"/>
      <c r="AG133" s="275"/>
      <c r="AH133" s="196"/>
      <c r="AI133" s="272"/>
      <c r="AJ133" s="274"/>
      <c r="AK133" s="274"/>
      <c r="AL133" s="277">
        <f>IF(AI133&lt;&gt;0,AK133/AI133,0)</f>
        <v>0</v>
      </c>
      <c r="AM133" s="276">
        <f>AK133-AJ133</f>
        <v>0</v>
      </c>
      <c r="AN133" s="196"/>
      <c r="AO133" s="1927"/>
      <c r="AP133" s="1927"/>
      <c r="AQ133" s="1927"/>
      <c r="AR133" s="1927"/>
      <c r="AS133" s="1927"/>
      <c r="AT133" s="1927"/>
      <c r="AU133" s="1927"/>
      <c r="AV133" s="1927"/>
      <c r="AW133" s="1927"/>
      <c r="AX133" s="1927"/>
      <c r="AY133" s="1927"/>
      <c r="AZ133" s="1927"/>
      <c r="BA133" s="1927"/>
      <c r="BB133" s="1927"/>
      <c r="BC133" s="1927"/>
      <c r="BD133" s="1927"/>
      <c r="BE133" s="1927"/>
      <c r="BF133" s="1927"/>
      <c r="BG133" s="1331"/>
      <c r="BH133" s="1331"/>
      <c r="BI133" s="1005" t="s">
        <v>615</v>
      </c>
      <c r="BJ133" s="1245"/>
      <c r="BK133" s="1245"/>
      <c r="BL133" s="1182"/>
      <c r="BM133" s="1182"/>
    </row>
    <row s="1656" customFormat="1" customHeight="1" ht="91.171875">
      <c r="A134" s="1331"/>
      <c r="B134" s="1223"/>
      <c r="C134" s="1331"/>
      <c r="D134" s="1331"/>
      <c r="E134" s="623">
        <v>15</v>
      </c>
      <c r="F134" s="50" cm="1" t="str">
        <f t="array" ref="F134:F134">OFFSET(E134,-1,1)</f>
        <v>3</v>
      </c>
      <c r="G134" s="1331"/>
      <c r="H134" s="118" t="s">
        <v>616</v>
      </c>
      <c r="I134" s="1331"/>
      <c r="J134" s="1331"/>
      <c r="K134" s="1331"/>
      <c r="L134" s="1331"/>
      <c r="M134" s="1331"/>
      <c r="N134" s="1331"/>
      <c r="O134" s="1331"/>
      <c r="P134" s="1331"/>
      <c r="Q134" s="1331"/>
      <c r="R134" s="1331"/>
      <c r="S134" s="1331"/>
      <c r="T134" s="1331"/>
      <c r="U134" s="468" cm="1" t="str">
        <f t="array" ref="U134:U134">U133</f>
        <v>true</v>
      </c>
      <c r="V134" s="1331"/>
      <c r="W134" s="1331"/>
      <c r="X134" s="1331"/>
      <c r="Y134" s="1519"/>
      <c r="Z134" s="1541"/>
      <c r="AA134" s="1331"/>
      <c r="AB134" s="119" t="s">
        <v>454</v>
      </c>
      <c r="AC134" s="134" t="s">
        <v>617</v>
      </c>
      <c r="AD134" s="132"/>
      <c r="AE134" s="275">
        <f>0.247/100</f>
        <v>0.00247</v>
      </c>
      <c r="AF134" s="275">
        <f>4.441/100</f>
        <v>0.04441</v>
      </c>
      <c r="AG134" s="275">
        <f>4.441/100</f>
        <v>0.04441</v>
      </c>
      <c r="AH134" s="280" t="s">
        <v>640</v>
      </c>
      <c r="AI134" s="275">
        <f>0.247/100</f>
        <v>0.00247</v>
      </c>
      <c r="AJ134" s="275">
        <f>4.441/100</f>
        <v>0.04441</v>
      </c>
      <c r="AK134" s="275">
        <f>4.441/100</f>
        <v>0.04441</v>
      </c>
      <c r="AL134" s="277">
        <f>IF(AI134&lt;&gt;0,AK134/AI134,0)</f>
        <v>17.9797570850202</v>
      </c>
      <c r="AM134" s="276">
        <f>AK134-AJ134</f>
        <v>0</v>
      </c>
      <c r="AN134" s="280" t="s">
        <v>641</v>
      </c>
      <c r="AO134" s="1971"/>
      <c r="AP134" s="1971"/>
      <c r="AQ134" s="1971"/>
      <c r="AR134" s="1971"/>
      <c r="AS134" s="1971"/>
      <c r="AT134" s="1971"/>
      <c r="AU134" s="1971"/>
      <c r="AV134" s="1971"/>
      <c r="AW134" s="1971"/>
      <c r="AX134" s="1971"/>
      <c r="AY134" s="1971"/>
      <c r="AZ134" s="1971"/>
      <c r="BA134" s="1971"/>
      <c r="BB134" s="1971"/>
      <c r="BC134" s="1971"/>
      <c r="BD134" s="1971"/>
      <c r="BE134" s="1971"/>
      <c r="BF134" s="1971"/>
      <c r="BG134" s="1331"/>
      <c r="BH134" s="1331"/>
      <c r="BI134" s="1005" t="s">
        <v>618</v>
      </c>
      <c r="BJ134" s="1245"/>
      <c r="BK134" s="1245"/>
      <c r="BL134" s="1182"/>
      <c r="BM134" s="1182"/>
    </row>
    <row s="1656" customFormat="1" customHeight="1" ht="55.921875">
      <c r="A135" s="1331"/>
      <c r="B135" s="1223"/>
      <c r="C135" s="1331"/>
      <c r="D135" s="1331"/>
      <c r="E135" s="623">
        <v>15</v>
      </c>
      <c r="F135" s="50" cm="1" t="str">
        <f t="array" ref="F135:F135">OFFSET(E135,-1,1)</f>
        <v>3</v>
      </c>
      <c r="G135" s="1331"/>
      <c r="H135" s="118" t="s">
        <v>619</v>
      </c>
      <c r="I135" s="1331"/>
      <c r="J135" s="1331"/>
      <c r="K135" s="1331"/>
      <c r="L135" s="1331"/>
      <c r="M135" s="1331"/>
      <c r="N135" s="1331"/>
      <c r="O135" s="1331"/>
      <c r="P135" s="1331"/>
      <c r="Q135" s="1331"/>
      <c r="R135" s="1331"/>
      <c r="S135" s="1331"/>
      <c r="T135" s="1331"/>
      <c r="U135" s="468" cm="1" t="str">
        <f t="array" ref="U135:U135">U134</f>
        <v>true</v>
      </c>
      <c r="V135" s="1331"/>
      <c r="W135" s="1331"/>
      <c r="X135" s="1331"/>
      <c r="Y135" s="1519"/>
      <c r="Z135" s="1541"/>
      <c r="AA135" s="1331"/>
      <c r="AB135" s="119" t="s">
        <v>457</v>
      </c>
      <c r="AC135" s="133" t="s">
        <v>620</v>
      </c>
      <c r="AD135" s="132"/>
      <c r="AE135" s="275">
        <v>0.0947</v>
      </c>
      <c r="AF135" s="275">
        <v>0.0947</v>
      </c>
      <c r="AG135" s="275">
        <v>0.0947</v>
      </c>
      <c r="AH135" s="280" t="s">
        <v>642</v>
      </c>
      <c r="AI135" s="275">
        <v>0.0947</v>
      </c>
      <c r="AJ135" s="275">
        <v>0.0947</v>
      </c>
      <c r="AK135" s="275">
        <v>0.0947</v>
      </c>
      <c r="AL135" s="277">
        <f>IF(AI135&lt;&gt;0,AK135/AI135,0)</f>
        <v>1</v>
      </c>
      <c r="AM135" s="276">
        <f>AK135-AJ135</f>
        <v>0</v>
      </c>
      <c r="AN135" s="280" t="s">
        <v>643</v>
      </c>
      <c r="AO135" s="1971"/>
      <c r="AP135" s="1971"/>
      <c r="AQ135" s="1971"/>
      <c r="AR135" s="1971"/>
      <c r="AS135" s="1971"/>
      <c r="AT135" s="1971"/>
      <c r="AU135" s="1971"/>
      <c r="AV135" s="1971"/>
      <c r="AW135" s="1971"/>
      <c r="AX135" s="1971"/>
      <c r="AY135" s="1971"/>
      <c r="AZ135" s="1971"/>
      <c r="BA135" s="1971"/>
      <c r="BB135" s="1971"/>
      <c r="BC135" s="1971"/>
      <c r="BD135" s="1971"/>
      <c r="BE135" s="1971"/>
      <c r="BF135" s="1971"/>
      <c r="BG135" s="1331"/>
      <c r="BH135" s="1331"/>
      <c r="BI135" s="1005" t="s">
        <v>621</v>
      </c>
      <c r="BJ135" s="1245"/>
      <c r="BK135" s="1245"/>
      <c r="BL135" s="1182"/>
      <c r="BM135" s="1182"/>
    </row>
    <row customHeight="1" ht="10.96875">
      <c r="E136" s="623">
        <v>11.25</v>
      </c>
      <c r="V136" s="118" t="s">
        <v>177</v>
      </c>
      <c r="W136" s="136" t="s">
        <v>644</v>
      </c>
      <c r="AO136" s="1331"/>
      <c r="AP136" s="1331"/>
      <c r="AQ136" s="1331"/>
      <c r="AR136" s="1331"/>
      <c r="AS136" s="1331"/>
      <c r="AT136" s="1331"/>
      <c r="AU136" s="1331"/>
      <c r="AV136" s="1331"/>
      <c r="AW136" s="1331"/>
      <c r="AX136" s="1331"/>
      <c r="AY136" s="1331"/>
      <c r="AZ136" s="1331"/>
      <c r="BA136" s="1331"/>
      <c r="BB136" s="1331"/>
      <c r="BC136" s="1331"/>
      <c r="BD136" s="1331"/>
      <c r="BE136" s="1331"/>
      <c r="BF136" s="1331"/>
      <c r="BG136" s="118"/>
    </row>
  </sheetData>
  <sheetProtection formatColumns="0" formatRows="0" insertRows="0" deleteColumns="0" deleteRows="0" sort="0" autoFilter="0" insertColumns="1"/>
  <mergeCells count="11">
    <mergeCell ref="AB24:AB25"/>
    <mergeCell ref="AC24:AC25"/>
    <mergeCell ref="AD24:AD25"/>
    <mergeCell ref="Y28:Y54"/>
    <mergeCell ref="Z28:Z54"/>
    <mergeCell ref="Y55:Y81"/>
    <mergeCell ref="Z55:Z81"/>
    <mergeCell ref="Y82:Y108"/>
    <mergeCell ref="Z82:Z108"/>
    <mergeCell ref="Y109:Y135"/>
    <mergeCell ref="Z109:Z135"/>
  </mergeCells>
  <dataValidations count="2">
    <dataValidation type="decimal" allowBlank="1" showErrorMessage="1" errorTitle="Ошибка" error="Допускается ввод только неотрицательных чисел!" sqref="AI36:AK37 AE42:AG43 AI42:AK43 AX26:BE26 AE36:AG37 AE26:AG26 AO36:BF37 AO42:BF43 AO26:AS26 AI26:AM26 AI39:AK40 AO39:BF40 BF45:BF54 BF57:BF59 BF61 BF63:BF64 BF66:BF67 BF69:BF70 BF72:BF81 BF84:BF86 BF88 BF90:BF91 BF93:BF94 BF96:BF97 BF99:BF108 BF111:BF113 BF115 BF117:BF118 BF120:BF121 BF123:BF124 BF126:BF135 BE45:BE54 BE57:BE59 BE61 BE63:BE64 BE66:BE67 BE69:BE70 BE72:BE81 BE84:BE86 BE88 BE90:BE91 BE93:BE94 BE96:BE97 BE99:BE108 BE111:BE113 BE115 BE117:BE118 BE120:BE121 BE123:BE124 BE126:BE135 BD45:BD54 BD57:BD59 BD61 BD63:BD64 BD66:BD67 BD69:BD70 BD72:BD81 BD84:BD86 BD88 BD90:BD91 BD93:BD94 BD96:BD97 BD99:BD108 BD111:BD113 BD115 BD117:BD118 BD120:BD121 BD123:BD124 BD126:BD135 BC45:BC54 BC57:BC59 BC61 BC63:BC64 BC66:BC67 BC69:BC70 BC72:BC81 BC84:BC86 BC88 BC90:BC91 BC93:BC94 BC96:BC97 BC99:BC108 BC111:BC113 BC115 BC117:BC118 BC120:BC121 BC123:BC124 BC126:BC135 BB45:BB54 BB57:BB59 BB61 BB63:BB64 BB66:BB67 BB69:BB70 BB72:BB81 BB84:BB86 BB88 BB90:BB91 BB93:BB94 BB96:BB97 BB99:BB108 BB111:BB113 BB115 BB117:BB118 BB120:BB121 BB123:BB124 BB126:BB135 BA45:BA54 BA57:BA59 BA61 BA63:BA64 BA66:BA67 BA69:BA70 BA72:BA81 BA84:BA86 BA88 BA90:BA91 BA93:BA94 BA96:BA97 BA99:BA108 BA111:BA113 BA115 BA117:BA118 BA120:BA121 BA123:BA124 BA126:BA135 AZ45:AZ54 AZ57:AZ59 AZ61 AZ63:AZ64 AZ66:AZ67 AZ69:AZ70 AZ72:AZ81 AZ84:AZ86 AZ88 AZ90:AZ91 AZ93:AZ94 AZ96:AZ97 AZ99:AZ108 AZ111:AZ113 AZ115 AZ117:AZ118 AZ120:AZ121 AZ123:AZ124 AZ126:AZ135 AY45:AY54 AY57:AY59 AY61 AY63:AY64 AY66:AY67 AY69:AY70 AY72:AY81 AY84:AY86 AY88 AY90:AY91 AY93:AY94 AY96:AY97 AY99:AY108 AY111:AY113 AY115 AY117:AY118 AY120:AY121 AY123:AY124 AY126:AY135 AX45:AX54 AX57:AX59 AX61 AX63:AX64 AX66:AX67 AX69:AX70 AX72:AX81 AX84:AX86 AX88 AX90:AX91 AX93:AX94 AX96:AX97 AX99:AX108 AX111:AX113 AX115 AX117:AX118 AX120:AX121 AX123:AX124 AX126:AX135 AW45:AW54 AW57:AW59 AW61 AW63:AW64 AW66:AW67 AW69:AW70 AW72:AW81 AW84:AW86 AW88 AW90:AW91 AW93:AW94 AW96:AW97 AW99:AW108 AW111:AW113 AW115 AW117:AW118 AW120:AW121 AW123:AW124 AW126:AW135 AV45:AV54 AV57:AV59 AV61 AV63:AV64 AV66:AV67 AV69:AV70 AV72:AV81 AV84:AV86 AV88 AV90:AV91 AV93:AV94 AV96:AV97 AV99:AV108 AV111:AV113 AV115 AV117:AV118 AV120:AV121 AV123:AV124 AV126:AV135 AU45:AU54 AU57:AU59 AU61 AU63:AU64 AU66:AU67 AU69:AU70 AU72:AU81 AU84:AU86 AU88 AU90:AU91 AU93:AU94 AU96:AU97 AU99:AU108 AU111:AU113 AU115 AU117:AU118 AU120:AU121 AU123:AU124 AU126:AU135 AT45:AT54 AT57:AT59 AT61 AT63:AT64 AT66:AT67 AT69:AT70 AT72:AT81 AT84:AT86 AT88 AT90:AT91 AT93:AT94 AT96:AT97 AT99:AT108 AT111:AT113 AT115 AT117:AT118 AT120:AT121 AT123:AT124 AT126:AT135 AS45:AS54 AS57:AS59 AS61 AS63:AS64 AS66:AS67 AS69:AS70 AS72:AS81 AS84:AS86 AS88 AS90:AS91 AS93:AS94 AS96:AS97 AS99:AS108 AS111:AS113 AS115 AS117:AS118 AS120:AS121 AS123:AS124 AS126:AS135 AR45:AR54 AR57:AR59 AR61 AR63:AR64 AR66:AR67 AR69:AR70 AR72:AR81 AR84:AR86 AR88 AR90:AR91 AR93:AR94 AR96:AR97 AR99:AR108 AR111:AR113 AR115 AR117:AR118 AR120:AR121 AR123:AR124 AR126:AR135 AQ45:AQ54 AQ57:AQ59 AQ61 AQ63:AQ64 AQ66:AQ67 AQ69:AQ70 AQ72:AQ81 AQ84:AQ86 AQ88 AQ90:AQ91 AQ93:AQ94 AQ96:AQ97 AQ99:AQ108 AQ111:AQ113 AQ115 AQ117:AQ118 AQ120:AQ121 AQ123:AQ124 AQ126:AQ135 AP45:AP54 AP57:AP59 AP61 AP63:AP64 AP66:AP67 AP69:AP70 AP72:AP81 AP84:AP86 AP88 AP90:AP91 AP93:AP94 AP96:AP97 AP99:AP108 AP111:AP113 AP115 AP117:AP118 AP120:AP121 AP123:AP124 AP126:AP135 AO45:AO54 AO57:AO59 AO61 AO63:AO64 AO66:AO67 AO69:AO70 AO72:AO81 AO84:AO86 AO88 AO90:AO91 AO93:AO94 AO96:AO97 AO99:AO108 AO111:AO113 AO115 AO117:AO118 AO120:AO121 AO123:AO124 AO126:AO135 AG45:AG54 AG57:AG59 AG61 AG63:AG64 AG66:AG67 AG69:AG70 AG72:AG81 AG84:AG86 AG88 AG90:AG91 AG93:AG94 AG96:AG97 AG99:AG108 AG111:AG113 AG115 AG117:AG118 AG120:AG121 AG123:AG124 AG126:AG135 AF45:AF54 AF57:AF59 AF61 AF63:AF64 AF66:AF67 AF69:AF70 AF72:AF81 AF84:AF86 AF88 AF90:AF91 AF93:AF94 AF96:AF97 AF99:AF108 AF111:AF113 AF115 AF117:AF118 AF120:AF121 AF123:AF124 AF126:AF135 AE45:AE54 AE57:AE59 AE61 AE63:AE64 AE66:AE67 AE69:AE70 AE72:AE81 AE84:AE86 AE88 AE90:AE91 AE93:AE94 AE96:AE97 AE99:AE108 AE111:AE113 AE115 AE117:AE118 AE120:AE121 AE123:AE124 AE126:AE135 AK45:AK54 AK57:AK59 AK61 AK63:AK64 AK66:AK67 AK69:AK70 AK72:AK81 AK84:AK86 AK88 AK90:AK91 AK93:AK94 AK96:AK97 AK99:AK108 AK111:AK113 AK115 AK117:AK118 AK120:AK121 AK123:AK124 AK126:AK135 AJ45:AJ54 AJ57:AJ59 AJ61 AJ63:AJ64 AJ66:AJ67 AJ69:AJ70 AJ72:AJ81 AJ84:AJ86 AJ88 AJ90:AJ91 AJ93:AJ94 AJ96:AJ97 AJ99:AJ108 AJ111:AJ113 AJ115 AJ117:AJ118 AJ120:AJ121 AJ123:AJ124 AJ126:AJ135 AI45:AI54 AI57:AI59 AI61 AI63:AI64 AI66:AI67 AI69:AI70 AI72:AI81 AI84:AI86 AI88 AI90:AI91 AI93:AI94 AI96:AI97 AI99:AI108 AI111:AI113 AI115 AI117:AI118 AI120:AI121 AI123:AI124 AI126:AI135 AE39:AG40 AG30:AG32 AG34 AF30:AF32 AF34 AE30:AE32 AE34 AK30:AK32 AK34 AJ30:AJ32 AJ34 AI30:AI32 AI34 BF30:BF32 BF34 BE30:BE32 BE34 BD30:BD32 BD34 BC30:BC32 BC34 BB30:BB32 BB34 BA30:BA32 BA34 AZ30:AZ32 AZ34 AY30:AY32 AY34 AX30:AX32 AX34 AW30:AW32 AW34 AV30:AV32 AV34 AU30:AU32 AU34 AT30:AT32 AT34 AS30:AS32 AS34 AR30:AR32 AR34 AQ30:AQ32 AQ34 AP30:AP32 AP34 AO30:AO32 AO34">
      <formula1>0</formula1>
      <formula2>9.99999999999999E+23</formula2>
    </dataValidation>
    <dataValidation allowBlank="1" showErrorMessage="1" errorTitle="Ошибка" error="Допускается ввод только неотрицательных чисел!" sqref="AH26 AN26 AE27:BF27"/>
  </dataValidations>
  <pageMargins left="0.35" right="0.35" top="0.40" bottom="0.40" header="0.31" footer="0.31"/>
  <pageSetup paperSize="9" scale="50" fitToHeight="0" pageOrder="downThenOver" orientation="landscape"/>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DE3DD58-F228-46B1-4C07-28C220106551}" mc:Ignorable="x14ac xr xr2 xr3">
  <sheetPr>
    <tabColor rgb="FF8DB4E2"/>
    <outlinePr summaryRight="0" summaryBelow="0"/>
    <pageSetUpPr fitToPage="1"/>
  </sheetPr>
  <dimension ref="A1:BO47"/>
  <sheetViews>
    <sheetView showGridLines="0" zoomScale="110" workbookViewId="0">
      <pane xSplit="30" ySplit="25" topLeftCell="AE32" activePane="bottomRight" state="frozen"/>
      <selection pane="bottomLeft" activeCell="A26" sqref="A26"/>
      <selection pane="topRight" activeCell="AE1" sqref="AE1"/>
      <selection pane="bottomRight" activeCell="AR47" sqref="AR47"/>
    </sheetView>
  </sheetViews>
  <sheetFormatPr defaultColWidth="9.140625" customHeight="1" defaultRowHeight="15"/>
  <cols>
    <col min="1" max="1" style="47" width="3.57421875" hidden="1" customWidth="1"/>
    <col min="2" max="2" style="47" width="8.7109375" hidden="1" customWidth="1"/>
    <col min="3" max="5" style="47" width="3.57421875" hidden="1" customWidth="1"/>
    <col min="6" max="6" style="47" width="8.57421875" hidden="1" customWidth="1"/>
    <col min="7" max="7" style="47" width="7.57421875" hidden="1" customWidth="1"/>
    <col min="8" max="20" style="47" width="3.57421875" hidden="1" customWidth="1"/>
    <col min="21" max="21" style="47" width="8.57421875" hidden="1" customWidth="1"/>
    <col min="22" max="26" style="47" width="6.00390625" hidden="1" customWidth="1"/>
    <col min="27" max="27" style="47" width="3.00390625" customWidth="1"/>
    <col min="28" max="28" style="47" width="11.00390625" customWidth="1"/>
    <col min="29" max="29" style="47" width="40.00390625" customWidth="1"/>
    <col min="30" max="32" style="47" width="15.00390625" customWidth="1"/>
    <col min="33" max="33" style="2403" width="15.00390625" customWidth="1"/>
    <col min="34" max="35" style="47" width="15.00390625" customWidth="1"/>
    <col min="36" max="44" style="47" width="15.00390625" hidden="1" customWidth="1"/>
    <col min="45" max="45" style="47" width="15.00390625" customWidth="1"/>
    <col min="46" max="54" style="47" width="15.00390625" hidden="1" customWidth="1"/>
    <col min="56" max="67" width="9.140625" hidden="1"/>
  </cols>
  <sheetData>
    <row customHeight="1" ht="11.25" hidden="1">
      <c r="A1" s="2364"/>
      <c r="B1" s="2365"/>
      <c r="C1" s="2365"/>
      <c r="D1" s="2365"/>
      <c r="E1" s="1386"/>
      <c r="F1" s="1387" t="s">
        <v>333</v>
      </c>
      <c r="G1" s="2365"/>
      <c r="H1" s="2365"/>
      <c r="I1" s="2365"/>
      <c r="J1" s="2365"/>
      <c r="K1" s="2365"/>
      <c r="L1" s="2365"/>
      <c r="M1" s="2365"/>
      <c r="N1" s="2365"/>
      <c r="O1" s="2365"/>
      <c r="P1" s="2365"/>
      <c r="Q1" s="2365"/>
      <c r="R1" s="2365"/>
      <c r="S1" s="2365"/>
      <c r="T1" s="2365"/>
      <c r="U1" s="2365"/>
      <c r="V1" s="1388" t="s">
        <v>93</v>
      </c>
      <c r="W1" s="1388" t="s">
        <v>98</v>
      </c>
      <c r="X1" s="1388" t="s">
        <v>94</v>
      </c>
      <c r="Y1" s="1388" t="s">
        <v>96</v>
      </c>
      <c r="Z1" s="1388" t="s">
        <v>100</v>
      </c>
      <c r="AA1" s="2364"/>
      <c r="AB1" s="2364"/>
      <c r="AC1" s="2364"/>
      <c r="AD1" s="2365"/>
      <c r="AE1" s="2365"/>
      <c r="AF1" s="2365"/>
      <c r="AG1" s="2366"/>
      <c r="AH1" s="2365"/>
      <c r="AI1" s="2365"/>
      <c r="AJ1" s="1325"/>
      <c r="AK1" s="1325"/>
      <c r="AL1" s="1325"/>
      <c r="AM1" s="1325"/>
      <c r="AN1" s="1325"/>
      <c r="AO1" s="1325"/>
      <c r="AP1" s="1325"/>
      <c r="AQ1" s="1325"/>
      <c r="AR1" s="1325"/>
      <c r="AS1" s="2365"/>
      <c r="AT1" s="1325"/>
      <c r="AU1" s="1325"/>
      <c r="AV1" s="1325"/>
      <c r="AW1" s="1325"/>
      <c r="AX1" s="1325"/>
      <c r="AY1" s="1325"/>
      <c r="AZ1" s="1325"/>
      <c r="BA1" s="1325"/>
      <c r="BB1" s="1325"/>
      <c r="BC1" s="423"/>
      <c r="BD1" s="1179" t="s">
        <v>336</v>
      </c>
      <c r="BE1" s="423"/>
      <c r="BF1" s="423"/>
      <c r="BG1" s="423"/>
      <c r="BH1" s="423"/>
      <c r="BI1" s="423"/>
      <c r="BJ1" s="423"/>
      <c r="BK1" s="423"/>
      <c r="BL1" s="423"/>
      <c r="BM1" s="423"/>
      <c r="BN1" s="423"/>
      <c r="BO1" s="423"/>
    </row>
    <row customHeight="1" ht="11.25" hidden="1">
      <c r="A2" s="2365"/>
      <c r="B2" s="1389" t="s">
        <v>19</v>
      </c>
      <c r="C2" s="2365"/>
      <c r="D2" s="2365"/>
      <c r="E2" s="2365"/>
      <c r="F2" s="1390"/>
      <c r="G2" s="2365"/>
      <c r="H2" s="2365"/>
      <c r="I2" s="2365"/>
      <c r="J2" s="2365"/>
      <c r="K2" s="2365"/>
      <c r="L2" s="2365"/>
      <c r="M2" s="2365"/>
      <c r="N2" s="2365"/>
      <c r="O2" s="2365"/>
      <c r="P2" s="2365"/>
      <c r="Q2" s="2365"/>
      <c r="R2" s="2365"/>
      <c r="S2" s="2365"/>
      <c r="T2" s="2365"/>
      <c r="U2" s="2365"/>
      <c r="V2" s="2365"/>
      <c r="W2" s="2365"/>
      <c r="X2" s="2365"/>
      <c r="Y2" s="2365"/>
      <c r="Z2" s="2365"/>
      <c r="AA2" s="2365"/>
      <c r="AB2" s="2365"/>
      <c r="AC2" s="1391"/>
      <c r="AD2" s="2365"/>
      <c r="AE2" s="2365"/>
      <c r="AF2" s="2365" cm="1" t="str">
        <f t="array" ref="AF2:AF2">isOrgDeclare</f>
        <v>true</v>
      </c>
      <c r="AG2" s="2366"/>
      <c r="AH2" s="2365"/>
      <c r="AI2" s="2365" cm="1" t="str">
        <f t="array" ref="AI2:AI2">isOrgDeclare</f>
        <v>true</v>
      </c>
      <c r="AJ2" s="1389">
        <f>AND(AJ6&lt;last_year_vis,isOrgDeclare)</f>
        <v>0</v>
      </c>
      <c r="AK2" s="1389">
        <f>AND(AK6&lt;last_year_vis,isOrgDeclare)</f>
        <v>0</v>
      </c>
      <c r="AL2" s="1389">
        <f>AND(AL6&lt;last_year_vis,isOrgDeclare)</f>
        <v>0</v>
      </c>
      <c r="AM2" s="1389">
        <f>AND(AM6&lt;last_year_vis,isOrgDeclare)</f>
        <v>0</v>
      </c>
      <c r="AN2" s="1389">
        <f>AND(AN6&lt;last_year_vis,isOrgDeclare)</f>
        <v>0</v>
      </c>
      <c r="AO2" s="1389">
        <f>AND(AO6&lt;last_year_vis,isOrgDeclare)</f>
        <v>0</v>
      </c>
      <c r="AP2" s="1389">
        <f>AND(AP6&lt;last_year_vis,isOrgDeclare)</f>
        <v>0</v>
      </c>
      <c r="AQ2" s="1389">
        <f>AND(AQ6&lt;last_year_vis,isOrgDeclare)</f>
        <v>0</v>
      </c>
      <c r="AR2" s="1389">
        <f>AND(AR6&lt;last_year_vis,isOrgDeclare)</f>
        <v>0</v>
      </c>
      <c r="AS2" s="2365"/>
      <c r="AT2" s="1389">
        <f>AT6&lt;last_year_vis</f>
        <v>0</v>
      </c>
      <c r="AU2" s="1389">
        <f>AU6&lt;last_year_vis</f>
        <v>0</v>
      </c>
      <c r="AV2" s="1389">
        <f>AV6&lt;last_year_vis</f>
        <v>0</v>
      </c>
      <c r="AW2" s="1389">
        <f>AW6&lt;last_year_vis</f>
        <v>0</v>
      </c>
      <c r="AX2" s="1389">
        <f>AX6&lt;last_year_vis</f>
        <v>0</v>
      </c>
      <c r="AY2" s="1389">
        <f>AY6&lt;last_year_vis</f>
        <v>0</v>
      </c>
      <c r="AZ2" s="1389">
        <f>AZ6&lt;last_year_vis</f>
        <v>0</v>
      </c>
      <c r="BA2" s="1389">
        <f>BA6&lt;last_year_vis</f>
        <v>0</v>
      </c>
      <c r="BB2" s="1389">
        <f>BB6&lt;last_year_vis</f>
        <v>0</v>
      </c>
      <c r="BC2" s="423"/>
      <c r="BD2" s="1180"/>
      <c r="BE2" s="375"/>
      <c r="BF2" s="375"/>
      <c r="BG2" s="375"/>
      <c r="BH2" s="375"/>
      <c r="BI2" s="375"/>
      <c r="BJ2" s="423"/>
      <c r="BK2" s="423"/>
      <c r="BL2" s="423"/>
      <c r="BM2" s="423"/>
      <c r="BN2" s="423"/>
      <c r="BO2" s="423"/>
    </row>
    <row customHeight="1" ht="11.25" hidden="1">
      <c r="A3" s="2365"/>
      <c r="B3" s="2365"/>
      <c r="C3" s="2365"/>
      <c r="D3" s="2365"/>
      <c r="E3" s="1386"/>
      <c r="F3" s="2365"/>
      <c r="G3" s="2365"/>
      <c r="H3" s="2365"/>
      <c r="I3" s="2365"/>
      <c r="J3" s="2365"/>
      <c r="K3" s="2365"/>
      <c r="L3" s="2365"/>
      <c r="M3" s="2365"/>
      <c r="N3" s="2365"/>
      <c r="O3" s="2365"/>
      <c r="P3" s="2365"/>
      <c r="Q3" s="2365"/>
      <c r="R3" s="2365"/>
      <c r="S3" s="2365"/>
      <c r="T3" s="2365"/>
      <c r="U3" s="2365"/>
      <c r="V3" s="2365"/>
      <c r="W3" s="2365"/>
      <c r="X3" s="2365"/>
      <c r="Y3" s="2365"/>
      <c r="Z3" s="2365"/>
      <c r="AA3" s="2365"/>
      <c r="AB3" s="2365"/>
      <c r="AC3" s="2365"/>
      <c r="AD3" s="2365"/>
      <c r="AE3" s="2365"/>
      <c r="AF3" s="2365"/>
      <c r="AG3" s="2366"/>
      <c r="AH3" s="2365"/>
      <c r="AI3" s="2365"/>
      <c r="AJ3" s="1325"/>
      <c r="AK3" s="1325"/>
      <c r="AL3" s="1325"/>
      <c r="AM3" s="1325"/>
      <c r="AN3" s="1325"/>
      <c r="AO3" s="1325"/>
      <c r="AP3" s="1325"/>
      <c r="AQ3" s="1325"/>
      <c r="AR3" s="1325"/>
      <c r="AS3" s="2365"/>
      <c r="AT3" s="1325"/>
      <c r="AU3" s="1325"/>
      <c r="AV3" s="1325"/>
      <c r="AW3" s="1325"/>
      <c r="AX3" s="1325"/>
      <c r="AY3" s="1325"/>
      <c r="AZ3" s="1325"/>
      <c r="BA3" s="1325"/>
      <c r="BB3" s="1325"/>
      <c r="BC3" s="423"/>
      <c r="BD3" s="423"/>
      <c r="BE3" s="423"/>
      <c r="BF3" s="423"/>
      <c r="BG3" s="423"/>
      <c r="BH3" s="423"/>
      <c r="BI3" s="423"/>
      <c r="BJ3" s="423"/>
      <c r="BK3" s="423"/>
      <c r="BL3" s="423"/>
      <c r="BM3" s="423"/>
      <c r="BN3" s="423"/>
      <c r="BO3" s="423"/>
    </row>
    <row customHeight="1" ht="11.25" hidden="1">
      <c r="A4" s="2365"/>
      <c r="B4" s="2365"/>
      <c r="C4" s="2365"/>
      <c r="D4" s="2365"/>
      <c r="E4" s="1386"/>
      <c r="F4" s="2365"/>
      <c r="G4" s="2365"/>
      <c r="H4" s="2365"/>
      <c r="I4" s="2365"/>
      <c r="J4" s="2365"/>
      <c r="K4" s="2365"/>
      <c r="L4" s="2365"/>
      <c r="M4" s="2365"/>
      <c r="N4" s="2365"/>
      <c r="O4" s="2365"/>
      <c r="P4" s="2365"/>
      <c r="Q4" s="2365"/>
      <c r="R4" s="2365"/>
      <c r="S4" s="2365"/>
      <c r="T4" s="2365"/>
      <c r="U4" s="2365"/>
      <c r="V4" s="2365"/>
      <c r="W4" s="2365"/>
      <c r="X4" s="2365"/>
      <c r="Y4" s="2365"/>
      <c r="Z4" s="2365"/>
      <c r="AA4" s="2365"/>
      <c r="AB4" s="2365"/>
      <c r="AC4" s="2365"/>
      <c r="AD4" s="2365"/>
      <c r="AE4" s="2365"/>
      <c r="AF4" s="2365"/>
      <c r="AG4" s="2366"/>
      <c r="AH4" s="2365"/>
      <c r="AI4" s="2365"/>
      <c r="AJ4" s="1325"/>
      <c r="AK4" s="1325"/>
      <c r="AL4" s="1325"/>
      <c r="AM4" s="1325"/>
      <c r="AN4" s="1325"/>
      <c r="AO4" s="1325"/>
      <c r="AP4" s="1325"/>
      <c r="AQ4" s="1325"/>
      <c r="AR4" s="1325"/>
      <c r="AS4" s="2365"/>
      <c r="AT4" s="1325"/>
      <c r="AU4" s="1325"/>
      <c r="AV4" s="1325"/>
      <c r="AW4" s="1325"/>
      <c r="AX4" s="1325"/>
      <c r="AY4" s="1325"/>
      <c r="AZ4" s="1325"/>
      <c r="BA4" s="1325"/>
      <c r="BB4" s="1325"/>
      <c r="BC4" s="423"/>
      <c r="BD4" s="423"/>
      <c r="BE4" s="423"/>
      <c r="BF4" s="423"/>
      <c r="BG4" s="423"/>
      <c r="BH4" s="423"/>
      <c r="BI4" s="423"/>
      <c r="BJ4" s="423"/>
      <c r="BK4" s="423"/>
      <c r="BL4" s="423"/>
      <c r="BM4" s="423"/>
      <c r="BN4" s="423"/>
      <c r="BO4" s="423"/>
    </row>
    <row customHeight="1" ht="11.25" hidden="1">
      <c r="A5" s="1386"/>
      <c r="B5" s="1392"/>
      <c r="C5" s="1386"/>
      <c r="D5" s="1386"/>
      <c r="E5" s="1393" t="s">
        <v>20</v>
      </c>
      <c r="F5" s="1394"/>
      <c r="G5" s="2365"/>
      <c r="H5" s="2365"/>
      <c r="I5" s="2365"/>
      <c r="J5" s="2365"/>
      <c r="K5" s="2365"/>
      <c r="L5" s="2365"/>
      <c r="M5" s="2365"/>
      <c r="N5" s="2365"/>
      <c r="O5" s="2365"/>
      <c r="P5" s="2365"/>
      <c r="Q5" s="2365"/>
      <c r="R5" s="2365"/>
      <c r="S5" s="2365"/>
      <c r="T5" s="2365"/>
      <c r="U5" s="2365"/>
      <c r="V5" s="2365"/>
      <c r="W5" s="2365"/>
      <c r="X5" s="2365"/>
      <c r="Y5" s="2365"/>
      <c r="Z5" s="2365"/>
      <c r="AA5" s="1393">
        <v>3</v>
      </c>
      <c r="AB5" s="1395">
        <v>11</v>
      </c>
      <c r="AC5" s="1396">
        <v>40</v>
      </c>
      <c r="AD5" s="1393">
        <v>15</v>
      </c>
      <c r="AE5" s="1393">
        <v>15</v>
      </c>
      <c r="AF5" s="1393">
        <v>15</v>
      </c>
      <c r="AG5" s="1393">
        <v>15</v>
      </c>
      <c r="AH5" s="1393">
        <v>15</v>
      </c>
      <c r="AI5" s="1393">
        <v>15</v>
      </c>
      <c r="AJ5" s="1393">
        <v>15</v>
      </c>
      <c r="AK5" s="1393">
        <v>15</v>
      </c>
      <c r="AL5" s="1393">
        <v>15</v>
      </c>
      <c r="AM5" s="1393">
        <v>15</v>
      </c>
      <c r="AN5" s="1393">
        <v>15</v>
      </c>
      <c r="AO5" s="1393">
        <v>15</v>
      </c>
      <c r="AP5" s="1393">
        <v>15</v>
      </c>
      <c r="AQ5" s="1393">
        <v>15</v>
      </c>
      <c r="AR5" s="1393">
        <v>15</v>
      </c>
      <c r="AS5" s="1393">
        <v>15</v>
      </c>
      <c r="AT5" s="1393">
        <v>15</v>
      </c>
      <c r="AU5" s="1393">
        <v>15</v>
      </c>
      <c r="AV5" s="1393">
        <v>15</v>
      </c>
      <c r="AW5" s="1393">
        <v>15</v>
      </c>
      <c r="AX5" s="1393">
        <v>15</v>
      </c>
      <c r="AY5" s="1393">
        <v>15</v>
      </c>
      <c r="AZ5" s="1393">
        <v>15</v>
      </c>
      <c r="BA5" s="1393">
        <v>15</v>
      </c>
      <c r="BB5" s="1393">
        <v>15</v>
      </c>
      <c r="BC5" s="423"/>
      <c r="BD5" s="1179"/>
      <c r="BE5" s="375"/>
      <c r="BF5" s="375"/>
      <c r="BG5" s="375"/>
      <c r="BH5" s="375"/>
      <c r="BI5" s="375"/>
      <c r="BJ5" s="423"/>
      <c r="BK5" s="423"/>
      <c r="BL5" s="423"/>
      <c r="BM5" s="423"/>
      <c r="BN5" s="423"/>
      <c r="BO5" s="423"/>
    </row>
    <row customHeight="1" ht="11.25" hidden="1">
      <c r="A6" s="2365"/>
      <c r="B6" s="2365"/>
      <c r="C6" s="2365"/>
      <c r="D6" s="2365"/>
      <c r="E6" s="2365"/>
      <c r="F6" s="2365"/>
      <c r="G6" s="2365"/>
      <c r="H6" s="2365"/>
      <c r="I6" s="2365"/>
      <c r="J6" s="2365"/>
      <c r="K6" s="2365"/>
      <c r="L6" s="2365"/>
      <c r="M6" s="2365"/>
      <c r="N6" s="2365"/>
      <c r="O6" s="2365"/>
      <c r="P6" s="2365"/>
      <c r="Q6" s="2365"/>
      <c r="R6" s="2365"/>
      <c r="S6" s="2365"/>
      <c r="T6" s="2365"/>
      <c r="U6" s="2365"/>
      <c r="V6" s="2365"/>
      <c r="W6" s="2365"/>
      <c r="X6" s="2365"/>
      <c r="Y6" s="2365"/>
      <c r="Z6" s="2365"/>
      <c r="AA6" s="2365"/>
      <c r="AB6" s="2365"/>
      <c r="AC6" s="2365"/>
      <c r="AD6" s="2365"/>
      <c r="AE6" s="1386">
        <f>god-2</f>
        <v>2024</v>
      </c>
      <c r="AF6" s="1386">
        <f>god-2</f>
        <v>2024</v>
      </c>
      <c r="AG6" s="1386">
        <f>god-2</f>
        <v>2024</v>
      </c>
      <c r="AH6" s="1386">
        <f>god-1</f>
        <v>2025</v>
      </c>
      <c r="AI6" s="1386" cm="1" t="str">
        <f t="array" ref="AI6:AI6">god</f>
        <v>2026</v>
      </c>
      <c r="AJ6" s="1386">
        <f>god+1</f>
        <v>2027</v>
      </c>
      <c r="AK6" s="1386">
        <f>god+2</f>
        <v>2028</v>
      </c>
      <c r="AL6" s="1386">
        <f>god+3</f>
        <v>2029</v>
      </c>
      <c r="AM6" s="1386">
        <f>god+4</f>
        <v>2030</v>
      </c>
      <c r="AN6" s="1386">
        <f>god+5</f>
        <v>2031</v>
      </c>
      <c r="AO6" s="1386">
        <f>god+6</f>
        <v>2032</v>
      </c>
      <c r="AP6" s="1386">
        <f>god+7</f>
        <v>2033</v>
      </c>
      <c r="AQ6" s="1386">
        <f>god+8</f>
        <v>2034</v>
      </c>
      <c r="AR6" s="1386">
        <f>god+9</f>
        <v>2035</v>
      </c>
      <c r="AS6" s="1386" cm="1" t="str">
        <f t="array" ref="AS6:AS6">god</f>
        <v>2026</v>
      </c>
      <c r="AT6" s="1386">
        <f>god+1</f>
        <v>2027</v>
      </c>
      <c r="AU6" s="1386">
        <f>god+2</f>
        <v>2028</v>
      </c>
      <c r="AV6" s="1386">
        <f>god+3</f>
        <v>2029</v>
      </c>
      <c r="AW6" s="1386">
        <f>god+4</f>
        <v>2030</v>
      </c>
      <c r="AX6" s="1386">
        <f>god+5</f>
        <v>2031</v>
      </c>
      <c r="AY6" s="1386">
        <f>god+6</f>
        <v>2032</v>
      </c>
      <c r="AZ6" s="1386">
        <f>god+7</f>
        <v>2033</v>
      </c>
      <c r="BA6" s="1386">
        <f>god+8</f>
        <v>2034</v>
      </c>
      <c r="BB6" s="1386">
        <f>god+9</f>
        <v>2035</v>
      </c>
      <c r="BC6" s="423"/>
      <c r="BD6" s="423"/>
      <c r="BE6" s="423"/>
      <c r="BF6" s="423"/>
      <c r="BG6" s="423"/>
      <c r="BH6" s="423"/>
      <c r="BI6" s="423"/>
      <c r="BJ6" s="423"/>
      <c r="BK6" s="423"/>
      <c r="BL6" s="423"/>
      <c r="BM6" s="423"/>
      <c r="BN6" s="423"/>
      <c r="BO6" s="423"/>
    </row>
    <row customHeight="1" ht="11.25" hidden="1">
      <c r="A7" s="2365"/>
      <c r="B7" s="2365"/>
      <c r="C7" s="2365"/>
      <c r="D7" s="2365"/>
      <c r="E7" s="2365"/>
      <c r="F7" s="2365"/>
      <c r="G7" s="2365"/>
      <c r="H7" s="2365"/>
      <c r="I7" s="2365"/>
      <c r="J7" s="2365"/>
      <c r="K7" s="2365"/>
      <c r="L7" s="2365"/>
      <c r="M7" s="2365"/>
      <c r="N7" s="2365"/>
      <c r="O7" s="2365"/>
      <c r="P7" s="2365"/>
      <c r="Q7" s="2365"/>
      <c r="R7" s="2365"/>
      <c r="S7" s="2365"/>
      <c r="T7" s="2365"/>
      <c r="U7" s="2365"/>
      <c r="V7" s="2365"/>
      <c r="W7" s="2365"/>
      <c r="X7" s="2365"/>
      <c r="Y7" s="2365"/>
      <c r="Z7" s="2365"/>
      <c r="AA7" s="2365"/>
      <c r="AB7" s="2365"/>
      <c r="AC7" s="2365"/>
      <c r="AD7" s="2365"/>
      <c r="AE7" s="1386" cm="1" t="str">
        <f t="array" ref="AE7:AE7">AE25</f>
        <v>Принято органом регулирования</v>
      </c>
      <c r="AF7" s="1386" cm="1" t="str">
        <f t="array" ref="AF7:AF7">AF25</f>
        <v>Факт по данным организации</v>
      </c>
      <c r="AG7" s="1386" cm="1" t="str">
        <f t="array" ref="AG7:AG7">AG25</f>
        <v>Факт, принятый органом регулирования</v>
      </c>
      <c r="AH7" s="1386" cm="1" t="str">
        <f t="array" ref="AH7:AH7">AH25</f>
        <v>Принято органом регулирования</v>
      </c>
      <c r="AI7" s="1386" cm="1" t="str">
        <f t="array" ref="AI7:AI7">AI25</f>
        <v>Предложение организации</v>
      </c>
      <c r="AJ7" s="1386" cm="1" t="str">
        <f t="array" ref="AJ7:AJ7">AJ25</f>
        <v>Предложение организации</v>
      </c>
      <c r="AK7" s="1386" cm="1" t="str">
        <f t="array" ref="AK7:AK7">AK25</f>
        <v>Предложение организации</v>
      </c>
      <c r="AL7" s="1386" cm="1" t="str">
        <f t="array" ref="AL7:AL7">AL25</f>
        <v>Предложение организации</v>
      </c>
      <c r="AM7" s="1386" cm="1" t="str">
        <f t="array" ref="AM7:AM7">AM25</f>
        <v>Предложение организации</v>
      </c>
      <c r="AN7" s="1386" cm="1" t="str">
        <f t="array" ref="AN7:AN7">AN25</f>
        <v>Предложение организации</v>
      </c>
      <c r="AO7" s="1386" cm="1" t="str">
        <f t="array" ref="AO7:AO7">AO25</f>
        <v>Предложение организации</v>
      </c>
      <c r="AP7" s="1386" cm="1" t="str">
        <f t="array" ref="AP7:AP7">AP25</f>
        <v>Предложение организации</v>
      </c>
      <c r="AQ7" s="1386" cm="1" t="str">
        <f t="array" ref="AQ7:AQ7">AQ25</f>
        <v>Предложение организации</v>
      </c>
      <c r="AR7" s="1386" cm="1" t="str">
        <f t="array" ref="AR7:AR7">AR25</f>
        <v>Предложение организации</v>
      </c>
      <c r="AS7" s="1386" cm="1" t="str">
        <f t="array" ref="AS7:AS7">AS25</f>
        <v>Принято органом регулирования</v>
      </c>
      <c r="AT7" s="1386" cm="1" t="str">
        <f t="array" ref="AT7:AT7">AT25</f>
        <v>Принято органом регулирования</v>
      </c>
      <c r="AU7" s="1386" cm="1" t="str">
        <f t="array" ref="AU7:AU7">AU25</f>
        <v>Принято органом регулирования</v>
      </c>
      <c r="AV7" s="1386" cm="1" t="str">
        <f t="array" ref="AV7:AV7">AV25</f>
        <v>Принято органом регулирования</v>
      </c>
      <c r="AW7" s="1386" cm="1" t="str">
        <f t="array" ref="AW7:AW7">AW25</f>
        <v>Принято органом регулирования</v>
      </c>
      <c r="AX7" s="1386" cm="1" t="str">
        <f t="array" ref="AX7:AX7">AX25</f>
        <v>Принято органом регулирования</v>
      </c>
      <c r="AY7" s="1386" cm="1" t="str">
        <f t="array" ref="AY7:AY7">AY25</f>
        <v>Принято органом регулирования</v>
      </c>
      <c r="AZ7" s="1386" cm="1" t="str">
        <f t="array" ref="AZ7:AZ7">AZ25</f>
        <v>Принято органом регулирования</v>
      </c>
      <c r="BA7" s="1386" cm="1" t="str">
        <f t="array" ref="BA7:BA7">BA25</f>
        <v>Принято органом регулирования</v>
      </c>
      <c r="BB7" s="1386" cm="1" t="str">
        <f t="array" ref="BB7:BB7">BB25</f>
        <v>Принято органом регулирования</v>
      </c>
      <c r="BC7" s="423"/>
      <c r="BD7" s="423"/>
      <c r="BE7" s="423"/>
      <c r="BF7" s="423"/>
      <c r="BG7" s="423"/>
      <c r="BH7" s="423"/>
      <c r="BI7" s="423"/>
      <c r="BJ7" s="423"/>
      <c r="BK7" s="423"/>
      <c r="BL7" s="423"/>
      <c r="BM7" s="423"/>
      <c r="BN7" s="423"/>
      <c r="BO7" s="423"/>
    </row>
    <row customHeight="1" ht="11.25" hidden="1">
      <c r="A8" s="2365"/>
      <c r="B8" s="2365"/>
      <c r="C8" s="2365"/>
      <c r="D8" s="2365"/>
      <c r="E8" s="2365"/>
      <c r="F8" s="2365"/>
      <c r="G8" s="2365"/>
      <c r="H8" s="2365"/>
      <c r="I8" s="2365"/>
      <c r="J8" s="2365"/>
      <c r="K8" s="2365"/>
      <c r="L8" s="2365"/>
      <c r="M8" s="2365"/>
      <c r="N8" s="2365"/>
      <c r="O8" s="2365"/>
      <c r="P8" s="2365"/>
      <c r="Q8" s="2365"/>
      <c r="R8" s="2365"/>
      <c r="S8" s="2365"/>
      <c r="T8" s="2365"/>
      <c r="U8" s="2365"/>
      <c r="V8" s="2365"/>
      <c r="W8" s="2365"/>
      <c r="X8" s="2365"/>
      <c r="Y8" s="2365"/>
      <c r="Z8" s="2365"/>
      <c r="AA8" s="2365"/>
      <c r="AB8" s="2365"/>
      <c r="AC8" s="2365"/>
      <c r="AD8" s="2365"/>
      <c r="AE8" s="1386" t="str">
        <f>AE6&amp;AE7</f>
        <v>2024Принято органом регулирования</v>
      </c>
      <c r="AF8" s="1386" t="str">
        <f>AF6&amp;AF7</f>
        <v>2024Факт по данным организации</v>
      </c>
      <c r="AG8" s="1386" t="str">
        <f>AG6&amp;AG7</f>
        <v>2024Факт, принятый органом регулирования</v>
      </c>
      <c r="AH8" s="1386" t="str">
        <f>AH6&amp;AH7</f>
        <v>2025Принято органом регулирования</v>
      </c>
      <c r="AI8" s="1386" t="str">
        <f>AI6&amp;AI7</f>
        <v>2026Предложение организации</v>
      </c>
      <c r="AJ8" s="1386" t="str">
        <f>AJ6&amp;AJ7</f>
        <v>2027Предложение организации</v>
      </c>
      <c r="AK8" s="1386" t="str">
        <f>AK6&amp;AK7</f>
        <v>2028Предложение организации</v>
      </c>
      <c r="AL8" s="1386" t="str">
        <f>AL6&amp;AL7</f>
        <v>2029Предложение организации</v>
      </c>
      <c r="AM8" s="1386" t="str">
        <f>AM6&amp;AM7</f>
        <v>2030Предложение организации</v>
      </c>
      <c r="AN8" s="1386" t="str">
        <f>AN6&amp;AN7</f>
        <v>2031Предложение организации</v>
      </c>
      <c r="AO8" s="1386" t="str">
        <f>AO6&amp;AO7</f>
        <v>2032Предложение организации</v>
      </c>
      <c r="AP8" s="1386" t="str">
        <f>AP6&amp;AP7</f>
        <v>2033Предложение организации</v>
      </c>
      <c r="AQ8" s="1386" t="str">
        <f>AQ6&amp;AQ7</f>
        <v>2034Предложение организации</v>
      </c>
      <c r="AR8" s="1386" t="str">
        <f>AR6&amp;AR7</f>
        <v>2035Предложение организации</v>
      </c>
      <c r="AS8" s="1386" t="str">
        <f>AS6&amp;AS7</f>
        <v>2026Принято органом регулирования</v>
      </c>
      <c r="AT8" s="1386" t="str">
        <f>AT6&amp;AT7</f>
        <v>2027Принято органом регулирования</v>
      </c>
      <c r="AU8" s="1386" t="str">
        <f>AU6&amp;AU7</f>
        <v>2028Принято органом регулирования</v>
      </c>
      <c r="AV8" s="1386" t="str">
        <f>AV6&amp;AV7</f>
        <v>2029Принято органом регулирования</v>
      </c>
      <c r="AW8" s="1386" t="str">
        <f>AW6&amp;AW7</f>
        <v>2030Принято органом регулирования</v>
      </c>
      <c r="AX8" s="1386" t="str">
        <f>AX6&amp;AX7</f>
        <v>2031Принято органом регулирования</v>
      </c>
      <c r="AY8" s="1386" t="str">
        <f>AY6&amp;AY7</f>
        <v>2032Принято органом регулирования</v>
      </c>
      <c r="AZ8" s="1386" t="str">
        <f>AZ6&amp;AZ7</f>
        <v>2033Принято органом регулирования</v>
      </c>
      <c r="BA8" s="1386" t="str">
        <f>BA6&amp;BA7</f>
        <v>2034Принято органом регулирования</v>
      </c>
      <c r="BB8" s="1386" t="str">
        <f>BB6&amp;BB7</f>
        <v>2035Принято органом регулирования</v>
      </c>
      <c r="BC8" s="423"/>
      <c r="BD8" s="423"/>
      <c r="BE8" s="423"/>
      <c r="BF8" s="423"/>
      <c r="BG8" s="423"/>
      <c r="BH8" s="423"/>
      <c r="BI8" s="423"/>
      <c r="BJ8" s="423"/>
      <c r="BK8" s="423"/>
      <c r="BL8" s="423"/>
      <c r="BM8" s="423"/>
      <c r="BN8" s="423"/>
      <c r="BO8" s="423"/>
    </row>
    <row customHeight="1" ht="11.25" hidden="1">
      <c r="A9" s="1397" t="s">
        <v>376</v>
      </c>
      <c r="B9" s="1398"/>
      <c r="C9" s="2365"/>
      <c r="D9" s="2365"/>
      <c r="E9" s="2365"/>
      <c r="F9" s="1399"/>
      <c r="G9" s="2365"/>
      <c r="H9" s="2365"/>
      <c r="I9" s="2365"/>
      <c r="J9" s="2365"/>
      <c r="K9" s="2365"/>
      <c r="L9" s="2365"/>
      <c r="M9" s="2365"/>
      <c r="N9" s="2365"/>
      <c r="O9" s="2365"/>
      <c r="P9" s="2365"/>
      <c r="Q9" s="2365"/>
      <c r="R9" s="2365"/>
      <c r="S9" s="2365"/>
      <c r="T9" s="2365"/>
      <c r="U9" s="2365"/>
      <c r="V9" s="2365"/>
      <c r="W9" s="2365"/>
      <c r="X9" s="2365"/>
      <c r="Y9" s="2365"/>
      <c r="Z9" s="2365"/>
      <c r="AA9" s="2365"/>
      <c r="AB9" s="1400"/>
      <c r="AC9" s="1401"/>
      <c r="AD9" s="2365"/>
      <c r="AE9" s="1397" cm="1" t="str">
        <f t="array" ref="AE9:AE9">AE6</f>
        <v>2024</v>
      </c>
      <c r="AF9" s="1397" cm="1" t="str">
        <f t="array" ref="AF9:AF9">AF6</f>
        <v>2024</v>
      </c>
      <c r="AG9" s="1397" cm="1" t="str">
        <f t="array" ref="AG9:AG9">AG6</f>
        <v>2024</v>
      </c>
      <c r="AH9" s="1397" cm="1" t="str">
        <f t="array" ref="AH9:AH9">AH6</f>
        <v>2025</v>
      </c>
      <c r="AI9" s="1397" cm="1" t="str">
        <f t="array" ref="AI9:AI9">AI6</f>
        <v>2026</v>
      </c>
      <c r="AJ9" s="1397" cm="1" t="str">
        <f t="array" ref="AJ9:AJ9">AJ6</f>
        <v>2027</v>
      </c>
      <c r="AK9" s="1397" cm="1" t="str">
        <f t="array" ref="AK9:AK9">AK6</f>
        <v>2028</v>
      </c>
      <c r="AL9" s="1397" cm="1" t="str">
        <f t="array" ref="AL9:AL9">AL6</f>
        <v>2029</v>
      </c>
      <c r="AM9" s="1397" cm="1" t="str">
        <f t="array" ref="AM9:AM9">AM6</f>
        <v>2030</v>
      </c>
      <c r="AN9" s="1397" cm="1" t="str">
        <f t="array" ref="AN9:AN9">AN6</f>
        <v>2031</v>
      </c>
      <c r="AO9" s="1397" cm="1" t="str">
        <f t="array" ref="AO9:AO9">AO6</f>
        <v>2032</v>
      </c>
      <c r="AP9" s="1397" cm="1" t="str">
        <f t="array" ref="AP9:AP9">AP6</f>
        <v>2033</v>
      </c>
      <c r="AQ9" s="1397" cm="1" t="str">
        <f t="array" ref="AQ9:AQ9">AQ6</f>
        <v>2034</v>
      </c>
      <c r="AR9" s="1397" cm="1" t="str">
        <f t="array" ref="AR9:AR9">AR6</f>
        <v>2035</v>
      </c>
      <c r="AS9" s="1397" cm="1" t="str">
        <f t="array" ref="AS9:AS9">AS6</f>
        <v>2026</v>
      </c>
      <c r="AT9" s="1397" cm="1" t="str">
        <f t="array" ref="AT9:AT9">AT6</f>
        <v>2027</v>
      </c>
      <c r="AU9" s="1397" cm="1" t="str">
        <f t="array" ref="AU9:AU9">AU6</f>
        <v>2028</v>
      </c>
      <c r="AV9" s="1397" cm="1" t="str">
        <f t="array" ref="AV9:AV9">AV6</f>
        <v>2029</v>
      </c>
      <c r="AW9" s="1397" cm="1" t="str">
        <f t="array" ref="AW9:AW9">AW6</f>
        <v>2030</v>
      </c>
      <c r="AX9" s="1397" cm="1" t="str">
        <f t="array" ref="AX9:AX9">AX6</f>
        <v>2031</v>
      </c>
      <c r="AY9" s="1397" cm="1" t="str">
        <f t="array" ref="AY9:AY9">AY6</f>
        <v>2032</v>
      </c>
      <c r="AZ9" s="1397" cm="1" t="str">
        <f t="array" ref="AZ9:AZ9">AZ6</f>
        <v>2033</v>
      </c>
      <c r="BA9" s="1397" cm="1" t="str">
        <f t="array" ref="BA9:BA9">BA6</f>
        <v>2034</v>
      </c>
      <c r="BB9" s="1397" cm="1" t="str">
        <f t="array" ref="BB9:BB9">BB6</f>
        <v>2035</v>
      </c>
      <c r="BC9" s="423"/>
      <c r="BD9" s="423"/>
      <c r="BE9" s="375"/>
      <c r="BF9" s="375"/>
      <c r="BG9" s="375"/>
      <c r="BH9" s="375"/>
      <c r="BI9" s="375"/>
      <c r="BJ9" s="423"/>
      <c r="BK9" s="423"/>
      <c r="BL9" s="423"/>
      <c r="BM9" s="423"/>
      <c r="BN9" s="423"/>
      <c r="BO9" s="423"/>
    </row>
    <row customHeight="1" ht="11.25" hidden="1">
      <c r="A10" s="1397" t="s">
        <v>377</v>
      </c>
      <c r="B10" s="1398"/>
      <c r="C10" s="2365"/>
      <c r="D10" s="2365"/>
      <c r="E10" s="2365"/>
      <c r="F10" s="1399"/>
      <c r="G10" s="2365"/>
      <c r="H10" s="2365"/>
      <c r="I10" s="2365"/>
      <c r="J10" s="2365"/>
      <c r="K10" s="2365"/>
      <c r="L10" s="2365"/>
      <c r="M10" s="2365"/>
      <c r="N10" s="2365"/>
      <c r="O10" s="2365"/>
      <c r="P10" s="2365"/>
      <c r="Q10" s="2365"/>
      <c r="R10" s="2365"/>
      <c r="S10" s="2365"/>
      <c r="T10" s="2365"/>
      <c r="U10" s="2365"/>
      <c r="V10" s="2365"/>
      <c r="W10" s="2365"/>
      <c r="X10" s="2365"/>
      <c r="Y10" s="2365"/>
      <c r="Z10" s="2365"/>
      <c r="AA10" s="2365"/>
      <c r="AB10" s="1400"/>
      <c r="AC10" s="1401"/>
      <c r="AD10" s="2365"/>
      <c r="AE10" s="1397" cm="1" t="str">
        <f t="array" ref="AE10:AE10">AE25</f>
        <v>Принято органом регулирования</v>
      </c>
      <c r="AF10" s="1397" cm="1" t="str">
        <f t="array" ref="AF10:AF10">AF25</f>
        <v>Факт по данным организации</v>
      </c>
      <c r="AG10" s="1397" cm="1" t="str">
        <f t="array" ref="AG10:AG10">AG25</f>
        <v>Факт, принятый органом регулирования</v>
      </c>
      <c r="AH10" s="1397" cm="1" t="str">
        <f t="array" ref="AH10:AH10">AH25</f>
        <v>Принято органом регулирования</v>
      </c>
      <c r="AI10" s="1397" cm="1" t="str">
        <f t="array" ref="AI10:AI10">AI25</f>
        <v>Предложение организации</v>
      </c>
      <c r="AJ10" s="1397" cm="1" t="str">
        <f t="array" ref="AJ10:AJ10">AJ25</f>
        <v>Предложение организации</v>
      </c>
      <c r="AK10" s="1397" cm="1" t="str">
        <f t="array" ref="AK10:AK10">AK25</f>
        <v>Предложение организации</v>
      </c>
      <c r="AL10" s="1397" cm="1" t="str">
        <f t="array" ref="AL10:AL10">AL25</f>
        <v>Предложение организации</v>
      </c>
      <c r="AM10" s="1397" cm="1" t="str">
        <f t="array" ref="AM10:AM10">AM25</f>
        <v>Предложение организации</v>
      </c>
      <c r="AN10" s="1397" cm="1" t="str">
        <f t="array" ref="AN10:AN10">AN25</f>
        <v>Предложение организации</v>
      </c>
      <c r="AO10" s="1397" cm="1" t="str">
        <f t="array" ref="AO10:AO10">AO25</f>
        <v>Предложение организации</v>
      </c>
      <c r="AP10" s="1397" cm="1" t="str">
        <f t="array" ref="AP10:AP10">AP25</f>
        <v>Предложение организации</v>
      </c>
      <c r="AQ10" s="1397" cm="1" t="str">
        <f t="array" ref="AQ10:AQ10">AQ25</f>
        <v>Предложение организации</v>
      </c>
      <c r="AR10" s="1397" cm="1" t="str">
        <f t="array" ref="AR10:AR10">AR25</f>
        <v>Предложение организации</v>
      </c>
      <c r="AS10" s="1397" cm="1" t="str">
        <f t="array" ref="AS10:AS10">AS25</f>
        <v>Принято органом регулирования</v>
      </c>
      <c r="AT10" s="1397" cm="1" t="str">
        <f t="array" ref="AT10:AT10">AT25</f>
        <v>Принято органом регулирования</v>
      </c>
      <c r="AU10" s="1397" cm="1" t="str">
        <f t="array" ref="AU10:AU10">AU25</f>
        <v>Принято органом регулирования</v>
      </c>
      <c r="AV10" s="1397" cm="1" t="str">
        <f t="array" ref="AV10:AV10">AV25</f>
        <v>Принято органом регулирования</v>
      </c>
      <c r="AW10" s="1397" cm="1" t="str">
        <f t="array" ref="AW10:AW10">AW25</f>
        <v>Принято органом регулирования</v>
      </c>
      <c r="AX10" s="1397" cm="1" t="str">
        <f t="array" ref="AX10:AX10">AX25</f>
        <v>Принято органом регулирования</v>
      </c>
      <c r="AY10" s="1397" cm="1" t="str">
        <f t="array" ref="AY10:AY10">AY25</f>
        <v>Принято органом регулирования</v>
      </c>
      <c r="AZ10" s="1397" cm="1" t="str">
        <f t="array" ref="AZ10:AZ10">AZ25</f>
        <v>Принято органом регулирования</v>
      </c>
      <c r="BA10" s="1397" cm="1" t="str">
        <f t="array" ref="BA10:BA10">BA25</f>
        <v>Принято органом регулирования</v>
      </c>
      <c r="BB10" s="1397" cm="1" t="str">
        <f t="array" ref="BB10:BB10">BB25</f>
        <v>Принято органом регулирования</v>
      </c>
      <c r="BC10" s="423"/>
      <c r="BD10" s="423"/>
      <c r="BE10" s="375"/>
      <c r="BF10" s="375"/>
      <c r="BG10" s="375"/>
      <c r="BH10" s="375"/>
      <c r="BI10" s="375"/>
      <c r="BJ10" s="423"/>
      <c r="BK10" s="423"/>
      <c r="BL10" s="423"/>
      <c r="BM10" s="423"/>
      <c r="BN10" s="423"/>
      <c r="BO10" s="423"/>
    </row>
    <row customHeight="1" ht="11.25" hidden="1">
      <c r="A11" s="2365"/>
      <c r="B11" s="2365"/>
      <c r="C11" s="2365"/>
      <c r="D11" s="2365"/>
      <c r="E11" s="2365"/>
      <c r="F11" s="2365"/>
      <c r="G11" s="2365"/>
      <c r="H11" s="2365"/>
      <c r="I11" s="2365"/>
      <c r="J11" s="2365"/>
      <c r="K11" s="2365"/>
      <c r="L11" s="2365"/>
      <c r="M11" s="2365"/>
      <c r="N11" s="2365"/>
      <c r="O11" s="2365"/>
      <c r="P11" s="2365"/>
      <c r="Q11" s="2365"/>
      <c r="R11" s="2365"/>
      <c r="S11" s="2365"/>
      <c r="T11" s="2365"/>
      <c r="U11" s="2365"/>
      <c r="V11" s="2365"/>
      <c r="W11" s="2365"/>
      <c r="X11" s="2365"/>
      <c r="Y11" s="2365"/>
      <c r="Z11" s="2365"/>
      <c r="AA11" s="2365"/>
      <c r="AB11" s="2365"/>
      <c r="AC11" s="2365"/>
      <c r="AD11" s="2365"/>
      <c r="AE11" s="2365"/>
      <c r="AF11" s="2365"/>
      <c r="AG11" s="2366"/>
      <c r="AH11" s="2365"/>
      <c r="AI11" s="2365"/>
      <c r="AJ11" s="1325"/>
      <c r="AK11" s="1325"/>
      <c r="AL11" s="1325"/>
      <c r="AM11" s="1325"/>
      <c r="AN11" s="1325"/>
      <c r="AO11" s="1325"/>
      <c r="AP11" s="1325"/>
      <c r="AQ11" s="1325"/>
      <c r="AR11" s="1325"/>
      <c r="AS11" s="2365"/>
      <c r="AT11" s="1325"/>
      <c r="AU11" s="1325"/>
      <c r="AV11" s="1325"/>
      <c r="AW11" s="1325"/>
      <c r="AX11" s="1325"/>
      <c r="AY11" s="1325"/>
      <c r="AZ11" s="1325"/>
      <c r="BA11" s="1325"/>
      <c r="BB11" s="1325"/>
      <c r="BC11" s="423"/>
      <c r="BD11" s="423"/>
      <c r="BE11" s="423"/>
      <c r="BF11" s="423"/>
      <c r="BG11" s="423"/>
      <c r="BH11" s="423"/>
      <c r="BI11" s="423"/>
      <c r="BJ11" s="423"/>
      <c r="BK11" s="423"/>
      <c r="BL11" s="423"/>
      <c r="BM11" s="423"/>
      <c r="BN11" s="423"/>
      <c r="BO11" s="423"/>
    </row>
    <row customHeight="1" ht="11.25" hidden="1">
      <c r="A12" s="2365"/>
      <c r="B12" s="2365"/>
      <c r="C12" s="2365"/>
      <c r="D12" s="2365"/>
      <c r="E12" s="2365"/>
      <c r="F12" s="2365"/>
      <c r="G12" s="2365"/>
      <c r="H12" s="2365"/>
      <c r="I12" s="2365"/>
      <c r="J12" s="2365"/>
      <c r="K12" s="2365"/>
      <c r="L12" s="2365"/>
      <c r="M12" s="2365"/>
      <c r="N12" s="2365"/>
      <c r="O12" s="2365"/>
      <c r="P12" s="2365"/>
      <c r="Q12" s="2365"/>
      <c r="R12" s="2365"/>
      <c r="S12" s="2365"/>
      <c r="T12" s="2365"/>
      <c r="U12" s="2365"/>
      <c r="V12" s="2365"/>
      <c r="W12" s="2365"/>
      <c r="X12" s="2365"/>
      <c r="Y12" s="2365"/>
      <c r="Z12" s="2365"/>
      <c r="AA12" s="2365"/>
      <c r="AB12" s="2365"/>
      <c r="AC12" s="2365"/>
      <c r="AD12" s="2365"/>
      <c r="AE12" s="2365"/>
      <c r="AF12" s="2365"/>
      <c r="AG12" s="2366"/>
      <c r="AH12" s="2365"/>
      <c r="AI12" s="2365"/>
      <c r="AJ12" s="1325"/>
      <c r="AK12" s="1325"/>
      <c r="AL12" s="1325"/>
      <c r="AM12" s="1325"/>
      <c r="AN12" s="1325"/>
      <c r="AO12" s="1325"/>
      <c r="AP12" s="1325"/>
      <c r="AQ12" s="1325"/>
      <c r="AR12" s="1325"/>
      <c r="AS12" s="2365"/>
      <c r="AT12" s="1325"/>
      <c r="AU12" s="1325"/>
      <c r="AV12" s="1325"/>
      <c r="AW12" s="1325"/>
      <c r="AX12" s="1325"/>
      <c r="AY12" s="1325"/>
      <c r="AZ12" s="1325"/>
      <c r="BA12" s="1325"/>
      <c r="BB12" s="1325"/>
      <c r="BC12" s="423"/>
      <c r="BD12" s="423"/>
      <c r="BE12" s="423"/>
      <c r="BF12" s="423"/>
      <c r="BG12" s="423"/>
      <c r="BH12" s="423"/>
      <c r="BI12" s="423"/>
      <c r="BJ12" s="423"/>
      <c r="BK12" s="423"/>
      <c r="BL12" s="423"/>
      <c r="BM12" s="423"/>
      <c r="BN12" s="423"/>
      <c r="BO12" s="423"/>
    </row>
    <row customHeight="1" ht="11.25" hidden="1">
      <c r="A13" s="2365"/>
      <c r="B13" s="2365"/>
      <c r="C13" s="2365"/>
      <c r="D13" s="2365"/>
      <c r="E13" s="2365"/>
      <c r="F13" s="2365"/>
      <c r="G13" s="2365"/>
      <c r="H13" s="2365"/>
      <c r="I13" s="2365"/>
      <c r="J13" s="2365"/>
      <c r="K13" s="2365"/>
      <c r="L13" s="2365"/>
      <c r="M13" s="2365"/>
      <c r="N13" s="2365"/>
      <c r="O13" s="2365"/>
      <c r="P13" s="2365"/>
      <c r="Q13" s="2365"/>
      <c r="R13" s="2365"/>
      <c r="S13" s="2365"/>
      <c r="T13" s="2365"/>
      <c r="U13" s="2365"/>
      <c r="V13" s="2365"/>
      <c r="W13" s="2365"/>
      <c r="X13" s="2365"/>
      <c r="Y13" s="2365"/>
      <c r="Z13" s="2365"/>
      <c r="AA13" s="2365"/>
      <c r="AB13" s="2365"/>
      <c r="AC13" s="2365"/>
      <c r="AD13" s="2365"/>
      <c r="AE13" s="2365"/>
      <c r="AF13" s="2365"/>
      <c r="AG13" s="2366"/>
      <c r="AH13" s="2365"/>
      <c r="AI13" s="2365"/>
      <c r="AJ13" s="1325"/>
      <c r="AK13" s="1325"/>
      <c r="AL13" s="1325"/>
      <c r="AM13" s="1325"/>
      <c r="AN13" s="1325"/>
      <c r="AO13" s="1325"/>
      <c r="AP13" s="1325"/>
      <c r="AQ13" s="1325"/>
      <c r="AR13" s="1325"/>
      <c r="AS13" s="2365"/>
      <c r="AT13" s="1325"/>
      <c r="AU13" s="1325"/>
      <c r="AV13" s="1325"/>
      <c r="AW13" s="1325"/>
      <c r="AX13" s="1325"/>
      <c r="AY13" s="1325"/>
      <c r="AZ13" s="1325"/>
      <c r="BA13" s="1325"/>
      <c r="BB13" s="1325"/>
      <c r="BC13" s="423"/>
      <c r="BD13" s="423"/>
      <c r="BE13" s="423"/>
      <c r="BF13" s="423"/>
      <c r="BG13" s="423"/>
      <c r="BH13" s="423"/>
      <c r="BI13" s="423"/>
      <c r="BJ13" s="423"/>
      <c r="BK13" s="423"/>
      <c r="BL13" s="423"/>
      <c r="BM13" s="423"/>
      <c r="BN13" s="423"/>
      <c r="BO13" s="423"/>
    </row>
    <row customHeight="1" ht="11.25" hidden="1">
      <c r="A14" s="2365"/>
      <c r="B14" s="2365"/>
      <c r="C14" s="2365"/>
      <c r="D14" s="2365"/>
      <c r="E14" s="2365"/>
      <c r="F14" s="2365"/>
      <c r="G14" s="2365"/>
      <c r="H14" s="2365"/>
      <c r="I14" s="2365"/>
      <c r="J14" s="2365"/>
      <c r="K14" s="2365"/>
      <c r="L14" s="2365"/>
      <c r="M14" s="2365"/>
      <c r="N14" s="2365"/>
      <c r="O14" s="2365"/>
      <c r="P14" s="2365"/>
      <c r="Q14" s="2365"/>
      <c r="R14" s="2365"/>
      <c r="S14" s="2365"/>
      <c r="T14" s="2365"/>
      <c r="U14" s="2365"/>
      <c r="V14" s="2365"/>
      <c r="W14" s="2365"/>
      <c r="X14" s="2365"/>
      <c r="Y14" s="2365"/>
      <c r="Z14" s="2365"/>
      <c r="AA14" s="2365"/>
      <c r="AB14" s="2365"/>
      <c r="AC14" s="2365"/>
      <c r="AD14" s="2365"/>
      <c r="AE14" s="2365"/>
      <c r="AF14" s="2365"/>
      <c r="AG14" s="2366"/>
      <c r="AH14" s="2365"/>
      <c r="AI14" s="2365"/>
      <c r="AJ14" s="1325"/>
      <c r="AK14" s="1325"/>
      <c r="AL14" s="1325"/>
      <c r="AM14" s="1325"/>
      <c r="AN14" s="1325"/>
      <c r="AO14" s="1325"/>
      <c r="AP14" s="1325"/>
      <c r="AQ14" s="1325"/>
      <c r="AR14" s="1325"/>
      <c r="AS14" s="2365"/>
      <c r="AT14" s="1325"/>
      <c r="AU14" s="1325"/>
      <c r="AV14" s="1325"/>
      <c r="AW14" s="1325"/>
      <c r="AX14" s="1325"/>
      <c r="AY14" s="1325"/>
      <c r="AZ14" s="1325"/>
      <c r="BA14" s="1325"/>
      <c r="BB14" s="1325"/>
      <c r="BC14" s="423"/>
      <c r="BD14" s="423"/>
      <c r="BE14" s="423"/>
      <c r="BF14" s="423"/>
      <c r="BG14" s="423"/>
      <c r="BH14" s="423"/>
      <c r="BI14" s="423"/>
      <c r="BJ14" s="423"/>
      <c r="BK14" s="423"/>
      <c r="BL14" s="423"/>
      <c r="BM14" s="423"/>
      <c r="BN14" s="423"/>
      <c r="BO14" s="423"/>
    </row>
    <row customHeight="1" ht="11.25" hidden="1">
      <c r="A15" s="2365"/>
      <c r="B15" s="2365"/>
      <c r="C15" s="2365"/>
      <c r="D15" s="2365"/>
      <c r="E15" s="2365"/>
      <c r="F15" s="2365"/>
      <c r="G15" s="2365"/>
      <c r="H15" s="2365"/>
      <c r="I15" s="2365"/>
      <c r="J15" s="2365"/>
      <c r="K15" s="2365"/>
      <c r="L15" s="2365"/>
      <c r="M15" s="2365"/>
      <c r="N15" s="2365"/>
      <c r="O15" s="2365"/>
      <c r="P15" s="2365"/>
      <c r="Q15" s="2365"/>
      <c r="R15" s="2365"/>
      <c r="S15" s="2365"/>
      <c r="T15" s="2365"/>
      <c r="U15" s="2365"/>
      <c r="V15" s="2365"/>
      <c r="W15" s="2365"/>
      <c r="X15" s="2365"/>
      <c r="Y15" s="2365"/>
      <c r="Z15" s="2365"/>
      <c r="AA15" s="2365"/>
      <c r="AB15" s="2365"/>
      <c r="AC15" s="2365"/>
      <c r="AD15" s="2365"/>
      <c r="AE15" s="2365"/>
      <c r="AF15" s="2365"/>
      <c r="AG15" s="2366"/>
      <c r="AH15" s="2365"/>
      <c r="AI15" s="2365"/>
      <c r="AJ15" s="1325"/>
      <c r="AK15" s="1325"/>
      <c r="AL15" s="1325"/>
      <c r="AM15" s="1325"/>
      <c r="AN15" s="1325"/>
      <c r="AO15" s="1325"/>
      <c r="AP15" s="1325"/>
      <c r="AQ15" s="1325"/>
      <c r="AR15" s="1325"/>
      <c r="AS15" s="2365"/>
      <c r="AT15" s="1325"/>
      <c r="AU15" s="1325"/>
      <c r="AV15" s="1325"/>
      <c r="AW15" s="1325"/>
      <c r="AX15" s="1325"/>
      <c r="AY15" s="1325"/>
      <c r="AZ15" s="1325"/>
      <c r="BA15" s="1325"/>
      <c r="BB15" s="1325"/>
      <c r="BC15" s="423"/>
      <c r="BD15" s="423"/>
      <c r="BE15" s="423"/>
      <c r="BF15" s="423"/>
      <c r="BG15" s="423"/>
      <c r="BH15" s="423"/>
      <c r="BI15" s="423"/>
      <c r="BJ15" s="423"/>
      <c r="BK15" s="423"/>
      <c r="BL15" s="423"/>
      <c r="BM15" s="423"/>
      <c r="BN15" s="423"/>
      <c r="BO15" s="423"/>
    </row>
    <row customHeight="1" ht="11.25" hidden="1">
      <c r="A16" s="2365"/>
      <c r="B16" s="2365"/>
      <c r="C16" s="2365"/>
      <c r="D16" s="2365"/>
      <c r="E16" s="2365"/>
      <c r="F16" s="2365"/>
      <c r="G16" s="2365"/>
      <c r="H16" s="2365"/>
      <c r="I16" s="2365"/>
      <c r="J16" s="2365"/>
      <c r="K16" s="2365"/>
      <c r="L16" s="2365"/>
      <c r="M16" s="2365"/>
      <c r="N16" s="2365"/>
      <c r="O16" s="2365"/>
      <c r="P16" s="2365"/>
      <c r="Q16" s="2365"/>
      <c r="R16" s="2365"/>
      <c r="S16" s="2365"/>
      <c r="T16" s="2365"/>
      <c r="U16" s="2365"/>
      <c r="V16" s="2365"/>
      <c r="W16" s="2365"/>
      <c r="X16" s="2365"/>
      <c r="Y16" s="2365"/>
      <c r="Z16" s="2365"/>
      <c r="AA16" s="2365"/>
      <c r="AB16" s="2365"/>
      <c r="AC16" s="2365"/>
      <c r="AD16" s="2365"/>
      <c r="AE16" s="2365"/>
      <c r="AF16" s="2365"/>
      <c r="AG16" s="2366"/>
      <c r="AH16" s="2365"/>
      <c r="AI16" s="2365"/>
      <c r="AJ16" s="1325"/>
      <c r="AK16" s="1325"/>
      <c r="AL16" s="1325"/>
      <c r="AM16" s="1325"/>
      <c r="AN16" s="1325"/>
      <c r="AO16" s="1325"/>
      <c r="AP16" s="1325"/>
      <c r="AQ16" s="1325"/>
      <c r="AR16" s="1325"/>
      <c r="AS16" s="2365"/>
      <c r="AT16" s="1325"/>
      <c r="AU16" s="1325"/>
      <c r="AV16" s="1325"/>
      <c r="AW16" s="1325"/>
      <c r="AX16" s="1325"/>
      <c r="AY16" s="1325"/>
      <c r="AZ16" s="1325"/>
      <c r="BA16" s="1325"/>
      <c r="BB16" s="1325"/>
      <c r="BC16" s="423"/>
      <c r="BD16" s="423"/>
      <c r="BE16" s="423"/>
      <c r="BF16" s="423"/>
      <c r="BG16" s="423"/>
      <c r="BH16" s="423"/>
      <c r="BI16" s="423"/>
      <c r="BJ16" s="423"/>
      <c r="BK16" s="423"/>
      <c r="BL16" s="423"/>
      <c r="BM16" s="423"/>
      <c r="BN16" s="423"/>
      <c r="BO16" s="423"/>
    </row>
    <row customHeight="1" ht="11.25" hidden="1">
      <c r="A17" s="2365"/>
      <c r="B17" s="2365"/>
      <c r="C17" s="2365"/>
      <c r="D17" s="2365"/>
      <c r="E17" s="2365"/>
      <c r="F17" s="2365"/>
      <c r="G17" s="2365"/>
      <c r="H17" s="2365"/>
      <c r="I17" s="2365"/>
      <c r="J17" s="2365"/>
      <c r="K17" s="2365"/>
      <c r="L17" s="2365"/>
      <c r="M17" s="2365"/>
      <c r="N17" s="2365"/>
      <c r="O17" s="2365"/>
      <c r="P17" s="2365"/>
      <c r="Q17" s="2365"/>
      <c r="R17" s="2365"/>
      <c r="S17" s="2365"/>
      <c r="T17" s="2365"/>
      <c r="U17" s="2365"/>
      <c r="V17" s="2365"/>
      <c r="W17" s="2365"/>
      <c r="X17" s="2365"/>
      <c r="Y17" s="2365"/>
      <c r="Z17" s="2365"/>
      <c r="AA17" s="2365"/>
      <c r="AB17" s="2365"/>
      <c r="AC17" s="2365"/>
      <c r="AD17" s="2365"/>
      <c r="AE17" s="2365"/>
      <c r="AF17" s="2365"/>
      <c r="AG17" s="2366"/>
      <c r="AH17" s="2365"/>
      <c r="AI17" s="2365"/>
      <c r="AJ17" s="1325"/>
      <c r="AK17" s="1325"/>
      <c r="AL17" s="1325"/>
      <c r="AM17" s="1325"/>
      <c r="AN17" s="1325"/>
      <c r="AO17" s="1325"/>
      <c r="AP17" s="1325"/>
      <c r="AQ17" s="1325"/>
      <c r="AR17" s="1325"/>
      <c r="AS17" s="2365"/>
      <c r="AT17" s="1325"/>
      <c r="AU17" s="1325"/>
      <c r="AV17" s="1325"/>
      <c r="AW17" s="1325"/>
      <c r="AX17" s="1325"/>
      <c r="AY17" s="1325"/>
      <c r="AZ17" s="1325"/>
      <c r="BA17" s="1325"/>
      <c r="BB17" s="1325"/>
      <c r="BC17" s="423"/>
      <c r="BD17" s="423"/>
      <c r="BE17" s="423"/>
      <c r="BF17" s="423"/>
      <c r="BG17" s="423"/>
      <c r="BH17" s="423"/>
      <c r="BI17" s="423"/>
      <c r="BJ17" s="423"/>
      <c r="BK17" s="423"/>
      <c r="BL17" s="423"/>
      <c r="BM17" s="423"/>
      <c r="BN17" s="423"/>
      <c r="BO17" s="423"/>
    </row>
    <row customHeight="1" ht="11.25" hidden="1">
      <c r="A18" s="2365"/>
      <c r="B18" s="2365"/>
      <c r="C18" s="2365"/>
      <c r="D18" s="2365"/>
      <c r="E18" s="2365"/>
      <c r="F18" s="2365"/>
      <c r="G18" s="2365"/>
      <c r="H18" s="2365"/>
      <c r="I18" s="2365"/>
      <c r="J18" s="2365"/>
      <c r="K18" s="2365"/>
      <c r="L18" s="2365"/>
      <c r="M18" s="2365"/>
      <c r="N18" s="2365"/>
      <c r="O18" s="2365"/>
      <c r="P18" s="2365"/>
      <c r="Q18" s="2365"/>
      <c r="R18" s="2365"/>
      <c r="S18" s="2365"/>
      <c r="T18" s="2365"/>
      <c r="U18" s="2365"/>
      <c r="V18" s="2365"/>
      <c r="W18" s="2365"/>
      <c r="X18" s="2365"/>
      <c r="Y18" s="2365"/>
      <c r="Z18" s="2365"/>
      <c r="AA18" s="2365"/>
      <c r="AB18" s="2365"/>
      <c r="AC18" s="2365"/>
      <c r="AD18" s="2365"/>
      <c r="AE18" s="2365"/>
      <c r="AF18" s="2365"/>
      <c r="AG18" s="2366"/>
      <c r="AH18" s="2365"/>
      <c r="AI18" s="2365"/>
      <c r="AJ18" s="1325"/>
      <c r="AK18" s="1325"/>
      <c r="AL18" s="1325"/>
      <c r="AM18" s="1325"/>
      <c r="AN18" s="1325"/>
      <c r="AO18" s="1325"/>
      <c r="AP18" s="1325"/>
      <c r="AQ18" s="1325"/>
      <c r="AR18" s="1325"/>
      <c r="AS18" s="2365"/>
      <c r="AT18" s="1325"/>
      <c r="AU18" s="1325"/>
      <c r="AV18" s="1325"/>
      <c r="AW18" s="1325"/>
      <c r="AX18" s="1325"/>
      <c r="AY18" s="1325"/>
      <c r="AZ18" s="1325"/>
      <c r="BA18" s="1325"/>
      <c r="BB18" s="1325"/>
      <c r="BC18" s="423"/>
      <c r="BD18" s="423"/>
      <c r="BE18" s="423"/>
      <c r="BF18" s="423"/>
      <c r="BG18" s="423"/>
      <c r="BH18" s="423"/>
      <c r="BI18" s="423"/>
      <c r="BJ18" s="423"/>
      <c r="BK18" s="423"/>
      <c r="BL18" s="423"/>
      <c r="BM18" s="423"/>
      <c r="BN18" s="423"/>
      <c r="BO18" s="423"/>
    </row>
    <row customHeight="1" ht="11.25" hidden="1">
      <c r="A19" s="2365"/>
      <c r="B19" s="2365"/>
      <c r="C19" s="2365"/>
      <c r="D19" s="2365"/>
      <c r="E19" s="2365"/>
      <c r="F19" s="2365"/>
      <c r="G19" s="2365"/>
      <c r="H19" s="2365"/>
      <c r="I19" s="2365"/>
      <c r="J19" s="2365"/>
      <c r="K19" s="2365"/>
      <c r="L19" s="2365"/>
      <c r="M19" s="2365"/>
      <c r="N19" s="2365"/>
      <c r="O19" s="2365"/>
      <c r="P19" s="2365"/>
      <c r="Q19" s="2365"/>
      <c r="R19" s="2365"/>
      <c r="S19" s="2365"/>
      <c r="T19" s="2365"/>
      <c r="U19" s="2365"/>
      <c r="V19" s="2365"/>
      <c r="W19" s="2365"/>
      <c r="X19" s="2365"/>
      <c r="Y19" s="2365"/>
      <c r="Z19" s="2365"/>
      <c r="AA19" s="2365"/>
      <c r="AB19" s="2365"/>
      <c r="AC19" s="2365"/>
      <c r="AD19" s="2365"/>
      <c r="AE19" s="2365"/>
      <c r="AF19" s="2365"/>
      <c r="AG19" s="2366"/>
      <c r="AH19" s="2365"/>
      <c r="AI19" s="2365"/>
      <c r="AJ19" s="1325"/>
      <c r="AK19" s="1325"/>
      <c r="AL19" s="1325"/>
      <c r="AM19" s="1325"/>
      <c r="AN19" s="1325"/>
      <c r="AO19" s="1325"/>
      <c r="AP19" s="1325"/>
      <c r="AQ19" s="1325"/>
      <c r="AR19" s="1325"/>
      <c r="AS19" s="2365"/>
      <c r="AT19" s="1325"/>
      <c r="AU19" s="1325"/>
      <c r="AV19" s="1325"/>
      <c r="AW19" s="1325"/>
      <c r="AX19" s="1325"/>
      <c r="AY19" s="1325"/>
      <c r="AZ19" s="1325"/>
      <c r="BA19" s="1325"/>
      <c r="BB19" s="1325"/>
      <c r="BC19" s="423"/>
      <c r="BD19" s="423"/>
      <c r="BE19" s="423"/>
      <c r="BF19" s="423"/>
      <c r="BG19" s="423"/>
      <c r="BH19" s="423"/>
      <c r="BI19" s="423"/>
      <c r="BJ19" s="423"/>
      <c r="BK19" s="423"/>
      <c r="BL19" s="423"/>
      <c r="BM19" s="423"/>
      <c r="BN19" s="423"/>
      <c r="BO19" s="423"/>
    </row>
    <row customHeight="1" ht="11.25" hidden="1">
      <c r="A20" s="2365"/>
      <c r="B20" s="2365"/>
      <c r="C20" s="2365"/>
      <c r="D20" s="2365"/>
      <c r="E20" s="2365"/>
      <c r="F20" s="2365"/>
      <c r="G20" s="2365"/>
      <c r="H20" s="2365"/>
      <c r="I20" s="2365"/>
      <c r="J20" s="2365"/>
      <c r="K20" s="2365"/>
      <c r="L20" s="2365"/>
      <c r="M20" s="2365"/>
      <c r="N20" s="2365"/>
      <c r="O20" s="2365"/>
      <c r="P20" s="2365"/>
      <c r="Q20" s="2365"/>
      <c r="R20" s="2365"/>
      <c r="S20" s="2365"/>
      <c r="T20" s="2365"/>
      <c r="U20" s="2365"/>
      <c r="V20" s="2365"/>
      <c r="W20" s="2365"/>
      <c r="X20" s="2365"/>
      <c r="Y20" s="2365"/>
      <c r="Z20" s="2365"/>
      <c r="AA20" s="2365"/>
      <c r="AB20" s="2365"/>
      <c r="AC20" s="2365"/>
      <c r="AD20" s="2365"/>
      <c r="AE20" s="2365"/>
      <c r="AF20" s="2365"/>
      <c r="AG20" s="2366"/>
      <c r="AH20" s="2365"/>
      <c r="AI20" s="2365"/>
      <c r="AJ20" s="1325"/>
      <c r="AK20" s="1325"/>
      <c r="AL20" s="1325"/>
      <c r="AM20" s="1325"/>
      <c r="AN20" s="1325"/>
      <c r="AO20" s="1325"/>
      <c r="AP20" s="1325"/>
      <c r="AQ20" s="1325"/>
      <c r="AR20" s="1325"/>
      <c r="AS20" s="2365"/>
      <c r="AT20" s="1325"/>
      <c r="AU20" s="1325"/>
      <c r="AV20" s="1325"/>
      <c r="AW20" s="1325"/>
      <c r="AX20" s="1325"/>
      <c r="AY20" s="1325"/>
      <c r="AZ20" s="1325"/>
      <c r="BA20" s="1325"/>
      <c r="BB20" s="1325"/>
      <c r="BC20" s="423"/>
      <c r="BD20" s="423"/>
      <c r="BE20" s="423"/>
      <c r="BF20" s="423"/>
      <c r="BG20" s="423"/>
      <c r="BH20" s="423"/>
      <c r="BI20" s="423"/>
      <c r="BJ20" s="423"/>
      <c r="BK20" s="423"/>
      <c r="BL20" s="423"/>
      <c r="BM20" s="423"/>
      <c r="BN20" s="423"/>
      <c r="BO20" s="423"/>
    </row>
    <row customHeight="1" ht="14.625">
      <c r="A21" s="2365"/>
      <c r="B21" s="2365"/>
      <c r="C21" s="2365"/>
      <c r="D21" s="2365"/>
      <c r="E21" s="1393">
        <v>15</v>
      </c>
      <c r="F21" s="2365"/>
      <c r="G21" s="2365"/>
      <c r="H21" s="2365"/>
      <c r="I21" s="2365"/>
      <c r="J21" s="2365"/>
      <c r="K21" s="2365"/>
      <c r="L21" s="2365"/>
      <c r="M21" s="2365"/>
      <c r="N21" s="2365"/>
      <c r="O21" s="2365"/>
      <c r="P21" s="2365"/>
      <c r="Q21" s="2365"/>
      <c r="R21" s="2365"/>
      <c r="S21" s="2365"/>
      <c r="T21" s="2365"/>
      <c r="U21" s="2365"/>
      <c r="V21" s="2365"/>
      <c r="W21" s="2365"/>
      <c r="X21" s="2365"/>
      <c r="Y21" s="2365"/>
      <c r="Z21" s="2365"/>
      <c r="AA21" s="1402"/>
      <c r="AB21" s="2365"/>
      <c r="AC21" s="1403" cm="1" t="str">
        <f t="array" ref="AC21:AC21">tpl_title</f>
        <v>Кемеровская область / 2026 / ОАО «СКЭК» (ИНН:4205153492, КПП:420501001) / ДПР: 2024-2028</v>
      </c>
      <c r="AD21" s="1404"/>
      <c r="AE21" s="1405"/>
      <c r="AF21" s="2365"/>
      <c r="AG21" s="2366"/>
      <c r="AH21" s="2365"/>
      <c r="AI21" s="2365"/>
      <c r="AJ21" s="1325"/>
      <c r="AK21" s="1325"/>
      <c r="AL21" s="1325"/>
      <c r="AM21" s="1325"/>
      <c r="AN21" s="1325"/>
      <c r="AO21" s="1325"/>
      <c r="AP21" s="1325"/>
      <c r="AQ21" s="1325"/>
      <c r="AR21" s="1325"/>
      <c r="AS21" s="2365"/>
      <c r="AT21" s="1325"/>
      <c r="AU21" s="1325"/>
      <c r="AV21" s="1325"/>
      <c r="AW21" s="1325"/>
      <c r="AX21" s="1325"/>
      <c r="AY21" s="1325"/>
      <c r="AZ21" s="1325"/>
      <c r="BA21" s="1325"/>
      <c r="BB21" s="1325"/>
      <c r="BC21" s="423"/>
      <c r="BD21" s="423"/>
      <c r="BE21" s="423"/>
      <c r="BF21" s="423"/>
      <c r="BG21" s="423"/>
      <c r="BH21" s="423"/>
      <c r="BI21" s="423"/>
      <c r="BJ21" s="423"/>
      <c r="BK21" s="423"/>
      <c r="BL21" s="423"/>
      <c r="BM21" s="423"/>
      <c r="BN21" s="423"/>
      <c r="BO21" s="423"/>
    </row>
    <row customHeight="1" ht="21.9375">
      <c r="A22" s="2365"/>
      <c r="B22" s="2365"/>
      <c r="C22" s="2365"/>
      <c r="D22" s="2365"/>
      <c r="E22" s="1393">
        <v>22.5</v>
      </c>
      <c r="F22" s="2365"/>
      <c r="G22" s="2365"/>
      <c r="H22" s="2365"/>
      <c r="I22" s="2365"/>
      <c r="J22" s="2365"/>
      <c r="K22" s="2365"/>
      <c r="L22" s="2365"/>
      <c r="M22" s="2365"/>
      <c r="N22" s="2365"/>
      <c r="O22" s="2365"/>
      <c r="P22" s="2365"/>
      <c r="Q22" s="2365"/>
      <c r="R22" s="2365"/>
      <c r="S22" s="2365"/>
      <c r="T22" s="2365"/>
      <c r="U22" s="2365"/>
      <c r="V22" s="2365"/>
      <c r="W22" s="2365"/>
      <c r="X22" s="2365"/>
      <c r="Y22" s="2365"/>
      <c r="Z22" s="2365"/>
      <c r="AA22" s="2365"/>
      <c r="AB22" s="1406" t="s">
        <v>578</v>
      </c>
      <c r="AC22" s="1407"/>
      <c r="AD22" s="1407"/>
      <c r="AE22" s="1407"/>
      <c r="AF22" s="1407"/>
      <c r="AG22" s="1408"/>
      <c r="AH22" s="1408"/>
      <c r="AI22" s="1408"/>
      <c r="AJ22" s="1408"/>
      <c r="AK22" s="1408"/>
      <c r="AL22" s="1408"/>
      <c r="AM22" s="1408"/>
      <c r="AN22" s="1408"/>
      <c r="AO22" s="1408"/>
      <c r="AP22" s="1408"/>
      <c r="AQ22" s="1408"/>
      <c r="AR22" s="1408"/>
      <c r="AS22" s="1408"/>
      <c r="AT22" s="1408"/>
      <c r="AU22" s="1408"/>
      <c r="AV22" s="1408"/>
      <c r="AW22" s="1408"/>
      <c r="AX22" s="1408"/>
      <c r="AY22" s="1408"/>
      <c r="AZ22" s="1408"/>
      <c r="BA22" s="1408"/>
      <c r="BB22" s="1408"/>
      <c r="BC22" s="423"/>
      <c r="BD22" s="423"/>
      <c r="BE22" s="423"/>
      <c r="BF22" s="423"/>
      <c r="BG22" s="423"/>
      <c r="BH22" s="423"/>
      <c r="BI22" s="423"/>
      <c r="BJ22" s="423"/>
      <c r="BK22" s="423"/>
      <c r="BL22" s="423"/>
      <c r="BM22" s="423"/>
      <c r="BN22" s="423"/>
      <c r="BO22" s="423"/>
    </row>
    <row customHeight="1" ht="6.519886363636363">
      <c r="A23" s="2365"/>
      <c r="B23" s="1392"/>
      <c r="C23" s="2365"/>
      <c r="D23" s="2365"/>
      <c r="E23" s="1409">
        <v>15</v>
      </c>
      <c r="F23" s="1387"/>
      <c r="G23" s="2365"/>
      <c r="H23" s="2365"/>
      <c r="I23" s="2365"/>
      <c r="J23" s="2365"/>
      <c r="K23" s="2365"/>
      <c r="L23" s="2365"/>
      <c r="M23" s="2365"/>
      <c r="N23" s="2365"/>
      <c r="O23" s="2365"/>
      <c r="P23" s="2365"/>
      <c r="Q23" s="2365"/>
      <c r="R23" s="2365"/>
      <c r="S23" s="2365"/>
      <c r="T23" s="2365"/>
      <c r="U23" s="2365"/>
      <c r="V23" s="2365"/>
      <c r="W23" s="2365"/>
      <c r="X23" s="2365"/>
      <c r="Y23" s="2365"/>
      <c r="Z23" s="2365"/>
      <c r="AA23" s="1392"/>
      <c r="AB23" s="1410"/>
      <c r="AC23" s="1411"/>
      <c r="AD23" s="1412"/>
      <c r="AE23" s="1413"/>
      <c r="AF23" s="2365"/>
      <c r="AG23" s="2366"/>
      <c r="AH23" s="2365"/>
      <c r="AI23" s="2365"/>
      <c r="AJ23" s="1325"/>
      <c r="AK23" s="1325"/>
      <c r="AL23" s="1325"/>
      <c r="AM23" s="1325"/>
      <c r="AN23" s="1325"/>
      <c r="AO23" s="1325"/>
      <c r="AP23" s="1325"/>
      <c r="AQ23" s="1325"/>
      <c r="AR23" s="1325"/>
      <c r="AS23" s="2365"/>
      <c r="AT23" s="1325"/>
      <c r="AU23" s="1325"/>
      <c r="AV23" s="1325"/>
      <c r="AW23" s="1325"/>
      <c r="AX23" s="1325"/>
      <c r="AY23" s="1325"/>
      <c r="AZ23" s="1325"/>
      <c r="BA23" s="1325"/>
      <c r="BB23" s="1325"/>
      <c r="BC23" s="423"/>
      <c r="BD23" s="1187"/>
      <c r="BE23" s="375"/>
      <c r="BF23" s="375"/>
      <c r="BG23" s="375"/>
      <c r="BH23" s="375"/>
      <c r="BI23" s="375"/>
      <c r="BJ23" s="423"/>
      <c r="BK23" s="423"/>
      <c r="BL23" s="423"/>
      <c r="BM23" s="423"/>
      <c r="BN23" s="423"/>
      <c r="BO23" s="423"/>
    </row>
    <row customHeight="1" ht="14.625">
      <c r="A24" s="2365"/>
      <c r="B24" s="2365"/>
      <c r="C24" s="2365"/>
      <c r="D24" s="2365"/>
      <c r="E24" s="1393">
        <v>15</v>
      </c>
      <c r="F24" s="2365"/>
      <c r="G24" s="2365"/>
      <c r="H24" s="2365"/>
      <c r="I24" s="2365"/>
      <c r="J24" s="2365"/>
      <c r="K24" s="2365"/>
      <c r="L24" s="2365"/>
      <c r="M24" s="2365"/>
      <c r="N24" s="2365"/>
      <c r="O24" s="2365"/>
      <c r="P24" s="2365"/>
      <c r="Q24" s="2365"/>
      <c r="R24" s="2365"/>
      <c r="S24" s="2365"/>
      <c r="T24" s="2365"/>
      <c r="U24" s="2365"/>
      <c r="V24" s="2365"/>
      <c r="W24" s="2365"/>
      <c r="X24" s="2365"/>
      <c r="Y24" s="2365"/>
      <c r="Z24" s="2365"/>
      <c r="AA24" s="2365"/>
      <c r="AB24" s="1542" t="s">
        <v>22</v>
      </c>
      <c r="AC24" s="1542" t="s">
        <v>554</v>
      </c>
      <c r="AD24" s="1542" t="s">
        <v>381</v>
      </c>
      <c r="AE24" s="1414" t="str">
        <f>god-2&amp;" год"</f>
        <v>2024 год</v>
      </c>
      <c r="AF24" s="1415" t="str">
        <f>god-2&amp;" год"</f>
        <v>2024 год</v>
      </c>
      <c r="AG24" s="1542" t="str">
        <f>god-2&amp;" год"</f>
        <v>2024 год</v>
      </c>
      <c r="AH24" s="1414" t="str">
        <f>god-1&amp;" год"</f>
        <v>2025 год</v>
      </c>
      <c r="AI24" s="1415" t="str">
        <f>god&amp;" год"</f>
        <v>2026 год</v>
      </c>
      <c r="AJ24" s="1415" t="str">
        <f>god+1&amp;" год"</f>
        <v>2027 год</v>
      </c>
      <c r="AK24" s="1415" t="str">
        <f>god+2&amp;" год"</f>
        <v>2028 год</v>
      </c>
      <c r="AL24" s="1415" t="str">
        <f>god+3&amp;" год"</f>
        <v>2029 год</v>
      </c>
      <c r="AM24" s="1415" t="str">
        <f>god+4&amp;" год"</f>
        <v>2030 год</v>
      </c>
      <c r="AN24" s="1415" t="str">
        <f>god+5&amp;" год"</f>
        <v>2031 год</v>
      </c>
      <c r="AO24" s="1415" t="str">
        <f>god+6&amp;" год"</f>
        <v>2032 год</v>
      </c>
      <c r="AP24" s="1415" t="str">
        <f>god+7&amp;" год"</f>
        <v>2033 год</v>
      </c>
      <c r="AQ24" s="1415" t="str">
        <f>god+8&amp;" год"</f>
        <v>2034 год</v>
      </c>
      <c r="AR24" s="1415" t="str">
        <f>god+9&amp;" год"</f>
        <v>2035 год</v>
      </c>
      <c r="AS24" s="1414" t="str">
        <f>god&amp;" год"</f>
        <v>2026 год</v>
      </c>
      <c r="AT24" s="1414" t="str">
        <f>god+1&amp;" год"</f>
        <v>2027 год</v>
      </c>
      <c r="AU24" s="1414" t="str">
        <f>god+2&amp;" год"</f>
        <v>2028 год</v>
      </c>
      <c r="AV24" s="1414" t="str">
        <f>god+3&amp;" год"</f>
        <v>2029 год</v>
      </c>
      <c r="AW24" s="1414" t="str">
        <f>god+4&amp;" год"</f>
        <v>2030 год</v>
      </c>
      <c r="AX24" s="1414" t="str">
        <f>god+5&amp;" год"</f>
        <v>2031 год</v>
      </c>
      <c r="AY24" s="1414" t="str">
        <f>god+6&amp;" год"</f>
        <v>2032 год</v>
      </c>
      <c r="AZ24" s="1414" t="str">
        <f>god+7&amp;" год"</f>
        <v>2033 год</v>
      </c>
      <c r="BA24" s="1414" t="str">
        <f>god+8&amp;" год"</f>
        <v>2034 год</v>
      </c>
      <c r="BB24" s="1414" t="str">
        <f>god+9&amp;" год"</f>
        <v>2035 год</v>
      </c>
      <c r="BC24" s="423"/>
      <c r="BD24" s="423"/>
      <c r="BE24" s="423"/>
      <c r="BF24" s="423"/>
      <c r="BG24" s="423"/>
      <c r="BH24" s="423"/>
      <c r="BI24" s="423"/>
      <c r="BJ24" s="423"/>
      <c r="BK24" s="423"/>
      <c r="BL24" s="423"/>
      <c r="BM24" s="423"/>
      <c r="BN24" s="423"/>
      <c r="BO24" s="423"/>
    </row>
    <row customHeight="1" ht="33.79261363636363">
      <c r="A25" s="2365"/>
      <c r="B25" s="2365"/>
      <c r="C25" s="2365"/>
      <c r="D25" s="2365"/>
      <c r="E25" s="1393">
        <v>69</v>
      </c>
      <c r="F25" s="2365"/>
      <c r="G25" s="2365"/>
      <c r="H25" s="2365"/>
      <c r="I25" s="2365"/>
      <c r="J25" s="2365"/>
      <c r="K25" s="2365"/>
      <c r="L25" s="2365"/>
      <c r="M25" s="2365"/>
      <c r="N25" s="2365"/>
      <c r="O25" s="2365"/>
      <c r="P25" s="2365"/>
      <c r="Q25" s="2365"/>
      <c r="R25" s="2365"/>
      <c r="S25" s="2365"/>
      <c r="T25" s="2365"/>
      <c r="U25" s="2365"/>
      <c r="V25" s="2365"/>
      <c r="W25" s="2365"/>
      <c r="X25" s="2365"/>
      <c r="Y25" s="2365"/>
      <c r="Z25" s="2365"/>
      <c r="AA25" s="2365"/>
      <c r="AB25" s="1542"/>
      <c r="AC25" s="1542"/>
      <c r="AD25" s="1542"/>
      <c r="AE25" s="1416" t="s">
        <v>373</v>
      </c>
      <c r="AF25" s="1417" t="s">
        <v>555</v>
      </c>
      <c r="AG25" s="1542" t="s">
        <v>556</v>
      </c>
      <c r="AH25" s="1414" t="s">
        <v>373</v>
      </c>
      <c r="AI25" s="1417" t="s">
        <v>374</v>
      </c>
      <c r="AJ25" s="1417" t="s">
        <v>374</v>
      </c>
      <c r="AK25" s="1417" t="s">
        <v>374</v>
      </c>
      <c r="AL25" s="1417" t="s">
        <v>374</v>
      </c>
      <c r="AM25" s="1417" t="s">
        <v>374</v>
      </c>
      <c r="AN25" s="1417" t="s">
        <v>374</v>
      </c>
      <c r="AO25" s="1417" t="s">
        <v>374</v>
      </c>
      <c r="AP25" s="1417" t="s">
        <v>374</v>
      </c>
      <c r="AQ25" s="1417" t="s">
        <v>374</v>
      </c>
      <c r="AR25" s="1417" t="s">
        <v>374</v>
      </c>
      <c r="AS25" s="1414" t="s">
        <v>373</v>
      </c>
      <c r="AT25" s="1414" t="s">
        <v>373</v>
      </c>
      <c r="AU25" s="1414" t="s">
        <v>373</v>
      </c>
      <c r="AV25" s="1414" t="s">
        <v>373</v>
      </c>
      <c r="AW25" s="1414" t="s">
        <v>373</v>
      </c>
      <c r="AX25" s="1414" t="s">
        <v>373</v>
      </c>
      <c r="AY25" s="1414" t="s">
        <v>373</v>
      </c>
      <c r="AZ25" s="1414" t="s">
        <v>373</v>
      </c>
      <c r="BA25" s="1414" t="s">
        <v>373</v>
      </c>
      <c r="BB25" s="1414" t="s">
        <v>373</v>
      </c>
      <c r="BC25" s="423"/>
      <c r="BD25" s="423"/>
      <c r="BE25" s="423"/>
      <c r="BF25" s="423"/>
      <c r="BG25" s="423"/>
      <c r="BH25" s="423"/>
      <c r="BI25" s="423"/>
      <c r="BJ25" s="423"/>
      <c r="BK25" s="423"/>
      <c r="BL25" s="423"/>
      <c r="BM25" s="423"/>
      <c r="BN25" s="423"/>
      <c r="BO25" s="423"/>
    </row>
    <row s="1540" customFormat="1" customHeight="1" ht="11.25" hidden="1">
      <c r="A26" s="1418"/>
      <c r="B26" s="1419"/>
      <c r="C26" s="1418"/>
      <c r="D26" s="1418"/>
      <c r="E26" s="1420">
        <v>0</v>
      </c>
      <c r="F26" s="2364"/>
      <c r="G26" s="1418"/>
      <c r="H26" s="1418"/>
      <c r="I26" s="1418"/>
      <c r="J26" s="1418"/>
      <c r="K26" s="1418"/>
      <c r="L26" s="1418"/>
      <c r="M26" s="1418"/>
      <c r="N26" s="1418"/>
      <c r="O26" s="1418"/>
      <c r="P26" s="1418"/>
      <c r="Q26" s="1418"/>
      <c r="R26" s="1418"/>
      <c r="S26" s="1418"/>
      <c r="T26" s="1418"/>
      <c r="U26" s="1418"/>
      <c r="V26" s="1418"/>
      <c r="W26" s="1418"/>
      <c r="X26" s="1418"/>
      <c r="Y26" s="1418"/>
      <c r="Z26" s="1418"/>
      <c r="AA26" s="2365"/>
      <c r="AB26" s="1421"/>
      <c r="AC26" s="1422"/>
      <c r="AD26" s="1405"/>
      <c r="AE26" s="1423"/>
      <c r="AF26" s="1423"/>
      <c r="AG26" s="1423"/>
      <c r="AH26" s="1423"/>
      <c r="AI26" s="1423"/>
      <c r="AJ26" s="1423"/>
      <c r="AK26" s="1423"/>
      <c r="AL26" s="1423"/>
      <c r="AM26" s="1423"/>
      <c r="AN26" s="1423"/>
      <c r="AO26" s="1423"/>
      <c r="AP26" s="1423"/>
      <c r="AQ26" s="1423"/>
      <c r="AR26" s="1423"/>
      <c r="AS26" s="1423"/>
      <c r="AT26" s="1423"/>
      <c r="AU26" s="1423"/>
      <c r="AV26" s="1423"/>
      <c r="AW26" s="1423"/>
      <c r="AX26" s="1423"/>
      <c r="AY26" s="1423"/>
      <c r="AZ26" s="1423"/>
      <c r="BA26" s="1423"/>
      <c r="BB26" s="1423"/>
      <c r="BC26" s="423"/>
      <c r="BD26" s="1190"/>
      <c r="BE26" s="375"/>
      <c r="BF26" s="375"/>
      <c r="BG26" s="375"/>
      <c r="BH26" s="375"/>
      <c r="BI26" s="375"/>
      <c r="BJ26" s="423"/>
      <c r="BK26" s="423"/>
      <c r="BL26" s="423"/>
      <c r="BM26" s="423"/>
      <c r="BN26" s="423"/>
      <c r="BO26" s="423"/>
    </row>
    <row s="1476" customFormat="1" customHeight="1" ht="14.625" hidden="1">
      <c r="A27" s="1325"/>
      <c r="B27" s="1424"/>
      <c r="C27" s="1325"/>
      <c r="D27" s="1325"/>
      <c r="E27" s="1425">
        <v>15</v>
      </c>
      <c r="F27" s="1387" cm="1" t="str">
        <f t="array" ref="F27:F27">Y27</f>
        <v>0</v>
      </c>
      <c r="G27" s="1325"/>
      <c r="H27" s="1325"/>
      <c r="I27" s="1325"/>
      <c r="J27" s="1325"/>
      <c r="K27" s="1325"/>
      <c r="L27" s="1325"/>
      <c r="M27" s="1325"/>
      <c r="N27" s="1325"/>
      <c r="O27" s="1325"/>
      <c r="P27" s="1325"/>
      <c r="Q27" s="1325"/>
      <c r="R27" s="1325"/>
      <c r="S27" s="1325"/>
      <c r="T27" s="1325"/>
      <c r="U27" s="1325"/>
      <c r="V27" s="1388">
        <f>Y27&gt;0</f>
        <v>0</v>
      </c>
      <c r="W27" s="1325"/>
      <c r="X27" s="1422" t="s">
        <v>279</v>
      </c>
      <c r="Y27" s="1543">
        <v>0</v>
      </c>
      <c r="Z27" s="1544"/>
      <c r="AA27" s="1325"/>
      <c r="AB27" s="1426" cm="1" t="str">
        <f t="array" ref="AB27:AB27">INDEX('Общие сведения'!$AG$197:$AG$254,MATCH($Y27,'Общие сведения'!$Z$197:$Z$254,0))</f>
        <v>Тариф 0 () - </v>
      </c>
      <c r="AC27" s="1427"/>
      <c r="AD27" s="1428"/>
      <c r="AE27" s="1428"/>
      <c r="AF27" s="1428"/>
      <c r="AG27" s="1428"/>
      <c r="AH27" s="1428"/>
      <c r="AI27" s="1428"/>
      <c r="AJ27" s="1428"/>
      <c r="AK27" s="1428"/>
      <c r="AL27" s="1428"/>
      <c r="AM27" s="1428"/>
      <c r="AN27" s="1428"/>
      <c r="AO27" s="1428"/>
      <c r="AP27" s="1428"/>
      <c r="AQ27" s="1428"/>
      <c r="AR27" s="1428"/>
      <c r="AS27" s="1428"/>
      <c r="AT27" s="1428"/>
      <c r="AU27" s="1428"/>
      <c r="AV27" s="1428"/>
      <c r="AW27" s="1428"/>
      <c r="AX27" s="1428"/>
      <c r="AY27" s="1428"/>
      <c r="AZ27" s="1428"/>
      <c r="BA27" s="1428"/>
      <c r="BB27" s="1428"/>
      <c r="BC27" s="423"/>
      <c r="BD27" s="1192"/>
      <c r="BE27" s="375"/>
      <c r="BF27" s="375"/>
      <c r="BG27" s="375"/>
      <c r="BH27" s="375"/>
      <c r="BI27" s="375"/>
      <c r="BJ27" s="423"/>
      <c r="BK27" s="423"/>
      <c r="BL27" s="423"/>
      <c r="BM27" s="423"/>
      <c r="BN27" s="423"/>
      <c r="BO27" s="423"/>
    </row>
    <row customHeight="1" ht="21.9375" hidden="1">
      <c r="A28" s="1325"/>
      <c r="B28" s="1324"/>
      <c r="C28" s="1325"/>
      <c r="D28" s="1325"/>
      <c r="E28" s="1393">
        <v>22.5</v>
      </c>
      <c r="F28" s="1326" cm="1" t="str">
        <f t="array" ref="F28:F28">OFFSET(E28,-1,1)</f>
        <v>0</v>
      </c>
      <c r="G28" s="1325"/>
      <c r="H28" s="1325"/>
      <c r="I28" s="1325"/>
      <c r="J28" s="1325"/>
      <c r="K28" s="1325"/>
      <c r="L28" s="1325"/>
      <c r="M28" s="1325"/>
      <c r="N28" s="1325"/>
      <c r="O28" s="1325"/>
      <c r="P28" s="1325"/>
      <c r="Q28" s="1325"/>
      <c r="R28" s="1325"/>
      <c r="S28" s="1325"/>
      <c r="T28" s="1325"/>
      <c r="U28" s="1325"/>
      <c r="V28" s="1388" cm="1" t="str">
        <f t="array" ref="V28:V28">V27</f>
        <v>false</v>
      </c>
      <c r="W28" s="1325"/>
      <c r="X28" s="1325"/>
      <c r="Y28" s="1543"/>
      <c r="Z28" s="1544"/>
      <c r="AA28" s="1325"/>
      <c r="AB28" s="1429">
        <v>1</v>
      </c>
      <c r="AC28" s="1430" t="s">
        <v>578</v>
      </c>
      <c r="AD28" s="1431"/>
      <c r="AE28" s="2395"/>
      <c r="AF28" s="2395"/>
      <c r="AG28" s="2395"/>
      <c r="AH28" s="2395"/>
      <c r="AI28" s="2395"/>
      <c r="AJ28" s="2395"/>
      <c r="AK28" s="2395"/>
      <c r="AL28" s="2395"/>
      <c r="AM28" s="2395"/>
      <c r="AN28" s="2395"/>
      <c r="AO28" s="2395"/>
      <c r="AP28" s="2395"/>
      <c r="AQ28" s="2395"/>
      <c r="AR28" s="2395"/>
      <c r="AS28" s="2395"/>
      <c r="AT28" s="2395"/>
      <c r="AU28" s="2395"/>
      <c r="AV28" s="2395"/>
      <c r="AW28" s="2395"/>
      <c r="AX28" s="2395"/>
      <c r="AY28" s="2395"/>
      <c r="AZ28" s="2395"/>
      <c r="BA28" s="2395"/>
      <c r="BB28" s="2395"/>
      <c r="BC28" s="423"/>
      <c r="BD28" s="1179" t="s">
        <v>645</v>
      </c>
      <c r="BE28" s="423"/>
      <c r="BF28" s="423"/>
      <c r="BG28" s="423"/>
      <c r="BH28" s="423"/>
      <c r="BI28" s="423"/>
      <c r="BJ28" s="423"/>
      <c r="BK28" s="423"/>
      <c r="BL28" s="423"/>
      <c r="BM28" s="423"/>
      <c r="BN28" s="423"/>
      <c r="BO28" s="423"/>
    </row>
    <row customHeight="1" ht="23.400000000000002" hidden="1">
      <c r="A29" s="1325"/>
      <c r="B29" s="1325"/>
      <c r="C29" s="1325"/>
      <c r="D29" s="1325"/>
      <c r="E29" s="1393">
        <v>24</v>
      </c>
      <c r="F29" s="1326" cm="1" t="str">
        <f t="array" ref="F29:F29">OFFSET(E29,-1,1)</f>
        <v>0</v>
      </c>
      <c r="G29" s="1325"/>
      <c r="H29" s="1325"/>
      <c r="I29" s="1325"/>
      <c r="J29" s="1325"/>
      <c r="K29" s="1325"/>
      <c r="L29" s="1325"/>
      <c r="M29" s="1325"/>
      <c r="N29" s="1325"/>
      <c r="O29" s="1325"/>
      <c r="P29" s="1325"/>
      <c r="Q29" s="1325"/>
      <c r="R29" s="1325"/>
      <c r="S29" s="1325"/>
      <c r="T29" s="1325"/>
      <c r="U29" s="1325"/>
      <c r="V29" s="1388" cm="1" t="str">
        <f t="array" ref="V29:V29">V28</f>
        <v>false</v>
      </c>
      <c r="W29" s="1325"/>
      <c r="X29" s="1325"/>
      <c r="Y29" s="1543"/>
      <c r="Z29" s="1544"/>
      <c r="AA29" s="1325"/>
      <c r="AB29" s="1429">
        <v>2</v>
      </c>
      <c r="AC29" s="1430" t="s">
        <v>646</v>
      </c>
      <c r="AD29" s="1431" t="s">
        <v>561</v>
      </c>
      <c r="AE29" s="2395"/>
      <c r="AF29" s="2395"/>
      <c r="AG29" s="2395"/>
      <c r="AH29" s="2395"/>
      <c r="AI29" s="2395"/>
      <c r="AJ29" s="2395"/>
      <c r="AK29" s="2395"/>
      <c r="AL29" s="2395"/>
      <c r="AM29" s="2395"/>
      <c r="AN29" s="2395"/>
      <c r="AO29" s="2395"/>
      <c r="AP29" s="2395"/>
      <c r="AQ29" s="2395"/>
      <c r="AR29" s="2395"/>
      <c r="AS29" s="2395"/>
      <c r="AT29" s="2395"/>
      <c r="AU29" s="2395"/>
      <c r="AV29" s="2395"/>
      <c r="AW29" s="2395"/>
      <c r="AX29" s="2395"/>
      <c r="AY29" s="2395"/>
      <c r="AZ29" s="2395"/>
      <c r="BA29" s="2395"/>
      <c r="BB29" s="2395"/>
      <c r="BC29" s="423"/>
      <c r="BD29" s="1179" t="s">
        <v>647</v>
      </c>
      <c r="BE29" s="423"/>
      <c r="BF29" s="423"/>
      <c r="BG29" s="423"/>
      <c r="BH29" s="423"/>
      <c r="BI29" s="423"/>
      <c r="BJ29" s="423"/>
      <c r="BK29" s="423"/>
      <c r="BL29" s="423"/>
      <c r="BM29" s="423"/>
      <c r="BN29" s="423"/>
      <c r="BO29" s="423"/>
    </row>
    <row customHeight="1" ht="69.46875" hidden="1">
      <c r="A30" s="1325"/>
      <c r="B30" s="1325"/>
      <c r="C30" s="1325"/>
      <c r="D30" s="1325"/>
      <c r="E30" s="1393">
        <v>71.25</v>
      </c>
      <c r="F30" s="1326" cm="1" t="str">
        <f t="array" ref="F30:F30">OFFSET(E30,-1,1)</f>
        <v>0</v>
      </c>
      <c r="G30" s="1325"/>
      <c r="H30" s="1325"/>
      <c r="I30" s="1325"/>
      <c r="J30" s="1325"/>
      <c r="K30" s="1325"/>
      <c r="L30" s="1325"/>
      <c r="M30" s="1325"/>
      <c r="N30" s="1325"/>
      <c r="O30" s="1325"/>
      <c r="P30" s="1325"/>
      <c r="Q30" s="1325"/>
      <c r="R30" s="1325"/>
      <c r="S30" s="1325"/>
      <c r="T30" s="1325"/>
      <c r="U30" s="1325"/>
      <c r="V30" s="1388" cm="1" t="str">
        <f t="array" ref="V30:V30">V29</f>
        <v>false</v>
      </c>
      <c r="W30" s="1325"/>
      <c r="X30" s="1325"/>
      <c r="Y30" s="1543"/>
      <c r="Z30" s="1544"/>
      <c r="AA30" s="1325"/>
      <c r="AB30" s="1429">
        <v>3</v>
      </c>
      <c r="AC30" s="1433" t="s">
        <v>648</v>
      </c>
      <c r="AD30" s="1431" t="s">
        <v>561</v>
      </c>
      <c r="AE30" s="2395"/>
      <c r="AF30" s="2395"/>
      <c r="AG30" s="2395"/>
      <c r="AH30" s="2395"/>
      <c r="AI30" s="2395"/>
      <c r="AJ30" s="2395"/>
      <c r="AK30" s="2395"/>
      <c r="AL30" s="2395"/>
      <c r="AM30" s="2395"/>
      <c r="AN30" s="2395"/>
      <c r="AO30" s="2395"/>
      <c r="AP30" s="2395"/>
      <c r="AQ30" s="2395"/>
      <c r="AR30" s="2395"/>
      <c r="AS30" s="2395"/>
      <c r="AT30" s="2395"/>
      <c r="AU30" s="2395"/>
      <c r="AV30" s="2395"/>
      <c r="AW30" s="2395"/>
      <c r="AX30" s="2395"/>
      <c r="AY30" s="2395"/>
      <c r="AZ30" s="2395"/>
      <c r="BA30" s="2395"/>
      <c r="BB30" s="2395"/>
      <c r="BC30" s="423"/>
      <c r="BD30" s="1179" t="s">
        <v>649</v>
      </c>
      <c r="BE30" s="423"/>
      <c r="BF30" s="423"/>
      <c r="BG30" s="423"/>
      <c r="BH30" s="423"/>
      <c r="BI30" s="423"/>
      <c r="BJ30" s="423"/>
      <c r="BK30" s="423"/>
      <c r="BL30" s="423"/>
      <c r="BM30" s="423"/>
      <c r="BN30" s="423"/>
      <c r="BO30" s="423"/>
    </row>
    <row customHeight="1" ht="24.131250000000005" hidden="1">
      <c r="A31" s="1325"/>
      <c r="B31" s="1324"/>
      <c r="C31" s="1325"/>
      <c r="D31" s="1325"/>
      <c r="E31" s="1393">
        <v>24.75</v>
      </c>
      <c r="F31" s="1326" cm="1" t="str">
        <f t="array" ref="F31:F31">OFFSET(E31,-1,1)</f>
        <v>0</v>
      </c>
      <c r="G31" s="1325"/>
      <c r="H31" s="1325"/>
      <c r="I31" s="1325"/>
      <c r="J31" s="1325"/>
      <c r="K31" s="1325"/>
      <c r="L31" s="1325"/>
      <c r="M31" s="1325"/>
      <c r="N31" s="1325"/>
      <c r="O31" s="1325"/>
      <c r="P31" s="1325"/>
      <c r="Q31" s="1325"/>
      <c r="R31" s="1325"/>
      <c r="S31" s="1325"/>
      <c r="T31" s="1325"/>
      <c r="U31" s="1325"/>
      <c r="V31" s="1388" cm="1" t="str">
        <f t="array" ref="V31:V31">V30</f>
        <v>false</v>
      </c>
      <c r="W31" s="1325"/>
      <c r="X31" s="1325"/>
      <c r="Y31" s="1543"/>
      <c r="Z31" s="1544"/>
      <c r="AA31" s="1325"/>
      <c r="AB31" s="1429">
        <v>4</v>
      </c>
      <c r="AC31" s="1430" t="s">
        <v>567</v>
      </c>
      <c r="AD31" s="1431"/>
      <c r="AE31" s="2395"/>
      <c r="AF31" s="2395"/>
      <c r="AG31" s="2395"/>
      <c r="AH31" s="2395"/>
      <c r="AI31" s="2395"/>
      <c r="AJ31" s="2395"/>
      <c r="AK31" s="2395"/>
      <c r="AL31" s="2395"/>
      <c r="AM31" s="2395"/>
      <c r="AN31" s="2395"/>
      <c r="AO31" s="2395"/>
      <c r="AP31" s="2395"/>
      <c r="AQ31" s="2395"/>
      <c r="AR31" s="2395"/>
      <c r="AS31" s="2395"/>
      <c r="AT31" s="2395"/>
      <c r="AU31" s="2395"/>
      <c r="AV31" s="2395"/>
      <c r="AW31" s="2395"/>
      <c r="AX31" s="2395"/>
      <c r="AY31" s="2395"/>
      <c r="AZ31" s="2395"/>
      <c r="BA31" s="2395"/>
      <c r="BB31" s="2395"/>
      <c r="BC31" s="423"/>
      <c r="BD31" s="1179" t="s">
        <v>650</v>
      </c>
      <c r="BE31" s="423"/>
      <c r="BF31" s="423"/>
      <c r="BG31" s="423"/>
      <c r="BH31" s="423"/>
      <c r="BI31" s="423"/>
      <c r="BJ31" s="423"/>
      <c r="BK31" s="423"/>
      <c r="BL31" s="423"/>
      <c r="BM31" s="423"/>
      <c r="BN31" s="423"/>
      <c r="BO31" s="423"/>
    </row>
    <row s="2398" customFormat="1" customHeight="1" ht="18.792613636363637">
      <c r="A32" s="1325"/>
      <c r="B32" s="1424"/>
      <c r="C32" s="1325"/>
      <c r="D32" s="1325"/>
      <c r="E32" s="1425">
        <v>15</v>
      </c>
      <c r="F32" s="1387" cm="1" t="str">
        <f t="array" ref="F32:F32">Y32</f>
        <v>1</v>
      </c>
      <c r="G32" s="1325"/>
      <c r="H32" s="1325"/>
      <c r="I32" s="1325"/>
      <c r="J32" s="1325"/>
      <c r="K32" s="1325"/>
      <c r="L32" s="1325"/>
      <c r="M32" s="1325"/>
      <c r="N32" s="1325"/>
      <c r="O32" s="1325"/>
      <c r="P32" s="1325"/>
      <c r="Q32" s="1325"/>
      <c r="R32" s="1325"/>
      <c r="S32" s="1325"/>
      <c r="T32" s="1325"/>
      <c r="U32" s="1325"/>
      <c r="V32" s="1388">
        <f>Y32&gt;0</f>
        <v>1</v>
      </c>
      <c r="W32" s="1325"/>
      <c r="X32" s="1422" cm="1" t="str">
        <f t="array" ref="X32:X32">Сценарии!$AB$55</f>
        <v>Тариф 1 (Водоснабжение) - тариф на питьевую воду (Оказание услуг на территории: город Ленинск-Кузнецкий (ОКТМО: 32719000) - г Ленинск-Кузнецкий, г Полысаево)</v>
      </c>
      <c r="Y32" s="1543" t="s">
        <v>290</v>
      </c>
      <c r="Z32" s="1544"/>
      <c r="AA32" s="1325"/>
      <c r="AB32" s="1426" cm="1" t="str">
        <f t="array" ref="AB32:AB32">Сценарии!$AB$55</f>
        <v>Тариф 1 (Водоснабжение) - тариф на питьевую воду (Оказание услуг на территории: город Ленинск-Кузнецкий (ОКТМО: 32719000) - г Ленинск-Кузнецкий, г Полысаево)</v>
      </c>
      <c r="AC32" s="1427"/>
      <c r="AD32" s="1428"/>
      <c r="AE32" s="1428"/>
      <c r="AF32" s="1428"/>
      <c r="AG32" s="1428"/>
      <c r="AH32" s="1428"/>
      <c r="AI32" s="1428"/>
      <c r="AJ32" s="1428"/>
      <c r="AK32" s="1428"/>
      <c r="AL32" s="1428"/>
      <c r="AM32" s="1428"/>
      <c r="AN32" s="1428"/>
      <c r="AO32" s="1428"/>
      <c r="AP32" s="1428"/>
      <c r="AQ32" s="1428"/>
      <c r="AR32" s="1428"/>
      <c r="AS32" s="1428"/>
      <c r="AT32" s="1428"/>
      <c r="AU32" s="1428"/>
      <c r="AV32" s="1428"/>
      <c r="AW32" s="1428"/>
      <c r="AX32" s="1428"/>
      <c r="AY32" s="1428"/>
      <c r="AZ32" s="1428"/>
      <c r="BA32" s="1428"/>
      <c r="BB32" s="1428"/>
      <c r="BC32" s="423"/>
      <c r="BD32" s="1192"/>
      <c r="BE32" s="375"/>
      <c r="BF32" s="375"/>
      <c r="BG32" s="375"/>
      <c r="BH32" s="375"/>
      <c r="BI32" s="375"/>
      <c r="BJ32" s="423"/>
      <c r="BK32" s="423"/>
      <c r="BL32" s="423"/>
      <c r="BM32" s="423"/>
      <c r="BN32" s="423"/>
      <c r="BO32" s="423"/>
    </row>
    <row s="1656" customFormat="1" customHeight="1" ht="21.75">
      <c r="A33" s="1325"/>
      <c r="B33" s="1324"/>
      <c r="C33" s="1325"/>
      <c r="D33" s="1325"/>
      <c r="E33" s="1393">
        <v>22.5</v>
      </c>
      <c r="F33" s="1326" cm="1" t="str">
        <f t="array" ref="F33:F33">OFFSET(E33,-1,1)</f>
        <v>1</v>
      </c>
      <c r="G33" s="1325"/>
      <c r="H33" s="1325"/>
      <c r="I33" s="1325"/>
      <c r="J33" s="1325"/>
      <c r="K33" s="1325"/>
      <c r="L33" s="1325"/>
      <c r="M33" s="1325"/>
      <c r="N33" s="1325"/>
      <c r="O33" s="1325"/>
      <c r="P33" s="1325"/>
      <c r="Q33" s="1325"/>
      <c r="R33" s="1325"/>
      <c r="S33" s="1325"/>
      <c r="T33" s="1325"/>
      <c r="U33" s="1325"/>
      <c r="V33" s="1388" cm="1" t="str">
        <f t="array" ref="V33:V33">V32</f>
        <v>true</v>
      </c>
      <c r="W33" s="1325"/>
      <c r="X33" s="1325"/>
      <c r="Y33" s="1543"/>
      <c r="Z33" s="1544"/>
      <c r="AA33" s="1325"/>
      <c r="AB33" s="1429">
        <v>1</v>
      </c>
      <c r="AC33" s="1430" t="s">
        <v>578</v>
      </c>
      <c r="AD33" s="1431"/>
      <c r="AE33" s="1432">
        <f>0.0000642+0.0000033</f>
        <v>0.0000675</v>
      </c>
      <c r="AF33" s="1432">
        <f>0.0001858+0.0000402</f>
        <v>0.000226</v>
      </c>
      <c r="AG33" s="1432"/>
      <c r="AH33" s="1432">
        <v>0</v>
      </c>
      <c r="AI33" s="1432">
        <v>0</v>
      </c>
      <c r="AJ33" s="2395"/>
      <c r="AK33" s="2395"/>
      <c r="AL33" s="2395"/>
      <c r="AM33" s="2395"/>
      <c r="AN33" s="2395"/>
      <c r="AO33" s="2395"/>
      <c r="AP33" s="2395"/>
      <c r="AQ33" s="2395"/>
      <c r="AR33" s="2395"/>
      <c r="AS33" s="1432">
        <v>0</v>
      </c>
      <c r="AT33" s="2395"/>
      <c r="AU33" s="2395"/>
      <c r="AV33" s="2395"/>
      <c r="AW33" s="2395"/>
      <c r="AX33" s="2395"/>
      <c r="AY33" s="2395"/>
      <c r="AZ33" s="2395"/>
      <c r="BA33" s="2395"/>
      <c r="BB33" s="2395"/>
      <c r="BC33" s="423"/>
      <c r="BD33" s="1179" t="s">
        <v>645</v>
      </c>
      <c r="BE33" s="423"/>
      <c r="BF33" s="423"/>
      <c r="BG33" s="423"/>
      <c r="BH33" s="423"/>
      <c r="BI33" s="423"/>
      <c r="BJ33" s="423"/>
      <c r="BK33" s="423"/>
      <c r="BL33" s="423"/>
      <c r="BM33" s="423"/>
      <c r="BN33" s="423"/>
      <c r="BO33" s="423"/>
    </row>
    <row s="1656" customFormat="1" customHeight="1" ht="32.42897727272727">
      <c r="A34" s="1325"/>
      <c r="B34" s="1325"/>
      <c r="C34" s="1325"/>
      <c r="D34" s="1325"/>
      <c r="E34" s="1393">
        <v>24</v>
      </c>
      <c r="F34" s="1326" cm="1" t="str">
        <f t="array" ref="F34:F34">OFFSET(E34,-1,1)</f>
        <v>1</v>
      </c>
      <c r="G34" s="1325"/>
      <c r="H34" s="1325"/>
      <c r="I34" s="1325"/>
      <c r="J34" s="1325"/>
      <c r="K34" s="1325"/>
      <c r="L34" s="1325"/>
      <c r="M34" s="1325"/>
      <c r="N34" s="1325"/>
      <c r="O34" s="1325"/>
      <c r="P34" s="1325"/>
      <c r="Q34" s="1325"/>
      <c r="R34" s="1325"/>
      <c r="S34" s="1325"/>
      <c r="T34" s="1325"/>
      <c r="U34" s="1325"/>
      <c r="V34" s="1388" cm="1" t="str">
        <f t="array" ref="V34:V34">V33</f>
        <v>true</v>
      </c>
      <c r="W34" s="1325"/>
      <c r="X34" s="1325"/>
      <c r="Y34" s="1543"/>
      <c r="Z34" s="1544"/>
      <c r="AA34" s="1325"/>
      <c r="AB34" s="1429">
        <v>2</v>
      </c>
      <c r="AC34" s="1430" t="s">
        <v>646</v>
      </c>
      <c r="AD34" s="1431" t="s">
        <v>561</v>
      </c>
      <c r="AE34" s="1432">
        <v>0</v>
      </c>
      <c r="AF34" s="1432">
        <f>0.0917+0.0109433</f>
        <v>0.1026433</v>
      </c>
      <c r="AG34" s="1432"/>
      <c r="AH34" s="1432">
        <v>0</v>
      </c>
      <c r="AI34" s="1432">
        <v>0</v>
      </c>
      <c r="AJ34" s="2395"/>
      <c r="AK34" s="2395"/>
      <c r="AL34" s="2395"/>
      <c r="AM34" s="2395"/>
      <c r="AN34" s="2395"/>
      <c r="AO34" s="2395"/>
      <c r="AP34" s="2395"/>
      <c r="AQ34" s="2395"/>
      <c r="AR34" s="2395"/>
      <c r="AS34" s="1432">
        <v>0</v>
      </c>
      <c r="AT34" s="2395"/>
      <c r="AU34" s="2395"/>
      <c r="AV34" s="2395"/>
      <c r="AW34" s="2395"/>
      <c r="AX34" s="2395"/>
      <c r="AY34" s="2395"/>
      <c r="AZ34" s="2395"/>
      <c r="BA34" s="2395"/>
      <c r="BB34" s="2395"/>
      <c r="BC34" s="423"/>
      <c r="BD34" s="1179" t="s">
        <v>647</v>
      </c>
      <c r="BE34" s="423"/>
      <c r="BF34" s="423"/>
      <c r="BG34" s="423"/>
      <c r="BH34" s="423"/>
      <c r="BI34" s="423"/>
      <c r="BJ34" s="423"/>
      <c r="BK34" s="423"/>
      <c r="BL34" s="423"/>
      <c r="BM34" s="423"/>
      <c r="BN34" s="423"/>
      <c r="BO34" s="423"/>
    </row>
    <row s="1656" customFormat="1" customHeight="1" ht="69">
      <c r="A35" s="1325"/>
      <c r="B35" s="1325"/>
      <c r="C35" s="1325"/>
      <c r="D35" s="1325"/>
      <c r="E35" s="1393">
        <v>71.25</v>
      </c>
      <c r="F35" s="1326" cm="1" t="str">
        <f t="array" ref="F35:F35">OFFSET(E35,-1,1)</f>
        <v>1</v>
      </c>
      <c r="G35" s="1325"/>
      <c r="H35" s="1325"/>
      <c r="I35" s="1325"/>
      <c r="J35" s="1325"/>
      <c r="K35" s="1325"/>
      <c r="L35" s="1325"/>
      <c r="M35" s="1325"/>
      <c r="N35" s="1325"/>
      <c r="O35" s="1325"/>
      <c r="P35" s="1325"/>
      <c r="Q35" s="1325"/>
      <c r="R35" s="1325"/>
      <c r="S35" s="1325"/>
      <c r="T35" s="1325"/>
      <c r="U35" s="1325"/>
      <c r="V35" s="1388" cm="1" t="str">
        <f t="array" ref="V35:V35">V34</f>
        <v>true</v>
      </c>
      <c r="W35" s="1325"/>
      <c r="X35" s="1325"/>
      <c r="Y35" s="1543"/>
      <c r="Z35" s="1544"/>
      <c r="AA35" s="1325"/>
      <c r="AB35" s="1429">
        <v>3</v>
      </c>
      <c r="AC35" s="1433" t="s">
        <v>648</v>
      </c>
      <c r="AD35" s="1431" t="s">
        <v>561</v>
      </c>
      <c r="AE35" s="1432">
        <v>0</v>
      </c>
      <c r="AF35" s="1432">
        <v>0</v>
      </c>
      <c r="AG35" s="1432"/>
      <c r="AH35" s="1432">
        <v>0</v>
      </c>
      <c r="AI35" s="1432">
        <v>0</v>
      </c>
      <c r="AJ35" s="2395"/>
      <c r="AK35" s="2395"/>
      <c r="AL35" s="2395"/>
      <c r="AM35" s="2395"/>
      <c r="AN35" s="2395"/>
      <c r="AO35" s="2395"/>
      <c r="AP35" s="2395"/>
      <c r="AQ35" s="2395"/>
      <c r="AR35" s="2395"/>
      <c r="AS35" s="1432">
        <v>0</v>
      </c>
      <c r="AT35" s="2395"/>
      <c r="AU35" s="2395"/>
      <c r="AV35" s="2395"/>
      <c r="AW35" s="2395"/>
      <c r="AX35" s="2395"/>
      <c r="AY35" s="2395"/>
      <c r="AZ35" s="2395"/>
      <c r="BA35" s="2395"/>
      <c r="BB35" s="2395"/>
      <c r="BC35" s="423"/>
      <c r="BD35" s="1179" t="s">
        <v>649</v>
      </c>
      <c r="BE35" s="423"/>
      <c r="BF35" s="423"/>
      <c r="BG35" s="423"/>
      <c r="BH35" s="423"/>
      <c r="BI35" s="423"/>
      <c r="BJ35" s="423"/>
      <c r="BK35" s="423"/>
      <c r="BL35" s="423"/>
      <c r="BM35" s="423"/>
      <c r="BN35" s="423"/>
      <c r="BO35" s="423"/>
    </row>
    <row s="1656" customFormat="1" customHeight="1" ht="34.47443181818181">
      <c r="A36" s="1325"/>
      <c r="B36" s="1324"/>
      <c r="C36" s="1325"/>
      <c r="D36" s="1325"/>
      <c r="E36" s="1393">
        <v>24.75</v>
      </c>
      <c r="F36" s="1326" cm="1" t="str">
        <f t="array" ref="F36:F36">OFFSET(E36,-1,1)</f>
        <v>1</v>
      </c>
      <c r="G36" s="1325"/>
      <c r="H36" s="1325"/>
      <c r="I36" s="1325"/>
      <c r="J36" s="1325"/>
      <c r="K36" s="1325"/>
      <c r="L36" s="1325"/>
      <c r="M36" s="1325"/>
      <c r="N36" s="1325"/>
      <c r="O36" s="1325"/>
      <c r="P36" s="1325"/>
      <c r="Q36" s="1325"/>
      <c r="R36" s="1325"/>
      <c r="S36" s="1325"/>
      <c r="T36" s="1325"/>
      <c r="U36" s="1325"/>
      <c r="V36" s="1388" cm="1" t="str">
        <f t="array" ref="V36:V36">V35</f>
        <v>true</v>
      </c>
      <c r="W36" s="1325"/>
      <c r="X36" s="1325"/>
      <c r="Y36" s="1543"/>
      <c r="Z36" s="1544"/>
      <c r="AA36" s="1325"/>
      <c r="AB36" s="1429">
        <v>4</v>
      </c>
      <c r="AC36" s="1430" t="s">
        <v>567</v>
      </c>
      <c r="AD36" s="1431"/>
      <c r="AE36" s="1432">
        <v>1</v>
      </c>
      <c r="AF36" s="1432"/>
      <c r="AG36" s="1432"/>
      <c r="AH36" s="1432">
        <v>0</v>
      </c>
      <c r="AI36" s="1432"/>
      <c r="AJ36" s="2395"/>
      <c r="AK36" s="2395"/>
      <c r="AL36" s="2395"/>
      <c r="AM36" s="2395"/>
      <c r="AN36" s="2395"/>
      <c r="AO36" s="2395"/>
      <c r="AP36" s="2395"/>
      <c r="AQ36" s="2395"/>
      <c r="AR36" s="2395"/>
      <c r="AS36" s="1432">
        <v>1</v>
      </c>
      <c r="AT36" s="2395"/>
      <c r="AU36" s="2395"/>
      <c r="AV36" s="2395"/>
      <c r="AW36" s="2395"/>
      <c r="AX36" s="2395"/>
      <c r="AY36" s="2395"/>
      <c r="AZ36" s="2395"/>
      <c r="BA36" s="2395"/>
      <c r="BB36" s="2395"/>
      <c r="BC36" s="423"/>
      <c r="BD36" s="1179" t="s">
        <v>650</v>
      </c>
      <c r="BE36" s="423"/>
      <c r="BF36" s="423"/>
      <c r="BG36" s="423"/>
      <c r="BH36" s="423"/>
      <c r="BI36" s="423"/>
      <c r="BJ36" s="423"/>
      <c r="BK36" s="423"/>
      <c r="BL36" s="423"/>
      <c r="BM36" s="423"/>
      <c r="BN36" s="423"/>
      <c r="BO36" s="423"/>
    </row>
    <row s="2400" customFormat="1" customHeight="1" ht="19.474431818181817">
      <c r="A37" s="1325"/>
      <c r="B37" s="1424"/>
      <c r="C37" s="1325"/>
      <c r="D37" s="1325"/>
      <c r="E37" s="1425">
        <v>15</v>
      </c>
      <c r="F37" s="1387" cm="1" t="str">
        <f t="array" ref="F37:F37">Y37</f>
        <v>2</v>
      </c>
      <c r="G37" s="1325"/>
      <c r="H37" s="1325"/>
      <c r="I37" s="1325"/>
      <c r="J37" s="1325"/>
      <c r="K37" s="1325"/>
      <c r="L37" s="1325"/>
      <c r="M37" s="1325"/>
      <c r="N37" s="1325"/>
      <c r="O37" s="1325"/>
      <c r="P37" s="1325"/>
      <c r="Q37" s="1325"/>
      <c r="R37" s="1325"/>
      <c r="S37" s="1325"/>
      <c r="T37" s="1325"/>
      <c r="U37" s="1325"/>
      <c r="V37" s="1388">
        <f>Y37&gt;0</f>
        <v>1</v>
      </c>
      <c r="W37" s="1325"/>
      <c r="X37" s="1422" cm="1" t="str">
        <f t="array" ref="X37:X37">Сценарии!$AB$82</f>
        <v>Тариф 2 (Водоотведение) - тариф на водоотведение (Оказание услуг на территории: город Ленинск-Кузнецкий (ОКТМО: 32719000) - г Ленинск-Кузнецкий)</v>
      </c>
      <c r="Y37" s="1543" t="s">
        <v>299</v>
      </c>
      <c r="Z37" s="1544"/>
      <c r="AA37" s="1325"/>
      <c r="AB37" s="1426" cm="1" t="str">
        <f t="array" ref="AB37:AB37">Сценарии!$AB$82</f>
        <v>Тариф 2 (Водоотведение) - тариф на водоотведение (Оказание услуг на территории: город Ленинск-Кузнецкий (ОКТМО: 32719000) - г Ленинск-Кузнецкий)</v>
      </c>
      <c r="AC37" s="1427"/>
      <c r="AD37" s="1428"/>
      <c r="AE37" s="1428"/>
      <c r="AF37" s="1428"/>
      <c r="AG37" s="1428"/>
      <c r="AH37" s="1428"/>
      <c r="AI37" s="1428"/>
      <c r="AJ37" s="1428"/>
      <c r="AK37" s="1428"/>
      <c r="AL37" s="1428"/>
      <c r="AM37" s="1428"/>
      <c r="AN37" s="1428"/>
      <c r="AO37" s="1428"/>
      <c r="AP37" s="1428"/>
      <c r="AQ37" s="1428"/>
      <c r="AR37" s="1428"/>
      <c r="AS37" s="1428"/>
      <c r="AT37" s="1428"/>
      <c r="AU37" s="1428"/>
      <c r="AV37" s="1428"/>
      <c r="AW37" s="1428"/>
      <c r="AX37" s="1428"/>
      <c r="AY37" s="1428"/>
      <c r="AZ37" s="1428"/>
      <c r="BA37" s="1428"/>
      <c r="BB37" s="1428"/>
      <c r="BC37" s="423"/>
      <c r="BD37" s="1192"/>
      <c r="BE37" s="375"/>
      <c r="BF37" s="375"/>
      <c r="BG37" s="375"/>
      <c r="BH37" s="375"/>
      <c r="BI37" s="375"/>
      <c r="BJ37" s="423"/>
      <c r="BK37" s="423"/>
      <c r="BL37" s="423"/>
      <c r="BM37" s="423"/>
      <c r="BN37" s="423"/>
      <c r="BO37" s="423"/>
    </row>
    <row s="1656" customFormat="1" customHeight="1" ht="21.75">
      <c r="A38" s="1325"/>
      <c r="B38" s="1324"/>
      <c r="C38" s="1325"/>
      <c r="D38" s="1325"/>
      <c r="E38" s="1393">
        <v>22.5</v>
      </c>
      <c r="F38" s="1326" cm="1" t="str">
        <f t="array" ref="F38:F38">OFFSET(E38,-1,1)</f>
        <v>2</v>
      </c>
      <c r="G38" s="1325"/>
      <c r="H38" s="1325"/>
      <c r="I38" s="1325"/>
      <c r="J38" s="1325"/>
      <c r="K38" s="1325"/>
      <c r="L38" s="1325"/>
      <c r="M38" s="1325"/>
      <c r="N38" s="1325"/>
      <c r="O38" s="1325"/>
      <c r="P38" s="1325"/>
      <c r="Q38" s="1325"/>
      <c r="R38" s="1325"/>
      <c r="S38" s="1325"/>
      <c r="T38" s="1325"/>
      <c r="U38" s="1325"/>
      <c r="V38" s="1388" cm="1" t="str">
        <f t="array" ref="V38:V38">V37</f>
        <v>true</v>
      </c>
      <c r="W38" s="1325"/>
      <c r="X38" s="1325"/>
      <c r="Y38" s="1543"/>
      <c r="Z38" s="1544"/>
      <c r="AA38" s="1325"/>
      <c r="AB38" s="1429">
        <v>1</v>
      </c>
      <c r="AC38" s="1430" t="s">
        <v>578</v>
      </c>
      <c r="AD38" s="1431"/>
      <c r="AE38" s="1432">
        <v>0</v>
      </c>
      <c r="AF38" s="1432">
        <v>0.0001189</v>
      </c>
      <c r="AG38" s="1432"/>
      <c r="AH38" s="1432">
        <v>0</v>
      </c>
      <c r="AI38" s="1432">
        <v>0</v>
      </c>
      <c r="AJ38" s="2395"/>
      <c r="AK38" s="2395"/>
      <c r="AL38" s="2395"/>
      <c r="AM38" s="2395"/>
      <c r="AN38" s="2395"/>
      <c r="AO38" s="2395"/>
      <c r="AP38" s="2395"/>
      <c r="AQ38" s="2395"/>
      <c r="AR38" s="2395"/>
      <c r="AS38" s="1432">
        <v>0</v>
      </c>
      <c r="AT38" s="2395"/>
      <c r="AU38" s="2395"/>
      <c r="AV38" s="2395"/>
      <c r="AW38" s="2395"/>
      <c r="AX38" s="2395"/>
      <c r="AY38" s="2395"/>
      <c r="AZ38" s="2395"/>
      <c r="BA38" s="2395"/>
      <c r="BB38" s="2395"/>
      <c r="BC38" s="423"/>
      <c r="BD38" s="1179" t="s">
        <v>645</v>
      </c>
      <c r="BE38" s="423"/>
      <c r="BF38" s="423"/>
      <c r="BG38" s="423"/>
      <c r="BH38" s="423"/>
      <c r="BI38" s="423"/>
      <c r="BJ38" s="423"/>
      <c r="BK38" s="423"/>
      <c r="BL38" s="423"/>
      <c r="BM38" s="423"/>
      <c r="BN38" s="423"/>
      <c r="BO38" s="423"/>
    </row>
    <row s="1656" customFormat="1" customHeight="1" ht="23.25">
      <c r="A39" s="1325"/>
      <c r="B39" s="1325"/>
      <c r="C39" s="1325"/>
      <c r="D39" s="1325"/>
      <c r="E39" s="1393">
        <v>24</v>
      </c>
      <c r="F39" s="1326" cm="1" t="str">
        <f t="array" ref="F39:F39">OFFSET(E39,-1,1)</f>
        <v>2</v>
      </c>
      <c r="G39" s="1325"/>
      <c r="H39" s="1325"/>
      <c r="I39" s="1325"/>
      <c r="J39" s="1325"/>
      <c r="K39" s="1325"/>
      <c r="L39" s="1325"/>
      <c r="M39" s="1325"/>
      <c r="N39" s="1325"/>
      <c r="O39" s="1325"/>
      <c r="P39" s="1325"/>
      <c r="Q39" s="1325"/>
      <c r="R39" s="1325"/>
      <c r="S39" s="1325"/>
      <c r="T39" s="1325"/>
      <c r="U39" s="1325"/>
      <c r="V39" s="1388" cm="1" t="str">
        <f t="array" ref="V39:V39">V38</f>
        <v>true</v>
      </c>
      <c r="W39" s="1325"/>
      <c r="X39" s="1325"/>
      <c r="Y39" s="1543"/>
      <c r="Z39" s="1544"/>
      <c r="AA39" s="1325"/>
      <c r="AB39" s="1429">
        <v>2</v>
      </c>
      <c r="AC39" s="1430" t="s">
        <v>646</v>
      </c>
      <c r="AD39" s="1431" t="s">
        <v>561</v>
      </c>
      <c r="AE39" s="1432">
        <v>0</v>
      </c>
      <c r="AF39" s="1432">
        <v>0.0428</v>
      </c>
      <c r="AG39" s="1432"/>
      <c r="AH39" s="1432">
        <v>0</v>
      </c>
      <c r="AI39" s="1432">
        <v>0</v>
      </c>
      <c r="AJ39" s="2395"/>
      <c r="AK39" s="2395"/>
      <c r="AL39" s="2395"/>
      <c r="AM39" s="2395"/>
      <c r="AN39" s="2395"/>
      <c r="AO39" s="2395"/>
      <c r="AP39" s="2395"/>
      <c r="AQ39" s="2395"/>
      <c r="AR39" s="2395"/>
      <c r="AS39" s="1432">
        <v>0</v>
      </c>
      <c r="AT39" s="2395"/>
      <c r="AU39" s="2395"/>
      <c r="AV39" s="2395"/>
      <c r="AW39" s="2395"/>
      <c r="AX39" s="2395"/>
      <c r="AY39" s="2395"/>
      <c r="AZ39" s="2395"/>
      <c r="BA39" s="2395"/>
      <c r="BB39" s="2395"/>
      <c r="BC39" s="423"/>
      <c r="BD39" s="1179" t="s">
        <v>647</v>
      </c>
      <c r="BE39" s="423"/>
      <c r="BF39" s="423"/>
      <c r="BG39" s="423"/>
      <c r="BH39" s="423"/>
      <c r="BI39" s="423"/>
      <c r="BJ39" s="423"/>
      <c r="BK39" s="423"/>
      <c r="BL39" s="423"/>
      <c r="BM39" s="423"/>
      <c r="BN39" s="423"/>
      <c r="BO39" s="423"/>
    </row>
    <row s="1656" customFormat="1" customHeight="1" ht="69">
      <c r="A40" s="1325"/>
      <c r="B40" s="1325"/>
      <c r="C40" s="1325"/>
      <c r="D40" s="1325"/>
      <c r="E40" s="1393">
        <v>71.25</v>
      </c>
      <c r="F40" s="1326" cm="1" t="str">
        <f t="array" ref="F40:F40">OFFSET(E40,-1,1)</f>
        <v>2</v>
      </c>
      <c r="G40" s="1325"/>
      <c r="H40" s="1325"/>
      <c r="I40" s="1325"/>
      <c r="J40" s="1325"/>
      <c r="K40" s="1325"/>
      <c r="L40" s="1325"/>
      <c r="M40" s="1325"/>
      <c r="N40" s="1325"/>
      <c r="O40" s="1325"/>
      <c r="P40" s="1325"/>
      <c r="Q40" s="1325"/>
      <c r="R40" s="1325"/>
      <c r="S40" s="1325"/>
      <c r="T40" s="1325"/>
      <c r="U40" s="1325"/>
      <c r="V40" s="1388" cm="1" t="str">
        <f t="array" ref="V40:V40">V39</f>
        <v>true</v>
      </c>
      <c r="W40" s="1325"/>
      <c r="X40" s="1325"/>
      <c r="Y40" s="1543"/>
      <c r="Z40" s="1544"/>
      <c r="AA40" s="1325"/>
      <c r="AB40" s="1429">
        <v>3</v>
      </c>
      <c r="AC40" s="1433" t="s">
        <v>648</v>
      </c>
      <c r="AD40" s="1431" t="s">
        <v>561</v>
      </c>
      <c r="AE40" s="1432">
        <v>0</v>
      </c>
      <c r="AF40" s="1432">
        <v>0</v>
      </c>
      <c r="AG40" s="1432"/>
      <c r="AH40" s="1432">
        <v>0</v>
      </c>
      <c r="AI40" s="1432">
        <v>0</v>
      </c>
      <c r="AJ40" s="2395"/>
      <c r="AK40" s="2395"/>
      <c r="AL40" s="2395"/>
      <c r="AM40" s="2395"/>
      <c r="AN40" s="2395"/>
      <c r="AO40" s="2395"/>
      <c r="AP40" s="2395"/>
      <c r="AQ40" s="2395"/>
      <c r="AR40" s="2395"/>
      <c r="AS40" s="1432">
        <v>0</v>
      </c>
      <c r="AT40" s="2395"/>
      <c r="AU40" s="2395"/>
      <c r="AV40" s="2395"/>
      <c r="AW40" s="2395"/>
      <c r="AX40" s="2395"/>
      <c r="AY40" s="2395"/>
      <c r="AZ40" s="2395"/>
      <c r="BA40" s="2395"/>
      <c r="BB40" s="2395"/>
      <c r="BC40" s="423"/>
      <c r="BD40" s="1179" t="s">
        <v>649</v>
      </c>
      <c r="BE40" s="423"/>
      <c r="BF40" s="423"/>
      <c r="BG40" s="423"/>
      <c r="BH40" s="423"/>
      <c r="BI40" s="423"/>
      <c r="BJ40" s="423"/>
      <c r="BK40" s="423"/>
      <c r="BL40" s="423"/>
      <c r="BM40" s="423"/>
      <c r="BN40" s="423"/>
      <c r="BO40" s="423"/>
    </row>
    <row s="1656" customFormat="1" customHeight="1" ht="24">
      <c r="A41" s="1325"/>
      <c r="B41" s="1324"/>
      <c r="C41" s="1325"/>
      <c r="D41" s="1325"/>
      <c r="E41" s="1393">
        <v>24.75</v>
      </c>
      <c r="F41" s="1326" cm="1" t="str">
        <f t="array" ref="F41:F41">OFFSET(E41,-1,1)</f>
        <v>2</v>
      </c>
      <c r="G41" s="1325"/>
      <c r="H41" s="1325"/>
      <c r="I41" s="1325"/>
      <c r="J41" s="1325"/>
      <c r="K41" s="1325"/>
      <c r="L41" s="1325"/>
      <c r="M41" s="1325"/>
      <c r="N41" s="1325"/>
      <c r="O41" s="1325"/>
      <c r="P41" s="1325"/>
      <c r="Q41" s="1325"/>
      <c r="R41" s="1325"/>
      <c r="S41" s="1325"/>
      <c r="T41" s="1325"/>
      <c r="U41" s="1325"/>
      <c r="V41" s="1388" cm="1" t="str">
        <f t="array" ref="V41:V41">V40</f>
        <v>true</v>
      </c>
      <c r="W41" s="1325"/>
      <c r="X41" s="1325"/>
      <c r="Y41" s="1543"/>
      <c r="Z41" s="1544"/>
      <c r="AA41" s="1325"/>
      <c r="AB41" s="1429">
        <v>4</v>
      </c>
      <c r="AC41" s="1430" t="s">
        <v>567</v>
      </c>
      <c r="AD41" s="1431"/>
      <c r="AE41" s="1432">
        <v>1</v>
      </c>
      <c r="AF41" s="1432"/>
      <c r="AG41" s="1432"/>
      <c r="AH41" s="1432">
        <v>0</v>
      </c>
      <c r="AI41" s="1432"/>
      <c r="AJ41" s="2395"/>
      <c r="AK41" s="2395"/>
      <c r="AL41" s="2395"/>
      <c r="AM41" s="2395"/>
      <c r="AN41" s="2395"/>
      <c r="AO41" s="2395"/>
      <c r="AP41" s="2395"/>
      <c r="AQ41" s="2395"/>
      <c r="AR41" s="2395"/>
      <c r="AS41" s="1432">
        <v>1</v>
      </c>
      <c r="AT41" s="2395"/>
      <c r="AU41" s="2395"/>
      <c r="AV41" s="2395"/>
      <c r="AW41" s="2395"/>
      <c r="AX41" s="2395"/>
      <c r="AY41" s="2395"/>
      <c r="AZ41" s="2395"/>
      <c r="BA41" s="2395"/>
      <c r="BB41" s="2395"/>
      <c r="BC41" s="423"/>
      <c r="BD41" s="1179" t="s">
        <v>650</v>
      </c>
      <c r="BE41" s="423"/>
      <c r="BF41" s="423"/>
      <c r="BG41" s="423"/>
      <c r="BH41" s="423"/>
      <c r="BI41" s="423"/>
      <c r="BJ41" s="423"/>
      <c r="BK41" s="423"/>
      <c r="BL41" s="423"/>
      <c r="BM41" s="423"/>
      <c r="BN41" s="423"/>
      <c r="BO41" s="423"/>
    </row>
    <row s="2401" customFormat="1" customHeight="1" ht="18.110795454545453">
      <c r="A42" s="1325"/>
      <c r="B42" s="1424"/>
      <c r="C42" s="1325"/>
      <c r="D42" s="1325"/>
      <c r="E42" s="1425">
        <v>15</v>
      </c>
      <c r="F42" s="1387" cm="1" t="str">
        <f t="array" ref="F42:F42">Y42</f>
        <v>3</v>
      </c>
      <c r="G42" s="1325"/>
      <c r="H42" s="1325"/>
      <c r="I42" s="1325"/>
      <c r="J42" s="1325"/>
      <c r="K42" s="1325"/>
      <c r="L42" s="1325"/>
      <c r="M42" s="1325"/>
      <c r="N42" s="1325"/>
      <c r="O42" s="1325"/>
      <c r="P42" s="1325"/>
      <c r="Q42" s="1325"/>
      <c r="R42" s="1325"/>
      <c r="S42" s="1325"/>
      <c r="T42" s="1325"/>
      <c r="U42" s="1325"/>
      <c r="V42" s="1388">
        <f>Y42&gt;0</f>
        <v>1</v>
      </c>
      <c r="W42" s="1325"/>
      <c r="X42" s="1422" cm="1" t="str">
        <f t="array" ref="X42:X42">Сценарии!$AB$109</f>
        <v>Тариф 3 (Водоотведение) - тариф на водоотведение (Оказание услуг на территории: город Полысаево (ОКТМО: 32732000) - г Полысаево)</v>
      </c>
      <c r="Y42" s="1543" t="s">
        <v>234</v>
      </c>
      <c r="Z42" s="1544"/>
      <c r="AA42" s="1325"/>
      <c r="AB42" s="1426" cm="1" t="str">
        <f t="array" ref="AB42:AB42">Сценарии!$AB$109</f>
        <v>Тариф 3 (Водоотведение) - тариф на водоотведение (Оказание услуг на территории: город Полысаево (ОКТМО: 32732000) - г Полысаево)</v>
      </c>
      <c r="AC42" s="1427"/>
      <c r="AD42" s="1428"/>
      <c r="AE42" s="1428"/>
      <c r="AF42" s="1428"/>
      <c r="AG42" s="1428"/>
      <c r="AH42" s="1428"/>
      <c r="AI42" s="1428"/>
      <c r="AJ42" s="1428"/>
      <c r="AK42" s="1428"/>
      <c r="AL42" s="1428"/>
      <c r="AM42" s="1428"/>
      <c r="AN42" s="1428"/>
      <c r="AO42" s="1428"/>
      <c r="AP42" s="1428"/>
      <c r="AQ42" s="1428"/>
      <c r="AR42" s="1428"/>
      <c r="AS42" s="1428"/>
      <c r="AT42" s="1428"/>
      <c r="AU42" s="1428"/>
      <c r="AV42" s="1428"/>
      <c r="AW42" s="1428"/>
      <c r="AX42" s="1428"/>
      <c r="AY42" s="1428"/>
      <c r="AZ42" s="1428"/>
      <c r="BA42" s="1428"/>
      <c r="BB42" s="1428"/>
      <c r="BC42" s="423"/>
      <c r="BD42" s="1192"/>
      <c r="BE42" s="375"/>
      <c r="BF42" s="375"/>
      <c r="BG42" s="375"/>
      <c r="BH42" s="375"/>
      <c r="BI42" s="375"/>
      <c r="BJ42" s="423"/>
      <c r="BK42" s="423"/>
      <c r="BL42" s="423"/>
      <c r="BM42" s="423"/>
      <c r="BN42" s="423"/>
      <c r="BO42" s="423"/>
    </row>
    <row s="1656" customFormat="1" customHeight="1" ht="21.75">
      <c r="A43" s="1325"/>
      <c r="B43" s="1324"/>
      <c r="C43" s="1325"/>
      <c r="D43" s="1325"/>
      <c r="E43" s="1393">
        <v>22.5</v>
      </c>
      <c r="F43" s="1326" cm="1" t="str">
        <f t="array" ref="F43:F43">OFFSET(E43,-1,1)</f>
        <v>3</v>
      </c>
      <c r="G43" s="1325"/>
      <c r="H43" s="1325"/>
      <c r="I43" s="1325"/>
      <c r="J43" s="1325"/>
      <c r="K43" s="1325"/>
      <c r="L43" s="1325"/>
      <c r="M43" s="1325"/>
      <c r="N43" s="1325"/>
      <c r="O43" s="1325"/>
      <c r="P43" s="1325"/>
      <c r="Q43" s="1325"/>
      <c r="R43" s="1325"/>
      <c r="S43" s="1325"/>
      <c r="T43" s="1325"/>
      <c r="U43" s="1325"/>
      <c r="V43" s="1388" cm="1" t="str">
        <f t="array" ref="V43:V43">V42</f>
        <v>true</v>
      </c>
      <c r="W43" s="1325"/>
      <c r="X43" s="1325"/>
      <c r="Y43" s="1543"/>
      <c r="Z43" s="1544"/>
      <c r="AA43" s="1325"/>
      <c r="AB43" s="1429">
        <v>1</v>
      </c>
      <c r="AC43" s="1430" t="s">
        <v>578</v>
      </c>
      <c r="AD43" s="1431"/>
      <c r="AE43" s="1432">
        <v>0</v>
      </c>
      <c r="AF43" s="1432">
        <v>0.0000402</v>
      </c>
      <c r="AG43" s="1432"/>
      <c r="AH43" s="1432">
        <v>0</v>
      </c>
      <c r="AI43" s="1432">
        <v>0</v>
      </c>
      <c r="AJ43" s="2395"/>
      <c r="AK43" s="2395"/>
      <c r="AL43" s="2395"/>
      <c r="AM43" s="2395"/>
      <c r="AN43" s="2395"/>
      <c r="AO43" s="2395"/>
      <c r="AP43" s="2395"/>
      <c r="AQ43" s="2395"/>
      <c r="AR43" s="2395"/>
      <c r="AS43" s="1432">
        <v>0</v>
      </c>
      <c r="AT43" s="2395"/>
      <c r="AU43" s="2395"/>
      <c r="AV43" s="2395"/>
      <c r="AW43" s="2395"/>
      <c r="AX43" s="2395"/>
      <c r="AY43" s="2395"/>
      <c r="AZ43" s="2395"/>
      <c r="BA43" s="2395"/>
      <c r="BB43" s="2395"/>
      <c r="BC43" s="423"/>
      <c r="BD43" s="1179" t="s">
        <v>645</v>
      </c>
      <c r="BE43" s="423"/>
      <c r="BF43" s="423"/>
      <c r="BG43" s="423"/>
      <c r="BH43" s="423"/>
      <c r="BI43" s="423"/>
      <c r="BJ43" s="423"/>
      <c r="BK43" s="423"/>
      <c r="BL43" s="423"/>
      <c r="BM43" s="423"/>
      <c r="BN43" s="423"/>
      <c r="BO43" s="423"/>
    </row>
    <row s="1656" customFormat="1" customHeight="1" ht="23.25">
      <c r="A44" s="1325"/>
      <c r="B44" s="1325"/>
      <c r="C44" s="1325"/>
      <c r="D44" s="1325"/>
      <c r="E44" s="1393">
        <v>24</v>
      </c>
      <c r="F44" s="1326" cm="1" t="str">
        <f t="array" ref="F44:F44">OFFSET(E44,-1,1)</f>
        <v>3</v>
      </c>
      <c r="G44" s="1325"/>
      <c r="H44" s="1325"/>
      <c r="I44" s="1325"/>
      <c r="J44" s="1325"/>
      <c r="K44" s="1325"/>
      <c r="L44" s="1325"/>
      <c r="M44" s="1325"/>
      <c r="N44" s="1325"/>
      <c r="O44" s="1325"/>
      <c r="P44" s="1325"/>
      <c r="Q44" s="1325"/>
      <c r="R44" s="1325"/>
      <c r="S44" s="1325"/>
      <c r="T44" s="1325"/>
      <c r="U44" s="1325"/>
      <c r="V44" s="1388" cm="1" t="str">
        <f t="array" ref="V44:V44">V43</f>
        <v>true</v>
      </c>
      <c r="W44" s="1325"/>
      <c r="X44" s="1325"/>
      <c r="Y44" s="1543"/>
      <c r="Z44" s="1544"/>
      <c r="AA44" s="1325"/>
      <c r="AB44" s="1429">
        <v>2</v>
      </c>
      <c r="AC44" s="1430" t="s">
        <v>646</v>
      </c>
      <c r="AD44" s="1431" t="s">
        <v>561</v>
      </c>
      <c r="AE44" s="1432">
        <v>0</v>
      </c>
      <c r="AF44" s="1432">
        <v>0.0109433</v>
      </c>
      <c r="AG44" s="1432"/>
      <c r="AH44" s="1432">
        <v>0</v>
      </c>
      <c r="AI44" s="1432">
        <v>0</v>
      </c>
      <c r="AJ44" s="2395"/>
      <c r="AK44" s="2395"/>
      <c r="AL44" s="2395"/>
      <c r="AM44" s="2395"/>
      <c r="AN44" s="2395"/>
      <c r="AO44" s="2395"/>
      <c r="AP44" s="2395"/>
      <c r="AQ44" s="2395"/>
      <c r="AR44" s="2395"/>
      <c r="AS44" s="1432">
        <v>0</v>
      </c>
      <c r="AT44" s="2395"/>
      <c r="AU44" s="2395"/>
      <c r="AV44" s="2395"/>
      <c r="AW44" s="2395"/>
      <c r="AX44" s="2395"/>
      <c r="AY44" s="2395"/>
      <c r="AZ44" s="2395"/>
      <c r="BA44" s="2395"/>
      <c r="BB44" s="2395"/>
      <c r="BC44" s="423"/>
      <c r="BD44" s="1179" t="s">
        <v>647</v>
      </c>
      <c r="BE44" s="423"/>
      <c r="BF44" s="423"/>
      <c r="BG44" s="423"/>
      <c r="BH44" s="423"/>
      <c r="BI44" s="423"/>
      <c r="BJ44" s="423"/>
      <c r="BK44" s="423"/>
      <c r="BL44" s="423"/>
      <c r="BM44" s="423"/>
      <c r="BN44" s="423"/>
      <c r="BO44" s="423"/>
    </row>
    <row s="1656" customFormat="1" customHeight="1" ht="69">
      <c r="A45" s="1325"/>
      <c r="B45" s="1325"/>
      <c r="C45" s="1325"/>
      <c r="D45" s="1325"/>
      <c r="E45" s="1393">
        <v>71.25</v>
      </c>
      <c r="F45" s="1326" cm="1" t="str">
        <f t="array" ref="F45:F45">OFFSET(E45,-1,1)</f>
        <v>3</v>
      </c>
      <c r="G45" s="1325"/>
      <c r="H45" s="1325"/>
      <c r="I45" s="1325"/>
      <c r="J45" s="1325"/>
      <c r="K45" s="1325"/>
      <c r="L45" s="1325"/>
      <c r="M45" s="1325"/>
      <c r="N45" s="1325"/>
      <c r="O45" s="1325"/>
      <c r="P45" s="1325"/>
      <c r="Q45" s="1325"/>
      <c r="R45" s="1325"/>
      <c r="S45" s="1325"/>
      <c r="T45" s="1325"/>
      <c r="U45" s="1325"/>
      <c r="V45" s="1388" cm="1" t="str">
        <f t="array" ref="V45:V45">V44</f>
        <v>true</v>
      </c>
      <c r="W45" s="1325"/>
      <c r="X45" s="1325"/>
      <c r="Y45" s="1543"/>
      <c r="Z45" s="1544"/>
      <c r="AA45" s="1325"/>
      <c r="AB45" s="1429">
        <v>3</v>
      </c>
      <c r="AC45" s="1433" t="s">
        <v>648</v>
      </c>
      <c r="AD45" s="1431" t="s">
        <v>561</v>
      </c>
      <c r="AE45" s="1432">
        <v>0</v>
      </c>
      <c r="AF45" s="1432">
        <v>0</v>
      </c>
      <c r="AG45" s="1432"/>
      <c r="AH45" s="1432">
        <v>0</v>
      </c>
      <c r="AI45" s="1432">
        <v>0</v>
      </c>
      <c r="AJ45" s="2395"/>
      <c r="AK45" s="2395"/>
      <c r="AL45" s="2395"/>
      <c r="AM45" s="2395"/>
      <c r="AN45" s="2395"/>
      <c r="AO45" s="2395"/>
      <c r="AP45" s="2395"/>
      <c r="AQ45" s="2395"/>
      <c r="AR45" s="2395"/>
      <c r="AS45" s="1432">
        <v>0</v>
      </c>
      <c r="AT45" s="2395"/>
      <c r="AU45" s="2395"/>
      <c r="AV45" s="2395"/>
      <c r="AW45" s="2395"/>
      <c r="AX45" s="2395"/>
      <c r="AY45" s="2395"/>
      <c r="AZ45" s="2395"/>
      <c r="BA45" s="2395"/>
      <c r="BB45" s="2395"/>
      <c r="BC45" s="423"/>
      <c r="BD45" s="1179" t="s">
        <v>649</v>
      </c>
      <c r="BE45" s="423"/>
      <c r="BF45" s="423"/>
      <c r="BG45" s="423"/>
      <c r="BH45" s="423"/>
      <c r="BI45" s="423"/>
      <c r="BJ45" s="423"/>
      <c r="BK45" s="423"/>
      <c r="BL45" s="423"/>
      <c r="BM45" s="423"/>
      <c r="BN45" s="423"/>
      <c r="BO45" s="423"/>
    </row>
    <row s="1656" customFormat="1" customHeight="1" ht="24">
      <c r="A46" s="1325"/>
      <c r="B46" s="1324"/>
      <c r="C46" s="1325"/>
      <c r="D46" s="1325"/>
      <c r="E46" s="1393">
        <v>24.75</v>
      </c>
      <c r="F46" s="1326" cm="1" t="str">
        <f t="array" ref="F46:F46">OFFSET(E46,-1,1)</f>
        <v>3</v>
      </c>
      <c r="G46" s="1325"/>
      <c r="H46" s="1325"/>
      <c r="I46" s="1325"/>
      <c r="J46" s="1325"/>
      <c r="K46" s="1325"/>
      <c r="L46" s="1325"/>
      <c r="M46" s="1325"/>
      <c r="N46" s="1325"/>
      <c r="O46" s="1325"/>
      <c r="P46" s="1325"/>
      <c r="Q46" s="1325"/>
      <c r="R46" s="1325"/>
      <c r="S46" s="1325"/>
      <c r="T46" s="1325"/>
      <c r="U46" s="1325"/>
      <c r="V46" s="1388" cm="1" t="str">
        <f t="array" ref="V46:V46">V45</f>
        <v>true</v>
      </c>
      <c r="W46" s="1325"/>
      <c r="X46" s="1325"/>
      <c r="Y46" s="1543"/>
      <c r="Z46" s="1544"/>
      <c r="AA46" s="1325"/>
      <c r="AB46" s="1429">
        <v>4</v>
      </c>
      <c r="AC46" s="1430" t="s">
        <v>567</v>
      </c>
      <c r="AD46" s="1431"/>
      <c r="AE46" s="1432">
        <v>1</v>
      </c>
      <c r="AF46" s="1432"/>
      <c r="AG46" s="1432"/>
      <c r="AH46" s="1432">
        <v>0</v>
      </c>
      <c r="AI46" s="1432"/>
      <c r="AJ46" s="2395"/>
      <c r="AK46" s="2395"/>
      <c r="AL46" s="2395"/>
      <c r="AM46" s="2395"/>
      <c r="AN46" s="2395"/>
      <c r="AO46" s="2395"/>
      <c r="AP46" s="2395"/>
      <c r="AQ46" s="2395"/>
      <c r="AR46" s="2395"/>
      <c r="AS46" s="1432">
        <v>1</v>
      </c>
      <c r="AT46" s="2395"/>
      <c r="AU46" s="2395"/>
      <c r="AV46" s="2395"/>
      <c r="AW46" s="2395"/>
      <c r="AX46" s="2395"/>
      <c r="AY46" s="2395"/>
      <c r="AZ46" s="2395"/>
      <c r="BA46" s="2395"/>
      <c r="BB46" s="2395"/>
      <c r="BC46" s="423"/>
      <c r="BD46" s="1179" t="s">
        <v>650</v>
      </c>
      <c r="BE46" s="423"/>
      <c r="BF46" s="423"/>
      <c r="BG46" s="423"/>
      <c r="BH46" s="423"/>
      <c r="BI46" s="423"/>
      <c r="BJ46" s="423"/>
      <c r="BK46" s="423"/>
      <c r="BL46" s="423"/>
      <c r="BM46" s="423"/>
      <c r="BN46" s="423"/>
      <c r="BO46" s="423"/>
    </row>
    <row customHeight="1" ht="10.725000000000001">
      <c r="A47" s="1386"/>
      <c r="B47" s="1392"/>
      <c r="C47" s="1386"/>
      <c r="D47" s="1386"/>
      <c r="E47" s="1393">
        <v>11</v>
      </c>
      <c r="F47" s="1387" cm="1" t="str">
        <f t="array" ref="F47:F47">OFFSET(E47,-1,1)</f>
        <v>3</v>
      </c>
      <c r="G47" s="1386"/>
      <c r="H47" s="1386"/>
      <c r="I47" s="1386"/>
      <c r="J47" s="1386"/>
      <c r="K47" s="1386"/>
      <c r="L47" s="1386"/>
      <c r="M47" s="1386"/>
      <c r="N47" s="1386"/>
      <c r="O47" s="1386"/>
      <c r="P47" s="1386"/>
      <c r="Q47" s="1386"/>
      <c r="R47" s="1386"/>
      <c r="S47" s="1386"/>
      <c r="T47" s="1386"/>
      <c r="U47" s="1386"/>
      <c r="V47" s="1386"/>
      <c r="W47" s="1434" t="s">
        <v>177</v>
      </c>
      <c r="X47" s="2402" t="s">
        <v>651</v>
      </c>
      <c r="Y47" s="1386"/>
      <c r="Z47" s="1386"/>
      <c r="AA47" s="1386"/>
      <c r="AB47" s="1435"/>
      <c r="AC47" s="1434"/>
      <c r="AD47" s="1386"/>
      <c r="AE47" s="1386"/>
      <c r="AF47" s="1386"/>
      <c r="AG47" s="1386"/>
      <c r="AH47" s="1386"/>
      <c r="AI47" s="1386"/>
      <c r="AJ47" s="1386"/>
      <c r="AK47" s="1386"/>
      <c r="AL47" s="1386"/>
      <c r="AM47" s="1386"/>
      <c r="AN47" s="1386"/>
      <c r="AO47" s="1386"/>
      <c r="AP47" s="1386"/>
      <c r="AQ47" s="1386"/>
      <c r="AR47" s="1386"/>
      <c r="AS47" s="1386"/>
      <c r="AT47" s="1386"/>
      <c r="AU47" s="1386"/>
      <c r="AV47" s="1386"/>
      <c r="AW47" s="1386"/>
      <c r="AX47" s="1386"/>
      <c r="AY47" s="1386"/>
      <c r="AZ47" s="1386"/>
      <c r="BA47" s="1386"/>
      <c r="BB47" s="1386"/>
      <c r="BC47" s="1177"/>
      <c r="BD47" s="1179"/>
      <c r="BE47" s="375"/>
      <c r="BF47" s="375"/>
      <c r="BG47" s="375"/>
      <c r="BH47" s="375"/>
      <c r="BI47" s="375"/>
      <c r="BJ47" s="1177"/>
      <c r="BK47" s="1177"/>
      <c r="BL47" s="1177"/>
      <c r="BM47" s="1177"/>
      <c r="BN47" s="1177"/>
      <c r="BO47" s="1177"/>
    </row>
  </sheetData>
  <sheetProtection formatColumns="0" formatRows="0" insertRows="0" deleteColumns="0" deleteRows="0" sort="0" autoFilter="0" insertColumns="1"/>
  <mergeCells count="11">
    <mergeCell ref="AB24:AB25"/>
    <mergeCell ref="AC24:AC25"/>
    <mergeCell ref="AD24:AD25"/>
    <mergeCell ref="Y27:Y31"/>
    <mergeCell ref="Z27:Z31"/>
    <mergeCell ref="Y32:Y36"/>
    <mergeCell ref="Z32:Z36"/>
    <mergeCell ref="Y37:Y41"/>
    <mergeCell ref="Z37:Z41"/>
    <mergeCell ref="Y42:Y46"/>
    <mergeCell ref="Z42:Z46"/>
  </mergeCells>
  <dataValidations count="2">
    <dataValidation allowBlank="1" showErrorMessage="1" errorTitle="Ошибка" error="Допускается ввод только неотрицательных чисел!" sqref="AE26:BB26"/>
    <dataValidation type="decimal" allowBlank="1" showErrorMessage="1" errorTitle="Ошибка" error="Допускается ввод только неотрицательных чисел!" sqref="BB29:BB31 BB34:BB36 BB39:BB41 BB44:BB46 BA29:BA31 BA34:BA36 BA39:BA41 BA44:BA46 AZ29:AZ31 AZ34:AZ36 AZ39:AZ41 AZ44:AZ46 AY29:AY31 AY34:AY36 AY39:AY41 AY44:AY46 AX29:AX31 AX34:AX36 AX39:AX41 AX44:AX46 AW29:AW31 AW34:AW36 AW39:AW41 AW44:AW46 AV29:AV31 AV34:AV36 AV39:AV41 AV44:AV46 AU29:AU31 AU34:AU36 AU39:AU41 AU44:AU46 AT29:AT31 AT34:AT36 AT39:AT41 AT44:AT46 AS29:AS31 AS34:AS36 AS39:AS41 AS44:AS46 AR29:AR31 AR34:AR36 AR39:AR41 AR44:AR46 AQ29:AQ31 AQ34:AQ36 AQ39:AQ41 AQ44:AQ46 AP29:AP31 AP34:AP36 AP39:AP41 AP44:AP46 AO29:AO31 AO34:AO36 AO39:AO41 AO44:AO46 AN29:AN31 AN34:AN36 AN39:AN41 AN44:AN46 AM29:AM31 AM34:AM36 AM39:AM41 AM44:AM46 AL29:AL31 AL34:AL36 AL39:AL41 AL44:AL46 AK29:AK31 AK34:AK36 AK39:AK41 AK44:AK46 AJ29:AJ31 AJ34:AJ36 AJ39:AJ41 AJ44:AJ46 AI29:AI31 AI34:AI36 AI39:AI41 AI44:AI46 AH29:AH31 AH34:AH36 AH39:AH41 AH44:AH46 AF29:AG31 AF34:AG36 AF39:AG41 AF44:AG46 AE29:AE31 AE34:AE36 AE39:AE41 AE44:AE46">
      <formula1>0</formula1>
      <formula2>9.99999999999999E+23</formula2>
    </dataValidation>
  </dataValidations>
  <pageMargins left="0.35" right="0.35" top="0.40" bottom="0.40" header="0.31" footer="0.31"/>
  <pageSetup paperSize="9" scale="50" fitToHeight="0" pageOrder="downThenOver" orientation="landscape"/>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7C7C2EB-F91C-2398-0FD8-94E244993168}" mc:Ignorable="x14ac xr xr2 xr3">
  <sheetPr>
    <tabColor theme="6" tint="0.4"/>
    <outlinePr summaryRight="0" summaryBelow="0"/>
    <pageSetUpPr fitToPage="1"/>
  </sheetPr>
  <dimension ref="A1:BF396"/>
  <sheetViews>
    <sheetView showGridLines="0" workbookViewId="0">
      <pane xSplit="30" ySplit="25" topLeftCell="AE366" activePane="bottomRight" state="frozen"/>
      <selection pane="bottomLeft" activeCell="A26" sqref="A26"/>
      <selection pane="topRight" activeCell="AE1" sqref="AE1"/>
      <selection pane="bottomRight" activeCell="AD123" sqref="AD123"/>
    </sheetView>
  </sheetViews>
  <sheetFormatPr defaultColWidth="9.140625" customHeight="1" defaultRowHeight="11.25"/>
  <cols>
    <col min="1" max="1" style="1328" width="3.57421875" hidden="1" customWidth="1"/>
    <col min="2" max="2" style="1186" width="8.8515625" hidden="1" customWidth="1"/>
    <col min="3" max="4" style="1328" width="3.57421875" hidden="1" customWidth="1"/>
    <col min="5" max="5" style="1329" width="3.57421875" hidden="1" customWidth="1"/>
    <col min="6" max="6" style="1346" width="13.28125" hidden="1" customWidth="1"/>
    <col min="7" max="7" style="1328" width="11.421875" hidden="1" customWidth="1"/>
    <col min="8" max="8" style="1328" width="9.7109375" hidden="1" customWidth="1"/>
    <col min="9" max="9" style="1328" width="6.421875" hidden="1" customWidth="1"/>
    <col min="10" max="10" style="1328" width="3.57421875" hidden="1" customWidth="1"/>
    <col min="11" max="11" style="1328" width="6.140625" hidden="1" customWidth="1"/>
    <col min="12" max="15" style="1328" width="3.57421875" hidden="1" customWidth="1"/>
    <col min="16" max="17" style="1308" width="3.57421875" hidden="1" customWidth="1"/>
    <col min="18" max="18" style="1308" width="7.7109375" hidden="1" customWidth="1"/>
    <col min="19" max="19" style="1308" width="10.00390625" hidden="1" customWidth="1"/>
    <col min="20" max="20" style="1308" width="10.421875" hidden="1" customWidth="1"/>
    <col min="21" max="21" style="1308" width="5.8515625" hidden="1" customWidth="1"/>
    <col min="22" max="22" style="1328" width="6.140625" hidden="1" customWidth="1"/>
    <col min="23" max="23" style="1308" width="5.57421875" hidden="1" customWidth="1"/>
    <col min="24" max="24" style="1328" width="5.28125" hidden="1" customWidth="1"/>
    <col min="25" max="26" style="1328" width="3.57421875" hidden="1" customWidth="1"/>
    <col min="27" max="27" style="1328" width="3.00390625" customWidth="1"/>
    <col min="28" max="28" style="1189" width="11.00390625" customWidth="1"/>
    <col min="29" max="29" style="1189" width="37.57421875" customWidth="1"/>
    <col min="30" max="30" style="1189" width="10.29296875" customWidth="1"/>
    <col min="31" max="35" style="1328" width="13.00390625" customWidth="1"/>
    <col min="36" max="44" style="1328" width="13.00390625" hidden="1" customWidth="1"/>
    <col min="45" max="45" style="1328" width="13.00390625" customWidth="1"/>
    <col min="46" max="54" style="1328" width="13.00390625" hidden="1" customWidth="1"/>
    <col min="55" max="55" style="1189" width="61.8515625" customWidth="1"/>
    <col min="56" max="56" style="1328" width="3.00390625" customWidth="1"/>
    <col min="57" max="57" style="1328" width="9.140625" hidden="1"/>
    <col min="58" max="58" style="1330" width="9.140625" hidden="1"/>
  </cols>
  <sheetData>
    <row customHeight="1" ht="11.25" hidden="1">
      <c r="E1" s="94"/>
      <c r="F1" s="345" t="s">
        <v>333</v>
      </c>
      <c r="H1" s="94" t="s">
        <v>343</v>
      </c>
      <c r="T1" s="468" t="s">
        <v>93</v>
      </c>
      <c r="U1" s="468" t="s">
        <v>98</v>
      </c>
      <c r="V1" s="468" t="s">
        <v>94</v>
      </c>
      <c r="W1" s="468" t="s">
        <v>95</v>
      </c>
      <c r="X1" s="468" t="s">
        <v>96</v>
      </c>
      <c r="Y1" s="468" t="s">
        <v>100</v>
      </c>
      <c r="Z1" s="468" t="s">
        <v>335</v>
      </c>
      <c r="AA1" s="468" t="s">
        <v>97</v>
      </c>
      <c r="AC1" s="468" t="s">
        <v>99</v>
      </c>
      <c r="AI1" s="1328"/>
      <c r="AJ1" s="1328"/>
      <c r="AK1" s="1328"/>
      <c r="AL1" s="1328"/>
      <c r="AM1" s="1328"/>
      <c r="AN1" s="1328"/>
      <c r="AO1" s="1328"/>
      <c r="AP1" s="1328"/>
      <c r="AQ1" s="1328"/>
      <c r="AR1" s="1328"/>
      <c r="AS1" s="1328"/>
      <c r="AT1" s="1328"/>
      <c r="AU1" s="1328"/>
      <c r="AV1" s="1328"/>
      <c r="AW1" s="1328"/>
      <c r="AX1" s="1328"/>
      <c r="AY1" s="1328"/>
      <c r="AZ1" s="1328"/>
      <c r="BA1" s="1328"/>
      <c r="BB1" s="1328"/>
      <c r="BF1" s="1023" t="s">
        <v>336</v>
      </c>
    </row>
    <row s="1186" customFormat="1" customHeight="1" ht="11.25" hidden="1">
      <c r="B2" s="447" t="s">
        <v>19</v>
      </c>
      <c r="F2" s="753"/>
      <c r="P2" s="661"/>
      <c r="Q2" s="661"/>
      <c r="R2" s="661"/>
      <c r="S2" s="661"/>
      <c r="T2" s="661"/>
      <c r="U2" s="661"/>
      <c r="W2" s="661"/>
      <c r="AB2" s="431"/>
      <c r="AC2" s="431"/>
      <c r="AD2" s="431"/>
      <c r="AF2" s="1186" cm="1" t="str">
        <f t="array" ref="AF2:AF2">isOrgDeclare</f>
        <v>true</v>
      </c>
      <c r="AI2" s="448">
        <f>AND(AI6&lt;=last_year_vis,isOrgDeclare)</f>
        <v>1</v>
      </c>
      <c r="AJ2" s="448">
        <f>AND(AJ6&lt;=last_year_vis,isOrgDeclare)</f>
        <v>0</v>
      </c>
      <c r="AK2" s="448">
        <f>AND(AK6&lt;=last_year_vis,isOrgDeclare)</f>
        <v>0</v>
      </c>
      <c r="AL2" s="448">
        <f>AND(AL6&lt;=last_year_vis,isOrgDeclare)</f>
        <v>0</v>
      </c>
      <c r="AM2" s="448">
        <f>AND(AM6&lt;=last_year_vis,isOrgDeclare)</f>
        <v>0</v>
      </c>
      <c r="AN2" s="448">
        <f>AND(AN6&lt;=last_year_vis,isOrgDeclare)</f>
        <v>0</v>
      </c>
      <c r="AO2" s="448">
        <f>AND(AO6&lt;=last_year_vis,isOrgDeclare)</f>
        <v>0</v>
      </c>
      <c r="AP2" s="448">
        <f>AND(AP6&lt;=last_year_vis,isOrgDeclare)</f>
        <v>0</v>
      </c>
      <c r="AQ2" s="448">
        <f>AND(AQ6&lt;=last_year_vis,isOrgDeclare)</f>
        <v>0</v>
      </c>
      <c r="AR2" s="448">
        <f>AND(AR6&lt;=last_year_vis,isOrgDeclare)</f>
        <v>0</v>
      </c>
      <c r="AS2" s="448">
        <f>AS6&lt;=last_year_vis</f>
        <v>1</v>
      </c>
      <c r="AT2" s="448">
        <f>AT6&lt;=last_year_vis</f>
        <v>0</v>
      </c>
      <c r="AU2" s="448">
        <f>AU6&lt;=last_year_vis</f>
        <v>0</v>
      </c>
      <c r="AV2" s="448">
        <f>AV6&lt;=last_year_vis</f>
        <v>0</v>
      </c>
      <c r="AW2" s="448">
        <f>AW6&lt;=last_year_vis</f>
        <v>0</v>
      </c>
      <c r="AX2" s="448">
        <f>AX6&lt;=last_year_vis</f>
        <v>0</v>
      </c>
      <c r="AY2" s="448">
        <f>AY6&lt;=last_year_vis</f>
        <v>0</v>
      </c>
      <c r="AZ2" s="448">
        <f>AZ6&lt;=last_year_vis</f>
        <v>0</v>
      </c>
      <c r="BA2" s="448">
        <f>BA6&lt;=last_year_vis</f>
        <v>0</v>
      </c>
      <c r="BB2" s="448">
        <f>BB6&lt;=last_year_vis</f>
        <v>0</v>
      </c>
      <c r="BC2" s="431"/>
      <c r="BF2" s="1024"/>
    </row>
    <row customHeight="1" ht="11.25" hidden="1">
      <c r="E3" s="94"/>
      <c r="AI3" s="1328"/>
      <c r="AJ3" s="1328"/>
      <c r="AK3" s="1328"/>
      <c r="AL3" s="1328"/>
      <c r="AM3" s="1328"/>
      <c r="AN3" s="1328"/>
      <c r="AO3" s="1328"/>
      <c r="AP3" s="1328"/>
      <c r="AQ3" s="1328"/>
      <c r="AR3" s="1328"/>
      <c r="AS3" s="1328"/>
      <c r="AT3" s="1328"/>
      <c r="AU3" s="1328"/>
      <c r="AV3" s="1328"/>
      <c r="AW3" s="1328"/>
      <c r="AX3" s="1328"/>
      <c r="AY3" s="1328"/>
      <c r="AZ3" s="1328"/>
      <c r="BA3" s="1328"/>
      <c r="BB3" s="1328"/>
    </row>
    <row customHeight="1" ht="11.25" hidden="1">
      <c r="E4" s="94"/>
      <c r="AI4" s="1328"/>
      <c r="AJ4" s="1328"/>
      <c r="AK4" s="1328"/>
      <c r="AL4" s="1328"/>
      <c r="AM4" s="1328"/>
      <c r="AN4" s="1328"/>
      <c r="AO4" s="1328"/>
      <c r="AP4" s="1328"/>
      <c r="AQ4" s="1328"/>
      <c r="AR4" s="1328"/>
      <c r="AS4" s="1328"/>
      <c r="AT4" s="1328"/>
      <c r="AU4" s="1328"/>
      <c r="AV4" s="1328"/>
      <c r="AW4" s="1328"/>
      <c r="AX4" s="1328"/>
      <c r="AY4" s="1328"/>
      <c r="AZ4" s="1328"/>
      <c r="BA4" s="1328"/>
      <c r="BB4" s="1328"/>
    </row>
    <row s="1329" customFormat="1" customHeight="1" ht="11.25" hidden="1">
      <c r="A5" s="94"/>
      <c r="B5" s="429"/>
      <c r="C5" s="94"/>
      <c r="D5" s="94"/>
      <c r="E5" s="637" t="s">
        <v>20</v>
      </c>
      <c r="F5" s="622"/>
      <c r="P5" s="662"/>
      <c r="Q5" s="662"/>
      <c r="R5" s="662"/>
      <c r="S5" s="662"/>
      <c r="T5" s="662"/>
      <c r="U5" s="662"/>
      <c r="W5" s="662"/>
      <c r="AA5" s="637">
        <v>3</v>
      </c>
      <c r="AB5" s="635">
        <v>11</v>
      </c>
      <c r="AC5" s="635">
        <v>50</v>
      </c>
      <c r="AD5" s="635">
        <v>10.29</v>
      </c>
      <c r="AE5" s="637">
        <v>13</v>
      </c>
      <c r="AF5" s="637">
        <v>13</v>
      </c>
      <c r="AG5" s="637">
        <v>13</v>
      </c>
      <c r="AH5" s="637">
        <v>13</v>
      </c>
      <c r="AI5" s="637">
        <v>13</v>
      </c>
      <c r="AJ5" s="637">
        <v>13</v>
      </c>
      <c r="AK5" s="637">
        <v>13</v>
      </c>
      <c r="AL5" s="637">
        <v>13</v>
      </c>
      <c r="AM5" s="637">
        <v>13</v>
      </c>
      <c r="AN5" s="637">
        <v>13</v>
      </c>
      <c r="AO5" s="637">
        <v>13</v>
      </c>
      <c r="AP5" s="637">
        <v>13</v>
      </c>
      <c r="AQ5" s="637">
        <v>13</v>
      </c>
      <c r="AR5" s="637">
        <v>13</v>
      </c>
      <c r="AS5" s="637">
        <v>13</v>
      </c>
      <c r="AT5" s="637">
        <v>13</v>
      </c>
      <c r="AU5" s="637">
        <v>13</v>
      </c>
      <c r="AV5" s="637">
        <v>13</v>
      </c>
      <c r="AW5" s="637">
        <v>13</v>
      </c>
      <c r="AX5" s="637">
        <v>13</v>
      </c>
      <c r="AY5" s="637">
        <v>13</v>
      </c>
      <c r="AZ5" s="637">
        <v>13</v>
      </c>
      <c r="BA5" s="637">
        <v>13</v>
      </c>
      <c r="BB5" s="637">
        <v>13</v>
      </c>
      <c r="BC5" s="635">
        <v>20</v>
      </c>
      <c r="BD5" s="637">
        <v>3</v>
      </c>
      <c r="BF5" s="1023"/>
    </row>
    <row customHeight="1" ht="11.25" hidden="1">
      <c r="A6" s="94" t="s">
        <v>371</v>
      </c>
      <c r="AE6" s="94">
        <f>god-2</f>
        <v>2024</v>
      </c>
      <c r="AF6" s="94">
        <f>god-2</f>
        <v>2024</v>
      </c>
      <c r="AG6" s="94">
        <f>god-2</f>
        <v>2024</v>
      </c>
      <c r="AH6" s="94">
        <f>god-1</f>
        <v>2025</v>
      </c>
      <c r="AI6" s="94" cm="1" t="str">
        <f t="array" ref="AI6:AI6">god</f>
        <v>2026</v>
      </c>
      <c r="AJ6" s="94">
        <f>god+1</f>
        <v>2027</v>
      </c>
      <c r="AK6" s="94">
        <f>god+2</f>
        <v>2028</v>
      </c>
      <c r="AL6" s="94">
        <f>god+3</f>
        <v>2029</v>
      </c>
      <c r="AM6" s="94">
        <f>god+4</f>
        <v>2030</v>
      </c>
      <c r="AN6" s="94">
        <f>god+5</f>
        <v>2031</v>
      </c>
      <c r="AO6" s="94">
        <f>god+6</f>
        <v>2032</v>
      </c>
      <c r="AP6" s="94">
        <f>god+7</f>
        <v>2033</v>
      </c>
      <c r="AQ6" s="94">
        <f>god+8</f>
        <v>2034</v>
      </c>
      <c r="AR6" s="94">
        <f>god+9</f>
        <v>2035</v>
      </c>
      <c r="AS6" s="94" cm="1" t="str">
        <f t="array" ref="AS6:AS6">god</f>
        <v>2026</v>
      </c>
      <c r="AT6" s="94">
        <f>god+1</f>
        <v>2027</v>
      </c>
      <c r="AU6" s="94">
        <f>god+2</f>
        <v>2028</v>
      </c>
      <c r="AV6" s="94">
        <f>god+3</f>
        <v>2029</v>
      </c>
      <c r="AW6" s="94">
        <f>god+4</f>
        <v>2030</v>
      </c>
      <c r="AX6" s="94">
        <f>god+5</f>
        <v>2031</v>
      </c>
      <c r="AY6" s="94">
        <f>god+6</f>
        <v>2032</v>
      </c>
      <c r="AZ6" s="94">
        <f>god+7</f>
        <v>2033</v>
      </c>
      <c r="BA6" s="94">
        <f>god+8</f>
        <v>2034</v>
      </c>
      <c r="BB6" s="94">
        <f>god+9</f>
        <v>2035</v>
      </c>
    </row>
    <row customHeight="1" ht="11.25" hidden="1">
      <c r="A7" s="94" t="s">
        <v>372</v>
      </c>
      <c r="AE7" s="94" cm="1" t="str">
        <f t="array" ref="AE7:AE7">AE25</f>
        <v>Принято органом регулирования</v>
      </c>
      <c r="AF7" s="94" cm="1" t="str">
        <f t="array" ref="AF7:AF7">AF25</f>
        <v>Факт по данным организации</v>
      </c>
      <c r="AG7" s="94" cm="1" t="str">
        <f t="array" ref="AG7:AG7">AG25</f>
        <v>Факт, принятый органом регулирования</v>
      </c>
      <c r="AH7" s="94" cm="1" t="str">
        <f t="array" ref="AH7:AH7">AH25</f>
        <v>Принято органом регулирования</v>
      </c>
      <c r="AI7" s="94" cm="1" t="str">
        <f t="array" ref="AI7:AI7">AI25</f>
        <v>Предложение организации</v>
      </c>
      <c r="AJ7" s="94" cm="1" t="str">
        <f t="array" ref="AJ7:AJ7">AJ25</f>
        <v>Предложение организации</v>
      </c>
      <c r="AK7" s="94" cm="1" t="str">
        <f t="array" ref="AK7:AK7">AK25</f>
        <v>Предложение организации</v>
      </c>
      <c r="AL7" s="94" cm="1" t="str">
        <f t="array" ref="AL7:AL7">AL25</f>
        <v>Предложение организации</v>
      </c>
      <c r="AM7" s="94" cm="1" t="str">
        <f t="array" ref="AM7:AM7">AM25</f>
        <v>Предложение организации</v>
      </c>
      <c r="AN7" s="94" cm="1" t="str">
        <f t="array" ref="AN7:AN7">AN25</f>
        <v>Предложение организации</v>
      </c>
      <c r="AO7" s="94" cm="1" t="str">
        <f t="array" ref="AO7:AO7">AO25</f>
        <v>Предложение организации</v>
      </c>
      <c r="AP7" s="94" cm="1" t="str">
        <f t="array" ref="AP7:AP7">AP25</f>
        <v>Предложение организации</v>
      </c>
      <c r="AQ7" s="94" cm="1" t="str">
        <f t="array" ref="AQ7:AQ7">AQ25</f>
        <v>Предложение организации</v>
      </c>
      <c r="AR7" s="94" cm="1" t="str">
        <f t="array" ref="AR7:AR7">AR25</f>
        <v>Предложение организации</v>
      </c>
      <c r="AS7" s="94" cm="1" t="str">
        <f t="array" ref="AS7:AS7">AS25</f>
        <v>Принято органом регулирования</v>
      </c>
      <c r="AT7" s="94" cm="1" t="str">
        <f t="array" ref="AT7:AT7">AT25</f>
        <v>Принято органом регулирования</v>
      </c>
      <c r="AU7" s="94" cm="1" t="str">
        <f t="array" ref="AU7:AU7">AU25</f>
        <v>Принято органом регулирования</v>
      </c>
      <c r="AV7" s="94" cm="1" t="str">
        <f t="array" ref="AV7:AV7">AV25</f>
        <v>Принято органом регулирования</v>
      </c>
      <c r="AW7" s="94" cm="1" t="str">
        <f t="array" ref="AW7:AW7">AW25</f>
        <v>Принято органом регулирования</v>
      </c>
      <c r="AX7" s="94" cm="1" t="str">
        <f t="array" ref="AX7:AX7">AX25</f>
        <v>Принято органом регулирования</v>
      </c>
      <c r="AY7" s="94" cm="1" t="str">
        <f t="array" ref="AY7:AY7">AY25</f>
        <v>Принято органом регулирования</v>
      </c>
      <c r="AZ7" s="94" cm="1" t="str">
        <f t="array" ref="AZ7:AZ7">AZ25</f>
        <v>Принято органом регулирования</v>
      </c>
      <c r="BA7" s="94" cm="1" t="str">
        <f t="array" ref="BA7:BA7">BA25</f>
        <v>Принято органом регулирования</v>
      </c>
      <c r="BB7" s="94" cm="1" t="str">
        <f t="array" ref="BB7:BB7">BB25</f>
        <v>Принято органом регулирования</v>
      </c>
    </row>
    <row customHeight="1" ht="11.25" hidden="1">
      <c r="AE8" s="94" t="str">
        <f>AE6&amp;AE7</f>
        <v>2024Принято органом регулирования</v>
      </c>
      <c r="AF8" s="94" t="str">
        <f>AF6&amp;AF7</f>
        <v>2024Факт по данным организации</v>
      </c>
      <c r="AG8" s="94" t="str">
        <f>AG6&amp;AG7</f>
        <v>2024Факт, принятый органом регулирования</v>
      </c>
      <c r="AH8" s="94" t="str">
        <f>AH6&amp;AH7</f>
        <v>2025Принято органом регулирования</v>
      </c>
      <c r="AI8" s="94" t="str">
        <f>AI6&amp;AI7</f>
        <v>2026Предложение организации</v>
      </c>
      <c r="AJ8" s="94" t="str">
        <f>AJ6&amp;AJ7</f>
        <v>2027Предложение организации</v>
      </c>
      <c r="AK8" s="94" t="str">
        <f>AK6&amp;AK7</f>
        <v>2028Предложение организации</v>
      </c>
      <c r="AL8" s="94" t="str">
        <f>AL6&amp;AL7</f>
        <v>2029Предложение организации</v>
      </c>
      <c r="AM8" s="94" t="str">
        <f>AM6&amp;AM7</f>
        <v>2030Предложение организации</v>
      </c>
      <c r="AN8" s="94" t="str">
        <f>AN6&amp;AN7</f>
        <v>2031Предложение организации</v>
      </c>
      <c r="AO8" s="94" t="str">
        <f>AO6&amp;AO7</f>
        <v>2032Предложение организации</v>
      </c>
      <c r="AP8" s="94" t="str">
        <f>AP6&amp;AP7</f>
        <v>2033Предложение организации</v>
      </c>
      <c r="AQ8" s="94" t="str">
        <f>AQ6&amp;AQ7</f>
        <v>2034Предложение организации</v>
      </c>
      <c r="AR8" s="94" t="str">
        <f>AR6&amp;AR7</f>
        <v>2035Предложение организации</v>
      </c>
      <c r="AS8" s="94" t="str">
        <f>AS6&amp;AS7</f>
        <v>2026Принято органом регулирования</v>
      </c>
      <c r="AT8" s="94" t="str">
        <f>AT6&amp;AT7</f>
        <v>2027Принято органом регулирования</v>
      </c>
      <c r="AU8" s="94" t="str">
        <f>AU6&amp;AU7</f>
        <v>2028Принято органом регулирования</v>
      </c>
      <c r="AV8" s="94" t="str">
        <f>AV6&amp;AV7</f>
        <v>2029Принято органом регулирования</v>
      </c>
      <c r="AW8" s="94" t="str">
        <f>AW6&amp;AW7</f>
        <v>2030Принято органом регулирования</v>
      </c>
      <c r="AX8" s="94" t="str">
        <f>AX6&amp;AX7</f>
        <v>2031Принято органом регулирования</v>
      </c>
      <c r="AY8" s="94" t="str">
        <f>AY6&amp;AY7</f>
        <v>2032Принято органом регулирования</v>
      </c>
      <c r="AZ8" s="94" t="str">
        <f>AZ6&amp;AZ7</f>
        <v>2033Принято органом регулирования</v>
      </c>
      <c r="BA8" s="94" t="str">
        <f>BA6&amp;BA7</f>
        <v>2034Принято органом регулирования</v>
      </c>
      <c r="BB8" s="94" t="str">
        <f>BB6&amp;BB7</f>
        <v>2035Принято органом регулирования</v>
      </c>
    </row>
    <row s="1330" customFormat="1" customHeight="1" ht="11.25" hidden="1">
      <c r="A9" s="1023" t="s">
        <v>376</v>
      </c>
      <c r="B9" s="1024"/>
      <c r="F9" s="1025"/>
      <c r="P9" s="1009"/>
      <c r="Q9" s="1009"/>
      <c r="R9" s="1009"/>
      <c r="S9" s="1009"/>
      <c r="T9" s="1009"/>
      <c r="U9" s="1009"/>
      <c r="W9" s="1009"/>
      <c r="AB9" s="1021"/>
      <c r="AC9" s="1021"/>
      <c r="AD9" s="1021"/>
      <c r="AE9" s="1023" cm="1" t="str">
        <f t="array" ref="AE9:AE9">AE6</f>
        <v>2024</v>
      </c>
      <c r="AF9" s="1023" cm="1" t="str">
        <f t="array" ref="AF9:AF9">AF6</f>
        <v>2024</v>
      </c>
      <c r="AG9" s="1023" cm="1" t="str">
        <f t="array" ref="AG9:AG9">AG6</f>
        <v>2024</v>
      </c>
      <c r="AH9" s="1023" cm="1" t="str">
        <f t="array" ref="AH9:AH9">AH6</f>
        <v>2025</v>
      </c>
      <c r="AI9" s="1023" cm="1" t="str">
        <f t="array" ref="AI9:AI9">AI6</f>
        <v>2026</v>
      </c>
      <c r="AJ9" s="1023" cm="1" t="str">
        <f t="array" ref="AJ9:AJ9">AJ6</f>
        <v>2027</v>
      </c>
      <c r="AK9" s="1023" cm="1" t="str">
        <f t="array" ref="AK9:AK9">AK6</f>
        <v>2028</v>
      </c>
      <c r="AL9" s="1023" cm="1" t="str">
        <f t="array" ref="AL9:AL9">AL6</f>
        <v>2029</v>
      </c>
      <c r="AM9" s="1023" cm="1" t="str">
        <f t="array" ref="AM9:AM9">AM6</f>
        <v>2030</v>
      </c>
      <c r="AN9" s="1023" cm="1" t="str">
        <f t="array" ref="AN9:AN9">AN6</f>
        <v>2031</v>
      </c>
      <c r="AO9" s="1023" cm="1" t="str">
        <f t="array" ref="AO9:AO9">AO6</f>
        <v>2032</v>
      </c>
      <c r="AP9" s="1023" cm="1" t="str">
        <f t="array" ref="AP9:AP9">AP6</f>
        <v>2033</v>
      </c>
      <c r="AQ9" s="1023" cm="1" t="str">
        <f t="array" ref="AQ9:AQ9">AQ6</f>
        <v>2034</v>
      </c>
      <c r="AR9" s="1023" cm="1" t="str">
        <f t="array" ref="AR9:AR9">AR6</f>
        <v>2035</v>
      </c>
      <c r="AS9" s="1023" cm="1" t="str">
        <f t="array" ref="AS9:AS9">AS6</f>
        <v>2026</v>
      </c>
      <c r="AT9" s="1023" cm="1" t="str">
        <f t="array" ref="AT9:AT9">AT6</f>
        <v>2027</v>
      </c>
      <c r="AU9" s="1023" cm="1" t="str">
        <f t="array" ref="AU9:AU9">AU6</f>
        <v>2028</v>
      </c>
      <c r="AV9" s="1023" cm="1" t="str">
        <f t="array" ref="AV9:AV9">AV6</f>
        <v>2029</v>
      </c>
      <c r="AW9" s="1023" cm="1" t="str">
        <f t="array" ref="AW9:AW9">AW6</f>
        <v>2030</v>
      </c>
      <c r="AX9" s="1023" cm="1" t="str">
        <f t="array" ref="AX9:AX9">AX6</f>
        <v>2031</v>
      </c>
      <c r="AY9" s="1023" cm="1" t="str">
        <f t="array" ref="AY9:AY9">AY6</f>
        <v>2032</v>
      </c>
      <c r="AZ9" s="1023" cm="1" t="str">
        <f t="array" ref="AZ9:AZ9">AZ6</f>
        <v>2033</v>
      </c>
      <c r="BA9" s="1023" cm="1" t="str">
        <f t="array" ref="BA9:BA9">BA6</f>
        <v>2034</v>
      </c>
      <c r="BB9" s="1023" cm="1" t="str">
        <f t="array" ref="BB9:BB9">BB6</f>
        <v>2035</v>
      </c>
      <c r="BC9" s="1021"/>
    </row>
    <row s="1330" customFormat="1" customHeight="1" ht="11.25" hidden="1">
      <c r="A10" s="1023" t="s">
        <v>377</v>
      </c>
      <c r="B10" s="1024"/>
      <c r="F10" s="1025"/>
      <c r="P10" s="1009"/>
      <c r="Q10" s="1009"/>
      <c r="R10" s="1009"/>
      <c r="S10" s="1009"/>
      <c r="T10" s="1009"/>
      <c r="U10" s="1009"/>
      <c r="W10" s="1009"/>
      <c r="AB10" s="1021"/>
      <c r="AC10" s="1021"/>
      <c r="AD10" s="1021"/>
      <c r="AE10" s="1023" cm="1" t="str">
        <f t="array" ref="AE10:AE10">AE25</f>
        <v>Принято органом регулирования</v>
      </c>
      <c r="AF10" s="1023" cm="1" t="str">
        <f t="array" ref="AF10:AF10">AF25</f>
        <v>Факт по данным организации</v>
      </c>
      <c r="AG10" s="1023" cm="1" t="str">
        <f t="array" ref="AG10:AG10">AG25</f>
        <v>Факт, принятый органом регулирования</v>
      </c>
      <c r="AH10" s="1023" cm="1" t="str">
        <f t="array" ref="AH10:AH10">AH25</f>
        <v>Принято органом регулирования</v>
      </c>
      <c r="AI10" s="1023" cm="1" t="str">
        <f t="array" ref="AI10:AI10">AI25</f>
        <v>Предложение организации</v>
      </c>
      <c r="AJ10" s="1023" cm="1" t="str">
        <f t="array" ref="AJ10:AJ10">AJ25</f>
        <v>Предложение организации</v>
      </c>
      <c r="AK10" s="1023" cm="1" t="str">
        <f t="array" ref="AK10:AK10">AK25</f>
        <v>Предложение организации</v>
      </c>
      <c r="AL10" s="1023" cm="1" t="str">
        <f t="array" ref="AL10:AL10">AL25</f>
        <v>Предложение организации</v>
      </c>
      <c r="AM10" s="1023" cm="1" t="str">
        <f t="array" ref="AM10:AM10">AM25</f>
        <v>Предложение организации</v>
      </c>
      <c r="AN10" s="1023" cm="1" t="str">
        <f t="array" ref="AN10:AN10">AN25</f>
        <v>Предложение организации</v>
      </c>
      <c r="AO10" s="1023" cm="1" t="str">
        <f t="array" ref="AO10:AO10">AO25</f>
        <v>Предложение организации</v>
      </c>
      <c r="AP10" s="1023" cm="1" t="str">
        <f t="array" ref="AP10:AP10">AP25</f>
        <v>Предложение организации</v>
      </c>
      <c r="AQ10" s="1023" cm="1" t="str">
        <f t="array" ref="AQ10:AQ10">AQ25</f>
        <v>Предложение организации</v>
      </c>
      <c r="AR10" s="1023" cm="1" t="str">
        <f t="array" ref="AR10:AR10">AR25</f>
        <v>Предложение организации</v>
      </c>
      <c r="AS10" s="1023" cm="1" t="str">
        <f t="array" ref="AS10:AS10">AS25</f>
        <v>Принято органом регулирования</v>
      </c>
      <c r="AT10" s="1023" cm="1" t="str">
        <f t="array" ref="AT10:AT10">AT25</f>
        <v>Принято органом регулирования</v>
      </c>
      <c r="AU10" s="1023" cm="1" t="str">
        <f t="array" ref="AU10:AU10">AU25</f>
        <v>Принято органом регулирования</v>
      </c>
      <c r="AV10" s="1023" cm="1" t="str">
        <f t="array" ref="AV10:AV10">AV25</f>
        <v>Принято органом регулирования</v>
      </c>
      <c r="AW10" s="1023" cm="1" t="str">
        <f t="array" ref="AW10:AW10">AW25</f>
        <v>Принято органом регулирования</v>
      </c>
      <c r="AX10" s="1023" cm="1" t="str">
        <f t="array" ref="AX10:AX10">AX25</f>
        <v>Принято органом регулирования</v>
      </c>
      <c r="AY10" s="1023" cm="1" t="str">
        <f t="array" ref="AY10:AY10">AY25</f>
        <v>Принято органом регулирования</v>
      </c>
      <c r="AZ10" s="1023" cm="1" t="str">
        <f t="array" ref="AZ10:AZ10">AZ25</f>
        <v>Принято органом регулирования</v>
      </c>
      <c r="BA10" s="1023" cm="1" t="str">
        <f t="array" ref="BA10:BA10">BA25</f>
        <v>Принято органом регулирования</v>
      </c>
      <c r="BB10" s="1023" cm="1" t="str">
        <f t="array" ref="BB10:BB10">BB25</f>
        <v>Принято органом регулирования</v>
      </c>
      <c r="BC10" s="1021"/>
    </row>
    <row s="1330" customFormat="1" customHeight="1" ht="11.25" hidden="1">
      <c r="A11" s="1023" t="s">
        <v>378</v>
      </c>
      <c r="B11" s="1024"/>
      <c r="F11" s="1025"/>
      <c r="P11" s="1009"/>
      <c r="Q11" s="1009"/>
      <c r="R11" s="1009"/>
      <c r="S11" s="1009"/>
      <c r="T11" s="1009"/>
      <c r="U11" s="1009"/>
      <c r="W11" s="1009"/>
      <c r="AB11" s="1021"/>
      <c r="AC11" s="1021"/>
      <c r="AD11" s="1021"/>
      <c r="AI11" s="1330"/>
      <c r="AJ11" s="1330"/>
      <c r="AK11" s="1330"/>
      <c r="AL11" s="1330"/>
      <c r="AM11" s="1330"/>
      <c r="AN11" s="1330"/>
      <c r="AO11" s="1330"/>
      <c r="AP11" s="1330"/>
      <c r="AQ11" s="1330"/>
      <c r="AR11" s="1330"/>
      <c r="AS11" s="1330"/>
      <c r="AT11" s="1330"/>
      <c r="AU11" s="1330"/>
      <c r="AV11" s="1330"/>
      <c r="AW11" s="1330"/>
      <c r="AX11" s="1330"/>
      <c r="AY11" s="1330"/>
      <c r="AZ11" s="1330"/>
      <c r="BA11" s="1330"/>
      <c r="BB11" s="1330"/>
      <c r="BC11" s="1021" cm="1" t="str">
        <f t="array" ref="BC11:BC11">BC24</f>
        <v>Ссылка на правовую норму (основание для принятия показателя в расчет тарифа)</v>
      </c>
    </row>
    <row customHeight="1" ht="11.25" hidden="1">
      <c r="AD12" s="94"/>
      <c r="AI12" s="1328"/>
      <c r="AJ12" s="1328"/>
      <c r="AK12" s="1328"/>
      <c r="AL12" s="1328"/>
      <c r="AM12" s="1328"/>
      <c r="AN12" s="1328"/>
      <c r="AO12" s="1328"/>
      <c r="AP12" s="1328"/>
      <c r="AQ12" s="1328"/>
      <c r="AR12" s="1328"/>
      <c r="AS12" s="1328"/>
      <c r="AT12" s="1328"/>
      <c r="AU12" s="1328"/>
      <c r="AV12" s="1328"/>
      <c r="AW12" s="1328"/>
      <c r="AX12" s="1328"/>
      <c r="AY12" s="1328"/>
      <c r="AZ12" s="1328"/>
      <c r="BA12" s="1328"/>
      <c r="BB12" s="1328"/>
    </row>
    <row customHeight="1" ht="11.25" hidden="1">
      <c r="AI13" s="1328"/>
      <c r="AJ13" s="1328"/>
      <c r="AK13" s="1328"/>
      <c r="AL13" s="1328"/>
      <c r="AM13" s="1328"/>
      <c r="AN13" s="1328"/>
      <c r="AO13" s="1328"/>
      <c r="AP13" s="1328"/>
      <c r="AQ13" s="1328"/>
      <c r="AR13" s="1328"/>
      <c r="AS13" s="1328"/>
      <c r="AT13" s="1328"/>
      <c r="AU13" s="1328"/>
      <c r="AV13" s="1328"/>
      <c r="AW13" s="1328"/>
      <c r="AX13" s="1328"/>
      <c r="AY13" s="1328"/>
      <c r="AZ13" s="1328"/>
      <c r="BA13" s="1328"/>
      <c r="BB13" s="1328"/>
    </row>
    <row customHeight="1" ht="11.25" hidden="1">
      <c r="AI14" s="1328"/>
      <c r="AJ14" s="1328"/>
      <c r="AK14" s="1328"/>
      <c r="AL14" s="1328"/>
      <c r="AM14" s="1328"/>
      <c r="AN14" s="1328"/>
      <c r="AO14" s="1328"/>
      <c r="AP14" s="1328"/>
      <c r="AQ14" s="1328"/>
      <c r="AR14" s="1328"/>
      <c r="AS14" s="1328"/>
      <c r="AT14" s="1328"/>
      <c r="AU14" s="1328"/>
      <c r="AV14" s="1328"/>
      <c r="AW14" s="1328"/>
      <c r="AX14" s="1328"/>
      <c r="AY14" s="1328"/>
      <c r="AZ14" s="1328"/>
      <c r="BA14" s="1328"/>
      <c r="BB14" s="1328"/>
    </row>
    <row customHeight="1" ht="11.25" hidden="1">
      <c r="AI15" s="1328"/>
      <c r="AJ15" s="1328"/>
      <c r="AK15" s="1328"/>
      <c r="AL15" s="1328"/>
      <c r="AM15" s="1328"/>
      <c r="AN15" s="1328"/>
      <c r="AO15" s="1328"/>
      <c r="AP15" s="1328"/>
      <c r="AQ15" s="1328"/>
      <c r="AR15" s="1328"/>
      <c r="AS15" s="1328"/>
      <c r="AT15" s="1328"/>
      <c r="AU15" s="1328"/>
      <c r="AV15" s="1328"/>
      <c r="AW15" s="1328"/>
      <c r="AX15" s="1328"/>
      <c r="AY15" s="1328"/>
      <c r="AZ15" s="1328"/>
      <c r="BA15" s="1328"/>
      <c r="BB15" s="1328"/>
    </row>
    <row customHeight="1" ht="11.25" hidden="1">
      <c r="AI16" s="1328"/>
      <c r="AJ16" s="1328"/>
      <c r="AK16" s="1328"/>
      <c r="AL16" s="1328"/>
      <c r="AM16" s="1328"/>
      <c r="AN16" s="1328"/>
      <c r="AO16" s="1328"/>
      <c r="AP16" s="1328"/>
      <c r="AQ16" s="1328"/>
      <c r="AR16" s="1328"/>
      <c r="AS16" s="1328"/>
      <c r="AT16" s="1328"/>
      <c r="AU16" s="1328"/>
      <c r="AV16" s="1328"/>
      <c r="AW16" s="1328"/>
      <c r="AX16" s="1328"/>
      <c r="AY16" s="1328"/>
      <c r="AZ16" s="1328"/>
      <c r="BA16" s="1328"/>
      <c r="BB16" s="1328"/>
    </row>
    <row customHeight="1" ht="11.25" hidden="1">
      <c r="AI17" s="1328"/>
      <c r="AJ17" s="1328"/>
      <c r="AK17" s="1328"/>
      <c r="AL17" s="1328"/>
      <c r="AM17" s="1328"/>
      <c r="AN17" s="1328"/>
      <c r="AO17" s="1328"/>
      <c r="AP17" s="1328"/>
      <c r="AQ17" s="1328"/>
      <c r="AR17" s="1328"/>
      <c r="AS17" s="1328"/>
      <c r="AT17" s="1328"/>
      <c r="AU17" s="1328"/>
      <c r="AV17" s="1328"/>
      <c r="AW17" s="1328"/>
      <c r="AX17" s="1328"/>
      <c r="AY17" s="1328"/>
      <c r="AZ17" s="1328"/>
      <c r="BA17" s="1328"/>
      <c r="BB17" s="1328"/>
    </row>
    <row customHeight="1" ht="11.25" hidden="1">
      <c r="AI18" s="1328"/>
      <c r="AJ18" s="1328"/>
      <c r="AK18" s="1328"/>
      <c r="AL18" s="1328"/>
      <c r="AM18" s="1328"/>
      <c r="AN18" s="1328"/>
      <c r="AO18" s="1328"/>
      <c r="AP18" s="1328"/>
      <c r="AQ18" s="1328"/>
      <c r="AR18" s="1328"/>
      <c r="AS18" s="1328"/>
      <c r="AT18" s="1328"/>
      <c r="AU18" s="1328"/>
      <c r="AV18" s="1328"/>
      <c r="AW18" s="1328"/>
      <c r="AX18" s="1328"/>
      <c r="AY18" s="1328"/>
      <c r="AZ18" s="1328"/>
      <c r="BA18" s="1328"/>
      <c r="BB18" s="1328"/>
    </row>
    <row customHeight="1" ht="11.25" hidden="1">
      <c r="AI19" s="1328"/>
      <c r="AJ19" s="1328"/>
      <c r="AK19" s="1328"/>
      <c r="AL19" s="1328"/>
      <c r="AM19" s="1328"/>
      <c r="AN19" s="1328"/>
      <c r="AO19" s="1328"/>
      <c r="AP19" s="1328"/>
      <c r="AQ19" s="1328"/>
      <c r="AR19" s="1328"/>
      <c r="AS19" s="1328"/>
      <c r="AT19" s="1328"/>
      <c r="AU19" s="1328"/>
      <c r="AV19" s="1328"/>
      <c r="AW19" s="1328"/>
      <c r="AX19" s="1328"/>
      <c r="AY19" s="1328"/>
      <c r="AZ19" s="1328"/>
      <c r="BA19" s="1328"/>
      <c r="BB19" s="1328"/>
    </row>
    <row customHeight="1" ht="11.25" hidden="1">
      <c r="AI20" s="1328"/>
      <c r="AJ20" s="1328"/>
      <c r="AK20" s="1328"/>
      <c r="AL20" s="1328"/>
      <c r="AM20" s="1328"/>
      <c r="AN20" s="1328"/>
      <c r="AO20" s="1328"/>
      <c r="AP20" s="1328"/>
      <c r="AQ20" s="1328"/>
      <c r="AR20" s="1328"/>
      <c r="AS20" s="1328"/>
      <c r="AT20" s="1328"/>
      <c r="AU20" s="1328"/>
      <c r="AV20" s="1328"/>
      <c r="AW20" s="1328"/>
      <c r="AX20" s="1328"/>
      <c r="AY20" s="1328"/>
      <c r="AZ20" s="1328"/>
      <c r="BA20" s="1328"/>
      <c r="BB20" s="1328"/>
    </row>
    <row customHeight="1" ht="14.625">
      <c r="E21" s="637">
        <v>15</v>
      </c>
      <c r="AA21" s="663"/>
      <c r="AC21" s="50" cm="1" t="str">
        <f t="array" ref="AC21:AC21">tpl_title</f>
        <v>Кемеровская область / 2026 / ОАО «СКЭК» (ИНН:4205153492, КПП:420501001) / ДПР: 2024-2028</v>
      </c>
      <c r="AI21" s="1328"/>
      <c r="AJ21" s="1328"/>
      <c r="AK21" s="1328"/>
      <c r="AL21" s="1328"/>
      <c r="AM21" s="1328"/>
      <c r="AN21" s="1328"/>
      <c r="AO21" s="1328"/>
      <c r="AP21" s="1328"/>
      <c r="AQ21" s="1328"/>
      <c r="AR21" s="1328"/>
      <c r="AS21" s="1328"/>
      <c r="AT21" s="1328"/>
      <c r="AU21" s="1328"/>
      <c r="AV21" s="1328"/>
      <c r="AW21" s="1328"/>
      <c r="AX21" s="1328"/>
      <c r="AY21" s="1328"/>
      <c r="AZ21" s="1328"/>
      <c r="BA21" s="1328"/>
      <c r="BB21" s="1328"/>
    </row>
    <row s="1363" customFormat="1" customHeight="1" ht="19.5">
      <c r="B22" s="429"/>
      <c r="E22" s="638">
        <v>20</v>
      </c>
      <c r="F22" s="50"/>
      <c r="AB22" s="315" t="s">
        <v>45</v>
      </c>
      <c r="AC22" s="191"/>
      <c r="AD22" s="191"/>
      <c r="AE22" s="191"/>
      <c r="AF22" s="191"/>
      <c r="AG22" s="191"/>
      <c r="AH22" s="191"/>
      <c r="AI22" s="191"/>
      <c r="AJ22" s="191"/>
      <c r="AK22" s="191"/>
      <c r="AL22" s="191"/>
      <c r="AM22" s="191"/>
      <c r="AN22" s="191"/>
      <c r="AO22" s="191"/>
      <c r="AP22" s="191"/>
      <c r="AQ22" s="191"/>
      <c r="AR22" s="191"/>
      <c r="AS22" s="191"/>
      <c r="AT22" s="191"/>
      <c r="AU22" s="191"/>
      <c r="AV22" s="191"/>
      <c r="AW22" s="191"/>
      <c r="AX22" s="191"/>
      <c r="AY22" s="191"/>
      <c r="AZ22" s="191"/>
      <c r="BA22" s="191"/>
      <c r="BB22" s="191"/>
      <c r="BC22" s="191"/>
      <c r="BF22" s="1026"/>
    </row>
    <row customHeight="1" ht="10.96875">
      <c r="E23" s="637">
        <v>11.25</v>
      </c>
      <c r="AI23" s="1328"/>
      <c r="AJ23" s="1328"/>
      <c r="AK23" s="1328"/>
      <c r="AL23" s="1328"/>
      <c r="AM23" s="1328"/>
      <c r="AN23" s="1328"/>
      <c r="AO23" s="1328"/>
      <c r="AP23" s="1328"/>
      <c r="AQ23" s="1328"/>
      <c r="AR23" s="1328"/>
      <c r="AS23" s="1328"/>
      <c r="AT23" s="1328"/>
      <c r="AU23" s="1328"/>
      <c r="AV23" s="1328"/>
      <c r="AW23" s="1328"/>
      <c r="AX23" s="1328"/>
      <c r="AY23" s="1328"/>
      <c r="AZ23" s="1328"/>
      <c r="BA23" s="1328"/>
      <c r="BB23" s="1328"/>
    </row>
    <row s="1189" customFormat="1" customHeight="1" ht="14.625">
      <c r="B24" s="429"/>
      <c r="E24" s="635">
        <v>15</v>
      </c>
      <c r="F24" s="203"/>
      <c r="AB24" s="1555" t="s">
        <v>22</v>
      </c>
      <c r="AC24" s="1556" t="s">
        <v>380</v>
      </c>
      <c r="AD24" s="1553" t="s">
        <v>381</v>
      </c>
      <c r="AE24" s="580" t="str">
        <f>god-2&amp;" год"</f>
        <v>2024 год</v>
      </c>
      <c r="AF24" s="1130" t="str">
        <f>god-2&amp;" год"</f>
        <v>2024 год</v>
      </c>
      <c r="AG24" s="355" t="str">
        <f>god-2&amp;" год"</f>
        <v>2024 год</v>
      </c>
      <c r="AH24" s="90" t="str">
        <f>god-1&amp;" год"</f>
        <v>2025 год</v>
      </c>
      <c r="AI24" s="1127" t="str">
        <f>god&amp;" год"</f>
        <v>2026 год</v>
      </c>
      <c r="AJ24" s="1127" t="str">
        <f>god+1&amp;" год"</f>
        <v>2027 год</v>
      </c>
      <c r="AK24" s="1127" t="str">
        <f>god+2&amp;" год"</f>
        <v>2028 год</v>
      </c>
      <c r="AL24" s="1127" t="str">
        <f>god+3&amp;" год"</f>
        <v>2029 год</v>
      </c>
      <c r="AM24" s="1127" t="str">
        <f>god+4&amp;" год"</f>
        <v>2030 год</v>
      </c>
      <c r="AN24" s="1127" t="str">
        <f>god+5&amp;" год"</f>
        <v>2031 год</v>
      </c>
      <c r="AO24" s="1127" t="str">
        <f>god+6&amp;" год"</f>
        <v>2032 год</v>
      </c>
      <c r="AP24" s="1127" t="str">
        <f>god+7&amp;" год"</f>
        <v>2033 год</v>
      </c>
      <c r="AQ24" s="1127" t="str">
        <f>god+8&amp;" год"</f>
        <v>2034 год</v>
      </c>
      <c r="AR24" s="1127" t="str">
        <f>god+9&amp;" год"</f>
        <v>2035 год</v>
      </c>
      <c r="AS24" s="88" t="str">
        <f>god&amp;" год"</f>
        <v>2026 год</v>
      </c>
      <c r="AT24" s="88" t="str">
        <f>god+1&amp;" год"</f>
        <v>2027 год</v>
      </c>
      <c r="AU24" s="88" t="str">
        <f>god+2&amp;" год"</f>
        <v>2028 год</v>
      </c>
      <c r="AV24" s="88" t="str">
        <f>god+3&amp;" год"</f>
        <v>2029 год</v>
      </c>
      <c r="AW24" s="88" t="str">
        <f>god+4&amp;" год"</f>
        <v>2030 год</v>
      </c>
      <c r="AX24" s="88" t="str">
        <f>god+5&amp;" год"</f>
        <v>2031 год</v>
      </c>
      <c r="AY24" s="88" t="str">
        <f>god+6&amp;" год"</f>
        <v>2032 год</v>
      </c>
      <c r="AZ24" s="88" t="str">
        <f>god+7&amp;" год"</f>
        <v>2033 год</v>
      </c>
      <c r="BA24" s="88" t="str">
        <f>god+8&amp;" год"</f>
        <v>2034 год</v>
      </c>
      <c r="BB24" s="88" t="str">
        <f>god+9&amp;" год"</f>
        <v>2035 год</v>
      </c>
      <c r="BC24" s="1554" t="s">
        <v>652</v>
      </c>
      <c r="BF24" s="1021"/>
    </row>
    <row s="1189" customFormat="1" customHeight="1" ht="47.671875">
      <c r="B25" s="429"/>
      <c r="E25" s="635">
        <v>70.25</v>
      </c>
      <c r="F25" s="203"/>
      <c r="AB25" s="1555"/>
      <c r="AC25" s="1556"/>
      <c r="AD25" s="1553"/>
      <c r="AE25" s="581" t="s">
        <v>373</v>
      </c>
      <c r="AF25" s="1127" t="s">
        <v>555</v>
      </c>
      <c r="AG25" s="88" t="s">
        <v>556</v>
      </c>
      <c r="AH25" s="88" t="s">
        <v>373</v>
      </c>
      <c r="AI25" s="1131" t="s">
        <v>374</v>
      </c>
      <c r="AJ25" s="1131" t="s">
        <v>374</v>
      </c>
      <c r="AK25" s="1131" t="s">
        <v>374</v>
      </c>
      <c r="AL25" s="1131" t="s">
        <v>374</v>
      </c>
      <c r="AM25" s="1131" t="s">
        <v>374</v>
      </c>
      <c r="AN25" s="1131" t="s">
        <v>374</v>
      </c>
      <c r="AO25" s="1131" t="s">
        <v>374</v>
      </c>
      <c r="AP25" s="1131" t="s">
        <v>374</v>
      </c>
      <c r="AQ25" s="1131" t="s">
        <v>374</v>
      </c>
      <c r="AR25" s="1131" t="s">
        <v>374</v>
      </c>
      <c r="AS25" s="356" t="s">
        <v>373</v>
      </c>
      <c r="AT25" s="356" t="s">
        <v>373</v>
      </c>
      <c r="AU25" s="356" t="s">
        <v>373</v>
      </c>
      <c r="AV25" s="356" t="s">
        <v>373</v>
      </c>
      <c r="AW25" s="356" t="s">
        <v>373</v>
      </c>
      <c r="AX25" s="356" t="s">
        <v>373</v>
      </c>
      <c r="AY25" s="356" t="s">
        <v>373</v>
      </c>
      <c r="AZ25" s="356" t="s">
        <v>373</v>
      </c>
      <c r="BA25" s="356" t="s">
        <v>373</v>
      </c>
      <c r="BB25" s="356" t="s">
        <v>373</v>
      </c>
      <c r="BC25" s="1554"/>
      <c r="BF25" s="1021"/>
    </row>
    <row s="1656" customFormat="1" customHeight="1" ht="15" hidden="1">
      <c r="A26" s="502"/>
      <c r="B26" s="664"/>
      <c r="C26" s="502"/>
      <c r="D26" s="502"/>
      <c r="E26" s="665">
        <v>0</v>
      </c>
      <c r="F26" s="754"/>
      <c r="G26" s="502"/>
      <c r="H26" s="502"/>
      <c r="I26" s="502"/>
      <c r="J26" s="502"/>
      <c r="K26" s="502"/>
      <c r="L26" s="502"/>
      <c r="M26" s="502"/>
      <c r="N26" s="502"/>
      <c r="O26" s="502"/>
      <c r="P26" s="502"/>
      <c r="Q26" s="502"/>
      <c r="R26" s="669" t="s">
        <v>278</v>
      </c>
      <c r="S26" s="669" t="s">
        <v>653</v>
      </c>
      <c r="T26" s="468"/>
      <c r="U26" s="502"/>
      <c r="V26" s="502"/>
      <c r="W26" s="502"/>
      <c r="X26" s="502"/>
      <c r="Y26" s="502"/>
      <c r="Z26" s="502"/>
      <c r="AA26" s="502"/>
      <c r="AC26" s="96"/>
      <c r="AD26" s="96"/>
      <c r="AE26" s="96"/>
      <c r="AF26" s="96"/>
      <c r="AI26" s="1656"/>
      <c r="AJ26" s="1656"/>
      <c r="AK26" s="1656"/>
      <c r="AL26" s="1656"/>
      <c r="AM26" s="1656"/>
      <c r="AN26" s="1656"/>
      <c r="AO26" s="1656"/>
      <c r="AP26" s="1656"/>
      <c r="AQ26" s="97"/>
      <c r="AR26" s="1656"/>
      <c r="AS26" s="1656"/>
      <c r="AT26" s="1656"/>
      <c r="AU26" s="1656"/>
      <c r="AV26" s="1656"/>
      <c r="AW26" s="1656"/>
      <c r="AX26" s="1656"/>
      <c r="AY26" s="1656"/>
      <c r="AZ26" s="1656"/>
      <c r="BA26" s="1656"/>
      <c r="BB26" s="1656"/>
      <c r="BF26" s="1012"/>
    </row>
    <row customHeight="1" ht="14.625" hidden="1">
      <c r="A27" s="1328"/>
      <c r="B27" s="1186"/>
      <c r="C27" s="1328"/>
      <c r="D27" s="1328"/>
      <c r="E27" s="637">
        <v>15</v>
      </c>
      <c r="F27" s="345" cm="1" t="str">
        <f t="array" ref="F27:F27">X27</f>
        <v>0</v>
      </c>
      <c r="G27" s="1328"/>
      <c r="H27" s="1328"/>
      <c r="I27" s="1328"/>
      <c r="J27" s="1328"/>
      <c r="K27" s="1328"/>
      <c r="L27" s="1328"/>
      <c r="M27" s="1328"/>
      <c r="N27" s="1328"/>
      <c r="O27" s="1328"/>
      <c r="P27" s="1308"/>
      <c r="Q27" s="1308"/>
      <c r="R27" s="1308"/>
      <c r="S27" s="1308"/>
      <c r="T27" s="468">
        <f>X27&gt;0</f>
        <v>0</v>
      </c>
      <c r="U27" s="1308"/>
      <c r="V27" s="94" t="s">
        <v>279</v>
      </c>
      <c r="W27" s="1308"/>
      <c r="X27" s="1539">
        <v>0</v>
      </c>
      <c r="Y27" s="1528"/>
      <c r="Z27" s="1328"/>
      <c r="AA27" s="1328"/>
      <c r="AB27" s="176" cm="1" t="str">
        <f t="array" ref="AB27:AB27">INDEX('Общие сведения'!$AG$197:$AG$254,MATCH($X27,'Общие сведения'!$Z$197:$Z$254,0))</f>
        <v>Тариф 0 () - </v>
      </c>
      <c r="AC27" s="176"/>
      <c r="AD27" s="176"/>
      <c r="AE27" s="176"/>
      <c r="AF27" s="176"/>
      <c r="AG27" s="176"/>
      <c r="AH27" s="176"/>
      <c r="AI27" s="176"/>
      <c r="AJ27" s="176"/>
      <c r="AK27" s="176"/>
      <c r="AL27" s="176"/>
      <c r="AM27" s="176"/>
      <c r="AN27" s="176"/>
      <c r="AO27" s="176"/>
      <c r="AP27" s="176"/>
      <c r="AQ27" s="176"/>
      <c r="AR27" s="176"/>
      <c r="AS27" s="176"/>
      <c r="AT27" s="176"/>
      <c r="AU27" s="176"/>
      <c r="AV27" s="176"/>
      <c r="AW27" s="176"/>
      <c r="AX27" s="176"/>
      <c r="AY27" s="176"/>
      <c r="AZ27" s="176"/>
      <c r="BA27" s="176"/>
      <c r="BB27" s="176"/>
      <c r="BC27" s="176"/>
      <c r="BD27" s="1328"/>
      <c r="BE27" s="1328"/>
      <c r="BF27" s="1330"/>
    </row>
    <row customHeight="1" ht="14.625" hidden="1">
      <c r="A28" s="1328"/>
      <c r="B28" s="1186"/>
      <c r="C28" s="1328"/>
      <c r="D28" s="1328"/>
      <c r="E28" s="637">
        <v>15</v>
      </c>
      <c r="F28" s="50" cm="1" t="str">
        <f t="array" ref="F28:F28">OFFSET(E28,-1,1)</f>
        <v>0</v>
      </c>
      <c r="G28" s="1328"/>
      <c r="H28" s="1328"/>
      <c r="I28" s="1328"/>
      <c r="J28" s="1328"/>
      <c r="K28" s="1328"/>
      <c r="L28" s="1328"/>
      <c r="M28" s="1328"/>
      <c r="N28" s="1328"/>
      <c r="O28" s="1328"/>
      <c r="P28" s="1308"/>
      <c r="Q28" s="1308"/>
      <c r="R28" s="417" cm="1" t="str">
        <f t="array" ref="R28:R28">INDEX('Общие сведения'!$AN$197:$AN$254,MATCH($X27,'Общие сведения'!$Z$197:$Z$254,0))</f>
        <v>false</v>
      </c>
      <c r="S28" s="417">
        <f>IF(ISERROR(SEARCH("Водоснабжение",AB27)),FALSE,TRUE)</f>
        <v>0</v>
      </c>
      <c r="T28" s="468">
        <f>AND(X27&gt;0,S28,NOT(R28))</f>
        <v>0</v>
      </c>
      <c r="U28" s="1308"/>
      <c r="V28" s="1328"/>
      <c r="W28" s="1308"/>
      <c r="X28" s="1539"/>
      <c r="Y28" s="1528"/>
      <c r="Z28" s="1328"/>
      <c r="AA28" s="1328"/>
      <c r="AB28" s="236" t="s">
        <v>290</v>
      </c>
      <c r="AC28" s="325" t="s">
        <v>654</v>
      </c>
      <c r="AD28" s="88"/>
      <c r="AE28" s="574" cm="1" t="str">
        <f t="array" ref="AE28:AE28">INDEX('Общие сведения'!$AH$197:$AH$254,MATCH($X27,'Общие сведения'!$Z$197:$Z$254,0))</f>
        <v>0</v>
      </c>
      <c r="AF28" s="358"/>
      <c r="AG28" s="358"/>
      <c r="AH28" s="358"/>
      <c r="AI28" s="358"/>
      <c r="AJ28" s="358"/>
      <c r="AK28" s="358"/>
      <c r="AL28" s="358"/>
      <c r="AM28" s="358"/>
      <c r="AN28" s="358"/>
      <c r="AO28" s="358"/>
      <c r="AP28" s="358"/>
      <c r="AQ28" s="358"/>
      <c r="AR28" s="358"/>
      <c r="AS28" s="358"/>
      <c r="AT28" s="358"/>
      <c r="AU28" s="358"/>
      <c r="AV28" s="358"/>
      <c r="AW28" s="358"/>
      <c r="AX28" s="358"/>
      <c r="AY28" s="358"/>
      <c r="AZ28" s="358"/>
      <c r="BA28" s="358"/>
      <c r="BB28" s="359"/>
      <c r="BC28" s="1928"/>
      <c r="BD28" s="1328"/>
      <c r="BE28" s="1328"/>
      <c r="BF28" s="1023" t="s">
        <v>655</v>
      </c>
    </row>
    <row customHeight="1" ht="14.625" hidden="1">
      <c r="A29" s="1328"/>
      <c r="B29" s="1186"/>
      <c r="C29" s="1328"/>
      <c r="D29" s="1328"/>
      <c r="E29" s="637">
        <v>15</v>
      </c>
      <c r="F29" s="50" cm="1" t="str">
        <f t="array" ref="F29:F29">OFFSET(E29,-1,1)</f>
        <v>0</v>
      </c>
      <c r="G29" s="1328"/>
      <c r="H29" s="94" t="s">
        <v>348</v>
      </c>
      <c r="I29" s="1328"/>
      <c r="J29" s="1328"/>
      <c r="K29" s="1328"/>
      <c r="L29" s="1328"/>
      <c r="M29" s="1328"/>
      <c r="N29" s="1328"/>
      <c r="O29" s="1328"/>
      <c r="P29" s="1308"/>
      <c r="Q29" s="1308"/>
      <c r="R29" s="1308"/>
      <c r="S29" s="1308"/>
      <c r="T29" s="468" cm="1" t="str">
        <f t="array" ref="T29:T29">T28</f>
        <v>false</v>
      </c>
      <c r="U29" s="1308"/>
      <c r="V29" s="1328"/>
      <c r="W29" s="1308"/>
      <c r="X29" s="1539"/>
      <c r="Y29" s="1528"/>
      <c r="Z29" s="1328"/>
      <c r="AA29" s="1328"/>
      <c r="AB29" s="236" t="s">
        <v>299</v>
      </c>
      <c r="AC29" s="326" t="s">
        <v>656</v>
      </c>
      <c r="AD29" s="89" t="s">
        <v>657</v>
      </c>
      <c r="AE29" s="311">
        <f>AE38+AE33-AE36</f>
        <v>0</v>
      </c>
      <c r="AF29" s="311">
        <f>AF38+AF33-AF36</f>
        <v>0</v>
      </c>
      <c r="AG29" s="311">
        <f>AG38+AG33-AG36</f>
        <v>0</v>
      </c>
      <c r="AH29" s="311">
        <f>AH38+AH33-AH36</f>
        <v>0</v>
      </c>
      <c r="AI29" s="311">
        <f>AI38+AI33-AI36</f>
        <v>0</v>
      </c>
      <c r="AJ29" s="311">
        <f>AJ38+AJ33-AJ36</f>
        <v>0</v>
      </c>
      <c r="AK29" s="311">
        <f>AK38+AK33-AK36</f>
        <v>0</v>
      </c>
      <c r="AL29" s="311">
        <f>AL38+AL33-AL36</f>
        <v>0</v>
      </c>
      <c r="AM29" s="311">
        <f>AM38+AM33-AM36</f>
        <v>0</v>
      </c>
      <c r="AN29" s="311">
        <f>AN38+AN33-AN36</f>
        <v>0</v>
      </c>
      <c r="AO29" s="311">
        <f>AO38+AO33-AO36</f>
        <v>0</v>
      </c>
      <c r="AP29" s="311">
        <f>AP38+AP33-AP36</f>
        <v>0</v>
      </c>
      <c r="AQ29" s="311">
        <f>AQ38+AQ33-AQ36</f>
        <v>0</v>
      </c>
      <c r="AR29" s="311">
        <f>AR38+AR33-AR36</f>
        <v>0</v>
      </c>
      <c r="AS29" s="311">
        <f>AS38+AS33-AS36</f>
        <v>0</v>
      </c>
      <c r="AT29" s="311">
        <f>AT38+AT33-AT36</f>
        <v>0</v>
      </c>
      <c r="AU29" s="311">
        <f>AU38+AU33-AU36</f>
        <v>0</v>
      </c>
      <c r="AV29" s="311">
        <f>AV38+AV33-AV36</f>
        <v>0</v>
      </c>
      <c r="AW29" s="311">
        <f>AW38+AW33-AW36</f>
        <v>0</v>
      </c>
      <c r="AX29" s="311">
        <f>AX38+AX33-AX36</f>
        <v>0</v>
      </c>
      <c r="AY29" s="311">
        <f>AY38+AY33-AY36</f>
        <v>0</v>
      </c>
      <c r="AZ29" s="311">
        <f>AZ38+AZ33-AZ36</f>
        <v>0</v>
      </c>
      <c r="BA29" s="311">
        <f>BA38+BA33-BA36</f>
        <v>0</v>
      </c>
      <c r="BB29" s="311">
        <f>BB38+BB33-BB36</f>
        <v>0</v>
      </c>
      <c r="BC29" s="1928"/>
      <c r="BD29" s="1328"/>
      <c r="BE29" s="1328"/>
      <c r="BF29" s="1023" t="s">
        <v>658</v>
      </c>
    </row>
    <row customHeight="1" ht="14.625" hidden="1">
      <c r="A30" s="1328"/>
      <c r="B30" s="1186"/>
      <c r="C30" s="1328"/>
      <c r="D30" s="1328"/>
      <c r="E30" s="637">
        <v>15</v>
      </c>
      <c r="F30" s="50" cm="1" t="str">
        <f t="array" ref="F30:F30">OFFSET(E30,-1,1)</f>
        <v>0</v>
      </c>
      <c r="G30" s="1328"/>
      <c r="H30" s="94" t="s">
        <v>659</v>
      </c>
      <c r="I30" s="1328"/>
      <c r="J30" s="1328"/>
      <c r="K30" s="1328"/>
      <c r="L30" s="1328"/>
      <c r="M30" s="1328"/>
      <c r="N30" s="1328"/>
      <c r="O30" s="1328"/>
      <c r="P30" s="1308"/>
      <c r="Q30" s="1308"/>
      <c r="R30" s="1308"/>
      <c r="S30" s="1308"/>
      <c r="T30" s="468" cm="1" t="str">
        <f t="array" ref="T30:T30">T29</f>
        <v>false</v>
      </c>
      <c r="U30" s="1308"/>
      <c r="V30" s="1328"/>
      <c r="W30" s="1308"/>
      <c r="X30" s="1539"/>
      <c r="Y30" s="1528"/>
      <c r="Z30" s="1328"/>
      <c r="AA30" s="1328"/>
      <c r="AB30" s="236" t="s">
        <v>660</v>
      </c>
      <c r="AC30" s="188" t="s">
        <v>661</v>
      </c>
      <c r="AD30" s="89" t="s">
        <v>657</v>
      </c>
      <c r="AE30" s="1971"/>
      <c r="AF30" s="1971"/>
      <c r="AG30" s="1971"/>
      <c r="AH30" s="1971"/>
      <c r="AI30" s="1971"/>
      <c r="AJ30" s="1971"/>
      <c r="AK30" s="1971"/>
      <c r="AL30" s="1971"/>
      <c r="AM30" s="1971"/>
      <c r="AN30" s="1971"/>
      <c r="AO30" s="1971"/>
      <c r="AP30" s="1971"/>
      <c r="AQ30" s="1971"/>
      <c r="AR30" s="1971"/>
      <c r="AS30" s="1971"/>
      <c r="AT30" s="1971"/>
      <c r="AU30" s="1971"/>
      <c r="AV30" s="1971"/>
      <c r="AW30" s="1971"/>
      <c r="AX30" s="1971"/>
      <c r="AY30" s="1971"/>
      <c r="AZ30" s="1971"/>
      <c r="BA30" s="1971"/>
      <c r="BB30" s="1971"/>
      <c r="BC30" s="1975"/>
      <c r="BD30" s="1328"/>
      <c r="BE30" s="1328"/>
      <c r="BF30" s="1023" t="s">
        <v>662</v>
      </c>
    </row>
    <row customHeight="1" ht="14.625" hidden="1">
      <c r="A31" s="1328"/>
      <c r="B31" s="1186"/>
      <c r="C31" s="1328"/>
      <c r="D31" s="1328"/>
      <c r="E31" s="637">
        <v>15</v>
      </c>
      <c r="F31" s="50" cm="1" t="str">
        <f t="array" ref="F31:F31">OFFSET(E31,-1,1)</f>
        <v>0</v>
      </c>
      <c r="G31" s="1328"/>
      <c r="H31" s="94" t="s">
        <v>663</v>
      </c>
      <c r="I31" s="1328"/>
      <c r="J31" s="1328"/>
      <c r="K31" s="1328"/>
      <c r="L31" s="1328"/>
      <c r="M31" s="1328"/>
      <c r="N31" s="1328"/>
      <c r="O31" s="1328"/>
      <c r="P31" s="1308"/>
      <c r="Q31" s="1308"/>
      <c r="R31" s="1308"/>
      <c r="S31" s="1308"/>
      <c r="T31" s="468" cm="1" t="str">
        <f t="array" ref="T31:T31">T30</f>
        <v>false</v>
      </c>
      <c r="U31" s="1308"/>
      <c r="V31" s="1328"/>
      <c r="W31" s="1308"/>
      <c r="X31" s="1539"/>
      <c r="Y31" s="1528"/>
      <c r="Z31" s="1328"/>
      <c r="AA31" s="1328"/>
      <c r="AB31" s="236" t="s">
        <v>664</v>
      </c>
      <c r="AC31" s="188" t="s">
        <v>665</v>
      </c>
      <c r="AD31" s="89" t="s">
        <v>657</v>
      </c>
      <c r="AE31" s="1971"/>
      <c r="AF31" s="1971"/>
      <c r="AG31" s="1971"/>
      <c r="AH31" s="1971"/>
      <c r="AI31" s="1971"/>
      <c r="AJ31" s="1971"/>
      <c r="AK31" s="1971"/>
      <c r="AL31" s="1971"/>
      <c r="AM31" s="1971"/>
      <c r="AN31" s="1971"/>
      <c r="AO31" s="1971"/>
      <c r="AP31" s="1971"/>
      <c r="AQ31" s="1971"/>
      <c r="AR31" s="1971"/>
      <c r="AS31" s="1971"/>
      <c r="AT31" s="1971"/>
      <c r="AU31" s="1971"/>
      <c r="AV31" s="1971"/>
      <c r="AW31" s="1971"/>
      <c r="AX31" s="1971"/>
      <c r="AY31" s="1971"/>
      <c r="AZ31" s="1971"/>
      <c r="BA31" s="1971"/>
      <c r="BB31" s="1971"/>
      <c r="BC31" s="1975"/>
      <c r="BD31" s="1328"/>
      <c r="BE31" s="1328"/>
      <c r="BF31" s="1023" t="s">
        <v>666</v>
      </c>
    </row>
    <row customHeight="1" ht="21.9375" hidden="1">
      <c r="A32" s="1328"/>
      <c r="B32" s="1186"/>
      <c r="C32" s="1328"/>
      <c r="D32" s="1328"/>
      <c r="E32" s="637">
        <v>22.5</v>
      </c>
      <c r="F32" s="50" cm="1" t="str">
        <f t="array" ref="F32:F32">OFFSET(E32,-1,1)</f>
        <v>0</v>
      </c>
      <c r="G32" s="1328"/>
      <c r="H32" s="94" t="s">
        <v>667</v>
      </c>
      <c r="I32" s="1328"/>
      <c r="J32" s="1328"/>
      <c r="K32" s="1328"/>
      <c r="L32" s="1328"/>
      <c r="M32" s="1328"/>
      <c r="N32" s="1328"/>
      <c r="O32" s="1328"/>
      <c r="P32" s="1308"/>
      <c r="Q32" s="1308"/>
      <c r="R32" s="1308"/>
      <c r="S32" s="1308"/>
      <c r="T32" s="468" cm="1" t="str">
        <f t="array" ref="T32:T32">T31</f>
        <v>false</v>
      </c>
      <c r="U32" s="1308"/>
      <c r="V32" s="1328"/>
      <c r="W32" s="1308"/>
      <c r="X32" s="1539"/>
      <c r="Y32" s="1528"/>
      <c r="Z32" s="1328"/>
      <c r="AA32" s="1328"/>
      <c r="AB32" s="236" t="s">
        <v>668</v>
      </c>
      <c r="AC32" s="326" t="s">
        <v>669</v>
      </c>
      <c r="AD32" s="89" t="s">
        <v>657</v>
      </c>
      <c r="AE32" s="1971"/>
      <c r="AF32" s="1971"/>
      <c r="AG32" s="1971"/>
      <c r="AH32" s="1971"/>
      <c r="AI32" s="1971"/>
      <c r="AJ32" s="1971"/>
      <c r="AK32" s="1971"/>
      <c r="AL32" s="1971"/>
      <c r="AM32" s="1971"/>
      <c r="AN32" s="1971"/>
      <c r="AO32" s="1971"/>
      <c r="AP32" s="1971"/>
      <c r="AQ32" s="1971"/>
      <c r="AR32" s="1971"/>
      <c r="AS32" s="1971"/>
      <c r="AT32" s="1971"/>
      <c r="AU32" s="1971"/>
      <c r="AV32" s="1971"/>
      <c r="AW32" s="1971"/>
      <c r="AX32" s="1971"/>
      <c r="AY32" s="1971"/>
      <c r="AZ32" s="1971"/>
      <c r="BA32" s="1971"/>
      <c r="BB32" s="1971"/>
      <c r="BC32" s="1975"/>
      <c r="BD32" s="1328"/>
      <c r="BE32" s="1328"/>
      <c r="BF32" s="1023" t="s">
        <v>670</v>
      </c>
    </row>
    <row customHeight="1" ht="14.625" hidden="1">
      <c r="A33" s="1328"/>
      <c r="B33" s="1186"/>
      <c r="C33" s="1328"/>
      <c r="D33" s="1328"/>
      <c r="E33" s="637">
        <v>15</v>
      </c>
      <c r="F33" s="50" cm="1" t="str">
        <f t="array" ref="F33:F33">OFFSET(E33,-1,1)</f>
        <v>0</v>
      </c>
      <c r="G33" s="1328"/>
      <c r="H33" s="94" t="s">
        <v>347</v>
      </c>
      <c r="I33" s="1328"/>
      <c r="J33" s="1328"/>
      <c r="K33" s="1328"/>
      <c r="L33" s="1328"/>
      <c r="M33" s="1328"/>
      <c r="N33" s="1328"/>
      <c r="O33" s="1328"/>
      <c r="P33" s="1308"/>
      <c r="Q33" s="1308"/>
      <c r="R33" s="1308"/>
      <c r="S33" s="1308"/>
      <c r="T33" s="468" cm="1" t="str">
        <f t="array" ref="T33:T33">T32</f>
        <v>false</v>
      </c>
      <c r="U33" s="1308"/>
      <c r="V33" s="1328"/>
      <c r="W33" s="1308"/>
      <c r="X33" s="1539"/>
      <c r="Y33" s="1528"/>
      <c r="Z33" s="1328"/>
      <c r="AA33" s="1328"/>
      <c r="AB33" s="236" t="s">
        <v>234</v>
      </c>
      <c r="AC33" s="326" t="s">
        <v>671</v>
      </c>
      <c r="AD33" s="89" t="s">
        <v>657</v>
      </c>
      <c r="AE33" s="311">
        <f>SUM(AE34:AE35)</f>
        <v>0</v>
      </c>
      <c r="AF33" s="311">
        <f>SUM(AF34:AF35)</f>
        <v>0</v>
      </c>
      <c r="AG33" s="311">
        <f>SUM(AG34:AG35)</f>
        <v>0</v>
      </c>
      <c r="AH33" s="311">
        <f>SUM(AH34:AH35)</f>
        <v>0</v>
      </c>
      <c r="AI33" s="311">
        <f>SUM(AI34:AI35)</f>
        <v>0</v>
      </c>
      <c r="AJ33" s="311">
        <f>SUM(AJ34:AJ35)</f>
        <v>0</v>
      </c>
      <c r="AK33" s="311">
        <f>SUM(AK34:AK35)</f>
        <v>0</v>
      </c>
      <c r="AL33" s="311">
        <f>SUM(AL34:AL35)</f>
        <v>0</v>
      </c>
      <c r="AM33" s="311">
        <f>SUM(AM34:AM35)</f>
        <v>0</v>
      </c>
      <c r="AN33" s="311">
        <f>SUM(AN34:AN35)</f>
        <v>0</v>
      </c>
      <c r="AO33" s="311">
        <f>SUM(AO34:AO35)</f>
        <v>0</v>
      </c>
      <c r="AP33" s="311">
        <f>SUM(AP34:AP35)</f>
        <v>0</v>
      </c>
      <c r="AQ33" s="311">
        <f>SUM(AQ34:AQ35)</f>
        <v>0</v>
      </c>
      <c r="AR33" s="311">
        <f>SUM(AR34:AR35)</f>
        <v>0</v>
      </c>
      <c r="AS33" s="311">
        <f>SUM(AS34:AS35)</f>
        <v>0</v>
      </c>
      <c r="AT33" s="311">
        <f>SUM(AT34:AT35)</f>
        <v>0</v>
      </c>
      <c r="AU33" s="311">
        <f>SUM(AU34:AU35)</f>
        <v>0</v>
      </c>
      <c r="AV33" s="311">
        <f>SUM(AV34:AV35)</f>
        <v>0</v>
      </c>
      <c r="AW33" s="311">
        <f>SUM(AW34:AW35)</f>
        <v>0</v>
      </c>
      <c r="AX33" s="311">
        <f>SUM(AX34:AX35)</f>
        <v>0</v>
      </c>
      <c r="AY33" s="311">
        <f>SUM(AY34:AY35)</f>
        <v>0</v>
      </c>
      <c r="AZ33" s="311">
        <f>SUM(AZ34:AZ35)</f>
        <v>0</v>
      </c>
      <c r="BA33" s="311">
        <f>SUM(BA34:BA35)</f>
        <v>0</v>
      </c>
      <c r="BB33" s="311">
        <f>SUM(BB34:BB35)</f>
        <v>0</v>
      </c>
      <c r="BC33" s="1975"/>
      <c r="BD33" s="1328"/>
      <c r="BE33" s="1328"/>
      <c r="BF33" s="1023" t="s">
        <v>672</v>
      </c>
    </row>
    <row customHeight="1" ht="14.625" hidden="1">
      <c r="A34" s="1328"/>
      <c r="B34" s="1186"/>
      <c r="C34" s="1328"/>
      <c r="D34" s="1328"/>
      <c r="E34" s="637">
        <v>15</v>
      </c>
      <c r="F34" s="50" cm="1" t="str">
        <f t="array" ref="F34:F34">OFFSET(E34,-1,1)</f>
        <v>0</v>
      </c>
      <c r="G34" s="1328"/>
      <c r="H34" s="94" t="s">
        <v>673</v>
      </c>
      <c r="I34" s="1328"/>
      <c r="J34" s="1328"/>
      <c r="K34" s="1328"/>
      <c r="L34" s="1328"/>
      <c r="M34" s="1328"/>
      <c r="N34" s="1328"/>
      <c r="O34" s="1328"/>
      <c r="P34" s="1308"/>
      <c r="Q34" s="1308"/>
      <c r="R34" s="1308"/>
      <c r="S34" s="1308"/>
      <c r="T34" s="468" cm="1" t="str">
        <f t="array" ref="T34:T34">T33</f>
        <v>false</v>
      </c>
      <c r="U34" s="1308"/>
      <c r="V34" s="1328"/>
      <c r="W34" s="1308"/>
      <c r="X34" s="1539"/>
      <c r="Y34" s="1528"/>
      <c r="Z34" s="1328"/>
      <c r="AA34" s="1328"/>
      <c r="AB34" s="236" t="s">
        <v>674</v>
      </c>
      <c r="AC34" s="188" t="s">
        <v>675</v>
      </c>
      <c r="AD34" s="89" t="s">
        <v>657</v>
      </c>
      <c r="AE34" s="1971"/>
      <c r="AF34" s="1971"/>
      <c r="AG34" s="1971"/>
      <c r="AH34" s="1971"/>
      <c r="AI34" s="1971"/>
      <c r="AJ34" s="1971"/>
      <c r="AK34" s="1971"/>
      <c r="AL34" s="1971"/>
      <c r="AM34" s="1971"/>
      <c r="AN34" s="1971"/>
      <c r="AO34" s="1971"/>
      <c r="AP34" s="1971"/>
      <c r="AQ34" s="1971"/>
      <c r="AR34" s="1971"/>
      <c r="AS34" s="1971"/>
      <c r="AT34" s="1971"/>
      <c r="AU34" s="1971"/>
      <c r="AV34" s="1971"/>
      <c r="AW34" s="1971"/>
      <c r="AX34" s="1971"/>
      <c r="AY34" s="1971"/>
      <c r="AZ34" s="1971"/>
      <c r="BA34" s="1971"/>
      <c r="BB34" s="1971"/>
      <c r="BC34" s="1975"/>
      <c r="BD34" s="1328"/>
      <c r="BE34" s="1328"/>
      <c r="BF34" s="1023" t="s">
        <v>676</v>
      </c>
    </row>
    <row customHeight="1" ht="14.625" hidden="1">
      <c r="A35" s="1328"/>
      <c r="B35" s="1186"/>
      <c r="C35" s="1328"/>
      <c r="D35" s="1328"/>
      <c r="E35" s="637">
        <v>15</v>
      </c>
      <c r="F35" s="50" cm="1" t="str">
        <f t="array" ref="F35:F35">OFFSET(E35,-1,1)</f>
        <v>0</v>
      </c>
      <c r="G35" s="1328"/>
      <c r="H35" s="94" t="s">
        <v>677</v>
      </c>
      <c r="I35" s="1328"/>
      <c r="J35" s="1328"/>
      <c r="K35" s="1328"/>
      <c r="L35" s="1328"/>
      <c r="M35" s="1328"/>
      <c r="N35" s="1328"/>
      <c r="O35" s="1328"/>
      <c r="P35" s="1308"/>
      <c r="Q35" s="1308"/>
      <c r="R35" s="1308"/>
      <c r="S35" s="1308"/>
      <c r="T35" s="468" cm="1" t="str">
        <f t="array" ref="T35:T35">T34</f>
        <v>false</v>
      </c>
      <c r="U35" s="1308"/>
      <c r="V35" s="1328"/>
      <c r="W35" s="1308"/>
      <c r="X35" s="1539"/>
      <c r="Y35" s="1528"/>
      <c r="Z35" s="1328"/>
      <c r="AA35" s="1328"/>
      <c r="AB35" s="236" t="s">
        <v>678</v>
      </c>
      <c r="AC35" s="188" t="s">
        <v>679</v>
      </c>
      <c r="AD35" s="89" t="s">
        <v>657</v>
      </c>
      <c r="AE35" s="1971"/>
      <c r="AF35" s="1971"/>
      <c r="AG35" s="1971"/>
      <c r="AH35" s="1971"/>
      <c r="AI35" s="1971"/>
      <c r="AJ35" s="1971"/>
      <c r="AK35" s="1971"/>
      <c r="AL35" s="1971"/>
      <c r="AM35" s="1971"/>
      <c r="AN35" s="1971"/>
      <c r="AO35" s="1971"/>
      <c r="AP35" s="1971"/>
      <c r="AQ35" s="1971"/>
      <c r="AR35" s="1971"/>
      <c r="AS35" s="1971"/>
      <c r="AT35" s="1971"/>
      <c r="AU35" s="1971"/>
      <c r="AV35" s="1971"/>
      <c r="AW35" s="1971"/>
      <c r="AX35" s="1971"/>
      <c r="AY35" s="1971"/>
      <c r="AZ35" s="1971"/>
      <c r="BA35" s="1971"/>
      <c r="BB35" s="1971"/>
      <c r="BC35" s="1975"/>
      <c r="BD35" s="1328"/>
      <c r="BE35" s="1328"/>
      <c r="BF35" s="1023" t="s">
        <v>680</v>
      </c>
    </row>
    <row customHeight="1" ht="14.625" hidden="1">
      <c r="A36" s="1328"/>
      <c r="B36" s="1186"/>
      <c r="C36" s="1328"/>
      <c r="D36" s="1328"/>
      <c r="E36" s="637">
        <v>15</v>
      </c>
      <c r="F36" s="50" cm="1" t="str">
        <f t="array" ref="F36:F36">OFFSET(E36,-1,1)</f>
        <v>0</v>
      </c>
      <c r="G36" s="1328"/>
      <c r="H36" s="94" t="s">
        <v>616</v>
      </c>
      <c r="I36" s="1328"/>
      <c r="J36" s="1328"/>
      <c r="K36" s="1328"/>
      <c r="L36" s="1328"/>
      <c r="M36" s="1328"/>
      <c r="N36" s="1328"/>
      <c r="O36" s="1328"/>
      <c r="P36" s="1308"/>
      <c r="Q36" s="1308"/>
      <c r="R36" s="1308"/>
      <c r="S36" s="1308"/>
      <c r="T36" s="468" cm="1" t="str">
        <f t="array" ref="T36:T36">T35</f>
        <v>false</v>
      </c>
      <c r="U36" s="1308"/>
      <c r="V36" s="1328"/>
      <c r="W36" s="1308"/>
      <c r="X36" s="1539"/>
      <c r="Y36" s="1528"/>
      <c r="Z36" s="1328"/>
      <c r="AA36" s="1328"/>
      <c r="AB36" s="236" t="s">
        <v>451</v>
      </c>
      <c r="AC36" s="325" t="s">
        <v>681</v>
      </c>
      <c r="AD36" s="89" t="s">
        <v>657</v>
      </c>
      <c r="AE36" s="1927"/>
      <c r="AF36" s="1927"/>
      <c r="AG36" s="1927"/>
      <c r="AH36" s="1927"/>
      <c r="AI36" s="1927"/>
      <c r="AJ36" s="1927"/>
      <c r="AK36" s="1927"/>
      <c r="AL36" s="1927"/>
      <c r="AM36" s="1927"/>
      <c r="AN36" s="1927"/>
      <c r="AO36" s="1927"/>
      <c r="AP36" s="1927"/>
      <c r="AQ36" s="1927"/>
      <c r="AR36" s="1927"/>
      <c r="AS36" s="1927"/>
      <c r="AT36" s="1927"/>
      <c r="AU36" s="1927"/>
      <c r="AV36" s="1927"/>
      <c r="AW36" s="1927"/>
      <c r="AX36" s="1927"/>
      <c r="AY36" s="1927"/>
      <c r="AZ36" s="1927"/>
      <c r="BA36" s="1927"/>
      <c r="BB36" s="1927"/>
      <c r="BC36" s="1975"/>
      <c r="BD36" s="1328"/>
      <c r="BE36" s="1328"/>
      <c r="BF36" s="1023" t="s">
        <v>682</v>
      </c>
    </row>
    <row customHeight="1" ht="14.625" hidden="1">
      <c r="A37" s="1328"/>
      <c r="B37" s="1186"/>
      <c r="C37" s="1328"/>
      <c r="D37" s="1328"/>
      <c r="E37" s="637">
        <v>15</v>
      </c>
      <c r="F37" s="50" cm="1" t="str">
        <f t="array" ref="F37:F37">OFFSET(E37,-1,1)</f>
        <v>0</v>
      </c>
      <c r="G37" s="1328"/>
      <c r="H37" s="94" t="s">
        <v>619</v>
      </c>
      <c r="I37" s="1328"/>
      <c r="J37" s="1328"/>
      <c r="K37" s="1328"/>
      <c r="L37" s="1328"/>
      <c r="M37" s="1328"/>
      <c r="N37" s="1328"/>
      <c r="O37" s="1328"/>
      <c r="P37" s="1308"/>
      <c r="Q37" s="1308"/>
      <c r="R37" s="1308"/>
      <c r="S37" s="1308"/>
      <c r="T37" s="468" cm="1" t="str">
        <f t="array" ref="T37:T37">T36</f>
        <v>false</v>
      </c>
      <c r="U37" s="1308"/>
      <c r="V37" s="1328"/>
      <c r="W37" s="1308"/>
      <c r="X37" s="1539"/>
      <c r="Y37" s="1528"/>
      <c r="Z37" s="1328"/>
      <c r="AA37" s="1328"/>
      <c r="AB37" s="236" t="s">
        <v>454</v>
      </c>
      <c r="AC37" s="325" t="s">
        <v>683</v>
      </c>
      <c r="AD37" s="89" t="s">
        <v>657</v>
      </c>
      <c r="AE37" s="1971"/>
      <c r="AF37" s="1971"/>
      <c r="AG37" s="1971"/>
      <c r="AH37" s="1971"/>
      <c r="AI37" s="1971"/>
      <c r="AJ37" s="1971"/>
      <c r="AK37" s="1971"/>
      <c r="AL37" s="1971"/>
      <c r="AM37" s="1971"/>
      <c r="AN37" s="1971"/>
      <c r="AO37" s="1971"/>
      <c r="AP37" s="1971"/>
      <c r="AQ37" s="1971"/>
      <c r="AR37" s="1971"/>
      <c r="AS37" s="1971"/>
      <c r="AT37" s="1971"/>
      <c r="AU37" s="1971"/>
      <c r="AV37" s="1971"/>
      <c r="AW37" s="1971"/>
      <c r="AX37" s="1971"/>
      <c r="AY37" s="1971"/>
      <c r="AZ37" s="1971"/>
      <c r="BA37" s="1971"/>
      <c r="BB37" s="1971"/>
      <c r="BC37" s="1975"/>
      <c r="BD37" s="1328"/>
      <c r="BE37" s="1328"/>
      <c r="BF37" s="1023" t="s">
        <v>684</v>
      </c>
    </row>
    <row customHeight="1" ht="14.625" hidden="1">
      <c r="A38" s="1328"/>
      <c r="B38" s="1186"/>
      <c r="C38" s="1328"/>
      <c r="D38" s="1328"/>
      <c r="E38" s="637">
        <v>15</v>
      </c>
      <c r="F38" s="50" cm="1" t="str">
        <f t="array" ref="F38:F38">OFFSET(E38,-1,1)</f>
        <v>0</v>
      </c>
      <c r="G38" s="1328"/>
      <c r="H38" s="94" t="s">
        <v>685</v>
      </c>
      <c r="I38" s="1328"/>
      <c r="J38" s="1328"/>
      <c r="K38" s="1328"/>
      <c r="L38" s="1328"/>
      <c r="M38" s="1328"/>
      <c r="N38" s="1328"/>
      <c r="O38" s="1328"/>
      <c r="P38" s="1308"/>
      <c r="Q38" s="1308"/>
      <c r="R38" s="1308"/>
      <c r="S38" s="1308"/>
      <c r="T38" s="468" cm="1" t="str">
        <f t="array" ref="T38:T38">T37</f>
        <v>false</v>
      </c>
      <c r="U38" s="1308"/>
      <c r="V38" s="1328"/>
      <c r="W38" s="1308"/>
      <c r="X38" s="1539"/>
      <c r="Y38" s="1528"/>
      <c r="Z38" s="1328"/>
      <c r="AA38" s="1328"/>
      <c r="AB38" s="236" t="s">
        <v>457</v>
      </c>
      <c r="AC38" s="326" t="s">
        <v>686</v>
      </c>
      <c r="AD38" s="89" t="s">
        <v>657</v>
      </c>
      <c r="AE38" s="311">
        <f>AE44+AE42</f>
        <v>0</v>
      </c>
      <c r="AF38" s="311">
        <f>AF44+AF42</f>
        <v>0</v>
      </c>
      <c r="AG38" s="311">
        <f>AG44+AG42</f>
        <v>0</v>
      </c>
      <c r="AH38" s="311">
        <f>AH44+AH42</f>
        <v>0</v>
      </c>
      <c r="AI38" s="311">
        <f>AI44+AI42</f>
        <v>0</v>
      </c>
      <c r="AJ38" s="311">
        <f>AJ44+AJ42</f>
        <v>0</v>
      </c>
      <c r="AK38" s="311">
        <f>AK44+AK42</f>
        <v>0</v>
      </c>
      <c r="AL38" s="311">
        <f>AL44+AL42</f>
        <v>0</v>
      </c>
      <c r="AM38" s="311">
        <f>AM44+AM42</f>
        <v>0</v>
      </c>
      <c r="AN38" s="311">
        <f>AN44+AN42</f>
        <v>0</v>
      </c>
      <c r="AO38" s="311">
        <f>AO44+AO42</f>
        <v>0</v>
      </c>
      <c r="AP38" s="311">
        <f>AP44+AP42</f>
        <v>0</v>
      </c>
      <c r="AQ38" s="311">
        <f>AQ44+AQ42</f>
        <v>0</v>
      </c>
      <c r="AR38" s="311">
        <f>AR44+AR42</f>
        <v>0</v>
      </c>
      <c r="AS38" s="311">
        <f>AS44+AS42</f>
        <v>0</v>
      </c>
      <c r="AT38" s="311">
        <f>AT44+AT42</f>
        <v>0</v>
      </c>
      <c r="AU38" s="311">
        <f>AU44+AU42</f>
        <v>0</v>
      </c>
      <c r="AV38" s="311">
        <f>AV44+AV42</f>
        <v>0</v>
      </c>
      <c r="AW38" s="311">
        <f>AW44+AW42</f>
        <v>0</v>
      </c>
      <c r="AX38" s="311">
        <f>AX44+AX42</f>
        <v>0</v>
      </c>
      <c r="AY38" s="311">
        <f>AY44+AY42</f>
        <v>0</v>
      </c>
      <c r="AZ38" s="311">
        <f>AZ44+AZ42</f>
        <v>0</v>
      </c>
      <c r="BA38" s="311">
        <f>BA44+BA42</f>
        <v>0</v>
      </c>
      <c r="BB38" s="311">
        <f>BB44+BB42</f>
        <v>0</v>
      </c>
      <c r="BC38" s="1975"/>
      <c r="BD38" s="1328"/>
      <c r="BE38" s="1328"/>
      <c r="BF38" s="1023" t="s">
        <v>687</v>
      </c>
    </row>
    <row customHeight="1" ht="21.9375" hidden="1">
      <c r="A39" s="1328"/>
      <c r="B39" s="1186"/>
      <c r="C39" s="1328"/>
      <c r="D39" s="1328"/>
      <c r="E39" s="637">
        <v>22.5</v>
      </c>
      <c r="F39" s="50" cm="1" t="str">
        <f t="array" ref="F39:F39">OFFSET(E39,-1,1)</f>
        <v>0</v>
      </c>
      <c r="G39" s="1328"/>
      <c r="H39" s="94" t="s">
        <v>688</v>
      </c>
      <c r="I39" s="1328"/>
      <c r="J39" s="1328"/>
      <c r="K39" s="1328"/>
      <c r="L39" s="1328"/>
      <c r="M39" s="1328"/>
      <c r="N39" s="1328"/>
      <c r="O39" s="1328"/>
      <c r="P39" s="1308"/>
      <c r="Q39" s="1308"/>
      <c r="R39" s="1308"/>
      <c r="S39" s="1308"/>
      <c r="T39" s="468" cm="1" t="str">
        <f t="array" ref="T39:T39">T38</f>
        <v>false</v>
      </c>
      <c r="U39" s="1308"/>
      <c r="V39" s="1328"/>
      <c r="W39" s="1308"/>
      <c r="X39" s="1539"/>
      <c r="Y39" s="1528"/>
      <c r="Z39" s="1328"/>
      <c r="AA39" s="1328"/>
      <c r="AB39" s="236" t="s">
        <v>689</v>
      </c>
      <c r="AC39" s="188" t="s">
        <v>690</v>
      </c>
      <c r="AD39" s="89" t="s">
        <v>657</v>
      </c>
      <c r="AE39" s="1971"/>
      <c r="AF39" s="1971"/>
      <c r="AG39" s="1971"/>
      <c r="AH39" s="1971"/>
      <c r="AI39" s="1971"/>
      <c r="AJ39" s="1971"/>
      <c r="AK39" s="1971"/>
      <c r="AL39" s="1971"/>
      <c r="AM39" s="1971"/>
      <c r="AN39" s="1971"/>
      <c r="AO39" s="1971"/>
      <c r="AP39" s="1971"/>
      <c r="AQ39" s="1971"/>
      <c r="AR39" s="1971"/>
      <c r="AS39" s="1971"/>
      <c r="AT39" s="1971"/>
      <c r="AU39" s="1971"/>
      <c r="AV39" s="1971"/>
      <c r="AW39" s="1971"/>
      <c r="AX39" s="1971"/>
      <c r="AY39" s="1971"/>
      <c r="AZ39" s="1971"/>
      <c r="BA39" s="1971"/>
      <c r="BB39" s="1971"/>
      <c r="BC39" s="1975"/>
      <c r="BD39" s="1328"/>
      <c r="BE39" s="1328"/>
      <c r="BF39" s="1023" t="s">
        <v>691</v>
      </c>
    </row>
    <row customHeight="1" ht="14.625" hidden="1">
      <c r="A40" s="1328"/>
      <c r="B40" s="1186"/>
      <c r="C40" s="1328"/>
      <c r="D40" s="1328"/>
      <c r="E40" s="637">
        <v>15</v>
      </c>
      <c r="F40" s="50" cm="1" t="str">
        <f t="array" ref="F40:F40">OFFSET(E40,-1,1)</f>
        <v>0</v>
      </c>
      <c r="G40" s="1328"/>
      <c r="H40" s="94" t="s">
        <v>692</v>
      </c>
      <c r="I40" s="1328"/>
      <c r="J40" s="1328"/>
      <c r="K40" s="1328"/>
      <c r="L40" s="1328"/>
      <c r="M40" s="1328"/>
      <c r="N40" s="1328"/>
      <c r="O40" s="1328"/>
      <c r="P40" s="1308"/>
      <c r="Q40" s="1308"/>
      <c r="R40" s="1308"/>
      <c r="S40" s="1308"/>
      <c r="T40" s="468" cm="1" t="str">
        <f t="array" ref="T40:T40">T39</f>
        <v>false</v>
      </c>
      <c r="U40" s="1308"/>
      <c r="V40" s="1328"/>
      <c r="W40" s="1308"/>
      <c r="X40" s="1539"/>
      <c r="Y40" s="1528"/>
      <c r="Z40" s="1328"/>
      <c r="AA40" s="1328"/>
      <c r="AB40" s="236" t="s">
        <v>693</v>
      </c>
      <c r="AC40" s="188" t="s">
        <v>694</v>
      </c>
      <c r="AD40" s="89" t="s">
        <v>657</v>
      </c>
      <c r="AE40" s="1971"/>
      <c r="AF40" s="1971"/>
      <c r="AG40" s="1971"/>
      <c r="AH40" s="1971"/>
      <c r="AI40" s="1971"/>
      <c r="AJ40" s="1971"/>
      <c r="AK40" s="1971"/>
      <c r="AL40" s="1971"/>
      <c r="AM40" s="1971"/>
      <c r="AN40" s="1971"/>
      <c r="AO40" s="1971"/>
      <c r="AP40" s="1971"/>
      <c r="AQ40" s="1971"/>
      <c r="AR40" s="1971"/>
      <c r="AS40" s="1971"/>
      <c r="AT40" s="1971"/>
      <c r="AU40" s="1971"/>
      <c r="AV40" s="1971"/>
      <c r="AW40" s="1971"/>
      <c r="AX40" s="1971"/>
      <c r="AY40" s="1971"/>
      <c r="AZ40" s="1971"/>
      <c r="BA40" s="1971"/>
      <c r="BB40" s="1971"/>
      <c r="BC40" s="1975"/>
      <c r="BD40" s="1328"/>
      <c r="BE40" s="1328"/>
      <c r="BF40" s="1023" t="s">
        <v>695</v>
      </c>
    </row>
    <row customHeight="1" ht="21.9375" hidden="1">
      <c r="A41" s="1328"/>
      <c r="B41" s="1186"/>
      <c r="C41" s="1328"/>
      <c r="D41" s="1328"/>
      <c r="E41" s="637">
        <v>22.5</v>
      </c>
      <c r="F41" s="50" cm="1" t="str">
        <f t="array" ref="F41:F41">OFFSET(E41,-1,1)</f>
        <v>0</v>
      </c>
      <c r="G41" s="1328"/>
      <c r="H41" s="94" t="s">
        <v>696</v>
      </c>
      <c r="I41" s="1328"/>
      <c r="J41" s="1328"/>
      <c r="K41" s="1328"/>
      <c r="L41" s="1328"/>
      <c r="M41" s="1328"/>
      <c r="N41" s="1328"/>
      <c r="O41" s="1328"/>
      <c r="P41" s="1308"/>
      <c r="Q41" s="1308"/>
      <c r="R41" s="1308"/>
      <c r="S41" s="1308"/>
      <c r="T41" s="468" cm="1" t="str">
        <f t="array" ref="T41:T41">T40</f>
        <v>false</v>
      </c>
      <c r="U41" s="1308"/>
      <c r="V41" s="1328"/>
      <c r="W41" s="1308"/>
      <c r="X41" s="1539"/>
      <c r="Y41" s="1528"/>
      <c r="Z41" s="1328"/>
      <c r="AA41" s="1328"/>
      <c r="AB41" s="236" t="s">
        <v>697</v>
      </c>
      <c r="AC41" s="188" t="s">
        <v>698</v>
      </c>
      <c r="AD41" s="89" t="s">
        <v>657</v>
      </c>
      <c r="AE41" s="1971"/>
      <c r="AF41" s="1971"/>
      <c r="AG41" s="1971"/>
      <c r="AH41" s="1971"/>
      <c r="AI41" s="1971"/>
      <c r="AJ41" s="1971"/>
      <c r="AK41" s="1971"/>
      <c r="AL41" s="1971"/>
      <c r="AM41" s="1971"/>
      <c r="AN41" s="1971"/>
      <c r="AO41" s="1971"/>
      <c r="AP41" s="1971"/>
      <c r="AQ41" s="1971"/>
      <c r="AR41" s="1971"/>
      <c r="AS41" s="1971"/>
      <c r="AT41" s="1971"/>
      <c r="AU41" s="1971"/>
      <c r="AV41" s="1971"/>
      <c r="AW41" s="1971"/>
      <c r="AX41" s="1971"/>
      <c r="AY41" s="1971"/>
      <c r="AZ41" s="1971"/>
      <c r="BA41" s="1971"/>
      <c r="BB41" s="1971"/>
      <c r="BC41" s="1975"/>
      <c r="BD41" s="1328"/>
      <c r="BE41" s="1328"/>
      <c r="BF41" s="1023" t="s">
        <v>699</v>
      </c>
    </row>
    <row customHeight="1" ht="14.625" hidden="1">
      <c r="A42" s="1328"/>
      <c r="B42" s="1186"/>
      <c r="C42" s="1328"/>
      <c r="D42" s="1328"/>
      <c r="E42" s="637">
        <v>15</v>
      </c>
      <c r="F42" s="50" cm="1" t="str">
        <f t="array" ref="F42:F42">OFFSET(E42,-1,1)</f>
        <v>0</v>
      </c>
      <c r="G42" s="1328"/>
      <c r="H42" s="94" t="s">
        <v>700</v>
      </c>
      <c r="I42" s="1328"/>
      <c r="J42" s="1328"/>
      <c r="K42" s="1328"/>
      <c r="L42" s="1328"/>
      <c r="M42" s="1328"/>
      <c r="N42" s="1328"/>
      <c r="O42" s="1328"/>
      <c r="P42" s="1308"/>
      <c r="Q42" s="1308"/>
      <c r="R42" s="1308"/>
      <c r="S42" s="1308"/>
      <c r="T42" s="468" cm="1" t="str">
        <f t="array" ref="T42:T42">T41</f>
        <v>false</v>
      </c>
      <c r="U42" s="1308"/>
      <c r="V42" s="1328"/>
      <c r="W42" s="1308"/>
      <c r="X42" s="1539"/>
      <c r="Y42" s="1528"/>
      <c r="Z42" s="1328"/>
      <c r="AA42" s="1328"/>
      <c r="AB42" s="236" t="s">
        <v>460</v>
      </c>
      <c r="AC42" s="325" t="s">
        <v>701</v>
      </c>
      <c r="AD42" s="89" t="s">
        <v>657</v>
      </c>
      <c r="AE42" s="1971"/>
      <c r="AF42" s="1971"/>
      <c r="AG42" s="1971"/>
      <c r="AH42" s="1971"/>
      <c r="AI42" s="1971"/>
      <c r="AJ42" s="1971"/>
      <c r="AK42" s="1971"/>
      <c r="AL42" s="1971"/>
      <c r="AM42" s="1971"/>
      <c r="AN42" s="1971"/>
      <c r="AO42" s="1971"/>
      <c r="AP42" s="1971"/>
      <c r="AQ42" s="1971"/>
      <c r="AR42" s="1971"/>
      <c r="AS42" s="1971"/>
      <c r="AT42" s="1971"/>
      <c r="AU42" s="1971"/>
      <c r="AV42" s="1971"/>
      <c r="AW42" s="1971"/>
      <c r="AX42" s="1971"/>
      <c r="AY42" s="1971"/>
      <c r="AZ42" s="1971"/>
      <c r="BA42" s="1971"/>
      <c r="BB42" s="1971"/>
      <c r="BC42" s="1975"/>
      <c r="BD42" s="1328"/>
      <c r="BE42" s="1328"/>
      <c r="BF42" s="1023" t="s">
        <v>702</v>
      </c>
    </row>
    <row customHeight="1" ht="14.625" hidden="1">
      <c r="A43" s="1328"/>
      <c r="B43" s="1186"/>
      <c r="C43" s="1328"/>
      <c r="D43" s="1328"/>
      <c r="E43" s="637">
        <v>15</v>
      </c>
      <c r="F43" s="50" cm="1" t="str">
        <f t="array" ref="F43:F43">OFFSET(E43,-1,1)</f>
        <v>0</v>
      </c>
      <c r="G43" s="1328"/>
      <c r="H43" s="94" t="s">
        <v>703</v>
      </c>
      <c r="I43" s="1328"/>
      <c r="J43" s="1328"/>
      <c r="K43" s="1328"/>
      <c r="L43" s="1328"/>
      <c r="M43" s="1328"/>
      <c r="N43" s="1328"/>
      <c r="O43" s="1328"/>
      <c r="P43" s="1308"/>
      <c r="Q43" s="1308"/>
      <c r="R43" s="1308"/>
      <c r="S43" s="1308"/>
      <c r="T43" s="468" cm="1" t="str">
        <f t="array" ref="T43:T43">T42</f>
        <v>false</v>
      </c>
      <c r="U43" s="1308"/>
      <c r="V43" s="1328"/>
      <c r="W43" s="1308"/>
      <c r="X43" s="1539"/>
      <c r="Y43" s="1528"/>
      <c r="Z43" s="1328"/>
      <c r="AA43" s="1328"/>
      <c r="AB43" s="236" t="s">
        <v>704</v>
      </c>
      <c r="AC43" s="327" t="s">
        <v>705</v>
      </c>
      <c r="AD43" s="89" t="s">
        <v>561</v>
      </c>
      <c r="AE43" s="1817">
        <f>IF(AE38=0,0,AE42/AE38*100)</f>
        <v>0</v>
      </c>
      <c r="AF43" s="1817">
        <f>IF(AF38=0,0,AF42/AF38*100)</f>
        <v>0</v>
      </c>
      <c r="AG43" s="1817">
        <f>IF(AG38=0,0,AG42/AG38*100)</f>
        <v>0</v>
      </c>
      <c r="AH43" s="1817">
        <f>IF(AH38=0,0,AH42/AH38*100)</f>
        <v>0</v>
      </c>
      <c r="AI43" s="1817">
        <f>IF(AI38=0,0,AI42/AI38*100)</f>
        <v>0</v>
      </c>
      <c r="AJ43" s="1817">
        <f>IF(AJ38=0,0,AJ42/AJ38*100)</f>
        <v>0</v>
      </c>
      <c r="AK43" s="1817">
        <f>IF(AK38=0,0,AK42/AK38*100)</f>
        <v>0</v>
      </c>
      <c r="AL43" s="1817">
        <f>IF(AL38=0,0,AL42/AL38*100)</f>
        <v>0</v>
      </c>
      <c r="AM43" s="1817">
        <f>IF(AM38=0,0,AM42/AM38*100)</f>
        <v>0</v>
      </c>
      <c r="AN43" s="1817">
        <f>IF(AN38=0,0,AN42/AN38*100)</f>
        <v>0</v>
      </c>
      <c r="AO43" s="1817">
        <f>IF(AO38=0,0,AO42/AO38*100)</f>
        <v>0</v>
      </c>
      <c r="AP43" s="1817">
        <f>IF(AP38=0,0,AP42/AP38*100)</f>
        <v>0</v>
      </c>
      <c r="AQ43" s="1817">
        <f>IF(AQ38=0,0,AQ42/AQ38*100)</f>
        <v>0</v>
      </c>
      <c r="AR43" s="1817">
        <f>IF(AR38=0,0,AR42/AR38*100)</f>
        <v>0</v>
      </c>
      <c r="AS43" s="1817">
        <f>IF(AS38=0,0,AS42/AS38*100)</f>
        <v>0</v>
      </c>
      <c r="AT43" s="1817">
        <f>IF(AT38=0,0,AT42/AT38*100)</f>
        <v>0</v>
      </c>
      <c r="AU43" s="1817">
        <f>IF(AU38=0,0,AU42/AU38*100)</f>
        <v>0</v>
      </c>
      <c r="AV43" s="1817">
        <f>IF(AV38=0,0,AV42/AV38*100)</f>
        <v>0</v>
      </c>
      <c r="AW43" s="1817">
        <f>IF(AW38=0,0,AW42/AW38*100)</f>
        <v>0</v>
      </c>
      <c r="AX43" s="1817">
        <f>IF(AX38=0,0,AX42/AX38*100)</f>
        <v>0</v>
      </c>
      <c r="AY43" s="1817">
        <f>IF(AY38=0,0,AY42/AY38*100)</f>
        <v>0</v>
      </c>
      <c r="AZ43" s="1817">
        <f>IF(AZ38=0,0,AZ42/AZ38*100)</f>
        <v>0</v>
      </c>
      <c r="BA43" s="1817">
        <f>IF(BA38=0,0,BA42/BA38*100)</f>
        <v>0</v>
      </c>
      <c r="BB43" s="1817">
        <f>IF(BB38=0,0,BB42/BB38*100)</f>
        <v>0</v>
      </c>
      <c r="BC43" s="1975"/>
      <c r="BD43" s="1328"/>
      <c r="BE43" s="1328"/>
      <c r="BF43" s="1023" t="s">
        <v>706</v>
      </c>
    </row>
    <row customHeight="1" ht="14.625" hidden="1">
      <c r="A44" s="1328"/>
      <c r="B44" s="1186"/>
      <c r="C44" s="1328"/>
      <c r="D44" s="1328"/>
      <c r="E44" s="637">
        <v>15</v>
      </c>
      <c r="F44" s="50" cm="1" t="str">
        <f t="array" ref="F44:F44">OFFSET(E44,-1,1)</f>
        <v>0</v>
      </c>
      <c r="G44" s="1328"/>
      <c r="H44" s="94" t="s">
        <v>707</v>
      </c>
      <c r="I44" s="1328"/>
      <c r="J44" s="1328"/>
      <c r="K44" s="1328"/>
      <c r="L44" s="1328"/>
      <c r="M44" s="1328"/>
      <c r="N44" s="1328"/>
      <c r="O44" s="1328"/>
      <c r="P44" s="1308"/>
      <c r="Q44" s="1308"/>
      <c r="R44" s="1308"/>
      <c r="S44" s="1308"/>
      <c r="T44" s="468" cm="1" t="str">
        <f t="array" ref="T44:T44">T43</f>
        <v>false</v>
      </c>
      <c r="U44" s="1308"/>
      <c r="V44" s="1328"/>
      <c r="W44" s="1308"/>
      <c r="X44" s="1539"/>
      <c r="Y44" s="1528"/>
      <c r="Z44" s="1328"/>
      <c r="AA44" s="1328"/>
      <c r="AB44" s="236" t="s">
        <v>463</v>
      </c>
      <c r="AC44" s="325" t="s">
        <v>708</v>
      </c>
      <c r="AD44" s="89" t="s">
        <v>657</v>
      </c>
      <c r="AE44" s="311">
        <f>AE45+AE49+AE52+AE62</f>
        <v>0</v>
      </c>
      <c r="AF44" s="311">
        <f>AF45+AF49+AF52+AF62</f>
        <v>0</v>
      </c>
      <c r="AG44" s="311">
        <f>AG45+AG49+AG52+AG62</f>
        <v>0</v>
      </c>
      <c r="AH44" s="311">
        <f>AH45+AH49+AH52+AH62</f>
        <v>0</v>
      </c>
      <c r="AI44" s="311">
        <f>AI45+AI49+AI52+AI62</f>
        <v>0</v>
      </c>
      <c r="AJ44" s="311">
        <f>AJ45+AJ49+AJ52+AJ62</f>
        <v>0</v>
      </c>
      <c r="AK44" s="311">
        <f>AK45+AK49+AK52+AK62</f>
        <v>0</v>
      </c>
      <c r="AL44" s="311">
        <f>AL45+AL49+AL52+AL62</f>
        <v>0</v>
      </c>
      <c r="AM44" s="311">
        <f>AM45+AM49+AM52+AM62</f>
        <v>0</v>
      </c>
      <c r="AN44" s="311">
        <f>AN45+AN49+AN52+AN62</f>
        <v>0</v>
      </c>
      <c r="AO44" s="311">
        <f>AO45+AO49+AO52+AO62</f>
        <v>0</v>
      </c>
      <c r="AP44" s="311">
        <f>AP45+AP49+AP52+AP62</f>
        <v>0</v>
      </c>
      <c r="AQ44" s="311">
        <f>AQ45+AQ49+AQ52+AQ62</f>
        <v>0</v>
      </c>
      <c r="AR44" s="311">
        <f>AR45+AR49+AR52+AR62</f>
        <v>0</v>
      </c>
      <c r="AS44" s="311">
        <f>AS45+AS49+AS52+AS62</f>
        <v>0</v>
      </c>
      <c r="AT44" s="311">
        <f>AT45+AT49+AT52+AT62</f>
        <v>0</v>
      </c>
      <c r="AU44" s="311">
        <f>AU45+AU49+AU52+AU62</f>
        <v>0</v>
      </c>
      <c r="AV44" s="311">
        <f>AV45+AV49+AV52+AV62</f>
        <v>0</v>
      </c>
      <c r="AW44" s="311">
        <f>AW45+AW49+AW52+AW62</f>
        <v>0</v>
      </c>
      <c r="AX44" s="311">
        <f>AX45+AX49+AX52+AX62</f>
        <v>0</v>
      </c>
      <c r="AY44" s="311">
        <f>AY45+AY49+AY52+AY62</f>
        <v>0</v>
      </c>
      <c r="AZ44" s="311">
        <f>AZ45+AZ49+AZ52+AZ62</f>
        <v>0</v>
      </c>
      <c r="BA44" s="311">
        <f>BA45+BA49+BA52+BA62</f>
        <v>0</v>
      </c>
      <c r="BB44" s="311">
        <f>BB45+BB49+BB52+BB62</f>
        <v>0</v>
      </c>
      <c r="BC44" s="1975"/>
      <c r="BD44" s="1328"/>
      <c r="BE44" s="1328"/>
      <c r="BF44" s="1023" t="s">
        <v>709</v>
      </c>
    </row>
    <row customHeight="1" ht="14.625" hidden="1">
      <c r="A45" s="1328"/>
      <c r="B45" s="1186"/>
      <c r="C45" s="1328"/>
      <c r="D45" s="1328"/>
      <c r="E45" s="637">
        <v>15</v>
      </c>
      <c r="F45" s="50" cm="1" t="str">
        <f t="array" ref="F45:F45">OFFSET(E45,-1,1)</f>
        <v>0</v>
      </c>
      <c r="G45" s="94" t="str">
        <f>IF(OwnNeedsInPO="да","ПО","")</f>
        <v>ПО</v>
      </c>
      <c r="H45" s="94" t="s">
        <v>710</v>
      </c>
      <c r="I45" s="1328"/>
      <c r="J45" s="1328"/>
      <c r="K45" s="1328"/>
      <c r="L45" s="1328"/>
      <c r="M45" s="1328"/>
      <c r="N45" s="1328"/>
      <c r="O45" s="1328"/>
      <c r="P45" s="1308"/>
      <c r="Q45" s="1308"/>
      <c r="R45" s="1308"/>
      <c r="S45" s="1308"/>
      <c r="T45" s="468" cm="1" t="str">
        <f t="array" ref="T45:T45">T44</f>
        <v>false</v>
      </c>
      <c r="U45" s="1308"/>
      <c r="V45" s="1328"/>
      <c r="W45" s="1308"/>
      <c r="X45" s="1539"/>
      <c r="Y45" s="1528"/>
      <c r="Z45" s="1328"/>
      <c r="AA45" s="1328"/>
      <c r="AB45" s="236" t="s">
        <v>711</v>
      </c>
      <c r="AC45" s="188" t="s">
        <v>712</v>
      </c>
      <c r="AD45" s="89" t="s">
        <v>657</v>
      </c>
      <c r="AE45" s="311">
        <f>SUM(AE46:AE48)</f>
        <v>0</v>
      </c>
      <c r="AF45" s="311">
        <f>SUM(AF46:AF48)</f>
        <v>0</v>
      </c>
      <c r="AG45" s="311">
        <f>SUM(AG46:AG48)</f>
        <v>0</v>
      </c>
      <c r="AH45" s="311">
        <f>SUM(AH46:AH48)</f>
        <v>0</v>
      </c>
      <c r="AI45" s="311">
        <f>SUM(AI46:AI48)</f>
        <v>0</v>
      </c>
      <c r="AJ45" s="311">
        <f>SUM(AJ46:AJ48)</f>
        <v>0</v>
      </c>
      <c r="AK45" s="311">
        <f>SUM(AK46:AK48)</f>
        <v>0</v>
      </c>
      <c r="AL45" s="311">
        <f>SUM(AL46:AL48)</f>
        <v>0</v>
      </c>
      <c r="AM45" s="311">
        <f>SUM(AM46:AM48)</f>
        <v>0</v>
      </c>
      <c r="AN45" s="311">
        <f>SUM(AN46:AN48)</f>
        <v>0</v>
      </c>
      <c r="AO45" s="311">
        <f>SUM(AO46:AO48)</f>
        <v>0</v>
      </c>
      <c r="AP45" s="311">
        <f>SUM(AP46:AP48)</f>
        <v>0</v>
      </c>
      <c r="AQ45" s="311">
        <f>SUM(AQ46:AQ48)</f>
        <v>0</v>
      </c>
      <c r="AR45" s="311">
        <f>SUM(AR46:AR48)</f>
        <v>0</v>
      </c>
      <c r="AS45" s="311">
        <f>SUM(AS46:AS48)</f>
        <v>0</v>
      </c>
      <c r="AT45" s="311">
        <f>SUM(AT46:AT48)</f>
        <v>0</v>
      </c>
      <c r="AU45" s="311">
        <f>SUM(AU46:AU48)</f>
        <v>0</v>
      </c>
      <c r="AV45" s="311">
        <f>SUM(AV46:AV48)</f>
        <v>0</v>
      </c>
      <c r="AW45" s="311">
        <f>SUM(AW46:AW48)</f>
        <v>0</v>
      </c>
      <c r="AX45" s="311">
        <f>SUM(AX46:AX48)</f>
        <v>0</v>
      </c>
      <c r="AY45" s="311">
        <f>SUM(AY46:AY48)</f>
        <v>0</v>
      </c>
      <c r="AZ45" s="311">
        <f>SUM(AZ46:AZ48)</f>
        <v>0</v>
      </c>
      <c r="BA45" s="311">
        <f>SUM(BA46:BA48)</f>
        <v>0</v>
      </c>
      <c r="BB45" s="311">
        <f>SUM(BB46:BB48)</f>
        <v>0</v>
      </c>
      <c r="BC45" s="1975"/>
      <c r="BD45" s="1328"/>
      <c r="BE45" s="1328"/>
      <c r="BF45" s="1023" t="s">
        <v>713</v>
      </c>
    </row>
    <row customHeight="1" ht="14.625" hidden="1">
      <c r="A46" s="1328"/>
      <c r="B46" s="1186"/>
      <c r="C46" s="1328"/>
      <c r="D46" s="1328"/>
      <c r="E46" s="637">
        <v>15</v>
      </c>
      <c r="F46" s="50" cm="1" t="str">
        <f t="array" ref="F46:F46">OFFSET(E46,-1,1)</f>
        <v>0</v>
      </c>
      <c r="G46" s="1328"/>
      <c r="H46" s="94" t="s">
        <v>714</v>
      </c>
      <c r="I46" s="1328"/>
      <c r="J46" s="1328"/>
      <c r="K46" s="1328"/>
      <c r="L46" s="1328"/>
      <c r="M46" s="1328"/>
      <c r="N46" s="1328"/>
      <c r="O46" s="1328"/>
      <c r="P46" s="1308"/>
      <c r="Q46" s="1308"/>
      <c r="R46" s="1308"/>
      <c r="S46" s="1308"/>
      <c r="T46" s="468" cm="1" t="str">
        <f t="array" ref="T46:T46">T45</f>
        <v>false</v>
      </c>
      <c r="U46" s="1308"/>
      <c r="V46" s="1328"/>
      <c r="W46" s="1308"/>
      <c r="X46" s="1539"/>
      <c r="Y46" s="1528"/>
      <c r="Z46" s="1328"/>
      <c r="AA46" s="1328"/>
      <c r="AB46" s="236" t="s">
        <v>715</v>
      </c>
      <c r="AC46" s="328" t="s">
        <v>716</v>
      </c>
      <c r="AD46" s="89" t="s">
        <v>657</v>
      </c>
      <c r="AE46" s="1971"/>
      <c r="AF46" s="1971"/>
      <c r="AG46" s="1971"/>
      <c r="AH46" s="1971"/>
      <c r="AI46" s="1971"/>
      <c r="AJ46" s="1971"/>
      <c r="AK46" s="1971"/>
      <c r="AL46" s="1971"/>
      <c r="AM46" s="1971"/>
      <c r="AN46" s="1971"/>
      <c r="AO46" s="1971"/>
      <c r="AP46" s="1971"/>
      <c r="AQ46" s="1971"/>
      <c r="AR46" s="1971"/>
      <c r="AS46" s="1971"/>
      <c r="AT46" s="1971"/>
      <c r="AU46" s="1971"/>
      <c r="AV46" s="1971"/>
      <c r="AW46" s="1971"/>
      <c r="AX46" s="1971"/>
      <c r="AY46" s="1971"/>
      <c r="AZ46" s="1971"/>
      <c r="BA46" s="1971"/>
      <c r="BB46" s="1971"/>
      <c r="BC46" s="1975"/>
      <c r="BD46" s="1328"/>
      <c r="BE46" s="1328"/>
      <c r="BF46" s="1023" t="s">
        <v>717</v>
      </c>
    </row>
    <row customHeight="1" ht="14.625" hidden="1">
      <c r="A47" s="1328"/>
      <c r="B47" s="1186"/>
      <c r="C47" s="1328"/>
      <c r="D47" s="1328"/>
      <c r="E47" s="637">
        <v>15</v>
      </c>
      <c r="F47" s="50" cm="1" t="str">
        <f t="array" ref="F47:F47">OFFSET(E47,-1,1)</f>
        <v>0</v>
      </c>
      <c r="G47" s="1328"/>
      <c r="H47" s="94" t="s">
        <v>718</v>
      </c>
      <c r="I47" s="1328"/>
      <c r="J47" s="1328"/>
      <c r="K47" s="1328"/>
      <c r="L47" s="1328"/>
      <c r="M47" s="1328"/>
      <c r="N47" s="1328"/>
      <c r="O47" s="1328"/>
      <c r="P47" s="1308"/>
      <c r="Q47" s="1308"/>
      <c r="R47" s="1308"/>
      <c r="S47" s="1308"/>
      <c r="T47" s="468" cm="1" t="str">
        <f t="array" ref="T47:T47">T46</f>
        <v>false</v>
      </c>
      <c r="U47" s="1308"/>
      <c r="V47" s="1328"/>
      <c r="W47" s="1308"/>
      <c r="X47" s="1539"/>
      <c r="Y47" s="1528"/>
      <c r="Z47" s="1328"/>
      <c r="AA47" s="1328"/>
      <c r="AB47" s="236" t="s">
        <v>719</v>
      </c>
      <c r="AC47" s="328" t="s">
        <v>720</v>
      </c>
      <c r="AD47" s="89" t="s">
        <v>657</v>
      </c>
      <c r="AE47" s="1971"/>
      <c r="AF47" s="1971"/>
      <c r="AG47" s="1971"/>
      <c r="AH47" s="1971"/>
      <c r="AI47" s="1971"/>
      <c r="AJ47" s="1971"/>
      <c r="AK47" s="1971"/>
      <c r="AL47" s="1971"/>
      <c r="AM47" s="1971"/>
      <c r="AN47" s="1971"/>
      <c r="AO47" s="1971"/>
      <c r="AP47" s="1971"/>
      <c r="AQ47" s="1971"/>
      <c r="AR47" s="1971"/>
      <c r="AS47" s="1971"/>
      <c r="AT47" s="1971"/>
      <c r="AU47" s="1971"/>
      <c r="AV47" s="1971"/>
      <c r="AW47" s="1971"/>
      <c r="AX47" s="1971"/>
      <c r="AY47" s="1971"/>
      <c r="AZ47" s="1971"/>
      <c r="BA47" s="1971"/>
      <c r="BB47" s="1971"/>
      <c r="BC47" s="1975"/>
      <c r="BD47" s="1328"/>
      <c r="BE47" s="1328"/>
      <c r="BF47" s="1023" t="s">
        <v>721</v>
      </c>
    </row>
    <row customHeight="1" ht="14.625" hidden="1">
      <c r="A48" s="1328"/>
      <c r="B48" s="1186"/>
      <c r="C48" s="1328"/>
      <c r="D48" s="1328"/>
      <c r="E48" s="637">
        <v>15</v>
      </c>
      <c r="F48" s="50" cm="1" t="str">
        <f t="array" ref="F48:F48">OFFSET(E48,-1,1)</f>
        <v>0</v>
      </c>
      <c r="G48" s="1328"/>
      <c r="H48" s="94" t="s">
        <v>722</v>
      </c>
      <c r="I48" s="1328"/>
      <c r="J48" s="1328"/>
      <c r="K48" s="1328"/>
      <c r="L48" s="1328"/>
      <c r="M48" s="1328"/>
      <c r="N48" s="1328"/>
      <c r="O48" s="1328"/>
      <c r="P48" s="1308"/>
      <c r="Q48" s="1308"/>
      <c r="R48" s="1308"/>
      <c r="S48" s="1308"/>
      <c r="T48" s="468" cm="1" t="str">
        <f t="array" ref="T48:T48">T47</f>
        <v>false</v>
      </c>
      <c r="U48" s="1308"/>
      <c r="V48" s="1328"/>
      <c r="W48" s="1308"/>
      <c r="X48" s="1539"/>
      <c r="Y48" s="1528"/>
      <c r="Z48" s="1328"/>
      <c r="AA48" s="1328"/>
      <c r="AB48" s="236" t="s">
        <v>723</v>
      </c>
      <c r="AC48" s="328" t="s">
        <v>724</v>
      </c>
      <c r="AD48" s="89" t="s">
        <v>657</v>
      </c>
      <c r="AE48" s="1971"/>
      <c r="AF48" s="1971"/>
      <c r="AG48" s="1971"/>
      <c r="AH48" s="1971"/>
      <c r="AI48" s="1971"/>
      <c r="AJ48" s="1971"/>
      <c r="AK48" s="1971"/>
      <c r="AL48" s="1971"/>
      <c r="AM48" s="1971"/>
      <c r="AN48" s="1971"/>
      <c r="AO48" s="1971"/>
      <c r="AP48" s="1971"/>
      <c r="AQ48" s="1971"/>
      <c r="AR48" s="1971"/>
      <c r="AS48" s="1971"/>
      <c r="AT48" s="1971"/>
      <c r="AU48" s="1971"/>
      <c r="AV48" s="1971"/>
      <c r="AW48" s="1971"/>
      <c r="AX48" s="1971"/>
      <c r="AY48" s="1971"/>
      <c r="AZ48" s="1971"/>
      <c r="BA48" s="1971"/>
      <c r="BB48" s="1971"/>
      <c r="BC48" s="1975"/>
      <c r="BD48" s="1328"/>
      <c r="BE48" s="1328"/>
      <c r="BF48" s="1023" t="s">
        <v>725</v>
      </c>
    </row>
    <row customHeight="1" ht="14.625" hidden="1">
      <c r="A49" s="1328"/>
      <c r="B49" s="1186"/>
      <c r="C49" s="1328"/>
      <c r="D49" s="1328"/>
      <c r="E49" s="637">
        <v>15</v>
      </c>
      <c r="F49" s="50" cm="1" t="str">
        <f t="array" ref="F49:F49">OFFSET(E49,-1,1)</f>
        <v>0</v>
      </c>
      <c r="G49" s="94" t="s">
        <v>726</v>
      </c>
      <c r="H49" s="94" t="s">
        <v>727</v>
      </c>
      <c r="I49" s="1328"/>
      <c r="J49" s="1328"/>
      <c r="K49" s="1328"/>
      <c r="L49" s="1328"/>
      <c r="M49" s="1328"/>
      <c r="N49" s="1328"/>
      <c r="O49" s="1328"/>
      <c r="P49" s="1308"/>
      <c r="Q49" s="1308"/>
      <c r="R49" s="1308"/>
      <c r="S49" s="1308"/>
      <c r="T49" s="468" cm="1" t="str">
        <f t="array" ref="T49:T49">T48</f>
        <v>false</v>
      </c>
      <c r="U49" s="1308"/>
      <c r="V49" s="1328"/>
      <c r="W49" s="1308"/>
      <c r="X49" s="1539"/>
      <c r="Y49" s="1528"/>
      <c r="Z49" s="1328"/>
      <c r="AA49" s="1328"/>
      <c r="AB49" s="236" t="s">
        <v>728</v>
      </c>
      <c r="AC49" s="188" t="s">
        <v>729</v>
      </c>
      <c r="AD49" s="89" t="s">
        <v>657</v>
      </c>
      <c r="AE49" s="311">
        <f>SUM(AE50:AE51)</f>
        <v>0</v>
      </c>
      <c r="AF49" s="311">
        <f>SUM(AF50:AF51)</f>
        <v>0</v>
      </c>
      <c r="AG49" s="311">
        <f>SUM(AG50:AG51)</f>
        <v>0</v>
      </c>
      <c r="AH49" s="311">
        <f>SUM(AH50:AH51)</f>
        <v>0</v>
      </c>
      <c r="AI49" s="311">
        <f>SUM(AI50:AI51)</f>
        <v>0</v>
      </c>
      <c r="AJ49" s="311">
        <f>SUM(AJ50:AJ51)</f>
        <v>0</v>
      </c>
      <c r="AK49" s="311">
        <f>SUM(AK50:AK51)</f>
        <v>0</v>
      </c>
      <c r="AL49" s="311">
        <f>SUM(AL50:AL51)</f>
        <v>0</v>
      </c>
      <c r="AM49" s="311">
        <f>SUM(AM50:AM51)</f>
        <v>0</v>
      </c>
      <c r="AN49" s="311">
        <f>SUM(AN50:AN51)</f>
        <v>0</v>
      </c>
      <c r="AO49" s="311">
        <f>SUM(AO50:AO51)</f>
        <v>0</v>
      </c>
      <c r="AP49" s="311">
        <f>SUM(AP50:AP51)</f>
        <v>0</v>
      </c>
      <c r="AQ49" s="311">
        <f>SUM(AQ50:AQ51)</f>
        <v>0</v>
      </c>
      <c r="AR49" s="311">
        <f>SUM(AR50:AR51)</f>
        <v>0</v>
      </c>
      <c r="AS49" s="311">
        <f>SUM(AS50:AS51)</f>
        <v>0</v>
      </c>
      <c r="AT49" s="311">
        <f>SUM(AT50:AT51)</f>
        <v>0</v>
      </c>
      <c r="AU49" s="311">
        <f>SUM(AU50:AU51)</f>
        <v>0</v>
      </c>
      <c r="AV49" s="311">
        <f>SUM(AV50:AV51)</f>
        <v>0</v>
      </c>
      <c r="AW49" s="311">
        <f>SUM(AW50:AW51)</f>
        <v>0</v>
      </c>
      <c r="AX49" s="311">
        <f>SUM(AX50:AX51)</f>
        <v>0</v>
      </c>
      <c r="AY49" s="311">
        <f>SUM(AY50:AY51)</f>
        <v>0</v>
      </c>
      <c r="AZ49" s="311">
        <f>SUM(AZ50:AZ51)</f>
        <v>0</v>
      </c>
      <c r="BA49" s="311">
        <f>SUM(BA50:BA51)</f>
        <v>0</v>
      </c>
      <c r="BB49" s="311">
        <f>SUM(BB50:BB51)</f>
        <v>0</v>
      </c>
      <c r="BC49" s="1975"/>
      <c r="BD49" s="1328"/>
      <c r="BE49" s="1328"/>
      <c r="BF49" s="1023" t="s">
        <v>730</v>
      </c>
    </row>
    <row customHeight="1" ht="14.625" hidden="1">
      <c r="A50" s="1328"/>
      <c r="B50" s="1186"/>
      <c r="C50" s="1328"/>
      <c r="D50" s="1328"/>
      <c r="E50" s="637">
        <v>15</v>
      </c>
      <c r="F50" s="50" cm="1" t="str">
        <f t="array" ref="F50:F50">OFFSET(E50,-1,1)</f>
        <v>0</v>
      </c>
      <c r="G50" s="1328"/>
      <c r="H50" s="94" t="s">
        <v>731</v>
      </c>
      <c r="I50" s="1328"/>
      <c r="J50" s="1328"/>
      <c r="K50" s="1328"/>
      <c r="L50" s="1328"/>
      <c r="M50" s="1328"/>
      <c r="N50" s="1328"/>
      <c r="O50" s="1328"/>
      <c r="P50" s="1308"/>
      <c r="Q50" s="1308"/>
      <c r="R50" s="1308"/>
      <c r="S50" s="1308"/>
      <c r="T50" s="468" cm="1" t="str">
        <f t="array" ref="T50:T50">T49</f>
        <v>false</v>
      </c>
      <c r="U50" s="1308"/>
      <c r="V50" s="1328"/>
      <c r="W50" s="1308"/>
      <c r="X50" s="1539"/>
      <c r="Y50" s="1528"/>
      <c r="Z50" s="1328"/>
      <c r="AA50" s="1328"/>
      <c r="AB50" s="236" t="s">
        <v>732</v>
      </c>
      <c r="AC50" s="328" t="s">
        <v>733</v>
      </c>
      <c r="AD50" s="89" t="s">
        <v>657</v>
      </c>
      <c r="AE50" s="1971"/>
      <c r="AF50" s="1971"/>
      <c r="AG50" s="1971"/>
      <c r="AH50" s="1971"/>
      <c r="AI50" s="1971"/>
      <c r="AJ50" s="1971"/>
      <c r="AK50" s="1971"/>
      <c r="AL50" s="1971"/>
      <c r="AM50" s="1971"/>
      <c r="AN50" s="1971"/>
      <c r="AO50" s="1971"/>
      <c r="AP50" s="1971"/>
      <c r="AQ50" s="1971"/>
      <c r="AR50" s="1971"/>
      <c r="AS50" s="1971"/>
      <c r="AT50" s="1971"/>
      <c r="AU50" s="1971"/>
      <c r="AV50" s="1971"/>
      <c r="AW50" s="1971"/>
      <c r="AX50" s="1971"/>
      <c r="AY50" s="1971"/>
      <c r="AZ50" s="1971"/>
      <c r="BA50" s="1971"/>
      <c r="BB50" s="1971"/>
      <c r="BC50" s="1975"/>
      <c r="BD50" s="1328"/>
      <c r="BE50" s="1328"/>
      <c r="BF50" s="1023" t="s">
        <v>734</v>
      </c>
    </row>
    <row customHeight="1" ht="14.625" hidden="1">
      <c r="A51" s="1328"/>
      <c r="B51" s="1186"/>
      <c r="C51" s="1328"/>
      <c r="D51" s="1328"/>
      <c r="E51" s="637">
        <v>15</v>
      </c>
      <c r="F51" s="50" cm="1" t="str">
        <f t="array" ref="F51:F51">OFFSET(E51,-1,1)</f>
        <v>0</v>
      </c>
      <c r="G51" s="1328"/>
      <c r="H51" s="94" t="s">
        <v>735</v>
      </c>
      <c r="I51" s="1328"/>
      <c r="J51" s="1328"/>
      <c r="K51" s="1328"/>
      <c r="L51" s="1328"/>
      <c r="M51" s="1328"/>
      <c r="N51" s="1328"/>
      <c r="O51" s="1328"/>
      <c r="P51" s="1308"/>
      <c r="Q51" s="1308"/>
      <c r="R51" s="1308"/>
      <c r="S51" s="1308"/>
      <c r="T51" s="468" cm="1" t="str">
        <f t="array" ref="T51:T51">T50</f>
        <v>false</v>
      </c>
      <c r="U51" s="1308"/>
      <c r="V51" s="1328"/>
      <c r="W51" s="1308"/>
      <c r="X51" s="1539"/>
      <c r="Y51" s="1528"/>
      <c r="Z51" s="1328"/>
      <c r="AA51" s="1328"/>
      <c r="AB51" s="236" t="s">
        <v>736</v>
      </c>
      <c r="AC51" s="328" t="s">
        <v>737</v>
      </c>
      <c r="AD51" s="89" t="s">
        <v>657</v>
      </c>
      <c r="AE51" s="1971"/>
      <c r="AF51" s="1971"/>
      <c r="AG51" s="1971"/>
      <c r="AH51" s="1971"/>
      <c r="AI51" s="1971"/>
      <c r="AJ51" s="1971"/>
      <c r="AK51" s="1971"/>
      <c r="AL51" s="1971"/>
      <c r="AM51" s="1971"/>
      <c r="AN51" s="1971"/>
      <c r="AO51" s="1971"/>
      <c r="AP51" s="1971"/>
      <c r="AQ51" s="1971"/>
      <c r="AR51" s="1971"/>
      <c r="AS51" s="1971"/>
      <c r="AT51" s="1971"/>
      <c r="AU51" s="1971"/>
      <c r="AV51" s="1971"/>
      <c r="AW51" s="1971"/>
      <c r="AX51" s="1971"/>
      <c r="AY51" s="1971"/>
      <c r="AZ51" s="1971"/>
      <c r="BA51" s="1971"/>
      <c r="BB51" s="1971"/>
      <c r="BC51" s="1975"/>
      <c r="BD51" s="1328"/>
      <c r="BE51" s="1328"/>
      <c r="BF51" s="1023" t="s">
        <v>738</v>
      </c>
    </row>
    <row customHeight="1" ht="14.625" hidden="1">
      <c r="A52" s="1328"/>
      <c r="B52" s="1186"/>
      <c r="C52" s="1328"/>
      <c r="D52" s="1328"/>
      <c r="E52" s="637">
        <v>15</v>
      </c>
      <c r="F52" s="50" cm="1" t="str">
        <f t="array" ref="F52:F52">OFFSET(E52,-1,1)</f>
        <v>0</v>
      </c>
      <c r="G52" s="94" t="s">
        <v>726</v>
      </c>
      <c r="H52" s="94" t="s">
        <v>739</v>
      </c>
      <c r="I52" s="1328"/>
      <c r="J52" s="1328"/>
      <c r="K52" s="1328"/>
      <c r="L52" s="1328"/>
      <c r="M52" s="1328"/>
      <c r="N52" s="1328"/>
      <c r="O52" s="1328"/>
      <c r="P52" s="1308"/>
      <c r="Q52" s="1308"/>
      <c r="R52" s="1308"/>
      <c r="S52" s="1308"/>
      <c r="T52" s="468" cm="1" t="str">
        <f t="array" ref="T52:T52">T51</f>
        <v>false</v>
      </c>
      <c r="U52" s="1308"/>
      <c r="V52" s="1328"/>
      <c r="W52" s="1308"/>
      <c r="X52" s="1539"/>
      <c r="Y52" s="1528"/>
      <c r="Z52" s="1328"/>
      <c r="AA52" s="1328"/>
      <c r="AB52" s="236" t="s">
        <v>740</v>
      </c>
      <c r="AC52" s="188" t="s">
        <v>741</v>
      </c>
      <c r="AD52" s="89" t="s">
        <v>657</v>
      </c>
      <c r="AE52" s="311">
        <f>AE53+AE56+AE59</f>
        <v>0</v>
      </c>
      <c r="AF52" s="311">
        <f>AF53+AF56+AF59</f>
        <v>0</v>
      </c>
      <c r="AG52" s="311">
        <f>AG53+AG56+AG59</f>
        <v>0</v>
      </c>
      <c r="AH52" s="311">
        <f>AH53+AH56+AH59</f>
        <v>0</v>
      </c>
      <c r="AI52" s="311">
        <f>AI53+AI56+AI59</f>
        <v>0</v>
      </c>
      <c r="AJ52" s="311">
        <f>AJ53+AJ56+AJ59</f>
        <v>0</v>
      </c>
      <c r="AK52" s="311">
        <f>AK53+AK56+AK59</f>
        <v>0</v>
      </c>
      <c r="AL52" s="311">
        <f>AL53+AL56+AL59</f>
        <v>0</v>
      </c>
      <c r="AM52" s="311">
        <f>AM53+AM56+AM59</f>
        <v>0</v>
      </c>
      <c r="AN52" s="311">
        <f>AN53+AN56+AN59</f>
        <v>0</v>
      </c>
      <c r="AO52" s="311">
        <f>AO53+AO56+AO59</f>
        <v>0</v>
      </c>
      <c r="AP52" s="311">
        <f>AP53+AP56+AP59</f>
        <v>0</v>
      </c>
      <c r="AQ52" s="311">
        <f>AQ53+AQ56+AQ59</f>
        <v>0</v>
      </c>
      <c r="AR52" s="311">
        <f>AR53+AR56+AR59</f>
        <v>0</v>
      </c>
      <c r="AS52" s="311">
        <f>AS53+AS56+AS59</f>
        <v>0</v>
      </c>
      <c r="AT52" s="311">
        <f>AT53+AT56+AT59</f>
        <v>0</v>
      </c>
      <c r="AU52" s="311">
        <f>AU53+AU56+AU59</f>
        <v>0</v>
      </c>
      <c r="AV52" s="311">
        <f>AV53+AV56+AV59</f>
        <v>0</v>
      </c>
      <c r="AW52" s="311">
        <f>AW53+AW56+AW59</f>
        <v>0</v>
      </c>
      <c r="AX52" s="311">
        <f>AX53+AX56+AX59</f>
        <v>0</v>
      </c>
      <c r="AY52" s="311">
        <f>AY53+AY56+AY59</f>
        <v>0</v>
      </c>
      <c r="AZ52" s="311">
        <f>AZ53+AZ56+AZ59</f>
        <v>0</v>
      </c>
      <c r="BA52" s="311">
        <f>BA53+BA56+BA59</f>
        <v>0</v>
      </c>
      <c r="BB52" s="311">
        <f>BB53+BB56+BB59</f>
        <v>0</v>
      </c>
      <c r="BC52" s="1975"/>
      <c r="BD52" s="1328"/>
      <c r="BE52" s="1328"/>
      <c r="BF52" s="1023" t="s">
        <v>742</v>
      </c>
    </row>
    <row customHeight="1" ht="14.625" hidden="1">
      <c r="A53" s="1328"/>
      <c r="B53" s="1186"/>
      <c r="C53" s="1328"/>
      <c r="D53" s="1328"/>
      <c r="E53" s="637">
        <v>15</v>
      </c>
      <c r="F53" s="50" cm="1" t="str">
        <f t="array" ref="F53:F53">OFFSET(E53,-1,1)</f>
        <v>0</v>
      </c>
      <c r="G53" s="1328"/>
      <c r="H53" s="94" t="s">
        <v>743</v>
      </c>
      <c r="I53" s="1328"/>
      <c r="J53" s="1328"/>
      <c r="K53" s="1328"/>
      <c r="L53" s="1328"/>
      <c r="M53" s="1328"/>
      <c r="N53" s="1328"/>
      <c r="O53" s="1328"/>
      <c r="P53" s="1308"/>
      <c r="Q53" s="1308"/>
      <c r="R53" s="1308"/>
      <c r="S53" s="1308"/>
      <c r="T53" s="468" cm="1" t="str">
        <f t="array" ref="T53:T53">T52</f>
        <v>false</v>
      </c>
      <c r="U53" s="1308"/>
      <c r="V53" s="1328"/>
      <c r="W53" s="1308"/>
      <c r="X53" s="1539"/>
      <c r="Y53" s="1528"/>
      <c r="Z53" s="1328"/>
      <c r="AA53" s="1328"/>
      <c r="AB53" s="236" t="s">
        <v>744</v>
      </c>
      <c r="AC53" s="328" t="s">
        <v>745</v>
      </c>
      <c r="AD53" s="89" t="s">
        <v>657</v>
      </c>
      <c r="AE53" s="311">
        <f>SUM(AE54:AE55)</f>
        <v>0</v>
      </c>
      <c r="AF53" s="311">
        <f>SUM(AF54:AF55)</f>
        <v>0</v>
      </c>
      <c r="AG53" s="311">
        <f>SUM(AG54:AG55)</f>
        <v>0</v>
      </c>
      <c r="AH53" s="311">
        <f>SUM(AH54:AH55)</f>
        <v>0</v>
      </c>
      <c r="AI53" s="311">
        <f>SUM(AI54:AI55)</f>
        <v>0</v>
      </c>
      <c r="AJ53" s="311">
        <f>SUM(AJ54:AJ55)</f>
        <v>0</v>
      </c>
      <c r="AK53" s="311">
        <f>SUM(AK54:AK55)</f>
        <v>0</v>
      </c>
      <c r="AL53" s="311">
        <f>SUM(AL54:AL55)</f>
        <v>0</v>
      </c>
      <c r="AM53" s="311">
        <f>SUM(AM54:AM55)</f>
        <v>0</v>
      </c>
      <c r="AN53" s="311">
        <f>SUM(AN54:AN55)</f>
        <v>0</v>
      </c>
      <c r="AO53" s="311">
        <f>SUM(AO54:AO55)</f>
        <v>0</v>
      </c>
      <c r="AP53" s="311">
        <f>SUM(AP54:AP55)</f>
        <v>0</v>
      </c>
      <c r="AQ53" s="311">
        <f>SUM(AQ54:AQ55)</f>
        <v>0</v>
      </c>
      <c r="AR53" s="311">
        <f>SUM(AR54:AR55)</f>
        <v>0</v>
      </c>
      <c r="AS53" s="311">
        <f>SUM(AS54:AS55)</f>
        <v>0</v>
      </c>
      <c r="AT53" s="311">
        <f>SUM(AT54:AT55)</f>
        <v>0</v>
      </c>
      <c r="AU53" s="311">
        <f>SUM(AU54:AU55)</f>
        <v>0</v>
      </c>
      <c r="AV53" s="311">
        <f>SUM(AV54:AV55)</f>
        <v>0</v>
      </c>
      <c r="AW53" s="311">
        <f>SUM(AW54:AW55)</f>
        <v>0</v>
      </c>
      <c r="AX53" s="311">
        <f>SUM(AX54:AX55)</f>
        <v>0</v>
      </c>
      <c r="AY53" s="311">
        <f>SUM(AY54:AY55)</f>
        <v>0</v>
      </c>
      <c r="AZ53" s="311">
        <f>SUM(AZ54:AZ55)</f>
        <v>0</v>
      </c>
      <c r="BA53" s="311">
        <f>SUM(BA54:BA55)</f>
        <v>0</v>
      </c>
      <c r="BB53" s="311">
        <f>SUM(BB54:BB55)</f>
        <v>0</v>
      </c>
      <c r="BC53" s="1975"/>
      <c r="BD53" s="1328"/>
      <c r="BE53" s="1328"/>
      <c r="BF53" s="1023" t="s">
        <v>746</v>
      </c>
    </row>
    <row customHeight="1" ht="14.625" hidden="1">
      <c r="A54" s="1328"/>
      <c r="B54" s="1186"/>
      <c r="C54" s="1328"/>
      <c r="D54" s="1328"/>
      <c r="E54" s="637">
        <v>15</v>
      </c>
      <c r="F54" s="50" cm="1" t="str">
        <f t="array" ref="F54:F54">OFFSET(E54,-1,1)</f>
        <v>0</v>
      </c>
      <c r="G54" s="1328"/>
      <c r="H54" s="94" t="s">
        <v>747</v>
      </c>
      <c r="I54" s="1328"/>
      <c r="J54" s="1328"/>
      <c r="K54" s="1328"/>
      <c r="L54" s="1328"/>
      <c r="M54" s="1328"/>
      <c r="N54" s="1328"/>
      <c r="O54" s="1328"/>
      <c r="P54" s="1308"/>
      <c r="Q54" s="1308"/>
      <c r="R54" s="1308"/>
      <c r="S54" s="1308"/>
      <c r="T54" s="468" cm="1" t="str">
        <f t="array" ref="T54:T54">T53</f>
        <v>false</v>
      </c>
      <c r="U54" s="1308"/>
      <c r="V54" s="1328"/>
      <c r="W54" s="1308"/>
      <c r="X54" s="1539"/>
      <c r="Y54" s="1528"/>
      <c r="Z54" s="1328"/>
      <c r="AA54" s="1328"/>
      <c r="AB54" s="236" t="s">
        <v>748</v>
      </c>
      <c r="AC54" s="329" t="s">
        <v>733</v>
      </c>
      <c r="AD54" s="89" t="s">
        <v>657</v>
      </c>
      <c r="AE54" s="1971"/>
      <c r="AF54" s="1971"/>
      <c r="AG54" s="1971"/>
      <c r="AH54" s="1971"/>
      <c r="AI54" s="1971"/>
      <c r="AJ54" s="1971"/>
      <c r="AK54" s="1971"/>
      <c r="AL54" s="1971"/>
      <c r="AM54" s="1971"/>
      <c r="AN54" s="1971"/>
      <c r="AO54" s="1971"/>
      <c r="AP54" s="1971"/>
      <c r="AQ54" s="1971"/>
      <c r="AR54" s="1971"/>
      <c r="AS54" s="1971"/>
      <c r="AT54" s="1971"/>
      <c r="AU54" s="1971"/>
      <c r="AV54" s="1971"/>
      <c r="AW54" s="1971"/>
      <c r="AX54" s="1971"/>
      <c r="AY54" s="1971"/>
      <c r="AZ54" s="1971"/>
      <c r="BA54" s="1971"/>
      <c r="BB54" s="1971"/>
      <c r="BC54" s="1975"/>
      <c r="BD54" s="1328"/>
      <c r="BE54" s="1328"/>
      <c r="BF54" s="1023" t="s">
        <v>749</v>
      </c>
    </row>
    <row customHeight="1" ht="14.625" hidden="1">
      <c r="A55" s="1328"/>
      <c r="B55" s="1186"/>
      <c r="C55" s="1328"/>
      <c r="D55" s="1328"/>
      <c r="E55" s="637">
        <v>15</v>
      </c>
      <c r="F55" s="50" cm="1" t="str">
        <f t="array" ref="F55:F55">OFFSET(E55,-1,1)</f>
        <v>0</v>
      </c>
      <c r="G55" s="1328"/>
      <c r="H55" s="94" t="s">
        <v>750</v>
      </c>
      <c r="I55" s="1328"/>
      <c r="J55" s="1328"/>
      <c r="K55" s="1328"/>
      <c r="L55" s="1328"/>
      <c r="M55" s="1328"/>
      <c r="N55" s="1328"/>
      <c r="O55" s="1328"/>
      <c r="P55" s="1308"/>
      <c r="Q55" s="1308"/>
      <c r="R55" s="1308"/>
      <c r="S55" s="1308"/>
      <c r="T55" s="468" cm="1" t="str">
        <f t="array" ref="T55:T55">T54</f>
        <v>false</v>
      </c>
      <c r="U55" s="1308"/>
      <c r="V55" s="1328"/>
      <c r="W55" s="1308"/>
      <c r="X55" s="1539"/>
      <c r="Y55" s="1528"/>
      <c r="Z55" s="1328"/>
      <c r="AA55" s="1328"/>
      <c r="AB55" s="236" t="s">
        <v>751</v>
      </c>
      <c r="AC55" s="329" t="s">
        <v>737</v>
      </c>
      <c r="AD55" s="89" t="s">
        <v>657</v>
      </c>
      <c r="AE55" s="1971"/>
      <c r="AF55" s="1971"/>
      <c r="AG55" s="1971"/>
      <c r="AH55" s="1971"/>
      <c r="AI55" s="1971"/>
      <c r="AJ55" s="1971"/>
      <c r="AK55" s="1971"/>
      <c r="AL55" s="1971"/>
      <c r="AM55" s="1971"/>
      <c r="AN55" s="1971"/>
      <c r="AO55" s="1971"/>
      <c r="AP55" s="1971"/>
      <c r="AQ55" s="1971"/>
      <c r="AR55" s="1971"/>
      <c r="AS55" s="1971"/>
      <c r="AT55" s="1971"/>
      <c r="AU55" s="1971"/>
      <c r="AV55" s="1971"/>
      <c r="AW55" s="1971"/>
      <c r="AX55" s="1971"/>
      <c r="AY55" s="1971"/>
      <c r="AZ55" s="1971"/>
      <c r="BA55" s="1971"/>
      <c r="BB55" s="1971"/>
      <c r="BC55" s="1975"/>
      <c r="BD55" s="1328"/>
      <c r="BE55" s="1328"/>
      <c r="BF55" s="1023" t="s">
        <v>752</v>
      </c>
    </row>
    <row customHeight="1" ht="14.625" hidden="1">
      <c r="A56" s="1328"/>
      <c r="B56" s="1186"/>
      <c r="C56" s="1328"/>
      <c r="D56" s="1328"/>
      <c r="E56" s="637">
        <v>15</v>
      </c>
      <c r="F56" s="50" cm="1" t="str">
        <f t="array" ref="F56:F56">OFFSET(E56,-1,1)</f>
        <v>0</v>
      </c>
      <c r="G56" s="94" t="s">
        <v>753</v>
      </c>
      <c r="H56" s="94" t="s">
        <v>754</v>
      </c>
      <c r="I56" s="1328"/>
      <c r="J56" s="1328"/>
      <c r="K56" s="1328"/>
      <c r="L56" s="1328"/>
      <c r="M56" s="1328"/>
      <c r="N56" s="1328"/>
      <c r="O56" s="1328"/>
      <c r="P56" s="1308"/>
      <c r="Q56" s="1308"/>
      <c r="R56" s="1308"/>
      <c r="S56" s="1308"/>
      <c r="T56" s="468" cm="1" t="str">
        <f t="array" ref="T56:T56">T55</f>
        <v>false</v>
      </c>
      <c r="U56" s="1308"/>
      <c r="V56" s="1328"/>
      <c r="W56" s="1308"/>
      <c r="X56" s="1539"/>
      <c r="Y56" s="1528"/>
      <c r="Z56" s="1328"/>
      <c r="AA56" s="1328"/>
      <c r="AB56" s="236" t="s">
        <v>755</v>
      </c>
      <c r="AC56" s="328" t="s">
        <v>756</v>
      </c>
      <c r="AD56" s="89" t="s">
        <v>657</v>
      </c>
      <c r="AE56" s="311">
        <f>SUM(AE57:AE58)</f>
        <v>0</v>
      </c>
      <c r="AF56" s="311">
        <f>SUM(AF57:AF58)</f>
        <v>0</v>
      </c>
      <c r="AG56" s="311">
        <f>SUM(AG57:AG58)</f>
        <v>0</v>
      </c>
      <c r="AH56" s="311">
        <f>SUM(AH57:AH58)</f>
        <v>0</v>
      </c>
      <c r="AI56" s="311">
        <f>SUM(AI57:AI58)</f>
        <v>0</v>
      </c>
      <c r="AJ56" s="311">
        <f>SUM(AJ57:AJ58)</f>
        <v>0</v>
      </c>
      <c r="AK56" s="311">
        <f>SUM(AK57:AK58)</f>
        <v>0</v>
      </c>
      <c r="AL56" s="311">
        <f>SUM(AL57:AL58)</f>
        <v>0</v>
      </c>
      <c r="AM56" s="311">
        <f>SUM(AM57:AM58)</f>
        <v>0</v>
      </c>
      <c r="AN56" s="311">
        <f>SUM(AN57:AN58)</f>
        <v>0</v>
      </c>
      <c r="AO56" s="311">
        <f>SUM(AO57:AO58)</f>
        <v>0</v>
      </c>
      <c r="AP56" s="311">
        <f>SUM(AP57:AP58)</f>
        <v>0</v>
      </c>
      <c r="AQ56" s="311">
        <f>SUM(AQ57:AQ58)</f>
        <v>0</v>
      </c>
      <c r="AR56" s="311">
        <f>SUM(AR57:AR58)</f>
        <v>0</v>
      </c>
      <c r="AS56" s="311">
        <f>SUM(AS57:AS58)</f>
        <v>0</v>
      </c>
      <c r="AT56" s="311">
        <f>SUM(AT57:AT58)</f>
        <v>0</v>
      </c>
      <c r="AU56" s="311">
        <f>SUM(AU57:AU58)</f>
        <v>0</v>
      </c>
      <c r="AV56" s="311">
        <f>SUM(AV57:AV58)</f>
        <v>0</v>
      </c>
      <c r="AW56" s="311">
        <f>SUM(AW57:AW58)</f>
        <v>0</v>
      </c>
      <c r="AX56" s="311">
        <f>SUM(AX57:AX58)</f>
        <v>0</v>
      </c>
      <c r="AY56" s="311">
        <f>SUM(AY57:AY58)</f>
        <v>0</v>
      </c>
      <c r="AZ56" s="311">
        <f>SUM(AZ57:AZ58)</f>
        <v>0</v>
      </c>
      <c r="BA56" s="311">
        <f>SUM(BA57:BA58)</f>
        <v>0</v>
      </c>
      <c r="BB56" s="311">
        <f>SUM(BB57:BB58)</f>
        <v>0</v>
      </c>
      <c r="BC56" s="1975"/>
      <c r="BD56" s="1328"/>
      <c r="BE56" s="1328"/>
      <c r="BF56" s="1023" t="s">
        <v>757</v>
      </c>
    </row>
    <row customHeight="1" ht="14.625" hidden="1">
      <c r="A57" s="1328"/>
      <c r="B57" s="1186"/>
      <c r="C57" s="1328"/>
      <c r="D57" s="1328"/>
      <c r="E57" s="637">
        <v>15</v>
      </c>
      <c r="F57" s="50" cm="1" t="str">
        <f t="array" ref="F57:F57">OFFSET(E57,-1,1)</f>
        <v>0</v>
      </c>
      <c r="G57" s="1328"/>
      <c r="H57" s="94" t="s">
        <v>758</v>
      </c>
      <c r="I57" s="1328"/>
      <c r="J57" s="1328"/>
      <c r="K57" s="1328"/>
      <c r="L57" s="1328"/>
      <c r="M57" s="1328"/>
      <c r="N57" s="1328"/>
      <c r="O57" s="1328"/>
      <c r="P57" s="1308"/>
      <c r="Q57" s="1308"/>
      <c r="R57" s="1308"/>
      <c r="S57" s="1308"/>
      <c r="T57" s="468" cm="1" t="str">
        <f t="array" ref="T57:T57">T56</f>
        <v>false</v>
      </c>
      <c r="U57" s="1308"/>
      <c r="V57" s="1328"/>
      <c r="W57" s="1308"/>
      <c r="X57" s="1539"/>
      <c r="Y57" s="1528"/>
      <c r="Z57" s="1328"/>
      <c r="AA57" s="1328"/>
      <c r="AB57" s="236" t="s">
        <v>759</v>
      </c>
      <c r="AC57" s="329" t="s">
        <v>733</v>
      </c>
      <c r="AD57" s="89" t="s">
        <v>657</v>
      </c>
      <c r="AE57" s="1971"/>
      <c r="AF57" s="1971"/>
      <c r="AG57" s="1971"/>
      <c r="AH57" s="1971"/>
      <c r="AI57" s="1971"/>
      <c r="AJ57" s="1971"/>
      <c r="AK57" s="1971"/>
      <c r="AL57" s="1971"/>
      <c r="AM57" s="1971"/>
      <c r="AN57" s="1971"/>
      <c r="AO57" s="1971"/>
      <c r="AP57" s="1971"/>
      <c r="AQ57" s="1971"/>
      <c r="AR57" s="1971"/>
      <c r="AS57" s="1971"/>
      <c r="AT57" s="1971"/>
      <c r="AU57" s="1971"/>
      <c r="AV57" s="1971"/>
      <c r="AW57" s="1971"/>
      <c r="AX57" s="1971"/>
      <c r="AY57" s="1971"/>
      <c r="AZ57" s="1971"/>
      <c r="BA57" s="1971"/>
      <c r="BB57" s="1971"/>
      <c r="BC57" s="1975"/>
      <c r="BD57" s="1328"/>
      <c r="BE57" s="1328"/>
      <c r="BF57" s="1023" t="s">
        <v>760</v>
      </c>
    </row>
    <row customHeight="1" ht="14.625" hidden="1">
      <c r="A58" s="1328"/>
      <c r="B58" s="1186"/>
      <c r="C58" s="1328"/>
      <c r="D58" s="1328"/>
      <c r="E58" s="637">
        <v>15</v>
      </c>
      <c r="F58" s="50" cm="1" t="str">
        <f t="array" ref="F58:F58">OFFSET(E58,-1,1)</f>
        <v>0</v>
      </c>
      <c r="G58" s="1328"/>
      <c r="H58" s="94" t="s">
        <v>761</v>
      </c>
      <c r="I58" s="1328"/>
      <c r="J58" s="1328"/>
      <c r="K58" s="1328"/>
      <c r="L58" s="1328"/>
      <c r="M58" s="1328"/>
      <c r="N58" s="1328"/>
      <c r="O58" s="1328"/>
      <c r="P58" s="1308"/>
      <c r="Q58" s="1308"/>
      <c r="R58" s="1308"/>
      <c r="S58" s="1308"/>
      <c r="T58" s="468" cm="1" t="str">
        <f t="array" ref="T58:T58">T57</f>
        <v>false</v>
      </c>
      <c r="U58" s="1308"/>
      <c r="V58" s="1328"/>
      <c r="W58" s="1308"/>
      <c r="X58" s="1539"/>
      <c r="Y58" s="1528"/>
      <c r="Z58" s="1328"/>
      <c r="AA58" s="1328"/>
      <c r="AB58" s="236" t="s">
        <v>762</v>
      </c>
      <c r="AC58" s="329" t="s">
        <v>737</v>
      </c>
      <c r="AD58" s="89" t="s">
        <v>657</v>
      </c>
      <c r="AE58" s="1971"/>
      <c r="AF58" s="1971"/>
      <c r="AG58" s="1971"/>
      <c r="AH58" s="1971"/>
      <c r="AI58" s="1971"/>
      <c r="AJ58" s="1971"/>
      <c r="AK58" s="1971"/>
      <c r="AL58" s="1971"/>
      <c r="AM58" s="1971"/>
      <c r="AN58" s="1971"/>
      <c r="AO58" s="1971"/>
      <c r="AP58" s="1971"/>
      <c r="AQ58" s="1971"/>
      <c r="AR58" s="1971"/>
      <c r="AS58" s="1971"/>
      <c r="AT58" s="1971"/>
      <c r="AU58" s="1971"/>
      <c r="AV58" s="1971"/>
      <c r="AW58" s="1971"/>
      <c r="AX58" s="1971"/>
      <c r="AY58" s="1971"/>
      <c r="AZ58" s="1971"/>
      <c r="BA58" s="1971"/>
      <c r="BB58" s="1971"/>
      <c r="BC58" s="1975"/>
      <c r="BD58" s="1328"/>
      <c r="BE58" s="1328"/>
      <c r="BF58" s="1023" t="s">
        <v>763</v>
      </c>
    </row>
    <row customHeight="1" ht="14.625" hidden="1">
      <c r="A59" s="1328"/>
      <c r="B59" s="1186"/>
      <c r="C59" s="1328"/>
      <c r="D59" s="1328"/>
      <c r="E59" s="637">
        <v>15</v>
      </c>
      <c r="F59" s="50" cm="1" t="str">
        <f t="array" ref="F59:F59">OFFSET(E59,-1,1)</f>
        <v>0</v>
      </c>
      <c r="G59" s="1328"/>
      <c r="H59" s="94" t="s">
        <v>764</v>
      </c>
      <c r="I59" s="1328"/>
      <c r="J59" s="1328"/>
      <c r="K59" s="1328"/>
      <c r="L59" s="1328"/>
      <c r="M59" s="1328"/>
      <c r="N59" s="1328"/>
      <c r="O59" s="1328"/>
      <c r="P59" s="1308"/>
      <c r="Q59" s="1308"/>
      <c r="R59" s="1308"/>
      <c r="S59" s="1308"/>
      <c r="T59" s="468" cm="1" t="str">
        <f t="array" ref="T59:T59">T58</f>
        <v>false</v>
      </c>
      <c r="U59" s="1308"/>
      <c r="V59" s="1328"/>
      <c r="W59" s="1308"/>
      <c r="X59" s="1539"/>
      <c r="Y59" s="1528"/>
      <c r="Z59" s="1328"/>
      <c r="AA59" s="1328"/>
      <c r="AB59" s="236" t="s">
        <v>765</v>
      </c>
      <c r="AC59" s="328" t="s">
        <v>766</v>
      </c>
      <c r="AD59" s="89" t="s">
        <v>657</v>
      </c>
      <c r="AE59" s="311">
        <f>SUM(AE60:AE61)</f>
        <v>0</v>
      </c>
      <c r="AF59" s="311">
        <f>SUM(AF60:AF61)</f>
        <v>0</v>
      </c>
      <c r="AG59" s="311">
        <f>SUM(AG60:AG61)</f>
        <v>0</v>
      </c>
      <c r="AH59" s="311">
        <f>SUM(AH60:AH61)</f>
        <v>0</v>
      </c>
      <c r="AI59" s="311">
        <f>SUM(AI60:AI61)</f>
        <v>0</v>
      </c>
      <c r="AJ59" s="311">
        <f>SUM(AJ60:AJ61)</f>
        <v>0</v>
      </c>
      <c r="AK59" s="311">
        <f>SUM(AK60:AK61)</f>
        <v>0</v>
      </c>
      <c r="AL59" s="311">
        <f>SUM(AL60:AL61)</f>
        <v>0</v>
      </c>
      <c r="AM59" s="311">
        <f>SUM(AM60:AM61)</f>
        <v>0</v>
      </c>
      <c r="AN59" s="311">
        <f>SUM(AN60:AN61)</f>
        <v>0</v>
      </c>
      <c r="AO59" s="311">
        <f>SUM(AO60:AO61)</f>
        <v>0</v>
      </c>
      <c r="AP59" s="311">
        <f>SUM(AP60:AP61)</f>
        <v>0</v>
      </c>
      <c r="AQ59" s="311">
        <f>SUM(AQ60:AQ61)</f>
        <v>0</v>
      </c>
      <c r="AR59" s="311">
        <f>SUM(AR60:AR61)</f>
        <v>0</v>
      </c>
      <c r="AS59" s="311">
        <f>SUM(AS60:AS61)</f>
        <v>0</v>
      </c>
      <c r="AT59" s="311">
        <f>SUM(AT60:AT61)</f>
        <v>0</v>
      </c>
      <c r="AU59" s="311">
        <f>SUM(AU60:AU61)</f>
        <v>0</v>
      </c>
      <c r="AV59" s="311">
        <f>SUM(AV60:AV61)</f>
        <v>0</v>
      </c>
      <c r="AW59" s="311">
        <f>SUM(AW60:AW61)</f>
        <v>0</v>
      </c>
      <c r="AX59" s="311">
        <f>SUM(AX60:AX61)</f>
        <v>0</v>
      </c>
      <c r="AY59" s="311">
        <f>SUM(AY60:AY61)</f>
        <v>0</v>
      </c>
      <c r="AZ59" s="311">
        <f>SUM(AZ60:AZ61)</f>
        <v>0</v>
      </c>
      <c r="BA59" s="311">
        <f>SUM(BA60:BA61)</f>
        <v>0</v>
      </c>
      <c r="BB59" s="311">
        <f>SUM(BB60:BB61)</f>
        <v>0</v>
      </c>
      <c r="BC59" s="1975"/>
      <c r="BD59" s="1328"/>
      <c r="BE59" s="1328"/>
      <c r="BF59" s="1023" t="s">
        <v>767</v>
      </c>
    </row>
    <row customHeight="1" ht="14.625" hidden="1">
      <c r="A60" s="1328"/>
      <c r="B60" s="1186"/>
      <c r="C60" s="1328"/>
      <c r="D60" s="1328"/>
      <c r="E60" s="637">
        <v>15</v>
      </c>
      <c r="F60" s="50" cm="1" t="str">
        <f t="array" ref="F60:F60">OFFSET(E60,-1,1)</f>
        <v>0</v>
      </c>
      <c r="G60" s="1328"/>
      <c r="H60" s="94" t="s">
        <v>768</v>
      </c>
      <c r="I60" s="1328"/>
      <c r="J60" s="1328"/>
      <c r="K60" s="1328"/>
      <c r="L60" s="1328"/>
      <c r="M60" s="1328"/>
      <c r="N60" s="1328"/>
      <c r="O60" s="1328"/>
      <c r="P60" s="1308"/>
      <c r="Q60" s="1308"/>
      <c r="R60" s="1308"/>
      <c r="S60" s="1308"/>
      <c r="T60" s="468" cm="1" t="str">
        <f t="array" ref="T60:T60">T59</f>
        <v>false</v>
      </c>
      <c r="U60" s="1308"/>
      <c r="V60" s="1328"/>
      <c r="W60" s="1308"/>
      <c r="X60" s="1539"/>
      <c r="Y60" s="1528"/>
      <c r="Z60" s="1328"/>
      <c r="AA60" s="1328"/>
      <c r="AB60" s="236" t="s">
        <v>769</v>
      </c>
      <c r="AC60" s="329" t="s">
        <v>733</v>
      </c>
      <c r="AD60" s="89" t="s">
        <v>657</v>
      </c>
      <c r="AE60" s="1971"/>
      <c r="AF60" s="1971"/>
      <c r="AG60" s="1971"/>
      <c r="AH60" s="1971"/>
      <c r="AI60" s="1971"/>
      <c r="AJ60" s="1971"/>
      <c r="AK60" s="1971"/>
      <c r="AL60" s="1971"/>
      <c r="AM60" s="1971"/>
      <c r="AN60" s="1971"/>
      <c r="AO60" s="1971"/>
      <c r="AP60" s="1971"/>
      <c r="AQ60" s="1971"/>
      <c r="AR60" s="1971"/>
      <c r="AS60" s="1971"/>
      <c r="AT60" s="1971"/>
      <c r="AU60" s="1971"/>
      <c r="AV60" s="1971"/>
      <c r="AW60" s="1971"/>
      <c r="AX60" s="1971"/>
      <c r="AY60" s="1971"/>
      <c r="AZ60" s="1971"/>
      <c r="BA60" s="1971"/>
      <c r="BB60" s="1971"/>
      <c r="BC60" s="1975"/>
      <c r="BD60" s="1328"/>
      <c r="BE60" s="1328"/>
      <c r="BF60" s="1023" t="s">
        <v>770</v>
      </c>
    </row>
    <row customHeight="1" ht="14.625" hidden="1">
      <c r="A61" s="1328"/>
      <c r="B61" s="1186"/>
      <c r="C61" s="1328"/>
      <c r="D61" s="1328"/>
      <c r="E61" s="637">
        <v>15</v>
      </c>
      <c r="F61" s="50" cm="1" t="str">
        <f t="array" ref="F61:F61">OFFSET(E61,-1,1)</f>
        <v>0</v>
      </c>
      <c r="G61" s="1328"/>
      <c r="H61" s="94" t="s">
        <v>771</v>
      </c>
      <c r="I61" s="1328"/>
      <c r="J61" s="1328"/>
      <c r="K61" s="1328"/>
      <c r="L61" s="1328"/>
      <c r="M61" s="1328"/>
      <c r="N61" s="1328"/>
      <c r="O61" s="1328"/>
      <c r="P61" s="1308"/>
      <c r="Q61" s="1308"/>
      <c r="R61" s="1308"/>
      <c r="S61" s="1308"/>
      <c r="T61" s="468" cm="1" t="str">
        <f t="array" ref="T61:T61">T60</f>
        <v>false</v>
      </c>
      <c r="U61" s="1308"/>
      <c r="V61" s="1328"/>
      <c r="W61" s="1308"/>
      <c r="X61" s="1539"/>
      <c r="Y61" s="1528"/>
      <c r="Z61" s="1328"/>
      <c r="AA61" s="1328"/>
      <c r="AB61" s="236" t="s">
        <v>772</v>
      </c>
      <c r="AC61" s="329" t="s">
        <v>737</v>
      </c>
      <c r="AD61" s="89" t="s">
        <v>657</v>
      </c>
      <c r="AE61" s="1971"/>
      <c r="AF61" s="1971"/>
      <c r="AG61" s="1971"/>
      <c r="AH61" s="1971"/>
      <c r="AI61" s="1971"/>
      <c r="AJ61" s="1971"/>
      <c r="AK61" s="1971"/>
      <c r="AL61" s="1971"/>
      <c r="AM61" s="1971"/>
      <c r="AN61" s="1971"/>
      <c r="AO61" s="1971"/>
      <c r="AP61" s="1971"/>
      <c r="AQ61" s="1971"/>
      <c r="AR61" s="1971"/>
      <c r="AS61" s="1971"/>
      <c r="AT61" s="1971"/>
      <c r="AU61" s="1971"/>
      <c r="AV61" s="1971"/>
      <c r="AW61" s="1971"/>
      <c r="AX61" s="1971"/>
      <c r="AY61" s="1971"/>
      <c r="AZ61" s="1971"/>
      <c r="BA61" s="1971"/>
      <c r="BB61" s="1971"/>
      <c r="BC61" s="1928"/>
      <c r="BD61" s="1328"/>
      <c r="BE61" s="1328"/>
      <c r="BF61" s="1023" t="s">
        <v>773</v>
      </c>
    </row>
    <row customHeight="1" ht="21.9375" hidden="1">
      <c r="A62" s="1328"/>
      <c r="B62" s="1186"/>
      <c r="C62" s="1328"/>
      <c r="D62" s="1328"/>
      <c r="E62" s="637">
        <v>22.5</v>
      </c>
      <c r="F62" s="50" cm="1" t="str">
        <f t="array" ref="F62:F62">OFFSET(E62,-1,1)</f>
        <v>0</v>
      </c>
      <c r="G62" s="1328"/>
      <c r="H62" s="94" t="s">
        <v>774</v>
      </c>
      <c r="I62" s="472"/>
      <c r="J62" s="472"/>
      <c r="K62" s="1328"/>
      <c r="L62" s="1328"/>
      <c r="M62" s="1328"/>
      <c r="N62" s="1328"/>
      <c r="O62" s="1328"/>
      <c r="P62" s="1308"/>
      <c r="Q62" s="1308"/>
      <c r="R62" s="1308"/>
      <c r="S62" s="1308"/>
      <c r="T62" s="468" cm="1" t="str">
        <f t="array" ref="T62:T62">T61</f>
        <v>false</v>
      </c>
      <c r="U62" s="1308"/>
      <c r="V62" s="1328"/>
      <c r="W62" s="1308"/>
      <c r="X62" s="1539"/>
      <c r="Y62" s="1528"/>
      <c r="Z62" s="1328"/>
      <c r="AA62" s="1328"/>
      <c r="AB62" s="236" t="s">
        <v>775</v>
      </c>
      <c r="AC62" s="330" t="s">
        <v>776</v>
      </c>
      <c r="AD62" s="89" t="s">
        <v>657</v>
      </c>
      <c r="AE62" s="1927"/>
      <c r="AF62" s="1927"/>
      <c r="AG62" s="1927"/>
      <c r="AH62" s="1927"/>
      <c r="AI62" s="1927"/>
      <c r="AJ62" s="1927"/>
      <c r="AK62" s="1927"/>
      <c r="AL62" s="1927"/>
      <c r="AM62" s="1927"/>
      <c r="AN62" s="1927"/>
      <c r="AO62" s="1927"/>
      <c r="AP62" s="1927"/>
      <c r="AQ62" s="1927"/>
      <c r="AR62" s="1927"/>
      <c r="AS62" s="1927"/>
      <c r="AT62" s="1927"/>
      <c r="AU62" s="1927"/>
      <c r="AV62" s="1927"/>
      <c r="AW62" s="1927"/>
      <c r="AX62" s="1927"/>
      <c r="AY62" s="1927"/>
      <c r="AZ62" s="1927"/>
      <c r="BA62" s="1927"/>
      <c r="BB62" s="1927"/>
      <c r="BC62" s="1928"/>
      <c r="BD62" s="1328"/>
      <c r="BE62" s="1328"/>
      <c r="BF62" s="1023" t="s">
        <v>777</v>
      </c>
    </row>
    <row customHeight="1" ht="14.625" hidden="1">
      <c r="A63" s="1328"/>
      <c r="B63" s="1186"/>
      <c r="C63" s="1328"/>
      <c r="D63" s="1328"/>
      <c r="E63" s="637">
        <v>15</v>
      </c>
      <c r="F63" s="345" cm="1" t="str">
        <f t="array" ref="F63:F63">OFFSET(E63,-1,1)</f>
        <v>0</v>
      </c>
      <c r="G63" s="1328"/>
      <c r="H63" s="1328"/>
      <c r="I63" s="1328"/>
      <c r="J63" s="1328"/>
      <c r="K63" s="1328"/>
      <c r="L63" s="1328"/>
      <c r="M63" s="1328"/>
      <c r="N63" s="1328"/>
      <c r="O63" s="1328"/>
      <c r="P63" s="1308"/>
      <c r="Q63" s="1308"/>
      <c r="R63" s="1308"/>
      <c r="S63" s="1308"/>
      <c r="T63" s="468" cm="1" t="str">
        <f t="array" ref="T63:T63">T62</f>
        <v>false</v>
      </c>
      <c r="U63" s="1308"/>
      <c r="V63" s="1328"/>
      <c r="W63" s="1308"/>
      <c r="X63" s="1539"/>
      <c r="Y63" s="1528"/>
      <c r="Z63" s="1328"/>
      <c r="AA63" s="1328"/>
      <c r="AB63" s="236" t="s">
        <v>778</v>
      </c>
      <c r="AC63" s="330" t="s">
        <v>779</v>
      </c>
      <c r="AD63" s="89" t="s">
        <v>657</v>
      </c>
      <c r="AE63" s="1927"/>
      <c r="AF63" s="1927"/>
      <c r="AG63" s="1927"/>
      <c r="AH63" s="1927"/>
      <c r="AI63" s="1927"/>
      <c r="AJ63" s="1927"/>
      <c r="AK63" s="1927"/>
      <c r="AL63" s="1927"/>
      <c r="AM63" s="1927"/>
      <c r="AN63" s="1927"/>
      <c r="AO63" s="1927"/>
      <c r="AP63" s="1927"/>
      <c r="AQ63" s="1927"/>
      <c r="AR63" s="1927"/>
      <c r="AS63" s="1927"/>
      <c r="AT63" s="1927"/>
      <c r="AU63" s="1927"/>
      <c r="AV63" s="1927"/>
      <c r="AW63" s="1927"/>
      <c r="AX63" s="1927"/>
      <c r="AY63" s="1927"/>
      <c r="AZ63" s="1927"/>
      <c r="BA63" s="1927"/>
      <c r="BB63" s="1927"/>
      <c r="BC63" s="1928"/>
      <c r="BD63" s="1328"/>
      <c r="BE63" s="1328"/>
      <c r="BF63" s="1023" t="s">
        <v>780</v>
      </c>
    </row>
    <row s="1656" customFormat="1" customHeight="1" ht="11.25" hidden="1">
      <c r="A64" s="472"/>
      <c r="B64" s="664"/>
      <c r="C64" s="472"/>
      <c r="D64" s="472"/>
      <c r="E64" s="666" t="s">
        <v>384</v>
      </c>
      <c r="F64" s="1194" cm="1" t="str">
        <f t="array" ref="F64:F64">OFFSET(E64,-1,1)</f>
        <v>0</v>
      </c>
      <c r="G64" s="472"/>
      <c r="H64" s="472"/>
      <c r="I64" s="1656"/>
      <c r="J64" s="1656"/>
      <c r="K64" s="94"/>
      <c r="L64" s="472"/>
      <c r="M64" s="472"/>
      <c r="N64" s="472"/>
      <c r="O64" s="472"/>
      <c r="P64" s="472"/>
      <c r="Q64" s="472"/>
      <c r="R64" s="417"/>
      <c r="S64" s="417"/>
      <c r="T64" s="468" t="b">
        <v>0</v>
      </c>
      <c r="U64" s="472"/>
      <c r="V64" s="472"/>
      <c r="W64" s="472"/>
      <c r="X64" s="1539"/>
      <c r="Y64" s="1528"/>
      <c r="Z64" s="472"/>
      <c r="AA64" s="472"/>
      <c r="AB64" s="1656"/>
      <c r="AC64" s="96"/>
      <c r="AD64" s="96"/>
      <c r="AE64" s="340"/>
      <c r="AF64" s="340"/>
      <c r="AG64" s="340"/>
      <c r="AH64" s="340"/>
      <c r="AI64" s="340"/>
      <c r="AJ64" s="341"/>
      <c r="AK64" s="340"/>
      <c r="AL64" s="340"/>
      <c r="AM64" s="340"/>
      <c r="AN64" s="340"/>
      <c r="AO64" s="340"/>
      <c r="AP64" s="340"/>
      <c r="AQ64" s="340"/>
      <c r="AR64" s="340"/>
      <c r="AS64" s="340"/>
      <c r="AT64" s="340"/>
      <c r="AU64" s="340"/>
      <c r="AV64" s="340"/>
      <c r="AW64" s="340"/>
      <c r="AX64" s="340"/>
      <c r="AY64" s="340"/>
      <c r="AZ64" s="340"/>
      <c r="BA64" s="340"/>
      <c r="BB64" s="340"/>
      <c r="BC64" s="1656"/>
      <c r="BD64" s="1656"/>
      <c r="BE64" s="1656"/>
      <c r="BF64" s="1027"/>
    </row>
    <row customHeight="1" ht="14.625" hidden="1">
      <c r="A65" s="1328"/>
      <c r="B65" s="1186"/>
      <c r="C65" s="1328"/>
      <c r="D65" s="1328"/>
      <c r="E65" s="637">
        <v>15</v>
      </c>
      <c r="F65" s="50" cm="1" t="str">
        <f t="array" ref="F65:F65">OFFSET(E65,-1,1)</f>
        <v>0</v>
      </c>
      <c r="G65" s="1328"/>
      <c r="H65" s="1328"/>
      <c r="I65" s="1328"/>
      <c r="J65" s="1328"/>
      <c r="K65" s="1328"/>
      <c r="L65" s="1328"/>
      <c r="M65" s="1328"/>
      <c r="N65" s="1328"/>
      <c r="O65" s="1328"/>
      <c r="P65" s="1308"/>
      <c r="Q65" s="1308"/>
      <c r="R65" s="417" cm="1" t="str">
        <f t="array" ref="R65:R65">INDEX('Общие сведения'!$AN$197:$AN$254,MATCH($X27,'Общие сведения'!$Z$197:$Z$254,0))</f>
        <v>false</v>
      </c>
      <c r="S65" s="417">
        <f>IF(ISERROR(SEARCH("Водоснабжение",AB27)),FALSE,TRUE)</f>
        <v>0</v>
      </c>
      <c r="T65" s="468">
        <f>AND(X27&gt;0,S65,R65)</f>
        <v>0</v>
      </c>
      <c r="U65" s="1308"/>
      <c r="V65" s="1328"/>
      <c r="W65" s="1308"/>
      <c r="X65" s="1539"/>
      <c r="Y65" s="1528"/>
      <c r="Z65" s="1328"/>
      <c r="AA65" s="1328"/>
      <c r="AB65" s="236" t="s">
        <v>290</v>
      </c>
      <c r="AC65" s="324" t="s">
        <v>654</v>
      </c>
      <c r="AD65" s="194"/>
      <c r="AE65" s="574" cm="1" t="str">
        <f t="array" ref="AE65:AE65">INDEX('Общие сведения'!$AH$197:$AH$254,MATCH($X27,'Общие сведения'!$Z$197:$Z$254,0))</f>
        <v>0</v>
      </c>
      <c r="AF65" s="358"/>
      <c r="AG65" s="358"/>
      <c r="AH65" s="358"/>
      <c r="AI65" s="358"/>
      <c r="AJ65" s="358"/>
      <c r="AK65" s="358"/>
      <c r="AL65" s="358"/>
      <c r="AM65" s="358"/>
      <c r="AN65" s="358"/>
      <c r="AO65" s="358"/>
      <c r="AP65" s="358"/>
      <c r="AQ65" s="358"/>
      <c r="AR65" s="358"/>
      <c r="AS65" s="358"/>
      <c r="AT65" s="358"/>
      <c r="AU65" s="358"/>
      <c r="AV65" s="358"/>
      <c r="AW65" s="358"/>
      <c r="AX65" s="358"/>
      <c r="AY65" s="358"/>
      <c r="AZ65" s="358"/>
      <c r="BA65" s="358"/>
      <c r="BB65" s="359"/>
      <c r="BC65" s="1928"/>
      <c r="BD65" s="1328"/>
      <c r="BE65" s="1328"/>
      <c r="BF65" s="1023" t="s">
        <v>781</v>
      </c>
    </row>
    <row customHeight="1" ht="14.625" hidden="1">
      <c r="A66" s="1328"/>
      <c r="B66" s="1186"/>
      <c r="C66" s="1328"/>
      <c r="D66" s="1328"/>
      <c r="E66" s="637">
        <v>15</v>
      </c>
      <c r="F66" s="50" cm="1" t="str">
        <f t="array" ref="F66:F66">OFFSET(E66,-1,1)</f>
        <v>0</v>
      </c>
      <c r="G66" s="1328"/>
      <c r="H66" s="94" t="s">
        <v>348</v>
      </c>
      <c r="I66" s="1328"/>
      <c r="J66" s="1328"/>
      <c r="K66" s="1328"/>
      <c r="L66" s="1328"/>
      <c r="M66" s="1328"/>
      <c r="N66" s="1328"/>
      <c r="O66" s="1328"/>
      <c r="P66" s="1308"/>
      <c r="Q66" s="1308"/>
      <c r="R66" s="1308"/>
      <c r="S66" s="1308"/>
      <c r="T66" s="468" cm="1" t="str">
        <f t="array" ref="T66:T66">T65</f>
        <v>false</v>
      </c>
      <c r="U66" s="1308"/>
      <c r="V66" s="1328"/>
      <c r="W66" s="1308"/>
      <c r="X66" s="1539"/>
      <c r="Y66" s="1528"/>
      <c r="Z66" s="1328"/>
      <c r="AA66" s="1328"/>
      <c r="AB66" s="236" t="s">
        <v>299</v>
      </c>
      <c r="AC66" s="331" t="s">
        <v>782</v>
      </c>
      <c r="AD66" s="89" t="s">
        <v>657</v>
      </c>
      <c r="AE66" s="342">
        <f>AE70+AE72+AE75+AE78</f>
        <v>0</v>
      </c>
      <c r="AF66" s="342">
        <f>AF70+AF72+AF75+AF78</f>
        <v>0</v>
      </c>
      <c r="AG66" s="342">
        <f>AG70+AG72+AG75+AG78</f>
        <v>0</v>
      </c>
      <c r="AH66" s="342">
        <f>AH70+AH72+AH75+AH78</f>
        <v>0</v>
      </c>
      <c r="AI66" s="342">
        <f>AI70+AI72+AI75+AI78</f>
        <v>0</v>
      </c>
      <c r="AJ66" s="342">
        <f>AJ70+AJ72+AJ75+AJ78</f>
        <v>0</v>
      </c>
      <c r="AK66" s="342">
        <f>AK70+AK72+AK75+AK78</f>
        <v>0</v>
      </c>
      <c r="AL66" s="342">
        <f>AL70+AL72+AL75+AL78</f>
        <v>0</v>
      </c>
      <c r="AM66" s="342">
        <f>AM70+AM72+AM75+AM78</f>
        <v>0</v>
      </c>
      <c r="AN66" s="342">
        <f>AN70+AN72+AN75+AN78</f>
        <v>0</v>
      </c>
      <c r="AO66" s="342">
        <f>AO70+AO72+AO75+AO78</f>
        <v>0</v>
      </c>
      <c r="AP66" s="342">
        <f>AP70+AP72+AP75+AP78</f>
        <v>0</v>
      </c>
      <c r="AQ66" s="342">
        <f>AQ70+AQ72+AQ75+AQ78</f>
        <v>0</v>
      </c>
      <c r="AR66" s="342">
        <f>AR70+AR72+AR75+AR78</f>
        <v>0</v>
      </c>
      <c r="AS66" s="342">
        <f>AS70+AS72+AS75+AS78</f>
        <v>0</v>
      </c>
      <c r="AT66" s="342">
        <f>AT70+AT72+AT75+AT78</f>
        <v>0</v>
      </c>
      <c r="AU66" s="342">
        <f>AU70+AU72+AU75+AU78</f>
        <v>0</v>
      </c>
      <c r="AV66" s="342">
        <f>AV70+AV72+AV75+AV78</f>
        <v>0</v>
      </c>
      <c r="AW66" s="342">
        <f>AW70+AW72+AW75+AW78</f>
        <v>0</v>
      </c>
      <c r="AX66" s="342">
        <f>AX70+AX72+AX75+AX78</f>
        <v>0</v>
      </c>
      <c r="AY66" s="342">
        <f>AY70+AY72+AY75+AY78</f>
        <v>0</v>
      </c>
      <c r="AZ66" s="342">
        <f>AZ70+AZ72+AZ75+AZ78</f>
        <v>0</v>
      </c>
      <c r="BA66" s="342">
        <f>BA70+BA72+BA75+BA78</f>
        <v>0</v>
      </c>
      <c r="BB66" s="342">
        <f>BB70+BB72+BB75+BB78</f>
        <v>0</v>
      </c>
      <c r="BC66" s="1928"/>
      <c r="BD66" s="1328"/>
      <c r="BE66" s="1328"/>
      <c r="BF66" s="1023" t="s">
        <v>783</v>
      </c>
    </row>
    <row customHeight="1" ht="14.625" hidden="1">
      <c r="A67" s="1328"/>
      <c r="B67" s="1186"/>
      <c r="C67" s="1328"/>
      <c r="D67" s="1328"/>
      <c r="E67" s="637">
        <v>15</v>
      </c>
      <c r="F67" s="50" cm="1" t="str">
        <f t="array" ref="F67:F67">OFFSET(E67,-1,1)</f>
        <v>0</v>
      </c>
      <c r="G67" s="1328"/>
      <c r="H67" s="94" t="s">
        <v>659</v>
      </c>
      <c r="I67" s="1328"/>
      <c r="J67" s="1328"/>
      <c r="K67" s="1328"/>
      <c r="L67" s="1328"/>
      <c r="M67" s="1328"/>
      <c r="N67" s="1328"/>
      <c r="O67" s="1328"/>
      <c r="P67" s="1308"/>
      <c r="Q67" s="1308"/>
      <c r="R67" s="1308"/>
      <c r="S67" s="1308"/>
      <c r="T67" s="468" cm="1" t="str">
        <f t="array" ref="T67:T67">T66</f>
        <v>false</v>
      </c>
      <c r="U67" s="1308"/>
      <c r="V67" s="1328"/>
      <c r="W67" s="1308"/>
      <c r="X67" s="1539"/>
      <c r="Y67" s="1528"/>
      <c r="Z67" s="1328"/>
      <c r="AA67" s="1328"/>
      <c r="AB67" s="236" t="s">
        <v>660</v>
      </c>
      <c r="AC67" s="332" t="s">
        <v>784</v>
      </c>
      <c r="AD67" s="89" t="s">
        <v>657</v>
      </c>
      <c r="AE67" s="1927"/>
      <c r="AF67" s="1927"/>
      <c r="AG67" s="1927"/>
      <c r="AH67" s="1927"/>
      <c r="AI67" s="1927"/>
      <c r="AJ67" s="1927"/>
      <c r="AK67" s="1927"/>
      <c r="AL67" s="1927"/>
      <c r="AM67" s="1927"/>
      <c r="AN67" s="1927"/>
      <c r="AO67" s="1927"/>
      <c r="AP67" s="1927"/>
      <c r="AQ67" s="1927"/>
      <c r="AR67" s="1927"/>
      <c r="AS67" s="1927"/>
      <c r="AT67" s="1927"/>
      <c r="AU67" s="1927"/>
      <c r="AV67" s="1927"/>
      <c r="AW67" s="1927"/>
      <c r="AX67" s="1927"/>
      <c r="AY67" s="1927"/>
      <c r="AZ67" s="1927"/>
      <c r="BA67" s="1927"/>
      <c r="BB67" s="1927"/>
      <c r="BC67" s="1928"/>
      <c r="BD67" s="1328"/>
      <c r="BE67" s="1328"/>
      <c r="BF67" s="1023" t="s">
        <v>785</v>
      </c>
    </row>
    <row customHeight="1" ht="14.625" hidden="1">
      <c r="A68" s="1328"/>
      <c r="B68" s="1186"/>
      <c r="C68" s="1328"/>
      <c r="D68" s="1328"/>
      <c r="E68" s="637">
        <v>15</v>
      </c>
      <c r="F68" s="50" cm="1" t="str">
        <f t="array" ref="F68:F68">OFFSET(E68,-1,1)</f>
        <v>0</v>
      </c>
      <c r="G68" s="1328"/>
      <c r="H68" s="94" t="s">
        <v>663</v>
      </c>
      <c r="I68" s="1328"/>
      <c r="J68" s="1328"/>
      <c r="K68" s="1328"/>
      <c r="L68" s="1328"/>
      <c r="M68" s="1328"/>
      <c r="N68" s="1328"/>
      <c r="O68" s="1328"/>
      <c r="P68" s="1308"/>
      <c r="Q68" s="1308"/>
      <c r="R68" s="1308"/>
      <c r="S68" s="1308"/>
      <c r="T68" s="468" cm="1" t="str">
        <f t="array" ref="T68:T68">T67</f>
        <v>false</v>
      </c>
      <c r="U68" s="1308"/>
      <c r="V68" s="1328"/>
      <c r="W68" s="1308"/>
      <c r="X68" s="1539"/>
      <c r="Y68" s="1528"/>
      <c r="Z68" s="1328"/>
      <c r="AA68" s="1328"/>
      <c r="AB68" s="236" t="s">
        <v>664</v>
      </c>
      <c r="AC68" s="332" t="s">
        <v>786</v>
      </c>
      <c r="AD68" s="89" t="s">
        <v>657</v>
      </c>
      <c r="AE68" s="1927"/>
      <c r="AF68" s="1927"/>
      <c r="AG68" s="1927"/>
      <c r="AH68" s="1927"/>
      <c r="AI68" s="1927"/>
      <c r="AJ68" s="1927"/>
      <c r="AK68" s="1927"/>
      <c r="AL68" s="1927"/>
      <c r="AM68" s="1927"/>
      <c r="AN68" s="1927"/>
      <c r="AO68" s="1927"/>
      <c r="AP68" s="1927"/>
      <c r="AQ68" s="1927"/>
      <c r="AR68" s="1927"/>
      <c r="AS68" s="1927"/>
      <c r="AT68" s="1927"/>
      <c r="AU68" s="1927"/>
      <c r="AV68" s="1927"/>
      <c r="AW68" s="1927"/>
      <c r="AX68" s="1927"/>
      <c r="AY68" s="1927"/>
      <c r="AZ68" s="1927"/>
      <c r="BA68" s="1927"/>
      <c r="BB68" s="1927"/>
      <c r="BC68" s="1928"/>
      <c r="BD68" s="1328"/>
      <c r="BE68" s="1328"/>
      <c r="BF68" s="1023" t="s">
        <v>787</v>
      </c>
    </row>
    <row customHeight="1" ht="21.9375" hidden="1">
      <c r="A69" s="1328"/>
      <c r="B69" s="1186"/>
      <c r="C69" s="1328"/>
      <c r="D69" s="1328"/>
      <c r="E69" s="637">
        <v>22.5</v>
      </c>
      <c r="F69" s="50" cm="1" t="str">
        <f t="array" ref="F69:F69">OFFSET(E69,-1,1)</f>
        <v>0</v>
      </c>
      <c r="G69" s="1328"/>
      <c r="H69" s="94" t="s">
        <v>667</v>
      </c>
      <c r="I69" s="1328"/>
      <c r="J69" s="1328"/>
      <c r="K69" s="1328"/>
      <c r="L69" s="1328"/>
      <c r="M69" s="1328"/>
      <c r="N69" s="1328"/>
      <c r="O69" s="1328"/>
      <c r="P69" s="1308"/>
      <c r="Q69" s="1308"/>
      <c r="R69" s="1308"/>
      <c r="S69" s="1308"/>
      <c r="T69" s="468" cm="1" t="str">
        <f t="array" ref="T69:T69">T68</f>
        <v>false</v>
      </c>
      <c r="U69" s="1308"/>
      <c r="V69" s="1328"/>
      <c r="W69" s="1308"/>
      <c r="X69" s="1539"/>
      <c r="Y69" s="1528"/>
      <c r="Z69" s="1328"/>
      <c r="AA69" s="1328"/>
      <c r="AB69" s="236" t="s">
        <v>668</v>
      </c>
      <c r="AC69" s="332" t="s">
        <v>788</v>
      </c>
      <c r="AD69" s="89" t="s">
        <v>657</v>
      </c>
      <c r="AE69" s="1927"/>
      <c r="AF69" s="1927"/>
      <c r="AG69" s="1927"/>
      <c r="AH69" s="1927"/>
      <c r="AI69" s="1927"/>
      <c r="AJ69" s="1927"/>
      <c r="AK69" s="1927"/>
      <c r="AL69" s="1927"/>
      <c r="AM69" s="1927"/>
      <c r="AN69" s="1927"/>
      <c r="AO69" s="1927"/>
      <c r="AP69" s="1927"/>
      <c r="AQ69" s="1927"/>
      <c r="AR69" s="1927"/>
      <c r="AS69" s="1927"/>
      <c r="AT69" s="1927"/>
      <c r="AU69" s="1927"/>
      <c r="AV69" s="1927"/>
      <c r="AW69" s="1927"/>
      <c r="AX69" s="1927"/>
      <c r="AY69" s="1927"/>
      <c r="AZ69" s="1927"/>
      <c r="BA69" s="1927"/>
      <c r="BB69" s="1927"/>
      <c r="BC69" s="1928"/>
      <c r="BD69" s="1328"/>
      <c r="BE69" s="1328"/>
      <c r="BF69" s="1023" t="s">
        <v>789</v>
      </c>
    </row>
    <row customHeight="1" ht="14.625" hidden="1">
      <c r="A70" s="1328"/>
      <c r="B70" s="1186"/>
      <c r="C70" s="1328"/>
      <c r="D70" s="1328"/>
      <c r="E70" s="637">
        <v>15</v>
      </c>
      <c r="F70" s="50" cm="1" t="str">
        <f t="array" ref="F70:F70">OFFSET(E70,-1,1)</f>
        <v>0</v>
      </c>
      <c r="G70" s="1328"/>
      <c r="H70" s="94" t="s">
        <v>347</v>
      </c>
      <c r="I70" s="1328"/>
      <c r="J70" s="1328"/>
      <c r="K70" s="1328"/>
      <c r="L70" s="1328"/>
      <c r="M70" s="1328"/>
      <c r="N70" s="1328"/>
      <c r="O70" s="1328"/>
      <c r="P70" s="1308"/>
      <c r="Q70" s="1308"/>
      <c r="R70" s="1308"/>
      <c r="S70" s="1308"/>
      <c r="T70" s="468" cm="1" t="str">
        <f t="array" ref="T70:T70">T69</f>
        <v>false</v>
      </c>
      <c r="U70" s="1308"/>
      <c r="V70" s="1328"/>
      <c r="W70" s="1308"/>
      <c r="X70" s="1539"/>
      <c r="Y70" s="1528"/>
      <c r="Z70" s="1328"/>
      <c r="AA70" s="1328"/>
      <c r="AB70" s="236" t="s">
        <v>234</v>
      </c>
      <c r="AC70" s="324" t="s">
        <v>701</v>
      </c>
      <c r="AD70" s="89" t="s">
        <v>657</v>
      </c>
      <c r="AE70" s="1927"/>
      <c r="AF70" s="1927"/>
      <c r="AG70" s="1927"/>
      <c r="AH70" s="1927"/>
      <c r="AI70" s="1927"/>
      <c r="AJ70" s="1927"/>
      <c r="AK70" s="1927"/>
      <c r="AL70" s="1927"/>
      <c r="AM70" s="1927"/>
      <c r="AN70" s="1927"/>
      <c r="AO70" s="1927"/>
      <c r="AP70" s="1927"/>
      <c r="AQ70" s="1927"/>
      <c r="AR70" s="1927"/>
      <c r="AS70" s="1927"/>
      <c r="AT70" s="1927"/>
      <c r="AU70" s="1927"/>
      <c r="AV70" s="1927"/>
      <c r="AW70" s="1927"/>
      <c r="AX70" s="1927"/>
      <c r="AY70" s="1927"/>
      <c r="AZ70" s="1927"/>
      <c r="BA70" s="1927"/>
      <c r="BB70" s="1927"/>
      <c r="BC70" s="1928"/>
      <c r="BD70" s="1328"/>
      <c r="BE70" s="1328"/>
      <c r="BF70" s="1023" t="s">
        <v>790</v>
      </c>
    </row>
    <row customHeight="1" ht="14.625" hidden="1">
      <c r="A71" s="1328"/>
      <c r="B71" s="1186"/>
      <c r="C71" s="1328"/>
      <c r="D71" s="1328"/>
      <c r="E71" s="637">
        <v>15</v>
      </c>
      <c r="F71" s="50" cm="1" t="str">
        <f t="array" ref="F71:F71">OFFSET(E71,-1,1)</f>
        <v>0</v>
      </c>
      <c r="G71" s="1328"/>
      <c r="H71" s="94" t="s">
        <v>673</v>
      </c>
      <c r="I71" s="1328"/>
      <c r="J71" s="1328"/>
      <c r="K71" s="1328"/>
      <c r="L71" s="1328"/>
      <c r="M71" s="1328"/>
      <c r="N71" s="1328"/>
      <c r="O71" s="1328"/>
      <c r="P71" s="1308"/>
      <c r="Q71" s="1308"/>
      <c r="R71" s="1308"/>
      <c r="S71" s="1308"/>
      <c r="T71" s="468" cm="1" t="str">
        <f t="array" ref="T71:T71">T70</f>
        <v>false</v>
      </c>
      <c r="U71" s="1308"/>
      <c r="V71" s="1328"/>
      <c r="W71" s="1308"/>
      <c r="X71" s="1539"/>
      <c r="Y71" s="1528"/>
      <c r="Z71" s="1328"/>
      <c r="AA71" s="1328"/>
      <c r="AB71" s="236" t="s">
        <v>674</v>
      </c>
      <c r="AC71" s="327" t="s">
        <v>705</v>
      </c>
      <c r="AD71" s="89" t="s">
        <v>561</v>
      </c>
      <c r="AE71" s="1817">
        <f>IF(AE66=0,0,AE70/AE66*100)</f>
        <v>0</v>
      </c>
      <c r="AF71" s="1817">
        <f>IF(AF66=0,0,AF70/AF66*100)</f>
        <v>0</v>
      </c>
      <c r="AG71" s="1817">
        <f>IF(AG66=0,0,AG70/AG66*100)</f>
        <v>0</v>
      </c>
      <c r="AH71" s="1817">
        <f>IF(AH66=0,0,AH70/AH66*100)</f>
        <v>0</v>
      </c>
      <c r="AI71" s="1817">
        <f>IF(AI66=0,0,AI70/AI66*100)</f>
        <v>0</v>
      </c>
      <c r="AJ71" s="1817">
        <f>IF(AJ66=0,0,AJ70/AJ66*100)</f>
        <v>0</v>
      </c>
      <c r="AK71" s="1817">
        <f>IF(AK66=0,0,AK70/AK66*100)</f>
        <v>0</v>
      </c>
      <c r="AL71" s="1817">
        <f>IF(AL66=0,0,AL70/AL66*100)</f>
        <v>0</v>
      </c>
      <c r="AM71" s="1817">
        <f>IF(AM66=0,0,AM70/AM66*100)</f>
        <v>0</v>
      </c>
      <c r="AN71" s="1817">
        <f>IF(AN66=0,0,AN70/AN66*100)</f>
        <v>0</v>
      </c>
      <c r="AO71" s="1817">
        <f>IF(AO66=0,0,AO70/AO66*100)</f>
        <v>0</v>
      </c>
      <c r="AP71" s="1817">
        <f>IF(AP66=0,0,AP70/AP66*100)</f>
        <v>0</v>
      </c>
      <c r="AQ71" s="1817">
        <f>IF(AQ66=0,0,AQ70/AQ66*100)</f>
        <v>0</v>
      </c>
      <c r="AR71" s="1817">
        <f>IF(AR66=0,0,AR70/AR66*100)</f>
        <v>0</v>
      </c>
      <c r="AS71" s="1817">
        <f>IF(AS66=0,0,AS70/AS66*100)</f>
        <v>0</v>
      </c>
      <c r="AT71" s="1817">
        <f>IF(AT66=0,0,AT70/AT66*100)</f>
        <v>0</v>
      </c>
      <c r="AU71" s="1817">
        <f>IF(AU66=0,0,AU70/AU66*100)</f>
        <v>0</v>
      </c>
      <c r="AV71" s="1817">
        <f>IF(AV66=0,0,AV70/AV66*100)</f>
        <v>0</v>
      </c>
      <c r="AW71" s="1817">
        <f>IF(AW66=0,0,AW70/AW66*100)</f>
        <v>0</v>
      </c>
      <c r="AX71" s="1817">
        <f>IF(AX66=0,0,AX70/AX66*100)</f>
        <v>0</v>
      </c>
      <c r="AY71" s="1817">
        <f>IF(AY66=0,0,AY70/AY66*100)</f>
        <v>0</v>
      </c>
      <c r="AZ71" s="1817">
        <f>IF(AZ66=0,0,AZ70/AZ66*100)</f>
        <v>0</v>
      </c>
      <c r="BA71" s="1817">
        <f>IF(BA66=0,0,BA70/BA66*100)</f>
        <v>0</v>
      </c>
      <c r="BB71" s="1817">
        <f>IF(BB66=0,0,BB70/BB66*100)</f>
        <v>0</v>
      </c>
      <c r="BC71" s="1975"/>
      <c r="BD71" s="1328"/>
      <c r="BE71" s="1328"/>
      <c r="BF71" s="1023" t="s">
        <v>791</v>
      </c>
    </row>
    <row customHeight="1" ht="14.625" hidden="1">
      <c r="A72" s="1328"/>
      <c r="B72" s="1186"/>
      <c r="C72" s="1328"/>
      <c r="D72" s="1328"/>
      <c r="E72" s="637">
        <v>15</v>
      </c>
      <c r="F72" s="50" cm="1" t="str">
        <f t="array" ref="F72:F72">OFFSET(E72,-1,1)</f>
        <v>0</v>
      </c>
      <c r="G72" s="1328" t="str">
        <f>IF(OwnNeedsInPO="да","ПО","")</f>
        <v>ПО</v>
      </c>
      <c r="H72" s="94" t="s">
        <v>616</v>
      </c>
      <c r="I72" s="1328"/>
      <c r="J72" s="1328"/>
      <c r="K72" s="1328"/>
      <c r="L72" s="1328"/>
      <c r="M72" s="1328"/>
      <c r="N72" s="1328"/>
      <c r="O72" s="1328"/>
      <c r="P72" s="1308"/>
      <c r="Q72" s="1308"/>
      <c r="R72" s="1308"/>
      <c r="S72" s="1308"/>
      <c r="T72" s="468" cm="1" t="str">
        <f t="array" ref="T72:T72">T71</f>
        <v>false</v>
      </c>
      <c r="U72" s="1308"/>
      <c r="V72" s="1328"/>
      <c r="W72" s="1308"/>
      <c r="X72" s="1539"/>
      <c r="Y72" s="1528"/>
      <c r="Z72" s="1328"/>
      <c r="AA72" s="1328"/>
      <c r="AB72" s="236" t="s">
        <v>451</v>
      </c>
      <c r="AC72" s="331" t="s">
        <v>712</v>
      </c>
      <c r="AD72" s="89" t="s">
        <v>657</v>
      </c>
      <c r="AE72" s="342">
        <f>AE73+AE74</f>
        <v>0</v>
      </c>
      <c r="AF72" s="342">
        <f>AF73+AF74</f>
        <v>0</v>
      </c>
      <c r="AG72" s="342">
        <f>AG73+AG74</f>
        <v>0</v>
      </c>
      <c r="AH72" s="342">
        <f>AH73+AH74</f>
        <v>0</v>
      </c>
      <c r="AI72" s="342">
        <f>AI73+AI74</f>
        <v>0</v>
      </c>
      <c r="AJ72" s="342">
        <f>AJ73+AJ74</f>
        <v>0</v>
      </c>
      <c r="AK72" s="342">
        <f>AK73+AK74</f>
        <v>0</v>
      </c>
      <c r="AL72" s="342">
        <f>AL73+AL74</f>
        <v>0</v>
      </c>
      <c r="AM72" s="342">
        <f>AM73+AM74</f>
        <v>0</v>
      </c>
      <c r="AN72" s="342">
        <f>AN73+AN74</f>
        <v>0</v>
      </c>
      <c r="AO72" s="342">
        <f>AO73+AO74</f>
        <v>0</v>
      </c>
      <c r="AP72" s="342">
        <f>AP73+AP74</f>
        <v>0</v>
      </c>
      <c r="AQ72" s="342">
        <f>AQ73+AQ74</f>
        <v>0</v>
      </c>
      <c r="AR72" s="342">
        <f>AR73+AR74</f>
        <v>0</v>
      </c>
      <c r="AS72" s="342">
        <f>AS73+AS74</f>
        <v>0</v>
      </c>
      <c r="AT72" s="342">
        <f>AT73+AT74</f>
        <v>0</v>
      </c>
      <c r="AU72" s="342">
        <f>AU73+AU74</f>
        <v>0</v>
      </c>
      <c r="AV72" s="342">
        <f>AV73+AV74</f>
        <v>0</v>
      </c>
      <c r="AW72" s="342">
        <f>AW73+AW74</f>
        <v>0</v>
      </c>
      <c r="AX72" s="342">
        <f>AX73+AX74</f>
        <v>0</v>
      </c>
      <c r="AY72" s="342">
        <f>AY73+AY74</f>
        <v>0</v>
      </c>
      <c r="AZ72" s="342">
        <f>AZ73+AZ74</f>
        <v>0</v>
      </c>
      <c r="BA72" s="342">
        <f>BA73+BA74</f>
        <v>0</v>
      </c>
      <c r="BB72" s="342">
        <f>BB73+BB74</f>
        <v>0</v>
      </c>
      <c r="BC72" s="1928"/>
      <c r="BD72" s="1328"/>
      <c r="BE72" s="1328"/>
      <c r="BF72" s="1023" t="s">
        <v>792</v>
      </c>
    </row>
    <row customHeight="1" ht="14.625" hidden="1">
      <c r="A73" s="1328"/>
      <c r="B73" s="1186"/>
      <c r="C73" s="1328"/>
      <c r="D73" s="1328"/>
      <c r="E73" s="637">
        <v>15</v>
      </c>
      <c r="F73" s="50" cm="1" t="str">
        <f t="array" ref="F73:F73">OFFSET(E73,-1,1)</f>
        <v>0</v>
      </c>
      <c r="G73" s="1328"/>
      <c r="H73" s="94" t="s">
        <v>793</v>
      </c>
      <c r="I73" s="1328"/>
      <c r="J73" s="1328"/>
      <c r="K73" s="1328"/>
      <c r="L73" s="1328"/>
      <c r="M73" s="1328"/>
      <c r="N73" s="1328"/>
      <c r="O73" s="1328"/>
      <c r="P73" s="1308"/>
      <c r="Q73" s="1308"/>
      <c r="R73" s="1308"/>
      <c r="S73" s="1308"/>
      <c r="T73" s="468" cm="1" t="str">
        <f t="array" ref="T73:T73">T72</f>
        <v>false</v>
      </c>
      <c r="U73" s="1308"/>
      <c r="V73" s="1328"/>
      <c r="W73" s="1308"/>
      <c r="X73" s="1539"/>
      <c r="Y73" s="1528"/>
      <c r="Z73" s="1328"/>
      <c r="AA73" s="1328"/>
      <c r="AB73" s="236" t="s">
        <v>794</v>
      </c>
      <c r="AC73" s="332" t="s">
        <v>716</v>
      </c>
      <c r="AD73" s="89" t="s">
        <v>657</v>
      </c>
      <c r="AE73" s="1927"/>
      <c r="AF73" s="1927"/>
      <c r="AG73" s="1927"/>
      <c r="AH73" s="1927"/>
      <c r="AI73" s="1927"/>
      <c r="AJ73" s="1927"/>
      <c r="AK73" s="1927"/>
      <c r="AL73" s="1927"/>
      <c r="AM73" s="1927"/>
      <c r="AN73" s="1927"/>
      <c r="AO73" s="1927"/>
      <c r="AP73" s="1927"/>
      <c r="AQ73" s="1927"/>
      <c r="AR73" s="1927"/>
      <c r="AS73" s="1927"/>
      <c r="AT73" s="1927"/>
      <c r="AU73" s="1927"/>
      <c r="AV73" s="1927"/>
      <c r="AW73" s="1927"/>
      <c r="AX73" s="1927"/>
      <c r="AY73" s="1927"/>
      <c r="AZ73" s="1927"/>
      <c r="BA73" s="1927"/>
      <c r="BB73" s="1927"/>
      <c r="BC73" s="1928"/>
      <c r="BD73" s="1328"/>
      <c r="BE73" s="1328"/>
      <c r="BF73" s="1023" t="s">
        <v>795</v>
      </c>
    </row>
    <row customHeight="1" ht="14.625" hidden="1">
      <c r="A74" s="1328"/>
      <c r="B74" s="1186"/>
      <c r="C74" s="1328"/>
      <c r="D74" s="1328"/>
      <c r="E74" s="637">
        <v>15</v>
      </c>
      <c r="F74" s="50" cm="1" t="str">
        <f t="array" ref="F74:F74">OFFSET(E74,-1,1)</f>
        <v>0</v>
      </c>
      <c r="G74" s="1328"/>
      <c r="H74" s="94" t="s">
        <v>796</v>
      </c>
      <c r="I74" s="1328"/>
      <c r="J74" s="1328"/>
      <c r="K74" s="1328"/>
      <c r="L74" s="1328"/>
      <c r="M74" s="1328"/>
      <c r="N74" s="1328"/>
      <c r="O74" s="1328"/>
      <c r="P74" s="1308"/>
      <c r="Q74" s="1308"/>
      <c r="R74" s="1308"/>
      <c r="S74" s="1308"/>
      <c r="T74" s="468" cm="1" t="str">
        <f t="array" ref="T74:T74">T73</f>
        <v>false</v>
      </c>
      <c r="U74" s="1308"/>
      <c r="V74" s="1328"/>
      <c r="W74" s="1308"/>
      <c r="X74" s="1539"/>
      <c r="Y74" s="1528"/>
      <c r="Z74" s="1328"/>
      <c r="AA74" s="1328"/>
      <c r="AB74" s="236" t="s">
        <v>797</v>
      </c>
      <c r="AC74" s="332" t="s">
        <v>720</v>
      </c>
      <c r="AD74" s="89" t="s">
        <v>657</v>
      </c>
      <c r="AE74" s="1927"/>
      <c r="AF74" s="1927"/>
      <c r="AG74" s="1927"/>
      <c r="AH74" s="1927"/>
      <c r="AI74" s="1927"/>
      <c r="AJ74" s="1927"/>
      <c r="AK74" s="1927"/>
      <c r="AL74" s="1927"/>
      <c r="AM74" s="1927"/>
      <c r="AN74" s="1927"/>
      <c r="AO74" s="1927"/>
      <c r="AP74" s="1927"/>
      <c r="AQ74" s="1927"/>
      <c r="AR74" s="1927"/>
      <c r="AS74" s="1927"/>
      <c r="AT74" s="1927"/>
      <c r="AU74" s="1927"/>
      <c r="AV74" s="1927"/>
      <c r="AW74" s="1927"/>
      <c r="AX74" s="1927"/>
      <c r="AY74" s="1927"/>
      <c r="AZ74" s="1927"/>
      <c r="BA74" s="1927"/>
      <c r="BB74" s="1927"/>
      <c r="BC74" s="1928"/>
      <c r="BD74" s="1328"/>
      <c r="BE74" s="1328"/>
      <c r="BF74" s="1023" t="s">
        <v>798</v>
      </c>
    </row>
    <row customHeight="1" ht="14.625" hidden="1">
      <c r="A75" s="1328"/>
      <c r="B75" s="1186"/>
      <c r="C75" s="1328"/>
      <c r="D75" s="1328"/>
      <c r="E75" s="637">
        <v>15</v>
      </c>
      <c r="F75" s="50" cm="1" t="str">
        <f t="array" ref="F75:F75">OFFSET(E75,-1,1)</f>
        <v>0</v>
      </c>
      <c r="G75" s="94" t="s">
        <v>726</v>
      </c>
      <c r="H75" s="94" t="s">
        <v>619</v>
      </c>
      <c r="I75" s="1328"/>
      <c r="J75" s="1328"/>
      <c r="K75" s="1328"/>
      <c r="L75" s="1328"/>
      <c r="M75" s="1328"/>
      <c r="N75" s="1328"/>
      <c r="O75" s="1328"/>
      <c r="P75" s="1308"/>
      <c r="Q75" s="1308"/>
      <c r="R75" s="1308"/>
      <c r="S75" s="1308"/>
      <c r="T75" s="468" cm="1" t="str">
        <f t="array" ref="T75:T75">T74</f>
        <v>false</v>
      </c>
      <c r="U75" s="1308"/>
      <c r="V75" s="1328"/>
      <c r="W75" s="1308"/>
      <c r="X75" s="1539"/>
      <c r="Y75" s="1528"/>
      <c r="Z75" s="1328"/>
      <c r="AA75" s="1328"/>
      <c r="AB75" s="236" t="s">
        <v>454</v>
      </c>
      <c r="AC75" s="331" t="s">
        <v>729</v>
      </c>
      <c r="AD75" s="89" t="s">
        <v>657</v>
      </c>
      <c r="AE75" s="342">
        <f>AE76+AE77</f>
        <v>0</v>
      </c>
      <c r="AF75" s="342">
        <f>AF76+AF77</f>
        <v>0</v>
      </c>
      <c r="AG75" s="342">
        <f>AG76+AG77</f>
        <v>0</v>
      </c>
      <c r="AH75" s="342">
        <f>AH76+AH77</f>
        <v>0</v>
      </c>
      <c r="AI75" s="342">
        <f>AI76+AI77</f>
        <v>0</v>
      </c>
      <c r="AJ75" s="342">
        <f>AJ76+AJ77</f>
        <v>0</v>
      </c>
      <c r="AK75" s="342">
        <f>AK76+AK77</f>
        <v>0</v>
      </c>
      <c r="AL75" s="342">
        <f>AL76+AL77</f>
        <v>0</v>
      </c>
      <c r="AM75" s="342">
        <f>AM76+AM77</f>
        <v>0</v>
      </c>
      <c r="AN75" s="342">
        <f>AN76+AN77</f>
        <v>0</v>
      </c>
      <c r="AO75" s="342">
        <f>AO76+AO77</f>
        <v>0</v>
      </c>
      <c r="AP75" s="342">
        <f>AP76+AP77</f>
        <v>0</v>
      </c>
      <c r="AQ75" s="342">
        <f>AQ76+AQ77</f>
        <v>0</v>
      </c>
      <c r="AR75" s="342">
        <f>AR76+AR77</f>
        <v>0</v>
      </c>
      <c r="AS75" s="342">
        <f>AS76+AS77</f>
        <v>0</v>
      </c>
      <c r="AT75" s="342">
        <f>AT76+AT77</f>
        <v>0</v>
      </c>
      <c r="AU75" s="342">
        <f>AU76+AU77</f>
        <v>0</v>
      </c>
      <c r="AV75" s="342">
        <f>AV76+AV77</f>
        <v>0</v>
      </c>
      <c r="AW75" s="342">
        <f>AW76+AW77</f>
        <v>0</v>
      </c>
      <c r="AX75" s="342">
        <f>AX76+AX77</f>
        <v>0</v>
      </c>
      <c r="AY75" s="342">
        <f>AY76+AY77</f>
        <v>0</v>
      </c>
      <c r="AZ75" s="342">
        <f>AZ76+AZ77</f>
        <v>0</v>
      </c>
      <c r="BA75" s="342">
        <f>BA76+BA77</f>
        <v>0</v>
      </c>
      <c r="BB75" s="342">
        <f>BB76+BB77</f>
        <v>0</v>
      </c>
      <c r="BC75" s="1928"/>
      <c r="BD75" s="1328"/>
      <c r="BE75" s="1328"/>
      <c r="BF75" s="1023" t="s">
        <v>799</v>
      </c>
    </row>
    <row customHeight="1" ht="14.625" hidden="1">
      <c r="A76" s="1328"/>
      <c r="B76" s="1186"/>
      <c r="C76" s="1328"/>
      <c r="D76" s="1328"/>
      <c r="E76" s="637">
        <v>15</v>
      </c>
      <c r="F76" s="50" cm="1" t="str">
        <f t="array" ref="F76:F76">OFFSET(E76,-1,1)</f>
        <v>0</v>
      </c>
      <c r="G76" s="1328"/>
      <c r="H76" s="94" t="s">
        <v>800</v>
      </c>
      <c r="I76" s="1328"/>
      <c r="J76" s="1328"/>
      <c r="K76" s="1328"/>
      <c r="L76" s="1328"/>
      <c r="M76" s="1328"/>
      <c r="N76" s="1328"/>
      <c r="O76" s="1328"/>
      <c r="P76" s="1308"/>
      <c r="Q76" s="1308"/>
      <c r="R76" s="1308"/>
      <c r="S76" s="1308"/>
      <c r="T76" s="468" cm="1" t="str">
        <f t="array" ref="T76:T76">T75</f>
        <v>false</v>
      </c>
      <c r="U76" s="1308"/>
      <c r="V76" s="1328"/>
      <c r="W76" s="1308"/>
      <c r="X76" s="1539"/>
      <c r="Y76" s="1528"/>
      <c r="Z76" s="1328"/>
      <c r="AA76" s="1328"/>
      <c r="AB76" s="236" t="s">
        <v>801</v>
      </c>
      <c r="AC76" s="332" t="s">
        <v>733</v>
      </c>
      <c r="AD76" s="89" t="s">
        <v>657</v>
      </c>
      <c r="AE76" s="1927"/>
      <c r="AF76" s="1927"/>
      <c r="AG76" s="1927"/>
      <c r="AH76" s="1927"/>
      <c r="AI76" s="1927"/>
      <c r="AJ76" s="1927"/>
      <c r="AK76" s="1927"/>
      <c r="AL76" s="1927"/>
      <c r="AM76" s="1927"/>
      <c r="AN76" s="1927"/>
      <c r="AO76" s="1927"/>
      <c r="AP76" s="1927"/>
      <c r="AQ76" s="1927"/>
      <c r="AR76" s="1927"/>
      <c r="AS76" s="1927"/>
      <c r="AT76" s="1927"/>
      <c r="AU76" s="1927"/>
      <c r="AV76" s="1927"/>
      <c r="AW76" s="1927"/>
      <c r="AX76" s="1927"/>
      <c r="AY76" s="1927"/>
      <c r="AZ76" s="1927"/>
      <c r="BA76" s="1927"/>
      <c r="BB76" s="1927"/>
      <c r="BC76" s="1928"/>
      <c r="BD76" s="1328"/>
      <c r="BE76" s="1328"/>
      <c r="BF76" s="1023" t="s">
        <v>802</v>
      </c>
    </row>
    <row customHeight="1" ht="14.625" hidden="1">
      <c r="A77" s="1328"/>
      <c r="B77" s="1186"/>
      <c r="C77" s="1328"/>
      <c r="D77" s="1328"/>
      <c r="E77" s="637">
        <v>15</v>
      </c>
      <c r="F77" s="50" cm="1" t="str">
        <f t="array" ref="F77:F77">OFFSET(E77,-1,1)</f>
        <v>0</v>
      </c>
      <c r="G77" s="1328"/>
      <c r="H77" s="94" t="s">
        <v>803</v>
      </c>
      <c r="I77" s="1328"/>
      <c r="J77" s="1328"/>
      <c r="K77" s="1328"/>
      <c r="L77" s="1328"/>
      <c r="M77" s="1328"/>
      <c r="N77" s="1328"/>
      <c r="O77" s="1328"/>
      <c r="P77" s="1308"/>
      <c r="Q77" s="1308"/>
      <c r="R77" s="1308"/>
      <c r="S77" s="1308"/>
      <c r="T77" s="468" cm="1" t="str">
        <f t="array" ref="T77:T77">T76</f>
        <v>false</v>
      </c>
      <c r="U77" s="1308"/>
      <c r="V77" s="1328"/>
      <c r="W77" s="1308"/>
      <c r="X77" s="1539"/>
      <c r="Y77" s="1528"/>
      <c r="Z77" s="1328"/>
      <c r="AA77" s="1328"/>
      <c r="AB77" s="236" t="s">
        <v>804</v>
      </c>
      <c r="AC77" s="332" t="s">
        <v>737</v>
      </c>
      <c r="AD77" s="89" t="s">
        <v>657</v>
      </c>
      <c r="AE77" s="1927"/>
      <c r="AF77" s="1927"/>
      <c r="AG77" s="1927"/>
      <c r="AH77" s="1927"/>
      <c r="AI77" s="1927"/>
      <c r="AJ77" s="1927"/>
      <c r="AK77" s="1927"/>
      <c r="AL77" s="1927"/>
      <c r="AM77" s="1927"/>
      <c r="AN77" s="1927"/>
      <c r="AO77" s="1927"/>
      <c r="AP77" s="1927"/>
      <c r="AQ77" s="1927"/>
      <c r="AR77" s="1927"/>
      <c r="AS77" s="1927"/>
      <c r="AT77" s="1927"/>
      <c r="AU77" s="1927"/>
      <c r="AV77" s="1927"/>
      <c r="AW77" s="1927"/>
      <c r="AX77" s="1927"/>
      <c r="AY77" s="1927"/>
      <c r="AZ77" s="1927"/>
      <c r="BA77" s="1927"/>
      <c r="BB77" s="1927"/>
      <c r="BC77" s="1928"/>
      <c r="BD77" s="1328"/>
      <c r="BE77" s="1328"/>
      <c r="BF77" s="1023" t="s">
        <v>805</v>
      </c>
    </row>
    <row customHeight="1" ht="21.9375" hidden="1">
      <c r="A78" s="1328"/>
      <c r="B78" s="1186"/>
      <c r="C78" s="1328"/>
      <c r="D78" s="1328"/>
      <c r="E78" s="637">
        <v>22.5</v>
      </c>
      <c r="F78" s="50" cm="1" t="str">
        <f t="array" ref="F78:F78">OFFSET(E78,-1,1)</f>
        <v>0</v>
      </c>
      <c r="G78" s="1328"/>
      <c r="H78" s="94" t="s">
        <v>685</v>
      </c>
      <c r="I78" s="472"/>
      <c r="J78" s="472"/>
      <c r="K78" s="1328"/>
      <c r="L78" s="1328"/>
      <c r="M78" s="1328"/>
      <c r="N78" s="1328"/>
      <c r="O78" s="1328"/>
      <c r="P78" s="1308"/>
      <c r="Q78" s="1308"/>
      <c r="R78" s="1308"/>
      <c r="S78" s="1308"/>
      <c r="T78" s="468" cm="1" t="str">
        <f t="array" ref="T78:T78">T77</f>
        <v>false</v>
      </c>
      <c r="U78" s="1308"/>
      <c r="V78" s="1328"/>
      <c r="W78" s="1308"/>
      <c r="X78" s="1539"/>
      <c r="Y78" s="1528"/>
      <c r="Z78" s="1328"/>
      <c r="AA78" s="1328"/>
      <c r="AB78" s="236" t="s">
        <v>457</v>
      </c>
      <c r="AC78" s="333" t="s">
        <v>776</v>
      </c>
      <c r="AD78" s="89" t="s">
        <v>657</v>
      </c>
      <c r="AE78" s="1927"/>
      <c r="AF78" s="1927"/>
      <c r="AG78" s="1927"/>
      <c r="AH78" s="1927"/>
      <c r="AI78" s="1927"/>
      <c r="AJ78" s="1927"/>
      <c r="AK78" s="1927"/>
      <c r="AL78" s="1927"/>
      <c r="AM78" s="1927"/>
      <c r="AN78" s="1927"/>
      <c r="AO78" s="1927"/>
      <c r="AP78" s="1927"/>
      <c r="AQ78" s="1927"/>
      <c r="AR78" s="1927"/>
      <c r="AS78" s="1927"/>
      <c r="AT78" s="1927"/>
      <c r="AU78" s="1927"/>
      <c r="AV78" s="1927"/>
      <c r="AW78" s="1927"/>
      <c r="AX78" s="1927"/>
      <c r="AY78" s="1927"/>
      <c r="AZ78" s="1927"/>
      <c r="BA78" s="1927"/>
      <c r="BB78" s="1927"/>
      <c r="BC78" s="1928"/>
      <c r="BD78" s="1328"/>
      <c r="BE78" s="1328"/>
      <c r="BF78" s="1023" t="s">
        <v>806</v>
      </c>
    </row>
    <row customHeight="1" ht="14.625" hidden="1">
      <c r="A79" s="1328"/>
      <c r="B79" s="1186"/>
      <c r="C79" s="1328"/>
      <c r="D79" s="1328"/>
      <c r="E79" s="637">
        <v>15</v>
      </c>
      <c r="F79" s="345" cm="1" t="str">
        <f t="array" ref="F79:F79">OFFSET(E79,-1,1)</f>
        <v>0</v>
      </c>
      <c r="G79" s="1328"/>
      <c r="H79" s="1328"/>
      <c r="I79" s="1328"/>
      <c r="J79" s="1328"/>
      <c r="K79" s="1328"/>
      <c r="L79" s="1328"/>
      <c r="M79" s="1328"/>
      <c r="N79" s="1328"/>
      <c r="O79" s="1328"/>
      <c r="P79" s="1308"/>
      <c r="Q79" s="1308"/>
      <c r="R79" s="1308"/>
      <c r="S79" s="1308"/>
      <c r="T79" s="468" cm="1" t="str">
        <f t="array" ref="T79:T79">T78</f>
        <v>false</v>
      </c>
      <c r="U79" s="1308"/>
      <c r="V79" s="1328"/>
      <c r="W79" s="1308"/>
      <c r="X79" s="1539"/>
      <c r="Y79" s="1528"/>
      <c r="Z79" s="1328"/>
      <c r="AA79" s="1328"/>
      <c r="AB79" s="236" t="s">
        <v>778</v>
      </c>
      <c r="AC79" s="330" t="s">
        <v>779</v>
      </c>
      <c r="AD79" s="89" t="s">
        <v>657</v>
      </c>
      <c r="AE79" s="1927"/>
      <c r="AF79" s="1927"/>
      <c r="AG79" s="1927"/>
      <c r="AH79" s="1927"/>
      <c r="AI79" s="1927"/>
      <c r="AJ79" s="1927"/>
      <c r="AK79" s="1927"/>
      <c r="AL79" s="1927"/>
      <c r="AM79" s="1927"/>
      <c r="AN79" s="1927"/>
      <c r="AO79" s="1927"/>
      <c r="AP79" s="1927"/>
      <c r="AQ79" s="1927"/>
      <c r="AR79" s="1927"/>
      <c r="AS79" s="1927"/>
      <c r="AT79" s="1927"/>
      <c r="AU79" s="1927"/>
      <c r="AV79" s="1927"/>
      <c r="AW79" s="1927"/>
      <c r="AX79" s="1927"/>
      <c r="AY79" s="1927"/>
      <c r="AZ79" s="1927"/>
      <c r="BA79" s="1927"/>
      <c r="BB79" s="1927"/>
      <c r="BC79" s="1928"/>
      <c r="BD79" s="1328"/>
      <c r="BE79" s="1328"/>
      <c r="BF79" s="1023" t="s">
        <v>807</v>
      </c>
    </row>
    <row s="1656" customFormat="1" customHeight="1" ht="11.25" hidden="1">
      <c r="A80" s="472"/>
      <c r="B80" s="664"/>
      <c r="C80" s="472"/>
      <c r="D80" s="472"/>
      <c r="E80" s="666" t="s">
        <v>384</v>
      </c>
      <c r="F80" s="1194" cm="1" t="str">
        <f t="array" ref="F80:F80">OFFSET(E80,-1,1)</f>
        <v>0</v>
      </c>
      <c r="G80" s="472"/>
      <c r="H80" s="472"/>
      <c r="I80" s="1656"/>
      <c r="J80" s="1656"/>
      <c r="K80" s="94"/>
      <c r="L80" s="472"/>
      <c r="M80" s="472"/>
      <c r="N80" s="472"/>
      <c r="O80" s="472"/>
      <c r="P80" s="472"/>
      <c r="Q80" s="472"/>
      <c r="R80" s="417"/>
      <c r="S80" s="472"/>
      <c r="T80" s="468" t="b">
        <v>0</v>
      </c>
      <c r="U80" s="472"/>
      <c r="V80" s="472"/>
      <c r="W80" s="472"/>
      <c r="X80" s="1539"/>
      <c r="Y80" s="1528"/>
      <c r="Z80" s="472"/>
      <c r="AA80" s="472"/>
      <c r="AB80" s="1656"/>
      <c r="AC80" s="96"/>
      <c r="AD80" s="96"/>
      <c r="AE80" s="340"/>
      <c r="AF80" s="340"/>
      <c r="AG80" s="340"/>
      <c r="AH80" s="340"/>
      <c r="AI80" s="340"/>
      <c r="AJ80" s="341"/>
      <c r="AK80" s="340"/>
      <c r="AL80" s="340"/>
      <c r="AM80" s="340"/>
      <c r="AN80" s="340"/>
      <c r="AO80" s="340"/>
      <c r="AP80" s="340"/>
      <c r="AQ80" s="340"/>
      <c r="AR80" s="340"/>
      <c r="AS80" s="340"/>
      <c r="AT80" s="340"/>
      <c r="AU80" s="340"/>
      <c r="AV80" s="340"/>
      <c r="AW80" s="340"/>
      <c r="AX80" s="340"/>
      <c r="AY80" s="340"/>
      <c r="AZ80" s="340"/>
      <c r="BA80" s="340"/>
      <c r="BB80" s="340"/>
      <c r="BC80" s="1656"/>
      <c r="BD80" s="1656"/>
      <c r="BE80" s="1656"/>
      <c r="BF80" s="1027"/>
    </row>
    <row customHeight="1" ht="14.625" hidden="1">
      <c r="A81" s="1328"/>
      <c r="B81" s="1186"/>
      <c r="C81" s="1328"/>
      <c r="D81" s="1328"/>
      <c r="E81" s="637">
        <v>15</v>
      </c>
      <c r="F81" s="50" cm="1" t="str">
        <f t="array" ref="F81:F81">OFFSET(E81,-1,1)</f>
        <v>0</v>
      </c>
      <c r="G81" s="1328"/>
      <c r="H81" s="1328"/>
      <c r="I81" s="1328"/>
      <c r="J81" s="1328"/>
      <c r="K81" s="1328"/>
      <c r="L81" s="1328"/>
      <c r="M81" s="1328"/>
      <c r="N81" s="1328"/>
      <c r="O81" s="1328"/>
      <c r="P81" s="1308"/>
      <c r="Q81" s="1308"/>
      <c r="R81" s="417" cm="1" t="str">
        <f t="array" ref="R81:R81">INDEX('Общие сведения'!$AN$197:$AN$254,MATCH($X27,'Общие сведения'!$Z$197:$Z$254,0))</f>
        <v>false</v>
      </c>
      <c r="S81" s="485">
        <f>IF(ISERROR(SEARCH("Водоотведение",AB27)),FALSE,TRUE)</f>
        <v>0</v>
      </c>
      <c r="T81" s="468">
        <f>AND(X27&gt;0,S81,NOT(R81))</f>
        <v>0</v>
      </c>
      <c r="U81" s="1308"/>
      <c r="V81" s="1328"/>
      <c r="W81" s="1308"/>
      <c r="X81" s="1539"/>
      <c r="Y81" s="1528"/>
      <c r="Z81" s="1328"/>
      <c r="AA81" s="1328"/>
      <c r="AB81" s="236" t="s">
        <v>290</v>
      </c>
      <c r="AC81" s="133" t="s">
        <v>808</v>
      </c>
      <c r="AD81" s="193"/>
      <c r="AE81" s="574" cm="1" t="str">
        <f t="array" ref="AE81:AE81">INDEX('Общие сведения'!$AH$197:$AH$254,MATCH($X27,'Общие сведения'!$Z$197:$Z$254,0))</f>
        <v>0</v>
      </c>
      <c r="AF81" s="358"/>
      <c r="AG81" s="358"/>
      <c r="AH81" s="358"/>
      <c r="AI81" s="358"/>
      <c r="AJ81" s="358"/>
      <c r="AK81" s="358"/>
      <c r="AL81" s="358"/>
      <c r="AM81" s="358"/>
      <c r="AN81" s="358"/>
      <c r="AO81" s="358"/>
      <c r="AP81" s="358"/>
      <c r="AQ81" s="358"/>
      <c r="AR81" s="358"/>
      <c r="AS81" s="358"/>
      <c r="AT81" s="358"/>
      <c r="AU81" s="358"/>
      <c r="AV81" s="358"/>
      <c r="AW81" s="358"/>
      <c r="AX81" s="358"/>
      <c r="AY81" s="358"/>
      <c r="AZ81" s="358"/>
      <c r="BA81" s="358"/>
      <c r="BB81" s="359"/>
      <c r="BC81" s="1928"/>
      <c r="BD81" s="1328"/>
      <c r="BE81" s="1328"/>
      <c r="BF81" s="1023" t="s">
        <v>809</v>
      </c>
    </row>
    <row customHeight="1" ht="14.625" hidden="1">
      <c r="A82" s="1328"/>
      <c r="B82" s="1186"/>
      <c r="C82" s="1328"/>
      <c r="D82" s="1328"/>
      <c r="E82" s="637">
        <v>15</v>
      </c>
      <c r="F82" s="50" cm="1" t="str">
        <f t="array" ref="F82:F82">OFFSET(E82,-1,1)</f>
        <v>0</v>
      </c>
      <c r="G82" s="1328"/>
      <c r="H82" s="94" t="s">
        <v>348</v>
      </c>
      <c r="I82" s="1328"/>
      <c r="J82" s="1328"/>
      <c r="K82" s="1328"/>
      <c r="L82" s="1328"/>
      <c r="M82" s="1328"/>
      <c r="N82" s="1328"/>
      <c r="O82" s="1328"/>
      <c r="P82" s="1308"/>
      <c r="Q82" s="1308"/>
      <c r="R82" s="1308"/>
      <c r="S82" s="1308"/>
      <c r="T82" s="468" cm="1" t="str">
        <f t="array" ref="T82:T82">T81</f>
        <v>false</v>
      </c>
      <c r="U82" s="1308"/>
      <c r="V82" s="1328"/>
      <c r="W82" s="1308"/>
      <c r="X82" s="1539"/>
      <c r="Y82" s="1528"/>
      <c r="Z82" s="1328"/>
      <c r="AA82" s="1328"/>
      <c r="AB82" s="236" t="s">
        <v>299</v>
      </c>
      <c r="AC82" s="133" t="s">
        <v>810</v>
      </c>
      <c r="AD82" s="89" t="s">
        <v>657</v>
      </c>
      <c r="AE82" s="343">
        <f>AE83+AE84+AE97</f>
        <v>0</v>
      </c>
      <c r="AF82" s="343">
        <f>AF83+AF84+AF97</f>
        <v>0</v>
      </c>
      <c r="AG82" s="343">
        <f>AG83+AG84+AG97</f>
        <v>0</v>
      </c>
      <c r="AH82" s="343">
        <f>AH83+AH84+AH97</f>
        <v>0</v>
      </c>
      <c r="AI82" s="343">
        <f>AI83+AI84+AI97</f>
        <v>0</v>
      </c>
      <c r="AJ82" s="343">
        <f>AJ83+AJ84+AJ97</f>
        <v>0</v>
      </c>
      <c r="AK82" s="343">
        <f>AK83+AK84+AK97</f>
        <v>0</v>
      </c>
      <c r="AL82" s="343">
        <f>AL83+AL84+AL97</f>
        <v>0</v>
      </c>
      <c r="AM82" s="343">
        <f>AM83+AM84+AM97</f>
        <v>0</v>
      </c>
      <c r="AN82" s="343">
        <f>AN83+AN84+AN97</f>
        <v>0</v>
      </c>
      <c r="AO82" s="343">
        <f>AO83+AO84+AO97</f>
        <v>0</v>
      </c>
      <c r="AP82" s="343">
        <f>AP83+AP84+AP97</f>
        <v>0</v>
      </c>
      <c r="AQ82" s="343">
        <f>AQ83+AQ84+AQ97</f>
        <v>0</v>
      </c>
      <c r="AR82" s="343">
        <f>AR83+AR84+AR97</f>
        <v>0</v>
      </c>
      <c r="AS82" s="343">
        <f>AS83+AS84+AS97</f>
        <v>0</v>
      </c>
      <c r="AT82" s="343">
        <f>AT83+AT84+AT97</f>
        <v>0</v>
      </c>
      <c r="AU82" s="343">
        <f>AU83+AU84+AU97</f>
        <v>0</v>
      </c>
      <c r="AV82" s="343">
        <f>AV83+AV84+AV97</f>
        <v>0</v>
      </c>
      <c r="AW82" s="343">
        <f>AW83+AW84+AW97</f>
        <v>0</v>
      </c>
      <c r="AX82" s="343">
        <f>AX83+AX84+AX97</f>
        <v>0</v>
      </c>
      <c r="AY82" s="343">
        <f>AY83+AY84+AY97</f>
        <v>0</v>
      </c>
      <c r="AZ82" s="343">
        <f>AZ83+AZ84+AZ97</f>
        <v>0</v>
      </c>
      <c r="BA82" s="343">
        <f>BA83+BA84+BA97</f>
        <v>0</v>
      </c>
      <c r="BB82" s="343">
        <f>BB83+BB84+BB97</f>
        <v>0</v>
      </c>
      <c r="BC82" s="1928"/>
      <c r="BD82" s="1328"/>
      <c r="BE82" s="1328"/>
      <c r="BF82" s="1023" t="s">
        <v>811</v>
      </c>
    </row>
    <row customHeight="1" ht="14.625" hidden="1">
      <c r="A83" s="1328"/>
      <c r="B83" s="1186"/>
      <c r="C83" s="1328"/>
      <c r="D83" s="1328"/>
      <c r="E83" s="637">
        <v>15</v>
      </c>
      <c r="F83" s="50" cm="1" t="str">
        <f t="array" ref="F83:F83">OFFSET(E83,-1,1)</f>
        <v>0</v>
      </c>
      <c r="G83" s="94" t="str">
        <f>IF(OwnNeedsInPO="да","ПО","")</f>
        <v>ПО</v>
      </c>
      <c r="H83" s="94" t="s">
        <v>347</v>
      </c>
      <c r="I83" s="1328"/>
      <c r="J83" s="1328"/>
      <c r="K83" s="1328"/>
      <c r="L83" s="1328"/>
      <c r="M83" s="1328"/>
      <c r="N83" s="1328"/>
      <c r="O83" s="1328"/>
      <c r="P83" s="1308"/>
      <c r="Q83" s="1308"/>
      <c r="R83" s="1308"/>
      <c r="S83" s="1308"/>
      <c r="T83" s="468" cm="1" t="str">
        <f t="array" ref="T83:T83">T82</f>
        <v>false</v>
      </c>
      <c r="U83" s="1308"/>
      <c r="V83" s="1328"/>
      <c r="W83" s="1308"/>
      <c r="X83" s="1539"/>
      <c r="Y83" s="1528"/>
      <c r="Z83" s="1328"/>
      <c r="AA83" s="1328"/>
      <c r="AB83" s="236" t="s">
        <v>234</v>
      </c>
      <c r="AC83" s="133" t="s">
        <v>812</v>
      </c>
      <c r="AD83" s="89" t="s">
        <v>657</v>
      </c>
      <c r="AE83" s="1927"/>
      <c r="AF83" s="1927"/>
      <c r="AG83" s="1927"/>
      <c r="AH83" s="1927"/>
      <c r="AI83" s="1927"/>
      <c r="AJ83" s="1927"/>
      <c r="AK83" s="1927"/>
      <c r="AL83" s="1927"/>
      <c r="AM83" s="1927"/>
      <c r="AN83" s="1927"/>
      <c r="AO83" s="1927"/>
      <c r="AP83" s="1927"/>
      <c r="AQ83" s="1927"/>
      <c r="AR83" s="1927"/>
      <c r="AS83" s="1927"/>
      <c r="AT83" s="1927"/>
      <c r="AU83" s="1927"/>
      <c r="AV83" s="1927"/>
      <c r="AW83" s="1927"/>
      <c r="AX83" s="1927"/>
      <c r="AY83" s="1927"/>
      <c r="AZ83" s="1927"/>
      <c r="BA83" s="1927"/>
      <c r="BB83" s="1927"/>
      <c r="BC83" s="1928"/>
      <c r="BD83" s="1328"/>
      <c r="BE83" s="1328"/>
      <c r="BF83" s="1023" t="s">
        <v>813</v>
      </c>
    </row>
    <row customHeight="1" ht="14.625" hidden="1">
      <c r="A84" s="1328"/>
      <c r="B84" s="1186"/>
      <c r="C84" s="1328"/>
      <c r="D84" s="1328"/>
      <c r="E84" s="637">
        <v>15</v>
      </c>
      <c r="F84" s="50" cm="1" t="str">
        <f t="array" ref="F84:F84">OFFSET(E84,-1,1)</f>
        <v>0</v>
      </c>
      <c r="G84" s="94" t="s">
        <v>726</v>
      </c>
      <c r="H84" s="94" t="s">
        <v>616</v>
      </c>
      <c r="I84" s="1328"/>
      <c r="J84" s="1328"/>
      <c r="K84" s="1328"/>
      <c r="L84" s="1328"/>
      <c r="M84" s="1328"/>
      <c r="N84" s="1328"/>
      <c r="O84" s="1328"/>
      <c r="P84" s="1308"/>
      <c r="Q84" s="1308"/>
      <c r="R84" s="1308"/>
      <c r="S84" s="1308"/>
      <c r="T84" s="468" cm="1" t="str">
        <f t="array" ref="T84:T84">T83</f>
        <v>false</v>
      </c>
      <c r="U84" s="1308"/>
      <c r="V84" s="1328"/>
      <c r="W84" s="1308"/>
      <c r="X84" s="1539"/>
      <c r="Y84" s="1528"/>
      <c r="Z84" s="1328"/>
      <c r="AA84" s="1328"/>
      <c r="AB84" s="236" t="s">
        <v>451</v>
      </c>
      <c r="AC84" s="134" t="s">
        <v>814</v>
      </c>
      <c r="AD84" s="89" t="s">
        <v>657</v>
      </c>
      <c r="AE84" s="342">
        <f>AE85+AE88+AE91+AE94</f>
        <v>0</v>
      </c>
      <c r="AF84" s="342">
        <f>AF85+AF88+AF91+AF94</f>
        <v>0</v>
      </c>
      <c r="AG84" s="342">
        <f>AG85+AG88+AG91+AG94</f>
        <v>0</v>
      </c>
      <c r="AH84" s="342">
        <f>AH85+AH88+AH91+AH94</f>
        <v>0</v>
      </c>
      <c r="AI84" s="342">
        <f>AI85+AI88+AI91+AI94</f>
        <v>0</v>
      </c>
      <c r="AJ84" s="342">
        <f>AJ85+AJ88+AJ91+AJ94</f>
        <v>0</v>
      </c>
      <c r="AK84" s="342">
        <f>AK85+AK88+AK91+AK94</f>
        <v>0</v>
      </c>
      <c r="AL84" s="342">
        <f>AL85+AL88+AL91+AL94</f>
        <v>0</v>
      </c>
      <c r="AM84" s="342">
        <f>AM85+AM88+AM91+AM94</f>
        <v>0</v>
      </c>
      <c r="AN84" s="342">
        <f>AN85+AN88+AN91+AN94</f>
        <v>0</v>
      </c>
      <c r="AO84" s="342">
        <f>AO85+AO88+AO91+AO94</f>
        <v>0</v>
      </c>
      <c r="AP84" s="342">
        <f>AP85+AP88+AP91+AP94</f>
        <v>0</v>
      </c>
      <c r="AQ84" s="342">
        <f>AQ85+AQ88+AQ91+AQ94</f>
        <v>0</v>
      </c>
      <c r="AR84" s="342">
        <f>AR85+AR88+AR91+AR94</f>
        <v>0</v>
      </c>
      <c r="AS84" s="342">
        <f>AS85+AS88+AS91+AS94</f>
        <v>0</v>
      </c>
      <c r="AT84" s="342">
        <f>AT85+AT88+AT91+AT94</f>
        <v>0</v>
      </c>
      <c r="AU84" s="342">
        <f>AU85+AU88+AU91+AU94</f>
        <v>0</v>
      </c>
      <c r="AV84" s="342">
        <f>AV85+AV88+AV91+AV94</f>
        <v>0</v>
      </c>
      <c r="AW84" s="342">
        <f>AW85+AW88+AW91+AW94</f>
        <v>0</v>
      </c>
      <c r="AX84" s="342">
        <f>AX85+AX88+AX91+AX94</f>
        <v>0</v>
      </c>
      <c r="AY84" s="342">
        <f>AY85+AY88+AY91+AY94</f>
        <v>0</v>
      </c>
      <c r="AZ84" s="342">
        <f>AZ85+AZ88+AZ91+AZ94</f>
        <v>0</v>
      </c>
      <c r="BA84" s="342">
        <f>BA85+BA88+BA91+BA94</f>
        <v>0</v>
      </c>
      <c r="BB84" s="342">
        <f>BB85+BB88+BB91+BB94</f>
        <v>0</v>
      </c>
      <c r="BC84" s="1928"/>
      <c r="BD84" s="1328"/>
      <c r="BE84" s="1328"/>
      <c r="BF84" s="1023" t="s">
        <v>815</v>
      </c>
    </row>
    <row customHeight="1" ht="14.625" hidden="1">
      <c r="A85" s="1328"/>
      <c r="B85" s="1186"/>
      <c r="C85" s="1328"/>
      <c r="D85" s="1328"/>
      <c r="E85" s="637">
        <v>15</v>
      </c>
      <c r="F85" s="50" cm="1" t="str">
        <f t="array" ref="F85:F85">OFFSET(E85,-1,1)</f>
        <v>0</v>
      </c>
      <c r="G85" s="1328"/>
      <c r="H85" s="94" t="s">
        <v>793</v>
      </c>
      <c r="I85" s="1328"/>
      <c r="J85" s="1328"/>
      <c r="K85" s="1328"/>
      <c r="L85" s="1328"/>
      <c r="M85" s="1328"/>
      <c r="N85" s="1328"/>
      <c r="O85" s="1328"/>
      <c r="P85" s="1308"/>
      <c r="Q85" s="1308"/>
      <c r="R85" s="1308"/>
      <c r="S85" s="1308"/>
      <c r="T85" s="468" cm="1" t="str">
        <f t="array" ref="T85:T85">T84</f>
        <v>false</v>
      </c>
      <c r="U85" s="1308"/>
      <c r="V85" s="1328"/>
      <c r="W85" s="1308"/>
      <c r="X85" s="1539"/>
      <c r="Y85" s="1528"/>
      <c r="Z85" s="1328"/>
      <c r="AA85" s="1328"/>
      <c r="AB85" s="236" t="s">
        <v>794</v>
      </c>
      <c r="AC85" s="188" t="s">
        <v>745</v>
      </c>
      <c r="AD85" s="89" t="s">
        <v>657</v>
      </c>
      <c r="AE85" s="342">
        <f>AE86+AE87</f>
        <v>0</v>
      </c>
      <c r="AF85" s="342">
        <f>AF86+AF87</f>
        <v>0</v>
      </c>
      <c r="AG85" s="342">
        <f>AG86+AG87</f>
        <v>0</v>
      </c>
      <c r="AH85" s="342">
        <f>AH86+AH87</f>
        <v>0</v>
      </c>
      <c r="AI85" s="342">
        <f>AI86+AI87</f>
        <v>0</v>
      </c>
      <c r="AJ85" s="342">
        <f>AJ86+AJ87</f>
        <v>0</v>
      </c>
      <c r="AK85" s="342">
        <f>AK86+AK87</f>
        <v>0</v>
      </c>
      <c r="AL85" s="342">
        <f>AL86+AL87</f>
        <v>0</v>
      </c>
      <c r="AM85" s="342">
        <f>AM86+AM87</f>
        <v>0</v>
      </c>
      <c r="AN85" s="342">
        <f>AN86+AN87</f>
        <v>0</v>
      </c>
      <c r="AO85" s="342">
        <f>AO86+AO87</f>
        <v>0</v>
      </c>
      <c r="AP85" s="342">
        <f>AP86+AP87</f>
        <v>0</v>
      </c>
      <c r="AQ85" s="342">
        <f>AQ86+AQ87</f>
        <v>0</v>
      </c>
      <c r="AR85" s="342">
        <f>AR86+AR87</f>
        <v>0</v>
      </c>
      <c r="AS85" s="342">
        <f>AS86+AS87</f>
        <v>0</v>
      </c>
      <c r="AT85" s="342">
        <f>AT86+AT87</f>
        <v>0</v>
      </c>
      <c r="AU85" s="342">
        <f>AU86+AU87</f>
        <v>0</v>
      </c>
      <c r="AV85" s="342">
        <f>AV86+AV87</f>
        <v>0</v>
      </c>
      <c r="AW85" s="342">
        <f>AW86+AW87</f>
        <v>0</v>
      </c>
      <c r="AX85" s="342">
        <f>AX86+AX87</f>
        <v>0</v>
      </c>
      <c r="AY85" s="342">
        <f>AY86+AY87</f>
        <v>0</v>
      </c>
      <c r="AZ85" s="342">
        <f>AZ86+AZ87</f>
        <v>0</v>
      </c>
      <c r="BA85" s="342">
        <f>BA86+BA87</f>
        <v>0</v>
      </c>
      <c r="BB85" s="342">
        <f>BB86+BB87</f>
        <v>0</v>
      </c>
      <c r="BC85" s="1928"/>
      <c r="BD85" s="1328"/>
      <c r="BE85" s="1328"/>
      <c r="BF85" s="1023" t="s">
        <v>816</v>
      </c>
    </row>
    <row customHeight="1" ht="14.625" hidden="1">
      <c r="A86" s="1328"/>
      <c r="B86" s="1186"/>
      <c r="C86" s="1328"/>
      <c r="D86" s="1328"/>
      <c r="E86" s="637">
        <v>15</v>
      </c>
      <c r="F86" s="50" cm="1" t="str">
        <f t="array" ref="F86:F86">OFFSET(E86,-1,1)</f>
        <v>0</v>
      </c>
      <c r="G86" s="1328"/>
      <c r="H86" s="94" t="s">
        <v>817</v>
      </c>
      <c r="I86" s="1328"/>
      <c r="J86" s="1328"/>
      <c r="K86" s="1328"/>
      <c r="L86" s="1328"/>
      <c r="M86" s="1328"/>
      <c r="N86" s="1328"/>
      <c r="O86" s="1328"/>
      <c r="P86" s="1308"/>
      <c r="Q86" s="1308"/>
      <c r="R86" s="1308"/>
      <c r="S86" s="1308"/>
      <c r="T86" s="468" cm="1" t="str">
        <f t="array" ref="T86:T86">T85</f>
        <v>false</v>
      </c>
      <c r="U86" s="1308"/>
      <c r="V86" s="1328"/>
      <c r="W86" s="1308"/>
      <c r="X86" s="1539"/>
      <c r="Y86" s="1528"/>
      <c r="Z86" s="1328"/>
      <c r="AA86" s="1328"/>
      <c r="AB86" s="236" t="s">
        <v>818</v>
      </c>
      <c r="AC86" s="334" t="s">
        <v>733</v>
      </c>
      <c r="AD86" s="89" t="s">
        <v>657</v>
      </c>
      <c r="AE86" s="1927"/>
      <c r="AF86" s="1927"/>
      <c r="AG86" s="1927"/>
      <c r="AH86" s="1927"/>
      <c r="AI86" s="1927"/>
      <c r="AJ86" s="1927"/>
      <c r="AK86" s="1927"/>
      <c r="AL86" s="1927"/>
      <c r="AM86" s="1927"/>
      <c r="AN86" s="1927"/>
      <c r="AO86" s="1927"/>
      <c r="AP86" s="1927"/>
      <c r="AQ86" s="1927"/>
      <c r="AR86" s="1927"/>
      <c r="AS86" s="1927"/>
      <c r="AT86" s="1927"/>
      <c r="AU86" s="1927"/>
      <c r="AV86" s="1927"/>
      <c r="AW86" s="1927"/>
      <c r="AX86" s="1927"/>
      <c r="AY86" s="1927"/>
      <c r="AZ86" s="1927"/>
      <c r="BA86" s="1927"/>
      <c r="BB86" s="1927"/>
      <c r="BC86" s="1928"/>
      <c r="BD86" s="1328"/>
      <c r="BE86" s="1328"/>
      <c r="BF86" s="1023" t="s">
        <v>819</v>
      </c>
    </row>
    <row customHeight="1" ht="14.625" hidden="1">
      <c r="A87" s="1328"/>
      <c r="B87" s="1186"/>
      <c r="C87" s="1328"/>
      <c r="D87" s="1328"/>
      <c r="E87" s="637">
        <v>15</v>
      </c>
      <c r="F87" s="50" cm="1" t="str">
        <f t="array" ref="F87:F87">OFFSET(E87,-1,1)</f>
        <v>0</v>
      </c>
      <c r="G87" s="1328"/>
      <c r="H87" s="94" t="s">
        <v>820</v>
      </c>
      <c r="I87" s="1328"/>
      <c r="J87" s="1328"/>
      <c r="K87" s="1328"/>
      <c r="L87" s="1328"/>
      <c r="M87" s="1328"/>
      <c r="N87" s="1328"/>
      <c r="O87" s="1328"/>
      <c r="P87" s="1308"/>
      <c r="Q87" s="1308"/>
      <c r="R87" s="1308"/>
      <c r="S87" s="1308"/>
      <c r="T87" s="468" cm="1" t="str">
        <f t="array" ref="T87:T87">T86</f>
        <v>false</v>
      </c>
      <c r="U87" s="1308"/>
      <c r="V87" s="1328"/>
      <c r="W87" s="1308"/>
      <c r="X87" s="1539"/>
      <c r="Y87" s="1528"/>
      <c r="Z87" s="1328"/>
      <c r="AA87" s="1328"/>
      <c r="AB87" s="236" t="s">
        <v>821</v>
      </c>
      <c r="AC87" s="334" t="s">
        <v>737</v>
      </c>
      <c r="AD87" s="89" t="s">
        <v>657</v>
      </c>
      <c r="AE87" s="1927"/>
      <c r="AF87" s="1927"/>
      <c r="AG87" s="1927"/>
      <c r="AH87" s="1927"/>
      <c r="AI87" s="1927"/>
      <c r="AJ87" s="1927"/>
      <c r="AK87" s="1927"/>
      <c r="AL87" s="1927"/>
      <c r="AM87" s="1927"/>
      <c r="AN87" s="1927"/>
      <c r="AO87" s="1927"/>
      <c r="AP87" s="1927"/>
      <c r="AQ87" s="1927"/>
      <c r="AR87" s="1927"/>
      <c r="AS87" s="1927"/>
      <c r="AT87" s="1927"/>
      <c r="AU87" s="1927"/>
      <c r="AV87" s="1927"/>
      <c r="AW87" s="1927"/>
      <c r="AX87" s="1927"/>
      <c r="AY87" s="1927"/>
      <c r="AZ87" s="1927"/>
      <c r="BA87" s="1927"/>
      <c r="BB87" s="1927"/>
      <c r="BC87" s="1928"/>
      <c r="BD87" s="1328"/>
      <c r="BE87" s="1328"/>
      <c r="BF87" s="1023" t="s">
        <v>822</v>
      </c>
    </row>
    <row customHeight="1" ht="14.625" hidden="1">
      <c r="A88" s="1328"/>
      <c r="B88" s="1186"/>
      <c r="C88" s="1328"/>
      <c r="D88" s="1328"/>
      <c r="E88" s="637">
        <v>15</v>
      </c>
      <c r="F88" s="50" cm="1" t="str">
        <f t="array" ref="F88:F88">OFFSET(E88,-1,1)</f>
        <v>0</v>
      </c>
      <c r="G88" s="94" t="s">
        <v>753</v>
      </c>
      <c r="H88" s="94" t="s">
        <v>796</v>
      </c>
      <c r="I88" s="1328"/>
      <c r="J88" s="1328"/>
      <c r="K88" s="1328"/>
      <c r="L88" s="1328"/>
      <c r="M88" s="1328"/>
      <c r="N88" s="1328"/>
      <c r="O88" s="1328"/>
      <c r="P88" s="1308"/>
      <c r="Q88" s="1308"/>
      <c r="R88" s="1308"/>
      <c r="S88" s="1308"/>
      <c r="T88" s="468" cm="1" t="str">
        <f t="array" ref="T88:T88">T87</f>
        <v>false</v>
      </c>
      <c r="U88" s="1308"/>
      <c r="V88" s="1328"/>
      <c r="W88" s="1308"/>
      <c r="X88" s="1539"/>
      <c r="Y88" s="1528"/>
      <c r="Z88" s="1328"/>
      <c r="AA88" s="1328"/>
      <c r="AB88" s="236" t="s">
        <v>797</v>
      </c>
      <c r="AC88" s="188" t="s">
        <v>756</v>
      </c>
      <c r="AD88" s="89" t="s">
        <v>657</v>
      </c>
      <c r="AE88" s="342">
        <f>AE89+AE90</f>
        <v>0</v>
      </c>
      <c r="AF88" s="342">
        <f>AF89+AF90</f>
        <v>0</v>
      </c>
      <c r="AG88" s="342">
        <f>AG89+AG90</f>
        <v>0</v>
      </c>
      <c r="AH88" s="342">
        <f>AH89+AH90</f>
        <v>0</v>
      </c>
      <c r="AI88" s="342">
        <f>AI89+AI90</f>
        <v>0</v>
      </c>
      <c r="AJ88" s="342">
        <f>AJ89+AJ90</f>
        <v>0</v>
      </c>
      <c r="AK88" s="342">
        <f>AK89+AK90</f>
        <v>0</v>
      </c>
      <c r="AL88" s="342">
        <f>AL89+AL90</f>
        <v>0</v>
      </c>
      <c r="AM88" s="342">
        <f>AM89+AM90</f>
        <v>0</v>
      </c>
      <c r="AN88" s="342">
        <f>AN89+AN90</f>
        <v>0</v>
      </c>
      <c r="AO88" s="342">
        <f>AO89+AO90</f>
        <v>0</v>
      </c>
      <c r="AP88" s="342">
        <f>AP89+AP90</f>
        <v>0</v>
      </c>
      <c r="AQ88" s="342">
        <f>AQ89+AQ90</f>
        <v>0</v>
      </c>
      <c r="AR88" s="342">
        <f>AR89+AR90</f>
        <v>0</v>
      </c>
      <c r="AS88" s="342">
        <f>AS89+AS90</f>
        <v>0</v>
      </c>
      <c r="AT88" s="342">
        <f>AT89+AT90</f>
        <v>0</v>
      </c>
      <c r="AU88" s="342">
        <f>AU89+AU90</f>
        <v>0</v>
      </c>
      <c r="AV88" s="342">
        <f>AV89+AV90</f>
        <v>0</v>
      </c>
      <c r="AW88" s="342">
        <f>AW89+AW90</f>
        <v>0</v>
      </c>
      <c r="AX88" s="342">
        <f>AX89+AX90</f>
        <v>0</v>
      </c>
      <c r="AY88" s="342">
        <f>AY89+AY90</f>
        <v>0</v>
      </c>
      <c r="AZ88" s="342">
        <f>AZ89+AZ90</f>
        <v>0</v>
      </c>
      <c r="BA88" s="342">
        <f>BA89+BA90</f>
        <v>0</v>
      </c>
      <c r="BB88" s="342">
        <f>BB89+BB90</f>
        <v>0</v>
      </c>
      <c r="BC88" s="1928"/>
      <c r="BD88" s="1328"/>
      <c r="BE88" s="1328"/>
      <c r="BF88" s="1023" t="s">
        <v>823</v>
      </c>
    </row>
    <row customHeight="1" ht="14.625" hidden="1">
      <c r="A89" s="1328"/>
      <c r="B89" s="1186"/>
      <c r="C89" s="1328"/>
      <c r="D89" s="1328"/>
      <c r="E89" s="637">
        <v>15</v>
      </c>
      <c r="F89" s="50" cm="1" t="str">
        <f t="array" ref="F89:F89">OFFSET(E89,-1,1)</f>
        <v>0</v>
      </c>
      <c r="G89" s="1328"/>
      <c r="H89" s="94" t="s">
        <v>824</v>
      </c>
      <c r="I89" s="1328"/>
      <c r="J89" s="1328"/>
      <c r="K89" s="1328"/>
      <c r="L89" s="1328"/>
      <c r="M89" s="1328"/>
      <c r="N89" s="1328"/>
      <c r="O89" s="1328"/>
      <c r="P89" s="1308"/>
      <c r="Q89" s="1308"/>
      <c r="R89" s="1308"/>
      <c r="S89" s="1308"/>
      <c r="T89" s="468" cm="1" t="str">
        <f t="array" ref="T89:T89">T88</f>
        <v>false</v>
      </c>
      <c r="U89" s="1308"/>
      <c r="V89" s="1328"/>
      <c r="W89" s="1308"/>
      <c r="X89" s="1539"/>
      <c r="Y89" s="1528"/>
      <c r="Z89" s="1328"/>
      <c r="AA89" s="1328"/>
      <c r="AB89" s="236" t="s">
        <v>825</v>
      </c>
      <c r="AC89" s="334" t="s">
        <v>733</v>
      </c>
      <c r="AD89" s="89" t="s">
        <v>657</v>
      </c>
      <c r="AE89" s="1927"/>
      <c r="AF89" s="1927"/>
      <c r="AG89" s="1927"/>
      <c r="AH89" s="1927"/>
      <c r="AI89" s="1927"/>
      <c r="AJ89" s="1927"/>
      <c r="AK89" s="1927"/>
      <c r="AL89" s="1927"/>
      <c r="AM89" s="1927"/>
      <c r="AN89" s="1927"/>
      <c r="AO89" s="1927"/>
      <c r="AP89" s="1927"/>
      <c r="AQ89" s="1927"/>
      <c r="AR89" s="1927"/>
      <c r="AS89" s="1927"/>
      <c r="AT89" s="1927"/>
      <c r="AU89" s="1927"/>
      <c r="AV89" s="1927"/>
      <c r="AW89" s="1927"/>
      <c r="AX89" s="1927"/>
      <c r="AY89" s="1927"/>
      <c r="AZ89" s="1927"/>
      <c r="BA89" s="1927"/>
      <c r="BB89" s="1927"/>
      <c r="BC89" s="1928"/>
      <c r="BD89" s="1328"/>
      <c r="BE89" s="1328"/>
      <c r="BF89" s="1023" t="s">
        <v>826</v>
      </c>
    </row>
    <row customHeight="1" ht="14.625" hidden="1">
      <c r="A90" s="1328"/>
      <c r="B90" s="1186"/>
      <c r="C90" s="1328"/>
      <c r="D90" s="1328"/>
      <c r="E90" s="637">
        <v>15</v>
      </c>
      <c r="F90" s="50" cm="1" t="str">
        <f t="array" ref="F90:F90">OFFSET(E90,-1,1)</f>
        <v>0</v>
      </c>
      <c r="G90" s="1328"/>
      <c r="H90" s="94" t="s">
        <v>827</v>
      </c>
      <c r="I90" s="1328"/>
      <c r="J90" s="1328"/>
      <c r="K90" s="1328"/>
      <c r="L90" s="1328"/>
      <c r="M90" s="1328"/>
      <c r="N90" s="1328"/>
      <c r="O90" s="1328"/>
      <c r="P90" s="1308"/>
      <c r="Q90" s="1308"/>
      <c r="R90" s="1308"/>
      <c r="S90" s="1308"/>
      <c r="T90" s="468" cm="1" t="str">
        <f t="array" ref="T90:T90">T89</f>
        <v>false</v>
      </c>
      <c r="U90" s="1308"/>
      <c r="V90" s="1328"/>
      <c r="W90" s="1308"/>
      <c r="X90" s="1539"/>
      <c r="Y90" s="1528"/>
      <c r="Z90" s="1328"/>
      <c r="AA90" s="1328"/>
      <c r="AB90" s="236" t="s">
        <v>828</v>
      </c>
      <c r="AC90" s="334" t="s">
        <v>737</v>
      </c>
      <c r="AD90" s="89" t="s">
        <v>657</v>
      </c>
      <c r="AE90" s="1927"/>
      <c r="AF90" s="1927"/>
      <c r="AG90" s="1927"/>
      <c r="AH90" s="1927"/>
      <c r="AI90" s="1927"/>
      <c r="AJ90" s="1927"/>
      <c r="AK90" s="1927"/>
      <c r="AL90" s="1927"/>
      <c r="AM90" s="1927"/>
      <c r="AN90" s="1927"/>
      <c r="AO90" s="1927"/>
      <c r="AP90" s="1927"/>
      <c r="AQ90" s="1927"/>
      <c r="AR90" s="1927"/>
      <c r="AS90" s="1927"/>
      <c r="AT90" s="1927"/>
      <c r="AU90" s="1927"/>
      <c r="AV90" s="1927"/>
      <c r="AW90" s="1927"/>
      <c r="AX90" s="1927"/>
      <c r="AY90" s="1927"/>
      <c r="AZ90" s="1927"/>
      <c r="BA90" s="1927"/>
      <c r="BB90" s="1927"/>
      <c r="BC90" s="1928"/>
      <c r="BD90" s="1328"/>
      <c r="BE90" s="1328"/>
      <c r="BF90" s="1023" t="s">
        <v>829</v>
      </c>
    </row>
    <row customHeight="1" ht="14.625" hidden="1">
      <c r="A91" s="1328"/>
      <c r="B91" s="1186"/>
      <c r="C91" s="1328"/>
      <c r="D91" s="1328"/>
      <c r="E91" s="637">
        <v>15</v>
      </c>
      <c r="F91" s="50" cm="1" t="str">
        <f t="array" ref="F91:F91">OFFSET(E91,-1,1)</f>
        <v>0</v>
      </c>
      <c r="G91" s="1328"/>
      <c r="H91" s="94" t="s">
        <v>830</v>
      </c>
      <c r="I91" s="1328"/>
      <c r="J91" s="1328"/>
      <c r="K91" s="1328"/>
      <c r="L91" s="1328"/>
      <c r="M91" s="1328"/>
      <c r="N91" s="1328"/>
      <c r="O91" s="1328"/>
      <c r="P91" s="1308"/>
      <c r="Q91" s="1308"/>
      <c r="R91" s="1308"/>
      <c r="S91" s="1308"/>
      <c r="T91" s="468" cm="1" t="str">
        <f t="array" ref="T91:T91">T90</f>
        <v>false</v>
      </c>
      <c r="U91" s="1308"/>
      <c r="V91" s="1328"/>
      <c r="W91" s="1308"/>
      <c r="X91" s="1539"/>
      <c r="Y91" s="1528"/>
      <c r="Z91" s="1328"/>
      <c r="AA91" s="1328"/>
      <c r="AB91" s="236" t="s">
        <v>831</v>
      </c>
      <c r="AC91" s="188" t="s">
        <v>766</v>
      </c>
      <c r="AD91" s="89" t="s">
        <v>657</v>
      </c>
      <c r="AE91" s="342">
        <f>AE92+AE93</f>
        <v>0</v>
      </c>
      <c r="AF91" s="342">
        <f>AF92+AF93</f>
        <v>0</v>
      </c>
      <c r="AG91" s="342">
        <f>AG92+AG93</f>
        <v>0</v>
      </c>
      <c r="AH91" s="342">
        <f>AH92+AH93</f>
        <v>0</v>
      </c>
      <c r="AI91" s="342">
        <f>AI92+AI93</f>
        <v>0</v>
      </c>
      <c r="AJ91" s="342">
        <f>AJ92+AJ93</f>
        <v>0</v>
      </c>
      <c r="AK91" s="342">
        <f>AK92+AK93</f>
        <v>0</v>
      </c>
      <c r="AL91" s="342">
        <f>AL92+AL93</f>
        <v>0</v>
      </c>
      <c r="AM91" s="342">
        <f>AM92+AM93</f>
        <v>0</v>
      </c>
      <c r="AN91" s="342">
        <f>AN92+AN93</f>
        <v>0</v>
      </c>
      <c r="AO91" s="342">
        <f>AO92+AO93</f>
        <v>0</v>
      </c>
      <c r="AP91" s="342">
        <f>AP92+AP93</f>
        <v>0</v>
      </c>
      <c r="AQ91" s="342">
        <f>AQ92+AQ93</f>
        <v>0</v>
      </c>
      <c r="AR91" s="342">
        <f>AR92+AR93</f>
        <v>0</v>
      </c>
      <c r="AS91" s="342">
        <f>AS92+AS93</f>
        <v>0</v>
      </c>
      <c r="AT91" s="342">
        <f>AT92+AT93</f>
        <v>0</v>
      </c>
      <c r="AU91" s="342">
        <f>AU92+AU93</f>
        <v>0</v>
      </c>
      <c r="AV91" s="342">
        <f>AV92+AV93</f>
        <v>0</v>
      </c>
      <c r="AW91" s="342">
        <f>AW92+AW93</f>
        <v>0</v>
      </c>
      <c r="AX91" s="342">
        <f>AX92+AX93</f>
        <v>0</v>
      </c>
      <c r="AY91" s="342">
        <f>AY92+AY93</f>
        <v>0</v>
      </c>
      <c r="AZ91" s="342">
        <f>AZ92+AZ93</f>
        <v>0</v>
      </c>
      <c r="BA91" s="342">
        <f>BA92+BA93</f>
        <v>0</v>
      </c>
      <c r="BB91" s="342">
        <f>BB92+BB93</f>
        <v>0</v>
      </c>
      <c r="BC91" s="1928"/>
      <c r="BD91" s="1328"/>
      <c r="BE91" s="1328"/>
      <c r="BF91" s="1023" t="s">
        <v>832</v>
      </c>
    </row>
    <row customHeight="1" ht="14.625" hidden="1">
      <c r="A92" s="1328"/>
      <c r="B92" s="1186"/>
      <c r="C92" s="1328"/>
      <c r="D92" s="1328"/>
      <c r="E92" s="637">
        <v>15</v>
      </c>
      <c r="F92" s="50" cm="1" t="str">
        <f t="array" ref="F92:F92">OFFSET(E92,-1,1)</f>
        <v>0</v>
      </c>
      <c r="G92" s="1328"/>
      <c r="H92" s="94" t="s">
        <v>833</v>
      </c>
      <c r="I92" s="1328"/>
      <c r="J92" s="1328"/>
      <c r="K92" s="1328"/>
      <c r="L92" s="1328"/>
      <c r="M92" s="1328"/>
      <c r="N92" s="1328"/>
      <c r="O92" s="1328"/>
      <c r="P92" s="1308"/>
      <c r="Q92" s="1308"/>
      <c r="R92" s="1308"/>
      <c r="S92" s="1308"/>
      <c r="T92" s="468" cm="1" t="str">
        <f t="array" ref="T92:T92">T91</f>
        <v>false</v>
      </c>
      <c r="U92" s="1308"/>
      <c r="V92" s="1328"/>
      <c r="W92" s="1308"/>
      <c r="X92" s="1539"/>
      <c r="Y92" s="1528"/>
      <c r="Z92" s="1328"/>
      <c r="AA92" s="1328"/>
      <c r="AB92" s="236" t="s">
        <v>834</v>
      </c>
      <c r="AC92" s="334" t="s">
        <v>733</v>
      </c>
      <c r="AD92" s="89" t="s">
        <v>657</v>
      </c>
      <c r="AE92" s="1927"/>
      <c r="AF92" s="1927"/>
      <c r="AG92" s="1927"/>
      <c r="AH92" s="1927"/>
      <c r="AI92" s="1927"/>
      <c r="AJ92" s="1927"/>
      <c r="AK92" s="1927"/>
      <c r="AL92" s="1927"/>
      <c r="AM92" s="1927"/>
      <c r="AN92" s="1927"/>
      <c r="AO92" s="1927"/>
      <c r="AP92" s="1927"/>
      <c r="AQ92" s="1927"/>
      <c r="AR92" s="1927"/>
      <c r="AS92" s="1927"/>
      <c r="AT92" s="1927"/>
      <c r="AU92" s="1927"/>
      <c r="AV92" s="1927"/>
      <c r="AW92" s="1927"/>
      <c r="AX92" s="1927"/>
      <c r="AY92" s="1927"/>
      <c r="AZ92" s="1927"/>
      <c r="BA92" s="1927"/>
      <c r="BB92" s="1927"/>
      <c r="BC92" s="1928"/>
      <c r="BD92" s="1328"/>
      <c r="BE92" s="1328"/>
      <c r="BF92" s="1023" t="s">
        <v>835</v>
      </c>
    </row>
    <row customHeight="1" ht="14.625" hidden="1">
      <c r="A93" s="1328"/>
      <c r="B93" s="1186"/>
      <c r="C93" s="1328"/>
      <c r="D93" s="1328"/>
      <c r="E93" s="637">
        <v>15</v>
      </c>
      <c r="F93" s="50" cm="1" t="str">
        <f t="array" ref="F93:F93">OFFSET(E93,-1,1)</f>
        <v>0</v>
      </c>
      <c r="G93" s="1328"/>
      <c r="H93" s="94" t="s">
        <v>836</v>
      </c>
      <c r="I93" s="1328"/>
      <c r="J93" s="1328"/>
      <c r="K93" s="1328"/>
      <c r="L93" s="1328"/>
      <c r="M93" s="1328"/>
      <c r="N93" s="1328"/>
      <c r="O93" s="1328"/>
      <c r="P93" s="1308"/>
      <c r="Q93" s="1308"/>
      <c r="R93" s="1308"/>
      <c r="S93" s="1308"/>
      <c r="T93" s="468" cm="1" t="str">
        <f t="array" ref="T93:T93">T92</f>
        <v>false</v>
      </c>
      <c r="U93" s="1308"/>
      <c r="V93" s="1328"/>
      <c r="W93" s="1308"/>
      <c r="X93" s="1539"/>
      <c r="Y93" s="1528"/>
      <c r="Z93" s="1328"/>
      <c r="AA93" s="1328"/>
      <c r="AB93" s="236" t="s">
        <v>837</v>
      </c>
      <c r="AC93" s="334" t="s">
        <v>737</v>
      </c>
      <c r="AD93" s="89" t="s">
        <v>657</v>
      </c>
      <c r="AE93" s="1927"/>
      <c r="AF93" s="1927"/>
      <c r="AG93" s="1927"/>
      <c r="AH93" s="1927"/>
      <c r="AI93" s="1927"/>
      <c r="AJ93" s="1927"/>
      <c r="AK93" s="1927"/>
      <c r="AL93" s="1927"/>
      <c r="AM93" s="1927"/>
      <c r="AN93" s="1927"/>
      <c r="AO93" s="1927"/>
      <c r="AP93" s="1927"/>
      <c r="AQ93" s="1927"/>
      <c r="AR93" s="1927"/>
      <c r="AS93" s="1927"/>
      <c r="AT93" s="1927"/>
      <c r="AU93" s="1927"/>
      <c r="AV93" s="1927"/>
      <c r="AW93" s="1927"/>
      <c r="AX93" s="1927"/>
      <c r="AY93" s="1927"/>
      <c r="AZ93" s="1927"/>
      <c r="BA93" s="1927"/>
      <c r="BB93" s="1927"/>
      <c r="BC93" s="1928"/>
      <c r="BD93" s="1328"/>
      <c r="BE93" s="1328"/>
      <c r="BF93" s="1023" t="s">
        <v>838</v>
      </c>
    </row>
    <row customHeight="1" ht="14.625" hidden="1">
      <c r="A94" s="1328"/>
      <c r="B94" s="1186"/>
      <c r="C94" s="1328"/>
      <c r="D94" s="1328"/>
      <c r="E94" s="637">
        <v>15</v>
      </c>
      <c r="F94" s="50" cm="1" t="str">
        <f t="array" ref="F94:F94">OFFSET(E94,-1,1)</f>
        <v>0</v>
      </c>
      <c r="G94" s="1328"/>
      <c r="H94" s="94" t="s">
        <v>839</v>
      </c>
      <c r="I94" s="1328"/>
      <c r="J94" s="1328"/>
      <c r="K94" s="1328"/>
      <c r="L94" s="1328"/>
      <c r="M94" s="1328"/>
      <c r="N94" s="1328"/>
      <c r="O94" s="1328"/>
      <c r="P94" s="1308"/>
      <c r="Q94" s="1308"/>
      <c r="R94" s="1308"/>
      <c r="S94" s="1308"/>
      <c r="T94" s="468" cm="1" t="str">
        <f t="array" ref="T94:T94">T93</f>
        <v>false</v>
      </c>
      <c r="U94" s="1308"/>
      <c r="V94" s="1328"/>
      <c r="W94" s="1308"/>
      <c r="X94" s="1539"/>
      <c r="Y94" s="1528"/>
      <c r="Z94" s="1328"/>
      <c r="AA94" s="1328"/>
      <c r="AB94" s="236" t="s">
        <v>840</v>
      </c>
      <c r="AC94" s="188" t="s">
        <v>841</v>
      </c>
      <c r="AD94" s="89" t="s">
        <v>657</v>
      </c>
      <c r="AE94" s="342">
        <f>AE95+AE96</f>
        <v>0</v>
      </c>
      <c r="AF94" s="342">
        <f>AF95+AF96</f>
        <v>0</v>
      </c>
      <c r="AG94" s="342">
        <f>AG95+AG96</f>
        <v>0</v>
      </c>
      <c r="AH94" s="342">
        <f>AH95+AH96</f>
        <v>0</v>
      </c>
      <c r="AI94" s="342">
        <f>AI95+AI96</f>
        <v>0</v>
      </c>
      <c r="AJ94" s="342">
        <f>AJ95+AJ96</f>
        <v>0</v>
      </c>
      <c r="AK94" s="342">
        <f>AK95+AK96</f>
        <v>0</v>
      </c>
      <c r="AL94" s="342">
        <f>AL95+AL96</f>
        <v>0</v>
      </c>
      <c r="AM94" s="342">
        <f>AM95+AM96</f>
        <v>0</v>
      </c>
      <c r="AN94" s="342">
        <f>AN95+AN96</f>
        <v>0</v>
      </c>
      <c r="AO94" s="342">
        <f>AO95+AO96</f>
        <v>0</v>
      </c>
      <c r="AP94" s="342">
        <f>AP95+AP96</f>
        <v>0</v>
      </c>
      <c r="AQ94" s="342">
        <f>AQ95+AQ96</f>
        <v>0</v>
      </c>
      <c r="AR94" s="342">
        <f>AR95+AR96</f>
        <v>0</v>
      </c>
      <c r="AS94" s="342">
        <f>AS95+AS96</f>
        <v>0</v>
      </c>
      <c r="AT94" s="342">
        <f>AT95+AT96</f>
        <v>0</v>
      </c>
      <c r="AU94" s="342">
        <f>AU95+AU96</f>
        <v>0</v>
      </c>
      <c r="AV94" s="342">
        <f>AV95+AV96</f>
        <v>0</v>
      </c>
      <c r="AW94" s="342">
        <f>AW95+AW96</f>
        <v>0</v>
      </c>
      <c r="AX94" s="342">
        <f>AX95+AX96</f>
        <v>0</v>
      </c>
      <c r="AY94" s="342">
        <f>AY95+AY96</f>
        <v>0</v>
      </c>
      <c r="AZ94" s="342">
        <f>AZ95+AZ96</f>
        <v>0</v>
      </c>
      <c r="BA94" s="342">
        <f>BA95+BA96</f>
        <v>0</v>
      </c>
      <c r="BB94" s="342">
        <f>BB95+BB96</f>
        <v>0</v>
      </c>
      <c r="BC94" s="1928"/>
      <c r="BD94" s="1328"/>
      <c r="BE94" s="1328"/>
      <c r="BF94" s="1023" t="s">
        <v>842</v>
      </c>
    </row>
    <row customHeight="1" ht="14.625" hidden="1">
      <c r="A95" s="1328"/>
      <c r="B95" s="1186"/>
      <c r="C95" s="1328"/>
      <c r="D95" s="1328"/>
      <c r="E95" s="637">
        <v>15</v>
      </c>
      <c r="F95" s="50" cm="1" t="str">
        <f t="array" ref="F95:F95">OFFSET(E95,-1,1)</f>
        <v>0</v>
      </c>
      <c r="G95" s="1328"/>
      <c r="H95" s="94" t="s">
        <v>843</v>
      </c>
      <c r="I95" s="1328"/>
      <c r="J95" s="1328"/>
      <c r="K95" s="1328"/>
      <c r="L95" s="1328"/>
      <c r="M95" s="1328"/>
      <c r="N95" s="1328"/>
      <c r="O95" s="1328"/>
      <c r="P95" s="1308"/>
      <c r="Q95" s="1308"/>
      <c r="R95" s="1308"/>
      <c r="S95" s="1308"/>
      <c r="T95" s="468" cm="1" t="str">
        <f t="array" ref="T95:T95">T94</f>
        <v>false</v>
      </c>
      <c r="U95" s="1308"/>
      <c r="V95" s="1328"/>
      <c r="W95" s="1308"/>
      <c r="X95" s="1539"/>
      <c r="Y95" s="1528"/>
      <c r="Z95" s="1328"/>
      <c r="AA95" s="1328"/>
      <c r="AB95" s="236" t="s">
        <v>844</v>
      </c>
      <c r="AC95" s="328" t="s">
        <v>733</v>
      </c>
      <c r="AD95" s="89" t="s">
        <v>657</v>
      </c>
      <c r="AE95" s="1927"/>
      <c r="AF95" s="1927"/>
      <c r="AG95" s="1927"/>
      <c r="AH95" s="1927"/>
      <c r="AI95" s="1927"/>
      <c r="AJ95" s="1927"/>
      <c r="AK95" s="1927"/>
      <c r="AL95" s="1927"/>
      <c r="AM95" s="1927"/>
      <c r="AN95" s="1927"/>
      <c r="AO95" s="1927"/>
      <c r="AP95" s="1927"/>
      <c r="AQ95" s="1927"/>
      <c r="AR95" s="1927"/>
      <c r="AS95" s="1927"/>
      <c r="AT95" s="1927"/>
      <c r="AU95" s="1927"/>
      <c r="AV95" s="1927"/>
      <c r="AW95" s="1927"/>
      <c r="AX95" s="1927"/>
      <c r="AY95" s="1927"/>
      <c r="AZ95" s="1927"/>
      <c r="BA95" s="1927"/>
      <c r="BB95" s="1927"/>
      <c r="BC95" s="1928"/>
      <c r="BD95" s="1328"/>
      <c r="BE95" s="1328"/>
      <c r="BF95" s="1023" t="s">
        <v>845</v>
      </c>
    </row>
    <row customHeight="1" ht="14.625" hidden="1">
      <c r="A96" s="1328"/>
      <c r="B96" s="1186"/>
      <c r="C96" s="1328"/>
      <c r="D96" s="1328"/>
      <c r="E96" s="637">
        <v>15</v>
      </c>
      <c r="F96" s="50" cm="1" t="str">
        <f t="array" ref="F96:F96">OFFSET(E96,-1,1)</f>
        <v>0</v>
      </c>
      <c r="G96" s="1328"/>
      <c r="H96" s="94" t="s">
        <v>846</v>
      </c>
      <c r="I96" s="1328"/>
      <c r="J96" s="1328"/>
      <c r="K96" s="1328"/>
      <c r="L96" s="1328"/>
      <c r="M96" s="1328"/>
      <c r="N96" s="1328"/>
      <c r="O96" s="1328"/>
      <c r="P96" s="1308"/>
      <c r="Q96" s="1308"/>
      <c r="R96" s="1308"/>
      <c r="S96" s="1308"/>
      <c r="T96" s="468" cm="1" t="str">
        <f t="array" ref="T96:T96">T95</f>
        <v>false</v>
      </c>
      <c r="U96" s="1308"/>
      <c r="V96" s="1328"/>
      <c r="W96" s="1308"/>
      <c r="X96" s="1539"/>
      <c r="Y96" s="1528"/>
      <c r="Z96" s="1328"/>
      <c r="AA96" s="1328"/>
      <c r="AB96" s="236" t="s">
        <v>847</v>
      </c>
      <c r="AC96" s="328" t="s">
        <v>737</v>
      </c>
      <c r="AD96" s="89" t="s">
        <v>657</v>
      </c>
      <c r="AE96" s="1927"/>
      <c r="AF96" s="1927"/>
      <c r="AG96" s="1927"/>
      <c r="AH96" s="1927"/>
      <c r="AI96" s="1927"/>
      <c r="AJ96" s="1927"/>
      <c r="AK96" s="1927"/>
      <c r="AL96" s="1927"/>
      <c r="AM96" s="1927"/>
      <c r="AN96" s="1927"/>
      <c r="AO96" s="1927"/>
      <c r="AP96" s="1927"/>
      <c r="AQ96" s="1927"/>
      <c r="AR96" s="1927"/>
      <c r="AS96" s="1927"/>
      <c r="AT96" s="1927"/>
      <c r="AU96" s="1927"/>
      <c r="AV96" s="1927"/>
      <c r="AW96" s="1927"/>
      <c r="AX96" s="1927"/>
      <c r="AY96" s="1927"/>
      <c r="AZ96" s="1927"/>
      <c r="BA96" s="1927"/>
      <c r="BB96" s="1927"/>
      <c r="BC96" s="1928"/>
      <c r="BD96" s="1328"/>
      <c r="BE96" s="1328"/>
      <c r="BF96" s="1023" t="s">
        <v>848</v>
      </c>
    </row>
    <row customHeight="1" ht="21.9375" hidden="1">
      <c r="A97" s="1328"/>
      <c r="B97" s="1186"/>
      <c r="C97" s="1328"/>
      <c r="D97" s="1328"/>
      <c r="E97" s="637">
        <v>22.5</v>
      </c>
      <c r="F97" s="50" cm="1" t="str">
        <f t="array" ref="F97:F97">OFFSET(E97,-1,1)</f>
        <v>0</v>
      </c>
      <c r="G97" s="1328"/>
      <c r="H97" s="94" t="s">
        <v>849</v>
      </c>
      <c r="I97" s="1328"/>
      <c r="J97" s="1328"/>
      <c r="K97" s="1328"/>
      <c r="L97" s="1328"/>
      <c r="M97" s="1328"/>
      <c r="N97" s="1328"/>
      <c r="O97" s="1328"/>
      <c r="P97" s="1308"/>
      <c r="Q97" s="1308"/>
      <c r="R97" s="1308"/>
      <c r="S97" s="1308"/>
      <c r="T97" s="468" cm="1" t="str">
        <f t="array" ref="T97:T97">T96</f>
        <v>false</v>
      </c>
      <c r="U97" s="1308"/>
      <c r="V97" s="1328"/>
      <c r="W97" s="1308"/>
      <c r="X97" s="1539"/>
      <c r="Y97" s="1528"/>
      <c r="Z97" s="1328"/>
      <c r="AA97" s="1328"/>
      <c r="AB97" s="236" t="s">
        <v>850</v>
      </c>
      <c r="AC97" s="335" t="s">
        <v>698</v>
      </c>
      <c r="AD97" s="89" t="s">
        <v>657</v>
      </c>
      <c r="AE97" s="1927"/>
      <c r="AF97" s="1927"/>
      <c r="AG97" s="1927"/>
      <c r="AH97" s="1927"/>
      <c r="AI97" s="1927"/>
      <c r="AJ97" s="1927"/>
      <c r="AK97" s="1927"/>
      <c r="AL97" s="1927"/>
      <c r="AM97" s="1927"/>
      <c r="AN97" s="1927"/>
      <c r="AO97" s="1927"/>
      <c r="AP97" s="1927"/>
      <c r="AQ97" s="1927"/>
      <c r="AR97" s="1927"/>
      <c r="AS97" s="1927"/>
      <c r="AT97" s="1927"/>
      <c r="AU97" s="1927"/>
      <c r="AV97" s="1927"/>
      <c r="AW97" s="1927"/>
      <c r="AX97" s="1927"/>
      <c r="AY97" s="1927"/>
      <c r="AZ97" s="1927"/>
      <c r="BA97" s="1927"/>
      <c r="BB97" s="1927"/>
      <c r="BC97" s="1928"/>
      <c r="BD97" s="1328"/>
      <c r="BE97" s="1328"/>
      <c r="BF97" s="1023" t="s">
        <v>851</v>
      </c>
    </row>
    <row customHeight="1" ht="14.625" hidden="1">
      <c r="A98" s="1328"/>
      <c r="B98" s="1186"/>
      <c r="C98" s="1328"/>
      <c r="D98" s="1328"/>
      <c r="E98" s="637">
        <v>15</v>
      </c>
      <c r="F98" s="50" cm="1" t="str">
        <f t="array" ref="F98:F98">OFFSET(E98,-1,1)</f>
        <v>0</v>
      </c>
      <c r="G98" s="1328"/>
      <c r="H98" s="94" t="s">
        <v>619</v>
      </c>
      <c r="I98" s="1328"/>
      <c r="J98" s="1328"/>
      <c r="K98" s="1328"/>
      <c r="L98" s="1328"/>
      <c r="M98" s="1328"/>
      <c r="N98" s="1328"/>
      <c r="O98" s="1328"/>
      <c r="P98" s="1308"/>
      <c r="Q98" s="1308"/>
      <c r="R98" s="1308"/>
      <c r="S98" s="1308"/>
      <c r="T98" s="468" cm="1" t="str">
        <f t="array" ref="T98:T98">T97</f>
        <v>false</v>
      </c>
      <c r="U98" s="1308"/>
      <c r="V98" s="1328"/>
      <c r="W98" s="1308"/>
      <c r="X98" s="1539"/>
      <c r="Y98" s="1528"/>
      <c r="Z98" s="1328"/>
      <c r="AA98" s="1328"/>
      <c r="AB98" s="236" t="s">
        <v>454</v>
      </c>
      <c r="AC98" s="133" t="s">
        <v>852</v>
      </c>
      <c r="AD98" s="89" t="s">
        <v>657</v>
      </c>
      <c r="AE98" s="1927"/>
      <c r="AF98" s="1927"/>
      <c r="AG98" s="1927"/>
      <c r="AH98" s="1927"/>
      <c r="AI98" s="1927"/>
      <c r="AJ98" s="1927"/>
      <c r="AK98" s="1927"/>
      <c r="AL98" s="1927"/>
      <c r="AM98" s="1927"/>
      <c r="AN98" s="1927"/>
      <c r="AO98" s="1927"/>
      <c r="AP98" s="1927"/>
      <c r="AQ98" s="1927"/>
      <c r="AR98" s="1927"/>
      <c r="AS98" s="1927"/>
      <c r="AT98" s="1927"/>
      <c r="AU98" s="1927"/>
      <c r="AV98" s="1927"/>
      <c r="AW98" s="1927"/>
      <c r="AX98" s="1927"/>
      <c r="AY98" s="1927"/>
      <c r="AZ98" s="1927"/>
      <c r="BA98" s="1927"/>
      <c r="BB98" s="1927"/>
      <c r="BC98" s="1928"/>
      <c r="BD98" s="1328"/>
      <c r="BE98" s="1328"/>
      <c r="BF98" s="1023" t="s">
        <v>853</v>
      </c>
    </row>
    <row customHeight="1" ht="14.625" hidden="1">
      <c r="A99" s="1328"/>
      <c r="B99" s="1186"/>
      <c r="C99" s="1328"/>
      <c r="D99" s="1328"/>
      <c r="E99" s="637">
        <v>15</v>
      </c>
      <c r="F99" s="50" cm="1" t="str">
        <f t="array" ref="F99:F99">OFFSET(E99,-1,1)</f>
        <v>0</v>
      </c>
      <c r="G99" s="1328"/>
      <c r="H99" s="94" t="s">
        <v>685</v>
      </c>
      <c r="I99" s="1328"/>
      <c r="J99" s="1328"/>
      <c r="K99" s="1328"/>
      <c r="L99" s="1328"/>
      <c r="M99" s="1328"/>
      <c r="N99" s="1328"/>
      <c r="O99" s="1328"/>
      <c r="P99" s="1308"/>
      <c r="Q99" s="1308"/>
      <c r="R99" s="1308"/>
      <c r="S99" s="1308"/>
      <c r="T99" s="468" cm="1" t="str">
        <f t="array" ref="T99:T99">T98</f>
        <v>false</v>
      </c>
      <c r="U99" s="1308"/>
      <c r="V99" s="1328"/>
      <c r="W99" s="1308"/>
      <c r="X99" s="1539"/>
      <c r="Y99" s="1528"/>
      <c r="Z99" s="1328"/>
      <c r="AA99" s="1328"/>
      <c r="AB99" s="236" t="s">
        <v>457</v>
      </c>
      <c r="AC99" s="133" t="s">
        <v>854</v>
      </c>
      <c r="AD99" s="89" t="s">
        <v>657</v>
      </c>
      <c r="AE99" s="1927"/>
      <c r="AF99" s="1927"/>
      <c r="AG99" s="1927"/>
      <c r="AH99" s="1927"/>
      <c r="AI99" s="1927"/>
      <c r="AJ99" s="1927"/>
      <c r="AK99" s="1927"/>
      <c r="AL99" s="1927"/>
      <c r="AM99" s="1927"/>
      <c r="AN99" s="1927"/>
      <c r="AO99" s="1927"/>
      <c r="AP99" s="1927"/>
      <c r="AQ99" s="1927"/>
      <c r="AR99" s="1927"/>
      <c r="AS99" s="1927"/>
      <c r="AT99" s="1927"/>
      <c r="AU99" s="1927"/>
      <c r="AV99" s="1927"/>
      <c r="AW99" s="1927"/>
      <c r="AX99" s="1927"/>
      <c r="AY99" s="1927"/>
      <c r="AZ99" s="1927"/>
      <c r="BA99" s="1927"/>
      <c r="BB99" s="1927"/>
      <c r="BC99" s="1928"/>
      <c r="BD99" s="1328"/>
      <c r="BE99" s="1328"/>
      <c r="BF99" s="1023" t="s">
        <v>855</v>
      </c>
    </row>
    <row customHeight="1" ht="14.625" hidden="1">
      <c r="A100" s="1328"/>
      <c r="B100" s="1186"/>
      <c r="C100" s="1328"/>
      <c r="D100" s="1328"/>
      <c r="E100" s="637">
        <v>15</v>
      </c>
      <c r="F100" s="50" cm="1" t="str">
        <f t="array" ref="F100:F100">OFFSET(E100,-1,1)</f>
        <v>0</v>
      </c>
      <c r="G100" s="1328"/>
      <c r="H100" s="94" t="s">
        <v>700</v>
      </c>
      <c r="I100" s="1328"/>
      <c r="J100" s="1328"/>
      <c r="K100" s="1328"/>
      <c r="L100" s="1328"/>
      <c r="M100" s="1328"/>
      <c r="N100" s="1328"/>
      <c r="O100" s="1328"/>
      <c r="P100" s="1308"/>
      <c r="Q100" s="1308"/>
      <c r="R100" s="1308"/>
      <c r="S100" s="1308"/>
      <c r="T100" s="468" cm="1" t="str">
        <f t="array" ref="T100:T100">T99</f>
        <v>false</v>
      </c>
      <c r="U100" s="1308"/>
      <c r="V100" s="1328"/>
      <c r="W100" s="1308"/>
      <c r="X100" s="1539"/>
      <c r="Y100" s="1528"/>
      <c r="Z100" s="1328"/>
      <c r="AA100" s="1328"/>
      <c r="AB100" s="236" t="s">
        <v>460</v>
      </c>
      <c r="AC100" s="133" t="s">
        <v>856</v>
      </c>
      <c r="AD100" s="89" t="s">
        <v>657</v>
      </c>
      <c r="AE100" s="1927"/>
      <c r="AF100" s="1927"/>
      <c r="AG100" s="1927"/>
      <c r="AH100" s="1927"/>
      <c r="AI100" s="1927"/>
      <c r="AJ100" s="1927"/>
      <c r="AK100" s="1927"/>
      <c r="AL100" s="1927"/>
      <c r="AM100" s="1927"/>
      <c r="AN100" s="1927"/>
      <c r="AO100" s="1927"/>
      <c r="AP100" s="1927"/>
      <c r="AQ100" s="1927"/>
      <c r="AR100" s="1927"/>
      <c r="AS100" s="1927"/>
      <c r="AT100" s="1927"/>
      <c r="AU100" s="1927"/>
      <c r="AV100" s="1927"/>
      <c r="AW100" s="1927"/>
      <c r="AX100" s="1927"/>
      <c r="AY100" s="1927"/>
      <c r="AZ100" s="1927"/>
      <c r="BA100" s="1927"/>
      <c r="BB100" s="1927"/>
      <c r="BC100" s="1928"/>
      <c r="BD100" s="1328"/>
      <c r="BE100" s="1328"/>
      <c r="BF100" s="1023" t="s">
        <v>857</v>
      </c>
    </row>
    <row customHeight="1" ht="14.625" hidden="1">
      <c r="A101" s="1328"/>
      <c r="B101" s="1186"/>
      <c r="C101" s="1328"/>
      <c r="D101" s="1328"/>
      <c r="E101" s="637">
        <v>15</v>
      </c>
      <c r="F101" s="50" cm="1" t="str">
        <f t="array" ref="F101:F101">OFFSET(E101,-1,1)</f>
        <v>0</v>
      </c>
      <c r="G101" s="1328"/>
      <c r="H101" s="94" t="s">
        <v>707</v>
      </c>
      <c r="I101" s="1328"/>
      <c r="J101" s="1328"/>
      <c r="K101" s="1328"/>
      <c r="L101" s="1328"/>
      <c r="M101" s="1328"/>
      <c r="N101" s="1328"/>
      <c r="O101" s="1328"/>
      <c r="P101" s="1308"/>
      <c r="Q101" s="1308"/>
      <c r="R101" s="1308"/>
      <c r="S101" s="1308"/>
      <c r="T101" s="468" cm="1" t="str">
        <f t="array" ref="T101:T101">T100</f>
        <v>false</v>
      </c>
      <c r="U101" s="1308"/>
      <c r="V101" s="1328"/>
      <c r="W101" s="1308"/>
      <c r="X101" s="1539"/>
      <c r="Y101" s="1528"/>
      <c r="Z101" s="1328"/>
      <c r="AA101" s="1328"/>
      <c r="AB101" s="236" t="s">
        <v>463</v>
      </c>
      <c r="AC101" s="134" t="s">
        <v>858</v>
      </c>
      <c r="AD101" s="89" t="s">
        <v>657</v>
      </c>
      <c r="AE101" s="342">
        <f>AE102+AE103</f>
        <v>0</v>
      </c>
      <c r="AF101" s="342">
        <f>AF102+AF103</f>
        <v>0</v>
      </c>
      <c r="AG101" s="342">
        <f>AG102+AG103</f>
        <v>0</v>
      </c>
      <c r="AH101" s="342">
        <f>AH102+AH103</f>
        <v>0</v>
      </c>
      <c r="AI101" s="342">
        <f>AI102+AI103</f>
        <v>0</v>
      </c>
      <c r="AJ101" s="342">
        <f>AJ102+AJ103</f>
        <v>0</v>
      </c>
      <c r="AK101" s="342">
        <f>AK102+AK103</f>
        <v>0</v>
      </c>
      <c r="AL101" s="342">
        <f>AL102+AL103</f>
        <v>0</v>
      </c>
      <c r="AM101" s="342">
        <f>AM102+AM103</f>
        <v>0</v>
      </c>
      <c r="AN101" s="342">
        <f>AN102+AN103</f>
        <v>0</v>
      </c>
      <c r="AO101" s="342">
        <f>AO102+AO103</f>
        <v>0</v>
      </c>
      <c r="AP101" s="342">
        <f>AP102+AP103</f>
        <v>0</v>
      </c>
      <c r="AQ101" s="342">
        <f>AQ102+AQ103</f>
        <v>0</v>
      </c>
      <c r="AR101" s="342">
        <f>AR102+AR103</f>
        <v>0</v>
      </c>
      <c r="AS101" s="342">
        <f>AS102+AS103</f>
        <v>0</v>
      </c>
      <c r="AT101" s="342">
        <f>AT102+AT103</f>
        <v>0</v>
      </c>
      <c r="AU101" s="342">
        <f>AU102+AU103</f>
        <v>0</v>
      </c>
      <c r="AV101" s="342">
        <f>AV102+AV103</f>
        <v>0</v>
      </c>
      <c r="AW101" s="342">
        <f>AW102+AW103</f>
        <v>0</v>
      </c>
      <c r="AX101" s="342">
        <f>AX102+AX103</f>
        <v>0</v>
      </c>
      <c r="AY101" s="342">
        <f>AY102+AY103</f>
        <v>0</v>
      </c>
      <c r="AZ101" s="342">
        <f>AZ102+AZ103</f>
        <v>0</v>
      </c>
      <c r="BA101" s="342">
        <f>BA102+BA103</f>
        <v>0</v>
      </c>
      <c r="BB101" s="342">
        <f>BB102+BB103</f>
        <v>0</v>
      </c>
      <c r="BC101" s="1928"/>
      <c r="BD101" s="1328"/>
      <c r="BE101" s="1328"/>
      <c r="BF101" s="1023" t="s">
        <v>859</v>
      </c>
    </row>
    <row customHeight="1" ht="14.625" hidden="1">
      <c r="A102" s="1328"/>
      <c r="B102" s="1186"/>
      <c r="C102" s="1328"/>
      <c r="D102" s="1328"/>
      <c r="E102" s="637">
        <v>15</v>
      </c>
      <c r="F102" s="50" cm="1" t="str">
        <f t="array" ref="F102:F102">OFFSET(E102,-1,1)</f>
        <v>0</v>
      </c>
      <c r="G102" s="1328"/>
      <c r="H102" s="94" t="s">
        <v>710</v>
      </c>
      <c r="I102" s="1328"/>
      <c r="J102" s="1328"/>
      <c r="K102" s="1328"/>
      <c r="L102" s="1328"/>
      <c r="M102" s="1328"/>
      <c r="N102" s="1328"/>
      <c r="O102" s="1328"/>
      <c r="P102" s="1308"/>
      <c r="Q102" s="1308"/>
      <c r="R102" s="1308"/>
      <c r="S102" s="1308"/>
      <c r="T102" s="468" cm="1" t="str">
        <f t="array" ref="T102:T102">T101</f>
        <v>false</v>
      </c>
      <c r="U102" s="1308"/>
      <c r="V102" s="1328"/>
      <c r="W102" s="1308"/>
      <c r="X102" s="1539"/>
      <c r="Y102" s="1528"/>
      <c r="Z102" s="1328"/>
      <c r="AA102" s="1328"/>
      <c r="AB102" s="236" t="s">
        <v>711</v>
      </c>
      <c r="AC102" s="188" t="s">
        <v>860</v>
      </c>
      <c r="AD102" s="89" t="s">
        <v>657</v>
      </c>
      <c r="AE102" s="1927"/>
      <c r="AF102" s="1927"/>
      <c r="AG102" s="1927"/>
      <c r="AH102" s="1927"/>
      <c r="AI102" s="1927"/>
      <c r="AJ102" s="1927"/>
      <c r="AK102" s="1927"/>
      <c r="AL102" s="1927"/>
      <c r="AM102" s="1927"/>
      <c r="AN102" s="1927"/>
      <c r="AO102" s="1927"/>
      <c r="AP102" s="1927"/>
      <c r="AQ102" s="1927"/>
      <c r="AR102" s="1927"/>
      <c r="AS102" s="1927"/>
      <c r="AT102" s="1927"/>
      <c r="AU102" s="1927"/>
      <c r="AV102" s="1927"/>
      <c r="AW102" s="1927"/>
      <c r="AX102" s="1927"/>
      <c r="AY102" s="1927"/>
      <c r="AZ102" s="1927"/>
      <c r="BA102" s="1927"/>
      <c r="BB102" s="1927"/>
      <c r="BC102" s="1928"/>
      <c r="BD102" s="1328"/>
      <c r="BE102" s="1328"/>
      <c r="BF102" s="1023" t="s">
        <v>861</v>
      </c>
    </row>
    <row customHeight="1" ht="14.625" hidden="1">
      <c r="A103" s="1328"/>
      <c r="B103" s="1186"/>
      <c r="C103" s="1328"/>
      <c r="D103" s="1328"/>
      <c r="E103" s="637">
        <v>15</v>
      </c>
      <c r="F103" s="50" cm="1" t="str">
        <f t="array" ref="F103:F103">OFFSET(E103,-1,1)</f>
        <v>0</v>
      </c>
      <c r="G103" s="1328"/>
      <c r="H103" s="94" t="s">
        <v>727</v>
      </c>
      <c r="I103" s="1328"/>
      <c r="J103" s="1328"/>
      <c r="K103" s="1328"/>
      <c r="L103" s="1328"/>
      <c r="M103" s="1328"/>
      <c r="N103" s="1328"/>
      <c r="O103" s="1328"/>
      <c r="P103" s="1308"/>
      <c r="Q103" s="1308"/>
      <c r="R103" s="1308"/>
      <c r="S103" s="1308"/>
      <c r="T103" s="468" cm="1" t="str">
        <f t="array" ref="T103:T103">T102</f>
        <v>false</v>
      </c>
      <c r="U103" s="1308"/>
      <c r="V103" s="1328"/>
      <c r="W103" s="1308"/>
      <c r="X103" s="1539"/>
      <c r="Y103" s="1528"/>
      <c r="Z103" s="1328"/>
      <c r="AA103" s="1328"/>
      <c r="AB103" s="236" t="s">
        <v>728</v>
      </c>
      <c r="AC103" s="188" t="s">
        <v>862</v>
      </c>
      <c r="AD103" s="89" t="s">
        <v>657</v>
      </c>
      <c r="AE103" s="1927"/>
      <c r="AF103" s="1927"/>
      <c r="AG103" s="1927"/>
      <c r="AH103" s="1927"/>
      <c r="AI103" s="1927"/>
      <c r="AJ103" s="1927"/>
      <c r="AK103" s="1927"/>
      <c r="AL103" s="1927"/>
      <c r="AM103" s="1927"/>
      <c r="AN103" s="1927"/>
      <c r="AO103" s="1927"/>
      <c r="AP103" s="1927"/>
      <c r="AQ103" s="1927"/>
      <c r="AR103" s="1927"/>
      <c r="AS103" s="1927"/>
      <c r="AT103" s="1927"/>
      <c r="AU103" s="1927"/>
      <c r="AV103" s="1927"/>
      <c r="AW103" s="1927"/>
      <c r="AX103" s="1927"/>
      <c r="AY103" s="1927"/>
      <c r="AZ103" s="1927"/>
      <c r="BA103" s="1927"/>
      <c r="BB103" s="1927"/>
      <c r="BC103" s="1928"/>
      <c r="BD103" s="1328"/>
      <c r="BE103" s="1328"/>
      <c r="BF103" s="1023" t="s">
        <v>863</v>
      </c>
    </row>
    <row customHeight="1" ht="21.9375" hidden="1">
      <c r="A104" s="1328"/>
      <c r="B104" s="1186"/>
      <c r="C104" s="1328"/>
      <c r="D104" s="1328"/>
      <c r="E104" s="637">
        <v>22.5</v>
      </c>
      <c r="F104" s="50" cm="1" t="str">
        <f t="array" ref="F104:F104">OFFSET(E104,-1,1)</f>
        <v>0</v>
      </c>
      <c r="G104" s="1328"/>
      <c r="H104" s="94" t="s">
        <v>864</v>
      </c>
      <c r="I104" s="1328"/>
      <c r="J104" s="1328"/>
      <c r="K104" s="1328"/>
      <c r="L104" s="1328"/>
      <c r="M104" s="1328"/>
      <c r="N104" s="1328"/>
      <c r="O104" s="1328"/>
      <c r="P104" s="1308"/>
      <c r="Q104" s="1308"/>
      <c r="R104" s="1308"/>
      <c r="S104" s="1308"/>
      <c r="T104" s="468" cm="1" t="str">
        <f t="array" ref="T104:T104">T103</f>
        <v>false</v>
      </c>
      <c r="U104" s="1308"/>
      <c r="V104" s="1328"/>
      <c r="W104" s="1308"/>
      <c r="X104" s="1539"/>
      <c r="Y104" s="1528"/>
      <c r="Z104" s="1328"/>
      <c r="AA104" s="1328"/>
      <c r="AB104" s="236" t="s">
        <v>466</v>
      </c>
      <c r="AC104" s="336" t="s">
        <v>776</v>
      </c>
      <c r="AD104" s="89" t="s">
        <v>657</v>
      </c>
      <c r="AE104" s="1927"/>
      <c r="AF104" s="1927"/>
      <c r="AG104" s="1927"/>
      <c r="AH104" s="1927"/>
      <c r="AI104" s="1927"/>
      <c r="AJ104" s="1927"/>
      <c r="AK104" s="1927"/>
      <c r="AL104" s="1927"/>
      <c r="AM104" s="1927"/>
      <c r="AN104" s="1927"/>
      <c r="AO104" s="1927"/>
      <c r="AP104" s="1927"/>
      <c r="AQ104" s="1927"/>
      <c r="AR104" s="1927"/>
      <c r="AS104" s="1927"/>
      <c r="AT104" s="1927"/>
      <c r="AU104" s="1927"/>
      <c r="AV104" s="1927"/>
      <c r="AW104" s="1927"/>
      <c r="AX104" s="1927"/>
      <c r="AY104" s="1927"/>
      <c r="AZ104" s="1927"/>
      <c r="BA104" s="1927"/>
      <c r="BB104" s="1927"/>
      <c r="BC104" s="1928"/>
      <c r="BD104" s="1328"/>
      <c r="BE104" s="1328"/>
      <c r="BF104" s="1023" t="s">
        <v>865</v>
      </c>
    </row>
    <row customHeight="1" ht="14.625" hidden="1">
      <c r="A105" s="1328"/>
      <c r="B105" s="1186"/>
      <c r="C105" s="1328"/>
      <c r="D105" s="1328"/>
      <c r="E105" s="637">
        <v>15</v>
      </c>
      <c r="F105" s="50" cm="1" t="str">
        <f t="array" ref="F105:F105">OFFSET(E105,-1,1)</f>
        <v>0</v>
      </c>
      <c r="G105" s="1328"/>
      <c r="H105" s="94" t="s">
        <v>866</v>
      </c>
      <c r="I105" s="1328"/>
      <c r="J105" s="1328"/>
      <c r="K105" s="1328"/>
      <c r="L105" s="1328"/>
      <c r="M105" s="1328"/>
      <c r="N105" s="1328"/>
      <c r="O105" s="1328"/>
      <c r="P105" s="1308"/>
      <c r="Q105" s="1308"/>
      <c r="R105" s="1308"/>
      <c r="S105" s="1308"/>
      <c r="T105" s="468" cm="1" t="str">
        <f t="array" ref="T105:T105">T104</f>
        <v>false</v>
      </c>
      <c r="U105" s="1308"/>
      <c r="V105" s="1328"/>
      <c r="W105" s="1308"/>
      <c r="X105" s="1539"/>
      <c r="Y105" s="1528"/>
      <c r="Z105" s="1328"/>
      <c r="AA105" s="1328"/>
      <c r="AB105" s="236" t="s">
        <v>469</v>
      </c>
      <c r="AC105" s="133" t="s">
        <v>867</v>
      </c>
      <c r="AD105" s="89" t="s">
        <v>657</v>
      </c>
      <c r="AE105" s="1927"/>
      <c r="AF105" s="1927"/>
      <c r="AG105" s="1927"/>
      <c r="AH105" s="1927"/>
      <c r="AI105" s="1927"/>
      <c r="AJ105" s="1927"/>
      <c r="AK105" s="1927"/>
      <c r="AL105" s="1927"/>
      <c r="AM105" s="1927"/>
      <c r="AN105" s="1927"/>
      <c r="AO105" s="1927"/>
      <c r="AP105" s="1927"/>
      <c r="AQ105" s="1927"/>
      <c r="AR105" s="1927"/>
      <c r="AS105" s="1927"/>
      <c r="AT105" s="1927"/>
      <c r="AU105" s="1927"/>
      <c r="AV105" s="1927"/>
      <c r="AW105" s="1927"/>
      <c r="AX105" s="1927"/>
      <c r="AY105" s="1927"/>
      <c r="AZ105" s="1927"/>
      <c r="BA105" s="1927"/>
      <c r="BB105" s="1927"/>
      <c r="BC105" s="1928"/>
      <c r="BD105" s="1328"/>
      <c r="BE105" s="1328"/>
      <c r="BF105" s="1023" t="s">
        <v>868</v>
      </c>
    </row>
    <row s="1656" customFormat="1" customHeight="1" ht="11.25" hidden="1">
      <c r="A106" s="472"/>
      <c r="B106" s="664"/>
      <c r="C106" s="472"/>
      <c r="D106" s="472"/>
      <c r="E106" s="666" t="s">
        <v>384</v>
      </c>
      <c r="F106" s="1194" cm="1" t="str">
        <f t="array" ref="F106:F106">OFFSET(E106,-1,1)</f>
        <v>0</v>
      </c>
      <c r="G106" s="472"/>
      <c r="H106" s="472"/>
      <c r="I106" s="472"/>
      <c r="J106" s="472"/>
      <c r="K106" s="94"/>
      <c r="L106" s="472"/>
      <c r="M106" s="472"/>
      <c r="N106" s="472"/>
      <c r="O106" s="472"/>
      <c r="P106" s="472"/>
      <c r="Q106" s="472"/>
      <c r="R106" s="417"/>
      <c r="S106" s="417"/>
      <c r="T106" s="468" t="b">
        <v>0</v>
      </c>
      <c r="U106" s="472"/>
      <c r="V106" s="472"/>
      <c r="W106" s="472"/>
      <c r="X106" s="1539"/>
      <c r="Y106" s="1528"/>
      <c r="Z106" s="472"/>
      <c r="AA106" s="472"/>
      <c r="AB106" s="1656"/>
      <c r="AC106" s="96"/>
      <c r="AD106" s="96"/>
      <c r="AE106" s="340"/>
      <c r="AF106" s="340"/>
      <c r="AG106" s="340"/>
      <c r="AH106" s="340"/>
      <c r="AI106" s="340"/>
      <c r="AJ106" s="341"/>
      <c r="AK106" s="340"/>
      <c r="AL106" s="340"/>
      <c r="AM106" s="340"/>
      <c r="AN106" s="340"/>
      <c r="AO106" s="340"/>
      <c r="AP106" s="340"/>
      <c r="AQ106" s="340"/>
      <c r="AR106" s="340"/>
      <c r="AS106" s="340"/>
      <c r="AT106" s="340"/>
      <c r="AU106" s="340"/>
      <c r="AV106" s="340"/>
      <c r="AW106" s="340"/>
      <c r="AX106" s="340"/>
      <c r="AY106" s="340"/>
      <c r="AZ106" s="340"/>
      <c r="BA106" s="340"/>
      <c r="BB106" s="340"/>
      <c r="BC106" s="1656"/>
      <c r="BD106" s="1656"/>
      <c r="BE106" s="1656"/>
      <c r="BF106" s="1027"/>
    </row>
    <row customHeight="1" ht="14.625" hidden="1">
      <c r="A107" s="1328"/>
      <c r="B107" s="1186"/>
      <c r="C107" s="1328"/>
      <c r="D107" s="1328"/>
      <c r="E107" s="637">
        <v>15</v>
      </c>
      <c r="F107" s="50" cm="1" t="str">
        <f t="array" ref="F107:F107">OFFSET(E107,-1,1)</f>
        <v>0</v>
      </c>
      <c r="G107" s="1328"/>
      <c r="H107" s="1328"/>
      <c r="I107" s="1328"/>
      <c r="J107" s="1328"/>
      <c r="K107" s="1328"/>
      <c r="L107" s="1328"/>
      <c r="M107" s="1328"/>
      <c r="N107" s="1328"/>
      <c r="O107" s="1328"/>
      <c r="P107" s="1308"/>
      <c r="Q107" s="1308"/>
      <c r="R107" s="417" cm="1" t="str">
        <f t="array" ref="R107:R107">INDEX('Общие сведения'!$AN$197:$AN$254,MATCH($X27,'Общие сведения'!$Z$197:$Z$254,0))</f>
        <v>false</v>
      </c>
      <c r="S107" s="485">
        <f>IF(ISERROR(SEARCH("Водоотведение",AB27)),FALSE,TRUE)</f>
        <v>0</v>
      </c>
      <c r="T107" s="468">
        <f>AND(X27&gt;0,S107,R107)</f>
        <v>0</v>
      </c>
      <c r="U107" s="1308"/>
      <c r="V107" s="1328"/>
      <c r="W107" s="1308"/>
      <c r="X107" s="1539"/>
      <c r="Y107" s="1528"/>
      <c r="Z107" s="1328"/>
      <c r="AA107" s="1328"/>
      <c r="AB107" s="236" t="s">
        <v>290</v>
      </c>
      <c r="AC107" s="83" t="s">
        <v>808</v>
      </c>
      <c r="AD107" s="193"/>
      <c r="AE107" s="574" cm="1" t="str">
        <f t="array" ref="AE107:AE107">INDEX('Общие сведения'!$AH$197:$AH$254,MATCH($X27,'Общие сведения'!$Z$197:$Z$254,0))</f>
        <v>0</v>
      </c>
      <c r="AF107" s="358"/>
      <c r="AG107" s="358"/>
      <c r="AH107" s="358"/>
      <c r="AI107" s="358"/>
      <c r="AJ107" s="358"/>
      <c r="AK107" s="358"/>
      <c r="AL107" s="358"/>
      <c r="AM107" s="358"/>
      <c r="AN107" s="358"/>
      <c r="AO107" s="358"/>
      <c r="AP107" s="358"/>
      <c r="AQ107" s="358"/>
      <c r="AR107" s="358"/>
      <c r="AS107" s="358"/>
      <c r="AT107" s="358"/>
      <c r="AU107" s="358"/>
      <c r="AV107" s="358"/>
      <c r="AW107" s="358"/>
      <c r="AX107" s="358"/>
      <c r="AY107" s="358"/>
      <c r="AZ107" s="358"/>
      <c r="BA107" s="358"/>
      <c r="BB107" s="359"/>
      <c r="BC107" s="1928"/>
      <c r="BD107" s="1328"/>
      <c r="BE107" s="1328"/>
      <c r="BF107" s="1023" t="s">
        <v>869</v>
      </c>
    </row>
    <row customHeight="1" ht="14.625" hidden="1">
      <c r="A108" s="1328"/>
      <c r="B108" s="1186"/>
      <c r="C108" s="1328"/>
      <c r="D108" s="1328"/>
      <c r="E108" s="637">
        <v>15</v>
      </c>
      <c r="F108" s="50" cm="1" t="str">
        <f t="array" ref="F108:F108">OFFSET(E108,-1,1)</f>
        <v>0</v>
      </c>
      <c r="G108" s="1328"/>
      <c r="H108" s="94" t="s">
        <v>348</v>
      </c>
      <c r="I108" s="1328"/>
      <c r="J108" s="1328"/>
      <c r="K108" s="1328"/>
      <c r="L108" s="1328"/>
      <c r="M108" s="1328"/>
      <c r="N108" s="1328"/>
      <c r="O108" s="1328"/>
      <c r="P108" s="1308"/>
      <c r="Q108" s="1308"/>
      <c r="R108" s="1308"/>
      <c r="S108" s="1308"/>
      <c r="T108" s="468" cm="1" t="str">
        <f t="array" ref="T108:T108">T107</f>
        <v>false</v>
      </c>
      <c r="U108" s="1308"/>
      <c r="V108" s="1328"/>
      <c r="W108" s="1308"/>
      <c r="X108" s="1539"/>
      <c r="Y108" s="1528"/>
      <c r="Z108" s="1328"/>
      <c r="AA108" s="1328"/>
      <c r="AB108" s="236" t="s">
        <v>299</v>
      </c>
      <c r="AC108" s="337" t="s">
        <v>870</v>
      </c>
      <c r="AD108" s="89" t="s">
        <v>657</v>
      </c>
      <c r="AE108" s="342">
        <f>AE109+AE111+AE110</f>
        <v>0</v>
      </c>
      <c r="AF108" s="342">
        <f>AF109+AF111+AF110</f>
        <v>0</v>
      </c>
      <c r="AG108" s="342">
        <f>AG109+AG111+AG110</f>
        <v>0</v>
      </c>
      <c r="AH108" s="342">
        <f>AH109+AH111+AH110</f>
        <v>0</v>
      </c>
      <c r="AI108" s="342">
        <f>AI109+AI111+AI110</f>
        <v>0</v>
      </c>
      <c r="AJ108" s="342">
        <f>AJ109+AJ111+AJ110</f>
        <v>0</v>
      </c>
      <c r="AK108" s="342">
        <f>AK109+AK111+AK110</f>
        <v>0</v>
      </c>
      <c r="AL108" s="342">
        <f>AL109+AL111+AL110</f>
        <v>0</v>
      </c>
      <c r="AM108" s="342">
        <f>AM109+AM111+AM110</f>
        <v>0</v>
      </c>
      <c r="AN108" s="342">
        <f>AN109+AN111+AN110</f>
        <v>0</v>
      </c>
      <c r="AO108" s="342">
        <f>AO109+AO111+AO110</f>
        <v>0</v>
      </c>
      <c r="AP108" s="342">
        <f>AP109+AP111+AP110</f>
        <v>0</v>
      </c>
      <c r="AQ108" s="342">
        <f>AQ109+AQ111+AQ110</f>
        <v>0</v>
      </c>
      <c r="AR108" s="342">
        <f>AR109+AR111+AR110</f>
        <v>0</v>
      </c>
      <c r="AS108" s="342">
        <f>AS109+AS111+AS110</f>
        <v>0</v>
      </c>
      <c r="AT108" s="342">
        <f>AT109+AT111+AT110</f>
        <v>0</v>
      </c>
      <c r="AU108" s="342">
        <f>AU109+AU111+AU110</f>
        <v>0</v>
      </c>
      <c r="AV108" s="342">
        <f>AV109+AV111+AV110</f>
        <v>0</v>
      </c>
      <c r="AW108" s="342">
        <f>AW109+AW111+AW110</f>
        <v>0</v>
      </c>
      <c r="AX108" s="342">
        <f>AX109+AX111+AX110</f>
        <v>0</v>
      </c>
      <c r="AY108" s="342">
        <f>AY109+AY111+AY110</f>
        <v>0</v>
      </c>
      <c r="AZ108" s="342">
        <f>AZ109+AZ111+AZ110</f>
        <v>0</v>
      </c>
      <c r="BA108" s="342">
        <f>BA109+BA111+BA110</f>
        <v>0</v>
      </c>
      <c r="BB108" s="342">
        <f>BB109+BB111+BB110</f>
        <v>0</v>
      </c>
      <c r="BC108" s="1928"/>
      <c r="BD108" s="1328"/>
      <c r="BE108" s="1328"/>
      <c r="BF108" s="1023" t="s">
        <v>871</v>
      </c>
    </row>
    <row customHeight="1" ht="14.625" hidden="1">
      <c r="A109" s="1328"/>
      <c r="B109" s="1186"/>
      <c r="C109" s="1328"/>
      <c r="D109" s="1328"/>
      <c r="E109" s="637">
        <v>15</v>
      </c>
      <c r="F109" s="50" cm="1" t="str">
        <f t="array" ref="F109:F109">OFFSET(E109,-1,1)</f>
        <v>0</v>
      </c>
      <c r="G109" s="1328"/>
      <c r="H109" s="94" t="s">
        <v>659</v>
      </c>
      <c r="I109" s="1328"/>
      <c r="J109" s="1328"/>
      <c r="K109" s="1328"/>
      <c r="L109" s="1328"/>
      <c r="M109" s="1328"/>
      <c r="N109" s="1328"/>
      <c r="O109" s="1328"/>
      <c r="P109" s="1308"/>
      <c r="Q109" s="1308"/>
      <c r="R109" s="1308"/>
      <c r="S109" s="1308"/>
      <c r="T109" s="468" cm="1" t="str">
        <f t="array" ref="T109:T109">T108</f>
        <v>false</v>
      </c>
      <c r="U109" s="1308"/>
      <c r="V109" s="1328"/>
      <c r="W109" s="1308"/>
      <c r="X109" s="1539"/>
      <c r="Y109" s="1528"/>
      <c r="Z109" s="1328"/>
      <c r="AA109" s="1328"/>
      <c r="AB109" s="236" t="s">
        <v>660</v>
      </c>
      <c r="AC109" s="210" t="s">
        <v>872</v>
      </c>
      <c r="AD109" s="89" t="s">
        <v>657</v>
      </c>
      <c r="AE109" s="1971"/>
      <c r="AF109" s="1971"/>
      <c r="AG109" s="1971"/>
      <c r="AH109" s="1971"/>
      <c r="AI109" s="1971"/>
      <c r="AJ109" s="1971"/>
      <c r="AK109" s="1971"/>
      <c r="AL109" s="1971"/>
      <c r="AM109" s="1971"/>
      <c r="AN109" s="1971"/>
      <c r="AO109" s="1971"/>
      <c r="AP109" s="1971"/>
      <c r="AQ109" s="1971"/>
      <c r="AR109" s="1971"/>
      <c r="AS109" s="1971"/>
      <c r="AT109" s="1971"/>
      <c r="AU109" s="1971"/>
      <c r="AV109" s="1971"/>
      <c r="AW109" s="1971"/>
      <c r="AX109" s="1971"/>
      <c r="AY109" s="1971"/>
      <c r="AZ109" s="1971"/>
      <c r="BA109" s="1971"/>
      <c r="BB109" s="1971"/>
      <c r="BC109" s="1928"/>
      <c r="BD109" s="1328"/>
      <c r="BE109" s="1328"/>
      <c r="BF109" s="1023" t="s">
        <v>873</v>
      </c>
    </row>
    <row customHeight="1" ht="14.625" hidden="1">
      <c r="A110" s="1328"/>
      <c r="B110" s="1186"/>
      <c r="C110" s="1328"/>
      <c r="D110" s="1328"/>
      <c r="E110" s="637">
        <v>15</v>
      </c>
      <c r="F110" s="50" cm="1" t="str">
        <f t="array" ref="F110:F110">OFFSET(E110,-1,1)</f>
        <v>0</v>
      </c>
      <c r="G110" s="1328"/>
      <c r="H110" s="94" t="s">
        <v>663</v>
      </c>
      <c r="I110" s="1328"/>
      <c r="J110" s="1328"/>
      <c r="K110" s="1328"/>
      <c r="L110" s="1328"/>
      <c r="M110" s="1328"/>
      <c r="N110" s="1328"/>
      <c r="O110" s="1328"/>
      <c r="P110" s="1308"/>
      <c r="Q110" s="1308"/>
      <c r="R110" s="1308"/>
      <c r="S110" s="1308"/>
      <c r="T110" s="468" cm="1" t="str">
        <f t="array" ref="T110:T110">T109</f>
        <v>false</v>
      </c>
      <c r="U110" s="1308"/>
      <c r="V110" s="1328"/>
      <c r="W110" s="1308"/>
      <c r="X110" s="1539"/>
      <c r="Y110" s="1528"/>
      <c r="Z110" s="1328"/>
      <c r="AA110" s="1328"/>
      <c r="AB110" s="236" t="s">
        <v>664</v>
      </c>
      <c r="AC110" s="210" t="s">
        <v>874</v>
      </c>
      <c r="AD110" s="89" t="s">
        <v>657</v>
      </c>
      <c r="AE110" s="1971"/>
      <c r="AF110" s="1971"/>
      <c r="AG110" s="1971"/>
      <c r="AH110" s="1971"/>
      <c r="AI110" s="1971"/>
      <c r="AJ110" s="1971"/>
      <c r="AK110" s="1971"/>
      <c r="AL110" s="1971"/>
      <c r="AM110" s="1971"/>
      <c r="AN110" s="1971"/>
      <c r="AO110" s="1971"/>
      <c r="AP110" s="1971"/>
      <c r="AQ110" s="1971"/>
      <c r="AR110" s="1971"/>
      <c r="AS110" s="1971"/>
      <c r="AT110" s="1971"/>
      <c r="AU110" s="1971"/>
      <c r="AV110" s="1971"/>
      <c r="AW110" s="1971"/>
      <c r="AX110" s="1971"/>
      <c r="AY110" s="1971"/>
      <c r="AZ110" s="1971"/>
      <c r="BA110" s="1971"/>
      <c r="BB110" s="1971"/>
      <c r="BC110" s="1928"/>
      <c r="BD110" s="1328"/>
      <c r="BE110" s="1328"/>
      <c r="BF110" s="1023" t="s">
        <v>875</v>
      </c>
    </row>
    <row customHeight="1" ht="21.9375" hidden="1">
      <c r="A111" s="1328"/>
      <c r="B111" s="1186"/>
      <c r="C111" s="1328"/>
      <c r="D111" s="1328"/>
      <c r="E111" s="637">
        <v>22.5</v>
      </c>
      <c r="F111" s="50" cm="1" t="str">
        <f t="array" ref="F111:F111">OFFSET(E111,-1,1)</f>
        <v>0</v>
      </c>
      <c r="G111" s="1328"/>
      <c r="H111" s="94" t="s">
        <v>667</v>
      </c>
      <c r="I111" s="1328"/>
      <c r="J111" s="1328"/>
      <c r="K111" s="1328"/>
      <c r="L111" s="1328"/>
      <c r="M111" s="1328"/>
      <c r="N111" s="1328"/>
      <c r="O111" s="1328"/>
      <c r="P111" s="1308"/>
      <c r="Q111" s="1308"/>
      <c r="R111" s="1308"/>
      <c r="S111" s="1308"/>
      <c r="T111" s="468" cm="1" t="str">
        <f t="array" ref="T111:T111">T110</f>
        <v>false</v>
      </c>
      <c r="U111" s="1308"/>
      <c r="V111" s="1328"/>
      <c r="W111" s="1308"/>
      <c r="X111" s="1539"/>
      <c r="Y111" s="1528"/>
      <c r="Z111" s="1328"/>
      <c r="AA111" s="1328"/>
      <c r="AB111" s="236" t="s">
        <v>668</v>
      </c>
      <c r="AC111" s="210" t="s">
        <v>776</v>
      </c>
      <c r="AD111" s="89" t="s">
        <v>657</v>
      </c>
      <c r="AE111" s="1971"/>
      <c r="AF111" s="1971"/>
      <c r="AG111" s="1971"/>
      <c r="AH111" s="1971"/>
      <c r="AI111" s="1971"/>
      <c r="AJ111" s="1971"/>
      <c r="AK111" s="1971"/>
      <c r="AL111" s="1971"/>
      <c r="AM111" s="1971"/>
      <c r="AN111" s="1971"/>
      <c r="AO111" s="1971"/>
      <c r="AP111" s="1971"/>
      <c r="AQ111" s="1971"/>
      <c r="AR111" s="1971"/>
      <c r="AS111" s="1971"/>
      <c r="AT111" s="1971"/>
      <c r="AU111" s="1971"/>
      <c r="AV111" s="1971"/>
      <c r="AW111" s="1971"/>
      <c r="AX111" s="1971"/>
      <c r="AY111" s="1971"/>
      <c r="AZ111" s="1971"/>
      <c r="BA111" s="1971"/>
      <c r="BB111" s="1971"/>
      <c r="BC111" s="1928"/>
      <c r="BD111" s="1328"/>
      <c r="BE111" s="1328"/>
      <c r="BF111" s="1023" t="s">
        <v>876</v>
      </c>
    </row>
    <row customHeight="1" ht="21.9375" hidden="1">
      <c r="A112" s="1328"/>
      <c r="B112" s="1186"/>
      <c r="C112" s="1328"/>
      <c r="D112" s="1328"/>
      <c r="E112" s="637">
        <v>22.5</v>
      </c>
      <c r="F112" s="50" cm="1" t="str">
        <f t="array" ref="F112:F112">OFFSET(E112,-1,1)</f>
        <v>0</v>
      </c>
      <c r="G112" s="94" t="s">
        <v>726</v>
      </c>
      <c r="H112" s="94" t="s">
        <v>347</v>
      </c>
      <c r="I112" s="1328"/>
      <c r="J112" s="1328"/>
      <c r="K112" s="1328"/>
      <c r="L112" s="1328"/>
      <c r="M112" s="1328"/>
      <c r="N112" s="1328"/>
      <c r="O112" s="1328"/>
      <c r="P112" s="1308"/>
      <c r="Q112" s="1308"/>
      <c r="R112" s="1308"/>
      <c r="S112" s="1308"/>
      <c r="T112" s="468" cm="1" t="str">
        <f t="array" ref="T112:T112">T111</f>
        <v>false</v>
      </c>
      <c r="U112" s="1308"/>
      <c r="V112" s="1328"/>
      <c r="W112" s="1308"/>
      <c r="X112" s="1539"/>
      <c r="Y112" s="1528"/>
      <c r="Z112" s="1328"/>
      <c r="AA112" s="1328"/>
      <c r="AB112" s="236" t="s">
        <v>234</v>
      </c>
      <c r="AC112" s="337" t="s">
        <v>877</v>
      </c>
      <c r="AD112" s="89" t="s">
        <v>657</v>
      </c>
      <c r="AE112" s="342">
        <f>AE113+AE114+AE117</f>
        <v>0</v>
      </c>
      <c r="AF112" s="342">
        <f>AF113+AF114+AF117</f>
        <v>0</v>
      </c>
      <c r="AG112" s="342">
        <f>AG113+AG114+AG117</f>
        <v>0</v>
      </c>
      <c r="AH112" s="342">
        <f>AH113+AH114+AH117</f>
        <v>0</v>
      </c>
      <c r="AI112" s="342">
        <f>AI113+AI114+AI117</f>
        <v>0</v>
      </c>
      <c r="AJ112" s="342">
        <f>AJ113+AJ114+AJ117</f>
        <v>0</v>
      </c>
      <c r="AK112" s="342">
        <f>AK113+AK114+AK117</f>
        <v>0</v>
      </c>
      <c r="AL112" s="342">
        <f>AL113+AL114+AL117</f>
        <v>0</v>
      </c>
      <c r="AM112" s="342">
        <f>AM113+AM114+AM117</f>
        <v>0</v>
      </c>
      <c r="AN112" s="342">
        <f>AN113+AN114+AN117</f>
        <v>0</v>
      </c>
      <c r="AO112" s="342">
        <f>AO113+AO114+AO117</f>
        <v>0</v>
      </c>
      <c r="AP112" s="342">
        <f>AP113+AP114+AP117</f>
        <v>0</v>
      </c>
      <c r="AQ112" s="342">
        <f>AQ113+AQ114+AQ117</f>
        <v>0</v>
      </c>
      <c r="AR112" s="342">
        <f>AR113+AR114+AR117</f>
        <v>0</v>
      </c>
      <c r="AS112" s="342">
        <f>AS113+AS114+AS117</f>
        <v>0</v>
      </c>
      <c r="AT112" s="342">
        <f>AT113+AT114+AT117</f>
        <v>0</v>
      </c>
      <c r="AU112" s="342">
        <f>AU113+AU114+AU117</f>
        <v>0</v>
      </c>
      <c r="AV112" s="342">
        <f>AV113+AV114+AV117</f>
        <v>0</v>
      </c>
      <c r="AW112" s="342">
        <f>AW113+AW114+AW117</f>
        <v>0</v>
      </c>
      <c r="AX112" s="342">
        <f>AX113+AX114+AX117</f>
        <v>0</v>
      </c>
      <c r="AY112" s="342">
        <f>AY113+AY114+AY117</f>
        <v>0</v>
      </c>
      <c r="AZ112" s="342">
        <f>AZ113+AZ114+AZ117</f>
        <v>0</v>
      </c>
      <c r="BA112" s="342">
        <f>BA113+BA114+BA117</f>
        <v>0</v>
      </c>
      <c r="BB112" s="342">
        <f>BB113+BB114+BB117</f>
        <v>0</v>
      </c>
      <c r="BC112" s="1928"/>
      <c r="BD112" s="1328"/>
      <c r="BE112" s="1328"/>
      <c r="BF112" s="1023" t="s">
        <v>878</v>
      </c>
    </row>
    <row customHeight="1" ht="14.625" hidden="1">
      <c r="A113" s="1328"/>
      <c r="B113" s="1186"/>
      <c r="C113" s="1328"/>
      <c r="D113" s="1328"/>
      <c r="E113" s="637">
        <v>15</v>
      </c>
      <c r="F113" s="50" cm="1" t="str">
        <f t="array" ref="F113:F113">OFFSET(E113,-1,1)</f>
        <v>0</v>
      </c>
      <c r="G113" s="1328"/>
      <c r="H113" s="94" t="s">
        <v>673</v>
      </c>
      <c r="I113" s="1328"/>
      <c r="J113" s="1328"/>
      <c r="K113" s="1328"/>
      <c r="L113" s="1328"/>
      <c r="M113" s="1328"/>
      <c r="N113" s="1328"/>
      <c r="O113" s="1328"/>
      <c r="P113" s="1308"/>
      <c r="Q113" s="1308"/>
      <c r="R113" s="1308"/>
      <c r="S113" s="1308"/>
      <c r="T113" s="468" cm="1" t="str">
        <f t="array" ref="T113:T113">T112</f>
        <v>false</v>
      </c>
      <c r="U113" s="1308"/>
      <c r="V113" s="1328"/>
      <c r="W113" s="1308"/>
      <c r="X113" s="1539"/>
      <c r="Y113" s="1528"/>
      <c r="Z113" s="1328"/>
      <c r="AA113" s="1328"/>
      <c r="AB113" s="236" t="s">
        <v>674</v>
      </c>
      <c r="AC113" s="210" t="s">
        <v>879</v>
      </c>
      <c r="AD113" s="89" t="s">
        <v>657</v>
      </c>
      <c r="AE113" s="1971"/>
      <c r="AF113" s="1971"/>
      <c r="AG113" s="1971"/>
      <c r="AH113" s="1971"/>
      <c r="AI113" s="1971"/>
      <c r="AJ113" s="1971"/>
      <c r="AK113" s="1971"/>
      <c r="AL113" s="1971"/>
      <c r="AM113" s="1971"/>
      <c r="AN113" s="1971"/>
      <c r="AO113" s="1971"/>
      <c r="AP113" s="1971"/>
      <c r="AQ113" s="1971"/>
      <c r="AR113" s="1971"/>
      <c r="AS113" s="1971"/>
      <c r="AT113" s="1971"/>
      <c r="AU113" s="1971"/>
      <c r="AV113" s="1971"/>
      <c r="AW113" s="1971"/>
      <c r="AX113" s="1971"/>
      <c r="AY113" s="1971"/>
      <c r="AZ113" s="1971"/>
      <c r="BA113" s="1971"/>
      <c r="BB113" s="1971"/>
      <c r="BC113" s="1928"/>
      <c r="BD113" s="1328"/>
      <c r="BE113" s="1328"/>
      <c r="BF113" s="1023" t="s">
        <v>880</v>
      </c>
    </row>
    <row customHeight="1" ht="14.625" hidden="1">
      <c r="A114" s="1328"/>
      <c r="B114" s="1186"/>
      <c r="C114" s="1328"/>
      <c r="D114" s="1328"/>
      <c r="E114" s="637">
        <v>15</v>
      </c>
      <c r="F114" s="50" cm="1" t="str">
        <f t="array" ref="F114:F114">OFFSET(E114,-1,1)</f>
        <v>0</v>
      </c>
      <c r="G114" s="1328"/>
      <c r="H114" s="94" t="s">
        <v>677</v>
      </c>
      <c r="I114" s="1328"/>
      <c r="J114" s="1328"/>
      <c r="K114" s="1328"/>
      <c r="L114" s="1328"/>
      <c r="M114" s="1328"/>
      <c r="N114" s="1328"/>
      <c r="O114" s="1328"/>
      <c r="P114" s="1308"/>
      <c r="Q114" s="1308"/>
      <c r="R114" s="1308"/>
      <c r="S114" s="1308"/>
      <c r="T114" s="468" cm="1" t="str">
        <f t="array" ref="T114:T114">T113</f>
        <v>false</v>
      </c>
      <c r="U114" s="1308"/>
      <c r="V114" s="1328"/>
      <c r="W114" s="1308"/>
      <c r="X114" s="1539"/>
      <c r="Y114" s="1528"/>
      <c r="Z114" s="1328"/>
      <c r="AA114" s="1328"/>
      <c r="AB114" s="236" t="s">
        <v>678</v>
      </c>
      <c r="AC114" s="338" t="s">
        <v>881</v>
      </c>
      <c r="AD114" s="89" t="s">
        <v>657</v>
      </c>
      <c r="AE114" s="342">
        <f>AE115+AE116</f>
        <v>0</v>
      </c>
      <c r="AF114" s="342">
        <f>AF115+AF116</f>
        <v>0</v>
      </c>
      <c r="AG114" s="342">
        <f>AG115+AG116</f>
        <v>0</v>
      </c>
      <c r="AH114" s="342">
        <f>AH115+AH116</f>
        <v>0</v>
      </c>
      <c r="AI114" s="342">
        <f>AI115+AI116</f>
        <v>0</v>
      </c>
      <c r="AJ114" s="342">
        <f>AJ115+AJ116</f>
        <v>0</v>
      </c>
      <c r="AK114" s="342">
        <f>AK115+AK116</f>
        <v>0</v>
      </c>
      <c r="AL114" s="342">
        <f>AL115+AL116</f>
        <v>0</v>
      </c>
      <c r="AM114" s="342">
        <f>AM115+AM116</f>
        <v>0</v>
      </c>
      <c r="AN114" s="342">
        <f>AN115+AN116</f>
        <v>0</v>
      </c>
      <c r="AO114" s="342">
        <f>AO115+AO116</f>
        <v>0</v>
      </c>
      <c r="AP114" s="342">
        <f>AP115+AP116</f>
        <v>0</v>
      </c>
      <c r="AQ114" s="342">
        <f>AQ115+AQ116</f>
        <v>0</v>
      </c>
      <c r="AR114" s="342">
        <f>AR115+AR116</f>
        <v>0</v>
      </c>
      <c r="AS114" s="342">
        <f>AS115+AS116</f>
        <v>0</v>
      </c>
      <c r="AT114" s="342">
        <f>AT115+AT116</f>
        <v>0</v>
      </c>
      <c r="AU114" s="342">
        <f>AU115+AU116</f>
        <v>0</v>
      </c>
      <c r="AV114" s="342">
        <f>AV115+AV116</f>
        <v>0</v>
      </c>
      <c r="AW114" s="342">
        <f>AW115+AW116</f>
        <v>0</v>
      </c>
      <c r="AX114" s="342">
        <f>AX115+AX116</f>
        <v>0</v>
      </c>
      <c r="AY114" s="342">
        <f>AY115+AY116</f>
        <v>0</v>
      </c>
      <c r="AZ114" s="342">
        <f>AZ115+AZ116</f>
        <v>0</v>
      </c>
      <c r="BA114" s="342">
        <f>BA115+BA116</f>
        <v>0</v>
      </c>
      <c r="BB114" s="342">
        <f>BB115+BB116</f>
        <v>0</v>
      </c>
      <c r="BC114" s="1928"/>
      <c r="BD114" s="1328"/>
      <c r="BE114" s="1328"/>
      <c r="BF114" s="1023" t="s">
        <v>882</v>
      </c>
    </row>
    <row customHeight="1" ht="14.625" hidden="1">
      <c r="A115" s="1328"/>
      <c r="B115" s="1186"/>
      <c r="C115" s="1328"/>
      <c r="D115" s="1328"/>
      <c r="E115" s="637">
        <v>15</v>
      </c>
      <c r="F115" s="50" cm="1" t="str">
        <f t="array" ref="F115:F115">OFFSET(E115,-1,1)</f>
        <v>0</v>
      </c>
      <c r="G115" s="1328"/>
      <c r="H115" s="94" t="s">
        <v>883</v>
      </c>
      <c r="I115" s="1328"/>
      <c r="J115" s="1328"/>
      <c r="K115" s="1328"/>
      <c r="L115" s="1328"/>
      <c r="M115" s="1328"/>
      <c r="N115" s="1328"/>
      <c r="O115" s="1328"/>
      <c r="P115" s="1308"/>
      <c r="Q115" s="1308"/>
      <c r="R115" s="1308"/>
      <c r="S115" s="1308"/>
      <c r="T115" s="468" cm="1" t="str">
        <f t="array" ref="T115:T115">T114</f>
        <v>false</v>
      </c>
      <c r="U115" s="1308"/>
      <c r="V115" s="1328"/>
      <c r="W115" s="1308"/>
      <c r="X115" s="1539"/>
      <c r="Y115" s="1528"/>
      <c r="Z115" s="1328"/>
      <c r="AA115" s="1328"/>
      <c r="AB115" s="236" t="s">
        <v>884</v>
      </c>
      <c r="AC115" s="339" t="s">
        <v>733</v>
      </c>
      <c r="AD115" s="89" t="s">
        <v>657</v>
      </c>
      <c r="AE115" s="1971"/>
      <c r="AF115" s="1971"/>
      <c r="AG115" s="1971"/>
      <c r="AH115" s="1971"/>
      <c r="AI115" s="1971"/>
      <c r="AJ115" s="1971"/>
      <c r="AK115" s="1971"/>
      <c r="AL115" s="1971"/>
      <c r="AM115" s="1971"/>
      <c r="AN115" s="1971"/>
      <c r="AO115" s="1971"/>
      <c r="AP115" s="1971"/>
      <c r="AQ115" s="1971"/>
      <c r="AR115" s="1971"/>
      <c r="AS115" s="1971"/>
      <c r="AT115" s="1971"/>
      <c r="AU115" s="1971"/>
      <c r="AV115" s="1971"/>
      <c r="AW115" s="1971"/>
      <c r="AX115" s="1971"/>
      <c r="AY115" s="1971"/>
      <c r="AZ115" s="1971"/>
      <c r="BA115" s="1971"/>
      <c r="BB115" s="1971"/>
      <c r="BC115" s="1928"/>
      <c r="BD115" s="1328"/>
      <c r="BE115" s="1328"/>
      <c r="BF115" s="1023" t="s">
        <v>885</v>
      </c>
    </row>
    <row customHeight="1" ht="14.625" hidden="1">
      <c r="A116" s="1328"/>
      <c r="B116" s="1186"/>
      <c r="C116" s="1328"/>
      <c r="D116" s="1328"/>
      <c r="E116" s="637">
        <v>15</v>
      </c>
      <c r="F116" s="50" cm="1" t="str">
        <f t="array" ref="F116:F116">OFFSET(E116,-1,1)</f>
        <v>0</v>
      </c>
      <c r="G116" s="1328"/>
      <c r="H116" s="94" t="s">
        <v>886</v>
      </c>
      <c r="I116" s="1328"/>
      <c r="J116" s="1328"/>
      <c r="K116" s="1328"/>
      <c r="L116" s="1328"/>
      <c r="M116" s="1328"/>
      <c r="N116" s="1328"/>
      <c r="O116" s="1328"/>
      <c r="P116" s="1308"/>
      <c r="Q116" s="1308"/>
      <c r="R116" s="1308"/>
      <c r="S116" s="1308"/>
      <c r="T116" s="468" cm="1" t="str">
        <f t="array" ref="T116:T116">T115</f>
        <v>false</v>
      </c>
      <c r="U116" s="1308"/>
      <c r="V116" s="1328"/>
      <c r="W116" s="1308"/>
      <c r="X116" s="1539"/>
      <c r="Y116" s="1528"/>
      <c r="Z116" s="1328"/>
      <c r="AA116" s="1328"/>
      <c r="AB116" s="236" t="s">
        <v>887</v>
      </c>
      <c r="AC116" s="339" t="s">
        <v>737</v>
      </c>
      <c r="AD116" s="89" t="s">
        <v>657</v>
      </c>
      <c r="AE116" s="1971"/>
      <c r="AF116" s="1971"/>
      <c r="AG116" s="1971"/>
      <c r="AH116" s="1971"/>
      <c r="AI116" s="1971"/>
      <c r="AJ116" s="1971"/>
      <c r="AK116" s="1971"/>
      <c r="AL116" s="1971"/>
      <c r="AM116" s="1971"/>
      <c r="AN116" s="1971"/>
      <c r="AO116" s="1971"/>
      <c r="AP116" s="1971"/>
      <c r="AQ116" s="1971"/>
      <c r="AR116" s="1971"/>
      <c r="AS116" s="1971"/>
      <c r="AT116" s="1971"/>
      <c r="AU116" s="1971"/>
      <c r="AV116" s="1971"/>
      <c r="AW116" s="1971"/>
      <c r="AX116" s="1971"/>
      <c r="AY116" s="1971"/>
      <c r="AZ116" s="1971"/>
      <c r="BA116" s="1971"/>
      <c r="BB116" s="1971"/>
      <c r="BC116" s="1928"/>
      <c r="BD116" s="1328"/>
      <c r="BE116" s="1328"/>
      <c r="BF116" s="1023" t="s">
        <v>888</v>
      </c>
    </row>
    <row customHeight="1" ht="21.9375" hidden="1">
      <c r="A117" s="1328"/>
      <c r="B117" s="1186"/>
      <c r="C117" s="1328"/>
      <c r="D117" s="1328"/>
      <c r="E117" s="637">
        <v>22.5</v>
      </c>
      <c r="F117" s="50" cm="1" t="str">
        <f t="array" ref="F117:F117">OFFSET(E117,-1,1)</f>
        <v>0</v>
      </c>
      <c r="G117" s="1328"/>
      <c r="H117" s="94" t="s">
        <v>889</v>
      </c>
      <c r="I117" s="1328"/>
      <c r="J117" s="1328"/>
      <c r="K117" s="1328"/>
      <c r="L117" s="1328"/>
      <c r="M117" s="1328"/>
      <c r="N117" s="1328"/>
      <c r="O117" s="1328"/>
      <c r="P117" s="1308"/>
      <c r="Q117" s="1308"/>
      <c r="R117" s="1308"/>
      <c r="S117" s="1308"/>
      <c r="T117" s="468" cm="1" t="str">
        <f t="array" ref="T117:T117">T116</f>
        <v>false</v>
      </c>
      <c r="U117" s="1308"/>
      <c r="V117" s="1328"/>
      <c r="W117" s="1308"/>
      <c r="X117" s="1539"/>
      <c r="Y117" s="1528"/>
      <c r="Z117" s="1328"/>
      <c r="AA117" s="1328"/>
      <c r="AB117" s="236" t="s">
        <v>890</v>
      </c>
      <c r="AC117" s="333" t="s">
        <v>698</v>
      </c>
      <c r="AD117" s="89" t="s">
        <v>657</v>
      </c>
      <c r="AE117" s="1927"/>
      <c r="AF117" s="1927"/>
      <c r="AG117" s="1927"/>
      <c r="AH117" s="1927"/>
      <c r="AI117" s="1927"/>
      <c r="AJ117" s="1927"/>
      <c r="AK117" s="1927"/>
      <c r="AL117" s="1927"/>
      <c r="AM117" s="1927"/>
      <c r="AN117" s="1927"/>
      <c r="AO117" s="1927"/>
      <c r="AP117" s="1927"/>
      <c r="AQ117" s="1927"/>
      <c r="AR117" s="1927"/>
      <c r="AS117" s="1927"/>
      <c r="AT117" s="1927"/>
      <c r="AU117" s="1927"/>
      <c r="AV117" s="1927"/>
      <c r="AW117" s="1927"/>
      <c r="AX117" s="1927"/>
      <c r="AY117" s="1927"/>
      <c r="AZ117" s="1927"/>
      <c r="BA117" s="1927"/>
      <c r="BB117" s="1927"/>
      <c r="BC117" s="1928"/>
      <c r="BD117" s="1328"/>
      <c r="BE117" s="1328"/>
      <c r="BF117" s="1023" t="s">
        <v>891</v>
      </c>
    </row>
    <row s="1656" customFormat="1" customHeight="1" ht="25.171875">
      <c r="A118" s="1328"/>
      <c r="B118" s="1186"/>
      <c r="C118" s="1328"/>
      <c r="D118" s="1328"/>
      <c r="E118" s="637">
        <v>15</v>
      </c>
      <c r="F118" s="345" cm="1" t="str">
        <f t="array" ref="F118:F118">X118</f>
        <v>1</v>
      </c>
      <c r="G118" s="1328"/>
      <c r="H118" s="1328"/>
      <c r="I118" s="1328"/>
      <c r="J118" s="1328"/>
      <c r="K118" s="1328"/>
      <c r="L118" s="1328"/>
      <c r="M118" s="1328"/>
      <c r="N118" s="1328"/>
      <c r="O118" s="1328"/>
      <c r="P118" s="1308"/>
      <c r="Q118" s="1308"/>
      <c r="R118" s="1308"/>
      <c r="S118" s="1308"/>
      <c r="T118" s="468">
        <f>X118&gt;0</f>
        <v>1</v>
      </c>
      <c r="U118" s="1308"/>
      <c r="V118" s="94" cm="1" t="str">
        <f t="array" ref="V118:V118">ИИКА!$AB$32</f>
        <v>Тариф 1 (Водоснабжение) - тариф на питьевую воду (Оказание услуг на территории: город Ленинск-Кузнецкий (ОКТМО: 32719000) - г Ленинск-Кузнецкий, г Полысаево)</v>
      </c>
      <c r="W118" s="1308"/>
      <c r="X118" s="1539" t="s">
        <v>290</v>
      </c>
      <c r="Y118" s="1528"/>
      <c r="Z118" s="1328"/>
      <c r="AA118" s="1328"/>
      <c r="AB118" s="176" cm="1" t="str">
        <f t="array" ref="AB118:AB118">ИИКА!$AB$32</f>
        <v>Тариф 1 (Водоснабжение) - тариф на питьевую воду (Оказание услуг на территории: город Ленинск-Кузнецкий (ОКТМО: 32719000) - г Ленинск-Кузнецкий, г Полысаево)</v>
      </c>
      <c r="AC118" s="176"/>
      <c r="AD118" s="176"/>
      <c r="AE118" s="176"/>
      <c r="AF118" s="176"/>
      <c r="AG118" s="176"/>
      <c r="AH118" s="176"/>
      <c r="AI118" s="176"/>
      <c r="AJ118" s="176"/>
      <c r="AK118" s="176"/>
      <c r="AL118" s="176"/>
      <c r="AM118" s="176"/>
      <c r="AN118" s="176"/>
      <c r="AO118" s="176"/>
      <c r="AP118" s="176"/>
      <c r="AQ118" s="176"/>
      <c r="AR118" s="176"/>
      <c r="AS118" s="176"/>
      <c r="AT118" s="176"/>
      <c r="AU118" s="176"/>
      <c r="AV118" s="176"/>
      <c r="AW118" s="176"/>
      <c r="AX118" s="176"/>
      <c r="AY118" s="176"/>
      <c r="AZ118" s="176"/>
      <c r="BA118" s="176"/>
      <c r="BB118" s="176"/>
      <c r="BC118" s="176"/>
      <c r="BD118" s="1328"/>
      <c r="BE118" s="1328"/>
      <c r="BF118" s="1330"/>
    </row>
    <row s="1656" customFormat="1" customHeight="1" ht="12.75">
      <c r="A119" s="1328"/>
      <c r="B119" s="1186"/>
      <c r="C119" s="1328"/>
      <c r="D119" s="1328"/>
      <c r="E119" s="637">
        <v>15</v>
      </c>
      <c r="F119" s="50" cm="1" t="str">
        <f t="array" ref="F119:F119">OFFSET(E119,-1,1)</f>
        <v>1</v>
      </c>
      <c r="G119" s="1328"/>
      <c r="H119" s="1328"/>
      <c r="I119" s="1328"/>
      <c r="J119" s="1328"/>
      <c r="K119" s="1328"/>
      <c r="L119" s="1328"/>
      <c r="M119" s="1328"/>
      <c r="N119" s="1328"/>
      <c r="O119" s="1328"/>
      <c r="P119" s="1308"/>
      <c r="Q119" s="1308"/>
      <c r="R119" s="417" cm="1" t="str">
        <f t="array" ref="R119:R119">INDEX('Общие сведения'!$AN$197:$AN$254,MATCH($X118,'Общие сведения'!$Z$197:$Z$254,0))</f>
        <v>false</v>
      </c>
      <c r="S119" s="417">
        <f>IF(ISERROR(SEARCH("Водоснабжение",AB118)),FALSE,TRUE)</f>
        <v>1</v>
      </c>
      <c r="T119" s="468">
        <f>AND(X118&gt;0,S119,NOT(R119))</f>
        <v>1</v>
      </c>
      <c r="U119" s="1308"/>
      <c r="V119" s="1328"/>
      <c r="W119" s="1308"/>
      <c r="X119" s="1539"/>
      <c r="Y119" s="1528"/>
      <c r="Z119" s="1328"/>
      <c r="AA119" s="1328"/>
      <c r="AB119" s="236" t="s">
        <v>290</v>
      </c>
      <c r="AC119" s="325" t="s">
        <v>654</v>
      </c>
      <c r="AD119" s="88"/>
      <c r="AE119" s="574" cm="1" t="str">
        <f t="array" ref="AE119:AE119">INDEX('Общие сведения'!$AH$197:$AH$254,MATCH($X118,'Общие сведения'!$Z$197:$Z$254,0))</f>
        <v>питьевая вода</v>
      </c>
      <c r="AF119" s="358"/>
      <c r="AG119" s="358"/>
      <c r="AH119" s="358"/>
      <c r="AI119" s="358"/>
      <c r="AJ119" s="358"/>
      <c r="AK119" s="358"/>
      <c r="AL119" s="358"/>
      <c r="AM119" s="358"/>
      <c r="AN119" s="358"/>
      <c r="AO119" s="358"/>
      <c r="AP119" s="358"/>
      <c r="AQ119" s="358"/>
      <c r="AR119" s="358"/>
      <c r="AS119" s="358"/>
      <c r="AT119" s="358"/>
      <c r="AU119" s="358"/>
      <c r="AV119" s="358"/>
      <c r="AW119" s="358"/>
      <c r="AX119" s="358"/>
      <c r="AY119" s="358"/>
      <c r="AZ119" s="358"/>
      <c r="BA119" s="358"/>
      <c r="BB119" s="359"/>
      <c r="BC119" s="196"/>
      <c r="BD119" s="1328"/>
      <c r="BE119" s="1328"/>
      <c r="BF119" s="1023" t="s">
        <v>655</v>
      </c>
    </row>
    <row s="1656" customFormat="1" customHeight="1" ht="23.25">
      <c r="A120" s="1328"/>
      <c r="B120" s="1186"/>
      <c r="C120" s="1328"/>
      <c r="D120" s="1328"/>
      <c r="E120" s="637">
        <v>15</v>
      </c>
      <c r="F120" s="50" cm="1" t="str">
        <f t="array" ref="F120:F120">OFFSET(E120,-1,1)</f>
        <v>1</v>
      </c>
      <c r="G120" s="1328"/>
      <c r="H120" s="94" t="s">
        <v>348</v>
      </c>
      <c r="I120" s="1328"/>
      <c r="J120" s="1328"/>
      <c r="K120" s="1328"/>
      <c r="L120" s="1328"/>
      <c r="M120" s="1328"/>
      <c r="N120" s="1328"/>
      <c r="O120" s="1328"/>
      <c r="P120" s="1308"/>
      <c r="Q120" s="1308"/>
      <c r="R120" s="1308"/>
      <c r="S120" s="1308"/>
      <c r="T120" s="468" cm="1" t="str">
        <f t="array" ref="T120:T120">T119</f>
        <v>true</v>
      </c>
      <c r="U120" s="1308"/>
      <c r="V120" s="1328"/>
      <c r="W120" s="1308"/>
      <c r="X120" s="1539"/>
      <c r="Y120" s="1528"/>
      <c r="Z120" s="1328"/>
      <c r="AA120" s="1328"/>
      <c r="AB120" s="236" t="s">
        <v>299</v>
      </c>
      <c r="AC120" s="326" t="s">
        <v>656</v>
      </c>
      <c r="AD120" s="89" t="s">
        <v>657</v>
      </c>
      <c r="AE120" s="311">
        <f>AE129+AE124-AE127</f>
        <v>24887.42097</v>
      </c>
      <c r="AF120" s="311">
        <f>AF129+AF124-AF127</f>
        <v>21024.4</v>
      </c>
      <c r="AG120" s="311">
        <f>AG129+AG124-AG127</f>
        <v>21024.39955</v>
      </c>
      <c r="AH120" s="311">
        <f>AH129+AH124-AH127</f>
        <v>23669.3393</v>
      </c>
      <c r="AI120" s="311">
        <f>AI129+AI124-AI127</f>
        <v>22899.56366</v>
      </c>
      <c r="AJ120" s="311">
        <f>AJ129+AJ124-AJ127</f>
        <v>0</v>
      </c>
      <c r="AK120" s="311">
        <f>AK129+AK124-AK127</f>
        <v>0</v>
      </c>
      <c r="AL120" s="311">
        <f>AL129+AL124-AL127</f>
        <v>0</v>
      </c>
      <c r="AM120" s="311">
        <f>AM129+AM124-AM127</f>
        <v>0</v>
      </c>
      <c r="AN120" s="311">
        <f>AN129+AN124-AN127</f>
        <v>0</v>
      </c>
      <c r="AO120" s="311">
        <f>AO129+AO124-AO127</f>
        <v>0</v>
      </c>
      <c r="AP120" s="311">
        <f>AP129+AP124-AP127</f>
        <v>0</v>
      </c>
      <c r="AQ120" s="311">
        <f>AQ129+AQ124-AQ127</f>
        <v>0</v>
      </c>
      <c r="AR120" s="311">
        <f>AR129+AR124-AR127</f>
        <v>0</v>
      </c>
      <c r="AS120" s="311">
        <f>AS129+AS124-AS127</f>
        <v>23404.57265</v>
      </c>
      <c r="AT120" s="311">
        <f>AT129+AT124-AT127</f>
        <v>0</v>
      </c>
      <c r="AU120" s="311">
        <f>AU129+AU124-AU127</f>
        <v>0</v>
      </c>
      <c r="AV120" s="311">
        <f>AV129+AV124-AV127</f>
        <v>0</v>
      </c>
      <c r="AW120" s="311">
        <f>AW129+AW124-AW127</f>
        <v>0</v>
      </c>
      <c r="AX120" s="311">
        <f>AX129+AX124-AX127</f>
        <v>0</v>
      </c>
      <c r="AY120" s="311">
        <f>AY129+AY124-AY127</f>
        <v>0</v>
      </c>
      <c r="AZ120" s="311">
        <f>AZ129+AZ124-AZ127</f>
        <v>0</v>
      </c>
      <c r="BA120" s="311">
        <f>BA129+BA124-BA127</f>
        <v>0</v>
      </c>
      <c r="BB120" s="311">
        <f>BB129+BB124-BB127</f>
        <v>0</v>
      </c>
      <c r="BC120" s="196" t="s">
        <v>892</v>
      </c>
      <c r="BD120" s="1328"/>
      <c r="BE120" s="1328"/>
      <c r="BF120" s="1023" t="s">
        <v>658</v>
      </c>
    </row>
    <row s="1656" customFormat="1" customHeight="1" ht="19.921875">
      <c r="A121" s="1328"/>
      <c r="B121" s="1186"/>
      <c r="C121" s="1328"/>
      <c r="D121" s="1328"/>
      <c r="E121" s="637">
        <v>15</v>
      </c>
      <c r="F121" s="50" cm="1" t="str">
        <f t="array" ref="F121:F121">OFFSET(E121,-1,1)</f>
        <v>1</v>
      </c>
      <c r="G121" s="1328"/>
      <c r="H121" s="94" t="s">
        <v>659</v>
      </c>
      <c r="I121" s="1328"/>
      <c r="J121" s="1328"/>
      <c r="K121" s="1328"/>
      <c r="L121" s="1328"/>
      <c r="M121" s="1328"/>
      <c r="N121" s="1328"/>
      <c r="O121" s="1328"/>
      <c r="P121" s="1308"/>
      <c r="Q121" s="1308"/>
      <c r="R121" s="1308"/>
      <c r="S121" s="1308"/>
      <c r="T121" s="468" cm="1" t="str">
        <f t="array" ref="T121:T121">T120</f>
        <v>true</v>
      </c>
      <c r="U121" s="1308"/>
      <c r="V121" s="1328"/>
      <c r="W121" s="1308"/>
      <c r="X121" s="1539"/>
      <c r="Y121" s="1528"/>
      <c r="Z121" s="1328"/>
      <c r="AA121" s="1328"/>
      <c r="AB121" s="236" t="s">
        <v>660</v>
      </c>
      <c r="AC121" s="188" t="s">
        <v>661</v>
      </c>
      <c r="AD121" s="89" t="s">
        <v>657</v>
      </c>
      <c r="AE121" s="275">
        <v>24865.5532507977</v>
      </c>
      <c r="AF121" s="275">
        <f>21024.4-AF122</f>
        <v>21006.775</v>
      </c>
      <c r="AG121" s="275">
        <v>21006.775</v>
      </c>
      <c r="AH121" s="275">
        <v>23651.4483</v>
      </c>
      <c r="AI121" s="275">
        <f>22899.56366-AI122</f>
        <v>22881.93866</v>
      </c>
      <c r="AJ121" s="1971"/>
      <c r="AK121" s="1971"/>
      <c r="AL121" s="1971"/>
      <c r="AM121" s="1971"/>
      <c r="AN121" s="1971"/>
      <c r="AO121" s="1971"/>
      <c r="AP121" s="1971"/>
      <c r="AQ121" s="1971"/>
      <c r="AR121" s="1971"/>
      <c r="AS121" s="275">
        <f>23404.57267-AS122</f>
        <v>23386.94767</v>
      </c>
      <c r="AT121" s="1971"/>
      <c r="AU121" s="1971"/>
      <c r="AV121" s="1971"/>
      <c r="AW121" s="1971"/>
      <c r="AX121" s="1971"/>
      <c r="AY121" s="1971"/>
      <c r="AZ121" s="1971"/>
      <c r="BA121" s="1971"/>
      <c r="BB121" s="1971"/>
      <c r="BC121" s="280" t="s">
        <v>893</v>
      </c>
      <c r="BD121" s="1328"/>
      <c r="BE121" s="1328"/>
      <c r="BF121" s="1023" t="s">
        <v>662</v>
      </c>
    </row>
    <row s="1656" customFormat="1" customHeight="1" ht="31.921875">
      <c r="A122" s="1328"/>
      <c r="B122" s="1186"/>
      <c r="C122" s="1328"/>
      <c r="D122" s="1328"/>
      <c r="E122" s="637">
        <v>15</v>
      </c>
      <c r="F122" s="50" cm="1" t="str">
        <f t="array" ref="F122:F122">OFFSET(E122,-1,1)</f>
        <v>1</v>
      </c>
      <c r="G122" s="1328"/>
      <c r="H122" s="94" t="s">
        <v>663</v>
      </c>
      <c r="I122" s="1328"/>
      <c r="J122" s="1328"/>
      <c r="K122" s="1328"/>
      <c r="L122" s="1328"/>
      <c r="M122" s="1328"/>
      <c r="N122" s="1328"/>
      <c r="O122" s="1328"/>
      <c r="P122" s="1308"/>
      <c r="Q122" s="1308"/>
      <c r="R122" s="1308"/>
      <c r="S122" s="1308"/>
      <c r="T122" s="468" cm="1" t="str">
        <f t="array" ref="T122:T122">T121</f>
        <v>true</v>
      </c>
      <c r="U122" s="1308"/>
      <c r="V122" s="1328"/>
      <c r="W122" s="1308"/>
      <c r="X122" s="1539"/>
      <c r="Y122" s="1528"/>
      <c r="Z122" s="1328"/>
      <c r="AA122" s="1328"/>
      <c r="AB122" s="236" t="s">
        <v>664</v>
      </c>
      <c r="AC122" s="188" t="s">
        <v>665</v>
      </c>
      <c r="AD122" s="89" t="s">
        <v>657</v>
      </c>
      <c r="AE122" s="275">
        <v>21.8677192023</v>
      </c>
      <c r="AF122" s="275">
        <v>17.625</v>
      </c>
      <c r="AG122" s="275">
        <v>17.625</v>
      </c>
      <c r="AH122" s="275">
        <v>17.891</v>
      </c>
      <c r="AI122" s="275">
        <v>17.625</v>
      </c>
      <c r="AJ122" s="1971"/>
      <c r="AK122" s="1971"/>
      <c r="AL122" s="1971"/>
      <c r="AM122" s="1971"/>
      <c r="AN122" s="1971"/>
      <c r="AO122" s="1971"/>
      <c r="AP122" s="1971"/>
      <c r="AQ122" s="1971"/>
      <c r="AR122" s="1971"/>
      <c r="AS122" s="275">
        <v>17.625</v>
      </c>
      <c r="AT122" s="1971"/>
      <c r="AU122" s="1971"/>
      <c r="AV122" s="1971"/>
      <c r="AW122" s="1971"/>
      <c r="AX122" s="1971"/>
      <c r="AY122" s="1971"/>
      <c r="AZ122" s="1971"/>
      <c r="BA122" s="1971"/>
      <c r="BB122" s="1971"/>
      <c r="BC122" s="280" t="s">
        <v>894</v>
      </c>
      <c r="BD122" s="1328"/>
      <c r="BE122" s="1328"/>
      <c r="BF122" s="1023" t="s">
        <v>666</v>
      </c>
    </row>
    <row s="1656" customFormat="1" customHeight="1" ht="23.25">
      <c r="A123" s="1328"/>
      <c r="B123" s="1186"/>
      <c r="C123" s="1328"/>
      <c r="D123" s="1328"/>
      <c r="E123" s="637">
        <v>22.5</v>
      </c>
      <c r="F123" s="50" cm="1" t="str">
        <f t="array" ref="F123:F123">OFFSET(E123,-1,1)</f>
        <v>1</v>
      </c>
      <c r="G123" s="1328"/>
      <c r="H123" s="94" t="s">
        <v>667</v>
      </c>
      <c r="I123" s="1328"/>
      <c r="J123" s="1328"/>
      <c r="K123" s="1328"/>
      <c r="L123" s="1328"/>
      <c r="M123" s="1328"/>
      <c r="N123" s="1328"/>
      <c r="O123" s="1328"/>
      <c r="P123" s="1308"/>
      <c r="Q123" s="1308"/>
      <c r="R123" s="1308"/>
      <c r="S123" s="1308"/>
      <c r="T123" s="468" cm="1" t="str">
        <f t="array" ref="T123:T123">T122</f>
        <v>true</v>
      </c>
      <c r="U123" s="1308"/>
      <c r="V123" s="1328"/>
      <c r="W123" s="1308"/>
      <c r="X123" s="1539"/>
      <c r="Y123" s="1528"/>
      <c r="Z123" s="1328"/>
      <c r="AA123" s="1328"/>
      <c r="AB123" s="236" t="s">
        <v>668</v>
      </c>
      <c r="AC123" s="326" t="s">
        <v>669</v>
      </c>
      <c r="AD123" s="89" t="s">
        <v>657</v>
      </c>
      <c r="AE123" s="275"/>
      <c r="AF123" s="275"/>
      <c r="AG123" s="275"/>
      <c r="AH123" s="275"/>
      <c r="AI123" s="275"/>
      <c r="AJ123" s="1971"/>
      <c r="AK123" s="1971"/>
      <c r="AL123" s="1971"/>
      <c r="AM123" s="1971"/>
      <c r="AN123" s="1971"/>
      <c r="AO123" s="1971"/>
      <c r="AP123" s="1971"/>
      <c r="AQ123" s="1971"/>
      <c r="AR123" s="1971"/>
      <c r="AS123" s="275"/>
      <c r="AT123" s="1971"/>
      <c r="AU123" s="1971"/>
      <c r="AV123" s="1971"/>
      <c r="AW123" s="1971"/>
      <c r="AX123" s="1971"/>
      <c r="AY123" s="1971"/>
      <c r="AZ123" s="1971"/>
      <c r="BA123" s="1971"/>
      <c r="BB123" s="1971"/>
      <c r="BC123" s="280"/>
      <c r="BD123" s="1328"/>
      <c r="BE123" s="1328"/>
      <c r="BF123" s="1023" t="s">
        <v>670</v>
      </c>
    </row>
    <row s="1656" customFormat="1" customHeight="1" ht="16.921875">
      <c r="A124" s="1328"/>
      <c r="B124" s="1186"/>
      <c r="C124" s="1328"/>
      <c r="D124" s="1328"/>
      <c r="E124" s="637">
        <v>15</v>
      </c>
      <c r="F124" s="50" cm="1" t="str">
        <f t="array" ref="F124:F124">OFFSET(E124,-1,1)</f>
        <v>1</v>
      </c>
      <c r="G124" s="1328"/>
      <c r="H124" s="94" t="s">
        <v>347</v>
      </c>
      <c r="I124" s="1328"/>
      <c r="J124" s="1328"/>
      <c r="K124" s="1328"/>
      <c r="L124" s="1328"/>
      <c r="M124" s="1328"/>
      <c r="N124" s="1328"/>
      <c r="O124" s="1328"/>
      <c r="P124" s="1308"/>
      <c r="Q124" s="1308"/>
      <c r="R124" s="1308"/>
      <c r="S124" s="1308"/>
      <c r="T124" s="468" cm="1" t="str">
        <f t="array" ref="T124:T124">T123</f>
        <v>true</v>
      </c>
      <c r="U124" s="1308"/>
      <c r="V124" s="1328"/>
      <c r="W124" s="1308"/>
      <c r="X124" s="1539"/>
      <c r="Y124" s="1528"/>
      <c r="Z124" s="1328"/>
      <c r="AA124" s="1328"/>
      <c r="AB124" s="236" t="s">
        <v>234</v>
      </c>
      <c r="AC124" s="326" t="s">
        <v>671</v>
      </c>
      <c r="AD124" s="89" t="s">
        <v>657</v>
      </c>
      <c r="AE124" s="311">
        <f>SUM(AE125:AE126)</f>
        <v>3323.908</v>
      </c>
      <c r="AF124" s="311">
        <f>SUM(AF125:AF126)</f>
        <v>2890.4198</v>
      </c>
      <c r="AG124" s="311">
        <f>SUM(AG125:AG126)</f>
        <v>2890.4198</v>
      </c>
      <c r="AH124" s="311">
        <f>SUM(AH125:AH126)</f>
        <v>3309.97963</v>
      </c>
      <c r="AI124" s="311">
        <f>SUM(AI125:AI126)</f>
        <v>3323.908</v>
      </c>
      <c r="AJ124" s="311">
        <f>SUM(AJ125:AJ126)</f>
        <v>0</v>
      </c>
      <c r="AK124" s="311">
        <f>SUM(AK125:AK126)</f>
        <v>0</v>
      </c>
      <c r="AL124" s="311">
        <f>SUM(AL125:AL126)</f>
        <v>0</v>
      </c>
      <c r="AM124" s="311">
        <f>SUM(AM125:AM126)</f>
        <v>0</v>
      </c>
      <c r="AN124" s="311">
        <f>SUM(AN125:AN126)</f>
        <v>0</v>
      </c>
      <c r="AO124" s="311">
        <f>SUM(AO125:AO126)</f>
        <v>0</v>
      </c>
      <c r="AP124" s="311">
        <f>SUM(AP125:AP126)</f>
        <v>0</v>
      </c>
      <c r="AQ124" s="311">
        <f>SUM(AQ125:AQ126)</f>
        <v>0</v>
      </c>
      <c r="AR124" s="311">
        <f>SUM(AR125:AR126)</f>
        <v>0</v>
      </c>
      <c r="AS124" s="311">
        <f>SUM(AS125:AS126)</f>
        <v>3054.9437</v>
      </c>
      <c r="AT124" s="311">
        <f>SUM(AT125:AT126)</f>
        <v>0</v>
      </c>
      <c r="AU124" s="311">
        <f>SUM(AU125:AU126)</f>
        <v>0</v>
      </c>
      <c r="AV124" s="311">
        <f>SUM(AV125:AV126)</f>
        <v>0</v>
      </c>
      <c r="AW124" s="311">
        <f>SUM(AW125:AW126)</f>
        <v>0</v>
      </c>
      <c r="AX124" s="311">
        <f>SUM(AX125:AX126)</f>
        <v>0</v>
      </c>
      <c r="AY124" s="311">
        <f>SUM(AY125:AY126)</f>
        <v>0</v>
      </c>
      <c r="AZ124" s="311">
        <f>SUM(AZ125:AZ126)</f>
        <v>0</v>
      </c>
      <c r="BA124" s="311">
        <f>SUM(BA125:BA126)</f>
        <v>0</v>
      </c>
      <c r="BB124" s="311">
        <f>SUM(BB125:BB126)</f>
        <v>0</v>
      </c>
      <c r="BC124" s="280"/>
      <c r="BD124" s="1328"/>
      <c r="BE124" s="1328"/>
      <c r="BF124" s="1023" t="s">
        <v>672</v>
      </c>
    </row>
    <row s="1656" customFormat="1" customHeight="1" ht="73.171875">
      <c r="A125" s="1328"/>
      <c r="B125" s="1186"/>
      <c r="C125" s="1328"/>
      <c r="D125" s="1328"/>
      <c r="E125" s="637">
        <v>15</v>
      </c>
      <c r="F125" s="50" cm="1" t="str">
        <f t="array" ref="F125:F125">OFFSET(E125,-1,1)</f>
        <v>1</v>
      </c>
      <c r="G125" s="1328"/>
      <c r="H125" s="94" t="s">
        <v>673</v>
      </c>
      <c r="I125" s="1328"/>
      <c r="J125" s="1328"/>
      <c r="K125" s="1328"/>
      <c r="L125" s="1328"/>
      <c r="M125" s="1328"/>
      <c r="N125" s="1328"/>
      <c r="O125" s="1328"/>
      <c r="P125" s="1308"/>
      <c r="Q125" s="1308"/>
      <c r="R125" s="1308"/>
      <c r="S125" s="1308"/>
      <c r="T125" s="468" cm="1" t="str">
        <f t="array" ref="T125:T125">T124</f>
        <v>true</v>
      </c>
      <c r="U125" s="1308"/>
      <c r="V125" s="1328"/>
      <c r="W125" s="1308"/>
      <c r="X125" s="1539"/>
      <c r="Y125" s="1528"/>
      <c r="Z125" s="1328"/>
      <c r="AA125" s="1328"/>
      <c r="AB125" s="236" t="s">
        <v>674</v>
      </c>
      <c r="AC125" s="188" t="s">
        <v>675</v>
      </c>
      <c r="AD125" s="89" t="s">
        <v>657</v>
      </c>
      <c r="AE125" s="275">
        <v>1526.228</v>
      </c>
      <c r="AF125" s="275">
        <v>1347.0198</v>
      </c>
      <c r="AG125" s="275">
        <v>1347.0198</v>
      </c>
      <c r="AH125" s="275">
        <v>1512.29963</v>
      </c>
      <c r="AI125" s="275">
        <v>1526.228</v>
      </c>
      <c r="AJ125" s="1971"/>
      <c r="AK125" s="1971"/>
      <c r="AL125" s="1971"/>
      <c r="AM125" s="1971"/>
      <c r="AN125" s="1971"/>
      <c r="AO125" s="1971"/>
      <c r="AP125" s="1971"/>
      <c r="AQ125" s="1971"/>
      <c r="AR125" s="1971"/>
      <c r="AS125" s="275">
        <v>1511.5437</v>
      </c>
      <c r="AT125" s="1971"/>
      <c r="AU125" s="1971"/>
      <c r="AV125" s="1971"/>
      <c r="AW125" s="1971"/>
      <c r="AX125" s="1971"/>
      <c r="AY125" s="1971"/>
      <c r="AZ125" s="1971"/>
      <c r="BA125" s="1971"/>
      <c r="BB125" s="1971"/>
      <c r="BC125" s="280" t="s">
        <v>895</v>
      </c>
      <c r="BD125" s="1328"/>
      <c r="BE125" s="1328"/>
      <c r="BF125" s="1023" t="s">
        <v>676</v>
      </c>
    </row>
    <row s="1656" customFormat="1" customHeight="1" ht="23.671875">
      <c r="A126" s="1328"/>
      <c r="B126" s="1186"/>
      <c r="C126" s="1328"/>
      <c r="D126" s="1328"/>
      <c r="E126" s="637">
        <v>15</v>
      </c>
      <c r="F126" s="50" cm="1" t="str">
        <f t="array" ref="F126:F126">OFFSET(E126,-1,1)</f>
        <v>1</v>
      </c>
      <c r="G126" s="1328"/>
      <c r="H126" s="94" t="s">
        <v>677</v>
      </c>
      <c r="I126" s="1328"/>
      <c r="J126" s="1328"/>
      <c r="K126" s="1328"/>
      <c r="L126" s="1328"/>
      <c r="M126" s="1328"/>
      <c r="N126" s="1328"/>
      <c r="O126" s="1328"/>
      <c r="P126" s="1308"/>
      <c r="Q126" s="1308"/>
      <c r="R126" s="1308"/>
      <c r="S126" s="1308"/>
      <c r="T126" s="468" cm="1" t="str">
        <f t="array" ref="T126:T126">T125</f>
        <v>true</v>
      </c>
      <c r="U126" s="1308"/>
      <c r="V126" s="1328"/>
      <c r="W126" s="1308"/>
      <c r="X126" s="1539"/>
      <c r="Y126" s="1528"/>
      <c r="Z126" s="1328"/>
      <c r="AA126" s="1328"/>
      <c r="AB126" s="236" t="s">
        <v>678</v>
      </c>
      <c r="AC126" s="188" t="s">
        <v>679</v>
      </c>
      <c r="AD126" s="89" t="s">
        <v>657</v>
      </c>
      <c r="AE126" s="275">
        <v>1797.68</v>
      </c>
      <c r="AF126" s="275">
        <v>1543.4</v>
      </c>
      <c r="AG126" s="275">
        <v>1543.4</v>
      </c>
      <c r="AH126" s="275">
        <v>1797.68</v>
      </c>
      <c r="AI126" s="275">
        <v>1797.68</v>
      </c>
      <c r="AJ126" s="1971"/>
      <c r="AK126" s="1971"/>
      <c r="AL126" s="1971"/>
      <c r="AM126" s="1971"/>
      <c r="AN126" s="1971"/>
      <c r="AO126" s="1971"/>
      <c r="AP126" s="1971"/>
      <c r="AQ126" s="1971"/>
      <c r="AR126" s="1971"/>
      <c r="AS126" s="275">
        <v>1543.4</v>
      </c>
      <c r="AT126" s="1971"/>
      <c r="AU126" s="1971"/>
      <c r="AV126" s="1971"/>
      <c r="AW126" s="1971"/>
      <c r="AX126" s="1971"/>
      <c r="AY126" s="1971"/>
      <c r="AZ126" s="1971"/>
      <c r="BA126" s="1971"/>
      <c r="BB126" s="1971"/>
      <c r="BC126" s="280" t="s">
        <v>896</v>
      </c>
      <c r="BD126" s="1328"/>
      <c r="BE126" s="1328"/>
      <c r="BF126" s="1023" t="s">
        <v>680</v>
      </c>
    </row>
    <row s="1656" customFormat="1" customHeight="1" ht="12.75">
      <c r="A127" s="1328"/>
      <c r="B127" s="1186"/>
      <c r="C127" s="1328"/>
      <c r="D127" s="1328"/>
      <c r="E127" s="637">
        <v>15</v>
      </c>
      <c r="F127" s="50" cm="1" t="str">
        <f t="array" ref="F127:F127">OFFSET(E127,-1,1)</f>
        <v>1</v>
      </c>
      <c r="G127" s="1328"/>
      <c r="H127" s="94" t="s">
        <v>616</v>
      </c>
      <c r="I127" s="1328"/>
      <c r="J127" s="1328"/>
      <c r="K127" s="1328"/>
      <c r="L127" s="1328"/>
      <c r="M127" s="1328"/>
      <c r="N127" s="1328"/>
      <c r="O127" s="1328"/>
      <c r="P127" s="1308"/>
      <c r="Q127" s="1308"/>
      <c r="R127" s="1308"/>
      <c r="S127" s="1308"/>
      <c r="T127" s="468" cm="1" t="str">
        <f t="array" ref="T127:T127">T126</f>
        <v>true</v>
      </c>
      <c r="U127" s="1308"/>
      <c r="V127" s="1328"/>
      <c r="W127" s="1308"/>
      <c r="X127" s="1539"/>
      <c r="Y127" s="1528"/>
      <c r="Z127" s="1328"/>
      <c r="AA127" s="1328"/>
      <c r="AB127" s="236" t="s">
        <v>451</v>
      </c>
      <c r="AC127" s="325" t="s">
        <v>681</v>
      </c>
      <c r="AD127" s="89" t="s">
        <v>657</v>
      </c>
      <c r="AE127" s="272"/>
      <c r="AF127" s="272"/>
      <c r="AG127" s="272"/>
      <c r="AH127" s="272"/>
      <c r="AI127" s="272"/>
      <c r="AJ127" s="1927"/>
      <c r="AK127" s="1927"/>
      <c r="AL127" s="1927"/>
      <c r="AM127" s="1927"/>
      <c r="AN127" s="1927"/>
      <c r="AO127" s="1927"/>
      <c r="AP127" s="1927"/>
      <c r="AQ127" s="1927"/>
      <c r="AR127" s="1927"/>
      <c r="AS127" s="272"/>
      <c r="AT127" s="1927"/>
      <c r="AU127" s="1927"/>
      <c r="AV127" s="1927"/>
      <c r="AW127" s="1927"/>
      <c r="AX127" s="1927"/>
      <c r="AY127" s="1927"/>
      <c r="AZ127" s="1927"/>
      <c r="BA127" s="1927"/>
      <c r="BB127" s="1927"/>
      <c r="BC127" s="280"/>
      <c r="BD127" s="1328"/>
      <c r="BE127" s="1328"/>
      <c r="BF127" s="1023" t="s">
        <v>682</v>
      </c>
    </row>
    <row s="1656" customFormat="1" customHeight="1" ht="23.25">
      <c r="A128" s="1328"/>
      <c r="B128" s="1186"/>
      <c r="C128" s="1328"/>
      <c r="D128" s="1328"/>
      <c r="E128" s="637">
        <v>15</v>
      </c>
      <c r="F128" s="50" cm="1" t="str">
        <f t="array" ref="F128:F128">OFFSET(E128,-1,1)</f>
        <v>1</v>
      </c>
      <c r="G128" s="1328"/>
      <c r="H128" s="94" t="s">
        <v>619</v>
      </c>
      <c r="I128" s="1328"/>
      <c r="J128" s="1328"/>
      <c r="K128" s="1328"/>
      <c r="L128" s="1328"/>
      <c r="M128" s="1328"/>
      <c r="N128" s="1328"/>
      <c r="O128" s="1328"/>
      <c r="P128" s="1308"/>
      <c r="Q128" s="1308"/>
      <c r="R128" s="1308"/>
      <c r="S128" s="1308"/>
      <c r="T128" s="468" cm="1" t="str">
        <f t="array" ref="T128:T128">T127</f>
        <v>true</v>
      </c>
      <c r="U128" s="1308"/>
      <c r="V128" s="1328"/>
      <c r="W128" s="1308"/>
      <c r="X128" s="1539"/>
      <c r="Y128" s="1528"/>
      <c r="Z128" s="1328"/>
      <c r="AA128" s="1328"/>
      <c r="AB128" s="236" t="s">
        <v>454</v>
      </c>
      <c r="AC128" s="325" t="s">
        <v>683</v>
      </c>
      <c r="AD128" s="89" t="s">
        <v>657</v>
      </c>
      <c r="AE128" s="275">
        <v>24887.42097</v>
      </c>
      <c r="AF128" s="275">
        <v>18131</v>
      </c>
      <c r="AG128" s="275">
        <v>18131</v>
      </c>
      <c r="AH128" s="275"/>
      <c r="AI128" s="275">
        <v>22899.56366</v>
      </c>
      <c r="AJ128" s="1971"/>
      <c r="AK128" s="1971"/>
      <c r="AL128" s="1971"/>
      <c r="AM128" s="1971"/>
      <c r="AN128" s="1971"/>
      <c r="AO128" s="1971"/>
      <c r="AP128" s="1971"/>
      <c r="AQ128" s="1971"/>
      <c r="AR128" s="1971"/>
      <c r="AS128" s="275">
        <v>23404.57267</v>
      </c>
      <c r="AT128" s="1971"/>
      <c r="AU128" s="1971"/>
      <c r="AV128" s="1971"/>
      <c r="AW128" s="1971"/>
      <c r="AX128" s="1971"/>
      <c r="AY128" s="1971"/>
      <c r="AZ128" s="1971"/>
      <c r="BA128" s="1971"/>
      <c r="BB128" s="1971"/>
      <c r="BC128" s="280"/>
      <c r="BD128" s="1328"/>
      <c r="BE128" s="1328"/>
      <c r="BF128" s="1023" t="s">
        <v>684</v>
      </c>
    </row>
    <row s="1656" customFormat="1" customHeight="1" ht="62.671875">
      <c r="A129" s="1328"/>
      <c r="B129" s="1186"/>
      <c r="C129" s="1328"/>
      <c r="D129" s="1328"/>
      <c r="E129" s="637">
        <v>15</v>
      </c>
      <c r="F129" s="50" cm="1" t="str">
        <f t="array" ref="F129:F129">OFFSET(E129,-1,1)</f>
        <v>1</v>
      </c>
      <c r="G129" s="1328"/>
      <c r="H129" s="94" t="s">
        <v>685</v>
      </c>
      <c r="I129" s="1328"/>
      <c r="J129" s="1328"/>
      <c r="K129" s="1328"/>
      <c r="L129" s="1328"/>
      <c r="M129" s="1328"/>
      <c r="N129" s="1328"/>
      <c r="O129" s="1328"/>
      <c r="P129" s="1308"/>
      <c r="Q129" s="1308"/>
      <c r="R129" s="1308"/>
      <c r="S129" s="1308"/>
      <c r="T129" s="468" cm="1" t="str">
        <f t="array" ref="T129:T129">T128</f>
        <v>true</v>
      </c>
      <c r="U129" s="1308"/>
      <c r="V129" s="1328"/>
      <c r="W129" s="1308"/>
      <c r="X129" s="1539"/>
      <c r="Y129" s="1528"/>
      <c r="Z129" s="1328"/>
      <c r="AA129" s="1328"/>
      <c r="AB129" s="236" t="s">
        <v>457</v>
      </c>
      <c r="AC129" s="326" t="s">
        <v>686</v>
      </c>
      <c r="AD129" s="89" t="s">
        <v>657</v>
      </c>
      <c r="AE129" s="311">
        <f>AE135+AE133</f>
        <v>21563.51297</v>
      </c>
      <c r="AF129" s="311">
        <f>AF135+AF133</f>
        <v>18133.9802</v>
      </c>
      <c r="AG129" s="311">
        <f>AG135+AG133</f>
        <v>18133.97975</v>
      </c>
      <c r="AH129" s="311">
        <f>AH135+AH133</f>
        <v>20359.35967</v>
      </c>
      <c r="AI129" s="311">
        <f>AI135+AI133</f>
        <v>19575.65566</v>
      </c>
      <c r="AJ129" s="311">
        <f>AJ135+AJ133</f>
        <v>0</v>
      </c>
      <c r="AK129" s="311">
        <f>AK135+AK133</f>
        <v>0</v>
      </c>
      <c r="AL129" s="311">
        <f>AL135+AL133</f>
        <v>0</v>
      </c>
      <c r="AM129" s="311">
        <f>AM135+AM133</f>
        <v>0</v>
      </c>
      <c r="AN129" s="311">
        <f>AN135+AN133</f>
        <v>0</v>
      </c>
      <c r="AO129" s="311">
        <f>AO135+AO133</f>
        <v>0</v>
      </c>
      <c r="AP129" s="311">
        <f>AP135+AP133</f>
        <v>0</v>
      </c>
      <c r="AQ129" s="311">
        <f>AQ135+AQ133</f>
        <v>0</v>
      </c>
      <c r="AR129" s="311">
        <f>AR135+AR133</f>
        <v>0</v>
      </c>
      <c r="AS129" s="311">
        <f>AS135+AS133</f>
        <v>20349.62895</v>
      </c>
      <c r="AT129" s="311">
        <f>AT135+AT133</f>
        <v>0</v>
      </c>
      <c r="AU129" s="311">
        <f>AU135+AU133</f>
        <v>0</v>
      </c>
      <c r="AV129" s="311">
        <f>AV135+AV133</f>
        <v>0</v>
      </c>
      <c r="AW129" s="311">
        <f>AW135+AW133</f>
        <v>0</v>
      </c>
      <c r="AX129" s="311">
        <f>AX135+AX133</f>
        <v>0</v>
      </c>
      <c r="AY129" s="311">
        <f>AY135+AY133</f>
        <v>0</v>
      </c>
      <c r="AZ129" s="311">
        <f>AZ135+AZ133</f>
        <v>0</v>
      </c>
      <c r="BA129" s="311">
        <f>BA135+BA133</f>
        <v>0</v>
      </c>
      <c r="BB129" s="311">
        <f>BB135+BB133</f>
        <v>0</v>
      </c>
      <c r="BC129" s="280" t="s">
        <v>897</v>
      </c>
      <c r="BD129" s="1328"/>
      <c r="BE129" s="1328"/>
      <c r="BF129" s="1023" t="s">
        <v>687</v>
      </c>
    </row>
    <row s="1656" customFormat="1" customHeight="1" ht="23.25">
      <c r="A130" s="1328"/>
      <c r="B130" s="1186"/>
      <c r="C130" s="1328"/>
      <c r="D130" s="1328"/>
      <c r="E130" s="637">
        <v>22.5</v>
      </c>
      <c r="F130" s="50" cm="1" t="str">
        <f t="array" ref="F130:F130">OFFSET(E130,-1,1)</f>
        <v>1</v>
      </c>
      <c r="G130" s="1328"/>
      <c r="H130" s="94" t="s">
        <v>688</v>
      </c>
      <c r="I130" s="1328"/>
      <c r="J130" s="1328"/>
      <c r="K130" s="1328"/>
      <c r="L130" s="1328"/>
      <c r="M130" s="1328"/>
      <c r="N130" s="1328"/>
      <c r="O130" s="1328"/>
      <c r="P130" s="1308"/>
      <c r="Q130" s="1308"/>
      <c r="R130" s="1308"/>
      <c r="S130" s="1308"/>
      <c r="T130" s="468" cm="1" t="str">
        <f t="array" ref="T130:T130">T129</f>
        <v>true</v>
      </c>
      <c r="U130" s="1308"/>
      <c r="V130" s="1328"/>
      <c r="W130" s="1308"/>
      <c r="X130" s="1539"/>
      <c r="Y130" s="1528"/>
      <c r="Z130" s="1328"/>
      <c r="AA130" s="1328"/>
      <c r="AB130" s="236" t="s">
        <v>689</v>
      </c>
      <c r="AC130" s="188" t="s">
        <v>690</v>
      </c>
      <c r="AD130" s="89" t="s">
        <v>657</v>
      </c>
      <c r="AE130" s="275">
        <v>21563.51297</v>
      </c>
      <c r="AF130" s="275">
        <v>21024.4</v>
      </c>
      <c r="AG130" s="275">
        <v>21024.4</v>
      </c>
      <c r="AH130" s="275">
        <v>20359.35967</v>
      </c>
      <c r="AI130" s="275">
        <v>22899.56366</v>
      </c>
      <c r="AJ130" s="1971"/>
      <c r="AK130" s="1971"/>
      <c r="AL130" s="1971"/>
      <c r="AM130" s="1971"/>
      <c r="AN130" s="1971"/>
      <c r="AO130" s="1971"/>
      <c r="AP130" s="1971"/>
      <c r="AQ130" s="1971"/>
      <c r="AR130" s="1971"/>
      <c r="AS130" s="275">
        <v>23404.57267</v>
      </c>
      <c r="AT130" s="1971"/>
      <c r="AU130" s="1971"/>
      <c r="AV130" s="1971"/>
      <c r="AW130" s="1971"/>
      <c r="AX130" s="1971"/>
      <c r="AY130" s="1971"/>
      <c r="AZ130" s="1971"/>
      <c r="BA130" s="1971"/>
      <c r="BB130" s="1971"/>
      <c r="BC130" s="280"/>
      <c r="BD130" s="1328"/>
      <c r="BE130" s="1328"/>
      <c r="BF130" s="1023" t="s">
        <v>691</v>
      </c>
    </row>
    <row s="1656" customFormat="1" customHeight="1" ht="23.25">
      <c r="A131" s="1328"/>
      <c r="B131" s="1186"/>
      <c r="C131" s="1328"/>
      <c r="D131" s="1328"/>
      <c r="E131" s="637">
        <v>15</v>
      </c>
      <c r="F131" s="50" cm="1" t="str">
        <f t="array" ref="F131:F131">OFFSET(E131,-1,1)</f>
        <v>1</v>
      </c>
      <c r="G131" s="1328"/>
      <c r="H131" s="94" t="s">
        <v>692</v>
      </c>
      <c r="I131" s="1328"/>
      <c r="J131" s="1328"/>
      <c r="K131" s="1328"/>
      <c r="L131" s="1328"/>
      <c r="M131" s="1328"/>
      <c r="N131" s="1328"/>
      <c r="O131" s="1328"/>
      <c r="P131" s="1308"/>
      <c r="Q131" s="1308"/>
      <c r="R131" s="1308"/>
      <c r="S131" s="1308"/>
      <c r="T131" s="468" cm="1" t="str">
        <f t="array" ref="T131:T131">T130</f>
        <v>true</v>
      </c>
      <c r="U131" s="1308"/>
      <c r="V131" s="1328"/>
      <c r="W131" s="1308"/>
      <c r="X131" s="1539"/>
      <c r="Y131" s="1528"/>
      <c r="Z131" s="1328"/>
      <c r="AA131" s="1328"/>
      <c r="AB131" s="236" t="s">
        <v>693</v>
      </c>
      <c r="AC131" s="188" t="s">
        <v>694</v>
      </c>
      <c r="AD131" s="89" t="s">
        <v>657</v>
      </c>
      <c r="AE131" s="275"/>
      <c r="AF131" s="275"/>
      <c r="AG131" s="275"/>
      <c r="AH131" s="275"/>
      <c r="AI131" s="275"/>
      <c r="AJ131" s="1971"/>
      <c r="AK131" s="1971"/>
      <c r="AL131" s="1971"/>
      <c r="AM131" s="1971"/>
      <c r="AN131" s="1971"/>
      <c r="AO131" s="1971"/>
      <c r="AP131" s="1971"/>
      <c r="AQ131" s="1971"/>
      <c r="AR131" s="1971"/>
      <c r="AS131" s="275"/>
      <c r="AT131" s="1971"/>
      <c r="AU131" s="1971"/>
      <c r="AV131" s="1971"/>
      <c r="AW131" s="1971"/>
      <c r="AX131" s="1971"/>
      <c r="AY131" s="1971"/>
      <c r="AZ131" s="1971"/>
      <c r="BA131" s="1971"/>
      <c r="BB131" s="1971"/>
      <c r="BC131" s="280"/>
      <c r="BD131" s="1328"/>
      <c r="BE131" s="1328"/>
      <c r="BF131" s="1023" t="s">
        <v>695</v>
      </c>
    </row>
    <row s="1656" customFormat="1" customHeight="1" ht="23.25">
      <c r="A132" s="1328"/>
      <c r="B132" s="1186"/>
      <c r="C132" s="1328"/>
      <c r="D132" s="1328"/>
      <c r="E132" s="637">
        <v>22.5</v>
      </c>
      <c r="F132" s="50" cm="1" t="str">
        <f t="array" ref="F132:F132">OFFSET(E132,-1,1)</f>
        <v>1</v>
      </c>
      <c r="G132" s="1328"/>
      <c r="H132" s="94" t="s">
        <v>696</v>
      </c>
      <c r="I132" s="1328"/>
      <c r="J132" s="1328"/>
      <c r="K132" s="1328"/>
      <c r="L132" s="1328"/>
      <c r="M132" s="1328"/>
      <c r="N132" s="1328"/>
      <c r="O132" s="1328"/>
      <c r="P132" s="1308"/>
      <c r="Q132" s="1308"/>
      <c r="R132" s="1308"/>
      <c r="S132" s="1308"/>
      <c r="T132" s="468" cm="1" t="str">
        <f t="array" ref="T132:T132">T131</f>
        <v>true</v>
      </c>
      <c r="U132" s="1308"/>
      <c r="V132" s="1328"/>
      <c r="W132" s="1308"/>
      <c r="X132" s="1539"/>
      <c r="Y132" s="1528"/>
      <c r="Z132" s="1328"/>
      <c r="AA132" s="1328"/>
      <c r="AB132" s="236" t="s">
        <v>697</v>
      </c>
      <c r="AC132" s="188" t="s">
        <v>698</v>
      </c>
      <c r="AD132" s="89" t="s">
        <v>657</v>
      </c>
      <c r="AE132" s="275"/>
      <c r="AF132" s="275"/>
      <c r="AG132" s="275"/>
      <c r="AH132" s="275"/>
      <c r="AI132" s="275"/>
      <c r="AJ132" s="1971"/>
      <c r="AK132" s="1971"/>
      <c r="AL132" s="1971"/>
      <c r="AM132" s="1971"/>
      <c r="AN132" s="1971"/>
      <c r="AO132" s="1971"/>
      <c r="AP132" s="1971"/>
      <c r="AQ132" s="1971"/>
      <c r="AR132" s="1971"/>
      <c r="AS132" s="275"/>
      <c r="AT132" s="1971"/>
      <c r="AU132" s="1971"/>
      <c r="AV132" s="1971"/>
      <c r="AW132" s="1971"/>
      <c r="AX132" s="1971"/>
      <c r="AY132" s="1971"/>
      <c r="AZ132" s="1971"/>
      <c r="BA132" s="1971"/>
      <c r="BB132" s="1971"/>
      <c r="BC132" s="280"/>
      <c r="BD132" s="1328"/>
      <c r="BE132" s="1328"/>
      <c r="BF132" s="1023" t="s">
        <v>699</v>
      </c>
    </row>
    <row s="1656" customFormat="1" customHeight="1" ht="63.421875">
      <c r="A133" s="1328"/>
      <c r="B133" s="1186"/>
      <c r="C133" s="1328"/>
      <c r="D133" s="1328"/>
      <c r="E133" s="637">
        <v>15</v>
      </c>
      <c r="F133" s="50" cm="1" t="str">
        <f t="array" ref="F133:F133">OFFSET(E133,-1,1)</f>
        <v>1</v>
      </c>
      <c r="G133" s="1328"/>
      <c r="H133" s="94" t="s">
        <v>700</v>
      </c>
      <c r="I133" s="1328"/>
      <c r="J133" s="1328"/>
      <c r="K133" s="1328"/>
      <c r="L133" s="1328"/>
      <c r="M133" s="1328"/>
      <c r="N133" s="1328"/>
      <c r="O133" s="1328"/>
      <c r="P133" s="1308"/>
      <c r="Q133" s="1308"/>
      <c r="R133" s="1308"/>
      <c r="S133" s="1308"/>
      <c r="T133" s="468" cm="1" t="str">
        <f t="array" ref="T133:T133">T132</f>
        <v>true</v>
      </c>
      <c r="U133" s="1308"/>
      <c r="V133" s="1328"/>
      <c r="W133" s="1308"/>
      <c r="X133" s="1539"/>
      <c r="Y133" s="1528"/>
      <c r="Z133" s="1328"/>
      <c r="AA133" s="1328"/>
      <c r="AB133" s="236" t="s">
        <v>460</v>
      </c>
      <c r="AC133" s="325" t="s">
        <v>701</v>
      </c>
      <c r="AD133" s="89" t="s">
        <v>657</v>
      </c>
      <c r="AE133" s="275">
        <v>9594.72268</v>
      </c>
      <c r="AF133" s="275">
        <v>7165.131</v>
      </c>
      <c r="AG133" s="275">
        <v>7165.131</v>
      </c>
      <c r="AH133" s="275">
        <v>9085.17038</v>
      </c>
      <c r="AI133" s="275">
        <v>8736.05775</v>
      </c>
      <c r="AJ133" s="1971"/>
      <c r="AK133" s="1971"/>
      <c r="AL133" s="1971"/>
      <c r="AM133" s="1971"/>
      <c r="AN133" s="1971"/>
      <c r="AO133" s="1971"/>
      <c r="AP133" s="1971"/>
      <c r="AQ133" s="1971"/>
      <c r="AR133" s="1971"/>
      <c r="AS133" s="275">
        <v>9062.0208</v>
      </c>
      <c r="AT133" s="1971"/>
      <c r="AU133" s="1971"/>
      <c r="AV133" s="1971"/>
      <c r="AW133" s="1971"/>
      <c r="AX133" s="1971"/>
      <c r="AY133" s="1971"/>
      <c r="AZ133" s="1971"/>
      <c r="BA133" s="1971"/>
      <c r="BB133" s="1971"/>
      <c r="BC133" s="280" t="s">
        <v>898</v>
      </c>
      <c r="BD133" s="1328"/>
      <c r="BE133" s="1328"/>
      <c r="BF133" s="1023" t="s">
        <v>702</v>
      </c>
    </row>
    <row s="1656" customFormat="1" customHeight="1" ht="48.421875">
      <c r="A134" s="1328"/>
      <c r="B134" s="1186"/>
      <c r="C134" s="1328"/>
      <c r="D134" s="1328"/>
      <c r="E134" s="637">
        <v>15</v>
      </c>
      <c r="F134" s="50" cm="1" t="str">
        <f t="array" ref="F134:F134">OFFSET(E134,-1,1)</f>
        <v>1</v>
      </c>
      <c r="G134" s="1328"/>
      <c r="H134" s="94" t="s">
        <v>703</v>
      </c>
      <c r="I134" s="1328"/>
      <c r="J134" s="1328"/>
      <c r="K134" s="1328"/>
      <c r="L134" s="1328"/>
      <c r="M134" s="1328"/>
      <c r="N134" s="1328"/>
      <c r="O134" s="1328"/>
      <c r="P134" s="1308"/>
      <c r="Q134" s="1308"/>
      <c r="R134" s="1308"/>
      <c r="S134" s="1308"/>
      <c r="T134" s="468" cm="1" t="str">
        <f t="array" ref="T134:T134">T133</f>
        <v>true</v>
      </c>
      <c r="U134" s="1308"/>
      <c r="V134" s="1328"/>
      <c r="W134" s="1308"/>
      <c r="X134" s="1539"/>
      <c r="Y134" s="1528"/>
      <c r="Z134" s="1328"/>
      <c r="AA134" s="1328"/>
      <c r="AB134" s="236" t="s">
        <v>704</v>
      </c>
      <c r="AC134" s="327" t="s">
        <v>705</v>
      </c>
      <c r="AD134" s="89" t="s">
        <v>561</v>
      </c>
      <c r="AE134" s="137">
        <v>44.4951742944</v>
      </c>
      <c r="AF134" s="137">
        <f>IF(AF129=0,0,AF133/AF129*100)</f>
        <v>39.512180563647</v>
      </c>
      <c r="AG134" s="137">
        <f>IF(AG129=0,0,AG133/AG129*100)</f>
        <v>39.5121815441533</v>
      </c>
      <c r="AH134" s="137">
        <v>44.6240477464</v>
      </c>
      <c r="AI134" s="137">
        <f>IF(AI129=0,0,AI133/AI129*100)</f>
        <v>44.6271527336418</v>
      </c>
      <c r="AJ134" s="1817">
        <f>IF(AJ129=0,0,AJ133/AJ129*100)</f>
        <v>0</v>
      </c>
      <c r="AK134" s="1817">
        <f>IF(AK129=0,0,AK133/AK129*100)</f>
        <v>0</v>
      </c>
      <c r="AL134" s="1817">
        <f>IF(AL129=0,0,AL133/AL129*100)</f>
        <v>0</v>
      </c>
      <c r="AM134" s="1817">
        <f>IF(AM129=0,0,AM133/AM129*100)</f>
        <v>0</v>
      </c>
      <c r="AN134" s="1817">
        <f>IF(AN129=0,0,AN133/AN129*100)</f>
        <v>0</v>
      </c>
      <c r="AO134" s="1817">
        <f>IF(AO129=0,0,AO133/AO129*100)</f>
        <v>0</v>
      </c>
      <c r="AP134" s="1817">
        <f>IF(AP129=0,0,AP133/AP129*100)</f>
        <v>0</v>
      </c>
      <c r="AQ134" s="1817">
        <f>IF(AQ129=0,0,AQ133/AQ129*100)</f>
        <v>0</v>
      </c>
      <c r="AR134" s="1817">
        <f>IF(AR129=0,0,AR133/AR129*100)</f>
        <v>0</v>
      </c>
      <c r="AS134" s="137">
        <f>IF(AS129=0,0,AS133/AS129*100)</f>
        <v>44.5316267056555</v>
      </c>
      <c r="AT134" s="1817">
        <f>IF(AT129=0,0,AT133/AT129*100)</f>
        <v>0</v>
      </c>
      <c r="AU134" s="1817">
        <f>IF(AU129=0,0,AU133/AU129*100)</f>
        <v>0</v>
      </c>
      <c r="AV134" s="1817">
        <f>IF(AV129=0,0,AV133/AV129*100)</f>
        <v>0</v>
      </c>
      <c r="AW134" s="1817">
        <f>IF(AW129=0,0,AW133/AW129*100)</f>
        <v>0</v>
      </c>
      <c r="AX134" s="1817">
        <f>IF(AX129=0,0,AX133/AX129*100)</f>
        <v>0</v>
      </c>
      <c r="AY134" s="1817">
        <f>IF(AY129=0,0,AY133/AY129*100)</f>
        <v>0</v>
      </c>
      <c r="AZ134" s="1817">
        <f>IF(AZ129=0,0,AZ133/AZ129*100)</f>
        <v>0</v>
      </c>
      <c r="BA134" s="1817">
        <f>IF(BA129=0,0,BA133/BA129*100)</f>
        <v>0</v>
      </c>
      <c r="BB134" s="1817">
        <f>IF(BB129=0,0,BB133/BB129*100)</f>
        <v>0</v>
      </c>
      <c r="BC134" s="280" t="s">
        <v>899</v>
      </c>
      <c r="BD134" s="1328"/>
      <c r="BE134" s="1328"/>
      <c r="BF134" s="1023" t="s">
        <v>706</v>
      </c>
    </row>
    <row s="1656" customFormat="1" customHeight="1" ht="17.671875">
      <c r="A135" s="1328"/>
      <c r="B135" s="1186"/>
      <c r="C135" s="1328"/>
      <c r="D135" s="1328"/>
      <c r="E135" s="637">
        <v>15</v>
      </c>
      <c r="F135" s="50" cm="1" t="str">
        <f t="array" ref="F135:F135">OFFSET(E135,-1,1)</f>
        <v>1</v>
      </c>
      <c r="G135" s="1328"/>
      <c r="H135" s="94" t="s">
        <v>707</v>
      </c>
      <c r="I135" s="1328"/>
      <c r="J135" s="1328"/>
      <c r="K135" s="1328"/>
      <c r="L135" s="1328"/>
      <c r="M135" s="1328"/>
      <c r="N135" s="1328"/>
      <c r="O135" s="1328"/>
      <c r="P135" s="1308"/>
      <c r="Q135" s="1308"/>
      <c r="R135" s="1308"/>
      <c r="S135" s="1308"/>
      <c r="T135" s="468" cm="1" t="str">
        <f t="array" ref="T135:T135">T134</f>
        <v>true</v>
      </c>
      <c r="U135" s="1308"/>
      <c r="V135" s="1328"/>
      <c r="W135" s="1308"/>
      <c r="X135" s="1539"/>
      <c r="Y135" s="1528"/>
      <c r="Z135" s="1328"/>
      <c r="AA135" s="1328"/>
      <c r="AB135" s="236" t="s">
        <v>463</v>
      </c>
      <c r="AC135" s="325" t="s">
        <v>708</v>
      </c>
      <c r="AD135" s="89" t="s">
        <v>657</v>
      </c>
      <c r="AE135" s="311">
        <f>AE136+AE140+AE143+AE153</f>
        <v>11968.79029</v>
      </c>
      <c r="AF135" s="311">
        <f>AF136+AF140+AF143+AF153</f>
        <v>10968.8492</v>
      </c>
      <c r="AG135" s="311">
        <f>AG136+AG140+AG143+AG153</f>
        <v>10968.84875</v>
      </c>
      <c r="AH135" s="311">
        <f>AH136+AH140+AH143+AH153</f>
        <v>11274.18929</v>
      </c>
      <c r="AI135" s="311">
        <f>AI136+AI140+AI143+AI153</f>
        <v>10839.59791</v>
      </c>
      <c r="AJ135" s="311">
        <f>AJ136+AJ140+AJ143+AJ153</f>
        <v>0</v>
      </c>
      <c r="AK135" s="311">
        <f>AK136+AK140+AK143+AK153</f>
        <v>0</v>
      </c>
      <c r="AL135" s="311">
        <f>AL136+AL140+AL143+AL153</f>
        <v>0</v>
      </c>
      <c r="AM135" s="311">
        <f>AM136+AM140+AM143+AM153</f>
        <v>0</v>
      </c>
      <c r="AN135" s="311">
        <f>AN136+AN140+AN143+AN153</f>
        <v>0</v>
      </c>
      <c r="AO135" s="311">
        <f>AO136+AO140+AO143+AO153</f>
        <v>0</v>
      </c>
      <c r="AP135" s="311">
        <f>AP136+AP140+AP143+AP153</f>
        <v>0</v>
      </c>
      <c r="AQ135" s="311">
        <f>AQ136+AQ140+AQ143+AQ153</f>
        <v>0</v>
      </c>
      <c r="AR135" s="311">
        <f>AR136+AR140+AR143+AR153</f>
        <v>0</v>
      </c>
      <c r="AS135" s="311">
        <f>AS136+AS140+AS143+AS153</f>
        <v>11287.60815</v>
      </c>
      <c r="AT135" s="311">
        <f>AT136+AT140+AT143+AT153</f>
        <v>0</v>
      </c>
      <c r="AU135" s="311">
        <f>AU136+AU140+AU143+AU153</f>
        <v>0</v>
      </c>
      <c r="AV135" s="311">
        <f>AV136+AV140+AV143+AV153</f>
        <v>0</v>
      </c>
      <c r="AW135" s="311">
        <f>AW136+AW140+AW143+AW153</f>
        <v>0</v>
      </c>
      <c r="AX135" s="311">
        <f>AX136+AX140+AX143+AX153</f>
        <v>0</v>
      </c>
      <c r="AY135" s="311">
        <f>AY136+AY140+AY143+AY153</f>
        <v>0</v>
      </c>
      <c r="AZ135" s="311">
        <f>AZ136+AZ140+AZ143+AZ153</f>
        <v>0</v>
      </c>
      <c r="BA135" s="311">
        <f>BA136+BA140+BA143+BA153</f>
        <v>0</v>
      </c>
      <c r="BB135" s="311">
        <f>BB136+BB140+BB143+BB153</f>
        <v>0</v>
      </c>
      <c r="BC135" s="280"/>
      <c r="BD135" s="1328"/>
      <c r="BE135" s="1328"/>
      <c r="BF135" s="1023" t="s">
        <v>709</v>
      </c>
    </row>
    <row s="1656" customFormat="1" customHeight="1" ht="18.421875">
      <c r="A136" s="1328"/>
      <c r="B136" s="1186"/>
      <c r="C136" s="1328"/>
      <c r="D136" s="1328"/>
      <c r="E136" s="637">
        <v>15</v>
      </c>
      <c r="F136" s="50" cm="1" t="str">
        <f t="array" ref="F136:F136">OFFSET(E136,-1,1)</f>
        <v>1</v>
      </c>
      <c r="G136" s="94" t="str">
        <f>IF(OwnNeedsInPO="да","ПО","")</f>
        <v>ПО</v>
      </c>
      <c r="H136" s="94" t="s">
        <v>710</v>
      </c>
      <c r="I136" s="1328"/>
      <c r="J136" s="1328"/>
      <c r="K136" s="1328"/>
      <c r="L136" s="1328"/>
      <c r="M136" s="1328"/>
      <c r="N136" s="1328"/>
      <c r="O136" s="1328"/>
      <c r="P136" s="1308"/>
      <c r="Q136" s="1308"/>
      <c r="R136" s="1308"/>
      <c r="S136" s="1308"/>
      <c r="T136" s="468" cm="1" t="str">
        <f t="array" ref="T136:T136">T135</f>
        <v>true</v>
      </c>
      <c r="U136" s="1308"/>
      <c r="V136" s="1328"/>
      <c r="W136" s="1308"/>
      <c r="X136" s="1539"/>
      <c r="Y136" s="1528"/>
      <c r="Z136" s="1328"/>
      <c r="AA136" s="1328"/>
      <c r="AB136" s="236" t="s">
        <v>711</v>
      </c>
      <c r="AC136" s="188" t="s">
        <v>712</v>
      </c>
      <c r="AD136" s="89" t="s">
        <v>657</v>
      </c>
      <c r="AE136" s="311">
        <f>SUM(AE137:AE139)</f>
        <v>3354.925</v>
      </c>
      <c r="AF136" s="311">
        <f>SUM(AF137:AF139)</f>
        <v>2930.788</v>
      </c>
      <c r="AG136" s="311">
        <f>SUM(AG137:AG139)</f>
        <v>2930.788</v>
      </c>
      <c r="AH136" s="311">
        <f>SUM(AH137:AH139)</f>
        <v>2852.75441</v>
      </c>
      <c r="AI136" s="311">
        <f>SUM(AI137:AI139)</f>
        <v>3354.925</v>
      </c>
      <c r="AJ136" s="311">
        <f>SUM(AJ137:AJ139)</f>
        <v>0</v>
      </c>
      <c r="AK136" s="311">
        <f>SUM(AK137:AK139)</f>
        <v>0</v>
      </c>
      <c r="AL136" s="311">
        <f>SUM(AL137:AL139)</f>
        <v>0</v>
      </c>
      <c r="AM136" s="311">
        <f>SUM(AM137:AM139)</f>
        <v>0</v>
      </c>
      <c r="AN136" s="311">
        <f>SUM(AN137:AN139)</f>
        <v>0</v>
      </c>
      <c r="AO136" s="311">
        <f>SUM(AO137:AO139)</f>
        <v>0</v>
      </c>
      <c r="AP136" s="311">
        <f>SUM(AP137:AP139)</f>
        <v>0</v>
      </c>
      <c r="AQ136" s="311">
        <f>SUM(AQ137:AQ139)</f>
        <v>0</v>
      </c>
      <c r="AR136" s="311">
        <f>SUM(AR137:AR139)</f>
        <v>0</v>
      </c>
      <c r="AS136" s="311">
        <f>SUM(AS137:AS139)</f>
        <v>3354.925</v>
      </c>
      <c r="AT136" s="311">
        <f>SUM(AT137:AT139)</f>
        <v>0</v>
      </c>
      <c r="AU136" s="311">
        <f>SUM(AU137:AU139)</f>
        <v>0</v>
      </c>
      <c r="AV136" s="311">
        <f>SUM(AV137:AV139)</f>
        <v>0</v>
      </c>
      <c r="AW136" s="311">
        <f>SUM(AW137:AW139)</f>
        <v>0</v>
      </c>
      <c r="AX136" s="311">
        <f>SUM(AX137:AX139)</f>
        <v>0</v>
      </c>
      <c r="AY136" s="311">
        <f>SUM(AY137:AY139)</f>
        <v>0</v>
      </c>
      <c r="AZ136" s="311">
        <f>SUM(AZ137:AZ139)</f>
        <v>0</v>
      </c>
      <c r="BA136" s="311">
        <f>SUM(BA137:BA139)</f>
        <v>0</v>
      </c>
      <c r="BB136" s="311">
        <f>SUM(BB137:BB139)</f>
        <v>0</v>
      </c>
      <c r="BC136" s="280" t="s">
        <v>900</v>
      </c>
      <c r="BD136" s="1328"/>
      <c r="BE136" s="1328"/>
      <c r="BF136" s="1023" t="s">
        <v>713</v>
      </c>
    </row>
    <row s="1656" customFormat="1" customHeight="1" ht="12.75">
      <c r="A137" s="1328"/>
      <c r="B137" s="1186"/>
      <c r="C137" s="1328"/>
      <c r="D137" s="1328"/>
      <c r="E137" s="637">
        <v>15</v>
      </c>
      <c r="F137" s="50" cm="1" t="str">
        <f t="array" ref="F137:F137">OFFSET(E137,-1,1)</f>
        <v>1</v>
      </c>
      <c r="G137" s="1328"/>
      <c r="H137" s="94" t="s">
        <v>714</v>
      </c>
      <c r="I137" s="1328"/>
      <c r="J137" s="1328"/>
      <c r="K137" s="1328"/>
      <c r="L137" s="1328"/>
      <c r="M137" s="1328"/>
      <c r="N137" s="1328"/>
      <c r="O137" s="1328"/>
      <c r="P137" s="1308"/>
      <c r="Q137" s="1308"/>
      <c r="R137" s="1308"/>
      <c r="S137" s="1308"/>
      <c r="T137" s="468" cm="1" t="str">
        <f t="array" ref="T137:T137">T136</f>
        <v>true</v>
      </c>
      <c r="U137" s="1308"/>
      <c r="V137" s="1328"/>
      <c r="W137" s="1308"/>
      <c r="X137" s="1539"/>
      <c r="Y137" s="1528"/>
      <c r="Z137" s="1328"/>
      <c r="AA137" s="1328"/>
      <c r="AB137" s="236" t="s">
        <v>715</v>
      </c>
      <c r="AC137" s="328" t="s">
        <v>716</v>
      </c>
      <c r="AD137" s="89" t="s">
        <v>657</v>
      </c>
      <c r="AE137" s="275"/>
      <c r="AF137" s="275"/>
      <c r="AG137" s="275"/>
      <c r="AH137" s="275"/>
      <c r="AI137" s="275"/>
      <c r="AJ137" s="1971"/>
      <c r="AK137" s="1971"/>
      <c r="AL137" s="1971"/>
      <c r="AM137" s="1971"/>
      <c r="AN137" s="1971"/>
      <c r="AO137" s="1971"/>
      <c r="AP137" s="1971"/>
      <c r="AQ137" s="1971"/>
      <c r="AR137" s="1971"/>
      <c r="AS137" s="275"/>
      <c r="AT137" s="1971"/>
      <c r="AU137" s="1971"/>
      <c r="AV137" s="1971"/>
      <c r="AW137" s="1971"/>
      <c r="AX137" s="1971"/>
      <c r="AY137" s="1971"/>
      <c r="AZ137" s="1971"/>
      <c r="BA137" s="1971"/>
      <c r="BB137" s="1971"/>
      <c r="BC137" s="280"/>
      <c r="BD137" s="1328"/>
      <c r="BE137" s="1328"/>
      <c r="BF137" s="1023" t="s">
        <v>717</v>
      </c>
    </row>
    <row s="1656" customFormat="1" customHeight="1" ht="19.171875">
      <c r="A138" s="1328"/>
      <c r="B138" s="1186"/>
      <c r="C138" s="1328"/>
      <c r="D138" s="1328"/>
      <c r="E138" s="637">
        <v>15</v>
      </c>
      <c r="F138" s="50" cm="1" t="str">
        <f t="array" ref="F138:F138">OFFSET(E138,-1,1)</f>
        <v>1</v>
      </c>
      <c r="G138" s="1328"/>
      <c r="H138" s="94" t="s">
        <v>718</v>
      </c>
      <c r="I138" s="1328"/>
      <c r="J138" s="1328"/>
      <c r="K138" s="1328"/>
      <c r="L138" s="1328"/>
      <c r="M138" s="1328"/>
      <c r="N138" s="1328"/>
      <c r="O138" s="1328"/>
      <c r="P138" s="1308"/>
      <c r="Q138" s="1308"/>
      <c r="R138" s="1308"/>
      <c r="S138" s="1308"/>
      <c r="T138" s="468" cm="1" t="str">
        <f t="array" ref="T138:T138">T137</f>
        <v>true</v>
      </c>
      <c r="U138" s="1308"/>
      <c r="V138" s="1328"/>
      <c r="W138" s="1308"/>
      <c r="X138" s="1539"/>
      <c r="Y138" s="1528"/>
      <c r="Z138" s="1328"/>
      <c r="AA138" s="1328"/>
      <c r="AB138" s="236" t="s">
        <v>719</v>
      </c>
      <c r="AC138" s="328" t="s">
        <v>720</v>
      </c>
      <c r="AD138" s="89" t="s">
        <v>657</v>
      </c>
      <c r="AE138" s="275">
        <v>3354.925</v>
      </c>
      <c r="AF138" s="275">
        <v>2930.788</v>
      </c>
      <c r="AG138" s="275">
        <v>2930.788</v>
      </c>
      <c r="AH138" s="275">
        <v>2852.75441</v>
      </c>
      <c r="AI138" s="275">
        <v>3354.925</v>
      </c>
      <c r="AJ138" s="1971"/>
      <c r="AK138" s="1971"/>
      <c r="AL138" s="1971"/>
      <c r="AM138" s="1971"/>
      <c r="AN138" s="1971"/>
      <c r="AO138" s="1971"/>
      <c r="AP138" s="1971"/>
      <c r="AQ138" s="1971"/>
      <c r="AR138" s="1971"/>
      <c r="AS138" s="275">
        <v>3354.925</v>
      </c>
      <c r="AT138" s="1971"/>
      <c r="AU138" s="1971"/>
      <c r="AV138" s="1971"/>
      <c r="AW138" s="1971"/>
      <c r="AX138" s="1971"/>
      <c r="AY138" s="1971"/>
      <c r="AZ138" s="1971"/>
      <c r="BA138" s="1971"/>
      <c r="BB138" s="1971"/>
      <c r="BC138" s="280" t="s">
        <v>901</v>
      </c>
      <c r="BD138" s="1328"/>
      <c r="BE138" s="1328"/>
      <c r="BF138" s="1023" t="s">
        <v>721</v>
      </c>
    </row>
    <row s="1656" customFormat="1" customHeight="1" ht="12.75">
      <c r="A139" s="1328"/>
      <c r="B139" s="1186"/>
      <c r="C139" s="1328"/>
      <c r="D139" s="1328"/>
      <c r="E139" s="637">
        <v>15</v>
      </c>
      <c r="F139" s="50" cm="1" t="str">
        <f t="array" ref="F139:F139">OFFSET(E139,-1,1)</f>
        <v>1</v>
      </c>
      <c r="G139" s="1328"/>
      <c r="H139" s="94" t="s">
        <v>722</v>
      </c>
      <c r="I139" s="1328"/>
      <c r="J139" s="1328"/>
      <c r="K139" s="1328"/>
      <c r="L139" s="1328"/>
      <c r="M139" s="1328"/>
      <c r="N139" s="1328"/>
      <c r="O139" s="1328"/>
      <c r="P139" s="1308"/>
      <c r="Q139" s="1308"/>
      <c r="R139" s="1308"/>
      <c r="S139" s="1308"/>
      <c r="T139" s="468" cm="1" t="str">
        <f t="array" ref="T139:T139">T138</f>
        <v>true</v>
      </c>
      <c r="U139" s="1308"/>
      <c r="V139" s="1328"/>
      <c r="W139" s="1308"/>
      <c r="X139" s="1539"/>
      <c r="Y139" s="1528"/>
      <c r="Z139" s="1328"/>
      <c r="AA139" s="1328"/>
      <c r="AB139" s="236" t="s">
        <v>723</v>
      </c>
      <c r="AC139" s="328" t="s">
        <v>724</v>
      </c>
      <c r="AD139" s="89" t="s">
        <v>657</v>
      </c>
      <c r="AE139" s="275"/>
      <c r="AF139" s="275"/>
      <c r="AG139" s="275"/>
      <c r="AH139" s="275"/>
      <c r="AI139" s="275"/>
      <c r="AJ139" s="1971"/>
      <c r="AK139" s="1971"/>
      <c r="AL139" s="1971"/>
      <c r="AM139" s="1971"/>
      <c r="AN139" s="1971"/>
      <c r="AO139" s="1971"/>
      <c r="AP139" s="1971"/>
      <c r="AQ139" s="1971"/>
      <c r="AR139" s="1971"/>
      <c r="AS139" s="275"/>
      <c r="AT139" s="1971"/>
      <c r="AU139" s="1971"/>
      <c r="AV139" s="1971"/>
      <c r="AW139" s="1971"/>
      <c r="AX139" s="1971"/>
      <c r="AY139" s="1971"/>
      <c r="AZ139" s="1971"/>
      <c r="BA139" s="1971"/>
      <c r="BB139" s="1971"/>
      <c r="BC139" s="280"/>
      <c r="BD139" s="1328"/>
      <c r="BE139" s="1328"/>
      <c r="BF139" s="1023" t="s">
        <v>725</v>
      </c>
    </row>
    <row s="1656" customFormat="1" customHeight="1" ht="25.921875">
      <c r="A140" s="1328"/>
      <c r="B140" s="1186"/>
      <c r="C140" s="1328"/>
      <c r="D140" s="1328"/>
      <c r="E140" s="637">
        <v>15</v>
      </c>
      <c r="F140" s="50" cm="1" t="str">
        <f t="array" ref="F140:F140">OFFSET(E140,-1,1)</f>
        <v>1</v>
      </c>
      <c r="G140" s="94" t="s">
        <v>726</v>
      </c>
      <c r="H140" s="94" t="s">
        <v>727</v>
      </c>
      <c r="I140" s="1328"/>
      <c r="J140" s="1328"/>
      <c r="K140" s="1328"/>
      <c r="L140" s="1328"/>
      <c r="M140" s="1328"/>
      <c r="N140" s="1328"/>
      <c r="O140" s="1328"/>
      <c r="P140" s="1308"/>
      <c r="Q140" s="1308"/>
      <c r="R140" s="1308"/>
      <c r="S140" s="1308"/>
      <c r="T140" s="468" cm="1" t="str">
        <f t="array" ref="T140:T140">T139</f>
        <v>true</v>
      </c>
      <c r="U140" s="1308"/>
      <c r="V140" s="1328"/>
      <c r="W140" s="1308"/>
      <c r="X140" s="1539"/>
      <c r="Y140" s="1528"/>
      <c r="Z140" s="1328"/>
      <c r="AA140" s="1328"/>
      <c r="AB140" s="236" t="s">
        <v>728</v>
      </c>
      <c r="AC140" s="188" t="s">
        <v>729</v>
      </c>
      <c r="AD140" s="89" t="s">
        <v>657</v>
      </c>
      <c r="AE140" s="311">
        <f>SUM(AE141:AE142)</f>
        <v>1856.40194</v>
      </c>
      <c r="AF140" s="311">
        <f>SUM(AF141:AF142)</f>
        <v>1198.354</v>
      </c>
      <c r="AG140" s="311">
        <f>SUM(AG141:AG142)</f>
        <v>1198.354</v>
      </c>
      <c r="AH140" s="311">
        <f>SUM(AH141:AH142)</f>
        <v>1213.622</v>
      </c>
      <c r="AI140" s="311">
        <f>SUM(AI141:AI142)</f>
        <v>1104.40305</v>
      </c>
      <c r="AJ140" s="311">
        <f>SUM(AJ141:AJ142)</f>
        <v>0</v>
      </c>
      <c r="AK140" s="311">
        <f>SUM(AK141:AK142)</f>
        <v>0</v>
      </c>
      <c r="AL140" s="311">
        <f>SUM(AL141:AL142)</f>
        <v>0</v>
      </c>
      <c r="AM140" s="311">
        <f>SUM(AM141:AM142)</f>
        <v>0</v>
      </c>
      <c r="AN140" s="311">
        <f>SUM(AN141:AN142)</f>
        <v>0</v>
      </c>
      <c r="AO140" s="311">
        <f>SUM(AO141:AO142)</f>
        <v>0</v>
      </c>
      <c r="AP140" s="311">
        <f>SUM(AP141:AP142)</f>
        <v>0</v>
      </c>
      <c r="AQ140" s="311">
        <f>SUM(AQ141:AQ142)</f>
        <v>0</v>
      </c>
      <c r="AR140" s="311">
        <f>SUM(AR141:AR142)</f>
        <v>0</v>
      </c>
      <c r="AS140" s="311">
        <f>SUM(AS141:AS142)</f>
        <v>1081.51449</v>
      </c>
      <c r="AT140" s="311">
        <f>SUM(AT141:AT142)</f>
        <v>0</v>
      </c>
      <c r="AU140" s="311">
        <f>SUM(AU141:AU142)</f>
        <v>0</v>
      </c>
      <c r="AV140" s="311">
        <f>SUM(AV141:AV142)</f>
        <v>0</v>
      </c>
      <c r="AW140" s="311">
        <f>SUM(AW141:AW142)</f>
        <v>0</v>
      </c>
      <c r="AX140" s="311">
        <f>SUM(AX141:AX142)</f>
        <v>0</v>
      </c>
      <c r="AY140" s="311">
        <f>SUM(AY141:AY142)</f>
        <v>0</v>
      </c>
      <c r="AZ140" s="311">
        <f>SUM(AZ141:AZ142)</f>
        <v>0</v>
      </c>
      <c r="BA140" s="311">
        <f>SUM(BA141:BA142)</f>
        <v>0</v>
      </c>
      <c r="BB140" s="311">
        <f>SUM(BB141:BB142)</f>
        <v>0</v>
      </c>
      <c r="BC140" s="280" t="s">
        <v>902</v>
      </c>
      <c r="BD140" s="1328"/>
      <c r="BE140" s="1328"/>
      <c r="BF140" s="1023" t="s">
        <v>730</v>
      </c>
    </row>
    <row s="1656" customFormat="1" customHeight="1" ht="47.671875">
      <c r="A141" s="1328"/>
      <c r="B141" s="1186"/>
      <c r="C141" s="1328"/>
      <c r="D141" s="1328"/>
      <c r="E141" s="637">
        <v>15</v>
      </c>
      <c r="F141" s="50" cm="1" t="str">
        <f t="array" ref="F141:F141">OFFSET(E141,-1,1)</f>
        <v>1</v>
      </c>
      <c r="G141" s="1328"/>
      <c r="H141" s="94" t="s">
        <v>731</v>
      </c>
      <c r="I141" s="1328"/>
      <c r="J141" s="1328"/>
      <c r="K141" s="1328"/>
      <c r="L141" s="1328"/>
      <c r="M141" s="1328"/>
      <c r="N141" s="1328"/>
      <c r="O141" s="1328"/>
      <c r="P141" s="1308"/>
      <c r="Q141" s="1308"/>
      <c r="R141" s="1308"/>
      <c r="S141" s="1308"/>
      <c r="T141" s="468" cm="1" t="str">
        <f t="array" ref="T141:T141">T140</f>
        <v>true</v>
      </c>
      <c r="U141" s="1308"/>
      <c r="V141" s="1328"/>
      <c r="W141" s="1308"/>
      <c r="X141" s="1539"/>
      <c r="Y141" s="1528"/>
      <c r="Z141" s="1328"/>
      <c r="AA141" s="1328"/>
      <c r="AB141" s="236" t="s">
        <v>732</v>
      </c>
      <c r="AC141" s="328" t="s">
        <v>733</v>
      </c>
      <c r="AD141" s="89" t="s">
        <v>657</v>
      </c>
      <c r="AE141" s="275">
        <v>1856.40194</v>
      </c>
      <c r="AF141" s="275">
        <v>1198.354</v>
      </c>
      <c r="AG141" s="275">
        <v>1198.354</v>
      </c>
      <c r="AH141" s="275">
        <v>1213.622</v>
      </c>
      <c r="AI141" s="275">
        <v>1104.40305</v>
      </c>
      <c r="AJ141" s="1971"/>
      <c r="AK141" s="1971"/>
      <c r="AL141" s="1971"/>
      <c r="AM141" s="1971"/>
      <c r="AN141" s="1971"/>
      <c r="AO141" s="1971"/>
      <c r="AP141" s="1971"/>
      <c r="AQ141" s="1971"/>
      <c r="AR141" s="1971"/>
      <c r="AS141" s="275">
        <v>1081.51449</v>
      </c>
      <c r="AT141" s="1971"/>
      <c r="AU141" s="1971"/>
      <c r="AV141" s="1971"/>
      <c r="AW141" s="1971"/>
      <c r="AX141" s="1971"/>
      <c r="AY141" s="1971"/>
      <c r="AZ141" s="1971"/>
      <c r="BA141" s="1971"/>
      <c r="BB141" s="1971"/>
      <c r="BC141" s="280" t="s">
        <v>903</v>
      </c>
      <c r="BD141" s="1328"/>
      <c r="BE141" s="1328"/>
      <c r="BF141" s="1023" t="s">
        <v>734</v>
      </c>
    </row>
    <row s="1656" customFormat="1" customHeight="1" ht="12.75">
      <c r="A142" s="1328"/>
      <c r="B142" s="1186"/>
      <c r="C142" s="1328"/>
      <c r="D142" s="1328"/>
      <c r="E142" s="637">
        <v>15</v>
      </c>
      <c r="F142" s="50" cm="1" t="str">
        <f t="array" ref="F142:F142">OFFSET(E142,-1,1)</f>
        <v>1</v>
      </c>
      <c r="G142" s="1328"/>
      <c r="H142" s="94" t="s">
        <v>735</v>
      </c>
      <c r="I142" s="1328"/>
      <c r="J142" s="1328"/>
      <c r="K142" s="1328"/>
      <c r="L142" s="1328"/>
      <c r="M142" s="1328"/>
      <c r="N142" s="1328"/>
      <c r="O142" s="1328"/>
      <c r="P142" s="1308"/>
      <c r="Q142" s="1308"/>
      <c r="R142" s="1308"/>
      <c r="S142" s="1308"/>
      <c r="T142" s="468" cm="1" t="str">
        <f t="array" ref="T142:T142">T141</f>
        <v>true</v>
      </c>
      <c r="U142" s="1308"/>
      <c r="V142" s="1328"/>
      <c r="W142" s="1308"/>
      <c r="X142" s="1539"/>
      <c r="Y142" s="1528"/>
      <c r="Z142" s="1328"/>
      <c r="AA142" s="1328"/>
      <c r="AB142" s="236" t="s">
        <v>736</v>
      </c>
      <c r="AC142" s="328" t="s">
        <v>737</v>
      </c>
      <c r="AD142" s="89" t="s">
        <v>657</v>
      </c>
      <c r="AE142" s="275"/>
      <c r="AF142" s="275"/>
      <c r="AG142" s="275"/>
      <c r="AH142" s="275"/>
      <c r="AI142" s="275"/>
      <c r="AJ142" s="1971"/>
      <c r="AK142" s="1971"/>
      <c r="AL142" s="1971"/>
      <c r="AM142" s="1971"/>
      <c r="AN142" s="1971"/>
      <c r="AO142" s="1971"/>
      <c r="AP142" s="1971"/>
      <c r="AQ142" s="1971"/>
      <c r="AR142" s="1971"/>
      <c r="AS142" s="275"/>
      <c r="AT142" s="1971"/>
      <c r="AU142" s="1971"/>
      <c r="AV142" s="1971"/>
      <c r="AW142" s="1971"/>
      <c r="AX142" s="1971"/>
      <c r="AY142" s="1971"/>
      <c r="AZ142" s="1971"/>
      <c r="BA142" s="1971"/>
      <c r="BB142" s="1971"/>
      <c r="BC142" s="280"/>
      <c r="BD142" s="1328"/>
      <c r="BE142" s="1328"/>
      <c r="BF142" s="1023" t="s">
        <v>738</v>
      </c>
    </row>
    <row s="1656" customFormat="1" customHeight="1" ht="12.75">
      <c r="A143" s="1328"/>
      <c r="B143" s="1186"/>
      <c r="C143" s="1328"/>
      <c r="D143" s="1328"/>
      <c r="E143" s="637">
        <v>15</v>
      </c>
      <c r="F143" s="50" cm="1" t="str">
        <f t="array" ref="F143:F143">OFFSET(E143,-1,1)</f>
        <v>1</v>
      </c>
      <c r="G143" s="94" t="s">
        <v>726</v>
      </c>
      <c r="H143" s="94" t="s">
        <v>739</v>
      </c>
      <c r="I143" s="1328"/>
      <c r="J143" s="1328"/>
      <c r="K143" s="1328"/>
      <c r="L143" s="1328"/>
      <c r="M143" s="1328"/>
      <c r="N143" s="1328"/>
      <c r="O143" s="1328"/>
      <c r="P143" s="1308"/>
      <c r="Q143" s="1308"/>
      <c r="R143" s="1308"/>
      <c r="S143" s="1308"/>
      <c r="T143" s="468" cm="1" t="str">
        <f t="array" ref="T143:T143">T142</f>
        <v>true</v>
      </c>
      <c r="U143" s="1308"/>
      <c r="V143" s="1328"/>
      <c r="W143" s="1308"/>
      <c r="X143" s="1539"/>
      <c r="Y143" s="1528"/>
      <c r="Z143" s="1328"/>
      <c r="AA143" s="1328"/>
      <c r="AB143" s="236" t="s">
        <v>740</v>
      </c>
      <c r="AC143" s="188" t="s">
        <v>741</v>
      </c>
      <c r="AD143" s="89" t="s">
        <v>657</v>
      </c>
      <c r="AE143" s="311">
        <f>AE144+AE147+AE150</f>
        <v>6757.46335</v>
      </c>
      <c r="AF143" s="311">
        <f>AF144+AF147+AF150</f>
        <v>6839.7072</v>
      </c>
      <c r="AG143" s="311">
        <f>AG144+AG147+AG150</f>
        <v>6839.70675</v>
      </c>
      <c r="AH143" s="311">
        <f>AH144+AH147+AH150</f>
        <v>7207.81288</v>
      </c>
      <c r="AI143" s="311">
        <f>AI144+AI147+AI150</f>
        <v>6380.26986</v>
      </c>
      <c r="AJ143" s="311">
        <f>AJ144+AJ147+AJ150</f>
        <v>0</v>
      </c>
      <c r="AK143" s="311">
        <f>AK144+AK147+AK150</f>
        <v>0</v>
      </c>
      <c r="AL143" s="311">
        <f>AL144+AL147+AL150</f>
        <v>0</v>
      </c>
      <c r="AM143" s="311">
        <f>AM144+AM147+AM150</f>
        <v>0</v>
      </c>
      <c r="AN143" s="311">
        <f>AN144+AN147+AN150</f>
        <v>0</v>
      </c>
      <c r="AO143" s="311">
        <f>AO144+AO147+AO150</f>
        <v>0</v>
      </c>
      <c r="AP143" s="311">
        <f>AP144+AP147+AP150</f>
        <v>0</v>
      </c>
      <c r="AQ143" s="311">
        <f>AQ144+AQ147+AQ150</f>
        <v>0</v>
      </c>
      <c r="AR143" s="311">
        <f>AR144+AR147+AR150</f>
        <v>0</v>
      </c>
      <c r="AS143" s="311">
        <f>AS144+AS147+AS150</f>
        <v>6851.16866</v>
      </c>
      <c r="AT143" s="311">
        <f>AT144+AT147+AT150</f>
        <v>0</v>
      </c>
      <c r="AU143" s="311">
        <f>AU144+AU147+AU150</f>
        <v>0</v>
      </c>
      <c r="AV143" s="311">
        <f>AV144+AV147+AV150</f>
        <v>0</v>
      </c>
      <c r="AW143" s="311">
        <f>AW144+AW147+AW150</f>
        <v>0</v>
      </c>
      <c r="AX143" s="311">
        <f>AX144+AX147+AX150</f>
        <v>0</v>
      </c>
      <c r="AY143" s="311">
        <f>AY144+AY147+AY150</f>
        <v>0</v>
      </c>
      <c r="AZ143" s="311">
        <f>AZ144+AZ147+AZ150</f>
        <v>0</v>
      </c>
      <c r="BA143" s="311">
        <f>BA144+BA147+BA150</f>
        <v>0</v>
      </c>
      <c r="BB143" s="311">
        <f>BB144+BB147+BB150</f>
        <v>0</v>
      </c>
      <c r="BC143" s="280"/>
      <c r="BD143" s="1328"/>
      <c r="BE143" s="1328"/>
      <c r="BF143" s="1023" t="s">
        <v>742</v>
      </c>
    </row>
    <row s="1656" customFormat="1" customHeight="1" ht="44.25">
      <c r="A144" s="1328"/>
      <c r="B144" s="1186"/>
      <c r="C144" s="1328"/>
      <c r="D144" s="1328"/>
      <c r="E144" s="637">
        <v>15</v>
      </c>
      <c r="F144" s="50" cm="1" t="str">
        <f t="array" ref="F144:F144">OFFSET(E144,-1,1)</f>
        <v>1</v>
      </c>
      <c r="G144" s="1328"/>
      <c r="H144" s="94" t="s">
        <v>743</v>
      </c>
      <c r="I144" s="1328"/>
      <c r="J144" s="1328"/>
      <c r="K144" s="1328"/>
      <c r="L144" s="1328"/>
      <c r="M144" s="1328"/>
      <c r="N144" s="1328"/>
      <c r="O144" s="1328"/>
      <c r="P144" s="1308"/>
      <c r="Q144" s="1308"/>
      <c r="R144" s="1308"/>
      <c r="S144" s="1308"/>
      <c r="T144" s="468" cm="1" t="str">
        <f t="array" ref="T144:T144">T143</f>
        <v>true</v>
      </c>
      <c r="U144" s="1308"/>
      <c r="V144" s="1328"/>
      <c r="W144" s="1308"/>
      <c r="X144" s="1539"/>
      <c r="Y144" s="1528"/>
      <c r="Z144" s="1328"/>
      <c r="AA144" s="1328"/>
      <c r="AB144" s="236" t="s">
        <v>744</v>
      </c>
      <c r="AC144" s="328" t="s">
        <v>745</v>
      </c>
      <c r="AD144" s="89" t="s">
        <v>657</v>
      </c>
      <c r="AE144" s="311">
        <f>SUM(AE145:AE146)</f>
        <v>348.02629</v>
      </c>
      <c r="AF144" s="311">
        <f>SUM(AF145:AF146)</f>
        <v>324.12927</v>
      </c>
      <c r="AG144" s="311">
        <f>SUM(AG145:AG146)</f>
        <v>324.12927</v>
      </c>
      <c r="AH144" s="311">
        <f>SUM(AH145:AH146)</f>
        <v>338.89013</v>
      </c>
      <c r="AI144" s="311">
        <f>SUM(AI145:AI146)</f>
        <v>301.52751</v>
      </c>
      <c r="AJ144" s="311">
        <f>SUM(AJ145:AJ146)</f>
        <v>0</v>
      </c>
      <c r="AK144" s="311">
        <f>SUM(AK145:AK146)</f>
        <v>0</v>
      </c>
      <c r="AL144" s="311">
        <f>SUM(AL145:AL146)</f>
        <v>0</v>
      </c>
      <c r="AM144" s="311">
        <f>SUM(AM145:AM146)</f>
        <v>0</v>
      </c>
      <c r="AN144" s="311">
        <f>SUM(AN145:AN146)</f>
        <v>0</v>
      </c>
      <c r="AO144" s="311">
        <f>SUM(AO145:AO146)</f>
        <v>0</v>
      </c>
      <c r="AP144" s="311">
        <f>SUM(AP145:AP146)</f>
        <v>0</v>
      </c>
      <c r="AQ144" s="311">
        <f>SUM(AQ145:AQ146)</f>
        <v>0</v>
      </c>
      <c r="AR144" s="311">
        <f>SUM(AR145:AR146)</f>
        <v>0</v>
      </c>
      <c r="AS144" s="311">
        <f>SUM(AS145:AS146)</f>
        <v>300.68407</v>
      </c>
      <c r="AT144" s="311">
        <f>SUM(AT145:AT146)</f>
        <v>0</v>
      </c>
      <c r="AU144" s="311">
        <f>SUM(AU145:AU146)</f>
        <v>0</v>
      </c>
      <c r="AV144" s="311">
        <f>SUM(AV145:AV146)</f>
        <v>0</v>
      </c>
      <c r="AW144" s="311">
        <f>SUM(AW145:AW146)</f>
        <v>0</v>
      </c>
      <c r="AX144" s="311">
        <f>SUM(AX145:AX146)</f>
        <v>0</v>
      </c>
      <c r="AY144" s="311">
        <f>SUM(AY145:AY146)</f>
        <v>0</v>
      </c>
      <c r="AZ144" s="311">
        <f>SUM(AZ145:AZ146)</f>
        <v>0</v>
      </c>
      <c r="BA144" s="311">
        <f>SUM(BA145:BA146)</f>
        <v>0</v>
      </c>
      <c r="BB144" s="311">
        <f>SUM(BB145:BB146)</f>
        <v>0</v>
      </c>
      <c r="BC144" s="280" t="s">
        <v>904</v>
      </c>
      <c r="BD144" s="1328"/>
      <c r="BE144" s="1328"/>
      <c r="BF144" s="1023" t="s">
        <v>746</v>
      </c>
    </row>
    <row s="1656" customFormat="1" customHeight="1" ht="12.75">
      <c r="A145" s="1328"/>
      <c r="B145" s="1186"/>
      <c r="C145" s="1328"/>
      <c r="D145" s="1328"/>
      <c r="E145" s="637">
        <v>15</v>
      </c>
      <c r="F145" s="50" cm="1" t="str">
        <f t="array" ref="F145:F145">OFFSET(E145,-1,1)</f>
        <v>1</v>
      </c>
      <c r="G145" s="1328"/>
      <c r="H145" s="94" t="s">
        <v>747</v>
      </c>
      <c r="I145" s="1328"/>
      <c r="J145" s="1328"/>
      <c r="K145" s="1328"/>
      <c r="L145" s="1328"/>
      <c r="M145" s="1328"/>
      <c r="N145" s="1328"/>
      <c r="O145" s="1328"/>
      <c r="P145" s="1308"/>
      <c r="Q145" s="1308"/>
      <c r="R145" s="1308"/>
      <c r="S145" s="1308"/>
      <c r="T145" s="468" cm="1" t="str">
        <f t="array" ref="T145:T145">T144</f>
        <v>true</v>
      </c>
      <c r="U145" s="1308"/>
      <c r="V145" s="1328"/>
      <c r="W145" s="1308"/>
      <c r="X145" s="1539"/>
      <c r="Y145" s="1528"/>
      <c r="Z145" s="1328"/>
      <c r="AA145" s="1328"/>
      <c r="AB145" s="236" t="s">
        <v>748</v>
      </c>
      <c r="AC145" s="329" t="s">
        <v>733</v>
      </c>
      <c r="AD145" s="89" t="s">
        <v>657</v>
      </c>
      <c r="AE145" s="275">
        <v>348.02629</v>
      </c>
      <c r="AF145" s="275">
        <v>324.12927</v>
      </c>
      <c r="AG145" s="275">
        <v>324.12927</v>
      </c>
      <c r="AH145" s="275">
        <v>338.89013</v>
      </c>
      <c r="AI145" s="275">
        <v>301.52751</v>
      </c>
      <c r="AJ145" s="1971"/>
      <c r="AK145" s="1971"/>
      <c r="AL145" s="1971"/>
      <c r="AM145" s="1971"/>
      <c r="AN145" s="1971"/>
      <c r="AO145" s="1971"/>
      <c r="AP145" s="1971"/>
      <c r="AQ145" s="1971"/>
      <c r="AR145" s="1971"/>
      <c r="AS145" s="275">
        <v>300.68407</v>
      </c>
      <c r="AT145" s="1971"/>
      <c r="AU145" s="1971"/>
      <c r="AV145" s="1971"/>
      <c r="AW145" s="1971"/>
      <c r="AX145" s="1971"/>
      <c r="AY145" s="1971"/>
      <c r="AZ145" s="1971"/>
      <c r="BA145" s="1971"/>
      <c r="BB145" s="1971"/>
      <c r="BC145" s="280"/>
      <c r="BD145" s="1328"/>
      <c r="BE145" s="1328"/>
      <c r="BF145" s="1023" t="s">
        <v>749</v>
      </c>
    </row>
    <row s="1656" customFormat="1" customHeight="1" ht="12.75">
      <c r="A146" s="1328"/>
      <c r="B146" s="1186"/>
      <c r="C146" s="1328"/>
      <c r="D146" s="1328"/>
      <c r="E146" s="637">
        <v>15</v>
      </c>
      <c r="F146" s="50" cm="1" t="str">
        <f t="array" ref="F146:F146">OFFSET(E146,-1,1)</f>
        <v>1</v>
      </c>
      <c r="G146" s="1328"/>
      <c r="H146" s="94" t="s">
        <v>750</v>
      </c>
      <c r="I146" s="1328"/>
      <c r="J146" s="1328"/>
      <c r="K146" s="1328"/>
      <c r="L146" s="1328"/>
      <c r="M146" s="1328"/>
      <c r="N146" s="1328"/>
      <c r="O146" s="1328"/>
      <c r="P146" s="1308"/>
      <c r="Q146" s="1308"/>
      <c r="R146" s="1308"/>
      <c r="S146" s="1308"/>
      <c r="T146" s="468" cm="1" t="str">
        <f t="array" ref="T146:T146">T145</f>
        <v>true</v>
      </c>
      <c r="U146" s="1308"/>
      <c r="V146" s="1328"/>
      <c r="W146" s="1308"/>
      <c r="X146" s="1539"/>
      <c r="Y146" s="1528"/>
      <c r="Z146" s="1328"/>
      <c r="AA146" s="1328"/>
      <c r="AB146" s="236" t="s">
        <v>751</v>
      </c>
      <c r="AC146" s="329" t="s">
        <v>737</v>
      </c>
      <c r="AD146" s="89" t="s">
        <v>657</v>
      </c>
      <c r="AE146" s="275"/>
      <c r="AF146" s="275"/>
      <c r="AG146" s="275"/>
      <c r="AH146" s="275"/>
      <c r="AI146" s="275"/>
      <c r="AJ146" s="1971"/>
      <c r="AK146" s="1971"/>
      <c r="AL146" s="1971"/>
      <c r="AM146" s="1971"/>
      <c r="AN146" s="1971"/>
      <c r="AO146" s="1971"/>
      <c r="AP146" s="1971"/>
      <c r="AQ146" s="1971"/>
      <c r="AR146" s="1971"/>
      <c r="AS146" s="275"/>
      <c r="AT146" s="1971"/>
      <c r="AU146" s="1971"/>
      <c r="AV146" s="1971"/>
      <c r="AW146" s="1971"/>
      <c r="AX146" s="1971"/>
      <c r="AY146" s="1971"/>
      <c r="AZ146" s="1971"/>
      <c r="BA146" s="1971"/>
      <c r="BB146" s="1971"/>
      <c r="BC146" s="280"/>
      <c r="BD146" s="1328"/>
      <c r="BE146" s="1328"/>
      <c r="BF146" s="1023" t="s">
        <v>752</v>
      </c>
    </row>
    <row s="1656" customFormat="1" customHeight="1" ht="44.25">
      <c r="A147" s="1328"/>
      <c r="B147" s="1186"/>
      <c r="C147" s="1328"/>
      <c r="D147" s="1328"/>
      <c r="E147" s="637">
        <v>15</v>
      </c>
      <c r="F147" s="50" cm="1" t="str">
        <f t="array" ref="F147:F147">OFFSET(E147,-1,1)</f>
        <v>1</v>
      </c>
      <c r="G147" s="94" t="s">
        <v>753</v>
      </c>
      <c r="H147" s="94" t="s">
        <v>754</v>
      </c>
      <c r="I147" s="1328"/>
      <c r="J147" s="1328"/>
      <c r="K147" s="1328"/>
      <c r="L147" s="1328"/>
      <c r="M147" s="1328"/>
      <c r="N147" s="1328"/>
      <c r="O147" s="1328"/>
      <c r="P147" s="1308"/>
      <c r="Q147" s="1308"/>
      <c r="R147" s="1308"/>
      <c r="S147" s="1308"/>
      <c r="T147" s="468" cm="1" t="str">
        <f t="array" ref="T147:T147">T146</f>
        <v>true</v>
      </c>
      <c r="U147" s="1308"/>
      <c r="V147" s="1328"/>
      <c r="W147" s="1308"/>
      <c r="X147" s="1539"/>
      <c r="Y147" s="1528"/>
      <c r="Z147" s="1328"/>
      <c r="AA147" s="1328"/>
      <c r="AB147" s="236" t="s">
        <v>755</v>
      </c>
      <c r="AC147" s="328" t="s">
        <v>756</v>
      </c>
      <c r="AD147" s="89" t="s">
        <v>657</v>
      </c>
      <c r="AE147" s="311">
        <f>SUM(AE148:AE149)</f>
        <v>4192.558</v>
      </c>
      <c r="AF147" s="311">
        <f>SUM(AF148:AF149)</f>
        <v>4238.59148</v>
      </c>
      <c r="AG147" s="311">
        <f>SUM(AG148:AG149)</f>
        <v>4238.59148</v>
      </c>
      <c r="AH147" s="311">
        <f>SUM(AH148:AH149)</f>
        <v>4180.33783</v>
      </c>
      <c r="AI147" s="311">
        <f>SUM(AI148:AI149)</f>
        <v>3954.38229</v>
      </c>
      <c r="AJ147" s="311">
        <f>SUM(AJ148:AJ149)</f>
        <v>0</v>
      </c>
      <c r="AK147" s="311">
        <f>SUM(AK148:AK149)</f>
        <v>0</v>
      </c>
      <c r="AL147" s="311">
        <f>SUM(AL148:AL149)</f>
        <v>0</v>
      </c>
      <c r="AM147" s="311">
        <f>SUM(AM148:AM149)</f>
        <v>0</v>
      </c>
      <c r="AN147" s="311">
        <f>SUM(AN148:AN149)</f>
        <v>0</v>
      </c>
      <c r="AO147" s="311">
        <f>SUM(AO148:AO149)</f>
        <v>0</v>
      </c>
      <c r="AP147" s="311">
        <f>SUM(AP148:AP149)</f>
        <v>0</v>
      </c>
      <c r="AQ147" s="311">
        <f>SUM(AQ148:AQ149)</f>
        <v>0</v>
      </c>
      <c r="AR147" s="311">
        <f>SUM(AR148:AR149)</f>
        <v>0</v>
      </c>
      <c r="AS147" s="311">
        <f>SUM(AS148:AS149)</f>
        <v>4170.27244</v>
      </c>
      <c r="AT147" s="311">
        <f>SUM(AT148:AT149)</f>
        <v>0</v>
      </c>
      <c r="AU147" s="311">
        <f>SUM(AU148:AU149)</f>
        <v>0</v>
      </c>
      <c r="AV147" s="311">
        <f>SUM(AV148:AV149)</f>
        <v>0</v>
      </c>
      <c r="AW147" s="311">
        <f>SUM(AW148:AW149)</f>
        <v>0</v>
      </c>
      <c r="AX147" s="311">
        <f>SUM(AX148:AX149)</f>
        <v>0</v>
      </c>
      <c r="AY147" s="311">
        <f>SUM(AY148:AY149)</f>
        <v>0</v>
      </c>
      <c r="AZ147" s="311">
        <f>SUM(AZ148:AZ149)</f>
        <v>0</v>
      </c>
      <c r="BA147" s="311">
        <f>SUM(BA148:BA149)</f>
        <v>0</v>
      </c>
      <c r="BB147" s="311">
        <f>SUM(BB148:BB149)</f>
        <v>0</v>
      </c>
      <c r="BC147" s="280" t="s">
        <v>904</v>
      </c>
      <c r="BD147" s="1328"/>
      <c r="BE147" s="1328"/>
      <c r="BF147" s="1023" t="s">
        <v>757</v>
      </c>
    </row>
    <row s="1656" customFormat="1" customHeight="1" ht="12.75">
      <c r="A148" s="1328"/>
      <c r="B148" s="1186"/>
      <c r="C148" s="1328"/>
      <c r="D148" s="1328"/>
      <c r="E148" s="637">
        <v>15</v>
      </c>
      <c r="F148" s="50" cm="1" t="str">
        <f t="array" ref="F148:F148">OFFSET(E148,-1,1)</f>
        <v>1</v>
      </c>
      <c r="G148" s="1328"/>
      <c r="H148" s="94" t="s">
        <v>758</v>
      </c>
      <c r="I148" s="1328"/>
      <c r="J148" s="1328"/>
      <c r="K148" s="1328"/>
      <c r="L148" s="1328"/>
      <c r="M148" s="1328"/>
      <c r="N148" s="1328"/>
      <c r="O148" s="1328"/>
      <c r="P148" s="1308"/>
      <c r="Q148" s="1308"/>
      <c r="R148" s="1308"/>
      <c r="S148" s="1308"/>
      <c r="T148" s="468" cm="1" t="str">
        <f t="array" ref="T148:T148">T147</f>
        <v>true</v>
      </c>
      <c r="U148" s="1308"/>
      <c r="V148" s="1328"/>
      <c r="W148" s="1308"/>
      <c r="X148" s="1539"/>
      <c r="Y148" s="1528"/>
      <c r="Z148" s="1328"/>
      <c r="AA148" s="1328"/>
      <c r="AB148" s="236" t="s">
        <v>759</v>
      </c>
      <c r="AC148" s="329" t="s">
        <v>733</v>
      </c>
      <c r="AD148" s="89" t="s">
        <v>657</v>
      </c>
      <c r="AE148" s="275">
        <v>2625.328</v>
      </c>
      <c r="AF148" s="275">
        <v>4238.59148</v>
      </c>
      <c r="AG148" s="275">
        <v>4238.59148</v>
      </c>
      <c r="AH148" s="275">
        <v>4180.33783</v>
      </c>
      <c r="AI148" s="275">
        <v>3954.38229</v>
      </c>
      <c r="AJ148" s="1971"/>
      <c r="AK148" s="1971"/>
      <c r="AL148" s="1971"/>
      <c r="AM148" s="1971"/>
      <c r="AN148" s="1971"/>
      <c r="AO148" s="1971"/>
      <c r="AP148" s="1971"/>
      <c r="AQ148" s="1971"/>
      <c r="AR148" s="1971"/>
      <c r="AS148" s="275">
        <v>4170.27244</v>
      </c>
      <c r="AT148" s="1971"/>
      <c r="AU148" s="1971"/>
      <c r="AV148" s="1971"/>
      <c r="AW148" s="1971"/>
      <c r="AX148" s="1971"/>
      <c r="AY148" s="1971"/>
      <c r="AZ148" s="1971"/>
      <c r="BA148" s="1971"/>
      <c r="BB148" s="1971"/>
      <c r="BC148" s="280"/>
      <c r="BD148" s="1328"/>
      <c r="BE148" s="1328"/>
      <c r="BF148" s="1023" t="s">
        <v>760</v>
      </c>
    </row>
    <row s="1656" customFormat="1" customHeight="1" ht="12.75">
      <c r="A149" s="1328"/>
      <c r="B149" s="1186"/>
      <c r="C149" s="1328"/>
      <c r="D149" s="1328"/>
      <c r="E149" s="637">
        <v>15</v>
      </c>
      <c r="F149" s="50" cm="1" t="str">
        <f t="array" ref="F149:F149">OFFSET(E149,-1,1)</f>
        <v>1</v>
      </c>
      <c r="G149" s="1328"/>
      <c r="H149" s="94" t="s">
        <v>761</v>
      </c>
      <c r="I149" s="1328"/>
      <c r="J149" s="1328"/>
      <c r="K149" s="1328"/>
      <c r="L149" s="1328"/>
      <c r="M149" s="1328"/>
      <c r="N149" s="1328"/>
      <c r="O149" s="1328"/>
      <c r="P149" s="1308"/>
      <c r="Q149" s="1308"/>
      <c r="R149" s="1308"/>
      <c r="S149" s="1308"/>
      <c r="T149" s="468" cm="1" t="str">
        <f t="array" ref="T149:T149">T148</f>
        <v>true</v>
      </c>
      <c r="U149" s="1308"/>
      <c r="V149" s="1328"/>
      <c r="W149" s="1308"/>
      <c r="X149" s="1539"/>
      <c r="Y149" s="1528"/>
      <c r="Z149" s="1328"/>
      <c r="AA149" s="1328"/>
      <c r="AB149" s="236" t="s">
        <v>762</v>
      </c>
      <c r="AC149" s="329" t="s">
        <v>737</v>
      </c>
      <c r="AD149" s="89" t="s">
        <v>657</v>
      </c>
      <c r="AE149" s="275">
        <v>1567.23</v>
      </c>
      <c r="AF149" s="275"/>
      <c r="AG149" s="275"/>
      <c r="AH149" s="275"/>
      <c r="AI149" s="275"/>
      <c r="AJ149" s="1971"/>
      <c r="AK149" s="1971"/>
      <c r="AL149" s="1971"/>
      <c r="AM149" s="1971"/>
      <c r="AN149" s="1971"/>
      <c r="AO149" s="1971"/>
      <c r="AP149" s="1971"/>
      <c r="AQ149" s="1971"/>
      <c r="AR149" s="1971"/>
      <c r="AS149" s="275"/>
      <c r="AT149" s="1971"/>
      <c r="AU149" s="1971"/>
      <c r="AV149" s="1971"/>
      <c r="AW149" s="1971"/>
      <c r="AX149" s="1971"/>
      <c r="AY149" s="1971"/>
      <c r="AZ149" s="1971"/>
      <c r="BA149" s="1971"/>
      <c r="BB149" s="1971"/>
      <c r="BC149" s="280"/>
      <c r="BD149" s="1328"/>
      <c r="BE149" s="1328"/>
      <c r="BF149" s="1023" t="s">
        <v>763</v>
      </c>
    </row>
    <row s="1656" customFormat="1" customHeight="1" ht="44.25">
      <c r="A150" s="1328"/>
      <c r="B150" s="1186"/>
      <c r="C150" s="1328"/>
      <c r="D150" s="1328"/>
      <c r="E150" s="637">
        <v>15</v>
      </c>
      <c r="F150" s="50" cm="1" t="str">
        <f t="array" ref="F150:F150">OFFSET(E150,-1,1)</f>
        <v>1</v>
      </c>
      <c r="G150" s="1328"/>
      <c r="H150" s="94" t="s">
        <v>764</v>
      </c>
      <c r="I150" s="1328"/>
      <c r="J150" s="1328"/>
      <c r="K150" s="1328"/>
      <c r="L150" s="1328"/>
      <c r="M150" s="1328"/>
      <c r="N150" s="1328"/>
      <c r="O150" s="1328"/>
      <c r="P150" s="1308"/>
      <c r="Q150" s="1308"/>
      <c r="R150" s="1308"/>
      <c r="S150" s="1308"/>
      <c r="T150" s="468" cm="1" t="str">
        <f t="array" ref="T150:T150">T149</f>
        <v>true</v>
      </c>
      <c r="U150" s="1308"/>
      <c r="V150" s="1328"/>
      <c r="W150" s="1308"/>
      <c r="X150" s="1539"/>
      <c r="Y150" s="1528"/>
      <c r="Z150" s="1328"/>
      <c r="AA150" s="1328"/>
      <c r="AB150" s="236" t="s">
        <v>765</v>
      </c>
      <c r="AC150" s="328" t="s">
        <v>766</v>
      </c>
      <c r="AD150" s="89" t="s">
        <v>657</v>
      </c>
      <c r="AE150" s="311">
        <f>SUM(AE151:AE152)</f>
        <v>2216.87906</v>
      </c>
      <c r="AF150" s="311">
        <f>SUM(AF151:AF152)</f>
        <v>2276.98645</v>
      </c>
      <c r="AG150" s="311">
        <f>SUM(AG151:AG152)</f>
        <v>2276.986</v>
      </c>
      <c r="AH150" s="311">
        <f>SUM(AH151:AH152)</f>
        <v>2688.58492</v>
      </c>
      <c r="AI150" s="311">
        <f>SUM(AI151:AI152)</f>
        <v>2124.36006</v>
      </c>
      <c r="AJ150" s="311">
        <f>SUM(AJ151:AJ152)</f>
        <v>0</v>
      </c>
      <c r="AK150" s="311">
        <f>SUM(AK151:AK152)</f>
        <v>0</v>
      </c>
      <c r="AL150" s="311">
        <f>SUM(AL151:AL152)</f>
        <v>0</v>
      </c>
      <c r="AM150" s="311">
        <f>SUM(AM151:AM152)</f>
        <v>0</v>
      </c>
      <c r="AN150" s="311">
        <f>SUM(AN151:AN152)</f>
        <v>0</v>
      </c>
      <c r="AO150" s="311">
        <f>SUM(AO151:AO152)</f>
        <v>0</v>
      </c>
      <c r="AP150" s="311">
        <f>SUM(AP151:AP152)</f>
        <v>0</v>
      </c>
      <c r="AQ150" s="311">
        <f>SUM(AQ151:AQ152)</f>
        <v>0</v>
      </c>
      <c r="AR150" s="311">
        <f>SUM(AR151:AR152)</f>
        <v>0</v>
      </c>
      <c r="AS150" s="311">
        <f>SUM(AS151:AS152)</f>
        <v>2380.21215</v>
      </c>
      <c r="AT150" s="311">
        <f>SUM(AT151:AT152)</f>
        <v>0</v>
      </c>
      <c r="AU150" s="311">
        <f>SUM(AU151:AU152)</f>
        <v>0</v>
      </c>
      <c r="AV150" s="311">
        <f>SUM(AV151:AV152)</f>
        <v>0</v>
      </c>
      <c r="AW150" s="311">
        <f>SUM(AW151:AW152)</f>
        <v>0</v>
      </c>
      <c r="AX150" s="311">
        <f>SUM(AX151:AX152)</f>
        <v>0</v>
      </c>
      <c r="AY150" s="311">
        <f>SUM(AY151:AY152)</f>
        <v>0</v>
      </c>
      <c r="AZ150" s="311">
        <f>SUM(AZ151:AZ152)</f>
        <v>0</v>
      </c>
      <c r="BA150" s="311">
        <f>SUM(BA151:BA152)</f>
        <v>0</v>
      </c>
      <c r="BB150" s="311">
        <f>SUM(BB151:BB152)</f>
        <v>0</v>
      </c>
      <c r="BC150" s="280" t="s">
        <v>904</v>
      </c>
      <c r="BD150" s="1328"/>
      <c r="BE150" s="1328"/>
      <c r="BF150" s="1023" t="s">
        <v>767</v>
      </c>
    </row>
    <row s="1656" customFormat="1" customHeight="1" ht="12.75">
      <c r="A151" s="1328"/>
      <c r="B151" s="1186"/>
      <c r="C151" s="1328"/>
      <c r="D151" s="1328"/>
      <c r="E151" s="637">
        <v>15</v>
      </c>
      <c r="F151" s="50" cm="1" t="str">
        <f t="array" ref="F151:F151">OFFSET(E151,-1,1)</f>
        <v>1</v>
      </c>
      <c r="G151" s="1328"/>
      <c r="H151" s="94" t="s">
        <v>768</v>
      </c>
      <c r="I151" s="1328"/>
      <c r="J151" s="1328"/>
      <c r="K151" s="1328"/>
      <c r="L151" s="1328"/>
      <c r="M151" s="1328"/>
      <c r="N151" s="1328"/>
      <c r="O151" s="1328"/>
      <c r="P151" s="1308"/>
      <c r="Q151" s="1308"/>
      <c r="R151" s="1308"/>
      <c r="S151" s="1308"/>
      <c r="T151" s="468" cm="1" t="str">
        <f t="array" ref="T151:T151">T150</f>
        <v>true</v>
      </c>
      <c r="U151" s="1308"/>
      <c r="V151" s="1328"/>
      <c r="W151" s="1308"/>
      <c r="X151" s="1539"/>
      <c r="Y151" s="1528"/>
      <c r="Z151" s="1328"/>
      <c r="AA151" s="1328"/>
      <c r="AB151" s="236" t="s">
        <v>769</v>
      </c>
      <c r="AC151" s="329" t="s">
        <v>733</v>
      </c>
      <c r="AD151" s="89" t="s">
        <v>657</v>
      </c>
      <c r="AE151" s="275">
        <v>2011.34606</v>
      </c>
      <c r="AF151" s="275">
        <f>3475.34045-AF141</f>
        <v>2276.98645</v>
      </c>
      <c r="AG151" s="275">
        <v>2276.986</v>
      </c>
      <c r="AH151" s="275">
        <v>2688.58492</v>
      </c>
      <c r="AI151" s="275">
        <f>3228.76311-AI141</f>
        <v>2124.36006</v>
      </c>
      <c r="AJ151" s="1971"/>
      <c r="AK151" s="1971"/>
      <c r="AL151" s="1971"/>
      <c r="AM151" s="1971"/>
      <c r="AN151" s="1971"/>
      <c r="AO151" s="1971"/>
      <c r="AP151" s="1971"/>
      <c r="AQ151" s="1971"/>
      <c r="AR151" s="1971"/>
      <c r="AS151" s="275">
        <f>3461.72664-AS141</f>
        <v>2380.21215</v>
      </c>
      <c r="AT151" s="1971"/>
      <c r="AU151" s="1971"/>
      <c r="AV151" s="1971"/>
      <c r="AW151" s="1971"/>
      <c r="AX151" s="1971"/>
      <c r="AY151" s="1971"/>
      <c r="AZ151" s="1971"/>
      <c r="BA151" s="1971"/>
      <c r="BB151" s="1971"/>
      <c r="BC151" s="280"/>
      <c r="BD151" s="1328"/>
      <c r="BE151" s="1328"/>
      <c r="BF151" s="1023" t="s">
        <v>770</v>
      </c>
    </row>
    <row s="1656" customFormat="1" customHeight="1" ht="12.75">
      <c r="A152" s="1328"/>
      <c r="B152" s="1186"/>
      <c r="C152" s="1328"/>
      <c r="D152" s="1328"/>
      <c r="E152" s="637">
        <v>15</v>
      </c>
      <c r="F152" s="50" cm="1" t="str">
        <f t="array" ref="F152:F152">OFFSET(E152,-1,1)</f>
        <v>1</v>
      </c>
      <c r="G152" s="1328"/>
      <c r="H152" s="94" t="s">
        <v>771</v>
      </c>
      <c r="I152" s="1328"/>
      <c r="J152" s="1328"/>
      <c r="K152" s="1328"/>
      <c r="L152" s="1328"/>
      <c r="M152" s="1328"/>
      <c r="N152" s="1328"/>
      <c r="O152" s="1328"/>
      <c r="P152" s="1308"/>
      <c r="Q152" s="1308"/>
      <c r="R152" s="1308"/>
      <c r="S152" s="1308"/>
      <c r="T152" s="468" cm="1" t="str">
        <f t="array" ref="T152:T152">T151</f>
        <v>true</v>
      </c>
      <c r="U152" s="1308"/>
      <c r="V152" s="1328"/>
      <c r="W152" s="1308"/>
      <c r="X152" s="1539"/>
      <c r="Y152" s="1528"/>
      <c r="Z152" s="1328"/>
      <c r="AA152" s="1328"/>
      <c r="AB152" s="236" t="s">
        <v>772</v>
      </c>
      <c r="AC152" s="329" t="s">
        <v>737</v>
      </c>
      <c r="AD152" s="89" t="s">
        <v>657</v>
      </c>
      <c r="AE152" s="275">
        <v>205.533</v>
      </c>
      <c r="AF152" s="275"/>
      <c r="AG152" s="275"/>
      <c r="AH152" s="275"/>
      <c r="AI152" s="275"/>
      <c r="AJ152" s="1971"/>
      <c r="AK152" s="1971"/>
      <c r="AL152" s="1971"/>
      <c r="AM152" s="1971"/>
      <c r="AN152" s="1971"/>
      <c r="AO152" s="1971"/>
      <c r="AP152" s="1971"/>
      <c r="AQ152" s="1971"/>
      <c r="AR152" s="1971"/>
      <c r="AS152" s="275"/>
      <c r="AT152" s="1971"/>
      <c r="AU152" s="1971"/>
      <c r="AV152" s="1971"/>
      <c r="AW152" s="1971"/>
      <c r="AX152" s="1971"/>
      <c r="AY152" s="1971"/>
      <c r="AZ152" s="1971"/>
      <c r="BA152" s="1971"/>
      <c r="BB152" s="1971"/>
      <c r="BC152" s="196"/>
      <c r="BD152" s="1328"/>
      <c r="BE152" s="1328"/>
      <c r="BF152" s="1023" t="s">
        <v>773</v>
      </c>
    </row>
    <row s="1656" customFormat="1" customHeight="1" ht="23.25">
      <c r="A153" s="1328"/>
      <c r="B153" s="1186"/>
      <c r="C153" s="1328"/>
      <c r="D153" s="1328"/>
      <c r="E153" s="637">
        <v>22.5</v>
      </c>
      <c r="F153" s="50" cm="1" t="str">
        <f t="array" ref="F153:F153">OFFSET(E153,-1,1)</f>
        <v>1</v>
      </c>
      <c r="G153" s="1328"/>
      <c r="H153" s="94" t="s">
        <v>774</v>
      </c>
      <c r="I153" s="472"/>
      <c r="J153" s="472"/>
      <c r="K153" s="1328"/>
      <c r="L153" s="1328"/>
      <c r="M153" s="1328"/>
      <c r="N153" s="1328"/>
      <c r="O153" s="1328"/>
      <c r="P153" s="1308"/>
      <c r="Q153" s="1308"/>
      <c r="R153" s="1308"/>
      <c r="S153" s="1308"/>
      <c r="T153" s="468" cm="1" t="str">
        <f t="array" ref="T153:T153">T152</f>
        <v>true</v>
      </c>
      <c r="U153" s="1308"/>
      <c r="V153" s="1328"/>
      <c r="W153" s="1308"/>
      <c r="X153" s="1539"/>
      <c r="Y153" s="1528"/>
      <c r="Z153" s="1328"/>
      <c r="AA153" s="1328"/>
      <c r="AB153" s="236" t="s">
        <v>775</v>
      </c>
      <c r="AC153" s="330" t="s">
        <v>776</v>
      </c>
      <c r="AD153" s="89" t="s">
        <v>657</v>
      </c>
      <c r="AE153" s="272"/>
      <c r="AF153" s="272"/>
      <c r="AG153" s="272"/>
      <c r="AH153" s="272"/>
      <c r="AI153" s="272"/>
      <c r="AJ153" s="1927"/>
      <c r="AK153" s="1927"/>
      <c r="AL153" s="1927"/>
      <c r="AM153" s="1927"/>
      <c r="AN153" s="1927"/>
      <c r="AO153" s="1927"/>
      <c r="AP153" s="1927"/>
      <c r="AQ153" s="1927"/>
      <c r="AR153" s="1927"/>
      <c r="AS153" s="272"/>
      <c r="AT153" s="1927"/>
      <c r="AU153" s="1927"/>
      <c r="AV153" s="1927"/>
      <c r="AW153" s="1927"/>
      <c r="AX153" s="1927"/>
      <c r="AY153" s="1927"/>
      <c r="AZ153" s="1927"/>
      <c r="BA153" s="1927"/>
      <c r="BB153" s="1927"/>
      <c r="BC153" s="196"/>
      <c r="BD153" s="1328"/>
      <c r="BE153" s="1328"/>
      <c r="BF153" s="1023" t="s">
        <v>777</v>
      </c>
    </row>
    <row s="1656" customFormat="1" customHeight="1" ht="23.25">
      <c r="A154" s="1328"/>
      <c r="B154" s="1186"/>
      <c r="C154" s="1328"/>
      <c r="D154" s="1328"/>
      <c r="E154" s="637">
        <v>15</v>
      </c>
      <c r="F154" s="345" cm="1" t="str">
        <f t="array" ref="F154:F154">OFFSET(E154,-1,1)</f>
        <v>1</v>
      </c>
      <c r="G154" s="1328"/>
      <c r="H154" s="1328"/>
      <c r="I154" s="1328"/>
      <c r="J154" s="1328"/>
      <c r="K154" s="1328"/>
      <c r="L154" s="1328"/>
      <c r="M154" s="1328"/>
      <c r="N154" s="1328"/>
      <c r="O154" s="1328"/>
      <c r="P154" s="1308"/>
      <c r="Q154" s="1308"/>
      <c r="R154" s="1308"/>
      <c r="S154" s="1308"/>
      <c r="T154" s="468" cm="1" t="str">
        <f t="array" ref="T154:T154">T153</f>
        <v>true</v>
      </c>
      <c r="U154" s="1308"/>
      <c r="V154" s="1328"/>
      <c r="W154" s="1308"/>
      <c r="X154" s="1539"/>
      <c r="Y154" s="1528"/>
      <c r="Z154" s="1328"/>
      <c r="AA154" s="1328"/>
      <c r="AB154" s="236" t="s">
        <v>778</v>
      </c>
      <c r="AC154" s="330" t="s">
        <v>779</v>
      </c>
      <c r="AD154" s="89" t="s">
        <v>657</v>
      </c>
      <c r="AE154" s="272"/>
      <c r="AF154" s="272"/>
      <c r="AG154" s="272"/>
      <c r="AH154" s="272"/>
      <c r="AI154" s="272"/>
      <c r="AJ154" s="1927"/>
      <c r="AK154" s="1927"/>
      <c r="AL154" s="1927"/>
      <c r="AM154" s="1927"/>
      <c r="AN154" s="1927"/>
      <c r="AO154" s="1927"/>
      <c r="AP154" s="1927"/>
      <c r="AQ154" s="1927"/>
      <c r="AR154" s="1927"/>
      <c r="AS154" s="272"/>
      <c r="AT154" s="1927"/>
      <c r="AU154" s="1927"/>
      <c r="AV154" s="1927"/>
      <c r="AW154" s="1927"/>
      <c r="AX154" s="1927"/>
      <c r="AY154" s="1927"/>
      <c r="AZ154" s="1927"/>
      <c r="BA154" s="1927"/>
      <c r="BB154" s="1927"/>
      <c r="BC154" s="196"/>
      <c r="BD154" s="1328"/>
      <c r="BE154" s="1328"/>
      <c r="BF154" s="1023" t="s">
        <v>780</v>
      </c>
    </row>
    <row s="1656" customFormat="1" customHeight="1" ht="11.25" hidden="1">
      <c r="A155" s="472"/>
      <c r="B155" s="664"/>
      <c r="C155" s="472"/>
      <c r="D155" s="472"/>
      <c r="E155" s="666" t="s">
        <v>384</v>
      </c>
      <c r="F155" s="1194" cm="1" t="str">
        <f t="array" ref="F155:F155">OFFSET(E155,-1,1)</f>
        <v>1</v>
      </c>
      <c r="G155" s="472"/>
      <c r="H155" s="472"/>
      <c r="I155" s="1656"/>
      <c r="J155" s="1656"/>
      <c r="K155" s="94"/>
      <c r="L155" s="472"/>
      <c r="M155" s="472"/>
      <c r="N155" s="472"/>
      <c r="O155" s="472"/>
      <c r="P155" s="472"/>
      <c r="Q155" s="472"/>
      <c r="R155" s="417"/>
      <c r="S155" s="417"/>
      <c r="T155" s="468" t="b">
        <v>0</v>
      </c>
      <c r="U155" s="472"/>
      <c r="V155" s="472"/>
      <c r="W155" s="472"/>
      <c r="X155" s="1539"/>
      <c r="Y155" s="1528"/>
      <c r="Z155" s="472"/>
      <c r="AA155" s="472"/>
      <c r="AB155" s="1656"/>
      <c r="AC155" s="96"/>
      <c r="AD155" s="96"/>
      <c r="AE155" s="340"/>
      <c r="AF155" s="340"/>
      <c r="AG155" s="340"/>
      <c r="AH155" s="340"/>
      <c r="AI155" s="340"/>
      <c r="AJ155" s="341"/>
      <c r="AK155" s="340"/>
      <c r="AL155" s="340"/>
      <c r="AM155" s="340"/>
      <c r="AN155" s="340"/>
      <c r="AO155" s="340"/>
      <c r="AP155" s="340"/>
      <c r="AQ155" s="340"/>
      <c r="AR155" s="340"/>
      <c r="AS155" s="340"/>
      <c r="AT155" s="340"/>
      <c r="AU155" s="340"/>
      <c r="AV155" s="340"/>
      <c r="AW155" s="340"/>
      <c r="AX155" s="340"/>
      <c r="AY155" s="340"/>
      <c r="AZ155" s="340"/>
      <c r="BA155" s="340"/>
      <c r="BB155" s="340"/>
      <c r="BC155" s="1656"/>
      <c r="BD155" s="1656"/>
      <c r="BE155" s="1656"/>
      <c r="BF155" s="1027"/>
    </row>
    <row s="1656" customFormat="1" customHeight="1" ht="12.75" hidden="1">
      <c r="A156" s="1328"/>
      <c r="B156" s="1186"/>
      <c r="C156" s="1328"/>
      <c r="D156" s="1328"/>
      <c r="E156" s="637">
        <v>15</v>
      </c>
      <c r="F156" s="50" cm="1" t="str">
        <f t="array" ref="F156:F156">OFFSET(E156,-1,1)</f>
        <v>1</v>
      </c>
      <c r="G156" s="1328"/>
      <c r="H156" s="1328"/>
      <c r="I156" s="1328"/>
      <c r="J156" s="1328"/>
      <c r="K156" s="1328"/>
      <c r="L156" s="1328"/>
      <c r="M156" s="1328"/>
      <c r="N156" s="1328"/>
      <c r="O156" s="1328"/>
      <c r="P156" s="1308"/>
      <c r="Q156" s="1308"/>
      <c r="R156" s="417" cm="1" t="str">
        <f t="array" ref="R156:R156">INDEX('Общие сведения'!$AN$197:$AN$254,MATCH($X118,'Общие сведения'!$Z$197:$Z$254,0))</f>
        <v>false</v>
      </c>
      <c r="S156" s="417">
        <f>IF(ISERROR(SEARCH("Водоснабжение",AB118)),FALSE,TRUE)</f>
        <v>1</v>
      </c>
      <c r="T156" s="468">
        <f>AND(X118&gt;0,S156,R156)</f>
        <v>0</v>
      </c>
      <c r="U156" s="1308"/>
      <c r="V156" s="1328"/>
      <c r="W156" s="1308"/>
      <c r="X156" s="1539"/>
      <c r="Y156" s="1528"/>
      <c r="Z156" s="1328"/>
      <c r="AA156" s="1328"/>
      <c r="AB156" s="236" t="s">
        <v>290</v>
      </c>
      <c r="AC156" s="324" t="s">
        <v>654</v>
      </c>
      <c r="AD156" s="194"/>
      <c r="AE156" s="574" cm="1" t="str">
        <f t="array" ref="AE156:AE156">INDEX('Общие сведения'!$AH$197:$AH$254,MATCH($X118,'Общие сведения'!$Z$197:$Z$254,0))</f>
        <v>питьевая вода</v>
      </c>
      <c r="AF156" s="358"/>
      <c r="AG156" s="358"/>
      <c r="AH156" s="358"/>
      <c r="AI156" s="358"/>
      <c r="AJ156" s="358"/>
      <c r="AK156" s="358"/>
      <c r="AL156" s="358"/>
      <c r="AM156" s="358"/>
      <c r="AN156" s="358"/>
      <c r="AO156" s="358"/>
      <c r="AP156" s="358"/>
      <c r="AQ156" s="358"/>
      <c r="AR156" s="358"/>
      <c r="AS156" s="358"/>
      <c r="AT156" s="358"/>
      <c r="AU156" s="358"/>
      <c r="AV156" s="358"/>
      <c r="AW156" s="358"/>
      <c r="AX156" s="358"/>
      <c r="AY156" s="358"/>
      <c r="AZ156" s="358"/>
      <c r="BA156" s="358"/>
      <c r="BB156" s="359"/>
      <c r="BC156" s="1928"/>
      <c r="BD156" s="1328"/>
      <c r="BE156" s="1328"/>
      <c r="BF156" s="1023" t="s">
        <v>781</v>
      </c>
    </row>
    <row s="1656" customFormat="1" customHeight="1" ht="12.75" hidden="1">
      <c r="A157" s="1328"/>
      <c r="B157" s="1186"/>
      <c r="C157" s="1328"/>
      <c r="D157" s="1328"/>
      <c r="E157" s="637">
        <v>15</v>
      </c>
      <c r="F157" s="50" cm="1" t="str">
        <f t="array" ref="F157:F157">OFFSET(E157,-1,1)</f>
        <v>1</v>
      </c>
      <c r="G157" s="1328"/>
      <c r="H157" s="94" t="s">
        <v>348</v>
      </c>
      <c r="I157" s="1328"/>
      <c r="J157" s="1328"/>
      <c r="K157" s="1328"/>
      <c r="L157" s="1328"/>
      <c r="M157" s="1328"/>
      <c r="N157" s="1328"/>
      <c r="O157" s="1328"/>
      <c r="P157" s="1308"/>
      <c r="Q157" s="1308"/>
      <c r="R157" s="1308"/>
      <c r="S157" s="1308"/>
      <c r="T157" s="468" cm="1" t="str">
        <f t="array" ref="T157:T157">T156</f>
        <v>false</v>
      </c>
      <c r="U157" s="1308"/>
      <c r="V157" s="1328"/>
      <c r="W157" s="1308"/>
      <c r="X157" s="1539"/>
      <c r="Y157" s="1528"/>
      <c r="Z157" s="1328"/>
      <c r="AA157" s="1328"/>
      <c r="AB157" s="236" t="s">
        <v>299</v>
      </c>
      <c r="AC157" s="331" t="s">
        <v>782</v>
      </c>
      <c r="AD157" s="89" t="s">
        <v>657</v>
      </c>
      <c r="AE157" s="342">
        <f>AE161+AE163+AE166+AE169</f>
        <v>0</v>
      </c>
      <c r="AF157" s="342">
        <f>AF161+AF163+AF166+AF169</f>
        <v>0</v>
      </c>
      <c r="AG157" s="342">
        <f>AG161+AG163+AG166+AG169</f>
        <v>0</v>
      </c>
      <c r="AH157" s="342">
        <f>AH161+AH163+AH166+AH169</f>
        <v>0</v>
      </c>
      <c r="AI157" s="342">
        <f>AI161+AI163+AI166+AI169</f>
        <v>0</v>
      </c>
      <c r="AJ157" s="342">
        <f>AJ161+AJ163+AJ166+AJ169</f>
        <v>0</v>
      </c>
      <c r="AK157" s="342">
        <f>AK161+AK163+AK166+AK169</f>
        <v>0</v>
      </c>
      <c r="AL157" s="342">
        <f>AL161+AL163+AL166+AL169</f>
        <v>0</v>
      </c>
      <c r="AM157" s="342">
        <f>AM161+AM163+AM166+AM169</f>
        <v>0</v>
      </c>
      <c r="AN157" s="342">
        <f>AN161+AN163+AN166+AN169</f>
        <v>0</v>
      </c>
      <c r="AO157" s="342">
        <f>AO161+AO163+AO166+AO169</f>
        <v>0</v>
      </c>
      <c r="AP157" s="342">
        <f>AP161+AP163+AP166+AP169</f>
        <v>0</v>
      </c>
      <c r="AQ157" s="342">
        <f>AQ161+AQ163+AQ166+AQ169</f>
        <v>0</v>
      </c>
      <c r="AR157" s="342">
        <f>AR161+AR163+AR166+AR169</f>
        <v>0</v>
      </c>
      <c r="AS157" s="342">
        <f>AS161+AS163+AS166+AS169</f>
        <v>0</v>
      </c>
      <c r="AT157" s="342">
        <f>AT161+AT163+AT166+AT169</f>
        <v>0</v>
      </c>
      <c r="AU157" s="342">
        <f>AU161+AU163+AU166+AU169</f>
        <v>0</v>
      </c>
      <c r="AV157" s="342">
        <f>AV161+AV163+AV166+AV169</f>
        <v>0</v>
      </c>
      <c r="AW157" s="342">
        <f>AW161+AW163+AW166+AW169</f>
        <v>0</v>
      </c>
      <c r="AX157" s="342">
        <f>AX161+AX163+AX166+AX169</f>
        <v>0</v>
      </c>
      <c r="AY157" s="342">
        <f>AY161+AY163+AY166+AY169</f>
        <v>0</v>
      </c>
      <c r="AZ157" s="342">
        <f>AZ161+AZ163+AZ166+AZ169</f>
        <v>0</v>
      </c>
      <c r="BA157" s="342">
        <f>BA161+BA163+BA166+BA169</f>
        <v>0</v>
      </c>
      <c r="BB157" s="342">
        <f>BB161+BB163+BB166+BB169</f>
        <v>0</v>
      </c>
      <c r="BC157" s="1928"/>
      <c r="BD157" s="1328"/>
      <c r="BE157" s="1328"/>
      <c r="BF157" s="1023" t="s">
        <v>783</v>
      </c>
    </row>
    <row s="1656" customFormat="1" customHeight="1" ht="12.75" hidden="1">
      <c r="A158" s="1328"/>
      <c r="B158" s="1186"/>
      <c r="C158" s="1328"/>
      <c r="D158" s="1328"/>
      <c r="E158" s="637">
        <v>15</v>
      </c>
      <c r="F158" s="50" cm="1" t="str">
        <f t="array" ref="F158:F158">OFFSET(E158,-1,1)</f>
        <v>1</v>
      </c>
      <c r="G158" s="1328"/>
      <c r="H158" s="94" t="s">
        <v>659</v>
      </c>
      <c r="I158" s="1328"/>
      <c r="J158" s="1328"/>
      <c r="K158" s="1328"/>
      <c r="L158" s="1328"/>
      <c r="M158" s="1328"/>
      <c r="N158" s="1328"/>
      <c r="O158" s="1328"/>
      <c r="P158" s="1308"/>
      <c r="Q158" s="1308"/>
      <c r="R158" s="1308"/>
      <c r="S158" s="1308"/>
      <c r="T158" s="468" cm="1" t="str">
        <f t="array" ref="T158:T158">T157</f>
        <v>false</v>
      </c>
      <c r="U158" s="1308"/>
      <c r="V158" s="1328"/>
      <c r="W158" s="1308"/>
      <c r="X158" s="1539"/>
      <c r="Y158" s="1528"/>
      <c r="Z158" s="1328"/>
      <c r="AA158" s="1328"/>
      <c r="AB158" s="236" t="s">
        <v>660</v>
      </c>
      <c r="AC158" s="332" t="s">
        <v>784</v>
      </c>
      <c r="AD158" s="89" t="s">
        <v>657</v>
      </c>
      <c r="AE158" s="1927"/>
      <c r="AF158" s="1927"/>
      <c r="AG158" s="1927"/>
      <c r="AH158" s="1927"/>
      <c r="AI158" s="1927"/>
      <c r="AJ158" s="1927"/>
      <c r="AK158" s="1927"/>
      <c r="AL158" s="1927"/>
      <c r="AM158" s="1927"/>
      <c r="AN158" s="1927"/>
      <c r="AO158" s="1927"/>
      <c r="AP158" s="1927"/>
      <c r="AQ158" s="1927"/>
      <c r="AR158" s="1927"/>
      <c r="AS158" s="1927"/>
      <c r="AT158" s="1927"/>
      <c r="AU158" s="1927"/>
      <c r="AV158" s="1927"/>
      <c r="AW158" s="1927"/>
      <c r="AX158" s="1927"/>
      <c r="AY158" s="1927"/>
      <c r="AZ158" s="1927"/>
      <c r="BA158" s="1927"/>
      <c r="BB158" s="1927"/>
      <c r="BC158" s="1928"/>
      <c r="BD158" s="1328"/>
      <c r="BE158" s="1328"/>
      <c r="BF158" s="1023" t="s">
        <v>785</v>
      </c>
    </row>
    <row s="1656" customFormat="1" customHeight="1" ht="12.75" hidden="1">
      <c r="A159" s="1328"/>
      <c r="B159" s="1186"/>
      <c r="C159" s="1328"/>
      <c r="D159" s="1328"/>
      <c r="E159" s="637">
        <v>15</v>
      </c>
      <c r="F159" s="50" cm="1" t="str">
        <f t="array" ref="F159:F159">OFFSET(E159,-1,1)</f>
        <v>1</v>
      </c>
      <c r="G159" s="1328"/>
      <c r="H159" s="94" t="s">
        <v>663</v>
      </c>
      <c r="I159" s="1328"/>
      <c r="J159" s="1328"/>
      <c r="K159" s="1328"/>
      <c r="L159" s="1328"/>
      <c r="M159" s="1328"/>
      <c r="N159" s="1328"/>
      <c r="O159" s="1328"/>
      <c r="P159" s="1308"/>
      <c r="Q159" s="1308"/>
      <c r="R159" s="1308"/>
      <c r="S159" s="1308"/>
      <c r="T159" s="468" cm="1" t="str">
        <f t="array" ref="T159:T159">T158</f>
        <v>false</v>
      </c>
      <c r="U159" s="1308"/>
      <c r="V159" s="1328"/>
      <c r="W159" s="1308"/>
      <c r="X159" s="1539"/>
      <c r="Y159" s="1528"/>
      <c r="Z159" s="1328"/>
      <c r="AA159" s="1328"/>
      <c r="AB159" s="236" t="s">
        <v>664</v>
      </c>
      <c r="AC159" s="332" t="s">
        <v>786</v>
      </c>
      <c r="AD159" s="89" t="s">
        <v>657</v>
      </c>
      <c r="AE159" s="1927"/>
      <c r="AF159" s="1927"/>
      <c r="AG159" s="1927"/>
      <c r="AH159" s="1927"/>
      <c r="AI159" s="1927"/>
      <c r="AJ159" s="1927"/>
      <c r="AK159" s="1927"/>
      <c r="AL159" s="1927"/>
      <c r="AM159" s="1927"/>
      <c r="AN159" s="1927"/>
      <c r="AO159" s="1927"/>
      <c r="AP159" s="1927"/>
      <c r="AQ159" s="1927"/>
      <c r="AR159" s="1927"/>
      <c r="AS159" s="1927"/>
      <c r="AT159" s="1927"/>
      <c r="AU159" s="1927"/>
      <c r="AV159" s="1927"/>
      <c r="AW159" s="1927"/>
      <c r="AX159" s="1927"/>
      <c r="AY159" s="1927"/>
      <c r="AZ159" s="1927"/>
      <c r="BA159" s="1927"/>
      <c r="BB159" s="1927"/>
      <c r="BC159" s="1928"/>
      <c r="BD159" s="1328"/>
      <c r="BE159" s="1328"/>
      <c r="BF159" s="1023" t="s">
        <v>787</v>
      </c>
    </row>
    <row s="1656" customFormat="1" customHeight="1" ht="23.25" hidden="1">
      <c r="A160" s="1328"/>
      <c r="B160" s="1186"/>
      <c r="C160" s="1328"/>
      <c r="D160" s="1328"/>
      <c r="E160" s="637">
        <v>22.5</v>
      </c>
      <c r="F160" s="50" cm="1" t="str">
        <f t="array" ref="F160:F160">OFFSET(E160,-1,1)</f>
        <v>1</v>
      </c>
      <c r="G160" s="1328"/>
      <c r="H160" s="94" t="s">
        <v>667</v>
      </c>
      <c r="I160" s="1328"/>
      <c r="J160" s="1328"/>
      <c r="K160" s="1328"/>
      <c r="L160" s="1328"/>
      <c r="M160" s="1328"/>
      <c r="N160" s="1328"/>
      <c r="O160" s="1328"/>
      <c r="P160" s="1308"/>
      <c r="Q160" s="1308"/>
      <c r="R160" s="1308"/>
      <c r="S160" s="1308"/>
      <c r="T160" s="468" cm="1" t="str">
        <f t="array" ref="T160:T160">T159</f>
        <v>false</v>
      </c>
      <c r="U160" s="1308"/>
      <c r="V160" s="1328"/>
      <c r="W160" s="1308"/>
      <c r="X160" s="1539"/>
      <c r="Y160" s="1528"/>
      <c r="Z160" s="1328"/>
      <c r="AA160" s="1328"/>
      <c r="AB160" s="236" t="s">
        <v>668</v>
      </c>
      <c r="AC160" s="332" t="s">
        <v>788</v>
      </c>
      <c r="AD160" s="89" t="s">
        <v>657</v>
      </c>
      <c r="AE160" s="1927"/>
      <c r="AF160" s="1927"/>
      <c r="AG160" s="1927"/>
      <c r="AH160" s="1927"/>
      <c r="AI160" s="1927"/>
      <c r="AJ160" s="1927"/>
      <c r="AK160" s="1927"/>
      <c r="AL160" s="1927"/>
      <c r="AM160" s="1927"/>
      <c r="AN160" s="1927"/>
      <c r="AO160" s="1927"/>
      <c r="AP160" s="1927"/>
      <c r="AQ160" s="1927"/>
      <c r="AR160" s="1927"/>
      <c r="AS160" s="1927"/>
      <c r="AT160" s="1927"/>
      <c r="AU160" s="1927"/>
      <c r="AV160" s="1927"/>
      <c r="AW160" s="1927"/>
      <c r="AX160" s="1927"/>
      <c r="AY160" s="1927"/>
      <c r="AZ160" s="1927"/>
      <c r="BA160" s="1927"/>
      <c r="BB160" s="1927"/>
      <c r="BC160" s="1928"/>
      <c r="BD160" s="1328"/>
      <c r="BE160" s="1328"/>
      <c r="BF160" s="1023" t="s">
        <v>789</v>
      </c>
    </row>
    <row s="1656" customFormat="1" customHeight="1" ht="12.75" hidden="1">
      <c r="A161" s="1328"/>
      <c r="B161" s="1186"/>
      <c r="C161" s="1328"/>
      <c r="D161" s="1328"/>
      <c r="E161" s="637">
        <v>15</v>
      </c>
      <c r="F161" s="50" cm="1" t="str">
        <f t="array" ref="F161:F161">OFFSET(E161,-1,1)</f>
        <v>1</v>
      </c>
      <c r="G161" s="1328"/>
      <c r="H161" s="94" t="s">
        <v>347</v>
      </c>
      <c r="I161" s="1328"/>
      <c r="J161" s="1328"/>
      <c r="K161" s="1328"/>
      <c r="L161" s="1328"/>
      <c r="M161" s="1328"/>
      <c r="N161" s="1328"/>
      <c r="O161" s="1328"/>
      <c r="P161" s="1308"/>
      <c r="Q161" s="1308"/>
      <c r="R161" s="1308"/>
      <c r="S161" s="1308"/>
      <c r="T161" s="468" cm="1" t="str">
        <f t="array" ref="T161:T161">T160</f>
        <v>false</v>
      </c>
      <c r="U161" s="1308"/>
      <c r="V161" s="1328"/>
      <c r="W161" s="1308"/>
      <c r="X161" s="1539"/>
      <c r="Y161" s="1528"/>
      <c r="Z161" s="1328"/>
      <c r="AA161" s="1328"/>
      <c r="AB161" s="236" t="s">
        <v>234</v>
      </c>
      <c r="AC161" s="324" t="s">
        <v>701</v>
      </c>
      <c r="AD161" s="89" t="s">
        <v>657</v>
      </c>
      <c r="AE161" s="1927"/>
      <c r="AF161" s="1927"/>
      <c r="AG161" s="1927"/>
      <c r="AH161" s="1927"/>
      <c r="AI161" s="1927"/>
      <c r="AJ161" s="1927"/>
      <c r="AK161" s="1927"/>
      <c r="AL161" s="1927"/>
      <c r="AM161" s="1927"/>
      <c r="AN161" s="1927"/>
      <c r="AO161" s="1927"/>
      <c r="AP161" s="1927"/>
      <c r="AQ161" s="1927"/>
      <c r="AR161" s="1927"/>
      <c r="AS161" s="1927"/>
      <c r="AT161" s="1927"/>
      <c r="AU161" s="1927"/>
      <c r="AV161" s="1927"/>
      <c r="AW161" s="1927"/>
      <c r="AX161" s="1927"/>
      <c r="AY161" s="1927"/>
      <c r="AZ161" s="1927"/>
      <c r="BA161" s="1927"/>
      <c r="BB161" s="1927"/>
      <c r="BC161" s="1928"/>
      <c r="BD161" s="1328"/>
      <c r="BE161" s="1328"/>
      <c r="BF161" s="1023" t="s">
        <v>790</v>
      </c>
    </row>
    <row s="1656" customFormat="1" customHeight="1" ht="12.75" hidden="1">
      <c r="A162" s="1328"/>
      <c r="B162" s="1186"/>
      <c r="C162" s="1328"/>
      <c r="D162" s="1328"/>
      <c r="E162" s="637">
        <v>15</v>
      </c>
      <c r="F162" s="50" cm="1" t="str">
        <f t="array" ref="F162:F162">OFFSET(E162,-1,1)</f>
        <v>1</v>
      </c>
      <c r="G162" s="1328"/>
      <c r="H162" s="94" t="s">
        <v>673</v>
      </c>
      <c r="I162" s="1328"/>
      <c r="J162" s="1328"/>
      <c r="K162" s="1328"/>
      <c r="L162" s="1328"/>
      <c r="M162" s="1328"/>
      <c r="N162" s="1328"/>
      <c r="O162" s="1328"/>
      <c r="P162" s="1308"/>
      <c r="Q162" s="1308"/>
      <c r="R162" s="1308"/>
      <c r="S162" s="1308"/>
      <c r="T162" s="468" cm="1" t="str">
        <f t="array" ref="T162:T162">T161</f>
        <v>false</v>
      </c>
      <c r="U162" s="1308"/>
      <c r="V162" s="1328"/>
      <c r="W162" s="1308"/>
      <c r="X162" s="1539"/>
      <c r="Y162" s="1528"/>
      <c r="Z162" s="1328"/>
      <c r="AA162" s="1328"/>
      <c r="AB162" s="236" t="s">
        <v>674</v>
      </c>
      <c r="AC162" s="327" t="s">
        <v>705</v>
      </c>
      <c r="AD162" s="89" t="s">
        <v>561</v>
      </c>
      <c r="AE162" s="1817">
        <f>IF(AE157=0,0,AE161/AE157*100)</f>
        <v>0</v>
      </c>
      <c r="AF162" s="1817">
        <f>IF(AF157=0,0,AF161/AF157*100)</f>
        <v>0</v>
      </c>
      <c r="AG162" s="1817">
        <f>IF(AG157=0,0,AG161/AG157*100)</f>
        <v>0</v>
      </c>
      <c r="AH162" s="1817">
        <f>IF(AH157=0,0,AH161/AH157*100)</f>
        <v>0</v>
      </c>
      <c r="AI162" s="1817">
        <f>IF(AI157=0,0,AI161/AI157*100)</f>
        <v>0</v>
      </c>
      <c r="AJ162" s="1817">
        <f>IF(AJ157=0,0,AJ161/AJ157*100)</f>
        <v>0</v>
      </c>
      <c r="AK162" s="1817">
        <f>IF(AK157=0,0,AK161/AK157*100)</f>
        <v>0</v>
      </c>
      <c r="AL162" s="1817">
        <f>IF(AL157=0,0,AL161/AL157*100)</f>
        <v>0</v>
      </c>
      <c r="AM162" s="1817">
        <f>IF(AM157=0,0,AM161/AM157*100)</f>
        <v>0</v>
      </c>
      <c r="AN162" s="1817">
        <f>IF(AN157=0,0,AN161/AN157*100)</f>
        <v>0</v>
      </c>
      <c r="AO162" s="1817">
        <f>IF(AO157=0,0,AO161/AO157*100)</f>
        <v>0</v>
      </c>
      <c r="AP162" s="1817">
        <f>IF(AP157=0,0,AP161/AP157*100)</f>
        <v>0</v>
      </c>
      <c r="AQ162" s="1817">
        <f>IF(AQ157=0,0,AQ161/AQ157*100)</f>
        <v>0</v>
      </c>
      <c r="AR162" s="1817">
        <f>IF(AR157=0,0,AR161/AR157*100)</f>
        <v>0</v>
      </c>
      <c r="AS162" s="1817">
        <f>IF(AS157=0,0,AS161/AS157*100)</f>
        <v>0</v>
      </c>
      <c r="AT162" s="1817">
        <f>IF(AT157=0,0,AT161/AT157*100)</f>
        <v>0</v>
      </c>
      <c r="AU162" s="1817">
        <f>IF(AU157=0,0,AU161/AU157*100)</f>
        <v>0</v>
      </c>
      <c r="AV162" s="1817">
        <f>IF(AV157=0,0,AV161/AV157*100)</f>
        <v>0</v>
      </c>
      <c r="AW162" s="1817">
        <f>IF(AW157=0,0,AW161/AW157*100)</f>
        <v>0</v>
      </c>
      <c r="AX162" s="1817">
        <f>IF(AX157=0,0,AX161/AX157*100)</f>
        <v>0</v>
      </c>
      <c r="AY162" s="1817">
        <f>IF(AY157=0,0,AY161/AY157*100)</f>
        <v>0</v>
      </c>
      <c r="AZ162" s="1817">
        <f>IF(AZ157=0,0,AZ161/AZ157*100)</f>
        <v>0</v>
      </c>
      <c r="BA162" s="1817">
        <f>IF(BA157=0,0,BA161/BA157*100)</f>
        <v>0</v>
      </c>
      <c r="BB162" s="1817">
        <f>IF(BB157=0,0,BB161/BB157*100)</f>
        <v>0</v>
      </c>
      <c r="BC162" s="1975"/>
      <c r="BD162" s="1328"/>
      <c r="BE162" s="1328"/>
      <c r="BF162" s="1023" t="s">
        <v>791</v>
      </c>
    </row>
    <row s="1656" customFormat="1" customHeight="1" ht="12.75" hidden="1">
      <c r="A163" s="1328"/>
      <c r="B163" s="1186"/>
      <c r="C163" s="1328"/>
      <c r="D163" s="1328"/>
      <c r="E163" s="637">
        <v>15</v>
      </c>
      <c r="F163" s="50" cm="1" t="str">
        <f t="array" ref="F163:F163">OFFSET(E163,-1,1)</f>
        <v>1</v>
      </c>
      <c r="G163" s="1328" t="str">
        <f>IF(OwnNeedsInPO="да","ПО","")</f>
        <v>ПО</v>
      </c>
      <c r="H163" s="94" t="s">
        <v>616</v>
      </c>
      <c r="I163" s="1328"/>
      <c r="J163" s="1328"/>
      <c r="K163" s="1328"/>
      <c r="L163" s="1328"/>
      <c r="M163" s="1328"/>
      <c r="N163" s="1328"/>
      <c r="O163" s="1328"/>
      <c r="P163" s="1308"/>
      <c r="Q163" s="1308"/>
      <c r="R163" s="1308"/>
      <c r="S163" s="1308"/>
      <c r="T163" s="468" cm="1" t="str">
        <f t="array" ref="T163:T163">T162</f>
        <v>false</v>
      </c>
      <c r="U163" s="1308"/>
      <c r="V163" s="1328"/>
      <c r="W163" s="1308"/>
      <c r="X163" s="1539"/>
      <c r="Y163" s="1528"/>
      <c r="Z163" s="1328"/>
      <c r="AA163" s="1328"/>
      <c r="AB163" s="236" t="s">
        <v>451</v>
      </c>
      <c r="AC163" s="331" t="s">
        <v>712</v>
      </c>
      <c r="AD163" s="89" t="s">
        <v>657</v>
      </c>
      <c r="AE163" s="342">
        <f>AE164+AE165</f>
        <v>0</v>
      </c>
      <c r="AF163" s="342">
        <f>AF164+AF165</f>
        <v>0</v>
      </c>
      <c r="AG163" s="342">
        <f>AG164+AG165</f>
        <v>0</v>
      </c>
      <c r="AH163" s="342">
        <f>AH164+AH165</f>
        <v>0</v>
      </c>
      <c r="AI163" s="342">
        <f>AI164+AI165</f>
        <v>0</v>
      </c>
      <c r="AJ163" s="342">
        <f>AJ164+AJ165</f>
        <v>0</v>
      </c>
      <c r="AK163" s="342">
        <f>AK164+AK165</f>
        <v>0</v>
      </c>
      <c r="AL163" s="342">
        <f>AL164+AL165</f>
        <v>0</v>
      </c>
      <c r="AM163" s="342">
        <f>AM164+AM165</f>
        <v>0</v>
      </c>
      <c r="AN163" s="342">
        <f>AN164+AN165</f>
        <v>0</v>
      </c>
      <c r="AO163" s="342">
        <f>AO164+AO165</f>
        <v>0</v>
      </c>
      <c r="AP163" s="342">
        <f>AP164+AP165</f>
        <v>0</v>
      </c>
      <c r="AQ163" s="342">
        <f>AQ164+AQ165</f>
        <v>0</v>
      </c>
      <c r="AR163" s="342">
        <f>AR164+AR165</f>
        <v>0</v>
      </c>
      <c r="AS163" s="342">
        <f>AS164+AS165</f>
        <v>0</v>
      </c>
      <c r="AT163" s="342">
        <f>AT164+AT165</f>
        <v>0</v>
      </c>
      <c r="AU163" s="342">
        <f>AU164+AU165</f>
        <v>0</v>
      </c>
      <c r="AV163" s="342">
        <f>AV164+AV165</f>
        <v>0</v>
      </c>
      <c r="AW163" s="342">
        <f>AW164+AW165</f>
        <v>0</v>
      </c>
      <c r="AX163" s="342">
        <f>AX164+AX165</f>
        <v>0</v>
      </c>
      <c r="AY163" s="342">
        <f>AY164+AY165</f>
        <v>0</v>
      </c>
      <c r="AZ163" s="342">
        <f>AZ164+AZ165</f>
        <v>0</v>
      </c>
      <c r="BA163" s="342">
        <f>BA164+BA165</f>
        <v>0</v>
      </c>
      <c r="BB163" s="342">
        <f>BB164+BB165</f>
        <v>0</v>
      </c>
      <c r="BC163" s="1928"/>
      <c r="BD163" s="1328"/>
      <c r="BE163" s="1328"/>
      <c r="BF163" s="1023" t="s">
        <v>792</v>
      </c>
    </row>
    <row s="1656" customFormat="1" customHeight="1" ht="12.75" hidden="1">
      <c r="A164" s="1328"/>
      <c r="B164" s="1186"/>
      <c r="C164" s="1328"/>
      <c r="D164" s="1328"/>
      <c r="E164" s="637">
        <v>15</v>
      </c>
      <c r="F164" s="50" cm="1" t="str">
        <f t="array" ref="F164:F164">OFFSET(E164,-1,1)</f>
        <v>1</v>
      </c>
      <c r="G164" s="1328"/>
      <c r="H164" s="94" t="s">
        <v>793</v>
      </c>
      <c r="I164" s="1328"/>
      <c r="J164" s="1328"/>
      <c r="K164" s="1328"/>
      <c r="L164" s="1328"/>
      <c r="M164" s="1328"/>
      <c r="N164" s="1328"/>
      <c r="O164" s="1328"/>
      <c r="P164" s="1308"/>
      <c r="Q164" s="1308"/>
      <c r="R164" s="1308"/>
      <c r="S164" s="1308"/>
      <c r="T164" s="468" cm="1" t="str">
        <f t="array" ref="T164:T164">T163</f>
        <v>false</v>
      </c>
      <c r="U164" s="1308"/>
      <c r="V164" s="1328"/>
      <c r="W164" s="1308"/>
      <c r="X164" s="1539"/>
      <c r="Y164" s="1528"/>
      <c r="Z164" s="1328"/>
      <c r="AA164" s="1328"/>
      <c r="AB164" s="236" t="s">
        <v>794</v>
      </c>
      <c r="AC164" s="332" t="s">
        <v>716</v>
      </c>
      <c r="AD164" s="89" t="s">
        <v>657</v>
      </c>
      <c r="AE164" s="1927"/>
      <c r="AF164" s="1927"/>
      <c r="AG164" s="1927"/>
      <c r="AH164" s="1927"/>
      <c r="AI164" s="1927"/>
      <c r="AJ164" s="1927"/>
      <c r="AK164" s="1927"/>
      <c r="AL164" s="1927"/>
      <c r="AM164" s="1927"/>
      <c r="AN164" s="1927"/>
      <c r="AO164" s="1927"/>
      <c r="AP164" s="1927"/>
      <c r="AQ164" s="1927"/>
      <c r="AR164" s="1927"/>
      <c r="AS164" s="1927"/>
      <c r="AT164" s="1927"/>
      <c r="AU164" s="1927"/>
      <c r="AV164" s="1927"/>
      <c r="AW164" s="1927"/>
      <c r="AX164" s="1927"/>
      <c r="AY164" s="1927"/>
      <c r="AZ164" s="1927"/>
      <c r="BA164" s="1927"/>
      <c r="BB164" s="1927"/>
      <c r="BC164" s="1928"/>
      <c r="BD164" s="1328"/>
      <c r="BE164" s="1328"/>
      <c r="BF164" s="1023" t="s">
        <v>795</v>
      </c>
    </row>
    <row s="1656" customFormat="1" customHeight="1" ht="12.75" hidden="1">
      <c r="A165" s="1328"/>
      <c r="B165" s="1186"/>
      <c r="C165" s="1328"/>
      <c r="D165" s="1328"/>
      <c r="E165" s="637">
        <v>15</v>
      </c>
      <c r="F165" s="50" cm="1" t="str">
        <f t="array" ref="F165:F165">OFFSET(E165,-1,1)</f>
        <v>1</v>
      </c>
      <c r="G165" s="1328"/>
      <c r="H165" s="94" t="s">
        <v>796</v>
      </c>
      <c r="I165" s="1328"/>
      <c r="J165" s="1328"/>
      <c r="K165" s="1328"/>
      <c r="L165" s="1328"/>
      <c r="M165" s="1328"/>
      <c r="N165" s="1328"/>
      <c r="O165" s="1328"/>
      <c r="P165" s="1308"/>
      <c r="Q165" s="1308"/>
      <c r="R165" s="1308"/>
      <c r="S165" s="1308"/>
      <c r="T165" s="468" cm="1" t="str">
        <f t="array" ref="T165:T165">T164</f>
        <v>false</v>
      </c>
      <c r="U165" s="1308"/>
      <c r="V165" s="1328"/>
      <c r="W165" s="1308"/>
      <c r="X165" s="1539"/>
      <c r="Y165" s="1528"/>
      <c r="Z165" s="1328"/>
      <c r="AA165" s="1328"/>
      <c r="AB165" s="236" t="s">
        <v>797</v>
      </c>
      <c r="AC165" s="332" t="s">
        <v>720</v>
      </c>
      <c r="AD165" s="89" t="s">
        <v>657</v>
      </c>
      <c r="AE165" s="1927"/>
      <c r="AF165" s="1927"/>
      <c r="AG165" s="1927"/>
      <c r="AH165" s="1927"/>
      <c r="AI165" s="1927"/>
      <c r="AJ165" s="1927"/>
      <c r="AK165" s="1927"/>
      <c r="AL165" s="1927"/>
      <c r="AM165" s="1927"/>
      <c r="AN165" s="1927"/>
      <c r="AO165" s="1927"/>
      <c r="AP165" s="1927"/>
      <c r="AQ165" s="1927"/>
      <c r="AR165" s="1927"/>
      <c r="AS165" s="1927"/>
      <c r="AT165" s="1927"/>
      <c r="AU165" s="1927"/>
      <c r="AV165" s="1927"/>
      <c r="AW165" s="1927"/>
      <c r="AX165" s="1927"/>
      <c r="AY165" s="1927"/>
      <c r="AZ165" s="1927"/>
      <c r="BA165" s="1927"/>
      <c r="BB165" s="1927"/>
      <c r="BC165" s="1928"/>
      <c r="BD165" s="1328"/>
      <c r="BE165" s="1328"/>
      <c r="BF165" s="1023" t="s">
        <v>798</v>
      </c>
    </row>
    <row s="1656" customFormat="1" customHeight="1" ht="12.75" hidden="1">
      <c r="A166" s="1328"/>
      <c r="B166" s="1186"/>
      <c r="C166" s="1328"/>
      <c r="D166" s="1328"/>
      <c r="E166" s="637">
        <v>15</v>
      </c>
      <c r="F166" s="50" cm="1" t="str">
        <f t="array" ref="F166:F166">OFFSET(E166,-1,1)</f>
        <v>1</v>
      </c>
      <c r="G166" s="94" t="s">
        <v>726</v>
      </c>
      <c r="H166" s="94" t="s">
        <v>619</v>
      </c>
      <c r="I166" s="1328"/>
      <c r="J166" s="1328"/>
      <c r="K166" s="1328"/>
      <c r="L166" s="1328"/>
      <c r="M166" s="1328"/>
      <c r="N166" s="1328"/>
      <c r="O166" s="1328"/>
      <c r="P166" s="1308"/>
      <c r="Q166" s="1308"/>
      <c r="R166" s="1308"/>
      <c r="S166" s="1308"/>
      <c r="T166" s="468" cm="1" t="str">
        <f t="array" ref="T166:T166">T165</f>
        <v>false</v>
      </c>
      <c r="U166" s="1308"/>
      <c r="V166" s="1328"/>
      <c r="W166" s="1308"/>
      <c r="X166" s="1539"/>
      <c r="Y166" s="1528"/>
      <c r="Z166" s="1328"/>
      <c r="AA166" s="1328"/>
      <c r="AB166" s="236" t="s">
        <v>454</v>
      </c>
      <c r="AC166" s="331" t="s">
        <v>729</v>
      </c>
      <c r="AD166" s="89" t="s">
        <v>657</v>
      </c>
      <c r="AE166" s="342">
        <f>AE167+AE168</f>
        <v>0</v>
      </c>
      <c r="AF166" s="342">
        <f>AF167+AF168</f>
        <v>0</v>
      </c>
      <c r="AG166" s="342">
        <f>AG167+AG168</f>
        <v>0</v>
      </c>
      <c r="AH166" s="342">
        <f>AH167+AH168</f>
        <v>0</v>
      </c>
      <c r="AI166" s="342">
        <f>AI167+AI168</f>
        <v>0</v>
      </c>
      <c r="AJ166" s="342">
        <f>AJ167+AJ168</f>
        <v>0</v>
      </c>
      <c r="AK166" s="342">
        <f>AK167+AK168</f>
        <v>0</v>
      </c>
      <c r="AL166" s="342">
        <f>AL167+AL168</f>
        <v>0</v>
      </c>
      <c r="AM166" s="342">
        <f>AM167+AM168</f>
        <v>0</v>
      </c>
      <c r="AN166" s="342">
        <f>AN167+AN168</f>
        <v>0</v>
      </c>
      <c r="AO166" s="342">
        <f>AO167+AO168</f>
        <v>0</v>
      </c>
      <c r="AP166" s="342">
        <f>AP167+AP168</f>
        <v>0</v>
      </c>
      <c r="AQ166" s="342">
        <f>AQ167+AQ168</f>
        <v>0</v>
      </c>
      <c r="AR166" s="342">
        <f>AR167+AR168</f>
        <v>0</v>
      </c>
      <c r="AS166" s="342">
        <f>AS167+AS168</f>
        <v>0</v>
      </c>
      <c r="AT166" s="342">
        <f>AT167+AT168</f>
        <v>0</v>
      </c>
      <c r="AU166" s="342">
        <f>AU167+AU168</f>
        <v>0</v>
      </c>
      <c r="AV166" s="342">
        <f>AV167+AV168</f>
        <v>0</v>
      </c>
      <c r="AW166" s="342">
        <f>AW167+AW168</f>
        <v>0</v>
      </c>
      <c r="AX166" s="342">
        <f>AX167+AX168</f>
        <v>0</v>
      </c>
      <c r="AY166" s="342">
        <f>AY167+AY168</f>
        <v>0</v>
      </c>
      <c r="AZ166" s="342">
        <f>AZ167+AZ168</f>
        <v>0</v>
      </c>
      <c r="BA166" s="342">
        <f>BA167+BA168</f>
        <v>0</v>
      </c>
      <c r="BB166" s="342">
        <f>BB167+BB168</f>
        <v>0</v>
      </c>
      <c r="BC166" s="1928"/>
      <c r="BD166" s="1328"/>
      <c r="BE166" s="1328"/>
      <c r="BF166" s="1023" t="s">
        <v>799</v>
      </c>
    </row>
    <row s="1656" customFormat="1" customHeight="1" ht="12.75" hidden="1">
      <c r="A167" s="1328"/>
      <c r="B167" s="1186"/>
      <c r="C167" s="1328"/>
      <c r="D167" s="1328"/>
      <c r="E167" s="637">
        <v>15</v>
      </c>
      <c r="F167" s="50" cm="1" t="str">
        <f t="array" ref="F167:F167">OFFSET(E167,-1,1)</f>
        <v>1</v>
      </c>
      <c r="G167" s="1328"/>
      <c r="H167" s="94" t="s">
        <v>800</v>
      </c>
      <c r="I167" s="1328"/>
      <c r="J167" s="1328"/>
      <c r="K167" s="1328"/>
      <c r="L167" s="1328"/>
      <c r="M167" s="1328"/>
      <c r="N167" s="1328"/>
      <c r="O167" s="1328"/>
      <c r="P167" s="1308"/>
      <c r="Q167" s="1308"/>
      <c r="R167" s="1308"/>
      <c r="S167" s="1308"/>
      <c r="T167" s="468" cm="1" t="str">
        <f t="array" ref="T167:T167">T166</f>
        <v>false</v>
      </c>
      <c r="U167" s="1308"/>
      <c r="V167" s="1328"/>
      <c r="W167" s="1308"/>
      <c r="X167" s="1539"/>
      <c r="Y167" s="1528"/>
      <c r="Z167" s="1328"/>
      <c r="AA167" s="1328"/>
      <c r="AB167" s="236" t="s">
        <v>801</v>
      </c>
      <c r="AC167" s="332" t="s">
        <v>733</v>
      </c>
      <c r="AD167" s="89" t="s">
        <v>657</v>
      </c>
      <c r="AE167" s="1927"/>
      <c r="AF167" s="1927"/>
      <c r="AG167" s="1927"/>
      <c r="AH167" s="1927"/>
      <c r="AI167" s="1927"/>
      <c r="AJ167" s="1927"/>
      <c r="AK167" s="1927"/>
      <c r="AL167" s="1927"/>
      <c r="AM167" s="1927"/>
      <c r="AN167" s="1927"/>
      <c r="AO167" s="1927"/>
      <c r="AP167" s="1927"/>
      <c r="AQ167" s="1927"/>
      <c r="AR167" s="1927"/>
      <c r="AS167" s="1927"/>
      <c r="AT167" s="1927"/>
      <c r="AU167" s="1927"/>
      <c r="AV167" s="1927"/>
      <c r="AW167" s="1927"/>
      <c r="AX167" s="1927"/>
      <c r="AY167" s="1927"/>
      <c r="AZ167" s="1927"/>
      <c r="BA167" s="1927"/>
      <c r="BB167" s="1927"/>
      <c r="BC167" s="1928"/>
      <c r="BD167" s="1328"/>
      <c r="BE167" s="1328"/>
      <c r="BF167" s="1023" t="s">
        <v>802</v>
      </c>
    </row>
    <row s="1656" customFormat="1" customHeight="1" ht="12.75" hidden="1">
      <c r="A168" s="1328"/>
      <c r="B168" s="1186"/>
      <c r="C168" s="1328"/>
      <c r="D168" s="1328"/>
      <c r="E168" s="637">
        <v>15</v>
      </c>
      <c r="F168" s="50" cm="1" t="str">
        <f t="array" ref="F168:F168">OFFSET(E168,-1,1)</f>
        <v>1</v>
      </c>
      <c r="G168" s="1328"/>
      <c r="H168" s="94" t="s">
        <v>803</v>
      </c>
      <c r="I168" s="1328"/>
      <c r="J168" s="1328"/>
      <c r="K168" s="1328"/>
      <c r="L168" s="1328"/>
      <c r="M168" s="1328"/>
      <c r="N168" s="1328"/>
      <c r="O168" s="1328"/>
      <c r="P168" s="1308"/>
      <c r="Q168" s="1308"/>
      <c r="R168" s="1308"/>
      <c r="S168" s="1308"/>
      <c r="T168" s="468" cm="1" t="str">
        <f t="array" ref="T168:T168">T167</f>
        <v>false</v>
      </c>
      <c r="U168" s="1308"/>
      <c r="V168" s="1328"/>
      <c r="W168" s="1308"/>
      <c r="X168" s="1539"/>
      <c r="Y168" s="1528"/>
      <c r="Z168" s="1328"/>
      <c r="AA168" s="1328"/>
      <c r="AB168" s="236" t="s">
        <v>804</v>
      </c>
      <c r="AC168" s="332" t="s">
        <v>737</v>
      </c>
      <c r="AD168" s="89" t="s">
        <v>657</v>
      </c>
      <c r="AE168" s="1927"/>
      <c r="AF168" s="1927"/>
      <c r="AG168" s="1927"/>
      <c r="AH168" s="1927"/>
      <c r="AI168" s="1927"/>
      <c r="AJ168" s="1927"/>
      <c r="AK168" s="1927"/>
      <c r="AL168" s="1927"/>
      <c r="AM168" s="1927"/>
      <c r="AN168" s="1927"/>
      <c r="AO168" s="1927"/>
      <c r="AP168" s="1927"/>
      <c r="AQ168" s="1927"/>
      <c r="AR168" s="1927"/>
      <c r="AS168" s="1927"/>
      <c r="AT168" s="1927"/>
      <c r="AU168" s="1927"/>
      <c r="AV168" s="1927"/>
      <c r="AW168" s="1927"/>
      <c r="AX168" s="1927"/>
      <c r="AY168" s="1927"/>
      <c r="AZ168" s="1927"/>
      <c r="BA168" s="1927"/>
      <c r="BB168" s="1927"/>
      <c r="BC168" s="1928"/>
      <c r="BD168" s="1328"/>
      <c r="BE168" s="1328"/>
      <c r="BF168" s="1023" t="s">
        <v>805</v>
      </c>
    </row>
    <row s="1656" customFormat="1" customHeight="1" ht="23.25" hidden="1">
      <c r="A169" s="1328"/>
      <c r="B169" s="1186"/>
      <c r="C169" s="1328"/>
      <c r="D169" s="1328"/>
      <c r="E169" s="637">
        <v>22.5</v>
      </c>
      <c r="F169" s="50" cm="1" t="str">
        <f t="array" ref="F169:F169">OFFSET(E169,-1,1)</f>
        <v>1</v>
      </c>
      <c r="G169" s="1328"/>
      <c r="H169" s="94" t="s">
        <v>685</v>
      </c>
      <c r="I169" s="472"/>
      <c r="J169" s="472"/>
      <c r="K169" s="1328"/>
      <c r="L169" s="1328"/>
      <c r="M169" s="1328"/>
      <c r="N169" s="1328"/>
      <c r="O169" s="1328"/>
      <c r="P169" s="1308"/>
      <c r="Q169" s="1308"/>
      <c r="R169" s="1308"/>
      <c r="S169" s="1308"/>
      <c r="T169" s="468" cm="1" t="str">
        <f t="array" ref="T169:T169">T168</f>
        <v>false</v>
      </c>
      <c r="U169" s="1308"/>
      <c r="V169" s="1328"/>
      <c r="W169" s="1308"/>
      <c r="X169" s="1539"/>
      <c r="Y169" s="1528"/>
      <c r="Z169" s="1328"/>
      <c r="AA169" s="1328"/>
      <c r="AB169" s="236" t="s">
        <v>457</v>
      </c>
      <c r="AC169" s="333" t="s">
        <v>776</v>
      </c>
      <c r="AD169" s="89" t="s">
        <v>657</v>
      </c>
      <c r="AE169" s="1927"/>
      <c r="AF169" s="1927"/>
      <c r="AG169" s="1927"/>
      <c r="AH169" s="1927"/>
      <c r="AI169" s="1927"/>
      <c r="AJ169" s="1927"/>
      <c r="AK169" s="1927"/>
      <c r="AL169" s="1927"/>
      <c r="AM169" s="1927"/>
      <c r="AN169" s="1927"/>
      <c r="AO169" s="1927"/>
      <c r="AP169" s="1927"/>
      <c r="AQ169" s="1927"/>
      <c r="AR169" s="1927"/>
      <c r="AS169" s="1927"/>
      <c r="AT169" s="1927"/>
      <c r="AU169" s="1927"/>
      <c r="AV169" s="1927"/>
      <c r="AW169" s="1927"/>
      <c r="AX169" s="1927"/>
      <c r="AY169" s="1927"/>
      <c r="AZ169" s="1927"/>
      <c r="BA169" s="1927"/>
      <c r="BB169" s="1927"/>
      <c r="BC169" s="1928"/>
      <c r="BD169" s="1328"/>
      <c r="BE169" s="1328"/>
      <c r="BF169" s="1023" t="s">
        <v>806</v>
      </c>
    </row>
    <row s="1656" customFormat="1" customHeight="1" ht="23.25" hidden="1">
      <c r="A170" s="1328"/>
      <c r="B170" s="1186"/>
      <c r="C170" s="1328"/>
      <c r="D170" s="1328"/>
      <c r="E170" s="637">
        <v>15</v>
      </c>
      <c r="F170" s="345" cm="1" t="str">
        <f t="array" ref="F170:F170">OFFSET(E170,-1,1)</f>
        <v>1</v>
      </c>
      <c r="G170" s="1328"/>
      <c r="H170" s="1328"/>
      <c r="I170" s="1328"/>
      <c r="J170" s="1328"/>
      <c r="K170" s="1328"/>
      <c r="L170" s="1328"/>
      <c r="M170" s="1328"/>
      <c r="N170" s="1328"/>
      <c r="O170" s="1328"/>
      <c r="P170" s="1308"/>
      <c r="Q170" s="1308"/>
      <c r="R170" s="1308"/>
      <c r="S170" s="1308"/>
      <c r="T170" s="468" cm="1" t="str">
        <f t="array" ref="T170:T170">T169</f>
        <v>false</v>
      </c>
      <c r="U170" s="1308"/>
      <c r="V170" s="1328"/>
      <c r="W170" s="1308"/>
      <c r="X170" s="1539"/>
      <c r="Y170" s="1528"/>
      <c r="Z170" s="1328"/>
      <c r="AA170" s="1328"/>
      <c r="AB170" s="236" t="s">
        <v>778</v>
      </c>
      <c r="AC170" s="330" t="s">
        <v>779</v>
      </c>
      <c r="AD170" s="89" t="s">
        <v>657</v>
      </c>
      <c r="AE170" s="1927"/>
      <c r="AF170" s="1927"/>
      <c r="AG170" s="1927"/>
      <c r="AH170" s="1927"/>
      <c r="AI170" s="1927"/>
      <c r="AJ170" s="1927"/>
      <c r="AK170" s="1927"/>
      <c r="AL170" s="1927"/>
      <c r="AM170" s="1927"/>
      <c r="AN170" s="1927"/>
      <c r="AO170" s="1927"/>
      <c r="AP170" s="1927"/>
      <c r="AQ170" s="1927"/>
      <c r="AR170" s="1927"/>
      <c r="AS170" s="1927"/>
      <c r="AT170" s="1927"/>
      <c r="AU170" s="1927"/>
      <c r="AV170" s="1927"/>
      <c r="AW170" s="1927"/>
      <c r="AX170" s="1927"/>
      <c r="AY170" s="1927"/>
      <c r="AZ170" s="1927"/>
      <c r="BA170" s="1927"/>
      <c r="BB170" s="1927"/>
      <c r="BC170" s="1928"/>
      <c r="BD170" s="1328"/>
      <c r="BE170" s="1328"/>
      <c r="BF170" s="1023" t="s">
        <v>807</v>
      </c>
    </row>
    <row s="1656" customFormat="1" customHeight="1" ht="11.25" hidden="1">
      <c r="A171" s="472"/>
      <c r="B171" s="664"/>
      <c r="C171" s="472"/>
      <c r="D171" s="472"/>
      <c r="E171" s="666" t="s">
        <v>384</v>
      </c>
      <c r="F171" s="1194" cm="1" t="str">
        <f t="array" ref="F171:F171">OFFSET(E171,-1,1)</f>
        <v>1</v>
      </c>
      <c r="G171" s="472"/>
      <c r="H171" s="472"/>
      <c r="I171" s="1656"/>
      <c r="J171" s="1656"/>
      <c r="K171" s="94"/>
      <c r="L171" s="472"/>
      <c r="M171" s="472"/>
      <c r="N171" s="472"/>
      <c r="O171" s="472"/>
      <c r="P171" s="472"/>
      <c r="Q171" s="472"/>
      <c r="R171" s="417"/>
      <c r="S171" s="472"/>
      <c r="T171" s="468" t="b">
        <v>0</v>
      </c>
      <c r="U171" s="472"/>
      <c r="V171" s="472"/>
      <c r="W171" s="472"/>
      <c r="X171" s="1539"/>
      <c r="Y171" s="1528"/>
      <c r="Z171" s="472"/>
      <c r="AA171" s="472"/>
      <c r="AB171" s="1656"/>
      <c r="AC171" s="96"/>
      <c r="AD171" s="96"/>
      <c r="AE171" s="340"/>
      <c r="AF171" s="340"/>
      <c r="AG171" s="340"/>
      <c r="AH171" s="340"/>
      <c r="AI171" s="340"/>
      <c r="AJ171" s="341"/>
      <c r="AK171" s="340"/>
      <c r="AL171" s="340"/>
      <c r="AM171" s="340"/>
      <c r="AN171" s="340"/>
      <c r="AO171" s="340"/>
      <c r="AP171" s="340"/>
      <c r="AQ171" s="340"/>
      <c r="AR171" s="340"/>
      <c r="AS171" s="340"/>
      <c r="AT171" s="340"/>
      <c r="AU171" s="340"/>
      <c r="AV171" s="340"/>
      <c r="AW171" s="340"/>
      <c r="AX171" s="340"/>
      <c r="AY171" s="340"/>
      <c r="AZ171" s="340"/>
      <c r="BA171" s="340"/>
      <c r="BB171" s="340"/>
      <c r="BC171" s="1656"/>
      <c r="BD171" s="1656"/>
      <c r="BE171" s="1656"/>
      <c r="BF171" s="1027"/>
    </row>
    <row s="1656" customFormat="1" customHeight="1" ht="12.75" hidden="1">
      <c r="A172" s="1328"/>
      <c r="B172" s="1186"/>
      <c r="C172" s="1328"/>
      <c r="D172" s="1328"/>
      <c r="E172" s="637">
        <v>15</v>
      </c>
      <c r="F172" s="50" cm="1" t="str">
        <f t="array" ref="F172:F172">OFFSET(E172,-1,1)</f>
        <v>1</v>
      </c>
      <c r="G172" s="1328"/>
      <c r="H172" s="1328"/>
      <c r="I172" s="1328"/>
      <c r="J172" s="1328"/>
      <c r="K172" s="1328"/>
      <c r="L172" s="1328"/>
      <c r="M172" s="1328"/>
      <c r="N172" s="1328"/>
      <c r="O172" s="1328"/>
      <c r="P172" s="1308"/>
      <c r="Q172" s="1308"/>
      <c r="R172" s="417" cm="1" t="str">
        <f t="array" ref="R172:R172">INDEX('Общие сведения'!$AN$197:$AN$254,MATCH($X118,'Общие сведения'!$Z$197:$Z$254,0))</f>
        <v>false</v>
      </c>
      <c r="S172" s="485">
        <f>IF(ISERROR(SEARCH("Водоотведение",AB118)),FALSE,TRUE)</f>
        <v>0</v>
      </c>
      <c r="T172" s="468">
        <f>AND(X118&gt;0,S172,NOT(R172))</f>
        <v>0</v>
      </c>
      <c r="U172" s="1308"/>
      <c r="V172" s="1328"/>
      <c r="W172" s="1308"/>
      <c r="X172" s="1539"/>
      <c r="Y172" s="1528"/>
      <c r="Z172" s="1328"/>
      <c r="AA172" s="1328"/>
      <c r="AB172" s="236" t="s">
        <v>290</v>
      </c>
      <c r="AC172" s="133" t="s">
        <v>808</v>
      </c>
      <c r="AD172" s="193"/>
      <c r="AE172" s="574" cm="1" t="str">
        <f t="array" ref="AE172:AE172">INDEX('Общие сведения'!$AH$197:$AH$254,MATCH($X118,'Общие сведения'!$Z$197:$Z$254,0))</f>
        <v>питьевая вода</v>
      </c>
      <c r="AF172" s="358"/>
      <c r="AG172" s="358"/>
      <c r="AH172" s="358"/>
      <c r="AI172" s="358"/>
      <c r="AJ172" s="358"/>
      <c r="AK172" s="358"/>
      <c r="AL172" s="358"/>
      <c r="AM172" s="358"/>
      <c r="AN172" s="358"/>
      <c r="AO172" s="358"/>
      <c r="AP172" s="358"/>
      <c r="AQ172" s="358"/>
      <c r="AR172" s="358"/>
      <c r="AS172" s="358"/>
      <c r="AT172" s="358"/>
      <c r="AU172" s="358"/>
      <c r="AV172" s="358"/>
      <c r="AW172" s="358"/>
      <c r="AX172" s="358"/>
      <c r="AY172" s="358"/>
      <c r="AZ172" s="358"/>
      <c r="BA172" s="358"/>
      <c r="BB172" s="359"/>
      <c r="BC172" s="1928"/>
      <c r="BD172" s="1328"/>
      <c r="BE172" s="1328"/>
      <c r="BF172" s="1023" t="s">
        <v>809</v>
      </c>
    </row>
    <row s="1656" customFormat="1" customHeight="1" ht="12.75" hidden="1">
      <c r="A173" s="1328"/>
      <c r="B173" s="1186"/>
      <c r="C173" s="1328"/>
      <c r="D173" s="1328"/>
      <c r="E173" s="637">
        <v>15</v>
      </c>
      <c r="F173" s="50" cm="1" t="str">
        <f t="array" ref="F173:F173">OFFSET(E173,-1,1)</f>
        <v>1</v>
      </c>
      <c r="G173" s="1328"/>
      <c r="H173" s="94" t="s">
        <v>348</v>
      </c>
      <c r="I173" s="1328"/>
      <c r="J173" s="1328"/>
      <c r="K173" s="1328"/>
      <c r="L173" s="1328"/>
      <c r="M173" s="1328"/>
      <c r="N173" s="1328"/>
      <c r="O173" s="1328"/>
      <c r="P173" s="1308"/>
      <c r="Q173" s="1308"/>
      <c r="R173" s="1308"/>
      <c r="S173" s="1308"/>
      <c r="T173" s="468" cm="1" t="str">
        <f t="array" ref="T173:T173">T172</f>
        <v>false</v>
      </c>
      <c r="U173" s="1308"/>
      <c r="V173" s="1328"/>
      <c r="W173" s="1308"/>
      <c r="X173" s="1539"/>
      <c r="Y173" s="1528"/>
      <c r="Z173" s="1328"/>
      <c r="AA173" s="1328"/>
      <c r="AB173" s="236" t="s">
        <v>299</v>
      </c>
      <c r="AC173" s="133" t="s">
        <v>810</v>
      </c>
      <c r="AD173" s="89" t="s">
        <v>657</v>
      </c>
      <c r="AE173" s="343">
        <f>AE174+AE175+AE188</f>
        <v>0</v>
      </c>
      <c r="AF173" s="343">
        <f>AF174+AF175+AF188</f>
        <v>0</v>
      </c>
      <c r="AG173" s="343">
        <f>AG174+AG175+AG188</f>
        <v>0</v>
      </c>
      <c r="AH173" s="343">
        <f>AH174+AH175+AH188</f>
        <v>0</v>
      </c>
      <c r="AI173" s="343">
        <f>AI174+AI175+AI188</f>
        <v>0</v>
      </c>
      <c r="AJ173" s="343">
        <f>AJ174+AJ175+AJ188</f>
        <v>0</v>
      </c>
      <c r="AK173" s="343">
        <f>AK174+AK175+AK188</f>
        <v>0</v>
      </c>
      <c r="AL173" s="343">
        <f>AL174+AL175+AL188</f>
        <v>0</v>
      </c>
      <c r="AM173" s="343">
        <f>AM174+AM175+AM188</f>
        <v>0</v>
      </c>
      <c r="AN173" s="343">
        <f>AN174+AN175+AN188</f>
        <v>0</v>
      </c>
      <c r="AO173" s="343">
        <f>AO174+AO175+AO188</f>
        <v>0</v>
      </c>
      <c r="AP173" s="343">
        <f>AP174+AP175+AP188</f>
        <v>0</v>
      </c>
      <c r="AQ173" s="343">
        <f>AQ174+AQ175+AQ188</f>
        <v>0</v>
      </c>
      <c r="AR173" s="343">
        <f>AR174+AR175+AR188</f>
        <v>0</v>
      </c>
      <c r="AS173" s="343">
        <f>AS174+AS175+AS188</f>
        <v>0</v>
      </c>
      <c r="AT173" s="343">
        <f>AT174+AT175+AT188</f>
        <v>0</v>
      </c>
      <c r="AU173" s="343">
        <f>AU174+AU175+AU188</f>
        <v>0</v>
      </c>
      <c r="AV173" s="343">
        <f>AV174+AV175+AV188</f>
        <v>0</v>
      </c>
      <c r="AW173" s="343">
        <f>AW174+AW175+AW188</f>
        <v>0</v>
      </c>
      <c r="AX173" s="343">
        <f>AX174+AX175+AX188</f>
        <v>0</v>
      </c>
      <c r="AY173" s="343">
        <f>AY174+AY175+AY188</f>
        <v>0</v>
      </c>
      <c r="AZ173" s="343">
        <f>AZ174+AZ175+AZ188</f>
        <v>0</v>
      </c>
      <c r="BA173" s="343">
        <f>BA174+BA175+BA188</f>
        <v>0</v>
      </c>
      <c r="BB173" s="343">
        <f>BB174+BB175+BB188</f>
        <v>0</v>
      </c>
      <c r="BC173" s="1928"/>
      <c r="BD173" s="1328"/>
      <c r="BE173" s="1328"/>
      <c r="BF173" s="1023" t="s">
        <v>811</v>
      </c>
    </row>
    <row s="1656" customFormat="1" customHeight="1" ht="12.75" hidden="1">
      <c r="A174" s="1328"/>
      <c r="B174" s="1186"/>
      <c r="C174" s="1328"/>
      <c r="D174" s="1328"/>
      <c r="E174" s="637">
        <v>15</v>
      </c>
      <c r="F174" s="50" cm="1" t="str">
        <f t="array" ref="F174:F174">OFFSET(E174,-1,1)</f>
        <v>1</v>
      </c>
      <c r="G174" s="94" t="str">
        <f>IF(OwnNeedsInPO="да","ПО","")</f>
        <v>ПО</v>
      </c>
      <c r="H174" s="94" t="s">
        <v>347</v>
      </c>
      <c r="I174" s="1328"/>
      <c r="J174" s="1328"/>
      <c r="K174" s="1328"/>
      <c r="L174" s="1328"/>
      <c r="M174" s="1328"/>
      <c r="N174" s="1328"/>
      <c r="O174" s="1328"/>
      <c r="P174" s="1308"/>
      <c r="Q174" s="1308"/>
      <c r="R174" s="1308"/>
      <c r="S174" s="1308"/>
      <c r="T174" s="468" cm="1" t="str">
        <f t="array" ref="T174:T174">T173</f>
        <v>false</v>
      </c>
      <c r="U174" s="1308"/>
      <c r="V174" s="1328"/>
      <c r="W174" s="1308"/>
      <c r="X174" s="1539"/>
      <c r="Y174" s="1528"/>
      <c r="Z174" s="1328"/>
      <c r="AA174" s="1328"/>
      <c r="AB174" s="236" t="s">
        <v>234</v>
      </c>
      <c r="AC174" s="133" t="s">
        <v>812</v>
      </c>
      <c r="AD174" s="89" t="s">
        <v>657</v>
      </c>
      <c r="AE174" s="1927"/>
      <c r="AF174" s="1927"/>
      <c r="AG174" s="1927"/>
      <c r="AH174" s="1927"/>
      <c r="AI174" s="1927"/>
      <c r="AJ174" s="1927"/>
      <c r="AK174" s="1927"/>
      <c r="AL174" s="1927"/>
      <c r="AM174" s="1927"/>
      <c r="AN174" s="1927"/>
      <c r="AO174" s="1927"/>
      <c r="AP174" s="1927"/>
      <c r="AQ174" s="1927"/>
      <c r="AR174" s="1927"/>
      <c r="AS174" s="1927"/>
      <c r="AT174" s="1927"/>
      <c r="AU174" s="1927"/>
      <c r="AV174" s="1927"/>
      <c r="AW174" s="1927"/>
      <c r="AX174" s="1927"/>
      <c r="AY174" s="1927"/>
      <c r="AZ174" s="1927"/>
      <c r="BA174" s="1927"/>
      <c r="BB174" s="1927"/>
      <c r="BC174" s="1928"/>
      <c r="BD174" s="1328"/>
      <c r="BE174" s="1328"/>
      <c r="BF174" s="1023" t="s">
        <v>813</v>
      </c>
    </row>
    <row s="1656" customFormat="1" customHeight="1" ht="12.75" hidden="1">
      <c r="A175" s="1328"/>
      <c r="B175" s="1186"/>
      <c r="C175" s="1328"/>
      <c r="D175" s="1328"/>
      <c r="E175" s="637">
        <v>15</v>
      </c>
      <c r="F175" s="50" cm="1" t="str">
        <f t="array" ref="F175:F175">OFFSET(E175,-1,1)</f>
        <v>1</v>
      </c>
      <c r="G175" s="94" t="s">
        <v>726</v>
      </c>
      <c r="H175" s="94" t="s">
        <v>616</v>
      </c>
      <c r="I175" s="1328"/>
      <c r="J175" s="1328"/>
      <c r="K175" s="1328"/>
      <c r="L175" s="1328"/>
      <c r="M175" s="1328"/>
      <c r="N175" s="1328"/>
      <c r="O175" s="1328"/>
      <c r="P175" s="1308"/>
      <c r="Q175" s="1308"/>
      <c r="R175" s="1308"/>
      <c r="S175" s="1308"/>
      <c r="T175" s="468" cm="1" t="str">
        <f t="array" ref="T175:T175">T174</f>
        <v>false</v>
      </c>
      <c r="U175" s="1308"/>
      <c r="V175" s="1328"/>
      <c r="W175" s="1308"/>
      <c r="X175" s="1539"/>
      <c r="Y175" s="1528"/>
      <c r="Z175" s="1328"/>
      <c r="AA175" s="1328"/>
      <c r="AB175" s="236" t="s">
        <v>451</v>
      </c>
      <c r="AC175" s="134" t="s">
        <v>814</v>
      </c>
      <c r="AD175" s="89" t="s">
        <v>657</v>
      </c>
      <c r="AE175" s="342">
        <f>AE176+AE179+AE182+AE185</f>
        <v>0</v>
      </c>
      <c r="AF175" s="342">
        <f>AF176+AF179+AF182+AF185</f>
        <v>0</v>
      </c>
      <c r="AG175" s="342">
        <f>AG176+AG179+AG182+AG185</f>
        <v>0</v>
      </c>
      <c r="AH175" s="342">
        <f>AH176+AH179+AH182+AH185</f>
        <v>0</v>
      </c>
      <c r="AI175" s="342">
        <f>AI176+AI179+AI182+AI185</f>
        <v>0</v>
      </c>
      <c r="AJ175" s="342">
        <f>AJ176+AJ179+AJ182+AJ185</f>
        <v>0</v>
      </c>
      <c r="AK175" s="342">
        <f>AK176+AK179+AK182+AK185</f>
        <v>0</v>
      </c>
      <c r="AL175" s="342">
        <f>AL176+AL179+AL182+AL185</f>
        <v>0</v>
      </c>
      <c r="AM175" s="342">
        <f>AM176+AM179+AM182+AM185</f>
        <v>0</v>
      </c>
      <c r="AN175" s="342">
        <f>AN176+AN179+AN182+AN185</f>
        <v>0</v>
      </c>
      <c r="AO175" s="342">
        <f>AO176+AO179+AO182+AO185</f>
        <v>0</v>
      </c>
      <c r="AP175" s="342">
        <f>AP176+AP179+AP182+AP185</f>
        <v>0</v>
      </c>
      <c r="AQ175" s="342">
        <f>AQ176+AQ179+AQ182+AQ185</f>
        <v>0</v>
      </c>
      <c r="AR175" s="342">
        <f>AR176+AR179+AR182+AR185</f>
        <v>0</v>
      </c>
      <c r="AS175" s="342">
        <f>AS176+AS179+AS182+AS185</f>
        <v>0</v>
      </c>
      <c r="AT175" s="342">
        <f>AT176+AT179+AT182+AT185</f>
        <v>0</v>
      </c>
      <c r="AU175" s="342">
        <f>AU176+AU179+AU182+AU185</f>
        <v>0</v>
      </c>
      <c r="AV175" s="342">
        <f>AV176+AV179+AV182+AV185</f>
        <v>0</v>
      </c>
      <c r="AW175" s="342">
        <f>AW176+AW179+AW182+AW185</f>
        <v>0</v>
      </c>
      <c r="AX175" s="342">
        <f>AX176+AX179+AX182+AX185</f>
        <v>0</v>
      </c>
      <c r="AY175" s="342">
        <f>AY176+AY179+AY182+AY185</f>
        <v>0</v>
      </c>
      <c r="AZ175" s="342">
        <f>AZ176+AZ179+AZ182+AZ185</f>
        <v>0</v>
      </c>
      <c r="BA175" s="342">
        <f>BA176+BA179+BA182+BA185</f>
        <v>0</v>
      </c>
      <c r="BB175" s="342">
        <f>BB176+BB179+BB182+BB185</f>
        <v>0</v>
      </c>
      <c r="BC175" s="1928"/>
      <c r="BD175" s="1328"/>
      <c r="BE175" s="1328"/>
      <c r="BF175" s="1023" t="s">
        <v>815</v>
      </c>
    </row>
    <row s="1656" customFormat="1" customHeight="1" ht="12.75" hidden="1">
      <c r="A176" s="1328"/>
      <c r="B176" s="1186"/>
      <c r="C176" s="1328"/>
      <c r="D176" s="1328"/>
      <c r="E176" s="637">
        <v>15</v>
      </c>
      <c r="F176" s="50" cm="1" t="str">
        <f t="array" ref="F176:F176">OFFSET(E176,-1,1)</f>
        <v>1</v>
      </c>
      <c r="G176" s="1328"/>
      <c r="H176" s="94" t="s">
        <v>793</v>
      </c>
      <c r="I176" s="1328"/>
      <c r="J176" s="1328"/>
      <c r="K176" s="1328"/>
      <c r="L176" s="1328"/>
      <c r="M176" s="1328"/>
      <c r="N176" s="1328"/>
      <c r="O176" s="1328"/>
      <c r="P176" s="1308"/>
      <c r="Q176" s="1308"/>
      <c r="R176" s="1308"/>
      <c r="S176" s="1308"/>
      <c r="T176" s="468" cm="1" t="str">
        <f t="array" ref="T176:T176">T175</f>
        <v>false</v>
      </c>
      <c r="U176" s="1308"/>
      <c r="V176" s="1328"/>
      <c r="W176" s="1308"/>
      <c r="X176" s="1539"/>
      <c r="Y176" s="1528"/>
      <c r="Z176" s="1328"/>
      <c r="AA176" s="1328"/>
      <c r="AB176" s="236" t="s">
        <v>794</v>
      </c>
      <c r="AC176" s="188" t="s">
        <v>745</v>
      </c>
      <c r="AD176" s="89" t="s">
        <v>657</v>
      </c>
      <c r="AE176" s="342">
        <f>AE177+AE178</f>
        <v>0</v>
      </c>
      <c r="AF176" s="342">
        <f>AF177+AF178</f>
        <v>0</v>
      </c>
      <c r="AG176" s="342">
        <f>AG177+AG178</f>
        <v>0</v>
      </c>
      <c r="AH176" s="342">
        <f>AH177+AH178</f>
        <v>0</v>
      </c>
      <c r="AI176" s="342">
        <f>AI177+AI178</f>
        <v>0</v>
      </c>
      <c r="AJ176" s="342">
        <f>AJ177+AJ178</f>
        <v>0</v>
      </c>
      <c r="AK176" s="342">
        <f>AK177+AK178</f>
        <v>0</v>
      </c>
      <c r="AL176" s="342">
        <f>AL177+AL178</f>
        <v>0</v>
      </c>
      <c r="AM176" s="342">
        <f>AM177+AM178</f>
        <v>0</v>
      </c>
      <c r="AN176" s="342">
        <f>AN177+AN178</f>
        <v>0</v>
      </c>
      <c r="AO176" s="342">
        <f>AO177+AO178</f>
        <v>0</v>
      </c>
      <c r="AP176" s="342">
        <f>AP177+AP178</f>
        <v>0</v>
      </c>
      <c r="AQ176" s="342">
        <f>AQ177+AQ178</f>
        <v>0</v>
      </c>
      <c r="AR176" s="342">
        <f>AR177+AR178</f>
        <v>0</v>
      </c>
      <c r="AS176" s="342">
        <f>AS177+AS178</f>
        <v>0</v>
      </c>
      <c r="AT176" s="342">
        <f>AT177+AT178</f>
        <v>0</v>
      </c>
      <c r="AU176" s="342">
        <f>AU177+AU178</f>
        <v>0</v>
      </c>
      <c r="AV176" s="342">
        <f>AV177+AV178</f>
        <v>0</v>
      </c>
      <c r="AW176" s="342">
        <f>AW177+AW178</f>
        <v>0</v>
      </c>
      <c r="AX176" s="342">
        <f>AX177+AX178</f>
        <v>0</v>
      </c>
      <c r="AY176" s="342">
        <f>AY177+AY178</f>
        <v>0</v>
      </c>
      <c r="AZ176" s="342">
        <f>AZ177+AZ178</f>
        <v>0</v>
      </c>
      <c r="BA176" s="342">
        <f>BA177+BA178</f>
        <v>0</v>
      </c>
      <c r="BB176" s="342">
        <f>BB177+BB178</f>
        <v>0</v>
      </c>
      <c r="BC176" s="1928"/>
      <c r="BD176" s="1328"/>
      <c r="BE176" s="1328"/>
      <c r="BF176" s="1023" t="s">
        <v>816</v>
      </c>
    </row>
    <row s="1656" customFormat="1" customHeight="1" ht="12.75" hidden="1">
      <c r="A177" s="1328"/>
      <c r="B177" s="1186"/>
      <c r="C177" s="1328"/>
      <c r="D177" s="1328"/>
      <c r="E177" s="637">
        <v>15</v>
      </c>
      <c r="F177" s="50" cm="1" t="str">
        <f t="array" ref="F177:F177">OFFSET(E177,-1,1)</f>
        <v>1</v>
      </c>
      <c r="G177" s="1328"/>
      <c r="H177" s="94" t="s">
        <v>817</v>
      </c>
      <c r="I177" s="1328"/>
      <c r="J177" s="1328"/>
      <c r="K177" s="1328"/>
      <c r="L177" s="1328"/>
      <c r="M177" s="1328"/>
      <c r="N177" s="1328"/>
      <c r="O177" s="1328"/>
      <c r="P177" s="1308"/>
      <c r="Q177" s="1308"/>
      <c r="R177" s="1308"/>
      <c r="S177" s="1308"/>
      <c r="T177" s="468" cm="1" t="str">
        <f t="array" ref="T177:T177">T176</f>
        <v>false</v>
      </c>
      <c r="U177" s="1308"/>
      <c r="V177" s="1328"/>
      <c r="W177" s="1308"/>
      <c r="X177" s="1539"/>
      <c r="Y177" s="1528"/>
      <c r="Z177" s="1328"/>
      <c r="AA177" s="1328"/>
      <c r="AB177" s="236" t="s">
        <v>818</v>
      </c>
      <c r="AC177" s="334" t="s">
        <v>733</v>
      </c>
      <c r="AD177" s="89" t="s">
        <v>657</v>
      </c>
      <c r="AE177" s="1927"/>
      <c r="AF177" s="1927"/>
      <c r="AG177" s="1927"/>
      <c r="AH177" s="1927"/>
      <c r="AI177" s="1927"/>
      <c r="AJ177" s="1927"/>
      <c r="AK177" s="1927"/>
      <c r="AL177" s="1927"/>
      <c r="AM177" s="1927"/>
      <c r="AN177" s="1927"/>
      <c r="AO177" s="1927"/>
      <c r="AP177" s="1927"/>
      <c r="AQ177" s="1927"/>
      <c r="AR177" s="1927"/>
      <c r="AS177" s="1927"/>
      <c r="AT177" s="1927"/>
      <c r="AU177" s="1927"/>
      <c r="AV177" s="1927"/>
      <c r="AW177" s="1927"/>
      <c r="AX177" s="1927"/>
      <c r="AY177" s="1927"/>
      <c r="AZ177" s="1927"/>
      <c r="BA177" s="1927"/>
      <c r="BB177" s="1927"/>
      <c r="BC177" s="1928"/>
      <c r="BD177" s="1328"/>
      <c r="BE177" s="1328"/>
      <c r="BF177" s="1023" t="s">
        <v>819</v>
      </c>
    </row>
    <row s="1656" customFormat="1" customHeight="1" ht="12.75" hidden="1">
      <c r="A178" s="1328"/>
      <c r="B178" s="1186"/>
      <c r="C178" s="1328"/>
      <c r="D178" s="1328"/>
      <c r="E178" s="637">
        <v>15</v>
      </c>
      <c r="F178" s="50" cm="1" t="str">
        <f t="array" ref="F178:F178">OFFSET(E178,-1,1)</f>
        <v>1</v>
      </c>
      <c r="G178" s="1328"/>
      <c r="H178" s="94" t="s">
        <v>820</v>
      </c>
      <c r="I178" s="1328"/>
      <c r="J178" s="1328"/>
      <c r="K178" s="1328"/>
      <c r="L178" s="1328"/>
      <c r="M178" s="1328"/>
      <c r="N178" s="1328"/>
      <c r="O178" s="1328"/>
      <c r="P178" s="1308"/>
      <c r="Q178" s="1308"/>
      <c r="R178" s="1308"/>
      <c r="S178" s="1308"/>
      <c r="T178" s="468" cm="1" t="str">
        <f t="array" ref="T178:T178">T177</f>
        <v>false</v>
      </c>
      <c r="U178" s="1308"/>
      <c r="V178" s="1328"/>
      <c r="W178" s="1308"/>
      <c r="X178" s="1539"/>
      <c r="Y178" s="1528"/>
      <c r="Z178" s="1328"/>
      <c r="AA178" s="1328"/>
      <c r="AB178" s="236" t="s">
        <v>821</v>
      </c>
      <c r="AC178" s="334" t="s">
        <v>737</v>
      </c>
      <c r="AD178" s="89" t="s">
        <v>657</v>
      </c>
      <c r="AE178" s="1927"/>
      <c r="AF178" s="1927"/>
      <c r="AG178" s="1927"/>
      <c r="AH178" s="1927"/>
      <c r="AI178" s="1927"/>
      <c r="AJ178" s="1927"/>
      <c r="AK178" s="1927"/>
      <c r="AL178" s="1927"/>
      <c r="AM178" s="1927"/>
      <c r="AN178" s="1927"/>
      <c r="AO178" s="1927"/>
      <c r="AP178" s="1927"/>
      <c r="AQ178" s="1927"/>
      <c r="AR178" s="1927"/>
      <c r="AS178" s="1927"/>
      <c r="AT178" s="1927"/>
      <c r="AU178" s="1927"/>
      <c r="AV178" s="1927"/>
      <c r="AW178" s="1927"/>
      <c r="AX178" s="1927"/>
      <c r="AY178" s="1927"/>
      <c r="AZ178" s="1927"/>
      <c r="BA178" s="1927"/>
      <c r="BB178" s="1927"/>
      <c r="BC178" s="1928"/>
      <c r="BD178" s="1328"/>
      <c r="BE178" s="1328"/>
      <c r="BF178" s="1023" t="s">
        <v>822</v>
      </c>
    </row>
    <row s="1656" customFormat="1" customHeight="1" ht="12.75" hidden="1">
      <c r="A179" s="1328"/>
      <c r="B179" s="1186"/>
      <c r="C179" s="1328"/>
      <c r="D179" s="1328"/>
      <c r="E179" s="637">
        <v>15</v>
      </c>
      <c r="F179" s="50" cm="1" t="str">
        <f t="array" ref="F179:F179">OFFSET(E179,-1,1)</f>
        <v>1</v>
      </c>
      <c r="G179" s="94" t="s">
        <v>753</v>
      </c>
      <c r="H179" s="94" t="s">
        <v>796</v>
      </c>
      <c r="I179" s="1328"/>
      <c r="J179" s="1328"/>
      <c r="K179" s="1328"/>
      <c r="L179" s="1328"/>
      <c r="M179" s="1328"/>
      <c r="N179" s="1328"/>
      <c r="O179" s="1328"/>
      <c r="P179" s="1308"/>
      <c r="Q179" s="1308"/>
      <c r="R179" s="1308"/>
      <c r="S179" s="1308"/>
      <c r="T179" s="468" cm="1" t="str">
        <f t="array" ref="T179:T179">T178</f>
        <v>false</v>
      </c>
      <c r="U179" s="1308"/>
      <c r="V179" s="1328"/>
      <c r="W179" s="1308"/>
      <c r="X179" s="1539"/>
      <c r="Y179" s="1528"/>
      <c r="Z179" s="1328"/>
      <c r="AA179" s="1328"/>
      <c r="AB179" s="236" t="s">
        <v>797</v>
      </c>
      <c r="AC179" s="188" t="s">
        <v>756</v>
      </c>
      <c r="AD179" s="89" t="s">
        <v>657</v>
      </c>
      <c r="AE179" s="342">
        <f>AE180+AE181</f>
        <v>0</v>
      </c>
      <c r="AF179" s="342">
        <f>AF180+AF181</f>
        <v>0</v>
      </c>
      <c r="AG179" s="342">
        <f>AG180+AG181</f>
        <v>0</v>
      </c>
      <c r="AH179" s="342">
        <f>AH180+AH181</f>
        <v>0</v>
      </c>
      <c r="AI179" s="342">
        <f>AI180+AI181</f>
        <v>0</v>
      </c>
      <c r="AJ179" s="342">
        <f>AJ180+AJ181</f>
        <v>0</v>
      </c>
      <c r="AK179" s="342">
        <f>AK180+AK181</f>
        <v>0</v>
      </c>
      <c r="AL179" s="342">
        <f>AL180+AL181</f>
        <v>0</v>
      </c>
      <c r="AM179" s="342">
        <f>AM180+AM181</f>
        <v>0</v>
      </c>
      <c r="AN179" s="342">
        <f>AN180+AN181</f>
        <v>0</v>
      </c>
      <c r="AO179" s="342">
        <f>AO180+AO181</f>
        <v>0</v>
      </c>
      <c r="AP179" s="342">
        <f>AP180+AP181</f>
        <v>0</v>
      </c>
      <c r="AQ179" s="342">
        <f>AQ180+AQ181</f>
        <v>0</v>
      </c>
      <c r="AR179" s="342">
        <f>AR180+AR181</f>
        <v>0</v>
      </c>
      <c r="AS179" s="342">
        <f>AS180+AS181</f>
        <v>0</v>
      </c>
      <c r="AT179" s="342">
        <f>AT180+AT181</f>
        <v>0</v>
      </c>
      <c r="AU179" s="342">
        <f>AU180+AU181</f>
        <v>0</v>
      </c>
      <c r="AV179" s="342">
        <f>AV180+AV181</f>
        <v>0</v>
      </c>
      <c r="AW179" s="342">
        <f>AW180+AW181</f>
        <v>0</v>
      </c>
      <c r="AX179" s="342">
        <f>AX180+AX181</f>
        <v>0</v>
      </c>
      <c r="AY179" s="342">
        <f>AY180+AY181</f>
        <v>0</v>
      </c>
      <c r="AZ179" s="342">
        <f>AZ180+AZ181</f>
        <v>0</v>
      </c>
      <c r="BA179" s="342">
        <f>BA180+BA181</f>
        <v>0</v>
      </c>
      <c r="BB179" s="342">
        <f>BB180+BB181</f>
        <v>0</v>
      </c>
      <c r="BC179" s="1928"/>
      <c r="BD179" s="1328"/>
      <c r="BE179" s="1328"/>
      <c r="BF179" s="1023" t="s">
        <v>823</v>
      </c>
    </row>
    <row s="1656" customFormat="1" customHeight="1" ht="12.75" hidden="1">
      <c r="A180" s="1328"/>
      <c r="B180" s="1186"/>
      <c r="C180" s="1328"/>
      <c r="D180" s="1328"/>
      <c r="E180" s="637">
        <v>15</v>
      </c>
      <c r="F180" s="50" cm="1" t="str">
        <f t="array" ref="F180:F180">OFFSET(E180,-1,1)</f>
        <v>1</v>
      </c>
      <c r="G180" s="1328"/>
      <c r="H180" s="94" t="s">
        <v>824</v>
      </c>
      <c r="I180" s="1328"/>
      <c r="J180" s="1328"/>
      <c r="K180" s="1328"/>
      <c r="L180" s="1328"/>
      <c r="M180" s="1328"/>
      <c r="N180" s="1328"/>
      <c r="O180" s="1328"/>
      <c r="P180" s="1308"/>
      <c r="Q180" s="1308"/>
      <c r="R180" s="1308"/>
      <c r="S180" s="1308"/>
      <c r="T180" s="468" cm="1" t="str">
        <f t="array" ref="T180:T180">T179</f>
        <v>false</v>
      </c>
      <c r="U180" s="1308"/>
      <c r="V180" s="1328"/>
      <c r="W180" s="1308"/>
      <c r="X180" s="1539"/>
      <c r="Y180" s="1528"/>
      <c r="Z180" s="1328"/>
      <c r="AA180" s="1328"/>
      <c r="AB180" s="236" t="s">
        <v>825</v>
      </c>
      <c r="AC180" s="334" t="s">
        <v>733</v>
      </c>
      <c r="AD180" s="89" t="s">
        <v>657</v>
      </c>
      <c r="AE180" s="1927"/>
      <c r="AF180" s="1927"/>
      <c r="AG180" s="1927"/>
      <c r="AH180" s="1927"/>
      <c r="AI180" s="1927"/>
      <c r="AJ180" s="1927"/>
      <c r="AK180" s="1927"/>
      <c r="AL180" s="1927"/>
      <c r="AM180" s="1927"/>
      <c r="AN180" s="1927"/>
      <c r="AO180" s="1927"/>
      <c r="AP180" s="1927"/>
      <c r="AQ180" s="1927"/>
      <c r="AR180" s="1927"/>
      <c r="AS180" s="1927"/>
      <c r="AT180" s="1927"/>
      <c r="AU180" s="1927"/>
      <c r="AV180" s="1927"/>
      <c r="AW180" s="1927"/>
      <c r="AX180" s="1927"/>
      <c r="AY180" s="1927"/>
      <c r="AZ180" s="1927"/>
      <c r="BA180" s="1927"/>
      <c r="BB180" s="1927"/>
      <c r="BC180" s="1928"/>
      <c r="BD180" s="1328"/>
      <c r="BE180" s="1328"/>
      <c r="BF180" s="1023" t="s">
        <v>826</v>
      </c>
    </row>
    <row s="1656" customFormat="1" customHeight="1" ht="12.75" hidden="1">
      <c r="A181" s="1328"/>
      <c r="B181" s="1186"/>
      <c r="C181" s="1328"/>
      <c r="D181" s="1328"/>
      <c r="E181" s="637">
        <v>15</v>
      </c>
      <c r="F181" s="50" cm="1" t="str">
        <f t="array" ref="F181:F181">OFFSET(E181,-1,1)</f>
        <v>1</v>
      </c>
      <c r="G181" s="1328"/>
      <c r="H181" s="94" t="s">
        <v>827</v>
      </c>
      <c r="I181" s="1328"/>
      <c r="J181" s="1328"/>
      <c r="K181" s="1328"/>
      <c r="L181" s="1328"/>
      <c r="M181" s="1328"/>
      <c r="N181" s="1328"/>
      <c r="O181" s="1328"/>
      <c r="P181" s="1308"/>
      <c r="Q181" s="1308"/>
      <c r="R181" s="1308"/>
      <c r="S181" s="1308"/>
      <c r="T181" s="468" cm="1" t="str">
        <f t="array" ref="T181:T181">T180</f>
        <v>false</v>
      </c>
      <c r="U181" s="1308"/>
      <c r="V181" s="1328"/>
      <c r="W181" s="1308"/>
      <c r="X181" s="1539"/>
      <c r="Y181" s="1528"/>
      <c r="Z181" s="1328"/>
      <c r="AA181" s="1328"/>
      <c r="AB181" s="236" t="s">
        <v>828</v>
      </c>
      <c r="AC181" s="334" t="s">
        <v>737</v>
      </c>
      <c r="AD181" s="89" t="s">
        <v>657</v>
      </c>
      <c r="AE181" s="1927"/>
      <c r="AF181" s="1927"/>
      <c r="AG181" s="1927"/>
      <c r="AH181" s="1927"/>
      <c r="AI181" s="1927"/>
      <c r="AJ181" s="1927"/>
      <c r="AK181" s="1927"/>
      <c r="AL181" s="1927"/>
      <c r="AM181" s="1927"/>
      <c r="AN181" s="1927"/>
      <c r="AO181" s="1927"/>
      <c r="AP181" s="1927"/>
      <c r="AQ181" s="1927"/>
      <c r="AR181" s="1927"/>
      <c r="AS181" s="1927"/>
      <c r="AT181" s="1927"/>
      <c r="AU181" s="1927"/>
      <c r="AV181" s="1927"/>
      <c r="AW181" s="1927"/>
      <c r="AX181" s="1927"/>
      <c r="AY181" s="1927"/>
      <c r="AZ181" s="1927"/>
      <c r="BA181" s="1927"/>
      <c r="BB181" s="1927"/>
      <c r="BC181" s="1928"/>
      <c r="BD181" s="1328"/>
      <c r="BE181" s="1328"/>
      <c r="BF181" s="1023" t="s">
        <v>829</v>
      </c>
    </row>
    <row s="1656" customFormat="1" customHeight="1" ht="12.75" hidden="1">
      <c r="A182" s="1328"/>
      <c r="B182" s="1186"/>
      <c r="C182" s="1328"/>
      <c r="D182" s="1328"/>
      <c r="E182" s="637">
        <v>15</v>
      </c>
      <c r="F182" s="50" cm="1" t="str">
        <f t="array" ref="F182:F182">OFFSET(E182,-1,1)</f>
        <v>1</v>
      </c>
      <c r="G182" s="1328"/>
      <c r="H182" s="94" t="s">
        <v>830</v>
      </c>
      <c r="I182" s="1328"/>
      <c r="J182" s="1328"/>
      <c r="K182" s="1328"/>
      <c r="L182" s="1328"/>
      <c r="M182" s="1328"/>
      <c r="N182" s="1328"/>
      <c r="O182" s="1328"/>
      <c r="P182" s="1308"/>
      <c r="Q182" s="1308"/>
      <c r="R182" s="1308"/>
      <c r="S182" s="1308"/>
      <c r="T182" s="468" cm="1" t="str">
        <f t="array" ref="T182:T182">T181</f>
        <v>false</v>
      </c>
      <c r="U182" s="1308"/>
      <c r="V182" s="1328"/>
      <c r="W182" s="1308"/>
      <c r="X182" s="1539"/>
      <c r="Y182" s="1528"/>
      <c r="Z182" s="1328"/>
      <c r="AA182" s="1328"/>
      <c r="AB182" s="236" t="s">
        <v>831</v>
      </c>
      <c r="AC182" s="188" t="s">
        <v>766</v>
      </c>
      <c r="AD182" s="89" t="s">
        <v>657</v>
      </c>
      <c r="AE182" s="342">
        <f>AE183+AE184</f>
        <v>0</v>
      </c>
      <c r="AF182" s="342">
        <f>AF183+AF184</f>
        <v>0</v>
      </c>
      <c r="AG182" s="342">
        <f>AG183+AG184</f>
        <v>0</v>
      </c>
      <c r="AH182" s="342">
        <f>AH183+AH184</f>
        <v>0</v>
      </c>
      <c r="AI182" s="342">
        <f>AI183+AI184</f>
        <v>0</v>
      </c>
      <c r="AJ182" s="342">
        <f>AJ183+AJ184</f>
        <v>0</v>
      </c>
      <c r="AK182" s="342">
        <f>AK183+AK184</f>
        <v>0</v>
      </c>
      <c r="AL182" s="342">
        <f>AL183+AL184</f>
        <v>0</v>
      </c>
      <c r="AM182" s="342">
        <f>AM183+AM184</f>
        <v>0</v>
      </c>
      <c r="AN182" s="342">
        <f>AN183+AN184</f>
        <v>0</v>
      </c>
      <c r="AO182" s="342">
        <f>AO183+AO184</f>
        <v>0</v>
      </c>
      <c r="AP182" s="342">
        <f>AP183+AP184</f>
        <v>0</v>
      </c>
      <c r="AQ182" s="342">
        <f>AQ183+AQ184</f>
        <v>0</v>
      </c>
      <c r="AR182" s="342">
        <f>AR183+AR184</f>
        <v>0</v>
      </c>
      <c r="AS182" s="342">
        <f>AS183+AS184</f>
        <v>0</v>
      </c>
      <c r="AT182" s="342">
        <f>AT183+AT184</f>
        <v>0</v>
      </c>
      <c r="AU182" s="342">
        <f>AU183+AU184</f>
        <v>0</v>
      </c>
      <c r="AV182" s="342">
        <f>AV183+AV184</f>
        <v>0</v>
      </c>
      <c r="AW182" s="342">
        <f>AW183+AW184</f>
        <v>0</v>
      </c>
      <c r="AX182" s="342">
        <f>AX183+AX184</f>
        <v>0</v>
      </c>
      <c r="AY182" s="342">
        <f>AY183+AY184</f>
        <v>0</v>
      </c>
      <c r="AZ182" s="342">
        <f>AZ183+AZ184</f>
        <v>0</v>
      </c>
      <c r="BA182" s="342">
        <f>BA183+BA184</f>
        <v>0</v>
      </c>
      <c r="BB182" s="342">
        <f>BB183+BB184</f>
        <v>0</v>
      </c>
      <c r="BC182" s="1928"/>
      <c r="BD182" s="1328"/>
      <c r="BE182" s="1328"/>
      <c r="BF182" s="1023" t="s">
        <v>832</v>
      </c>
    </row>
    <row s="1656" customFormat="1" customHeight="1" ht="12.75" hidden="1">
      <c r="A183" s="1328"/>
      <c r="B183" s="1186"/>
      <c r="C183" s="1328"/>
      <c r="D183" s="1328"/>
      <c r="E183" s="637">
        <v>15</v>
      </c>
      <c r="F183" s="50" cm="1" t="str">
        <f t="array" ref="F183:F183">OFFSET(E183,-1,1)</f>
        <v>1</v>
      </c>
      <c r="G183" s="1328"/>
      <c r="H183" s="94" t="s">
        <v>833</v>
      </c>
      <c r="I183" s="1328"/>
      <c r="J183" s="1328"/>
      <c r="K183" s="1328"/>
      <c r="L183" s="1328"/>
      <c r="M183" s="1328"/>
      <c r="N183" s="1328"/>
      <c r="O183" s="1328"/>
      <c r="P183" s="1308"/>
      <c r="Q183" s="1308"/>
      <c r="R183" s="1308"/>
      <c r="S183" s="1308"/>
      <c r="T183" s="468" cm="1" t="str">
        <f t="array" ref="T183:T183">T182</f>
        <v>false</v>
      </c>
      <c r="U183" s="1308"/>
      <c r="V183" s="1328"/>
      <c r="W183" s="1308"/>
      <c r="X183" s="1539"/>
      <c r="Y183" s="1528"/>
      <c r="Z183" s="1328"/>
      <c r="AA183" s="1328"/>
      <c r="AB183" s="236" t="s">
        <v>834</v>
      </c>
      <c r="AC183" s="334" t="s">
        <v>733</v>
      </c>
      <c r="AD183" s="89" t="s">
        <v>657</v>
      </c>
      <c r="AE183" s="1927"/>
      <c r="AF183" s="1927"/>
      <c r="AG183" s="1927"/>
      <c r="AH183" s="1927"/>
      <c r="AI183" s="1927"/>
      <c r="AJ183" s="1927"/>
      <c r="AK183" s="1927"/>
      <c r="AL183" s="1927"/>
      <c r="AM183" s="1927"/>
      <c r="AN183" s="1927"/>
      <c r="AO183" s="1927"/>
      <c r="AP183" s="1927"/>
      <c r="AQ183" s="1927"/>
      <c r="AR183" s="1927"/>
      <c r="AS183" s="1927"/>
      <c r="AT183" s="1927"/>
      <c r="AU183" s="1927"/>
      <c r="AV183" s="1927"/>
      <c r="AW183" s="1927"/>
      <c r="AX183" s="1927"/>
      <c r="AY183" s="1927"/>
      <c r="AZ183" s="1927"/>
      <c r="BA183" s="1927"/>
      <c r="BB183" s="1927"/>
      <c r="BC183" s="1928"/>
      <c r="BD183" s="1328"/>
      <c r="BE183" s="1328"/>
      <c r="BF183" s="1023" t="s">
        <v>835</v>
      </c>
    </row>
    <row s="1656" customFormat="1" customHeight="1" ht="12.75" hidden="1">
      <c r="A184" s="1328"/>
      <c r="B184" s="1186"/>
      <c r="C184" s="1328"/>
      <c r="D184" s="1328"/>
      <c r="E184" s="637">
        <v>15</v>
      </c>
      <c r="F184" s="50" cm="1" t="str">
        <f t="array" ref="F184:F184">OFFSET(E184,-1,1)</f>
        <v>1</v>
      </c>
      <c r="G184" s="1328"/>
      <c r="H184" s="94" t="s">
        <v>836</v>
      </c>
      <c r="I184" s="1328"/>
      <c r="J184" s="1328"/>
      <c r="K184" s="1328"/>
      <c r="L184" s="1328"/>
      <c r="M184" s="1328"/>
      <c r="N184" s="1328"/>
      <c r="O184" s="1328"/>
      <c r="P184" s="1308"/>
      <c r="Q184" s="1308"/>
      <c r="R184" s="1308"/>
      <c r="S184" s="1308"/>
      <c r="T184" s="468" cm="1" t="str">
        <f t="array" ref="T184:T184">T183</f>
        <v>false</v>
      </c>
      <c r="U184" s="1308"/>
      <c r="V184" s="1328"/>
      <c r="W184" s="1308"/>
      <c r="X184" s="1539"/>
      <c r="Y184" s="1528"/>
      <c r="Z184" s="1328"/>
      <c r="AA184" s="1328"/>
      <c r="AB184" s="236" t="s">
        <v>837</v>
      </c>
      <c r="AC184" s="334" t="s">
        <v>737</v>
      </c>
      <c r="AD184" s="89" t="s">
        <v>657</v>
      </c>
      <c r="AE184" s="1927"/>
      <c r="AF184" s="1927"/>
      <c r="AG184" s="1927"/>
      <c r="AH184" s="1927"/>
      <c r="AI184" s="1927"/>
      <c r="AJ184" s="1927"/>
      <c r="AK184" s="1927"/>
      <c r="AL184" s="1927"/>
      <c r="AM184" s="1927"/>
      <c r="AN184" s="1927"/>
      <c r="AO184" s="1927"/>
      <c r="AP184" s="1927"/>
      <c r="AQ184" s="1927"/>
      <c r="AR184" s="1927"/>
      <c r="AS184" s="1927"/>
      <c r="AT184" s="1927"/>
      <c r="AU184" s="1927"/>
      <c r="AV184" s="1927"/>
      <c r="AW184" s="1927"/>
      <c r="AX184" s="1927"/>
      <c r="AY184" s="1927"/>
      <c r="AZ184" s="1927"/>
      <c r="BA184" s="1927"/>
      <c r="BB184" s="1927"/>
      <c r="BC184" s="1928"/>
      <c r="BD184" s="1328"/>
      <c r="BE184" s="1328"/>
      <c r="BF184" s="1023" t="s">
        <v>838</v>
      </c>
    </row>
    <row s="1656" customFormat="1" customHeight="1" ht="23.25" hidden="1">
      <c r="A185" s="1328"/>
      <c r="B185" s="1186"/>
      <c r="C185" s="1328"/>
      <c r="D185" s="1328"/>
      <c r="E185" s="637">
        <v>15</v>
      </c>
      <c r="F185" s="50" cm="1" t="str">
        <f t="array" ref="F185:F185">OFFSET(E185,-1,1)</f>
        <v>1</v>
      </c>
      <c r="G185" s="1328"/>
      <c r="H185" s="94" t="s">
        <v>839</v>
      </c>
      <c r="I185" s="1328"/>
      <c r="J185" s="1328"/>
      <c r="K185" s="1328"/>
      <c r="L185" s="1328"/>
      <c r="M185" s="1328"/>
      <c r="N185" s="1328"/>
      <c r="O185" s="1328"/>
      <c r="P185" s="1308"/>
      <c r="Q185" s="1308"/>
      <c r="R185" s="1308"/>
      <c r="S185" s="1308"/>
      <c r="T185" s="468" cm="1" t="str">
        <f t="array" ref="T185:T185">T184</f>
        <v>false</v>
      </c>
      <c r="U185" s="1308"/>
      <c r="V185" s="1328"/>
      <c r="W185" s="1308"/>
      <c r="X185" s="1539"/>
      <c r="Y185" s="1528"/>
      <c r="Z185" s="1328"/>
      <c r="AA185" s="1328"/>
      <c r="AB185" s="236" t="s">
        <v>840</v>
      </c>
      <c r="AC185" s="188" t="s">
        <v>841</v>
      </c>
      <c r="AD185" s="89" t="s">
        <v>657</v>
      </c>
      <c r="AE185" s="342">
        <f>AE186+AE187</f>
        <v>0</v>
      </c>
      <c r="AF185" s="342">
        <f>AF186+AF187</f>
        <v>0</v>
      </c>
      <c r="AG185" s="342">
        <f>AG186+AG187</f>
        <v>0</v>
      </c>
      <c r="AH185" s="342">
        <f>AH186+AH187</f>
        <v>0</v>
      </c>
      <c r="AI185" s="342">
        <f>AI186+AI187</f>
        <v>0</v>
      </c>
      <c r="AJ185" s="342">
        <f>AJ186+AJ187</f>
        <v>0</v>
      </c>
      <c r="AK185" s="342">
        <f>AK186+AK187</f>
        <v>0</v>
      </c>
      <c r="AL185" s="342">
        <f>AL186+AL187</f>
        <v>0</v>
      </c>
      <c r="AM185" s="342">
        <f>AM186+AM187</f>
        <v>0</v>
      </c>
      <c r="AN185" s="342">
        <f>AN186+AN187</f>
        <v>0</v>
      </c>
      <c r="AO185" s="342">
        <f>AO186+AO187</f>
        <v>0</v>
      </c>
      <c r="AP185" s="342">
        <f>AP186+AP187</f>
        <v>0</v>
      </c>
      <c r="AQ185" s="342">
        <f>AQ186+AQ187</f>
        <v>0</v>
      </c>
      <c r="AR185" s="342">
        <f>AR186+AR187</f>
        <v>0</v>
      </c>
      <c r="AS185" s="342">
        <f>AS186+AS187</f>
        <v>0</v>
      </c>
      <c r="AT185" s="342">
        <f>AT186+AT187</f>
        <v>0</v>
      </c>
      <c r="AU185" s="342">
        <f>AU186+AU187</f>
        <v>0</v>
      </c>
      <c r="AV185" s="342">
        <f>AV186+AV187</f>
        <v>0</v>
      </c>
      <c r="AW185" s="342">
        <f>AW186+AW187</f>
        <v>0</v>
      </c>
      <c r="AX185" s="342">
        <f>AX186+AX187</f>
        <v>0</v>
      </c>
      <c r="AY185" s="342">
        <f>AY186+AY187</f>
        <v>0</v>
      </c>
      <c r="AZ185" s="342">
        <f>AZ186+AZ187</f>
        <v>0</v>
      </c>
      <c r="BA185" s="342">
        <f>BA186+BA187</f>
        <v>0</v>
      </c>
      <c r="BB185" s="342">
        <f>BB186+BB187</f>
        <v>0</v>
      </c>
      <c r="BC185" s="1928"/>
      <c r="BD185" s="1328"/>
      <c r="BE185" s="1328"/>
      <c r="BF185" s="1023" t="s">
        <v>842</v>
      </c>
    </row>
    <row s="1656" customFormat="1" customHeight="1" ht="12.75" hidden="1">
      <c r="A186" s="1328"/>
      <c r="B186" s="1186"/>
      <c r="C186" s="1328"/>
      <c r="D186" s="1328"/>
      <c r="E186" s="637">
        <v>15</v>
      </c>
      <c r="F186" s="50" cm="1" t="str">
        <f t="array" ref="F186:F186">OFFSET(E186,-1,1)</f>
        <v>1</v>
      </c>
      <c r="G186" s="1328"/>
      <c r="H186" s="94" t="s">
        <v>843</v>
      </c>
      <c r="I186" s="1328"/>
      <c r="J186" s="1328"/>
      <c r="K186" s="1328"/>
      <c r="L186" s="1328"/>
      <c r="M186" s="1328"/>
      <c r="N186" s="1328"/>
      <c r="O186" s="1328"/>
      <c r="P186" s="1308"/>
      <c r="Q186" s="1308"/>
      <c r="R186" s="1308"/>
      <c r="S186" s="1308"/>
      <c r="T186" s="468" cm="1" t="str">
        <f t="array" ref="T186:T186">T185</f>
        <v>false</v>
      </c>
      <c r="U186" s="1308"/>
      <c r="V186" s="1328"/>
      <c r="W186" s="1308"/>
      <c r="X186" s="1539"/>
      <c r="Y186" s="1528"/>
      <c r="Z186" s="1328"/>
      <c r="AA186" s="1328"/>
      <c r="AB186" s="236" t="s">
        <v>844</v>
      </c>
      <c r="AC186" s="328" t="s">
        <v>733</v>
      </c>
      <c r="AD186" s="89" t="s">
        <v>657</v>
      </c>
      <c r="AE186" s="1927"/>
      <c r="AF186" s="1927"/>
      <c r="AG186" s="1927"/>
      <c r="AH186" s="1927"/>
      <c r="AI186" s="1927"/>
      <c r="AJ186" s="1927"/>
      <c r="AK186" s="1927"/>
      <c r="AL186" s="1927"/>
      <c r="AM186" s="1927"/>
      <c r="AN186" s="1927"/>
      <c r="AO186" s="1927"/>
      <c r="AP186" s="1927"/>
      <c r="AQ186" s="1927"/>
      <c r="AR186" s="1927"/>
      <c r="AS186" s="1927"/>
      <c r="AT186" s="1927"/>
      <c r="AU186" s="1927"/>
      <c r="AV186" s="1927"/>
      <c r="AW186" s="1927"/>
      <c r="AX186" s="1927"/>
      <c r="AY186" s="1927"/>
      <c r="AZ186" s="1927"/>
      <c r="BA186" s="1927"/>
      <c r="BB186" s="1927"/>
      <c r="BC186" s="1928"/>
      <c r="BD186" s="1328"/>
      <c r="BE186" s="1328"/>
      <c r="BF186" s="1023" t="s">
        <v>845</v>
      </c>
    </row>
    <row s="1656" customFormat="1" customHeight="1" ht="12.75" hidden="1">
      <c r="A187" s="1328"/>
      <c r="B187" s="1186"/>
      <c r="C187" s="1328"/>
      <c r="D187" s="1328"/>
      <c r="E187" s="637">
        <v>15</v>
      </c>
      <c r="F187" s="50" cm="1" t="str">
        <f t="array" ref="F187:F187">OFFSET(E187,-1,1)</f>
        <v>1</v>
      </c>
      <c r="G187" s="1328"/>
      <c r="H187" s="94" t="s">
        <v>846</v>
      </c>
      <c r="I187" s="1328"/>
      <c r="J187" s="1328"/>
      <c r="K187" s="1328"/>
      <c r="L187" s="1328"/>
      <c r="M187" s="1328"/>
      <c r="N187" s="1328"/>
      <c r="O187" s="1328"/>
      <c r="P187" s="1308"/>
      <c r="Q187" s="1308"/>
      <c r="R187" s="1308"/>
      <c r="S187" s="1308"/>
      <c r="T187" s="468" cm="1" t="str">
        <f t="array" ref="T187:T187">T186</f>
        <v>false</v>
      </c>
      <c r="U187" s="1308"/>
      <c r="V187" s="1328"/>
      <c r="W187" s="1308"/>
      <c r="X187" s="1539"/>
      <c r="Y187" s="1528"/>
      <c r="Z187" s="1328"/>
      <c r="AA187" s="1328"/>
      <c r="AB187" s="236" t="s">
        <v>847</v>
      </c>
      <c r="AC187" s="328" t="s">
        <v>737</v>
      </c>
      <c r="AD187" s="89" t="s">
        <v>657</v>
      </c>
      <c r="AE187" s="1927"/>
      <c r="AF187" s="1927"/>
      <c r="AG187" s="1927"/>
      <c r="AH187" s="1927"/>
      <c r="AI187" s="1927"/>
      <c r="AJ187" s="1927"/>
      <c r="AK187" s="1927"/>
      <c r="AL187" s="1927"/>
      <c r="AM187" s="1927"/>
      <c r="AN187" s="1927"/>
      <c r="AO187" s="1927"/>
      <c r="AP187" s="1927"/>
      <c r="AQ187" s="1927"/>
      <c r="AR187" s="1927"/>
      <c r="AS187" s="1927"/>
      <c r="AT187" s="1927"/>
      <c r="AU187" s="1927"/>
      <c r="AV187" s="1927"/>
      <c r="AW187" s="1927"/>
      <c r="AX187" s="1927"/>
      <c r="AY187" s="1927"/>
      <c r="AZ187" s="1927"/>
      <c r="BA187" s="1927"/>
      <c r="BB187" s="1927"/>
      <c r="BC187" s="1928"/>
      <c r="BD187" s="1328"/>
      <c r="BE187" s="1328"/>
      <c r="BF187" s="1023" t="s">
        <v>848</v>
      </c>
    </row>
    <row s="1656" customFormat="1" customHeight="1" ht="23.25" hidden="1">
      <c r="A188" s="1328"/>
      <c r="B188" s="1186"/>
      <c r="C188" s="1328"/>
      <c r="D188" s="1328"/>
      <c r="E188" s="637">
        <v>22.5</v>
      </c>
      <c r="F188" s="50" cm="1" t="str">
        <f t="array" ref="F188:F188">OFFSET(E188,-1,1)</f>
        <v>1</v>
      </c>
      <c r="G188" s="1328"/>
      <c r="H188" s="94" t="s">
        <v>849</v>
      </c>
      <c r="I188" s="1328"/>
      <c r="J188" s="1328"/>
      <c r="K188" s="1328"/>
      <c r="L188" s="1328"/>
      <c r="M188" s="1328"/>
      <c r="N188" s="1328"/>
      <c r="O188" s="1328"/>
      <c r="P188" s="1308"/>
      <c r="Q188" s="1308"/>
      <c r="R188" s="1308"/>
      <c r="S188" s="1308"/>
      <c r="T188" s="468" cm="1" t="str">
        <f t="array" ref="T188:T188">T187</f>
        <v>false</v>
      </c>
      <c r="U188" s="1308"/>
      <c r="V188" s="1328"/>
      <c r="W188" s="1308"/>
      <c r="X188" s="1539"/>
      <c r="Y188" s="1528"/>
      <c r="Z188" s="1328"/>
      <c r="AA188" s="1328"/>
      <c r="AB188" s="236" t="s">
        <v>850</v>
      </c>
      <c r="AC188" s="335" t="s">
        <v>698</v>
      </c>
      <c r="AD188" s="89" t="s">
        <v>657</v>
      </c>
      <c r="AE188" s="1927"/>
      <c r="AF188" s="1927"/>
      <c r="AG188" s="1927"/>
      <c r="AH188" s="1927"/>
      <c r="AI188" s="1927"/>
      <c r="AJ188" s="1927"/>
      <c r="AK188" s="1927"/>
      <c r="AL188" s="1927"/>
      <c r="AM188" s="1927"/>
      <c r="AN188" s="1927"/>
      <c r="AO188" s="1927"/>
      <c r="AP188" s="1927"/>
      <c r="AQ188" s="1927"/>
      <c r="AR188" s="1927"/>
      <c r="AS188" s="1927"/>
      <c r="AT188" s="1927"/>
      <c r="AU188" s="1927"/>
      <c r="AV188" s="1927"/>
      <c r="AW188" s="1927"/>
      <c r="AX188" s="1927"/>
      <c r="AY188" s="1927"/>
      <c r="AZ188" s="1927"/>
      <c r="BA188" s="1927"/>
      <c r="BB188" s="1927"/>
      <c r="BC188" s="1928"/>
      <c r="BD188" s="1328"/>
      <c r="BE188" s="1328"/>
      <c r="BF188" s="1023" t="s">
        <v>851</v>
      </c>
    </row>
    <row s="1656" customFormat="1" customHeight="1" ht="12.75" hidden="1">
      <c r="A189" s="1328"/>
      <c r="B189" s="1186"/>
      <c r="C189" s="1328"/>
      <c r="D189" s="1328"/>
      <c r="E189" s="637">
        <v>15</v>
      </c>
      <c r="F189" s="50" cm="1" t="str">
        <f t="array" ref="F189:F189">OFFSET(E189,-1,1)</f>
        <v>1</v>
      </c>
      <c r="G189" s="1328"/>
      <c r="H189" s="94" t="s">
        <v>619</v>
      </c>
      <c r="I189" s="1328"/>
      <c r="J189" s="1328"/>
      <c r="K189" s="1328"/>
      <c r="L189" s="1328"/>
      <c r="M189" s="1328"/>
      <c r="N189" s="1328"/>
      <c r="O189" s="1328"/>
      <c r="P189" s="1308"/>
      <c r="Q189" s="1308"/>
      <c r="R189" s="1308"/>
      <c r="S189" s="1308"/>
      <c r="T189" s="468" cm="1" t="str">
        <f t="array" ref="T189:T189">T188</f>
        <v>false</v>
      </c>
      <c r="U189" s="1308"/>
      <c r="V189" s="1328"/>
      <c r="W189" s="1308"/>
      <c r="X189" s="1539"/>
      <c r="Y189" s="1528"/>
      <c r="Z189" s="1328"/>
      <c r="AA189" s="1328"/>
      <c r="AB189" s="236" t="s">
        <v>454</v>
      </c>
      <c r="AC189" s="133" t="s">
        <v>852</v>
      </c>
      <c r="AD189" s="89" t="s">
        <v>657</v>
      </c>
      <c r="AE189" s="1927"/>
      <c r="AF189" s="1927"/>
      <c r="AG189" s="1927"/>
      <c r="AH189" s="1927"/>
      <c r="AI189" s="1927"/>
      <c r="AJ189" s="1927"/>
      <c r="AK189" s="1927"/>
      <c r="AL189" s="1927"/>
      <c r="AM189" s="1927"/>
      <c r="AN189" s="1927"/>
      <c r="AO189" s="1927"/>
      <c r="AP189" s="1927"/>
      <c r="AQ189" s="1927"/>
      <c r="AR189" s="1927"/>
      <c r="AS189" s="1927"/>
      <c r="AT189" s="1927"/>
      <c r="AU189" s="1927"/>
      <c r="AV189" s="1927"/>
      <c r="AW189" s="1927"/>
      <c r="AX189" s="1927"/>
      <c r="AY189" s="1927"/>
      <c r="AZ189" s="1927"/>
      <c r="BA189" s="1927"/>
      <c r="BB189" s="1927"/>
      <c r="BC189" s="1928"/>
      <c r="BD189" s="1328"/>
      <c r="BE189" s="1328"/>
      <c r="BF189" s="1023" t="s">
        <v>853</v>
      </c>
    </row>
    <row s="1656" customFormat="1" customHeight="1" ht="23.25" hidden="1">
      <c r="A190" s="1328"/>
      <c r="B190" s="1186"/>
      <c r="C190" s="1328"/>
      <c r="D190" s="1328"/>
      <c r="E190" s="637">
        <v>15</v>
      </c>
      <c r="F190" s="50" cm="1" t="str">
        <f t="array" ref="F190:F190">OFFSET(E190,-1,1)</f>
        <v>1</v>
      </c>
      <c r="G190" s="1328"/>
      <c r="H190" s="94" t="s">
        <v>685</v>
      </c>
      <c r="I190" s="1328"/>
      <c r="J190" s="1328"/>
      <c r="K190" s="1328"/>
      <c r="L190" s="1328"/>
      <c r="M190" s="1328"/>
      <c r="N190" s="1328"/>
      <c r="O190" s="1328"/>
      <c r="P190" s="1308"/>
      <c r="Q190" s="1308"/>
      <c r="R190" s="1308"/>
      <c r="S190" s="1308"/>
      <c r="T190" s="468" cm="1" t="str">
        <f t="array" ref="T190:T190">T189</f>
        <v>false</v>
      </c>
      <c r="U190" s="1308"/>
      <c r="V190" s="1328"/>
      <c r="W190" s="1308"/>
      <c r="X190" s="1539"/>
      <c r="Y190" s="1528"/>
      <c r="Z190" s="1328"/>
      <c r="AA190" s="1328"/>
      <c r="AB190" s="236" t="s">
        <v>457</v>
      </c>
      <c r="AC190" s="133" t="s">
        <v>854</v>
      </c>
      <c r="AD190" s="89" t="s">
        <v>657</v>
      </c>
      <c r="AE190" s="1927"/>
      <c r="AF190" s="1927"/>
      <c r="AG190" s="1927"/>
      <c r="AH190" s="1927"/>
      <c r="AI190" s="1927"/>
      <c r="AJ190" s="1927"/>
      <c r="AK190" s="1927"/>
      <c r="AL190" s="1927"/>
      <c r="AM190" s="1927"/>
      <c r="AN190" s="1927"/>
      <c r="AO190" s="1927"/>
      <c r="AP190" s="1927"/>
      <c r="AQ190" s="1927"/>
      <c r="AR190" s="1927"/>
      <c r="AS190" s="1927"/>
      <c r="AT190" s="1927"/>
      <c r="AU190" s="1927"/>
      <c r="AV190" s="1927"/>
      <c r="AW190" s="1927"/>
      <c r="AX190" s="1927"/>
      <c r="AY190" s="1927"/>
      <c r="AZ190" s="1927"/>
      <c r="BA190" s="1927"/>
      <c r="BB190" s="1927"/>
      <c r="BC190" s="1928"/>
      <c r="BD190" s="1328"/>
      <c r="BE190" s="1328"/>
      <c r="BF190" s="1023" t="s">
        <v>855</v>
      </c>
    </row>
    <row s="1656" customFormat="1" customHeight="1" ht="23.25" hidden="1">
      <c r="A191" s="1328"/>
      <c r="B191" s="1186"/>
      <c r="C191" s="1328"/>
      <c r="D191" s="1328"/>
      <c r="E191" s="637">
        <v>15</v>
      </c>
      <c r="F191" s="50" cm="1" t="str">
        <f t="array" ref="F191:F191">OFFSET(E191,-1,1)</f>
        <v>1</v>
      </c>
      <c r="G191" s="1328"/>
      <c r="H191" s="94" t="s">
        <v>700</v>
      </c>
      <c r="I191" s="1328"/>
      <c r="J191" s="1328"/>
      <c r="K191" s="1328"/>
      <c r="L191" s="1328"/>
      <c r="M191" s="1328"/>
      <c r="N191" s="1328"/>
      <c r="O191" s="1328"/>
      <c r="P191" s="1308"/>
      <c r="Q191" s="1308"/>
      <c r="R191" s="1308"/>
      <c r="S191" s="1308"/>
      <c r="T191" s="468" cm="1" t="str">
        <f t="array" ref="T191:T191">T190</f>
        <v>false</v>
      </c>
      <c r="U191" s="1308"/>
      <c r="V191" s="1328"/>
      <c r="W191" s="1308"/>
      <c r="X191" s="1539"/>
      <c r="Y191" s="1528"/>
      <c r="Z191" s="1328"/>
      <c r="AA191" s="1328"/>
      <c r="AB191" s="236" t="s">
        <v>460</v>
      </c>
      <c r="AC191" s="133" t="s">
        <v>856</v>
      </c>
      <c r="AD191" s="89" t="s">
        <v>657</v>
      </c>
      <c r="AE191" s="1927"/>
      <c r="AF191" s="1927"/>
      <c r="AG191" s="1927"/>
      <c r="AH191" s="1927"/>
      <c r="AI191" s="1927"/>
      <c r="AJ191" s="1927"/>
      <c r="AK191" s="1927"/>
      <c r="AL191" s="1927"/>
      <c r="AM191" s="1927"/>
      <c r="AN191" s="1927"/>
      <c r="AO191" s="1927"/>
      <c r="AP191" s="1927"/>
      <c r="AQ191" s="1927"/>
      <c r="AR191" s="1927"/>
      <c r="AS191" s="1927"/>
      <c r="AT191" s="1927"/>
      <c r="AU191" s="1927"/>
      <c r="AV191" s="1927"/>
      <c r="AW191" s="1927"/>
      <c r="AX191" s="1927"/>
      <c r="AY191" s="1927"/>
      <c r="AZ191" s="1927"/>
      <c r="BA191" s="1927"/>
      <c r="BB191" s="1927"/>
      <c r="BC191" s="1928"/>
      <c r="BD191" s="1328"/>
      <c r="BE191" s="1328"/>
      <c r="BF191" s="1023" t="s">
        <v>857</v>
      </c>
    </row>
    <row s="1656" customFormat="1" customHeight="1" ht="12.75" hidden="1">
      <c r="A192" s="1328"/>
      <c r="B192" s="1186"/>
      <c r="C192" s="1328"/>
      <c r="D192" s="1328"/>
      <c r="E192" s="637">
        <v>15</v>
      </c>
      <c r="F192" s="50" cm="1" t="str">
        <f t="array" ref="F192:F192">OFFSET(E192,-1,1)</f>
        <v>1</v>
      </c>
      <c r="G192" s="1328"/>
      <c r="H192" s="94" t="s">
        <v>707</v>
      </c>
      <c r="I192" s="1328"/>
      <c r="J192" s="1328"/>
      <c r="K192" s="1328"/>
      <c r="L192" s="1328"/>
      <c r="M192" s="1328"/>
      <c r="N192" s="1328"/>
      <c r="O192" s="1328"/>
      <c r="P192" s="1308"/>
      <c r="Q192" s="1308"/>
      <c r="R192" s="1308"/>
      <c r="S192" s="1308"/>
      <c r="T192" s="468" cm="1" t="str">
        <f t="array" ref="T192:T192">T191</f>
        <v>false</v>
      </c>
      <c r="U192" s="1308"/>
      <c r="V192" s="1328"/>
      <c r="W192" s="1308"/>
      <c r="X192" s="1539"/>
      <c r="Y192" s="1528"/>
      <c r="Z192" s="1328"/>
      <c r="AA192" s="1328"/>
      <c r="AB192" s="236" t="s">
        <v>463</v>
      </c>
      <c r="AC192" s="134" t="s">
        <v>858</v>
      </c>
      <c r="AD192" s="89" t="s">
        <v>657</v>
      </c>
      <c r="AE192" s="342">
        <f>AE193+AE194</f>
        <v>0</v>
      </c>
      <c r="AF192" s="342">
        <f>AF193+AF194</f>
        <v>0</v>
      </c>
      <c r="AG192" s="342">
        <f>AG193+AG194</f>
        <v>0</v>
      </c>
      <c r="AH192" s="342">
        <f>AH193+AH194</f>
        <v>0</v>
      </c>
      <c r="AI192" s="342">
        <f>AI193+AI194</f>
        <v>0</v>
      </c>
      <c r="AJ192" s="342">
        <f>AJ193+AJ194</f>
        <v>0</v>
      </c>
      <c r="AK192" s="342">
        <f>AK193+AK194</f>
        <v>0</v>
      </c>
      <c r="AL192" s="342">
        <f>AL193+AL194</f>
        <v>0</v>
      </c>
      <c r="AM192" s="342">
        <f>AM193+AM194</f>
        <v>0</v>
      </c>
      <c r="AN192" s="342">
        <f>AN193+AN194</f>
        <v>0</v>
      </c>
      <c r="AO192" s="342">
        <f>AO193+AO194</f>
        <v>0</v>
      </c>
      <c r="AP192" s="342">
        <f>AP193+AP194</f>
        <v>0</v>
      </c>
      <c r="AQ192" s="342">
        <f>AQ193+AQ194</f>
        <v>0</v>
      </c>
      <c r="AR192" s="342">
        <f>AR193+AR194</f>
        <v>0</v>
      </c>
      <c r="AS192" s="342">
        <f>AS193+AS194</f>
        <v>0</v>
      </c>
      <c r="AT192" s="342">
        <f>AT193+AT194</f>
        <v>0</v>
      </c>
      <c r="AU192" s="342">
        <f>AU193+AU194</f>
        <v>0</v>
      </c>
      <c r="AV192" s="342">
        <f>AV193+AV194</f>
        <v>0</v>
      </c>
      <c r="AW192" s="342">
        <f>AW193+AW194</f>
        <v>0</v>
      </c>
      <c r="AX192" s="342">
        <f>AX193+AX194</f>
        <v>0</v>
      </c>
      <c r="AY192" s="342">
        <f>AY193+AY194</f>
        <v>0</v>
      </c>
      <c r="AZ192" s="342">
        <f>AZ193+AZ194</f>
        <v>0</v>
      </c>
      <c r="BA192" s="342">
        <f>BA193+BA194</f>
        <v>0</v>
      </c>
      <c r="BB192" s="342">
        <f>BB193+BB194</f>
        <v>0</v>
      </c>
      <c r="BC192" s="1928"/>
      <c r="BD192" s="1328"/>
      <c r="BE192" s="1328"/>
      <c r="BF192" s="1023" t="s">
        <v>859</v>
      </c>
    </row>
    <row s="1656" customFormat="1" customHeight="1" ht="12.75" hidden="1">
      <c r="A193" s="1328"/>
      <c r="B193" s="1186"/>
      <c r="C193" s="1328"/>
      <c r="D193" s="1328"/>
      <c r="E193" s="637">
        <v>15</v>
      </c>
      <c r="F193" s="50" cm="1" t="str">
        <f t="array" ref="F193:F193">OFFSET(E193,-1,1)</f>
        <v>1</v>
      </c>
      <c r="G193" s="1328"/>
      <c r="H193" s="94" t="s">
        <v>710</v>
      </c>
      <c r="I193" s="1328"/>
      <c r="J193" s="1328"/>
      <c r="K193" s="1328"/>
      <c r="L193" s="1328"/>
      <c r="M193" s="1328"/>
      <c r="N193" s="1328"/>
      <c r="O193" s="1328"/>
      <c r="P193" s="1308"/>
      <c r="Q193" s="1308"/>
      <c r="R193" s="1308"/>
      <c r="S193" s="1308"/>
      <c r="T193" s="468" cm="1" t="str">
        <f t="array" ref="T193:T193">T192</f>
        <v>false</v>
      </c>
      <c r="U193" s="1308"/>
      <c r="V193" s="1328"/>
      <c r="W193" s="1308"/>
      <c r="X193" s="1539"/>
      <c r="Y193" s="1528"/>
      <c r="Z193" s="1328"/>
      <c r="AA193" s="1328"/>
      <c r="AB193" s="236" t="s">
        <v>711</v>
      </c>
      <c r="AC193" s="188" t="s">
        <v>860</v>
      </c>
      <c r="AD193" s="89" t="s">
        <v>657</v>
      </c>
      <c r="AE193" s="1927"/>
      <c r="AF193" s="1927"/>
      <c r="AG193" s="1927"/>
      <c r="AH193" s="1927"/>
      <c r="AI193" s="1927"/>
      <c r="AJ193" s="1927"/>
      <c r="AK193" s="1927"/>
      <c r="AL193" s="1927"/>
      <c r="AM193" s="1927"/>
      <c r="AN193" s="1927"/>
      <c r="AO193" s="1927"/>
      <c r="AP193" s="1927"/>
      <c r="AQ193" s="1927"/>
      <c r="AR193" s="1927"/>
      <c r="AS193" s="1927"/>
      <c r="AT193" s="1927"/>
      <c r="AU193" s="1927"/>
      <c r="AV193" s="1927"/>
      <c r="AW193" s="1927"/>
      <c r="AX193" s="1927"/>
      <c r="AY193" s="1927"/>
      <c r="AZ193" s="1927"/>
      <c r="BA193" s="1927"/>
      <c r="BB193" s="1927"/>
      <c r="BC193" s="1928"/>
      <c r="BD193" s="1328"/>
      <c r="BE193" s="1328"/>
      <c r="BF193" s="1023" t="s">
        <v>861</v>
      </c>
    </row>
    <row s="1656" customFormat="1" customHeight="1" ht="12.75" hidden="1">
      <c r="A194" s="1328"/>
      <c r="B194" s="1186"/>
      <c r="C194" s="1328"/>
      <c r="D194" s="1328"/>
      <c r="E194" s="637">
        <v>15</v>
      </c>
      <c r="F194" s="50" cm="1" t="str">
        <f t="array" ref="F194:F194">OFFSET(E194,-1,1)</f>
        <v>1</v>
      </c>
      <c r="G194" s="1328"/>
      <c r="H194" s="94" t="s">
        <v>727</v>
      </c>
      <c r="I194" s="1328"/>
      <c r="J194" s="1328"/>
      <c r="K194" s="1328"/>
      <c r="L194" s="1328"/>
      <c r="M194" s="1328"/>
      <c r="N194" s="1328"/>
      <c r="O194" s="1328"/>
      <c r="P194" s="1308"/>
      <c r="Q194" s="1308"/>
      <c r="R194" s="1308"/>
      <c r="S194" s="1308"/>
      <c r="T194" s="468" cm="1" t="str">
        <f t="array" ref="T194:T194">T193</f>
        <v>false</v>
      </c>
      <c r="U194" s="1308"/>
      <c r="V194" s="1328"/>
      <c r="W194" s="1308"/>
      <c r="X194" s="1539"/>
      <c r="Y194" s="1528"/>
      <c r="Z194" s="1328"/>
      <c r="AA194" s="1328"/>
      <c r="AB194" s="236" t="s">
        <v>728</v>
      </c>
      <c r="AC194" s="188" t="s">
        <v>862</v>
      </c>
      <c r="AD194" s="89" t="s">
        <v>657</v>
      </c>
      <c r="AE194" s="1927"/>
      <c r="AF194" s="1927"/>
      <c r="AG194" s="1927"/>
      <c r="AH194" s="1927"/>
      <c r="AI194" s="1927"/>
      <c r="AJ194" s="1927"/>
      <c r="AK194" s="1927"/>
      <c r="AL194" s="1927"/>
      <c r="AM194" s="1927"/>
      <c r="AN194" s="1927"/>
      <c r="AO194" s="1927"/>
      <c r="AP194" s="1927"/>
      <c r="AQ194" s="1927"/>
      <c r="AR194" s="1927"/>
      <c r="AS194" s="1927"/>
      <c r="AT194" s="1927"/>
      <c r="AU194" s="1927"/>
      <c r="AV194" s="1927"/>
      <c r="AW194" s="1927"/>
      <c r="AX194" s="1927"/>
      <c r="AY194" s="1927"/>
      <c r="AZ194" s="1927"/>
      <c r="BA194" s="1927"/>
      <c r="BB194" s="1927"/>
      <c r="BC194" s="1928"/>
      <c r="BD194" s="1328"/>
      <c r="BE194" s="1328"/>
      <c r="BF194" s="1023" t="s">
        <v>863</v>
      </c>
    </row>
    <row s="1656" customFormat="1" customHeight="1" ht="23.25" hidden="1">
      <c r="A195" s="1328"/>
      <c r="B195" s="1186"/>
      <c r="C195" s="1328"/>
      <c r="D195" s="1328"/>
      <c r="E195" s="637">
        <v>22.5</v>
      </c>
      <c r="F195" s="50" cm="1" t="str">
        <f t="array" ref="F195:F195">OFFSET(E195,-1,1)</f>
        <v>1</v>
      </c>
      <c r="G195" s="1328"/>
      <c r="H195" s="94" t="s">
        <v>864</v>
      </c>
      <c r="I195" s="1328"/>
      <c r="J195" s="1328"/>
      <c r="K195" s="1328"/>
      <c r="L195" s="1328"/>
      <c r="M195" s="1328"/>
      <c r="N195" s="1328"/>
      <c r="O195" s="1328"/>
      <c r="P195" s="1308"/>
      <c r="Q195" s="1308"/>
      <c r="R195" s="1308"/>
      <c r="S195" s="1308"/>
      <c r="T195" s="468" cm="1" t="str">
        <f t="array" ref="T195:T195">T194</f>
        <v>false</v>
      </c>
      <c r="U195" s="1308"/>
      <c r="V195" s="1328"/>
      <c r="W195" s="1308"/>
      <c r="X195" s="1539"/>
      <c r="Y195" s="1528"/>
      <c r="Z195" s="1328"/>
      <c r="AA195" s="1328"/>
      <c r="AB195" s="236" t="s">
        <v>466</v>
      </c>
      <c r="AC195" s="336" t="s">
        <v>776</v>
      </c>
      <c r="AD195" s="89" t="s">
        <v>657</v>
      </c>
      <c r="AE195" s="1927"/>
      <c r="AF195" s="1927"/>
      <c r="AG195" s="1927"/>
      <c r="AH195" s="1927"/>
      <c r="AI195" s="1927"/>
      <c r="AJ195" s="1927"/>
      <c r="AK195" s="1927"/>
      <c r="AL195" s="1927"/>
      <c r="AM195" s="1927"/>
      <c r="AN195" s="1927"/>
      <c r="AO195" s="1927"/>
      <c r="AP195" s="1927"/>
      <c r="AQ195" s="1927"/>
      <c r="AR195" s="1927"/>
      <c r="AS195" s="1927"/>
      <c r="AT195" s="1927"/>
      <c r="AU195" s="1927"/>
      <c r="AV195" s="1927"/>
      <c r="AW195" s="1927"/>
      <c r="AX195" s="1927"/>
      <c r="AY195" s="1927"/>
      <c r="AZ195" s="1927"/>
      <c r="BA195" s="1927"/>
      <c r="BB195" s="1927"/>
      <c r="BC195" s="1928"/>
      <c r="BD195" s="1328"/>
      <c r="BE195" s="1328"/>
      <c r="BF195" s="1023" t="s">
        <v>865</v>
      </c>
    </row>
    <row s="1656" customFormat="1" customHeight="1" ht="12.75" hidden="1">
      <c r="A196" s="1328"/>
      <c r="B196" s="1186"/>
      <c r="C196" s="1328"/>
      <c r="D196" s="1328"/>
      <c r="E196" s="637">
        <v>15</v>
      </c>
      <c r="F196" s="50" cm="1" t="str">
        <f t="array" ref="F196:F196">OFFSET(E196,-1,1)</f>
        <v>1</v>
      </c>
      <c r="G196" s="1328"/>
      <c r="H196" s="94" t="s">
        <v>866</v>
      </c>
      <c r="I196" s="1328"/>
      <c r="J196" s="1328"/>
      <c r="K196" s="1328"/>
      <c r="L196" s="1328"/>
      <c r="M196" s="1328"/>
      <c r="N196" s="1328"/>
      <c r="O196" s="1328"/>
      <c r="P196" s="1308"/>
      <c r="Q196" s="1308"/>
      <c r="R196" s="1308"/>
      <c r="S196" s="1308"/>
      <c r="T196" s="468" cm="1" t="str">
        <f t="array" ref="T196:T196">T195</f>
        <v>false</v>
      </c>
      <c r="U196" s="1308"/>
      <c r="V196" s="1328"/>
      <c r="W196" s="1308"/>
      <c r="X196" s="1539"/>
      <c r="Y196" s="1528"/>
      <c r="Z196" s="1328"/>
      <c r="AA196" s="1328"/>
      <c r="AB196" s="236" t="s">
        <v>469</v>
      </c>
      <c r="AC196" s="133" t="s">
        <v>867</v>
      </c>
      <c r="AD196" s="89" t="s">
        <v>657</v>
      </c>
      <c r="AE196" s="1927"/>
      <c r="AF196" s="1927"/>
      <c r="AG196" s="1927"/>
      <c r="AH196" s="1927"/>
      <c r="AI196" s="1927"/>
      <c r="AJ196" s="1927"/>
      <c r="AK196" s="1927"/>
      <c r="AL196" s="1927"/>
      <c r="AM196" s="1927"/>
      <c r="AN196" s="1927"/>
      <c r="AO196" s="1927"/>
      <c r="AP196" s="1927"/>
      <c r="AQ196" s="1927"/>
      <c r="AR196" s="1927"/>
      <c r="AS196" s="1927"/>
      <c r="AT196" s="1927"/>
      <c r="AU196" s="1927"/>
      <c r="AV196" s="1927"/>
      <c r="AW196" s="1927"/>
      <c r="AX196" s="1927"/>
      <c r="AY196" s="1927"/>
      <c r="AZ196" s="1927"/>
      <c r="BA196" s="1927"/>
      <c r="BB196" s="1927"/>
      <c r="BC196" s="1928"/>
      <c r="BD196" s="1328"/>
      <c r="BE196" s="1328"/>
      <c r="BF196" s="1023" t="s">
        <v>868</v>
      </c>
    </row>
    <row s="1656" customFormat="1" customHeight="1" ht="11.25" hidden="1">
      <c r="A197" s="472"/>
      <c r="B197" s="664"/>
      <c r="C197" s="472"/>
      <c r="D197" s="472"/>
      <c r="E197" s="666" t="s">
        <v>384</v>
      </c>
      <c r="F197" s="1194" cm="1" t="str">
        <f t="array" ref="F197:F197">OFFSET(E197,-1,1)</f>
        <v>1</v>
      </c>
      <c r="G197" s="472"/>
      <c r="H197" s="472"/>
      <c r="I197" s="472"/>
      <c r="J197" s="472"/>
      <c r="K197" s="94"/>
      <c r="L197" s="472"/>
      <c r="M197" s="472"/>
      <c r="N197" s="472"/>
      <c r="O197" s="472"/>
      <c r="P197" s="472"/>
      <c r="Q197" s="472"/>
      <c r="R197" s="417"/>
      <c r="S197" s="417"/>
      <c r="T197" s="468" t="b">
        <v>0</v>
      </c>
      <c r="U197" s="472"/>
      <c r="V197" s="472"/>
      <c r="W197" s="472"/>
      <c r="X197" s="1539"/>
      <c r="Y197" s="1528"/>
      <c r="Z197" s="472"/>
      <c r="AA197" s="472"/>
      <c r="AB197" s="1656"/>
      <c r="AC197" s="96"/>
      <c r="AD197" s="96"/>
      <c r="AE197" s="340"/>
      <c r="AF197" s="340"/>
      <c r="AG197" s="340"/>
      <c r="AH197" s="340"/>
      <c r="AI197" s="340"/>
      <c r="AJ197" s="341"/>
      <c r="AK197" s="340"/>
      <c r="AL197" s="340"/>
      <c r="AM197" s="340"/>
      <c r="AN197" s="340"/>
      <c r="AO197" s="340"/>
      <c r="AP197" s="340"/>
      <c r="AQ197" s="340"/>
      <c r="AR197" s="340"/>
      <c r="AS197" s="340"/>
      <c r="AT197" s="340"/>
      <c r="AU197" s="340"/>
      <c r="AV197" s="340"/>
      <c r="AW197" s="340"/>
      <c r="AX197" s="340"/>
      <c r="AY197" s="340"/>
      <c r="AZ197" s="340"/>
      <c r="BA197" s="340"/>
      <c r="BB197" s="340"/>
      <c r="BC197" s="1656"/>
      <c r="BD197" s="1656"/>
      <c r="BE197" s="1656"/>
      <c r="BF197" s="1027"/>
    </row>
    <row s="1656" customFormat="1" customHeight="1" ht="12.75" hidden="1">
      <c r="A198" s="1328"/>
      <c r="B198" s="1186"/>
      <c r="C198" s="1328"/>
      <c r="D198" s="1328"/>
      <c r="E198" s="637">
        <v>15</v>
      </c>
      <c r="F198" s="50" cm="1" t="str">
        <f t="array" ref="F198:F198">OFFSET(E198,-1,1)</f>
        <v>1</v>
      </c>
      <c r="G198" s="1328"/>
      <c r="H198" s="1328"/>
      <c r="I198" s="1328"/>
      <c r="J198" s="1328"/>
      <c r="K198" s="1328"/>
      <c r="L198" s="1328"/>
      <c r="M198" s="1328"/>
      <c r="N198" s="1328"/>
      <c r="O198" s="1328"/>
      <c r="P198" s="1308"/>
      <c r="Q198" s="1308"/>
      <c r="R198" s="417" cm="1" t="str">
        <f t="array" ref="R198:R198">INDEX('Общие сведения'!$AN$197:$AN$254,MATCH($X118,'Общие сведения'!$Z$197:$Z$254,0))</f>
        <v>false</v>
      </c>
      <c r="S198" s="485">
        <f>IF(ISERROR(SEARCH("Водоотведение",AB118)),FALSE,TRUE)</f>
        <v>0</v>
      </c>
      <c r="T198" s="468">
        <f>AND(X118&gt;0,S198,R198)</f>
        <v>0</v>
      </c>
      <c r="U198" s="1308"/>
      <c r="V198" s="1328"/>
      <c r="W198" s="1308"/>
      <c r="X198" s="1539"/>
      <c r="Y198" s="1528"/>
      <c r="Z198" s="1328"/>
      <c r="AA198" s="1328"/>
      <c r="AB198" s="236" t="s">
        <v>290</v>
      </c>
      <c r="AC198" s="83" t="s">
        <v>808</v>
      </c>
      <c r="AD198" s="193"/>
      <c r="AE198" s="574" cm="1" t="str">
        <f t="array" ref="AE198:AE198">INDEX('Общие сведения'!$AH$197:$AH$254,MATCH($X118,'Общие сведения'!$Z$197:$Z$254,0))</f>
        <v>питьевая вода</v>
      </c>
      <c r="AF198" s="358"/>
      <c r="AG198" s="358"/>
      <c r="AH198" s="358"/>
      <c r="AI198" s="358"/>
      <c r="AJ198" s="358"/>
      <c r="AK198" s="358"/>
      <c r="AL198" s="358"/>
      <c r="AM198" s="358"/>
      <c r="AN198" s="358"/>
      <c r="AO198" s="358"/>
      <c r="AP198" s="358"/>
      <c r="AQ198" s="358"/>
      <c r="AR198" s="358"/>
      <c r="AS198" s="358"/>
      <c r="AT198" s="358"/>
      <c r="AU198" s="358"/>
      <c r="AV198" s="358"/>
      <c r="AW198" s="358"/>
      <c r="AX198" s="358"/>
      <c r="AY198" s="358"/>
      <c r="AZ198" s="358"/>
      <c r="BA198" s="358"/>
      <c r="BB198" s="359"/>
      <c r="BC198" s="1928"/>
      <c r="BD198" s="1328"/>
      <c r="BE198" s="1328"/>
      <c r="BF198" s="1023" t="s">
        <v>869</v>
      </c>
    </row>
    <row s="1656" customFormat="1" customHeight="1" ht="12.75" hidden="1">
      <c r="A199" s="1328"/>
      <c r="B199" s="1186"/>
      <c r="C199" s="1328"/>
      <c r="D199" s="1328"/>
      <c r="E199" s="637">
        <v>15</v>
      </c>
      <c r="F199" s="50" cm="1" t="str">
        <f t="array" ref="F199:F199">OFFSET(E199,-1,1)</f>
        <v>1</v>
      </c>
      <c r="G199" s="1328"/>
      <c r="H199" s="94" t="s">
        <v>348</v>
      </c>
      <c r="I199" s="1328"/>
      <c r="J199" s="1328"/>
      <c r="K199" s="1328"/>
      <c r="L199" s="1328"/>
      <c r="M199" s="1328"/>
      <c r="N199" s="1328"/>
      <c r="O199" s="1328"/>
      <c r="P199" s="1308"/>
      <c r="Q199" s="1308"/>
      <c r="R199" s="1308"/>
      <c r="S199" s="1308"/>
      <c r="T199" s="468" cm="1" t="str">
        <f t="array" ref="T199:T199">T198</f>
        <v>false</v>
      </c>
      <c r="U199" s="1308"/>
      <c r="V199" s="1328"/>
      <c r="W199" s="1308"/>
      <c r="X199" s="1539"/>
      <c r="Y199" s="1528"/>
      <c r="Z199" s="1328"/>
      <c r="AA199" s="1328"/>
      <c r="AB199" s="236" t="s">
        <v>299</v>
      </c>
      <c r="AC199" s="337" t="s">
        <v>870</v>
      </c>
      <c r="AD199" s="89" t="s">
        <v>657</v>
      </c>
      <c r="AE199" s="342">
        <f>AE200+AE202+AE201</f>
        <v>0</v>
      </c>
      <c r="AF199" s="342">
        <f>AF200+AF202+AF201</f>
        <v>0</v>
      </c>
      <c r="AG199" s="342">
        <f>AG200+AG202+AG201</f>
        <v>0</v>
      </c>
      <c r="AH199" s="342">
        <f>AH200+AH202+AH201</f>
        <v>0</v>
      </c>
      <c r="AI199" s="342">
        <f>AI200+AI202+AI201</f>
        <v>0</v>
      </c>
      <c r="AJ199" s="342">
        <f>AJ200+AJ202+AJ201</f>
        <v>0</v>
      </c>
      <c r="AK199" s="342">
        <f>AK200+AK202+AK201</f>
        <v>0</v>
      </c>
      <c r="AL199" s="342">
        <f>AL200+AL202+AL201</f>
        <v>0</v>
      </c>
      <c r="AM199" s="342">
        <f>AM200+AM202+AM201</f>
        <v>0</v>
      </c>
      <c r="AN199" s="342">
        <f>AN200+AN202+AN201</f>
        <v>0</v>
      </c>
      <c r="AO199" s="342">
        <f>AO200+AO202+AO201</f>
        <v>0</v>
      </c>
      <c r="AP199" s="342">
        <f>AP200+AP202+AP201</f>
        <v>0</v>
      </c>
      <c r="AQ199" s="342">
        <f>AQ200+AQ202+AQ201</f>
        <v>0</v>
      </c>
      <c r="AR199" s="342">
        <f>AR200+AR202+AR201</f>
        <v>0</v>
      </c>
      <c r="AS199" s="342">
        <f>AS200+AS202+AS201</f>
        <v>0</v>
      </c>
      <c r="AT199" s="342">
        <f>AT200+AT202+AT201</f>
        <v>0</v>
      </c>
      <c r="AU199" s="342">
        <f>AU200+AU202+AU201</f>
        <v>0</v>
      </c>
      <c r="AV199" s="342">
        <f>AV200+AV202+AV201</f>
        <v>0</v>
      </c>
      <c r="AW199" s="342">
        <f>AW200+AW202+AW201</f>
        <v>0</v>
      </c>
      <c r="AX199" s="342">
        <f>AX200+AX202+AX201</f>
        <v>0</v>
      </c>
      <c r="AY199" s="342">
        <f>AY200+AY202+AY201</f>
        <v>0</v>
      </c>
      <c r="AZ199" s="342">
        <f>AZ200+AZ202+AZ201</f>
        <v>0</v>
      </c>
      <c r="BA199" s="342">
        <f>BA200+BA202+BA201</f>
        <v>0</v>
      </c>
      <c r="BB199" s="342">
        <f>BB200+BB202+BB201</f>
        <v>0</v>
      </c>
      <c r="BC199" s="1928"/>
      <c r="BD199" s="1328"/>
      <c r="BE199" s="1328"/>
      <c r="BF199" s="1023" t="s">
        <v>871</v>
      </c>
    </row>
    <row s="1656" customFormat="1" customHeight="1" ht="12.75" hidden="1">
      <c r="A200" s="1328"/>
      <c r="B200" s="1186"/>
      <c r="C200" s="1328"/>
      <c r="D200" s="1328"/>
      <c r="E200" s="637">
        <v>15</v>
      </c>
      <c r="F200" s="50" cm="1" t="str">
        <f t="array" ref="F200:F200">OFFSET(E200,-1,1)</f>
        <v>1</v>
      </c>
      <c r="G200" s="1328"/>
      <c r="H200" s="94" t="s">
        <v>659</v>
      </c>
      <c r="I200" s="1328"/>
      <c r="J200" s="1328"/>
      <c r="K200" s="1328"/>
      <c r="L200" s="1328"/>
      <c r="M200" s="1328"/>
      <c r="N200" s="1328"/>
      <c r="O200" s="1328"/>
      <c r="P200" s="1308"/>
      <c r="Q200" s="1308"/>
      <c r="R200" s="1308"/>
      <c r="S200" s="1308"/>
      <c r="T200" s="468" cm="1" t="str">
        <f t="array" ref="T200:T200">T199</f>
        <v>false</v>
      </c>
      <c r="U200" s="1308"/>
      <c r="V200" s="1328"/>
      <c r="W200" s="1308"/>
      <c r="X200" s="1539"/>
      <c r="Y200" s="1528"/>
      <c r="Z200" s="1328"/>
      <c r="AA200" s="1328"/>
      <c r="AB200" s="236" t="s">
        <v>660</v>
      </c>
      <c r="AC200" s="210" t="s">
        <v>872</v>
      </c>
      <c r="AD200" s="89" t="s">
        <v>657</v>
      </c>
      <c r="AE200" s="1971"/>
      <c r="AF200" s="1971"/>
      <c r="AG200" s="1971"/>
      <c r="AH200" s="1971"/>
      <c r="AI200" s="1971"/>
      <c r="AJ200" s="1971"/>
      <c r="AK200" s="1971"/>
      <c r="AL200" s="1971"/>
      <c r="AM200" s="1971"/>
      <c r="AN200" s="1971"/>
      <c r="AO200" s="1971"/>
      <c r="AP200" s="1971"/>
      <c r="AQ200" s="1971"/>
      <c r="AR200" s="1971"/>
      <c r="AS200" s="1971"/>
      <c r="AT200" s="1971"/>
      <c r="AU200" s="1971"/>
      <c r="AV200" s="1971"/>
      <c r="AW200" s="1971"/>
      <c r="AX200" s="1971"/>
      <c r="AY200" s="1971"/>
      <c r="AZ200" s="1971"/>
      <c r="BA200" s="1971"/>
      <c r="BB200" s="1971"/>
      <c r="BC200" s="1928"/>
      <c r="BD200" s="1328"/>
      <c r="BE200" s="1328"/>
      <c r="BF200" s="1023" t="s">
        <v>873</v>
      </c>
    </row>
    <row s="1656" customFormat="1" customHeight="1" ht="12.75" hidden="1">
      <c r="A201" s="1328"/>
      <c r="B201" s="1186"/>
      <c r="C201" s="1328"/>
      <c r="D201" s="1328"/>
      <c r="E201" s="637">
        <v>15</v>
      </c>
      <c r="F201" s="50" cm="1" t="str">
        <f t="array" ref="F201:F201">OFFSET(E201,-1,1)</f>
        <v>1</v>
      </c>
      <c r="G201" s="1328"/>
      <c r="H201" s="94" t="s">
        <v>663</v>
      </c>
      <c r="I201" s="1328"/>
      <c r="J201" s="1328"/>
      <c r="K201" s="1328"/>
      <c r="L201" s="1328"/>
      <c r="M201" s="1328"/>
      <c r="N201" s="1328"/>
      <c r="O201" s="1328"/>
      <c r="P201" s="1308"/>
      <c r="Q201" s="1308"/>
      <c r="R201" s="1308"/>
      <c r="S201" s="1308"/>
      <c r="T201" s="468" cm="1" t="str">
        <f t="array" ref="T201:T201">T200</f>
        <v>false</v>
      </c>
      <c r="U201" s="1308"/>
      <c r="V201" s="1328"/>
      <c r="W201" s="1308"/>
      <c r="X201" s="1539"/>
      <c r="Y201" s="1528"/>
      <c r="Z201" s="1328"/>
      <c r="AA201" s="1328"/>
      <c r="AB201" s="236" t="s">
        <v>664</v>
      </c>
      <c r="AC201" s="210" t="s">
        <v>874</v>
      </c>
      <c r="AD201" s="89" t="s">
        <v>657</v>
      </c>
      <c r="AE201" s="1971"/>
      <c r="AF201" s="1971"/>
      <c r="AG201" s="1971"/>
      <c r="AH201" s="1971"/>
      <c r="AI201" s="1971"/>
      <c r="AJ201" s="1971"/>
      <c r="AK201" s="1971"/>
      <c r="AL201" s="1971"/>
      <c r="AM201" s="1971"/>
      <c r="AN201" s="1971"/>
      <c r="AO201" s="1971"/>
      <c r="AP201" s="1971"/>
      <c r="AQ201" s="1971"/>
      <c r="AR201" s="1971"/>
      <c r="AS201" s="1971"/>
      <c r="AT201" s="1971"/>
      <c r="AU201" s="1971"/>
      <c r="AV201" s="1971"/>
      <c r="AW201" s="1971"/>
      <c r="AX201" s="1971"/>
      <c r="AY201" s="1971"/>
      <c r="AZ201" s="1971"/>
      <c r="BA201" s="1971"/>
      <c r="BB201" s="1971"/>
      <c r="BC201" s="1928"/>
      <c r="BD201" s="1328"/>
      <c r="BE201" s="1328"/>
      <c r="BF201" s="1023" t="s">
        <v>875</v>
      </c>
    </row>
    <row s="1656" customFormat="1" customHeight="1" ht="23.25" hidden="1">
      <c r="A202" s="1328"/>
      <c r="B202" s="1186"/>
      <c r="C202" s="1328"/>
      <c r="D202" s="1328"/>
      <c r="E202" s="637">
        <v>22.5</v>
      </c>
      <c r="F202" s="50" cm="1" t="str">
        <f t="array" ref="F202:F202">OFFSET(E202,-1,1)</f>
        <v>1</v>
      </c>
      <c r="G202" s="1328"/>
      <c r="H202" s="94" t="s">
        <v>667</v>
      </c>
      <c r="I202" s="1328"/>
      <c r="J202" s="1328"/>
      <c r="K202" s="1328"/>
      <c r="L202" s="1328"/>
      <c r="M202" s="1328"/>
      <c r="N202" s="1328"/>
      <c r="O202" s="1328"/>
      <c r="P202" s="1308"/>
      <c r="Q202" s="1308"/>
      <c r="R202" s="1308"/>
      <c r="S202" s="1308"/>
      <c r="T202" s="468" cm="1" t="str">
        <f t="array" ref="T202:T202">T201</f>
        <v>false</v>
      </c>
      <c r="U202" s="1308"/>
      <c r="V202" s="1328"/>
      <c r="W202" s="1308"/>
      <c r="X202" s="1539"/>
      <c r="Y202" s="1528"/>
      <c r="Z202" s="1328"/>
      <c r="AA202" s="1328"/>
      <c r="AB202" s="236" t="s">
        <v>668</v>
      </c>
      <c r="AC202" s="210" t="s">
        <v>776</v>
      </c>
      <c r="AD202" s="89" t="s">
        <v>657</v>
      </c>
      <c r="AE202" s="1971"/>
      <c r="AF202" s="1971"/>
      <c r="AG202" s="1971"/>
      <c r="AH202" s="1971"/>
      <c r="AI202" s="1971"/>
      <c r="AJ202" s="1971"/>
      <c r="AK202" s="1971"/>
      <c r="AL202" s="1971"/>
      <c r="AM202" s="1971"/>
      <c r="AN202" s="1971"/>
      <c r="AO202" s="1971"/>
      <c r="AP202" s="1971"/>
      <c r="AQ202" s="1971"/>
      <c r="AR202" s="1971"/>
      <c r="AS202" s="1971"/>
      <c r="AT202" s="1971"/>
      <c r="AU202" s="1971"/>
      <c r="AV202" s="1971"/>
      <c r="AW202" s="1971"/>
      <c r="AX202" s="1971"/>
      <c r="AY202" s="1971"/>
      <c r="AZ202" s="1971"/>
      <c r="BA202" s="1971"/>
      <c r="BB202" s="1971"/>
      <c r="BC202" s="1928"/>
      <c r="BD202" s="1328"/>
      <c r="BE202" s="1328"/>
      <c r="BF202" s="1023" t="s">
        <v>876</v>
      </c>
    </row>
    <row s="1656" customFormat="1" customHeight="1" ht="23.25" hidden="1">
      <c r="A203" s="1328"/>
      <c r="B203" s="1186"/>
      <c r="C203" s="1328"/>
      <c r="D203" s="1328"/>
      <c r="E203" s="637">
        <v>22.5</v>
      </c>
      <c r="F203" s="50" cm="1" t="str">
        <f t="array" ref="F203:F203">OFFSET(E203,-1,1)</f>
        <v>1</v>
      </c>
      <c r="G203" s="94" t="s">
        <v>726</v>
      </c>
      <c r="H203" s="94" t="s">
        <v>347</v>
      </c>
      <c r="I203" s="1328"/>
      <c r="J203" s="1328"/>
      <c r="K203" s="1328"/>
      <c r="L203" s="1328"/>
      <c r="M203" s="1328"/>
      <c r="N203" s="1328"/>
      <c r="O203" s="1328"/>
      <c r="P203" s="1308"/>
      <c r="Q203" s="1308"/>
      <c r="R203" s="1308"/>
      <c r="S203" s="1308"/>
      <c r="T203" s="468" cm="1" t="str">
        <f t="array" ref="T203:T203">T202</f>
        <v>false</v>
      </c>
      <c r="U203" s="1308"/>
      <c r="V203" s="1328"/>
      <c r="W203" s="1308"/>
      <c r="X203" s="1539"/>
      <c r="Y203" s="1528"/>
      <c r="Z203" s="1328"/>
      <c r="AA203" s="1328"/>
      <c r="AB203" s="236" t="s">
        <v>234</v>
      </c>
      <c r="AC203" s="337" t="s">
        <v>877</v>
      </c>
      <c r="AD203" s="89" t="s">
        <v>657</v>
      </c>
      <c r="AE203" s="342">
        <f>AE204+AE205+AE208</f>
        <v>0</v>
      </c>
      <c r="AF203" s="342">
        <f>AF204+AF205+AF208</f>
        <v>0</v>
      </c>
      <c r="AG203" s="342">
        <f>AG204+AG205+AG208</f>
        <v>0</v>
      </c>
      <c r="AH203" s="342">
        <f>AH204+AH205+AH208</f>
        <v>0</v>
      </c>
      <c r="AI203" s="342">
        <f>AI204+AI205+AI208</f>
        <v>0</v>
      </c>
      <c r="AJ203" s="342">
        <f>AJ204+AJ205+AJ208</f>
        <v>0</v>
      </c>
      <c r="AK203" s="342">
        <f>AK204+AK205+AK208</f>
        <v>0</v>
      </c>
      <c r="AL203" s="342">
        <f>AL204+AL205+AL208</f>
        <v>0</v>
      </c>
      <c r="AM203" s="342">
        <f>AM204+AM205+AM208</f>
        <v>0</v>
      </c>
      <c r="AN203" s="342">
        <f>AN204+AN205+AN208</f>
        <v>0</v>
      </c>
      <c r="AO203" s="342">
        <f>AO204+AO205+AO208</f>
        <v>0</v>
      </c>
      <c r="AP203" s="342">
        <f>AP204+AP205+AP208</f>
        <v>0</v>
      </c>
      <c r="AQ203" s="342">
        <f>AQ204+AQ205+AQ208</f>
        <v>0</v>
      </c>
      <c r="AR203" s="342">
        <f>AR204+AR205+AR208</f>
        <v>0</v>
      </c>
      <c r="AS203" s="342">
        <f>AS204+AS205+AS208</f>
        <v>0</v>
      </c>
      <c r="AT203" s="342">
        <f>AT204+AT205+AT208</f>
        <v>0</v>
      </c>
      <c r="AU203" s="342">
        <f>AU204+AU205+AU208</f>
        <v>0</v>
      </c>
      <c r="AV203" s="342">
        <f>AV204+AV205+AV208</f>
        <v>0</v>
      </c>
      <c r="AW203" s="342">
        <f>AW204+AW205+AW208</f>
        <v>0</v>
      </c>
      <c r="AX203" s="342">
        <f>AX204+AX205+AX208</f>
        <v>0</v>
      </c>
      <c r="AY203" s="342">
        <f>AY204+AY205+AY208</f>
        <v>0</v>
      </c>
      <c r="AZ203" s="342">
        <f>AZ204+AZ205+AZ208</f>
        <v>0</v>
      </c>
      <c r="BA203" s="342">
        <f>BA204+BA205+BA208</f>
        <v>0</v>
      </c>
      <c r="BB203" s="342">
        <f>BB204+BB205+BB208</f>
        <v>0</v>
      </c>
      <c r="BC203" s="1928"/>
      <c r="BD203" s="1328"/>
      <c r="BE203" s="1328"/>
      <c r="BF203" s="1023" t="s">
        <v>878</v>
      </c>
    </row>
    <row s="1656" customFormat="1" customHeight="1" ht="12.75" hidden="1">
      <c r="A204" s="1328"/>
      <c r="B204" s="1186"/>
      <c r="C204" s="1328"/>
      <c r="D204" s="1328"/>
      <c r="E204" s="637">
        <v>15</v>
      </c>
      <c r="F204" s="50" cm="1" t="str">
        <f t="array" ref="F204:F204">OFFSET(E204,-1,1)</f>
        <v>1</v>
      </c>
      <c r="G204" s="1328"/>
      <c r="H204" s="94" t="s">
        <v>673</v>
      </c>
      <c r="I204" s="1328"/>
      <c r="J204" s="1328"/>
      <c r="K204" s="1328"/>
      <c r="L204" s="1328"/>
      <c r="M204" s="1328"/>
      <c r="N204" s="1328"/>
      <c r="O204" s="1328"/>
      <c r="P204" s="1308"/>
      <c r="Q204" s="1308"/>
      <c r="R204" s="1308"/>
      <c r="S204" s="1308"/>
      <c r="T204" s="468" cm="1" t="str">
        <f t="array" ref="T204:T204">T203</f>
        <v>false</v>
      </c>
      <c r="U204" s="1308"/>
      <c r="V204" s="1328"/>
      <c r="W204" s="1308"/>
      <c r="X204" s="1539"/>
      <c r="Y204" s="1528"/>
      <c r="Z204" s="1328"/>
      <c r="AA204" s="1328"/>
      <c r="AB204" s="236" t="s">
        <v>674</v>
      </c>
      <c r="AC204" s="210" t="s">
        <v>879</v>
      </c>
      <c r="AD204" s="89" t="s">
        <v>657</v>
      </c>
      <c r="AE204" s="1971"/>
      <c r="AF204" s="1971"/>
      <c r="AG204" s="1971"/>
      <c r="AH204" s="1971"/>
      <c r="AI204" s="1971"/>
      <c r="AJ204" s="1971"/>
      <c r="AK204" s="1971"/>
      <c r="AL204" s="1971"/>
      <c r="AM204" s="1971"/>
      <c r="AN204" s="1971"/>
      <c r="AO204" s="1971"/>
      <c r="AP204" s="1971"/>
      <c r="AQ204" s="1971"/>
      <c r="AR204" s="1971"/>
      <c r="AS204" s="1971"/>
      <c r="AT204" s="1971"/>
      <c r="AU204" s="1971"/>
      <c r="AV204" s="1971"/>
      <c r="AW204" s="1971"/>
      <c r="AX204" s="1971"/>
      <c r="AY204" s="1971"/>
      <c r="AZ204" s="1971"/>
      <c r="BA204" s="1971"/>
      <c r="BB204" s="1971"/>
      <c r="BC204" s="1928"/>
      <c r="BD204" s="1328"/>
      <c r="BE204" s="1328"/>
      <c r="BF204" s="1023" t="s">
        <v>880</v>
      </c>
    </row>
    <row s="1656" customFormat="1" customHeight="1" ht="12.75" hidden="1">
      <c r="A205" s="1328"/>
      <c r="B205" s="1186"/>
      <c r="C205" s="1328"/>
      <c r="D205" s="1328"/>
      <c r="E205" s="637">
        <v>15</v>
      </c>
      <c r="F205" s="50" cm="1" t="str">
        <f t="array" ref="F205:F205">OFFSET(E205,-1,1)</f>
        <v>1</v>
      </c>
      <c r="G205" s="1328"/>
      <c r="H205" s="94" t="s">
        <v>677</v>
      </c>
      <c r="I205" s="1328"/>
      <c r="J205" s="1328"/>
      <c r="K205" s="1328"/>
      <c r="L205" s="1328"/>
      <c r="M205" s="1328"/>
      <c r="N205" s="1328"/>
      <c r="O205" s="1328"/>
      <c r="P205" s="1308"/>
      <c r="Q205" s="1308"/>
      <c r="R205" s="1308"/>
      <c r="S205" s="1308"/>
      <c r="T205" s="468" cm="1" t="str">
        <f t="array" ref="T205:T205">T204</f>
        <v>false</v>
      </c>
      <c r="U205" s="1308"/>
      <c r="V205" s="1328"/>
      <c r="W205" s="1308"/>
      <c r="X205" s="1539"/>
      <c r="Y205" s="1528"/>
      <c r="Z205" s="1328"/>
      <c r="AA205" s="1328"/>
      <c r="AB205" s="236" t="s">
        <v>678</v>
      </c>
      <c r="AC205" s="338" t="s">
        <v>881</v>
      </c>
      <c r="AD205" s="89" t="s">
        <v>657</v>
      </c>
      <c r="AE205" s="342">
        <f>AE206+AE207</f>
        <v>0</v>
      </c>
      <c r="AF205" s="342">
        <f>AF206+AF207</f>
        <v>0</v>
      </c>
      <c r="AG205" s="342">
        <f>AG206+AG207</f>
        <v>0</v>
      </c>
      <c r="AH205" s="342">
        <f>AH206+AH207</f>
        <v>0</v>
      </c>
      <c r="AI205" s="342">
        <f>AI206+AI207</f>
        <v>0</v>
      </c>
      <c r="AJ205" s="342">
        <f>AJ206+AJ207</f>
        <v>0</v>
      </c>
      <c r="AK205" s="342">
        <f>AK206+AK207</f>
        <v>0</v>
      </c>
      <c r="AL205" s="342">
        <f>AL206+AL207</f>
        <v>0</v>
      </c>
      <c r="AM205" s="342">
        <f>AM206+AM207</f>
        <v>0</v>
      </c>
      <c r="AN205" s="342">
        <f>AN206+AN207</f>
        <v>0</v>
      </c>
      <c r="AO205" s="342">
        <f>AO206+AO207</f>
        <v>0</v>
      </c>
      <c r="AP205" s="342">
        <f>AP206+AP207</f>
        <v>0</v>
      </c>
      <c r="AQ205" s="342">
        <f>AQ206+AQ207</f>
        <v>0</v>
      </c>
      <c r="AR205" s="342">
        <f>AR206+AR207</f>
        <v>0</v>
      </c>
      <c r="AS205" s="342">
        <f>AS206+AS207</f>
        <v>0</v>
      </c>
      <c r="AT205" s="342">
        <f>AT206+AT207</f>
        <v>0</v>
      </c>
      <c r="AU205" s="342">
        <f>AU206+AU207</f>
        <v>0</v>
      </c>
      <c r="AV205" s="342">
        <f>AV206+AV207</f>
        <v>0</v>
      </c>
      <c r="AW205" s="342">
        <f>AW206+AW207</f>
        <v>0</v>
      </c>
      <c r="AX205" s="342">
        <f>AX206+AX207</f>
        <v>0</v>
      </c>
      <c r="AY205" s="342">
        <f>AY206+AY207</f>
        <v>0</v>
      </c>
      <c r="AZ205" s="342">
        <f>AZ206+AZ207</f>
        <v>0</v>
      </c>
      <c r="BA205" s="342">
        <f>BA206+BA207</f>
        <v>0</v>
      </c>
      <c r="BB205" s="342">
        <f>BB206+BB207</f>
        <v>0</v>
      </c>
      <c r="BC205" s="1928"/>
      <c r="BD205" s="1328"/>
      <c r="BE205" s="1328"/>
      <c r="BF205" s="1023" t="s">
        <v>882</v>
      </c>
    </row>
    <row s="1656" customFormat="1" customHeight="1" ht="12.75" hidden="1">
      <c r="A206" s="1328"/>
      <c r="B206" s="1186"/>
      <c r="C206" s="1328"/>
      <c r="D206" s="1328"/>
      <c r="E206" s="637">
        <v>15</v>
      </c>
      <c r="F206" s="50" cm="1" t="str">
        <f t="array" ref="F206:F206">OFFSET(E206,-1,1)</f>
        <v>1</v>
      </c>
      <c r="G206" s="1328"/>
      <c r="H206" s="94" t="s">
        <v>883</v>
      </c>
      <c r="I206" s="1328"/>
      <c r="J206" s="1328"/>
      <c r="K206" s="1328"/>
      <c r="L206" s="1328"/>
      <c r="M206" s="1328"/>
      <c r="N206" s="1328"/>
      <c r="O206" s="1328"/>
      <c r="P206" s="1308"/>
      <c r="Q206" s="1308"/>
      <c r="R206" s="1308"/>
      <c r="S206" s="1308"/>
      <c r="T206" s="468" cm="1" t="str">
        <f t="array" ref="T206:T206">T205</f>
        <v>false</v>
      </c>
      <c r="U206" s="1308"/>
      <c r="V206" s="1328"/>
      <c r="W206" s="1308"/>
      <c r="X206" s="1539"/>
      <c r="Y206" s="1528"/>
      <c r="Z206" s="1328"/>
      <c r="AA206" s="1328"/>
      <c r="AB206" s="236" t="s">
        <v>884</v>
      </c>
      <c r="AC206" s="339" t="s">
        <v>733</v>
      </c>
      <c r="AD206" s="89" t="s">
        <v>657</v>
      </c>
      <c r="AE206" s="1971"/>
      <c r="AF206" s="1971"/>
      <c r="AG206" s="1971"/>
      <c r="AH206" s="1971"/>
      <c r="AI206" s="1971"/>
      <c r="AJ206" s="1971"/>
      <c r="AK206" s="1971"/>
      <c r="AL206" s="1971"/>
      <c r="AM206" s="1971"/>
      <c r="AN206" s="1971"/>
      <c r="AO206" s="1971"/>
      <c r="AP206" s="1971"/>
      <c r="AQ206" s="1971"/>
      <c r="AR206" s="1971"/>
      <c r="AS206" s="1971"/>
      <c r="AT206" s="1971"/>
      <c r="AU206" s="1971"/>
      <c r="AV206" s="1971"/>
      <c r="AW206" s="1971"/>
      <c r="AX206" s="1971"/>
      <c r="AY206" s="1971"/>
      <c r="AZ206" s="1971"/>
      <c r="BA206" s="1971"/>
      <c r="BB206" s="1971"/>
      <c r="BC206" s="1928"/>
      <c r="BD206" s="1328"/>
      <c r="BE206" s="1328"/>
      <c r="BF206" s="1023" t="s">
        <v>885</v>
      </c>
    </row>
    <row s="1656" customFormat="1" customHeight="1" ht="12.75" hidden="1">
      <c r="A207" s="1328"/>
      <c r="B207" s="1186"/>
      <c r="C207" s="1328"/>
      <c r="D207" s="1328"/>
      <c r="E207" s="637">
        <v>15</v>
      </c>
      <c r="F207" s="50" cm="1" t="str">
        <f t="array" ref="F207:F207">OFFSET(E207,-1,1)</f>
        <v>1</v>
      </c>
      <c r="G207" s="1328"/>
      <c r="H207" s="94" t="s">
        <v>886</v>
      </c>
      <c r="I207" s="1328"/>
      <c r="J207" s="1328"/>
      <c r="K207" s="1328"/>
      <c r="L207" s="1328"/>
      <c r="M207" s="1328"/>
      <c r="N207" s="1328"/>
      <c r="O207" s="1328"/>
      <c r="P207" s="1308"/>
      <c r="Q207" s="1308"/>
      <c r="R207" s="1308"/>
      <c r="S207" s="1308"/>
      <c r="T207" s="468" cm="1" t="str">
        <f t="array" ref="T207:T207">T206</f>
        <v>false</v>
      </c>
      <c r="U207" s="1308"/>
      <c r="V207" s="1328"/>
      <c r="W207" s="1308"/>
      <c r="X207" s="1539"/>
      <c r="Y207" s="1528"/>
      <c r="Z207" s="1328"/>
      <c r="AA207" s="1328"/>
      <c r="AB207" s="236" t="s">
        <v>887</v>
      </c>
      <c r="AC207" s="339" t="s">
        <v>737</v>
      </c>
      <c r="AD207" s="89" t="s">
        <v>657</v>
      </c>
      <c r="AE207" s="1971"/>
      <c r="AF207" s="1971"/>
      <c r="AG207" s="1971"/>
      <c r="AH207" s="1971"/>
      <c r="AI207" s="1971"/>
      <c r="AJ207" s="1971"/>
      <c r="AK207" s="1971"/>
      <c r="AL207" s="1971"/>
      <c r="AM207" s="1971"/>
      <c r="AN207" s="1971"/>
      <c r="AO207" s="1971"/>
      <c r="AP207" s="1971"/>
      <c r="AQ207" s="1971"/>
      <c r="AR207" s="1971"/>
      <c r="AS207" s="1971"/>
      <c r="AT207" s="1971"/>
      <c r="AU207" s="1971"/>
      <c r="AV207" s="1971"/>
      <c r="AW207" s="1971"/>
      <c r="AX207" s="1971"/>
      <c r="AY207" s="1971"/>
      <c r="AZ207" s="1971"/>
      <c r="BA207" s="1971"/>
      <c r="BB207" s="1971"/>
      <c r="BC207" s="1928"/>
      <c r="BD207" s="1328"/>
      <c r="BE207" s="1328"/>
      <c r="BF207" s="1023" t="s">
        <v>888</v>
      </c>
    </row>
    <row s="1656" customFormat="1" customHeight="1" ht="23.25" hidden="1">
      <c r="A208" s="1328"/>
      <c r="B208" s="1186"/>
      <c r="C208" s="1328"/>
      <c r="D208" s="1328"/>
      <c r="E208" s="637">
        <v>22.5</v>
      </c>
      <c r="F208" s="50" cm="1" t="str">
        <f t="array" ref="F208:F208">OFFSET(E208,-1,1)</f>
        <v>1</v>
      </c>
      <c r="G208" s="1328"/>
      <c r="H208" s="94" t="s">
        <v>889</v>
      </c>
      <c r="I208" s="1328"/>
      <c r="J208" s="1328"/>
      <c r="K208" s="1328"/>
      <c r="L208" s="1328"/>
      <c r="M208" s="1328"/>
      <c r="N208" s="1328"/>
      <c r="O208" s="1328"/>
      <c r="P208" s="1308"/>
      <c r="Q208" s="1308"/>
      <c r="R208" s="1308"/>
      <c r="S208" s="1308"/>
      <c r="T208" s="468" cm="1" t="str">
        <f t="array" ref="T208:T208">T207</f>
        <v>false</v>
      </c>
      <c r="U208" s="1308"/>
      <c r="V208" s="1328"/>
      <c r="W208" s="1308"/>
      <c r="X208" s="1539"/>
      <c r="Y208" s="1528"/>
      <c r="Z208" s="1328"/>
      <c r="AA208" s="1328"/>
      <c r="AB208" s="236" t="s">
        <v>890</v>
      </c>
      <c r="AC208" s="333" t="s">
        <v>698</v>
      </c>
      <c r="AD208" s="89" t="s">
        <v>657</v>
      </c>
      <c r="AE208" s="1927"/>
      <c r="AF208" s="1927"/>
      <c r="AG208" s="1927"/>
      <c r="AH208" s="1927"/>
      <c r="AI208" s="1927"/>
      <c r="AJ208" s="1927"/>
      <c r="AK208" s="1927"/>
      <c r="AL208" s="1927"/>
      <c r="AM208" s="1927"/>
      <c r="AN208" s="1927"/>
      <c r="AO208" s="1927"/>
      <c r="AP208" s="1927"/>
      <c r="AQ208" s="1927"/>
      <c r="AR208" s="1927"/>
      <c r="AS208" s="1927"/>
      <c r="AT208" s="1927"/>
      <c r="AU208" s="1927"/>
      <c r="AV208" s="1927"/>
      <c r="AW208" s="1927"/>
      <c r="AX208" s="1927"/>
      <c r="AY208" s="1927"/>
      <c r="AZ208" s="1927"/>
      <c r="BA208" s="1927"/>
      <c r="BB208" s="1927"/>
      <c r="BC208" s="1928"/>
      <c r="BD208" s="1328"/>
      <c r="BE208" s="1328"/>
      <c r="BF208" s="1023" t="s">
        <v>891</v>
      </c>
    </row>
    <row s="1656" customFormat="1" customHeight="1" ht="23.671875">
      <c r="A209" s="1328"/>
      <c r="B209" s="1186"/>
      <c r="C209" s="1328"/>
      <c r="D209" s="1328"/>
      <c r="E209" s="637">
        <v>15</v>
      </c>
      <c r="F209" s="345" cm="1" t="str">
        <f t="array" ref="F209:F209">X209</f>
        <v>2</v>
      </c>
      <c r="G209" s="1328"/>
      <c r="H209" s="1328"/>
      <c r="I209" s="1328"/>
      <c r="J209" s="1328"/>
      <c r="K209" s="1328"/>
      <c r="L209" s="1328"/>
      <c r="M209" s="1328"/>
      <c r="N209" s="1328"/>
      <c r="O209" s="1328"/>
      <c r="P209" s="1308"/>
      <c r="Q209" s="1308"/>
      <c r="R209" s="1308"/>
      <c r="S209" s="1308"/>
      <c r="T209" s="468">
        <f>X209&gt;0</f>
        <v>1</v>
      </c>
      <c r="U209" s="1308"/>
      <c r="V209" s="94" cm="1" t="str">
        <f t="array" ref="V209:V209">ИИКА!$AB$37</f>
        <v>Тариф 2 (Водоотведение) - тариф на водоотведение (Оказание услуг на территории: город Ленинск-Кузнецкий (ОКТМО: 32719000) - г Ленинск-Кузнецкий)</v>
      </c>
      <c r="W209" s="1308"/>
      <c r="X209" s="1539" t="s">
        <v>299</v>
      </c>
      <c r="Y209" s="1528"/>
      <c r="Z209" s="1328"/>
      <c r="AA209" s="1328"/>
      <c r="AB209" s="176" cm="1" t="str">
        <f t="array" ref="AB209:AB209">ИИКА!$AB$37</f>
        <v>Тариф 2 (Водоотведение) - тариф на водоотведение (Оказание услуг на территории: город Ленинск-Кузнецкий (ОКТМО: 32719000) - г Ленинск-Кузнецкий)</v>
      </c>
      <c r="AC209" s="176"/>
      <c r="AD209" s="176"/>
      <c r="AE209" s="176"/>
      <c r="AF209" s="176"/>
      <c r="AG209" s="176"/>
      <c r="AH209" s="176"/>
      <c r="AI209" s="176"/>
      <c r="AJ209" s="176"/>
      <c r="AK209" s="176"/>
      <c r="AL209" s="176"/>
      <c r="AM209" s="176"/>
      <c r="AN209" s="176"/>
      <c r="AO209" s="176"/>
      <c r="AP209" s="176"/>
      <c r="AQ209" s="176"/>
      <c r="AR209" s="176"/>
      <c r="AS209" s="176"/>
      <c r="AT209" s="176"/>
      <c r="AU209" s="176"/>
      <c r="AV209" s="176"/>
      <c r="AW209" s="176"/>
      <c r="AX209" s="176"/>
      <c r="AY209" s="176"/>
      <c r="AZ209" s="176"/>
      <c r="BA209" s="176"/>
      <c r="BB209" s="176"/>
      <c r="BC209" s="176"/>
      <c r="BD209" s="1328"/>
      <c r="BE209" s="1328"/>
      <c r="BF209" s="1330"/>
    </row>
    <row s="1656" customFormat="1" customHeight="1" ht="12.75" hidden="1">
      <c r="A210" s="1328"/>
      <c r="B210" s="1186"/>
      <c r="C210" s="1328"/>
      <c r="D210" s="1328"/>
      <c r="E210" s="637">
        <v>15</v>
      </c>
      <c r="F210" s="50" cm="1" t="str">
        <f t="array" ref="F210:F210">OFFSET(E210,-1,1)</f>
        <v>2</v>
      </c>
      <c r="G210" s="1328"/>
      <c r="H210" s="1328"/>
      <c r="I210" s="1328"/>
      <c r="J210" s="1328"/>
      <c r="K210" s="1328"/>
      <c r="L210" s="1328"/>
      <c r="M210" s="1328"/>
      <c r="N210" s="1328"/>
      <c r="O210" s="1328"/>
      <c r="P210" s="1308"/>
      <c r="Q210" s="1308"/>
      <c r="R210" s="417" cm="1" t="str">
        <f t="array" ref="R210:R210">INDEX('Общие сведения'!$AN$197:$AN$254,MATCH($X209,'Общие сведения'!$Z$197:$Z$254,0))</f>
        <v>false</v>
      </c>
      <c r="S210" s="417">
        <f>IF(ISERROR(SEARCH("Водоснабжение",AB209)),FALSE,TRUE)</f>
        <v>0</v>
      </c>
      <c r="T210" s="468">
        <f>AND(X209&gt;0,S210,NOT(R210))</f>
        <v>0</v>
      </c>
      <c r="U210" s="1308"/>
      <c r="V210" s="1328"/>
      <c r="W210" s="1308"/>
      <c r="X210" s="1539"/>
      <c r="Y210" s="1528"/>
      <c r="Z210" s="1328"/>
      <c r="AA210" s="1328"/>
      <c r="AB210" s="236" t="s">
        <v>290</v>
      </c>
      <c r="AC210" s="325" t="s">
        <v>654</v>
      </c>
      <c r="AD210" s="88"/>
      <c r="AE210" s="574" cm="1" t="str">
        <f t="array" ref="AE210:AE210">INDEX('Общие сведения'!$AH$197:$AH$254,MATCH($X209,'Общие сведения'!$Z$197:$Z$254,0))</f>
        <v>без дифференциации</v>
      </c>
      <c r="AF210" s="358"/>
      <c r="AG210" s="358"/>
      <c r="AH210" s="358"/>
      <c r="AI210" s="358"/>
      <c r="AJ210" s="358"/>
      <c r="AK210" s="358"/>
      <c r="AL210" s="358"/>
      <c r="AM210" s="358"/>
      <c r="AN210" s="358"/>
      <c r="AO210" s="358"/>
      <c r="AP210" s="358"/>
      <c r="AQ210" s="358"/>
      <c r="AR210" s="358"/>
      <c r="AS210" s="358"/>
      <c r="AT210" s="358"/>
      <c r="AU210" s="358"/>
      <c r="AV210" s="358"/>
      <c r="AW210" s="358"/>
      <c r="AX210" s="358"/>
      <c r="AY210" s="358"/>
      <c r="AZ210" s="358"/>
      <c r="BA210" s="358"/>
      <c r="BB210" s="359"/>
      <c r="BC210" s="1928"/>
      <c r="BD210" s="1328"/>
      <c r="BE210" s="1328"/>
      <c r="BF210" s="1023" t="s">
        <v>655</v>
      </c>
    </row>
    <row s="1656" customFormat="1" customHeight="1" ht="23.25" hidden="1">
      <c r="A211" s="1328"/>
      <c r="B211" s="1186"/>
      <c r="C211" s="1328"/>
      <c r="D211" s="1328"/>
      <c r="E211" s="637">
        <v>15</v>
      </c>
      <c r="F211" s="50" cm="1" t="str">
        <f t="array" ref="F211:F211">OFFSET(E211,-1,1)</f>
        <v>2</v>
      </c>
      <c r="G211" s="1328"/>
      <c r="H211" s="94" t="s">
        <v>348</v>
      </c>
      <c r="I211" s="1328"/>
      <c r="J211" s="1328"/>
      <c r="K211" s="1328"/>
      <c r="L211" s="1328"/>
      <c r="M211" s="1328"/>
      <c r="N211" s="1328"/>
      <c r="O211" s="1328"/>
      <c r="P211" s="1308"/>
      <c r="Q211" s="1308"/>
      <c r="R211" s="1308"/>
      <c r="S211" s="1308"/>
      <c r="T211" s="468" cm="1" t="str">
        <f t="array" ref="T211:T211">T210</f>
        <v>false</v>
      </c>
      <c r="U211" s="1308"/>
      <c r="V211" s="1328"/>
      <c r="W211" s="1308"/>
      <c r="X211" s="1539"/>
      <c r="Y211" s="1528"/>
      <c r="Z211" s="1328"/>
      <c r="AA211" s="1328"/>
      <c r="AB211" s="236" t="s">
        <v>299</v>
      </c>
      <c r="AC211" s="326" t="s">
        <v>656</v>
      </c>
      <c r="AD211" s="89" t="s">
        <v>657</v>
      </c>
      <c r="AE211" s="311">
        <f>AE220+AE215-AE218</f>
        <v>0</v>
      </c>
      <c r="AF211" s="311">
        <f>AF220+AF215-AF218</f>
        <v>0</v>
      </c>
      <c r="AG211" s="311">
        <f>AG220+AG215-AG218</f>
        <v>0</v>
      </c>
      <c r="AH211" s="311">
        <f>AH220+AH215-AH218</f>
        <v>0</v>
      </c>
      <c r="AI211" s="311">
        <f>AI220+AI215-AI218</f>
        <v>0</v>
      </c>
      <c r="AJ211" s="311">
        <f>AJ220+AJ215-AJ218</f>
        <v>0</v>
      </c>
      <c r="AK211" s="311">
        <f>AK220+AK215-AK218</f>
        <v>0</v>
      </c>
      <c r="AL211" s="311">
        <f>AL220+AL215-AL218</f>
        <v>0</v>
      </c>
      <c r="AM211" s="311">
        <f>AM220+AM215-AM218</f>
        <v>0</v>
      </c>
      <c r="AN211" s="311">
        <f>AN220+AN215-AN218</f>
        <v>0</v>
      </c>
      <c r="AO211" s="311">
        <f>AO220+AO215-AO218</f>
        <v>0</v>
      </c>
      <c r="AP211" s="311">
        <f>AP220+AP215-AP218</f>
        <v>0</v>
      </c>
      <c r="AQ211" s="311">
        <f>AQ220+AQ215-AQ218</f>
        <v>0</v>
      </c>
      <c r="AR211" s="311">
        <f>AR220+AR215-AR218</f>
        <v>0</v>
      </c>
      <c r="AS211" s="311">
        <f>AS220+AS215-AS218</f>
        <v>0</v>
      </c>
      <c r="AT211" s="311">
        <f>AT220+AT215-AT218</f>
        <v>0</v>
      </c>
      <c r="AU211" s="311">
        <f>AU220+AU215-AU218</f>
        <v>0</v>
      </c>
      <c r="AV211" s="311">
        <f>AV220+AV215-AV218</f>
        <v>0</v>
      </c>
      <c r="AW211" s="311">
        <f>AW220+AW215-AW218</f>
        <v>0</v>
      </c>
      <c r="AX211" s="311">
        <f>AX220+AX215-AX218</f>
        <v>0</v>
      </c>
      <c r="AY211" s="311">
        <f>AY220+AY215-AY218</f>
        <v>0</v>
      </c>
      <c r="AZ211" s="311">
        <f>AZ220+AZ215-AZ218</f>
        <v>0</v>
      </c>
      <c r="BA211" s="311">
        <f>BA220+BA215-BA218</f>
        <v>0</v>
      </c>
      <c r="BB211" s="311">
        <f>BB220+BB215-BB218</f>
        <v>0</v>
      </c>
      <c r="BC211" s="1928"/>
      <c r="BD211" s="1328"/>
      <c r="BE211" s="1328"/>
      <c r="BF211" s="1023" t="s">
        <v>658</v>
      </c>
    </row>
    <row s="1656" customFormat="1" customHeight="1" ht="12.75" hidden="1">
      <c r="A212" s="1328"/>
      <c r="B212" s="1186"/>
      <c r="C212" s="1328"/>
      <c r="D212" s="1328"/>
      <c r="E212" s="637">
        <v>15</v>
      </c>
      <c r="F212" s="50" cm="1" t="str">
        <f t="array" ref="F212:F212">OFFSET(E212,-1,1)</f>
        <v>2</v>
      </c>
      <c r="G212" s="1328"/>
      <c r="H212" s="94" t="s">
        <v>659</v>
      </c>
      <c r="I212" s="1328"/>
      <c r="J212" s="1328"/>
      <c r="K212" s="1328"/>
      <c r="L212" s="1328"/>
      <c r="M212" s="1328"/>
      <c r="N212" s="1328"/>
      <c r="O212" s="1328"/>
      <c r="P212" s="1308"/>
      <c r="Q212" s="1308"/>
      <c r="R212" s="1308"/>
      <c r="S212" s="1308"/>
      <c r="T212" s="468" cm="1" t="str">
        <f t="array" ref="T212:T212">T211</f>
        <v>false</v>
      </c>
      <c r="U212" s="1308"/>
      <c r="V212" s="1328"/>
      <c r="W212" s="1308"/>
      <c r="X212" s="1539"/>
      <c r="Y212" s="1528"/>
      <c r="Z212" s="1328"/>
      <c r="AA212" s="1328"/>
      <c r="AB212" s="236" t="s">
        <v>660</v>
      </c>
      <c r="AC212" s="188" t="s">
        <v>661</v>
      </c>
      <c r="AD212" s="89" t="s">
        <v>657</v>
      </c>
      <c r="AE212" s="1971"/>
      <c r="AF212" s="1971"/>
      <c r="AG212" s="1971"/>
      <c r="AH212" s="1971"/>
      <c r="AI212" s="1971"/>
      <c r="AJ212" s="1971"/>
      <c r="AK212" s="1971"/>
      <c r="AL212" s="1971"/>
      <c r="AM212" s="1971"/>
      <c r="AN212" s="1971"/>
      <c r="AO212" s="1971"/>
      <c r="AP212" s="1971"/>
      <c r="AQ212" s="1971"/>
      <c r="AR212" s="1971"/>
      <c r="AS212" s="1971"/>
      <c r="AT212" s="1971"/>
      <c r="AU212" s="1971"/>
      <c r="AV212" s="1971"/>
      <c r="AW212" s="1971"/>
      <c r="AX212" s="1971"/>
      <c r="AY212" s="1971"/>
      <c r="AZ212" s="1971"/>
      <c r="BA212" s="1971"/>
      <c r="BB212" s="1971"/>
      <c r="BC212" s="1975"/>
      <c r="BD212" s="1328"/>
      <c r="BE212" s="1328"/>
      <c r="BF212" s="1023" t="s">
        <v>662</v>
      </c>
    </row>
    <row s="1656" customFormat="1" customHeight="1" ht="12.75" hidden="1">
      <c r="A213" s="1328"/>
      <c r="B213" s="1186"/>
      <c r="C213" s="1328"/>
      <c r="D213" s="1328"/>
      <c r="E213" s="637">
        <v>15</v>
      </c>
      <c r="F213" s="50" cm="1" t="str">
        <f t="array" ref="F213:F213">OFFSET(E213,-1,1)</f>
        <v>2</v>
      </c>
      <c r="G213" s="1328"/>
      <c r="H213" s="94" t="s">
        <v>663</v>
      </c>
      <c r="I213" s="1328"/>
      <c r="J213" s="1328"/>
      <c r="K213" s="1328"/>
      <c r="L213" s="1328"/>
      <c r="M213" s="1328"/>
      <c r="N213" s="1328"/>
      <c r="O213" s="1328"/>
      <c r="P213" s="1308"/>
      <c r="Q213" s="1308"/>
      <c r="R213" s="1308"/>
      <c r="S213" s="1308"/>
      <c r="T213" s="468" cm="1" t="str">
        <f t="array" ref="T213:T213">T212</f>
        <v>false</v>
      </c>
      <c r="U213" s="1308"/>
      <c r="V213" s="1328"/>
      <c r="W213" s="1308"/>
      <c r="X213" s="1539"/>
      <c r="Y213" s="1528"/>
      <c r="Z213" s="1328"/>
      <c r="AA213" s="1328"/>
      <c r="AB213" s="236" t="s">
        <v>664</v>
      </c>
      <c r="AC213" s="188" t="s">
        <v>665</v>
      </c>
      <c r="AD213" s="89" t="s">
        <v>657</v>
      </c>
      <c r="AE213" s="1971"/>
      <c r="AF213" s="1971"/>
      <c r="AG213" s="1971"/>
      <c r="AH213" s="1971"/>
      <c r="AI213" s="1971"/>
      <c r="AJ213" s="1971"/>
      <c r="AK213" s="1971"/>
      <c r="AL213" s="1971"/>
      <c r="AM213" s="1971"/>
      <c r="AN213" s="1971"/>
      <c r="AO213" s="1971"/>
      <c r="AP213" s="1971"/>
      <c r="AQ213" s="1971"/>
      <c r="AR213" s="1971"/>
      <c r="AS213" s="1971"/>
      <c r="AT213" s="1971"/>
      <c r="AU213" s="1971"/>
      <c r="AV213" s="1971"/>
      <c r="AW213" s="1971"/>
      <c r="AX213" s="1971"/>
      <c r="AY213" s="1971"/>
      <c r="AZ213" s="1971"/>
      <c r="BA213" s="1971"/>
      <c r="BB213" s="1971"/>
      <c r="BC213" s="1975"/>
      <c r="BD213" s="1328"/>
      <c r="BE213" s="1328"/>
      <c r="BF213" s="1023" t="s">
        <v>666</v>
      </c>
    </row>
    <row s="1656" customFormat="1" customHeight="1" ht="23.25" hidden="1">
      <c r="A214" s="1328"/>
      <c r="B214" s="1186"/>
      <c r="C214" s="1328"/>
      <c r="D214" s="1328"/>
      <c r="E214" s="637">
        <v>22.5</v>
      </c>
      <c r="F214" s="50" cm="1" t="str">
        <f t="array" ref="F214:F214">OFFSET(E214,-1,1)</f>
        <v>2</v>
      </c>
      <c r="G214" s="1328"/>
      <c r="H214" s="94" t="s">
        <v>667</v>
      </c>
      <c r="I214" s="1328"/>
      <c r="J214" s="1328"/>
      <c r="K214" s="1328"/>
      <c r="L214" s="1328"/>
      <c r="M214" s="1328"/>
      <c r="N214" s="1328"/>
      <c r="O214" s="1328"/>
      <c r="P214" s="1308"/>
      <c r="Q214" s="1308"/>
      <c r="R214" s="1308"/>
      <c r="S214" s="1308"/>
      <c r="T214" s="468" cm="1" t="str">
        <f t="array" ref="T214:T214">T213</f>
        <v>false</v>
      </c>
      <c r="U214" s="1308"/>
      <c r="V214" s="1328"/>
      <c r="W214" s="1308"/>
      <c r="X214" s="1539"/>
      <c r="Y214" s="1528"/>
      <c r="Z214" s="1328"/>
      <c r="AA214" s="1328"/>
      <c r="AB214" s="236" t="s">
        <v>668</v>
      </c>
      <c r="AC214" s="326" t="s">
        <v>669</v>
      </c>
      <c r="AD214" s="89" t="s">
        <v>657</v>
      </c>
      <c r="AE214" s="1971"/>
      <c r="AF214" s="1971"/>
      <c r="AG214" s="1971"/>
      <c r="AH214" s="1971"/>
      <c r="AI214" s="1971"/>
      <c r="AJ214" s="1971"/>
      <c r="AK214" s="1971"/>
      <c r="AL214" s="1971"/>
      <c r="AM214" s="1971"/>
      <c r="AN214" s="1971"/>
      <c r="AO214" s="1971"/>
      <c r="AP214" s="1971"/>
      <c r="AQ214" s="1971"/>
      <c r="AR214" s="1971"/>
      <c r="AS214" s="1971"/>
      <c r="AT214" s="1971"/>
      <c r="AU214" s="1971"/>
      <c r="AV214" s="1971"/>
      <c r="AW214" s="1971"/>
      <c r="AX214" s="1971"/>
      <c r="AY214" s="1971"/>
      <c r="AZ214" s="1971"/>
      <c r="BA214" s="1971"/>
      <c r="BB214" s="1971"/>
      <c r="BC214" s="1975"/>
      <c r="BD214" s="1328"/>
      <c r="BE214" s="1328"/>
      <c r="BF214" s="1023" t="s">
        <v>670</v>
      </c>
    </row>
    <row s="1656" customFormat="1" customHeight="1" ht="12.75" hidden="1">
      <c r="A215" s="1328"/>
      <c r="B215" s="1186"/>
      <c r="C215" s="1328"/>
      <c r="D215" s="1328"/>
      <c r="E215" s="637">
        <v>15</v>
      </c>
      <c r="F215" s="50" cm="1" t="str">
        <f t="array" ref="F215:F215">OFFSET(E215,-1,1)</f>
        <v>2</v>
      </c>
      <c r="G215" s="1328"/>
      <c r="H215" s="94" t="s">
        <v>347</v>
      </c>
      <c r="I215" s="1328"/>
      <c r="J215" s="1328"/>
      <c r="K215" s="1328"/>
      <c r="L215" s="1328"/>
      <c r="M215" s="1328"/>
      <c r="N215" s="1328"/>
      <c r="O215" s="1328"/>
      <c r="P215" s="1308"/>
      <c r="Q215" s="1308"/>
      <c r="R215" s="1308"/>
      <c r="S215" s="1308"/>
      <c r="T215" s="468" cm="1" t="str">
        <f t="array" ref="T215:T215">T214</f>
        <v>false</v>
      </c>
      <c r="U215" s="1308"/>
      <c r="V215" s="1328"/>
      <c r="W215" s="1308"/>
      <c r="X215" s="1539"/>
      <c r="Y215" s="1528"/>
      <c r="Z215" s="1328"/>
      <c r="AA215" s="1328"/>
      <c r="AB215" s="236" t="s">
        <v>234</v>
      </c>
      <c r="AC215" s="326" t="s">
        <v>671</v>
      </c>
      <c r="AD215" s="89" t="s">
        <v>657</v>
      </c>
      <c r="AE215" s="311">
        <f>SUM(AE216:AE217)</f>
        <v>0</v>
      </c>
      <c r="AF215" s="311">
        <f>SUM(AF216:AF217)</f>
        <v>0</v>
      </c>
      <c r="AG215" s="311">
        <f>SUM(AG216:AG217)</f>
        <v>0</v>
      </c>
      <c r="AH215" s="311">
        <f>SUM(AH216:AH217)</f>
        <v>0</v>
      </c>
      <c r="AI215" s="311">
        <f>SUM(AI216:AI217)</f>
        <v>0</v>
      </c>
      <c r="AJ215" s="311">
        <f>SUM(AJ216:AJ217)</f>
        <v>0</v>
      </c>
      <c r="AK215" s="311">
        <f>SUM(AK216:AK217)</f>
        <v>0</v>
      </c>
      <c r="AL215" s="311">
        <f>SUM(AL216:AL217)</f>
        <v>0</v>
      </c>
      <c r="AM215" s="311">
        <f>SUM(AM216:AM217)</f>
        <v>0</v>
      </c>
      <c r="AN215" s="311">
        <f>SUM(AN216:AN217)</f>
        <v>0</v>
      </c>
      <c r="AO215" s="311">
        <f>SUM(AO216:AO217)</f>
        <v>0</v>
      </c>
      <c r="AP215" s="311">
        <f>SUM(AP216:AP217)</f>
        <v>0</v>
      </c>
      <c r="AQ215" s="311">
        <f>SUM(AQ216:AQ217)</f>
        <v>0</v>
      </c>
      <c r="AR215" s="311">
        <f>SUM(AR216:AR217)</f>
        <v>0</v>
      </c>
      <c r="AS215" s="311">
        <f>SUM(AS216:AS217)</f>
        <v>0</v>
      </c>
      <c r="AT215" s="311">
        <f>SUM(AT216:AT217)</f>
        <v>0</v>
      </c>
      <c r="AU215" s="311">
        <f>SUM(AU216:AU217)</f>
        <v>0</v>
      </c>
      <c r="AV215" s="311">
        <f>SUM(AV216:AV217)</f>
        <v>0</v>
      </c>
      <c r="AW215" s="311">
        <f>SUM(AW216:AW217)</f>
        <v>0</v>
      </c>
      <c r="AX215" s="311">
        <f>SUM(AX216:AX217)</f>
        <v>0</v>
      </c>
      <c r="AY215" s="311">
        <f>SUM(AY216:AY217)</f>
        <v>0</v>
      </c>
      <c r="AZ215" s="311">
        <f>SUM(AZ216:AZ217)</f>
        <v>0</v>
      </c>
      <c r="BA215" s="311">
        <f>SUM(BA216:BA217)</f>
        <v>0</v>
      </c>
      <c r="BB215" s="311">
        <f>SUM(BB216:BB217)</f>
        <v>0</v>
      </c>
      <c r="BC215" s="1975"/>
      <c r="BD215" s="1328"/>
      <c r="BE215" s="1328"/>
      <c r="BF215" s="1023" t="s">
        <v>672</v>
      </c>
    </row>
    <row s="1656" customFormat="1" customHeight="1" ht="23.25" hidden="1">
      <c r="A216" s="1328"/>
      <c r="B216" s="1186"/>
      <c r="C216" s="1328"/>
      <c r="D216" s="1328"/>
      <c r="E216" s="637">
        <v>15</v>
      </c>
      <c r="F216" s="50" cm="1" t="str">
        <f t="array" ref="F216:F216">OFFSET(E216,-1,1)</f>
        <v>2</v>
      </c>
      <c r="G216" s="1328"/>
      <c r="H216" s="94" t="s">
        <v>673</v>
      </c>
      <c r="I216" s="1328"/>
      <c r="J216" s="1328"/>
      <c r="K216" s="1328"/>
      <c r="L216" s="1328"/>
      <c r="M216" s="1328"/>
      <c r="N216" s="1328"/>
      <c r="O216" s="1328"/>
      <c r="P216" s="1308"/>
      <c r="Q216" s="1308"/>
      <c r="R216" s="1308"/>
      <c r="S216" s="1308"/>
      <c r="T216" s="468" cm="1" t="str">
        <f t="array" ref="T216:T216">T215</f>
        <v>false</v>
      </c>
      <c r="U216" s="1308"/>
      <c r="V216" s="1328"/>
      <c r="W216" s="1308"/>
      <c r="X216" s="1539"/>
      <c r="Y216" s="1528"/>
      <c r="Z216" s="1328"/>
      <c r="AA216" s="1328"/>
      <c r="AB216" s="236" t="s">
        <v>674</v>
      </c>
      <c r="AC216" s="188" t="s">
        <v>675</v>
      </c>
      <c r="AD216" s="89" t="s">
        <v>657</v>
      </c>
      <c r="AE216" s="1971"/>
      <c r="AF216" s="1971"/>
      <c r="AG216" s="1971"/>
      <c r="AH216" s="1971"/>
      <c r="AI216" s="1971"/>
      <c r="AJ216" s="1971"/>
      <c r="AK216" s="1971"/>
      <c r="AL216" s="1971"/>
      <c r="AM216" s="1971"/>
      <c r="AN216" s="1971"/>
      <c r="AO216" s="1971"/>
      <c r="AP216" s="1971"/>
      <c r="AQ216" s="1971"/>
      <c r="AR216" s="1971"/>
      <c r="AS216" s="1971"/>
      <c r="AT216" s="1971"/>
      <c r="AU216" s="1971"/>
      <c r="AV216" s="1971"/>
      <c r="AW216" s="1971"/>
      <c r="AX216" s="1971"/>
      <c r="AY216" s="1971"/>
      <c r="AZ216" s="1971"/>
      <c r="BA216" s="1971"/>
      <c r="BB216" s="1971"/>
      <c r="BC216" s="1975"/>
      <c r="BD216" s="1328"/>
      <c r="BE216" s="1328"/>
      <c r="BF216" s="1023" t="s">
        <v>676</v>
      </c>
    </row>
    <row s="1656" customFormat="1" customHeight="1" ht="12.75" hidden="1">
      <c r="A217" s="1328"/>
      <c r="B217" s="1186"/>
      <c r="C217" s="1328"/>
      <c r="D217" s="1328"/>
      <c r="E217" s="637">
        <v>15</v>
      </c>
      <c r="F217" s="50" cm="1" t="str">
        <f t="array" ref="F217:F217">OFFSET(E217,-1,1)</f>
        <v>2</v>
      </c>
      <c r="G217" s="1328"/>
      <c r="H217" s="94" t="s">
        <v>677</v>
      </c>
      <c r="I217" s="1328"/>
      <c r="J217" s="1328"/>
      <c r="K217" s="1328"/>
      <c r="L217" s="1328"/>
      <c r="M217" s="1328"/>
      <c r="N217" s="1328"/>
      <c r="O217" s="1328"/>
      <c r="P217" s="1308"/>
      <c r="Q217" s="1308"/>
      <c r="R217" s="1308"/>
      <c r="S217" s="1308"/>
      <c r="T217" s="468" cm="1" t="str">
        <f t="array" ref="T217:T217">T216</f>
        <v>false</v>
      </c>
      <c r="U217" s="1308"/>
      <c r="V217" s="1328"/>
      <c r="W217" s="1308"/>
      <c r="X217" s="1539"/>
      <c r="Y217" s="1528"/>
      <c r="Z217" s="1328"/>
      <c r="AA217" s="1328"/>
      <c r="AB217" s="236" t="s">
        <v>678</v>
      </c>
      <c r="AC217" s="188" t="s">
        <v>679</v>
      </c>
      <c r="AD217" s="89" t="s">
        <v>657</v>
      </c>
      <c r="AE217" s="1971"/>
      <c r="AF217" s="1971"/>
      <c r="AG217" s="1971"/>
      <c r="AH217" s="1971"/>
      <c r="AI217" s="1971"/>
      <c r="AJ217" s="1971"/>
      <c r="AK217" s="1971"/>
      <c r="AL217" s="1971"/>
      <c r="AM217" s="1971"/>
      <c r="AN217" s="1971"/>
      <c r="AO217" s="1971"/>
      <c r="AP217" s="1971"/>
      <c r="AQ217" s="1971"/>
      <c r="AR217" s="1971"/>
      <c r="AS217" s="1971"/>
      <c r="AT217" s="1971"/>
      <c r="AU217" s="1971"/>
      <c r="AV217" s="1971"/>
      <c r="AW217" s="1971"/>
      <c r="AX217" s="1971"/>
      <c r="AY217" s="1971"/>
      <c r="AZ217" s="1971"/>
      <c r="BA217" s="1971"/>
      <c r="BB217" s="1971"/>
      <c r="BC217" s="1975"/>
      <c r="BD217" s="1328"/>
      <c r="BE217" s="1328"/>
      <c r="BF217" s="1023" t="s">
        <v>680</v>
      </c>
    </row>
    <row s="1656" customFormat="1" customHeight="1" ht="12.75" hidden="1">
      <c r="A218" s="1328"/>
      <c r="B218" s="1186"/>
      <c r="C218" s="1328"/>
      <c r="D218" s="1328"/>
      <c r="E218" s="637">
        <v>15</v>
      </c>
      <c r="F218" s="50" cm="1" t="str">
        <f t="array" ref="F218:F218">OFFSET(E218,-1,1)</f>
        <v>2</v>
      </c>
      <c r="G218" s="1328"/>
      <c r="H218" s="94" t="s">
        <v>616</v>
      </c>
      <c r="I218" s="1328"/>
      <c r="J218" s="1328"/>
      <c r="K218" s="1328"/>
      <c r="L218" s="1328"/>
      <c r="M218" s="1328"/>
      <c r="N218" s="1328"/>
      <c r="O218" s="1328"/>
      <c r="P218" s="1308"/>
      <c r="Q218" s="1308"/>
      <c r="R218" s="1308"/>
      <c r="S218" s="1308"/>
      <c r="T218" s="468" cm="1" t="str">
        <f t="array" ref="T218:T218">T217</f>
        <v>false</v>
      </c>
      <c r="U218" s="1308"/>
      <c r="V218" s="1328"/>
      <c r="W218" s="1308"/>
      <c r="X218" s="1539"/>
      <c r="Y218" s="1528"/>
      <c r="Z218" s="1328"/>
      <c r="AA218" s="1328"/>
      <c r="AB218" s="236" t="s">
        <v>451</v>
      </c>
      <c r="AC218" s="325" t="s">
        <v>681</v>
      </c>
      <c r="AD218" s="89" t="s">
        <v>657</v>
      </c>
      <c r="AE218" s="1927"/>
      <c r="AF218" s="1927"/>
      <c r="AG218" s="1927"/>
      <c r="AH218" s="1927"/>
      <c r="AI218" s="1927"/>
      <c r="AJ218" s="1927"/>
      <c r="AK218" s="1927"/>
      <c r="AL218" s="1927"/>
      <c r="AM218" s="1927"/>
      <c r="AN218" s="1927"/>
      <c r="AO218" s="1927"/>
      <c r="AP218" s="1927"/>
      <c r="AQ218" s="1927"/>
      <c r="AR218" s="1927"/>
      <c r="AS218" s="1927"/>
      <c r="AT218" s="1927"/>
      <c r="AU218" s="1927"/>
      <c r="AV218" s="1927"/>
      <c r="AW218" s="1927"/>
      <c r="AX218" s="1927"/>
      <c r="AY218" s="1927"/>
      <c r="AZ218" s="1927"/>
      <c r="BA218" s="1927"/>
      <c r="BB218" s="1927"/>
      <c r="BC218" s="1975"/>
      <c r="BD218" s="1328"/>
      <c r="BE218" s="1328"/>
      <c r="BF218" s="1023" t="s">
        <v>682</v>
      </c>
    </row>
    <row s="1656" customFormat="1" customHeight="1" ht="23.25" hidden="1">
      <c r="A219" s="1328"/>
      <c r="B219" s="1186"/>
      <c r="C219" s="1328"/>
      <c r="D219" s="1328"/>
      <c r="E219" s="637">
        <v>15</v>
      </c>
      <c r="F219" s="50" cm="1" t="str">
        <f t="array" ref="F219:F219">OFFSET(E219,-1,1)</f>
        <v>2</v>
      </c>
      <c r="G219" s="1328"/>
      <c r="H219" s="94" t="s">
        <v>619</v>
      </c>
      <c r="I219" s="1328"/>
      <c r="J219" s="1328"/>
      <c r="K219" s="1328"/>
      <c r="L219" s="1328"/>
      <c r="M219" s="1328"/>
      <c r="N219" s="1328"/>
      <c r="O219" s="1328"/>
      <c r="P219" s="1308"/>
      <c r="Q219" s="1308"/>
      <c r="R219" s="1308"/>
      <c r="S219" s="1308"/>
      <c r="T219" s="468" cm="1" t="str">
        <f t="array" ref="T219:T219">T218</f>
        <v>false</v>
      </c>
      <c r="U219" s="1308"/>
      <c r="V219" s="1328"/>
      <c r="W219" s="1308"/>
      <c r="X219" s="1539"/>
      <c r="Y219" s="1528"/>
      <c r="Z219" s="1328"/>
      <c r="AA219" s="1328"/>
      <c r="AB219" s="236" t="s">
        <v>454</v>
      </c>
      <c r="AC219" s="325" t="s">
        <v>683</v>
      </c>
      <c r="AD219" s="89" t="s">
        <v>657</v>
      </c>
      <c r="AE219" s="1971"/>
      <c r="AF219" s="1971"/>
      <c r="AG219" s="1971"/>
      <c r="AH219" s="1971"/>
      <c r="AI219" s="1971"/>
      <c r="AJ219" s="1971"/>
      <c r="AK219" s="1971"/>
      <c r="AL219" s="1971"/>
      <c r="AM219" s="1971"/>
      <c r="AN219" s="1971"/>
      <c r="AO219" s="1971"/>
      <c r="AP219" s="1971"/>
      <c r="AQ219" s="1971"/>
      <c r="AR219" s="1971"/>
      <c r="AS219" s="1971"/>
      <c r="AT219" s="1971"/>
      <c r="AU219" s="1971"/>
      <c r="AV219" s="1971"/>
      <c r="AW219" s="1971"/>
      <c r="AX219" s="1971"/>
      <c r="AY219" s="1971"/>
      <c r="AZ219" s="1971"/>
      <c r="BA219" s="1971"/>
      <c r="BB219" s="1971"/>
      <c r="BC219" s="1975"/>
      <c r="BD219" s="1328"/>
      <c r="BE219" s="1328"/>
      <c r="BF219" s="1023" t="s">
        <v>684</v>
      </c>
    </row>
    <row s="1656" customFormat="1" customHeight="1" ht="12.75" hidden="1">
      <c r="A220" s="1328"/>
      <c r="B220" s="1186"/>
      <c r="C220" s="1328"/>
      <c r="D220" s="1328"/>
      <c r="E220" s="637">
        <v>15</v>
      </c>
      <c r="F220" s="50" cm="1" t="str">
        <f t="array" ref="F220:F220">OFFSET(E220,-1,1)</f>
        <v>2</v>
      </c>
      <c r="G220" s="1328"/>
      <c r="H220" s="94" t="s">
        <v>685</v>
      </c>
      <c r="I220" s="1328"/>
      <c r="J220" s="1328"/>
      <c r="K220" s="1328"/>
      <c r="L220" s="1328"/>
      <c r="M220" s="1328"/>
      <c r="N220" s="1328"/>
      <c r="O220" s="1328"/>
      <c r="P220" s="1308"/>
      <c r="Q220" s="1308"/>
      <c r="R220" s="1308"/>
      <c r="S220" s="1308"/>
      <c r="T220" s="468" cm="1" t="str">
        <f t="array" ref="T220:T220">T219</f>
        <v>false</v>
      </c>
      <c r="U220" s="1308"/>
      <c r="V220" s="1328"/>
      <c r="W220" s="1308"/>
      <c r="X220" s="1539"/>
      <c r="Y220" s="1528"/>
      <c r="Z220" s="1328"/>
      <c r="AA220" s="1328"/>
      <c r="AB220" s="236" t="s">
        <v>457</v>
      </c>
      <c r="AC220" s="326" t="s">
        <v>686</v>
      </c>
      <c r="AD220" s="89" t="s">
        <v>657</v>
      </c>
      <c r="AE220" s="311">
        <f>AE226+AE224</f>
        <v>0</v>
      </c>
      <c r="AF220" s="311">
        <f>AF226+AF224</f>
        <v>0</v>
      </c>
      <c r="AG220" s="311">
        <f>AG226+AG224</f>
        <v>0</v>
      </c>
      <c r="AH220" s="311">
        <f>AH226+AH224</f>
        <v>0</v>
      </c>
      <c r="AI220" s="311">
        <f>AI226+AI224</f>
        <v>0</v>
      </c>
      <c r="AJ220" s="311">
        <f>AJ226+AJ224</f>
        <v>0</v>
      </c>
      <c r="AK220" s="311">
        <f>AK226+AK224</f>
        <v>0</v>
      </c>
      <c r="AL220" s="311">
        <f>AL226+AL224</f>
        <v>0</v>
      </c>
      <c r="AM220" s="311">
        <f>AM226+AM224</f>
        <v>0</v>
      </c>
      <c r="AN220" s="311">
        <f>AN226+AN224</f>
        <v>0</v>
      </c>
      <c r="AO220" s="311">
        <f>AO226+AO224</f>
        <v>0</v>
      </c>
      <c r="AP220" s="311">
        <f>AP226+AP224</f>
        <v>0</v>
      </c>
      <c r="AQ220" s="311">
        <f>AQ226+AQ224</f>
        <v>0</v>
      </c>
      <c r="AR220" s="311">
        <f>AR226+AR224</f>
        <v>0</v>
      </c>
      <c r="AS220" s="311">
        <f>AS226+AS224</f>
        <v>0</v>
      </c>
      <c r="AT220" s="311">
        <f>AT226+AT224</f>
        <v>0</v>
      </c>
      <c r="AU220" s="311">
        <f>AU226+AU224</f>
        <v>0</v>
      </c>
      <c r="AV220" s="311">
        <f>AV226+AV224</f>
        <v>0</v>
      </c>
      <c r="AW220" s="311">
        <f>AW226+AW224</f>
        <v>0</v>
      </c>
      <c r="AX220" s="311">
        <f>AX226+AX224</f>
        <v>0</v>
      </c>
      <c r="AY220" s="311">
        <f>AY226+AY224</f>
        <v>0</v>
      </c>
      <c r="AZ220" s="311">
        <f>AZ226+AZ224</f>
        <v>0</v>
      </c>
      <c r="BA220" s="311">
        <f>BA226+BA224</f>
        <v>0</v>
      </c>
      <c r="BB220" s="311">
        <f>BB226+BB224</f>
        <v>0</v>
      </c>
      <c r="BC220" s="1975"/>
      <c r="BD220" s="1328"/>
      <c r="BE220" s="1328"/>
      <c r="BF220" s="1023" t="s">
        <v>687</v>
      </c>
    </row>
    <row s="1656" customFormat="1" customHeight="1" ht="23.25" hidden="1">
      <c r="A221" s="1328"/>
      <c r="B221" s="1186"/>
      <c r="C221" s="1328"/>
      <c r="D221" s="1328"/>
      <c r="E221" s="637">
        <v>22.5</v>
      </c>
      <c r="F221" s="50" cm="1" t="str">
        <f t="array" ref="F221:F221">OFFSET(E221,-1,1)</f>
        <v>2</v>
      </c>
      <c r="G221" s="1328"/>
      <c r="H221" s="94" t="s">
        <v>688</v>
      </c>
      <c r="I221" s="1328"/>
      <c r="J221" s="1328"/>
      <c r="K221" s="1328"/>
      <c r="L221" s="1328"/>
      <c r="M221" s="1328"/>
      <c r="N221" s="1328"/>
      <c r="O221" s="1328"/>
      <c r="P221" s="1308"/>
      <c r="Q221" s="1308"/>
      <c r="R221" s="1308"/>
      <c r="S221" s="1308"/>
      <c r="T221" s="468" cm="1" t="str">
        <f t="array" ref="T221:T221">T220</f>
        <v>false</v>
      </c>
      <c r="U221" s="1308"/>
      <c r="V221" s="1328"/>
      <c r="W221" s="1308"/>
      <c r="X221" s="1539"/>
      <c r="Y221" s="1528"/>
      <c r="Z221" s="1328"/>
      <c r="AA221" s="1328"/>
      <c r="AB221" s="236" t="s">
        <v>689</v>
      </c>
      <c r="AC221" s="188" t="s">
        <v>690</v>
      </c>
      <c r="AD221" s="89" t="s">
        <v>657</v>
      </c>
      <c r="AE221" s="1971"/>
      <c r="AF221" s="1971"/>
      <c r="AG221" s="1971"/>
      <c r="AH221" s="1971"/>
      <c r="AI221" s="1971"/>
      <c r="AJ221" s="1971"/>
      <c r="AK221" s="1971"/>
      <c r="AL221" s="1971"/>
      <c r="AM221" s="1971"/>
      <c r="AN221" s="1971"/>
      <c r="AO221" s="1971"/>
      <c r="AP221" s="1971"/>
      <c r="AQ221" s="1971"/>
      <c r="AR221" s="1971"/>
      <c r="AS221" s="1971"/>
      <c r="AT221" s="1971"/>
      <c r="AU221" s="1971"/>
      <c r="AV221" s="1971"/>
      <c r="AW221" s="1971"/>
      <c r="AX221" s="1971"/>
      <c r="AY221" s="1971"/>
      <c r="AZ221" s="1971"/>
      <c r="BA221" s="1971"/>
      <c r="BB221" s="1971"/>
      <c r="BC221" s="1975"/>
      <c r="BD221" s="1328"/>
      <c r="BE221" s="1328"/>
      <c r="BF221" s="1023" t="s">
        <v>691</v>
      </c>
    </row>
    <row s="1656" customFormat="1" customHeight="1" ht="23.25" hidden="1">
      <c r="A222" s="1328"/>
      <c r="B222" s="1186"/>
      <c r="C222" s="1328"/>
      <c r="D222" s="1328"/>
      <c r="E222" s="637">
        <v>15</v>
      </c>
      <c r="F222" s="50" cm="1" t="str">
        <f t="array" ref="F222:F222">OFFSET(E222,-1,1)</f>
        <v>2</v>
      </c>
      <c r="G222" s="1328"/>
      <c r="H222" s="94" t="s">
        <v>692</v>
      </c>
      <c r="I222" s="1328"/>
      <c r="J222" s="1328"/>
      <c r="K222" s="1328"/>
      <c r="L222" s="1328"/>
      <c r="M222" s="1328"/>
      <c r="N222" s="1328"/>
      <c r="O222" s="1328"/>
      <c r="P222" s="1308"/>
      <c r="Q222" s="1308"/>
      <c r="R222" s="1308"/>
      <c r="S222" s="1308"/>
      <c r="T222" s="468" cm="1" t="str">
        <f t="array" ref="T222:T222">T221</f>
        <v>false</v>
      </c>
      <c r="U222" s="1308"/>
      <c r="V222" s="1328"/>
      <c r="W222" s="1308"/>
      <c r="X222" s="1539"/>
      <c r="Y222" s="1528"/>
      <c r="Z222" s="1328"/>
      <c r="AA222" s="1328"/>
      <c r="AB222" s="236" t="s">
        <v>693</v>
      </c>
      <c r="AC222" s="188" t="s">
        <v>694</v>
      </c>
      <c r="AD222" s="89" t="s">
        <v>657</v>
      </c>
      <c r="AE222" s="1971"/>
      <c r="AF222" s="1971"/>
      <c r="AG222" s="1971"/>
      <c r="AH222" s="1971"/>
      <c r="AI222" s="1971"/>
      <c r="AJ222" s="1971"/>
      <c r="AK222" s="1971"/>
      <c r="AL222" s="1971"/>
      <c r="AM222" s="1971"/>
      <c r="AN222" s="1971"/>
      <c r="AO222" s="1971"/>
      <c r="AP222" s="1971"/>
      <c r="AQ222" s="1971"/>
      <c r="AR222" s="1971"/>
      <c r="AS222" s="1971"/>
      <c r="AT222" s="1971"/>
      <c r="AU222" s="1971"/>
      <c r="AV222" s="1971"/>
      <c r="AW222" s="1971"/>
      <c r="AX222" s="1971"/>
      <c r="AY222" s="1971"/>
      <c r="AZ222" s="1971"/>
      <c r="BA222" s="1971"/>
      <c r="BB222" s="1971"/>
      <c r="BC222" s="1975"/>
      <c r="BD222" s="1328"/>
      <c r="BE222" s="1328"/>
      <c r="BF222" s="1023" t="s">
        <v>695</v>
      </c>
    </row>
    <row s="1656" customFormat="1" customHeight="1" ht="23.25" hidden="1">
      <c r="A223" s="1328"/>
      <c r="B223" s="1186"/>
      <c r="C223" s="1328"/>
      <c r="D223" s="1328"/>
      <c r="E223" s="637">
        <v>22.5</v>
      </c>
      <c r="F223" s="50" cm="1" t="str">
        <f t="array" ref="F223:F223">OFFSET(E223,-1,1)</f>
        <v>2</v>
      </c>
      <c r="G223" s="1328"/>
      <c r="H223" s="94" t="s">
        <v>696</v>
      </c>
      <c r="I223" s="1328"/>
      <c r="J223" s="1328"/>
      <c r="K223" s="1328"/>
      <c r="L223" s="1328"/>
      <c r="M223" s="1328"/>
      <c r="N223" s="1328"/>
      <c r="O223" s="1328"/>
      <c r="P223" s="1308"/>
      <c r="Q223" s="1308"/>
      <c r="R223" s="1308"/>
      <c r="S223" s="1308"/>
      <c r="T223" s="468" cm="1" t="str">
        <f t="array" ref="T223:T223">T222</f>
        <v>false</v>
      </c>
      <c r="U223" s="1308"/>
      <c r="V223" s="1328"/>
      <c r="W223" s="1308"/>
      <c r="X223" s="1539"/>
      <c r="Y223" s="1528"/>
      <c r="Z223" s="1328"/>
      <c r="AA223" s="1328"/>
      <c r="AB223" s="236" t="s">
        <v>697</v>
      </c>
      <c r="AC223" s="188" t="s">
        <v>698</v>
      </c>
      <c r="AD223" s="89" t="s">
        <v>657</v>
      </c>
      <c r="AE223" s="1971"/>
      <c r="AF223" s="1971"/>
      <c r="AG223" s="1971"/>
      <c r="AH223" s="1971"/>
      <c r="AI223" s="1971"/>
      <c r="AJ223" s="1971"/>
      <c r="AK223" s="1971"/>
      <c r="AL223" s="1971"/>
      <c r="AM223" s="1971"/>
      <c r="AN223" s="1971"/>
      <c r="AO223" s="1971"/>
      <c r="AP223" s="1971"/>
      <c r="AQ223" s="1971"/>
      <c r="AR223" s="1971"/>
      <c r="AS223" s="1971"/>
      <c r="AT223" s="1971"/>
      <c r="AU223" s="1971"/>
      <c r="AV223" s="1971"/>
      <c r="AW223" s="1971"/>
      <c r="AX223" s="1971"/>
      <c r="AY223" s="1971"/>
      <c r="AZ223" s="1971"/>
      <c r="BA223" s="1971"/>
      <c r="BB223" s="1971"/>
      <c r="BC223" s="1975"/>
      <c r="BD223" s="1328"/>
      <c r="BE223" s="1328"/>
      <c r="BF223" s="1023" t="s">
        <v>699</v>
      </c>
    </row>
    <row s="1656" customFormat="1" customHeight="1" ht="12.75" hidden="1">
      <c r="A224" s="1328"/>
      <c r="B224" s="1186"/>
      <c r="C224" s="1328"/>
      <c r="D224" s="1328"/>
      <c r="E224" s="637">
        <v>15</v>
      </c>
      <c r="F224" s="50" cm="1" t="str">
        <f t="array" ref="F224:F224">OFFSET(E224,-1,1)</f>
        <v>2</v>
      </c>
      <c r="G224" s="1328"/>
      <c r="H224" s="94" t="s">
        <v>700</v>
      </c>
      <c r="I224" s="1328"/>
      <c r="J224" s="1328"/>
      <c r="K224" s="1328"/>
      <c r="L224" s="1328"/>
      <c r="M224" s="1328"/>
      <c r="N224" s="1328"/>
      <c r="O224" s="1328"/>
      <c r="P224" s="1308"/>
      <c r="Q224" s="1308"/>
      <c r="R224" s="1308"/>
      <c r="S224" s="1308"/>
      <c r="T224" s="468" cm="1" t="str">
        <f t="array" ref="T224:T224">T223</f>
        <v>false</v>
      </c>
      <c r="U224" s="1308"/>
      <c r="V224" s="1328"/>
      <c r="W224" s="1308"/>
      <c r="X224" s="1539"/>
      <c r="Y224" s="1528"/>
      <c r="Z224" s="1328"/>
      <c r="AA224" s="1328"/>
      <c r="AB224" s="236" t="s">
        <v>460</v>
      </c>
      <c r="AC224" s="325" t="s">
        <v>701</v>
      </c>
      <c r="AD224" s="89" t="s">
        <v>657</v>
      </c>
      <c r="AE224" s="1971"/>
      <c r="AF224" s="1971"/>
      <c r="AG224" s="1971"/>
      <c r="AH224" s="1971"/>
      <c r="AI224" s="1971"/>
      <c r="AJ224" s="1971"/>
      <c r="AK224" s="1971"/>
      <c r="AL224" s="1971"/>
      <c r="AM224" s="1971"/>
      <c r="AN224" s="1971"/>
      <c r="AO224" s="1971"/>
      <c r="AP224" s="1971"/>
      <c r="AQ224" s="1971"/>
      <c r="AR224" s="1971"/>
      <c r="AS224" s="1971"/>
      <c r="AT224" s="1971"/>
      <c r="AU224" s="1971"/>
      <c r="AV224" s="1971"/>
      <c r="AW224" s="1971"/>
      <c r="AX224" s="1971"/>
      <c r="AY224" s="1971"/>
      <c r="AZ224" s="1971"/>
      <c r="BA224" s="1971"/>
      <c r="BB224" s="1971"/>
      <c r="BC224" s="1975"/>
      <c r="BD224" s="1328"/>
      <c r="BE224" s="1328"/>
      <c r="BF224" s="1023" t="s">
        <v>702</v>
      </c>
    </row>
    <row s="1656" customFormat="1" customHeight="1" ht="12.75" hidden="1">
      <c r="A225" s="1328"/>
      <c r="B225" s="1186"/>
      <c r="C225" s="1328"/>
      <c r="D225" s="1328"/>
      <c r="E225" s="637">
        <v>15</v>
      </c>
      <c r="F225" s="50" cm="1" t="str">
        <f t="array" ref="F225:F225">OFFSET(E225,-1,1)</f>
        <v>2</v>
      </c>
      <c r="G225" s="1328"/>
      <c r="H225" s="94" t="s">
        <v>703</v>
      </c>
      <c r="I225" s="1328"/>
      <c r="J225" s="1328"/>
      <c r="K225" s="1328"/>
      <c r="L225" s="1328"/>
      <c r="M225" s="1328"/>
      <c r="N225" s="1328"/>
      <c r="O225" s="1328"/>
      <c r="P225" s="1308"/>
      <c r="Q225" s="1308"/>
      <c r="R225" s="1308"/>
      <c r="S225" s="1308"/>
      <c r="T225" s="468" cm="1" t="str">
        <f t="array" ref="T225:T225">T224</f>
        <v>false</v>
      </c>
      <c r="U225" s="1308"/>
      <c r="V225" s="1328"/>
      <c r="W225" s="1308"/>
      <c r="X225" s="1539"/>
      <c r="Y225" s="1528"/>
      <c r="Z225" s="1328"/>
      <c r="AA225" s="1328"/>
      <c r="AB225" s="236" t="s">
        <v>704</v>
      </c>
      <c r="AC225" s="327" t="s">
        <v>705</v>
      </c>
      <c r="AD225" s="89" t="s">
        <v>561</v>
      </c>
      <c r="AE225" s="1817">
        <f>IF(AE220=0,0,AE224/AE220*100)</f>
        <v>0</v>
      </c>
      <c r="AF225" s="1817">
        <f>IF(AF220=0,0,AF224/AF220*100)</f>
        <v>0</v>
      </c>
      <c r="AG225" s="1817">
        <f>IF(AG220=0,0,AG224/AG220*100)</f>
        <v>0</v>
      </c>
      <c r="AH225" s="1817">
        <f>IF(AH220=0,0,AH224/AH220*100)</f>
        <v>0</v>
      </c>
      <c r="AI225" s="1817">
        <f>IF(AI220=0,0,AI224/AI220*100)</f>
        <v>0</v>
      </c>
      <c r="AJ225" s="1817">
        <f>IF(AJ220=0,0,AJ224/AJ220*100)</f>
        <v>0</v>
      </c>
      <c r="AK225" s="1817">
        <f>IF(AK220=0,0,AK224/AK220*100)</f>
        <v>0</v>
      </c>
      <c r="AL225" s="1817">
        <f>IF(AL220=0,0,AL224/AL220*100)</f>
        <v>0</v>
      </c>
      <c r="AM225" s="1817">
        <f>IF(AM220=0,0,AM224/AM220*100)</f>
        <v>0</v>
      </c>
      <c r="AN225" s="1817">
        <f>IF(AN220=0,0,AN224/AN220*100)</f>
        <v>0</v>
      </c>
      <c r="AO225" s="1817">
        <f>IF(AO220=0,0,AO224/AO220*100)</f>
        <v>0</v>
      </c>
      <c r="AP225" s="1817">
        <f>IF(AP220=0,0,AP224/AP220*100)</f>
        <v>0</v>
      </c>
      <c r="AQ225" s="1817">
        <f>IF(AQ220=0,0,AQ224/AQ220*100)</f>
        <v>0</v>
      </c>
      <c r="AR225" s="1817">
        <f>IF(AR220=0,0,AR224/AR220*100)</f>
        <v>0</v>
      </c>
      <c r="AS225" s="1817">
        <f>IF(AS220=0,0,AS224/AS220*100)</f>
        <v>0</v>
      </c>
      <c r="AT225" s="1817">
        <f>IF(AT220=0,0,AT224/AT220*100)</f>
        <v>0</v>
      </c>
      <c r="AU225" s="1817">
        <f>IF(AU220=0,0,AU224/AU220*100)</f>
        <v>0</v>
      </c>
      <c r="AV225" s="1817">
        <f>IF(AV220=0,0,AV224/AV220*100)</f>
        <v>0</v>
      </c>
      <c r="AW225" s="1817">
        <f>IF(AW220=0,0,AW224/AW220*100)</f>
        <v>0</v>
      </c>
      <c r="AX225" s="1817">
        <f>IF(AX220=0,0,AX224/AX220*100)</f>
        <v>0</v>
      </c>
      <c r="AY225" s="1817">
        <f>IF(AY220=0,0,AY224/AY220*100)</f>
        <v>0</v>
      </c>
      <c r="AZ225" s="1817">
        <f>IF(AZ220=0,0,AZ224/AZ220*100)</f>
        <v>0</v>
      </c>
      <c r="BA225" s="1817">
        <f>IF(BA220=0,0,BA224/BA220*100)</f>
        <v>0</v>
      </c>
      <c r="BB225" s="1817">
        <f>IF(BB220=0,0,BB224/BB220*100)</f>
        <v>0</v>
      </c>
      <c r="BC225" s="1975"/>
      <c r="BD225" s="1328"/>
      <c r="BE225" s="1328"/>
      <c r="BF225" s="1023" t="s">
        <v>706</v>
      </c>
    </row>
    <row s="1656" customFormat="1" customHeight="1" ht="12.75" hidden="1">
      <c r="A226" s="1328"/>
      <c r="B226" s="1186"/>
      <c r="C226" s="1328"/>
      <c r="D226" s="1328"/>
      <c r="E226" s="637">
        <v>15</v>
      </c>
      <c r="F226" s="50" cm="1" t="str">
        <f t="array" ref="F226:F226">OFFSET(E226,-1,1)</f>
        <v>2</v>
      </c>
      <c r="G226" s="1328"/>
      <c r="H226" s="94" t="s">
        <v>707</v>
      </c>
      <c r="I226" s="1328"/>
      <c r="J226" s="1328"/>
      <c r="K226" s="1328"/>
      <c r="L226" s="1328"/>
      <c r="M226" s="1328"/>
      <c r="N226" s="1328"/>
      <c r="O226" s="1328"/>
      <c r="P226" s="1308"/>
      <c r="Q226" s="1308"/>
      <c r="R226" s="1308"/>
      <c r="S226" s="1308"/>
      <c r="T226" s="468" cm="1" t="str">
        <f t="array" ref="T226:T226">T225</f>
        <v>false</v>
      </c>
      <c r="U226" s="1308"/>
      <c r="V226" s="1328"/>
      <c r="W226" s="1308"/>
      <c r="X226" s="1539"/>
      <c r="Y226" s="1528"/>
      <c r="Z226" s="1328"/>
      <c r="AA226" s="1328"/>
      <c r="AB226" s="236" t="s">
        <v>463</v>
      </c>
      <c r="AC226" s="325" t="s">
        <v>708</v>
      </c>
      <c r="AD226" s="89" t="s">
        <v>657</v>
      </c>
      <c r="AE226" s="311">
        <f>AE227+AE231+AE234+AE244</f>
        <v>0</v>
      </c>
      <c r="AF226" s="311">
        <f>AF227+AF231+AF234+AF244</f>
        <v>0</v>
      </c>
      <c r="AG226" s="311">
        <f>AG227+AG231+AG234+AG244</f>
        <v>0</v>
      </c>
      <c r="AH226" s="311">
        <f>AH227+AH231+AH234+AH244</f>
        <v>0</v>
      </c>
      <c r="AI226" s="311">
        <f>AI227+AI231+AI234+AI244</f>
        <v>0</v>
      </c>
      <c r="AJ226" s="311">
        <f>AJ227+AJ231+AJ234+AJ244</f>
        <v>0</v>
      </c>
      <c r="AK226" s="311">
        <f>AK227+AK231+AK234+AK244</f>
        <v>0</v>
      </c>
      <c r="AL226" s="311">
        <f>AL227+AL231+AL234+AL244</f>
        <v>0</v>
      </c>
      <c r="AM226" s="311">
        <f>AM227+AM231+AM234+AM244</f>
        <v>0</v>
      </c>
      <c r="AN226" s="311">
        <f>AN227+AN231+AN234+AN244</f>
        <v>0</v>
      </c>
      <c r="AO226" s="311">
        <f>AO227+AO231+AO234+AO244</f>
        <v>0</v>
      </c>
      <c r="AP226" s="311">
        <f>AP227+AP231+AP234+AP244</f>
        <v>0</v>
      </c>
      <c r="AQ226" s="311">
        <f>AQ227+AQ231+AQ234+AQ244</f>
        <v>0</v>
      </c>
      <c r="AR226" s="311">
        <f>AR227+AR231+AR234+AR244</f>
        <v>0</v>
      </c>
      <c r="AS226" s="311">
        <f>AS227+AS231+AS234+AS244</f>
        <v>0</v>
      </c>
      <c r="AT226" s="311">
        <f>AT227+AT231+AT234+AT244</f>
        <v>0</v>
      </c>
      <c r="AU226" s="311">
        <f>AU227+AU231+AU234+AU244</f>
        <v>0</v>
      </c>
      <c r="AV226" s="311">
        <f>AV227+AV231+AV234+AV244</f>
        <v>0</v>
      </c>
      <c r="AW226" s="311">
        <f>AW227+AW231+AW234+AW244</f>
        <v>0</v>
      </c>
      <c r="AX226" s="311">
        <f>AX227+AX231+AX234+AX244</f>
        <v>0</v>
      </c>
      <c r="AY226" s="311">
        <f>AY227+AY231+AY234+AY244</f>
        <v>0</v>
      </c>
      <c r="AZ226" s="311">
        <f>AZ227+AZ231+AZ234+AZ244</f>
        <v>0</v>
      </c>
      <c r="BA226" s="311">
        <f>BA227+BA231+BA234+BA244</f>
        <v>0</v>
      </c>
      <c r="BB226" s="311">
        <f>BB227+BB231+BB234+BB244</f>
        <v>0</v>
      </c>
      <c r="BC226" s="1975"/>
      <c r="BD226" s="1328"/>
      <c r="BE226" s="1328"/>
      <c r="BF226" s="1023" t="s">
        <v>709</v>
      </c>
    </row>
    <row s="1656" customFormat="1" customHeight="1" ht="12.75" hidden="1">
      <c r="A227" s="1328"/>
      <c r="B227" s="1186"/>
      <c r="C227" s="1328"/>
      <c r="D227" s="1328"/>
      <c r="E227" s="637">
        <v>15</v>
      </c>
      <c r="F227" s="50" cm="1" t="str">
        <f t="array" ref="F227:F227">OFFSET(E227,-1,1)</f>
        <v>2</v>
      </c>
      <c r="G227" s="94" t="str">
        <f>IF(OwnNeedsInPO="да","ПО","")</f>
        <v>ПО</v>
      </c>
      <c r="H227" s="94" t="s">
        <v>710</v>
      </c>
      <c r="I227" s="1328"/>
      <c r="J227" s="1328"/>
      <c r="K227" s="1328"/>
      <c r="L227" s="1328"/>
      <c r="M227" s="1328"/>
      <c r="N227" s="1328"/>
      <c r="O227" s="1328"/>
      <c r="P227" s="1308"/>
      <c r="Q227" s="1308"/>
      <c r="R227" s="1308"/>
      <c r="S227" s="1308"/>
      <c r="T227" s="468" cm="1" t="str">
        <f t="array" ref="T227:T227">T226</f>
        <v>false</v>
      </c>
      <c r="U227" s="1308"/>
      <c r="V227" s="1328"/>
      <c r="W227" s="1308"/>
      <c r="X227" s="1539"/>
      <c r="Y227" s="1528"/>
      <c r="Z227" s="1328"/>
      <c r="AA227" s="1328"/>
      <c r="AB227" s="236" t="s">
        <v>711</v>
      </c>
      <c r="AC227" s="188" t="s">
        <v>712</v>
      </c>
      <c r="AD227" s="89" t="s">
        <v>657</v>
      </c>
      <c r="AE227" s="311">
        <f>SUM(AE228:AE230)</f>
        <v>0</v>
      </c>
      <c r="AF227" s="311">
        <f>SUM(AF228:AF230)</f>
        <v>0</v>
      </c>
      <c r="AG227" s="311">
        <f>SUM(AG228:AG230)</f>
        <v>0</v>
      </c>
      <c r="AH227" s="311">
        <f>SUM(AH228:AH230)</f>
        <v>0</v>
      </c>
      <c r="AI227" s="311">
        <f>SUM(AI228:AI230)</f>
        <v>0</v>
      </c>
      <c r="AJ227" s="311">
        <f>SUM(AJ228:AJ230)</f>
        <v>0</v>
      </c>
      <c r="AK227" s="311">
        <f>SUM(AK228:AK230)</f>
        <v>0</v>
      </c>
      <c r="AL227" s="311">
        <f>SUM(AL228:AL230)</f>
        <v>0</v>
      </c>
      <c r="AM227" s="311">
        <f>SUM(AM228:AM230)</f>
        <v>0</v>
      </c>
      <c r="AN227" s="311">
        <f>SUM(AN228:AN230)</f>
        <v>0</v>
      </c>
      <c r="AO227" s="311">
        <f>SUM(AO228:AO230)</f>
        <v>0</v>
      </c>
      <c r="AP227" s="311">
        <f>SUM(AP228:AP230)</f>
        <v>0</v>
      </c>
      <c r="AQ227" s="311">
        <f>SUM(AQ228:AQ230)</f>
        <v>0</v>
      </c>
      <c r="AR227" s="311">
        <f>SUM(AR228:AR230)</f>
        <v>0</v>
      </c>
      <c r="AS227" s="311">
        <f>SUM(AS228:AS230)</f>
        <v>0</v>
      </c>
      <c r="AT227" s="311">
        <f>SUM(AT228:AT230)</f>
        <v>0</v>
      </c>
      <c r="AU227" s="311">
        <f>SUM(AU228:AU230)</f>
        <v>0</v>
      </c>
      <c r="AV227" s="311">
        <f>SUM(AV228:AV230)</f>
        <v>0</v>
      </c>
      <c r="AW227" s="311">
        <f>SUM(AW228:AW230)</f>
        <v>0</v>
      </c>
      <c r="AX227" s="311">
        <f>SUM(AX228:AX230)</f>
        <v>0</v>
      </c>
      <c r="AY227" s="311">
        <f>SUM(AY228:AY230)</f>
        <v>0</v>
      </c>
      <c r="AZ227" s="311">
        <f>SUM(AZ228:AZ230)</f>
        <v>0</v>
      </c>
      <c r="BA227" s="311">
        <f>SUM(BA228:BA230)</f>
        <v>0</v>
      </c>
      <c r="BB227" s="311">
        <f>SUM(BB228:BB230)</f>
        <v>0</v>
      </c>
      <c r="BC227" s="1975"/>
      <c r="BD227" s="1328"/>
      <c r="BE227" s="1328"/>
      <c r="BF227" s="1023" t="s">
        <v>713</v>
      </c>
    </row>
    <row s="1656" customFormat="1" customHeight="1" ht="12.75" hidden="1">
      <c r="A228" s="1328"/>
      <c r="B228" s="1186"/>
      <c r="C228" s="1328"/>
      <c r="D228" s="1328"/>
      <c r="E228" s="637">
        <v>15</v>
      </c>
      <c r="F228" s="50" cm="1" t="str">
        <f t="array" ref="F228:F228">OFFSET(E228,-1,1)</f>
        <v>2</v>
      </c>
      <c r="G228" s="1328"/>
      <c r="H228" s="94" t="s">
        <v>714</v>
      </c>
      <c r="I228" s="1328"/>
      <c r="J228" s="1328"/>
      <c r="K228" s="1328"/>
      <c r="L228" s="1328"/>
      <c r="M228" s="1328"/>
      <c r="N228" s="1328"/>
      <c r="O228" s="1328"/>
      <c r="P228" s="1308"/>
      <c r="Q228" s="1308"/>
      <c r="R228" s="1308"/>
      <c r="S228" s="1308"/>
      <c r="T228" s="468" cm="1" t="str">
        <f t="array" ref="T228:T228">T227</f>
        <v>false</v>
      </c>
      <c r="U228" s="1308"/>
      <c r="V228" s="1328"/>
      <c r="W228" s="1308"/>
      <c r="X228" s="1539"/>
      <c r="Y228" s="1528"/>
      <c r="Z228" s="1328"/>
      <c r="AA228" s="1328"/>
      <c r="AB228" s="236" t="s">
        <v>715</v>
      </c>
      <c r="AC228" s="328" t="s">
        <v>716</v>
      </c>
      <c r="AD228" s="89" t="s">
        <v>657</v>
      </c>
      <c r="AE228" s="1971"/>
      <c r="AF228" s="1971"/>
      <c r="AG228" s="1971"/>
      <c r="AH228" s="1971"/>
      <c r="AI228" s="1971"/>
      <c r="AJ228" s="1971"/>
      <c r="AK228" s="1971"/>
      <c r="AL228" s="1971"/>
      <c r="AM228" s="1971"/>
      <c r="AN228" s="1971"/>
      <c r="AO228" s="1971"/>
      <c r="AP228" s="1971"/>
      <c r="AQ228" s="1971"/>
      <c r="AR228" s="1971"/>
      <c r="AS228" s="1971"/>
      <c r="AT228" s="1971"/>
      <c r="AU228" s="1971"/>
      <c r="AV228" s="1971"/>
      <c r="AW228" s="1971"/>
      <c r="AX228" s="1971"/>
      <c r="AY228" s="1971"/>
      <c r="AZ228" s="1971"/>
      <c r="BA228" s="1971"/>
      <c r="BB228" s="1971"/>
      <c r="BC228" s="1975"/>
      <c r="BD228" s="1328"/>
      <c r="BE228" s="1328"/>
      <c r="BF228" s="1023" t="s">
        <v>717</v>
      </c>
    </row>
    <row s="1656" customFormat="1" customHeight="1" ht="12.75" hidden="1">
      <c r="A229" s="1328"/>
      <c r="B229" s="1186"/>
      <c r="C229" s="1328"/>
      <c r="D229" s="1328"/>
      <c r="E229" s="637">
        <v>15</v>
      </c>
      <c r="F229" s="50" cm="1" t="str">
        <f t="array" ref="F229:F229">OFFSET(E229,-1,1)</f>
        <v>2</v>
      </c>
      <c r="G229" s="1328"/>
      <c r="H229" s="94" t="s">
        <v>718</v>
      </c>
      <c r="I229" s="1328"/>
      <c r="J229" s="1328"/>
      <c r="K229" s="1328"/>
      <c r="L229" s="1328"/>
      <c r="M229" s="1328"/>
      <c r="N229" s="1328"/>
      <c r="O229" s="1328"/>
      <c r="P229" s="1308"/>
      <c r="Q229" s="1308"/>
      <c r="R229" s="1308"/>
      <c r="S229" s="1308"/>
      <c r="T229" s="468" cm="1" t="str">
        <f t="array" ref="T229:T229">T228</f>
        <v>false</v>
      </c>
      <c r="U229" s="1308"/>
      <c r="V229" s="1328"/>
      <c r="W229" s="1308"/>
      <c r="X229" s="1539"/>
      <c r="Y229" s="1528"/>
      <c r="Z229" s="1328"/>
      <c r="AA229" s="1328"/>
      <c r="AB229" s="236" t="s">
        <v>719</v>
      </c>
      <c r="AC229" s="328" t="s">
        <v>720</v>
      </c>
      <c r="AD229" s="89" t="s">
        <v>657</v>
      </c>
      <c r="AE229" s="1971"/>
      <c r="AF229" s="1971"/>
      <c r="AG229" s="1971"/>
      <c r="AH229" s="1971"/>
      <c r="AI229" s="1971"/>
      <c r="AJ229" s="1971"/>
      <c r="AK229" s="1971"/>
      <c r="AL229" s="1971"/>
      <c r="AM229" s="1971"/>
      <c r="AN229" s="1971"/>
      <c r="AO229" s="1971"/>
      <c r="AP229" s="1971"/>
      <c r="AQ229" s="1971"/>
      <c r="AR229" s="1971"/>
      <c r="AS229" s="1971"/>
      <c r="AT229" s="1971"/>
      <c r="AU229" s="1971"/>
      <c r="AV229" s="1971"/>
      <c r="AW229" s="1971"/>
      <c r="AX229" s="1971"/>
      <c r="AY229" s="1971"/>
      <c r="AZ229" s="1971"/>
      <c r="BA229" s="1971"/>
      <c r="BB229" s="1971"/>
      <c r="BC229" s="1975"/>
      <c r="BD229" s="1328"/>
      <c r="BE229" s="1328"/>
      <c r="BF229" s="1023" t="s">
        <v>721</v>
      </c>
    </row>
    <row s="1656" customFormat="1" customHeight="1" ht="12.75" hidden="1">
      <c r="A230" s="1328"/>
      <c r="B230" s="1186"/>
      <c r="C230" s="1328"/>
      <c r="D230" s="1328"/>
      <c r="E230" s="637">
        <v>15</v>
      </c>
      <c r="F230" s="50" cm="1" t="str">
        <f t="array" ref="F230:F230">OFFSET(E230,-1,1)</f>
        <v>2</v>
      </c>
      <c r="G230" s="1328"/>
      <c r="H230" s="94" t="s">
        <v>722</v>
      </c>
      <c r="I230" s="1328"/>
      <c r="J230" s="1328"/>
      <c r="K230" s="1328"/>
      <c r="L230" s="1328"/>
      <c r="M230" s="1328"/>
      <c r="N230" s="1328"/>
      <c r="O230" s="1328"/>
      <c r="P230" s="1308"/>
      <c r="Q230" s="1308"/>
      <c r="R230" s="1308"/>
      <c r="S230" s="1308"/>
      <c r="T230" s="468" cm="1" t="str">
        <f t="array" ref="T230:T230">T229</f>
        <v>false</v>
      </c>
      <c r="U230" s="1308"/>
      <c r="V230" s="1328"/>
      <c r="W230" s="1308"/>
      <c r="X230" s="1539"/>
      <c r="Y230" s="1528"/>
      <c r="Z230" s="1328"/>
      <c r="AA230" s="1328"/>
      <c r="AB230" s="236" t="s">
        <v>723</v>
      </c>
      <c r="AC230" s="328" t="s">
        <v>724</v>
      </c>
      <c r="AD230" s="89" t="s">
        <v>657</v>
      </c>
      <c r="AE230" s="1971"/>
      <c r="AF230" s="1971"/>
      <c r="AG230" s="1971"/>
      <c r="AH230" s="1971"/>
      <c r="AI230" s="1971"/>
      <c r="AJ230" s="1971"/>
      <c r="AK230" s="1971"/>
      <c r="AL230" s="1971"/>
      <c r="AM230" s="1971"/>
      <c r="AN230" s="1971"/>
      <c r="AO230" s="1971"/>
      <c r="AP230" s="1971"/>
      <c r="AQ230" s="1971"/>
      <c r="AR230" s="1971"/>
      <c r="AS230" s="1971"/>
      <c r="AT230" s="1971"/>
      <c r="AU230" s="1971"/>
      <c r="AV230" s="1971"/>
      <c r="AW230" s="1971"/>
      <c r="AX230" s="1971"/>
      <c r="AY230" s="1971"/>
      <c r="AZ230" s="1971"/>
      <c r="BA230" s="1971"/>
      <c r="BB230" s="1971"/>
      <c r="BC230" s="1975"/>
      <c r="BD230" s="1328"/>
      <c r="BE230" s="1328"/>
      <c r="BF230" s="1023" t="s">
        <v>725</v>
      </c>
    </row>
    <row s="1656" customFormat="1" customHeight="1" ht="12.75" hidden="1">
      <c r="A231" s="1328"/>
      <c r="B231" s="1186"/>
      <c r="C231" s="1328"/>
      <c r="D231" s="1328"/>
      <c r="E231" s="637">
        <v>15</v>
      </c>
      <c r="F231" s="50" cm="1" t="str">
        <f t="array" ref="F231:F231">OFFSET(E231,-1,1)</f>
        <v>2</v>
      </c>
      <c r="G231" s="94" t="s">
        <v>726</v>
      </c>
      <c r="H231" s="94" t="s">
        <v>727</v>
      </c>
      <c r="I231" s="1328"/>
      <c r="J231" s="1328"/>
      <c r="K231" s="1328"/>
      <c r="L231" s="1328"/>
      <c r="M231" s="1328"/>
      <c r="N231" s="1328"/>
      <c r="O231" s="1328"/>
      <c r="P231" s="1308"/>
      <c r="Q231" s="1308"/>
      <c r="R231" s="1308"/>
      <c r="S231" s="1308"/>
      <c r="T231" s="468" cm="1" t="str">
        <f t="array" ref="T231:T231">T230</f>
        <v>false</v>
      </c>
      <c r="U231" s="1308"/>
      <c r="V231" s="1328"/>
      <c r="W231" s="1308"/>
      <c r="X231" s="1539"/>
      <c r="Y231" s="1528"/>
      <c r="Z231" s="1328"/>
      <c r="AA231" s="1328"/>
      <c r="AB231" s="236" t="s">
        <v>728</v>
      </c>
      <c r="AC231" s="188" t="s">
        <v>729</v>
      </c>
      <c r="AD231" s="89" t="s">
        <v>657</v>
      </c>
      <c r="AE231" s="311">
        <f>SUM(AE232:AE233)</f>
        <v>0</v>
      </c>
      <c r="AF231" s="311">
        <f>SUM(AF232:AF233)</f>
        <v>0</v>
      </c>
      <c r="AG231" s="311">
        <f>SUM(AG232:AG233)</f>
        <v>0</v>
      </c>
      <c r="AH231" s="311">
        <f>SUM(AH232:AH233)</f>
        <v>0</v>
      </c>
      <c r="AI231" s="311">
        <f>SUM(AI232:AI233)</f>
        <v>0</v>
      </c>
      <c r="AJ231" s="311">
        <f>SUM(AJ232:AJ233)</f>
        <v>0</v>
      </c>
      <c r="AK231" s="311">
        <f>SUM(AK232:AK233)</f>
        <v>0</v>
      </c>
      <c r="AL231" s="311">
        <f>SUM(AL232:AL233)</f>
        <v>0</v>
      </c>
      <c r="AM231" s="311">
        <f>SUM(AM232:AM233)</f>
        <v>0</v>
      </c>
      <c r="AN231" s="311">
        <f>SUM(AN232:AN233)</f>
        <v>0</v>
      </c>
      <c r="AO231" s="311">
        <f>SUM(AO232:AO233)</f>
        <v>0</v>
      </c>
      <c r="AP231" s="311">
        <f>SUM(AP232:AP233)</f>
        <v>0</v>
      </c>
      <c r="AQ231" s="311">
        <f>SUM(AQ232:AQ233)</f>
        <v>0</v>
      </c>
      <c r="AR231" s="311">
        <f>SUM(AR232:AR233)</f>
        <v>0</v>
      </c>
      <c r="AS231" s="311">
        <f>SUM(AS232:AS233)</f>
        <v>0</v>
      </c>
      <c r="AT231" s="311">
        <f>SUM(AT232:AT233)</f>
        <v>0</v>
      </c>
      <c r="AU231" s="311">
        <f>SUM(AU232:AU233)</f>
        <v>0</v>
      </c>
      <c r="AV231" s="311">
        <f>SUM(AV232:AV233)</f>
        <v>0</v>
      </c>
      <c r="AW231" s="311">
        <f>SUM(AW232:AW233)</f>
        <v>0</v>
      </c>
      <c r="AX231" s="311">
        <f>SUM(AX232:AX233)</f>
        <v>0</v>
      </c>
      <c r="AY231" s="311">
        <f>SUM(AY232:AY233)</f>
        <v>0</v>
      </c>
      <c r="AZ231" s="311">
        <f>SUM(AZ232:AZ233)</f>
        <v>0</v>
      </c>
      <c r="BA231" s="311">
        <f>SUM(BA232:BA233)</f>
        <v>0</v>
      </c>
      <c r="BB231" s="311">
        <f>SUM(BB232:BB233)</f>
        <v>0</v>
      </c>
      <c r="BC231" s="1975"/>
      <c r="BD231" s="1328"/>
      <c r="BE231" s="1328"/>
      <c r="BF231" s="1023" t="s">
        <v>730</v>
      </c>
    </row>
    <row s="1656" customFormat="1" customHeight="1" ht="12.75" hidden="1">
      <c r="A232" s="1328"/>
      <c r="B232" s="1186"/>
      <c r="C232" s="1328"/>
      <c r="D232" s="1328"/>
      <c r="E232" s="637">
        <v>15</v>
      </c>
      <c r="F232" s="50" cm="1" t="str">
        <f t="array" ref="F232:F232">OFFSET(E232,-1,1)</f>
        <v>2</v>
      </c>
      <c r="G232" s="1328"/>
      <c r="H232" s="94" t="s">
        <v>731</v>
      </c>
      <c r="I232" s="1328"/>
      <c r="J232" s="1328"/>
      <c r="K232" s="1328"/>
      <c r="L232" s="1328"/>
      <c r="M232" s="1328"/>
      <c r="N232" s="1328"/>
      <c r="O232" s="1328"/>
      <c r="P232" s="1308"/>
      <c r="Q232" s="1308"/>
      <c r="R232" s="1308"/>
      <c r="S232" s="1308"/>
      <c r="T232" s="468" cm="1" t="str">
        <f t="array" ref="T232:T232">T231</f>
        <v>false</v>
      </c>
      <c r="U232" s="1308"/>
      <c r="V232" s="1328"/>
      <c r="W232" s="1308"/>
      <c r="X232" s="1539"/>
      <c r="Y232" s="1528"/>
      <c r="Z232" s="1328"/>
      <c r="AA232" s="1328"/>
      <c r="AB232" s="236" t="s">
        <v>732</v>
      </c>
      <c r="AC232" s="328" t="s">
        <v>733</v>
      </c>
      <c r="AD232" s="89" t="s">
        <v>657</v>
      </c>
      <c r="AE232" s="1971"/>
      <c r="AF232" s="1971"/>
      <c r="AG232" s="1971"/>
      <c r="AH232" s="1971"/>
      <c r="AI232" s="1971"/>
      <c r="AJ232" s="1971"/>
      <c r="AK232" s="1971"/>
      <c r="AL232" s="1971"/>
      <c r="AM232" s="1971"/>
      <c r="AN232" s="1971"/>
      <c r="AO232" s="1971"/>
      <c r="AP232" s="1971"/>
      <c r="AQ232" s="1971"/>
      <c r="AR232" s="1971"/>
      <c r="AS232" s="1971"/>
      <c r="AT232" s="1971"/>
      <c r="AU232" s="1971"/>
      <c r="AV232" s="1971"/>
      <c r="AW232" s="1971"/>
      <c r="AX232" s="1971"/>
      <c r="AY232" s="1971"/>
      <c r="AZ232" s="1971"/>
      <c r="BA232" s="1971"/>
      <c r="BB232" s="1971"/>
      <c r="BC232" s="1975"/>
      <c r="BD232" s="1328"/>
      <c r="BE232" s="1328"/>
      <c r="BF232" s="1023" t="s">
        <v>734</v>
      </c>
    </row>
    <row s="1656" customFormat="1" customHeight="1" ht="12.75" hidden="1">
      <c r="A233" s="1328"/>
      <c r="B233" s="1186"/>
      <c r="C233" s="1328"/>
      <c r="D233" s="1328"/>
      <c r="E233" s="637">
        <v>15</v>
      </c>
      <c r="F233" s="50" cm="1" t="str">
        <f t="array" ref="F233:F233">OFFSET(E233,-1,1)</f>
        <v>2</v>
      </c>
      <c r="G233" s="1328"/>
      <c r="H233" s="94" t="s">
        <v>735</v>
      </c>
      <c r="I233" s="1328"/>
      <c r="J233" s="1328"/>
      <c r="K233" s="1328"/>
      <c r="L233" s="1328"/>
      <c r="M233" s="1328"/>
      <c r="N233" s="1328"/>
      <c r="O233" s="1328"/>
      <c r="P233" s="1308"/>
      <c r="Q233" s="1308"/>
      <c r="R233" s="1308"/>
      <c r="S233" s="1308"/>
      <c r="T233" s="468" cm="1" t="str">
        <f t="array" ref="T233:T233">T232</f>
        <v>false</v>
      </c>
      <c r="U233" s="1308"/>
      <c r="V233" s="1328"/>
      <c r="W233" s="1308"/>
      <c r="X233" s="1539"/>
      <c r="Y233" s="1528"/>
      <c r="Z233" s="1328"/>
      <c r="AA233" s="1328"/>
      <c r="AB233" s="236" t="s">
        <v>736</v>
      </c>
      <c r="AC233" s="328" t="s">
        <v>737</v>
      </c>
      <c r="AD233" s="89" t="s">
        <v>657</v>
      </c>
      <c r="AE233" s="1971"/>
      <c r="AF233" s="1971"/>
      <c r="AG233" s="1971"/>
      <c r="AH233" s="1971"/>
      <c r="AI233" s="1971"/>
      <c r="AJ233" s="1971"/>
      <c r="AK233" s="1971"/>
      <c r="AL233" s="1971"/>
      <c r="AM233" s="1971"/>
      <c r="AN233" s="1971"/>
      <c r="AO233" s="1971"/>
      <c r="AP233" s="1971"/>
      <c r="AQ233" s="1971"/>
      <c r="AR233" s="1971"/>
      <c r="AS233" s="1971"/>
      <c r="AT233" s="1971"/>
      <c r="AU233" s="1971"/>
      <c r="AV233" s="1971"/>
      <c r="AW233" s="1971"/>
      <c r="AX233" s="1971"/>
      <c r="AY233" s="1971"/>
      <c r="AZ233" s="1971"/>
      <c r="BA233" s="1971"/>
      <c r="BB233" s="1971"/>
      <c r="BC233" s="1975"/>
      <c r="BD233" s="1328"/>
      <c r="BE233" s="1328"/>
      <c r="BF233" s="1023" t="s">
        <v>738</v>
      </c>
    </row>
    <row s="1656" customFormat="1" customHeight="1" ht="12.75" hidden="1">
      <c r="A234" s="1328"/>
      <c r="B234" s="1186"/>
      <c r="C234" s="1328"/>
      <c r="D234" s="1328"/>
      <c r="E234" s="637">
        <v>15</v>
      </c>
      <c r="F234" s="50" cm="1" t="str">
        <f t="array" ref="F234:F234">OFFSET(E234,-1,1)</f>
        <v>2</v>
      </c>
      <c r="G234" s="94" t="s">
        <v>726</v>
      </c>
      <c r="H234" s="94" t="s">
        <v>739</v>
      </c>
      <c r="I234" s="1328"/>
      <c r="J234" s="1328"/>
      <c r="K234" s="1328"/>
      <c r="L234" s="1328"/>
      <c r="M234" s="1328"/>
      <c r="N234" s="1328"/>
      <c r="O234" s="1328"/>
      <c r="P234" s="1308"/>
      <c r="Q234" s="1308"/>
      <c r="R234" s="1308"/>
      <c r="S234" s="1308"/>
      <c r="T234" s="468" cm="1" t="str">
        <f t="array" ref="T234:T234">T233</f>
        <v>false</v>
      </c>
      <c r="U234" s="1308"/>
      <c r="V234" s="1328"/>
      <c r="W234" s="1308"/>
      <c r="X234" s="1539"/>
      <c r="Y234" s="1528"/>
      <c r="Z234" s="1328"/>
      <c r="AA234" s="1328"/>
      <c r="AB234" s="236" t="s">
        <v>740</v>
      </c>
      <c r="AC234" s="188" t="s">
        <v>741</v>
      </c>
      <c r="AD234" s="89" t="s">
        <v>657</v>
      </c>
      <c r="AE234" s="311">
        <f>AE235+AE238+AE241</f>
        <v>0</v>
      </c>
      <c r="AF234" s="311">
        <f>AF235+AF238+AF241</f>
        <v>0</v>
      </c>
      <c r="AG234" s="311">
        <f>AG235+AG238+AG241</f>
        <v>0</v>
      </c>
      <c r="AH234" s="311">
        <f>AH235+AH238+AH241</f>
        <v>0</v>
      </c>
      <c r="AI234" s="311">
        <f>AI235+AI238+AI241</f>
        <v>0</v>
      </c>
      <c r="AJ234" s="311">
        <f>AJ235+AJ238+AJ241</f>
        <v>0</v>
      </c>
      <c r="AK234" s="311">
        <f>AK235+AK238+AK241</f>
        <v>0</v>
      </c>
      <c r="AL234" s="311">
        <f>AL235+AL238+AL241</f>
        <v>0</v>
      </c>
      <c r="AM234" s="311">
        <f>AM235+AM238+AM241</f>
        <v>0</v>
      </c>
      <c r="AN234" s="311">
        <f>AN235+AN238+AN241</f>
        <v>0</v>
      </c>
      <c r="AO234" s="311">
        <f>AO235+AO238+AO241</f>
        <v>0</v>
      </c>
      <c r="AP234" s="311">
        <f>AP235+AP238+AP241</f>
        <v>0</v>
      </c>
      <c r="AQ234" s="311">
        <f>AQ235+AQ238+AQ241</f>
        <v>0</v>
      </c>
      <c r="AR234" s="311">
        <f>AR235+AR238+AR241</f>
        <v>0</v>
      </c>
      <c r="AS234" s="311">
        <f>AS235+AS238+AS241</f>
        <v>0</v>
      </c>
      <c r="AT234" s="311">
        <f>AT235+AT238+AT241</f>
        <v>0</v>
      </c>
      <c r="AU234" s="311">
        <f>AU235+AU238+AU241</f>
        <v>0</v>
      </c>
      <c r="AV234" s="311">
        <f>AV235+AV238+AV241</f>
        <v>0</v>
      </c>
      <c r="AW234" s="311">
        <f>AW235+AW238+AW241</f>
        <v>0</v>
      </c>
      <c r="AX234" s="311">
        <f>AX235+AX238+AX241</f>
        <v>0</v>
      </c>
      <c r="AY234" s="311">
        <f>AY235+AY238+AY241</f>
        <v>0</v>
      </c>
      <c r="AZ234" s="311">
        <f>AZ235+AZ238+AZ241</f>
        <v>0</v>
      </c>
      <c r="BA234" s="311">
        <f>BA235+BA238+BA241</f>
        <v>0</v>
      </c>
      <c r="BB234" s="311">
        <f>BB235+BB238+BB241</f>
        <v>0</v>
      </c>
      <c r="BC234" s="1975"/>
      <c r="BD234" s="1328"/>
      <c r="BE234" s="1328"/>
      <c r="BF234" s="1023" t="s">
        <v>742</v>
      </c>
    </row>
    <row s="1656" customFormat="1" customHeight="1" ht="12.75" hidden="1">
      <c r="A235" s="1328"/>
      <c r="B235" s="1186"/>
      <c r="C235" s="1328"/>
      <c r="D235" s="1328"/>
      <c r="E235" s="637">
        <v>15</v>
      </c>
      <c r="F235" s="50" cm="1" t="str">
        <f t="array" ref="F235:F235">OFFSET(E235,-1,1)</f>
        <v>2</v>
      </c>
      <c r="G235" s="1328"/>
      <c r="H235" s="94" t="s">
        <v>743</v>
      </c>
      <c r="I235" s="1328"/>
      <c r="J235" s="1328"/>
      <c r="K235" s="1328"/>
      <c r="L235" s="1328"/>
      <c r="M235" s="1328"/>
      <c r="N235" s="1328"/>
      <c r="O235" s="1328"/>
      <c r="P235" s="1308"/>
      <c r="Q235" s="1308"/>
      <c r="R235" s="1308"/>
      <c r="S235" s="1308"/>
      <c r="T235" s="468" cm="1" t="str">
        <f t="array" ref="T235:T235">T234</f>
        <v>false</v>
      </c>
      <c r="U235" s="1308"/>
      <c r="V235" s="1328"/>
      <c r="W235" s="1308"/>
      <c r="X235" s="1539"/>
      <c r="Y235" s="1528"/>
      <c r="Z235" s="1328"/>
      <c r="AA235" s="1328"/>
      <c r="AB235" s="236" t="s">
        <v>744</v>
      </c>
      <c r="AC235" s="328" t="s">
        <v>745</v>
      </c>
      <c r="AD235" s="89" t="s">
        <v>657</v>
      </c>
      <c r="AE235" s="311">
        <f>SUM(AE236:AE237)</f>
        <v>0</v>
      </c>
      <c r="AF235" s="311">
        <f>SUM(AF236:AF237)</f>
        <v>0</v>
      </c>
      <c r="AG235" s="311">
        <f>SUM(AG236:AG237)</f>
        <v>0</v>
      </c>
      <c r="AH235" s="311">
        <f>SUM(AH236:AH237)</f>
        <v>0</v>
      </c>
      <c r="AI235" s="311">
        <f>SUM(AI236:AI237)</f>
        <v>0</v>
      </c>
      <c r="AJ235" s="311">
        <f>SUM(AJ236:AJ237)</f>
        <v>0</v>
      </c>
      <c r="AK235" s="311">
        <f>SUM(AK236:AK237)</f>
        <v>0</v>
      </c>
      <c r="AL235" s="311">
        <f>SUM(AL236:AL237)</f>
        <v>0</v>
      </c>
      <c r="AM235" s="311">
        <f>SUM(AM236:AM237)</f>
        <v>0</v>
      </c>
      <c r="AN235" s="311">
        <f>SUM(AN236:AN237)</f>
        <v>0</v>
      </c>
      <c r="AO235" s="311">
        <f>SUM(AO236:AO237)</f>
        <v>0</v>
      </c>
      <c r="AP235" s="311">
        <f>SUM(AP236:AP237)</f>
        <v>0</v>
      </c>
      <c r="AQ235" s="311">
        <f>SUM(AQ236:AQ237)</f>
        <v>0</v>
      </c>
      <c r="AR235" s="311">
        <f>SUM(AR236:AR237)</f>
        <v>0</v>
      </c>
      <c r="AS235" s="311">
        <f>SUM(AS236:AS237)</f>
        <v>0</v>
      </c>
      <c r="AT235" s="311">
        <f>SUM(AT236:AT237)</f>
        <v>0</v>
      </c>
      <c r="AU235" s="311">
        <f>SUM(AU236:AU237)</f>
        <v>0</v>
      </c>
      <c r="AV235" s="311">
        <f>SUM(AV236:AV237)</f>
        <v>0</v>
      </c>
      <c r="AW235" s="311">
        <f>SUM(AW236:AW237)</f>
        <v>0</v>
      </c>
      <c r="AX235" s="311">
        <f>SUM(AX236:AX237)</f>
        <v>0</v>
      </c>
      <c r="AY235" s="311">
        <f>SUM(AY236:AY237)</f>
        <v>0</v>
      </c>
      <c r="AZ235" s="311">
        <f>SUM(AZ236:AZ237)</f>
        <v>0</v>
      </c>
      <c r="BA235" s="311">
        <f>SUM(BA236:BA237)</f>
        <v>0</v>
      </c>
      <c r="BB235" s="311">
        <f>SUM(BB236:BB237)</f>
        <v>0</v>
      </c>
      <c r="BC235" s="1975"/>
      <c r="BD235" s="1328"/>
      <c r="BE235" s="1328"/>
      <c r="BF235" s="1023" t="s">
        <v>746</v>
      </c>
    </row>
    <row s="1656" customFormat="1" customHeight="1" ht="12.75" hidden="1">
      <c r="A236" s="1328"/>
      <c r="B236" s="1186"/>
      <c r="C236" s="1328"/>
      <c r="D236" s="1328"/>
      <c r="E236" s="637">
        <v>15</v>
      </c>
      <c r="F236" s="50" cm="1" t="str">
        <f t="array" ref="F236:F236">OFFSET(E236,-1,1)</f>
        <v>2</v>
      </c>
      <c r="G236" s="1328"/>
      <c r="H236" s="94" t="s">
        <v>747</v>
      </c>
      <c r="I236" s="1328"/>
      <c r="J236" s="1328"/>
      <c r="K236" s="1328"/>
      <c r="L236" s="1328"/>
      <c r="M236" s="1328"/>
      <c r="N236" s="1328"/>
      <c r="O236" s="1328"/>
      <c r="P236" s="1308"/>
      <c r="Q236" s="1308"/>
      <c r="R236" s="1308"/>
      <c r="S236" s="1308"/>
      <c r="T236" s="468" cm="1" t="str">
        <f t="array" ref="T236:T236">T235</f>
        <v>false</v>
      </c>
      <c r="U236" s="1308"/>
      <c r="V236" s="1328"/>
      <c r="W236" s="1308"/>
      <c r="X236" s="1539"/>
      <c r="Y236" s="1528"/>
      <c r="Z236" s="1328"/>
      <c r="AA236" s="1328"/>
      <c r="AB236" s="236" t="s">
        <v>748</v>
      </c>
      <c r="AC236" s="329" t="s">
        <v>733</v>
      </c>
      <c r="AD236" s="89" t="s">
        <v>657</v>
      </c>
      <c r="AE236" s="1971"/>
      <c r="AF236" s="1971"/>
      <c r="AG236" s="1971"/>
      <c r="AH236" s="1971"/>
      <c r="AI236" s="1971"/>
      <c r="AJ236" s="1971"/>
      <c r="AK236" s="1971"/>
      <c r="AL236" s="1971"/>
      <c r="AM236" s="1971"/>
      <c r="AN236" s="1971"/>
      <c r="AO236" s="1971"/>
      <c r="AP236" s="1971"/>
      <c r="AQ236" s="1971"/>
      <c r="AR236" s="1971"/>
      <c r="AS236" s="1971"/>
      <c r="AT236" s="1971"/>
      <c r="AU236" s="1971"/>
      <c r="AV236" s="1971"/>
      <c r="AW236" s="1971"/>
      <c r="AX236" s="1971"/>
      <c r="AY236" s="1971"/>
      <c r="AZ236" s="1971"/>
      <c r="BA236" s="1971"/>
      <c r="BB236" s="1971"/>
      <c r="BC236" s="1975"/>
      <c r="BD236" s="1328"/>
      <c r="BE236" s="1328"/>
      <c r="BF236" s="1023" t="s">
        <v>749</v>
      </c>
    </row>
    <row s="1656" customFormat="1" customHeight="1" ht="12.75" hidden="1">
      <c r="A237" s="1328"/>
      <c r="B237" s="1186"/>
      <c r="C237" s="1328"/>
      <c r="D237" s="1328"/>
      <c r="E237" s="637">
        <v>15</v>
      </c>
      <c r="F237" s="50" cm="1" t="str">
        <f t="array" ref="F237:F237">OFFSET(E237,-1,1)</f>
        <v>2</v>
      </c>
      <c r="G237" s="1328"/>
      <c r="H237" s="94" t="s">
        <v>750</v>
      </c>
      <c r="I237" s="1328"/>
      <c r="J237" s="1328"/>
      <c r="K237" s="1328"/>
      <c r="L237" s="1328"/>
      <c r="M237" s="1328"/>
      <c r="N237" s="1328"/>
      <c r="O237" s="1328"/>
      <c r="P237" s="1308"/>
      <c r="Q237" s="1308"/>
      <c r="R237" s="1308"/>
      <c r="S237" s="1308"/>
      <c r="T237" s="468" cm="1" t="str">
        <f t="array" ref="T237:T237">T236</f>
        <v>false</v>
      </c>
      <c r="U237" s="1308"/>
      <c r="V237" s="1328"/>
      <c r="W237" s="1308"/>
      <c r="X237" s="1539"/>
      <c r="Y237" s="1528"/>
      <c r="Z237" s="1328"/>
      <c r="AA237" s="1328"/>
      <c r="AB237" s="236" t="s">
        <v>751</v>
      </c>
      <c r="AC237" s="329" t="s">
        <v>737</v>
      </c>
      <c r="AD237" s="89" t="s">
        <v>657</v>
      </c>
      <c r="AE237" s="1971"/>
      <c r="AF237" s="1971"/>
      <c r="AG237" s="1971"/>
      <c r="AH237" s="1971"/>
      <c r="AI237" s="1971"/>
      <c r="AJ237" s="1971"/>
      <c r="AK237" s="1971"/>
      <c r="AL237" s="1971"/>
      <c r="AM237" s="1971"/>
      <c r="AN237" s="1971"/>
      <c r="AO237" s="1971"/>
      <c r="AP237" s="1971"/>
      <c r="AQ237" s="1971"/>
      <c r="AR237" s="1971"/>
      <c r="AS237" s="1971"/>
      <c r="AT237" s="1971"/>
      <c r="AU237" s="1971"/>
      <c r="AV237" s="1971"/>
      <c r="AW237" s="1971"/>
      <c r="AX237" s="1971"/>
      <c r="AY237" s="1971"/>
      <c r="AZ237" s="1971"/>
      <c r="BA237" s="1971"/>
      <c r="BB237" s="1971"/>
      <c r="BC237" s="1975"/>
      <c r="BD237" s="1328"/>
      <c r="BE237" s="1328"/>
      <c r="BF237" s="1023" t="s">
        <v>752</v>
      </c>
    </row>
    <row s="1656" customFormat="1" customHeight="1" ht="12.75" hidden="1">
      <c r="A238" s="1328"/>
      <c r="B238" s="1186"/>
      <c r="C238" s="1328"/>
      <c r="D238" s="1328"/>
      <c r="E238" s="637">
        <v>15</v>
      </c>
      <c r="F238" s="50" cm="1" t="str">
        <f t="array" ref="F238:F238">OFFSET(E238,-1,1)</f>
        <v>2</v>
      </c>
      <c r="G238" s="94" t="s">
        <v>753</v>
      </c>
      <c r="H238" s="94" t="s">
        <v>754</v>
      </c>
      <c r="I238" s="1328"/>
      <c r="J238" s="1328"/>
      <c r="K238" s="1328"/>
      <c r="L238" s="1328"/>
      <c r="M238" s="1328"/>
      <c r="N238" s="1328"/>
      <c r="O238" s="1328"/>
      <c r="P238" s="1308"/>
      <c r="Q238" s="1308"/>
      <c r="R238" s="1308"/>
      <c r="S238" s="1308"/>
      <c r="T238" s="468" cm="1" t="str">
        <f t="array" ref="T238:T238">T237</f>
        <v>false</v>
      </c>
      <c r="U238" s="1308"/>
      <c r="V238" s="1328"/>
      <c r="W238" s="1308"/>
      <c r="X238" s="1539"/>
      <c r="Y238" s="1528"/>
      <c r="Z238" s="1328"/>
      <c r="AA238" s="1328"/>
      <c r="AB238" s="236" t="s">
        <v>755</v>
      </c>
      <c r="AC238" s="328" t="s">
        <v>756</v>
      </c>
      <c r="AD238" s="89" t="s">
        <v>657</v>
      </c>
      <c r="AE238" s="311">
        <f>SUM(AE239:AE240)</f>
        <v>0</v>
      </c>
      <c r="AF238" s="311">
        <f>SUM(AF239:AF240)</f>
        <v>0</v>
      </c>
      <c r="AG238" s="311">
        <f>SUM(AG239:AG240)</f>
        <v>0</v>
      </c>
      <c r="AH238" s="311">
        <f>SUM(AH239:AH240)</f>
        <v>0</v>
      </c>
      <c r="AI238" s="311">
        <f>SUM(AI239:AI240)</f>
        <v>0</v>
      </c>
      <c r="AJ238" s="311">
        <f>SUM(AJ239:AJ240)</f>
        <v>0</v>
      </c>
      <c r="AK238" s="311">
        <f>SUM(AK239:AK240)</f>
        <v>0</v>
      </c>
      <c r="AL238" s="311">
        <f>SUM(AL239:AL240)</f>
        <v>0</v>
      </c>
      <c r="AM238" s="311">
        <f>SUM(AM239:AM240)</f>
        <v>0</v>
      </c>
      <c r="AN238" s="311">
        <f>SUM(AN239:AN240)</f>
        <v>0</v>
      </c>
      <c r="AO238" s="311">
        <f>SUM(AO239:AO240)</f>
        <v>0</v>
      </c>
      <c r="AP238" s="311">
        <f>SUM(AP239:AP240)</f>
        <v>0</v>
      </c>
      <c r="AQ238" s="311">
        <f>SUM(AQ239:AQ240)</f>
        <v>0</v>
      </c>
      <c r="AR238" s="311">
        <f>SUM(AR239:AR240)</f>
        <v>0</v>
      </c>
      <c r="AS238" s="311">
        <f>SUM(AS239:AS240)</f>
        <v>0</v>
      </c>
      <c r="AT238" s="311">
        <f>SUM(AT239:AT240)</f>
        <v>0</v>
      </c>
      <c r="AU238" s="311">
        <f>SUM(AU239:AU240)</f>
        <v>0</v>
      </c>
      <c r="AV238" s="311">
        <f>SUM(AV239:AV240)</f>
        <v>0</v>
      </c>
      <c r="AW238" s="311">
        <f>SUM(AW239:AW240)</f>
        <v>0</v>
      </c>
      <c r="AX238" s="311">
        <f>SUM(AX239:AX240)</f>
        <v>0</v>
      </c>
      <c r="AY238" s="311">
        <f>SUM(AY239:AY240)</f>
        <v>0</v>
      </c>
      <c r="AZ238" s="311">
        <f>SUM(AZ239:AZ240)</f>
        <v>0</v>
      </c>
      <c r="BA238" s="311">
        <f>SUM(BA239:BA240)</f>
        <v>0</v>
      </c>
      <c r="BB238" s="311">
        <f>SUM(BB239:BB240)</f>
        <v>0</v>
      </c>
      <c r="BC238" s="1975"/>
      <c r="BD238" s="1328"/>
      <c r="BE238" s="1328"/>
      <c r="BF238" s="1023" t="s">
        <v>757</v>
      </c>
    </row>
    <row s="1656" customFormat="1" customHeight="1" ht="12.75" hidden="1">
      <c r="A239" s="1328"/>
      <c r="B239" s="1186"/>
      <c r="C239" s="1328"/>
      <c r="D239" s="1328"/>
      <c r="E239" s="637">
        <v>15</v>
      </c>
      <c r="F239" s="50" cm="1" t="str">
        <f t="array" ref="F239:F239">OFFSET(E239,-1,1)</f>
        <v>2</v>
      </c>
      <c r="G239" s="1328"/>
      <c r="H239" s="94" t="s">
        <v>758</v>
      </c>
      <c r="I239" s="1328"/>
      <c r="J239" s="1328"/>
      <c r="K239" s="1328"/>
      <c r="L239" s="1328"/>
      <c r="M239" s="1328"/>
      <c r="N239" s="1328"/>
      <c r="O239" s="1328"/>
      <c r="P239" s="1308"/>
      <c r="Q239" s="1308"/>
      <c r="R239" s="1308"/>
      <c r="S239" s="1308"/>
      <c r="T239" s="468" cm="1" t="str">
        <f t="array" ref="T239:T239">T238</f>
        <v>false</v>
      </c>
      <c r="U239" s="1308"/>
      <c r="V239" s="1328"/>
      <c r="W239" s="1308"/>
      <c r="X239" s="1539"/>
      <c r="Y239" s="1528"/>
      <c r="Z239" s="1328"/>
      <c r="AA239" s="1328"/>
      <c r="AB239" s="236" t="s">
        <v>759</v>
      </c>
      <c r="AC239" s="329" t="s">
        <v>733</v>
      </c>
      <c r="AD239" s="89" t="s">
        <v>657</v>
      </c>
      <c r="AE239" s="1971"/>
      <c r="AF239" s="1971"/>
      <c r="AG239" s="1971"/>
      <c r="AH239" s="1971"/>
      <c r="AI239" s="1971"/>
      <c r="AJ239" s="1971"/>
      <c r="AK239" s="1971"/>
      <c r="AL239" s="1971"/>
      <c r="AM239" s="1971"/>
      <c r="AN239" s="1971"/>
      <c r="AO239" s="1971"/>
      <c r="AP239" s="1971"/>
      <c r="AQ239" s="1971"/>
      <c r="AR239" s="1971"/>
      <c r="AS239" s="1971"/>
      <c r="AT239" s="1971"/>
      <c r="AU239" s="1971"/>
      <c r="AV239" s="1971"/>
      <c r="AW239" s="1971"/>
      <c r="AX239" s="1971"/>
      <c r="AY239" s="1971"/>
      <c r="AZ239" s="1971"/>
      <c r="BA239" s="1971"/>
      <c r="BB239" s="1971"/>
      <c r="BC239" s="1975"/>
      <c r="BD239" s="1328"/>
      <c r="BE239" s="1328"/>
      <c r="BF239" s="1023" t="s">
        <v>760</v>
      </c>
    </row>
    <row s="1656" customFormat="1" customHeight="1" ht="12.75" hidden="1">
      <c r="A240" s="1328"/>
      <c r="B240" s="1186"/>
      <c r="C240" s="1328"/>
      <c r="D240" s="1328"/>
      <c r="E240" s="637">
        <v>15</v>
      </c>
      <c r="F240" s="50" cm="1" t="str">
        <f t="array" ref="F240:F240">OFFSET(E240,-1,1)</f>
        <v>2</v>
      </c>
      <c r="G240" s="1328"/>
      <c r="H240" s="94" t="s">
        <v>761</v>
      </c>
      <c r="I240" s="1328"/>
      <c r="J240" s="1328"/>
      <c r="K240" s="1328"/>
      <c r="L240" s="1328"/>
      <c r="M240" s="1328"/>
      <c r="N240" s="1328"/>
      <c r="O240" s="1328"/>
      <c r="P240" s="1308"/>
      <c r="Q240" s="1308"/>
      <c r="R240" s="1308"/>
      <c r="S240" s="1308"/>
      <c r="T240" s="468" cm="1" t="str">
        <f t="array" ref="T240:T240">T239</f>
        <v>false</v>
      </c>
      <c r="U240" s="1308"/>
      <c r="V240" s="1328"/>
      <c r="W240" s="1308"/>
      <c r="X240" s="1539"/>
      <c r="Y240" s="1528"/>
      <c r="Z240" s="1328"/>
      <c r="AA240" s="1328"/>
      <c r="AB240" s="236" t="s">
        <v>762</v>
      </c>
      <c r="AC240" s="329" t="s">
        <v>737</v>
      </c>
      <c r="AD240" s="89" t="s">
        <v>657</v>
      </c>
      <c r="AE240" s="1971"/>
      <c r="AF240" s="1971"/>
      <c r="AG240" s="1971"/>
      <c r="AH240" s="1971"/>
      <c r="AI240" s="1971"/>
      <c r="AJ240" s="1971"/>
      <c r="AK240" s="1971"/>
      <c r="AL240" s="1971"/>
      <c r="AM240" s="1971"/>
      <c r="AN240" s="1971"/>
      <c r="AO240" s="1971"/>
      <c r="AP240" s="1971"/>
      <c r="AQ240" s="1971"/>
      <c r="AR240" s="1971"/>
      <c r="AS240" s="1971"/>
      <c r="AT240" s="1971"/>
      <c r="AU240" s="1971"/>
      <c r="AV240" s="1971"/>
      <c r="AW240" s="1971"/>
      <c r="AX240" s="1971"/>
      <c r="AY240" s="1971"/>
      <c r="AZ240" s="1971"/>
      <c r="BA240" s="1971"/>
      <c r="BB240" s="1971"/>
      <c r="BC240" s="1975"/>
      <c r="BD240" s="1328"/>
      <c r="BE240" s="1328"/>
      <c r="BF240" s="1023" t="s">
        <v>763</v>
      </c>
    </row>
    <row s="1656" customFormat="1" customHeight="1" ht="12.75" hidden="1">
      <c r="A241" s="1328"/>
      <c r="B241" s="1186"/>
      <c r="C241" s="1328"/>
      <c r="D241" s="1328"/>
      <c r="E241" s="637">
        <v>15</v>
      </c>
      <c r="F241" s="50" cm="1" t="str">
        <f t="array" ref="F241:F241">OFFSET(E241,-1,1)</f>
        <v>2</v>
      </c>
      <c r="G241" s="1328"/>
      <c r="H241" s="94" t="s">
        <v>764</v>
      </c>
      <c r="I241" s="1328"/>
      <c r="J241" s="1328"/>
      <c r="K241" s="1328"/>
      <c r="L241" s="1328"/>
      <c r="M241" s="1328"/>
      <c r="N241" s="1328"/>
      <c r="O241" s="1328"/>
      <c r="P241" s="1308"/>
      <c r="Q241" s="1308"/>
      <c r="R241" s="1308"/>
      <c r="S241" s="1308"/>
      <c r="T241" s="468" cm="1" t="str">
        <f t="array" ref="T241:T241">T240</f>
        <v>false</v>
      </c>
      <c r="U241" s="1308"/>
      <c r="V241" s="1328"/>
      <c r="W241" s="1308"/>
      <c r="X241" s="1539"/>
      <c r="Y241" s="1528"/>
      <c r="Z241" s="1328"/>
      <c r="AA241" s="1328"/>
      <c r="AB241" s="236" t="s">
        <v>765</v>
      </c>
      <c r="AC241" s="328" t="s">
        <v>766</v>
      </c>
      <c r="AD241" s="89" t="s">
        <v>657</v>
      </c>
      <c r="AE241" s="311">
        <f>SUM(AE242:AE243)</f>
        <v>0</v>
      </c>
      <c r="AF241" s="311">
        <f>SUM(AF242:AF243)</f>
        <v>0</v>
      </c>
      <c r="AG241" s="311">
        <f>SUM(AG242:AG243)</f>
        <v>0</v>
      </c>
      <c r="AH241" s="311">
        <f>SUM(AH242:AH243)</f>
        <v>0</v>
      </c>
      <c r="AI241" s="311">
        <f>SUM(AI242:AI243)</f>
        <v>0</v>
      </c>
      <c r="AJ241" s="311">
        <f>SUM(AJ242:AJ243)</f>
        <v>0</v>
      </c>
      <c r="AK241" s="311">
        <f>SUM(AK242:AK243)</f>
        <v>0</v>
      </c>
      <c r="AL241" s="311">
        <f>SUM(AL242:AL243)</f>
        <v>0</v>
      </c>
      <c r="AM241" s="311">
        <f>SUM(AM242:AM243)</f>
        <v>0</v>
      </c>
      <c r="AN241" s="311">
        <f>SUM(AN242:AN243)</f>
        <v>0</v>
      </c>
      <c r="AO241" s="311">
        <f>SUM(AO242:AO243)</f>
        <v>0</v>
      </c>
      <c r="AP241" s="311">
        <f>SUM(AP242:AP243)</f>
        <v>0</v>
      </c>
      <c r="AQ241" s="311">
        <f>SUM(AQ242:AQ243)</f>
        <v>0</v>
      </c>
      <c r="AR241" s="311">
        <f>SUM(AR242:AR243)</f>
        <v>0</v>
      </c>
      <c r="AS241" s="311">
        <f>SUM(AS242:AS243)</f>
        <v>0</v>
      </c>
      <c r="AT241" s="311">
        <f>SUM(AT242:AT243)</f>
        <v>0</v>
      </c>
      <c r="AU241" s="311">
        <f>SUM(AU242:AU243)</f>
        <v>0</v>
      </c>
      <c r="AV241" s="311">
        <f>SUM(AV242:AV243)</f>
        <v>0</v>
      </c>
      <c r="AW241" s="311">
        <f>SUM(AW242:AW243)</f>
        <v>0</v>
      </c>
      <c r="AX241" s="311">
        <f>SUM(AX242:AX243)</f>
        <v>0</v>
      </c>
      <c r="AY241" s="311">
        <f>SUM(AY242:AY243)</f>
        <v>0</v>
      </c>
      <c r="AZ241" s="311">
        <f>SUM(AZ242:AZ243)</f>
        <v>0</v>
      </c>
      <c r="BA241" s="311">
        <f>SUM(BA242:BA243)</f>
        <v>0</v>
      </c>
      <c r="BB241" s="311">
        <f>SUM(BB242:BB243)</f>
        <v>0</v>
      </c>
      <c r="BC241" s="1975"/>
      <c r="BD241" s="1328"/>
      <c r="BE241" s="1328"/>
      <c r="BF241" s="1023" t="s">
        <v>767</v>
      </c>
    </row>
    <row s="1656" customFormat="1" customHeight="1" ht="12.75" hidden="1">
      <c r="A242" s="1328"/>
      <c r="B242" s="1186"/>
      <c r="C242" s="1328"/>
      <c r="D242" s="1328"/>
      <c r="E242" s="637">
        <v>15</v>
      </c>
      <c r="F242" s="50" cm="1" t="str">
        <f t="array" ref="F242:F242">OFFSET(E242,-1,1)</f>
        <v>2</v>
      </c>
      <c r="G242" s="1328"/>
      <c r="H242" s="94" t="s">
        <v>768</v>
      </c>
      <c r="I242" s="1328"/>
      <c r="J242" s="1328"/>
      <c r="K242" s="1328"/>
      <c r="L242" s="1328"/>
      <c r="M242" s="1328"/>
      <c r="N242" s="1328"/>
      <c r="O242" s="1328"/>
      <c r="P242" s="1308"/>
      <c r="Q242" s="1308"/>
      <c r="R242" s="1308"/>
      <c r="S242" s="1308"/>
      <c r="T242" s="468" cm="1" t="str">
        <f t="array" ref="T242:T242">T241</f>
        <v>false</v>
      </c>
      <c r="U242" s="1308"/>
      <c r="V242" s="1328"/>
      <c r="W242" s="1308"/>
      <c r="X242" s="1539"/>
      <c r="Y242" s="1528"/>
      <c r="Z242" s="1328"/>
      <c r="AA242" s="1328"/>
      <c r="AB242" s="236" t="s">
        <v>769</v>
      </c>
      <c r="AC242" s="329" t="s">
        <v>733</v>
      </c>
      <c r="AD242" s="89" t="s">
        <v>657</v>
      </c>
      <c r="AE242" s="1971"/>
      <c r="AF242" s="1971"/>
      <c r="AG242" s="1971"/>
      <c r="AH242" s="1971"/>
      <c r="AI242" s="1971"/>
      <c r="AJ242" s="1971"/>
      <c r="AK242" s="1971"/>
      <c r="AL242" s="1971"/>
      <c r="AM242" s="1971"/>
      <c r="AN242" s="1971"/>
      <c r="AO242" s="1971"/>
      <c r="AP242" s="1971"/>
      <c r="AQ242" s="1971"/>
      <c r="AR242" s="1971"/>
      <c r="AS242" s="1971"/>
      <c r="AT242" s="1971"/>
      <c r="AU242" s="1971"/>
      <c r="AV242" s="1971"/>
      <c r="AW242" s="1971"/>
      <c r="AX242" s="1971"/>
      <c r="AY242" s="1971"/>
      <c r="AZ242" s="1971"/>
      <c r="BA242" s="1971"/>
      <c r="BB242" s="1971"/>
      <c r="BC242" s="1975"/>
      <c r="BD242" s="1328"/>
      <c r="BE242" s="1328"/>
      <c r="BF242" s="1023" t="s">
        <v>770</v>
      </c>
    </row>
    <row s="1656" customFormat="1" customHeight="1" ht="12.75" hidden="1">
      <c r="A243" s="1328"/>
      <c r="B243" s="1186"/>
      <c r="C243" s="1328"/>
      <c r="D243" s="1328"/>
      <c r="E243" s="637">
        <v>15</v>
      </c>
      <c r="F243" s="50" cm="1" t="str">
        <f t="array" ref="F243:F243">OFFSET(E243,-1,1)</f>
        <v>2</v>
      </c>
      <c r="G243" s="1328"/>
      <c r="H243" s="94" t="s">
        <v>771</v>
      </c>
      <c r="I243" s="1328"/>
      <c r="J243" s="1328"/>
      <c r="K243" s="1328"/>
      <c r="L243" s="1328"/>
      <c r="M243" s="1328"/>
      <c r="N243" s="1328"/>
      <c r="O243" s="1328"/>
      <c r="P243" s="1308"/>
      <c r="Q243" s="1308"/>
      <c r="R243" s="1308"/>
      <c r="S243" s="1308"/>
      <c r="T243" s="468" cm="1" t="str">
        <f t="array" ref="T243:T243">T242</f>
        <v>false</v>
      </c>
      <c r="U243" s="1308"/>
      <c r="V243" s="1328"/>
      <c r="W243" s="1308"/>
      <c r="X243" s="1539"/>
      <c r="Y243" s="1528"/>
      <c r="Z243" s="1328"/>
      <c r="AA243" s="1328"/>
      <c r="AB243" s="236" t="s">
        <v>772</v>
      </c>
      <c r="AC243" s="329" t="s">
        <v>737</v>
      </c>
      <c r="AD243" s="89" t="s">
        <v>657</v>
      </c>
      <c r="AE243" s="1971"/>
      <c r="AF243" s="1971"/>
      <c r="AG243" s="1971"/>
      <c r="AH243" s="1971"/>
      <c r="AI243" s="1971"/>
      <c r="AJ243" s="1971"/>
      <c r="AK243" s="1971"/>
      <c r="AL243" s="1971"/>
      <c r="AM243" s="1971"/>
      <c r="AN243" s="1971"/>
      <c r="AO243" s="1971"/>
      <c r="AP243" s="1971"/>
      <c r="AQ243" s="1971"/>
      <c r="AR243" s="1971"/>
      <c r="AS243" s="1971"/>
      <c r="AT243" s="1971"/>
      <c r="AU243" s="1971"/>
      <c r="AV243" s="1971"/>
      <c r="AW243" s="1971"/>
      <c r="AX243" s="1971"/>
      <c r="AY243" s="1971"/>
      <c r="AZ243" s="1971"/>
      <c r="BA243" s="1971"/>
      <c r="BB243" s="1971"/>
      <c r="BC243" s="1928"/>
      <c r="BD243" s="1328"/>
      <c r="BE243" s="1328"/>
      <c r="BF243" s="1023" t="s">
        <v>773</v>
      </c>
    </row>
    <row s="1656" customFormat="1" customHeight="1" ht="23.25" hidden="1">
      <c r="A244" s="1328"/>
      <c r="B244" s="1186"/>
      <c r="C244" s="1328"/>
      <c r="D244" s="1328"/>
      <c r="E244" s="637">
        <v>22.5</v>
      </c>
      <c r="F244" s="50" cm="1" t="str">
        <f t="array" ref="F244:F244">OFFSET(E244,-1,1)</f>
        <v>2</v>
      </c>
      <c r="G244" s="1328"/>
      <c r="H244" s="94" t="s">
        <v>774</v>
      </c>
      <c r="I244" s="472"/>
      <c r="J244" s="472"/>
      <c r="K244" s="1328"/>
      <c r="L244" s="1328"/>
      <c r="M244" s="1328"/>
      <c r="N244" s="1328"/>
      <c r="O244" s="1328"/>
      <c r="P244" s="1308"/>
      <c r="Q244" s="1308"/>
      <c r="R244" s="1308"/>
      <c r="S244" s="1308"/>
      <c r="T244" s="468" cm="1" t="str">
        <f t="array" ref="T244:T244">T243</f>
        <v>false</v>
      </c>
      <c r="U244" s="1308"/>
      <c r="V244" s="1328"/>
      <c r="W244" s="1308"/>
      <c r="X244" s="1539"/>
      <c r="Y244" s="1528"/>
      <c r="Z244" s="1328"/>
      <c r="AA244" s="1328"/>
      <c r="AB244" s="236" t="s">
        <v>775</v>
      </c>
      <c r="AC244" s="330" t="s">
        <v>776</v>
      </c>
      <c r="AD244" s="89" t="s">
        <v>657</v>
      </c>
      <c r="AE244" s="1927"/>
      <c r="AF244" s="1927"/>
      <c r="AG244" s="1927"/>
      <c r="AH244" s="1927"/>
      <c r="AI244" s="1927"/>
      <c r="AJ244" s="1927"/>
      <c r="AK244" s="1927"/>
      <c r="AL244" s="1927"/>
      <c r="AM244" s="1927"/>
      <c r="AN244" s="1927"/>
      <c r="AO244" s="1927"/>
      <c r="AP244" s="1927"/>
      <c r="AQ244" s="1927"/>
      <c r="AR244" s="1927"/>
      <c r="AS244" s="1927"/>
      <c r="AT244" s="1927"/>
      <c r="AU244" s="1927"/>
      <c r="AV244" s="1927"/>
      <c r="AW244" s="1927"/>
      <c r="AX244" s="1927"/>
      <c r="AY244" s="1927"/>
      <c r="AZ244" s="1927"/>
      <c r="BA244" s="1927"/>
      <c r="BB244" s="1927"/>
      <c r="BC244" s="1928"/>
      <c r="BD244" s="1328"/>
      <c r="BE244" s="1328"/>
      <c r="BF244" s="1023" t="s">
        <v>777</v>
      </c>
    </row>
    <row s="1656" customFormat="1" customHeight="1" ht="23.25" hidden="1">
      <c r="A245" s="1328"/>
      <c r="B245" s="1186"/>
      <c r="C245" s="1328"/>
      <c r="D245" s="1328"/>
      <c r="E245" s="637">
        <v>15</v>
      </c>
      <c r="F245" s="345" cm="1" t="str">
        <f t="array" ref="F245:F245">OFFSET(E245,-1,1)</f>
        <v>2</v>
      </c>
      <c r="G245" s="1328"/>
      <c r="H245" s="1328"/>
      <c r="I245" s="1328"/>
      <c r="J245" s="1328"/>
      <c r="K245" s="1328"/>
      <c r="L245" s="1328"/>
      <c r="M245" s="1328"/>
      <c r="N245" s="1328"/>
      <c r="O245" s="1328"/>
      <c r="P245" s="1308"/>
      <c r="Q245" s="1308"/>
      <c r="R245" s="1308"/>
      <c r="S245" s="1308"/>
      <c r="T245" s="468" cm="1" t="str">
        <f t="array" ref="T245:T245">T244</f>
        <v>false</v>
      </c>
      <c r="U245" s="1308"/>
      <c r="V245" s="1328"/>
      <c r="W245" s="1308"/>
      <c r="X245" s="1539"/>
      <c r="Y245" s="1528"/>
      <c r="Z245" s="1328"/>
      <c r="AA245" s="1328"/>
      <c r="AB245" s="236" t="s">
        <v>778</v>
      </c>
      <c r="AC245" s="330" t="s">
        <v>779</v>
      </c>
      <c r="AD245" s="89" t="s">
        <v>657</v>
      </c>
      <c r="AE245" s="1927"/>
      <c r="AF245" s="1927"/>
      <c r="AG245" s="1927"/>
      <c r="AH245" s="1927"/>
      <c r="AI245" s="1927"/>
      <c r="AJ245" s="1927"/>
      <c r="AK245" s="1927"/>
      <c r="AL245" s="1927"/>
      <c r="AM245" s="1927"/>
      <c r="AN245" s="1927"/>
      <c r="AO245" s="1927"/>
      <c r="AP245" s="1927"/>
      <c r="AQ245" s="1927"/>
      <c r="AR245" s="1927"/>
      <c r="AS245" s="1927"/>
      <c r="AT245" s="1927"/>
      <c r="AU245" s="1927"/>
      <c r="AV245" s="1927"/>
      <c r="AW245" s="1927"/>
      <c r="AX245" s="1927"/>
      <c r="AY245" s="1927"/>
      <c r="AZ245" s="1927"/>
      <c r="BA245" s="1927"/>
      <c r="BB245" s="1927"/>
      <c r="BC245" s="1928"/>
      <c r="BD245" s="1328"/>
      <c r="BE245" s="1328"/>
      <c r="BF245" s="1023" t="s">
        <v>780</v>
      </c>
    </row>
    <row s="1656" customFormat="1" customHeight="1" ht="11.25" hidden="1">
      <c r="A246" s="472"/>
      <c r="B246" s="664"/>
      <c r="C246" s="472"/>
      <c r="D246" s="472"/>
      <c r="E246" s="666" t="s">
        <v>384</v>
      </c>
      <c r="F246" s="1194" cm="1" t="str">
        <f t="array" ref="F246:F246">OFFSET(E246,-1,1)</f>
        <v>2</v>
      </c>
      <c r="G246" s="472"/>
      <c r="H246" s="472"/>
      <c r="I246" s="1656"/>
      <c r="J246" s="1656"/>
      <c r="K246" s="94"/>
      <c r="L246" s="472"/>
      <c r="M246" s="472"/>
      <c r="N246" s="472"/>
      <c r="O246" s="472"/>
      <c r="P246" s="472"/>
      <c r="Q246" s="472"/>
      <c r="R246" s="417"/>
      <c r="S246" s="417"/>
      <c r="T246" s="468" t="b">
        <v>0</v>
      </c>
      <c r="U246" s="472"/>
      <c r="V246" s="472"/>
      <c r="W246" s="472"/>
      <c r="X246" s="1539"/>
      <c r="Y246" s="1528"/>
      <c r="Z246" s="472"/>
      <c r="AA246" s="472"/>
      <c r="AB246" s="1656"/>
      <c r="AC246" s="96"/>
      <c r="AD246" s="96"/>
      <c r="AE246" s="340"/>
      <c r="AF246" s="340"/>
      <c r="AG246" s="340"/>
      <c r="AH246" s="340"/>
      <c r="AI246" s="340"/>
      <c r="AJ246" s="341"/>
      <c r="AK246" s="340"/>
      <c r="AL246" s="340"/>
      <c r="AM246" s="340"/>
      <c r="AN246" s="340"/>
      <c r="AO246" s="340"/>
      <c r="AP246" s="340"/>
      <c r="AQ246" s="340"/>
      <c r="AR246" s="340"/>
      <c r="AS246" s="340"/>
      <c r="AT246" s="340"/>
      <c r="AU246" s="340"/>
      <c r="AV246" s="340"/>
      <c r="AW246" s="340"/>
      <c r="AX246" s="340"/>
      <c r="AY246" s="340"/>
      <c r="AZ246" s="340"/>
      <c r="BA246" s="340"/>
      <c r="BB246" s="340"/>
      <c r="BC246" s="1656"/>
      <c r="BD246" s="1656"/>
      <c r="BE246" s="1656"/>
      <c r="BF246" s="1027"/>
    </row>
    <row s="1656" customFormat="1" customHeight="1" ht="12.75" hidden="1">
      <c r="A247" s="1328"/>
      <c r="B247" s="1186"/>
      <c r="C247" s="1328"/>
      <c r="D247" s="1328"/>
      <c r="E247" s="637">
        <v>15</v>
      </c>
      <c r="F247" s="50" cm="1" t="str">
        <f t="array" ref="F247:F247">OFFSET(E247,-1,1)</f>
        <v>2</v>
      </c>
      <c r="G247" s="1328"/>
      <c r="H247" s="1328"/>
      <c r="I247" s="1328"/>
      <c r="J247" s="1328"/>
      <c r="K247" s="1328"/>
      <c r="L247" s="1328"/>
      <c r="M247" s="1328"/>
      <c r="N247" s="1328"/>
      <c r="O247" s="1328"/>
      <c r="P247" s="1308"/>
      <c r="Q247" s="1308"/>
      <c r="R247" s="417" cm="1" t="str">
        <f t="array" ref="R247:R247">INDEX('Общие сведения'!$AN$197:$AN$254,MATCH($X209,'Общие сведения'!$Z$197:$Z$254,0))</f>
        <v>false</v>
      </c>
      <c r="S247" s="417">
        <f>IF(ISERROR(SEARCH("Водоснабжение",AB209)),FALSE,TRUE)</f>
        <v>0</v>
      </c>
      <c r="T247" s="468">
        <f>AND(X209&gt;0,S247,R247)</f>
        <v>0</v>
      </c>
      <c r="U247" s="1308"/>
      <c r="V247" s="1328"/>
      <c r="W247" s="1308"/>
      <c r="X247" s="1539"/>
      <c r="Y247" s="1528"/>
      <c r="Z247" s="1328"/>
      <c r="AA247" s="1328"/>
      <c r="AB247" s="236" t="s">
        <v>290</v>
      </c>
      <c r="AC247" s="324" t="s">
        <v>654</v>
      </c>
      <c r="AD247" s="194"/>
      <c r="AE247" s="574" cm="1" t="str">
        <f t="array" ref="AE247:AE247">INDEX('Общие сведения'!$AH$197:$AH$254,MATCH($X209,'Общие сведения'!$Z$197:$Z$254,0))</f>
        <v>без дифференциации</v>
      </c>
      <c r="AF247" s="358"/>
      <c r="AG247" s="358"/>
      <c r="AH247" s="358"/>
      <c r="AI247" s="358"/>
      <c r="AJ247" s="358"/>
      <c r="AK247" s="358"/>
      <c r="AL247" s="358"/>
      <c r="AM247" s="358"/>
      <c r="AN247" s="358"/>
      <c r="AO247" s="358"/>
      <c r="AP247" s="358"/>
      <c r="AQ247" s="358"/>
      <c r="AR247" s="358"/>
      <c r="AS247" s="358"/>
      <c r="AT247" s="358"/>
      <c r="AU247" s="358"/>
      <c r="AV247" s="358"/>
      <c r="AW247" s="358"/>
      <c r="AX247" s="358"/>
      <c r="AY247" s="358"/>
      <c r="AZ247" s="358"/>
      <c r="BA247" s="358"/>
      <c r="BB247" s="359"/>
      <c r="BC247" s="1928"/>
      <c r="BD247" s="1328"/>
      <c r="BE247" s="1328"/>
      <c r="BF247" s="1023" t="s">
        <v>781</v>
      </c>
    </row>
    <row s="1656" customFormat="1" customHeight="1" ht="12.75" hidden="1">
      <c r="A248" s="1328"/>
      <c r="B248" s="1186"/>
      <c r="C248" s="1328"/>
      <c r="D248" s="1328"/>
      <c r="E248" s="637">
        <v>15</v>
      </c>
      <c r="F248" s="50" cm="1" t="str">
        <f t="array" ref="F248:F248">OFFSET(E248,-1,1)</f>
        <v>2</v>
      </c>
      <c r="G248" s="1328"/>
      <c r="H248" s="94" t="s">
        <v>348</v>
      </c>
      <c r="I248" s="1328"/>
      <c r="J248" s="1328"/>
      <c r="K248" s="1328"/>
      <c r="L248" s="1328"/>
      <c r="M248" s="1328"/>
      <c r="N248" s="1328"/>
      <c r="O248" s="1328"/>
      <c r="P248" s="1308"/>
      <c r="Q248" s="1308"/>
      <c r="R248" s="1308"/>
      <c r="S248" s="1308"/>
      <c r="T248" s="468" cm="1" t="str">
        <f t="array" ref="T248:T248">T247</f>
        <v>false</v>
      </c>
      <c r="U248" s="1308"/>
      <c r="V248" s="1328"/>
      <c r="W248" s="1308"/>
      <c r="X248" s="1539"/>
      <c r="Y248" s="1528"/>
      <c r="Z248" s="1328"/>
      <c r="AA248" s="1328"/>
      <c r="AB248" s="236" t="s">
        <v>299</v>
      </c>
      <c r="AC248" s="331" t="s">
        <v>782</v>
      </c>
      <c r="AD248" s="89" t="s">
        <v>657</v>
      </c>
      <c r="AE248" s="342">
        <f>AE252+AE254+AE257+AE260</f>
        <v>0</v>
      </c>
      <c r="AF248" s="342">
        <f>AF252+AF254+AF257+AF260</f>
        <v>0</v>
      </c>
      <c r="AG248" s="342">
        <f>AG252+AG254+AG257+AG260</f>
        <v>0</v>
      </c>
      <c r="AH248" s="342">
        <f>AH252+AH254+AH257+AH260</f>
        <v>0</v>
      </c>
      <c r="AI248" s="342">
        <f>AI252+AI254+AI257+AI260</f>
        <v>0</v>
      </c>
      <c r="AJ248" s="342">
        <f>AJ252+AJ254+AJ257+AJ260</f>
        <v>0</v>
      </c>
      <c r="AK248" s="342">
        <f>AK252+AK254+AK257+AK260</f>
        <v>0</v>
      </c>
      <c r="AL248" s="342">
        <f>AL252+AL254+AL257+AL260</f>
        <v>0</v>
      </c>
      <c r="AM248" s="342">
        <f>AM252+AM254+AM257+AM260</f>
        <v>0</v>
      </c>
      <c r="AN248" s="342">
        <f>AN252+AN254+AN257+AN260</f>
        <v>0</v>
      </c>
      <c r="AO248" s="342">
        <f>AO252+AO254+AO257+AO260</f>
        <v>0</v>
      </c>
      <c r="AP248" s="342">
        <f>AP252+AP254+AP257+AP260</f>
        <v>0</v>
      </c>
      <c r="AQ248" s="342">
        <f>AQ252+AQ254+AQ257+AQ260</f>
        <v>0</v>
      </c>
      <c r="AR248" s="342">
        <f>AR252+AR254+AR257+AR260</f>
        <v>0</v>
      </c>
      <c r="AS248" s="342">
        <f>AS252+AS254+AS257+AS260</f>
        <v>0</v>
      </c>
      <c r="AT248" s="342">
        <f>AT252+AT254+AT257+AT260</f>
        <v>0</v>
      </c>
      <c r="AU248" s="342">
        <f>AU252+AU254+AU257+AU260</f>
        <v>0</v>
      </c>
      <c r="AV248" s="342">
        <f>AV252+AV254+AV257+AV260</f>
        <v>0</v>
      </c>
      <c r="AW248" s="342">
        <f>AW252+AW254+AW257+AW260</f>
        <v>0</v>
      </c>
      <c r="AX248" s="342">
        <f>AX252+AX254+AX257+AX260</f>
        <v>0</v>
      </c>
      <c r="AY248" s="342">
        <f>AY252+AY254+AY257+AY260</f>
        <v>0</v>
      </c>
      <c r="AZ248" s="342">
        <f>AZ252+AZ254+AZ257+AZ260</f>
        <v>0</v>
      </c>
      <c r="BA248" s="342">
        <f>BA252+BA254+BA257+BA260</f>
        <v>0</v>
      </c>
      <c r="BB248" s="342">
        <f>BB252+BB254+BB257+BB260</f>
        <v>0</v>
      </c>
      <c r="BC248" s="1928"/>
      <c r="BD248" s="1328"/>
      <c r="BE248" s="1328"/>
      <c r="BF248" s="1023" t="s">
        <v>783</v>
      </c>
    </row>
    <row s="1656" customFormat="1" customHeight="1" ht="12.75" hidden="1">
      <c r="A249" s="1328"/>
      <c r="B249" s="1186"/>
      <c r="C249" s="1328"/>
      <c r="D249" s="1328"/>
      <c r="E249" s="637">
        <v>15</v>
      </c>
      <c r="F249" s="50" cm="1" t="str">
        <f t="array" ref="F249:F249">OFFSET(E249,-1,1)</f>
        <v>2</v>
      </c>
      <c r="G249" s="1328"/>
      <c r="H249" s="94" t="s">
        <v>659</v>
      </c>
      <c r="I249" s="1328"/>
      <c r="J249" s="1328"/>
      <c r="K249" s="1328"/>
      <c r="L249" s="1328"/>
      <c r="M249" s="1328"/>
      <c r="N249" s="1328"/>
      <c r="O249" s="1328"/>
      <c r="P249" s="1308"/>
      <c r="Q249" s="1308"/>
      <c r="R249" s="1308"/>
      <c r="S249" s="1308"/>
      <c r="T249" s="468" cm="1" t="str">
        <f t="array" ref="T249:T249">T248</f>
        <v>false</v>
      </c>
      <c r="U249" s="1308"/>
      <c r="V249" s="1328"/>
      <c r="W249" s="1308"/>
      <c r="X249" s="1539"/>
      <c r="Y249" s="1528"/>
      <c r="Z249" s="1328"/>
      <c r="AA249" s="1328"/>
      <c r="AB249" s="236" t="s">
        <v>660</v>
      </c>
      <c r="AC249" s="332" t="s">
        <v>784</v>
      </c>
      <c r="AD249" s="89" t="s">
        <v>657</v>
      </c>
      <c r="AE249" s="1927"/>
      <c r="AF249" s="1927"/>
      <c r="AG249" s="1927"/>
      <c r="AH249" s="1927"/>
      <c r="AI249" s="1927"/>
      <c r="AJ249" s="1927"/>
      <c r="AK249" s="1927"/>
      <c r="AL249" s="1927"/>
      <c r="AM249" s="1927"/>
      <c r="AN249" s="1927"/>
      <c r="AO249" s="1927"/>
      <c r="AP249" s="1927"/>
      <c r="AQ249" s="1927"/>
      <c r="AR249" s="1927"/>
      <c r="AS249" s="1927"/>
      <c r="AT249" s="1927"/>
      <c r="AU249" s="1927"/>
      <c r="AV249" s="1927"/>
      <c r="AW249" s="1927"/>
      <c r="AX249" s="1927"/>
      <c r="AY249" s="1927"/>
      <c r="AZ249" s="1927"/>
      <c r="BA249" s="1927"/>
      <c r="BB249" s="1927"/>
      <c r="BC249" s="1928"/>
      <c r="BD249" s="1328"/>
      <c r="BE249" s="1328"/>
      <c r="BF249" s="1023" t="s">
        <v>785</v>
      </c>
    </row>
    <row s="1656" customFormat="1" customHeight="1" ht="12.75" hidden="1">
      <c r="A250" s="1328"/>
      <c r="B250" s="1186"/>
      <c r="C250" s="1328"/>
      <c r="D250" s="1328"/>
      <c r="E250" s="637">
        <v>15</v>
      </c>
      <c r="F250" s="50" cm="1" t="str">
        <f t="array" ref="F250:F250">OFFSET(E250,-1,1)</f>
        <v>2</v>
      </c>
      <c r="G250" s="1328"/>
      <c r="H250" s="94" t="s">
        <v>663</v>
      </c>
      <c r="I250" s="1328"/>
      <c r="J250" s="1328"/>
      <c r="K250" s="1328"/>
      <c r="L250" s="1328"/>
      <c r="M250" s="1328"/>
      <c r="N250" s="1328"/>
      <c r="O250" s="1328"/>
      <c r="P250" s="1308"/>
      <c r="Q250" s="1308"/>
      <c r="R250" s="1308"/>
      <c r="S250" s="1308"/>
      <c r="T250" s="468" cm="1" t="str">
        <f t="array" ref="T250:T250">T249</f>
        <v>false</v>
      </c>
      <c r="U250" s="1308"/>
      <c r="V250" s="1328"/>
      <c r="W250" s="1308"/>
      <c r="X250" s="1539"/>
      <c r="Y250" s="1528"/>
      <c r="Z250" s="1328"/>
      <c r="AA250" s="1328"/>
      <c r="AB250" s="236" t="s">
        <v>664</v>
      </c>
      <c r="AC250" s="332" t="s">
        <v>786</v>
      </c>
      <c r="AD250" s="89" t="s">
        <v>657</v>
      </c>
      <c r="AE250" s="1927"/>
      <c r="AF250" s="1927"/>
      <c r="AG250" s="1927"/>
      <c r="AH250" s="1927"/>
      <c r="AI250" s="1927"/>
      <c r="AJ250" s="1927"/>
      <c r="AK250" s="1927"/>
      <c r="AL250" s="1927"/>
      <c r="AM250" s="1927"/>
      <c r="AN250" s="1927"/>
      <c r="AO250" s="1927"/>
      <c r="AP250" s="1927"/>
      <c r="AQ250" s="1927"/>
      <c r="AR250" s="1927"/>
      <c r="AS250" s="1927"/>
      <c r="AT250" s="1927"/>
      <c r="AU250" s="1927"/>
      <c r="AV250" s="1927"/>
      <c r="AW250" s="1927"/>
      <c r="AX250" s="1927"/>
      <c r="AY250" s="1927"/>
      <c r="AZ250" s="1927"/>
      <c r="BA250" s="1927"/>
      <c r="BB250" s="1927"/>
      <c r="BC250" s="1928"/>
      <c r="BD250" s="1328"/>
      <c r="BE250" s="1328"/>
      <c r="BF250" s="1023" t="s">
        <v>787</v>
      </c>
    </row>
    <row s="1656" customFormat="1" customHeight="1" ht="23.25" hidden="1">
      <c r="A251" s="1328"/>
      <c r="B251" s="1186"/>
      <c r="C251" s="1328"/>
      <c r="D251" s="1328"/>
      <c r="E251" s="637">
        <v>22.5</v>
      </c>
      <c r="F251" s="50" cm="1" t="str">
        <f t="array" ref="F251:F251">OFFSET(E251,-1,1)</f>
        <v>2</v>
      </c>
      <c r="G251" s="1328"/>
      <c r="H251" s="94" t="s">
        <v>667</v>
      </c>
      <c r="I251" s="1328"/>
      <c r="J251" s="1328"/>
      <c r="K251" s="1328"/>
      <c r="L251" s="1328"/>
      <c r="M251" s="1328"/>
      <c r="N251" s="1328"/>
      <c r="O251" s="1328"/>
      <c r="P251" s="1308"/>
      <c r="Q251" s="1308"/>
      <c r="R251" s="1308"/>
      <c r="S251" s="1308"/>
      <c r="T251" s="468" cm="1" t="str">
        <f t="array" ref="T251:T251">T250</f>
        <v>false</v>
      </c>
      <c r="U251" s="1308"/>
      <c r="V251" s="1328"/>
      <c r="W251" s="1308"/>
      <c r="X251" s="1539"/>
      <c r="Y251" s="1528"/>
      <c r="Z251" s="1328"/>
      <c r="AA251" s="1328"/>
      <c r="AB251" s="236" t="s">
        <v>668</v>
      </c>
      <c r="AC251" s="332" t="s">
        <v>788</v>
      </c>
      <c r="AD251" s="89" t="s">
        <v>657</v>
      </c>
      <c r="AE251" s="1927"/>
      <c r="AF251" s="1927"/>
      <c r="AG251" s="1927"/>
      <c r="AH251" s="1927"/>
      <c r="AI251" s="1927"/>
      <c r="AJ251" s="1927"/>
      <c r="AK251" s="1927"/>
      <c r="AL251" s="1927"/>
      <c r="AM251" s="1927"/>
      <c r="AN251" s="1927"/>
      <c r="AO251" s="1927"/>
      <c r="AP251" s="1927"/>
      <c r="AQ251" s="1927"/>
      <c r="AR251" s="1927"/>
      <c r="AS251" s="1927"/>
      <c r="AT251" s="1927"/>
      <c r="AU251" s="1927"/>
      <c r="AV251" s="1927"/>
      <c r="AW251" s="1927"/>
      <c r="AX251" s="1927"/>
      <c r="AY251" s="1927"/>
      <c r="AZ251" s="1927"/>
      <c r="BA251" s="1927"/>
      <c r="BB251" s="1927"/>
      <c r="BC251" s="1928"/>
      <c r="BD251" s="1328"/>
      <c r="BE251" s="1328"/>
      <c r="BF251" s="1023" t="s">
        <v>789</v>
      </c>
    </row>
    <row s="1656" customFormat="1" customHeight="1" ht="12.75" hidden="1">
      <c r="A252" s="1328"/>
      <c r="B252" s="1186"/>
      <c r="C252" s="1328"/>
      <c r="D252" s="1328"/>
      <c r="E252" s="637">
        <v>15</v>
      </c>
      <c r="F252" s="50" cm="1" t="str">
        <f t="array" ref="F252:F252">OFFSET(E252,-1,1)</f>
        <v>2</v>
      </c>
      <c r="G252" s="1328"/>
      <c r="H252" s="94" t="s">
        <v>347</v>
      </c>
      <c r="I252" s="1328"/>
      <c r="J252" s="1328"/>
      <c r="K252" s="1328"/>
      <c r="L252" s="1328"/>
      <c r="M252" s="1328"/>
      <c r="N252" s="1328"/>
      <c r="O252" s="1328"/>
      <c r="P252" s="1308"/>
      <c r="Q252" s="1308"/>
      <c r="R252" s="1308"/>
      <c r="S252" s="1308"/>
      <c r="T252" s="468" cm="1" t="str">
        <f t="array" ref="T252:T252">T251</f>
        <v>false</v>
      </c>
      <c r="U252" s="1308"/>
      <c r="V252" s="1328"/>
      <c r="W252" s="1308"/>
      <c r="X252" s="1539"/>
      <c r="Y252" s="1528"/>
      <c r="Z252" s="1328"/>
      <c r="AA252" s="1328"/>
      <c r="AB252" s="236" t="s">
        <v>234</v>
      </c>
      <c r="AC252" s="324" t="s">
        <v>701</v>
      </c>
      <c r="AD252" s="89" t="s">
        <v>657</v>
      </c>
      <c r="AE252" s="1927"/>
      <c r="AF252" s="1927"/>
      <c r="AG252" s="1927"/>
      <c r="AH252" s="1927"/>
      <c r="AI252" s="1927"/>
      <c r="AJ252" s="1927"/>
      <c r="AK252" s="1927"/>
      <c r="AL252" s="1927"/>
      <c r="AM252" s="1927"/>
      <c r="AN252" s="1927"/>
      <c r="AO252" s="1927"/>
      <c r="AP252" s="1927"/>
      <c r="AQ252" s="1927"/>
      <c r="AR252" s="1927"/>
      <c r="AS252" s="1927"/>
      <c r="AT252" s="1927"/>
      <c r="AU252" s="1927"/>
      <c r="AV252" s="1927"/>
      <c r="AW252" s="1927"/>
      <c r="AX252" s="1927"/>
      <c r="AY252" s="1927"/>
      <c r="AZ252" s="1927"/>
      <c r="BA252" s="1927"/>
      <c r="BB252" s="1927"/>
      <c r="BC252" s="1928"/>
      <c r="BD252" s="1328"/>
      <c r="BE252" s="1328"/>
      <c r="BF252" s="1023" t="s">
        <v>790</v>
      </c>
    </row>
    <row s="1656" customFormat="1" customHeight="1" ht="12.75" hidden="1">
      <c r="A253" s="1328"/>
      <c r="B253" s="1186"/>
      <c r="C253" s="1328"/>
      <c r="D253" s="1328"/>
      <c r="E253" s="637">
        <v>15</v>
      </c>
      <c r="F253" s="50" cm="1" t="str">
        <f t="array" ref="F253:F253">OFFSET(E253,-1,1)</f>
        <v>2</v>
      </c>
      <c r="G253" s="1328"/>
      <c r="H253" s="94" t="s">
        <v>673</v>
      </c>
      <c r="I253" s="1328"/>
      <c r="J253" s="1328"/>
      <c r="K253" s="1328"/>
      <c r="L253" s="1328"/>
      <c r="M253" s="1328"/>
      <c r="N253" s="1328"/>
      <c r="O253" s="1328"/>
      <c r="P253" s="1308"/>
      <c r="Q253" s="1308"/>
      <c r="R253" s="1308"/>
      <c r="S253" s="1308"/>
      <c r="T253" s="468" cm="1" t="str">
        <f t="array" ref="T253:T253">T252</f>
        <v>false</v>
      </c>
      <c r="U253" s="1308"/>
      <c r="V253" s="1328"/>
      <c r="W253" s="1308"/>
      <c r="X253" s="1539"/>
      <c r="Y253" s="1528"/>
      <c r="Z253" s="1328"/>
      <c r="AA253" s="1328"/>
      <c r="AB253" s="236" t="s">
        <v>674</v>
      </c>
      <c r="AC253" s="327" t="s">
        <v>705</v>
      </c>
      <c r="AD253" s="89" t="s">
        <v>561</v>
      </c>
      <c r="AE253" s="1817">
        <f>IF(AE248=0,0,AE252/AE248*100)</f>
        <v>0</v>
      </c>
      <c r="AF253" s="1817">
        <f>IF(AF248=0,0,AF252/AF248*100)</f>
        <v>0</v>
      </c>
      <c r="AG253" s="1817">
        <f>IF(AG248=0,0,AG252/AG248*100)</f>
        <v>0</v>
      </c>
      <c r="AH253" s="1817">
        <f>IF(AH248=0,0,AH252/AH248*100)</f>
        <v>0</v>
      </c>
      <c r="AI253" s="1817">
        <f>IF(AI248=0,0,AI252/AI248*100)</f>
        <v>0</v>
      </c>
      <c r="AJ253" s="1817">
        <f>IF(AJ248=0,0,AJ252/AJ248*100)</f>
        <v>0</v>
      </c>
      <c r="AK253" s="1817">
        <f>IF(AK248=0,0,AK252/AK248*100)</f>
        <v>0</v>
      </c>
      <c r="AL253" s="1817">
        <f>IF(AL248=0,0,AL252/AL248*100)</f>
        <v>0</v>
      </c>
      <c r="AM253" s="1817">
        <f>IF(AM248=0,0,AM252/AM248*100)</f>
        <v>0</v>
      </c>
      <c r="AN253" s="1817">
        <f>IF(AN248=0,0,AN252/AN248*100)</f>
        <v>0</v>
      </c>
      <c r="AO253" s="1817">
        <f>IF(AO248=0,0,AO252/AO248*100)</f>
        <v>0</v>
      </c>
      <c r="AP253" s="1817">
        <f>IF(AP248=0,0,AP252/AP248*100)</f>
        <v>0</v>
      </c>
      <c r="AQ253" s="1817">
        <f>IF(AQ248=0,0,AQ252/AQ248*100)</f>
        <v>0</v>
      </c>
      <c r="AR253" s="1817">
        <f>IF(AR248=0,0,AR252/AR248*100)</f>
        <v>0</v>
      </c>
      <c r="AS253" s="1817">
        <f>IF(AS248=0,0,AS252/AS248*100)</f>
        <v>0</v>
      </c>
      <c r="AT253" s="1817">
        <f>IF(AT248=0,0,AT252/AT248*100)</f>
        <v>0</v>
      </c>
      <c r="AU253" s="1817">
        <f>IF(AU248=0,0,AU252/AU248*100)</f>
        <v>0</v>
      </c>
      <c r="AV253" s="1817">
        <f>IF(AV248=0,0,AV252/AV248*100)</f>
        <v>0</v>
      </c>
      <c r="AW253" s="1817">
        <f>IF(AW248=0,0,AW252/AW248*100)</f>
        <v>0</v>
      </c>
      <c r="AX253" s="1817">
        <f>IF(AX248=0,0,AX252/AX248*100)</f>
        <v>0</v>
      </c>
      <c r="AY253" s="1817">
        <f>IF(AY248=0,0,AY252/AY248*100)</f>
        <v>0</v>
      </c>
      <c r="AZ253" s="1817">
        <f>IF(AZ248=0,0,AZ252/AZ248*100)</f>
        <v>0</v>
      </c>
      <c r="BA253" s="1817">
        <f>IF(BA248=0,0,BA252/BA248*100)</f>
        <v>0</v>
      </c>
      <c r="BB253" s="1817">
        <f>IF(BB248=0,0,BB252/BB248*100)</f>
        <v>0</v>
      </c>
      <c r="BC253" s="1975"/>
      <c r="BD253" s="1328"/>
      <c r="BE253" s="1328"/>
      <c r="BF253" s="1023" t="s">
        <v>791</v>
      </c>
    </row>
    <row s="1656" customFormat="1" customHeight="1" ht="12.75" hidden="1">
      <c r="A254" s="1328"/>
      <c r="B254" s="1186"/>
      <c r="C254" s="1328"/>
      <c r="D254" s="1328"/>
      <c r="E254" s="637">
        <v>15</v>
      </c>
      <c r="F254" s="50" cm="1" t="str">
        <f t="array" ref="F254:F254">OFFSET(E254,-1,1)</f>
        <v>2</v>
      </c>
      <c r="G254" s="1328" t="str">
        <f>IF(OwnNeedsInPO="да","ПО","")</f>
        <v>ПО</v>
      </c>
      <c r="H254" s="94" t="s">
        <v>616</v>
      </c>
      <c r="I254" s="1328"/>
      <c r="J254" s="1328"/>
      <c r="K254" s="1328"/>
      <c r="L254" s="1328"/>
      <c r="M254" s="1328"/>
      <c r="N254" s="1328"/>
      <c r="O254" s="1328"/>
      <c r="P254" s="1308"/>
      <c r="Q254" s="1308"/>
      <c r="R254" s="1308"/>
      <c r="S254" s="1308"/>
      <c r="T254" s="468" cm="1" t="str">
        <f t="array" ref="T254:T254">T253</f>
        <v>false</v>
      </c>
      <c r="U254" s="1308"/>
      <c r="V254" s="1328"/>
      <c r="W254" s="1308"/>
      <c r="X254" s="1539"/>
      <c r="Y254" s="1528"/>
      <c r="Z254" s="1328"/>
      <c r="AA254" s="1328"/>
      <c r="AB254" s="236" t="s">
        <v>451</v>
      </c>
      <c r="AC254" s="331" t="s">
        <v>712</v>
      </c>
      <c r="AD254" s="89" t="s">
        <v>657</v>
      </c>
      <c r="AE254" s="342">
        <f>AE255+AE256</f>
        <v>0</v>
      </c>
      <c r="AF254" s="342">
        <f>AF255+AF256</f>
        <v>0</v>
      </c>
      <c r="AG254" s="342">
        <f>AG255+AG256</f>
        <v>0</v>
      </c>
      <c r="AH254" s="342">
        <f>AH255+AH256</f>
        <v>0</v>
      </c>
      <c r="AI254" s="342">
        <f>AI255+AI256</f>
        <v>0</v>
      </c>
      <c r="AJ254" s="342">
        <f>AJ255+AJ256</f>
        <v>0</v>
      </c>
      <c r="AK254" s="342">
        <f>AK255+AK256</f>
        <v>0</v>
      </c>
      <c r="AL254" s="342">
        <f>AL255+AL256</f>
        <v>0</v>
      </c>
      <c r="AM254" s="342">
        <f>AM255+AM256</f>
        <v>0</v>
      </c>
      <c r="AN254" s="342">
        <f>AN255+AN256</f>
        <v>0</v>
      </c>
      <c r="AO254" s="342">
        <f>AO255+AO256</f>
        <v>0</v>
      </c>
      <c r="AP254" s="342">
        <f>AP255+AP256</f>
        <v>0</v>
      </c>
      <c r="AQ254" s="342">
        <f>AQ255+AQ256</f>
        <v>0</v>
      </c>
      <c r="AR254" s="342">
        <f>AR255+AR256</f>
        <v>0</v>
      </c>
      <c r="AS254" s="342">
        <f>AS255+AS256</f>
        <v>0</v>
      </c>
      <c r="AT254" s="342">
        <f>AT255+AT256</f>
        <v>0</v>
      </c>
      <c r="AU254" s="342">
        <f>AU255+AU256</f>
        <v>0</v>
      </c>
      <c r="AV254" s="342">
        <f>AV255+AV256</f>
        <v>0</v>
      </c>
      <c r="AW254" s="342">
        <f>AW255+AW256</f>
        <v>0</v>
      </c>
      <c r="AX254" s="342">
        <f>AX255+AX256</f>
        <v>0</v>
      </c>
      <c r="AY254" s="342">
        <f>AY255+AY256</f>
        <v>0</v>
      </c>
      <c r="AZ254" s="342">
        <f>AZ255+AZ256</f>
        <v>0</v>
      </c>
      <c r="BA254" s="342">
        <f>BA255+BA256</f>
        <v>0</v>
      </c>
      <c r="BB254" s="342">
        <f>BB255+BB256</f>
        <v>0</v>
      </c>
      <c r="BC254" s="1928"/>
      <c r="BD254" s="1328"/>
      <c r="BE254" s="1328"/>
      <c r="BF254" s="1023" t="s">
        <v>792</v>
      </c>
    </row>
    <row s="1656" customFormat="1" customHeight="1" ht="12.75" hidden="1">
      <c r="A255" s="1328"/>
      <c r="B255" s="1186"/>
      <c r="C255" s="1328"/>
      <c r="D255" s="1328"/>
      <c r="E255" s="637">
        <v>15</v>
      </c>
      <c r="F255" s="50" cm="1" t="str">
        <f t="array" ref="F255:F255">OFFSET(E255,-1,1)</f>
        <v>2</v>
      </c>
      <c r="G255" s="1328"/>
      <c r="H255" s="94" t="s">
        <v>793</v>
      </c>
      <c r="I255" s="1328"/>
      <c r="J255" s="1328"/>
      <c r="K255" s="1328"/>
      <c r="L255" s="1328"/>
      <c r="M255" s="1328"/>
      <c r="N255" s="1328"/>
      <c r="O255" s="1328"/>
      <c r="P255" s="1308"/>
      <c r="Q255" s="1308"/>
      <c r="R255" s="1308"/>
      <c r="S255" s="1308"/>
      <c r="T255" s="468" cm="1" t="str">
        <f t="array" ref="T255:T255">T254</f>
        <v>false</v>
      </c>
      <c r="U255" s="1308"/>
      <c r="V255" s="1328"/>
      <c r="W255" s="1308"/>
      <c r="X255" s="1539"/>
      <c r="Y255" s="1528"/>
      <c r="Z255" s="1328"/>
      <c r="AA255" s="1328"/>
      <c r="AB255" s="236" t="s">
        <v>794</v>
      </c>
      <c r="AC255" s="332" t="s">
        <v>716</v>
      </c>
      <c r="AD255" s="89" t="s">
        <v>657</v>
      </c>
      <c r="AE255" s="1927"/>
      <c r="AF255" s="1927"/>
      <c r="AG255" s="1927"/>
      <c r="AH255" s="1927"/>
      <c r="AI255" s="1927"/>
      <c r="AJ255" s="1927"/>
      <c r="AK255" s="1927"/>
      <c r="AL255" s="1927"/>
      <c r="AM255" s="1927"/>
      <c r="AN255" s="1927"/>
      <c r="AO255" s="1927"/>
      <c r="AP255" s="1927"/>
      <c r="AQ255" s="1927"/>
      <c r="AR255" s="1927"/>
      <c r="AS255" s="1927"/>
      <c r="AT255" s="1927"/>
      <c r="AU255" s="1927"/>
      <c r="AV255" s="1927"/>
      <c r="AW255" s="1927"/>
      <c r="AX255" s="1927"/>
      <c r="AY255" s="1927"/>
      <c r="AZ255" s="1927"/>
      <c r="BA255" s="1927"/>
      <c r="BB255" s="1927"/>
      <c r="BC255" s="1928"/>
      <c r="BD255" s="1328"/>
      <c r="BE255" s="1328"/>
      <c r="BF255" s="1023" t="s">
        <v>795</v>
      </c>
    </row>
    <row s="1656" customFormat="1" customHeight="1" ht="12.75" hidden="1">
      <c r="A256" s="1328"/>
      <c r="B256" s="1186"/>
      <c r="C256" s="1328"/>
      <c r="D256" s="1328"/>
      <c r="E256" s="637">
        <v>15</v>
      </c>
      <c r="F256" s="50" cm="1" t="str">
        <f t="array" ref="F256:F256">OFFSET(E256,-1,1)</f>
        <v>2</v>
      </c>
      <c r="G256" s="1328"/>
      <c r="H256" s="94" t="s">
        <v>796</v>
      </c>
      <c r="I256" s="1328"/>
      <c r="J256" s="1328"/>
      <c r="K256" s="1328"/>
      <c r="L256" s="1328"/>
      <c r="M256" s="1328"/>
      <c r="N256" s="1328"/>
      <c r="O256" s="1328"/>
      <c r="P256" s="1308"/>
      <c r="Q256" s="1308"/>
      <c r="R256" s="1308"/>
      <c r="S256" s="1308"/>
      <c r="T256" s="468" cm="1" t="str">
        <f t="array" ref="T256:T256">T255</f>
        <v>false</v>
      </c>
      <c r="U256" s="1308"/>
      <c r="V256" s="1328"/>
      <c r="W256" s="1308"/>
      <c r="X256" s="1539"/>
      <c r="Y256" s="1528"/>
      <c r="Z256" s="1328"/>
      <c r="AA256" s="1328"/>
      <c r="AB256" s="236" t="s">
        <v>797</v>
      </c>
      <c r="AC256" s="332" t="s">
        <v>720</v>
      </c>
      <c r="AD256" s="89" t="s">
        <v>657</v>
      </c>
      <c r="AE256" s="1927"/>
      <c r="AF256" s="1927"/>
      <c r="AG256" s="1927"/>
      <c r="AH256" s="1927"/>
      <c r="AI256" s="1927"/>
      <c r="AJ256" s="1927"/>
      <c r="AK256" s="1927"/>
      <c r="AL256" s="1927"/>
      <c r="AM256" s="1927"/>
      <c r="AN256" s="1927"/>
      <c r="AO256" s="1927"/>
      <c r="AP256" s="1927"/>
      <c r="AQ256" s="1927"/>
      <c r="AR256" s="1927"/>
      <c r="AS256" s="1927"/>
      <c r="AT256" s="1927"/>
      <c r="AU256" s="1927"/>
      <c r="AV256" s="1927"/>
      <c r="AW256" s="1927"/>
      <c r="AX256" s="1927"/>
      <c r="AY256" s="1927"/>
      <c r="AZ256" s="1927"/>
      <c r="BA256" s="1927"/>
      <c r="BB256" s="1927"/>
      <c r="BC256" s="1928"/>
      <c r="BD256" s="1328"/>
      <c r="BE256" s="1328"/>
      <c r="BF256" s="1023" t="s">
        <v>798</v>
      </c>
    </row>
    <row s="1656" customFormat="1" customHeight="1" ht="12.75" hidden="1">
      <c r="A257" s="1328"/>
      <c r="B257" s="1186"/>
      <c r="C257" s="1328"/>
      <c r="D257" s="1328"/>
      <c r="E257" s="637">
        <v>15</v>
      </c>
      <c r="F257" s="50" cm="1" t="str">
        <f t="array" ref="F257:F257">OFFSET(E257,-1,1)</f>
        <v>2</v>
      </c>
      <c r="G257" s="94" t="s">
        <v>726</v>
      </c>
      <c r="H257" s="94" t="s">
        <v>619</v>
      </c>
      <c r="I257" s="1328"/>
      <c r="J257" s="1328"/>
      <c r="K257" s="1328"/>
      <c r="L257" s="1328"/>
      <c r="M257" s="1328"/>
      <c r="N257" s="1328"/>
      <c r="O257" s="1328"/>
      <c r="P257" s="1308"/>
      <c r="Q257" s="1308"/>
      <c r="R257" s="1308"/>
      <c r="S257" s="1308"/>
      <c r="T257" s="468" cm="1" t="str">
        <f t="array" ref="T257:T257">T256</f>
        <v>false</v>
      </c>
      <c r="U257" s="1308"/>
      <c r="V257" s="1328"/>
      <c r="W257" s="1308"/>
      <c r="X257" s="1539"/>
      <c r="Y257" s="1528"/>
      <c r="Z257" s="1328"/>
      <c r="AA257" s="1328"/>
      <c r="AB257" s="236" t="s">
        <v>454</v>
      </c>
      <c r="AC257" s="331" t="s">
        <v>729</v>
      </c>
      <c r="AD257" s="89" t="s">
        <v>657</v>
      </c>
      <c r="AE257" s="342">
        <f>AE258+AE259</f>
        <v>0</v>
      </c>
      <c r="AF257" s="342">
        <f>AF258+AF259</f>
        <v>0</v>
      </c>
      <c r="AG257" s="342">
        <f>AG258+AG259</f>
        <v>0</v>
      </c>
      <c r="AH257" s="342">
        <f>AH258+AH259</f>
        <v>0</v>
      </c>
      <c r="AI257" s="342">
        <f>AI258+AI259</f>
        <v>0</v>
      </c>
      <c r="AJ257" s="342">
        <f>AJ258+AJ259</f>
        <v>0</v>
      </c>
      <c r="AK257" s="342">
        <f>AK258+AK259</f>
        <v>0</v>
      </c>
      <c r="AL257" s="342">
        <f>AL258+AL259</f>
        <v>0</v>
      </c>
      <c r="AM257" s="342">
        <f>AM258+AM259</f>
        <v>0</v>
      </c>
      <c r="AN257" s="342">
        <f>AN258+AN259</f>
        <v>0</v>
      </c>
      <c r="AO257" s="342">
        <f>AO258+AO259</f>
        <v>0</v>
      </c>
      <c r="AP257" s="342">
        <f>AP258+AP259</f>
        <v>0</v>
      </c>
      <c r="AQ257" s="342">
        <f>AQ258+AQ259</f>
        <v>0</v>
      </c>
      <c r="AR257" s="342">
        <f>AR258+AR259</f>
        <v>0</v>
      </c>
      <c r="AS257" s="342">
        <f>AS258+AS259</f>
        <v>0</v>
      </c>
      <c r="AT257" s="342">
        <f>AT258+AT259</f>
        <v>0</v>
      </c>
      <c r="AU257" s="342">
        <f>AU258+AU259</f>
        <v>0</v>
      </c>
      <c r="AV257" s="342">
        <f>AV258+AV259</f>
        <v>0</v>
      </c>
      <c r="AW257" s="342">
        <f>AW258+AW259</f>
        <v>0</v>
      </c>
      <c r="AX257" s="342">
        <f>AX258+AX259</f>
        <v>0</v>
      </c>
      <c r="AY257" s="342">
        <f>AY258+AY259</f>
        <v>0</v>
      </c>
      <c r="AZ257" s="342">
        <f>AZ258+AZ259</f>
        <v>0</v>
      </c>
      <c r="BA257" s="342">
        <f>BA258+BA259</f>
        <v>0</v>
      </c>
      <c r="BB257" s="342">
        <f>BB258+BB259</f>
        <v>0</v>
      </c>
      <c r="BC257" s="1928"/>
      <c r="BD257" s="1328"/>
      <c r="BE257" s="1328"/>
      <c r="BF257" s="1023" t="s">
        <v>799</v>
      </c>
    </row>
    <row s="1656" customFormat="1" customHeight="1" ht="12.75" hidden="1">
      <c r="A258" s="1328"/>
      <c r="B258" s="1186"/>
      <c r="C258" s="1328"/>
      <c r="D258" s="1328"/>
      <c r="E258" s="637">
        <v>15</v>
      </c>
      <c r="F258" s="50" cm="1" t="str">
        <f t="array" ref="F258:F258">OFFSET(E258,-1,1)</f>
        <v>2</v>
      </c>
      <c r="G258" s="1328"/>
      <c r="H258" s="94" t="s">
        <v>800</v>
      </c>
      <c r="I258" s="1328"/>
      <c r="J258" s="1328"/>
      <c r="K258" s="1328"/>
      <c r="L258" s="1328"/>
      <c r="M258" s="1328"/>
      <c r="N258" s="1328"/>
      <c r="O258" s="1328"/>
      <c r="P258" s="1308"/>
      <c r="Q258" s="1308"/>
      <c r="R258" s="1308"/>
      <c r="S258" s="1308"/>
      <c r="T258" s="468" cm="1" t="str">
        <f t="array" ref="T258:T258">T257</f>
        <v>false</v>
      </c>
      <c r="U258" s="1308"/>
      <c r="V258" s="1328"/>
      <c r="W258" s="1308"/>
      <c r="X258" s="1539"/>
      <c r="Y258" s="1528"/>
      <c r="Z258" s="1328"/>
      <c r="AA258" s="1328"/>
      <c r="AB258" s="236" t="s">
        <v>801</v>
      </c>
      <c r="AC258" s="332" t="s">
        <v>733</v>
      </c>
      <c r="AD258" s="89" t="s">
        <v>657</v>
      </c>
      <c r="AE258" s="1927"/>
      <c r="AF258" s="1927"/>
      <c r="AG258" s="1927"/>
      <c r="AH258" s="1927"/>
      <c r="AI258" s="1927"/>
      <c r="AJ258" s="1927"/>
      <c r="AK258" s="1927"/>
      <c r="AL258" s="1927"/>
      <c r="AM258" s="1927"/>
      <c r="AN258" s="1927"/>
      <c r="AO258" s="1927"/>
      <c r="AP258" s="1927"/>
      <c r="AQ258" s="1927"/>
      <c r="AR258" s="1927"/>
      <c r="AS258" s="1927"/>
      <c r="AT258" s="1927"/>
      <c r="AU258" s="1927"/>
      <c r="AV258" s="1927"/>
      <c r="AW258" s="1927"/>
      <c r="AX258" s="1927"/>
      <c r="AY258" s="1927"/>
      <c r="AZ258" s="1927"/>
      <c r="BA258" s="1927"/>
      <c r="BB258" s="1927"/>
      <c r="BC258" s="1928"/>
      <c r="BD258" s="1328"/>
      <c r="BE258" s="1328"/>
      <c r="BF258" s="1023" t="s">
        <v>802</v>
      </c>
    </row>
    <row s="1656" customFormat="1" customHeight="1" ht="12.75" hidden="1">
      <c r="A259" s="1328"/>
      <c r="B259" s="1186"/>
      <c r="C259" s="1328"/>
      <c r="D259" s="1328"/>
      <c r="E259" s="637">
        <v>15</v>
      </c>
      <c r="F259" s="50" cm="1" t="str">
        <f t="array" ref="F259:F259">OFFSET(E259,-1,1)</f>
        <v>2</v>
      </c>
      <c r="G259" s="1328"/>
      <c r="H259" s="94" t="s">
        <v>803</v>
      </c>
      <c r="I259" s="1328"/>
      <c r="J259" s="1328"/>
      <c r="K259" s="1328"/>
      <c r="L259" s="1328"/>
      <c r="M259" s="1328"/>
      <c r="N259" s="1328"/>
      <c r="O259" s="1328"/>
      <c r="P259" s="1308"/>
      <c r="Q259" s="1308"/>
      <c r="R259" s="1308"/>
      <c r="S259" s="1308"/>
      <c r="T259" s="468" cm="1" t="str">
        <f t="array" ref="T259:T259">T258</f>
        <v>false</v>
      </c>
      <c r="U259" s="1308"/>
      <c r="V259" s="1328"/>
      <c r="W259" s="1308"/>
      <c r="X259" s="1539"/>
      <c r="Y259" s="1528"/>
      <c r="Z259" s="1328"/>
      <c r="AA259" s="1328"/>
      <c r="AB259" s="236" t="s">
        <v>804</v>
      </c>
      <c r="AC259" s="332" t="s">
        <v>737</v>
      </c>
      <c r="AD259" s="89" t="s">
        <v>657</v>
      </c>
      <c r="AE259" s="1927"/>
      <c r="AF259" s="1927"/>
      <c r="AG259" s="1927"/>
      <c r="AH259" s="1927"/>
      <c r="AI259" s="1927"/>
      <c r="AJ259" s="1927"/>
      <c r="AK259" s="1927"/>
      <c r="AL259" s="1927"/>
      <c r="AM259" s="1927"/>
      <c r="AN259" s="1927"/>
      <c r="AO259" s="1927"/>
      <c r="AP259" s="1927"/>
      <c r="AQ259" s="1927"/>
      <c r="AR259" s="1927"/>
      <c r="AS259" s="1927"/>
      <c r="AT259" s="1927"/>
      <c r="AU259" s="1927"/>
      <c r="AV259" s="1927"/>
      <c r="AW259" s="1927"/>
      <c r="AX259" s="1927"/>
      <c r="AY259" s="1927"/>
      <c r="AZ259" s="1927"/>
      <c r="BA259" s="1927"/>
      <c r="BB259" s="1927"/>
      <c r="BC259" s="1928"/>
      <c r="BD259" s="1328"/>
      <c r="BE259" s="1328"/>
      <c r="BF259" s="1023" t="s">
        <v>805</v>
      </c>
    </row>
    <row s="1656" customFormat="1" customHeight="1" ht="23.25" hidden="1">
      <c r="A260" s="1328"/>
      <c r="B260" s="1186"/>
      <c r="C260" s="1328"/>
      <c r="D260" s="1328"/>
      <c r="E260" s="637">
        <v>22.5</v>
      </c>
      <c r="F260" s="50" cm="1" t="str">
        <f t="array" ref="F260:F260">OFFSET(E260,-1,1)</f>
        <v>2</v>
      </c>
      <c r="G260" s="1328"/>
      <c r="H260" s="94" t="s">
        <v>685</v>
      </c>
      <c r="I260" s="472"/>
      <c r="J260" s="472"/>
      <c r="K260" s="1328"/>
      <c r="L260" s="1328"/>
      <c r="M260" s="1328"/>
      <c r="N260" s="1328"/>
      <c r="O260" s="1328"/>
      <c r="P260" s="1308"/>
      <c r="Q260" s="1308"/>
      <c r="R260" s="1308"/>
      <c r="S260" s="1308"/>
      <c r="T260" s="468" cm="1" t="str">
        <f t="array" ref="T260:T260">T259</f>
        <v>false</v>
      </c>
      <c r="U260" s="1308"/>
      <c r="V260" s="1328"/>
      <c r="W260" s="1308"/>
      <c r="X260" s="1539"/>
      <c r="Y260" s="1528"/>
      <c r="Z260" s="1328"/>
      <c r="AA260" s="1328"/>
      <c r="AB260" s="236" t="s">
        <v>457</v>
      </c>
      <c r="AC260" s="333" t="s">
        <v>776</v>
      </c>
      <c r="AD260" s="89" t="s">
        <v>657</v>
      </c>
      <c r="AE260" s="1927"/>
      <c r="AF260" s="1927"/>
      <c r="AG260" s="1927"/>
      <c r="AH260" s="1927"/>
      <c r="AI260" s="1927"/>
      <c r="AJ260" s="1927"/>
      <c r="AK260" s="1927"/>
      <c r="AL260" s="1927"/>
      <c r="AM260" s="1927"/>
      <c r="AN260" s="1927"/>
      <c r="AO260" s="1927"/>
      <c r="AP260" s="1927"/>
      <c r="AQ260" s="1927"/>
      <c r="AR260" s="1927"/>
      <c r="AS260" s="1927"/>
      <c r="AT260" s="1927"/>
      <c r="AU260" s="1927"/>
      <c r="AV260" s="1927"/>
      <c r="AW260" s="1927"/>
      <c r="AX260" s="1927"/>
      <c r="AY260" s="1927"/>
      <c r="AZ260" s="1927"/>
      <c r="BA260" s="1927"/>
      <c r="BB260" s="1927"/>
      <c r="BC260" s="1928"/>
      <c r="BD260" s="1328"/>
      <c r="BE260" s="1328"/>
      <c r="BF260" s="1023" t="s">
        <v>806</v>
      </c>
    </row>
    <row s="1656" customFormat="1" customHeight="1" ht="23.25" hidden="1">
      <c r="A261" s="1328"/>
      <c r="B261" s="1186"/>
      <c r="C261" s="1328"/>
      <c r="D261" s="1328"/>
      <c r="E261" s="637">
        <v>15</v>
      </c>
      <c r="F261" s="345" cm="1" t="str">
        <f t="array" ref="F261:F261">OFFSET(E261,-1,1)</f>
        <v>2</v>
      </c>
      <c r="G261" s="1328"/>
      <c r="H261" s="1328"/>
      <c r="I261" s="1328"/>
      <c r="J261" s="1328"/>
      <c r="K261" s="1328"/>
      <c r="L261" s="1328"/>
      <c r="M261" s="1328"/>
      <c r="N261" s="1328"/>
      <c r="O261" s="1328"/>
      <c r="P261" s="1308"/>
      <c r="Q261" s="1308"/>
      <c r="R261" s="1308"/>
      <c r="S261" s="1308"/>
      <c r="T261" s="468" cm="1" t="str">
        <f t="array" ref="T261:T261">T260</f>
        <v>false</v>
      </c>
      <c r="U261" s="1308"/>
      <c r="V261" s="1328"/>
      <c r="W261" s="1308"/>
      <c r="X261" s="1539"/>
      <c r="Y261" s="1528"/>
      <c r="Z261" s="1328"/>
      <c r="AA261" s="1328"/>
      <c r="AB261" s="236" t="s">
        <v>778</v>
      </c>
      <c r="AC261" s="330" t="s">
        <v>779</v>
      </c>
      <c r="AD261" s="89" t="s">
        <v>657</v>
      </c>
      <c r="AE261" s="1927"/>
      <c r="AF261" s="1927"/>
      <c r="AG261" s="1927"/>
      <c r="AH261" s="1927"/>
      <c r="AI261" s="1927"/>
      <c r="AJ261" s="1927"/>
      <c r="AK261" s="1927"/>
      <c r="AL261" s="1927"/>
      <c r="AM261" s="1927"/>
      <c r="AN261" s="1927"/>
      <c r="AO261" s="1927"/>
      <c r="AP261" s="1927"/>
      <c r="AQ261" s="1927"/>
      <c r="AR261" s="1927"/>
      <c r="AS261" s="1927"/>
      <c r="AT261" s="1927"/>
      <c r="AU261" s="1927"/>
      <c r="AV261" s="1927"/>
      <c r="AW261" s="1927"/>
      <c r="AX261" s="1927"/>
      <c r="AY261" s="1927"/>
      <c r="AZ261" s="1927"/>
      <c r="BA261" s="1927"/>
      <c r="BB261" s="1927"/>
      <c r="BC261" s="1928"/>
      <c r="BD261" s="1328"/>
      <c r="BE261" s="1328"/>
      <c r="BF261" s="1023" t="s">
        <v>807</v>
      </c>
    </row>
    <row s="1656" customFormat="1" customHeight="1" ht="11.25" hidden="1">
      <c r="A262" s="472"/>
      <c r="B262" s="664"/>
      <c r="C262" s="472"/>
      <c r="D262" s="472"/>
      <c r="E262" s="666" t="s">
        <v>384</v>
      </c>
      <c r="F262" s="1194" cm="1" t="str">
        <f t="array" ref="F262:F262">OFFSET(E262,-1,1)</f>
        <v>2</v>
      </c>
      <c r="G262" s="472"/>
      <c r="H262" s="472"/>
      <c r="I262" s="1656"/>
      <c r="J262" s="1656"/>
      <c r="K262" s="94"/>
      <c r="L262" s="472"/>
      <c r="M262" s="472"/>
      <c r="N262" s="472"/>
      <c r="O262" s="472"/>
      <c r="P262" s="472"/>
      <c r="Q262" s="472"/>
      <c r="R262" s="417"/>
      <c r="S262" s="472"/>
      <c r="T262" s="468" t="b">
        <v>0</v>
      </c>
      <c r="U262" s="472"/>
      <c r="V262" s="472"/>
      <c r="W262" s="472"/>
      <c r="X262" s="1539"/>
      <c r="Y262" s="1528"/>
      <c r="Z262" s="472"/>
      <c r="AA262" s="472"/>
      <c r="AB262" s="1656"/>
      <c r="AC262" s="96"/>
      <c r="AD262" s="96"/>
      <c r="AE262" s="340"/>
      <c r="AF262" s="340"/>
      <c r="AG262" s="340"/>
      <c r="AH262" s="340"/>
      <c r="AI262" s="340"/>
      <c r="AJ262" s="341"/>
      <c r="AK262" s="340"/>
      <c r="AL262" s="340"/>
      <c r="AM262" s="340"/>
      <c r="AN262" s="340"/>
      <c r="AO262" s="340"/>
      <c r="AP262" s="340"/>
      <c r="AQ262" s="340"/>
      <c r="AR262" s="340"/>
      <c r="AS262" s="340"/>
      <c r="AT262" s="340"/>
      <c r="AU262" s="340"/>
      <c r="AV262" s="340"/>
      <c r="AW262" s="340"/>
      <c r="AX262" s="340"/>
      <c r="AY262" s="340"/>
      <c r="AZ262" s="340"/>
      <c r="BA262" s="340"/>
      <c r="BB262" s="340"/>
      <c r="BC262" s="1656"/>
      <c r="BD262" s="1656"/>
      <c r="BE262" s="1656"/>
      <c r="BF262" s="1027"/>
    </row>
    <row s="1656" customFormat="1" customHeight="1" ht="12.75">
      <c r="A263" s="1328"/>
      <c r="B263" s="1186"/>
      <c r="C263" s="1328"/>
      <c r="D263" s="1328"/>
      <c r="E263" s="637">
        <v>15</v>
      </c>
      <c r="F263" s="50" cm="1" t="str">
        <f t="array" ref="F263:F263">OFFSET(E263,-1,1)</f>
        <v>2</v>
      </c>
      <c r="G263" s="1328"/>
      <c r="H263" s="1328"/>
      <c r="I263" s="1328"/>
      <c r="J263" s="1328"/>
      <c r="K263" s="1328"/>
      <c r="L263" s="1328"/>
      <c r="M263" s="1328"/>
      <c r="N263" s="1328"/>
      <c r="O263" s="1328"/>
      <c r="P263" s="1308"/>
      <c r="Q263" s="1308"/>
      <c r="R263" s="417" cm="1" t="str">
        <f t="array" ref="R263:R263">INDEX('Общие сведения'!$AN$197:$AN$254,MATCH($X209,'Общие сведения'!$Z$197:$Z$254,0))</f>
        <v>false</v>
      </c>
      <c r="S263" s="485">
        <f>IF(ISERROR(SEARCH("Водоотведение",AB209)),FALSE,TRUE)</f>
        <v>1</v>
      </c>
      <c r="T263" s="468">
        <f>AND(X209&gt;0,S263,NOT(R263))</f>
        <v>1</v>
      </c>
      <c r="U263" s="1308"/>
      <c r="V263" s="1328"/>
      <c r="W263" s="1308"/>
      <c r="X263" s="1539"/>
      <c r="Y263" s="1528"/>
      <c r="Z263" s="1328"/>
      <c r="AA263" s="1328"/>
      <c r="AB263" s="236" t="s">
        <v>290</v>
      </c>
      <c r="AC263" s="133" t="s">
        <v>808</v>
      </c>
      <c r="AD263" s="193"/>
      <c r="AE263" s="574" cm="1" t="str">
        <f t="array" ref="AE263:AE263">INDEX('Общие сведения'!$AH$197:$AH$254,MATCH($X209,'Общие сведения'!$Z$197:$Z$254,0))</f>
        <v>без дифференциации</v>
      </c>
      <c r="AF263" s="358"/>
      <c r="AG263" s="358"/>
      <c r="AH263" s="358"/>
      <c r="AI263" s="358"/>
      <c r="AJ263" s="358"/>
      <c r="AK263" s="358"/>
      <c r="AL263" s="358"/>
      <c r="AM263" s="358"/>
      <c r="AN263" s="358"/>
      <c r="AO263" s="358"/>
      <c r="AP263" s="358"/>
      <c r="AQ263" s="358"/>
      <c r="AR263" s="358"/>
      <c r="AS263" s="358"/>
      <c r="AT263" s="358"/>
      <c r="AU263" s="358"/>
      <c r="AV263" s="358"/>
      <c r="AW263" s="358"/>
      <c r="AX263" s="358"/>
      <c r="AY263" s="358"/>
      <c r="AZ263" s="358"/>
      <c r="BA263" s="358"/>
      <c r="BB263" s="359"/>
      <c r="BC263" s="196"/>
      <c r="BD263" s="1328"/>
      <c r="BE263" s="1328"/>
      <c r="BF263" s="1023" t="s">
        <v>809</v>
      </c>
    </row>
    <row s="1656" customFormat="1" customHeight="1" ht="19.921875">
      <c r="A264" s="1328"/>
      <c r="B264" s="1186"/>
      <c r="C264" s="1328"/>
      <c r="D264" s="1328"/>
      <c r="E264" s="637">
        <v>15</v>
      </c>
      <c r="F264" s="50" cm="1" t="str">
        <f t="array" ref="F264:F264">OFFSET(E264,-1,1)</f>
        <v>2</v>
      </c>
      <c r="G264" s="1328"/>
      <c r="H264" s="94" t="s">
        <v>348</v>
      </c>
      <c r="I264" s="1328"/>
      <c r="J264" s="1328"/>
      <c r="K264" s="1328"/>
      <c r="L264" s="1328"/>
      <c r="M264" s="1328"/>
      <c r="N264" s="1328"/>
      <c r="O264" s="1328"/>
      <c r="P264" s="1308"/>
      <c r="Q264" s="1308"/>
      <c r="R264" s="1308"/>
      <c r="S264" s="1308"/>
      <c r="T264" s="468" cm="1" t="str">
        <f t="array" ref="T264:T264">T263</f>
        <v>true</v>
      </c>
      <c r="U264" s="1308"/>
      <c r="V264" s="1328"/>
      <c r="W264" s="1308"/>
      <c r="X264" s="1539"/>
      <c r="Y264" s="1528"/>
      <c r="Z264" s="1328"/>
      <c r="AA264" s="1328"/>
      <c r="AB264" s="236" t="s">
        <v>299</v>
      </c>
      <c r="AC264" s="133" t="s">
        <v>810</v>
      </c>
      <c r="AD264" s="89" t="s">
        <v>657</v>
      </c>
      <c r="AE264" s="343">
        <f>AE265+AE266+AE279</f>
        <v>4990.56819</v>
      </c>
      <c r="AF264" s="343">
        <f>AF265+AF266+AF279</f>
        <v>4761.725</v>
      </c>
      <c r="AG264" s="343">
        <f>AG265+AG266+AG279</f>
        <v>4761.725</v>
      </c>
      <c r="AH264" s="343">
        <f>AH265+AH266+AH279</f>
        <v>4897.85523</v>
      </c>
      <c r="AI264" s="343">
        <f>AI265+AI266+AI279</f>
        <v>4766.327</v>
      </c>
      <c r="AJ264" s="343">
        <f>AJ265+AJ266+AJ279</f>
        <v>0</v>
      </c>
      <c r="AK264" s="343">
        <f>AK265+AK266+AK279</f>
        <v>0</v>
      </c>
      <c r="AL264" s="343">
        <f>AL265+AL266+AL279</f>
        <v>0</v>
      </c>
      <c r="AM264" s="343">
        <f>AM265+AM266+AM279</f>
        <v>0</v>
      </c>
      <c r="AN264" s="343">
        <f>AN265+AN266+AN279</f>
        <v>0</v>
      </c>
      <c r="AO264" s="343">
        <f>AO265+AO266+AO279</f>
        <v>0</v>
      </c>
      <c r="AP264" s="343">
        <f>AP265+AP266+AP279</f>
        <v>0</v>
      </c>
      <c r="AQ264" s="343">
        <f>AQ265+AQ266+AQ279</f>
        <v>0</v>
      </c>
      <c r="AR264" s="343">
        <f>AR265+AR266+AR279</f>
        <v>0</v>
      </c>
      <c r="AS264" s="343">
        <f>AS265+AS266+AS279</f>
        <v>4589.80103</v>
      </c>
      <c r="AT264" s="343">
        <f>AT265+AT266+AT279</f>
        <v>0</v>
      </c>
      <c r="AU264" s="343">
        <f>AU265+AU266+AU279</f>
        <v>0</v>
      </c>
      <c r="AV264" s="343">
        <f>AV265+AV266+AV279</f>
        <v>0</v>
      </c>
      <c r="AW264" s="343">
        <f>AW265+AW266+AW279</f>
        <v>0</v>
      </c>
      <c r="AX264" s="343">
        <f>AX265+AX266+AX279</f>
        <v>0</v>
      </c>
      <c r="AY264" s="343">
        <f>AY265+AY266+AY279</f>
        <v>0</v>
      </c>
      <c r="AZ264" s="343">
        <f>AZ265+AZ266+AZ279</f>
        <v>0</v>
      </c>
      <c r="BA264" s="343">
        <f>BA265+BA266+BA279</f>
        <v>0</v>
      </c>
      <c r="BB264" s="343">
        <f>BB265+BB266+BB279</f>
        <v>0</v>
      </c>
      <c r="BC264" s="196"/>
      <c r="BD264" s="1328"/>
      <c r="BE264" s="1328"/>
      <c r="BF264" s="1023" t="s">
        <v>811</v>
      </c>
    </row>
    <row s="1656" customFormat="1" customHeight="1" ht="29.671875">
      <c r="A265" s="1328"/>
      <c r="B265" s="1186"/>
      <c r="C265" s="1328"/>
      <c r="D265" s="1328"/>
      <c r="E265" s="637">
        <v>15</v>
      </c>
      <c r="F265" s="50" cm="1" t="str">
        <f t="array" ref="F265:F265">OFFSET(E265,-1,1)</f>
        <v>2</v>
      </c>
      <c r="G265" s="94" t="str">
        <f>IF(OwnNeedsInPO="да","ПО","")</f>
        <v>ПО</v>
      </c>
      <c r="H265" s="94" t="s">
        <v>347</v>
      </c>
      <c r="I265" s="1328"/>
      <c r="J265" s="1328"/>
      <c r="K265" s="1328"/>
      <c r="L265" s="1328"/>
      <c r="M265" s="1328"/>
      <c r="N265" s="1328"/>
      <c r="O265" s="1328"/>
      <c r="P265" s="1308"/>
      <c r="Q265" s="1308"/>
      <c r="R265" s="1308"/>
      <c r="S265" s="1308"/>
      <c r="T265" s="468" cm="1" t="str">
        <f t="array" ref="T265:T265">T264</f>
        <v>true</v>
      </c>
      <c r="U265" s="1308"/>
      <c r="V265" s="1328"/>
      <c r="W265" s="1308"/>
      <c r="X265" s="1539"/>
      <c r="Y265" s="1528"/>
      <c r="Z265" s="1328"/>
      <c r="AA265" s="1328"/>
      <c r="AB265" s="236" t="s">
        <v>234</v>
      </c>
      <c r="AC265" s="133" t="s">
        <v>812</v>
      </c>
      <c r="AD265" s="89" t="s">
        <v>657</v>
      </c>
      <c r="AE265" s="272">
        <v>448.122</v>
      </c>
      <c r="AF265" s="272">
        <v>443.52</v>
      </c>
      <c r="AG265" s="272">
        <v>443.52</v>
      </c>
      <c r="AH265" s="272">
        <v>486.06579</v>
      </c>
      <c r="AI265" s="272">
        <v>448.122</v>
      </c>
      <c r="AJ265" s="1927"/>
      <c r="AK265" s="1927"/>
      <c r="AL265" s="1927"/>
      <c r="AM265" s="1927"/>
      <c r="AN265" s="1927"/>
      <c r="AO265" s="1927"/>
      <c r="AP265" s="1927"/>
      <c r="AQ265" s="1927"/>
      <c r="AR265" s="1927"/>
      <c r="AS265" s="272">
        <v>448.122</v>
      </c>
      <c r="AT265" s="1927"/>
      <c r="AU265" s="1927"/>
      <c r="AV265" s="1927"/>
      <c r="AW265" s="1927"/>
      <c r="AX265" s="1927"/>
      <c r="AY265" s="1927"/>
      <c r="AZ265" s="1927"/>
      <c r="BA265" s="1927"/>
      <c r="BB265" s="1927"/>
      <c r="BC265" s="196" t="s">
        <v>905</v>
      </c>
      <c r="BD265" s="1328"/>
      <c r="BE265" s="1328"/>
      <c r="BF265" s="1023" t="s">
        <v>813</v>
      </c>
    </row>
    <row s="1656" customFormat="1" customHeight="1" ht="12.75">
      <c r="A266" s="1328"/>
      <c r="B266" s="1186"/>
      <c r="C266" s="1328"/>
      <c r="D266" s="1328"/>
      <c r="E266" s="637">
        <v>15</v>
      </c>
      <c r="F266" s="50" cm="1" t="str">
        <f t="array" ref="F266:F266">OFFSET(E266,-1,1)</f>
        <v>2</v>
      </c>
      <c r="G266" s="94" t="s">
        <v>726</v>
      </c>
      <c r="H266" s="94" t="s">
        <v>616</v>
      </c>
      <c r="I266" s="1328"/>
      <c r="J266" s="1328"/>
      <c r="K266" s="1328"/>
      <c r="L266" s="1328"/>
      <c r="M266" s="1328"/>
      <c r="N266" s="1328"/>
      <c r="O266" s="1328"/>
      <c r="P266" s="1308"/>
      <c r="Q266" s="1308"/>
      <c r="R266" s="1308"/>
      <c r="S266" s="1308"/>
      <c r="T266" s="468" cm="1" t="str">
        <f t="array" ref="T266:T266">T265</f>
        <v>true</v>
      </c>
      <c r="U266" s="1308"/>
      <c r="V266" s="1328"/>
      <c r="W266" s="1308"/>
      <c r="X266" s="1539"/>
      <c r="Y266" s="1528"/>
      <c r="Z266" s="1328"/>
      <c r="AA266" s="1328"/>
      <c r="AB266" s="236" t="s">
        <v>451</v>
      </c>
      <c r="AC266" s="134" t="s">
        <v>814</v>
      </c>
      <c r="AD266" s="89" t="s">
        <v>657</v>
      </c>
      <c r="AE266" s="342">
        <f>AE267+AE270+AE273+AE276</f>
        <v>4542.44619</v>
      </c>
      <c r="AF266" s="342">
        <f>AF267+AF270+AF273+AF276</f>
        <v>4318.205</v>
      </c>
      <c r="AG266" s="342">
        <f>AG267+AG270+AG273+AG276</f>
        <v>4318.205</v>
      </c>
      <c r="AH266" s="342">
        <f>AH267+AH270+AH273+AH276</f>
        <v>4411.78944</v>
      </c>
      <c r="AI266" s="342">
        <f>AI267+AI270+AI273+AI276</f>
        <v>4318.205</v>
      </c>
      <c r="AJ266" s="342">
        <f>AJ267+AJ270+AJ273+AJ276</f>
        <v>0</v>
      </c>
      <c r="AK266" s="342">
        <f>AK267+AK270+AK273+AK276</f>
        <v>0</v>
      </c>
      <c r="AL266" s="342">
        <f>AL267+AL270+AL273+AL276</f>
        <v>0</v>
      </c>
      <c r="AM266" s="342">
        <f>AM267+AM270+AM273+AM276</f>
        <v>0</v>
      </c>
      <c r="AN266" s="342">
        <f>AN267+AN270+AN273+AN276</f>
        <v>0</v>
      </c>
      <c r="AO266" s="342">
        <f>AO267+AO270+AO273+AO276</f>
        <v>0</v>
      </c>
      <c r="AP266" s="342">
        <f>AP267+AP270+AP273+AP276</f>
        <v>0</v>
      </c>
      <c r="AQ266" s="342">
        <f>AQ267+AQ270+AQ273+AQ276</f>
        <v>0</v>
      </c>
      <c r="AR266" s="342">
        <f>AR267+AR270+AR273+AR276</f>
        <v>0</v>
      </c>
      <c r="AS266" s="342">
        <f>AS267+AS270+AS273+AS276</f>
        <v>4141.67903</v>
      </c>
      <c r="AT266" s="342">
        <f>AT267+AT270+AT273+AT276</f>
        <v>0</v>
      </c>
      <c r="AU266" s="342">
        <f>AU267+AU270+AU273+AU276</f>
        <v>0</v>
      </c>
      <c r="AV266" s="342">
        <f>AV267+AV270+AV273+AV276</f>
        <v>0</v>
      </c>
      <c r="AW266" s="342">
        <f>AW267+AW270+AW273+AW276</f>
        <v>0</v>
      </c>
      <c r="AX266" s="342">
        <f>AX267+AX270+AX273+AX276</f>
        <v>0</v>
      </c>
      <c r="AY266" s="342">
        <f>AY267+AY270+AY273+AY276</f>
        <v>0</v>
      </c>
      <c r="AZ266" s="342">
        <f>AZ267+AZ270+AZ273+AZ276</f>
        <v>0</v>
      </c>
      <c r="BA266" s="342">
        <f>BA267+BA270+BA273+BA276</f>
        <v>0</v>
      </c>
      <c r="BB266" s="342">
        <f>BB267+BB270+BB273+BB276</f>
        <v>0</v>
      </c>
      <c r="BC266" s="196"/>
      <c r="BD266" s="1328"/>
      <c r="BE266" s="1328"/>
      <c r="BF266" s="1023" t="s">
        <v>815</v>
      </c>
    </row>
    <row s="1656" customFormat="1" customHeight="1" ht="12.75">
      <c r="A267" s="1328"/>
      <c r="B267" s="1186"/>
      <c r="C267" s="1328"/>
      <c r="D267" s="1328"/>
      <c r="E267" s="637">
        <v>15</v>
      </c>
      <c r="F267" s="50" cm="1" t="str">
        <f t="array" ref="F267:F267">OFFSET(E267,-1,1)</f>
        <v>2</v>
      </c>
      <c r="G267" s="1328"/>
      <c r="H267" s="94" t="s">
        <v>793</v>
      </c>
      <c r="I267" s="1328"/>
      <c r="J267" s="1328"/>
      <c r="K267" s="1328"/>
      <c r="L267" s="1328"/>
      <c r="M267" s="1328"/>
      <c r="N267" s="1328"/>
      <c r="O267" s="1328"/>
      <c r="P267" s="1308"/>
      <c r="Q267" s="1308"/>
      <c r="R267" s="1308"/>
      <c r="S267" s="1308"/>
      <c r="T267" s="468" cm="1" t="str">
        <f t="array" ref="T267:T267">T266</f>
        <v>true</v>
      </c>
      <c r="U267" s="1308"/>
      <c r="V267" s="1328"/>
      <c r="W267" s="1308"/>
      <c r="X267" s="1539"/>
      <c r="Y267" s="1528"/>
      <c r="Z267" s="1328"/>
      <c r="AA267" s="1328"/>
      <c r="AB267" s="236" t="s">
        <v>794</v>
      </c>
      <c r="AC267" s="188" t="s">
        <v>745</v>
      </c>
      <c r="AD267" s="89" t="s">
        <v>657</v>
      </c>
      <c r="AE267" s="342">
        <f>AE268+AE269</f>
        <v>327.0061</v>
      </c>
      <c r="AF267" s="342">
        <f>AF268+AF269</f>
        <v>292.998</v>
      </c>
      <c r="AG267" s="342">
        <f>AG268+AG269</f>
        <v>292.998</v>
      </c>
      <c r="AH267" s="342">
        <f>AH268+AH269</f>
        <v>282.57563</v>
      </c>
      <c r="AI267" s="342">
        <f>AI268+AI269</f>
        <v>292.998</v>
      </c>
      <c r="AJ267" s="342">
        <f>AJ268+AJ269</f>
        <v>0</v>
      </c>
      <c r="AK267" s="342">
        <f>AK268+AK269</f>
        <v>0</v>
      </c>
      <c r="AL267" s="342">
        <f>AL268+AL269</f>
        <v>0</v>
      </c>
      <c r="AM267" s="342">
        <f>AM268+AM269</f>
        <v>0</v>
      </c>
      <c r="AN267" s="342">
        <f>AN268+AN269</f>
        <v>0</v>
      </c>
      <c r="AO267" s="342">
        <f>AO268+AO269</f>
        <v>0</v>
      </c>
      <c r="AP267" s="342">
        <f>AP268+AP269</f>
        <v>0</v>
      </c>
      <c r="AQ267" s="342">
        <f>AQ268+AQ269</f>
        <v>0</v>
      </c>
      <c r="AR267" s="342">
        <f>AR268+AR269</f>
        <v>0</v>
      </c>
      <c r="AS267" s="342">
        <f>AS268+AS269</f>
        <v>264.4307</v>
      </c>
      <c r="AT267" s="342">
        <f>AT268+AT269</f>
        <v>0</v>
      </c>
      <c r="AU267" s="342">
        <f>AU268+AU269</f>
        <v>0</v>
      </c>
      <c r="AV267" s="342">
        <f>AV268+AV269</f>
        <v>0</v>
      </c>
      <c r="AW267" s="342">
        <f>AW268+AW269</f>
        <v>0</v>
      </c>
      <c r="AX267" s="342">
        <f>AX268+AX269</f>
        <v>0</v>
      </c>
      <c r="AY267" s="342">
        <f>AY268+AY269</f>
        <v>0</v>
      </c>
      <c r="AZ267" s="342">
        <f>AZ268+AZ269</f>
        <v>0</v>
      </c>
      <c r="BA267" s="342">
        <f>BA268+BA269</f>
        <v>0</v>
      </c>
      <c r="BB267" s="342">
        <f>BB268+BB269</f>
        <v>0</v>
      </c>
      <c r="BC267" s="196"/>
      <c r="BD267" s="1328"/>
      <c r="BE267" s="1328"/>
      <c r="BF267" s="1023" t="s">
        <v>816</v>
      </c>
    </row>
    <row s="1656" customFormat="1" customHeight="1" ht="12.75">
      <c r="A268" s="1328"/>
      <c r="B268" s="1186"/>
      <c r="C268" s="1328"/>
      <c r="D268" s="1328"/>
      <c r="E268" s="637">
        <v>15</v>
      </c>
      <c r="F268" s="50" cm="1" t="str">
        <f t="array" ref="F268:F268">OFFSET(E268,-1,1)</f>
        <v>2</v>
      </c>
      <c r="G268" s="1328"/>
      <c r="H268" s="94" t="s">
        <v>817</v>
      </c>
      <c r="I268" s="1328"/>
      <c r="J268" s="1328"/>
      <c r="K268" s="1328"/>
      <c r="L268" s="1328"/>
      <c r="M268" s="1328"/>
      <c r="N268" s="1328"/>
      <c r="O268" s="1328"/>
      <c r="P268" s="1308"/>
      <c r="Q268" s="1308"/>
      <c r="R268" s="1308"/>
      <c r="S268" s="1308"/>
      <c r="T268" s="468" cm="1" t="str">
        <f t="array" ref="T268:T268">T267</f>
        <v>true</v>
      </c>
      <c r="U268" s="1308"/>
      <c r="V268" s="1328"/>
      <c r="W268" s="1308"/>
      <c r="X268" s="1539"/>
      <c r="Y268" s="1528"/>
      <c r="Z268" s="1328"/>
      <c r="AA268" s="1328"/>
      <c r="AB268" s="236" t="s">
        <v>818</v>
      </c>
      <c r="AC268" s="334" t="s">
        <v>733</v>
      </c>
      <c r="AD268" s="89" t="s">
        <v>657</v>
      </c>
      <c r="AE268" s="272"/>
      <c r="AF268" s="272"/>
      <c r="AG268" s="272"/>
      <c r="AH268" s="272"/>
      <c r="AI268" s="272"/>
      <c r="AJ268" s="1927"/>
      <c r="AK268" s="1927"/>
      <c r="AL268" s="1927"/>
      <c r="AM268" s="1927"/>
      <c r="AN268" s="1927"/>
      <c r="AO268" s="1927"/>
      <c r="AP268" s="1927"/>
      <c r="AQ268" s="1927"/>
      <c r="AR268" s="1927"/>
      <c r="AS268" s="272"/>
      <c r="AT268" s="1927"/>
      <c r="AU268" s="1927"/>
      <c r="AV268" s="1927"/>
      <c r="AW268" s="1927"/>
      <c r="AX268" s="1927"/>
      <c r="AY268" s="1927"/>
      <c r="AZ268" s="1927"/>
      <c r="BA268" s="1927"/>
      <c r="BB268" s="1927"/>
      <c r="BC268" s="196"/>
      <c r="BD268" s="1328"/>
      <c r="BE268" s="1328"/>
      <c r="BF268" s="1023" t="s">
        <v>819</v>
      </c>
    </row>
    <row s="1656" customFormat="1" customHeight="1" ht="44.25">
      <c r="A269" s="1328"/>
      <c r="B269" s="1186"/>
      <c r="C269" s="1328"/>
      <c r="D269" s="1328"/>
      <c r="E269" s="637">
        <v>15</v>
      </c>
      <c r="F269" s="50" cm="1" t="str">
        <f t="array" ref="F269:F269">OFFSET(E269,-1,1)</f>
        <v>2</v>
      </c>
      <c r="G269" s="1328"/>
      <c r="H269" s="94" t="s">
        <v>820</v>
      </c>
      <c r="I269" s="1328"/>
      <c r="J269" s="1328"/>
      <c r="K269" s="1328"/>
      <c r="L269" s="1328"/>
      <c r="M269" s="1328"/>
      <c r="N269" s="1328"/>
      <c r="O269" s="1328"/>
      <c r="P269" s="1308"/>
      <c r="Q269" s="1308"/>
      <c r="R269" s="1308"/>
      <c r="S269" s="1308"/>
      <c r="T269" s="468" cm="1" t="str">
        <f t="array" ref="T269:T269">T268</f>
        <v>true</v>
      </c>
      <c r="U269" s="1308"/>
      <c r="V269" s="1328"/>
      <c r="W269" s="1308"/>
      <c r="X269" s="1539"/>
      <c r="Y269" s="1528"/>
      <c r="Z269" s="1328"/>
      <c r="AA269" s="1328"/>
      <c r="AB269" s="236" t="s">
        <v>821</v>
      </c>
      <c r="AC269" s="334" t="s">
        <v>737</v>
      </c>
      <c r="AD269" s="89" t="s">
        <v>657</v>
      </c>
      <c r="AE269" s="272">
        <v>327.0061</v>
      </c>
      <c r="AF269" s="272">
        <v>292.998</v>
      </c>
      <c r="AG269" s="272">
        <v>292.998</v>
      </c>
      <c r="AH269" s="272">
        <v>282.57563</v>
      </c>
      <c r="AI269" s="272">
        <v>292.998</v>
      </c>
      <c r="AJ269" s="1927"/>
      <c r="AK269" s="1927"/>
      <c r="AL269" s="1927"/>
      <c r="AM269" s="1927"/>
      <c r="AN269" s="1927"/>
      <c r="AO269" s="1927"/>
      <c r="AP269" s="1927"/>
      <c r="AQ269" s="1927"/>
      <c r="AR269" s="1927"/>
      <c r="AS269" s="272">
        <v>264.4307</v>
      </c>
      <c r="AT269" s="1927"/>
      <c r="AU269" s="1927"/>
      <c r="AV269" s="1927"/>
      <c r="AW269" s="1927"/>
      <c r="AX269" s="1927"/>
      <c r="AY269" s="1927"/>
      <c r="AZ269" s="1927"/>
      <c r="BA269" s="1927"/>
      <c r="BB269" s="1927"/>
      <c r="BC269" s="196" t="s">
        <v>906</v>
      </c>
      <c r="BD269" s="1328"/>
      <c r="BE269" s="1328"/>
      <c r="BF269" s="1023" t="s">
        <v>822</v>
      </c>
    </row>
    <row s="1656" customFormat="1" customHeight="1" ht="12.75">
      <c r="A270" s="1328"/>
      <c r="B270" s="1186"/>
      <c r="C270" s="1328"/>
      <c r="D270" s="1328"/>
      <c r="E270" s="637">
        <v>15</v>
      </c>
      <c r="F270" s="50" cm="1" t="str">
        <f t="array" ref="F270:F270">OFFSET(E270,-1,1)</f>
        <v>2</v>
      </c>
      <c r="G270" s="94" t="s">
        <v>753</v>
      </c>
      <c r="H270" s="94" t="s">
        <v>796</v>
      </c>
      <c r="I270" s="1328"/>
      <c r="J270" s="1328"/>
      <c r="K270" s="1328"/>
      <c r="L270" s="1328"/>
      <c r="M270" s="1328"/>
      <c r="N270" s="1328"/>
      <c r="O270" s="1328"/>
      <c r="P270" s="1308"/>
      <c r="Q270" s="1308"/>
      <c r="R270" s="1308"/>
      <c r="S270" s="1308"/>
      <c r="T270" s="468" cm="1" t="str">
        <f t="array" ref="T270:T270">T269</f>
        <v>true</v>
      </c>
      <c r="U270" s="1308"/>
      <c r="V270" s="1328"/>
      <c r="W270" s="1308"/>
      <c r="X270" s="1539"/>
      <c r="Y270" s="1528"/>
      <c r="Z270" s="1328"/>
      <c r="AA270" s="1328"/>
      <c r="AB270" s="236" t="s">
        <v>797</v>
      </c>
      <c r="AC270" s="188" t="s">
        <v>756</v>
      </c>
      <c r="AD270" s="89" t="s">
        <v>657</v>
      </c>
      <c r="AE270" s="342">
        <f>AE271+AE272</f>
        <v>3094.29833</v>
      </c>
      <c r="AF270" s="342">
        <f>AF271+AF272</f>
        <v>2961.398</v>
      </c>
      <c r="AG270" s="342">
        <f>AG271+AG272</f>
        <v>2961.398</v>
      </c>
      <c r="AH270" s="342">
        <f>AH271+AH272</f>
        <v>2872.42095</v>
      </c>
      <c r="AI270" s="342">
        <f>AI271+AI272</f>
        <v>2961.398</v>
      </c>
      <c r="AJ270" s="342">
        <f>AJ271+AJ272</f>
        <v>0</v>
      </c>
      <c r="AK270" s="342">
        <f>AK271+AK272</f>
        <v>0</v>
      </c>
      <c r="AL270" s="342">
        <f>AL271+AL272</f>
        <v>0</v>
      </c>
      <c r="AM270" s="342">
        <f>AM271+AM272</f>
        <v>0</v>
      </c>
      <c r="AN270" s="342">
        <f>AN271+AN272</f>
        <v>0</v>
      </c>
      <c r="AO270" s="342">
        <f>AO271+AO272</f>
        <v>0</v>
      </c>
      <c r="AP270" s="342">
        <f>AP271+AP272</f>
        <v>0</v>
      </c>
      <c r="AQ270" s="342">
        <f>AQ271+AQ272</f>
        <v>0</v>
      </c>
      <c r="AR270" s="342">
        <f>AR271+AR272</f>
        <v>0</v>
      </c>
      <c r="AS270" s="342">
        <f>AS271+AS272</f>
        <v>2824.07561</v>
      </c>
      <c r="AT270" s="342">
        <f>AT271+AT272</f>
        <v>0</v>
      </c>
      <c r="AU270" s="342">
        <f>AU271+AU272</f>
        <v>0</v>
      </c>
      <c r="AV270" s="342">
        <f>AV271+AV272</f>
        <v>0</v>
      </c>
      <c r="AW270" s="342">
        <f>AW271+AW272</f>
        <v>0</v>
      </c>
      <c r="AX270" s="342">
        <f>AX271+AX272</f>
        <v>0</v>
      </c>
      <c r="AY270" s="342">
        <f>AY271+AY272</f>
        <v>0</v>
      </c>
      <c r="AZ270" s="342">
        <f>AZ271+AZ272</f>
        <v>0</v>
      </c>
      <c r="BA270" s="342">
        <f>BA271+BA272</f>
        <v>0</v>
      </c>
      <c r="BB270" s="342">
        <f>BB271+BB272</f>
        <v>0</v>
      </c>
      <c r="BC270" s="196"/>
      <c r="BD270" s="1328"/>
      <c r="BE270" s="1328"/>
      <c r="BF270" s="1023" t="s">
        <v>823</v>
      </c>
    </row>
    <row s="1656" customFormat="1" customHeight="1" ht="12.75">
      <c r="A271" s="1328"/>
      <c r="B271" s="1186"/>
      <c r="C271" s="1328"/>
      <c r="D271" s="1328"/>
      <c r="E271" s="637">
        <v>15</v>
      </c>
      <c r="F271" s="50" cm="1" t="str">
        <f t="array" ref="F271:F271">OFFSET(E271,-1,1)</f>
        <v>2</v>
      </c>
      <c r="G271" s="1328"/>
      <c r="H271" s="94" t="s">
        <v>824</v>
      </c>
      <c r="I271" s="1328"/>
      <c r="J271" s="1328"/>
      <c r="K271" s="1328"/>
      <c r="L271" s="1328"/>
      <c r="M271" s="1328"/>
      <c r="N271" s="1328"/>
      <c r="O271" s="1328"/>
      <c r="P271" s="1308"/>
      <c r="Q271" s="1308"/>
      <c r="R271" s="1308"/>
      <c r="S271" s="1308"/>
      <c r="T271" s="468" cm="1" t="str">
        <f t="array" ref="T271:T271">T270</f>
        <v>true</v>
      </c>
      <c r="U271" s="1308"/>
      <c r="V271" s="1328"/>
      <c r="W271" s="1308"/>
      <c r="X271" s="1539"/>
      <c r="Y271" s="1528"/>
      <c r="Z271" s="1328"/>
      <c r="AA271" s="1328"/>
      <c r="AB271" s="236" t="s">
        <v>825</v>
      </c>
      <c r="AC271" s="334" t="s">
        <v>733</v>
      </c>
      <c r="AD271" s="89" t="s">
        <v>657</v>
      </c>
      <c r="AE271" s="272"/>
      <c r="AF271" s="272"/>
      <c r="AG271" s="272"/>
      <c r="AH271" s="272"/>
      <c r="AI271" s="272"/>
      <c r="AJ271" s="1927"/>
      <c r="AK271" s="1927"/>
      <c r="AL271" s="1927"/>
      <c r="AM271" s="1927"/>
      <c r="AN271" s="1927"/>
      <c r="AO271" s="1927"/>
      <c r="AP271" s="1927"/>
      <c r="AQ271" s="1927"/>
      <c r="AR271" s="1927"/>
      <c r="AS271" s="272"/>
      <c r="AT271" s="1927"/>
      <c r="AU271" s="1927"/>
      <c r="AV271" s="1927"/>
      <c r="AW271" s="1927"/>
      <c r="AX271" s="1927"/>
      <c r="AY271" s="1927"/>
      <c r="AZ271" s="1927"/>
      <c r="BA271" s="1927"/>
      <c r="BB271" s="1927"/>
      <c r="BC271" s="196"/>
      <c r="BD271" s="1328"/>
      <c r="BE271" s="1328"/>
      <c r="BF271" s="1023" t="s">
        <v>826</v>
      </c>
    </row>
    <row s="1656" customFormat="1" customHeight="1" ht="44.25">
      <c r="A272" s="1328"/>
      <c r="B272" s="1186"/>
      <c r="C272" s="1328"/>
      <c r="D272" s="1328"/>
      <c r="E272" s="637">
        <v>15</v>
      </c>
      <c r="F272" s="50" cm="1" t="str">
        <f t="array" ref="F272:F272">OFFSET(E272,-1,1)</f>
        <v>2</v>
      </c>
      <c r="G272" s="1328"/>
      <c r="H272" s="94" t="s">
        <v>827</v>
      </c>
      <c r="I272" s="1328"/>
      <c r="J272" s="1328"/>
      <c r="K272" s="1328"/>
      <c r="L272" s="1328"/>
      <c r="M272" s="1328"/>
      <c r="N272" s="1328"/>
      <c r="O272" s="1328"/>
      <c r="P272" s="1308"/>
      <c r="Q272" s="1308"/>
      <c r="R272" s="1308"/>
      <c r="S272" s="1308"/>
      <c r="T272" s="468" cm="1" t="str">
        <f t="array" ref="T272:T272">T271</f>
        <v>true</v>
      </c>
      <c r="U272" s="1308"/>
      <c r="V272" s="1328"/>
      <c r="W272" s="1308"/>
      <c r="X272" s="1539"/>
      <c r="Y272" s="1528"/>
      <c r="Z272" s="1328"/>
      <c r="AA272" s="1328"/>
      <c r="AB272" s="236" t="s">
        <v>828</v>
      </c>
      <c r="AC272" s="334" t="s">
        <v>737</v>
      </c>
      <c r="AD272" s="89" t="s">
        <v>657</v>
      </c>
      <c r="AE272" s="272">
        <v>3094.29833</v>
      </c>
      <c r="AF272" s="272">
        <v>2961.398</v>
      </c>
      <c r="AG272" s="272">
        <v>2961.398</v>
      </c>
      <c r="AH272" s="272">
        <v>2872.42095</v>
      </c>
      <c r="AI272" s="272">
        <v>2961.398</v>
      </c>
      <c r="AJ272" s="1927"/>
      <c r="AK272" s="1927"/>
      <c r="AL272" s="1927"/>
      <c r="AM272" s="1927"/>
      <c r="AN272" s="1927"/>
      <c r="AO272" s="1927"/>
      <c r="AP272" s="1927"/>
      <c r="AQ272" s="1927"/>
      <c r="AR272" s="1927"/>
      <c r="AS272" s="272">
        <v>2824.07561</v>
      </c>
      <c r="AT272" s="1927"/>
      <c r="AU272" s="1927"/>
      <c r="AV272" s="1927"/>
      <c r="AW272" s="1927"/>
      <c r="AX272" s="1927"/>
      <c r="AY272" s="1927"/>
      <c r="AZ272" s="1927"/>
      <c r="BA272" s="1927"/>
      <c r="BB272" s="1927"/>
      <c r="BC272" s="196" t="s">
        <v>906</v>
      </c>
      <c r="BD272" s="1328"/>
      <c r="BE272" s="1328"/>
      <c r="BF272" s="1023" t="s">
        <v>829</v>
      </c>
    </row>
    <row s="1656" customFormat="1" customHeight="1" ht="12.75">
      <c r="A273" s="1328"/>
      <c r="B273" s="1186"/>
      <c r="C273" s="1328"/>
      <c r="D273" s="1328"/>
      <c r="E273" s="637">
        <v>15</v>
      </c>
      <c r="F273" s="50" cm="1" t="str">
        <f t="array" ref="F273:F273">OFFSET(E273,-1,1)</f>
        <v>2</v>
      </c>
      <c r="G273" s="1328"/>
      <c r="H273" s="94" t="s">
        <v>830</v>
      </c>
      <c r="I273" s="1328"/>
      <c r="J273" s="1328"/>
      <c r="K273" s="1328"/>
      <c r="L273" s="1328"/>
      <c r="M273" s="1328"/>
      <c r="N273" s="1328"/>
      <c r="O273" s="1328"/>
      <c r="P273" s="1308"/>
      <c r="Q273" s="1308"/>
      <c r="R273" s="1308"/>
      <c r="S273" s="1308"/>
      <c r="T273" s="468" cm="1" t="str">
        <f t="array" ref="T273:T273">T272</f>
        <v>true</v>
      </c>
      <c r="U273" s="1308"/>
      <c r="V273" s="1328"/>
      <c r="W273" s="1308"/>
      <c r="X273" s="1539"/>
      <c r="Y273" s="1528"/>
      <c r="Z273" s="1328"/>
      <c r="AA273" s="1328"/>
      <c r="AB273" s="236" t="s">
        <v>831</v>
      </c>
      <c r="AC273" s="188" t="s">
        <v>766</v>
      </c>
      <c r="AD273" s="89" t="s">
        <v>657</v>
      </c>
      <c r="AE273" s="342">
        <f>AE274+AE275</f>
        <v>1121.14176</v>
      </c>
      <c r="AF273" s="342">
        <f>AF274+AF275</f>
        <v>1063.809</v>
      </c>
      <c r="AG273" s="342">
        <f>AG274+AG275</f>
        <v>1063.809</v>
      </c>
      <c r="AH273" s="342">
        <f>AH274+AH275</f>
        <v>1256.79286</v>
      </c>
      <c r="AI273" s="342">
        <f>AI274+AI275</f>
        <v>1063.809</v>
      </c>
      <c r="AJ273" s="342">
        <f>AJ274+AJ275</f>
        <v>0</v>
      </c>
      <c r="AK273" s="342">
        <f>AK274+AK275</f>
        <v>0</v>
      </c>
      <c r="AL273" s="342">
        <f>AL274+AL275</f>
        <v>0</v>
      </c>
      <c r="AM273" s="342">
        <f>AM274+AM275</f>
        <v>0</v>
      </c>
      <c r="AN273" s="342">
        <f>AN274+AN275</f>
        <v>0</v>
      </c>
      <c r="AO273" s="342">
        <f>AO274+AO275</f>
        <v>0</v>
      </c>
      <c r="AP273" s="342">
        <f>AP274+AP275</f>
        <v>0</v>
      </c>
      <c r="AQ273" s="342">
        <f>AQ274+AQ275</f>
        <v>0</v>
      </c>
      <c r="AR273" s="342">
        <f>AR274+AR275</f>
        <v>0</v>
      </c>
      <c r="AS273" s="342">
        <f>AS274+AS275</f>
        <v>1053.17272</v>
      </c>
      <c r="AT273" s="342">
        <f>AT274+AT275</f>
        <v>0</v>
      </c>
      <c r="AU273" s="342">
        <f>AU274+AU275</f>
        <v>0</v>
      </c>
      <c r="AV273" s="342">
        <f>AV274+AV275</f>
        <v>0</v>
      </c>
      <c r="AW273" s="342">
        <f>AW274+AW275</f>
        <v>0</v>
      </c>
      <c r="AX273" s="342">
        <f>AX274+AX275</f>
        <v>0</v>
      </c>
      <c r="AY273" s="342">
        <f>AY274+AY275</f>
        <v>0</v>
      </c>
      <c r="AZ273" s="342">
        <f>AZ274+AZ275</f>
        <v>0</v>
      </c>
      <c r="BA273" s="342">
        <f>BA274+BA275</f>
        <v>0</v>
      </c>
      <c r="BB273" s="342">
        <f>BB274+BB275</f>
        <v>0</v>
      </c>
      <c r="BC273" s="196"/>
      <c r="BD273" s="1328"/>
      <c r="BE273" s="1328"/>
      <c r="BF273" s="1023" t="s">
        <v>832</v>
      </c>
    </row>
    <row s="1656" customFormat="1" customHeight="1" ht="44.25">
      <c r="A274" s="1328"/>
      <c r="B274" s="1186"/>
      <c r="C274" s="1328"/>
      <c r="D274" s="1328"/>
      <c r="E274" s="637">
        <v>15</v>
      </c>
      <c r="F274" s="50" cm="1" t="str">
        <f t="array" ref="F274:F274">OFFSET(E274,-1,1)</f>
        <v>2</v>
      </c>
      <c r="G274" s="1328"/>
      <c r="H274" s="94" t="s">
        <v>833</v>
      </c>
      <c r="I274" s="1328"/>
      <c r="J274" s="1328"/>
      <c r="K274" s="1328"/>
      <c r="L274" s="1328"/>
      <c r="M274" s="1328"/>
      <c r="N274" s="1328"/>
      <c r="O274" s="1328"/>
      <c r="P274" s="1308"/>
      <c r="Q274" s="1308"/>
      <c r="R274" s="1308"/>
      <c r="S274" s="1308"/>
      <c r="T274" s="468" cm="1" t="str">
        <f t="array" ref="T274:T274">T273</f>
        <v>true</v>
      </c>
      <c r="U274" s="1308"/>
      <c r="V274" s="1328"/>
      <c r="W274" s="1308"/>
      <c r="X274" s="1539"/>
      <c r="Y274" s="1528"/>
      <c r="Z274" s="1328"/>
      <c r="AA274" s="1328"/>
      <c r="AB274" s="236" t="s">
        <v>834</v>
      </c>
      <c r="AC274" s="334" t="s">
        <v>733</v>
      </c>
      <c r="AD274" s="89" t="s">
        <v>657</v>
      </c>
      <c r="AE274" s="272">
        <v>1121.14176</v>
      </c>
      <c r="AF274" s="272">
        <v>1063.809</v>
      </c>
      <c r="AG274" s="272">
        <v>1063.809</v>
      </c>
      <c r="AH274" s="272">
        <v>1256.79286</v>
      </c>
      <c r="AI274" s="272">
        <v>1063.809</v>
      </c>
      <c r="AJ274" s="1927"/>
      <c r="AK274" s="1927"/>
      <c r="AL274" s="1927"/>
      <c r="AM274" s="1927"/>
      <c r="AN274" s="1927"/>
      <c r="AO274" s="1927"/>
      <c r="AP274" s="1927"/>
      <c r="AQ274" s="1927"/>
      <c r="AR274" s="1927"/>
      <c r="AS274" s="272">
        <v>1053.17272</v>
      </c>
      <c r="AT274" s="1927"/>
      <c r="AU274" s="1927"/>
      <c r="AV274" s="1927"/>
      <c r="AW274" s="1927"/>
      <c r="AX274" s="1927"/>
      <c r="AY274" s="1927"/>
      <c r="AZ274" s="1927"/>
      <c r="BA274" s="1927"/>
      <c r="BB274" s="1927"/>
      <c r="BC274" s="196" t="s">
        <v>906</v>
      </c>
      <c r="BD274" s="1328"/>
      <c r="BE274" s="1328"/>
      <c r="BF274" s="1023" t="s">
        <v>835</v>
      </c>
    </row>
    <row s="1656" customFormat="1" customHeight="1" ht="12.75">
      <c r="A275" s="1328"/>
      <c r="B275" s="1186"/>
      <c r="C275" s="1328"/>
      <c r="D275" s="1328"/>
      <c r="E275" s="637">
        <v>15</v>
      </c>
      <c r="F275" s="50" cm="1" t="str">
        <f t="array" ref="F275:F275">OFFSET(E275,-1,1)</f>
        <v>2</v>
      </c>
      <c r="G275" s="1328"/>
      <c r="H275" s="94" t="s">
        <v>836</v>
      </c>
      <c r="I275" s="1328"/>
      <c r="J275" s="1328"/>
      <c r="K275" s="1328"/>
      <c r="L275" s="1328"/>
      <c r="M275" s="1328"/>
      <c r="N275" s="1328"/>
      <c r="O275" s="1328"/>
      <c r="P275" s="1308"/>
      <c r="Q275" s="1308"/>
      <c r="R275" s="1308"/>
      <c r="S275" s="1308"/>
      <c r="T275" s="468" cm="1" t="str">
        <f t="array" ref="T275:T275">T274</f>
        <v>true</v>
      </c>
      <c r="U275" s="1308"/>
      <c r="V275" s="1328"/>
      <c r="W275" s="1308"/>
      <c r="X275" s="1539"/>
      <c r="Y275" s="1528"/>
      <c r="Z275" s="1328"/>
      <c r="AA275" s="1328"/>
      <c r="AB275" s="236" t="s">
        <v>837</v>
      </c>
      <c r="AC275" s="334" t="s">
        <v>737</v>
      </c>
      <c r="AD275" s="89" t="s">
        <v>657</v>
      </c>
      <c r="AE275" s="272"/>
      <c r="AF275" s="272"/>
      <c r="AG275" s="272"/>
      <c r="AH275" s="272"/>
      <c r="AI275" s="272"/>
      <c r="AJ275" s="1927"/>
      <c r="AK275" s="1927"/>
      <c r="AL275" s="1927"/>
      <c r="AM275" s="1927"/>
      <c r="AN275" s="1927"/>
      <c r="AO275" s="1927"/>
      <c r="AP275" s="1927"/>
      <c r="AQ275" s="1927"/>
      <c r="AR275" s="1927"/>
      <c r="AS275" s="272"/>
      <c r="AT275" s="1927"/>
      <c r="AU275" s="1927"/>
      <c r="AV275" s="1927"/>
      <c r="AW275" s="1927"/>
      <c r="AX275" s="1927"/>
      <c r="AY275" s="1927"/>
      <c r="AZ275" s="1927"/>
      <c r="BA275" s="1927"/>
      <c r="BB275" s="1927"/>
      <c r="BC275" s="196"/>
      <c r="BD275" s="1328"/>
      <c r="BE275" s="1328"/>
      <c r="BF275" s="1023" t="s">
        <v>838</v>
      </c>
    </row>
    <row s="1656" customFormat="1" customHeight="1" ht="23.25">
      <c r="A276" s="1328"/>
      <c r="B276" s="1186"/>
      <c r="C276" s="1328"/>
      <c r="D276" s="1328"/>
      <c r="E276" s="637">
        <v>15</v>
      </c>
      <c r="F276" s="50" cm="1" t="str">
        <f t="array" ref="F276:F276">OFFSET(E276,-1,1)</f>
        <v>2</v>
      </c>
      <c r="G276" s="1328"/>
      <c r="H276" s="94" t="s">
        <v>839</v>
      </c>
      <c r="I276" s="1328"/>
      <c r="J276" s="1328"/>
      <c r="K276" s="1328"/>
      <c r="L276" s="1328"/>
      <c r="M276" s="1328"/>
      <c r="N276" s="1328"/>
      <c r="O276" s="1328"/>
      <c r="P276" s="1308"/>
      <c r="Q276" s="1308"/>
      <c r="R276" s="1308"/>
      <c r="S276" s="1308"/>
      <c r="T276" s="468" cm="1" t="str">
        <f t="array" ref="T276:T276">T275</f>
        <v>true</v>
      </c>
      <c r="U276" s="1308"/>
      <c r="V276" s="1328"/>
      <c r="W276" s="1308"/>
      <c r="X276" s="1539"/>
      <c r="Y276" s="1528"/>
      <c r="Z276" s="1328"/>
      <c r="AA276" s="1328"/>
      <c r="AB276" s="236" t="s">
        <v>840</v>
      </c>
      <c r="AC276" s="188" t="s">
        <v>841</v>
      </c>
      <c r="AD276" s="89" t="s">
        <v>657</v>
      </c>
      <c r="AE276" s="342">
        <f>AE277+AE278</f>
        <v>0</v>
      </c>
      <c r="AF276" s="342">
        <f>AF277+AF278</f>
        <v>0</v>
      </c>
      <c r="AG276" s="342">
        <f>AG277+AG278</f>
        <v>0</v>
      </c>
      <c r="AH276" s="342">
        <f>AH277+AH278</f>
        <v>0</v>
      </c>
      <c r="AI276" s="342">
        <f>AI277+AI278</f>
        <v>0</v>
      </c>
      <c r="AJ276" s="342">
        <f>AJ277+AJ278</f>
        <v>0</v>
      </c>
      <c r="AK276" s="342">
        <f>AK277+AK278</f>
        <v>0</v>
      </c>
      <c r="AL276" s="342">
        <f>AL277+AL278</f>
        <v>0</v>
      </c>
      <c r="AM276" s="342">
        <f>AM277+AM278</f>
        <v>0</v>
      </c>
      <c r="AN276" s="342">
        <f>AN277+AN278</f>
        <v>0</v>
      </c>
      <c r="AO276" s="342">
        <f>AO277+AO278</f>
        <v>0</v>
      </c>
      <c r="AP276" s="342">
        <f>AP277+AP278</f>
        <v>0</v>
      </c>
      <c r="AQ276" s="342">
        <f>AQ277+AQ278</f>
        <v>0</v>
      </c>
      <c r="AR276" s="342">
        <f>AR277+AR278</f>
        <v>0</v>
      </c>
      <c r="AS276" s="342">
        <f>AS277+AS278</f>
        <v>0</v>
      </c>
      <c r="AT276" s="342">
        <f>AT277+AT278</f>
        <v>0</v>
      </c>
      <c r="AU276" s="342">
        <f>AU277+AU278</f>
        <v>0</v>
      </c>
      <c r="AV276" s="342">
        <f>AV277+AV278</f>
        <v>0</v>
      </c>
      <c r="AW276" s="342">
        <f>AW277+AW278</f>
        <v>0</v>
      </c>
      <c r="AX276" s="342">
        <f>AX277+AX278</f>
        <v>0</v>
      </c>
      <c r="AY276" s="342">
        <f>AY277+AY278</f>
        <v>0</v>
      </c>
      <c r="AZ276" s="342">
        <f>AZ277+AZ278</f>
        <v>0</v>
      </c>
      <c r="BA276" s="342">
        <f>BA277+BA278</f>
        <v>0</v>
      </c>
      <c r="BB276" s="342">
        <f>BB277+BB278</f>
        <v>0</v>
      </c>
      <c r="BC276" s="196"/>
      <c r="BD276" s="1328"/>
      <c r="BE276" s="1328"/>
      <c r="BF276" s="1023" t="s">
        <v>842</v>
      </c>
    </row>
    <row s="1656" customFormat="1" customHeight="1" ht="12.75">
      <c r="A277" s="1328"/>
      <c r="B277" s="1186"/>
      <c r="C277" s="1328"/>
      <c r="D277" s="1328"/>
      <c r="E277" s="637">
        <v>15</v>
      </c>
      <c r="F277" s="50" cm="1" t="str">
        <f t="array" ref="F277:F277">OFFSET(E277,-1,1)</f>
        <v>2</v>
      </c>
      <c r="G277" s="1328"/>
      <c r="H277" s="94" t="s">
        <v>843</v>
      </c>
      <c r="I277" s="1328"/>
      <c r="J277" s="1328"/>
      <c r="K277" s="1328"/>
      <c r="L277" s="1328"/>
      <c r="M277" s="1328"/>
      <c r="N277" s="1328"/>
      <c r="O277" s="1328"/>
      <c r="P277" s="1308"/>
      <c r="Q277" s="1308"/>
      <c r="R277" s="1308"/>
      <c r="S277" s="1308"/>
      <c r="T277" s="468" cm="1" t="str">
        <f t="array" ref="T277:T277">T276</f>
        <v>true</v>
      </c>
      <c r="U277" s="1308"/>
      <c r="V277" s="1328"/>
      <c r="W277" s="1308"/>
      <c r="X277" s="1539"/>
      <c r="Y277" s="1528"/>
      <c r="Z277" s="1328"/>
      <c r="AA277" s="1328"/>
      <c r="AB277" s="236" t="s">
        <v>844</v>
      </c>
      <c r="AC277" s="328" t="s">
        <v>733</v>
      </c>
      <c r="AD277" s="89" t="s">
        <v>657</v>
      </c>
      <c r="AE277" s="272"/>
      <c r="AF277" s="272"/>
      <c r="AG277" s="272"/>
      <c r="AH277" s="272"/>
      <c r="AI277" s="272"/>
      <c r="AJ277" s="1927"/>
      <c r="AK277" s="1927"/>
      <c r="AL277" s="1927"/>
      <c r="AM277" s="1927"/>
      <c r="AN277" s="1927"/>
      <c r="AO277" s="1927"/>
      <c r="AP277" s="1927"/>
      <c r="AQ277" s="1927"/>
      <c r="AR277" s="1927"/>
      <c r="AS277" s="272"/>
      <c r="AT277" s="1927"/>
      <c r="AU277" s="1927"/>
      <c r="AV277" s="1927"/>
      <c r="AW277" s="1927"/>
      <c r="AX277" s="1927"/>
      <c r="AY277" s="1927"/>
      <c r="AZ277" s="1927"/>
      <c r="BA277" s="1927"/>
      <c r="BB277" s="1927"/>
      <c r="BC277" s="196"/>
      <c r="BD277" s="1328"/>
      <c r="BE277" s="1328"/>
      <c r="BF277" s="1023" t="s">
        <v>845</v>
      </c>
    </row>
    <row s="1656" customFormat="1" customHeight="1" ht="12.75">
      <c r="A278" s="1328"/>
      <c r="B278" s="1186"/>
      <c r="C278" s="1328"/>
      <c r="D278" s="1328"/>
      <c r="E278" s="637">
        <v>15</v>
      </c>
      <c r="F278" s="50" cm="1" t="str">
        <f t="array" ref="F278:F278">OFFSET(E278,-1,1)</f>
        <v>2</v>
      </c>
      <c r="G278" s="1328"/>
      <c r="H278" s="94" t="s">
        <v>846</v>
      </c>
      <c r="I278" s="1328"/>
      <c r="J278" s="1328"/>
      <c r="K278" s="1328"/>
      <c r="L278" s="1328"/>
      <c r="M278" s="1328"/>
      <c r="N278" s="1328"/>
      <c r="O278" s="1328"/>
      <c r="P278" s="1308"/>
      <c r="Q278" s="1308"/>
      <c r="R278" s="1308"/>
      <c r="S278" s="1308"/>
      <c r="T278" s="468" cm="1" t="str">
        <f t="array" ref="T278:T278">T277</f>
        <v>true</v>
      </c>
      <c r="U278" s="1308"/>
      <c r="V278" s="1328"/>
      <c r="W278" s="1308"/>
      <c r="X278" s="1539"/>
      <c r="Y278" s="1528"/>
      <c r="Z278" s="1328"/>
      <c r="AA278" s="1328"/>
      <c r="AB278" s="236" t="s">
        <v>847</v>
      </c>
      <c r="AC278" s="328" t="s">
        <v>737</v>
      </c>
      <c r="AD278" s="89" t="s">
        <v>657</v>
      </c>
      <c r="AE278" s="272"/>
      <c r="AF278" s="272"/>
      <c r="AG278" s="272"/>
      <c r="AH278" s="272"/>
      <c r="AI278" s="272"/>
      <c r="AJ278" s="1927"/>
      <c r="AK278" s="1927"/>
      <c r="AL278" s="1927"/>
      <c r="AM278" s="1927"/>
      <c r="AN278" s="1927"/>
      <c r="AO278" s="1927"/>
      <c r="AP278" s="1927"/>
      <c r="AQ278" s="1927"/>
      <c r="AR278" s="1927"/>
      <c r="AS278" s="272"/>
      <c r="AT278" s="1927"/>
      <c r="AU278" s="1927"/>
      <c r="AV278" s="1927"/>
      <c r="AW278" s="1927"/>
      <c r="AX278" s="1927"/>
      <c r="AY278" s="1927"/>
      <c r="AZ278" s="1927"/>
      <c r="BA278" s="1927"/>
      <c r="BB278" s="1927"/>
      <c r="BC278" s="196"/>
      <c r="BD278" s="1328"/>
      <c r="BE278" s="1328"/>
      <c r="BF278" s="1023" t="s">
        <v>848</v>
      </c>
    </row>
    <row s="1656" customFormat="1" customHeight="1" ht="23.25">
      <c r="A279" s="1328"/>
      <c r="B279" s="1186"/>
      <c r="C279" s="1328"/>
      <c r="D279" s="1328"/>
      <c r="E279" s="637">
        <v>22.5</v>
      </c>
      <c r="F279" s="50" cm="1" t="str">
        <f t="array" ref="F279:F279">OFFSET(E279,-1,1)</f>
        <v>2</v>
      </c>
      <c r="G279" s="1328"/>
      <c r="H279" s="94" t="s">
        <v>849</v>
      </c>
      <c r="I279" s="1328"/>
      <c r="J279" s="1328"/>
      <c r="K279" s="1328"/>
      <c r="L279" s="1328"/>
      <c r="M279" s="1328"/>
      <c r="N279" s="1328"/>
      <c r="O279" s="1328"/>
      <c r="P279" s="1308"/>
      <c r="Q279" s="1308"/>
      <c r="R279" s="1308"/>
      <c r="S279" s="1308"/>
      <c r="T279" s="468" cm="1" t="str">
        <f t="array" ref="T279:T279">T278</f>
        <v>true</v>
      </c>
      <c r="U279" s="1308"/>
      <c r="V279" s="1328"/>
      <c r="W279" s="1308"/>
      <c r="X279" s="1539"/>
      <c r="Y279" s="1528"/>
      <c r="Z279" s="1328"/>
      <c r="AA279" s="1328"/>
      <c r="AB279" s="236" t="s">
        <v>850</v>
      </c>
      <c r="AC279" s="335" t="s">
        <v>698</v>
      </c>
      <c r="AD279" s="89" t="s">
        <v>657</v>
      </c>
      <c r="AE279" s="272"/>
      <c r="AF279" s="272"/>
      <c r="AG279" s="272"/>
      <c r="AH279" s="272"/>
      <c r="AI279" s="272"/>
      <c r="AJ279" s="1927"/>
      <c r="AK279" s="1927"/>
      <c r="AL279" s="1927"/>
      <c r="AM279" s="1927"/>
      <c r="AN279" s="1927"/>
      <c r="AO279" s="1927"/>
      <c r="AP279" s="1927"/>
      <c r="AQ279" s="1927"/>
      <c r="AR279" s="1927"/>
      <c r="AS279" s="272"/>
      <c r="AT279" s="1927"/>
      <c r="AU279" s="1927"/>
      <c r="AV279" s="1927"/>
      <c r="AW279" s="1927"/>
      <c r="AX279" s="1927"/>
      <c r="AY279" s="1927"/>
      <c r="AZ279" s="1927"/>
      <c r="BA279" s="1927"/>
      <c r="BB279" s="1927"/>
      <c r="BC279" s="196"/>
      <c r="BD279" s="1328"/>
      <c r="BE279" s="1328"/>
      <c r="BF279" s="1023" t="s">
        <v>851</v>
      </c>
    </row>
    <row s="1656" customFormat="1" customHeight="1" ht="21.421875">
      <c r="A280" s="1328"/>
      <c r="B280" s="1186"/>
      <c r="C280" s="1328"/>
      <c r="D280" s="1328"/>
      <c r="E280" s="637">
        <v>15</v>
      </c>
      <c r="F280" s="50" cm="1" t="str">
        <f t="array" ref="F280:F280">OFFSET(E280,-1,1)</f>
        <v>2</v>
      </c>
      <c r="G280" s="1328"/>
      <c r="H280" s="94" t="s">
        <v>619</v>
      </c>
      <c r="I280" s="1328"/>
      <c r="J280" s="1328"/>
      <c r="K280" s="1328"/>
      <c r="L280" s="1328"/>
      <c r="M280" s="1328"/>
      <c r="N280" s="1328"/>
      <c r="O280" s="1328"/>
      <c r="P280" s="1308"/>
      <c r="Q280" s="1308"/>
      <c r="R280" s="1308"/>
      <c r="S280" s="1308"/>
      <c r="T280" s="468" cm="1" t="str">
        <f t="array" ref="T280:T280">T279</f>
        <v>true</v>
      </c>
      <c r="U280" s="1308"/>
      <c r="V280" s="1328"/>
      <c r="W280" s="1308"/>
      <c r="X280" s="1539"/>
      <c r="Y280" s="1528"/>
      <c r="Z280" s="1328"/>
      <c r="AA280" s="1328"/>
      <c r="AB280" s="236" t="s">
        <v>454</v>
      </c>
      <c r="AC280" s="133" t="s">
        <v>852</v>
      </c>
      <c r="AD280" s="89" t="s">
        <v>657</v>
      </c>
      <c r="AE280" s="272">
        <v>2322.3047</v>
      </c>
      <c r="AF280" s="272">
        <v>2709.009</v>
      </c>
      <c r="AG280" s="272">
        <v>2709.009</v>
      </c>
      <c r="AH280" s="272">
        <v>2200.749</v>
      </c>
      <c r="AI280" s="272">
        <v>2322.3047</v>
      </c>
      <c r="AJ280" s="1927"/>
      <c r="AK280" s="1927"/>
      <c r="AL280" s="1927"/>
      <c r="AM280" s="1927"/>
      <c r="AN280" s="1927"/>
      <c r="AO280" s="1927"/>
      <c r="AP280" s="1927"/>
      <c r="AQ280" s="1927"/>
      <c r="AR280" s="1927"/>
      <c r="AS280" s="272">
        <v>2322.3047</v>
      </c>
      <c r="AT280" s="1927"/>
      <c r="AU280" s="1927"/>
      <c r="AV280" s="1927"/>
      <c r="AW280" s="1927"/>
      <c r="AX280" s="1927"/>
      <c r="AY280" s="1927"/>
      <c r="AZ280" s="1927"/>
      <c r="BA280" s="1927"/>
      <c r="BB280" s="1927"/>
      <c r="BC280" s="196" t="s">
        <v>900</v>
      </c>
      <c r="BD280" s="1328"/>
      <c r="BE280" s="1328"/>
      <c r="BF280" s="1023" t="s">
        <v>853</v>
      </c>
    </row>
    <row s="1656" customFormat="1" customHeight="1" ht="23.25">
      <c r="A281" s="1328"/>
      <c r="B281" s="1186"/>
      <c r="C281" s="1328"/>
      <c r="D281" s="1328"/>
      <c r="E281" s="637">
        <v>15</v>
      </c>
      <c r="F281" s="50" cm="1" t="str">
        <f t="array" ref="F281:F281">OFFSET(E281,-1,1)</f>
        <v>2</v>
      </c>
      <c r="G281" s="1328"/>
      <c r="H281" s="94" t="s">
        <v>685</v>
      </c>
      <c r="I281" s="1328"/>
      <c r="J281" s="1328"/>
      <c r="K281" s="1328"/>
      <c r="L281" s="1328"/>
      <c r="M281" s="1328"/>
      <c r="N281" s="1328"/>
      <c r="O281" s="1328"/>
      <c r="P281" s="1308"/>
      <c r="Q281" s="1308"/>
      <c r="R281" s="1308"/>
      <c r="S281" s="1308"/>
      <c r="T281" s="468" cm="1" t="str">
        <f t="array" ref="T281:T281">T280</f>
        <v>true</v>
      </c>
      <c r="U281" s="1308"/>
      <c r="V281" s="1328"/>
      <c r="W281" s="1308"/>
      <c r="X281" s="1539"/>
      <c r="Y281" s="1528"/>
      <c r="Z281" s="1328"/>
      <c r="AA281" s="1328"/>
      <c r="AB281" s="236" t="s">
        <v>457</v>
      </c>
      <c r="AC281" s="133" t="s">
        <v>854</v>
      </c>
      <c r="AD281" s="89" t="s">
        <v>657</v>
      </c>
      <c r="AE281" s="272">
        <v>7312.87289</v>
      </c>
      <c r="AF281" s="272">
        <f>AF264+AF280</f>
        <v>7470.734</v>
      </c>
      <c r="AG281" s="272">
        <f>AG264+AG280</f>
        <v>7470.734</v>
      </c>
      <c r="AH281" s="272">
        <v>7098.60423</v>
      </c>
      <c r="AI281" s="272">
        <f>AI264+AI280</f>
        <v>7088.6317</v>
      </c>
      <c r="AJ281" s="1927"/>
      <c r="AK281" s="1927"/>
      <c r="AL281" s="1927"/>
      <c r="AM281" s="1927"/>
      <c r="AN281" s="1927"/>
      <c r="AO281" s="1927"/>
      <c r="AP281" s="1927"/>
      <c r="AQ281" s="1927"/>
      <c r="AR281" s="1927"/>
      <c r="AS281" s="272">
        <f>AS264+AS280</f>
        <v>6912.10573</v>
      </c>
      <c r="AT281" s="1927"/>
      <c r="AU281" s="1927"/>
      <c r="AV281" s="1927"/>
      <c r="AW281" s="1927"/>
      <c r="AX281" s="1927"/>
      <c r="AY281" s="1927"/>
      <c r="AZ281" s="1927"/>
      <c r="BA281" s="1927"/>
      <c r="BB281" s="1927"/>
      <c r="BC281" s="196"/>
      <c r="BD281" s="1328"/>
      <c r="BE281" s="1328"/>
      <c r="BF281" s="1023" t="s">
        <v>855</v>
      </c>
    </row>
    <row s="1656" customFormat="1" customHeight="1" ht="23.25">
      <c r="A282" s="1328"/>
      <c r="B282" s="1186"/>
      <c r="C282" s="1328"/>
      <c r="D282" s="1328"/>
      <c r="E282" s="637">
        <v>15</v>
      </c>
      <c r="F282" s="50" cm="1" t="str">
        <f t="array" ref="F282:F282">OFFSET(E282,-1,1)</f>
        <v>2</v>
      </c>
      <c r="G282" s="1328"/>
      <c r="H282" s="94" t="s">
        <v>700</v>
      </c>
      <c r="I282" s="1328"/>
      <c r="J282" s="1328"/>
      <c r="K282" s="1328"/>
      <c r="L282" s="1328"/>
      <c r="M282" s="1328"/>
      <c r="N282" s="1328"/>
      <c r="O282" s="1328"/>
      <c r="P282" s="1308"/>
      <c r="Q282" s="1308"/>
      <c r="R282" s="1308"/>
      <c r="S282" s="1308"/>
      <c r="T282" s="468" cm="1" t="str">
        <f t="array" ref="T282:T282">T281</f>
        <v>true</v>
      </c>
      <c r="U282" s="1308"/>
      <c r="V282" s="1328"/>
      <c r="W282" s="1308"/>
      <c r="X282" s="1539"/>
      <c r="Y282" s="1528"/>
      <c r="Z282" s="1328"/>
      <c r="AA282" s="1328"/>
      <c r="AB282" s="236" t="s">
        <v>460</v>
      </c>
      <c r="AC282" s="133" t="s">
        <v>856</v>
      </c>
      <c r="AD282" s="89" t="s">
        <v>657</v>
      </c>
      <c r="AE282" s="272">
        <v>7312.87289</v>
      </c>
      <c r="AF282" s="272" cm="1" t="str">
        <f t="array" ref="AF282:AF282">AF281</f>
        <v>7470.734</v>
      </c>
      <c r="AG282" s="272" cm="1" t="str">
        <f t="array" ref="AG282:AG282">AG281</f>
        <v>7470.734</v>
      </c>
      <c r="AH282" s="272">
        <v>7098.60423</v>
      </c>
      <c r="AI282" s="272" cm="1" t="str">
        <f t="array" ref="AI282:AI282">AI281</f>
        <v>7088.6317</v>
      </c>
      <c r="AJ282" s="1927"/>
      <c r="AK282" s="1927"/>
      <c r="AL282" s="1927"/>
      <c r="AM282" s="1927"/>
      <c r="AN282" s="1927"/>
      <c r="AO282" s="1927"/>
      <c r="AP282" s="1927"/>
      <c r="AQ282" s="1927"/>
      <c r="AR282" s="1927"/>
      <c r="AS282" s="272" cm="1" t="str">
        <f t="array" ref="AS282:AS282">AS281</f>
        <v>6912.10573</v>
      </c>
      <c r="AT282" s="1927"/>
      <c r="AU282" s="1927"/>
      <c r="AV282" s="1927"/>
      <c r="AW282" s="1927"/>
      <c r="AX282" s="1927"/>
      <c r="AY282" s="1927"/>
      <c r="AZ282" s="1927"/>
      <c r="BA282" s="1927"/>
      <c r="BB282" s="1927"/>
      <c r="BC282" s="196"/>
      <c r="BD282" s="1328"/>
      <c r="BE282" s="1328"/>
      <c r="BF282" s="1023" t="s">
        <v>857</v>
      </c>
    </row>
    <row s="1656" customFormat="1" customHeight="1" ht="12.75">
      <c r="A283" s="1328"/>
      <c r="B283" s="1186"/>
      <c r="C283" s="1328"/>
      <c r="D283" s="1328"/>
      <c r="E283" s="637">
        <v>15</v>
      </c>
      <c r="F283" s="50" cm="1" t="str">
        <f t="array" ref="F283:F283">OFFSET(E283,-1,1)</f>
        <v>2</v>
      </c>
      <c r="G283" s="1328"/>
      <c r="H283" s="94" t="s">
        <v>707</v>
      </c>
      <c r="I283" s="1328"/>
      <c r="J283" s="1328"/>
      <c r="K283" s="1328"/>
      <c r="L283" s="1328"/>
      <c r="M283" s="1328"/>
      <c r="N283" s="1328"/>
      <c r="O283" s="1328"/>
      <c r="P283" s="1308"/>
      <c r="Q283" s="1308"/>
      <c r="R283" s="1308"/>
      <c r="S283" s="1308"/>
      <c r="T283" s="468" cm="1" t="str">
        <f t="array" ref="T283:T283">T282</f>
        <v>true</v>
      </c>
      <c r="U283" s="1308"/>
      <c r="V283" s="1328"/>
      <c r="W283" s="1308"/>
      <c r="X283" s="1539"/>
      <c r="Y283" s="1528"/>
      <c r="Z283" s="1328"/>
      <c r="AA283" s="1328"/>
      <c r="AB283" s="236" t="s">
        <v>463</v>
      </c>
      <c r="AC283" s="134" t="s">
        <v>858</v>
      </c>
      <c r="AD283" s="89" t="s">
        <v>657</v>
      </c>
      <c r="AE283" s="342">
        <f>AE284+AE285</f>
        <v>0</v>
      </c>
      <c r="AF283" s="342">
        <f>AF284+AF285</f>
        <v>0</v>
      </c>
      <c r="AG283" s="342">
        <f>AG284+AG285</f>
        <v>0</v>
      </c>
      <c r="AH283" s="342">
        <f>AH284+AH285</f>
        <v>0</v>
      </c>
      <c r="AI283" s="342">
        <f>AI284+AI285</f>
        <v>0</v>
      </c>
      <c r="AJ283" s="342">
        <f>AJ284+AJ285</f>
        <v>0</v>
      </c>
      <c r="AK283" s="342">
        <f>AK284+AK285</f>
        <v>0</v>
      </c>
      <c r="AL283" s="342">
        <f>AL284+AL285</f>
        <v>0</v>
      </c>
      <c r="AM283" s="342">
        <f>AM284+AM285</f>
        <v>0</v>
      </c>
      <c r="AN283" s="342">
        <f>AN284+AN285</f>
        <v>0</v>
      </c>
      <c r="AO283" s="342">
        <f>AO284+AO285</f>
        <v>0</v>
      </c>
      <c r="AP283" s="342">
        <f>AP284+AP285</f>
        <v>0</v>
      </c>
      <c r="AQ283" s="342">
        <f>AQ284+AQ285</f>
        <v>0</v>
      </c>
      <c r="AR283" s="342">
        <f>AR284+AR285</f>
        <v>0</v>
      </c>
      <c r="AS283" s="342">
        <f>AS284+AS285</f>
        <v>0</v>
      </c>
      <c r="AT283" s="342">
        <f>AT284+AT285</f>
        <v>0</v>
      </c>
      <c r="AU283" s="342">
        <f>AU284+AU285</f>
        <v>0</v>
      </c>
      <c r="AV283" s="342">
        <f>AV284+AV285</f>
        <v>0</v>
      </c>
      <c r="AW283" s="342">
        <f>AW284+AW285</f>
        <v>0</v>
      </c>
      <c r="AX283" s="342">
        <f>AX284+AX285</f>
        <v>0</v>
      </c>
      <c r="AY283" s="342">
        <f>AY284+AY285</f>
        <v>0</v>
      </c>
      <c r="AZ283" s="342">
        <f>AZ284+AZ285</f>
        <v>0</v>
      </c>
      <c r="BA283" s="342">
        <f>BA284+BA285</f>
        <v>0</v>
      </c>
      <c r="BB283" s="342">
        <f>BB284+BB285</f>
        <v>0</v>
      </c>
      <c r="BC283" s="196"/>
      <c r="BD283" s="1328"/>
      <c r="BE283" s="1328"/>
      <c r="BF283" s="1023" t="s">
        <v>859</v>
      </c>
    </row>
    <row s="1656" customFormat="1" customHeight="1" ht="12.75">
      <c r="A284" s="1328"/>
      <c r="B284" s="1186"/>
      <c r="C284" s="1328"/>
      <c r="D284" s="1328"/>
      <c r="E284" s="637">
        <v>15</v>
      </c>
      <c r="F284" s="50" cm="1" t="str">
        <f t="array" ref="F284:F284">OFFSET(E284,-1,1)</f>
        <v>2</v>
      </c>
      <c r="G284" s="1328"/>
      <c r="H284" s="94" t="s">
        <v>710</v>
      </c>
      <c r="I284" s="1328"/>
      <c r="J284" s="1328"/>
      <c r="K284" s="1328"/>
      <c r="L284" s="1328"/>
      <c r="M284" s="1328"/>
      <c r="N284" s="1328"/>
      <c r="O284" s="1328"/>
      <c r="P284" s="1308"/>
      <c r="Q284" s="1308"/>
      <c r="R284" s="1308"/>
      <c r="S284" s="1308"/>
      <c r="T284" s="468" cm="1" t="str">
        <f t="array" ref="T284:T284">T283</f>
        <v>true</v>
      </c>
      <c r="U284" s="1308"/>
      <c r="V284" s="1328"/>
      <c r="W284" s="1308"/>
      <c r="X284" s="1539"/>
      <c r="Y284" s="1528"/>
      <c r="Z284" s="1328"/>
      <c r="AA284" s="1328"/>
      <c r="AB284" s="236" t="s">
        <v>711</v>
      </c>
      <c r="AC284" s="188" t="s">
        <v>860</v>
      </c>
      <c r="AD284" s="89" t="s">
        <v>657</v>
      </c>
      <c r="AE284" s="272"/>
      <c r="AF284" s="272"/>
      <c r="AG284" s="272"/>
      <c r="AH284" s="272"/>
      <c r="AI284" s="272"/>
      <c r="AJ284" s="1927"/>
      <c r="AK284" s="1927"/>
      <c r="AL284" s="1927"/>
      <c r="AM284" s="1927"/>
      <c r="AN284" s="1927"/>
      <c r="AO284" s="1927"/>
      <c r="AP284" s="1927"/>
      <c r="AQ284" s="1927"/>
      <c r="AR284" s="1927"/>
      <c r="AS284" s="272"/>
      <c r="AT284" s="1927"/>
      <c r="AU284" s="1927"/>
      <c r="AV284" s="1927"/>
      <c r="AW284" s="1927"/>
      <c r="AX284" s="1927"/>
      <c r="AY284" s="1927"/>
      <c r="AZ284" s="1927"/>
      <c r="BA284" s="1927"/>
      <c r="BB284" s="1927"/>
      <c r="BC284" s="196"/>
      <c r="BD284" s="1328"/>
      <c r="BE284" s="1328"/>
      <c r="BF284" s="1023" t="s">
        <v>861</v>
      </c>
    </row>
    <row s="1656" customFormat="1" customHeight="1" ht="12.75">
      <c r="A285" s="1328"/>
      <c r="B285" s="1186"/>
      <c r="C285" s="1328"/>
      <c r="D285" s="1328"/>
      <c r="E285" s="637">
        <v>15</v>
      </c>
      <c r="F285" s="50" cm="1" t="str">
        <f t="array" ref="F285:F285">OFFSET(E285,-1,1)</f>
        <v>2</v>
      </c>
      <c r="G285" s="1328"/>
      <c r="H285" s="94" t="s">
        <v>727</v>
      </c>
      <c r="I285" s="1328"/>
      <c r="J285" s="1328"/>
      <c r="K285" s="1328"/>
      <c r="L285" s="1328"/>
      <c r="M285" s="1328"/>
      <c r="N285" s="1328"/>
      <c r="O285" s="1328"/>
      <c r="P285" s="1308"/>
      <c r="Q285" s="1308"/>
      <c r="R285" s="1308"/>
      <c r="S285" s="1308"/>
      <c r="T285" s="468" cm="1" t="str">
        <f t="array" ref="T285:T285">T284</f>
        <v>true</v>
      </c>
      <c r="U285" s="1308"/>
      <c r="V285" s="1328"/>
      <c r="W285" s="1308"/>
      <c r="X285" s="1539"/>
      <c r="Y285" s="1528"/>
      <c r="Z285" s="1328"/>
      <c r="AA285" s="1328"/>
      <c r="AB285" s="236" t="s">
        <v>728</v>
      </c>
      <c r="AC285" s="188" t="s">
        <v>862</v>
      </c>
      <c r="AD285" s="89" t="s">
        <v>657</v>
      </c>
      <c r="AE285" s="272"/>
      <c r="AF285" s="272"/>
      <c r="AG285" s="272"/>
      <c r="AH285" s="272"/>
      <c r="AI285" s="272"/>
      <c r="AJ285" s="1927"/>
      <c r="AK285" s="1927"/>
      <c r="AL285" s="1927"/>
      <c r="AM285" s="1927"/>
      <c r="AN285" s="1927"/>
      <c r="AO285" s="1927"/>
      <c r="AP285" s="1927"/>
      <c r="AQ285" s="1927"/>
      <c r="AR285" s="1927"/>
      <c r="AS285" s="272"/>
      <c r="AT285" s="1927"/>
      <c r="AU285" s="1927"/>
      <c r="AV285" s="1927"/>
      <c r="AW285" s="1927"/>
      <c r="AX285" s="1927"/>
      <c r="AY285" s="1927"/>
      <c r="AZ285" s="1927"/>
      <c r="BA285" s="1927"/>
      <c r="BB285" s="1927"/>
      <c r="BC285" s="196"/>
      <c r="BD285" s="1328"/>
      <c r="BE285" s="1328"/>
      <c r="BF285" s="1023" t="s">
        <v>863</v>
      </c>
    </row>
    <row s="1656" customFormat="1" customHeight="1" ht="23.25">
      <c r="A286" s="1328"/>
      <c r="B286" s="1186"/>
      <c r="C286" s="1328"/>
      <c r="D286" s="1328"/>
      <c r="E286" s="637">
        <v>22.5</v>
      </c>
      <c r="F286" s="50" cm="1" t="str">
        <f t="array" ref="F286:F286">OFFSET(E286,-1,1)</f>
        <v>2</v>
      </c>
      <c r="G286" s="1328"/>
      <c r="H286" s="94" t="s">
        <v>864</v>
      </c>
      <c r="I286" s="1328"/>
      <c r="J286" s="1328"/>
      <c r="K286" s="1328"/>
      <c r="L286" s="1328"/>
      <c r="M286" s="1328"/>
      <c r="N286" s="1328"/>
      <c r="O286" s="1328"/>
      <c r="P286" s="1308"/>
      <c r="Q286" s="1308"/>
      <c r="R286" s="1308"/>
      <c r="S286" s="1308"/>
      <c r="T286" s="468" cm="1" t="str">
        <f t="array" ref="T286:T286">T285</f>
        <v>true</v>
      </c>
      <c r="U286" s="1308"/>
      <c r="V286" s="1328"/>
      <c r="W286" s="1308"/>
      <c r="X286" s="1539"/>
      <c r="Y286" s="1528"/>
      <c r="Z286" s="1328"/>
      <c r="AA286" s="1328"/>
      <c r="AB286" s="236" t="s">
        <v>466</v>
      </c>
      <c r="AC286" s="336" t="s">
        <v>776</v>
      </c>
      <c r="AD286" s="89" t="s">
        <v>657</v>
      </c>
      <c r="AE286" s="272"/>
      <c r="AF286" s="272"/>
      <c r="AG286" s="272"/>
      <c r="AH286" s="272"/>
      <c r="AI286" s="272"/>
      <c r="AJ286" s="1927"/>
      <c r="AK286" s="1927"/>
      <c r="AL286" s="1927"/>
      <c r="AM286" s="1927"/>
      <c r="AN286" s="1927"/>
      <c r="AO286" s="1927"/>
      <c r="AP286" s="1927"/>
      <c r="AQ286" s="1927"/>
      <c r="AR286" s="1927"/>
      <c r="AS286" s="272"/>
      <c r="AT286" s="1927"/>
      <c r="AU286" s="1927"/>
      <c r="AV286" s="1927"/>
      <c r="AW286" s="1927"/>
      <c r="AX286" s="1927"/>
      <c r="AY286" s="1927"/>
      <c r="AZ286" s="1927"/>
      <c r="BA286" s="1927"/>
      <c r="BB286" s="1927"/>
      <c r="BC286" s="196"/>
      <c r="BD286" s="1328"/>
      <c r="BE286" s="1328"/>
      <c r="BF286" s="1023" t="s">
        <v>865</v>
      </c>
    </row>
    <row s="1656" customFormat="1" customHeight="1" ht="12.75">
      <c r="A287" s="1328"/>
      <c r="B287" s="1186"/>
      <c r="C287" s="1328"/>
      <c r="D287" s="1328"/>
      <c r="E287" s="637">
        <v>15</v>
      </c>
      <c r="F287" s="50" cm="1" t="str">
        <f t="array" ref="F287:F287">OFFSET(E287,-1,1)</f>
        <v>2</v>
      </c>
      <c r="G287" s="1328"/>
      <c r="H287" s="94" t="s">
        <v>866</v>
      </c>
      <c r="I287" s="1328"/>
      <c r="J287" s="1328"/>
      <c r="K287" s="1328"/>
      <c r="L287" s="1328"/>
      <c r="M287" s="1328"/>
      <c r="N287" s="1328"/>
      <c r="O287" s="1328"/>
      <c r="P287" s="1308"/>
      <c r="Q287" s="1308"/>
      <c r="R287" s="1308"/>
      <c r="S287" s="1308"/>
      <c r="T287" s="468" cm="1" t="str">
        <f t="array" ref="T287:T287">T286</f>
        <v>true</v>
      </c>
      <c r="U287" s="1308"/>
      <c r="V287" s="1328"/>
      <c r="W287" s="1308"/>
      <c r="X287" s="1539"/>
      <c r="Y287" s="1528"/>
      <c r="Z287" s="1328"/>
      <c r="AA287" s="1328"/>
      <c r="AB287" s="236" t="s">
        <v>469</v>
      </c>
      <c r="AC287" s="133" t="s">
        <v>867</v>
      </c>
      <c r="AD287" s="89" t="s">
        <v>657</v>
      </c>
      <c r="AE287" s="272"/>
      <c r="AF287" s="272"/>
      <c r="AG287" s="272"/>
      <c r="AH287" s="272"/>
      <c r="AI287" s="272"/>
      <c r="AJ287" s="1927"/>
      <c r="AK287" s="1927"/>
      <c r="AL287" s="1927"/>
      <c r="AM287" s="1927"/>
      <c r="AN287" s="1927"/>
      <c r="AO287" s="1927"/>
      <c r="AP287" s="1927"/>
      <c r="AQ287" s="1927"/>
      <c r="AR287" s="1927"/>
      <c r="AS287" s="272"/>
      <c r="AT287" s="1927"/>
      <c r="AU287" s="1927"/>
      <c r="AV287" s="1927"/>
      <c r="AW287" s="1927"/>
      <c r="AX287" s="1927"/>
      <c r="AY287" s="1927"/>
      <c r="AZ287" s="1927"/>
      <c r="BA287" s="1927"/>
      <c r="BB287" s="1927"/>
      <c r="BC287" s="196"/>
      <c r="BD287" s="1328"/>
      <c r="BE287" s="1328"/>
      <c r="BF287" s="1023" t="s">
        <v>868</v>
      </c>
    </row>
    <row s="1656" customFormat="1" customHeight="1" ht="11.25" hidden="1">
      <c r="A288" s="472"/>
      <c r="B288" s="664"/>
      <c r="C288" s="472"/>
      <c r="D288" s="472"/>
      <c r="E288" s="666" t="s">
        <v>384</v>
      </c>
      <c r="F288" s="1194" cm="1" t="str">
        <f t="array" ref="F288:F288">OFFSET(E288,-1,1)</f>
        <v>2</v>
      </c>
      <c r="G288" s="472"/>
      <c r="H288" s="472"/>
      <c r="I288" s="472"/>
      <c r="J288" s="472"/>
      <c r="K288" s="94"/>
      <c r="L288" s="472"/>
      <c r="M288" s="472"/>
      <c r="N288" s="472"/>
      <c r="O288" s="472"/>
      <c r="P288" s="472"/>
      <c r="Q288" s="472"/>
      <c r="R288" s="417"/>
      <c r="S288" s="417"/>
      <c r="T288" s="468" t="b">
        <v>0</v>
      </c>
      <c r="U288" s="472"/>
      <c r="V288" s="472"/>
      <c r="W288" s="472"/>
      <c r="X288" s="1539"/>
      <c r="Y288" s="1528"/>
      <c r="Z288" s="472"/>
      <c r="AA288" s="472"/>
      <c r="AB288" s="1656"/>
      <c r="AC288" s="96"/>
      <c r="AD288" s="96"/>
      <c r="AE288" s="340"/>
      <c r="AF288" s="340"/>
      <c r="AG288" s="340"/>
      <c r="AH288" s="340"/>
      <c r="AI288" s="340"/>
      <c r="AJ288" s="341"/>
      <c r="AK288" s="340"/>
      <c r="AL288" s="340"/>
      <c r="AM288" s="340"/>
      <c r="AN288" s="340"/>
      <c r="AO288" s="340"/>
      <c r="AP288" s="340"/>
      <c r="AQ288" s="340"/>
      <c r="AR288" s="340"/>
      <c r="AS288" s="340"/>
      <c r="AT288" s="340"/>
      <c r="AU288" s="340"/>
      <c r="AV288" s="340"/>
      <c r="AW288" s="340"/>
      <c r="AX288" s="340"/>
      <c r="AY288" s="340"/>
      <c r="AZ288" s="340"/>
      <c r="BA288" s="340"/>
      <c r="BB288" s="340"/>
      <c r="BC288" s="1656"/>
      <c r="BD288" s="1656"/>
      <c r="BE288" s="1656"/>
      <c r="BF288" s="1027"/>
    </row>
    <row s="1656" customFormat="1" customHeight="1" ht="12.75" hidden="1">
      <c r="A289" s="1328"/>
      <c r="B289" s="1186"/>
      <c r="C289" s="1328"/>
      <c r="D289" s="1328"/>
      <c r="E289" s="637">
        <v>15</v>
      </c>
      <c r="F289" s="50" cm="1" t="str">
        <f t="array" ref="F289:F289">OFFSET(E289,-1,1)</f>
        <v>2</v>
      </c>
      <c r="G289" s="1328"/>
      <c r="H289" s="1328"/>
      <c r="I289" s="1328"/>
      <c r="J289" s="1328"/>
      <c r="K289" s="1328"/>
      <c r="L289" s="1328"/>
      <c r="M289" s="1328"/>
      <c r="N289" s="1328"/>
      <c r="O289" s="1328"/>
      <c r="P289" s="1308"/>
      <c r="Q289" s="1308"/>
      <c r="R289" s="417" cm="1" t="str">
        <f t="array" ref="R289:R289">INDEX('Общие сведения'!$AN$197:$AN$254,MATCH($X209,'Общие сведения'!$Z$197:$Z$254,0))</f>
        <v>false</v>
      </c>
      <c r="S289" s="485">
        <f>IF(ISERROR(SEARCH("Водоотведение",AB209)),FALSE,TRUE)</f>
        <v>1</v>
      </c>
      <c r="T289" s="468">
        <f>AND(X209&gt;0,S289,R289)</f>
        <v>0</v>
      </c>
      <c r="U289" s="1308"/>
      <c r="V289" s="1328"/>
      <c r="W289" s="1308"/>
      <c r="X289" s="1539"/>
      <c r="Y289" s="1528"/>
      <c r="Z289" s="1328"/>
      <c r="AA289" s="1328"/>
      <c r="AB289" s="236" t="s">
        <v>290</v>
      </c>
      <c r="AC289" s="83" t="s">
        <v>808</v>
      </c>
      <c r="AD289" s="193"/>
      <c r="AE289" s="574" cm="1" t="str">
        <f t="array" ref="AE289:AE289">INDEX('Общие сведения'!$AH$197:$AH$254,MATCH($X209,'Общие сведения'!$Z$197:$Z$254,0))</f>
        <v>без дифференциации</v>
      </c>
      <c r="AF289" s="358"/>
      <c r="AG289" s="358"/>
      <c r="AH289" s="358"/>
      <c r="AI289" s="358"/>
      <c r="AJ289" s="358"/>
      <c r="AK289" s="358"/>
      <c r="AL289" s="358"/>
      <c r="AM289" s="358"/>
      <c r="AN289" s="358"/>
      <c r="AO289" s="358"/>
      <c r="AP289" s="358"/>
      <c r="AQ289" s="358"/>
      <c r="AR289" s="358"/>
      <c r="AS289" s="358"/>
      <c r="AT289" s="358"/>
      <c r="AU289" s="358"/>
      <c r="AV289" s="358"/>
      <c r="AW289" s="358"/>
      <c r="AX289" s="358"/>
      <c r="AY289" s="358"/>
      <c r="AZ289" s="358"/>
      <c r="BA289" s="358"/>
      <c r="BB289" s="359"/>
      <c r="BC289" s="1928"/>
      <c r="BD289" s="1328"/>
      <c r="BE289" s="1328"/>
      <c r="BF289" s="1023" t="s">
        <v>869</v>
      </c>
    </row>
    <row s="1656" customFormat="1" customHeight="1" ht="12.75" hidden="1">
      <c r="A290" s="1328"/>
      <c r="B290" s="1186"/>
      <c r="C290" s="1328"/>
      <c r="D290" s="1328"/>
      <c r="E290" s="637">
        <v>15</v>
      </c>
      <c r="F290" s="50" cm="1" t="str">
        <f t="array" ref="F290:F290">OFFSET(E290,-1,1)</f>
        <v>2</v>
      </c>
      <c r="G290" s="1328"/>
      <c r="H290" s="94" t="s">
        <v>348</v>
      </c>
      <c r="I290" s="1328"/>
      <c r="J290" s="1328"/>
      <c r="K290" s="1328"/>
      <c r="L290" s="1328"/>
      <c r="M290" s="1328"/>
      <c r="N290" s="1328"/>
      <c r="O290" s="1328"/>
      <c r="P290" s="1308"/>
      <c r="Q290" s="1308"/>
      <c r="R290" s="1308"/>
      <c r="S290" s="1308"/>
      <c r="T290" s="468" cm="1" t="str">
        <f t="array" ref="T290:T290">T289</f>
        <v>false</v>
      </c>
      <c r="U290" s="1308"/>
      <c r="V290" s="1328"/>
      <c r="W290" s="1308"/>
      <c r="X290" s="1539"/>
      <c r="Y290" s="1528"/>
      <c r="Z290" s="1328"/>
      <c r="AA290" s="1328"/>
      <c r="AB290" s="236" t="s">
        <v>299</v>
      </c>
      <c r="AC290" s="337" t="s">
        <v>870</v>
      </c>
      <c r="AD290" s="89" t="s">
        <v>657</v>
      </c>
      <c r="AE290" s="342">
        <f>AE291+AE293+AE292</f>
        <v>0</v>
      </c>
      <c r="AF290" s="342">
        <f>AF291+AF293+AF292</f>
        <v>0</v>
      </c>
      <c r="AG290" s="342">
        <f>AG291+AG293+AG292</f>
        <v>0</v>
      </c>
      <c r="AH290" s="342">
        <f>AH291+AH293+AH292</f>
        <v>0</v>
      </c>
      <c r="AI290" s="342">
        <f>AI291+AI293+AI292</f>
        <v>0</v>
      </c>
      <c r="AJ290" s="342">
        <f>AJ291+AJ293+AJ292</f>
        <v>0</v>
      </c>
      <c r="AK290" s="342">
        <f>AK291+AK293+AK292</f>
        <v>0</v>
      </c>
      <c r="AL290" s="342">
        <f>AL291+AL293+AL292</f>
        <v>0</v>
      </c>
      <c r="AM290" s="342">
        <f>AM291+AM293+AM292</f>
        <v>0</v>
      </c>
      <c r="AN290" s="342">
        <f>AN291+AN293+AN292</f>
        <v>0</v>
      </c>
      <c r="AO290" s="342">
        <f>AO291+AO293+AO292</f>
        <v>0</v>
      </c>
      <c r="AP290" s="342">
        <f>AP291+AP293+AP292</f>
        <v>0</v>
      </c>
      <c r="AQ290" s="342">
        <f>AQ291+AQ293+AQ292</f>
        <v>0</v>
      </c>
      <c r="AR290" s="342">
        <f>AR291+AR293+AR292</f>
        <v>0</v>
      </c>
      <c r="AS290" s="342">
        <f>AS291+AS293+AS292</f>
        <v>0</v>
      </c>
      <c r="AT290" s="342">
        <f>AT291+AT293+AT292</f>
        <v>0</v>
      </c>
      <c r="AU290" s="342">
        <f>AU291+AU293+AU292</f>
        <v>0</v>
      </c>
      <c r="AV290" s="342">
        <f>AV291+AV293+AV292</f>
        <v>0</v>
      </c>
      <c r="AW290" s="342">
        <f>AW291+AW293+AW292</f>
        <v>0</v>
      </c>
      <c r="AX290" s="342">
        <f>AX291+AX293+AX292</f>
        <v>0</v>
      </c>
      <c r="AY290" s="342">
        <f>AY291+AY293+AY292</f>
        <v>0</v>
      </c>
      <c r="AZ290" s="342">
        <f>AZ291+AZ293+AZ292</f>
        <v>0</v>
      </c>
      <c r="BA290" s="342">
        <f>BA291+BA293+BA292</f>
        <v>0</v>
      </c>
      <c r="BB290" s="342">
        <f>BB291+BB293+BB292</f>
        <v>0</v>
      </c>
      <c r="BC290" s="1928"/>
      <c r="BD290" s="1328"/>
      <c r="BE290" s="1328"/>
      <c r="BF290" s="1023" t="s">
        <v>871</v>
      </c>
    </row>
    <row s="1656" customFormat="1" customHeight="1" ht="12.75" hidden="1">
      <c r="A291" s="1328"/>
      <c r="B291" s="1186"/>
      <c r="C291" s="1328"/>
      <c r="D291" s="1328"/>
      <c r="E291" s="637">
        <v>15</v>
      </c>
      <c r="F291" s="50" cm="1" t="str">
        <f t="array" ref="F291:F291">OFFSET(E291,-1,1)</f>
        <v>2</v>
      </c>
      <c r="G291" s="1328"/>
      <c r="H291" s="94" t="s">
        <v>659</v>
      </c>
      <c r="I291" s="1328"/>
      <c r="J291" s="1328"/>
      <c r="K291" s="1328"/>
      <c r="L291" s="1328"/>
      <c r="M291" s="1328"/>
      <c r="N291" s="1328"/>
      <c r="O291" s="1328"/>
      <c r="P291" s="1308"/>
      <c r="Q291" s="1308"/>
      <c r="R291" s="1308"/>
      <c r="S291" s="1308"/>
      <c r="T291" s="468" cm="1" t="str">
        <f t="array" ref="T291:T291">T290</f>
        <v>false</v>
      </c>
      <c r="U291" s="1308"/>
      <c r="V291" s="1328"/>
      <c r="W291" s="1308"/>
      <c r="X291" s="1539"/>
      <c r="Y291" s="1528"/>
      <c r="Z291" s="1328"/>
      <c r="AA291" s="1328"/>
      <c r="AB291" s="236" t="s">
        <v>660</v>
      </c>
      <c r="AC291" s="210" t="s">
        <v>872</v>
      </c>
      <c r="AD291" s="89" t="s">
        <v>657</v>
      </c>
      <c r="AE291" s="1971"/>
      <c r="AF291" s="1971"/>
      <c r="AG291" s="1971"/>
      <c r="AH291" s="1971"/>
      <c r="AI291" s="1971"/>
      <c r="AJ291" s="1971"/>
      <c r="AK291" s="1971"/>
      <c r="AL291" s="1971"/>
      <c r="AM291" s="1971"/>
      <c r="AN291" s="1971"/>
      <c r="AO291" s="1971"/>
      <c r="AP291" s="1971"/>
      <c r="AQ291" s="1971"/>
      <c r="AR291" s="1971"/>
      <c r="AS291" s="1971"/>
      <c r="AT291" s="1971"/>
      <c r="AU291" s="1971"/>
      <c r="AV291" s="1971"/>
      <c r="AW291" s="1971"/>
      <c r="AX291" s="1971"/>
      <c r="AY291" s="1971"/>
      <c r="AZ291" s="1971"/>
      <c r="BA291" s="1971"/>
      <c r="BB291" s="1971"/>
      <c r="BC291" s="1928"/>
      <c r="BD291" s="1328"/>
      <c r="BE291" s="1328"/>
      <c r="BF291" s="1023" t="s">
        <v>873</v>
      </c>
    </row>
    <row s="1656" customFormat="1" customHeight="1" ht="12.75" hidden="1">
      <c r="A292" s="1328"/>
      <c r="B292" s="1186"/>
      <c r="C292" s="1328"/>
      <c r="D292" s="1328"/>
      <c r="E292" s="637">
        <v>15</v>
      </c>
      <c r="F292" s="50" cm="1" t="str">
        <f t="array" ref="F292:F292">OFFSET(E292,-1,1)</f>
        <v>2</v>
      </c>
      <c r="G292" s="1328"/>
      <c r="H292" s="94" t="s">
        <v>663</v>
      </c>
      <c r="I292" s="1328"/>
      <c r="J292" s="1328"/>
      <c r="K292" s="1328"/>
      <c r="L292" s="1328"/>
      <c r="M292" s="1328"/>
      <c r="N292" s="1328"/>
      <c r="O292" s="1328"/>
      <c r="P292" s="1308"/>
      <c r="Q292" s="1308"/>
      <c r="R292" s="1308"/>
      <c r="S292" s="1308"/>
      <c r="T292" s="468" cm="1" t="str">
        <f t="array" ref="T292:T292">T291</f>
        <v>false</v>
      </c>
      <c r="U292" s="1308"/>
      <c r="V292" s="1328"/>
      <c r="W292" s="1308"/>
      <c r="X292" s="1539"/>
      <c r="Y292" s="1528"/>
      <c r="Z292" s="1328"/>
      <c r="AA292" s="1328"/>
      <c r="AB292" s="236" t="s">
        <v>664</v>
      </c>
      <c r="AC292" s="210" t="s">
        <v>874</v>
      </c>
      <c r="AD292" s="89" t="s">
        <v>657</v>
      </c>
      <c r="AE292" s="1971"/>
      <c r="AF292" s="1971"/>
      <c r="AG292" s="1971"/>
      <c r="AH292" s="1971"/>
      <c r="AI292" s="1971"/>
      <c r="AJ292" s="1971"/>
      <c r="AK292" s="1971"/>
      <c r="AL292" s="1971"/>
      <c r="AM292" s="1971"/>
      <c r="AN292" s="1971"/>
      <c r="AO292" s="1971"/>
      <c r="AP292" s="1971"/>
      <c r="AQ292" s="1971"/>
      <c r="AR292" s="1971"/>
      <c r="AS292" s="1971"/>
      <c r="AT292" s="1971"/>
      <c r="AU292" s="1971"/>
      <c r="AV292" s="1971"/>
      <c r="AW292" s="1971"/>
      <c r="AX292" s="1971"/>
      <c r="AY292" s="1971"/>
      <c r="AZ292" s="1971"/>
      <c r="BA292" s="1971"/>
      <c r="BB292" s="1971"/>
      <c r="BC292" s="1928"/>
      <c r="BD292" s="1328"/>
      <c r="BE292" s="1328"/>
      <c r="BF292" s="1023" t="s">
        <v>875</v>
      </c>
    </row>
    <row s="1656" customFormat="1" customHeight="1" ht="23.25" hidden="1">
      <c r="A293" s="1328"/>
      <c r="B293" s="1186"/>
      <c r="C293" s="1328"/>
      <c r="D293" s="1328"/>
      <c r="E293" s="637">
        <v>22.5</v>
      </c>
      <c r="F293" s="50" cm="1" t="str">
        <f t="array" ref="F293:F293">OFFSET(E293,-1,1)</f>
        <v>2</v>
      </c>
      <c r="G293" s="1328"/>
      <c r="H293" s="94" t="s">
        <v>667</v>
      </c>
      <c r="I293" s="1328"/>
      <c r="J293" s="1328"/>
      <c r="K293" s="1328"/>
      <c r="L293" s="1328"/>
      <c r="M293" s="1328"/>
      <c r="N293" s="1328"/>
      <c r="O293" s="1328"/>
      <c r="P293" s="1308"/>
      <c r="Q293" s="1308"/>
      <c r="R293" s="1308"/>
      <c r="S293" s="1308"/>
      <c r="T293" s="468" cm="1" t="str">
        <f t="array" ref="T293:T293">T292</f>
        <v>false</v>
      </c>
      <c r="U293" s="1308"/>
      <c r="V293" s="1328"/>
      <c r="W293" s="1308"/>
      <c r="X293" s="1539"/>
      <c r="Y293" s="1528"/>
      <c r="Z293" s="1328"/>
      <c r="AA293" s="1328"/>
      <c r="AB293" s="236" t="s">
        <v>668</v>
      </c>
      <c r="AC293" s="210" t="s">
        <v>776</v>
      </c>
      <c r="AD293" s="89" t="s">
        <v>657</v>
      </c>
      <c r="AE293" s="1971"/>
      <c r="AF293" s="1971"/>
      <c r="AG293" s="1971"/>
      <c r="AH293" s="1971"/>
      <c r="AI293" s="1971"/>
      <c r="AJ293" s="1971"/>
      <c r="AK293" s="1971"/>
      <c r="AL293" s="1971"/>
      <c r="AM293" s="1971"/>
      <c r="AN293" s="1971"/>
      <c r="AO293" s="1971"/>
      <c r="AP293" s="1971"/>
      <c r="AQ293" s="1971"/>
      <c r="AR293" s="1971"/>
      <c r="AS293" s="1971"/>
      <c r="AT293" s="1971"/>
      <c r="AU293" s="1971"/>
      <c r="AV293" s="1971"/>
      <c r="AW293" s="1971"/>
      <c r="AX293" s="1971"/>
      <c r="AY293" s="1971"/>
      <c r="AZ293" s="1971"/>
      <c r="BA293" s="1971"/>
      <c r="BB293" s="1971"/>
      <c r="BC293" s="1928"/>
      <c r="BD293" s="1328"/>
      <c r="BE293" s="1328"/>
      <c r="BF293" s="1023" t="s">
        <v>876</v>
      </c>
    </row>
    <row s="1656" customFormat="1" customHeight="1" ht="23.25" hidden="1">
      <c r="A294" s="1328"/>
      <c r="B294" s="1186"/>
      <c r="C294" s="1328"/>
      <c r="D294" s="1328"/>
      <c r="E294" s="637">
        <v>22.5</v>
      </c>
      <c r="F294" s="50" cm="1" t="str">
        <f t="array" ref="F294:F294">OFFSET(E294,-1,1)</f>
        <v>2</v>
      </c>
      <c r="G294" s="94" t="s">
        <v>726</v>
      </c>
      <c r="H294" s="94" t="s">
        <v>347</v>
      </c>
      <c r="I294" s="1328"/>
      <c r="J294" s="1328"/>
      <c r="K294" s="1328"/>
      <c r="L294" s="1328"/>
      <c r="M294" s="1328"/>
      <c r="N294" s="1328"/>
      <c r="O294" s="1328"/>
      <c r="P294" s="1308"/>
      <c r="Q294" s="1308"/>
      <c r="R294" s="1308"/>
      <c r="S294" s="1308"/>
      <c r="T294" s="468" cm="1" t="str">
        <f t="array" ref="T294:T294">T293</f>
        <v>false</v>
      </c>
      <c r="U294" s="1308"/>
      <c r="V294" s="1328"/>
      <c r="W294" s="1308"/>
      <c r="X294" s="1539"/>
      <c r="Y294" s="1528"/>
      <c r="Z294" s="1328"/>
      <c r="AA294" s="1328"/>
      <c r="AB294" s="236" t="s">
        <v>234</v>
      </c>
      <c r="AC294" s="337" t="s">
        <v>877</v>
      </c>
      <c r="AD294" s="89" t="s">
        <v>657</v>
      </c>
      <c r="AE294" s="342">
        <f>AE295+AE296+AE299</f>
        <v>0</v>
      </c>
      <c r="AF294" s="342">
        <f>AF295+AF296+AF299</f>
        <v>0</v>
      </c>
      <c r="AG294" s="342">
        <f>AG295+AG296+AG299</f>
        <v>0</v>
      </c>
      <c r="AH294" s="342">
        <f>AH295+AH296+AH299</f>
        <v>0</v>
      </c>
      <c r="AI294" s="342">
        <f>AI295+AI296+AI299</f>
        <v>0</v>
      </c>
      <c r="AJ294" s="342">
        <f>AJ295+AJ296+AJ299</f>
        <v>0</v>
      </c>
      <c r="AK294" s="342">
        <f>AK295+AK296+AK299</f>
        <v>0</v>
      </c>
      <c r="AL294" s="342">
        <f>AL295+AL296+AL299</f>
        <v>0</v>
      </c>
      <c r="AM294" s="342">
        <f>AM295+AM296+AM299</f>
        <v>0</v>
      </c>
      <c r="AN294" s="342">
        <f>AN295+AN296+AN299</f>
        <v>0</v>
      </c>
      <c r="AO294" s="342">
        <f>AO295+AO296+AO299</f>
        <v>0</v>
      </c>
      <c r="AP294" s="342">
        <f>AP295+AP296+AP299</f>
        <v>0</v>
      </c>
      <c r="AQ294" s="342">
        <f>AQ295+AQ296+AQ299</f>
        <v>0</v>
      </c>
      <c r="AR294" s="342">
        <f>AR295+AR296+AR299</f>
        <v>0</v>
      </c>
      <c r="AS294" s="342">
        <f>AS295+AS296+AS299</f>
        <v>0</v>
      </c>
      <c r="AT294" s="342">
        <f>AT295+AT296+AT299</f>
        <v>0</v>
      </c>
      <c r="AU294" s="342">
        <f>AU295+AU296+AU299</f>
        <v>0</v>
      </c>
      <c r="AV294" s="342">
        <f>AV295+AV296+AV299</f>
        <v>0</v>
      </c>
      <c r="AW294" s="342">
        <f>AW295+AW296+AW299</f>
        <v>0</v>
      </c>
      <c r="AX294" s="342">
        <f>AX295+AX296+AX299</f>
        <v>0</v>
      </c>
      <c r="AY294" s="342">
        <f>AY295+AY296+AY299</f>
        <v>0</v>
      </c>
      <c r="AZ294" s="342">
        <f>AZ295+AZ296+AZ299</f>
        <v>0</v>
      </c>
      <c r="BA294" s="342">
        <f>BA295+BA296+BA299</f>
        <v>0</v>
      </c>
      <c r="BB294" s="342">
        <f>BB295+BB296+BB299</f>
        <v>0</v>
      </c>
      <c r="BC294" s="1928"/>
      <c r="BD294" s="1328"/>
      <c r="BE294" s="1328"/>
      <c r="BF294" s="1023" t="s">
        <v>878</v>
      </c>
    </row>
    <row s="1656" customFormat="1" customHeight="1" ht="12.75" hidden="1">
      <c r="A295" s="1328"/>
      <c r="B295" s="1186"/>
      <c r="C295" s="1328"/>
      <c r="D295" s="1328"/>
      <c r="E295" s="637">
        <v>15</v>
      </c>
      <c r="F295" s="50" cm="1" t="str">
        <f t="array" ref="F295:F295">OFFSET(E295,-1,1)</f>
        <v>2</v>
      </c>
      <c r="G295" s="1328"/>
      <c r="H295" s="94" t="s">
        <v>673</v>
      </c>
      <c r="I295" s="1328"/>
      <c r="J295" s="1328"/>
      <c r="K295" s="1328"/>
      <c r="L295" s="1328"/>
      <c r="M295" s="1328"/>
      <c r="N295" s="1328"/>
      <c r="O295" s="1328"/>
      <c r="P295" s="1308"/>
      <c r="Q295" s="1308"/>
      <c r="R295" s="1308"/>
      <c r="S295" s="1308"/>
      <c r="T295" s="468" cm="1" t="str">
        <f t="array" ref="T295:T295">T294</f>
        <v>false</v>
      </c>
      <c r="U295" s="1308"/>
      <c r="V295" s="1328"/>
      <c r="W295" s="1308"/>
      <c r="X295" s="1539"/>
      <c r="Y295" s="1528"/>
      <c r="Z295" s="1328"/>
      <c r="AA295" s="1328"/>
      <c r="AB295" s="236" t="s">
        <v>674</v>
      </c>
      <c r="AC295" s="210" t="s">
        <v>879</v>
      </c>
      <c r="AD295" s="89" t="s">
        <v>657</v>
      </c>
      <c r="AE295" s="1971"/>
      <c r="AF295" s="1971"/>
      <c r="AG295" s="1971"/>
      <c r="AH295" s="1971"/>
      <c r="AI295" s="1971"/>
      <c r="AJ295" s="1971"/>
      <c r="AK295" s="1971"/>
      <c r="AL295" s="1971"/>
      <c r="AM295" s="1971"/>
      <c r="AN295" s="1971"/>
      <c r="AO295" s="1971"/>
      <c r="AP295" s="1971"/>
      <c r="AQ295" s="1971"/>
      <c r="AR295" s="1971"/>
      <c r="AS295" s="1971"/>
      <c r="AT295" s="1971"/>
      <c r="AU295" s="1971"/>
      <c r="AV295" s="1971"/>
      <c r="AW295" s="1971"/>
      <c r="AX295" s="1971"/>
      <c r="AY295" s="1971"/>
      <c r="AZ295" s="1971"/>
      <c r="BA295" s="1971"/>
      <c r="BB295" s="1971"/>
      <c r="BC295" s="1928"/>
      <c r="BD295" s="1328"/>
      <c r="BE295" s="1328"/>
      <c r="BF295" s="1023" t="s">
        <v>880</v>
      </c>
    </row>
    <row s="1656" customFormat="1" customHeight="1" ht="12.75" hidden="1">
      <c r="A296" s="1328"/>
      <c r="B296" s="1186"/>
      <c r="C296" s="1328"/>
      <c r="D296" s="1328"/>
      <c r="E296" s="637">
        <v>15</v>
      </c>
      <c r="F296" s="50" cm="1" t="str">
        <f t="array" ref="F296:F296">OFFSET(E296,-1,1)</f>
        <v>2</v>
      </c>
      <c r="G296" s="1328"/>
      <c r="H296" s="94" t="s">
        <v>677</v>
      </c>
      <c r="I296" s="1328"/>
      <c r="J296" s="1328"/>
      <c r="K296" s="1328"/>
      <c r="L296" s="1328"/>
      <c r="M296" s="1328"/>
      <c r="N296" s="1328"/>
      <c r="O296" s="1328"/>
      <c r="P296" s="1308"/>
      <c r="Q296" s="1308"/>
      <c r="R296" s="1308"/>
      <c r="S296" s="1308"/>
      <c r="T296" s="468" cm="1" t="str">
        <f t="array" ref="T296:T296">T295</f>
        <v>false</v>
      </c>
      <c r="U296" s="1308"/>
      <c r="V296" s="1328"/>
      <c r="W296" s="1308"/>
      <c r="X296" s="1539"/>
      <c r="Y296" s="1528"/>
      <c r="Z296" s="1328"/>
      <c r="AA296" s="1328"/>
      <c r="AB296" s="236" t="s">
        <v>678</v>
      </c>
      <c r="AC296" s="338" t="s">
        <v>881</v>
      </c>
      <c r="AD296" s="89" t="s">
        <v>657</v>
      </c>
      <c r="AE296" s="342">
        <f>AE297+AE298</f>
        <v>0</v>
      </c>
      <c r="AF296" s="342">
        <f>AF297+AF298</f>
        <v>0</v>
      </c>
      <c r="AG296" s="342">
        <f>AG297+AG298</f>
        <v>0</v>
      </c>
      <c r="AH296" s="342">
        <f>AH297+AH298</f>
        <v>0</v>
      </c>
      <c r="AI296" s="342">
        <f>AI297+AI298</f>
        <v>0</v>
      </c>
      <c r="AJ296" s="342">
        <f>AJ297+AJ298</f>
        <v>0</v>
      </c>
      <c r="AK296" s="342">
        <f>AK297+AK298</f>
        <v>0</v>
      </c>
      <c r="AL296" s="342">
        <f>AL297+AL298</f>
        <v>0</v>
      </c>
      <c r="AM296" s="342">
        <f>AM297+AM298</f>
        <v>0</v>
      </c>
      <c r="AN296" s="342">
        <f>AN297+AN298</f>
        <v>0</v>
      </c>
      <c r="AO296" s="342">
        <f>AO297+AO298</f>
        <v>0</v>
      </c>
      <c r="AP296" s="342">
        <f>AP297+AP298</f>
        <v>0</v>
      </c>
      <c r="AQ296" s="342">
        <f>AQ297+AQ298</f>
        <v>0</v>
      </c>
      <c r="AR296" s="342">
        <f>AR297+AR298</f>
        <v>0</v>
      </c>
      <c r="AS296" s="342">
        <f>AS297+AS298</f>
        <v>0</v>
      </c>
      <c r="AT296" s="342">
        <f>AT297+AT298</f>
        <v>0</v>
      </c>
      <c r="AU296" s="342">
        <f>AU297+AU298</f>
        <v>0</v>
      </c>
      <c r="AV296" s="342">
        <f>AV297+AV298</f>
        <v>0</v>
      </c>
      <c r="AW296" s="342">
        <f>AW297+AW298</f>
        <v>0</v>
      </c>
      <c r="AX296" s="342">
        <f>AX297+AX298</f>
        <v>0</v>
      </c>
      <c r="AY296" s="342">
        <f>AY297+AY298</f>
        <v>0</v>
      </c>
      <c r="AZ296" s="342">
        <f>AZ297+AZ298</f>
        <v>0</v>
      </c>
      <c r="BA296" s="342">
        <f>BA297+BA298</f>
        <v>0</v>
      </c>
      <c r="BB296" s="342">
        <f>BB297+BB298</f>
        <v>0</v>
      </c>
      <c r="BC296" s="1928"/>
      <c r="BD296" s="1328"/>
      <c r="BE296" s="1328"/>
      <c r="BF296" s="1023" t="s">
        <v>882</v>
      </c>
    </row>
    <row s="1656" customFormat="1" customHeight="1" ht="12.75" hidden="1">
      <c r="A297" s="1328"/>
      <c r="B297" s="1186"/>
      <c r="C297" s="1328"/>
      <c r="D297" s="1328"/>
      <c r="E297" s="637">
        <v>15</v>
      </c>
      <c r="F297" s="50" cm="1" t="str">
        <f t="array" ref="F297:F297">OFFSET(E297,-1,1)</f>
        <v>2</v>
      </c>
      <c r="G297" s="1328"/>
      <c r="H297" s="94" t="s">
        <v>883</v>
      </c>
      <c r="I297" s="1328"/>
      <c r="J297" s="1328"/>
      <c r="K297" s="1328"/>
      <c r="L297" s="1328"/>
      <c r="M297" s="1328"/>
      <c r="N297" s="1328"/>
      <c r="O297" s="1328"/>
      <c r="P297" s="1308"/>
      <c r="Q297" s="1308"/>
      <c r="R297" s="1308"/>
      <c r="S297" s="1308"/>
      <c r="T297" s="468" cm="1" t="str">
        <f t="array" ref="T297:T297">T296</f>
        <v>false</v>
      </c>
      <c r="U297" s="1308"/>
      <c r="V297" s="1328"/>
      <c r="W297" s="1308"/>
      <c r="X297" s="1539"/>
      <c r="Y297" s="1528"/>
      <c r="Z297" s="1328"/>
      <c r="AA297" s="1328"/>
      <c r="AB297" s="236" t="s">
        <v>884</v>
      </c>
      <c r="AC297" s="339" t="s">
        <v>733</v>
      </c>
      <c r="AD297" s="89" t="s">
        <v>657</v>
      </c>
      <c r="AE297" s="1971"/>
      <c r="AF297" s="1971"/>
      <c r="AG297" s="1971"/>
      <c r="AH297" s="1971"/>
      <c r="AI297" s="1971"/>
      <c r="AJ297" s="1971"/>
      <c r="AK297" s="1971"/>
      <c r="AL297" s="1971"/>
      <c r="AM297" s="1971"/>
      <c r="AN297" s="1971"/>
      <c r="AO297" s="1971"/>
      <c r="AP297" s="1971"/>
      <c r="AQ297" s="1971"/>
      <c r="AR297" s="1971"/>
      <c r="AS297" s="1971"/>
      <c r="AT297" s="1971"/>
      <c r="AU297" s="1971"/>
      <c r="AV297" s="1971"/>
      <c r="AW297" s="1971"/>
      <c r="AX297" s="1971"/>
      <c r="AY297" s="1971"/>
      <c r="AZ297" s="1971"/>
      <c r="BA297" s="1971"/>
      <c r="BB297" s="1971"/>
      <c r="BC297" s="1928"/>
      <c r="BD297" s="1328"/>
      <c r="BE297" s="1328"/>
      <c r="BF297" s="1023" t="s">
        <v>885</v>
      </c>
    </row>
    <row s="1656" customFormat="1" customHeight="1" ht="12.75" hidden="1">
      <c r="A298" s="1328"/>
      <c r="B298" s="1186"/>
      <c r="C298" s="1328"/>
      <c r="D298" s="1328"/>
      <c r="E298" s="637">
        <v>15</v>
      </c>
      <c r="F298" s="50" cm="1" t="str">
        <f t="array" ref="F298:F298">OFFSET(E298,-1,1)</f>
        <v>2</v>
      </c>
      <c r="G298" s="1328"/>
      <c r="H298" s="94" t="s">
        <v>886</v>
      </c>
      <c r="I298" s="1328"/>
      <c r="J298" s="1328"/>
      <c r="K298" s="1328"/>
      <c r="L298" s="1328"/>
      <c r="M298" s="1328"/>
      <c r="N298" s="1328"/>
      <c r="O298" s="1328"/>
      <c r="P298" s="1308"/>
      <c r="Q298" s="1308"/>
      <c r="R298" s="1308"/>
      <c r="S298" s="1308"/>
      <c r="T298" s="468" cm="1" t="str">
        <f t="array" ref="T298:T298">T297</f>
        <v>false</v>
      </c>
      <c r="U298" s="1308"/>
      <c r="V298" s="1328"/>
      <c r="W298" s="1308"/>
      <c r="X298" s="1539"/>
      <c r="Y298" s="1528"/>
      <c r="Z298" s="1328"/>
      <c r="AA298" s="1328"/>
      <c r="AB298" s="236" t="s">
        <v>887</v>
      </c>
      <c r="AC298" s="339" t="s">
        <v>737</v>
      </c>
      <c r="AD298" s="89" t="s">
        <v>657</v>
      </c>
      <c r="AE298" s="1971"/>
      <c r="AF298" s="1971"/>
      <c r="AG298" s="1971"/>
      <c r="AH298" s="1971"/>
      <c r="AI298" s="1971"/>
      <c r="AJ298" s="1971"/>
      <c r="AK298" s="1971"/>
      <c r="AL298" s="1971"/>
      <c r="AM298" s="1971"/>
      <c r="AN298" s="1971"/>
      <c r="AO298" s="1971"/>
      <c r="AP298" s="1971"/>
      <c r="AQ298" s="1971"/>
      <c r="AR298" s="1971"/>
      <c r="AS298" s="1971"/>
      <c r="AT298" s="1971"/>
      <c r="AU298" s="1971"/>
      <c r="AV298" s="1971"/>
      <c r="AW298" s="1971"/>
      <c r="AX298" s="1971"/>
      <c r="AY298" s="1971"/>
      <c r="AZ298" s="1971"/>
      <c r="BA298" s="1971"/>
      <c r="BB298" s="1971"/>
      <c r="BC298" s="1928"/>
      <c r="BD298" s="1328"/>
      <c r="BE298" s="1328"/>
      <c r="BF298" s="1023" t="s">
        <v>888</v>
      </c>
    </row>
    <row s="1656" customFormat="1" customHeight="1" ht="23.25" hidden="1">
      <c r="A299" s="1328"/>
      <c r="B299" s="1186"/>
      <c r="C299" s="1328"/>
      <c r="D299" s="1328"/>
      <c r="E299" s="637">
        <v>22.5</v>
      </c>
      <c r="F299" s="50" cm="1" t="str">
        <f t="array" ref="F299:F299">OFFSET(E299,-1,1)</f>
        <v>2</v>
      </c>
      <c r="G299" s="1328"/>
      <c r="H299" s="94" t="s">
        <v>889</v>
      </c>
      <c r="I299" s="1328"/>
      <c r="J299" s="1328"/>
      <c r="K299" s="1328"/>
      <c r="L299" s="1328"/>
      <c r="M299" s="1328"/>
      <c r="N299" s="1328"/>
      <c r="O299" s="1328"/>
      <c r="P299" s="1308"/>
      <c r="Q299" s="1308"/>
      <c r="R299" s="1308"/>
      <c r="S299" s="1308"/>
      <c r="T299" s="468" cm="1" t="str">
        <f t="array" ref="T299:T299">T298</f>
        <v>false</v>
      </c>
      <c r="U299" s="1308"/>
      <c r="V299" s="1328"/>
      <c r="W299" s="1308"/>
      <c r="X299" s="1539"/>
      <c r="Y299" s="1528"/>
      <c r="Z299" s="1328"/>
      <c r="AA299" s="1328"/>
      <c r="AB299" s="236" t="s">
        <v>890</v>
      </c>
      <c r="AC299" s="333" t="s">
        <v>698</v>
      </c>
      <c r="AD299" s="89" t="s">
        <v>657</v>
      </c>
      <c r="AE299" s="1927"/>
      <c r="AF299" s="1927"/>
      <c r="AG299" s="1927"/>
      <c r="AH299" s="1927"/>
      <c r="AI299" s="1927"/>
      <c r="AJ299" s="1927"/>
      <c r="AK299" s="1927"/>
      <c r="AL299" s="1927"/>
      <c r="AM299" s="1927"/>
      <c r="AN299" s="1927"/>
      <c r="AO299" s="1927"/>
      <c r="AP299" s="1927"/>
      <c r="AQ299" s="1927"/>
      <c r="AR299" s="1927"/>
      <c r="AS299" s="1927"/>
      <c r="AT299" s="1927"/>
      <c r="AU299" s="1927"/>
      <c r="AV299" s="1927"/>
      <c r="AW299" s="1927"/>
      <c r="AX299" s="1927"/>
      <c r="AY299" s="1927"/>
      <c r="AZ299" s="1927"/>
      <c r="BA299" s="1927"/>
      <c r="BB299" s="1927"/>
      <c r="BC299" s="1928"/>
      <c r="BD299" s="1328"/>
      <c r="BE299" s="1328"/>
      <c r="BF299" s="1023" t="s">
        <v>891</v>
      </c>
    </row>
    <row s="1656" customFormat="1" customHeight="1" ht="28.921875">
      <c r="A300" s="1328"/>
      <c r="B300" s="1186"/>
      <c r="C300" s="1328"/>
      <c r="D300" s="1328"/>
      <c r="E300" s="637">
        <v>15</v>
      </c>
      <c r="F300" s="345" cm="1" t="str">
        <f t="array" ref="F300:F300">X300</f>
        <v>3</v>
      </c>
      <c r="G300" s="1328"/>
      <c r="H300" s="1328"/>
      <c r="I300" s="1328"/>
      <c r="J300" s="1328"/>
      <c r="K300" s="1328"/>
      <c r="L300" s="1328"/>
      <c r="M300" s="1328"/>
      <c r="N300" s="1328"/>
      <c r="O300" s="1328"/>
      <c r="P300" s="1308"/>
      <c r="Q300" s="1308"/>
      <c r="R300" s="1308"/>
      <c r="S300" s="1308"/>
      <c r="T300" s="468">
        <f>X300&gt;0</f>
        <v>1</v>
      </c>
      <c r="U300" s="1308"/>
      <c r="V300" s="94" cm="1" t="str">
        <f t="array" ref="V300:V300">ИИКА!$AB$42</f>
        <v>Тариф 3 (Водоотведение) - тариф на водоотведение (Оказание услуг на территории: город Полысаево (ОКТМО: 32732000) - г Полысаево)</v>
      </c>
      <c r="W300" s="1308"/>
      <c r="X300" s="1539" t="s">
        <v>234</v>
      </c>
      <c r="Y300" s="1528"/>
      <c r="Z300" s="1328"/>
      <c r="AA300" s="1328"/>
      <c r="AB300" s="176" cm="1" t="str">
        <f t="array" ref="AB300:AB300">ИИКА!$AB$42</f>
        <v>Тариф 3 (Водоотведение) - тариф на водоотведение (Оказание услуг на территории: город Полысаево (ОКТМО: 32732000) - г Полысаево)</v>
      </c>
      <c r="AC300" s="176"/>
      <c r="AD300" s="176"/>
      <c r="AE300" s="176"/>
      <c r="AF300" s="176"/>
      <c r="AG300" s="176"/>
      <c r="AH300" s="176"/>
      <c r="AI300" s="176"/>
      <c r="AJ300" s="176"/>
      <c r="AK300" s="176"/>
      <c r="AL300" s="176"/>
      <c r="AM300" s="176"/>
      <c r="AN300" s="176"/>
      <c r="AO300" s="176"/>
      <c r="AP300" s="176"/>
      <c r="AQ300" s="176"/>
      <c r="AR300" s="176"/>
      <c r="AS300" s="176"/>
      <c r="AT300" s="176"/>
      <c r="AU300" s="176"/>
      <c r="AV300" s="176"/>
      <c r="AW300" s="176"/>
      <c r="AX300" s="176"/>
      <c r="AY300" s="176"/>
      <c r="AZ300" s="176"/>
      <c r="BA300" s="176"/>
      <c r="BB300" s="176"/>
      <c r="BC300" s="176"/>
      <c r="BD300" s="1328"/>
      <c r="BE300" s="1328"/>
      <c r="BF300" s="1330"/>
    </row>
    <row s="1656" customFormat="1" customHeight="1" ht="12.75" hidden="1">
      <c r="A301" s="1328"/>
      <c r="B301" s="1186"/>
      <c r="C301" s="1328"/>
      <c r="D301" s="1328"/>
      <c r="E301" s="637">
        <v>15</v>
      </c>
      <c r="F301" s="50" cm="1" t="str">
        <f t="array" ref="F301:F301">OFFSET(E301,-1,1)</f>
        <v>3</v>
      </c>
      <c r="G301" s="1328"/>
      <c r="H301" s="1328"/>
      <c r="I301" s="1328"/>
      <c r="J301" s="1328"/>
      <c r="K301" s="1328"/>
      <c r="L301" s="1328"/>
      <c r="M301" s="1328"/>
      <c r="N301" s="1328"/>
      <c r="O301" s="1328"/>
      <c r="P301" s="1308"/>
      <c r="Q301" s="1308"/>
      <c r="R301" s="417" cm="1" t="str">
        <f t="array" ref="R301:R301">INDEX('Общие сведения'!$AN$197:$AN$254,MATCH($X300,'Общие сведения'!$Z$197:$Z$254,0))</f>
        <v>false</v>
      </c>
      <c r="S301" s="417">
        <f>IF(ISERROR(SEARCH("Водоснабжение",AB300)),FALSE,TRUE)</f>
        <v>0</v>
      </c>
      <c r="T301" s="468">
        <f>AND(X300&gt;0,S301,NOT(R301))</f>
        <v>0</v>
      </c>
      <c r="U301" s="1308"/>
      <c r="V301" s="1328"/>
      <c r="W301" s="1308"/>
      <c r="X301" s="1539"/>
      <c r="Y301" s="1528"/>
      <c r="Z301" s="1328"/>
      <c r="AA301" s="1328"/>
      <c r="AB301" s="236" t="s">
        <v>290</v>
      </c>
      <c r="AC301" s="325" t="s">
        <v>654</v>
      </c>
      <c r="AD301" s="88"/>
      <c r="AE301" s="574" cm="1" t="str">
        <f t="array" ref="AE301:AE301">INDEX('Общие сведения'!$AH$197:$AH$254,MATCH($X300,'Общие сведения'!$Z$197:$Z$254,0))</f>
        <v>без дифференциации</v>
      </c>
      <c r="AF301" s="358"/>
      <c r="AG301" s="358"/>
      <c r="AH301" s="358"/>
      <c r="AI301" s="358"/>
      <c r="AJ301" s="358"/>
      <c r="AK301" s="358"/>
      <c r="AL301" s="358"/>
      <c r="AM301" s="358"/>
      <c r="AN301" s="358"/>
      <c r="AO301" s="358"/>
      <c r="AP301" s="358"/>
      <c r="AQ301" s="358"/>
      <c r="AR301" s="358"/>
      <c r="AS301" s="358"/>
      <c r="AT301" s="358"/>
      <c r="AU301" s="358"/>
      <c r="AV301" s="358"/>
      <c r="AW301" s="358"/>
      <c r="AX301" s="358"/>
      <c r="AY301" s="358"/>
      <c r="AZ301" s="358"/>
      <c r="BA301" s="358"/>
      <c r="BB301" s="359"/>
      <c r="BC301" s="1928"/>
      <c r="BD301" s="1328"/>
      <c r="BE301" s="1328"/>
      <c r="BF301" s="1023" t="s">
        <v>655</v>
      </c>
    </row>
    <row s="1656" customFormat="1" customHeight="1" ht="23.25" hidden="1">
      <c r="A302" s="1328"/>
      <c r="B302" s="1186"/>
      <c r="C302" s="1328"/>
      <c r="D302" s="1328"/>
      <c r="E302" s="637">
        <v>15</v>
      </c>
      <c r="F302" s="50" cm="1" t="str">
        <f t="array" ref="F302:F302">OFFSET(E302,-1,1)</f>
        <v>3</v>
      </c>
      <c r="G302" s="1328"/>
      <c r="H302" s="94" t="s">
        <v>348</v>
      </c>
      <c r="I302" s="1328"/>
      <c r="J302" s="1328"/>
      <c r="K302" s="1328"/>
      <c r="L302" s="1328"/>
      <c r="M302" s="1328"/>
      <c r="N302" s="1328"/>
      <c r="O302" s="1328"/>
      <c r="P302" s="1308"/>
      <c r="Q302" s="1308"/>
      <c r="R302" s="1308"/>
      <c r="S302" s="1308"/>
      <c r="T302" s="468" cm="1" t="str">
        <f t="array" ref="T302:T302">T301</f>
        <v>false</v>
      </c>
      <c r="U302" s="1308"/>
      <c r="V302" s="1328"/>
      <c r="W302" s="1308"/>
      <c r="X302" s="1539"/>
      <c r="Y302" s="1528"/>
      <c r="Z302" s="1328"/>
      <c r="AA302" s="1328"/>
      <c r="AB302" s="236" t="s">
        <v>299</v>
      </c>
      <c r="AC302" s="326" t="s">
        <v>656</v>
      </c>
      <c r="AD302" s="89" t="s">
        <v>657</v>
      </c>
      <c r="AE302" s="311">
        <f>AE311+AE306-AE309</f>
        <v>0</v>
      </c>
      <c r="AF302" s="311">
        <f>AF311+AF306-AF309</f>
        <v>0</v>
      </c>
      <c r="AG302" s="311">
        <f>AG311+AG306-AG309</f>
        <v>0</v>
      </c>
      <c r="AH302" s="311">
        <f>AH311+AH306-AH309</f>
        <v>0</v>
      </c>
      <c r="AI302" s="311">
        <f>AI311+AI306-AI309</f>
        <v>0</v>
      </c>
      <c r="AJ302" s="311">
        <f>AJ311+AJ306-AJ309</f>
        <v>0</v>
      </c>
      <c r="AK302" s="311">
        <f>AK311+AK306-AK309</f>
        <v>0</v>
      </c>
      <c r="AL302" s="311">
        <f>AL311+AL306-AL309</f>
        <v>0</v>
      </c>
      <c r="AM302" s="311">
        <f>AM311+AM306-AM309</f>
        <v>0</v>
      </c>
      <c r="AN302" s="311">
        <f>AN311+AN306-AN309</f>
        <v>0</v>
      </c>
      <c r="AO302" s="311">
        <f>AO311+AO306-AO309</f>
        <v>0</v>
      </c>
      <c r="AP302" s="311">
        <f>AP311+AP306-AP309</f>
        <v>0</v>
      </c>
      <c r="AQ302" s="311">
        <f>AQ311+AQ306-AQ309</f>
        <v>0</v>
      </c>
      <c r="AR302" s="311">
        <f>AR311+AR306-AR309</f>
        <v>0</v>
      </c>
      <c r="AS302" s="311">
        <f>AS311+AS306-AS309</f>
        <v>0</v>
      </c>
      <c r="AT302" s="311">
        <f>AT311+AT306-AT309</f>
        <v>0</v>
      </c>
      <c r="AU302" s="311">
        <f>AU311+AU306-AU309</f>
        <v>0</v>
      </c>
      <c r="AV302" s="311">
        <f>AV311+AV306-AV309</f>
        <v>0</v>
      </c>
      <c r="AW302" s="311">
        <f>AW311+AW306-AW309</f>
        <v>0</v>
      </c>
      <c r="AX302" s="311">
        <f>AX311+AX306-AX309</f>
        <v>0</v>
      </c>
      <c r="AY302" s="311">
        <f>AY311+AY306-AY309</f>
        <v>0</v>
      </c>
      <c r="AZ302" s="311">
        <f>AZ311+AZ306-AZ309</f>
        <v>0</v>
      </c>
      <c r="BA302" s="311">
        <f>BA311+BA306-BA309</f>
        <v>0</v>
      </c>
      <c r="BB302" s="311">
        <f>BB311+BB306-BB309</f>
        <v>0</v>
      </c>
      <c r="BC302" s="1928"/>
      <c r="BD302" s="1328"/>
      <c r="BE302" s="1328"/>
      <c r="BF302" s="1023" t="s">
        <v>658</v>
      </c>
    </row>
    <row s="1656" customFormat="1" customHeight="1" ht="12.75" hidden="1">
      <c r="A303" s="1328"/>
      <c r="B303" s="1186"/>
      <c r="C303" s="1328"/>
      <c r="D303" s="1328"/>
      <c r="E303" s="637">
        <v>15</v>
      </c>
      <c r="F303" s="50" cm="1" t="str">
        <f t="array" ref="F303:F303">OFFSET(E303,-1,1)</f>
        <v>3</v>
      </c>
      <c r="G303" s="1328"/>
      <c r="H303" s="94" t="s">
        <v>659</v>
      </c>
      <c r="I303" s="1328"/>
      <c r="J303" s="1328"/>
      <c r="K303" s="1328"/>
      <c r="L303" s="1328"/>
      <c r="M303" s="1328"/>
      <c r="N303" s="1328"/>
      <c r="O303" s="1328"/>
      <c r="P303" s="1308"/>
      <c r="Q303" s="1308"/>
      <c r="R303" s="1308"/>
      <c r="S303" s="1308"/>
      <c r="T303" s="468" cm="1" t="str">
        <f t="array" ref="T303:T303">T302</f>
        <v>false</v>
      </c>
      <c r="U303" s="1308"/>
      <c r="V303" s="1328"/>
      <c r="W303" s="1308"/>
      <c r="X303" s="1539"/>
      <c r="Y303" s="1528"/>
      <c r="Z303" s="1328"/>
      <c r="AA303" s="1328"/>
      <c r="AB303" s="236" t="s">
        <v>660</v>
      </c>
      <c r="AC303" s="188" t="s">
        <v>661</v>
      </c>
      <c r="AD303" s="89" t="s">
        <v>657</v>
      </c>
      <c r="AE303" s="1971"/>
      <c r="AF303" s="1971"/>
      <c r="AG303" s="1971"/>
      <c r="AH303" s="1971"/>
      <c r="AI303" s="1971"/>
      <c r="AJ303" s="1971"/>
      <c r="AK303" s="1971"/>
      <c r="AL303" s="1971"/>
      <c r="AM303" s="1971"/>
      <c r="AN303" s="1971"/>
      <c r="AO303" s="1971"/>
      <c r="AP303" s="1971"/>
      <c r="AQ303" s="1971"/>
      <c r="AR303" s="1971"/>
      <c r="AS303" s="1971"/>
      <c r="AT303" s="1971"/>
      <c r="AU303" s="1971"/>
      <c r="AV303" s="1971"/>
      <c r="AW303" s="1971"/>
      <c r="AX303" s="1971"/>
      <c r="AY303" s="1971"/>
      <c r="AZ303" s="1971"/>
      <c r="BA303" s="1971"/>
      <c r="BB303" s="1971"/>
      <c r="BC303" s="1975"/>
      <c r="BD303" s="1328"/>
      <c r="BE303" s="1328"/>
      <c r="BF303" s="1023" t="s">
        <v>662</v>
      </c>
    </row>
    <row s="1656" customFormat="1" customHeight="1" ht="12.75" hidden="1">
      <c r="A304" s="1328"/>
      <c r="B304" s="1186"/>
      <c r="C304" s="1328"/>
      <c r="D304" s="1328"/>
      <c r="E304" s="637">
        <v>15</v>
      </c>
      <c r="F304" s="50" cm="1" t="str">
        <f t="array" ref="F304:F304">OFFSET(E304,-1,1)</f>
        <v>3</v>
      </c>
      <c r="G304" s="1328"/>
      <c r="H304" s="94" t="s">
        <v>663</v>
      </c>
      <c r="I304" s="1328"/>
      <c r="J304" s="1328"/>
      <c r="K304" s="1328"/>
      <c r="L304" s="1328"/>
      <c r="M304" s="1328"/>
      <c r="N304" s="1328"/>
      <c r="O304" s="1328"/>
      <c r="P304" s="1308"/>
      <c r="Q304" s="1308"/>
      <c r="R304" s="1308"/>
      <c r="S304" s="1308"/>
      <c r="T304" s="468" cm="1" t="str">
        <f t="array" ref="T304:T304">T303</f>
        <v>false</v>
      </c>
      <c r="U304" s="1308"/>
      <c r="V304" s="1328"/>
      <c r="W304" s="1308"/>
      <c r="X304" s="1539"/>
      <c r="Y304" s="1528"/>
      <c r="Z304" s="1328"/>
      <c r="AA304" s="1328"/>
      <c r="AB304" s="236" t="s">
        <v>664</v>
      </c>
      <c r="AC304" s="188" t="s">
        <v>665</v>
      </c>
      <c r="AD304" s="89" t="s">
        <v>657</v>
      </c>
      <c r="AE304" s="1971"/>
      <c r="AF304" s="1971"/>
      <c r="AG304" s="1971"/>
      <c r="AH304" s="1971"/>
      <c r="AI304" s="1971"/>
      <c r="AJ304" s="1971"/>
      <c r="AK304" s="1971"/>
      <c r="AL304" s="1971"/>
      <c r="AM304" s="1971"/>
      <c r="AN304" s="1971"/>
      <c r="AO304" s="1971"/>
      <c r="AP304" s="1971"/>
      <c r="AQ304" s="1971"/>
      <c r="AR304" s="1971"/>
      <c r="AS304" s="1971"/>
      <c r="AT304" s="1971"/>
      <c r="AU304" s="1971"/>
      <c r="AV304" s="1971"/>
      <c r="AW304" s="1971"/>
      <c r="AX304" s="1971"/>
      <c r="AY304" s="1971"/>
      <c r="AZ304" s="1971"/>
      <c r="BA304" s="1971"/>
      <c r="BB304" s="1971"/>
      <c r="BC304" s="1975"/>
      <c r="BD304" s="1328"/>
      <c r="BE304" s="1328"/>
      <c r="BF304" s="1023" t="s">
        <v>666</v>
      </c>
    </row>
    <row s="1656" customFormat="1" customHeight="1" ht="23.25" hidden="1">
      <c r="A305" s="1328"/>
      <c r="B305" s="1186"/>
      <c r="C305" s="1328"/>
      <c r="D305" s="1328"/>
      <c r="E305" s="637">
        <v>22.5</v>
      </c>
      <c r="F305" s="50" cm="1" t="str">
        <f t="array" ref="F305:F305">OFFSET(E305,-1,1)</f>
        <v>3</v>
      </c>
      <c r="G305" s="1328"/>
      <c r="H305" s="94" t="s">
        <v>667</v>
      </c>
      <c r="I305" s="1328"/>
      <c r="J305" s="1328"/>
      <c r="K305" s="1328"/>
      <c r="L305" s="1328"/>
      <c r="M305" s="1328"/>
      <c r="N305" s="1328"/>
      <c r="O305" s="1328"/>
      <c r="P305" s="1308"/>
      <c r="Q305" s="1308"/>
      <c r="R305" s="1308"/>
      <c r="S305" s="1308"/>
      <c r="T305" s="468" cm="1" t="str">
        <f t="array" ref="T305:T305">T304</f>
        <v>false</v>
      </c>
      <c r="U305" s="1308"/>
      <c r="V305" s="1328"/>
      <c r="W305" s="1308"/>
      <c r="X305" s="1539"/>
      <c r="Y305" s="1528"/>
      <c r="Z305" s="1328"/>
      <c r="AA305" s="1328"/>
      <c r="AB305" s="236" t="s">
        <v>668</v>
      </c>
      <c r="AC305" s="326" t="s">
        <v>669</v>
      </c>
      <c r="AD305" s="89" t="s">
        <v>657</v>
      </c>
      <c r="AE305" s="1971"/>
      <c r="AF305" s="1971"/>
      <c r="AG305" s="1971"/>
      <c r="AH305" s="1971"/>
      <c r="AI305" s="1971"/>
      <c r="AJ305" s="1971"/>
      <c r="AK305" s="1971"/>
      <c r="AL305" s="1971"/>
      <c r="AM305" s="1971"/>
      <c r="AN305" s="1971"/>
      <c r="AO305" s="1971"/>
      <c r="AP305" s="1971"/>
      <c r="AQ305" s="1971"/>
      <c r="AR305" s="1971"/>
      <c r="AS305" s="1971"/>
      <c r="AT305" s="1971"/>
      <c r="AU305" s="1971"/>
      <c r="AV305" s="1971"/>
      <c r="AW305" s="1971"/>
      <c r="AX305" s="1971"/>
      <c r="AY305" s="1971"/>
      <c r="AZ305" s="1971"/>
      <c r="BA305" s="1971"/>
      <c r="BB305" s="1971"/>
      <c r="BC305" s="1975"/>
      <c r="BD305" s="1328"/>
      <c r="BE305" s="1328"/>
      <c r="BF305" s="1023" t="s">
        <v>670</v>
      </c>
    </row>
    <row s="1656" customFormat="1" customHeight="1" ht="12.75" hidden="1">
      <c r="A306" s="1328"/>
      <c r="B306" s="1186"/>
      <c r="C306" s="1328"/>
      <c r="D306" s="1328"/>
      <c r="E306" s="637">
        <v>15</v>
      </c>
      <c r="F306" s="50" cm="1" t="str">
        <f t="array" ref="F306:F306">OFFSET(E306,-1,1)</f>
        <v>3</v>
      </c>
      <c r="G306" s="1328"/>
      <c r="H306" s="94" t="s">
        <v>347</v>
      </c>
      <c r="I306" s="1328"/>
      <c r="J306" s="1328"/>
      <c r="K306" s="1328"/>
      <c r="L306" s="1328"/>
      <c r="M306" s="1328"/>
      <c r="N306" s="1328"/>
      <c r="O306" s="1328"/>
      <c r="P306" s="1308"/>
      <c r="Q306" s="1308"/>
      <c r="R306" s="1308"/>
      <c r="S306" s="1308"/>
      <c r="T306" s="468" cm="1" t="str">
        <f t="array" ref="T306:T306">T305</f>
        <v>false</v>
      </c>
      <c r="U306" s="1308"/>
      <c r="V306" s="1328"/>
      <c r="W306" s="1308"/>
      <c r="X306" s="1539"/>
      <c r="Y306" s="1528"/>
      <c r="Z306" s="1328"/>
      <c r="AA306" s="1328"/>
      <c r="AB306" s="236" t="s">
        <v>234</v>
      </c>
      <c r="AC306" s="326" t="s">
        <v>671</v>
      </c>
      <c r="AD306" s="89" t="s">
        <v>657</v>
      </c>
      <c r="AE306" s="311">
        <f>SUM(AE307:AE308)</f>
        <v>0</v>
      </c>
      <c r="AF306" s="311">
        <f>SUM(AF307:AF308)</f>
        <v>0</v>
      </c>
      <c r="AG306" s="311">
        <f>SUM(AG307:AG308)</f>
        <v>0</v>
      </c>
      <c r="AH306" s="311">
        <f>SUM(AH307:AH308)</f>
        <v>0</v>
      </c>
      <c r="AI306" s="311">
        <f>SUM(AI307:AI308)</f>
        <v>0</v>
      </c>
      <c r="AJ306" s="311">
        <f>SUM(AJ307:AJ308)</f>
        <v>0</v>
      </c>
      <c r="AK306" s="311">
        <f>SUM(AK307:AK308)</f>
        <v>0</v>
      </c>
      <c r="AL306" s="311">
        <f>SUM(AL307:AL308)</f>
        <v>0</v>
      </c>
      <c r="AM306" s="311">
        <f>SUM(AM307:AM308)</f>
        <v>0</v>
      </c>
      <c r="AN306" s="311">
        <f>SUM(AN307:AN308)</f>
        <v>0</v>
      </c>
      <c r="AO306" s="311">
        <f>SUM(AO307:AO308)</f>
        <v>0</v>
      </c>
      <c r="AP306" s="311">
        <f>SUM(AP307:AP308)</f>
        <v>0</v>
      </c>
      <c r="AQ306" s="311">
        <f>SUM(AQ307:AQ308)</f>
        <v>0</v>
      </c>
      <c r="AR306" s="311">
        <f>SUM(AR307:AR308)</f>
        <v>0</v>
      </c>
      <c r="AS306" s="311">
        <f>SUM(AS307:AS308)</f>
        <v>0</v>
      </c>
      <c r="AT306" s="311">
        <f>SUM(AT307:AT308)</f>
        <v>0</v>
      </c>
      <c r="AU306" s="311">
        <f>SUM(AU307:AU308)</f>
        <v>0</v>
      </c>
      <c r="AV306" s="311">
        <f>SUM(AV307:AV308)</f>
        <v>0</v>
      </c>
      <c r="AW306" s="311">
        <f>SUM(AW307:AW308)</f>
        <v>0</v>
      </c>
      <c r="AX306" s="311">
        <f>SUM(AX307:AX308)</f>
        <v>0</v>
      </c>
      <c r="AY306" s="311">
        <f>SUM(AY307:AY308)</f>
        <v>0</v>
      </c>
      <c r="AZ306" s="311">
        <f>SUM(AZ307:AZ308)</f>
        <v>0</v>
      </c>
      <c r="BA306" s="311">
        <f>SUM(BA307:BA308)</f>
        <v>0</v>
      </c>
      <c r="BB306" s="311">
        <f>SUM(BB307:BB308)</f>
        <v>0</v>
      </c>
      <c r="BC306" s="1975"/>
      <c r="BD306" s="1328"/>
      <c r="BE306" s="1328"/>
      <c r="BF306" s="1023" t="s">
        <v>672</v>
      </c>
    </row>
    <row s="1656" customFormat="1" customHeight="1" ht="23.25" hidden="1">
      <c r="A307" s="1328"/>
      <c r="B307" s="1186"/>
      <c r="C307" s="1328"/>
      <c r="D307" s="1328"/>
      <c r="E307" s="637">
        <v>15</v>
      </c>
      <c r="F307" s="50" cm="1" t="str">
        <f t="array" ref="F307:F307">OFFSET(E307,-1,1)</f>
        <v>3</v>
      </c>
      <c r="G307" s="1328"/>
      <c r="H307" s="94" t="s">
        <v>673</v>
      </c>
      <c r="I307" s="1328"/>
      <c r="J307" s="1328"/>
      <c r="K307" s="1328"/>
      <c r="L307" s="1328"/>
      <c r="M307" s="1328"/>
      <c r="N307" s="1328"/>
      <c r="O307" s="1328"/>
      <c r="P307" s="1308"/>
      <c r="Q307" s="1308"/>
      <c r="R307" s="1308"/>
      <c r="S307" s="1308"/>
      <c r="T307" s="468" cm="1" t="str">
        <f t="array" ref="T307:T307">T306</f>
        <v>false</v>
      </c>
      <c r="U307" s="1308"/>
      <c r="V307" s="1328"/>
      <c r="W307" s="1308"/>
      <c r="X307" s="1539"/>
      <c r="Y307" s="1528"/>
      <c r="Z307" s="1328"/>
      <c r="AA307" s="1328"/>
      <c r="AB307" s="236" t="s">
        <v>674</v>
      </c>
      <c r="AC307" s="188" t="s">
        <v>675</v>
      </c>
      <c r="AD307" s="89" t="s">
        <v>657</v>
      </c>
      <c r="AE307" s="1971"/>
      <c r="AF307" s="1971"/>
      <c r="AG307" s="1971"/>
      <c r="AH307" s="1971"/>
      <c r="AI307" s="1971"/>
      <c r="AJ307" s="1971"/>
      <c r="AK307" s="1971"/>
      <c r="AL307" s="1971"/>
      <c r="AM307" s="1971"/>
      <c r="AN307" s="1971"/>
      <c r="AO307" s="1971"/>
      <c r="AP307" s="1971"/>
      <c r="AQ307" s="1971"/>
      <c r="AR307" s="1971"/>
      <c r="AS307" s="1971"/>
      <c r="AT307" s="1971"/>
      <c r="AU307" s="1971"/>
      <c r="AV307" s="1971"/>
      <c r="AW307" s="1971"/>
      <c r="AX307" s="1971"/>
      <c r="AY307" s="1971"/>
      <c r="AZ307" s="1971"/>
      <c r="BA307" s="1971"/>
      <c r="BB307" s="1971"/>
      <c r="BC307" s="1975"/>
      <c r="BD307" s="1328"/>
      <c r="BE307" s="1328"/>
      <c r="BF307" s="1023" t="s">
        <v>676</v>
      </c>
    </row>
    <row s="1656" customFormat="1" customHeight="1" ht="12.75" hidden="1">
      <c r="A308" s="1328"/>
      <c r="B308" s="1186"/>
      <c r="C308" s="1328"/>
      <c r="D308" s="1328"/>
      <c r="E308" s="637">
        <v>15</v>
      </c>
      <c r="F308" s="50" cm="1" t="str">
        <f t="array" ref="F308:F308">OFFSET(E308,-1,1)</f>
        <v>3</v>
      </c>
      <c r="G308" s="1328"/>
      <c r="H308" s="94" t="s">
        <v>677</v>
      </c>
      <c r="I308" s="1328"/>
      <c r="J308" s="1328"/>
      <c r="K308" s="1328"/>
      <c r="L308" s="1328"/>
      <c r="M308" s="1328"/>
      <c r="N308" s="1328"/>
      <c r="O308" s="1328"/>
      <c r="P308" s="1308"/>
      <c r="Q308" s="1308"/>
      <c r="R308" s="1308"/>
      <c r="S308" s="1308"/>
      <c r="T308" s="468" cm="1" t="str">
        <f t="array" ref="T308:T308">T307</f>
        <v>false</v>
      </c>
      <c r="U308" s="1308"/>
      <c r="V308" s="1328"/>
      <c r="W308" s="1308"/>
      <c r="X308" s="1539"/>
      <c r="Y308" s="1528"/>
      <c r="Z308" s="1328"/>
      <c r="AA308" s="1328"/>
      <c r="AB308" s="236" t="s">
        <v>678</v>
      </c>
      <c r="AC308" s="188" t="s">
        <v>679</v>
      </c>
      <c r="AD308" s="89" t="s">
        <v>657</v>
      </c>
      <c r="AE308" s="1971"/>
      <c r="AF308" s="1971"/>
      <c r="AG308" s="1971"/>
      <c r="AH308" s="1971"/>
      <c r="AI308" s="1971"/>
      <c r="AJ308" s="1971"/>
      <c r="AK308" s="1971"/>
      <c r="AL308" s="1971"/>
      <c r="AM308" s="1971"/>
      <c r="AN308" s="1971"/>
      <c r="AO308" s="1971"/>
      <c r="AP308" s="1971"/>
      <c r="AQ308" s="1971"/>
      <c r="AR308" s="1971"/>
      <c r="AS308" s="1971"/>
      <c r="AT308" s="1971"/>
      <c r="AU308" s="1971"/>
      <c r="AV308" s="1971"/>
      <c r="AW308" s="1971"/>
      <c r="AX308" s="1971"/>
      <c r="AY308" s="1971"/>
      <c r="AZ308" s="1971"/>
      <c r="BA308" s="1971"/>
      <c r="BB308" s="1971"/>
      <c r="BC308" s="1975"/>
      <c r="BD308" s="1328"/>
      <c r="BE308" s="1328"/>
      <c r="BF308" s="1023" t="s">
        <v>680</v>
      </c>
    </row>
    <row s="1656" customFormat="1" customHeight="1" ht="12.75" hidden="1">
      <c r="A309" s="1328"/>
      <c r="B309" s="1186"/>
      <c r="C309" s="1328"/>
      <c r="D309" s="1328"/>
      <c r="E309" s="637">
        <v>15</v>
      </c>
      <c r="F309" s="50" cm="1" t="str">
        <f t="array" ref="F309:F309">OFFSET(E309,-1,1)</f>
        <v>3</v>
      </c>
      <c r="G309" s="1328"/>
      <c r="H309" s="94" t="s">
        <v>616</v>
      </c>
      <c r="I309" s="1328"/>
      <c r="J309" s="1328"/>
      <c r="K309" s="1328"/>
      <c r="L309" s="1328"/>
      <c r="M309" s="1328"/>
      <c r="N309" s="1328"/>
      <c r="O309" s="1328"/>
      <c r="P309" s="1308"/>
      <c r="Q309" s="1308"/>
      <c r="R309" s="1308"/>
      <c r="S309" s="1308"/>
      <c r="T309" s="468" cm="1" t="str">
        <f t="array" ref="T309:T309">T308</f>
        <v>false</v>
      </c>
      <c r="U309" s="1308"/>
      <c r="V309" s="1328"/>
      <c r="W309" s="1308"/>
      <c r="X309" s="1539"/>
      <c r="Y309" s="1528"/>
      <c r="Z309" s="1328"/>
      <c r="AA309" s="1328"/>
      <c r="AB309" s="236" t="s">
        <v>451</v>
      </c>
      <c r="AC309" s="325" t="s">
        <v>681</v>
      </c>
      <c r="AD309" s="89" t="s">
        <v>657</v>
      </c>
      <c r="AE309" s="1927"/>
      <c r="AF309" s="1927"/>
      <c r="AG309" s="1927"/>
      <c r="AH309" s="1927"/>
      <c r="AI309" s="1927"/>
      <c r="AJ309" s="1927"/>
      <c r="AK309" s="1927"/>
      <c r="AL309" s="1927"/>
      <c r="AM309" s="1927"/>
      <c r="AN309" s="1927"/>
      <c r="AO309" s="1927"/>
      <c r="AP309" s="1927"/>
      <c r="AQ309" s="1927"/>
      <c r="AR309" s="1927"/>
      <c r="AS309" s="1927"/>
      <c r="AT309" s="1927"/>
      <c r="AU309" s="1927"/>
      <c r="AV309" s="1927"/>
      <c r="AW309" s="1927"/>
      <c r="AX309" s="1927"/>
      <c r="AY309" s="1927"/>
      <c r="AZ309" s="1927"/>
      <c r="BA309" s="1927"/>
      <c r="BB309" s="1927"/>
      <c r="BC309" s="1975"/>
      <c r="BD309" s="1328"/>
      <c r="BE309" s="1328"/>
      <c r="BF309" s="1023" t="s">
        <v>682</v>
      </c>
    </row>
    <row s="1656" customFormat="1" customHeight="1" ht="23.25" hidden="1">
      <c r="A310" s="1328"/>
      <c r="B310" s="1186"/>
      <c r="C310" s="1328"/>
      <c r="D310" s="1328"/>
      <c r="E310" s="637">
        <v>15</v>
      </c>
      <c r="F310" s="50" cm="1" t="str">
        <f t="array" ref="F310:F310">OFFSET(E310,-1,1)</f>
        <v>3</v>
      </c>
      <c r="G310" s="1328"/>
      <c r="H310" s="94" t="s">
        <v>619</v>
      </c>
      <c r="I310" s="1328"/>
      <c r="J310" s="1328"/>
      <c r="K310" s="1328"/>
      <c r="L310" s="1328"/>
      <c r="M310" s="1328"/>
      <c r="N310" s="1328"/>
      <c r="O310" s="1328"/>
      <c r="P310" s="1308"/>
      <c r="Q310" s="1308"/>
      <c r="R310" s="1308"/>
      <c r="S310" s="1308"/>
      <c r="T310" s="468" cm="1" t="str">
        <f t="array" ref="T310:T310">T309</f>
        <v>false</v>
      </c>
      <c r="U310" s="1308"/>
      <c r="V310" s="1328"/>
      <c r="W310" s="1308"/>
      <c r="X310" s="1539"/>
      <c r="Y310" s="1528"/>
      <c r="Z310" s="1328"/>
      <c r="AA310" s="1328"/>
      <c r="AB310" s="236" t="s">
        <v>454</v>
      </c>
      <c r="AC310" s="325" t="s">
        <v>683</v>
      </c>
      <c r="AD310" s="89" t="s">
        <v>657</v>
      </c>
      <c r="AE310" s="1971"/>
      <c r="AF310" s="1971"/>
      <c r="AG310" s="1971"/>
      <c r="AH310" s="1971"/>
      <c r="AI310" s="1971"/>
      <c r="AJ310" s="1971"/>
      <c r="AK310" s="1971"/>
      <c r="AL310" s="1971"/>
      <c r="AM310" s="1971"/>
      <c r="AN310" s="1971"/>
      <c r="AO310" s="1971"/>
      <c r="AP310" s="1971"/>
      <c r="AQ310" s="1971"/>
      <c r="AR310" s="1971"/>
      <c r="AS310" s="1971"/>
      <c r="AT310" s="1971"/>
      <c r="AU310" s="1971"/>
      <c r="AV310" s="1971"/>
      <c r="AW310" s="1971"/>
      <c r="AX310" s="1971"/>
      <c r="AY310" s="1971"/>
      <c r="AZ310" s="1971"/>
      <c r="BA310" s="1971"/>
      <c r="BB310" s="1971"/>
      <c r="BC310" s="1975"/>
      <c r="BD310" s="1328"/>
      <c r="BE310" s="1328"/>
      <c r="BF310" s="1023" t="s">
        <v>684</v>
      </c>
    </row>
    <row s="1656" customFormat="1" customHeight="1" ht="12.75" hidden="1">
      <c r="A311" s="1328"/>
      <c r="B311" s="1186"/>
      <c r="C311" s="1328"/>
      <c r="D311" s="1328"/>
      <c r="E311" s="637">
        <v>15</v>
      </c>
      <c r="F311" s="50" cm="1" t="str">
        <f t="array" ref="F311:F311">OFFSET(E311,-1,1)</f>
        <v>3</v>
      </c>
      <c r="G311" s="1328"/>
      <c r="H311" s="94" t="s">
        <v>685</v>
      </c>
      <c r="I311" s="1328"/>
      <c r="J311" s="1328"/>
      <c r="K311" s="1328"/>
      <c r="L311" s="1328"/>
      <c r="M311" s="1328"/>
      <c r="N311" s="1328"/>
      <c r="O311" s="1328"/>
      <c r="P311" s="1308"/>
      <c r="Q311" s="1308"/>
      <c r="R311" s="1308"/>
      <c r="S311" s="1308"/>
      <c r="T311" s="468" cm="1" t="str">
        <f t="array" ref="T311:T311">T310</f>
        <v>false</v>
      </c>
      <c r="U311" s="1308"/>
      <c r="V311" s="1328"/>
      <c r="W311" s="1308"/>
      <c r="X311" s="1539"/>
      <c r="Y311" s="1528"/>
      <c r="Z311" s="1328"/>
      <c r="AA311" s="1328"/>
      <c r="AB311" s="236" t="s">
        <v>457</v>
      </c>
      <c r="AC311" s="326" t="s">
        <v>686</v>
      </c>
      <c r="AD311" s="89" t="s">
        <v>657</v>
      </c>
      <c r="AE311" s="311">
        <f>AE317+AE315</f>
        <v>0</v>
      </c>
      <c r="AF311" s="311">
        <f>AF317+AF315</f>
        <v>0</v>
      </c>
      <c r="AG311" s="311">
        <f>AG317+AG315</f>
        <v>0</v>
      </c>
      <c r="AH311" s="311">
        <f>AH317+AH315</f>
        <v>0</v>
      </c>
      <c r="AI311" s="311">
        <f>AI317+AI315</f>
        <v>0</v>
      </c>
      <c r="AJ311" s="311">
        <f>AJ317+AJ315</f>
        <v>0</v>
      </c>
      <c r="AK311" s="311">
        <f>AK317+AK315</f>
        <v>0</v>
      </c>
      <c r="AL311" s="311">
        <f>AL317+AL315</f>
        <v>0</v>
      </c>
      <c r="AM311" s="311">
        <f>AM317+AM315</f>
        <v>0</v>
      </c>
      <c r="AN311" s="311">
        <f>AN317+AN315</f>
        <v>0</v>
      </c>
      <c r="AO311" s="311">
        <f>AO317+AO315</f>
        <v>0</v>
      </c>
      <c r="AP311" s="311">
        <f>AP317+AP315</f>
        <v>0</v>
      </c>
      <c r="AQ311" s="311">
        <f>AQ317+AQ315</f>
        <v>0</v>
      </c>
      <c r="AR311" s="311">
        <f>AR317+AR315</f>
        <v>0</v>
      </c>
      <c r="AS311" s="311">
        <f>AS317+AS315</f>
        <v>0</v>
      </c>
      <c r="AT311" s="311">
        <f>AT317+AT315</f>
        <v>0</v>
      </c>
      <c r="AU311" s="311">
        <f>AU317+AU315</f>
        <v>0</v>
      </c>
      <c r="AV311" s="311">
        <f>AV317+AV315</f>
        <v>0</v>
      </c>
      <c r="AW311" s="311">
        <f>AW317+AW315</f>
        <v>0</v>
      </c>
      <c r="AX311" s="311">
        <f>AX317+AX315</f>
        <v>0</v>
      </c>
      <c r="AY311" s="311">
        <f>AY317+AY315</f>
        <v>0</v>
      </c>
      <c r="AZ311" s="311">
        <f>AZ317+AZ315</f>
        <v>0</v>
      </c>
      <c r="BA311" s="311">
        <f>BA317+BA315</f>
        <v>0</v>
      </c>
      <c r="BB311" s="311">
        <f>BB317+BB315</f>
        <v>0</v>
      </c>
      <c r="BC311" s="1975"/>
      <c r="BD311" s="1328"/>
      <c r="BE311" s="1328"/>
      <c r="BF311" s="1023" t="s">
        <v>687</v>
      </c>
    </row>
    <row s="1656" customFormat="1" customHeight="1" ht="23.25" hidden="1">
      <c r="A312" s="1328"/>
      <c r="B312" s="1186"/>
      <c r="C312" s="1328"/>
      <c r="D312" s="1328"/>
      <c r="E312" s="637">
        <v>22.5</v>
      </c>
      <c r="F312" s="50" cm="1" t="str">
        <f t="array" ref="F312:F312">OFFSET(E312,-1,1)</f>
        <v>3</v>
      </c>
      <c r="G312" s="1328"/>
      <c r="H312" s="94" t="s">
        <v>688</v>
      </c>
      <c r="I312" s="1328"/>
      <c r="J312" s="1328"/>
      <c r="K312" s="1328"/>
      <c r="L312" s="1328"/>
      <c r="M312" s="1328"/>
      <c r="N312" s="1328"/>
      <c r="O312" s="1328"/>
      <c r="P312" s="1308"/>
      <c r="Q312" s="1308"/>
      <c r="R312" s="1308"/>
      <c r="S312" s="1308"/>
      <c r="T312" s="468" cm="1" t="str">
        <f t="array" ref="T312:T312">T311</f>
        <v>false</v>
      </c>
      <c r="U312" s="1308"/>
      <c r="V312" s="1328"/>
      <c r="W312" s="1308"/>
      <c r="X312" s="1539"/>
      <c r="Y312" s="1528"/>
      <c r="Z312" s="1328"/>
      <c r="AA312" s="1328"/>
      <c r="AB312" s="236" t="s">
        <v>689</v>
      </c>
      <c r="AC312" s="188" t="s">
        <v>690</v>
      </c>
      <c r="AD312" s="89" t="s">
        <v>657</v>
      </c>
      <c r="AE312" s="1971"/>
      <c r="AF312" s="1971"/>
      <c r="AG312" s="1971"/>
      <c r="AH312" s="1971"/>
      <c r="AI312" s="1971"/>
      <c r="AJ312" s="1971"/>
      <c r="AK312" s="1971"/>
      <c r="AL312" s="1971"/>
      <c r="AM312" s="1971"/>
      <c r="AN312" s="1971"/>
      <c r="AO312" s="1971"/>
      <c r="AP312" s="1971"/>
      <c r="AQ312" s="1971"/>
      <c r="AR312" s="1971"/>
      <c r="AS312" s="1971"/>
      <c r="AT312" s="1971"/>
      <c r="AU312" s="1971"/>
      <c r="AV312" s="1971"/>
      <c r="AW312" s="1971"/>
      <c r="AX312" s="1971"/>
      <c r="AY312" s="1971"/>
      <c r="AZ312" s="1971"/>
      <c r="BA312" s="1971"/>
      <c r="BB312" s="1971"/>
      <c r="BC312" s="1975"/>
      <c r="BD312" s="1328"/>
      <c r="BE312" s="1328"/>
      <c r="BF312" s="1023" t="s">
        <v>691</v>
      </c>
    </row>
    <row s="1656" customFormat="1" customHeight="1" ht="23.25" hidden="1">
      <c r="A313" s="1328"/>
      <c r="B313" s="1186"/>
      <c r="C313" s="1328"/>
      <c r="D313" s="1328"/>
      <c r="E313" s="637">
        <v>15</v>
      </c>
      <c r="F313" s="50" cm="1" t="str">
        <f t="array" ref="F313:F313">OFFSET(E313,-1,1)</f>
        <v>3</v>
      </c>
      <c r="G313" s="1328"/>
      <c r="H313" s="94" t="s">
        <v>692</v>
      </c>
      <c r="I313" s="1328"/>
      <c r="J313" s="1328"/>
      <c r="K313" s="1328"/>
      <c r="L313" s="1328"/>
      <c r="M313" s="1328"/>
      <c r="N313" s="1328"/>
      <c r="O313" s="1328"/>
      <c r="P313" s="1308"/>
      <c r="Q313" s="1308"/>
      <c r="R313" s="1308"/>
      <c r="S313" s="1308"/>
      <c r="T313" s="468" cm="1" t="str">
        <f t="array" ref="T313:T313">T312</f>
        <v>false</v>
      </c>
      <c r="U313" s="1308"/>
      <c r="V313" s="1328"/>
      <c r="W313" s="1308"/>
      <c r="X313" s="1539"/>
      <c r="Y313" s="1528"/>
      <c r="Z313" s="1328"/>
      <c r="AA313" s="1328"/>
      <c r="AB313" s="236" t="s">
        <v>693</v>
      </c>
      <c r="AC313" s="188" t="s">
        <v>694</v>
      </c>
      <c r="AD313" s="89" t="s">
        <v>657</v>
      </c>
      <c r="AE313" s="1971"/>
      <c r="AF313" s="1971"/>
      <c r="AG313" s="1971"/>
      <c r="AH313" s="1971"/>
      <c r="AI313" s="1971"/>
      <c r="AJ313" s="1971"/>
      <c r="AK313" s="1971"/>
      <c r="AL313" s="1971"/>
      <c r="AM313" s="1971"/>
      <c r="AN313" s="1971"/>
      <c r="AO313" s="1971"/>
      <c r="AP313" s="1971"/>
      <c r="AQ313" s="1971"/>
      <c r="AR313" s="1971"/>
      <c r="AS313" s="1971"/>
      <c r="AT313" s="1971"/>
      <c r="AU313" s="1971"/>
      <c r="AV313" s="1971"/>
      <c r="AW313" s="1971"/>
      <c r="AX313" s="1971"/>
      <c r="AY313" s="1971"/>
      <c r="AZ313" s="1971"/>
      <c r="BA313" s="1971"/>
      <c r="BB313" s="1971"/>
      <c r="BC313" s="1975"/>
      <c r="BD313" s="1328"/>
      <c r="BE313" s="1328"/>
      <c r="BF313" s="1023" t="s">
        <v>695</v>
      </c>
    </row>
    <row s="1656" customFormat="1" customHeight="1" ht="23.25" hidden="1">
      <c r="A314" s="1328"/>
      <c r="B314" s="1186"/>
      <c r="C314" s="1328"/>
      <c r="D314" s="1328"/>
      <c r="E314" s="637">
        <v>22.5</v>
      </c>
      <c r="F314" s="50" cm="1" t="str">
        <f t="array" ref="F314:F314">OFFSET(E314,-1,1)</f>
        <v>3</v>
      </c>
      <c r="G314" s="1328"/>
      <c r="H314" s="94" t="s">
        <v>696</v>
      </c>
      <c r="I314" s="1328"/>
      <c r="J314" s="1328"/>
      <c r="K314" s="1328"/>
      <c r="L314" s="1328"/>
      <c r="M314" s="1328"/>
      <c r="N314" s="1328"/>
      <c r="O314" s="1328"/>
      <c r="P314" s="1308"/>
      <c r="Q314" s="1308"/>
      <c r="R314" s="1308"/>
      <c r="S314" s="1308"/>
      <c r="T314" s="468" cm="1" t="str">
        <f t="array" ref="T314:T314">T313</f>
        <v>false</v>
      </c>
      <c r="U314" s="1308"/>
      <c r="V314" s="1328"/>
      <c r="W314" s="1308"/>
      <c r="X314" s="1539"/>
      <c r="Y314" s="1528"/>
      <c r="Z314" s="1328"/>
      <c r="AA314" s="1328"/>
      <c r="AB314" s="236" t="s">
        <v>697</v>
      </c>
      <c r="AC314" s="188" t="s">
        <v>698</v>
      </c>
      <c r="AD314" s="89" t="s">
        <v>657</v>
      </c>
      <c r="AE314" s="1971"/>
      <c r="AF314" s="1971"/>
      <c r="AG314" s="1971"/>
      <c r="AH314" s="1971"/>
      <c r="AI314" s="1971"/>
      <c r="AJ314" s="1971"/>
      <c r="AK314" s="1971"/>
      <c r="AL314" s="1971"/>
      <c r="AM314" s="1971"/>
      <c r="AN314" s="1971"/>
      <c r="AO314" s="1971"/>
      <c r="AP314" s="1971"/>
      <c r="AQ314" s="1971"/>
      <c r="AR314" s="1971"/>
      <c r="AS314" s="1971"/>
      <c r="AT314" s="1971"/>
      <c r="AU314" s="1971"/>
      <c r="AV314" s="1971"/>
      <c r="AW314" s="1971"/>
      <c r="AX314" s="1971"/>
      <c r="AY314" s="1971"/>
      <c r="AZ314" s="1971"/>
      <c r="BA314" s="1971"/>
      <c r="BB314" s="1971"/>
      <c r="BC314" s="1975"/>
      <c r="BD314" s="1328"/>
      <c r="BE314" s="1328"/>
      <c r="BF314" s="1023" t="s">
        <v>699</v>
      </c>
    </row>
    <row s="1656" customFormat="1" customHeight="1" ht="12.75" hidden="1">
      <c r="A315" s="1328"/>
      <c r="B315" s="1186"/>
      <c r="C315" s="1328"/>
      <c r="D315" s="1328"/>
      <c r="E315" s="637">
        <v>15</v>
      </c>
      <c r="F315" s="50" cm="1" t="str">
        <f t="array" ref="F315:F315">OFFSET(E315,-1,1)</f>
        <v>3</v>
      </c>
      <c r="G315" s="1328"/>
      <c r="H315" s="94" t="s">
        <v>700</v>
      </c>
      <c r="I315" s="1328"/>
      <c r="J315" s="1328"/>
      <c r="K315" s="1328"/>
      <c r="L315" s="1328"/>
      <c r="M315" s="1328"/>
      <c r="N315" s="1328"/>
      <c r="O315" s="1328"/>
      <c r="P315" s="1308"/>
      <c r="Q315" s="1308"/>
      <c r="R315" s="1308"/>
      <c r="S315" s="1308"/>
      <c r="T315" s="468" cm="1" t="str">
        <f t="array" ref="T315:T315">T314</f>
        <v>false</v>
      </c>
      <c r="U315" s="1308"/>
      <c r="V315" s="1328"/>
      <c r="W315" s="1308"/>
      <c r="X315" s="1539"/>
      <c r="Y315" s="1528"/>
      <c r="Z315" s="1328"/>
      <c r="AA315" s="1328"/>
      <c r="AB315" s="236" t="s">
        <v>460</v>
      </c>
      <c r="AC315" s="325" t="s">
        <v>701</v>
      </c>
      <c r="AD315" s="89" t="s">
        <v>657</v>
      </c>
      <c r="AE315" s="1971"/>
      <c r="AF315" s="1971"/>
      <c r="AG315" s="1971"/>
      <c r="AH315" s="1971"/>
      <c r="AI315" s="1971"/>
      <c r="AJ315" s="1971"/>
      <c r="AK315" s="1971"/>
      <c r="AL315" s="1971"/>
      <c r="AM315" s="1971"/>
      <c r="AN315" s="1971"/>
      <c r="AO315" s="1971"/>
      <c r="AP315" s="1971"/>
      <c r="AQ315" s="1971"/>
      <c r="AR315" s="1971"/>
      <c r="AS315" s="1971"/>
      <c r="AT315" s="1971"/>
      <c r="AU315" s="1971"/>
      <c r="AV315" s="1971"/>
      <c r="AW315" s="1971"/>
      <c r="AX315" s="1971"/>
      <c r="AY315" s="1971"/>
      <c r="AZ315" s="1971"/>
      <c r="BA315" s="1971"/>
      <c r="BB315" s="1971"/>
      <c r="BC315" s="1975"/>
      <c r="BD315" s="1328"/>
      <c r="BE315" s="1328"/>
      <c r="BF315" s="1023" t="s">
        <v>702</v>
      </c>
    </row>
    <row s="1656" customFormat="1" customHeight="1" ht="12.75" hidden="1">
      <c r="A316" s="1328"/>
      <c r="B316" s="1186"/>
      <c r="C316" s="1328"/>
      <c r="D316" s="1328"/>
      <c r="E316" s="637">
        <v>15</v>
      </c>
      <c r="F316" s="50" cm="1" t="str">
        <f t="array" ref="F316:F316">OFFSET(E316,-1,1)</f>
        <v>3</v>
      </c>
      <c r="G316" s="1328"/>
      <c r="H316" s="94" t="s">
        <v>703</v>
      </c>
      <c r="I316" s="1328"/>
      <c r="J316" s="1328"/>
      <c r="K316" s="1328"/>
      <c r="L316" s="1328"/>
      <c r="M316" s="1328"/>
      <c r="N316" s="1328"/>
      <c r="O316" s="1328"/>
      <c r="P316" s="1308"/>
      <c r="Q316" s="1308"/>
      <c r="R316" s="1308"/>
      <c r="S316" s="1308"/>
      <c r="T316" s="468" cm="1" t="str">
        <f t="array" ref="T316:T316">T315</f>
        <v>false</v>
      </c>
      <c r="U316" s="1308"/>
      <c r="V316" s="1328"/>
      <c r="W316" s="1308"/>
      <c r="X316" s="1539"/>
      <c r="Y316" s="1528"/>
      <c r="Z316" s="1328"/>
      <c r="AA316" s="1328"/>
      <c r="AB316" s="236" t="s">
        <v>704</v>
      </c>
      <c r="AC316" s="327" t="s">
        <v>705</v>
      </c>
      <c r="AD316" s="89" t="s">
        <v>561</v>
      </c>
      <c r="AE316" s="1817">
        <f>IF(AE311=0,0,AE315/AE311*100)</f>
        <v>0</v>
      </c>
      <c r="AF316" s="1817">
        <f>IF(AF311=0,0,AF315/AF311*100)</f>
        <v>0</v>
      </c>
      <c r="AG316" s="1817">
        <f>IF(AG311=0,0,AG315/AG311*100)</f>
        <v>0</v>
      </c>
      <c r="AH316" s="1817">
        <f>IF(AH311=0,0,AH315/AH311*100)</f>
        <v>0</v>
      </c>
      <c r="AI316" s="1817">
        <f>IF(AI311=0,0,AI315/AI311*100)</f>
        <v>0</v>
      </c>
      <c r="AJ316" s="1817">
        <f>IF(AJ311=0,0,AJ315/AJ311*100)</f>
        <v>0</v>
      </c>
      <c r="AK316" s="1817">
        <f>IF(AK311=0,0,AK315/AK311*100)</f>
        <v>0</v>
      </c>
      <c r="AL316" s="1817">
        <f>IF(AL311=0,0,AL315/AL311*100)</f>
        <v>0</v>
      </c>
      <c r="AM316" s="1817">
        <f>IF(AM311=0,0,AM315/AM311*100)</f>
        <v>0</v>
      </c>
      <c r="AN316" s="1817">
        <f>IF(AN311=0,0,AN315/AN311*100)</f>
        <v>0</v>
      </c>
      <c r="AO316" s="1817">
        <f>IF(AO311=0,0,AO315/AO311*100)</f>
        <v>0</v>
      </c>
      <c r="AP316" s="1817">
        <f>IF(AP311=0,0,AP315/AP311*100)</f>
        <v>0</v>
      </c>
      <c r="AQ316" s="1817">
        <f>IF(AQ311=0,0,AQ315/AQ311*100)</f>
        <v>0</v>
      </c>
      <c r="AR316" s="1817">
        <f>IF(AR311=0,0,AR315/AR311*100)</f>
        <v>0</v>
      </c>
      <c r="AS316" s="1817">
        <f>IF(AS311=0,0,AS315/AS311*100)</f>
        <v>0</v>
      </c>
      <c r="AT316" s="1817">
        <f>IF(AT311=0,0,AT315/AT311*100)</f>
        <v>0</v>
      </c>
      <c r="AU316" s="1817">
        <f>IF(AU311=0,0,AU315/AU311*100)</f>
        <v>0</v>
      </c>
      <c r="AV316" s="1817">
        <f>IF(AV311=0,0,AV315/AV311*100)</f>
        <v>0</v>
      </c>
      <c r="AW316" s="1817">
        <f>IF(AW311=0,0,AW315/AW311*100)</f>
        <v>0</v>
      </c>
      <c r="AX316" s="1817">
        <f>IF(AX311=0,0,AX315/AX311*100)</f>
        <v>0</v>
      </c>
      <c r="AY316" s="1817">
        <f>IF(AY311=0,0,AY315/AY311*100)</f>
        <v>0</v>
      </c>
      <c r="AZ316" s="1817">
        <f>IF(AZ311=0,0,AZ315/AZ311*100)</f>
        <v>0</v>
      </c>
      <c r="BA316" s="1817">
        <f>IF(BA311=0,0,BA315/BA311*100)</f>
        <v>0</v>
      </c>
      <c r="BB316" s="1817">
        <f>IF(BB311=0,0,BB315/BB311*100)</f>
        <v>0</v>
      </c>
      <c r="BC316" s="1975"/>
      <c r="BD316" s="1328"/>
      <c r="BE316" s="1328"/>
      <c r="BF316" s="1023" t="s">
        <v>706</v>
      </c>
    </row>
    <row s="1656" customFormat="1" customHeight="1" ht="12.75" hidden="1">
      <c r="A317" s="1328"/>
      <c r="B317" s="1186"/>
      <c r="C317" s="1328"/>
      <c r="D317" s="1328"/>
      <c r="E317" s="637">
        <v>15</v>
      </c>
      <c r="F317" s="50" cm="1" t="str">
        <f t="array" ref="F317:F317">OFFSET(E317,-1,1)</f>
        <v>3</v>
      </c>
      <c r="G317" s="1328"/>
      <c r="H317" s="94" t="s">
        <v>707</v>
      </c>
      <c r="I317" s="1328"/>
      <c r="J317" s="1328"/>
      <c r="K317" s="1328"/>
      <c r="L317" s="1328"/>
      <c r="M317" s="1328"/>
      <c r="N317" s="1328"/>
      <c r="O317" s="1328"/>
      <c r="P317" s="1308"/>
      <c r="Q317" s="1308"/>
      <c r="R317" s="1308"/>
      <c r="S317" s="1308"/>
      <c r="T317" s="468" cm="1" t="str">
        <f t="array" ref="T317:T317">T316</f>
        <v>false</v>
      </c>
      <c r="U317" s="1308"/>
      <c r="V317" s="1328"/>
      <c r="W317" s="1308"/>
      <c r="X317" s="1539"/>
      <c r="Y317" s="1528"/>
      <c r="Z317" s="1328"/>
      <c r="AA317" s="1328"/>
      <c r="AB317" s="236" t="s">
        <v>463</v>
      </c>
      <c r="AC317" s="325" t="s">
        <v>708</v>
      </c>
      <c r="AD317" s="89" t="s">
        <v>657</v>
      </c>
      <c r="AE317" s="311">
        <f>AE318+AE322+AE325+AE335</f>
        <v>0</v>
      </c>
      <c r="AF317" s="311">
        <f>AF318+AF322+AF325+AF335</f>
        <v>0</v>
      </c>
      <c r="AG317" s="311">
        <f>AG318+AG322+AG325+AG335</f>
        <v>0</v>
      </c>
      <c r="AH317" s="311">
        <f>AH318+AH322+AH325+AH335</f>
        <v>0</v>
      </c>
      <c r="AI317" s="311">
        <f>AI318+AI322+AI325+AI335</f>
        <v>0</v>
      </c>
      <c r="AJ317" s="311">
        <f>AJ318+AJ322+AJ325+AJ335</f>
        <v>0</v>
      </c>
      <c r="AK317" s="311">
        <f>AK318+AK322+AK325+AK335</f>
        <v>0</v>
      </c>
      <c r="AL317" s="311">
        <f>AL318+AL322+AL325+AL335</f>
        <v>0</v>
      </c>
      <c r="AM317" s="311">
        <f>AM318+AM322+AM325+AM335</f>
        <v>0</v>
      </c>
      <c r="AN317" s="311">
        <f>AN318+AN322+AN325+AN335</f>
        <v>0</v>
      </c>
      <c r="AO317" s="311">
        <f>AO318+AO322+AO325+AO335</f>
        <v>0</v>
      </c>
      <c r="AP317" s="311">
        <f>AP318+AP322+AP325+AP335</f>
        <v>0</v>
      </c>
      <c r="AQ317" s="311">
        <f>AQ318+AQ322+AQ325+AQ335</f>
        <v>0</v>
      </c>
      <c r="AR317" s="311">
        <f>AR318+AR322+AR325+AR335</f>
        <v>0</v>
      </c>
      <c r="AS317" s="311">
        <f>AS318+AS322+AS325+AS335</f>
        <v>0</v>
      </c>
      <c r="AT317" s="311">
        <f>AT318+AT322+AT325+AT335</f>
        <v>0</v>
      </c>
      <c r="AU317" s="311">
        <f>AU318+AU322+AU325+AU335</f>
        <v>0</v>
      </c>
      <c r="AV317" s="311">
        <f>AV318+AV322+AV325+AV335</f>
        <v>0</v>
      </c>
      <c r="AW317" s="311">
        <f>AW318+AW322+AW325+AW335</f>
        <v>0</v>
      </c>
      <c r="AX317" s="311">
        <f>AX318+AX322+AX325+AX335</f>
        <v>0</v>
      </c>
      <c r="AY317" s="311">
        <f>AY318+AY322+AY325+AY335</f>
        <v>0</v>
      </c>
      <c r="AZ317" s="311">
        <f>AZ318+AZ322+AZ325+AZ335</f>
        <v>0</v>
      </c>
      <c r="BA317" s="311">
        <f>BA318+BA322+BA325+BA335</f>
        <v>0</v>
      </c>
      <c r="BB317" s="311">
        <f>BB318+BB322+BB325+BB335</f>
        <v>0</v>
      </c>
      <c r="BC317" s="1975"/>
      <c r="BD317" s="1328"/>
      <c r="BE317" s="1328"/>
      <c r="BF317" s="1023" t="s">
        <v>709</v>
      </c>
    </row>
    <row s="1656" customFormat="1" customHeight="1" ht="12.75" hidden="1">
      <c r="A318" s="1328"/>
      <c r="B318" s="1186"/>
      <c r="C318" s="1328"/>
      <c r="D318" s="1328"/>
      <c r="E318" s="637">
        <v>15</v>
      </c>
      <c r="F318" s="50" cm="1" t="str">
        <f t="array" ref="F318:F318">OFFSET(E318,-1,1)</f>
        <v>3</v>
      </c>
      <c r="G318" s="94" t="str">
        <f>IF(OwnNeedsInPO="да","ПО","")</f>
        <v>ПО</v>
      </c>
      <c r="H318" s="94" t="s">
        <v>710</v>
      </c>
      <c r="I318" s="1328"/>
      <c r="J318" s="1328"/>
      <c r="K318" s="1328"/>
      <c r="L318" s="1328"/>
      <c r="M318" s="1328"/>
      <c r="N318" s="1328"/>
      <c r="O318" s="1328"/>
      <c r="P318" s="1308"/>
      <c r="Q318" s="1308"/>
      <c r="R318" s="1308"/>
      <c r="S318" s="1308"/>
      <c r="T318" s="468" cm="1" t="str">
        <f t="array" ref="T318:T318">T317</f>
        <v>false</v>
      </c>
      <c r="U318" s="1308"/>
      <c r="V318" s="1328"/>
      <c r="W318" s="1308"/>
      <c r="X318" s="1539"/>
      <c r="Y318" s="1528"/>
      <c r="Z318" s="1328"/>
      <c r="AA318" s="1328"/>
      <c r="AB318" s="236" t="s">
        <v>711</v>
      </c>
      <c r="AC318" s="188" t="s">
        <v>712</v>
      </c>
      <c r="AD318" s="89" t="s">
        <v>657</v>
      </c>
      <c r="AE318" s="311">
        <f>SUM(AE319:AE321)</f>
        <v>0</v>
      </c>
      <c r="AF318" s="311">
        <f>SUM(AF319:AF321)</f>
        <v>0</v>
      </c>
      <c r="AG318" s="311">
        <f>SUM(AG319:AG321)</f>
        <v>0</v>
      </c>
      <c r="AH318" s="311">
        <f>SUM(AH319:AH321)</f>
        <v>0</v>
      </c>
      <c r="AI318" s="311">
        <f>SUM(AI319:AI321)</f>
        <v>0</v>
      </c>
      <c r="AJ318" s="311">
        <f>SUM(AJ319:AJ321)</f>
        <v>0</v>
      </c>
      <c r="AK318" s="311">
        <f>SUM(AK319:AK321)</f>
        <v>0</v>
      </c>
      <c r="AL318" s="311">
        <f>SUM(AL319:AL321)</f>
        <v>0</v>
      </c>
      <c r="AM318" s="311">
        <f>SUM(AM319:AM321)</f>
        <v>0</v>
      </c>
      <c r="AN318" s="311">
        <f>SUM(AN319:AN321)</f>
        <v>0</v>
      </c>
      <c r="AO318" s="311">
        <f>SUM(AO319:AO321)</f>
        <v>0</v>
      </c>
      <c r="AP318" s="311">
        <f>SUM(AP319:AP321)</f>
        <v>0</v>
      </c>
      <c r="AQ318" s="311">
        <f>SUM(AQ319:AQ321)</f>
        <v>0</v>
      </c>
      <c r="AR318" s="311">
        <f>SUM(AR319:AR321)</f>
        <v>0</v>
      </c>
      <c r="AS318" s="311">
        <f>SUM(AS319:AS321)</f>
        <v>0</v>
      </c>
      <c r="AT318" s="311">
        <f>SUM(AT319:AT321)</f>
        <v>0</v>
      </c>
      <c r="AU318" s="311">
        <f>SUM(AU319:AU321)</f>
        <v>0</v>
      </c>
      <c r="AV318" s="311">
        <f>SUM(AV319:AV321)</f>
        <v>0</v>
      </c>
      <c r="AW318" s="311">
        <f>SUM(AW319:AW321)</f>
        <v>0</v>
      </c>
      <c r="AX318" s="311">
        <f>SUM(AX319:AX321)</f>
        <v>0</v>
      </c>
      <c r="AY318" s="311">
        <f>SUM(AY319:AY321)</f>
        <v>0</v>
      </c>
      <c r="AZ318" s="311">
        <f>SUM(AZ319:AZ321)</f>
        <v>0</v>
      </c>
      <c r="BA318" s="311">
        <f>SUM(BA319:BA321)</f>
        <v>0</v>
      </c>
      <c r="BB318" s="311">
        <f>SUM(BB319:BB321)</f>
        <v>0</v>
      </c>
      <c r="BC318" s="1975"/>
      <c r="BD318" s="1328"/>
      <c r="BE318" s="1328"/>
      <c r="BF318" s="1023" t="s">
        <v>713</v>
      </c>
    </row>
    <row s="1656" customFormat="1" customHeight="1" ht="12.75" hidden="1">
      <c r="A319" s="1328"/>
      <c r="B319" s="1186"/>
      <c r="C319" s="1328"/>
      <c r="D319" s="1328"/>
      <c r="E319" s="637">
        <v>15</v>
      </c>
      <c r="F319" s="50" cm="1" t="str">
        <f t="array" ref="F319:F319">OFFSET(E319,-1,1)</f>
        <v>3</v>
      </c>
      <c r="G319" s="1328"/>
      <c r="H319" s="94" t="s">
        <v>714</v>
      </c>
      <c r="I319" s="1328"/>
      <c r="J319" s="1328"/>
      <c r="K319" s="1328"/>
      <c r="L319" s="1328"/>
      <c r="M319" s="1328"/>
      <c r="N319" s="1328"/>
      <c r="O319" s="1328"/>
      <c r="P319" s="1308"/>
      <c r="Q319" s="1308"/>
      <c r="R319" s="1308"/>
      <c r="S319" s="1308"/>
      <c r="T319" s="468" cm="1" t="str">
        <f t="array" ref="T319:T319">T318</f>
        <v>false</v>
      </c>
      <c r="U319" s="1308"/>
      <c r="V319" s="1328"/>
      <c r="W319" s="1308"/>
      <c r="X319" s="1539"/>
      <c r="Y319" s="1528"/>
      <c r="Z319" s="1328"/>
      <c r="AA319" s="1328"/>
      <c r="AB319" s="236" t="s">
        <v>715</v>
      </c>
      <c r="AC319" s="328" t="s">
        <v>716</v>
      </c>
      <c r="AD319" s="89" t="s">
        <v>657</v>
      </c>
      <c r="AE319" s="1971"/>
      <c r="AF319" s="1971"/>
      <c r="AG319" s="1971"/>
      <c r="AH319" s="1971"/>
      <c r="AI319" s="1971"/>
      <c r="AJ319" s="1971"/>
      <c r="AK319" s="1971"/>
      <c r="AL319" s="1971"/>
      <c r="AM319" s="1971"/>
      <c r="AN319" s="1971"/>
      <c r="AO319" s="1971"/>
      <c r="AP319" s="1971"/>
      <c r="AQ319" s="1971"/>
      <c r="AR319" s="1971"/>
      <c r="AS319" s="1971"/>
      <c r="AT319" s="1971"/>
      <c r="AU319" s="1971"/>
      <c r="AV319" s="1971"/>
      <c r="AW319" s="1971"/>
      <c r="AX319" s="1971"/>
      <c r="AY319" s="1971"/>
      <c r="AZ319" s="1971"/>
      <c r="BA319" s="1971"/>
      <c r="BB319" s="1971"/>
      <c r="BC319" s="1975"/>
      <c r="BD319" s="1328"/>
      <c r="BE319" s="1328"/>
      <c r="BF319" s="1023" t="s">
        <v>717</v>
      </c>
    </row>
    <row s="1656" customFormat="1" customHeight="1" ht="12.75" hidden="1">
      <c r="A320" s="1328"/>
      <c r="B320" s="1186"/>
      <c r="C320" s="1328"/>
      <c r="D320" s="1328"/>
      <c r="E320" s="637">
        <v>15</v>
      </c>
      <c r="F320" s="50" cm="1" t="str">
        <f t="array" ref="F320:F320">OFFSET(E320,-1,1)</f>
        <v>3</v>
      </c>
      <c r="G320" s="1328"/>
      <c r="H320" s="94" t="s">
        <v>718</v>
      </c>
      <c r="I320" s="1328"/>
      <c r="J320" s="1328"/>
      <c r="K320" s="1328"/>
      <c r="L320" s="1328"/>
      <c r="M320" s="1328"/>
      <c r="N320" s="1328"/>
      <c r="O320" s="1328"/>
      <c r="P320" s="1308"/>
      <c r="Q320" s="1308"/>
      <c r="R320" s="1308"/>
      <c r="S320" s="1308"/>
      <c r="T320" s="468" cm="1" t="str">
        <f t="array" ref="T320:T320">T319</f>
        <v>false</v>
      </c>
      <c r="U320" s="1308"/>
      <c r="V320" s="1328"/>
      <c r="W320" s="1308"/>
      <c r="X320" s="1539"/>
      <c r="Y320" s="1528"/>
      <c r="Z320" s="1328"/>
      <c r="AA320" s="1328"/>
      <c r="AB320" s="236" t="s">
        <v>719</v>
      </c>
      <c r="AC320" s="328" t="s">
        <v>720</v>
      </c>
      <c r="AD320" s="89" t="s">
        <v>657</v>
      </c>
      <c r="AE320" s="1971"/>
      <c r="AF320" s="1971"/>
      <c r="AG320" s="1971"/>
      <c r="AH320" s="1971"/>
      <c r="AI320" s="1971"/>
      <c r="AJ320" s="1971"/>
      <c r="AK320" s="1971"/>
      <c r="AL320" s="1971"/>
      <c r="AM320" s="1971"/>
      <c r="AN320" s="1971"/>
      <c r="AO320" s="1971"/>
      <c r="AP320" s="1971"/>
      <c r="AQ320" s="1971"/>
      <c r="AR320" s="1971"/>
      <c r="AS320" s="1971"/>
      <c r="AT320" s="1971"/>
      <c r="AU320" s="1971"/>
      <c r="AV320" s="1971"/>
      <c r="AW320" s="1971"/>
      <c r="AX320" s="1971"/>
      <c r="AY320" s="1971"/>
      <c r="AZ320" s="1971"/>
      <c r="BA320" s="1971"/>
      <c r="BB320" s="1971"/>
      <c r="BC320" s="1975"/>
      <c r="BD320" s="1328"/>
      <c r="BE320" s="1328"/>
      <c r="BF320" s="1023" t="s">
        <v>721</v>
      </c>
    </row>
    <row s="1656" customFormat="1" customHeight="1" ht="12.75" hidden="1">
      <c r="A321" s="1328"/>
      <c r="B321" s="1186"/>
      <c r="C321" s="1328"/>
      <c r="D321" s="1328"/>
      <c r="E321" s="637">
        <v>15</v>
      </c>
      <c r="F321" s="50" cm="1" t="str">
        <f t="array" ref="F321:F321">OFFSET(E321,-1,1)</f>
        <v>3</v>
      </c>
      <c r="G321" s="1328"/>
      <c r="H321" s="94" t="s">
        <v>722</v>
      </c>
      <c r="I321" s="1328"/>
      <c r="J321" s="1328"/>
      <c r="K321" s="1328"/>
      <c r="L321" s="1328"/>
      <c r="M321" s="1328"/>
      <c r="N321" s="1328"/>
      <c r="O321" s="1328"/>
      <c r="P321" s="1308"/>
      <c r="Q321" s="1308"/>
      <c r="R321" s="1308"/>
      <c r="S321" s="1308"/>
      <c r="T321" s="468" cm="1" t="str">
        <f t="array" ref="T321:T321">T320</f>
        <v>false</v>
      </c>
      <c r="U321" s="1308"/>
      <c r="V321" s="1328"/>
      <c r="W321" s="1308"/>
      <c r="X321" s="1539"/>
      <c r="Y321" s="1528"/>
      <c r="Z321" s="1328"/>
      <c r="AA321" s="1328"/>
      <c r="AB321" s="236" t="s">
        <v>723</v>
      </c>
      <c r="AC321" s="328" t="s">
        <v>724</v>
      </c>
      <c r="AD321" s="89" t="s">
        <v>657</v>
      </c>
      <c r="AE321" s="1971"/>
      <c r="AF321" s="1971"/>
      <c r="AG321" s="1971"/>
      <c r="AH321" s="1971"/>
      <c r="AI321" s="1971"/>
      <c r="AJ321" s="1971"/>
      <c r="AK321" s="1971"/>
      <c r="AL321" s="1971"/>
      <c r="AM321" s="1971"/>
      <c r="AN321" s="1971"/>
      <c r="AO321" s="1971"/>
      <c r="AP321" s="1971"/>
      <c r="AQ321" s="1971"/>
      <c r="AR321" s="1971"/>
      <c r="AS321" s="1971"/>
      <c r="AT321" s="1971"/>
      <c r="AU321" s="1971"/>
      <c r="AV321" s="1971"/>
      <c r="AW321" s="1971"/>
      <c r="AX321" s="1971"/>
      <c r="AY321" s="1971"/>
      <c r="AZ321" s="1971"/>
      <c r="BA321" s="1971"/>
      <c r="BB321" s="1971"/>
      <c r="BC321" s="1975"/>
      <c r="BD321" s="1328"/>
      <c r="BE321" s="1328"/>
      <c r="BF321" s="1023" t="s">
        <v>725</v>
      </c>
    </row>
    <row s="1656" customFormat="1" customHeight="1" ht="12.75" hidden="1">
      <c r="A322" s="1328"/>
      <c r="B322" s="1186"/>
      <c r="C322" s="1328"/>
      <c r="D322" s="1328"/>
      <c r="E322" s="637">
        <v>15</v>
      </c>
      <c r="F322" s="50" cm="1" t="str">
        <f t="array" ref="F322:F322">OFFSET(E322,-1,1)</f>
        <v>3</v>
      </c>
      <c r="G322" s="94" t="s">
        <v>726</v>
      </c>
      <c r="H322" s="94" t="s">
        <v>727</v>
      </c>
      <c r="I322" s="1328"/>
      <c r="J322" s="1328"/>
      <c r="K322" s="1328"/>
      <c r="L322" s="1328"/>
      <c r="M322" s="1328"/>
      <c r="N322" s="1328"/>
      <c r="O322" s="1328"/>
      <c r="P322" s="1308"/>
      <c r="Q322" s="1308"/>
      <c r="R322" s="1308"/>
      <c r="S322" s="1308"/>
      <c r="T322" s="468" cm="1" t="str">
        <f t="array" ref="T322:T322">T321</f>
        <v>false</v>
      </c>
      <c r="U322" s="1308"/>
      <c r="V322" s="1328"/>
      <c r="W322" s="1308"/>
      <c r="X322" s="1539"/>
      <c r="Y322" s="1528"/>
      <c r="Z322" s="1328"/>
      <c r="AA322" s="1328"/>
      <c r="AB322" s="236" t="s">
        <v>728</v>
      </c>
      <c r="AC322" s="188" t="s">
        <v>729</v>
      </c>
      <c r="AD322" s="89" t="s">
        <v>657</v>
      </c>
      <c r="AE322" s="311">
        <f>SUM(AE323:AE324)</f>
        <v>0</v>
      </c>
      <c r="AF322" s="311">
        <f>SUM(AF323:AF324)</f>
        <v>0</v>
      </c>
      <c r="AG322" s="311">
        <f>SUM(AG323:AG324)</f>
        <v>0</v>
      </c>
      <c r="AH322" s="311">
        <f>SUM(AH323:AH324)</f>
        <v>0</v>
      </c>
      <c r="AI322" s="311">
        <f>SUM(AI323:AI324)</f>
        <v>0</v>
      </c>
      <c r="AJ322" s="311">
        <f>SUM(AJ323:AJ324)</f>
        <v>0</v>
      </c>
      <c r="AK322" s="311">
        <f>SUM(AK323:AK324)</f>
        <v>0</v>
      </c>
      <c r="AL322" s="311">
        <f>SUM(AL323:AL324)</f>
        <v>0</v>
      </c>
      <c r="AM322" s="311">
        <f>SUM(AM323:AM324)</f>
        <v>0</v>
      </c>
      <c r="AN322" s="311">
        <f>SUM(AN323:AN324)</f>
        <v>0</v>
      </c>
      <c r="AO322" s="311">
        <f>SUM(AO323:AO324)</f>
        <v>0</v>
      </c>
      <c r="AP322" s="311">
        <f>SUM(AP323:AP324)</f>
        <v>0</v>
      </c>
      <c r="AQ322" s="311">
        <f>SUM(AQ323:AQ324)</f>
        <v>0</v>
      </c>
      <c r="AR322" s="311">
        <f>SUM(AR323:AR324)</f>
        <v>0</v>
      </c>
      <c r="AS322" s="311">
        <f>SUM(AS323:AS324)</f>
        <v>0</v>
      </c>
      <c r="AT322" s="311">
        <f>SUM(AT323:AT324)</f>
        <v>0</v>
      </c>
      <c r="AU322" s="311">
        <f>SUM(AU323:AU324)</f>
        <v>0</v>
      </c>
      <c r="AV322" s="311">
        <f>SUM(AV323:AV324)</f>
        <v>0</v>
      </c>
      <c r="AW322" s="311">
        <f>SUM(AW323:AW324)</f>
        <v>0</v>
      </c>
      <c r="AX322" s="311">
        <f>SUM(AX323:AX324)</f>
        <v>0</v>
      </c>
      <c r="AY322" s="311">
        <f>SUM(AY323:AY324)</f>
        <v>0</v>
      </c>
      <c r="AZ322" s="311">
        <f>SUM(AZ323:AZ324)</f>
        <v>0</v>
      </c>
      <c r="BA322" s="311">
        <f>SUM(BA323:BA324)</f>
        <v>0</v>
      </c>
      <c r="BB322" s="311">
        <f>SUM(BB323:BB324)</f>
        <v>0</v>
      </c>
      <c r="BC322" s="1975"/>
      <c r="BD322" s="1328"/>
      <c r="BE322" s="1328"/>
      <c r="BF322" s="1023" t="s">
        <v>730</v>
      </c>
    </row>
    <row s="1656" customFormat="1" customHeight="1" ht="12.75" hidden="1">
      <c r="A323" s="1328"/>
      <c r="B323" s="1186"/>
      <c r="C323" s="1328"/>
      <c r="D323" s="1328"/>
      <c r="E323" s="637">
        <v>15</v>
      </c>
      <c r="F323" s="50" cm="1" t="str">
        <f t="array" ref="F323:F323">OFFSET(E323,-1,1)</f>
        <v>3</v>
      </c>
      <c r="G323" s="1328"/>
      <c r="H323" s="94" t="s">
        <v>731</v>
      </c>
      <c r="I323" s="1328"/>
      <c r="J323" s="1328"/>
      <c r="K323" s="1328"/>
      <c r="L323" s="1328"/>
      <c r="M323" s="1328"/>
      <c r="N323" s="1328"/>
      <c r="O323" s="1328"/>
      <c r="P323" s="1308"/>
      <c r="Q323" s="1308"/>
      <c r="R323" s="1308"/>
      <c r="S323" s="1308"/>
      <c r="T323" s="468" cm="1" t="str">
        <f t="array" ref="T323:T323">T322</f>
        <v>false</v>
      </c>
      <c r="U323" s="1308"/>
      <c r="V323" s="1328"/>
      <c r="W323" s="1308"/>
      <c r="X323" s="1539"/>
      <c r="Y323" s="1528"/>
      <c r="Z323" s="1328"/>
      <c r="AA323" s="1328"/>
      <c r="AB323" s="236" t="s">
        <v>732</v>
      </c>
      <c r="AC323" s="328" t="s">
        <v>733</v>
      </c>
      <c r="AD323" s="89" t="s">
        <v>657</v>
      </c>
      <c r="AE323" s="1971"/>
      <c r="AF323" s="1971"/>
      <c r="AG323" s="1971"/>
      <c r="AH323" s="1971"/>
      <c r="AI323" s="1971"/>
      <c r="AJ323" s="1971"/>
      <c r="AK323" s="1971"/>
      <c r="AL323" s="1971"/>
      <c r="AM323" s="1971"/>
      <c r="AN323" s="1971"/>
      <c r="AO323" s="1971"/>
      <c r="AP323" s="1971"/>
      <c r="AQ323" s="1971"/>
      <c r="AR323" s="1971"/>
      <c r="AS323" s="1971"/>
      <c r="AT323" s="1971"/>
      <c r="AU323" s="1971"/>
      <c r="AV323" s="1971"/>
      <c r="AW323" s="1971"/>
      <c r="AX323" s="1971"/>
      <c r="AY323" s="1971"/>
      <c r="AZ323" s="1971"/>
      <c r="BA323" s="1971"/>
      <c r="BB323" s="1971"/>
      <c r="BC323" s="1975"/>
      <c r="BD323" s="1328"/>
      <c r="BE323" s="1328"/>
      <c r="BF323" s="1023" t="s">
        <v>734</v>
      </c>
    </row>
    <row s="1656" customFormat="1" customHeight="1" ht="12.75" hidden="1">
      <c r="A324" s="1328"/>
      <c r="B324" s="1186"/>
      <c r="C324" s="1328"/>
      <c r="D324" s="1328"/>
      <c r="E324" s="637">
        <v>15</v>
      </c>
      <c r="F324" s="50" cm="1" t="str">
        <f t="array" ref="F324:F324">OFFSET(E324,-1,1)</f>
        <v>3</v>
      </c>
      <c r="G324" s="1328"/>
      <c r="H324" s="94" t="s">
        <v>735</v>
      </c>
      <c r="I324" s="1328"/>
      <c r="J324" s="1328"/>
      <c r="K324" s="1328"/>
      <c r="L324" s="1328"/>
      <c r="M324" s="1328"/>
      <c r="N324" s="1328"/>
      <c r="O324" s="1328"/>
      <c r="P324" s="1308"/>
      <c r="Q324" s="1308"/>
      <c r="R324" s="1308"/>
      <c r="S324" s="1308"/>
      <c r="T324" s="468" cm="1" t="str">
        <f t="array" ref="T324:T324">T323</f>
        <v>false</v>
      </c>
      <c r="U324" s="1308"/>
      <c r="V324" s="1328"/>
      <c r="W324" s="1308"/>
      <c r="X324" s="1539"/>
      <c r="Y324" s="1528"/>
      <c r="Z324" s="1328"/>
      <c r="AA324" s="1328"/>
      <c r="AB324" s="236" t="s">
        <v>736</v>
      </c>
      <c r="AC324" s="328" t="s">
        <v>737</v>
      </c>
      <c r="AD324" s="89" t="s">
        <v>657</v>
      </c>
      <c r="AE324" s="1971"/>
      <c r="AF324" s="1971"/>
      <c r="AG324" s="1971"/>
      <c r="AH324" s="1971"/>
      <c r="AI324" s="1971"/>
      <c r="AJ324" s="1971"/>
      <c r="AK324" s="1971"/>
      <c r="AL324" s="1971"/>
      <c r="AM324" s="1971"/>
      <c r="AN324" s="1971"/>
      <c r="AO324" s="1971"/>
      <c r="AP324" s="1971"/>
      <c r="AQ324" s="1971"/>
      <c r="AR324" s="1971"/>
      <c r="AS324" s="1971"/>
      <c r="AT324" s="1971"/>
      <c r="AU324" s="1971"/>
      <c r="AV324" s="1971"/>
      <c r="AW324" s="1971"/>
      <c r="AX324" s="1971"/>
      <c r="AY324" s="1971"/>
      <c r="AZ324" s="1971"/>
      <c r="BA324" s="1971"/>
      <c r="BB324" s="1971"/>
      <c r="BC324" s="1975"/>
      <c r="BD324" s="1328"/>
      <c r="BE324" s="1328"/>
      <c r="BF324" s="1023" t="s">
        <v>738</v>
      </c>
    </row>
    <row s="1656" customFormat="1" customHeight="1" ht="12.75" hidden="1">
      <c r="A325" s="1328"/>
      <c r="B325" s="1186"/>
      <c r="C325" s="1328"/>
      <c r="D325" s="1328"/>
      <c r="E325" s="637">
        <v>15</v>
      </c>
      <c r="F325" s="50" cm="1" t="str">
        <f t="array" ref="F325:F325">OFFSET(E325,-1,1)</f>
        <v>3</v>
      </c>
      <c r="G325" s="94" t="s">
        <v>726</v>
      </c>
      <c r="H325" s="94" t="s">
        <v>739</v>
      </c>
      <c r="I325" s="1328"/>
      <c r="J325" s="1328"/>
      <c r="K325" s="1328"/>
      <c r="L325" s="1328"/>
      <c r="M325" s="1328"/>
      <c r="N325" s="1328"/>
      <c r="O325" s="1328"/>
      <c r="P325" s="1308"/>
      <c r="Q325" s="1308"/>
      <c r="R325" s="1308"/>
      <c r="S325" s="1308"/>
      <c r="T325" s="468" cm="1" t="str">
        <f t="array" ref="T325:T325">T324</f>
        <v>false</v>
      </c>
      <c r="U325" s="1308"/>
      <c r="V325" s="1328"/>
      <c r="W325" s="1308"/>
      <c r="X325" s="1539"/>
      <c r="Y325" s="1528"/>
      <c r="Z325" s="1328"/>
      <c r="AA325" s="1328"/>
      <c r="AB325" s="236" t="s">
        <v>740</v>
      </c>
      <c r="AC325" s="188" t="s">
        <v>741</v>
      </c>
      <c r="AD325" s="89" t="s">
        <v>657</v>
      </c>
      <c r="AE325" s="311">
        <f>AE326+AE329+AE332</f>
        <v>0</v>
      </c>
      <c r="AF325" s="311">
        <f>AF326+AF329+AF332</f>
        <v>0</v>
      </c>
      <c r="AG325" s="311">
        <f>AG326+AG329+AG332</f>
        <v>0</v>
      </c>
      <c r="AH325" s="311">
        <f>AH326+AH329+AH332</f>
        <v>0</v>
      </c>
      <c r="AI325" s="311">
        <f>AI326+AI329+AI332</f>
        <v>0</v>
      </c>
      <c r="AJ325" s="311">
        <f>AJ326+AJ329+AJ332</f>
        <v>0</v>
      </c>
      <c r="AK325" s="311">
        <f>AK326+AK329+AK332</f>
        <v>0</v>
      </c>
      <c r="AL325" s="311">
        <f>AL326+AL329+AL332</f>
        <v>0</v>
      </c>
      <c r="AM325" s="311">
        <f>AM326+AM329+AM332</f>
        <v>0</v>
      </c>
      <c r="AN325" s="311">
        <f>AN326+AN329+AN332</f>
        <v>0</v>
      </c>
      <c r="AO325" s="311">
        <f>AO326+AO329+AO332</f>
        <v>0</v>
      </c>
      <c r="AP325" s="311">
        <f>AP326+AP329+AP332</f>
        <v>0</v>
      </c>
      <c r="AQ325" s="311">
        <f>AQ326+AQ329+AQ332</f>
        <v>0</v>
      </c>
      <c r="AR325" s="311">
        <f>AR326+AR329+AR332</f>
        <v>0</v>
      </c>
      <c r="AS325" s="311">
        <f>AS326+AS329+AS332</f>
        <v>0</v>
      </c>
      <c r="AT325" s="311">
        <f>AT326+AT329+AT332</f>
        <v>0</v>
      </c>
      <c r="AU325" s="311">
        <f>AU326+AU329+AU332</f>
        <v>0</v>
      </c>
      <c r="AV325" s="311">
        <f>AV326+AV329+AV332</f>
        <v>0</v>
      </c>
      <c r="AW325" s="311">
        <f>AW326+AW329+AW332</f>
        <v>0</v>
      </c>
      <c r="AX325" s="311">
        <f>AX326+AX329+AX332</f>
        <v>0</v>
      </c>
      <c r="AY325" s="311">
        <f>AY326+AY329+AY332</f>
        <v>0</v>
      </c>
      <c r="AZ325" s="311">
        <f>AZ326+AZ329+AZ332</f>
        <v>0</v>
      </c>
      <c r="BA325" s="311">
        <f>BA326+BA329+BA332</f>
        <v>0</v>
      </c>
      <c r="BB325" s="311">
        <f>BB326+BB329+BB332</f>
        <v>0</v>
      </c>
      <c r="BC325" s="1975"/>
      <c r="BD325" s="1328"/>
      <c r="BE325" s="1328"/>
      <c r="BF325" s="1023" t="s">
        <v>742</v>
      </c>
    </row>
    <row s="1656" customFormat="1" customHeight="1" ht="12.75" hidden="1">
      <c r="A326" s="1328"/>
      <c r="B326" s="1186"/>
      <c r="C326" s="1328"/>
      <c r="D326" s="1328"/>
      <c r="E326" s="637">
        <v>15</v>
      </c>
      <c r="F326" s="50" cm="1" t="str">
        <f t="array" ref="F326:F326">OFFSET(E326,-1,1)</f>
        <v>3</v>
      </c>
      <c r="G326" s="1328"/>
      <c r="H326" s="94" t="s">
        <v>743</v>
      </c>
      <c r="I326" s="1328"/>
      <c r="J326" s="1328"/>
      <c r="K326" s="1328"/>
      <c r="L326" s="1328"/>
      <c r="M326" s="1328"/>
      <c r="N326" s="1328"/>
      <c r="O326" s="1328"/>
      <c r="P326" s="1308"/>
      <c r="Q326" s="1308"/>
      <c r="R326" s="1308"/>
      <c r="S326" s="1308"/>
      <c r="T326" s="468" cm="1" t="str">
        <f t="array" ref="T326:T326">T325</f>
        <v>false</v>
      </c>
      <c r="U326" s="1308"/>
      <c r="V326" s="1328"/>
      <c r="W326" s="1308"/>
      <c r="X326" s="1539"/>
      <c r="Y326" s="1528"/>
      <c r="Z326" s="1328"/>
      <c r="AA326" s="1328"/>
      <c r="AB326" s="236" t="s">
        <v>744</v>
      </c>
      <c r="AC326" s="328" t="s">
        <v>745</v>
      </c>
      <c r="AD326" s="89" t="s">
        <v>657</v>
      </c>
      <c r="AE326" s="311">
        <f>SUM(AE327:AE328)</f>
        <v>0</v>
      </c>
      <c r="AF326" s="311">
        <f>SUM(AF327:AF328)</f>
        <v>0</v>
      </c>
      <c r="AG326" s="311">
        <f>SUM(AG327:AG328)</f>
        <v>0</v>
      </c>
      <c r="AH326" s="311">
        <f>SUM(AH327:AH328)</f>
        <v>0</v>
      </c>
      <c r="AI326" s="311">
        <f>SUM(AI327:AI328)</f>
        <v>0</v>
      </c>
      <c r="AJ326" s="311">
        <f>SUM(AJ327:AJ328)</f>
        <v>0</v>
      </c>
      <c r="AK326" s="311">
        <f>SUM(AK327:AK328)</f>
        <v>0</v>
      </c>
      <c r="AL326" s="311">
        <f>SUM(AL327:AL328)</f>
        <v>0</v>
      </c>
      <c r="AM326" s="311">
        <f>SUM(AM327:AM328)</f>
        <v>0</v>
      </c>
      <c r="AN326" s="311">
        <f>SUM(AN327:AN328)</f>
        <v>0</v>
      </c>
      <c r="AO326" s="311">
        <f>SUM(AO327:AO328)</f>
        <v>0</v>
      </c>
      <c r="AP326" s="311">
        <f>SUM(AP327:AP328)</f>
        <v>0</v>
      </c>
      <c r="AQ326" s="311">
        <f>SUM(AQ327:AQ328)</f>
        <v>0</v>
      </c>
      <c r="AR326" s="311">
        <f>SUM(AR327:AR328)</f>
        <v>0</v>
      </c>
      <c r="AS326" s="311">
        <f>SUM(AS327:AS328)</f>
        <v>0</v>
      </c>
      <c r="AT326" s="311">
        <f>SUM(AT327:AT328)</f>
        <v>0</v>
      </c>
      <c r="AU326" s="311">
        <f>SUM(AU327:AU328)</f>
        <v>0</v>
      </c>
      <c r="AV326" s="311">
        <f>SUM(AV327:AV328)</f>
        <v>0</v>
      </c>
      <c r="AW326" s="311">
        <f>SUM(AW327:AW328)</f>
        <v>0</v>
      </c>
      <c r="AX326" s="311">
        <f>SUM(AX327:AX328)</f>
        <v>0</v>
      </c>
      <c r="AY326" s="311">
        <f>SUM(AY327:AY328)</f>
        <v>0</v>
      </c>
      <c r="AZ326" s="311">
        <f>SUM(AZ327:AZ328)</f>
        <v>0</v>
      </c>
      <c r="BA326" s="311">
        <f>SUM(BA327:BA328)</f>
        <v>0</v>
      </c>
      <c r="BB326" s="311">
        <f>SUM(BB327:BB328)</f>
        <v>0</v>
      </c>
      <c r="BC326" s="1975"/>
      <c r="BD326" s="1328"/>
      <c r="BE326" s="1328"/>
      <c r="BF326" s="1023" t="s">
        <v>746</v>
      </c>
    </row>
    <row s="1656" customFormat="1" customHeight="1" ht="12.75" hidden="1">
      <c r="A327" s="1328"/>
      <c r="B327" s="1186"/>
      <c r="C327" s="1328"/>
      <c r="D327" s="1328"/>
      <c r="E327" s="637">
        <v>15</v>
      </c>
      <c r="F327" s="50" cm="1" t="str">
        <f t="array" ref="F327:F327">OFFSET(E327,-1,1)</f>
        <v>3</v>
      </c>
      <c r="G327" s="1328"/>
      <c r="H327" s="94" t="s">
        <v>747</v>
      </c>
      <c r="I327" s="1328"/>
      <c r="J327" s="1328"/>
      <c r="K327" s="1328"/>
      <c r="L327" s="1328"/>
      <c r="M327" s="1328"/>
      <c r="N327" s="1328"/>
      <c r="O327" s="1328"/>
      <c r="P327" s="1308"/>
      <c r="Q327" s="1308"/>
      <c r="R327" s="1308"/>
      <c r="S327" s="1308"/>
      <c r="T327" s="468" cm="1" t="str">
        <f t="array" ref="T327:T327">T326</f>
        <v>false</v>
      </c>
      <c r="U327" s="1308"/>
      <c r="V327" s="1328"/>
      <c r="W327" s="1308"/>
      <c r="X327" s="1539"/>
      <c r="Y327" s="1528"/>
      <c r="Z327" s="1328"/>
      <c r="AA327" s="1328"/>
      <c r="AB327" s="236" t="s">
        <v>748</v>
      </c>
      <c r="AC327" s="329" t="s">
        <v>733</v>
      </c>
      <c r="AD327" s="89" t="s">
        <v>657</v>
      </c>
      <c r="AE327" s="1971"/>
      <c r="AF327" s="1971"/>
      <c r="AG327" s="1971"/>
      <c r="AH327" s="1971"/>
      <c r="AI327" s="1971"/>
      <c r="AJ327" s="1971"/>
      <c r="AK327" s="1971"/>
      <c r="AL327" s="1971"/>
      <c r="AM327" s="1971"/>
      <c r="AN327" s="1971"/>
      <c r="AO327" s="1971"/>
      <c r="AP327" s="1971"/>
      <c r="AQ327" s="1971"/>
      <c r="AR327" s="1971"/>
      <c r="AS327" s="1971"/>
      <c r="AT327" s="1971"/>
      <c r="AU327" s="1971"/>
      <c r="AV327" s="1971"/>
      <c r="AW327" s="1971"/>
      <c r="AX327" s="1971"/>
      <c r="AY327" s="1971"/>
      <c r="AZ327" s="1971"/>
      <c r="BA327" s="1971"/>
      <c r="BB327" s="1971"/>
      <c r="BC327" s="1975"/>
      <c r="BD327" s="1328"/>
      <c r="BE327" s="1328"/>
      <c r="BF327" s="1023" t="s">
        <v>749</v>
      </c>
    </row>
    <row s="1656" customFormat="1" customHeight="1" ht="12.75" hidden="1">
      <c r="A328" s="1328"/>
      <c r="B328" s="1186"/>
      <c r="C328" s="1328"/>
      <c r="D328" s="1328"/>
      <c r="E328" s="637">
        <v>15</v>
      </c>
      <c r="F328" s="50" cm="1" t="str">
        <f t="array" ref="F328:F328">OFFSET(E328,-1,1)</f>
        <v>3</v>
      </c>
      <c r="G328" s="1328"/>
      <c r="H328" s="94" t="s">
        <v>750</v>
      </c>
      <c r="I328" s="1328"/>
      <c r="J328" s="1328"/>
      <c r="K328" s="1328"/>
      <c r="L328" s="1328"/>
      <c r="M328" s="1328"/>
      <c r="N328" s="1328"/>
      <c r="O328" s="1328"/>
      <c r="P328" s="1308"/>
      <c r="Q328" s="1308"/>
      <c r="R328" s="1308"/>
      <c r="S328" s="1308"/>
      <c r="T328" s="468" cm="1" t="str">
        <f t="array" ref="T328:T328">T327</f>
        <v>false</v>
      </c>
      <c r="U328" s="1308"/>
      <c r="V328" s="1328"/>
      <c r="W328" s="1308"/>
      <c r="X328" s="1539"/>
      <c r="Y328" s="1528"/>
      <c r="Z328" s="1328"/>
      <c r="AA328" s="1328"/>
      <c r="AB328" s="236" t="s">
        <v>751</v>
      </c>
      <c r="AC328" s="329" t="s">
        <v>737</v>
      </c>
      <c r="AD328" s="89" t="s">
        <v>657</v>
      </c>
      <c r="AE328" s="1971"/>
      <c r="AF328" s="1971"/>
      <c r="AG328" s="1971"/>
      <c r="AH328" s="1971"/>
      <c r="AI328" s="1971"/>
      <c r="AJ328" s="1971"/>
      <c r="AK328" s="1971"/>
      <c r="AL328" s="1971"/>
      <c r="AM328" s="1971"/>
      <c r="AN328" s="1971"/>
      <c r="AO328" s="1971"/>
      <c r="AP328" s="1971"/>
      <c r="AQ328" s="1971"/>
      <c r="AR328" s="1971"/>
      <c r="AS328" s="1971"/>
      <c r="AT328" s="1971"/>
      <c r="AU328" s="1971"/>
      <c r="AV328" s="1971"/>
      <c r="AW328" s="1971"/>
      <c r="AX328" s="1971"/>
      <c r="AY328" s="1971"/>
      <c r="AZ328" s="1971"/>
      <c r="BA328" s="1971"/>
      <c r="BB328" s="1971"/>
      <c r="BC328" s="1975"/>
      <c r="BD328" s="1328"/>
      <c r="BE328" s="1328"/>
      <c r="BF328" s="1023" t="s">
        <v>752</v>
      </c>
    </row>
    <row s="1656" customFormat="1" customHeight="1" ht="12.75" hidden="1">
      <c r="A329" s="1328"/>
      <c r="B329" s="1186"/>
      <c r="C329" s="1328"/>
      <c r="D329" s="1328"/>
      <c r="E329" s="637">
        <v>15</v>
      </c>
      <c r="F329" s="50" cm="1" t="str">
        <f t="array" ref="F329:F329">OFFSET(E329,-1,1)</f>
        <v>3</v>
      </c>
      <c r="G329" s="94" t="s">
        <v>753</v>
      </c>
      <c r="H329" s="94" t="s">
        <v>754</v>
      </c>
      <c r="I329" s="1328"/>
      <c r="J329" s="1328"/>
      <c r="K329" s="1328"/>
      <c r="L329" s="1328"/>
      <c r="M329" s="1328"/>
      <c r="N329" s="1328"/>
      <c r="O329" s="1328"/>
      <c r="P329" s="1308"/>
      <c r="Q329" s="1308"/>
      <c r="R329" s="1308"/>
      <c r="S329" s="1308"/>
      <c r="T329" s="468" cm="1" t="str">
        <f t="array" ref="T329:T329">T328</f>
        <v>false</v>
      </c>
      <c r="U329" s="1308"/>
      <c r="V329" s="1328"/>
      <c r="W329" s="1308"/>
      <c r="X329" s="1539"/>
      <c r="Y329" s="1528"/>
      <c r="Z329" s="1328"/>
      <c r="AA329" s="1328"/>
      <c r="AB329" s="236" t="s">
        <v>755</v>
      </c>
      <c r="AC329" s="328" t="s">
        <v>756</v>
      </c>
      <c r="AD329" s="89" t="s">
        <v>657</v>
      </c>
      <c r="AE329" s="311">
        <f>SUM(AE330:AE331)</f>
        <v>0</v>
      </c>
      <c r="AF329" s="311">
        <f>SUM(AF330:AF331)</f>
        <v>0</v>
      </c>
      <c r="AG329" s="311">
        <f>SUM(AG330:AG331)</f>
        <v>0</v>
      </c>
      <c r="AH329" s="311">
        <f>SUM(AH330:AH331)</f>
        <v>0</v>
      </c>
      <c r="AI329" s="311">
        <f>SUM(AI330:AI331)</f>
        <v>0</v>
      </c>
      <c r="AJ329" s="311">
        <f>SUM(AJ330:AJ331)</f>
        <v>0</v>
      </c>
      <c r="AK329" s="311">
        <f>SUM(AK330:AK331)</f>
        <v>0</v>
      </c>
      <c r="AL329" s="311">
        <f>SUM(AL330:AL331)</f>
        <v>0</v>
      </c>
      <c r="AM329" s="311">
        <f>SUM(AM330:AM331)</f>
        <v>0</v>
      </c>
      <c r="AN329" s="311">
        <f>SUM(AN330:AN331)</f>
        <v>0</v>
      </c>
      <c r="AO329" s="311">
        <f>SUM(AO330:AO331)</f>
        <v>0</v>
      </c>
      <c r="AP329" s="311">
        <f>SUM(AP330:AP331)</f>
        <v>0</v>
      </c>
      <c r="AQ329" s="311">
        <f>SUM(AQ330:AQ331)</f>
        <v>0</v>
      </c>
      <c r="AR329" s="311">
        <f>SUM(AR330:AR331)</f>
        <v>0</v>
      </c>
      <c r="AS329" s="311">
        <f>SUM(AS330:AS331)</f>
        <v>0</v>
      </c>
      <c r="AT329" s="311">
        <f>SUM(AT330:AT331)</f>
        <v>0</v>
      </c>
      <c r="AU329" s="311">
        <f>SUM(AU330:AU331)</f>
        <v>0</v>
      </c>
      <c r="AV329" s="311">
        <f>SUM(AV330:AV331)</f>
        <v>0</v>
      </c>
      <c r="AW329" s="311">
        <f>SUM(AW330:AW331)</f>
        <v>0</v>
      </c>
      <c r="AX329" s="311">
        <f>SUM(AX330:AX331)</f>
        <v>0</v>
      </c>
      <c r="AY329" s="311">
        <f>SUM(AY330:AY331)</f>
        <v>0</v>
      </c>
      <c r="AZ329" s="311">
        <f>SUM(AZ330:AZ331)</f>
        <v>0</v>
      </c>
      <c r="BA329" s="311">
        <f>SUM(BA330:BA331)</f>
        <v>0</v>
      </c>
      <c r="BB329" s="311">
        <f>SUM(BB330:BB331)</f>
        <v>0</v>
      </c>
      <c r="BC329" s="1975"/>
      <c r="BD329" s="1328"/>
      <c r="BE329" s="1328"/>
      <c r="BF329" s="1023" t="s">
        <v>757</v>
      </c>
    </row>
    <row s="1656" customFormat="1" customHeight="1" ht="12.75" hidden="1">
      <c r="A330" s="1328"/>
      <c r="B330" s="1186"/>
      <c r="C330" s="1328"/>
      <c r="D330" s="1328"/>
      <c r="E330" s="637">
        <v>15</v>
      </c>
      <c r="F330" s="50" cm="1" t="str">
        <f t="array" ref="F330:F330">OFFSET(E330,-1,1)</f>
        <v>3</v>
      </c>
      <c r="G330" s="1328"/>
      <c r="H330" s="94" t="s">
        <v>758</v>
      </c>
      <c r="I330" s="1328"/>
      <c r="J330" s="1328"/>
      <c r="K330" s="1328"/>
      <c r="L330" s="1328"/>
      <c r="M330" s="1328"/>
      <c r="N330" s="1328"/>
      <c r="O330" s="1328"/>
      <c r="P330" s="1308"/>
      <c r="Q330" s="1308"/>
      <c r="R330" s="1308"/>
      <c r="S330" s="1308"/>
      <c r="T330" s="468" cm="1" t="str">
        <f t="array" ref="T330:T330">T329</f>
        <v>false</v>
      </c>
      <c r="U330" s="1308"/>
      <c r="V330" s="1328"/>
      <c r="W330" s="1308"/>
      <c r="X330" s="1539"/>
      <c r="Y330" s="1528"/>
      <c r="Z330" s="1328"/>
      <c r="AA330" s="1328"/>
      <c r="AB330" s="236" t="s">
        <v>759</v>
      </c>
      <c r="AC330" s="329" t="s">
        <v>733</v>
      </c>
      <c r="AD330" s="89" t="s">
        <v>657</v>
      </c>
      <c r="AE330" s="1971"/>
      <c r="AF330" s="1971"/>
      <c r="AG330" s="1971"/>
      <c r="AH330" s="1971"/>
      <c r="AI330" s="1971"/>
      <c r="AJ330" s="1971"/>
      <c r="AK330" s="1971"/>
      <c r="AL330" s="1971"/>
      <c r="AM330" s="1971"/>
      <c r="AN330" s="1971"/>
      <c r="AO330" s="1971"/>
      <c r="AP330" s="1971"/>
      <c r="AQ330" s="1971"/>
      <c r="AR330" s="1971"/>
      <c r="AS330" s="1971"/>
      <c r="AT330" s="1971"/>
      <c r="AU330" s="1971"/>
      <c r="AV330" s="1971"/>
      <c r="AW330" s="1971"/>
      <c r="AX330" s="1971"/>
      <c r="AY330" s="1971"/>
      <c r="AZ330" s="1971"/>
      <c r="BA330" s="1971"/>
      <c r="BB330" s="1971"/>
      <c r="BC330" s="1975"/>
      <c r="BD330" s="1328"/>
      <c r="BE330" s="1328"/>
      <c r="BF330" s="1023" t="s">
        <v>760</v>
      </c>
    </row>
    <row s="1656" customFormat="1" customHeight="1" ht="12.75" hidden="1">
      <c r="A331" s="1328"/>
      <c r="B331" s="1186"/>
      <c r="C331" s="1328"/>
      <c r="D331" s="1328"/>
      <c r="E331" s="637">
        <v>15</v>
      </c>
      <c r="F331" s="50" cm="1" t="str">
        <f t="array" ref="F331:F331">OFFSET(E331,-1,1)</f>
        <v>3</v>
      </c>
      <c r="G331" s="1328"/>
      <c r="H331" s="94" t="s">
        <v>761</v>
      </c>
      <c r="I331" s="1328"/>
      <c r="J331" s="1328"/>
      <c r="K331" s="1328"/>
      <c r="L331" s="1328"/>
      <c r="M331" s="1328"/>
      <c r="N331" s="1328"/>
      <c r="O331" s="1328"/>
      <c r="P331" s="1308"/>
      <c r="Q331" s="1308"/>
      <c r="R331" s="1308"/>
      <c r="S331" s="1308"/>
      <c r="T331" s="468" cm="1" t="str">
        <f t="array" ref="T331:T331">T330</f>
        <v>false</v>
      </c>
      <c r="U331" s="1308"/>
      <c r="V331" s="1328"/>
      <c r="W331" s="1308"/>
      <c r="X331" s="1539"/>
      <c r="Y331" s="1528"/>
      <c r="Z331" s="1328"/>
      <c r="AA331" s="1328"/>
      <c r="AB331" s="236" t="s">
        <v>762</v>
      </c>
      <c r="AC331" s="329" t="s">
        <v>737</v>
      </c>
      <c r="AD331" s="89" t="s">
        <v>657</v>
      </c>
      <c r="AE331" s="1971"/>
      <c r="AF331" s="1971"/>
      <c r="AG331" s="1971"/>
      <c r="AH331" s="1971"/>
      <c r="AI331" s="1971"/>
      <c r="AJ331" s="1971"/>
      <c r="AK331" s="1971"/>
      <c r="AL331" s="1971"/>
      <c r="AM331" s="1971"/>
      <c r="AN331" s="1971"/>
      <c r="AO331" s="1971"/>
      <c r="AP331" s="1971"/>
      <c r="AQ331" s="1971"/>
      <c r="AR331" s="1971"/>
      <c r="AS331" s="1971"/>
      <c r="AT331" s="1971"/>
      <c r="AU331" s="1971"/>
      <c r="AV331" s="1971"/>
      <c r="AW331" s="1971"/>
      <c r="AX331" s="1971"/>
      <c r="AY331" s="1971"/>
      <c r="AZ331" s="1971"/>
      <c r="BA331" s="1971"/>
      <c r="BB331" s="1971"/>
      <c r="BC331" s="1975"/>
      <c r="BD331" s="1328"/>
      <c r="BE331" s="1328"/>
      <c r="BF331" s="1023" t="s">
        <v>763</v>
      </c>
    </row>
    <row s="1656" customFormat="1" customHeight="1" ht="12.75" hidden="1">
      <c r="A332" s="1328"/>
      <c r="B332" s="1186"/>
      <c r="C332" s="1328"/>
      <c r="D332" s="1328"/>
      <c r="E332" s="637">
        <v>15</v>
      </c>
      <c r="F332" s="50" cm="1" t="str">
        <f t="array" ref="F332:F332">OFFSET(E332,-1,1)</f>
        <v>3</v>
      </c>
      <c r="G332" s="1328"/>
      <c r="H332" s="94" t="s">
        <v>764</v>
      </c>
      <c r="I332" s="1328"/>
      <c r="J332" s="1328"/>
      <c r="K332" s="1328"/>
      <c r="L332" s="1328"/>
      <c r="M332" s="1328"/>
      <c r="N332" s="1328"/>
      <c r="O332" s="1328"/>
      <c r="P332" s="1308"/>
      <c r="Q332" s="1308"/>
      <c r="R332" s="1308"/>
      <c r="S332" s="1308"/>
      <c r="T332" s="468" cm="1" t="str">
        <f t="array" ref="T332:T332">T331</f>
        <v>false</v>
      </c>
      <c r="U332" s="1308"/>
      <c r="V332" s="1328"/>
      <c r="W332" s="1308"/>
      <c r="X332" s="1539"/>
      <c r="Y332" s="1528"/>
      <c r="Z332" s="1328"/>
      <c r="AA332" s="1328"/>
      <c r="AB332" s="236" t="s">
        <v>765</v>
      </c>
      <c r="AC332" s="328" t="s">
        <v>766</v>
      </c>
      <c r="AD332" s="89" t="s">
        <v>657</v>
      </c>
      <c r="AE332" s="311">
        <f>SUM(AE333:AE334)</f>
        <v>0</v>
      </c>
      <c r="AF332" s="311">
        <f>SUM(AF333:AF334)</f>
        <v>0</v>
      </c>
      <c r="AG332" s="311">
        <f>SUM(AG333:AG334)</f>
        <v>0</v>
      </c>
      <c r="AH332" s="311">
        <f>SUM(AH333:AH334)</f>
        <v>0</v>
      </c>
      <c r="AI332" s="311">
        <f>SUM(AI333:AI334)</f>
        <v>0</v>
      </c>
      <c r="AJ332" s="311">
        <f>SUM(AJ333:AJ334)</f>
        <v>0</v>
      </c>
      <c r="AK332" s="311">
        <f>SUM(AK333:AK334)</f>
        <v>0</v>
      </c>
      <c r="AL332" s="311">
        <f>SUM(AL333:AL334)</f>
        <v>0</v>
      </c>
      <c r="AM332" s="311">
        <f>SUM(AM333:AM334)</f>
        <v>0</v>
      </c>
      <c r="AN332" s="311">
        <f>SUM(AN333:AN334)</f>
        <v>0</v>
      </c>
      <c r="AO332" s="311">
        <f>SUM(AO333:AO334)</f>
        <v>0</v>
      </c>
      <c r="AP332" s="311">
        <f>SUM(AP333:AP334)</f>
        <v>0</v>
      </c>
      <c r="AQ332" s="311">
        <f>SUM(AQ333:AQ334)</f>
        <v>0</v>
      </c>
      <c r="AR332" s="311">
        <f>SUM(AR333:AR334)</f>
        <v>0</v>
      </c>
      <c r="AS332" s="311">
        <f>SUM(AS333:AS334)</f>
        <v>0</v>
      </c>
      <c r="AT332" s="311">
        <f>SUM(AT333:AT334)</f>
        <v>0</v>
      </c>
      <c r="AU332" s="311">
        <f>SUM(AU333:AU334)</f>
        <v>0</v>
      </c>
      <c r="AV332" s="311">
        <f>SUM(AV333:AV334)</f>
        <v>0</v>
      </c>
      <c r="AW332" s="311">
        <f>SUM(AW333:AW334)</f>
        <v>0</v>
      </c>
      <c r="AX332" s="311">
        <f>SUM(AX333:AX334)</f>
        <v>0</v>
      </c>
      <c r="AY332" s="311">
        <f>SUM(AY333:AY334)</f>
        <v>0</v>
      </c>
      <c r="AZ332" s="311">
        <f>SUM(AZ333:AZ334)</f>
        <v>0</v>
      </c>
      <c r="BA332" s="311">
        <f>SUM(BA333:BA334)</f>
        <v>0</v>
      </c>
      <c r="BB332" s="311">
        <f>SUM(BB333:BB334)</f>
        <v>0</v>
      </c>
      <c r="BC332" s="1975"/>
      <c r="BD332" s="1328"/>
      <c r="BE332" s="1328"/>
      <c r="BF332" s="1023" t="s">
        <v>767</v>
      </c>
    </row>
    <row s="1656" customFormat="1" customHeight="1" ht="12.75" hidden="1">
      <c r="A333" s="1328"/>
      <c r="B333" s="1186"/>
      <c r="C333" s="1328"/>
      <c r="D333" s="1328"/>
      <c r="E333" s="637">
        <v>15</v>
      </c>
      <c r="F333" s="50" cm="1" t="str">
        <f t="array" ref="F333:F333">OFFSET(E333,-1,1)</f>
        <v>3</v>
      </c>
      <c r="G333" s="1328"/>
      <c r="H333" s="94" t="s">
        <v>768</v>
      </c>
      <c r="I333" s="1328"/>
      <c r="J333" s="1328"/>
      <c r="K333" s="1328"/>
      <c r="L333" s="1328"/>
      <c r="M333" s="1328"/>
      <c r="N333" s="1328"/>
      <c r="O333" s="1328"/>
      <c r="P333" s="1308"/>
      <c r="Q333" s="1308"/>
      <c r="R333" s="1308"/>
      <c r="S333" s="1308"/>
      <c r="T333" s="468" cm="1" t="str">
        <f t="array" ref="T333:T333">T332</f>
        <v>false</v>
      </c>
      <c r="U333" s="1308"/>
      <c r="V333" s="1328"/>
      <c r="W333" s="1308"/>
      <c r="X333" s="1539"/>
      <c r="Y333" s="1528"/>
      <c r="Z333" s="1328"/>
      <c r="AA333" s="1328"/>
      <c r="AB333" s="236" t="s">
        <v>769</v>
      </c>
      <c r="AC333" s="329" t="s">
        <v>733</v>
      </c>
      <c r="AD333" s="89" t="s">
        <v>657</v>
      </c>
      <c r="AE333" s="1971"/>
      <c r="AF333" s="1971"/>
      <c r="AG333" s="1971"/>
      <c r="AH333" s="1971"/>
      <c r="AI333" s="1971"/>
      <c r="AJ333" s="1971"/>
      <c r="AK333" s="1971"/>
      <c r="AL333" s="1971"/>
      <c r="AM333" s="1971"/>
      <c r="AN333" s="1971"/>
      <c r="AO333" s="1971"/>
      <c r="AP333" s="1971"/>
      <c r="AQ333" s="1971"/>
      <c r="AR333" s="1971"/>
      <c r="AS333" s="1971"/>
      <c r="AT333" s="1971"/>
      <c r="AU333" s="1971"/>
      <c r="AV333" s="1971"/>
      <c r="AW333" s="1971"/>
      <c r="AX333" s="1971"/>
      <c r="AY333" s="1971"/>
      <c r="AZ333" s="1971"/>
      <c r="BA333" s="1971"/>
      <c r="BB333" s="1971"/>
      <c r="BC333" s="1975"/>
      <c r="BD333" s="1328"/>
      <c r="BE333" s="1328"/>
      <c r="BF333" s="1023" t="s">
        <v>770</v>
      </c>
    </row>
    <row s="1656" customFormat="1" customHeight="1" ht="12.75" hidden="1">
      <c r="A334" s="1328"/>
      <c r="B334" s="1186"/>
      <c r="C334" s="1328"/>
      <c r="D334" s="1328"/>
      <c r="E334" s="637">
        <v>15</v>
      </c>
      <c r="F334" s="50" cm="1" t="str">
        <f t="array" ref="F334:F334">OFFSET(E334,-1,1)</f>
        <v>3</v>
      </c>
      <c r="G334" s="1328"/>
      <c r="H334" s="94" t="s">
        <v>771</v>
      </c>
      <c r="I334" s="1328"/>
      <c r="J334" s="1328"/>
      <c r="K334" s="1328"/>
      <c r="L334" s="1328"/>
      <c r="M334" s="1328"/>
      <c r="N334" s="1328"/>
      <c r="O334" s="1328"/>
      <c r="P334" s="1308"/>
      <c r="Q334" s="1308"/>
      <c r="R334" s="1308"/>
      <c r="S334" s="1308"/>
      <c r="T334" s="468" cm="1" t="str">
        <f t="array" ref="T334:T334">T333</f>
        <v>false</v>
      </c>
      <c r="U334" s="1308"/>
      <c r="V334" s="1328"/>
      <c r="W334" s="1308"/>
      <c r="X334" s="1539"/>
      <c r="Y334" s="1528"/>
      <c r="Z334" s="1328"/>
      <c r="AA334" s="1328"/>
      <c r="AB334" s="236" t="s">
        <v>772</v>
      </c>
      <c r="AC334" s="329" t="s">
        <v>737</v>
      </c>
      <c r="AD334" s="89" t="s">
        <v>657</v>
      </c>
      <c r="AE334" s="1971"/>
      <c r="AF334" s="1971"/>
      <c r="AG334" s="1971"/>
      <c r="AH334" s="1971"/>
      <c r="AI334" s="1971"/>
      <c r="AJ334" s="1971"/>
      <c r="AK334" s="1971"/>
      <c r="AL334" s="1971"/>
      <c r="AM334" s="1971"/>
      <c r="AN334" s="1971"/>
      <c r="AO334" s="1971"/>
      <c r="AP334" s="1971"/>
      <c r="AQ334" s="1971"/>
      <c r="AR334" s="1971"/>
      <c r="AS334" s="1971"/>
      <c r="AT334" s="1971"/>
      <c r="AU334" s="1971"/>
      <c r="AV334" s="1971"/>
      <c r="AW334" s="1971"/>
      <c r="AX334" s="1971"/>
      <c r="AY334" s="1971"/>
      <c r="AZ334" s="1971"/>
      <c r="BA334" s="1971"/>
      <c r="BB334" s="1971"/>
      <c r="BC334" s="1928"/>
      <c r="BD334" s="1328"/>
      <c r="BE334" s="1328"/>
      <c r="BF334" s="1023" t="s">
        <v>773</v>
      </c>
    </row>
    <row s="1656" customFormat="1" customHeight="1" ht="23.25" hidden="1">
      <c r="A335" s="1328"/>
      <c r="B335" s="1186"/>
      <c r="C335" s="1328"/>
      <c r="D335" s="1328"/>
      <c r="E335" s="637">
        <v>22.5</v>
      </c>
      <c r="F335" s="50" cm="1" t="str">
        <f t="array" ref="F335:F335">OFFSET(E335,-1,1)</f>
        <v>3</v>
      </c>
      <c r="G335" s="1328"/>
      <c r="H335" s="94" t="s">
        <v>774</v>
      </c>
      <c r="I335" s="472"/>
      <c r="J335" s="472"/>
      <c r="K335" s="1328"/>
      <c r="L335" s="1328"/>
      <c r="M335" s="1328"/>
      <c r="N335" s="1328"/>
      <c r="O335" s="1328"/>
      <c r="P335" s="1308"/>
      <c r="Q335" s="1308"/>
      <c r="R335" s="1308"/>
      <c r="S335" s="1308"/>
      <c r="T335" s="468" cm="1" t="str">
        <f t="array" ref="T335:T335">T334</f>
        <v>false</v>
      </c>
      <c r="U335" s="1308"/>
      <c r="V335" s="1328"/>
      <c r="W335" s="1308"/>
      <c r="X335" s="1539"/>
      <c r="Y335" s="1528"/>
      <c r="Z335" s="1328"/>
      <c r="AA335" s="1328"/>
      <c r="AB335" s="236" t="s">
        <v>775</v>
      </c>
      <c r="AC335" s="330" t="s">
        <v>776</v>
      </c>
      <c r="AD335" s="89" t="s">
        <v>657</v>
      </c>
      <c r="AE335" s="1927"/>
      <c r="AF335" s="1927"/>
      <c r="AG335" s="1927"/>
      <c r="AH335" s="1927"/>
      <c r="AI335" s="1927"/>
      <c r="AJ335" s="1927"/>
      <c r="AK335" s="1927"/>
      <c r="AL335" s="1927"/>
      <c r="AM335" s="1927"/>
      <c r="AN335" s="1927"/>
      <c r="AO335" s="1927"/>
      <c r="AP335" s="1927"/>
      <c r="AQ335" s="1927"/>
      <c r="AR335" s="1927"/>
      <c r="AS335" s="1927"/>
      <c r="AT335" s="1927"/>
      <c r="AU335" s="1927"/>
      <c r="AV335" s="1927"/>
      <c r="AW335" s="1927"/>
      <c r="AX335" s="1927"/>
      <c r="AY335" s="1927"/>
      <c r="AZ335" s="1927"/>
      <c r="BA335" s="1927"/>
      <c r="BB335" s="1927"/>
      <c r="BC335" s="1928"/>
      <c r="BD335" s="1328"/>
      <c r="BE335" s="1328"/>
      <c r="BF335" s="1023" t="s">
        <v>777</v>
      </c>
    </row>
    <row s="1656" customFormat="1" customHeight="1" ht="12.75" hidden="1">
      <c r="A336" s="1328"/>
      <c r="B336" s="1186"/>
      <c r="C336" s="1328"/>
      <c r="D336" s="1328"/>
      <c r="E336" s="637">
        <v>15</v>
      </c>
      <c r="F336" s="345" cm="1" t="str">
        <f t="array" ref="F336:F336">OFFSET(E336,-1,1)</f>
        <v>3</v>
      </c>
      <c r="G336" s="1328"/>
      <c r="H336" s="1328"/>
      <c r="I336" s="1328"/>
      <c r="J336" s="1328"/>
      <c r="K336" s="1328"/>
      <c r="L336" s="1328"/>
      <c r="M336" s="1328"/>
      <c r="N336" s="1328"/>
      <c r="O336" s="1328"/>
      <c r="P336" s="1308"/>
      <c r="Q336" s="1308"/>
      <c r="R336" s="1308"/>
      <c r="S336" s="1308"/>
      <c r="T336" s="468" cm="1" t="str">
        <f t="array" ref="T336:T336">T335</f>
        <v>false</v>
      </c>
      <c r="U336" s="1308"/>
      <c r="V336" s="1328"/>
      <c r="W336" s="1308"/>
      <c r="X336" s="1539"/>
      <c r="Y336" s="1528"/>
      <c r="Z336" s="1328"/>
      <c r="AA336" s="1328"/>
      <c r="AB336" s="236" t="s">
        <v>778</v>
      </c>
      <c r="AC336" s="330" t="s">
        <v>779</v>
      </c>
      <c r="AD336" s="89" t="s">
        <v>657</v>
      </c>
      <c r="AE336" s="1927"/>
      <c r="AF336" s="1927"/>
      <c r="AG336" s="1927"/>
      <c r="AH336" s="1927"/>
      <c r="AI336" s="1927"/>
      <c r="AJ336" s="1927"/>
      <c r="AK336" s="1927"/>
      <c r="AL336" s="1927"/>
      <c r="AM336" s="1927"/>
      <c r="AN336" s="1927"/>
      <c r="AO336" s="1927"/>
      <c r="AP336" s="1927"/>
      <c r="AQ336" s="1927"/>
      <c r="AR336" s="1927"/>
      <c r="AS336" s="1927"/>
      <c r="AT336" s="1927"/>
      <c r="AU336" s="1927"/>
      <c r="AV336" s="1927"/>
      <c r="AW336" s="1927"/>
      <c r="AX336" s="1927"/>
      <c r="AY336" s="1927"/>
      <c r="AZ336" s="1927"/>
      <c r="BA336" s="1927"/>
      <c r="BB336" s="1927"/>
      <c r="BC336" s="1928"/>
      <c r="BD336" s="1328"/>
      <c r="BE336" s="1328"/>
      <c r="BF336" s="1023" t="s">
        <v>780</v>
      </c>
    </row>
    <row s="1656" customFormat="1" customHeight="1" ht="11.25" hidden="1">
      <c r="A337" s="472"/>
      <c r="B337" s="664"/>
      <c r="C337" s="472"/>
      <c r="D337" s="472"/>
      <c r="E337" s="666" t="s">
        <v>384</v>
      </c>
      <c r="F337" s="1194" cm="1" t="str">
        <f t="array" ref="F337:F337">OFFSET(E337,-1,1)</f>
        <v>3</v>
      </c>
      <c r="G337" s="472"/>
      <c r="H337" s="472"/>
      <c r="I337" s="1656"/>
      <c r="J337" s="1656"/>
      <c r="K337" s="94"/>
      <c r="L337" s="472"/>
      <c r="M337" s="472"/>
      <c r="N337" s="472"/>
      <c r="O337" s="472"/>
      <c r="P337" s="472"/>
      <c r="Q337" s="472"/>
      <c r="R337" s="417"/>
      <c r="S337" s="417"/>
      <c r="T337" s="468" t="b">
        <v>0</v>
      </c>
      <c r="U337" s="472"/>
      <c r="V337" s="472"/>
      <c r="W337" s="472"/>
      <c r="X337" s="1539"/>
      <c r="Y337" s="1528"/>
      <c r="Z337" s="472"/>
      <c r="AA337" s="472"/>
      <c r="AB337" s="1656"/>
      <c r="AC337" s="96"/>
      <c r="AD337" s="96"/>
      <c r="AE337" s="340"/>
      <c r="AF337" s="340"/>
      <c r="AG337" s="340"/>
      <c r="AH337" s="340"/>
      <c r="AI337" s="340"/>
      <c r="AJ337" s="341"/>
      <c r="AK337" s="340"/>
      <c r="AL337" s="340"/>
      <c r="AM337" s="340"/>
      <c r="AN337" s="340"/>
      <c r="AO337" s="340"/>
      <c r="AP337" s="340"/>
      <c r="AQ337" s="340"/>
      <c r="AR337" s="340"/>
      <c r="AS337" s="340"/>
      <c r="AT337" s="340"/>
      <c r="AU337" s="340"/>
      <c r="AV337" s="340"/>
      <c r="AW337" s="340"/>
      <c r="AX337" s="340"/>
      <c r="AY337" s="340"/>
      <c r="AZ337" s="340"/>
      <c r="BA337" s="340"/>
      <c r="BB337" s="340"/>
      <c r="BC337" s="1656"/>
      <c r="BD337" s="1656"/>
      <c r="BE337" s="1656"/>
      <c r="BF337" s="1027"/>
    </row>
    <row s="1656" customFormat="1" customHeight="1" ht="12.75" hidden="1">
      <c r="A338" s="1328"/>
      <c r="B338" s="1186"/>
      <c r="C338" s="1328"/>
      <c r="D338" s="1328"/>
      <c r="E338" s="637">
        <v>15</v>
      </c>
      <c r="F338" s="50" cm="1" t="str">
        <f t="array" ref="F338:F338">OFFSET(E338,-1,1)</f>
        <v>3</v>
      </c>
      <c r="G338" s="1328"/>
      <c r="H338" s="1328"/>
      <c r="I338" s="1328"/>
      <c r="J338" s="1328"/>
      <c r="K338" s="1328"/>
      <c r="L338" s="1328"/>
      <c r="M338" s="1328"/>
      <c r="N338" s="1328"/>
      <c r="O338" s="1328"/>
      <c r="P338" s="1308"/>
      <c r="Q338" s="1308"/>
      <c r="R338" s="417" cm="1" t="str">
        <f t="array" ref="R338:R338">INDEX('Общие сведения'!$AN$197:$AN$254,MATCH($X300,'Общие сведения'!$Z$197:$Z$254,0))</f>
        <v>false</v>
      </c>
      <c r="S338" s="417">
        <f>IF(ISERROR(SEARCH("Водоснабжение",AB300)),FALSE,TRUE)</f>
        <v>0</v>
      </c>
      <c r="T338" s="468">
        <f>AND(X300&gt;0,S338,R338)</f>
        <v>0</v>
      </c>
      <c r="U338" s="1308"/>
      <c r="V338" s="1328"/>
      <c r="W338" s="1308"/>
      <c r="X338" s="1539"/>
      <c r="Y338" s="1528"/>
      <c r="Z338" s="1328"/>
      <c r="AA338" s="1328"/>
      <c r="AB338" s="236" t="s">
        <v>290</v>
      </c>
      <c r="AC338" s="324" t="s">
        <v>654</v>
      </c>
      <c r="AD338" s="194"/>
      <c r="AE338" s="574" cm="1" t="str">
        <f t="array" ref="AE338:AE338">INDEX('Общие сведения'!$AH$197:$AH$254,MATCH($X300,'Общие сведения'!$Z$197:$Z$254,0))</f>
        <v>без дифференциации</v>
      </c>
      <c r="AF338" s="358"/>
      <c r="AG338" s="358"/>
      <c r="AH338" s="358"/>
      <c r="AI338" s="358"/>
      <c r="AJ338" s="358"/>
      <c r="AK338" s="358"/>
      <c r="AL338" s="358"/>
      <c r="AM338" s="358"/>
      <c r="AN338" s="358"/>
      <c r="AO338" s="358"/>
      <c r="AP338" s="358"/>
      <c r="AQ338" s="358"/>
      <c r="AR338" s="358"/>
      <c r="AS338" s="358"/>
      <c r="AT338" s="358"/>
      <c r="AU338" s="358"/>
      <c r="AV338" s="358"/>
      <c r="AW338" s="358"/>
      <c r="AX338" s="358"/>
      <c r="AY338" s="358"/>
      <c r="AZ338" s="358"/>
      <c r="BA338" s="358"/>
      <c r="BB338" s="359"/>
      <c r="BC338" s="1928"/>
      <c r="BD338" s="1328"/>
      <c r="BE338" s="1328"/>
      <c r="BF338" s="1023" t="s">
        <v>781</v>
      </c>
    </row>
    <row s="1656" customFormat="1" customHeight="1" ht="12.75" hidden="1">
      <c r="A339" s="1328"/>
      <c r="B339" s="1186"/>
      <c r="C339" s="1328"/>
      <c r="D339" s="1328"/>
      <c r="E339" s="637">
        <v>15</v>
      </c>
      <c r="F339" s="50" cm="1" t="str">
        <f t="array" ref="F339:F339">OFFSET(E339,-1,1)</f>
        <v>3</v>
      </c>
      <c r="G339" s="1328"/>
      <c r="H339" s="94" t="s">
        <v>348</v>
      </c>
      <c r="I339" s="1328"/>
      <c r="J339" s="1328"/>
      <c r="K339" s="1328"/>
      <c r="L339" s="1328"/>
      <c r="M339" s="1328"/>
      <c r="N339" s="1328"/>
      <c r="O339" s="1328"/>
      <c r="P339" s="1308"/>
      <c r="Q339" s="1308"/>
      <c r="R339" s="1308"/>
      <c r="S339" s="1308"/>
      <c r="T339" s="468" cm="1" t="str">
        <f t="array" ref="T339:T339">T338</f>
        <v>false</v>
      </c>
      <c r="U339" s="1308"/>
      <c r="V339" s="1328"/>
      <c r="W339" s="1308"/>
      <c r="X339" s="1539"/>
      <c r="Y339" s="1528"/>
      <c r="Z339" s="1328"/>
      <c r="AA339" s="1328"/>
      <c r="AB339" s="236" t="s">
        <v>299</v>
      </c>
      <c r="AC339" s="331" t="s">
        <v>782</v>
      </c>
      <c r="AD339" s="89" t="s">
        <v>657</v>
      </c>
      <c r="AE339" s="342">
        <f>AE343+AE345+AE348+AE351</f>
        <v>0</v>
      </c>
      <c r="AF339" s="342">
        <f>AF343+AF345+AF348+AF351</f>
        <v>0</v>
      </c>
      <c r="AG339" s="342">
        <f>AG343+AG345+AG348+AG351</f>
        <v>0</v>
      </c>
      <c r="AH339" s="342">
        <f>AH343+AH345+AH348+AH351</f>
        <v>0</v>
      </c>
      <c r="AI339" s="342">
        <f>AI343+AI345+AI348+AI351</f>
        <v>0</v>
      </c>
      <c r="AJ339" s="342">
        <f>AJ343+AJ345+AJ348+AJ351</f>
        <v>0</v>
      </c>
      <c r="AK339" s="342">
        <f>AK343+AK345+AK348+AK351</f>
        <v>0</v>
      </c>
      <c r="AL339" s="342">
        <f>AL343+AL345+AL348+AL351</f>
        <v>0</v>
      </c>
      <c r="AM339" s="342">
        <f>AM343+AM345+AM348+AM351</f>
        <v>0</v>
      </c>
      <c r="AN339" s="342">
        <f>AN343+AN345+AN348+AN351</f>
        <v>0</v>
      </c>
      <c r="AO339" s="342">
        <f>AO343+AO345+AO348+AO351</f>
        <v>0</v>
      </c>
      <c r="AP339" s="342">
        <f>AP343+AP345+AP348+AP351</f>
        <v>0</v>
      </c>
      <c r="AQ339" s="342">
        <f>AQ343+AQ345+AQ348+AQ351</f>
        <v>0</v>
      </c>
      <c r="AR339" s="342">
        <f>AR343+AR345+AR348+AR351</f>
        <v>0</v>
      </c>
      <c r="AS339" s="342">
        <f>AS343+AS345+AS348+AS351</f>
        <v>0</v>
      </c>
      <c r="AT339" s="342">
        <f>AT343+AT345+AT348+AT351</f>
        <v>0</v>
      </c>
      <c r="AU339" s="342">
        <f>AU343+AU345+AU348+AU351</f>
        <v>0</v>
      </c>
      <c r="AV339" s="342">
        <f>AV343+AV345+AV348+AV351</f>
        <v>0</v>
      </c>
      <c r="AW339" s="342">
        <f>AW343+AW345+AW348+AW351</f>
        <v>0</v>
      </c>
      <c r="AX339" s="342">
        <f>AX343+AX345+AX348+AX351</f>
        <v>0</v>
      </c>
      <c r="AY339" s="342">
        <f>AY343+AY345+AY348+AY351</f>
        <v>0</v>
      </c>
      <c r="AZ339" s="342">
        <f>AZ343+AZ345+AZ348+AZ351</f>
        <v>0</v>
      </c>
      <c r="BA339" s="342">
        <f>BA343+BA345+BA348+BA351</f>
        <v>0</v>
      </c>
      <c r="BB339" s="342">
        <f>BB343+BB345+BB348+BB351</f>
        <v>0</v>
      </c>
      <c r="BC339" s="1928"/>
      <c r="BD339" s="1328"/>
      <c r="BE339" s="1328"/>
      <c r="BF339" s="1023" t="s">
        <v>783</v>
      </c>
    </row>
    <row s="1656" customFormat="1" customHeight="1" ht="12.75" hidden="1">
      <c r="A340" s="1328"/>
      <c r="B340" s="1186"/>
      <c r="C340" s="1328"/>
      <c r="D340" s="1328"/>
      <c r="E340" s="637">
        <v>15</v>
      </c>
      <c r="F340" s="50" cm="1" t="str">
        <f t="array" ref="F340:F340">OFFSET(E340,-1,1)</f>
        <v>3</v>
      </c>
      <c r="G340" s="1328"/>
      <c r="H340" s="94" t="s">
        <v>659</v>
      </c>
      <c r="I340" s="1328"/>
      <c r="J340" s="1328"/>
      <c r="K340" s="1328"/>
      <c r="L340" s="1328"/>
      <c r="M340" s="1328"/>
      <c r="N340" s="1328"/>
      <c r="O340" s="1328"/>
      <c r="P340" s="1308"/>
      <c r="Q340" s="1308"/>
      <c r="R340" s="1308"/>
      <c r="S340" s="1308"/>
      <c r="T340" s="468" cm="1" t="str">
        <f t="array" ref="T340:T340">T339</f>
        <v>false</v>
      </c>
      <c r="U340" s="1308"/>
      <c r="V340" s="1328"/>
      <c r="W340" s="1308"/>
      <c r="X340" s="1539"/>
      <c r="Y340" s="1528"/>
      <c r="Z340" s="1328"/>
      <c r="AA340" s="1328"/>
      <c r="AB340" s="236" t="s">
        <v>660</v>
      </c>
      <c r="AC340" s="332" t="s">
        <v>784</v>
      </c>
      <c r="AD340" s="89" t="s">
        <v>657</v>
      </c>
      <c r="AE340" s="1927"/>
      <c r="AF340" s="1927"/>
      <c r="AG340" s="1927"/>
      <c r="AH340" s="1927"/>
      <c r="AI340" s="1927"/>
      <c r="AJ340" s="1927"/>
      <c r="AK340" s="1927"/>
      <c r="AL340" s="1927"/>
      <c r="AM340" s="1927"/>
      <c r="AN340" s="1927"/>
      <c r="AO340" s="1927"/>
      <c r="AP340" s="1927"/>
      <c r="AQ340" s="1927"/>
      <c r="AR340" s="1927"/>
      <c r="AS340" s="1927"/>
      <c r="AT340" s="1927"/>
      <c r="AU340" s="1927"/>
      <c r="AV340" s="1927"/>
      <c r="AW340" s="1927"/>
      <c r="AX340" s="1927"/>
      <c r="AY340" s="1927"/>
      <c r="AZ340" s="1927"/>
      <c r="BA340" s="1927"/>
      <c r="BB340" s="1927"/>
      <c r="BC340" s="1928"/>
      <c r="BD340" s="1328"/>
      <c r="BE340" s="1328"/>
      <c r="BF340" s="1023" t="s">
        <v>785</v>
      </c>
    </row>
    <row s="1656" customFormat="1" customHeight="1" ht="12.75" hidden="1">
      <c r="A341" s="1328"/>
      <c r="B341" s="1186"/>
      <c r="C341" s="1328"/>
      <c r="D341" s="1328"/>
      <c r="E341" s="637">
        <v>15</v>
      </c>
      <c r="F341" s="50" cm="1" t="str">
        <f t="array" ref="F341:F341">OFFSET(E341,-1,1)</f>
        <v>3</v>
      </c>
      <c r="G341" s="1328"/>
      <c r="H341" s="94" t="s">
        <v>663</v>
      </c>
      <c r="I341" s="1328"/>
      <c r="J341" s="1328"/>
      <c r="K341" s="1328"/>
      <c r="L341" s="1328"/>
      <c r="M341" s="1328"/>
      <c r="N341" s="1328"/>
      <c r="O341" s="1328"/>
      <c r="P341" s="1308"/>
      <c r="Q341" s="1308"/>
      <c r="R341" s="1308"/>
      <c r="S341" s="1308"/>
      <c r="T341" s="468" cm="1" t="str">
        <f t="array" ref="T341:T341">T340</f>
        <v>false</v>
      </c>
      <c r="U341" s="1308"/>
      <c r="V341" s="1328"/>
      <c r="W341" s="1308"/>
      <c r="X341" s="1539"/>
      <c r="Y341" s="1528"/>
      <c r="Z341" s="1328"/>
      <c r="AA341" s="1328"/>
      <c r="AB341" s="236" t="s">
        <v>664</v>
      </c>
      <c r="AC341" s="332" t="s">
        <v>786</v>
      </c>
      <c r="AD341" s="89" t="s">
        <v>657</v>
      </c>
      <c r="AE341" s="1927"/>
      <c r="AF341" s="1927"/>
      <c r="AG341" s="1927"/>
      <c r="AH341" s="1927"/>
      <c r="AI341" s="1927"/>
      <c r="AJ341" s="1927"/>
      <c r="AK341" s="1927"/>
      <c r="AL341" s="1927"/>
      <c r="AM341" s="1927"/>
      <c r="AN341" s="1927"/>
      <c r="AO341" s="1927"/>
      <c r="AP341" s="1927"/>
      <c r="AQ341" s="1927"/>
      <c r="AR341" s="1927"/>
      <c r="AS341" s="1927"/>
      <c r="AT341" s="1927"/>
      <c r="AU341" s="1927"/>
      <c r="AV341" s="1927"/>
      <c r="AW341" s="1927"/>
      <c r="AX341" s="1927"/>
      <c r="AY341" s="1927"/>
      <c r="AZ341" s="1927"/>
      <c r="BA341" s="1927"/>
      <c r="BB341" s="1927"/>
      <c r="BC341" s="1928"/>
      <c r="BD341" s="1328"/>
      <c r="BE341" s="1328"/>
      <c r="BF341" s="1023" t="s">
        <v>787</v>
      </c>
    </row>
    <row s="1656" customFormat="1" customHeight="1" ht="23.25" hidden="1">
      <c r="A342" s="1328"/>
      <c r="B342" s="1186"/>
      <c r="C342" s="1328"/>
      <c r="D342" s="1328"/>
      <c r="E342" s="637">
        <v>22.5</v>
      </c>
      <c r="F342" s="50" cm="1" t="str">
        <f t="array" ref="F342:F342">OFFSET(E342,-1,1)</f>
        <v>3</v>
      </c>
      <c r="G342" s="1328"/>
      <c r="H342" s="94" t="s">
        <v>667</v>
      </c>
      <c r="I342" s="1328"/>
      <c r="J342" s="1328"/>
      <c r="K342" s="1328"/>
      <c r="L342" s="1328"/>
      <c r="M342" s="1328"/>
      <c r="N342" s="1328"/>
      <c r="O342" s="1328"/>
      <c r="P342" s="1308"/>
      <c r="Q342" s="1308"/>
      <c r="R342" s="1308"/>
      <c r="S342" s="1308"/>
      <c r="T342" s="468" cm="1" t="str">
        <f t="array" ref="T342:T342">T341</f>
        <v>false</v>
      </c>
      <c r="U342" s="1308"/>
      <c r="V342" s="1328"/>
      <c r="W342" s="1308"/>
      <c r="X342" s="1539"/>
      <c r="Y342" s="1528"/>
      <c r="Z342" s="1328"/>
      <c r="AA342" s="1328"/>
      <c r="AB342" s="236" t="s">
        <v>668</v>
      </c>
      <c r="AC342" s="332" t="s">
        <v>788</v>
      </c>
      <c r="AD342" s="89" t="s">
        <v>657</v>
      </c>
      <c r="AE342" s="1927"/>
      <c r="AF342" s="1927"/>
      <c r="AG342" s="1927"/>
      <c r="AH342" s="1927"/>
      <c r="AI342" s="1927"/>
      <c r="AJ342" s="1927"/>
      <c r="AK342" s="1927"/>
      <c r="AL342" s="1927"/>
      <c r="AM342" s="1927"/>
      <c r="AN342" s="1927"/>
      <c r="AO342" s="1927"/>
      <c r="AP342" s="1927"/>
      <c r="AQ342" s="1927"/>
      <c r="AR342" s="1927"/>
      <c r="AS342" s="1927"/>
      <c r="AT342" s="1927"/>
      <c r="AU342" s="1927"/>
      <c r="AV342" s="1927"/>
      <c r="AW342" s="1927"/>
      <c r="AX342" s="1927"/>
      <c r="AY342" s="1927"/>
      <c r="AZ342" s="1927"/>
      <c r="BA342" s="1927"/>
      <c r="BB342" s="1927"/>
      <c r="BC342" s="1928"/>
      <c r="BD342" s="1328"/>
      <c r="BE342" s="1328"/>
      <c r="BF342" s="1023" t="s">
        <v>789</v>
      </c>
    </row>
    <row s="1656" customFormat="1" customHeight="1" ht="12.75" hidden="1">
      <c r="A343" s="1328"/>
      <c r="B343" s="1186"/>
      <c r="C343" s="1328"/>
      <c r="D343" s="1328"/>
      <c r="E343" s="637">
        <v>15</v>
      </c>
      <c r="F343" s="50" cm="1" t="str">
        <f t="array" ref="F343:F343">OFFSET(E343,-1,1)</f>
        <v>3</v>
      </c>
      <c r="G343" s="1328"/>
      <c r="H343" s="94" t="s">
        <v>347</v>
      </c>
      <c r="I343" s="1328"/>
      <c r="J343" s="1328"/>
      <c r="K343" s="1328"/>
      <c r="L343" s="1328"/>
      <c r="M343" s="1328"/>
      <c r="N343" s="1328"/>
      <c r="O343" s="1328"/>
      <c r="P343" s="1308"/>
      <c r="Q343" s="1308"/>
      <c r="R343" s="1308"/>
      <c r="S343" s="1308"/>
      <c r="T343" s="468" cm="1" t="str">
        <f t="array" ref="T343:T343">T342</f>
        <v>false</v>
      </c>
      <c r="U343" s="1308"/>
      <c r="V343" s="1328"/>
      <c r="W343" s="1308"/>
      <c r="X343" s="1539"/>
      <c r="Y343" s="1528"/>
      <c r="Z343" s="1328"/>
      <c r="AA343" s="1328"/>
      <c r="AB343" s="236" t="s">
        <v>234</v>
      </c>
      <c r="AC343" s="324" t="s">
        <v>701</v>
      </c>
      <c r="AD343" s="89" t="s">
        <v>657</v>
      </c>
      <c r="AE343" s="1927"/>
      <c r="AF343" s="1927"/>
      <c r="AG343" s="1927"/>
      <c r="AH343" s="1927"/>
      <c r="AI343" s="1927"/>
      <c r="AJ343" s="1927"/>
      <c r="AK343" s="1927"/>
      <c r="AL343" s="1927"/>
      <c r="AM343" s="1927"/>
      <c r="AN343" s="1927"/>
      <c r="AO343" s="1927"/>
      <c r="AP343" s="1927"/>
      <c r="AQ343" s="1927"/>
      <c r="AR343" s="1927"/>
      <c r="AS343" s="1927"/>
      <c r="AT343" s="1927"/>
      <c r="AU343" s="1927"/>
      <c r="AV343" s="1927"/>
      <c r="AW343" s="1927"/>
      <c r="AX343" s="1927"/>
      <c r="AY343" s="1927"/>
      <c r="AZ343" s="1927"/>
      <c r="BA343" s="1927"/>
      <c r="BB343" s="1927"/>
      <c r="BC343" s="1928"/>
      <c r="BD343" s="1328"/>
      <c r="BE343" s="1328"/>
      <c r="BF343" s="1023" t="s">
        <v>790</v>
      </c>
    </row>
    <row s="1656" customFormat="1" customHeight="1" ht="12.75" hidden="1">
      <c r="A344" s="1328"/>
      <c r="B344" s="1186"/>
      <c r="C344" s="1328"/>
      <c r="D344" s="1328"/>
      <c r="E344" s="637">
        <v>15</v>
      </c>
      <c r="F344" s="50" cm="1" t="str">
        <f t="array" ref="F344:F344">OFFSET(E344,-1,1)</f>
        <v>3</v>
      </c>
      <c r="G344" s="1328"/>
      <c r="H344" s="94" t="s">
        <v>673</v>
      </c>
      <c r="I344" s="1328"/>
      <c r="J344" s="1328"/>
      <c r="K344" s="1328"/>
      <c r="L344" s="1328"/>
      <c r="M344" s="1328"/>
      <c r="N344" s="1328"/>
      <c r="O344" s="1328"/>
      <c r="P344" s="1308"/>
      <c r="Q344" s="1308"/>
      <c r="R344" s="1308"/>
      <c r="S344" s="1308"/>
      <c r="T344" s="468" cm="1" t="str">
        <f t="array" ref="T344:T344">T343</f>
        <v>false</v>
      </c>
      <c r="U344" s="1308"/>
      <c r="V344" s="1328"/>
      <c r="W344" s="1308"/>
      <c r="X344" s="1539"/>
      <c r="Y344" s="1528"/>
      <c r="Z344" s="1328"/>
      <c r="AA344" s="1328"/>
      <c r="AB344" s="236" t="s">
        <v>674</v>
      </c>
      <c r="AC344" s="327" t="s">
        <v>705</v>
      </c>
      <c r="AD344" s="89" t="s">
        <v>561</v>
      </c>
      <c r="AE344" s="1817">
        <f>IF(AE339=0,0,AE343/AE339*100)</f>
        <v>0</v>
      </c>
      <c r="AF344" s="1817">
        <f>IF(AF339=0,0,AF343/AF339*100)</f>
        <v>0</v>
      </c>
      <c r="AG344" s="1817">
        <f>IF(AG339=0,0,AG343/AG339*100)</f>
        <v>0</v>
      </c>
      <c r="AH344" s="1817">
        <f>IF(AH339=0,0,AH343/AH339*100)</f>
        <v>0</v>
      </c>
      <c r="AI344" s="1817">
        <f>IF(AI339=0,0,AI343/AI339*100)</f>
        <v>0</v>
      </c>
      <c r="AJ344" s="1817">
        <f>IF(AJ339=0,0,AJ343/AJ339*100)</f>
        <v>0</v>
      </c>
      <c r="AK344" s="1817">
        <f>IF(AK339=0,0,AK343/AK339*100)</f>
        <v>0</v>
      </c>
      <c r="AL344" s="1817">
        <f>IF(AL339=0,0,AL343/AL339*100)</f>
        <v>0</v>
      </c>
      <c r="AM344" s="1817">
        <f>IF(AM339=0,0,AM343/AM339*100)</f>
        <v>0</v>
      </c>
      <c r="AN344" s="1817">
        <f>IF(AN339=0,0,AN343/AN339*100)</f>
        <v>0</v>
      </c>
      <c r="AO344" s="1817">
        <f>IF(AO339=0,0,AO343/AO339*100)</f>
        <v>0</v>
      </c>
      <c r="AP344" s="1817">
        <f>IF(AP339=0,0,AP343/AP339*100)</f>
        <v>0</v>
      </c>
      <c r="AQ344" s="1817">
        <f>IF(AQ339=0,0,AQ343/AQ339*100)</f>
        <v>0</v>
      </c>
      <c r="AR344" s="1817">
        <f>IF(AR339=0,0,AR343/AR339*100)</f>
        <v>0</v>
      </c>
      <c r="AS344" s="1817">
        <f>IF(AS339=0,0,AS343/AS339*100)</f>
        <v>0</v>
      </c>
      <c r="AT344" s="1817">
        <f>IF(AT339=0,0,AT343/AT339*100)</f>
        <v>0</v>
      </c>
      <c r="AU344" s="1817">
        <f>IF(AU339=0,0,AU343/AU339*100)</f>
        <v>0</v>
      </c>
      <c r="AV344" s="1817">
        <f>IF(AV339=0,0,AV343/AV339*100)</f>
        <v>0</v>
      </c>
      <c r="AW344" s="1817">
        <f>IF(AW339=0,0,AW343/AW339*100)</f>
        <v>0</v>
      </c>
      <c r="AX344" s="1817">
        <f>IF(AX339=0,0,AX343/AX339*100)</f>
        <v>0</v>
      </c>
      <c r="AY344" s="1817">
        <f>IF(AY339=0,0,AY343/AY339*100)</f>
        <v>0</v>
      </c>
      <c r="AZ344" s="1817">
        <f>IF(AZ339=0,0,AZ343/AZ339*100)</f>
        <v>0</v>
      </c>
      <c r="BA344" s="1817">
        <f>IF(BA339=0,0,BA343/BA339*100)</f>
        <v>0</v>
      </c>
      <c r="BB344" s="1817">
        <f>IF(BB339=0,0,BB343/BB339*100)</f>
        <v>0</v>
      </c>
      <c r="BC344" s="1975"/>
      <c r="BD344" s="1328"/>
      <c r="BE344" s="1328"/>
      <c r="BF344" s="1023" t="s">
        <v>791</v>
      </c>
    </row>
    <row s="1656" customFormat="1" customHeight="1" ht="12.75" hidden="1">
      <c r="A345" s="1328"/>
      <c r="B345" s="1186"/>
      <c r="C345" s="1328"/>
      <c r="D345" s="1328"/>
      <c r="E345" s="637">
        <v>15</v>
      </c>
      <c r="F345" s="50" cm="1" t="str">
        <f t="array" ref="F345:F345">OFFSET(E345,-1,1)</f>
        <v>3</v>
      </c>
      <c r="G345" s="1328" t="str">
        <f>IF(OwnNeedsInPO="да","ПО","")</f>
        <v>ПО</v>
      </c>
      <c r="H345" s="94" t="s">
        <v>616</v>
      </c>
      <c r="I345" s="1328"/>
      <c r="J345" s="1328"/>
      <c r="K345" s="1328"/>
      <c r="L345" s="1328"/>
      <c r="M345" s="1328"/>
      <c r="N345" s="1328"/>
      <c r="O345" s="1328"/>
      <c r="P345" s="1308"/>
      <c r="Q345" s="1308"/>
      <c r="R345" s="1308"/>
      <c r="S345" s="1308"/>
      <c r="T345" s="468" cm="1" t="str">
        <f t="array" ref="T345:T345">T344</f>
        <v>false</v>
      </c>
      <c r="U345" s="1308"/>
      <c r="V345" s="1328"/>
      <c r="W345" s="1308"/>
      <c r="X345" s="1539"/>
      <c r="Y345" s="1528"/>
      <c r="Z345" s="1328"/>
      <c r="AA345" s="1328"/>
      <c r="AB345" s="236" t="s">
        <v>451</v>
      </c>
      <c r="AC345" s="331" t="s">
        <v>712</v>
      </c>
      <c r="AD345" s="89" t="s">
        <v>657</v>
      </c>
      <c r="AE345" s="342">
        <f>AE346+AE347</f>
        <v>0</v>
      </c>
      <c r="AF345" s="342">
        <f>AF346+AF347</f>
        <v>0</v>
      </c>
      <c r="AG345" s="342">
        <f>AG346+AG347</f>
        <v>0</v>
      </c>
      <c r="AH345" s="342">
        <f>AH346+AH347</f>
        <v>0</v>
      </c>
      <c r="AI345" s="342">
        <f>AI346+AI347</f>
        <v>0</v>
      </c>
      <c r="AJ345" s="342">
        <f>AJ346+AJ347</f>
        <v>0</v>
      </c>
      <c r="AK345" s="342">
        <f>AK346+AK347</f>
        <v>0</v>
      </c>
      <c r="AL345" s="342">
        <f>AL346+AL347</f>
        <v>0</v>
      </c>
      <c r="AM345" s="342">
        <f>AM346+AM347</f>
        <v>0</v>
      </c>
      <c r="AN345" s="342">
        <f>AN346+AN347</f>
        <v>0</v>
      </c>
      <c r="AO345" s="342">
        <f>AO346+AO347</f>
        <v>0</v>
      </c>
      <c r="AP345" s="342">
        <f>AP346+AP347</f>
        <v>0</v>
      </c>
      <c r="AQ345" s="342">
        <f>AQ346+AQ347</f>
        <v>0</v>
      </c>
      <c r="AR345" s="342">
        <f>AR346+AR347</f>
        <v>0</v>
      </c>
      <c r="AS345" s="342">
        <f>AS346+AS347</f>
        <v>0</v>
      </c>
      <c r="AT345" s="342">
        <f>AT346+AT347</f>
        <v>0</v>
      </c>
      <c r="AU345" s="342">
        <f>AU346+AU347</f>
        <v>0</v>
      </c>
      <c r="AV345" s="342">
        <f>AV346+AV347</f>
        <v>0</v>
      </c>
      <c r="AW345" s="342">
        <f>AW346+AW347</f>
        <v>0</v>
      </c>
      <c r="AX345" s="342">
        <f>AX346+AX347</f>
        <v>0</v>
      </c>
      <c r="AY345" s="342">
        <f>AY346+AY347</f>
        <v>0</v>
      </c>
      <c r="AZ345" s="342">
        <f>AZ346+AZ347</f>
        <v>0</v>
      </c>
      <c r="BA345" s="342">
        <f>BA346+BA347</f>
        <v>0</v>
      </c>
      <c r="BB345" s="342">
        <f>BB346+BB347</f>
        <v>0</v>
      </c>
      <c r="BC345" s="1928"/>
      <c r="BD345" s="1328"/>
      <c r="BE345" s="1328"/>
      <c r="BF345" s="1023" t="s">
        <v>792</v>
      </c>
    </row>
    <row s="1656" customFormat="1" customHeight="1" ht="12.75" hidden="1">
      <c r="A346" s="1328"/>
      <c r="B346" s="1186"/>
      <c r="C346" s="1328"/>
      <c r="D346" s="1328"/>
      <c r="E346" s="637">
        <v>15</v>
      </c>
      <c r="F346" s="50" cm="1" t="str">
        <f t="array" ref="F346:F346">OFFSET(E346,-1,1)</f>
        <v>3</v>
      </c>
      <c r="G346" s="1328"/>
      <c r="H346" s="94" t="s">
        <v>793</v>
      </c>
      <c r="I346" s="1328"/>
      <c r="J346" s="1328"/>
      <c r="K346" s="1328"/>
      <c r="L346" s="1328"/>
      <c r="M346" s="1328"/>
      <c r="N346" s="1328"/>
      <c r="O346" s="1328"/>
      <c r="P346" s="1308"/>
      <c r="Q346" s="1308"/>
      <c r="R346" s="1308"/>
      <c r="S346" s="1308"/>
      <c r="T346" s="468" cm="1" t="str">
        <f t="array" ref="T346:T346">T345</f>
        <v>false</v>
      </c>
      <c r="U346" s="1308"/>
      <c r="V346" s="1328"/>
      <c r="W346" s="1308"/>
      <c r="X346" s="1539"/>
      <c r="Y346" s="1528"/>
      <c r="Z346" s="1328"/>
      <c r="AA346" s="1328"/>
      <c r="AB346" s="236" t="s">
        <v>794</v>
      </c>
      <c r="AC346" s="332" t="s">
        <v>716</v>
      </c>
      <c r="AD346" s="89" t="s">
        <v>657</v>
      </c>
      <c r="AE346" s="1927"/>
      <c r="AF346" s="1927"/>
      <c r="AG346" s="1927"/>
      <c r="AH346" s="1927"/>
      <c r="AI346" s="1927"/>
      <c r="AJ346" s="1927"/>
      <c r="AK346" s="1927"/>
      <c r="AL346" s="1927"/>
      <c r="AM346" s="1927"/>
      <c r="AN346" s="1927"/>
      <c r="AO346" s="1927"/>
      <c r="AP346" s="1927"/>
      <c r="AQ346" s="1927"/>
      <c r="AR346" s="1927"/>
      <c r="AS346" s="1927"/>
      <c r="AT346" s="1927"/>
      <c r="AU346" s="1927"/>
      <c r="AV346" s="1927"/>
      <c r="AW346" s="1927"/>
      <c r="AX346" s="1927"/>
      <c r="AY346" s="1927"/>
      <c r="AZ346" s="1927"/>
      <c r="BA346" s="1927"/>
      <c r="BB346" s="1927"/>
      <c r="BC346" s="1928"/>
      <c r="BD346" s="1328"/>
      <c r="BE346" s="1328"/>
      <c r="BF346" s="1023" t="s">
        <v>795</v>
      </c>
    </row>
    <row s="1656" customFormat="1" customHeight="1" ht="12.75" hidden="1">
      <c r="A347" s="1328"/>
      <c r="B347" s="1186"/>
      <c r="C347" s="1328"/>
      <c r="D347" s="1328"/>
      <c r="E347" s="637">
        <v>15</v>
      </c>
      <c r="F347" s="50" cm="1" t="str">
        <f t="array" ref="F347:F347">OFFSET(E347,-1,1)</f>
        <v>3</v>
      </c>
      <c r="G347" s="1328"/>
      <c r="H347" s="94" t="s">
        <v>796</v>
      </c>
      <c r="I347" s="1328"/>
      <c r="J347" s="1328"/>
      <c r="K347" s="1328"/>
      <c r="L347" s="1328"/>
      <c r="M347" s="1328"/>
      <c r="N347" s="1328"/>
      <c r="O347" s="1328"/>
      <c r="P347" s="1308"/>
      <c r="Q347" s="1308"/>
      <c r="R347" s="1308"/>
      <c r="S347" s="1308"/>
      <c r="T347" s="468" cm="1" t="str">
        <f t="array" ref="T347:T347">T346</f>
        <v>false</v>
      </c>
      <c r="U347" s="1308"/>
      <c r="V347" s="1328"/>
      <c r="W347" s="1308"/>
      <c r="X347" s="1539"/>
      <c r="Y347" s="1528"/>
      <c r="Z347" s="1328"/>
      <c r="AA347" s="1328"/>
      <c r="AB347" s="236" t="s">
        <v>797</v>
      </c>
      <c r="AC347" s="332" t="s">
        <v>720</v>
      </c>
      <c r="AD347" s="89" t="s">
        <v>657</v>
      </c>
      <c r="AE347" s="1927"/>
      <c r="AF347" s="1927"/>
      <c r="AG347" s="1927"/>
      <c r="AH347" s="1927"/>
      <c r="AI347" s="1927"/>
      <c r="AJ347" s="1927"/>
      <c r="AK347" s="1927"/>
      <c r="AL347" s="1927"/>
      <c r="AM347" s="1927"/>
      <c r="AN347" s="1927"/>
      <c r="AO347" s="1927"/>
      <c r="AP347" s="1927"/>
      <c r="AQ347" s="1927"/>
      <c r="AR347" s="1927"/>
      <c r="AS347" s="1927"/>
      <c r="AT347" s="1927"/>
      <c r="AU347" s="1927"/>
      <c r="AV347" s="1927"/>
      <c r="AW347" s="1927"/>
      <c r="AX347" s="1927"/>
      <c r="AY347" s="1927"/>
      <c r="AZ347" s="1927"/>
      <c r="BA347" s="1927"/>
      <c r="BB347" s="1927"/>
      <c r="BC347" s="1928"/>
      <c r="BD347" s="1328"/>
      <c r="BE347" s="1328"/>
      <c r="BF347" s="1023" t="s">
        <v>798</v>
      </c>
    </row>
    <row s="1656" customFormat="1" customHeight="1" ht="12.75" hidden="1">
      <c r="A348" s="1328"/>
      <c r="B348" s="1186"/>
      <c r="C348" s="1328"/>
      <c r="D348" s="1328"/>
      <c r="E348" s="637">
        <v>15</v>
      </c>
      <c r="F348" s="50" cm="1" t="str">
        <f t="array" ref="F348:F348">OFFSET(E348,-1,1)</f>
        <v>3</v>
      </c>
      <c r="G348" s="94" t="s">
        <v>726</v>
      </c>
      <c r="H348" s="94" t="s">
        <v>619</v>
      </c>
      <c r="I348" s="1328"/>
      <c r="J348" s="1328"/>
      <c r="K348" s="1328"/>
      <c r="L348" s="1328"/>
      <c r="M348" s="1328"/>
      <c r="N348" s="1328"/>
      <c r="O348" s="1328"/>
      <c r="P348" s="1308"/>
      <c r="Q348" s="1308"/>
      <c r="R348" s="1308"/>
      <c r="S348" s="1308"/>
      <c r="T348" s="468" cm="1" t="str">
        <f t="array" ref="T348:T348">T347</f>
        <v>false</v>
      </c>
      <c r="U348" s="1308"/>
      <c r="V348" s="1328"/>
      <c r="W348" s="1308"/>
      <c r="X348" s="1539"/>
      <c r="Y348" s="1528"/>
      <c r="Z348" s="1328"/>
      <c r="AA348" s="1328"/>
      <c r="AB348" s="236" t="s">
        <v>454</v>
      </c>
      <c r="AC348" s="331" t="s">
        <v>729</v>
      </c>
      <c r="AD348" s="89" t="s">
        <v>657</v>
      </c>
      <c r="AE348" s="342">
        <f>AE349+AE350</f>
        <v>0</v>
      </c>
      <c r="AF348" s="342">
        <f>AF349+AF350</f>
        <v>0</v>
      </c>
      <c r="AG348" s="342">
        <f>AG349+AG350</f>
        <v>0</v>
      </c>
      <c r="AH348" s="342">
        <f>AH349+AH350</f>
        <v>0</v>
      </c>
      <c r="AI348" s="342">
        <f>AI349+AI350</f>
        <v>0</v>
      </c>
      <c r="AJ348" s="342">
        <f>AJ349+AJ350</f>
        <v>0</v>
      </c>
      <c r="AK348" s="342">
        <f>AK349+AK350</f>
        <v>0</v>
      </c>
      <c r="AL348" s="342">
        <f>AL349+AL350</f>
        <v>0</v>
      </c>
      <c r="AM348" s="342">
        <f>AM349+AM350</f>
        <v>0</v>
      </c>
      <c r="AN348" s="342">
        <f>AN349+AN350</f>
        <v>0</v>
      </c>
      <c r="AO348" s="342">
        <f>AO349+AO350</f>
        <v>0</v>
      </c>
      <c r="AP348" s="342">
        <f>AP349+AP350</f>
        <v>0</v>
      </c>
      <c r="AQ348" s="342">
        <f>AQ349+AQ350</f>
        <v>0</v>
      </c>
      <c r="AR348" s="342">
        <f>AR349+AR350</f>
        <v>0</v>
      </c>
      <c r="AS348" s="342">
        <f>AS349+AS350</f>
        <v>0</v>
      </c>
      <c r="AT348" s="342">
        <f>AT349+AT350</f>
        <v>0</v>
      </c>
      <c r="AU348" s="342">
        <f>AU349+AU350</f>
        <v>0</v>
      </c>
      <c r="AV348" s="342">
        <f>AV349+AV350</f>
        <v>0</v>
      </c>
      <c r="AW348" s="342">
        <f>AW349+AW350</f>
        <v>0</v>
      </c>
      <c r="AX348" s="342">
        <f>AX349+AX350</f>
        <v>0</v>
      </c>
      <c r="AY348" s="342">
        <f>AY349+AY350</f>
        <v>0</v>
      </c>
      <c r="AZ348" s="342">
        <f>AZ349+AZ350</f>
        <v>0</v>
      </c>
      <c r="BA348" s="342">
        <f>BA349+BA350</f>
        <v>0</v>
      </c>
      <c r="BB348" s="342">
        <f>BB349+BB350</f>
        <v>0</v>
      </c>
      <c r="BC348" s="1928"/>
      <c r="BD348" s="1328"/>
      <c r="BE348" s="1328"/>
      <c r="BF348" s="1023" t="s">
        <v>799</v>
      </c>
    </row>
    <row s="1656" customFormat="1" customHeight="1" ht="12.75" hidden="1">
      <c r="A349" s="1328"/>
      <c r="B349" s="1186"/>
      <c r="C349" s="1328"/>
      <c r="D349" s="1328"/>
      <c r="E349" s="637">
        <v>15</v>
      </c>
      <c r="F349" s="50" cm="1" t="str">
        <f t="array" ref="F349:F349">OFFSET(E349,-1,1)</f>
        <v>3</v>
      </c>
      <c r="G349" s="1328"/>
      <c r="H349" s="94" t="s">
        <v>800</v>
      </c>
      <c r="I349" s="1328"/>
      <c r="J349" s="1328"/>
      <c r="K349" s="1328"/>
      <c r="L349" s="1328"/>
      <c r="M349" s="1328"/>
      <c r="N349" s="1328"/>
      <c r="O349" s="1328"/>
      <c r="P349" s="1308"/>
      <c r="Q349" s="1308"/>
      <c r="R349" s="1308"/>
      <c r="S349" s="1308"/>
      <c r="T349" s="468" cm="1" t="str">
        <f t="array" ref="T349:T349">T348</f>
        <v>false</v>
      </c>
      <c r="U349" s="1308"/>
      <c r="V349" s="1328"/>
      <c r="W349" s="1308"/>
      <c r="X349" s="1539"/>
      <c r="Y349" s="1528"/>
      <c r="Z349" s="1328"/>
      <c r="AA349" s="1328"/>
      <c r="AB349" s="236" t="s">
        <v>801</v>
      </c>
      <c r="AC349" s="332" t="s">
        <v>733</v>
      </c>
      <c r="AD349" s="89" t="s">
        <v>657</v>
      </c>
      <c r="AE349" s="1927"/>
      <c r="AF349" s="1927"/>
      <c r="AG349" s="1927"/>
      <c r="AH349" s="1927"/>
      <c r="AI349" s="1927"/>
      <c r="AJ349" s="1927"/>
      <c r="AK349" s="1927"/>
      <c r="AL349" s="1927"/>
      <c r="AM349" s="1927"/>
      <c r="AN349" s="1927"/>
      <c r="AO349" s="1927"/>
      <c r="AP349" s="1927"/>
      <c r="AQ349" s="1927"/>
      <c r="AR349" s="1927"/>
      <c r="AS349" s="1927"/>
      <c r="AT349" s="1927"/>
      <c r="AU349" s="1927"/>
      <c r="AV349" s="1927"/>
      <c r="AW349" s="1927"/>
      <c r="AX349" s="1927"/>
      <c r="AY349" s="1927"/>
      <c r="AZ349" s="1927"/>
      <c r="BA349" s="1927"/>
      <c r="BB349" s="1927"/>
      <c r="BC349" s="1928"/>
      <c r="BD349" s="1328"/>
      <c r="BE349" s="1328"/>
      <c r="BF349" s="1023" t="s">
        <v>802</v>
      </c>
    </row>
    <row s="1656" customFormat="1" customHeight="1" ht="12.75" hidden="1">
      <c r="A350" s="1328"/>
      <c r="B350" s="1186"/>
      <c r="C350" s="1328"/>
      <c r="D350" s="1328"/>
      <c r="E350" s="637">
        <v>15</v>
      </c>
      <c r="F350" s="50" cm="1" t="str">
        <f t="array" ref="F350:F350">OFFSET(E350,-1,1)</f>
        <v>3</v>
      </c>
      <c r="G350" s="1328"/>
      <c r="H350" s="94" t="s">
        <v>803</v>
      </c>
      <c r="I350" s="1328"/>
      <c r="J350" s="1328"/>
      <c r="K350" s="1328"/>
      <c r="L350" s="1328"/>
      <c r="M350" s="1328"/>
      <c r="N350" s="1328"/>
      <c r="O350" s="1328"/>
      <c r="P350" s="1308"/>
      <c r="Q350" s="1308"/>
      <c r="R350" s="1308"/>
      <c r="S350" s="1308"/>
      <c r="T350" s="468" cm="1" t="str">
        <f t="array" ref="T350:T350">T349</f>
        <v>false</v>
      </c>
      <c r="U350" s="1308"/>
      <c r="V350" s="1328"/>
      <c r="W350" s="1308"/>
      <c r="X350" s="1539"/>
      <c r="Y350" s="1528"/>
      <c r="Z350" s="1328"/>
      <c r="AA350" s="1328"/>
      <c r="AB350" s="236" t="s">
        <v>804</v>
      </c>
      <c r="AC350" s="332" t="s">
        <v>737</v>
      </c>
      <c r="AD350" s="89" t="s">
        <v>657</v>
      </c>
      <c r="AE350" s="1927"/>
      <c r="AF350" s="1927"/>
      <c r="AG350" s="1927"/>
      <c r="AH350" s="1927"/>
      <c r="AI350" s="1927"/>
      <c r="AJ350" s="1927"/>
      <c r="AK350" s="1927"/>
      <c r="AL350" s="1927"/>
      <c r="AM350" s="1927"/>
      <c r="AN350" s="1927"/>
      <c r="AO350" s="1927"/>
      <c r="AP350" s="1927"/>
      <c r="AQ350" s="1927"/>
      <c r="AR350" s="1927"/>
      <c r="AS350" s="1927"/>
      <c r="AT350" s="1927"/>
      <c r="AU350" s="1927"/>
      <c r="AV350" s="1927"/>
      <c r="AW350" s="1927"/>
      <c r="AX350" s="1927"/>
      <c r="AY350" s="1927"/>
      <c r="AZ350" s="1927"/>
      <c r="BA350" s="1927"/>
      <c r="BB350" s="1927"/>
      <c r="BC350" s="1928"/>
      <c r="BD350" s="1328"/>
      <c r="BE350" s="1328"/>
      <c r="BF350" s="1023" t="s">
        <v>805</v>
      </c>
    </row>
    <row s="1656" customFormat="1" customHeight="1" ht="23.25" hidden="1">
      <c r="A351" s="1328"/>
      <c r="B351" s="1186"/>
      <c r="C351" s="1328"/>
      <c r="D351" s="1328"/>
      <c r="E351" s="637">
        <v>22.5</v>
      </c>
      <c r="F351" s="50" cm="1" t="str">
        <f t="array" ref="F351:F351">OFFSET(E351,-1,1)</f>
        <v>3</v>
      </c>
      <c r="G351" s="1328"/>
      <c r="H351" s="94" t="s">
        <v>685</v>
      </c>
      <c r="I351" s="472"/>
      <c r="J351" s="472"/>
      <c r="K351" s="1328"/>
      <c r="L351" s="1328"/>
      <c r="M351" s="1328"/>
      <c r="N351" s="1328"/>
      <c r="O351" s="1328"/>
      <c r="P351" s="1308"/>
      <c r="Q351" s="1308"/>
      <c r="R351" s="1308"/>
      <c r="S351" s="1308"/>
      <c r="T351" s="468" cm="1" t="str">
        <f t="array" ref="T351:T351">T350</f>
        <v>false</v>
      </c>
      <c r="U351" s="1308"/>
      <c r="V351" s="1328"/>
      <c r="W351" s="1308"/>
      <c r="X351" s="1539"/>
      <c r="Y351" s="1528"/>
      <c r="Z351" s="1328"/>
      <c r="AA351" s="1328"/>
      <c r="AB351" s="236" t="s">
        <v>457</v>
      </c>
      <c r="AC351" s="333" t="s">
        <v>776</v>
      </c>
      <c r="AD351" s="89" t="s">
        <v>657</v>
      </c>
      <c r="AE351" s="1927"/>
      <c r="AF351" s="1927"/>
      <c r="AG351" s="1927"/>
      <c r="AH351" s="1927"/>
      <c r="AI351" s="1927"/>
      <c r="AJ351" s="1927"/>
      <c r="AK351" s="1927"/>
      <c r="AL351" s="1927"/>
      <c r="AM351" s="1927"/>
      <c r="AN351" s="1927"/>
      <c r="AO351" s="1927"/>
      <c r="AP351" s="1927"/>
      <c r="AQ351" s="1927"/>
      <c r="AR351" s="1927"/>
      <c r="AS351" s="1927"/>
      <c r="AT351" s="1927"/>
      <c r="AU351" s="1927"/>
      <c r="AV351" s="1927"/>
      <c r="AW351" s="1927"/>
      <c r="AX351" s="1927"/>
      <c r="AY351" s="1927"/>
      <c r="AZ351" s="1927"/>
      <c r="BA351" s="1927"/>
      <c r="BB351" s="1927"/>
      <c r="BC351" s="1928"/>
      <c r="BD351" s="1328"/>
      <c r="BE351" s="1328"/>
      <c r="BF351" s="1023" t="s">
        <v>806</v>
      </c>
    </row>
    <row s="1656" customFormat="1" customHeight="1" ht="12.75" hidden="1">
      <c r="A352" s="1328"/>
      <c r="B352" s="1186"/>
      <c r="C352" s="1328"/>
      <c r="D352" s="1328"/>
      <c r="E352" s="637">
        <v>15</v>
      </c>
      <c r="F352" s="345" cm="1" t="str">
        <f t="array" ref="F352:F352">OFFSET(E352,-1,1)</f>
        <v>3</v>
      </c>
      <c r="G352" s="1328"/>
      <c r="H352" s="1328"/>
      <c r="I352" s="1328"/>
      <c r="J352" s="1328"/>
      <c r="K352" s="1328"/>
      <c r="L352" s="1328"/>
      <c r="M352" s="1328"/>
      <c r="N352" s="1328"/>
      <c r="O352" s="1328"/>
      <c r="P352" s="1308"/>
      <c r="Q352" s="1308"/>
      <c r="R352" s="1308"/>
      <c r="S352" s="1308"/>
      <c r="T352" s="468" cm="1" t="str">
        <f t="array" ref="T352:T352">T351</f>
        <v>false</v>
      </c>
      <c r="U352" s="1308"/>
      <c r="V352" s="1328"/>
      <c r="W352" s="1308"/>
      <c r="X352" s="1539"/>
      <c r="Y352" s="1528"/>
      <c r="Z352" s="1328"/>
      <c r="AA352" s="1328"/>
      <c r="AB352" s="236" t="s">
        <v>778</v>
      </c>
      <c r="AC352" s="330" t="s">
        <v>779</v>
      </c>
      <c r="AD352" s="89" t="s">
        <v>657</v>
      </c>
      <c r="AE352" s="1927"/>
      <c r="AF352" s="1927"/>
      <c r="AG352" s="1927"/>
      <c r="AH352" s="1927"/>
      <c r="AI352" s="1927"/>
      <c r="AJ352" s="1927"/>
      <c r="AK352" s="1927"/>
      <c r="AL352" s="1927"/>
      <c r="AM352" s="1927"/>
      <c r="AN352" s="1927"/>
      <c r="AO352" s="1927"/>
      <c r="AP352" s="1927"/>
      <c r="AQ352" s="1927"/>
      <c r="AR352" s="1927"/>
      <c r="AS352" s="1927"/>
      <c r="AT352" s="1927"/>
      <c r="AU352" s="1927"/>
      <c r="AV352" s="1927"/>
      <c r="AW352" s="1927"/>
      <c r="AX352" s="1927"/>
      <c r="AY352" s="1927"/>
      <c r="AZ352" s="1927"/>
      <c r="BA352" s="1927"/>
      <c r="BB352" s="1927"/>
      <c r="BC352" s="1928"/>
      <c r="BD352" s="1328"/>
      <c r="BE352" s="1328"/>
      <c r="BF352" s="1023" t="s">
        <v>807</v>
      </c>
    </row>
    <row s="1656" customFormat="1" customHeight="1" ht="11.25" hidden="1">
      <c r="A353" s="472"/>
      <c r="B353" s="664"/>
      <c r="C353" s="472"/>
      <c r="D353" s="472"/>
      <c r="E353" s="666" t="s">
        <v>384</v>
      </c>
      <c r="F353" s="1194" cm="1" t="str">
        <f t="array" ref="F353:F353">OFFSET(E353,-1,1)</f>
        <v>3</v>
      </c>
      <c r="G353" s="472"/>
      <c r="H353" s="472"/>
      <c r="I353" s="1656"/>
      <c r="J353" s="1656"/>
      <c r="K353" s="94"/>
      <c r="L353" s="472"/>
      <c r="M353" s="472"/>
      <c r="N353" s="472"/>
      <c r="O353" s="472"/>
      <c r="P353" s="472"/>
      <c r="Q353" s="472"/>
      <c r="R353" s="417"/>
      <c r="S353" s="472"/>
      <c r="T353" s="468" t="b">
        <v>0</v>
      </c>
      <c r="U353" s="472"/>
      <c r="V353" s="472"/>
      <c r="W353" s="472"/>
      <c r="X353" s="1539"/>
      <c r="Y353" s="1528"/>
      <c r="Z353" s="472"/>
      <c r="AA353" s="472"/>
      <c r="AB353" s="1656"/>
      <c r="AC353" s="96"/>
      <c r="AD353" s="96"/>
      <c r="AE353" s="340"/>
      <c r="AF353" s="340"/>
      <c r="AG353" s="340"/>
      <c r="AH353" s="340"/>
      <c r="AI353" s="340"/>
      <c r="AJ353" s="341"/>
      <c r="AK353" s="340"/>
      <c r="AL353" s="340"/>
      <c r="AM353" s="340"/>
      <c r="AN353" s="340"/>
      <c r="AO353" s="340"/>
      <c r="AP353" s="340"/>
      <c r="AQ353" s="340"/>
      <c r="AR353" s="340"/>
      <c r="AS353" s="340"/>
      <c r="AT353" s="340"/>
      <c r="AU353" s="340"/>
      <c r="AV353" s="340"/>
      <c r="AW353" s="340"/>
      <c r="AX353" s="340"/>
      <c r="AY353" s="340"/>
      <c r="AZ353" s="340"/>
      <c r="BA353" s="340"/>
      <c r="BB353" s="340"/>
      <c r="BC353" s="1656"/>
      <c r="BD353" s="1656"/>
      <c r="BE353" s="1656"/>
      <c r="BF353" s="1027"/>
    </row>
    <row s="1656" customFormat="1" customHeight="1" ht="12.75">
      <c r="A354" s="1328"/>
      <c r="B354" s="1186"/>
      <c r="C354" s="1328"/>
      <c r="D354" s="1328"/>
      <c r="E354" s="637">
        <v>15</v>
      </c>
      <c r="F354" s="50" cm="1" t="str">
        <f t="array" ref="F354:F354">OFFSET(E354,-1,1)</f>
        <v>3</v>
      </c>
      <c r="G354" s="1328"/>
      <c r="H354" s="1328"/>
      <c r="I354" s="1328"/>
      <c r="J354" s="1328"/>
      <c r="K354" s="1328"/>
      <c r="L354" s="1328"/>
      <c r="M354" s="1328"/>
      <c r="N354" s="1328"/>
      <c r="O354" s="1328"/>
      <c r="P354" s="1308"/>
      <c r="Q354" s="1308"/>
      <c r="R354" s="417" cm="1" t="str">
        <f t="array" ref="R354:R354">INDEX('Общие сведения'!$AN$197:$AN$254,MATCH($X300,'Общие сведения'!$Z$197:$Z$254,0))</f>
        <v>false</v>
      </c>
      <c r="S354" s="485">
        <f>IF(ISERROR(SEARCH("Водоотведение",AB300)),FALSE,TRUE)</f>
        <v>1</v>
      </c>
      <c r="T354" s="468">
        <f>AND(X300&gt;0,S354,NOT(R354))</f>
        <v>1</v>
      </c>
      <c r="U354" s="1308"/>
      <c r="V354" s="1328"/>
      <c r="W354" s="1308"/>
      <c r="X354" s="1539"/>
      <c r="Y354" s="1528"/>
      <c r="Z354" s="1328"/>
      <c r="AA354" s="1328"/>
      <c r="AB354" s="236" t="s">
        <v>290</v>
      </c>
      <c r="AC354" s="133" t="s">
        <v>808</v>
      </c>
      <c r="AD354" s="193"/>
      <c r="AE354" s="574" cm="1" t="str">
        <f t="array" ref="AE354:AE354">INDEX('Общие сведения'!$AH$197:$AH$254,MATCH($X300,'Общие сведения'!$Z$197:$Z$254,0))</f>
        <v>без дифференциации</v>
      </c>
      <c r="AF354" s="358"/>
      <c r="AG354" s="358"/>
      <c r="AH354" s="358"/>
      <c r="AI354" s="358"/>
      <c r="AJ354" s="358"/>
      <c r="AK354" s="358"/>
      <c r="AL354" s="358"/>
      <c r="AM354" s="358"/>
      <c r="AN354" s="358"/>
      <c r="AO354" s="358"/>
      <c r="AP354" s="358"/>
      <c r="AQ354" s="358"/>
      <c r="AR354" s="358"/>
      <c r="AS354" s="358"/>
      <c r="AT354" s="358"/>
      <c r="AU354" s="358"/>
      <c r="AV354" s="358"/>
      <c r="AW354" s="358"/>
      <c r="AX354" s="358"/>
      <c r="AY354" s="358"/>
      <c r="AZ354" s="358"/>
      <c r="BA354" s="358"/>
      <c r="BB354" s="359"/>
      <c r="BC354" s="196"/>
      <c r="BD354" s="1328"/>
      <c r="BE354" s="1328"/>
      <c r="BF354" s="1023" t="s">
        <v>809</v>
      </c>
    </row>
    <row s="1656" customFormat="1" customHeight="1" ht="19.921875">
      <c r="A355" s="1328"/>
      <c r="B355" s="1186"/>
      <c r="C355" s="1328"/>
      <c r="D355" s="1328"/>
      <c r="E355" s="637">
        <v>15</v>
      </c>
      <c r="F355" s="50" cm="1" t="str">
        <f t="array" ref="F355:F355">OFFSET(E355,-1,1)</f>
        <v>3</v>
      </c>
      <c r="G355" s="1328"/>
      <c r="H355" s="94" t="s">
        <v>348</v>
      </c>
      <c r="I355" s="1328"/>
      <c r="J355" s="1328"/>
      <c r="K355" s="1328"/>
      <c r="L355" s="1328"/>
      <c r="M355" s="1328"/>
      <c r="N355" s="1328"/>
      <c r="O355" s="1328"/>
      <c r="P355" s="1308"/>
      <c r="Q355" s="1308"/>
      <c r="R355" s="1308"/>
      <c r="S355" s="1308"/>
      <c r="T355" s="468" cm="1" t="str">
        <f t="array" ref="T355:T355">T354</f>
        <v>true</v>
      </c>
      <c r="U355" s="1308"/>
      <c r="V355" s="1328"/>
      <c r="W355" s="1308"/>
      <c r="X355" s="1539"/>
      <c r="Y355" s="1528"/>
      <c r="Z355" s="1328"/>
      <c r="AA355" s="1328"/>
      <c r="AB355" s="236" t="s">
        <v>299</v>
      </c>
      <c r="AC355" s="133" t="s">
        <v>810</v>
      </c>
      <c r="AD355" s="89" t="s">
        <v>657</v>
      </c>
      <c r="AE355" s="343">
        <f>AE356+AE357+AE370</f>
        <v>1530.84022</v>
      </c>
      <c r="AF355" s="343">
        <f>AF356+AF357+AF370</f>
        <v>1106.15104</v>
      </c>
      <c r="AG355" s="343">
        <f>AG356+AG357+AG370</f>
        <v>1106.15104</v>
      </c>
      <c r="AH355" s="343">
        <f>AH356+AH357+AH370</f>
        <v>1456.5032</v>
      </c>
      <c r="AI355" s="343">
        <f>AI356+AI357+AI370</f>
        <v>1458.9532</v>
      </c>
      <c r="AJ355" s="343">
        <f>AJ356+AJ357+AJ370</f>
        <v>0</v>
      </c>
      <c r="AK355" s="343">
        <f>AK356+AK357+AK370</f>
        <v>0</v>
      </c>
      <c r="AL355" s="343">
        <f>AL356+AL357+AL370</f>
        <v>0</v>
      </c>
      <c r="AM355" s="343">
        <f>AM356+AM357+AM370</f>
        <v>0</v>
      </c>
      <c r="AN355" s="343">
        <f>AN356+AN357+AN370</f>
        <v>0</v>
      </c>
      <c r="AO355" s="343">
        <f>AO356+AO357+AO370</f>
        <v>0</v>
      </c>
      <c r="AP355" s="343">
        <f>AP356+AP357+AP370</f>
        <v>0</v>
      </c>
      <c r="AQ355" s="343">
        <f>AQ356+AQ357+AQ370</f>
        <v>0</v>
      </c>
      <c r="AR355" s="343">
        <f>AR356+AR357+AR370</f>
        <v>0</v>
      </c>
      <c r="AS355" s="343">
        <f>AS356+AS357+AS370</f>
        <v>1387.33054</v>
      </c>
      <c r="AT355" s="343">
        <f>AT356+AT357+AT370</f>
        <v>0</v>
      </c>
      <c r="AU355" s="343">
        <f>AU356+AU357+AU370</f>
        <v>0</v>
      </c>
      <c r="AV355" s="343">
        <f>AV356+AV357+AV370</f>
        <v>0</v>
      </c>
      <c r="AW355" s="343">
        <f>AW356+AW357+AW370</f>
        <v>0</v>
      </c>
      <c r="AX355" s="343">
        <f>AX356+AX357+AX370</f>
        <v>0</v>
      </c>
      <c r="AY355" s="343">
        <f>AY356+AY357+AY370</f>
        <v>0</v>
      </c>
      <c r="AZ355" s="343">
        <f>AZ356+AZ357+AZ370</f>
        <v>0</v>
      </c>
      <c r="BA355" s="343">
        <f>BA356+BA357+BA370</f>
        <v>0</v>
      </c>
      <c r="BB355" s="343">
        <f>BB356+BB357+BB370</f>
        <v>0</v>
      </c>
      <c r="BC355" s="196"/>
      <c r="BD355" s="1328"/>
      <c r="BE355" s="1328"/>
      <c r="BF355" s="1023" t="s">
        <v>811</v>
      </c>
    </row>
    <row s="1656" customFormat="1" customHeight="1" ht="38.671875">
      <c r="A356" s="1328"/>
      <c r="B356" s="1186"/>
      <c r="C356" s="1328"/>
      <c r="D356" s="1328"/>
      <c r="E356" s="637">
        <v>15</v>
      </c>
      <c r="F356" s="50" cm="1" t="str">
        <f t="array" ref="F356:F356">OFFSET(E356,-1,1)</f>
        <v>3</v>
      </c>
      <c r="G356" s="94" t="str">
        <f>IF(OwnNeedsInPO="да","ПО","")</f>
        <v>ПО</v>
      </c>
      <c r="H356" s="94" t="s">
        <v>347</v>
      </c>
      <c r="I356" s="1328"/>
      <c r="J356" s="1328"/>
      <c r="K356" s="1328"/>
      <c r="L356" s="1328"/>
      <c r="M356" s="1328"/>
      <c r="N356" s="1328"/>
      <c r="O356" s="1328"/>
      <c r="P356" s="1308"/>
      <c r="Q356" s="1308"/>
      <c r="R356" s="1308"/>
      <c r="S356" s="1308"/>
      <c r="T356" s="468" cm="1" t="str">
        <f t="array" ref="T356:T356">T355</f>
        <v>true</v>
      </c>
      <c r="U356" s="1308"/>
      <c r="V356" s="1328"/>
      <c r="W356" s="1308"/>
      <c r="X356" s="1539"/>
      <c r="Y356" s="1528"/>
      <c r="Z356" s="1328"/>
      <c r="AA356" s="1328"/>
      <c r="AB356" s="236" t="s">
        <v>234</v>
      </c>
      <c r="AC356" s="133" t="s">
        <v>812</v>
      </c>
      <c r="AD356" s="89" t="s">
        <v>657</v>
      </c>
      <c r="AE356" s="272">
        <v>22.99475</v>
      </c>
      <c r="AF356" s="272">
        <v>26.5</v>
      </c>
      <c r="AG356" s="272">
        <v>26.5</v>
      </c>
      <c r="AH356" s="272">
        <v>24.05</v>
      </c>
      <c r="AI356" s="272">
        <v>26.5</v>
      </c>
      <c r="AJ356" s="1927"/>
      <c r="AK356" s="1927"/>
      <c r="AL356" s="1927"/>
      <c r="AM356" s="1927"/>
      <c r="AN356" s="1927"/>
      <c r="AO356" s="1927"/>
      <c r="AP356" s="1927"/>
      <c r="AQ356" s="1927"/>
      <c r="AR356" s="1927"/>
      <c r="AS356" s="272">
        <v>26.5</v>
      </c>
      <c r="AT356" s="1927"/>
      <c r="AU356" s="1927"/>
      <c r="AV356" s="1927"/>
      <c r="AW356" s="1927"/>
      <c r="AX356" s="1927"/>
      <c r="AY356" s="1927"/>
      <c r="AZ356" s="1927"/>
      <c r="BA356" s="1927"/>
      <c r="BB356" s="1927"/>
      <c r="BC356" s="196" t="s">
        <v>907</v>
      </c>
      <c r="BD356" s="1328"/>
      <c r="BE356" s="1328"/>
      <c r="BF356" s="1023" t="s">
        <v>813</v>
      </c>
    </row>
    <row s="1656" customFormat="1" customHeight="1" ht="21.421875">
      <c r="A357" s="1328"/>
      <c r="B357" s="1186"/>
      <c r="C357" s="1328"/>
      <c r="D357" s="1328"/>
      <c r="E357" s="637">
        <v>15</v>
      </c>
      <c r="F357" s="50" cm="1" t="str">
        <f t="array" ref="F357:F357">OFFSET(E357,-1,1)</f>
        <v>3</v>
      </c>
      <c r="G357" s="94" t="s">
        <v>726</v>
      </c>
      <c r="H357" s="94" t="s">
        <v>616</v>
      </c>
      <c r="I357" s="1328"/>
      <c r="J357" s="1328"/>
      <c r="K357" s="1328"/>
      <c r="L357" s="1328"/>
      <c r="M357" s="1328"/>
      <c r="N357" s="1328"/>
      <c r="O357" s="1328"/>
      <c r="P357" s="1308"/>
      <c r="Q357" s="1308"/>
      <c r="R357" s="1308"/>
      <c r="S357" s="1308"/>
      <c r="T357" s="468" cm="1" t="str">
        <f t="array" ref="T357:T357">T356</f>
        <v>true</v>
      </c>
      <c r="U357" s="1308"/>
      <c r="V357" s="1328"/>
      <c r="W357" s="1308"/>
      <c r="X357" s="1539"/>
      <c r="Y357" s="1528"/>
      <c r="Z357" s="1328"/>
      <c r="AA357" s="1328"/>
      <c r="AB357" s="236" t="s">
        <v>451</v>
      </c>
      <c r="AC357" s="134" t="s">
        <v>814</v>
      </c>
      <c r="AD357" s="89" t="s">
        <v>657</v>
      </c>
      <c r="AE357" s="342">
        <f>AE358+AE361+AE364+AE367</f>
        <v>1507.84547</v>
      </c>
      <c r="AF357" s="342">
        <f>AF358+AF361+AF364+AF367</f>
        <v>1079.65104</v>
      </c>
      <c r="AG357" s="342">
        <f>AG358+AG361+AG364+AG367</f>
        <v>1079.65104</v>
      </c>
      <c r="AH357" s="342">
        <f>AH358+AH361+AH364+AH367</f>
        <v>1432.4532</v>
      </c>
      <c r="AI357" s="342">
        <f>AI358+AI361+AI364+AI367</f>
        <v>1432.4532</v>
      </c>
      <c r="AJ357" s="342">
        <f>AJ358+AJ361+AJ364+AJ367</f>
        <v>0</v>
      </c>
      <c r="AK357" s="342">
        <f>AK358+AK361+AK364+AK367</f>
        <v>0</v>
      </c>
      <c r="AL357" s="342">
        <f>AL358+AL361+AL364+AL367</f>
        <v>0</v>
      </c>
      <c r="AM357" s="342">
        <f>AM358+AM361+AM364+AM367</f>
        <v>0</v>
      </c>
      <c r="AN357" s="342">
        <f>AN358+AN361+AN364+AN367</f>
        <v>0</v>
      </c>
      <c r="AO357" s="342">
        <f>AO358+AO361+AO364+AO367</f>
        <v>0</v>
      </c>
      <c r="AP357" s="342">
        <f>AP358+AP361+AP364+AP367</f>
        <v>0</v>
      </c>
      <c r="AQ357" s="342">
        <f>AQ358+AQ361+AQ364+AQ367</f>
        <v>0</v>
      </c>
      <c r="AR357" s="342">
        <f>AR358+AR361+AR364+AR367</f>
        <v>0</v>
      </c>
      <c r="AS357" s="342">
        <f>AS358+AS361+AS364+AS367</f>
        <v>1360.83054</v>
      </c>
      <c r="AT357" s="342">
        <f>AT358+AT361+AT364+AT367</f>
        <v>0</v>
      </c>
      <c r="AU357" s="342">
        <f>AU358+AU361+AU364+AU367</f>
        <v>0</v>
      </c>
      <c r="AV357" s="342">
        <f>AV358+AV361+AV364+AV367</f>
        <v>0</v>
      </c>
      <c r="AW357" s="342">
        <f>AW358+AW361+AW364+AW367</f>
        <v>0</v>
      </c>
      <c r="AX357" s="342">
        <f>AX358+AX361+AX364+AX367</f>
        <v>0</v>
      </c>
      <c r="AY357" s="342">
        <f>AY358+AY361+AY364+AY367</f>
        <v>0</v>
      </c>
      <c r="AZ357" s="342">
        <f>AZ358+AZ361+AZ364+AZ367</f>
        <v>0</v>
      </c>
      <c r="BA357" s="342">
        <f>BA358+BA361+BA364+BA367</f>
        <v>0</v>
      </c>
      <c r="BB357" s="342">
        <f>BB358+BB361+BB364+BB367</f>
        <v>0</v>
      </c>
      <c r="BC357" s="196"/>
      <c r="BD357" s="1328"/>
      <c r="BE357" s="1328"/>
      <c r="BF357" s="1023" t="s">
        <v>815</v>
      </c>
    </row>
    <row s="1656" customFormat="1" customHeight="1" ht="19.171875">
      <c r="A358" s="1328"/>
      <c r="B358" s="1186"/>
      <c r="C358" s="1328"/>
      <c r="D358" s="1328"/>
      <c r="E358" s="637">
        <v>15</v>
      </c>
      <c r="F358" s="50" cm="1" t="str">
        <f t="array" ref="F358:F358">OFFSET(E358,-1,1)</f>
        <v>3</v>
      </c>
      <c r="G358" s="1328"/>
      <c r="H358" s="94" t="s">
        <v>793</v>
      </c>
      <c r="I358" s="1328"/>
      <c r="J358" s="1328"/>
      <c r="K358" s="1328"/>
      <c r="L358" s="1328"/>
      <c r="M358" s="1328"/>
      <c r="N358" s="1328"/>
      <c r="O358" s="1328"/>
      <c r="P358" s="1308"/>
      <c r="Q358" s="1308"/>
      <c r="R358" s="1308"/>
      <c r="S358" s="1308"/>
      <c r="T358" s="468" cm="1" t="str">
        <f t="array" ref="T358:T358">T357</f>
        <v>true</v>
      </c>
      <c r="U358" s="1308"/>
      <c r="V358" s="1328"/>
      <c r="W358" s="1308"/>
      <c r="X358" s="1539"/>
      <c r="Y358" s="1528"/>
      <c r="Z358" s="1328"/>
      <c r="AA358" s="1328"/>
      <c r="AB358" s="236" t="s">
        <v>794</v>
      </c>
      <c r="AC358" s="188" t="s">
        <v>745</v>
      </c>
      <c r="AD358" s="89" t="s">
        <v>657</v>
      </c>
      <c r="AE358" s="342">
        <f>AE359+AE360</f>
        <v>106.99851</v>
      </c>
      <c r="AF358" s="342">
        <f>AF359+AF360</f>
        <v>78.14024</v>
      </c>
      <c r="AG358" s="342">
        <f>AG359+AG360</f>
        <v>78.14024</v>
      </c>
      <c r="AH358" s="342">
        <f>AH359+AH360</f>
        <v>101.64858</v>
      </c>
      <c r="AI358" s="342">
        <f>AI359+AI360</f>
        <v>101.64858</v>
      </c>
      <c r="AJ358" s="342">
        <f>AJ359+AJ360</f>
        <v>0</v>
      </c>
      <c r="AK358" s="342">
        <f>AK359+AK360</f>
        <v>0</v>
      </c>
      <c r="AL358" s="342">
        <f>AL359+AL360</f>
        <v>0</v>
      </c>
      <c r="AM358" s="342">
        <f>AM359+AM360</f>
        <v>0</v>
      </c>
      <c r="AN358" s="342">
        <f>AN359+AN360</f>
        <v>0</v>
      </c>
      <c r="AO358" s="342">
        <f>AO359+AO360</f>
        <v>0</v>
      </c>
      <c r="AP358" s="342">
        <f>AP359+AP360</f>
        <v>0</v>
      </c>
      <c r="AQ358" s="342">
        <f>AQ359+AQ360</f>
        <v>0</v>
      </c>
      <c r="AR358" s="342">
        <f>AR359+AR360</f>
        <v>0</v>
      </c>
      <c r="AS358" s="342">
        <f>AS359+AS360</f>
        <v>96.56615</v>
      </c>
      <c r="AT358" s="342">
        <f>AT359+AT360</f>
        <v>0</v>
      </c>
      <c r="AU358" s="342">
        <f>AU359+AU360</f>
        <v>0</v>
      </c>
      <c r="AV358" s="342">
        <f>AV359+AV360</f>
        <v>0</v>
      </c>
      <c r="AW358" s="342">
        <f>AW359+AW360</f>
        <v>0</v>
      </c>
      <c r="AX358" s="342">
        <f>AX359+AX360</f>
        <v>0</v>
      </c>
      <c r="AY358" s="342">
        <f>AY359+AY360</f>
        <v>0</v>
      </c>
      <c r="AZ358" s="342">
        <f>AZ359+AZ360</f>
        <v>0</v>
      </c>
      <c r="BA358" s="342">
        <f>BA359+BA360</f>
        <v>0</v>
      </c>
      <c r="BB358" s="342">
        <f>BB359+BB360</f>
        <v>0</v>
      </c>
      <c r="BC358" s="196"/>
      <c r="BD358" s="1328"/>
      <c r="BE358" s="1328"/>
      <c r="BF358" s="1023" t="s">
        <v>816</v>
      </c>
    </row>
    <row s="1656" customFormat="1" customHeight="1" ht="12.75">
      <c r="A359" s="1328"/>
      <c r="B359" s="1186"/>
      <c r="C359" s="1328"/>
      <c r="D359" s="1328"/>
      <c r="E359" s="637">
        <v>15</v>
      </c>
      <c r="F359" s="50" cm="1" t="str">
        <f t="array" ref="F359:F359">OFFSET(E359,-1,1)</f>
        <v>3</v>
      </c>
      <c r="G359" s="1328"/>
      <c r="H359" s="94" t="s">
        <v>817</v>
      </c>
      <c r="I359" s="1328"/>
      <c r="J359" s="1328"/>
      <c r="K359" s="1328"/>
      <c r="L359" s="1328"/>
      <c r="M359" s="1328"/>
      <c r="N359" s="1328"/>
      <c r="O359" s="1328"/>
      <c r="P359" s="1308"/>
      <c r="Q359" s="1308"/>
      <c r="R359" s="1308"/>
      <c r="S359" s="1308"/>
      <c r="T359" s="468" cm="1" t="str">
        <f t="array" ref="T359:T359">T358</f>
        <v>true</v>
      </c>
      <c r="U359" s="1308"/>
      <c r="V359" s="1328"/>
      <c r="W359" s="1308"/>
      <c r="X359" s="1539"/>
      <c r="Y359" s="1528"/>
      <c r="Z359" s="1328"/>
      <c r="AA359" s="1328"/>
      <c r="AB359" s="236" t="s">
        <v>818</v>
      </c>
      <c r="AC359" s="334" t="s">
        <v>733</v>
      </c>
      <c r="AD359" s="89" t="s">
        <v>657</v>
      </c>
      <c r="AE359" s="272"/>
      <c r="AF359" s="272"/>
      <c r="AG359" s="272"/>
      <c r="AH359" s="272"/>
      <c r="AI359" s="272"/>
      <c r="AJ359" s="1927"/>
      <c r="AK359" s="1927"/>
      <c r="AL359" s="1927"/>
      <c r="AM359" s="1927"/>
      <c r="AN359" s="1927"/>
      <c r="AO359" s="1927"/>
      <c r="AP359" s="1927"/>
      <c r="AQ359" s="1927"/>
      <c r="AR359" s="1927"/>
      <c r="AS359" s="272"/>
      <c r="AT359" s="1927"/>
      <c r="AU359" s="1927"/>
      <c r="AV359" s="1927"/>
      <c r="AW359" s="1927"/>
      <c r="AX359" s="1927"/>
      <c r="AY359" s="1927"/>
      <c r="AZ359" s="1927"/>
      <c r="BA359" s="1927"/>
      <c r="BB359" s="1927"/>
      <c r="BC359" s="196"/>
      <c r="BD359" s="1328"/>
      <c r="BE359" s="1328"/>
      <c r="BF359" s="1023" t="s">
        <v>819</v>
      </c>
    </row>
    <row s="1656" customFormat="1" customHeight="1" ht="52.921875">
      <c r="A360" s="1328"/>
      <c r="B360" s="1186"/>
      <c r="C360" s="1328"/>
      <c r="D360" s="1328"/>
      <c r="E360" s="637">
        <v>15</v>
      </c>
      <c r="F360" s="50" cm="1" t="str">
        <f t="array" ref="F360:F360">OFFSET(E360,-1,1)</f>
        <v>3</v>
      </c>
      <c r="G360" s="1328"/>
      <c r="H360" s="94" t="s">
        <v>820</v>
      </c>
      <c r="I360" s="1328"/>
      <c r="J360" s="1328"/>
      <c r="K360" s="1328"/>
      <c r="L360" s="1328"/>
      <c r="M360" s="1328"/>
      <c r="N360" s="1328"/>
      <c r="O360" s="1328"/>
      <c r="P360" s="1308"/>
      <c r="Q360" s="1308"/>
      <c r="R360" s="1308"/>
      <c r="S360" s="1308"/>
      <c r="T360" s="468" cm="1" t="str">
        <f t="array" ref="T360:T360">T359</f>
        <v>true</v>
      </c>
      <c r="U360" s="1308"/>
      <c r="V360" s="1328"/>
      <c r="W360" s="1308"/>
      <c r="X360" s="1539"/>
      <c r="Y360" s="1528"/>
      <c r="Z360" s="1328"/>
      <c r="AA360" s="1328"/>
      <c r="AB360" s="236" t="s">
        <v>821</v>
      </c>
      <c r="AC360" s="334" t="s">
        <v>737</v>
      </c>
      <c r="AD360" s="89" t="s">
        <v>657</v>
      </c>
      <c r="AE360" s="272">
        <v>106.99851</v>
      </c>
      <c r="AF360" s="272">
        <v>78.14024</v>
      </c>
      <c r="AG360" s="272">
        <v>78.14024</v>
      </c>
      <c r="AH360" s="272">
        <v>101.64858</v>
      </c>
      <c r="AI360" s="272">
        <v>101.64858</v>
      </c>
      <c r="AJ360" s="1927"/>
      <c r="AK360" s="1927"/>
      <c r="AL360" s="1927"/>
      <c r="AM360" s="1927"/>
      <c r="AN360" s="1927"/>
      <c r="AO360" s="1927"/>
      <c r="AP360" s="1927"/>
      <c r="AQ360" s="1927"/>
      <c r="AR360" s="1927"/>
      <c r="AS360" s="272">
        <v>96.56615</v>
      </c>
      <c r="AT360" s="1927"/>
      <c r="AU360" s="1927"/>
      <c r="AV360" s="1927"/>
      <c r="AW360" s="1927"/>
      <c r="AX360" s="1927"/>
      <c r="AY360" s="1927"/>
      <c r="AZ360" s="1927"/>
      <c r="BA360" s="1927"/>
      <c r="BB360" s="1927"/>
      <c r="BC360" s="196" t="s">
        <v>908</v>
      </c>
      <c r="BD360" s="1328"/>
      <c r="BE360" s="1328"/>
      <c r="BF360" s="1023" t="s">
        <v>822</v>
      </c>
    </row>
    <row s="1656" customFormat="1" customHeight="1" ht="16.171875">
      <c r="A361" s="1328"/>
      <c r="B361" s="1186"/>
      <c r="C361" s="1328"/>
      <c r="D361" s="1328"/>
      <c r="E361" s="637">
        <v>15</v>
      </c>
      <c r="F361" s="50" cm="1" t="str">
        <f t="array" ref="F361:F361">OFFSET(E361,-1,1)</f>
        <v>3</v>
      </c>
      <c r="G361" s="94" t="s">
        <v>753</v>
      </c>
      <c r="H361" s="94" t="s">
        <v>796</v>
      </c>
      <c r="I361" s="1328"/>
      <c r="J361" s="1328"/>
      <c r="K361" s="1328"/>
      <c r="L361" s="1328"/>
      <c r="M361" s="1328"/>
      <c r="N361" s="1328"/>
      <c r="O361" s="1328"/>
      <c r="P361" s="1308"/>
      <c r="Q361" s="1308"/>
      <c r="R361" s="1308"/>
      <c r="S361" s="1308"/>
      <c r="T361" s="468" cm="1" t="str">
        <f t="array" ref="T361:T361">T360</f>
        <v>true</v>
      </c>
      <c r="U361" s="1308"/>
      <c r="V361" s="1328"/>
      <c r="W361" s="1308"/>
      <c r="X361" s="1539"/>
      <c r="Y361" s="1528"/>
      <c r="Z361" s="1328"/>
      <c r="AA361" s="1328"/>
      <c r="AB361" s="236" t="s">
        <v>797</v>
      </c>
      <c r="AC361" s="188" t="s">
        <v>756</v>
      </c>
      <c r="AD361" s="89" t="s">
        <v>657</v>
      </c>
      <c r="AE361" s="342">
        <f>AE362+AE363</f>
        <v>949.9715</v>
      </c>
      <c r="AF361" s="342">
        <f>AF362+AF363</f>
        <v>805.0451</v>
      </c>
      <c r="AG361" s="342">
        <f>AG362+AG363</f>
        <v>805.0451</v>
      </c>
      <c r="AH361" s="342">
        <f>AH362+AH363</f>
        <v>902.47293</v>
      </c>
      <c r="AI361" s="342">
        <f>AI362+AI363</f>
        <v>902.47293</v>
      </c>
      <c r="AJ361" s="342">
        <f>AJ362+AJ363</f>
        <v>0</v>
      </c>
      <c r="AK361" s="342">
        <f>AK362+AK363</f>
        <v>0</v>
      </c>
      <c r="AL361" s="342">
        <f>AL362+AL363</f>
        <v>0</v>
      </c>
      <c r="AM361" s="342">
        <f>AM362+AM363</f>
        <v>0</v>
      </c>
      <c r="AN361" s="342">
        <f>AN362+AN363</f>
        <v>0</v>
      </c>
      <c r="AO361" s="342">
        <f>AO362+AO363</f>
        <v>0</v>
      </c>
      <c r="AP361" s="342">
        <f>AP362+AP363</f>
        <v>0</v>
      </c>
      <c r="AQ361" s="342">
        <f>AQ362+AQ363</f>
        <v>0</v>
      </c>
      <c r="AR361" s="342">
        <f>AR362+AR363</f>
        <v>0</v>
      </c>
      <c r="AS361" s="342">
        <f>AS362+AS363</f>
        <v>857.34928</v>
      </c>
      <c r="AT361" s="342">
        <f>AT362+AT363</f>
        <v>0</v>
      </c>
      <c r="AU361" s="342">
        <f>AU362+AU363</f>
        <v>0</v>
      </c>
      <c r="AV361" s="342">
        <f>AV362+AV363</f>
        <v>0</v>
      </c>
      <c r="AW361" s="342">
        <f>AW362+AW363</f>
        <v>0</v>
      </c>
      <c r="AX361" s="342">
        <f>AX362+AX363</f>
        <v>0</v>
      </c>
      <c r="AY361" s="342">
        <f>AY362+AY363</f>
        <v>0</v>
      </c>
      <c r="AZ361" s="342">
        <f>AZ362+AZ363</f>
        <v>0</v>
      </c>
      <c r="BA361" s="342">
        <f>BA362+BA363</f>
        <v>0</v>
      </c>
      <c r="BB361" s="342">
        <f>BB362+BB363</f>
        <v>0</v>
      </c>
      <c r="BC361" s="196"/>
      <c r="BD361" s="1328"/>
      <c r="BE361" s="1328"/>
      <c r="BF361" s="1023" t="s">
        <v>823</v>
      </c>
    </row>
    <row s="1656" customFormat="1" customHeight="1" ht="12.75">
      <c r="A362" s="1328"/>
      <c r="B362" s="1186"/>
      <c r="C362" s="1328"/>
      <c r="D362" s="1328"/>
      <c r="E362" s="637">
        <v>15</v>
      </c>
      <c r="F362" s="50" cm="1" t="str">
        <f t="array" ref="F362:F362">OFFSET(E362,-1,1)</f>
        <v>3</v>
      </c>
      <c r="G362" s="1328"/>
      <c r="H362" s="94" t="s">
        <v>824</v>
      </c>
      <c r="I362" s="1328"/>
      <c r="J362" s="1328"/>
      <c r="K362" s="1328"/>
      <c r="L362" s="1328"/>
      <c r="M362" s="1328"/>
      <c r="N362" s="1328"/>
      <c r="O362" s="1328"/>
      <c r="P362" s="1308"/>
      <c r="Q362" s="1308"/>
      <c r="R362" s="1308"/>
      <c r="S362" s="1308"/>
      <c r="T362" s="468" cm="1" t="str">
        <f t="array" ref="T362:T362">T361</f>
        <v>true</v>
      </c>
      <c r="U362" s="1308"/>
      <c r="V362" s="1328"/>
      <c r="W362" s="1308"/>
      <c r="X362" s="1539"/>
      <c r="Y362" s="1528"/>
      <c r="Z362" s="1328"/>
      <c r="AA362" s="1328"/>
      <c r="AB362" s="236" t="s">
        <v>825</v>
      </c>
      <c r="AC362" s="334" t="s">
        <v>733</v>
      </c>
      <c r="AD362" s="89" t="s">
        <v>657</v>
      </c>
      <c r="AE362" s="272"/>
      <c r="AF362" s="272"/>
      <c r="AG362" s="272"/>
      <c r="AH362" s="272"/>
      <c r="AI362" s="272"/>
      <c r="AJ362" s="1927"/>
      <c r="AK362" s="1927"/>
      <c r="AL362" s="1927"/>
      <c r="AM362" s="1927"/>
      <c r="AN362" s="1927"/>
      <c r="AO362" s="1927"/>
      <c r="AP362" s="1927"/>
      <c r="AQ362" s="1927"/>
      <c r="AR362" s="1927"/>
      <c r="AS362" s="272"/>
      <c r="AT362" s="1927"/>
      <c r="AU362" s="1927"/>
      <c r="AV362" s="1927"/>
      <c r="AW362" s="1927"/>
      <c r="AX362" s="1927"/>
      <c r="AY362" s="1927"/>
      <c r="AZ362" s="1927"/>
      <c r="BA362" s="1927"/>
      <c r="BB362" s="1927"/>
      <c r="BC362" s="196"/>
      <c r="BD362" s="1328"/>
      <c r="BE362" s="1328"/>
      <c r="BF362" s="1023" t="s">
        <v>826</v>
      </c>
    </row>
    <row s="1656" customFormat="1" customHeight="1" ht="52.171875">
      <c r="A363" s="1328"/>
      <c r="B363" s="1186"/>
      <c r="C363" s="1328"/>
      <c r="D363" s="1328"/>
      <c r="E363" s="637">
        <v>15</v>
      </c>
      <c r="F363" s="50" cm="1" t="str">
        <f t="array" ref="F363:F363">OFFSET(E363,-1,1)</f>
        <v>3</v>
      </c>
      <c r="G363" s="1328"/>
      <c r="H363" s="94" t="s">
        <v>827</v>
      </c>
      <c r="I363" s="1328"/>
      <c r="J363" s="1328"/>
      <c r="K363" s="1328"/>
      <c r="L363" s="1328"/>
      <c r="M363" s="1328"/>
      <c r="N363" s="1328"/>
      <c r="O363" s="1328"/>
      <c r="P363" s="1308"/>
      <c r="Q363" s="1308"/>
      <c r="R363" s="1308"/>
      <c r="S363" s="1308"/>
      <c r="T363" s="468" cm="1" t="str">
        <f t="array" ref="T363:T363">T362</f>
        <v>true</v>
      </c>
      <c r="U363" s="1308"/>
      <c r="V363" s="1328"/>
      <c r="W363" s="1308"/>
      <c r="X363" s="1539"/>
      <c r="Y363" s="1528"/>
      <c r="Z363" s="1328"/>
      <c r="AA363" s="1328"/>
      <c r="AB363" s="236" t="s">
        <v>828</v>
      </c>
      <c r="AC363" s="334" t="s">
        <v>737</v>
      </c>
      <c r="AD363" s="89" t="s">
        <v>657</v>
      </c>
      <c r="AE363" s="272">
        <v>949.9715</v>
      </c>
      <c r="AF363" s="272">
        <v>805.0451</v>
      </c>
      <c r="AG363" s="272">
        <v>805.0451</v>
      </c>
      <c r="AH363" s="272">
        <v>902.47293</v>
      </c>
      <c r="AI363" s="272">
        <v>902.47293</v>
      </c>
      <c r="AJ363" s="1927"/>
      <c r="AK363" s="1927"/>
      <c r="AL363" s="1927"/>
      <c r="AM363" s="1927"/>
      <c r="AN363" s="1927"/>
      <c r="AO363" s="1927"/>
      <c r="AP363" s="1927"/>
      <c r="AQ363" s="1927"/>
      <c r="AR363" s="1927"/>
      <c r="AS363" s="272">
        <v>857.34928</v>
      </c>
      <c r="AT363" s="1927"/>
      <c r="AU363" s="1927"/>
      <c r="AV363" s="1927"/>
      <c r="AW363" s="1927"/>
      <c r="AX363" s="1927"/>
      <c r="AY363" s="1927"/>
      <c r="AZ363" s="1927"/>
      <c r="BA363" s="1927"/>
      <c r="BB363" s="1927"/>
      <c r="BC363" s="196" t="s">
        <v>908</v>
      </c>
      <c r="BD363" s="1328"/>
      <c r="BE363" s="1328"/>
      <c r="BF363" s="1023" t="s">
        <v>829</v>
      </c>
    </row>
    <row s="1656" customFormat="1" customHeight="1" ht="17.671875">
      <c r="A364" s="1328"/>
      <c r="B364" s="1186"/>
      <c r="C364" s="1328"/>
      <c r="D364" s="1328"/>
      <c r="E364" s="637">
        <v>15</v>
      </c>
      <c r="F364" s="50" cm="1" t="str">
        <f t="array" ref="F364:F364">OFFSET(E364,-1,1)</f>
        <v>3</v>
      </c>
      <c r="G364" s="1328"/>
      <c r="H364" s="94" t="s">
        <v>830</v>
      </c>
      <c r="I364" s="1328"/>
      <c r="J364" s="1328"/>
      <c r="K364" s="1328"/>
      <c r="L364" s="1328"/>
      <c r="M364" s="1328"/>
      <c r="N364" s="1328"/>
      <c r="O364" s="1328"/>
      <c r="P364" s="1308"/>
      <c r="Q364" s="1308"/>
      <c r="R364" s="1308"/>
      <c r="S364" s="1308"/>
      <c r="T364" s="468" cm="1" t="str">
        <f t="array" ref="T364:T364">T363</f>
        <v>true</v>
      </c>
      <c r="U364" s="1308"/>
      <c r="V364" s="1328"/>
      <c r="W364" s="1308"/>
      <c r="X364" s="1539"/>
      <c r="Y364" s="1528"/>
      <c r="Z364" s="1328"/>
      <c r="AA364" s="1328"/>
      <c r="AB364" s="236" t="s">
        <v>831</v>
      </c>
      <c r="AC364" s="188" t="s">
        <v>766</v>
      </c>
      <c r="AD364" s="89" t="s">
        <v>657</v>
      </c>
      <c r="AE364" s="342">
        <f>AE365+AE366</f>
        <v>450.87546</v>
      </c>
      <c r="AF364" s="342">
        <f>AF365+AF366</f>
        <v>196.4657</v>
      </c>
      <c r="AG364" s="342">
        <f>AG365+AG366</f>
        <v>196.4657</v>
      </c>
      <c r="AH364" s="342">
        <f>AH365+AH366</f>
        <v>428.33169</v>
      </c>
      <c r="AI364" s="342">
        <f>AI365+AI366</f>
        <v>428.33169</v>
      </c>
      <c r="AJ364" s="342">
        <f>AJ365+AJ366</f>
        <v>0</v>
      </c>
      <c r="AK364" s="342">
        <f>AK365+AK366</f>
        <v>0</v>
      </c>
      <c r="AL364" s="342">
        <f>AL365+AL366</f>
        <v>0</v>
      </c>
      <c r="AM364" s="342">
        <f>AM365+AM366</f>
        <v>0</v>
      </c>
      <c r="AN364" s="342">
        <f>AN365+AN366</f>
        <v>0</v>
      </c>
      <c r="AO364" s="342">
        <f>AO365+AO366</f>
        <v>0</v>
      </c>
      <c r="AP364" s="342">
        <f>AP365+AP366</f>
        <v>0</v>
      </c>
      <c r="AQ364" s="342">
        <f>AQ365+AQ366</f>
        <v>0</v>
      </c>
      <c r="AR364" s="342">
        <f>AR365+AR366</f>
        <v>0</v>
      </c>
      <c r="AS364" s="342">
        <f>AS365+AS366</f>
        <v>406.91511</v>
      </c>
      <c r="AT364" s="342">
        <f>AT365+AT366</f>
        <v>0</v>
      </c>
      <c r="AU364" s="342">
        <f>AU365+AU366</f>
        <v>0</v>
      </c>
      <c r="AV364" s="342">
        <f>AV365+AV366</f>
        <v>0</v>
      </c>
      <c r="AW364" s="342">
        <f>AW365+AW366</f>
        <v>0</v>
      </c>
      <c r="AX364" s="342">
        <f>AX365+AX366</f>
        <v>0</v>
      </c>
      <c r="AY364" s="342">
        <f>AY365+AY366</f>
        <v>0</v>
      </c>
      <c r="AZ364" s="342">
        <f>AZ365+AZ366</f>
        <v>0</v>
      </c>
      <c r="BA364" s="342">
        <f>BA365+BA366</f>
        <v>0</v>
      </c>
      <c r="BB364" s="342">
        <f>BB365+BB366</f>
        <v>0</v>
      </c>
      <c r="BC364" s="196"/>
      <c r="BD364" s="1328"/>
      <c r="BE364" s="1328"/>
      <c r="BF364" s="1023" t="s">
        <v>832</v>
      </c>
    </row>
    <row s="1656" customFormat="1" customHeight="1" ht="52.921875">
      <c r="A365" s="1328"/>
      <c r="B365" s="1186"/>
      <c r="C365" s="1328"/>
      <c r="D365" s="1328"/>
      <c r="E365" s="637">
        <v>15</v>
      </c>
      <c r="F365" s="50" cm="1" t="str">
        <f t="array" ref="F365:F365">OFFSET(E365,-1,1)</f>
        <v>3</v>
      </c>
      <c r="G365" s="1328"/>
      <c r="H365" s="94" t="s">
        <v>833</v>
      </c>
      <c r="I365" s="1328"/>
      <c r="J365" s="1328"/>
      <c r="K365" s="1328"/>
      <c r="L365" s="1328"/>
      <c r="M365" s="1328"/>
      <c r="N365" s="1328"/>
      <c r="O365" s="1328"/>
      <c r="P365" s="1308"/>
      <c r="Q365" s="1308"/>
      <c r="R365" s="1308"/>
      <c r="S365" s="1308"/>
      <c r="T365" s="468" cm="1" t="str">
        <f t="array" ref="T365:T365">T364</f>
        <v>true</v>
      </c>
      <c r="U365" s="1308"/>
      <c r="V365" s="1328"/>
      <c r="W365" s="1308"/>
      <c r="X365" s="1539"/>
      <c r="Y365" s="1528"/>
      <c r="Z365" s="1328"/>
      <c r="AA365" s="1328"/>
      <c r="AB365" s="236" t="s">
        <v>834</v>
      </c>
      <c r="AC365" s="334" t="s">
        <v>733</v>
      </c>
      <c r="AD365" s="89" t="s">
        <v>657</v>
      </c>
      <c r="AE365" s="272">
        <v>450.87546</v>
      </c>
      <c r="AF365" s="272">
        <v>196.4657</v>
      </c>
      <c r="AG365" s="272">
        <v>196.4657</v>
      </c>
      <c r="AH365" s="272">
        <v>428.33169</v>
      </c>
      <c r="AI365" s="272">
        <v>428.33169</v>
      </c>
      <c r="AJ365" s="1927"/>
      <c r="AK365" s="1927"/>
      <c r="AL365" s="1927"/>
      <c r="AM365" s="1927"/>
      <c r="AN365" s="1927"/>
      <c r="AO365" s="1927"/>
      <c r="AP365" s="1927"/>
      <c r="AQ365" s="1927"/>
      <c r="AR365" s="1927"/>
      <c r="AS365" s="272">
        <v>406.91511</v>
      </c>
      <c r="AT365" s="1927"/>
      <c r="AU365" s="1927"/>
      <c r="AV365" s="1927"/>
      <c r="AW365" s="1927"/>
      <c r="AX365" s="1927"/>
      <c r="AY365" s="1927"/>
      <c r="AZ365" s="1927"/>
      <c r="BA365" s="1927"/>
      <c r="BB365" s="1927"/>
      <c r="BC365" s="196" t="s">
        <v>908</v>
      </c>
      <c r="BD365" s="1328"/>
      <c r="BE365" s="1328"/>
      <c r="BF365" s="1023" t="s">
        <v>835</v>
      </c>
    </row>
    <row s="1656" customFormat="1" customHeight="1" ht="12.75">
      <c r="A366" s="1328"/>
      <c r="B366" s="1186"/>
      <c r="C366" s="1328"/>
      <c r="D366" s="1328"/>
      <c r="E366" s="637">
        <v>15</v>
      </c>
      <c r="F366" s="50" cm="1" t="str">
        <f t="array" ref="F366:F366">OFFSET(E366,-1,1)</f>
        <v>3</v>
      </c>
      <c r="G366" s="1328"/>
      <c r="H366" s="94" t="s">
        <v>836</v>
      </c>
      <c r="I366" s="1328"/>
      <c r="J366" s="1328"/>
      <c r="K366" s="1328"/>
      <c r="L366" s="1328"/>
      <c r="M366" s="1328"/>
      <c r="N366" s="1328"/>
      <c r="O366" s="1328"/>
      <c r="P366" s="1308"/>
      <c r="Q366" s="1308"/>
      <c r="R366" s="1308"/>
      <c r="S366" s="1308"/>
      <c r="T366" s="468" cm="1" t="str">
        <f t="array" ref="T366:T366">T365</f>
        <v>true</v>
      </c>
      <c r="U366" s="1308"/>
      <c r="V366" s="1328"/>
      <c r="W366" s="1308"/>
      <c r="X366" s="1539"/>
      <c r="Y366" s="1528"/>
      <c r="Z366" s="1328"/>
      <c r="AA366" s="1328"/>
      <c r="AB366" s="236" t="s">
        <v>837</v>
      </c>
      <c r="AC366" s="334" t="s">
        <v>737</v>
      </c>
      <c r="AD366" s="89" t="s">
        <v>657</v>
      </c>
      <c r="AE366" s="272"/>
      <c r="AF366" s="272"/>
      <c r="AG366" s="272"/>
      <c r="AH366" s="272"/>
      <c r="AI366" s="272"/>
      <c r="AJ366" s="1927"/>
      <c r="AK366" s="1927"/>
      <c r="AL366" s="1927"/>
      <c r="AM366" s="1927"/>
      <c r="AN366" s="1927"/>
      <c r="AO366" s="1927"/>
      <c r="AP366" s="1927"/>
      <c r="AQ366" s="1927"/>
      <c r="AR366" s="1927"/>
      <c r="AS366" s="272"/>
      <c r="AT366" s="1927"/>
      <c r="AU366" s="1927"/>
      <c r="AV366" s="1927"/>
      <c r="AW366" s="1927"/>
      <c r="AX366" s="1927"/>
      <c r="AY366" s="1927"/>
      <c r="AZ366" s="1927"/>
      <c r="BA366" s="1927"/>
      <c r="BB366" s="1927"/>
      <c r="BC366" s="196"/>
      <c r="BD366" s="1328"/>
      <c r="BE366" s="1328"/>
      <c r="BF366" s="1023" t="s">
        <v>838</v>
      </c>
    </row>
    <row s="1656" customFormat="1" customHeight="1" ht="23.25">
      <c r="A367" s="1328"/>
      <c r="B367" s="1186"/>
      <c r="C367" s="1328"/>
      <c r="D367" s="1328"/>
      <c r="E367" s="637">
        <v>15</v>
      </c>
      <c r="F367" s="50" cm="1" t="str">
        <f t="array" ref="F367:F367">OFFSET(E367,-1,1)</f>
        <v>3</v>
      </c>
      <c r="G367" s="1328"/>
      <c r="H367" s="94" t="s">
        <v>839</v>
      </c>
      <c r="I367" s="1328"/>
      <c r="J367" s="1328"/>
      <c r="K367" s="1328"/>
      <c r="L367" s="1328"/>
      <c r="M367" s="1328"/>
      <c r="N367" s="1328"/>
      <c r="O367" s="1328"/>
      <c r="P367" s="1308"/>
      <c r="Q367" s="1308"/>
      <c r="R367" s="1308"/>
      <c r="S367" s="1308"/>
      <c r="T367" s="468" cm="1" t="str">
        <f t="array" ref="T367:T367">T366</f>
        <v>true</v>
      </c>
      <c r="U367" s="1308"/>
      <c r="V367" s="1328"/>
      <c r="W367" s="1308"/>
      <c r="X367" s="1539"/>
      <c r="Y367" s="1528"/>
      <c r="Z367" s="1328"/>
      <c r="AA367" s="1328"/>
      <c r="AB367" s="236" t="s">
        <v>840</v>
      </c>
      <c r="AC367" s="188" t="s">
        <v>841</v>
      </c>
      <c r="AD367" s="89" t="s">
        <v>657</v>
      </c>
      <c r="AE367" s="342">
        <f>AE368+AE369</f>
        <v>0</v>
      </c>
      <c r="AF367" s="342">
        <f>AF368+AF369</f>
        <v>0</v>
      </c>
      <c r="AG367" s="342">
        <f>AG368+AG369</f>
        <v>0</v>
      </c>
      <c r="AH367" s="342">
        <f>AH368+AH369</f>
        <v>0</v>
      </c>
      <c r="AI367" s="342">
        <f>AI368+AI369</f>
        <v>0</v>
      </c>
      <c r="AJ367" s="342">
        <f>AJ368+AJ369</f>
        <v>0</v>
      </c>
      <c r="AK367" s="342">
        <f>AK368+AK369</f>
        <v>0</v>
      </c>
      <c r="AL367" s="342">
        <f>AL368+AL369</f>
        <v>0</v>
      </c>
      <c r="AM367" s="342">
        <f>AM368+AM369</f>
        <v>0</v>
      </c>
      <c r="AN367" s="342">
        <f>AN368+AN369</f>
        <v>0</v>
      </c>
      <c r="AO367" s="342">
        <f>AO368+AO369</f>
        <v>0</v>
      </c>
      <c r="AP367" s="342">
        <f>AP368+AP369</f>
        <v>0</v>
      </c>
      <c r="AQ367" s="342">
        <f>AQ368+AQ369</f>
        <v>0</v>
      </c>
      <c r="AR367" s="342">
        <f>AR368+AR369</f>
        <v>0</v>
      </c>
      <c r="AS367" s="342">
        <f>AS368+AS369</f>
        <v>0</v>
      </c>
      <c r="AT367" s="342">
        <f>AT368+AT369</f>
        <v>0</v>
      </c>
      <c r="AU367" s="342">
        <f>AU368+AU369</f>
        <v>0</v>
      </c>
      <c r="AV367" s="342">
        <f>AV368+AV369</f>
        <v>0</v>
      </c>
      <c r="AW367" s="342">
        <f>AW368+AW369</f>
        <v>0</v>
      </c>
      <c r="AX367" s="342">
        <f>AX368+AX369</f>
        <v>0</v>
      </c>
      <c r="AY367" s="342">
        <f>AY368+AY369</f>
        <v>0</v>
      </c>
      <c r="AZ367" s="342">
        <f>AZ368+AZ369</f>
        <v>0</v>
      </c>
      <c r="BA367" s="342">
        <f>BA368+BA369</f>
        <v>0</v>
      </c>
      <c r="BB367" s="342">
        <f>BB368+BB369</f>
        <v>0</v>
      </c>
      <c r="BC367" s="196"/>
      <c r="BD367" s="1328"/>
      <c r="BE367" s="1328"/>
      <c r="BF367" s="1023" t="s">
        <v>842</v>
      </c>
    </row>
    <row s="1656" customFormat="1" customHeight="1" ht="12.75">
      <c r="A368" s="1328"/>
      <c r="B368" s="1186"/>
      <c r="C368" s="1328"/>
      <c r="D368" s="1328"/>
      <c r="E368" s="637">
        <v>15</v>
      </c>
      <c r="F368" s="50" cm="1" t="str">
        <f t="array" ref="F368:F368">OFFSET(E368,-1,1)</f>
        <v>3</v>
      </c>
      <c r="G368" s="1328"/>
      <c r="H368" s="94" t="s">
        <v>843</v>
      </c>
      <c r="I368" s="1328"/>
      <c r="J368" s="1328"/>
      <c r="K368" s="1328"/>
      <c r="L368" s="1328"/>
      <c r="M368" s="1328"/>
      <c r="N368" s="1328"/>
      <c r="O368" s="1328"/>
      <c r="P368" s="1308"/>
      <c r="Q368" s="1308"/>
      <c r="R368" s="1308"/>
      <c r="S368" s="1308"/>
      <c r="T368" s="468" cm="1" t="str">
        <f t="array" ref="T368:T368">T367</f>
        <v>true</v>
      </c>
      <c r="U368" s="1308"/>
      <c r="V368" s="1328"/>
      <c r="W368" s="1308"/>
      <c r="X368" s="1539"/>
      <c r="Y368" s="1528"/>
      <c r="Z368" s="1328"/>
      <c r="AA368" s="1328"/>
      <c r="AB368" s="236" t="s">
        <v>844</v>
      </c>
      <c r="AC368" s="328" t="s">
        <v>733</v>
      </c>
      <c r="AD368" s="89" t="s">
        <v>657</v>
      </c>
      <c r="AE368" s="272"/>
      <c r="AF368" s="272"/>
      <c r="AG368" s="272"/>
      <c r="AH368" s="272"/>
      <c r="AI368" s="272"/>
      <c r="AJ368" s="1927"/>
      <c r="AK368" s="1927"/>
      <c r="AL368" s="1927"/>
      <c r="AM368" s="1927"/>
      <c r="AN368" s="1927"/>
      <c r="AO368" s="1927"/>
      <c r="AP368" s="1927"/>
      <c r="AQ368" s="1927"/>
      <c r="AR368" s="1927"/>
      <c r="AS368" s="272"/>
      <c r="AT368" s="1927"/>
      <c r="AU368" s="1927"/>
      <c r="AV368" s="1927"/>
      <c r="AW368" s="1927"/>
      <c r="AX368" s="1927"/>
      <c r="AY368" s="1927"/>
      <c r="AZ368" s="1927"/>
      <c r="BA368" s="1927"/>
      <c r="BB368" s="1927"/>
      <c r="BC368" s="196"/>
      <c r="BD368" s="1328"/>
      <c r="BE368" s="1328"/>
      <c r="BF368" s="1023" t="s">
        <v>845</v>
      </c>
    </row>
    <row s="1656" customFormat="1" customHeight="1" ht="12.75">
      <c r="A369" s="1328"/>
      <c r="B369" s="1186"/>
      <c r="C369" s="1328"/>
      <c r="D369" s="1328"/>
      <c r="E369" s="637">
        <v>15</v>
      </c>
      <c r="F369" s="50" cm="1" t="str">
        <f t="array" ref="F369:F369">OFFSET(E369,-1,1)</f>
        <v>3</v>
      </c>
      <c r="G369" s="1328"/>
      <c r="H369" s="94" t="s">
        <v>846</v>
      </c>
      <c r="I369" s="1328"/>
      <c r="J369" s="1328"/>
      <c r="K369" s="1328"/>
      <c r="L369" s="1328"/>
      <c r="M369" s="1328"/>
      <c r="N369" s="1328"/>
      <c r="O369" s="1328"/>
      <c r="P369" s="1308"/>
      <c r="Q369" s="1308"/>
      <c r="R369" s="1308"/>
      <c r="S369" s="1308"/>
      <c r="T369" s="468" cm="1" t="str">
        <f t="array" ref="T369:T369">T368</f>
        <v>true</v>
      </c>
      <c r="U369" s="1308"/>
      <c r="V369" s="1328"/>
      <c r="W369" s="1308"/>
      <c r="X369" s="1539"/>
      <c r="Y369" s="1528"/>
      <c r="Z369" s="1328"/>
      <c r="AA369" s="1328"/>
      <c r="AB369" s="236" t="s">
        <v>847</v>
      </c>
      <c r="AC369" s="328" t="s">
        <v>737</v>
      </c>
      <c r="AD369" s="89" t="s">
        <v>657</v>
      </c>
      <c r="AE369" s="272"/>
      <c r="AF369" s="272"/>
      <c r="AG369" s="272"/>
      <c r="AH369" s="272"/>
      <c r="AI369" s="272"/>
      <c r="AJ369" s="1927"/>
      <c r="AK369" s="1927"/>
      <c r="AL369" s="1927"/>
      <c r="AM369" s="1927"/>
      <c r="AN369" s="1927"/>
      <c r="AO369" s="1927"/>
      <c r="AP369" s="1927"/>
      <c r="AQ369" s="1927"/>
      <c r="AR369" s="1927"/>
      <c r="AS369" s="272"/>
      <c r="AT369" s="1927"/>
      <c r="AU369" s="1927"/>
      <c r="AV369" s="1927"/>
      <c r="AW369" s="1927"/>
      <c r="AX369" s="1927"/>
      <c r="AY369" s="1927"/>
      <c r="AZ369" s="1927"/>
      <c r="BA369" s="1927"/>
      <c r="BB369" s="1927"/>
      <c r="BC369" s="196"/>
      <c r="BD369" s="1328"/>
      <c r="BE369" s="1328"/>
      <c r="BF369" s="1023" t="s">
        <v>848</v>
      </c>
    </row>
    <row s="1656" customFormat="1" customHeight="1" ht="23.25">
      <c r="A370" s="1328"/>
      <c r="B370" s="1186"/>
      <c r="C370" s="1328"/>
      <c r="D370" s="1328"/>
      <c r="E370" s="637">
        <v>22.5</v>
      </c>
      <c r="F370" s="50" cm="1" t="str">
        <f t="array" ref="F370:F370">OFFSET(E370,-1,1)</f>
        <v>3</v>
      </c>
      <c r="G370" s="1328"/>
      <c r="H370" s="94" t="s">
        <v>849</v>
      </c>
      <c r="I370" s="1328"/>
      <c r="J370" s="1328"/>
      <c r="K370" s="1328"/>
      <c r="L370" s="1328"/>
      <c r="M370" s="1328"/>
      <c r="N370" s="1328"/>
      <c r="O370" s="1328"/>
      <c r="P370" s="1308"/>
      <c r="Q370" s="1308"/>
      <c r="R370" s="1308"/>
      <c r="S370" s="1308"/>
      <c r="T370" s="468" cm="1" t="str">
        <f t="array" ref="T370:T370">T369</f>
        <v>true</v>
      </c>
      <c r="U370" s="1308"/>
      <c r="V370" s="1328"/>
      <c r="W370" s="1308"/>
      <c r="X370" s="1539"/>
      <c r="Y370" s="1528"/>
      <c r="Z370" s="1328"/>
      <c r="AA370" s="1328"/>
      <c r="AB370" s="236" t="s">
        <v>850</v>
      </c>
      <c r="AC370" s="335" t="s">
        <v>698</v>
      </c>
      <c r="AD370" s="89" t="s">
        <v>657</v>
      </c>
      <c r="AE370" s="272"/>
      <c r="AF370" s="272"/>
      <c r="AG370" s="272"/>
      <c r="AH370" s="272"/>
      <c r="AI370" s="272"/>
      <c r="AJ370" s="1927"/>
      <c r="AK370" s="1927"/>
      <c r="AL370" s="1927"/>
      <c r="AM370" s="1927"/>
      <c r="AN370" s="1927"/>
      <c r="AO370" s="1927"/>
      <c r="AP370" s="1927"/>
      <c r="AQ370" s="1927"/>
      <c r="AR370" s="1927"/>
      <c r="AS370" s="272"/>
      <c r="AT370" s="1927"/>
      <c r="AU370" s="1927"/>
      <c r="AV370" s="1927"/>
      <c r="AW370" s="1927"/>
      <c r="AX370" s="1927"/>
      <c r="AY370" s="1927"/>
      <c r="AZ370" s="1927"/>
      <c r="BA370" s="1927"/>
      <c r="BB370" s="1927"/>
      <c r="BC370" s="196"/>
      <c r="BD370" s="1328"/>
      <c r="BE370" s="1328"/>
      <c r="BF370" s="1023" t="s">
        <v>851</v>
      </c>
    </row>
    <row s="1656" customFormat="1" customHeight="1" ht="39.421875">
      <c r="A371" s="1328"/>
      <c r="B371" s="1186"/>
      <c r="C371" s="1328"/>
      <c r="D371" s="1328"/>
      <c r="E371" s="637">
        <v>15</v>
      </c>
      <c r="F371" s="50" cm="1" t="str">
        <f t="array" ref="F371:F371">OFFSET(E371,-1,1)</f>
        <v>3</v>
      </c>
      <c r="G371" s="1328"/>
      <c r="H371" s="94" t="s">
        <v>619</v>
      </c>
      <c r="I371" s="1328"/>
      <c r="J371" s="1328"/>
      <c r="K371" s="1328"/>
      <c r="L371" s="1328"/>
      <c r="M371" s="1328"/>
      <c r="N371" s="1328"/>
      <c r="O371" s="1328"/>
      <c r="P371" s="1308"/>
      <c r="Q371" s="1308"/>
      <c r="R371" s="1308"/>
      <c r="S371" s="1308"/>
      <c r="T371" s="468" cm="1" t="str">
        <f t="array" ref="T371:T371">T370</f>
        <v>true</v>
      </c>
      <c r="U371" s="1308"/>
      <c r="V371" s="1328"/>
      <c r="W371" s="1308"/>
      <c r="X371" s="1539"/>
      <c r="Y371" s="1528"/>
      <c r="Z371" s="1328"/>
      <c r="AA371" s="1328"/>
      <c r="AB371" s="236" t="s">
        <v>454</v>
      </c>
      <c r="AC371" s="133" t="s">
        <v>852</v>
      </c>
      <c r="AD371" s="89" t="s">
        <v>657</v>
      </c>
      <c r="AE371" s="272">
        <v>0</v>
      </c>
      <c r="AF371" s="272">
        <v>810.41696</v>
      </c>
      <c r="AG371" s="272">
        <v>0</v>
      </c>
      <c r="AH371" s="272">
        <v>0</v>
      </c>
      <c r="AI371" s="272">
        <v>810.41696</v>
      </c>
      <c r="AJ371" s="1927"/>
      <c r="AK371" s="1927"/>
      <c r="AL371" s="1927"/>
      <c r="AM371" s="1927"/>
      <c r="AN371" s="1927"/>
      <c r="AO371" s="1927"/>
      <c r="AP371" s="1927"/>
      <c r="AQ371" s="1927"/>
      <c r="AR371" s="1927"/>
      <c r="AS371" s="272">
        <v>0</v>
      </c>
      <c r="AT371" s="1927"/>
      <c r="AU371" s="1927"/>
      <c r="AV371" s="1927"/>
      <c r="AW371" s="1927"/>
      <c r="AX371" s="1927"/>
      <c r="AY371" s="1927"/>
      <c r="AZ371" s="1927"/>
      <c r="BA371" s="1927"/>
      <c r="BB371" s="1927"/>
      <c r="BC371" s="196" t="s">
        <v>909</v>
      </c>
      <c r="BD371" s="1328"/>
      <c r="BE371" s="1328"/>
      <c r="BF371" s="1023" t="s">
        <v>853</v>
      </c>
    </row>
    <row s="1656" customFormat="1" customHeight="1" ht="25.171875">
      <c r="A372" s="1328"/>
      <c r="B372" s="1186"/>
      <c r="C372" s="1328"/>
      <c r="D372" s="1328"/>
      <c r="E372" s="637">
        <v>15</v>
      </c>
      <c r="F372" s="50" cm="1" t="str">
        <f t="array" ref="F372:F372">OFFSET(E372,-1,1)</f>
        <v>3</v>
      </c>
      <c r="G372" s="1328"/>
      <c r="H372" s="94" t="s">
        <v>685</v>
      </c>
      <c r="I372" s="1328"/>
      <c r="J372" s="1328"/>
      <c r="K372" s="1328"/>
      <c r="L372" s="1328"/>
      <c r="M372" s="1328"/>
      <c r="N372" s="1328"/>
      <c r="O372" s="1328"/>
      <c r="P372" s="1308"/>
      <c r="Q372" s="1308"/>
      <c r="R372" s="1308"/>
      <c r="S372" s="1308"/>
      <c r="T372" s="468" cm="1" t="str">
        <f t="array" ref="T372:T372">T371</f>
        <v>true</v>
      </c>
      <c r="U372" s="1308"/>
      <c r="V372" s="1328"/>
      <c r="W372" s="1308"/>
      <c r="X372" s="1539"/>
      <c r="Y372" s="1528"/>
      <c r="Z372" s="1328"/>
      <c r="AA372" s="1328"/>
      <c r="AB372" s="236" t="s">
        <v>457</v>
      </c>
      <c r="AC372" s="133" t="s">
        <v>854</v>
      </c>
      <c r="AD372" s="89" t="s">
        <v>657</v>
      </c>
      <c r="AE372" s="272">
        <v>1530.84022</v>
      </c>
      <c r="AF372" s="272">
        <f>AF355+AF371</f>
        <v>1916.568</v>
      </c>
      <c r="AG372" s="272">
        <f>AG355+AG371</f>
        <v>1106.15104</v>
      </c>
      <c r="AH372" s="272">
        <v>1456.5032</v>
      </c>
      <c r="AI372" s="272">
        <f>AI355+AI371</f>
        <v>2269.37016</v>
      </c>
      <c r="AJ372" s="1927"/>
      <c r="AK372" s="1927"/>
      <c r="AL372" s="1927"/>
      <c r="AM372" s="1927"/>
      <c r="AN372" s="1927"/>
      <c r="AO372" s="1927"/>
      <c r="AP372" s="1927"/>
      <c r="AQ372" s="1927"/>
      <c r="AR372" s="1927"/>
      <c r="AS372" s="272">
        <f>AS355+AS371</f>
        <v>1387.33054</v>
      </c>
      <c r="AT372" s="1927"/>
      <c r="AU372" s="1927"/>
      <c r="AV372" s="1927"/>
      <c r="AW372" s="1927"/>
      <c r="AX372" s="1927"/>
      <c r="AY372" s="1927"/>
      <c r="AZ372" s="1927"/>
      <c r="BA372" s="1927"/>
      <c r="BB372" s="1927"/>
      <c r="BC372" s="196"/>
      <c r="BD372" s="1328"/>
      <c r="BE372" s="1328"/>
      <c r="BF372" s="1023" t="s">
        <v>855</v>
      </c>
    </row>
    <row s="1656" customFormat="1" customHeight="1" ht="31.171875">
      <c r="A373" s="1328"/>
      <c r="B373" s="1186"/>
      <c r="C373" s="1328"/>
      <c r="D373" s="1328"/>
      <c r="E373" s="637">
        <v>15</v>
      </c>
      <c r="F373" s="50" cm="1" t="str">
        <f t="array" ref="F373:F373">OFFSET(E373,-1,1)</f>
        <v>3</v>
      </c>
      <c r="G373" s="1328"/>
      <c r="H373" s="94" t="s">
        <v>700</v>
      </c>
      <c r="I373" s="1328"/>
      <c r="J373" s="1328"/>
      <c r="K373" s="1328"/>
      <c r="L373" s="1328"/>
      <c r="M373" s="1328"/>
      <c r="N373" s="1328"/>
      <c r="O373" s="1328"/>
      <c r="P373" s="1308"/>
      <c r="Q373" s="1308"/>
      <c r="R373" s="1308"/>
      <c r="S373" s="1308"/>
      <c r="T373" s="468" cm="1" t="str">
        <f t="array" ref="T373:T373">T372</f>
        <v>true</v>
      </c>
      <c r="U373" s="1308"/>
      <c r="V373" s="1328"/>
      <c r="W373" s="1308"/>
      <c r="X373" s="1539"/>
      <c r="Y373" s="1528"/>
      <c r="Z373" s="1328"/>
      <c r="AA373" s="1328"/>
      <c r="AB373" s="236" t="s">
        <v>460</v>
      </c>
      <c r="AC373" s="133" t="s">
        <v>856</v>
      </c>
      <c r="AD373" s="89" t="s">
        <v>657</v>
      </c>
      <c r="AE373" s="272">
        <v>1530.84022</v>
      </c>
      <c r="AF373" s="272" cm="1" t="str">
        <f t="array" ref="AF373:AF373">AF372</f>
        <v>1916.568</v>
      </c>
      <c r="AG373" s="272" cm="1" t="str">
        <f t="array" ref="AG373:AG373">AG372</f>
        <v>1106.15104</v>
      </c>
      <c r="AH373" s="272">
        <v>1456.5032</v>
      </c>
      <c r="AI373" s="272" cm="1" t="str">
        <f t="array" ref="AI373:AI373">AI372</f>
        <v>2269.37016</v>
      </c>
      <c r="AJ373" s="1927"/>
      <c r="AK373" s="1927"/>
      <c r="AL373" s="1927"/>
      <c r="AM373" s="1927"/>
      <c r="AN373" s="1927"/>
      <c r="AO373" s="1927"/>
      <c r="AP373" s="1927"/>
      <c r="AQ373" s="1927"/>
      <c r="AR373" s="1927"/>
      <c r="AS373" s="272" cm="1" t="str">
        <f t="array" ref="AS373:AS373">AS372</f>
        <v>1387.33054</v>
      </c>
      <c r="AT373" s="1927"/>
      <c r="AU373" s="1927"/>
      <c r="AV373" s="1927"/>
      <c r="AW373" s="1927"/>
      <c r="AX373" s="1927"/>
      <c r="AY373" s="1927"/>
      <c r="AZ373" s="1927"/>
      <c r="BA373" s="1927"/>
      <c r="BB373" s="1927"/>
      <c r="BC373" s="196"/>
      <c r="BD373" s="1328"/>
      <c r="BE373" s="1328"/>
      <c r="BF373" s="1023" t="s">
        <v>857</v>
      </c>
    </row>
    <row s="1656" customFormat="1" customHeight="1" ht="21.421875">
      <c r="A374" s="1328"/>
      <c r="B374" s="1186"/>
      <c r="C374" s="1328"/>
      <c r="D374" s="1328"/>
      <c r="E374" s="637">
        <v>15</v>
      </c>
      <c r="F374" s="50" cm="1" t="str">
        <f t="array" ref="F374:F374">OFFSET(E374,-1,1)</f>
        <v>3</v>
      </c>
      <c r="G374" s="1328"/>
      <c r="H374" s="94" t="s">
        <v>707</v>
      </c>
      <c r="I374" s="1328"/>
      <c r="J374" s="1328"/>
      <c r="K374" s="1328"/>
      <c r="L374" s="1328"/>
      <c r="M374" s="1328"/>
      <c r="N374" s="1328"/>
      <c r="O374" s="1328"/>
      <c r="P374" s="1308"/>
      <c r="Q374" s="1308"/>
      <c r="R374" s="1308"/>
      <c r="S374" s="1308"/>
      <c r="T374" s="468" cm="1" t="str">
        <f t="array" ref="T374:T374">T373</f>
        <v>true</v>
      </c>
      <c r="U374" s="1308"/>
      <c r="V374" s="1328"/>
      <c r="W374" s="1308"/>
      <c r="X374" s="1539"/>
      <c r="Y374" s="1528"/>
      <c r="Z374" s="1328"/>
      <c r="AA374" s="1328"/>
      <c r="AB374" s="236" t="s">
        <v>463</v>
      </c>
      <c r="AC374" s="134" t="s">
        <v>858</v>
      </c>
      <c r="AD374" s="89" t="s">
        <v>657</v>
      </c>
      <c r="AE374" s="342">
        <f>AE375+AE376</f>
        <v>0</v>
      </c>
      <c r="AF374" s="342">
        <f>AF375+AF376</f>
        <v>0</v>
      </c>
      <c r="AG374" s="342">
        <f>AG375+AG376</f>
        <v>0</v>
      </c>
      <c r="AH374" s="342">
        <f>AH375+AH376</f>
        <v>0</v>
      </c>
      <c r="AI374" s="342">
        <f>AI375+AI376</f>
        <v>0</v>
      </c>
      <c r="AJ374" s="342">
        <f>AJ375+AJ376</f>
        <v>0</v>
      </c>
      <c r="AK374" s="342">
        <f>AK375+AK376</f>
        <v>0</v>
      </c>
      <c r="AL374" s="342">
        <f>AL375+AL376</f>
        <v>0</v>
      </c>
      <c r="AM374" s="342">
        <f>AM375+AM376</f>
        <v>0</v>
      </c>
      <c r="AN374" s="342">
        <f>AN375+AN376</f>
        <v>0</v>
      </c>
      <c r="AO374" s="342">
        <f>AO375+AO376</f>
        <v>0</v>
      </c>
      <c r="AP374" s="342">
        <f>AP375+AP376</f>
        <v>0</v>
      </c>
      <c r="AQ374" s="342">
        <f>AQ375+AQ376</f>
        <v>0</v>
      </c>
      <c r="AR374" s="342">
        <f>AR375+AR376</f>
        <v>0</v>
      </c>
      <c r="AS374" s="342">
        <f>AS375+AS376</f>
        <v>0</v>
      </c>
      <c r="AT374" s="342">
        <f>AT375+AT376</f>
        <v>0</v>
      </c>
      <c r="AU374" s="342">
        <f>AU375+AU376</f>
        <v>0</v>
      </c>
      <c r="AV374" s="342">
        <f>AV375+AV376</f>
        <v>0</v>
      </c>
      <c r="AW374" s="342">
        <f>AW375+AW376</f>
        <v>0</v>
      </c>
      <c r="AX374" s="342">
        <f>AX375+AX376</f>
        <v>0</v>
      </c>
      <c r="AY374" s="342">
        <f>AY375+AY376</f>
        <v>0</v>
      </c>
      <c r="AZ374" s="342">
        <f>AZ375+AZ376</f>
        <v>0</v>
      </c>
      <c r="BA374" s="342">
        <f>BA375+BA376</f>
        <v>0</v>
      </c>
      <c r="BB374" s="342">
        <f>BB375+BB376</f>
        <v>0</v>
      </c>
      <c r="BC374" s="196"/>
      <c r="BD374" s="1328"/>
      <c r="BE374" s="1328"/>
      <c r="BF374" s="1023" t="s">
        <v>859</v>
      </c>
    </row>
    <row s="1656" customFormat="1" customHeight="1" ht="0">
      <c r="A375" s="1328"/>
      <c r="B375" s="1186"/>
      <c r="C375" s="1328"/>
      <c r="D375" s="1328"/>
      <c r="E375" s="637">
        <v>15</v>
      </c>
      <c r="F375" s="50" cm="1" t="str">
        <f t="array" ref="F375:F375">OFFSET(E375,-1,1)</f>
        <v>3</v>
      </c>
      <c r="G375" s="1328"/>
      <c r="H375" s="94" t="s">
        <v>710</v>
      </c>
      <c r="I375" s="1328"/>
      <c r="J375" s="1328"/>
      <c r="K375" s="1328"/>
      <c r="L375" s="1328"/>
      <c r="M375" s="1328"/>
      <c r="N375" s="1328"/>
      <c r="O375" s="1328"/>
      <c r="P375" s="1308"/>
      <c r="Q375" s="1308"/>
      <c r="R375" s="1308"/>
      <c r="S375" s="1308"/>
      <c r="T375" s="468" cm="1" t="str">
        <f t="array" ref="T375:T375">T374</f>
        <v>true</v>
      </c>
      <c r="U375" s="1308"/>
      <c r="V375" s="1328"/>
      <c r="W375" s="1308"/>
      <c r="X375" s="1539"/>
      <c r="Y375" s="1528"/>
      <c r="Z375" s="1328"/>
      <c r="AA375" s="1328"/>
      <c r="AB375" s="236" t="s">
        <v>711</v>
      </c>
      <c r="AC375" s="188" t="s">
        <v>860</v>
      </c>
      <c r="AD375" s="89" t="s">
        <v>657</v>
      </c>
      <c r="AE375" s="272"/>
      <c r="AF375" s="272"/>
      <c r="AG375" s="272"/>
      <c r="AH375" s="272"/>
      <c r="AI375" s="272"/>
      <c r="AJ375" s="1927"/>
      <c r="AK375" s="1927"/>
      <c r="AL375" s="1927"/>
      <c r="AM375" s="1927"/>
      <c r="AN375" s="1927"/>
      <c r="AO375" s="1927"/>
      <c r="AP375" s="1927"/>
      <c r="AQ375" s="1927"/>
      <c r="AR375" s="1927"/>
      <c r="AS375" s="272"/>
      <c r="AT375" s="1927"/>
      <c r="AU375" s="1927"/>
      <c r="AV375" s="1927"/>
      <c r="AW375" s="1927"/>
      <c r="AX375" s="1927"/>
      <c r="AY375" s="1927"/>
      <c r="AZ375" s="1927"/>
      <c r="BA375" s="1927"/>
      <c r="BB375" s="1927"/>
      <c r="BC375" s="196"/>
      <c r="BD375" s="1328"/>
      <c r="BE375" s="1328"/>
      <c r="BF375" s="1023" t="s">
        <v>861</v>
      </c>
    </row>
    <row s="1656" customFormat="1" customHeight="1" ht="0">
      <c r="A376" s="1328"/>
      <c r="B376" s="1186"/>
      <c r="C376" s="1328"/>
      <c r="D376" s="1328"/>
      <c r="E376" s="637">
        <v>15</v>
      </c>
      <c r="F376" s="50" cm="1" t="str">
        <f t="array" ref="F376:F376">OFFSET(E376,-1,1)</f>
        <v>3</v>
      </c>
      <c r="G376" s="1328"/>
      <c r="H376" s="94" t="s">
        <v>727</v>
      </c>
      <c r="I376" s="1328"/>
      <c r="J376" s="1328"/>
      <c r="K376" s="1328"/>
      <c r="L376" s="1328"/>
      <c r="M376" s="1328"/>
      <c r="N376" s="1328"/>
      <c r="O376" s="1328"/>
      <c r="P376" s="1308"/>
      <c r="Q376" s="1308"/>
      <c r="R376" s="1308"/>
      <c r="S376" s="1308"/>
      <c r="T376" s="468" cm="1" t="str">
        <f t="array" ref="T376:T376">T375</f>
        <v>true</v>
      </c>
      <c r="U376" s="1308"/>
      <c r="V376" s="1328"/>
      <c r="W376" s="1308"/>
      <c r="X376" s="1539"/>
      <c r="Y376" s="1528"/>
      <c r="Z376" s="1328"/>
      <c r="AA376" s="1328"/>
      <c r="AB376" s="236" t="s">
        <v>728</v>
      </c>
      <c r="AC376" s="188" t="s">
        <v>862</v>
      </c>
      <c r="AD376" s="89" t="s">
        <v>657</v>
      </c>
      <c r="AE376" s="272"/>
      <c r="AF376" s="272"/>
      <c r="AG376" s="272"/>
      <c r="AH376" s="272"/>
      <c r="AI376" s="272"/>
      <c r="AJ376" s="1927"/>
      <c r="AK376" s="1927"/>
      <c r="AL376" s="1927"/>
      <c r="AM376" s="1927"/>
      <c r="AN376" s="1927"/>
      <c r="AO376" s="1927"/>
      <c r="AP376" s="1927"/>
      <c r="AQ376" s="1927"/>
      <c r="AR376" s="1927"/>
      <c r="AS376" s="272"/>
      <c r="AT376" s="1927"/>
      <c r="AU376" s="1927"/>
      <c r="AV376" s="1927"/>
      <c r="AW376" s="1927"/>
      <c r="AX376" s="1927"/>
      <c r="AY376" s="1927"/>
      <c r="AZ376" s="1927"/>
      <c r="BA376" s="1927"/>
      <c r="BB376" s="1927"/>
      <c r="BC376" s="196"/>
      <c r="BD376" s="1328"/>
      <c r="BE376" s="1328"/>
      <c r="BF376" s="1023" t="s">
        <v>863</v>
      </c>
    </row>
    <row s="1656" customFormat="1" customHeight="1" ht="0">
      <c r="A377" s="1328"/>
      <c r="B377" s="1186"/>
      <c r="C377" s="1328"/>
      <c r="D377" s="1328"/>
      <c r="E377" s="637">
        <v>22.5</v>
      </c>
      <c r="F377" s="50" cm="1" t="str">
        <f t="array" ref="F377:F377">OFFSET(E377,-1,1)</f>
        <v>3</v>
      </c>
      <c r="G377" s="1328"/>
      <c r="H377" s="94" t="s">
        <v>864</v>
      </c>
      <c r="I377" s="1328"/>
      <c r="J377" s="1328"/>
      <c r="K377" s="1328"/>
      <c r="L377" s="1328"/>
      <c r="M377" s="1328"/>
      <c r="N377" s="1328"/>
      <c r="O377" s="1328"/>
      <c r="P377" s="1308"/>
      <c r="Q377" s="1308"/>
      <c r="R377" s="1308"/>
      <c r="S377" s="1308"/>
      <c r="T377" s="468" cm="1" t="str">
        <f t="array" ref="T377:T377">T376</f>
        <v>true</v>
      </c>
      <c r="U377" s="1308"/>
      <c r="V377" s="1328"/>
      <c r="W377" s="1308"/>
      <c r="X377" s="1539"/>
      <c r="Y377" s="1528"/>
      <c r="Z377" s="1328"/>
      <c r="AA377" s="1328"/>
      <c r="AB377" s="236" t="s">
        <v>466</v>
      </c>
      <c r="AC377" s="336" t="s">
        <v>776</v>
      </c>
      <c r="AD377" s="89" t="s">
        <v>657</v>
      </c>
      <c r="AE377" s="272"/>
      <c r="AF377" s="272"/>
      <c r="AG377" s="272"/>
      <c r="AH377" s="272"/>
      <c r="AI377" s="272"/>
      <c r="AJ377" s="1927"/>
      <c r="AK377" s="1927"/>
      <c r="AL377" s="1927"/>
      <c r="AM377" s="1927"/>
      <c r="AN377" s="1927"/>
      <c r="AO377" s="1927"/>
      <c r="AP377" s="1927"/>
      <c r="AQ377" s="1927"/>
      <c r="AR377" s="1927"/>
      <c r="AS377" s="272"/>
      <c r="AT377" s="1927"/>
      <c r="AU377" s="1927"/>
      <c r="AV377" s="1927"/>
      <c r="AW377" s="1927"/>
      <c r="AX377" s="1927"/>
      <c r="AY377" s="1927"/>
      <c r="AZ377" s="1927"/>
      <c r="BA377" s="1927"/>
      <c r="BB377" s="1927"/>
      <c r="BC377" s="196"/>
      <c r="BD377" s="1328"/>
      <c r="BE377" s="1328"/>
      <c r="BF377" s="1023" t="s">
        <v>865</v>
      </c>
    </row>
    <row s="1656" customFormat="1" customHeight="1" ht="17.671875">
      <c r="A378" s="1328"/>
      <c r="B378" s="1186"/>
      <c r="C378" s="1328"/>
      <c r="D378" s="1328"/>
      <c r="E378" s="637">
        <v>15</v>
      </c>
      <c r="F378" s="50" cm="1" t="str">
        <f t="array" ref="F378:F378">OFFSET(E378,-1,1)</f>
        <v>3</v>
      </c>
      <c r="G378" s="1328"/>
      <c r="H378" s="94" t="s">
        <v>866</v>
      </c>
      <c r="I378" s="1328"/>
      <c r="J378" s="1328"/>
      <c r="K378" s="1328"/>
      <c r="L378" s="1328"/>
      <c r="M378" s="1328"/>
      <c r="N378" s="1328"/>
      <c r="O378" s="1328"/>
      <c r="P378" s="1308"/>
      <c r="Q378" s="1308"/>
      <c r="R378" s="1308"/>
      <c r="S378" s="1308"/>
      <c r="T378" s="468" cm="1" t="str">
        <f t="array" ref="T378:T378">T377</f>
        <v>true</v>
      </c>
      <c r="U378" s="1308"/>
      <c r="V378" s="1328"/>
      <c r="W378" s="1308"/>
      <c r="X378" s="1539"/>
      <c r="Y378" s="1528"/>
      <c r="Z378" s="1328"/>
      <c r="AA378" s="1328"/>
      <c r="AB378" s="236" t="s">
        <v>469</v>
      </c>
      <c r="AC378" s="133" t="s">
        <v>867</v>
      </c>
      <c r="AD378" s="89" t="s">
        <v>657</v>
      </c>
      <c r="AE378" s="272"/>
      <c r="AF378" s="272"/>
      <c r="AG378" s="272"/>
      <c r="AH378" s="272"/>
      <c r="AI378" s="272"/>
      <c r="AJ378" s="1927"/>
      <c r="AK378" s="1927"/>
      <c r="AL378" s="1927"/>
      <c r="AM378" s="1927"/>
      <c r="AN378" s="1927"/>
      <c r="AO378" s="1927"/>
      <c r="AP378" s="1927"/>
      <c r="AQ378" s="1927"/>
      <c r="AR378" s="1927"/>
      <c r="AS378" s="272"/>
      <c r="AT378" s="1927"/>
      <c r="AU378" s="1927"/>
      <c r="AV378" s="1927"/>
      <c r="AW378" s="1927"/>
      <c r="AX378" s="1927"/>
      <c r="AY378" s="1927"/>
      <c r="AZ378" s="1927"/>
      <c r="BA378" s="1927"/>
      <c r="BB378" s="1927"/>
      <c r="BC378" s="196"/>
      <c r="BD378" s="1328"/>
      <c r="BE378" s="1328"/>
      <c r="BF378" s="1023" t="s">
        <v>868</v>
      </c>
    </row>
    <row s="1656" customFormat="1" customHeight="1" ht="11.25" hidden="1">
      <c r="A379" s="472"/>
      <c r="B379" s="664"/>
      <c r="C379" s="472"/>
      <c r="D379" s="472"/>
      <c r="E379" s="666" t="s">
        <v>384</v>
      </c>
      <c r="F379" s="1194" cm="1" t="str">
        <f t="array" ref="F379:F379">OFFSET(E379,-1,1)</f>
        <v>3</v>
      </c>
      <c r="G379" s="472"/>
      <c r="H379" s="472"/>
      <c r="I379" s="472"/>
      <c r="J379" s="472"/>
      <c r="K379" s="94"/>
      <c r="L379" s="472"/>
      <c r="M379" s="472"/>
      <c r="N379" s="472"/>
      <c r="O379" s="472"/>
      <c r="P379" s="472"/>
      <c r="Q379" s="472"/>
      <c r="R379" s="417"/>
      <c r="S379" s="417"/>
      <c r="T379" s="468" t="b">
        <v>0</v>
      </c>
      <c r="U379" s="472"/>
      <c r="V379" s="472"/>
      <c r="W379" s="472"/>
      <c r="X379" s="1539"/>
      <c r="Y379" s="1528"/>
      <c r="Z379" s="472"/>
      <c r="AA379" s="472"/>
      <c r="AB379" s="1656"/>
      <c r="AC379" s="96"/>
      <c r="AD379" s="96"/>
      <c r="AE379" s="340"/>
      <c r="AF379" s="340"/>
      <c r="AG379" s="340"/>
      <c r="AH379" s="340"/>
      <c r="AI379" s="340"/>
      <c r="AJ379" s="341"/>
      <c r="AK379" s="340"/>
      <c r="AL379" s="340"/>
      <c r="AM379" s="340"/>
      <c r="AN379" s="340"/>
      <c r="AO379" s="340"/>
      <c r="AP379" s="340"/>
      <c r="AQ379" s="340"/>
      <c r="AR379" s="340"/>
      <c r="AS379" s="340"/>
      <c r="AT379" s="340"/>
      <c r="AU379" s="340"/>
      <c r="AV379" s="340"/>
      <c r="AW379" s="340"/>
      <c r="AX379" s="340"/>
      <c r="AY379" s="340"/>
      <c r="AZ379" s="340"/>
      <c r="BA379" s="340"/>
      <c r="BB379" s="340"/>
      <c r="BC379" s="1656"/>
      <c r="BD379" s="1656"/>
      <c r="BE379" s="1656"/>
      <c r="BF379" s="1027"/>
    </row>
    <row s="1656" customFormat="1" customHeight="1" ht="12.75" hidden="1">
      <c r="A380" s="1328"/>
      <c r="B380" s="1186"/>
      <c r="C380" s="1328"/>
      <c r="D380" s="1328"/>
      <c r="E380" s="637">
        <v>15</v>
      </c>
      <c r="F380" s="50" cm="1" t="str">
        <f t="array" ref="F380:F380">OFFSET(E380,-1,1)</f>
        <v>3</v>
      </c>
      <c r="G380" s="1328"/>
      <c r="H380" s="1328"/>
      <c r="I380" s="1328"/>
      <c r="J380" s="1328"/>
      <c r="K380" s="1328"/>
      <c r="L380" s="1328"/>
      <c r="M380" s="1328"/>
      <c r="N380" s="1328"/>
      <c r="O380" s="1328"/>
      <c r="P380" s="1308"/>
      <c r="Q380" s="1308"/>
      <c r="R380" s="417" cm="1" t="str">
        <f t="array" ref="R380:R380">INDEX('Общие сведения'!$AN$197:$AN$254,MATCH($X300,'Общие сведения'!$Z$197:$Z$254,0))</f>
        <v>false</v>
      </c>
      <c r="S380" s="485">
        <f>IF(ISERROR(SEARCH("Водоотведение",AB300)),FALSE,TRUE)</f>
        <v>1</v>
      </c>
      <c r="T380" s="468">
        <f>AND(X300&gt;0,S380,R380)</f>
        <v>0</v>
      </c>
      <c r="U380" s="1308"/>
      <c r="V380" s="1328"/>
      <c r="W380" s="1308"/>
      <c r="X380" s="1539"/>
      <c r="Y380" s="1528"/>
      <c r="Z380" s="1328"/>
      <c r="AA380" s="1328"/>
      <c r="AB380" s="236" t="s">
        <v>290</v>
      </c>
      <c r="AC380" s="83" t="s">
        <v>808</v>
      </c>
      <c r="AD380" s="193"/>
      <c r="AE380" s="574" cm="1" t="str">
        <f t="array" ref="AE380:AE380">INDEX('Общие сведения'!$AH$197:$AH$254,MATCH($X300,'Общие сведения'!$Z$197:$Z$254,0))</f>
        <v>без дифференциации</v>
      </c>
      <c r="AF380" s="358"/>
      <c r="AG380" s="358"/>
      <c r="AH380" s="358"/>
      <c r="AI380" s="358"/>
      <c r="AJ380" s="358"/>
      <c r="AK380" s="358"/>
      <c r="AL380" s="358"/>
      <c r="AM380" s="358"/>
      <c r="AN380" s="358"/>
      <c r="AO380" s="358"/>
      <c r="AP380" s="358"/>
      <c r="AQ380" s="358"/>
      <c r="AR380" s="358"/>
      <c r="AS380" s="358"/>
      <c r="AT380" s="358"/>
      <c r="AU380" s="358"/>
      <c r="AV380" s="358"/>
      <c r="AW380" s="358"/>
      <c r="AX380" s="358"/>
      <c r="AY380" s="358"/>
      <c r="AZ380" s="358"/>
      <c r="BA380" s="358"/>
      <c r="BB380" s="359"/>
      <c r="BC380" s="1928"/>
      <c r="BD380" s="1328"/>
      <c r="BE380" s="1328"/>
      <c r="BF380" s="1023" t="s">
        <v>869</v>
      </c>
    </row>
    <row s="1656" customFormat="1" customHeight="1" ht="12.75" hidden="1">
      <c r="A381" s="1328"/>
      <c r="B381" s="1186"/>
      <c r="C381" s="1328"/>
      <c r="D381" s="1328"/>
      <c r="E381" s="637">
        <v>15</v>
      </c>
      <c r="F381" s="50" cm="1" t="str">
        <f t="array" ref="F381:F381">OFFSET(E381,-1,1)</f>
        <v>3</v>
      </c>
      <c r="G381" s="1328"/>
      <c r="H381" s="94" t="s">
        <v>348</v>
      </c>
      <c r="I381" s="1328"/>
      <c r="J381" s="1328"/>
      <c r="K381" s="1328"/>
      <c r="L381" s="1328"/>
      <c r="M381" s="1328"/>
      <c r="N381" s="1328"/>
      <c r="O381" s="1328"/>
      <c r="P381" s="1308"/>
      <c r="Q381" s="1308"/>
      <c r="R381" s="1308"/>
      <c r="S381" s="1308"/>
      <c r="T381" s="468" cm="1" t="str">
        <f t="array" ref="T381:T381">T380</f>
        <v>false</v>
      </c>
      <c r="U381" s="1308"/>
      <c r="V381" s="1328"/>
      <c r="W381" s="1308"/>
      <c r="X381" s="1539"/>
      <c r="Y381" s="1528"/>
      <c r="Z381" s="1328"/>
      <c r="AA381" s="1328"/>
      <c r="AB381" s="236" t="s">
        <v>299</v>
      </c>
      <c r="AC381" s="337" t="s">
        <v>870</v>
      </c>
      <c r="AD381" s="89" t="s">
        <v>657</v>
      </c>
      <c r="AE381" s="342">
        <f>AE382+AE384+AE383</f>
        <v>0</v>
      </c>
      <c r="AF381" s="342">
        <f>AF382+AF384+AF383</f>
        <v>0</v>
      </c>
      <c r="AG381" s="342">
        <f>AG382+AG384+AG383</f>
        <v>0</v>
      </c>
      <c r="AH381" s="342">
        <f>AH382+AH384+AH383</f>
        <v>0</v>
      </c>
      <c r="AI381" s="342">
        <f>AI382+AI384+AI383</f>
        <v>0</v>
      </c>
      <c r="AJ381" s="342">
        <f>AJ382+AJ384+AJ383</f>
        <v>0</v>
      </c>
      <c r="AK381" s="342">
        <f>AK382+AK384+AK383</f>
        <v>0</v>
      </c>
      <c r="AL381" s="342">
        <f>AL382+AL384+AL383</f>
        <v>0</v>
      </c>
      <c r="AM381" s="342">
        <f>AM382+AM384+AM383</f>
        <v>0</v>
      </c>
      <c r="AN381" s="342">
        <f>AN382+AN384+AN383</f>
        <v>0</v>
      </c>
      <c r="AO381" s="342">
        <f>AO382+AO384+AO383</f>
        <v>0</v>
      </c>
      <c r="AP381" s="342">
        <f>AP382+AP384+AP383</f>
        <v>0</v>
      </c>
      <c r="AQ381" s="342">
        <f>AQ382+AQ384+AQ383</f>
        <v>0</v>
      </c>
      <c r="AR381" s="342">
        <f>AR382+AR384+AR383</f>
        <v>0</v>
      </c>
      <c r="AS381" s="342">
        <f>AS382+AS384+AS383</f>
        <v>0</v>
      </c>
      <c r="AT381" s="342">
        <f>AT382+AT384+AT383</f>
        <v>0</v>
      </c>
      <c r="AU381" s="342">
        <f>AU382+AU384+AU383</f>
        <v>0</v>
      </c>
      <c r="AV381" s="342">
        <f>AV382+AV384+AV383</f>
        <v>0</v>
      </c>
      <c r="AW381" s="342">
        <f>AW382+AW384+AW383</f>
        <v>0</v>
      </c>
      <c r="AX381" s="342">
        <f>AX382+AX384+AX383</f>
        <v>0</v>
      </c>
      <c r="AY381" s="342">
        <f>AY382+AY384+AY383</f>
        <v>0</v>
      </c>
      <c r="AZ381" s="342">
        <f>AZ382+AZ384+AZ383</f>
        <v>0</v>
      </c>
      <c r="BA381" s="342">
        <f>BA382+BA384+BA383</f>
        <v>0</v>
      </c>
      <c r="BB381" s="342">
        <f>BB382+BB384+BB383</f>
        <v>0</v>
      </c>
      <c r="BC381" s="1928"/>
      <c r="BD381" s="1328"/>
      <c r="BE381" s="1328"/>
      <c r="BF381" s="1023" t="s">
        <v>871</v>
      </c>
    </row>
    <row s="1656" customFormat="1" customHeight="1" ht="12.75" hidden="1">
      <c r="A382" s="1328"/>
      <c r="B382" s="1186"/>
      <c r="C382" s="1328"/>
      <c r="D382" s="1328"/>
      <c r="E382" s="637">
        <v>15</v>
      </c>
      <c r="F382" s="50" cm="1" t="str">
        <f t="array" ref="F382:F382">OFFSET(E382,-1,1)</f>
        <v>3</v>
      </c>
      <c r="G382" s="1328"/>
      <c r="H382" s="94" t="s">
        <v>659</v>
      </c>
      <c r="I382" s="1328"/>
      <c r="J382" s="1328"/>
      <c r="K382" s="1328"/>
      <c r="L382" s="1328"/>
      <c r="M382" s="1328"/>
      <c r="N382" s="1328"/>
      <c r="O382" s="1328"/>
      <c r="P382" s="1308"/>
      <c r="Q382" s="1308"/>
      <c r="R382" s="1308"/>
      <c r="S382" s="1308"/>
      <c r="T382" s="468" cm="1" t="str">
        <f t="array" ref="T382:T382">T381</f>
        <v>false</v>
      </c>
      <c r="U382" s="1308"/>
      <c r="V382" s="1328"/>
      <c r="W382" s="1308"/>
      <c r="X382" s="1539"/>
      <c r="Y382" s="1528"/>
      <c r="Z382" s="1328"/>
      <c r="AA382" s="1328"/>
      <c r="AB382" s="236" t="s">
        <v>660</v>
      </c>
      <c r="AC382" s="210" t="s">
        <v>872</v>
      </c>
      <c r="AD382" s="89" t="s">
        <v>657</v>
      </c>
      <c r="AE382" s="1971"/>
      <c r="AF382" s="1971"/>
      <c r="AG382" s="1971"/>
      <c r="AH382" s="1971"/>
      <c r="AI382" s="1971"/>
      <c r="AJ382" s="1971"/>
      <c r="AK382" s="1971"/>
      <c r="AL382" s="1971"/>
      <c r="AM382" s="1971"/>
      <c r="AN382" s="1971"/>
      <c r="AO382" s="1971"/>
      <c r="AP382" s="1971"/>
      <c r="AQ382" s="1971"/>
      <c r="AR382" s="1971"/>
      <c r="AS382" s="1971"/>
      <c r="AT382" s="1971"/>
      <c r="AU382" s="1971"/>
      <c r="AV382" s="1971"/>
      <c r="AW382" s="1971"/>
      <c r="AX382" s="1971"/>
      <c r="AY382" s="1971"/>
      <c r="AZ382" s="1971"/>
      <c r="BA382" s="1971"/>
      <c r="BB382" s="1971"/>
      <c r="BC382" s="1928"/>
      <c r="BD382" s="1328"/>
      <c r="BE382" s="1328"/>
      <c r="BF382" s="1023" t="s">
        <v>873</v>
      </c>
    </row>
    <row s="1656" customFormat="1" customHeight="1" ht="12.75" hidden="1">
      <c r="A383" s="1328"/>
      <c r="B383" s="1186"/>
      <c r="C383" s="1328"/>
      <c r="D383" s="1328"/>
      <c r="E383" s="637">
        <v>15</v>
      </c>
      <c r="F383" s="50" cm="1" t="str">
        <f t="array" ref="F383:F383">OFFSET(E383,-1,1)</f>
        <v>3</v>
      </c>
      <c r="G383" s="1328"/>
      <c r="H383" s="94" t="s">
        <v>663</v>
      </c>
      <c r="I383" s="1328"/>
      <c r="J383" s="1328"/>
      <c r="K383" s="1328"/>
      <c r="L383" s="1328"/>
      <c r="M383" s="1328"/>
      <c r="N383" s="1328"/>
      <c r="O383" s="1328"/>
      <c r="P383" s="1308"/>
      <c r="Q383" s="1308"/>
      <c r="R383" s="1308"/>
      <c r="S383" s="1308"/>
      <c r="T383" s="468" cm="1" t="str">
        <f t="array" ref="T383:T383">T382</f>
        <v>false</v>
      </c>
      <c r="U383" s="1308"/>
      <c r="V383" s="1328"/>
      <c r="W383" s="1308"/>
      <c r="X383" s="1539"/>
      <c r="Y383" s="1528"/>
      <c r="Z383" s="1328"/>
      <c r="AA383" s="1328"/>
      <c r="AB383" s="236" t="s">
        <v>664</v>
      </c>
      <c r="AC383" s="210" t="s">
        <v>874</v>
      </c>
      <c r="AD383" s="89" t="s">
        <v>657</v>
      </c>
      <c r="AE383" s="1971"/>
      <c r="AF383" s="1971"/>
      <c r="AG383" s="1971"/>
      <c r="AH383" s="1971"/>
      <c r="AI383" s="1971"/>
      <c r="AJ383" s="1971"/>
      <c r="AK383" s="1971"/>
      <c r="AL383" s="1971"/>
      <c r="AM383" s="1971"/>
      <c r="AN383" s="1971"/>
      <c r="AO383" s="1971"/>
      <c r="AP383" s="1971"/>
      <c r="AQ383" s="1971"/>
      <c r="AR383" s="1971"/>
      <c r="AS383" s="1971"/>
      <c r="AT383" s="1971"/>
      <c r="AU383" s="1971"/>
      <c r="AV383" s="1971"/>
      <c r="AW383" s="1971"/>
      <c r="AX383" s="1971"/>
      <c r="AY383" s="1971"/>
      <c r="AZ383" s="1971"/>
      <c r="BA383" s="1971"/>
      <c r="BB383" s="1971"/>
      <c r="BC383" s="1928"/>
      <c r="BD383" s="1328"/>
      <c r="BE383" s="1328"/>
      <c r="BF383" s="1023" t="s">
        <v>875</v>
      </c>
    </row>
    <row s="1656" customFormat="1" customHeight="1" ht="23.25" hidden="1">
      <c r="A384" s="1328"/>
      <c r="B384" s="1186"/>
      <c r="C384" s="1328"/>
      <c r="D384" s="1328"/>
      <c r="E384" s="637">
        <v>22.5</v>
      </c>
      <c r="F384" s="50" cm="1" t="str">
        <f t="array" ref="F384:F384">OFFSET(E384,-1,1)</f>
        <v>3</v>
      </c>
      <c r="G384" s="1328"/>
      <c r="H384" s="94" t="s">
        <v>667</v>
      </c>
      <c r="I384" s="1328"/>
      <c r="J384" s="1328"/>
      <c r="K384" s="1328"/>
      <c r="L384" s="1328"/>
      <c r="M384" s="1328"/>
      <c r="N384" s="1328"/>
      <c r="O384" s="1328"/>
      <c r="P384" s="1308"/>
      <c r="Q384" s="1308"/>
      <c r="R384" s="1308"/>
      <c r="S384" s="1308"/>
      <c r="T384" s="468" cm="1" t="str">
        <f t="array" ref="T384:T384">T383</f>
        <v>false</v>
      </c>
      <c r="U384" s="1308"/>
      <c r="V384" s="1328"/>
      <c r="W384" s="1308"/>
      <c r="X384" s="1539"/>
      <c r="Y384" s="1528"/>
      <c r="Z384" s="1328"/>
      <c r="AA384" s="1328"/>
      <c r="AB384" s="236" t="s">
        <v>668</v>
      </c>
      <c r="AC384" s="210" t="s">
        <v>776</v>
      </c>
      <c r="AD384" s="89" t="s">
        <v>657</v>
      </c>
      <c r="AE384" s="1971"/>
      <c r="AF384" s="1971"/>
      <c r="AG384" s="1971"/>
      <c r="AH384" s="1971"/>
      <c r="AI384" s="1971"/>
      <c r="AJ384" s="1971"/>
      <c r="AK384" s="1971"/>
      <c r="AL384" s="1971"/>
      <c r="AM384" s="1971"/>
      <c r="AN384" s="1971"/>
      <c r="AO384" s="1971"/>
      <c r="AP384" s="1971"/>
      <c r="AQ384" s="1971"/>
      <c r="AR384" s="1971"/>
      <c r="AS384" s="1971"/>
      <c r="AT384" s="1971"/>
      <c r="AU384" s="1971"/>
      <c r="AV384" s="1971"/>
      <c r="AW384" s="1971"/>
      <c r="AX384" s="1971"/>
      <c r="AY384" s="1971"/>
      <c r="AZ384" s="1971"/>
      <c r="BA384" s="1971"/>
      <c r="BB384" s="1971"/>
      <c r="BC384" s="1928"/>
      <c r="BD384" s="1328"/>
      <c r="BE384" s="1328"/>
      <c r="BF384" s="1023" t="s">
        <v>876</v>
      </c>
    </row>
    <row s="1656" customFormat="1" customHeight="1" ht="23.25" hidden="1">
      <c r="A385" s="1328"/>
      <c r="B385" s="1186"/>
      <c r="C385" s="1328"/>
      <c r="D385" s="1328"/>
      <c r="E385" s="637">
        <v>22.5</v>
      </c>
      <c r="F385" s="50" cm="1" t="str">
        <f t="array" ref="F385:F385">OFFSET(E385,-1,1)</f>
        <v>3</v>
      </c>
      <c r="G385" s="94" t="s">
        <v>726</v>
      </c>
      <c r="H385" s="94" t="s">
        <v>347</v>
      </c>
      <c r="I385" s="1328"/>
      <c r="J385" s="1328"/>
      <c r="K385" s="1328"/>
      <c r="L385" s="1328"/>
      <c r="M385" s="1328"/>
      <c r="N385" s="1328"/>
      <c r="O385" s="1328"/>
      <c r="P385" s="1308"/>
      <c r="Q385" s="1308"/>
      <c r="R385" s="1308"/>
      <c r="S385" s="1308"/>
      <c r="T385" s="468" cm="1" t="str">
        <f t="array" ref="T385:T385">T384</f>
        <v>false</v>
      </c>
      <c r="U385" s="1308"/>
      <c r="V385" s="1328"/>
      <c r="W385" s="1308"/>
      <c r="X385" s="1539"/>
      <c r="Y385" s="1528"/>
      <c r="Z385" s="1328"/>
      <c r="AA385" s="1328"/>
      <c r="AB385" s="236" t="s">
        <v>234</v>
      </c>
      <c r="AC385" s="337" t="s">
        <v>877</v>
      </c>
      <c r="AD385" s="89" t="s">
        <v>657</v>
      </c>
      <c r="AE385" s="342">
        <f>AE386+AE387+AE390</f>
        <v>0</v>
      </c>
      <c r="AF385" s="342">
        <f>AF386+AF387+AF390</f>
        <v>0</v>
      </c>
      <c r="AG385" s="342">
        <f>AG386+AG387+AG390</f>
        <v>0</v>
      </c>
      <c r="AH385" s="342">
        <f>AH386+AH387+AH390</f>
        <v>0</v>
      </c>
      <c r="AI385" s="342">
        <f>AI386+AI387+AI390</f>
        <v>0</v>
      </c>
      <c r="AJ385" s="342">
        <f>AJ386+AJ387+AJ390</f>
        <v>0</v>
      </c>
      <c r="AK385" s="342">
        <f>AK386+AK387+AK390</f>
        <v>0</v>
      </c>
      <c r="AL385" s="342">
        <f>AL386+AL387+AL390</f>
        <v>0</v>
      </c>
      <c r="AM385" s="342">
        <f>AM386+AM387+AM390</f>
        <v>0</v>
      </c>
      <c r="AN385" s="342">
        <f>AN386+AN387+AN390</f>
        <v>0</v>
      </c>
      <c r="AO385" s="342">
        <f>AO386+AO387+AO390</f>
        <v>0</v>
      </c>
      <c r="AP385" s="342">
        <f>AP386+AP387+AP390</f>
        <v>0</v>
      </c>
      <c r="AQ385" s="342">
        <f>AQ386+AQ387+AQ390</f>
        <v>0</v>
      </c>
      <c r="AR385" s="342">
        <f>AR386+AR387+AR390</f>
        <v>0</v>
      </c>
      <c r="AS385" s="342">
        <f>AS386+AS387+AS390</f>
        <v>0</v>
      </c>
      <c r="AT385" s="342">
        <f>AT386+AT387+AT390</f>
        <v>0</v>
      </c>
      <c r="AU385" s="342">
        <f>AU386+AU387+AU390</f>
        <v>0</v>
      </c>
      <c r="AV385" s="342">
        <f>AV386+AV387+AV390</f>
        <v>0</v>
      </c>
      <c r="AW385" s="342">
        <f>AW386+AW387+AW390</f>
        <v>0</v>
      </c>
      <c r="AX385" s="342">
        <f>AX386+AX387+AX390</f>
        <v>0</v>
      </c>
      <c r="AY385" s="342">
        <f>AY386+AY387+AY390</f>
        <v>0</v>
      </c>
      <c r="AZ385" s="342">
        <f>AZ386+AZ387+AZ390</f>
        <v>0</v>
      </c>
      <c r="BA385" s="342">
        <f>BA386+BA387+BA390</f>
        <v>0</v>
      </c>
      <c r="BB385" s="342">
        <f>BB386+BB387+BB390</f>
        <v>0</v>
      </c>
      <c r="BC385" s="1928"/>
      <c r="BD385" s="1328"/>
      <c r="BE385" s="1328"/>
      <c r="BF385" s="1023" t="s">
        <v>878</v>
      </c>
    </row>
    <row s="1656" customFormat="1" customHeight="1" ht="12.75" hidden="1">
      <c r="A386" s="1328"/>
      <c r="B386" s="1186"/>
      <c r="C386" s="1328"/>
      <c r="D386" s="1328"/>
      <c r="E386" s="637">
        <v>15</v>
      </c>
      <c r="F386" s="50" cm="1" t="str">
        <f t="array" ref="F386:F386">OFFSET(E386,-1,1)</f>
        <v>3</v>
      </c>
      <c r="G386" s="1328"/>
      <c r="H386" s="94" t="s">
        <v>673</v>
      </c>
      <c r="I386" s="1328"/>
      <c r="J386" s="1328"/>
      <c r="K386" s="1328"/>
      <c r="L386" s="1328"/>
      <c r="M386" s="1328"/>
      <c r="N386" s="1328"/>
      <c r="O386" s="1328"/>
      <c r="P386" s="1308"/>
      <c r="Q386" s="1308"/>
      <c r="R386" s="1308"/>
      <c r="S386" s="1308"/>
      <c r="T386" s="468" cm="1" t="str">
        <f t="array" ref="T386:T386">T385</f>
        <v>false</v>
      </c>
      <c r="U386" s="1308"/>
      <c r="V386" s="1328"/>
      <c r="W386" s="1308"/>
      <c r="X386" s="1539"/>
      <c r="Y386" s="1528"/>
      <c r="Z386" s="1328"/>
      <c r="AA386" s="1328"/>
      <c r="AB386" s="236" t="s">
        <v>674</v>
      </c>
      <c r="AC386" s="210" t="s">
        <v>879</v>
      </c>
      <c r="AD386" s="89" t="s">
        <v>657</v>
      </c>
      <c r="AE386" s="1971"/>
      <c r="AF386" s="1971"/>
      <c r="AG386" s="1971"/>
      <c r="AH386" s="1971"/>
      <c r="AI386" s="1971"/>
      <c r="AJ386" s="1971"/>
      <c r="AK386" s="1971"/>
      <c r="AL386" s="1971"/>
      <c r="AM386" s="1971"/>
      <c r="AN386" s="1971"/>
      <c r="AO386" s="1971"/>
      <c r="AP386" s="1971"/>
      <c r="AQ386" s="1971"/>
      <c r="AR386" s="1971"/>
      <c r="AS386" s="1971"/>
      <c r="AT386" s="1971"/>
      <c r="AU386" s="1971"/>
      <c r="AV386" s="1971"/>
      <c r="AW386" s="1971"/>
      <c r="AX386" s="1971"/>
      <c r="AY386" s="1971"/>
      <c r="AZ386" s="1971"/>
      <c r="BA386" s="1971"/>
      <c r="BB386" s="1971"/>
      <c r="BC386" s="1928"/>
      <c r="BD386" s="1328"/>
      <c r="BE386" s="1328"/>
      <c r="BF386" s="1023" t="s">
        <v>880</v>
      </c>
    </row>
    <row s="1656" customFormat="1" customHeight="1" ht="12.75" hidden="1">
      <c r="A387" s="1328"/>
      <c r="B387" s="1186"/>
      <c r="C387" s="1328"/>
      <c r="D387" s="1328"/>
      <c r="E387" s="637">
        <v>15</v>
      </c>
      <c r="F387" s="50" cm="1" t="str">
        <f t="array" ref="F387:F387">OFFSET(E387,-1,1)</f>
        <v>3</v>
      </c>
      <c r="G387" s="1328"/>
      <c r="H387" s="94" t="s">
        <v>677</v>
      </c>
      <c r="I387" s="1328"/>
      <c r="J387" s="1328"/>
      <c r="K387" s="1328"/>
      <c r="L387" s="1328"/>
      <c r="M387" s="1328"/>
      <c r="N387" s="1328"/>
      <c r="O387" s="1328"/>
      <c r="P387" s="1308"/>
      <c r="Q387" s="1308"/>
      <c r="R387" s="1308"/>
      <c r="S387" s="1308"/>
      <c r="T387" s="468" cm="1" t="str">
        <f t="array" ref="T387:T387">T386</f>
        <v>false</v>
      </c>
      <c r="U387" s="1308"/>
      <c r="V387" s="1328"/>
      <c r="W387" s="1308"/>
      <c r="X387" s="1539"/>
      <c r="Y387" s="1528"/>
      <c r="Z387" s="1328"/>
      <c r="AA387" s="1328"/>
      <c r="AB387" s="236" t="s">
        <v>678</v>
      </c>
      <c r="AC387" s="338" t="s">
        <v>881</v>
      </c>
      <c r="AD387" s="89" t="s">
        <v>657</v>
      </c>
      <c r="AE387" s="342">
        <f>AE388+AE389</f>
        <v>0</v>
      </c>
      <c r="AF387" s="342">
        <f>AF388+AF389</f>
        <v>0</v>
      </c>
      <c r="AG387" s="342">
        <f>AG388+AG389</f>
        <v>0</v>
      </c>
      <c r="AH387" s="342">
        <f>AH388+AH389</f>
        <v>0</v>
      </c>
      <c r="AI387" s="342">
        <f>AI388+AI389</f>
        <v>0</v>
      </c>
      <c r="AJ387" s="342">
        <f>AJ388+AJ389</f>
        <v>0</v>
      </c>
      <c r="AK387" s="342">
        <f>AK388+AK389</f>
        <v>0</v>
      </c>
      <c r="AL387" s="342">
        <f>AL388+AL389</f>
        <v>0</v>
      </c>
      <c r="AM387" s="342">
        <f>AM388+AM389</f>
        <v>0</v>
      </c>
      <c r="AN387" s="342">
        <f>AN388+AN389</f>
        <v>0</v>
      </c>
      <c r="AO387" s="342">
        <f>AO388+AO389</f>
        <v>0</v>
      </c>
      <c r="AP387" s="342">
        <f>AP388+AP389</f>
        <v>0</v>
      </c>
      <c r="AQ387" s="342">
        <f>AQ388+AQ389</f>
        <v>0</v>
      </c>
      <c r="AR387" s="342">
        <f>AR388+AR389</f>
        <v>0</v>
      </c>
      <c r="AS387" s="342">
        <f>AS388+AS389</f>
        <v>0</v>
      </c>
      <c r="AT387" s="342">
        <f>AT388+AT389</f>
        <v>0</v>
      </c>
      <c r="AU387" s="342">
        <f>AU388+AU389</f>
        <v>0</v>
      </c>
      <c r="AV387" s="342">
        <f>AV388+AV389</f>
        <v>0</v>
      </c>
      <c r="AW387" s="342">
        <f>AW388+AW389</f>
        <v>0</v>
      </c>
      <c r="AX387" s="342">
        <f>AX388+AX389</f>
        <v>0</v>
      </c>
      <c r="AY387" s="342">
        <f>AY388+AY389</f>
        <v>0</v>
      </c>
      <c r="AZ387" s="342">
        <f>AZ388+AZ389</f>
        <v>0</v>
      </c>
      <c r="BA387" s="342">
        <f>BA388+BA389</f>
        <v>0</v>
      </c>
      <c r="BB387" s="342">
        <f>BB388+BB389</f>
        <v>0</v>
      </c>
      <c r="BC387" s="1928"/>
      <c r="BD387" s="1328"/>
      <c r="BE387" s="1328"/>
      <c r="BF387" s="1023" t="s">
        <v>882</v>
      </c>
    </row>
    <row s="1656" customFormat="1" customHeight="1" ht="12.75" hidden="1">
      <c r="A388" s="1328"/>
      <c r="B388" s="1186"/>
      <c r="C388" s="1328"/>
      <c r="D388" s="1328"/>
      <c r="E388" s="637">
        <v>15</v>
      </c>
      <c r="F388" s="50" cm="1" t="str">
        <f t="array" ref="F388:F388">OFFSET(E388,-1,1)</f>
        <v>3</v>
      </c>
      <c r="G388" s="1328"/>
      <c r="H388" s="94" t="s">
        <v>883</v>
      </c>
      <c r="I388" s="1328"/>
      <c r="J388" s="1328"/>
      <c r="K388" s="1328"/>
      <c r="L388" s="1328"/>
      <c r="M388" s="1328"/>
      <c r="N388" s="1328"/>
      <c r="O388" s="1328"/>
      <c r="P388" s="1308"/>
      <c r="Q388" s="1308"/>
      <c r="R388" s="1308"/>
      <c r="S388" s="1308"/>
      <c r="T388" s="468" cm="1" t="str">
        <f t="array" ref="T388:T388">T387</f>
        <v>false</v>
      </c>
      <c r="U388" s="1308"/>
      <c r="V388" s="1328"/>
      <c r="W388" s="1308"/>
      <c r="X388" s="1539"/>
      <c r="Y388" s="1528"/>
      <c r="Z388" s="1328"/>
      <c r="AA388" s="1328"/>
      <c r="AB388" s="236" t="s">
        <v>884</v>
      </c>
      <c r="AC388" s="339" t="s">
        <v>733</v>
      </c>
      <c r="AD388" s="89" t="s">
        <v>657</v>
      </c>
      <c r="AE388" s="1971"/>
      <c r="AF388" s="1971"/>
      <c r="AG388" s="1971"/>
      <c r="AH388" s="1971"/>
      <c r="AI388" s="1971"/>
      <c r="AJ388" s="1971"/>
      <c r="AK388" s="1971"/>
      <c r="AL388" s="1971"/>
      <c r="AM388" s="1971"/>
      <c r="AN388" s="1971"/>
      <c r="AO388" s="1971"/>
      <c r="AP388" s="1971"/>
      <c r="AQ388" s="1971"/>
      <c r="AR388" s="1971"/>
      <c r="AS388" s="1971"/>
      <c r="AT388" s="1971"/>
      <c r="AU388" s="1971"/>
      <c r="AV388" s="1971"/>
      <c r="AW388" s="1971"/>
      <c r="AX388" s="1971"/>
      <c r="AY388" s="1971"/>
      <c r="AZ388" s="1971"/>
      <c r="BA388" s="1971"/>
      <c r="BB388" s="1971"/>
      <c r="BC388" s="1928"/>
      <c r="BD388" s="1328"/>
      <c r="BE388" s="1328"/>
      <c r="BF388" s="1023" t="s">
        <v>885</v>
      </c>
    </row>
    <row s="1656" customFormat="1" customHeight="1" ht="12.75" hidden="1">
      <c r="A389" s="1328"/>
      <c r="B389" s="1186"/>
      <c r="C389" s="1328"/>
      <c r="D389" s="1328"/>
      <c r="E389" s="637">
        <v>15</v>
      </c>
      <c r="F389" s="50" cm="1" t="str">
        <f t="array" ref="F389:F389">OFFSET(E389,-1,1)</f>
        <v>3</v>
      </c>
      <c r="G389" s="1328"/>
      <c r="H389" s="94" t="s">
        <v>886</v>
      </c>
      <c r="I389" s="1328"/>
      <c r="J389" s="1328"/>
      <c r="K389" s="1328"/>
      <c r="L389" s="1328"/>
      <c r="M389" s="1328"/>
      <c r="N389" s="1328"/>
      <c r="O389" s="1328"/>
      <c r="P389" s="1308"/>
      <c r="Q389" s="1308"/>
      <c r="R389" s="1308"/>
      <c r="S389" s="1308"/>
      <c r="T389" s="468" cm="1" t="str">
        <f t="array" ref="T389:T389">T388</f>
        <v>false</v>
      </c>
      <c r="U389" s="1308"/>
      <c r="V389" s="1328"/>
      <c r="W389" s="1308"/>
      <c r="X389" s="1539"/>
      <c r="Y389" s="1528"/>
      <c r="Z389" s="1328"/>
      <c r="AA389" s="1328"/>
      <c r="AB389" s="236" t="s">
        <v>887</v>
      </c>
      <c r="AC389" s="339" t="s">
        <v>737</v>
      </c>
      <c r="AD389" s="89" t="s">
        <v>657</v>
      </c>
      <c r="AE389" s="1971"/>
      <c r="AF389" s="1971"/>
      <c r="AG389" s="1971"/>
      <c r="AH389" s="1971"/>
      <c r="AI389" s="1971"/>
      <c r="AJ389" s="1971"/>
      <c r="AK389" s="1971"/>
      <c r="AL389" s="1971"/>
      <c r="AM389" s="1971"/>
      <c r="AN389" s="1971"/>
      <c r="AO389" s="1971"/>
      <c r="AP389" s="1971"/>
      <c r="AQ389" s="1971"/>
      <c r="AR389" s="1971"/>
      <c r="AS389" s="1971"/>
      <c r="AT389" s="1971"/>
      <c r="AU389" s="1971"/>
      <c r="AV389" s="1971"/>
      <c r="AW389" s="1971"/>
      <c r="AX389" s="1971"/>
      <c r="AY389" s="1971"/>
      <c r="AZ389" s="1971"/>
      <c r="BA389" s="1971"/>
      <c r="BB389" s="1971"/>
      <c r="BC389" s="1928"/>
      <c r="BD389" s="1328"/>
      <c r="BE389" s="1328"/>
      <c r="BF389" s="1023" t="s">
        <v>888</v>
      </c>
    </row>
    <row s="1656" customFormat="1" customHeight="1" ht="23.25" hidden="1">
      <c r="A390" s="1328"/>
      <c r="B390" s="1186"/>
      <c r="C390" s="1328"/>
      <c r="D390" s="1328"/>
      <c r="E390" s="637">
        <v>22.5</v>
      </c>
      <c r="F390" s="50" cm="1" t="str">
        <f t="array" ref="F390:F390">OFFSET(E390,-1,1)</f>
        <v>3</v>
      </c>
      <c r="G390" s="1328"/>
      <c r="H390" s="94" t="s">
        <v>889</v>
      </c>
      <c r="I390" s="1328"/>
      <c r="J390" s="1328"/>
      <c r="K390" s="1328"/>
      <c r="L390" s="1328"/>
      <c r="M390" s="1328"/>
      <c r="N390" s="1328"/>
      <c r="O390" s="1328"/>
      <c r="P390" s="1308"/>
      <c r="Q390" s="1308"/>
      <c r="R390" s="1308"/>
      <c r="S390" s="1308"/>
      <c r="T390" s="468" cm="1" t="str">
        <f t="array" ref="T390:T390">T389</f>
        <v>false</v>
      </c>
      <c r="U390" s="1308"/>
      <c r="V390" s="1328"/>
      <c r="W390" s="1308"/>
      <c r="X390" s="1539"/>
      <c r="Y390" s="1528"/>
      <c r="Z390" s="1328"/>
      <c r="AA390" s="1328"/>
      <c r="AB390" s="236" t="s">
        <v>890</v>
      </c>
      <c r="AC390" s="333" t="s">
        <v>698</v>
      </c>
      <c r="AD390" s="89" t="s">
        <v>657</v>
      </c>
      <c r="AE390" s="1927"/>
      <c r="AF390" s="1927"/>
      <c r="AG390" s="1927"/>
      <c r="AH390" s="1927"/>
      <c r="AI390" s="1927"/>
      <c r="AJ390" s="1927"/>
      <c r="AK390" s="1927"/>
      <c r="AL390" s="1927"/>
      <c r="AM390" s="1927"/>
      <c r="AN390" s="1927"/>
      <c r="AO390" s="1927"/>
      <c r="AP390" s="1927"/>
      <c r="AQ390" s="1927"/>
      <c r="AR390" s="1927"/>
      <c r="AS390" s="1927"/>
      <c r="AT390" s="1927"/>
      <c r="AU390" s="1927"/>
      <c r="AV390" s="1927"/>
      <c r="AW390" s="1927"/>
      <c r="AX390" s="1927"/>
      <c r="AY390" s="1927"/>
      <c r="AZ390" s="1927"/>
      <c r="BA390" s="1927"/>
      <c r="BB390" s="1927"/>
      <c r="BC390" s="1928"/>
      <c r="BD390" s="1328"/>
      <c r="BE390" s="1328"/>
      <c r="BF390" s="1023" t="s">
        <v>891</v>
      </c>
    </row>
    <row customHeight="1" ht="11.25">
      <c r="E391" s="637">
        <v>15</v>
      </c>
      <c r="U391" s="417" t="s">
        <v>177</v>
      </c>
      <c r="V391" s="136" t="s">
        <v>910</v>
      </c>
      <c r="AB391" s="512"/>
      <c r="AC391" s="471"/>
      <c r="AD391" s="513"/>
      <c r="AE391" s="958"/>
      <c r="AF391" s="958"/>
      <c r="AG391" s="958"/>
      <c r="AH391" s="958"/>
      <c r="AI391" s="958"/>
      <c r="AJ391" s="958"/>
      <c r="AK391" s="958"/>
      <c r="AL391" s="958"/>
      <c r="AM391" s="958"/>
      <c r="AN391" s="958"/>
      <c r="AO391" s="958"/>
      <c r="AP391" s="958"/>
      <c r="AQ391" s="958"/>
      <c r="AR391" s="958"/>
      <c r="AS391" s="958"/>
      <c r="AT391" s="958"/>
      <c r="AU391" s="958"/>
      <c r="AV391" s="958"/>
      <c r="AW391" s="958"/>
      <c r="AX391" s="958"/>
      <c r="AY391" s="958"/>
      <c r="AZ391" s="958"/>
      <c r="BA391" s="958"/>
      <c r="BB391" s="958"/>
      <c r="BC391" s="959"/>
    </row>
    <row s="1328" customFormat="1" customHeight="1" ht="10.96875">
      <c r="B392" s="514"/>
      <c r="E392" s="639">
        <v>11.25</v>
      </c>
      <c r="F392" s="755"/>
      <c r="K392" s="94"/>
      <c r="P392" s="485"/>
      <c r="Q392" s="485"/>
      <c r="R392" s="485"/>
      <c r="S392" s="485"/>
      <c r="T392" s="492"/>
      <c r="U392" s="492"/>
      <c r="V392" s="507"/>
      <c r="W392" s="492"/>
      <c r="X392" s="492"/>
      <c r="Y392" s="492"/>
      <c r="Z392" s="492"/>
      <c r="AA392" s="492"/>
      <c r="AB392" s="1545" t="s">
        <v>420</v>
      </c>
      <c r="AC392" s="1545"/>
      <c r="AD392" s="1545"/>
      <c r="AE392" s="1546"/>
      <c r="AF392" s="1546"/>
      <c r="AG392" s="1546"/>
      <c r="AH392" s="1546"/>
      <c r="AI392" s="1546"/>
      <c r="AJ392" s="1546"/>
      <c r="AK392" s="1546"/>
      <c r="AL392" s="1546"/>
      <c r="AM392" s="1546"/>
      <c r="AN392" s="1546"/>
      <c r="AO392" s="1546"/>
      <c r="AP392" s="1546"/>
      <c r="AQ392" s="1546"/>
      <c r="AR392" s="1546"/>
      <c r="AS392" s="1546"/>
      <c r="AT392" s="1546"/>
      <c r="AU392" s="1546"/>
      <c r="AV392" s="1546"/>
      <c r="AW392" s="1546"/>
      <c r="AX392" s="1546"/>
      <c r="AY392" s="1546"/>
      <c r="AZ392" s="1546"/>
      <c r="BA392" s="1546"/>
      <c r="BB392" s="1546"/>
      <c r="BC392" s="1546"/>
      <c r="BD392" s="492"/>
      <c r="BF392" s="1028"/>
    </row>
    <row customHeight="1" ht="14.625">
      <c r="E393" s="637">
        <v>15</v>
      </c>
      <c r="T393" s="492"/>
      <c r="U393" s="492"/>
      <c r="V393" s="507"/>
      <c r="W393" s="492"/>
      <c r="X393" s="492"/>
      <c r="Y393" s="492"/>
      <c r="Z393" s="492"/>
      <c r="AA393" s="667"/>
      <c r="AB393" s="1547"/>
      <c r="AC393" s="1548"/>
      <c r="AD393" s="1548"/>
      <c r="AE393" s="1548"/>
      <c r="AF393" s="1548"/>
      <c r="AG393" s="1548"/>
      <c r="AH393" s="1548"/>
      <c r="AI393" s="1548"/>
      <c r="AJ393" s="2449"/>
      <c r="AK393" s="2449"/>
      <c r="AL393" s="2449"/>
      <c r="AM393" s="2449"/>
      <c r="AN393" s="2449"/>
      <c r="AO393" s="2449"/>
      <c r="AP393" s="2449"/>
      <c r="AQ393" s="2449"/>
      <c r="AR393" s="2449"/>
      <c r="AS393" s="1548"/>
      <c r="AT393" s="2449"/>
      <c r="AU393" s="2449"/>
      <c r="AV393" s="2449"/>
      <c r="AW393" s="2449"/>
      <c r="AX393" s="2449"/>
      <c r="AY393" s="2449"/>
      <c r="AZ393" s="2449"/>
      <c r="BA393" s="2449"/>
      <c r="BB393" s="2449"/>
      <c r="BC393" s="1549"/>
      <c r="BD393" s="492"/>
    </row>
    <row customHeight="1" ht="14.625" hidden="1">
      <c r="A394" s="1328"/>
      <c r="B394" s="1186"/>
      <c r="C394" s="1328"/>
      <c r="D394" s="1328"/>
      <c r="E394" s="637">
        <v>15</v>
      </c>
      <c r="F394" s="1346"/>
      <c r="G394" s="1328"/>
      <c r="H394" s="1328"/>
      <c r="I394" s="1328"/>
      <c r="J394" s="1328"/>
      <c r="K394" s="1328"/>
      <c r="L394" s="1328"/>
      <c r="M394" s="1328"/>
      <c r="N394" s="1328"/>
      <c r="O394" s="1328"/>
      <c r="P394" s="1308"/>
      <c r="Q394" s="1308"/>
      <c r="R394" s="1308"/>
      <c r="S394" s="1308"/>
      <c r="T394" s="468">
        <f>ROW(W394)&gt;ROW(W$394)</f>
        <v>0</v>
      </c>
      <c r="U394" s="492"/>
      <c r="V394" s="507"/>
      <c r="W394" s="764" t="s">
        <v>173</v>
      </c>
      <c r="X394" s="492"/>
      <c r="Y394" s="492"/>
      <c r="Z394" s="492"/>
      <c r="AA394" s="668" t="s">
        <v>174</v>
      </c>
      <c r="AB394" s="2450"/>
      <c r="AC394" s="2451"/>
      <c r="AD394" s="2451"/>
      <c r="AE394" s="2451"/>
      <c r="AF394" s="2451"/>
      <c r="AG394" s="2451"/>
      <c r="AH394" s="2451"/>
      <c r="AI394" s="1551"/>
      <c r="AJ394" s="2451"/>
      <c r="AK394" s="2451"/>
      <c r="AL394" s="2451"/>
      <c r="AM394" s="2451"/>
      <c r="AN394" s="2451"/>
      <c r="AO394" s="2451"/>
      <c r="AP394" s="2451"/>
      <c r="AQ394" s="2451"/>
      <c r="AR394" s="2451"/>
      <c r="AS394" s="1551"/>
      <c r="AT394" s="2451"/>
      <c r="AU394" s="2451"/>
      <c r="AV394" s="2451"/>
      <c r="AW394" s="2451"/>
      <c r="AX394" s="2451"/>
      <c r="AY394" s="2451"/>
      <c r="AZ394" s="2451"/>
      <c r="BA394" s="2451"/>
      <c r="BB394" s="2451"/>
      <c r="BC394" s="2453"/>
      <c r="BD394" s="492"/>
      <c r="BE394" s="1328"/>
      <c r="BF394" s="1330"/>
    </row>
    <row customHeight="1" ht="14.625">
      <c r="E395" s="637">
        <v>15</v>
      </c>
      <c r="T395" s="492"/>
      <c r="U395" s="492"/>
      <c r="V395" s="492"/>
      <c r="W395" s="764" t="s">
        <v>421</v>
      </c>
      <c r="X395" s="492"/>
      <c r="Y395" s="492"/>
      <c r="Z395" s="492"/>
      <c r="AA395" s="492"/>
      <c r="AB395" s="653"/>
      <c r="AC395" s="517" t="s">
        <v>422</v>
      </c>
      <c r="AD395" s="508"/>
      <c r="AE395" s="509"/>
      <c r="AF395" s="509"/>
      <c r="AG395" s="509"/>
      <c r="AH395" s="509"/>
      <c r="AI395" s="509"/>
      <c r="AJ395" s="509"/>
      <c r="AK395" s="509"/>
      <c r="AL395" s="509"/>
      <c r="AM395" s="509"/>
      <c r="AN395" s="509"/>
      <c r="AO395" s="509"/>
      <c r="AP395" s="509"/>
      <c r="AQ395" s="509"/>
      <c r="AR395" s="509"/>
      <c r="AS395" s="509"/>
      <c r="AT395" s="509"/>
      <c r="AU395" s="509"/>
      <c r="AV395" s="509"/>
      <c r="AW395" s="509"/>
      <c r="AX395" s="509"/>
      <c r="AY395" s="509"/>
      <c r="AZ395" s="509"/>
      <c r="BA395" s="509"/>
      <c r="BB395" s="509"/>
      <c r="BC395" s="510"/>
      <c r="BD395" s="492"/>
    </row>
    <row customHeight="1" ht="10.725000000000001">
      <c r="E396" s="637">
        <v>11</v>
      </c>
      <c r="T396" s="492"/>
      <c r="U396" s="492"/>
      <c r="V396" s="492"/>
      <c r="W396" s="492"/>
      <c r="X396" s="492"/>
      <c r="Y396" s="492"/>
      <c r="Z396" s="492"/>
      <c r="AA396" s="492"/>
      <c r="AB396" s="511"/>
      <c r="AC396" s="511"/>
      <c r="AD396" s="511"/>
      <c r="AE396" s="492"/>
      <c r="AF396" s="492"/>
      <c r="AG396" s="492"/>
      <c r="AH396" s="492"/>
      <c r="AI396" s="492"/>
      <c r="AJ396" s="492"/>
      <c r="AK396" s="492"/>
      <c r="AL396" s="492"/>
      <c r="AM396" s="492"/>
      <c r="AN396" s="492"/>
      <c r="AO396" s="492"/>
      <c r="AP396" s="492"/>
      <c r="AQ396" s="492"/>
      <c r="AR396" s="492"/>
      <c r="AS396" s="492"/>
      <c r="AT396" s="492"/>
      <c r="AU396" s="492"/>
      <c r="AV396" s="492"/>
      <c r="AW396" s="492"/>
      <c r="AX396" s="492"/>
      <c r="AY396" s="492"/>
      <c r="AZ396" s="492"/>
      <c r="BA396" s="492"/>
      <c r="BB396" s="492"/>
      <c r="BC396" s="511"/>
      <c r="BD396" s="492"/>
    </row>
  </sheetData>
  <sheetProtection formatColumns="0" formatRows="0" insertRows="0" deleteColumns="0" deleteRows="0" sort="0" autoFilter="0" insertColumns="1"/>
  <mergeCells count="15">
    <mergeCell ref="AD24:AD25"/>
    <mergeCell ref="BC24:BC25"/>
    <mergeCell ref="AB24:AB25"/>
    <mergeCell ref="AC24:AC25"/>
    <mergeCell ref="X27:X117"/>
    <mergeCell ref="Y27:Y117"/>
    <mergeCell ref="AB392:BC392"/>
    <mergeCell ref="AB393:BC393"/>
    <mergeCell ref="AB394:BC394"/>
    <mergeCell ref="X118:X208"/>
    <mergeCell ref="Y118:Y208"/>
    <mergeCell ref="X209:X299"/>
    <mergeCell ref="Y209:Y299"/>
    <mergeCell ref="X300:X390"/>
    <mergeCell ref="Y300:Y390"/>
  </mergeCells>
  <dataValidations count="1">
    <dataValidation type="decimal" allowBlank="1" showErrorMessage="1" errorTitle="Ошибка" error="Допускается ввод только неотрицательных чисел!" sqref="AE67:BB70 AE113:BB113 AE109:BB111 AE30:BB32 AE34:BB37 AE39:BB42 AE46:BB48 AE50:BB51 AE54:BB55 AE57:BB58 AE73:BB74 AE60:BB63 AE86:BB87 AE89:BB90 AE92:BB93 BB115:BB117 BB121:BB123 BB125:BB128 BB130:BB133 BB137:BB139 BB141:BB142 BB145:BB146 BB148:BB149 BB151:BB154 BB158:BB161 BB164:BB165 BB167:BB170 BB174 BB177:BB178 BB180:BB181 BB183:BB184 BB186:BB191 BB193:BB196 BB200:BB202 BB204 BB206:BB208 BB212:BB214 BB216:BB219 BB221:BB224 BB228:BB230 BB232:BB233 BB236:BB237 BB239:BB240 BB242:BB245 BB249:BB252 BB255:BB256 BB258:BB261 BB265 BB268:BB269 BB271:BB272 BB274:BB275 BB277:BB282 BB284:BB287 BB291:BB293 BB295 BB297:BB299 BB303:BB305 BB307:BB310 BB312:BB315 BB319:BB321 BB323:BB324 BB327:BB328 BB330:BB331 BB333:BB336 BB340:BB343 BB346:BB347 BB349:BB352 BB356 BB359:BB360 BB362:BB363 BB365:BB366 BB368:BB373 BB375:BB378 BB382:BB384 BB386 BB388:BB390 BA115:BA117 BA121:BA123 BA125:BA128 BA130:BA133 BA137:BA139 BA141:BA142 BA145:BA146 BA148:BA149 BA151:BA154 BA158:BA161 BA164:BA165 BA167:BA170 BA174 BA177:BA178 BA180:BA181 BA183:BA184 BA186:BA191 BA193:BA196 BA200:BA202 BA204 BA206:BA208 BA212:BA214 BA216:BA219 BA221:BA224 BA228:BA230 BA232:BA233 BA236:BA237 BA239:BA240 BA242:BA245 BA249:BA252 BA255:BA256 BA258:BA261 BA265 BA268:BA269 BA271:BA272 BA274:BA275 BA277:BA282 BA284:BA287 BA291:BA293 BA295 BA297:BA299 BA303:BA305 BA307:BA310 BA312:BA315 BA319:BA321 BA323:BA324 BA327:BA328 BA330:BA331 BA333:BA336 BA340:BA343 BA346:BA347 BA349:BA352 BA356 BA359:BA360 BA362:BA363 BA365:BA366 BA368:BA373 BA375:BA378 BA382:BA384 BA386 BA388:BA390 AZ115:AZ117 AZ121:AZ123 AZ125:AZ128 AZ130:AZ133 AZ137:AZ139 AZ141:AZ142 AZ145:AZ146 AZ148:AZ149 AZ151:AZ154 AZ158:AZ161 AZ164:AZ165 AZ167:AZ170 AZ174 AZ177:AZ178 AZ180:AZ181 AZ183:AZ184 AZ186:AZ191 AZ193:AZ196 AZ200:AZ202 AZ204 AZ206:AZ208 AZ212:AZ214 AZ216:AZ219 AZ221:AZ224 AZ228:AZ230 AZ232:AZ233 AZ236:AZ237 AZ239:AZ240 AZ242:AZ245 AZ249:AZ252 AZ255:AZ256 AZ258:AZ261 AZ265 AZ268:AZ269 AZ271:AZ272 AZ274:AZ275 AZ277:AZ282 AZ284:AZ287 AZ291:AZ293 AZ295 AZ297:AZ299 AZ303:AZ305 AZ307:AZ310 AZ312:AZ315 AZ319:AZ321 AZ323:AZ324 AZ327:AZ328 AZ330:AZ331 AZ333:AZ336 AZ340:AZ343 AZ346:AZ347 AZ349:AZ352 AZ356 AZ359:AZ360 AZ362:AZ363 AZ365:AZ366 AZ368:AZ373 AZ375:AZ378 AZ382:AZ384 AZ386 AZ388:AZ390 AY115:AY117 AY121:AY123 AY125:AY128 AY130:AY133 AY137:AY139 AY141:AY142 AY145:AY146 AY148:AY149 AY151:AY154 AY158:AY161 AY164:AY165 AY167:AY170 AY174 AY177:AY178 AY180:AY181 AY183:AY184 AY186:AY191 AY193:AY196 AY200:AY202 AY204 AY206:AY208 AY212:AY214 AY216:AY219 AY221:AY224 AY228:AY230 AY232:AY233 AY236:AY237 AY239:AY240 AY242:AY245 AY249:AY252 AY255:AY256 AY258:AY261 AY265 AY268:AY269 AY271:AY272 AY274:AY275 AY277:AY282 AY284:AY287 AY291:AY293 AY295 AY297:AY299 AY303:AY305 AY307:AY310 AY312:AY315 AY319:AY321 AY323:AY324 AY327:AY328 AY330:AY331 AY333:AY336 AY340:AY343 AY346:AY347 AY349:AY352 AY356 AY359:AY360 AY362:AY363 AY365:AY366 AY368:AY373 AY375:AY378 AY382:AY384 AY386 AY388:AY390 AX115:AX117 AX121:AX123 AX125:AX128 AX130:AX133 AX137:AX139 AX141:AX142 AX145:AX146 AX148:AX149 AX151:AX154 AX158:AX161 AX164:AX165 AX167:AX170 AX174 AX177:AX178 AX180:AX181 AX183:AX184 AX186:AX191 AX193:AX196 AX200:AX202 AX204 AX206:AX208 AX212:AX214 AX216:AX219 AX221:AX224 AX228:AX230 AX232:AX233 AX236:AX237 AX239:AX240 AX242:AX245 AX249:AX252 AX255:AX256 AX258:AX261 AX265 AX268:AX269 AX271:AX272 AX274:AX275 AX277:AX282 AX284:AX287 AX291:AX293 AX295 AX297:AX299 AX303:AX305 AX307:AX310 AX312:AX315 AX319:AX321 AX323:AX324 AX327:AX328 AX330:AX331 AX333:AX336 AX340:AX343 AX346:AX347 AX349:AX352 AX356 AX359:AX360 AX362:AX363 AX365:AX366 AX368:AX373 AX375:AX378 AX382:AX384 AX386 AX388:AX390 AW115:AW117 AW121:AW123 AW125:AW128 AW130:AW133 AW137:AW139 AW141:AW142 AW145:AW146 AW148:AW149 AW151:AW154 AW158:AW161 AW164:AW165 AW167:AW170 AW174 AW177:AW178 AW180:AW181 AW183:AW184 AW186:AW191 AW193:AW196 AW200:AW202 AW204 AW206:AW208 AW212:AW214 AW216:AW219 AW221:AW224 AW228:AW230 AW232:AW233 AW236:AW237 AW239:AW240 AW242:AW245 AW249:AW252 AW255:AW256 AW258:AW261 AW265 AW268:AW269 AW271:AW272 AW274:AW275 AW277:AW282 AW284:AW287 AW291:AW293 AW295 AW297:AW299 AW303:AW305 AW307:AW310 AW312:AW315 AW319:AW321 AW323:AW324 AW327:AW328 AW330:AW331 AW333:AW336 AW340:AW343 AW346:AW347 AW349:AW352 AW356 AW359:AW360 AW362:AW363 AW365:AW366 AW368:AW373 AW375:AW378 AW382:AW384 AW386 AW388:AW390 AV115:AV117 AV121:AV123 AV125:AV128 AV130:AV133 AV137:AV139 AV141:AV142 AV145:AV146 AV148:AV149 AV151:AV154 AV158:AV161 AV164:AV165 AV167:AV170 AV174 AV177:AV178 AV180:AV181 AV183:AV184 AV186:AV191 AV193:AV196 AV200:AV202 AV204 AV206:AV208 AV212:AV214 AV216:AV219 AV221:AV224 AV228:AV230 AV232:AV233 AV236:AV237 AV239:AV240 AV242:AV245 AV249:AV252 AV255:AV256 AV258:AV261 AV265 AV268:AV269 AV271:AV272 AV274:AV275 AV277:AV282 AV284:AV287 AV291:AV293 AV295 AV297:AV299 AV303:AV305 AV307:AV310 AV312:AV315 AV319:AV321 AV323:AV324 AV327:AV328 AV330:AV331 AV333:AV336 AV340:AV343 AV346:AV347 AV349:AV352 AV356 AV359:AV360 AV362:AV363 AV365:AV366 AV368:AV373 AV375:AV378 AV382:AV384 AV386 AV388:AV390 AU115:AU117 AU121:AU123 AU125:AU128 AU130:AU133 AU137:AU139 AU141:AU142 AU145:AU146 AU148:AU149 AU151:AU154 AU158:AU161 AU164:AU165 AU167:AU170 AU174 AU177:AU178 AU180:AU181 AU183:AU184 AU186:AU191 AU193:AU196 AU200:AU202 AU204 AU206:AU208 AU212:AU214 AU216:AU219 AU221:AU224 AU228:AU230 AU232:AU233 AU236:AU237 AU239:AU240 AU242:AU245 AU249:AU252 AU255:AU256 AU258:AU261 AU265 AU268:AU269 AU271:AU272 AU274:AU275 AU277:AU282 AU284:AU287 AU291:AU293 AU295 AU297:AU299 AU303:AU305 AU307:AU310 AU312:AU315 AU319:AU321 AU323:AU324 AU327:AU328 AU330:AU331 AU333:AU336 AU340:AU343 AU346:AU347 AU349:AU352 AU356 AU359:AU360 AU362:AU363 AU365:AU366 AU368:AU373 AU375:AU378 AU382:AU384 AU386 AU388:AU390 AT115:AT117 AT121:AT123 AT125:AT128 AT130:AT133 AT137:AT139 AT141:AT142 AT145:AT146 AT148:AT149 AT151:AT154 AT158:AT161 AT164:AT165 AT167:AT170 AT174 AT177:AT178 AT180:AT181 AT183:AT184 AT186:AT191 AT193:AT196 AT200:AT202 AT204 AT206:AT208 AT212:AT214 AT216:AT219 AT221:AT224 AT228:AT230 AT232:AT233 AT236:AT237 AT239:AT240 AT242:AT245 AT249:AT252 AT255:AT256 AT258:AT261 AT265 AT268:AT269 AT271:AT272 AT274:AT275 AT277:AT282 AT284:AT287 AT291:AT293 AT295 AT297:AT299 AT303:AT305 AT307:AT310 AT312:AT315 AT319:AT321 AT323:AT324 AT327:AT328 AT330:AT331 AT333:AT336 AT340:AT343 AT346:AT347 AT349:AT352 AT356 AT359:AT360 AT362:AT363 AT365:AT366 AT368:AT373 AT375:AT378 AT382:AT384 AT386 AT388:AT390 AS115:AS117 AS121:AS123 AS125:AS128 AS130:AS133 AS137:AS139 AS141:AS142 AS145:AS146 AS148:AS149 AS151:AS154 AS158:AS161 AS164:AS165 AS167:AS170 AS174 AS177:AS178 AS180:AS181 AS183:AS184 AS186:AS191 AS193:AS196 AS200:AS202 AS204 AS206:AS208 AS212:AS214 AS216:AS219 AS221:AS224 AS228:AS230 AS232:AS233 AS236:AS237 AS239:AS240 AS242:AS245 AS249:AS252 AS255:AS256 AS258:AS261 AS265 AS268:AS269 AS271:AS272 AS274:AS275 AS277:AS282 AS284:AS287 AS291:AS293 AS295 AS297:AS299 AS303:AS305 AS307:AS310 AS312:AS315 AS319:AS321 AS323:AS324 AS327:AS328 AS330:AS331 AS333:AS336 AS340:AS343 AS346:AS347 AS349:AS352 AS356 AS359:AS360 AS362:AS363 AS365:AS366 AS368:AS373 AS375:AS378 AS382:AS384 AS386 AS388:AS390 AR115:AR117 AR121:AR123 AR125:AR128 AR130:AR133 AR137:AR139 AR141:AR142 AR145:AR146 AR148:AR149 AR151:AR154 AR158:AR161 AR164:AR165 AR167:AR170 AR174 AR177:AR178 AR180:AR181 AR183:AR184 AR186:AR191 AR193:AR196 AR200:AR202 AR204 AR206:AR208 AR212:AR214 AR216:AR219 AR221:AR224 AR228:AR230 AR232:AR233 AR236:AR237 AR239:AR240 AR242:AR245 AR249:AR252 AR255:AR256 AR258:AR261 AR265 AR268:AR269 AR271:AR272 AR274:AR275 AR277:AR282 AR284:AR287 AR291:AR293 AR295 AR297:AR299 AR303:AR305 AR307:AR310 AR312:AR315 AR319:AR321 AR323:AR324 AR327:AR328 AR330:AR331 AR333:AR336 AR340:AR343 AR346:AR347 AR349:AR352 AR356 AR359:AR360 AR362:AR363 AR365:AR366 AR368:AR373 AR375:AR378 AR382:AR384 AR386 AR388:AR390 AQ115:AQ117 AQ121:AQ123 AQ125:AQ128 AQ130:AQ133 AQ137:AQ139 AQ141:AQ142 AQ145:AQ146 AQ148:AQ149 AQ151:AQ154 AQ158:AQ161 AQ164:AQ165 AQ167:AQ170 AQ174 AQ177:AQ178 AQ180:AQ181 AQ183:AQ184 AQ186:AQ191 AQ193:AQ196 AQ200:AQ202 AQ204 AQ206:AQ208 AQ212:AQ214 AQ216:AQ219 AQ221:AQ224 AQ228:AQ230 AQ232:AQ233 AQ236:AQ237 AQ239:AQ240 AQ242:AQ245 AQ249:AQ252 AQ255:AQ256 AQ258:AQ261 AQ265 AQ268:AQ269 AQ271:AQ272 AQ274:AQ275 AQ277:AQ282 AQ284:AQ287 AQ291:AQ293 AQ295 AQ297:AQ299 AQ303:AQ305 AQ307:AQ310 AQ312:AQ315 AQ319:AQ321 AQ323:AQ324 AQ327:AQ328 AQ330:AQ331 AQ333:AQ336 AQ340:AQ343 AQ346:AQ347 AQ349:AQ352 AQ356 AQ359:AQ360 AQ362:AQ363 AQ365:AQ366 AQ368:AQ373 AQ375:AQ378 AQ382:AQ384 AQ386 AQ388:AQ390 AP115:AP117 AP121:AP123 AP125:AP128 AP130:AP133 AP137:AP139 AP141:AP142 AP145:AP146 AP148:AP149 AP151:AP154 AP158:AP161 AP164:AP165 AP167:AP170 AP174 AP177:AP178 AP180:AP181 AP183:AP184 AP186:AP191 AP193:AP196 AP200:AP202 AP204 AP206:AP208 AP212:AP214 AP216:AP219 AP221:AP224 AP228:AP230 AP232:AP233 AP236:AP237 AP239:AP240 AP242:AP245 AP249:AP252 AP255:AP256 AP258:AP261 AP265 AP268:AP269 AP271:AP272 AP274:AP275 AP277:AP282 AP284:AP287 AP291:AP293 AP295 AP297:AP299 AP303:AP305 AP307:AP310 AP312:AP315 AP319:AP321 AP323:AP324 AP327:AP328 AP330:AP331 AP333:AP336 AP340:AP343 AP346:AP347 AP349:AP352 AP356 AP359:AP360 AP362:AP363 AP365:AP366 AP368:AP373 AP375:AP378 AP382:AP384 AP386 AP388:AP390 AO115:AO117 AO121:AO123 AO125:AO128 AO130:AO133 AO137:AO139 AO141:AO142 AO145:AO146 AO148:AO149 AO151:AO154 AO158:AO161 AO164:AO165 AO167:AO170 AO174 AO177:AO178 AO180:AO181 AO183:AO184 AO186:AO191 AO193:AO196 AO200:AO202 AO204 AO206:AO208 AO212:AO214 AO216:AO219 AO221:AO224 AO228:AO230 AO232:AO233 AO236:AO237 AO239:AO240 AO242:AO245 AO249:AO252 AO255:AO256 AO258:AO261 AO265 AO268:AO269 AO271:AO272 AO274:AO275 AO277:AO282 AO284:AO287 AO291:AO293 AO295 AO297:AO299 AO303:AO305 AO307:AO310 AO312:AO315 AO319:AO321 AO323:AO324 AO327:AO328 AO330:AO331 AO333:AO336 AO340:AO343 AO346:AO347 AO349:AO352 AO356 AO359:AO360 AO362:AO363 AO365:AO366 AO368:AO373 AO375:AO378 AO382:AO384 AO386 AO388:AO390 AN115:AN117 AN121:AN123 AN125:AN128 AN130:AN133 AN137:AN139 AN141:AN142 AN145:AN146 AN148:AN149 AN151:AN154 AN158:AN161 AN164:AN165 AN167:AN170 AN174 AN177:AN178 AN180:AN181 AN183:AN184 AN186:AN191 AN193:AN196 AN200:AN202 AN204 AN206:AN208 AN212:AN214 AN216:AN219 AN221:AN224 AN228:AN230 AN232:AN233 AN236:AN237 AN239:AN240 AN242:AN245 AN249:AN252 AN255:AN256 AN258:AN261 AN265 AN268:AN269 AN271:AN272 AN274:AN275 AN277:AN282 AN284:AN287 AN291:AN293 AN295 AN297:AN299 AN303:AN305 AN307:AN310 AN312:AN315 AN319:AN321 AN323:AN324 AN327:AN328 AN330:AN331 AN333:AN336 AN340:AN343 AN346:AN347 AN349:AN352 AN356 AN359:AN360 AN362:AN363 AN365:AN366 AN368:AN373 AN375:AN378 AN382:AN384 AN386 AN388:AN390 AM115:AM117 AM121:AM123 AM125:AM128 AM130:AM133 AM137:AM139 AM141:AM142 AM145:AM146 AM148:AM149 AM151:AM154 AM158:AM161 AM164:AM165 AM167:AM170 AM174 AM177:AM178 AM180:AM181 AM183:AM184 AM186:AM191 AM193:AM196 AM200:AM202 AM204 AM206:AM208 AM212:AM214 AM216:AM219 AM221:AM224 AM228:AM230 AM232:AM233 AM236:AM237 AM239:AM240 AM242:AM245 AM249:AM252 AM255:AM256 AM258:AM261 AM265 AM268:AM269 AM271:AM272 AM274:AM275 AM277:AM282 AM284:AM287 AM291:AM293 AM295 AM297:AM299 AM303:AM305 AM307:AM310 AM312:AM315 AM319:AM321 AM323:AM324 AM327:AM328 AM330:AM331 AM333:AM336 AM340:AM343 AM346:AM347 AM349:AM352 AM356 AM359:AM360 AM362:AM363 AM365:AM366 AM368:AM373 AM375:AM378 AM382:AM384 AM386 AM388:AM390 AL115:AL117 AL121:AL123 AL125:AL128 AL130:AL133 AL137:AL139 AL141:AL142 AL145:AL146 AL148:AL149 AL151:AL154 AL158:AL161 AL164:AL165 AL167:AL170 AL174 AL177:AL178 AL180:AL181 AL183:AL184 AL186:AL191 AL193:AL196 AL200:AL202 AL204 AL206:AL208 AL212:AL214 AL216:AL219 AL221:AL224 AL228:AL230 AL232:AL233 AL236:AL237 AL239:AL240 AL242:AL245 AL249:AL252 AL255:AL256 AL258:AL261 AL265 AL268:AL269 AL271:AL272 AL274:AL275 AL277:AL282 AL284:AL287 AL291:AL293 AL295 AL297:AL299 AL303:AL305 AL307:AL310 AL312:AL315 AL319:AL321 AL323:AL324 AL327:AL328 AL330:AL331 AL333:AL336 AL340:AL343 AL346:AL347 AL349:AL352 AL356 AL359:AL360 AL362:AL363 AL365:AL366 AL368:AL373 AL375:AL378 AL382:AL384 AL386 AL388:AL390 AK115:AK117 AK121:AK123 AK125:AK128 AK130:AK133 AK137:AK139 AK141:AK142 AK145:AK146 AK148:AK149 AK151:AK154 AK158:AK161 AK164:AK165 AK167:AK170 AK174 AK177:AK178 AK180:AK181 AK183:AK184 AK186:AK191 AK193:AK196 AK200:AK202 AK204 AK206:AK208 AK212:AK214 AK216:AK219 AK221:AK224 AK228:AK230 AK232:AK233 AK236:AK237 AK239:AK240 AK242:AK245 AK249:AK252 AK255:AK256 AK258:AK261 AK265 AK268:AK269 AK271:AK272 AK274:AK275 AK277:AK282 AK284:AK287 AK291:AK293 AK295 AK297:AK299 AK303:AK305 AK307:AK310 AK312:AK315 AK319:AK321 AK323:AK324 AK327:AK328 AK330:AK331 AK333:AK336 AK340:AK343 AK346:AK347 AK349:AK352 AK356 AK359:AK360 AK362:AK363 AK365:AK366 AK368:AK373 AK375:AK378 AK382:AK384 AK386 AK388:AK390 AJ115:AJ117 AJ121:AJ123 AJ125:AJ128 AJ130:AJ133 AJ137:AJ139 AJ141:AJ142 AJ145:AJ146 AJ148:AJ149 AJ151:AJ154 AJ158:AJ161 AJ164:AJ165 AJ167:AJ170 AJ174 AJ177:AJ178 AJ180:AJ181 AJ183:AJ184 AJ186:AJ191 AJ193:AJ196 AJ200:AJ202 AJ204 AJ206:AJ208 AJ212:AJ214 AJ216:AJ219 AJ221:AJ224 AJ228:AJ230 AJ232:AJ233 AJ236:AJ237 AJ239:AJ240 AJ242:AJ245 AJ249:AJ252 AJ255:AJ256 AJ258:AJ261 AJ265 AJ268:AJ269 AJ271:AJ272 AJ274:AJ275 AJ277:AJ282 AJ284:AJ287 AJ291:AJ293 AJ295 AJ297:AJ299 AJ303:AJ305 AJ307:AJ310 AJ312:AJ315 AJ319:AJ321 AJ323:AJ324 AJ327:AJ328 AJ330:AJ331 AJ333:AJ336 AJ340:AJ343 AJ346:AJ347 AJ349:AJ352 AJ356 AJ359:AJ360 AJ362:AJ363 AJ365:AJ366 AJ368:AJ373 AJ375:AJ378 AJ382:AJ384 AJ386 AJ388:AJ390 AI115:AI117 AI121:AI123 AI125:AI128 AI130:AI133 AI137:AI139 AI141:AI142 AI145:AI146 AI148:AI149 AI151:AI154 AI158:AI161 AI164:AI165 AI167:AI170 AI174 AI177:AI178 AI180:AI181 AI183:AI184 AI186:AI191 AI193:AI196 AI200:AI202 AI204 AI206:AI208 AI212:AI214 AI216:AI219 AI221:AI224 AI228:AI230 AI232:AI233 AI236:AI237 AI239:AI240 AI242:AI245 AI249:AI252 AI255:AI256 AI258:AI261 AI265 AI268:AI269 AI271:AI272 AI274:AI275 AI277:AI282 AI284:AI287 AI291:AI293 AI295 AI297:AI299 AI303:AI305 AI307:AI310 AI312:AI315 AI319:AI321 AI323:AI324 AI327:AI328 AI330:AI331 AI333:AI336 AI340:AI343 AI346:AI347 AI349:AI352 AI356 AI359:AI360 AI362:AI363 AI365:AI366 AI368:AI373 AI375:AI378 AI382:AI384 AI386 AI388:AI390 AH115:AH117 AH121:AH123 AH125:AH128 AH130:AH133 AH137:AH139 AH141:AH142 AH145:AH146 AH148:AH149 AH151:AH154 AH158:AH161 AH164:AH165 AH167:AH170 AH174 AH177:AH178 AH180:AH181 AH183:AH184 AH186:AH191 AH193:AH196 AH200:AH202 AH204 AH206:AH208 AH212:AH214 AH216:AH219 AH221:AH224 AH228:AH230 AH232:AH233 AH236:AH237 AH239:AH240 AH242:AH245 AH249:AH252 AH255:AH256 AH258:AH261 AH265 AH268:AH269 AH271:AH272 AH274:AH275 AH277:AH282 AH284:AH287 AH291:AH293 AH295 AH297:AH299 AH303:AH305 AH307:AH310 AH312:AH315 AH319:AH321 AH323:AH324 AH327:AH328 AH330:AH331 AH333:AH336 AH340:AH343 AH346:AH347 AH349:AH352 AH356 AH359:AH360 AH362:AH363 AH365:AH366 AH368:AH373 AH375:AH378 AH382:AH384 AH386 AH388:AH390 AG115:AG117 AG121:AG123 AG125:AG128 AG130:AG133 AG137:AG139 AG141:AG142 AG145:AG146 AG148:AG149 AG151:AG154 AG158:AG161 AG164:AG165 AG167:AG170 AG174 AG177:AG178 AG180:AG181 AG183:AG184 AG186:AG191 AG193:AG196 AG200:AG202 AG204 AG206:AG208 AG212:AG214 AG216:AG219 AG221:AG224 AG228:AG230 AG232:AG233 AG236:AG237 AG239:AG240 AG242:AG245 AG249:AG252 AG255:AG256 AG258:AG261 AG265 AG268:AG269 AG271:AG272 AG274:AG275 AG277:AG282 AG284:AG287 AG291:AG293 AG295 AG297:AG299 AG303:AG305 AG307:AG310 AG312:AG315 AG319:AG321 AG323:AG324 AG327:AG328 AG330:AG331 AG333:AG336 AG340:AG343 AG346:AG347 AG349:AG352 AG356 AG359:AG360 AG362:AG363 AG365:AG366 AG368:AG373 AG375:AG378 AG382:AG384 AG386 AG388:AG390 AF115:AF117 AF121:AF123 AF125:AF128 AF130:AF133 AF137:AF139 AF141:AF142 AF145:AF146 AF148:AF149 AF151:AF154 AF158:AF161 AF164:AF165 AF167:AF170 AF174 AF177:AF178 AF180:AF181 AF183:AF184 AF186:AF191 AF193:AF196 AF200:AF202 AF204 AF206:AF208 AF212:AF214 AF216:AF219 AF221:AF224 AF228:AF230 AF232:AF233 AF236:AF237 AF239:AF240 AF242:AF245 AF249:AF252 AF255:AF256 AF258:AF261 AF265 AF268:AF269 AF271:AF272 AF274:AF275 AF277:AF282 AF284:AF287 AF291:AF293 AF295 AF297:AF299 AF303:AF305 AF307:AF310 AF312:AF315 AF319:AF321 AF323:AF324 AF327:AF328 AF330:AF331 AF333:AF336 AF340:AF343 AF346:AF347 AF349:AF352 AF356 AF359:AF360 AF362:AF363 AF365:AF366 AF368:AF373 AF375:AF378 AF382:AF384 AF386 AF388:AF390 AE115:AE117 AE121:AE123 AE125:AE128 AE130:AE133 AE137:AE139 AE141:AE142 AE145:AE146 AE148:AE149 AE151:AE154 AE158:AE161 AE164:AE165 AE167:AE170 AE174 AE177:AE178 AE180:AE181 AE183:AE184 AE186:AE191 AE193:AE196 AE200:AE202 AE204 AE206:AE208 AE212:AE214 AE216:AE219 AE221:AE224 AE228:AE230 AE232:AE233 AE236:AE237 AE239:AE240 AE242:AE245 AE249:AE252 AE255:AE256 AE258:AE261 AE265 AE268:AE269 AE271:AE272 AE274:AE275 AE277:AE282 AE284:AE287 AE291:AE293 AE295 AE297:AE299 AE303:AE305 AE307:AE310 AE312:AE315 AE319:AE321 AE323:AE324 AE327:AE328 AE330:AE331 AE333:AE336 AE340:AE343 AE346:AE347 AE349:AE352 AE356 AE359:AE360 AE362:AE363 AE365:AE366 AE368:AE373 AE375:AE378 AE382:AE384 AE386 AE388:AE390 AE95:BB100 AE102:BB105 AE83:BB83 AE76:BB79">
      <formula1>0</formula1>
      <formula2>9.99999999999999E+23</formula2>
    </dataValidation>
  </dataValidations>
  <printOptions horizontalCentered="1"/>
  <pageMargins left="0.35" right="0.35" top="0.40" bottom="0.31" header="0.08" footer="0.08"/>
  <pageSetup paperSize="9" scale="46" fitToHeight="0" pageOrder="downThenOver" orientation="landscape"/>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914E321-D2BF-1DD9-2D28-F1CA36340165}" mc:Ignorable="x14ac xr xr2 xr3">
  <sheetPr>
    <tabColor rgb="FF002060"/>
    <outlinePr summaryRight="0" summaryBelow="0"/>
    <pageSetUpPr fitToPage="1"/>
  </sheetPr>
  <dimension ref="A1:AW46"/>
  <sheetViews>
    <sheetView showGridLines="0" workbookViewId="0">
      <pane xSplit="29" ySplit="27" topLeftCell="AD32" activePane="bottomRight" state="frozen"/>
      <selection pane="bottomLeft" activeCell="A28" sqref="A28"/>
      <selection pane="topRight" activeCell="AD1" sqref="AD1"/>
      <selection pane="bottomRight" activeCell="AA21" sqref="AA21"/>
    </sheetView>
  </sheetViews>
  <sheetFormatPr defaultColWidth="8.7109375" customHeight="1" defaultRowHeight="11.25"/>
  <cols>
    <col min="1" max="1" style="1029" width="4.57421875" hidden="1" customWidth="1"/>
    <col min="2" max="2" style="1240" width="6.7109375" hidden="1" customWidth="1"/>
    <col min="3" max="3" style="1240" width="3.8515625" hidden="1" customWidth="1"/>
    <col min="4" max="4" style="1240" width="2.7109375" hidden="1" customWidth="1"/>
    <col min="5" max="5" style="1183" width="2.7109375" hidden="1" customWidth="1"/>
    <col min="6" max="6" style="1240" width="3.57421875" hidden="1" customWidth="1"/>
    <col min="7" max="19" style="1240" width="2.7109375" hidden="1" customWidth="1"/>
    <col min="20" max="20" style="1240" width="7.7109375" hidden="1" customWidth="1"/>
    <col min="21" max="21" style="1240" width="5.8515625" hidden="1" customWidth="1"/>
    <col min="22" max="22" style="1240" width="7.7109375" hidden="1" customWidth="1"/>
    <col min="23" max="23" style="1240" width="6.140625" hidden="1" customWidth="1"/>
    <col min="24" max="25" style="1240" width="5.57421875" hidden="1" customWidth="1"/>
    <col min="26" max="26" style="1240" width="5.28125" hidden="1" customWidth="1"/>
    <col min="27" max="27" style="1240" width="3.00390625" customWidth="1"/>
    <col min="28" max="28" style="1240" width="11.7109375" customWidth="1"/>
    <col min="29" max="29" style="1240" width="18.86328125" customWidth="1"/>
    <col min="30" max="30" style="1560" width="13.57421875" customWidth="1"/>
    <col min="31" max="31" style="1560" width="13.00390625" customWidth="1"/>
    <col min="32" max="32" style="1560" width="7.29296875" customWidth="1"/>
    <col min="33" max="35" style="1560" width="17.86328125" customWidth="1"/>
    <col min="36" max="36" style="1560" width="7.43359375" customWidth="1"/>
    <col min="37" max="40" style="1560" width="12.57421875" customWidth="1"/>
    <col min="41" max="42" style="1240" width="20.00390625" customWidth="1"/>
    <col min="43" max="43" style="1240" width="3.00390625" customWidth="1"/>
    <col min="44" max="44" style="1240" width="8.7109375" hidden="1"/>
    <col min="45" max="47" style="1184" width="8.7109375" hidden="1"/>
    <col min="48" max="49" style="1183" width="8.7109375" hidden="1"/>
  </cols>
  <sheetData>
    <row customHeight="1" ht="11.25" hidden="1">
      <c r="E1" s="491"/>
      <c r="F1" s="491" t="s">
        <v>333</v>
      </c>
      <c r="H1" s="491" t="s">
        <v>334</v>
      </c>
      <c r="T1" s="1436" t="s">
        <v>93</v>
      </c>
      <c r="U1" s="468" t="s">
        <v>98</v>
      </c>
      <c r="V1" s="468" t="s">
        <v>94</v>
      </c>
      <c r="W1" s="468" t="s">
        <v>95</v>
      </c>
      <c r="X1" s="468" t="s">
        <v>96</v>
      </c>
      <c r="Z1" s="468" t="s">
        <v>100</v>
      </c>
      <c r="AA1" s="468" t="s">
        <v>97</v>
      </c>
      <c r="AB1" s="468" t="s">
        <v>335</v>
      </c>
      <c r="AC1" s="468" t="s">
        <v>99</v>
      </c>
      <c r="AS1" s="1033" t="s">
        <v>336</v>
      </c>
      <c r="AT1" s="1033" t="s">
        <v>337</v>
      </c>
      <c r="AU1" s="1033" t="s">
        <v>338</v>
      </c>
      <c r="AV1" s="655" t="s">
        <v>341</v>
      </c>
      <c r="AW1" s="655" t="s">
        <v>342</v>
      </c>
    </row>
    <row customHeight="1" ht="11.25" hidden="1">
      <c r="B2" s="1437" t="s">
        <v>19</v>
      </c>
      <c r="E2" s="491"/>
      <c r="AK2" s="1560" cm="1" t="str">
        <f t="array" ref="AK2:AK2">isOrgDeclare</f>
        <v>true</v>
      </c>
      <c r="AL2" s="1560" cm="1" t="str">
        <f t="array" ref="AL2:AL2">isOrgDeclare</f>
        <v>true</v>
      </c>
    </row>
    <row customHeight="1" ht="11.25" hidden="1">
      <c r="E3" s="491"/>
      <c r="AK3" s="1328" cm="1" t="str">
        <f t="array" ref="AK3:AK3">god</f>
        <v>2026</v>
      </c>
      <c r="AL3" s="543"/>
      <c r="AM3" s="543" cm="1" t="str">
        <f t="array" ref="AM3:AM3">god</f>
        <v>2026</v>
      </c>
      <c r="AN3" s="543"/>
    </row>
    <row customHeight="1" ht="11.25" hidden="1">
      <c r="E4" s="491"/>
      <c r="AK4" s="543"/>
      <c r="AL4" s="543"/>
      <c r="AM4" s="543"/>
      <c r="AN4" s="543"/>
    </row>
    <row s="1183" customFormat="1" customHeight="1" ht="11.25" hidden="1">
      <c r="A5" s="1029"/>
      <c r="B5" s="491"/>
      <c r="C5" s="491"/>
      <c r="D5" s="491"/>
      <c r="E5" s="655" t="s">
        <v>20</v>
      </c>
      <c r="AA5" s="655">
        <v>3</v>
      </c>
      <c r="AB5" s="655">
        <v>11.71</v>
      </c>
      <c r="AC5" s="655">
        <v>18.86</v>
      </c>
      <c r="AD5" s="657">
        <v>13.57</v>
      </c>
      <c r="AE5" s="657">
        <v>13</v>
      </c>
      <c r="AF5" s="657">
        <v>7.29</v>
      </c>
      <c r="AG5" s="657">
        <v>17.86</v>
      </c>
      <c r="AH5" s="657">
        <v>17.86</v>
      </c>
      <c r="AI5" s="657">
        <v>17.86</v>
      </c>
      <c r="AJ5" s="657">
        <v>7.43</v>
      </c>
      <c r="AK5" s="1329">
        <v>12.57</v>
      </c>
      <c r="AL5" s="656">
        <v>12.57</v>
      </c>
      <c r="AM5" s="656">
        <v>12.57</v>
      </c>
      <c r="AN5" s="656">
        <v>12.57</v>
      </c>
      <c r="AO5" s="655">
        <v>20</v>
      </c>
      <c r="AP5" s="655">
        <v>20</v>
      </c>
      <c r="AQ5" s="655">
        <v>3</v>
      </c>
      <c r="AS5" s="1033"/>
      <c r="AT5" s="1033"/>
      <c r="AU5" s="1033"/>
    </row>
    <row customHeight="1" ht="11.25" hidden="1">
      <c r="A6" s="1029" t="s">
        <v>343</v>
      </c>
      <c r="AC6" s="491" t="s">
        <v>344</v>
      </c>
      <c r="AD6" s="525" t="s">
        <v>345</v>
      </c>
      <c r="AE6" s="525" t="s">
        <v>346</v>
      </c>
      <c r="AF6" s="525" t="s">
        <v>348</v>
      </c>
      <c r="AG6" s="525" t="s">
        <v>347</v>
      </c>
      <c r="AH6" s="525" t="s">
        <v>616</v>
      </c>
      <c r="AI6" s="525" t="s">
        <v>619</v>
      </c>
      <c r="AJ6" s="525" t="s">
        <v>685</v>
      </c>
      <c r="AK6" s="543" t="s">
        <v>703</v>
      </c>
      <c r="AL6" s="543" t="s">
        <v>911</v>
      </c>
      <c r="AM6" s="543" t="s">
        <v>912</v>
      </c>
      <c r="AN6" s="543" t="s">
        <v>913</v>
      </c>
      <c r="AO6" s="491" t="s">
        <v>914</v>
      </c>
      <c r="AP6" s="491" t="s">
        <v>915</v>
      </c>
    </row>
    <row customHeight="1" ht="11.25" hidden="1">
      <c r="AK7" s="543"/>
      <c r="AL7" s="543"/>
      <c r="AM7" s="543"/>
      <c r="AN7" s="543"/>
    </row>
    <row customHeight="1" ht="11.25" hidden="1">
      <c r="AK8" s="543"/>
      <c r="AL8" s="543"/>
      <c r="AM8" s="543"/>
      <c r="AN8" s="543"/>
    </row>
    <row s="1184" customFormat="1" customHeight="1" ht="11.25" hidden="1">
      <c r="A9" s="1032" t="s">
        <v>916</v>
      </c>
      <c r="AD9" s="1036" cm="1" t="str">
        <f t="array" ref="AD9:AD9">AD24</f>
        <v>Тип материала трубопровода</v>
      </c>
      <c r="AE9" s="1036" cm="1" t="str">
        <f t="array" ref="AE9:AE9">AE24</f>
        <v>Тип грунта</v>
      </c>
      <c r="AF9" s="1036" cm="1" t="str">
        <f t="array" ref="AF9:AF9">AF24</f>
        <v>Глубина грунта, м</v>
      </c>
      <c r="AG9" s="1036" cm="1" t="str">
        <f t="array" ref="AG9:AG9">AG24</f>
        <v>Средняя стоимость строительства 1 км трубопровода, 
тыс. руб.</v>
      </c>
      <c r="AH9" s="1036" cm="1" t="str">
        <f t="array" ref="AH9:AH9">AH24</f>
        <v>Средняя стоимость строительства 1 км трубопровода диаметром 500 мм, тыс.руб.</v>
      </c>
      <c r="AI9" s="1036" cm="1" t="str">
        <f t="array" ref="AI9:AI9">AI24</f>
        <v>Источник информации по средней стоимости строительства</v>
      </c>
      <c r="AJ9" s="1036" cm="1" t="str">
        <f t="array" ref="AJ9:AJ9">AJ24</f>
        <v>Kd</v>
      </c>
      <c r="AK9" s="1034" cm="1" t="str">
        <f t="array" ref="AK9:AK9">AK27</f>
        <v>км</v>
      </c>
      <c r="AL9" s="1034" cm="1" t="str">
        <f t="array" ref="AL9:AL9">AL27</f>
        <v>усл.км</v>
      </c>
      <c r="AM9" s="1034" cm="1" t="str">
        <f t="array" ref="AM9:AM9">AM27</f>
        <v>км</v>
      </c>
      <c r="AN9" s="1034" cm="1" t="str">
        <f t="array" ref="AN9:AN9">AN27</f>
        <v>усл.км</v>
      </c>
      <c r="AO9" s="1036"/>
      <c r="AP9" s="1036"/>
      <c r="AV9" s="655"/>
      <c r="AW9" s="655"/>
    </row>
    <row s="1184" customFormat="1" customHeight="1" ht="11.25" hidden="1">
      <c r="A10" s="1032" t="s">
        <v>377</v>
      </c>
      <c r="AD10" s="1034"/>
      <c r="AE10" s="1034"/>
      <c r="AF10" s="1034"/>
      <c r="AG10" s="1034"/>
      <c r="AH10" s="1034"/>
      <c r="AI10" s="1034"/>
      <c r="AJ10" s="1034"/>
      <c r="AK10" s="1330" cm="1" t="str">
        <f t="array" ref="AK10:AK10">AK26</f>
        <v>Предложение организации</v>
      </c>
      <c r="AL10" s="1035" cm="1" t="str">
        <f t="array" ref="AL10:AL10">AK10</f>
        <v>Предложение организации</v>
      </c>
      <c r="AM10" s="1035" cm="1" t="str">
        <f t="array" ref="AM10:AM10">AM26</f>
        <v>Принято органом регулирования</v>
      </c>
      <c r="AN10" s="1035" cm="1" t="str">
        <f t="array" ref="AN10:AN10">AM10</f>
        <v>Принято органом регулирования</v>
      </c>
      <c r="AV10" s="655"/>
      <c r="AW10" s="655"/>
    </row>
    <row s="1184" customFormat="1" customHeight="1" ht="11.25" hidden="1">
      <c r="A11" s="1032" t="s">
        <v>378</v>
      </c>
      <c r="AD11" s="1034"/>
      <c r="AE11" s="1034"/>
      <c r="AF11" s="1034"/>
      <c r="AG11" s="1034"/>
      <c r="AH11" s="1034"/>
      <c r="AI11" s="1034"/>
      <c r="AJ11" s="1034"/>
      <c r="AK11" s="1035"/>
      <c r="AL11" s="1035"/>
      <c r="AM11" s="1035"/>
      <c r="AN11" s="1035"/>
      <c r="AO11" s="1033" cm="1" t="str">
        <f t="array" ref="AO11:AO11">AO24</f>
        <v>Ссылка на правовую норму (основание для принятия показателя в расчет тарифа)</v>
      </c>
      <c r="AP11" s="1033" cm="1" t="str">
        <f t="array" ref="AP11:AP11">AP24</f>
        <v>Комментарии</v>
      </c>
      <c r="AV11" s="655"/>
      <c r="AW11" s="655"/>
    </row>
    <row s="1184" customFormat="1" customHeight="1" ht="11.25" hidden="1">
      <c r="A12" s="1032" t="s">
        <v>350</v>
      </c>
      <c r="AC12" s="1033" t="s">
        <v>338</v>
      </c>
      <c r="AD12" s="1034"/>
      <c r="AE12" s="1034"/>
      <c r="AF12" s="1034"/>
      <c r="AG12" s="1034"/>
      <c r="AH12" s="1034"/>
      <c r="AI12" s="1034"/>
      <c r="AJ12" s="1034"/>
      <c r="AK12" s="1035"/>
      <c r="AL12" s="1035"/>
      <c r="AM12" s="1035"/>
      <c r="AN12" s="1035"/>
      <c r="AV12" s="655"/>
      <c r="AW12" s="655"/>
    </row>
    <row customHeight="1" ht="11.25" hidden="1">
      <c r="AK13" s="543"/>
      <c r="AL13" s="543"/>
      <c r="AM13" s="543"/>
      <c r="AN13" s="543"/>
    </row>
    <row customHeight="1" ht="11.25" hidden="1">
      <c r="AK14" s="1331"/>
      <c r="AL14" s="1331"/>
      <c r="AM14" s="1331"/>
      <c r="AN14" s="1331"/>
    </row>
    <row customHeight="1" ht="11.25" hidden="1">
      <c r="AK15" s="1331"/>
      <c r="AL15" s="1331"/>
      <c r="AM15" s="1331"/>
      <c r="AN15" s="1331"/>
    </row>
    <row customHeight="1" ht="11.25" hidden="1">
      <c r="AK16" s="1331"/>
      <c r="AL16" s="1331"/>
      <c r="AM16" s="1331"/>
      <c r="AN16" s="1331"/>
    </row>
    <row customHeight="1" ht="11.25" hidden="1">
      <c r="AK17" s="1331"/>
      <c r="AL17" s="1331"/>
      <c r="AM17" s="1331"/>
      <c r="AN17" s="1331"/>
    </row>
    <row customHeight="1" ht="11.25" hidden="1">
      <c r="AC18" s="491" t="s">
        <v>917</v>
      </c>
    </row>
    <row customHeight="1" ht="11.25" hidden="1"/>
    <row customHeight="1" ht="11.25" hidden="1"/>
    <row customHeight="1" ht="14.625">
      <c r="E21" s="655">
        <v>15</v>
      </c>
      <c r="AA21" s="491"/>
      <c r="AC21" s="526" cm="1" t="str">
        <f t="array" ref="AC21:AC21">tpl_title</f>
        <v>Кемеровская область / 2026 / ОАО «СКЭК» (ИНН:4205153492, КПП:420501001) / ДПР: 2024-2028</v>
      </c>
    </row>
    <row customHeight="1" ht="19.5">
      <c r="E22" s="655">
        <v>20</v>
      </c>
      <c r="AB22" s="1332" t="s">
        <v>47</v>
      </c>
      <c r="AC22" s="1333"/>
      <c r="AD22" s="1334"/>
      <c r="AE22" s="1334"/>
      <c r="AF22" s="1334"/>
      <c r="AG22" s="1334"/>
      <c r="AH22" s="1334"/>
      <c r="AI22" s="1334"/>
      <c r="AJ22" s="1334"/>
      <c r="AK22" s="544"/>
      <c r="AL22" s="544"/>
      <c r="AM22" s="544"/>
      <c r="AN22" s="544"/>
      <c r="AO22" s="1335"/>
      <c r="AP22" s="1335"/>
    </row>
    <row customHeight="1" ht="10.96875">
      <c r="E23" s="655">
        <v>11.25</v>
      </c>
      <c r="AB23" s="1568"/>
      <c r="AC23" s="1568"/>
      <c r="AD23" s="1568"/>
      <c r="AE23" s="1568"/>
      <c r="AF23" s="1568"/>
      <c r="AG23" s="1568"/>
      <c r="AH23" s="1568"/>
      <c r="AI23" s="1568"/>
      <c r="AJ23" s="1568"/>
      <c r="AK23" s="1568"/>
      <c r="AL23" s="1568"/>
      <c r="AM23" s="1568"/>
      <c r="AN23" s="527"/>
    </row>
    <row customHeight="1" ht="10.96875">
      <c r="E24" s="655">
        <v>11.25</v>
      </c>
      <c r="AB24" s="1553" t="s">
        <v>918</v>
      </c>
      <c r="AC24" s="1569" t="s">
        <v>919</v>
      </c>
      <c r="AD24" s="1569" t="s">
        <v>920</v>
      </c>
      <c r="AE24" s="1569" t="s">
        <v>921</v>
      </c>
      <c r="AF24" s="1569" t="s">
        <v>922</v>
      </c>
      <c r="AG24" s="1569" t="s">
        <v>923</v>
      </c>
      <c r="AH24" s="1569" t="s">
        <v>924</v>
      </c>
      <c r="AI24" s="1570" t="s">
        <v>925</v>
      </c>
      <c r="AJ24" s="1573" t="s">
        <v>926</v>
      </c>
      <c r="AK24" s="1574" t="s">
        <v>927</v>
      </c>
      <c r="AL24" s="1575"/>
      <c r="AM24" s="1575"/>
      <c r="AN24" s="1576"/>
      <c r="AO24" s="1564" t="s">
        <v>652</v>
      </c>
      <c r="AP24" s="1564" t="s">
        <v>382</v>
      </c>
    </row>
    <row customHeight="1" ht="14.625">
      <c r="E25" s="655">
        <v>15</v>
      </c>
      <c r="AB25" s="1553"/>
      <c r="AC25" s="1569"/>
      <c r="AD25" s="1569"/>
      <c r="AE25" s="1569"/>
      <c r="AF25" s="1569"/>
      <c r="AG25" s="1569"/>
      <c r="AH25" s="1569"/>
      <c r="AI25" s="1571"/>
      <c r="AJ25" s="1573"/>
      <c r="AK25" s="1555" t="str">
        <f>god&amp;" год"</f>
        <v>2026 год</v>
      </c>
      <c r="AL25" s="1565"/>
      <c r="AM25" s="1565"/>
      <c r="AN25" s="1566"/>
      <c r="AO25" s="1564"/>
      <c r="AP25" s="1564"/>
    </row>
    <row customHeight="1" ht="48.75">
      <c r="E26" s="655">
        <v>50</v>
      </c>
      <c r="AB26" s="1553"/>
      <c r="AC26" s="1569"/>
      <c r="AD26" s="1569"/>
      <c r="AE26" s="1569"/>
      <c r="AF26" s="1569"/>
      <c r="AG26" s="1569"/>
      <c r="AH26" s="1569"/>
      <c r="AI26" s="1571"/>
      <c r="AJ26" s="1573"/>
      <c r="AK26" s="1567" t="s">
        <v>374</v>
      </c>
      <c r="AL26" s="1567"/>
      <c r="AM26" s="1564" t="s">
        <v>373</v>
      </c>
      <c r="AN26" s="1564"/>
      <c r="AO26" s="1564"/>
      <c r="AP26" s="1564"/>
    </row>
    <row customHeight="1" ht="13.893750000000002">
      <c r="E27" s="655">
        <v>14.25</v>
      </c>
      <c r="AB27" s="1553"/>
      <c r="AC27" s="1569"/>
      <c r="AD27" s="1569"/>
      <c r="AE27" s="1569"/>
      <c r="AF27" s="1569"/>
      <c r="AG27" s="1569"/>
      <c r="AH27" s="1569"/>
      <c r="AI27" s="1572"/>
      <c r="AJ27" s="1573"/>
      <c r="AK27" s="545" t="s">
        <v>399</v>
      </c>
      <c r="AL27" s="545" t="s">
        <v>928</v>
      </c>
      <c r="AM27" s="545" t="s">
        <v>399</v>
      </c>
      <c r="AN27" s="545" t="s">
        <v>928</v>
      </c>
      <c r="AO27" s="1564"/>
      <c r="AP27" s="1564"/>
    </row>
    <row customHeight="1" ht="11.25" hidden="1">
      <c r="E28" s="655">
        <v>0</v>
      </c>
      <c r="AB28" s="731"/>
      <c r="AC28" s="1195"/>
      <c r="AD28" s="732"/>
      <c r="AE28" s="732"/>
      <c r="AF28" s="732"/>
      <c r="AG28" s="732"/>
      <c r="AH28" s="732"/>
      <c r="AI28" s="1196"/>
      <c r="AJ28" s="1197"/>
      <c r="AK28" s="725"/>
      <c r="AL28" s="725"/>
      <c r="AM28" s="725"/>
      <c r="AN28" s="725"/>
      <c r="AO28" s="725"/>
      <c r="AP28" s="725"/>
    </row>
    <row customHeight="1" ht="14.625" hidden="1">
      <c r="A29" s="1029"/>
      <c r="B29" s="1240"/>
      <c r="C29" s="1240"/>
      <c r="D29" s="1240"/>
      <c r="E29" s="655">
        <v>15</v>
      </c>
      <c r="F29" s="1336" cm="1" t="str">
        <f t="array" ref="F29:F29">X29</f>
        <v>0</v>
      </c>
      <c r="G29" s="491" t="s">
        <v>929</v>
      </c>
      <c r="H29" s="1240"/>
      <c r="I29" s="1240"/>
      <c r="J29" s="1240"/>
      <c r="K29" s="1240"/>
      <c r="L29" s="1240"/>
      <c r="M29" s="1240"/>
      <c r="N29" s="1240"/>
      <c r="O29" s="1240"/>
      <c r="P29" s="1240"/>
      <c r="Q29" s="1240"/>
      <c r="R29" s="1240"/>
      <c r="S29" s="1240"/>
      <c r="T29" s="468">
        <f>X29&gt;0</f>
        <v>0</v>
      </c>
      <c r="U29" s="1240"/>
      <c r="V29" s="491" t="s">
        <v>279</v>
      </c>
      <c r="W29" s="1240"/>
      <c r="X29" s="1559">
        <v>0</v>
      </c>
      <c r="Y29" s="1240"/>
      <c r="Z29" s="1560"/>
      <c r="AA29" s="1240"/>
      <c r="AB29" s="1198" cm="1" t="str">
        <f t="array" ref="AB29:AB29">INDEX('Общие сведения'!$AG$197:$AG$254,MATCH($X29,'Общие сведения'!$Z$197:$Z$254,0))</f>
        <v>Тариф 0 () - </v>
      </c>
      <c r="AC29" s="1199"/>
      <c r="AD29" s="176"/>
      <c r="AE29" s="176"/>
      <c r="AF29" s="176"/>
      <c r="AG29" s="176"/>
      <c r="AH29" s="176"/>
      <c r="AI29" s="176"/>
      <c r="AJ29" s="176"/>
      <c r="AK29" s="1200">
        <f>SUM(AK30:AK31)</f>
        <v>0</v>
      </c>
      <c r="AL29" s="546">
        <f>SUM(AL30:AL31)</f>
        <v>0</v>
      </c>
      <c r="AM29" s="546">
        <f>SUM(AM30:AM31)</f>
        <v>0</v>
      </c>
      <c r="AN29" s="546">
        <f>SUM(AN30:AN31)</f>
        <v>0</v>
      </c>
      <c r="AO29" s="1199"/>
      <c r="AP29" s="1199"/>
      <c r="AQ29" s="1240"/>
      <c r="AR29" s="1240"/>
      <c r="AS29" s="1184"/>
      <c r="AT29" s="1184"/>
      <c r="AU29" s="1184"/>
      <c r="AV29" s="1183"/>
      <c r="AW29" s="1183"/>
    </row>
    <row customHeight="1" ht="14.625" hidden="1">
      <c r="A30" s="1029"/>
      <c r="B30" s="1240"/>
      <c r="C30" s="1240"/>
      <c r="D30" s="1240"/>
      <c r="E30" s="655">
        <v>15</v>
      </c>
      <c r="F30" s="50" cm="1" t="str">
        <f t="array" ref="F30:F30">OFFSET(E30,-1,1)</f>
        <v>0</v>
      </c>
      <c r="G30" s="1240"/>
      <c r="H30" s="491" cm="1" t="str">
        <f t="array" ref="H30:H30">AB30</f>
        <v>0</v>
      </c>
      <c r="I30" s="1240"/>
      <c r="J30" s="1240"/>
      <c r="K30" s="1240"/>
      <c r="L30" s="1240"/>
      <c r="M30" s="1240"/>
      <c r="N30" s="1240"/>
      <c r="O30" s="1240"/>
      <c r="P30" s="1240"/>
      <c r="Q30" s="1240"/>
      <c r="R30" s="1240"/>
      <c r="S30" s="1240"/>
      <c r="T30" s="468">
        <f>AND(F30&gt;0,AB30&gt;0)</f>
        <v>0</v>
      </c>
      <c r="U30" s="1240"/>
      <c r="V30" s="1240"/>
      <c r="W30" s="764" t="s">
        <v>173</v>
      </c>
      <c r="X30" s="1559"/>
      <c r="Y30" s="1240"/>
      <c r="Z30" s="1560"/>
      <c r="AA30" s="1201" t="s">
        <v>174</v>
      </c>
      <c r="AB30" s="674">
        <v>0</v>
      </c>
      <c r="AC30" s="2466"/>
      <c r="AD30" s="2467"/>
      <c r="AE30" s="2467"/>
      <c r="AF30" s="2468"/>
      <c r="AG30" s="2469"/>
      <c r="AH30" s="2469"/>
      <c r="AI30" s="2470"/>
      <c r="AJ30" s="1207">
        <f>IF(AH30=0,0,AG30/AH30)</f>
        <v>0</v>
      </c>
      <c r="AK30" s="2472"/>
      <c r="AL30" s="2473">
        <f>AK30*$AJ30</f>
        <v>0</v>
      </c>
      <c r="AM30" s="2472"/>
      <c r="AN30" s="547">
        <f>AM30*$AJ30</f>
        <v>0</v>
      </c>
      <c r="AO30" s="2475"/>
      <c r="AP30" s="2475"/>
      <c r="AQ30" s="1240"/>
      <c r="AR30" s="1240"/>
      <c r="AS30" s="1033" t="s">
        <v>930</v>
      </c>
      <c r="AT30" s="1033" t="s">
        <v>931</v>
      </c>
      <c r="AU30" s="1033" cm="1" t="str">
        <f t="array" ref="AU30:AU30">AC30</f>
        <v>0</v>
      </c>
      <c r="AV30" s="1183"/>
      <c r="AW30" s="655" t="b">
        <v>1</v>
      </c>
    </row>
    <row customHeight="1" ht="14.625" hidden="1">
      <c r="A31" s="1029"/>
      <c r="B31" s="1240"/>
      <c r="C31" s="1031"/>
      <c r="D31" s="1240"/>
      <c r="E31" s="655">
        <v>15</v>
      </c>
      <c r="F31" s="50" cm="1" t="str">
        <f t="array" ref="F31:F31">OFFSET(E31,-1,1)</f>
        <v>0</v>
      </c>
      <c r="G31" s="1031"/>
      <c r="H31" s="491" t="str">
        <f>"!= 0"</f>
        <v>!= 0</v>
      </c>
      <c r="I31" s="1240"/>
      <c r="J31" s="1240"/>
      <c r="K31" s="1240"/>
      <c r="L31" s="1240"/>
      <c r="M31" s="1240"/>
      <c r="N31" s="1240"/>
      <c r="O31" s="1240"/>
      <c r="P31" s="1240"/>
      <c r="Q31" s="1240"/>
      <c r="R31" s="1240"/>
      <c r="S31" s="1240"/>
      <c r="T31" s="468" cm="1" t="str">
        <f t="array" ref="T31:T31">T29</f>
        <v>false</v>
      </c>
      <c r="U31" s="1240"/>
      <c r="V31" s="1240"/>
      <c r="W31" s="764" t="s">
        <v>932</v>
      </c>
      <c r="X31" s="1559"/>
      <c r="Y31" s="1240"/>
      <c r="Z31" s="1560"/>
      <c r="AA31" s="1240"/>
      <c r="AB31" s="1211"/>
      <c r="AC31" s="1212" t="s">
        <v>177</v>
      </c>
      <c r="AD31" s="1337"/>
      <c r="AE31" s="1337"/>
      <c r="AF31" s="1337"/>
      <c r="AG31" s="1337"/>
      <c r="AH31" s="1337"/>
      <c r="AI31" s="1337"/>
      <c r="AJ31" s="1337"/>
      <c r="AK31" s="1337"/>
      <c r="AL31" s="1337"/>
      <c r="AM31" s="1337"/>
      <c r="AN31" s="1337"/>
      <c r="AO31" s="1438"/>
      <c r="AP31" s="1213"/>
      <c r="AQ31" s="1240"/>
      <c r="AR31" s="1240"/>
      <c r="AS31" s="1184"/>
      <c r="AT31" s="1184"/>
      <c r="AU31" s="1184"/>
      <c r="AV31" s="655" t="s">
        <v>931</v>
      </c>
      <c r="AW31" s="1183"/>
    </row>
    <row s="1656" customFormat="1" customHeight="1" ht="16.171875">
      <c r="A32" s="1029"/>
      <c r="B32" s="1240"/>
      <c r="C32" s="1240"/>
      <c r="D32" s="1240"/>
      <c r="E32" s="655">
        <v>15</v>
      </c>
      <c r="F32" s="1336" cm="1" t="str">
        <f t="array" ref="F32:F32">X32</f>
        <v>1</v>
      </c>
      <c r="G32" s="491" t="s">
        <v>929</v>
      </c>
      <c r="H32" s="1240"/>
      <c r="I32" s="1240"/>
      <c r="J32" s="1240"/>
      <c r="K32" s="1240"/>
      <c r="L32" s="1240"/>
      <c r="M32" s="1240"/>
      <c r="N32" s="1240"/>
      <c r="O32" s="1240"/>
      <c r="P32" s="1240"/>
      <c r="Q32" s="1240"/>
      <c r="R32" s="1240"/>
      <c r="S32" s="1240"/>
      <c r="T32" s="468">
        <f>X32&gt;0</f>
        <v>1</v>
      </c>
      <c r="U32" s="1240"/>
      <c r="V32" s="491" cm="1" t="str">
        <f t="array" ref="V32:V32">Баланс!$AB$118</f>
        <v>Тариф 1 (Водоснабжение) - тариф на питьевую воду (Оказание услуг на территории: город Ленинск-Кузнецкий (ОКТМО: 32719000) - г Ленинск-Кузнецкий, г Полысаево)</v>
      </c>
      <c r="W32" s="1240"/>
      <c r="X32" s="1559" t="s">
        <v>290</v>
      </c>
      <c r="Y32" s="1240"/>
      <c r="Z32" s="1560"/>
      <c r="AA32" s="1240"/>
      <c r="AB32" s="1198" cm="1" t="str">
        <f t="array" ref="AB32:AB32">Баланс!$AB$118</f>
        <v>Тариф 1 (Водоснабжение) - тариф на питьевую воду (Оказание услуг на территории: город Ленинск-Кузнецкий (ОКТМО: 32719000) - г Ленинск-Кузнецкий, г Полысаево)</v>
      </c>
      <c r="AC32" s="1199"/>
      <c r="AD32" s="176"/>
      <c r="AE32" s="176"/>
      <c r="AF32" s="176"/>
      <c r="AG32" s="176"/>
      <c r="AH32" s="176"/>
      <c r="AI32" s="176"/>
      <c r="AJ32" s="176"/>
      <c r="AK32" s="1200">
        <f>SUM(AK33:AK34)</f>
        <v>0</v>
      </c>
      <c r="AL32" s="546">
        <f>SUM(AL33:AL34)</f>
        <v>0</v>
      </c>
      <c r="AM32" s="546">
        <f>SUM(AM33:AM34)</f>
        <v>0</v>
      </c>
      <c r="AN32" s="546">
        <f>SUM(AN33:AN34)</f>
        <v>0</v>
      </c>
      <c r="AO32" s="1199"/>
      <c r="AP32" s="1199"/>
      <c r="AQ32" s="1240"/>
      <c r="AR32" s="1240"/>
      <c r="AS32" s="1184"/>
      <c r="AT32" s="1184"/>
      <c r="AU32" s="1184"/>
      <c r="AV32" s="1183"/>
      <c r="AW32" s="1183"/>
    </row>
    <row s="1656" customFormat="1" customHeight="1" ht="14.25" hidden="1">
      <c r="A33" s="1029"/>
      <c r="B33" s="1240"/>
      <c r="C33" s="1240"/>
      <c r="D33" s="1240"/>
      <c r="E33" s="655">
        <v>15</v>
      </c>
      <c r="F33" s="50" cm="1" t="str">
        <f t="array" ref="F33:F33">OFFSET(E33,-1,1)</f>
        <v>1</v>
      </c>
      <c r="G33" s="1240"/>
      <c r="H33" s="491" cm="1" t="str">
        <f t="array" ref="H33:H33">AB33</f>
        <v>0</v>
      </c>
      <c r="I33" s="1240"/>
      <c r="J33" s="1240"/>
      <c r="K33" s="1240"/>
      <c r="L33" s="1240"/>
      <c r="M33" s="1240"/>
      <c r="N33" s="1240"/>
      <c r="O33" s="1240"/>
      <c r="P33" s="1240"/>
      <c r="Q33" s="1240"/>
      <c r="R33" s="1240"/>
      <c r="S33" s="1240"/>
      <c r="T33" s="468">
        <f>AND(F33&gt;0,AB33&gt;0)</f>
        <v>0</v>
      </c>
      <c r="U33" s="1240"/>
      <c r="V33" s="1240"/>
      <c r="W33" s="764" t="s">
        <v>173</v>
      </c>
      <c r="X33" s="1559"/>
      <c r="Y33" s="1240"/>
      <c r="Z33" s="1560"/>
      <c r="AA33" s="1201" t="s">
        <v>174</v>
      </c>
      <c r="AB33" s="674">
        <v>0</v>
      </c>
      <c r="AC33" s="2466"/>
      <c r="AD33" s="2467"/>
      <c r="AE33" s="2467"/>
      <c r="AF33" s="2468"/>
      <c r="AG33" s="2469"/>
      <c r="AH33" s="2469"/>
      <c r="AI33" s="2470"/>
      <c r="AJ33" s="1207">
        <f>IF(AH33=0,0,AG33/AH33)</f>
        <v>0</v>
      </c>
      <c r="AK33" s="2472"/>
      <c r="AL33" s="2473">
        <f>AK33*$AJ33</f>
        <v>0</v>
      </c>
      <c r="AM33" s="2472"/>
      <c r="AN33" s="547">
        <f>AM33*$AJ33</f>
        <v>0</v>
      </c>
      <c r="AO33" s="2475"/>
      <c r="AP33" s="2475"/>
      <c r="AQ33" s="1240"/>
      <c r="AR33" s="1240"/>
      <c r="AS33" s="1033" t="s">
        <v>930</v>
      </c>
      <c r="AT33" s="1033" t="s">
        <v>931</v>
      </c>
      <c r="AU33" s="1033" cm="1" t="str">
        <f t="array" ref="AU33:AU33">AC33</f>
        <v>0</v>
      </c>
      <c r="AV33" s="1183"/>
      <c r="AW33" s="655" t="b">
        <v>1</v>
      </c>
    </row>
    <row s="1656" customFormat="1" customHeight="1" ht="16.921875">
      <c r="A34" s="1029"/>
      <c r="B34" s="1240"/>
      <c r="C34" s="1031"/>
      <c r="D34" s="1240"/>
      <c r="E34" s="655">
        <v>15</v>
      </c>
      <c r="F34" s="50" cm="1" t="str">
        <f t="array" ref="F34:F34">OFFSET(E34,-1,1)</f>
        <v>1</v>
      </c>
      <c r="G34" s="1031"/>
      <c r="H34" s="491" t="str">
        <f>"!= 0"</f>
        <v>!= 0</v>
      </c>
      <c r="I34" s="1240"/>
      <c r="J34" s="1240"/>
      <c r="K34" s="1240"/>
      <c r="L34" s="1240"/>
      <c r="M34" s="1240"/>
      <c r="N34" s="1240"/>
      <c r="O34" s="1240"/>
      <c r="P34" s="1240"/>
      <c r="Q34" s="1240"/>
      <c r="R34" s="1240"/>
      <c r="S34" s="1240"/>
      <c r="T34" s="468" cm="1" t="str">
        <f t="array" ref="T34:T34">T32</f>
        <v>true</v>
      </c>
      <c r="U34" s="1240"/>
      <c r="V34" s="1240"/>
      <c r="W34" s="764" t="s">
        <v>932</v>
      </c>
      <c r="X34" s="1559"/>
      <c r="Y34" s="1240"/>
      <c r="Z34" s="1560"/>
      <c r="AA34" s="1240"/>
      <c r="AB34" s="1211"/>
      <c r="AC34" s="1212" t="s">
        <v>177</v>
      </c>
      <c r="AD34" s="1337"/>
      <c r="AE34" s="1337"/>
      <c r="AF34" s="1337"/>
      <c r="AG34" s="1337"/>
      <c r="AH34" s="1337"/>
      <c r="AI34" s="1337"/>
      <c r="AJ34" s="1337"/>
      <c r="AK34" s="1337"/>
      <c r="AL34" s="1337"/>
      <c r="AM34" s="1337"/>
      <c r="AN34" s="1337"/>
      <c r="AO34" s="1438"/>
      <c r="AP34" s="1213"/>
      <c r="AQ34" s="1240"/>
      <c r="AR34" s="1240"/>
      <c r="AS34" s="1184"/>
      <c r="AT34" s="1184"/>
      <c r="AU34" s="1184"/>
      <c r="AV34" s="655" t="s">
        <v>931</v>
      </c>
      <c r="AW34" s="1183"/>
    </row>
    <row s="1656" customFormat="1" customHeight="1" ht="19.171875">
      <c r="A35" s="1029"/>
      <c r="B35" s="1240"/>
      <c r="C35" s="1240"/>
      <c r="D35" s="1240"/>
      <c r="E35" s="655">
        <v>15</v>
      </c>
      <c r="F35" s="1336" cm="1" t="str">
        <f t="array" ref="F35:F35">X35</f>
        <v>2</v>
      </c>
      <c r="G35" s="491" t="s">
        <v>929</v>
      </c>
      <c r="H35" s="1240"/>
      <c r="I35" s="1240"/>
      <c r="J35" s="1240"/>
      <c r="K35" s="1240"/>
      <c r="L35" s="1240"/>
      <c r="M35" s="1240"/>
      <c r="N35" s="1240"/>
      <c r="O35" s="1240"/>
      <c r="P35" s="1240"/>
      <c r="Q35" s="1240"/>
      <c r="R35" s="1240"/>
      <c r="S35" s="1240"/>
      <c r="T35" s="468">
        <f>X35&gt;0</f>
        <v>1</v>
      </c>
      <c r="U35" s="1240"/>
      <c r="V35" s="491" cm="1" t="str">
        <f t="array" ref="V35:V35">Баланс!$AB$209</f>
        <v>Тариф 2 (Водоотведение) - тариф на водоотведение (Оказание услуг на территории: город Ленинск-Кузнецкий (ОКТМО: 32719000) - г Ленинск-Кузнецкий)</v>
      </c>
      <c r="W35" s="1240"/>
      <c r="X35" s="1559" t="s">
        <v>299</v>
      </c>
      <c r="Y35" s="1240"/>
      <c r="Z35" s="1560"/>
      <c r="AA35" s="1240"/>
      <c r="AB35" s="1198" cm="1" t="str">
        <f t="array" ref="AB35:AB35">Баланс!$AB$209</f>
        <v>Тариф 2 (Водоотведение) - тариф на водоотведение (Оказание услуг на территории: город Ленинск-Кузнецкий (ОКТМО: 32719000) - г Ленинск-Кузнецкий)</v>
      </c>
      <c r="AC35" s="1199"/>
      <c r="AD35" s="176"/>
      <c r="AE35" s="176"/>
      <c r="AF35" s="176"/>
      <c r="AG35" s="176"/>
      <c r="AH35" s="176"/>
      <c r="AI35" s="176"/>
      <c r="AJ35" s="176"/>
      <c r="AK35" s="1200">
        <f>SUM(AK36:AK37)</f>
        <v>0</v>
      </c>
      <c r="AL35" s="546">
        <f>SUM(AL36:AL37)</f>
        <v>0</v>
      </c>
      <c r="AM35" s="546">
        <f>SUM(AM36:AM37)</f>
        <v>0</v>
      </c>
      <c r="AN35" s="546">
        <f>SUM(AN36:AN37)</f>
        <v>0</v>
      </c>
      <c r="AO35" s="1199"/>
      <c r="AP35" s="1199"/>
      <c r="AQ35" s="1240"/>
      <c r="AR35" s="1240"/>
      <c r="AS35" s="1184"/>
      <c r="AT35" s="1184"/>
      <c r="AU35" s="1184"/>
      <c r="AV35" s="1183"/>
      <c r="AW35" s="1183"/>
    </row>
    <row s="1656" customFormat="1" customHeight="1" ht="14.25" hidden="1">
      <c r="A36" s="1029"/>
      <c r="B36" s="1240"/>
      <c r="C36" s="1240"/>
      <c r="D36" s="1240"/>
      <c r="E36" s="655">
        <v>15</v>
      </c>
      <c r="F36" s="50" cm="1" t="str">
        <f t="array" ref="F36:F36">OFFSET(E36,-1,1)</f>
        <v>2</v>
      </c>
      <c r="G36" s="1240"/>
      <c r="H36" s="491" cm="1" t="str">
        <f t="array" ref="H36:H36">AB36</f>
        <v>0</v>
      </c>
      <c r="I36" s="1240"/>
      <c r="J36" s="1240"/>
      <c r="K36" s="1240"/>
      <c r="L36" s="1240"/>
      <c r="M36" s="1240"/>
      <c r="N36" s="1240"/>
      <c r="O36" s="1240"/>
      <c r="P36" s="1240"/>
      <c r="Q36" s="1240"/>
      <c r="R36" s="1240"/>
      <c r="S36" s="1240"/>
      <c r="T36" s="468">
        <f>AND(F36&gt;0,AB36&gt;0)</f>
        <v>0</v>
      </c>
      <c r="U36" s="1240"/>
      <c r="V36" s="1240"/>
      <c r="W36" s="764" t="s">
        <v>173</v>
      </c>
      <c r="X36" s="1559"/>
      <c r="Y36" s="1240"/>
      <c r="Z36" s="1560"/>
      <c r="AA36" s="1201" t="s">
        <v>174</v>
      </c>
      <c r="AB36" s="674">
        <v>0</v>
      </c>
      <c r="AC36" s="2466"/>
      <c r="AD36" s="2467"/>
      <c r="AE36" s="2467"/>
      <c r="AF36" s="2468"/>
      <c r="AG36" s="2469"/>
      <c r="AH36" s="2469"/>
      <c r="AI36" s="2470"/>
      <c r="AJ36" s="1207">
        <f>IF(AH36=0,0,AG36/AH36)</f>
        <v>0</v>
      </c>
      <c r="AK36" s="2472"/>
      <c r="AL36" s="2473">
        <f>AK36*$AJ36</f>
        <v>0</v>
      </c>
      <c r="AM36" s="2472"/>
      <c r="AN36" s="547">
        <f>AM36*$AJ36</f>
        <v>0</v>
      </c>
      <c r="AO36" s="2475"/>
      <c r="AP36" s="2475"/>
      <c r="AQ36" s="1240"/>
      <c r="AR36" s="1240"/>
      <c r="AS36" s="1033" t="s">
        <v>930</v>
      </c>
      <c r="AT36" s="1033" t="s">
        <v>931</v>
      </c>
      <c r="AU36" s="1033" cm="1" t="str">
        <f t="array" ref="AU36:AU36">AC36</f>
        <v>0</v>
      </c>
      <c r="AV36" s="1183"/>
      <c r="AW36" s="655" t="b">
        <v>1</v>
      </c>
    </row>
    <row s="1656" customFormat="1" customHeight="1" ht="14.25">
      <c r="A37" s="1029"/>
      <c r="B37" s="1240"/>
      <c r="C37" s="1031"/>
      <c r="D37" s="1240"/>
      <c r="E37" s="655">
        <v>15</v>
      </c>
      <c r="F37" s="50" cm="1" t="str">
        <f t="array" ref="F37:F37">OFFSET(E37,-1,1)</f>
        <v>2</v>
      </c>
      <c r="G37" s="1031"/>
      <c r="H37" s="491" t="str">
        <f>"!= 0"</f>
        <v>!= 0</v>
      </c>
      <c r="I37" s="1240"/>
      <c r="J37" s="1240"/>
      <c r="K37" s="1240"/>
      <c r="L37" s="1240"/>
      <c r="M37" s="1240"/>
      <c r="N37" s="1240"/>
      <c r="O37" s="1240"/>
      <c r="P37" s="1240"/>
      <c r="Q37" s="1240"/>
      <c r="R37" s="1240"/>
      <c r="S37" s="1240"/>
      <c r="T37" s="468" cm="1" t="str">
        <f t="array" ref="T37:T37">T35</f>
        <v>true</v>
      </c>
      <c r="U37" s="1240"/>
      <c r="V37" s="1240"/>
      <c r="W37" s="764" t="s">
        <v>932</v>
      </c>
      <c r="X37" s="1559"/>
      <c r="Y37" s="1240"/>
      <c r="Z37" s="1560"/>
      <c r="AA37" s="1240"/>
      <c r="AB37" s="1211"/>
      <c r="AC37" s="1212" t="s">
        <v>177</v>
      </c>
      <c r="AD37" s="1337"/>
      <c r="AE37" s="1337"/>
      <c r="AF37" s="1337"/>
      <c r="AG37" s="1337"/>
      <c r="AH37" s="1337"/>
      <c r="AI37" s="1337"/>
      <c r="AJ37" s="1337"/>
      <c r="AK37" s="1337"/>
      <c r="AL37" s="1337"/>
      <c r="AM37" s="1337"/>
      <c r="AN37" s="1337"/>
      <c r="AO37" s="1438"/>
      <c r="AP37" s="1213"/>
      <c r="AQ37" s="1240"/>
      <c r="AR37" s="1240"/>
      <c r="AS37" s="1184"/>
      <c r="AT37" s="1184"/>
      <c r="AU37" s="1184"/>
      <c r="AV37" s="655" t="s">
        <v>931</v>
      </c>
      <c r="AW37" s="1183"/>
    </row>
    <row s="1656" customFormat="1" customHeight="1" ht="18.421875">
      <c r="A38" s="1029"/>
      <c r="B38" s="1240"/>
      <c r="C38" s="1240"/>
      <c r="D38" s="1240"/>
      <c r="E38" s="655">
        <v>15</v>
      </c>
      <c r="F38" s="1336" cm="1" t="str">
        <f t="array" ref="F38:F38">X38</f>
        <v>3</v>
      </c>
      <c r="G38" s="491" t="s">
        <v>929</v>
      </c>
      <c r="H38" s="1240"/>
      <c r="I38" s="1240"/>
      <c r="J38" s="1240"/>
      <c r="K38" s="1240"/>
      <c r="L38" s="1240"/>
      <c r="M38" s="1240"/>
      <c r="N38" s="1240"/>
      <c r="O38" s="1240"/>
      <c r="P38" s="1240"/>
      <c r="Q38" s="1240"/>
      <c r="R38" s="1240"/>
      <c r="S38" s="1240"/>
      <c r="T38" s="468">
        <f>X38&gt;0</f>
        <v>1</v>
      </c>
      <c r="U38" s="1240"/>
      <c r="V38" s="491" cm="1" t="str">
        <f t="array" ref="V38:V38">Баланс!$AB$300</f>
        <v>Тариф 3 (Водоотведение) - тариф на водоотведение (Оказание услуг на территории: город Полысаево (ОКТМО: 32732000) - г Полысаево)</v>
      </c>
      <c r="W38" s="1240"/>
      <c r="X38" s="1559" t="s">
        <v>234</v>
      </c>
      <c r="Y38" s="1240"/>
      <c r="Z38" s="1560"/>
      <c r="AA38" s="1240"/>
      <c r="AB38" s="1198" cm="1" t="str">
        <f t="array" ref="AB38:AB38">Баланс!$AB$300</f>
        <v>Тариф 3 (Водоотведение) - тариф на водоотведение (Оказание услуг на территории: город Полысаево (ОКТМО: 32732000) - г Полысаево)</v>
      </c>
      <c r="AC38" s="1199"/>
      <c r="AD38" s="176"/>
      <c r="AE38" s="176"/>
      <c r="AF38" s="176"/>
      <c r="AG38" s="176"/>
      <c r="AH38" s="176"/>
      <c r="AI38" s="176"/>
      <c r="AJ38" s="176"/>
      <c r="AK38" s="1200">
        <f>SUM(AK39:AK40)</f>
        <v>0</v>
      </c>
      <c r="AL38" s="546">
        <f>SUM(AL39:AL40)</f>
        <v>0</v>
      </c>
      <c r="AM38" s="546">
        <f>SUM(AM39:AM40)</f>
        <v>0</v>
      </c>
      <c r="AN38" s="546">
        <f>SUM(AN39:AN40)</f>
        <v>0</v>
      </c>
      <c r="AO38" s="1199"/>
      <c r="AP38" s="1199"/>
      <c r="AQ38" s="1240"/>
      <c r="AR38" s="1240"/>
      <c r="AS38" s="1184"/>
      <c r="AT38" s="1184"/>
      <c r="AU38" s="1184"/>
      <c r="AV38" s="1183"/>
      <c r="AW38" s="1183"/>
    </row>
    <row s="1656" customFormat="1" customHeight="1" ht="14.25" hidden="1">
      <c r="A39" s="1029"/>
      <c r="B39" s="1240"/>
      <c r="C39" s="1240"/>
      <c r="D39" s="1240"/>
      <c r="E39" s="655">
        <v>15</v>
      </c>
      <c r="F39" s="50" cm="1" t="str">
        <f t="array" ref="F39:F39">OFFSET(E39,-1,1)</f>
        <v>3</v>
      </c>
      <c r="G39" s="1240"/>
      <c r="H39" s="491" cm="1" t="str">
        <f t="array" ref="H39:H39">AB39</f>
        <v>0</v>
      </c>
      <c r="I39" s="1240"/>
      <c r="J39" s="1240"/>
      <c r="K39" s="1240"/>
      <c r="L39" s="1240"/>
      <c r="M39" s="1240"/>
      <c r="N39" s="1240"/>
      <c r="O39" s="1240"/>
      <c r="P39" s="1240"/>
      <c r="Q39" s="1240"/>
      <c r="R39" s="1240"/>
      <c r="S39" s="1240"/>
      <c r="T39" s="468">
        <f>AND(F39&gt;0,AB39&gt;0)</f>
        <v>0</v>
      </c>
      <c r="U39" s="1240"/>
      <c r="V39" s="1240"/>
      <c r="W39" s="764" t="s">
        <v>173</v>
      </c>
      <c r="X39" s="1559"/>
      <c r="Y39" s="1240"/>
      <c r="Z39" s="1560"/>
      <c r="AA39" s="1201" t="s">
        <v>174</v>
      </c>
      <c r="AB39" s="674">
        <v>0</v>
      </c>
      <c r="AC39" s="2466"/>
      <c r="AD39" s="2467"/>
      <c r="AE39" s="2467"/>
      <c r="AF39" s="2468"/>
      <c r="AG39" s="2469"/>
      <c r="AH39" s="2469"/>
      <c r="AI39" s="2470"/>
      <c r="AJ39" s="1207">
        <f>IF(AH39=0,0,AG39/AH39)</f>
        <v>0</v>
      </c>
      <c r="AK39" s="2472"/>
      <c r="AL39" s="2473">
        <f>AK39*$AJ39</f>
        <v>0</v>
      </c>
      <c r="AM39" s="2472"/>
      <c r="AN39" s="547">
        <f>AM39*$AJ39</f>
        <v>0</v>
      </c>
      <c r="AO39" s="2475"/>
      <c r="AP39" s="2475"/>
      <c r="AQ39" s="1240"/>
      <c r="AR39" s="1240"/>
      <c r="AS39" s="1033" t="s">
        <v>930</v>
      </c>
      <c r="AT39" s="1033" t="s">
        <v>931</v>
      </c>
      <c r="AU39" s="1033" cm="1" t="str">
        <f t="array" ref="AU39:AU39">AC39</f>
        <v>0</v>
      </c>
      <c r="AV39" s="1183"/>
      <c r="AW39" s="655" t="b">
        <v>1</v>
      </c>
    </row>
    <row s="1656" customFormat="1" customHeight="1" ht="14.25">
      <c r="A40" s="1029"/>
      <c r="B40" s="1240"/>
      <c r="C40" s="1031"/>
      <c r="D40" s="1240"/>
      <c r="E40" s="655">
        <v>15</v>
      </c>
      <c r="F40" s="50" cm="1" t="str">
        <f t="array" ref="F40:F40">OFFSET(E40,-1,1)</f>
        <v>3</v>
      </c>
      <c r="G40" s="1031"/>
      <c r="H40" s="491" t="str">
        <f>"!= 0"</f>
        <v>!= 0</v>
      </c>
      <c r="I40" s="1240"/>
      <c r="J40" s="1240"/>
      <c r="K40" s="1240"/>
      <c r="L40" s="1240"/>
      <c r="M40" s="1240"/>
      <c r="N40" s="1240"/>
      <c r="O40" s="1240"/>
      <c r="P40" s="1240"/>
      <c r="Q40" s="1240"/>
      <c r="R40" s="1240"/>
      <c r="S40" s="1240"/>
      <c r="T40" s="468" cm="1" t="str">
        <f t="array" ref="T40:T40">T38</f>
        <v>true</v>
      </c>
      <c r="U40" s="1240"/>
      <c r="V40" s="1240"/>
      <c r="W40" s="764" t="s">
        <v>932</v>
      </c>
      <c r="X40" s="1559"/>
      <c r="Y40" s="1240"/>
      <c r="Z40" s="1560"/>
      <c r="AA40" s="1240"/>
      <c r="AB40" s="1211"/>
      <c r="AC40" s="1212" t="s">
        <v>177</v>
      </c>
      <c r="AD40" s="1337"/>
      <c r="AE40" s="1337"/>
      <c r="AF40" s="1337"/>
      <c r="AG40" s="1337"/>
      <c r="AH40" s="1337"/>
      <c r="AI40" s="1337"/>
      <c r="AJ40" s="1337"/>
      <c r="AK40" s="1337"/>
      <c r="AL40" s="1337"/>
      <c r="AM40" s="1337"/>
      <c r="AN40" s="1337"/>
      <c r="AO40" s="1438"/>
      <c r="AP40" s="1213"/>
      <c r="AQ40" s="1240"/>
      <c r="AR40" s="1240"/>
      <c r="AS40" s="1184"/>
      <c r="AT40" s="1184"/>
      <c r="AU40" s="1184"/>
      <c r="AV40" s="655" t="s">
        <v>931</v>
      </c>
      <c r="AW40" s="1183"/>
    </row>
    <row customHeight="1" ht="10.96875">
      <c r="E41" s="655">
        <v>11.25</v>
      </c>
      <c r="U41" s="1214" t="s">
        <v>177</v>
      </c>
      <c r="V41" s="1215" t="s">
        <v>933</v>
      </c>
      <c r="AB41" s="538"/>
      <c r="AC41" s="539"/>
      <c r="AD41" s="538"/>
      <c r="AE41" s="538"/>
      <c r="AF41" s="538"/>
      <c r="AG41" s="538"/>
      <c r="AH41" s="538"/>
      <c r="AI41" s="538"/>
      <c r="AJ41" s="538"/>
      <c r="AK41" s="540"/>
      <c r="AL41" s="540"/>
    </row>
    <row s="1328" customFormat="1" customHeight="1" ht="14.625">
      <c r="A42" s="1030"/>
      <c r="E42" s="656">
        <v>15</v>
      </c>
      <c r="AB42" s="1553" t="s">
        <v>420</v>
      </c>
      <c r="AC42" s="1553"/>
      <c r="AD42" s="1553"/>
      <c r="AE42" s="1553"/>
      <c r="AF42" s="1553"/>
      <c r="AG42" s="1553"/>
      <c r="AH42" s="1553"/>
      <c r="AI42" s="1553"/>
      <c r="AJ42" s="1553"/>
      <c r="AK42" s="1561"/>
      <c r="AL42" s="1561"/>
      <c r="AM42" s="1561"/>
      <c r="AN42" s="1561"/>
      <c r="AO42" s="1561"/>
      <c r="AP42" s="1561"/>
      <c r="AS42" s="1035"/>
      <c r="AT42" s="1035"/>
      <c r="AU42" s="1035"/>
      <c r="AV42" s="656"/>
      <c r="AW42" s="656"/>
    </row>
    <row s="1328" customFormat="1" customHeight="1" ht="14.625">
      <c r="A43" s="1030"/>
      <c r="E43" s="656">
        <v>15</v>
      </c>
      <c r="AA43" s="1338"/>
      <c r="AB43" s="1562"/>
      <c r="AC43" s="1562"/>
      <c r="AD43" s="1562"/>
      <c r="AE43" s="1562"/>
      <c r="AF43" s="1562"/>
      <c r="AG43" s="1562"/>
      <c r="AH43" s="1562"/>
      <c r="AI43" s="1562"/>
      <c r="AJ43" s="1562"/>
      <c r="AK43" s="1563"/>
      <c r="AL43" s="1563"/>
      <c r="AM43" s="1563"/>
      <c r="AN43" s="1563"/>
      <c r="AO43" s="1563"/>
      <c r="AP43" s="1563"/>
      <c r="AS43" s="1035"/>
      <c r="AT43" s="1035"/>
      <c r="AU43" s="1035"/>
      <c r="AV43" s="656"/>
      <c r="AW43" s="656"/>
    </row>
    <row s="1328" customFormat="1" customHeight="1" ht="14.625" hidden="1">
      <c r="A44" s="1030"/>
      <c r="B44" s="1328"/>
      <c r="C44" s="1328"/>
      <c r="D44" s="1328"/>
      <c r="E44" s="656">
        <v>15</v>
      </c>
      <c r="F44" s="1328"/>
      <c r="G44" s="1328"/>
      <c r="H44" s="1328"/>
      <c r="I44" s="1328"/>
      <c r="J44" s="1328"/>
      <c r="K44" s="1328"/>
      <c r="L44" s="1328"/>
      <c r="M44" s="1328"/>
      <c r="N44" s="1328"/>
      <c r="O44" s="1328"/>
      <c r="P44" s="1328"/>
      <c r="Q44" s="1328"/>
      <c r="R44" s="1328"/>
      <c r="S44" s="1328"/>
      <c r="T44" s="468">
        <f>ROW(Y44)&gt;ROW(Y$44)</f>
        <v>0</v>
      </c>
      <c r="U44" s="1328"/>
      <c r="V44" s="1328"/>
      <c r="W44" s="764" t="s">
        <v>173</v>
      </c>
      <c r="X44" s="1328"/>
      <c r="Y44" s="1328"/>
      <c r="Z44" s="1328"/>
      <c r="AA44" s="1216" t="s">
        <v>174</v>
      </c>
      <c r="AB44" s="2531"/>
      <c r="AC44" s="1870"/>
      <c r="AD44" s="1870"/>
      <c r="AE44" s="1870"/>
      <c r="AF44" s="1870"/>
      <c r="AG44" s="1870"/>
      <c r="AH44" s="1870"/>
      <c r="AI44" s="1870"/>
      <c r="AJ44" s="1870"/>
      <c r="AK44" s="1870"/>
      <c r="AL44" s="1870"/>
      <c r="AM44" s="1870"/>
      <c r="AN44" s="1870"/>
      <c r="AO44" s="1870"/>
      <c r="AP44" s="2532"/>
      <c r="AQ44" s="1328"/>
      <c r="AR44" s="1328"/>
      <c r="AS44" s="1035"/>
      <c r="AT44" s="1035"/>
      <c r="AU44" s="1035"/>
      <c r="AV44" s="656"/>
      <c r="AW44" s="656"/>
    </row>
    <row s="1328" customFormat="1" customHeight="1" ht="14.625">
      <c r="A45" s="1030"/>
      <c r="E45" s="656">
        <v>15</v>
      </c>
      <c r="W45" s="764" t="s">
        <v>421</v>
      </c>
      <c r="AB45" s="1339"/>
      <c r="AC45" s="1340" t="s">
        <v>422</v>
      </c>
      <c r="AD45" s="1341"/>
      <c r="AE45" s="1341"/>
      <c r="AF45" s="1341"/>
      <c r="AG45" s="1341"/>
      <c r="AH45" s="1341"/>
      <c r="AI45" s="1341"/>
      <c r="AJ45" s="1341"/>
      <c r="AK45" s="1342"/>
      <c r="AL45" s="1342"/>
      <c r="AM45" s="1342"/>
      <c r="AN45" s="1342"/>
      <c r="AO45" s="1439"/>
      <c r="AP45" s="1343"/>
      <c r="AS45" s="1035"/>
      <c r="AT45" s="1035"/>
      <c r="AU45" s="1035"/>
      <c r="AV45" s="656"/>
      <c r="AW45" s="656"/>
    </row>
    <row customHeight="1" ht="10.725000000000001">
      <c r="E46" s="655">
        <v>11</v>
      </c>
      <c r="AC46" s="541"/>
      <c r="AQ46" s="491"/>
    </row>
  </sheetData>
  <sheetProtection formatColumns="0" formatRows="0" insertRows="0" deleteColumns="0" deleteRows="0" sort="0" autoFilter="0" insertColumns="1"/>
  <mergeCells count="27">
    <mergeCell ref="AB23:AM23"/>
    <mergeCell ref="AB24:AB27"/>
    <mergeCell ref="AC24:AC27"/>
    <mergeCell ref="AD24:AD27"/>
    <mergeCell ref="AE24:AE27"/>
    <mergeCell ref="AF24:AF27"/>
    <mergeCell ref="AG24:AG27"/>
    <mergeCell ref="AH24:AH27"/>
    <mergeCell ref="AI24:AI27"/>
    <mergeCell ref="AJ24:AJ27"/>
    <mergeCell ref="AK24:AN24"/>
    <mergeCell ref="AO24:AO27"/>
    <mergeCell ref="AP24:AP27"/>
    <mergeCell ref="AK25:AN25"/>
    <mergeCell ref="AK26:AL26"/>
    <mergeCell ref="AM26:AN26"/>
    <mergeCell ref="AB44:AP44"/>
    <mergeCell ref="X29:X31"/>
    <mergeCell ref="Z29:Z31"/>
    <mergeCell ref="AB42:AP42"/>
    <mergeCell ref="AB43:AP43"/>
    <mergeCell ref="X32:X34"/>
    <mergeCell ref="Z32:Z34"/>
    <mergeCell ref="X35:X37"/>
    <mergeCell ref="Z35:Z37"/>
    <mergeCell ref="X38:X40"/>
    <mergeCell ref="Z38:Z40"/>
  </mergeCells>
  <dataValidations count="9">
    <dataValidation type="decimal" allowBlank="1" showErrorMessage="1" errorTitle="Ошибка" error="Допускается ввод только неотрицательных чисел!" sqref="AH29 AM30 AK30 AG30:AH30 AH32 AG33 AH33 AK33 AM33 AH35 AG36 AH36 AK36 AM36 AH38 AG39 AH39 AK39 AM39">
      <formula1>0</formula1>
      <formula2>9.99999999999999E+23</formula2>
    </dataValidation>
    <dataValidation type="list" allowBlank="1" showInputMessage="1" errorTitle="Ошибка" error="Выберите значение из списка" prompt="Выберите значение из списка или введите свой вариант" sqref="AE30 AE33 AE36 AE39">
      <formula1>grunt_list</formula1>
    </dataValidation>
    <dataValidation type="list" allowBlank="1" showInputMessage="1" errorTitle="Ошибка" error="Выберите значение из списка" prompt="Выберите значение из списка или введите свой вариант" sqref="AD30 AD33 AD36 AD39">
      <formula1>material_list</formula1>
    </dataValidation>
    <dataValidation type="list" allowBlank="1" showInputMessage="1" showErrorMessage="1" errorTitle="Ошибка" error="Выберите значение из списка" prompt="Выберите значение из списка" sqref="AC30">
      <formula1>diametr_list</formula1>
    </dataValidation>
    <dataValidation type="list" allowBlank="1" showInputMessage="1" showErrorMessage="1" errorTitle="Ошибка" error="Выберите значение из списка" prompt="Выберите значение из списка" sqref="AI30 AI33 AI36 AI39">
      <formula1>ist_info_build_list</formula1>
    </dataValidation>
    <dataValidation type="whole" allowBlank="1" showErrorMessage="1" errorTitle="Ошибка" error="Допускается ввод только неотрицательных целых чисел!" sqref="AF30 AF33 AF36 AF39">
      <formula1>0</formula1>
      <formula2>9.99999999999999E+23</formula2>
    </dataValidation>
    <dataValidation type="list" allowBlank="1" showInputMessage="1" showErrorMessage="1" errorTitle="Ошибка" error="Выберите значение из списка" sqref="AC33">
      <formula1>diametr_list_vs</formula1>
    </dataValidation>
    <dataValidation type="list" allowBlank="1" showInputMessage="1" showErrorMessage="1" errorTitle="Ошибка" error="Выберите значение из списка" sqref="AC36">
      <formula1>diametr_list_vo</formula1>
    </dataValidation>
    <dataValidation type="list" allowBlank="1" showInputMessage="1" showErrorMessage="1" errorTitle="Ошибка" error="Выберите значение из списка" sqref="AC39">
      <formula1>diametr_list_vo</formula1>
    </dataValidation>
  </dataValidations>
  <pageMargins left="0.35" right="0.35" top="0.40" bottom="0.40" header="0.31" footer="0.31"/>
  <pageSetup paperSize="9" scale="63" fitToHeight="0" pageOrder="downThenOver" orientation="landscape"/>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EB404C8-EA9E-B6B8-9B38-01B12CB70298}" mc:Ignorable="x14ac xr xr2 xr3">
  <sheetPr>
    <tabColor rgb="FF002060"/>
    <outlinePr summaryRight="0" summaryBelow="0"/>
    <pageSetUpPr fitToPage="1"/>
  </sheetPr>
  <dimension ref="A1:BK117"/>
  <sheetViews>
    <sheetView showGridLines="0" workbookViewId="0">
      <pane xSplit="30" ySplit="25" topLeftCell="AE31" activePane="bottomRight" state="frozen"/>
      <selection pane="bottomLeft" activeCell="A26" sqref="A26"/>
      <selection pane="topRight" activeCell="AE1" sqref="AE1"/>
      <selection pane="bottomRight" activeCell="AA21" sqref="AA21"/>
    </sheetView>
  </sheetViews>
  <sheetFormatPr defaultColWidth="9.140625" customHeight="1" defaultRowHeight="11.25"/>
  <cols>
    <col min="1" max="1" style="1328" width="3.57421875" hidden="1" customWidth="1"/>
    <col min="2" max="2" style="1186" width="8.57421875" hidden="1" customWidth="1"/>
    <col min="3" max="3" style="1328" width="6.28125" hidden="1" customWidth="1"/>
    <col min="4" max="4" style="1328" width="6.140625" hidden="1" customWidth="1"/>
    <col min="5" max="5" style="1329" width="3.57421875" hidden="1" customWidth="1"/>
    <col min="6" max="10" style="1328" width="3.57421875" hidden="1" customWidth="1"/>
    <col min="11" max="11" style="1328" width="7.421875" hidden="1" customWidth="1"/>
    <col min="12" max="12" style="1328" width="6.7109375" hidden="1" customWidth="1"/>
    <col min="13" max="19" style="1328" width="3.57421875" hidden="1" customWidth="1"/>
    <col min="20" max="20" style="1328" width="10.00390625" hidden="1" customWidth="1"/>
    <col min="21" max="26" style="1328" width="6.8515625" hidden="1" customWidth="1"/>
    <col min="27" max="27" style="1328" width="3.00390625" customWidth="1"/>
    <col min="28" max="28" style="1328" width="9.7109375" customWidth="1"/>
    <col min="29" max="29" style="1328" width="45.00390625" customWidth="1"/>
    <col min="30" max="30" style="1328" width="8.57421875" customWidth="1"/>
    <col min="31" max="35" style="1328" width="12.57421875" customWidth="1"/>
    <col min="36" max="44" style="1328" width="12.57421875" hidden="1" customWidth="1"/>
    <col min="45" max="45" style="1328" width="12.57421875" customWidth="1"/>
    <col min="46" max="54" style="1328" width="12.57421875" hidden="1" customWidth="1"/>
    <col min="55" max="55" style="1328" width="20.00390625" customWidth="1"/>
    <col min="56" max="56" style="1328" width="3.00390625" customWidth="1"/>
    <col min="57" max="57" style="1328" width="9.140625" hidden="1"/>
    <col min="58" max="60" style="1330" width="9.140625" hidden="1"/>
    <col min="61" max="61" width="9.140625" hidden="1"/>
    <col min="62" max="63" style="1329" width="9.140625" hidden="1"/>
  </cols>
  <sheetData>
    <row customHeight="1" ht="11.25" hidden="1">
      <c r="E1" s="94"/>
      <c r="F1" s="94" t="s">
        <v>333</v>
      </c>
      <c r="G1" s="94" t="s">
        <v>343</v>
      </c>
      <c r="H1" s="94" t="s">
        <v>368</v>
      </c>
      <c r="T1" s="468" t="s">
        <v>93</v>
      </c>
      <c r="U1" s="468" t="s">
        <v>98</v>
      </c>
      <c r="V1" s="468" t="s">
        <v>94</v>
      </c>
      <c r="W1" s="468" t="s">
        <v>95</v>
      </c>
      <c r="X1" s="468" t="s">
        <v>96</v>
      </c>
      <c r="Y1" s="1440" t="s">
        <v>335</v>
      </c>
      <c r="Z1" s="468" t="s">
        <v>100</v>
      </c>
      <c r="AA1" s="470" t="s">
        <v>97</v>
      </c>
      <c r="AB1" s="470"/>
      <c r="AC1" s="469" t="s">
        <v>99</v>
      </c>
      <c r="AI1" s="1328"/>
      <c r="AJ1" s="1328"/>
      <c r="AK1" s="1328"/>
      <c r="AL1" s="1328"/>
      <c r="AM1" s="1328"/>
      <c r="AN1" s="1328"/>
      <c r="AO1" s="1328"/>
      <c r="AP1" s="1328"/>
      <c r="AQ1" s="1328"/>
      <c r="AR1" s="1328"/>
      <c r="AS1" s="1328"/>
      <c r="AT1" s="1328"/>
      <c r="AU1" s="1328"/>
      <c r="AV1" s="1328"/>
      <c r="AW1" s="1328"/>
      <c r="AX1" s="1328"/>
      <c r="AY1" s="1328"/>
      <c r="AZ1" s="1328"/>
      <c r="BA1" s="1328"/>
      <c r="BB1" s="1328"/>
      <c r="BF1" s="1023" t="s">
        <v>336</v>
      </c>
      <c r="BG1" s="1023" t="s">
        <v>337</v>
      </c>
      <c r="BH1" s="1023" t="s">
        <v>338</v>
      </c>
      <c r="BI1" s="0" t="s">
        <v>370</v>
      </c>
      <c r="BJ1" s="637" t="s">
        <v>341</v>
      </c>
      <c r="BK1" s="637" t="s">
        <v>342</v>
      </c>
    </row>
    <row s="1186" customFormat="1" customHeight="1" ht="11.25" hidden="1">
      <c r="B2" s="447" t="s">
        <v>19</v>
      </c>
      <c r="AF2" s="1186" cm="1" t="str">
        <f t="array" ref="AF2:AF2">isOrgDeclare</f>
        <v>true</v>
      </c>
      <c r="AI2" s="448">
        <f>AND(AI6&lt;=last_year_vis,isOrgDeclare)</f>
        <v>1</v>
      </c>
      <c r="AJ2" s="448">
        <f>AND(AJ6&lt;=last_year_vis,isOrgDeclare)</f>
        <v>0</v>
      </c>
      <c r="AK2" s="448">
        <f>AND(AK6&lt;=last_year_vis,isOrgDeclare)</f>
        <v>0</v>
      </c>
      <c r="AL2" s="448">
        <f>AND(AL6&lt;=last_year_vis,isOrgDeclare)</f>
        <v>0</v>
      </c>
      <c r="AM2" s="448">
        <f>AND(AM6&lt;=last_year_vis,isOrgDeclare)</f>
        <v>0</v>
      </c>
      <c r="AN2" s="448">
        <f>AND(AN6&lt;=last_year_vis,isOrgDeclare)</f>
        <v>0</v>
      </c>
      <c r="AO2" s="448">
        <f>AND(AO6&lt;=last_year_vis,isOrgDeclare)</f>
        <v>0</v>
      </c>
      <c r="AP2" s="448">
        <f>AND(AP6&lt;=last_year_vis,isOrgDeclare)</f>
        <v>0</v>
      </c>
      <c r="AQ2" s="448">
        <f>AND(AQ6&lt;=last_year_vis,isOrgDeclare)</f>
        <v>0</v>
      </c>
      <c r="AR2" s="448">
        <f>AND(AR6&lt;=last_year_vis,isOrgDeclare)</f>
        <v>0</v>
      </c>
      <c r="AS2" s="448">
        <f>AS6&lt;=last_year_vis</f>
        <v>1</v>
      </c>
      <c r="AT2" s="448">
        <f>AT6&lt;=last_year_vis</f>
        <v>0</v>
      </c>
      <c r="AU2" s="448">
        <f>AU6&lt;=last_year_vis</f>
        <v>0</v>
      </c>
      <c r="AV2" s="448">
        <f>AV6&lt;=last_year_vis</f>
        <v>0</v>
      </c>
      <c r="AW2" s="448">
        <f>AW6&lt;=last_year_vis</f>
        <v>0</v>
      </c>
      <c r="AX2" s="448">
        <f>AX6&lt;=last_year_vis</f>
        <v>0</v>
      </c>
      <c r="AY2" s="448">
        <f>AY6&lt;=last_year_vis</f>
        <v>0</v>
      </c>
      <c r="AZ2" s="448">
        <f>AZ6&lt;=last_year_vis</f>
        <v>0</v>
      </c>
      <c r="BA2" s="448">
        <f>BA6&lt;=last_year_vis</f>
        <v>0</v>
      </c>
      <c r="BB2" s="448">
        <f>BB6&lt;=last_year_vis</f>
        <v>0</v>
      </c>
      <c r="BF2" s="1024"/>
      <c r="BG2" s="1024"/>
      <c r="BH2" s="1024"/>
      <c r="BJ2" s="1037"/>
      <c r="BK2" s="1037"/>
    </row>
    <row customHeight="1" ht="11.25" hidden="1">
      <c r="E3" s="94"/>
      <c r="AI3" s="1328"/>
      <c r="AJ3" s="1328"/>
      <c r="AK3" s="1328"/>
      <c r="AL3" s="1328"/>
      <c r="AM3" s="1328"/>
      <c r="AN3" s="1328"/>
      <c r="AO3" s="1328"/>
      <c r="AP3" s="1328"/>
      <c r="AQ3" s="1328"/>
      <c r="AR3" s="1328"/>
      <c r="AS3" s="1328"/>
      <c r="AT3" s="1328"/>
      <c r="AU3" s="1328"/>
      <c r="AV3" s="1328"/>
      <c r="AW3" s="1328"/>
      <c r="AX3" s="1328"/>
      <c r="AY3" s="1328"/>
      <c r="AZ3" s="1328"/>
      <c r="BA3" s="1328"/>
      <c r="BB3" s="1328"/>
    </row>
    <row customHeight="1" ht="11.25" hidden="1">
      <c r="E4" s="94"/>
      <c r="AI4" s="1328"/>
      <c r="AJ4" s="1328"/>
      <c r="AK4" s="1328"/>
      <c r="AL4" s="1328"/>
      <c r="AM4" s="1328"/>
      <c r="AN4" s="1328"/>
      <c r="AO4" s="1328"/>
      <c r="AP4" s="1328"/>
      <c r="AQ4" s="1328"/>
      <c r="AR4" s="1328"/>
      <c r="AS4" s="1328"/>
      <c r="AT4" s="1328"/>
      <c r="AU4" s="1328"/>
      <c r="AV4" s="1328"/>
      <c r="AW4" s="1328"/>
      <c r="AX4" s="1328"/>
      <c r="AY4" s="1328"/>
      <c r="AZ4" s="1328"/>
      <c r="BA4" s="1328"/>
      <c r="BB4" s="1328"/>
    </row>
    <row s="1329" customFormat="1" customHeight="1" ht="11.25" hidden="1">
      <c r="A5" s="94"/>
      <c r="B5" s="429"/>
      <c r="C5" s="94"/>
      <c r="D5" s="94"/>
      <c r="E5" s="637" t="s">
        <v>20</v>
      </c>
      <c r="AA5" s="637">
        <v>3</v>
      </c>
      <c r="AB5" s="637">
        <v>9.71</v>
      </c>
      <c r="AC5" s="637">
        <v>45</v>
      </c>
      <c r="AD5" s="637">
        <v>8.57</v>
      </c>
      <c r="AE5" s="637">
        <v>12.57</v>
      </c>
      <c r="AF5" s="637">
        <v>12.57</v>
      </c>
      <c r="AG5" s="637">
        <v>12.57</v>
      </c>
      <c r="AH5" s="637">
        <v>12.57</v>
      </c>
      <c r="AI5" s="637">
        <v>12.57</v>
      </c>
      <c r="AJ5" s="637">
        <v>12.57</v>
      </c>
      <c r="AK5" s="637">
        <v>12.57</v>
      </c>
      <c r="AL5" s="637">
        <v>12.57</v>
      </c>
      <c r="AM5" s="637">
        <v>12.57</v>
      </c>
      <c r="AN5" s="637">
        <v>12.57</v>
      </c>
      <c r="AO5" s="637">
        <v>12.57</v>
      </c>
      <c r="AP5" s="637">
        <v>12.57</v>
      </c>
      <c r="AQ5" s="637">
        <v>12.57</v>
      </c>
      <c r="AR5" s="637">
        <v>12.57</v>
      </c>
      <c r="AS5" s="637">
        <v>12.57</v>
      </c>
      <c r="AT5" s="637">
        <v>12.57</v>
      </c>
      <c r="AU5" s="637">
        <v>12.57</v>
      </c>
      <c r="AV5" s="637">
        <v>12.57</v>
      </c>
      <c r="AW5" s="637">
        <v>12.57</v>
      </c>
      <c r="AX5" s="637">
        <v>12.57</v>
      </c>
      <c r="AY5" s="637">
        <v>12.57</v>
      </c>
      <c r="AZ5" s="637">
        <v>12.57</v>
      </c>
      <c r="BA5" s="637">
        <v>12.57</v>
      </c>
      <c r="BB5" s="637">
        <v>12.57</v>
      </c>
      <c r="BC5" s="637">
        <v>20</v>
      </c>
      <c r="BD5" s="637">
        <v>3</v>
      </c>
      <c r="BF5" s="1023"/>
      <c r="BG5" s="1023"/>
      <c r="BH5" s="1023"/>
    </row>
    <row customHeight="1" ht="11.25" hidden="1">
      <c r="A6" s="94" t="s">
        <v>371</v>
      </c>
      <c r="AE6" s="94">
        <f>god-2</f>
        <v>2024</v>
      </c>
      <c r="AF6" s="94">
        <f>god-2</f>
        <v>2024</v>
      </c>
      <c r="AG6" s="94">
        <f>god-2</f>
        <v>2024</v>
      </c>
      <c r="AH6" s="94">
        <f>god-1</f>
        <v>2025</v>
      </c>
      <c r="AI6" s="94" cm="1" t="str">
        <f t="array" ref="AI6:AI6">god</f>
        <v>2026</v>
      </c>
      <c r="AJ6" s="94">
        <f>god+1</f>
        <v>2027</v>
      </c>
      <c r="AK6" s="94">
        <f>god+2</f>
        <v>2028</v>
      </c>
      <c r="AL6" s="94">
        <f>god+3</f>
        <v>2029</v>
      </c>
      <c r="AM6" s="94">
        <f>god+4</f>
        <v>2030</v>
      </c>
      <c r="AN6" s="94">
        <f>god+5</f>
        <v>2031</v>
      </c>
      <c r="AO6" s="94">
        <f>god+6</f>
        <v>2032</v>
      </c>
      <c r="AP6" s="94">
        <f>god+7</f>
        <v>2033</v>
      </c>
      <c r="AQ6" s="94">
        <f>god+8</f>
        <v>2034</v>
      </c>
      <c r="AR6" s="94">
        <f>god+9</f>
        <v>2035</v>
      </c>
      <c r="AS6" s="94" cm="1" t="str">
        <f t="array" ref="AS6:AS6">god</f>
        <v>2026</v>
      </c>
      <c r="AT6" s="94">
        <f>god+1</f>
        <v>2027</v>
      </c>
      <c r="AU6" s="94">
        <f>god+2</f>
        <v>2028</v>
      </c>
      <c r="AV6" s="94">
        <f>god+3</f>
        <v>2029</v>
      </c>
      <c r="AW6" s="94">
        <f>god+4</f>
        <v>2030</v>
      </c>
      <c r="AX6" s="94">
        <f>god+5</f>
        <v>2031</v>
      </c>
      <c r="AY6" s="94">
        <f>god+6</f>
        <v>2032</v>
      </c>
      <c r="AZ6" s="94">
        <f>god+7</f>
        <v>2033</v>
      </c>
      <c r="BA6" s="94">
        <f>god+8</f>
        <v>2034</v>
      </c>
      <c r="BB6" s="94">
        <f>god+9</f>
        <v>2035</v>
      </c>
    </row>
    <row customHeight="1" ht="11.25" hidden="1">
      <c r="A7" s="94" t="s">
        <v>372</v>
      </c>
      <c r="AE7" s="94" cm="1" t="str">
        <f t="array" ref="AE7:AE7">AE25</f>
        <v>Принято органом регулирования</v>
      </c>
      <c r="AF7" s="94" cm="1" t="str">
        <f t="array" ref="AF7:AF7">AF25</f>
        <v>Факт по данным организации</v>
      </c>
      <c r="AG7" s="94" cm="1" t="str">
        <f t="array" ref="AG7:AG7">AG25</f>
        <v>Факт, принятый органом регулирования</v>
      </c>
      <c r="AH7" s="94" cm="1" t="str">
        <f t="array" ref="AH7:AH7">AH25</f>
        <v>Принято органом регулирования</v>
      </c>
      <c r="AI7" s="94" cm="1" t="str">
        <f t="array" ref="AI7:AI7">AI25</f>
        <v>Предложение организации</v>
      </c>
      <c r="AJ7" s="94" cm="1" t="str">
        <f t="array" ref="AJ7:AJ7">AJ25</f>
        <v>Предложение организации</v>
      </c>
      <c r="AK7" s="94" cm="1" t="str">
        <f t="array" ref="AK7:AK7">AK25</f>
        <v>Предложение организации</v>
      </c>
      <c r="AL7" s="94" cm="1" t="str">
        <f t="array" ref="AL7:AL7">AL25</f>
        <v>Предложение организации</v>
      </c>
      <c r="AM7" s="94" cm="1" t="str">
        <f t="array" ref="AM7:AM7">AM25</f>
        <v>Предложение организации</v>
      </c>
      <c r="AN7" s="94" cm="1" t="str">
        <f t="array" ref="AN7:AN7">AN25</f>
        <v>Предложение организации</v>
      </c>
      <c r="AO7" s="94" cm="1" t="str">
        <f t="array" ref="AO7:AO7">AO25</f>
        <v>Предложение организации</v>
      </c>
      <c r="AP7" s="94" cm="1" t="str">
        <f t="array" ref="AP7:AP7">AP25</f>
        <v>Предложение организации</v>
      </c>
      <c r="AQ7" s="94" cm="1" t="str">
        <f t="array" ref="AQ7:AQ7">AQ25</f>
        <v>Предложение организации</v>
      </c>
      <c r="AR7" s="94" cm="1" t="str">
        <f t="array" ref="AR7:AR7">AR25</f>
        <v>Предложение организации</v>
      </c>
      <c r="AS7" s="94" cm="1" t="str">
        <f t="array" ref="AS7:AS7">AS25</f>
        <v>Принято органом регулирования</v>
      </c>
      <c r="AT7" s="94" cm="1" t="str">
        <f t="array" ref="AT7:AT7">AT25</f>
        <v>Принято органом регулирования</v>
      </c>
      <c r="AU7" s="94" cm="1" t="str">
        <f t="array" ref="AU7:AU7">AU25</f>
        <v>Принято органом регулирования</v>
      </c>
      <c r="AV7" s="94" cm="1" t="str">
        <f t="array" ref="AV7:AV7">AV25</f>
        <v>Принято органом регулирования</v>
      </c>
      <c r="AW7" s="94" cm="1" t="str">
        <f t="array" ref="AW7:AW7">AW25</f>
        <v>Принято органом регулирования</v>
      </c>
      <c r="AX7" s="94" cm="1" t="str">
        <f t="array" ref="AX7:AX7">AX25</f>
        <v>Принято органом регулирования</v>
      </c>
      <c r="AY7" s="94" cm="1" t="str">
        <f t="array" ref="AY7:AY7">AY25</f>
        <v>Принято органом регулирования</v>
      </c>
      <c r="AZ7" s="94" cm="1" t="str">
        <f t="array" ref="AZ7:AZ7">AZ25</f>
        <v>Принято органом регулирования</v>
      </c>
      <c r="BA7" s="94" cm="1" t="str">
        <f t="array" ref="BA7:BA7">BA25</f>
        <v>Принято органом регулирования</v>
      </c>
      <c r="BB7" s="94" cm="1" t="str">
        <f t="array" ref="BB7:BB7">BB25</f>
        <v>Принято органом регулирования</v>
      </c>
    </row>
    <row customHeight="1" ht="11.25" hidden="1">
      <c r="AI8" s="1328"/>
      <c r="AJ8" s="1328"/>
      <c r="AK8" s="1328"/>
      <c r="AL8" s="1328"/>
      <c r="AM8" s="1328"/>
      <c r="AN8" s="1328"/>
      <c r="AO8" s="1328"/>
      <c r="AP8" s="1328"/>
      <c r="AQ8" s="1328"/>
      <c r="AR8" s="1328"/>
      <c r="AS8" s="1328"/>
      <c r="AT8" s="1328"/>
      <c r="AU8" s="1328"/>
      <c r="AV8" s="1328"/>
      <c r="AW8" s="1328"/>
      <c r="AX8" s="1328"/>
      <c r="AY8" s="1328"/>
      <c r="AZ8" s="1328"/>
      <c r="BA8" s="1328"/>
      <c r="BB8" s="1328"/>
    </row>
    <row s="1330" customFormat="1" customHeight="1" ht="11.25" hidden="1">
      <c r="A9" s="1023" t="s">
        <v>376</v>
      </c>
      <c r="B9" s="1024"/>
      <c r="AE9" s="1023" cm="1" t="str">
        <f t="array" ref="AE9:AE9">AE6</f>
        <v>2024</v>
      </c>
      <c r="AF9" s="1023" cm="1" t="str">
        <f t="array" ref="AF9:AF9">AF6</f>
        <v>2024</v>
      </c>
      <c r="AG9" s="1023" cm="1" t="str">
        <f t="array" ref="AG9:AG9">AG6</f>
        <v>2024</v>
      </c>
      <c r="AH9" s="1023" cm="1" t="str">
        <f t="array" ref="AH9:AH9">AH6</f>
        <v>2025</v>
      </c>
      <c r="AI9" s="1023" cm="1" t="str">
        <f t="array" ref="AI9:AI9">AI6</f>
        <v>2026</v>
      </c>
      <c r="AJ9" s="1023" cm="1" t="str">
        <f t="array" ref="AJ9:AJ9">AJ6</f>
        <v>2027</v>
      </c>
      <c r="AK9" s="1023" cm="1" t="str">
        <f t="array" ref="AK9:AK9">AK6</f>
        <v>2028</v>
      </c>
      <c r="AL9" s="1023" cm="1" t="str">
        <f t="array" ref="AL9:AL9">AL6</f>
        <v>2029</v>
      </c>
      <c r="AM9" s="1023" cm="1" t="str">
        <f t="array" ref="AM9:AM9">AM6</f>
        <v>2030</v>
      </c>
      <c r="AN9" s="1023" cm="1" t="str">
        <f t="array" ref="AN9:AN9">AN6</f>
        <v>2031</v>
      </c>
      <c r="AO9" s="1023" cm="1" t="str">
        <f t="array" ref="AO9:AO9">AO6</f>
        <v>2032</v>
      </c>
      <c r="AP9" s="1023" cm="1" t="str">
        <f t="array" ref="AP9:AP9">AP6</f>
        <v>2033</v>
      </c>
      <c r="AQ9" s="1023" cm="1" t="str">
        <f t="array" ref="AQ9:AQ9">AQ6</f>
        <v>2034</v>
      </c>
      <c r="AR9" s="1023" cm="1" t="str">
        <f t="array" ref="AR9:AR9">AR6</f>
        <v>2035</v>
      </c>
      <c r="AS9" s="1023" cm="1" t="str">
        <f t="array" ref="AS9:AS9">AS6</f>
        <v>2026</v>
      </c>
      <c r="AT9" s="1023" cm="1" t="str">
        <f t="array" ref="AT9:AT9">AT6</f>
        <v>2027</v>
      </c>
      <c r="AU9" s="1023" cm="1" t="str">
        <f t="array" ref="AU9:AU9">AU6</f>
        <v>2028</v>
      </c>
      <c r="AV9" s="1023" cm="1" t="str">
        <f t="array" ref="AV9:AV9">AV6</f>
        <v>2029</v>
      </c>
      <c r="AW9" s="1023" cm="1" t="str">
        <f t="array" ref="AW9:AW9">AW6</f>
        <v>2030</v>
      </c>
      <c r="AX9" s="1023" cm="1" t="str">
        <f t="array" ref="AX9:AX9">AX6</f>
        <v>2031</v>
      </c>
      <c r="AY9" s="1023" cm="1" t="str">
        <f t="array" ref="AY9:AY9">AY6</f>
        <v>2032</v>
      </c>
      <c r="AZ9" s="1023" cm="1" t="str">
        <f t="array" ref="AZ9:AZ9">AZ6</f>
        <v>2033</v>
      </c>
      <c r="BA9" s="1023" cm="1" t="str">
        <f t="array" ref="BA9:BA9">BA6</f>
        <v>2034</v>
      </c>
      <c r="BB9" s="1023" cm="1" t="str">
        <f t="array" ref="BB9:BB9">BB6</f>
        <v>2035</v>
      </c>
      <c r="BJ9" s="637"/>
      <c r="BK9" s="637"/>
    </row>
    <row s="1330" customFormat="1" customHeight="1" ht="11.25" hidden="1">
      <c r="A10" s="1023" t="s">
        <v>377</v>
      </c>
      <c r="B10" s="1024"/>
      <c r="AE10" s="1023" cm="1" t="str">
        <f t="array" ref="AE10:AE10">AE25</f>
        <v>Принято органом регулирования</v>
      </c>
      <c r="AF10" s="1023" cm="1" t="str">
        <f t="array" ref="AF10:AF10">AF25</f>
        <v>Факт по данным организации</v>
      </c>
      <c r="AG10" s="1023" cm="1" t="str">
        <f t="array" ref="AG10:AG10">AG25</f>
        <v>Факт, принятый органом регулирования</v>
      </c>
      <c r="AH10" s="1023" cm="1" t="str">
        <f t="array" ref="AH10:AH10">AH25</f>
        <v>Принято органом регулирования</v>
      </c>
      <c r="AI10" s="1023" cm="1" t="str">
        <f t="array" ref="AI10:AI10">AI25</f>
        <v>Предложение организации</v>
      </c>
      <c r="AJ10" s="1023" cm="1" t="str">
        <f t="array" ref="AJ10:AJ10">AJ25</f>
        <v>Предложение организации</v>
      </c>
      <c r="AK10" s="1023" cm="1" t="str">
        <f t="array" ref="AK10:AK10">AK25</f>
        <v>Предложение организации</v>
      </c>
      <c r="AL10" s="1023" cm="1" t="str">
        <f t="array" ref="AL10:AL10">AL25</f>
        <v>Предложение организации</v>
      </c>
      <c r="AM10" s="1023" cm="1" t="str">
        <f t="array" ref="AM10:AM10">AM25</f>
        <v>Предложение организации</v>
      </c>
      <c r="AN10" s="1023" cm="1" t="str">
        <f t="array" ref="AN10:AN10">AN25</f>
        <v>Предложение организации</v>
      </c>
      <c r="AO10" s="1023" cm="1" t="str">
        <f t="array" ref="AO10:AO10">AO25</f>
        <v>Предложение организации</v>
      </c>
      <c r="AP10" s="1023" cm="1" t="str">
        <f t="array" ref="AP10:AP10">AP25</f>
        <v>Предложение организации</v>
      </c>
      <c r="AQ10" s="1023" cm="1" t="str">
        <f t="array" ref="AQ10:AQ10">AQ25</f>
        <v>Предложение организации</v>
      </c>
      <c r="AR10" s="1023" cm="1" t="str">
        <f t="array" ref="AR10:AR10">AR25</f>
        <v>Предложение организации</v>
      </c>
      <c r="AS10" s="1023" cm="1" t="str">
        <f t="array" ref="AS10:AS10">AS25</f>
        <v>Принято органом регулирования</v>
      </c>
      <c r="AT10" s="1023" cm="1" t="str">
        <f t="array" ref="AT10:AT10">AT25</f>
        <v>Принято органом регулирования</v>
      </c>
      <c r="AU10" s="1023" cm="1" t="str">
        <f t="array" ref="AU10:AU10">AU25</f>
        <v>Принято органом регулирования</v>
      </c>
      <c r="AV10" s="1023" cm="1" t="str">
        <f t="array" ref="AV10:AV10">AV25</f>
        <v>Принято органом регулирования</v>
      </c>
      <c r="AW10" s="1023" cm="1" t="str">
        <f t="array" ref="AW10:AW10">AW25</f>
        <v>Принято органом регулирования</v>
      </c>
      <c r="AX10" s="1023" cm="1" t="str">
        <f t="array" ref="AX10:AX10">AX25</f>
        <v>Принято органом регулирования</v>
      </c>
      <c r="AY10" s="1023" cm="1" t="str">
        <f t="array" ref="AY10:AY10">AY25</f>
        <v>Принято органом регулирования</v>
      </c>
      <c r="AZ10" s="1023" cm="1" t="str">
        <f t="array" ref="AZ10:AZ10">AZ25</f>
        <v>Принято органом регулирования</v>
      </c>
      <c r="BA10" s="1023" cm="1" t="str">
        <f t="array" ref="BA10:BA10">BA25</f>
        <v>Принято органом регулирования</v>
      </c>
      <c r="BB10" s="1023" cm="1" t="str">
        <f t="array" ref="BB10:BB10">BB25</f>
        <v>Принято органом регулирования</v>
      </c>
      <c r="BJ10" s="637"/>
      <c r="BK10" s="637"/>
    </row>
    <row s="1330" customFormat="1" customHeight="1" ht="11.25" hidden="1">
      <c r="A11" s="1023" t="s">
        <v>378</v>
      </c>
      <c r="B11" s="1024"/>
      <c r="AI11" s="1330"/>
      <c r="AJ11" s="1330"/>
      <c r="AK11" s="1330"/>
      <c r="AL11" s="1330"/>
      <c r="AM11" s="1330"/>
      <c r="AN11" s="1330"/>
      <c r="AO11" s="1330"/>
      <c r="AP11" s="1330"/>
      <c r="AQ11" s="1330"/>
      <c r="AR11" s="1330"/>
      <c r="AS11" s="1330"/>
      <c r="AT11" s="1330"/>
      <c r="AU11" s="1330"/>
      <c r="AV11" s="1330"/>
      <c r="AW11" s="1330"/>
      <c r="AX11" s="1330"/>
      <c r="AY11" s="1330"/>
      <c r="AZ11" s="1330"/>
      <c r="BA11" s="1330"/>
      <c r="BB11" s="1330"/>
      <c r="BC11" s="1023" cm="1" t="str">
        <f t="array" ref="BC11:BC11">BC24</f>
        <v>Ссылка на правовую норму (основание для принятия показателя в расчет тарифа)</v>
      </c>
      <c r="BJ11" s="637"/>
      <c r="BK11" s="637"/>
    </row>
    <row s="1330" customFormat="1" customHeight="1" ht="11.25" hidden="1">
      <c r="A12" s="1023" t="s">
        <v>350</v>
      </c>
      <c r="B12" s="1024"/>
      <c r="AC12" s="1023" t="s">
        <v>338</v>
      </c>
      <c r="AD12" s="1330" t="s">
        <v>370</v>
      </c>
      <c r="AI12" s="1330"/>
      <c r="AJ12" s="1330"/>
      <c r="AK12" s="1330"/>
      <c r="AL12" s="1330"/>
      <c r="AM12" s="1330"/>
      <c r="AN12" s="1330"/>
      <c r="AO12" s="1330"/>
      <c r="AP12" s="1330"/>
      <c r="AQ12" s="1330"/>
      <c r="AR12" s="1330"/>
      <c r="AS12" s="1330"/>
      <c r="AT12" s="1330"/>
      <c r="AU12" s="1330"/>
      <c r="AV12" s="1330"/>
      <c r="AW12" s="1330"/>
      <c r="AX12" s="1330"/>
      <c r="AY12" s="1330"/>
      <c r="AZ12" s="1330"/>
      <c r="BA12" s="1330"/>
      <c r="BB12" s="1330"/>
      <c r="BJ12" s="637"/>
      <c r="BK12" s="637"/>
    </row>
    <row customHeight="1" ht="11.25" hidden="1">
      <c r="AI13" s="1328"/>
      <c r="AJ13" s="1328"/>
      <c r="AK13" s="1328"/>
      <c r="AL13" s="1328"/>
      <c r="AM13" s="1328"/>
      <c r="AN13" s="1328"/>
      <c r="AO13" s="1328"/>
      <c r="AP13" s="1328"/>
      <c r="AQ13" s="1328"/>
      <c r="AR13" s="1328"/>
      <c r="AS13" s="1328"/>
      <c r="AT13" s="1328"/>
      <c r="AU13" s="1328"/>
      <c r="AV13" s="1328"/>
      <c r="AW13" s="1328"/>
      <c r="AX13" s="1328"/>
      <c r="AY13" s="1328"/>
      <c r="AZ13" s="1328"/>
      <c r="BA13" s="1328"/>
      <c r="BB13" s="1328"/>
    </row>
    <row customHeight="1" ht="11.25" hidden="1">
      <c r="AI14" s="1328"/>
      <c r="AJ14" s="1328"/>
      <c r="AK14" s="1328"/>
      <c r="AL14" s="1328"/>
      <c r="AM14" s="1328"/>
      <c r="AN14" s="1328"/>
      <c r="AO14" s="1328"/>
      <c r="AP14" s="1328"/>
      <c r="AQ14" s="1328"/>
      <c r="AR14" s="1328"/>
      <c r="AS14" s="1328"/>
      <c r="AT14" s="1328"/>
      <c r="AU14" s="1328"/>
      <c r="AV14" s="1328"/>
      <c r="AW14" s="1328"/>
      <c r="AX14" s="1328"/>
      <c r="AY14" s="1328"/>
      <c r="AZ14" s="1328"/>
      <c r="BA14" s="1328"/>
      <c r="BB14" s="1328"/>
    </row>
    <row customHeight="1" ht="11.25" hidden="1">
      <c r="AI15" s="1328"/>
      <c r="AJ15" s="1328"/>
      <c r="AK15" s="1328"/>
      <c r="AL15" s="1328"/>
      <c r="AM15" s="1328"/>
      <c r="AN15" s="1328"/>
      <c r="AO15" s="1328"/>
      <c r="AP15" s="1328"/>
      <c r="AQ15" s="1328"/>
      <c r="AR15" s="1328"/>
      <c r="AS15" s="1328"/>
      <c r="AT15" s="1328"/>
      <c r="AU15" s="1328"/>
      <c r="AV15" s="1328"/>
      <c r="AW15" s="1328"/>
      <c r="AX15" s="1328"/>
      <c r="AY15" s="1328"/>
      <c r="AZ15" s="1328"/>
      <c r="BA15" s="1328"/>
      <c r="BB15" s="1328"/>
    </row>
    <row customHeight="1" ht="11.25" hidden="1">
      <c r="AI16" s="1328"/>
      <c r="AJ16" s="1328"/>
      <c r="AK16" s="1328"/>
      <c r="AL16" s="1328"/>
      <c r="AM16" s="1328"/>
      <c r="AN16" s="1328"/>
      <c r="AO16" s="1328"/>
      <c r="AP16" s="1328"/>
      <c r="AQ16" s="1328"/>
      <c r="AR16" s="1328"/>
      <c r="AS16" s="1328"/>
      <c r="AT16" s="1328"/>
      <c r="AU16" s="1328"/>
      <c r="AV16" s="1328"/>
      <c r="AW16" s="1328"/>
      <c r="AX16" s="1328"/>
      <c r="AY16" s="1328"/>
      <c r="AZ16" s="1328"/>
      <c r="BA16" s="1328"/>
      <c r="BB16" s="1328"/>
    </row>
    <row customHeight="1" ht="11.25" hidden="1">
      <c r="AI17" s="1328"/>
      <c r="AJ17" s="1328"/>
      <c r="AK17" s="1328"/>
      <c r="AL17" s="1328"/>
      <c r="AM17" s="1328"/>
      <c r="AN17" s="1328"/>
      <c r="AO17" s="1328"/>
      <c r="AP17" s="1328"/>
      <c r="AQ17" s="1328"/>
      <c r="AR17" s="1328"/>
      <c r="AS17" s="1328"/>
      <c r="AT17" s="1328"/>
      <c r="AU17" s="1328"/>
      <c r="AV17" s="1328"/>
      <c r="AW17" s="1328"/>
      <c r="AX17" s="1328"/>
      <c r="AY17" s="1328"/>
      <c r="AZ17" s="1328"/>
      <c r="BA17" s="1328"/>
      <c r="BB17" s="1328"/>
    </row>
    <row customHeight="1" ht="11.25" hidden="1">
      <c r="A18" s="94" t="s">
        <v>379</v>
      </c>
      <c r="AC18" s="94" t="s">
        <v>194</v>
      </c>
      <c r="AI18" s="1328"/>
      <c r="AJ18" s="1328"/>
      <c r="AK18" s="1328"/>
      <c r="AL18" s="1328"/>
      <c r="AM18" s="1328"/>
      <c r="AN18" s="1328"/>
      <c r="AO18" s="1328"/>
      <c r="AP18" s="1328"/>
      <c r="AQ18" s="1328"/>
      <c r="AR18" s="1328"/>
      <c r="AS18" s="1328"/>
      <c r="AT18" s="1328"/>
      <c r="AU18" s="1328"/>
      <c r="AV18" s="1328"/>
      <c r="AW18" s="1328"/>
      <c r="AX18" s="1328"/>
      <c r="AY18" s="1328"/>
      <c r="AZ18" s="1328"/>
      <c r="BA18" s="1328"/>
      <c r="BB18" s="1328"/>
    </row>
    <row customHeight="1" ht="11.25" hidden="1">
      <c r="AI19" s="1328"/>
      <c r="AJ19" s="1328"/>
      <c r="AK19" s="1328"/>
      <c r="AL19" s="1328"/>
      <c r="AM19" s="1328"/>
      <c r="AN19" s="1328"/>
      <c r="AO19" s="1328"/>
      <c r="AP19" s="1328"/>
      <c r="AQ19" s="1328"/>
      <c r="AR19" s="1328"/>
      <c r="AS19" s="1328"/>
      <c r="AT19" s="1328"/>
      <c r="AU19" s="1328"/>
      <c r="AV19" s="1328"/>
      <c r="AW19" s="1328"/>
      <c r="AX19" s="1328"/>
      <c r="AY19" s="1328"/>
      <c r="AZ19" s="1328"/>
      <c r="BA19" s="1328"/>
      <c r="BB19" s="1328"/>
    </row>
    <row customHeight="1" ht="11.25" hidden="1">
      <c r="AI20" s="1328"/>
      <c r="AJ20" s="1328"/>
      <c r="AK20" s="1328"/>
      <c r="AL20" s="1328"/>
      <c r="AM20" s="1328"/>
      <c r="AN20" s="1328"/>
      <c r="AO20" s="1328"/>
      <c r="AP20" s="1328"/>
      <c r="AQ20" s="1328"/>
      <c r="AR20" s="1328"/>
      <c r="AS20" s="1328"/>
      <c r="AT20" s="1328"/>
      <c r="AU20" s="1328"/>
      <c r="AV20" s="1328"/>
      <c r="AW20" s="1328"/>
      <c r="AX20" s="1328"/>
      <c r="AY20" s="1328"/>
      <c r="AZ20" s="1328"/>
      <c r="BA20" s="1328"/>
      <c r="BB20" s="1328"/>
    </row>
    <row customHeight="1" ht="14.625">
      <c r="E21" s="637">
        <v>15</v>
      </c>
      <c r="AA21" s="663"/>
      <c r="AC21" s="50" cm="1" t="str">
        <f t="array" ref="AC21:AC21">tpl_title</f>
        <v>Кемеровская область / 2026 / ОАО «СКЭК» (ИНН:4205153492, КПП:420501001) / ДПР: 2024-2028</v>
      </c>
      <c r="AI21" s="1328"/>
      <c r="AJ21" s="1328"/>
      <c r="AK21" s="1328"/>
      <c r="AL21" s="1328"/>
      <c r="AM21" s="1328"/>
      <c r="AN21" s="1328"/>
      <c r="AO21" s="1328"/>
      <c r="AP21" s="1328"/>
      <c r="AQ21" s="1328"/>
      <c r="AR21" s="1328"/>
      <c r="AS21" s="1328"/>
      <c r="AT21" s="1328"/>
      <c r="AU21" s="1328"/>
      <c r="AV21" s="1328"/>
      <c r="AW21" s="1328"/>
      <c r="AX21" s="1328"/>
      <c r="AY21" s="1328"/>
      <c r="AZ21" s="1328"/>
      <c r="BA21" s="1328"/>
      <c r="BB21" s="1328"/>
    </row>
    <row s="1363" customFormat="1" customHeight="1" ht="14.625">
      <c r="B22" s="429"/>
      <c r="E22" s="638">
        <v>15</v>
      </c>
      <c r="AB22" s="316" t="s">
        <v>934</v>
      </c>
      <c r="AC22" s="199"/>
      <c r="AD22" s="199"/>
      <c r="AE22" s="199"/>
      <c r="AF22" s="199"/>
      <c r="AG22" s="199"/>
      <c r="AH22" s="199"/>
      <c r="AI22" s="199"/>
      <c r="AJ22" s="199"/>
      <c r="AK22" s="199"/>
      <c r="AL22" s="199"/>
      <c r="AM22" s="199"/>
      <c r="AN22" s="199"/>
      <c r="AO22" s="199"/>
      <c r="AP22" s="199"/>
      <c r="AQ22" s="199"/>
      <c r="AR22" s="199"/>
      <c r="AS22" s="199"/>
      <c r="AT22" s="199"/>
      <c r="AU22" s="199"/>
      <c r="AV22" s="199"/>
      <c r="AW22" s="199"/>
      <c r="AX22" s="199"/>
      <c r="AY22" s="199"/>
      <c r="AZ22" s="199"/>
      <c r="BA22" s="199"/>
      <c r="BB22" s="199"/>
      <c r="BC22" s="199"/>
      <c r="BF22" s="1026"/>
      <c r="BG22" s="1026"/>
      <c r="BH22" s="1026"/>
      <c r="BJ22" s="638"/>
      <c r="BK22" s="638"/>
    </row>
    <row s="1363" customFormat="1" customHeight="1" ht="10.96875">
      <c r="B23" s="429"/>
      <c r="E23" s="638">
        <v>11.25</v>
      </c>
      <c r="AB23" s="197"/>
      <c r="AC23" s="197"/>
      <c r="AD23" s="197"/>
      <c r="AE23" s="198"/>
      <c r="AF23" s="198"/>
      <c r="AG23" s="198"/>
      <c r="AH23" s="198"/>
      <c r="AI23" s="197"/>
      <c r="AJ23" s="197"/>
      <c r="AK23" s="197"/>
      <c r="AL23" s="197"/>
      <c r="AM23" s="197"/>
      <c r="AN23" s="197"/>
      <c r="AO23" s="197"/>
      <c r="AP23" s="197"/>
      <c r="AQ23" s="197"/>
      <c r="AR23" s="197"/>
      <c r="AS23" s="197"/>
      <c r="AT23" s="197"/>
      <c r="AU23" s="197"/>
      <c r="AV23" s="197"/>
      <c r="AW23" s="197"/>
      <c r="AX23" s="197"/>
      <c r="AY23" s="197"/>
      <c r="AZ23" s="197"/>
      <c r="BA23" s="197"/>
      <c r="BB23" s="197"/>
      <c r="BC23" s="197"/>
      <c r="BF23" s="1026"/>
      <c r="BG23" s="1026"/>
      <c r="BH23" s="1026"/>
      <c r="BJ23" s="638"/>
      <c r="BK23" s="638"/>
    </row>
    <row s="1189" customFormat="1" customHeight="1" ht="14.625">
      <c r="B24" s="431"/>
      <c r="E24" s="635">
        <v>15</v>
      </c>
      <c r="AB24" s="1577" t="s">
        <v>22</v>
      </c>
      <c r="AC24" s="1577" t="s">
        <v>380</v>
      </c>
      <c r="AD24" s="1577" t="s">
        <v>381</v>
      </c>
      <c r="AE24" s="355" t="str">
        <f>god-2&amp;" год"</f>
        <v>2024 год</v>
      </c>
      <c r="AF24" s="1130" t="str">
        <f>god-2&amp;" год"</f>
        <v>2024 год</v>
      </c>
      <c r="AG24" s="355" t="str">
        <f>god-2&amp;" год"</f>
        <v>2024 год</v>
      </c>
      <c r="AH24" s="90" t="str">
        <f>god-1&amp;" год"</f>
        <v>2025 год</v>
      </c>
      <c r="AI24" s="1127" t="str">
        <f>god&amp;" год"</f>
        <v>2026 год</v>
      </c>
      <c r="AJ24" s="1127" t="str">
        <f>god+1&amp;" год"</f>
        <v>2027 год</v>
      </c>
      <c r="AK24" s="1127" t="str">
        <f>god+2&amp;" год"</f>
        <v>2028 год</v>
      </c>
      <c r="AL24" s="1127" t="str">
        <f>god+3&amp;" год"</f>
        <v>2029 год</v>
      </c>
      <c r="AM24" s="1127" t="str">
        <f>god+4&amp;" год"</f>
        <v>2030 год</v>
      </c>
      <c r="AN24" s="1127" t="str">
        <f>god+5&amp;" год"</f>
        <v>2031 год</v>
      </c>
      <c r="AO24" s="1127" t="str">
        <f>god+6&amp;" год"</f>
        <v>2032 год</v>
      </c>
      <c r="AP24" s="1127" t="str">
        <f>god+7&amp;" год"</f>
        <v>2033 год</v>
      </c>
      <c r="AQ24" s="1127" t="str">
        <f>god+8&amp;" год"</f>
        <v>2034 год</v>
      </c>
      <c r="AR24" s="1127" t="str">
        <f>god+9&amp;" год"</f>
        <v>2035 год</v>
      </c>
      <c r="AS24" s="88" t="str">
        <f>god&amp;" год"</f>
        <v>2026 год</v>
      </c>
      <c r="AT24" s="88" t="str">
        <f>god+1&amp;" год"</f>
        <v>2027 год</v>
      </c>
      <c r="AU24" s="88" t="str">
        <f>god+2&amp;" год"</f>
        <v>2028 год</v>
      </c>
      <c r="AV24" s="88" t="str">
        <f>god+3&amp;" год"</f>
        <v>2029 год</v>
      </c>
      <c r="AW24" s="88" t="str">
        <f>god+4&amp;" год"</f>
        <v>2030 год</v>
      </c>
      <c r="AX24" s="88" t="str">
        <f>god+5&amp;" год"</f>
        <v>2031 год</v>
      </c>
      <c r="AY24" s="88" t="str">
        <f>god+6&amp;" год"</f>
        <v>2032 год</v>
      </c>
      <c r="AZ24" s="88" t="str">
        <f>god+7&amp;" год"</f>
        <v>2033 год</v>
      </c>
      <c r="BA24" s="88" t="str">
        <f>god+8&amp;" год"</f>
        <v>2034 год</v>
      </c>
      <c r="BB24" s="88" t="str">
        <f>god+9&amp;" год"</f>
        <v>2035 год</v>
      </c>
      <c r="BC24" s="1554" t="s">
        <v>652</v>
      </c>
      <c r="BF24" s="1021"/>
      <c r="BG24" s="1021"/>
      <c r="BH24" s="1021"/>
      <c r="BJ24" s="635"/>
      <c r="BK24" s="635"/>
    </row>
    <row s="1189" customFormat="1" customHeight="1" ht="48.75">
      <c r="B25" s="431"/>
      <c r="E25" s="635">
        <v>50</v>
      </c>
      <c r="F25" s="140" t="s">
        <v>383</v>
      </c>
      <c r="AB25" s="1577"/>
      <c r="AC25" s="1577"/>
      <c r="AD25" s="1577"/>
      <c r="AE25" s="88" t="s">
        <v>373</v>
      </c>
      <c r="AF25" s="1127" t="s">
        <v>555</v>
      </c>
      <c r="AG25" s="88" t="s">
        <v>556</v>
      </c>
      <c r="AH25" s="88" t="s">
        <v>373</v>
      </c>
      <c r="AI25" s="1131" t="s">
        <v>374</v>
      </c>
      <c r="AJ25" s="1131" t="s">
        <v>374</v>
      </c>
      <c r="AK25" s="1131" t="s">
        <v>374</v>
      </c>
      <c r="AL25" s="1131" t="s">
        <v>374</v>
      </c>
      <c r="AM25" s="1131" t="s">
        <v>374</v>
      </c>
      <c r="AN25" s="1131" t="s">
        <v>374</v>
      </c>
      <c r="AO25" s="1131" t="s">
        <v>374</v>
      </c>
      <c r="AP25" s="1131" t="s">
        <v>374</v>
      </c>
      <c r="AQ25" s="1131" t="s">
        <v>374</v>
      </c>
      <c r="AR25" s="1131" t="s">
        <v>374</v>
      </c>
      <c r="AS25" s="356" t="s">
        <v>373</v>
      </c>
      <c r="AT25" s="356" t="s">
        <v>373</v>
      </c>
      <c r="AU25" s="356" t="s">
        <v>373</v>
      </c>
      <c r="AV25" s="356" t="s">
        <v>373</v>
      </c>
      <c r="AW25" s="356" t="s">
        <v>373</v>
      </c>
      <c r="AX25" s="356" t="s">
        <v>373</v>
      </c>
      <c r="AY25" s="356" t="s">
        <v>373</v>
      </c>
      <c r="AZ25" s="356" t="s">
        <v>373</v>
      </c>
      <c r="BA25" s="356" t="s">
        <v>373</v>
      </c>
      <c r="BB25" s="356" t="s">
        <v>373</v>
      </c>
      <c r="BC25" s="1554"/>
      <c r="BF25" s="1021"/>
      <c r="BG25" s="1021"/>
      <c r="BH25" s="1021"/>
      <c r="BJ25" s="635"/>
      <c r="BK25" s="635"/>
    </row>
    <row s="1656" customFormat="1" customHeight="1" ht="11.25" hidden="1">
      <c r="A26" s="502"/>
      <c r="B26" s="664"/>
      <c r="C26" s="502"/>
      <c r="D26" s="502"/>
      <c r="E26" s="665">
        <v>0</v>
      </c>
      <c r="F26" s="485"/>
      <c r="G26" s="502"/>
      <c r="H26" s="502"/>
      <c r="I26" s="502"/>
      <c r="J26" s="502"/>
      <c r="K26" s="502"/>
      <c r="L26" s="502"/>
      <c r="M26" s="502"/>
      <c r="N26" s="502"/>
      <c r="O26" s="502"/>
      <c r="P26" s="502"/>
      <c r="Q26" s="502"/>
      <c r="R26" s="502"/>
      <c r="S26" s="502"/>
      <c r="T26" s="502"/>
      <c r="U26" s="502"/>
      <c r="V26" s="502"/>
      <c r="W26" s="502"/>
      <c r="X26" s="502"/>
      <c r="Y26" s="502"/>
      <c r="Z26" s="502"/>
      <c r="AA26" s="502"/>
      <c r="AC26" s="96"/>
      <c r="AD26" s="96"/>
      <c r="AE26" s="96"/>
      <c r="AF26" s="96"/>
      <c r="AI26" s="1656"/>
      <c r="AJ26" s="1656"/>
      <c r="AK26" s="1656"/>
      <c r="AL26" s="1656"/>
      <c r="AM26" s="1656"/>
      <c r="AN26" s="1656"/>
      <c r="AO26" s="1656"/>
      <c r="AP26" s="1656"/>
      <c r="AQ26" s="97"/>
      <c r="AR26" s="1656"/>
      <c r="AS26" s="1656"/>
      <c r="AT26" s="1656"/>
      <c r="AU26" s="1656"/>
      <c r="AV26" s="1656"/>
      <c r="AW26" s="1656"/>
      <c r="AX26" s="1656"/>
      <c r="AY26" s="1656"/>
      <c r="AZ26" s="1656"/>
      <c r="BA26" s="1656"/>
      <c r="BB26" s="1656"/>
      <c r="BF26" s="1012"/>
      <c r="BG26" s="1012"/>
      <c r="BH26" s="1012"/>
      <c r="BJ26" s="629"/>
      <c r="BK26" s="629"/>
    </row>
    <row s="1189" customFormat="1" customHeight="1" ht="14.625" hidden="1">
      <c r="A27" s="1189"/>
      <c r="B27" s="431"/>
      <c r="C27" s="1189"/>
      <c r="D27" s="1189"/>
      <c r="E27" s="635">
        <v>15</v>
      </c>
      <c r="F27" s="345" cm="1" t="str">
        <f t="array" ref="F27:F27">X27</f>
        <v>0</v>
      </c>
      <c r="G27" s="142"/>
      <c r="H27" s="142"/>
      <c r="I27" s="1189"/>
      <c r="J27" s="1189"/>
      <c r="K27" s="1189"/>
      <c r="L27" s="1189"/>
      <c r="M27" s="1189"/>
      <c r="N27" s="1189"/>
      <c r="O27" s="1189"/>
      <c r="P27" s="1189"/>
      <c r="Q27" s="1189"/>
      <c r="R27" s="1189"/>
      <c r="S27" s="1189"/>
      <c r="T27" s="468">
        <f>X27&gt;0</f>
        <v>0</v>
      </c>
      <c r="U27" s="1189"/>
      <c r="V27" s="140" t="s">
        <v>279</v>
      </c>
      <c r="W27" s="1189"/>
      <c r="X27" s="1519">
        <v>0</v>
      </c>
      <c r="Y27" s="1189"/>
      <c r="Z27" s="1541"/>
      <c r="AA27" s="1189"/>
      <c r="AB27" s="179" cm="1" t="str">
        <f t="array" ref="AB27:AB27">INDEX('Общие сведения'!$AG$197:$AG$254,MATCH($X27,'Общие сведения'!$Z$197:$Z$254,0))</f>
        <v>Тариф 0 () - </v>
      </c>
      <c r="AC27" s="176"/>
      <c r="AD27" s="170"/>
      <c r="AE27" s="170"/>
      <c r="AF27" s="170"/>
      <c r="AG27" s="170"/>
      <c r="AH27" s="170"/>
      <c r="AI27" s="170"/>
      <c r="AJ27" s="170"/>
      <c r="AK27" s="170"/>
      <c r="AL27" s="170"/>
      <c r="AM27" s="170"/>
      <c r="AN27" s="170"/>
      <c r="AO27" s="170"/>
      <c r="AP27" s="170"/>
      <c r="AQ27" s="170"/>
      <c r="AR27" s="170"/>
      <c r="AS27" s="170"/>
      <c r="AT27" s="170"/>
      <c r="AU27" s="170"/>
      <c r="AV27" s="170"/>
      <c r="AW27" s="170"/>
      <c r="AX27" s="170"/>
      <c r="AY27" s="170"/>
      <c r="AZ27" s="170"/>
      <c r="BA27" s="170"/>
      <c r="BB27" s="170"/>
      <c r="BC27" s="170"/>
      <c r="BD27" s="1189"/>
      <c r="BE27" s="1189"/>
      <c r="BF27" s="1021"/>
      <c r="BG27" s="1021"/>
      <c r="BH27" s="1021"/>
      <c r="BJ27" s="635"/>
      <c r="BK27" s="635"/>
    </row>
    <row s="1541" customFormat="1" customHeight="1" ht="14.625" hidden="1">
      <c r="A28" s="1541"/>
      <c r="B28" s="431"/>
      <c r="C28" s="1541"/>
      <c r="D28" s="486"/>
      <c r="E28" s="263">
        <v>15</v>
      </c>
      <c r="F28" s="50" cm="1" t="str">
        <f t="array" ref="F28:F28">OFFSET(E28,-1,1)</f>
        <v>0</v>
      </c>
      <c r="G28" s="1541"/>
      <c r="H28" s="142" cm="1" t="str">
        <f t="array" ref="H28:H28">AC28</f>
        <v>Всего по тарифу</v>
      </c>
      <c r="I28" s="1541"/>
      <c r="J28" s="1541"/>
      <c r="K28" s="486" t="str">
        <f>F28&amp;"komm"</f>
        <v>0komm</v>
      </c>
      <c r="L28" s="924" cm="1" t="str">
        <f t="array" ref="L28:L28">BC28</f>
        <v>0</v>
      </c>
      <c r="M28" s="1541"/>
      <c r="N28" s="1541"/>
      <c r="O28" s="1541"/>
      <c r="P28" s="1541"/>
      <c r="Q28" s="1541"/>
      <c r="R28" s="1541"/>
      <c r="S28" s="1541"/>
      <c r="T28" s="468" cm="1" t="str">
        <f t="array" ref="T28:T28">T27</f>
        <v>false</v>
      </c>
      <c r="U28" s="1541"/>
      <c r="V28" s="1541"/>
      <c r="W28" s="1541"/>
      <c r="X28" s="1519"/>
      <c r="Y28" s="1541"/>
      <c r="Z28" s="1541"/>
      <c r="AA28" s="1541"/>
      <c r="AB28" s="141"/>
      <c r="AC28" s="134" t="s">
        <v>935</v>
      </c>
      <c r="AD28" s="89" t="s">
        <v>936</v>
      </c>
      <c r="AE28" s="138">
        <f>AE29+AE34+AE41</f>
        <v>0</v>
      </c>
      <c r="AF28" s="138">
        <f>AF29+AF34+AF41</f>
        <v>0</v>
      </c>
      <c r="AG28" s="138">
        <f>AG29+AG34+AG41</f>
        <v>0</v>
      </c>
      <c r="AH28" s="138">
        <f>AH29+AH34+AH41</f>
        <v>0</v>
      </c>
      <c r="AI28" s="138">
        <f>AI29+AI34+AI41</f>
        <v>0</v>
      </c>
      <c r="AJ28" s="138">
        <f>AJ29+AJ34+AJ41</f>
        <v>0</v>
      </c>
      <c r="AK28" s="138">
        <f>AK29+AK34+AK41</f>
        <v>0</v>
      </c>
      <c r="AL28" s="138">
        <f>AL29+AL34+AL41</f>
        <v>0</v>
      </c>
      <c r="AM28" s="138">
        <f>AM29+AM34+AM41</f>
        <v>0</v>
      </c>
      <c r="AN28" s="138">
        <f>AN29+AN34+AN41</f>
        <v>0</v>
      </c>
      <c r="AO28" s="138">
        <f>AO29+AO34+AO41</f>
        <v>0</v>
      </c>
      <c r="AP28" s="138">
        <f>AP29+AP34+AP41</f>
        <v>0</v>
      </c>
      <c r="AQ28" s="138">
        <f>AQ29+AQ34+AQ41</f>
        <v>0</v>
      </c>
      <c r="AR28" s="138">
        <f>AR29+AR34+AR41</f>
        <v>0</v>
      </c>
      <c r="AS28" s="138">
        <f>AS29+AS34+AS41</f>
        <v>0</v>
      </c>
      <c r="AT28" s="138">
        <f>AT29+AT34+AT41</f>
        <v>0</v>
      </c>
      <c r="AU28" s="138">
        <f>AU29+AU34+AU41</f>
        <v>0</v>
      </c>
      <c r="AV28" s="138">
        <f>AV29+AV34+AV41</f>
        <v>0</v>
      </c>
      <c r="AW28" s="138">
        <f>AW29+AW34+AW41</f>
        <v>0</v>
      </c>
      <c r="AX28" s="138">
        <f>AX29+AX34+AX41</f>
        <v>0</v>
      </c>
      <c r="AY28" s="138">
        <f>AY29+AY34+AY41</f>
        <v>0</v>
      </c>
      <c r="AZ28" s="138">
        <f>AZ29+AZ34+AZ41</f>
        <v>0</v>
      </c>
      <c r="BA28" s="138">
        <f>BA29+BA34+BA41</f>
        <v>0</v>
      </c>
      <c r="BB28" s="138">
        <f>BB29+BB34+BB41</f>
        <v>0</v>
      </c>
      <c r="BC28" s="1928"/>
      <c r="BD28" s="1541"/>
      <c r="BE28" s="1541"/>
      <c r="BF28" s="1038" t="s">
        <v>937</v>
      </c>
      <c r="BG28" s="1038"/>
      <c r="BH28" s="1038"/>
      <c r="BJ28" s="263"/>
      <c r="BK28" s="263"/>
    </row>
    <row customHeight="1" ht="14.625" hidden="1">
      <c r="A29" s="1328"/>
      <c r="B29" s="2543"/>
      <c r="C29" s="1328"/>
      <c r="D29" s="923"/>
      <c r="E29" s="635">
        <v>15</v>
      </c>
      <c r="F29" s="1326" cm="1" t="str">
        <f t="array" ref="F29:F29">OFFSET(E29,-1,1)</f>
        <v>0</v>
      </c>
      <c r="G29" s="1328"/>
      <c r="H29" s="1328"/>
      <c r="I29" s="1336" t="s">
        <v>938</v>
      </c>
      <c r="J29" s="1328"/>
      <c r="K29" s="923"/>
      <c r="L29" s="924"/>
      <c r="M29" s="1328"/>
      <c r="N29" s="1328"/>
      <c r="O29" s="1328"/>
      <c r="P29" s="1328"/>
      <c r="Q29" s="1328"/>
      <c r="R29" s="1328"/>
      <c r="S29" s="1328"/>
      <c r="T29" s="1436" cm="1" t="str">
        <f t="array" ref="T29:T29">T28</f>
        <v>false</v>
      </c>
      <c r="U29" s="1328"/>
      <c r="V29" s="1328"/>
      <c r="W29" s="1328"/>
      <c r="X29" s="1324"/>
      <c r="Y29" s="1328"/>
      <c r="Z29" s="1324"/>
      <c r="AA29" s="1328"/>
      <c r="AB29" s="141" t="s">
        <v>290</v>
      </c>
      <c r="AC29" s="1098" t="s">
        <v>938</v>
      </c>
      <c r="AD29" s="1540" t="s">
        <v>936</v>
      </c>
      <c r="AE29" s="187">
        <f>SUMIF($AD30:$AD33,$AD29,AE30:AE33)</f>
        <v>0</v>
      </c>
      <c r="AF29" s="187">
        <f>SUMIF($AD30:$AD33,$AD29,AF30:AF33)</f>
        <v>0</v>
      </c>
      <c r="AG29" s="187">
        <f>SUMIF($AD30:$AD33,$AD29,AG30:AG33)</f>
        <v>0</v>
      </c>
      <c r="AH29" s="187">
        <f>SUMIF($AD30:$AD33,$AD29,AH30:AH33)</f>
        <v>0</v>
      </c>
      <c r="AI29" s="187">
        <f>SUMIF($AD30:$AD33,$AD29,AI30:AI33)</f>
        <v>0</v>
      </c>
      <c r="AJ29" s="187">
        <f>SUMIF($AD30:$AD33,$AD29,AJ30:AJ33)</f>
        <v>0</v>
      </c>
      <c r="AK29" s="187">
        <f>SUMIF($AD30:$AD33,$AD29,AK30:AK33)</f>
        <v>0</v>
      </c>
      <c r="AL29" s="187">
        <f>SUMIF($AD30:$AD33,$AD29,AL30:AL33)</f>
        <v>0</v>
      </c>
      <c r="AM29" s="187">
        <f>SUMIF($AD30:$AD33,$AD29,AM30:AM33)</f>
        <v>0</v>
      </c>
      <c r="AN29" s="187">
        <f>SUMIF($AD30:$AD33,$AD29,AN30:AN33)</f>
        <v>0</v>
      </c>
      <c r="AO29" s="187">
        <f>SUMIF($AD30:$AD33,$AD29,AO30:AO33)</f>
        <v>0</v>
      </c>
      <c r="AP29" s="187">
        <f>SUMIF($AD30:$AD33,$AD29,AP30:AP33)</f>
        <v>0</v>
      </c>
      <c r="AQ29" s="187">
        <f>SUMIF($AD30:$AD33,$AD29,AQ30:AQ33)</f>
        <v>0</v>
      </c>
      <c r="AR29" s="187">
        <f>SUMIF($AD30:$AD33,$AD29,AR30:AR33)</f>
        <v>0</v>
      </c>
      <c r="AS29" s="187">
        <f>SUMIF($AD30:$AD33,$AD29,AS30:AS33)</f>
        <v>0</v>
      </c>
      <c r="AT29" s="187">
        <f>SUMIF($AD30:$AD33,$AD29,AT30:AT33)</f>
        <v>0</v>
      </c>
      <c r="AU29" s="187">
        <f>SUMIF($AD30:$AD33,$AD29,AU30:AU33)</f>
        <v>0</v>
      </c>
      <c r="AV29" s="187">
        <f>SUMIF($AD30:$AD33,$AD29,AV30:AV33)</f>
        <v>0</v>
      </c>
      <c r="AW29" s="187">
        <f>SUMIF($AD30:$AD33,$AD29,AW30:AW33)</f>
        <v>0</v>
      </c>
      <c r="AX29" s="187">
        <f>SUMIF($AD30:$AD33,$AD29,AX30:AX33)</f>
        <v>0</v>
      </c>
      <c r="AY29" s="187">
        <f>SUMIF($AD30:$AD33,$AD29,AY30:AY33)</f>
        <v>0</v>
      </c>
      <c r="AZ29" s="187">
        <f>SUMIF($AD30:$AD33,$AD29,AZ30:AZ33)</f>
        <v>0</v>
      </c>
      <c r="BA29" s="187">
        <f>SUMIF($AD30:$AD33,$AD29,BA30:BA33)</f>
        <v>0</v>
      </c>
      <c r="BB29" s="187">
        <f>SUMIF($AD30:$AD33,$AD29,BB30:BB33)</f>
        <v>0</v>
      </c>
      <c r="BC29" s="2544"/>
      <c r="BD29" s="1328"/>
      <c r="BE29" s="1328"/>
      <c r="BF29" s="1054" t="s">
        <v>939</v>
      </c>
      <c r="BG29" s="1054"/>
      <c r="BH29" s="1054"/>
      <c r="BI29" s="1054"/>
      <c r="BJ29" s="1055"/>
      <c r="BK29" s="1055"/>
    </row>
    <row s="1541" customFormat="1" customHeight="1" ht="14.625" hidden="1">
      <c r="A30" s="1541"/>
      <c r="B30" s="431"/>
      <c r="C30" s="1541"/>
      <c r="D30" s="1541"/>
      <c r="E30" s="263">
        <v>15</v>
      </c>
      <c r="F30" s="50" cm="1" t="str">
        <f t="array" ref="F30:F30">OFFSET(E30,-1,1)</f>
        <v>0</v>
      </c>
      <c r="G30" s="142" t="s">
        <v>344</v>
      </c>
      <c r="H30" s="142" cm="1" t="str">
        <f t="array" ref="H30:H30">AC30</f>
        <v>0</v>
      </c>
      <c r="I30" s="1541"/>
      <c r="J30" s="1541"/>
      <c r="K30" s="1541"/>
      <c r="L30" s="1541"/>
      <c r="M30" s="1541"/>
      <c r="N30" s="1541"/>
      <c r="O30" s="1541"/>
      <c r="P30" s="1541"/>
      <c r="Q30" s="1541"/>
      <c r="R30" s="1541"/>
      <c r="S30" s="1541"/>
      <c r="T30" s="468">
        <f>AND(F30&gt;0,Y30&gt;0)</f>
        <v>0</v>
      </c>
      <c r="U30" s="1541"/>
      <c r="V30" s="1541"/>
      <c r="W30" s="764" t="s">
        <v>173</v>
      </c>
      <c r="X30" s="1519"/>
      <c r="Y30" s="1541">
        <v>0</v>
      </c>
      <c r="Z30" s="1541"/>
      <c r="AA30" s="668" t="s">
        <v>174</v>
      </c>
      <c r="AB30" s="85" t="str">
        <f>"1."&amp;Y30</f>
        <v>1.0</v>
      </c>
      <c r="AC30" s="2546"/>
      <c r="AD30" s="89" t="s">
        <v>936</v>
      </c>
      <c r="AE30" s="1817"/>
      <c r="AF30" s="1817"/>
      <c r="AG30" s="1817"/>
      <c r="AH30" s="1817"/>
      <c r="AI30" s="1817"/>
      <c r="AJ30" s="1817"/>
      <c r="AK30" s="1817"/>
      <c r="AL30" s="1817"/>
      <c r="AM30" s="1817"/>
      <c r="AN30" s="1817"/>
      <c r="AO30" s="1817"/>
      <c r="AP30" s="1817"/>
      <c r="AQ30" s="1817"/>
      <c r="AR30" s="1817"/>
      <c r="AS30" s="1817"/>
      <c r="AT30" s="1817"/>
      <c r="AU30" s="1817"/>
      <c r="AV30" s="1817"/>
      <c r="AW30" s="1817"/>
      <c r="AX30" s="1817"/>
      <c r="AY30" s="1817"/>
      <c r="AZ30" s="1817"/>
      <c r="BA30" s="1817"/>
      <c r="BB30" s="1817"/>
      <c r="BC30" s="1928"/>
      <c r="BD30" s="1541"/>
      <c r="BE30" s="1541"/>
      <c r="BF30" s="1038" t="s">
        <v>940</v>
      </c>
      <c r="BG30" s="1038" t="s">
        <v>941</v>
      </c>
      <c r="BH30" s="1038" cm="1" t="str">
        <f t="array" ref="BH30:BH30">AC30</f>
        <v>0</v>
      </c>
      <c r="BJ30" s="263"/>
      <c r="BK30" s="263" t="b">
        <v>1</v>
      </c>
    </row>
    <row customHeight="1" ht="14.625" hidden="1">
      <c r="A31" s="1328"/>
      <c r="B31" s="2543"/>
      <c r="C31" s="1328"/>
      <c r="D31" s="1328"/>
      <c r="E31" s="635">
        <v>15</v>
      </c>
      <c r="F31" s="1326" cm="1" t="str">
        <f t="array" ref="F31:F31">OFFSET(E31,-1,1)</f>
        <v>0</v>
      </c>
      <c r="G31" s="1328"/>
      <c r="H31" s="1328"/>
      <c r="I31" s="1328"/>
      <c r="J31" s="1328"/>
      <c r="K31" s="1328"/>
      <c r="L31" s="1328"/>
      <c r="M31" s="1328"/>
      <c r="N31" s="1328"/>
      <c r="O31" s="1328"/>
      <c r="P31" s="1328"/>
      <c r="Q31" s="1328"/>
      <c r="R31" s="1328"/>
      <c r="S31" s="1328"/>
      <c r="T31" s="1436" cm="1" t="str">
        <f t="array" ref="T31:T31">T30</f>
        <v>false</v>
      </c>
      <c r="U31" s="1328"/>
      <c r="V31" s="1328"/>
      <c r="W31" s="856"/>
      <c r="X31" s="1324"/>
      <c r="Y31" s="1519"/>
      <c r="Z31" s="1324"/>
      <c r="AA31" s="2547"/>
      <c r="AB31" s="2548" t="str">
        <f>AB30&amp;".1"</f>
        <v>1.0.1</v>
      </c>
      <c r="AC31" s="327" t="s">
        <v>942</v>
      </c>
      <c r="AD31" s="1554" t="s">
        <v>943</v>
      </c>
      <c r="AE31" s="2549"/>
      <c r="AF31" s="2549"/>
      <c r="AG31" s="2549"/>
      <c r="AH31" s="2549"/>
      <c r="AI31" s="2549"/>
      <c r="AJ31" s="2549"/>
      <c r="AK31" s="2549"/>
      <c r="AL31" s="2549"/>
      <c r="AM31" s="2549"/>
      <c r="AN31" s="2549"/>
      <c r="AO31" s="2549"/>
      <c r="AP31" s="2549"/>
      <c r="AQ31" s="2549"/>
      <c r="AR31" s="2549"/>
      <c r="AS31" s="2549"/>
      <c r="AT31" s="2549"/>
      <c r="AU31" s="2549"/>
      <c r="AV31" s="2549"/>
      <c r="AW31" s="2549"/>
      <c r="AX31" s="2549"/>
      <c r="AY31" s="2549"/>
      <c r="AZ31" s="2549"/>
      <c r="BA31" s="2549"/>
      <c r="BB31" s="2549"/>
      <c r="BC31" s="2550"/>
      <c r="BD31" s="1328"/>
      <c r="BE31" s="1328"/>
      <c r="BF31" s="1054" t="s">
        <v>944</v>
      </c>
      <c r="BG31" s="1054" t="s">
        <v>941</v>
      </c>
      <c r="BH31" s="1054" cm="1" t="str">
        <f t="array" ref="BH31:BH31">BH30</f>
        <v>0</v>
      </c>
      <c r="BI31" s="1054"/>
      <c r="BJ31" s="1055"/>
      <c r="BK31" s="1055"/>
    </row>
    <row customHeight="1" ht="14.625" hidden="1">
      <c r="A32" s="1328"/>
      <c r="B32" s="2543"/>
      <c r="C32" s="1328"/>
      <c r="D32" s="1328"/>
      <c r="E32" s="635">
        <v>15</v>
      </c>
      <c r="F32" s="1326" cm="1" t="str">
        <f t="array" ref="F32:F32">OFFSET(E32,-1,1)</f>
        <v>0</v>
      </c>
      <c r="G32" s="1328"/>
      <c r="H32" s="1328"/>
      <c r="I32" s="1328"/>
      <c r="J32" s="1328"/>
      <c r="K32" s="1328"/>
      <c r="L32" s="1328"/>
      <c r="M32" s="1328"/>
      <c r="N32" s="1328"/>
      <c r="O32" s="1328"/>
      <c r="P32" s="1328"/>
      <c r="Q32" s="1328"/>
      <c r="R32" s="1328"/>
      <c r="S32" s="1328"/>
      <c r="T32" s="1436" cm="1" t="str">
        <f t="array" ref="T32:T32">T31</f>
        <v>false</v>
      </c>
      <c r="U32" s="1328"/>
      <c r="V32" s="1328"/>
      <c r="W32" s="856"/>
      <c r="X32" s="1324"/>
      <c r="Y32" s="1519"/>
      <c r="Z32" s="1324"/>
      <c r="AA32" s="2547"/>
      <c r="AB32" s="2548" t="str">
        <f>AB30&amp;".2"</f>
        <v>1.0.2</v>
      </c>
      <c r="AC32" s="327" t="s">
        <v>945</v>
      </c>
      <c r="AD32" s="1554" t="s">
        <v>946</v>
      </c>
      <c r="AE32" s="2549"/>
      <c r="AF32" s="2549"/>
      <c r="AG32" s="2549"/>
      <c r="AH32" s="2549"/>
      <c r="AI32" s="2549"/>
      <c r="AJ32" s="2549"/>
      <c r="AK32" s="2549"/>
      <c r="AL32" s="2549"/>
      <c r="AM32" s="2549"/>
      <c r="AN32" s="2549"/>
      <c r="AO32" s="2549"/>
      <c r="AP32" s="2549"/>
      <c r="AQ32" s="2549"/>
      <c r="AR32" s="2549"/>
      <c r="AS32" s="2549"/>
      <c r="AT32" s="2549"/>
      <c r="AU32" s="2549"/>
      <c r="AV32" s="2549"/>
      <c r="AW32" s="2549"/>
      <c r="AX32" s="2549"/>
      <c r="AY32" s="2549"/>
      <c r="AZ32" s="2549"/>
      <c r="BA32" s="2549"/>
      <c r="BB32" s="2549"/>
      <c r="BC32" s="2550"/>
      <c r="BD32" s="1328"/>
      <c r="BE32" s="1328"/>
      <c r="BF32" s="1054" t="s">
        <v>947</v>
      </c>
      <c r="BG32" s="1054" t="s">
        <v>941</v>
      </c>
      <c r="BH32" s="1054" cm="1" t="str">
        <f t="array" ref="BH32:BH32">BH31</f>
        <v>0</v>
      </c>
      <c r="BI32" s="1054"/>
      <c r="BJ32" s="1055"/>
      <c r="BK32" s="1055"/>
    </row>
    <row customHeight="1" ht="14.625" hidden="1">
      <c r="A33" s="1328"/>
      <c r="B33" s="2551"/>
      <c r="C33" s="1328"/>
      <c r="D33" s="1328"/>
      <c r="E33" s="635">
        <v>15</v>
      </c>
      <c r="F33" s="1326" cm="1" t="str">
        <f t="array" ref="F33:F33">OFFSET(E33,-1,1)</f>
        <v>0</v>
      </c>
      <c r="G33" s="1328"/>
      <c r="H33" s="1363" t="str">
        <f>"!== 'Всего по тарифу'"</f>
        <v>!== 'Всего по тарифу'</v>
      </c>
      <c r="I33" s="1328"/>
      <c r="J33" s="1328"/>
      <c r="K33" s="1328"/>
      <c r="L33" s="1328"/>
      <c r="M33" s="1328"/>
      <c r="N33" s="1328"/>
      <c r="O33" s="1328"/>
      <c r="P33" s="1328"/>
      <c r="Q33" s="1328"/>
      <c r="R33" s="1328"/>
      <c r="S33" s="1328"/>
      <c r="T33" s="1436">
        <f>F33&gt;0</f>
        <v>0</v>
      </c>
      <c r="U33" s="1328"/>
      <c r="V33" s="1328"/>
      <c r="W33" s="856" t="s">
        <v>410</v>
      </c>
      <c r="X33" s="1324"/>
      <c r="Y33" s="1328"/>
      <c r="Z33" s="1324"/>
      <c r="AA33" s="1328"/>
      <c r="AB33" s="2552"/>
      <c r="AC33" s="2553" t="s">
        <v>177</v>
      </c>
      <c r="AD33" s="2554"/>
      <c r="AE33" s="2555"/>
      <c r="AF33" s="2556"/>
      <c r="AG33" s="2557"/>
      <c r="AH33" s="2558"/>
      <c r="AI33" s="2559"/>
      <c r="AJ33" s="2560"/>
      <c r="AK33" s="2561"/>
      <c r="AL33" s="2562"/>
      <c r="AM33" s="2563"/>
      <c r="AN33" s="2564"/>
      <c r="AO33" s="2565"/>
      <c r="AP33" s="2566"/>
      <c r="AQ33" s="2567"/>
      <c r="AR33" s="2568"/>
      <c r="AS33" s="2569"/>
      <c r="AT33" s="2570"/>
      <c r="AU33" s="2571"/>
      <c r="AV33" s="2572"/>
      <c r="AW33" s="2573"/>
      <c r="AX33" s="2574"/>
      <c r="AY33" s="2575"/>
      <c r="AZ33" s="2576"/>
      <c r="BA33" s="2577"/>
      <c r="BB33" s="2578"/>
      <c r="BC33" s="2579"/>
      <c r="BD33" s="1328"/>
      <c r="BE33" s="1328"/>
      <c r="BF33" s="1026"/>
      <c r="BG33" s="1026"/>
      <c r="BH33" s="1026"/>
      <c r="BI33" s="1026"/>
      <c r="BJ33" s="1362" t="s">
        <v>941</v>
      </c>
      <c r="BK33" s="1362"/>
    </row>
    <row customHeight="1" ht="14.625" hidden="1">
      <c r="A34" s="1328"/>
      <c r="B34" s="2551"/>
      <c r="C34" s="1328"/>
      <c r="D34" s="1328"/>
      <c r="E34" s="635">
        <v>15</v>
      </c>
      <c r="F34" s="1326" cm="1" t="str">
        <f t="array" ref="F34:F34">OFFSET(E34,-1,1)</f>
        <v>0</v>
      </c>
      <c r="G34" s="1328"/>
      <c r="H34" s="1328"/>
      <c r="I34" s="1336" t="s">
        <v>948</v>
      </c>
      <c r="J34" s="1328"/>
      <c r="K34" s="1328"/>
      <c r="L34" s="1328"/>
      <c r="M34" s="1328"/>
      <c r="N34" s="1328"/>
      <c r="O34" s="1328"/>
      <c r="P34" s="1328"/>
      <c r="Q34" s="1328"/>
      <c r="R34" s="1328"/>
      <c r="S34" s="1328"/>
      <c r="T34" s="1436" cm="1" t="str">
        <f t="array" ref="T34:T34">T33</f>
        <v>false</v>
      </c>
      <c r="U34" s="1328"/>
      <c r="V34" s="1328"/>
      <c r="W34" s="856"/>
      <c r="X34" s="1324"/>
      <c r="Y34" s="1328"/>
      <c r="Z34" s="1324"/>
      <c r="AA34" s="1328"/>
      <c r="AB34" s="141" t="s">
        <v>299</v>
      </c>
      <c r="AC34" s="1098" t="s">
        <v>948</v>
      </c>
      <c r="AD34" s="1540" t="s">
        <v>936</v>
      </c>
      <c r="AE34" s="187">
        <f>AE35+AE36</f>
        <v>0</v>
      </c>
      <c r="AF34" s="187">
        <f>AF35+AF36</f>
        <v>0</v>
      </c>
      <c r="AG34" s="187">
        <f>AG35+AG36</f>
        <v>0</v>
      </c>
      <c r="AH34" s="187">
        <f>AH35+AH36</f>
        <v>0</v>
      </c>
      <c r="AI34" s="187">
        <f>AI35+AI36</f>
        <v>0</v>
      </c>
      <c r="AJ34" s="187">
        <f>AJ35+AJ36</f>
        <v>0</v>
      </c>
      <c r="AK34" s="187">
        <f>AK35+AK36</f>
        <v>0</v>
      </c>
      <c r="AL34" s="187">
        <f>AL35+AL36</f>
        <v>0</v>
      </c>
      <c r="AM34" s="187">
        <f>AM35+AM36</f>
        <v>0</v>
      </c>
      <c r="AN34" s="187">
        <f>AN35+AN36</f>
        <v>0</v>
      </c>
      <c r="AO34" s="187">
        <f>AO35+AO36</f>
        <v>0</v>
      </c>
      <c r="AP34" s="187">
        <f>AP35+AP36</f>
        <v>0</v>
      </c>
      <c r="AQ34" s="187">
        <f>AQ35+AQ36</f>
        <v>0</v>
      </c>
      <c r="AR34" s="187">
        <f>AR35+AR36</f>
        <v>0</v>
      </c>
      <c r="AS34" s="187">
        <f>AS35+AS36</f>
        <v>0</v>
      </c>
      <c r="AT34" s="187">
        <f>AT35+AT36</f>
        <v>0</v>
      </c>
      <c r="AU34" s="187">
        <f>AU35+AU36</f>
        <v>0</v>
      </c>
      <c r="AV34" s="187">
        <f>AV35+AV36</f>
        <v>0</v>
      </c>
      <c r="AW34" s="187">
        <f>AW35+AW36</f>
        <v>0</v>
      </c>
      <c r="AX34" s="187">
        <f>AX35+AX36</f>
        <v>0</v>
      </c>
      <c r="AY34" s="187">
        <f>AY35+AY36</f>
        <v>0</v>
      </c>
      <c r="AZ34" s="187">
        <f>AZ35+AZ36</f>
        <v>0</v>
      </c>
      <c r="BA34" s="187">
        <f>BA35+BA36</f>
        <v>0</v>
      </c>
      <c r="BB34" s="187">
        <f>BB35+BB36</f>
        <v>0</v>
      </c>
      <c r="BC34" s="2544"/>
      <c r="BD34" s="1328"/>
      <c r="BE34" s="1328"/>
      <c r="BF34" s="1026" t="s">
        <v>949</v>
      </c>
      <c r="BG34" s="1026"/>
      <c r="BH34" s="1026"/>
      <c r="BI34" s="1026"/>
      <c r="BJ34" s="1362"/>
      <c r="BK34" s="1362"/>
    </row>
    <row customHeight="1" ht="32.90625" hidden="1">
      <c r="A35" s="1328"/>
      <c r="B35" s="2551"/>
      <c r="C35" s="1328"/>
      <c r="D35" s="1328"/>
      <c r="E35" s="635">
        <v>33.75</v>
      </c>
      <c r="F35" s="1326" cm="1" t="str">
        <f t="array" ref="F35:F35">OFFSET(E35,-1,1)</f>
        <v>0</v>
      </c>
      <c r="G35" s="1328"/>
      <c r="H35" s="1328"/>
      <c r="I35" s="1328"/>
      <c r="J35" s="1328"/>
      <c r="K35" s="1328"/>
      <c r="L35" s="1328"/>
      <c r="M35" s="1328"/>
      <c r="N35" s="1328"/>
      <c r="O35" s="1328"/>
      <c r="P35" s="1328"/>
      <c r="Q35" s="1328"/>
      <c r="R35" s="1328"/>
      <c r="S35" s="1328"/>
      <c r="T35" s="1436" cm="1" t="str">
        <f t="array" ref="T35:T35">T34</f>
        <v>false</v>
      </c>
      <c r="U35" s="1328"/>
      <c r="V35" s="1328"/>
      <c r="W35" s="856"/>
      <c r="X35" s="1324"/>
      <c r="Y35" s="1328"/>
      <c r="Z35" s="1324"/>
      <c r="AA35" s="1328"/>
      <c r="AB35" s="141" t="s">
        <v>660</v>
      </c>
      <c r="AC35" s="1098" t="s">
        <v>950</v>
      </c>
      <c r="AD35" s="1540" t="s">
        <v>936</v>
      </c>
      <c r="AE35" s="2549"/>
      <c r="AF35" s="2549"/>
      <c r="AG35" s="2549"/>
      <c r="AH35" s="2549"/>
      <c r="AI35" s="2549"/>
      <c r="AJ35" s="2549"/>
      <c r="AK35" s="2549"/>
      <c r="AL35" s="2549"/>
      <c r="AM35" s="2549"/>
      <c r="AN35" s="2549"/>
      <c r="AO35" s="2549"/>
      <c r="AP35" s="2549"/>
      <c r="AQ35" s="2549"/>
      <c r="AR35" s="2549"/>
      <c r="AS35" s="2549"/>
      <c r="AT35" s="2549"/>
      <c r="AU35" s="2549"/>
      <c r="AV35" s="2549"/>
      <c r="AW35" s="2549"/>
      <c r="AX35" s="2549"/>
      <c r="AY35" s="2549"/>
      <c r="AZ35" s="2549"/>
      <c r="BA35" s="2549"/>
      <c r="BB35" s="2549"/>
      <c r="BC35" s="2544"/>
      <c r="BD35" s="1328"/>
      <c r="BE35" s="1328"/>
      <c r="BF35" s="1026" t="s">
        <v>951</v>
      </c>
      <c r="BG35" s="1026"/>
      <c r="BH35" s="1026"/>
      <c r="BI35" s="1026"/>
      <c r="BJ35" s="1362"/>
      <c r="BK35" s="1362"/>
    </row>
    <row customHeight="1" ht="43.875" hidden="1">
      <c r="A36" s="1328"/>
      <c r="B36" s="2551"/>
      <c r="C36" s="1328"/>
      <c r="D36" s="1328"/>
      <c r="E36" s="635">
        <v>45</v>
      </c>
      <c r="F36" s="1326" cm="1" t="str">
        <f t="array" ref="F36:F36">OFFSET(E36,-1,1)</f>
        <v>0</v>
      </c>
      <c r="G36" s="1328"/>
      <c r="H36" s="1328"/>
      <c r="I36" s="1328"/>
      <c r="J36" s="1328"/>
      <c r="K36" s="1328"/>
      <c r="L36" s="1328"/>
      <c r="M36" s="1328"/>
      <c r="N36" s="1328"/>
      <c r="O36" s="1328"/>
      <c r="P36" s="1328"/>
      <c r="Q36" s="1328"/>
      <c r="R36" s="1328"/>
      <c r="S36" s="1328"/>
      <c r="T36" s="1436" cm="1" t="str">
        <f t="array" ref="T36:T36">T35</f>
        <v>false</v>
      </c>
      <c r="U36" s="1328"/>
      <c r="V36" s="1328"/>
      <c r="W36" s="856"/>
      <c r="X36" s="1324"/>
      <c r="Y36" s="1328"/>
      <c r="Z36" s="1324"/>
      <c r="AA36" s="1328"/>
      <c r="AB36" s="141" t="s">
        <v>664</v>
      </c>
      <c r="AC36" s="1098" t="s">
        <v>952</v>
      </c>
      <c r="AD36" s="1540" t="s">
        <v>936</v>
      </c>
      <c r="AE36" s="187">
        <f>SUMIF($AD37:$AD40,$AD36,AE37:AE40)</f>
        <v>0</v>
      </c>
      <c r="AF36" s="187">
        <f>SUMIF($AD37:$AD40,$AD36,AF37:AF40)</f>
        <v>0</v>
      </c>
      <c r="AG36" s="187">
        <f>SUMIF($AD37:$AD40,$AD36,AG37:AG40)</f>
        <v>0</v>
      </c>
      <c r="AH36" s="187">
        <f>SUMIF($AD37:$AD40,$AD36,AH37:AH40)</f>
        <v>0</v>
      </c>
      <c r="AI36" s="187">
        <f>SUMIF($AD37:$AD40,$AD36,AI37:AI40)</f>
        <v>0</v>
      </c>
      <c r="AJ36" s="187">
        <f>SUMIF($AD37:$AD40,$AD36,AJ37:AJ40)</f>
        <v>0</v>
      </c>
      <c r="AK36" s="187">
        <f>SUMIF($AD37:$AD40,$AD36,AK37:AK40)</f>
        <v>0</v>
      </c>
      <c r="AL36" s="187">
        <f>SUMIF($AD37:$AD40,$AD36,AL37:AL40)</f>
        <v>0</v>
      </c>
      <c r="AM36" s="187">
        <f>SUMIF($AD37:$AD40,$AD36,AM37:AM40)</f>
        <v>0</v>
      </c>
      <c r="AN36" s="187">
        <f>SUMIF($AD37:$AD40,$AD36,AN37:AN40)</f>
        <v>0</v>
      </c>
      <c r="AO36" s="187">
        <f>SUMIF($AD37:$AD40,$AD36,AO37:AO40)</f>
        <v>0</v>
      </c>
      <c r="AP36" s="187">
        <f>SUMIF($AD37:$AD40,$AD36,AP37:AP40)</f>
        <v>0</v>
      </c>
      <c r="AQ36" s="187">
        <f>SUMIF($AD37:$AD40,$AD36,AQ37:AQ40)</f>
        <v>0</v>
      </c>
      <c r="AR36" s="187">
        <f>SUMIF($AD37:$AD40,$AD36,AR37:AR40)</f>
        <v>0</v>
      </c>
      <c r="AS36" s="187">
        <f>SUMIF($AD37:$AD40,$AD36,AS37:AS40)</f>
        <v>0</v>
      </c>
      <c r="AT36" s="187">
        <f>SUMIF($AD37:$AD40,$AD36,AT37:AT40)</f>
        <v>0</v>
      </c>
      <c r="AU36" s="187">
        <f>SUMIF($AD37:$AD40,$AD36,AU37:AU40)</f>
        <v>0</v>
      </c>
      <c r="AV36" s="187">
        <f>SUMIF($AD37:$AD40,$AD36,AV37:AV40)</f>
        <v>0</v>
      </c>
      <c r="AW36" s="187">
        <f>SUMIF($AD37:$AD40,$AD36,AW37:AW40)</f>
        <v>0</v>
      </c>
      <c r="AX36" s="187">
        <f>SUMIF($AD37:$AD40,$AD36,AX37:AX40)</f>
        <v>0</v>
      </c>
      <c r="AY36" s="187">
        <f>SUMIF($AD37:$AD40,$AD36,AY37:AY40)</f>
        <v>0</v>
      </c>
      <c r="AZ36" s="187">
        <f>SUMIF($AD37:$AD40,$AD36,AZ37:AZ40)</f>
        <v>0</v>
      </c>
      <c r="BA36" s="187">
        <f>SUMIF($AD37:$AD40,$AD36,BA37:BA40)</f>
        <v>0</v>
      </c>
      <c r="BB36" s="187">
        <f>SUMIF($AD37:$AD40,$AD36,BB37:BB40)</f>
        <v>0</v>
      </c>
      <c r="BC36" s="2544"/>
      <c r="BD36" s="1328"/>
      <c r="BE36" s="1328"/>
      <c r="BF36" s="1026" t="s">
        <v>953</v>
      </c>
      <c r="BG36" s="1026"/>
      <c r="BH36" s="1026"/>
      <c r="BI36" s="1026"/>
      <c r="BJ36" s="1362"/>
      <c r="BK36" s="1362"/>
    </row>
    <row customHeight="1" ht="14.625" hidden="1">
      <c r="A37" s="1308"/>
      <c r="B37" s="1617"/>
      <c r="C37" s="1308"/>
      <c r="D37" s="1308"/>
      <c r="E37" s="635">
        <v>15</v>
      </c>
      <c r="F37" s="1326" cm="1" t="str">
        <f t="array" ref="F37:F37">OFFSET(E37,-1,1)</f>
        <v>0</v>
      </c>
      <c r="G37" s="1308"/>
      <c r="H37" s="1308"/>
      <c r="I37" s="1308"/>
      <c r="J37" s="1308"/>
      <c r="K37" s="1308"/>
      <c r="L37" s="1308"/>
      <c r="M37" s="1308"/>
      <c r="N37" s="1308"/>
      <c r="O37" s="1308"/>
      <c r="P37" s="1308"/>
      <c r="Q37" s="1308"/>
      <c r="R37" s="1308"/>
      <c r="S37" s="1308"/>
      <c r="T37" s="1436">
        <f>AND(F37&gt;0,Y37&gt;0)</f>
        <v>0</v>
      </c>
      <c r="U37" s="1328"/>
      <c r="V37" s="1328"/>
      <c r="W37" s="856" t="s">
        <v>173</v>
      </c>
      <c r="X37" s="1324"/>
      <c r="Y37" s="1559">
        <v>0</v>
      </c>
      <c r="Z37" s="1324"/>
      <c r="AA37" s="2580" t="s">
        <v>174</v>
      </c>
      <c r="AB37" s="1577" t="str">
        <f>"2.3."&amp;Y37</f>
        <v>2.3.0</v>
      </c>
      <c r="AC37" s="2581"/>
      <c r="AD37" s="1540" t="s">
        <v>936</v>
      </c>
      <c r="AE37" s="2549"/>
      <c r="AF37" s="2549"/>
      <c r="AG37" s="2549"/>
      <c r="AH37" s="2549"/>
      <c r="AI37" s="2549"/>
      <c r="AJ37" s="2549"/>
      <c r="AK37" s="2549"/>
      <c r="AL37" s="2549"/>
      <c r="AM37" s="2549"/>
      <c r="AN37" s="2549"/>
      <c r="AO37" s="2549"/>
      <c r="AP37" s="2549"/>
      <c r="AQ37" s="2549"/>
      <c r="AR37" s="2549"/>
      <c r="AS37" s="2549"/>
      <c r="AT37" s="2549"/>
      <c r="AU37" s="2549"/>
      <c r="AV37" s="2549"/>
      <c r="AW37" s="2549"/>
      <c r="AX37" s="2549"/>
      <c r="AY37" s="2549"/>
      <c r="AZ37" s="2549"/>
      <c r="BA37" s="2549"/>
      <c r="BB37" s="2549"/>
      <c r="BC37" s="2544"/>
      <c r="BD37" s="1328"/>
      <c r="BE37" s="1328"/>
      <c r="BF37" s="1309" t="s">
        <v>954</v>
      </c>
      <c r="BG37" s="1309" t="s">
        <v>955</v>
      </c>
      <c r="BH37" s="1309" cm="1" t="str">
        <f t="array" ref="BH37:BH37">AC37</f>
        <v>0</v>
      </c>
      <c r="BI37" s="1309" cm="1" t="str">
        <f t="array" ref="BI37:BI37">AD38</f>
        <v>0</v>
      </c>
      <c r="BJ37" s="1243"/>
      <c r="BK37" s="1310" t="b">
        <v>1</v>
      </c>
    </row>
    <row customHeight="1" ht="14.625" hidden="1">
      <c r="A38" s="1308"/>
      <c r="B38" s="1617"/>
      <c r="C38" s="1308"/>
      <c r="D38" s="1308"/>
      <c r="E38" s="635">
        <v>15</v>
      </c>
      <c r="F38" s="1326" cm="1" t="str">
        <f t="array" ref="F38:F38">OFFSET(E38,-1,1)</f>
        <v>0</v>
      </c>
      <c r="G38" s="1308"/>
      <c r="H38" s="1308"/>
      <c r="I38" s="1308"/>
      <c r="J38" s="1308"/>
      <c r="K38" s="1308"/>
      <c r="L38" s="1308"/>
      <c r="M38" s="1308"/>
      <c r="N38" s="1308"/>
      <c r="O38" s="1308"/>
      <c r="P38" s="1308"/>
      <c r="Q38" s="1308"/>
      <c r="R38" s="1308"/>
      <c r="S38" s="1308"/>
      <c r="T38" s="1436" cm="1" t="str">
        <f t="array" ref="T38:T38">T37</f>
        <v>false</v>
      </c>
      <c r="U38" s="1308"/>
      <c r="V38" s="1327"/>
      <c r="W38" s="1308"/>
      <c r="X38" s="1324"/>
      <c r="Y38" s="1559"/>
      <c r="Z38" s="1324"/>
      <c r="AA38" s="2580"/>
      <c r="AB38" s="1577" t="str">
        <f>AB37&amp;".1"</f>
        <v>2.3.0.1</v>
      </c>
      <c r="AC38" s="1100" t="s">
        <v>942</v>
      </c>
      <c r="AD38" s="2582"/>
      <c r="AE38" s="2549"/>
      <c r="AF38" s="2549"/>
      <c r="AG38" s="2549"/>
      <c r="AH38" s="2549"/>
      <c r="AI38" s="2549"/>
      <c r="AJ38" s="2549"/>
      <c r="AK38" s="2549"/>
      <c r="AL38" s="2549"/>
      <c r="AM38" s="2549"/>
      <c r="AN38" s="2549"/>
      <c r="AO38" s="2549"/>
      <c r="AP38" s="2549"/>
      <c r="AQ38" s="2549"/>
      <c r="AR38" s="2549"/>
      <c r="AS38" s="2549"/>
      <c r="AT38" s="2549"/>
      <c r="AU38" s="2549"/>
      <c r="AV38" s="2549"/>
      <c r="AW38" s="2549"/>
      <c r="AX38" s="2549"/>
      <c r="AY38" s="2549"/>
      <c r="AZ38" s="2549"/>
      <c r="BA38" s="2549"/>
      <c r="BB38" s="2549"/>
      <c r="BC38" s="2544"/>
      <c r="BD38" s="1328"/>
      <c r="BE38" s="1328"/>
      <c r="BF38" s="1309" t="s">
        <v>944</v>
      </c>
      <c r="BG38" s="1309" t="s">
        <v>955</v>
      </c>
      <c r="BH38" s="1309" cm="1" t="str">
        <f t="array" ref="BH38:BH38">BH37</f>
        <v>0</v>
      </c>
      <c r="BI38" s="1309" cm="1" t="str">
        <f t="array" ref="BI38:BI38">BI37</f>
        <v>0</v>
      </c>
      <c r="BJ38" s="1243"/>
      <c r="BK38" s="1310"/>
    </row>
    <row customHeight="1" ht="14.625" hidden="1">
      <c r="A39" s="1308"/>
      <c r="B39" s="1617"/>
      <c r="C39" s="1308"/>
      <c r="D39" s="1308"/>
      <c r="E39" s="635">
        <v>15</v>
      </c>
      <c r="F39" s="1326" cm="1" t="str">
        <f t="array" ref="F39:F39">OFFSET(E39,-1,1)</f>
        <v>0</v>
      </c>
      <c r="G39" s="1308"/>
      <c r="H39" s="1308"/>
      <c r="I39" s="1308"/>
      <c r="J39" s="1308"/>
      <c r="K39" s="1308"/>
      <c r="L39" s="1308"/>
      <c r="M39" s="1308"/>
      <c r="N39" s="1308"/>
      <c r="O39" s="1308"/>
      <c r="P39" s="1308"/>
      <c r="Q39" s="1308"/>
      <c r="R39" s="1308"/>
      <c r="S39" s="1308"/>
      <c r="T39" s="1436" cm="1" t="str">
        <f t="array" ref="T39:T39">T38</f>
        <v>false</v>
      </c>
      <c r="U39" s="1308"/>
      <c r="V39" s="1327"/>
      <c r="W39" s="1308"/>
      <c r="X39" s="1324"/>
      <c r="Y39" s="1559"/>
      <c r="Z39" s="1324"/>
      <c r="AA39" s="2580"/>
      <c r="AB39" s="1577" t="str">
        <f>AB37&amp;".2"</f>
        <v>2.3.0.2</v>
      </c>
      <c r="AC39" s="1100" t="s">
        <v>956</v>
      </c>
      <c r="AD39" s="1554" t="s">
        <v>946</v>
      </c>
      <c r="AE39" s="2549"/>
      <c r="AF39" s="2549"/>
      <c r="AG39" s="2549"/>
      <c r="AH39" s="2549"/>
      <c r="AI39" s="2549"/>
      <c r="AJ39" s="2549"/>
      <c r="AK39" s="2549"/>
      <c r="AL39" s="2549"/>
      <c r="AM39" s="2549"/>
      <c r="AN39" s="2549"/>
      <c r="AO39" s="2549"/>
      <c r="AP39" s="2549"/>
      <c r="AQ39" s="2549"/>
      <c r="AR39" s="2549"/>
      <c r="AS39" s="2549"/>
      <c r="AT39" s="2549"/>
      <c r="AU39" s="2549"/>
      <c r="AV39" s="2549"/>
      <c r="AW39" s="2549"/>
      <c r="AX39" s="2549"/>
      <c r="AY39" s="2549"/>
      <c r="AZ39" s="2549"/>
      <c r="BA39" s="2549"/>
      <c r="BB39" s="2549"/>
      <c r="BC39" s="2544"/>
      <c r="BD39" s="1328"/>
      <c r="BE39" s="1328"/>
      <c r="BF39" s="1309" t="s">
        <v>947</v>
      </c>
      <c r="BG39" s="1309" t="s">
        <v>955</v>
      </c>
      <c r="BH39" s="1309" cm="1" t="str">
        <f t="array" ref="BH39:BH39">BH38</f>
        <v>0</v>
      </c>
      <c r="BI39" s="1309" cm="1" t="str">
        <f t="array" ref="BI39:BI39">BI38</f>
        <v>0</v>
      </c>
      <c r="BJ39" s="1243"/>
      <c r="BK39" s="1310"/>
    </row>
    <row customHeight="1" ht="14.625" hidden="1">
      <c r="A40" s="1308"/>
      <c r="B40" s="1617"/>
      <c r="C40" s="1308"/>
      <c r="D40" s="1308"/>
      <c r="E40" s="635">
        <v>15</v>
      </c>
      <c r="F40" s="1326" cm="1" t="str">
        <f t="array" ref="F40:F40">OFFSET(E40,-1,1)</f>
        <v>0</v>
      </c>
      <c r="G40" s="1308"/>
      <c r="H40" s="1308"/>
      <c r="I40" s="1308"/>
      <c r="J40" s="1308"/>
      <c r="K40" s="1308"/>
      <c r="L40" s="1308"/>
      <c r="M40" s="1308"/>
      <c r="N40" s="1308"/>
      <c r="O40" s="1308"/>
      <c r="P40" s="1308"/>
      <c r="Q40" s="1308"/>
      <c r="R40" s="1308"/>
      <c r="S40" s="1308"/>
      <c r="T40" s="1436">
        <f>F40&gt;0</f>
        <v>0</v>
      </c>
      <c r="U40" s="1308"/>
      <c r="V40" s="1327"/>
      <c r="W40" s="856" t="s">
        <v>957</v>
      </c>
      <c r="X40" s="1324"/>
      <c r="Y40" s="1308"/>
      <c r="Z40" s="1324"/>
      <c r="AA40" s="1308"/>
      <c r="AB40" s="2583"/>
      <c r="AC40" s="2584" t="s">
        <v>177</v>
      </c>
      <c r="AD40" s="2585"/>
      <c r="AE40" s="2586"/>
      <c r="AF40" s="2587"/>
      <c r="AG40" s="2588"/>
      <c r="AH40" s="2589"/>
      <c r="AI40" s="2590"/>
      <c r="AJ40" s="2591"/>
      <c r="AK40" s="2592"/>
      <c r="AL40" s="2593"/>
      <c r="AM40" s="2594"/>
      <c r="AN40" s="2595"/>
      <c r="AO40" s="2596"/>
      <c r="AP40" s="2597"/>
      <c r="AQ40" s="2598"/>
      <c r="AR40" s="2599"/>
      <c r="AS40" s="2600"/>
      <c r="AT40" s="2601"/>
      <c r="AU40" s="2602"/>
      <c r="AV40" s="2603"/>
      <c r="AW40" s="2604"/>
      <c r="AX40" s="2605"/>
      <c r="AY40" s="2606"/>
      <c r="AZ40" s="2607"/>
      <c r="BA40" s="2608"/>
      <c r="BB40" s="2609"/>
      <c r="BC40" s="2610"/>
      <c r="BD40" s="1328"/>
      <c r="BE40" s="1328"/>
      <c r="BF40" s="1309"/>
      <c r="BG40" s="1309"/>
      <c r="BH40" s="1309"/>
      <c r="BI40" s="1309"/>
      <c r="BJ40" s="1243" t="s">
        <v>955</v>
      </c>
      <c r="BK40" s="1310"/>
    </row>
    <row customHeight="1" ht="22.668750000000003" hidden="1">
      <c r="A41" s="1308"/>
      <c r="B41" s="1617"/>
      <c r="C41" s="1308"/>
      <c r="D41" s="1308"/>
      <c r="E41" s="635">
        <v>23.25</v>
      </c>
      <c r="F41" s="1326" cm="1" t="str">
        <f t="array" ref="F41:F41">OFFSET(E41,-1,1)</f>
        <v>0</v>
      </c>
      <c r="G41" s="1308"/>
      <c r="H41" s="1328"/>
      <c r="I41" s="1336" t="s">
        <v>958</v>
      </c>
      <c r="J41" s="1308"/>
      <c r="K41" s="1308"/>
      <c r="L41" s="1308"/>
      <c r="M41" s="1308"/>
      <c r="N41" s="1308"/>
      <c r="O41" s="1308"/>
      <c r="P41" s="1308"/>
      <c r="Q41" s="1308"/>
      <c r="R41" s="1308"/>
      <c r="S41" s="1308"/>
      <c r="T41" s="1436" cm="1" t="str">
        <f t="array" ref="T41:T41">T40</f>
        <v>false</v>
      </c>
      <c r="U41" s="1308"/>
      <c r="V41" s="1327"/>
      <c r="W41" s="1308"/>
      <c r="X41" s="1324"/>
      <c r="Y41" s="1308"/>
      <c r="Z41" s="1324"/>
      <c r="AA41" s="1308"/>
      <c r="AB41" s="141" t="s">
        <v>234</v>
      </c>
      <c r="AC41" s="1098" t="s">
        <v>959</v>
      </c>
      <c r="AD41" s="1540" t="s">
        <v>936</v>
      </c>
      <c r="AE41" s="187">
        <f>AE42+AE43</f>
        <v>0</v>
      </c>
      <c r="AF41" s="187">
        <f>AF42+AF43</f>
        <v>0</v>
      </c>
      <c r="AG41" s="187">
        <f>AG42+AG43</f>
        <v>0</v>
      </c>
      <c r="AH41" s="187">
        <f>AH42+AH43</f>
        <v>0</v>
      </c>
      <c r="AI41" s="187">
        <f>AI42+AI43</f>
        <v>0</v>
      </c>
      <c r="AJ41" s="187">
        <f>AJ42+AJ43</f>
        <v>0</v>
      </c>
      <c r="AK41" s="187">
        <f>AK42+AK43</f>
        <v>0</v>
      </c>
      <c r="AL41" s="187">
        <f>AL42+AL43</f>
        <v>0</v>
      </c>
      <c r="AM41" s="187">
        <f>AM42+AM43</f>
        <v>0</v>
      </c>
      <c r="AN41" s="187">
        <f>AN42+AN43</f>
        <v>0</v>
      </c>
      <c r="AO41" s="187">
        <f>AO42+AO43</f>
        <v>0</v>
      </c>
      <c r="AP41" s="187">
        <f>AP42+AP43</f>
        <v>0</v>
      </c>
      <c r="AQ41" s="187">
        <f>AQ42+AQ43</f>
        <v>0</v>
      </c>
      <c r="AR41" s="187">
        <f>AR42+AR43</f>
        <v>0</v>
      </c>
      <c r="AS41" s="187">
        <f>AS42+AS43</f>
        <v>0</v>
      </c>
      <c r="AT41" s="187">
        <f>AT42+AT43</f>
        <v>0</v>
      </c>
      <c r="AU41" s="187">
        <f>AU42+AU43</f>
        <v>0</v>
      </c>
      <c r="AV41" s="187">
        <f>AV42+AV43</f>
        <v>0</v>
      </c>
      <c r="AW41" s="187">
        <f>AW42+AW43</f>
        <v>0</v>
      </c>
      <c r="AX41" s="187">
        <f>AX42+AX43</f>
        <v>0</v>
      </c>
      <c r="AY41" s="187">
        <f>AY42+AY43</f>
        <v>0</v>
      </c>
      <c r="AZ41" s="187">
        <f>AZ42+AZ43</f>
        <v>0</v>
      </c>
      <c r="BA41" s="187">
        <f>BA42+BA43</f>
        <v>0</v>
      </c>
      <c r="BB41" s="187">
        <f>BB42+BB43</f>
        <v>0</v>
      </c>
      <c r="BC41" s="2544"/>
      <c r="BD41" s="1328"/>
      <c r="BE41" s="1328"/>
      <c r="BF41" s="1309" t="s">
        <v>960</v>
      </c>
      <c r="BG41" s="1309"/>
      <c r="BH41" s="1309"/>
      <c r="BI41" s="1309"/>
      <c r="BJ41" s="1243"/>
      <c r="BK41" s="1310"/>
    </row>
    <row customHeight="1" ht="32.90625" hidden="1">
      <c r="A42" s="1308"/>
      <c r="B42" s="1617"/>
      <c r="C42" s="1308"/>
      <c r="D42" s="1308"/>
      <c r="E42" s="635">
        <v>33.75</v>
      </c>
      <c r="F42" s="1326" cm="1" t="str">
        <f t="array" ref="F42:F42">OFFSET(E42,-1,1)</f>
        <v>0</v>
      </c>
      <c r="G42" s="1308"/>
      <c r="H42" s="1308"/>
      <c r="I42" s="1308"/>
      <c r="J42" s="1308"/>
      <c r="K42" s="1308"/>
      <c r="L42" s="1308"/>
      <c r="M42" s="1308"/>
      <c r="N42" s="1308"/>
      <c r="O42" s="1308"/>
      <c r="P42" s="1308"/>
      <c r="Q42" s="1308"/>
      <c r="R42" s="1308"/>
      <c r="S42" s="1308"/>
      <c r="T42" s="1436" cm="1" t="str">
        <f t="array" ref="T42:T42">T41</f>
        <v>false</v>
      </c>
      <c r="U42" s="1308"/>
      <c r="V42" s="1327"/>
      <c r="W42" s="1308"/>
      <c r="X42" s="1324"/>
      <c r="Y42" s="1308"/>
      <c r="Z42" s="1324"/>
      <c r="AA42" s="1308"/>
      <c r="AB42" s="141" t="s">
        <v>674</v>
      </c>
      <c r="AC42" s="1098" t="s">
        <v>961</v>
      </c>
      <c r="AD42" s="1540" t="s">
        <v>936</v>
      </c>
      <c r="AE42" s="2549"/>
      <c r="AF42" s="2549"/>
      <c r="AG42" s="2549"/>
      <c r="AH42" s="2549"/>
      <c r="AI42" s="2549"/>
      <c r="AJ42" s="2549"/>
      <c r="AK42" s="2549"/>
      <c r="AL42" s="2549"/>
      <c r="AM42" s="2549"/>
      <c r="AN42" s="2549"/>
      <c r="AO42" s="2549"/>
      <c r="AP42" s="2549"/>
      <c r="AQ42" s="2549"/>
      <c r="AR42" s="2549"/>
      <c r="AS42" s="2549"/>
      <c r="AT42" s="2549"/>
      <c r="AU42" s="2549"/>
      <c r="AV42" s="2549"/>
      <c r="AW42" s="2549"/>
      <c r="AX42" s="2549"/>
      <c r="AY42" s="2549"/>
      <c r="AZ42" s="2549"/>
      <c r="BA42" s="2549"/>
      <c r="BB42" s="2549"/>
      <c r="BC42" s="2544"/>
      <c r="BD42" s="1328"/>
      <c r="BE42" s="1328"/>
      <c r="BF42" s="1309" t="s">
        <v>962</v>
      </c>
      <c r="BG42" s="1309"/>
      <c r="BH42" s="1309"/>
      <c r="BI42" s="1309"/>
      <c r="BJ42" s="1243"/>
      <c r="BK42" s="1310"/>
    </row>
    <row customHeight="1" ht="43.875" hidden="1">
      <c r="A43" s="1308"/>
      <c r="B43" s="1617"/>
      <c r="C43" s="1308"/>
      <c r="D43" s="1308"/>
      <c r="E43" s="635">
        <v>45</v>
      </c>
      <c r="F43" s="1326" cm="1" t="str">
        <f t="array" ref="F43:F43">OFFSET(E43,-1,1)</f>
        <v>0</v>
      </c>
      <c r="G43" s="1308"/>
      <c r="H43" s="1308"/>
      <c r="I43" s="1308"/>
      <c r="J43" s="1308"/>
      <c r="K43" s="1308"/>
      <c r="L43" s="1308"/>
      <c r="M43" s="1308"/>
      <c r="N43" s="1308"/>
      <c r="O43" s="1308"/>
      <c r="P43" s="1308"/>
      <c r="Q43" s="1308"/>
      <c r="R43" s="1308"/>
      <c r="S43" s="1308"/>
      <c r="T43" s="1436" cm="1" t="str">
        <f t="array" ref="T43:T43">T42</f>
        <v>false</v>
      </c>
      <c r="U43" s="1308"/>
      <c r="V43" s="1327"/>
      <c r="W43" s="1308"/>
      <c r="X43" s="1324"/>
      <c r="Y43" s="1308"/>
      <c r="Z43" s="1324"/>
      <c r="AA43" s="1308"/>
      <c r="AB43" s="141" t="s">
        <v>678</v>
      </c>
      <c r="AC43" s="1098" t="s">
        <v>963</v>
      </c>
      <c r="AD43" s="1540" t="s">
        <v>936</v>
      </c>
      <c r="AE43" s="187">
        <f>SUMIF($AD44:$AD47,$AD43,AE44:AE47)</f>
        <v>0</v>
      </c>
      <c r="AF43" s="187">
        <f>SUMIF($AD44:$AD47,$AD43,AF44:AF47)</f>
        <v>0</v>
      </c>
      <c r="AG43" s="187">
        <f>SUMIF($AD44:$AD47,$AD43,AG44:AG47)</f>
        <v>0</v>
      </c>
      <c r="AH43" s="187">
        <f>SUMIF($AD44:$AD47,$AD43,AH44:AH47)</f>
        <v>0</v>
      </c>
      <c r="AI43" s="187">
        <f>SUMIF($AD44:$AD47,$AD43,AI44:AI47)</f>
        <v>0</v>
      </c>
      <c r="AJ43" s="187">
        <f>SUMIF($AD44:$AD47,$AD43,AJ44:AJ47)</f>
        <v>0</v>
      </c>
      <c r="AK43" s="187">
        <f>SUMIF($AD44:$AD47,$AD43,AK44:AK47)</f>
        <v>0</v>
      </c>
      <c r="AL43" s="187">
        <f>SUMIF($AD44:$AD47,$AD43,AL44:AL47)</f>
        <v>0</v>
      </c>
      <c r="AM43" s="187">
        <f>SUMIF($AD44:$AD47,$AD43,AM44:AM47)</f>
        <v>0</v>
      </c>
      <c r="AN43" s="187">
        <f>SUMIF($AD44:$AD47,$AD43,AN44:AN47)</f>
        <v>0</v>
      </c>
      <c r="AO43" s="187">
        <f>SUMIF($AD44:$AD47,$AD43,AO44:AO47)</f>
        <v>0</v>
      </c>
      <c r="AP43" s="187">
        <f>SUMIF($AD44:$AD47,$AD43,AP44:AP47)</f>
        <v>0</v>
      </c>
      <c r="AQ43" s="187">
        <f>SUMIF($AD44:$AD47,$AD43,AQ44:AQ47)</f>
        <v>0</v>
      </c>
      <c r="AR43" s="187">
        <f>SUMIF($AD44:$AD47,$AD43,AR44:AR47)</f>
        <v>0</v>
      </c>
      <c r="AS43" s="187">
        <f>SUMIF($AD44:$AD47,$AD43,AS44:AS47)</f>
        <v>0</v>
      </c>
      <c r="AT43" s="187">
        <f>SUMIF($AD44:$AD47,$AD43,AT44:AT47)</f>
        <v>0</v>
      </c>
      <c r="AU43" s="187">
        <f>SUMIF($AD44:$AD47,$AD43,AU44:AU47)</f>
        <v>0</v>
      </c>
      <c r="AV43" s="187">
        <f>SUMIF($AD44:$AD47,$AD43,AV44:AV47)</f>
        <v>0</v>
      </c>
      <c r="AW43" s="187">
        <f>SUMIF($AD44:$AD47,$AD43,AW44:AW47)</f>
        <v>0</v>
      </c>
      <c r="AX43" s="187">
        <f>SUMIF($AD44:$AD47,$AD43,AX44:AX47)</f>
        <v>0</v>
      </c>
      <c r="AY43" s="187">
        <f>SUMIF($AD44:$AD47,$AD43,AY44:AY47)</f>
        <v>0</v>
      </c>
      <c r="AZ43" s="187">
        <f>SUMIF($AD44:$AD47,$AD43,AZ44:AZ47)</f>
        <v>0</v>
      </c>
      <c r="BA43" s="187">
        <f>SUMIF($AD44:$AD47,$AD43,BA44:BA47)</f>
        <v>0</v>
      </c>
      <c r="BB43" s="187">
        <f>SUMIF($AD44:$AD47,$AD43,BB44:BB47)</f>
        <v>0</v>
      </c>
      <c r="BC43" s="2544"/>
      <c r="BD43" s="1328"/>
      <c r="BE43" s="1328"/>
      <c r="BF43" s="1309" t="s">
        <v>964</v>
      </c>
      <c r="BG43" s="1309"/>
      <c r="BH43" s="1309"/>
      <c r="BI43" s="1309"/>
      <c r="BJ43" s="1243"/>
      <c r="BK43" s="1310"/>
    </row>
    <row customHeight="1" ht="14.625" hidden="1">
      <c r="A44" s="1308"/>
      <c r="B44" s="1617"/>
      <c r="C44" s="1308"/>
      <c r="D44" s="1308"/>
      <c r="E44" s="635">
        <v>15</v>
      </c>
      <c r="F44" s="1326" cm="1" t="str">
        <f t="array" ref="F44:F44">OFFSET(E44,-1,1)</f>
        <v>0</v>
      </c>
      <c r="G44" s="1308"/>
      <c r="H44" s="1308"/>
      <c r="I44" s="1308"/>
      <c r="J44" s="1308"/>
      <c r="K44" s="1308"/>
      <c r="L44" s="1308"/>
      <c r="M44" s="1308"/>
      <c r="N44" s="1308"/>
      <c r="O44" s="1308"/>
      <c r="P44" s="1308"/>
      <c r="Q44" s="1308"/>
      <c r="R44" s="1308"/>
      <c r="S44" s="1308"/>
      <c r="T44" s="1436">
        <f>AND(F44&gt;0,Y44&gt;0)</f>
        <v>0</v>
      </c>
      <c r="U44" s="1308"/>
      <c r="V44" s="1327"/>
      <c r="W44" s="856" t="s">
        <v>173</v>
      </c>
      <c r="X44" s="1324"/>
      <c r="Y44" s="1559">
        <v>0</v>
      </c>
      <c r="Z44" s="1324"/>
      <c r="AA44" s="2580" t="s">
        <v>174</v>
      </c>
      <c r="AB44" s="1577" t="str">
        <f>"3.3."&amp;Y44</f>
        <v>3.3.0</v>
      </c>
      <c r="AC44" s="2581"/>
      <c r="AD44" s="1540" t="s">
        <v>936</v>
      </c>
      <c r="AE44" s="2549"/>
      <c r="AF44" s="2549"/>
      <c r="AG44" s="2549"/>
      <c r="AH44" s="2549"/>
      <c r="AI44" s="2549"/>
      <c r="AJ44" s="2549"/>
      <c r="AK44" s="2549"/>
      <c r="AL44" s="2549"/>
      <c r="AM44" s="2549"/>
      <c r="AN44" s="2549"/>
      <c r="AO44" s="2549"/>
      <c r="AP44" s="2549"/>
      <c r="AQ44" s="2549"/>
      <c r="AR44" s="2549"/>
      <c r="AS44" s="2549"/>
      <c r="AT44" s="2549"/>
      <c r="AU44" s="2549"/>
      <c r="AV44" s="2549"/>
      <c r="AW44" s="2549"/>
      <c r="AX44" s="2549"/>
      <c r="AY44" s="2549"/>
      <c r="AZ44" s="2549"/>
      <c r="BA44" s="2549"/>
      <c r="BB44" s="2549"/>
      <c r="BC44" s="2544"/>
      <c r="BD44" s="1328"/>
      <c r="BE44" s="1328"/>
      <c r="BF44" s="1309" t="s">
        <v>965</v>
      </c>
      <c r="BG44" s="1309" t="s">
        <v>966</v>
      </c>
      <c r="BH44" s="1309" cm="1" t="str">
        <f t="array" ref="BH44:BH44">AC44</f>
        <v>0</v>
      </c>
      <c r="BI44" s="1309" cm="1" t="str">
        <f t="array" ref="BI44:BI44">AD45</f>
        <v>0</v>
      </c>
      <c r="BJ44" s="1243"/>
      <c r="BK44" s="1310" t="b">
        <v>1</v>
      </c>
    </row>
    <row customHeight="1" ht="14.625" hidden="1">
      <c r="A45" s="1308"/>
      <c r="B45" s="1617"/>
      <c r="C45" s="1308"/>
      <c r="D45" s="1308"/>
      <c r="E45" s="635">
        <v>15</v>
      </c>
      <c r="F45" s="1326" cm="1" t="str">
        <f t="array" ref="F45:F45">OFFSET(E45,-1,1)</f>
        <v>0</v>
      </c>
      <c r="G45" s="1308"/>
      <c r="H45" s="1308"/>
      <c r="I45" s="1308"/>
      <c r="J45" s="1308"/>
      <c r="K45" s="1308"/>
      <c r="L45" s="1308"/>
      <c r="M45" s="1308"/>
      <c r="N45" s="1308"/>
      <c r="O45" s="1308"/>
      <c r="P45" s="1308"/>
      <c r="Q45" s="1308"/>
      <c r="R45" s="1308"/>
      <c r="S45" s="1308"/>
      <c r="T45" s="1436" cm="1" t="str">
        <f t="array" ref="T45:T45">T44</f>
        <v>false</v>
      </c>
      <c r="U45" s="1308"/>
      <c r="V45" s="1327"/>
      <c r="W45" s="1308"/>
      <c r="X45" s="1324"/>
      <c r="Y45" s="1559"/>
      <c r="Z45" s="1324"/>
      <c r="AA45" s="2580"/>
      <c r="AB45" s="1577" t="str">
        <f>AB44&amp;".1"</f>
        <v>3.3.0.1</v>
      </c>
      <c r="AC45" s="1100" t="s">
        <v>942</v>
      </c>
      <c r="AD45" s="2582"/>
      <c r="AE45" s="2549"/>
      <c r="AF45" s="2549"/>
      <c r="AG45" s="2549"/>
      <c r="AH45" s="2549"/>
      <c r="AI45" s="2549"/>
      <c r="AJ45" s="2549"/>
      <c r="AK45" s="2549"/>
      <c r="AL45" s="2549"/>
      <c r="AM45" s="2549"/>
      <c r="AN45" s="2549"/>
      <c r="AO45" s="2549"/>
      <c r="AP45" s="2549"/>
      <c r="AQ45" s="2549"/>
      <c r="AR45" s="2549"/>
      <c r="AS45" s="2549"/>
      <c r="AT45" s="2549"/>
      <c r="AU45" s="2549"/>
      <c r="AV45" s="2549"/>
      <c r="AW45" s="2549"/>
      <c r="AX45" s="2549"/>
      <c r="AY45" s="2549"/>
      <c r="AZ45" s="2549"/>
      <c r="BA45" s="2549"/>
      <c r="BB45" s="2549"/>
      <c r="BC45" s="2544"/>
      <c r="BD45" s="1328"/>
      <c r="BE45" s="1328"/>
      <c r="BF45" s="1309" t="s">
        <v>944</v>
      </c>
      <c r="BG45" s="1309" t="s">
        <v>966</v>
      </c>
      <c r="BH45" s="1309" cm="1" t="str">
        <f t="array" ref="BH45:BH45">BH44</f>
        <v>0</v>
      </c>
      <c r="BI45" s="1309" cm="1" t="str">
        <f t="array" ref="BI45:BI45">BI44</f>
        <v>0</v>
      </c>
      <c r="BJ45" s="1243"/>
      <c r="BK45" s="1310"/>
    </row>
    <row customHeight="1" ht="14.625" hidden="1">
      <c r="A46" s="1308"/>
      <c r="B46" s="1617"/>
      <c r="C46" s="1308"/>
      <c r="D46" s="1308"/>
      <c r="E46" s="635">
        <v>15</v>
      </c>
      <c r="F46" s="1326" cm="1" t="str">
        <f t="array" ref="F46:F46">OFFSET(E46,-1,1)</f>
        <v>0</v>
      </c>
      <c r="G46" s="1308"/>
      <c r="H46" s="1308"/>
      <c r="I46" s="1308"/>
      <c r="J46" s="1308"/>
      <c r="K46" s="1308"/>
      <c r="L46" s="1308"/>
      <c r="M46" s="1308"/>
      <c r="N46" s="1308"/>
      <c r="O46" s="1308"/>
      <c r="P46" s="1308"/>
      <c r="Q46" s="1308"/>
      <c r="R46" s="1308"/>
      <c r="S46" s="1308"/>
      <c r="T46" s="1436" cm="1" t="str">
        <f t="array" ref="T46:T46">T45</f>
        <v>false</v>
      </c>
      <c r="U46" s="1308"/>
      <c r="V46" s="1327"/>
      <c r="W46" s="1308"/>
      <c r="X46" s="1324"/>
      <c r="Y46" s="1559"/>
      <c r="Z46" s="1324"/>
      <c r="AA46" s="2580"/>
      <c r="AB46" s="1577" t="str">
        <f>AB44&amp;".2"</f>
        <v>3.3.0.2</v>
      </c>
      <c r="AC46" s="1100" t="s">
        <v>956</v>
      </c>
      <c r="AD46" s="1554" t="s">
        <v>946</v>
      </c>
      <c r="AE46" s="2549"/>
      <c r="AF46" s="2549"/>
      <c r="AG46" s="2549"/>
      <c r="AH46" s="2549"/>
      <c r="AI46" s="2549"/>
      <c r="AJ46" s="2549"/>
      <c r="AK46" s="2549"/>
      <c r="AL46" s="2549"/>
      <c r="AM46" s="2549"/>
      <c r="AN46" s="2549"/>
      <c r="AO46" s="2549"/>
      <c r="AP46" s="2549"/>
      <c r="AQ46" s="2549"/>
      <c r="AR46" s="2549"/>
      <c r="AS46" s="2549"/>
      <c r="AT46" s="2549"/>
      <c r="AU46" s="2549"/>
      <c r="AV46" s="2549"/>
      <c r="AW46" s="2549"/>
      <c r="AX46" s="2549"/>
      <c r="AY46" s="2549"/>
      <c r="AZ46" s="2549"/>
      <c r="BA46" s="2549"/>
      <c r="BB46" s="2549"/>
      <c r="BC46" s="2544"/>
      <c r="BD46" s="1328"/>
      <c r="BE46" s="1328"/>
      <c r="BF46" s="1309" t="s">
        <v>947</v>
      </c>
      <c r="BG46" s="1309" t="s">
        <v>966</v>
      </c>
      <c r="BH46" s="1309" cm="1" t="str">
        <f t="array" ref="BH46:BH46">BH45</f>
        <v>0</v>
      </c>
      <c r="BI46" s="1309" cm="1" t="str">
        <f t="array" ref="BI46:BI46">BI45</f>
        <v>0</v>
      </c>
      <c r="BJ46" s="1243"/>
      <c r="BK46" s="1310"/>
    </row>
    <row s="1363" customFormat="1" customHeight="1" ht="14.625" hidden="1">
      <c r="A47" s="1308"/>
      <c r="B47" s="1617"/>
      <c r="C47" s="1308"/>
      <c r="D47" s="1308"/>
      <c r="E47" s="635">
        <v>15</v>
      </c>
      <c r="F47" s="1326" cm="1" t="str">
        <f t="array" ref="F47:F47">OFFSET(E47,-1,1)</f>
        <v>0</v>
      </c>
      <c r="G47" s="1308"/>
      <c r="H47" s="1308"/>
      <c r="I47" s="1308"/>
      <c r="J47" s="1308"/>
      <c r="K47" s="1308"/>
      <c r="L47" s="1308"/>
      <c r="M47" s="1308"/>
      <c r="N47" s="1308"/>
      <c r="O47" s="1308"/>
      <c r="P47" s="1308"/>
      <c r="Q47" s="1308"/>
      <c r="R47" s="1308"/>
      <c r="S47" s="1308"/>
      <c r="T47" s="1436">
        <f>F47&gt;0</f>
        <v>0</v>
      </c>
      <c r="U47" s="1308"/>
      <c r="V47" s="1327"/>
      <c r="W47" s="856" t="s">
        <v>967</v>
      </c>
      <c r="X47" s="1324"/>
      <c r="Y47" s="1308"/>
      <c r="Z47" s="1324"/>
      <c r="AA47" s="1308"/>
      <c r="AB47" s="2611"/>
      <c r="AC47" s="2612" t="s">
        <v>177</v>
      </c>
      <c r="AD47" s="2613"/>
      <c r="AE47" s="2614"/>
      <c r="AF47" s="2615"/>
      <c r="AG47" s="2616"/>
      <c r="AH47" s="2617"/>
      <c r="AI47" s="2618"/>
      <c r="AJ47" s="2619"/>
      <c r="AK47" s="2620"/>
      <c r="AL47" s="2621"/>
      <c r="AM47" s="2622"/>
      <c r="AN47" s="2623"/>
      <c r="AO47" s="2624"/>
      <c r="AP47" s="2625"/>
      <c r="AQ47" s="2626"/>
      <c r="AR47" s="2627"/>
      <c r="AS47" s="2628"/>
      <c r="AT47" s="2629"/>
      <c r="AU47" s="2630"/>
      <c r="AV47" s="2631"/>
      <c r="AW47" s="2632"/>
      <c r="AX47" s="2633"/>
      <c r="AY47" s="2634"/>
      <c r="AZ47" s="2635"/>
      <c r="BA47" s="2636"/>
      <c r="BB47" s="2637"/>
      <c r="BC47" s="2638"/>
      <c r="BF47" s="1309"/>
      <c r="BG47" s="1309"/>
      <c r="BH47" s="1309"/>
      <c r="BI47" s="1309"/>
      <c r="BJ47" s="1243" t="s">
        <v>966</v>
      </c>
      <c r="BK47" s="1310"/>
    </row>
    <row s="2639" customFormat="1" customHeight="1" ht="17.671875">
      <c r="A48" s="1189"/>
      <c r="B48" s="431"/>
      <c r="C48" s="1189"/>
      <c r="D48" s="1189"/>
      <c r="E48" s="635">
        <v>15</v>
      </c>
      <c r="F48" s="345" cm="1" t="str">
        <f t="array" ref="F48:F48">X48</f>
        <v>1</v>
      </c>
      <c r="G48" s="142"/>
      <c r="H48" s="142"/>
      <c r="I48" s="1189"/>
      <c r="J48" s="1189"/>
      <c r="K48" s="1189"/>
      <c r="L48" s="1189"/>
      <c r="M48" s="1189"/>
      <c r="N48" s="1189"/>
      <c r="O48" s="1189"/>
      <c r="P48" s="1189"/>
      <c r="Q48" s="1189"/>
      <c r="R48" s="1189"/>
      <c r="S48" s="1189"/>
      <c r="T48" s="468">
        <f>X48&gt;0</f>
        <v>1</v>
      </c>
      <c r="U48" s="1189"/>
      <c r="V48" s="140" cm="1" t="str">
        <f t="array" ref="V48:V48">'Условные метры'!$AB$32</f>
        <v>Тариф 1 (Водоснабжение) - тариф на питьевую воду (Оказание услуг на территории: город Ленинск-Кузнецкий (ОКТМО: 32719000) - г Ленинск-Кузнецкий, г Полысаево)</v>
      </c>
      <c r="W48" s="1189"/>
      <c r="X48" s="1519" t="s">
        <v>290</v>
      </c>
      <c r="Y48" s="1189"/>
      <c r="Z48" s="1541"/>
      <c r="AA48" s="1189"/>
      <c r="AB48" s="179" cm="1" t="str">
        <f t="array" ref="AB48:AB48">'Условные метры'!$AB$32</f>
        <v>Тариф 1 (Водоснабжение) - тариф на питьевую воду (Оказание услуг на территории: город Ленинск-Кузнецкий (ОКТМО: 32719000) - г Ленинск-Кузнецкий, г Полысаево)</v>
      </c>
      <c r="AC48" s="176"/>
      <c r="AD48" s="170"/>
      <c r="AE48" s="170"/>
      <c r="AF48" s="170"/>
      <c r="AG48" s="170"/>
      <c r="AH48" s="170"/>
      <c r="AI48" s="170"/>
      <c r="AJ48" s="170"/>
      <c r="AK48" s="170"/>
      <c r="AL48" s="170"/>
      <c r="AM48" s="170"/>
      <c r="AN48" s="170"/>
      <c r="AO48" s="170"/>
      <c r="AP48" s="170"/>
      <c r="AQ48" s="170"/>
      <c r="AR48" s="170"/>
      <c r="AS48" s="170"/>
      <c r="AT48" s="170"/>
      <c r="AU48" s="170"/>
      <c r="AV48" s="170"/>
      <c r="AW48" s="170"/>
      <c r="AX48" s="170"/>
      <c r="AY48" s="170"/>
      <c r="AZ48" s="170"/>
      <c r="BA48" s="170"/>
      <c r="BB48" s="170"/>
      <c r="BC48" s="170"/>
      <c r="BD48" s="1189"/>
      <c r="BE48" s="1189"/>
      <c r="BF48" s="1021"/>
      <c r="BG48" s="1021"/>
      <c r="BH48" s="1021"/>
      <c r="BJ48" s="635"/>
      <c r="BK48" s="635"/>
    </row>
    <row s="1191" customFormat="1" customHeight="1" ht="16.921875">
      <c r="A49" s="1541"/>
      <c r="B49" s="431"/>
      <c r="C49" s="1541"/>
      <c r="D49" s="486"/>
      <c r="E49" s="263">
        <v>15</v>
      </c>
      <c r="F49" s="50" cm="1" t="str">
        <f t="array" ref="F49:F49">OFFSET(E49,-1,1)</f>
        <v>1</v>
      </c>
      <c r="G49" s="1541"/>
      <c r="H49" s="142" cm="1" t="str">
        <f t="array" ref="H49:H49">AC49</f>
        <v>Всего по тарифу</v>
      </c>
      <c r="I49" s="1541"/>
      <c r="J49" s="1541"/>
      <c r="K49" s="486" t="str">
        <f>F49&amp;"komm"</f>
        <v>1komm</v>
      </c>
      <c r="L49" s="924" cm="1" t="str">
        <f t="array" ref="L49:L49">BC49</f>
        <v>0</v>
      </c>
      <c r="M49" s="1541"/>
      <c r="N49" s="1541"/>
      <c r="O49" s="1541"/>
      <c r="P49" s="1541"/>
      <c r="Q49" s="1541"/>
      <c r="R49" s="1541"/>
      <c r="S49" s="1541"/>
      <c r="T49" s="468" cm="1" t="str">
        <f t="array" ref="T49:T49">T48</f>
        <v>true</v>
      </c>
      <c r="U49" s="1541"/>
      <c r="V49" s="1541"/>
      <c r="W49" s="1541"/>
      <c r="X49" s="1519"/>
      <c r="Y49" s="1541"/>
      <c r="Z49" s="1541"/>
      <c r="AA49" s="1541"/>
      <c r="AB49" s="141"/>
      <c r="AC49" s="134" t="s">
        <v>935</v>
      </c>
      <c r="AD49" s="89" t="s">
        <v>936</v>
      </c>
      <c r="AE49" s="138">
        <f>AE50+AE55+AE62</f>
        <v>0</v>
      </c>
      <c r="AF49" s="138">
        <f>AF50+AF55+AF62</f>
        <v>0</v>
      </c>
      <c r="AG49" s="138">
        <f>AG50+AG55+AG62</f>
        <v>0</v>
      </c>
      <c r="AH49" s="138">
        <f>AH50+AH55+AH62</f>
        <v>0</v>
      </c>
      <c r="AI49" s="138">
        <f>AI50+AI55+AI62</f>
        <v>0</v>
      </c>
      <c r="AJ49" s="138">
        <f>AJ50+AJ55+AJ62</f>
        <v>0</v>
      </c>
      <c r="AK49" s="138">
        <f>AK50+AK55+AK62</f>
        <v>0</v>
      </c>
      <c r="AL49" s="138">
        <f>AL50+AL55+AL62</f>
        <v>0</v>
      </c>
      <c r="AM49" s="138">
        <f>AM50+AM55+AM62</f>
        <v>0</v>
      </c>
      <c r="AN49" s="138">
        <f>AN50+AN55+AN62</f>
        <v>0</v>
      </c>
      <c r="AO49" s="138">
        <f>AO50+AO55+AO62</f>
        <v>0</v>
      </c>
      <c r="AP49" s="138">
        <f>AP50+AP55+AP62</f>
        <v>0</v>
      </c>
      <c r="AQ49" s="138">
        <f>AQ50+AQ55+AQ62</f>
        <v>0</v>
      </c>
      <c r="AR49" s="138">
        <f>AR50+AR55+AR62</f>
        <v>0</v>
      </c>
      <c r="AS49" s="138">
        <f>AS50+AS55+AS62</f>
        <v>0</v>
      </c>
      <c r="AT49" s="138">
        <f>AT50+AT55+AT62</f>
        <v>0</v>
      </c>
      <c r="AU49" s="138">
        <f>AU50+AU55+AU62</f>
        <v>0</v>
      </c>
      <c r="AV49" s="138">
        <f>AV50+AV55+AV62</f>
        <v>0</v>
      </c>
      <c r="AW49" s="138">
        <f>AW50+AW55+AW62</f>
        <v>0</v>
      </c>
      <c r="AX49" s="138">
        <f>AX50+AX55+AX62</f>
        <v>0</v>
      </c>
      <c r="AY49" s="138">
        <f>AY50+AY55+AY62</f>
        <v>0</v>
      </c>
      <c r="AZ49" s="138">
        <f>AZ50+AZ55+AZ62</f>
        <v>0</v>
      </c>
      <c r="BA49" s="138">
        <f>BA50+BA55+BA62</f>
        <v>0</v>
      </c>
      <c r="BB49" s="138">
        <f>BB50+BB55+BB62</f>
        <v>0</v>
      </c>
      <c r="BC49" s="196"/>
      <c r="BD49" s="1541"/>
      <c r="BE49" s="1541"/>
      <c r="BF49" s="1038" t="s">
        <v>937</v>
      </c>
      <c r="BG49" s="1038"/>
      <c r="BH49" s="1038"/>
      <c r="BJ49" s="263"/>
      <c r="BK49" s="263"/>
    </row>
    <row customHeight="1" ht="14.625">
      <c r="B50" s="2543"/>
      <c r="D50" s="923"/>
      <c r="E50" s="635">
        <v>15</v>
      </c>
      <c r="F50" s="1326" cm="1" t="str">
        <f t="array" ref="F50:F50">OFFSET(E50,-1,1)</f>
        <v>1</v>
      </c>
      <c r="I50" s="1336" t="s">
        <v>938</v>
      </c>
      <c r="K50" s="923"/>
      <c r="L50" s="924"/>
      <c r="T50" s="1436" cm="1" t="str">
        <f t="array" ref="T50:T50">T49</f>
        <v>true</v>
      </c>
      <c r="X50" s="1324"/>
      <c r="Z50" s="1324"/>
      <c r="AB50" s="141" t="s">
        <v>290</v>
      </c>
      <c r="AC50" s="1098" t="s">
        <v>938</v>
      </c>
      <c r="AD50" s="1540" t="s">
        <v>936</v>
      </c>
      <c r="AE50" s="187">
        <f>SUMIF($AD51:$AD54,$AD50,AE51:AE54)</f>
        <v>0</v>
      </c>
      <c r="AF50" s="187">
        <f>SUMIF($AD51:$AD54,$AD50,AF51:AF54)</f>
        <v>0</v>
      </c>
      <c r="AG50" s="187">
        <f>SUMIF($AD51:$AD54,$AD50,AG51:AG54)</f>
        <v>0</v>
      </c>
      <c r="AH50" s="187">
        <f>SUMIF($AD51:$AD54,$AD50,AH51:AH54)</f>
        <v>0</v>
      </c>
      <c r="AI50" s="187">
        <f>SUMIF($AD51:$AD54,$AD50,AI51:AI54)</f>
        <v>0</v>
      </c>
      <c r="AJ50" s="187">
        <f>SUMIF($AD51:$AD54,$AD50,AJ51:AJ54)</f>
        <v>0</v>
      </c>
      <c r="AK50" s="187">
        <f>SUMIF($AD51:$AD54,$AD50,AK51:AK54)</f>
        <v>0</v>
      </c>
      <c r="AL50" s="187">
        <f>SUMIF($AD51:$AD54,$AD50,AL51:AL54)</f>
        <v>0</v>
      </c>
      <c r="AM50" s="187">
        <f>SUMIF($AD51:$AD54,$AD50,AM51:AM54)</f>
        <v>0</v>
      </c>
      <c r="AN50" s="187">
        <f>SUMIF($AD51:$AD54,$AD50,AN51:AN54)</f>
        <v>0</v>
      </c>
      <c r="AO50" s="187">
        <f>SUMIF($AD51:$AD54,$AD50,AO51:AO54)</f>
        <v>0</v>
      </c>
      <c r="AP50" s="187">
        <f>SUMIF($AD51:$AD54,$AD50,AP51:AP54)</f>
        <v>0</v>
      </c>
      <c r="AQ50" s="187">
        <f>SUMIF($AD51:$AD54,$AD50,AQ51:AQ54)</f>
        <v>0</v>
      </c>
      <c r="AR50" s="187">
        <f>SUMIF($AD51:$AD54,$AD50,AR51:AR54)</f>
        <v>0</v>
      </c>
      <c r="AS50" s="187">
        <f>SUMIF($AD51:$AD54,$AD50,AS51:AS54)</f>
        <v>0</v>
      </c>
      <c r="AT50" s="187">
        <f>SUMIF($AD51:$AD54,$AD50,AT51:AT54)</f>
        <v>0</v>
      </c>
      <c r="AU50" s="187">
        <f>SUMIF($AD51:$AD54,$AD50,AU51:AU54)</f>
        <v>0</v>
      </c>
      <c r="AV50" s="187">
        <f>SUMIF($AD51:$AD54,$AD50,AV51:AV54)</f>
        <v>0</v>
      </c>
      <c r="AW50" s="187">
        <f>SUMIF($AD51:$AD54,$AD50,AW51:AW54)</f>
        <v>0</v>
      </c>
      <c r="AX50" s="187">
        <f>SUMIF($AD51:$AD54,$AD50,AX51:AX54)</f>
        <v>0</v>
      </c>
      <c r="AY50" s="187">
        <f>SUMIF($AD51:$AD54,$AD50,AY51:AY54)</f>
        <v>0</v>
      </c>
      <c r="AZ50" s="187">
        <f>SUMIF($AD51:$AD54,$AD50,AZ51:AZ54)</f>
        <v>0</v>
      </c>
      <c r="BA50" s="187">
        <f>SUMIF($AD51:$AD54,$AD50,BA51:BA54)</f>
        <v>0</v>
      </c>
      <c r="BB50" s="187">
        <f>SUMIF($AD51:$AD54,$AD50,BB51:BB54)</f>
        <v>0</v>
      </c>
      <c r="BC50" s="2640"/>
      <c r="BF50" s="1054" t="s">
        <v>939</v>
      </c>
      <c r="BG50" s="1054"/>
      <c r="BH50" s="1054"/>
      <c r="BI50" s="1054"/>
      <c r="BJ50" s="1055"/>
      <c r="BK50" s="1055"/>
    </row>
    <row s="1191" customFormat="1" customHeight="1" ht="14.25" hidden="1">
      <c r="A51" s="1541"/>
      <c r="B51" s="431"/>
      <c r="C51" s="1541"/>
      <c r="D51" s="1541"/>
      <c r="E51" s="263">
        <v>15</v>
      </c>
      <c r="F51" s="50" cm="1" t="str">
        <f t="array" ref="F51:F51">OFFSET(E51,-1,1)</f>
        <v>1</v>
      </c>
      <c r="G51" s="142" t="s">
        <v>344</v>
      </c>
      <c r="H51" s="142" cm="1" t="str">
        <f t="array" ref="H51:H51">AC51</f>
        <v>0</v>
      </c>
      <c r="I51" s="1541"/>
      <c r="J51" s="1541"/>
      <c r="K51" s="1541"/>
      <c r="L51" s="1541"/>
      <c r="M51" s="1541"/>
      <c r="N51" s="1541"/>
      <c r="O51" s="1541"/>
      <c r="P51" s="1541"/>
      <c r="Q51" s="1541"/>
      <c r="R51" s="1541"/>
      <c r="S51" s="1541"/>
      <c r="T51" s="468">
        <f>AND(F51&gt;0,Y51&gt;0)</f>
        <v>0</v>
      </c>
      <c r="U51" s="1541"/>
      <c r="V51" s="1541"/>
      <c r="W51" s="764" t="s">
        <v>173</v>
      </c>
      <c r="X51" s="1519"/>
      <c r="Y51" s="1541">
        <v>0</v>
      </c>
      <c r="Z51" s="1541"/>
      <c r="AA51" s="668" t="s">
        <v>174</v>
      </c>
      <c r="AB51" s="85" t="str">
        <f>"1."&amp;Y51</f>
        <v>1.0</v>
      </c>
      <c r="AC51" s="2546"/>
      <c r="AD51" s="89" t="s">
        <v>936</v>
      </c>
      <c r="AE51" s="1817"/>
      <c r="AF51" s="1817"/>
      <c r="AG51" s="1817"/>
      <c r="AH51" s="1817"/>
      <c r="AI51" s="1817"/>
      <c r="AJ51" s="1817"/>
      <c r="AK51" s="1817"/>
      <c r="AL51" s="1817"/>
      <c r="AM51" s="1817"/>
      <c r="AN51" s="1817"/>
      <c r="AO51" s="1817"/>
      <c r="AP51" s="1817"/>
      <c r="AQ51" s="1817"/>
      <c r="AR51" s="1817"/>
      <c r="AS51" s="1817"/>
      <c r="AT51" s="1817"/>
      <c r="AU51" s="1817"/>
      <c r="AV51" s="1817"/>
      <c r="AW51" s="1817"/>
      <c r="AX51" s="1817"/>
      <c r="AY51" s="1817"/>
      <c r="AZ51" s="1817"/>
      <c r="BA51" s="1817"/>
      <c r="BB51" s="1817"/>
      <c r="BC51" s="1928"/>
      <c r="BD51" s="1541"/>
      <c r="BE51" s="1541"/>
      <c r="BF51" s="1038" t="s">
        <v>940</v>
      </c>
      <c r="BG51" s="1038" t="s">
        <v>941</v>
      </c>
      <c r="BH51" s="1038" cm="1" t="str">
        <f t="array" ref="BH51:BH51">AC51</f>
        <v>0</v>
      </c>
      <c r="BJ51" s="263"/>
      <c r="BK51" s="263" t="b">
        <v>1</v>
      </c>
    </row>
    <row customHeight="1" ht="14.625" hidden="1">
      <c r="A52" s="1328"/>
      <c r="B52" s="2543"/>
      <c r="C52" s="1328"/>
      <c r="D52" s="1328"/>
      <c r="E52" s="635">
        <v>15</v>
      </c>
      <c r="F52" s="1326" cm="1" t="str">
        <f t="array" ref="F52:F52">OFFSET(E52,-1,1)</f>
        <v>1</v>
      </c>
      <c r="G52" s="1328"/>
      <c r="H52" s="1328"/>
      <c r="I52" s="1328"/>
      <c r="J52" s="1328"/>
      <c r="K52" s="1328"/>
      <c r="L52" s="1328"/>
      <c r="M52" s="1328"/>
      <c r="N52" s="1328"/>
      <c r="O52" s="1328"/>
      <c r="P52" s="1328"/>
      <c r="Q52" s="1328"/>
      <c r="R52" s="1328"/>
      <c r="S52" s="1328"/>
      <c r="T52" s="1436" cm="1" t="str">
        <f t="array" ref="T52:T52">T51</f>
        <v>false</v>
      </c>
      <c r="U52" s="1328"/>
      <c r="V52" s="1328"/>
      <c r="W52" s="856"/>
      <c r="X52" s="1324"/>
      <c r="Y52" s="1519"/>
      <c r="Z52" s="1324"/>
      <c r="AA52" s="2547"/>
      <c r="AB52" s="2548" t="str">
        <f>AB51&amp;".1"</f>
        <v>1.0.1</v>
      </c>
      <c r="AC52" s="327" t="s">
        <v>942</v>
      </c>
      <c r="AD52" s="1554" t="s">
        <v>943</v>
      </c>
      <c r="AE52" s="2549"/>
      <c r="AF52" s="2549"/>
      <c r="AG52" s="2549"/>
      <c r="AH52" s="2549"/>
      <c r="AI52" s="2549"/>
      <c r="AJ52" s="2549"/>
      <c r="AK52" s="2549"/>
      <c r="AL52" s="2549"/>
      <c r="AM52" s="2549"/>
      <c r="AN52" s="2549"/>
      <c r="AO52" s="2549"/>
      <c r="AP52" s="2549"/>
      <c r="AQ52" s="2549"/>
      <c r="AR52" s="2549"/>
      <c r="AS52" s="2549"/>
      <c r="AT52" s="2549"/>
      <c r="AU52" s="2549"/>
      <c r="AV52" s="2549"/>
      <c r="AW52" s="2549"/>
      <c r="AX52" s="2549"/>
      <c r="AY52" s="2549"/>
      <c r="AZ52" s="2549"/>
      <c r="BA52" s="2549"/>
      <c r="BB52" s="2549"/>
      <c r="BC52" s="2550"/>
      <c r="BD52" s="1328"/>
      <c r="BE52" s="1328"/>
      <c r="BF52" s="1054" t="s">
        <v>944</v>
      </c>
      <c r="BG52" s="1054" t="s">
        <v>941</v>
      </c>
      <c r="BH52" s="1054" cm="1" t="str">
        <f t="array" ref="BH52:BH52">BH51</f>
        <v>0</v>
      </c>
      <c r="BI52" s="1054"/>
      <c r="BJ52" s="1055"/>
      <c r="BK52" s="1055"/>
    </row>
    <row customHeight="1" ht="14.625" hidden="1">
      <c r="A53" s="1328"/>
      <c r="B53" s="2543"/>
      <c r="C53" s="1328"/>
      <c r="D53" s="1328"/>
      <c r="E53" s="635">
        <v>15</v>
      </c>
      <c r="F53" s="1326" cm="1" t="str">
        <f t="array" ref="F53:F53">OFFSET(E53,-1,1)</f>
        <v>1</v>
      </c>
      <c r="G53" s="1328"/>
      <c r="H53" s="1328"/>
      <c r="I53" s="1328"/>
      <c r="J53" s="1328"/>
      <c r="K53" s="1328"/>
      <c r="L53" s="1328"/>
      <c r="M53" s="1328"/>
      <c r="N53" s="1328"/>
      <c r="O53" s="1328"/>
      <c r="P53" s="1328"/>
      <c r="Q53" s="1328"/>
      <c r="R53" s="1328"/>
      <c r="S53" s="1328"/>
      <c r="T53" s="1436" cm="1" t="str">
        <f t="array" ref="T53:T53">T52</f>
        <v>false</v>
      </c>
      <c r="U53" s="1328"/>
      <c r="V53" s="1328"/>
      <c r="W53" s="856"/>
      <c r="X53" s="1324"/>
      <c r="Y53" s="1519"/>
      <c r="Z53" s="1324"/>
      <c r="AA53" s="2547"/>
      <c r="AB53" s="2548" t="str">
        <f>AB51&amp;".2"</f>
        <v>1.0.2</v>
      </c>
      <c r="AC53" s="327" t="s">
        <v>945</v>
      </c>
      <c r="AD53" s="1554" t="s">
        <v>946</v>
      </c>
      <c r="AE53" s="2549"/>
      <c r="AF53" s="2549"/>
      <c r="AG53" s="2549"/>
      <c r="AH53" s="2549"/>
      <c r="AI53" s="2549"/>
      <c r="AJ53" s="2549"/>
      <c r="AK53" s="2549"/>
      <c r="AL53" s="2549"/>
      <c r="AM53" s="2549"/>
      <c r="AN53" s="2549"/>
      <c r="AO53" s="2549"/>
      <c r="AP53" s="2549"/>
      <c r="AQ53" s="2549"/>
      <c r="AR53" s="2549"/>
      <c r="AS53" s="2549"/>
      <c r="AT53" s="2549"/>
      <c r="AU53" s="2549"/>
      <c r="AV53" s="2549"/>
      <c r="AW53" s="2549"/>
      <c r="AX53" s="2549"/>
      <c r="AY53" s="2549"/>
      <c r="AZ53" s="2549"/>
      <c r="BA53" s="2549"/>
      <c r="BB53" s="2549"/>
      <c r="BC53" s="2550"/>
      <c r="BD53" s="1328"/>
      <c r="BE53" s="1328"/>
      <c r="BF53" s="1054" t="s">
        <v>947</v>
      </c>
      <c r="BG53" s="1054" t="s">
        <v>941</v>
      </c>
      <c r="BH53" s="1054" cm="1" t="str">
        <f t="array" ref="BH53:BH53">BH52</f>
        <v>0</v>
      </c>
      <c r="BI53" s="1054"/>
      <c r="BJ53" s="1055"/>
      <c r="BK53" s="1055"/>
    </row>
    <row customHeight="1" ht="14.625">
      <c r="B54" s="2551"/>
      <c r="E54" s="635">
        <v>15</v>
      </c>
      <c r="F54" s="1326" cm="1" t="str">
        <f t="array" ref="F54:F54">OFFSET(E54,-1,1)</f>
        <v>1</v>
      </c>
      <c r="H54" s="1363" t="str">
        <f>"!== 'Всего по тарифу'"</f>
        <v>!== 'Всего по тарифу'</v>
      </c>
      <c r="T54" s="1436">
        <f>F54&gt;0</f>
        <v>1</v>
      </c>
      <c r="W54" s="856" t="s">
        <v>410</v>
      </c>
      <c r="X54" s="1324"/>
      <c r="Z54" s="1324"/>
      <c r="AB54" s="2641"/>
      <c r="AC54" s="2642" t="s">
        <v>177</v>
      </c>
      <c r="AD54" s="2643"/>
      <c r="AE54" s="2644"/>
      <c r="AF54" s="2645"/>
      <c r="AG54" s="2646"/>
      <c r="AH54" s="2647"/>
      <c r="AI54" s="2648"/>
      <c r="AJ54" s="2649"/>
      <c r="AK54" s="2650"/>
      <c r="AL54" s="2651"/>
      <c r="AM54" s="2652"/>
      <c r="AN54" s="2653"/>
      <c r="AO54" s="2654"/>
      <c r="AP54" s="2655"/>
      <c r="AQ54" s="2656"/>
      <c r="AR54" s="2657"/>
      <c r="AS54" s="2658"/>
      <c r="AT54" s="2659"/>
      <c r="AU54" s="2660"/>
      <c r="AV54" s="2661"/>
      <c r="AW54" s="2662"/>
      <c r="AX54" s="2663"/>
      <c r="AY54" s="2664"/>
      <c r="AZ54" s="2665"/>
      <c r="BA54" s="2666"/>
      <c r="BB54" s="2667"/>
      <c r="BC54" s="2668"/>
      <c r="BF54" s="1026"/>
      <c r="BG54" s="1026"/>
      <c r="BH54" s="1026"/>
      <c r="BI54" s="1026"/>
      <c r="BJ54" s="1362" t="s">
        <v>941</v>
      </c>
      <c r="BK54" s="1362"/>
    </row>
    <row customHeight="1" ht="14.625">
      <c r="B55" s="2551"/>
      <c r="E55" s="635">
        <v>15</v>
      </c>
      <c r="F55" s="1326" cm="1" t="str">
        <f t="array" ref="F55:F55">OFFSET(E55,-1,1)</f>
        <v>1</v>
      </c>
      <c r="I55" s="1336" t="s">
        <v>948</v>
      </c>
      <c r="T55" s="1436" cm="1" t="str">
        <f t="array" ref="T55:T55">T54</f>
        <v>true</v>
      </c>
      <c r="W55" s="856"/>
      <c r="X55" s="1324"/>
      <c r="Z55" s="1324"/>
      <c r="AB55" s="141" t="s">
        <v>299</v>
      </c>
      <c r="AC55" s="1098" t="s">
        <v>948</v>
      </c>
      <c r="AD55" s="1540" t="s">
        <v>936</v>
      </c>
      <c r="AE55" s="187">
        <f>AE56+AE57</f>
        <v>0</v>
      </c>
      <c r="AF55" s="187">
        <f>AF56+AF57</f>
        <v>0</v>
      </c>
      <c r="AG55" s="187">
        <f>AG56+AG57</f>
        <v>0</v>
      </c>
      <c r="AH55" s="187">
        <f>AH56+AH57</f>
        <v>0</v>
      </c>
      <c r="AI55" s="187">
        <f>AI56+AI57</f>
        <v>0</v>
      </c>
      <c r="AJ55" s="187">
        <f>AJ56+AJ57</f>
        <v>0</v>
      </c>
      <c r="AK55" s="187">
        <f>AK56+AK57</f>
        <v>0</v>
      </c>
      <c r="AL55" s="187">
        <f>AL56+AL57</f>
        <v>0</v>
      </c>
      <c r="AM55" s="187">
        <f>AM56+AM57</f>
        <v>0</v>
      </c>
      <c r="AN55" s="187">
        <f>AN56+AN57</f>
        <v>0</v>
      </c>
      <c r="AO55" s="187">
        <f>AO56+AO57</f>
        <v>0</v>
      </c>
      <c r="AP55" s="187">
        <f>AP56+AP57</f>
        <v>0</v>
      </c>
      <c r="AQ55" s="187">
        <f>AQ56+AQ57</f>
        <v>0</v>
      </c>
      <c r="AR55" s="187">
        <f>AR56+AR57</f>
        <v>0</v>
      </c>
      <c r="AS55" s="187">
        <f>AS56+AS57</f>
        <v>0</v>
      </c>
      <c r="AT55" s="187">
        <f>AT56+AT57</f>
        <v>0</v>
      </c>
      <c r="AU55" s="187">
        <f>AU56+AU57</f>
        <v>0</v>
      </c>
      <c r="AV55" s="187">
        <f>AV56+AV57</f>
        <v>0</v>
      </c>
      <c r="AW55" s="187">
        <f>AW56+AW57</f>
        <v>0</v>
      </c>
      <c r="AX55" s="187">
        <f>AX56+AX57</f>
        <v>0</v>
      </c>
      <c r="AY55" s="187">
        <f>AY56+AY57</f>
        <v>0</v>
      </c>
      <c r="AZ55" s="187">
        <f>AZ56+AZ57</f>
        <v>0</v>
      </c>
      <c r="BA55" s="187">
        <f>BA56+BA57</f>
        <v>0</v>
      </c>
      <c r="BB55" s="187">
        <f>BB56+BB57</f>
        <v>0</v>
      </c>
      <c r="BC55" s="2640"/>
      <c r="BF55" s="1026" t="s">
        <v>949</v>
      </c>
      <c r="BG55" s="1026"/>
      <c r="BH55" s="1026"/>
      <c r="BI55" s="1026"/>
      <c r="BJ55" s="1362"/>
      <c r="BK55" s="1362"/>
    </row>
    <row customHeight="1" ht="32.90625">
      <c r="B56" s="2551"/>
      <c r="E56" s="635">
        <v>33.75</v>
      </c>
      <c r="F56" s="1326" cm="1" t="str">
        <f t="array" ref="F56:F56">OFFSET(E56,-1,1)</f>
        <v>1</v>
      </c>
      <c r="T56" s="1436" cm="1" t="str">
        <f t="array" ref="T56:T56">T55</f>
        <v>true</v>
      </c>
      <c r="W56" s="856"/>
      <c r="X56" s="1324"/>
      <c r="Z56" s="1324"/>
      <c r="AB56" s="141" t="s">
        <v>660</v>
      </c>
      <c r="AC56" s="1098" t="s">
        <v>950</v>
      </c>
      <c r="AD56" s="1540" t="s">
        <v>936</v>
      </c>
      <c r="AE56" s="1105"/>
      <c r="AF56" s="1105"/>
      <c r="AG56" s="1105"/>
      <c r="AH56" s="1105"/>
      <c r="AI56" s="1105"/>
      <c r="AJ56" s="2549"/>
      <c r="AK56" s="2549"/>
      <c r="AL56" s="2549"/>
      <c r="AM56" s="2549"/>
      <c r="AN56" s="2549"/>
      <c r="AO56" s="2549"/>
      <c r="AP56" s="2549"/>
      <c r="AQ56" s="2549"/>
      <c r="AR56" s="2549"/>
      <c r="AS56" s="1105"/>
      <c r="AT56" s="2549"/>
      <c r="AU56" s="2549"/>
      <c r="AV56" s="2549"/>
      <c r="AW56" s="2549"/>
      <c r="AX56" s="2549"/>
      <c r="AY56" s="2549"/>
      <c r="AZ56" s="2549"/>
      <c r="BA56" s="2549"/>
      <c r="BB56" s="2549"/>
      <c r="BC56" s="2640"/>
      <c r="BF56" s="1026" t="s">
        <v>951</v>
      </c>
      <c r="BG56" s="1026"/>
      <c r="BH56" s="1026"/>
      <c r="BI56" s="1026"/>
      <c r="BJ56" s="1362"/>
      <c r="BK56" s="1362"/>
    </row>
    <row customHeight="1" ht="43.875">
      <c r="B57" s="2551"/>
      <c r="E57" s="635">
        <v>45</v>
      </c>
      <c r="F57" s="1326" cm="1" t="str">
        <f t="array" ref="F57:F57">OFFSET(E57,-1,1)</f>
        <v>1</v>
      </c>
      <c r="T57" s="1436" cm="1" t="str">
        <f t="array" ref="T57:T57">T56</f>
        <v>true</v>
      </c>
      <c r="W57" s="856"/>
      <c r="X57" s="1324"/>
      <c r="Z57" s="1324"/>
      <c r="AB57" s="141" t="s">
        <v>664</v>
      </c>
      <c r="AC57" s="1098" t="s">
        <v>952</v>
      </c>
      <c r="AD57" s="1540" t="s">
        <v>936</v>
      </c>
      <c r="AE57" s="187">
        <f>SUMIF($AD58:$AD61,$AD57,AE58:AE61)</f>
        <v>0</v>
      </c>
      <c r="AF57" s="187">
        <f>SUMIF($AD58:$AD61,$AD57,AF58:AF61)</f>
        <v>0</v>
      </c>
      <c r="AG57" s="187">
        <f>SUMIF($AD58:$AD61,$AD57,AG58:AG61)</f>
        <v>0</v>
      </c>
      <c r="AH57" s="187">
        <f>SUMIF($AD58:$AD61,$AD57,AH58:AH61)</f>
        <v>0</v>
      </c>
      <c r="AI57" s="187">
        <f>SUMIF($AD58:$AD61,$AD57,AI58:AI61)</f>
        <v>0</v>
      </c>
      <c r="AJ57" s="187">
        <f>SUMIF($AD58:$AD61,$AD57,AJ58:AJ61)</f>
        <v>0</v>
      </c>
      <c r="AK57" s="187">
        <f>SUMIF($AD58:$AD61,$AD57,AK58:AK61)</f>
        <v>0</v>
      </c>
      <c r="AL57" s="187">
        <f>SUMIF($AD58:$AD61,$AD57,AL58:AL61)</f>
        <v>0</v>
      </c>
      <c r="AM57" s="187">
        <f>SUMIF($AD58:$AD61,$AD57,AM58:AM61)</f>
        <v>0</v>
      </c>
      <c r="AN57" s="187">
        <f>SUMIF($AD58:$AD61,$AD57,AN58:AN61)</f>
        <v>0</v>
      </c>
      <c r="AO57" s="187">
        <f>SUMIF($AD58:$AD61,$AD57,AO58:AO61)</f>
        <v>0</v>
      </c>
      <c r="AP57" s="187">
        <f>SUMIF($AD58:$AD61,$AD57,AP58:AP61)</f>
        <v>0</v>
      </c>
      <c r="AQ57" s="187">
        <f>SUMIF($AD58:$AD61,$AD57,AQ58:AQ61)</f>
        <v>0</v>
      </c>
      <c r="AR57" s="187">
        <f>SUMIF($AD58:$AD61,$AD57,AR58:AR61)</f>
        <v>0</v>
      </c>
      <c r="AS57" s="187">
        <f>SUMIF($AD58:$AD61,$AD57,AS58:AS61)</f>
        <v>0</v>
      </c>
      <c r="AT57" s="187">
        <f>SUMIF($AD58:$AD61,$AD57,AT58:AT61)</f>
        <v>0</v>
      </c>
      <c r="AU57" s="187">
        <f>SUMIF($AD58:$AD61,$AD57,AU58:AU61)</f>
        <v>0</v>
      </c>
      <c r="AV57" s="187">
        <f>SUMIF($AD58:$AD61,$AD57,AV58:AV61)</f>
        <v>0</v>
      </c>
      <c r="AW57" s="187">
        <f>SUMIF($AD58:$AD61,$AD57,AW58:AW61)</f>
        <v>0</v>
      </c>
      <c r="AX57" s="187">
        <f>SUMIF($AD58:$AD61,$AD57,AX58:AX61)</f>
        <v>0</v>
      </c>
      <c r="AY57" s="187">
        <f>SUMIF($AD58:$AD61,$AD57,AY58:AY61)</f>
        <v>0</v>
      </c>
      <c r="AZ57" s="187">
        <f>SUMIF($AD58:$AD61,$AD57,AZ58:AZ61)</f>
        <v>0</v>
      </c>
      <c r="BA57" s="187">
        <f>SUMIF($AD58:$AD61,$AD57,BA58:BA61)</f>
        <v>0</v>
      </c>
      <c r="BB57" s="187">
        <f>SUMIF($AD58:$AD61,$AD57,BB58:BB61)</f>
        <v>0</v>
      </c>
      <c r="BC57" s="2640"/>
      <c r="BF57" s="1026" t="s">
        <v>953</v>
      </c>
      <c r="BG57" s="1026"/>
      <c r="BH57" s="1026"/>
      <c r="BI57" s="1026"/>
      <c r="BJ57" s="1362"/>
      <c r="BK57" s="1362"/>
    </row>
    <row customHeight="1" ht="14.625" hidden="1">
      <c r="A58" s="1308"/>
      <c r="B58" s="1617"/>
      <c r="C58" s="1308"/>
      <c r="D58" s="1308"/>
      <c r="E58" s="635">
        <v>15</v>
      </c>
      <c r="F58" s="1326" cm="1" t="str">
        <f t="array" ref="F58:F58">OFFSET(E58,-1,1)</f>
        <v>1</v>
      </c>
      <c r="G58" s="1308"/>
      <c r="H58" s="1308"/>
      <c r="I58" s="1308"/>
      <c r="J58" s="1308"/>
      <c r="K58" s="1308"/>
      <c r="L58" s="1308"/>
      <c r="M58" s="1308"/>
      <c r="N58" s="1308"/>
      <c r="O58" s="1308"/>
      <c r="P58" s="1308"/>
      <c r="Q58" s="1308"/>
      <c r="R58" s="1308"/>
      <c r="S58" s="1308"/>
      <c r="T58" s="1436">
        <f>AND(F58&gt;0,Y58&gt;0)</f>
        <v>0</v>
      </c>
      <c r="U58" s="1328"/>
      <c r="V58" s="1328"/>
      <c r="W58" s="856" t="s">
        <v>173</v>
      </c>
      <c r="X58" s="1324"/>
      <c r="Y58" s="1559">
        <v>0</v>
      </c>
      <c r="Z58" s="1324"/>
      <c r="AA58" s="2580" t="s">
        <v>174</v>
      </c>
      <c r="AB58" s="1577" t="str">
        <f>"2.3."&amp;Y58</f>
        <v>2.3.0</v>
      </c>
      <c r="AC58" s="2581"/>
      <c r="AD58" s="1540" t="s">
        <v>936</v>
      </c>
      <c r="AE58" s="2549"/>
      <c r="AF58" s="2549"/>
      <c r="AG58" s="2549"/>
      <c r="AH58" s="2549"/>
      <c r="AI58" s="2549"/>
      <c r="AJ58" s="2549"/>
      <c r="AK58" s="2549"/>
      <c r="AL58" s="2549"/>
      <c r="AM58" s="2549"/>
      <c r="AN58" s="2549"/>
      <c r="AO58" s="2549"/>
      <c r="AP58" s="2549"/>
      <c r="AQ58" s="2549"/>
      <c r="AR58" s="2549"/>
      <c r="AS58" s="2549"/>
      <c r="AT58" s="2549"/>
      <c r="AU58" s="2549"/>
      <c r="AV58" s="2549"/>
      <c r="AW58" s="2549"/>
      <c r="AX58" s="2549"/>
      <c r="AY58" s="2549"/>
      <c r="AZ58" s="2549"/>
      <c r="BA58" s="2549"/>
      <c r="BB58" s="2549"/>
      <c r="BC58" s="2544"/>
      <c r="BD58" s="1328"/>
      <c r="BE58" s="1328"/>
      <c r="BF58" s="1309" t="s">
        <v>954</v>
      </c>
      <c r="BG58" s="1309" t="s">
        <v>955</v>
      </c>
      <c r="BH58" s="1309" cm="1" t="str">
        <f t="array" ref="BH58:BH58">AC58</f>
        <v>0</v>
      </c>
      <c r="BI58" s="1309" cm="1" t="str">
        <f t="array" ref="BI58:BI58">AD59</f>
        <v>0</v>
      </c>
      <c r="BJ58" s="1243"/>
      <c r="BK58" s="1310" t="b">
        <v>1</v>
      </c>
    </row>
    <row customHeight="1" ht="14.625" hidden="1">
      <c r="A59" s="1308"/>
      <c r="B59" s="1617"/>
      <c r="C59" s="1308"/>
      <c r="D59" s="1308"/>
      <c r="E59" s="635">
        <v>15</v>
      </c>
      <c r="F59" s="1326" cm="1" t="str">
        <f t="array" ref="F59:F59">OFFSET(E59,-1,1)</f>
        <v>1</v>
      </c>
      <c r="G59" s="1308"/>
      <c r="H59" s="1308"/>
      <c r="I59" s="1308"/>
      <c r="J59" s="1308"/>
      <c r="K59" s="1308"/>
      <c r="L59" s="1308"/>
      <c r="M59" s="1308"/>
      <c r="N59" s="1308"/>
      <c r="O59" s="1308"/>
      <c r="P59" s="1308"/>
      <c r="Q59" s="1308"/>
      <c r="R59" s="1308"/>
      <c r="S59" s="1308"/>
      <c r="T59" s="1436" cm="1" t="str">
        <f t="array" ref="T59:T59">T58</f>
        <v>false</v>
      </c>
      <c r="U59" s="1308"/>
      <c r="V59" s="1327"/>
      <c r="W59" s="1308"/>
      <c r="X59" s="1324"/>
      <c r="Y59" s="1559"/>
      <c r="Z59" s="1324"/>
      <c r="AA59" s="2580"/>
      <c r="AB59" s="1577" t="str">
        <f>AB58&amp;".1"</f>
        <v>2.3.0.1</v>
      </c>
      <c r="AC59" s="1100" t="s">
        <v>942</v>
      </c>
      <c r="AD59" s="2582"/>
      <c r="AE59" s="2549"/>
      <c r="AF59" s="2549"/>
      <c r="AG59" s="2549"/>
      <c r="AH59" s="2549"/>
      <c r="AI59" s="2549"/>
      <c r="AJ59" s="2549"/>
      <c r="AK59" s="2549"/>
      <c r="AL59" s="2549"/>
      <c r="AM59" s="2549"/>
      <c r="AN59" s="2549"/>
      <c r="AO59" s="2549"/>
      <c r="AP59" s="2549"/>
      <c r="AQ59" s="2549"/>
      <c r="AR59" s="2549"/>
      <c r="AS59" s="2549"/>
      <c r="AT59" s="2549"/>
      <c r="AU59" s="2549"/>
      <c r="AV59" s="2549"/>
      <c r="AW59" s="2549"/>
      <c r="AX59" s="2549"/>
      <c r="AY59" s="2549"/>
      <c r="AZ59" s="2549"/>
      <c r="BA59" s="2549"/>
      <c r="BB59" s="2549"/>
      <c r="BC59" s="2544"/>
      <c r="BD59" s="1328"/>
      <c r="BE59" s="1328"/>
      <c r="BF59" s="1309" t="s">
        <v>944</v>
      </c>
      <c r="BG59" s="1309" t="s">
        <v>955</v>
      </c>
      <c r="BH59" s="1309" cm="1" t="str">
        <f t="array" ref="BH59:BH59">BH58</f>
        <v>0</v>
      </c>
      <c r="BI59" s="1309" cm="1" t="str">
        <f t="array" ref="BI59:BI59">BI58</f>
        <v>0</v>
      </c>
      <c r="BJ59" s="1243"/>
      <c r="BK59" s="1310"/>
    </row>
    <row customHeight="1" ht="14.625" hidden="1">
      <c r="A60" s="1308"/>
      <c r="B60" s="1617"/>
      <c r="C60" s="1308"/>
      <c r="D60" s="1308"/>
      <c r="E60" s="635">
        <v>15</v>
      </c>
      <c r="F60" s="1326" cm="1" t="str">
        <f t="array" ref="F60:F60">OFFSET(E60,-1,1)</f>
        <v>1</v>
      </c>
      <c r="G60" s="1308"/>
      <c r="H60" s="1308"/>
      <c r="I60" s="1308"/>
      <c r="J60" s="1308"/>
      <c r="K60" s="1308"/>
      <c r="L60" s="1308"/>
      <c r="M60" s="1308"/>
      <c r="N60" s="1308"/>
      <c r="O60" s="1308"/>
      <c r="P60" s="1308"/>
      <c r="Q60" s="1308"/>
      <c r="R60" s="1308"/>
      <c r="S60" s="1308"/>
      <c r="T60" s="1436" cm="1" t="str">
        <f t="array" ref="T60:T60">T59</f>
        <v>false</v>
      </c>
      <c r="U60" s="1308"/>
      <c r="V60" s="1327"/>
      <c r="W60" s="1308"/>
      <c r="X60" s="1324"/>
      <c r="Y60" s="1559"/>
      <c r="Z60" s="1324"/>
      <c r="AA60" s="2580"/>
      <c r="AB60" s="1577" t="str">
        <f>AB58&amp;".2"</f>
        <v>2.3.0.2</v>
      </c>
      <c r="AC60" s="1100" t="s">
        <v>956</v>
      </c>
      <c r="AD60" s="1554" t="s">
        <v>946</v>
      </c>
      <c r="AE60" s="2549"/>
      <c r="AF60" s="2549"/>
      <c r="AG60" s="2549"/>
      <c r="AH60" s="2549"/>
      <c r="AI60" s="2549"/>
      <c r="AJ60" s="2549"/>
      <c r="AK60" s="2549"/>
      <c r="AL60" s="2549"/>
      <c r="AM60" s="2549"/>
      <c r="AN60" s="2549"/>
      <c r="AO60" s="2549"/>
      <c r="AP60" s="2549"/>
      <c r="AQ60" s="2549"/>
      <c r="AR60" s="2549"/>
      <c r="AS60" s="2549"/>
      <c r="AT60" s="2549"/>
      <c r="AU60" s="2549"/>
      <c r="AV60" s="2549"/>
      <c r="AW60" s="2549"/>
      <c r="AX60" s="2549"/>
      <c r="AY60" s="2549"/>
      <c r="AZ60" s="2549"/>
      <c r="BA60" s="2549"/>
      <c r="BB60" s="2549"/>
      <c r="BC60" s="2544"/>
      <c r="BD60" s="1328"/>
      <c r="BE60" s="1328"/>
      <c r="BF60" s="1309" t="s">
        <v>947</v>
      </c>
      <c r="BG60" s="1309" t="s">
        <v>955</v>
      </c>
      <c r="BH60" s="1309" cm="1" t="str">
        <f t="array" ref="BH60:BH60">BH59</f>
        <v>0</v>
      </c>
      <c r="BI60" s="1309" cm="1" t="str">
        <f t="array" ref="BI60:BI60">BI59</f>
        <v>0</v>
      </c>
      <c r="BJ60" s="1243"/>
      <c r="BK60" s="1310"/>
    </row>
    <row customHeight="1" ht="14.625">
      <c r="A61" s="1308"/>
      <c r="B61" s="1617"/>
      <c r="C61" s="1308"/>
      <c r="D61" s="1308"/>
      <c r="E61" s="635">
        <v>15</v>
      </c>
      <c r="F61" s="1326" cm="1" t="str">
        <f t="array" ref="F61:F61">OFFSET(E61,-1,1)</f>
        <v>1</v>
      </c>
      <c r="G61" s="1308"/>
      <c r="H61" s="1308"/>
      <c r="I61" s="1308"/>
      <c r="J61" s="1308"/>
      <c r="K61" s="1308"/>
      <c r="L61" s="1308"/>
      <c r="M61" s="1308"/>
      <c r="N61" s="1308"/>
      <c r="O61" s="1308"/>
      <c r="P61" s="1308"/>
      <c r="Q61" s="1308"/>
      <c r="R61" s="1308"/>
      <c r="S61" s="1308"/>
      <c r="T61" s="1436">
        <f>F61&gt;0</f>
        <v>1</v>
      </c>
      <c r="U61" s="1308"/>
      <c r="V61" s="1327"/>
      <c r="W61" s="856" t="s">
        <v>957</v>
      </c>
      <c r="X61" s="1324"/>
      <c r="Y61" s="1308"/>
      <c r="Z61" s="1324"/>
      <c r="AA61" s="1308"/>
      <c r="AB61" s="2669"/>
      <c r="AC61" s="2670" t="s">
        <v>177</v>
      </c>
      <c r="AD61" s="2671"/>
      <c r="AE61" s="2672"/>
      <c r="AF61" s="2673"/>
      <c r="AG61" s="2674"/>
      <c r="AH61" s="2675"/>
      <c r="AI61" s="2676"/>
      <c r="AJ61" s="2677"/>
      <c r="AK61" s="2678"/>
      <c r="AL61" s="2679"/>
      <c r="AM61" s="2680"/>
      <c r="AN61" s="2681"/>
      <c r="AO61" s="2682"/>
      <c r="AP61" s="2683"/>
      <c r="AQ61" s="2684"/>
      <c r="AR61" s="2685"/>
      <c r="AS61" s="2686"/>
      <c r="AT61" s="2687"/>
      <c r="AU61" s="2688"/>
      <c r="AV61" s="2689"/>
      <c r="AW61" s="2690"/>
      <c r="AX61" s="2691"/>
      <c r="AY61" s="2692"/>
      <c r="AZ61" s="2693"/>
      <c r="BA61" s="2694"/>
      <c r="BB61" s="2695"/>
      <c r="BC61" s="2696"/>
      <c r="BF61" s="1309"/>
      <c r="BG61" s="1309"/>
      <c r="BH61" s="1309"/>
      <c r="BI61" s="1309"/>
      <c r="BJ61" s="1243" t="s">
        <v>955</v>
      </c>
      <c r="BK61" s="1310"/>
    </row>
    <row customHeight="1" ht="22.668750000000003">
      <c r="A62" s="1308"/>
      <c r="B62" s="1617"/>
      <c r="C62" s="1308"/>
      <c r="D62" s="1308"/>
      <c r="E62" s="635">
        <v>23.25</v>
      </c>
      <c r="F62" s="1326" cm="1" t="str">
        <f t="array" ref="F62:F62">OFFSET(E62,-1,1)</f>
        <v>1</v>
      </c>
      <c r="G62" s="1308"/>
      <c r="I62" s="1336" t="s">
        <v>958</v>
      </c>
      <c r="J62" s="1308"/>
      <c r="K62" s="1308"/>
      <c r="L62" s="1308"/>
      <c r="M62" s="1308"/>
      <c r="N62" s="1308"/>
      <c r="O62" s="1308"/>
      <c r="P62" s="1308"/>
      <c r="Q62" s="1308"/>
      <c r="R62" s="1308"/>
      <c r="S62" s="1308"/>
      <c r="T62" s="1436" cm="1" t="str">
        <f t="array" ref="T62:T62">T61</f>
        <v>true</v>
      </c>
      <c r="U62" s="1308"/>
      <c r="V62" s="1327"/>
      <c r="W62" s="1308"/>
      <c r="X62" s="1324"/>
      <c r="Y62" s="1308"/>
      <c r="Z62" s="1324"/>
      <c r="AA62" s="1308"/>
      <c r="AB62" s="141" t="s">
        <v>234</v>
      </c>
      <c r="AC62" s="1098" t="s">
        <v>959</v>
      </c>
      <c r="AD62" s="1540" t="s">
        <v>936</v>
      </c>
      <c r="AE62" s="187">
        <f>AE63+AE64</f>
        <v>0</v>
      </c>
      <c r="AF62" s="187">
        <f>AF63+AF64</f>
        <v>0</v>
      </c>
      <c r="AG62" s="187">
        <f>AG63+AG64</f>
        <v>0</v>
      </c>
      <c r="AH62" s="187">
        <f>AH63+AH64</f>
        <v>0</v>
      </c>
      <c r="AI62" s="187">
        <f>AI63+AI64</f>
        <v>0</v>
      </c>
      <c r="AJ62" s="187">
        <f>AJ63+AJ64</f>
        <v>0</v>
      </c>
      <c r="AK62" s="187">
        <f>AK63+AK64</f>
        <v>0</v>
      </c>
      <c r="AL62" s="187">
        <f>AL63+AL64</f>
        <v>0</v>
      </c>
      <c r="AM62" s="187">
        <f>AM63+AM64</f>
        <v>0</v>
      </c>
      <c r="AN62" s="187">
        <f>AN63+AN64</f>
        <v>0</v>
      </c>
      <c r="AO62" s="187">
        <f>AO63+AO64</f>
        <v>0</v>
      </c>
      <c r="AP62" s="187">
        <f>AP63+AP64</f>
        <v>0</v>
      </c>
      <c r="AQ62" s="187">
        <f>AQ63+AQ64</f>
        <v>0</v>
      </c>
      <c r="AR62" s="187">
        <f>AR63+AR64</f>
        <v>0</v>
      </c>
      <c r="AS62" s="187">
        <f>AS63+AS64</f>
        <v>0</v>
      </c>
      <c r="AT62" s="187">
        <f>AT63+AT64</f>
        <v>0</v>
      </c>
      <c r="AU62" s="187">
        <f>AU63+AU64</f>
        <v>0</v>
      </c>
      <c r="AV62" s="187">
        <f>AV63+AV64</f>
        <v>0</v>
      </c>
      <c r="AW62" s="187">
        <f>AW63+AW64</f>
        <v>0</v>
      </c>
      <c r="AX62" s="187">
        <f>AX63+AX64</f>
        <v>0</v>
      </c>
      <c r="AY62" s="187">
        <f>AY63+AY64</f>
        <v>0</v>
      </c>
      <c r="AZ62" s="187">
        <f>AZ63+AZ64</f>
        <v>0</v>
      </c>
      <c r="BA62" s="187">
        <f>BA63+BA64</f>
        <v>0</v>
      </c>
      <c r="BB62" s="187">
        <f>BB63+BB64</f>
        <v>0</v>
      </c>
      <c r="BC62" s="2640"/>
      <c r="BF62" s="1309" t="s">
        <v>960</v>
      </c>
      <c r="BG62" s="1309"/>
      <c r="BH62" s="1309"/>
      <c r="BI62" s="1309"/>
      <c r="BJ62" s="1243"/>
      <c r="BK62" s="1310"/>
    </row>
    <row customHeight="1" ht="32.90625">
      <c r="A63" s="1308"/>
      <c r="B63" s="1617"/>
      <c r="C63" s="1308"/>
      <c r="D63" s="1308"/>
      <c r="E63" s="635">
        <v>33.75</v>
      </c>
      <c r="F63" s="1326" cm="1" t="str">
        <f t="array" ref="F63:F63">OFFSET(E63,-1,1)</f>
        <v>1</v>
      </c>
      <c r="G63" s="1308"/>
      <c r="H63" s="1308"/>
      <c r="I63" s="1308"/>
      <c r="J63" s="1308"/>
      <c r="K63" s="1308"/>
      <c r="L63" s="1308"/>
      <c r="M63" s="1308"/>
      <c r="N63" s="1308"/>
      <c r="O63" s="1308"/>
      <c r="P63" s="1308"/>
      <c r="Q63" s="1308"/>
      <c r="R63" s="1308"/>
      <c r="S63" s="1308"/>
      <c r="T63" s="1436" cm="1" t="str">
        <f t="array" ref="T63:T63">T62</f>
        <v>true</v>
      </c>
      <c r="U63" s="1308"/>
      <c r="V63" s="1327"/>
      <c r="W63" s="1308"/>
      <c r="X63" s="1324"/>
      <c r="Y63" s="1308"/>
      <c r="Z63" s="1324"/>
      <c r="AA63" s="1308"/>
      <c r="AB63" s="141" t="s">
        <v>674</v>
      </c>
      <c r="AC63" s="1098" t="s">
        <v>961</v>
      </c>
      <c r="AD63" s="1540" t="s">
        <v>936</v>
      </c>
      <c r="AE63" s="1105"/>
      <c r="AF63" s="1105"/>
      <c r="AG63" s="1105"/>
      <c r="AH63" s="1105"/>
      <c r="AI63" s="1105"/>
      <c r="AJ63" s="2549"/>
      <c r="AK63" s="2549"/>
      <c r="AL63" s="2549"/>
      <c r="AM63" s="2549"/>
      <c r="AN63" s="2549"/>
      <c r="AO63" s="2549"/>
      <c r="AP63" s="2549"/>
      <c r="AQ63" s="2549"/>
      <c r="AR63" s="2549"/>
      <c r="AS63" s="1105"/>
      <c r="AT63" s="2549"/>
      <c r="AU63" s="2549"/>
      <c r="AV63" s="2549"/>
      <c r="AW63" s="2549"/>
      <c r="AX63" s="2549"/>
      <c r="AY63" s="2549"/>
      <c r="AZ63" s="2549"/>
      <c r="BA63" s="2549"/>
      <c r="BB63" s="2549"/>
      <c r="BC63" s="2640"/>
      <c r="BF63" s="1309" t="s">
        <v>962</v>
      </c>
      <c r="BG63" s="1309"/>
      <c r="BH63" s="1309"/>
      <c r="BI63" s="1309"/>
      <c r="BJ63" s="1243"/>
      <c r="BK63" s="1310"/>
    </row>
    <row customHeight="1" ht="43.875">
      <c r="A64" s="1308"/>
      <c r="B64" s="1617"/>
      <c r="C64" s="1308"/>
      <c r="D64" s="1308"/>
      <c r="E64" s="635">
        <v>45</v>
      </c>
      <c r="F64" s="1326" cm="1" t="str">
        <f t="array" ref="F64:F64">OFFSET(E64,-1,1)</f>
        <v>1</v>
      </c>
      <c r="G64" s="1308"/>
      <c r="H64" s="1308"/>
      <c r="I64" s="1308"/>
      <c r="J64" s="1308"/>
      <c r="K64" s="1308"/>
      <c r="L64" s="1308"/>
      <c r="M64" s="1308"/>
      <c r="N64" s="1308"/>
      <c r="O64" s="1308"/>
      <c r="P64" s="1308"/>
      <c r="Q64" s="1308"/>
      <c r="R64" s="1308"/>
      <c r="S64" s="1308"/>
      <c r="T64" s="1436" cm="1" t="str">
        <f t="array" ref="T64:T64">T63</f>
        <v>true</v>
      </c>
      <c r="U64" s="1308"/>
      <c r="V64" s="1327"/>
      <c r="W64" s="1308"/>
      <c r="X64" s="1324"/>
      <c r="Y64" s="1308"/>
      <c r="Z64" s="1324"/>
      <c r="AA64" s="1308"/>
      <c r="AB64" s="141" t="s">
        <v>678</v>
      </c>
      <c r="AC64" s="1098" t="s">
        <v>963</v>
      </c>
      <c r="AD64" s="1540" t="s">
        <v>936</v>
      </c>
      <c r="AE64" s="187">
        <f>SUMIF($AD65:$AD68,$AD64,AE65:AE68)</f>
        <v>0</v>
      </c>
      <c r="AF64" s="187">
        <f>SUMIF($AD65:$AD68,$AD64,AF65:AF68)</f>
        <v>0</v>
      </c>
      <c r="AG64" s="187">
        <f>SUMIF($AD65:$AD68,$AD64,AG65:AG68)</f>
        <v>0</v>
      </c>
      <c r="AH64" s="187">
        <f>SUMIF($AD65:$AD68,$AD64,AH65:AH68)</f>
        <v>0</v>
      </c>
      <c r="AI64" s="187">
        <f>SUMIF($AD65:$AD68,$AD64,AI65:AI68)</f>
        <v>0</v>
      </c>
      <c r="AJ64" s="187">
        <f>SUMIF($AD65:$AD68,$AD64,AJ65:AJ68)</f>
        <v>0</v>
      </c>
      <c r="AK64" s="187">
        <f>SUMIF($AD65:$AD68,$AD64,AK65:AK68)</f>
        <v>0</v>
      </c>
      <c r="AL64" s="187">
        <f>SUMIF($AD65:$AD68,$AD64,AL65:AL68)</f>
        <v>0</v>
      </c>
      <c r="AM64" s="187">
        <f>SUMIF($AD65:$AD68,$AD64,AM65:AM68)</f>
        <v>0</v>
      </c>
      <c r="AN64" s="187">
        <f>SUMIF($AD65:$AD68,$AD64,AN65:AN68)</f>
        <v>0</v>
      </c>
      <c r="AO64" s="187">
        <f>SUMIF($AD65:$AD68,$AD64,AO65:AO68)</f>
        <v>0</v>
      </c>
      <c r="AP64" s="187">
        <f>SUMIF($AD65:$AD68,$AD64,AP65:AP68)</f>
        <v>0</v>
      </c>
      <c r="AQ64" s="187">
        <f>SUMIF($AD65:$AD68,$AD64,AQ65:AQ68)</f>
        <v>0</v>
      </c>
      <c r="AR64" s="187">
        <f>SUMIF($AD65:$AD68,$AD64,AR65:AR68)</f>
        <v>0</v>
      </c>
      <c r="AS64" s="187">
        <f>SUMIF($AD65:$AD68,$AD64,AS65:AS68)</f>
        <v>0</v>
      </c>
      <c r="AT64" s="187">
        <f>SUMIF($AD65:$AD68,$AD64,AT65:AT68)</f>
        <v>0</v>
      </c>
      <c r="AU64" s="187">
        <f>SUMIF($AD65:$AD68,$AD64,AU65:AU68)</f>
        <v>0</v>
      </c>
      <c r="AV64" s="187">
        <f>SUMIF($AD65:$AD68,$AD64,AV65:AV68)</f>
        <v>0</v>
      </c>
      <c r="AW64" s="187">
        <f>SUMIF($AD65:$AD68,$AD64,AW65:AW68)</f>
        <v>0</v>
      </c>
      <c r="AX64" s="187">
        <f>SUMIF($AD65:$AD68,$AD64,AX65:AX68)</f>
        <v>0</v>
      </c>
      <c r="AY64" s="187">
        <f>SUMIF($AD65:$AD68,$AD64,AY65:AY68)</f>
        <v>0</v>
      </c>
      <c r="AZ64" s="187">
        <f>SUMIF($AD65:$AD68,$AD64,AZ65:AZ68)</f>
        <v>0</v>
      </c>
      <c r="BA64" s="187">
        <f>SUMIF($AD65:$AD68,$AD64,BA65:BA68)</f>
        <v>0</v>
      </c>
      <c r="BB64" s="187">
        <f>SUMIF($AD65:$AD68,$AD64,BB65:BB68)</f>
        <v>0</v>
      </c>
      <c r="BC64" s="2640"/>
      <c r="BF64" s="1309" t="s">
        <v>964</v>
      </c>
      <c r="BG64" s="1309"/>
      <c r="BH64" s="1309"/>
      <c r="BI64" s="1309"/>
      <c r="BJ64" s="1243"/>
      <c r="BK64" s="1310"/>
    </row>
    <row customHeight="1" ht="14.625" hidden="1">
      <c r="A65" s="1308"/>
      <c r="B65" s="1617"/>
      <c r="C65" s="1308"/>
      <c r="D65" s="1308"/>
      <c r="E65" s="635">
        <v>15</v>
      </c>
      <c r="F65" s="1326" cm="1" t="str">
        <f t="array" ref="F65:F65">OFFSET(E65,-1,1)</f>
        <v>1</v>
      </c>
      <c r="G65" s="1308"/>
      <c r="H65" s="1308"/>
      <c r="I65" s="1308"/>
      <c r="J65" s="1308"/>
      <c r="K65" s="1308"/>
      <c r="L65" s="1308"/>
      <c r="M65" s="1308"/>
      <c r="N65" s="1308"/>
      <c r="O65" s="1308"/>
      <c r="P65" s="1308"/>
      <c r="Q65" s="1308"/>
      <c r="R65" s="1308"/>
      <c r="S65" s="1308"/>
      <c r="T65" s="1436">
        <f>AND(F65&gt;0,Y65&gt;0)</f>
        <v>0</v>
      </c>
      <c r="U65" s="1308"/>
      <c r="V65" s="1327"/>
      <c r="W65" s="856" t="s">
        <v>173</v>
      </c>
      <c r="X65" s="1324"/>
      <c r="Y65" s="1559">
        <v>0</v>
      </c>
      <c r="Z65" s="1324"/>
      <c r="AA65" s="2580" t="s">
        <v>174</v>
      </c>
      <c r="AB65" s="1577" t="str">
        <f>"3.3."&amp;Y65</f>
        <v>3.3.0</v>
      </c>
      <c r="AC65" s="2581"/>
      <c r="AD65" s="1540" t="s">
        <v>936</v>
      </c>
      <c r="AE65" s="2549"/>
      <c r="AF65" s="2549"/>
      <c r="AG65" s="2549"/>
      <c r="AH65" s="2549"/>
      <c r="AI65" s="2549"/>
      <c r="AJ65" s="2549"/>
      <c r="AK65" s="2549"/>
      <c r="AL65" s="2549"/>
      <c r="AM65" s="2549"/>
      <c r="AN65" s="2549"/>
      <c r="AO65" s="2549"/>
      <c r="AP65" s="2549"/>
      <c r="AQ65" s="2549"/>
      <c r="AR65" s="2549"/>
      <c r="AS65" s="2549"/>
      <c r="AT65" s="2549"/>
      <c r="AU65" s="2549"/>
      <c r="AV65" s="2549"/>
      <c r="AW65" s="2549"/>
      <c r="AX65" s="2549"/>
      <c r="AY65" s="2549"/>
      <c r="AZ65" s="2549"/>
      <c r="BA65" s="2549"/>
      <c r="BB65" s="2549"/>
      <c r="BC65" s="2544"/>
      <c r="BD65" s="1328"/>
      <c r="BE65" s="1328"/>
      <c r="BF65" s="1309" t="s">
        <v>965</v>
      </c>
      <c r="BG65" s="1309" t="s">
        <v>966</v>
      </c>
      <c r="BH65" s="1309" cm="1" t="str">
        <f t="array" ref="BH65:BH65">AC65</f>
        <v>0</v>
      </c>
      <c r="BI65" s="1309" cm="1" t="str">
        <f t="array" ref="BI65:BI65">AD66</f>
        <v>0</v>
      </c>
      <c r="BJ65" s="1243"/>
      <c r="BK65" s="1310" t="b">
        <v>1</v>
      </c>
    </row>
    <row customHeight="1" ht="14.625" hidden="1">
      <c r="A66" s="1308"/>
      <c r="B66" s="1617"/>
      <c r="C66" s="1308"/>
      <c r="D66" s="1308"/>
      <c r="E66" s="635">
        <v>15</v>
      </c>
      <c r="F66" s="1326" cm="1" t="str">
        <f t="array" ref="F66:F66">OFFSET(E66,-1,1)</f>
        <v>1</v>
      </c>
      <c r="G66" s="1308"/>
      <c r="H66" s="1308"/>
      <c r="I66" s="1308"/>
      <c r="J66" s="1308"/>
      <c r="K66" s="1308"/>
      <c r="L66" s="1308"/>
      <c r="M66" s="1308"/>
      <c r="N66" s="1308"/>
      <c r="O66" s="1308"/>
      <c r="P66" s="1308"/>
      <c r="Q66" s="1308"/>
      <c r="R66" s="1308"/>
      <c r="S66" s="1308"/>
      <c r="T66" s="1436" cm="1" t="str">
        <f t="array" ref="T66:T66">T65</f>
        <v>false</v>
      </c>
      <c r="U66" s="1308"/>
      <c r="V66" s="1327"/>
      <c r="W66" s="1308"/>
      <c r="X66" s="1324"/>
      <c r="Y66" s="1559"/>
      <c r="Z66" s="1324"/>
      <c r="AA66" s="2580"/>
      <c r="AB66" s="1577" t="str">
        <f>AB65&amp;".1"</f>
        <v>3.3.0.1</v>
      </c>
      <c r="AC66" s="1100" t="s">
        <v>942</v>
      </c>
      <c r="AD66" s="2582"/>
      <c r="AE66" s="2549"/>
      <c r="AF66" s="2549"/>
      <c r="AG66" s="2549"/>
      <c r="AH66" s="2549"/>
      <c r="AI66" s="2549"/>
      <c r="AJ66" s="2549"/>
      <c r="AK66" s="2549"/>
      <c r="AL66" s="2549"/>
      <c r="AM66" s="2549"/>
      <c r="AN66" s="2549"/>
      <c r="AO66" s="2549"/>
      <c r="AP66" s="2549"/>
      <c r="AQ66" s="2549"/>
      <c r="AR66" s="2549"/>
      <c r="AS66" s="2549"/>
      <c r="AT66" s="2549"/>
      <c r="AU66" s="2549"/>
      <c r="AV66" s="2549"/>
      <c r="AW66" s="2549"/>
      <c r="AX66" s="2549"/>
      <c r="AY66" s="2549"/>
      <c r="AZ66" s="2549"/>
      <c r="BA66" s="2549"/>
      <c r="BB66" s="2549"/>
      <c r="BC66" s="2544"/>
      <c r="BD66" s="1328"/>
      <c r="BE66" s="1328"/>
      <c r="BF66" s="1309" t="s">
        <v>944</v>
      </c>
      <c r="BG66" s="1309" t="s">
        <v>966</v>
      </c>
      <c r="BH66" s="1309" cm="1" t="str">
        <f t="array" ref="BH66:BH66">BH65</f>
        <v>0</v>
      </c>
      <c r="BI66" s="1309" cm="1" t="str">
        <f t="array" ref="BI66:BI66">BI65</f>
        <v>0</v>
      </c>
      <c r="BJ66" s="1243"/>
      <c r="BK66" s="1310"/>
    </row>
    <row customHeight="1" ht="14.625" hidden="1">
      <c r="A67" s="1308"/>
      <c r="B67" s="1617"/>
      <c r="C67" s="1308"/>
      <c r="D67" s="1308"/>
      <c r="E67" s="635">
        <v>15</v>
      </c>
      <c r="F67" s="1326" cm="1" t="str">
        <f t="array" ref="F67:F67">OFFSET(E67,-1,1)</f>
        <v>1</v>
      </c>
      <c r="G67" s="1308"/>
      <c r="H67" s="1308"/>
      <c r="I67" s="1308"/>
      <c r="J67" s="1308"/>
      <c r="K67" s="1308"/>
      <c r="L67" s="1308"/>
      <c r="M67" s="1308"/>
      <c r="N67" s="1308"/>
      <c r="O67" s="1308"/>
      <c r="P67" s="1308"/>
      <c r="Q67" s="1308"/>
      <c r="R67" s="1308"/>
      <c r="S67" s="1308"/>
      <c r="T67" s="1436" cm="1" t="str">
        <f t="array" ref="T67:T67">T66</f>
        <v>false</v>
      </c>
      <c r="U67" s="1308"/>
      <c r="V67" s="1327"/>
      <c r="W67" s="1308"/>
      <c r="X67" s="1324"/>
      <c r="Y67" s="1559"/>
      <c r="Z67" s="1324"/>
      <c r="AA67" s="2580"/>
      <c r="AB67" s="1577" t="str">
        <f>AB65&amp;".2"</f>
        <v>3.3.0.2</v>
      </c>
      <c r="AC67" s="1100" t="s">
        <v>956</v>
      </c>
      <c r="AD67" s="1554" t="s">
        <v>946</v>
      </c>
      <c r="AE67" s="2549"/>
      <c r="AF67" s="2549"/>
      <c r="AG67" s="2549"/>
      <c r="AH67" s="2549"/>
      <c r="AI67" s="2549"/>
      <c r="AJ67" s="2549"/>
      <c r="AK67" s="2549"/>
      <c r="AL67" s="2549"/>
      <c r="AM67" s="2549"/>
      <c r="AN67" s="2549"/>
      <c r="AO67" s="2549"/>
      <c r="AP67" s="2549"/>
      <c r="AQ67" s="2549"/>
      <c r="AR67" s="2549"/>
      <c r="AS67" s="2549"/>
      <c r="AT67" s="2549"/>
      <c r="AU67" s="2549"/>
      <c r="AV67" s="2549"/>
      <c r="AW67" s="2549"/>
      <c r="AX67" s="2549"/>
      <c r="AY67" s="2549"/>
      <c r="AZ67" s="2549"/>
      <c r="BA67" s="2549"/>
      <c r="BB67" s="2549"/>
      <c r="BC67" s="2544"/>
      <c r="BD67" s="1328"/>
      <c r="BE67" s="1328"/>
      <c r="BF67" s="1309" t="s">
        <v>947</v>
      </c>
      <c r="BG67" s="1309" t="s">
        <v>966</v>
      </c>
      <c r="BH67" s="1309" cm="1" t="str">
        <f t="array" ref="BH67:BH67">BH66</f>
        <v>0</v>
      </c>
      <c r="BI67" s="1309" cm="1" t="str">
        <f t="array" ref="BI67:BI67">BI66</f>
        <v>0</v>
      </c>
      <c r="BJ67" s="1243"/>
      <c r="BK67" s="1310"/>
    </row>
    <row s="1363" customFormat="1" customHeight="1" ht="14.25">
      <c r="A68" s="1308"/>
      <c r="B68" s="1617"/>
      <c r="C68" s="1308"/>
      <c r="D68" s="1308"/>
      <c r="E68" s="635">
        <v>15</v>
      </c>
      <c r="F68" s="1326" cm="1" t="str">
        <f t="array" ref="F68:F68">OFFSET(E68,-1,1)</f>
        <v>1</v>
      </c>
      <c r="G68" s="1308"/>
      <c r="H68" s="1308"/>
      <c r="I68" s="1308"/>
      <c r="J68" s="1308"/>
      <c r="K68" s="1308"/>
      <c r="L68" s="1308"/>
      <c r="M68" s="1308"/>
      <c r="N68" s="1308"/>
      <c r="O68" s="1308"/>
      <c r="P68" s="1308"/>
      <c r="Q68" s="1308"/>
      <c r="R68" s="1308"/>
      <c r="S68" s="1308"/>
      <c r="T68" s="1436">
        <f>F68&gt;0</f>
        <v>1</v>
      </c>
      <c r="U68" s="1308"/>
      <c r="V68" s="1327"/>
      <c r="W68" s="856" t="s">
        <v>967</v>
      </c>
      <c r="X68" s="1324"/>
      <c r="Y68" s="1308"/>
      <c r="Z68" s="1324"/>
      <c r="AA68" s="1308"/>
      <c r="AB68" s="2697"/>
      <c r="AC68" s="2698" t="s">
        <v>177</v>
      </c>
      <c r="AD68" s="2699"/>
      <c r="AE68" s="2700"/>
      <c r="AF68" s="2701"/>
      <c r="AG68" s="2702"/>
      <c r="AH68" s="2703"/>
      <c r="AI68" s="2704"/>
      <c r="AJ68" s="2705"/>
      <c r="AK68" s="2706"/>
      <c r="AL68" s="2707"/>
      <c r="AM68" s="2708"/>
      <c r="AN68" s="2709"/>
      <c r="AO68" s="2710"/>
      <c r="AP68" s="2711"/>
      <c r="AQ68" s="2712"/>
      <c r="AR68" s="2713"/>
      <c r="AS68" s="2714"/>
      <c r="AT68" s="2715"/>
      <c r="AU68" s="2716"/>
      <c r="AV68" s="2717"/>
      <c r="AW68" s="2718"/>
      <c r="AX68" s="2719"/>
      <c r="AY68" s="2720"/>
      <c r="AZ68" s="2721"/>
      <c r="BA68" s="2722"/>
      <c r="BB68" s="2723"/>
      <c r="BC68" s="2724"/>
      <c r="BF68" s="1309"/>
      <c r="BG68" s="1309"/>
      <c r="BH68" s="1309"/>
      <c r="BI68" s="1309"/>
      <c r="BJ68" s="1243" t="s">
        <v>966</v>
      </c>
      <c r="BK68" s="1310"/>
    </row>
    <row s="2725" customFormat="1" customHeight="1" ht="18.421875">
      <c r="A69" s="1189"/>
      <c r="B69" s="431"/>
      <c r="C69" s="1189"/>
      <c r="D69" s="1189"/>
      <c r="E69" s="635">
        <v>15</v>
      </c>
      <c r="F69" s="345" cm="1" t="str">
        <f t="array" ref="F69:F69">X69</f>
        <v>2</v>
      </c>
      <c r="G69" s="142"/>
      <c r="H69" s="142"/>
      <c r="I69" s="1189"/>
      <c r="J69" s="1189"/>
      <c r="K69" s="1189"/>
      <c r="L69" s="1189"/>
      <c r="M69" s="1189"/>
      <c r="N69" s="1189"/>
      <c r="O69" s="1189"/>
      <c r="P69" s="1189"/>
      <c r="Q69" s="1189"/>
      <c r="R69" s="1189"/>
      <c r="S69" s="1189"/>
      <c r="T69" s="468">
        <f>X69&gt;0</f>
        <v>1</v>
      </c>
      <c r="U69" s="1189"/>
      <c r="V69" s="140" cm="1" t="str">
        <f t="array" ref="V69:V69">'Условные метры'!$AB$35</f>
        <v>Тариф 2 (Водоотведение) - тариф на водоотведение (Оказание услуг на территории: город Ленинск-Кузнецкий (ОКТМО: 32719000) - г Ленинск-Кузнецкий)</v>
      </c>
      <c r="W69" s="1189"/>
      <c r="X69" s="1519" t="s">
        <v>299</v>
      </c>
      <c r="Y69" s="1189"/>
      <c r="Z69" s="1541"/>
      <c r="AA69" s="1189"/>
      <c r="AB69" s="179" cm="1" t="str">
        <f t="array" ref="AB69:AB69">'Условные метры'!$AB$35</f>
        <v>Тариф 2 (Водоотведение) - тариф на водоотведение (Оказание услуг на территории: город Ленинск-Кузнецкий (ОКТМО: 32719000) - г Ленинск-Кузнецкий)</v>
      </c>
      <c r="AC69" s="176"/>
      <c r="AD69" s="170"/>
      <c r="AE69" s="170"/>
      <c r="AF69" s="170"/>
      <c r="AG69" s="170"/>
      <c r="AH69" s="170"/>
      <c r="AI69" s="170"/>
      <c r="AJ69" s="170"/>
      <c r="AK69" s="170"/>
      <c r="AL69" s="170"/>
      <c r="AM69" s="170"/>
      <c r="AN69" s="170"/>
      <c r="AO69" s="170"/>
      <c r="AP69" s="170"/>
      <c r="AQ69" s="170"/>
      <c r="AR69" s="170"/>
      <c r="AS69" s="170"/>
      <c r="AT69" s="170"/>
      <c r="AU69" s="170"/>
      <c r="AV69" s="170"/>
      <c r="AW69" s="170"/>
      <c r="AX69" s="170"/>
      <c r="AY69" s="170"/>
      <c r="AZ69" s="170"/>
      <c r="BA69" s="170"/>
      <c r="BB69" s="170"/>
      <c r="BC69" s="170"/>
      <c r="BD69" s="1189"/>
      <c r="BE69" s="1189"/>
      <c r="BF69" s="1021"/>
      <c r="BG69" s="1021"/>
      <c r="BH69" s="1021"/>
      <c r="BJ69" s="635"/>
      <c r="BK69" s="635"/>
    </row>
    <row s="1191" customFormat="1" customHeight="1" ht="14.25">
      <c r="A70" s="1541"/>
      <c r="B70" s="431"/>
      <c r="C70" s="1541"/>
      <c r="D70" s="486"/>
      <c r="E70" s="263">
        <v>15</v>
      </c>
      <c r="F70" s="50" cm="1" t="str">
        <f t="array" ref="F70:F70">OFFSET(E70,-1,1)</f>
        <v>2</v>
      </c>
      <c r="G70" s="1541"/>
      <c r="H70" s="142" cm="1" t="str">
        <f t="array" ref="H70:H70">AC70</f>
        <v>Всего по тарифу</v>
      </c>
      <c r="I70" s="1541"/>
      <c r="J70" s="1541"/>
      <c r="K70" s="486" t="str">
        <f>F70&amp;"komm"</f>
        <v>2komm</v>
      </c>
      <c r="L70" s="924" cm="1" t="str">
        <f t="array" ref="L70:L70">BC70</f>
        <v>0</v>
      </c>
      <c r="M70" s="1541"/>
      <c r="N70" s="1541"/>
      <c r="O70" s="1541"/>
      <c r="P70" s="1541"/>
      <c r="Q70" s="1541"/>
      <c r="R70" s="1541"/>
      <c r="S70" s="1541"/>
      <c r="T70" s="468" cm="1" t="str">
        <f t="array" ref="T70:T70">T69</f>
        <v>true</v>
      </c>
      <c r="U70" s="1541"/>
      <c r="V70" s="1541"/>
      <c r="W70" s="1541"/>
      <c r="X70" s="1519"/>
      <c r="Y70" s="1541"/>
      <c r="Z70" s="1541"/>
      <c r="AA70" s="1541"/>
      <c r="AB70" s="141"/>
      <c r="AC70" s="134" t="s">
        <v>935</v>
      </c>
      <c r="AD70" s="89" t="s">
        <v>936</v>
      </c>
      <c r="AE70" s="138">
        <f>AE71+AE76+AE83</f>
        <v>0</v>
      </c>
      <c r="AF70" s="138">
        <f>AF71+AF76+AF83</f>
        <v>0</v>
      </c>
      <c r="AG70" s="138">
        <f>AG71+AG76+AG83</f>
        <v>0</v>
      </c>
      <c r="AH70" s="138">
        <f>AH71+AH76+AH83</f>
        <v>0</v>
      </c>
      <c r="AI70" s="138">
        <f>AI71+AI76+AI83</f>
        <v>0</v>
      </c>
      <c r="AJ70" s="138">
        <f>AJ71+AJ76+AJ83</f>
        <v>0</v>
      </c>
      <c r="AK70" s="138">
        <f>AK71+AK76+AK83</f>
        <v>0</v>
      </c>
      <c r="AL70" s="138">
        <f>AL71+AL76+AL83</f>
        <v>0</v>
      </c>
      <c r="AM70" s="138">
        <f>AM71+AM76+AM83</f>
        <v>0</v>
      </c>
      <c r="AN70" s="138">
        <f>AN71+AN76+AN83</f>
        <v>0</v>
      </c>
      <c r="AO70" s="138">
        <f>AO71+AO76+AO83</f>
        <v>0</v>
      </c>
      <c r="AP70" s="138">
        <f>AP71+AP76+AP83</f>
        <v>0</v>
      </c>
      <c r="AQ70" s="138">
        <f>AQ71+AQ76+AQ83</f>
        <v>0</v>
      </c>
      <c r="AR70" s="138">
        <f>AR71+AR76+AR83</f>
        <v>0</v>
      </c>
      <c r="AS70" s="138">
        <f>AS71+AS76+AS83</f>
        <v>0</v>
      </c>
      <c r="AT70" s="138">
        <f>AT71+AT76+AT83</f>
        <v>0</v>
      </c>
      <c r="AU70" s="138">
        <f>AU71+AU76+AU83</f>
        <v>0</v>
      </c>
      <c r="AV70" s="138">
        <f>AV71+AV76+AV83</f>
        <v>0</v>
      </c>
      <c r="AW70" s="138">
        <f>AW71+AW76+AW83</f>
        <v>0</v>
      </c>
      <c r="AX70" s="138">
        <f>AX71+AX76+AX83</f>
        <v>0</v>
      </c>
      <c r="AY70" s="138">
        <f>AY71+AY76+AY83</f>
        <v>0</v>
      </c>
      <c r="AZ70" s="138">
        <f>AZ71+AZ76+AZ83</f>
        <v>0</v>
      </c>
      <c r="BA70" s="138">
        <f>BA71+BA76+BA83</f>
        <v>0</v>
      </c>
      <c r="BB70" s="138">
        <f>BB71+BB76+BB83</f>
        <v>0</v>
      </c>
      <c r="BC70" s="196"/>
      <c r="BD70" s="1541"/>
      <c r="BE70" s="1541"/>
      <c r="BF70" s="1038" t="s">
        <v>937</v>
      </c>
      <c r="BG70" s="1038"/>
      <c r="BH70" s="1038"/>
      <c r="BJ70" s="263"/>
      <c r="BK70" s="263"/>
    </row>
    <row customHeight="1" ht="14.625">
      <c r="B71" s="2543"/>
      <c r="D71" s="923"/>
      <c r="E71" s="635">
        <v>15</v>
      </c>
      <c r="F71" s="1326" cm="1" t="str">
        <f t="array" ref="F71:F71">OFFSET(E71,-1,1)</f>
        <v>2</v>
      </c>
      <c r="I71" s="1336" t="s">
        <v>938</v>
      </c>
      <c r="K71" s="923"/>
      <c r="L71" s="924"/>
      <c r="T71" s="1436" cm="1" t="str">
        <f t="array" ref="T71:T71">T70</f>
        <v>true</v>
      </c>
      <c r="X71" s="1324"/>
      <c r="Z71" s="1324"/>
      <c r="AB71" s="141" t="s">
        <v>290</v>
      </c>
      <c r="AC71" s="1098" t="s">
        <v>938</v>
      </c>
      <c r="AD71" s="1540" t="s">
        <v>936</v>
      </c>
      <c r="AE71" s="187">
        <f>SUMIF($AD72:$AD75,$AD71,AE72:AE75)</f>
        <v>0</v>
      </c>
      <c r="AF71" s="187">
        <f>SUMIF($AD72:$AD75,$AD71,AF72:AF75)</f>
        <v>0</v>
      </c>
      <c r="AG71" s="187">
        <f>SUMIF($AD72:$AD75,$AD71,AG72:AG75)</f>
        <v>0</v>
      </c>
      <c r="AH71" s="187">
        <f>SUMIF($AD72:$AD75,$AD71,AH72:AH75)</f>
        <v>0</v>
      </c>
      <c r="AI71" s="187">
        <f>SUMIF($AD72:$AD75,$AD71,AI72:AI75)</f>
        <v>0</v>
      </c>
      <c r="AJ71" s="187">
        <f>SUMIF($AD72:$AD75,$AD71,AJ72:AJ75)</f>
        <v>0</v>
      </c>
      <c r="AK71" s="187">
        <f>SUMIF($AD72:$AD75,$AD71,AK72:AK75)</f>
        <v>0</v>
      </c>
      <c r="AL71" s="187">
        <f>SUMIF($AD72:$AD75,$AD71,AL72:AL75)</f>
        <v>0</v>
      </c>
      <c r="AM71" s="187">
        <f>SUMIF($AD72:$AD75,$AD71,AM72:AM75)</f>
        <v>0</v>
      </c>
      <c r="AN71" s="187">
        <f>SUMIF($AD72:$AD75,$AD71,AN72:AN75)</f>
        <v>0</v>
      </c>
      <c r="AO71" s="187">
        <f>SUMIF($AD72:$AD75,$AD71,AO72:AO75)</f>
        <v>0</v>
      </c>
      <c r="AP71" s="187">
        <f>SUMIF($AD72:$AD75,$AD71,AP72:AP75)</f>
        <v>0</v>
      </c>
      <c r="AQ71" s="187">
        <f>SUMIF($AD72:$AD75,$AD71,AQ72:AQ75)</f>
        <v>0</v>
      </c>
      <c r="AR71" s="187">
        <f>SUMIF($AD72:$AD75,$AD71,AR72:AR75)</f>
        <v>0</v>
      </c>
      <c r="AS71" s="187">
        <f>SUMIF($AD72:$AD75,$AD71,AS72:AS75)</f>
        <v>0</v>
      </c>
      <c r="AT71" s="187">
        <f>SUMIF($AD72:$AD75,$AD71,AT72:AT75)</f>
        <v>0</v>
      </c>
      <c r="AU71" s="187">
        <f>SUMIF($AD72:$AD75,$AD71,AU72:AU75)</f>
        <v>0</v>
      </c>
      <c r="AV71" s="187">
        <f>SUMIF($AD72:$AD75,$AD71,AV72:AV75)</f>
        <v>0</v>
      </c>
      <c r="AW71" s="187">
        <f>SUMIF($AD72:$AD75,$AD71,AW72:AW75)</f>
        <v>0</v>
      </c>
      <c r="AX71" s="187">
        <f>SUMIF($AD72:$AD75,$AD71,AX72:AX75)</f>
        <v>0</v>
      </c>
      <c r="AY71" s="187">
        <f>SUMIF($AD72:$AD75,$AD71,AY72:AY75)</f>
        <v>0</v>
      </c>
      <c r="AZ71" s="187">
        <f>SUMIF($AD72:$AD75,$AD71,AZ72:AZ75)</f>
        <v>0</v>
      </c>
      <c r="BA71" s="187">
        <f>SUMIF($AD72:$AD75,$AD71,BA72:BA75)</f>
        <v>0</v>
      </c>
      <c r="BB71" s="187">
        <f>SUMIF($AD72:$AD75,$AD71,BB72:BB75)</f>
        <v>0</v>
      </c>
      <c r="BC71" s="2640"/>
      <c r="BF71" s="1054" t="s">
        <v>939</v>
      </c>
      <c r="BG71" s="1054"/>
      <c r="BH71" s="1054"/>
      <c r="BI71" s="1054"/>
      <c r="BJ71" s="1055"/>
      <c r="BK71" s="1055"/>
    </row>
    <row s="1191" customFormat="1" customHeight="1" ht="14.25" hidden="1">
      <c r="A72" s="1541"/>
      <c r="B72" s="431"/>
      <c r="C72" s="1541"/>
      <c r="D72" s="1541"/>
      <c r="E72" s="263">
        <v>15</v>
      </c>
      <c r="F72" s="50" cm="1" t="str">
        <f t="array" ref="F72:F72">OFFSET(E72,-1,1)</f>
        <v>2</v>
      </c>
      <c r="G72" s="142" t="s">
        <v>344</v>
      </c>
      <c r="H72" s="142" cm="1" t="str">
        <f t="array" ref="H72:H72">AC72</f>
        <v>0</v>
      </c>
      <c r="I72" s="1541"/>
      <c r="J72" s="1541"/>
      <c r="K72" s="1541"/>
      <c r="L72" s="1541"/>
      <c r="M72" s="1541"/>
      <c r="N72" s="1541"/>
      <c r="O72" s="1541"/>
      <c r="P72" s="1541"/>
      <c r="Q72" s="1541"/>
      <c r="R72" s="1541"/>
      <c r="S72" s="1541"/>
      <c r="T72" s="468">
        <f>AND(F72&gt;0,Y72&gt;0)</f>
        <v>0</v>
      </c>
      <c r="U72" s="1541"/>
      <c r="V72" s="1541"/>
      <c r="W72" s="764" t="s">
        <v>173</v>
      </c>
      <c r="X72" s="1519"/>
      <c r="Y72" s="1541">
        <v>0</v>
      </c>
      <c r="Z72" s="1541"/>
      <c r="AA72" s="668" t="s">
        <v>174</v>
      </c>
      <c r="AB72" s="85" t="str">
        <f>"1."&amp;Y72</f>
        <v>1.0</v>
      </c>
      <c r="AC72" s="2546"/>
      <c r="AD72" s="89" t="s">
        <v>936</v>
      </c>
      <c r="AE72" s="1817"/>
      <c r="AF72" s="1817"/>
      <c r="AG72" s="1817"/>
      <c r="AH72" s="1817"/>
      <c r="AI72" s="1817"/>
      <c r="AJ72" s="1817"/>
      <c r="AK72" s="1817"/>
      <c r="AL72" s="1817"/>
      <c r="AM72" s="1817"/>
      <c r="AN72" s="1817"/>
      <c r="AO72" s="1817"/>
      <c r="AP72" s="1817"/>
      <c r="AQ72" s="1817"/>
      <c r="AR72" s="1817"/>
      <c r="AS72" s="1817"/>
      <c r="AT72" s="1817"/>
      <c r="AU72" s="1817"/>
      <c r="AV72" s="1817"/>
      <c r="AW72" s="1817"/>
      <c r="AX72" s="1817"/>
      <c r="AY72" s="1817"/>
      <c r="AZ72" s="1817"/>
      <c r="BA72" s="1817"/>
      <c r="BB72" s="1817"/>
      <c r="BC72" s="1928"/>
      <c r="BD72" s="1541"/>
      <c r="BE72" s="1541"/>
      <c r="BF72" s="1038" t="s">
        <v>940</v>
      </c>
      <c r="BG72" s="1038" t="s">
        <v>941</v>
      </c>
      <c r="BH72" s="1038" cm="1" t="str">
        <f t="array" ref="BH72:BH72">AC72</f>
        <v>0</v>
      </c>
      <c r="BJ72" s="263"/>
      <c r="BK72" s="263" t="b">
        <v>1</v>
      </c>
    </row>
    <row customHeight="1" ht="14.625" hidden="1">
      <c r="A73" s="1328"/>
      <c r="B73" s="2543"/>
      <c r="C73" s="1328"/>
      <c r="D73" s="1328"/>
      <c r="E73" s="635">
        <v>15</v>
      </c>
      <c r="F73" s="1326" cm="1" t="str">
        <f t="array" ref="F73:F73">OFFSET(E73,-1,1)</f>
        <v>2</v>
      </c>
      <c r="G73" s="1328"/>
      <c r="H73" s="1328"/>
      <c r="I73" s="1328"/>
      <c r="J73" s="1328"/>
      <c r="K73" s="1328"/>
      <c r="L73" s="1328"/>
      <c r="M73" s="1328"/>
      <c r="N73" s="1328"/>
      <c r="O73" s="1328"/>
      <c r="P73" s="1328"/>
      <c r="Q73" s="1328"/>
      <c r="R73" s="1328"/>
      <c r="S73" s="1328"/>
      <c r="T73" s="1436" cm="1" t="str">
        <f t="array" ref="T73:T73">T72</f>
        <v>false</v>
      </c>
      <c r="U73" s="1328"/>
      <c r="V73" s="1328"/>
      <c r="W73" s="856"/>
      <c r="X73" s="1324"/>
      <c r="Y73" s="1519"/>
      <c r="Z73" s="1324"/>
      <c r="AA73" s="2547"/>
      <c r="AB73" s="2548" t="str">
        <f>AB72&amp;".1"</f>
        <v>1.0.1</v>
      </c>
      <c r="AC73" s="327" t="s">
        <v>942</v>
      </c>
      <c r="AD73" s="1554" t="s">
        <v>943</v>
      </c>
      <c r="AE73" s="2549"/>
      <c r="AF73" s="2549"/>
      <c r="AG73" s="2549"/>
      <c r="AH73" s="2549"/>
      <c r="AI73" s="2549"/>
      <c r="AJ73" s="2549"/>
      <c r="AK73" s="2549"/>
      <c r="AL73" s="2549"/>
      <c r="AM73" s="2549"/>
      <c r="AN73" s="2549"/>
      <c r="AO73" s="2549"/>
      <c r="AP73" s="2549"/>
      <c r="AQ73" s="2549"/>
      <c r="AR73" s="2549"/>
      <c r="AS73" s="2549"/>
      <c r="AT73" s="2549"/>
      <c r="AU73" s="2549"/>
      <c r="AV73" s="2549"/>
      <c r="AW73" s="2549"/>
      <c r="AX73" s="2549"/>
      <c r="AY73" s="2549"/>
      <c r="AZ73" s="2549"/>
      <c r="BA73" s="2549"/>
      <c r="BB73" s="2549"/>
      <c r="BC73" s="2550"/>
      <c r="BD73" s="1328"/>
      <c r="BE73" s="1328"/>
      <c r="BF73" s="1054" t="s">
        <v>944</v>
      </c>
      <c r="BG73" s="1054" t="s">
        <v>941</v>
      </c>
      <c r="BH73" s="1054" cm="1" t="str">
        <f t="array" ref="BH73:BH73">BH72</f>
        <v>0</v>
      </c>
      <c r="BI73" s="1054"/>
      <c r="BJ73" s="1055"/>
      <c r="BK73" s="1055"/>
    </row>
    <row customHeight="1" ht="14.625" hidden="1">
      <c r="A74" s="1328"/>
      <c r="B74" s="2543"/>
      <c r="C74" s="1328"/>
      <c r="D74" s="1328"/>
      <c r="E74" s="635">
        <v>15</v>
      </c>
      <c r="F74" s="1326" cm="1" t="str">
        <f t="array" ref="F74:F74">OFFSET(E74,-1,1)</f>
        <v>2</v>
      </c>
      <c r="G74" s="1328"/>
      <c r="H74" s="1328"/>
      <c r="I74" s="1328"/>
      <c r="J74" s="1328"/>
      <c r="K74" s="1328"/>
      <c r="L74" s="1328"/>
      <c r="M74" s="1328"/>
      <c r="N74" s="1328"/>
      <c r="O74" s="1328"/>
      <c r="P74" s="1328"/>
      <c r="Q74" s="1328"/>
      <c r="R74" s="1328"/>
      <c r="S74" s="1328"/>
      <c r="T74" s="1436" cm="1" t="str">
        <f t="array" ref="T74:T74">T73</f>
        <v>false</v>
      </c>
      <c r="U74" s="1328"/>
      <c r="V74" s="1328"/>
      <c r="W74" s="856"/>
      <c r="X74" s="1324"/>
      <c r="Y74" s="1519"/>
      <c r="Z74" s="1324"/>
      <c r="AA74" s="2547"/>
      <c r="AB74" s="2548" t="str">
        <f>AB72&amp;".2"</f>
        <v>1.0.2</v>
      </c>
      <c r="AC74" s="327" t="s">
        <v>945</v>
      </c>
      <c r="AD74" s="1554" t="s">
        <v>946</v>
      </c>
      <c r="AE74" s="2549"/>
      <c r="AF74" s="2549"/>
      <c r="AG74" s="2549"/>
      <c r="AH74" s="2549"/>
      <c r="AI74" s="2549"/>
      <c r="AJ74" s="2549"/>
      <c r="AK74" s="2549"/>
      <c r="AL74" s="2549"/>
      <c r="AM74" s="2549"/>
      <c r="AN74" s="2549"/>
      <c r="AO74" s="2549"/>
      <c r="AP74" s="2549"/>
      <c r="AQ74" s="2549"/>
      <c r="AR74" s="2549"/>
      <c r="AS74" s="2549"/>
      <c r="AT74" s="2549"/>
      <c r="AU74" s="2549"/>
      <c r="AV74" s="2549"/>
      <c r="AW74" s="2549"/>
      <c r="AX74" s="2549"/>
      <c r="AY74" s="2549"/>
      <c r="AZ74" s="2549"/>
      <c r="BA74" s="2549"/>
      <c r="BB74" s="2549"/>
      <c r="BC74" s="2550"/>
      <c r="BD74" s="1328"/>
      <c r="BE74" s="1328"/>
      <c r="BF74" s="1054" t="s">
        <v>947</v>
      </c>
      <c r="BG74" s="1054" t="s">
        <v>941</v>
      </c>
      <c r="BH74" s="1054" cm="1" t="str">
        <f t="array" ref="BH74:BH74">BH73</f>
        <v>0</v>
      </c>
      <c r="BI74" s="1054"/>
      <c r="BJ74" s="1055"/>
      <c r="BK74" s="1055"/>
    </row>
    <row customHeight="1" ht="14.625">
      <c r="B75" s="2551"/>
      <c r="E75" s="635">
        <v>15</v>
      </c>
      <c r="F75" s="1326" cm="1" t="str">
        <f t="array" ref="F75:F75">OFFSET(E75,-1,1)</f>
        <v>2</v>
      </c>
      <c r="H75" s="1363" t="str">
        <f>"!== 'Всего по тарифу'"</f>
        <v>!== 'Всего по тарифу'</v>
      </c>
      <c r="T75" s="1436">
        <f>F75&gt;0</f>
        <v>1</v>
      </c>
      <c r="W75" s="856" t="s">
        <v>410</v>
      </c>
      <c r="X75" s="1324"/>
      <c r="Z75" s="1324"/>
      <c r="AB75" s="2726"/>
      <c r="AC75" s="2727" t="s">
        <v>177</v>
      </c>
      <c r="AD75" s="2728"/>
      <c r="AE75" s="2729"/>
      <c r="AF75" s="2730"/>
      <c r="AG75" s="2731"/>
      <c r="AH75" s="2732"/>
      <c r="AI75" s="2733"/>
      <c r="AJ75" s="2734"/>
      <c r="AK75" s="2735"/>
      <c r="AL75" s="2736"/>
      <c r="AM75" s="2737"/>
      <c r="AN75" s="2738"/>
      <c r="AO75" s="2739"/>
      <c r="AP75" s="2740"/>
      <c r="AQ75" s="2741"/>
      <c r="AR75" s="2742"/>
      <c r="AS75" s="2743"/>
      <c r="AT75" s="2744"/>
      <c r="AU75" s="2745"/>
      <c r="AV75" s="2746"/>
      <c r="AW75" s="2747"/>
      <c r="AX75" s="2748"/>
      <c r="AY75" s="2749"/>
      <c r="AZ75" s="2750"/>
      <c r="BA75" s="2751"/>
      <c r="BB75" s="2752"/>
      <c r="BC75" s="2753"/>
      <c r="BF75" s="1026"/>
      <c r="BG75" s="1026"/>
      <c r="BH75" s="1026"/>
      <c r="BI75" s="1026"/>
      <c r="BJ75" s="1362" t="s">
        <v>941</v>
      </c>
      <c r="BK75" s="1362"/>
    </row>
    <row customHeight="1" ht="14.625">
      <c r="B76" s="2551"/>
      <c r="E76" s="635">
        <v>15</v>
      </c>
      <c r="F76" s="1326" cm="1" t="str">
        <f t="array" ref="F76:F76">OFFSET(E76,-1,1)</f>
        <v>2</v>
      </c>
      <c r="I76" s="1336" t="s">
        <v>948</v>
      </c>
      <c r="T76" s="1436" cm="1" t="str">
        <f t="array" ref="T76:T76">T75</f>
        <v>true</v>
      </c>
      <c r="W76" s="856"/>
      <c r="X76" s="1324"/>
      <c r="Z76" s="1324"/>
      <c r="AB76" s="141" t="s">
        <v>299</v>
      </c>
      <c r="AC76" s="1098" t="s">
        <v>948</v>
      </c>
      <c r="AD76" s="1540" t="s">
        <v>936</v>
      </c>
      <c r="AE76" s="187">
        <f>AE77+AE78</f>
        <v>0</v>
      </c>
      <c r="AF76" s="187">
        <f>AF77+AF78</f>
        <v>0</v>
      </c>
      <c r="AG76" s="187">
        <f>AG77+AG78</f>
        <v>0</v>
      </c>
      <c r="AH76" s="187">
        <f>AH77+AH78</f>
        <v>0</v>
      </c>
      <c r="AI76" s="187">
        <f>AI77+AI78</f>
        <v>0</v>
      </c>
      <c r="AJ76" s="187">
        <f>AJ77+AJ78</f>
        <v>0</v>
      </c>
      <c r="AK76" s="187">
        <f>AK77+AK78</f>
        <v>0</v>
      </c>
      <c r="AL76" s="187">
        <f>AL77+AL78</f>
        <v>0</v>
      </c>
      <c r="AM76" s="187">
        <f>AM77+AM78</f>
        <v>0</v>
      </c>
      <c r="AN76" s="187">
        <f>AN77+AN78</f>
        <v>0</v>
      </c>
      <c r="AO76" s="187">
        <f>AO77+AO78</f>
        <v>0</v>
      </c>
      <c r="AP76" s="187">
        <f>AP77+AP78</f>
        <v>0</v>
      </c>
      <c r="AQ76" s="187">
        <f>AQ77+AQ78</f>
        <v>0</v>
      </c>
      <c r="AR76" s="187">
        <f>AR77+AR78</f>
        <v>0</v>
      </c>
      <c r="AS76" s="187">
        <f>AS77+AS78</f>
        <v>0</v>
      </c>
      <c r="AT76" s="187">
        <f>AT77+AT78</f>
        <v>0</v>
      </c>
      <c r="AU76" s="187">
        <f>AU77+AU78</f>
        <v>0</v>
      </c>
      <c r="AV76" s="187">
        <f>AV77+AV78</f>
        <v>0</v>
      </c>
      <c r="AW76" s="187">
        <f>AW77+AW78</f>
        <v>0</v>
      </c>
      <c r="AX76" s="187">
        <f>AX77+AX78</f>
        <v>0</v>
      </c>
      <c r="AY76" s="187">
        <f>AY77+AY78</f>
        <v>0</v>
      </c>
      <c r="AZ76" s="187">
        <f>AZ77+AZ78</f>
        <v>0</v>
      </c>
      <c r="BA76" s="187">
        <f>BA77+BA78</f>
        <v>0</v>
      </c>
      <c r="BB76" s="187">
        <f>BB77+BB78</f>
        <v>0</v>
      </c>
      <c r="BC76" s="2640"/>
      <c r="BF76" s="1026" t="s">
        <v>949</v>
      </c>
      <c r="BG76" s="1026"/>
      <c r="BH76" s="1026"/>
      <c r="BI76" s="1026"/>
      <c r="BJ76" s="1362"/>
      <c r="BK76" s="1362"/>
    </row>
    <row customHeight="1" ht="32.90625">
      <c r="B77" s="2551"/>
      <c r="E77" s="635">
        <v>33.75</v>
      </c>
      <c r="F77" s="1326" cm="1" t="str">
        <f t="array" ref="F77:F77">OFFSET(E77,-1,1)</f>
        <v>2</v>
      </c>
      <c r="T77" s="1436" cm="1" t="str">
        <f t="array" ref="T77:T77">T76</f>
        <v>true</v>
      </c>
      <c r="W77" s="856"/>
      <c r="X77" s="1324"/>
      <c r="Z77" s="1324"/>
      <c r="AB77" s="141" t="s">
        <v>660</v>
      </c>
      <c r="AC77" s="1098" t="s">
        <v>950</v>
      </c>
      <c r="AD77" s="1540" t="s">
        <v>936</v>
      </c>
      <c r="AE77" s="1105"/>
      <c r="AF77" s="1105"/>
      <c r="AG77" s="1105"/>
      <c r="AH77" s="1105"/>
      <c r="AI77" s="1105"/>
      <c r="AJ77" s="2549"/>
      <c r="AK77" s="2549"/>
      <c r="AL77" s="2549"/>
      <c r="AM77" s="2549"/>
      <c r="AN77" s="2549"/>
      <c r="AO77" s="2549"/>
      <c r="AP77" s="2549"/>
      <c r="AQ77" s="2549"/>
      <c r="AR77" s="2549"/>
      <c r="AS77" s="1105"/>
      <c r="AT77" s="2549"/>
      <c r="AU77" s="2549"/>
      <c r="AV77" s="2549"/>
      <c r="AW77" s="2549"/>
      <c r="AX77" s="2549"/>
      <c r="AY77" s="2549"/>
      <c r="AZ77" s="2549"/>
      <c r="BA77" s="2549"/>
      <c r="BB77" s="2549"/>
      <c r="BC77" s="2640"/>
      <c r="BF77" s="1026" t="s">
        <v>951</v>
      </c>
      <c r="BG77" s="1026"/>
      <c r="BH77" s="1026"/>
      <c r="BI77" s="1026"/>
      <c r="BJ77" s="1362"/>
      <c r="BK77" s="1362"/>
    </row>
    <row customHeight="1" ht="43.875">
      <c r="B78" s="2551"/>
      <c r="E78" s="635">
        <v>45</v>
      </c>
      <c r="F78" s="1326" cm="1" t="str">
        <f t="array" ref="F78:F78">OFFSET(E78,-1,1)</f>
        <v>2</v>
      </c>
      <c r="T78" s="1436" cm="1" t="str">
        <f t="array" ref="T78:T78">T77</f>
        <v>true</v>
      </c>
      <c r="W78" s="856"/>
      <c r="X78" s="1324"/>
      <c r="Z78" s="1324"/>
      <c r="AB78" s="141" t="s">
        <v>664</v>
      </c>
      <c r="AC78" s="1098" t="s">
        <v>952</v>
      </c>
      <c r="AD78" s="1540" t="s">
        <v>936</v>
      </c>
      <c r="AE78" s="187">
        <f>SUMIF($AD79:$AD82,$AD78,AE79:AE82)</f>
        <v>0</v>
      </c>
      <c r="AF78" s="187">
        <f>SUMIF($AD79:$AD82,$AD78,AF79:AF82)</f>
        <v>0</v>
      </c>
      <c r="AG78" s="187">
        <f>SUMIF($AD79:$AD82,$AD78,AG79:AG82)</f>
        <v>0</v>
      </c>
      <c r="AH78" s="187">
        <f>SUMIF($AD79:$AD82,$AD78,AH79:AH82)</f>
        <v>0</v>
      </c>
      <c r="AI78" s="187">
        <f>SUMIF($AD79:$AD82,$AD78,AI79:AI82)</f>
        <v>0</v>
      </c>
      <c r="AJ78" s="187">
        <f>SUMIF($AD79:$AD82,$AD78,AJ79:AJ82)</f>
        <v>0</v>
      </c>
      <c r="AK78" s="187">
        <f>SUMIF($AD79:$AD82,$AD78,AK79:AK82)</f>
        <v>0</v>
      </c>
      <c r="AL78" s="187">
        <f>SUMIF($AD79:$AD82,$AD78,AL79:AL82)</f>
        <v>0</v>
      </c>
      <c r="AM78" s="187">
        <f>SUMIF($AD79:$AD82,$AD78,AM79:AM82)</f>
        <v>0</v>
      </c>
      <c r="AN78" s="187">
        <f>SUMIF($AD79:$AD82,$AD78,AN79:AN82)</f>
        <v>0</v>
      </c>
      <c r="AO78" s="187">
        <f>SUMIF($AD79:$AD82,$AD78,AO79:AO82)</f>
        <v>0</v>
      </c>
      <c r="AP78" s="187">
        <f>SUMIF($AD79:$AD82,$AD78,AP79:AP82)</f>
        <v>0</v>
      </c>
      <c r="AQ78" s="187">
        <f>SUMIF($AD79:$AD82,$AD78,AQ79:AQ82)</f>
        <v>0</v>
      </c>
      <c r="AR78" s="187">
        <f>SUMIF($AD79:$AD82,$AD78,AR79:AR82)</f>
        <v>0</v>
      </c>
      <c r="AS78" s="187">
        <f>SUMIF($AD79:$AD82,$AD78,AS79:AS82)</f>
        <v>0</v>
      </c>
      <c r="AT78" s="187">
        <f>SUMIF($AD79:$AD82,$AD78,AT79:AT82)</f>
        <v>0</v>
      </c>
      <c r="AU78" s="187">
        <f>SUMIF($AD79:$AD82,$AD78,AU79:AU82)</f>
        <v>0</v>
      </c>
      <c r="AV78" s="187">
        <f>SUMIF($AD79:$AD82,$AD78,AV79:AV82)</f>
        <v>0</v>
      </c>
      <c r="AW78" s="187">
        <f>SUMIF($AD79:$AD82,$AD78,AW79:AW82)</f>
        <v>0</v>
      </c>
      <c r="AX78" s="187">
        <f>SUMIF($AD79:$AD82,$AD78,AX79:AX82)</f>
        <v>0</v>
      </c>
      <c r="AY78" s="187">
        <f>SUMIF($AD79:$AD82,$AD78,AY79:AY82)</f>
        <v>0</v>
      </c>
      <c r="AZ78" s="187">
        <f>SUMIF($AD79:$AD82,$AD78,AZ79:AZ82)</f>
        <v>0</v>
      </c>
      <c r="BA78" s="187">
        <f>SUMIF($AD79:$AD82,$AD78,BA79:BA82)</f>
        <v>0</v>
      </c>
      <c r="BB78" s="187">
        <f>SUMIF($AD79:$AD82,$AD78,BB79:BB82)</f>
        <v>0</v>
      </c>
      <c r="BC78" s="2640"/>
      <c r="BF78" s="1026" t="s">
        <v>953</v>
      </c>
      <c r="BG78" s="1026"/>
      <c r="BH78" s="1026"/>
      <c r="BI78" s="1026"/>
      <c r="BJ78" s="1362"/>
      <c r="BK78" s="1362"/>
    </row>
    <row customHeight="1" ht="14.625" hidden="1">
      <c r="A79" s="1308"/>
      <c r="B79" s="1617"/>
      <c r="C79" s="1308"/>
      <c r="D79" s="1308"/>
      <c r="E79" s="635">
        <v>15</v>
      </c>
      <c r="F79" s="1326" cm="1" t="str">
        <f t="array" ref="F79:F79">OFFSET(E79,-1,1)</f>
        <v>2</v>
      </c>
      <c r="G79" s="1308"/>
      <c r="H79" s="1308"/>
      <c r="I79" s="1308"/>
      <c r="J79" s="1308"/>
      <c r="K79" s="1308"/>
      <c r="L79" s="1308"/>
      <c r="M79" s="1308"/>
      <c r="N79" s="1308"/>
      <c r="O79" s="1308"/>
      <c r="P79" s="1308"/>
      <c r="Q79" s="1308"/>
      <c r="R79" s="1308"/>
      <c r="S79" s="1308"/>
      <c r="T79" s="1436">
        <f>AND(F79&gt;0,Y79&gt;0)</f>
        <v>0</v>
      </c>
      <c r="U79" s="1328"/>
      <c r="V79" s="1328"/>
      <c r="W79" s="856" t="s">
        <v>173</v>
      </c>
      <c r="X79" s="1324"/>
      <c r="Y79" s="1559">
        <v>0</v>
      </c>
      <c r="Z79" s="1324"/>
      <c r="AA79" s="2580" t="s">
        <v>174</v>
      </c>
      <c r="AB79" s="1577" t="str">
        <f>"2.3."&amp;Y79</f>
        <v>2.3.0</v>
      </c>
      <c r="AC79" s="2581"/>
      <c r="AD79" s="1540" t="s">
        <v>936</v>
      </c>
      <c r="AE79" s="2549"/>
      <c r="AF79" s="2549"/>
      <c r="AG79" s="2549"/>
      <c r="AH79" s="2549"/>
      <c r="AI79" s="2549"/>
      <c r="AJ79" s="2549"/>
      <c r="AK79" s="2549"/>
      <c r="AL79" s="2549"/>
      <c r="AM79" s="2549"/>
      <c r="AN79" s="2549"/>
      <c r="AO79" s="2549"/>
      <c r="AP79" s="2549"/>
      <c r="AQ79" s="2549"/>
      <c r="AR79" s="2549"/>
      <c r="AS79" s="2549"/>
      <c r="AT79" s="2549"/>
      <c r="AU79" s="2549"/>
      <c r="AV79" s="2549"/>
      <c r="AW79" s="2549"/>
      <c r="AX79" s="2549"/>
      <c r="AY79" s="2549"/>
      <c r="AZ79" s="2549"/>
      <c r="BA79" s="2549"/>
      <c r="BB79" s="2549"/>
      <c r="BC79" s="2544"/>
      <c r="BD79" s="1328"/>
      <c r="BE79" s="1328"/>
      <c r="BF79" s="1309" t="s">
        <v>954</v>
      </c>
      <c r="BG79" s="1309" t="s">
        <v>955</v>
      </c>
      <c r="BH79" s="1309" cm="1" t="str">
        <f t="array" ref="BH79:BH79">AC79</f>
        <v>0</v>
      </c>
      <c r="BI79" s="1309" cm="1" t="str">
        <f t="array" ref="BI79:BI79">AD80</f>
        <v>0</v>
      </c>
      <c r="BJ79" s="1243"/>
      <c r="BK79" s="1310" t="b">
        <v>1</v>
      </c>
    </row>
    <row customHeight="1" ht="14.625" hidden="1">
      <c r="A80" s="1308"/>
      <c r="B80" s="1617"/>
      <c r="C80" s="1308"/>
      <c r="D80" s="1308"/>
      <c r="E80" s="635">
        <v>15</v>
      </c>
      <c r="F80" s="1326" cm="1" t="str">
        <f t="array" ref="F80:F80">OFFSET(E80,-1,1)</f>
        <v>2</v>
      </c>
      <c r="G80" s="1308"/>
      <c r="H80" s="1308"/>
      <c r="I80" s="1308"/>
      <c r="J80" s="1308"/>
      <c r="K80" s="1308"/>
      <c r="L80" s="1308"/>
      <c r="M80" s="1308"/>
      <c r="N80" s="1308"/>
      <c r="O80" s="1308"/>
      <c r="P80" s="1308"/>
      <c r="Q80" s="1308"/>
      <c r="R80" s="1308"/>
      <c r="S80" s="1308"/>
      <c r="T80" s="1436" cm="1" t="str">
        <f t="array" ref="T80:T80">T79</f>
        <v>false</v>
      </c>
      <c r="U80" s="1308"/>
      <c r="V80" s="1327"/>
      <c r="W80" s="1308"/>
      <c r="X80" s="1324"/>
      <c r="Y80" s="1559"/>
      <c r="Z80" s="1324"/>
      <c r="AA80" s="2580"/>
      <c r="AB80" s="1577" t="str">
        <f>AB79&amp;".1"</f>
        <v>2.3.0.1</v>
      </c>
      <c r="AC80" s="1100" t="s">
        <v>942</v>
      </c>
      <c r="AD80" s="2582"/>
      <c r="AE80" s="2549"/>
      <c r="AF80" s="2549"/>
      <c r="AG80" s="2549"/>
      <c r="AH80" s="2549"/>
      <c r="AI80" s="2549"/>
      <c r="AJ80" s="2549"/>
      <c r="AK80" s="2549"/>
      <c r="AL80" s="2549"/>
      <c r="AM80" s="2549"/>
      <c r="AN80" s="2549"/>
      <c r="AO80" s="2549"/>
      <c r="AP80" s="2549"/>
      <c r="AQ80" s="2549"/>
      <c r="AR80" s="2549"/>
      <c r="AS80" s="2549"/>
      <c r="AT80" s="2549"/>
      <c r="AU80" s="2549"/>
      <c r="AV80" s="2549"/>
      <c r="AW80" s="2549"/>
      <c r="AX80" s="2549"/>
      <c r="AY80" s="2549"/>
      <c r="AZ80" s="2549"/>
      <c r="BA80" s="2549"/>
      <c r="BB80" s="2549"/>
      <c r="BC80" s="2544"/>
      <c r="BD80" s="1328"/>
      <c r="BE80" s="1328"/>
      <c r="BF80" s="1309" t="s">
        <v>944</v>
      </c>
      <c r="BG80" s="1309" t="s">
        <v>955</v>
      </c>
      <c r="BH80" s="1309" cm="1" t="str">
        <f t="array" ref="BH80:BH80">BH79</f>
        <v>0</v>
      </c>
      <c r="BI80" s="1309" cm="1" t="str">
        <f t="array" ref="BI80:BI80">BI79</f>
        <v>0</v>
      </c>
      <c r="BJ80" s="1243"/>
      <c r="BK80" s="1310"/>
    </row>
    <row customHeight="1" ht="14.625" hidden="1">
      <c r="A81" s="1308"/>
      <c r="B81" s="1617"/>
      <c r="C81" s="1308"/>
      <c r="D81" s="1308"/>
      <c r="E81" s="635">
        <v>15</v>
      </c>
      <c r="F81" s="1326" cm="1" t="str">
        <f t="array" ref="F81:F81">OFFSET(E81,-1,1)</f>
        <v>2</v>
      </c>
      <c r="G81" s="1308"/>
      <c r="H81" s="1308"/>
      <c r="I81" s="1308"/>
      <c r="J81" s="1308"/>
      <c r="K81" s="1308"/>
      <c r="L81" s="1308"/>
      <c r="M81" s="1308"/>
      <c r="N81" s="1308"/>
      <c r="O81" s="1308"/>
      <c r="P81" s="1308"/>
      <c r="Q81" s="1308"/>
      <c r="R81" s="1308"/>
      <c r="S81" s="1308"/>
      <c r="T81" s="1436" cm="1" t="str">
        <f t="array" ref="T81:T81">T80</f>
        <v>false</v>
      </c>
      <c r="U81" s="1308"/>
      <c r="V81" s="1327"/>
      <c r="W81" s="1308"/>
      <c r="X81" s="1324"/>
      <c r="Y81" s="1559"/>
      <c r="Z81" s="1324"/>
      <c r="AA81" s="2580"/>
      <c r="AB81" s="1577" t="str">
        <f>AB79&amp;".2"</f>
        <v>2.3.0.2</v>
      </c>
      <c r="AC81" s="1100" t="s">
        <v>956</v>
      </c>
      <c r="AD81" s="1554" t="s">
        <v>946</v>
      </c>
      <c r="AE81" s="2549"/>
      <c r="AF81" s="2549"/>
      <c r="AG81" s="2549"/>
      <c r="AH81" s="2549"/>
      <c r="AI81" s="2549"/>
      <c r="AJ81" s="2549"/>
      <c r="AK81" s="2549"/>
      <c r="AL81" s="2549"/>
      <c r="AM81" s="2549"/>
      <c r="AN81" s="2549"/>
      <c r="AO81" s="2549"/>
      <c r="AP81" s="2549"/>
      <c r="AQ81" s="2549"/>
      <c r="AR81" s="2549"/>
      <c r="AS81" s="2549"/>
      <c r="AT81" s="2549"/>
      <c r="AU81" s="2549"/>
      <c r="AV81" s="2549"/>
      <c r="AW81" s="2549"/>
      <c r="AX81" s="2549"/>
      <c r="AY81" s="2549"/>
      <c r="AZ81" s="2549"/>
      <c r="BA81" s="2549"/>
      <c r="BB81" s="2549"/>
      <c r="BC81" s="2544"/>
      <c r="BD81" s="1328"/>
      <c r="BE81" s="1328"/>
      <c r="BF81" s="1309" t="s">
        <v>947</v>
      </c>
      <c r="BG81" s="1309" t="s">
        <v>955</v>
      </c>
      <c r="BH81" s="1309" cm="1" t="str">
        <f t="array" ref="BH81:BH81">BH80</f>
        <v>0</v>
      </c>
      <c r="BI81" s="1309" cm="1" t="str">
        <f t="array" ref="BI81:BI81">BI80</f>
        <v>0</v>
      </c>
      <c r="BJ81" s="1243"/>
      <c r="BK81" s="1310"/>
    </row>
    <row customHeight="1" ht="14.625">
      <c r="A82" s="1308"/>
      <c r="B82" s="1617"/>
      <c r="C82" s="1308"/>
      <c r="D82" s="1308"/>
      <c r="E82" s="635">
        <v>15</v>
      </c>
      <c r="F82" s="1326" cm="1" t="str">
        <f t="array" ref="F82:F82">OFFSET(E82,-1,1)</f>
        <v>2</v>
      </c>
      <c r="G82" s="1308"/>
      <c r="H82" s="1308"/>
      <c r="I82" s="1308"/>
      <c r="J82" s="1308"/>
      <c r="K82" s="1308"/>
      <c r="L82" s="1308"/>
      <c r="M82" s="1308"/>
      <c r="N82" s="1308"/>
      <c r="O82" s="1308"/>
      <c r="P82" s="1308"/>
      <c r="Q82" s="1308"/>
      <c r="R82" s="1308"/>
      <c r="S82" s="1308"/>
      <c r="T82" s="1436">
        <f>F82&gt;0</f>
        <v>1</v>
      </c>
      <c r="U82" s="1308"/>
      <c r="V82" s="1327"/>
      <c r="W82" s="856" t="s">
        <v>957</v>
      </c>
      <c r="X82" s="1324"/>
      <c r="Y82" s="1308"/>
      <c r="Z82" s="1324"/>
      <c r="AA82" s="1308"/>
      <c r="AB82" s="2754"/>
      <c r="AC82" s="2755" t="s">
        <v>177</v>
      </c>
      <c r="AD82" s="2756"/>
      <c r="AE82" s="2757"/>
      <c r="AF82" s="2758"/>
      <c r="AG82" s="2759"/>
      <c r="AH82" s="2760"/>
      <c r="AI82" s="2761"/>
      <c r="AJ82" s="2762"/>
      <c r="AK82" s="2763"/>
      <c r="AL82" s="2764"/>
      <c r="AM82" s="2765"/>
      <c r="AN82" s="2766"/>
      <c r="AO82" s="2767"/>
      <c r="AP82" s="2768"/>
      <c r="AQ82" s="2769"/>
      <c r="AR82" s="2770"/>
      <c r="AS82" s="2771"/>
      <c r="AT82" s="2772"/>
      <c r="AU82" s="2773"/>
      <c r="AV82" s="2774"/>
      <c r="AW82" s="2775"/>
      <c r="AX82" s="2776"/>
      <c r="AY82" s="2777"/>
      <c r="AZ82" s="2778"/>
      <c r="BA82" s="2779"/>
      <c r="BB82" s="2780"/>
      <c r="BC82" s="2781"/>
      <c r="BF82" s="1309"/>
      <c r="BG82" s="1309"/>
      <c r="BH82" s="1309"/>
      <c r="BI82" s="1309"/>
      <c r="BJ82" s="1243" t="s">
        <v>955</v>
      </c>
      <c r="BK82" s="1310"/>
    </row>
    <row customHeight="1" ht="22.668750000000003">
      <c r="A83" s="1308"/>
      <c r="B83" s="1617"/>
      <c r="C83" s="1308"/>
      <c r="D83" s="1308"/>
      <c r="E83" s="635">
        <v>23.25</v>
      </c>
      <c r="F83" s="1326" cm="1" t="str">
        <f t="array" ref="F83:F83">OFFSET(E83,-1,1)</f>
        <v>2</v>
      </c>
      <c r="G83" s="1308"/>
      <c r="I83" s="1336" t="s">
        <v>958</v>
      </c>
      <c r="J83" s="1308"/>
      <c r="K83" s="1308"/>
      <c r="L83" s="1308"/>
      <c r="M83" s="1308"/>
      <c r="N83" s="1308"/>
      <c r="O83" s="1308"/>
      <c r="P83" s="1308"/>
      <c r="Q83" s="1308"/>
      <c r="R83" s="1308"/>
      <c r="S83" s="1308"/>
      <c r="T83" s="1436" cm="1" t="str">
        <f t="array" ref="T83:T83">T82</f>
        <v>true</v>
      </c>
      <c r="U83" s="1308"/>
      <c r="V83" s="1327"/>
      <c r="W83" s="1308"/>
      <c r="X83" s="1324"/>
      <c r="Y83" s="1308"/>
      <c r="Z83" s="1324"/>
      <c r="AA83" s="1308"/>
      <c r="AB83" s="141" t="s">
        <v>234</v>
      </c>
      <c r="AC83" s="1098" t="s">
        <v>959</v>
      </c>
      <c r="AD83" s="1540" t="s">
        <v>936</v>
      </c>
      <c r="AE83" s="187">
        <f>AE84+AE85</f>
        <v>0</v>
      </c>
      <c r="AF83" s="187">
        <f>AF84+AF85</f>
        <v>0</v>
      </c>
      <c r="AG83" s="187">
        <f>AG84+AG85</f>
        <v>0</v>
      </c>
      <c r="AH83" s="187">
        <f>AH84+AH85</f>
        <v>0</v>
      </c>
      <c r="AI83" s="187">
        <f>AI84+AI85</f>
        <v>0</v>
      </c>
      <c r="AJ83" s="187">
        <f>AJ84+AJ85</f>
        <v>0</v>
      </c>
      <c r="AK83" s="187">
        <f>AK84+AK85</f>
        <v>0</v>
      </c>
      <c r="AL83" s="187">
        <f>AL84+AL85</f>
        <v>0</v>
      </c>
      <c r="AM83" s="187">
        <f>AM84+AM85</f>
        <v>0</v>
      </c>
      <c r="AN83" s="187">
        <f>AN84+AN85</f>
        <v>0</v>
      </c>
      <c r="AO83" s="187">
        <f>AO84+AO85</f>
        <v>0</v>
      </c>
      <c r="AP83" s="187">
        <f>AP84+AP85</f>
        <v>0</v>
      </c>
      <c r="AQ83" s="187">
        <f>AQ84+AQ85</f>
        <v>0</v>
      </c>
      <c r="AR83" s="187">
        <f>AR84+AR85</f>
        <v>0</v>
      </c>
      <c r="AS83" s="187">
        <f>AS84+AS85</f>
        <v>0</v>
      </c>
      <c r="AT83" s="187">
        <f>AT84+AT85</f>
        <v>0</v>
      </c>
      <c r="AU83" s="187">
        <f>AU84+AU85</f>
        <v>0</v>
      </c>
      <c r="AV83" s="187">
        <f>AV84+AV85</f>
        <v>0</v>
      </c>
      <c r="AW83" s="187">
        <f>AW84+AW85</f>
        <v>0</v>
      </c>
      <c r="AX83" s="187">
        <f>AX84+AX85</f>
        <v>0</v>
      </c>
      <c r="AY83" s="187">
        <f>AY84+AY85</f>
        <v>0</v>
      </c>
      <c r="AZ83" s="187">
        <f>AZ84+AZ85</f>
        <v>0</v>
      </c>
      <c r="BA83" s="187">
        <f>BA84+BA85</f>
        <v>0</v>
      </c>
      <c r="BB83" s="187">
        <f>BB84+BB85</f>
        <v>0</v>
      </c>
      <c r="BC83" s="2640"/>
      <c r="BF83" s="1309" t="s">
        <v>960</v>
      </c>
      <c r="BG83" s="1309"/>
      <c r="BH83" s="1309"/>
      <c r="BI83" s="1309"/>
      <c r="BJ83" s="1243"/>
      <c r="BK83" s="1310"/>
    </row>
    <row customHeight="1" ht="32.90625">
      <c r="A84" s="1308"/>
      <c r="B84" s="1617"/>
      <c r="C84" s="1308"/>
      <c r="D84" s="1308"/>
      <c r="E84" s="635">
        <v>33.75</v>
      </c>
      <c r="F84" s="1326" cm="1" t="str">
        <f t="array" ref="F84:F84">OFFSET(E84,-1,1)</f>
        <v>2</v>
      </c>
      <c r="G84" s="1308"/>
      <c r="H84" s="1308"/>
      <c r="I84" s="1308"/>
      <c r="J84" s="1308"/>
      <c r="K84" s="1308"/>
      <c r="L84" s="1308"/>
      <c r="M84" s="1308"/>
      <c r="N84" s="1308"/>
      <c r="O84" s="1308"/>
      <c r="P84" s="1308"/>
      <c r="Q84" s="1308"/>
      <c r="R84" s="1308"/>
      <c r="S84" s="1308"/>
      <c r="T84" s="1436" cm="1" t="str">
        <f t="array" ref="T84:T84">T83</f>
        <v>true</v>
      </c>
      <c r="U84" s="1308"/>
      <c r="V84" s="1327"/>
      <c r="W84" s="1308"/>
      <c r="X84" s="1324"/>
      <c r="Y84" s="1308"/>
      <c r="Z84" s="1324"/>
      <c r="AA84" s="1308"/>
      <c r="AB84" s="141" t="s">
        <v>674</v>
      </c>
      <c r="AC84" s="1098" t="s">
        <v>961</v>
      </c>
      <c r="AD84" s="1540" t="s">
        <v>936</v>
      </c>
      <c r="AE84" s="1105"/>
      <c r="AF84" s="1105"/>
      <c r="AG84" s="1105"/>
      <c r="AH84" s="1105"/>
      <c r="AI84" s="1105"/>
      <c r="AJ84" s="2549"/>
      <c r="AK84" s="2549"/>
      <c r="AL84" s="2549"/>
      <c r="AM84" s="2549"/>
      <c r="AN84" s="2549"/>
      <c r="AO84" s="2549"/>
      <c r="AP84" s="2549"/>
      <c r="AQ84" s="2549"/>
      <c r="AR84" s="2549"/>
      <c r="AS84" s="1105"/>
      <c r="AT84" s="2549"/>
      <c r="AU84" s="2549"/>
      <c r="AV84" s="2549"/>
      <c r="AW84" s="2549"/>
      <c r="AX84" s="2549"/>
      <c r="AY84" s="2549"/>
      <c r="AZ84" s="2549"/>
      <c r="BA84" s="2549"/>
      <c r="BB84" s="2549"/>
      <c r="BC84" s="2640"/>
      <c r="BF84" s="1309" t="s">
        <v>962</v>
      </c>
      <c r="BG84" s="1309"/>
      <c r="BH84" s="1309"/>
      <c r="BI84" s="1309"/>
      <c r="BJ84" s="1243"/>
      <c r="BK84" s="1310"/>
    </row>
    <row customHeight="1" ht="43.875">
      <c r="A85" s="1308"/>
      <c r="B85" s="1617"/>
      <c r="C85" s="1308"/>
      <c r="D85" s="1308"/>
      <c r="E85" s="635">
        <v>45</v>
      </c>
      <c r="F85" s="1326" cm="1" t="str">
        <f t="array" ref="F85:F85">OFFSET(E85,-1,1)</f>
        <v>2</v>
      </c>
      <c r="G85" s="1308"/>
      <c r="H85" s="1308"/>
      <c r="I85" s="1308"/>
      <c r="J85" s="1308"/>
      <c r="K85" s="1308"/>
      <c r="L85" s="1308"/>
      <c r="M85" s="1308"/>
      <c r="N85" s="1308"/>
      <c r="O85" s="1308"/>
      <c r="P85" s="1308"/>
      <c r="Q85" s="1308"/>
      <c r="R85" s="1308"/>
      <c r="S85" s="1308"/>
      <c r="T85" s="1436" cm="1" t="str">
        <f t="array" ref="T85:T85">T84</f>
        <v>true</v>
      </c>
      <c r="U85" s="1308"/>
      <c r="V85" s="1327"/>
      <c r="W85" s="1308"/>
      <c r="X85" s="1324"/>
      <c r="Y85" s="1308"/>
      <c r="Z85" s="1324"/>
      <c r="AA85" s="1308"/>
      <c r="AB85" s="141" t="s">
        <v>678</v>
      </c>
      <c r="AC85" s="1098" t="s">
        <v>963</v>
      </c>
      <c r="AD85" s="1540" t="s">
        <v>936</v>
      </c>
      <c r="AE85" s="187">
        <f>SUMIF($AD86:$AD89,$AD85,AE86:AE89)</f>
        <v>0</v>
      </c>
      <c r="AF85" s="187">
        <f>SUMIF($AD86:$AD89,$AD85,AF86:AF89)</f>
        <v>0</v>
      </c>
      <c r="AG85" s="187">
        <f>SUMIF($AD86:$AD89,$AD85,AG86:AG89)</f>
        <v>0</v>
      </c>
      <c r="AH85" s="187">
        <f>SUMIF($AD86:$AD89,$AD85,AH86:AH89)</f>
        <v>0</v>
      </c>
      <c r="AI85" s="187">
        <f>SUMIF($AD86:$AD89,$AD85,AI86:AI89)</f>
        <v>0</v>
      </c>
      <c r="AJ85" s="187">
        <f>SUMIF($AD86:$AD89,$AD85,AJ86:AJ89)</f>
        <v>0</v>
      </c>
      <c r="AK85" s="187">
        <f>SUMIF($AD86:$AD89,$AD85,AK86:AK89)</f>
        <v>0</v>
      </c>
      <c r="AL85" s="187">
        <f>SUMIF($AD86:$AD89,$AD85,AL86:AL89)</f>
        <v>0</v>
      </c>
      <c r="AM85" s="187">
        <f>SUMIF($AD86:$AD89,$AD85,AM86:AM89)</f>
        <v>0</v>
      </c>
      <c r="AN85" s="187">
        <f>SUMIF($AD86:$AD89,$AD85,AN86:AN89)</f>
        <v>0</v>
      </c>
      <c r="AO85" s="187">
        <f>SUMIF($AD86:$AD89,$AD85,AO86:AO89)</f>
        <v>0</v>
      </c>
      <c r="AP85" s="187">
        <f>SUMIF($AD86:$AD89,$AD85,AP86:AP89)</f>
        <v>0</v>
      </c>
      <c r="AQ85" s="187">
        <f>SUMIF($AD86:$AD89,$AD85,AQ86:AQ89)</f>
        <v>0</v>
      </c>
      <c r="AR85" s="187">
        <f>SUMIF($AD86:$AD89,$AD85,AR86:AR89)</f>
        <v>0</v>
      </c>
      <c r="AS85" s="187">
        <f>SUMIF($AD86:$AD89,$AD85,AS86:AS89)</f>
        <v>0</v>
      </c>
      <c r="AT85" s="187">
        <f>SUMIF($AD86:$AD89,$AD85,AT86:AT89)</f>
        <v>0</v>
      </c>
      <c r="AU85" s="187">
        <f>SUMIF($AD86:$AD89,$AD85,AU86:AU89)</f>
        <v>0</v>
      </c>
      <c r="AV85" s="187">
        <f>SUMIF($AD86:$AD89,$AD85,AV86:AV89)</f>
        <v>0</v>
      </c>
      <c r="AW85" s="187">
        <f>SUMIF($AD86:$AD89,$AD85,AW86:AW89)</f>
        <v>0</v>
      </c>
      <c r="AX85" s="187">
        <f>SUMIF($AD86:$AD89,$AD85,AX86:AX89)</f>
        <v>0</v>
      </c>
      <c r="AY85" s="187">
        <f>SUMIF($AD86:$AD89,$AD85,AY86:AY89)</f>
        <v>0</v>
      </c>
      <c r="AZ85" s="187">
        <f>SUMIF($AD86:$AD89,$AD85,AZ86:AZ89)</f>
        <v>0</v>
      </c>
      <c r="BA85" s="187">
        <f>SUMIF($AD86:$AD89,$AD85,BA86:BA89)</f>
        <v>0</v>
      </c>
      <c r="BB85" s="187">
        <f>SUMIF($AD86:$AD89,$AD85,BB86:BB89)</f>
        <v>0</v>
      </c>
      <c r="BC85" s="2640"/>
      <c r="BF85" s="1309" t="s">
        <v>964</v>
      </c>
      <c r="BG85" s="1309"/>
      <c r="BH85" s="1309"/>
      <c r="BI85" s="1309"/>
      <c r="BJ85" s="1243"/>
      <c r="BK85" s="1310"/>
    </row>
    <row customHeight="1" ht="14.625" hidden="1">
      <c r="A86" s="1308"/>
      <c r="B86" s="1617"/>
      <c r="C86" s="1308"/>
      <c r="D86" s="1308"/>
      <c r="E86" s="635">
        <v>15</v>
      </c>
      <c r="F86" s="1326" cm="1" t="str">
        <f t="array" ref="F86:F86">OFFSET(E86,-1,1)</f>
        <v>2</v>
      </c>
      <c r="G86" s="1308"/>
      <c r="H86" s="1308"/>
      <c r="I86" s="1308"/>
      <c r="J86" s="1308"/>
      <c r="K86" s="1308"/>
      <c r="L86" s="1308"/>
      <c r="M86" s="1308"/>
      <c r="N86" s="1308"/>
      <c r="O86" s="1308"/>
      <c r="P86" s="1308"/>
      <c r="Q86" s="1308"/>
      <c r="R86" s="1308"/>
      <c r="S86" s="1308"/>
      <c r="T86" s="1436">
        <f>AND(F86&gt;0,Y86&gt;0)</f>
        <v>0</v>
      </c>
      <c r="U86" s="1308"/>
      <c r="V86" s="1327"/>
      <c r="W86" s="856" t="s">
        <v>173</v>
      </c>
      <c r="X86" s="1324"/>
      <c r="Y86" s="1559">
        <v>0</v>
      </c>
      <c r="Z86" s="1324"/>
      <c r="AA86" s="2580" t="s">
        <v>174</v>
      </c>
      <c r="AB86" s="1577" t="str">
        <f>"3.3."&amp;Y86</f>
        <v>3.3.0</v>
      </c>
      <c r="AC86" s="2581"/>
      <c r="AD86" s="1540" t="s">
        <v>936</v>
      </c>
      <c r="AE86" s="2549"/>
      <c r="AF86" s="2549"/>
      <c r="AG86" s="2549"/>
      <c r="AH86" s="2549"/>
      <c r="AI86" s="2549"/>
      <c r="AJ86" s="2549"/>
      <c r="AK86" s="2549"/>
      <c r="AL86" s="2549"/>
      <c r="AM86" s="2549"/>
      <c r="AN86" s="2549"/>
      <c r="AO86" s="2549"/>
      <c r="AP86" s="2549"/>
      <c r="AQ86" s="2549"/>
      <c r="AR86" s="2549"/>
      <c r="AS86" s="2549"/>
      <c r="AT86" s="2549"/>
      <c r="AU86" s="2549"/>
      <c r="AV86" s="2549"/>
      <c r="AW86" s="2549"/>
      <c r="AX86" s="2549"/>
      <c r="AY86" s="2549"/>
      <c r="AZ86" s="2549"/>
      <c r="BA86" s="2549"/>
      <c r="BB86" s="2549"/>
      <c r="BC86" s="2544"/>
      <c r="BD86" s="1328"/>
      <c r="BE86" s="1328"/>
      <c r="BF86" s="1309" t="s">
        <v>965</v>
      </c>
      <c r="BG86" s="1309" t="s">
        <v>966</v>
      </c>
      <c r="BH86" s="1309" cm="1" t="str">
        <f t="array" ref="BH86:BH86">AC86</f>
        <v>0</v>
      </c>
      <c r="BI86" s="1309" cm="1" t="str">
        <f t="array" ref="BI86:BI86">AD87</f>
        <v>0</v>
      </c>
      <c r="BJ86" s="1243"/>
      <c r="BK86" s="1310" t="b">
        <v>1</v>
      </c>
    </row>
    <row customHeight="1" ht="14.625" hidden="1">
      <c r="A87" s="1308"/>
      <c r="B87" s="1617"/>
      <c r="C87" s="1308"/>
      <c r="D87" s="1308"/>
      <c r="E87" s="635">
        <v>15</v>
      </c>
      <c r="F87" s="1326" cm="1" t="str">
        <f t="array" ref="F87:F87">OFFSET(E87,-1,1)</f>
        <v>2</v>
      </c>
      <c r="G87" s="1308"/>
      <c r="H87" s="1308"/>
      <c r="I87" s="1308"/>
      <c r="J87" s="1308"/>
      <c r="K87" s="1308"/>
      <c r="L87" s="1308"/>
      <c r="M87" s="1308"/>
      <c r="N87" s="1308"/>
      <c r="O87" s="1308"/>
      <c r="P87" s="1308"/>
      <c r="Q87" s="1308"/>
      <c r="R87" s="1308"/>
      <c r="S87" s="1308"/>
      <c r="T87" s="1436" cm="1" t="str">
        <f t="array" ref="T87:T87">T86</f>
        <v>false</v>
      </c>
      <c r="U87" s="1308"/>
      <c r="V87" s="1327"/>
      <c r="W87" s="1308"/>
      <c r="X87" s="1324"/>
      <c r="Y87" s="1559"/>
      <c r="Z87" s="1324"/>
      <c r="AA87" s="2580"/>
      <c r="AB87" s="1577" t="str">
        <f>AB86&amp;".1"</f>
        <v>3.3.0.1</v>
      </c>
      <c r="AC87" s="1100" t="s">
        <v>942</v>
      </c>
      <c r="AD87" s="2582"/>
      <c r="AE87" s="2549"/>
      <c r="AF87" s="2549"/>
      <c r="AG87" s="2549"/>
      <c r="AH87" s="2549"/>
      <c r="AI87" s="2549"/>
      <c r="AJ87" s="2549"/>
      <c r="AK87" s="2549"/>
      <c r="AL87" s="2549"/>
      <c r="AM87" s="2549"/>
      <c r="AN87" s="2549"/>
      <c r="AO87" s="2549"/>
      <c r="AP87" s="2549"/>
      <c r="AQ87" s="2549"/>
      <c r="AR87" s="2549"/>
      <c r="AS87" s="2549"/>
      <c r="AT87" s="2549"/>
      <c r="AU87" s="2549"/>
      <c r="AV87" s="2549"/>
      <c r="AW87" s="2549"/>
      <c r="AX87" s="2549"/>
      <c r="AY87" s="2549"/>
      <c r="AZ87" s="2549"/>
      <c r="BA87" s="2549"/>
      <c r="BB87" s="2549"/>
      <c r="BC87" s="2544"/>
      <c r="BD87" s="1328"/>
      <c r="BE87" s="1328"/>
      <c r="BF87" s="1309" t="s">
        <v>944</v>
      </c>
      <c r="BG87" s="1309" t="s">
        <v>966</v>
      </c>
      <c r="BH87" s="1309" cm="1" t="str">
        <f t="array" ref="BH87:BH87">BH86</f>
        <v>0</v>
      </c>
      <c r="BI87" s="1309" cm="1" t="str">
        <f t="array" ref="BI87:BI87">BI86</f>
        <v>0</v>
      </c>
      <c r="BJ87" s="1243"/>
      <c r="BK87" s="1310"/>
    </row>
    <row customHeight="1" ht="14.625" hidden="1">
      <c r="A88" s="1308"/>
      <c r="B88" s="1617"/>
      <c r="C88" s="1308"/>
      <c r="D88" s="1308"/>
      <c r="E88" s="635">
        <v>15</v>
      </c>
      <c r="F88" s="1326" cm="1" t="str">
        <f t="array" ref="F88:F88">OFFSET(E88,-1,1)</f>
        <v>2</v>
      </c>
      <c r="G88" s="1308"/>
      <c r="H88" s="1308"/>
      <c r="I88" s="1308"/>
      <c r="J88" s="1308"/>
      <c r="K88" s="1308"/>
      <c r="L88" s="1308"/>
      <c r="M88" s="1308"/>
      <c r="N88" s="1308"/>
      <c r="O88" s="1308"/>
      <c r="P88" s="1308"/>
      <c r="Q88" s="1308"/>
      <c r="R88" s="1308"/>
      <c r="S88" s="1308"/>
      <c r="T88" s="1436" cm="1" t="str">
        <f t="array" ref="T88:T88">T87</f>
        <v>false</v>
      </c>
      <c r="U88" s="1308"/>
      <c r="V88" s="1327"/>
      <c r="W88" s="1308"/>
      <c r="X88" s="1324"/>
      <c r="Y88" s="1559"/>
      <c r="Z88" s="1324"/>
      <c r="AA88" s="2580"/>
      <c r="AB88" s="1577" t="str">
        <f>AB86&amp;".2"</f>
        <v>3.3.0.2</v>
      </c>
      <c r="AC88" s="1100" t="s">
        <v>956</v>
      </c>
      <c r="AD88" s="1554" t="s">
        <v>946</v>
      </c>
      <c r="AE88" s="2549"/>
      <c r="AF88" s="2549"/>
      <c r="AG88" s="2549"/>
      <c r="AH88" s="2549"/>
      <c r="AI88" s="2549"/>
      <c r="AJ88" s="2549"/>
      <c r="AK88" s="2549"/>
      <c r="AL88" s="2549"/>
      <c r="AM88" s="2549"/>
      <c r="AN88" s="2549"/>
      <c r="AO88" s="2549"/>
      <c r="AP88" s="2549"/>
      <c r="AQ88" s="2549"/>
      <c r="AR88" s="2549"/>
      <c r="AS88" s="2549"/>
      <c r="AT88" s="2549"/>
      <c r="AU88" s="2549"/>
      <c r="AV88" s="2549"/>
      <c r="AW88" s="2549"/>
      <c r="AX88" s="2549"/>
      <c r="AY88" s="2549"/>
      <c r="AZ88" s="2549"/>
      <c r="BA88" s="2549"/>
      <c r="BB88" s="2549"/>
      <c r="BC88" s="2544"/>
      <c r="BD88" s="1328"/>
      <c r="BE88" s="1328"/>
      <c r="BF88" s="1309" t="s">
        <v>947</v>
      </c>
      <c r="BG88" s="1309" t="s">
        <v>966</v>
      </c>
      <c r="BH88" s="1309" cm="1" t="str">
        <f t="array" ref="BH88:BH88">BH87</f>
        <v>0</v>
      </c>
      <c r="BI88" s="1309" cm="1" t="str">
        <f t="array" ref="BI88:BI88">BI87</f>
        <v>0</v>
      </c>
      <c r="BJ88" s="1243"/>
      <c r="BK88" s="1310"/>
    </row>
    <row s="1363" customFormat="1" customHeight="1" ht="14.25">
      <c r="A89" s="1308"/>
      <c r="B89" s="1617"/>
      <c r="C89" s="1308"/>
      <c r="D89" s="1308"/>
      <c r="E89" s="635">
        <v>15</v>
      </c>
      <c r="F89" s="1326" cm="1" t="str">
        <f t="array" ref="F89:F89">OFFSET(E89,-1,1)</f>
        <v>2</v>
      </c>
      <c r="G89" s="1308"/>
      <c r="H89" s="1308"/>
      <c r="I89" s="1308"/>
      <c r="J89" s="1308"/>
      <c r="K89" s="1308"/>
      <c r="L89" s="1308"/>
      <c r="M89" s="1308"/>
      <c r="N89" s="1308"/>
      <c r="O89" s="1308"/>
      <c r="P89" s="1308"/>
      <c r="Q89" s="1308"/>
      <c r="R89" s="1308"/>
      <c r="S89" s="1308"/>
      <c r="T89" s="1436">
        <f>F89&gt;0</f>
        <v>1</v>
      </c>
      <c r="U89" s="1308"/>
      <c r="V89" s="1327"/>
      <c r="W89" s="856" t="s">
        <v>967</v>
      </c>
      <c r="X89" s="1324"/>
      <c r="Y89" s="1308"/>
      <c r="Z89" s="1324"/>
      <c r="AA89" s="1308"/>
      <c r="AB89" s="2782"/>
      <c r="AC89" s="2783" t="s">
        <v>177</v>
      </c>
      <c r="AD89" s="2784"/>
      <c r="AE89" s="2785"/>
      <c r="AF89" s="2786"/>
      <c r="AG89" s="2787"/>
      <c r="AH89" s="2788"/>
      <c r="AI89" s="2789"/>
      <c r="AJ89" s="2790"/>
      <c r="AK89" s="2791"/>
      <c r="AL89" s="2792"/>
      <c r="AM89" s="2793"/>
      <c r="AN89" s="2794"/>
      <c r="AO89" s="2795"/>
      <c r="AP89" s="2796"/>
      <c r="AQ89" s="2797"/>
      <c r="AR89" s="2798"/>
      <c r="AS89" s="2799"/>
      <c r="AT89" s="2800"/>
      <c r="AU89" s="2801"/>
      <c r="AV89" s="2802"/>
      <c r="AW89" s="2803"/>
      <c r="AX89" s="2804"/>
      <c r="AY89" s="2805"/>
      <c r="AZ89" s="2806"/>
      <c r="BA89" s="2807"/>
      <c r="BB89" s="2808"/>
      <c r="BC89" s="2809"/>
      <c r="BF89" s="1309"/>
      <c r="BG89" s="1309"/>
      <c r="BH89" s="1309"/>
      <c r="BI89" s="1309"/>
      <c r="BJ89" s="1243" t="s">
        <v>966</v>
      </c>
      <c r="BK89" s="1310"/>
    </row>
    <row s="2810" customFormat="1" customHeight="1" ht="19.921875">
      <c r="A90" s="1189"/>
      <c r="B90" s="431"/>
      <c r="C90" s="1189"/>
      <c r="D90" s="1189"/>
      <c r="E90" s="635">
        <v>15</v>
      </c>
      <c r="F90" s="345" cm="1" t="str">
        <f t="array" ref="F90:F90">X90</f>
        <v>3</v>
      </c>
      <c r="G90" s="142"/>
      <c r="H90" s="142"/>
      <c r="I90" s="1189"/>
      <c r="J90" s="1189"/>
      <c r="K90" s="1189"/>
      <c r="L90" s="1189"/>
      <c r="M90" s="1189"/>
      <c r="N90" s="1189"/>
      <c r="O90" s="1189"/>
      <c r="P90" s="1189"/>
      <c r="Q90" s="1189"/>
      <c r="R90" s="1189"/>
      <c r="S90" s="1189"/>
      <c r="T90" s="468">
        <f>X90&gt;0</f>
        <v>1</v>
      </c>
      <c r="U90" s="1189"/>
      <c r="V90" s="140" cm="1" t="str">
        <f t="array" ref="V90:V90">'Условные метры'!$AB$38</f>
        <v>Тариф 3 (Водоотведение) - тариф на водоотведение (Оказание услуг на территории: город Полысаево (ОКТМО: 32732000) - г Полысаево)</v>
      </c>
      <c r="W90" s="1189"/>
      <c r="X90" s="1519" t="s">
        <v>234</v>
      </c>
      <c r="Y90" s="1189"/>
      <c r="Z90" s="1541"/>
      <c r="AA90" s="1189"/>
      <c r="AB90" s="179" cm="1" t="str">
        <f t="array" ref="AB90:AB90">'Условные метры'!$AB$38</f>
        <v>Тариф 3 (Водоотведение) - тариф на водоотведение (Оказание услуг на территории: город Полысаево (ОКТМО: 32732000) - г Полысаево)</v>
      </c>
      <c r="AC90" s="176"/>
      <c r="AD90" s="170"/>
      <c r="AE90" s="170"/>
      <c r="AF90" s="170"/>
      <c r="AG90" s="170"/>
      <c r="AH90" s="170"/>
      <c r="AI90" s="170"/>
      <c r="AJ90" s="170"/>
      <c r="AK90" s="170"/>
      <c r="AL90" s="170"/>
      <c r="AM90" s="170"/>
      <c r="AN90" s="170"/>
      <c r="AO90" s="170"/>
      <c r="AP90" s="170"/>
      <c r="AQ90" s="170"/>
      <c r="AR90" s="170"/>
      <c r="AS90" s="170"/>
      <c r="AT90" s="170"/>
      <c r="AU90" s="170"/>
      <c r="AV90" s="170"/>
      <c r="AW90" s="170"/>
      <c r="AX90" s="170"/>
      <c r="AY90" s="170"/>
      <c r="AZ90" s="170"/>
      <c r="BA90" s="170"/>
      <c r="BB90" s="170"/>
      <c r="BC90" s="170"/>
      <c r="BD90" s="1189"/>
      <c r="BE90" s="1189"/>
      <c r="BF90" s="1021"/>
      <c r="BG90" s="1021"/>
      <c r="BH90" s="1021"/>
      <c r="BJ90" s="635"/>
      <c r="BK90" s="635"/>
    </row>
    <row s="1191" customFormat="1" customHeight="1" ht="18.421875">
      <c r="A91" s="1541"/>
      <c r="B91" s="431"/>
      <c r="C91" s="1541"/>
      <c r="D91" s="486"/>
      <c r="E91" s="263">
        <v>15</v>
      </c>
      <c r="F91" s="50" cm="1" t="str">
        <f t="array" ref="F91:F91">OFFSET(E91,-1,1)</f>
        <v>3</v>
      </c>
      <c r="G91" s="1541"/>
      <c r="H91" s="142" cm="1" t="str">
        <f t="array" ref="H91:H91">AC91</f>
        <v>Всего по тарифу</v>
      </c>
      <c r="I91" s="1541"/>
      <c r="J91" s="1541"/>
      <c r="K91" s="486" t="str">
        <f>F91&amp;"komm"</f>
        <v>3komm</v>
      </c>
      <c r="L91" s="924" cm="1" t="str">
        <f t="array" ref="L91:L91">BC91</f>
        <v>0</v>
      </c>
      <c r="M91" s="1541"/>
      <c r="N91" s="1541"/>
      <c r="O91" s="1541"/>
      <c r="P91" s="1541"/>
      <c r="Q91" s="1541"/>
      <c r="R91" s="1541"/>
      <c r="S91" s="1541"/>
      <c r="T91" s="468" cm="1" t="str">
        <f t="array" ref="T91:T91">T90</f>
        <v>true</v>
      </c>
      <c r="U91" s="1541"/>
      <c r="V91" s="1541"/>
      <c r="W91" s="1541"/>
      <c r="X91" s="1519"/>
      <c r="Y91" s="1541"/>
      <c r="Z91" s="1541"/>
      <c r="AA91" s="1541"/>
      <c r="AB91" s="141"/>
      <c r="AC91" s="134" t="s">
        <v>935</v>
      </c>
      <c r="AD91" s="89" t="s">
        <v>936</v>
      </c>
      <c r="AE91" s="138">
        <f>AE92+AE97+AE104</f>
        <v>0</v>
      </c>
      <c r="AF91" s="138">
        <f>AF92+AF97+AF104</f>
        <v>0</v>
      </c>
      <c r="AG91" s="138">
        <f>AG92+AG97+AG104</f>
        <v>0</v>
      </c>
      <c r="AH91" s="138">
        <f>AH92+AH97+AH104</f>
        <v>0</v>
      </c>
      <c r="AI91" s="138">
        <f>AI92+AI97+AI104</f>
        <v>0</v>
      </c>
      <c r="AJ91" s="138">
        <f>AJ92+AJ97+AJ104</f>
        <v>0</v>
      </c>
      <c r="AK91" s="138">
        <f>AK92+AK97+AK104</f>
        <v>0</v>
      </c>
      <c r="AL91" s="138">
        <f>AL92+AL97+AL104</f>
        <v>0</v>
      </c>
      <c r="AM91" s="138">
        <f>AM92+AM97+AM104</f>
        <v>0</v>
      </c>
      <c r="AN91" s="138">
        <f>AN92+AN97+AN104</f>
        <v>0</v>
      </c>
      <c r="AO91" s="138">
        <f>AO92+AO97+AO104</f>
        <v>0</v>
      </c>
      <c r="AP91" s="138">
        <f>AP92+AP97+AP104</f>
        <v>0</v>
      </c>
      <c r="AQ91" s="138">
        <f>AQ92+AQ97+AQ104</f>
        <v>0</v>
      </c>
      <c r="AR91" s="138">
        <f>AR92+AR97+AR104</f>
        <v>0</v>
      </c>
      <c r="AS91" s="138">
        <f>AS92+AS97+AS104</f>
        <v>0</v>
      </c>
      <c r="AT91" s="138">
        <f>AT92+AT97+AT104</f>
        <v>0</v>
      </c>
      <c r="AU91" s="138">
        <f>AU92+AU97+AU104</f>
        <v>0</v>
      </c>
      <c r="AV91" s="138">
        <f>AV92+AV97+AV104</f>
        <v>0</v>
      </c>
      <c r="AW91" s="138">
        <f>AW92+AW97+AW104</f>
        <v>0</v>
      </c>
      <c r="AX91" s="138">
        <f>AX92+AX97+AX104</f>
        <v>0</v>
      </c>
      <c r="AY91" s="138">
        <f>AY92+AY97+AY104</f>
        <v>0</v>
      </c>
      <c r="AZ91" s="138">
        <f>AZ92+AZ97+AZ104</f>
        <v>0</v>
      </c>
      <c r="BA91" s="138">
        <f>BA92+BA97+BA104</f>
        <v>0</v>
      </c>
      <c r="BB91" s="138">
        <f>BB92+BB97+BB104</f>
        <v>0</v>
      </c>
      <c r="BC91" s="196"/>
      <c r="BD91" s="1541"/>
      <c r="BE91" s="1541"/>
      <c r="BF91" s="1038" t="s">
        <v>937</v>
      </c>
      <c r="BG91" s="1038"/>
      <c r="BH91" s="1038"/>
      <c r="BJ91" s="263"/>
      <c r="BK91" s="263"/>
    </row>
    <row customHeight="1" ht="14.625">
      <c r="B92" s="2543"/>
      <c r="D92" s="923"/>
      <c r="E92" s="635">
        <v>15</v>
      </c>
      <c r="F92" s="1326" cm="1" t="str">
        <f t="array" ref="F92:F92">OFFSET(E92,-1,1)</f>
        <v>3</v>
      </c>
      <c r="I92" s="1336" t="s">
        <v>938</v>
      </c>
      <c r="K92" s="923"/>
      <c r="L92" s="924"/>
      <c r="T92" s="1436" cm="1" t="str">
        <f t="array" ref="T92:T92">T91</f>
        <v>true</v>
      </c>
      <c r="X92" s="1324"/>
      <c r="Z92" s="1324"/>
      <c r="AB92" s="141" t="s">
        <v>290</v>
      </c>
      <c r="AC92" s="1098" t="s">
        <v>938</v>
      </c>
      <c r="AD92" s="1540" t="s">
        <v>936</v>
      </c>
      <c r="AE92" s="187">
        <f>SUMIF($AD93:$AD96,$AD92,AE93:AE96)</f>
        <v>0</v>
      </c>
      <c r="AF92" s="187">
        <f>SUMIF($AD93:$AD96,$AD92,AF93:AF96)</f>
        <v>0</v>
      </c>
      <c r="AG92" s="187">
        <f>SUMIF($AD93:$AD96,$AD92,AG93:AG96)</f>
        <v>0</v>
      </c>
      <c r="AH92" s="187">
        <f>SUMIF($AD93:$AD96,$AD92,AH93:AH96)</f>
        <v>0</v>
      </c>
      <c r="AI92" s="187">
        <f>SUMIF($AD93:$AD96,$AD92,AI93:AI96)</f>
        <v>0</v>
      </c>
      <c r="AJ92" s="187">
        <f>SUMIF($AD93:$AD96,$AD92,AJ93:AJ96)</f>
        <v>0</v>
      </c>
      <c r="AK92" s="187">
        <f>SUMIF($AD93:$AD96,$AD92,AK93:AK96)</f>
        <v>0</v>
      </c>
      <c r="AL92" s="187">
        <f>SUMIF($AD93:$AD96,$AD92,AL93:AL96)</f>
        <v>0</v>
      </c>
      <c r="AM92" s="187">
        <f>SUMIF($AD93:$AD96,$AD92,AM93:AM96)</f>
        <v>0</v>
      </c>
      <c r="AN92" s="187">
        <f>SUMIF($AD93:$AD96,$AD92,AN93:AN96)</f>
        <v>0</v>
      </c>
      <c r="AO92" s="187">
        <f>SUMIF($AD93:$AD96,$AD92,AO93:AO96)</f>
        <v>0</v>
      </c>
      <c r="AP92" s="187">
        <f>SUMIF($AD93:$AD96,$AD92,AP93:AP96)</f>
        <v>0</v>
      </c>
      <c r="AQ92" s="187">
        <f>SUMIF($AD93:$AD96,$AD92,AQ93:AQ96)</f>
        <v>0</v>
      </c>
      <c r="AR92" s="187">
        <f>SUMIF($AD93:$AD96,$AD92,AR93:AR96)</f>
        <v>0</v>
      </c>
      <c r="AS92" s="187">
        <f>SUMIF($AD93:$AD96,$AD92,AS93:AS96)</f>
        <v>0</v>
      </c>
      <c r="AT92" s="187">
        <f>SUMIF($AD93:$AD96,$AD92,AT93:AT96)</f>
        <v>0</v>
      </c>
      <c r="AU92" s="187">
        <f>SUMIF($AD93:$AD96,$AD92,AU93:AU96)</f>
        <v>0</v>
      </c>
      <c r="AV92" s="187">
        <f>SUMIF($AD93:$AD96,$AD92,AV93:AV96)</f>
        <v>0</v>
      </c>
      <c r="AW92" s="187">
        <f>SUMIF($AD93:$AD96,$AD92,AW93:AW96)</f>
        <v>0</v>
      </c>
      <c r="AX92" s="187">
        <f>SUMIF($AD93:$AD96,$AD92,AX93:AX96)</f>
        <v>0</v>
      </c>
      <c r="AY92" s="187">
        <f>SUMIF($AD93:$AD96,$AD92,AY93:AY96)</f>
        <v>0</v>
      </c>
      <c r="AZ92" s="187">
        <f>SUMIF($AD93:$AD96,$AD92,AZ93:AZ96)</f>
        <v>0</v>
      </c>
      <c r="BA92" s="187">
        <f>SUMIF($AD93:$AD96,$AD92,BA93:BA96)</f>
        <v>0</v>
      </c>
      <c r="BB92" s="187">
        <f>SUMIF($AD93:$AD96,$AD92,BB93:BB96)</f>
        <v>0</v>
      </c>
      <c r="BC92" s="2640"/>
      <c r="BF92" s="1054" t="s">
        <v>939</v>
      </c>
      <c r="BG92" s="1054"/>
      <c r="BH92" s="1054"/>
      <c r="BI92" s="1054"/>
      <c r="BJ92" s="1055"/>
      <c r="BK92" s="1055"/>
    </row>
    <row s="1191" customFormat="1" customHeight="1" ht="14.25" hidden="1">
      <c r="A93" s="1541"/>
      <c r="B93" s="431"/>
      <c r="C93" s="1541"/>
      <c r="D93" s="1541"/>
      <c r="E93" s="263">
        <v>15</v>
      </c>
      <c r="F93" s="50" cm="1" t="str">
        <f t="array" ref="F93:F93">OFFSET(E93,-1,1)</f>
        <v>3</v>
      </c>
      <c r="G93" s="142" t="s">
        <v>344</v>
      </c>
      <c r="H93" s="142" cm="1" t="str">
        <f t="array" ref="H93:H93">AC93</f>
        <v>0</v>
      </c>
      <c r="I93" s="1541"/>
      <c r="J93" s="1541"/>
      <c r="K93" s="1541"/>
      <c r="L93" s="1541"/>
      <c r="M93" s="1541"/>
      <c r="N93" s="1541"/>
      <c r="O93" s="1541"/>
      <c r="P93" s="1541"/>
      <c r="Q93" s="1541"/>
      <c r="R93" s="1541"/>
      <c r="S93" s="1541"/>
      <c r="T93" s="468">
        <f>AND(F93&gt;0,Y93&gt;0)</f>
        <v>0</v>
      </c>
      <c r="U93" s="1541"/>
      <c r="V93" s="1541"/>
      <c r="W93" s="764" t="s">
        <v>173</v>
      </c>
      <c r="X93" s="1519"/>
      <c r="Y93" s="1541">
        <v>0</v>
      </c>
      <c r="Z93" s="1541"/>
      <c r="AA93" s="668" t="s">
        <v>174</v>
      </c>
      <c r="AB93" s="85" t="str">
        <f>"1."&amp;Y93</f>
        <v>1.0</v>
      </c>
      <c r="AC93" s="2546"/>
      <c r="AD93" s="89" t="s">
        <v>936</v>
      </c>
      <c r="AE93" s="1817"/>
      <c r="AF93" s="1817"/>
      <c r="AG93" s="1817"/>
      <c r="AH93" s="1817"/>
      <c r="AI93" s="1817"/>
      <c r="AJ93" s="1817"/>
      <c r="AK93" s="1817"/>
      <c r="AL93" s="1817"/>
      <c r="AM93" s="1817"/>
      <c r="AN93" s="1817"/>
      <c r="AO93" s="1817"/>
      <c r="AP93" s="1817"/>
      <c r="AQ93" s="1817"/>
      <c r="AR93" s="1817"/>
      <c r="AS93" s="1817"/>
      <c r="AT93" s="1817"/>
      <c r="AU93" s="1817"/>
      <c r="AV93" s="1817"/>
      <c r="AW93" s="1817"/>
      <c r="AX93" s="1817"/>
      <c r="AY93" s="1817"/>
      <c r="AZ93" s="1817"/>
      <c r="BA93" s="1817"/>
      <c r="BB93" s="1817"/>
      <c r="BC93" s="1928"/>
      <c r="BD93" s="1541"/>
      <c r="BE93" s="1541"/>
      <c r="BF93" s="1038" t="s">
        <v>940</v>
      </c>
      <c r="BG93" s="1038" t="s">
        <v>941</v>
      </c>
      <c r="BH93" s="1038" cm="1" t="str">
        <f t="array" ref="BH93:BH93">AC93</f>
        <v>0</v>
      </c>
      <c r="BJ93" s="263"/>
      <c r="BK93" s="263" t="b">
        <v>1</v>
      </c>
    </row>
    <row customHeight="1" ht="14.625" hidden="1">
      <c r="A94" s="1328"/>
      <c r="B94" s="2543"/>
      <c r="C94" s="1328"/>
      <c r="D94" s="1328"/>
      <c r="E94" s="635">
        <v>15</v>
      </c>
      <c r="F94" s="1326" cm="1" t="str">
        <f t="array" ref="F94:F94">OFFSET(E94,-1,1)</f>
        <v>3</v>
      </c>
      <c r="G94" s="1328"/>
      <c r="H94" s="1328"/>
      <c r="I94" s="1328"/>
      <c r="J94" s="1328"/>
      <c r="K94" s="1328"/>
      <c r="L94" s="1328"/>
      <c r="M94" s="1328"/>
      <c r="N94" s="1328"/>
      <c r="O94" s="1328"/>
      <c r="P94" s="1328"/>
      <c r="Q94" s="1328"/>
      <c r="R94" s="1328"/>
      <c r="S94" s="1328"/>
      <c r="T94" s="1436" cm="1" t="str">
        <f t="array" ref="T94:T94">T93</f>
        <v>false</v>
      </c>
      <c r="U94" s="1328"/>
      <c r="V94" s="1328"/>
      <c r="W94" s="856"/>
      <c r="X94" s="1324"/>
      <c r="Y94" s="1519"/>
      <c r="Z94" s="1324"/>
      <c r="AA94" s="2547"/>
      <c r="AB94" s="2548" t="str">
        <f>AB93&amp;".1"</f>
        <v>1.0.1</v>
      </c>
      <c r="AC94" s="327" t="s">
        <v>942</v>
      </c>
      <c r="AD94" s="1554" t="s">
        <v>943</v>
      </c>
      <c r="AE94" s="2549"/>
      <c r="AF94" s="2549"/>
      <c r="AG94" s="2549"/>
      <c r="AH94" s="2549"/>
      <c r="AI94" s="2549"/>
      <c r="AJ94" s="2549"/>
      <c r="AK94" s="2549"/>
      <c r="AL94" s="2549"/>
      <c r="AM94" s="2549"/>
      <c r="AN94" s="2549"/>
      <c r="AO94" s="2549"/>
      <c r="AP94" s="2549"/>
      <c r="AQ94" s="2549"/>
      <c r="AR94" s="2549"/>
      <c r="AS94" s="2549"/>
      <c r="AT94" s="2549"/>
      <c r="AU94" s="2549"/>
      <c r="AV94" s="2549"/>
      <c r="AW94" s="2549"/>
      <c r="AX94" s="2549"/>
      <c r="AY94" s="2549"/>
      <c r="AZ94" s="2549"/>
      <c r="BA94" s="2549"/>
      <c r="BB94" s="2549"/>
      <c r="BC94" s="2550"/>
      <c r="BD94" s="1328"/>
      <c r="BE94" s="1328"/>
      <c r="BF94" s="1054" t="s">
        <v>944</v>
      </c>
      <c r="BG94" s="1054" t="s">
        <v>941</v>
      </c>
      <c r="BH94" s="1054" cm="1" t="str">
        <f t="array" ref="BH94:BH94">BH93</f>
        <v>0</v>
      </c>
      <c r="BI94" s="1054"/>
      <c r="BJ94" s="1055"/>
      <c r="BK94" s="1055"/>
    </row>
    <row customHeight="1" ht="14.625" hidden="1">
      <c r="A95" s="1328"/>
      <c r="B95" s="2543"/>
      <c r="C95" s="1328"/>
      <c r="D95" s="1328"/>
      <c r="E95" s="635">
        <v>15</v>
      </c>
      <c r="F95" s="1326" cm="1" t="str">
        <f t="array" ref="F95:F95">OFFSET(E95,-1,1)</f>
        <v>3</v>
      </c>
      <c r="G95" s="1328"/>
      <c r="H95" s="1328"/>
      <c r="I95" s="1328"/>
      <c r="J95" s="1328"/>
      <c r="K95" s="1328"/>
      <c r="L95" s="1328"/>
      <c r="M95" s="1328"/>
      <c r="N95" s="1328"/>
      <c r="O95" s="1328"/>
      <c r="P95" s="1328"/>
      <c r="Q95" s="1328"/>
      <c r="R95" s="1328"/>
      <c r="S95" s="1328"/>
      <c r="T95" s="1436" cm="1" t="str">
        <f t="array" ref="T95:T95">T94</f>
        <v>false</v>
      </c>
      <c r="U95" s="1328"/>
      <c r="V95" s="1328"/>
      <c r="W95" s="856"/>
      <c r="X95" s="1324"/>
      <c r="Y95" s="1519"/>
      <c r="Z95" s="1324"/>
      <c r="AA95" s="2547"/>
      <c r="AB95" s="2548" t="str">
        <f>AB93&amp;".2"</f>
        <v>1.0.2</v>
      </c>
      <c r="AC95" s="327" t="s">
        <v>945</v>
      </c>
      <c r="AD95" s="1554" t="s">
        <v>946</v>
      </c>
      <c r="AE95" s="2549"/>
      <c r="AF95" s="2549"/>
      <c r="AG95" s="2549"/>
      <c r="AH95" s="2549"/>
      <c r="AI95" s="2549"/>
      <c r="AJ95" s="2549"/>
      <c r="AK95" s="2549"/>
      <c r="AL95" s="2549"/>
      <c r="AM95" s="2549"/>
      <c r="AN95" s="2549"/>
      <c r="AO95" s="2549"/>
      <c r="AP95" s="2549"/>
      <c r="AQ95" s="2549"/>
      <c r="AR95" s="2549"/>
      <c r="AS95" s="2549"/>
      <c r="AT95" s="2549"/>
      <c r="AU95" s="2549"/>
      <c r="AV95" s="2549"/>
      <c r="AW95" s="2549"/>
      <c r="AX95" s="2549"/>
      <c r="AY95" s="2549"/>
      <c r="AZ95" s="2549"/>
      <c r="BA95" s="2549"/>
      <c r="BB95" s="2549"/>
      <c r="BC95" s="2550"/>
      <c r="BD95" s="1328"/>
      <c r="BE95" s="1328"/>
      <c r="BF95" s="1054" t="s">
        <v>947</v>
      </c>
      <c r="BG95" s="1054" t="s">
        <v>941</v>
      </c>
      <c r="BH95" s="1054" cm="1" t="str">
        <f t="array" ref="BH95:BH95">BH94</f>
        <v>0</v>
      </c>
      <c r="BI95" s="1054"/>
      <c r="BJ95" s="1055"/>
      <c r="BK95" s="1055"/>
    </row>
    <row customHeight="1" ht="14.625">
      <c r="B96" s="2551"/>
      <c r="E96" s="635">
        <v>15</v>
      </c>
      <c r="F96" s="1326" cm="1" t="str">
        <f t="array" ref="F96:F96">OFFSET(E96,-1,1)</f>
        <v>3</v>
      </c>
      <c r="H96" s="1363" t="str">
        <f>"!== 'Всего по тарифу'"</f>
        <v>!== 'Всего по тарифу'</v>
      </c>
      <c r="T96" s="1436">
        <f>F96&gt;0</f>
        <v>1</v>
      </c>
      <c r="W96" s="856" t="s">
        <v>410</v>
      </c>
      <c r="X96" s="1324"/>
      <c r="Z96" s="1324"/>
      <c r="AB96" s="2811"/>
      <c r="AC96" s="2812" t="s">
        <v>177</v>
      </c>
      <c r="AD96" s="2813"/>
      <c r="AE96" s="2814"/>
      <c r="AF96" s="2815"/>
      <c r="AG96" s="2816"/>
      <c r="AH96" s="2817"/>
      <c r="AI96" s="2818"/>
      <c r="AJ96" s="2819"/>
      <c r="AK96" s="2820"/>
      <c r="AL96" s="2821"/>
      <c r="AM96" s="2822"/>
      <c r="AN96" s="2823"/>
      <c r="AO96" s="2824"/>
      <c r="AP96" s="2825"/>
      <c r="AQ96" s="2826"/>
      <c r="AR96" s="2827"/>
      <c r="AS96" s="2828"/>
      <c r="AT96" s="2829"/>
      <c r="AU96" s="2830"/>
      <c r="AV96" s="2831"/>
      <c r="AW96" s="2832"/>
      <c r="AX96" s="2833"/>
      <c r="AY96" s="2834"/>
      <c r="AZ96" s="2835"/>
      <c r="BA96" s="2836"/>
      <c r="BB96" s="2837"/>
      <c r="BC96" s="2838"/>
      <c r="BF96" s="1026"/>
      <c r="BG96" s="1026"/>
      <c r="BH96" s="1026"/>
      <c r="BI96" s="1026"/>
      <c r="BJ96" s="1362" t="s">
        <v>941</v>
      </c>
      <c r="BK96" s="1362"/>
    </row>
    <row customHeight="1" ht="14.625">
      <c r="B97" s="2551"/>
      <c r="E97" s="635">
        <v>15</v>
      </c>
      <c r="F97" s="1326" cm="1" t="str">
        <f t="array" ref="F97:F97">OFFSET(E97,-1,1)</f>
        <v>3</v>
      </c>
      <c r="I97" s="1336" t="s">
        <v>948</v>
      </c>
      <c r="T97" s="1436" cm="1" t="str">
        <f t="array" ref="T97:T97">T96</f>
        <v>true</v>
      </c>
      <c r="W97" s="856"/>
      <c r="X97" s="1324"/>
      <c r="Z97" s="1324"/>
      <c r="AB97" s="141" t="s">
        <v>299</v>
      </c>
      <c r="AC97" s="1098" t="s">
        <v>948</v>
      </c>
      <c r="AD97" s="1540" t="s">
        <v>936</v>
      </c>
      <c r="AE97" s="187">
        <f>AE98+AE99</f>
        <v>0</v>
      </c>
      <c r="AF97" s="187">
        <f>AF98+AF99</f>
        <v>0</v>
      </c>
      <c r="AG97" s="187">
        <f>AG98+AG99</f>
        <v>0</v>
      </c>
      <c r="AH97" s="187">
        <f>AH98+AH99</f>
        <v>0</v>
      </c>
      <c r="AI97" s="187">
        <f>AI98+AI99</f>
        <v>0</v>
      </c>
      <c r="AJ97" s="187">
        <f>AJ98+AJ99</f>
        <v>0</v>
      </c>
      <c r="AK97" s="187">
        <f>AK98+AK99</f>
        <v>0</v>
      </c>
      <c r="AL97" s="187">
        <f>AL98+AL99</f>
        <v>0</v>
      </c>
      <c r="AM97" s="187">
        <f>AM98+AM99</f>
        <v>0</v>
      </c>
      <c r="AN97" s="187">
        <f>AN98+AN99</f>
        <v>0</v>
      </c>
      <c r="AO97" s="187">
        <f>AO98+AO99</f>
        <v>0</v>
      </c>
      <c r="AP97" s="187">
        <f>AP98+AP99</f>
        <v>0</v>
      </c>
      <c r="AQ97" s="187">
        <f>AQ98+AQ99</f>
        <v>0</v>
      </c>
      <c r="AR97" s="187">
        <f>AR98+AR99</f>
        <v>0</v>
      </c>
      <c r="AS97" s="187">
        <f>AS98+AS99</f>
        <v>0</v>
      </c>
      <c r="AT97" s="187">
        <f>AT98+AT99</f>
        <v>0</v>
      </c>
      <c r="AU97" s="187">
        <f>AU98+AU99</f>
        <v>0</v>
      </c>
      <c r="AV97" s="187">
        <f>AV98+AV99</f>
        <v>0</v>
      </c>
      <c r="AW97" s="187">
        <f>AW98+AW99</f>
        <v>0</v>
      </c>
      <c r="AX97" s="187">
        <f>AX98+AX99</f>
        <v>0</v>
      </c>
      <c r="AY97" s="187">
        <f>AY98+AY99</f>
        <v>0</v>
      </c>
      <c r="AZ97" s="187">
        <f>AZ98+AZ99</f>
        <v>0</v>
      </c>
      <c r="BA97" s="187">
        <f>BA98+BA99</f>
        <v>0</v>
      </c>
      <c r="BB97" s="187">
        <f>BB98+BB99</f>
        <v>0</v>
      </c>
      <c r="BC97" s="2640"/>
      <c r="BF97" s="1026" t="s">
        <v>949</v>
      </c>
      <c r="BG97" s="1026"/>
      <c r="BH97" s="1026"/>
      <c r="BI97" s="1026"/>
      <c r="BJ97" s="1362"/>
      <c r="BK97" s="1362"/>
    </row>
    <row customHeight="1" ht="32.90625">
      <c r="B98" s="2551"/>
      <c r="E98" s="635">
        <v>33.75</v>
      </c>
      <c r="F98" s="1326" cm="1" t="str">
        <f t="array" ref="F98:F98">OFFSET(E98,-1,1)</f>
        <v>3</v>
      </c>
      <c r="T98" s="1436" cm="1" t="str">
        <f t="array" ref="T98:T98">T97</f>
        <v>true</v>
      </c>
      <c r="W98" s="856"/>
      <c r="X98" s="1324"/>
      <c r="Z98" s="1324"/>
      <c r="AB98" s="141" t="s">
        <v>660</v>
      </c>
      <c r="AC98" s="1098" t="s">
        <v>950</v>
      </c>
      <c r="AD98" s="1540" t="s">
        <v>936</v>
      </c>
      <c r="AE98" s="1105"/>
      <c r="AF98" s="1105"/>
      <c r="AG98" s="1105"/>
      <c r="AH98" s="1105"/>
      <c r="AI98" s="1105"/>
      <c r="AJ98" s="2549"/>
      <c r="AK98" s="2549"/>
      <c r="AL98" s="2549"/>
      <c r="AM98" s="2549"/>
      <c r="AN98" s="2549"/>
      <c r="AO98" s="2549"/>
      <c r="AP98" s="2549"/>
      <c r="AQ98" s="2549"/>
      <c r="AR98" s="2549"/>
      <c r="AS98" s="1105"/>
      <c r="AT98" s="2549"/>
      <c r="AU98" s="2549"/>
      <c r="AV98" s="2549"/>
      <c r="AW98" s="2549"/>
      <c r="AX98" s="2549"/>
      <c r="AY98" s="2549"/>
      <c r="AZ98" s="2549"/>
      <c r="BA98" s="2549"/>
      <c r="BB98" s="2549"/>
      <c r="BC98" s="2640"/>
      <c r="BF98" s="1026" t="s">
        <v>951</v>
      </c>
      <c r="BG98" s="1026"/>
      <c r="BH98" s="1026"/>
      <c r="BI98" s="1026"/>
      <c r="BJ98" s="1362"/>
      <c r="BK98" s="1362"/>
    </row>
    <row customHeight="1" ht="43.875">
      <c r="B99" s="2551"/>
      <c r="E99" s="635">
        <v>45</v>
      </c>
      <c r="F99" s="1326" cm="1" t="str">
        <f t="array" ref="F99:F99">OFFSET(E99,-1,1)</f>
        <v>3</v>
      </c>
      <c r="T99" s="1436" cm="1" t="str">
        <f t="array" ref="T99:T99">T98</f>
        <v>true</v>
      </c>
      <c r="W99" s="856"/>
      <c r="X99" s="1324"/>
      <c r="Z99" s="1324"/>
      <c r="AB99" s="141" t="s">
        <v>664</v>
      </c>
      <c r="AC99" s="1098" t="s">
        <v>952</v>
      </c>
      <c r="AD99" s="1540" t="s">
        <v>936</v>
      </c>
      <c r="AE99" s="187">
        <f>SUMIF($AD100:$AD103,$AD99,AE100:AE103)</f>
        <v>0</v>
      </c>
      <c r="AF99" s="187">
        <f>SUMIF($AD100:$AD103,$AD99,AF100:AF103)</f>
        <v>0</v>
      </c>
      <c r="AG99" s="187">
        <f>SUMIF($AD100:$AD103,$AD99,AG100:AG103)</f>
        <v>0</v>
      </c>
      <c r="AH99" s="187">
        <f>SUMIF($AD100:$AD103,$AD99,AH100:AH103)</f>
        <v>0</v>
      </c>
      <c r="AI99" s="187">
        <f>SUMIF($AD100:$AD103,$AD99,AI100:AI103)</f>
        <v>0</v>
      </c>
      <c r="AJ99" s="187">
        <f>SUMIF($AD100:$AD103,$AD99,AJ100:AJ103)</f>
        <v>0</v>
      </c>
      <c r="AK99" s="187">
        <f>SUMIF($AD100:$AD103,$AD99,AK100:AK103)</f>
        <v>0</v>
      </c>
      <c r="AL99" s="187">
        <f>SUMIF($AD100:$AD103,$AD99,AL100:AL103)</f>
        <v>0</v>
      </c>
      <c r="AM99" s="187">
        <f>SUMIF($AD100:$AD103,$AD99,AM100:AM103)</f>
        <v>0</v>
      </c>
      <c r="AN99" s="187">
        <f>SUMIF($AD100:$AD103,$AD99,AN100:AN103)</f>
        <v>0</v>
      </c>
      <c r="AO99" s="187">
        <f>SUMIF($AD100:$AD103,$AD99,AO100:AO103)</f>
        <v>0</v>
      </c>
      <c r="AP99" s="187">
        <f>SUMIF($AD100:$AD103,$AD99,AP100:AP103)</f>
        <v>0</v>
      </c>
      <c r="AQ99" s="187">
        <f>SUMIF($AD100:$AD103,$AD99,AQ100:AQ103)</f>
        <v>0</v>
      </c>
      <c r="AR99" s="187">
        <f>SUMIF($AD100:$AD103,$AD99,AR100:AR103)</f>
        <v>0</v>
      </c>
      <c r="AS99" s="187">
        <f>SUMIF($AD100:$AD103,$AD99,AS100:AS103)</f>
        <v>0</v>
      </c>
      <c r="AT99" s="187">
        <f>SUMIF($AD100:$AD103,$AD99,AT100:AT103)</f>
        <v>0</v>
      </c>
      <c r="AU99" s="187">
        <f>SUMIF($AD100:$AD103,$AD99,AU100:AU103)</f>
        <v>0</v>
      </c>
      <c r="AV99" s="187">
        <f>SUMIF($AD100:$AD103,$AD99,AV100:AV103)</f>
        <v>0</v>
      </c>
      <c r="AW99" s="187">
        <f>SUMIF($AD100:$AD103,$AD99,AW100:AW103)</f>
        <v>0</v>
      </c>
      <c r="AX99" s="187">
        <f>SUMIF($AD100:$AD103,$AD99,AX100:AX103)</f>
        <v>0</v>
      </c>
      <c r="AY99" s="187">
        <f>SUMIF($AD100:$AD103,$AD99,AY100:AY103)</f>
        <v>0</v>
      </c>
      <c r="AZ99" s="187">
        <f>SUMIF($AD100:$AD103,$AD99,AZ100:AZ103)</f>
        <v>0</v>
      </c>
      <c r="BA99" s="187">
        <f>SUMIF($AD100:$AD103,$AD99,BA100:BA103)</f>
        <v>0</v>
      </c>
      <c r="BB99" s="187">
        <f>SUMIF($AD100:$AD103,$AD99,BB100:BB103)</f>
        <v>0</v>
      </c>
      <c r="BC99" s="2640"/>
      <c r="BF99" s="1026" t="s">
        <v>953</v>
      </c>
      <c r="BG99" s="1026"/>
      <c r="BH99" s="1026"/>
      <c r="BI99" s="1026"/>
      <c r="BJ99" s="1362"/>
      <c r="BK99" s="1362"/>
    </row>
    <row customHeight="1" ht="14.625" hidden="1">
      <c r="A100" s="1308"/>
      <c r="B100" s="1617"/>
      <c r="C100" s="1308"/>
      <c r="D100" s="1308"/>
      <c r="E100" s="635">
        <v>15</v>
      </c>
      <c r="F100" s="1326" cm="1" t="str">
        <f t="array" ref="F100:F100">OFFSET(E100,-1,1)</f>
        <v>3</v>
      </c>
      <c r="G100" s="1308"/>
      <c r="H100" s="1308"/>
      <c r="I100" s="1308"/>
      <c r="J100" s="1308"/>
      <c r="K100" s="1308"/>
      <c r="L100" s="1308"/>
      <c r="M100" s="1308"/>
      <c r="N100" s="1308"/>
      <c r="O100" s="1308"/>
      <c r="P100" s="1308"/>
      <c r="Q100" s="1308"/>
      <c r="R100" s="1308"/>
      <c r="S100" s="1308"/>
      <c r="T100" s="1436">
        <f>AND(F100&gt;0,Y100&gt;0)</f>
        <v>0</v>
      </c>
      <c r="U100" s="1328"/>
      <c r="V100" s="1328"/>
      <c r="W100" s="856" t="s">
        <v>173</v>
      </c>
      <c r="X100" s="1324"/>
      <c r="Y100" s="1559">
        <v>0</v>
      </c>
      <c r="Z100" s="1324"/>
      <c r="AA100" s="2580" t="s">
        <v>174</v>
      </c>
      <c r="AB100" s="1577" t="str">
        <f>"2.3."&amp;Y100</f>
        <v>2.3.0</v>
      </c>
      <c r="AC100" s="2581"/>
      <c r="AD100" s="1540" t="s">
        <v>936</v>
      </c>
      <c r="AE100" s="2549"/>
      <c r="AF100" s="2549"/>
      <c r="AG100" s="2549"/>
      <c r="AH100" s="2549"/>
      <c r="AI100" s="2549"/>
      <c r="AJ100" s="2549"/>
      <c r="AK100" s="2549"/>
      <c r="AL100" s="2549"/>
      <c r="AM100" s="2549"/>
      <c r="AN100" s="2549"/>
      <c r="AO100" s="2549"/>
      <c r="AP100" s="2549"/>
      <c r="AQ100" s="2549"/>
      <c r="AR100" s="2549"/>
      <c r="AS100" s="2549"/>
      <c r="AT100" s="2549"/>
      <c r="AU100" s="2549"/>
      <c r="AV100" s="2549"/>
      <c r="AW100" s="2549"/>
      <c r="AX100" s="2549"/>
      <c r="AY100" s="2549"/>
      <c r="AZ100" s="2549"/>
      <c r="BA100" s="2549"/>
      <c r="BB100" s="2549"/>
      <c r="BC100" s="2544"/>
      <c r="BD100" s="1328"/>
      <c r="BE100" s="1328"/>
      <c r="BF100" s="1309" t="s">
        <v>954</v>
      </c>
      <c r="BG100" s="1309" t="s">
        <v>955</v>
      </c>
      <c r="BH100" s="1309" cm="1" t="str">
        <f t="array" ref="BH100:BH100">AC100</f>
        <v>0</v>
      </c>
      <c r="BI100" s="1309" cm="1" t="str">
        <f t="array" ref="BI100:BI100">AD101</f>
        <v>0</v>
      </c>
      <c r="BJ100" s="1243"/>
      <c r="BK100" s="1310" t="b">
        <v>1</v>
      </c>
    </row>
    <row customHeight="1" ht="14.625" hidden="1">
      <c r="A101" s="1308"/>
      <c r="B101" s="1617"/>
      <c r="C101" s="1308"/>
      <c r="D101" s="1308"/>
      <c r="E101" s="635">
        <v>15</v>
      </c>
      <c r="F101" s="1326" cm="1" t="str">
        <f t="array" ref="F101:F101">OFFSET(E101,-1,1)</f>
        <v>3</v>
      </c>
      <c r="G101" s="1308"/>
      <c r="H101" s="1308"/>
      <c r="I101" s="1308"/>
      <c r="J101" s="1308"/>
      <c r="K101" s="1308"/>
      <c r="L101" s="1308"/>
      <c r="M101" s="1308"/>
      <c r="N101" s="1308"/>
      <c r="O101" s="1308"/>
      <c r="P101" s="1308"/>
      <c r="Q101" s="1308"/>
      <c r="R101" s="1308"/>
      <c r="S101" s="1308"/>
      <c r="T101" s="1436" cm="1" t="str">
        <f t="array" ref="T101:T101">T100</f>
        <v>false</v>
      </c>
      <c r="U101" s="1308"/>
      <c r="V101" s="1327"/>
      <c r="W101" s="1308"/>
      <c r="X101" s="1324"/>
      <c r="Y101" s="1559"/>
      <c r="Z101" s="1324"/>
      <c r="AA101" s="2580"/>
      <c r="AB101" s="1577" t="str">
        <f>AB100&amp;".1"</f>
        <v>2.3.0.1</v>
      </c>
      <c r="AC101" s="1100" t="s">
        <v>942</v>
      </c>
      <c r="AD101" s="2582"/>
      <c r="AE101" s="2549"/>
      <c r="AF101" s="2549"/>
      <c r="AG101" s="2549"/>
      <c r="AH101" s="2549"/>
      <c r="AI101" s="2549"/>
      <c r="AJ101" s="2549"/>
      <c r="AK101" s="2549"/>
      <c r="AL101" s="2549"/>
      <c r="AM101" s="2549"/>
      <c r="AN101" s="2549"/>
      <c r="AO101" s="2549"/>
      <c r="AP101" s="2549"/>
      <c r="AQ101" s="2549"/>
      <c r="AR101" s="2549"/>
      <c r="AS101" s="2549"/>
      <c r="AT101" s="2549"/>
      <c r="AU101" s="2549"/>
      <c r="AV101" s="2549"/>
      <c r="AW101" s="2549"/>
      <c r="AX101" s="2549"/>
      <c r="AY101" s="2549"/>
      <c r="AZ101" s="2549"/>
      <c r="BA101" s="2549"/>
      <c r="BB101" s="2549"/>
      <c r="BC101" s="2544"/>
      <c r="BD101" s="1328"/>
      <c r="BE101" s="1328"/>
      <c r="BF101" s="1309" t="s">
        <v>944</v>
      </c>
      <c r="BG101" s="1309" t="s">
        <v>955</v>
      </c>
      <c r="BH101" s="1309" cm="1" t="str">
        <f t="array" ref="BH101:BH101">BH100</f>
        <v>0</v>
      </c>
      <c r="BI101" s="1309" cm="1" t="str">
        <f t="array" ref="BI101:BI101">BI100</f>
        <v>0</v>
      </c>
      <c r="BJ101" s="1243"/>
      <c r="BK101" s="1310"/>
    </row>
    <row customHeight="1" ht="14.625" hidden="1">
      <c r="A102" s="1308"/>
      <c r="B102" s="1617"/>
      <c r="C102" s="1308"/>
      <c r="D102" s="1308"/>
      <c r="E102" s="635">
        <v>15</v>
      </c>
      <c r="F102" s="1326" cm="1" t="str">
        <f t="array" ref="F102:F102">OFFSET(E102,-1,1)</f>
        <v>3</v>
      </c>
      <c r="G102" s="1308"/>
      <c r="H102" s="1308"/>
      <c r="I102" s="1308"/>
      <c r="J102" s="1308"/>
      <c r="K102" s="1308"/>
      <c r="L102" s="1308"/>
      <c r="M102" s="1308"/>
      <c r="N102" s="1308"/>
      <c r="O102" s="1308"/>
      <c r="P102" s="1308"/>
      <c r="Q102" s="1308"/>
      <c r="R102" s="1308"/>
      <c r="S102" s="1308"/>
      <c r="T102" s="1436" cm="1" t="str">
        <f t="array" ref="T102:T102">T101</f>
        <v>false</v>
      </c>
      <c r="U102" s="1308"/>
      <c r="V102" s="1327"/>
      <c r="W102" s="1308"/>
      <c r="X102" s="1324"/>
      <c r="Y102" s="1559"/>
      <c r="Z102" s="1324"/>
      <c r="AA102" s="2580"/>
      <c r="AB102" s="1577" t="str">
        <f>AB100&amp;".2"</f>
        <v>2.3.0.2</v>
      </c>
      <c r="AC102" s="1100" t="s">
        <v>956</v>
      </c>
      <c r="AD102" s="1554" t="s">
        <v>946</v>
      </c>
      <c r="AE102" s="2549"/>
      <c r="AF102" s="2549"/>
      <c r="AG102" s="2549"/>
      <c r="AH102" s="2549"/>
      <c r="AI102" s="2549"/>
      <c r="AJ102" s="2549"/>
      <c r="AK102" s="2549"/>
      <c r="AL102" s="2549"/>
      <c r="AM102" s="2549"/>
      <c r="AN102" s="2549"/>
      <c r="AO102" s="2549"/>
      <c r="AP102" s="2549"/>
      <c r="AQ102" s="2549"/>
      <c r="AR102" s="2549"/>
      <c r="AS102" s="2549"/>
      <c r="AT102" s="2549"/>
      <c r="AU102" s="2549"/>
      <c r="AV102" s="2549"/>
      <c r="AW102" s="2549"/>
      <c r="AX102" s="2549"/>
      <c r="AY102" s="2549"/>
      <c r="AZ102" s="2549"/>
      <c r="BA102" s="2549"/>
      <c r="BB102" s="2549"/>
      <c r="BC102" s="2544"/>
      <c r="BD102" s="1328"/>
      <c r="BE102" s="1328"/>
      <c r="BF102" s="1309" t="s">
        <v>947</v>
      </c>
      <c r="BG102" s="1309" t="s">
        <v>955</v>
      </c>
      <c r="BH102" s="1309" cm="1" t="str">
        <f t="array" ref="BH102:BH102">BH101</f>
        <v>0</v>
      </c>
      <c r="BI102" s="1309" cm="1" t="str">
        <f t="array" ref="BI102:BI102">BI101</f>
        <v>0</v>
      </c>
      <c r="BJ102" s="1243"/>
      <c r="BK102" s="1310"/>
    </row>
    <row customHeight="1" ht="14.625">
      <c r="A103" s="1308"/>
      <c r="B103" s="1617"/>
      <c r="C103" s="1308"/>
      <c r="D103" s="1308"/>
      <c r="E103" s="635">
        <v>15</v>
      </c>
      <c r="F103" s="1326" cm="1" t="str">
        <f t="array" ref="F103:F103">OFFSET(E103,-1,1)</f>
        <v>3</v>
      </c>
      <c r="G103" s="1308"/>
      <c r="H103" s="1308"/>
      <c r="I103" s="1308"/>
      <c r="J103" s="1308"/>
      <c r="K103" s="1308"/>
      <c r="L103" s="1308"/>
      <c r="M103" s="1308"/>
      <c r="N103" s="1308"/>
      <c r="O103" s="1308"/>
      <c r="P103" s="1308"/>
      <c r="Q103" s="1308"/>
      <c r="R103" s="1308"/>
      <c r="S103" s="1308"/>
      <c r="T103" s="1436">
        <f>F103&gt;0</f>
        <v>1</v>
      </c>
      <c r="U103" s="1308"/>
      <c r="V103" s="1327"/>
      <c r="W103" s="856" t="s">
        <v>957</v>
      </c>
      <c r="X103" s="1324"/>
      <c r="Y103" s="1308"/>
      <c r="Z103" s="1324"/>
      <c r="AA103" s="1308"/>
      <c r="AB103" s="2839"/>
      <c r="AC103" s="2840" t="s">
        <v>177</v>
      </c>
      <c r="AD103" s="2841"/>
      <c r="AE103" s="2842"/>
      <c r="AF103" s="2843"/>
      <c r="AG103" s="2844"/>
      <c r="AH103" s="2845"/>
      <c r="AI103" s="2846"/>
      <c r="AJ103" s="2847"/>
      <c r="AK103" s="2848"/>
      <c r="AL103" s="2849"/>
      <c r="AM103" s="2850"/>
      <c r="AN103" s="2851"/>
      <c r="AO103" s="2852"/>
      <c r="AP103" s="2853"/>
      <c r="AQ103" s="2854"/>
      <c r="AR103" s="2855"/>
      <c r="AS103" s="2856"/>
      <c r="AT103" s="2857"/>
      <c r="AU103" s="2858"/>
      <c r="AV103" s="2859"/>
      <c r="AW103" s="2860"/>
      <c r="AX103" s="2861"/>
      <c r="AY103" s="2862"/>
      <c r="AZ103" s="2863"/>
      <c r="BA103" s="2864"/>
      <c r="BB103" s="2865"/>
      <c r="BC103" s="2866"/>
      <c r="BF103" s="1309"/>
      <c r="BG103" s="1309"/>
      <c r="BH103" s="1309"/>
      <c r="BI103" s="1309"/>
      <c r="BJ103" s="1243" t="s">
        <v>955</v>
      </c>
      <c r="BK103" s="1310"/>
    </row>
    <row customHeight="1" ht="22.668750000000003">
      <c r="A104" s="1308"/>
      <c r="B104" s="1617"/>
      <c r="C104" s="1308"/>
      <c r="D104" s="1308"/>
      <c r="E104" s="635">
        <v>23.25</v>
      </c>
      <c r="F104" s="1326" cm="1" t="str">
        <f t="array" ref="F104:F104">OFFSET(E104,-1,1)</f>
        <v>3</v>
      </c>
      <c r="G104" s="1308"/>
      <c r="I104" s="1336" t="s">
        <v>958</v>
      </c>
      <c r="J104" s="1308"/>
      <c r="K104" s="1308"/>
      <c r="L104" s="1308"/>
      <c r="M104" s="1308"/>
      <c r="N104" s="1308"/>
      <c r="O104" s="1308"/>
      <c r="P104" s="1308"/>
      <c r="Q104" s="1308"/>
      <c r="R104" s="1308"/>
      <c r="S104" s="1308"/>
      <c r="T104" s="1436" cm="1" t="str">
        <f t="array" ref="T104:T104">T103</f>
        <v>true</v>
      </c>
      <c r="U104" s="1308"/>
      <c r="V104" s="1327"/>
      <c r="W104" s="1308"/>
      <c r="X104" s="1324"/>
      <c r="Y104" s="1308"/>
      <c r="Z104" s="1324"/>
      <c r="AA104" s="1308"/>
      <c r="AB104" s="141" t="s">
        <v>234</v>
      </c>
      <c r="AC104" s="1098" t="s">
        <v>959</v>
      </c>
      <c r="AD104" s="1540" t="s">
        <v>936</v>
      </c>
      <c r="AE104" s="187">
        <f>AE105+AE106</f>
        <v>0</v>
      </c>
      <c r="AF104" s="187">
        <f>AF105+AF106</f>
        <v>0</v>
      </c>
      <c r="AG104" s="187">
        <f>AG105+AG106</f>
        <v>0</v>
      </c>
      <c r="AH104" s="187">
        <f>AH105+AH106</f>
        <v>0</v>
      </c>
      <c r="AI104" s="187">
        <f>AI105+AI106</f>
        <v>0</v>
      </c>
      <c r="AJ104" s="187">
        <f>AJ105+AJ106</f>
        <v>0</v>
      </c>
      <c r="AK104" s="187">
        <f>AK105+AK106</f>
        <v>0</v>
      </c>
      <c r="AL104" s="187">
        <f>AL105+AL106</f>
        <v>0</v>
      </c>
      <c r="AM104" s="187">
        <f>AM105+AM106</f>
        <v>0</v>
      </c>
      <c r="AN104" s="187">
        <f>AN105+AN106</f>
        <v>0</v>
      </c>
      <c r="AO104" s="187">
        <f>AO105+AO106</f>
        <v>0</v>
      </c>
      <c r="AP104" s="187">
        <f>AP105+AP106</f>
        <v>0</v>
      </c>
      <c r="AQ104" s="187">
        <f>AQ105+AQ106</f>
        <v>0</v>
      </c>
      <c r="AR104" s="187">
        <f>AR105+AR106</f>
        <v>0</v>
      </c>
      <c r="AS104" s="187">
        <f>AS105+AS106</f>
        <v>0</v>
      </c>
      <c r="AT104" s="187">
        <f>AT105+AT106</f>
        <v>0</v>
      </c>
      <c r="AU104" s="187">
        <f>AU105+AU106</f>
        <v>0</v>
      </c>
      <c r="AV104" s="187">
        <f>AV105+AV106</f>
        <v>0</v>
      </c>
      <c r="AW104" s="187">
        <f>AW105+AW106</f>
        <v>0</v>
      </c>
      <c r="AX104" s="187">
        <f>AX105+AX106</f>
        <v>0</v>
      </c>
      <c r="AY104" s="187">
        <f>AY105+AY106</f>
        <v>0</v>
      </c>
      <c r="AZ104" s="187">
        <f>AZ105+AZ106</f>
        <v>0</v>
      </c>
      <c r="BA104" s="187">
        <f>BA105+BA106</f>
        <v>0</v>
      </c>
      <c r="BB104" s="187">
        <f>BB105+BB106</f>
        <v>0</v>
      </c>
      <c r="BC104" s="2640"/>
      <c r="BF104" s="1309" t="s">
        <v>960</v>
      </c>
      <c r="BG104" s="1309"/>
      <c r="BH104" s="1309"/>
      <c r="BI104" s="1309"/>
      <c r="BJ104" s="1243"/>
      <c r="BK104" s="1310"/>
    </row>
    <row customHeight="1" ht="32.90625">
      <c r="A105" s="1308"/>
      <c r="B105" s="1617"/>
      <c r="C105" s="1308"/>
      <c r="D105" s="1308"/>
      <c r="E105" s="635">
        <v>33.75</v>
      </c>
      <c r="F105" s="1326" cm="1" t="str">
        <f t="array" ref="F105:F105">OFFSET(E105,-1,1)</f>
        <v>3</v>
      </c>
      <c r="G105" s="1308"/>
      <c r="H105" s="1308"/>
      <c r="I105" s="1308"/>
      <c r="J105" s="1308"/>
      <c r="K105" s="1308"/>
      <c r="L105" s="1308"/>
      <c r="M105" s="1308"/>
      <c r="N105" s="1308"/>
      <c r="O105" s="1308"/>
      <c r="P105" s="1308"/>
      <c r="Q105" s="1308"/>
      <c r="R105" s="1308"/>
      <c r="S105" s="1308"/>
      <c r="T105" s="1436" cm="1" t="str">
        <f t="array" ref="T105:T105">T104</f>
        <v>true</v>
      </c>
      <c r="U105" s="1308"/>
      <c r="V105" s="1327"/>
      <c r="W105" s="1308"/>
      <c r="X105" s="1324"/>
      <c r="Y105" s="1308"/>
      <c r="Z105" s="1324"/>
      <c r="AA105" s="1308"/>
      <c r="AB105" s="141" t="s">
        <v>674</v>
      </c>
      <c r="AC105" s="1098" t="s">
        <v>961</v>
      </c>
      <c r="AD105" s="1540" t="s">
        <v>936</v>
      </c>
      <c r="AE105" s="1105"/>
      <c r="AF105" s="1105"/>
      <c r="AG105" s="1105"/>
      <c r="AH105" s="1105"/>
      <c r="AI105" s="1105"/>
      <c r="AJ105" s="2549"/>
      <c r="AK105" s="2549"/>
      <c r="AL105" s="2549"/>
      <c r="AM105" s="2549"/>
      <c r="AN105" s="2549"/>
      <c r="AO105" s="2549"/>
      <c r="AP105" s="2549"/>
      <c r="AQ105" s="2549"/>
      <c r="AR105" s="2549"/>
      <c r="AS105" s="1105"/>
      <c r="AT105" s="2549"/>
      <c r="AU105" s="2549"/>
      <c r="AV105" s="2549"/>
      <c r="AW105" s="2549"/>
      <c r="AX105" s="2549"/>
      <c r="AY105" s="2549"/>
      <c r="AZ105" s="2549"/>
      <c r="BA105" s="2549"/>
      <c r="BB105" s="2549"/>
      <c r="BC105" s="2640"/>
      <c r="BF105" s="1309" t="s">
        <v>962</v>
      </c>
      <c r="BG105" s="1309"/>
      <c r="BH105" s="1309"/>
      <c r="BI105" s="1309"/>
      <c r="BJ105" s="1243"/>
      <c r="BK105" s="1310"/>
    </row>
    <row customHeight="1" ht="43.875">
      <c r="A106" s="1308"/>
      <c r="B106" s="1617"/>
      <c r="C106" s="1308"/>
      <c r="D106" s="1308"/>
      <c r="E106" s="635">
        <v>45</v>
      </c>
      <c r="F106" s="1326" cm="1" t="str">
        <f t="array" ref="F106:F106">OFFSET(E106,-1,1)</f>
        <v>3</v>
      </c>
      <c r="G106" s="1308"/>
      <c r="H106" s="1308"/>
      <c r="I106" s="1308"/>
      <c r="J106" s="1308"/>
      <c r="K106" s="1308"/>
      <c r="L106" s="1308"/>
      <c r="M106" s="1308"/>
      <c r="N106" s="1308"/>
      <c r="O106" s="1308"/>
      <c r="P106" s="1308"/>
      <c r="Q106" s="1308"/>
      <c r="R106" s="1308"/>
      <c r="S106" s="1308"/>
      <c r="T106" s="1436" cm="1" t="str">
        <f t="array" ref="T106:T106">T105</f>
        <v>true</v>
      </c>
      <c r="U106" s="1308"/>
      <c r="V106" s="1327"/>
      <c r="W106" s="1308"/>
      <c r="X106" s="1324"/>
      <c r="Y106" s="1308"/>
      <c r="Z106" s="1324"/>
      <c r="AA106" s="1308"/>
      <c r="AB106" s="141" t="s">
        <v>678</v>
      </c>
      <c r="AC106" s="1098" t="s">
        <v>963</v>
      </c>
      <c r="AD106" s="1540" t="s">
        <v>936</v>
      </c>
      <c r="AE106" s="187">
        <f>SUMIF($AD107:$AD110,$AD106,AE107:AE110)</f>
        <v>0</v>
      </c>
      <c r="AF106" s="187">
        <f>SUMIF($AD107:$AD110,$AD106,AF107:AF110)</f>
        <v>0</v>
      </c>
      <c r="AG106" s="187">
        <f>SUMIF($AD107:$AD110,$AD106,AG107:AG110)</f>
        <v>0</v>
      </c>
      <c r="AH106" s="187">
        <f>SUMIF($AD107:$AD110,$AD106,AH107:AH110)</f>
        <v>0</v>
      </c>
      <c r="AI106" s="187">
        <f>SUMIF($AD107:$AD110,$AD106,AI107:AI110)</f>
        <v>0</v>
      </c>
      <c r="AJ106" s="187">
        <f>SUMIF($AD107:$AD110,$AD106,AJ107:AJ110)</f>
        <v>0</v>
      </c>
      <c r="AK106" s="187">
        <f>SUMIF($AD107:$AD110,$AD106,AK107:AK110)</f>
        <v>0</v>
      </c>
      <c r="AL106" s="187">
        <f>SUMIF($AD107:$AD110,$AD106,AL107:AL110)</f>
        <v>0</v>
      </c>
      <c r="AM106" s="187">
        <f>SUMIF($AD107:$AD110,$AD106,AM107:AM110)</f>
        <v>0</v>
      </c>
      <c r="AN106" s="187">
        <f>SUMIF($AD107:$AD110,$AD106,AN107:AN110)</f>
        <v>0</v>
      </c>
      <c r="AO106" s="187">
        <f>SUMIF($AD107:$AD110,$AD106,AO107:AO110)</f>
        <v>0</v>
      </c>
      <c r="AP106" s="187">
        <f>SUMIF($AD107:$AD110,$AD106,AP107:AP110)</f>
        <v>0</v>
      </c>
      <c r="AQ106" s="187">
        <f>SUMIF($AD107:$AD110,$AD106,AQ107:AQ110)</f>
        <v>0</v>
      </c>
      <c r="AR106" s="187">
        <f>SUMIF($AD107:$AD110,$AD106,AR107:AR110)</f>
        <v>0</v>
      </c>
      <c r="AS106" s="187">
        <f>SUMIF($AD107:$AD110,$AD106,AS107:AS110)</f>
        <v>0</v>
      </c>
      <c r="AT106" s="187">
        <f>SUMIF($AD107:$AD110,$AD106,AT107:AT110)</f>
        <v>0</v>
      </c>
      <c r="AU106" s="187">
        <f>SUMIF($AD107:$AD110,$AD106,AU107:AU110)</f>
        <v>0</v>
      </c>
      <c r="AV106" s="187">
        <f>SUMIF($AD107:$AD110,$AD106,AV107:AV110)</f>
        <v>0</v>
      </c>
      <c r="AW106" s="187">
        <f>SUMIF($AD107:$AD110,$AD106,AW107:AW110)</f>
        <v>0</v>
      </c>
      <c r="AX106" s="187">
        <f>SUMIF($AD107:$AD110,$AD106,AX107:AX110)</f>
        <v>0</v>
      </c>
      <c r="AY106" s="187">
        <f>SUMIF($AD107:$AD110,$AD106,AY107:AY110)</f>
        <v>0</v>
      </c>
      <c r="AZ106" s="187">
        <f>SUMIF($AD107:$AD110,$AD106,AZ107:AZ110)</f>
        <v>0</v>
      </c>
      <c r="BA106" s="187">
        <f>SUMIF($AD107:$AD110,$AD106,BA107:BA110)</f>
        <v>0</v>
      </c>
      <c r="BB106" s="187">
        <f>SUMIF($AD107:$AD110,$AD106,BB107:BB110)</f>
        <v>0</v>
      </c>
      <c r="BC106" s="2640"/>
      <c r="BF106" s="1309" t="s">
        <v>964</v>
      </c>
      <c r="BG106" s="1309"/>
      <c r="BH106" s="1309"/>
      <c r="BI106" s="1309"/>
      <c r="BJ106" s="1243"/>
      <c r="BK106" s="1310"/>
    </row>
    <row customHeight="1" ht="14.625" hidden="1">
      <c r="A107" s="1308"/>
      <c r="B107" s="1617"/>
      <c r="C107" s="1308"/>
      <c r="D107" s="1308"/>
      <c r="E107" s="635">
        <v>15</v>
      </c>
      <c r="F107" s="1326" cm="1" t="str">
        <f t="array" ref="F107:F107">OFFSET(E107,-1,1)</f>
        <v>3</v>
      </c>
      <c r="G107" s="1308"/>
      <c r="H107" s="1308"/>
      <c r="I107" s="1308"/>
      <c r="J107" s="1308"/>
      <c r="K107" s="1308"/>
      <c r="L107" s="1308"/>
      <c r="M107" s="1308"/>
      <c r="N107" s="1308"/>
      <c r="O107" s="1308"/>
      <c r="P107" s="1308"/>
      <c r="Q107" s="1308"/>
      <c r="R107" s="1308"/>
      <c r="S107" s="1308"/>
      <c r="T107" s="1436">
        <f>AND(F107&gt;0,Y107&gt;0)</f>
        <v>0</v>
      </c>
      <c r="U107" s="1308"/>
      <c r="V107" s="1327"/>
      <c r="W107" s="856" t="s">
        <v>173</v>
      </c>
      <c r="X107" s="1324"/>
      <c r="Y107" s="1559">
        <v>0</v>
      </c>
      <c r="Z107" s="1324"/>
      <c r="AA107" s="2580" t="s">
        <v>174</v>
      </c>
      <c r="AB107" s="1577" t="str">
        <f>"3.3."&amp;Y107</f>
        <v>3.3.0</v>
      </c>
      <c r="AC107" s="2581"/>
      <c r="AD107" s="1540" t="s">
        <v>936</v>
      </c>
      <c r="AE107" s="2549"/>
      <c r="AF107" s="2549"/>
      <c r="AG107" s="2549"/>
      <c r="AH107" s="2549"/>
      <c r="AI107" s="2549"/>
      <c r="AJ107" s="2549"/>
      <c r="AK107" s="2549"/>
      <c r="AL107" s="2549"/>
      <c r="AM107" s="2549"/>
      <c r="AN107" s="2549"/>
      <c r="AO107" s="2549"/>
      <c r="AP107" s="2549"/>
      <c r="AQ107" s="2549"/>
      <c r="AR107" s="2549"/>
      <c r="AS107" s="2549"/>
      <c r="AT107" s="2549"/>
      <c r="AU107" s="2549"/>
      <c r="AV107" s="2549"/>
      <c r="AW107" s="2549"/>
      <c r="AX107" s="2549"/>
      <c r="AY107" s="2549"/>
      <c r="AZ107" s="2549"/>
      <c r="BA107" s="2549"/>
      <c r="BB107" s="2549"/>
      <c r="BC107" s="2544"/>
      <c r="BD107" s="1328"/>
      <c r="BE107" s="1328"/>
      <c r="BF107" s="1309" t="s">
        <v>965</v>
      </c>
      <c r="BG107" s="1309" t="s">
        <v>966</v>
      </c>
      <c r="BH107" s="1309" cm="1" t="str">
        <f t="array" ref="BH107:BH107">AC107</f>
        <v>0</v>
      </c>
      <c r="BI107" s="1309" cm="1" t="str">
        <f t="array" ref="BI107:BI107">AD108</f>
        <v>0</v>
      </c>
      <c r="BJ107" s="1243"/>
      <c r="BK107" s="1310" t="b">
        <v>1</v>
      </c>
    </row>
    <row customHeight="1" ht="14.625" hidden="1">
      <c r="A108" s="1308"/>
      <c r="B108" s="1617"/>
      <c r="C108" s="1308"/>
      <c r="D108" s="1308"/>
      <c r="E108" s="635">
        <v>15</v>
      </c>
      <c r="F108" s="1326" cm="1" t="str">
        <f t="array" ref="F108:F108">OFFSET(E108,-1,1)</f>
        <v>3</v>
      </c>
      <c r="G108" s="1308"/>
      <c r="H108" s="1308"/>
      <c r="I108" s="1308"/>
      <c r="J108" s="1308"/>
      <c r="K108" s="1308"/>
      <c r="L108" s="1308"/>
      <c r="M108" s="1308"/>
      <c r="N108" s="1308"/>
      <c r="O108" s="1308"/>
      <c r="P108" s="1308"/>
      <c r="Q108" s="1308"/>
      <c r="R108" s="1308"/>
      <c r="S108" s="1308"/>
      <c r="T108" s="1436" cm="1" t="str">
        <f t="array" ref="T108:T108">T107</f>
        <v>false</v>
      </c>
      <c r="U108" s="1308"/>
      <c r="V108" s="1327"/>
      <c r="W108" s="1308"/>
      <c r="X108" s="1324"/>
      <c r="Y108" s="1559"/>
      <c r="Z108" s="1324"/>
      <c r="AA108" s="2580"/>
      <c r="AB108" s="1577" t="str">
        <f>AB107&amp;".1"</f>
        <v>3.3.0.1</v>
      </c>
      <c r="AC108" s="1100" t="s">
        <v>942</v>
      </c>
      <c r="AD108" s="2582"/>
      <c r="AE108" s="2549"/>
      <c r="AF108" s="2549"/>
      <c r="AG108" s="2549"/>
      <c r="AH108" s="2549"/>
      <c r="AI108" s="2549"/>
      <c r="AJ108" s="2549"/>
      <c r="AK108" s="2549"/>
      <c r="AL108" s="2549"/>
      <c r="AM108" s="2549"/>
      <c r="AN108" s="2549"/>
      <c r="AO108" s="2549"/>
      <c r="AP108" s="2549"/>
      <c r="AQ108" s="2549"/>
      <c r="AR108" s="2549"/>
      <c r="AS108" s="2549"/>
      <c r="AT108" s="2549"/>
      <c r="AU108" s="2549"/>
      <c r="AV108" s="2549"/>
      <c r="AW108" s="2549"/>
      <c r="AX108" s="2549"/>
      <c r="AY108" s="2549"/>
      <c r="AZ108" s="2549"/>
      <c r="BA108" s="2549"/>
      <c r="BB108" s="2549"/>
      <c r="BC108" s="2544"/>
      <c r="BD108" s="1328"/>
      <c r="BE108" s="1328"/>
      <c r="BF108" s="1309" t="s">
        <v>944</v>
      </c>
      <c r="BG108" s="1309" t="s">
        <v>966</v>
      </c>
      <c r="BH108" s="1309" cm="1" t="str">
        <f t="array" ref="BH108:BH108">BH107</f>
        <v>0</v>
      </c>
      <c r="BI108" s="1309" cm="1" t="str">
        <f t="array" ref="BI108:BI108">BI107</f>
        <v>0</v>
      </c>
      <c r="BJ108" s="1243"/>
      <c r="BK108" s="1310"/>
    </row>
    <row customHeight="1" ht="14.625" hidden="1">
      <c r="A109" s="1308"/>
      <c r="B109" s="1617"/>
      <c r="C109" s="1308"/>
      <c r="D109" s="1308"/>
      <c r="E109" s="635">
        <v>15</v>
      </c>
      <c r="F109" s="1326" cm="1" t="str">
        <f t="array" ref="F109:F109">OFFSET(E109,-1,1)</f>
        <v>3</v>
      </c>
      <c r="G109" s="1308"/>
      <c r="H109" s="1308"/>
      <c r="I109" s="1308"/>
      <c r="J109" s="1308"/>
      <c r="K109" s="1308"/>
      <c r="L109" s="1308"/>
      <c r="M109" s="1308"/>
      <c r="N109" s="1308"/>
      <c r="O109" s="1308"/>
      <c r="P109" s="1308"/>
      <c r="Q109" s="1308"/>
      <c r="R109" s="1308"/>
      <c r="S109" s="1308"/>
      <c r="T109" s="1436" cm="1" t="str">
        <f t="array" ref="T109:T109">T108</f>
        <v>false</v>
      </c>
      <c r="U109" s="1308"/>
      <c r="V109" s="1327"/>
      <c r="W109" s="1308"/>
      <c r="X109" s="1324"/>
      <c r="Y109" s="1559"/>
      <c r="Z109" s="1324"/>
      <c r="AA109" s="2580"/>
      <c r="AB109" s="1577" t="str">
        <f>AB107&amp;".2"</f>
        <v>3.3.0.2</v>
      </c>
      <c r="AC109" s="1100" t="s">
        <v>956</v>
      </c>
      <c r="AD109" s="1554" t="s">
        <v>946</v>
      </c>
      <c r="AE109" s="2549"/>
      <c r="AF109" s="2549"/>
      <c r="AG109" s="2549"/>
      <c r="AH109" s="2549"/>
      <c r="AI109" s="2549"/>
      <c r="AJ109" s="2549"/>
      <c r="AK109" s="2549"/>
      <c r="AL109" s="2549"/>
      <c r="AM109" s="2549"/>
      <c r="AN109" s="2549"/>
      <c r="AO109" s="2549"/>
      <c r="AP109" s="2549"/>
      <c r="AQ109" s="2549"/>
      <c r="AR109" s="2549"/>
      <c r="AS109" s="2549"/>
      <c r="AT109" s="2549"/>
      <c r="AU109" s="2549"/>
      <c r="AV109" s="2549"/>
      <c r="AW109" s="2549"/>
      <c r="AX109" s="2549"/>
      <c r="AY109" s="2549"/>
      <c r="AZ109" s="2549"/>
      <c r="BA109" s="2549"/>
      <c r="BB109" s="2549"/>
      <c r="BC109" s="2544"/>
      <c r="BD109" s="1328"/>
      <c r="BE109" s="1328"/>
      <c r="BF109" s="1309" t="s">
        <v>947</v>
      </c>
      <c r="BG109" s="1309" t="s">
        <v>966</v>
      </c>
      <c r="BH109" s="1309" cm="1" t="str">
        <f t="array" ref="BH109:BH109">BH108</f>
        <v>0</v>
      </c>
      <c r="BI109" s="1309" cm="1" t="str">
        <f t="array" ref="BI109:BI109">BI108</f>
        <v>0</v>
      </c>
      <c r="BJ109" s="1243"/>
      <c r="BK109" s="1310"/>
    </row>
    <row s="1363" customFormat="1" customHeight="1" ht="14.25">
      <c r="A110" s="1308"/>
      <c r="B110" s="1617"/>
      <c r="C110" s="1308"/>
      <c r="D110" s="1308"/>
      <c r="E110" s="635">
        <v>15</v>
      </c>
      <c r="F110" s="1326" cm="1" t="str">
        <f t="array" ref="F110:F110">OFFSET(E110,-1,1)</f>
        <v>3</v>
      </c>
      <c r="G110" s="1308"/>
      <c r="H110" s="1308"/>
      <c r="I110" s="1308"/>
      <c r="J110" s="1308"/>
      <c r="K110" s="1308"/>
      <c r="L110" s="1308"/>
      <c r="M110" s="1308"/>
      <c r="N110" s="1308"/>
      <c r="O110" s="1308"/>
      <c r="P110" s="1308"/>
      <c r="Q110" s="1308"/>
      <c r="R110" s="1308"/>
      <c r="S110" s="1308"/>
      <c r="T110" s="1436">
        <f>F110&gt;0</f>
        <v>1</v>
      </c>
      <c r="U110" s="1308"/>
      <c r="V110" s="1327"/>
      <c r="W110" s="856" t="s">
        <v>967</v>
      </c>
      <c r="X110" s="1324"/>
      <c r="Y110" s="1308"/>
      <c r="Z110" s="1324"/>
      <c r="AA110" s="1308"/>
      <c r="AB110" s="2867"/>
      <c r="AC110" s="2868" t="s">
        <v>177</v>
      </c>
      <c r="AD110" s="2869"/>
      <c r="AE110" s="2870"/>
      <c r="AF110" s="2871"/>
      <c r="AG110" s="2872"/>
      <c r="AH110" s="2873"/>
      <c r="AI110" s="2874"/>
      <c r="AJ110" s="2875"/>
      <c r="AK110" s="2876"/>
      <c r="AL110" s="2877"/>
      <c r="AM110" s="2878"/>
      <c r="AN110" s="2879"/>
      <c r="AO110" s="2880"/>
      <c r="AP110" s="2881"/>
      <c r="AQ110" s="2882"/>
      <c r="AR110" s="2883"/>
      <c r="AS110" s="2884"/>
      <c r="AT110" s="2885"/>
      <c r="AU110" s="2886"/>
      <c r="AV110" s="2887"/>
      <c r="AW110" s="2888"/>
      <c r="AX110" s="2889"/>
      <c r="AY110" s="2890"/>
      <c r="AZ110" s="2891"/>
      <c r="BA110" s="2892"/>
      <c r="BB110" s="2893"/>
      <c r="BC110" s="2894"/>
      <c r="BF110" s="1309"/>
      <c r="BG110" s="1309"/>
      <c r="BH110" s="1309"/>
      <c r="BI110" s="1309"/>
      <c r="BJ110" s="1243" t="s">
        <v>966</v>
      </c>
      <c r="BK110" s="1310"/>
    </row>
    <row s="1656" customFormat="1" customHeight="1" ht="10.96875">
      <c r="A111" s="502"/>
      <c r="B111" s="664"/>
      <c r="C111" s="502"/>
      <c r="D111" s="502"/>
      <c r="E111" s="665">
        <v>11.25</v>
      </c>
      <c r="F111" s="485"/>
      <c r="G111" s="502"/>
      <c r="H111" s="502"/>
      <c r="I111" s="502"/>
      <c r="J111" s="502"/>
      <c r="K111" s="502"/>
      <c r="L111" s="502"/>
      <c r="M111" s="502"/>
      <c r="N111" s="502"/>
      <c r="O111" s="502"/>
      <c r="P111" s="502"/>
      <c r="Q111" s="502"/>
      <c r="R111" s="502"/>
      <c r="S111" s="502"/>
      <c r="T111" s="502"/>
      <c r="U111" s="417" t="s">
        <v>177</v>
      </c>
      <c r="V111" s="136" t="s">
        <v>968</v>
      </c>
      <c r="W111" s="502"/>
      <c r="X111" s="502"/>
      <c r="Y111" s="502"/>
      <c r="Z111" s="502"/>
      <c r="AA111" s="502"/>
      <c r="AC111" s="96"/>
      <c r="AD111" s="96"/>
      <c r="AE111" s="96"/>
      <c r="AF111" s="96"/>
      <c r="AI111" s="1656"/>
      <c r="AJ111" s="1656"/>
      <c r="AK111" s="1656"/>
      <c r="AL111" s="1656"/>
      <c r="AM111" s="1656"/>
      <c r="AN111" s="1656"/>
      <c r="AO111" s="1656"/>
      <c r="AP111" s="1656"/>
      <c r="AQ111" s="97"/>
      <c r="AR111" s="1656"/>
      <c r="AS111" s="1656"/>
      <c r="AT111" s="1656"/>
      <c r="AU111" s="1656"/>
      <c r="AV111" s="1656"/>
      <c r="AW111" s="1656"/>
      <c r="AX111" s="1656"/>
      <c r="AY111" s="1656"/>
      <c r="AZ111" s="1656"/>
      <c r="BA111" s="1656"/>
      <c r="BB111" s="1656"/>
      <c r="BF111" s="1012"/>
      <c r="BG111" s="1012"/>
      <c r="BH111" s="1012"/>
      <c r="BJ111" s="629"/>
      <c r="BK111" s="629"/>
    </row>
    <row customHeight="1" ht="10.96875">
      <c r="E112" s="637">
        <v>11.25</v>
      </c>
      <c r="AI112" s="1328"/>
      <c r="AJ112" s="1328"/>
      <c r="AK112" s="1328"/>
      <c r="AL112" s="1328"/>
      <c r="AM112" s="1328"/>
      <c r="AN112" s="1328"/>
      <c r="AO112" s="1328"/>
      <c r="AP112" s="1328"/>
      <c r="AQ112" s="1328"/>
      <c r="AR112" s="1328"/>
      <c r="AS112" s="1328"/>
      <c r="AT112" s="1328"/>
      <c r="AU112" s="1328"/>
      <c r="AV112" s="1328"/>
      <c r="AW112" s="1328"/>
      <c r="AX112" s="1328"/>
      <c r="AY112" s="1328"/>
      <c r="AZ112" s="1328"/>
      <c r="BA112" s="1328"/>
      <c r="BB112" s="1328"/>
    </row>
    <row customHeight="1" ht="14.625">
      <c r="E113" s="637">
        <v>15</v>
      </c>
      <c r="AB113" s="1553" t="s">
        <v>420</v>
      </c>
      <c r="AC113" s="1553"/>
      <c r="AD113" s="1553"/>
      <c r="AE113" s="1553"/>
      <c r="AF113" s="1553"/>
      <c r="AG113" s="1553"/>
      <c r="AH113" s="1553"/>
      <c r="AI113" s="1561"/>
      <c r="AJ113" s="1561"/>
      <c r="AK113" s="1561"/>
      <c r="AL113" s="1561"/>
      <c r="AM113" s="1561"/>
      <c r="AN113" s="1561"/>
      <c r="AO113" s="1561"/>
      <c r="AP113" s="1561"/>
      <c r="AQ113" s="1561"/>
      <c r="AR113" s="1561"/>
      <c r="AS113" s="1561"/>
      <c r="AT113" s="1561"/>
      <c r="AU113" s="1561"/>
      <c r="AV113" s="1561"/>
      <c r="AW113" s="1561"/>
      <c r="AX113" s="1561"/>
      <c r="AY113" s="1561"/>
      <c r="AZ113" s="1561"/>
      <c r="BA113" s="1561"/>
      <c r="BB113" s="1561"/>
      <c r="BC113" s="1561"/>
    </row>
    <row customHeight="1" ht="14.625">
      <c r="E114" s="637">
        <v>15</v>
      </c>
      <c r="AB114" s="1578" t="s">
        <v>240</v>
      </c>
      <c r="AC114" s="1579"/>
      <c r="AD114" s="1579"/>
      <c r="AE114" s="1579"/>
      <c r="AF114" s="1579"/>
      <c r="AG114" s="1579"/>
      <c r="AH114" s="1579"/>
      <c r="AI114" s="1579"/>
      <c r="AJ114" s="2897"/>
      <c r="AK114" s="2897"/>
      <c r="AL114" s="2897"/>
      <c r="AM114" s="2897"/>
      <c r="AN114" s="2897"/>
      <c r="AO114" s="2897"/>
      <c r="AP114" s="2897"/>
      <c r="AQ114" s="2897"/>
      <c r="AR114" s="2897"/>
      <c r="AS114" s="1579"/>
      <c r="AT114" s="2897"/>
      <c r="AU114" s="2897"/>
      <c r="AV114" s="2897"/>
      <c r="AW114" s="2897"/>
      <c r="AX114" s="2897"/>
      <c r="AY114" s="2897"/>
      <c r="AZ114" s="2897"/>
      <c r="BA114" s="2897"/>
      <c r="BB114" s="2897"/>
      <c r="BC114" s="1580"/>
    </row>
    <row customHeight="1" ht="14.625" hidden="1">
      <c r="A115" s="1328"/>
      <c r="B115" s="1186"/>
      <c r="C115" s="1328"/>
      <c r="D115" s="1328"/>
      <c r="E115" s="637">
        <v>15</v>
      </c>
      <c r="F115" s="1328"/>
      <c r="G115" s="1328"/>
      <c r="H115" s="1328"/>
      <c r="I115" s="1328"/>
      <c r="J115" s="1328"/>
      <c r="K115" s="1328"/>
      <c r="L115" s="1328"/>
      <c r="M115" s="1328"/>
      <c r="N115" s="1328"/>
      <c r="O115" s="1328"/>
      <c r="P115" s="1328"/>
      <c r="Q115" s="1328"/>
      <c r="R115" s="1328"/>
      <c r="S115" s="1328"/>
      <c r="T115" s="468">
        <f>ROW(W115)&gt;ROW(W$115)</f>
        <v>0</v>
      </c>
      <c r="U115" s="1328"/>
      <c r="V115" s="1328"/>
      <c r="W115" s="764" t="s">
        <v>173</v>
      </c>
      <c r="X115" s="1328"/>
      <c r="Y115" s="1328"/>
      <c r="Z115" s="1328"/>
      <c r="AA115" s="668" t="s">
        <v>174</v>
      </c>
      <c r="AB115" s="2898" t="s">
        <v>240</v>
      </c>
      <c r="AC115" s="2897"/>
      <c r="AD115" s="2897"/>
      <c r="AE115" s="2897"/>
      <c r="AF115" s="2897"/>
      <c r="AG115" s="2897"/>
      <c r="AH115" s="2897"/>
      <c r="AI115" s="1579"/>
      <c r="AJ115" s="2897"/>
      <c r="AK115" s="2897"/>
      <c r="AL115" s="2897"/>
      <c r="AM115" s="2897"/>
      <c r="AN115" s="2897"/>
      <c r="AO115" s="2897"/>
      <c r="AP115" s="2897"/>
      <c r="AQ115" s="2897"/>
      <c r="AR115" s="2897"/>
      <c r="AS115" s="1579"/>
      <c r="AT115" s="2897"/>
      <c r="AU115" s="2897"/>
      <c r="AV115" s="2897"/>
      <c r="AW115" s="2897"/>
      <c r="AX115" s="2897"/>
      <c r="AY115" s="2897"/>
      <c r="AZ115" s="2897"/>
      <c r="BA115" s="2897"/>
      <c r="BB115" s="2897"/>
      <c r="BC115" s="2899"/>
      <c r="BD115" s="1328"/>
      <c r="BE115" s="1328"/>
      <c r="BF115" s="1330"/>
      <c r="BG115" s="1330"/>
      <c r="BH115" s="1330"/>
      <c r="BJ115" s="1329"/>
      <c r="BK115" s="1329"/>
    </row>
    <row customHeight="1" ht="14.625">
      <c r="E116" s="637">
        <v>15</v>
      </c>
      <c r="W116" s="764" t="s">
        <v>421</v>
      </c>
      <c r="AB116" s="653"/>
      <c r="AC116" s="517" t="s">
        <v>422</v>
      </c>
      <c r="AD116" s="306"/>
      <c r="AE116" s="306"/>
      <c r="AF116" s="307"/>
      <c r="AG116" s="307"/>
      <c r="AH116" s="307"/>
      <c r="AI116" s="307"/>
      <c r="AJ116" s="307"/>
      <c r="AK116" s="307"/>
      <c r="AL116" s="307"/>
      <c r="AM116" s="307"/>
      <c r="AN116" s="307"/>
      <c r="AO116" s="307"/>
      <c r="AP116" s="307"/>
      <c r="AQ116" s="307"/>
      <c r="AR116" s="307"/>
      <c r="AS116" s="307"/>
      <c r="AT116" s="307"/>
      <c r="AU116" s="307"/>
      <c r="AV116" s="307"/>
      <c r="AW116" s="307"/>
      <c r="AX116" s="307"/>
      <c r="AY116" s="307"/>
      <c r="AZ116" s="307"/>
      <c r="BA116" s="307"/>
      <c r="BB116" s="307"/>
      <c r="BC116" s="308"/>
    </row>
    <row customHeight="1" ht="10.725000000000001">
      <c r="E117" s="637">
        <v>11</v>
      </c>
      <c r="AI117" s="1328"/>
      <c r="AJ117" s="1328"/>
      <c r="AK117" s="1328"/>
      <c r="AL117" s="1328"/>
      <c r="AM117" s="1328"/>
      <c r="AN117" s="1328"/>
      <c r="AO117" s="1328"/>
      <c r="AP117" s="1328"/>
      <c r="AQ117" s="1328"/>
      <c r="AR117" s="1328"/>
      <c r="AS117" s="1328"/>
      <c r="AT117" s="1328"/>
      <c r="AU117" s="1328"/>
      <c r="AV117" s="1328"/>
      <c r="AW117" s="1328"/>
      <c r="AX117" s="1328"/>
      <c r="AY117" s="1328"/>
      <c r="AZ117" s="1328"/>
      <c r="BA117" s="1328"/>
      <c r="BB117" s="1328"/>
      <c r="BD117" s="94"/>
    </row>
  </sheetData>
  <sheetProtection formatColumns="0" formatRows="0" insertRows="0" deleteColumns="0" deleteRows="0" sort="0" autoFilter="0" insertColumns="1"/>
  <mergeCells count="39">
    <mergeCell ref="X27:X47"/>
    <mergeCell ref="Z27:Z47"/>
    <mergeCell ref="AB113:BC113"/>
    <mergeCell ref="AB24:AB25"/>
    <mergeCell ref="AC24:AC25"/>
    <mergeCell ref="AD24:AD25"/>
    <mergeCell ref="BC24:BC25"/>
    <mergeCell ref="AB115:BC115"/>
    <mergeCell ref="AB114:BC114"/>
    <mergeCell ref="X48:X68"/>
    <mergeCell ref="Z48:Z68"/>
    <mergeCell ref="X69:X89"/>
    <mergeCell ref="Z69:Z89"/>
    <mergeCell ref="X90:X110"/>
    <mergeCell ref="Z90:Z110"/>
    <mergeCell ref="Y93:Y95"/>
    <mergeCell ref="AA93:AA95"/>
    <mergeCell ref="Y72:Y74"/>
    <mergeCell ref="AA72:AA74"/>
    <mergeCell ref="Y51:Y53"/>
    <mergeCell ref="AA51:AA53"/>
    <mergeCell ref="Y30:Y32"/>
    <mergeCell ref="AA30:AA32"/>
    <mergeCell ref="Y100:Y102"/>
    <mergeCell ref="AA100:AA102"/>
    <mergeCell ref="Y107:Y109"/>
    <mergeCell ref="AA107:AA109"/>
    <mergeCell ref="Y79:Y81"/>
    <mergeCell ref="AA79:AA81"/>
    <mergeCell ref="Y86:Y88"/>
    <mergeCell ref="AA86:AA88"/>
    <mergeCell ref="Y58:Y60"/>
    <mergeCell ref="AA58:AA60"/>
    <mergeCell ref="Y65:Y67"/>
    <mergeCell ref="AA65:AA67"/>
    <mergeCell ref="Y37:Y39"/>
    <mergeCell ref="AA37:AA39"/>
    <mergeCell ref="Y44:Y46"/>
    <mergeCell ref="AA44:AA46"/>
  </mergeCells>
  <dataValidations count="1">
    <dataValidation type="decimal" allowBlank="1" showErrorMessage="1" errorTitle="Ошибка" error="Допускается ввод только неотрицательных чисел!" sqref="AE30:BB46 AE51:AE67 AF51:AF67 AG51:AG67 AH51:AH67 AI51:AI67 AJ51:AJ67 AK51:AK67 AL51:AL67 AM51:AM67 AN51:AN67 AO51:AO67 AP51:AP67 AQ51:AQ67 AR51:AR67 AS51:AS67 AT51:AT67 AU51:AU67 AV51:AV67 AW51:AW67 AX51:AX67 AY51:AY67 AZ51:AZ67 BA51:BA67 BB51:BB67 AE72:AE88 AF72:AF88 AG72:AG88 AH72:AH88 AI72:AI88 AJ72:AJ88 AK72:AK88 AL72:AL88 AM72:AM88 AN72:AN88 AO72:AO88 AP72:AP88 AQ72:AQ88 AR72:AR88 AS72:AS88 AT72:AT88 AU72:AU88 AV72:AV88 AW72:AW88 AX72:AX88 AY72:AY88 AZ72:AZ88 BA72:BA88 BB72:BB88 AE93:AE109 AF93:AF109 AG93:AG109 AH93:AH109 AI93:AI109 AJ93:AJ109 AK93:AK109 AL93:AL109 AM93:AM109 AN93:AN109 AO93:AO109 AP93:AP109 AQ93:AQ109 AR93:AR109 AS93:AS109 AT93:AT109 AU93:AU109 AV93:AV109 AW93:AW109 AX93:AX109 AY93:AY109 AZ93:AZ109 BA93:BA109 BB93:BB109">
      <formula1>0</formula1>
      <formula2>9.99999999999999E+23</formula2>
    </dataValidation>
  </dataValidations>
  <printOptions horizontalCentered="1"/>
  <pageMargins left="0.35" right="0.35" top="0.40" bottom="0.40" header="0.08" footer="0.08"/>
  <pageSetup paperSize="9" scale="73" firstPageNumber="11" fitToHeight="0" pageOrder="downThenOver" orientation="landscape" useFirstPageNumber="1"/>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345816-25C8-A6D5-7159-74B6DA6DF61D}" mc:Ignorable="x14ac xr xr2 xr3">
  <sheetPr>
    <tabColor rgb="FFFFC000"/>
    <outlinePr summaryRight="0" summaryBelow="0"/>
    <pageSetUpPr fitToPage="1"/>
  </sheetPr>
  <dimension ref="A1:BK186"/>
  <sheetViews>
    <sheetView showGridLines="0" workbookViewId="0">
      <pane xSplit="30" ySplit="25" topLeftCell="AE173" activePane="bottomRight" state="frozen"/>
      <selection pane="bottomLeft" activeCell="A26" sqref="A26"/>
      <selection pane="topRight" activeCell="AE1" sqref="AE1"/>
      <selection pane="bottomRight" activeCell="BC163" sqref="BC163"/>
    </sheetView>
  </sheetViews>
  <sheetFormatPr defaultColWidth="9.140625" customHeight="1" defaultRowHeight="11.25"/>
  <cols>
    <col min="1" max="1" style="1328" width="3.57421875" hidden="1" customWidth="1"/>
    <col min="2" max="2" style="1186" width="4.421875" hidden="1" customWidth="1"/>
    <col min="3" max="3" style="1336" width="6.7109375" hidden="1" customWidth="1"/>
    <col min="4" max="4" style="1328" width="4.57421875" hidden="1" customWidth="1"/>
    <col min="5" max="5" style="1329" width="3.57421875" hidden="1" customWidth="1"/>
    <col min="6" max="6" style="1328" width="8.140625" hidden="1" customWidth="1"/>
    <col min="7" max="10" style="1328" width="3.57421875" hidden="1" customWidth="1"/>
    <col min="11" max="11" style="1328" width="5.8515625" hidden="1" customWidth="1"/>
    <col min="12" max="19" style="1328" width="3.57421875" hidden="1" customWidth="1"/>
    <col min="20" max="20" style="1328" width="10.28125" hidden="1" customWidth="1"/>
    <col min="21" max="21" style="1328" width="5.8515625" hidden="1" customWidth="1"/>
    <col min="22" max="23" style="1328" width="6.140625" hidden="1" customWidth="1"/>
    <col min="24" max="25" style="1328" width="5.57421875" hidden="1" customWidth="1"/>
    <col min="26" max="26" style="1328" width="5.28125" hidden="1" customWidth="1"/>
    <col min="27" max="27" style="1328" width="3.00390625" customWidth="1"/>
    <col min="28" max="28" style="1328" width="11.00390625" customWidth="1"/>
    <col min="29" max="29" style="1328" width="35.00390625" customWidth="1"/>
    <col min="30" max="30" style="1328" width="11.00390625" customWidth="1"/>
    <col min="31" max="31" style="1328" width="14.57421875" customWidth="1"/>
    <col min="32" max="32" style="1328" width="15.28125" customWidth="1"/>
    <col min="33" max="33" style="1328" width="15.00390625" customWidth="1"/>
    <col min="34" max="34" style="1328" width="16.00390625" customWidth="1"/>
    <col min="35" max="35" style="1328" width="15.140625" customWidth="1"/>
    <col min="36" max="37" style="1328" width="13.57421875" hidden="1" customWidth="1"/>
    <col min="38" max="44" style="1328" width="12.57421875" hidden="1" customWidth="1"/>
    <col min="45" max="45" style="1328" width="15.7109375" customWidth="1"/>
    <col min="46" max="54" style="1328" width="15.43359375" hidden="1" customWidth="1"/>
    <col min="55" max="55" style="1328" width="78.140625" customWidth="1"/>
    <col min="56" max="56" style="1328" width="3.00390625" customWidth="1"/>
    <col min="57" max="57" style="1328" width="9.140625" hidden="1"/>
    <col min="58" max="60" style="1330" width="9.140625" hidden="1"/>
    <col min="61" max="61" width="9.140625" hidden="1"/>
    <col min="62" max="63" style="1329" width="9.140625" hidden="1"/>
  </cols>
  <sheetData>
    <row customHeight="1" ht="11.25" hidden="1">
      <c r="E1" s="94"/>
      <c r="F1" s="94" t="s">
        <v>333</v>
      </c>
      <c r="G1" s="94" t="s">
        <v>343</v>
      </c>
      <c r="H1" s="94" t="s">
        <v>368</v>
      </c>
      <c r="T1" s="468" t="s">
        <v>93</v>
      </c>
      <c r="U1" s="468" t="s">
        <v>98</v>
      </c>
      <c r="V1" s="468" t="s">
        <v>94</v>
      </c>
      <c r="W1" s="468" t="s">
        <v>95</v>
      </c>
      <c r="X1" s="468" t="s">
        <v>96</v>
      </c>
      <c r="Y1" s="470" t="s">
        <v>335</v>
      </c>
      <c r="Z1" s="468" t="s">
        <v>100</v>
      </c>
      <c r="AA1" s="470" t="s">
        <v>97</v>
      </c>
      <c r="AB1" s="524"/>
      <c r="AC1" s="469" t="s">
        <v>99</v>
      </c>
      <c r="AI1" s="1328"/>
      <c r="AJ1" s="1328"/>
      <c r="AK1" s="1328"/>
      <c r="AL1" s="1328"/>
      <c r="AM1" s="1328"/>
      <c r="AN1" s="1328"/>
      <c r="AO1" s="1328"/>
      <c r="AP1" s="1328"/>
      <c r="AQ1" s="1328"/>
      <c r="AR1" s="1328"/>
      <c r="AS1" s="1328"/>
      <c r="AT1" s="1328"/>
      <c r="AU1" s="1328"/>
      <c r="AV1" s="1328"/>
      <c r="AW1" s="1328"/>
      <c r="AX1" s="1328"/>
      <c r="AY1" s="1328"/>
      <c r="AZ1" s="1328"/>
      <c r="BA1" s="1328"/>
      <c r="BB1" s="1328"/>
      <c r="BF1" s="1023" t="s">
        <v>336</v>
      </c>
      <c r="BG1" s="1023" t="s">
        <v>337</v>
      </c>
      <c r="BH1" s="1023" t="s">
        <v>338</v>
      </c>
      <c r="BI1" s="0" t="s">
        <v>969</v>
      </c>
      <c r="BJ1" s="637" t="s">
        <v>341</v>
      </c>
      <c r="BK1" s="637" t="s">
        <v>342</v>
      </c>
    </row>
    <row s="1186" customFormat="1" customHeight="1" ht="11.25" hidden="1">
      <c r="B2" s="447" t="s">
        <v>19</v>
      </c>
      <c r="C2" s="488"/>
      <c r="AF2" s="1186" cm="1" t="str">
        <f t="array" ref="AF2:AF2">isOrgDeclare</f>
        <v>true</v>
      </c>
      <c r="AI2" s="448">
        <f>AND(AI6&lt;=last_year_vis,isOrgDeclare)</f>
        <v>1</v>
      </c>
      <c r="AJ2" s="448">
        <f>AND(AJ6&lt;=last_year_vis,isOrgDeclare)</f>
        <v>0</v>
      </c>
      <c r="AK2" s="448">
        <f>AND(AK6&lt;=last_year_vis,isOrgDeclare)</f>
        <v>0</v>
      </c>
      <c r="AL2" s="448">
        <f>AND(AL6&lt;=last_year_vis,isOrgDeclare)</f>
        <v>0</v>
      </c>
      <c r="AM2" s="448">
        <f>AND(AM6&lt;=last_year_vis,isOrgDeclare)</f>
        <v>0</v>
      </c>
      <c r="AN2" s="448">
        <f>AND(AN6&lt;=last_year_vis,isOrgDeclare)</f>
        <v>0</v>
      </c>
      <c r="AO2" s="448">
        <f>AND(AO6&lt;=last_year_vis,isOrgDeclare)</f>
        <v>0</v>
      </c>
      <c r="AP2" s="448">
        <f>AND(AP6&lt;=last_year_vis,isOrgDeclare)</f>
        <v>0</v>
      </c>
      <c r="AQ2" s="448">
        <f>AND(AQ6&lt;=last_year_vis,isOrgDeclare)</f>
        <v>0</v>
      </c>
      <c r="AR2" s="448">
        <f>AND(AR6&lt;=last_year_vis,isOrgDeclare)</f>
        <v>0</v>
      </c>
      <c r="AS2" s="448">
        <f>AS6&lt;=last_year_vis</f>
        <v>1</v>
      </c>
      <c r="AT2" s="448">
        <f>AT6&lt;=last_year_vis</f>
        <v>0</v>
      </c>
      <c r="AU2" s="448">
        <f>AU6&lt;=last_year_vis</f>
        <v>0</v>
      </c>
      <c r="AV2" s="448">
        <f>AV6&lt;=last_year_vis</f>
        <v>0</v>
      </c>
      <c r="AW2" s="448">
        <f>AW6&lt;=last_year_vis</f>
        <v>0</v>
      </c>
      <c r="AX2" s="448">
        <f>AX6&lt;=last_year_vis</f>
        <v>0</v>
      </c>
      <c r="AY2" s="448">
        <f>AY6&lt;=last_year_vis</f>
        <v>0</v>
      </c>
      <c r="AZ2" s="448">
        <f>AZ6&lt;=last_year_vis</f>
        <v>0</v>
      </c>
      <c r="BA2" s="448">
        <f>BA6&lt;=last_year_vis</f>
        <v>0</v>
      </c>
      <c r="BB2" s="448">
        <f>BB6&lt;=last_year_vis</f>
        <v>0</v>
      </c>
      <c r="BF2" s="1024"/>
      <c r="BG2" s="1024"/>
      <c r="BH2" s="1024"/>
      <c r="BJ2" s="1037"/>
      <c r="BK2" s="1037"/>
    </row>
    <row customHeight="1" ht="11.25" hidden="1">
      <c r="E3" s="94"/>
      <c r="AI3" s="1328"/>
      <c r="AJ3" s="1328"/>
      <c r="AK3" s="1328"/>
      <c r="AL3" s="1328"/>
      <c r="AM3" s="1328"/>
      <c r="AN3" s="1328"/>
      <c r="AO3" s="1328"/>
      <c r="AP3" s="1328"/>
      <c r="AQ3" s="1328"/>
      <c r="AR3" s="1328"/>
      <c r="AS3" s="1328"/>
      <c r="AT3" s="1328"/>
      <c r="AU3" s="1328"/>
      <c r="AV3" s="1328"/>
      <c r="AW3" s="1328"/>
      <c r="AX3" s="1328"/>
      <c r="AY3" s="1328"/>
      <c r="AZ3" s="1328"/>
      <c r="BA3" s="1328"/>
      <c r="BB3" s="1328"/>
    </row>
    <row customHeight="1" ht="11.25" hidden="1">
      <c r="E4" s="94"/>
      <c r="AI4" s="1328"/>
      <c r="AJ4" s="1328"/>
      <c r="AK4" s="1328"/>
      <c r="AL4" s="1328"/>
      <c r="AM4" s="1328"/>
      <c r="AN4" s="1328"/>
      <c r="AO4" s="1328"/>
      <c r="AP4" s="1328"/>
      <c r="AQ4" s="1328"/>
      <c r="AR4" s="1328"/>
      <c r="AS4" s="1328"/>
      <c r="AT4" s="1328"/>
      <c r="AU4" s="1328"/>
      <c r="AV4" s="1328"/>
      <c r="AW4" s="1328"/>
      <c r="AX4" s="1328"/>
      <c r="AY4" s="1328"/>
      <c r="AZ4" s="1328"/>
      <c r="BA4" s="1328"/>
      <c r="BB4" s="1328"/>
    </row>
    <row s="1329" customFormat="1" customHeight="1" ht="11.25" hidden="1">
      <c r="A5" s="94"/>
      <c r="B5" s="429"/>
      <c r="C5" s="487"/>
      <c r="D5" s="94"/>
      <c r="E5" s="637" t="s">
        <v>20</v>
      </c>
      <c r="AA5" s="637">
        <v>3</v>
      </c>
      <c r="AB5" s="637">
        <v>11</v>
      </c>
      <c r="AC5" s="637">
        <v>35</v>
      </c>
      <c r="AD5" s="637">
        <v>12.57</v>
      </c>
      <c r="AE5" s="637">
        <v>14.57</v>
      </c>
      <c r="AF5" s="637">
        <v>12.57</v>
      </c>
      <c r="AG5" s="637">
        <v>15</v>
      </c>
      <c r="AH5" s="637">
        <v>16</v>
      </c>
      <c r="AI5" s="637">
        <v>12.57</v>
      </c>
      <c r="AJ5" s="637">
        <v>12.57</v>
      </c>
      <c r="AK5" s="637">
        <v>12.57</v>
      </c>
      <c r="AL5" s="637">
        <v>12.57</v>
      </c>
      <c r="AM5" s="637">
        <v>12.57</v>
      </c>
      <c r="AN5" s="637">
        <v>12.57</v>
      </c>
      <c r="AO5" s="637">
        <v>12.57</v>
      </c>
      <c r="AP5" s="637">
        <v>12.57</v>
      </c>
      <c r="AQ5" s="637">
        <v>12.57</v>
      </c>
      <c r="AR5" s="637">
        <v>12.57</v>
      </c>
      <c r="AS5" s="637">
        <v>15.43</v>
      </c>
      <c r="AT5" s="637">
        <v>15.43</v>
      </c>
      <c r="AU5" s="637">
        <v>15.43</v>
      </c>
      <c r="AV5" s="637">
        <v>15.43</v>
      </c>
      <c r="AW5" s="637">
        <v>15.43</v>
      </c>
      <c r="AX5" s="637">
        <v>15.43</v>
      </c>
      <c r="AY5" s="637">
        <v>15.43</v>
      </c>
      <c r="AZ5" s="637">
        <v>15.43</v>
      </c>
      <c r="BA5" s="637">
        <v>15.43</v>
      </c>
      <c r="BB5" s="637">
        <v>15.43</v>
      </c>
      <c r="BC5" s="637">
        <v>20</v>
      </c>
      <c r="BD5" s="637">
        <v>3</v>
      </c>
      <c r="BF5" s="1023"/>
      <c r="BG5" s="1023"/>
      <c r="BH5" s="1023"/>
    </row>
    <row customHeight="1" ht="11.25" hidden="1">
      <c r="A6" s="94" t="s">
        <v>371</v>
      </c>
      <c r="AE6" s="94">
        <f>god-2</f>
        <v>2024</v>
      </c>
      <c r="AF6" s="94">
        <f>god-2</f>
        <v>2024</v>
      </c>
      <c r="AG6" s="94">
        <f>god-2</f>
        <v>2024</v>
      </c>
      <c r="AH6" s="94">
        <f>god-1</f>
        <v>2025</v>
      </c>
      <c r="AI6" s="94" cm="1" t="str">
        <f t="array" ref="AI6:AI6">god</f>
        <v>2026</v>
      </c>
      <c r="AJ6" s="94">
        <f>god+1</f>
        <v>2027</v>
      </c>
      <c r="AK6" s="94">
        <f>god+2</f>
        <v>2028</v>
      </c>
      <c r="AL6" s="94">
        <f>god+3</f>
        <v>2029</v>
      </c>
      <c r="AM6" s="94">
        <f>god+4</f>
        <v>2030</v>
      </c>
      <c r="AN6" s="94">
        <f>god+5</f>
        <v>2031</v>
      </c>
      <c r="AO6" s="94">
        <f>god+6</f>
        <v>2032</v>
      </c>
      <c r="AP6" s="94">
        <f>god+7</f>
        <v>2033</v>
      </c>
      <c r="AQ6" s="94">
        <f>god+8</f>
        <v>2034</v>
      </c>
      <c r="AR6" s="94">
        <f>god+9</f>
        <v>2035</v>
      </c>
      <c r="AS6" s="94" cm="1" t="str">
        <f t="array" ref="AS6:AS6">god</f>
        <v>2026</v>
      </c>
      <c r="AT6" s="94">
        <f>god+1</f>
        <v>2027</v>
      </c>
      <c r="AU6" s="94">
        <f>god+2</f>
        <v>2028</v>
      </c>
      <c r="AV6" s="94">
        <f>god+3</f>
        <v>2029</v>
      </c>
      <c r="AW6" s="94">
        <f>god+4</f>
        <v>2030</v>
      </c>
      <c r="AX6" s="94">
        <f>god+5</f>
        <v>2031</v>
      </c>
      <c r="AY6" s="94">
        <f>god+6</f>
        <v>2032</v>
      </c>
      <c r="AZ6" s="94">
        <f>god+7</f>
        <v>2033</v>
      </c>
      <c r="BA6" s="94">
        <f>god+8</f>
        <v>2034</v>
      </c>
      <c r="BB6" s="94">
        <f>god+9</f>
        <v>2035</v>
      </c>
    </row>
    <row customHeight="1" ht="11.25" hidden="1">
      <c r="A7" s="94" t="s">
        <v>372</v>
      </c>
      <c r="AE7" s="94" cm="1" t="str">
        <f t="array" ref="AE7:AE7">AE25</f>
        <v>Принято органом регулирования</v>
      </c>
      <c r="AF7" s="94" cm="1" t="str">
        <f t="array" ref="AF7:AF7">AF25</f>
        <v>Факт по данным организации</v>
      </c>
      <c r="AG7" s="94" cm="1" t="str">
        <f t="array" ref="AG7:AG7">AG25</f>
        <v>Факт, принятый органом регулирования</v>
      </c>
      <c r="AH7" s="94" cm="1" t="str">
        <f t="array" ref="AH7:AH7">AH25</f>
        <v>Принято органом регулирования</v>
      </c>
      <c r="AI7" s="94" cm="1" t="str">
        <f t="array" ref="AI7:AI7">$AI$25</f>
        <v>Предложение организации</v>
      </c>
      <c r="AJ7" s="94" cm="1" t="str">
        <f t="array" ref="AJ7:AJ7">$AI$25</f>
        <v>Предложение организации</v>
      </c>
      <c r="AK7" s="94" cm="1" t="str">
        <f t="array" ref="AK7:AK7">$AI$25</f>
        <v>Предложение организации</v>
      </c>
      <c r="AL7" s="94" cm="1" t="str">
        <f t="array" ref="AL7:AL7">$AI$25</f>
        <v>Предложение организации</v>
      </c>
      <c r="AM7" s="94" cm="1" t="str">
        <f t="array" ref="AM7:AM7">$AI$25</f>
        <v>Предложение организации</v>
      </c>
      <c r="AN7" s="94" cm="1" t="str">
        <f t="array" ref="AN7:AN7">$AI$25</f>
        <v>Предложение организации</v>
      </c>
      <c r="AO7" s="94" cm="1" t="str">
        <f t="array" ref="AO7:AO7">$AI$25</f>
        <v>Предложение организации</v>
      </c>
      <c r="AP7" s="94" cm="1" t="str">
        <f t="array" ref="AP7:AP7">$AI$25</f>
        <v>Предложение организации</v>
      </c>
      <c r="AQ7" s="94" cm="1" t="str">
        <f t="array" ref="AQ7:AQ7">$AI$25</f>
        <v>Предложение организации</v>
      </c>
      <c r="AR7" s="94" cm="1" t="str">
        <f t="array" ref="AR7:AR7">$AI$25</f>
        <v>Предложение организации</v>
      </c>
      <c r="AS7" s="94" cm="1" t="str">
        <f t="array" ref="AS7:AS7">$AS$25</f>
        <v>Принято органом регулирования</v>
      </c>
      <c r="AT7" s="94" cm="1" t="str">
        <f t="array" ref="AT7:AT7">$AS$25</f>
        <v>Принято органом регулирования</v>
      </c>
      <c r="AU7" s="94" cm="1" t="str">
        <f t="array" ref="AU7:AU7">$AS$25</f>
        <v>Принято органом регулирования</v>
      </c>
      <c r="AV7" s="94" cm="1" t="str">
        <f t="array" ref="AV7:AV7">$AS$25</f>
        <v>Принято органом регулирования</v>
      </c>
      <c r="AW7" s="94" cm="1" t="str">
        <f t="array" ref="AW7:AW7">$AS$25</f>
        <v>Принято органом регулирования</v>
      </c>
      <c r="AX7" s="94" cm="1" t="str">
        <f t="array" ref="AX7:AX7">$AS$25</f>
        <v>Принято органом регулирования</v>
      </c>
      <c r="AY7" s="94" cm="1" t="str">
        <f t="array" ref="AY7:AY7">$AS$25</f>
        <v>Принято органом регулирования</v>
      </c>
      <c r="AZ7" s="94" cm="1" t="str">
        <f t="array" ref="AZ7:AZ7">$AS$25</f>
        <v>Принято органом регулирования</v>
      </c>
      <c r="BA7" s="94" cm="1" t="str">
        <f t="array" ref="BA7:BA7">$AS$25</f>
        <v>Принято органом регулирования</v>
      </c>
      <c r="BB7" s="94" cm="1" t="str">
        <f t="array" ref="BB7:BB7">$AS$25</f>
        <v>Принято органом регулирования</v>
      </c>
    </row>
    <row customHeight="1" ht="11.25" hidden="1">
      <c r="AE8" s="94" t="str">
        <f>AE6&amp;AE7</f>
        <v>2024Принято органом регулирования</v>
      </c>
      <c r="AF8" s="94" t="str">
        <f>AF6&amp;AF7</f>
        <v>2024Факт по данным организации</v>
      </c>
      <c r="AG8" s="94" t="str">
        <f>AG6&amp;AG7</f>
        <v>2024Факт, принятый органом регулирования</v>
      </c>
      <c r="AH8" s="94" t="str">
        <f>AH6&amp;AH7</f>
        <v>2025Принято органом регулирования</v>
      </c>
      <c r="AI8" s="94" t="str">
        <f>AI6&amp;AI7</f>
        <v>2026Предложение организации</v>
      </c>
      <c r="AJ8" s="94" t="str">
        <f>AJ6&amp;AJ7</f>
        <v>2027Предложение организации</v>
      </c>
      <c r="AK8" s="94" t="str">
        <f>AK6&amp;AK7</f>
        <v>2028Предложение организации</v>
      </c>
      <c r="AL8" s="94" t="str">
        <f>AL6&amp;AL7</f>
        <v>2029Предложение организации</v>
      </c>
      <c r="AM8" s="94" t="str">
        <f>AM6&amp;AM7</f>
        <v>2030Предложение организации</v>
      </c>
      <c r="AN8" s="94" t="str">
        <f>AN6&amp;AN7</f>
        <v>2031Предложение организации</v>
      </c>
      <c r="AO8" s="94" t="str">
        <f>AO6&amp;AO7</f>
        <v>2032Предложение организации</v>
      </c>
      <c r="AP8" s="94" t="str">
        <f>AP6&amp;AP7</f>
        <v>2033Предложение организации</v>
      </c>
      <c r="AQ8" s="94" t="str">
        <f>AQ6&amp;AQ7</f>
        <v>2034Предложение организации</v>
      </c>
      <c r="AR8" s="94" t="str">
        <f>AR6&amp;AR7</f>
        <v>2035Предложение организации</v>
      </c>
      <c r="AS8" s="94" t="str">
        <f>AS6&amp;AS7</f>
        <v>2026Принято органом регулирования</v>
      </c>
      <c r="AT8" s="94" t="str">
        <f>AT6&amp;AT7</f>
        <v>2027Принято органом регулирования</v>
      </c>
      <c r="AU8" s="94" t="str">
        <f>AU6&amp;AU7</f>
        <v>2028Принято органом регулирования</v>
      </c>
      <c r="AV8" s="94" t="str">
        <f>AV6&amp;AV7</f>
        <v>2029Принято органом регулирования</v>
      </c>
      <c r="AW8" s="94" t="str">
        <f>AW6&amp;AW7</f>
        <v>2030Принято органом регулирования</v>
      </c>
      <c r="AX8" s="94" t="str">
        <f>AX6&amp;AX7</f>
        <v>2031Принято органом регулирования</v>
      </c>
      <c r="AY8" s="94" t="str">
        <f>AY6&amp;AY7</f>
        <v>2032Принято органом регулирования</v>
      </c>
      <c r="AZ8" s="94" t="str">
        <f>AZ6&amp;AZ7</f>
        <v>2033Принято органом регулирования</v>
      </c>
      <c r="BA8" s="94" t="str">
        <f>BA6&amp;BA7</f>
        <v>2034Принято органом регулирования</v>
      </c>
      <c r="BB8" s="94" t="str">
        <f>BB6&amp;BB7</f>
        <v>2035Принято органом регулирования</v>
      </c>
    </row>
    <row s="1330" customFormat="1" customHeight="1" ht="11.25" hidden="1">
      <c r="A9" s="1023" t="s">
        <v>376</v>
      </c>
      <c r="B9" s="1024"/>
      <c r="C9" s="1039"/>
      <c r="AE9" s="1023" cm="1" t="str">
        <f t="array" ref="AE9:AE9">AE6</f>
        <v>2024</v>
      </c>
      <c r="AF9" s="1023" cm="1" t="str">
        <f t="array" ref="AF9:AF9">AF6</f>
        <v>2024</v>
      </c>
      <c r="AG9" s="1023" cm="1" t="str">
        <f t="array" ref="AG9:AG9">AG6</f>
        <v>2024</v>
      </c>
      <c r="AH9" s="1023" cm="1" t="str">
        <f t="array" ref="AH9:AH9">AH6</f>
        <v>2025</v>
      </c>
      <c r="AI9" s="1023" cm="1" t="str">
        <f t="array" ref="AI9:AI9">AI6</f>
        <v>2026</v>
      </c>
      <c r="AJ9" s="1023" cm="1" t="str">
        <f t="array" ref="AJ9:AJ9">AJ6</f>
        <v>2027</v>
      </c>
      <c r="AK9" s="1023" cm="1" t="str">
        <f t="array" ref="AK9:AK9">AK6</f>
        <v>2028</v>
      </c>
      <c r="AL9" s="1023" cm="1" t="str">
        <f t="array" ref="AL9:AL9">AL6</f>
        <v>2029</v>
      </c>
      <c r="AM9" s="1023" cm="1" t="str">
        <f t="array" ref="AM9:AM9">AM6</f>
        <v>2030</v>
      </c>
      <c r="AN9" s="1023" cm="1" t="str">
        <f t="array" ref="AN9:AN9">AN6</f>
        <v>2031</v>
      </c>
      <c r="AO9" s="1023" cm="1" t="str">
        <f t="array" ref="AO9:AO9">AO6</f>
        <v>2032</v>
      </c>
      <c r="AP9" s="1023" cm="1" t="str">
        <f t="array" ref="AP9:AP9">AP6</f>
        <v>2033</v>
      </c>
      <c r="AQ9" s="1023" cm="1" t="str">
        <f t="array" ref="AQ9:AQ9">AQ6</f>
        <v>2034</v>
      </c>
      <c r="AR9" s="1023" cm="1" t="str">
        <f t="array" ref="AR9:AR9">AR6</f>
        <v>2035</v>
      </c>
      <c r="AS9" s="1023" cm="1" t="str">
        <f t="array" ref="AS9:AS9">AS6</f>
        <v>2026</v>
      </c>
      <c r="AT9" s="1023" cm="1" t="str">
        <f t="array" ref="AT9:AT9">AT6</f>
        <v>2027</v>
      </c>
      <c r="AU9" s="1023" cm="1" t="str">
        <f t="array" ref="AU9:AU9">AU6</f>
        <v>2028</v>
      </c>
      <c r="AV9" s="1023" cm="1" t="str">
        <f t="array" ref="AV9:AV9">AV6</f>
        <v>2029</v>
      </c>
      <c r="AW9" s="1023" cm="1" t="str">
        <f t="array" ref="AW9:AW9">AW6</f>
        <v>2030</v>
      </c>
      <c r="AX9" s="1023" cm="1" t="str">
        <f t="array" ref="AX9:AX9">AX6</f>
        <v>2031</v>
      </c>
      <c r="AY9" s="1023" cm="1" t="str">
        <f t="array" ref="AY9:AY9">AY6</f>
        <v>2032</v>
      </c>
      <c r="AZ9" s="1023" cm="1" t="str">
        <f t="array" ref="AZ9:AZ9">AZ6</f>
        <v>2033</v>
      </c>
      <c r="BA9" s="1023" cm="1" t="str">
        <f t="array" ref="BA9:BA9">BA6</f>
        <v>2034</v>
      </c>
      <c r="BB9" s="1023" cm="1" t="str">
        <f t="array" ref="BB9:BB9">BB6</f>
        <v>2035</v>
      </c>
      <c r="BJ9" s="637"/>
      <c r="BK9" s="637"/>
    </row>
    <row s="1330" customFormat="1" customHeight="1" ht="11.25" hidden="1">
      <c r="A10" s="1023" t="s">
        <v>377</v>
      </c>
      <c r="B10" s="1024"/>
      <c r="C10" s="1039"/>
      <c r="AE10" s="1023" cm="1" t="str">
        <f t="array" ref="AE10:AE10">AE25</f>
        <v>Принято органом регулирования</v>
      </c>
      <c r="AF10" s="1023" cm="1" t="str">
        <f t="array" ref="AF10:AF10">AF25</f>
        <v>Факт по данным организации</v>
      </c>
      <c r="AG10" s="1023" cm="1" t="str">
        <f t="array" ref="AG10:AG10">AG25</f>
        <v>Факт, принятый органом регулирования</v>
      </c>
      <c r="AH10" s="1023" cm="1" t="str">
        <f t="array" ref="AH10:AH10">AH25</f>
        <v>Принято органом регулирования</v>
      </c>
      <c r="AI10" s="1023" cm="1" t="str">
        <f t="array" ref="AI10:AI10">AI25</f>
        <v>Предложение организации</v>
      </c>
      <c r="AJ10" s="1023" cm="1" t="str">
        <f t="array" ref="AJ10:AJ10">AJ25</f>
        <v>Предложение организации</v>
      </c>
      <c r="AK10" s="1023" cm="1" t="str">
        <f t="array" ref="AK10:AK10">AK25</f>
        <v>Предложение организации</v>
      </c>
      <c r="AL10" s="1023" cm="1" t="str">
        <f t="array" ref="AL10:AL10">AL25</f>
        <v>Предложение организации</v>
      </c>
      <c r="AM10" s="1023" cm="1" t="str">
        <f t="array" ref="AM10:AM10">AM25</f>
        <v>Предложение организации</v>
      </c>
      <c r="AN10" s="1023" cm="1" t="str">
        <f t="array" ref="AN10:AN10">AN25</f>
        <v>Предложение организации</v>
      </c>
      <c r="AO10" s="1023" cm="1" t="str">
        <f t="array" ref="AO10:AO10">AO25</f>
        <v>Предложение организации</v>
      </c>
      <c r="AP10" s="1023" cm="1" t="str">
        <f t="array" ref="AP10:AP10">AP25</f>
        <v>Предложение организации</v>
      </c>
      <c r="AQ10" s="1023" cm="1" t="str">
        <f t="array" ref="AQ10:AQ10">AQ25</f>
        <v>Предложение организации</v>
      </c>
      <c r="AR10" s="1023" cm="1" t="str">
        <f t="array" ref="AR10:AR10">AR25</f>
        <v>Предложение организации</v>
      </c>
      <c r="AS10" s="1023" cm="1" t="str">
        <f t="array" ref="AS10:AS10">AS25</f>
        <v>Принято органом регулирования</v>
      </c>
      <c r="AT10" s="1023" cm="1" t="str">
        <f t="array" ref="AT10:AT10">AT25</f>
        <v>Принято органом регулирования</v>
      </c>
      <c r="AU10" s="1023" cm="1" t="str">
        <f t="array" ref="AU10:AU10">AU25</f>
        <v>Принято органом регулирования</v>
      </c>
      <c r="AV10" s="1023" cm="1" t="str">
        <f t="array" ref="AV10:AV10">AV25</f>
        <v>Принято органом регулирования</v>
      </c>
      <c r="AW10" s="1023" cm="1" t="str">
        <f t="array" ref="AW10:AW10">AW25</f>
        <v>Принято органом регулирования</v>
      </c>
      <c r="AX10" s="1023" cm="1" t="str">
        <f t="array" ref="AX10:AX10">AX25</f>
        <v>Принято органом регулирования</v>
      </c>
      <c r="AY10" s="1023" cm="1" t="str">
        <f t="array" ref="AY10:AY10">AY25</f>
        <v>Принято органом регулирования</v>
      </c>
      <c r="AZ10" s="1023" cm="1" t="str">
        <f t="array" ref="AZ10:AZ10">AZ25</f>
        <v>Принято органом регулирования</v>
      </c>
      <c r="BA10" s="1023" cm="1" t="str">
        <f t="array" ref="BA10:BA10">BA25</f>
        <v>Принято органом регулирования</v>
      </c>
      <c r="BB10" s="1023" cm="1" t="str">
        <f t="array" ref="BB10:BB10">BB25</f>
        <v>Принято органом регулирования</v>
      </c>
      <c r="BJ10" s="637"/>
      <c r="BK10" s="637"/>
    </row>
    <row s="1330" customFormat="1" customHeight="1" ht="11.25" hidden="1">
      <c r="A11" s="1023" t="s">
        <v>378</v>
      </c>
      <c r="B11" s="1024"/>
      <c r="C11" s="1039"/>
      <c r="AI11" s="1330"/>
      <c r="AJ11" s="1330"/>
      <c r="AK11" s="1330"/>
      <c r="AL11" s="1330"/>
      <c r="AM11" s="1330"/>
      <c r="AN11" s="1330"/>
      <c r="AO11" s="1330"/>
      <c r="AP11" s="1330"/>
      <c r="AQ11" s="1330"/>
      <c r="AR11" s="1330"/>
      <c r="AS11" s="1330"/>
      <c r="AT11" s="1330"/>
      <c r="AU11" s="1330"/>
      <c r="AV11" s="1330"/>
      <c r="AW11" s="1330"/>
      <c r="AX11" s="1330"/>
      <c r="AY11" s="1330"/>
      <c r="AZ11" s="1330"/>
      <c r="BA11" s="1330"/>
      <c r="BB11" s="1330"/>
      <c r="BC11" s="1023" cm="1" t="str">
        <f t="array" ref="BC11:BC11">BC24</f>
        <v>Ссылка на правовую норму (основание для принятия показателя в расчет тарифа)</v>
      </c>
      <c r="BJ11" s="637"/>
      <c r="BK11" s="637"/>
    </row>
    <row s="1330" customFormat="1" customHeight="1" ht="11.25" hidden="1">
      <c r="A12" s="1023" t="s">
        <v>350</v>
      </c>
      <c r="B12" s="1024"/>
      <c r="C12" s="1039"/>
      <c r="AC12" s="1023" t="s">
        <v>338</v>
      </c>
      <c r="AI12" s="1330"/>
      <c r="AJ12" s="1330"/>
      <c r="AK12" s="1330"/>
      <c r="AL12" s="1330"/>
      <c r="AM12" s="1330"/>
      <c r="AN12" s="1330"/>
      <c r="AO12" s="1330"/>
      <c r="AP12" s="1330"/>
      <c r="AQ12" s="1330"/>
      <c r="AR12" s="1330"/>
      <c r="AS12" s="1330"/>
      <c r="AT12" s="1330"/>
      <c r="AU12" s="1330"/>
      <c r="AV12" s="1330"/>
      <c r="AW12" s="1330"/>
      <c r="AX12" s="1330"/>
      <c r="AY12" s="1330"/>
      <c r="AZ12" s="1330"/>
      <c r="BA12" s="1330"/>
      <c r="BB12" s="1330"/>
      <c r="BJ12" s="637"/>
      <c r="BK12" s="637"/>
    </row>
    <row customHeight="1" ht="11.25" hidden="1">
      <c r="AI13" s="1328"/>
      <c r="AJ13" s="1328"/>
      <c r="AK13" s="1328"/>
      <c r="AL13" s="1328"/>
      <c r="AM13" s="1328"/>
      <c r="AN13" s="1328"/>
      <c r="AO13" s="1328"/>
      <c r="AP13" s="1328"/>
      <c r="AQ13" s="1328"/>
      <c r="AR13" s="1328"/>
      <c r="AS13" s="1328"/>
      <c r="AT13" s="1328"/>
      <c r="AU13" s="1328"/>
      <c r="AV13" s="1328"/>
      <c r="AW13" s="1328"/>
      <c r="AX13" s="1328"/>
      <c r="AY13" s="1328"/>
      <c r="AZ13" s="1328"/>
      <c r="BA13" s="1328"/>
      <c r="BB13" s="1328"/>
    </row>
    <row customHeight="1" ht="11.25" hidden="1">
      <c r="AI14" s="1328"/>
      <c r="AJ14" s="1328"/>
      <c r="AK14" s="1328"/>
      <c r="AL14" s="1328"/>
      <c r="AM14" s="1328"/>
      <c r="AN14" s="1328"/>
      <c r="AO14" s="1328"/>
      <c r="AP14" s="1328"/>
      <c r="AQ14" s="1328"/>
      <c r="AR14" s="1328"/>
      <c r="AS14" s="1328"/>
      <c r="AT14" s="1328"/>
      <c r="AU14" s="1328"/>
      <c r="AV14" s="1328"/>
      <c r="AW14" s="1328"/>
      <c r="AX14" s="1328"/>
      <c r="AY14" s="1328"/>
      <c r="AZ14" s="1328"/>
      <c r="BA14" s="1328"/>
      <c r="BB14" s="1328"/>
    </row>
    <row customHeight="1" ht="11.25" hidden="1">
      <c r="AI15" s="1328"/>
      <c r="AJ15" s="1328"/>
      <c r="AK15" s="1328"/>
      <c r="AL15" s="1328"/>
      <c r="AM15" s="1328"/>
      <c r="AN15" s="1328"/>
      <c r="AO15" s="1328"/>
      <c r="AP15" s="1328"/>
      <c r="AQ15" s="1328"/>
      <c r="AR15" s="1328"/>
      <c r="AS15" s="1328"/>
      <c r="AT15" s="1328"/>
      <c r="AU15" s="1328"/>
      <c r="AV15" s="1328"/>
      <c r="AW15" s="1328"/>
      <c r="AX15" s="1328"/>
      <c r="AY15" s="1328"/>
      <c r="AZ15" s="1328"/>
      <c r="BA15" s="1328"/>
      <c r="BB15" s="1328"/>
    </row>
    <row customHeight="1" ht="11.25" hidden="1">
      <c r="AI16" s="1328"/>
      <c r="AJ16" s="1328"/>
      <c r="AK16" s="1328"/>
      <c r="AL16" s="1328"/>
      <c r="AM16" s="1328"/>
      <c r="AN16" s="1328"/>
      <c r="AO16" s="1328"/>
      <c r="AP16" s="1328"/>
      <c r="AQ16" s="1328"/>
      <c r="AR16" s="1328"/>
      <c r="AS16" s="1328"/>
      <c r="AT16" s="1328"/>
      <c r="AU16" s="1328"/>
      <c r="AV16" s="1328"/>
      <c r="AW16" s="1328"/>
      <c r="AX16" s="1328"/>
      <c r="AY16" s="1328"/>
      <c r="AZ16" s="1328"/>
      <c r="BA16" s="1328"/>
      <c r="BB16" s="1328"/>
    </row>
    <row customHeight="1" ht="11.25" hidden="1">
      <c r="AI17" s="1328"/>
      <c r="AJ17" s="1328"/>
      <c r="AK17" s="1328"/>
      <c r="AL17" s="1328"/>
      <c r="AM17" s="1328"/>
      <c r="AN17" s="1328"/>
      <c r="AO17" s="1328"/>
      <c r="AP17" s="1328"/>
      <c r="AQ17" s="1328"/>
      <c r="AR17" s="1328"/>
      <c r="AS17" s="1328"/>
      <c r="AT17" s="1328"/>
      <c r="AU17" s="1328"/>
      <c r="AV17" s="1328"/>
      <c r="AW17" s="1328"/>
      <c r="AX17" s="1328"/>
      <c r="AY17" s="1328"/>
      <c r="AZ17" s="1328"/>
      <c r="BA17" s="1328"/>
      <c r="BB17" s="1328"/>
    </row>
    <row customHeight="1" ht="11.25" hidden="1">
      <c r="A18" s="94"/>
      <c r="AC18" s="94" t="s">
        <v>194</v>
      </c>
      <c r="AI18" s="1328"/>
      <c r="AJ18" s="1328"/>
      <c r="AK18" s="1328"/>
      <c r="AL18" s="1328"/>
      <c r="AM18" s="1328"/>
      <c r="AN18" s="1328"/>
      <c r="AO18" s="1328"/>
      <c r="AP18" s="1328"/>
      <c r="AQ18" s="1328"/>
      <c r="AR18" s="1328"/>
      <c r="AS18" s="1328"/>
      <c r="AT18" s="1328"/>
      <c r="AU18" s="1328"/>
      <c r="AV18" s="1328"/>
      <c r="AW18" s="1328"/>
      <c r="AX18" s="1328"/>
      <c r="AY18" s="1328"/>
      <c r="AZ18" s="1328"/>
      <c r="BA18" s="1328"/>
      <c r="BB18" s="1328"/>
    </row>
    <row customHeight="1" ht="11.25" hidden="1">
      <c r="AI19" s="1328"/>
      <c r="AJ19" s="1328"/>
      <c r="AK19" s="1328"/>
      <c r="AL19" s="1328"/>
      <c r="AM19" s="1328"/>
      <c r="AN19" s="1328"/>
      <c r="AO19" s="1328"/>
      <c r="AP19" s="1328"/>
      <c r="AQ19" s="1328"/>
      <c r="AR19" s="1328"/>
      <c r="AS19" s="1328"/>
      <c r="AT19" s="1328"/>
      <c r="AU19" s="1328"/>
      <c r="AV19" s="1328"/>
      <c r="AW19" s="1328"/>
      <c r="AX19" s="1328"/>
      <c r="AY19" s="1328"/>
      <c r="AZ19" s="1328"/>
      <c r="BA19" s="1328"/>
      <c r="BB19" s="1328"/>
    </row>
    <row customHeight="1" ht="11.25" hidden="1">
      <c r="AI20" s="1328"/>
      <c r="AJ20" s="1328"/>
      <c r="AK20" s="1328"/>
      <c r="AL20" s="1328"/>
      <c r="AM20" s="1328"/>
      <c r="AN20" s="1328"/>
      <c r="AO20" s="1328"/>
      <c r="AP20" s="1328"/>
      <c r="AQ20" s="1328"/>
      <c r="AR20" s="1328"/>
      <c r="AS20" s="1328"/>
      <c r="AT20" s="1328"/>
      <c r="AU20" s="1328"/>
      <c r="AV20" s="1328"/>
      <c r="AW20" s="1328"/>
      <c r="AX20" s="1328"/>
      <c r="AY20" s="1328"/>
      <c r="AZ20" s="1328"/>
      <c r="BA20" s="1328"/>
      <c r="BB20" s="1328"/>
    </row>
    <row customHeight="1" ht="14.625">
      <c r="E21" s="637">
        <v>15</v>
      </c>
      <c r="AA21" s="663"/>
      <c r="AC21" s="50" cm="1" t="str">
        <f t="array" ref="AC21:AC21">tpl_title</f>
        <v>Кемеровская область / 2026 / ОАО «СКЭК» (ИНН:4205153492, КПП:420501001) / ДПР: 2024-2028</v>
      </c>
      <c r="AI21" s="1328"/>
      <c r="AJ21" s="1328"/>
      <c r="AK21" s="1328"/>
      <c r="AL21" s="1328"/>
      <c r="AM21" s="1328"/>
      <c r="AN21" s="1328"/>
      <c r="AO21" s="1328"/>
      <c r="AP21" s="1328"/>
      <c r="AQ21" s="1328"/>
      <c r="AR21" s="1328"/>
      <c r="AS21" s="1328"/>
      <c r="AT21" s="1328"/>
      <c r="AU21" s="1328"/>
      <c r="AV21" s="1328"/>
      <c r="AW21" s="1328"/>
      <c r="AX21" s="1328"/>
      <c r="AY21" s="1328"/>
      <c r="AZ21" s="1328"/>
      <c r="BA21" s="1328"/>
      <c r="BB21" s="1328"/>
    </row>
    <row s="1363" customFormat="1" customHeight="1" ht="19.5">
      <c r="B22" s="429"/>
      <c r="C22" s="487"/>
      <c r="E22" s="638">
        <v>20</v>
      </c>
      <c r="AB22" s="316" t="s">
        <v>51</v>
      </c>
      <c r="AC22" s="202"/>
      <c r="AD22" s="202"/>
      <c r="AE22" s="202"/>
      <c r="AF22" s="202"/>
      <c r="AG22" s="202"/>
      <c r="AH22" s="202"/>
      <c r="AI22" s="202"/>
      <c r="AJ22" s="202"/>
      <c r="AK22" s="202"/>
      <c r="AL22" s="202"/>
      <c r="AM22" s="202"/>
      <c r="AN22" s="202"/>
      <c r="AO22" s="202"/>
      <c r="AP22" s="202"/>
      <c r="AQ22" s="202"/>
      <c r="AR22" s="202"/>
      <c r="AS22" s="202"/>
      <c r="AT22" s="202"/>
      <c r="AU22" s="202"/>
      <c r="AV22" s="202"/>
      <c r="AW22" s="202"/>
      <c r="AX22" s="202"/>
      <c r="AY22" s="202"/>
      <c r="AZ22" s="202"/>
      <c r="BA22" s="202"/>
      <c r="BB22" s="202"/>
      <c r="BC22" s="202"/>
      <c r="BF22" s="1026"/>
      <c r="BG22" s="1026"/>
      <c r="BH22" s="1026"/>
      <c r="BJ22" s="638"/>
      <c r="BK22" s="638"/>
    </row>
    <row s="1363" customFormat="1" customHeight="1" ht="10.96875">
      <c r="B23" s="429"/>
      <c r="C23" s="487"/>
      <c r="E23" s="638">
        <v>11.25</v>
      </c>
      <c r="AB23" s="197"/>
      <c r="AC23" s="197"/>
      <c r="AD23" s="197"/>
      <c r="AE23" s="198"/>
      <c r="AF23" s="198"/>
      <c r="AG23" s="198"/>
      <c r="AH23" s="198"/>
      <c r="AI23" s="197"/>
      <c r="AJ23" s="197"/>
      <c r="AK23" s="197"/>
      <c r="AL23" s="197"/>
      <c r="AM23" s="197"/>
      <c r="AN23" s="197"/>
      <c r="AO23" s="197"/>
      <c r="AP23" s="197"/>
      <c r="AQ23" s="197"/>
      <c r="AR23" s="197"/>
      <c r="AS23" s="197"/>
      <c r="AT23" s="197"/>
      <c r="AU23" s="197"/>
      <c r="AV23" s="197"/>
      <c r="AW23" s="197"/>
      <c r="AX23" s="197"/>
      <c r="AY23" s="197"/>
      <c r="AZ23" s="197"/>
      <c r="BA23" s="197"/>
      <c r="BB23" s="197"/>
      <c r="BC23" s="197"/>
      <c r="BF23" s="1026"/>
      <c r="BG23" s="1026"/>
      <c r="BH23" s="1026"/>
      <c r="BJ23" s="638"/>
      <c r="BK23" s="638"/>
    </row>
    <row s="1189" customFormat="1" customHeight="1" ht="14.625">
      <c r="B24" s="431"/>
      <c r="C24" s="489"/>
      <c r="E24" s="635">
        <v>15</v>
      </c>
      <c r="AB24" s="1577" t="s">
        <v>22</v>
      </c>
      <c r="AC24" s="1577" t="s">
        <v>380</v>
      </c>
      <c r="AD24" s="1577" t="s">
        <v>381</v>
      </c>
      <c r="AE24" s="355" t="str">
        <f>god-2&amp;" год"</f>
        <v>2024 год</v>
      </c>
      <c r="AF24" s="1130" t="str">
        <f>god-2&amp;" год"</f>
        <v>2024 год</v>
      </c>
      <c r="AG24" s="355" t="str">
        <f>god-2&amp;" год"</f>
        <v>2024 год</v>
      </c>
      <c r="AH24" s="90" t="str">
        <f>god-1&amp;" год"</f>
        <v>2025 год</v>
      </c>
      <c r="AI24" s="1127" t="str">
        <f>god&amp;" год"</f>
        <v>2026 год</v>
      </c>
      <c r="AJ24" s="1127" t="str">
        <f>god+1&amp;" год"</f>
        <v>2027 год</v>
      </c>
      <c r="AK24" s="1127" t="str">
        <f>god+2&amp;" год"</f>
        <v>2028 год</v>
      </c>
      <c r="AL24" s="1127" t="str">
        <f>god+3&amp;" год"</f>
        <v>2029 год</v>
      </c>
      <c r="AM24" s="1127" t="str">
        <f>god+4&amp;" год"</f>
        <v>2030 год</v>
      </c>
      <c r="AN24" s="1127" t="str">
        <f>god+5&amp;" год"</f>
        <v>2031 год</v>
      </c>
      <c r="AO24" s="1127" t="str">
        <f>god+6&amp;" год"</f>
        <v>2032 год</v>
      </c>
      <c r="AP24" s="1127" t="str">
        <f>god+7&amp;" год"</f>
        <v>2033 год</v>
      </c>
      <c r="AQ24" s="1127" t="str">
        <f>god+8&amp;" год"</f>
        <v>2034 год</v>
      </c>
      <c r="AR24" s="1127" t="str">
        <f>god+9&amp;" год"</f>
        <v>2035 год</v>
      </c>
      <c r="AS24" s="88" t="str">
        <f>god&amp;" год"</f>
        <v>2026 год</v>
      </c>
      <c r="AT24" s="88" t="str">
        <f>god+1&amp;" год"</f>
        <v>2027 год</v>
      </c>
      <c r="AU24" s="88" t="str">
        <f>god+2&amp;" год"</f>
        <v>2028 год</v>
      </c>
      <c r="AV24" s="88" t="str">
        <f>god+3&amp;" год"</f>
        <v>2029 год</v>
      </c>
      <c r="AW24" s="88" t="str">
        <f>god+4&amp;" год"</f>
        <v>2030 год</v>
      </c>
      <c r="AX24" s="88" t="str">
        <f>god+5&amp;" год"</f>
        <v>2031 год</v>
      </c>
      <c r="AY24" s="88" t="str">
        <f>god+6&amp;" год"</f>
        <v>2032 год</v>
      </c>
      <c r="AZ24" s="88" t="str">
        <f>god+7&amp;" год"</f>
        <v>2033 год</v>
      </c>
      <c r="BA24" s="88" t="str">
        <f>god+8&amp;" год"</f>
        <v>2034 год</v>
      </c>
      <c r="BB24" s="88" t="str">
        <f>god+9&amp;" год"</f>
        <v>2035 год</v>
      </c>
      <c r="BC24" s="1554" t="s">
        <v>652</v>
      </c>
      <c r="BF24" s="1021"/>
      <c r="BG24" s="1021"/>
      <c r="BH24" s="1021"/>
      <c r="BJ24" s="635"/>
      <c r="BK24" s="635"/>
    </row>
    <row s="1189" customFormat="1" customHeight="1" ht="38.671875">
      <c r="B25" s="431"/>
      <c r="C25" s="489"/>
      <c r="E25" s="635">
        <v>50</v>
      </c>
      <c r="AB25" s="1577"/>
      <c r="AC25" s="1577"/>
      <c r="AD25" s="1577"/>
      <c r="AE25" s="88" t="s">
        <v>373</v>
      </c>
      <c r="AF25" s="1127" t="s">
        <v>555</v>
      </c>
      <c r="AG25" s="88" t="s">
        <v>556</v>
      </c>
      <c r="AH25" s="88" t="s">
        <v>373</v>
      </c>
      <c r="AI25" s="1131" t="s">
        <v>374</v>
      </c>
      <c r="AJ25" s="1131" t="s">
        <v>374</v>
      </c>
      <c r="AK25" s="1131" t="s">
        <v>374</v>
      </c>
      <c r="AL25" s="1131" t="s">
        <v>374</v>
      </c>
      <c r="AM25" s="1131" t="s">
        <v>374</v>
      </c>
      <c r="AN25" s="1131" t="s">
        <v>374</v>
      </c>
      <c r="AO25" s="1131" t="s">
        <v>374</v>
      </c>
      <c r="AP25" s="1131" t="s">
        <v>374</v>
      </c>
      <c r="AQ25" s="1131" t="s">
        <v>374</v>
      </c>
      <c r="AR25" s="1131" t="s">
        <v>374</v>
      </c>
      <c r="AS25" s="356" t="s">
        <v>373</v>
      </c>
      <c r="AT25" s="356" t="s">
        <v>373</v>
      </c>
      <c r="AU25" s="356" t="s">
        <v>373</v>
      </c>
      <c r="AV25" s="356" t="s">
        <v>373</v>
      </c>
      <c r="AW25" s="356" t="s">
        <v>373</v>
      </c>
      <c r="AX25" s="356" t="s">
        <v>373</v>
      </c>
      <c r="AY25" s="356" t="s">
        <v>373</v>
      </c>
      <c r="AZ25" s="356" t="s">
        <v>373</v>
      </c>
      <c r="BA25" s="356" t="s">
        <v>373</v>
      </c>
      <c r="BB25" s="356" t="s">
        <v>373</v>
      </c>
      <c r="BC25" s="1554"/>
      <c r="BF25" s="1021"/>
      <c r="BG25" s="1021"/>
      <c r="BH25" s="1021"/>
      <c r="BJ25" s="635"/>
      <c r="BK25" s="635"/>
    </row>
    <row s="1189" customFormat="1" customHeight="1" ht="14.25" hidden="1">
      <c r="B26" s="431"/>
      <c r="C26" s="489"/>
      <c r="E26" s="635">
        <v>0</v>
      </c>
      <c r="AB26" s="730"/>
      <c r="AC26" s="730"/>
      <c r="AD26" s="730"/>
      <c r="AE26" s="727"/>
      <c r="AF26" s="727"/>
      <c r="AG26" s="727"/>
      <c r="AH26" s="727"/>
      <c r="AI26" s="727"/>
      <c r="AJ26" s="727"/>
      <c r="AK26" s="727"/>
      <c r="AL26" s="727"/>
      <c r="AM26" s="727"/>
      <c r="AN26" s="727"/>
      <c r="AO26" s="727"/>
      <c r="AP26" s="727"/>
      <c r="AQ26" s="727"/>
      <c r="AR26" s="727"/>
      <c r="AS26" s="727"/>
      <c r="AT26" s="727"/>
      <c r="AU26" s="727"/>
      <c r="AV26" s="727"/>
      <c r="AW26" s="727"/>
      <c r="AX26" s="727"/>
      <c r="AY26" s="727"/>
      <c r="AZ26" s="727"/>
      <c r="BA26" s="727"/>
      <c r="BB26" s="727"/>
      <c r="BC26" s="727"/>
      <c r="BF26" s="1021"/>
      <c r="BG26" s="1021"/>
      <c r="BH26" s="1021"/>
      <c r="BJ26" s="635"/>
      <c r="BK26" s="635"/>
    </row>
    <row s="1189" customFormat="1" customHeight="1" ht="14.625" hidden="1">
      <c r="A27" s="1189"/>
      <c r="B27" s="431"/>
      <c r="C27" s="488"/>
      <c r="D27" s="1189"/>
      <c r="E27" s="637">
        <v>15</v>
      </c>
      <c r="F27" s="94" cm="1" t="str">
        <f t="array" ref="F27:F27">X27</f>
        <v>0</v>
      </c>
      <c r="G27" s="94"/>
      <c r="H27" s="94"/>
      <c r="I27" s="1189"/>
      <c r="J27" s="1189"/>
      <c r="K27" s="1189"/>
      <c r="L27" s="1189"/>
      <c r="M27" s="1189"/>
      <c r="N27" s="1189"/>
      <c r="O27" s="1189"/>
      <c r="P27" s="1189"/>
      <c r="Q27" s="1189"/>
      <c r="R27" s="1189"/>
      <c r="S27" s="1189"/>
      <c r="T27" s="468">
        <f>X27&gt;0</f>
        <v>0</v>
      </c>
      <c r="U27" s="1189"/>
      <c r="V27" s="140" t="s">
        <v>279</v>
      </c>
      <c r="W27" s="1189"/>
      <c r="X27" s="1519">
        <v>0</v>
      </c>
      <c r="Y27" s="1189"/>
      <c r="Z27" s="1541"/>
      <c r="AA27" s="1189"/>
      <c r="AB27" s="179" cm="1" t="str">
        <f t="array" ref="AB27:AB27">INDEX('Общие сведения'!$AG$197:$AG$254,MATCH($X27,'Общие сведения'!$Z$197:$Z$254,0))</f>
        <v>Тариф 0 () - </v>
      </c>
      <c r="AC27" s="176"/>
      <c r="AD27" s="170"/>
      <c r="AE27" s="170"/>
      <c r="AF27" s="170"/>
      <c r="AG27" s="170"/>
      <c r="AH27" s="170"/>
      <c r="AI27" s="170"/>
      <c r="AJ27" s="170"/>
      <c r="AK27" s="170"/>
      <c r="AL27" s="170"/>
      <c r="AM27" s="170"/>
      <c r="AN27" s="170"/>
      <c r="AO27" s="170"/>
      <c r="AP27" s="170"/>
      <c r="AQ27" s="170"/>
      <c r="AR27" s="170"/>
      <c r="AS27" s="170"/>
      <c r="AT27" s="170"/>
      <c r="AU27" s="170"/>
      <c r="AV27" s="170"/>
      <c r="AW27" s="170"/>
      <c r="AX27" s="170"/>
      <c r="AY27" s="170"/>
      <c r="AZ27" s="170"/>
      <c r="BA27" s="170"/>
      <c r="BB27" s="170"/>
      <c r="BC27" s="170"/>
      <c r="BD27" s="1189"/>
      <c r="BE27" s="1189"/>
      <c r="BF27" s="1021"/>
      <c r="BG27" s="1021"/>
      <c r="BH27" s="1021"/>
      <c r="BJ27" s="635"/>
      <c r="BK27" s="635"/>
    </row>
    <row s="1541" customFormat="1" customHeight="1" ht="10.96875" hidden="1">
      <c r="A28" s="1541"/>
      <c r="B28" s="431"/>
      <c r="C28" s="486"/>
      <c r="D28" s="964"/>
      <c r="E28" s="263">
        <v>11.25</v>
      </c>
      <c r="F28" s="50" cm="1" t="str">
        <f t="array" ref="F28:F28">OFFSET(E28,-1,1)</f>
        <v>0</v>
      </c>
      <c r="G28" s="122" t="s">
        <v>344</v>
      </c>
      <c r="H28" s="122"/>
      <c r="I28" s="1541"/>
      <c r="J28" s="1541"/>
      <c r="K28" s="486" t="str">
        <f>F28&amp;"komm"</f>
        <v>0komm</v>
      </c>
      <c r="L28" s="924" cm="1" t="str">
        <f t="array" ref="L28:L28">BC28</f>
        <v>0</v>
      </c>
      <c r="M28" s="1541"/>
      <c r="N28" s="1541"/>
      <c r="O28" s="1541"/>
      <c r="P28" s="1541"/>
      <c r="Q28" s="1541"/>
      <c r="R28" s="1541"/>
      <c r="S28" s="1541"/>
      <c r="T28" s="468" cm="1" t="str">
        <f t="array" ref="T28:T28">T27</f>
        <v>false</v>
      </c>
      <c r="U28" s="1541"/>
      <c r="V28" s="1541"/>
      <c r="W28" s="1541"/>
      <c r="X28" s="1519"/>
      <c r="Y28" s="1541"/>
      <c r="Z28" s="1541"/>
      <c r="AA28" s="1541"/>
      <c r="AB28" s="85" t="s">
        <v>290</v>
      </c>
      <c r="AC28" s="134" t="s">
        <v>935</v>
      </c>
      <c r="AD28" s="85" t="s">
        <v>936</v>
      </c>
      <c r="AE28" s="187">
        <f>IF(COUNTIF(AE33:AE48,"Ошибка")&gt;0,"Ошибка",SUMIF($AD33:$AD48,$AD28,AE33:AE48))</f>
        <v>0</v>
      </c>
      <c r="AF28" s="187">
        <f>IF(COUNTIF(AF33:AF48,"Ошибка")&gt;0,"Ошибка",SUMIF($AD33:$AD48,$AD28,AF33:AF48))</f>
        <v>0</v>
      </c>
      <c r="AG28" s="187">
        <f>IF(COUNTIF(AG33:AG48,"Ошибка")&gt;0,"Ошибка",SUMIF($AD33:$AD48,$AD28,AG33:AG48))</f>
        <v>0</v>
      </c>
      <c r="AH28" s="187">
        <f>IF(COUNTIF(AH33:AH48,"Ошибка")&gt;0,"Ошибка",SUMIF($AD33:$AD48,$AD28,AH33:AH48))</f>
        <v>0</v>
      </c>
      <c r="AI28" s="187">
        <f>IF(COUNTIF(AI33:AI48,"Ошибка")&gt;0,"Ошибка",SUMIF($AD33:$AD48,$AD28,AI33:AI48))</f>
        <v>0</v>
      </c>
      <c r="AJ28" s="187">
        <f>IF(COUNTIF(AJ33:AJ48,"Ошибка")&gt;0,"Ошибка",SUMIF($AD33:$AD48,$AD28,AJ33:AJ48))</f>
        <v>0</v>
      </c>
      <c r="AK28" s="187">
        <f>IF(COUNTIF(AK33:AK48,"Ошибка")&gt;0,"Ошибка",SUMIF($AD33:$AD48,$AD28,AK33:AK48))</f>
        <v>0</v>
      </c>
      <c r="AL28" s="187">
        <f>IF(COUNTIF(AL33:AL48,"Ошибка")&gt;0,"Ошибка",SUMIF($AD33:$AD48,$AD28,AL33:AL48))</f>
        <v>0</v>
      </c>
      <c r="AM28" s="187">
        <f>IF(COUNTIF(AM33:AM48,"Ошибка")&gt;0,"Ошибка",SUMIF($AD33:$AD48,$AD28,AM33:AM48))</f>
        <v>0</v>
      </c>
      <c r="AN28" s="187">
        <f>IF(COUNTIF(AN33:AN48,"Ошибка")&gt;0,"Ошибка",SUMIF($AD33:$AD48,$AD28,AN33:AN48))</f>
        <v>0</v>
      </c>
      <c r="AO28" s="187">
        <f>IF(COUNTIF(AO33:AO48,"Ошибка")&gt;0,"Ошибка",SUMIF($AD33:$AD48,$AD28,AO33:AO48))</f>
        <v>0</v>
      </c>
      <c r="AP28" s="187">
        <f>IF(COUNTIF(AP33:AP48,"Ошибка")&gt;0,"Ошибка",SUMIF($AD33:$AD48,$AD28,AP33:AP48))</f>
        <v>0</v>
      </c>
      <c r="AQ28" s="187">
        <f>IF(COUNTIF(AQ33:AQ48,"Ошибка")&gt;0,"Ошибка",SUMIF($AD33:$AD48,$AD28,AQ33:AQ48))</f>
        <v>0</v>
      </c>
      <c r="AR28" s="187">
        <f>IF(COUNTIF(AR33:AR48,"Ошибка")&gt;0,"Ошибка",SUMIF($AD33:$AD48,$AD28,AR33:AR48))</f>
        <v>0</v>
      </c>
      <c r="AS28" s="187">
        <f>IF(COUNTIF(AS33:AS48,"Ошибка")&gt;0,"Ошибка",SUMIF($AD33:$AD48,$AD28,AS33:AS48))</f>
        <v>0</v>
      </c>
      <c r="AT28" s="187">
        <f>IF(COUNTIF(AT33:AT48,"Ошибка")&gt;0,"Ошибка",SUMIF($AD33:$AD48,$AD28,AT33:AT48))</f>
        <v>0</v>
      </c>
      <c r="AU28" s="187">
        <f>IF(COUNTIF(AU33:AU48,"Ошибка")&gt;0,"Ошибка",SUMIF($AD33:$AD48,$AD28,AU33:AU48))</f>
        <v>0</v>
      </c>
      <c r="AV28" s="187">
        <f>IF(COUNTIF(AV33:AV48,"Ошибка")&gt;0,"Ошибка",SUMIF($AD33:$AD48,$AD28,AV33:AV48))</f>
        <v>0</v>
      </c>
      <c r="AW28" s="187">
        <f>IF(COUNTIF(AW33:AW48,"Ошибка")&gt;0,"Ошибка",SUMIF($AD33:$AD48,$AD28,AW33:AW48))</f>
        <v>0</v>
      </c>
      <c r="AX28" s="187">
        <f>IF(COUNTIF(AX33:AX48,"Ошибка")&gt;0,"Ошибка",SUMIF($AD33:$AD48,$AD28,AX33:AX48))</f>
        <v>0</v>
      </c>
      <c r="AY28" s="187">
        <f>IF(COUNTIF(AY33:AY48,"Ошибка")&gt;0,"Ошибка",SUMIF($AD33:$AD48,$AD28,AY33:AY48))</f>
        <v>0</v>
      </c>
      <c r="AZ28" s="187">
        <f>IF(COUNTIF(AZ33:AZ48,"Ошибка")&gt;0,"Ошибка",SUMIF($AD33:$AD48,$AD28,AZ33:AZ48))</f>
        <v>0</v>
      </c>
      <c r="BA28" s="187">
        <f>IF(COUNTIF(BA33:BA48,"Ошибка")&gt;0,"Ошибка",SUMIF($AD33:$AD48,$AD28,BA33:BA48))</f>
        <v>0</v>
      </c>
      <c r="BB28" s="187">
        <f>IF(COUNTIF(BB33:BB48,"Ошибка")&gt;0,"Ошибка",SUMIF($AD33:$AD48,$AD28,BB33:BB48))</f>
        <v>0</v>
      </c>
      <c r="BC28" s="1928"/>
      <c r="BD28" s="1541"/>
      <c r="BE28" s="1541"/>
      <c r="BF28" s="1038" t="s">
        <v>970</v>
      </c>
      <c r="BG28" s="1038"/>
      <c r="BH28" s="1038"/>
      <c r="BJ28" s="263"/>
      <c r="BK28" s="263"/>
    </row>
    <row s="1541" customFormat="1" customHeight="1" ht="10.96875" hidden="1">
      <c r="A29" s="1541"/>
      <c r="B29" s="431"/>
      <c r="C29" s="486"/>
      <c r="D29" s="1541"/>
      <c r="E29" s="263">
        <v>11.25</v>
      </c>
      <c r="F29" s="50" cm="1" t="str">
        <f t="array" ref="F29:F29">OFFSET(E29,-1,1)</f>
        <v>0</v>
      </c>
      <c r="G29" s="122" t="s">
        <v>345</v>
      </c>
      <c r="H29" s="122"/>
      <c r="I29" s="1541"/>
      <c r="J29" s="1541"/>
      <c r="K29" s="1541"/>
      <c r="L29" s="1541"/>
      <c r="M29" s="1541"/>
      <c r="N29" s="1541"/>
      <c r="O29" s="1541"/>
      <c r="P29" s="1541"/>
      <c r="Q29" s="1541"/>
      <c r="R29" s="1541"/>
      <c r="S29" s="1541"/>
      <c r="T29" s="468" cm="1" t="str">
        <f t="array" ref="T29:T29">T28</f>
        <v>false</v>
      </c>
      <c r="U29" s="1541"/>
      <c r="V29" s="1541"/>
      <c r="W29" s="1541"/>
      <c r="X29" s="1519"/>
      <c r="Y29" s="1541"/>
      <c r="Z29" s="1541"/>
      <c r="AA29" s="1541"/>
      <c r="AB29" s="85" t="s">
        <v>299</v>
      </c>
      <c r="AC29" s="134" t="s">
        <v>971</v>
      </c>
      <c r="AD29" s="88" t="s">
        <v>972</v>
      </c>
      <c r="AE29" s="187">
        <f>SUMIF(AD33:AD48,AD29,AE33:AE48)</f>
        <v>0</v>
      </c>
      <c r="AF29" s="187">
        <f>SUMIF(AD33:AD48,AD29,AF33:AF48)</f>
        <v>0</v>
      </c>
      <c r="AG29" s="187">
        <f>SUMIF(AD33:AD48,AD29,AG33:AG48)</f>
        <v>0</v>
      </c>
      <c r="AH29" s="187">
        <f>SUMIF(AD33:AD48,AD29,AH33:AH48)</f>
        <v>0</v>
      </c>
      <c r="AI29" s="187">
        <f>SUMIF(AD33:AD48,AD29,AI33:AI48)</f>
        <v>0</v>
      </c>
      <c r="AJ29" s="187">
        <f>SUMIF(AD33:AD48,AD29,AJ33:AJ48)</f>
        <v>0</v>
      </c>
      <c r="AK29" s="187">
        <f>SUMIF(AD33:AD48,AD29,AK33:AK48)</f>
        <v>0</v>
      </c>
      <c r="AL29" s="187">
        <f>SUMIF(AD33:AD48,AD29,AL33:AL48)</f>
        <v>0</v>
      </c>
      <c r="AM29" s="187">
        <f>SUMIF(AD33:AD48,AD29,AM33:AM48)</f>
        <v>0</v>
      </c>
      <c r="AN29" s="187">
        <f>SUMIF(AD33:AD48,AD29,AN33:AN48)</f>
        <v>0</v>
      </c>
      <c r="AO29" s="187">
        <f>SUMIF(AD33:AD48,AD29,AO33:AO48)</f>
        <v>0</v>
      </c>
      <c r="AP29" s="187">
        <f>SUMIF(AD33:AD48,AD29,AP33:AP48)</f>
        <v>0</v>
      </c>
      <c r="AQ29" s="187">
        <f>SUMIF(AD33:AD48,AD29,AQ33:AQ48)</f>
        <v>0</v>
      </c>
      <c r="AR29" s="187">
        <f>SUMIF(AD33:AD48,AD29,AR33:AR48)</f>
        <v>0</v>
      </c>
      <c r="AS29" s="187">
        <f>SUMIF(AD33:AD48,AD29,AS33:AS48)</f>
        <v>0</v>
      </c>
      <c r="AT29" s="187">
        <f>SUMIF(AD33:AD48,AD29,AT33:AT48)</f>
        <v>0</v>
      </c>
      <c r="AU29" s="187">
        <f>SUMIF(AD33:AD48,AD29,AU33:AU48)</f>
        <v>0</v>
      </c>
      <c r="AV29" s="187">
        <f>SUMIF(AD33:AD48,AD29,AV33:AV48)</f>
        <v>0</v>
      </c>
      <c r="AW29" s="187">
        <f>SUMIF(AD33:AD48,AD29,AW33:AW48)</f>
        <v>0</v>
      </c>
      <c r="AX29" s="187">
        <f>SUMIF(AD33:AD48,AD29,AX33:AX48)</f>
        <v>0</v>
      </c>
      <c r="AY29" s="187">
        <f>SUMIF(AD33:AD48,AD29,AY33:AY48)</f>
        <v>0</v>
      </c>
      <c r="AZ29" s="187">
        <f>SUMIF(AD33:AD48,AD29,AZ33:AZ48)</f>
        <v>0</v>
      </c>
      <c r="BA29" s="187">
        <f>SUMIF(AD33:AD48,AD29,BA33:BA48)</f>
        <v>0</v>
      </c>
      <c r="BB29" s="187">
        <f>SUMIF(AD33:AD48,AD29,BB33:BB48)</f>
        <v>0</v>
      </c>
      <c r="BC29" s="1928"/>
      <c r="BD29" s="1541"/>
      <c r="BE29" s="1541"/>
      <c r="BF29" s="1038" t="s">
        <v>973</v>
      </c>
      <c r="BG29" s="1038"/>
      <c r="BH29" s="1038"/>
      <c r="BJ29" s="263"/>
      <c r="BK29" s="263"/>
    </row>
    <row s="1541" customFormat="1" customHeight="1" ht="10.96875" hidden="1">
      <c r="A30" s="1541"/>
      <c r="B30" s="431"/>
      <c r="C30" s="486"/>
      <c r="D30" s="1541"/>
      <c r="E30" s="263">
        <v>11.25</v>
      </c>
      <c r="F30" s="50" cm="1" t="str">
        <f t="array" ref="F30:F30">OFFSET(E30,-1,1)</f>
        <v>0</v>
      </c>
      <c r="G30" s="122" t="s">
        <v>346</v>
      </c>
      <c r="H30" s="122"/>
      <c r="I30" s="1541"/>
      <c r="J30" s="1541"/>
      <c r="K30" s="1541"/>
      <c r="L30" s="1541"/>
      <c r="M30" s="1541"/>
      <c r="N30" s="1541"/>
      <c r="O30" s="1541"/>
      <c r="P30" s="1541"/>
      <c r="Q30" s="1541"/>
      <c r="R30" s="1541"/>
      <c r="S30" s="1541"/>
      <c r="T30" s="468" cm="1" t="str">
        <f t="array" ref="T30:T30">T29</f>
        <v>false</v>
      </c>
      <c r="U30" s="1541"/>
      <c r="V30" s="1541"/>
      <c r="W30" s="1541"/>
      <c r="X30" s="1519"/>
      <c r="Y30" s="1541"/>
      <c r="Z30" s="1541"/>
      <c r="AA30" s="1541"/>
      <c r="AB30" s="85" t="s">
        <v>234</v>
      </c>
      <c r="AC30" s="134" t="s">
        <v>974</v>
      </c>
      <c r="AD30" s="88" t="s">
        <v>975</v>
      </c>
      <c r="AE30" s="2907"/>
      <c r="AF30" s="2907"/>
      <c r="AG30" s="2907"/>
      <c r="AH30" s="2907"/>
      <c r="AI30" s="2907"/>
      <c r="AJ30" s="2907"/>
      <c r="AK30" s="2907"/>
      <c r="AL30" s="2907"/>
      <c r="AM30" s="2907"/>
      <c r="AN30" s="2907"/>
      <c r="AO30" s="2907"/>
      <c r="AP30" s="2907"/>
      <c r="AQ30" s="2907"/>
      <c r="AR30" s="2907"/>
      <c r="AS30" s="2907"/>
      <c r="AT30" s="2907"/>
      <c r="AU30" s="2907"/>
      <c r="AV30" s="2907"/>
      <c r="AW30" s="2907"/>
      <c r="AX30" s="2907"/>
      <c r="AY30" s="2907"/>
      <c r="AZ30" s="2907"/>
      <c r="BA30" s="2907"/>
      <c r="BB30" s="2907"/>
      <c r="BC30" s="1928"/>
      <c r="BD30" s="1541"/>
      <c r="BE30" s="1541"/>
      <c r="BF30" s="1038" t="s">
        <v>976</v>
      </c>
      <c r="BG30" s="1038"/>
      <c r="BH30" s="1038"/>
      <c r="BJ30" s="263"/>
      <c r="BK30" s="263"/>
    </row>
    <row s="1541" customFormat="1" customHeight="1" ht="10.96875" hidden="1">
      <c r="A31" s="1541"/>
      <c r="B31" s="431"/>
      <c r="C31" s="486"/>
      <c r="D31" s="1541"/>
      <c r="E31" s="263">
        <v>11.25</v>
      </c>
      <c r="F31" s="50" cm="1" t="str">
        <f t="array" ref="F31:F31">OFFSET(E31,-1,1)</f>
        <v>0</v>
      </c>
      <c r="G31" s="122" t="s">
        <v>348</v>
      </c>
      <c r="H31" s="122"/>
      <c r="I31" s="1541"/>
      <c r="J31" s="1541"/>
      <c r="K31" s="1541"/>
      <c r="L31" s="1541"/>
      <c r="M31" s="1541"/>
      <c r="N31" s="1541"/>
      <c r="O31" s="1541"/>
      <c r="P31" s="1541"/>
      <c r="Q31" s="1541"/>
      <c r="R31" s="1541"/>
      <c r="S31" s="1541"/>
      <c r="T31" s="468" cm="1" t="str">
        <f t="array" ref="T31:T31">T30</f>
        <v>false</v>
      </c>
      <c r="U31" s="1541"/>
      <c r="V31" s="1541"/>
      <c r="W31" s="1541"/>
      <c r="X31" s="1519"/>
      <c r="Y31" s="1541"/>
      <c r="Z31" s="1541"/>
      <c r="AA31" s="1541"/>
      <c r="AB31" s="85" t="s">
        <v>451</v>
      </c>
      <c r="AC31" s="134" t="s">
        <v>977</v>
      </c>
      <c r="AD31" s="88" t="s">
        <v>978</v>
      </c>
      <c r="AE31" s="187">
        <f>IF(AE29=0,0,AE28/AE29)</f>
        <v>0</v>
      </c>
      <c r="AF31" s="187">
        <f>IF(AF29=0,0,AF28/AF29)</f>
        <v>0</v>
      </c>
      <c r="AG31" s="187">
        <f>IF(AG29=0,0,AG28/AG29)</f>
        <v>0</v>
      </c>
      <c r="AH31" s="187">
        <f>IF(AH29=0,0,AH28/AH29)</f>
        <v>0</v>
      </c>
      <c r="AI31" s="187">
        <f>IF(AI29=0,0,AI28/AI29)</f>
        <v>0</v>
      </c>
      <c r="AJ31" s="187">
        <f>IF(AJ29=0,0,AJ28/AJ29)</f>
        <v>0</v>
      </c>
      <c r="AK31" s="187">
        <f>IF(AK29=0,0,AK28/AK29)</f>
        <v>0</v>
      </c>
      <c r="AL31" s="187">
        <f>IF(AL29=0,0,AL28/AL29)</f>
        <v>0</v>
      </c>
      <c r="AM31" s="187">
        <f>IF(AM29=0,0,AM28/AM29)</f>
        <v>0</v>
      </c>
      <c r="AN31" s="187">
        <f>IF(AN29=0,0,AN28/AN29)</f>
        <v>0</v>
      </c>
      <c r="AO31" s="187">
        <f>IF(AO29=0,0,AO28/AO29)</f>
        <v>0</v>
      </c>
      <c r="AP31" s="187">
        <f>IF(AP29=0,0,AP28/AP29)</f>
        <v>0</v>
      </c>
      <c r="AQ31" s="187">
        <f>IF(AQ29=0,0,AQ28/AQ29)</f>
        <v>0</v>
      </c>
      <c r="AR31" s="187">
        <f>IF(AR29=0,0,AR28/AR29)</f>
        <v>0</v>
      </c>
      <c r="AS31" s="187">
        <f>IF(AS29=0,0,AS28/AS29)</f>
        <v>0</v>
      </c>
      <c r="AT31" s="187">
        <f>IF(AT29=0,0,AT28/AT29)</f>
        <v>0</v>
      </c>
      <c r="AU31" s="187">
        <f>IF(AU29=0,0,AU28/AU29)</f>
        <v>0</v>
      </c>
      <c r="AV31" s="187">
        <f>IF(AV29=0,0,AV28/AV29)</f>
        <v>0</v>
      </c>
      <c r="AW31" s="187">
        <f>IF(AW29=0,0,AW28/AW29)</f>
        <v>0</v>
      </c>
      <c r="AX31" s="187">
        <f>IF(AX29=0,0,AX28/AX29)</f>
        <v>0</v>
      </c>
      <c r="AY31" s="187">
        <f>IF(AY29=0,0,AY28/AY29)</f>
        <v>0</v>
      </c>
      <c r="AZ31" s="187">
        <f>IF(AZ29=0,0,AZ28/AZ29)</f>
        <v>0</v>
      </c>
      <c r="BA31" s="187">
        <f>IF(BA29=0,0,BA28/BA29)</f>
        <v>0</v>
      </c>
      <c r="BB31" s="187">
        <f>IF(BB29=0,0,BB28/BB29)</f>
        <v>0</v>
      </c>
      <c r="BC31" s="1928"/>
      <c r="BD31" s="1541"/>
      <c r="BE31" s="1541"/>
      <c r="BF31" s="1038" t="s">
        <v>979</v>
      </c>
      <c r="BG31" s="1038"/>
      <c r="BH31" s="1038"/>
      <c r="BJ31" s="263"/>
      <c r="BK31" s="263"/>
    </row>
    <row s="1541" customFormat="1" customHeight="1" ht="10.96875" hidden="1">
      <c r="A32" s="1541"/>
      <c r="B32" s="431"/>
      <c r="C32" s="486"/>
      <c r="D32" s="1541"/>
      <c r="E32" s="263">
        <v>11.25</v>
      </c>
      <c r="F32" s="50" cm="1" t="str">
        <f t="array" ref="F32:F32">OFFSET(E32,-1,1)</f>
        <v>0</v>
      </c>
      <c r="G32" s="122" t="s">
        <v>347</v>
      </c>
      <c r="H32" s="122"/>
      <c r="I32" s="1541"/>
      <c r="J32" s="1541"/>
      <c r="K32" s="1541"/>
      <c r="L32" s="1541"/>
      <c r="M32" s="1541"/>
      <c r="N32" s="1541"/>
      <c r="O32" s="1541"/>
      <c r="P32" s="1541"/>
      <c r="Q32" s="1541"/>
      <c r="R32" s="1541"/>
      <c r="S32" s="1541"/>
      <c r="T32" s="468" cm="1" t="str">
        <f t="array" ref="T32:T32">T31</f>
        <v>false</v>
      </c>
      <c r="U32" s="1541"/>
      <c r="V32" s="1541"/>
      <c r="W32" s="1541"/>
      <c r="X32" s="1519"/>
      <c r="Y32" s="1541"/>
      <c r="Z32" s="1541"/>
      <c r="AA32" s="1541"/>
      <c r="AB32" s="85" t="s">
        <v>454</v>
      </c>
      <c r="AC32" s="134" t="s">
        <v>980</v>
      </c>
      <c r="AD32" s="88" t="s">
        <v>981</v>
      </c>
      <c r="AE32" s="311">
        <f>IF(AE30=0,0,AE29/AE30)</f>
        <v>0</v>
      </c>
      <c r="AF32" s="311">
        <f>IF(AF30=0,0,AF29/AF30)</f>
        <v>0</v>
      </c>
      <c r="AG32" s="311">
        <f>IF(AG30=0,0,AG29/AG30)</f>
        <v>0</v>
      </c>
      <c r="AH32" s="311">
        <f>IF(AH30=0,0,AH29/AH30)</f>
        <v>0</v>
      </c>
      <c r="AI32" s="311">
        <f>IF(AI30=0,0,AI29/AI30)</f>
        <v>0</v>
      </c>
      <c r="AJ32" s="311">
        <f>IF(AJ30=0,0,AJ29/AJ30)</f>
        <v>0</v>
      </c>
      <c r="AK32" s="311">
        <f>IF(AK30=0,0,AK29/AK30)</f>
        <v>0</v>
      </c>
      <c r="AL32" s="311">
        <f>IF(AL30=0,0,AL29/AL30)</f>
        <v>0</v>
      </c>
      <c r="AM32" s="311">
        <f>IF(AM30=0,0,AM29/AM30)</f>
        <v>0</v>
      </c>
      <c r="AN32" s="311">
        <f>IF(AN30=0,0,AN29/AN30)</f>
        <v>0</v>
      </c>
      <c r="AO32" s="311">
        <f>IF(AO30=0,0,AO29/AO30)</f>
        <v>0</v>
      </c>
      <c r="AP32" s="311">
        <f>IF(AP30=0,0,AP29/AP30)</f>
        <v>0</v>
      </c>
      <c r="AQ32" s="311">
        <f>IF(AQ30=0,0,AQ29/AQ30)</f>
        <v>0</v>
      </c>
      <c r="AR32" s="311">
        <f>IF(AR30=0,0,AR29/AR30)</f>
        <v>0</v>
      </c>
      <c r="AS32" s="311">
        <f>IF(AS30=0,0,AS29/AS30)</f>
        <v>0</v>
      </c>
      <c r="AT32" s="311">
        <f>IF(AT30=0,0,AT29/AT30)</f>
        <v>0</v>
      </c>
      <c r="AU32" s="311">
        <f>IF(AU30=0,0,AU29/AU30)</f>
        <v>0</v>
      </c>
      <c r="AV32" s="311">
        <f>IF(AV30=0,0,AV29/AV30)</f>
        <v>0</v>
      </c>
      <c r="AW32" s="311">
        <f>IF(AW30=0,0,AW29/AW30)</f>
        <v>0</v>
      </c>
      <c r="AX32" s="311">
        <f>IF(AX30=0,0,AX29/AX30)</f>
        <v>0</v>
      </c>
      <c r="AY32" s="311">
        <f>IF(AY30=0,0,AY29/AY30)</f>
        <v>0</v>
      </c>
      <c r="AZ32" s="311">
        <f>IF(AZ30=0,0,AZ29/AZ30)</f>
        <v>0</v>
      </c>
      <c r="BA32" s="311">
        <f>IF(BA30=0,0,BA29/BA30)</f>
        <v>0</v>
      </c>
      <c r="BB32" s="311">
        <f>IF(BB30=0,0,BB29/BB30)</f>
        <v>0</v>
      </c>
      <c r="BC32" s="1928"/>
      <c r="BD32" s="1541"/>
      <c r="BE32" s="1541"/>
      <c r="BF32" s="1038" t="s">
        <v>982</v>
      </c>
      <c r="BG32" s="1038"/>
      <c r="BH32" s="1038"/>
      <c r="BJ32" s="263"/>
      <c r="BK32" s="263"/>
    </row>
    <row s="1541" customFormat="1" customHeight="1" ht="12.675000000000002" hidden="1">
      <c r="A33" s="1541"/>
      <c r="B33" s="431"/>
      <c r="C33" s="486"/>
      <c r="D33" s="1541"/>
      <c r="E33" s="263">
        <v>13</v>
      </c>
      <c r="F33" s="50" cm="1" t="str">
        <f t="array" ref="F33:F33">OFFSET(E33,-1,1)</f>
        <v>0</v>
      </c>
      <c r="G33" s="122"/>
      <c r="H33" s="122"/>
      <c r="I33" s="1541"/>
      <c r="J33" s="1541"/>
      <c r="K33" s="1541"/>
      <c r="L33" s="1541"/>
      <c r="M33" s="1541"/>
      <c r="N33" s="1541"/>
      <c r="O33" s="1541"/>
      <c r="P33" s="1541"/>
      <c r="Q33" s="1541"/>
      <c r="R33" s="1541"/>
      <c r="S33" s="1541"/>
      <c r="T33" s="468" cm="1" t="str">
        <f t="array" ref="T33:T33">T32</f>
        <v>false</v>
      </c>
      <c r="U33" s="1541"/>
      <c r="V33" s="1541"/>
      <c r="W33" s="1541"/>
      <c r="X33" s="1519"/>
      <c r="Y33" s="1541"/>
      <c r="Z33" s="1541"/>
      <c r="AA33" s="1541"/>
      <c r="AB33" s="658"/>
      <c r="AC33" s="262" t="s">
        <v>983</v>
      </c>
      <c r="AD33" s="263"/>
      <c r="AE33" s="264"/>
      <c r="AF33" s="264"/>
      <c r="AG33" s="264"/>
      <c r="AH33" s="264"/>
      <c r="AI33" s="264"/>
      <c r="AJ33" s="264"/>
      <c r="AK33" s="264"/>
      <c r="AL33" s="264"/>
      <c r="AM33" s="264"/>
      <c r="AN33" s="264"/>
      <c r="AO33" s="264"/>
      <c r="AP33" s="264"/>
      <c r="AQ33" s="264"/>
      <c r="AR33" s="264"/>
      <c r="AS33" s="264"/>
      <c r="AT33" s="264"/>
      <c r="AU33" s="264"/>
      <c r="AV33" s="264"/>
      <c r="AW33" s="264"/>
      <c r="AX33" s="264"/>
      <c r="AY33" s="264"/>
      <c r="AZ33" s="264"/>
      <c r="BA33" s="264"/>
      <c r="BB33" s="264"/>
      <c r="BC33" s="265"/>
      <c r="BD33" s="1541"/>
      <c r="BE33" s="1541"/>
      <c r="BF33" s="1038"/>
      <c r="BG33" s="1038"/>
      <c r="BH33" s="1038"/>
      <c r="BJ33" s="263"/>
      <c r="BK33" s="263"/>
    </row>
    <row customHeight="1" ht="10.725000000000001" hidden="1">
      <c r="A34" s="1328"/>
      <c r="B34" s="2912"/>
      <c r="C34" s="923"/>
      <c r="D34" s="1328"/>
      <c r="E34" s="1055">
        <v>11</v>
      </c>
      <c r="F34" s="50" cm="1" t="str">
        <f t="array" ref="F34:F34">OFFSET(E34,-1,1)</f>
        <v>0</v>
      </c>
      <c r="G34" s="1528"/>
      <c r="H34" s="1528"/>
      <c r="I34" s="1328"/>
      <c r="J34" s="1328"/>
      <c r="K34" s="1328"/>
      <c r="L34" s="1328"/>
      <c r="M34" s="1328"/>
      <c r="N34" s="1328"/>
      <c r="O34" s="1328"/>
      <c r="P34" s="1328"/>
      <c r="Q34" s="1328"/>
      <c r="R34" s="1328"/>
      <c r="S34" s="1328"/>
      <c r="T34" s="1436">
        <f>AND(F34&gt;0,Y34&gt;0)</f>
        <v>0</v>
      </c>
      <c r="U34" s="1328"/>
      <c r="V34" s="1328"/>
      <c r="W34" s="856" t="s">
        <v>173</v>
      </c>
      <c r="X34" s="1324"/>
      <c r="Y34" s="1617">
        <v>0</v>
      </c>
      <c r="Z34" s="1324"/>
      <c r="AA34" s="1630" t="s">
        <v>174</v>
      </c>
      <c r="AB34" s="1577" t="str">
        <f>"6."&amp;Y34</f>
        <v>6.0</v>
      </c>
      <c r="AC34" s="2913"/>
      <c r="AD34" s="1577"/>
      <c r="AE34" s="351"/>
      <c r="AF34" s="351"/>
      <c r="AG34" s="351"/>
      <c r="AH34" s="351"/>
      <c r="AI34" s="351"/>
      <c r="AJ34" s="351"/>
      <c r="AK34" s="351"/>
      <c r="AL34" s="351"/>
      <c r="AM34" s="351"/>
      <c r="AN34" s="351"/>
      <c r="AO34" s="351"/>
      <c r="AP34" s="351"/>
      <c r="AQ34" s="351"/>
      <c r="AR34" s="351"/>
      <c r="AS34" s="351"/>
      <c r="AT34" s="351"/>
      <c r="AU34" s="351"/>
      <c r="AV34" s="351"/>
      <c r="AW34" s="351"/>
      <c r="AX34" s="351"/>
      <c r="AY34" s="351"/>
      <c r="AZ34" s="351"/>
      <c r="BA34" s="351"/>
      <c r="BB34" s="351"/>
      <c r="BC34" s="351"/>
      <c r="BD34" s="2914"/>
      <c r="BE34" s="1328"/>
      <c r="BF34" s="1054"/>
      <c r="BG34" s="1054"/>
      <c r="BH34" s="1054"/>
      <c r="BI34" s="1054"/>
      <c r="BJ34" s="1055"/>
      <c r="BK34" s="1055"/>
    </row>
    <row s="1541" customFormat="1" customHeight="1" ht="10.96875" hidden="1">
      <c r="A35" s="1541"/>
      <c r="B35" s="431"/>
      <c r="C35" s="486"/>
      <c r="D35" s="1541"/>
      <c r="E35" s="263">
        <v>11.25</v>
      </c>
      <c r="F35" s="50" cm="1" t="str">
        <f t="array" ref="F35:F35">OFFSET(E35,-1,1)</f>
        <v>0</v>
      </c>
      <c r="G35" s="122" t="s">
        <v>616</v>
      </c>
      <c r="H35" s="122" cm="1" t="str">
        <f t="array" ref="H35:H35">AC35</f>
        <v>0</v>
      </c>
      <c r="I35" s="1541"/>
      <c r="J35" s="1541"/>
      <c r="K35" s="1541"/>
      <c r="L35" s="1541"/>
      <c r="M35" s="1541"/>
      <c r="N35" s="1541"/>
      <c r="O35" s="1541"/>
      <c r="P35" s="1541"/>
      <c r="Q35" s="1541"/>
      <c r="R35" s="1541"/>
      <c r="S35" s="1541"/>
      <c r="T35" s="468" cm="1" t="str">
        <f t="array" ref="T35:T35">T34</f>
        <v>false</v>
      </c>
      <c r="U35" s="1541"/>
      <c r="V35" s="1541"/>
      <c r="W35" s="764"/>
      <c r="X35" s="1519"/>
      <c r="Y35" s="1519">
        <v>0</v>
      </c>
      <c r="Z35" s="1541"/>
      <c r="AA35" s="1516" t="s">
        <v>174</v>
      </c>
      <c r="AB35" s="85" t="str">
        <f>AB34&amp;".1"</f>
        <v>6.0.1</v>
      </c>
      <c r="AC35" s="2915"/>
      <c r="AD35" s="85" t="s">
        <v>936</v>
      </c>
      <c r="AE35" s="1817"/>
      <c r="AF35" s="1817"/>
      <c r="AG35" s="1817"/>
      <c r="AH35" s="1817"/>
      <c r="AI35" s="1817"/>
      <c r="AJ35" s="1817"/>
      <c r="AK35" s="1817"/>
      <c r="AL35" s="1817"/>
      <c r="AM35" s="1817"/>
      <c r="AN35" s="1817"/>
      <c r="AO35" s="1817"/>
      <c r="AP35" s="1817"/>
      <c r="AQ35" s="1817"/>
      <c r="AR35" s="1817"/>
      <c r="AS35" s="1817"/>
      <c r="AT35" s="1817"/>
      <c r="AU35" s="1817"/>
      <c r="AV35" s="1817"/>
      <c r="AW35" s="1817"/>
      <c r="AX35" s="1817"/>
      <c r="AY35" s="1817"/>
      <c r="AZ35" s="1817"/>
      <c r="BA35" s="1817"/>
      <c r="BB35" s="1817"/>
      <c r="BC35" s="1928"/>
      <c r="BD35" s="1541"/>
      <c r="BE35" s="1541"/>
      <c r="BF35" s="1038" t="s">
        <v>984</v>
      </c>
      <c r="BG35" s="1038" t="s">
        <v>985</v>
      </c>
      <c r="BH35" s="1038" cm="1" t="str">
        <f t="array" ref="BH35:BH35">AC35</f>
        <v>0</v>
      </c>
      <c r="BI35" s="1541" cm="1" t="str">
        <f t="array" ref="BI35:BI35">AC34</f>
        <v>0</v>
      </c>
      <c r="BJ35" s="263"/>
      <c r="BK35" s="263" t="b">
        <v>1</v>
      </c>
    </row>
    <row s="1541" customFormat="1" customHeight="1" ht="10.96875" hidden="1">
      <c r="A36" s="1541"/>
      <c r="B36" s="431"/>
      <c r="C36" s="486"/>
      <c r="D36" s="1541"/>
      <c r="E36" s="263">
        <v>11.25</v>
      </c>
      <c r="F36" s="50" cm="1" t="str">
        <f t="array" ref="F36:F36">OFFSET(E36,-1,1)</f>
        <v>0</v>
      </c>
      <c r="G36" s="122" t="s">
        <v>793</v>
      </c>
      <c r="H36" s="122" cm="1" t="str">
        <f t="array" ref="H36:H36">H35</f>
        <v>0</v>
      </c>
      <c r="I36" s="1541"/>
      <c r="J36" s="1541"/>
      <c r="K36" s="1541"/>
      <c r="L36" s="1541"/>
      <c r="M36" s="1541"/>
      <c r="N36" s="1541"/>
      <c r="O36" s="1541"/>
      <c r="P36" s="1541"/>
      <c r="Q36" s="1541"/>
      <c r="R36" s="1541"/>
      <c r="S36" s="1541"/>
      <c r="T36" s="468" cm="1" t="str">
        <f t="array" ref="T36:T36">T35</f>
        <v>false</v>
      </c>
      <c r="U36" s="1541"/>
      <c r="V36" s="1541"/>
      <c r="W36" s="1541"/>
      <c r="X36" s="1519"/>
      <c r="Y36" s="1519"/>
      <c r="Z36" s="1541"/>
      <c r="AA36" s="1516"/>
      <c r="AB36" s="85" t="str">
        <f>AB34&amp;".2"</f>
        <v>6.0.2</v>
      </c>
      <c r="AC36" s="188" t="s">
        <v>986</v>
      </c>
      <c r="AD36" s="88" t="s">
        <v>978</v>
      </c>
      <c r="AE36" s="187">
        <f>IF(OR(AND(AE35&lt;&gt;0,AE37=0),AND(AE35=0,AE37&lt;&gt;0)),"Ошибка",IF(AE37=0,0,AE35/AE37))</f>
        <v>0</v>
      </c>
      <c r="AF36" s="187">
        <f>IF(OR(AND(AF35&lt;&gt;0,AF37=0),AND(AF35=0,AF37&lt;&gt;0)),"Ошибка",IF(AF37=0,0,AF35/AF37))</f>
        <v>0</v>
      </c>
      <c r="AG36" s="187">
        <f>IF(OR(AND(AG35&lt;&gt;0,AG37=0),AND(AG35=0,AG37&lt;&gt;0)),"Ошибка",IF(AG37=0,0,AG35/AG37))</f>
        <v>0</v>
      </c>
      <c r="AH36" s="187">
        <f>IF(OR(AND(AH35&lt;&gt;0,AH37=0),AND(AH35=0,AH37&lt;&gt;0)),"Ошибка",IF(AH37=0,0,AH35/AH37))</f>
        <v>0</v>
      </c>
      <c r="AI36" s="187">
        <f>IF(OR(AND(AI35&lt;&gt;0,AI37=0),AND(AI35=0,AI37&lt;&gt;0)),"Ошибка",IF(AI37=0,0,AI35/AI37))</f>
        <v>0</v>
      </c>
      <c r="AJ36" s="187">
        <f>IF(OR(AND(AJ35&lt;&gt;0,AJ37=0),AND(AJ35=0,AJ37&lt;&gt;0)),"Ошибка",IF(AJ37=0,0,AJ35/AJ37))</f>
        <v>0</v>
      </c>
      <c r="AK36" s="187">
        <f>IF(OR(AND(AK35&lt;&gt;0,AK37=0),AND(AK35=0,AK37&lt;&gt;0)),"Ошибка",IF(AK37=0,0,AK35/AK37))</f>
        <v>0</v>
      </c>
      <c r="AL36" s="187">
        <f>IF(OR(AND(AL35&lt;&gt;0,AL37=0),AND(AL35=0,AL37&lt;&gt;0)),"Ошибка",IF(AL37=0,0,AL35/AL37))</f>
        <v>0</v>
      </c>
      <c r="AM36" s="187">
        <f>IF(OR(AND(AM35&lt;&gt;0,AM37=0),AND(AM35=0,AM37&lt;&gt;0)),"Ошибка",IF(AM37=0,0,AM35/AM37))</f>
        <v>0</v>
      </c>
      <c r="AN36" s="187">
        <f>IF(OR(AND(AN35&lt;&gt;0,AN37=0),AND(AN35=0,AN37&lt;&gt;0)),"Ошибка",IF(AN37=0,0,AN35/AN37))</f>
        <v>0</v>
      </c>
      <c r="AO36" s="187">
        <f>IF(OR(AND(AO35&lt;&gt;0,AO37=0),AND(AO35=0,AO37&lt;&gt;0)),"Ошибка",IF(AO37=0,0,AO35/AO37))</f>
        <v>0</v>
      </c>
      <c r="AP36" s="187">
        <f>IF(OR(AND(AP35&lt;&gt;0,AP37=0),AND(AP35=0,AP37&lt;&gt;0)),"Ошибка",IF(AP37=0,0,AP35/AP37))</f>
        <v>0</v>
      </c>
      <c r="AQ36" s="187">
        <f>IF(OR(AND(AQ35&lt;&gt;0,AQ37=0),AND(AQ35=0,AQ37&lt;&gt;0)),"Ошибка",IF(AQ37=0,0,AQ35/AQ37))</f>
        <v>0</v>
      </c>
      <c r="AR36" s="187">
        <f>IF(OR(AND(AR35&lt;&gt;0,AR37=0),AND(AR35=0,AR37&lt;&gt;0)),"Ошибка",IF(AR37=0,0,AR35/AR37))</f>
        <v>0</v>
      </c>
      <c r="AS36" s="187">
        <f>IF(OR(AND(AS35&lt;&gt;0,AS37=0),AND(AS35=0,AS37&lt;&gt;0)),"Ошибка",IF(AS37=0,0,AS35/AS37))</f>
        <v>0</v>
      </c>
      <c r="AT36" s="187">
        <f>IF(OR(AND(AT35&lt;&gt;0,AT37=0),AND(AT35=0,AT37&lt;&gt;0)),"Ошибка",IF(AT37=0,0,AT35/AT37))</f>
        <v>0</v>
      </c>
      <c r="AU36" s="187">
        <f>IF(OR(AND(AU35&lt;&gt;0,AU37=0),AND(AU35=0,AU37&lt;&gt;0)),"Ошибка",IF(AU37=0,0,AU35/AU37))</f>
        <v>0</v>
      </c>
      <c r="AV36" s="187">
        <f>IF(OR(AND(AV35&lt;&gt;0,AV37=0),AND(AV35=0,AV37&lt;&gt;0)),"Ошибка",IF(AV37=0,0,AV35/AV37))</f>
        <v>0</v>
      </c>
      <c r="AW36" s="187">
        <f>IF(OR(AND(AW35&lt;&gt;0,AW37=0),AND(AW35=0,AW37&lt;&gt;0)),"Ошибка",IF(AW37=0,0,AW35/AW37))</f>
        <v>0</v>
      </c>
      <c r="AX36" s="187">
        <f>IF(OR(AND(AX35&lt;&gt;0,AX37=0),AND(AX35=0,AX37&lt;&gt;0)),"Ошибка",IF(AX37=0,0,AX35/AX37))</f>
        <v>0</v>
      </c>
      <c r="AY36" s="187">
        <f>IF(OR(AND(AY35&lt;&gt;0,AY37=0),AND(AY35=0,AY37&lt;&gt;0)),"Ошибка",IF(AY37=0,0,AY35/AY37))</f>
        <v>0</v>
      </c>
      <c r="AZ36" s="187">
        <f>IF(OR(AND(AZ35&lt;&gt;0,AZ37=0),AND(AZ35=0,AZ37&lt;&gt;0)),"Ошибка",IF(AZ37=0,0,AZ35/AZ37))</f>
        <v>0</v>
      </c>
      <c r="BA36" s="187">
        <f>IF(OR(AND(BA35&lt;&gt;0,BA37=0),AND(BA35=0,BA37&lt;&gt;0)),"Ошибка",IF(BA37=0,0,BA35/BA37))</f>
        <v>0</v>
      </c>
      <c r="BB36" s="187">
        <f>IF(OR(AND(BB35&lt;&gt;0,BB37=0),AND(BB35=0,BB37&lt;&gt;0)),"Ошибка",IF(BB37=0,0,BB35/BB37))</f>
        <v>0</v>
      </c>
      <c r="BC36" s="1928"/>
      <c r="BD36" s="1541"/>
      <c r="BE36" s="1541"/>
      <c r="BF36" s="1038" t="s">
        <v>987</v>
      </c>
      <c r="BG36" s="1038" t="s">
        <v>985</v>
      </c>
      <c r="BH36" s="1038" cm="1" t="str">
        <f t="array" ref="BH36:BH36">BH35</f>
        <v>0</v>
      </c>
      <c r="BI36" s="1541" cm="1" t="str">
        <f t="array" ref="BI36:BI36">BI35</f>
        <v>0</v>
      </c>
      <c r="BJ36" s="263"/>
      <c r="BK36" s="263"/>
    </row>
    <row s="1541" customFormat="1" customHeight="1" ht="10.96875" hidden="1">
      <c r="A37" s="1541"/>
      <c r="B37" s="431"/>
      <c r="C37" s="486"/>
      <c r="D37" s="1541"/>
      <c r="E37" s="263">
        <v>11.25</v>
      </c>
      <c r="F37" s="50" cm="1" t="str">
        <f t="array" ref="F37:F37">OFFSET(E37,-1,1)</f>
        <v>0</v>
      </c>
      <c r="G37" s="122" t="s">
        <v>796</v>
      </c>
      <c r="H37" s="122" cm="1" t="str">
        <f t="array" ref="H37:H37">H36</f>
        <v>0</v>
      </c>
      <c r="I37" s="1541"/>
      <c r="J37" s="1541"/>
      <c r="K37" s="1541"/>
      <c r="L37" s="1541"/>
      <c r="M37" s="1541"/>
      <c r="N37" s="1541"/>
      <c r="O37" s="1541"/>
      <c r="P37" s="1541"/>
      <c r="Q37" s="1541"/>
      <c r="R37" s="1541"/>
      <c r="S37" s="1541"/>
      <c r="T37" s="468" cm="1" t="str">
        <f t="array" ref="T37:T37">T36</f>
        <v>false</v>
      </c>
      <c r="U37" s="1541"/>
      <c r="V37" s="1541"/>
      <c r="W37" s="1541"/>
      <c r="X37" s="1519"/>
      <c r="Y37" s="1519"/>
      <c r="Z37" s="1541"/>
      <c r="AA37" s="1516"/>
      <c r="AB37" s="85" t="str">
        <f>AB34&amp;".3"</f>
        <v>6.0.3</v>
      </c>
      <c r="AC37" s="188" t="s">
        <v>988</v>
      </c>
      <c r="AD37" s="88" t="s">
        <v>972</v>
      </c>
      <c r="AE37" s="1817"/>
      <c r="AF37" s="1817"/>
      <c r="AG37" s="1817"/>
      <c r="AH37" s="1817"/>
      <c r="AI37" s="1817"/>
      <c r="AJ37" s="1817"/>
      <c r="AK37" s="1817"/>
      <c r="AL37" s="1817"/>
      <c r="AM37" s="1817"/>
      <c r="AN37" s="1817"/>
      <c r="AO37" s="1817"/>
      <c r="AP37" s="1817"/>
      <c r="AQ37" s="1817"/>
      <c r="AR37" s="1817"/>
      <c r="AS37" s="1817"/>
      <c r="AT37" s="1817"/>
      <c r="AU37" s="1817"/>
      <c r="AV37" s="1817"/>
      <c r="AW37" s="1817"/>
      <c r="AX37" s="1817"/>
      <c r="AY37" s="1817"/>
      <c r="AZ37" s="1817"/>
      <c r="BA37" s="1817"/>
      <c r="BB37" s="1817"/>
      <c r="BC37" s="1928"/>
      <c r="BD37" s="1541"/>
      <c r="BE37" s="1541"/>
      <c r="BF37" s="1038" t="s">
        <v>989</v>
      </c>
      <c r="BG37" s="1038" t="s">
        <v>985</v>
      </c>
      <c r="BH37" s="1038" cm="1" t="str">
        <f t="array" ref="BH37:BH37">BH36</f>
        <v>0</v>
      </c>
      <c r="BI37" s="1541" cm="1" t="str">
        <f t="array" ref="BI37:BI37">BI36</f>
        <v>0</v>
      </c>
      <c r="BJ37" s="263"/>
      <c r="BK37" s="263"/>
    </row>
    <row s="1363" customFormat="1" customHeight="1" ht="14.625" hidden="1">
      <c r="A38" s="1363"/>
      <c r="B38" s="429"/>
      <c r="C38" s="486"/>
      <c r="D38" s="1363"/>
      <c r="E38" s="638">
        <v>15</v>
      </c>
      <c r="F38" s="50" cm="1" t="str">
        <f t="array" ref="F38:F38">OFFSET(E38,-1,1)</f>
        <v>0</v>
      </c>
      <c r="G38" s="1363"/>
      <c r="H38" s="965" t="s">
        <v>990</v>
      </c>
      <c r="I38" s="1363"/>
      <c r="J38" s="1363"/>
      <c r="K38" s="1363"/>
      <c r="L38" s="1363"/>
      <c r="M38" s="1363"/>
      <c r="N38" s="1363"/>
      <c r="O38" s="1363"/>
      <c r="P38" s="1363"/>
      <c r="Q38" s="1363"/>
      <c r="R38" s="1363"/>
      <c r="S38" s="1363"/>
      <c r="T38" s="468">
        <f>F38&gt;0</f>
        <v>0</v>
      </c>
      <c r="U38" s="1363"/>
      <c r="V38" s="1363"/>
      <c r="W38" s="764" t="s">
        <v>410</v>
      </c>
      <c r="X38" s="1519"/>
      <c r="Y38" s="1363"/>
      <c r="Z38" s="1541"/>
      <c r="AA38" s="1363"/>
      <c r="AB38" s="659"/>
      <c r="AC38" s="174" t="s">
        <v>177</v>
      </c>
      <c r="AD38" s="172"/>
      <c r="AE38" s="172"/>
      <c r="AF38" s="172"/>
      <c r="AG38" s="172"/>
      <c r="AH38" s="172"/>
      <c r="AI38" s="172"/>
      <c r="AJ38" s="172"/>
      <c r="AK38" s="172"/>
      <c r="AL38" s="172"/>
      <c r="AM38" s="172"/>
      <c r="AN38" s="172"/>
      <c r="AO38" s="172"/>
      <c r="AP38" s="172"/>
      <c r="AQ38" s="172"/>
      <c r="AR38" s="172"/>
      <c r="AS38" s="172"/>
      <c r="AT38" s="172"/>
      <c r="AU38" s="172"/>
      <c r="AV38" s="172"/>
      <c r="AW38" s="172"/>
      <c r="AX38" s="172"/>
      <c r="AY38" s="172"/>
      <c r="AZ38" s="172"/>
      <c r="BA38" s="172"/>
      <c r="BB38" s="172"/>
      <c r="BC38" s="183"/>
      <c r="BD38" s="1363"/>
      <c r="BE38" s="1363"/>
      <c r="BF38" s="1026"/>
      <c r="BG38" s="1026"/>
      <c r="BH38" s="1026"/>
      <c r="BJ38" s="638" t="s">
        <v>985</v>
      </c>
      <c r="BK38" s="638"/>
    </row>
    <row s="1541" customFormat="1" customHeight="1" ht="12.675000000000002" hidden="1">
      <c r="A39" s="1541"/>
      <c r="B39" s="431"/>
      <c r="C39" s="486"/>
      <c r="D39" s="1541"/>
      <c r="E39" s="263">
        <v>13</v>
      </c>
      <c r="F39" s="50" cm="1" t="str">
        <f t="array" ref="F39:F39">OFFSET(E39,-1,1)</f>
        <v>0</v>
      </c>
      <c r="G39" s="122"/>
      <c r="H39" s="122"/>
      <c r="I39" s="1541"/>
      <c r="J39" s="1541"/>
      <c r="K39" s="1541"/>
      <c r="L39" s="1541"/>
      <c r="M39" s="1541"/>
      <c r="N39" s="1541"/>
      <c r="O39" s="1541"/>
      <c r="P39" s="1541"/>
      <c r="Q39" s="1541"/>
      <c r="R39" s="1541"/>
      <c r="S39" s="1541"/>
      <c r="T39" s="468" cm="1" t="str">
        <f t="array" ref="T39:T39">T38</f>
        <v>false</v>
      </c>
      <c r="U39" s="1541"/>
      <c r="V39" s="1541"/>
      <c r="W39" s="1541"/>
      <c r="X39" s="1519"/>
      <c r="Y39" s="1541"/>
      <c r="Z39" s="1541"/>
      <c r="AA39" s="1541"/>
      <c r="AB39" s="658"/>
      <c r="AC39" s="262" t="s">
        <v>991</v>
      </c>
      <c r="AD39" s="263"/>
      <c r="AE39" s="264"/>
      <c r="AF39" s="264"/>
      <c r="AG39" s="264"/>
      <c r="AH39" s="264"/>
      <c r="AI39" s="264"/>
      <c r="AJ39" s="264"/>
      <c r="AK39" s="264"/>
      <c r="AL39" s="264"/>
      <c r="AM39" s="264"/>
      <c r="AN39" s="264"/>
      <c r="AO39" s="264"/>
      <c r="AP39" s="264"/>
      <c r="AQ39" s="264"/>
      <c r="AR39" s="264"/>
      <c r="AS39" s="264"/>
      <c r="AT39" s="264"/>
      <c r="AU39" s="264"/>
      <c r="AV39" s="264"/>
      <c r="AW39" s="264"/>
      <c r="AX39" s="264"/>
      <c r="AY39" s="264"/>
      <c r="AZ39" s="264"/>
      <c r="BA39" s="264"/>
      <c r="BB39" s="264"/>
      <c r="BC39" s="265"/>
      <c r="BD39" s="1541"/>
      <c r="BE39" s="1541"/>
      <c r="BF39" s="1038"/>
      <c r="BG39" s="1038"/>
      <c r="BH39" s="1038"/>
      <c r="BJ39" s="263"/>
      <c r="BK39" s="263"/>
    </row>
    <row customHeight="1" ht="10.725000000000001" hidden="1">
      <c r="A40" s="1328"/>
      <c r="B40" s="2912"/>
      <c r="C40" s="923"/>
      <c r="D40" s="1328"/>
      <c r="E40" s="1055">
        <v>11</v>
      </c>
      <c r="F40" s="50" cm="1" t="str">
        <f t="array" ref="F40:F40">OFFSET(E40,-1,1)</f>
        <v>0</v>
      </c>
      <c r="G40" s="1528"/>
      <c r="H40" s="1528"/>
      <c r="I40" s="1328"/>
      <c r="J40" s="1328"/>
      <c r="K40" s="1328"/>
      <c r="L40" s="1328"/>
      <c r="M40" s="1328"/>
      <c r="N40" s="1328"/>
      <c r="O40" s="1328"/>
      <c r="P40" s="1328"/>
      <c r="Q40" s="1328"/>
      <c r="R40" s="1328"/>
      <c r="S40" s="1328"/>
      <c r="T40" s="1436">
        <f>AND(F40&gt;0,Y40&gt;0)</f>
        <v>0</v>
      </c>
      <c r="U40" s="1328"/>
      <c r="V40" s="1328"/>
      <c r="W40" s="856" t="s">
        <v>173</v>
      </c>
      <c r="X40" s="1324"/>
      <c r="Y40" s="1617">
        <v>0</v>
      </c>
      <c r="Z40" s="1324"/>
      <c r="AA40" s="1630" t="s">
        <v>174</v>
      </c>
      <c r="AB40" s="1577" t="str">
        <f>"7."&amp;Y40</f>
        <v>7.0</v>
      </c>
      <c r="AC40" s="2913"/>
      <c r="AD40" s="1540"/>
      <c r="AE40" s="351"/>
      <c r="AF40" s="351"/>
      <c r="AG40" s="351"/>
      <c r="AH40" s="351"/>
      <c r="AI40" s="351"/>
      <c r="AJ40" s="351"/>
      <c r="AK40" s="351"/>
      <c r="AL40" s="351"/>
      <c r="AM40" s="351"/>
      <c r="AN40" s="351"/>
      <c r="AO40" s="351"/>
      <c r="AP40" s="351"/>
      <c r="AQ40" s="351"/>
      <c r="AR40" s="351"/>
      <c r="AS40" s="351"/>
      <c r="AT40" s="351"/>
      <c r="AU40" s="351"/>
      <c r="AV40" s="351"/>
      <c r="AW40" s="351"/>
      <c r="AX40" s="351"/>
      <c r="AY40" s="351"/>
      <c r="AZ40" s="351"/>
      <c r="BA40" s="351"/>
      <c r="BB40" s="351"/>
      <c r="BC40" s="351"/>
      <c r="BD40" s="2914"/>
      <c r="BE40" s="1328"/>
      <c r="BF40" s="1054"/>
      <c r="BG40" s="1054"/>
      <c r="BH40" s="1054"/>
      <c r="BI40" s="1054"/>
      <c r="BJ40" s="1055"/>
      <c r="BK40" s="1055"/>
    </row>
    <row s="1541" customFormat="1" customHeight="1" ht="10.96875" hidden="1">
      <c r="A41" s="1541"/>
      <c r="B41" s="431"/>
      <c r="C41" s="486"/>
      <c r="D41" s="1541"/>
      <c r="E41" s="263">
        <v>11.25</v>
      </c>
      <c r="F41" s="50" cm="1" t="str">
        <f t="array" ref="F41:F41">OFFSET(E41,-1,1)</f>
        <v>0</v>
      </c>
      <c r="G41" s="122" t="s">
        <v>616</v>
      </c>
      <c r="H41" s="122" cm="1" t="str">
        <f t="array" ref="H41:H41">AC41</f>
        <v>0</v>
      </c>
      <c r="I41" s="1541"/>
      <c r="J41" s="1541"/>
      <c r="K41" s="1541"/>
      <c r="L41" s="1541"/>
      <c r="M41" s="1541"/>
      <c r="N41" s="1541"/>
      <c r="O41" s="1541"/>
      <c r="P41" s="1541"/>
      <c r="Q41" s="1541"/>
      <c r="R41" s="1541"/>
      <c r="S41" s="1541"/>
      <c r="T41" s="468" cm="1" t="str">
        <f t="array" ref="T41:T41">T40</f>
        <v>false</v>
      </c>
      <c r="U41" s="1541"/>
      <c r="V41" s="1541"/>
      <c r="W41" s="764"/>
      <c r="X41" s="1519"/>
      <c r="Y41" s="1519">
        <v>0</v>
      </c>
      <c r="Z41" s="1541"/>
      <c r="AA41" s="1516" t="s">
        <v>174</v>
      </c>
      <c r="AB41" s="85" t="str">
        <f>AB40&amp;".1"</f>
        <v>7.0.1</v>
      </c>
      <c r="AC41" s="2915"/>
      <c r="AD41" s="85" t="s">
        <v>936</v>
      </c>
      <c r="AE41" s="187">
        <f>AE42+AE45</f>
        <v>0</v>
      </c>
      <c r="AF41" s="187">
        <f>AF42+AF45</f>
        <v>0</v>
      </c>
      <c r="AG41" s="187">
        <f>AG42+AG45</f>
        <v>0</v>
      </c>
      <c r="AH41" s="187">
        <f>AH42+AH45</f>
        <v>0</v>
      </c>
      <c r="AI41" s="187">
        <f>AI42+AI45</f>
        <v>0</v>
      </c>
      <c r="AJ41" s="187">
        <f>AJ42+AJ45</f>
        <v>0</v>
      </c>
      <c r="AK41" s="187">
        <f>AK42+AK45</f>
        <v>0</v>
      </c>
      <c r="AL41" s="187">
        <f>AL42+AL45</f>
        <v>0</v>
      </c>
      <c r="AM41" s="187">
        <f>AM42+AM45</f>
        <v>0</v>
      </c>
      <c r="AN41" s="187">
        <f>AN42+AN45</f>
        <v>0</v>
      </c>
      <c r="AO41" s="187">
        <f>AO42+AO45</f>
        <v>0</v>
      </c>
      <c r="AP41" s="187">
        <f>AP42+AP45</f>
        <v>0</v>
      </c>
      <c r="AQ41" s="187">
        <f>AQ42+AQ45</f>
        <v>0</v>
      </c>
      <c r="AR41" s="187">
        <f>AR42+AR45</f>
        <v>0</v>
      </c>
      <c r="AS41" s="187">
        <f>AS42+AS45</f>
        <v>0</v>
      </c>
      <c r="AT41" s="187">
        <f>AT42+AT45</f>
        <v>0</v>
      </c>
      <c r="AU41" s="187">
        <f>AU42+AU45</f>
        <v>0</v>
      </c>
      <c r="AV41" s="187">
        <f>AV42+AV45</f>
        <v>0</v>
      </c>
      <c r="AW41" s="187">
        <f>AW42+AW45</f>
        <v>0</v>
      </c>
      <c r="AX41" s="187">
        <f>AX42+AX45</f>
        <v>0</v>
      </c>
      <c r="AY41" s="187">
        <f>AY42+AY45</f>
        <v>0</v>
      </c>
      <c r="AZ41" s="187">
        <f>AZ42+AZ45</f>
        <v>0</v>
      </c>
      <c r="BA41" s="187">
        <f>BA42+BA45</f>
        <v>0</v>
      </c>
      <c r="BB41" s="187">
        <f>BB42+BB45</f>
        <v>0</v>
      </c>
      <c r="BC41" s="1928"/>
      <c r="BD41" s="1541"/>
      <c r="BE41" s="1541"/>
      <c r="BF41" s="1038" t="s">
        <v>992</v>
      </c>
      <c r="BG41" s="1038" t="s">
        <v>993</v>
      </c>
      <c r="BH41" s="1038" cm="1" t="str">
        <f t="array" ref="BH41:BH41">AC41</f>
        <v>0</v>
      </c>
      <c r="BI41" s="1541" cm="1" t="str">
        <f t="array" ref="BI41:BI41">AC40</f>
        <v>0</v>
      </c>
      <c r="BJ41" s="263"/>
      <c r="BK41" s="263" t="b">
        <v>1</v>
      </c>
    </row>
    <row s="1541" customFormat="1" customHeight="1" ht="10.96875" hidden="1">
      <c r="A42" s="1541"/>
      <c r="B42" s="431"/>
      <c r="C42" s="486"/>
      <c r="D42" s="1541"/>
      <c r="E42" s="263">
        <v>11.25</v>
      </c>
      <c r="F42" s="50" cm="1" t="str">
        <f t="array" ref="F42:F42">OFFSET(E42,-1,1)</f>
        <v>0</v>
      </c>
      <c r="G42" s="122" t="s">
        <v>800</v>
      </c>
      <c r="H42" s="122" cm="1" t="str">
        <f t="array" ref="H42:H42">H41</f>
        <v>0</v>
      </c>
      <c r="I42" s="1541"/>
      <c r="J42" s="1541"/>
      <c r="K42" s="1541"/>
      <c r="L42" s="1541"/>
      <c r="M42" s="1541"/>
      <c r="N42" s="1541"/>
      <c r="O42" s="1541"/>
      <c r="P42" s="1541"/>
      <c r="Q42" s="1541"/>
      <c r="R42" s="1541"/>
      <c r="S42" s="1541"/>
      <c r="T42" s="468" cm="1" t="str">
        <f t="array" ref="T42:T42">T41</f>
        <v>false</v>
      </c>
      <c r="U42" s="1541"/>
      <c r="V42" s="1541"/>
      <c r="W42" s="1541"/>
      <c r="X42" s="1519"/>
      <c r="Y42" s="1519"/>
      <c r="Z42" s="1541"/>
      <c r="AA42" s="1516"/>
      <c r="AB42" s="85" t="str">
        <f>AB40&amp;".2"</f>
        <v>7.0.2</v>
      </c>
      <c r="AC42" s="188" t="s">
        <v>994</v>
      </c>
      <c r="AD42" s="85" t="s">
        <v>995</v>
      </c>
      <c r="AE42" s="1817"/>
      <c r="AF42" s="1817"/>
      <c r="AG42" s="1817"/>
      <c r="AH42" s="1817"/>
      <c r="AI42" s="1817"/>
      <c r="AJ42" s="1817"/>
      <c r="AK42" s="1817"/>
      <c r="AL42" s="1817"/>
      <c r="AM42" s="1817"/>
      <c r="AN42" s="1817"/>
      <c r="AO42" s="1817"/>
      <c r="AP42" s="1817"/>
      <c r="AQ42" s="1817"/>
      <c r="AR42" s="1817"/>
      <c r="AS42" s="1817"/>
      <c r="AT42" s="1817"/>
      <c r="AU42" s="1817"/>
      <c r="AV42" s="1817"/>
      <c r="AW42" s="1817"/>
      <c r="AX42" s="1817"/>
      <c r="AY42" s="1817"/>
      <c r="AZ42" s="1817"/>
      <c r="BA42" s="1817"/>
      <c r="BB42" s="1817"/>
      <c r="BC42" s="1928"/>
      <c r="BD42" s="1541"/>
      <c r="BE42" s="1541"/>
      <c r="BF42" s="1038" t="s">
        <v>996</v>
      </c>
      <c r="BG42" s="1038" t="s">
        <v>993</v>
      </c>
      <c r="BH42" s="1038" cm="1" t="str">
        <f t="array" ref="BH42:BH42">BH41</f>
        <v>0</v>
      </c>
      <c r="BI42" s="1541" cm="1" t="str">
        <f t="array" ref="BI42:BI42">BI41</f>
        <v>0</v>
      </c>
      <c r="BJ42" s="263"/>
      <c r="BK42" s="263"/>
    </row>
    <row s="1541" customFormat="1" customHeight="1" ht="10.96875" hidden="1">
      <c r="A43" s="1541"/>
      <c r="B43" s="431"/>
      <c r="C43" s="486"/>
      <c r="D43" s="1541"/>
      <c r="E43" s="263">
        <v>11.25</v>
      </c>
      <c r="F43" s="50" cm="1" t="str">
        <f t="array" ref="F43:F43">OFFSET(E43,-1,1)</f>
        <v>0</v>
      </c>
      <c r="G43" s="122" t="s">
        <v>997</v>
      </c>
      <c r="H43" s="122" cm="1" t="str">
        <f t="array" ref="H43:H43">H42</f>
        <v>0</v>
      </c>
      <c r="I43" s="1541"/>
      <c r="J43" s="1541"/>
      <c r="K43" s="1541"/>
      <c r="L43" s="1541"/>
      <c r="M43" s="1541"/>
      <c r="N43" s="1541"/>
      <c r="O43" s="1541"/>
      <c r="P43" s="1541"/>
      <c r="Q43" s="1541"/>
      <c r="R43" s="1541"/>
      <c r="S43" s="1541"/>
      <c r="T43" s="468" cm="1" t="str">
        <f t="array" ref="T43:T43">T42</f>
        <v>false</v>
      </c>
      <c r="U43" s="1541"/>
      <c r="V43" s="1541"/>
      <c r="W43" s="1541"/>
      <c r="X43" s="1519"/>
      <c r="Y43" s="1519"/>
      <c r="Z43" s="1541"/>
      <c r="AA43" s="1516"/>
      <c r="AB43" s="85" t="str">
        <f>AB40&amp;".3"</f>
        <v>7.0.3</v>
      </c>
      <c r="AC43" s="328" t="s">
        <v>986</v>
      </c>
      <c r="AD43" s="88" t="s">
        <v>978</v>
      </c>
      <c r="AE43" s="187">
        <f>IF(OR(AND(AE42&lt;&gt;0,AE44=0),AND(AE42=0,AE44&lt;&gt;0)),"Ошибка",IF(AE44=0,0,AE42/AE44))</f>
        <v>0</v>
      </c>
      <c r="AF43" s="187">
        <f>IF(OR(AND(AF42&lt;&gt;0,AF44=0),AND(AF42=0,AF44&lt;&gt;0)),"Ошибка",IF(AF44=0,0,AF42/AF44))</f>
        <v>0</v>
      </c>
      <c r="AG43" s="187">
        <f>IF(OR(AND(AG42&lt;&gt;0,AG44=0),AND(AG42=0,AG44&lt;&gt;0)),"Ошибка",IF(AG44=0,0,AG42/AG44))</f>
        <v>0</v>
      </c>
      <c r="AH43" s="187">
        <f>IF(OR(AND(AH42&lt;&gt;0,AH44=0),AND(AH42=0,AH44&lt;&gt;0)),"Ошибка",IF(AH44=0,0,AH42/AH44))</f>
        <v>0</v>
      </c>
      <c r="AI43" s="187">
        <f>IF(OR(AND(AI42&lt;&gt;0,AI44=0),AND(AI42=0,AI44&lt;&gt;0)),"Ошибка",IF(AI44=0,0,AI42/AI44))</f>
        <v>0</v>
      </c>
      <c r="AJ43" s="187">
        <f>IF(OR(AND(AJ42&lt;&gt;0,AJ44=0),AND(AJ42=0,AJ44&lt;&gt;0)),"Ошибка",IF(AJ44=0,0,AJ42/AJ44))</f>
        <v>0</v>
      </c>
      <c r="AK43" s="187">
        <f>IF(OR(AND(AK42&lt;&gt;0,AK44=0),AND(AK42=0,AK44&lt;&gt;0)),"Ошибка",IF(AK44=0,0,AK42/AK44))</f>
        <v>0</v>
      </c>
      <c r="AL43" s="187">
        <f>IF(OR(AND(AL42&lt;&gt;0,AL44=0),AND(AL42=0,AL44&lt;&gt;0)),"Ошибка",IF(AL44=0,0,AL42/AL44))</f>
        <v>0</v>
      </c>
      <c r="AM43" s="187">
        <f>IF(OR(AND(AM42&lt;&gt;0,AM44=0),AND(AM42=0,AM44&lt;&gt;0)),"Ошибка",IF(AM44=0,0,AM42/AM44))</f>
        <v>0</v>
      </c>
      <c r="AN43" s="187">
        <f>IF(OR(AND(AN42&lt;&gt;0,AN44=0),AND(AN42=0,AN44&lt;&gt;0)),"Ошибка",IF(AN44=0,0,AN42/AN44))</f>
        <v>0</v>
      </c>
      <c r="AO43" s="187">
        <f>IF(OR(AND(AO42&lt;&gt;0,AO44=0),AND(AO42=0,AO44&lt;&gt;0)),"Ошибка",IF(AO44=0,0,AO42/AO44))</f>
        <v>0</v>
      </c>
      <c r="AP43" s="187">
        <f>IF(OR(AND(AP42&lt;&gt;0,AP44=0),AND(AP42=0,AP44&lt;&gt;0)),"Ошибка",IF(AP44=0,0,AP42/AP44))</f>
        <v>0</v>
      </c>
      <c r="AQ43" s="187">
        <f>IF(OR(AND(AQ42&lt;&gt;0,AQ44=0),AND(AQ42=0,AQ44&lt;&gt;0)),"Ошибка",IF(AQ44=0,0,AQ42/AQ44))</f>
        <v>0</v>
      </c>
      <c r="AR43" s="187">
        <f>IF(OR(AND(AR42&lt;&gt;0,AR44=0),AND(AR42=0,AR44&lt;&gt;0)),"Ошибка",IF(AR44=0,0,AR42/AR44))</f>
        <v>0</v>
      </c>
      <c r="AS43" s="187">
        <f>IF(OR(AND(AS42&lt;&gt;0,AS44=0),AND(AS42=0,AS44&lt;&gt;0)),"Ошибка",IF(AS44=0,0,AS42/AS44))</f>
        <v>0</v>
      </c>
      <c r="AT43" s="187">
        <f>IF(OR(AND(AT42&lt;&gt;0,AT44=0),AND(AT42=0,AT44&lt;&gt;0)),"Ошибка",IF(AT44=0,0,AT42/AT44))</f>
        <v>0</v>
      </c>
      <c r="AU43" s="187">
        <f>IF(OR(AND(AU42&lt;&gt;0,AU44=0),AND(AU42=0,AU44&lt;&gt;0)),"Ошибка",IF(AU44=0,0,AU42/AU44))</f>
        <v>0</v>
      </c>
      <c r="AV43" s="187">
        <f>IF(OR(AND(AV42&lt;&gt;0,AV44=0),AND(AV42=0,AV44&lt;&gt;0)),"Ошибка",IF(AV44=0,0,AV42/AV44))</f>
        <v>0</v>
      </c>
      <c r="AW43" s="187">
        <f>IF(OR(AND(AW42&lt;&gt;0,AW44=0),AND(AW42=0,AW44&lt;&gt;0)),"Ошибка",IF(AW44=0,0,AW42/AW44))</f>
        <v>0</v>
      </c>
      <c r="AX43" s="187">
        <f>IF(OR(AND(AX42&lt;&gt;0,AX44=0),AND(AX42=0,AX44&lt;&gt;0)),"Ошибка",IF(AX44=0,0,AX42/AX44))</f>
        <v>0</v>
      </c>
      <c r="AY43" s="187">
        <f>IF(OR(AND(AY42&lt;&gt;0,AY44=0),AND(AY42=0,AY44&lt;&gt;0)),"Ошибка",IF(AY44=0,0,AY42/AY44))</f>
        <v>0</v>
      </c>
      <c r="AZ43" s="187">
        <f>IF(OR(AND(AZ42&lt;&gt;0,AZ44=0),AND(AZ42=0,AZ44&lt;&gt;0)),"Ошибка",IF(AZ44=0,0,AZ42/AZ44))</f>
        <v>0</v>
      </c>
      <c r="BA43" s="187">
        <f>IF(OR(AND(BA42&lt;&gt;0,BA44=0),AND(BA42=0,BA44&lt;&gt;0)),"Ошибка",IF(BA44=0,0,BA42/BA44))</f>
        <v>0</v>
      </c>
      <c r="BB43" s="187">
        <f>IF(OR(AND(BB42&lt;&gt;0,BB44=0),AND(BB42=0,BB44&lt;&gt;0)),"Ошибка",IF(BB44=0,0,BB42/BB44))</f>
        <v>0</v>
      </c>
      <c r="BC43" s="1928"/>
      <c r="BD43" s="1541"/>
      <c r="BE43" s="1541"/>
      <c r="BF43" s="1038" t="s">
        <v>998</v>
      </c>
      <c r="BG43" s="1038" t="s">
        <v>993</v>
      </c>
      <c r="BH43" s="1038" cm="1" t="str">
        <f t="array" ref="BH43:BH43">BH42</f>
        <v>0</v>
      </c>
      <c r="BI43" s="1541" cm="1" t="str">
        <f t="array" ref="BI43:BI43">BI42</f>
        <v>0</v>
      </c>
      <c r="BJ43" s="263"/>
      <c r="BK43" s="263"/>
    </row>
    <row s="1541" customFormat="1" customHeight="1" ht="10.96875" hidden="1">
      <c r="A44" s="1541"/>
      <c r="B44" s="431"/>
      <c r="C44" s="486"/>
      <c r="D44" s="1541"/>
      <c r="E44" s="263">
        <v>11.25</v>
      </c>
      <c r="F44" s="50" cm="1" t="str">
        <f t="array" ref="F44:F44">OFFSET(E44,-1,1)</f>
        <v>0</v>
      </c>
      <c r="G44" s="122" t="s">
        <v>999</v>
      </c>
      <c r="H44" s="122" cm="1" t="str">
        <f t="array" ref="H44:H44">H43</f>
        <v>0</v>
      </c>
      <c r="I44" s="1541"/>
      <c r="J44" s="1541"/>
      <c r="K44" s="1541"/>
      <c r="L44" s="1541"/>
      <c r="M44" s="1541"/>
      <c r="N44" s="1541"/>
      <c r="O44" s="1541"/>
      <c r="P44" s="1541"/>
      <c r="Q44" s="1541"/>
      <c r="R44" s="1541"/>
      <c r="S44" s="1541"/>
      <c r="T44" s="468" cm="1" t="str">
        <f t="array" ref="T44:T44">T43</f>
        <v>false</v>
      </c>
      <c r="U44" s="1541"/>
      <c r="V44" s="1541"/>
      <c r="W44" s="1541"/>
      <c r="X44" s="1519"/>
      <c r="Y44" s="1519"/>
      <c r="Z44" s="1541"/>
      <c r="AA44" s="1516"/>
      <c r="AB44" s="85" t="str">
        <f>AB40&amp;".4"</f>
        <v>7.0.4</v>
      </c>
      <c r="AC44" s="328" t="s">
        <v>988</v>
      </c>
      <c r="AD44" s="88" t="s">
        <v>972</v>
      </c>
      <c r="AE44" s="1817"/>
      <c r="AF44" s="1817"/>
      <c r="AG44" s="1817"/>
      <c r="AH44" s="1817"/>
      <c r="AI44" s="1817"/>
      <c r="AJ44" s="1817"/>
      <c r="AK44" s="1817"/>
      <c r="AL44" s="1817"/>
      <c r="AM44" s="1817"/>
      <c r="AN44" s="1817"/>
      <c r="AO44" s="1817"/>
      <c r="AP44" s="1817"/>
      <c r="AQ44" s="1817"/>
      <c r="AR44" s="1817"/>
      <c r="AS44" s="1817"/>
      <c r="AT44" s="1817"/>
      <c r="AU44" s="1817"/>
      <c r="AV44" s="1817"/>
      <c r="AW44" s="1817"/>
      <c r="AX44" s="1817"/>
      <c r="AY44" s="1817"/>
      <c r="AZ44" s="1817"/>
      <c r="BA44" s="1817"/>
      <c r="BB44" s="1817"/>
      <c r="BC44" s="1928"/>
      <c r="BD44" s="1541"/>
      <c r="BE44" s="1541"/>
      <c r="BF44" s="1038" t="s">
        <v>1000</v>
      </c>
      <c r="BG44" s="1038" t="s">
        <v>993</v>
      </c>
      <c r="BH44" s="1038" cm="1" t="str">
        <f t="array" ref="BH44:BH44">BH43</f>
        <v>0</v>
      </c>
      <c r="BI44" s="1541" cm="1" t="str">
        <f t="array" ref="BI44:BI44">BI43</f>
        <v>0</v>
      </c>
      <c r="BJ44" s="263"/>
      <c r="BK44" s="263"/>
    </row>
    <row s="1541" customFormat="1" customHeight="1" ht="10.96875" hidden="1">
      <c r="A45" s="1541"/>
      <c r="B45" s="431"/>
      <c r="C45" s="486"/>
      <c r="D45" s="1541"/>
      <c r="E45" s="263">
        <v>11.25</v>
      </c>
      <c r="F45" s="50" cm="1" t="str">
        <f t="array" ref="F45:F45">OFFSET(E45,-1,1)</f>
        <v>0</v>
      </c>
      <c r="G45" s="122" t="s">
        <v>803</v>
      </c>
      <c r="H45" s="122" cm="1" t="str">
        <f t="array" ref="H45:H45">H44</f>
        <v>0</v>
      </c>
      <c r="I45" s="1541"/>
      <c r="J45" s="1541"/>
      <c r="K45" s="1541"/>
      <c r="L45" s="1541"/>
      <c r="M45" s="1541"/>
      <c r="N45" s="1541"/>
      <c r="O45" s="1541"/>
      <c r="P45" s="1541"/>
      <c r="Q45" s="1541"/>
      <c r="R45" s="1541"/>
      <c r="S45" s="1541"/>
      <c r="T45" s="468" cm="1" t="str">
        <f t="array" ref="T45:T45">T44</f>
        <v>false</v>
      </c>
      <c r="U45" s="1541"/>
      <c r="V45" s="1541"/>
      <c r="W45" s="1541"/>
      <c r="X45" s="1519"/>
      <c r="Y45" s="1519"/>
      <c r="Z45" s="1541"/>
      <c r="AA45" s="1516"/>
      <c r="AB45" s="85" t="str">
        <f>AB40&amp;".5"</f>
        <v>7.0.5</v>
      </c>
      <c r="AC45" s="188" t="s">
        <v>1001</v>
      </c>
      <c r="AD45" s="85" t="s">
        <v>995</v>
      </c>
      <c r="AE45" s="1817"/>
      <c r="AF45" s="1817"/>
      <c r="AG45" s="1817"/>
      <c r="AH45" s="1817"/>
      <c r="AI45" s="1817"/>
      <c r="AJ45" s="1817"/>
      <c r="AK45" s="1817"/>
      <c r="AL45" s="1817"/>
      <c r="AM45" s="1817"/>
      <c r="AN45" s="1817"/>
      <c r="AO45" s="1817"/>
      <c r="AP45" s="1817"/>
      <c r="AQ45" s="1817"/>
      <c r="AR45" s="1817"/>
      <c r="AS45" s="1817"/>
      <c r="AT45" s="1817"/>
      <c r="AU45" s="1817"/>
      <c r="AV45" s="1817"/>
      <c r="AW45" s="1817"/>
      <c r="AX45" s="1817"/>
      <c r="AY45" s="1817"/>
      <c r="AZ45" s="1817"/>
      <c r="BA45" s="1817"/>
      <c r="BB45" s="1817"/>
      <c r="BC45" s="1928"/>
      <c r="BD45" s="1541"/>
      <c r="BE45" s="1541"/>
      <c r="BF45" s="1038" t="s">
        <v>1002</v>
      </c>
      <c r="BG45" s="1038" t="s">
        <v>993</v>
      </c>
      <c r="BH45" s="1038" cm="1" t="str">
        <f t="array" ref="BH45:BH45">BH44</f>
        <v>0</v>
      </c>
      <c r="BI45" s="1541" cm="1" t="str">
        <f t="array" ref="BI45:BI45">BI44</f>
        <v>0</v>
      </c>
      <c r="BJ45" s="263"/>
      <c r="BK45" s="263"/>
    </row>
    <row s="1541" customFormat="1" customHeight="1" ht="10.96875" hidden="1">
      <c r="A46" s="1541"/>
      <c r="B46" s="431"/>
      <c r="C46" s="486"/>
      <c r="D46" s="1541"/>
      <c r="E46" s="263">
        <v>11.25</v>
      </c>
      <c r="F46" s="50" cm="1" t="str">
        <f t="array" ref="F46:F46">OFFSET(E46,-1,1)</f>
        <v>0</v>
      </c>
      <c r="G46" s="122" t="s">
        <v>1003</v>
      </c>
      <c r="H46" s="122" cm="1" t="str">
        <f t="array" ref="H46:H46">H45</f>
        <v>0</v>
      </c>
      <c r="I46" s="1541"/>
      <c r="J46" s="1541"/>
      <c r="K46" s="1541"/>
      <c r="L46" s="1541"/>
      <c r="M46" s="1541"/>
      <c r="N46" s="1541"/>
      <c r="O46" s="1541"/>
      <c r="P46" s="1541"/>
      <c r="Q46" s="1541"/>
      <c r="R46" s="1541"/>
      <c r="S46" s="1541"/>
      <c r="T46" s="468" cm="1" t="str">
        <f t="array" ref="T46:T46">T45</f>
        <v>false</v>
      </c>
      <c r="U46" s="1541"/>
      <c r="V46" s="1541"/>
      <c r="W46" s="1541"/>
      <c r="X46" s="1519"/>
      <c r="Y46" s="1519"/>
      <c r="Z46" s="1541"/>
      <c r="AA46" s="1516"/>
      <c r="AB46" s="85" t="str">
        <f>AB40&amp;".6"</f>
        <v>7.0.6</v>
      </c>
      <c r="AC46" s="328" t="s">
        <v>1004</v>
      </c>
      <c r="AD46" s="88" t="s">
        <v>1005</v>
      </c>
      <c r="AE46" s="187">
        <f>IF(OR(AND(AE45&lt;&gt;0,AE47=0),AND(AE45=0,AE47&lt;&gt;0)),"Ошибка",IF(AE47=0,0,AE45/AE47*1000/12))</f>
        <v>0</v>
      </c>
      <c r="AF46" s="187">
        <f>IF(OR(AND(AF45&lt;&gt;0,AF47=0),AND(AF45=0,AF47&lt;&gt;0)),"Ошибка",IF(AF47=0,0,AF45/AF47*1000/12))</f>
        <v>0</v>
      </c>
      <c r="AG46" s="187">
        <f>IF(OR(AND(AG45&lt;&gt;0,AG47=0),AND(AG45=0,AG47&lt;&gt;0)),"Ошибка",IF(AG47=0,0,AG45/AG47*1000/12))</f>
        <v>0</v>
      </c>
      <c r="AH46" s="187">
        <f>IF(OR(AND(AH45&lt;&gt;0,AH47=0),AND(AH45=0,AH47&lt;&gt;0)),"Ошибка",IF(AH47=0,0,AH45/AH47*1000/12))</f>
        <v>0</v>
      </c>
      <c r="AI46" s="187">
        <f>IF(OR(AND(AI45&lt;&gt;0,AI47=0),AND(AI45=0,AI47&lt;&gt;0)),"Ошибка",IF(AI47=0,0,AI45/AI47*1000/12))</f>
        <v>0</v>
      </c>
      <c r="AJ46" s="187">
        <f>IF(OR(AND(AJ45&lt;&gt;0,AJ47=0),AND(AJ45=0,AJ47&lt;&gt;0)),"Ошибка",IF(AJ47=0,0,AJ45/AJ47*1000/12))</f>
        <v>0</v>
      </c>
      <c r="AK46" s="187">
        <f>IF(OR(AND(AK45&lt;&gt;0,AK47=0),AND(AK45=0,AK47&lt;&gt;0)),"Ошибка",IF(AK47=0,0,AK45/AK47*1000/12))</f>
        <v>0</v>
      </c>
      <c r="AL46" s="187">
        <f>IF(OR(AND(AL45&lt;&gt;0,AL47=0),AND(AL45=0,AL47&lt;&gt;0)),"Ошибка",IF(AL47=0,0,AL45/AL47*1000/12))</f>
        <v>0</v>
      </c>
      <c r="AM46" s="187">
        <f>IF(OR(AND(AM45&lt;&gt;0,AM47=0),AND(AM45=0,AM47&lt;&gt;0)),"Ошибка",IF(AM47=0,0,AM45/AM47*1000/12))</f>
        <v>0</v>
      </c>
      <c r="AN46" s="187">
        <f>IF(OR(AND(AN45&lt;&gt;0,AN47=0),AND(AN45=0,AN47&lt;&gt;0)),"Ошибка",IF(AN47=0,0,AN45/AN47*1000/12))</f>
        <v>0</v>
      </c>
      <c r="AO46" s="187">
        <f>IF(OR(AND(AO45&lt;&gt;0,AO47=0),AND(AO45=0,AO47&lt;&gt;0)),"Ошибка",IF(AO47=0,0,AO45/AO47*1000/12))</f>
        <v>0</v>
      </c>
      <c r="AP46" s="187">
        <f>IF(OR(AND(AP45&lt;&gt;0,AP47=0),AND(AP45=0,AP47&lt;&gt;0)),"Ошибка",IF(AP47=0,0,AP45/AP47*1000/12))</f>
        <v>0</v>
      </c>
      <c r="AQ46" s="187">
        <f>IF(OR(AND(AQ45&lt;&gt;0,AQ47=0),AND(AQ45=0,AQ47&lt;&gt;0)),"Ошибка",IF(AQ47=0,0,AQ45/AQ47*1000/12))</f>
        <v>0</v>
      </c>
      <c r="AR46" s="187">
        <f>IF(OR(AND(AR45&lt;&gt;0,AR47=0),AND(AR45=0,AR47&lt;&gt;0)),"Ошибка",IF(AR47=0,0,AR45/AR47*1000/12))</f>
        <v>0</v>
      </c>
      <c r="AS46" s="187">
        <f>IF(OR(AND(AS45&lt;&gt;0,AS47=0),AND(AS45=0,AS47&lt;&gt;0)),"Ошибка",IF(AS47=0,0,AS45/AS47*1000/12))</f>
        <v>0</v>
      </c>
      <c r="AT46" s="187">
        <f>IF(OR(AND(AT45&lt;&gt;0,AT47=0),AND(AT45=0,AT47&lt;&gt;0)),"Ошибка",IF(AT47=0,0,AT45/AT47*1000/12))</f>
        <v>0</v>
      </c>
      <c r="AU46" s="187">
        <f>IF(OR(AND(AU45&lt;&gt;0,AU47=0),AND(AU45=0,AU47&lt;&gt;0)),"Ошибка",IF(AU47=0,0,AU45/AU47*1000/12))</f>
        <v>0</v>
      </c>
      <c r="AV46" s="187">
        <f>IF(OR(AND(AV45&lt;&gt;0,AV47=0),AND(AV45=0,AV47&lt;&gt;0)),"Ошибка",IF(AV47=0,0,AV45/AV47*1000/12))</f>
        <v>0</v>
      </c>
      <c r="AW46" s="187">
        <f>IF(OR(AND(AW45&lt;&gt;0,AW47=0),AND(AW45=0,AW47&lt;&gt;0)),"Ошибка",IF(AW47=0,0,AW45/AW47*1000/12))</f>
        <v>0</v>
      </c>
      <c r="AX46" s="187">
        <f>IF(OR(AND(AX45&lt;&gt;0,AX47=0),AND(AX45=0,AX47&lt;&gt;0)),"Ошибка",IF(AX47=0,0,AX45/AX47*1000/12))</f>
        <v>0</v>
      </c>
      <c r="AY46" s="187">
        <f>IF(OR(AND(AY45&lt;&gt;0,AY47=0),AND(AY45=0,AY47&lt;&gt;0)),"Ошибка",IF(AY47=0,0,AY45/AY47*1000/12))</f>
        <v>0</v>
      </c>
      <c r="AZ46" s="187">
        <f>IF(OR(AND(AZ45&lt;&gt;0,AZ47=0),AND(AZ45=0,AZ47&lt;&gt;0)),"Ошибка",IF(AZ47=0,0,AZ45/AZ47*1000/12))</f>
        <v>0</v>
      </c>
      <c r="BA46" s="187">
        <f>IF(OR(AND(BA45&lt;&gt;0,BA47=0),AND(BA45=0,BA47&lt;&gt;0)),"Ошибка",IF(BA47=0,0,BA45/BA47*1000/12))</f>
        <v>0</v>
      </c>
      <c r="BB46" s="187">
        <f>IF(OR(AND(BB45&lt;&gt;0,BB47=0),AND(BB45=0,BB47&lt;&gt;0)),"Ошибка",IF(BB47=0,0,BB45/BB47*1000/12))</f>
        <v>0</v>
      </c>
      <c r="BC46" s="1928"/>
      <c r="BD46" s="1541"/>
      <c r="BE46" s="1541"/>
      <c r="BF46" s="1038" t="s">
        <v>1006</v>
      </c>
      <c r="BG46" s="1038" t="s">
        <v>993</v>
      </c>
      <c r="BH46" s="1038" cm="1" t="str">
        <f t="array" ref="BH46:BH46">BH45</f>
        <v>0</v>
      </c>
      <c r="BI46" s="1541" cm="1" t="str">
        <f t="array" ref="BI46:BI46">BI45</f>
        <v>0</v>
      </c>
      <c r="BJ46" s="263"/>
      <c r="BK46" s="263"/>
    </row>
    <row s="1541" customFormat="1" customHeight="1" ht="10.96875" hidden="1">
      <c r="A47" s="1541"/>
      <c r="B47" s="431"/>
      <c r="C47" s="486"/>
      <c r="D47" s="1541"/>
      <c r="E47" s="263">
        <v>11.25</v>
      </c>
      <c r="F47" s="50" cm="1" t="str">
        <f t="array" ref="F47:F47">OFFSET(E47,-1,1)</f>
        <v>0</v>
      </c>
      <c r="G47" s="122" t="s">
        <v>1007</v>
      </c>
      <c r="H47" s="122" cm="1" t="str">
        <f t="array" ref="H47:H47">H46</f>
        <v>0</v>
      </c>
      <c r="I47" s="1541"/>
      <c r="J47" s="1541"/>
      <c r="K47" s="1541"/>
      <c r="L47" s="1541"/>
      <c r="M47" s="1541"/>
      <c r="N47" s="1541"/>
      <c r="O47" s="1541"/>
      <c r="P47" s="1541"/>
      <c r="Q47" s="1541"/>
      <c r="R47" s="1541"/>
      <c r="S47" s="1541"/>
      <c r="T47" s="468" cm="1" t="str">
        <f t="array" ref="T47:T47">T46</f>
        <v>false</v>
      </c>
      <c r="U47" s="1541"/>
      <c r="V47" s="1541"/>
      <c r="W47" s="1541"/>
      <c r="X47" s="1519"/>
      <c r="Y47" s="1519"/>
      <c r="Z47" s="1541"/>
      <c r="AA47" s="1516"/>
      <c r="AB47" s="85" t="str">
        <f>AB40&amp;".7"</f>
        <v>7.0.7</v>
      </c>
      <c r="AC47" s="328" t="s">
        <v>1008</v>
      </c>
      <c r="AD47" s="88" t="s">
        <v>1009</v>
      </c>
      <c r="AE47" s="1817"/>
      <c r="AF47" s="1817"/>
      <c r="AG47" s="1817"/>
      <c r="AH47" s="1817"/>
      <c r="AI47" s="1817"/>
      <c r="AJ47" s="1817"/>
      <c r="AK47" s="1817"/>
      <c r="AL47" s="1817"/>
      <c r="AM47" s="1817"/>
      <c r="AN47" s="1817"/>
      <c r="AO47" s="1817"/>
      <c r="AP47" s="1817"/>
      <c r="AQ47" s="1817"/>
      <c r="AR47" s="1817"/>
      <c r="AS47" s="1817"/>
      <c r="AT47" s="1817"/>
      <c r="AU47" s="1817"/>
      <c r="AV47" s="1817"/>
      <c r="AW47" s="1817"/>
      <c r="AX47" s="1817"/>
      <c r="AY47" s="1817"/>
      <c r="AZ47" s="1817"/>
      <c r="BA47" s="1817"/>
      <c r="BB47" s="1817"/>
      <c r="BC47" s="1928"/>
      <c r="BD47" s="1541"/>
      <c r="BE47" s="1541"/>
      <c r="BF47" s="1038" t="s">
        <v>1010</v>
      </c>
      <c r="BG47" s="1038" t="s">
        <v>993</v>
      </c>
      <c r="BH47" s="1038" cm="1" t="str">
        <f t="array" ref="BH47:BH47">BH46</f>
        <v>0</v>
      </c>
      <c r="BI47" s="1541" cm="1" t="str">
        <f t="array" ref="BI47:BI47">BI46</f>
        <v>0</v>
      </c>
      <c r="BJ47" s="263"/>
      <c r="BK47" s="263"/>
    </row>
    <row s="1363" customFormat="1" customHeight="1" ht="14.625" hidden="1">
      <c r="A48" s="1363"/>
      <c r="B48" s="429"/>
      <c r="C48" s="486"/>
      <c r="D48" s="1363"/>
      <c r="E48" s="638">
        <v>15</v>
      </c>
      <c r="F48" s="50" cm="1" t="str">
        <f t="array" ref="F48:F48">OFFSET(E48,-1,1)</f>
        <v>0</v>
      </c>
      <c r="G48" s="1363"/>
      <c r="H48" s="965" t="s">
        <v>1011</v>
      </c>
      <c r="I48" s="1363"/>
      <c r="J48" s="1363"/>
      <c r="K48" s="1363"/>
      <c r="L48" s="1363"/>
      <c r="M48" s="1363"/>
      <c r="N48" s="1363"/>
      <c r="O48" s="1363"/>
      <c r="P48" s="1363"/>
      <c r="Q48" s="1363"/>
      <c r="R48" s="1363"/>
      <c r="S48" s="1363"/>
      <c r="T48" s="468">
        <f>F48&gt;0</f>
        <v>0</v>
      </c>
      <c r="U48" s="1363"/>
      <c r="V48" s="1363"/>
      <c r="W48" s="764" t="s">
        <v>1012</v>
      </c>
      <c r="X48" s="1519"/>
      <c r="Y48" s="1363"/>
      <c r="Z48" s="1541"/>
      <c r="AA48" s="1363"/>
      <c r="AB48" s="171"/>
      <c r="AC48" s="174" t="s">
        <v>1013</v>
      </c>
      <c r="AD48" s="172"/>
      <c r="AE48" s="172"/>
      <c r="AF48" s="172"/>
      <c r="AG48" s="172"/>
      <c r="AH48" s="172"/>
      <c r="AI48" s="172"/>
      <c r="AJ48" s="172"/>
      <c r="AK48" s="172"/>
      <c r="AL48" s="172"/>
      <c r="AM48" s="172"/>
      <c r="AN48" s="172"/>
      <c r="AO48" s="172"/>
      <c r="AP48" s="172"/>
      <c r="AQ48" s="172"/>
      <c r="AR48" s="172"/>
      <c r="AS48" s="172"/>
      <c r="AT48" s="172"/>
      <c r="AU48" s="172"/>
      <c r="AV48" s="172"/>
      <c r="AW48" s="172"/>
      <c r="AX48" s="172"/>
      <c r="AY48" s="172"/>
      <c r="AZ48" s="172"/>
      <c r="BA48" s="172"/>
      <c r="BB48" s="172"/>
      <c r="BC48" s="183"/>
      <c r="BD48" s="1363"/>
      <c r="BE48" s="1363"/>
      <c r="BF48" s="1026"/>
      <c r="BG48" s="1026"/>
      <c r="BH48" s="1026"/>
      <c r="BJ48" s="638" t="s">
        <v>993</v>
      </c>
      <c r="BK48" s="638"/>
    </row>
    <row s="2920" customFormat="1" customHeight="1" ht="28.921875">
      <c r="A49" s="1189"/>
      <c r="B49" s="431"/>
      <c r="C49" s="488"/>
      <c r="D49" s="1189"/>
      <c r="E49" s="637">
        <v>15</v>
      </c>
      <c r="F49" s="94" cm="1" t="str">
        <f t="array" ref="F49:F49">X49</f>
        <v>1</v>
      </c>
      <c r="G49" s="94"/>
      <c r="H49" s="94"/>
      <c r="I49" s="1189"/>
      <c r="J49" s="1189"/>
      <c r="K49" s="1189"/>
      <c r="L49" s="1189"/>
      <c r="M49" s="1189"/>
      <c r="N49" s="1189"/>
      <c r="O49" s="1189"/>
      <c r="P49" s="1189"/>
      <c r="Q49" s="1189"/>
      <c r="R49" s="1189"/>
      <c r="S49" s="1189"/>
      <c r="T49" s="468">
        <f>X49&gt;0</f>
        <v>1</v>
      </c>
      <c r="U49" s="1189"/>
      <c r="V49" s="140" cm="1" t="str">
        <f t="array" ref="V49:V49">'Сырье и материалы'!$AB$48</f>
        <v>Тариф 1 (Водоснабжение) - тариф на питьевую воду (Оказание услуг на территории: город Ленинск-Кузнецкий (ОКТМО: 32719000) - г Ленинск-Кузнецкий, г Полысаево)</v>
      </c>
      <c r="W49" s="1189"/>
      <c r="X49" s="1519" t="s">
        <v>290</v>
      </c>
      <c r="Y49" s="1189"/>
      <c r="Z49" s="1541"/>
      <c r="AA49" s="1189"/>
      <c r="AB49" s="179" cm="1" t="str">
        <f t="array" ref="AB49:AB49">'Сырье и материалы'!$AB$48</f>
        <v>Тариф 1 (Водоснабжение) - тариф на питьевую воду (Оказание услуг на территории: город Ленинск-Кузнецкий (ОКТМО: 32719000) - г Ленинск-Кузнецкий, г Полысаево)</v>
      </c>
      <c r="AC49" s="176"/>
      <c r="AD49" s="170"/>
      <c r="AE49" s="170"/>
      <c r="AF49" s="170"/>
      <c r="AG49" s="170"/>
      <c r="AH49" s="170"/>
      <c r="AI49" s="170"/>
      <c r="AJ49" s="170"/>
      <c r="AK49" s="170"/>
      <c r="AL49" s="170"/>
      <c r="AM49" s="170"/>
      <c r="AN49" s="170"/>
      <c r="AO49" s="170"/>
      <c r="AP49" s="170"/>
      <c r="AQ49" s="170"/>
      <c r="AR49" s="170"/>
      <c r="AS49" s="170"/>
      <c r="AT49" s="170"/>
      <c r="AU49" s="170"/>
      <c r="AV49" s="170"/>
      <c r="AW49" s="170"/>
      <c r="AX49" s="170"/>
      <c r="AY49" s="170"/>
      <c r="AZ49" s="170"/>
      <c r="BA49" s="170"/>
      <c r="BB49" s="170"/>
      <c r="BC49" s="170"/>
      <c r="BD49" s="1189"/>
      <c r="BE49" s="1189"/>
      <c r="BF49" s="1021"/>
      <c r="BG49" s="1021"/>
      <c r="BH49" s="1021"/>
      <c r="BJ49" s="635"/>
      <c r="BK49" s="635"/>
    </row>
    <row s="1191" customFormat="1" customHeight="1" ht="50.671875">
      <c r="A50" s="1541"/>
      <c r="B50" s="431"/>
      <c r="C50" s="486"/>
      <c r="D50" s="964"/>
      <c r="E50" s="263">
        <v>11.25</v>
      </c>
      <c r="F50" s="50" cm="1" t="str">
        <f t="array" ref="F50:F50">OFFSET(E50,-1,1)</f>
        <v>1</v>
      </c>
      <c r="G50" s="122" t="s">
        <v>344</v>
      </c>
      <c r="H50" s="122"/>
      <c r="I50" s="1541"/>
      <c r="J50" s="1541"/>
      <c r="K50" s="486" t="str">
        <f>F50&amp;"komm"</f>
        <v>1komm</v>
      </c>
      <c r="L50" s="924" cm="1" t="str">
        <f t="array" ref="L50:L50">BC50</f>
        <v>Пункты 90 и 95 "Методических указаний" (приказ ФСТ № 1746-э от 27.12.2013). Формулы (39.1), (39.2), (39.3).</v>
      </c>
      <c r="M50" s="1541"/>
      <c r="N50" s="1541"/>
      <c r="O50" s="1541"/>
      <c r="P50" s="1541"/>
      <c r="Q50" s="1541"/>
      <c r="R50" s="1541"/>
      <c r="S50" s="1541"/>
      <c r="T50" s="468" cm="1" t="str">
        <f t="array" ref="T50:T50">T49</f>
        <v>true</v>
      </c>
      <c r="U50" s="1541"/>
      <c r="V50" s="1541"/>
      <c r="W50" s="1541"/>
      <c r="X50" s="1519"/>
      <c r="Y50" s="1541"/>
      <c r="Z50" s="1541"/>
      <c r="AA50" s="1541"/>
      <c r="AB50" s="85" t="s">
        <v>290</v>
      </c>
      <c r="AC50" s="134" t="s">
        <v>935</v>
      </c>
      <c r="AD50" s="85" t="s">
        <v>936</v>
      </c>
      <c r="AE50" s="187">
        <f>IF(COUNTIF(AE55:AE90,"Ошибка")&gt;0,"Ошибка",SUMIF($AD55:$AD90,$AD50,AE55:AE90))</f>
        <v>165515.502199654</v>
      </c>
      <c r="AF50" s="187">
        <f>IF(COUNTIF(AF55:AF90,"Ошибка")&gt;0,"Ошибка",SUMIF($AD55:$AD90,$AD50,AF55:AF90))</f>
        <v>169094.54</v>
      </c>
      <c r="AG50" s="187">
        <f>IF(COUNTIF(AG55:AG90,"Ошибка")&gt;0,"Ошибка",SUMIF($AD55:$AD90,$AD50,AG55:AG90))</f>
        <v>148569.63</v>
      </c>
      <c r="AH50" s="187">
        <f>IF(COUNTIF(AH55:AH90,"Ошибка")&gt;0,"Ошибка",SUMIF($AD55:$AD90,$AD50,AH55:AH90))</f>
        <v>167046.93</v>
      </c>
      <c r="AI50" s="187">
        <f>IF(COUNTIF(AI55:AI90,"Ошибка")&gt;0,"Ошибка",SUMIF($AD55:$AD90,$AD50,AI55:AI90))</f>
        <v>178534.03</v>
      </c>
      <c r="AJ50" s="187">
        <f>IF(COUNTIF(AJ55:AJ90,"Ошибка")&gt;0,"Ошибка",SUMIF($AD55:$AD90,$AD50,AJ55:AJ90))</f>
        <v>0</v>
      </c>
      <c r="AK50" s="187">
        <f>IF(COUNTIF(AK55:AK90,"Ошибка")&gt;0,"Ошибка",SUMIF($AD55:$AD90,$AD50,AK55:AK90))</f>
        <v>0</v>
      </c>
      <c r="AL50" s="187">
        <f>IF(COUNTIF(AL55:AL90,"Ошибка")&gt;0,"Ошибка",SUMIF($AD55:$AD90,$AD50,AL55:AL90))</f>
        <v>0</v>
      </c>
      <c r="AM50" s="187">
        <f>IF(COUNTIF(AM55:AM90,"Ошибка")&gt;0,"Ошибка",SUMIF($AD55:$AD90,$AD50,AM55:AM90))</f>
        <v>0</v>
      </c>
      <c r="AN50" s="187">
        <f>IF(COUNTIF(AN55:AN90,"Ошибка")&gt;0,"Ошибка",SUMIF($AD55:$AD90,$AD50,AN55:AN90))</f>
        <v>0</v>
      </c>
      <c r="AO50" s="187">
        <f>IF(COUNTIF(AO55:AO90,"Ошибка")&gt;0,"Ошибка",SUMIF($AD55:$AD90,$AD50,AO55:AO90))</f>
        <v>0</v>
      </c>
      <c r="AP50" s="187">
        <f>IF(COUNTIF(AP55:AP90,"Ошибка")&gt;0,"Ошибка",SUMIF($AD55:$AD90,$AD50,AP55:AP90))</f>
        <v>0</v>
      </c>
      <c r="AQ50" s="187">
        <f>IF(COUNTIF(AQ55:AQ90,"Ошибка")&gt;0,"Ошибка",SUMIF($AD55:$AD90,$AD50,AQ55:AQ90))</f>
        <v>0</v>
      </c>
      <c r="AR50" s="187">
        <f>IF(COUNTIF(AR55:AR90,"Ошибка")&gt;0,"Ошибка",SUMIF($AD55:$AD90,$AD50,AR55:AR90))</f>
        <v>0</v>
      </c>
      <c r="AS50" s="187">
        <f>IF(COUNTIF(AS55:AS90,"Ошибка")&gt;0,"Ошибка",SUMIF($AD55:$AD90,$AD50,AS55:AS90))</f>
        <v>209643.27</v>
      </c>
      <c r="AT50" s="187" t="str">
        <f>IF(COUNTIF(AT55:AT90,"Ошибка")&gt;0,"Ошибка",SUMIF($AD55:$AD90,$AD50,AT55:AT90))</f>
        <v>Ошибка</v>
      </c>
      <c r="AU50" s="187" t="str">
        <f>IF(COUNTIF(AU55:AU90,"Ошибка")&gt;0,"Ошибка",SUMIF($AD55:$AD90,$AD50,AU55:AU90))</f>
        <v>Ошибка</v>
      </c>
      <c r="AV50" s="187">
        <f>IF(COUNTIF(AV55:AV90,"Ошибка")&gt;0,"Ошибка",SUMIF($AD55:$AD90,$AD50,AV55:AV90))</f>
        <v>0</v>
      </c>
      <c r="AW50" s="187">
        <f>IF(COUNTIF(AW55:AW90,"Ошибка")&gt;0,"Ошибка",SUMIF($AD55:$AD90,$AD50,AW55:AW90))</f>
        <v>0</v>
      </c>
      <c r="AX50" s="187">
        <f>IF(COUNTIF(AX55:AX90,"Ошибка")&gt;0,"Ошибка",SUMIF($AD55:$AD90,$AD50,AX55:AX90))</f>
        <v>0</v>
      </c>
      <c r="AY50" s="187">
        <f>IF(COUNTIF(AY55:AY90,"Ошибка")&gt;0,"Ошибка",SUMIF($AD55:$AD90,$AD50,AY55:AY90))</f>
        <v>0</v>
      </c>
      <c r="AZ50" s="187">
        <f>IF(COUNTIF(AZ55:AZ90,"Ошибка")&gt;0,"Ошибка",SUMIF($AD55:$AD90,$AD50,AZ55:AZ90))</f>
        <v>0</v>
      </c>
      <c r="BA50" s="187">
        <f>IF(COUNTIF(BA55:BA90,"Ошибка")&gt;0,"Ошибка",SUMIF($AD55:$AD90,$AD50,BA55:BA90))</f>
        <v>0</v>
      </c>
      <c r="BB50" s="187">
        <f>IF(COUNTIF(BB55:BB90,"Ошибка")&gt;0,"Ошибка",SUMIF($AD55:$AD90,$AD50,BB55:BB90))</f>
        <v>0</v>
      </c>
      <c r="BC50" s="196" t="s">
        <v>1014</v>
      </c>
      <c r="BD50" s="1541"/>
      <c r="BE50" s="1541"/>
      <c r="BF50" s="1038" t="s">
        <v>970</v>
      </c>
      <c r="BG50" s="1038"/>
      <c r="BH50" s="1038"/>
      <c r="BJ50" s="263"/>
      <c r="BK50" s="263"/>
    </row>
    <row s="1191" customFormat="1" customHeight="1" ht="70.921875">
      <c r="A51" s="1541"/>
      <c r="B51" s="431"/>
      <c r="C51" s="486"/>
      <c r="D51" s="1541"/>
      <c r="E51" s="263">
        <v>11.25</v>
      </c>
      <c r="F51" s="50" cm="1" t="str">
        <f t="array" ref="F51:F51">OFFSET(E51,-1,1)</f>
        <v>1</v>
      </c>
      <c r="G51" s="122" t="s">
        <v>345</v>
      </c>
      <c r="H51" s="122"/>
      <c r="I51" s="1541"/>
      <c r="J51" s="1541"/>
      <c r="K51" s="1541"/>
      <c r="L51" s="1541"/>
      <c r="M51" s="1541"/>
      <c r="N51" s="1541"/>
      <c r="O51" s="1541"/>
      <c r="P51" s="1541"/>
      <c r="Q51" s="1541"/>
      <c r="R51" s="1541"/>
      <c r="S51" s="1541"/>
      <c r="T51" s="468" cm="1" t="str">
        <f t="array" ref="T51:T51">T50</f>
        <v>true</v>
      </c>
      <c r="U51" s="1541"/>
      <c r="V51" s="1541"/>
      <c r="W51" s="1541"/>
      <c r="X51" s="1519"/>
      <c r="Y51" s="1541"/>
      <c r="Z51" s="1541"/>
      <c r="AA51" s="1541"/>
      <c r="AB51" s="85" t="s">
        <v>299</v>
      </c>
      <c r="AC51" s="134" t="s">
        <v>971</v>
      </c>
      <c r="AD51" s="88" t="s">
        <v>972</v>
      </c>
      <c r="AE51" s="187">
        <f>SUMIF(AD55:AD90,AD51,AE55:AE90)</f>
        <v>30579.6021697271</v>
      </c>
      <c r="AF51" s="187">
        <f>SUMIF(AD55:AD90,AD51,AF55:AF90)</f>
        <v>34731.06</v>
      </c>
      <c r="AG51" s="187">
        <f>SUMIF(AD55:AD90,AD51,AG55:AG90)</f>
        <v>25071.7</v>
      </c>
      <c r="AH51" s="187">
        <f>SUMIF(AD55:AD90,AD51,AH55:AH90)</f>
        <v>29026.32</v>
      </c>
      <c r="AI51" s="187">
        <f>SUMIF(AD55:AD90,AD51,AI55:AI90)</f>
        <v>28291.71</v>
      </c>
      <c r="AJ51" s="187">
        <f>SUMIF(AD55:AD90,AD51,AJ55:AJ90)</f>
        <v>0</v>
      </c>
      <c r="AK51" s="187">
        <f>SUMIF(AD55:AD90,AD51,AK55:AK90)</f>
        <v>0</v>
      </c>
      <c r="AL51" s="187">
        <f>SUMIF(AD55:AD90,AD51,AL55:AL90)</f>
        <v>0</v>
      </c>
      <c r="AM51" s="187">
        <f>SUMIF(AD55:AD90,AD51,AM55:AM90)</f>
        <v>0</v>
      </c>
      <c r="AN51" s="187">
        <f>SUMIF(AD55:AD90,AD51,AN55:AN90)</f>
        <v>0</v>
      </c>
      <c r="AO51" s="187">
        <f>SUMIF(AD55:AD90,AD51,AO55:AO90)</f>
        <v>0</v>
      </c>
      <c r="AP51" s="187">
        <f>SUMIF(AD55:AD90,AD51,AP55:AP90)</f>
        <v>0</v>
      </c>
      <c r="AQ51" s="187">
        <f>SUMIF(AD55:AD90,AD51,AQ55:AQ90)</f>
        <v>0</v>
      </c>
      <c r="AR51" s="187">
        <f>SUMIF(AD55:AD90,AD51,AR55:AR90)</f>
        <v>0</v>
      </c>
      <c r="AS51" s="187">
        <f>SUMIF(AD55:AD90,AD51,AS55:AS90)</f>
        <v>29386.28</v>
      </c>
      <c r="AT51" s="187">
        <f>SUMIF(AD55:AD90,AD51,AT55:AT90)</f>
        <v>29386.28</v>
      </c>
      <c r="AU51" s="187">
        <f>SUMIF(AD55:AD90,AD51,AU55:AU90)</f>
        <v>29386.28</v>
      </c>
      <c r="AV51" s="187">
        <f>SUMIF(AD55:AD90,AD51,AV55:AV90)</f>
        <v>0</v>
      </c>
      <c r="AW51" s="187">
        <f>SUMIF(AD55:AD90,AD51,AW55:AW90)</f>
        <v>0</v>
      </c>
      <c r="AX51" s="187">
        <f>SUMIF(AD55:AD90,AD51,AX55:AX90)</f>
        <v>0</v>
      </c>
      <c r="AY51" s="187">
        <f>SUMIF(AD55:AD90,AD51,AY55:AY90)</f>
        <v>0</v>
      </c>
      <c r="AZ51" s="187">
        <f>SUMIF(AD55:AD90,AD51,AZ55:AZ90)</f>
        <v>0</v>
      </c>
      <c r="BA51" s="187">
        <f>SUMIF(AD55:AD90,AD51,BA55:BA90)</f>
        <v>0</v>
      </c>
      <c r="BB51" s="187">
        <f>SUMIF(AD55:AD90,AD51,BB55:BB90)</f>
        <v>0</v>
      </c>
      <c r="BC51" s="196" t="s">
        <v>1015</v>
      </c>
      <c r="BD51" s="1541"/>
      <c r="BE51" s="1541"/>
      <c r="BF51" s="1038" t="s">
        <v>973</v>
      </c>
      <c r="BG51" s="1038"/>
      <c r="BH51" s="1038"/>
      <c r="BJ51" s="263"/>
      <c r="BK51" s="263"/>
    </row>
    <row s="1191" customFormat="1" customHeight="1" ht="74.671875">
      <c r="A52" s="1541"/>
      <c r="B52" s="431"/>
      <c r="C52" s="486"/>
      <c r="D52" s="1541"/>
      <c r="E52" s="263">
        <v>11.25</v>
      </c>
      <c r="F52" s="50" cm="1" t="str">
        <f t="array" ref="F52:F52">OFFSET(E52,-1,1)</f>
        <v>1</v>
      </c>
      <c r="G52" s="122" t="s">
        <v>346</v>
      </c>
      <c r="H52" s="122"/>
      <c r="I52" s="1541"/>
      <c r="J52" s="1541"/>
      <c r="K52" s="1541"/>
      <c r="L52" s="1541"/>
      <c r="M52" s="1541"/>
      <c r="N52" s="1541"/>
      <c r="O52" s="1541"/>
      <c r="P52" s="1541"/>
      <c r="Q52" s="1541"/>
      <c r="R52" s="1541"/>
      <c r="S52" s="1541"/>
      <c r="T52" s="468" cm="1" t="str">
        <f t="array" ref="T52:T52">T51</f>
        <v>true</v>
      </c>
      <c r="U52" s="1541"/>
      <c r="V52" s="1541"/>
      <c r="W52" s="1541"/>
      <c r="X52" s="1519"/>
      <c r="Y52" s="1541"/>
      <c r="Z52" s="1541"/>
      <c r="AA52" s="1541"/>
      <c r="AB52" s="85" t="s">
        <v>234</v>
      </c>
      <c r="AC52" s="134" t="s">
        <v>974</v>
      </c>
      <c r="AD52" s="88" t="s">
        <v>975</v>
      </c>
      <c r="AE52" s="235">
        <v>23089.74097</v>
      </c>
      <c r="AF52" s="235">
        <v>19481</v>
      </c>
      <c r="AG52" s="235">
        <v>19481</v>
      </c>
      <c r="AH52" s="235">
        <v>21871.6593</v>
      </c>
      <c r="AI52" s="235">
        <v>21101.88366</v>
      </c>
      <c r="AJ52" s="2907"/>
      <c r="AK52" s="2907"/>
      <c r="AL52" s="2907"/>
      <c r="AM52" s="2907"/>
      <c r="AN52" s="2907"/>
      <c r="AO52" s="2907"/>
      <c r="AP52" s="2907"/>
      <c r="AQ52" s="2907"/>
      <c r="AR52" s="2907"/>
      <c r="AS52" s="235">
        <v>21861.17267</v>
      </c>
      <c r="AT52" s="2907" cm="1" t="str">
        <f t="array" ref="AT52:AT52">AS52</f>
        <v>21861.17267</v>
      </c>
      <c r="AU52" s="2907" cm="1" t="str">
        <f t="array" ref="AU52:AU52">AT52</f>
        <v>21861.17267</v>
      </c>
      <c r="AV52" s="2907"/>
      <c r="AW52" s="2907"/>
      <c r="AX52" s="2907"/>
      <c r="AY52" s="2907"/>
      <c r="AZ52" s="2907"/>
      <c r="BA52" s="2907"/>
      <c r="BB52" s="2907"/>
      <c r="BC52" s="196" t="s">
        <v>1016</v>
      </c>
      <c r="BD52" s="1541"/>
      <c r="BE52" s="1541"/>
      <c r="BF52" s="1038" t="s">
        <v>976</v>
      </c>
      <c r="BG52" s="1038"/>
      <c r="BH52" s="1038"/>
      <c r="BJ52" s="263"/>
      <c r="BK52" s="263"/>
    </row>
    <row s="1191" customFormat="1" customHeight="1" ht="29.671875">
      <c r="A53" s="1541"/>
      <c r="B53" s="431"/>
      <c r="C53" s="486"/>
      <c r="D53" s="1541"/>
      <c r="E53" s="263">
        <v>11.25</v>
      </c>
      <c r="F53" s="50" cm="1" t="str">
        <f t="array" ref="F53:F53">OFFSET(E53,-1,1)</f>
        <v>1</v>
      </c>
      <c r="G53" s="122" t="s">
        <v>348</v>
      </c>
      <c r="H53" s="122"/>
      <c r="I53" s="1541"/>
      <c r="J53" s="1541"/>
      <c r="K53" s="1541"/>
      <c r="L53" s="1541"/>
      <c r="M53" s="1541"/>
      <c r="N53" s="1541"/>
      <c r="O53" s="1541"/>
      <c r="P53" s="1541"/>
      <c r="Q53" s="1541"/>
      <c r="R53" s="1541"/>
      <c r="S53" s="1541"/>
      <c r="T53" s="468" cm="1" t="str">
        <f t="array" ref="T53:T53">T52</f>
        <v>true</v>
      </c>
      <c r="U53" s="1541"/>
      <c r="V53" s="1541"/>
      <c r="W53" s="1541"/>
      <c r="X53" s="1519"/>
      <c r="Y53" s="1541"/>
      <c r="Z53" s="1541"/>
      <c r="AA53" s="1541"/>
      <c r="AB53" s="85" t="s">
        <v>451</v>
      </c>
      <c r="AC53" s="134" t="s">
        <v>977</v>
      </c>
      <c r="AD53" s="88" t="s">
        <v>978</v>
      </c>
      <c r="AE53" s="187">
        <f>IF(AE51=0,0,AE50/AE51)</f>
        <v>5.4126113636465</v>
      </c>
      <c r="AF53" s="187">
        <f>IF(AF51=0,0,AF50/AF51)</f>
        <v>4.86868353571702</v>
      </c>
      <c r="AG53" s="187">
        <f>IF(AG51=0,0,AG50/AG51)</f>
        <v>5.92579003418197</v>
      </c>
      <c r="AH53" s="187">
        <f>IF(AH51=0,0,AH50/AH51)</f>
        <v>5.75501579256344</v>
      </c>
      <c r="AI53" s="187">
        <f>IF(AI51=0,0,AI50/AI51)</f>
        <v>6.31047151267986</v>
      </c>
      <c r="AJ53" s="187">
        <f>IF(AJ51=0,0,AJ50/AJ51)</f>
        <v>0</v>
      </c>
      <c r="AK53" s="187">
        <f>IF(AK51=0,0,AK50/AK51)</f>
        <v>0</v>
      </c>
      <c r="AL53" s="187">
        <f>IF(AL51=0,0,AL50/AL51)</f>
        <v>0</v>
      </c>
      <c r="AM53" s="187">
        <f>IF(AM51=0,0,AM50/AM51)</f>
        <v>0</v>
      </c>
      <c r="AN53" s="187">
        <f>IF(AN51=0,0,AN50/AN51)</f>
        <v>0</v>
      </c>
      <c r="AO53" s="187">
        <f>IF(AO51=0,0,AO50/AO51)</f>
        <v>0</v>
      </c>
      <c r="AP53" s="187">
        <f>IF(AP51=0,0,AP50/AP51)</f>
        <v>0</v>
      </c>
      <c r="AQ53" s="187">
        <f>IF(AQ51=0,0,AQ50/AQ51)</f>
        <v>0</v>
      </c>
      <c r="AR53" s="187">
        <f>IF(AR51=0,0,AR50/AR51)</f>
        <v>0</v>
      </c>
      <c r="AS53" s="187">
        <f>IF(AS51=0,0,AS50/AS51)</f>
        <v>7.13405269397828</v>
      </c>
      <c r="AT53" s="187">
        <f>IF(AT51=0,0,AT50/AT51)</f>
      </c>
      <c r="AU53" s="187">
        <f>IF(AU51=0,0,AU50/AU51)</f>
      </c>
      <c r="AV53" s="187">
        <f>IF(AV51=0,0,AV50/AV51)</f>
        <v>0</v>
      </c>
      <c r="AW53" s="187">
        <f>IF(AW51=0,0,AW50/AW51)</f>
        <v>0</v>
      </c>
      <c r="AX53" s="187">
        <f>IF(AX51=0,0,AX50/AX51)</f>
        <v>0</v>
      </c>
      <c r="AY53" s="187">
        <f>IF(AY51=0,0,AY50/AY51)</f>
        <v>0</v>
      </c>
      <c r="AZ53" s="187">
        <f>IF(AZ51=0,0,AZ50/AZ51)</f>
        <v>0</v>
      </c>
      <c r="BA53" s="187">
        <f>IF(BA51=0,0,BA50/BA51)</f>
        <v>0</v>
      </c>
      <c r="BB53" s="187">
        <f>IF(BB51=0,0,BB50/BB51)</f>
        <v>0</v>
      </c>
      <c r="BC53" s="196"/>
      <c r="BD53" s="1541"/>
      <c r="BE53" s="1541"/>
      <c r="BF53" s="1038" t="s">
        <v>979</v>
      </c>
      <c r="BG53" s="1038"/>
      <c r="BH53" s="1038"/>
      <c r="BJ53" s="263"/>
      <c r="BK53" s="263"/>
    </row>
    <row s="1191" customFormat="1" customHeight="1" ht="79.921875">
      <c r="A54" s="1541"/>
      <c r="B54" s="431"/>
      <c r="C54" s="486"/>
      <c r="D54" s="1541"/>
      <c r="E54" s="263">
        <v>11.25</v>
      </c>
      <c r="F54" s="50" cm="1" t="str">
        <f t="array" ref="F54:F54">OFFSET(E54,-1,1)</f>
        <v>1</v>
      </c>
      <c r="G54" s="122" t="s">
        <v>347</v>
      </c>
      <c r="H54" s="122"/>
      <c r="I54" s="1541"/>
      <c r="J54" s="1541"/>
      <c r="K54" s="1541"/>
      <c r="L54" s="1541"/>
      <c r="M54" s="1541"/>
      <c r="N54" s="1541"/>
      <c r="O54" s="1541"/>
      <c r="P54" s="1541"/>
      <c r="Q54" s="1541"/>
      <c r="R54" s="1541"/>
      <c r="S54" s="1541"/>
      <c r="T54" s="468" cm="1" t="str">
        <f t="array" ref="T54:T54">T53</f>
        <v>true</v>
      </c>
      <c r="U54" s="1541"/>
      <c r="V54" s="1541"/>
      <c r="W54" s="1541"/>
      <c r="X54" s="1519"/>
      <c r="Y54" s="1541"/>
      <c r="Z54" s="1541"/>
      <c r="AA54" s="1541"/>
      <c r="AB54" s="85" t="s">
        <v>454</v>
      </c>
      <c r="AC54" s="134" t="s">
        <v>980</v>
      </c>
      <c r="AD54" s="88" t="s">
        <v>981</v>
      </c>
      <c r="AE54" s="311">
        <f>IF(AE52=0,0,AE51/AE52)</f>
        <v>1.32438047743621</v>
      </c>
      <c r="AF54" s="311">
        <f>IF(AF52=0,0,AF51/AF52)</f>
        <v>1.78281710384477</v>
      </c>
      <c r="AG54" s="311">
        <f>IF(AG52=0,0,AG51/AG52)</f>
        <v>1.2869821877727</v>
      </c>
      <c r="AH54" s="311">
        <f>IF(AH52=0,0,AH51/AH52)</f>
        <v>1.32712016047178</v>
      </c>
      <c r="AI54" s="311">
        <f>IF(AI52=0,0,AI51/AI52)</f>
        <v>1.34071964644696</v>
      </c>
      <c r="AJ54" s="311">
        <f>IF(AJ52=0,0,AJ51/AJ52)</f>
        <v>0</v>
      </c>
      <c r="AK54" s="311">
        <f>IF(AK52=0,0,AK51/AK52)</f>
        <v>0</v>
      </c>
      <c r="AL54" s="311">
        <f>IF(AL52=0,0,AL51/AL52)</f>
        <v>0</v>
      </c>
      <c r="AM54" s="311">
        <f>IF(AM52=0,0,AM51/AM52)</f>
        <v>0</v>
      </c>
      <c r="AN54" s="311">
        <f>IF(AN52=0,0,AN51/AN52)</f>
        <v>0</v>
      </c>
      <c r="AO54" s="311">
        <f>IF(AO52=0,0,AO51/AO52)</f>
        <v>0</v>
      </c>
      <c r="AP54" s="311">
        <f>IF(AP52=0,0,AP51/AP52)</f>
        <v>0</v>
      </c>
      <c r="AQ54" s="311">
        <f>IF(AQ52=0,0,AQ51/AQ52)</f>
        <v>0</v>
      </c>
      <c r="AR54" s="311">
        <f>IF(AR52=0,0,AR51/AR52)</f>
        <v>0</v>
      </c>
      <c r="AS54" s="311">
        <f>IF(AS52=0,0,AS51/AS52)</f>
        <v>1.34422249179371</v>
      </c>
      <c r="AT54" s="311">
        <f>IF(AT52=0,0,AT51/AT52)</f>
        <v>1.34422249179371</v>
      </c>
      <c r="AU54" s="311">
        <f>IF(AU52=0,0,AU51/AU52)</f>
        <v>1.34422249179371</v>
      </c>
      <c r="AV54" s="311">
        <f>IF(AV52=0,0,AV51/AV52)</f>
        <v>0</v>
      </c>
      <c r="AW54" s="311">
        <f>IF(AW52=0,0,AW51/AW52)</f>
        <v>0</v>
      </c>
      <c r="AX54" s="311">
        <f>IF(AX52=0,0,AX51/AX52)</f>
        <v>0</v>
      </c>
      <c r="AY54" s="311">
        <f>IF(AY52=0,0,AY51/AY52)</f>
        <v>0</v>
      </c>
      <c r="AZ54" s="311">
        <f>IF(AZ52=0,0,AZ51/AZ52)</f>
        <v>0</v>
      </c>
      <c r="BA54" s="311">
        <f>IF(BA52=0,0,BA51/BA52)</f>
        <v>0</v>
      </c>
      <c r="BB54" s="311">
        <f>IF(BB52=0,0,BB51/BB52)</f>
        <v>0</v>
      </c>
      <c r="BC54" s="196" t="s">
        <v>1017</v>
      </c>
      <c r="BD54" s="1541"/>
      <c r="BE54" s="1541"/>
      <c r="BF54" s="1038" t="s">
        <v>982</v>
      </c>
      <c r="BG54" s="1038"/>
      <c r="BH54" s="1038"/>
      <c r="BJ54" s="263"/>
      <c r="BK54" s="263"/>
    </row>
    <row s="1191" customFormat="1" customHeight="1" ht="20.671875">
      <c r="A55" s="1541"/>
      <c r="B55" s="431"/>
      <c r="C55" s="486"/>
      <c r="D55" s="1541"/>
      <c r="E55" s="263">
        <v>13</v>
      </c>
      <c r="F55" s="50" cm="1" t="str">
        <f t="array" ref="F55:F55">OFFSET(E55,-1,1)</f>
        <v>1</v>
      </c>
      <c r="G55" s="122"/>
      <c r="H55" s="122"/>
      <c r="I55" s="1541"/>
      <c r="J55" s="1541"/>
      <c r="K55" s="1541"/>
      <c r="L55" s="1541"/>
      <c r="M55" s="1541"/>
      <c r="N55" s="1541"/>
      <c r="O55" s="1541"/>
      <c r="P55" s="1541"/>
      <c r="Q55" s="1541"/>
      <c r="R55" s="1541"/>
      <c r="S55" s="1541"/>
      <c r="T55" s="468" cm="1" t="str">
        <f t="array" ref="T55:T55">T54</f>
        <v>true</v>
      </c>
      <c r="U55" s="1541"/>
      <c r="V55" s="1541"/>
      <c r="W55" s="1541"/>
      <c r="X55" s="1519"/>
      <c r="Y55" s="1541"/>
      <c r="Z55" s="1541"/>
      <c r="AA55" s="1541"/>
      <c r="AB55" s="658"/>
      <c r="AC55" s="262" t="s">
        <v>983</v>
      </c>
      <c r="AD55" s="263"/>
      <c r="AE55" s="264"/>
      <c r="AF55" s="264"/>
      <c r="AG55" s="264"/>
      <c r="AH55" s="264"/>
      <c r="AI55" s="264"/>
      <c r="AJ55" s="264"/>
      <c r="AK55" s="264"/>
      <c r="AL55" s="264"/>
      <c r="AM55" s="264"/>
      <c r="AN55" s="264"/>
      <c r="AO55" s="264"/>
      <c r="AP55" s="264"/>
      <c r="AQ55" s="264"/>
      <c r="AR55" s="264"/>
      <c r="AS55" s="264"/>
      <c r="AT55" s="264"/>
      <c r="AU55" s="264"/>
      <c r="AV55" s="264"/>
      <c r="AW55" s="264"/>
      <c r="AX55" s="264"/>
      <c r="AY55" s="264"/>
      <c r="AZ55" s="264"/>
      <c r="BA55" s="264"/>
      <c r="BB55" s="264"/>
      <c r="BC55" s="265"/>
      <c r="BD55" s="1541"/>
      <c r="BE55" s="1541"/>
      <c r="BF55" s="1038"/>
      <c r="BG55" s="1038"/>
      <c r="BH55" s="1038"/>
      <c r="BJ55" s="263"/>
      <c r="BK55" s="263"/>
    </row>
    <row customHeight="1" ht="10.725000000000001" hidden="1">
      <c r="A56" s="1328"/>
      <c r="B56" s="2912"/>
      <c r="C56" s="923"/>
      <c r="D56" s="1328"/>
      <c r="E56" s="1055">
        <v>11</v>
      </c>
      <c r="F56" s="50" cm="1" t="str">
        <f t="array" ref="F56:F56">OFFSET(E56,-1,1)</f>
        <v>1</v>
      </c>
      <c r="G56" s="1528"/>
      <c r="H56" s="1528"/>
      <c r="I56" s="1328"/>
      <c r="J56" s="1328"/>
      <c r="K56" s="1328"/>
      <c r="L56" s="1328"/>
      <c r="M56" s="1328"/>
      <c r="N56" s="1328"/>
      <c r="O56" s="1328"/>
      <c r="P56" s="1328"/>
      <c r="Q56" s="1328"/>
      <c r="R56" s="1328"/>
      <c r="S56" s="1328"/>
      <c r="T56" s="1436">
        <f>AND(F56&gt;0,Y56&gt;0)</f>
        <v>0</v>
      </c>
      <c r="U56" s="1328"/>
      <c r="V56" s="1328"/>
      <c r="W56" s="856" t="s">
        <v>173</v>
      </c>
      <c r="X56" s="1324"/>
      <c r="Y56" s="1617">
        <v>0</v>
      </c>
      <c r="Z56" s="1324"/>
      <c r="AA56" s="1630" t="s">
        <v>174</v>
      </c>
      <c r="AB56" s="1577" t="str">
        <f>"6."&amp;Y56</f>
        <v>6.0</v>
      </c>
      <c r="AC56" s="2913"/>
      <c r="AD56" s="1577"/>
      <c r="AE56" s="351"/>
      <c r="AF56" s="351"/>
      <c r="AG56" s="351"/>
      <c r="AH56" s="351"/>
      <c r="AI56" s="351"/>
      <c r="AJ56" s="351"/>
      <c r="AK56" s="351"/>
      <c r="AL56" s="351"/>
      <c r="AM56" s="351"/>
      <c r="AN56" s="351"/>
      <c r="AO56" s="351"/>
      <c r="AP56" s="351"/>
      <c r="AQ56" s="351"/>
      <c r="AR56" s="351"/>
      <c r="AS56" s="351"/>
      <c r="AT56" s="351"/>
      <c r="AU56" s="351"/>
      <c r="AV56" s="351"/>
      <c r="AW56" s="351"/>
      <c r="AX56" s="351"/>
      <c r="AY56" s="351"/>
      <c r="AZ56" s="351"/>
      <c r="BA56" s="351"/>
      <c r="BB56" s="351"/>
      <c r="BC56" s="351"/>
      <c r="BD56" s="2914"/>
      <c r="BE56" s="1328"/>
      <c r="BF56" s="1054"/>
      <c r="BG56" s="1054"/>
      <c r="BH56" s="1054"/>
      <c r="BI56" s="1054"/>
      <c r="BJ56" s="1055"/>
      <c r="BK56" s="1055"/>
    </row>
    <row s="1191" customFormat="1" customHeight="1" ht="10.5" hidden="1">
      <c r="A57" s="1541"/>
      <c r="B57" s="431"/>
      <c r="C57" s="486"/>
      <c r="D57" s="1541"/>
      <c r="E57" s="263">
        <v>11.25</v>
      </c>
      <c r="F57" s="50" cm="1" t="str">
        <f t="array" ref="F57:F57">OFFSET(E57,-1,1)</f>
        <v>1</v>
      </c>
      <c r="G57" s="122" t="s">
        <v>616</v>
      </c>
      <c r="H57" s="122" cm="1" t="str">
        <f t="array" ref="H57:H57">AC57</f>
        <v>0</v>
      </c>
      <c r="I57" s="1541"/>
      <c r="J57" s="1541"/>
      <c r="K57" s="1541"/>
      <c r="L57" s="1541"/>
      <c r="M57" s="1541"/>
      <c r="N57" s="1541"/>
      <c r="O57" s="1541"/>
      <c r="P57" s="1541"/>
      <c r="Q57" s="1541"/>
      <c r="R57" s="1541"/>
      <c r="S57" s="1541"/>
      <c r="T57" s="468" cm="1" t="str">
        <f t="array" ref="T57:T57">T56</f>
        <v>false</v>
      </c>
      <c r="U57" s="1541"/>
      <c r="V57" s="1541"/>
      <c r="W57" s="764"/>
      <c r="X57" s="1519"/>
      <c r="Y57" s="1519">
        <v>0</v>
      </c>
      <c r="Z57" s="1541"/>
      <c r="AA57" s="1516" t="s">
        <v>174</v>
      </c>
      <c r="AB57" s="85" t="str">
        <f>AB56&amp;".1"</f>
        <v>6.0.1</v>
      </c>
      <c r="AC57" s="2915"/>
      <c r="AD57" s="85" t="s">
        <v>936</v>
      </c>
      <c r="AE57" s="1817"/>
      <c r="AF57" s="1817"/>
      <c r="AG57" s="1817"/>
      <c r="AH57" s="1817"/>
      <c r="AI57" s="1817"/>
      <c r="AJ57" s="1817"/>
      <c r="AK57" s="1817"/>
      <c r="AL57" s="1817"/>
      <c r="AM57" s="1817"/>
      <c r="AN57" s="1817"/>
      <c r="AO57" s="1817"/>
      <c r="AP57" s="1817"/>
      <c r="AQ57" s="1817"/>
      <c r="AR57" s="1817"/>
      <c r="AS57" s="1817"/>
      <c r="AT57" s="1817"/>
      <c r="AU57" s="1817"/>
      <c r="AV57" s="1817"/>
      <c r="AW57" s="1817"/>
      <c r="AX57" s="1817"/>
      <c r="AY57" s="1817"/>
      <c r="AZ57" s="1817"/>
      <c r="BA57" s="1817"/>
      <c r="BB57" s="1817"/>
      <c r="BC57" s="1928"/>
      <c r="BD57" s="1541"/>
      <c r="BE57" s="1541"/>
      <c r="BF57" s="1038" t="s">
        <v>984</v>
      </c>
      <c r="BG57" s="1038" t="s">
        <v>985</v>
      </c>
      <c r="BH57" s="1038" cm="1" t="str">
        <f t="array" ref="BH57:BH57">AC57</f>
        <v>0</v>
      </c>
      <c r="BI57" s="1191" cm="1" t="str">
        <f t="array" ref="BI57:BI57">AC56</f>
        <v>0</v>
      </c>
      <c r="BJ57" s="263"/>
      <c r="BK57" s="263" t="b">
        <v>1</v>
      </c>
    </row>
    <row s="1191" customFormat="1" customHeight="1" ht="10.5" hidden="1">
      <c r="A58" s="1541"/>
      <c r="B58" s="431"/>
      <c r="C58" s="486"/>
      <c r="D58" s="1541"/>
      <c r="E58" s="263">
        <v>11.25</v>
      </c>
      <c r="F58" s="50" cm="1" t="str">
        <f t="array" ref="F58:F58">OFFSET(E58,-1,1)</f>
        <v>1</v>
      </c>
      <c r="G58" s="122" t="s">
        <v>793</v>
      </c>
      <c r="H58" s="122" cm="1" t="str">
        <f t="array" ref="H58:H58">H57</f>
        <v>0</v>
      </c>
      <c r="I58" s="1541"/>
      <c r="J58" s="1541"/>
      <c r="K58" s="1541"/>
      <c r="L58" s="1541"/>
      <c r="M58" s="1541"/>
      <c r="N58" s="1541"/>
      <c r="O58" s="1541"/>
      <c r="P58" s="1541"/>
      <c r="Q58" s="1541"/>
      <c r="R58" s="1541"/>
      <c r="S58" s="1541"/>
      <c r="T58" s="468" cm="1" t="str">
        <f t="array" ref="T58:T58">T57</f>
        <v>false</v>
      </c>
      <c r="U58" s="1541"/>
      <c r="V58" s="1541"/>
      <c r="W58" s="1541"/>
      <c r="X58" s="1519"/>
      <c r="Y58" s="1519"/>
      <c r="Z58" s="1541"/>
      <c r="AA58" s="1516"/>
      <c r="AB58" s="85" t="str">
        <f>AB56&amp;".2"</f>
        <v>6.0.2</v>
      </c>
      <c r="AC58" s="188" t="s">
        <v>986</v>
      </c>
      <c r="AD58" s="88" t="s">
        <v>978</v>
      </c>
      <c r="AE58" s="187">
        <f>IF(OR(AND(AE57&lt;&gt;0,AE59=0),AND(AE57=0,AE59&lt;&gt;0)),"Ошибка",IF(AE59=0,0,AE57/AE59))</f>
        <v>0</v>
      </c>
      <c r="AF58" s="187">
        <f>IF(OR(AND(AF57&lt;&gt;0,AF59=0),AND(AF57=0,AF59&lt;&gt;0)),"Ошибка",IF(AF59=0,0,AF57/AF59))</f>
        <v>0</v>
      </c>
      <c r="AG58" s="187">
        <f>IF(OR(AND(AG57&lt;&gt;0,AG59=0),AND(AG57=0,AG59&lt;&gt;0)),"Ошибка",IF(AG59=0,0,AG57/AG59))</f>
        <v>0</v>
      </c>
      <c r="AH58" s="187">
        <f>IF(OR(AND(AH57&lt;&gt;0,AH59=0),AND(AH57=0,AH59&lt;&gt;0)),"Ошибка",IF(AH59=0,0,AH57/AH59))</f>
        <v>0</v>
      </c>
      <c r="AI58" s="187">
        <f>IF(OR(AND(AI57&lt;&gt;0,AI59=0),AND(AI57=0,AI59&lt;&gt;0)),"Ошибка",IF(AI59=0,0,AI57/AI59))</f>
        <v>0</v>
      </c>
      <c r="AJ58" s="187">
        <f>IF(OR(AND(AJ57&lt;&gt;0,AJ59=0),AND(AJ57=0,AJ59&lt;&gt;0)),"Ошибка",IF(AJ59=0,0,AJ57/AJ59))</f>
        <v>0</v>
      </c>
      <c r="AK58" s="187">
        <f>IF(OR(AND(AK57&lt;&gt;0,AK59=0),AND(AK57=0,AK59&lt;&gt;0)),"Ошибка",IF(AK59=0,0,AK57/AK59))</f>
        <v>0</v>
      </c>
      <c r="AL58" s="187">
        <f>IF(OR(AND(AL57&lt;&gt;0,AL59=0),AND(AL57=0,AL59&lt;&gt;0)),"Ошибка",IF(AL59=0,0,AL57/AL59))</f>
        <v>0</v>
      </c>
      <c r="AM58" s="187">
        <f>IF(OR(AND(AM57&lt;&gt;0,AM59=0),AND(AM57=0,AM59&lt;&gt;0)),"Ошибка",IF(AM59=0,0,AM57/AM59))</f>
        <v>0</v>
      </c>
      <c r="AN58" s="187">
        <f>IF(OR(AND(AN57&lt;&gt;0,AN59=0),AND(AN57=0,AN59&lt;&gt;0)),"Ошибка",IF(AN59=0,0,AN57/AN59))</f>
        <v>0</v>
      </c>
      <c r="AO58" s="187">
        <f>IF(OR(AND(AO57&lt;&gt;0,AO59=0),AND(AO57=0,AO59&lt;&gt;0)),"Ошибка",IF(AO59=0,0,AO57/AO59))</f>
        <v>0</v>
      </c>
      <c r="AP58" s="187">
        <f>IF(OR(AND(AP57&lt;&gt;0,AP59=0),AND(AP57=0,AP59&lt;&gt;0)),"Ошибка",IF(AP59=0,0,AP57/AP59))</f>
        <v>0</v>
      </c>
      <c r="AQ58" s="187">
        <f>IF(OR(AND(AQ57&lt;&gt;0,AQ59=0),AND(AQ57=0,AQ59&lt;&gt;0)),"Ошибка",IF(AQ59=0,0,AQ57/AQ59))</f>
        <v>0</v>
      </c>
      <c r="AR58" s="187">
        <f>IF(OR(AND(AR57&lt;&gt;0,AR59=0),AND(AR57=0,AR59&lt;&gt;0)),"Ошибка",IF(AR59=0,0,AR57/AR59))</f>
        <v>0</v>
      </c>
      <c r="AS58" s="187">
        <f>IF(OR(AND(AS57&lt;&gt;0,AS59=0),AND(AS57=0,AS59&lt;&gt;0)),"Ошибка",IF(AS59=0,0,AS57/AS59))</f>
        <v>0</v>
      </c>
      <c r="AT58" s="187">
        <f>IF(OR(AND(AT57&lt;&gt;0,AT59=0),AND(AT57=0,AT59&lt;&gt;0)),"Ошибка",IF(AT59=0,0,AT57/AT59))</f>
        <v>0</v>
      </c>
      <c r="AU58" s="187">
        <f>IF(OR(AND(AU57&lt;&gt;0,AU59=0),AND(AU57=0,AU59&lt;&gt;0)),"Ошибка",IF(AU59=0,0,AU57/AU59))</f>
        <v>0</v>
      </c>
      <c r="AV58" s="187">
        <f>IF(OR(AND(AV57&lt;&gt;0,AV59=0),AND(AV57=0,AV59&lt;&gt;0)),"Ошибка",IF(AV59=0,0,AV57/AV59))</f>
        <v>0</v>
      </c>
      <c r="AW58" s="187">
        <f>IF(OR(AND(AW57&lt;&gt;0,AW59=0),AND(AW57=0,AW59&lt;&gt;0)),"Ошибка",IF(AW59=0,0,AW57/AW59))</f>
        <v>0</v>
      </c>
      <c r="AX58" s="187">
        <f>IF(OR(AND(AX57&lt;&gt;0,AX59=0),AND(AX57=0,AX59&lt;&gt;0)),"Ошибка",IF(AX59=0,0,AX57/AX59))</f>
        <v>0</v>
      </c>
      <c r="AY58" s="187">
        <f>IF(OR(AND(AY57&lt;&gt;0,AY59=0),AND(AY57=0,AY59&lt;&gt;0)),"Ошибка",IF(AY59=0,0,AY57/AY59))</f>
        <v>0</v>
      </c>
      <c r="AZ58" s="187">
        <f>IF(OR(AND(AZ57&lt;&gt;0,AZ59=0),AND(AZ57=0,AZ59&lt;&gt;0)),"Ошибка",IF(AZ59=0,0,AZ57/AZ59))</f>
        <v>0</v>
      </c>
      <c r="BA58" s="187">
        <f>IF(OR(AND(BA57&lt;&gt;0,BA59=0),AND(BA57=0,BA59&lt;&gt;0)),"Ошибка",IF(BA59=0,0,BA57/BA59))</f>
        <v>0</v>
      </c>
      <c r="BB58" s="187">
        <f>IF(OR(AND(BB57&lt;&gt;0,BB59=0),AND(BB57=0,BB59&lt;&gt;0)),"Ошибка",IF(BB59=0,0,BB57/BB59))</f>
        <v>0</v>
      </c>
      <c r="BC58" s="1928"/>
      <c r="BD58" s="1541"/>
      <c r="BE58" s="1541"/>
      <c r="BF58" s="1038" t="s">
        <v>987</v>
      </c>
      <c r="BG58" s="1038" t="s">
        <v>985</v>
      </c>
      <c r="BH58" s="1038" cm="1" t="str">
        <f t="array" ref="BH58:BH58">BH57</f>
        <v>0</v>
      </c>
      <c r="BI58" s="1191" cm="1" t="str">
        <f t="array" ref="BI58:BI58">BI57</f>
        <v>0</v>
      </c>
      <c r="BJ58" s="263"/>
      <c r="BK58" s="263"/>
    </row>
    <row s="1191" customFormat="1" customHeight="1" ht="10.5" hidden="1">
      <c r="A59" s="1541"/>
      <c r="B59" s="431"/>
      <c r="C59" s="486"/>
      <c r="D59" s="1541"/>
      <c r="E59" s="263">
        <v>11.25</v>
      </c>
      <c r="F59" s="50" cm="1" t="str">
        <f t="array" ref="F59:F59">OFFSET(E59,-1,1)</f>
        <v>1</v>
      </c>
      <c r="G59" s="122" t="s">
        <v>796</v>
      </c>
      <c r="H59" s="122" cm="1" t="str">
        <f t="array" ref="H59:H59">H58</f>
        <v>0</v>
      </c>
      <c r="I59" s="1541"/>
      <c r="J59" s="1541"/>
      <c r="K59" s="1541"/>
      <c r="L59" s="1541"/>
      <c r="M59" s="1541"/>
      <c r="N59" s="1541"/>
      <c r="O59" s="1541"/>
      <c r="P59" s="1541"/>
      <c r="Q59" s="1541"/>
      <c r="R59" s="1541"/>
      <c r="S59" s="1541"/>
      <c r="T59" s="468" cm="1" t="str">
        <f t="array" ref="T59:T59">T58</f>
        <v>false</v>
      </c>
      <c r="U59" s="1541"/>
      <c r="V59" s="1541"/>
      <c r="W59" s="1541"/>
      <c r="X59" s="1519"/>
      <c r="Y59" s="1519"/>
      <c r="Z59" s="1541"/>
      <c r="AA59" s="1516"/>
      <c r="AB59" s="85" t="str">
        <f>AB56&amp;".3"</f>
        <v>6.0.3</v>
      </c>
      <c r="AC59" s="188" t="s">
        <v>988</v>
      </c>
      <c r="AD59" s="88" t="s">
        <v>972</v>
      </c>
      <c r="AE59" s="1817"/>
      <c r="AF59" s="1817"/>
      <c r="AG59" s="1817"/>
      <c r="AH59" s="1817"/>
      <c r="AI59" s="1817"/>
      <c r="AJ59" s="1817"/>
      <c r="AK59" s="1817"/>
      <c r="AL59" s="1817"/>
      <c r="AM59" s="1817"/>
      <c r="AN59" s="1817"/>
      <c r="AO59" s="1817"/>
      <c r="AP59" s="1817"/>
      <c r="AQ59" s="1817"/>
      <c r="AR59" s="1817"/>
      <c r="AS59" s="1817"/>
      <c r="AT59" s="1817"/>
      <c r="AU59" s="1817"/>
      <c r="AV59" s="1817"/>
      <c r="AW59" s="1817"/>
      <c r="AX59" s="1817"/>
      <c r="AY59" s="1817"/>
      <c r="AZ59" s="1817"/>
      <c r="BA59" s="1817"/>
      <c r="BB59" s="1817"/>
      <c r="BC59" s="1928"/>
      <c r="BD59" s="1541"/>
      <c r="BE59" s="1541"/>
      <c r="BF59" s="1038" t="s">
        <v>989</v>
      </c>
      <c r="BG59" s="1038" t="s">
        <v>985</v>
      </c>
      <c r="BH59" s="1038" cm="1" t="str">
        <f t="array" ref="BH59:BH59">BH58</f>
        <v>0</v>
      </c>
      <c r="BI59" s="1191" cm="1" t="str">
        <f t="array" ref="BI59:BI59">BI58</f>
        <v>0</v>
      </c>
      <c r="BJ59" s="263"/>
      <c r="BK59" s="263"/>
    </row>
    <row customHeight="1" ht="37.048828125">
      <c r="B60" s="2912"/>
      <c r="C60" s="923"/>
      <c r="E60" s="1055">
        <v>11</v>
      </c>
      <c r="F60" s="50" cm="1" t="str">
        <f t="array" ref="F60:F60">OFFSET(E60,-1,1)</f>
        <v>1</v>
      </c>
      <c r="G60" s="1528"/>
      <c r="H60" s="1528"/>
      <c r="T60" s="1436">
        <f>AND(F60&gt;0,Y60&gt;0)</f>
        <v>1</v>
      </c>
      <c r="W60" s="856"/>
      <c r="X60" s="1324"/>
      <c r="Y60" s="1617" t="s">
        <v>290</v>
      </c>
      <c r="Z60" s="1324"/>
      <c r="AA60" s="1630" t="s">
        <v>174</v>
      </c>
      <c r="AB60" s="1577" t="str">
        <f>"6."&amp;Y60</f>
        <v>6.1</v>
      </c>
      <c r="AC60" s="2913" t="s">
        <v>1018</v>
      </c>
      <c r="AD60" s="1577"/>
      <c r="AE60" s="351"/>
      <c r="AF60" s="351"/>
      <c r="AG60" s="351"/>
      <c r="AH60" s="351"/>
      <c r="AI60" s="351"/>
      <c r="AJ60" s="351"/>
      <c r="AK60" s="351"/>
      <c r="AL60" s="351"/>
      <c r="AM60" s="351"/>
      <c r="AN60" s="351"/>
      <c r="AO60" s="351"/>
      <c r="AP60" s="351"/>
      <c r="AQ60" s="351"/>
      <c r="AR60" s="351"/>
      <c r="AS60" s="351"/>
      <c r="AT60" s="351"/>
      <c r="AU60" s="351"/>
      <c r="AV60" s="351"/>
      <c r="AW60" s="351"/>
      <c r="AX60" s="351"/>
      <c r="AY60" s="351"/>
      <c r="AZ60" s="351"/>
      <c r="BA60" s="351"/>
      <c r="BB60" s="351"/>
      <c r="BC60" s="351"/>
      <c r="BD60" s="2914"/>
      <c r="BF60" s="1054"/>
      <c r="BG60" s="1054"/>
      <c r="BH60" s="1054"/>
      <c r="BI60" s="1054"/>
      <c r="BJ60" s="1055"/>
      <c r="BK60" s="1055"/>
    </row>
    <row s="1191" customFormat="1" customHeight="1" ht="43.171875">
      <c r="A61" s="1541"/>
      <c r="B61" s="431"/>
      <c r="C61" s="486"/>
      <c r="D61" s="1541"/>
      <c r="E61" s="263">
        <v>11.25</v>
      </c>
      <c r="F61" s="50" cm="1" t="str">
        <f t="array" ref="F61:F61">OFFSET(E61,-1,1)</f>
        <v>1</v>
      </c>
      <c r="G61" s="122" t="s">
        <v>616</v>
      </c>
      <c r="H61" s="122" cm="1" t="str">
        <f t="array" ref="H61:H61">AC61</f>
        <v>НН</v>
      </c>
      <c r="I61" s="1541"/>
      <c r="J61" s="1541"/>
      <c r="K61" s="1541"/>
      <c r="L61" s="1541"/>
      <c r="M61" s="1541"/>
      <c r="N61" s="1541"/>
      <c r="O61" s="1541"/>
      <c r="P61" s="1541"/>
      <c r="Q61" s="1541"/>
      <c r="R61" s="1541"/>
      <c r="S61" s="1541"/>
      <c r="T61" s="468" cm="1" t="str">
        <f t="array" ref="T61:T61">T60</f>
        <v>true</v>
      </c>
      <c r="U61" s="1541"/>
      <c r="V61" s="1541"/>
      <c r="W61" s="764"/>
      <c r="X61" s="1519"/>
      <c r="Y61" s="1519" t="s">
        <v>290</v>
      </c>
      <c r="Z61" s="1541"/>
      <c r="AA61" s="1516" t="s">
        <v>174</v>
      </c>
      <c r="AB61" s="85" t="str">
        <f>AB60&amp;".1"</f>
        <v>6.1.1</v>
      </c>
      <c r="AC61" s="195" t="s">
        <v>1019</v>
      </c>
      <c r="AD61" s="85" t="s">
        <v>936</v>
      </c>
      <c r="AE61" s="137">
        <v>767.4674951599</v>
      </c>
      <c r="AF61" s="137">
        <v>250.52</v>
      </c>
      <c r="AG61" s="137"/>
      <c r="AH61" s="137">
        <v>559.28</v>
      </c>
      <c r="AI61" s="137">
        <v>4496.82</v>
      </c>
      <c r="AJ61" s="1817"/>
      <c r="AK61" s="1817"/>
      <c r="AL61" s="1817"/>
      <c r="AM61" s="1817"/>
      <c r="AN61" s="1817"/>
      <c r="AO61" s="1817"/>
      <c r="AP61" s="1817"/>
      <c r="AQ61" s="1817"/>
      <c r="AR61" s="1817"/>
      <c r="AS61" s="137"/>
      <c r="AT61" s="1817"/>
      <c r="AU61" s="1817"/>
      <c r="AV61" s="1817"/>
      <c r="AW61" s="1817"/>
      <c r="AX61" s="1817"/>
      <c r="AY61" s="1817"/>
      <c r="AZ61" s="1817"/>
      <c r="BA61" s="1817"/>
      <c r="BB61" s="1817"/>
      <c r="BC61" s="196" t="s">
        <v>1020</v>
      </c>
      <c r="BD61" s="1541"/>
      <c r="BE61" s="1541"/>
      <c r="BF61" s="1038" t="s">
        <v>984</v>
      </c>
      <c r="BG61" s="1038" t="s">
        <v>985</v>
      </c>
      <c r="BH61" s="1038" cm="1" t="str">
        <f t="array" ref="BH61:BH61">AC61</f>
        <v>НН</v>
      </c>
      <c r="BI61" s="1191" cm="1" t="str">
        <f t="array" ref="BI61:BI61">AC60</f>
        <v>ПАО "Кузбассэнергосбыт" (ИНН: 4205109214, КПП: 420501001)</v>
      </c>
      <c r="BJ61" s="263"/>
      <c r="BK61" s="263" t="b">
        <v>1</v>
      </c>
    </row>
    <row s="1191" customFormat="1" customHeight="1" ht="64.921875">
      <c r="A62" s="1541"/>
      <c r="B62" s="431"/>
      <c r="C62" s="486"/>
      <c r="D62" s="1541"/>
      <c r="E62" s="263">
        <v>11.25</v>
      </c>
      <c r="F62" s="50" cm="1" t="str">
        <f t="array" ref="F62:F62">OFFSET(E62,-1,1)</f>
        <v>1</v>
      </c>
      <c r="G62" s="122" t="s">
        <v>793</v>
      </c>
      <c r="H62" s="122" cm="1" t="str">
        <f t="array" ref="H62:H62">H61</f>
        <v>НН</v>
      </c>
      <c r="I62" s="1541"/>
      <c r="J62" s="1541"/>
      <c r="K62" s="1541"/>
      <c r="L62" s="1541"/>
      <c r="M62" s="1541"/>
      <c r="N62" s="1541"/>
      <c r="O62" s="1541"/>
      <c r="P62" s="1541"/>
      <c r="Q62" s="1541"/>
      <c r="R62" s="1541"/>
      <c r="S62" s="1541"/>
      <c r="T62" s="468" cm="1" t="str">
        <f t="array" ref="T62:T62">T61</f>
        <v>true</v>
      </c>
      <c r="U62" s="1541"/>
      <c r="V62" s="1541"/>
      <c r="W62" s="1541"/>
      <c r="X62" s="1519"/>
      <c r="Y62" s="1519"/>
      <c r="Z62" s="1541"/>
      <c r="AA62" s="1516"/>
      <c r="AB62" s="85" t="str">
        <f>AB60&amp;".2"</f>
        <v>6.1.2</v>
      </c>
      <c r="AC62" s="188" t="s">
        <v>986</v>
      </c>
      <c r="AD62" s="88" t="s">
        <v>978</v>
      </c>
      <c r="AE62" s="187">
        <f>IF(OR(AND(AE61&lt;&gt;0,AE63=0),AND(AE61=0,AE63&lt;&gt;0)),"Ошибка",IF(AE63=0,0,AE61/AE63))</f>
        <v>8.09398169757978</v>
      </c>
      <c r="AF62" s="187">
        <f>IF(OR(AND(AF61&lt;&gt;0,AF63=0),AND(AF61=0,AF63&lt;&gt;0)),"Ошибка",IF(AF63=0,0,AF61/AF63))</f>
        <v>7.67524509803922</v>
      </c>
      <c r="AG62" s="187">
        <f>IF(OR(AND(AG61&lt;&gt;0,AG63=0),AND(AG61=0,AG63&lt;&gt;0)),"Ошибка",IF(AG63=0,0,AG61/AG63))</f>
        <v>0</v>
      </c>
      <c r="AH62" s="187">
        <f>IF(OR(AND(AH61&lt;&gt;0,AH63=0),AND(AH61=0,AH63&lt;&gt;0)),"Ошибка",IF(AH63=0,0,AH61/AH63))</f>
        <v>8.58317986494782</v>
      </c>
      <c r="AI62" s="187">
        <f>IF(OR(AND(AI61&lt;&gt;0,AI63=0),AND(AI61=0,AI63&lt;&gt;0)),"Ошибка",IF(AI63=0,0,AI61/AI63))</f>
        <v>8.96638219811772</v>
      </c>
      <c r="AJ62" s="187">
        <f>IF(OR(AND(AJ61&lt;&gt;0,AJ63=0),AND(AJ61=0,AJ63&lt;&gt;0)),"Ошибка",IF(AJ63=0,0,AJ61/AJ63))</f>
        <v>0</v>
      </c>
      <c r="AK62" s="187">
        <f>IF(OR(AND(AK61&lt;&gt;0,AK63=0),AND(AK61=0,AK63&lt;&gt;0)),"Ошибка",IF(AK63=0,0,AK61/AK63))</f>
        <v>0</v>
      </c>
      <c r="AL62" s="187">
        <f>IF(OR(AND(AL61&lt;&gt;0,AL63=0),AND(AL61=0,AL63&lt;&gt;0)),"Ошибка",IF(AL63=0,0,AL61/AL63))</f>
        <v>0</v>
      </c>
      <c r="AM62" s="187">
        <f>IF(OR(AND(AM61&lt;&gt;0,AM63=0),AND(AM61=0,AM63&lt;&gt;0)),"Ошибка",IF(AM63=0,0,AM61/AM63))</f>
        <v>0</v>
      </c>
      <c r="AN62" s="187">
        <f>IF(OR(AND(AN61&lt;&gt;0,AN63=0),AND(AN61=0,AN63&lt;&gt;0)),"Ошибка",IF(AN63=0,0,AN61/AN63))</f>
        <v>0</v>
      </c>
      <c r="AO62" s="187">
        <f>IF(OR(AND(AO61&lt;&gt;0,AO63=0),AND(AO61=0,AO63&lt;&gt;0)),"Ошибка",IF(AO63=0,0,AO61/AO63))</f>
        <v>0</v>
      </c>
      <c r="AP62" s="187">
        <f>IF(OR(AND(AP61&lt;&gt;0,AP63=0),AND(AP61=0,AP63&lt;&gt;0)),"Ошибка",IF(AP63=0,0,AP61/AP63))</f>
        <v>0</v>
      </c>
      <c r="AQ62" s="187">
        <f>IF(OR(AND(AQ61&lt;&gt;0,AQ63=0),AND(AQ61=0,AQ63&lt;&gt;0)),"Ошибка",IF(AQ63=0,0,AQ61/AQ63))</f>
        <v>0</v>
      </c>
      <c r="AR62" s="187">
        <f>IF(OR(AND(AR61&lt;&gt;0,AR63=0),AND(AR61=0,AR63&lt;&gt;0)),"Ошибка",IF(AR63=0,0,AR61/AR63))</f>
        <v>0</v>
      </c>
      <c r="AS62" s="187">
        <f>IF(OR(AND(AS61&lt;&gt;0,AS63=0),AND(AS61=0,AS63&lt;&gt;0)),"Ошибка",IF(AS63=0,0,AS61/AS63))</f>
        <v>0</v>
      </c>
      <c r="AT62" s="187">
        <f>IF(OR(AND(AT61&lt;&gt;0,AT63=0),AND(AT61=0,AT63&lt;&gt;0)),"Ошибка",IF(AT63=0,0,AT61/AT63))</f>
        <v>0</v>
      </c>
      <c r="AU62" s="187">
        <f>IF(OR(AND(AU61&lt;&gt;0,AU63=0),AND(AU61=0,AU63&lt;&gt;0)),"Ошибка",IF(AU63=0,0,AU61/AU63))</f>
        <v>0</v>
      </c>
      <c r="AV62" s="187">
        <f>IF(OR(AND(AV61&lt;&gt;0,AV63=0),AND(AV61=0,AV63&lt;&gt;0)),"Ошибка",IF(AV63=0,0,AV61/AV63))</f>
        <v>0</v>
      </c>
      <c r="AW62" s="187">
        <f>IF(OR(AND(AW61&lt;&gt;0,AW63=0),AND(AW61=0,AW63&lt;&gt;0)),"Ошибка",IF(AW63=0,0,AW61/AW63))</f>
        <v>0</v>
      </c>
      <c r="AX62" s="187">
        <f>IF(OR(AND(AX61&lt;&gt;0,AX63=0),AND(AX61=0,AX63&lt;&gt;0)),"Ошибка",IF(AX63=0,0,AX61/AX63))</f>
        <v>0</v>
      </c>
      <c r="AY62" s="187">
        <f>IF(OR(AND(AY61&lt;&gt;0,AY63=0),AND(AY61=0,AY63&lt;&gt;0)),"Ошибка",IF(AY63=0,0,AY61/AY63))</f>
        <v>0</v>
      </c>
      <c r="AZ62" s="187">
        <f>IF(OR(AND(AZ61&lt;&gt;0,AZ63=0),AND(AZ61=0,AZ63&lt;&gt;0)),"Ошибка",IF(AZ63=0,0,AZ61/AZ63))</f>
        <v>0</v>
      </c>
      <c r="BA62" s="187">
        <f>IF(OR(AND(BA61&lt;&gt;0,BA63=0),AND(BA61=0,BA63&lt;&gt;0)),"Ошибка",IF(BA63=0,0,BA61/BA63))</f>
        <v>0</v>
      </c>
      <c r="BB62" s="187">
        <f>IF(OR(AND(BB61&lt;&gt;0,BB63=0),AND(BB61=0,BB63&lt;&gt;0)),"Ошибка",IF(BB63=0,0,BB61/BB63))</f>
        <v>0</v>
      </c>
      <c r="BC62" s="196" t="s">
        <v>1021</v>
      </c>
      <c r="BD62" s="1541"/>
      <c r="BE62" s="1541"/>
      <c r="BF62" s="1038" t="s">
        <v>987</v>
      </c>
      <c r="BG62" s="1038" t="s">
        <v>985</v>
      </c>
      <c r="BH62" s="1038" cm="1" t="str">
        <f t="array" ref="BH62:BH62">BH61</f>
        <v>НН</v>
      </c>
      <c r="BI62" s="1191" cm="1" t="str">
        <f t="array" ref="BI62:BI62">BI61</f>
        <v>ПАО "Кузбассэнергосбыт" (ИНН: 4205109214, КПП: 420501001)</v>
      </c>
      <c r="BJ62" s="263"/>
      <c r="BK62" s="263"/>
    </row>
    <row s="1191" customFormat="1" customHeight="1" ht="65.671875">
      <c r="A63" s="1541"/>
      <c r="B63" s="431"/>
      <c r="C63" s="486"/>
      <c r="D63" s="1541"/>
      <c r="E63" s="263">
        <v>11.25</v>
      </c>
      <c r="F63" s="50" cm="1" t="str">
        <f t="array" ref="F63:F63">OFFSET(E63,-1,1)</f>
        <v>1</v>
      </c>
      <c r="G63" s="122" t="s">
        <v>796</v>
      </c>
      <c r="H63" s="122" cm="1" t="str">
        <f t="array" ref="H63:H63">H62</f>
        <v>НН</v>
      </c>
      <c r="I63" s="1541"/>
      <c r="J63" s="1541"/>
      <c r="K63" s="1541"/>
      <c r="L63" s="1541"/>
      <c r="M63" s="1541"/>
      <c r="N63" s="1541"/>
      <c r="O63" s="1541"/>
      <c r="P63" s="1541"/>
      <c r="Q63" s="1541"/>
      <c r="R63" s="1541"/>
      <c r="S63" s="1541"/>
      <c r="T63" s="468" cm="1" t="str">
        <f t="array" ref="T63:T63">T62</f>
        <v>true</v>
      </c>
      <c r="U63" s="1541"/>
      <c r="V63" s="1541"/>
      <c r="W63" s="1541"/>
      <c r="X63" s="1519"/>
      <c r="Y63" s="1519"/>
      <c r="Z63" s="1541"/>
      <c r="AA63" s="1516"/>
      <c r="AB63" s="85" t="str">
        <f>AB60&amp;".3"</f>
        <v>6.1.3</v>
      </c>
      <c r="AC63" s="188" t="s">
        <v>988</v>
      </c>
      <c r="AD63" s="88" t="s">
        <v>972</v>
      </c>
      <c r="AE63" s="137">
        <v>94.8195244115</v>
      </c>
      <c r="AF63" s="137">
        <v>32.64</v>
      </c>
      <c r="AG63" s="137"/>
      <c r="AH63" s="137">
        <v>65.16</v>
      </c>
      <c r="AI63" s="137">
        <v>501.52</v>
      </c>
      <c r="AJ63" s="1817"/>
      <c r="AK63" s="1817"/>
      <c r="AL63" s="1817"/>
      <c r="AM63" s="1817"/>
      <c r="AN63" s="1817"/>
      <c r="AO63" s="1817"/>
      <c r="AP63" s="1817"/>
      <c r="AQ63" s="1817"/>
      <c r="AR63" s="1817"/>
      <c r="AS63" s="137"/>
      <c r="AT63" s="1817"/>
      <c r="AU63" s="1817"/>
      <c r="AV63" s="1817"/>
      <c r="AW63" s="1817"/>
      <c r="AX63" s="1817"/>
      <c r="AY63" s="1817"/>
      <c r="AZ63" s="1817"/>
      <c r="BA63" s="1817"/>
      <c r="BB63" s="1817"/>
      <c r="BC63" s="196"/>
      <c r="BD63" s="1541"/>
      <c r="BE63" s="1541"/>
      <c r="BF63" s="1038" t="s">
        <v>989</v>
      </c>
      <c r="BG63" s="1038" t="s">
        <v>985</v>
      </c>
      <c r="BH63" s="1038" cm="1" t="str">
        <f t="array" ref="BH63:BH63">BH62</f>
        <v>НН</v>
      </c>
      <c r="BI63" s="1191" cm="1" t="str">
        <f t="array" ref="BI63:BI63">BI62</f>
        <v>ПАО "Кузбассэнергосбыт" (ИНН: 4205109214, КПП: 420501001)</v>
      </c>
      <c r="BJ63" s="263"/>
      <c r="BK63" s="263"/>
    </row>
    <row s="1363" customFormat="1" customHeight="1" ht="14.25">
      <c r="A64" s="1363"/>
      <c r="B64" s="429"/>
      <c r="C64" s="486"/>
      <c r="D64" s="1363"/>
      <c r="E64" s="638">
        <v>15</v>
      </c>
      <c r="F64" s="50" cm="1" t="str">
        <f t="array" ref="F64:F64">OFFSET(E64,-1,1)</f>
        <v>1</v>
      </c>
      <c r="G64" s="1363"/>
      <c r="H64" s="965" t="s">
        <v>990</v>
      </c>
      <c r="I64" s="1363"/>
      <c r="J64" s="1363"/>
      <c r="K64" s="1363"/>
      <c r="L64" s="1363"/>
      <c r="M64" s="1363"/>
      <c r="N64" s="1363"/>
      <c r="O64" s="1363"/>
      <c r="P64" s="1363"/>
      <c r="Q64" s="1363"/>
      <c r="R64" s="1363"/>
      <c r="S64" s="1363"/>
      <c r="T64" s="468">
        <f>F64&gt;0</f>
        <v>1</v>
      </c>
      <c r="U64" s="1363"/>
      <c r="V64" s="1363"/>
      <c r="W64" s="764" t="s">
        <v>410</v>
      </c>
      <c r="X64" s="1519"/>
      <c r="Y64" s="1363"/>
      <c r="Z64" s="1541"/>
      <c r="AA64" s="1363"/>
      <c r="AB64" s="659"/>
      <c r="AC64" s="174" t="s">
        <v>177</v>
      </c>
      <c r="AD64" s="172"/>
      <c r="AE64" s="172"/>
      <c r="AF64" s="172"/>
      <c r="AG64" s="172"/>
      <c r="AH64" s="172"/>
      <c r="AI64" s="172"/>
      <c r="AJ64" s="172"/>
      <c r="AK64" s="172"/>
      <c r="AL64" s="172"/>
      <c r="AM64" s="172"/>
      <c r="AN64" s="172"/>
      <c r="AO64" s="172"/>
      <c r="AP64" s="172"/>
      <c r="AQ64" s="172"/>
      <c r="AR64" s="172"/>
      <c r="AS64" s="172"/>
      <c r="AT64" s="172"/>
      <c r="AU64" s="172"/>
      <c r="AV64" s="172"/>
      <c r="AW64" s="172"/>
      <c r="AX64" s="172"/>
      <c r="AY64" s="172"/>
      <c r="AZ64" s="172"/>
      <c r="BA64" s="172"/>
      <c r="BB64" s="172"/>
      <c r="BC64" s="183"/>
      <c r="BD64" s="1363"/>
      <c r="BE64" s="1363"/>
      <c r="BF64" s="1026"/>
      <c r="BG64" s="1026"/>
      <c r="BH64" s="1026"/>
      <c r="BJ64" s="638" t="s">
        <v>985</v>
      </c>
      <c r="BK64" s="638"/>
    </row>
    <row s="1191" customFormat="1" customHeight="1" ht="19.171875">
      <c r="A65" s="1541"/>
      <c r="B65" s="431"/>
      <c r="C65" s="486"/>
      <c r="D65" s="1541"/>
      <c r="E65" s="263">
        <v>13</v>
      </c>
      <c r="F65" s="50" cm="1" t="str">
        <f t="array" ref="F65:F65">OFFSET(E65,-1,1)</f>
        <v>1</v>
      </c>
      <c r="G65" s="122"/>
      <c r="H65" s="122"/>
      <c r="I65" s="1541"/>
      <c r="J65" s="1541"/>
      <c r="K65" s="1541"/>
      <c r="L65" s="1541"/>
      <c r="M65" s="1541"/>
      <c r="N65" s="1541"/>
      <c r="O65" s="1541"/>
      <c r="P65" s="1541"/>
      <c r="Q65" s="1541"/>
      <c r="R65" s="1541"/>
      <c r="S65" s="1541"/>
      <c r="T65" s="468" cm="1" t="str">
        <f t="array" ref="T65:T65">T64</f>
        <v>true</v>
      </c>
      <c r="U65" s="1541"/>
      <c r="V65" s="1541"/>
      <c r="W65" s="1541"/>
      <c r="X65" s="1519"/>
      <c r="Y65" s="1541"/>
      <c r="Z65" s="1541"/>
      <c r="AA65" s="1541"/>
      <c r="AB65" s="658"/>
      <c r="AC65" s="262" t="s">
        <v>991</v>
      </c>
      <c r="AD65" s="263"/>
      <c r="AE65" s="264"/>
      <c r="AF65" s="264"/>
      <c r="AG65" s="264"/>
      <c r="AH65" s="264"/>
      <c r="AI65" s="264"/>
      <c r="AJ65" s="264"/>
      <c r="AK65" s="264"/>
      <c r="AL65" s="264"/>
      <c r="AM65" s="264"/>
      <c r="AN65" s="264"/>
      <c r="AO65" s="264"/>
      <c r="AP65" s="264"/>
      <c r="AQ65" s="264"/>
      <c r="AR65" s="264"/>
      <c r="AS65" s="264"/>
      <c r="AT65" s="264"/>
      <c r="AU65" s="264"/>
      <c r="AV65" s="264"/>
      <c r="AW65" s="264"/>
      <c r="AX65" s="264"/>
      <c r="AY65" s="264"/>
      <c r="AZ65" s="264"/>
      <c r="BA65" s="264"/>
      <c r="BB65" s="264"/>
      <c r="BC65" s="265"/>
      <c r="BD65" s="1541"/>
      <c r="BE65" s="1541"/>
      <c r="BF65" s="1038"/>
      <c r="BG65" s="1038"/>
      <c r="BH65" s="1038"/>
      <c r="BJ65" s="263"/>
      <c r="BK65" s="263"/>
    </row>
    <row customHeight="1" ht="10.725000000000001" hidden="1">
      <c r="A66" s="1328"/>
      <c r="B66" s="2912"/>
      <c r="C66" s="923"/>
      <c r="D66" s="1328"/>
      <c r="E66" s="1055">
        <v>11</v>
      </c>
      <c r="F66" s="50" cm="1" t="str">
        <f t="array" ref="F66:F66">OFFSET(E66,-1,1)</f>
        <v>1</v>
      </c>
      <c r="G66" s="1528"/>
      <c r="H66" s="1528"/>
      <c r="I66" s="1328"/>
      <c r="J66" s="1328"/>
      <c r="K66" s="1328"/>
      <c r="L66" s="1328"/>
      <c r="M66" s="1328"/>
      <c r="N66" s="1328"/>
      <c r="O66" s="1328"/>
      <c r="P66" s="1328"/>
      <c r="Q66" s="1328"/>
      <c r="R66" s="1328"/>
      <c r="S66" s="1328"/>
      <c r="T66" s="1436">
        <f>AND(F66&gt;0,Y66&gt;0)</f>
        <v>0</v>
      </c>
      <c r="U66" s="1328"/>
      <c r="V66" s="1328"/>
      <c r="W66" s="856" t="s">
        <v>173</v>
      </c>
      <c r="X66" s="1324"/>
      <c r="Y66" s="1617">
        <v>0</v>
      </c>
      <c r="Z66" s="1324"/>
      <c r="AA66" s="1630" t="s">
        <v>174</v>
      </c>
      <c r="AB66" s="1577" t="str">
        <f>"7."&amp;Y66</f>
        <v>7.0</v>
      </c>
      <c r="AC66" s="2913"/>
      <c r="AD66" s="1540"/>
      <c r="AE66" s="351"/>
      <c r="AF66" s="351"/>
      <c r="AG66" s="351"/>
      <c r="AH66" s="351"/>
      <c r="AI66" s="351"/>
      <c r="AJ66" s="351"/>
      <c r="AK66" s="351"/>
      <c r="AL66" s="351"/>
      <c r="AM66" s="351"/>
      <c r="AN66" s="351"/>
      <c r="AO66" s="351"/>
      <c r="AP66" s="351"/>
      <c r="AQ66" s="351"/>
      <c r="AR66" s="351"/>
      <c r="AS66" s="351"/>
      <c r="AT66" s="351"/>
      <c r="AU66" s="351"/>
      <c r="AV66" s="351"/>
      <c r="AW66" s="351"/>
      <c r="AX66" s="351"/>
      <c r="AY66" s="351"/>
      <c r="AZ66" s="351"/>
      <c r="BA66" s="351"/>
      <c r="BB66" s="351"/>
      <c r="BC66" s="351"/>
      <c r="BD66" s="2914"/>
      <c r="BE66" s="1328"/>
      <c r="BF66" s="1054"/>
      <c r="BG66" s="1054"/>
      <c r="BH66" s="1054"/>
      <c r="BI66" s="1054"/>
      <c r="BJ66" s="1055"/>
      <c r="BK66" s="1055"/>
    </row>
    <row s="1191" customFormat="1" customHeight="1" ht="10.5" hidden="1">
      <c r="A67" s="1541"/>
      <c r="B67" s="431"/>
      <c r="C67" s="486"/>
      <c r="D67" s="1541"/>
      <c r="E67" s="263">
        <v>11.25</v>
      </c>
      <c r="F67" s="50" cm="1" t="str">
        <f t="array" ref="F67:F67">OFFSET(E67,-1,1)</f>
        <v>1</v>
      </c>
      <c r="G67" s="122" t="s">
        <v>616</v>
      </c>
      <c r="H67" s="122" cm="1" t="str">
        <f t="array" ref="H67:H67">AC67</f>
        <v>0</v>
      </c>
      <c r="I67" s="1541"/>
      <c r="J67" s="1541"/>
      <c r="K67" s="1541"/>
      <c r="L67" s="1541"/>
      <c r="M67" s="1541"/>
      <c r="N67" s="1541"/>
      <c r="O67" s="1541"/>
      <c r="P67" s="1541"/>
      <c r="Q67" s="1541"/>
      <c r="R67" s="1541"/>
      <c r="S67" s="1541"/>
      <c r="T67" s="468" cm="1" t="str">
        <f t="array" ref="T67:T67">T66</f>
        <v>false</v>
      </c>
      <c r="U67" s="1541"/>
      <c r="V67" s="1541"/>
      <c r="W67" s="764"/>
      <c r="X67" s="1519"/>
      <c r="Y67" s="1519">
        <v>0</v>
      </c>
      <c r="Z67" s="1541"/>
      <c r="AA67" s="1516" t="s">
        <v>174</v>
      </c>
      <c r="AB67" s="85" t="str">
        <f>AB66&amp;".1"</f>
        <v>7.0.1</v>
      </c>
      <c r="AC67" s="2915"/>
      <c r="AD67" s="85" t="s">
        <v>936</v>
      </c>
      <c r="AE67" s="187">
        <f>AE68+AE71</f>
        <v>0</v>
      </c>
      <c r="AF67" s="187">
        <f>AF68+AF71</f>
        <v>0</v>
      </c>
      <c r="AG67" s="187">
        <f>AG68+AG71</f>
        <v>0</v>
      </c>
      <c r="AH67" s="187">
        <f>AH68+AH71</f>
        <v>0</v>
      </c>
      <c r="AI67" s="187">
        <f>AI68+AI71</f>
        <v>0</v>
      </c>
      <c r="AJ67" s="187">
        <f>AJ68+AJ71</f>
        <v>0</v>
      </c>
      <c r="AK67" s="187">
        <f>AK68+AK71</f>
        <v>0</v>
      </c>
      <c r="AL67" s="187">
        <f>AL68+AL71</f>
        <v>0</v>
      </c>
      <c r="AM67" s="187">
        <f>AM68+AM71</f>
        <v>0</v>
      </c>
      <c r="AN67" s="187">
        <f>AN68+AN71</f>
        <v>0</v>
      </c>
      <c r="AO67" s="187">
        <f>AO68+AO71</f>
        <v>0</v>
      </c>
      <c r="AP67" s="187">
        <f>AP68+AP71</f>
        <v>0</v>
      </c>
      <c r="AQ67" s="187">
        <f>AQ68+AQ71</f>
        <v>0</v>
      </c>
      <c r="AR67" s="187">
        <f>AR68+AR71</f>
        <v>0</v>
      </c>
      <c r="AS67" s="187">
        <f>AS68+AS71</f>
        <v>0</v>
      </c>
      <c r="AT67" s="187">
        <f>AT68+AT71</f>
        <v>0</v>
      </c>
      <c r="AU67" s="187">
        <f>AU68+AU71</f>
        <v>0</v>
      </c>
      <c r="AV67" s="187">
        <f>AV68+AV71</f>
        <v>0</v>
      </c>
      <c r="AW67" s="187">
        <f>AW68+AW71</f>
        <v>0</v>
      </c>
      <c r="AX67" s="187">
        <f>AX68+AX71</f>
        <v>0</v>
      </c>
      <c r="AY67" s="187">
        <f>AY68+AY71</f>
        <v>0</v>
      </c>
      <c r="AZ67" s="187">
        <f>AZ68+AZ71</f>
        <v>0</v>
      </c>
      <c r="BA67" s="187">
        <f>BA68+BA71</f>
        <v>0</v>
      </c>
      <c r="BB67" s="187">
        <f>BB68+BB71</f>
        <v>0</v>
      </c>
      <c r="BC67" s="1928"/>
      <c r="BD67" s="1541"/>
      <c r="BE67" s="1541"/>
      <c r="BF67" s="1038" t="s">
        <v>992</v>
      </c>
      <c r="BG67" s="1038" t="s">
        <v>993</v>
      </c>
      <c r="BH67" s="1038" cm="1" t="str">
        <f t="array" ref="BH67:BH67">AC67</f>
        <v>0</v>
      </c>
      <c r="BI67" s="1191" cm="1" t="str">
        <f t="array" ref="BI67:BI67">AC66</f>
        <v>0</v>
      </c>
      <c r="BJ67" s="263"/>
      <c r="BK67" s="263" t="b">
        <v>1</v>
      </c>
    </row>
    <row s="1191" customFormat="1" customHeight="1" ht="10.5" hidden="1">
      <c r="A68" s="1541"/>
      <c r="B68" s="431"/>
      <c r="C68" s="486"/>
      <c r="D68" s="1541"/>
      <c r="E68" s="263">
        <v>11.25</v>
      </c>
      <c r="F68" s="50" cm="1" t="str">
        <f t="array" ref="F68:F68">OFFSET(E68,-1,1)</f>
        <v>1</v>
      </c>
      <c r="G68" s="122" t="s">
        <v>800</v>
      </c>
      <c r="H68" s="122" cm="1" t="str">
        <f t="array" ref="H68:H68">H67</f>
        <v>0</v>
      </c>
      <c r="I68" s="1541"/>
      <c r="J68" s="1541"/>
      <c r="K68" s="1541"/>
      <c r="L68" s="1541"/>
      <c r="M68" s="1541"/>
      <c r="N68" s="1541"/>
      <c r="O68" s="1541"/>
      <c r="P68" s="1541"/>
      <c r="Q68" s="1541"/>
      <c r="R68" s="1541"/>
      <c r="S68" s="1541"/>
      <c r="T68" s="468" cm="1" t="str">
        <f t="array" ref="T68:T68">T67</f>
        <v>false</v>
      </c>
      <c r="U68" s="1541"/>
      <c r="V68" s="1541"/>
      <c r="W68" s="1541"/>
      <c r="X68" s="1519"/>
      <c r="Y68" s="1519"/>
      <c r="Z68" s="1541"/>
      <c r="AA68" s="1516"/>
      <c r="AB68" s="85" t="str">
        <f>AB66&amp;".2"</f>
        <v>7.0.2</v>
      </c>
      <c r="AC68" s="188" t="s">
        <v>994</v>
      </c>
      <c r="AD68" s="85" t="s">
        <v>995</v>
      </c>
      <c r="AE68" s="1817"/>
      <c r="AF68" s="1817"/>
      <c r="AG68" s="1817"/>
      <c r="AH68" s="1817"/>
      <c r="AI68" s="1817"/>
      <c r="AJ68" s="1817"/>
      <c r="AK68" s="1817"/>
      <c r="AL68" s="1817"/>
      <c r="AM68" s="1817"/>
      <c r="AN68" s="1817"/>
      <c r="AO68" s="1817"/>
      <c r="AP68" s="1817"/>
      <c r="AQ68" s="1817"/>
      <c r="AR68" s="1817"/>
      <c r="AS68" s="1817"/>
      <c r="AT68" s="1817"/>
      <c r="AU68" s="1817"/>
      <c r="AV68" s="1817"/>
      <c r="AW68" s="1817"/>
      <c r="AX68" s="1817"/>
      <c r="AY68" s="1817"/>
      <c r="AZ68" s="1817"/>
      <c r="BA68" s="1817"/>
      <c r="BB68" s="1817"/>
      <c r="BC68" s="1928"/>
      <c r="BD68" s="1541"/>
      <c r="BE68" s="1541"/>
      <c r="BF68" s="1038" t="s">
        <v>996</v>
      </c>
      <c r="BG68" s="1038" t="s">
        <v>993</v>
      </c>
      <c r="BH68" s="1038" cm="1" t="str">
        <f t="array" ref="BH68:BH68">BH67</f>
        <v>0</v>
      </c>
      <c r="BI68" s="1191" cm="1" t="str">
        <f t="array" ref="BI68:BI68">BI67</f>
        <v>0</v>
      </c>
      <c r="BJ68" s="263"/>
      <c r="BK68" s="263"/>
    </row>
    <row s="1191" customFormat="1" customHeight="1" ht="10.5" hidden="1">
      <c r="A69" s="1541"/>
      <c r="B69" s="431"/>
      <c r="C69" s="486"/>
      <c r="D69" s="1541"/>
      <c r="E69" s="263">
        <v>11.25</v>
      </c>
      <c r="F69" s="50" cm="1" t="str">
        <f t="array" ref="F69:F69">OFFSET(E69,-1,1)</f>
        <v>1</v>
      </c>
      <c r="G69" s="122" t="s">
        <v>997</v>
      </c>
      <c r="H69" s="122" cm="1" t="str">
        <f t="array" ref="H69:H69">H68</f>
        <v>0</v>
      </c>
      <c r="I69" s="1541"/>
      <c r="J69" s="1541"/>
      <c r="K69" s="1541"/>
      <c r="L69" s="1541"/>
      <c r="M69" s="1541"/>
      <c r="N69" s="1541"/>
      <c r="O69" s="1541"/>
      <c r="P69" s="1541"/>
      <c r="Q69" s="1541"/>
      <c r="R69" s="1541"/>
      <c r="S69" s="1541"/>
      <c r="T69" s="468" cm="1" t="str">
        <f t="array" ref="T69:T69">T68</f>
        <v>false</v>
      </c>
      <c r="U69" s="1541"/>
      <c r="V69" s="1541"/>
      <c r="W69" s="1541"/>
      <c r="X69" s="1519"/>
      <c r="Y69" s="1519"/>
      <c r="Z69" s="1541"/>
      <c r="AA69" s="1516"/>
      <c r="AB69" s="85" t="str">
        <f>AB66&amp;".3"</f>
        <v>7.0.3</v>
      </c>
      <c r="AC69" s="328" t="s">
        <v>986</v>
      </c>
      <c r="AD69" s="88" t="s">
        <v>978</v>
      </c>
      <c r="AE69" s="187">
        <f>IF(OR(AND(AE68&lt;&gt;0,AE70=0),AND(AE68=0,AE70&lt;&gt;0)),"Ошибка",IF(AE70=0,0,AE68/AE70))</f>
        <v>0</v>
      </c>
      <c r="AF69" s="187">
        <f>IF(OR(AND(AF68&lt;&gt;0,AF70=0),AND(AF68=0,AF70&lt;&gt;0)),"Ошибка",IF(AF70=0,0,AF68/AF70))</f>
        <v>0</v>
      </c>
      <c r="AG69" s="187">
        <f>IF(OR(AND(AG68&lt;&gt;0,AG70=0),AND(AG68=0,AG70&lt;&gt;0)),"Ошибка",IF(AG70=0,0,AG68/AG70))</f>
        <v>0</v>
      </c>
      <c r="AH69" s="187">
        <f>IF(OR(AND(AH68&lt;&gt;0,AH70=0),AND(AH68=0,AH70&lt;&gt;0)),"Ошибка",IF(AH70=0,0,AH68/AH70))</f>
        <v>0</v>
      </c>
      <c r="AI69" s="187">
        <f>IF(OR(AND(AI68&lt;&gt;0,AI70=0),AND(AI68=0,AI70&lt;&gt;0)),"Ошибка",IF(AI70=0,0,AI68/AI70))</f>
        <v>0</v>
      </c>
      <c r="AJ69" s="187">
        <f>IF(OR(AND(AJ68&lt;&gt;0,AJ70=0),AND(AJ68=0,AJ70&lt;&gt;0)),"Ошибка",IF(AJ70=0,0,AJ68/AJ70))</f>
        <v>0</v>
      </c>
      <c r="AK69" s="187">
        <f>IF(OR(AND(AK68&lt;&gt;0,AK70=0),AND(AK68=0,AK70&lt;&gt;0)),"Ошибка",IF(AK70=0,0,AK68/AK70))</f>
        <v>0</v>
      </c>
      <c r="AL69" s="187">
        <f>IF(OR(AND(AL68&lt;&gt;0,AL70=0),AND(AL68=0,AL70&lt;&gt;0)),"Ошибка",IF(AL70=0,0,AL68/AL70))</f>
        <v>0</v>
      </c>
      <c r="AM69" s="187">
        <f>IF(OR(AND(AM68&lt;&gt;0,AM70=0),AND(AM68=0,AM70&lt;&gt;0)),"Ошибка",IF(AM70=0,0,AM68/AM70))</f>
        <v>0</v>
      </c>
      <c r="AN69" s="187">
        <f>IF(OR(AND(AN68&lt;&gt;0,AN70=0),AND(AN68=0,AN70&lt;&gt;0)),"Ошибка",IF(AN70=0,0,AN68/AN70))</f>
        <v>0</v>
      </c>
      <c r="AO69" s="187">
        <f>IF(OR(AND(AO68&lt;&gt;0,AO70=0),AND(AO68=0,AO70&lt;&gt;0)),"Ошибка",IF(AO70=0,0,AO68/AO70))</f>
        <v>0</v>
      </c>
      <c r="AP69" s="187">
        <f>IF(OR(AND(AP68&lt;&gt;0,AP70=0),AND(AP68=0,AP70&lt;&gt;0)),"Ошибка",IF(AP70=0,0,AP68/AP70))</f>
        <v>0</v>
      </c>
      <c r="AQ69" s="187">
        <f>IF(OR(AND(AQ68&lt;&gt;0,AQ70=0),AND(AQ68=0,AQ70&lt;&gt;0)),"Ошибка",IF(AQ70=0,0,AQ68/AQ70))</f>
        <v>0</v>
      </c>
      <c r="AR69" s="187">
        <f>IF(OR(AND(AR68&lt;&gt;0,AR70=0),AND(AR68=0,AR70&lt;&gt;0)),"Ошибка",IF(AR70=0,0,AR68/AR70))</f>
        <v>0</v>
      </c>
      <c r="AS69" s="187">
        <f>IF(OR(AND(AS68&lt;&gt;0,AS70=0),AND(AS68=0,AS70&lt;&gt;0)),"Ошибка",IF(AS70=0,0,AS68/AS70))</f>
        <v>0</v>
      </c>
      <c r="AT69" s="187">
        <f>IF(OR(AND(AT68&lt;&gt;0,AT70=0),AND(AT68=0,AT70&lt;&gt;0)),"Ошибка",IF(AT70=0,0,AT68/AT70))</f>
        <v>0</v>
      </c>
      <c r="AU69" s="187">
        <f>IF(OR(AND(AU68&lt;&gt;0,AU70=0),AND(AU68=0,AU70&lt;&gt;0)),"Ошибка",IF(AU70=0,0,AU68/AU70))</f>
        <v>0</v>
      </c>
      <c r="AV69" s="187">
        <f>IF(OR(AND(AV68&lt;&gt;0,AV70=0),AND(AV68=0,AV70&lt;&gt;0)),"Ошибка",IF(AV70=0,0,AV68/AV70))</f>
        <v>0</v>
      </c>
      <c r="AW69" s="187">
        <f>IF(OR(AND(AW68&lt;&gt;0,AW70=0),AND(AW68=0,AW70&lt;&gt;0)),"Ошибка",IF(AW70=0,0,AW68/AW70))</f>
        <v>0</v>
      </c>
      <c r="AX69" s="187">
        <f>IF(OR(AND(AX68&lt;&gt;0,AX70=0),AND(AX68=0,AX70&lt;&gt;0)),"Ошибка",IF(AX70=0,0,AX68/AX70))</f>
        <v>0</v>
      </c>
      <c r="AY69" s="187">
        <f>IF(OR(AND(AY68&lt;&gt;0,AY70=0),AND(AY68=0,AY70&lt;&gt;0)),"Ошибка",IF(AY70=0,0,AY68/AY70))</f>
        <v>0</v>
      </c>
      <c r="AZ69" s="187">
        <f>IF(OR(AND(AZ68&lt;&gt;0,AZ70=0),AND(AZ68=0,AZ70&lt;&gt;0)),"Ошибка",IF(AZ70=0,0,AZ68/AZ70))</f>
        <v>0</v>
      </c>
      <c r="BA69" s="187">
        <f>IF(OR(AND(BA68&lt;&gt;0,BA70=0),AND(BA68=0,BA70&lt;&gt;0)),"Ошибка",IF(BA70=0,0,BA68/BA70))</f>
        <v>0</v>
      </c>
      <c r="BB69" s="187">
        <f>IF(OR(AND(BB68&lt;&gt;0,BB70=0),AND(BB68=0,BB70&lt;&gt;0)),"Ошибка",IF(BB70=0,0,BB68/BB70))</f>
        <v>0</v>
      </c>
      <c r="BC69" s="1928"/>
      <c r="BD69" s="1541"/>
      <c r="BE69" s="1541"/>
      <c r="BF69" s="1038" t="s">
        <v>998</v>
      </c>
      <c r="BG69" s="1038" t="s">
        <v>993</v>
      </c>
      <c r="BH69" s="1038" cm="1" t="str">
        <f t="array" ref="BH69:BH69">BH68</f>
        <v>0</v>
      </c>
      <c r="BI69" s="1191" cm="1" t="str">
        <f t="array" ref="BI69:BI69">BI68</f>
        <v>0</v>
      </c>
      <c r="BJ69" s="263"/>
      <c r="BK69" s="263"/>
    </row>
    <row s="1191" customFormat="1" customHeight="1" ht="10.5" hidden="1">
      <c r="A70" s="1541"/>
      <c r="B70" s="431"/>
      <c r="C70" s="486"/>
      <c r="D70" s="1541"/>
      <c r="E70" s="263">
        <v>11.25</v>
      </c>
      <c r="F70" s="50" cm="1" t="str">
        <f t="array" ref="F70:F70">OFFSET(E70,-1,1)</f>
        <v>1</v>
      </c>
      <c r="G70" s="122" t="s">
        <v>999</v>
      </c>
      <c r="H70" s="122" cm="1" t="str">
        <f t="array" ref="H70:H70">H69</f>
        <v>0</v>
      </c>
      <c r="I70" s="1541"/>
      <c r="J70" s="1541"/>
      <c r="K70" s="1541"/>
      <c r="L70" s="1541"/>
      <c r="M70" s="1541"/>
      <c r="N70" s="1541"/>
      <c r="O70" s="1541"/>
      <c r="P70" s="1541"/>
      <c r="Q70" s="1541"/>
      <c r="R70" s="1541"/>
      <c r="S70" s="1541"/>
      <c r="T70" s="468" cm="1" t="str">
        <f t="array" ref="T70:T70">T69</f>
        <v>false</v>
      </c>
      <c r="U70" s="1541"/>
      <c r="V70" s="1541"/>
      <c r="W70" s="1541"/>
      <c r="X70" s="1519"/>
      <c r="Y70" s="1519"/>
      <c r="Z70" s="1541"/>
      <c r="AA70" s="1516"/>
      <c r="AB70" s="85" t="str">
        <f>AB66&amp;".4"</f>
        <v>7.0.4</v>
      </c>
      <c r="AC70" s="328" t="s">
        <v>988</v>
      </c>
      <c r="AD70" s="88" t="s">
        <v>972</v>
      </c>
      <c r="AE70" s="1817"/>
      <c r="AF70" s="1817"/>
      <c r="AG70" s="1817"/>
      <c r="AH70" s="1817"/>
      <c r="AI70" s="1817"/>
      <c r="AJ70" s="1817"/>
      <c r="AK70" s="1817"/>
      <c r="AL70" s="1817"/>
      <c r="AM70" s="1817"/>
      <c r="AN70" s="1817"/>
      <c r="AO70" s="1817"/>
      <c r="AP70" s="1817"/>
      <c r="AQ70" s="1817"/>
      <c r="AR70" s="1817"/>
      <c r="AS70" s="1817"/>
      <c r="AT70" s="1817"/>
      <c r="AU70" s="1817"/>
      <c r="AV70" s="1817"/>
      <c r="AW70" s="1817"/>
      <c r="AX70" s="1817"/>
      <c r="AY70" s="1817"/>
      <c r="AZ70" s="1817"/>
      <c r="BA70" s="1817"/>
      <c r="BB70" s="1817"/>
      <c r="BC70" s="1928"/>
      <c r="BD70" s="1541"/>
      <c r="BE70" s="1541"/>
      <c r="BF70" s="1038" t="s">
        <v>1000</v>
      </c>
      <c r="BG70" s="1038" t="s">
        <v>993</v>
      </c>
      <c r="BH70" s="1038" cm="1" t="str">
        <f t="array" ref="BH70:BH70">BH69</f>
        <v>0</v>
      </c>
      <c r="BI70" s="1191" cm="1" t="str">
        <f t="array" ref="BI70:BI70">BI69</f>
        <v>0</v>
      </c>
      <c r="BJ70" s="263"/>
      <c r="BK70" s="263"/>
    </row>
    <row s="1191" customFormat="1" customHeight="1" ht="10.5" hidden="1">
      <c r="A71" s="1541"/>
      <c r="B71" s="431"/>
      <c r="C71" s="486"/>
      <c r="D71" s="1541"/>
      <c r="E71" s="263">
        <v>11.25</v>
      </c>
      <c r="F71" s="50" cm="1" t="str">
        <f t="array" ref="F71:F71">OFFSET(E71,-1,1)</f>
        <v>1</v>
      </c>
      <c r="G71" s="122" t="s">
        <v>803</v>
      </c>
      <c r="H71" s="122" cm="1" t="str">
        <f t="array" ref="H71:H71">H70</f>
        <v>0</v>
      </c>
      <c r="I71" s="1541"/>
      <c r="J71" s="1541"/>
      <c r="K71" s="1541"/>
      <c r="L71" s="1541"/>
      <c r="M71" s="1541"/>
      <c r="N71" s="1541"/>
      <c r="O71" s="1541"/>
      <c r="P71" s="1541"/>
      <c r="Q71" s="1541"/>
      <c r="R71" s="1541"/>
      <c r="S71" s="1541"/>
      <c r="T71" s="468" cm="1" t="str">
        <f t="array" ref="T71:T71">T70</f>
        <v>false</v>
      </c>
      <c r="U71" s="1541"/>
      <c r="V71" s="1541"/>
      <c r="W71" s="1541"/>
      <c r="X71" s="1519"/>
      <c r="Y71" s="1519"/>
      <c r="Z71" s="1541"/>
      <c r="AA71" s="1516"/>
      <c r="AB71" s="85" t="str">
        <f>AB66&amp;".5"</f>
        <v>7.0.5</v>
      </c>
      <c r="AC71" s="188" t="s">
        <v>1001</v>
      </c>
      <c r="AD71" s="85" t="s">
        <v>995</v>
      </c>
      <c r="AE71" s="1817"/>
      <c r="AF71" s="1817"/>
      <c r="AG71" s="1817"/>
      <c r="AH71" s="1817"/>
      <c r="AI71" s="1817"/>
      <c r="AJ71" s="1817"/>
      <c r="AK71" s="1817"/>
      <c r="AL71" s="1817"/>
      <c r="AM71" s="1817"/>
      <c r="AN71" s="1817"/>
      <c r="AO71" s="1817"/>
      <c r="AP71" s="1817"/>
      <c r="AQ71" s="1817"/>
      <c r="AR71" s="1817"/>
      <c r="AS71" s="1817"/>
      <c r="AT71" s="1817"/>
      <c r="AU71" s="1817"/>
      <c r="AV71" s="1817"/>
      <c r="AW71" s="1817"/>
      <c r="AX71" s="1817"/>
      <c r="AY71" s="1817"/>
      <c r="AZ71" s="1817"/>
      <c r="BA71" s="1817"/>
      <c r="BB71" s="1817"/>
      <c r="BC71" s="1928"/>
      <c r="BD71" s="1541"/>
      <c r="BE71" s="1541"/>
      <c r="BF71" s="1038" t="s">
        <v>1002</v>
      </c>
      <c r="BG71" s="1038" t="s">
        <v>993</v>
      </c>
      <c r="BH71" s="1038" cm="1" t="str">
        <f t="array" ref="BH71:BH71">BH70</f>
        <v>0</v>
      </c>
      <c r="BI71" s="1191" cm="1" t="str">
        <f t="array" ref="BI71:BI71">BI70</f>
        <v>0</v>
      </c>
      <c r="BJ71" s="263"/>
      <c r="BK71" s="263"/>
    </row>
    <row s="1191" customFormat="1" customHeight="1" ht="10.5" hidden="1">
      <c r="A72" s="1541"/>
      <c r="B72" s="431"/>
      <c r="C72" s="486"/>
      <c r="D72" s="1541"/>
      <c r="E72" s="263">
        <v>11.25</v>
      </c>
      <c r="F72" s="50" cm="1" t="str">
        <f t="array" ref="F72:F72">OFFSET(E72,-1,1)</f>
        <v>1</v>
      </c>
      <c r="G72" s="122" t="s">
        <v>1003</v>
      </c>
      <c r="H72" s="122" cm="1" t="str">
        <f t="array" ref="H72:H72">H71</f>
        <v>0</v>
      </c>
      <c r="I72" s="1541"/>
      <c r="J72" s="1541"/>
      <c r="K72" s="1541"/>
      <c r="L72" s="1541"/>
      <c r="M72" s="1541"/>
      <c r="N72" s="1541"/>
      <c r="O72" s="1541"/>
      <c r="P72" s="1541"/>
      <c r="Q72" s="1541"/>
      <c r="R72" s="1541"/>
      <c r="S72" s="1541"/>
      <c r="T72" s="468" cm="1" t="str">
        <f t="array" ref="T72:T72">T71</f>
        <v>false</v>
      </c>
      <c r="U72" s="1541"/>
      <c r="V72" s="1541"/>
      <c r="W72" s="1541"/>
      <c r="X72" s="1519"/>
      <c r="Y72" s="1519"/>
      <c r="Z72" s="1541"/>
      <c r="AA72" s="1516"/>
      <c r="AB72" s="85" t="str">
        <f>AB66&amp;".6"</f>
        <v>7.0.6</v>
      </c>
      <c r="AC72" s="328" t="s">
        <v>1004</v>
      </c>
      <c r="AD72" s="88" t="s">
        <v>1005</v>
      </c>
      <c r="AE72" s="187">
        <f>IF(OR(AND(AE71&lt;&gt;0,AE73=0),AND(AE71=0,AE73&lt;&gt;0)),"Ошибка",IF(AE73=0,0,AE71/AE73*1000/12))</f>
        <v>0</v>
      </c>
      <c r="AF72" s="187">
        <f>IF(OR(AND(AF71&lt;&gt;0,AF73=0),AND(AF71=0,AF73&lt;&gt;0)),"Ошибка",IF(AF73=0,0,AF71/AF73*1000/12))</f>
        <v>0</v>
      </c>
      <c r="AG72" s="187">
        <f>IF(OR(AND(AG71&lt;&gt;0,AG73=0),AND(AG71=0,AG73&lt;&gt;0)),"Ошибка",IF(AG73=0,0,AG71/AG73*1000/12))</f>
        <v>0</v>
      </c>
      <c r="AH72" s="187">
        <f>IF(OR(AND(AH71&lt;&gt;0,AH73=0),AND(AH71=0,AH73&lt;&gt;0)),"Ошибка",IF(AH73=0,0,AH71/AH73*1000/12))</f>
        <v>0</v>
      </c>
      <c r="AI72" s="187">
        <f>IF(OR(AND(AI71&lt;&gt;0,AI73=0),AND(AI71=0,AI73&lt;&gt;0)),"Ошибка",IF(AI73=0,0,AI71/AI73*1000/12))</f>
        <v>0</v>
      </c>
      <c r="AJ72" s="187">
        <f>IF(OR(AND(AJ71&lt;&gt;0,AJ73=0),AND(AJ71=0,AJ73&lt;&gt;0)),"Ошибка",IF(AJ73=0,0,AJ71/AJ73*1000/12))</f>
        <v>0</v>
      </c>
      <c r="AK72" s="187">
        <f>IF(OR(AND(AK71&lt;&gt;0,AK73=0),AND(AK71=0,AK73&lt;&gt;0)),"Ошибка",IF(AK73=0,0,AK71/AK73*1000/12))</f>
        <v>0</v>
      </c>
      <c r="AL72" s="187">
        <f>IF(OR(AND(AL71&lt;&gt;0,AL73=0),AND(AL71=0,AL73&lt;&gt;0)),"Ошибка",IF(AL73=0,0,AL71/AL73*1000/12))</f>
        <v>0</v>
      </c>
      <c r="AM72" s="187">
        <f>IF(OR(AND(AM71&lt;&gt;0,AM73=0),AND(AM71=0,AM73&lt;&gt;0)),"Ошибка",IF(AM73=0,0,AM71/AM73*1000/12))</f>
        <v>0</v>
      </c>
      <c r="AN72" s="187">
        <f>IF(OR(AND(AN71&lt;&gt;0,AN73=0),AND(AN71=0,AN73&lt;&gt;0)),"Ошибка",IF(AN73=0,0,AN71/AN73*1000/12))</f>
        <v>0</v>
      </c>
      <c r="AO72" s="187">
        <f>IF(OR(AND(AO71&lt;&gt;0,AO73=0),AND(AO71=0,AO73&lt;&gt;0)),"Ошибка",IF(AO73=0,0,AO71/AO73*1000/12))</f>
        <v>0</v>
      </c>
      <c r="AP72" s="187">
        <f>IF(OR(AND(AP71&lt;&gt;0,AP73=0),AND(AP71=0,AP73&lt;&gt;0)),"Ошибка",IF(AP73=0,0,AP71/AP73*1000/12))</f>
        <v>0</v>
      </c>
      <c r="AQ72" s="187">
        <f>IF(OR(AND(AQ71&lt;&gt;0,AQ73=0),AND(AQ71=0,AQ73&lt;&gt;0)),"Ошибка",IF(AQ73=0,0,AQ71/AQ73*1000/12))</f>
        <v>0</v>
      </c>
      <c r="AR72" s="187">
        <f>IF(OR(AND(AR71&lt;&gt;0,AR73=0),AND(AR71=0,AR73&lt;&gt;0)),"Ошибка",IF(AR73=0,0,AR71/AR73*1000/12))</f>
        <v>0</v>
      </c>
      <c r="AS72" s="187">
        <f>IF(OR(AND(AS71&lt;&gt;0,AS73=0),AND(AS71=0,AS73&lt;&gt;0)),"Ошибка",IF(AS73=0,0,AS71/AS73*1000/12))</f>
        <v>0</v>
      </c>
      <c r="AT72" s="187">
        <f>IF(OR(AND(AT71&lt;&gt;0,AT73=0),AND(AT71=0,AT73&lt;&gt;0)),"Ошибка",IF(AT73=0,0,AT71/AT73*1000/12))</f>
        <v>0</v>
      </c>
      <c r="AU72" s="187">
        <f>IF(OR(AND(AU71&lt;&gt;0,AU73=0),AND(AU71=0,AU73&lt;&gt;0)),"Ошибка",IF(AU73=0,0,AU71/AU73*1000/12))</f>
        <v>0</v>
      </c>
      <c r="AV72" s="187">
        <f>IF(OR(AND(AV71&lt;&gt;0,AV73=0),AND(AV71=0,AV73&lt;&gt;0)),"Ошибка",IF(AV73=0,0,AV71/AV73*1000/12))</f>
        <v>0</v>
      </c>
      <c r="AW72" s="187">
        <f>IF(OR(AND(AW71&lt;&gt;0,AW73=0),AND(AW71=0,AW73&lt;&gt;0)),"Ошибка",IF(AW73=0,0,AW71/AW73*1000/12))</f>
        <v>0</v>
      </c>
      <c r="AX72" s="187">
        <f>IF(OR(AND(AX71&lt;&gt;0,AX73=0),AND(AX71=0,AX73&lt;&gt;0)),"Ошибка",IF(AX73=0,0,AX71/AX73*1000/12))</f>
        <v>0</v>
      </c>
      <c r="AY72" s="187">
        <f>IF(OR(AND(AY71&lt;&gt;0,AY73=0),AND(AY71=0,AY73&lt;&gt;0)),"Ошибка",IF(AY73=0,0,AY71/AY73*1000/12))</f>
        <v>0</v>
      </c>
      <c r="AZ72" s="187">
        <f>IF(OR(AND(AZ71&lt;&gt;0,AZ73=0),AND(AZ71=0,AZ73&lt;&gt;0)),"Ошибка",IF(AZ73=0,0,AZ71/AZ73*1000/12))</f>
        <v>0</v>
      </c>
      <c r="BA72" s="187">
        <f>IF(OR(AND(BA71&lt;&gt;0,BA73=0),AND(BA71=0,BA73&lt;&gt;0)),"Ошибка",IF(BA73=0,0,BA71/BA73*1000/12))</f>
        <v>0</v>
      </c>
      <c r="BB72" s="187">
        <f>IF(OR(AND(BB71&lt;&gt;0,BB73=0),AND(BB71=0,BB73&lt;&gt;0)),"Ошибка",IF(BB73=0,0,BB71/BB73*1000/12))</f>
        <v>0</v>
      </c>
      <c r="BC72" s="1928"/>
      <c r="BD72" s="1541"/>
      <c r="BE72" s="1541"/>
      <c r="BF72" s="1038" t="s">
        <v>1006</v>
      </c>
      <c r="BG72" s="1038" t="s">
        <v>993</v>
      </c>
      <c r="BH72" s="1038" cm="1" t="str">
        <f t="array" ref="BH72:BH72">BH71</f>
        <v>0</v>
      </c>
      <c r="BI72" s="1191" cm="1" t="str">
        <f t="array" ref="BI72:BI72">BI71</f>
        <v>0</v>
      </c>
      <c r="BJ72" s="263"/>
      <c r="BK72" s="263"/>
    </row>
    <row s="1191" customFormat="1" customHeight="1" ht="10.5" hidden="1">
      <c r="A73" s="1541"/>
      <c r="B73" s="431"/>
      <c r="C73" s="486"/>
      <c r="D73" s="1541"/>
      <c r="E73" s="263">
        <v>11.25</v>
      </c>
      <c r="F73" s="50" cm="1" t="str">
        <f t="array" ref="F73:F73">OFFSET(E73,-1,1)</f>
        <v>1</v>
      </c>
      <c r="G73" s="122" t="s">
        <v>1007</v>
      </c>
      <c r="H73" s="122" cm="1" t="str">
        <f t="array" ref="H73:H73">H72</f>
        <v>0</v>
      </c>
      <c r="I73" s="1541"/>
      <c r="J73" s="1541"/>
      <c r="K73" s="1541"/>
      <c r="L73" s="1541"/>
      <c r="M73" s="1541"/>
      <c r="N73" s="1541"/>
      <c r="O73" s="1541"/>
      <c r="P73" s="1541"/>
      <c r="Q73" s="1541"/>
      <c r="R73" s="1541"/>
      <c r="S73" s="1541"/>
      <c r="T73" s="468" cm="1" t="str">
        <f t="array" ref="T73:T73">T72</f>
        <v>false</v>
      </c>
      <c r="U73" s="1541"/>
      <c r="V73" s="1541"/>
      <c r="W73" s="1541"/>
      <c r="X73" s="1519"/>
      <c r="Y73" s="1519"/>
      <c r="Z73" s="1541"/>
      <c r="AA73" s="1516"/>
      <c r="AB73" s="85" t="str">
        <f>AB66&amp;".7"</f>
        <v>7.0.7</v>
      </c>
      <c r="AC73" s="328" t="s">
        <v>1008</v>
      </c>
      <c r="AD73" s="88" t="s">
        <v>1009</v>
      </c>
      <c r="AE73" s="1817"/>
      <c r="AF73" s="1817"/>
      <c r="AG73" s="1817"/>
      <c r="AH73" s="1817"/>
      <c r="AI73" s="1817"/>
      <c r="AJ73" s="1817"/>
      <c r="AK73" s="1817"/>
      <c r="AL73" s="1817"/>
      <c r="AM73" s="1817"/>
      <c r="AN73" s="1817"/>
      <c r="AO73" s="1817"/>
      <c r="AP73" s="1817"/>
      <c r="AQ73" s="1817"/>
      <c r="AR73" s="1817"/>
      <c r="AS73" s="1817"/>
      <c r="AT73" s="1817"/>
      <c r="AU73" s="1817"/>
      <c r="AV73" s="1817"/>
      <c r="AW73" s="1817"/>
      <c r="AX73" s="1817"/>
      <c r="AY73" s="1817"/>
      <c r="AZ73" s="1817"/>
      <c r="BA73" s="1817"/>
      <c r="BB73" s="1817"/>
      <c r="BC73" s="1928"/>
      <c r="BD73" s="1541"/>
      <c r="BE73" s="1541"/>
      <c r="BF73" s="1038" t="s">
        <v>1010</v>
      </c>
      <c r="BG73" s="1038" t="s">
        <v>993</v>
      </c>
      <c r="BH73" s="1038" cm="1" t="str">
        <f t="array" ref="BH73:BH73">BH72</f>
        <v>0</v>
      </c>
      <c r="BI73" s="1191" cm="1" t="str">
        <f t="array" ref="BI73:BI73">BI72</f>
        <v>0</v>
      </c>
      <c r="BJ73" s="263"/>
      <c r="BK73" s="263"/>
    </row>
    <row customHeight="1" ht="31.048828125">
      <c r="B74" s="2912"/>
      <c r="C74" s="923"/>
      <c r="E74" s="1055">
        <v>11</v>
      </c>
      <c r="F74" s="50" cm="1" t="str">
        <f t="array" ref="F74:F74">OFFSET(E74,-1,1)</f>
        <v>1</v>
      </c>
      <c r="G74" s="1528"/>
      <c r="H74" s="1528"/>
      <c r="T74" s="1436">
        <f>AND(F74&gt;0,Y74&gt;0)</f>
        <v>1</v>
      </c>
      <c r="W74" s="856"/>
      <c r="X74" s="1324"/>
      <c r="Y74" s="1617" t="s">
        <v>290</v>
      </c>
      <c r="Z74" s="1324"/>
      <c r="AA74" s="1630" t="s">
        <v>174</v>
      </c>
      <c r="AB74" s="1577" t="str">
        <f>"7."&amp;Y74</f>
        <v>7.1</v>
      </c>
      <c r="AC74" s="2913" t="s">
        <v>1018</v>
      </c>
      <c r="AD74" s="1540"/>
      <c r="AE74" s="351"/>
      <c r="AF74" s="351"/>
      <c r="AG74" s="351"/>
      <c r="AH74" s="351"/>
      <c r="AI74" s="351"/>
      <c r="AJ74" s="351"/>
      <c r="AK74" s="351"/>
      <c r="AL74" s="351"/>
      <c r="AM74" s="351"/>
      <c r="AN74" s="351"/>
      <c r="AO74" s="351"/>
      <c r="AP74" s="351"/>
      <c r="AQ74" s="351"/>
      <c r="AR74" s="351"/>
      <c r="AS74" s="351"/>
      <c r="AT74" s="351"/>
      <c r="AU74" s="351"/>
      <c r="AV74" s="351"/>
      <c r="AW74" s="351"/>
      <c r="AX74" s="351"/>
      <c r="AY74" s="351"/>
      <c r="AZ74" s="351"/>
      <c r="BA74" s="351"/>
      <c r="BB74" s="351"/>
      <c r="BC74" s="351"/>
      <c r="BD74" s="2914"/>
      <c r="BF74" s="1054"/>
      <c r="BG74" s="1054"/>
      <c r="BH74" s="1054"/>
      <c r="BI74" s="1054"/>
      <c r="BJ74" s="1055"/>
      <c r="BK74" s="1055"/>
    </row>
    <row s="1191" customFormat="1" customHeight="1" ht="30.421875">
      <c r="A75" s="1541"/>
      <c r="B75" s="431"/>
      <c r="C75" s="486"/>
      <c r="D75" s="1541"/>
      <c r="E75" s="263">
        <v>11.25</v>
      </c>
      <c r="F75" s="50" cm="1" t="str">
        <f t="array" ref="F75:F75">OFFSET(E75,-1,1)</f>
        <v>1</v>
      </c>
      <c r="G75" s="122" t="s">
        <v>616</v>
      </c>
      <c r="H75" s="122" cm="1" t="str">
        <f t="array" ref="H75:H75">AC75</f>
        <v>СН2</v>
      </c>
      <c r="I75" s="1541"/>
      <c r="J75" s="1541"/>
      <c r="K75" s="1541"/>
      <c r="L75" s="1541"/>
      <c r="M75" s="1541"/>
      <c r="N75" s="1541"/>
      <c r="O75" s="1541"/>
      <c r="P75" s="1541"/>
      <c r="Q75" s="1541"/>
      <c r="R75" s="1541"/>
      <c r="S75" s="1541"/>
      <c r="T75" s="468" cm="1" t="str">
        <f t="array" ref="T75:T75">T74</f>
        <v>true</v>
      </c>
      <c r="U75" s="1541"/>
      <c r="V75" s="1541"/>
      <c r="W75" s="764"/>
      <c r="X75" s="1519"/>
      <c r="Y75" s="1519" t="s">
        <v>290</v>
      </c>
      <c r="Z75" s="1541"/>
      <c r="AA75" s="1516" t="s">
        <v>174</v>
      </c>
      <c r="AB75" s="85" t="str">
        <f>AB74&amp;".1"</f>
        <v>7.1.1</v>
      </c>
      <c r="AC75" s="195" t="s">
        <v>1022</v>
      </c>
      <c r="AD75" s="85" t="s">
        <v>936</v>
      </c>
      <c r="AE75" s="187">
        <f>AE76+AE79</f>
        <v>164748.034704494</v>
      </c>
      <c r="AF75" s="187">
        <f>AF76+AF79</f>
        <v>168844.02</v>
      </c>
      <c r="AG75" s="187">
        <f>AG76+AG79</f>
        <v>148207.96</v>
      </c>
      <c r="AH75" s="187">
        <f>AH76+AH79</f>
        <v>166487.65</v>
      </c>
      <c r="AI75" s="187">
        <f>AI76+AI79</f>
        <v>174037.21</v>
      </c>
      <c r="AJ75" s="187">
        <f>AJ76+AJ79</f>
        <v>0</v>
      </c>
      <c r="AK75" s="187">
        <f>AK76+AK79</f>
        <v>0</v>
      </c>
      <c r="AL75" s="187">
        <f>AL76+AL79</f>
        <v>0</v>
      </c>
      <c r="AM75" s="187">
        <f>AM76+AM79</f>
        <v>0</v>
      </c>
      <c r="AN75" s="187">
        <f>AN76+AN79</f>
        <v>0</v>
      </c>
      <c r="AO75" s="187">
        <f>AO76+AO79</f>
        <v>0</v>
      </c>
      <c r="AP75" s="187">
        <f>AP76+AP79</f>
        <v>0</v>
      </c>
      <c r="AQ75" s="187">
        <f>AQ76+AQ79</f>
        <v>0</v>
      </c>
      <c r="AR75" s="187">
        <f>AR76+AR79</f>
        <v>0</v>
      </c>
      <c r="AS75" s="187">
        <f>AS76+AS79</f>
        <v>209159.29</v>
      </c>
      <c r="AT75" s="187">
        <f>AT76+AT79</f>
        <v>0</v>
      </c>
      <c r="AU75" s="187">
        <f>AU76+AU79</f>
        <v>0</v>
      </c>
      <c r="AV75" s="187">
        <f>AV76+AV79</f>
        <v>0</v>
      </c>
      <c r="AW75" s="187">
        <f>AW76+AW79</f>
        <v>0</v>
      </c>
      <c r="AX75" s="187">
        <f>AX76+AX79</f>
        <v>0</v>
      </c>
      <c r="AY75" s="187">
        <f>AY76+AY79</f>
        <v>0</v>
      </c>
      <c r="AZ75" s="187">
        <f>AZ76+AZ79</f>
        <v>0</v>
      </c>
      <c r="BA75" s="187">
        <f>BA76+BA79</f>
        <v>0</v>
      </c>
      <c r="BB75" s="187">
        <f>BB76+BB79</f>
        <v>0</v>
      </c>
      <c r="BC75" s="196"/>
      <c r="BD75" s="1541"/>
      <c r="BE75" s="1541"/>
      <c r="BF75" s="1038" t="s">
        <v>992</v>
      </c>
      <c r="BG75" s="1038" t="s">
        <v>993</v>
      </c>
      <c r="BH75" s="1038" cm="1" t="str">
        <f t="array" ref="BH75:BH75">AC75</f>
        <v>СН2</v>
      </c>
      <c r="BI75" s="1191" cm="1" t="str">
        <f t="array" ref="BI75:BI75">AC74</f>
        <v>ПАО "Кузбассэнергосбыт" (ИНН: 4205109214, КПП: 420501001)</v>
      </c>
      <c r="BJ75" s="263"/>
      <c r="BK75" s="263" t="b">
        <v>1</v>
      </c>
    </row>
    <row s="1191" customFormat="1" customHeight="1" ht="35.671875">
      <c r="A76" s="1541"/>
      <c r="B76" s="431"/>
      <c r="C76" s="486"/>
      <c r="D76" s="1541"/>
      <c r="E76" s="263">
        <v>11.25</v>
      </c>
      <c r="F76" s="50" cm="1" t="str">
        <f t="array" ref="F76:F76">OFFSET(E76,-1,1)</f>
        <v>1</v>
      </c>
      <c r="G76" s="122" t="s">
        <v>800</v>
      </c>
      <c r="H76" s="122" cm="1" t="str">
        <f t="array" ref="H76:H76">H75</f>
        <v>СН2</v>
      </c>
      <c r="I76" s="1541"/>
      <c r="J76" s="1541"/>
      <c r="K76" s="1541"/>
      <c r="L76" s="1541"/>
      <c r="M76" s="1541"/>
      <c r="N76" s="1541"/>
      <c r="O76" s="1541"/>
      <c r="P76" s="1541"/>
      <c r="Q76" s="1541"/>
      <c r="R76" s="1541"/>
      <c r="S76" s="1541"/>
      <c r="T76" s="468" cm="1" t="str">
        <f t="array" ref="T76:T76">T75</f>
        <v>true</v>
      </c>
      <c r="U76" s="1541"/>
      <c r="V76" s="1541"/>
      <c r="W76" s="1541"/>
      <c r="X76" s="1519"/>
      <c r="Y76" s="1519"/>
      <c r="Z76" s="1541"/>
      <c r="AA76" s="1516"/>
      <c r="AB76" s="85" t="str">
        <f>AB74&amp;".2"</f>
        <v>7.1.2</v>
      </c>
      <c r="AC76" s="188" t="s">
        <v>994</v>
      </c>
      <c r="AD76" s="85" t="s">
        <v>995</v>
      </c>
      <c r="AE76" s="137">
        <v>67474.0281157192</v>
      </c>
      <c r="AF76" s="137">
        <v>74370.4</v>
      </c>
      <c r="AG76" s="137">
        <v>54039.12</v>
      </c>
      <c r="AH76" s="137">
        <v>66714.85</v>
      </c>
      <c r="AI76" s="137">
        <v>69267.86</v>
      </c>
      <c r="AJ76" s="1817"/>
      <c r="AK76" s="1817"/>
      <c r="AL76" s="1817"/>
      <c r="AM76" s="1817"/>
      <c r="AN76" s="1817"/>
      <c r="AO76" s="1817"/>
      <c r="AP76" s="1817"/>
      <c r="AQ76" s="1817"/>
      <c r="AR76" s="1817"/>
      <c r="AS76" s="137">
        <v>87210.21</v>
      </c>
      <c r="AT76" s="1817"/>
      <c r="AU76" s="1817"/>
      <c r="AV76" s="1817"/>
      <c r="AW76" s="1817"/>
      <c r="AX76" s="1817"/>
      <c r="AY76" s="1817"/>
      <c r="AZ76" s="1817"/>
      <c r="BA76" s="1817"/>
      <c r="BB76" s="1817"/>
      <c r="BC76" s="196" t="s">
        <v>1023</v>
      </c>
      <c r="BD76" s="1541"/>
      <c r="BE76" s="1541"/>
      <c r="BF76" s="1038" t="s">
        <v>996</v>
      </c>
      <c r="BG76" s="1038" t="s">
        <v>993</v>
      </c>
      <c r="BH76" s="1038" cm="1" t="str">
        <f t="array" ref="BH76:BH76">BH75</f>
        <v>СН2</v>
      </c>
      <c r="BI76" s="1191" cm="1" t="str">
        <f t="array" ref="BI76:BI76">BI75</f>
        <v>ПАО "Кузбассэнергосбыт" (ИНН: 4205109214, КПП: 420501001)</v>
      </c>
      <c r="BJ76" s="263"/>
      <c r="BK76" s="263"/>
    </row>
    <row s="1191" customFormat="1" customHeight="1" ht="87.421875">
      <c r="A77" s="1541"/>
      <c r="B77" s="431"/>
      <c r="C77" s="486"/>
      <c r="D77" s="1541"/>
      <c r="E77" s="263">
        <v>11.25</v>
      </c>
      <c r="F77" s="50" cm="1" t="str">
        <f t="array" ref="F77:F77">OFFSET(E77,-1,1)</f>
        <v>1</v>
      </c>
      <c r="G77" s="122" t="s">
        <v>997</v>
      </c>
      <c r="H77" s="122" cm="1" t="str">
        <f t="array" ref="H77:H77">H76</f>
        <v>СН2</v>
      </c>
      <c r="I77" s="1541"/>
      <c r="J77" s="1541"/>
      <c r="K77" s="1541"/>
      <c r="L77" s="1541"/>
      <c r="M77" s="1541"/>
      <c r="N77" s="1541"/>
      <c r="O77" s="1541"/>
      <c r="P77" s="1541"/>
      <c r="Q77" s="1541"/>
      <c r="R77" s="1541"/>
      <c r="S77" s="1541"/>
      <c r="T77" s="468" cm="1" t="str">
        <f t="array" ref="T77:T77">T76</f>
        <v>true</v>
      </c>
      <c r="U77" s="1541"/>
      <c r="V77" s="1541"/>
      <c r="W77" s="1541"/>
      <c r="X77" s="1519"/>
      <c r="Y77" s="1519"/>
      <c r="Z77" s="1541"/>
      <c r="AA77" s="1516"/>
      <c r="AB77" s="85" t="str">
        <f>AB74&amp;".3"</f>
        <v>7.1.3</v>
      </c>
      <c r="AC77" s="328" t="s">
        <v>986</v>
      </c>
      <c r="AD77" s="88" t="s">
        <v>978</v>
      </c>
      <c r="AE77" s="187">
        <f>IF(OR(AND(AE76&lt;&gt;0,AE78=0),AND(AE76=0,AE78&lt;&gt;0)),"Ошибка",IF(AE78=0,0,AE76/AE78))</f>
        <v>2.21336753162278</v>
      </c>
      <c r="AF77" s="187">
        <f>IF(OR(AND(AF76&lt;&gt;0,AF78=0),AND(AF76=0,AF78&lt;&gt;0)),"Ошибка",IF(AF78=0,0,AF76/AF78))</f>
        <v>2.14333678594011</v>
      </c>
      <c r="AG77" s="187">
        <f>IF(OR(AND(AG76&lt;&gt;0,AG78=0),AND(AG76=0,AG78&lt;&gt;0)),"Ошибка",IF(AG78=0,0,AG76/AG78))</f>
        <v>2.15739412567624</v>
      </c>
      <c r="AH77" s="187">
        <f>IF(OR(AND(AH76&lt;&gt;0,AH78=0),AND(AH76=0,AH78&lt;&gt;0)),"Ошибка",IF(AH78=0,0,AH76/AH78))</f>
        <v>2.30359730066061</v>
      </c>
      <c r="AI77" s="187">
        <f>IF(OR(AND(AI76&lt;&gt;0,AI78=0),AND(AI76=0,AI78&lt;&gt;0)),"Ошибка",IF(AI78=0,0,AI76/AI78))</f>
        <v>2.49252919825305</v>
      </c>
      <c r="AJ77" s="187">
        <f>IF(OR(AND(AJ76&lt;&gt;0,AJ78=0),AND(AJ76=0,AJ78&lt;&gt;0)),"Ошибка",IF(AJ78=0,0,AJ76/AJ78))</f>
        <v>0</v>
      </c>
      <c r="AK77" s="187">
        <f>IF(OR(AND(AK76&lt;&gt;0,AK78=0),AND(AK76=0,AK78&lt;&gt;0)),"Ошибка",IF(AK78=0,0,AK76/AK78))</f>
        <v>0</v>
      </c>
      <c r="AL77" s="187">
        <f>IF(OR(AND(AL76&lt;&gt;0,AL78=0),AND(AL76=0,AL78&lt;&gt;0)),"Ошибка",IF(AL78=0,0,AL76/AL78))</f>
        <v>0</v>
      </c>
      <c r="AM77" s="187">
        <f>IF(OR(AND(AM76&lt;&gt;0,AM78=0),AND(AM76=0,AM78&lt;&gt;0)),"Ошибка",IF(AM78=0,0,AM76/AM78))</f>
        <v>0</v>
      </c>
      <c r="AN77" s="187">
        <f>IF(OR(AND(AN76&lt;&gt;0,AN78=0),AND(AN76=0,AN78&lt;&gt;0)),"Ошибка",IF(AN78=0,0,AN76/AN78))</f>
        <v>0</v>
      </c>
      <c r="AO77" s="187">
        <f>IF(OR(AND(AO76&lt;&gt;0,AO78=0),AND(AO76=0,AO78&lt;&gt;0)),"Ошибка",IF(AO78=0,0,AO76/AO78))</f>
        <v>0</v>
      </c>
      <c r="AP77" s="187">
        <f>IF(OR(AND(AP76&lt;&gt;0,AP78=0),AND(AP76=0,AP78&lt;&gt;0)),"Ошибка",IF(AP78=0,0,AP76/AP78))</f>
        <v>0</v>
      </c>
      <c r="AQ77" s="187">
        <f>IF(OR(AND(AQ76&lt;&gt;0,AQ78=0),AND(AQ76=0,AQ78&lt;&gt;0)),"Ошибка",IF(AQ78=0,0,AQ76/AQ78))</f>
        <v>0</v>
      </c>
      <c r="AR77" s="187">
        <f>IF(OR(AND(AR76&lt;&gt;0,AR78=0),AND(AR76=0,AR78&lt;&gt;0)),"Ошибка",IF(AR78=0,0,AR76/AR78))</f>
        <v>0</v>
      </c>
      <c r="AS77" s="187">
        <f>IF(OR(AND(AS76&lt;&gt;0,AS78=0),AND(AS76=0,AS78&lt;&gt;0)),"Ошибка",IF(AS78=0,0,AS76/AS78))</f>
        <v>2.97035375428173</v>
      </c>
      <c r="AT77" s="187" t="str">
        <f>IF(OR(AND(AT76&lt;&gt;0,AT78=0),AND(AT76=0,AT78&lt;&gt;0)),"Ошибка",IF(AT78=0,0,AT76/AT78))</f>
        <v>Ошибка</v>
      </c>
      <c r="AU77" s="187" t="str">
        <f>IF(OR(AND(AU76&lt;&gt;0,AU78=0),AND(AU76=0,AU78&lt;&gt;0)),"Ошибка",IF(AU78=0,0,AU76/AU78))</f>
        <v>Ошибка</v>
      </c>
      <c r="AV77" s="187">
        <f>IF(OR(AND(AV76&lt;&gt;0,AV78=0),AND(AV76=0,AV78&lt;&gt;0)),"Ошибка",IF(AV78=0,0,AV76/AV78))</f>
        <v>0</v>
      </c>
      <c r="AW77" s="187">
        <f>IF(OR(AND(AW76&lt;&gt;0,AW78=0),AND(AW76=0,AW78&lt;&gt;0)),"Ошибка",IF(AW78=0,0,AW76/AW78))</f>
        <v>0</v>
      </c>
      <c r="AX77" s="187">
        <f>IF(OR(AND(AX76&lt;&gt;0,AX78=0),AND(AX76=0,AX78&lt;&gt;0)),"Ошибка",IF(AX78=0,0,AX76/AX78))</f>
        <v>0</v>
      </c>
      <c r="AY77" s="187">
        <f>IF(OR(AND(AY76&lt;&gt;0,AY78=0),AND(AY76=0,AY78&lt;&gt;0)),"Ошибка",IF(AY78=0,0,AY76/AY78))</f>
        <v>0</v>
      </c>
      <c r="AZ77" s="187">
        <f>IF(OR(AND(AZ76&lt;&gt;0,AZ78=0),AND(AZ76=0,AZ78&lt;&gt;0)),"Ошибка",IF(AZ78=0,0,AZ76/AZ78))</f>
        <v>0</v>
      </c>
      <c r="BA77" s="187">
        <f>IF(OR(AND(BA76&lt;&gt;0,BA78=0),AND(BA76=0,BA78&lt;&gt;0)),"Ошибка",IF(BA78=0,0,BA76/BA78))</f>
        <v>0</v>
      </c>
      <c r="BB77" s="187">
        <f>IF(OR(AND(BB76&lt;&gt;0,BB78=0),AND(BB76=0,BB78&lt;&gt;0)),"Ошибка",IF(BB78=0,0,BB76/BB78))</f>
        <v>0</v>
      </c>
      <c r="BC77" s="196" t="s">
        <v>1024</v>
      </c>
      <c r="BD77" s="1541"/>
      <c r="BE77" s="1541"/>
      <c r="BF77" s="1038" t="s">
        <v>998</v>
      </c>
      <c r="BG77" s="1038" t="s">
        <v>993</v>
      </c>
      <c r="BH77" s="1038" cm="1" t="str">
        <f t="array" ref="BH77:BH77">BH76</f>
        <v>СН2</v>
      </c>
      <c r="BI77" s="1191" cm="1" t="str">
        <f t="array" ref="BI77:BI77">BI76</f>
        <v>ПАО "Кузбассэнергосбыт" (ИНН: 4205109214, КПП: 420501001)</v>
      </c>
      <c r="BJ77" s="263"/>
      <c r="BK77" s="263"/>
    </row>
    <row s="1191" customFormat="1" customHeight="1" ht="62.671875">
      <c r="A78" s="1541"/>
      <c r="B78" s="431"/>
      <c r="C78" s="486"/>
      <c r="D78" s="1541"/>
      <c r="E78" s="263">
        <v>11.25</v>
      </c>
      <c r="F78" s="50" cm="1" t="str">
        <f t="array" ref="F78:F78">OFFSET(E78,-1,1)</f>
        <v>1</v>
      </c>
      <c r="G78" s="122" t="s">
        <v>999</v>
      </c>
      <c r="H78" s="122" cm="1" t="str">
        <f t="array" ref="H78:H78">H77</f>
        <v>СН2</v>
      </c>
      <c r="I78" s="1541"/>
      <c r="J78" s="1541"/>
      <c r="K78" s="1541"/>
      <c r="L78" s="1541"/>
      <c r="M78" s="1541"/>
      <c r="N78" s="1541"/>
      <c r="O78" s="1541"/>
      <c r="P78" s="1541"/>
      <c r="Q78" s="1541"/>
      <c r="R78" s="1541"/>
      <c r="S78" s="1541"/>
      <c r="T78" s="468" cm="1" t="str">
        <f t="array" ref="T78:T78">T77</f>
        <v>true</v>
      </c>
      <c r="U78" s="1541"/>
      <c r="V78" s="1541"/>
      <c r="W78" s="1541"/>
      <c r="X78" s="1519"/>
      <c r="Y78" s="1519"/>
      <c r="Z78" s="1541"/>
      <c r="AA78" s="1516"/>
      <c r="AB78" s="85" t="str">
        <f>AB74&amp;".4"</f>
        <v>7.1.4</v>
      </c>
      <c r="AC78" s="328" t="s">
        <v>988</v>
      </c>
      <c r="AD78" s="88" t="s">
        <v>972</v>
      </c>
      <c r="AE78" s="137">
        <v>30484.7826453156</v>
      </c>
      <c r="AF78" s="137">
        <v>34698.42</v>
      </c>
      <c r="AG78" s="137">
        <v>25048.33</v>
      </c>
      <c r="AH78" s="137">
        <v>28961.16</v>
      </c>
      <c r="AI78" s="137">
        <v>27790.19</v>
      </c>
      <c r="AJ78" s="1817"/>
      <c r="AK78" s="1817"/>
      <c r="AL78" s="1817"/>
      <c r="AM78" s="1817"/>
      <c r="AN78" s="1817"/>
      <c r="AO78" s="1817"/>
      <c r="AP78" s="1817"/>
      <c r="AQ78" s="1817"/>
      <c r="AR78" s="1817"/>
      <c r="AS78" s="137">
        <v>29360.21</v>
      </c>
      <c r="AT78" s="1817" cm="1" t="str">
        <f t="array" ref="AT78:AT78">AS78</f>
        <v>29360.21</v>
      </c>
      <c r="AU78" s="1817" cm="1" t="str">
        <f t="array" ref="AU78:AU78">AT78</f>
        <v>29360.21</v>
      </c>
      <c r="AV78" s="1817"/>
      <c r="AW78" s="1817"/>
      <c r="AX78" s="1817"/>
      <c r="AY78" s="1817"/>
      <c r="AZ78" s="1817"/>
      <c r="BA78" s="1817"/>
      <c r="BB78" s="1817"/>
      <c r="BC78" s="196" t="s">
        <v>1025</v>
      </c>
      <c r="BD78" s="1541"/>
      <c r="BE78" s="1541"/>
      <c r="BF78" s="1038" t="s">
        <v>1000</v>
      </c>
      <c r="BG78" s="1038" t="s">
        <v>993</v>
      </c>
      <c r="BH78" s="1038" cm="1" t="str">
        <f t="array" ref="BH78:BH78">BH77</f>
        <v>СН2</v>
      </c>
      <c r="BI78" s="1191" cm="1" t="str">
        <f t="array" ref="BI78:BI78">BI77</f>
        <v>ПАО "Кузбассэнергосбыт" (ИНН: 4205109214, КПП: 420501001)</v>
      </c>
      <c r="BJ78" s="263"/>
      <c r="BK78" s="263"/>
    </row>
    <row s="1191" customFormat="1" customHeight="1" ht="40.921875">
      <c r="A79" s="1541"/>
      <c r="B79" s="431"/>
      <c r="C79" s="486"/>
      <c r="D79" s="1541"/>
      <c r="E79" s="263">
        <v>11.25</v>
      </c>
      <c r="F79" s="50" cm="1" t="str">
        <f t="array" ref="F79:F79">OFFSET(E79,-1,1)</f>
        <v>1</v>
      </c>
      <c r="G79" s="122" t="s">
        <v>803</v>
      </c>
      <c r="H79" s="122" cm="1" t="str">
        <f t="array" ref="H79:H79">H78</f>
        <v>СН2</v>
      </c>
      <c r="I79" s="1541"/>
      <c r="J79" s="1541"/>
      <c r="K79" s="1541"/>
      <c r="L79" s="1541"/>
      <c r="M79" s="1541"/>
      <c r="N79" s="1541"/>
      <c r="O79" s="1541"/>
      <c r="P79" s="1541"/>
      <c r="Q79" s="1541"/>
      <c r="R79" s="1541"/>
      <c r="S79" s="1541"/>
      <c r="T79" s="468" cm="1" t="str">
        <f t="array" ref="T79:T79">T78</f>
        <v>true</v>
      </c>
      <c r="U79" s="1541"/>
      <c r="V79" s="1541"/>
      <c r="W79" s="1541"/>
      <c r="X79" s="1519"/>
      <c r="Y79" s="1519"/>
      <c r="Z79" s="1541"/>
      <c r="AA79" s="1516"/>
      <c r="AB79" s="85" t="str">
        <f>AB74&amp;".5"</f>
        <v>7.1.5</v>
      </c>
      <c r="AC79" s="188" t="s">
        <v>1001</v>
      </c>
      <c r="AD79" s="85" t="s">
        <v>995</v>
      </c>
      <c r="AE79" s="137">
        <v>97274.0065887744</v>
      </c>
      <c r="AF79" s="137">
        <v>94473.62</v>
      </c>
      <c r="AG79" s="137">
        <v>94168.84</v>
      </c>
      <c r="AH79" s="137">
        <v>99772.8</v>
      </c>
      <c r="AI79" s="137">
        <v>104769.35</v>
      </c>
      <c r="AJ79" s="1817"/>
      <c r="AK79" s="1817"/>
      <c r="AL79" s="1817"/>
      <c r="AM79" s="1817"/>
      <c r="AN79" s="1817"/>
      <c r="AO79" s="1817"/>
      <c r="AP79" s="1817"/>
      <c r="AQ79" s="1817"/>
      <c r="AR79" s="1817"/>
      <c r="AS79" s="137">
        <v>121949.08</v>
      </c>
      <c r="AT79" s="1817"/>
      <c r="AU79" s="1817"/>
      <c r="AV79" s="1817"/>
      <c r="AW79" s="1817"/>
      <c r="AX79" s="1817"/>
      <c r="AY79" s="1817"/>
      <c r="AZ79" s="1817"/>
      <c r="BA79" s="1817"/>
      <c r="BB79" s="1817"/>
      <c r="BC79" s="196" t="s">
        <v>1026</v>
      </c>
      <c r="BD79" s="1541"/>
      <c r="BE79" s="1541"/>
      <c r="BF79" s="1038" t="s">
        <v>1002</v>
      </c>
      <c r="BG79" s="1038" t="s">
        <v>993</v>
      </c>
      <c r="BH79" s="1038" cm="1" t="str">
        <f t="array" ref="BH79:BH79">BH78</f>
        <v>СН2</v>
      </c>
      <c r="BI79" s="1191" cm="1" t="str">
        <f t="array" ref="BI79:BI79">BI78</f>
        <v>ПАО "Кузбассэнергосбыт" (ИНН: 4205109214, КПП: 420501001)</v>
      </c>
      <c r="BJ79" s="263"/>
      <c r="BK79" s="263"/>
    </row>
    <row s="1191" customFormat="1" customHeight="1" ht="68.671875">
      <c r="A80" s="1541"/>
      <c r="B80" s="431"/>
      <c r="C80" s="486"/>
      <c r="D80" s="1541"/>
      <c r="E80" s="263">
        <v>11.25</v>
      </c>
      <c r="F80" s="50" cm="1" t="str">
        <f t="array" ref="F80:F80">OFFSET(E80,-1,1)</f>
        <v>1</v>
      </c>
      <c r="G80" s="122" t="s">
        <v>1003</v>
      </c>
      <c r="H80" s="122" cm="1" t="str">
        <f t="array" ref="H80:H80">H79</f>
        <v>СН2</v>
      </c>
      <c r="I80" s="1541"/>
      <c r="J80" s="1541"/>
      <c r="K80" s="1541"/>
      <c r="L80" s="1541"/>
      <c r="M80" s="1541"/>
      <c r="N80" s="1541"/>
      <c r="O80" s="1541"/>
      <c r="P80" s="1541"/>
      <c r="Q80" s="1541"/>
      <c r="R80" s="1541"/>
      <c r="S80" s="1541"/>
      <c r="T80" s="468" cm="1" t="str">
        <f t="array" ref="T80:T80">T79</f>
        <v>true</v>
      </c>
      <c r="U80" s="1541"/>
      <c r="V80" s="1541"/>
      <c r="W80" s="1541"/>
      <c r="X80" s="1519"/>
      <c r="Y80" s="1519"/>
      <c r="Z80" s="1541"/>
      <c r="AA80" s="1516"/>
      <c r="AB80" s="85" t="str">
        <f>AB74&amp;".6"</f>
        <v>7.1.6</v>
      </c>
      <c r="AC80" s="328" t="s">
        <v>1004</v>
      </c>
      <c r="AD80" s="88" t="s">
        <v>1005</v>
      </c>
      <c r="AE80" s="187">
        <f>IF(OR(AND(AE79&lt;&gt;0,AE81=0),AND(AE79=0,AE81&lt;&gt;0)),"Ошибка",IF(AE81=0,0,AE79/AE81*1000/12))</f>
        <v>2019389.79838004</v>
      </c>
      <c r="AF80" s="187">
        <f>IF(OR(AND(AF79&lt;&gt;0,AF81=0),AND(AF79=0,AF81&lt;&gt;0)),"Ошибка",IF(AF81=0,0,AF79/AF81*1000/12))</f>
        <v>1993114.34599156</v>
      </c>
      <c r="AG80" s="187">
        <f>IF(OR(AND(AG79&lt;&gt;0,AG81=0),AND(AG79=0,AG81&lt;&gt;0)),"Ошибка",IF(AG81=0,0,AG79/AG81*1000/12))</f>
        <v>1994257.51800085</v>
      </c>
      <c r="AH80" s="187">
        <f>IF(OR(AND(AH79&lt;&gt;0,AH81=0),AND(AH79=0,AH81&lt;&gt;0)),"Ошибка",IF(AH81=0,0,AH79/AH81*1000/12))</f>
        <v>2293100.4367023</v>
      </c>
      <c r="AI80" s="187">
        <f>IF(OR(AND(AI79&lt;&gt;0,AI81=0),AND(AI79=0,AI81&lt;&gt;0)),"Ошибка",IF(AI81=0,0,AI79/AI81*1000/12))</f>
        <v>2210323.83966245</v>
      </c>
      <c r="AJ80" s="187">
        <f>IF(OR(AND(AJ79&lt;&gt;0,AJ81=0),AND(AJ79=0,AJ81&lt;&gt;0)),"Ошибка",IF(AJ81=0,0,AJ79/AJ81*1000/12))</f>
        <v>0</v>
      </c>
      <c r="AK80" s="187">
        <f>IF(OR(AND(AK79&lt;&gt;0,AK81=0),AND(AK79=0,AK81&lt;&gt;0)),"Ошибка",IF(AK81=0,0,AK79/AK81*1000/12))</f>
        <v>0</v>
      </c>
      <c r="AL80" s="187">
        <f>IF(OR(AND(AL79&lt;&gt;0,AL81=0),AND(AL79=0,AL81&lt;&gt;0)),"Ошибка",IF(AL81=0,0,AL79/AL81*1000/12))</f>
        <v>0</v>
      </c>
      <c r="AM80" s="187">
        <f>IF(OR(AND(AM79&lt;&gt;0,AM81=0),AND(AM79=0,AM81&lt;&gt;0)),"Ошибка",IF(AM81=0,0,AM79/AM81*1000/12))</f>
        <v>0</v>
      </c>
      <c r="AN80" s="187">
        <f>IF(OR(AND(AN79&lt;&gt;0,AN81=0),AND(AN79=0,AN81&lt;&gt;0)),"Ошибка",IF(AN81=0,0,AN79/AN81*1000/12))</f>
        <v>0</v>
      </c>
      <c r="AO80" s="187">
        <f>IF(OR(AND(AO79&lt;&gt;0,AO81=0),AND(AO79=0,AO81&lt;&gt;0)),"Ошибка",IF(AO81=0,0,AO79/AO81*1000/12))</f>
        <v>0</v>
      </c>
      <c r="AP80" s="187">
        <f>IF(OR(AND(AP79&lt;&gt;0,AP81=0),AND(AP79=0,AP81&lt;&gt;0)),"Ошибка",IF(AP81=0,0,AP79/AP81*1000/12))</f>
        <v>0</v>
      </c>
      <c r="AQ80" s="187">
        <f>IF(OR(AND(AQ79&lt;&gt;0,AQ81=0),AND(AQ79=0,AQ81&lt;&gt;0)),"Ошибка",IF(AQ81=0,0,AQ79/AQ81*1000/12))</f>
        <v>0</v>
      </c>
      <c r="AR80" s="187">
        <f>IF(OR(AND(AR79&lt;&gt;0,AR81=0),AND(AR79=0,AR81&lt;&gt;0)),"Ошибка",IF(AR81=0,0,AR79/AR81*1000/12))</f>
        <v>0</v>
      </c>
      <c r="AS80" s="187">
        <f>IF(OR(AND(AS79&lt;&gt;0,AS81=0),AND(AS79=0,AS81&lt;&gt;0)),"Ошибка",IF(AS81=0,0,AS79/AS81*1000/12))</f>
        <v>2582572.63871241</v>
      </c>
      <c r="AT80" s="187">
        <f>IF(OR(AND(AT79&lt;&gt;0,AT81=0),AND(AT79=0,AT81&lt;&gt;0)),"Ошибка",IF(AT81=0,0,AT79/AT81*1000/12))</f>
        <v>0</v>
      </c>
      <c r="AU80" s="187">
        <f>IF(OR(AND(AU79&lt;&gt;0,AU81=0),AND(AU79=0,AU81&lt;&gt;0)),"Ошибка",IF(AU81=0,0,AU79/AU81*1000/12))</f>
        <v>0</v>
      </c>
      <c r="AV80" s="187">
        <f>IF(OR(AND(AV79&lt;&gt;0,AV81=0),AND(AV79=0,AV81&lt;&gt;0)),"Ошибка",IF(AV81=0,0,AV79/AV81*1000/12))</f>
        <v>0</v>
      </c>
      <c r="AW80" s="187">
        <f>IF(OR(AND(AW79&lt;&gt;0,AW81=0),AND(AW79=0,AW81&lt;&gt;0)),"Ошибка",IF(AW81=0,0,AW79/AW81*1000/12))</f>
        <v>0</v>
      </c>
      <c r="AX80" s="187">
        <f>IF(OR(AND(AX79&lt;&gt;0,AX81=0),AND(AX79=0,AX81&lt;&gt;0)),"Ошибка",IF(AX81=0,0,AX79/AX81*1000/12))</f>
        <v>0</v>
      </c>
      <c r="AY80" s="187">
        <f>IF(OR(AND(AY79&lt;&gt;0,AY81=0),AND(AY79=0,AY81&lt;&gt;0)),"Ошибка",IF(AY81=0,0,AY79/AY81*1000/12))</f>
        <v>0</v>
      </c>
      <c r="AZ80" s="187">
        <f>IF(OR(AND(AZ79&lt;&gt;0,AZ81=0),AND(AZ79=0,AZ81&lt;&gt;0)),"Ошибка",IF(AZ81=0,0,AZ79/AZ81*1000/12))</f>
        <v>0</v>
      </c>
      <c r="BA80" s="187">
        <f>IF(OR(AND(BA79&lt;&gt;0,BA81=0),AND(BA79=0,BA81&lt;&gt;0)),"Ошибка",IF(BA81=0,0,BA79/BA81*1000/12))</f>
        <v>0</v>
      </c>
      <c r="BB80" s="187">
        <f>IF(OR(AND(BB79&lt;&gt;0,BB81=0),AND(BB79=0,BB81&lt;&gt;0)),"Ошибка",IF(BB81=0,0,BB79/BB81*1000/12))</f>
        <v>0</v>
      </c>
      <c r="BC80" s="196" t="s">
        <v>1027</v>
      </c>
      <c r="BD80" s="1541"/>
      <c r="BE80" s="1541"/>
      <c r="BF80" s="1038" t="s">
        <v>1006</v>
      </c>
      <c r="BG80" s="1038" t="s">
        <v>993</v>
      </c>
      <c r="BH80" s="1038" cm="1" t="str">
        <f t="array" ref="BH80:BH80">BH79</f>
        <v>СН2</v>
      </c>
      <c r="BI80" s="1191" cm="1" t="str">
        <f t="array" ref="BI80:BI80">BI79</f>
        <v>ПАО "Кузбассэнергосбыт" (ИНН: 4205109214, КПП: 420501001)</v>
      </c>
      <c r="BJ80" s="263"/>
      <c r="BK80" s="263"/>
    </row>
    <row s="1191" customFormat="1" customHeight="1" ht="56.671875">
      <c r="A81" s="1541"/>
      <c r="B81" s="431"/>
      <c r="C81" s="486"/>
      <c r="D81" s="1541"/>
      <c r="E81" s="263">
        <v>11.25</v>
      </c>
      <c r="F81" s="50" cm="1" t="str">
        <f t="array" ref="F81:F81">OFFSET(E81,-1,1)</f>
        <v>1</v>
      </c>
      <c r="G81" s="122" t="s">
        <v>1007</v>
      </c>
      <c r="H81" s="122" cm="1" t="str">
        <f t="array" ref="H81:H81">H80</f>
        <v>СН2</v>
      </c>
      <c r="I81" s="1541"/>
      <c r="J81" s="1541"/>
      <c r="K81" s="1541"/>
      <c r="L81" s="1541"/>
      <c r="M81" s="1541"/>
      <c r="N81" s="1541"/>
      <c r="O81" s="1541"/>
      <c r="P81" s="1541"/>
      <c r="Q81" s="1541"/>
      <c r="R81" s="1541"/>
      <c r="S81" s="1541"/>
      <c r="T81" s="468" cm="1" t="str">
        <f t="array" ref="T81:T81">T80</f>
        <v>true</v>
      </c>
      <c r="U81" s="1541"/>
      <c r="V81" s="1541"/>
      <c r="W81" s="1541"/>
      <c r="X81" s="1519"/>
      <c r="Y81" s="1519"/>
      <c r="Z81" s="1541"/>
      <c r="AA81" s="1516"/>
      <c r="AB81" s="85" t="str">
        <f>AB74&amp;".7"</f>
        <v>7.1.7</v>
      </c>
      <c r="AC81" s="328" t="s">
        <v>1008</v>
      </c>
      <c r="AD81" s="88" t="s">
        <v>1009</v>
      </c>
      <c r="AE81" s="137">
        <v>4.0141666667</v>
      </c>
      <c r="AF81" s="137">
        <f>47.4/12</f>
        <v>3.95</v>
      </c>
      <c r="AG81" s="137">
        <f>47.22/12</f>
        <v>3.935</v>
      </c>
      <c r="AH81" s="137">
        <v>3.6258333333</v>
      </c>
      <c r="AI81" s="137">
        <f>47.4/12</f>
        <v>3.95</v>
      </c>
      <c r="AJ81" s="1817"/>
      <c r="AK81" s="1817"/>
      <c r="AL81" s="1817"/>
      <c r="AM81" s="1817"/>
      <c r="AN81" s="1817"/>
      <c r="AO81" s="1817"/>
      <c r="AP81" s="1817"/>
      <c r="AQ81" s="1817"/>
      <c r="AR81" s="1817"/>
      <c r="AS81" s="137">
        <f>47.22/12</f>
        <v>3.935</v>
      </c>
      <c r="AT81" s="1817"/>
      <c r="AU81" s="1817"/>
      <c r="AV81" s="1817"/>
      <c r="AW81" s="1817"/>
      <c r="AX81" s="1817"/>
      <c r="AY81" s="1817"/>
      <c r="AZ81" s="1817"/>
      <c r="BA81" s="1817"/>
      <c r="BB81" s="1817"/>
      <c r="BC81" s="196" t="s">
        <v>1028</v>
      </c>
      <c r="BD81" s="1541"/>
      <c r="BE81" s="1541"/>
      <c r="BF81" s="1038" t="s">
        <v>1010</v>
      </c>
      <c r="BG81" s="1038" t="s">
        <v>993</v>
      </c>
      <c r="BH81" s="1038" cm="1" t="str">
        <f t="array" ref="BH81:BH81">BH80</f>
        <v>СН2</v>
      </c>
      <c r="BI81" s="1191" cm="1" t="str">
        <f t="array" ref="BI81:BI81">BI80</f>
        <v>ПАО "Кузбассэнергосбыт" (ИНН: 4205109214, КПП: 420501001)</v>
      </c>
      <c r="BJ81" s="263"/>
      <c r="BK81" s="263"/>
    </row>
    <row customHeight="1" ht="34.048828125">
      <c r="B82" s="2912"/>
      <c r="C82" s="923"/>
      <c r="E82" s="1055">
        <v>11</v>
      </c>
      <c r="F82" s="50" cm="1" t="str">
        <f t="array" ref="F82:F82">OFFSET(E82,-1,1)</f>
        <v>1</v>
      </c>
      <c r="G82" s="1528"/>
      <c r="H82" s="1528"/>
      <c r="T82" s="1436">
        <f>AND(F82&gt;0,Y82&gt;0)</f>
        <v>1</v>
      </c>
      <c r="W82" s="856"/>
      <c r="X82" s="1324"/>
      <c r="Y82" s="1617" t="s">
        <v>299</v>
      </c>
      <c r="Z82" s="1324"/>
      <c r="AA82" s="1630" t="s">
        <v>174</v>
      </c>
      <c r="AB82" s="1577" t="str">
        <f>"7."&amp;Y82</f>
        <v>7.2</v>
      </c>
      <c r="AC82" s="2913" t="s">
        <v>1018</v>
      </c>
      <c r="AD82" s="1540"/>
      <c r="AE82" s="351"/>
      <c r="AF82" s="351"/>
      <c r="AG82" s="351"/>
      <c r="AH82" s="351"/>
      <c r="AI82" s="351"/>
      <c r="AJ82" s="351"/>
      <c r="AK82" s="351"/>
      <c r="AL82" s="351"/>
      <c r="AM82" s="351"/>
      <c r="AN82" s="351"/>
      <c r="AO82" s="351"/>
      <c r="AP82" s="351"/>
      <c r="AQ82" s="351"/>
      <c r="AR82" s="351"/>
      <c r="AS82" s="351"/>
      <c r="AT82" s="351"/>
      <c r="AU82" s="351"/>
      <c r="AV82" s="351"/>
      <c r="AW82" s="351"/>
      <c r="AX82" s="351"/>
      <c r="AY82" s="351"/>
      <c r="AZ82" s="351"/>
      <c r="BA82" s="351"/>
      <c r="BB82" s="351"/>
      <c r="BC82" s="351"/>
      <c r="BD82" s="2914"/>
      <c r="BF82" s="1054"/>
      <c r="BG82" s="1054"/>
      <c r="BH82" s="1054"/>
      <c r="BI82" s="1054"/>
      <c r="BJ82" s="1055"/>
      <c r="BK82" s="1055"/>
    </row>
    <row s="1191" customFormat="1" customHeight="1" ht="24.421875">
      <c r="A83" s="1541"/>
      <c r="B83" s="431"/>
      <c r="C83" s="486"/>
      <c r="D83" s="1541"/>
      <c r="E83" s="263">
        <v>11.25</v>
      </c>
      <c r="F83" s="50" cm="1" t="str">
        <f t="array" ref="F83:F83">OFFSET(E83,-1,1)</f>
        <v>1</v>
      </c>
      <c r="G83" s="122" t="s">
        <v>616</v>
      </c>
      <c r="H83" s="122" cm="1" t="str">
        <f t="array" ref="H83:H83">AC83</f>
        <v>НН</v>
      </c>
      <c r="I83" s="1541"/>
      <c r="J83" s="1541"/>
      <c r="K83" s="1541"/>
      <c r="L83" s="1541"/>
      <c r="M83" s="1541"/>
      <c r="N83" s="1541"/>
      <c r="O83" s="1541"/>
      <c r="P83" s="1541"/>
      <c r="Q83" s="1541"/>
      <c r="R83" s="1541"/>
      <c r="S83" s="1541"/>
      <c r="T83" s="468" cm="1" t="str">
        <f t="array" ref="T83:T83">T82</f>
        <v>true</v>
      </c>
      <c r="U83" s="1541"/>
      <c r="V83" s="1541"/>
      <c r="W83" s="764"/>
      <c r="X83" s="1519"/>
      <c r="Y83" s="1519" t="s">
        <v>299</v>
      </c>
      <c r="Z83" s="1541"/>
      <c r="AA83" s="1516" t="s">
        <v>174</v>
      </c>
      <c r="AB83" s="85" t="str">
        <f>AB82&amp;".1"</f>
        <v>7.2.1</v>
      </c>
      <c r="AC83" s="195" t="s">
        <v>1019</v>
      </c>
      <c r="AD83" s="85" t="s">
        <v>936</v>
      </c>
      <c r="AE83" s="187">
        <f>AE84+AE87</f>
        <v>0</v>
      </c>
      <c r="AF83" s="187">
        <f>AF84+AF87</f>
        <v>0</v>
      </c>
      <c r="AG83" s="187">
        <f>AG84+AG87</f>
        <v>361.67</v>
      </c>
      <c r="AH83" s="187">
        <f>AH84+AH87</f>
        <v>0</v>
      </c>
      <c r="AI83" s="187">
        <f>AI84+AI87</f>
        <v>0</v>
      </c>
      <c r="AJ83" s="187">
        <f>AJ84+AJ87</f>
        <v>0</v>
      </c>
      <c r="AK83" s="187">
        <f>AK84+AK87</f>
        <v>0</v>
      </c>
      <c r="AL83" s="187">
        <f>AL84+AL87</f>
        <v>0</v>
      </c>
      <c r="AM83" s="187">
        <f>AM84+AM87</f>
        <v>0</v>
      </c>
      <c r="AN83" s="187">
        <f>AN84+AN87</f>
        <v>0</v>
      </c>
      <c r="AO83" s="187">
        <f>AO84+AO87</f>
        <v>0</v>
      </c>
      <c r="AP83" s="187">
        <f>AP84+AP87</f>
        <v>0</v>
      </c>
      <c r="AQ83" s="187">
        <f>AQ84+AQ87</f>
        <v>0</v>
      </c>
      <c r="AR83" s="187">
        <f>AR84+AR87</f>
        <v>0</v>
      </c>
      <c r="AS83" s="187">
        <f>AS84+AS87</f>
        <v>483.98</v>
      </c>
      <c r="AT83" s="187">
        <f>AT84+AT87</f>
        <v>0</v>
      </c>
      <c r="AU83" s="187">
        <f>AU84+AU87</f>
        <v>0</v>
      </c>
      <c r="AV83" s="187">
        <f>AV84+AV87</f>
        <v>0</v>
      </c>
      <c r="AW83" s="187">
        <f>AW84+AW87</f>
        <v>0</v>
      </c>
      <c r="AX83" s="187">
        <f>AX84+AX87</f>
        <v>0</v>
      </c>
      <c r="AY83" s="187">
        <f>AY84+AY87</f>
        <v>0</v>
      </c>
      <c r="AZ83" s="187">
        <f>AZ84+AZ87</f>
        <v>0</v>
      </c>
      <c r="BA83" s="187">
        <f>BA84+BA87</f>
        <v>0</v>
      </c>
      <c r="BB83" s="187">
        <f>BB84+BB87</f>
        <v>0</v>
      </c>
      <c r="BC83" s="196"/>
      <c r="BD83" s="1541"/>
      <c r="BE83" s="1541"/>
      <c r="BF83" s="1038" t="s">
        <v>992</v>
      </c>
      <c r="BG83" s="1038" t="s">
        <v>993</v>
      </c>
      <c r="BH83" s="1038" cm="1" t="str">
        <f t="array" ref="BH83:BH83">AC83</f>
        <v>НН</v>
      </c>
      <c r="BI83" s="1191" cm="1" t="str">
        <f t="array" ref="BI83:BI83">AC82</f>
        <v>ПАО "Кузбассэнергосбыт" (ИНН: 4205109214, КПП: 420501001)</v>
      </c>
      <c r="BJ83" s="263"/>
      <c r="BK83" s="263" t="b">
        <v>1</v>
      </c>
    </row>
    <row s="1191" customFormat="1" customHeight="1" ht="42.421875">
      <c r="A84" s="1541"/>
      <c r="B84" s="431"/>
      <c r="C84" s="486"/>
      <c r="D84" s="1541"/>
      <c r="E84" s="263">
        <v>11.25</v>
      </c>
      <c r="F84" s="50" cm="1" t="str">
        <f t="array" ref="F84:F84">OFFSET(E84,-1,1)</f>
        <v>1</v>
      </c>
      <c r="G84" s="122" t="s">
        <v>800</v>
      </c>
      <c r="H84" s="122" cm="1" t="str">
        <f t="array" ref="H84:H84">H83</f>
        <v>НН</v>
      </c>
      <c r="I84" s="1541"/>
      <c r="J84" s="1541"/>
      <c r="K84" s="1541"/>
      <c r="L84" s="1541"/>
      <c r="M84" s="1541"/>
      <c r="N84" s="1541"/>
      <c r="O84" s="1541"/>
      <c r="P84" s="1541"/>
      <c r="Q84" s="1541"/>
      <c r="R84" s="1541"/>
      <c r="S84" s="1541"/>
      <c r="T84" s="468" cm="1" t="str">
        <f t="array" ref="T84:T84">T83</f>
        <v>true</v>
      </c>
      <c r="U84" s="1541"/>
      <c r="V84" s="1541"/>
      <c r="W84" s="1541"/>
      <c r="X84" s="1519"/>
      <c r="Y84" s="1519"/>
      <c r="Z84" s="1541"/>
      <c r="AA84" s="1516"/>
      <c r="AB84" s="85" t="str">
        <f>AB82&amp;".2"</f>
        <v>7.2.2</v>
      </c>
      <c r="AC84" s="188" t="s">
        <v>994</v>
      </c>
      <c r="AD84" s="85" t="s">
        <v>995</v>
      </c>
      <c r="AE84" s="137"/>
      <c r="AF84" s="137"/>
      <c r="AG84" s="137">
        <v>102.92</v>
      </c>
      <c r="AH84" s="137"/>
      <c r="AI84" s="137"/>
      <c r="AJ84" s="1817"/>
      <c r="AK84" s="1817"/>
      <c r="AL84" s="1817"/>
      <c r="AM84" s="1817"/>
      <c r="AN84" s="1817"/>
      <c r="AO84" s="1817"/>
      <c r="AP84" s="1817"/>
      <c r="AQ84" s="1817"/>
      <c r="AR84" s="1817"/>
      <c r="AS84" s="137">
        <v>148.9</v>
      </c>
      <c r="AT84" s="1817"/>
      <c r="AU84" s="1817"/>
      <c r="AV84" s="1817"/>
      <c r="AW84" s="1817"/>
      <c r="AX84" s="1817"/>
      <c r="AY84" s="1817"/>
      <c r="AZ84" s="1817"/>
      <c r="BA84" s="1817"/>
      <c r="BB84" s="1817"/>
      <c r="BC84" s="196" t="s">
        <v>1029</v>
      </c>
      <c r="BD84" s="1541"/>
      <c r="BE84" s="1541"/>
      <c r="BF84" s="1038" t="s">
        <v>996</v>
      </c>
      <c r="BG84" s="1038" t="s">
        <v>993</v>
      </c>
      <c r="BH84" s="1038" cm="1" t="str">
        <f t="array" ref="BH84:BH84">BH83</f>
        <v>НН</v>
      </c>
      <c r="BI84" s="1191" cm="1" t="str">
        <f t="array" ref="BI84:BI84">BI83</f>
        <v>ПАО "Кузбассэнергосбыт" (ИНН: 4205109214, КПП: 420501001)</v>
      </c>
      <c r="BJ84" s="263"/>
      <c r="BK84" s="263"/>
    </row>
    <row s="1191" customFormat="1" customHeight="1" ht="58.171875">
      <c r="A85" s="1541"/>
      <c r="B85" s="431"/>
      <c r="C85" s="486"/>
      <c r="D85" s="1541"/>
      <c r="E85" s="263">
        <v>11.25</v>
      </c>
      <c r="F85" s="50" cm="1" t="str">
        <f t="array" ref="F85:F85">OFFSET(E85,-1,1)</f>
        <v>1</v>
      </c>
      <c r="G85" s="122" t="s">
        <v>997</v>
      </c>
      <c r="H85" s="122" cm="1" t="str">
        <f t="array" ref="H85:H85">H84</f>
        <v>НН</v>
      </c>
      <c r="I85" s="1541"/>
      <c r="J85" s="1541"/>
      <c r="K85" s="1541"/>
      <c r="L85" s="1541"/>
      <c r="M85" s="1541"/>
      <c r="N85" s="1541"/>
      <c r="O85" s="1541"/>
      <c r="P85" s="1541"/>
      <c r="Q85" s="1541"/>
      <c r="R85" s="1541"/>
      <c r="S85" s="1541"/>
      <c r="T85" s="468" cm="1" t="str">
        <f t="array" ref="T85:T85">T84</f>
        <v>true</v>
      </c>
      <c r="U85" s="1541"/>
      <c r="V85" s="1541"/>
      <c r="W85" s="1541"/>
      <c r="X85" s="1519"/>
      <c r="Y85" s="1519"/>
      <c r="Z85" s="1541"/>
      <c r="AA85" s="1516"/>
      <c r="AB85" s="85" t="str">
        <f>AB82&amp;".3"</f>
        <v>7.2.3</v>
      </c>
      <c r="AC85" s="328" t="s">
        <v>986</v>
      </c>
      <c r="AD85" s="88" t="s">
        <v>978</v>
      </c>
      <c r="AE85" s="187">
        <f>IF(OR(AND(AE84&lt;&gt;0,AE86=0),AND(AE84=0,AE86&lt;&gt;0)),"Ошибка",IF(AE86=0,0,AE84/AE86))</f>
        <v>0</v>
      </c>
      <c r="AF85" s="187">
        <f>IF(OR(AND(AF84&lt;&gt;0,AF86=0),AND(AF84=0,AF86&lt;&gt;0)),"Ошибка",IF(AF86=0,0,AF84/AF86))</f>
        <v>0</v>
      </c>
      <c r="AG85" s="187">
        <f>IF(OR(AND(AG84&lt;&gt;0,AG86=0),AND(AG84=0,AG86&lt;&gt;0)),"Ошибка",IF(AG86=0,0,AG84/AG86))</f>
        <v>4.40393667094566</v>
      </c>
      <c r="AH85" s="187">
        <f>IF(OR(AND(AH84&lt;&gt;0,AH86=0),AND(AH84=0,AH86&lt;&gt;0)),"Ошибка",IF(AH86=0,0,AH84/AH86))</f>
        <v>0</v>
      </c>
      <c r="AI85" s="187">
        <f>IF(OR(AND(AI84&lt;&gt;0,AI86=0),AND(AI84=0,AI86&lt;&gt;0)),"Ошибка",IF(AI86=0,0,AI84/AI86))</f>
        <v>0</v>
      </c>
      <c r="AJ85" s="187">
        <f>IF(OR(AND(AJ84&lt;&gt;0,AJ86=0),AND(AJ84=0,AJ86&lt;&gt;0)),"Ошибка",IF(AJ86=0,0,AJ84/AJ86))</f>
        <v>0</v>
      </c>
      <c r="AK85" s="187">
        <f>IF(OR(AND(AK84&lt;&gt;0,AK86=0),AND(AK84=0,AK86&lt;&gt;0)),"Ошибка",IF(AK86=0,0,AK84/AK86))</f>
        <v>0</v>
      </c>
      <c r="AL85" s="187">
        <f>IF(OR(AND(AL84&lt;&gt;0,AL86=0),AND(AL84=0,AL86&lt;&gt;0)),"Ошибка",IF(AL86=0,0,AL84/AL86))</f>
        <v>0</v>
      </c>
      <c r="AM85" s="187">
        <f>IF(OR(AND(AM84&lt;&gt;0,AM86=0),AND(AM84=0,AM86&lt;&gt;0)),"Ошибка",IF(AM86=0,0,AM84/AM86))</f>
        <v>0</v>
      </c>
      <c r="AN85" s="187">
        <f>IF(OR(AND(AN84&lt;&gt;0,AN86=0),AND(AN84=0,AN86&lt;&gt;0)),"Ошибка",IF(AN86=0,0,AN84/AN86))</f>
        <v>0</v>
      </c>
      <c r="AO85" s="187">
        <f>IF(OR(AND(AO84&lt;&gt;0,AO86=0),AND(AO84=0,AO86&lt;&gt;0)),"Ошибка",IF(AO86=0,0,AO84/AO86))</f>
        <v>0</v>
      </c>
      <c r="AP85" s="187">
        <f>IF(OR(AND(AP84&lt;&gt;0,AP86=0),AND(AP84=0,AP86&lt;&gt;0)),"Ошибка",IF(AP86=0,0,AP84/AP86))</f>
        <v>0</v>
      </c>
      <c r="AQ85" s="187">
        <f>IF(OR(AND(AQ84&lt;&gt;0,AQ86=0),AND(AQ84=0,AQ86&lt;&gt;0)),"Ошибка",IF(AQ86=0,0,AQ84/AQ86))</f>
        <v>0</v>
      </c>
      <c r="AR85" s="187">
        <f>IF(OR(AND(AR84&lt;&gt;0,AR86=0),AND(AR84=0,AR86&lt;&gt;0)),"Ошибка",IF(AR86=0,0,AR84/AR86))</f>
        <v>0</v>
      </c>
      <c r="AS85" s="187">
        <f>IF(OR(AND(AS84&lt;&gt;0,AS86=0),AND(AS84=0,AS86&lt;&gt;0)),"Ошибка",IF(AS86=0,0,AS84/AS86))</f>
        <v>5.71154583812812</v>
      </c>
      <c r="AT85" s="187" t="str">
        <f>IF(OR(AND(AT84&lt;&gt;0,AT86=0),AND(AT84=0,AT86&lt;&gt;0)),"Ошибка",IF(AT86=0,0,AT84/AT86))</f>
        <v>Ошибка</v>
      </c>
      <c r="AU85" s="187" t="str">
        <f>IF(OR(AND(AU84&lt;&gt;0,AU86=0),AND(AU84=0,AU86&lt;&gt;0)),"Ошибка",IF(AU86=0,0,AU84/AU86))</f>
        <v>Ошибка</v>
      </c>
      <c r="AV85" s="187">
        <f>IF(OR(AND(AV84&lt;&gt;0,AV86=0),AND(AV84=0,AV86&lt;&gt;0)),"Ошибка",IF(AV86=0,0,AV84/AV86))</f>
        <v>0</v>
      </c>
      <c r="AW85" s="187">
        <f>IF(OR(AND(AW84&lt;&gt;0,AW86=0),AND(AW84=0,AW86&lt;&gt;0)),"Ошибка",IF(AW86=0,0,AW84/AW86))</f>
        <v>0</v>
      </c>
      <c r="AX85" s="187">
        <f>IF(OR(AND(AX84&lt;&gt;0,AX86=0),AND(AX84=0,AX86&lt;&gt;0)),"Ошибка",IF(AX86=0,0,AX84/AX86))</f>
        <v>0</v>
      </c>
      <c r="AY85" s="187">
        <f>IF(OR(AND(AY84&lt;&gt;0,AY86=0),AND(AY84=0,AY86&lt;&gt;0)),"Ошибка",IF(AY86=0,0,AY84/AY86))</f>
        <v>0</v>
      </c>
      <c r="AZ85" s="187">
        <f>IF(OR(AND(AZ84&lt;&gt;0,AZ86=0),AND(AZ84=0,AZ86&lt;&gt;0)),"Ошибка",IF(AZ86=0,0,AZ84/AZ86))</f>
        <v>0</v>
      </c>
      <c r="BA85" s="187">
        <f>IF(OR(AND(BA84&lt;&gt;0,BA86=0),AND(BA84=0,BA86&lt;&gt;0)),"Ошибка",IF(BA86=0,0,BA84/BA86))</f>
        <v>0</v>
      </c>
      <c r="BB85" s="187">
        <f>IF(OR(AND(BB84&lt;&gt;0,BB86=0),AND(BB84=0,BB86&lt;&gt;0)),"Ошибка",IF(BB86=0,0,BB84/BB86))</f>
        <v>0</v>
      </c>
      <c r="BC85" s="196" t="s">
        <v>1030</v>
      </c>
      <c r="BD85" s="1541"/>
      <c r="BE85" s="1541"/>
      <c r="BF85" s="1038" t="s">
        <v>998</v>
      </c>
      <c r="BG85" s="1038" t="s">
        <v>993</v>
      </c>
      <c r="BH85" s="1038" cm="1" t="str">
        <f t="array" ref="BH85:BH85">BH84</f>
        <v>НН</v>
      </c>
      <c r="BI85" s="1191" cm="1" t="str">
        <f t="array" ref="BI85:BI85">BI84</f>
        <v>ПАО "Кузбассэнергосбыт" (ИНН: 4205109214, КПП: 420501001)</v>
      </c>
      <c r="BJ85" s="263"/>
      <c r="BK85" s="263"/>
    </row>
    <row s="1191" customFormat="1" customHeight="1" ht="53.671875">
      <c r="A86" s="1541"/>
      <c r="B86" s="431"/>
      <c r="C86" s="486"/>
      <c r="D86" s="1541"/>
      <c r="E86" s="263">
        <v>11.25</v>
      </c>
      <c r="F86" s="50" cm="1" t="str">
        <f t="array" ref="F86:F86">OFFSET(E86,-1,1)</f>
        <v>1</v>
      </c>
      <c r="G86" s="122" t="s">
        <v>999</v>
      </c>
      <c r="H86" s="122" cm="1" t="str">
        <f t="array" ref="H86:H86">H85</f>
        <v>НН</v>
      </c>
      <c r="I86" s="1541"/>
      <c r="J86" s="1541"/>
      <c r="K86" s="1541"/>
      <c r="L86" s="1541"/>
      <c r="M86" s="1541"/>
      <c r="N86" s="1541"/>
      <c r="O86" s="1541"/>
      <c r="P86" s="1541"/>
      <c r="Q86" s="1541"/>
      <c r="R86" s="1541"/>
      <c r="S86" s="1541"/>
      <c r="T86" s="468" cm="1" t="str">
        <f t="array" ref="T86:T86">T85</f>
        <v>true</v>
      </c>
      <c r="U86" s="1541"/>
      <c r="V86" s="1541"/>
      <c r="W86" s="1541"/>
      <c r="X86" s="1519"/>
      <c r="Y86" s="1519"/>
      <c r="Z86" s="1541"/>
      <c r="AA86" s="1516"/>
      <c r="AB86" s="85" t="str">
        <f>AB82&amp;".4"</f>
        <v>7.2.4</v>
      </c>
      <c r="AC86" s="328" t="s">
        <v>988</v>
      </c>
      <c r="AD86" s="88" t="s">
        <v>972</v>
      </c>
      <c r="AE86" s="137"/>
      <c r="AF86" s="137"/>
      <c r="AG86" s="137">
        <v>23.37</v>
      </c>
      <c r="AH86" s="137"/>
      <c r="AI86" s="137"/>
      <c r="AJ86" s="1817"/>
      <c r="AK86" s="1817"/>
      <c r="AL86" s="1817"/>
      <c r="AM86" s="1817"/>
      <c r="AN86" s="1817"/>
      <c r="AO86" s="1817"/>
      <c r="AP86" s="1817"/>
      <c r="AQ86" s="1817"/>
      <c r="AR86" s="1817"/>
      <c r="AS86" s="137">
        <v>26.07</v>
      </c>
      <c r="AT86" s="1817" cm="1" t="str">
        <f t="array" ref="AT86:AT86">AS86</f>
        <v>26.07</v>
      </c>
      <c r="AU86" s="1817" cm="1" t="str">
        <f t="array" ref="AU86:AU86">AS86</f>
        <v>26.07</v>
      </c>
      <c r="AV86" s="1817"/>
      <c r="AW86" s="1817"/>
      <c r="AX86" s="1817"/>
      <c r="AY86" s="1817"/>
      <c r="AZ86" s="1817"/>
      <c r="BA86" s="1817"/>
      <c r="BB86" s="1817"/>
      <c r="BC86" s="196" t="s">
        <v>1031</v>
      </c>
      <c r="BD86" s="1541"/>
      <c r="BE86" s="1541"/>
      <c r="BF86" s="1038" t="s">
        <v>1000</v>
      </c>
      <c r="BG86" s="1038" t="s">
        <v>993</v>
      </c>
      <c r="BH86" s="1038" cm="1" t="str">
        <f t="array" ref="BH86:BH86">BH85</f>
        <v>НН</v>
      </c>
      <c r="BI86" s="1191" cm="1" t="str">
        <f t="array" ref="BI86:BI86">BI85</f>
        <v>ПАО "Кузбассэнергосбыт" (ИНН: 4205109214, КПП: 420501001)</v>
      </c>
      <c r="BJ86" s="263"/>
      <c r="BK86" s="263"/>
    </row>
    <row s="1191" customFormat="1" customHeight="1" ht="51.421875">
      <c r="A87" s="1541"/>
      <c r="B87" s="431"/>
      <c r="C87" s="486"/>
      <c r="D87" s="1541"/>
      <c r="E87" s="263">
        <v>11.25</v>
      </c>
      <c r="F87" s="50" cm="1" t="str">
        <f t="array" ref="F87:F87">OFFSET(E87,-1,1)</f>
        <v>1</v>
      </c>
      <c r="G87" s="122" t="s">
        <v>803</v>
      </c>
      <c r="H87" s="122" cm="1" t="str">
        <f t="array" ref="H87:H87">H86</f>
        <v>НН</v>
      </c>
      <c r="I87" s="1541"/>
      <c r="J87" s="1541"/>
      <c r="K87" s="1541"/>
      <c r="L87" s="1541"/>
      <c r="M87" s="1541"/>
      <c r="N87" s="1541"/>
      <c r="O87" s="1541"/>
      <c r="P87" s="1541"/>
      <c r="Q87" s="1541"/>
      <c r="R87" s="1541"/>
      <c r="S87" s="1541"/>
      <c r="T87" s="468" cm="1" t="str">
        <f t="array" ref="T87:T87">T86</f>
        <v>true</v>
      </c>
      <c r="U87" s="1541"/>
      <c r="V87" s="1541"/>
      <c r="W87" s="1541"/>
      <c r="X87" s="1519"/>
      <c r="Y87" s="1519"/>
      <c r="Z87" s="1541"/>
      <c r="AA87" s="1516"/>
      <c r="AB87" s="85" t="str">
        <f>AB82&amp;".5"</f>
        <v>7.2.5</v>
      </c>
      <c r="AC87" s="188" t="s">
        <v>1001</v>
      </c>
      <c r="AD87" s="85" t="s">
        <v>995</v>
      </c>
      <c r="AE87" s="137"/>
      <c r="AF87" s="137"/>
      <c r="AG87" s="137">
        <v>258.75</v>
      </c>
      <c r="AH87" s="137"/>
      <c r="AI87" s="137"/>
      <c r="AJ87" s="1817"/>
      <c r="AK87" s="1817"/>
      <c r="AL87" s="1817"/>
      <c r="AM87" s="1817"/>
      <c r="AN87" s="1817"/>
      <c r="AO87" s="1817"/>
      <c r="AP87" s="1817"/>
      <c r="AQ87" s="1817"/>
      <c r="AR87" s="1817"/>
      <c r="AS87" s="137">
        <v>335.08</v>
      </c>
      <c r="AT87" s="1817"/>
      <c r="AU87" s="1817"/>
      <c r="AV87" s="1817"/>
      <c r="AW87" s="1817"/>
      <c r="AX87" s="1817"/>
      <c r="AY87" s="1817"/>
      <c r="AZ87" s="1817"/>
      <c r="BA87" s="1817"/>
      <c r="BB87" s="1817"/>
      <c r="BC87" s="196" t="s">
        <v>1032</v>
      </c>
      <c r="BD87" s="1541"/>
      <c r="BE87" s="1541"/>
      <c r="BF87" s="1038" t="s">
        <v>1002</v>
      </c>
      <c r="BG87" s="1038" t="s">
        <v>993</v>
      </c>
      <c r="BH87" s="1038" cm="1" t="str">
        <f t="array" ref="BH87:BH87">BH86</f>
        <v>НН</v>
      </c>
      <c r="BI87" s="1191" cm="1" t="str">
        <f t="array" ref="BI87:BI87">BI86</f>
        <v>ПАО "Кузбассэнергосбыт" (ИНН: 4205109214, КПП: 420501001)</v>
      </c>
      <c r="BJ87" s="263"/>
      <c r="BK87" s="263"/>
    </row>
    <row s="1191" customFormat="1" customHeight="1" ht="48.421875">
      <c r="A88" s="1541"/>
      <c r="B88" s="431"/>
      <c r="C88" s="486"/>
      <c r="D88" s="1541"/>
      <c r="E88" s="263">
        <v>11.25</v>
      </c>
      <c r="F88" s="50" cm="1" t="str">
        <f t="array" ref="F88:F88">OFFSET(E88,-1,1)</f>
        <v>1</v>
      </c>
      <c r="G88" s="122" t="s">
        <v>1003</v>
      </c>
      <c r="H88" s="122" cm="1" t="str">
        <f t="array" ref="H88:H88">H87</f>
        <v>НН</v>
      </c>
      <c r="I88" s="1541"/>
      <c r="J88" s="1541"/>
      <c r="K88" s="1541"/>
      <c r="L88" s="1541"/>
      <c r="M88" s="1541"/>
      <c r="N88" s="1541"/>
      <c r="O88" s="1541"/>
      <c r="P88" s="1541"/>
      <c r="Q88" s="1541"/>
      <c r="R88" s="1541"/>
      <c r="S88" s="1541"/>
      <c r="T88" s="468" cm="1" t="str">
        <f t="array" ref="T88:T88">T87</f>
        <v>true</v>
      </c>
      <c r="U88" s="1541"/>
      <c r="V88" s="1541"/>
      <c r="W88" s="1541"/>
      <c r="X88" s="1519"/>
      <c r="Y88" s="1519"/>
      <c r="Z88" s="1541"/>
      <c r="AA88" s="1516"/>
      <c r="AB88" s="85" t="str">
        <f>AB82&amp;".6"</f>
        <v>7.2.6</v>
      </c>
      <c r="AC88" s="328" t="s">
        <v>1004</v>
      </c>
      <c r="AD88" s="88" t="s">
        <v>1005</v>
      </c>
      <c r="AE88" s="187">
        <f>IF(OR(AND(AE87&lt;&gt;0,AE89=0),AND(AE87=0,AE89&lt;&gt;0)),"Ошибка",IF(AE89=0,0,AE87/AE89*1000/12))</f>
        <v>0</v>
      </c>
      <c r="AF88" s="187">
        <f>IF(OR(AND(AF87&lt;&gt;0,AF89=0),AND(AF87=0,AF89&lt;&gt;0)),"Ошибка",IF(AF89=0,0,AF87/AF89*1000/12))</f>
        <v>0</v>
      </c>
      <c r="AG88" s="187">
        <f>IF(OR(AND(AG87&lt;&gt;0,AG89=0),AND(AG87=0,AG89&lt;&gt;0)),"Ошибка",IF(AG89=0,0,AG87/AG89*1000/12))</f>
        <v>2156250</v>
      </c>
      <c r="AH88" s="187">
        <f>IF(OR(AND(AH87&lt;&gt;0,AH89=0),AND(AH87=0,AH89&lt;&gt;0)),"Ошибка",IF(AH89=0,0,AH87/AH89*1000/12))</f>
        <v>0</v>
      </c>
      <c r="AI88" s="187">
        <f>IF(OR(AND(AI87&lt;&gt;0,AI89=0),AND(AI87=0,AI89&lt;&gt;0)),"Ошибка",IF(AI89=0,0,AI87/AI89*1000/12))</f>
        <v>0</v>
      </c>
      <c r="AJ88" s="187">
        <f>IF(OR(AND(AJ87&lt;&gt;0,AJ89=0),AND(AJ87=0,AJ89&lt;&gt;0)),"Ошибка",IF(AJ89=0,0,AJ87/AJ89*1000/12))</f>
        <v>0</v>
      </c>
      <c r="AK88" s="187">
        <f>IF(OR(AND(AK87&lt;&gt;0,AK89=0),AND(AK87=0,AK89&lt;&gt;0)),"Ошибка",IF(AK89=0,0,AK87/AK89*1000/12))</f>
        <v>0</v>
      </c>
      <c r="AL88" s="187">
        <f>IF(OR(AND(AL87&lt;&gt;0,AL89=0),AND(AL87=0,AL89&lt;&gt;0)),"Ошибка",IF(AL89=0,0,AL87/AL89*1000/12))</f>
        <v>0</v>
      </c>
      <c r="AM88" s="187">
        <f>IF(OR(AND(AM87&lt;&gt;0,AM89=0),AND(AM87=0,AM89&lt;&gt;0)),"Ошибка",IF(AM89=0,0,AM87/AM89*1000/12))</f>
        <v>0</v>
      </c>
      <c r="AN88" s="187">
        <f>IF(OR(AND(AN87&lt;&gt;0,AN89=0),AND(AN87=0,AN89&lt;&gt;0)),"Ошибка",IF(AN89=0,0,AN87/AN89*1000/12))</f>
        <v>0</v>
      </c>
      <c r="AO88" s="187">
        <f>IF(OR(AND(AO87&lt;&gt;0,AO89=0),AND(AO87=0,AO89&lt;&gt;0)),"Ошибка",IF(AO89=0,0,AO87/AO89*1000/12))</f>
        <v>0</v>
      </c>
      <c r="AP88" s="187">
        <f>IF(OR(AND(AP87&lt;&gt;0,AP89=0),AND(AP87=0,AP89&lt;&gt;0)),"Ошибка",IF(AP89=0,0,AP87/AP89*1000/12))</f>
        <v>0</v>
      </c>
      <c r="AQ88" s="187">
        <f>IF(OR(AND(AQ87&lt;&gt;0,AQ89=0),AND(AQ87=0,AQ89&lt;&gt;0)),"Ошибка",IF(AQ89=0,0,AQ87/AQ89*1000/12))</f>
        <v>0</v>
      </c>
      <c r="AR88" s="187">
        <f>IF(OR(AND(AR87&lt;&gt;0,AR89=0),AND(AR87=0,AR89&lt;&gt;0)),"Ошибка",IF(AR89=0,0,AR87/AR89*1000/12))</f>
        <v>0</v>
      </c>
      <c r="AS88" s="187">
        <f>IF(OR(AND(AS87&lt;&gt;0,AS89=0),AND(AS87=0,AS89&lt;&gt;0)),"Ошибка",IF(AS89=0,0,AS87/AS89*1000/12))</f>
        <v>2792333.33333333</v>
      </c>
      <c r="AT88" s="187">
        <f>IF(OR(AND(AT87&lt;&gt;0,AT89=0),AND(AT87=0,AT89&lt;&gt;0)),"Ошибка",IF(AT89=0,0,AT87/AT89*1000/12))</f>
        <v>0</v>
      </c>
      <c r="AU88" s="187">
        <f>IF(OR(AND(AU87&lt;&gt;0,AU89=0),AND(AU87=0,AU89&lt;&gt;0)),"Ошибка",IF(AU89=0,0,AU87/AU89*1000/12))</f>
        <v>0</v>
      </c>
      <c r="AV88" s="187">
        <f>IF(OR(AND(AV87&lt;&gt;0,AV89=0),AND(AV87=0,AV89&lt;&gt;0)),"Ошибка",IF(AV89=0,0,AV87/AV89*1000/12))</f>
        <v>0</v>
      </c>
      <c r="AW88" s="187">
        <f>IF(OR(AND(AW87&lt;&gt;0,AW89=0),AND(AW87=0,AW89&lt;&gt;0)),"Ошибка",IF(AW89=0,0,AW87/AW89*1000/12))</f>
        <v>0</v>
      </c>
      <c r="AX88" s="187">
        <f>IF(OR(AND(AX87&lt;&gt;0,AX89=0),AND(AX87=0,AX89&lt;&gt;0)),"Ошибка",IF(AX89=0,0,AX87/AX89*1000/12))</f>
        <v>0</v>
      </c>
      <c r="AY88" s="187">
        <f>IF(OR(AND(AY87&lt;&gt;0,AY89=0),AND(AY87=0,AY89&lt;&gt;0)),"Ошибка",IF(AY89=0,0,AY87/AY89*1000/12))</f>
        <v>0</v>
      </c>
      <c r="AZ88" s="187">
        <f>IF(OR(AND(AZ87&lt;&gt;0,AZ89=0),AND(AZ87=0,AZ89&lt;&gt;0)),"Ошибка",IF(AZ89=0,0,AZ87/AZ89*1000/12))</f>
        <v>0</v>
      </c>
      <c r="BA88" s="187">
        <f>IF(OR(AND(BA87&lt;&gt;0,BA89=0),AND(BA87=0,BA89&lt;&gt;0)),"Ошибка",IF(BA89=0,0,BA87/BA89*1000/12))</f>
        <v>0</v>
      </c>
      <c r="BB88" s="187">
        <f>IF(OR(AND(BB87&lt;&gt;0,BB89=0),AND(BB87=0,BB89&lt;&gt;0)),"Ошибка",IF(BB89=0,0,BB87/BB89*1000/12))</f>
        <v>0</v>
      </c>
      <c r="BC88" s="196" t="s">
        <v>1033</v>
      </c>
      <c r="BD88" s="1541"/>
      <c r="BE88" s="1541"/>
      <c r="BF88" s="1038" t="s">
        <v>1006</v>
      </c>
      <c r="BG88" s="1038" t="s">
        <v>993</v>
      </c>
      <c r="BH88" s="1038" cm="1" t="str">
        <f t="array" ref="BH88:BH88">BH87</f>
        <v>НН</v>
      </c>
      <c r="BI88" s="1191" cm="1" t="str">
        <f t="array" ref="BI88:BI88">BI87</f>
        <v>ПАО "Кузбассэнергосбыт" (ИНН: 4205109214, КПП: 420501001)</v>
      </c>
      <c r="BJ88" s="263"/>
      <c r="BK88" s="263"/>
    </row>
    <row s="1191" customFormat="1" customHeight="1" ht="28.921875">
      <c r="A89" s="1541"/>
      <c r="B89" s="431"/>
      <c r="C89" s="486"/>
      <c r="D89" s="1541"/>
      <c r="E89" s="263">
        <v>11.25</v>
      </c>
      <c r="F89" s="50" cm="1" t="str">
        <f t="array" ref="F89:F89">OFFSET(E89,-1,1)</f>
        <v>1</v>
      </c>
      <c r="G89" s="122" t="s">
        <v>1007</v>
      </c>
      <c r="H89" s="122" cm="1" t="str">
        <f t="array" ref="H89:H89">H88</f>
        <v>НН</v>
      </c>
      <c r="I89" s="1541"/>
      <c r="J89" s="1541"/>
      <c r="K89" s="1541"/>
      <c r="L89" s="1541"/>
      <c r="M89" s="1541"/>
      <c r="N89" s="1541"/>
      <c r="O89" s="1541"/>
      <c r="P89" s="1541"/>
      <c r="Q89" s="1541"/>
      <c r="R89" s="1541"/>
      <c r="S89" s="1541"/>
      <c r="T89" s="468" cm="1" t="str">
        <f t="array" ref="T89:T89">T88</f>
        <v>true</v>
      </c>
      <c r="U89" s="1541"/>
      <c r="V89" s="1541"/>
      <c r="W89" s="1541"/>
      <c r="X89" s="1519"/>
      <c r="Y89" s="1519"/>
      <c r="Z89" s="1541"/>
      <c r="AA89" s="1516"/>
      <c r="AB89" s="85" t="str">
        <f>AB82&amp;".7"</f>
        <v>7.2.7</v>
      </c>
      <c r="AC89" s="328" t="s">
        <v>1008</v>
      </c>
      <c r="AD89" s="88" t="s">
        <v>1009</v>
      </c>
      <c r="AE89" s="137"/>
      <c r="AF89" s="137"/>
      <c r="AG89" s="137">
        <f>0.12/12</f>
        <v>0.01</v>
      </c>
      <c r="AH89" s="137"/>
      <c r="AI89" s="137"/>
      <c r="AJ89" s="1817"/>
      <c r="AK89" s="1817"/>
      <c r="AL89" s="1817"/>
      <c r="AM89" s="1817"/>
      <c r="AN89" s="1817"/>
      <c r="AO89" s="1817"/>
      <c r="AP89" s="1817"/>
      <c r="AQ89" s="1817"/>
      <c r="AR89" s="1817"/>
      <c r="AS89" s="137">
        <f>0.12/12</f>
        <v>0.01</v>
      </c>
      <c r="AT89" s="1817"/>
      <c r="AU89" s="1817"/>
      <c r="AV89" s="1817"/>
      <c r="AW89" s="1817"/>
      <c r="AX89" s="1817"/>
      <c r="AY89" s="1817"/>
      <c r="AZ89" s="1817"/>
      <c r="BA89" s="1817"/>
      <c r="BB89" s="1817"/>
      <c r="BC89" s="196" t="s">
        <v>1034</v>
      </c>
      <c r="BD89" s="1541"/>
      <c r="BE89" s="1541"/>
      <c r="BF89" s="1038" t="s">
        <v>1010</v>
      </c>
      <c r="BG89" s="1038" t="s">
        <v>993</v>
      </c>
      <c r="BH89" s="1038" cm="1" t="str">
        <f t="array" ref="BH89:BH89">BH88</f>
        <v>НН</v>
      </c>
      <c r="BI89" s="1191" cm="1" t="str">
        <f t="array" ref="BI89:BI89">BI88</f>
        <v>ПАО "Кузбассэнергосбыт" (ИНН: 4205109214, КПП: 420501001)</v>
      </c>
      <c r="BJ89" s="263"/>
      <c r="BK89" s="263"/>
    </row>
    <row s="1363" customFormat="1" customHeight="1" ht="14.25">
      <c r="A90" s="1363"/>
      <c r="B90" s="429"/>
      <c r="C90" s="486"/>
      <c r="D90" s="1363"/>
      <c r="E90" s="638">
        <v>15</v>
      </c>
      <c r="F90" s="50" cm="1" t="str">
        <f t="array" ref="F90:F90">OFFSET(E90,-1,1)</f>
        <v>1</v>
      </c>
      <c r="G90" s="1363"/>
      <c r="H90" s="965" t="s">
        <v>1011</v>
      </c>
      <c r="I90" s="1363"/>
      <c r="J90" s="1363"/>
      <c r="K90" s="1363"/>
      <c r="L90" s="1363"/>
      <c r="M90" s="1363"/>
      <c r="N90" s="1363"/>
      <c r="O90" s="1363"/>
      <c r="P90" s="1363"/>
      <c r="Q90" s="1363"/>
      <c r="R90" s="1363"/>
      <c r="S90" s="1363"/>
      <c r="T90" s="468">
        <f>F90&gt;0</f>
        <v>1</v>
      </c>
      <c r="U90" s="1363"/>
      <c r="V90" s="1363"/>
      <c r="W90" s="764" t="s">
        <v>1012</v>
      </c>
      <c r="X90" s="1519"/>
      <c r="Y90" s="1363"/>
      <c r="Z90" s="1541"/>
      <c r="AA90" s="1363"/>
      <c r="AB90" s="171"/>
      <c r="AC90" s="174" t="s">
        <v>1013</v>
      </c>
      <c r="AD90" s="172"/>
      <c r="AE90" s="172"/>
      <c r="AF90" s="172"/>
      <c r="AG90" s="172"/>
      <c r="AH90" s="172"/>
      <c r="AI90" s="172"/>
      <c r="AJ90" s="172"/>
      <c r="AK90" s="172"/>
      <c r="AL90" s="172"/>
      <c r="AM90" s="172"/>
      <c r="AN90" s="172"/>
      <c r="AO90" s="172"/>
      <c r="AP90" s="172"/>
      <c r="AQ90" s="172"/>
      <c r="AR90" s="172"/>
      <c r="AS90" s="172"/>
      <c r="AT90" s="172"/>
      <c r="AU90" s="172"/>
      <c r="AV90" s="172"/>
      <c r="AW90" s="172"/>
      <c r="AX90" s="172"/>
      <c r="AY90" s="172"/>
      <c r="AZ90" s="172"/>
      <c r="BA90" s="172"/>
      <c r="BB90" s="172"/>
      <c r="BC90" s="183"/>
      <c r="BD90" s="1363"/>
      <c r="BE90" s="1363"/>
      <c r="BF90" s="1026"/>
      <c r="BG90" s="1026"/>
      <c r="BH90" s="1026"/>
      <c r="BJ90" s="638" t="s">
        <v>993</v>
      </c>
      <c r="BK90" s="638"/>
    </row>
    <row s="2979" customFormat="1" customHeight="1" ht="86.671875">
      <c r="A91" s="1189"/>
      <c r="B91" s="431"/>
      <c r="C91" s="488"/>
      <c r="D91" s="1189"/>
      <c r="E91" s="637">
        <v>15</v>
      </c>
      <c r="F91" s="94" cm="1" t="str">
        <f t="array" ref="F91:F91">X91</f>
        <v>2</v>
      </c>
      <c r="G91" s="94"/>
      <c r="H91" s="94"/>
      <c r="I91" s="1189"/>
      <c r="J91" s="1189"/>
      <c r="K91" s="1189"/>
      <c r="L91" s="1189"/>
      <c r="M91" s="1189"/>
      <c r="N91" s="1189"/>
      <c r="O91" s="1189"/>
      <c r="P91" s="1189"/>
      <c r="Q91" s="1189"/>
      <c r="R91" s="1189"/>
      <c r="S91" s="1189"/>
      <c r="T91" s="468">
        <f>X91&gt;0</f>
        <v>1</v>
      </c>
      <c r="U91" s="1189"/>
      <c r="V91" s="140" cm="1" t="str">
        <f t="array" ref="V91:V91">'Сырье и материалы'!$AB$69</f>
        <v>Тариф 2 (Водоотведение) - тариф на водоотведение (Оказание услуг на территории: город Ленинск-Кузнецкий (ОКТМО: 32719000) - г Ленинск-Кузнецкий)</v>
      </c>
      <c r="W91" s="1189"/>
      <c r="X91" s="1519" t="s">
        <v>299</v>
      </c>
      <c r="Y91" s="1189"/>
      <c r="Z91" s="1541"/>
      <c r="AA91" s="1189"/>
      <c r="AB91" s="179" cm="1" t="str">
        <f t="array" ref="AB91:AB91">'Сырье и материалы'!$AB$69</f>
        <v>Тариф 2 (Водоотведение) - тариф на водоотведение (Оказание услуг на территории: город Ленинск-Кузнецкий (ОКТМО: 32719000) - г Ленинск-Кузнецкий)</v>
      </c>
      <c r="AC91" s="176"/>
      <c r="AD91" s="170"/>
      <c r="AE91" s="170"/>
      <c r="AF91" s="170"/>
      <c r="AG91" s="170"/>
      <c r="AH91" s="170"/>
      <c r="AI91" s="170"/>
      <c r="AJ91" s="170"/>
      <c r="AK91" s="170"/>
      <c r="AL91" s="170"/>
      <c r="AM91" s="170"/>
      <c r="AN91" s="170"/>
      <c r="AO91" s="170"/>
      <c r="AP91" s="170"/>
      <c r="AQ91" s="170"/>
      <c r="AR91" s="170"/>
      <c r="AS91" s="170"/>
      <c r="AT91" s="170"/>
      <c r="AU91" s="170"/>
      <c r="AV91" s="170"/>
      <c r="AW91" s="170"/>
      <c r="AX91" s="170"/>
      <c r="AY91" s="170"/>
      <c r="AZ91" s="170"/>
      <c r="BA91" s="170"/>
      <c r="BB91" s="170"/>
      <c r="BC91" s="170"/>
      <c r="BD91" s="1189"/>
      <c r="BE91" s="1189"/>
      <c r="BF91" s="1021"/>
      <c r="BG91" s="1021"/>
      <c r="BH91" s="1021"/>
      <c r="BJ91" s="635"/>
      <c r="BK91" s="635"/>
    </row>
    <row s="1191" customFormat="1" customHeight="1" ht="70.921875">
      <c r="A92" s="1541"/>
      <c r="B92" s="431"/>
      <c r="C92" s="486"/>
      <c r="D92" s="964"/>
      <c r="E92" s="263">
        <v>11.25</v>
      </c>
      <c r="F92" s="50" cm="1" t="str">
        <f t="array" ref="F92:F92">OFFSET(E92,-1,1)</f>
        <v>2</v>
      </c>
      <c r="G92" s="122" t="s">
        <v>344</v>
      </c>
      <c r="H92" s="122"/>
      <c r="I92" s="1541"/>
      <c r="J92" s="1541"/>
      <c r="K92" s="486" t="str">
        <f>F92&amp;"komm"</f>
        <v>2komm</v>
      </c>
      <c r="L92" s="924" cm="1" t="str">
        <f t="array" ref="L92:L92">BC92</f>
        <v>Пункты 90 и 95 "Методических указаний" (приказ ФСТ № 1746-э от 27.12.2013). Формулы (39.1), (39.2), (39.3). ОСНОВАНИЕ:  Пункт 8 Статьи 25  Федерального закона от 23.11.2009 N 261-ФЗ (ред. от 31.07.2025 N 353-ФЗ) "Об энергосбережении и о повышении энергетической эффективности и о внесении изменений в отдельные законодательные акты Российской Федерации".</v>
      </c>
      <c r="M92" s="1541"/>
      <c r="N92" s="1541"/>
      <c r="O92" s="1541"/>
      <c r="P92" s="1541"/>
      <c r="Q92" s="1541"/>
      <c r="R92" s="1541"/>
      <c r="S92" s="1541"/>
      <c r="T92" s="468" cm="1" t="str">
        <f t="array" ref="T92:T92">T91</f>
        <v>true</v>
      </c>
      <c r="U92" s="1541"/>
      <c r="V92" s="1541"/>
      <c r="W92" s="1541"/>
      <c r="X92" s="1519"/>
      <c r="Y92" s="1541"/>
      <c r="Z92" s="1541"/>
      <c r="AA92" s="1541"/>
      <c r="AB92" s="85" t="s">
        <v>290</v>
      </c>
      <c r="AC92" s="134" t="s">
        <v>935</v>
      </c>
      <c r="AD92" s="85" t="s">
        <v>936</v>
      </c>
      <c r="AE92" s="187">
        <f>IF(COUNTIF(AE97:AE132,"Ошибка")&gt;0,"Ошибка",SUMIF($AD97:$AD132,$AD92,AE97:AE132))</f>
        <v>27467.85</v>
      </c>
      <c r="AF92" s="187">
        <f>IF(COUNTIF(AF97:AF132,"Ошибка")&gt;0,"Ошибка",SUMIF($AD97:$AD132,$AD92,AF97:AF132))</f>
        <v>25260.05</v>
      </c>
      <c r="AG92" s="187">
        <f>IF(COUNTIF(AG97:AG132,"Ошибка")&gt;0,"Ошибка",SUMIF($AD97:$AD132,$AD92,AG97:AG132))</f>
        <v>25321.4724704908</v>
      </c>
      <c r="AH92" s="187">
        <f>IF(COUNTIF(AH97:AH132,"Ошибка")&gt;0,"Ошибка",SUMIF($AD97:$AD132,$AD92,AH97:AH132))</f>
        <v>28677.03</v>
      </c>
      <c r="AI92" s="187">
        <f>IF(COUNTIF(AI97:AI132,"Ошибка")&gt;0,"Ошибка",SUMIF($AD97:$AD132,$AD92,AI97:AI132))</f>
        <v>30380.09</v>
      </c>
      <c r="AJ92" s="187">
        <f>IF(COUNTIF(AJ97:AJ132,"Ошибка")&gt;0,"Ошибка",SUMIF($AD97:$AD132,$AD92,AJ97:AJ132))</f>
        <v>0</v>
      </c>
      <c r="AK92" s="187">
        <f>IF(COUNTIF(AK97:AK132,"Ошибка")&gt;0,"Ошибка",SUMIF($AD97:$AD132,$AD92,AK97:AK132))</f>
        <v>0</v>
      </c>
      <c r="AL92" s="187">
        <f>IF(COUNTIF(AL97:AL132,"Ошибка")&gt;0,"Ошибка",SUMIF($AD97:$AD132,$AD92,AL97:AL132))</f>
        <v>0</v>
      </c>
      <c r="AM92" s="187">
        <f>IF(COUNTIF(AM97:AM132,"Ошибка")&gt;0,"Ошибка",SUMIF($AD97:$AD132,$AD92,AM97:AM132))</f>
        <v>0</v>
      </c>
      <c r="AN92" s="187">
        <f>IF(COUNTIF(AN97:AN132,"Ошибка")&gt;0,"Ошибка",SUMIF($AD97:$AD132,$AD92,AN97:AN132))</f>
        <v>0</v>
      </c>
      <c r="AO92" s="187">
        <f>IF(COUNTIF(AO97:AO132,"Ошибка")&gt;0,"Ошибка",SUMIF($AD97:$AD132,$AD92,AO97:AO132))</f>
        <v>0</v>
      </c>
      <c r="AP92" s="187">
        <f>IF(COUNTIF(AP97:AP132,"Ошибка")&gt;0,"Ошибка",SUMIF($AD97:$AD132,$AD92,AP97:AP132))</f>
        <v>0</v>
      </c>
      <c r="AQ92" s="187">
        <f>IF(COUNTIF(AQ97:AQ132,"Ошибка")&gt;0,"Ошибка",SUMIF($AD97:$AD132,$AD92,AQ97:AQ132))</f>
        <v>0</v>
      </c>
      <c r="AR92" s="187">
        <f>IF(COUNTIF(AR97:AR132,"Ошибка")&gt;0,"Ошибка",SUMIF($AD97:$AD132,$AD92,AR97:AR132))</f>
        <v>0</v>
      </c>
      <c r="AS92" s="187">
        <f>IF(COUNTIF(AS97:AS132,"Ошибка")&gt;0,"Ошибка",SUMIF($AD97:$AD132,$AD92,AS97:AS132))</f>
        <v>32342.06</v>
      </c>
      <c r="AT92" s="187" t="str">
        <f>IF(COUNTIF(AT97:AT132,"Ошибка")&gt;0,"Ошибка",SUMIF($AD97:$AD132,$AD92,AT97:AT132))</f>
        <v>Ошибка</v>
      </c>
      <c r="AU92" s="187" t="str">
        <f>IF(COUNTIF(AU97:AU132,"Ошибка")&gt;0,"Ошибка",SUMIF($AD97:$AD132,$AD92,AU97:AU132))</f>
        <v>Ошибка</v>
      </c>
      <c r="AV92" s="187">
        <f>IF(COUNTIF(AV97:AV132,"Ошибка")&gt;0,"Ошибка",SUMIF($AD97:$AD132,$AD92,AV97:AV132))</f>
        <v>0</v>
      </c>
      <c r="AW92" s="187">
        <f>IF(COUNTIF(AW97:AW132,"Ошибка")&gt;0,"Ошибка",SUMIF($AD97:$AD132,$AD92,AW97:AW132))</f>
        <v>0</v>
      </c>
      <c r="AX92" s="187">
        <f>IF(COUNTIF(AX97:AX132,"Ошибка")&gt;0,"Ошибка",SUMIF($AD97:$AD132,$AD92,AX97:AX132))</f>
        <v>0</v>
      </c>
      <c r="AY92" s="187">
        <f>IF(COUNTIF(AY97:AY132,"Ошибка")&gt;0,"Ошибка",SUMIF($AD97:$AD132,$AD92,AY97:AY132))</f>
        <v>0</v>
      </c>
      <c r="AZ92" s="187">
        <f>IF(COUNTIF(AZ97:AZ132,"Ошибка")&gt;0,"Ошибка",SUMIF($AD97:$AD132,$AD92,AZ97:AZ132))</f>
        <v>0</v>
      </c>
      <c r="BA92" s="187">
        <f>IF(COUNTIF(BA97:BA132,"Ошибка")&gt;0,"Ошибка",SUMIF($AD97:$AD132,$AD92,BA97:BA132))</f>
        <v>0</v>
      </c>
      <c r="BB92" s="187">
        <f>IF(COUNTIF(BB97:BB132,"Ошибка")&gt;0,"Ошибка",SUMIF($AD97:$AD132,$AD92,BB97:BB132))</f>
        <v>0</v>
      </c>
      <c r="BC92" s="196" t="s">
        <v>1035</v>
      </c>
      <c r="BD92" s="1541"/>
      <c r="BE92" s="1541"/>
      <c r="BF92" s="1038" t="s">
        <v>970</v>
      </c>
      <c r="BG92" s="1038"/>
      <c r="BH92" s="1038"/>
      <c r="BJ92" s="263"/>
      <c r="BK92" s="263"/>
    </row>
    <row s="1191" customFormat="1" customHeight="1" ht="47.671875">
      <c r="A93" s="1541"/>
      <c r="B93" s="431"/>
      <c r="C93" s="486"/>
      <c r="D93" s="1541"/>
      <c r="E93" s="263">
        <v>11.25</v>
      </c>
      <c r="F93" s="50" cm="1" t="str">
        <f t="array" ref="F93:F93">OFFSET(E93,-1,1)</f>
        <v>2</v>
      </c>
      <c r="G93" s="122" t="s">
        <v>345</v>
      </c>
      <c r="H93" s="122"/>
      <c r="I93" s="1541"/>
      <c r="J93" s="1541"/>
      <c r="K93" s="1541"/>
      <c r="L93" s="1541"/>
      <c r="M93" s="1541"/>
      <c r="N93" s="1541"/>
      <c r="O93" s="1541"/>
      <c r="P93" s="1541"/>
      <c r="Q93" s="1541"/>
      <c r="R93" s="1541"/>
      <c r="S93" s="1541"/>
      <c r="T93" s="468" cm="1" t="str">
        <f t="array" ref="T93:T93">T92</f>
        <v>true</v>
      </c>
      <c r="U93" s="1541"/>
      <c r="V93" s="1541"/>
      <c r="W93" s="1541"/>
      <c r="X93" s="1519"/>
      <c r="Y93" s="1541"/>
      <c r="Z93" s="1541"/>
      <c r="AA93" s="1541"/>
      <c r="AB93" s="85" t="s">
        <v>299</v>
      </c>
      <c r="AC93" s="134" t="s">
        <v>971</v>
      </c>
      <c r="AD93" s="88" t="s">
        <v>972</v>
      </c>
      <c r="AE93" s="187">
        <f>SUMIF(AD97:AD132,AD93,AE97:AE132)</f>
        <v>5338.4</v>
      </c>
      <c r="AF93" s="187">
        <f>SUMIF(AD97:AD132,AD93,AF97:AF132)</f>
        <v>5171.85</v>
      </c>
      <c r="AG93" s="187">
        <f>SUMIF(AD97:AD132,AD93,AG97:AG132)</f>
        <v>5171.848</v>
      </c>
      <c r="AH93" s="187">
        <f>SUMIF(AD97:AD132,AD93,AH97:AH132)</f>
        <v>5181.98</v>
      </c>
      <c r="AI93" s="187">
        <f>SUMIF(AD97:AD132,AD93,AI97:AI132)</f>
        <v>5174.7</v>
      </c>
      <c r="AJ93" s="187">
        <f>SUMIF(AD97:AD132,AD93,AJ97:AJ132)</f>
        <v>0</v>
      </c>
      <c r="AK93" s="187">
        <f>SUMIF(AD97:AD132,AD93,AK97:AK132)</f>
        <v>0</v>
      </c>
      <c r="AL93" s="187">
        <f>SUMIF(AD97:AD132,AD93,AL97:AL132)</f>
        <v>0</v>
      </c>
      <c r="AM93" s="187">
        <f>SUMIF(AD97:AD132,AD93,AM97:AM132)</f>
        <v>0</v>
      </c>
      <c r="AN93" s="187">
        <f>SUMIF(AD97:AD132,AD93,AN97:AN132)</f>
        <v>0</v>
      </c>
      <c r="AO93" s="187">
        <f>SUMIF(AD97:AD132,AD93,AO97:AO132)</f>
        <v>0</v>
      </c>
      <c r="AP93" s="187">
        <f>SUMIF(AD97:AD132,AD93,AP97:AP132)</f>
        <v>0</v>
      </c>
      <c r="AQ93" s="187">
        <f>SUMIF(AD97:AD132,AD93,AQ97:AQ132)</f>
        <v>0</v>
      </c>
      <c r="AR93" s="187">
        <f>SUMIF(AD97:AD132,AD93,AR97:AR132)</f>
        <v>0</v>
      </c>
      <c r="AS93" s="187">
        <f>SUMIF(AD97:AD132,AD93,AS97:AS132)</f>
        <v>5045.842</v>
      </c>
      <c r="AT93" s="187">
        <f>SUMIF(AD97:AD132,AD93,AT97:AT132)</f>
        <v>5045.842</v>
      </c>
      <c r="AU93" s="187">
        <f>SUMIF(AD97:AD132,AD93,AU97:AU132)</f>
        <v>5045.842</v>
      </c>
      <c r="AV93" s="187">
        <f>SUMIF(AD97:AD132,AD93,AV97:AV132)</f>
        <v>0</v>
      </c>
      <c r="AW93" s="187">
        <f>SUMIF(AD97:AD132,AD93,AW97:AW132)</f>
        <v>0</v>
      </c>
      <c r="AX93" s="187">
        <f>SUMIF(AD97:AD132,AD93,AX97:AX132)</f>
        <v>0</v>
      </c>
      <c r="AY93" s="187">
        <f>SUMIF(AD97:AD132,AD93,AY97:AY132)</f>
        <v>0</v>
      </c>
      <c r="AZ93" s="187">
        <f>SUMIF(AD97:AD132,AD93,AZ97:AZ132)</f>
        <v>0</v>
      </c>
      <c r="BA93" s="187">
        <f>SUMIF(AD97:AD132,AD93,BA97:BA132)</f>
        <v>0</v>
      </c>
      <c r="BB93" s="187">
        <f>SUMIF(AD97:AD132,AD93,BB97:BB132)</f>
        <v>0</v>
      </c>
      <c r="BC93" s="196" t="s">
        <v>1036</v>
      </c>
      <c r="BD93" s="1541"/>
      <c r="BE93" s="1541"/>
      <c r="BF93" s="1038" t="s">
        <v>973</v>
      </c>
      <c r="BG93" s="1038"/>
      <c r="BH93" s="1038"/>
      <c r="BJ93" s="263"/>
      <c r="BK93" s="263"/>
    </row>
    <row s="1191" customFormat="1" customHeight="1" ht="40.921875">
      <c r="A94" s="1541"/>
      <c r="B94" s="431"/>
      <c r="C94" s="486"/>
      <c r="D94" s="1541"/>
      <c r="E94" s="263">
        <v>11.25</v>
      </c>
      <c r="F94" s="50" cm="1" t="str">
        <f t="array" ref="F94:F94">OFFSET(E94,-1,1)</f>
        <v>2</v>
      </c>
      <c r="G94" s="122" t="s">
        <v>346</v>
      </c>
      <c r="H94" s="122"/>
      <c r="I94" s="1541"/>
      <c r="J94" s="1541"/>
      <c r="K94" s="1541"/>
      <c r="L94" s="1541"/>
      <c r="M94" s="1541"/>
      <c r="N94" s="1541"/>
      <c r="O94" s="1541"/>
      <c r="P94" s="1541"/>
      <c r="Q94" s="1541"/>
      <c r="R94" s="1541"/>
      <c r="S94" s="1541"/>
      <c r="T94" s="468" cm="1" t="str">
        <f t="array" ref="T94:T94">T93</f>
        <v>true</v>
      </c>
      <c r="U94" s="1541"/>
      <c r="V94" s="1541"/>
      <c r="W94" s="1541"/>
      <c r="X94" s="1519"/>
      <c r="Y94" s="1541"/>
      <c r="Z94" s="1541"/>
      <c r="AA94" s="1541"/>
      <c r="AB94" s="85" t="s">
        <v>234</v>
      </c>
      <c r="AC94" s="134" t="s">
        <v>974</v>
      </c>
      <c r="AD94" s="88" t="s">
        <v>975</v>
      </c>
      <c r="AE94" s="235">
        <v>7312.87289</v>
      </c>
      <c r="AF94" s="235">
        <v>7470.734</v>
      </c>
      <c r="AG94" s="235">
        <v>7470.734</v>
      </c>
      <c r="AH94" s="235">
        <v>7098.60423</v>
      </c>
      <c r="AI94" s="235">
        <v>7088.6317</v>
      </c>
      <c r="AJ94" s="2907"/>
      <c r="AK94" s="2907"/>
      <c r="AL94" s="2907"/>
      <c r="AM94" s="2907"/>
      <c r="AN94" s="2907"/>
      <c r="AO94" s="2907"/>
      <c r="AP94" s="2907"/>
      <c r="AQ94" s="2907"/>
      <c r="AR94" s="2907"/>
      <c r="AS94" s="235">
        <v>6912.10572</v>
      </c>
      <c r="AT94" s="2907" cm="1" t="str">
        <f t="array" ref="AT94:AT94">AS94</f>
        <v>6912.10572</v>
      </c>
      <c r="AU94" s="2907" cm="1" t="str">
        <f t="array" ref="AU94:AU94">AT94</f>
        <v>6912.10572</v>
      </c>
      <c r="AV94" s="2907"/>
      <c r="AW94" s="2907"/>
      <c r="AX94" s="2907"/>
      <c r="AY94" s="2907"/>
      <c r="AZ94" s="2907"/>
      <c r="BA94" s="2907"/>
      <c r="BB94" s="2907"/>
      <c r="BC94" s="196" t="s">
        <v>1037</v>
      </c>
      <c r="BD94" s="1541"/>
      <c r="BE94" s="1541"/>
      <c r="BF94" s="1038" t="s">
        <v>976</v>
      </c>
      <c r="BG94" s="1038"/>
      <c r="BH94" s="1038"/>
      <c r="BJ94" s="263"/>
      <c r="BK94" s="263"/>
    </row>
    <row s="1191" customFormat="1" customHeight="1" ht="24.421875">
      <c r="A95" s="1541"/>
      <c r="B95" s="431"/>
      <c r="C95" s="486"/>
      <c r="D95" s="1541"/>
      <c r="E95" s="263">
        <v>11.25</v>
      </c>
      <c r="F95" s="50" cm="1" t="str">
        <f t="array" ref="F95:F95">OFFSET(E95,-1,1)</f>
        <v>2</v>
      </c>
      <c r="G95" s="122" t="s">
        <v>348</v>
      </c>
      <c r="H95" s="122"/>
      <c r="I95" s="1541"/>
      <c r="J95" s="1541"/>
      <c r="K95" s="1541"/>
      <c r="L95" s="1541"/>
      <c r="M95" s="1541"/>
      <c r="N95" s="1541"/>
      <c r="O95" s="1541"/>
      <c r="P95" s="1541"/>
      <c r="Q95" s="1541"/>
      <c r="R95" s="1541"/>
      <c r="S95" s="1541"/>
      <c r="T95" s="468" cm="1" t="str">
        <f t="array" ref="T95:T95">T94</f>
        <v>true</v>
      </c>
      <c r="U95" s="1541"/>
      <c r="V95" s="1541"/>
      <c r="W95" s="1541"/>
      <c r="X95" s="1519"/>
      <c r="Y95" s="1541"/>
      <c r="Z95" s="1541"/>
      <c r="AA95" s="1541"/>
      <c r="AB95" s="85" t="s">
        <v>451</v>
      </c>
      <c r="AC95" s="134" t="s">
        <v>977</v>
      </c>
      <c r="AD95" s="88" t="s">
        <v>978</v>
      </c>
      <c r="AE95" s="187">
        <f>IF(AE93=0,0,AE92/AE93)</f>
        <v>5.14533380788251</v>
      </c>
      <c r="AF95" s="187">
        <f>IF(AF93=0,0,AF92/AF93)</f>
        <v>4.88414203814882</v>
      </c>
      <c r="AG95" s="187">
        <f>IF(AG93=0,0,AG92/AG93)</f>
        <v>4.89602023696188</v>
      </c>
      <c r="AH95" s="187">
        <f>IF(AH93=0,0,AH92/AH93)</f>
        <v>5.53399086835534</v>
      </c>
      <c r="AI95" s="187">
        <f>IF(AI93=0,0,AI92/AI93)</f>
        <v>5.87088913366958</v>
      </c>
      <c r="AJ95" s="187">
        <f>IF(AJ93=0,0,AJ92/AJ93)</f>
        <v>0</v>
      </c>
      <c r="AK95" s="187">
        <f>IF(AK93=0,0,AK92/AK93)</f>
        <v>0</v>
      </c>
      <c r="AL95" s="187">
        <f>IF(AL93=0,0,AL92/AL93)</f>
        <v>0</v>
      </c>
      <c r="AM95" s="187">
        <f>IF(AM93=0,0,AM92/AM93)</f>
        <v>0</v>
      </c>
      <c r="AN95" s="187">
        <f>IF(AN93=0,0,AN92/AN93)</f>
        <v>0</v>
      </c>
      <c r="AO95" s="187">
        <f>IF(AO93=0,0,AO92/AO93)</f>
        <v>0</v>
      </c>
      <c r="AP95" s="187">
        <f>IF(AP93=0,0,AP92/AP93)</f>
        <v>0</v>
      </c>
      <c r="AQ95" s="187">
        <f>IF(AQ93=0,0,AQ92/AQ93)</f>
        <v>0</v>
      </c>
      <c r="AR95" s="187">
        <f>IF(AR93=0,0,AR92/AR93)</f>
        <v>0</v>
      </c>
      <c r="AS95" s="187">
        <f>IF(AS93=0,0,AS92/AS93)</f>
        <v>6.40964580341596</v>
      </c>
      <c r="AT95" s="187">
        <f>IF(AT93=0,0,AT92/AT93)</f>
      </c>
      <c r="AU95" s="187">
        <f>IF(AU93=0,0,AU92/AU93)</f>
      </c>
      <c r="AV95" s="187">
        <f>IF(AV93=0,0,AV92/AV93)</f>
        <v>0</v>
      </c>
      <c r="AW95" s="187">
        <f>IF(AW93=0,0,AW92/AW93)</f>
        <v>0</v>
      </c>
      <c r="AX95" s="187">
        <f>IF(AX93=0,0,AX92/AX93)</f>
        <v>0</v>
      </c>
      <c r="AY95" s="187">
        <f>IF(AY93=0,0,AY92/AY93)</f>
        <v>0</v>
      </c>
      <c r="AZ95" s="187">
        <f>IF(AZ93=0,0,AZ92/AZ93)</f>
        <v>0</v>
      </c>
      <c r="BA95" s="187">
        <f>IF(BA93=0,0,BA92/BA93)</f>
        <v>0</v>
      </c>
      <c r="BB95" s="187">
        <f>IF(BB93=0,0,BB92/BB93)</f>
        <v>0</v>
      </c>
      <c r="BC95" s="196"/>
      <c r="BD95" s="1541"/>
      <c r="BE95" s="1541"/>
      <c r="BF95" s="1038" t="s">
        <v>979</v>
      </c>
      <c r="BG95" s="1038"/>
      <c r="BH95" s="1038"/>
      <c r="BJ95" s="263"/>
      <c r="BK95" s="263"/>
    </row>
    <row s="1191" customFormat="1" customHeight="1" ht="86.25">
      <c r="A96" s="1541"/>
      <c r="B96" s="431"/>
      <c r="C96" s="486"/>
      <c r="D96" s="1541"/>
      <c r="E96" s="263">
        <v>11.25</v>
      </c>
      <c r="F96" s="50" cm="1" t="str">
        <f t="array" ref="F96:F96">OFFSET(E96,-1,1)</f>
        <v>2</v>
      </c>
      <c r="G96" s="122" t="s">
        <v>347</v>
      </c>
      <c r="H96" s="122"/>
      <c r="I96" s="1541"/>
      <c r="J96" s="1541"/>
      <c r="K96" s="1541"/>
      <c r="L96" s="1541"/>
      <c r="M96" s="1541"/>
      <c r="N96" s="1541"/>
      <c r="O96" s="1541"/>
      <c r="P96" s="1541"/>
      <c r="Q96" s="1541"/>
      <c r="R96" s="1541"/>
      <c r="S96" s="1541"/>
      <c r="T96" s="468" cm="1" t="str">
        <f t="array" ref="T96:T96">T95</f>
        <v>true</v>
      </c>
      <c r="U96" s="1541"/>
      <c r="V96" s="1541"/>
      <c r="W96" s="1541"/>
      <c r="X96" s="1519"/>
      <c r="Y96" s="1541"/>
      <c r="Z96" s="1541"/>
      <c r="AA96" s="1541"/>
      <c r="AB96" s="85" t="s">
        <v>454</v>
      </c>
      <c r="AC96" s="134" t="s">
        <v>980</v>
      </c>
      <c r="AD96" s="88" t="s">
        <v>981</v>
      </c>
      <c r="AE96" s="311">
        <f>IF(AE94=0,0,AE93/AE94)</f>
        <v>0.73000038156003</v>
      </c>
      <c r="AF96" s="311">
        <f>IF(AF94=0,0,AF93/AF94)</f>
        <v>0.692281374226415</v>
      </c>
      <c r="AG96" s="311">
        <f>IF(AG94=0,0,AG93/AG94)</f>
        <v>0.692281106515103</v>
      </c>
      <c r="AH96" s="311">
        <f>IF(AH94=0,0,AH93/AH94)</f>
        <v>0.72999984674452</v>
      </c>
      <c r="AI96" s="311">
        <f>IF(AI94=0,0,AI93/AI94)</f>
        <v>0.729999839038047</v>
      </c>
      <c r="AJ96" s="311">
        <f>IF(AJ94=0,0,AJ93/AJ94)</f>
        <v>0</v>
      </c>
      <c r="AK96" s="311">
        <f>IF(AK94=0,0,AK93/AK94)</f>
        <v>0</v>
      </c>
      <c r="AL96" s="311">
        <f>IF(AL94=0,0,AL93/AL94)</f>
        <v>0</v>
      </c>
      <c r="AM96" s="311">
        <f>IF(AM94=0,0,AM93/AM94)</f>
        <v>0</v>
      </c>
      <c r="AN96" s="311">
        <f>IF(AN94=0,0,AN93/AN94)</f>
        <v>0</v>
      </c>
      <c r="AO96" s="311">
        <f>IF(AO94=0,0,AO93/AO94)</f>
        <v>0</v>
      </c>
      <c r="AP96" s="311">
        <f>IF(AP94=0,0,AP93/AP94)</f>
        <v>0</v>
      </c>
      <c r="AQ96" s="311">
        <f>IF(AQ94=0,0,AQ93/AQ94)</f>
        <v>0</v>
      </c>
      <c r="AR96" s="311">
        <f>IF(AR94=0,0,AR93/AR94)</f>
        <v>0</v>
      </c>
      <c r="AS96" s="311">
        <f>IF(AS94=0,0,AS93/AS94)</f>
        <v>0.730000697963862</v>
      </c>
      <c r="AT96" s="311">
        <f>IF(AT94=0,0,AT93/AT94)</f>
        <v>0.730000697963862</v>
      </c>
      <c r="AU96" s="311">
        <f>IF(AU94=0,0,AU93/AU94)</f>
        <v>0.730000697963862</v>
      </c>
      <c r="AV96" s="311">
        <f>IF(AV94=0,0,AV93/AV94)</f>
        <v>0</v>
      </c>
      <c r="AW96" s="311">
        <f>IF(AW94=0,0,AW93/AW94)</f>
        <v>0</v>
      </c>
      <c r="AX96" s="311">
        <f>IF(AX94=0,0,AX93/AX94)</f>
        <v>0</v>
      </c>
      <c r="AY96" s="311">
        <f>IF(AY94=0,0,AY93/AY94)</f>
        <v>0</v>
      </c>
      <c r="AZ96" s="311">
        <f>IF(AZ94=0,0,AZ93/AZ94)</f>
        <v>0</v>
      </c>
      <c r="BA96" s="311">
        <f>IF(BA94=0,0,BA93/BA94)</f>
        <v>0</v>
      </c>
      <c r="BB96" s="311">
        <f>IF(BB94=0,0,BB93/BB94)</f>
        <v>0</v>
      </c>
      <c r="BC96" s="196" t="s">
        <v>1038</v>
      </c>
      <c r="BD96" s="1541"/>
      <c r="BE96" s="1541"/>
      <c r="BF96" s="1038" t="s">
        <v>982</v>
      </c>
      <c r="BG96" s="1038"/>
      <c r="BH96" s="1038"/>
      <c r="BJ96" s="263"/>
      <c r="BK96" s="263"/>
    </row>
    <row s="1191" customFormat="1" customHeight="1" ht="20.671875">
      <c r="A97" s="1541"/>
      <c r="B97" s="431"/>
      <c r="C97" s="486"/>
      <c r="D97" s="1541"/>
      <c r="E97" s="263">
        <v>13</v>
      </c>
      <c r="F97" s="50" cm="1" t="str">
        <f t="array" ref="F97:F97">OFFSET(E97,-1,1)</f>
        <v>2</v>
      </c>
      <c r="G97" s="122"/>
      <c r="H97" s="122"/>
      <c r="I97" s="1541"/>
      <c r="J97" s="1541"/>
      <c r="K97" s="1541"/>
      <c r="L97" s="1541"/>
      <c r="M97" s="1541"/>
      <c r="N97" s="1541"/>
      <c r="O97" s="1541"/>
      <c r="P97" s="1541"/>
      <c r="Q97" s="1541"/>
      <c r="R97" s="1541"/>
      <c r="S97" s="1541"/>
      <c r="T97" s="468" cm="1" t="str">
        <f t="array" ref="T97:T97">T96</f>
        <v>true</v>
      </c>
      <c r="U97" s="1541"/>
      <c r="V97" s="1541"/>
      <c r="W97" s="1541"/>
      <c r="X97" s="1519"/>
      <c r="Y97" s="1541"/>
      <c r="Z97" s="1541"/>
      <c r="AA97" s="1541"/>
      <c r="AB97" s="658"/>
      <c r="AC97" s="262" t="s">
        <v>983</v>
      </c>
      <c r="AD97" s="263"/>
      <c r="AE97" s="264"/>
      <c r="AF97" s="264"/>
      <c r="AG97" s="264"/>
      <c r="AH97" s="264"/>
      <c r="AI97" s="264"/>
      <c r="AJ97" s="264"/>
      <c r="AK97" s="264"/>
      <c r="AL97" s="264"/>
      <c r="AM97" s="264"/>
      <c r="AN97" s="264"/>
      <c r="AO97" s="264"/>
      <c r="AP97" s="264"/>
      <c r="AQ97" s="264"/>
      <c r="AR97" s="264"/>
      <c r="AS97" s="264"/>
      <c r="AT97" s="264"/>
      <c r="AU97" s="264"/>
      <c r="AV97" s="264"/>
      <c r="AW97" s="264"/>
      <c r="AX97" s="264"/>
      <c r="AY97" s="264"/>
      <c r="AZ97" s="264"/>
      <c r="BA97" s="264"/>
      <c r="BB97" s="264"/>
      <c r="BC97" s="265"/>
      <c r="BD97" s="1541"/>
      <c r="BE97" s="1541"/>
      <c r="BF97" s="1038"/>
      <c r="BG97" s="1038"/>
      <c r="BH97" s="1038"/>
      <c r="BJ97" s="263"/>
      <c r="BK97" s="263"/>
    </row>
    <row customHeight="1" ht="10.725000000000001" hidden="1">
      <c r="A98" s="1328"/>
      <c r="B98" s="2912"/>
      <c r="C98" s="923"/>
      <c r="D98" s="1328"/>
      <c r="E98" s="1055">
        <v>11</v>
      </c>
      <c r="F98" s="50" cm="1" t="str">
        <f t="array" ref="F98:F98">OFFSET(E98,-1,1)</f>
        <v>2</v>
      </c>
      <c r="G98" s="1528"/>
      <c r="H98" s="1528"/>
      <c r="I98" s="1328"/>
      <c r="J98" s="1328"/>
      <c r="K98" s="1328"/>
      <c r="L98" s="1328"/>
      <c r="M98" s="1328"/>
      <c r="N98" s="1328"/>
      <c r="O98" s="1328"/>
      <c r="P98" s="1328"/>
      <c r="Q98" s="1328"/>
      <c r="R98" s="1328"/>
      <c r="S98" s="1328"/>
      <c r="T98" s="1436">
        <f>AND(F98&gt;0,Y98&gt;0)</f>
        <v>0</v>
      </c>
      <c r="U98" s="1328"/>
      <c r="V98" s="1328"/>
      <c r="W98" s="856" t="s">
        <v>173</v>
      </c>
      <c r="X98" s="1324"/>
      <c r="Y98" s="1617">
        <v>0</v>
      </c>
      <c r="Z98" s="1324"/>
      <c r="AA98" s="1630" t="s">
        <v>174</v>
      </c>
      <c r="AB98" s="1577" t="str">
        <f>"6."&amp;Y98</f>
        <v>6.0</v>
      </c>
      <c r="AC98" s="2913"/>
      <c r="AD98" s="1577"/>
      <c r="AE98" s="351"/>
      <c r="AF98" s="351"/>
      <c r="AG98" s="351"/>
      <c r="AH98" s="351"/>
      <c r="AI98" s="351"/>
      <c r="AJ98" s="351"/>
      <c r="AK98" s="351"/>
      <c r="AL98" s="351"/>
      <c r="AM98" s="351"/>
      <c r="AN98" s="351"/>
      <c r="AO98" s="351"/>
      <c r="AP98" s="351"/>
      <c r="AQ98" s="351"/>
      <c r="AR98" s="351"/>
      <c r="AS98" s="351"/>
      <c r="AT98" s="351"/>
      <c r="AU98" s="351"/>
      <c r="AV98" s="351"/>
      <c r="AW98" s="351"/>
      <c r="AX98" s="351"/>
      <c r="AY98" s="351"/>
      <c r="AZ98" s="351"/>
      <c r="BA98" s="351"/>
      <c r="BB98" s="351"/>
      <c r="BC98" s="351"/>
      <c r="BD98" s="2914"/>
      <c r="BE98" s="1328"/>
      <c r="BF98" s="1054"/>
      <c r="BG98" s="1054"/>
      <c r="BH98" s="1054"/>
      <c r="BI98" s="1054"/>
      <c r="BJ98" s="1055"/>
      <c r="BK98" s="1055"/>
    </row>
    <row s="1191" customFormat="1" customHeight="1" ht="10.5" hidden="1">
      <c r="A99" s="1541"/>
      <c r="B99" s="431"/>
      <c r="C99" s="486"/>
      <c r="D99" s="1541"/>
      <c r="E99" s="263">
        <v>11.25</v>
      </c>
      <c r="F99" s="50" cm="1" t="str">
        <f t="array" ref="F99:F99">OFFSET(E99,-1,1)</f>
        <v>2</v>
      </c>
      <c r="G99" s="122" t="s">
        <v>616</v>
      </c>
      <c r="H99" s="122" cm="1" t="str">
        <f t="array" ref="H99:H99">AC99</f>
        <v>0</v>
      </c>
      <c r="I99" s="1541"/>
      <c r="J99" s="1541"/>
      <c r="K99" s="1541"/>
      <c r="L99" s="1541"/>
      <c r="M99" s="1541"/>
      <c r="N99" s="1541"/>
      <c r="O99" s="1541"/>
      <c r="P99" s="1541"/>
      <c r="Q99" s="1541"/>
      <c r="R99" s="1541"/>
      <c r="S99" s="1541"/>
      <c r="T99" s="468" cm="1" t="str">
        <f t="array" ref="T99:T99">T98</f>
        <v>false</v>
      </c>
      <c r="U99" s="1541"/>
      <c r="V99" s="1541"/>
      <c r="W99" s="764"/>
      <c r="X99" s="1519"/>
      <c r="Y99" s="1519">
        <v>0</v>
      </c>
      <c r="Z99" s="1541"/>
      <c r="AA99" s="1516" t="s">
        <v>174</v>
      </c>
      <c r="AB99" s="85" t="str">
        <f>AB98&amp;".1"</f>
        <v>6.0.1</v>
      </c>
      <c r="AC99" s="2915"/>
      <c r="AD99" s="85" t="s">
        <v>936</v>
      </c>
      <c r="AE99" s="1817"/>
      <c r="AF99" s="1817"/>
      <c r="AG99" s="1817"/>
      <c r="AH99" s="1817"/>
      <c r="AI99" s="1817"/>
      <c r="AJ99" s="1817"/>
      <c r="AK99" s="1817"/>
      <c r="AL99" s="1817"/>
      <c r="AM99" s="1817"/>
      <c r="AN99" s="1817"/>
      <c r="AO99" s="1817"/>
      <c r="AP99" s="1817"/>
      <c r="AQ99" s="1817"/>
      <c r="AR99" s="1817"/>
      <c r="AS99" s="1817"/>
      <c r="AT99" s="1817"/>
      <c r="AU99" s="1817"/>
      <c r="AV99" s="1817"/>
      <c r="AW99" s="1817"/>
      <c r="AX99" s="1817"/>
      <c r="AY99" s="1817"/>
      <c r="AZ99" s="1817"/>
      <c r="BA99" s="1817"/>
      <c r="BB99" s="1817"/>
      <c r="BC99" s="1928"/>
      <c r="BD99" s="1541"/>
      <c r="BE99" s="1541"/>
      <c r="BF99" s="1038" t="s">
        <v>984</v>
      </c>
      <c r="BG99" s="1038" t="s">
        <v>985</v>
      </c>
      <c r="BH99" s="1038" cm="1" t="str">
        <f t="array" ref="BH99:BH99">AC99</f>
        <v>0</v>
      </c>
      <c r="BI99" s="1191" cm="1" t="str">
        <f t="array" ref="BI99:BI99">AC98</f>
        <v>0</v>
      </c>
      <c r="BJ99" s="263"/>
      <c r="BK99" s="263" t="b">
        <v>1</v>
      </c>
    </row>
    <row s="1191" customFormat="1" customHeight="1" ht="10.5" hidden="1">
      <c r="A100" s="1541"/>
      <c r="B100" s="431"/>
      <c r="C100" s="486"/>
      <c r="D100" s="1541"/>
      <c r="E100" s="263">
        <v>11.25</v>
      </c>
      <c r="F100" s="50" cm="1" t="str">
        <f t="array" ref="F100:F100">OFFSET(E100,-1,1)</f>
        <v>2</v>
      </c>
      <c r="G100" s="122" t="s">
        <v>793</v>
      </c>
      <c r="H100" s="122" cm="1" t="str">
        <f t="array" ref="H100:H100">H99</f>
        <v>0</v>
      </c>
      <c r="I100" s="1541"/>
      <c r="J100" s="1541"/>
      <c r="K100" s="1541"/>
      <c r="L100" s="1541"/>
      <c r="M100" s="1541"/>
      <c r="N100" s="1541"/>
      <c r="O100" s="1541"/>
      <c r="P100" s="1541"/>
      <c r="Q100" s="1541"/>
      <c r="R100" s="1541"/>
      <c r="S100" s="1541"/>
      <c r="T100" s="468" cm="1" t="str">
        <f t="array" ref="T100:T100">T99</f>
        <v>false</v>
      </c>
      <c r="U100" s="1541"/>
      <c r="V100" s="1541"/>
      <c r="W100" s="1541"/>
      <c r="X100" s="1519"/>
      <c r="Y100" s="1519"/>
      <c r="Z100" s="1541"/>
      <c r="AA100" s="1516"/>
      <c r="AB100" s="85" t="str">
        <f>AB98&amp;".2"</f>
        <v>6.0.2</v>
      </c>
      <c r="AC100" s="188" t="s">
        <v>986</v>
      </c>
      <c r="AD100" s="88" t="s">
        <v>978</v>
      </c>
      <c r="AE100" s="187">
        <f>IF(OR(AND(AE99&lt;&gt;0,AE101=0),AND(AE99=0,AE101&lt;&gt;0)),"Ошибка",IF(AE101=0,0,AE99/AE101))</f>
        <v>0</v>
      </c>
      <c r="AF100" s="187">
        <f>IF(OR(AND(AF99&lt;&gt;0,AF101=0),AND(AF99=0,AF101&lt;&gt;0)),"Ошибка",IF(AF101=0,0,AF99/AF101))</f>
        <v>0</v>
      </c>
      <c r="AG100" s="187">
        <f>IF(OR(AND(AG99&lt;&gt;0,AG101=0),AND(AG99=0,AG101&lt;&gt;0)),"Ошибка",IF(AG101=0,0,AG99/AG101))</f>
        <v>0</v>
      </c>
      <c r="AH100" s="187">
        <f>IF(OR(AND(AH99&lt;&gt;0,AH101=0),AND(AH99=0,AH101&lt;&gt;0)),"Ошибка",IF(AH101=0,0,AH99/AH101))</f>
        <v>0</v>
      </c>
      <c r="AI100" s="187">
        <f>IF(OR(AND(AI99&lt;&gt;0,AI101=0),AND(AI99=0,AI101&lt;&gt;0)),"Ошибка",IF(AI101=0,0,AI99/AI101))</f>
        <v>0</v>
      </c>
      <c r="AJ100" s="187">
        <f>IF(OR(AND(AJ99&lt;&gt;0,AJ101=0),AND(AJ99=0,AJ101&lt;&gt;0)),"Ошибка",IF(AJ101=0,0,AJ99/AJ101))</f>
        <v>0</v>
      </c>
      <c r="AK100" s="187">
        <f>IF(OR(AND(AK99&lt;&gt;0,AK101=0),AND(AK99=0,AK101&lt;&gt;0)),"Ошибка",IF(AK101=0,0,AK99/AK101))</f>
        <v>0</v>
      </c>
      <c r="AL100" s="187">
        <f>IF(OR(AND(AL99&lt;&gt;0,AL101=0),AND(AL99=0,AL101&lt;&gt;0)),"Ошибка",IF(AL101=0,0,AL99/AL101))</f>
        <v>0</v>
      </c>
      <c r="AM100" s="187">
        <f>IF(OR(AND(AM99&lt;&gt;0,AM101=0),AND(AM99=0,AM101&lt;&gt;0)),"Ошибка",IF(AM101=0,0,AM99/AM101))</f>
        <v>0</v>
      </c>
      <c r="AN100" s="187">
        <f>IF(OR(AND(AN99&lt;&gt;0,AN101=0),AND(AN99=0,AN101&lt;&gt;0)),"Ошибка",IF(AN101=0,0,AN99/AN101))</f>
        <v>0</v>
      </c>
      <c r="AO100" s="187">
        <f>IF(OR(AND(AO99&lt;&gt;0,AO101=0),AND(AO99=0,AO101&lt;&gt;0)),"Ошибка",IF(AO101=0,0,AO99/AO101))</f>
        <v>0</v>
      </c>
      <c r="AP100" s="187">
        <f>IF(OR(AND(AP99&lt;&gt;0,AP101=0),AND(AP99=0,AP101&lt;&gt;0)),"Ошибка",IF(AP101=0,0,AP99/AP101))</f>
        <v>0</v>
      </c>
      <c r="AQ100" s="187">
        <f>IF(OR(AND(AQ99&lt;&gt;0,AQ101=0),AND(AQ99=0,AQ101&lt;&gt;0)),"Ошибка",IF(AQ101=0,0,AQ99/AQ101))</f>
        <v>0</v>
      </c>
      <c r="AR100" s="187">
        <f>IF(OR(AND(AR99&lt;&gt;0,AR101=0),AND(AR99=0,AR101&lt;&gt;0)),"Ошибка",IF(AR101=0,0,AR99/AR101))</f>
        <v>0</v>
      </c>
      <c r="AS100" s="187">
        <f>IF(OR(AND(AS99&lt;&gt;0,AS101=0),AND(AS99=0,AS101&lt;&gt;0)),"Ошибка",IF(AS101=0,0,AS99/AS101))</f>
        <v>0</v>
      </c>
      <c r="AT100" s="187">
        <f>IF(OR(AND(AT99&lt;&gt;0,AT101=0),AND(AT99=0,AT101&lt;&gt;0)),"Ошибка",IF(AT101=0,0,AT99/AT101))</f>
        <v>0</v>
      </c>
      <c r="AU100" s="187">
        <f>IF(OR(AND(AU99&lt;&gt;0,AU101=0),AND(AU99=0,AU101&lt;&gt;0)),"Ошибка",IF(AU101=0,0,AU99/AU101))</f>
        <v>0</v>
      </c>
      <c r="AV100" s="187">
        <f>IF(OR(AND(AV99&lt;&gt;0,AV101=0),AND(AV99=0,AV101&lt;&gt;0)),"Ошибка",IF(AV101=0,0,AV99/AV101))</f>
        <v>0</v>
      </c>
      <c r="AW100" s="187">
        <f>IF(OR(AND(AW99&lt;&gt;0,AW101=0),AND(AW99=0,AW101&lt;&gt;0)),"Ошибка",IF(AW101=0,0,AW99/AW101))</f>
        <v>0</v>
      </c>
      <c r="AX100" s="187">
        <f>IF(OR(AND(AX99&lt;&gt;0,AX101=0),AND(AX99=0,AX101&lt;&gt;0)),"Ошибка",IF(AX101=0,0,AX99/AX101))</f>
        <v>0</v>
      </c>
      <c r="AY100" s="187">
        <f>IF(OR(AND(AY99&lt;&gt;0,AY101=0),AND(AY99=0,AY101&lt;&gt;0)),"Ошибка",IF(AY101=0,0,AY99/AY101))</f>
        <v>0</v>
      </c>
      <c r="AZ100" s="187">
        <f>IF(OR(AND(AZ99&lt;&gt;0,AZ101=0),AND(AZ99=0,AZ101&lt;&gt;0)),"Ошибка",IF(AZ101=0,0,AZ99/AZ101))</f>
        <v>0</v>
      </c>
      <c r="BA100" s="187">
        <f>IF(OR(AND(BA99&lt;&gt;0,BA101=0),AND(BA99=0,BA101&lt;&gt;0)),"Ошибка",IF(BA101=0,0,BA99/BA101))</f>
        <v>0</v>
      </c>
      <c r="BB100" s="187">
        <f>IF(OR(AND(BB99&lt;&gt;0,BB101=0),AND(BB99=0,BB101&lt;&gt;0)),"Ошибка",IF(BB101=0,0,BB99/BB101))</f>
        <v>0</v>
      </c>
      <c r="BC100" s="1928"/>
      <c r="BD100" s="1541"/>
      <c r="BE100" s="1541"/>
      <c r="BF100" s="1038" t="s">
        <v>987</v>
      </c>
      <c r="BG100" s="1038" t="s">
        <v>985</v>
      </c>
      <c r="BH100" s="1038" cm="1" t="str">
        <f t="array" ref="BH100:BH100">BH99</f>
        <v>0</v>
      </c>
      <c r="BI100" s="1191" cm="1" t="str">
        <f t="array" ref="BI100:BI100">BI99</f>
        <v>0</v>
      </c>
      <c r="BJ100" s="263"/>
      <c r="BK100" s="263"/>
    </row>
    <row s="1191" customFormat="1" customHeight="1" ht="10.5" hidden="1">
      <c r="A101" s="1541"/>
      <c r="B101" s="431"/>
      <c r="C101" s="486"/>
      <c r="D101" s="1541"/>
      <c r="E101" s="263">
        <v>11.25</v>
      </c>
      <c r="F101" s="50" cm="1" t="str">
        <f t="array" ref="F101:F101">OFFSET(E101,-1,1)</f>
        <v>2</v>
      </c>
      <c r="G101" s="122" t="s">
        <v>796</v>
      </c>
      <c r="H101" s="122" cm="1" t="str">
        <f t="array" ref="H101:H101">H100</f>
        <v>0</v>
      </c>
      <c r="I101" s="1541"/>
      <c r="J101" s="1541"/>
      <c r="K101" s="1541"/>
      <c r="L101" s="1541"/>
      <c r="M101" s="1541"/>
      <c r="N101" s="1541"/>
      <c r="O101" s="1541"/>
      <c r="P101" s="1541"/>
      <c r="Q101" s="1541"/>
      <c r="R101" s="1541"/>
      <c r="S101" s="1541"/>
      <c r="T101" s="468" cm="1" t="str">
        <f t="array" ref="T101:T101">T100</f>
        <v>false</v>
      </c>
      <c r="U101" s="1541"/>
      <c r="V101" s="1541"/>
      <c r="W101" s="1541"/>
      <c r="X101" s="1519"/>
      <c r="Y101" s="1519"/>
      <c r="Z101" s="1541"/>
      <c r="AA101" s="1516"/>
      <c r="AB101" s="85" t="str">
        <f>AB98&amp;".3"</f>
        <v>6.0.3</v>
      </c>
      <c r="AC101" s="188" t="s">
        <v>988</v>
      </c>
      <c r="AD101" s="88" t="s">
        <v>972</v>
      </c>
      <c r="AE101" s="1817"/>
      <c r="AF101" s="1817"/>
      <c r="AG101" s="1817"/>
      <c r="AH101" s="1817"/>
      <c r="AI101" s="1817"/>
      <c r="AJ101" s="1817"/>
      <c r="AK101" s="1817"/>
      <c r="AL101" s="1817"/>
      <c r="AM101" s="1817"/>
      <c r="AN101" s="1817"/>
      <c r="AO101" s="1817"/>
      <c r="AP101" s="1817"/>
      <c r="AQ101" s="1817"/>
      <c r="AR101" s="1817"/>
      <c r="AS101" s="1817"/>
      <c r="AT101" s="1817"/>
      <c r="AU101" s="1817"/>
      <c r="AV101" s="1817"/>
      <c r="AW101" s="1817"/>
      <c r="AX101" s="1817"/>
      <c r="AY101" s="1817"/>
      <c r="AZ101" s="1817"/>
      <c r="BA101" s="1817"/>
      <c r="BB101" s="1817"/>
      <c r="BC101" s="1928"/>
      <c r="BD101" s="1541"/>
      <c r="BE101" s="1541"/>
      <c r="BF101" s="1038" t="s">
        <v>989</v>
      </c>
      <c r="BG101" s="1038" t="s">
        <v>985</v>
      </c>
      <c r="BH101" s="1038" cm="1" t="str">
        <f t="array" ref="BH101:BH101">BH100</f>
        <v>0</v>
      </c>
      <c r="BI101" s="1191" cm="1" t="str">
        <f t="array" ref="BI101:BI101">BI100</f>
        <v>0</v>
      </c>
      <c r="BJ101" s="263"/>
      <c r="BK101" s="263"/>
    </row>
    <row customHeight="1" ht="34.798828125">
      <c r="B102" s="2912"/>
      <c r="C102" s="923"/>
      <c r="E102" s="1055">
        <v>11</v>
      </c>
      <c r="F102" s="50" cm="1" t="str">
        <f t="array" ref="F102:F102">OFFSET(E102,-1,1)</f>
        <v>2</v>
      </c>
      <c r="G102" s="1528"/>
      <c r="H102" s="1528"/>
      <c r="T102" s="1436">
        <f>AND(F102&gt;0,Y102&gt;0)</f>
        <v>1</v>
      </c>
      <c r="W102" s="856"/>
      <c r="X102" s="1324"/>
      <c r="Y102" s="1617" t="s">
        <v>290</v>
      </c>
      <c r="Z102" s="1324"/>
      <c r="AA102" s="1630" t="s">
        <v>174</v>
      </c>
      <c r="AB102" s="1577" t="str">
        <f>"6."&amp;Y102</f>
        <v>6.1</v>
      </c>
      <c r="AC102" s="2913" t="s">
        <v>1018</v>
      </c>
      <c r="AD102" s="1577"/>
      <c r="AE102" s="351"/>
      <c r="AF102" s="351"/>
      <c r="AG102" s="351"/>
      <c r="AH102" s="351"/>
      <c r="AI102" s="351"/>
      <c r="AJ102" s="351"/>
      <c r="AK102" s="351"/>
      <c r="AL102" s="351"/>
      <c r="AM102" s="351"/>
      <c r="AN102" s="351"/>
      <c r="AO102" s="351"/>
      <c r="AP102" s="351"/>
      <c r="AQ102" s="351"/>
      <c r="AR102" s="351"/>
      <c r="AS102" s="351"/>
      <c r="AT102" s="351"/>
      <c r="AU102" s="351"/>
      <c r="AV102" s="351"/>
      <c r="AW102" s="351"/>
      <c r="AX102" s="351"/>
      <c r="AY102" s="351"/>
      <c r="AZ102" s="351"/>
      <c r="BA102" s="351"/>
      <c r="BB102" s="351"/>
      <c r="BC102" s="351"/>
      <c r="BD102" s="2914"/>
      <c r="BF102" s="1054"/>
      <c r="BG102" s="1054"/>
      <c r="BH102" s="1054"/>
      <c r="BI102" s="1054"/>
      <c r="BJ102" s="1055"/>
      <c r="BK102" s="1055"/>
    </row>
    <row s="1191" customFormat="1" customHeight="1" ht="26.671875">
      <c r="A103" s="1541"/>
      <c r="B103" s="431"/>
      <c r="C103" s="486"/>
      <c r="D103" s="1541"/>
      <c r="E103" s="263">
        <v>11.25</v>
      </c>
      <c r="F103" s="50" cm="1" t="str">
        <f t="array" ref="F103:F103">OFFSET(E103,-1,1)</f>
        <v>2</v>
      </c>
      <c r="G103" s="122" t="s">
        <v>616</v>
      </c>
      <c r="H103" s="122" cm="1" t="str">
        <f t="array" ref="H103:H103">AC103</f>
        <v>СН1</v>
      </c>
      <c r="I103" s="1541"/>
      <c r="J103" s="1541"/>
      <c r="K103" s="1541"/>
      <c r="L103" s="1541"/>
      <c r="M103" s="1541"/>
      <c r="N103" s="1541"/>
      <c r="O103" s="1541"/>
      <c r="P103" s="1541"/>
      <c r="Q103" s="1541"/>
      <c r="R103" s="1541"/>
      <c r="S103" s="1541"/>
      <c r="T103" s="468" cm="1" t="str">
        <f t="array" ref="T103:T103">T102</f>
        <v>true</v>
      </c>
      <c r="U103" s="1541"/>
      <c r="V103" s="1541"/>
      <c r="W103" s="764"/>
      <c r="X103" s="1519"/>
      <c r="Y103" s="1519" t="s">
        <v>290</v>
      </c>
      <c r="Z103" s="1541"/>
      <c r="AA103" s="1516" t="s">
        <v>174</v>
      </c>
      <c r="AB103" s="85" t="str">
        <f>AB102&amp;".1"</f>
        <v>6.1.1</v>
      </c>
      <c r="AC103" s="195" t="s">
        <v>1039</v>
      </c>
      <c r="AD103" s="85" t="s">
        <v>936</v>
      </c>
      <c r="AE103" s="137">
        <v>179.69</v>
      </c>
      <c r="AF103" s="137">
        <v>174.27</v>
      </c>
      <c r="AG103" s="137">
        <v>174.2655703277</v>
      </c>
      <c r="AH103" s="137">
        <v>104.39</v>
      </c>
      <c r="AI103" s="137">
        <v>111.12</v>
      </c>
      <c r="AJ103" s="1817"/>
      <c r="AK103" s="1817"/>
      <c r="AL103" s="1817"/>
      <c r="AM103" s="1817"/>
      <c r="AN103" s="1817"/>
      <c r="AO103" s="1817"/>
      <c r="AP103" s="1817"/>
      <c r="AQ103" s="1817"/>
      <c r="AR103" s="1817"/>
      <c r="AS103" s="137">
        <v>220.18</v>
      </c>
      <c r="AT103" s="1817"/>
      <c r="AU103" s="1817"/>
      <c r="AV103" s="1817"/>
      <c r="AW103" s="1817"/>
      <c r="AX103" s="1817"/>
      <c r="AY103" s="1817"/>
      <c r="AZ103" s="1817"/>
      <c r="BA103" s="1817"/>
      <c r="BB103" s="1817"/>
      <c r="BC103" s="196"/>
      <c r="BD103" s="1541"/>
      <c r="BE103" s="1541"/>
      <c r="BF103" s="1038" t="s">
        <v>984</v>
      </c>
      <c r="BG103" s="1038" t="s">
        <v>985</v>
      </c>
      <c r="BH103" s="1038" cm="1" t="str">
        <f t="array" ref="BH103:BH103">AC103</f>
        <v>СН1</v>
      </c>
      <c r="BI103" s="1191" cm="1" t="str">
        <f t="array" ref="BI103:BI103">AC102</f>
        <v>ПАО "Кузбассэнергосбыт" (ИНН: 4205109214, КПП: 420501001)</v>
      </c>
      <c r="BJ103" s="263"/>
      <c r="BK103" s="263" t="b">
        <v>1</v>
      </c>
    </row>
    <row s="1191" customFormat="1" customHeight="1" ht="49.171875">
      <c r="A104" s="1541"/>
      <c r="B104" s="431"/>
      <c r="C104" s="486"/>
      <c r="D104" s="1541"/>
      <c r="E104" s="263">
        <v>11.25</v>
      </c>
      <c r="F104" s="50" cm="1" t="str">
        <f t="array" ref="F104:F104">OFFSET(E104,-1,1)</f>
        <v>2</v>
      </c>
      <c r="G104" s="122" t="s">
        <v>793</v>
      </c>
      <c r="H104" s="122" cm="1" t="str">
        <f t="array" ref="H104:H104">H103</f>
        <v>СН1</v>
      </c>
      <c r="I104" s="1541"/>
      <c r="J104" s="1541"/>
      <c r="K104" s="1541"/>
      <c r="L104" s="1541"/>
      <c r="M104" s="1541"/>
      <c r="N104" s="1541"/>
      <c r="O104" s="1541"/>
      <c r="P104" s="1541"/>
      <c r="Q104" s="1541"/>
      <c r="R104" s="1541"/>
      <c r="S104" s="1541"/>
      <c r="T104" s="468" cm="1" t="str">
        <f t="array" ref="T104:T104">T103</f>
        <v>true</v>
      </c>
      <c r="U104" s="1541"/>
      <c r="V104" s="1541"/>
      <c r="W104" s="1541"/>
      <c r="X104" s="1519"/>
      <c r="Y104" s="1519"/>
      <c r="Z104" s="1541"/>
      <c r="AA104" s="1516"/>
      <c r="AB104" s="85" t="str">
        <f>AB102&amp;".2"</f>
        <v>6.1.2</v>
      </c>
      <c r="AC104" s="188" t="s">
        <v>986</v>
      </c>
      <c r="AD104" s="88" t="s">
        <v>978</v>
      </c>
      <c r="AE104" s="187">
        <f>IF(OR(AND(AE103&lt;&gt;0,AE105=0),AND(AE103=0,AE105&lt;&gt;0)),"Ошибка",IF(AE105=0,0,AE103/AE105))</f>
        <v>5.87798495256788</v>
      </c>
      <c r="AF104" s="187">
        <f>IF(OR(AND(AF103&lt;&gt;0,AF105=0),AND(AF103=0,AF105&lt;&gt;0)),"Ошибка",IF(AF105=0,0,AF103/AF105))</f>
        <v>5.6728515625</v>
      </c>
      <c r="AG104" s="187">
        <f>IF(OR(AND(AG103&lt;&gt;0,AG105=0),AND(AG103=0,AG105&lt;&gt;0)),"Ошибка",IF(AG105=0,0,AG103/AG105))</f>
        <v>5.67289203189231</v>
      </c>
      <c r="AH104" s="187">
        <f>IF(OR(AND(AH103&lt;&gt;0,AH105=0),AND(AH103=0,AH105&lt;&gt;0)),"Ошибка",IF(AH105=0,0,AH103/AH105))</f>
        <v>6.42795566502463</v>
      </c>
      <c r="AI104" s="187">
        <f>IF(OR(AND(AI103&lt;&gt;0,AI105=0),AND(AI103=0,AI105&lt;&gt;0)),"Ошибка",IF(AI105=0,0,AI103/AI105))</f>
        <v>6.85080147965475</v>
      </c>
      <c r="AJ104" s="187">
        <f>IF(OR(AND(AJ103&lt;&gt;0,AJ105=0),AND(AJ103=0,AJ105&lt;&gt;0)),"Ошибка",IF(AJ105=0,0,AJ103/AJ105))</f>
        <v>0</v>
      </c>
      <c r="AK104" s="187">
        <f>IF(OR(AND(AK103&lt;&gt;0,AK105=0),AND(AK103=0,AK105&lt;&gt;0)),"Ошибка",IF(AK105=0,0,AK103/AK105))</f>
        <v>0</v>
      </c>
      <c r="AL104" s="187">
        <f>IF(OR(AND(AL103&lt;&gt;0,AL105=0),AND(AL103=0,AL105&lt;&gt;0)),"Ошибка",IF(AL105=0,0,AL103/AL105))</f>
        <v>0</v>
      </c>
      <c r="AM104" s="187">
        <f>IF(OR(AND(AM103&lt;&gt;0,AM105=0),AND(AM103=0,AM105&lt;&gt;0)),"Ошибка",IF(AM105=0,0,AM103/AM105))</f>
        <v>0</v>
      </c>
      <c r="AN104" s="187">
        <f>IF(OR(AND(AN103&lt;&gt;0,AN105=0),AND(AN103=0,AN105&lt;&gt;0)),"Ошибка",IF(AN105=0,0,AN103/AN105))</f>
        <v>0</v>
      </c>
      <c r="AO104" s="187">
        <f>IF(OR(AND(AO103&lt;&gt;0,AO105=0),AND(AO103=0,AO105&lt;&gt;0)),"Ошибка",IF(AO105=0,0,AO103/AO105))</f>
        <v>0</v>
      </c>
      <c r="AP104" s="187">
        <f>IF(OR(AND(AP103&lt;&gt;0,AP105=0),AND(AP103=0,AP105&lt;&gt;0)),"Ошибка",IF(AP105=0,0,AP103/AP105))</f>
        <v>0</v>
      </c>
      <c r="AQ104" s="187">
        <f>IF(OR(AND(AQ103&lt;&gt;0,AQ105=0),AND(AQ103=0,AQ105&lt;&gt;0)),"Ошибка",IF(AQ105=0,0,AQ103/AQ105))</f>
        <v>0</v>
      </c>
      <c r="AR104" s="187">
        <f>IF(OR(AND(AR103&lt;&gt;0,AR105=0),AND(AR103=0,AR105&lt;&gt;0)),"Ошибка",IF(AR105=0,0,AR103/AR105))</f>
        <v>0</v>
      </c>
      <c r="AS104" s="187">
        <f>IF(OR(AND(AS103&lt;&gt;0,AS105=0),AND(AS103=0,AS105&lt;&gt;0)),"Ошибка",IF(AS105=0,0,AS103/AS105))</f>
        <v>7.34618977712532</v>
      </c>
      <c r="AT104" s="187" t="str">
        <f>IF(OR(AND(AT103&lt;&gt;0,AT105=0),AND(AT103=0,AT105&lt;&gt;0)),"Ошибка",IF(AT105=0,0,AT103/AT105))</f>
        <v>Ошибка</v>
      </c>
      <c r="AU104" s="187" t="str">
        <f>IF(OR(AND(AU103&lt;&gt;0,AU105=0),AND(AU103=0,AU105&lt;&gt;0)),"Ошибка",IF(AU105=0,0,AU103/AU105))</f>
        <v>Ошибка</v>
      </c>
      <c r="AV104" s="187">
        <f>IF(OR(AND(AV103&lt;&gt;0,AV105=0),AND(AV103=0,AV105&lt;&gt;0)),"Ошибка",IF(AV105=0,0,AV103/AV105))</f>
        <v>0</v>
      </c>
      <c r="AW104" s="187">
        <f>IF(OR(AND(AW103&lt;&gt;0,AW105=0),AND(AW103=0,AW105&lt;&gt;0)),"Ошибка",IF(AW105=0,0,AW103/AW105))</f>
        <v>0</v>
      </c>
      <c r="AX104" s="187">
        <f>IF(OR(AND(AX103&lt;&gt;0,AX105=0),AND(AX103=0,AX105&lt;&gt;0)),"Ошибка",IF(AX105=0,0,AX103/AX105))</f>
        <v>0</v>
      </c>
      <c r="AY104" s="187">
        <f>IF(OR(AND(AY103&lt;&gt;0,AY105=0),AND(AY103=0,AY105&lt;&gt;0)),"Ошибка",IF(AY105=0,0,AY103/AY105))</f>
        <v>0</v>
      </c>
      <c r="AZ104" s="187">
        <f>IF(OR(AND(AZ103&lt;&gt;0,AZ105=0),AND(AZ103=0,AZ105&lt;&gt;0)),"Ошибка",IF(AZ105=0,0,AZ103/AZ105))</f>
        <v>0</v>
      </c>
      <c r="BA104" s="187">
        <f>IF(OR(AND(BA103&lt;&gt;0,BA105=0),AND(BA103=0,BA105&lt;&gt;0)),"Ошибка",IF(BA105=0,0,BA103/BA105))</f>
        <v>0</v>
      </c>
      <c r="BB104" s="187">
        <f>IF(OR(AND(BB103&lt;&gt;0,BB105=0),AND(BB103=0,BB105&lt;&gt;0)),"Ошибка",IF(BB105=0,0,BB103/BB105))</f>
        <v>0</v>
      </c>
      <c r="BC104" s="196" t="s">
        <v>1040</v>
      </c>
      <c r="BD104" s="1541"/>
      <c r="BE104" s="1541"/>
      <c r="BF104" s="1038" t="s">
        <v>987</v>
      </c>
      <c r="BG104" s="1038" t="s">
        <v>985</v>
      </c>
      <c r="BH104" s="1038" cm="1" t="str">
        <f t="array" ref="BH104:BH104">BH103</f>
        <v>СН1</v>
      </c>
      <c r="BI104" s="1191" cm="1" t="str">
        <f t="array" ref="BI104:BI104">BI103</f>
        <v>ПАО "Кузбассэнергосбыт" (ИНН: 4205109214, КПП: 420501001)</v>
      </c>
      <c r="BJ104" s="263"/>
      <c r="BK104" s="263"/>
    </row>
    <row s="1191" customFormat="1" customHeight="1" ht="41.671875">
      <c r="A105" s="1541"/>
      <c r="B105" s="431"/>
      <c r="C105" s="486"/>
      <c r="D105" s="1541"/>
      <c r="E105" s="263">
        <v>11.25</v>
      </c>
      <c r="F105" s="50" cm="1" t="str">
        <f t="array" ref="F105:F105">OFFSET(E105,-1,1)</f>
        <v>2</v>
      </c>
      <c r="G105" s="122" t="s">
        <v>796</v>
      </c>
      <c r="H105" s="122" cm="1" t="str">
        <f t="array" ref="H105:H105">H104</f>
        <v>СН1</v>
      </c>
      <c r="I105" s="1541"/>
      <c r="J105" s="1541"/>
      <c r="K105" s="1541"/>
      <c r="L105" s="1541"/>
      <c r="M105" s="1541"/>
      <c r="N105" s="1541"/>
      <c r="O105" s="1541"/>
      <c r="P105" s="1541"/>
      <c r="Q105" s="1541"/>
      <c r="R105" s="1541"/>
      <c r="S105" s="1541"/>
      <c r="T105" s="468" cm="1" t="str">
        <f t="array" ref="T105:T105">T104</f>
        <v>true</v>
      </c>
      <c r="U105" s="1541"/>
      <c r="V105" s="1541"/>
      <c r="W105" s="1541"/>
      <c r="X105" s="1519"/>
      <c r="Y105" s="1519"/>
      <c r="Z105" s="1541"/>
      <c r="AA105" s="1516"/>
      <c r="AB105" s="85" t="str">
        <f>AB102&amp;".3"</f>
        <v>6.1.3</v>
      </c>
      <c r="AC105" s="188" t="s">
        <v>988</v>
      </c>
      <c r="AD105" s="88" t="s">
        <v>972</v>
      </c>
      <c r="AE105" s="137">
        <v>30.57</v>
      </c>
      <c r="AF105" s="137">
        <v>30.72</v>
      </c>
      <c r="AG105" s="137">
        <v>30.719</v>
      </c>
      <c r="AH105" s="137">
        <v>16.24</v>
      </c>
      <c r="AI105" s="137">
        <v>16.22</v>
      </c>
      <c r="AJ105" s="1817"/>
      <c r="AK105" s="1817"/>
      <c r="AL105" s="1817"/>
      <c r="AM105" s="1817"/>
      <c r="AN105" s="1817"/>
      <c r="AO105" s="1817"/>
      <c r="AP105" s="1817"/>
      <c r="AQ105" s="1817"/>
      <c r="AR105" s="1817"/>
      <c r="AS105" s="137">
        <v>29.972</v>
      </c>
      <c r="AT105" s="1817" cm="1" t="str">
        <f t="array" ref="AT105:AT105">AS105</f>
        <v>29.972</v>
      </c>
      <c r="AU105" s="1817" cm="1" t="str">
        <f t="array" ref="AU105:AU105">AS105</f>
        <v>29.972</v>
      </c>
      <c r="AV105" s="1817"/>
      <c r="AW105" s="1817"/>
      <c r="AX105" s="1817"/>
      <c r="AY105" s="1817"/>
      <c r="AZ105" s="1817"/>
      <c r="BA105" s="1817"/>
      <c r="BB105" s="1817"/>
      <c r="BC105" s="196" t="s">
        <v>1041</v>
      </c>
      <c r="BD105" s="1541"/>
      <c r="BE105" s="1541"/>
      <c r="BF105" s="1038" t="s">
        <v>989</v>
      </c>
      <c r="BG105" s="1038" t="s">
        <v>985</v>
      </c>
      <c r="BH105" s="1038" cm="1" t="str">
        <f t="array" ref="BH105:BH105">BH104</f>
        <v>СН1</v>
      </c>
      <c r="BI105" s="1191" cm="1" t="str">
        <f t="array" ref="BI105:BI105">BI104</f>
        <v>ПАО "Кузбассэнергосбыт" (ИНН: 4205109214, КПП: 420501001)</v>
      </c>
      <c r="BJ105" s="263"/>
      <c r="BK105" s="263"/>
    </row>
    <row customHeight="1" ht="36.298828125">
      <c r="B106" s="2912"/>
      <c r="C106" s="923"/>
      <c r="E106" s="1055">
        <v>11</v>
      </c>
      <c r="F106" s="50" cm="1" t="str">
        <f t="array" ref="F106:F106">OFFSET(E106,-1,1)</f>
        <v>2</v>
      </c>
      <c r="G106" s="1528"/>
      <c r="H106" s="1528"/>
      <c r="T106" s="1436">
        <f>AND(F106&gt;0,Y106&gt;0)</f>
        <v>1</v>
      </c>
      <c r="W106" s="856"/>
      <c r="X106" s="1324"/>
      <c r="Y106" s="1617" t="s">
        <v>299</v>
      </c>
      <c r="Z106" s="1324"/>
      <c r="AA106" s="1630" t="s">
        <v>174</v>
      </c>
      <c r="AB106" s="1577" t="str">
        <f>"6."&amp;Y106</f>
        <v>6.2</v>
      </c>
      <c r="AC106" s="2913" t="s">
        <v>1018</v>
      </c>
      <c r="AD106" s="1577"/>
      <c r="AE106" s="351"/>
      <c r="AF106" s="351"/>
      <c r="AG106" s="351"/>
      <c r="AH106" s="351"/>
      <c r="AI106" s="351"/>
      <c r="AJ106" s="351"/>
      <c r="AK106" s="351"/>
      <c r="AL106" s="351"/>
      <c r="AM106" s="351"/>
      <c r="AN106" s="351"/>
      <c r="AO106" s="351"/>
      <c r="AP106" s="351"/>
      <c r="AQ106" s="351"/>
      <c r="AR106" s="351"/>
      <c r="AS106" s="351"/>
      <c r="AT106" s="351"/>
      <c r="AU106" s="351"/>
      <c r="AV106" s="351"/>
      <c r="AW106" s="351"/>
      <c r="AX106" s="351"/>
      <c r="AY106" s="351"/>
      <c r="AZ106" s="351"/>
      <c r="BA106" s="351"/>
      <c r="BB106" s="351"/>
      <c r="BC106" s="351"/>
      <c r="BD106" s="2914"/>
      <c r="BF106" s="1054"/>
      <c r="BG106" s="1054"/>
      <c r="BH106" s="1054"/>
      <c r="BI106" s="1054"/>
      <c r="BJ106" s="1055"/>
      <c r="BK106" s="1055"/>
    </row>
    <row s="1191" customFormat="1" customHeight="1" ht="23.671875">
      <c r="A107" s="1541"/>
      <c r="B107" s="431"/>
      <c r="C107" s="486"/>
      <c r="D107" s="1541"/>
      <c r="E107" s="263">
        <v>11.25</v>
      </c>
      <c r="F107" s="50" cm="1" t="str">
        <f t="array" ref="F107:F107">OFFSET(E107,-1,1)</f>
        <v>2</v>
      </c>
      <c r="G107" s="122" t="s">
        <v>616</v>
      </c>
      <c r="H107" s="122" cm="1" t="str">
        <f t="array" ref="H107:H107">AC107</f>
        <v>НН</v>
      </c>
      <c r="I107" s="1541"/>
      <c r="J107" s="1541"/>
      <c r="K107" s="1541"/>
      <c r="L107" s="1541"/>
      <c r="M107" s="1541"/>
      <c r="N107" s="1541"/>
      <c r="O107" s="1541"/>
      <c r="P107" s="1541"/>
      <c r="Q107" s="1541"/>
      <c r="R107" s="1541"/>
      <c r="S107" s="1541"/>
      <c r="T107" s="468" cm="1" t="str">
        <f t="array" ref="T107:T107">T106</f>
        <v>true</v>
      </c>
      <c r="U107" s="1541"/>
      <c r="V107" s="1541"/>
      <c r="W107" s="764"/>
      <c r="X107" s="1519"/>
      <c r="Y107" s="1519" t="s">
        <v>299</v>
      </c>
      <c r="Z107" s="1541"/>
      <c r="AA107" s="1516" t="s">
        <v>174</v>
      </c>
      <c r="AB107" s="85" t="str">
        <f>AB106&amp;".1"</f>
        <v>6.2.1</v>
      </c>
      <c r="AC107" s="195" t="s">
        <v>1019</v>
      </c>
      <c r="AD107" s="85" t="s">
        <v>936</v>
      </c>
      <c r="AE107" s="137">
        <v>444.18</v>
      </c>
      <c r="AF107" s="137">
        <v>481.46</v>
      </c>
      <c r="AG107" s="137">
        <v>481.4607591631</v>
      </c>
      <c r="AH107" s="137">
        <v>443.05</v>
      </c>
      <c r="AI107" s="137">
        <v>480.23</v>
      </c>
      <c r="AJ107" s="1817"/>
      <c r="AK107" s="1817"/>
      <c r="AL107" s="1817"/>
      <c r="AM107" s="1817"/>
      <c r="AN107" s="1817"/>
      <c r="AO107" s="1817"/>
      <c r="AP107" s="1817"/>
      <c r="AQ107" s="1817"/>
      <c r="AR107" s="1817"/>
      <c r="AS107" s="137">
        <v>608.3</v>
      </c>
      <c r="AT107" s="1817"/>
      <c r="AU107" s="1817"/>
      <c r="AV107" s="1817"/>
      <c r="AW107" s="1817"/>
      <c r="AX107" s="1817"/>
      <c r="AY107" s="1817"/>
      <c r="AZ107" s="1817"/>
      <c r="BA107" s="1817"/>
      <c r="BB107" s="1817"/>
      <c r="BC107" s="196"/>
      <c r="BD107" s="1541"/>
      <c r="BE107" s="1541"/>
      <c r="BF107" s="1038" t="s">
        <v>984</v>
      </c>
      <c r="BG107" s="1038" t="s">
        <v>985</v>
      </c>
      <c r="BH107" s="1038" cm="1" t="str">
        <f t="array" ref="BH107:BH107">AC107</f>
        <v>НН</v>
      </c>
      <c r="BI107" s="1191" cm="1" t="str">
        <f t="array" ref="BI107:BI107">AC106</f>
        <v>ПАО "Кузбассэнергосбыт" (ИНН: 4205109214, КПП: 420501001)</v>
      </c>
      <c r="BJ107" s="263"/>
      <c r="BK107" s="263" t="b">
        <v>1</v>
      </c>
    </row>
    <row s="1191" customFormat="1" customHeight="1" ht="48.421875">
      <c r="A108" s="1541"/>
      <c r="B108" s="431"/>
      <c r="C108" s="486"/>
      <c r="D108" s="1541"/>
      <c r="E108" s="263">
        <v>11.25</v>
      </c>
      <c r="F108" s="50" cm="1" t="str">
        <f t="array" ref="F108:F108">OFFSET(E108,-1,1)</f>
        <v>2</v>
      </c>
      <c r="G108" s="122" t="s">
        <v>793</v>
      </c>
      <c r="H108" s="122" cm="1" t="str">
        <f t="array" ref="H108:H108">H107</f>
        <v>НН</v>
      </c>
      <c r="I108" s="1541"/>
      <c r="J108" s="1541"/>
      <c r="K108" s="1541"/>
      <c r="L108" s="1541"/>
      <c r="M108" s="1541"/>
      <c r="N108" s="1541"/>
      <c r="O108" s="1541"/>
      <c r="P108" s="1541"/>
      <c r="Q108" s="1541"/>
      <c r="R108" s="1541"/>
      <c r="S108" s="1541"/>
      <c r="T108" s="468" cm="1" t="str">
        <f t="array" ref="T108:T108">T107</f>
        <v>true</v>
      </c>
      <c r="U108" s="1541"/>
      <c r="V108" s="1541"/>
      <c r="W108" s="1541"/>
      <c r="X108" s="1519"/>
      <c r="Y108" s="1519"/>
      <c r="Z108" s="1541"/>
      <c r="AA108" s="1516"/>
      <c r="AB108" s="85" t="str">
        <f>AB106&amp;".2"</f>
        <v>6.2.2</v>
      </c>
      <c r="AC108" s="188" t="s">
        <v>986</v>
      </c>
      <c r="AD108" s="88" t="s">
        <v>978</v>
      </c>
      <c r="AE108" s="187">
        <f>IF(OR(AND(AE107&lt;&gt;0,AE109=0),AND(AE107=0,AE109&lt;&gt;0)),"Ошибка",IF(AE109=0,0,AE107/AE109))</f>
        <v>7.90215264187867</v>
      </c>
      <c r="AF108" s="187">
        <f>IF(OR(AND(AF107&lt;&gt;0,AF109=0),AND(AF107=0,AF109&lt;&gt;0)),"Ошибка",IF(AF109=0,0,AF107/AF109))</f>
        <v>7.69474188908423</v>
      </c>
      <c r="AG108" s="187">
        <f>IF(OR(AND(AG107&lt;&gt;0,AG109=0),AND(AG107=0,AG109&lt;&gt;0)),"Ошибка",IF(AG109=0,0,AG107/AG109))</f>
        <v>7.69524596686859</v>
      </c>
      <c r="AH108" s="187">
        <f>IF(OR(AND(AH107&lt;&gt;0,AH109=0),AND(AH107=0,AH109&lt;&gt;0)),"Ошибка",IF(AH109=0,0,AH107/AH109))</f>
        <v>8.56300734441438</v>
      </c>
      <c r="AI108" s="187">
        <f>IF(OR(AND(AI107&lt;&gt;0,AI109=0),AND(AI107=0,AI109&lt;&gt;0)),"Ошибка",IF(AI109=0,0,AI107/AI109))</f>
        <v>9.29417456938262</v>
      </c>
      <c r="AJ108" s="187">
        <f>IF(OR(AND(AJ107&lt;&gt;0,AJ109=0),AND(AJ107=0,AJ109&lt;&gt;0)),"Ошибка",IF(AJ109=0,0,AJ107/AJ109))</f>
        <v>0</v>
      </c>
      <c r="AK108" s="187">
        <f>IF(OR(AND(AK107&lt;&gt;0,AK109=0),AND(AK107=0,AK109&lt;&gt;0)),"Ошибка",IF(AK109=0,0,AK107/AK109))</f>
        <v>0</v>
      </c>
      <c r="AL108" s="187">
        <f>IF(OR(AND(AL107&lt;&gt;0,AL109=0),AND(AL107=0,AL109&lt;&gt;0)),"Ошибка",IF(AL109=0,0,AL107/AL109))</f>
        <v>0</v>
      </c>
      <c r="AM108" s="187">
        <f>IF(OR(AND(AM107&lt;&gt;0,AM109=0),AND(AM107=0,AM109&lt;&gt;0)),"Ошибка",IF(AM109=0,0,AM107/AM109))</f>
        <v>0</v>
      </c>
      <c r="AN108" s="187">
        <f>IF(OR(AND(AN107&lt;&gt;0,AN109=0),AND(AN107=0,AN109&lt;&gt;0)),"Ошибка",IF(AN109=0,0,AN107/AN109))</f>
        <v>0</v>
      </c>
      <c r="AO108" s="187">
        <f>IF(OR(AND(AO107&lt;&gt;0,AO109=0),AND(AO107=0,AO109&lt;&gt;0)),"Ошибка",IF(AO109=0,0,AO107/AO109))</f>
        <v>0</v>
      </c>
      <c r="AP108" s="187">
        <f>IF(OR(AND(AP107&lt;&gt;0,AP109=0),AND(AP107=0,AP109&lt;&gt;0)),"Ошибка",IF(AP109=0,0,AP107/AP109))</f>
        <v>0</v>
      </c>
      <c r="AQ108" s="187">
        <f>IF(OR(AND(AQ107&lt;&gt;0,AQ109=0),AND(AQ107=0,AQ109&lt;&gt;0)),"Ошибка",IF(AQ109=0,0,AQ107/AQ109))</f>
        <v>0</v>
      </c>
      <c r="AR108" s="187">
        <f>IF(OR(AND(AR107&lt;&gt;0,AR109=0),AND(AR107=0,AR109&lt;&gt;0)),"Ошибка",IF(AR109=0,0,AR107/AR109))</f>
        <v>0</v>
      </c>
      <c r="AS108" s="187">
        <f>IF(OR(AND(AS107&lt;&gt;0,AS109=0),AND(AS107=0,AS109&lt;&gt;0)),"Ошибка",IF(AS109=0,0,AS107/AS109))</f>
        <v>9.96396396396396</v>
      </c>
      <c r="AT108" s="187" t="str">
        <f>IF(OR(AND(AT107&lt;&gt;0,AT109=0),AND(AT107=0,AT109&lt;&gt;0)),"Ошибка",IF(AT109=0,0,AT107/AT109))</f>
        <v>Ошибка</v>
      </c>
      <c r="AU108" s="187" t="str">
        <f>IF(OR(AND(AU107&lt;&gt;0,AU109=0),AND(AU107=0,AU109&lt;&gt;0)),"Ошибка",IF(AU109=0,0,AU107/AU109))</f>
        <v>Ошибка</v>
      </c>
      <c r="AV108" s="187">
        <f>IF(OR(AND(AV107&lt;&gt;0,AV109=0),AND(AV107=0,AV109&lt;&gt;0)),"Ошибка",IF(AV109=0,0,AV107/AV109))</f>
        <v>0</v>
      </c>
      <c r="AW108" s="187">
        <f>IF(OR(AND(AW107&lt;&gt;0,AW109=0),AND(AW107=0,AW109&lt;&gt;0)),"Ошибка",IF(AW109=0,0,AW107/AW109))</f>
        <v>0</v>
      </c>
      <c r="AX108" s="187">
        <f>IF(OR(AND(AX107&lt;&gt;0,AX109=0),AND(AX107=0,AX109&lt;&gt;0)),"Ошибка",IF(AX109=0,0,AX107/AX109))</f>
        <v>0</v>
      </c>
      <c r="AY108" s="187">
        <f>IF(OR(AND(AY107&lt;&gt;0,AY109=0),AND(AY107=0,AY109&lt;&gt;0)),"Ошибка",IF(AY109=0,0,AY107/AY109))</f>
        <v>0</v>
      </c>
      <c r="AZ108" s="187">
        <f>IF(OR(AND(AZ107&lt;&gt;0,AZ109=0),AND(AZ107=0,AZ109&lt;&gt;0)),"Ошибка",IF(AZ109=0,0,AZ107/AZ109))</f>
        <v>0</v>
      </c>
      <c r="BA108" s="187">
        <f>IF(OR(AND(BA107&lt;&gt;0,BA109=0),AND(BA107=0,BA109&lt;&gt;0)),"Ошибка",IF(BA109=0,0,BA107/BA109))</f>
        <v>0</v>
      </c>
      <c r="BB108" s="187">
        <f>IF(OR(AND(BB107&lt;&gt;0,BB109=0),AND(BB107=0,BB109&lt;&gt;0)),"Ошибка",IF(BB109=0,0,BB107/BB109))</f>
        <v>0</v>
      </c>
      <c r="BC108" s="196" t="s">
        <v>1040</v>
      </c>
      <c r="BD108" s="1541"/>
      <c r="BE108" s="1541"/>
      <c r="BF108" s="1038" t="s">
        <v>987</v>
      </c>
      <c r="BG108" s="1038" t="s">
        <v>985</v>
      </c>
      <c r="BH108" s="1038" cm="1" t="str">
        <f t="array" ref="BH108:BH108">BH107</f>
        <v>НН</v>
      </c>
      <c r="BI108" s="1191" cm="1" t="str">
        <f t="array" ref="BI108:BI108">BI107</f>
        <v>ПАО "Кузбассэнергосбыт" (ИНН: 4205109214, КПП: 420501001)</v>
      </c>
      <c r="BJ108" s="263"/>
      <c r="BK108" s="263"/>
    </row>
    <row s="1191" customFormat="1" customHeight="1" ht="42.421875">
      <c r="A109" s="1541"/>
      <c r="B109" s="431"/>
      <c r="C109" s="486"/>
      <c r="D109" s="1541"/>
      <c r="E109" s="263">
        <v>11.25</v>
      </c>
      <c r="F109" s="50" cm="1" t="str">
        <f t="array" ref="F109:F109">OFFSET(E109,-1,1)</f>
        <v>2</v>
      </c>
      <c r="G109" s="122" t="s">
        <v>796</v>
      </c>
      <c r="H109" s="122" cm="1" t="str">
        <f t="array" ref="H109:H109">H108</f>
        <v>НН</v>
      </c>
      <c r="I109" s="1541"/>
      <c r="J109" s="1541"/>
      <c r="K109" s="1541"/>
      <c r="L109" s="1541"/>
      <c r="M109" s="1541"/>
      <c r="N109" s="1541"/>
      <c r="O109" s="1541"/>
      <c r="P109" s="1541"/>
      <c r="Q109" s="1541"/>
      <c r="R109" s="1541"/>
      <c r="S109" s="1541"/>
      <c r="T109" s="468" cm="1" t="str">
        <f t="array" ref="T109:T109">T108</f>
        <v>true</v>
      </c>
      <c r="U109" s="1541"/>
      <c r="V109" s="1541"/>
      <c r="W109" s="1541"/>
      <c r="X109" s="1519"/>
      <c r="Y109" s="1519"/>
      <c r="Z109" s="1541"/>
      <c r="AA109" s="1516"/>
      <c r="AB109" s="85" t="str">
        <f>AB106&amp;".3"</f>
        <v>6.2.3</v>
      </c>
      <c r="AC109" s="188" t="s">
        <v>988</v>
      </c>
      <c r="AD109" s="88" t="s">
        <v>972</v>
      </c>
      <c r="AE109" s="137">
        <v>56.21</v>
      </c>
      <c r="AF109" s="137">
        <v>62.57</v>
      </c>
      <c r="AG109" s="137">
        <v>62.566</v>
      </c>
      <c r="AH109" s="137">
        <v>51.74</v>
      </c>
      <c r="AI109" s="137">
        <v>51.67</v>
      </c>
      <c r="AJ109" s="1817"/>
      <c r="AK109" s="1817"/>
      <c r="AL109" s="1817"/>
      <c r="AM109" s="1817"/>
      <c r="AN109" s="1817"/>
      <c r="AO109" s="1817"/>
      <c r="AP109" s="1817"/>
      <c r="AQ109" s="1817"/>
      <c r="AR109" s="1817"/>
      <c r="AS109" s="137">
        <v>61.05</v>
      </c>
      <c r="AT109" s="1817" cm="1" t="str">
        <f t="array" ref="AT109:AT109">AS109</f>
        <v>61.05</v>
      </c>
      <c r="AU109" s="1817" cm="1" t="str">
        <f t="array" ref="AU109:AU109">AS109</f>
        <v>61.05</v>
      </c>
      <c r="AV109" s="1817"/>
      <c r="AW109" s="1817"/>
      <c r="AX109" s="1817"/>
      <c r="AY109" s="1817"/>
      <c r="AZ109" s="1817"/>
      <c r="BA109" s="1817"/>
      <c r="BB109" s="1817"/>
      <c r="BC109" s="196" t="s">
        <v>1042</v>
      </c>
      <c r="BD109" s="1541"/>
      <c r="BE109" s="1541"/>
      <c r="BF109" s="1038" t="s">
        <v>989</v>
      </c>
      <c r="BG109" s="1038" t="s">
        <v>985</v>
      </c>
      <c r="BH109" s="1038" cm="1" t="str">
        <f t="array" ref="BH109:BH109">BH108</f>
        <v>НН</v>
      </c>
      <c r="BI109" s="1191" cm="1" t="str">
        <f t="array" ref="BI109:BI109">BI108</f>
        <v>ПАО "Кузбассэнергосбыт" (ИНН: 4205109214, КПП: 420501001)</v>
      </c>
      <c r="BJ109" s="263"/>
      <c r="BK109" s="263"/>
    </row>
    <row customHeight="1" ht="34.048828125">
      <c r="B110" s="2912"/>
      <c r="C110" s="923"/>
      <c r="E110" s="1055">
        <v>11</v>
      </c>
      <c r="F110" s="50" cm="1" t="str">
        <f t="array" ref="F110:F110">OFFSET(E110,-1,1)</f>
        <v>2</v>
      </c>
      <c r="G110" s="1528"/>
      <c r="H110" s="1528"/>
      <c r="T110" s="1436">
        <f>AND(F110&gt;0,Y110&gt;0)</f>
        <v>1</v>
      </c>
      <c r="W110" s="856"/>
      <c r="X110" s="1324"/>
      <c r="Y110" s="1617" t="s">
        <v>234</v>
      </c>
      <c r="Z110" s="1324"/>
      <c r="AA110" s="1630" t="s">
        <v>174</v>
      </c>
      <c r="AB110" s="1577" t="str">
        <f>"6."&amp;Y110</f>
        <v>6.3</v>
      </c>
      <c r="AC110" s="2913" t="s">
        <v>1018</v>
      </c>
      <c r="AD110" s="1577"/>
      <c r="AE110" s="351"/>
      <c r="AF110" s="351"/>
      <c r="AG110" s="351"/>
      <c r="AH110" s="351"/>
      <c r="AI110" s="351"/>
      <c r="AJ110" s="351"/>
      <c r="AK110" s="351"/>
      <c r="AL110" s="351"/>
      <c r="AM110" s="351"/>
      <c r="AN110" s="351"/>
      <c r="AO110" s="351"/>
      <c r="AP110" s="351"/>
      <c r="AQ110" s="351"/>
      <c r="AR110" s="351"/>
      <c r="AS110" s="351"/>
      <c r="AT110" s="351"/>
      <c r="AU110" s="351"/>
      <c r="AV110" s="351"/>
      <c r="AW110" s="351"/>
      <c r="AX110" s="351"/>
      <c r="AY110" s="351"/>
      <c r="AZ110" s="351"/>
      <c r="BA110" s="351"/>
      <c r="BB110" s="351"/>
      <c r="BC110" s="351"/>
      <c r="BD110" s="2914"/>
      <c r="BF110" s="1054"/>
      <c r="BG110" s="1054"/>
      <c r="BH110" s="1054"/>
      <c r="BI110" s="1054"/>
      <c r="BJ110" s="1055"/>
      <c r="BK110" s="1055"/>
    </row>
    <row s="1191" customFormat="1" customHeight="1" ht="44.25">
      <c r="A111" s="1541"/>
      <c r="B111" s="431"/>
      <c r="C111" s="486"/>
      <c r="D111" s="1541"/>
      <c r="E111" s="263">
        <v>11.25</v>
      </c>
      <c r="F111" s="50" cm="1" t="str">
        <f t="array" ref="F111:F111">OFFSET(E111,-1,1)</f>
        <v>2</v>
      </c>
      <c r="G111" s="122" t="s">
        <v>616</v>
      </c>
      <c r="H111" s="122" cm="1" t="str">
        <f t="array" ref="H111:H111">AC111</f>
        <v>СН2</v>
      </c>
      <c r="I111" s="1541"/>
      <c r="J111" s="1541"/>
      <c r="K111" s="1541"/>
      <c r="L111" s="1541"/>
      <c r="M111" s="1541"/>
      <c r="N111" s="1541"/>
      <c r="O111" s="1541"/>
      <c r="P111" s="1541"/>
      <c r="Q111" s="1541"/>
      <c r="R111" s="1541"/>
      <c r="S111" s="1541"/>
      <c r="T111" s="468" cm="1" t="str">
        <f t="array" ref="T111:T111">T110</f>
        <v>true</v>
      </c>
      <c r="U111" s="1541"/>
      <c r="V111" s="1541"/>
      <c r="W111" s="764"/>
      <c r="X111" s="1519"/>
      <c r="Y111" s="1519" t="s">
        <v>234</v>
      </c>
      <c r="Z111" s="1541"/>
      <c r="AA111" s="1516" t="s">
        <v>174</v>
      </c>
      <c r="AB111" s="85" t="str">
        <f>AB110&amp;".1"</f>
        <v>6.3.1</v>
      </c>
      <c r="AC111" s="195" t="s">
        <v>1022</v>
      </c>
      <c r="AD111" s="85" t="s">
        <v>936</v>
      </c>
      <c r="AE111" s="137"/>
      <c r="AF111" s="137"/>
      <c r="AG111" s="137"/>
      <c r="AH111" s="137"/>
      <c r="AI111" s="137"/>
      <c r="AJ111" s="1817"/>
      <c r="AK111" s="1817"/>
      <c r="AL111" s="1817"/>
      <c r="AM111" s="1817"/>
      <c r="AN111" s="1817"/>
      <c r="AO111" s="1817"/>
      <c r="AP111" s="1817"/>
      <c r="AQ111" s="1817"/>
      <c r="AR111" s="1817"/>
      <c r="AS111" s="137"/>
      <c r="AT111" s="1817"/>
      <c r="AU111" s="1817"/>
      <c r="AV111" s="1817"/>
      <c r="AW111" s="1817"/>
      <c r="AX111" s="1817"/>
      <c r="AY111" s="1817"/>
      <c r="AZ111" s="1817"/>
      <c r="BA111" s="1817"/>
      <c r="BB111" s="1817"/>
      <c r="BC111" s="196" t="s">
        <v>1043</v>
      </c>
      <c r="BD111" s="1541"/>
      <c r="BE111" s="1541"/>
      <c r="BF111" s="1038" t="s">
        <v>984</v>
      </c>
      <c r="BG111" s="1038" t="s">
        <v>985</v>
      </c>
      <c r="BH111" s="1038" cm="1" t="str">
        <f t="array" ref="BH111:BH111">AC111</f>
        <v>СН2</v>
      </c>
      <c r="BI111" s="1191" cm="1" t="str">
        <f t="array" ref="BI111:BI111">AC110</f>
        <v>ПАО "Кузбассэнергосбыт" (ИНН: 4205109214, КПП: 420501001)</v>
      </c>
      <c r="BJ111" s="263"/>
      <c r="BK111" s="263" t="b">
        <v>1</v>
      </c>
    </row>
    <row s="1191" customFormat="1" customHeight="1" ht="10.5">
      <c r="A112" s="1541"/>
      <c r="B112" s="431"/>
      <c r="C112" s="486"/>
      <c r="D112" s="1541"/>
      <c r="E112" s="263">
        <v>11.25</v>
      </c>
      <c r="F112" s="50" cm="1" t="str">
        <f t="array" ref="F112:F112">OFFSET(E112,-1,1)</f>
        <v>2</v>
      </c>
      <c r="G112" s="122" t="s">
        <v>793</v>
      </c>
      <c r="H112" s="122" cm="1" t="str">
        <f t="array" ref="H112:H112">H111</f>
        <v>СН2</v>
      </c>
      <c r="I112" s="1541"/>
      <c r="J112" s="1541"/>
      <c r="K112" s="1541"/>
      <c r="L112" s="1541"/>
      <c r="M112" s="1541"/>
      <c r="N112" s="1541"/>
      <c r="O112" s="1541"/>
      <c r="P112" s="1541"/>
      <c r="Q112" s="1541"/>
      <c r="R112" s="1541"/>
      <c r="S112" s="1541"/>
      <c r="T112" s="468" cm="1" t="str">
        <f t="array" ref="T112:T112">T111</f>
        <v>true</v>
      </c>
      <c r="U112" s="1541"/>
      <c r="V112" s="1541"/>
      <c r="W112" s="1541"/>
      <c r="X112" s="1519"/>
      <c r="Y112" s="1519"/>
      <c r="Z112" s="1541"/>
      <c r="AA112" s="1516"/>
      <c r="AB112" s="85" t="str">
        <f>AB110&amp;".2"</f>
        <v>6.3.2</v>
      </c>
      <c r="AC112" s="188" t="s">
        <v>986</v>
      </c>
      <c r="AD112" s="88" t="s">
        <v>978</v>
      </c>
      <c r="AE112" s="187">
        <f>IF(OR(AND(AE111&lt;&gt;0,AE113=0),AND(AE111=0,AE113&lt;&gt;0)),"Ошибка",IF(AE113=0,0,AE111/AE113))</f>
        <v>0</v>
      </c>
      <c r="AF112" s="187">
        <f>IF(OR(AND(AF111&lt;&gt;0,AF113=0),AND(AF111=0,AF113&lt;&gt;0)),"Ошибка",IF(AF113=0,0,AF111/AF113))</f>
        <v>0</v>
      </c>
      <c r="AG112" s="187">
        <f>IF(OR(AND(AG111&lt;&gt;0,AG113=0),AND(AG111=0,AG113&lt;&gt;0)),"Ошибка",IF(AG113=0,0,AG111/AG113))</f>
        <v>0</v>
      </c>
      <c r="AH112" s="187">
        <f>IF(OR(AND(AH111&lt;&gt;0,AH113=0),AND(AH111=0,AH113&lt;&gt;0)),"Ошибка",IF(AH113=0,0,AH111/AH113))</f>
        <v>0</v>
      </c>
      <c r="AI112" s="187">
        <f>IF(OR(AND(AI111&lt;&gt;0,AI113=0),AND(AI111=0,AI113&lt;&gt;0)),"Ошибка",IF(AI113=0,0,AI111/AI113))</f>
        <v>0</v>
      </c>
      <c r="AJ112" s="187">
        <f>IF(OR(AND(AJ111&lt;&gt;0,AJ113=0),AND(AJ111=0,AJ113&lt;&gt;0)),"Ошибка",IF(AJ113=0,0,AJ111/AJ113))</f>
        <v>0</v>
      </c>
      <c r="AK112" s="187">
        <f>IF(OR(AND(AK111&lt;&gt;0,AK113=0),AND(AK111=0,AK113&lt;&gt;0)),"Ошибка",IF(AK113=0,0,AK111/AK113))</f>
        <v>0</v>
      </c>
      <c r="AL112" s="187">
        <f>IF(OR(AND(AL111&lt;&gt;0,AL113=0),AND(AL111=0,AL113&lt;&gt;0)),"Ошибка",IF(AL113=0,0,AL111/AL113))</f>
        <v>0</v>
      </c>
      <c r="AM112" s="187">
        <f>IF(OR(AND(AM111&lt;&gt;0,AM113=0),AND(AM111=0,AM113&lt;&gt;0)),"Ошибка",IF(AM113=0,0,AM111/AM113))</f>
        <v>0</v>
      </c>
      <c r="AN112" s="187">
        <f>IF(OR(AND(AN111&lt;&gt;0,AN113=0),AND(AN111=0,AN113&lt;&gt;0)),"Ошибка",IF(AN113=0,0,AN111/AN113))</f>
        <v>0</v>
      </c>
      <c r="AO112" s="187">
        <f>IF(OR(AND(AO111&lt;&gt;0,AO113=0),AND(AO111=0,AO113&lt;&gt;0)),"Ошибка",IF(AO113=0,0,AO111/AO113))</f>
        <v>0</v>
      </c>
      <c r="AP112" s="187">
        <f>IF(OR(AND(AP111&lt;&gt;0,AP113=0),AND(AP111=0,AP113&lt;&gt;0)),"Ошибка",IF(AP113=0,0,AP111/AP113))</f>
        <v>0</v>
      </c>
      <c r="AQ112" s="187">
        <f>IF(OR(AND(AQ111&lt;&gt;0,AQ113=0),AND(AQ111=0,AQ113&lt;&gt;0)),"Ошибка",IF(AQ113=0,0,AQ111/AQ113))</f>
        <v>0</v>
      </c>
      <c r="AR112" s="187">
        <f>IF(OR(AND(AR111&lt;&gt;0,AR113=0),AND(AR111=0,AR113&lt;&gt;0)),"Ошибка",IF(AR113=0,0,AR111/AR113))</f>
        <v>0</v>
      </c>
      <c r="AS112" s="187">
        <f>IF(OR(AND(AS111&lt;&gt;0,AS113=0),AND(AS111=0,AS113&lt;&gt;0)),"Ошибка",IF(AS113=0,0,AS111/AS113))</f>
        <v>0</v>
      </c>
      <c r="AT112" s="187">
        <f>IF(OR(AND(AT111&lt;&gt;0,AT113=0),AND(AT111=0,AT113&lt;&gt;0)),"Ошибка",IF(AT113=0,0,AT111/AT113))</f>
        <v>0</v>
      </c>
      <c r="AU112" s="187">
        <f>IF(OR(AND(AU111&lt;&gt;0,AU113=0),AND(AU111=0,AU113&lt;&gt;0)),"Ошибка",IF(AU113=0,0,AU111/AU113))</f>
        <v>0</v>
      </c>
      <c r="AV112" s="187">
        <f>IF(OR(AND(AV111&lt;&gt;0,AV113=0),AND(AV111=0,AV113&lt;&gt;0)),"Ошибка",IF(AV113=0,0,AV111/AV113))</f>
        <v>0</v>
      </c>
      <c r="AW112" s="187">
        <f>IF(OR(AND(AW111&lt;&gt;0,AW113=0),AND(AW111=0,AW113&lt;&gt;0)),"Ошибка",IF(AW113=0,0,AW111/AW113))</f>
        <v>0</v>
      </c>
      <c r="AX112" s="187">
        <f>IF(OR(AND(AX111&lt;&gt;0,AX113=0),AND(AX111=0,AX113&lt;&gt;0)),"Ошибка",IF(AX113=0,0,AX111/AX113))</f>
        <v>0</v>
      </c>
      <c r="AY112" s="187">
        <f>IF(OR(AND(AY111&lt;&gt;0,AY113=0),AND(AY111=0,AY113&lt;&gt;0)),"Ошибка",IF(AY113=0,0,AY111/AY113))</f>
        <v>0</v>
      </c>
      <c r="AZ112" s="187">
        <f>IF(OR(AND(AZ111&lt;&gt;0,AZ113=0),AND(AZ111=0,AZ113&lt;&gt;0)),"Ошибка",IF(AZ113=0,0,AZ111/AZ113))</f>
        <v>0</v>
      </c>
      <c r="BA112" s="187">
        <f>IF(OR(AND(BA111&lt;&gt;0,BA113=0),AND(BA111=0,BA113&lt;&gt;0)),"Ошибка",IF(BA113=0,0,BA111/BA113))</f>
        <v>0</v>
      </c>
      <c r="BB112" s="187">
        <f>IF(OR(AND(BB111&lt;&gt;0,BB113=0),AND(BB111=0,BB113&lt;&gt;0)),"Ошибка",IF(BB113=0,0,BB111/BB113))</f>
        <v>0</v>
      </c>
      <c r="BC112" s="196"/>
      <c r="BD112" s="1541"/>
      <c r="BE112" s="1541"/>
      <c r="BF112" s="1038" t="s">
        <v>987</v>
      </c>
      <c r="BG112" s="1038" t="s">
        <v>985</v>
      </c>
      <c r="BH112" s="1038" cm="1" t="str">
        <f t="array" ref="BH112:BH112">BH111</f>
        <v>СН2</v>
      </c>
      <c r="BI112" s="1191" cm="1" t="str">
        <f t="array" ref="BI112:BI112">BI111</f>
        <v>ПАО "Кузбассэнергосбыт" (ИНН: 4205109214, КПП: 420501001)</v>
      </c>
      <c r="BJ112" s="263"/>
      <c r="BK112" s="263"/>
    </row>
    <row s="1191" customFormat="1" customHeight="1" ht="10.5">
      <c r="A113" s="1541"/>
      <c r="B113" s="431"/>
      <c r="C113" s="486"/>
      <c r="D113" s="1541"/>
      <c r="E113" s="263">
        <v>11.25</v>
      </c>
      <c r="F113" s="50" cm="1" t="str">
        <f t="array" ref="F113:F113">OFFSET(E113,-1,1)</f>
        <v>2</v>
      </c>
      <c r="G113" s="122" t="s">
        <v>796</v>
      </c>
      <c r="H113" s="122" cm="1" t="str">
        <f t="array" ref="H113:H113">H112</f>
        <v>СН2</v>
      </c>
      <c r="I113" s="1541"/>
      <c r="J113" s="1541"/>
      <c r="K113" s="1541"/>
      <c r="L113" s="1541"/>
      <c r="M113" s="1541"/>
      <c r="N113" s="1541"/>
      <c r="O113" s="1541"/>
      <c r="P113" s="1541"/>
      <c r="Q113" s="1541"/>
      <c r="R113" s="1541"/>
      <c r="S113" s="1541"/>
      <c r="T113" s="468" cm="1" t="str">
        <f t="array" ref="T113:T113">T112</f>
        <v>true</v>
      </c>
      <c r="U113" s="1541"/>
      <c r="V113" s="1541"/>
      <c r="W113" s="1541"/>
      <c r="X113" s="1519"/>
      <c r="Y113" s="1519"/>
      <c r="Z113" s="1541"/>
      <c r="AA113" s="1516"/>
      <c r="AB113" s="85" t="str">
        <f>AB110&amp;".3"</f>
        <v>6.3.3</v>
      </c>
      <c r="AC113" s="188" t="s">
        <v>988</v>
      </c>
      <c r="AD113" s="88" t="s">
        <v>972</v>
      </c>
      <c r="AE113" s="137"/>
      <c r="AF113" s="137"/>
      <c r="AG113" s="137"/>
      <c r="AH113" s="137"/>
      <c r="AI113" s="137"/>
      <c r="AJ113" s="1817"/>
      <c r="AK113" s="1817"/>
      <c r="AL113" s="1817"/>
      <c r="AM113" s="1817"/>
      <c r="AN113" s="1817"/>
      <c r="AO113" s="1817"/>
      <c r="AP113" s="1817"/>
      <c r="AQ113" s="1817"/>
      <c r="AR113" s="1817"/>
      <c r="AS113" s="137"/>
      <c r="AT113" s="1817"/>
      <c r="AU113" s="1817"/>
      <c r="AV113" s="1817"/>
      <c r="AW113" s="1817"/>
      <c r="AX113" s="1817"/>
      <c r="AY113" s="1817"/>
      <c r="AZ113" s="1817"/>
      <c r="BA113" s="1817"/>
      <c r="BB113" s="1817"/>
      <c r="BC113" s="196"/>
      <c r="BD113" s="1541"/>
      <c r="BE113" s="1541"/>
      <c r="BF113" s="1038" t="s">
        <v>989</v>
      </c>
      <c r="BG113" s="1038" t="s">
        <v>985</v>
      </c>
      <c r="BH113" s="1038" cm="1" t="str">
        <f t="array" ref="BH113:BH113">BH112</f>
        <v>СН2</v>
      </c>
      <c r="BI113" s="1191" cm="1" t="str">
        <f t="array" ref="BI113:BI113">BI112</f>
        <v>ПАО "Кузбассэнергосбыт" (ИНН: 4205109214, КПП: 420501001)</v>
      </c>
      <c r="BJ113" s="263"/>
      <c r="BK113" s="263"/>
    </row>
    <row s="1363" customFormat="1" customHeight="1" ht="14.25">
      <c r="A114" s="1363"/>
      <c r="B114" s="429"/>
      <c r="C114" s="486"/>
      <c r="D114" s="1363"/>
      <c r="E114" s="638">
        <v>15</v>
      </c>
      <c r="F114" s="50" cm="1" t="str">
        <f t="array" ref="F114:F114">OFFSET(E114,-1,1)</f>
        <v>2</v>
      </c>
      <c r="G114" s="1363"/>
      <c r="H114" s="965" t="s">
        <v>990</v>
      </c>
      <c r="I114" s="1363"/>
      <c r="J114" s="1363"/>
      <c r="K114" s="1363"/>
      <c r="L114" s="1363"/>
      <c r="M114" s="1363"/>
      <c r="N114" s="1363"/>
      <c r="O114" s="1363"/>
      <c r="P114" s="1363"/>
      <c r="Q114" s="1363"/>
      <c r="R114" s="1363"/>
      <c r="S114" s="1363"/>
      <c r="T114" s="468">
        <f>F114&gt;0</f>
        <v>1</v>
      </c>
      <c r="U114" s="1363"/>
      <c r="V114" s="1363"/>
      <c r="W114" s="764" t="s">
        <v>410</v>
      </c>
      <c r="X114" s="1519"/>
      <c r="Y114" s="1363"/>
      <c r="Z114" s="1541"/>
      <c r="AA114" s="1363"/>
      <c r="AB114" s="659"/>
      <c r="AC114" s="174" t="s">
        <v>177</v>
      </c>
      <c r="AD114" s="172"/>
      <c r="AE114" s="172"/>
      <c r="AF114" s="172"/>
      <c r="AG114" s="172"/>
      <c r="AH114" s="172"/>
      <c r="AI114" s="172"/>
      <c r="AJ114" s="172"/>
      <c r="AK114" s="172"/>
      <c r="AL114" s="172"/>
      <c r="AM114" s="172"/>
      <c r="AN114" s="172"/>
      <c r="AO114" s="172"/>
      <c r="AP114" s="172"/>
      <c r="AQ114" s="172"/>
      <c r="AR114" s="172"/>
      <c r="AS114" s="172"/>
      <c r="AT114" s="172"/>
      <c r="AU114" s="172"/>
      <c r="AV114" s="172"/>
      <c r="AW114" s="172"/>
      <c r="AX114" s="172"/>
      <c r="AY114" s="172"/>
      <c r="AZ114" s="172"/>
      <c r="BA114" s="172"/>
      <c r="BB114" s="172"/>
      <c r="BC114" s="183"/>
      <c r="BD114" s="1363"/>
      <c r="BE114" s="1363"/>
      <c r="BF114" s="1026"/>
      <c r="BG114" s="1026"/>
      <c r="BH114" s="1026"/>
      <c r="BJ114" s="638" t="s">
        <v>985</v>
      </c>
      <c r="BK114" s="638"/>
    </row>
    <row s="1191" customFormat="1" customHeight="1" ht="20.671875">
      <c r="A115" s="1541"/>
      <c r="B115" s="431"/>
      <c r="C115" s="486"/>
      <c r="D115" s="1541"/>
      <c r="E115" s="263">
        <v>13</v>
      </c>
      <c r="F115" s="50" cm="1" t="str">
        <f t="array" ref="F115:F115">OFFSET(E115,-1,1)</f>
        <v>2</v>
      </c>
      <c r="G115" s="122"/>
      <c r="H115" s="122"/>
      <c r="I115" s="1541"/>
      <c r="J115" s="1541"/>
      <c r="K115" s="1541"/>
      <c r="L115" s="1541"/>
      <c r="M115" s="1541"/>
      <c r="N115" s="1541"/>
      <c r="O115" s="1541"/>
      <c r="P115" s="1541"/>
      <c r="Q115" s="1541"/>
      <c r="R115" s="1541"/>
      <c r="S115" s="1541"/>
      <c r="T115" s="468" cm="1" t="str">
        <f t="array" ref="T115:T115">T114</f>
        <v>true</v>
      </c>
      <c r="U115" s="1541"/>
      <c r="V115" s="1541"/>
      <c r="W115" s="1541"/>
      <c r="X115" s="1519"/>
      <c r="Y115" s="1541"/>
      <c r="Z115" s="1541"/>
      <c r="AA115" s="1541"/>
      <c r="AB115" s="658"/>
      <c r="AC115" s="262" t="s">
        <v>991</v>
      </c>
      <c r="AD115" s="263"/>
      <c r="AE115" s="264"/>
      <c r="AF115" s="264"/>
      <c r="AG115" s="264"/>
      <c r="AH115" s="264"/>
      <c r="AI115" s="264"/>
      <c r="AJ115" s="264"/>
      <c r="AK115" s="264"/>
      <c r="AL115" s="264"/>
      <c r="AM115" s="264"/>
      <c r="AN115" s="264"/>
      <c r="AO115" s="264"/>
      <c r="AP115" s="264"/>
      <c r="AQ115" s="264"/>
      <c r="AR115" s="264"/>
      <c r="AS115" s="264"/>
      <c r="AT115" s="264"/>
      <c r="AU115" s="264"/>
      <c r="AV115" s="264"/>
      <c r="AW115" s="264"/>
      <c r="AX115" s="264"/>
      <c r="AY115" s="264"/>
      <c r="AZ115" s="264"/>
      <c r="BA115" s="264"/>
      <c r="BB115" s="264"/>
      <c r="BC115" s="265"/>
      <c r="BD115" s="1541"/>
      <c r="BE115" s="1541"/>
      <c r="BF115" s="1038"/>
      <c r="BG115" s="1038"/>
      <c r="BH115" s="1038"/>
      <c r="BJ115" s="263"/>
      <c r="BK115" s="263"/>
    </row>
    <row customHeight="1" ht="10.725000000000001" hidden="1">
      <c r="A116" s="1328"/>
      <c r="B116" s="2912"/>
      <c r="C116" s="923"/>
      <c r="D116" s="1328"/>
      <c r="E116" s="1055">
        <v>11</v>
      </c>
      <c r="F116" s="50" cm="1" t="str">
        <f t="array" ref="F116:F116">OFFSET(E116,-1,1)</f>
        <v>2</v>
      </c>
      <c r="G116" s="1528"/>
      <c r="H116" s="1528"/>
      <c r="I116" s="1328"/>
      <c r="J116" s="1328"/>
      <c r="K116" s="1328"/>
      <c r="L116" s="1328"/>
      <c r="M116" s="1328"/>
      <c r="N116" s="1328"/>
      <c r="O116" s="1328"/>
      <c r="P116" s="1328"/>
      <c r="Q116" s="1328"/>
      <c r="R116" s="1328"/>
      <c r="S116" s="1328"/>
      <c r="T116" s="1436">
        <f>AND(F116&gt;0,Y116&gt;0)</f>
        <v>0</v>
      </c>
      <c r="U116" s="1328"/>
      <c r="V116" s="1328"/>
      <c r="W116" s="856" t="s">
        <v>173</v>
      </c>
      <c r="X116" s="1324"/>
      <c r="Y116" s="1617">
        <v>0</v>
      </c>
      <c r="Z116" s="1324"/>
      <c r="AA116" s="1630" t="s">
        <v>174</v>
      </c>
      <c r="AB116" s="1577" t="str">
        <f>"7."&amp;Y116</f>
        <v>7.0</v>
      </c>
      <c r="AC116" s="2913"/>
      <c r="AD116" s="1540"/>
      <c r="AE116" s="351"/>
      <c r="AF116" s="351"/>
      <c r="AG116" s="351"/>
      <c r="AH116" s="351"/>
      <c r="AI116" s="351"/>
      <c r="AJ116" s="351"/>
      <c r="AK116" s="351"/>
      <c r="AL116" s="351"/>
      <c r="AM116" s="351"/>
      <c r="AN116" s="351"/>
      <c r="AO116" s="351"/>
      <c r="AP116" s="351"/>
      <c r="AQ116" s="351"/>
      <c r="AR116" s="351"/>
      <c r="AS116" s="351"/>
      <c r="AT116" s="351"/>
      <c r="AU116" s="351"/>
      <c r="AV116" s="351"/>
      <c r="AW116" s="351"/>
      <c r="AX116" s="351"/>
      <c r="AY116" s="351"/>
      <c r="AZ116" s="351"/>
      <c r="BA116" s="351"/>
      <c r="BB116" s="351"/>
      <c r="BC116" s="351"/>
      <c r="BD116" s="2914"/>
      <c r="BE116" s="1328"/>
      <c r="BF116" s="1054"/>
      <c r="BG116" s="1054"/>
      <c r="BH116" s="1054"/>
      <c r="BI116" s="1054"/>
      <c r="BJ116" s="1055"/>
      <c r="BK116" s="1055"/>
    </row>
    <row s="1191" customFormat="1" customHeight="1" ht="10.5" hidden="1">
      <c r="A117" s="1541"/>
      <c r="B117" s="431"/>
      <c r="C117" s="486"/>
      <c r="D117" s="1541"/>
      <c r="E117" s="263">
        <v>11.25</v>
      </c>
      <c r="F117" s="50" cm="1" t="str">
        <f t="array" ref="F117:F117">OFFSET(E117,-1,1)</f>
        <v>2</v>
      </c>
      <c r="G117" s="122" t="s">
        <v>616</v>
      </c>
      <c r="H117" s="122" cm="1" t="str">
        <f t="array" ref="H117:H117">AC117</f>
        <v>0</v>
      </c>
      <c r="I117" s="1541"/>
      <c r="J117" s="1541"/>
      <c r="K117" s="1541"/>
      <c r="L117" s="1541"/>
      <c r="M117" s="1541"/>
      <c r="N117" s="1541"/>
      <c r="O117" s="1541"/>
      <c r="P117" s="1541"/>
      <c r="Q117" s="1541"/>
      <c r="R117" s="1541"/>
      <c r="S117" s="1541"/>
      <c r="T117" s="468" cm="1" t="str">
        <f t="array" ref="T117:T117">T116</f>
        <v>false</v>
      </c>
      <c r="U117" s="1541"/>
      <c r="V117" s="1541"/>
      <c r="W117" s="764"/>
      <c r="X117" s="1519"/>
      <c r="Y117" s="1519">
        <v>0</v>
      </c>
      <c r="Z117" s="1541"/>
      <c r="AA117" s="1516" t="s">
        <v>174</v>
      </c>
      <c r="AB117" s="85" t="str">
        <f>AB116&amp;".1"</f>
        <v>7.0.1</v>
      </c>
      <c r="AC117" s="2915"/>
      <c r="AD117" s="85" t="s">
        <v>936</v>
      </c>
      <c r="AE117" s="187">
        <f>AE118+AE121</f>
        <v>0</v>
      </c>
      <c r="AF117" s="187">
        <f>AF118+AF121</f>
        <v>0</v>
      </c>
      <c r="AG117" s="187">
        <f>AG118+AG121</f>
        <v>0</v>
      </c>
      <c r="AH117" s="187">
        <f>AH118+AH121</f>
        <v>0</v>
      </c>
      <c r="AI117" s="187">
        <f>AI118+AI121</f>
        <v>0</v>
      </c>
      <c r="AJ117" s="187">
        <f>AJ118+AJ121</f>
        <v>0</v>
      </c>
      <c r="AK117" s="187">
        <f>AK118+AK121</f>
        <v>0</v>
      </c>
      <c r="AL117" s="187">
        <f>AL118+AL121</f>
        <v>0</v>
      </c>
      <c r="AM117" s="187">
        <f>AM118+AM121</f>
        <v>0</v>
      </c>
      <c r="AN117" s="187">
        <f>AN118+AN121</f>
        <v>0</v>
      </c>
      <c r="AO117" s="187">
        <f>AO118+AO121</f>
        <v>0</v>
      </c>
      <c r="AP117" s="187">
        <f>AP118+AP121</f>
        <v>0</v>
      </c>
      <c r="AQ117" s="187">
        <f>AQ118+AQ121</f>
        <v>0</v>
      </c>
      <c r="AR117" s="187">
        <f>AR118+AR121</f>
        <v>0</v>
      </c>
      <c r="AS117" s="187">
        <f>AS118+AS121</f>
        <v>0</v>
      </c>
      <c r="AT117" s="187">
        <f>AT118+AT121</f>
        <v>0</v>
      </c>
      <c r="AU117" s="187">
        <f>AU118+AU121</f>
        <v>0</v>
      </c>
      <c r="AV117" s="187">
        <f>AV118+AV121</f>
        <v>0</v>
      </c>
      <c r="AW117" s="187">
        <f>AW118+AW121</f>
        <v>0</v>
      </c>
      <c r="AX117" s="187">
        <f>AX118+AX121</f>
        <v>0</v>
      </c>
      <c r="AY117" s="187">
        <f>AY118+AY121</f>
        <v>0</v>
      </c>
      <c r="AZ117" s="187">
        <f>AZ118+AZ121</f>
        <v>0</v>
      </c>
      <c r="BA117" s="187">
        <f>BA118+BA121</f>
        <v>0</v>
      </c>
      <c r="BB117" s="187">
        <f>BB118+BB121</f>
        <v>0</v>
      </c>
      <c r="BC117" s="1928"/>
      <c r="BD117" s="1541"/>
      <c r="BE117" s="1541"/>
      <c r="BF117" s="1038" t="s">
        <v>992</v>
      </c>
      <c r="BG117" s="1038" t="s">
        <v>993</v>
      </c>
      <c r="BH117" s="1038" cm="1" t="str">
        <f t="array" ref="BH117:BH117">AC117</f>
        <v>0</v>
      </c>
      <c r="BI117" s="1191" cm="1" t="str">
        <f t="array" ref="BI117:BI117">AC116</f>
        <v>0</v>
      </c>
      <c r="BJ117" s="263"/>
      <c r="BK117" s="263" t="b">
        <v>1</v>
      </c>
    </row>
    <row s="1191" customFormat="1" customHeight="1" ht="10.5" hidden="1">
      <c r="A118" s="1541"/>
      <c r="B118" s="431"/>
      <c r="C118" s="486"/>
      <c r="D118" s="1541"/>
      <c r="E118" s="263">
        <v>11.25</v>
      </c>
      <c r="F118" s="50" cm="1" t="str">
        <f t="array" ref="F118:F118">OFFSET(E118,-1,1)</f>
        <v>2</v>
      </c>
      <c r="G118" s="122" t="s">
        <v>800</v>
      </c>
      <c r="H118" s="122" cm="1" t="str">
        <f t="array" ref="H118:H118">H117</f>
        <v>0</v>
      </c>
      <c r="I118" s="1541"/>
      <c r="J118" s="1541"/>
      <c r="K118" s="1541"/>
      <c r="L118" s="1541"/>
      <c r="M118" s="1541"/>
      <c r="N118" s="1541"/>
      <c r="O118" s="1541"/>
      <c r="P118" s="1541"/>
      <c r="Q118" s="1541"/>
      <c r="R118" s="1541"/>
      <c r="S118" s="1541"/>
      <c r="T118" s="468" cm="1" t="str">
        <f t="array" ref="T118:T118">T117</f>
        <v>false</v>
      </c>
      <c r="U118" s="1541"/>
      <c r="V118" s="1541"/>
      <c r="W118" s="1541"/>
      <c r="X118" s="1519"/>
      <c r="Y118" s="1519"/>
      <c r="Z118" s="1541"/>
      <c r="AA118" s="1516"/>
      <c r="AB118" s="85" t="str">
        <f>AB116&amp;".2"</f>
        <v>7.0.2</v>
      </c>
      <c r="AC118" s="188" t="s">
        <v>994</v>
      </c>
      <c r="AD118" s="85" t="s">
        <v>995</v>
      </c>
      <c r="AE118" s="1817"/>
      <c r="AF118" s="1817"/>
      <c r="AG118" s="1817"/>
      <c r="AH118" s="1817"/>
      <c r="AI118" s="1817"/>
      <c r="AJ118" s="1817"/>
      <c r="AK118" s="1817"/>
      <c r="AL118" s="1817"/>
      <c r="AM118" s="1817"/>
      <c r="AN118" s="1817"/>
      <c r="AO118" s="1817"/>
      <c r="AP118" s="1817"/>
      <c r="AQ118" s="1817"/>
      <c r="AR118" s="1817"/>
      <c r="AS118" s="1817"/>
      <c r="AT118" s="1817"/>
      <c r="AU118" s="1817"/>
      <c r="AV118" s="1817"/>
      <c r="AW118" s="1817"/>
      <c r="AX118" s="1817"/>
      <c r="AY118" s="1817"/>
      <c r="AZ118" s="1817"/>
      <c r="BA118" s="1817"/>
      <c r="BB118" s="1817"/>
      <c r="BC118" s="1928"/>
      <c r="BD118" s="1541"/>
      <c r="BE118" s="1541"/>
      <c r="BF118" s="1038" t="s">
        <v>996</v>
      </c>
      <c r="BG118" s="1038" t="s">
        <v>993</v>
      </c>
      <c r="BH118" s="1038" cm="1" t="str">
        <f t="array" ref="BH118:BH118">BH117</f>
        <v>0</v>
      </c>
      <c r="BI118" s="1191" cm="1" t="str">
        <f t="array" ref="BI118:BI118">BI117</f>
        <v>0</v>
      </c>
      <c r="BJ118" s="263"/>
      <c r="BK118" s="263"/>
    </row>
    <row s="1191" customFormat="1" customHeight="1" ht="10.5" hidden="1">
      <c r="A119" s="1541"/>
      <c r="B119" s="431"/>
      <c r="C119" s="486"/>
      <c r="D119" s="1541"/>
      <c r="E119" s="263">
        <v>11.25</v>
      </c>
      <c r="F119" s="50" cm="1" t="str">
        <f t="array" ref="F119:F119">OFFSET(E119,-1,1)</f>
        <v>2</v>
      </c>
      <c r="G119" s="122" t="s">
        <v>997</v>
      </c>
      <c r="H119" s="122" cm="1" t="str">
        <f t="array" ref="H119:H119">H118</f>
        <v>0</v>
      </c>
      <c r="I119" s="1541"/>
      <c r="J119" s="1541"/>
      <c r="K119" s="1541"/>
      <c r="L119" s="1541"/>
      <c r="M119" s="1541"/>
      <c r="N119" s="1541"/>
      <c r="O119" s="1541"/>
      <c r="P119" s="1541"/>
      <c r="Q119" s="1541"/>
      <c r="R119" s="1541"/>
      <c r="S119" s="1541"/>
      <c r="T119" s="468" cm="1" t="str">
        <f t="array" ref="T119:T119">T118</f>
        <v>false</v>
      </c>
      <c r="U119" s="1541"/>
      <c r="V119" s="1541"/>
      <c r="W119" s="1541"/>
      <c r="X119" s="1519"/>
      <c r="Y119" s="1519"/>
      <c r="Z119" s="1541"/>
      <c r="AA119" s="1516"/>
      <c r="AB119" s="85" t="str">
        <f>AB116&amp;".3"</f>
        <v>7.0.3</v>
      </c>
      <c r="AC119" s="328" t="s">
        <v>986</v>
      </c>
      <c r="AD119" s="88" t="s">
        <v>978</v>
      </c>
      <c r="AE119" s="187">
        <f>IF(OR(AND(AE118&lt;&gt;0,AE120=0),AND(AE118=0,AE120&lt;&gt;0)),"Ошибка",IF(AE120=0,0,AE118/AE120))</f>
        <v>0</v>
      </c>
      <c r="AF119" s="187">
        <f>IF(OR(AND(AF118&lt;&gt;0,AF120=0),AND(AF118=0,AF120&lt;&gt;0)),"Ошибка",IF(AF120=0,0,AF118/AF120))</f>
        <v>0</v>
      </c>
      <c r="AG119" s="187">
        <f>IF(OR(AND(AG118&lt;&gt;0,AG120=0),AND(AG118=0,AG120&lt;&gt;0)),"Ошибка",IF(AG120=0,0,AG118/AG120))</f>
        <v>0</v>
      </c>
      <c r="AH119" s="187">
        <f>IF(OR(AND(AH118&lt;&gt;0,AH120=0),AND(AH118=0,AH120&lt;&gt;0)),"Ошибка",IF(AH120=0,0,AH118/AH120))</f>
        <v>0</v>
      </c>
      <c r="AI119" s="187">
        <f>IF(OR(AND(AI118&lt;&gt;0,AI120=0),AND(AI118=0,AI120&lt;&gt;0)),"Ошибка",IF(AI120=0,0,AI118/AI120))</f>
        <v>0</v>
      </c>
      <c r="AJ119" s="187">
        <f>IF(OR(AND(AJ118&lt;&gt;0,AJ120=0),AND(AJ118=0,AJ120&lt;&gt;0)),"Ошибка",IF(AJ120=0,0,AJ118/AJ120))</f>
        <v>0</v>
      </c>
      <c r="AK119" s="187">
        <f>IF(OR(AND(AK118&lt;&gt;0,AK120=0),AND(AK118=0,AK120&lt;&gt;0)),"Ошибка",IF(AK120=0,0,AK118/AK120))</f>
        <v>0</v>
      </c>
      <c r="AL119" s="187">
        <f>IF(OR(AND(AL118&lt;&gt;0,AL120=0),AND(AL118=0,AL120&lt;&gt;0)),"Ошибка",IF(AL120=0,0,AL118/AL120))</f>
        <v>0</v>
      </c>
      <c r="AM119" s="187">
        <f>IF(OR(AND(AM118&lt;&gt;0,AM120=0),AND(AM118=0,AM120&lt;&gt;0)),"Ошибка",IF(AM120=0,0,AM118/AM120))</f>
        <v>0</v>
      </c>
      <c r="AN119" s="187">
        <f>IF(OR(AND(AN118&lt;&gt;0,AN120=0),AND(AN118=0,AN120&lt;&gt;0)),"Ошибка",IF(AN120=0,0,AN118/AN120))</f>
        <v>0</v>
      </c>
      <c r="AO119" s="187">
        <f>IF(OR(AND(AO118&lt;&gt;0,AO120=0),AND(AO118=0,AO120&lt;&gt;0)),"Ошибка",IF(AO120=0,0,AO118/AO120))</f>
        <v>0</v>
      </c>
      <c r="AP119" s="187">
        <f>IF(OR(AND(AP118&lt;&gt;0,AP120=0),AND(AP118=0,AP120&lt;&gt;0)),"Ошибка",IF(AP120=0,0,AP118/AP120))</f>
        <v>0</v>
      </c>
      <c r="AQ119" s="187">
        <f>IF(OR(AND(AQ118&lt;&gt;0,AQ120=0),AND(AQ118=0,AQ120&lt;&gt;0)),"Ошибка",IF(AQ120=0,0,AQ118/AQ120))</f>
        <v>0</v>
      </c>
      <c r="AR119" s="187">
        <f>IF(OR(AND(AR118&lt;&gt;0,AR120=0),AND(AR118=0,AR120&lt;&gt;0)),"Ошибка",IF(AR120=0,0,AR118/AR120))</f>
        <v>0</v>
      </c>
      <c r="AS119" s="187">
        <f>IF(OR(AND(AS118&lt;&gt;0,AS120=0),AND(AS118=0,AS120&lt;&gt;0)),"Ошибка",IF(AS120=0,0,AS118/AS120))</f>
        <v>0</v>
      </c>
      <c r="AT119" s="187">
        <f>IF(OR(AND(AT118&lt;&gt;0,AT120=0),AND(AT118=0,AT120&lt;&gt;0)),"Ошибка",IF(AT120=0,0,AT118/AT120))</f>
        <v>0</v>
      </c>
      <c r="AU119" s="187">
        <f>IF(OR(AND(AU118&lt;&gt;0,AU120=0),AND(AU118=0,AU120&lt;&gt;0)),"Ошибка",IF(AU120=0,0,AU118/AU120))</f>
        <v>0</v>
      </c>
      <c r="AV119" s="187">
        <f>IF(OR(AND(AV118&lt;&gt;0,AV120=0),AND(AV118=0,AV120&lt;&gt;0)),"Ошибка",IF(AV120=0,0,AV118/AV120))</f>
        <v>0</v>
      </c>
      <c r="AW119" s="187">
        <f>IF(OR(AND(AW118&lt;&gt;0,AW120=0),AND(AW118=0,AW120&lt;&gt;0)),"Ошибка",IF(AW120=0,0,AW118/AW120))</f>
        <v>0</v>
      </c>
      <c r="AX119" s="187">
        <f>IF(OR(AND(AX118&lt;&gt;0,AX120=0),AND(AX118=0,AX120&lt;&gt;0)),"Ошибка",IF(AX120=0,0,AX118/AX120))</f>
        <v>0</v>
      </c>
      <c r="AY119" s="187">
        <f>IF(OR(AND(AY118&lt;&gt;0,AY120=0),AND(AY118=0,AY120&lt;&gt;0)),"Ошибка",IF(AY120=0,0,AY118/AY120))</f>
        <v>0</v>
      </c>
      <c r="AZ119" s="187">
        <f>IF(OR(AND(AZ118&lt;&gt;0,AZ120=0),AND(AZ118=0,AZ120&lt;&gt;0)),"Ошибка",IF(AZ120=0,0,AZ118/AZ120))</f>
        <v>0</v>
      </c>
      <c r="BA119" s="187">
        <f>IF(OR(AND(BA118&lt;&gt;0,BA120=0),AND(BA118=0,BA120&lt;&gt;0)),"Ошибка",IF(BA120=0,0,BA118/BA120))</f>
        <v>0</v>
      </c>
      <c r="BB119" s="187">
        <f>IF(OR(AND(BB118&lt;&gt;0,BB120=0),AND(BB118=0,BB120&lt;&gt;0)),"Ошибка",IF(BB120=0,0,BB118/BB120))</f>
        <v>0</v>
      </c>
      <c r="BC119" s="1928"/>
      <c r="BD119" s="1541"/>
      <c r="BE119" s="1541"/>
      <c r="BF119" s="1038" t="s">
        <v>998</v>
      </c>
      <c r="BG119" s="1038" t="s">
        <v>993</v>
      </c>
      <c r="BH119" s="1038" cm="1" t="str">
        <f t="array" ref="BH119:BH119">BH118</f>
        <v>0</v>
      </c>
      <c r="BI119" s="1191" cm="1" t="str">
        <f t="array" ref="BI119:BI119">BI118</f>
        <v>0</v>
      </c>
      <c r="BJ119" s="263"/>
      <c r="BK119" s="263"/>
    </row>
    <row s="1191" customFormat="1" customHeight="1" ht="10.5" hidden="1">
      <c r="A120" s="1541"/>
      <c r="B120" s="431"/>
      <c r="C120" s="486"/>
      <c r="D120" s="1541"/>
      <c r="E120" s="263">
        <v>11.25</v>
      </c>
      <c r="F120" s="50" cm="1" t="str">
        <f t="array" ref="F120:F120">OFFSET(E120,-1,1)</f>
        <v>2</v>
      </c>
      <c r="G120" s="122" t="s">
        <v>999</v>
      </c>
      <c r="H120" s="122" cm="1" t="str">
        <f t="array" ref="H120:H120">H119</f>
        <v>0</v>
      </c>
      <c r="I120" s="1541"/>
      <c r="J120" s="1541"/>
      <c r="K120" s="1541"/>
      <c r="L120" s="1541"/>
      <c r="M120" s="1541"/>
      <c r="N120" s="1541"/>
      <c r="O120" s="1541"/>
      <c r="P120" s="1541"/>
      <c r="Q120" s="1541"/>
      <c r="R120" s="1541"/>
      <c r="S120" s="1541"/>
      <c r="T120" s="468" cm="1" t="str">
        <f t="array" ref="T120:T120">T119</f>
        <v>false</v>
      </c>
      <c r="U120" s="1541"/>
      <c r="V120" s="1541"/>
      <c r="W120" s="1541"/>
      <c r="X120" s="1519"/>
      <c r="Y120" s="1519"/>
      <c r="Z120" s="1541"/>
      <c r="AA120" s="1516"/>
      <c r="AB120" s="85" t="str">
        <f>AB116&amp;".4"</f>
        <v>7.0.4</v>
      </c>
      <c r="AC120" s="328" t="s">
        <v>988</v>
      </c>
      <c r="AD120" s="88" t="s">
        <v>972</v>
      </c>
      <c r="AE120" s="1817"/>
      <c r="AF120" s="1817"/>
      <c r="AG120" s="1817"/>
      <c r="AH120" s="1817"/>
      <c r="AI120" s="1817"/>
      <c r="AJ120" s="1817"/>
      <c r="AK120" s="1817"/>
      <c r="AL120" s="1817"/>
      <c r="AM120" s="1817"/>
      <c r="AN120" s="1817"/>
      <c r="AO120" s="1817"/>
      <c r="AP120" s="1817"/>
      <c r="AQ120" s="1817"/>
      <c r="AR120" s="1817"/>
      <c r="AS120" s="1817"/>
      <c r="AT120" s="1817"/>
      <c r="AU120" s="1817"/>
      <c r="AV120" s="1817"/>
      <c r="AW120" s="1817"/>
      <c r="AX120" s="1817"/>
      <c r="AY120" s="1817"/>
      <c r="AZ120" s="1817"/>
      <c r="BA120" s="1817"/>
      <c r="BB120" s="1817"/>
      <c r="BC120" s="1928"/>
      <c r="BD120" s="1541"/>
      <c r="BE120" s="1541"/>
      <c r="BF120" s="1038" t="s">
        <v>1000</v>
      </c>
      <c r="BG120" s="1038" t="s">
        <v>993</v>
      </c>
      <c r="BH120" s="1038" cm="1" t="str">
        <f t="array" ref="BH120:BH120">BH119</f>
        <v>0</v>
      </c>
      <c r="BI120" s="1191" cm="1" t="str">
        <f t="array" ref="BI120:BI120">BI119</f>
        <v>0</v>
      </c>
      <c r="BJ120" s="263"/>
      <c r="BK120" s="263"/>
    </row>
    <row s="1191" customFormat="1" customHeight="1" ht="10.5" hidden="1">
      <c r="A121" s="1541"/>
      <c r="B121" s="431"/>
      <c r="C121" s="486"/>
      <c r="D121" s="1541"/>
      <c r="E121" s="263">
        <v>11.25</v>
      </c>
      <c r="F121" s="50" cm="1" t="str">
        <f t="array" ref="F121:F121">OFFSET(E121,-1,1)</f>
        <v>2</v>
      </c>
      <c r="G121" s="122" t="s">
        <v>803</v>
      </c>
      <c r="H121" s="122" cm="1" t="str">
        <f t="array" ref="H121:H121">H120</f>
        <v>0</v>
      </c>
      <c r="I121" s="1541"/>
      <c r="J121" s="1541"/>
      <c r="K121" s="1541"/>
      <c r="L121" s="1541"/>
      <c r="M121" s="1541"/>
      <c r="N121" s="1541"/>
      <c r="O121" s="1541"/>
      <c r="P121" s="1541"/>
      <c r="Q121" s="1541"/>
      <c r="R121" s="1541"/>
      <c r="S121" s="1541"/>
      <c r="T121" s="468" cm="1" t="str">
        <f t="array" ref="T121:T121">T120</f>
        <v>false</v>
      </c>
      <c r="U121" s="1541"/>
      <c r="V121" s="1541"/>
      <c r="W121" s="1541"/>
      <c r="X121" s="1519"/>
      <c r="Y121" s="1519"/>
      <c r="Z121" s="1541"/>
      <c r="AA121" s="1516"/>
      <c r="AB121" s="85" t="str">
        <f>AB116&amp;".5"</f>
        <v>7.0.5</v>
      </c>
      <c r="AC121" s="188" t="s">
        <v>1001</v>
      </c>
      <c r="AD121" s="85" t="s">
        <v>995</v>
      </c>
      <c r="AE121" s="1817"/>
      <c r="AF121" s="1817"/>
      <c r="AG121" s="1817"/>
      <c r="AH121" s="1817"/>
      <c r="AI121" s="1817"/>
      <c r="AJ121" s="1817"/>
      <c r="AK121" s="1817"/>
      <c r="AL121" s="1817"/>
      <c r="AM121" s="1817"/>
      <c r="AN121" s="1817"/>
      <c r="AO121" s="1817"/>
      <c r="AP121" s="1817"/>
      <c r="AQ121" s="1817"/>
      <c r="AR121" s="1817"/>
      <c r="AS121" s="1817"/>
      <c r="AT121" s="1817"/>
      <c r="AU121" s="1817"/>
      <c r="AV121" s="1817"/>
      <c r="AW121" s="1817"/>
      <c r="AX121" s="1817"/>
      <c r="AY121" s="1817"/>
      <c r="AZ121" s="1817"/>
      <c r="BA121" s="1817"/>
      <c r="BB121" s="1817"/>
      <c r="BC121" s="1928"/>
      <c r="BD121" s="1541"/>
      <c r="BE121" s="1541"/>
      <c r="BF121" s="1038" t="s">
        <v>1002</v>
      </c>
      <c r="BG121" s="1038" t="s">
        <v>993</v>
      </c>
      <c r="BH121" s="1038" cm="1" t="str">
        <f t="array" ref="BH121:BH121">BH120</f>
        <v>0</v>
      </c>
      <c r="BI121" s="1191" cm="1" t="str">
        <f t="array" ref="BI121:BI121">BI120</f>
        <v>0</v>
      </c>
      <c r="BJ121" s="263"/>
      <c r="BK121" s="263"/>
    </row>
    <row s="1191" customFormat="1" customHeight="1" ht="10.5" hidden="1">
      <c r="A122" s="1541"/>
      <c r="B122" s="431"/>
      <c r="C122" s="486"/>
      <c r="D122" s="1541"/>
      <c r="E122" s="263">
        <v>11.25</v>
      </c>
      <c r="F122" s="50" cm="1" t="str">
        <f t="array" ref="F122:F122">OFFSET(E122,-1,1)</f>
        <v>2</v>
      </c>
      <c r="G122" s="122" t="s">
        <v>1003</v>
      </c>
      <c r="H122" s="122" cm="1" t="str">
        <f t="array" ref="H122:H122">H121</f>
        <v>0</v>
      </c>
      <c r="I122" s="1541"/>
      <c r="J122" s="1541"/>
      <c r="K122" s="1541"/>
      <c r="L122" s="1541"/>
      <c r="M122" s="1541"/>
      <c r="N122" s="1541"/>
      <c r="O122" s="1541"/>
      <c r="P122" s="1541"/>
      <c r="Q122" s="1541"/>
      <c r="R122" s="1541"/>
      <c r="S122" s="1541"/>
      <c r="T122" s="468" cm="1" t="str">
        <f t="array" ref="T122:T122">T121</f>
        <v>false</v>
      </c>
      <c r="U122" s="1541"/>
      <c r="V122" s="1541"/>
      <c r="W122" s="1541"/>
      <c r="X122" s="1519"/>
      <c r="Y122" s="1519"/>
      <c r="Z122" s="1541"/>
      <c r="AA122" s="1516"/>
      <c r="AB122" s="85" t="str">
        <f>AB116&amp;".6"</f>
        <v>7.0.6</v>
      </c>
      <c r="AC122" s="328" t="s">
        <v>1004</v>
      </c>
      <c r="AD122" s="88" t="s">
        <v>1005</v>
      </c>
      <c r="AE122" s="187">
        <f>IF(OR(AND(AE121&lt;&gt;0,AE123=0),AND(AE121=0,AE123&lt;&gt;0)),"Ошибка",IF(AE123=0,0,AE121/AE123*1000/12))</f>
        <v>0</v>
      </c>
      <c r="AF122" s="187">
        <f>IF(OR(AND(AF121&lt;&gt;0,AF123=0),AND(AF121=0,AF123&lt;&gt;0)),"Ошибка",IF(AF123=0,0,AF121/AF123*1000/12))</f>
        <v>0</v>
      </c>
      <c r="AG122" s="187">
        <f>IF(OR(AND(AG121&lt;&gt;0,AG123=0),AND(AG121=0,AG123&lt;&gt;0)),"Ошибка",IF(AG123=0,0,AG121/AG123*1000/12))</f>
        <v>0</v>
      </c>
      <c r="AH122" s="187">
        <f>IF(OR(AND(AH121&lt;&gt;0,AH123=0),AND(AH121=0,AH123&lt;&gt;0)),"Ошибка",IF(AH123=0,0,AH121/AH123*1000/12))</f>
        <v>0</v>
      </c>
      <c r="AI122" s="187">
        <f>IF(OR(AND(AI121&lt;&gt;0,AI123=0),AND(AI121=0,AI123&lt;&gt;0)),"Ошибка",IF(AI123=0,0,AI121/AI123*1000/12))</f>
        <v>0</v>
      </c>
      <c r="AJ122" s="187">
        <f>IF(OR(AND(AJ121&lt;&gt;0,AJ123=0),AND(AJ121=0,AJ123&lt;&gt;0)),"Ошибка",IF(AJ123=0,0,AJ121/AJ123*1000/12))</f>
        <v>0</v>
      </c>
      <c r="AK122" s="187">
        <f>IF(OR(AND(AK121&lt;&gt;0,AK123=0),AND(AK121=0,AK123&lt;&gt;0)),"Ошибка",IF(AK123=0,0,AK121/AK123*1000/12))</f>
        <v>0</v>
      </c>
      <c r="AL122" s="187">
        <f>IF(OR(AND(AL121&lt;&gt;0,AL123=0),AND(AL121=0,AL123&lt;&gt;0)),"Ошибка",IF(AL123=0,0,AL121/AL123*1000/12))</f>
        <v>0</v>
      </c>
      <c r="AM122" s="187">
        <f>IF(OR(AND(AM121&lt;&gt;0,AM123=0),AND(AM121=0,AM123&lt;&gt;0)),"Ошибка",IF(AM123=0,0,AM121/AM123*1000/12))</f>
        <v>0</v>
      </c>
      <c r="AN122" s="187">
        <f>IF(OR(AND(AN121&lt;&gt;0,AN123=0),AND(AN121=0,AN123&lt;&gt;0)),"Ошибка",IF(AN123=0,0,AN121/AN123*1000/12))</f>
        <v>0</v>
      </c>
      <c r="AO122" s="187">
        <f>IF(OR(AND(AO121&lt;&gt;0,AO123=0),AND(AO121=0,AO123&lt;&gt;0)),"Ошибка",IF(AO123=0,0,AO121/AO123*1000/12))</f>
        <v>0</v>
      </c>
      <c r="AP122" s="187">
        <f>IF(OR(AND(AP121&lt;&gt;0,AP123=0),AND(AP121=0,AP123&lt;&gt;0)),"Ошибка",IF(AP123=0,0,AP121/AP123*1000/12))</f>
        <v>0</v>
      </c>
      <c r="AQ122" s="187">
        <f>IF(OR(AND(AQ121&lt;&gt;0,AQ123=0),AND(AQ121=0,AQ123&lt;&gt;0)),"Ошибка",IF(AQ123=0,0,AQ121/AQ123*1000/12))</f>
        <v>0</v>
      </c>
      <c r="AR122" s="187">
        <f>IF(OR(AND(AR121&lt;&gt;0,AR123=0),AND(AR121=0,AR123&lt;&gt;0)),"Ошибка",IF(AR123=0,0,AR121/AR123*1000/12))</f>
        <v>0</v>
      </c>
      <c r="AS122" s="187">
        <f>IF(OR(AND(AS121&lt;&gt;0,AS123=0),AND(AS121=0,AS123&lt;&gt;0)),"Ошибка",IF(AS123=0,0,AS121/AS123*1000/12))</f>
        <v>0</v>
      </c>
      <c r="AT122" s="187">
        <f>IF(OR(AND(AT121&lt;&gt;0,AT123=0),AND(AT121=0,AT123&lt;&gt;0)),"Ошибка",IF(AT123=0,0,AT121/AT123*1000/12))</f>
        <v>0</v>
      </c>
      <c r="AU122" s="187">
        <f>IF(OR(AND(AU121&lt;&gt;0,AU123=0),AND(AU121=0,AU123&lt;&gt;0)),"Ошибка",IF(AU123=0,0,AU121/AU123*1000/12))</f>
        <v>0</v>
      </c>
      <c r="AV122" s="187">
        <f>IF(OR(AND(AV121&lt;&gt;0,AV123=0),AND(AV121=0,AV123&lt;&gt;0)),"Ошибка",IF(AV123=0,0,AV121/AV123*1000/12))</f>
        <v>0</v>
      </c>
      <c r="AW122" s="187">
        <f>IF(OR(AND(AW121&lt;&gt;0,AW123=0),AND(AW121=0,AW123&lt;&gt;0)),"Ошибка",IF(AW123=0,0,AW121/AW123*1000/12))</f>
        <v>0</v>
      </c>
      <c r="AX122" s="187">
        <f>IF(OR(AND(AX121&lt;&gt;0,AX123=0),AND(AX121=0,AX123&lt;&gt;0)),"Ошибка",IF(AX123=0,0,AX121/AX123*1000/12))</f>
        <v>0</v>
      </c>
      <c r="AY122" s="187">
        <f>IF(OR(AND(AY121&lt;&gt;0,AY123=0),AND(AY121=0,AY123&lt;&gt;0)),"Ошибка",IF(AY123=0,0,AY121/AY123*1000/12))</f>
        <v>0</v>
      </c>
      <c r="AZ122" s="187">
        <f>IF(OR(AND(AZ121&lt;&gt;0,AZ123=0),AND(AZ121=0,AZ123&lt;&gt;0)),"Ошибка",IF(AZ123=0,0,AZ121/AZ123*1000/12))</f>
        <v>0</v>
      </c>
      <c r="BA122" s="187">
        <f>IF(OR(AND(BA121&lt;&gt;0,BA123=0),AND(BA121=0,BA123&lt;&gt;0)),"Ошибка",IF(BA123=0,0,BA121/BA123*1000/12))</f>
        <v>0</v>
      </c>
      <c r="BB122" s="187">
        <f>IF(OR(AND(BB121&lt;&gt;0,BB123=0),AND(BB121=0,BB123&lt;&gt;0)),"Ошибка",IF(BB123=0,0,BB121/BB123*1000/12))</f>
        <v>0</v>
      </c>
      <c r="BC122" s="1928"/>
      <c r="BD122" s="1541"/>
      <c r="BE122" s="1541"/>
      <c r="BF122" s="1038" t="s">
        <v>1006</v>
      </c>
      <c r="BG122" s="1038" t="s">
        <v>993</v>
      </c>
      <c r="BH122" s="1038" cm="1" t="str">
        <f t="array" ref="BH122:BH122">BH121</f>
        <v>0</v>
      </c>
      <c r="BI122" s="1191" cm="1" t="str">
        <f t="array" ref="BI122:BI122">BI121</f>
        <v>0</v>
      </c>
      <c r="BJ122" s="263"/>
      <c r="BK122" s="263"/>
    </row>
    <row s="1191" customFormat="1" customHeight="1" ht="10.5" hidden="1">
      <c r="A123" s="1541"/>
      <c r="B123" s="431"/>
      <c r="C123" s="486"/>
      <c r="D123" s="1541"/>
      <c r="E123" s="263">
        <v>11.25</v>
      </c>
      <c r="F123" s="50" cm="1" t="str">
        <f t="array" ref="F123:F123">OFFSET(E123,-1,1)</f>
        <v>2</v>
      </c>
      <c r="G123" s="122" t="s">
        <v>1007</v>
      </c>
      <c r="H123" s="122" cm="1" t="str">
        <f t="array" ref="H123:H123">H122</f>
        <v>0</v>
      </c>
      <c r="I123" s="1541"/>
      <c r="J123" s="1541"/>
      <c r="K123" s="1541"/>
      <c r="L123" s="1541"/>
      <c r="M123" s="1541"/>
      <c r="N123" s="1541"/>
      <c r="O123" s="1541"/>
      <c r="P123" s="1541"/>
      <c r="Q123" s="1541"/>
      <c r="R123" s="1541"/>
      <c r="S123" s="1541"/>
      <c r="T123" s="468" cm="1" t="str">
        <f t="array" ref="T123:T123">T122</f>
        <v>false</v>
      </c>
      <c r="U123" s="1541"/>
      <c r="V123" s="1541"/>
      <c r="W123" s="1541"/>
      <c r="X123" s="1519"/>
      <c r="Y123" s="1519"/>
      <c r="Z123" s="1541"/>
      <c r="AA123" s="1516"/>
      <c r="AB123" s="85" t="str">
        <f>AB116&amp;".7"</f>
        <v>7.0.7</v>
      </c>
      <c r="AC123" s="328" t="s">
        <v>1008</v>
      </c>
      <c r="AD123" s="88" t="s">
        <v>1009</v>
      </c>
      <c r="AE123" s="1817"/>
      <c r="AF123" s="1817"/>
      <c r="AG123" s="1817"/>
      <c r="AH123" s="1817"/>
      <c r="AI123" s="1817"/>
      <c r="AJ123" s="1817"/>
      <c r="AK123" s="1817"/>
      <c r="AL123" s="1817"/>
      <c r="AM123" s="1817"/>
      <c r="AN123" s="1817"/>
      <c r="AO123" s="1817"/>
      <c r="AP123" s="1817"/>
      <c r="AQ123" s="1817"/>
      <c r="AR123" s="1817"/>
      <c r="AS123" s="1817"/>
      <c r="AT123" s="1817"/>
      <c r="AU123" s="1817"/>
      <c r="AV123" s="1817"/>
      <c r="AW123" s="1817"/>
      <c r="AX123" s="1817"/>
      <c r="AY123" s="1817"/>
      <c r="AZ123" s="1817"/>
      <c r="BA123" s="1817"/>
      <c r="BB123" s="1817"/>
      <c r="BC123" s="1928"/>
      <c r="BD123" s="1541"/>
      <c r="BE123" s="1541"/>
      <c r="BF123" s="1038" t="s">
        <v>1010</v>
      </c>
      <c r="BG123" s="1038" t="s">
        <v>993</v>
      </c>
      <c r="BH123" s="1038" cm="1" t="str">
        <f t="array" ref="BH123:BH123">BH122</f>
        <v>0</v>
      </c>
      <c r="BI123" s="1191" cm="1" t="str">
        <f t="array" ref="BI123:BI123">BI122</f>
        <v>0</v>
      </c>
      <c r="BJ123" s="263"/>
      <c r="BK123" s="263"/>
    </row>
    <row customHeight="1" ht="31.798828125">
      <c r="B124" s="2912"/>
      <c r="C124" s="923"/>
      <c r="E124" s="1055">
        <v>11</v>
      </c>
      <c r="F124" s="50" cm="1" t="str">
        <f t="array" ref="F124:F124">OFFSET(E124,-1,1)</f>
        <v>2</v>
      </c>
      <c r="G124" s="1528"/>
      <c r="H124" s="1528"/>
      <c r="T124" s="1436">
        <f>AND(F124&gt;0,Y124&gt;0)</f>
        <v>1</v>
      </c>
      <c r="W124" s="856"/>
      <c r="X124" s="1324"/>
      <c r="Y124" s="1617" t="s">
        <v>290</v>
      </c>
      <c r="Z124" s="1324"/>
      <c r="AA124" s="1630" t="s">
        <v>174</v>
      </c>
      <c r="AB124" s="1577" t="str">
        <f>"7."&amp;Y124</f>
        <v>7.1</v>
      </c>
      <c r="AC124" s="2913" t="s">
        <v>1018</v>
      </c>
      <c r="AD124" s="1540"/>
      <c r="AE124" s="351"/>
      <c r="AF124" s="351"/>
      <c r="AG124" s="351"/>
      <c r="AH124" s="351"/>
      <c r="AI124" s="351"/>
      <c r="AJ124" s="351"/>
      <c r="AK124" s="351"/>
      <c r="AL124" s="351"/>
      <c r="AM124" s="351"/>
      <c r="AN124" s="351"/>
      <c r="AO124" s="351"/>
      <c r="AP124" s="351"/>
      <c r="AQ124" s="351"/>
      <c r="AR124" s="351"/>
      <c r="AS124" s="351"/>
      <c r="AT124" s="351"/>
      <c r="AU124" s="351"/>
      <c r="AV124" s="351"/>
      <c r="AW124" s="351"/>
      <c r="AX124" s="351"/>
      <c r="AY124" s="351"/>
      <c r="AZ124" s="351"/>
      <c r="BA124" s="351"/>
      <c r="BB124" s="351"/>
      <c r="BC124" s="351"/>
      <c r="BD124" s="2914"/>
      <c r="BF124" s="1054"/>
      <c r="BG124" s="1054"/>
      <c r="BH124" s="1054"/>
      <c r="BI124" s="1054"/>
      <c r="BJ124" s="1055"/>
      <c r="BK124" s="1055"/>
    </row>
    <row s="1191" customFormat="1" customHeight="1" ht="44.25">
      <c r="A125" s="1541"/>
      <c r="B125" s="431"/>
      <c r="C125" s="486"/>
      <c r="D125" s="1541"/>
      <c r="E125" s="263">
        <v>11.25</v>
      </c>
      <c r="F125" s="50" cm="1" t="str">
        <f t="array" ref="F125:F125">OFFSET(E125,-1,1)</f>
        <v>2</v>
      </c>
      <c r="G125" s="122" t="s">
        <v>616</v>
      </c>
      <c r="H125" s="122" cm="1" t="str">
        <f t="array" ref="H125:H125">AC125</f>
        <v>СН2</v>
      </c>
      <c r="I125" s="1541"/>
      <c r="J125" s="1541"/>
      <c r="K125" s="1541"/>
      <c r="L125" s="1541"/>
      <c r="M125" s="1541"/>
      <c r="N125" s="1541"/>
      <c r="O125" s="1541"/>
      <c r="P125" s="1541"/>
      <c r="Q125" s="1541"/>
      <c r="R125" s="1541"/>
      <c r="S125" s="1541"/>
      <c r="T125" s="468" cm="1" t="str">
        <f t="array" ref="T125:T125">T124</f>
        <v>true</v>
      </c>
      <c r="U125" s="1541"/>
      <c r="V125" s="1541"/>
      <c r="W125" s="764"/>
      <c r="X125" s="1519"/>
      <c r="Y125" s="1519" t="s">
        <v>290</v>
      </c>
      <c r="Z125" s="1541"/>
      <c r="AA125" s="1516" t="s">
        <v>174</v>
      </c>
      <c r="AB125" s="85" t="str">
        <f>AB124&amp;".1"</f>
        <v>7.1.1</v>
      </c>
      <c r="AC125" s="195" t="s">
        <v>1022</v>
      </c>
      <c r="AD125" s="85" t="s">
        <v>936</v>
      </c>
      <c r="AE125" s="187">
        <f>AE126+AE129</f>
        <v>26843.98</v>
      </c>
      <c r="AF125" s="187">
        <f>AF126+AF129</f>
        <v>24604.32</v>
      </c>
      <c r="AG125" s="187">
        <f>AG126+AG129</f>
        <v>24665.746141</v>
      </c>
      <c r="AH125" s="187">
        <f>AH126+AH129</f>
        <v>28129.59</v>
      </c>
      <c r="AI125" s="187">
        <f>AI126+AI129</f>
        <v>29788.74</v>
      </c>
      <c r="AJ125" s="187">
        <f>AJ126+AJ129</f>
        <v>0</v>
      </c>
      <c r="AK125" s="187">
        <f>AK126+AK129</f>
        <v>0</v>
      </c>
      <c r="AL125" s="187">
        <f>AL126+AL129</f>
        <v>0</v>
      </c>
      <c r="AM125" s="187">
        <f>AM126+AM129</f>
        <v>0</v>
      </c>
      <c r="AN125" s="187">
        <f>AN126+AN129</f>
        <v>0</v>
      </c>
      <c r="AO125" s="187">
        <f>AO126+AO129</f>
        <v>0</v>
      </c>
      <c r="AP125" s="187">
        <f>AP126+AP129</f>
        <v>0</v>
      </c>
      <c r="AQ125" s="187">
        <f>AQ126+AQ129</f>
        <v>0</v>
      </c>
      <c r="AR125" s="187">
        <f>AR126+AR129</f>
        <v>0</v>
      </c>
      <c r="AS125" s="187">
        <f>AS126+AS129</f>
        <v>31513.58</v>
      </c>
      <c r="AT125" s="187">
        <f>AT126+AT129</f>
        <v>0</v>
      </c>
      <c r="AU125" s="187">
        <f>AU126+AU129</f>
        <v>0</v>
      </c>
      <c r="AV125" s="187">
        <f>AV126+AV129</f>
        <v>0</v>
      </c>
      <c r="AW125" s="187">
        <f>AW126+AW129</f>
        <v>0</v>
      </c>
      <c r="AX125" s="187">
        <f>AX126+AX129</f>
        <v>0</v>
      </c>
      <c r="AY125" s="187">
        <f>AY126+AY129</f>
        <v>0</v>
      </c>
      <c r="AZ125" s="187">
        <f>AZ126+AZ129</f>
        <v>0</v>
      </c>
      <c r="BA125" s="187">
        <f>BA126+BA129</f>
        <v>0</v>
      </c>
      <c r="BB125" s="187">
        <f>BB126+BB129</f>
        <v>0</v>
      </c>
      <c r="BC125" s="196" t="s">
        <v>1043</v>
      </c>
      <c r="BD125" s="1541"/>
      <c r="BE125" s="1541"/>
      <c r="BF125" s="1038" t="s">
        <v>992</v>
      </c>
      <c r="BG125" s="1038" t="s">
        <v>993</v>
      </c>
      <c r="BH125" s="1038" cm="1" t="str">
        <f t="array" ref="BH125:BH125">AC125</f>
        <v>СН2</v>
      </c>
      <c r="BI125" s="1191" cm="1" t="str">
        <f t="array" ref="BI125:BI125">AC124</f>
        <v>ПАО "Кузбассэнергосбыт" (ИНН: 4205109214, КПП: 420501001)</v>
      </c>
      <c r="BJ125" s="263"/>
      <c r="BK125" s="263" t="b">
        <v>1</v>
      </c>
    </row>
    <row s="1191" customFormat="1" customHeight="1" ht="28.171875">
      <c r="A126" s="1541"/>
      <c r="B126" s="431"/>
      <c r="C126" s="486"/>
      <c r="D126" s="1541"/>
      <c r="E126" s="263">
        <v>11.25</v>
      </c>
      <c r="F126" s="50" cm="1" t="str">
        <f t="array" ref="F126:F126">OFFSET(E126,-1,1)</f>
        <v>2</v>
      </c>
      <c r="G126" s="122" t="s">
        <v>800</v>
      </c>
      <c r="H126" s="122" cm="1" t="str">
        <f t="array" ref="H126:H126">H125</f>
        <v>СН2</v>
      </c>
      <c r="I126" s="1541"/>
      <c r="J126" s="1541"/>
      <c r="K126" s="1541"/>
      <c r="L126" s="1541"/>
      <c r="M126" s="1541"/>
      <c r="N126" s="1541"/>
      <c r="O126" s="1541"/>
      <c r="P126" s="1541"/>
      <c r="Q126" s="1541"/>
      <c r="R126" s="1541"/>
      <c r="S126" s="1541"/>
      <c r="T126" s="468" cm="1" t="str">
        <f t="array" ref="T126:T126">T125</f>
        <v>true</v>
      </c>
      <c r="U126" s="1541"/>
      <c r="V126" s="1541"/>
      <c r="W126" s="1541"/>
      <c r="X126" s="1519"/>
      <c r="Y126" s="1519"/>
      <c r="Z126" s="1541"/>
      <c r="AA126" s="1516"/>
      <c r="AB126" s="85" t="str">
        <f>AB124&amp;".2"</f>
        <v>7.1.2</v>
      </c>
      <c r="AC126" s="188" t="s">
        <v>994</v>
      </c>
      <c r="AD126" s="85" t="s">
        <v>995</v>
      </c>
      <c r="AE126" s="137">
        <v>10871.09</v>
      </c>
      <c r="AF126" s="137">
        <v>10662.31</v>
      </c>
      <c r="AG126" s="137">
        <v>10722.94339</v>
      </c>
      <c r="AH126" s="137">
        <v>11885.71</v>
      </c>
      <c r="AI126" s="137">
        <v>12949.59</v>
      </c>
      <c r="AJ126" s="1817"/>
      <c r="AK126" s="1817"/>
      <c r="AL126" s="1817"/>
      <c r="AM126" s="1817"/>
      <c r="AN126" s="1817"/>
      <c r="AO126" s="1817"/>
      <c r="AP126" s="1817"/>
      <c r="AQ126" s="1817"/>
      <c r="AR126" s="1817"/>
      <c r="AS126" s="137">
        <v>13471.35</v>
      </c>
      <c r="AT126" s="1817"/>
      <c r="AU126" s="1817"/>
      <c r="AV126" s="1817"/>
      <c r="AW126" s="1817"/>
      <c r="AX126" s="1817"/>
      <c r="AY126" s="1817"/>
      <c r="AZ126" s="1817"/>
      <c r="BA126" s="1817"/>
      <c r="BB126" s="1817"/>
      <c r="BC126" s="196"/>
      <c r="BD126" s="1541"/>
      <c r="BE126" s="1541"/>
      <c r="BF126" s="1038" t="s">
        <v>996</v>
      </c>
      <c r="BG126" s="1038" t="s">
        <v>993</v>
      </c>
      <c r="BH126" s="1038" cm="1" t="str">
        <f t="array" ref="BH126:BH126">BH125</f>
        <v>СН2</v>
      </c>
      <c r="BI126" s="1191" cm="1" t="str">
        <f t="array" ref="BI126:BI126">BI125</f>
        <v>ПАО "Кузбассэнергосбыт" (ИНН: 4205109214, КПП: 420501001)</v>
      </c>
      <c r="BJ126" s="263"/>
      <c r="BK126" s="263"/>
    </row>
    <row s="1191" customFormat="1" customHeight="1" ht="52.921875">
      <c r="A127" s="1541"/>
      <c r="B127" s="431"/>
      <c r="C127" s="486"/>
      <c r="D127" s="1541"/>
      <c r="E127" s="263">
        <v>11.25</v>
      </c>
      <c r="F127" s="50" cm="1" t="str">
        <f t="array" ref="F127:F127">OFFSET(E127,-1,1)</f>
        <v>2</v>
      </c>
      <c r="G127" s="122" t="s">
        <v>997</v>
      </c>
      <c r="H127" s="122" cm="1" t="str">
        <f t="array" ref="H127:H127">H126</f>
        <v>СН2</v>
      </c>
      <c r="I127" s="1541"/>
      <c r="J127" s="1541"/>
      <c r="K127" s="1541"/>
      <c r="L127" s="1541"/>
      <c r="M127" s="1541"/>
      <c r="N127" s="1541"/>
      <c r="O127" s="1541"/>
      <c r="P127" s="1541"/>
      <c r="Q127" s="1541"/>
      <c r="R127" s="1541"/>
      <c r="S127" s="1541"/>
      <c r="T127" s="468" cm="1" t="str">
        <f t="array" ref="T127:T127">T126</f>
        <v>true</v>
      </c>
      <c r="U127" s="1541"/>
      <c r="V127" s="1541"/>
      <c r="W127" s="1541"/>
      <c r="X127" s="1519"/>
      <c r="Y127" s="1519"/>
      <c r="Z127" s="1541"/>
      <c r="AA127" s="1516"/>
      <c r="AB127" s="85" t="str">
        <f>AB124&amp;".3"</f>
        <v>7.1.3</v>
      </c>
      <c r="AC127" s="328" t="s">
        <v>986</v>
      </c>
      <c r="AD127" s="88" t="s">
        <v>978</v>
      </c>
      <c r="AE127" s="187">
        <f>IF(OR(AND(AE126&lt;&gt;0,AE128=0),AND(AE126=0,AE128&lt;&gt;0)),"Ошибка",IF(AE128=0,0,AE126/AE128))</f>
        <v>2.07004505276467</v>
      </c>
      <c r="AF127" s="187">
        <f>IF(OR(AND(AF126&lt;&gt;0,AF128=0),AND(AF126=0,AF128&lt;&gt;0)),"Ошибка",IF(AF128=0,0,AF126/AF128))</f>
        <v>2.09947504804511</v>
      </c>
      <c r="AG127" s="187">
        <f>IF(OR(AND(AG126&lt;&gt;0,AG128=0),AND(AG126=0,AG128&lt;&gt;0)),"Ошибка",IF(AG128=0,0,AG126/AG128))</f>
        <v>2.11141289179636</v>
      </c>
      <c r="AH127" s="187">
        <f>IF(OR(AND(AH126&lt;&gt;0,AH128=0),AND(AH126=0,AH128&lt;&gt;0)),"Ошибка",IF(AH128=0,0,AH126/AH128))</f>
        <v>2.32415134923739</v>
      </c>
      <c r="AI127" s="187">
        <f>IF(OR(AND(AI126&lt;&gt;0,AI128=0),AND(AI126=0,AI128&lt;&gt;0)),"Ошибка",IF(AI128=0,0,AI126/AI128))</f>
        <v>2.53574932296287</v>
      </c>
      <c r="AJ127" s="187">
        <f>IF(OR(AND(AJ126&lt;&gt;0,AJ128=0),AND(AJ126=0,AJ128&lt;&gt;0)),"Ошибка",IF(AJ128=0,0,AJ126/AJ128))</f>
        <v>0</v>
      </c>
      <c r="AK127" s="187">
        <f>IF(OR(AND(AK126&lt;&gt;0,AK128=0),AND(AK126=0,AK128&lt;&gt;0)),"Ошибка",IF(AK128=0,0,AK126/AK128))</f>
        <v>0</v>
      </c>
      <c r="AL127" s="187">
        <f>IF(OR(AND(AL126&lt;&gt;0,AL128=0),AND(AL126=0,AL128&lt;&gt;0)),"Ошибка",IF(AL128=0,0,AL126/AL128))</f>
        <v>0</v>
      </c>
      <c r="AM127" s="187">
        <f>IF(OR(AND(AM126&lt;&gt;0,AM128=0),AND(AM126=0,AM128&lt;&gt;0)),"Ошибка",IF(AM128=0,0,AM126/AM128))</f>
        <v>0</v>
      </c>
      <c r="AN127" s="187">
        <f>IF(OR(AND(AN126&lt;&gt;0,AN128=0),AND(AN126=0,AN128&lt;&gt;0)),"Ошибка",IF(AN128=0,0,AN126/AN128))</f>
        <v>0</v>
      </c>
      <c r="AO127" s="187">
        <f>IF(OR(AND(AO126&lt;&gt;0,AO128=0),AND(AO126=0,AO128&lt;&gt;0)),"Ошибка",IF(AO128=0,0,AO126/AO128))</f>
        <v>0</v>
      </c>
      <c r="AP127" s="187">
        <f>IF(OR(AND(AP126&lt;&gt;0,AP128=0),AND(AP126=0,AP128&lt;&gt;0)),"Ошибка",IF(AP128=0,0,AP126/AP128))</f>
        <v>0</v>
      </c>
      <c r="AQ127" s="187">
        <f>IF(OR(AND(AQ126&lt;&gt;0,AQ128=0),AND(AQ126=0,AQ128&lt;&gt;0)),"Ошибка",IF(AQ128=0,0,AQ126/AQ128))</f>
        <v>0</v>
      </c>
      <c r="AR127" s="187">
        <f>IF(OR(AND(AR126&lt;&gt;0,AR128=0),AND(AR126=0,AR128&lt;&gt;0)),"Ошибка",IF(AR128=0,0,AR126/AR128))</f>
        <v>0</v>
      </c>
      <c r="AS127" s="187">
        <f>IF(OR(AND(AS126&lt;&gt;0,AS128=0),AND(AS126=0,AS128&lt;&gt;0)),"Ошибка",IF(AS128=0,0,AS126/AS128))</f>
        <v>2.71883741488086</v>
      </c>
      <c r="AT127" s="187" t="str">
        <f>IF(OR(AND(AT126&lt;&gt;0,AT128=0),AND(AT126=0,AT128&lt;&gt;0)),"Ошибка",IF(AT128=0,0,AT126/AT128))</f>
        <v>Ошибка</v>
      </c>
      <c r="AU127" s="187" t="str">
        <f>IF(OR(AND(AU126&lt;&gt;0,AU128=0),AND(AU126=0,AU128&lt;&gt;0)),"Ошибка",IF(AU128=0,0,AU126/AU128))</f>
        <v>Ошибка</v>
      </c>
      <c r="AV127" s="187">
        <f>IF(OR(AND(AV126&lt;&gt;0,AV128=0),AND(AV126=0,AV128&lt;&gt;0)),"Ошибка",IF(AV128=0,0,AV126/AV128))</f>
        <v>0</v>
      </c>
      <c r="AW127" s="187">
        <f>IF(OR(AND(AW126&lt;&gt;0,AW128=0),AND(AW126=0,AW128&lt;&gt;0)),"Ошибка",IF(AW128=0,0,AW126/AW128))</f>
        <v>0</v>
      </c>
      <c r="AX127" s="187">
        <f>IF(OR(AND(AX126&lt;&gt;0,AX128=0),AND(AX126=0,AX128&lt;&gt;0)),"Ошибка",IF(AX128=0,0,AX126/AX128))</f>
        <v>0</v>
      </c>
      <c r="AY127" s="187">
        <f>IF(OR(AND(AY126&lt;&gt;0,AY128=0),AND(AY126=0,AY128&lt;&gt;0)),"Ошибка",IF(AY128=0,0,AY126/AY128))</f>
        <v>0</v>
      </c>
      <c r="AZ127" s="187">
        <f>IF(OR(AND(AZ126&lt;&gt;0,AZ128=0),AND(AZ126=0,AZ128&lt;&gt;0)),"Ошибка",IF(AZ128=0,0,AZ126/AZ128))</f>
        <v>0</v>
      </c>
      <c r="BA127" s="187">
        <f>IF(OR(AND(BA126&lt;&gt;0,BA128=0),AND(BA126=0,BA128&lt;&gt;0)),"Ошибка",IF(BA128=0,0,BA126/BA128))</f>
        <v>0</v>
      </c>
      <c r="BB127" s="187">
        <f>IF(OR(AND(BB126&lt;&gt;0,BB128=0),AND(BB126=0,BB128&lt;&gt;0)),"Ошибка",IF(BB128=0,0,BB126/BB128))</f>
        <v>0</v>
      </c>
      <c r="BC127" s="196" t="s">
        <v>1040</v>
      </c>
      <c r="BD127" s="1541"/>
      <c r="BE127" s="1541"/>
      <c r="BF127" s="1038" t="s">
        <v>998</v>
      </c>
      <c r="BG127" s="1038" t="s">
        <v>993</v>
      </c>
      <c r="BH127" s="1038" cm="1" t="str">
        <f t="array" ref="BH127:BH127">BH126</f>
        <v>СН2</v>
      </c>
      <c r="BI127" s="1191" cm="1" t="str">
        <f t="array" ref="BI127:BI127">BI126</f>
        <v>ПАО "Кузбассэнергосбыт" (ИНН: 4205109214, КПП: 420501001)</v>
      </c>
      <c r="BJ127" s="263"/>
      <c r="BK127" s="263"/>
    </row>
    <row s="1191" customFormat="1" customHeight="1" ht="49.921875">
      <c r="A128" s="1541"/>
      <c r="B128" s="431"/>
      <c r="C128" s="486"/>
      <c r="D128" s="1541"/>
      <c r="E128" s="263">
        <v>11.25</v>
      </c>
      <c r="F128" s="50" cm="1" t="str">
        <f t="array" ref="F128:F128">OFFSET(E128,-1,1)</f>
        <v>2</v>
      </c>
      <c r="G128" s="122" t="s">
        <v>999</v>
      </c>
      <c r="H128" s="122" cm="1" t="str">
        <f t="array" ref="H128:H128">H127</f>
        <v>СН2</v>
      </c>
      <c r="I128" s="1541"/>
      <c r="J128" s="1541"/>
      <c r="K128" s="1541"/>
      <c r="L128" s="1541"/>
      <c r="M128" s="1541"/>
      <c r="N128" s="1541"/>
      <c r="O128" s="1541"/>
      <c r="P128" s="1541"/>
      <c r="Q128" s="1541"/>
      <c r="R128" s="1541"/>
      <c r="S128" s="1541"/>
      <c r="T128" s="468" cm="1" t="str">
        <f t="array" ref="T128:T128">T127</f>
        <v>true</v>
      </c>
      <c r="U128" s="1541"/>
      <c r="V128" s="1541"/>
      <c r="W128" s="1541"/>
      <c r="X128" s="1519"/>
      <c r="Y128" s="1519"/>
      <c r="Z128" s="1541"/>
      <c r="AA128" s="1516"/>
      <c r="AB128" s="85" t="str">
        <f>AB124&amp;".4"</f>
        <v>7.1.4</v>
      </c>
      <c r="AC128" s="328" t="s">
        <v>988</v>
      </c>
      <c r="AD128" s="88" t="s">
        <v>972</v>
      </c>
      <c r="AE128" s="137">
        <v>5251.62</v>
      </c>
      <c r="AF128" s="137">
        <v>5078.56</v>
      </c>
      <c r="AG128" s="137">
        <v>5078.563</v>
      </c>
      <c r="AH128" s="137">
        <v>5114</v>
      </c>
      <c r="AI128" s="137">
        <v>5106.81</v>
      </c>
      <c r="AJ128" s="1817"/>
      <c r="AK128" s="1817"/>
      <c r="AL128" s="1817"/>
      <c r="AM128" s="1817"/>
      <c r="AN128" s="1817"/>
      <c r="AO128" s="1817"/>
      <c r="AP128" s="1817"/>
      <c r="AQ128" s="1817"/>
      <c r="AR128" s="1817"/>
      <c r="AS128" s="137">
        <v>4954.82</v>
      </c>
      <c r="AT128" s="1817" cm="1" t="str">
        <f t="array" ref="AT128:AT128">AS128</f>
        <v>4954.82</v>
      </c>
      <c r="AU128" s="1817" cm="1" t="str">
        <f t="array" ref="AU128:AU128">AS128</f>
        <v>4954.82</v>
      </c>
      <c r="AV128" s="1817"/>
      <c r="AW128" s="1817"/>
      <c r="AX128" s="1817"/>
      <c r="AY128" s="1817"/>
      <c r="AZ128" s="1817"/>
      <c r="BA128" s="1817"/>
      <c r="BB128" s="1817"/>
      <c r="BC128" s="196" t="s">
        <v>1044</v>
      </c>
      <c r="BD128" s="1541"/>
      <c r="BE128" s="1541"/>
      <c r="BF128" s="1038" t="s">
        <v>1000</v>
      </c>
      <c r="BG128" s="1038" t="s">
        <v>993</v>
      </c>
      <c r="BH128" s="1038" cm="1" t="str">
        <f t="array" ref="BH128:BH128">BH127</f>
        <v>СН2</v>
      </c>
      <c r="BI128" s="1191" cm="1" t="str">
        <f t="array" ref="BI128:BI128">BI127</f>
        <v>ПАО "Кузбассэнергосбыт" (ИНН: 4205109214, КПП: 420501001)</v>
      </c>
      <c r="BJ128" s="263"/>
      <c r="BK128" s="263"/>
    </row>
    <row s="1191" customFormat="1" customHeight="1" ht="30.421875">
      <c r="A129" s="1541"/>
      <c r="B129" s="431"/>
      <c r="C129" s="486"/>
      <c r="D129" s="1541"/>
      <c r="E129" s="263">
        <v>11.25</v>
      </c>
      <c r="F129" s="50" cm="1" t="str">
        <f t="array" ref="F129:F129">OFFSET(E129,-1,1)</f>
        <v>2</v>
      </c>
      <c r="G129" s="122" t="s">
        <v>803</v>
      </c>
      <c r="H129" s="122" cm="1" t="str">
        <f t="array" ref="H129:H129">H128</f>
        <v>СН2</v>
      </c>
      <c r="I129" s="1541"/>
      <c r="J129" s="1541"/>
      <c r="K129" s="1541"/>
      <c r="L129" s="1541"/>
      <c r="M129" s="1541"/>
      <c r="N129" s="1541"/>
      <c r="O129" s="1541"/>
      <c r="P129" s="1541"/>
      <c r="Q129" s="1541"/>
      <c r="R129" s="1541"/>
      <c r="S129" s="1541"/>
      <c r="T129" s="468" cm="1" t="str">
        <f t="array" ref="T129:T129">T128</f>
        <v>true</v>
      </c>
      <c r="U129" s="1541"/>
      <c r="V129" s="1541"/>
      <c r="W129" s="1541"/>
      <c r="X129" s="1519"/>
      <c r="Y129" s="1519"/>
      <c r="Z129" s="1541"/>
      <c r="AA129" s="1516"/>
      <c r="AB129" s="85" t="str">
        <f>AB124&amp;".5"</f>
        <v>7.1.5</v>
      </c>
      <c r="AC129" s="188" t="s">
        <v>1001</v>
      </c>
      <c r="AD129" s="85" t="s">
        <v>995</v>
      </c>
      <c r="AE129" s="137">
        <v>15972.89</v>
      </c>
      <c r="AF129" s="137">
        <v>13942.01</v>
      </c>
      <c r="AG129" s="137">
        <v>13942.802751</v>
      </c>
      <c r="AH129" s="137">
        <v>16243.88</v>
      </c>
      <c r="AI129" s="137">
        <v>16839.15</v>
      </c>
      <c r="AJ129" s="1817"/>
      <c r="AK129" s="1817"/>
      <c r="AL129" s="1817"/>
      <c r="AM129" s="1817"/>
      <c r="AN129" s="1817"/>
      <c r="AO129" s="1817"/>
      <c r="AP129" s="1817"/>
      <c r="AQ129" s="1817"/>
      <c r="AR129" s="1817"/>
      <c r="AS129" s="137">
        <v>18042.23</v>
      </c>
      <c r="AT129" s="1817"/>
      <c r="AU129" s="1817"/>
      <c r="AV129" s="1817"/>
      <c r="AW129" s="1817"/>
      <c r="AX129" s="1817"/>
      <c r="AY129" s="1817"/>
      <c r="AZ129" s="1817"/>
      <c r="BA129" s="1817"/>
      <c r="BB129" s="1817"/>
      <c r="BC129" s="196"/>
      <c r="BD129" s="1541"/>
      <c r="BE129" s="1541"/>
      <c r="BF129" s="1038" t="s">
        <v>1002</v>
      </c>
      <c r="BG129" s="1038" t="s">
        <v>993</v>
      </c>
      <c r="BH129" s="1038" cm="1" t="str">
        <f t="array" ref="BH129:BH129">BH128</f>
        <v>СН2</v>
      </c>
      <c r="BI129" s="1191" cm="1" t="str">
        <f t="array" ref="BI129:BI129">BI128</f>
        <v>ПАО "Кузбассэнергосбыт" (ИНН: 4205109214, КПП: 420501001)</v>
      </c>
      <c r="BJ129" s="263"/>
      <c r="BK129" s="263"/>
    </row>
    <row s="1191" customFormat="1" customHeight="1" ht="49.921875">
      <c r="A130" s="1541"/>
      <c r="B130" s="431"/>
      <c r="C130" s="486"/>
      <c r="D130" s="1541"/>
      <c r="E130" s="263">
        <v>11.25</v>
      </c>
      <c r="F130" s="50" cm="1" t="str">
        <f t="array" ref="F130:F130">OFFSET(E130,-1,1)</f>
        <v>2</v>
      </c>
      <c r="G130" s="122" t="s">
        <v>1003</v>
      </c>
      <c r="H130" s="122" cm="1" t="str">
        <f t="array" ref="H130:H130">H129</f>
        <v>СН2</v>
      </c>
      <c r="I130" s="1541"/>
      <c r="J130" s="1541"/>
      <c r="K130" s="1541"/>
      <c r="L130" s="1541"/>
      <c r="M130" s="1541"/>
      <c r="N130" s="1541"/>
      <c r="O130" s="1541"/>
      <c r="P130" s="1541"/>
      <c r="Q130" s="1541"/>
      <c r="R130" s="1541"/>
      <c r="S130" s="1541"/>
      <c r="T130" s="468" cm="1" t="str">
        <f t="array" ref="T130:T130">T129</f>
        <v>true</v>
      </c>
      <c r="U130" s="1541"/>
      <c r="V130" s="1541"/>
      <c r="W130" s="1541"/>
      <c r="X130" s="1519"/>
      <c r="Y130" s="1519"/>
      <c r="Z130" s="1541"/>
      <c r="AA130" s="1516"/>
      <c r="AB130" s="85" t="str">
        <f>AB124&amp;".6"</f>
        <v>7.1.6</v>
      </c>
      <c r="AC130" s="328" t="s">
        <v>1004</v>
      </c>
      <c r="AD130" s="88" t="s">
        <v>1005</v>
      </c>
      <c r="AE130" s="187">
        <f>IF(OR(AND(AE129&lt;&gt;0,AE131=0),AND(AE129=0,AE131&lt;&gt;0)),"Ошибка",IF(AE131=0,0,AE129/AE131*1000/12))</f>
        <v>2053070.69419296</v>
      </c>
      <c r="AF130" s="187">
        <f>IF(OR(AND(AF129&lt;&gt;0,AF131=0),AND(AF129=0,AF131&lt;&gt;0)),"Ошибка",IF(AF131=0,0,AF129/AF131*1000/12))</f>
        <v>2026454.94186047</v>
      </c>
      <c r="AG130" s="187">
        <f>IF(OR(AND(AG129&lt;&gt;0,AG131=0),AND(AG129=0,AG131&lt;&gt;0)),"Ошибка",IF(AG131=0,0,AG129/AG131*1000/12))</f>
        <v>2025019.02626913</v>
      </c>
      <c r="AH130" s="187">
        <f>IF(OR(AND(AH129&lt;&gt;0,AH131=0),AND(AH129=0,AH131&lt;&gt;0)),"Ошибка",IF(AH131=0,0,AH129/AH131*1000/12))</f>
        <v>2327203.43826205</v>
      </c>
      <c r="AI130" s="187">
        <f>IF(OR(AND(AI129&lt;&gt;0,AI131=0),AND(AI129=0,AI131&lt;&gt;0)),"Ошибка",IF(AI131=0,0,AI129/AI131*1000/12))</f>
        <v>2447550.87209303</v>
      </c>
      <c r="AJ130" s="187">
        <f>IF(OR(AND(AJ129&lt;&gt;0,AJ131=0),AND(AJ129=0,AJ131&lt;&gt;0)),"Ошибка",IF(AJ131=0,0,AJ129/AJ131*1000/12))</f>
        <v>0</v>
      </c>
      <c r="AK130" s="187">
        <f>IF(OR(AND(AK129&lt;&gt;0,AK131=0),AND(AK129=0,AK131&lt;&gt;0)),"Ошибка",IF(AK131=0,0,AK129/AK131*1000/12))</f>
        <v>0</v>
      </c>
      <c r="AL130" s="187">
        <f>IF(OR(AND(AL129&lt;&gt;0,AL131=0),AND(AL129=0,AL131&lt;&gt;0)),"Ошибка",IF(AL131=0,0,AL129/AL131*1000/12))</f>
        <v>0</v>
      </c>
      <c r="AM130" s="187">
        <f>IF(OR(AND(AM129&lt;&gt;0,AM131=0),AND(AM129=0,AM131&lt;&gt;0)),"Ошибка",IF(AM131=0,0,AM129/AM131*1000/12))</f>
        <v>0</v>
      </c>
      <c r="AN130" s="187">
        <f>IF(OR(AND(AN129&lt;&gt;0,AN131=0),AND(AN129=0,AN131&lt;&gt;0)),"Ошибка",IF(AN131=0,0,AN129/AN131*1000/12))</f>
        <v>0</v>
      </c>
      <c r="AO130" s="187">
        <f>IF(OR(AND(AO129&lt;&gt;0,AO131=0),AND(AO129=0,AO131&lt;&gt;0)),"Ошибка",IF(AO131=0,0,AO129/AO131*1000/12))</f>
        <v>0</v>
      </c>
      <c r="AP130" s="187">
        <f>IF(OR(AND(AP129&lt;&gt;0,AP131=0),AND(AP129=0,AP131&lt;&gt;0)),"Ошибка",IF(AP131=0,0,AP129/AP131*1000/12))</f>
        <v>0</v>
      </c>
      <c r="AQ130" s="187">
        <f>IF(OR(AND(AQ129&lt;&gt;0,AQ131=0),AND(AQ129=0,AQ131&lt;&gt;0)),"Ошибка",IF(AQ131=0,0,AQ129/AQ131*1000/12))</f>
        <v>0</v>
      </c>
      <c r="AR130" s="187">
        <f>IF(OR(AND(AR129&lt;&gt;0,AR131=0),AND(AR129=0,AR131&lt;&gt;0)),"Ошибка",IF(AR131=0,0,AR129/AR131*1000/12))</f>
        <v>0</v>
      </c>
      <c r="AS130" s="187">
        <f>IF(OR(AND(AS129&lt;&gt;0,AS131=0),AND(AS129=0,AS131&lt;&gt;0)),"Ошибка",IF(AS131=0,0,AS129/AS131*1000/12))</f>
        <v>2622417.15116279</v>
      </c>
      <c r="AT130" s="187">
        <f>IF(OR(AND(AT129&lt;&gt;0,AT131=0),AND(AT129=0,AT131&lt;&gt;0)),"Ошибка",IF(AT131=0,0,AT129/AT131*1000/12))</f>
        <v>0</v>
      </c>
      <c r="AU130" s="187">
        <f>IF(OR(AND(AU129&lt;&gt;0,AU131=0),AND(AU129=0,AU131&lt;&gt;0)),"Ошибка",IF(AU131=0,0,AU129/AU131*1000/12))</f>
        <v>0</v>
      </c>
      <c r="AV130" s="187">
        <f>IF(OR(AND(AV129&lt;&gt;0,AV131=0),AND(AV129=0,AV131&lt;&gt;0)),"Ошибка",IF(AV131=0,0,AV129/AV131*1000/12))</f>
        <v>0</v>
      </c>
      <c r="AW130" s="187">
        <f>IF(OR(AND(AW129&lt;&gt;0,AW131=0),AND(AW129=0,AW131&lt;&gt;0)),"Ошибка",IF(AW131=0,0,AW129/AW131*1000/12))</f>
        <v>0</v>
      </c>
      <c r="AX130" s="187">
        <f>IF(OR(AND(AX129&lt;&gt;0,AX131=0),AND(AX129=0,AX131&lt;&gt;0)),"Ошибка",IF(AX131=0,0,AX129/AX131*1000/12))</f>
        <v>0</v>
      </c>
      <c r="AY130" s="187">
        <f>IF(OR(AND(AY129&lt;&gt;0,AY131=0),AND(AY129=0,AY131&lt;&gt;0)),"Ошибка",IF(AY131=0,0,AY129/AY131*1000/12))</f>
        <v>0</v>
      </c>
      <c r="AZ130" s="187">
        <f>IF(OR(AND(AZ129&lt;&gt;0,AZ131=0),AND(AZ129=0,AZ131&lt;&gt;0)),"Ошибка",IF(AZ131=0,0,AZ129/AZ131*1000/12))</f>
        <v>0</v>
      </c>
      <c r="BA130" s="187">
        <f>IF(OR(AND(BA129&lt;&gt;0,BA131=0),AND(BA129=0,BA131&lt;&gt;0)),"Ошибка",IF(BA131=0,0,BA129/BA131*1000/12))</f>
        <v>0</v>
      </c>
      <c r="BB130" s="187">
        <f>IF(OR(AND(BB129&lt;&gt;0,BB131=0),AND(BB129=0,BB131&lt;&gt;0)),"Ошибка",IF(BB131=0,0,BB129/BB131*1000/12))</f>
        <v>0</v>
      </c>
      <c r="BC130" s="196" t="s">
        <v>1045</v>
      </c>
      <c r="BD130" s="1541"/>
      <c r="BE130" s="1541"/>
      <c r="BF130" s="1038" t="s">
        <v>1006</v>
      </c>
      <c r="BG130" s="1038" t="s">
        <v>993</v>
      </c>
      <c r="BH130" s="1038" cm="1" t="str">
        <f t="array" ref="BH130:BH130">BH129</f>
        <v>СН2</v>
      </c>
      <c r="BI130" s="1191" cm="1" t="str">
        <f t="array" ref="BI130:BI130">BI129</f>
        <v>ПАО "Кузбассэнергосбыт" (ИНН: 4205109214, КПП: 420501001)</v>
      </c>
      <c r="BJ130" s="263"/>
      <c r="BK130" s="263"/>
    </row>
    <row s="1191" customFormat="1" customHeight="1" ht="28.171875">
      <c r="A131" s="1541"/>
      <c r="B131" s="431"/>
      <c r="C131" s="486"/>
      <c r="D131" s="1541"/>
      <c r="E131" s="263">
        <v>11.25</v>
      </c>
      <c r="F131" s="50" cm="1" t="str">
        <f t="array" ref="F131:F131">OFFSET(E131,-1,1)</f>
        <v>2</v>
      </c>
      <c r="G131" s="122" t="s">
        <v>1007</v>
      </c>
      <c r="H131" s="122" cm="1" t="str">
        <f t="array" ref="H131:H131">H130</f>
        <v>СН2</v>
      </c>
      <c r="I131" s="1541"/>
      <c r="J131" s="1541"/>
      <c r="K131" s="1541"/>
      <c r="L131" s="1541"/>
      <c r="M131" s="1541"/>
      <c r="N131" s="1541"/>
      <c r="O131" s="1541"/>
      <c r="P131" s="1541"/>
      <c r="Q131" s="1541"/>
      <c r="R131" s="1541"/>
      <c r="S131" s="1541"/>
      <c r="T131" s="468" cm="1" t="str">
        <f t="array" ref="T131:T131">T130</f>
        <v>true</v>
      </c>
      <c r="U131" s="1541"/>
      <c r="V131" s="1541"/>
      <c r="W131" s="1541"/>
      <c r="X131" s="1519"/>
      <c r="Y131" s="1519"/>
      <c r="Z131" s="1541"/>
      <c r="AA131" s="1516"/>
      <c r="AB131" s="85" t="str">
        <f>AB124&amp;".7"</f>
        <v>7.1.7</v>
      </c>
      <c r="AC131" s="328" t="s">
        <v>1008</v>
      </c>
      <c r="AD131" s="88" t="s">
        <v>1009</v>
      </c>
      <c r="AE131" s="137">
        <v>0.6483333333</v>
      </c>
      <c r="AF131" s="137">
        <f>6.88/12</f>
        <v>0.573333333333333</v>
      </c>
      <c r="AG131" s="137">
        <f>6.88527/12</f>
        <v>0.5737725</v>
      </c>
      <c r="AH131" s="137">
        <v>0.5816666667</v>
      </c>
      <c r="AI131" s="137">
        <f>6.88/12</f>
        <v>0.573333333333333</v>
      </c>
      <c r="AJ131" s="1817"/>
      <c r="AK131" s="1817"/>
      <c r="AL131" s="1817"/>
      <c r="AM131" s="1817"/>
      <c r="AN131" s="1817"/>
      <c r="AO131" s="1817"/>
      <c r="AP131" s="1817"/>
      <c r="AQ131" s="1817"/>
      <c r="AR131" s="1817"/>
      <c r="AS131" s="137">
        <f>6.88/12</f>
        <v>0.573333333333333</v>
      </c>
      <c r="AT131" s="1817"/>
      <c r="AU131" s="1817"/>
      <c r="AV131" s="1817"/>
      <c r="AW131" s="1817"/>
      <c r="AX131" s="1817"/>
      <c r="AY131" s="1817"/>
      <c r="AZ131" s="1817"/>
      <c r="BA131" s="1817"/>
      <c r="BB131" s="1817"/>
      <c r="BC131" s="196" t="s">
        <v>1046</v>
      </c>
      <c r="BD131" s="1541"/>
      <c r="BE131" s="1541"/>
      <c r="BF131" s="1038" t="s">
        <v>1010</v>
      </c>
      <c r="BG131" s="1038" t="s">
        <v>993</v>
      </c>
      <c r="BH131" s="1038" cm="1" t="str">
        <f t="array" ref="BH131:BH131">BH130</f>
        <v>СН2</v>
      </c>
      <c r="BI131" s="1191" cm="1" t="str">
        <f t="array" ref="BI131:BI131">BI130</f>
        <v>ПАО "Кузбассэнергосбыт" (ИНН: 4205109214, КПП: 420501001)</v>
      </c>
      <c r="BJ131" s="263"/>
      <c r="BK131" s="263"/>
    </row>
    <row s="1363" customFormat="1" customHeight="1" ht="14.25">
      <c r="A132" s="1363"/>
      <c r="B132" s="429"/>
      <c r="C132" s="486"/>
      <c r="D132" s="1363"/>
      <c r="E132" s="638">
        <v>15</v>
      </c>
      <c r="F132" s="50" cm="1" t="str">
        <f t="array" ref="F132:F132">OFFSET(E132,-1,1)</f>
        <v>2</v>
      </c>
      <c r="G132" s="1363"/>
      <c r="H132" s="965" t="s">
        <v>1011</v>
      </c>
      <c r="I132" s="1363"/>
      <c r="J132" s="1363"/>
      <c r="K132" s="1363"/>
      <c r="L132" s="1363"/>
      <c r="M132" s="1363"/>
      <c r="N132" s="1363"/>
      <c r="O132" s="1363"/>
      <c r="P132" s="1363"/>
      <c r="Q132" s="1363"/>
      <c r="R132" s="1363"/>
      <c r="S132" s="1363"/>
      <c r="T132" s="468">
        <f>F132&gt;0</f>
        <v>1</v>
      </c>
      <c r="U132" s="1363"/>
      <c r="V132" s="1363"/>
      <c r="W132" s="764" t="s">
        <v>1012</v>
      </c>
      <c r="X132" s="1519"/>
      <c r="Y132" s="1363"/>
      <c r="Z132" s="1541"/>
      <c r="AA132" s="1363"/>
      <c r="AB132" s="171"/>
      <c r="AC132" s="174" t="s">
        <v>1013</v>
      </c>
      <c r="AD132" s="172"/>
      <c r="AE132" s="172"/>
      <c r="AF132" s="172"/>
      <c r="AG132" s="172"/>
      <c r="AH132" s="172"/>
      <c r="AI132" s="172"/>
      <c r="AJ132" s="172"/>
      <c r="AK132" s="172"/>
      <c r="AL132" s="172"/>
      <c r="AM132" s="172"/>
      <c r="AN132" s="172"/>
      <c r="AO132" s="172"/>
      <c r="AP132" s="172"/>
      <c r="AQ132" s="172"/>
      <c r="AR132" s="172"/>
      <c r="AS132" s="172"/>
      <c r="AT132" s="172"/>
      <c r="AU132" s="172"/>
      <c r="AV132" s="172"/>
      <c r="AW132" s="172"/>
      <c r="AX132" s="172"/>
      <c r="AY132" s="172"/>
      <c r="AZ132" s="172"/>
      <c r="BA132" s="172"/>
      <c r="BB132" s="172"/>
      <c r="BC132" s="183"/>
      <c r="BD132" s="1363"/>
      <c r="BE132" s="1363"/>
      <c r="BF132" s="1026"/>
      <c r="BG132" s="1026"/>
      <c r="BH132" s="1026"/>
      <c r="BJ132" s="638" t="s">
        <v>993</v>
      </c>
      <c r="BK132" s="638"/>
    </row>
    <row s="3036" customFormat="1" customHeight="1" ht="88.921875">
      <c r="A133" s="1189"/>
      <c r="B133" s="431"/>
      <c r="C133" s="488"/>
      <c r="D133" s="1189"/>
      <c r="E133" s="637">
        <v>15</v>
      </c>
      <c r="F133" s="94" cm="1" t="str">
        <f t="array" ref="F133:F133">X133</f>
        <v>3</v>
      </c>
      <c r="G133" s="94"/>
      <c r="H133" s="94"/>
      <c r="I133" s="1189"/>
      <c r="J133" s="1189"/>
      <c r="K133" s="1189"/>
      <c r="L133" s="1189"/>
      <c r="M133" s="1189"/>
      <c r="N133" s="1189"/>
      <c r="O133" s="1189"/>
      <c r="P133" s="1189"/>
      <c r="Q133" s="1189"/>
      <c r="R133" s="1189"/>
      <c r="S133" s="1189"/>
      <c r="T133" s="468">
        <f>X133&gt;0</f>
        <v>1</v>
      </c>
      <c r="U133" s="1189"/>
      <c r="V133" s="140" cm="1" t="str">
        <f t="array" ref="V133:V133">'Сырье и материалы'!$AB$90</f>
        <v>Тариф 3 (Водоотведение) - тариф на водоотведение (Оказание услуг на территории: город Полысаево (ОКТМО: 32732000) - г Полысаево)</v>
      </c>
      <c r="W133" s="1189"/>
      <c r="X133" s="1519" t="s">
        <v>234</v>
      </c>
      <c r="Y133" s="1189"/>
      <c r="Z133" s="1541"/>
      <c r="AA133" s="1189"/>
      <c r="AB133" s="179" cm="1" t="str">
        <f t="array" ref="AB133:AB133">'Сырье и материалы'!$AB$90</f>
        <v>Тариф 3 (Водоотведение) - тариф на водоотведение (Оказание услуг на территории: город Полысаево (ОКТМО: 32732000) - г Полысаево)</v>
      </c>
      <c r="AC133" s="176"/>
      <c r="AD133" s="170"/>
      <c r="AE133" s="170"/>
      <c r="AF133" s="170"/>
      <c r="AG133" s="170"/>
      <c r="AH133" s="170"/>
      <c r="AI133" s="170"/>
      <c r="AJ133" s="170"/>
      <c r="AK133" s="170"/>
      <c r="AL133" s="170"/>
      <c r="AM133" s="170"/>
      <c r="AN133" s="170"/>
      <c r="AO133" s="170"/>
      <c r="AP133" s="170"/>
      <c r="AQ133" s="170"/>
      <c r="AR133" s="170"/>
      <c r="AS133" s="170"/>
      <c r="AT133" s="170"/>
      <c r="AU133" s="170"/>
      <c r="AV133" s="170"/>
      <c r="AW133" s="170"/>
      <c r="AX133" s="170"/>
      <c r="AY133" s="170"/>
      <c r="AZ133" s="170"/>
      <c r="BA133" s="170"/>
      <c r="BB133" s="170"/>
      <c r="BC133" s="170"/>
      <c r="BD133" s="1189"/>
      <c r="BE133" s="1189"/>
      <c r="BF133" s="1021"/>
      <c r="BG133" s="1021"/>
      <c r="BH133" s="1021"/>
      <c r="BJ133" s="635"/>
      <c r="BK133" s="635"/>
    </row>
    <row s="1191" customFormat="1" customHeight="1" ht="37.171875">
      <c r="A134" s="1541"/>
      <c r="B134" s="431"/>
      <c r="C134" s="486"/>
      <c r="D134" s="964"/>
      <c r="E134" s="263">
        <v>11.25</v>
      </c>
      <c r="F134" s="50" cm="1" t="str">
        <f t="array" ref="F134:F134">OFFSET(E134,-1,1)</f>
        <v>3</v>
      </c>
      <c r="G134" s="122" t="s">
        <v>344</v>
      </c>
      <c r="H134" s="122"/>
      <c r="I134" s="1541"/>
      <c r="J134" s="1541"/>
      <c r="K134" s="486" t="str">
        <f>F134&amp;"komm"</f>
        <v>3komm</v>
      </c>
      <c r="L134" s="924" cm="1" t="str">
        <f t="array" ref="L134:L134">BC134</f>
        <v>Пункты 90 и 95 "Методических указаний" (приказ ФСТ № 1746-э от 27.12.2013). Формулы (39.1), (39.2), (39.3).</v>
      </c>
      <c r="M134" s="1541"/>
      <c r="N134" s="1541"/>
      <c r="O134" s="1541"/>
      <c r="P134" s="1541"/>
      <c r="Q134" s="1541"/>
      <c r="R134" s="1541"/>
      <c r="S134" s="1541"/>
      <c r="T134" s="468" cm="1" t="str">
        <f t="array" ref="T134:T134">T133</f>
        <v>true</v>
      </c>
      <c r="U134" s="1541"/>
      <c r="V134" s="1541"/>
      <c r="W134" s="1541"/>
      <c r="X134" s="1519"/>
      <c r="Y134" s="1541"/>
      <c r="Z134" s="1541"/>
      <c r="AA134" s="1541"/>
      <c r="AB134" s="85" t="s">
        <v>290</v>
      </c>
      <c r="AC134" s="134" t="s">
        <v>935</v>
      </c>
      <c r="AD134" s="85" t="s">
        <v>936</v>
      </c>
      <c r="AE134" s="187">
        <f>IF(COUNTIF(AE139:AE174,"Ошибка")&gt;0,"Ошибка",SUMIF($AD139:$AD174,$AD134,AE139:AE174))</f>
        <v>5618.414</v>
      </c>
      <c r="AF134" s="187">
        <f>IF(COUNTIF(AF139:AF174,"Ошибка")&gt;0,"Ошибка",SUMIF($AD139:$AD174,$AD134,AF139:AF174))</f>
        <v>6367.79</v>
      </c>
      <c r="AG134" s="187">
        <f>IF(COUNTIF(AG139:AG174,"Ошибка")&gt;0,"Ошибка",SUMIF($AD139:$AD174,$AD134,AG139:AG174))</f>
        <v>4503.607732016</v>
      </c>
      <c r="AH134" s="187">
        <f>IF(COUNTIF(AH139:AH174,"Ошибка")&gt;0,"Ошибка",SUMIF($AD139:$AD174,$AD134,AH139:AH174))</f>
        <v>6103.59</v>
      </c>
      <c r="AI134" s="187">
        <f>IF(COUNTIF(AI139:AI174,"Ошибка")&gt;0,"Ошибка",SUMIF($AD139:$AD174,$AD134,AI139:AI174))</f>
        <v>6618.24</v>
      </c>
      <c r="AJ134" s="187">
        <f>IF(COUNTIF(AJ139:AJ174,"Ошибка")&gt;0,"Ошибка",SUMIF($AD139:$AD174,$AD134,AJ139:AJ174))</f>
        <v>0</v>
      </c>
      <c r="AK134" s="187">
        <f>IF(COUNTIF(AK139:AK174,"Ошибка")&gt;0,"Ошибка",SUMIF($AD139:$AD174,$AD134,AK139:AK174))</f>
        <v>0</v>
      </c>
      <c r="AL134" s="187">
        <f>IF(COUNTIF(AL139:AL174,"Ошибка")&gt;0,"Ошибка",SUMIF($AD139:$AD174,$AD134,AL139:AL174))</f>
        <v>0</v>
      </c>
      <c r="AM134" s="187">
        <f>IF(COUNTIF(AM139:AM174,"Ошибка")&gt;0,"Ошибка",SUMIF($AD139:$AD174,$AD134,AM139:AM174))</f>
        <v>0</v>
      </c>
      <c r="AN134" s="187">
        <f>IF(COUNTIF(AN139:AN174,"Ошибка")&gt;0,"Ошибка",SUMIF($AD139:$AD174,$AD134,AN139:AN174))</f>
        <v>0</v>
      </c>
      <c r="AO134" s="187">
        <f>IF(COUNTIF(AO139:AO174,"Ошибка")&gt;0,"Ошибка",SUMIF($AD139:$AD174,$AD134,AO139:AO174))</f>
        <v>0</v>
      </c>
      <c r="AP134" s="187">
        <f>IF(COUNTIF(AP139:AP174,"Ошибка")&gt;0,"Ошибка",SUMIF($AD139:$AD174,$AD134,AP139:AP174))</f>
        <v>0</v>
      </c>
      <c r="AQ134" s="187">
        <f>IF(COUNTIF(AQ139:AQ174,"Ошибка")&gt;0,"Ошибка",SUMIF($AD139:$AD174,$AD134,AQ139:AQ174))</f>
        <v>0</v>
      </c>
      <c r="AR134" s="187">
        <f>IF(COUNTIF(AR139:AR174,"Ошибка")&gt;0,"Ошибка",SUMIF($AD139:$AD174,$AD134,AR139:AR174))</f>
        <v>0</v>
      </c>
      <c r="AS134" s="187">
        <f>IF(COUNTIF(AS139:AS174,"Ошибка")&gt;0,"Ошибка",SUMIF($AD139:$AD174,$AD134,AS139:AS174))</f>
        <v>6876.7</v>
      </c>
      <c r="AT134" s="187" t="str">
        <f>IF(COUNTIF(AT139:AT174,"Ошибка")&gt;0,"Ошибка",SUMIF($AD139:$AD174,$AD134,AT139:AT174))</f>
        <v>Ошибка</v>
      </c>
      <c r="AU134" s="187" t="str">
        <f>IF(COUNTIF(AU139:AU174,"Ошибка")&gt;0,"Ошибка",SUMIF($AD139:$AD174,$AD134,AU139:AU174))</f>
        <v>Ошибка</v>
      </c>
      <c r="AV134" s="187">
        <f>IF(COUNTIF(AV139:AV174,"Ошибка")&gt;0,"Ошибка",SUMIF($AD139:$AD174,$AD134,AV139:AV174))</f>
        <v>0</v>
      </c>
      <c r="AW134" s="187">
        <f>IF(COUNTIF(AW139:AW174,"Ошибка")&gt;0,"Ошибка",SUMIF($AD139:$AD174,$AD134,AW139:AW174))</f>
        <v>0</v>
      </c>
      <c r="AX134" s="187">
        <f>IF(COUNTIF(AX139:AX174,"Ошибка")&gt;0,"Ошибка",SUMIF($AD139:$AD174,$AD134,AX139:AX174))</f>
        <v>0</v>
      </c>
      <c r="AY134" s="187">
        <f>IF(COUNTIF(AY139:AY174,"Ошибка")&gt;0,"Ошибка",SUMIF($AD139:$AD174,$AD134,AY139:AY174))</f>
        <v>0</v>
      </c>
      <c r="AZ134" s="187">
        <f>IF(COUNTIF(AZ139:AZ174,"Ошибка")&gt;0,"Ошибка",SUMIF($AD139:$AD174,$AD134,AZ139:AZ174))</f>
        <v>0</v>
      </c>
      <c r="BA134" s="187">
        <f>IF(COUNTIF(BA139:BA174,"Ошибка")&gt;0,"Ошибка",SUMIF($AD139:$AD174,$AD134,BA139:BA174))</f>
        <v>0</v>
      </c>
      <c r="BB134" s="187">
        <f>IF(COUNTIF(BB139:BB174,"Ошибка")&gt;0,"Ошибка",SUMIF($AD139:$AD174,$AD134,BB139:BB174))</f>
        <v>0</v>
      </c>
      <c r="BC134" s="196" t="s">
        <v>1014</v>
      </c>
      <c r="BD134" s="1541"/>
      <c r="BE134" s="1541"/>
      <c r="BF134" s="1038" t="s">
        <v>970</v>
      </c>
      <c r="BG134" s="1038"/>
      <c r="BH134" s="1038"/>
      <c r="BJ134" s="263"/>
      <c r="BK134" s="263"/>
    </row>
    <row s="1191" customFormat="1" customHeight="1" ht="46.171875">
      <c r="A135" s="1541"/>
      <c r="B135" s="431"/>
      <c r="C135" s="486"/>
      <c r="D135" s="1541"/>
      <c r="E135" s="263">
        <v>11.25</v>
      </c>
      <c r="F135" s="50" cm="1" t="str">
        <f t="array" ref="F135:F135">OFFSET(E135,-1,1)</f>
        <v>3</v>
      </c>
      <c r="G135" s="122" t="s">
        <v>345</v>
      </c>
      <c r="H135" s="122"/>
      <c r="I135" s="1541"/>
      <c r="J135" s="1541"/>
      <c r="K135" s="1541"/>
      <c r="L135" s="1541"/>
      <c r="M135" s="1541"/>
      <c r="N135" s="1541"/>
      <c r="O135" s="1541"/>
      <c r="P135" s="1541"/>
      <c r="Q135" s="1541"/>
      <c r="R135" s="1541"/>
      <c r="S135" s="1541"/>
      <c r="T135" s="468" cm="1" t="str">
        <f t="array" ref="T135:T135">T134</f>
        <v>true</v>
      </c>
      <c r="U135" s="1541"/>
      <c r="V135" s="1541"/>
      <c r="W135" s="1541"/>
      <c r="X135" s="1519"/>
      <c r="Y135" s="1541"/>
      <c r="Z135" s="1541"/>
      <c r="AA135" s="1541"/>
      <c r="AB135" s="85" t="s">
        <v>299</v>
      </c>
      <c r="AC135" s="134" t="s">
        <v>971</v>
      </c>
      <c r="AD135" s="88" t="s">
        <v>972</v>
      </c>
      <c r="AE135" s="187">
        <f>SUMIF(AD139:AD174,AD135,AE139:AE174)</f>
        <v>964.43</v>
      </c>
      <c r="AF135" s="187">
        <f>SUMIF(AD139:AD174,AD135,AF139:AF174)</f>
        <v>1114.56</v>
      </c>
      <c r="AG135" s="187">
        <f>SUMIF(AD139:AD174,AD135,AG139:AG174)</f>
        <v>696.88</v>
      </c>
      <c r="AH135" s="187">
        <f>SUMIF(AD139:AD174,AD135,AH139:AH174)</f>
        <v>917.59</v>
      </c>
      <c r="AI135" s="187">
        <f>SUMIF(AD139:AD174,AD135,AI139:AI174)</f>
        <v>919.14</v>
      </c>
      <c r="AJ135" s="187">
        <f>SUMIF(AD139:AD174,AD135,AJ139:AJ174)</f>
        <v>0</v>
      </c>
      <c r="AK135" s="187">
        <f>SUMIF(AD139:AD174,AD135,AK139:AK174)</f>
        <v>0</v>
      </c>
      <c r="AL135" s="187">
        <f>SUMIF(AD139:AD174,AD135,AL139:AL174)</f>
        <v>0</v>
      </c>
      <c r="AM135" s="187">
        <f>SUMIF(AD139:AD174,AD135,AM139:AM174)</f>
        <v>0</v>
      </c>
      <c r="AN135" s="187">
        <f>SUMIF(AD139:AD174,AD135,AN139:AN174)</f>
        <v>0</v>
      </c>
      <c r="AO135" s="187">
        <f>SUMIF(AD139:AD174,AD135,AO139:AO174)</f>
        <v>0</v>
      </c>
      <c r="AP135" s="187">
        <f>SUMIF(AD139:AD174,AD135,AP139:AP174)</f>
        <v>0</v>
      </c>
      <c r="AQ135" s="187">
        <f>SUMIF(AD139:AD174,AD135,AQ139:AQ174)</f>
        <v>0</v>
      </c>
      <c r="AR135" s="187">
        <f>SUMIF(AD139:AD174,AD135,AR139:AR174)</f>
        <v>0</v>
      </c>
      <c r="AS135" s="187">
        <f>SUMIF(AD139:AD174,AD135,AS139:AS174)</f>
        <v>874.02</v>
      </c>
      <c r="AT135" s="187">
        <f>SUMIF(AD139:AD174,AD135,AT139:AT174)</f>
        <v>874.02</v>
      </c>
      <c r="AU135" s="187">
        <f>SUMIF(AD139:AD174,AD135,AU139:AU174)</f>
        <v>874.02</v>
      </c>
      <c r="AV135" s="187">
        <f>SUMIF(AD139:AD174,AD135,AV139:AV174)</f>
        <v>0</v>
      </c>
      <c r="AW135" s="187">
        <f>SUMIF(AD139:AD174,AD135,AW139:AW174)</f>
        <v>0</v>
      </c>
      <c r="AX135" s="187">
        <f>SUMIF(AD139:AD174,AD135,AX139:AX174)</f>
        <v>0</v>
      </c>
      <c r="AY135" s="187">
        <f>SUMIF(AD139:AD174,AD135,AY139:AY174)</f>
        <v>0</v>
      </c>
      <c r="AZ135" s="187">
        <f>SUMIF(AD139:AD174,AD135,AZ139:AZ174)</f>
        <v>0</v>
      </c>
      <c r="BA135" s="187">
        <f>SUMIF(AD139:AD174,AD135,BA139:BA174)</f>
        <v>0</v>
      </c>
      <c r="BB135" s="187">
        <f>SUMIF(AD139:AD174,AD135,BB139:BB174)</f>
        <v>0</v>
      </c>
      <c r="BC135" s="196" t="s">
        <v>1047</v>
      </c>
      <c r="BD135" s="1541"/>
      <c r="BE135" s="1541"/>
      <c r="BF135" s="1038" t="s">
        <v>973</v>
      </c>
      <c r="BG135" s="1038"/>
      <c r="BH135" s="1038"/>
      <c r="BJ135" s="263"/>
      <c r="BK135" s="263"/>
    </row>
    <row s="1191" customFormat="1" customHeight="1" ht="46.921875">
      <c r="A136" s="1541"/>
      <c r="B136" s="431"/>
      <c r="C136" s="486"/>
      <c r="D136" s="1541"/>
      <c r="E136" s="263">
        <v>11.25</v>
      </c>
      <c r="F136" s="50" cm="1" t="str">
        <f t="array" ref="F136:F136">OFFSET(E136,-1,1)</f>
        <v>3</v>
      </c>
      <c r="G136" s="122" t="s">
        <v>346</v>
      </c>
      <c r="H136" s="122"/>
      <c r="I136" s="1541"/>
      <c r="J136" s="1541"/>
      <c r="K136" s="1541"/>
      <c r="L136" s="1541"/>
      <c r="M136" s="1541"/>
      <c r="N136" s="1541"/>
      <c r="O136" s="1541"/>
      <c r="P136" s="1541"/>
      <c r="Q136" s="1541"/>
      <c r="R136" s="1541"/>
      <c r="S136" s="1541"/>
      <c r="T136" s="468" cm="1" t="str">
        <f t="array" ref="T136:T136">T135</f>
        <v>true</v>
      </c>
      <c r="U136" s="1541"/>
      <c r="V136" s="1541"/>
      <c r="W136" s="1541"/>
      <c r="X136" s="1519"/>
      <c r="Y136" s="1541"/>
      <c r="Z136" s="1541"/>
      <c r="AA136" s="1541"/>
      <c r="AB136" s="85" t="s">
        <v>234</v>
      </c>
      <c r="AC136" s="134" t="s">
        <v>974</v>
      </c>
      <c r="AD136" s="88" t="s">
        <v>975</v>
      </c>
      <c r="AE136" s="235">
        <v>1530.84022</v>
      </c>
      <c r="AF136" s="235">
        <v>1916.568</v>
      </c>
      <c r="AG136" s="235">
        <v>1106.15105</v>
      </c>
      <c r="AH136" s="235">
        <v>1456.5032</v>
      </c>
      <c r="AI136" s="235">
        <v>1458.9532</v>
      </c>
      <c r="AJ136" s="2907"/>
      <c r="AK136" s="2907"/>
      <c r="AL136" s="2907"/>
      <c r="AM136" s="2907"/>
      <c r="AN136" s="2907"/>
      <c r="AO136" s="2907"/>
      <c r="AP136" s="2907"/>
      <c r="AQ136" s="2907"/>
      <c r="AR136" s="2907"/>
      <c r="AS136" s="235">
        <v>1387.33054</v>
      </c>
      <c r="AT136" s="2907" cm="1" t="str">
        <f t="array" ref="AT136:AT136">AS136</f>
        <v>1387.33054</v>
      </c>
      <c r="AU136" s="2907" cm="1" t="str">
        <f t="array" ref="AU136:AU136">AT136</f>
        <v>1387.33054</v>
      </c>
      <c r="AV136" s="2907"/>
      <c r="AW136" s="2907"/>
      <c r="AX136" s="2907"/>
      <c r="AY136" s="2907"/>
      <c r="AZ136" s="2907"/>
      <c r="BA136" s="2907"/>
      <c r="BB136" s="2907"/>
      <c r="BC136" s="196" t="s">
        <v>1048</v>
      </c>
      <c r="BD136" s="1541"/>
      <c r="BE136" s="1541"/>
      <c r="BF136" s="1038" t="s">
        <v>976</v>
      </c>
      <c r="BG136" s="1038"/>
      <c r="BH136" s="1038"/>
      <c r="BJ136" s="263"/>
      <c r="BK136" s="263"/>
    </row>
    <row s="1191" customFormat="1" customHeight="1" ht="26.671875">
      <c r="A137" s="1541"/>
      <c r="B137" s="431"/>
      <c r="C137" s="486"/>
      <c r="D137" s="1541"/>
      <c r="E137" s="263">
        <v>11.25</v>
      </c>
      <c r="F137" s="50" cm="1" t="str">
        <f t="array" ref="F137:F137">OFFSET(E137,-1,1)</f>
        <v>3</v>
      </c>
      <c r="G137" s="122" t="s">
        <v>348</v>
      </c>
      <c r="H137" s="122"/>
      <c r="I137" s="1541"/>
      <c r="J137" s="1541"/>
      <c r="K137" s="1541"/>
      <c r="L137" s="1541"/>
      <c r="M137" s="1541"/>
      <c r="N137" s="1541"/>
      <c r="O137" s="1541"/>
      <c r="P137" s="1541"/>
      <c r="Q137" s="1541"/>
      <c r="R137" s="1541"/>
      <c r="S137" s="1541"/>
      <c r="T137" s="468" cm="1" t="str">
        <f t="array" ref="T137:T137">T136</f>
        <v>true</v>
      </c>
      <c r="U137" s="1541"/>
      <c r="V137" s="1541"/>
      <c r="W137" s="1541"/>
      <c r="X137" s="1519"/>
      <c r="Y137" s="1541"/>
      <c r="Z137" s="1541"/>
      <c r="AA137" s="1541"/>
      <c r="AB137" s="85" t="s">
        <v>451</v>
      </c>
      <c r="AC137" s="134" t="s">
        <v>977</v>
      </c>
      <c r="AD137" s="88" t="s">
        <v>978</v>
      </c>
      <c r="AE137" s="187">
        <f>IF(AE135=0,0,AE134/AE135)</f>
        <v>5.82563172029074</v>
      </c>
      <c r="AF137" s="187">
        <f>IF(AF135=0,0,AF134/AF135)</f>
        <v>5.71327698822854</v>
      </c>
      <c r="AG137" s="187">
        <f>IF(AG135=0,0,AG134/AG135)</f>
        <v>6.46252974976467</v>
      </c>
      <c r="AH137" s="187">
        <f>IF(AH135=0,0,AH134/AH135)</f>
        <v>6.65176168005318</v>
      </c>
      <c r="AI137" s="187">
        <f>IF(AI135=0,0,AI134/AI135)</f>
        <v>7.20047000456949</v>
      </c>
      <c r="AJ137" s="187">
        <f>IF(AJ135=0,0,AJ134/AJ135)</f>
        <v>0</v>
      </c>
      <c r="AK137" s="187">
        <f>IF(AK135=0,0,AK134/AK135)</f>
        <v>0</v>
      </c>
      <c r="AL137" s="187">
        <f>IF(AL135=0,0,AL134/AL135)</f>
        <v>0</v>
      </c>
      <c r="AM137" s="187">
        <f>IF(AM135=0,0,AM134/AM135)</f>
        <v>0</v>
      </c>
      <c r="AN137" s="187">
        <f>IF(AN135=0,0,AN134/AN135)</f>
        <v>0</v>
      </c>
      <c r="AO137" s="187">
        <f>IF(AO135=0,0,AO134/AO135)</f>
        <v>0</v>
      </c>
      <c r="AP137" s="187">
        <f>IF(AP135=0,0,AP134/AP135)</f>
        <v>0</v>
      </c>
      <c r="AQ137" s="187">
        <f>IF(AQ135=0,0,AQ134/AQ135)</f>
        <v>0</v>
      </c>
      <c r="AR137" s="187">
        <f>IF(AR135=0,0,AR134/AR135)</f>
        <v>0</v>
      </c>
      <c r="AS137" s="187">
        <f>IF(AS135=0,0,AS134/AS135)</f>
        <v>7.86789775977666</v>
      </c>
      <c r="AT137" s="187">
        <f>IF(AT135=0,0,AT134/AT135)</f>
      </c>
      <c r="AU137" s="187">
        <f>IF(AU135=0,0,AU134/AU135)</f>
      </c>
      <c r="AV137" s="187">
        <f>IF(AV135=0,0,AV134/AV135)</f>
        <v>0</v>
      </c>
      <c r="AW137" s="187">
        <f>IF(AW135=0,0,AW134/AW135)</f>
        <v>0</v>
      </c>
      <c r="AX137" s="187">
        <f>IF(AX135=0,0,AX134/AX135)</f>
        <v>0</v>
      </c>
      <c r="AY137" s="187">
        <f>IF(AY135=0,0,AY134/AY135)</f>
        <v>0</v>
      </c>
      <c r="AZ137" s="187">
        <f>IF(AZ135=0,0,AZ134/AZ135)</f>
        <v>0</v>
      </c>
      <c r="BA137" s="187">
        <f>IF(BA135=0,0,BA134/BA135)</f>
        <v>0</v>
      </c>
      <c r="BB137" s="187">
        <f>IF(BB135=0,0,BB134/BB135)</f>
        <v>0</v>
      </c>
      <c r="BC137" s="196"/>
      <c r="BD137" s="1541"/>
      <c r="BE137" s="1541"/>
      <c r="BF137" s="1038" t="s">
        <v>979</v>
      </c>
      <c r="BG137" s="1038"/>
      <c r="BH137" s="1038"/>
      <c r="BJ137" s="263"/>
      <c r="BK137" s="263"/>
    </row>
    <row s="1191" customFormat="1" customHeight="1" ht="46.171875">
      <c r="A138" s="1541"/>
      <c r="B138" s="431"/>
      <c r="C138" s="486"/>
      <c r="D138" s="1541"/>
      <c r="E138" s="263">
        <v>11.25</v>
      </c>
      <c r="F138" s="50" cm="1" t="str">
        <f t="array" ref="F138:F138">OFFSET(E138,-1,1)</f>
        <v>3</v>
      </c>
      <c r="G138" s="122" t="s">
        <v>347</v>
      </c>
      <c r="H138" s="122"/>
      <c r="I138" s="1541"/>
      <c r="J138" s="1541"/>
      <c r="K138" s="1541"/>
      <c r="L138" s="1541"/>
      <c r="M138" s="1541"/>
      <c r="N138" s="1541"/>
      <c r="O138" s="1541"/>
      <c r="P138" s="1541"/>
      <c r="Q138" s="1541"/>
      <c r="R138" s="1541"/>
      <c r="S138" s="1541"/>
      <c r="T138" s="468" cm="1" t="str">
        <f t="array" ref="T138:T138">T137</f>
        <v>true</v>
      </c>
      <c r="U138" s="1541"/>
      <c r="V138" s="1541"/>
      <c r="W138" s="1541"/>
      <c r="X138" s="1519"/>
      <c r="Y138" s="1541"/>
      <c r="Z138" s="1541"/>
      <c r="AA138" s="1541"/>
      <c r="AB138" s="85" t="s">
        <v>454</v>
      </c>
      <c r="AC138" s="134" t="s">
        <v>980</v>
      </c>
      <c r="AD138" s="88" t="s">
        <v>981</v>
      </c>
      <c r="AE138" s="311">
        <f>IF(AE136=0,0,AE135/AE136)</f>
        <v>0.630000432050315</v>
      </c>
      <c r="AF138" s="311">
        <f>IF(AF136=0,0,AF135/AF136)</f>
        <v>0.581539501859574</v>
      </c>
      <c r="AG138" s="311">
        <f>IF(AG136=0,0,AG135/AG136)</f>
        <v>0.630004374176565</v>
      </c>
      <c r="AH138" s="311">
        <f>IF(AH136=0,0,AH135/AH136)</f>
        <v>0.629995182983463</v>
      </c>
      <c r="AI138" s="311">
        <f>IF(AI136=0,0,AI135/AI136)</f>
        <v>0.62999964632176</v>
      </c>
      <c r="AJ138" s="311">
        <f>IF(AJ136=0,0,AJ135/AJ136)</f>
        <v>0</v>
      </c>
      <c r="AK138" s="311">
        <f>IF(AK136=0,0,AK135/AK136)</f>
        <v>0</v>
      </c>
      <c r="AL138" s="311">
        <f>IF(AL136=0,0,AL135/AL136)</f>
        <v>0</v>
      </c>
      <c r="AM138" s="311">
        <f>IF(AM136=0,0,AM135/AM136)</f>
        <v>0</v>
      </c>
      <c r="AN138" s="311">
        <f>IF(AN136=0,0,AN135/AN136)</f>
        <v>0</v>
      </c>
      <c r="AO138" s="311">
        <f>IF(AO136=0,0,AO135/AO136)</f>
        <v>0</v>
      </c>
      <c r="AP138" s="311">
        <f>IF(AP136=0,0,AP135/AP136)</f>
        <v>0</v>
      </c>
      <c r="AQ138" s="311">
        <f>IF(AQ136=0,0,AQ135/AQ136)</f>
        <v>0</v>
      </c>
      <c r="AR138" s="311">
        <f>IF(AR136=0,0,AR135/AR136)</f>
        <v>0</v>
      </c>
      <c r="AS138" s="311">
        <f>IF(AS136=0,0,AS135/AS136)</f>
        <v>0.630001268479248</v>
      </c>
      <c r="AT138" s="311">
        <f>IF(AT136=0,0,AT135/AT136)</f>
        <v>0.630001268479248</v>
      </c>
      <c r="AU138" s="311">
        <f>IF(AU136=0,0,AU135/AU136)</f>
        <v>0.630001268479248</v>
      </c>
      <c r="AV138" s="311">
        <f>IF(AV136=0,0,AV135/AV136)</f>
        <v>0</v>
      </c>
      <c r="AW138" s="311">
        <f>IF(AW136=0,0,AW135/AW136)</f>
        <v>0</v>
      </c>
      <c r="AX138" s="311">
        <f>IF(AX136=0,0,AX135/AX136)</f>
        <v>0</v>
      </c>
      <c r="AY138" s="311">
        <f>IF(AY136=0,0,AY135/AY136)</f>
        <v>0</v>
      </c>
      <c r="AZ138" s="311">
        <f>IF(AZ136=0,0,AZ135/AZ136)</f>
        <v>0</v>
      </c>
      <c r="BA138" s="311">
        <f>IF(BA136=0,0,BA135/BA136)</f>
        <v>0</v>
      </c>
      <c r="BB138" s="311">
        <f>IF(BB136=0,0,BB135/BB136)</f>
        <v>0</v>
      </c>
      <c r="BC138" s="196" t="s">
        <v>1038</v>
      </c>
      <c r="BD138" s="1541"/>
      <c r="BE138" s="1541"/>
      <c r="BF138" s="1038" t="s">
        <v>982</v>
      </c>
      <c r="BG138" s="1038"/>
      <c r="BH138" s="1038"/>
      <c r="BJ138" s="263"/>
      <c r="BK138" s="263"/>
    </row>
    <row s="1191" customFormat="1" customHeight="1" ht="23.671875">
      <c r="A139" s="1541"/>
      <c r="B139" s="431"/>
      <c r="C139" s="486"/>
      <c r="D139" s="1541"/>
      <c r="E139" s="263">
        <v>13</v>
      </c>
      <c r="F139" s="50" cm="1" t="str">
        <f t="array" ref="F139:F139">OFFSET(E139,-1,1)</f>
        <v>3</v>
      </c>
      <c r="G139" s="122"/>
      <c r="H139" s="122"/>
      <c r="I139" s="1541"/>
      <c r="J139" s="1541"/>
      <c r="K139" s="1541"/>
      <c r="L139" s="1541"/>
      <c r="M139" s="1541"/>
      <c r="N139" s="1541"/>
      <c r="O139" s="1541"/>
      <c r="P139" s="1541"/>
      <c r="Q139" s="1541"/>
      <c r="R139" s="1541"/>
      <c r="S139" s="1541"/>
      <c r="T139" s="468" cm="1" t="str">
        <f t="array" ref="T139:T139">T138</f>
        <v>true</v>
      </c>
      <c r="U139" s="1541"/>
      <c r="V139" s="1541"/>
      <c r="W139" s="1541"/>
      <c r="X139" s="1519"/>
      <c r="Y139" s="1541"/>
      <c r="Z139" s="1541"/>
      <c r="AA139" s="1541"/>
      <c r="AB139" s="658"/>
      <c r="AC139" s="262" t="s">
        <v>983</v>
      </c>
      <c r="AD139" s="263"/>
      <c r="AE139" s="264"/>
      <c r="AF139" s="264"/>
      <c r="AG139" s="264"/>
      <c r="AH139" s="264"/>
      <c r="AI139" s="264"/>
      <c r="AJ139" s="264"/>
      <c r="AK139" s="264"/>
      <c r="AL139" s="264"/>
      <c r="AM139" s="264"/>
      <c r="AN139" s="264"/>
      <c r="AO139" s="264"/>
      <c r="AP139" s="264"/>
      <c r="AQ139" s="264"/>
      <c r="AR139" s="264"/>
      <c r="AS139" s="264"/>
      <c r="AT139" s="264"/>
      <c r="AU139" s="264"/>
      <c r="AV139" s="264"/>
      <c r="AW139" s="264"/>
      <c r="AX139" s="264"/>
      <c r="AY139" s="264"/>
      <c r="AZ139" s="264"/>
      <c r="BA139" s="264"/>
      <c r="BB139" s="264"/>
      <c r="BC139" s="265"/>
      <c r="BD139" s="1541"/>
      <c r="BE139" s="1541"/>
      <c r="BF139" s="1038"/>
      <c r="BG139" s="1038"/>
      <c r="BH139" s="1038"/>
      <c r="BJ139" s="263"/>
      <c r="BK139" s="263"/>
    </row>
    <row customHeight="1" ht="10.725000000000001" hidden="1">
      <c r="A140" s="1328"/>
      <c r="B140" s="2912"/>
      <c r="C140" s="923"/>
      <c r="D140" s="1328"/>
      <c r="E140" s="1055">
        <v>11</v>
      </c>
      <c r="F140" s="50" cm="1" t="str">
        <f t="array" ref="F140:F140">OFFSET(E140,-1,1)</f>
        <v>3</v>
      </c>
      <c r="G140" s="1528"/>
      <c r="H140" s="1528"/>
      <c r="I140" s="1328"/>
      <c r="J140" s="1328"/>
      <c r="K140" s="1328"/>
      <c r="L140" s="1328"/>
      <c r="M140" s="1328"/>
      <c r="N140" s="1328"/>
      <c r="O140" s="1328"/>
      <c r="P140" s="1328"/>
      <c r="Q140" s="1328"/>
      <c r="R140" s="1328"/>
      <c r="S140" s="1328"/>
      <c r="T140" s="1436">
        <f>AND(F140&gt;0,Y140&gt;0)</f>
        <v>0</v>
      </c>
      <c r="U140" s="1328"/>
      <c r="V140" s="1328"/>
      <c r="W140" s="856" t="s">
        <v>173</v>
      </c>
      <c r="X140" s="1324"/>
      <c r="Y140" s="1617">
        <v>0</v>
      </c>
      <c r="Z140" s="1324"/>
      <c r="AA140" s="1630" t="s">
        <v>174</v>
      </c>
      <c r="AB140" s="1577" t="str">
        <f>"6."&amp;Y140</f>
        <v>6.0</v>
      </c>
      <c r="AC140" s="2913"/>
      <c r="AD140" s="1577"/>
      <c r="AE140" s="351"/>
      <c r="AF140" s="351"/>
      <c r="AG140" s="351"/>
      <c r="AH140" s="351"/>
      <c r="AI140" s="351"/>
      <c r="AJ140" s="351"/>
      <c r="AK140" s="351"/>
      <c r="AL140" s="351"/>
      <c r="AM140" s="351"/>
      <c r="AN140" s="351"/>
      <c r="AO140" s="351"/>
      <c r="AP140" s="351"/>
      <c r="AQ140" s="351"/>
      <c r="AR140" s="351"/>
      <c r="AS140" s="351"/>
      <c r="AT140" s="351"/>
      <c r="AU140" s="351"/>
      <c r="AV140" s="351"/>
      <c r="AW140" s="351"/>
      <c r="AX140" s="351"/>
      <c r="AY140" s="351"/>
      <c r="AZ140" s="351"/>
      <c r="BA140" s="351"/>
      <c r="BB140" s="351"/>
      <c r="BC140" s="351"/>
      <c r="BD140" s="2914"/>
      <c r="BE140" s="1328"/>
      <c r="BF140" s="1054"/>
      <c r="BG140" s="1054"/>
      <c r="BH140" s="1054"/>
      <c r="BI140" s="1054"/>
      <c r="BJ140" s="1055"/>
      <c r="BK140" s="1055"/>
    </row>
    <row s="1191" customFormat="1" customHeight="1" ht="10.5" hidden="1">
      <c r="A141" s="1541"/>
      <c r="B141" s="431"/>
      <c r="C141" s="486"/>
      <c r="D141" s="1541"/>
      <c r="E141" s="263">
        <v>11.25</v>
      </c>
      <c r="F141" s="50" cm="1" t="str">
        <f t="array" ref="F141:F141">OFFSET(E141,-1,1)</f>
        <v>3</v>
      </c>
      <c r="G141" s="122" t="s">
        <v>616</v>
      </c>
      <c r="H141" s="122" cm="1" t="str">
        <f t="array" ref="H141:H141">AC141</f>
        <v>0</v>
      </c>
      <c r="I141" s="1541"/>
      <c r="J141" s="1541"/>
      <c r="K141" s="1541"/>
      <c r="L141" s="1541"/>
      <c r="M141" s="1541"/>
      <c r="N141" s="1541"/>
      <c r="O141" s="1541"/>
      <c r="P141" s="1541"/>
      <c r="Q141" s="1541"/>
      <c r="R141" s="1541"/>
      <c r="S141" s="1541"/>
      <c r="T141" s="468" cm="1" t="str">
        <f t="array" ref="T141:T141">T140</f>
        <v>false</v>
      </c>
      <c r="U141" s="1541"/>
      <c r="V141" s="1541"/>
      <c r="W141" s="764"/>
      <c r="X141" s="1519"/>
      <c r="Y141" s="1519">
        <v>0</v>
      </c>
      <c r="Z141" s="1541"/>
      <c r="AA141" s="1516" t="s">
        <v>174</v>
      </c>
      <c r="AB141" s="85" t="str">
        <f>AB140&amp;".1"</f>
        <v>6.0.1</v>
      </c>
      <c r="AC141" s="2915"/>
      <c r="AD141" s="85" t="s">
        <v>936</v>
      </c>
      <c r="AE141" s="1817"/>
      <c r="AF141" s="1817"/>
      <c r="AG141" s="1817"/>
      <c r="AH141" s="1817"/>
      <c r="AI141" s="1817"/>
      <c r="AJ141" s="1817"/>
      <c r="AK141" s="1817"/>
      <c r="AL141" s="1817"/>
      <c r="AM141" s="1817"/>
      <c r="AN141" s="1817"/>
      <c r="AO141" s="1817"/>
      <c r="AP141" s="1817"/>
      <c r="AQ141" s="1817"/>
      <c r="AR141" s="1817"/>
      <c r="AS141" s="1817"/>
      <c r="AT141" s="1817"/>
      <c r="AU141" s="1817"/>
      <c r="AV141" s="1817"/>
      <c r="AW141" s="1817"/>
      <c r="AX141" s="1817"/>
      <c r="AY141" s="1817"/>
      <c r="AZ141" s="1817"/>
      <c r="BA141" s="1817"/>
      <c r="BB141" s="1817"/>
      <c r="BC141" s="1928"/>
      <c r="BD141" s="1541"/>
      <c r="BE141" s="1541"/>
      <c r="BF141" s="1038" t="s">
        <v>984</v>
      </c>
      <c r="BG141" s="1038" t="s">
        <v>985</v>
      </c>
      <c r="BH141" s="1038" cm="1" t="str">
        <f t="array" ref="BH141:BH141">AC141</f>
        <v>0</v>
      </c>
      <c r="BI141" s="1191" cm="1" t="str">
        <f t="array" ref="BI141:BI141">AC140</f>
        <v>0</v>
      </c>
      <c r="BJ141" s="263"/>
      <c r="BK141" s="263" t="b">
        <v>1</v>
      </c>
    </row>
    <row s="1191" customFormat="1" customHeight="1" ht="10.5" hidden="1">
      <c r="A142" s="1541"/>
      <c r="B142" s="431"/>
      <c r="C142" s="486"/>
      <c r="D142" s="1541"/>
      <c r="E142" s="263">
        <v>11.25</v>
      </c>
      <c r="F142" s="50" cm="1" t="str">
        <f t="array" ref="F142:F142">OFFSET(E142,-1,1)</f>
        <v>3</v>
      </c>
      <c r="G142" s="122" t="s">
        <v>793</v>
      </c>
      <c r="H142" s="122" cm="1" t="str">
        <f t="array" ref="H142:H142">H141</f>
        <v>0</v>
      </c>
      <c r="I142" s="1541"/>
      <c r="J142" s="1541"/>
      <c r="K142" s="1541"/>
      <c r="L142" s="1541"/>
      <c r="M142" s="1541"/>
      <c r="N142" s="1541"/>
      <c r="O142" s="1541"/>
      <c r="P142" s="1541"/>
      <c r="Q142" s="1541"/>
      <c r="R142" s="1541"/>
      <c r="S142" s="1541"/>
      <c r="T142" s="468" cm="1" t="str">
        <f t="array" ref="T142:T142">T141</f>
        <v>false</v>
      </c>
      <c r="U142" s="1541"/>
      <c r="V142" s="1541"/>
      <c r="W142" s="1541"/>
      <c r="X142" s="1519"/>
      <c r="Y142" s="1519"/>
      <c r="Z142" s="1541"/>
      <c r="AA142" s="1516"/>
      <c r="AB142" s="85" t="str">
        <f>AB140&amp;".2"</f>
        <v>6.0.2</v>
      </c>
      <c r="AC142" s="188" t="s">
        <v>986</v>
      </c>
      <c r="AD142" s="88" t="s">
        <v>978</v>
      </c>
      <c r="AE142" s="187">
        <f>IF(OR(AND(AE141&lt;&gt;0,AE143=0),AND(AE141=0,AE143&lt;&gt;0)),"Ошибка",IF(AE143=0,0,AE141/AE143))</f>
        <v>0</v>
      </c>
      <c r="AF142" s="187">
        <f>IF(OR(AND(AF141&lt;&gt;0,AF143=0),AND(AF141=0,AF143&lt;&gt;0)),"Ошибка",IF(AF143=0,0,AF141/AF143))</f>
        <v>0</v>
      </c>
      <c r="AG142" s="187">
        <f>IF(OR(AND(AG141&lt;&gt;0,AG143=0),AND(AG141=0,AG143&lt;&gt;0)),"Ошибка",IF(AG143=0,0,AG141/AG143))</f>
        <v>0</v>
      </c>
      <c r="AH142" s="187">
        <f>IF(OR(AND(AH141&lt;&gt;0,AH143=0),AND(AH141=0,AH143&lt;&gt;0)),"Ошибка",IF(AH143=0,0,AH141/AH143))</f>
        <v>0</v>
      </c>
      <c r="AI142" s="187">
        <f>IF(OR(AND(AI141&lt;&gt;0,AI143=0),AND(AI141=0,AI143&lt;&gt;0)),"Ошибка",IF(AI143=0,0,AI141/AI143))</f>
        <v>0</v>
      </c>
      <c r="AJ142" s="187">
        <f>IF(OR(AND(AJ141&lt;&gt;0,AJ143=0),AND(AJ141=0,AJ143&lt;&gt;0)),"Ошибка",IF(AJ143=0,0,AJ141/AJ143))</f>
        <v>0</v>
      </c>
      <c r="AK142" s="187">
        <f>IF(OR(AND(AK141&lt;&gt;0,AK143=0),AND(AK141=0,AK143&lt;&gt;0)),"Ошибка",IF(AK143=0,0,AK141/AK143))</f>
        <v>0</v>
      </c>
      <c r="AL142" s="187">
        <f>IF(OR(AND(AL141&lt;&gt;0,AL143=0),AND(AL141=0,AL143&lt;&gt;0)),"Ошибка",IF(AL143=0,0,AL141/AL143))</f>
        <v>0</v>
      </c>
      <c r="AM142" s="187">
        <f>IF(OR(AND(AM141&lt;&gt;0,AM143=0),AND(AM141=0,AM143&lt;&gt;0)),"Ошибка",IF(AM143=0,0,AM141/AM143))</f>
        <v>0</v>
      </c>
      <c r="AN142" s="187">
        <f>IF(OR(AND(AN141&lt;&gt;0,AN143=0),AND(AN141=0,AN143&lt;&gt;0)),"Ошибка",IF(AN143=0,0,AN141/AN143))</f>
        <v>0</v>
      </c>
      <c r="AO142" s="187">
        <f>IF(OR(AND(AO141&lt;&gt;0,AO143=0),AND(AO141=0,AO143&lt;&gt;0)),"Ошибка",IF(AO143=0,0,AO141/AO143))</f>
        <v>0</v>
      </c>
      <c r="AP142" s="187">
        <f>IF(OR(AND(AP141&lt;&gt;0,AP143=0),AND(AP141=0,AP143&lt;&gt;0)),"Ошибка",IF(AP143=0,0,AP141/AP143))</f>
        <v>0</v>
      </c>
      <c r="AQ142" s="187">
        <f>IF(OR(AND(AQ141&lt;&gt;0,AQ143=0),AND(AQ141=0,AQ143&lt;&gt;0)),"Ошибка",IF(AQ143=0,0,AQ141/AQ143))</f>
        <v>0</v>
      </c>
      <c r="AR142" s="187">
        <f>IF(OR(AND(AR141&lt;&gt;0,AR143=0),AND(AR141=0,AR143&lt;&gt;0)),"Ошибка",IF(AR143=0,0,AR141/AR143))</f>
        <v>0</v>
      </c>
      <c r="AS142" s="187">
        <f>IF(OR(AND(AS141&lt;&gt;0,AS143=0),AND(AS141=0,AS143&lt;&gt;0)),"Ошибка",IF(AS143=0,0,AS141/AS143))</f>
        <v>0</v>
      </c>
      <c r="AT142" s="187">
        <f>IF(OR(AND(AT141&lt;&gt;0,AT143=0),AND(AT141=0,AT143&lt;&gt;0)),"Ошибка",IF(AT143=0,0,AT141/AT143))</f>
        <v>0</v>
      </c>
      <c r="AU142" s="187">
        <f>IF(OR(AND(AU141&lt;&gt;0,AU143=0),AND(AU141=0,AU143&lt;&gt;0)),"Ошибка",IF(AU143=0,0,AU141/AU143))</f>
        <v>0</v>
      </c>
      <c r="AV142" s="187">
        <f>IF(OR(AND(AV141&lt;&gt;0,AV143=0),AND(AV141=0,AV143&lt;&gt;0)),"Ошибка",IF(AV143=0,0,AV141/AV143))</f>
        <v>0</v>
      </c>
      <c r="AW142" s="187">
        <f>IF(OR(AND(AW141&lt;&gt;0,AW143=0),AND(AW141=0,AW143&lt;&gt;0)),"Ошибка",IF(AW143=0,0,AW141/AW143))</f>
        <v>0</v>
      </c>
      <c r="AX142" s="187">
        <f>IF(OR(AND(AX141&lt;&gt;0,AX143=0),AND(AX141=0,AX143&lt;&gt;0)),"Ошибка",IF(AX143=0,0,AX141/AX143))</f>
        <v>0</v>
      </c>
      <c r="AY142" s="187">
        <f>IF(OR(AND(AY141&lt;&gt;0,AY143=0),AND(AY141=0,AY143&lt;&gt;0)),"Ошибка",IF(AY143=0,0,AY141/AY143))</f>
        <v>0</v>
      </c>
      <c r="AZ142" s="187">
        <f>IF(OR(AND(AZ141&lt;&gt;0,AZ143=0),AND(AZ141=0,AZ143&lt;&gt;0)),"Ошибка",IF(AZ143=0,0,AZ141/AZ143))</f>
        <v>0</v>
      </c>
      <c r="BA142" s="187">
        <f>IF(OR(AND(BA141&lt;&gt;0,BA143=0),AND(BA141=0,BA143&lt;&gt;0)),"Ошибка",IF(BA143=0,0,BA141/BA143))</f>
        <v>0</v>
      </c>
      <c r="BB142" s="187">
        <f>IF(OR(AND(BB141&lt;&gt;0,BB143=0),AND(BB141=0,BB143&lt;&gt;0)),"Ошибка",IF(BB143=0,0,BB141/BB143))</f>
        <v>0</v>
      </c>
      <c r="BC142" s="1928"/>
      <c r="BD142" s="1541"/>
      <c r="BE142" s="1541"/>
      <c r="BF142" s="1038" t="s">
        <v>987</v>
      </c>
      <c r="BG142" s="1038" t="s">
        <v>985</v>
      </c>
      <c r="BH142" s="1038" cm="1" t="str">
        <f t="array" ref="BH142:BH142">BH141</f>
        <v>0</v>
      </c>
      <c r="BI142" s="1191" cm="1" t="str">
        <f t="array" ref="BI142:BI142">BI141</f>
        <v>0</v>
      </c>
      <c r="BJ142" s="263"/>
      <c r="BK142" s="263"/>
    </row>
    <row s="1191" customFormat="1" customHeight="1" ht="10.5" hidden="1">
      <c r="A143" s="1541"/>
      <c r="B143" s="431"/>
      <c r="C143" s="486"/>
      <c r="D143" s="1541"/>
      <c r="E143" s="263">
        <v>11.25</v>
      </c>
      <c r="F143" s="50" cm="1" t="str">
        <f t="array" ref="F143:F143">OFFSET(E143,-1,1)</f>
        <v>3</v>
      </c>
      <c r="G143" s="122" t="s">
        <v>796</v>
      </c>
      <c r="H143" s="122" cm="1" t="str">
        <f t="array" ref="H143:H143">H142</f>
        <v>0</v>
      </c>
      <c r="I143" s="1541"/>
      <c r="J143" s="1541"/>
      <c r="K143" s="1541"/>
      <c r="L143" s="1541"/>
      <c r="M143" s="1541"/>
      <c r="N143" s="1541"/>
      <c r="O143" s="1541"/>
      <c r="P143" s="1541"/>
      <c r="Q143" s="1541"/>
      <c r="R143" s="1541"/>
      <c r="S143" s="1541"/>
      <c r="T143" s="468" cm="1" t="str">
        <f t="array" ref="T143:T143">T142</f>
        <v>false</v>
      </c>
      <c r="U143" s="1541"/>
      <c r="V143" s="1541"/>
      <c r="W143" s="1541"/>
      <c r="X143" s="1519"/>
      <c r="Y143" s="1519"/>
      <c r="Z143" s="1541"/>
      <c r="AA143" s="1516"/>
      <c r="AB143" s="85" t="str">
        <f>AB140&amp;".3"</f>
        <v>6.0.3</v>
      </c>
      <c r="AC143" s="188" t="s">
        <v>988</v>
      </c>
      <c r="AD143" s="88" t="s">
        <v>972</v>
      </c>
      <c r="AE143" s="1817"/>
      <c r="AF143" s="1817"/>
      <c r="AG143" s="1817"/>
      <c r="AH143" s="1817"/>
      <c r="AI143" s="1817"/>
      <c r="AJ143" s="1817"/>
      <c r="AK143" s="1817"/>
      <c r="AL143" s="1817"/>
      <c r="AM143" s="1817"/>
      <c r="AN143" s="1817"/>
      <c r="AO143" s="1817"/>
      <c r="AP143" s="1817"/>
      <c r="AQ143" s="1817"/>
      <c r="AR143" s="1817"/>
      <c r="AS143" s="1817"/>
      <c r="AT143" s="1817"/>
      <c r="AU143" s="1817"/>
      <c r="AV143" s="1817"/>
      <c r="AW143" s="1817"/>
      <c r="AX143" s="1817"/>
      <c r="AY143" s="1817"/>
      <c r="AZ143" s="1817"/>
      <c r="BA143" s="1817"/>
      <c r="BB143" s="1817"/>
      <c r="BC143" s="1928"/>
      <c r="BD143" s="1541"/>
      <c r="BE143" s="1541"/>
      <c r="BF143" s="1038" t="s">
        <v>989</v>
      </c>
      <c r="BG143" s="1038" t="s">
        <v>985</v>
      </c>
      <c r="BH143" s="1038" cm="1" t="str">
        <f t="array" ref="BH143:BH143">BH142</f>
        <v>0</v>
      </c>
      <c r="BI143" s="1191" cm="1" t="str">
        <f t="array" ref="BI143:BI143">BI142</f>
        <v>0</v>
      </c>
      <c r="BJ143" s="263"/>
      <c r="BK143" s="263"/>
    </row>
    <row customHeight="1" ht="31.048828125">
      <c r="B144" s="2912"/>
      <c r="C144" s="923"/>
      <c r="E144" s="1055">
        <v>11</v>
      </c>
      <c r="F144" s="50" cm="1" t="str">
        <f t="array" ref="F144:F144">OFFSET(E144,-1,1)</f>
        <v>3</v>
      </c>
      <c r="G144" s="1528"/>
      <c r="H144" s="1528"/>
      <c r="T144" s="1436">
        <f>AND(F144&gt;0,Y144&gt;0)</f>
        <v>1</v>
      </c>
      <c r="W144" s="856"/>
      <c r="X144" s="1324"/>
      <c r="Y144" s="1617" t="s">
        <v>290</v>
      </c>
      <c r="Z144" s="1324"/>
      <c r="AA144" s="1630" t="s">
        <v>174</v>
      </c>
      <c r="AB144" s="1577" t="str">
        <f>"6."&amp;Y144</f>
        <v>6.1</v>
      </c>
      <c r="AC144" s="2913" t="s">
        <v>1018</v>
      </c>
      <c r="AD144" s="1577"/>
      <c r="AE144" s="351"/>
      <c r="AF144" s="351"/>
      <c r="AG144" s="351"/>
      <c r="AH144" s="351"/>
      <c r="AI144" s="351"/>
      <c r="AJ144" s="351"/>
      <c r="AK144" s="351"/>
      <c r="AL144" s="351"/>
      <c r="AM144" s="351"/>
      <c r="AN144" s="351"/>
      <c r="AO144" s="351"/>
      <c r="AP144" s="351"/>
      <c r="AQ144" s="351"/>
      <c r="AR144" s="351"/>
      <c r="AS144" s="351"/>
      <c r="AT144" s="351"/>
      <c r="AU144" s="351"/>
      <c r="AV144" s="351"/>
      <c r="AW144" s="351"/>
      <c r="AX144" s="351"/>
      <c r="AY144" s="351"/>
      <c r="AZ144" s="351"/>
      <c r="BA144" s="351"/>
      <c r="BB144" s="351"/>
      <c r="BC144" s="351"/>
      <c r="BD144" s="2914"/>
      <c r="BF144" s="1054"/>
      <c r="BG144" s="1054"/>
      <c r="BH144" s="1054"/>
      <c r="BI144" s="1054"/>
      <c r="BJ144" s="1055"/>
      <c r="BK144" s="1055"/>
    </row>
    <row s="1191" customFormat="1" customHeight="1" ht="28.171875">
      <c r="A145" s="1541"/>
      <c r="B145" s="431"/>
      <c r="C145" s="486"/>
      <c r="D145" s="1541"/>
      <c r="E145" s="263">
        <v>11.25</v>
      </c>
      <c r="F145" s="50" cm="1" t="str">
        <f t="array" ref="F145:F145">OFFSET(E145,-1,1)</f>
        <v>3</v>
      </c>
      <c r="G145" s="122" t="s">
        <v>616</v>
      </c>
      <c r="H145" s="122" cm="1" t="str">
        <f t="array" ref="H145:H145">AC145</f>
        <v>НН</v>
      </c>
      <c r="I145" s="1541"/>
      <c r="J145" s="1541"/>
      <c r="K145" s="1541"/>
      <c r="L145" s="1541"/>
      <c r="M145" s="1541"/>
      <c r="N145" s="1541"/>
      <c r="O145" s="1541"/>
      <c r="P145" s="1541"/>
      <c r="Q145" s="1541"/>
      <c r="R145" s="1541"/>
      <c r="S145" s="1541"/>
      <c r="T145" s="468" cm="1" t="str">
        <f t="array" ref="T145:T145">T144</f>
        <v>true</v>
      </c>
      <c r="U145" s="1541"/>
      <c r="V145" s="1541"/>
      <c r="W145" s="764"/>
      <c r="X145" s="1519"/>
      <c r="Y145" s="1519" t="s">
        <v>290</v>
      </c>
      <c r="Z145" s="1541"/>
      <c r="AA145" s="1516" t="s">
        <v>174</v>
      </c>
      <c r="AB145" s="85" t="str">
        <f>AB144&amp;".1"</f>
        <v>6.1.1</v>
      </c>
      <c r="AC145" s="195" t="s">
        <v>1019</v>
      </c>
      <c r="AD145" s="85" t="s">
        <v>936</v>
      </c>
      <c r="AE145" s="137">
        <v>309.172</v>
      </c>
      <c r="AF145" s="137">
        <v>420.59</v>
      </c>
      <c r="AG145" s="137">
        <f>7.7124*AG147</f>
        <v>252.607013664</v>
      </c>
      <c r="AH145" s="137">
        <v>380.03</v>
      </c>
      <c r="AI145" s="137">
        <v>417.51</v>
      </c>
      <c r="AJ145" s="1817"/>
      <c r="AK145" s="1817"/>
      <c r="AL145" s="1817"/>
      <c r="AM145" s="1817"/>
      <c r="AN145" s="1817"/>
      <c r="AO145" s="1817"/>
      <c r="AP145" s="1817"/>
      <c r="AQ145" s="1817"/>
      <c r="AR145" s="1817"/>
      <c r="AS145" s="137">
        <v>410.24</v>
      </c>
      <c r="AT145" s="1817"/>
      <c r="AU145" s="1817"/>
      <c r="AV145" s="1817"/>
      <c r="AW145" s="1817"/>
      <c r="AX145" s="1817"/>
      <c r="AY145" s="1817"/>
      <c r="AZ145" s="1817"/>
      <c r="BA145" s="1817"/>
      <c r="BB145" s="1817"/>
      <c r="BC145" s="196"/>
      <c r="BD145" s="1541"/>
      <c r="BE145" s="1541"/>
      <c r="BF145" s="1038" t="s">
        <v>984</v>
      </c>
      <c r="BG145" s="1038" t="s">
        <v>985</v>
      </c>
      <c r="BH145" s="1038" cm="1" t="str">
        <f t="array" ref="BH145:BH145">AC145</f>
        <v>НН</v>
      </c>
      <c r="BI145" s="1191" cm="1" t="str">
        <f t="array" ref="BI145:BI145">AC144</f>
        <v>ПАО "Кузбассэнергосбыт" (ИНН: 4205109214, КПП: 420501001)</v>
      </c>
      <c r="BJ145" s="263"/>
      <c r="BK145" s="263" t="b">
        <v>1</v>
      </c>
    </row>
    <row s="1191" customFormat="1" customHeight="1" ht="46.921875">
      <c r="A146" s="1541"/>
      <c r="B146" s="431"/>
      <c r="C146" s="486"/>
      <c r="D146" s="1541"/>
      <c r="E146" s="263">
        <v>11.25</v>
      </c>
      <c r="F146" s="50" cm="1" t="str">
        <f t="array" ref="F146:F146">OFFSET(E146,-1,1)</f>
        <v>3</v>
      </c>
      <c r="G146" s="122" t="s">
        <v>793</v>
      </c>
      <c r="H146" s="122" cm="1" t="str">
        <f t="array" ref="H146:H146">H145</f>
        <v>НН</v>
      </c>
      <c r="I146" s="1541"/>
      <c r="J146" s="1541"/>
      <c r="K146" s="1541"/>
      <c r="L146" s="1541"/>
      <c r="M146" s="1541"/>
      <c r="N146" s="1541"/>
      <c r="O146" s="1541"/>
      <c r="P146" s="1541"/>
      <c r="Q146" s="1541"/>
      <c r="R146" s="1541"/>
      <c r="S146" s="1541"/>
      <c r="T146" s="468" cm="1" t="str">
        <f t="array" ref="T146:T146">T145</f>
        <v>true</v>
      </c>
      <c r="U146" s="1541"/>
      <c r="V146" s="1541"/>
      <c r="W146" s="1541"/>
      <c r="X146" s="1519"/>
      <c r="Y146" s="1519"/>
      <c r="Z146" s="1541"/>
      <c r="AA146" s="1516"/>
      <c r="AB146" s="85" t="str">
        <f>AB144&amp;".2"</f>
        <v>6.1.2</v>
      </c>
      <c r="AC146" s="188" t="s">
        <v>986</v>
      </c>
      <c r="AD146" s="88" t="s">
        <v>978</v>
      </c>
      <c r="AE146" s="187">
        <f>IF(OR(AND(AE145&lt;&gt;0,AE147=0),AND(AE145=0,AE147&lt;&gt;0)),"Ошибка",IF(AE147=0,0,AE145/AE147))</f>
        <v>8.08081547307894</v>
      </c>
      <c r="AF146" s="187">
        <f>IF(OR(AND(AF145&lt;&gt;0,AF147=0),AND(AF145=0,AF147&lt;&gt;0)),"Ошибка",IF(AF147=0,0,AF145/AF147))</f>
        <v>7.71158782544921</v>
      </c>
      <c r="AG146" s="187">
        <f>IF(OR(AND(AG145&lt;&gt;0,AG147=0),AND(AG145=0,AG147&lt;&gt;0)),"Ошибка",IF(AG147=0,0,AG145/AG147))</f>
        <v>7.7124</v>
      </c>
      <c r="AH146" s="187">
        <f>IF(OR(AND(AH145&lt;&gt;0,AH147=0),AND(AH145=0,AH147&lt;&gt;0)),"Ошибка",IF(AH147=0,0,AH145/AH147))</f>
        <v>8.49418864550737</v>
      </c>
      <c r="AI146" s="187">
        <f>IF(OR(AND(AI145&lt;&gt;0,AI147=0),AND(AI145=0,AI147&lt;&gt;0)),"Ошибка",IF(AI147=0,0,AI145/AI147))</f>
        <v>9.31526104417671</v>
      </c>
      <c r="AJ146" s="187">
        <f>IF(OR(AND(AJ145&lt;&gt;0,AJ147=0),AND(AJ145=0,AJ147&lt;&gt;0)),"Ошибка",IF(AJ147=0,0,AJ145/AJ147))</f>
        <v>0</v>
      </c>
      <c r="AK146" s="187">
        <f>IF(OR(AND(AK145&lt;&gt;0,AK147=0),AND(AK145=0,AK147&lt;&gt;0)),"Ошибка",IF(AK147=0,0,AK145/AK147))</f>
        <v>0</v>
      </c>
      <c r="AL146" s="187">
        <f>IF(OR(AND(AL145&lt;&gt;0,AL147=0),AND(AL145=0,AL147&lt;&gt;0)),"Ошибка",IF(AL147=0,0,AL145/AL147))</f>
        <v>0</v>
      </c>
      <c r="AM146" s="187">
        <f>IF(OR(AND(AM145&lt;&gt;0,AM147=0),AND(AM145=0,AM147&lt;&gt;0)),"Ошибка",IF(AM147=0,0,AM145/AM147))</f>
        <v>0</v>
      </c>
      <c r="AN146" s="187">
        <f>IF(OR(AND(AN145&lt;&gt;0,AN147=0),AND(AN145=0,AN147&lt;&gt;0)),"Ошибка",IF(AN147=0,0,AN145/AN147))</f>
        <v>0</v>
      </c>
      <c r="AO146" s="187">
        <f>IF(OR(AND(AO145&lt;&gt;0,AO147=0),AND(AO145=0,AO147&lt;&gt;0)),"Ошибка",IF(AO147=0,0,AO145/AO147))</f>
        <v>0</v>
      </c>
      <c r="AP146" s="187">
        <f>IF(OR(AND(AP145&lt;&gt;0,AP147=0),AND(AP145=0,AP147&lt;&gt;0)),"Ошибка",IF(AP147=0,0,AP145/AP147))</f>
        <v>0</v>
      </c>
      <c r="AQ146" s="187">
        <f>IF(OR(AND(AQ145&lt;&gt;0,AQ147=0),AND(AQ145=0,AQ147&lt;&gt;0)),"Ошибка",IF(AQ147=0,0,AQ145/AQ147))</f>
        <v>0</v>
      </c>
      <c r="AR146" s="187">
        <f>IF(OR(AND(AR145&lt;&gt;0,AR147=0),AND(AR145=0,AR147&lt;&gt;0)),"Ошибка",IF(AR147=0,0,AR145/AR147))</f>
        <v>0</v>
      </c>
      <c r="AS146" s="187">
        <f>IF(OR(AND(AS145&lt;&gt;0,AS147=0),AND(AS145=0,AS147&lt;&gt;0)),"Ошибка",IF(AS147=0,0,AS145/AS147))</f>
        <v>9.98636806231743</v>
      </c>
      <c r="AT146" s="187" t="str">
        <f>IF(OR(AND(AT145&lt;&gt;0,AT147=0),AND(AT145=0,AT147&lt;&gt;0)),"Ошибка",IF(AT147=0,0,AT145/AT147))</f>
        <v>Ошибка</v>
      </c>
      <c r="AU146" s="187" t="str">
        <f>IF(OR(AND(AU145&lt;&gt;0,AU147=0),AND(AU145=0,AU147&lt;&gt;0)),"Ошибка",IF(AU147=0,0,AU145/AU147))</f>
        <v>Ошибка</v>
      </c>
      <c r="AV146" s="187">
        <f>IF(OR(AND(AV145&lt;&gt;0,AV147=0),AND(AV145=0,AV147&lt;&gt;0)),"Ошибка",IF(AV147=0,0,AV145/AV147))</f>
        <v>0</v>
      </c>
      <c r="AW146" s="187">
        <f>IF(OR(AND(AW145&lt;&gt;0,AW147=0),AND(AW145=0,AW147&lt;&gt;0)),"Ошибка",IF(AW147=0,0,AW145/AW147))</f>
        <v>0</v>
      </c>
      <c r="AX146" s="187">
        <f>IF(OR(AND(AX145&lt;&gt;0,AX147=0),AND(AX145=0,AX147&lt;&gt;0)),"Ошибка",IF(AX147=0,0,AX145/AX147))</f>
        <v>0</v>
      </c>
      <c r="AY146" s="187">
        <f>IF(OR(AND(AY145&lt;&gt;0,AY147=0),AND(AY145=0,AY147&lt;&gt;0)),"Ошибка",IF(AY147=0,0,AY145/AY147))</f>
        <v>0</v>
      </c>
      <c r="AZ146" s="187">
        <f>IF(OR(AND(AZ145&lt;&gt;0,AZ147=0),AND(AZ145=0,AZ147&lt;&gt;0)),"Ошибка",IF(AZ147=0,0,AZ145/AZ147))</f>
        <v>0</v>
      </c>
      <c r="BA146" s="187">
        <f>IF(OR(AND(BA145&lt;&gt;0,BA147=0),AND(BA145=0,BA147&lt;&gt;0)),"Ошибка",IF(BA147=0,0,BA145/BA147))</f>
        <v>0</v>
      </c>
      <c r="BB146" s="187">
        <f>IF(OR(AND(BB145&lt;&gt;0,BB147=0),AND(BB145=0,BB147&lt;&gt;0)),"Ошибка",IF(BB147=0,0,BB145/BB147))</f>
        <v>0</v>
      </c>
      <c r="BC146" s="196" t="s">
        <v>1049</v>
      </c>
      <c r="BD146" s="1541"/>
      <c r="BE146" s="1541"/>
      <c r="BF146" s="1038" t="s">
        <v>987</v>
      </c>
      <c r="BG146" s="1038" t="s">
        <v>985</v>
      </c>
      <c r="BH146" s="1038" cm="1" t="str">
        <f t="array" ref="BH146:BH146">BH145</f>
        <v>НН</v>
      </c>
      <c r="BI146" s="1191" cm="1" t="str">
        <f t="array" ref="BI146:BI146">BI145</f>
        <v>ПАО "Кузбассэнергосбыт" (ИНН: 4205109214, КПП: 420501001)</v>
      </c>
      <c r="BJ146" s="263"/>
      <c r="BK146" s="263"/>
    </row>
    <row s="1191" customFormat="1" customHeight="1" ht="37.171875">
      <c r="A147" s="1541"/>
      <c r="B147" s="431"/>
      <c r="C147" s="486"/>
      <c r="D147" s="1541"/>
      <c r="E147" s="263">
        <v>11.25</v>
      </c>
      <c r="F147" s="50" cm="1" t="str">
        <f t="array" ref="F147:F147">OFFSET(E147,-1,1)</f>
        <v>3</v>
      </c>
      <c r="G147" s="122" t="s">
        <v>796</v>
      </c>
      <c r="H147" s="122" cm="1" t="str">
        <f t="array" ref="H147:H147">H146</f>
        <v>НН</v>
      </c>
      <c r="I147" s="1541"/>
      <c r="J147" s="1541"/>
      <c r="K147" s="1541"/>
      <c r="L147" s="1541"/>
      <c r="M147" s="1541"/>
      <c r="N147" s="1541"/>
      <c r="O147" s="1541"/>
      <c r="P147" s="1541"/>
      <c r="Q147" s="1541"/>
      <c r="R147" s="1541"/>
      <c r="S147" s="1541"/>
      <c r="T147" s="468" cm="1" t="str">
        <f t="array" ref="T147:T147">T146</f>
        <v>true</v>
      </c>
      <c r="U147" s="1541"/>
      <c r="V147" s="1541"/>
      <c r="W147" s="1541"/>
      <c r="X147" s="1519"/>
      <c r="Y147" s="1519"/>
      <c r="Z147" s="1541"/>
      <c r="AA147" s="1516"/>
      <c r="AB147" s="85" t="str">
        <f>AB144&amp;".3"</f>
        <v>6.1.3</v>
      </c>
      <c r="AC147" s="188" t="s">
        <v>988</v>
      </c>
      <c r="AD147" s="88" t="s">
        <v>972</v>
      </c>
      <c r="AE147" s="137">
        <v>38.26</v>
      </c>
      <c r="AF147" s="137">
        <v>54.54</v>
      </c>
      <c r="AG147" s="137">
        <f>696.88*4.7%</f>
        <v>32.75336</v>
      </c>
      <c r="AH147" s="137">
        <v>44.74</v>
      </c>
      <c r="AI147" s="137">
        <v>44.82</v>
      </c>
      <c r="AJ147" s="1817"/>
      <c r="AK147" s="1817"/>
      <c r="AL147" s="1817"/>
      <c r="AM147" s="1817"/>
      <c r="AN147" s="1817"/>
      <c r="AO147" s="1817"/>
      <c r="AP147" s="1817"/>
      <c r="AQ147" s="1817"/>
      <c r="AR147" s="1817"/>
      <c r="AS147" s="137">
        <v>41.08</v>
      </c>
      <c r="AT147" s="1817" cm="1" t="str">
        <f t="array" ref="AT147:AT147">AS147</f>
        <v>41.08</v>
      </c>
      <c r="AU147" s="1817" cm="1" t="str">
        <f t="array" ref="AU147:AU147">AS147</f>
        <v>41.08</v>
      </c>
      <c r="AV147" s="1817"/>
      <c r="AW147" s="1817"/>
      <c r="AX147" s="1817"/>
      <c r="AY147" s="1817"/>
      <c r="AZ147" s="1817"/>
      <c r="BA147" s="1817"/>
      <c r="BB147" s="1817"/>
      <c r="BC147" s="196" t="s">
        <v>1042</v>
      </c>
      <c r="BD147" s="1541"/>
      <c r="BE147" s="1541"/>
      <c r="BF147" s="1038" t="s">
        <v>989</v>
      </c>
      <c r="BG147" s="1038" t="s">
        <v>985</v>
      </c>
      <c r="BH147" s="1038" cm="1" t="str">
        <f t="array" ref="BH147:BH147">BH146</f>
        <v>НН</v>
      </c>
      <c r="BI147" s="1191" cm="1" t="str">
        <f t="array" ref="BI147:BI147">BI146</f>
        <v>ПАО "Кузбассэнергосбыт" (ИНН: 4205109214, КПП: 420501001)</v>
      </c>
      <c r="BJ147" s="263"/>
      <c r="BK147" s="263"/>
    </row>
    <row s="1363" customFormat="1" customHeight="1" ht="14.25">
      <c r="A148" s="1363"/>
      <c r="B148" s="429"/>
      <c r="C148" s="486"/>
      <c r="D148" s="1363"/>
      <c r="E148" s="638">
        <v>15</v>
      </c>
      <c r="F148" s="50" cm="1" t="str">
        <f t="array" ref="F148:F148">OFFSET(E148,-1,1)</f>
        <v>3</v>
      </c>
      <c r="G148" s="1363"/>
      <c r="H148" s="965" t="s">
        <v>990</v>
      </c>
      <c r="I148" s="1363"/>
      <c r="J148" s="1363"/>
      <c r="K148" s="1363"/>
      <c r="L148" s="1363"/>
      <c r="M148" s="1363"/>
      <c r="N148" s="1363"/>
      <c r="O148" s="1363"/>
      <c r="P148" s="1363"/>
      <c r="Q148" s="1363"/>
      <c r="R148" s="1363"/>
      <c r="S148" s="1363"/>
      <c r="T148" s="468">
        <f>F148&gt;0</f>
        <v>1</v>
      </c>
      <c r="U148" s="1363"/>
      <c r="V148" s="1363"/>
      <c r="W148" s="764" t="s">
        <v>410</v>
      </c>
      <c r="X148" s="1519"/>
      <c r="Y148" s="1363"/>
      <c r="Z148" s="1541"/>
      <c r="AA148" s="1363"/>
      <c r="AB148" s="659"/>
      <c r="AC148" s="174" t="s">
        <v>177</v>
      </c>
      <c r="AD148" s="172"/>
      <c r="AE148" s="172"/>
      <c r="AF148" s="172"/>
      <c r="AG148" s="172"/>
      <c r="AH148" s="172"/>
      <c r="AI148" s="172"/>
      <c r="AJ148" s="172"/>
      <c r="AK148" s="172"/>
      <c r="AL148" s="172"/>
      <c r="AM148" s="172"/>
      <c r="AN148" s="172"/>
      <c r="AO148" s="172"/>
      <c r="AP148" s="172"/>
      <c r="AQ148" s="172"/>
      <c r="AR148" s="172"/>
      <c r="AS148" s="172"/>
      <c r="AT148" s="172"/>
      <c r="AU148" s="172"/>
      <c r="AV148" s="172"/>
      <c r="AW148" s="172"/>
      <c r="AX148" s="172"/>
      <c r="AY148" s="172"/>
      <c r="AZ148" s="172"/>
      <c r="BA148" s="172"/>
      <c r="BB148" s="172"/>
      <c r="BC148" s="183"/>
      <c r="BD148" s="1363"/>
      <c r="BE148" s="1363"/>
      <c r="BF148" s="1026"/>
      <c r="BG148" s="1026"/>
      <c r="BH148" s="1026"/>
      <c r="BJ148" s="638" t="s">
        <v>985</v>
      </c>
      <c r="BK148" s="638"/>
    </row>
    <row s="1191" customFormat="1" customHeight="1" ht="24.298828125">
      <c r="A149" s="1541"/>
      <c r="B149" s="431"/>
      <c r="C149" s="486"/>
      <c r="D149" s="1541"/>
      <c r="E149" s="263">
        <v>13</v>
      </c>
      <c r="F149" s="50" cm="1" t="str">
        <f t="array" ref="F149:F149">OFFSET(E149,-1,1)</f>
        <v>3</v>
      </c>
      <c r="G149" s="122"/>
      <c r="H149" s="122"/>
      <c r="I149" s="1541"/>
      <c r="J149" s="1541"/>
      <c r="K149" s="1541"/>
      <c r="L149" s="1541"/>
      <c r="M149" s="1541"/>
      <c r="N149" s="1541"/>
      <c r="O149" s="1541"/>
      <c r="P149" s="1541"/>
      <c r="Q149" s="1541"/>
      <c r="R149" s="1541"/>
      <c r="S149" s="1541"/>
      <c r="T149" s="468" cm="1" t="str">
        <f t="array" ref="T149:T149">T148</f>
        <v>true</v>
      </c>
      <c r="U149" s="1541"/>
      <c r="V149" s="1541"/>
      <c r="W149" s="1541"/>
      <c r="X149" s="1519"/>
      <c r="Y149" s="1541"/>
      <c r="Z149" s="1541"/>
      <c r="AA149" s="1541"/>
      <c r="AB149" s="658"/>
      <c r="AC149" s="262" t="s">
        <v>991</v>
      </c>
      <c r="AD149" s="263"/>
      <c r="AE149" s="264"/>
      <c r="AF149" s="264"/>
      <c r="AG149" s="264"/>
      <c r="AH149" s="264"/>
      <c r="AI149" s="264"/>
      <c r="AJ149" s="264"/>
      <c r="AK149" s="264"/>
      <c r="AL149" s="264"/>
      <c r="AM149" s="264"/>
      <c r="AN149" s="264"/>
      <c r="AO149" s="264"/>
      <c r="AP149" s="264"/>
      <c r="AQ149" s="264"/>
      <c r="AR149" s="264"/>
      <c r="AS149" s="264"/>
      <c r="AT149" s="264"/>
      <c r="AU149" s="264"/>
      <c r="AV149" s="264"/>
      <c r="AW149" s="264"/>
      <c r="AX149" s="264"/>
      <c r="AY149" s="264"/>
      <c r="AZ149" s="264"/>
      <c r="BA149" s="264"/>
      <c r="BB149" s="264"/>
      <c r="BC149" s="265"/>
      <c r="BD149" s="1541"/>
      <c r="BE149" s="1541"/>
      <c r="BF149" s="1038"/>
      <c r="BG149" s="1038"/>
      <c r="BH149" s="1038"/>
      <c r="BJ149" s="263"/>
      <c r="BK149" s="263"/>
    </row>
    <row customHeight="1" ht="10.725000000000001" hidden="1">
      <c r="A150" s="1328"/>
      <c r="B150" s="2912"/>
      <c r="C150" s="923"/>
      <c r="D150" s="1328"/>
      <c r="E150" s="1055">
        <v>11</v>
      </c>
      <c r="F150" s="50" cm="1" t="str">
        <f t="array" ref="F150:F150">OFFSET(E150,-1,1)</f>
        <v>3</v>
      </c>
      <c r="G150" s="1528"/>
      <c r="H150" s="1528"/>
      <c r="I150" s="1328"/>
      <c r="J150" s="1328"/>
      <c r="K150" s="1328"/>
      <c r="L150" s="1328"/>
      <c r="M150" s="1328"/>
      <c r="N150" s="1328"/>
      <c r="O150" s="1328"/>
      <c r="P150" s="1328"/>
      <c r="Q150" s="1328"/>
      <c r="R150" s="1328"/>
      <c r="S150" s="1328"/>
      <c r="T150" s="1436">
        <f>AND(F150&gt;0,Y150&gt;0)</f>
        <v>0</v>
      </c>
      <c r="U150" s="1328"/>
      <c r="V150" s="1328"/>
      <c r="W150" s="856" t="s">
        <v>173</v>
      </c>
      <c r="X150" s="1324"/>
      <c r="Y150" s="1617">
        <v>0</v>
      </c>
      <c r="Z150" s="1324"/>
      <c r="AA150" s="1630" t="s">
        <v>174</v>
      </c>
      <c r="AB150" s="1577" t="str">
        <f>"7."&amp;Y150</f>
        <v>7.0</v>
      </c>
      <c r="AC150" s="2913"/>
      <c r="AD150" s="1540"/>
      <c r="AE150" s="351"/>
      <c r="AF150" s="351"/>
      <c r="AG150" s="351"/>
      <c r="AH150" s="351"/>
      <c r="AI150" s="351"/>
      <c r="AJ150" s="351"/>
      <c r="AK150" s="351"/>
      <c r="AL150" s="351"/>
      <c r="AM150" s="351"/>
      <c r="AN150" s="351"/>
      <c r="AO150" s="351"/>
      <c r="AP150" s="351"/>
      <c r="AQ150" s="351"/>
      <c r="AR150" s="351"/>
      <c r="AS150" s="351"/>
      <c r="AT150" s="351"/>
      <c r="AU150" s="351"/>
      <c r="AV150" s="351"/>
      <c r="AW150" s="351"/>
      <c r="AX150" s="351"/>
      <c r="AY150" s="351"/>
      <c r="AZ150" s="351"/>
      <c r="BA150" s="351"/>
      <c r="BB150" s="351"/>
      <c r="BC150" s="351"/>
      <c r="BD150" s="2914"/>
      <c r="BE150" s="1328"/>
      <c r="BF150" s="1054"/>
      <c r="BG150" s="1054"/>
      <c r="BH150" s="1054"/>
      <c r="BI150" s="1054"/>
      <c r="BJ150" s="1055"/>
      <c r="BK150" s="1055"/>
    </row>
    <row s="1191" customFormat="1" customHeight="1" ht="10.5" hidden="1">
      <c r="A151" s="1541"/>
      <c r="B151" s="431"/>
      <c r="C151" s="486"/>
      <c r="D151" s="1541"/>
      <c r="E151" s="263">
        <v>11.25</v>
      </c>
      <c r="F151" s="50" cm="1" t="str">
        <f t="array" ref="F151:F151">OFFSET(E151,-1,1)</f>
        <v>3</v>
      </c>
      <c r="G151" s="122" t="s">
        <v>616</v>
      </c>
      <c r="H151" s="122" cm="1" t="str">
        <f t="array" ref="H151:H151">AC151</f>
        <v>0</v>
      </c>
      <c r="I151" s="1541"/>
      <c r="J151" s="1541"/>
      <c r="K151" s="1541"/>
      <c r="L151" s="1541"/>
      <c r="M151" s="1541"/>
      <c r="N151" s="1541"/>
      <c r="O151" s="1541"/>
      <c r="P151" s="1541"/>
      <c r="Q151" s="1541"/>
      <c r="R151" s="1541"/>
      <c r="S151" s="1541"/>
      <c r="T151" s="468" cm="1" t="str">
        <f t="array" ref="T151:T151">T150</f>
        <v>false</v>
      </c>
      <c r="U151" s="1541"/>
      <c r="V151" s="1541"/>
      <c r="W151" s="764"/>
      <c r="X151" s="1519"/>
      <c r="Y151" s="1519">
        <v>0</v>
      </c>
      <c r="Z151" s="1541"/>
      <c r="AA151" s="1516" t="s">
        <v>174</v>
      </c>
      <c r="AB151" s="85" t="str">
        <f>AB150&amp;".1"</f>
        <v>7.0.1</v>
      </c>
      <c r="AC151" s="2915"/>
      <c r="AD151" s="85" t="s">
        <v>936</v>
      </c>
      <c r="AE151" s="187">
        <f>AE152+AE155</f>
        <v>0</v>
      </c>
      <c r="AF151" s="187">
        <f>AF152+AF155</f>
        <v>0</v>
      </c>
      <c r="AG151" s="187">
        <f>AG152+AG155</f>
        <v>0</v>
      </c>
      <c r="AH151" s="187">
        <f>AH152+AH155</f>
        <v>0</v>
      </c>
      <c r="AI151" s="187">
        <f>AI152+AI155</f>
        <v>0</v>
      </c>
      <c r="AJ151" s="187">
        <f>AJ152+AJ155</f>
        <v>0</v>
      </c>
      <c r="AK151" s="187">
        <f>AK152+AK155</f>
        <v>0</v>
      </c>
      <c r="AL151" s="187">
        <f>AL152+AL155</f>
        <v>0</v>
      </c>
      <c r="AM151" s="187">
        <f>AM152+AM155</f>
        <v>0</v>
      </c>
      <c r="AN151" s="187">
        <f>AN152+AN155</f>
        <v>0</v>
      </c>
      <c r="AO151" s="187">
        <f>AO152+AO155</f>
        <v>0</v>
      </c>
      <c r="AP151" s="187">
        <f>AP152+AP155</f>
        <v>0</v>
      </c>
      <c r="AQ151" s="187">
        <f>AQ152+AQ155</f>
        <v>0</v>
      </c>
      <c r="AR151" s="187">
        <f>AR152+AR155</f>
        <v>0</v>
      </c>
      <c r="AS151" s="187">
        <f>AS152+AS155</f>
        <v>0</v>
      </c>
      <c r="AT151" s="187">
        <f>AT152+AT155</f>
        <v>0</v>
      </c>
      <c r="AU151" s="187">
        <f>AU152+AU155</f>
        <v>0</v>
      </c>
      <c r="AV151" s="187">
        <f>AV152+AV155</f>
        <v>0</v>
      </c>
      <c r="AW151" s="187">
        <f>AW152+AW155</f>
        <v>0</v>
      </c>
      <c r="AX151" s="187">
        <f>AX152+AX155</f>
        <v>0</v>
      </c>
      <c r="AY151" s="187">
        <f>AY152+AY155</f>
        <v>0</v>
      </c>
      <c r="AZ151" s="187">
        <f>AZ152+AZ155</f>
        <v>0</v>
      </c>
      <c r="BA151" s="187">
        <f>BA152+BA155</f>
        <v>0</v>
      </c>
      <c r="BB151" s="187">
        <f>BB152+BB155</f>
        <v>0</v>
      </c>
      <c r="BC151" s="1928"/>
      <c r="BD151" s="1541"/>
      <c r="BE151" s="1541"/>
      <c r="BF151" s="1038" t="s">
        <v>992</v>
      </c>
      <c r="BG151" s="1038" t="s">
        <v>993</v>
      </c>
      <c r="BH151" s="1038" cm="1" t="str">
        <f t="array" ref="BH151:BH151">AC151</f>
        <v>0</v>
      </c>
      <c r="BI151" s="1191" cm="1" t="str">
        <f t="array" ref="BI151:BI151">AC150</f>
        <v>0</v>
      </c>
      <c r="BJ151" s="263"/>
      <c r="BK151" s="263" t="b">
        <v>1</v>
      </c>
    </row>
    <row s="1191" customFormat="1" customHeight="1" ht="10.5" hidden="1">
      <c r="A152" s="1541"/>
      <c r="B152" s="431"/>
      <c r="C152" s="486"/>
      <c r="D152" s="1541"/>
      <c r="E152" s="263">
        <v>11.25</v>
      </c>
      <c r="F152" s="50" cm="1" t="str">
        <f t="array" ref="F152:F152">OFFSET(E152,-1,1)</f>
        <v>3</v>
      </c>
      <c r="G152" s="122" t="s">
        <v>800</v>
      </c>
      <c r="H152" s="122" cm="1" t="str">
        <f t="array" ref="H152:H152">H151</f>
        <v>0</v>
      </c>
      <c r="I152" s="1541"/>
      <c r="J152" s="1541"/>
      <c r="K152" s="1541"/>
      <c r="L152" s="1541"/>
      <c r="M152" s="1541"/>
      <c r="N152" s="1541"/>
      <c r="O152" s="1541"/>
      <c r="P152" s="1541"/>
      <c r="Q152" s="1541"/>
      <c r="R152" s="1541"/>
      <c r="S152" s="1541"/>
      <c r="T152" s="468" cm="1" t="str">
        <f t="array" ref="T152:T152">T151</f>
        <v>false</v>
      </c>
      <c r="U152" s="1541"/>
      <c r="V152" s="1541"/>
      <c r="W152" s="1541"/>
      <c r="X152" s="1519"/>
      <c r="Y152" s="1519"/>
      <c r="Z152" s="1541"/>
      <c r="AA152" s="1516"/>
      <c r="AB152" s="85" t="str">
        <f>AB150&amp;".2"</f>
        <v>7.0.2</v>
      </c>
      <c r="AC152" s="188" t="s">
        <v>994</v>
      </c>
      <c r="AD152" s="85" t="s">
        <v>995</v>
      </c>
      <c r="AE152" s="1817"/>
      <c r="AF152" s="1817"/>
      <c r="AG152" s="1817"/>
      <c r="AH152" s="1817"/>
      <c r="AI152" s="1817"/>
      <c r="AJ152" s="1817"/>
      <c r="AK152" s="1817"/>
      <c r="AL152" s="1817"/>
      <c r="AM152" s="1817"/>
      <c r="AN152" s="1817"/>
      <c r="AO152" s="1817"/>
      <c r="AP152" s="1817"/>
      <c r="AQ152" s="1817"/>
      <c r="AR152" s="1817"/>
      <c r="AS152" s="1817"/>
      <c r="AT152" s="1817"/>
      <c r="AU152" s="1817"/>
      <c r="AV152" s="1817"/>
      <c r="AW152" s="1817"/>
      <c r="AX152" s="1817"/>
      <c r="AY152" s="1817"/>
      <c r="AZ152" s="1817"/>
      <c r="BA152" s="1817"/>
      <c r="BB152" s="1817"/>
      <c r="BC152" s="1928"/>
      <c r="BD152" s="1541"/>
      <c r="BE152" s="1541"/>
      <c r="BF152" s="1038" t="s">
        <v>996</v>
      </c>
      <c r="BG152" s="1038" t="s">
        <v>993</v>
      </c>
      <c r="BH152" s="1038" cm="1" t="str">
        <f t="array" ref="BH152:BH152">BH151</f>
        <v>0</v>
      </c>
      <c r="BI152" s="1191" cm="1" t="str">
        <f t="array" ref="BI152:BI152">BI151</f>
        <v>0</v>
      </c>
      <c r="BJ152" s="263"/>
      <c r="BK152" s="263"/>
    </row>
    <row s="1191" customFormat="1" customHeight="1" ht="10.5" hidden="1">
      <c r="A153" s="1541"/>
      <c r="B153" s="431"/>
      <c r="C153" s="486"/>
      <c r="D153" s="1541"/>
      <c r="E153" s="263">
        <v>11.25</v>
      </c>
      <c r="F153" s="50" cm="1" t="str">
        <f t="array" ref="F153:F153">OFFSET(E153,-1,1)</f>
        <v>3</v>
      </c>
      <c r="G153" s="122" t="s">
        <v>997</v>
      </c>
      <c r="H153" s="122" cm="1" t="str">
        <f t="array" ref="H153:H153">H152</f>
        <v>0</v>
      </c>
      <c r="I153" s="1541"/>
      <c r="J153" s="1541"/>
      <c r="K153" s="1541"/>
      <c r="L153" s="1541"/>
      <c r="M153" s="1541"/>
      <c r="N153" s="1541"/>
      <c r="O153" s="1541"/>
      <c r="P153" s="1541"/>
      <c r="Q153" s="1541"/>
      <c r="R153" s="1541"/>
      <c r="S153" s="1541"/>
      <c r="T153" s="468" cm="1" t="str">
        <f t="array" ref="T153:T153">T152</f>
        <v>false</v>
      </c>
      <c r="U153" s="1541"/>
      <c r="V153" s="1541"/>
      <c r="W153" s="1541"/>
      <c r="X153" s="1519"/>
      <c r="Y153" s="1519"/>
      <c r="Z153" s="1541"/>
      <c r="AA153" s="1516"/>
      <c r="AB153" s="85" t="str">
        <f>AB150&amp;".3"</f>
        <v>7.0.3</v>
      </c>
      <c r="AC153" s="328" t="s">
        <v>986</v>
      </c>
      <c r="AD153" s="88" t="s">
        <v>978</v>
      </c>
      <c r="AE153" s="187">
        <f>IF(OR(AND(AE152&lt;&gt;0,AE154=0),AND(AE152=0,AE154&lt;&gt;0)),"Ошибка",IF(AE154=0,0,AE152/AE154))</f>
        <v>0</v>
      </c>
      <c r="AF153" s="187">
        <f>IF(OR(AND(AF152&lt;&gt;0,AF154=0),AND(AF152=0,AF154&lt;&gt;0)),"Ошибка",IF(AF154=0,0,AF152/AF154))</f>
        <v>0</v>
      </c>
      <c r="AG153" s="187">
        <f>IF(OR(AND(AG152&lt;&gt;0,AG154=0),AND(AG152=0,AG154&lt;&gt;0)),"Ошибка",IF(AG154=0,0,AG152/AG154))</f>
        <v>0</v>
      </c>
      <c r="AH153" s="187">
        <f>IF(OR(AND(AH152&lt;&gt;0,AH154=0),AND(AH152=0,AH154&lt;&gt;0)),"Ошибка",IF(AH154=0,0,AH152/AH154))</f>
        <v>0</v>
      </c>
      <c r="AI153" s="187">
        <f>IF(OR(AND(AI152&lt;&gt;0,AI154=0),AND(AI152=0,AI154&lt;&gt;0)),"Ошибка",IF(AI154=0,0,AI152/AI154))</f>
        <v>0</v>
      </c>
      <c r="AJ153" s="187">
        <f>IF(OR(AND(AJ152&lt;&gt;0,AJ154=0),AND(AJ152=0,AJ154&lt;&gt;0)),"Ошибка",IF(AJ154=0,0,AJ152/AJ154))</f>
        <v>0</v>
      </c>
      <c r="AK153" s="187">
        <f>IF(OR(AND(AK152&lt;&gt;0,AK154=0),AND(AK152=0,AK154&lt;&gt;0)),"Ошибка",IF(AK154=0,0,AK152/AK154))</f>
        <v>0</v>
      </c>
      <c r="AL153" s="187">
        <f>IF(OR(AND(AL152&lt;&gt;0,AL154=0),AND(AL152=0,AL154&lt;&gt;0)),"Ошибка",IF(AL154=0,0,AL152/AL154))</f>
        <v>0</v>
      </c>
      <c r="AM153" s="187">
        <f>IF(OR(AND(AM152&lt;&gt;0,AM154=0),AND(AM152=0,AM154&lt;&gt;0)),"Ошибка",IF(AM154=0,0,AM152/AM154))</f>
        <v>0</v>
      </c>
      <c r="AN153" s="187">
        <f>IF(OR(AND(AN152&lt;&gt;0,AN154=0),AND(AN152=0,AN154&lt;&gt;0)),"Ошибка",IF(AN154=0,0,AN152/AN154))</f>
        <v>0</v>
      </c>
      <c r="AO153" s="187">
        <f>IF(OR(AND(AO152&lt;&gt;0,AO154=0),AND(AO152=0,AO154&lt;&gt;0)),"Ошибка",IF(AO154=0,0,AO152/AO154))</f>
        <v>0</v>
      </c>
      <c r="AP153" s="187">
        <f>IF(OR(AND(AP152&lt;&gt;0,AP154=0),AND(AP152=0,AP154&lt;&gt;0)),"Ошибка",IF(AP154=0,0,AP152/AP154))</f>
        <v>0</v>
      </c>
      <c r="AQ153" s="187">
        <f>IF(OR(AND(AQ152&lt;&gt;0,AQ154=0),AND(AQ152=0,AQ154&lt;&gt;0)),"Ошибка",IF(AQ154=0,0,AQ152/AQ154))</f>
        <v>0</v>
      </c>
      <c r="AR153" s="187">
        <f>IF(OR(AND(AR152&lt;&gt;0,AR154=0),AND(AR152=0,AR154&lt;&gt;0)),"Ошибка",IF(AR154=0,0,AR152/AR154))</f>
        <v>0</v>
      </c>
      <c r="AS153" s="187">
        <f>IF(OR(AND(AS152&lt;&gt;0,AS154=0),AND(AS152=0,AS154&lt;&gt;0)),"Ошибка",IF(AS154=0,0,AS152/AS154))</f>
        <v>0</v>
      </c>
      <c r="AT153" s="187">
        <f>IF(OR(AND(AT152&lt;&gt;0,AT154=0),AND(AT152=0,AT154&lt;&gt;0)),"Ошибка",IF(AT154=0,0,AT152/AT154))</f>
        <v>0</v>
      </c>
      <c r="AU153" s="187">
        <f>IF(OR(AND(AU152&lt;&gt;0,AU154=0),AND(AU152=0,AU154&lt;&gt;0)),"Ошибка",IF(AU154=0,0,AU152/AU154))</f>
        <v>0</v>
      </c>
      <c r="AV153" s="187">
        <f>IF(OR(AND(AV152&lt;&gt;0,AV154=0),AND(AV152=0,AV154&lt;&gt;0)),"Ошибка",IF(AV154=0,0,AV152/AV154))</f>
        <v>0</v>
      </c>
      <c r="AW153" s="187">
        <f>IF(OR(AND(AW152&lt;&gt;0,AW154=0),AND(AW152=0,AW154&lt;&gt;0)),"Ошибка",IF(AW154=0,0,AW152/AW154))</f>
        <v>0</v>
      </c>
      <c r="AX153" s="187">
        <f>IF(OR(AND(AX152&lt;&gt;0,AX154=0),AND(AX152=0,AX154&lt;&gt;0)),"Ошибка",IF(AX154=0,0,AX152/AX154))</f>
        <v>0</v>
      </c>
      <c r="AY153" s="187">
        <f>IF(OR(AND(AY152&lt;&gt;0,AY154=0),AND(AY152=0,AY154&lt;&gt;0)),"Ошибка",IF(AY154=0,0,AY152/AY154))</f>
        <v>0</v>
      </c>
      <c r="AZ153" s="187">
        <f>IF(OR(AND(AZ152&lt;&gt;0,AZ154=0),AND(AZ152=0,AZ154&lt;&gt;0)),"Ошибка",IF(AZ154=0,0,AZ152/AZ154))</f>
        <v>0</v>
      </c>
      <c r="BA153" s="187">
        <f>IF(OR(AND(BA152&lt;&gt;0,BA154=0),AND(BA152=0,BA154&lt;&gt;0)),"Ошибка",IF(BA154=0,0,BA152/BA154))</f>
        <v>0</v>
      </c>
      <c r="BB153" s="187">
        <f>IF(OR(AND(BB152&lt;&gt;0,BB154=0),AND(BB152=0,BB154&lt;&gt;0)),"Ошибка",IF(BB154=0,0,BB152/BB154))</f>
        <v>0</v>
      </c>
      <c r="BC153" s="1928"/>
      <c r="BD153" s="1541"/>
      <c r="BE153" s="1541"/>
      <c r="BF153" s="1038" t="s">
        <v>998</v>
      </c>
      <c r="BG153" s="1038" t="s">
        <v>993</v>
      </c>
      <c r="BH153" s="1038" cm="1" t="str">
        <f t="array" ref="BH153:BH153">BH152</f>
        <v>0</v>
      </c>
      <c r="BI153" s="1191" cm="1" t="str">
        <f t="array" ref="BI153:BI153">BI152</f>
        <v>0</v>
      </c>
      <c r="BJ153" s="263"/>
      <c r="BK153" s="263"/>
    </row>
    <row s="1191" customFormat="1" customHeight="1" ht="10.5" hidden="1">
      <c r="A154" s="1541"/>
      <c r="B154" s="431"/>
      <c r="C154" s="486"/>
      <c r="D154" s="1541"/>
      <c r="E154" s="263">
        <v>11.25</v>
      </c>
      <c r="F154" s="50" cm="1" t="str">
        <f t="array" ref="F154:F154">OFFSET(E154,-1,1)</f>
        <v>3</v>
      </c>
      <c r="G154" s="122" t="s">
        <v>999</v>
      </c>
      <c r="H154" s="122" cm="1" t="str">
        <f t="array" ref="H154:H154">H153</f>
        <v>0</v>
      </c>
      <c r="I154" s="1541"/>
      <c r="J154" s="1541"/>
      <c r="K154" s="1541"/>
      <c r="L154" s="1541"/>
      <c r="M154" s="1541"/>
      <c r="N154" s="1541"/>
      <c r="O154" s="1541"/>
      <c r="P154" s="1541"/>
      <c r="Q154" s="1541"/>
      <c r="R154" s="1541"/>
      <c r="S154" s="1541"/>
      <c r="T154" s="468" cm="1" t="str">
        <f t="array" ref="T154:T154">T153</f>
        <v>false</v>
      </c>
      <c r="U154" s="1541"/>
      <c r="V154" s="1541"/>
      <c r="W154" s="1541"/>
      <c r="X154" s="1519"/>
      <c r="Y154" s="1519"/>
      <c r="Z154" s="1541"/>
      <c r="AA154" s="1516"/>
      <c r="AB154" s="85" t="str">
        <f>AB150&amp;".4"</f>
        <v>7.0.4</v>
      </c>
      <c r="AC154" s="328" t="s">
        <v>988</v>
      </c>
      <c r="AD154" s="88" t="s">
        <v>972</v>
      </c>
      <c r="AE154" s="1817"/>
      <c r="AF154" s="1817"/>
      <c r="AG154" s="1817"/>
      <c r="AH154" s="1817"/>
      <c r="AI154" s="1817"/>
      <c r="AJ154" s="1817"/>
      <c r="AK154" s="1817"/>
      <c r="AL154" s="1817"/>
      <c r="AM154" s="1817"/>
      <c r="AN154" s="1817"/>
      <c r="AO154" s="1817"/>
      <c r="AP154" s="1817"/>
      <c r="AQ154" s="1817"/>
      <c r="AR154" s="1817"/>
      <c r="AS154" s="1817"/>
      <c r="AT154" s="1817"/>
      <c r="AU154" s="1817"/>
      <c r="AV154" s="1817"/>
      <c r="AW154" s="1817"/>
      <c r="AX154" s="1817"/>
      <c r="AY154" s="1817"/>
      <c r="AZ154" s="1817"/>
      <c r="BA154" s="1817"/>
      <c r="BB154" s="1817"/>
      <c r="BC154" s="1928"/>
      <c r="BD154" s="1541"/>
      <c r="BE154" s="1541"/>
      <c r="BF154" s="1038" t="s">
        <v>1000</v>
      </c>
      <c r="BG154" s="1038" t="s">
        <v>993</v>
      </c>
      <c r="BH154" s="1038" cm="1" t="str">
        <f t="array" ref="BH154:BH154">BH153</f>
        <v>0</v>
      </c>
      <c r="BI154" s="1191" cm="1" t="str">
        <f t="array" ref="BI154:BI154">BI153</f>
        <v>0</v>
      </c>
      <c r="BJ154" s="263"/>
      <c r="BK154" s="263"/>
    </row>
    <row s="1191" customFormat="1" customHeight="1" ht="10.5" hidden="1">
      <c r="A155" s="1541"/>
      <c r="B155" s="431"/>
      <c r="C155" s="486"/>
      <c r="D155" s="1541"/>
      <c r="E155" s="263">
        <v>11.25</v>
      </c>
      <c r="F155" s="50" cm="1" t="str">
        <f t="array" ref="F155:F155">OFFSET(E155,-1,1)</f>
        <v>3</v>
      </c>
      <c r="G155" s="122" t="s">
        <v>803</v>
      </c>
      <c r="H155" s="122" cm="1" t="str">
        <f t="array" ref="H155:H155">H154</f>
        <v>0</v>
      </c>
      <c r="I155" s="1541"/>
      <c r="J155" s="1541"/>
      <c r="K155" s="1541"/>
      <c r="L155" s="1541"/>
      <c r="M155" s="1541"/>
      <c r="N155" s="1541"/>
      <c r="O155" s="1541"/>
      <c r="P155" s="1541"/>
      <c r="Q155" s="1541"/>
      <c r="R155" s="1541"/>
      <c r="S155" s="1541"/>
      <c r="T155" s="468" cm="1" t="str">
        <f t="array" ref="T155:T155">T154</f>
        <v>false</v>
      </c>
      <c r="U155" s="1541"/>
      <c r="V155" s="1541"/>
      <c r="W155" s="1541"/>
      <c r="X155" s="1519"/>
      <c r="Y155" s="1519"/>
      <c r="Z155" s="1541"/>
      <c r="AA155" s="1516"/>
      <c r="AB155" s="85" t="str">
        <f>AB150&amp;".5"</f>
        <v>7.0.5</v>
      </c>
      <c r="AC155" s="188" t="s">
        <v>1001</v>
      </c>
      <c r="AD155" s="85" t="s">
        <v>995</v>
      </c>
      <c r="AE155" s="1817"/>
      <c r="AF155" s="1817"/>
      <c r="AG155" s="1817"/>
      <c r="AH155" s="1817"/>
      <c r="AI155" s="1817"/>
      <c r="AJ155" s="1817"/>
      <c r="AK155" s="1817"/>
      <c r="AL155" s="1817"/>
      <c r="AM155" s="1817"/>
      <c r="AN155" s="1817"/>
      <c r="AO155" s="1817"/>
      <c r="AP155" s="1817"/>
      <c r="AQ155" s="1817"/>
      <c r="AR155" s="1817"/>
      <c r="AS155" s="1817"/>
      <c r="AT155" s="1817"/>
      <c r="AU155" s="1817"/>
      <c r="AV155" s="1817"/>
      <c r="AW155" s="1817"/>
      <c r="AX155" s="1817"/>
      <c r="AY155" s="1817"/>
      <c r="AZ155" s="1817"/>
      <c r="BA155" s="1817"/>
      <c r="BB155" s="1817"/>
      <c r="BC155" s="1928"/>
      <c r="BD155" s="1541"/>
      <c r="BE155" s="1541"/>
      <c r="BF155" s="1038" t="s">
        <v>1002</v>
      </c>
      <c r="BG155" s="1038" t="s">
        <v>993</v>
      </c>
      <c r="BH155" s="1038" cm="1" t="str">
        <f t="array" ref="BH155:BH155">BH154</f>
        <v>0</v>
      </c>
      <c r="BI155" s="1191" cm="1" t="str">
        <f t="array" ref="BI155:BI155">BI154</f>
        <v>0</v>
      </c>
      <c r="BJ155" s="263"/>
      <c r="BK155" s="263"/>
    </row>
    <row s="1191" customFormat="1" customHeight="1" ht="10.5" hidden="1">
      <c r="A156" s="1541"/>
      <c r="B156" s="431"/>
      <c r="C156" s="486"/>
      <c r="D156" s="1541"/>
      <c r="E156" s="263">
        <v>11.25</v>
      </c>
      <c r="F156" s="50" cm="1" t="str">
        <f t="array" ref="F156:F156">OFFSET(E156,-1,1)</f>
        <v>3</v>
      </c>
      <c r="G156" s="122" t="s">
        <v>1003</v>
      </c>
      <c r="H156" s="122" cm="1" t="str">
        <f t="array" ref="H156:H156">H155</f>
        <v>0</v>
      </c>
      <c r="I156" s="1541"/>
      <c r="J156" s="1541"/>
      <c r="K156" s="1541"/>
      <c r="L156" s="1541"/>
      <c r="M156" s="1541"/>
      <c r="N156" s="1541"/>
      <c r="O156" s="1541"/>
      <c r="P156" s="1541"/>
      <c r="Q156" s="1541"/>
      <c r="R156" s="1541"/>
      <c r="S156" s="1541"/>
      <c r="T156" s="468" cm="1" t="str">
        <f t="array" ref="T156:T156">T155</f>
        <v>false</v>
      </c>
      <c r="U156" s="1541"/>
      <c r="V156" s="1541"/>
      <c r="W156" s="1541"/>
      <c r="X156" s="1519"/>
      <c r="Y156" s="1519"/>
      <c r="Z156" s="1541"/>
      <c r="AA156" s="1516"/>
      <c r="AB156" s="85" t="str">
        <f>AB150&amp;".6"</f>
        <v>7.0.6</v>
      </c>
      <c r="AC156" s="328" t="s">
        <v>1004</v>
      </c>
      <c r="AD156" s="88" t="s">
        <v>1005</v>
      </c>
      <c r="AE156" s="187">
        <f>IF(OR(AND(AE155&lt;&gt;0,AE157=0),AND(AE155=0,AE157&lt;&gt;0)),"Ошибка",IF(AE157=0,0,AE155/AE157*1000/12))</f>
        <v>0</v>
      </c>
      <c r="AF156" s="187">
        <f>IF(OR(AND(AF155&lt;&gt;0,AF157=0),AND(AF155=0,AF157&lt;&gt;0)),"Ошибка",IF(AF157=0,0,AF155/AF157*1000/12))</f>
        <v>0</v>
      </c>
      <c r="AG156" s="187">
        <f>IF(OR(AND(AG155&lt;&gt;0,AG157=0),AND(AG155=0,AG157&lt;&gt;0)),"Ошибка",IF(AG157=0,0,AG155/AG157*1000/12))</f>
        <v>0</v>
      </c>
      <c r="AH156" s="187">
        <f>IF(OR(AND(AH155&lt;&gt;0,AH157=0),AND(AH155=0,AH157&lt;&gt;0)),"Ошибка",IF(AH157=0,0,AH155/AH157*1000/12))</f>
        <v>0</v>
      </c>
      <c r="AI156" s="187">
        <f>IF(OR(AND(AI155&lt;&gt;0,AI157=0),AND(AI155=0,AI157&lt;&gt;0)),"Ошибка",IF(AI157=0,0,AI155/AI157*1000/12))</f>
        <v>0</v>
      </c>
      <c r="AJ156" s="187">
        <f>IF(OR(AND(AJ155&lt;&gt;0,AJ157=0),AND(AJ155=0,AJ157&lt;&gt;0)),"Ошибка",IF(AJ157=0,0,AJ155/AJ157*1000/12))</f>
        <v>0</v>
      </c>
      <c r="AK156" s="187">
        <f>IF(OR(AND(AK155&lt;&gt;0,AK157=0),AND(AK155=0,AK157&lt;&gt;0)),"Ошибка",IF(AK157=0,0,AK155/AK157*1000/12))</f>
        <v>0</v>
      </c>
      <c r="AL156" s="187">
        <f>IF(OR(AND(AL155&lt;&gt;0,AL157=0),AND(AL155=0,AL157&lt;&gt;0)),"Ошибка",IF(AL157=0,0,AL155/AL157*1000/12))</f>
        <v>0</v>
      </c>
      <c r="AM156" s="187">
        <f>IF(OR(AND(AM155&lt;&gt;0,AM157=0),AND(AM155=0,AM157&lt;&gt;0)),"Ошибка",IF(AM157=0,0,AM155/AM157*1000/12))</f>
        <v>0</v>
      </c>
      <c r="AN156" s="187">
        <f>IF(OR(AND(AN155&lt;&gt;0,AN157=0),AND(AN155=0,AN157&lt;&gt;0)),"Ошибка",IF(AN157=0,0,AN155/AN157*1000/12))</f>
        <v>0</v>
      </c>
      <c r="AO156" s="187">
        <f>IF(OR(AND(AO155&lt;&gt;0,AO157=0),AND(AO155=0,AO157&lt;&gt;0)),"Ошибка",IF(AO157=0,0,AO155/AO157*1000/12))</f>
        <v>0</v>
      </c>
      <c r="AP156" s="187">
        <f>IF(OR(AND(AP155&lt;&gt;0,AP157=0),AND(AP155=0,AP157&lt;&gt;0)),"Ошибка",IF(AP157=0,0,AP155/AP157*1000/12))</f>
        <v>0</v>
      </c>
      <c r="AQ156" s="187">
        <f>IF(OR(AND(AQ155&lt;&gt;0,AQ157=0),AND(AQ155=0,AQ157&lt;&gt;0)),"Ошибка",IF(AQ157=0,0,AQ155/AQ157*1000/12))</f>
        <v>0</v>
      </c>
      <c r="AR156" s="187">
        <f>IF(OR(AND(AR155&lt;&gt;0,AR157=0),AND(AR155=0,AR157&lt;&gt;0)),"Ошибка",IF(AR157=0,0,AR155/AR157*1000/12))</f>
        <v>0</v>
      </c>
      <c r="AS156" s="187">
        <f>IF(OR(AND(AS155&lt;&gt;0,AS157=0),AND(AS155=0,AS157&lt;&gt;0)),"Ошибка",IF(AS157=0,0,AS155/AS157*1000/12))</f>
        <v>0</v>
      </c>
      <c r="AT156" s="187">
        <f>IF(OR(AND(AT155&lt;&gt;0,AT157=0),AND(AT155=0,AT157&lt;&gt;0)),"Ошибка",IF(AT157=0,0,AT155/AT157*1000/12))</f>
        <v>0</v>
      </c>
      <c r="AU156" s="187">
        <f>IF(OR(AND(AU155&lt;&gt;0,AU157=0),AND(AU155=0,AU157&lt;&gt;0)),"Ошибка",IF(AU157=0,0,AU155/AU157*1000/12))</f>
        <v>0</v>
      </c>
      <c r="AV156" s="187">
        <f>IF(OR(AND(AV155&lt;&gt;0,AV157=0),AND(AV155=0,AV157&lt;&gt;0)),"Ошибка",IF(AV157=0,0,AV155/AV157*1000/12))</f>
        <v>0</v>
      </c>
      <c r="AW156" s="187">
        <f>IF(OR(AND(AW155&lt;&gt;0,AW157=0),AND(AW155=0,AW157&lt;&gt;0)),"Ошибка",IF(AW157=0,0,AW155/AW157*1000/12))</f>
        <v>0</v>
      </c>
      <c r="AX156" s="187">
        <f>IF(OR(AND(AX155&lt;&gt;0,AX157=0),AND(AX155=0,AX157&lt;&gt;0)),"Ошибка",IF(AX157=0,0,AX155/AX157*1000/12))</f>
        <v>0</v>
      </c>
      <c r="AY156" s="187">
        <f>IF(OR(AND(AY155&lt;&gt;0,AY157=0),AND(AY155=0,AY157&lt;&gt;0)),"Ошибка",IF(AY157=0,0,AY155/AY157*1000/12))</f>
        <v>0</v>
      </c>
      <c r="AZ156" s="187">
        <f>IF(OR(AND(AZ155&lt;&gt;0,AZ157=0),AND(AZ155=0,AZ157&lt;&gt;0)),"Ошибка",IF(AZ157=0,0,AZ155/AZ157*1000/12))</f>
        <v>0</v>
      </c>
      <c r="BA156" s="187">
        <f>IF(OR(AND(BA155&lt;&gt;0,BA157=0),AND(BA155=0,BA157&lt;&gt;0)),"Ошибка",IF(BA157=0,0,BA155/BA157*1000/12))</f>
        <v>0</v>
      </c>
      <c r="BB156" s="187">
        <f>IF(OR(AND(BB155&lt;&gt;0,BB157=0),AND(BB155=0,BB157&lt;&gt;0)),"Ошибка",IF(BB157=0,0,BB155/BB157*1000/12))</f>
        <v>0</v>
      </c>
      <c r="BC156" s="1928"/>
      <c r="BD156" s="1541"/>
      <c r="BE156" s="1541"/>
      <c r="BF156" s="1038" t="s">
        <v>1006</v>
      </c>
      <c r="BG156" s="1038" t="s">
        <v>993</v>
      </c>
      <c r="BH156" s="1038" cm="1" t="str">
        <f t="array" ref="BH156:BH156">BH155</f>
        <v>0</v>
      </c>
      <c r="BI156" s="1191" cm="1" t="str">
        <f t="array" ref="BI156:BI156">BI155</f>
        <v>0</v>
      </c>
      <c r="BJ156" s="263"/>
      <c r="BK156" s="263"/>
    </row>
    <row s="1191" customFormat="1" customHeight="1" ht="10.5" hidden="1">
      <c r="A157" s="1541"/>
      <c r="B157" s="431"/>
      <c r="C157" s="486"/>
      <c r="D157" s="1541"/>
      <c r="E157" s="263">
        <v>11.25</v>
      </c>
      <c r="F157" s="50" cm="1" t="str">
        <f t="array" ref="F157:F157">OFFSET(E157,-1,1)</f>
        <v>3</v>
      </c>
      <c r="G157" s="122" t="s">
        <v>1007</v>
      </c>
      <c r="H157" s="122" cm="1" t="str">
        <f t="array" ref="H157:H157">H156</f>
        <v>0</v>
      </c>
      <c r="I157" s="1541"/>
      <c r="J157" s="1541"/>
      <c r="K157" s="1541"/>
      <c r="L157" s="1541"/>
      <c r="M157" s="1541"/>
      <c r="N157" s="1541"/>
      <c r="O157" s="1541"/>
      <c r="P157" s="1541"/>
      <c r="Q157" s="1541"/>
      <c r="R157" s="1541"/>
      <c r="S157" s="1541"/>
      <c r="T157" s="468" cm="1" t="str">
        <f t="array" ref="T157:T157">T156</f>
        <v>false</v>
      </c>
      <c r="U157" s="1541"/>
      <c r="V157" s="1541"/>
      <c r="W157" s="1541"/>
      <c r="X157" s="1519"/>
      <c r="Y157" s="1519"/>
      <c r="Z157" s="1541"/>
      <c r="AA157" s="1516"/>
      <c r="AB157" s="85" t="str">
        <f>AB150&amp;".7"</f>
        <v>7.0.7</v>
      </c>
      <c r="AC157" s="328" t="s">
        <v>1008</v>
      </c>
      <c r="AD157" s="88" t="s">
        <v>1009</v>
      </c>
      <c r="AE157" s="1817"/>
      <c r="AF157" s="1817"/>
      <c r="AG157" s="1817"/>
      <c r="AH157" s="1817"/>
      <c r="AI157" s="1817"/>
      <c r="AJ157" s="1817"/>
      <c r="AK157" s="1817"/>
      <c r="AL157" s="1817"/>
      <c r="AM157" s="1817"/>
      <c r="AN157" s="1817"/>
      <c r="AO157" s="1817"/>
      <c r="AP157" s="1817"/>
      <c r="AQ157" s="1817"/>
      <c r="AR157" s="1817"/>
      <c r="AS157" s="1817"/>
      <c r="AT157" s="1817"/>
      <c r="AU157" s="1817"/>
      <c r="AV157" s="1817"/>
      <c r="AW157" s="1817"/>
      <c r="AX157" s="1817"/>
      <c r="AY157" s="1817"/>
      <c r="AZ157" s="1817"/>
      <c r="BA157" s="1817"/>
      <c r="BB157" s="1817"/>
      <c r="BC157" s="1928"/>
      <c r="BD157" s="1541"/>
      <c r="BE157" s="1541"/>
      <c r="BF157" s="1038" t="s">
        <v>1010</v>
      </c>
      <c r="BG157" s="1038" t="s">
        <v>993</v>
      </c>
      <c r="BH157" s="1038" cm="1" t="str">
        <f t="array" ref="BH157:BH157">BH156</f>
        <v>0</v>
      </c>
      <c r="BI157" s="1191" cm="1" t="str">
        <f t="array" ref="BI157:BI157">BI156</f>
        <v>0</v>
      </c>
      <c r="BJ157" s="263"/>
      <c r="BK157" s="263"/>
    </row>
    <row customHeight="1" ht="34.048828125">
      <c r="B158" s="2912"/>
      <c r="C158" s="923"/>
      <c r="E158" s="1055">
        <v>11</v>
      </c>
      <c r="F158" s="50" cm="1" t="str">
        <f t="array" ref="F158:F158">OFFSET(E158,-1,1)</f>
        <v>3</v>
      </c>
      <c r="G158" s="1528"/>
      <c r="H158" s="1528"/>
      <c r="T158" s="1436">
        <f>AND(F158&gt;0,Y158&gt;0)</f>
        <v>1</v>
      </c>
      <c r="W158" s="856"/>
      <c r="X158" s="1324"/>
      <c r="Y158" s="1617" t="s">
        <v>290</v>
      </c>
      <c r="Z158" s="1324"/>
      <c r="AA158" s="1630" t="s">
        <v>174</v>
      </c>
      <c r="AB158" s="1577" t="str">
        <f>"7."&amp;Y158</f>
        <v>7.1</v>
      </c>
      <c r="AC158" s="2913" t="s">
        <v>1018</v>
      </c>
      <c r="AD158" s="1540"/>
      <c r="AE158" s="351"/>
      <c r="AF158" s="351"/>
      <c r="AG158" s="351"/>
      <c r="AH158" s="351"/>
      <c r="AI158" s="351"/>
      <c r="AJ158" s="351"/>
      <c r="AK158" s="351"/>
      <c r="AL158" s="351"/>
      <c r="AM158" s="351"/>
      <c r="AN158" s="351"/>
      <c r="AO158" s="351"/>
      <c r="AP158" s="351"/>
      <c r="AQ158" s="351"/>
      <c r="AR158" s="351"/>
      <c r="AS158" s="351"/>
      <c r="AT158" s="351"/>
      <c r="AU158" s="351"/>
      <c r="AV158" s="351"/>
      <c r="AW158" s="351"/>
      <c r="AX158" s="351"/>
      <c r="AY158" s="351"/>
      <c r="AZ158" s="351"/>
      <c r="BA158" s="351"/>
      <c r="BB158" s="351"/>
      <c r="BC158" s="351"/>
      <c r="BD158" s="2914"/>
      <c r="BF158" s="1054"/>
      <c r="BG158" s="1054"/>
      <c r="BH158" s="1054"/>
      <c r="BI158" s="1054"/>
      <c r="BJ158" s="1055"/>
      <c r="BK158" s="1055"/>
    </row>
    <row s="1191" customFormat="1" customHeight="1" ht="27.421875">
      <c r="A159" s="1541"/>
      <c r="B159" s="431"/>
      <c r="C159" s="486"/>
      <c r="D159" s="1541"/>
      <c r="E159" s="263">
        <v>11.25</v>
      </c>
      <c r="F159" s="50" cm="1" t="str">
        <f t="array" ref="F159:F159">OFFSET(E159,-1,1)</f>
        <v>3</v>
      </c>
      <c r="G159" s="122" t="s">
        <v>616</v>
      </c>
      <c r="H159" s="122" cm="1" t="str">
        <f t="array" ref="H159:H159">AC159</f>
        <v>СН1</v>
      </c>
      <c r="I159" s="1541"/>
      <c r="J159" s="1541"/>
      <c r="K159" s="1541"/>
      <c r="L159" s="1541"/>
      <c r="M159" s="1541"/>
      <c r="N159" s="1541"/>
      <c r="O159" s="1541"/>
      <c r="P159" s="1541"/>
      <c r="Q159" s="1541"/>
      <c r="R159" s="1541"/>
      <c r="S159" s="1541"/>
      <c r="T159" s="468" cm="1" t="str">
        <f t="array" ref="T159:T159">T158</f>
        <v>true</v>
      </c>
      <c r="U159" s="1541"/>
      <c r="V159" s="1541"/>
      <c r="W159" s="764"/>
      <c r="X159" s="1519"/>
      <c r="Y159" s="1519" t="s">
        <v>290</v>
      </c>
      <c r="Z159" s="1541"/>
      <c r="AA159" s="1516" t="s">
        <v>174</v>
      </c>
      <c r="AB159" s="85" t="str">
        <f>AB158&amp;".1"</f>
        <v>7.1.1</v>
      </c>
      <c r="AC159" s="195" t="s">
        <v>1039</v>
      </c>
      <c r="AD159" s="85" t="s">
        <v>936</v>
      </c>
      <c r="AE159" s="187">
        <f>AE160+AE163</f>
        <v>857.092</v>
      </c>
      <c r="AF159" s="187">
        <f>AF160+AF163</f>
        <v>987.15</v>
      </c>
      <c r="AG159" s="187">
        <f>AG160+AG163</f>
        <v>679.5730844</v>
      </c>
      <c r="AH159" s="187">
        <f>AH160+AH163</f>
        <v>1149.31</v>
      </c>
      <c r="AI159" s="187">
        <f>AI160+AI163</f>
        <v>1279.59</v>
      </c>
      <c r="AJ159" s="187">
        <f>AJ160+AJ163</f>
        <v>0</v>
      </c>
      <c r="AK159" s="187">
        <f>AK160+AK163</f>
        <v>0</v>
      </c>
      <c r="AL159" s="187">
        <f>AL160+AL163</f>
        <v>0</v>
      </c>
      <c r="AM159" s="187">
        <f>AM160+AM163</f>
        <v>0</v>
      </c>
      <c r="AN159" s="187">
        <f>AN160+AN163</f>
        <v>0</v>
      </c>
      <c r="AO159" s="187">
        <f>AO160+AO163</f>
        <v>0</v>
      </c>
      <c r="AP159" s="187">
        <f>AP160+AP163</f>
        <v>0</v>
      </c>
      <c r="AQ159" s="187">
        <f>AQ160+AQ163</f>
        <v>0</v>
      </c>
      <c r="AR159" s="187">
        <f>AR160+AR163</f>
        <v>0</v>
      </c>
      <c r="AS159" s="187">
        <f>AS160+AS163</f>
        <v>1035.32</v>
      </c>
      <c r="AT159" s="187">
        <f>AT160+AT163</f>
        <v>0</v>
      </c>
      <c r="AU159" s="187">
        <f>AU160+AU163</f>
        <v>0</v>
      </c>
      <c r="AV159" s="187">
        <f>AV160+AV163</f>
        <v>0</v>
      </c>
      <c r="AW159" s="187">
        <f>AW160+AW163</f>
        <v>0</v>
      </c>
      <c r="AX159" s="187">
        <f>AX160+AX163</f>
        <v>0</v>
      </c>
      <c r="AY159" s="187">
        <f>AY160+AY163</f>
        <v>0</v>
      </c>
      <c r="AZ159" s="187">
        <f>AZ160+AZ163</f>
        <v>0</v>
      </c>
      <c r="BA159" s="187">
        <f>BA160+BA163</f>
        <v>0</v>
      </c>
      <c r="BB159" s="187">
        <f>BB160+BB163</f>
        <v>0</v>
      </c>
      <c r="BC159" s="196"/>
      <c r="BD159" s="1541"/>
      <c r="BE159" s="1541"/>
      <c r="BF159" s="1038" t="s">
        <v>992</v>
      </c>
      <c r="BG159" s="1038" t="s">
        <v>993</v>
      </c>
      <c r="BH159" s="1038" cm="1" t="str">
        <f t="array" ref="BH159:BH159">AC159</f>
        <v>СН1</v>
      </c>
      <c r="BI159" s="1191" cm="1" t="str">
        <f t="array" ref="BI159:BI159">AC158</f>
        <v>ПАО "Кузбассэнергосбыт" (ИНН: 4205109214, КПП: 420501001)</v>
      </c>
      <c r="BJ159" s="263"/>
      <c r="BK159" s="263" t="b">
        <v>1</v>
      </c>
    </row>
    <row s="1191" customFormat="1" customHeight="1" ht="27.421875">
      <c r="A160" s="1541"/>
      <c r="B160" s="431"/>
      <c r="C160" s="486"/>
      <c r="D160" s="1541"/>
      <c r="E160" s="263">
        <v>11.25</v>
      </c>
      <c r="F160" s="50" cm="1" t="str">
        <f t="array" ref="F160:F160">OFFSET(E160,-1,1)</f>
        <v>3</v>
      </c>
      <c r="G160" s="122" t="s">
        <v>800</v>
      </c>
      <c r="H160" s="122" cm="1" t="str">
        <f t="array" ref="H160:H160">H159</f>
        <v>СН1</v>
      </c>
      <c r="I160" s="1541"/>
      <c r="J160" s="1541"/>
      <c r="K160" s="1541"/>
      <c r="L160" s="1541"/>
      <c r="M160" s="1541"/>
      <c r="N160" s="1541"/>
      <c r="O160" s="1541"/>
      <c r="P160" s="1541"/>
      <c r="Q160" s="1541"/>
      <c r="R160" s="1541"/>
      <c r="S160" s="1541"/>
      <c r="T160" s="468" cm="1" t="str">
        <f t="array" ref="T160:T160">T159</f>
        <v>true</v>
      </c>
      <c r="U160" s="1541"/>
      <c r="V160" s="1541"/>
      <c r="W160" s="1541"/>
      <c r="X160" s="1519"/>
      <c r="Y160" s="1519"/>
      <c r="Z160" s="1541"/>
      <c r="AA160" s="1516"/>
      <c r="AB160" s="85" t="str">
        <f>AB158&amp;".2"</f>
        <v>7.1.2</v>
      </c>
      <c r="AC160" s="188" t="s">
        <v>994</v>
      </c>
      <c r="AD160" s="85" t="s">
        <v>995</v>
      </c>
      <c r="AE160" s="137">
        <v>648.126</v>
      </c>
      <c r="AF160" s="137">
        <v>779.19</v>
      </c>
      <c r="AG160" s="137">
        <f>4.5117*AG162</f>
        <v>471.6170244</v>
      </c>
      <c r="AH160" s="137">
        <v>908.84</v>
      </c>
      <c r="AI160" s="137">
        <v>1028.42</v>
      </c>
      <c r="AJ160" s="1817"/>
      <c r="AK160" s="1817"/>
      <c r="AL160" s="1817"/>
      <c r="AM160" s="1817"/>
      <c r="AN160" s="1817"/>
      <c r="AO160" s="1817"/>
      <c r="AP160" s="1817"/>
      <c r="AQ160" s="1817"/>
      <c r="AR160" s="1817"/>
      <c r="AS160" s="137">
        <v>766.01</v>
      </c>
      <c r="AT160" s="1817"/>
      <c r="AU160" s="1817"/>
      <c r="AV160" s="1817"/>
      <c r="AW160" s="1817"/>
      <c r="AX160" s="1817"/>
      <c r="AY160" s="1817"/>
      <c r="AZ160" s="1817"/>
      <c r="BA160" s="1817"/>
      <c r="BB160" s="1817"/>
      <c r="BC160" s="196"/>
      <c r="BD160" s="1541"/>
      <c r="BE160" s="1541"/>
      <c r="BF160" s="1038" t="s">
        <v>996</v>
      </c>
      <c r="BG160" s="1038" t="s">
        <v>993</v>
      </c>
      <c r="BH160" s="1038" cm="1" t="str">
        <f t="array" ref="BH160:BH160">BH159</f>
        <v>СН1</v>
      </c>
      <c r="BI160" s="1191" cm="1" t="str">
        <f t="array" ref="BI160:BI160">BI159</f>
        <v>ПАО "Кузбассэнергосбыт" (ИНН: 4205109214, КПП: 420501001)</v>
      </c>
      <c r="BJ160" s="263"/>
      <c r="BK160" s="263"/>
    </row>
    <row s="1191" customFormat="1" customHeight="1" ht="49.921875">
      <c r="A161" s="1541"/>
      <c r="B161" s="431"/>
      <c r="C161" s="486"/>
      <c r="D161" s="1541"/>
      <c r="E161" s="263">
        <v>11.25</v>
      </c>
      <c r="F161" s="50" cm="1" t="str">
        <f t="array" ref="F161:F161">OFFSET(E161,-1,1)</f>
        <v>3</v>
      </c>
      <c r="G161" s="122" t="s">
        <v>997</v>
      </c>
      <c r="H161" s="122" cm="1" t="str">
        <f t="array" ref="H161:H161">H160</f>
        <v>СН1</v>
      </c>
      <c r="I161" s="1541"/>
      <c r="J161" s="1541"/>
      <c r="K161" s="1541"/>
      <c r="L161" s="1541"/>
      <c r="M161" s="1541"/>
      <c r="N161" s="1541"/>
      <c r="O161" s="1541"/>
      <c r="P161" s="1541"/>
      <c r="Q161" s="1541"/>
      <c r="R161" s="1541"/>
      <c r="S161" s="1541"/>
      <c r="T161" s="468" cm="1" t="str">
        <f t="array" ref="T161:T161">T160</f>
        <v>true</v>
      </c>
      <c r="U161" s="1541"/>
      <c r="V161" s="1541"/>
      <c r="W161" s="1541"/>
      <c r="X161" s="1519"/>
      <c r="Y161" s="1519"/>
      <c r="Z161" s="1541"/>
      <c r="AA161" s="1516"/>
      <c r="AB161" s="85" t="str">
        <f>AB158&amp;".3"</f>
        <v>7.1.3</v>
      </c>
      <c r="AC161" s="328" t="s">
        <v>986</v>
      </c>
      <c r="AD161" s="88" t="s">
        <v>978</v>
      </c>
      <c r="AE161" s="187">
        <f>IF(OR(AND(AE160&lt;&gt;0,AE162=0),AND(AE160=0,AE162&lt;&gt;0)),"Ошибка",IF(AE162=0,0,AE160/AE162))</f>
        <v>4.38842169408897</v>
      </c>
      <c r="AF161" s="187">
        <f>IF(OR(AND(AF160&lt;&gt;0,AF162=0),AND(AF160=0,AF162&lt;&gt;0)),"Ошибка",IF(AF162=0,0,AF160/AF162))</f>
        <v>4.51181239143023</v>
      </c>
      <c r="AG161" s="187">
        <f>IF(OR(AND(AG160&lt;&gt;0,AG162=0),AND(AG160=0,AG162&lt;&gt;0)),"Ошибка",IF(AG162=0,0,AG160/AG162))</f>
        <v>4.5117</v>
      </c>
      <c r="AH161" s="187">
        <f>IF(OR(AND(AH160&lt;&gt;0,AH162=0),AND(AH160=0,AH162&lt;&gt;0)),"Ошибка",IF(AH162=0,0,AH160/AH162))</f>
        <v>4.82373547051643</v>
      </c>
      <c r="AI161" s="187">
        <f>IF(OR(AND(AI160&lt;&gt;0,AI162=0),AND(AI160=0,AI162&lt;&gt;0)),"Ошибка",IF(AI162=0,0,AI160/AI162))</f>
        <v>5.44916017591268</v>
      </c>
      <c r="AJ161" s="187">
        <f>IF(OR(AND(AJ160&lt;&gt;0,AJ162=0),AND(AJ160=0,AJ162&lt;&gt;0)),"Ошибка",IF(AJ162=0,0,AJ160/AJ162))</f>
        <v>0</v>
      </c>
      <c r="AK161" s="187">
        <f>IF(OR(AND(AK160&lt;&gt;0,AK162=0),AND(AK160=0,AK162&lt;&gt;0)),"Ошибка",IF(AK162=0,0,AK160/AK162))</f>
        <v>0</v>
      </c>
      <c r="AL161" s="187">
        <f>IF(OR(AND(AL160&lt;&gt;0,AL162=0),AND(AL160=0,AL162&lt;&gt;0)),"Ошибка",IF(AL162=0,0,AL160/AL162))</f>
        <v>0</v>
      </c>
      <c r="AM161" s="187">
        <f>IF(OR(AND(AM160&lt;&gt;0,AM162=0),AND(AM160=0,AM162&lt;&gt;0)),"Ошибка",IF(AM162=0,0,AM160/AM162))</f>
        <v>0</v>
      </c>
      <c r="AN161" s="187">
        <f>IF(OR(AND(AN160&lt;&gt;0,AN162=0),AND(AN160=0,AN162&lt;&gt;0)),"Ошибка",IF(AN162=0,0,AN160/AN162))</f>
        <v>0</v>
      </c>
      <c r="AO161" s="187">
        <f>IF(OR(AND(AO160&lt;&gt;0,AO162=0),AND(AO160=0,AO162&lt;&gt;0)),"Ошибка",IF(AO162=0,0,AO160/AO162))</f>
        <v>0</v>
      </c>
      <c r="AP161" s="187">
        <f>IF(OR(AND(AP160&lt;&gt;0,AP162=0),AND(AP160=0,AP162&lt;&gt;0)),"Ошибка",IF(AP162=0,0,AP160/AP162))</f>
        <v>0</v>
      </c>
      <c r="AQ161" s="187">
        <f>IF(OR(AND(AQ160&lt;&gt;0,AQ162=0),AND(AQ160=0,AQ162&lt;&gt;0)),"Ошибка",IF(AQ162=0,0,AQ160/AQ162))</f>
        <v>0</v>
      </c>
      <c r="AR161" s="187">
        <f>IF(OR(AND(AR160&lt;&gt;0,AR162=0),AND(AR160=0,AR162&lt;&gt;0)),"Ошибка",IF(AR162=0,0,AR160/AR162))</f>
        <v>0</v>
      </c>
      <c r="AS161" s="187">
        <f>IF(OR(AND(AS160&lt;&gt;0,AS162=0),AND(AS160=0,AS162&lt;&gt;0)),"Ошибка",IF(AS162=0,0,AS160/AS162))</f>
        <v>5.84294431731503</v>
      </c>
      <c r="AT161" s="187" t="str">
        <f>IF(OR(AND(AT160&lt;&gt;0,AT162=0),AND(AT160=0,AT162&lt;&gt;0)),"Ошибка",IF(AT162=0,0,AT160/AT162))</f>
        <v>Ошибка</v>
      </c>
      <c r="AU161" s="187" t="str">
        <f>IF(OR(AND(AU160&lt;&gt;0,AU162=0),AND(AU160=0,AU162&lt;&gt;0)),"Ошибка",IF(AU162=0,0,AU160/AU162))</f>
        <v>Ошибка</v>
      </c>
      <c r="AV161" s="187">
        <f>IF(OR(AND(AV160&lt;&gt;0,AV162=0),AND(AV160=0,AV162&lt;&gt;0)),"Ошибка",IF(AV162=0,0,AV160/AV162))</f>
        <v>0</v>
      </c>
      <c r="AW161" s="187">
        <f>IF(OR(AND(AW160&lt;&gt;0,AW162=0),AND(AW160=0,AW162&lt;&gt;0)),"Ошибка",IF(AW162=0,0,AW160/AW162))</f>
        <v>0</v>
      </c>
      <c r="AX161" s="187">
        <f>IF(OR(AND(AX160&lt;&gt;0,AX162=0),AND(AX160=0,AX162&lt;&gt;0)),"Ошибка",IF(AX162=0,0,AX160/AX162))</f>
        <v>0</v>
      </c>
      <c r="AY161" s="187">
        <f>IF(OR(AND(AY160&lt;&gt;0,AY162=0),AND(AY160=0,AY162&lt;&gt;0)),"Ошибка",IF(AY162=0,0,AY160/AY162))</f>
        <v>0</v>
      </c>
      <c r="AZ161" s="187">
        <f>IF(OR(AND(AZ160&lt;&gt;0,AZ162=0),AND(AZ160=0,AZ162&lt;&gt;0)),"Ошибка",IF(AZ162=0,0,AZ160/AZ162))</f>
        <v>0</v>
      </c>
      <c r="BA161" s="187">
        <f>IF(OR(AND(BA160&lt;&gt;0,BA162=0),AND(BA160=0,BA162&lt;&gt;0)),"Ошибка",IF(BA162=0,0,BA160/BA162))</f>
        <v>0</v>
      </c>
      <c r="BB161" s="187">
        <f>IF(OR(AND(BB160&lt;&gt;0,BB162=0),AND(BB160=0,BB162&lt;&gt;0)),"Ошибка",IF(BB162=0,0,BB160/BB162))</f>
        <v>0</v>
      </c>
      <c r="BC161" s="196" t="s">
        <v>1049</v>
      </c>
      <c r="BD161" s="1541"/>
      <c r="BE161" s="1541"/>
      <c r="BF161" s="1038" t="s">
        <v>998</v>
      </c>
      <c r="BG161" s="1038" t="s">
        <v>993</v>
      </c>
      <c r="BH161" s="1038" cm="1" t="str">
        <f t="array" ref="BH161:BH161">BH160</f>
        <v>СН1</v>
      </c>
      <c r="BI161" s="1191" cm="1" t="str">
        <f t="array" ref="BI161:BI161">BI160</f>
        <v>ПАО "Кузбассэнергосбыт" (ИНН: 4205109214, КПП: 420501001)</v>
      </c>
      <c r="BJ161" s="263"/>
      <c r="BK161" s="263"/>
    </row>
    <row s="1191" customFormat="1" customHeight="1" ht="42.421875">
      <c r="A162" s="1541"/>
      <c r="B162" s="431"/>
      <c r="C162" s="486"/>
      <c r="D162" s="1541"/>
      <c r="E162" s="263">
        <v>11.25</v>
      </c>
      <c r="F162" s="50" cm="1" t="str">
        <f t="array" ref="F162:F162">OFFSET(E162,-1,1)</f>
        <v>3</v>
      </c>
      <c r="G162" s="122" t="s">
        <v>999</v>
      </c>
      <c r="H162" s="122" cm="1" t="str">
        <f t="array" ref="H162:H162">H161</f>
        <v>СН1</v>
      </c>
      <c r="I162" s="1541"/>
      <c r="J162" s="1541"/>
      <c r="K162" s="1541"/>
      <c r="L162" s="1541"/>
      <c r="M162" s="1541"/>
      <c r="N162" s="1541"/>
      <c r="O162" s="1541"/>
      <c r="P162" s="1541"/>
      <c r="Q162" s="1541"/>
      <c r="R162" s="1541"/>
      <c r="S162" s="1541"/>
      <c r="T162" s="468" cm="1" t="str">
        <f t="array" ref="T162:T162">T161</f>
        <v>true</v>
      </c>
      <c r="U162" s="1541"/>
      <c r="V162" s="1541"/>
      <c r="W162" s="1541"/>
      <c r="X162" s="1519"/>
      <c r="Y162" s="1519"/>
      <c r="Z162" s="1541"/>
      <c r="AA162" s="1516"/>
      <c r="AB162" s="85" t="str">
        <f>AB158&amp;".4"</f>
        <v>7.1.4</v>
      </c>
      <c r="AC162" s="328" t="s">
        <v>988</v>
      </c>
      <c r="AD162" s="88" t="s">
        <v>972</v>
      </c>
      <c r="AE162" s="137">
        <v>147.69</v>
      </c>
      <c r="AF162" s="137">
        <v>172.7</v>
      </c>
      <c r="AG162" s="137">
        <f>696.88*15%</f>
        <v>104.532</v>
      </c>
      <c r="AH162" s="137">
        <v>188.41</v>
      </c>
      <c r="AI162" s="137">
        <v>188.73</v>
      </c>
      <c r="AJ162" s="1817"/>
      <c r="AK162" s="1817"/>
      <c r="AL162" s="1817"/>
      <c r="AM162" s="1817"/>
      <c r="AN162" s="1817"/>
      <c r="AO162" s="1817"/>
      <c r="AP162" s="1817"/>
      <c r="AQ162" s="1817"/>
      <c r="AR162" s="1817"/>
      <c r="AS162" s="137">
        <v>131.1</v>
      </c>
      <c r="AT162" s="1817" cm="1" t="str">
        <f t="array" ref="AT162:AT162">AS162</f>
        <v>131.1</v>
      </c>
      <c r="AU162" s="1817" cm="1" t="str">
        <f t="array" ref="AU162:AU162">AS162</f>
        <v>131.1</v>
      </c>
      <c r="AV162" s="1817"/>
      <c r="AW162" s="1817"/>
      <c r="AX162" s="1817"/>
      <c r="AY162" s="1817"/>
      <c r="AZ162" s="1817"/>
      <c r="BA162" s="1817"/>
      <c r="BB162" s="1817"/>
      <c r="BC162" s="196" t="s">
        <v>1050</v>
      </c>
      <c r="BD162" s="1541"/>
      <c r="BE162" s="1541"/>
      <c r="BF162" s="1038" t="s">
        <v>1000</v>
      </c>
      <c r="BG162" s="1038" t="s">
        <v>993</v>
      </c>
      <c r="BH162" s="1038" cm="1" t="str">
        <f t="array" ref="BH162:BH162">BH161</f>
        <v>СН1</v>
      </c>
      <c r="BI162" s="1191" cm="1" t="str">
        <f t="array" ref="BI162:BI162">BI161</f>
        <v>ПАО "Кузбассэнергосбыт" (ИНН: 4205109214, КПП: 420501001)</v>
      </c>
      <c r="BJ162" s="263"/>
      <c r="BK162" s="263"/>
    </row>
    <row s="1191" customFormat="1" customHeight="1" ht="24.421875">
      <c r="A163" s="1541"/>
      <c r="B163" s="431"/>
      <c r="C163" s="486"/>
      <c r="D163" s="1541"/>
      <c r="E163" s="263">
        <v>11.25</v>
      </c>
      <c r="F163" s="50" cm="1" t="str">
        <f t="array" ref="F163:F163">OFFSET(E163,-1,1)</f>
        <v>3</v>
      </c>
      <c r="G163" s="122" t="s">
        <v>803</v>
      </c>
      <c r="H163" s="122" cm="1" t="str">
        <f t="array" ref="H163:H163">H162</f>
        <v>СН1</v>
      </c>
      <c r="I163" s="1541"/>
      <c r="J163" s="1541"/>
      <c r="K163" s="1541"/>
      <c r="L163" s="1541"/>
      <c r="M163" s="1541"/>
      <c r="N163" s="1541"/>
      <c r="O163" s="1541"/>
      <c r="P163" s="1541"/>
      <c r="Q163" s="1541"/>
      <c r="R163" s="1541"/>
      <c r="S163" s="1541"/>
      <c r="T163" s="468" cm="1" t="str">
        <f t="array" ref="T163:T163">T162</f>
        <v>true</v>
      </c>
      <c r="U163" s="1541"/>
      <c r="V163" s="1541"/>
      <c r="W163" s="1541"/>
      <c r="X163" s="1519"/>
      <c r="Y163" s="1519"/>
      <c r="Z163" s="1541"/>
      <c r="AA163" s="1516"/>
      <c r="AB163" s="85" t="str">
        <f>AB158&amp;".5"</f>
        <v>7.1.5</v>
      </c>
      <c r="AC163" s="188" t="s">
        <v>1001</v>
      </c>
      <c r="AD163" s="85" t="s">
        <v>995</v>
      </c>
      <c r="AE163" s="137">
        <v>208.966</v>
      </c>
      <c r="AF163" s="137">
        <v>207.96</v>
      </c>
      <c r="AG163" s="137">
        <v>207.95606</v>
      </c>
      <c r="AH163" s="137">
        <v>240.47</v>
      </c>
      <c r="AI163" s="137">
        <v>251.17</v>
      </c>
      <c r="AJ163" s="1817"/>
      <c r="AK163" s="1817"/>
      <c r="AL163" s="1817"/>
      <c r="AM163" s="1817"/>
      <c r="AN163" s="1817"/>
      <c r="AO163" s="1817"/>
      <c r="AP163" s="1817"/>
      <c r="AQ163" s="1817"/>
      <c r="AR163" s="1817"/>
      <c r="AS163" s="137">
        <v>269.31</v>
      </c>
      <c r="AT163" s="1817"/>
      <c r="AU163" s="1817"/>
      <c r="AV163" s="1817"/>
      <c r="AW163" s="1817"/>
      <c r="AX163" s="1817"/>
      <c r="AY163" s="1817"/>
      <c r="AZ163" s="1817"/>
      <c r="BA163" s="1817"/>
      <c r="BB163" s="1817"/>
      <c r="BC163" s="196"/>
      <c r="BD163" s="1541"/>
      <c r="BE163" s="1541"/>
      <c r="BF163" s="1038" t="s">
        <v>1002</v>
      </c>
      <c r="BG163" s="1038" t="s">
        <v>993</v>
      </c>
      <c r="BH163" s="1038" cm="1" t="str">
        <f t="array" ref="BH163:BH163">BH162</f>
        <v>СН1</v>
      </c>
      <c r="BI163" s="1191" cm="1" t="str">
        <f t="array" ref="BI163:BI163">BI162</f>
        <v>ПАО "Кузбассэнергосбыт" (ИНН: 4205109214, КПП: 420501001)</v>
      </c>
      <c r="BJ163" s="263"/>
      <c r="BK163" s="263"/>
    </row>
    <row s="1191" customFormat="1" customHeight="1" ht="46.921875">
      <c r="A164" s="1541"/>
      <c r="B164" s="431"/>
      <c r="C164" s="486"/>
      <c r="D164" s="1541"/>
      <c r="E164" s="263">
        <v>11.25</v>
      </c>
      <c r="F164" s="50" cm="1" t="str">
        <f t="array" ref="F164:F164">OFFSET(E164,-1,1)</f>
        <v>3</v>
      </c>
      <c r="G164" s="122" t="s">
        <v>1003</v>
      </c>
      <c r="H164" s="122" cm="1" t="str">
        <f t="array" ref="H164:H164">H163</f>
        <v>СН1</v>
      </c>
      <c r="I164" s="1541"/>
      <c r="J164" s="1541"/>
      <c r="K164" s="1541"/>
      <c r="L164" s="1541"/>
      <c r="M164" s="1541"/>
      <c r="N164" s="1541"/>
      <c r="O164" s="1541"/>
      <c r="P164" s="1541"/>
      <c r="Q164" s="1541"/>
      <c r="R164" s="1541"/>
      <c r="S164" s="1541"/>
      <c r="T164" s="468" cm="1" t="str">
        <f t="array" ref="T164:T164">T163</f>
        <v>true</v>
      </c>
      <c r="U164" s="1541"/>
      <c r="V164" s="1541"/>
      <c r="W164" s="1541"/>
      <c r="X164" s="1519"/>
      <c r="Y164" s="1519"/>
      <c r="Z164" s="1541"/>
      <c r="AA164" s="1516"/>
      <c r="AB164" s="85" t="str">
        <f>AB158&amp;".6"</f>
        <v>7.1.6</v>
      </c>
      <c r="AC164" s="328" t="s">
        <v>1004</v>
      </c>
      <c r="AD164" s="88" t="s">
        <v>1005</v>
      </c>
      <c r="AE164" s="187">
        <f>IF(OR(AND(AE163&lt;&gt;0,AE165=0),AND(AE163=0,AE165&lt;&gt;0)),"Ошибка",IF(AE165=0,0,AE163/AE165*1000/12))</f>
        <v>916610.000863158</v>
      </c>
      <c r="AF164" s="187">
        <f>IF(OR(AND(AF163&lt;&gt;0,AF165=0),AND(AF163=0,AF165&lt;&gt;0)),"Ошибка",IF(AF165=0,0,AF163/AF165*1000/12))</f>
        <v>802934.362934364</v>
      </c>
      <c r="AG164" s="187">
        <f>IF(OR(AND(AG163&lt;&gt;0,AG165=0),AND(AG163=0,AG165&lt;&gt;0)),"Ошибка",IF(AG165=0,0,AG163/AG165*1000/12))</f>
        <v>802919.150579152</v>
      </c>
      <c r="AH164" s="187">
        <f>IF(OR(AND(AH163&lt;&gt;0,AH165=0),AND(AH163=0,AH165&lt;&gt;0)),"Ошибка",IF(AH165=0,0,AH163/AH165*1000/12))</f>
        <v>961880.001539008</v>
      </c>
      <c r="AI164" s="187">
        <f>IF(OR(AND(AI163&lt;&gt;0,AI165=0),AND(AI163=0,AI165&lt;&gt;0)),"Ошибка",IF(AI165=0,0,AI163/AI165*1000/12))</f>
        <v>966038.461538458</v>
      </c>
      <c r="AJ164" s="187">
        <f>IF(OR(AND(AJ163&lt;&gt;0,AJ165=0),AND(AJ163=0,AJ165&lt;&gt;0)),"Ошибка",IF(AJ165=0,0,AJ163/AJ165*1000/12))</f>
        <v>0</v>
      </c>
      <c r="AK164" s="187">
        <f>IF(OR(AND(AK163&lt;&gt;0,AK165=0),AND(AK163=0,AK165&lt;&gt;0)),"Ошибка",IF(AK165=0,0,AK163/AK165*1000/12))</f>
        <v>0</v>
      </c>
      <c r="AL164" s="187">
        <f>IF(OR(AND(AL163&lt;&gt;0,AL165=0),AND(AL163=0,AL165&lt;&gt;0)),"Ошибка",IF(AL165=0,0,AL163/AL165*1000/12))</f>
        <v>0</v>
      </c>
      <c r="AM164" s="187">
        <f>IF(OR(AND(AM163&lt;&gt;0,AM165=0),AND(AM163=0,AM165&lt;&gt;0)),"Ошибка",IF(AM165=0,0,AM163/AM165*1000/12))</f>
        <v>0</v>
      </c>
      <c r="AN164" s="187">
        <f>IF(OR(AND(AN163&lt;&gt;0,AN165=0),AND(AN163=0,AN165&lt;&gt;0)),"Ошибка",IF(AN165=0,0,AN163/AN165*1000/12))</f>
        <v>0</v>
      </c>
      <c r="AO164" s="187">
        <f>IF(OR(AND(AO163&lt;&gt;0,AO165=0),AND(AO163=0,AO165&lt;&gt;0)),"Ошибка",IF(AO165=0,0,AO163/AO165*1000/12))</f>
        <v>0</v>
      </c>
      <c r="AP164" s="187">
        <f>IF(OR(AND(AP163&lt;&gt;0,AP165=0),AND(AP163=0,AP165&lt;&gt;0)),"Ошибка",IF(AP165=0,0,AP163/AP165*1000/12))</f>
        <v>0</v>
      </c>
      <c r="AQ164" s="187">
        <f>IF(OR(AND(AQ163&lt;&gt;0,AQ165=0),AND(AQ163=0,AQ165&lt;&gt;0)),"Ошибка",IF(AQ165=0,0,AQ163/AQ165*1000/12))</f>
        <v>0</v>
      </c>
      <c r="AR164" s="187">
        <f>IF(OR(AND(AR163&lt;&gt;0,AR165=0),AND(AR163=0,AR165&lt;&gt;0)),"Ошибка",IF(AR165=0,0,AR163/AR165*1000/12))</f>
        <v>0</v>
      </c>
      <c r="AS164" s="187">
        <f>IF(OR(AND(AS163&lt;&gt;0,AS165=0),AND(AS163=0,AS165&lt;&gt;0)),"Ошибка",IF(AS165=0,0,AS163/AS165*1000/12))</f>
        <v>1039806.94980695</v>
      </c>
      <c r="AT164" s="187">
        <f>IF(OR(AND(AT163&lt;&gt;0,AT165=0),AND(AT163=0,AT165&lt;&gt;0)),"Ошибка",IF(AT165=0,0,AT163/AT165*1000/12))</f>
        <v>0</v>
      </c>
      <c r="AU164" s="187">
        <f>IF(OR(AND(AU163&lt;&gt;0,AU165=0),AND(AU163=0,AU165&lt;&gt;0)),"Ошибка",IF(AU165=0,0,AU163/AU165*1000/12))</f>
        <v>0</v>
      </c>
      <c r="AV164" s="187">
        <f>IF(OR(AND(AV163&lt;&gt;0,AV165=0),AND(AV163=0,AV165&lt;&gt;0)),"Ошибка",IF(AV165=0,0,AV163/AV165*1000/12))</f>
        <v>0</v>
      </c>
      <c r="AW164" s="187">
        <f>IF(OR(AND(AW163&lt;&gt;0,AW165=0),AND(AW163=0,AW165&lt;&gt;0)),"Ошибка",IF(AW165=0,0,AW163/AW165*1000/12))</f>
        <v>0</v>
      </c>
      <c r="AX164" s="187">
        <f>IF(OR(AND(AX163&lt;&gt;0,AX165=0),AND(AX163=0,AX165&lt;&gt;0)),"Ошибка",IF(AX165=0,0,AX163/AX165*1000/12))</f>
        <v>0</v>
      </c>
      <c r="AY164" s="187">
        <f>IF(OR(AND(AY163&lt;&gt;0,AY165=0),AND(AY163=0,AY165&lt;&gt;0)),"Ошибка",IF(AY165=0,0,AY163/AY165*1000/12))</f>
        <v>0</v>
      </c>
      <c r="AZ164" s="187">
        <f>IF(OR(AND(AZ163&lt;&gt;0,AZ165=0),AND(AZ163=0,AZ165&lt;&gt;0)),"Ошибка",IF(AZ165=0,0,AZ163/AZ165*1000/12))</f>
        <v>0</v>
      </c>
      <c r="BA164" s="187">
        <f>IF(OR(AND(BA163&lt;&gt;0,BA165=0),AND(BA163=0,BA165&lt;&gt;0)),"Ошибка",IF(BA165=0,0,BA163/BA165*1000/12))</f>
        <v>0</v>
      </c>
      <c r="BB164" s="187">
        <f>IF(OR(AND(BB163&lt;&gt;0,BB165=0),AND(BB163=0,BB165&lt;&gt;0)),"Ошибка",IF(BB165=0,0,BB163/BB165*1000/12))</f>
        <v>0</v>
      </c>
      <c r="BC164" s="196" t="s">
        <v>1049</v>
      </c>
      <c r="BD164" s="1541"/>
      <c r="BE164" s="1541"/>
      <c r="BF164" s="1038" t="s">
        <v>1006</v>
      </c>
      <c r="BG164" s="1038" t="s">
        <v>993</v>
      </c>
      <c r="BH164" s="1038" cm="1" t="str">
        <f t="array" ref="BH164:BH164">BH163</f>
        <v>СН1</v>
      </c>
      <c r="BI164" s="1191" cm="1" t="str">
        <f t="array" ref="BI164:BI164">BI163</f>
        <v>ПАО "Кузбассэнергосбыт" (ИНН: 4205109214, КПП: 420501001)</v>
      </c>
      <c r="BJ164" s="263"/>
      <c r="BK164" s="263"/>
    </row>
    <row s="1191" customFormat="1" customHeight="1" ht="32.671875">
      <c r="A165" s="1541"/>
      <c r="B165" s="431"/>
      <c r="C165" s="486"/>
      <c r="D165" s="1541"/>
      <c r="E165" s="263">
        <v>11.25</v>
      </c>
      <c r="F165" s="50" cm="1" t="str">
        <f t="array" ref="F165:F165">OFFSET(E165,-1,1)</f>
        <v>3</v>
      </c>
      <c r="G165" s="122" t="s">
        <v>1007</v>
      </c>
      <c r="H165" s="122" cm="1" t="str">
        <f t="array" ref="H165:H165">H164</f>
        <v>СН1</v>
      </c>
      <c r="I165" s="1541"/>
      <c r="J165" s="1541"/>
      <c r="K165" s="1541"/>
      <c r="L165" s="1541"/>
      <c r="M165" s="1541"/>
      <c r="N165" s="1541"/>
      <c r="O165" s="1541"/>
      <c r="P165" s="1541"/>
      <c r="Q165" s="1541"/>
      <c r="R165" s="1541"/>
      <c r="S165" s="1541"/>
      <c r="T165" s="468" cm="1" t="str">
        <f t="array" ref="T165:T165">T164</f>
        <v>true</v>
      </c>
      <c r="U165" s="1541"/>
      <c r="V165" s="1541"/>
      <c r="W165" s="1541"/>
      <c r="X165" s="1519"/>
      <c r="Y165" s="1519"/>
      <c r="Z165" s="1541"/>
      <c r="AA165" s="1516"/>
      <c r="AB165" s="85" t="str">
        <f>AB158&amp;".7"</f>
        <v>7.1.7</v>
      </c>
      <c r="AC165" s="328" t="s">
        <v>1008</v>
      </c>
      <c r="AD165" s="88" t="s">
        <v>1009</v>
      </c>
      <c r="AE165" s="137">
        <v>0.0189980835</v>
      </c>
      <c r="AF165" s="137">
        <f>0.259/12</f>
        <v>0.0215833333333333</v>
      </c>
      <c r="AG165" s="137">
        <f>0.259/12</f>
        <v>0.0215833333333333</v>
      </c>
      <c r="AH165" s="137">
        <v>0.0208333333</v>
      </c>
      <c r="AI165" s="137">
        <f>0.26/12</f>
        <v>0.0216666666666667</v>
      </c>
      <c r="AJ165" s="1817"/>
      <c r="AK165" s="1817"/>
      <c r="AL165" s="1817"/>
      <c r="AM165" s="1817"/>
      <c r="AN165" s="1817"/>
      <c r="AO165" s="1817"/>
      <c r="AP165" s="1817"/>
      <c r="AQ165" s="1817"/>
      <c r="AR165" s="1817"/>
      <c r="AS165" s="137">
        <f>0.259/12</f>
        <v>0.0215833333333333</v>
      </c>
      <c r="AT165" s="1817"/>
      <c r="AU165" s="1817"/>
      <c r="AV165" s="1817"/>
      <c r="AW165" s="1817"/>
      <c r="AX165" s="1817"/>
      <c r="AY165" s="1817"/>
      <c r="AZ165" s="1817"/>
      <c r="BA165" s="1817"/>
      <c r="BB165" s="1817"/>
      <c r="BC165" s="196" t="s">
        <v>1051</v>
      </c>
      <c r="BD165" s="1541"/>
      <c r="BE165" s="1541"/>
      <c r="BF165" s="1038" t="s">
        <v>1010</v>
      </c>
      <c r="BG165" s="1038" t="s">
        <v>993</v>
      </c>
      <c r="BH165" s="1038" cm="1" t="str">
        <f t="array" ref="BH165:BH165">BH164</f>
        <v>СН1</v>
      </c>
      <c r="BI165" s="1191" cm="1" t="str">
        <f t="array" ref="BI165:BI165">BI164</f>
        <v>ПАО "Кузбассэнергосбыт" (ИНН: 4205109214, КПП: 420501001)</v>
      </c>
      <c r="BJ165" s="263"/>
      <c r="BK165" s="263"/>
    </row>
    <row customHeight="1" ht="34.048828125">
      <c r="B166" s="2912"/>
      <c r="C166" s="923"/>
      <c r="E166" s="1055">
        <v>11</v>
      </c>
      <c r="F166" s="50" cm="1" t="str">
        <f t="array" ref="F166:F166">OFFSET(E166,-1,1)</f>
        <v>3</v>
      </c>
      <c r="G166" s="1528"/>
      <c r="H166" s="1528"/>
      <c r="T166" s="1436">
        <f>AND(F166&gt;0,Y166&gt;0)</f>
        <v>1</v>
      </c>
      <c r="W166" s="856"/>
      <c r="X166" s="1324"/>
      <c r="Y166" s="1617" t="s">
        <v>299</v>
      </c>
      <c r="Z166" s="1324"/>
      <c r="AA166" s="1630" t="s">
        <v>174</v>
      </c>
      <c r="AB166" s="1577" t="str">
        <f>"7."&amp;Y166</f>
        <v>7.2</v>
      </c>
      <c r="AC166" s="2913" t="s">
        <v>1018</v>
      </c>
      <c r="AD166" s="1540"/>
      <c r="AE166" s="351"/>
      <c r="AF166" s="351"/>
      <c r="AG166" s="351"/>
      <c r="AH166" s="351"/>
      <c r="AI166" s="351"/>
      <c r="AJ166" s="351"/>
      <c r="AK166" s="351"/>
      <c r="AL166" s="351"/>
      <c r="AM166" s="351"/>
      <c r="AN166" s="351"/>
      <c r="AO166" s="351"/>
      <c r="AP166" s="351"/>
      <c r="AQ166" s="351"/>
      <c r="AR166" s="351"/>
      <c r="AS166" s="351"/>
      <c r="AT166" s="351"/>
      <c r="AU166" s="351"/>
      <c r="AV166" s="351"/>
      <c r="AW166" s="351"/>
      <c r="AX166" s="351"/>
      <c r="AY166" s="351"/>
      <c r="AZ166" s="351"/>
      <c r="BA166" s="351"/>
      <c r="BB166" s="351"/>
      <c r="BC166" s="351"/>
      <c r="BD166" s="2914"/>
      <c r="BF166" s="1054"/>
      <c r="BG166" s="1054"/>
      <c r="BH166" s="1054"/>
      <c r="BI166" s="1054"/>
      <c r="BJ166" s="1055"/>
      <c r="BK166" s="1055"/>
    </row>
    <row s="1191" customFormat="1" customHeight="1" ht="31.921875">
      <c r="A167" s="1541"/>
      <c r="B167" s="431"/>
      <c r="C167" s="486"/>
      <c r="D167" s="1541"/>
      <c r="E167" s="263">
        <v>11.25</v>
      </c>
      <c r="F167" s="50" cm="1" t="str">
        <f t="array" ref="F167:F167">OFFSET(E167,-1,1)</f>
        <v>3</v>
      </c>
      <c r="G167" s="122" t="s">
        <v>616</v>
      </c>
      <c r="H167" s="122" cm="1" t="str">
        <f t="array" ref="H167:H167">AC167</f>
        <v>СН2</v>
      </c>
      <c r="I167" s="1541"/>
      <c r="J167" s="1541"/>
      <c r="K167" s="1541"/>
      <c r="L167" s="1541"/>
      <c r="M167" s="1541"/>
      <c r="N167" s="1541"/>
      <c r="O167" s="1541"/>
      <c r="P167" s="1541"/>
      <c r="Q167" s="1541"/>
      <c r="R167" s="1541"/>
      <c r="S167" s="1541"/>
      <c r="T167" s="468" cm="1" t="str">
        <f t="array" ref="T167:T167">T166</f>
        <v>true</v>
      </c>
      <c r="U167" s="1541"/>
      <c r="V167" s="1541"/>
      <c r="W167" s="764"/>
      <c r="X167" s="1519"/>
      <c r="Y167" s="1519" t="s">
        <v>299</v>
      </c>
      <c r="Z167" s="1541"/>
      <c r="AA167" s="1516" t="s">
        <v>174</v>
      </c>
      <c r="AB167" s="85" t="str">
        <f>AB166&amp;".1"</f>
        <v>7.2.1</v>
      </c>
      <c r="AC167" s="195" t="s">
        <v>1022</v>
      </c>
      <c r="AD167" s="85" t="s">
        <v>936</v>
      </c>
      <c r="AE167" s="187">
        <f>AE168+AE171</f>
        <v>4452.15</v>
      </c>
      <c r="AF167" s="187">
        <f>AF168+AF171</f>
        <v>4960.05</v>
      </c>
      <c r="AG167" s="187">
        <f>AG168+AG171</f>
        <v>3571.427633952</v>
      </c>
      <c r="AH167" s="187">
        <f>AH168+AH171</f>
        <v>4574.25</v>
      </c>
      <c r="AI167" s="187">
        <f>AI168+AI171</f>
        <v>4921.14</v>
      </c>
      <c r="AJ167" s="187">
        <f>AJ168+AJ171</f>
        <v>0</v>
      </c>
      <c r="AK167" s="187">
        <f>AK168+AK171</f>
        <v>0</v>
      </c>
      <c r="AL167" s="187">
        <f>AL168+AL171</f>
        <v>0</v>
      </c>
      <c r="AM167" s="187">
        <f>AM168+AM171</f>
        <v>0</v>
      </c>
      <c r="AN167" s="187">
        <f>AN168+AN171</f>
        <v>0</v>
      </c>
      <c r="AO167" s="187">
        <f>AO168+AO171</f>
        <v>0</v>
      </c>
      <c r="AP167" s="187">
        <f>AP168+AP171</f>
        <v>0</v>
      </c>
      <c r="AQ167" s="187">
        <f>AQ168+AQ171</f>
        <v>0</v>
      </c>
      <c r="AR167" s="187">
        <f>AR168+AR171</f>
        <v>0</v>
      </c>
      <c r="AS167" s="187">
        <f>AS168+AS171</f>
        <v>5431.14</v>
      </c>
      <c r="AT167" s="187">
        <f>AT168+AT171</f>
        <v>0</v>
      </c>
      <c r="AU167" s="187">
        <f>AU168+AU171</f>
        <v>0</v>
      </c>
      <c r="AV167" s="187">
        <f>AV168+AV171</f>
        <v>0</v>
      </c>
      <c r="AW167" s="187">
        <f>AW168+AW171</f>
        <v>0</v>
      </c>
      <c r="AX167" s="187">
        <f>AX168+AX171</f>
        <v>0</v>
      </c>
      <c r="AY167" s="187">
        <f>AY168+AY171</f>
        <v>0</v>
      </c>
      <c r="AZ167" s="187">
        <f>AZ168+AZ171</f>
        <v>0</v>
      </c>
      <c r="BA167" s="187">
        <f>BA168+BA171</f>
        <v>0</v>
      </c>
      <c r="BB167" s="187">
        <f>BB168+BB171</f>
        <v>0</v>
      </c>
      <c r="BC167" s="196"/>
      <c r="BD167" s="1541"/>
      <c r="BE167" s="1541"/>
      <c r="BF167" s="1038" t="s">
        <v>992</v>
      </c>
      <c r="BG167" s="1038" t="s">
        <v>993</v>
      </c>
      <c r="BH167" s="1038" cm="1" t="str">
        <f t="array" ref="BH167:BH167">AC167</f>
        <v>СН2</v>
      </c>
      <c r="BI167" s="1191" cm="1" t="str">
        <f t="array" ref="BI167:BI167">AC166</f>
        <v>ПАО "Кузбассэнергосбыт" (ИНН: 4205109214, КПП: 420501001)</v>
      </c>
      <c r="BJ167" s="263"/>
      <c r="BK167" s="263" t="b">
        <v>1</v>
      </c>
    </row>
    <row s="1191" customFormat="1" customHeight="1" ht="31.921875">
      <c r="A168" s="1541"/>
      <c r="B168" s="431"/>
      <c r="C168" s="486"/>
      <c r="D168" s="1541"/>
      <c r="E168" s="263">
        <v>11.25</v>
      </c>
      <c r="F168" s="50" cm="1" t="str">
        <f t="array" ref="F168:F168">OFFSET(E168,-1,1)</f>
        <v>3</v>
      </c>
      <c r="G168" s="122" t="s">
        <v>800</v>
      </c>
      <c r="H168" s="122" cm="1" t="str">
        <f t="array" ref="H168:H168">H167</f>
        <v>СН2</v>
      </c>
      <c r="I168" s="1541"/>
      <c r="J168" s="1541"/>
      <c r="K168" s="1541"/>
      <c r="L168" s="1541"/>
      <c r="M168" s="1541"/>
      <c r="N168" s="1541"/>
      <c r="O168" s="1541"/>
      <c r="P168" s="1541"/>
      <c r="Q168" s="1541"/>
      <c r="R168" s="1541"/>
      <c r="S168" s="1541"/>
      <c r="T168" s="468" cm="1" t="str">
        <f t="array" ref="T168:T168">T167</f>
        <v>true</v>
      </c>
      <c r="U168" s="1541"/>
      <c r="V168" s="1541"/>
      <c r="W168" s="1541"/>
      <c r="X168" s="1519"/>
      <c r="Y168" s="1519"/>
      <c r="Z168" s="1541"/>
      <c r="AA168" s="1516"/>
      <c r="AB168" s="85" t="str">
        <f>AB166&amp;".2"</f>
        <v>7.2.2</v>
      </c>
      <c r="AC168" s="188" t="s">
        <v>994</v>
      </c>
      <c r="AD168" s="85" t="s">
        <v>995</v>
      </c>
      <c r="AE168" s="137">
        <v>3374.26</v>
      </c>
      <c r="AF168" s="137">
        <v>3895.32</v>
      </c>
      <c r="AG168" s="137">
        <f>4.3918*AG170+0.85</f>
        <v>2458.477739952</v>
      </c>
      <c r="AH168" s="137">
        <v>3246.26</v>
      </c>
      <c r="AI168" s="137">
        <v>3635.16</v>
      </c>
      <c r="AJ168" s="1817"/>
      <c r="AK168" s="1817"/>
      <c r="AL168" s="1817"/>
      <c r="AM168" s="1817"/>
      <c r="AN168" s="1817"/>
      <c r="AO168" s="1817"/>
      <c r="AP168" s="1817"/>
      <c r="AQ168" s="1817"/>
      <c r="AR168" s="1817"/>
      <c r="AS168" s="137">
        <v>3989.99</v>
      </c>
      <c r="AT168" s="1817"/>
      <c r="AU168" s="1817"/>
      <c r="AV168" s="1817"/>
      <c r="AW168" s="1817"/>
      <c r="AX168" s="1817"/>
      <c r="AY168" s="1817"/>
      <c r="AZ168" s="1817"/>
      <c r="BA168" s="1817"/>
      <c r="BB168" s="1817"/>
      <c r="BC168" s="196"/>
      <c r="BD168" s="1541"/>
      <c r="BE168" s="1541"/>
      <c r="BF168" s="1038" t="s">
        <v>996</v>
      </c>
      <c r="BG168" s="1038" t="s">
        <v>993</v>
      </c>
      <c r="BH168" s="1038" cm="1" t="str">
        <f t="array" ref="BH168:BH168">BH167</f>
        <v>СН2</v>
      </c>
      <c r="BI168" s="1191" cm="1" t="str">
        <f t="array" ref="BI168:BI168">BI167</f>
        <v>ПАО "Кузбассэнергосбыт" (ИНН: 4205109214, КПП: 420501001)</v>
      </c>
      <c r="BJ168" s="263"/>
      <c r="BK168" s="263"/>
    </row>
    <row s="1191" customFormat="1" customHeight="1" ht="41.671875">
      <c r="A169" s="1541"/>
      <c r="B169" s="431"/>
      <c r="C169" s="486"/>
      <c r="D169" s="1541"/>
      <c r="E169" s="263">
        <v>11.25</v>
      </c>
      <c r="F169" s="50" cm="1" t="str">
        <f t="array" ref="F169:F169">OFFSET(E169,-1,1)</f>
        <v>3</v>
      </c>
      <c r="G169" s="122" t="s">
        <v>997</v>
      </c>
      <c r="H169" s="122" cm="1" t="str">
        <f t="array" ref="H169:H169">H168</f>
        <v>СН2</v>
      </c>
      <c r="I169" s="1541"/>
      <c r="J169" s="1541"/>
      <c r="K169" s="1541"/>
      <c r="L169" s="1541"/>
      <c r="M169" s="1541"/>
      <c r="N169" s="1541"/>
      <c r="O169" s="1541"/>
      <c r="P169" s="1541"/>
      <c r="Q169" s="1541"/>
      <c r="R169" s="1541"/>
      <c r="S169" s="1541"/>
      <c r="T169" s="468" cm="1" t="str">
        <f t="array" ref="T169:T169">T168</f>
        <v>true</v>
      </c>
      <c r="U169" s="1541"/>
      <c r="V169" s="1541"/>
      <c r="W169" s="1541"/>
      <c r="X169" s="1519"/>
      <c r="Y169" s="1519"/>
      <c r="Z169" s="1541"/>
      <c r="AA169" s="1516"/>
      <c r="AB169" s="85" t="str">
        <f>AB166&amp;".3"</f>
        <v>7.2.3</v>
      </c>
      <c r="AC169" s="328" t="s">
        <v>986</v>
      </c>
      <c r="AD169" s="88" t="s">
        <v>978</v>
      </c>
      <c r="AE169" s="187">
        <f>IF(OR(AND(AE168&lt;&gt;0,AE170=0),AND(AE168=0,AE170&lt;&gt;0)),"Ошибка",IF(AE170=0,0,AE168/AE170))</f>
        <v>4.33442092282396</v>
      </c>
      <c r="AF169" s="187">
        <f>IF(OR(AND(AF168&lt;&gt;0,AF170=0),AND(AF168=0,AF170&lt;&gt;0)),"Ошибка",IF(AF170=0,0,AF168/AF170))</f>
        <v>4.38998332056079</v>
      </c>
      <c r="AG169" s="187">
        <f>IF(OR(AND(AG168&lt;&gt;0,AG170=0),AND(AG168=0,AG170&lt;&gt;0)),"Ошибка",IF(AG170=0,0,AG168/AG170))</f>
        <v>4.39331895665048</v>
      </c>
      <c r="AH169" s="187">
        <f>IF(OR(AND(AH168&lt;&gt;0,AH170=0),AND(AH168=0,AH170&lt;&gt;0)),"Ошибка",IF(AH170=0,0,AH168/AH170))</f>
        <v>4.74294313599439</v>
      </c>
      <c r="AI169" s="187">
        <f>IF(OR(AND(AI168&lt;&gt;0,AI170=0),AND(AI168=0,AI170&lt;&gt;0)),"Ошибка",IF(AI170=0,0,AI168/AI170))</f>
        <v>5.30223603028049</v>
      </c>
      <c r="AJ169" s="187">
        <f>IF(OR(AND(AJ168&lt;&gt;0,AJ170=0),AND(AJ168=0,AJ170&lt;&gt;0)),"Ошибка",IF(AJ170=0,0,AJ168/AJ170))</f>
        <v>0</v>
      </c>
      <c r="AK169" s="187">
        <f>IF(OR(AND(AK168&lt;&gt;0,AK170=0),AND(AK168=0,AK170&lt;&gt;0)),"Ошибка",IF(AK170=0,0,AK168/AK170))</f>
        <v>0</v>
      </c>
      <c r="AL169" s="187">
        <f>IF(OR(AND(AL168&lt;&gt;0,AL170=0),AND(AL168=0,AL170&lt;&gt;0)),"Ошибка",IF(AL170=0,0,AL168/AL170))</f>
        <v>0</v>
      </c>
      <c r="AM169" s="187">
        <f>IF(OR(AND(AM168&lt;&gt;0,AM170=0),AND(AM168=0,AM170&lt;&gt;0)),"Ошибка",IF(AM170=0,0,AM168/AM170))</f>
        <v>0</v>
      </c>
      <c r="AN169" s="187">
        <f>IF(OR(AND(AN168&lt;&gt;0,AN170=0),AND(AN168=0,AN170&lt;&gt;0)),"Ошибка",IF(AN170=0,0,AN168/AN170))</f>
        <v>0</v>
      </c>
      <c r="AO169" s="187">
        <f>IF(OR(AND(AO168&lt;&gt;0,AO170=0),AND(AO168=0,AO170&lt;&gt;0)),"Ошибка",IF(AO170=0,0,AO168/AO170))</f>
        <v>0</v>
      </c>
      <c r="AP169" s="187">
        <f>IF(OR(AND(AP168&lt;&gt;0,AP170=0),AND(AP168=0,AP170&lt;&gt;0)),"Ошибка",IF(AP170=0,0,AP168/AP170))</f>
        <v>0</v>
      </c>
      <c r="AQ169" s="187">
        <f>IF(OR(AND(AQ168&lt;&gt;0,AQ170=0),AND(AQ168=0,AQ170&lt;&gt;0)),"Ошибка",IF(AQ170=0,0,AQ168/AQ170))</f>
        <v>0</v>
      </c>
      <c r="AR169" s="187">
        <f>IF(OR(AND(AR168&lt;&gt;0,AR170=0),AND(AR168=0,AR170&lt;&gt;0)),"Ошибка",IF(AR170=0,0,AR168/AR170))</f>
        <v>0</v>
      </c>
      <c r="AS169" s="187">
        <f>IF(OR(AND(AS168&lt;&gt;0,AS170=0),AND(AS168=0,AS170&lt;&gt;0)),"Ошибка",IF(AS170=0,0,AS168/AS170))</f>
        <v>5.68504217485467</v>
      </c>
      <c r="AT169" s="187" t="str">
        <f>IF(OR(AND(AT168&lt;&gt;0,AT170=0),AND(AT168=0,AT170&lt;&gt;0)),"Ошибка",IF(AT170=0,0,AT168/AT170))</f>
        <v>Ошибка</v>
      </c>
      <c r="AU169" s="187" t="str">
        <f>IF(OR(AND(AU168&lt;&gt;0,AU170=0),AND(AU168=0,AU170&lt;&gt;0)),"Ошибка",IF(AU170=0,0,AU168/AU170))</f>
        <v>Ошибка</v>
      </c>
      <c r="AV169" s="187">
        <f>IF(OR(AND(AV168&lt;&gt;0,AV170=0),AND(AV168=0,AV170&lt;&gt;0)),"Ошибка",IF(AV170=0,0,AV168/AV170))</f>
        <v>0</v>
      </c>
      <c r="AW169" s="187">
        <f>IF(OR(AND(AW168&lt;&gt;0,AW170=0),AND(AW168=0,AW170&lt;&gt;0)),"Ошибка",IF(AW170=0,0,AW168/AW170))</f>
        <v>0</v>
      </c>
      <c r="AX169" s="187">
        <f>IF(OR(AND(AX168&lt;&gt;0,AX170=0),AND(AX168=0,AX170&lt;&gt;0)),"Ошибка",IF(AX170=0,0,AX168/AX170))</f>
        <v>0</v>
      </c>
      <c r="AY169" s="187">
        <f>IF(OR(AND(AY168&lt;&gt;0,AY170=0),AND(AY168=0,AY170&lt;&gt;0)),"Ошибка",IF(AY170=0,0,AY168/AY170))</f>
        <v>0</v>
      </c>
      <c r="AZ169" s="187">
        <f>IF(OR(AND(AZ168&lt;&gt;0,AZ170=0),AND(AZ168=0,AZ170&lt;&gt;0)),"Ошибка",IF(AZ170=0,0,AZ168/AZ170))</f>
        <v>0</v>
      </c>
      <c r="BA169" s="187">
        <f>IF(OR(AND(BA168&lt;&gt;0,BA170=0),AND(BA168=0,BA170&lt;&gt;0)),"Ошибка",IF(BA170=0,0,BA168/BA170))</f>
        <v>0</v>
      </c>
      <c r="BB169" s="187">
        <f>IF(OR(AND(BB168&lt;&gt;0,BB170=0),AND(BB168=0,BB170&lt;&gt;0)),"Ошибка",IF(BB170=0,0,BB168/BB170))</f>
        <v>0</v>
      </c>
      <c r="BC169" s="196" t="s">
        <v>1049</v>
      </c>
      <c r="BD169" s="1541"/>
      <c r="BE169" s="1541"/>
      <c r="BF169" s="1038" t="s">
        <v>998</v>
      </c>
      <c r="BG169" s="1038" t="s">
        <v>993</v>
      </c>
      <c r="BH169" s="1038" cm="1" t="str">
        <f t="array" ref="BH169:BH169">BH168</f>
        <v>СН2</v>
      </c>
      <c r="BI169" s="1191" cm="1" t="str">
        <f t="array" ref="BI169:BI169">BI168</f>
        <v>ПАО "Кузбассэнергосбыт" (ИНН: 4205109214, КПП: 420501001)</v>
      </c>
      <c r="BJ169" s="263"/>
      <c r="BK169" s="263"/>
    </row>
    <row s="1191" customFormat="1" customHeight="1" ht="40.921875">
      <c r="A170" s="1541"/>
      <c r="B170" s="431"/>
      <c r="C170" s="486"/>
      <c r="D170" s="1541"/>
      <c r="E170" s="263">
        <v>11.25</v>
      </c>
      <c r="F170" s="50" cm="1" t="str">
        <f t="array" ref="F170:F170">OFFSET(E170,-1,1)</f>
        <v>3</v>
      </c>
      <c r="G170" s="122" t="s">
        <v>999</v>
      </c>
      <c r="H170" s="122" cm="1" t="str">
        <f t="array" ref="H170:H170">H169</f>
        <v>СН2</v>
      </c>
      <c r="I170" s="1541"/>
      <c r="J170" s="1541"/>
      <c r="K170" s="1541"/>
      <c r="L170" s="1541"/>
      <c r="M170" s="1541"/>
      <c r="N170" s="1541"/>
      <c r="O170" s="1541"/>
      <c r="P170" s="1541"/>
      <c r="Q170" s="1541"/>
      <c r="R170" s="1541"/>
      <c r="S170" s="1541"/>
      <c r="T170" s="468" cm="1" t="str">
        <f t="array" ref="T170:T170">T169</f>
        <v>true</v>
      </c>
      <c r="U170" s="1541"/>
      <c r="V170" s="1541"/>
      <c r="W170" s="1541"/>
      <c r="X170" s="1519"/>
      <c r="Y170" s="1519"/>
      <c r="Z170" s="1541"/>
      <c r="AA170" s="1516"/>
      <c r="AB170" s="85" t="str">
        <f>AB166&amp;".4"</f>
        <v>7.2.4</v>
      </c>
      <c r="AC170" s="328" t="s">
        <v>988</v>
      </c>
      <c r="AD170" s="88" t="s">
        <v>972</v>
      </c>
      <c r="AE170" s="137">
        <v>778.48</v>
      </c>
      <c r="AF170" s="137">
        <v>887.32</v>
      </c>
      <c r="AG170" s="137">
        <f>696.88*80.3%</f>
        <v>559.59464</v>
      </c>
      <c r="AH170" s="137">
        <v>684.44</v>
      </c>
      <c r="AI170" s="137">
        <v>685.59</v>
      </c>
      <c r="AJ170" s="1817"/>
      <c r="AK170" s="1817"/>
      <c r="AL170" s="1817"/>
      <c r="AM170" s="1817"/>
      <c r="AN170" s="1817"/>
      <c r="AO170" s="1817"/>
      <c r="AP170" s="1817"/>
      <c r="AQ170" s="1817"/>
      <c r="AR170" s="1817"/>
      <c r="AS170" s="137">
        <v>701.84</v>
      </c>
      <c r="AT170" s="1817" cm="1" t="str">
        <f t="array" ref="AT170:AT170">AS170</f>
        <v>701.84</v>
      </c>
      <c r="AU170" s="1817" cm="1" t="str">
        <f t="array" ref="AU170:AU170">AS170</f>
        <v>701.84</v>
      </c>
      <c r="AV170" s="1817"/>
      <c r="AW170" s="1817"/>
      <c r="AX170" s="1817"/>
      <c r="AY170" s="1817"/>
      <c r="AZ170" s="1817"/>
      <c r="BA170" s="1817"/>
      <c r="BB170" s="1817"/>
      <c r="BC170" s="196" t="s">
        <v>1052</v>
      </c>
      <c r="BD170" s="1541"/>
      <c r="BE170" s="1541"/>
      <c r="BF170" s="1038" t="s">
        <v>1000</v>
      </c>
      <c r="BG170" s="1038" t="s">
        <v>993</v>
      </c>
      <c r="BH170" s="1038" cm="1" t="str">
        <f t="array" ref="BH170:BH170">BH169</f>
        <v>СН2</v>
      </c>
      <c r="BI170" s="1191" cm="1" t="str">
        <f t="array" ref="BI170:BI170">BI169</f>
        <v>ПАО "Кузбассэнергосбыт" (ИНН: 4205109214, КПП: 420501001)</v>
      </c>
      <c r="BJ170" s="263"/>
      <c r="BK170" s="263"/>
    </row>
    <row s="1191" customFormat="1" customHeight="1" ht="33.421875">
      <c r="A171" s="1541"/>
      <c r="B171" s="431"/>
      <c r="C171" s="486"/>
      <c r="D171" s="1541"/>
      <c r="E171" s="263">
        <v>11.25</v>
      </c>
      <c r="F171" s="50" cm="1" t="str">
        <f t="array" ref="F171:F171">OFFSET(E171,-1,1)</f>
        <v>3</v>
      </c>
      <c r="G171" s="122" t="s">
        <v>803</v>
      </c>
      <c r="H171" s="122" cm="1" t="str">
        <f t="array" ref="H171:H171">H170</f>
        <v>СН2</v>
      </c>
      <c r="I171" s="1541"/>
      <c r="J171" s="1541"/>
      <c r="K171" s="1541"/>
      <c r="L171" s="1541"/>
      <c r="M171" s="1541"/>
      <c r="N171" s="1541"/>
      <c r="O171" s="1541"/>
      <c r="P171" s="1541"/>
      <c r="Q171" s="1541"/>
      <c r="R171" s="1541"/>
      <c r="S171" s="1541"/>
      <c r="T171" s="468" cm="1" t="str">
        <f t="array" ref="T171:T171">T170</f>
        <v>true</v>
      </c>
      <c r="U171" s="1541"/>
      <c r="V171" s="1541"/>
      <c r="W171" s="1541"/>
      <c r="X171" s="1519"/>
      <c r="Y171" s="1519"/>
      <c r="Z171" s="1541"/>
      <c r="AA171" s="1516"/>
      <c r="AB171" s="85" t="str">
        <f>AB166&amp;".5"</f>
        <v>7.2.5</v>
      </c>
      <c r="AC171" s="188" t="s">
        <v>1001</v>
      </c>
      <c r="AD171" s="85" t="s">
        <v>995</v>
      </c>
      <c r="AE171" s="137">
        <v>1077.89</v>
      </c>
      <c r="AF171" s="137">
        <v>1064.73</v>
      </c>
      <c r="AG171" s="137">
        <v>1112.949894</v>
      </c>
      <c r="AH171" s="137">
        <v>1327.99</v>
      </c>
      <c r="AI171" s="137">
        <v>1285.98</v>
      </c>
      <c r="AJ171" s="1817"/>
      <c r="AK171" s="1817"/>
      <c r="AL171" s="1817"/>
      <c r="AM171" s="1817"/>
      <c r="AN171" s="1817"/>
      <c r="AO171" s="1817"/>
      <c r="AP171" s="1817"/>
      <c r="AQ171" s="1817"/>
      <c r="AR171" s="1817"/>
      <c r="AS171" s="137">
        <v>1441.15</v>
      </c>
      <c r="AT171" s="1817"/>
      <c r="AU171" s="1817"/>
      <c r="AV171" s="1817"/>
      <c r="AW171" s="1817"/>
      <c r="AX171" s="1817"/>
      <c r="AY171" s="1817"/>
      <c r="AZ171" s="1817"/>
      <c r="BA171" s="1817"/>
      <c r="BB171" s="1817"/>
      <c r="BC171" s="196"/>
      <c r="BD171" s="1541"/>
      <c r="BE171" s="1541"/>
      <c r="BF171" s="1038" t="s">
        <v>1002</v>
      </c>
      <c r="BG171" s="1038" t="s">
        <v>993</v>
      </c>
      <c r="BH171" s="1038" cm="1" t="str">
        <f t="array" ref="BH171:BH171">BH170</f>
        <v>СН2</v>
      </c>
      <c r="BI171" s="1191" cm="1" t="str">
        <f t="array" ref="BI171:BI171">BI170</f>
        <v>ПАО "Кузбассэнергосбыт" (ИНН: 4205109214, КПП: 420501001)</v>
      </c>
      <c r="BJ171" s="263"/>
      <c r="BK171" s="263"/>
    </row>
    <row s="1191" customFormat="1" customHeight="1" ht="52.171875">
      <c r="A172" s="1541"/>
      <c r="B172" s="431"/>
      <c r="C172" s="486"/>
      <c r="D172" s="1541"/>
      <c r="E172" s="263">
        <v>11.25</v>
      </c>
      <c r="F172" s="50" cm="1" t="str">
        <f t="array" ref="F172:F172">OFFSET(E172,-1,1)</f>
        <v>3</v>
      </c>
      <c r="G172" s="122" t="s">
        <v>1003</v>
      </c>
      <c r="H172" s="122" cm="1" t="str">
        <f t="array" ref="H172:H172">H171</f>
        <v>СН2</v>
      </c>
      <c r="I172" s="1541"/>
      <c r="J172" s="1541"/>
      <c r="K172" s="1541"/>
      <c r="L172" s="1541"/>
      <c r="M172" s="1541"/>
      <c r="N172" s="1541"/>
      <c r="O172" s="1541"/>
      <c r="P172" s="1541"/>
      <c r="Q172" s="1541"/>
      <c r="R172" s="1541"/>
      <c r="S172" s="1541"/>
      <c r="T172" s="468" cm="1" t="str">
        <f t="array" ref="T172:T172">T171</f>
        <v>true</v>
      </c>
      <c r="U172" s="1541"/>
      <c r="V172" s="1541"/>
      <c r="W172" s="1541"/>
      <c r="X172" s="1519"/>
      <c r="Y172" s="1519"/>
      <c r="Z172" s="1541"/>
      <c r="AA172" s="1516"/>
      <c r="AB172" s="85" t="str">
        <f>AB166&amp;".6"</f>
        <v>7.2.6</v>
      </c>
      <c r="AC172" s="328" t="s">
        <v>1004</v>
      </c>
      <c r="AD172" s="88" t="s">
        <v>1005</v>
      </c>
      <c r="AE172" s="187">
        <f>IF(OR(AND(AE171&lt;&gt;0,AE173=0),AND(AE171=0,AE173&lt;&gt;0)),"Ошибка",IF(AE173=0,0,AE171/AE173*1000/12))</f>
        <v>913466.102004567</v>
      </c>
      <c r="AF172" s="187">
        <f>IF(OR(AND(AF171&lt;&gt;0,AF173=0),AND(AF171=0,AF173&lt;&gt;0)),"Ошибка",IF(AF173=0,0,AF171/AF173*1000/12))</f>
        <v>806613.636363637</v>
      </c>
      <c r="AG172" s="187">
        <f>IF(OR(AND(AG171&lt;&gt;0,AG173=0),AND(AG171=0,AG173&lt;&gt;0)),"Ошибка",IF(AG173=0,0,AG171/AG173*1000/12))</f>
        <v>808172.050365981</v>
      </c>
      <c r="AH172" s="187">
        <f>IF(OR(AND(AH171&lt;&gt;0,AH173=0),AND(AH171=0,AH173&lt;&gt;0)),"Ошибка",IF(AH173=0,0,AH171/AH173*1000/12))</f>
        <v>969335.766140342</v>
      </c>
      <c r="AI172" s="187">
        <f>IF(OR(AND(AI171&lt;&gt;0,AI173=0),AND(AI171=0,AI173&lt;&gt;0)),"Ошибка",IF(AI173=0,0,AI171/AI173*1000/12))</f>
        <v>974227.272727275</v>
      </c>
      <c r="AJ172" s="187">
        <f>IF(OR(AND(AJ171&lt;&gt;0,AJ173=0),AND(AJ171=0,AJ173&lt;&gt;0)),"Ошибка",IF(AJ173=0,0,AJ171/AJ173*1000/12))</f>
        <v>0</v>
      </c>
      <c r="AK172" s="187">
        <f>IF(OR(AND(AK171&lt;&gt;0,AK173=0),AND(AK171=0,AK173&lt;&gt;0)),"Ошибка",IF(AK173=0,0,AK171/AK173*1000/12))</f>
        <v>0</v>
      </c>
      <c r="AL172" s="187">
        <f>IF(OR(AND(AL171&lt;&gt;0,AL173=0),AND(AL171=0,AL173&lt;&gt;0)),"Ошибка",IF(AL173=0,0,AL171/AL173*1000/12))</f>
        <v>0</v>
      </c>
      <c r="AM172" s="187">
        <f>IF(OR(AND(AM171&lt;&gt;0,AM173=0),AND(AM171=0,AM173&lt;&gt;0)),"Ошибка",IF(AM173=0,0,AM171/AM173*1000/12))</f>
        <v>0</v>
      </c>
      <c r="AN172" s="187">
        <f>IF(OR(AND(AN171&lt;&gt;0,AN173=0),AND(AN171=0,AN173&lt;&gt;0)),"Ошибка",IF(AN173=0,0,AN171/AN173*1000/12))</f>
        <v>0</v>
      </c>
      <c r="AO172" s="187">
        <f>IF(OR(AND(AO171&lt;&gt;0,AO173=0),AND(AO171=0,AO173&lt;&gt;0)),"Ошибка",IF(AO173=0,0,AO171/AO173*1000/12))</f>
        <v>0</v>
      </c>
      <c r="AP172" s="187">
        <f>IF(OR(AND(AP171&lt;&gt;0,AP173=0),AND(AP171=0,AP173&lt;&gt;0)),"Ошибка",IF(AP173=0,0,AP171/AP173*1000/12))</f>
        <v>0</v>
      </c>
      <c r="AQ172" s="187">
        <f>IF(OR(AND(AQ171&lt;&gt;0,AQ173=0),AND(AQ171=0,AQ173&lt;&gt;0)),"Ошибка",IF(AQ173=0,0,AQ171/AQ173*1000/12))</f>
        <v>0</v>
      </c>
      <c r="AR172" s="187">
        <f>IF(OR(AND(AR171&lt;&gt;0,AR173=0),AND(AR171=0,AR173&lt;&gt;0)),"Ошибка",IF(AR173=0,0,AR171/AR173*1000/12))</f>
        <v>0</v>
      </c>
      <c r="AS172" s="187">
        <f>IF(OR(AND(AS171&lt;&gt;0,AS173=0),AND(AS171=0,AS173&lt;&gt;0)),"Ошибка",IF(AS173=0,0,AS171/AS173*1000/12))</f>
        <v>1044311.5942029</v>
      </c>
      <c r="AT172" s="187">
        <f>IF(OR(AND(AT171&lt;&gt;0,AT173=0),AND(AT171=0,AT173&lt;&gt;0)),"Ошибка",IF(AT173=0,0,AT171/AT173*1000/12))</f>
        <v>0</v>
      </c>
      <c r="AU172" s="187">
        <f>IF(OR(AND(AU171&lt;&gt;0,AU173=0),AND(AU171=0,AU173&lt;&gt;0)),"Ошибка",IF(AU173=0,0,AU171/AU173*1000/12))</f>
        <v>0</v>
      </c>
      <c r="AV172" s="187">
        <f>IF(OR(AND(AV171&lt;&gt;0,AV173=0),AND(AV171=0,AV173&lt;&gt;0)),"Ошибка",IF(AV173=0,0,AV171/AV173*1000/12))</f>
        <v>0</v>
      </c>
      <c r="AW172" s="187">
        <f>IF(OR(AND(AW171&lt;&gt;0,AW173=0),AND(AW171=0,AW173&lt;&gt;0)),"Ошибка",IF(AW173=0,0,AW171/AW173*1000/12))</f>
        <v>0</v>
      </c>
      <c r="AX172" s="187">
        <f>IF(OR(AND(AX171&lt;&gt;0,AX173=0),AND(AX171=0,AX173&lt;&gt;0)),"Ошибка",IF(AX173=0,0,AX171/AX173*1000/12))</f>
        <v>0</v>
      </c>
      <c r="AY172" s="187">
        <f>IF(OR(AND(AY171&lt;&gt;0,AY173=0),AND(AY171=0,AY173&lt;&gt;0)),"Ошибка",IF(AY173=0,0,AY171/AY173*1000/12))</f>
        <v>0</v>
      </c>
      <c r="AZ172" s="187">
        <f>IF(OR(AND(AZ171&lt;&gt;0,AZ173=0),AND(AZ171=0,AZ173&lt;&gt;0)),"Ошибка",IF(AZ173=0,0,AZ171/AZ173*1000/12))</f>
        <v>0</v>
      </c>
      <c r="BA172" s="187">
        <f>IF(OR(AND(BA171&lt;&gt;0,BA173=0),AND(BA171=0,BA173&lt;&gt;0)),"Ошибка",IF(BA173=0,0,BA171/BA173*1000/12))</f>
        <v>0</v>
      </c>
      <c r="BB172" s="187">
        <f>IF(OR(AND(BB171&lt;&gt;0,BB173=0),AND(BB171=0,BB173&lt;&gt;0)),"Ошибка",IF(BB173=0,0,BB171/BB173*1000/12))</f>
        <v>0</v>
      </c>
      <c r="BC172" s="196" t="s">
        <v>1053</v>
      </c>
      <c r="BD172" s="1541"/>
      <c r="BE172" s="1541"/>
      <c r="BF172" s="1038" t="s">
        <v>1006</v>
      </c>
      <c r="BG172" s="1038" t="s">
        <v>993</v>
      </c>
      <c r="BH172" s="1038" cm="1" t="str">
        <f t="array" ref="BH172:BH172">BH171</f>
        <v>СН2</v>
      </c>
      <c r="BI172" s="1191" cm="1" t="str">
        <f t="array" ref="BI172:BI172">BI171</f>
        <v>ПАО "Кузбассэнергосбыт" (ИНН: 4205109214, КПП: 420501001)</v>
      </c>
      <c r="BJ172" s="263"/>
      <c r="BK172" s="263"/>
    </row>
    <row s="1191" customFormat="1" customHeight="1" ht="23.25">
      <c r="A173" s="1541"/>
      <c r="B173" s="431"/>
      <c r="C173" s="486"/>
      <c r="D173" s="1541"/>
      <c r="E173" s="263">
        <v>11.25</v>
      </c>
      <c r="F173" s="50" cm="1" t="str">
        <f t="array" ref="F173:F173">OFFSET(E173,-1,1)</f>
        <v>3</v>
      </c>
      <c r="G173" s="122" t="s">
        <v>1007</v>
      </c>
      <c r="H173" s="122" cm="1" t="str">
        <f t="array" ref="H173:H173">H172</f>
        <v>СН2</v>
      </c>
      <c r="I173" s="1541"/>
      <c r="J173" s="1541"/>
      <c r="K173" s="1541"/>
      <c r="L173" s="1541"/>
      <c r="M173" s="1541"/>
      <c r="N173" s="1541"/>
      <c r="O173" s="1541"/>
      <c r="P173" s="1541"/>
      <c r="Q173" s="1541"/>
      <c r="R173" s="1541"/>
      <c r="S173" s="1541"/>
      <c r="T173" s="468" cm="1" t="str">
        <f t="array" ref="T173:T173">T172</f>
        <v>true</v>
      </c>
      <c r="U173" s="1541"/>
      <c r="V173" s="1541"/>
      <c r="W173" s="1541"/>
      <c r="X173" s="1519"/>
      <c r="Y173" s="1519"/>
      <c r="Z173" s="1541"/>
      <c r="AA173" s="1516"/>
      <c r="AB173" s="85" t="str">
        <f>AB166&amp;".7"</f>
        <v>7.2.7</v>
      </c>
      <c r="AC173" s="328" t="s">
        <v>1008</v>
      </c>
      <c r="AD173" s="88" t="s">
        <v>1009</v>
      </c>
      <c r="AE173" s="137">
        <v>0.0983333333</v>
      </c>
      <c r="AF173" s="137">
        <f>1.32/12</f>
        <v>0.11</v>
      </c>
      <c r="AG173" s="137">
        <f>1.37712/12</f>
        <v>0.11476</v>
      </c>
      <c r="AH173" s="137">
        <v>0.1141666667</v>
      </c>
      <c r="AI173" s="137">
        <f>1.32/12</f>
        <v>0.11</v>
      </c>
      <c r="AJ173" s="1817"/>
      <c r="AK173" s="1817"/>
      <c r="AL173" s="1817"/>
      <c r="AM173" s="1817"/>
      <c r="AN173" s="1817"/>
      <c r="AO173" s="1817"/>
      <c r="AP173" s="1817"/>
      <c r="AQ173" s="1817"/>
      <c r="AR173" s="1817"/>
      <c r="AS173" s="137">
        <f>1.38/12</f>
        <v>0.115</v>
      </c>
      <c r="AT173" s="1817"/>
      <c r="AU173" s="1817"/>
      <c r="AV173" s="1817"/>
      <c r="AW173" s="1817"/>
      <c r="AX173" s="1817"/>
      <c r="AY173" s="1817"/>
      <c r="AZ173" s="1817"/>
      <c r="BA173" s="1817"/>
      <c r="BB173" s="1817"/>
      <c r="BC173" s="196" t="s">
        <v>1054</v>
      </c>
      <c r="BD173" s="1541"/>
      <c r="BE173" s="1541"/>
      <c r="BF173" s="1038" t="s">
        <v>1010</v>
      </c>
      <c r="BG173" s="1038" t="s">
        <v>993</v>
      </c>
      <c r="BH173" s="1038" cm="1" t="str">
        <f t="array" ref="BH173:BH173">BH172</f>
        <v>СН2</v>
      </c>
      <c r="BI173" s="1191" cm="1" t="str">
        <f t="array" ref="BI173:BI173">BI172</f>
        <v>ПАО "Кузбассэнергосбыт" (ИНН: 4205109214, КПП: 420501001)</v>
      </c>
      <c r="BJ173" s="263"/>
      <c r="BK173" s="263"/>
    </row>
    <row s="1363" customFormat="1" customHeight="1" ht="14.25">
      <c r="A174" s="1363"/>
      <c r="B174" s="429"/>
      <c r="C174" s="486"/>
      <c r="D174" s="1363"/>
      <c r="E174" s="638">
        <v>15</v>
      </c>
      <c r="F174" s="50" cm="1" t="str">
        <f t="array" ref="F174:F174">OFFSET(E174,-1,1)</f>
        <v>3</v>
      </c>
      <c r="G174" s="1363"/>
      <c r="H174" s="965" t="s">
        <v>1011</v>
      </c>
      <c r="I174" s="1363"/>
      <c r="J174" s="1363"/>
      <c r="K174" s="1363"/>
      <c r="L174" s="1363"/>
      <c r="M174" s="1363"/>
      <c r="N174" s="1363"/>
      <c r="O174" s="1363"/>
      <c r="P174" s="1363"/>
      <c r="Q174" s="1363"/>
      <c r="R174" s="1363"/>
      <c r="S174" s="1363"/>
      <c r="T174" s="468">
        <f>F174&gt;0</f>
        <v>1</v>
      </c>
      <c r="U174" s="1363"/>
      <c r="V174" s="1363"/>
      <c r="W174" s="764" t="s">
        <v>1012</v>
      </c>
      <c r="X174" s="1519"/>
      <c r="Y174" s="1363"/>
      <c r="Z174" s="1541"/>
      <c r="AA174" s="1363"/>
      <c r="AB174" s="171"/>
      <c r="AC174" s="174" t="s">
        <v>1013</v>
      </c>
      <c r="AD174" s="172"/>
      <c r="AE174" s="172"/>
      <c r="AF174" s="172"/>
      <c r="AG174" s="172"/>
      <c r="AH174" s="172"/>
      <c r="AI174" s="172"/>
      <c r="AJ174" s="172"/>
      <c r="AK174" s="172"/>
      <c r="AL174" s="172"/>
      <c r="AM174" s="172"/>
      <c r="AN174" s="172"/>
      <c r="AO174" s="172"/>
      <c r="AP174" s="172"/>
      <c r="AQ174" s="172"/>
      <c r="AR174" s="172"/>
      <c r="AS174" s="172"/>
      <c r="AT174" s="172"/>
      <c r="AU174" s="172"/>
      <c r="AV174" s="172"/>
      <c r="AW174" s="172"/>
      <c r="AX174" s="172"/>
      <c r="AY174" s="172"/>
      <c r="AZ174" s="172"/>
      <c r="BA174" s="172"/>
      <c r="BB174" s="172"/>
      <c r="BC174" s="183"/>
      <c r="BD174" s="1363"/>
      <c r="BE174" s="1363"/>
      <c r="BF174" s="1026"/>
      <c r="BG174" s="1026"/>
      <c r="BH174" s="1026"/>
      <c r="BJ174" s="638" t="s">
        <v>993</v>
      </c>
      <c r="BK174" s="638"/>
    </row>
    <row customHeight="1" ht="10.96875">
      <c r="E175" s="665">
        <v>11.25</v>
      </c>
      <c r="U175" s="94" t="s">
        <v>177</v>
      </c>
      <c r="V175" s="136" t="s">
        <v>1055</v>
      </c>
      <c r="AI175" s="1328"/>
      <c r="AJ175" s="1328"/>
      <c r="AK175" s="1328"/>
      <c r="AL175" s="1328"/>
      <c r="AM175" s="1328"/>
      <c r="AN175" s="1328"/>
      <c r="AO175" s="1328"/>
      <c r="AP175" s="1328"/>
      <c r="AQ175" s="1328"/>
      <c r="AR175" s="1328"/>
      <c r="AS175" s="1328"/>
      <c r="AT175" s="1328"/>
      <c r="AU175" s="1328"/>
      <c r="AV175" s="1328"/>
      <c r="AW175" s="1328"/>
      <c r="AX175" s="1328"/>
      <c r="AY175" s="1328"/>
      <c r="AZ175" s="1328"/>
      <c r="BA175" s="1328"/>
      <c r="BB175" s="1328"/>
    </row>
    <row customHeight="1" ht="14.625">
      <c r="E176" s="637">
        <v>15</v>
      </c>
      <c r="AB176" s="1581" t="s">
        <v>420</v>
      </c>
      <c r="AC176" s="1582"/>
      <c r="AD176" s="1582"/>
      <c r="AE176" s="1582"/>
      <c r="AF176" s="1582"/>
      <c r="AG176" s="1582"/>
      <c r="AH176" s="1582"/>
      <c r="AI176" s="1582"/>
      <c r="AJ176" s="1582"/>
      <c r="AK176" s="1582"/>
      <c r="AL176" s="1582"/>
      <c r="AM176" s="1582"/>
      <c r="AN176" s="1582"/>
      <c r="AO176" s="1582"/>
      <c r="AP176" s="1582"/>
      <c r="AQ176" s="1582"/>
      <c r="AR176" s="1582"/>
      <c r="AS176" s="1582"/>
      <c r="AT176" s="1582"/>
      <c r="AU176" s="1582"/>
      <c r="AV176" s="1582"/>
      <c r="AW176" s="1582"/>
      <c r="AX176" s="1582"/>
      <c r="AY176" s="1582"/>
      <c r="AZ176" s="1582"/>
      <c r="BA176" s="1582"/>
      <c r="BB176" s="1582"/>
      <c r="BC176" s="1583"/>
    </row>
    <row customHeight="1" ht="34.171875">
      <c r="E177" s="637">
        <v>15</v>
      </c>
      <c r="AA177" s="667"/>
      <c r="AB177" s="1578" t="s">
        <v>1056</v>
      </c>
      <c r="AC177" s="1579"/>
      <c r="AD177" s="1579"/>
      <c r="AE177" s="1579"/>
      <c r="AF177" s="1579"/>
      <c r="AG177" s="1579"/>
      <c r="AH177" s="1579"/>
      <c r="AI177" s="1579"/>
      <c r="AJ177" s="2897"/>
      <c r="AK177" s="2897"/>
      <c r="AL177" s="2897"/>
      <c r="AM177" s="2897"/>
      <c r="AN177" s="2897"/>
      <c r="AO177" s="2897"/>
      <c r="AP177" s="2897"/>
      <c r="AQ177" s="2897"/>
      <c r="AR177" s="2897"/>
      <c r="AS177" s="1579"/>
      <c r="AT177" s="2897"/>
      <c r="AU177" s="2897"/>
      <c r="AV177" s="2897"/>
      <c r="AW177" s="2897"/>
      <c r="AX177" s="2897"/>
      <c r="AY177" s="2897"/>
      <c r="AZ177" s="2897"/>
      <c r="BA177" s="2897"/>
      <c r="BB177" s="2897"/>
      <c r="BC177" s="1580"/>
    </row>
    <row customHeight="1" ht="14.625" hidden="1">
      <c r="A178" s="1328"/>
      <c r="B178" s="1186"/>
      <c r="C178" s="1336"/>
      <c r="D178" s="1328"/>
      <c r="E178" s="637">
        <v>15</v>
      </c>
      <c r="F178" s="1328"/>
      <c r="G178" s="1328"/>
      <c r="H178" s="1328"/>
      <c r="I178" s="1328"/>
      <c r="J178" s="1328"/>
      <c r="K178" s="1328"/>
      <c r="L178" s="1328"/>
      <c r="M178" s="1328"/>
      <c r="N178" s="1328"/>
      <c r="O178" s="1328"/>
      <c r="P178" s="1328"/>
      <c r="Q178" s="1328"/>
      <c r="R178" s="1328"/>
      <c r="S178" s="1328"/>
      <c r="T178" s="468">
        <f>ROW(W178)&gt;ROW(W$178)</f>
        <v>0</v>
      </c>
      <c r="U178" s="1328"/>
      <c r="V178" s="1328"/>
      <c r="W178" s="764" t="s">
        <v>173</v>
      </c>
      <c r="X178" s="1328"/>
      <c r="Y178" s="1328"/>
      <c r="Z178" s="1328"/>
      <c r="AA178" s="678" t="s">
        <v>174</v>
      </c>
      <c r="AB178" s="2898" t="s">
        <v>240</v>
      </c>
      <c r="AC178" s="2897"/>
      <c r="AD178" s="2897"/>
      <c r="AE178" s="2897"/>
      <c r="AF178" s="2897"/>
      <c r="AG178" s="2897"/>
      <c r="AH178" s="2897"/>
      <c r="AI178" s="1579"/>
      <c r="AJ178" s="2897"/>
      <c r="AK178" s="2897"/>
      <c r="AL178" s="2897"/>
      <c r="AM178" s="2897"/>
      <c r="AN178" s="2897"/>
      <c r="AO178" s="2897"/>
      <c r="AP178" s="2897"/>
      <c r="AQ178" s="2897"/>
      <c r="AR178" s="2897"/>
      <c r="AS178" s="1579"/>
      <c r="AT178" s="2897"/>
      <c r="AU178" s="2897"/>
      <c r="AV178" s="2897"/>
      <c r="AW178" s="2897"/>
      <c r="AX178" s="2897"/>
      <c r="AY178" s="2897"/>
      <c r="AZ178" s="2897"/>
      <c r="BA178" s="2897"/>
      <c r="BB178" s="2897"/>
      <c r="BC178" s="2899"/>
      <c r="BD178" s="1328"/>
      <c r="BE178" s="1328"/>
      <c r="BF178" s="1330"/>
      <c r="BG178" s="1330"/>
      <c r="BH178" s="1330"/>
      <c r="BJ178" s="1329"/>
      <c r="BK178" s="1329"/>
    </row>
    <row s="1656" customFormat="1" customHeight="1" ht="54.421875">
      <c r="A179" s="1328"/>
      <c r="B179" s="1186"/>
      <c r="C179" s="1336"/>
      <c r="D179" s="1328"/>
      <c r="E179" s="637">
        <v>15</v>
      </c>
      <c r="F179" s="1328"/>
      <c r="G179" s="1328"/>
      <c r="H179" s="1328"/>
      <c r="I179" s="1328"/>
      <c r="J179" s="1328"/>
      <c r="K179" s="1328"/>
      <c r="L179" s="1328"/>
      <c r="M179" s="1328"/>
      <c r="N179" s="1328"/>
      <c r="O179" s="1328"/>
      <c r="P179" s="1328"/>
      <c r="Q179" s="1328"/>
      <c r="R179" s="1328"/>
      <c r="S179" s="1328"/>
      <c r="T179" s="468">
        <f>ROW(W179)&gt;ROW(W$178)</f>
        <v>1</v>
      </c>
      <c r="U179" s="1328"/>
      <c r="V179" s="1328"/>
      <c r="W179" s="764"/>
      <c r="X179" s="1328"/>
      <c r="Y179" s="1328" t="s">
        <v>240</v>
      </c>
      <c r="Z179" s="1328"/>
      <c r="AA179" s="678" t="s">
        <v>174</v>
      </c>
      <c r="AB179" s="1578" t="s">
        <v>1057</v>
      </c>
      <c r="AC179" s="1579"/>
      <c r="AD179" s="1579"/>
      <c r="AE179" s="1579"/>
      <c r="AF179" s="1579"/>
      <c r="AG179" s="1579"/>
      <c r="AH179" s="1579"/>
      <c r="AI179" s="1579"/>
      <c r="AJ179" s="2897"/>
      <c r="AK179" s="2897"/>
      <c r="AL179" s="1579"/>
      <c r="AM179" s="1579"/>
      <c r="AN179" s="1579"/>
      <c r="AO179" s="1579"/>
      <c r="AP179" s="1579"/>
      <c r="AQ179" s="1579"/>
      <c r="AR179" s="1579"/>
      <c r="AS179" s="1579"/>
      <c r="AT179" s="2897"/>
      <c r="AU179" s="2897"/>
      <c r="AV179" s="1579"/>
      <c r="AW179" s="1579"/>
      <c r="AX179" s="1579"/>
      <c r="AY179" s="1579"/>
      <c r="AZ179" s="1579"/>
      <c r="BA179" s="1579"/>
      <c r="BB179" s="1579"/>
      <c r="BC179" s="1580"/>
      <c r="BD179" s="1328"/>
      <c r="BE179" s="1328"/>
      <c r="BF179" s="1330"/>
      <c r="BG179" s="1330"/>
      <c r="BH179" s="1330"/>
      <c r="BJ179" s="1329"/>
      <c r="BK179" s="1329"/>
    </row>
    <row s="1656" customFormat="1" customHeight="1" ht="40.171875">
      <c r="A180" s="1328"/>
      <c r="B180" s="1186"/>
      <c r="C180" s="1336"/>
      <c r="D180" s="1328"/>
      <c r="E180" s="637">
        <v>15</v>
      </c>
      <c r="F180" s="1328"/>
      <c r="G180" s="1328"/>
      <c r="H180" s="1328"/>
      <c r="I180" s="1328"/>
      <c r="J180" s="1328"/>
      <c r="K180" s="1328"/>
      <c r="L180" s="1328"/>
      <c r="M180" s="1328"/>
      <c r="N180" s="1328"/>
      <c r="O180" s="1328"/>
      <c r="P180" s="1328"/>
      <c r="Q180" s="1328"/>
      <c r="R180" s="1328"/>
      <c r="S180" s="1328"/>
      <c r="T180" s="468">
        <f>ROW(W180)&gt;ROW(W$178)</f>
        <v>1</v>
      </c>
      <c r="U180" s="1328"/>
      <c r="V180" s="1328"/>
      <c r="W180" s="764"/>
      <c r="X180" s="1328"/>
      <c r="Y180" s="1328" t="s">
        <v>240</v>
      </c>
      <c r="Z180" s="1328"/>
      <c r="AA180" s="678" t="s">
        <v>174</v>
      </c>
      <c r="AB180" s="1578" t="s">
        <v>1058</v>
      </c>
      <c r="AC180" s="1579"/>
      <c r="AD180" s="1579"/>
      <c r="AE180" s="1579"/>
      <c r="AF180" s="1579"/>
      <c r="AG180" s="1579"/>
      <c r="AH180" s="1579"/>
      <c r="AI180" s="1579"/>
      <c r="AJ180" s="2897"/>
      <c r="AK180" s="2897"/>
      <c r="AL180" s="1579"/>
      <c r="AM180" s="1579"/>
      <c r="AN180" s="1579"/>
      <c r="AO180" s="1579"/>
      <c r="AP180" s="1579"/>
      <c r="AQ180" s="1579"/>
      <c r="AR180" s="1579"/>
      <c r="AS180" s="1579"/>
      <c r="AT180" s="2897"/>
      <c r="AU180" s="2897"/>
      <c r="AV180" s="1579"/>
      <c r="AW180" s="1579"/>
      <c r="AX180" s="1579"/>
      <c r="AY180" s="1579"/>
      <c r="AZ180" s="1579"/>
      <c r="BA180" s="1579"/>
      <c r="BB180" s="1579"/>
      <c r="BC180" s="1580"/>
      <c r="BD180" s="1328"/>
      <c r="BE180" s="1328"/>
      <c r="BF180" s="1330"/>
      <c r="BG180" s="1330"/>
      <c r="BH180" s="1330"/>
      <c r="BJ180" s="1329"/>
      <c r="BK180" s="1329"/>
    </row>
    <row s="1656" customFormat="1" customHeight="1" ht="37.171875">
      <c r="A181" s="1328"/>
      <c r="B181" s="1186"/>
      <c r="C181" s="1336"/>
      <c r="D181" s="1328"/>
      <c r="E181" s="637">
        <v>15</v>
      </c>
      <c r="F181" s="1328"/>
      <c r="G181" s="1328"/>
      <c r="H181" s="1328"/>
      <c r="I181" s="1328"/>
      <c r="J181" s="1328"/>
      <c r="K181" s="1328"/>
      <c r="L181" s="1328"/>
      <c r="M181" s="1328"/>
      <c r="N181" s="1328"/>
      <c r="O181" s="1328"/>
      <c r="P181" s="1328"/>
      <c r="Q181" s="1328"/>
      <c r="R181" s="1328"/>
      <c r="S181" s="1328"/>
      <c r="T181" s="468">
        <f>ROW(W181)&gt;ROW(W$178)</f>
        <v>1</v>
      </c>
      <c r="U181" s="1328"/>
      <c r="V181" s="1328"/>
      <c r="W181" s="764"/>
      <c r="X181" s="1328"/>
      <c r="Y181" s="1328" t="s">
        <v>240</v>
      </c>
      <c r="Z181" s="1328"/>
      <c r="AA181" s="678" t="s">
        <v>174</v>
      </c>
      <c r="AB181" s="1578" t="s">
        <v>1059</v>
      </c>
      <c r="AC181" s="1579"/>
      <c r="AD181" s="1579"/>
      <c r="AE181" s="1579"/>
      <c r="AF181" s="1579"/>
      <c r="AG181" s="1579"/>
      <c r="AH181" s="1579"/>
      <c r="AI181" s="1579"/>
      <c r="AJ181" s="2897"/>
      <c r="AK181" s="2897"/>
      <c r="AL181" s="1579"/>
      <c r="AM181" s="1579"/>
      <c r="AN181" s="1579"/>
      <c r="AO181" s="1579"/>
      <c r="AP181" s="1579"/>
      <c r="AQ181" s="1579"/>
      <c r="AR181" s="1579"/>
      <c r="AS181" s="1579"/>
      <c r="AT181" s="2897"/>
      <c r="AU181" s="2897"/>
      <c r="AV181" s="1579"/>
      <c r="AW181" s="1579"/>
      <c r="AX181" s="1579"/>
      <c r="AY181" s="1579"/>
      <c r="AZ181" s="1579"/>
      <c r="BA181" s="1579"/>
      <c r="BB181" s="1579"/>
      <c r="BC181" s="1580"/>
      <c r="BD181" s="1328"/>
      <c r="BE181" s="1328"/>
      <c r="BF181" s="1330"/>
      <c r="BG181" s="1330"/>
      <c r="BH181" s="1330"/>
      <c r="BJ181" s="1329"/>
      <c r="BK181" s="1329"/>
    </row>
    <row s="1656" customFormat="1" customHeight="1" ht="53.671875">
      <c r="A182" s="1328"/>
      <c r="B182" s="1186"/>
      <c r="C182" s="1336"/>
      <c r="D182" s="1328"/>
      <c r="E182" s="637">
        <v>15</v>
      </c>
      <c r="F182" s="1328"/>
      <c r="G182" s="1328"/>
      <c r="H182" s="1328"/>
      <c r="I182" s="1328"/>
      <c r="J182" s="1328"/>
      <c r="K182" s="1328"/>
      <c r="L182" s="1328"/>
      <c r="M182" s="1328"/>
      <c r="N182" s="1328"/>
      <c r="O182" s="1328"/>
      <c r="P182" s="1328"/>
      <c r="Q182" s="1328"/>
      <c r="R182" s="1328"/>
      <c r="S182" s="1328"/>
      <c r="T182" s="468">
        <f>ROW(W182)&gt;ROW(W$178)</f>
        <v>1</v>
      </c>
      <c r="U182" s="1328"/>
      <c r="V182" s="1328"/>
      <c r="W182" s="764"/>
      <c r="X182" s="1328"/>
      <c r="Y182" s="1328" t="s">
        <v>240</v>
      </c>
      <c r="Z182" s="1328"/>
      <c r="AA182" s="678" t="s">
        <v>174</v>
      </c>
      <c r="AB182" s="1578" t="s">
        <v>1060</v>
      </c>
      <c r="AC182" s="1579"/>
      <c r="AD182" s="1579"/>
      <c r="AE182" s="1579"/>
      <c r="AF182" s="1579"/>
      <c r="AG182" s="1579"/>
      <c r="AH182" s="1579"/>
      <c r="AI182" s="1579"/>
      <c r="AJ182" s="2897"/>
      <c r="AK182" s="2897"/>
      <c r="AL182" s="1579"/>
      <c r="AM182" s="1579"/>
      <c r="AN182" s="1579"/>
      <c r="AO182" s="1579"/>
      <c r="AP182" s="1579"/>
      <c r="AQ182" s="1579"/>
      <c r="AR182" s="1579"/>
      <c r="AS182" s="1579"/>
      <c r="AT182" s="2897"/>
      <c r="AU182" s="2897"/>
      <c r="AV182" s="1579"/>
      <c r="AW182" s="1579"/>
      <c r="AX182" s="1579"/>
      <c r="AY182" s="1579"/>
      <c r="AZ182" s="1579"/>
      <c r="BA182" s="1579"/>
      <c r="BB182" s="1579"/>
      <c r="BC182" s="1580"/>
      <c r="BD182" s="1328"/>
      <c r="BE182" s="1328"/>
      <c r="BF182" s="1330"/>
      <c r="BG182" s="1330"/>
      <c r="BH182" s="1330"/>
      <c r="BJ182" s="1329"/>
      <c r="BK182" s="1329"/>
    </row>
    <row s="1656" customFormat="1" customHeight="1" ht="46.921875">
      <c r="A183" s="1328"/>
      <c r="B183" s="1186"/>
      <c r="C183" s="1336"/>
      <c r="D183" s="1328"/>
      <c r="E183" s="637">
        <v>15</v>
      </c>
      <c r="F183" s="1328"/>
      <c r="G183" s="1328"/>
      <c r="H183" s="1328"/>
      <c r="I183" s="1328"/>
      <c r="J183" s="1328"/>
      <c r="K183" s="1328"/>
      <c r="L183" s="1328"/>
      <c r="M183" s="1328"/>
      <c r="N183" s="1328"/>
      <c r="O183" s="1328"/>
      <c r="P183" s="1328"/>
      <c r="Q183" s="1328"/>
      <c r="R183" s="1328"/>
      <c r="S183" s="1328"/>
      <c r="T183" s="468">
        <f>ROW(W183)&gt;ROW(W$178)</f>
        <v>1</v>
      </c>
      <c r="U183" s="1328"/>
      <c r="V183" s="1328"/>
      <c r="W183" s="764"/>
      <c r="X183" s="1328"/>
      <c r="Y183" s="1328" t="s">
        <v>240</v>
      </c>
      <c r="Z183" s="1328"/>
      <c r="AA183" s="678" t="s">
        <v>174</v>
      </c>
      <c r="AB183" s="1578" t="s">
        <v>1061</v>
      </c>
      <c r="AC183" s="1579"/>
      <c r="AD183" s="1579"/>
      <c r="AE183" s="1579"/>
      <c r="AF183" s="1579"/>
      <c r="AG183" s="1579"/>
      <c r="AH183" s="1579"/>
      <c r="AI183" s="1579"/>
      <c r="AJ183" s="2897"/>
      <c r="AK183" s="2897"/>
      <c r="AL183" s="1579"/>
      <c r="AM183" s="1579"/>
      <c r="AN183" s="1579"/>
      <c r="AO183" s="1579"/>
      <c r="AP183" s="1579"/>
      <c r="AQ183" s="1579"/>
      <c r="AR183" s="1579"/>
      <c r="AS183" s="1579"/>
      <c r="AT183" s="2897"/>
      <c r="AU183" s="2897"/>
      <c r="AV183" s="1579"/>
      <c r="AW183" s="1579"/>
      <c r="AX183" s="1579"/>
      <c r="AY183" s="1579"/>
      <c r="AZ183" s="1579"/>
      <c r="BA183" s="1579"/>
      <c r="BB183" s="1579"/>
      <c r="BC183" s="1580"/>
      <c r="BD183" s="1328"/>
      <c r="BE183" s="1328"/>
      <c r="BF183" s="1330"/>
      <c r="BG183" s="1330"/>
      <c r="BH183" s="1330"/>
      <c r="BJ183" s="1329"/>
      <c r="BK183" s="1329"/>
    </row>
    <row s="1656" customFormat="1" customHeight="1" ht="42.421875">
      <c r="A184" s="1328"/>
      <c r="B184" s="1186"/>
      <c r="C184" s="1336"/>
      <c r="D184" s="1328"/>
      <c r="E184" s="637">
        <v>15</v>
      </c>
      <c r="F184" s="1328"/>
      <c r="G184" s="1328"/>
      <c r="H184" s="1328"/>
      <c r="I184" s="1328"/>
      <c r="J184" s="1328"/>
      <c r="K184" s="1328"/>
      <c r="L184" s="1328"/>
      <c r="M184" s="1328"/>
      <c r="N184" s="1328"/>
      <c r="O184" s="1328"/>
      <c r="P184" s="1328"/>
      <c r="Q184" s="1328"/>
      <c r="R184" s="1328"/>
      <c r="S184" s="1328"/>
      <c r="T184" s="468">
        <f>ROW(W184)&gt;ROW(W$178)</f>
        <v>1</v>
      </c>
      <c r="U184" s="1328"/>
      <c r="V184" s="1328"/>
      <c r="W184" s="764"/>
      <c r="X184" s="1328"/>
      <c r="Y184" s="1328" t="s">
        <v>240</v>
      </c>
      <c r="Z184" s="1328"/>
      <c r="AA184" s="678" t="s">
        <v>174</v>
      </c>
      <c r="AB184" s="1578" t="s">
        <v>1062</v>
      </c>
      <c r="AC184" s="1579"/>
      <c r="AD184" s="1579"/>
      <c r="AE184" s="1579"/>
      <c r="AF184" s="1579"/>
      <c r="AG184" s="1579"/>
      <c r="AH184" s="1579"/>
      <c r="AI184" s="1579"/>
      <c r="AJ184" s="2897"/>
      <c r="AK184" s="2897"/>
      <c r="AL184" s="1579"/>
      <c r="AM184" s="1579"/>
      <c r="AN184" s="1579"/>
      <c r="AO184" s="1579"/>
      <c r="AP184" s="1579"/>
      <c r="AQ184" s="1579"/>
      <c r="AR184" s="1579"/>
      <c r="AS184" s="1579"/>
      <c r="AT184" s="2897"/>
      <c r="AU184" s="2897"/>
      <c r="AV184" s="1579"/>
      <c r="AW184" s="1579"/>
      <c r="AX184" s="1579"/>
      <c r="AY184" s="1579"/>
      <c r="AZ184" s="1579"/>
      <c r="BA184" s="1579"/>
      <c r="BB184" s="1579"/>
      <c r="BC184" s="1580"/>
      <c r="BD184" s="1328"/>
      <c r="BE184" s="1328"/>
      <c r="BF184" s="1330"/>
      <c r="BG184" s="1330"/>
      <c r="BH184" s="1330"/>
      <c r="BJ184" s="1329"/>
      <c r="BK184" s="1329"/>
    </row>
    <row customHeight="1" ht="14.625">
      <c r="E185" s="637">
        <v>15</v>
      </c>
      <c r="W185" s="764" t="s">
        <v>421</v>
      </c>
      <c r="AA185" s="679"/>
      <c r="AB185" s="653"/>
      <c r="AC185" s="517" t="s">
        <v>422</v>
      </c>
      <c r="AD185" s="306"/>
      <c r="AE185" s="306"/>
      <c r="AF185" s="307"/>
      <c r="AG185" s="307"/>
      <c r="AH185" s="307"/>
      <c r="AI185" s="307"/>
      <c r="AJ185" s="307"/>
      <c r="AK185" s="307"/>
      <c r="AL185" s="307"/>
      <c r="AM185" s="307"/>
      <c r="AN185" s="307"/>
      <c r="AO185" s="307"/>
      <c r="AP185" s="307"/>
      <c r="AQ185" s="307"/>
      <c r="AR185" s="307"/>
      <c r="AS185" s="307"/>
      <c r="AT185" s="307"/>
      <c r="AU185" s="307"/>
      <c r="AV185" s="307"/>
      <c r="AW185" s="307"/>
      <c r="AX185" s="307"/>
      <c r="AY185" s="307"/>
      <c r="AZ185" s="307"/>
      <c r="BA185" s="307"/>
      <c r="BB185" s="307"/>
      <c r="BC185" s="308"/>
    </row>
    <row customHeight="1" ht="10.96875">
      <c r="E186" s="637">
        <v>11.25</v>
      </c>
      <c r="AA186" s="740"/>
      <c r="AB186" s="741"/>
      <c r="AI186" s="1328"/>
      <c r="AJ186" s="1328"/>
      <c r="AK186" s="1328"/>
      <c r="AL186" s="1328"/>
      <c r="AM186" s="1328"/>
      <c r="AN186" s="1328"/>
      <c r="AO186" s="1328"/>
      <c r="AP186" s="1328"/>
      <c r="AQ186" s="1328"/>
      <c r="AR186" s="1328"/>
      <c r="AS186" s="1328"/>
      <c r="AT186" s="1328"/>
      <c r="AU186" s="1328"/>
      <c r="AV186" s="1328"/>
      <c r="AW186" s="1328"/>
      <c r="AX186" s="1328"/>
      <c r="AY186" s="1328"/>
      <c r="AZ186" s="1328"/>
      <c r="BA186" s="1328"/>
      <c r="BB186" s="1328"/>
      <c r="BD186" s="428"/>
    </row>
  </sheetData>
  <sheetProtection formatColumns="0" formatRows="0" insertRows="0" deleteColumns="0" deleteRows="0" sort="0" autoFilter="0" insertColumns="1"/>
  <mergeCells count="57">
    <mergeCell ref="X27:X48"/>
    <mergeCell ref="Z27:Z48"/>
    <mergeCell ref="AB176:BC176"/>
    <mergeCell ref="AB177:BC177"/>
    <mergeCell ref="AB178:BC178"/>
    <mergeCell ref="AB24:AB25"/>
    <mergeCell ref="AC24:AC25"/>
    <mergeCell ref="AD24:AD25"/>
    <mergeCell ref="BC24:BC25"/>
    <mergeCell ref="X49:X90"/>
    <mergeCell ref="Z49:Z90"/>
    <mergeCell ref="X91:X132"/>
    <mergeCell ref="Z91:Z132"/>
    <mergeCell ref="X133:X174"/>
    <mergeCell ref="Z133:Z174"/>
    <mergeCell ref="AB179:BC179"/>
    <mergeCell ref="AB180:BC180"/>
    <mergeCell ref="AB181:BC181"/>
    <mergeCell ref="AB182:BC182"/>
    <mergeCell ref="AB183:BC183"/>
    <mergeCell ref="AB184:BC184"/>
    <mergeCell ref="Y144:Y147"/>
    <mergeCell ref="AA144:AA147"/>
    <mergeCell ref="Y140:Y143"/>
    <mergeCell ref="AA140:AA143"/>
    <mergeCell ref="Y110:Y113"/>
    <mergeCell ref="AA110:AA113"/>
    <mergeCell ref="Y106:Y109"/>
    <mergeCell ref="AA106:AA109"/>
    <mergeCell ref="Y102:Y105"/>
    <mergeCell ref="AA102:AA105"/>
    <mergeCell ref="Y98:Y101"/>
    <mergeCell ref="AA98:AA101"/>
    <mergeCell ref="Y60:Y63"/>
    <mergeCell ref="AA60:AA63"/>
    <mergeCell ref="Y56:Y59"/>
    <mergeCell ref="AA56:AA59"/>
    <mergeCell ref="Y34:Y37"/>
    <mergeCell ref="AA34:AA37"/>
    <mergeCell ref="Y166:Y173"/>
    <mergeCell ref="AA166:AA173"/>
    <mergeCell ref="Y158:Y165"/>
    <mergeCell ref="AA158:AA165"/>
    <mergeCell ref="Y150:Y157"/>
    <mergeCell ref="AA150:AA157"/>
    <mergeCell ref="Y124:Y131"/>
    <mergeCell ref="AA124:AA131"/>
    <mergeCell ref="Y116:Y123"/>
    <mergeCell ref="AA116:AA123"/>
    <mergeCell ref="Y82:Y89"/>
    <mergeCell ref="AA82:AA89"/>
    <mergeCell ref="Y74:Y81"/>
    <mergeCell ref="AA74:AA81"/>
    <mergeCell ref="Y66:Y73"/>
    <mergeCell ref="AA66:AA73"/>
    <mergeCell ref="Y40:Y47"/>
    <mergeCell ref="AA40:AA47"/>
  </mergeCells>
  <dataValidations count="3">
    <dataValidation type="decimal" allowBlank="1" showErrorMessage="1" errorTitle="Ошибка" error="Допускается ввод только неотрицательных чисел!" sqref="AE35:BB35 AE44:BB45 AE37:BB37 AE47:BB47 AE42:BB42 AE57 AF57 AG57 AH57 AI57 AJ57 AK57 AL57 AM57 AN57 AO57 AP57 AQ57 AR57 AS57 AT57 AU57 AV57 AW57 AX57 AY57 AZ57 BA57 BB57 AE59:AE61 AE63 AF59:AF61 AF63 AG59:AG61 AG63 AH59:AH61 AH63 AI59:AI61 AI63 AJ59:AJ61 AJ63 AK59:AK61 AK63 AL59:AL61 AL63 AM59:AM61 AM63 AN59:AN61 AN63 AO59:AO61 AO63 AP59:AP61 AP63 AQ59:AQ61 AQ63 AR59:AR61 AR63 AS59:AS61 AS63 AT59:AT61 AT63 AU59:AU61 AU63 AV59:AV61 AV63 AW59:AW61 AW63 AX59:AX61 AX63 AY59:AY61 AY63 AZ59:AZ61 AZ63 BA59:BA61 BA63 BB59:BB61 BB63 AE68 AF68 AG68 AH68 AI68 AJ68 AK68 AL68 AM68 AN68 AO68 AP68 AQ68 AR68 AS68 AT68 AU68 AV68 AW68 AX68 AY68 AZ68 BA68 BB68 AE70 AF70 AG70 AH70 AI70 AJ70 AK70 AL70 AM70 AN70 AO70 AP70 AQ70 AR70 AS70 AT70 AU70 AV70 AW70 AX70 AY70 AZ70 BA70 BB70 AE71 AF71 AG71 AH71 AI71 AJ71 AK71 AL71 AM71 AN71 AO71 AP71 AQ71 AR71 AS71 AT71 AU71 AV71 AW71 AX71 AY71 AZ71 BA71 BB71 AE73:AE74 AE76 AE78:AE79 AE81:AE82 AE84 AE86:AE87 AE89 AF73:AF74 AF76 AF78:AF79 AF81:AF82 AF84 AF86:AF87 AF89 AG73:AG74 AG76 AG78:AG79 AG81:AG82 AG84 AG86:AG87 AG89 AH73:AH74 AH76 AH78:AH79 AH81:AH82 AH84 AH86:AH87 AH89 AI73:AI74 AI76 AI78:AI79 AI81:AI82 AI84 AI86:AI87 AI89 AJ73:AJ74 AJ76 AJ78:AJ79 AJ81:AJ82 AJ84 AJ86:AJ87 AJ89 AK73:AK74 AK76 AK78:AK79 AK81:AK82 AK84 AK86:AK87 AK89 AL73:AL74 AL76 AL78:AL79 AL81:AL82 AL84 AL86:AL87 AL89 AM73:AM74 AM76 AM78:AM79 AM81:AM82 AM84 AM86:AM87 AM89 AN73:AN74 AN76 AN78:AN79 AN81:AN82 AN84 AN86:AN87 AN89 AO73:AO74 AO76 AO78:AO79 AO81:AO82 AO84 AO86:AO87 AO89 AP73:AP74 AP76 AP78:AP79 AP81:AP82 AP84 AP86:AP87 AP89 AQ73:AQ74 AQ76 AQ78:AQ79 AQ81:AQ82 AQ84 AQ86:AQ87 AQ89 AR73:AR74 AR76 AR78:AR79 AR81:AR82 AR84 AR86:AR87 AR89 AS73:AS74 AS76 AS78:AS79 AS81:AS82 AS84 AS86:AS87 AS89 AT73:AT74 AT76 AT78:AT79 AT81:AT82 AT84 AT86:AT87 AT89 AU73:AU74 AU76 AU78:AU79 AU81:AU82 AU84 AU86:AU87 AU89 AV73:AV74 AV76 AV78:AV79 AV81:AV82 AV84 AV86:AV87 AV89 AW73:AW74 AW76 AW78:AW79 AW81:AW82 AW84 AW86:AW87 AW89 AX73:AX74 AX76 AX78:AX79 AX81:AX82 AX84 AX86:AX87 AX89 AY73:AY74 AY76 AY78:AY79 AY81:AY82 AY84 AY86:AY87 AY89 AZ73:AZ74 AZ76 AZ78:AZ79 AZ81:AZ82 AZ84 AZ86:AZ87 AZ89 BA73:BA74 BA76 BA78:BA79 BA81:BA82 BA84 BA86:BA87 BA89 BB73:BB74 BB76 BB78:BB79 BB81:BB82 BB84 BB86:BB87 BB89 AE99 AF99 AG99 AH99 AI99 AJ99 AK99 AL99 AM99 AN99 AO99 AP99 AQ99 AR99 AS99 AT99 AU99 AV99 AW99 AX99 AY99 AZ99 BA99 BB99 AE101:AE103 AE105:AE107 AE109:AE111 AE113 AF101:AF103 AF105:AF107 AF109:AF111 AF113 AG101:AG103 AG105:AG107 AG109:AG111 AG113 AH101:AH103 AH105:AH107 AH109:AH111 AH113 AI101:AI103 AI105:AI107 AI109:AI111 AI113 AJ101:AJ103 AJ105:AJ107 AJ109:AJ111 AJ113 AK101:AK103 AK105:AK107 AK109:AK111 AK113 AL101:AL103 AL105:AL107 AL109:AL111 AL113 AM101:AM103 AM105:AM107 AM109:AM111 AM113 AN101:AN103 AN105:AN107 AN109:AN111 AN113 AO101:AO103 AO105:AO107 AO109:AO111 AO113 AP101:AP103 AP105:AP107 AP109:AP111 AP113 AQ101:AQ103 AQ105:AQ107 AQ109:AQ111 AQ113 AR101:AR103 AR105:AR107 AR109:AR111 AR113 AS101:AS103 AS105:AS107 AS109:AS111 AS113 AT101:AT103 AT105:AT107 AT109:AT111 AT113 AU101:AU103 AU105:AU107 AU109:AU111 AU113 AV101:AV103 AV105:AV107 AV109:AV111 AV113 AW101:AW103 AW105:AW107 AW109:AW111 AW113 AX101:AX103 AX105:AX107 AX109:AX111 AX113 AY101:AY103 AY105:AY107 AY109:AY111 AY113 AZ101:AZ103 AZ105:AZ107 AZ109:AZ111 AZ113 BA101:BA103 BA105:BA107 BA109:BA111 BA113 BB101:BB103 BB105:BB107 BB109:BB111 BB113 AE118 AF118 AG118 AH118 AI118 AJ118 AK118 AL118 AM118 AN118 AO118 AP118 AQ118 AR118 AS118 AT118 AU118 AV118 AW118 AX118 AY118 AZ118 BA118 BB118 AE120 AF120 AG120 AH120 AI120 AJ120 AK120 AL120 AM120 AN120 AO120 AP120 AQ120 AR120 AS120 AT120 AU120 AV120 AW120 AX120 AY120 AZ120 BA120 BB120 AE121 AF121 AG121 AH121 AI121 AJ121 AK121 AL121 AM121 AN121 AO121 AP121 AQ121 AR121 AS121 AT121 AU121 AV121 AW121 AX121 AY121 AZ121 BA121 BB121 AE123:AE124 AE126 AE128:AE129 AE131 AF123:AF124 AF126 AF128:AF129 AF131 AG123:AG124 AG126 AG128:AG129 AG131 AH123:AH124 AH126 AH128:AH129 AH131 AI123:AI124 AI126 AI128:AI129 AI131 AJ123:AJ124 AJ126 AJ128:AJ129 AJ131 AK123:AK124 AK126 AK128:AK129 AK131 AL123:AL124 AL126 AL128:AL129 AL131 AM123:AM124 AM126 AM128:AM129 AM131 AN123:AN124 AN126 AN128:AN129 AN131 AO123:AO124 AO126 AO128:AO129 AO131 AP123:AP124 AP126 AP128:AP129 AP131 AQ123:AQ124 AQ126 AQ128:AQ129 AQ131 AR123:AR124 AR126 AR128:AR129 AR131 AS123:AS124 AS126 AS128:AS129 AS131 AT123:AT124 AT126 AT128:AT129 AT131 AU123:AU124 AU126 AU128:AU129 AU131 AV123:AV124 AV126 AV128:AV129 AV131 AW123:AW124 AW126 AW128:AW129 AW131 AX123:AX124 AX126 AX128:AX129 AX131 AY123:AY124 AY126 AY128:AY129 AY131 AZ123:AZ124 AZ126 AZ128:AZ129 AZ131 BA123:BA124 BA126 BA128:BA129 BA131 BB123:BB124 BB126 BB128:BB129 BB131 AE141 AF141 AG141 AH141 AI141 AJ141 AK141 AL141 AM141 AN141 AO141 AP141 AQ141 AR141 AS141 AT141 AU141 AV141 AW141 AX141 AY141 AZ141 BA141 BB141 AE143:AE145 AE147 AF143:AF145 AF147 AG143:AG145 AG147 AH143:AH145 AH147 AI143:AI145 AI147 AJ143:AJ145 AJ147 AK143:AK145 AK147 AL143:AL145 AL147 AM143:AM145 AM147 AN143:AN145 AN147 AO143:AO145 AO147 AP143:AP145 AP147 AQ143:AQ145 AQ147 AR143:AR145 AR147 AS143:AS145 AS147 AT143:AT145 AT147 AU143:AU145 AU147 AV143:AV145 AV147 AW143:AW145 AW147 AX143:AX145 AX147 AY143:AY145 AY147 AZ143:AZ145 AZ147 BA143:BA145 BA147 BB143:BB145 BB147 AE152 AF152 AG152 AH152 AI152 AJ152 AK152 AL152 AM152 AN152 AO152 AP152 AQ152 AR152 AS152 AT152 AU152 AV152 AW152 AX152 AY152 AZ152 BA152 BB152 AE154 AF154 AG154 AH154 AI154 AJ154 AK154 AL154 AM154 AN154 AO154 AP154 AQ154 AR154 AS154 AT154 AU154 AV154 AW154 AX154 AY154 AZ154 BA154 BB154 AE155 AF155 AG155 AH155 AI155 AJ155 AK155 AL155 AM155 AN155 AO155 AP155 AQ155 AR155 AS155 AT155 AU155 AV155 AW155 AX155 AY155 AZ155 BA155 BB155 AE157:AE158 AE160 AE162:AE163 AE165:AE166 AE168 AE170:AE171 AE173 AF157:AF158 AF160 AF162:AF163 AF165:AF166 AF168 AF170:AF171 AF173 AG157:AG158 AG160 AG162:AG163 AG165:AG166 AG168 AG170:AG171 AG173 AH157:AH158 AH160 AH162:AH163 AH165:AH166 AH168 AH170:AH171 AH173 AI157:AI158 AI160 AI162:AI163 AI165:AI166 AI168 AI170:AI171 AI173 AJ157:AJ158 AJ160 AJ162:AJ163 AJ165:AJ166 AJ168 AJ170:AJ171 AJ173 AK157:AK158 AK160 AK162:AK163 AK165:AK166 AK168 AK170:AK171 AK173 AL157:AL158 AL160 AL162:AL163 AL165:AL166 AL168 AL170:AL171 AL173 AM157:AM158 AM160 AM162:AM163 AM165:AM166 AM168 AM170:AM171 AM173 AN157:AN158 AN160 AN162:AN163 AN165:AN166 AN168 AN170:AN171 AN173 AO157:AO158 AO160 AO162:AO163 AO165:AO166 AO168 AO170:AO171 AO173 AP157:AP158 AP160 AP162:AP163 AP165:AP166 AP168 AP170:AP171 AP173 AQ157:AQ158 AQ160 AQ162:AQ163 AQ165:AQ166 AQ168 AQ170:AQ171 AQ173 AR157:AR158 AR160 AR162:AR163 AR165:AR166 AR168 AR170:AR171 AR173 AS157:AS158 AS160 AS162:AS163 AS165:AS166 AS168 AS170:AS171 AS173 AT157:AT158 AT160 AT162:AT163 AT165:AT166 AT168 AT170:AT171 AT173 AU157:AU158 AU160 AU162:AU163 AU165:AU166 AU168 AU170:AU171 AU173 AV157:AV158 AV160 AV162:AV163 AV165:AV166 AV168 AV170:AV171 AV173 AW157:AW158 AW160 AW162:AW163 AW165:AW166 AW168 AW170:AW171 AW173 AX157:AX158 AX160 AX162:AX163 AX165:AX166 AX168 AX170:AX171 AX173 AY157:AY158 AY160 AY162:AY163 AY165:AY166 AY168 AY170:AY171 AY173 AZ157:AZ158 AZ160 AZ162:AZ163 AZ165:AZ166 AZ168 AZ170:AZ171 AZ173 BA157:BA158 BA160 BA162:BA163 BA165:BA166 BA168 BA170:BA171 BA173 BB157:BB158 BB160 BB162:BB163 BB165:BB166 BB168 BB170:BB171 BB173">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AC35 AC57 AC61 AC99 AC103 AC107 AC111 AC141 AC145">
      <formula1>VOLTAGE_LEVEL_list</formula1>
    </dataValidation>
    <dataValidation type="list" allowBlank="1" showInputMessage="1" showErrorMessage="1" errorTitle="Ошибка" error="Выберите значение из списка" prompt="Выберите значение из списка" sqref="AC41 AC67 AC75 AC117 AC125 AC151 AC159 AC167 AC83">
      <formula1>VOLTAGE_LEVEL2_list</formula1>
    </dataValidation>
  </dataValidations>
  <printOptions horizontalCentered="1"/>
  <pageMargins left="0.35" right="0.35" top="0.40" bottom="0.40" header="0.08" footer="0.08"/>
  <pageSetup paperSize="9" scale="83" firstPageNumber="12" fitToHeight="0" pageOrder="downThenOver" orientation="landscape" useFirstPageNumber="1"/>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56C7928-A0F6-AA66-BF18-75D88C0D1DA8}" mc:Ignorable="x14ac xr xr2 xr3">
  <sheetPr>
    <tabColor rgb="FF002060"/>
    <outlinePr summaryRight="0" summaryBelow="0"/>
    <pageSetUpPr fitToPage="1"/>
  </sheetPr>
  <dimension ref="A1:BF231"/>
  <sheetViews>
    <sheetView showGridLines="0" workbookViewId="0">
      <pane xSplit="30" ySplit="25" topLeftCell="AE217" activePane="bottomRight" state="frozen"/>
      <selection pane="bottomLeft" activeCell="A26" sqref="A26"/>
      <selection pane="topRight" activeCell="AE1" sqref="AE1"/>
      <selection pane="bottomRight" activeCell="AG217" sqref="AG217"/>
    </sheetView>
  </sheetViews>
  <sheetFormatPr defaultColWidth="8.7109375" customHeight="1" defaultRowHeight="11.25"/>
  <cols>
    <col min="1" max="1" style="1240" width="3.57421875" hidden="1" customWidth="1"/>
    <col min="2" max="2" style="1223" width="6.7109375" hidden="1" customWidth="1"/>
    <col min="3" max="4" style="1240" width="3.57421875" hidden="1" customWidth="1"/>
    <col min="5" max="5" style="1183" width="7.8515625" hidden="1" customWidth="1"/>
    <col min="6" max="19" style="1240" width="3.57421875" hidden="1" customWidth="1"/>
    <col min="20" max="20" style="1240" width="11.140625" hidden="1" customWidth="1"/>
    <col min="21" max="21" style="1240" width="5.8515625" hidden="1" customWidth="1"/>
    <col min="22" max="23" style="1240" width="6.140625" hidden="1" customWidth="1"/>
    <col min="24" max="25" style="1240" width="5.57421875" hidden="1" customWidth="1"/>
    <col min="26" max="26" style="1240" width="5.28125" hidden="1" customWidth="1"/>
    <col min="27" max="27" style="1240" width="3.00390625" customWidth="1"/>
    <col min="28" max="28" style="1240" width="11.00390625" customWidth="1"/>
    <col min="29" max="29" style="1240" width="35.57421875" customWidth="1"/>
    <col min="30" max="30" style="1560" width="11.00390625" customWidth="1"/>
    <col min="31" max="35" style="1560" width="12.57421875" customWidth="1"/>
    <col min="36" max="44" style="1560" width="12.57421875" hidden="1" customWidth="1"/>
    <col min="45" max="45" style="1560" width="12.57421875" customWidth="1"/>
    <col min="46" max="54" style="1560" width="12.57421875" hidden="1" customWidth="1"/>
    <col min="55" max="55" style="1240" width="82.8515625" customWidth="1"/>
    <col min="56" max="56" style="1240" width="3.00390625" customWidth="1"/>
    <col min="57" max="57" style="1240" width="8.7109375" hidden="1"/>
    <col min="58" max="58" style="1184" width="8.7109375" hidden="1"/>
  </cols>
  <sheetData>
    <row customHeight="1" ht="11.25" hidden="1">
      <c r="E1" s="100"/>
      <c r="F1" s="100" t="s">
        <v>333</v>
      </c>
      <c r="G1" s="100" t="s">
        <v>343</v>
      </c>
      <c r="T1" s="468" t="s">
        <v>93</v>
      </c>
      <c r="U1" s="468" t="s">
        <v>98</v>
      </c>
      <c r="V1" s="468" t="s">
        <v>94</v>
      </c>
      <c r="W1" s="468" t="s">
        <v>95</v>
      </c>
      <c r="X1" s="468" t="s">
        <v>96</v>
      </c>
      <c r="Y1" s="470" t="s">
        <v>335</v>
      </c>
      <c r="Z1" s="468" t="s">
        <v>100</v>
      </c>
      <c r="AA1" s="469" t="s">
        <v>97</v>
      </c>
      <c r="AB1" s="81"/>
      <c r="AC1" s="469" t="s">
        <v>99</v>
      </c>
      <c r="AI1" s="1560"/>
      <c r="AJ1" s="1560"/>
      <c r="AK1" s="1560"/>
      <c r="AL1" s="1560"/>
      <c r="AM1" s="1560"/>
      <c r="AN1" s="1560"/>
      <c r="AO1" s="1560"/>
      <c r="AP1" s="1560"/>
      <c r="AQ1" s="1560"/>
      <c r="AR1" s="1560"/>
      <c r="AS1" s="1560"/>
      <c r="AT1" s="1560"/>
      <c r="AU1" s="1560"/>
      <c r="AV1" s="1560"/>
      <c r="AW1" s="1560"/>
      <c r="AX1" s="1560"/>
      <c r="AY1" s="1560"/>
      <c r="AZ1" s="1560"/>
      <c r="BA1" s="1560"/>
      <c r="BB1" s="1560"/>
      <c r="BF1" s="1008" t="s">
        <v>336</v>
      </c>
    </row>
    <row s="1223" customFormat="1" customHeight="1" ht="11.25" hidden="1">
      <c r="B2" s="448" t="s">
        <v>19</v>
      </c>
      <c r="AF2" s="1223" cm="1" t="str">
        <f t="array" ref="AF2:AF2">isOrgDeclare</f>
        <v>true</v>
      </c>
      <c r="AI2" s="448">
        <f>AND(AI6&lt;=last_year_vis,isOrgDeclare)</f>
        <v>1</v>
      </c>
      <c r="AJ2" s="448">
        <f>AND(AJ6&lt;=last_year_vis,isOrgDeclare)</f>
        <v>0</v>
      </c>
      <c r="AK2" s="448">
        <f>AND(AK6&lt;=last_year_vis,isOrgDeclare)</f>
        <v>0</v>
      </c>
      <c r="AL2" s="448">
        <f>AND(AL6&lt;=last_year_vis,isOrgDeclare)</f>
        <v>0</v>
      </c>
      <c r="AM2" s="448">
        <f>AND(AM6&lt;=last_year_vis,isOrgDeclare)</f>
        <v>0</v>
      </c>
      <c r="AN2" s="448">
        <f>AND(AN6&lt;=last_year_vis,isOrgDeclare)</f>
        <v>0</v>
      </c>
      <c r="AO2" s="448">
        <f>AND(AO6&lt;=last_year_vis,isOrgDeclare)</f>
        <v>0</v>
      </c>
      <c r="AP2" s="448">
        <f>AND(AP6&lt;=last_year_vis,isOrgDeclare)</f>
        <v>0</v>
      </c>
      <c r="AQ2" s="448">
        <f>AND(AQ6&lt;=last_year_vis,isOrgDeclare)</f>
        <v>0</v>
      </c>
      <c r="AR2" s="448">
        <f>AND(AR6&lt;=last_year_vis,isOrgDeclare)</f>
        <v>0</v>
      </c>
      <c r="AS2" s="448">
        <f>AS6&lt;=last_year_vis</f>
        <v>1</v>
      </c>
      <c r="AT2" s="448">
        <f>AT6&lt;=last_year_vis</f>
        <v>0</v>
      </c>
      <c r="AU2" s="448">
        <f>AU6&lt;=last_year_vis</f>
        <v>0</v>
      </c>
      <c r="AV2" s="448">
        <f>AV6&lt;=last_year_vis</f>
        <v>0</v>
      </c>
      <c r="AW2" s="448">
        <f>AW6&lt;=last_year_vis</f>
        <v>0</v>
      </c>
      <c r="AX2" s="448">
        <f>AX6&lt;=last_year_vis</f>
        <v>0</v>
      </c>
      <c r="AY2" s="448">
        <f>AY6&lt;=last_year_vis</f>
        <v>0</v>
      </c>
      <c r="AZ2" s="448">
        <f>AZ6&lt;=last_year_vis</f>
        <v>0</v>
      </c>
      <c r="BA2" s="448">
        <f>BA6&lt;=last_year_vis</f>
        <v>0</v>
      </c>
      <c r="BB2" s="448">
        <f>BB6&lt;=last_year_vis</f>
        <v>0</v>
      </c>
      <c r="BF2" s="1017"/>
    </row>
    <row customHeight="1" ht="11.25" hidden="1">
      <c r="E3" s="100"/>
      <c r="AI3" s="1560"/>
      <c r="AJ3" s="1560"/>
      <c r="AK3" s="1560"/>
      <c r="AL3" s="1560"/>
      <c r="AM3" s="1560"/>
      <c r="AN3" s="1560"/>
      <c r="AO3" s="1560"/>
      <c r="AP3" s="1560"/>
      <c r="AQ3" s="1560"/>
      <c r="AR3" s="1560"/>
      <c r="AS3" s="1560"/>
      <c r="AT3" s="1560"/>
      <c r="AU3" s="1560"/>
      <c r="AV3" s="1560"/>
      <c r="AW3" s="1560"/>
      <c r="AX3" s="1560"/>
      <c r="AY3" s="1560"/>
      <c r="AZ3" s="1560"/>
      <c r="BA3" s="1560"/>
      <c r="BB3" s="1560"/>
    </row>
    <row customHeight="1" ht="11.25" hidden="1">
      <c r="E4" s="100"/>
      <c r="AI4" s="1560"/>
      <c r="AJ4" s="1560"/>
      <c r="AK4" s="1560"/>
      <c r="AL4" s="1560"/>
      <c r="AM4" s="1560"/>
      <c r="AN4" s="1560"/>
      <c r="AO4" s="1560"/>
      <c r="AP4" s="1560"/>
      <c r="AQ4" s="1560"/>
      <c r="AR4" s="1560"/>
      <c r="AS4" s="1560"/>
      <c r="AT4" s="1560"/>
      <c r="AU4" s="1560"/>
      <c r="AV4" s="1560"/>
      <c r="AW4" s="1560"/>
      <c r="AX4" s="1560"/>
      <c r="AY4" s="1560"/>
      <c r="AZ4" s="1560"/>
      <c r="BA4" s="1560"/>
      <c r="BB4" s="1560"/>
    </row>
    <row s="1183" customFormat="1" customHeight="1" ht="11.25" hidden="1">
      <c r="A5" s="100"/>
      <c r="B5" s="430"/>
      <c r="C5" s="100"/>
      <c r="D5" s="100"/>
      <c r="E5" s="633" t="s">
        <v>20</v>
      </c>
      <c r="T5" s="624"/>
      <c r="AA5" s="633">
        <v>3</v>
      </c>
      <c r="AB5" s="633">
        <v>11</v>
      </c>
      <c r="AC5" s="633">
        <v>41.71</v>
      </c>
      <c r="AD5" s="676">
        <v>11</v>
      </c>
      <c r="AE5" s="676">
        <v>12.57</v>
      </c>
      <c r="AF5" s="676">
        <v>12.57</v>
      </c>
      <c r="AG5" s="676">
        <v>12.57</v>
      </c>
      <c r="AH5" s="676">
        <v>12.57</v>
      </c>
      <c r="AI5" s="676">
        <v>12.57</v>
      </c>
      <c r="AJ5" s="676">
        <v>12.57</v>
      </c>
      <c r="AK5" s="676">
        <v>12.57</v>
      </c>
      <c r="AL5" s="676">
        <v>12.57</v>
      </c>
      <c r="AM5" s="676">
        <v>12.57</v>
      </c>
      <c r="AN5" s="676">
        <v>12.57</v>
      </c>
      <c r="AO5" s="676">
        <v>12.57</v>
      </c>
      <c r="AP5" s="676">
        <v>12.57</v>
      </c>
      <c r="AQ5" s="676">
        <v>12.57</v>
      </c>
      <c r="AR5" s="676">
        <v>12.57</v>
      </c>
      <c r="AS5" s="676">
        <v>12.57</v>
      </c>
      <c r="AT5" s="676">
        <v>12.57</v>
      </c>
      <c r="AU5" s="676">
        <v>12.57</v>
      </c>
      <c r="AV5" s="676">
        <v>12.57</v>
      </c>
      <c r="AW5" s="676">
        <v>12.57</v>
      </c>
      <c r="AX5" s="676">
        <v>12.57</v>
      </c>
      <c r="AY5" s="676">
        <v>12.57</v>
      </c>
      <c r="AZ5" s="676">
        <v>12.57</v>
      </c>
      <c r="BA5" s="676">
        <v>12.57</v>
      </c>
      <c r="BB5" s="676">
        <v>12.57</v>
      </c>
      <c r="BC5" s="633">
        <v>20</v>
      </c>
      <c r="BD5" s="633">
        <v>3</v>
      </c>
      <c r="BF5" s="1008"/>
    </row>
    <row customHeight="1" ht="11.25" hidden="1">
      <c r="A6" s="100" t="s">
        <v>371</v>
      </c>
      <c r="AE6" s="124">
        <f>god-2</f>
        <v>2024</v>
      </c>
      <c r="AF6" s="124">
        <f>god-2</f>
        <v>2024</v>
      </c>
      <c r="AG6" s="124">
        <f>god-2</f>
        <v>2024</v>
      </c>
      <c r="AH6" s="124">
        <f>god-1</f>
        <v>2025</v>
      </c>
      <c r="AI6" s="94" cm="1" t="str">
        <f t="array" ref="AI6:AI6">god</f>
        <v>2026</v>
      </c>
      <c r="AJ6" s="94">
        <f>god+1</f>
        <v>2027</v>
      </c>
      <c r="AK6" s="94">
        <f>god+2</f>
        <v>2028</v>
      </c>
      <c r="AL6" s="94">
        <f>god+3</f>
        <v>2029</v>
      </c>
      <c r="AM6" s="94">
        <f>god+4</f>
        <v>2030</v>
      </c>
      <c r="AN6" s="94">
        <f>god+5</f>
        <v>2031</v>
      </c>
      <c r="AO6" s="94">
        <f>god+6</f>
        <v>2032</v>
      </c>
      <c r="AP6" s="94">
        <f>god+7</f>
        <v>2033</v>
      </c>
      <c r="AQ6" s="94">
        <f>god+8</f>
        <v>2034</v>
      </c>
      <c r="AR6" s="94">
        <f>god+9</f>
        <v>2035</v>
      </c>
      <c r="AS6" s="94" cm="1" t="str">
        <f t="array" ref="AS6:AS6">god</f>
        <v>2026</v>
      </c>
      <c r="AT6" s="94">
        <f>god+1</f>
        <v>2027</v>
      </c>
      <c r="AU6" s="94">
        <f>god+2</f>
        <v>2028</v>
      </c>
      <c r="AV6" s="94">
        <f>god+3</f>
        <v>2029</v>
      </c>
      <c r="AW6" s="94">
        <f>god+4</f>
        <v>2030</v>
      </c>
      <c r="AX6" s="94">
        <f>god+5</f>
        <v>2031</v>
      </c>
      <c r="AY6" s="94">
        <f>god+6</f>
        <v>2032</v>
      </c>
      <c r="AZ6" s="94">
        <f>god+7</f>
        <v>2033</v>
      </c>
      <c r="BA6" s="94">
        <f>god+8</f>
        <v>2034</v>
      </c>
      <c r="BB6" s="94">
        <f>god+9</f>
        <v>2035</v>
      </c>
    </row>
    <row customHeight="1" ht="11.25" hidden="1">
      <c r="A7" s="100" t="s">
        <v>372</v>
      </c>
      <c r="AE7" s="371" cm="1" t="str">
        <f t="array" ref="AE7:AE7">AE25</f>
        <v>Принято органом регулирования</v>
      </c>
      <c r="AF7" s="371" cm="1" t="str">
        <f t="array" ref="AF7:AF7">AF25</f>
        <v>Факт по данным организации</v>
      </c>
      <c r="AG7" s="371" cm="1" t="str">
        <f t="array" ref="AG7:AG7">AG25</f>
        <v>Факт, принятый органом регулирования</v>
      </c>
      <c r="AH7" s="371" cm="1" t="str">
        <f t="array" ref="AH7:AH7">AH25</f>
        <v>Принято органом регулирования</v>
      </c>
      <c r="AI7" s="371" cm="1" t="str">
        <f t="array" ref="AI7:AI7">AI25</f>
        <v>Предложение организации</v>
      </c>
      <c r="AJ7" s="371" cm="1" t="str">
        <f t="array" ref="AJ7:AJ7">AJ25</f>
        <v>Предложение организации</v>
      </c>
      <c r="AK7" s="371" cm="1" t="str">
        <f t="array" ref="AK7:AK7">AK25</f>
        <v>Предложение организации</v>
      </c>
      <c r="AL7" s="371" cm="1" t="str">
        <f t="array" ref="AL7:AL7">AL25</f>
        <v>Предложение организации</v>
      </c>
      <c r="AM7" s="371" cm="1" t="str">
        <f t="array" ref="AM7:AM7">AM25</f>
        <v>Предложение организации</v>
      </c>
      <c r="AN7" s="371" cm="1" t="str">
        <f t="array" ref="AN7:AN7">AN25</f>
        <v>Предложение организации</v>
      </c>
      <c r="AO7" s="371" cm="1" t="str">
        <f t="array" ref="AO7:AO7">AO25</f>
        <v>Предложение организации</v>
      </c>
      <c r="AP7" s="371" cm="1" t="str">
        <f t="array" ref="AP7:AP7">AP25</f>
        <v>Предложение организации</v>
      </c>
      <c r="AQ7" s="371" cm="1" t="str">
        <f t="array" ref="AQ7:AQ7">AQ25</f>
        <v>Предложение организации</v>
      </c>
      <c r="AR7" s="371" cm="1" t="str">
        <f t="array" ref="AR7:AR7">AR25</f>
        <v>Предложение организации</v>
      </c>
      <c r="AS7" s="371" cm="1" t="str">
        <f t="array" ref="AS7:AS7">AS25</f>
        <v>Принято органом регулирования</v>
      </c>
      <c r="AT7" s="371" cm="1" t="str">
        <f t="array" ref="AT7:AT7">AT25</f>
        <v>Принято органом регулирования</v>
      </c>
      <c r="AU7" s="371" cm="1" t="str">
        <f t="array" ref="AU7:AU7">AU25</f>
        <v>Принято органом регулирования</v>
      </c>
      <c r="AV7" s="371" cm="1" t="str">
        <f t="array" ref="AV7:AV7">AV25</f>
        <v>Принято органом регулирования</v>
      </c>
      <c r="AW7" s="371" cm="1" t="str">
        <f t="array" ref="AW7:AW7">AW25</f>
        <v>Принято органом регулирования</v>
      </c>
      <c r="AX7" s="371" cm="1" t="str">
        <f t="array" ref="AX7:AX7">AX25</f>
        <v>Принято органом регулирования</v>
      </c>
      <c r="AY7" s="371" cm="1" t="str">
        <f t="array" ref="AY7:AY7">AY25</f>
        <v>Принято органом регулирования</v>
      </c>
      <c r="AZ7" s="371" cm="1" t="str">
        <f t="array" ref="AZ7:AZ7">AZ25</f>
        <v>Принято органом регулирования</v>
      </c>
      <c r="BA7" s="371" cm="1" t="str">
        <f t="array" ref="BA7:BA7">BA25</f>
        <v>Принято органом регулирования</v>
      </c>
      <c r="BB7" s="371" cm="1" t="str">
        <f t="array" ref="BB7:BB7">BB25</f>
        <v>Принято органом регулирования</v>
      </c>
    </row>
    <row customHeight="1" ht="11.25" hidden="1">
      <c r="AI8" s="1560"/>
      <c r="AJ8" s="1560"/>
      <c r="AK8" s="1560"/>
      <c r="AL8" s="1560"/>
      <c r="AM8" s="1560"/>
      <c r="AN8" s="1560"/>
      <c r="AO8" s="1560"/>
      <c r="AP8" s="1560"/>
      <c r="AQ8" s="1560"/>
      <c r="AR8" s="1560"/>
      <c r="AS8" s="1560"/>
      <c r="AT8" s="1560"/>
      <c r="AU8" s="1560"/>
      <c r="AV8" s="1560"/>
      <c r="AW8" s="1560"/>
      <c r="AX8" s="1560"/>
      <c r="AY8" s="1560"/>
      <c r="AZ8" s="1560"/>
      <c r="BA8" s="1560"/>
      <c r="BB8" s="1560"/>
    </row>
    <row s="1184" customFormat="1" customHeight="1" ht="11.25" hidden="1">
      <c r="A9" s="1023" t="s">
        <v>376</v>
      </c>
      <c r="B9" s="1017"/>
      <c r="AD9" s="1041"/>
      <c r="AE9" s="1041" cm="1" t="str">
        <f t="array" ref="AE9:AE9">AE6</f>
        <v>2024</v>
      </c>
      <c r="AF9" s="1041" cm="1" t="str">
        <f t="array" ref="AF9:AF9">AF6</f>
        <v>2024</v>
      </c>
      <c r="AG9" s="1041" cm="1" t="str">
        <f t="array" ref="AG9:AG9">AG6</f>
        <v>2024</v>
      </c>
      <c r="AH9" s="1041" cm="1" t="str">
        <f t="array" ref="AH9:AH9">AH6</f>
        <v>2025</v>
      </c>
      <c r="AI9" s="1041" cm="1" t="str">
        <f t="array" ref="AI9:AI9">AI6</f>
        <v>2026</v>
      </c>
      <c r="AJ9" s="1041" cm="1" t="str">
        <f t="array" ref="AJ9:AJ9">AJ6</f>
        <v>2027</v>
      </c>
      <c r="AK9" s="1041" cm="1" t="str">
        <f t="array" ref="AK9:AK9">AK6</f>
        <v>2028</v>
      </c>
      <c r="AL9" s="1041" cm="1" t="str">
        <f t="array" ref="AL9:AL9">AL6</f>
        <v>2029</v>
      </c>
      <c r="AM9" s="1041" cm="1" t="str">
        <f t="array" ref="AM9:AM9">AM6</f>
        <v>2030</v>
      </c>
      <c r="AN9" s="1041" cm="1" t="str">
        <f t="array" ref="AN9:AN9">AN6</f>
        <v>2031</v>
      </c>
      <c r="AO9" s="1041" cm="1" t="str">
        <f t="array" ref="AO9:AO9">AO6</f>
        <v>2032</v>
      </c>
      <c r="AP9" s="1041" cm="1" t="str">
        <f t="array" ref="AP9:AP9">AP6</f>
        <v>2033</v>
      </c>
      <c r="AQ9" s="1041" cm="1" t="str">
        <f t="array" ref="AQ9:AQ9">AQ6</f>
        <v>2034</v>
      </c>
      <c r="AR9" s="1041" cm="1" t="str">
        <f t="array" ref="AR9:AR9">AR6</f>
        <v>2035</v>
      </c>
      <c r="AS9" s="1041" cm="1" t="str">
        <f t="array" ref="AS9:AS9">AS6</f>
        <v>2026</v>
      </c>
      <c r="AT9" s="1041" cm="1" t="str">
        <f t="array" ref="AT9:AT9">AT6</f>
        <v>2027</v>
      </c>
      <c r="AU9" s="1041" cm="1" t="str">
        <f t="array" ref="AU9:AU9">AU6</f>
        <v>2028</v>
      </c>
      <c r="AV9" s="1041" cm="1" t="str">
        <f t="array" ref="AV9:AV9">AV6</f>
        <v>2029</v>
      </c>
      <c r="AW9" s="1041" cm="1" t="str">
        <f t="array" ref="AW9:AW9">AW6</f>
        <v>2030</v>
      </c>
      <c r="AX9" s="1041" cm="1" t="str">
        <f t="array" ref="AX9:AX9">AX6</f>
        <v>2031</v>
      </c>
      <c r="AY9" s="1041" cm="1" t="str">
        <f t="array" ref="AY9:AY9">AY6</f>
        <v>2032</v>
      </c>
      <c r="AZ9" s="1041" cm="1" t="str">
        <f t="array" ref="AZ9:AZ9">AZ6</f>
        <v>2033</v>
      </c>
      <c r="BA9" s="1041" cm="1" t="str">
        <f t="array" ref="BA9:BA9">BA6</f>
        <v>2034</v>
      </c>
      <c r="BB9" s="1041" cm="1" t="str">
        <f t="array" ref="BB9:BB9">BB6</f>
        <v>2035</v>
      </c>
    </row>
    <row s="1184" customFormat="1" customHeight="1" ht="11.25" hidden="1">
      <c r="A10" s="1023" t="s">
        <v>377</v>
      </c>
      <c r="B10" s="1017"/>
      <c r="AD10" s="1041"/>
      <c r="AE10" s="1041" cm="1" t="str">
        <f t="array" ref="AE10:AE10">AE25</f>
        <v>Принято органом регулирования</v>
      </c>
      <c r="AF10" s="1041" cm="1" t="str">
        <f t="array" ref="AF10:AF10">AF25</f>
        <v>Факт по данным организации</v>
      </c>
      <c r="AG10" s="1041" cm="1" t="str">
        <f t="array" ref="AG10:AG10">AG25</f>
        <v>Факт, принятый органом регулирования</v>
      </c>
      <c r="AH10" s="1041" cm="1" t="str">
        <f t="array" ref="AH10:AH10">AH25</f>
        <v>Принято органом регулирования</v>
      </c>
      <c r="AI10" s="1041" cm="1" t="str">
        <f t="array" ref="AI10:AI10">AI25</f>
        <v>Предложение организации</v>
      </c>
      <c r="AJ10" s="1041" cm="1" t="str">
        <f t="array" ref="AJ10:AJ10">AJ25</f>
        <v>Предложение организации</v>
      </c>
      <c r="AK10" s="1041" cm="1" t="str">
        <f t="array" ref="AK10:AK10">AK25</f>
        <v>Предложение организации</v>
      </c>
      <c r="AL10" s="1041" cm="1" t="str">
        <f t="array" ref="AL10:AL10">AL25</f>
        <v>Предложение организации</v>
      </c>
      <c r="AM10" s="1041" cm="1" t="str">
        <f t="array" ref="AM10:AM10">AM25</f>
        <v>Предложение организации</v>
      </c>
      <c r="AN10" s="1041" cm="1" t="str">
        <f t="array" ref="AN10:AN10">AN25</f>
        <v>Предложение организации</v>
      </c>
      <c r="AO10" s="1041" cm="1" t="str">
        <f t="array" ref="AO10:AO10">AO25</f>
        <v>Предложение организации</v>
      </c>
      <c r="AP10" s="1041" cm="1" t="str">
        <f t="array" ref="AP10:AP10">AP25</f>
        <v>Предложение организации</v>
      </c>
      <c r="AQ10" s="1041" cm="1" t="str">
        <f t="array" ref="AQ10:AQ10">AQ25</f>
        <v>Предложение организации</v>
      </c>
      <c r="AR10" s="1041" cm="1" t="str">
        <f t="array" ref="AR10:AR10">AR25</f>
        <v>Предложение организации</v>
      </c>
      <c r="AS10" s="1041" cm="1" t="str">
        <f t="array" ref="AS10:AS10">AS25</f>
        <v>Принято органом регулирования</v>
      </c>
      <c r="AT10" s="1041" cm="1" t="str">
        <f t="array" ref="AT10:AT10">AT25</f>
        <v>Принято органом регулирования</v>
      </c>
      <c r="AU10" s="1041" cm="1" t="str">
        <f t="array" ref="AU10:AU10">AU25</f>
        <v>Принято органом регулирования</v>
      </c>
      <c r="AV10" s="1041" cm="1" t="str">
        <f t="array" ref="AV10:AV10">AV25</f>
        <v>Принято органом регулирования</v>
      </c>
      <c r="AW10" s="1041" cm="1" t="str">
        <f t="array" ref="AW10:AW10">AW25</f>
        <v>Принято органом регулирования</v>
      </c>
      <c r="AX10" s="1041" cm="1" t="str">
        <f t="array" ref="AX10:AX10">AX25</f>
        <v>Принято органом регулирования</v>
      </c>
      <c r="AY10" s="1041" cm="1" t="str">
        <f t="array" ref="AY10:AY10">AY25</f>
        <v>Принято органом регулирования</v>
      </c>
      <c r="AZ10" s="1041" cm="1" t="str">
        <f t="array" ref="AZ10:AZ10">AZ25</f>
        <v>Принято органом регулирования</v>
      </c>
      <c r="BA10" s="1041" cm="1" t="str">
        <f t="array" ref="BA10:BA10">BA25</f>
        <v>Принято органом регулирования</v>
      </c>
      <c r="BB10" s="1041" cm="1" t="str">
        <f t="array" ref="BB10:BB10">BB25</f>
        <v>Принято органом регулирования</v>
      </c>
    </row>
    <row s="1184" customFormat="1" customHeight="1" ht="11.25" hidden="1">
      <c r="A11" s="1023" t="s">
        <v>378</v>
      </c>
      <c r="B11" s="1017"/>
      <c r="AD11" s="1041"/>
      <c r="AE11" s="1041"/>
      <c r="AF11" s="1041"/>
      <c r="AG11" s="1041"/>
      <c r="AH11" s="1041"/>
      <c r="AI11" s="1041"/>
      <c r="AJ11" s="1041"/>
      <c r="AK11" s="1041"/>
      <c r="AL11" s="1041"/>
      <c r="AM11" s="1041"/>
      <c r="AN11" s="1041"/>
      <c r="AO11" s="1041"/>
      <c r="AP11" s="1041"/>
      <c r="AQ11" s="1041"/>
      <c r="AR11" s="1041"/>
      <c r="AS11" s="1041"/>
      <c r="AT11" s="1041"/>
      <c r="AU11" s="1041"/>
      <c r="AV11" s="1041"/>
      <c r="AW11" s="1041"/>
      <c r="AX11" s="1041"/>
      <c r="AY11" s="1041"/>
      <c r="AZ11" s="1041"/>
      <c r="BA11" s="1041"/>
      <c r="BB11" s="1041"/>
      <c r="BC11" s="1008" cm="1" t="str">
        <f t="array" ref="BC11:BC11">BC24</f>
        <v>Ссылка на правовую норму (основание для принятия показателя в расчет тарифа)</v>
      </c>
    </row>
    <row customHeight="1" ht="11.25" hidden="1">
      <c r="AI12" s="1560"/>
      <c r="AJ12" s="1560"/>
      <c r="AK12" s="1560"/>
      <c r="AL12" s="1560"/>
      <c r="AM12" s="1560"/>
      <c r="AN12" s="1560"/>
      <c r="AO12" s="1560"/>
      <c r="AP12" s="1560"/>
      <c r="AQ12" s="1560"/>
      <c r="AR12" s="1560"/>
      <c r="AS12" s="1560"/>
      <c r="AT12" s="1560"/>
      <c r="AU12" s="1560"/>
      <c r="AV12" s="1560"/>
      <c r="AW12" s="1560"/>
      <c r="AX12" s="1560"/>
      <c r="AY12" s="1560"/>
      <c r="AZ12" s="1560"/>
      <c r="BA12" s="1560"/>
      <c r="BB12" s="1560"/>
    </row>
    <row customHeight="1" ht="11.25" hidden="1">
      <c r="AI13" s="94"/>
      <c r="AJ13" s="94"/>
      <c r="AK13" s="94"/>
      <c r="AL13" s="94"/>
      <c r="AM13" s="94"/>
      <c r="AN13" s="94"/>
      <c r="AO13" s="94"/>
      <c r="AP13" s="94"/>
      <c r="AQ13" s="94"/>
      <c r="AR13" s="94"/>
      <c r="AS13" s="94"/>
      <c r="AT13" s="94"/>
      <c r="AU13" s="94"/>
      <c r="AV13" s="94"/>
      <c r="AW13" s="94"/>
      <c r="AX13" s="94"/>
      <c r="AY13" s="94"/>
      <c r="AZ13" s="94"/>
      <c r="BA13" s="94"/>
      <c r="BB13" s="94"/>
    </row>
    <row customHeight="1" ht="11.25" hidden="1">
      <c r="AI14" s="94"/>
      <c r="AJ14" s="94"/>
      <c r="AK14" s="94"/>
      <c r="AL14" s="94"/>
      <c r="AM14" s="94"/>
      <c r="AN14" s="94"/>
      <c r="AO14" s="94"/>
      <c r="AP14" s="94"/>
      <c r="AQ14" s="94"/>
      <c r="AR14" s="94"/>
      <c r="AS14" s="94"/>
      <c r="AT14" s="94"/>
      <c r="AU14" s="94"/>
      <c r="AV14" s="94"/>
      <c r="AW14" s="94"/>
      <c r="AX14" s="94"/>
      <c r="AY14" s="94"/>
      <c r="AZ14" s="94"/>
      <c r="BA14" s="94"/>
      <c r="BB14" s="94"/>
    </row>
    <row customHeight="1" ht="11.25" hidden="1">
      <c r="AI15" s="94"/>
      <c r="AJ15" s="94"/>
      <c r="AK15" s="94"/>
      <c r="AL15" s="94"/>
      <c r="AM15" s="94"/>
      <c r="AN15" s="94"/>
      <c r="AO15" s="94"/>
      <c r="AP15" s="94"/>
      <c r="AQ15" s="94"/>
      <c r="AR15" s="94"/>
      <c r="AS15" s="94"/>
      <c r="AT15" s="94"/>
      <c r="AU15" s="94"/>
      <c r="AV15" s="94"/>
      <c r="AW15" s="94"/>
      <c r="AX15" s="94"/>
      <c r="AY15" s="94"/>
      <c r="AZ15" s="94"/>
      <c r="BA15" s="94"/>
      <c r="BB15" s="94"/>
    </row>
    <row customHeight="1" ht="11.25" hidden="1">
      <c r="AI16" s="94"/>
      <c r="AJ16" s="94"/>
      <c r="AK16" s="94"/>
      <c r="AL16" s="94"/>
      <c r="AM16" s="94"/>
      <c r="AN16" s="94"/>
      <c r="AO16" s="94"/>
      <c r="AP16" s="94"/>
      <c r="AQ16" s="94"/>
      <c r="AR16" s="94"/>
      <c r="AS16" s="94"/>
      <c r="AT16" s="94"/>
      <c r="AU16" s="94"/>
      <c r="AV16" s="94"/>
      <c r="AW16" s="94"/>
      <c r="AX16" s="94"/>
      <c r="AY16" s="94"/>
      <c r="AZ16" s="94"/>
      <c r="BA16" s="94"/>
      <c r="BB16" s="94"/>
    </row>
    <row customHeight="1" ht="11.25" hidden="1">
      <c r="AI17" s="1560"/>
      <c r="AJ17" s="1560"/>
      <c r="AK17" s="1560"/>
      <c r="AL17" s="1560"/>
      <c r="AM17" s="1560"/>
      <c r="AN17" s="1560"/>
      <c r="AO17" s="1560"/>
      <c r="AP17" s="1560"/>
      <c r="AQ17" s="1560"/>
      <c r="AR17" s="1560"/>
      <c r="AS17" s="1560"/>
      <c r="AT17" s="1560"/>
      <c r="AU17" s="1560"/>
      <c r="AV17" s="1560"/>
      <c r="AW17" s="1560"/>
      <c r="AX17" s="1560"/>
      <c r="AY17" s="1560"/>
      <c r="AZ17" s="1560"/>
      <c r="BA17" s="1560"/>
      <c r="BB17" s="1560"/>
    </row>
    <row customHeight="1" ht="11.25" hidden="1">
      <c r="AI18" s="1560"/>
      <c r="AJ18" s="1560"/>
      <c r="AK18" s="1560"/>
      <c r="AL18" s="1560"/>
      <c r="AM18" s="1560"/>
      <c r="AN18" s="1560"/>
      <c r="AO18" s="1560"/>
      <c r="AP18" s="1560"/>
      <c r="AQ18" s="1560"/>
      <c r="AR18" s="1560"/>
      <c r="AS18" s="1560"/>
      <c r="AT18" s="1560"/>
      <c r="AU18" s="1560"/>
      <c r="AV18" s="1560"/>
      <c r="AW18" s="1560"/>
      <c r="AX18" s="1560"/>
      <c r="AY18" s="1560"/>
      <c r="AZ18" s="1560"/>
      <c r="BA18" s="1560"/>
      <c r="BB18" s="1560"/>
    </row>
    <row customHeight="1" ht="11.25" hidden="1">
      <c r="AI19" s="1560"/>
      <c r="AJ19" s="1560"/>
      <c r="AK19" s="1560"/>
      <c r="AL19" s="1560"/>
      <c r="AM19" s="1560"/>
      <c r="AN19" s="1560"/>
      <c r="AO19" s="1560"/>
      <c r="AP19" s="1560"/>
      <c r="AQ19" s="1560"/>
      <c r="AR19" s="1560"/>
      <c r="AS19" s="1560"/>
      <c r="AT19" s="1560"/>
      <c r="AU19" s="1560"/>
      <c r="AV19" s="1560"/>
      <c r="AW19" s="1560"/>
      <c r="AX19" s="1560"/>
      <c r="AY19" s="1560"/>
      <c r="AZ19" s="1560"/>
      <c r="BA19" s="1560"/>
      <c r="BB19" s="1560"/>
    </row>
    <row customHeight="1" ht="11.25" hidden="1">
      <c r="AI20" s="1560"/>
      <c r="AJ20" s="1560"/>
      <c r="AK20" s="1560"/>
      <c r="AL20" s="1560"/>
      <c r="AM20" s="1560"/>
      <c r="AN20" s="1560"/>
      <c r="AO20" s="1560"/>
      <c r="AP20" s="1560"/>
      <c r="AQ20" s="1560"/>
      <c r="AR20" s="1560"/>
      <c r="AS20" s="1560"/>
      <c r="AT20" s="1560"/>
      <c r="AU20" s="1560"/>
      <c r="AV20" s="1560"/>
      <c r="AW20" s="1560"/>
      <c r="AX20" s="1560"/>
      <c r="AY20" s="1560"/>
      <c r="AZ20" s="1560"/>
      <c r="BA20" s="1560"/>
      <c r="BB20" s="1560"/>
    </row>
    <row customHeight="1" ht="14.625">
      <c r="E21" s="633">
        <v>15</v>
      </c>
      <c r="AA21" s="427"/>
      <c r="AC21" s="50" cm="1" t="str">
        <f t="array" ref="AC21:AC21">tpl_title</f>
        <v>Кемеровская область / 2026 / ОАО «СКЭК» (ИНН:4205153492, КПП:420501001) / ДПР: 2024-2028</v>
      </c>
      <c r="AI21" s="1560"/>
      <c r="AJ21" s="1560"/>
      <c r="AK21" s="1560"/>
      <c r="AL21" s="1560"/>
      <c r="AM21" s="1560"/>
      <c r="AN21" s="1560"/>
      <c r="AO21" s="1560"/>
      <c r="AP21" s="1560"/>
      <c r="AQ21" s="1560"/>
      <c r="AR21" s="1560"/>
      <c r="AS21" s="1560"/>
      <c r="AT21" s="1560"/>
      <c r="AU21" s="1560"/>
      <c r="AV21" s="1560"/>
      <c r="AW21" s="1560"/>
      <c r="AX21" s="1560"/>
      <c r="AY21" s="1560"/>
      <c r="AZ21" s="1560"/>
      <c r="BA21" s="1560"/>
      <c r="BB21" s="1560"/>
    </row>
    <row customHeight="1" ht="19.5">
      <c r="E22" s="633">
        <v>20</v>
      </c>
      <c r="AB22" s="316" t="s">
        <v>1063</v>
      </c>
      <c r="AC22" s="202"/>
      <c r="AD22" s="205"/>
      <c r="AE22" s="202"/>
      <c r="AF22" s="202"/>
      <c r="AG22" s="202"/>
      <c r="AH22" s="202"/>
      <c r="AI22" s="202"/>
      <c r="AJ22" s="202"/>
      <c r="AK22" s="202"/>
      <c r="AL22" s="202"/>
      <c r="AM22" s="202"/>
      <c r="AN22" s="202"/>
      <c r="AO22" s="202"/>
      <c r="AP22" s="202"/>
      <c r="AQ22" s="202"/>
      <c r="AR22" s="202"/>
      <c r="AS22" s="202"/>
      <c r="AT22" s="202"/>
      <c r="AU22" s="202"/>
      <c r="AV22" s="202"/>
      <c r="AW22" s="202"/>
      <c r="AX22" s="202"/>
      <c r="AY22" s="202"/>
      <c r="AZ22" s="202"/>
      <c r="BA22" s="202"/>
      <c r="BB22" s="202"/>
      <c r="BC22" s="204"/>
    </row>
    <row customHeight="1" ht="10.725000000000001">
      <c r="E23" s="633">
        <v>11</v>
      </c>
      <c r="AB23" s="1568"/>
      <c r="AC23" s="1568"/>
      <c r="AD23" s="1568"/>
      <c r="AE23" s="1568"/>
      <c r="AF23" s="1568"/>
      <c r="AG23" s="1568"/>
      <c r="AH23" s="1568"/>
      <c r="AI23" s="1568"/>
      <c r="AJ23" s="1568"/>
      <c r="AK23" s="1568"/>
      <c r="AL23" s="1568"/>
      <c r="AM23" s="1568"/>
      <c r="AN23" s="1568"/>
      <c r="AO23" s="1568"/>
      <c r="AP23" s="1568"/>
      <c r="AQ23" s="1568"/>
      <c r="AR23" s="1568"/>
      <c r="AS23" s="1568"/>
      <c r="AT23" s="1568"/>
      <c r="AU23" s="1568"/>
      <c r="AV23" s="1568"/>
      <c r="AW23" s="1568"/>
      <c r="AX23" s="1568"/>
      <c r="AY23" s="1568"/>
      <c r="AZ23" s="1568"/>
      <c r="BA23" s="1568"/>
      <c r="BB23" s="1568"/>
    </row>
    <row customHeight="1" ht="14.625">
      <c r="E24" s="633">
        <v>15</v>
      </c>
      <c r="AB24" s="1553" t="s">
        <v>918</v>
      </c>
      <c r="AC24" s="1584" t="s">
        <v>194</v>
      </c>
      <c r="AD24" s="1553" t="s">
        <v>381</v>
      </c>
      <c r="AE24" s="355" t="str">
        <f>god-2&amp;" год"</f>
        <v>2024 год</v>
      </c>
      <c r="AF24" s="1130" t="str">
        <f>god-2&amp;" год"</f>
        <v>2024 год</v>
      </c>
      <c r="AG24" s="355" t="str">
        <f>god-2&amp;" год"</f>
        <v>2024 год</v>
      </c>
      <c r="AH24" s="90" t="str">
        <f>god-1&amp;" год"</f>
        <v>2025 год</v>
      </c>
      <c r="AI24" s="1127" t="str">
        <f>god&amp;" год"</f>
        <v>2026 год</v>
      </c>
      <c r="AJ24" s="1127" t="str">
        <f>god+1&amp;" год"</f>
        <v>2027 год</v>
      </c>
      <c r="AK24" s="1127" t="str">
        <f>god+2&amp;" год"</f>
        <v>2028 год</v>
      </c>
      <c r="AL24" s="1127" t="str">
        <f>god+3&amp;" год"</f>
        <v>2029 год</v>
      </c>
      <c r="AM24" s="1127" t="str">
        <f>god+4&amp;" год"</f>
        <v>2030 год</v>
      </c>
      <c r="AN24" s="1127" t="str">
        <f>god+5&amp;" год"</f>
        <v>2031 год</v>
      </c>
      <c r="AO24" s="1127" t="str">
        <f>god+6&amp;" год"</f>
        <v>2032 год</v>
      </c>
      <c r="AP24" s="1127" t="str">
        <f>god+7&amp;" год"</f>
        <v>2033 год</v>
      </c>
      <c r="AQ24" s="1127" t="str">
        <f>god+8&amp;" год"</f>
        <v>2034 год</v>
      </c>
      <c r="AR24" s="1127" t="str">
        <f>god+9&amp;" год"</f>
        <v>2035 год</v>
      </c>
      <c r="AS24" s="88" t="str">
        <f>god&amp;" год"</f>
        <v>2026 год</v>
      </c>
      <c r="AT24" s="88" t="str">
        <f>god+1&amp;" год"</f>
        <v>2027 год</v>
      </c>
      <c r="AU24" s="88" t="str">
        <f>god+2&amp;" год"</f>
        <v>2028 год</v>
      </c>
      <c r="AV24" s="88" t="str">
        <f>god+3&amp;" год"</f>
        <v>2029 год</v>
      </c>
      <c r="AW24" s="88" t="str">
        <f>god+4&amp;" год"</f>
        <v>2030 год</v>
      </c>
      <c r="AX24" s="88" t="str">
        <f>god+5&amp;" год"</f>
        <v>2031 год</v>
      </c>
      <c r="AY24" s="88" t="str">
        <f>god+6&amp;" год"</f>
        <v>2032 год</v>
      </c>
      <c r="AZ24" s="88" t="str">
        <f>god+7&amp;" год"</f>
        <v>2033 год</v>
      </c>
      <c r="BA24" s="88" t="str">
        <f>god+8&amp;" год"</f>
        <v>2034 год</v>
      </c>
      <c r="BB24" s="88" t="str">
        <f>god+9&amp;" год"</f>
        <v>2035 год</v>
      </c>
      <c r="BC24" s="1585" t="s">
        <v>652</v>
      </c>
    </row>
    <row customHeight="1" ht="43.921875">
      <c r="E25" s="633">
        <v>50</v>
      </c>
      <c r="AB25" s="1553"/>
      <c r="AC25" s="1584"/>
      <c r="AD25" s="1553"/>
      <c r="AE25" s="88" t="s">
        <v>373</v>
      </c>
      <c r="AF25" s="1127" t="s">
        <v>555</v>
      </c>
      <c r="AG25" s="88" t="s">
        <v>556</v>
      </c>
      <c r="AH25" s="88" t="s">
        <v>373</v>
      </c>
      <c r="AI25" s="1131" t="s">
        <v>374</v>
      </c>
      <c r="AJ25" s="1131" t="s">
        <v>374</v>
      </c>
      <c r="AK25" s="1131" t="s">
        <v>374</v>
      </c>
      <c r="AL25" s="1131" t="s">
        <v>374</v>
      </c>
      <c r="AM25" s="1131" t="s">
        <v>374</v>
      </c>
      <c r="AN25" s="1131" t="s">
        <v>374</v>
      </c>
      <c r="AO25" s="1131" t="s">
        <v>374</v>
      </c>
      <c r="AP25" s="1131" t="s">
        <v>374</v>
      </c>
      <c r="AQ25" s="1131" t="s">
        <v>374</v>
      </c>
      <c r="AR25" s="1131" t="s">
        <v>374</v>
      </c>
      <c r="AS25" s="356" t="s">
        <v>373</v>
      </c>
      <c r="AT25" s="356" t="s">
        <v>373</v>
      </c>
      <c r="AU25" s="356" t="s">
        <v>373</v>
      </c>
      <c r="AV25" s="356" t="s">
        <v>373</v>
      </c>
      <c r="AW25" s="356" t="s">
        <v>373</v>
      </c>
      <c r="AX25" s="356" t="s">
        <v>373</v>
      </c>
      <c r="AY25" s="356" t="s">
        <v>373</v>
      </c>
      <c r="AZ25" s="356" t="s">
        <v>373</v>
      </c>
      <c r="BA25" s="356" t="s">
        <v>373</v>
      </c>
      <c r="BB25" s="356" t="s">
        <v>373</v>
      </c>
      <c r="BC25" s="1586"/>
    </row>
    <row s="1656" customFormat="1" customHeight="1" ht="11.25">
      <c r="B26" s="432"/>
      <c r="E26" s="677" t="s">
        <v>384</v>
      </c>
      <c r="F26" s="168" t="s">
        <v>1064</v>
      </c>
      <c r="T26" s="0"/>
      <c r="AC26" s="96"/>
      <c r="AD26" s="96"/>
      <c r="AE26" s="96"/>
      <c r="AF26" s="96"/>
      <c r="AI26" s="1656"/>
      <c r="AJ26" s="1656"/>
      <c r="AK26" s="1656"/>
      <c r="AL26" s="1656"/>
      <c r="AM26" s="1656"/>
      <c r="AN26" s="1656"/>
      <c r="AO26" s="1656"/>
      <c r="AP26" s="1656"/>
      <c r="AQ26" s="97"/>
      <c r="AR26" s="1656"/>
      <c r="AS26" s="1656"/>
      <c r="AT26" s="1656"/>
      <c r="AU26" s="1656"/>
      <c r="AV26" s="1656"/>
      <c r="AW26" s="1656"/>
      <c r="AX26" s="1656"/>
      <c r="AY26" s="1656"/>
      <c r="AZ26" s="1656"/>
      <c r="BA26" s="1656"/>
      <c r="BB26" s="1656"/>
      <c r="BF26" s="1012"/>
    </row>
    <row customHeight="1" ht="14.625" hidden="1">
      <c r="A27" s="1240"/>
      <c r="B27" s="1223"/>
      <c r="C27" s="1240"/>
      <c r="D27" s="1240"/>
      <c r="E27" s="633">
        <v>15</v>
      </c>
      <c r="F27" s="726" cm="1" t="str">
        <f t="array" ref="F27:F27">X27</f>
        <v>0</v>
      </c>
      <c r="G27" s="1240"/>
      <c r="H27" s="1240"/>
      <c r="I27" s="1240"/>
      <c r="J27" s="1240"/>
      <c r="K27" s="1240"/>
      <c r="L27" s="1240"/>
      <c r="M27" s="1240"/>
      <c r="N27" s="1240"/>
      <c r="O27" s="1240"/>
      <c r="P27" s="1240"/>
      <c r="Q27" s="1240"/>
      <c r="R27" s="1240"/>
      <c r="S27" s="1240"/>
      <c r="T27" s="468">
        <f>X27&gt;0</f>
        <v>0</v>
      </c>
      <c r="U27" s="1240"/>
      <c r="V27" s="100" t="s">
        <v>279</v>
      </c>
      <c r="W27" s="1240"/>
      <c r="X27" s="1559">
        <v>0</v>
      </c>
      <c r="Y27" s="1240"/>
      <c r="Z27" s="1560"/>
      <c r="AA27" s="1240"/>
      <c r="AB27" s="179" cm="1" t="str">
        <f t="array" ref="AB27:AB27">INDEX('Общие сведения'!$AG$197:$AG$254,MATCH($X27,'Общие сведения'!$Z$197:$Z$254,0))</f>
        <v>Тариф 0 () - </v>
      </c>
      <c r="AC27" s="176"/>
      <c r="AD27" s="170"/>
      <c r="AE27" s="170"/>
      <c r="AF27" s="170"/>
      <c r="AG27" s="170"/>
      <c r="AH27" s="170"/>
      <c r="AI27" s="170"/>
      <c r="AJ27" s="170"/>
      <c r="AK27" s="170"/>
      <c r="AL27" s="170"/>
      <c r="AM27" s="170"/>
      <c r="AN27" s="170"/>
      <c r="AO27" s="170"/>
      <c r="AP27" s="170"/>
      <c r="AQ27" s="170"/>
      <c r="AR27" s="170"/>
      <c r="AS27" s="170"/>
      <c r="AT27" s="170"/>
      <c r="AU27" s="170"/>
      <c r="AV27" s="170"/>
      <c r="AW27" s="170"/>
      <c r="AX27" s="170"/>
      <c r="AY27" s="170"/>
      <c r="AZ27" s="170"/>
      <c r="BA27" s="170"/>
      <c r="BB27" s="170"/>
      <c r="BC27" s="206"/>
      <c r="BD27" s="1240"/>
      <c r="BE27" s="1240"/>
      <c r="BF27" s="1184"/>
    </row>
    <row s="528" customFormat="1" customHeight="1" ht="21.9375" hidden="1">
      <c r="A28" s="528"/>
      <c r="B28" s="433"/>
      <c r="C28" s="528"/>
      <c r="D28" s="528"/>
      <c r="E28" s="675">
        <v>22.5</v>
      </c>
      <c r="F28" s="50" cm="1" t="str">
        <f t="array" ref="F28:F28">OFFSET(E28,-1,1)</f>
        <v>0</v>
      </c>
      <c r="G28" s="100" t="s">
        <v>344</v>
      </c>
      <c r="H28" s="528"/>
      <c r="I28" s="528"/>
      <c r="J28" s="528"/>
      <c r="K28" s="528"/>
      <c r="L28" s="528"/>
      <c r="M28" s="528"/>
      <c r="N28" s="528"/>
      <c r="O28" s="528"/>
      <c r="P28" s="528"/>
      <c r="Q28" s="528"/>
      <c r="R28" s="528"/>
      <c r="S28" s="528"/>
      <c r="T28" s="468" cm="1" t="str">
        <f t="array" ref="T28:T28">T27</f>
        <v>false</v>
      </c>
      <c r="U28" s="528"/>
      <c r="V28" s="528"/>
      <c r="W28" s="528"/>
      <c r="X28" s="1559"/>
      <c r="Y28" s="528"/>
      <c r="Z28" s="1560"/>
      <c r="AA28" s="528"/>
      <c r="AB28" s="207">
        <v>1</v>
      </c>
      <c r="AC28" s="208" t="s">
        <v>1065</v>
      </c>
      <c r="AD28" s="85" t="s">
        <v>936</v>
      </c>
      <c r="AE28" s="3107">
        <f>SUM(AE29:AE33)</f>
        <v>0</v>
      </c>
      <c r="AF28" s="3107">
        <f>SUM(AF29:AF33)</f>
        <v>0</v>
      </c>
      <c r="AG28" s="3107">
        <f>SUM(AG29:AG33)</f>
        <v>0</v>
      </c>
      <c r="AH28" s="3107">
        <f>SUM(AH29:AH33)</f>
        <v>0</v>
      </c>
      <c r="AI28" s="3107">
        <f>SUM(AI29:AI33)</f>
        <v>0</v>
      </c>
      <c r="AJ28" s="3107">
        <f>SUM(AJ29:AJ33)</f>
        <v>0</v>
      </c>
      <c r="AK28" s="3107">
        <f>SUM(AK29:AK33)</f>
        <v>0</v>
      </c>
      <c r="AL28" s="3107">
        <f>SUM(AL29:AL33)</f>
        <v>0</v>
      </c>
      <c r="AM28" s="3107">
        <f>SUM(AM29:AM33)</f>
        <v>0</v>
      </c>
      <c r="AN28" s="3107">
        <f>SUM(AN29:AN33)</f>
        <v>0</v>
      </c>
      <c r="AO28" s="3107">
        <f>SUM(AO29:AO33)</f>
        <v>0</v>
      </c>
      <c r="AP28" s="3107">
        <f>SUM(AP29:AP33)</f>
        <v>0</v>
      </c>
      <c r="AQ28" s="3107">
        <f>SUM(AQ29:AQ33)</f>
        <v>0</v>
      </c>
      <c r="AR28" s="3107">
        <f>SUM(AR29:AR33)</f>
        <v>0</v>
      </c>
      <c r="AS28" s="3107">
        <f>SUM(AS29:AS33)</f>
        <v>0</v>
      </c>
      <c r="AT28" s="3107">
        <f>SUM(AT29:AT33)</f>
        <v>0</v>
      </c>
      <c r="AU28" s="3107">
        <f>SUM(AU29:AU33)</f>
        <v>0</v>
      </c>
      <c r="AV28" s="3107">
        <f>SUM(AV29:AV33)</f>
        <v>0</v>
      </c>
      <c r="AW28" s="3107">
        <f>SUM(AW29:AW33)</f>
        <v>0</v>
      </c>
      <c r="AX28" s="3107">
        <f>SUM(AX29:AX33)</f>
        <v>0</v>
      </c>
      <c r="AY28" s="3107">
        <f>SUM(AY29:AY33)</f>
        <v>0</v>
      </c>
      <c r="AZ28" s="3107">
        <f>SUM(AZ29:AZ33)</f>
        <v>0</v>
      </c>
      <c r="BA28" s="3107">
        <f>SUM(BA29:BA33)</f>
        <v>0</v>
      </c>
      <c r="BB28" s="3107">
        <f>SUM(BB29:BB33)</f>
        <v>0</v>
      </c>
      <c r="BC28" s="1928"/>
      <c r="BD28" s="528"/>
      <c r="BE28" s="528"/>
      <c r="BF28" s="1042" t="s">
        <v>1066</v>
      </c>
    </row>
    <row customHeight="1" ht="14.625" hidden="1">
      <c r="A29" s="1240"/>
      <c r="B29" s="1223"/>
      <c r="C29" s="1240"/>
      <c r="D29" s="1240"/>
      <c r="E29" s="633">
        <v>15</v>
      </c>
      <c r="F29" s="50" cm="1" t="str">
        <f t="array" ref="F29:F29">OFFSET(E29,-1,1)</f>
        <v>0</v>
      </c>
      <c r="G29" s="100" t="s">
        <v>566</v>
      </c>
      <c r="H29" s="1240"/>
      <c r="I29" s="1240"/>
      <c r="J29" s="1240"/>
      <c r="K29" s="1240"/>
      <c r="L29" s="1240"/>
      <c r="M29" s="1240"/>
      <c r="N29" s="1240"/>
      <c r="O29" s="1240"/>
      <c r="P29" s="1240"/>
      <c r="Q29" s="1240"/>
      <c r="R29" s="1240"/>
      <c r="S29" s="1240"/>
      <c r="T29" s="468" cm="1" t="str">
        <f t="array" ref="T29:T29">T28</f>
        <v>false</v>
      </c>
      <c r="U29" s="1240"/>
      <c r="V29" s="1240"/>
      <c r="W29" s="1240"/>
      <c r="X29" s="1559"/>
      <c r="Y29" s="1240"/>
      <c r="Z29" s="1560"/>
      <c r="AA29" s="1240"/>
      <c r="AB29" s="84" t="s">
        <v>1067</v>
      </c>
      <c r="AC29" s="210" t="s">
        <v>1068</v>
      </c>
      <c r="AD29" s="85" t="s">
        <v>936</v>
      </c>
      <c r="AE29" s="3109"/>
      <c r="AF29" s="3109"/>
      <c r="AG29" s="3109"/>
      <c r="AH29" s="3109"/>
      <c r="AI29" s="3109"/>
      <c r="AJ29" s="3109"/>
      <c r="AK29" s="3109"/>
      <c r="AL29" s="3109"/>
      <c r="AM29" s="3109"/>
      <c r="AN29" s="3109"/>
      <c r="AO29" s="3109"/>
      <c r="AP29" s="3109"/>
      <c r="AQ29" s="3109"/>
      <c r="AR29" s="3109"/>
      <c r="AS29" s="3109"/>
      <c r="AT29" s="3109"/>
      <c r="AU29" s="3109"/>
      <c r="AV29" s="3109"/>
      <c r="AW29" s="3109"/>
      <c r="AX29" s="3109"/>
      <c r="AY29" s="3109"/>
      <c r="AZ29" s="3109"/>
      <c r="BA29" s="3109"/>
      <c r="BB29" s="3109"/>
      <c r="BC29" s="1928"/>
      <c r="BD29" s="1240"/>
      <c r="BE29" s="1240"/>
      <c r="BF29" s="1042" t="s">
        <v>1069</v>
      </c>
    </row>
    <row customHeight="1" ht="14.625" hidden="1">
      <c r="A30" s="1240"/>
      <c r="B30" s="1223"/>
      <c r="C30" s="1240"/>
      <c r="D30" s="1240"/>
      <c r="E30" s="633">
        <v>15</v>
      </c>
      <c r="F30" s="50" cm="1" t="str">
        <f t="array" ref="F30:F30">OFFSET(E30,-1,1)</f>
        <v>0</v>
      </c>
      <c r="G30" s="100" t="s">
        <v>570</v>
      </c>
      <c r="H30" s="1240"/>
      <c r="I30" s="1240"/>
      <c r="J30" s="1240"/>
      <c r="K30" s="1240"/>
      <c r="L30" s="1240"/>
      <c r="M30" s="1240"/>
      <c r="N30" s="1240"/>
      <c r="O30" s="1240"/>
      <c r="P30" s="1240"/>
      <c r="Q30" s="1240"/>
      <c r="R30" s="1240"/>
      <c r="S30" s="1240"/>
      <c r="T30" s="468" cm="1" t="str">
        <f t="array" ref="T30:T30">T29</f>
        <v>false</v>
      </c>
      <c r="U30" s="1240"/>
      <c r="V30" s="1240"/>
      <c r="W30" s="1240"/>
      <c r="X30" s="1559"/>
      <c r="Y30" s="1240"/>
      <c r="Z30" s="1560"/>
      <c r="AA30" s="1240"/>
      <c r="AB30" s="84" t="s">
        <v>1070</v>
      </c>
      <c r="AC30" s="210" t="s">
        <v>1071</v>
      </c>
      <c r="AD30" s="85" t="s">
        <v>936</v>
      </c>
      <c r="AE30" s="3109"/>
      <c r="AF30" s="3109"/>
      <c r="AG30" s="3109"/>
      <c r="AH30" s="3109"/>
      <c r="AI30" s="3109"/>
      <c r="AJ30" s="3109"/>
      <c r="AK30" s="3109"/>
      <c r="AL30" s="3109"/>
      <c r="AM30" s="3109"/>
      <c r="AN30" s="3109"/>
      <c r="AO30" s="3109"/>
      <c r="AP30" s="3109"/>
      <c r="AQ30" s="3109"/>
      <c r="AR30" s="3109"/>
      <c r="AS30" s="3109"/>
      <c r="AT30" s="3109"/>
      <c r="AU30" s="3109"/>
      <c r="AV30" s="3109"/>
      <c r="AW30" s="3109"/>
      <c r="AX30" s="3109"/>
      <c r="AY30" s="3109"/>
      <c r="AZ30" s="3109"/>
      <c r="BA30" s="3109"/>
      <c r="BB30" s="3109"/>
      <c r="BC30" s="1928"/>
      <c r="BD30" s="1240"/>
      <c r="BE30" s="1240"/>
      <c r="BF30" s="1042" t="s">
        <v>1072</v>
      </c>
    </row>
    <row customHeight="1" ht="14.625" hidden="1">
      <c r="A31" s="1240"/>
      <c r="B31" s="1223"/>
      <c r="C31" s="1240"/>
      <c r="D31" s="1240"/>
      <c r="E31" s="633">
        <v>15</v>
      </c>
      <c r="F31" s="50" cm="1" t="str">
        <f t="array" ref="F31:F31">OFFSET(E31,-1,1)</f>
        <v>0</v>
      </c>
      <c r="G31" s="100" t="s">
        <v>573</v>
      </c>
      <c r="H31" s="1240"/>
      <c r="I31" s="1240"/>
      <c r="J31" s="1240"/>
      <c r="K31" s="1240"/>
      <c r="L31" s="1240"/>
      <c r="M31" s="1240"/>
      <c r="N31" s="1240"/>
      <c r="O31" s="1240"/>
      <c r="P31" s="1240"/>
      <c r="Q31" s="1240"/>
      <c r="R31" s="1240"/>
      <c r="S31" s="1240"/>
      <c r="T31" s="468" cm="1" t="str">
        <f t="array" ref="T31:T31">T30</f>
        <v>false</v>
      </c>
      <c r="U31" s="1240"/>
      <c r="V31" s="1240"/>
      <c r="W31" s="1240"/>
      <c r="X31" s="1559"/>
      <c r="Y31" s="1240"/>
      <c r="Z31" s="1560"/>
      <c r="AA31" s="1240"/>
      <c r="AB31" s="84" t="s">
        <v>1073</v>
      </c>
      <c r="AC31" s="210" t="s">
        <v>1074</v>
      </c>
      <c r="AD31" s="85" t="s">
        <v>936</v>
      </c>
      <c r="AE31" s="3109"/>
      <c r="AF31" s="3109"/>
      <c r="AG31" s="3109"/>
      <c r="AH31" s="3109"/>
      <c r="AI31" s="3109"/>
      <c r="AJ31" s="3109"/>
      <c r="AK31" s="3109"/>
      <c r="AL31" s="3109"/>
      <c r="AM31" s="3109"/>
      <c r="AN31" s="3109"/>
      <c r="AO31" s="3109"/>
      <c r="AP31" s="3109"/>
      <c r="AQ31" s="3109"/>
      <c r="AR31" s="3109"/>
      <c r="AS31" s="3109"/>
      <c r="AT31" s="3109"/>
      <c r="AU31" s="3109"/>
      <c r="AV31" s="3109"/>
      <c r="AW31" s="3109"/>
      <c r="AX31" s="3109"/>
      <c r="AY31" s="3109"/>
      <c r="AZ31" s="3109"/>
      <c r="BA31" s="3109"/>
      <c r="BB31" s="3109"/>
      <c r="BC31" s="1928"/>
      <c r="BD31" s="1240"/>
      <c r="BE31" s="1240"/>
      <c r="BF31" s="1042" t="s">
        <v>1075</v>
      </c>
    </row>
    <row customHeight="1" ht="14.625" hidden="1">
      <c r="A32" s="1240"/>
      <c r="B32" s="1223"/>
      <c r="C32" s="1240"/>
      <c r="D32" s="1240"/>
      <c r="E32" s="633">
        <v>15</v>
      </c>
      <c r="F32" s="50" cm="1" t="str">
        <f t="array" ref="F32:F32">OFFSET(E32,-1,1)</f>
        <v>0</v>
      </c>
      <c r="G32" s="100" t="s">
        <v>577</v>
      </c>
      <c r="H32" s="1240"/>
      <c r="I32" s="1240"/>
      <c r="J32" s="1240"/>
      <c r="K32" s="1240"/>
      <c r="L32" s="1240"/>
      <c r="M32" s="1240"/>
      <c r="N32" s="1240"/>
      <c r="O32" s="1240"/>
      <c r="P32" s="1240"/>
      <c r="Q32" s="1240"/>
      <c r="R32" s="1240"/>
      <c r="S32" s="1240"/>
      <c r="T32" s="468" cm="1" t="str">
        <f t="array" ref="T32:T32">T31</f>
        <v>false</v>
      </c>
      <c r="U32" s="1240"/>
      <c r="V32" s="1240"/>
      <c r="W32" s="1240"/>
      <c r="X32" s="1559"/>
      <c r="Y32" s="1240"/>
      <c r="Z32" s="1560"/>
      <c r="AA32" s="1240"/>
      <c r="AB32" s="84" t="s">
        <v>1076</v>
      </c>
      <c r="AC32" s="210" t="s">
        <v>1077</v>
      </c>
      <c r="AD32" s="85" t="s">
        <v>936</v>
      </c>
      <c r="AE32" s="3109"/>
      <c r="AF32" s="3109"/>
      <c r="AG32" s="3109"/>
      <c r="AH32" s="3109"/>
      <c r="AI32" s="3109"/>
      <c r="AJ32" s="3109"/>
      <c r="AK32" s="3109"/>
      <c r="AL32" s="3109"/>
      <c r="AM32" s="3109"/>
      <c r="AN32" s="3109"/>
      <c r="AO32" s="3109"/>
      <c r="AP32" s="3109"/>
      <c r="AQ32" s="3109"/>
      <c r="AR32" s="3109"/>
      <c r="AS32" s="3109"/>
      <c r="AT32" s="3109"/>
      <c r="AU32" s="3109"/>
      <c r="AV32" s="3109"/>
      <c r="AW32" s="3109"/>
      <c r="AX32" s="3109"/>
      <c r="AY32" s="3109"/>
      <c r="AZ32" s="3109"/>
      <c r="BA32" s="3109"/>
      <c r="BB32" s="3109"/>
      <c r="BC32" s="1928"/>
      <c r="BD32" s="1240"/>
      <c r="BE32" s="1240"/>
      <c r="BF32" s="1042" t="s">
        <v>1078</v>
      </c>
    </row>
    <row customHeight="1" ht="14.625" hidden="1">
      <c r="A33" s="1240"/>
      <c r="B33" s="1223"/>
      <c r="C33" s="1240"/>
      <c r="D33" s="1240"/>
      <c r="E33" s="633">
        <v>15</v>
      </c>
      <c r="F33" s="50" cm="1" t="str">
        <f t="array" ref="F33:F33">OFFSET(E33,-1,1)</f>
        <v>0</v>
      </c>
      <c r="G33" s="100" t="s">
        <v>1079</v>
      </c>
      <c r="H33" s="1240"/>
      <c r="I33" s="1240"/>
      <c r="J33" s="1240"/>
      <c r="K33" s="1240"/>
      <c r="L33" s="1240"/>
      <c r="M33" s="1240"/>
      <c r="N33" s="1240"/>
      <c r="O33" s="1240"/>
      <c r="P33" s="1240"/>
      <c r="Q33" s="1240"/>
      <c r="R33" s="1240"/>
      <c r="S33" s="1240"/>
      <c r="T33" s="468" cm="1" t="str">
        <f t="array" ref="T33:T33">T32</f>
        <v>false</v>
      </c>
      <c r="U33" s="1240"/>
      <c r="V33" s="1240"/>
      <c r="W33" s="1240"/>
      <c r="X33" s="1559"/>
      <c r="Y33" s="1240"/>
      <c r="Z33" s="1560"/>
      <c r="AA33" s="1240"/>
      <c r="AB33" s="84" t="s">
        <v>1080</v>
      </c>
      <c r="AC33" s="210" t="s">
        <v>1081</v>
      </c>
      <c r="AD33" s="85" t="s">
        <v>936</v>
      </c>
      <c r="AE33" s="3109"/>
      <c r="AF33" s="3109"/>
      <c r="AG33" s="3109"/>
      <c r="AH33" s="3109"/>
      <c r="AI33" s="3109"/>
      <c r="AJ33" s="3109"/>
      <c r="AK33" s="3109"/>
      <c r="AL33" s="3109"/>
      <c r="AM33" s="3109"/>
      <c r="AN33" s="3109"/>
      <c r="AO33" s="3109"/>
      <c r="AP33" s="3109"/>
      <c r="AQ33" s="3109"/>
      <c r="AR33" s="3109"/>
      <c r="AS33" s="3109"/>
      <c r="AT33" s="3109"/>
      <c r="AU33" s="3109"/>
      <c r="AV33" s="3109"/>
      <c r="AW33" s="3109"/>
      <c r="AX33" s="3109"/>
      <c r="AY33" s="3109"/>
      <c r="AZ33" s="3109"/>
      <c r="BA33" s="3109"/>
      <c r="BB33" s="3109"/>
      <c r="BC33" s="1928"/>
      <c r="BD33" s="1240"/>
      <c r="BE33" s="1240"/>
      <c r="BF33" s="1042" t="s">
        <v>1082</v>
      </c>
    </row>
    <row s="528" customFormat="1" customHeight="1" ht="14.625" hidden="1">
      <c r="A34" s="528"/>
      <c r="B34" s="433"/>
      <c r="C34" s="528"/>
      <c r="D34" s="528"/>
      <c r="E34" s="633">
        <v>15</v>
      </c>
      <c r="F34" s="50" cm="1" t="str">
        <f t="array" ref="F34:F34">OFFSET(E34,-1,1)</f>
        <v>0</v>
      </c>
      <c r="G34" s="100" t="s">
        <v>345</v>
      </c>
      <c r="H34" s="528"/>
      <c r="I34" s="528"/>
      <c r="J34" s="528"/>
      <c r="K34" s="528"/>
      <c r="L34" s="528"/>
      <c r="M34" s="528"/>
      <c r="N34" s="528"/>
      <c r="O34" s="528"/>
      <c r="P34" s="528"/>
      <c r="Q34" s="528"/>
      <c r="R34" s="528"/>
      <c r="S34" s="528"/>
      <c r="T34" s="468" cm="1" t="str">
        <f t="array" ref="T34:T34">T33</f>
        <v>false</v>
      </c>
      <c r="U34" s="528"/>
      <c r="V34" s="528"/>
      <c r="W34" s="528"/>
      <c r="X34" s="1559"/>
      <c r="Y34" s="528"/>
      <c r="Z34" s="1560"/>
      <c r="AA34" s="528"/>
      <c r="AB34" s="207">
        <v>2</v>
      </c>
      <c r="AC34" s="208" t="s">
        <v>1083</v>
      </c>
      <c r="AD34" s="85" t="s">
        <v>936</v>
      </c>
      <c r="AE34" s="3107">
        <f>SUM(AE35:AE39)</f>
        <v>0</v>
      </c>
      <c r="AF34" s="3107">
        <f>SUM(AF35:AF39)</f>
        <v>0</v>
      </c>
      <c r="AG34" s="3107">
        <f>SUM(AG35:AG39)</f>
        <v>0</v>
      </c>
      <c r="AH34" s="3107">
        <f>SUM(AH35:AH39)</f>
        <v>0</v>
      </c>
      <c r="AI34" s="3107">
        <f>SUM(AI35:AI39)</f>
        <v>0</v>
      </c>
      <c r="AJ34" s="3107">
        <f>SUM(AJ35:AJ39)</f>
        <v>0</v>
      </c>
      <c r="AK34" s="3107">
        <f>SUM(AK35:AK39)</f>
        <v>0</v>
      </c>
      <c r="AL34" s="3107">
        <f>SUM(AL35:AL39)</f>
        <v>0</v>
      </c>
      <c r="AM34" s="3107">
        <f>SUM(AM35:AM39)</f>
        <v>0</v>
      </c>
      <c r="AN34" s="3107">
        <f>SUM(AN35:AN39)</f>
        <v>0</v>
      </c>
      <c r="AO34" s="3107">
        <f>SUM(AO35:AO39)</f>
        <v>0</v>
      </c>
      <c r="AP34" s="3107">
        <f>SUM(AP35:AP39)</f>
        <v>0</v>
      </c>
      <c r="AQ34" s="3107">
        <f>SUM(AQ35:AQ39)</f>
        <v>0</v>
      </c>
      <c r="AR34" s="3107">
        <f>SUM(AR35:AR39)</f>
        <v>0</v>
      </c>
      <c r="AS34" s="3107">
        <f>SUM(AS35:AS39)</f>
        <v>0</v>
      </c>
      <c r="AT34" s="3107">
        <f>SUM(AT35:AT39)</f>
        <v>0</v>
      </c>
      <c r="AU34" s="3107">
        <f>SUM(AU35:AU39)</f>
        <v>0</v>
      </c>
      <c r="AV34" s="3107">
        <f>SUM(AV35:AV39)</f>
        <v>0</v>
      </c>
      <c r="AW34" s="3107">
        <f>SUM(AW35:AW39)</f>
        <v>0</v>
      </c>
      <c r="AX34" s="3107">
        <f>SUM(AX35:AX39)</f>
        <v>0</v>
      </c>
      <c r="AY34" s="3107">
        <f>SUM(AY35:AY39)</f>
        <v>0</v>
      </c>
      <c r="AZ34" s="3107">
        <f>SUM(AZ35:AZ39)</f>
        <v>0</v>
      </c>
      <c r="BA34" s="3107">
        <f>SUM(BA35:BA39)</f>
        <v>0</v>
      </c>
      <c r="BB34" s="3107">
        <f>SUM(BB35:BB39)</f>
        <v>0</v>
      </c>
      <c r="BC34" s="1928"/>
      <c r="BD34" s="528"/>
      <c r="BE34" s="528"/>
      <c r="BF34" s="1042" t="s">
        <v>1084</v>
      </c>
    </row>
    <row customHeight="1" ht="14.625" hidden="1">
      <c r="A35" s="1240"/>
      <c r="B35" s="1223"/>
      <c r="C35" s="1240"/>
      <c r="D35" s="1240"/>
      <c r="E35" s="633">
        <v>15</v>
      </c>
      <c r="F35" s="50" cm="1" t="str">
        <f t="array" ref="F35:F35">OFFSET(E35,-1,1)</f>
        <v>0</v>
      </c>
      <c r="G35" s="100" t="s">
        <v>584</v>
      </c>
      <c r="H35" s="1240"/>
      <c r="I35" s="1240"/>
      <c r="J35" s="1240"/>
      <c r="K35" s="1240"/>
      <c r="L35" s="1240"/>
      <c r="M35" s="1240"/>
      <c r="N35" s="1240"/>
      <c r="O35" s="1240"/>
      <c r="P35" s="1240"/>
      <c r="Q35" s="1240"/>
      <c r="R35" s="1240"/>
      <c r="S35" s="1240"/>
      <c r="T35" s="468" cm="1" t="str">
        <f t="array" ref="T35:T35">T34</f>
        <v>false</v>
      </c>
      <c r="U35" s="1240"/>
      <c r="V35" s="1240"/>
      <c r="W35" s="1240"/>
      <c r="X35" s="1559"/>
      <c r="Y35" s="1240"/>
      <c r="Z35" s="1560"/>
      <c r="AA35" s="1240"/>
      <c r="AB35" s="84" t="s">
        <v>660</v>
      </c>
      <c r="AC35" s="210" t="s">
        <v>1068</v>
      </c>
      <c r="AD35" s="85" t="s">
        <v>936</v>
      </c>
      <c r="AE35" s="3109"/>
      <c r="AF35" s="3109"/>
      <c r="AG35" s="3109"/>
      <c r="AH35" s="3109"/>
      <c r="AI35" s="3109"/>
      <c r="AJ35" s="3109"/>
      <c r="AK35" s="3109"/>
      <c r="AL35" s="3109"/>
      <c r="AM35" s="3109"/>
      <c r="AN35" s="3109"/>
      <c r="AO35" s="3109"/>
      <c r="AP35" s="3109"/>
      <c r="AQ35" s="3109"/>
      <c r="AR35" s="3109"/>
      <c r="AS35" s="3109"/>
      <c r="AT35" s="3109"/>
      <c r="AU35" s="3109"/>
      <c r="AV35" s="3109"/>
      <c r="AW35" s="3109"/>
      <c r="AX35" s="3109"/>
      <c r="AY35" s="3109"/>
      <c r="AZ35" s="3109"/>
      <c r="BA35" s="3109"/>
      <c r="BB35" s="3109"/>
      <c r="BC35" s="1928"/>
      <c r="BD35" s="1240"/>
      <c r="BE35" s="1240"/>
      <c r="BF35" s="1042" t="s">
        <v>1085</v>
      </c>
    </row>
    <row customHeight="1" ht="14.625" hidden="1">
      <c r="A36" s="1240"/>
      <c r="B36" s="1223"/>
      <c r="C36" s="1240"/>
      <c r="D36" s="1240"/>
      <c r="E36" s="633">
        <v>15</v>
      </c>
      <c r="F36" s="50" cm="1" t="str">
        <f t="array" ref="F36:F36">OFFSET(E36,-1,1)</f>
        <v>0</v>
      </c>
      <c r="G36" s="100" t="s">
        <v>587</v>
      </c>
      <c r="H36" s="1240"/>
      <c r="I36" s="1240"/>
      <c r="J36" s="1240"/>
      <c r="K36" s="1240"/>
      <c r="L36" s="1240"/>
      <c r="M36" s="1240"/>
      <c r="N36" s="1240"/>
      <c r="O36" s="1240"/>
      <c r="P36" s="1240"/>
      <c r="Q36" s="1240"/>
      <c r="R36" s="1240"/>
      <c r="S36" s="1240"/>
      <c r="T36" s="468" cm="1" t="str">
        <f t="array" ref="T36:T36">T35</f>
        <v>false</v>
      </c>
      <c r="U36" s="1240"/>
      <c r="V36" s="1240"/>
      <c r="W36" s="1240"/>
      <c r="X36" s="1559"/>
      <c r="Y36" s="1240"/>
      <c r="Z36" s="1560"/>
      <c r="AA36" s="1240"/>
      <c r="AB36" s="84" t="s">
        <v>664</v>
      </c>
      <c r="AC36" s="210" t="s">
        <v>1071</v>
      </c>
      <c r="AD36" s="85" t="s">
        <v>936</v>
      </c>
      <c r="AE36" s="3109"/>
      <c r="AF36" s="3109"/>
      <c r="AG36" s="3109"/>
      <c r="AH36" s="3109"/>
      <c r="AI36" s="3109"/>
      <c r="AJ36" s="3109"/>
      <c r="AK36" s="3109"/>
      <c r="AL36" s="3109"/>
      <c r="AM36" s="3109"/>
      <c r="AN36" s="3109"/>
      <c r="AO36" s="3109"/>
      <c r="AP36" s="3109"/>
      <c r="AQ36" s="3109"/>
      <c r="AR36" s="3109"/>
      <c r="AS36" s="3109"/>
      <c r="AT36" s="3109"/>
      <c r="AU36" s="3109"/>
      <c r="AV36" s="3109"/>
      <c r="AW36" s="3109"/>
      <c r="AX36" s="3109"/>
      <c r="AY36" s="3109"/>
      <c r="AZ36" s="3109"/>
      <c r="BA36" s="3109"/>
      <c r="BB36" s="3109"/>
      <c r="BC36" s="1928"/>
      <c r="BD36" s="1240"/>
      <c r="BE36" s="1240"/>
      <c r="BF36" s="1042" t="s">
        <v>1086</v>
      </c>
    </row>
    <row customHeight="1" ht="14.625" hidden="1">
      <c r="A37" s="1240"/>
      <c r="B37" s="1223"/>
      <c r="C37" s="1240"/>
      <c r="D37" s="1240"/>
      <c r="E37" s="633">
        <v>15</v>
      </c>
      <c r="F37" s="50" cm="1" t="str">
        <f t="array" ref="F37:F37">OFFSET(E37,-1,1)</f>
        <v>0</v>
      </c>
      <c r="G37" s="100" t="s">
        <v>1087</v>
      </c>
      <c r="H37" s="1240"/>
      <c r="I37" s="1240"/>
      <c r="J37" s="1240"/>
      <c r="K37" s="1240"/>
      <c r="L37" s="1240"/>
      <c r="M37" s="1240"/>
      <c r="N37" s="1240"/>
      <c r="O37" s="1240"/>
      <c r="P37" s="1240"/>
      <c r="Q37" s="1240"/>
      <c r="R37" s="1240"/>
      <c r="S37" s="1240"/>
      <c r="T37" s="468" cm="1" t="str">
        <f t="array" ref="T37:T37">T36</f>
        <v>false</v>
      </c>
      <c r="U37" s="1240"/>
      <c r="V37" s="1240"/>
      <c r="W37" s="1240"/>
      <c r="X37" s="1559"/>
      <c r="Y37" s="1240"/>
      <c r="Z37" s="1560"/>
      <c r="AA37" s="1240"/>
      <c r="AB37" s="84" t="s">
        <v>668</v>
      </c>
      <c r="AC37" s="210" t="s">
        <v>1074</v>
      </c>
      <c r="AD37" s="85" t="s">
        <v>936</v>
      </c>
      <c r="AE37" s="3109"/>
      <c r="AF37" s="3109"/>
      <c r="AG37" s="3109"/>
      <c r="AH37" s="3109"/>
      <c r="AI37" s="3109"/>
      <c r="AJ37" s="3109"/>
      <c r="AK37" s="3109"/>
      <c r="AL37" s="3109"/>
      <c r="AM37" s="3109"/>
      <c r="AN37" s="3109"/>
      <c r="AO37" s="3109"/>
      <c r="AP37" s="3109"/>
      <c r="AQ37" s="3109"/>
      <c r="AR37" s="3109"/>
      <c r="AS37" s="3109"/>
      <c r="AT37" s="3109"/>
      <c r="AU37" s="3109"/>
      <c r="AV37" s="3109"/>
      <c r="AW37" s="3109"/>
      <c r="AX37" s="3109"/>
      <c r="AY37" s="3109"/>
      <c r="AZ37" s="3109"/>
      <c r="BA37" s="3109"/>
      <c r="BB37" s="3109"/>
      <c r="BC37" s="1928"/>
      <c r="BD37" s="1240"/>
      <c r="BE37" s="1240"/>
      <c r="BF37" s="1042" t="s">
        <v>1088</v>
      </c>
    </row>
    <row customHeight="1" ht="14.625" hidden="1">
      <c r="A38" s="1240"/>
      <c r="B38" s="1223"/>
      <c r="C38" s="1240"/>
      <c r="D38" s="1240"/>
      <c r="E38" s="633">
        <v>15</v>
      </c>
      <c r="F38" s="50" cm="1" t="str">
        <f t="array" ref="F38:F38">OFFSET(E38,-1,1)</f>
        <v>0</v>
      </c>
      <c r="G38" s="100" t="s">
        <v>1089</v>
      </c>
      <c r="H38" s="1240"/>
      <c r="I38" s="1240"/>
      <c r="J38" s="1240"/>
      <c r="K38" s="1240"/>
      <c r="L38" s="1240"/>
      <c r="M38" s="1240"/>
      <c r="N38" s="1240"/>
      <c r="O38" s="1240"/>
      <c r="P38" s="1240"/>
      <c r="Q38" s="1240"/>
      <c r="R38" s="1240"/>
      <c r="S38" s="1240"/>
      <c r="T38" s="468" cm="1" t="str">
        <f t="array" ref="T38:T38">T37</f>
        <v>false</v>
      </c>
      <c r="U38" s="1240"/>
      <c r="V38" s="1240"/>
      <c r="W38" s="1240"/>
      <c r="X38" s="1559"/>
      <c r="Y38" s="1240"/>
      <c r="Z38" s="1560"/>
      <c r="AA38" s="1240"/>
      <c r="AB38" s="84" t="s">
        <v>1090</v>
      </c>
      <c r="AC38" s="210" t="s">
        <v>1077</v>
      </c>
      <c r="AD38" s="85" t="s">
        <v>936</v>
      </c>
      <c r="AE38" s="3109"/>
      <c r="AF38" s="3109"/>
      <c r="AG38" s="3109"/>
      <c r="AH38" s="3109"/>
      <c r="AI38" s="3109"/>
      <c r="AJ38" s="3109"/>
      <c r="AK38" s="3109"/>
      <c r="AL38" s="3109"/>
      <c r="AM38" s="3109"/>
      <c r="AN38" s="3109"/>
      <c r="AO38" s="3109"/>
      <c r="AP38" s="3109"/>
      <c r="AQ38" s="3109"/>
      <c r="AR38" s="3109"/>
      <c r="AS38" s="3109"/>
      <c r="AT38" s="3109"/>
      <c r="AU38" s="3109"/>
      <c r="AV38" s="3109"/>
      <c r="AW38" s="3109"/>
      <c r="AX38" s="3109"/>
      <c r="AY38" s="3109"/>
      <c r="AZ38" s="3109"/>
      <c r="BA38" s="3109"/>
      <c r="BB38" s="3109"/>
      <c r="BC38" s="1928"/>
      <c r="BD38" s="1240"/>
      <c r="BE38" s="1240"/>
      <c r="BF38" s="1042" t="s">
        <v>1091</v>
      </c>
    </row>
    <row customHeight="1" ht="14.625" hidden="1">
      <c r="A39" s="1240"/>
      <c r="B39" s="1223"/>
      <c r="C39" s="1240"/>
      <c r="D39" s="1240"/>
      <c r="E39" s="633">
        <v>15</v>
      </c>
      <c r="F39" s="50" cm="1" t="str">
        <f t="array" ref="F39:F39">OFFSET(E39,-1,1)</f>
        <v>0</v>
      </c>
      <c r="G39" s="100" t="s">
        <v>1092</v>
      </c>
      <c r="H39" s="1240"/>
      <c r="I39" s="1240"/>
      <c r="J39" s="1240"/>
      <c r="K39" s="1240"/>
      <c r="L39" s="1240"/>
      <c r="M39" s="1240"/>
      <c r="N39" s="1240"/>
      <c r="O39" s="1240"/>
      <c r="P39" s="1240"/>
      <c r="Q39" s="1240"/>
      <c r="R39" s="1240"/>
      <c r="S39" s="1240"/>
      <c r="T39" s="468" cm="1" t="str">
        <f t="array" ref="T39:T39">T38</f>
        <v>false</v>
      </c>
      <c r="U39" s="1240"/>
      <c r="V39" s="1240"/>
      <c r="W39" s="1240"/>
      <c r="X39" s="1559"/>
      <c r="Y39" s="1240"/>
      <c r="Z39" s="1560"/>
      <c r="AA39" s="1240"/>
      <c r="AB39" s="84" t="s">
        <v>1093</v>
      </c>
      <c r="AC39" s="210" t="s">
        <v>1081</v>
      </c>
      <c r="AD39" s="85" t="s">
        <v>936</v>
      </c>
      <c r="AE39" s="3109"/>
      <c r="AF39" s="3109"/>
      <c r="AG39" s="3109"/>
      <c r="AH39" s="3109"/>
      <c r="AI39" s="3109"/>
      <c r="AJ39" s="3109"/>
      <c r="AK39" s="3109"/>
      <c r="AL39" s="3109"/>
      <c r="AM39" s="3109"/>
      <c r="AN39" s="3109"/>
      <c r="AO39" s="3109"/>
      <c r="AP39" s="3109"/>
      <c r="AQ39" s="3109"/>
      <c r="AR39" s="3109"/>
      <c r="AS39" s="3109"/>
      <c r="AT39" s="3109"/>
      <c r="AU39" s="3109"/>
      <c r="AV39" s="3109"/>
      <c r="AW39" s="3109"/>
      <c r="AX39" s="3109"/>
      <c r="AY39" s="3109"/>
      <c r="AZ39" s="3109"/>
      <c r="BA39" s="3109"/>
      <c r="BB39" s="3109"/>
      <c r="BC39" s="1928"/>
      <c r="BD39" s="1240"/>
      <c r="BE39" s="1240"/>
      <c r="BF39" s="1042" t="s">
        <v>1094</v>
      </c>
    </row>
    <row s="528" customFormat="1" customHeight="1" ht="14.625" hidden="1">
      <c r="A40" s="528"/>
      <c r="B40" s="433"/>
      <c r="C40" s="528"/>
      <c r="D40" s="528"/>
      <c r="E40" s="633">
        <v>15</v>
      </c>
      <c r="F40" s="50" cm="1" t="str">
        <f t="array" ref="F40:F40">OFFSET(E40,-1,1)</f>
        <v>0</v>
      </c>
      <c r="G40" s="100" t="s">
        <v>346</v>
      </c>
      <c r="H40" s="528"/>
      <c r="I40" s="528"/>
      <c r="J40" s="528"/>
      <c r="K40" s="528"/>
      <c r="L40" s="528"/>
      <c r="M40" s="528"/>
      <c r="N40" s="528"/>
      <c r="O40" s="528"/>
      <c r="P40" s="528"/>
      <c r="Q40" s="528"/>
      <c r="R40" s="528"/>
      <c r="S40" s="528"/>
      <c r="T40" s="468" cm="1" t="str">
        <f t="array" ref="T40:T40">T39</f>
        <v>false</v>
      </c>
      <c r="U40" s="528"/>
      <c r="V40" s="528"/>
      <c r="W40" s="528"/>
      <c r="X40" s="1559"/>
      <c r="Y40" s="528"/>
      <c r="Z40" s="1560"/>
      <c r="AA40" s="528"/>
      <c r="AB40" s="207">
        <v>3</v>
      </c>
      <c r="AC40" s="208" t="s">
        <v>1095</v>
      </c>
      <c r="AD40" s="85" t="s">
        <v>936</v>
      </c>
      <c r="AE40" s="3107">
        <f>SUM(AE41:AE45)</f>
        <v>0</v>
      </c>
      <c r="AF40" s="3107">
        <f>SUM(AF41:AF45)</f>
        <v>0</v>
      </c>
      <c r="AG40" s="3107">
        <f>SUM(AG41:AG45)</f>
        <v>0</v>
      </c>
      <c r="AH40" s="3107">
        <f>SUM(AH41:AH45)</f>
        <v>0</v>
      </c>
      <c r="AI40" s="3107">
        <f>SUM(AI41:AI45)</f>
        <v>0</v>
      </c>
      <c r="AJ40" s="3107">
        <f>SUM(AJ41:AJ45)</f>
        <v>0</v>
      </c>
      <c r="AK40" s="3107">
        <f>SUM(AK41:AK45)</f>
        <v>0</v>
      </c>
      <c r="AL40" s="3107">
        <f>SUM(AL41:AL45)</f>
        <v>0</v>
      </c>
      <c r="AM40" s="3107">
        <f>SUM(AM41:AM45)</f>
        <v>0</v>
      </c>
      <c r="AN40" s="3107">
        <f>SUM(AN41:AN45)</f>
        <v>0</v>
      </c>
      <c r="AO40" s="3107">
        <f>SUM(AO41:AO45)</f>
        <v>0</v>
      </c>
      <c r="AP40" s="3107">
        <f>SUM(AP41:AP45)</f>
        <v>0</v>
      </c>
      <c r="AQ40" s="3107">
        <f>SUM(AQ41:AQ45)</f>
        <v>0</v>
      </c>
      <c r="AR40" s="3107">
        <f>SUM(AR41:AR45)</f>
        <v>0</v>
      </c>
      <c r="AS40" s="3107">
        <f>SUM(AS41:AS45)</f>
        <v>0</v>
      </c>
      <c r="AT40" s="3107">
        <f>SUM(AT41:AT45)</f>
        <v>0</v>
      </c>
      <c r="AU40" s="3107">
        <f>SUM(AU41:AU45)</f>
        <v>0</v>
      </c>
      <c r="AV40" s="3107">
        <f>SUM(AV41:AV45)</f>
        <v>0</v>
      </c>
      <c r="AW40" s="3107">
        <f>SUM(AW41:AW45)</f>
        <v>0</v>
      </c>
      <c r="AX40" s="3107">
        <f>SUM(AX41:AX45)</f>
        <v>0</v>
      </c>
      <c r="AY40" s="3107">
        <f>SUM(AY41:AY45)</f>
        <v>0</v>
      </c>
      <c r="AZ40" s="3107">
        <f>SUM(AZ41:AZ45)</f>
        <v>0</v>
      </c>
      <c r="BA40" s="3107">
        <f>SUM(BA41:BA45)</f>
        <v>0</v>
      </c>
      <c r="BB40" s="3107">
        <f>SUM(BB41:BB45)</f>
        <v>0</v>
      </c>
      <c r="BC40" s="1928"/>
      <c r="BD40" s="528"/>
      <c r="BE40" s="528"/>
      <c r="BF40" s="1042" t="s">
        <v>1096</v>
      </c>
    </row>
    <row customHeight="1" ht="14.625" hidden="1">
      <c r="A41" s="1240"/>
      <c r="B41" s="1223"/>
      <c r="C41" s="1240"/>
      <c r="D41" s="1240"/>
      <c r="E41" s="633">
        <v>15</v>
      </c>
      <c r="F41" s="50" cm="1" t="str">
        <f t="array" ref="F41:F41">OFFSET(E41,-1,1)</f>
        <v>0</v>
      </c>
      <c r="G41" s="100" t="s">
        <v>1097</v>
      </c>
      <c r="H41" s="1240"/>
      <c r="I41" s="1240"/>
      <c r="J41" s="1240"/>
      <c r="K41" s="1240"/>
      <c r="L41" s="1240"/>
      <c r="M41" s="1240"/>
      <c r="N41" s="1240"/>
      <c r="O41" s="1240"/>
      <c r="P41" s="1240"/>
      <c r="Q41" s="1240"/>
      <c r="R41" s="1240"/>
      <c r="S41" s="1240"/>
      <c r="T41" s="468" cm="1" t="str">
        <f t="array" ref="T41:T41">T40</f>
        <v>false</v>
      </c>
      <c r="U41" s="1240"/>
      <c r="V41" s="1240"/>
      <c r="W41" s="1240"/>
      <c r="X41" s="1559"/>
      <c r="Y41" s="1240"/>
      <c r="Z41" s="1560"/>
      <c r="AA41" s="1240"/>
      <c r="AB41" s="84" t="s">
        <v>674</v>
      </c>
      <c r="AC41" s="210" t="s">
        <v>1068</v>
      </c>
      <c r="AD41" s="85" t="s">
        <v>936</v>
      </c>
      <c r="AE41" s="3109"/>
      <c r="AF41" s="3109"/>
      <c r="AG41" s="3109"/>
      <c r="AH41" s="3109"/>
      <c r="AI41" s="3109"/>
      <c r="AJ41" s="3109"/>
      <c r="AK41" s="3109"/>
      <c r="AL41" s="3109"/>
      <c r="AM41" s="3109"/>
      <c r="AN41" s="3109"/>
      <c r="AO41" s="3109"/>
      <c r="AP41" s="3109"/>
      <c r="AQ41" s="3109"/>
      <c r="AR41" s="3109"/>
      <c r="AS41" s="3109"/>
      <c r="AT41" s="3109"/>
      <c r="AU41" s="3109"/>
      <c r="AV41" s="3109"/>
      <c r="AW41" s="3109"/>
      <c r="AX41" s="3109"/>
      <c r="AY41" s="3109"/>
      <c r="AZ41" s="3109"/>
      <c r="BA41" s="3109"/>
      <c r="BB41" s="3109"/>
      <c r="BC41" s="1928"/>
      <c r="BD41" s="1240"/>
      <c r="BE41" s="1240"/>
      <c r="BF41" s="1042" t="s">
        <v>1098</v>
      </c>
    </row>
    <row customHeight="1" ht="14.625" hidden="1">
      <c r="A42" s="1240"/>
      <c r="B42" s="1223"/>
      <c r="C42" s="1240"/>
      <c r="D42" s="1240"/>
      <c r="E42" s="633">
        <v>15</v>
      </c>
      <c r="F42" s="50" cm="1" t="str">
        <f t="array" ref="F42:F42">OFFSET(E42,-1,1)</f>
        <v>0</v>
      </c>
      <c r="G42" s="100" t="s">
        <v>1099</v>
      </c>
      <c r="H42" s="1240"/>
      <c r="I42" s="1240"/>
      <c r="J42" s="1240"/>
      <c r="K42" s="1240"/>
      <c r="L42" s="1240"/>
      <c r="M42" s="1240"/>
      <c r="N42" s="1240"/>
      <c r="O42" s="1240"/>
      <c r="P42" s="1240"/>
      <c r="Q42" s="1240"/>
      <c r="R42" s="1240"/>
      <c r="S42" s="1240"/>
      <c r="T42" s="468" cm="1" t="str">
        <f t="array" ref="T42:T42">T41</f>
        <v>false</v>
      </c>
      <c r="U42" s="1240"/>
      <c r="V42" s="1240"/>
      <c r="W42" s="1240"/>
      <c r="X42" s="1559"/>
      <c r="Y42" s="1240"/>
      <c r="Z42" s="1560"/>
      <c r="AA42" s="1240"/>
      <c r="AB42" s="84" t="s">
        <v>678</v>
      </c>
      <c r="AC42" s="210" t="s">
        <v>1071</v>
      </c>
      <c r="AD42" s="85" t="s">
        <v>936</v>
      </c>
      <c r="AE42" s="3109"/>
      <c r="AF42" s="3109"/>
      <c r="AG42" s="3109"/>
      <c r="AH42" s="3109"/>
      <c r="AI42" s="3109"/>
      <c r="AJ42" s="3109"/>
      <c r="AK42" s="3109"/>
      <c r="AL42" s="3109"/>
      <c r="AM42" s="3109"/>
      <c r="AN42" s="3109"/>
      <c r="AO42" s="3109"/>
      <c r="AP42" s="3109"/>
      <c r="AQ42" s="3109"/>
      <c r="AR42" s="3109"/>
      <c r="AS42" s="3109"/>
      <c r="AT42" s="3109"/>
      <c r="AU42" s="3109"/>
      <c r="AV42" s="3109"/>
      <c r="AW42" s="3109"/>
      <c r="AX42" s="3109"/>
      <c r="AY42" s="3109"/>
      <c r="AZ42" s="3109"/>
      <c r="BA42" s="3109"/>
      <c r="BB42" s="3109"/>
      <c r="BC42" s="1928"/>
      <c r="BD42" s="1240"/>
      <c r="BE42" s="1240"/>
      <c r="BF42" s="1042" t="s">
        <v>1100</v>
      </c>
    </row>
    <row customHeight="1" ht="14.625" hidden="1">
      <c r="A43" s="1240"/>
      <c r="B43" s="1223"/>
      <c r="C43" s="1240"/>
      <c r="D43" s="1240"/>
      <c r="E43" s="633">
        <v>15</v>
      </c>
      <c r="F43" s="50" cm="1" t="str">
        <f t="array" ref="F43:F43">OFFSET(E43,-1,1)</f>
        <v>0</v>
      </c>
      <c r="G43" s="100" t="s">
        <v>1101</v>
      </c>
      <c r="H43" s="1240"/>
      <c r="I43" s="1240"/>
      <c r="J43" s="1240"/>
      <c r="K43" s="1240"/>
      <c r="L43" s="1240"/>
      <c r="M43" s="1240"/>
      <c r="N43" s="1240"/>
      <c r="O43" s="1240"/>
      <c r="P43" s="1240"/>
      <c r="Q43" s="1240"/>
      <c r="R43" s="1240"/>
      <c r="S43" s="1240"/>
      <c r="T43" s="468" cm="1" t="str">
        <f t="array" ref="T43:T43">T42</f>
        <v>false</v>
      </c>
      <c r="U43" s="1240"/>
      <c r="V43" s="1240"/>
      <c r="W43" s="1240"/>
      <c r="X43" s="1559"/>
      <c r="Y43" s="1240"/>
      <c r="Z43" s="1560"/>
      <c r="AA43" s="1240"/>
      <c r="AB43" s="84" t="s">
        <v>890</v>
      </c>
      <c r="AC43" s="210" t="s">
        <v>1074</v>
      </c>
      <c r="AD43" s="85" t="s">
        <v>936</v>
      </c>
      <c r="AE43" s="3109"/>
      <c r="AF43" s="3109"/>
      <c r="AG43" s="3109"/>
      <c r="AH43" s="3109"/>
      <c r="AI43" s="3109"/>
      <c r="AJ43" s="3109"/>
      <c r="AK43" s="3109"/>
      <c r="AL43" s="3109"/>
      <c r="AM43" s="3109"/>
      <c r="AN43" s="3109"/>
      <c r="AO43" s="3109"/>
      <c r="AP43" s="3109"/>
      <c r="AQ43" s="3109"/>
      <c r="AR43" s="3109"/>
      <c r="AS43" s="3109"/>
      <c r="AT43" s="3109"/>
      <c r="AU43" s="3109"/>
      <c r="AV43" s="3109"/>
      <c r="AW43" s="3109"/>
      <c r="AX43" s="3109"/>
      <c r="AY43" s="3109"/>
      <c r="AZ43" s="3109"/>
      <c r="BA43" s="3109"/>
      <c r="BB43" s="3109"/>
      <c r="BC43" s="1928"/>
      <c r="BD43" s="1240"/>
      <c r="BE43" s="1240"/>
      <c r="BF43" s="1042" t="s">
        <v>1102</v>
      </c>
    </row>
    <row customHeight="1" ht="14.625" hidden="1">
      <c r="A44" s="1240"/>
      <c r="B44" s="1223"/>
      <c r="C44" s="1240"/>
      <c r="D44" s="1240"/>
      <c r="E44" s="633">
        <v>15</v>
      </c>
      <c r="F44" s="50" cm="1" t="str">
        <f t="array" ref="F44:F44">OFFSET(E44,-1,1)</f>
        <v>0</v>
      </c>
      <c r="G44" s="100" t="s">
        <v>1103</v>
      </c>
      <c r="H44" s="1240"/>
      <c r="I44" s="1240"/>
      <c r="J44" s="1240"/>
      <c r="K44" s="1240"/>
      <c r="L44" s="1240"/>
      <c r="M44" s="1240"/>
      <c r="N44" s="1240"/>
      <c r="O44" s="1240"/>
      <c r="P44" s="1240"/>
      <c r="Q44" s="1240"/>
      <c r="R44" s="1240"/>
      <c r="S44" s="1240"/>
      <c r="T44" s="468" cm="1" t="str">
        <f t="array" ref="T44:T44">T43</f>
        <v>false</v>
      </c>
      <c r="U44" s="1240"/>
      <c r="V44" s="1240"/>
      <c r="W44" s="1240"/>
      <c r="X44" s="1559"/>
      <c r="Y44" s="1240"/>
      <c r="Z44" s="1560"/>
      <c r="AA44" s="1240"/>
      <c r="AB44" s="84" t="s">
        <v>1104</v>
      </c>
      <c r="AC44" s="210" t="s">
        <v>1077</v>
      </c>
      <c r="AD44" s="85" t="s">
        <v>936</v>
      </c>
      <c r="AE44" s="3109"/>
      <c r="AF44" s="3109"/>
      <c r="AG44" s="3109"/>
      <c r="AH44" s="3109"/>
      <c r="AI44" s="3109"/>
      <c r="AJ44" s="3109"/>
      <c r="AK44" s="3109"/>
      <c r="AL44" s="3109"/>
      <c r="AM44" s="3109"/>
      <c r="AN44" s="3109"/>
      <c r="AO44" s="3109"/>
      <c r="AP44" s="3109"/>
      <c r="AQ44" s="3109"/>
      <c r="AR44" s="3109"/>
      <c r="AS44" s="3109"/>
      <c r="AT44" s="3109"/>
      <c r="AU44" s="3109"/>
      <c r="AV44" s="3109"/>
      <c r="AW44" s="3109"/>
      <c r="AX44" s="3109"/>
      <c r="AY44" s="3109"/>
      <c r="AZ44" s="3109"/>
      <c r="BA44" s="3109"/>
      <c r="BB44" s="3109"/>
      <c r="BC44" s="1928"/>
      <c r="BD44" s="1240"/>
      <c r="BE44" s="1240"/>
      <c r="BF44" s="1042" t="s">
        <v>1105</v>
      </c>
    </row>
    <row customHeight="1" ht="14.625" hidden="1">
      <c r="A45" s="1240"/>
      <c r="B45" s="1223"/>
      <c r="C45" s="1240"/>
      <c r="D45" s="1240"/>
      <c r="E45" s="633">
        <v>15</v>
      </c>
      <c r="F45" s="50" cm="1" t="str">
        <f t="array" ref="F45:F45">OFFSET(E45,-1,1)</f>
        <v>0</v>
      </c>
      <c r="G45" s="100" t="s">
        <v>1106</v>
      </c>
      <c r="H45" s="1240"/>
      <c r="I45" s="1240"/>
      <c r="J45" s="1240"/>
      <c r="K45" s="1240"/>
      <c r="L45" s="1240"/>
      <c r="M45" s="1240"/>
      <c r="N45" s="1240"/>
      <c r="O45" s="1240"/>
      <c r="P45" s="1240"/>
      <c r="Q45" s="1240"/>
      <c r="R45" s="1240"/>
      <c r="S45" s="1240"/>
      <c r="T45" s="468" cm="1" t="str">
        <f t="array" ref="T45:T45">T44</f>
        <v>false</v>
      </c>
      <c r="U45" s="1240"/>
      <c r="V45" s="1240"/>
      <c r="W45" s="1240"/>
      <c r="X45" s="1559"/>
      <c r="Y45" s="1240"/>
      <c r="Z45" s="1560"/>
      <c r="AA45" s="1240"/>
      <c r="AB45" s="84" t="s">
        <v>1107</v>
      </c>
      <c r="AC45" s="210" t="s">
        <v>1081</v>
      </c>
      <c r="AD45" s="85" t="s">
        <v>936</v>
      </c>
      <c r="AE45" s="3109"/>
      <c r="AF45" s="3109"/>
      <c r="AG45" s="3109"/>
      <c r="AH45" s="3109"/>
      <c r="AI45" s="3109"/>
      <c r="AJ45" s="3109"/>
      <c r="AK45" s="3109"/>
      <c r="AL45" s="3109"/>
      <c r="AM45" s="3109"/>
      <c r="AN45" s="3109"/>
      <c r="AO45" s="3109"/>
      <c r="AP45" s="3109"/>
      <c r="AQ45" s="3109"/>
      <c r="AR45" s="3109"/>
      <c r="AS45" s="3109"/>
      <c r="AT45" s="3109"/>
      <c r="AU45" s="3109"/>
      <c r="AV45" s="3109"/>
      <c r="AW45" s="3109"/>
      <c r="AX45" s="3109"/>
      <c r="AY45" s="3109"/>
      <c r="AZ45" s="3109"/>
      <c r="BA45" s="3109"/>
      <c r="BB45" s="3109"/>
      <c r="BC45" s="1928"/>
      <c r="BD45" s="1240"/>
      <c r="BE45" s="1240"/>
      <c r="BF45" s="1042" t="s">
        <v>1108</v>
      </c>
    </row>
    <row s="528" customFormat="1" customHeight="1" ht="21.9375" hidden="1">
      <c r="A46" s="528"/>
      <c r="B46" s="433"/>
      <c r="C46" s="528"/>
      <c r="D46" s="528"/>
      <c r="E46" s="675">
        <v>22.5</v>
      </c>
      <c r="F46" s="50" cm="1" t="str">
        <f t="array" ref="F46:F46">OFFSET(E46,-1,1)</f>
        <v>0</v>
      </c>
      <c r="G46" s="100" t="s">
        <v>348</v>
      </c>
      <c r="H46" s="528"/>
      <c r="I46" s="528"/>
      <c r="J46" s="528"/>
      <c r="K46" s="528"/>
      <c r="L46" s="528"/>
      <c r="M46" s="528"/>
      <c r="N46" s="528"/>
      <c r="O46" s="528"/>
      <c r="P46" s="528"/>
      <c r="Q46" s="528"/>
      <c r="R46" s="528"/>
      <c r="S46" s="528"/>
      <c r="T46" s="468" cm="1" t="str">
        <f t="array" ref="T46:T46">T45</f>
        <v>false</v>
      </c>
      <c r="U46" s="528"/>
      <c r="V46" s="528"/>
      <c r="W46" s="528"/>
      <c r="X46" s="1559"/>
      <c r="Y46" s="528"/>
      <c r="Z46" s="1560"/>
      <c r="AA46" s="528"/>
      <c r="AB46" s="207">
        <v>4</v>
      </c>
      <c r="AC46" s="208" t="s">
        <v>1109</v>
      </c>
      <c r="AD46" s="85" t="s">
        <v>936</v>
      </c>
      <c r="AE46" s="3107">
        <f>SUM(AE47:AE51)</f>
        <v>0</v>
      </c>
      <c r="AF46" s="3107">
        <f>SUM(AF47:AF51)</f>
        <v>0</v>
      </c>
      <c r="AG46" s="3107">
        <f>SUM(AG47:AG51)</f>
        <v>0</v>
      </c>
      <c r="AH46" s="3107">
        <f>SUM(AH47:AH51)</f>
        <v>0</v>
      </c>
      <c r="AI46" s="3107">
        <f>SUM(AI47:AI51)</f>
        <v>0</v>
      </c>
      <c r="AJ46" s="3107">
        <f>SUM(AJ47:AJ51)</f>
        <v>0</v>
      </c>
      <c r="AK46" s="3107">
        <f>SUM(AK47:AK51)</f>
        <v>0</v>
      </c>
      <c r="AL46" s="3107">
        <f>SUM(AL47:AL51)</f>
        <v>0</v>
      </c>
      <c r="AM46" s="3107">
        <f>SUM(AM47:AM51)</f>
        <v>0</v>
      </c>
      <c r="AN46" s="3107">
        <f>SUM(AN47:AN51)</f>
        <v>0</v>
      </c>
      <c r="AO46" s="3107">
        <f>SUM(AO47:AO51)</f>
        <v>0</v>
      </c>
      <c r="AP46" s="3107">
        <f>SUM(AP47:AP51)</f>
        <v>0</v>
      </c>
      <c r="AQ46" s="3107">
        <f>SUM(AQ47:AQ51)</f>
        <v>0</v>
      </c>
      <c r="AR46" s="3107">
        <f>SUM(AR47:AR51)</f>
        <v>0</v>
      </c>
      <c r="AS46" s="3107">
        <f>SUM(AS47:AS51)</f>
        <v>0</v>
      </c>
      <c r="AT46" s="3107">
        <f>SUM(AT47:AT51)</f>
        <v>0</v>
      </c>
      <c r="AU46" s="3107">
        <f>SUM(AU47:AU51)</f>
        <v>0</v>
      </c>
      <c r="AV46" s="3107">
        <f>SUM(AV47:AV51)</f>
        <v>0</v>
      </c>
      <c r="AW46" s="3107">
        <f>SUM(AW47:AW51)</f>
        <v>0</v>
      </c>
      <c r="AX46" s="3107">
        <f>SUM(AX47:AX51)</f>
        <v>0</v>
      </c>
      <c r="AY46" s="3107">
        <f>SUM(AY47:AY51)</f>
        <v>0</v>
      </c>
      <c r="AZ46" s="3107">
        <f>SUM(AZ47:AZ51)</f>
        <v>0</v>
      </c>
      <c r="BA46" s="3107">
        <f>SUM(BA47:BA51)</f>
        <v>0</v>
      </c>
      <c r="BB46" s="3107">
        <f>SUM(BB47:BB51)</f>
        <v>0</v>
      </c>
      <c r="BC46" s="1928"/>
      <c r="BD46" s="528"/>
      <c r="BE46" s="528"/>
      <c r="BF46" s="1042" t="s">
        <v>1110</v>
      </c>
    </row>
    <row customHeight="1" ht="14.625" hidden="1">
      <c r="A47" s="1240"/>
      <c r="B47" s="1223"/>
      <c r="C47" s="1240"/>
      <c r="D47" s="1240"/>
      <c r="E47" s="633">
        <v>15</v>
      </c>
      <c r="F47" s="50" cm="1" t="str">
        <f t="array" ref="F47:F47">OFFSET(E47,-1,1)</f>
        <v>0</v>
      </c>
      <c r="G47" s="100" t="s">
        <v>659</v>
      </c>
      <c r="H47" s="1240"/>
      <c r="I47" s="1240"/>
      <c r="J47" s="1240"/>
      <c r="K47" s="1240"/>
      <c r="L47" s="1240"/>
      <c r="M47" s="1240"/>
      <c r="N47" s="1240"/>
      <c r="O47" s="1240"/>
      <c r="P47" s="1240"/>
      <c r="Q47" s="1240"/>
      <c r="R47" s="1240"/>
      <c r="S47" s="1240"/>
      <c r="T47" s="468" cm="1" t="str">
        <f t="array" ref="T47:T47">T46</f>
        <v>false</v>
      </c>
      <c r="U47" s="1240"/>
      <c r="V47" s="1240"/>
      <c r="W47" s="1240"/>
      <c r="X47" s="1559"/>
      <c r="Y47" s="1240"/>
      <c r="Z47" s="1560"/>
      <c r="AA47" s="1240"/>
      <c r="AB47" s="84" t="s">
        <v>794</v>
      </c>
      <c r="AC47" s="210" t="s">
        <v>1068</v>
      </c>
      <c r="AD47" s="85" t="s">
        <v>936</v>
      </c>
      <c r="AE47" s="3109">
        <f>AE29+AE35-AE41</f>
        <v>0</v>
      </c>
      <c r="AF47" s="3109">
        <f>AF29+AF35-AF41</f>
        <v>0</v>
      </c>
      <c r="AG47" s="3109">
        <f>AG29+AG35-AG41</f>
        <v>0</v>
      </c>
      <c r="AH47" s="3109">
        <f>AH29+AH35-AH41</f>
        <v>0</v>
      </c>
      <c r="AI47" s="3109">
        <f>AI29+AI35-AI41</f>
        <v>0</v>
      </c>
      <c r="AJ47" s="3109">
        <f>AJ29+AJ35-AJ41</f>
        <v>0</v>
      </c>
      <c r="AK47" s="3109">
        <f>AK29+AK35-AK41</f>
        <v>0</v>
      </c>
      <c r="AL47" s="3109">
        <f>AL29+AL35-AL41</f>
        <v>0</v>
      </c>
      <c r="AM47" s="3109">
        <f>AM29+AM35-AM41</f>
        <v>0</v>
      </c>
      <c r="AN47" s="3109">
        <f>AN29+AN35-AN41</f>
        <v>0</v>
      </c>
      <c r="AO47" s="3109">
        <f>AO29+AO35-AO41</f>
        <v>0</v>
      </c>
      <c r="AP47" s="3109">
        <f>AP29+AP35-AP41</f>
        <v>0</v>
      </c>
      <c r="AQ47" s="3109">
        <f>AQ29+AQ35-AQ41</f>
        <v>0</v>
      </c>
      <c r="AR47" s="3109">
        <f>AR29+AR35-AR41</f>
        <v>0</v>
      </c>
      <c r="AS47" s="3109">
        <f>AS29+AS35-AS41</f>
        <v>0</v>
      </c>
      <c r="AT47" s="3109">
        <f>AT29+AT35-AT41</f>
        <v>0</v>
      </c>
      <c r="AU47" s="3109">
        <f>AU29+AU35-AU41</f>
        <v>0</v>
      </c>
      <c r="AV47" s="3109">
        <f>AV29+AV35-AV41</f>
        <v>0</v>
      </c>
      <c r="AW47" s="3109">
        <f>AW29+AW35-AW41</f>
        <v>0</v>
      </c>
      <c r="AX47" s="3109">
        <f>AX29+AX35-AX41</f>
        <v>0</v>
      </c>
      <c r="AY47" s="3109">
        <f>AY29+AY35-AY41</f>
        <v>0</v>
      </c>
      <c r="AZ47" s="3109">
        <f>AZ29+AZ35-AZ41</f>
        <v>0</v>
      </c>
      <c r="BA47" s="3109">
        <f>BA29+BA35-BA41</f>
        <v>0</v>
      </c>
      <c r="BB47" s="3109">
        <f>BB29+BB35-BB41</f>
        <v>0</v>
      </c>
      <c r="BC47" s="1928"/>
      <c r="BD47" s="1240"/>
      <c r="BE47" s="1240"/>
      <c r="BF47" s="1042" t="s">
        <v>1111</v>
      </c>
    </row>
    <row customHeight="1" ht="14.625" hidden="1">
      <c r="A48" s="1240"/>
      <c r="B48" s="1223"/>
      <c r="C48" s="1240"/>
      <c r="D48" s="1240"/>
      <c r="E48" s="633">
        <v>15</v>
      </c>
      <c r="F48" s="50" cm="1" t="str">
        <f t="array" ref="F48:F48">OFFSET(E48,-1,1)</f>
        <v>0</v>
      </c>
      <c r="G48" s="100" t="s">
        <v>663</v>
      </c>
      <c r="H48" s="1240"/>
      <c r="I48" s="1240"/>
      <c r="J48" s="1240"/>
      <c r="K48" s="1240"/>
      <c r="L48" s="1240"/>
      <c r="M48" s="1240"/>
      <c r="N48" s="1240"/>
      <c r="O48" s="1240"/>
      <c r="P48" s="1240"/>
      <c r="Q48" s="1240"/>
      <c r="R48" s="1240"/>
      <c r="S48" s="1240"/>
      <c r="T48" s="468" cm="1" t="str">
        <f t="array" ref="T48:T48">T47</f>
        <v>false</v>
      </c>
      <c r="U48" s="1240"/>
      <c r="V48" s="1240"/>
      <c r="W48" s="1240"/>
      <c r="X48" s="1559"/>
      <c r="Y48" s="1240"/>
      <c r="Z48" s="1560"/>
      <c r="AA48" s="1240"/>
      <c r="AB48" s="84" t="s">
        <v>797</v>
      </c>
      <c r="AC48" s="210" t="s">
        <v>1071</v>
      </c>
      <c r="AD48" s="85" t="s">
        <v>936</v>
      </c>
      <c r="AE48" s="3109">
        <f>AE30+AE36-AE42</f>
        <v>0</v>
      </c>
      <c r="AF48" s="3109">
        <f>AF30+AF36-AF42</f>
        <v>0</v>
      </c>
      <c r="AG48" s="3109">
        <f>AG30+AG36-AG42</f>
        <v>0</v>
      </c>
      <c r="AH48" s="3109">
        <f>AH30+AH36-AH42</f>
        <v>0</v>
      </c>
      <c r="AI48" s="3109">
        <f>AI30+AI36-AI42</f>
        <v>0</v>
      </c>
      <c r="AJ48" s="3109">
        <f>AJ30+AJ36-AJ42</f>
        <v>0</v>
      </c>
      <c r="AK48" s="3109">
        <f>AK30+AK36-AK42</f>
        <v>0</v>
      </c>
      <c r="AL48" s="3109">
        <f>AL30+AL36-AL42</f>
        <v>0</v>
      </c>
      <c r="AM48" s="3109">
        <f>AM30+AM36-AM42</f>
        <v>0</v>
      </c>
      <c r="AN48" s="3109">
        <f>AN30+AN36-AN42</f>
        <v>0</v>
      </c>
      <c r="AO48" s="3109">
        <f>AO30+AO36-AO42</f>
        <v>0</v>
      </c>
      <c r="AP48" s="3109">
        <f>AP30+AP36-AP42</f>
        <v>0</v>
      </c>
      <c r="AQ48" s="3109">
        <f>AQ30+AQ36-AQ42</f>
        <v>0</v>
      </c>
      <c r="AR48" s="3109">
        <f>AR30+AR36-AR42</f>
        <v>0</v>
      </c>
      <c r="AS48" s="3109">
        <f>AS30+AS36-AS42</f>
        <v>0</v>
      </c>
      <c r="AT48" s="3109">
        <f>AT30+AT36-AT42</f>
        <v>0</v>
      </c>
      <c r="AU48" s="3109">
        <f>AU30+AU36-AU42</f>
        <v>0</v>
      </c>
      <c r="AV48" s="3109">
        <f>AV30+AV36-AV42</f>
        <v>0</v>
      </c>
      <c r="AW48" s="3109">
        <f>AW30+AW36-AW42</f>
        <v>0</v>
      </c>
      <c r="AX48" s="3109">
        <f>AX30+AX36-AX42</f>
        <v>0</v>
      </c>
      <c r="AY48" s="3109">
        <f>AY30+AY36-AY42</f>
        <v>0</v>
      </c>
      <c r="AZ48" s="3109">
        <f>AZ30+AZ36-AZ42</f>
        <v>0</v>
      </c>
      <c r="BA48" s="3109">
        <f>BA30+BA36-BA42</f>
        <v>0</v>
      </c>
      <c r="BB48" s="3109">
        <f>BB30+BB36-BB42</f>
        <v>0</v>
      </c>
      <c r="BC48" s="1928"/>
      <c r="BD48" s="1240"/>
      <c r="BE48" s="1240"/>
      <c r="BF48" s="1042" t="s">
        <v>1112</v>
      </c>
    </row>
    <row customHeight="1" ht="14.625" hidden="1">
      <c r="A49" s="1240"/>
      <c r="B49" s="1223"/>
      <c r="C49" s="1240"/>
      <c r="D49" s="1240"/>
      <c r="E49" s="633">
        <v>15</v>
      </c>
      <c r="F49" s="50" cm="1" t="str">
        <f t="array" ref="F49:F49">OFFSET(E49,-1,1)</f>
        <v>0</v>
      </c>
      <c r="G49" s="100" t="s">
        <v>667</v>
      </c>
      <c r="H49" s="1240"/>
      <c r="I49" s="1240"/>
      <c r="J49" s="1240"/>
      <c r="K49" s="1240"/>
      <c r="L49" s="1240"/>
      <c r="M49" s="1240"/>
      <c r="N49" s="1240"/>
      <c r="O49" s="1240"/>
      <c r="P49" s="1240"/>
      <c r="Q49" s="1240"/>
      <c r="R49" s="1240"/>
      <c r="S49" s="1240"/>
      <c r="T49" s="468" cm="1" t="str">
        <f t="array" ref="T49:T49">T48</f>
        <v>false</v>
      </c>
      <c r="U49" s="1240"/>
      <c r="V49" s="1240"/>
      <c r="W49" s="1240"/>
      <c r="X49" s="1559"/>
      <c r="Y49" s="1240"/>
      <c r="Z49" s="1560"/>
      <c r="AA49" s="1240"/>
      <c r="AB49" s="84" t="s">
        <v>831</v>
      </c>
      <c r="AC49" s="210" t="s">
        <v>1074</v>
      </c>
      <c r="AD49" s="85" t="s">
        <v>936</v>
      </c>
      <c r="AE49" s="3109">
        <f>AE31+AE37-AE43</f>
        <v>0</v>
      </c>
      <c r="AF49" s="3109">
        <f>AF31+AF37-AF43</f>
        <v>0</v>
      </c>
      <c r="AG49" s="3109">
        <f>AG31+AG37-AG43</f>
        <v>0</v>
      </c>
      <c r="AH49" s="3109">
        <f>AH31+AH37-AH43</f>
        <v>0</v>
      </c>
      <c r="AI49" s="3109">
        <f>AI31+AI37-AI43</f>
        <v>0</v>
      </c>
      <c r="AJ49" s="3109">
        <f>AJ31+AJ37-AJ43</f>
        <v>0</v>
      </c>
      <c r="AK49" s="3109">
        <f>AK31+AK37-AK43</f>
        <v>0</v>
      </c>
      <c r="AL49" s="3109">
        <f>AL31+AL37-AL43</f>
        <v>0</v>
      </c>
      <c r="AM49" s="3109">
        <f>AM31+AM37-AM43</f>
        <v>0</v>
      </c>
      <c r="AN49" s="3109">
        <f>AN31+AN37-AN43</f>
        <v>0</v>
      </c>
      <c r="AO49" s="3109">
        <f>AO31+AO37-AO43</f>
        <v>0</v>
      </c>
      <c r="AP49" s="3109">
        <f>AP31+AP37-AP43</f>
        <v>0</v>
      </c>
      <c r="AQ49" s="3109">
        <f>AQ31+AQ37-AQ43</f>
        <v>0</v>
      </c>
      <c r="AR49" s="3109">
        <f>AR31+AR37-AR43</f>
        <v>0</v>
      </c>
      <c r="AS49" s="3109">
        <f>AS31+AS37-AS43</f>
        <v>0</v>
      </c>
      <c r="AT49" s="3109">
        <f>AT31+AT37-AT43</f>
        <v>0</v>
      </c>
      <c r="AU49" s="3109">
        <f>AU31+AU37-AU43</f>
        <v>0</v>
      </c>
      <c r="AV49" s="3109">
        <f>AV31+AV37-AV43</f>
        <v>0</v>
      </c>
      <c r="AW49" s="3109">
        <f>AW31+AW37-AW43</f>
        <v>0</v>
      </c>
      <c r="AX49" s="3109">
        <f>AX31+AX37-AX43</f>
        <v>0</v>
      </c>
      <c r="AY49" s="3109">
        <f>AY31+AY37-AY43</f>
        <v>0</v>
      </c>
      <c r="AZ49" s="3109">
        <f>AZ31+AZ37-AZ43</f>
        <v>0</v>
      </c>
      <c r="BA49" s="3109">
        <f>BA31+BA37-BA43</f>
        <v>0</v>
      </c>
      <c r="BB49" s="3109">
        <f>BB31+BB37-BB43</f>
        <v>0</v>
      </c>
      <c r="BC49" s="1928"/>
      <c r="BD49" s="1240"/>
      <c r="BE49" s="1240"/>
      <c r="BF49" s="1042" t="s">
        <v>1113</v>
      </c>
    </row>
    <row customHeight="1" ht="14.625" hidden="1">
      <c r="A50" s="1240"/>
      <c r="B50" s="1223"/>
      <c r="C50" s="1240"/>
      <c r="D50" s="1240"/>
      <c r="E50" s="633">
        <v>15</v>
      </c>
      <c r="F50" s="50" cm="1" t="str">
        <f t="array" ref="F50:F50">OFFSET(E50,-1,1)</f>
        <v>0</v>
      </c>
      <c r="G50" s="100" t="s">
        <v>1114</v>
      </c>
      <c r="H50" s="1240"/>
      <c r="I50" s="1240"/>
      <c r="J50" s="1240"/>
      <c r="K50" s="1240"/>
      <c r="L50" s="1240"/>
      <c r="M50" s="1240"/>
      <c r="N50" s="1240"/>
      <c r="O50" s="1240"/>
      <c r="P50" s="1240"/>
      <c r="Q50" s="1240"/>
      <c r="R50" s="1240"/>
      <c r="S50" s="1240"/>
      <c r="T50" s="468" cm="1" t="str">
        <f t="array" ref="T50:T50">T49</f>
        <v>false</v>
      </c>
      <c r="U50" s="1240"/>
      <c r="V50" s="1240"/>
      <c r="W50" s="1240"/>
      <c r="X50" s="1559"/>
      <c r="Y50" s="1240"/>
      <c r="Z50" s="1560"/>
      <c r="AA50" s="1240"/>
      <c r="AB50" s="84" t="s">
        <v>840</v>
      </c>
      <c r="AC50" s="210" t="s">
        <v>1077</v>
      </c>
      <c r="AD50" s="85" t="s">
        <v>936</v>
      </c>
      <c r="AE50" s="3109">
        <f>AE32+AE38-AE44</f>
        <v>0</v>
      </c>
      <c r="AF50" s="3109">
        <f>AF32+AF38-AF44</f>
        <v>0</v>
      </c>
      <c r="AG50" s="3109">
        <f>AG32+AG38-AG44</f>
        <v>0</v>
      </c>
      <c r="AH50" s="3109">
        <f>AH32+AH38-AH44</f>
        <v>0</v>
      </c>
      <c r="AI50" s="3109">
        <f>AI32+AI38-AI44</f>
        <v>0</v>
      </c>
      <c r="AJ50" s="3109">
        <f>AJ32+AJ38-AJ44</f>
        <v>0</v>
      </c>
      <c r="AK50" s="3109">
        <f>AK32+AK38-AK44</f>
        <v>0</v>
      </c>
      <c r="AL50" s="3109">
        <f>AL32+AL38-AL44</f>
        <v>0</v>
      </c>
      <c r="AM50" s="3109">
        <f>AM32+AM38-AM44</f>
        <v>0</v>
      </c>
      <c r="AN50" s="3109">
        <f>AN32+AN38-AN44</f>
        <v>0</v>
      </c>
      <c r="AO50" s="3109">
        <f>AO32+AO38-AO44</f>
        <v>0</v>
      </c>
      <c r="AP50" s="3109">
        <f>AP32+AP38-AP44</f>
        <v>0</v>
      </c>
      <c r="AQ50" s="3109">
        <f>AQ32+AQ38-AQ44</f>
        <v>0</v>
      </c>
      <c r="AR50" s="3109">
        <f>AR32+AR38-AR44</f>
        <v>0</v>
      </c>
      <c r="AS50" s="3109">
        <f>AS32+AS38-AS44</f>
        <v>0</v>
      </c>
      <c r="AT50" s="3109">
        <f>AT32+AT38-AT44</f>
        <v>0</v>
      </c>
      <c r="AU50" s="3109">
        <f>AU32+AU38-AU44</f>
        <v>0</v>
      </c>
      <c r="AV50" s="3109">
        <f>AV32+AV38-AV44</f>
        <v>0</v>
      </c>
      <c r="AW50" s="3109">
        <f>AW32+AW38-AW44</f>
        <v>0</v>
      </c>
      <c r="AX50" s="3109">
        <f>AX32+AX38-AX44</f>
        <v>0</v>
      </c>
      <c r="AY50" s="3109">
        <f>AY32+AY38-AY44</f>
        <v>0</v>
      </c>
      <c r="AZ50" s="3109">
        <f>AZ32+AZ38-AZ44</f>
        <v>0</v>
      </c>
      <c r="BA50" s="3109">
        <f>BA32+BA38-BA44</f>
        <v>0</v>
      </c>
      <c r="BB50" s="3109">
        <f>BB32+BB38-BB44</f>
        <v>0</v>
      </c>
      <c r="BC50" s="1928"/>
      <c r="BD50" s="1240"/>
      <c r="BE50" s="1240"/>
      <c r="BF50" s="1042" t="s">
        <v>1115</v>
      </c>
    </row>
    <row customHeight="1" ht="14.625" hidden="1">
      <c r="A51" s="1240"/>
      <c r="B51" s="1223"/>
      <c r="C51" s="1240"/>
      <c r="D51" s="1240"/>
      <c r="E51" s="633">
        <v>15</v>
      </c>
      <c r="F51" s="50" cm="1" t="str">
        <f t="array" ref="F51:F51">OFFSET(E51,-1,1)</f>
        <v>0</v>
      </c>
      <c r="G51" s="100" t="s">
        <v>1116</v>
      </c>
      <c r="H51" s="1240"/>
      <c r="I51" s="1240"/>
      <c r="J51" s="1240"/>
      <c r="K51" s="1240"/>
      <c r="L51" s="1240"/>
      <c r="M51" s="1240"/>
      <c r="N51" s="1240"/>
      <c r="O51" s="1240"/>
      <c r="P51" s="1240"/>
      <c r="Q51" s="1240"/>
      <c r="R51" s="1240"/>
      <c r="S51" s="1240"/>
      <c r="T51" s="468" cm="1" t="str">
        <f t="array" ref="T51:T51">T50</f>
        <v>false</v>
      </c>
      <c r="U51" s="1240"/>
      <c r="V51" s="1240"/>
      <c r="W51" s="1240"/>
      <c r="X51" s="1559"/>
      <c r="Y51" s="1240"/>
      <c r="Z51" s="1560"/>
      <c r="AA51" s="1240"/>
      <c r="AB51" s="84" t="s">
        <v>850</v>
      </c>
      <c r="AC51" s="210" t="s">
        <v>1081</v>
      </c>
      <c r="AD51" s="85" t="s">
        <v>936</v>
      </c>
      <c r="AE51" s="3109">
        <f>AE33+AE39-AE45</f>
        <v>0</v>
      </c>
      <c r="AF51" s="3109">
        <f>AF33+AF39-AF45</f>
        <v>0</v>
      </c>
      <c r="AG51" s="3109">
        <f>AG33+AG39-AG45</f>
        <v>0</v>
      </c>
      <c r="AH51" s="3109">
        <f>AH33+AH39-AH45</f>
        <v>0</v>
      </c>
      <c r="AI51" s="3109">
        <f>AI33+AI39-AI45</f>
        <v>0</v>
      </c>
      <c r="AJ51" s="3109">
        <f>AJ33+AJ39-AJ45</f>
        <v>0</v>
      </c>
      <c r="AK51" s="3109">
        <f>AK33+AK39-AK45</f>
        <v>0</v>
      </c>
      <c r="AL51" s="3109">
        <f>AL33+AL39-AL45</f>
        <v>0</v>
      </c>
      <c r="AM51" s="3109">
        <f>AM33+AM39-AM45</f>
        <v>0</v>
      </c>
      <c r="AN51" s="3109">
        <f>AN33+AN39-AN45</f>
        <v>0</v>
      </c>
      <c r="AO51" s="3109">
        <f>AO33+AO39-AO45</f>
        <v>0</v>
      </c>
      <c r="AP51" s="3109">
        <f>AP33+AP39-AP45</f>
        <v>0</v>
      </c>
      <c r="AQ51" s="3109">
        <f>AQ33+AQ39-AQ45</f>
        <v>0</v>
      </c>
      <c r="AR51" s="3109">
        <f>AR33+AR39-AR45</f>
        <v>0</v>
      </c>
      <c r="AS51" s="3109">
        <f>AS33+AS39-AS45</f>
        <v>0</v>
      </c>
      <c r="AT51" s="3109">
        <f>AT33+AT39-AT45</f>
        <v>0</v>
      </c>
      <c r="AU51" s="3109">
        <f>AU33+AU39-AU45</f>
        <v>0</v>
      </c>
      <c r="AV51" s="3109">
        <f>AV33+AV39-AV45</f>
        <v>0</v>
      </c>
      <c r="AW51" s="3109">
        <f>AW33+AW39-AW45</f>
        <v>0</v>
      </c>
      <c r="AX51" s="3109">
        <f>AX33+AX39-AX45</f>
        <v>0</v>
      </c>
      <c r="AY51" s="3109">
        <f>AY33+AY39-AY45</f>
        <v>0</v>
      </c>
      <c r="AZ51" s="3109">
        <f>AZ33+AZ39-AZ45</f>
        <v>0</v>
      </c>
      <c r="BA51" s="3109">
        <f>BA33+BA39-BA45</f>
        <v>0</v>
      </c>
      <c r="BB51" s="3109">
        <f>BB33+BB39-BB45</f>
        <v>0</v>
      </c>
      <c r="BC51" s="1928"/>
      <c r="BD51" s="1240"/>
      <c r="BE51" s="1240"/>
      <c r="BF51" s="1042" t="s">
        <v>1117</v>
      </c>
    </row>
    <row s="528" customFormat="1" customHeight="1" ht="14.625" hidden="1">
      <c r="A52" s="528"/>
      <c r="B52" s="433"/>
      <c r="C52" s="528"/>
      <c r="D52" s="528"/>
      <c r="E52" s="633">
        <v>15</v>
      </c>
      <c r="F52" s="50" cm="1" t="str">
        <f t="array" ref="F52:F52">OFFSET(E52,-1,1)</f>
        <v>0</v>
      </c>
      <c r="G52" s="100" t="s">
        <v>347</v>
      </c>
      <c r="H52" s="528"/>
      <c r="I52" s="528"/>
      <c r="J52" s="528"/>
      <c r="K52" s="528"/>
      <c r="L52" s="528"/>
      <c r="M52" s="528"/>
      <c r="N52" s="528"/>
      <c r="O52" s="528"/>
      <c r="P52" s="528"/>
      <c r="Q52" s="528"/>
      <c r="R52" s="528"/>
      <c r="S52" s="528"/>
      <c r="T52" s="468" cm="1" t="str">
        <f t="array" ref="T52:T52">T51</f>
        <v>false</v>
      </c>
      <c r="U52" s="528"/>
      <c r="V52" s="528"/>
      <c r="W52" s="528"/>
      <c r="X52" s="1559"/>
      <c r="Y52" s="528"/>
      <c r="Z52" s="1560"/>
      <c r="AA52" s="528"/>
      <c r="AB52" s="207">
        <v>5</v>
      </c>
      <c r="AC52" s="208" t="s">
        <v>1118</v>
      </c>
      <c r="AD52" s="85" t="s">
        <v>936</v>
      </c>
      <c r="AE52" s="3107">
        <f>SUM(AE53:AE57)</f>
        <v>0</v>
      </c>
      <c r="AF52" s="3107">
        <f>SUM(AF53:AF57)</f>
        <v>0</v>
      </c>
      <c r="AG52" s="3107">
        <f>SUM(AG53:AG57)</f>
        <v>0</v>
      </c>
      <c r="AH52" s="3107">
        <f>SUM(AH53:AH57)</f>
        <v>0</v>
      </c>
      <c r="AI52" s="3107">
        <f>SUM(AI53:AI57)</f>
        <v>0</v>
      </c>
      <c r="AJ52" s="3107">
        <f>SUM(AJ53:AJ57)</f>
        <v>0</v>
      </c>
      <c r="AK52" s="3107">
        <f>SUM(AK53:AK57)</f>
        <v>0</v>
      </c>
      <c r="AL52" s="3107">
        <f>SUM(AL53:AL57)</f>
        <v>0</v>
      </c>
      <c r="AM52" s="3107">
        <f>SUM(AM53:AM57)</f>
        <v>0</v>
      </c>
      <c r="AN52" s="3107">
        <f>SUM(AN53:AN57)</f>
        <v>0</v>
      </c>
      <c r="AO52" s="3107">
        <f>SUM(AO53:AO57)</f>
        <v>0</v>
      </c>
      <c r="AP52" s="3107">
        <f>SUM(AP53:AP57)</f>
        <v>0</v>
      </c>
      <c r="AQ52" s="3107">
        <f>SUM(AQ53:AQ57)</f>
        <v>0</v>
      </c>
      <c r="AR52" s="3107">
        <f>SUM(AR53:AR57)</f>
        <v>0</v>
      </c>
      <c r="AS52" s="3107">
        <f>SUM(AS53:AS57)</f>
        <v>0</v>
      </c>
      <c r="AT52" s="3107">
        <f>SUM(AT53:AT57)</f>
        <v>0</v>
      </c>
      <c r="AU52" s="3107">
        <f>SUM(AU53:AU57)</f>
        <v>0</v>
      </c>
      <c r="AV52" s="3107">
        <f>SUM(AV53:AV57)</f>
        <v>0</v>
      </c>
      <c r="AW52" s="3107">
        <f>SUM(AW53:AW57)</f>
        <v>0</v>
      </c>
      <c r="AX52" s="3107">
        <f>SUM(AX53:AX57)</f>
        <v>0</v>
      </c>
      <c r="AY52" s="3107">
        <f>SUM(AY53:AY57)</f>
        <v>0</v>
      </c>
      <c r="AZ52" s="3107">
        <f>SUM(AZ53:AZ57)</f>
        <v>0</v>
      </c>
      <c r="BA52" s="3107">
        <f>SUM(BA53:BA57)</f>
        <v>0</v>
      </c>
      <c r="BB52" s="3107">
        <f>SUM(BB53:BB57)</f>
        <v>0</v>
      </c>
      <c r="BC52" s="1928"/>
      <c r="BD52" s="528"/>
      <c r="BE52" s="528"/>
      <c r="BF52" s="1042" t="s">
        <v>1119</v>
      </c>
    </row>
    <row customHeight="1" ht="14.625" hidden="1">
      <c r="A53" s="1240"/>
      <c r="B53" s="1223"/>
      <c r="C53" s="1240"/>
      <c r="D53" s="1240"/>
      <c r="E53" s="633">
        <v>15</v>
      </c>
      <c r="F53" s="50" cm="1" t="str">
        <f t="array" ref="F53:F53">OFFSET(E53,-1,1)</f>
        <v>0</v>
      </c>
      <c r="G53" s="100" t="s">
        <v>673</v>
      </c>
      <c r="H53" s="1240"/>
      <c r="I53" s="1240"/>
      <c r="J53" s="1240"/>
      <c r="K53" s="1240"/>
      <c r="L53" s="1240"/>
      <c r="M53" s="1240"/>
      <c r="N53" s="1240"/>
      <c r="O53" s="1240"/>
      <c r="P53" s="1240"/>
      <c r="Q53" s="1240"/>
      <c r="R53" s="1240"/>
      <c r="S53" s="1240"/>
      <c r="T53" s="468" cm="1" t="str">
        <f t="array" ref="T53:T53">T52</f>
        <v>false</v>
      </c>
      <c r="U53" s="1240"/>
      <c r="V53" s="1240"/>
      <c r="W53" s="1240"/>
      <c r="X53" s="1559"/>
      <c r="Y53" s="1240"/>
      <c r="Z53" s="1560"/>
      <c r="AA53" s="1240"/>
      <c r="AB53" s="84" t="s">
        <v>801</v>
      </c>
      <c r="AC53" s="210" t="s">
        <v>1068</v>
      </c>
      <c r="AD53" s="85" t="s">
        <v>936</v>
      </c>
      <c r="AE53" s="3109">
        <f>(AE47+AE29)/2</f>
        <v>0</v>
      </c>
      <c r="AF53" s="3109">
        <f>(AF47+AF29)/2</f>
        <v>0</v>
      </c>
      <c r="AG53" s="3109">
        <f>(AG47+AG29)/2</f>
        <v>0</v>
      </c>
      <c r="AH53" s="3109">
        <f>(AH47+AH29)/2</f>
        <v>0</v>
      </c>
      <c r="AI53" s="3109">
        <f>(AI47+AI29)/2</f>
        <v>0</v>
      </c>
      <c r="AJ53" s="3109">
        <f>(AJ47+AJ29)/2</f>
        <v>0</v>
      </c>
      <c r="AK53" s="3109">
        <f>(AK47+AK29)/2</f>
        <v>0</v>
      </c>
      <c r="AL53" s="3109">
        <f>(AL47+AL29)/2</f>
        <v>0</v>
      </c>
      <c r="AM53" s="3109">
        <f>(AM47+AM29)/2</f>
        <v>0</v>
      </c>
      <c r="AN53" s="3109">
        <f>(AN47+AN29)/2</f>
        <v>0</v>
      </c>
      <c r="AO53" s="3109">
        <f>(AO47+AO29)/2</f>
        <v>0</v>
      </c>
      <c r="AP53" s="3109">
        <f>(AP47+AP29)/2</f>
        <v>0</v>
      </c>
      <c r="AQ53" s="3109">
        <f>(AQ47+AQ29)/2</f>
        <v>0</v>
      </c>
      <c r="AR53" s="3109">
        <f>(AR47+AR29)/2</f>
        <v>0</v>
      </c>
      <c r="AS53" s="3109">
        <f>(AS47+AS29)/2</f>
        <v>0</v>
      </c>
      <c r="AT53" s="3109">
        <f>(AT47+AT29)/2</f>
        <v>0</v>
      </c>
      <c r="AU53" s="3109">
        <f>(AU47+AU29)/2</f>
        <v>0</v>
      </c>
      <c r="AV53" s="3109">
        <f>(AV47+AV29)/2</f>
        <v>0</v>
      </c>
      <c r="AW53" s="3109">
        <f>(AW47+AW29)/2</f>
        <v>0</v>
      </c>
      <c r="AX53" s="3109">
        <f>(AX47+AX29)/2</f>
        <v>0</v>
      </c>
      <c r="AY53" s="3109">
        <f>(AY47+AY29)/2</f>
        <v>0</v>
      </c>
      <c r="AZ53" s="3109">
        <f>(AZ47+AZ29)/2</f>
        <v>0</v>
      </c>
      <c r="BA53" s="3109">
        <f>(BA47+BA29)/2</f>
        <v>0</v>
      </c>
      <c r="BB53" s="3109">
        <f>(BB47+BB29)/2</f>
        <v>0</v>
      </c>
      <c r="BC53" s="1928"/>
      <c r="BD53" s="1240"/>
      <c r="BE53" s="1240"/>
      <c r="BF53" s="1042" t="s">
        <v>1120</v>
      </c>
    </row>
    <row customHeight="1" ht="14.625" hidden="1">
      <c r="A54" s="1240"/>
      <c r="B54" s="1223"/>
      <c r="C54" s="1240"/>
      <c r="D54" s="1240"/>
      <c r="E54" s="633">
        <v>15</v>
      </c>
      <c r="F54" s="50" cm="1" t="str">
        <f t="array" ref="F54:F54">OFFSET(E54,-1,1)</f>
        <v>0</v>
      </c>
      <c r="G54" s="100" t="s">
        <v>677</v>
      </c>
      <c r="H54" s="1240"/>
      <c r="I54" s="1240"/>
      <c r="J54" s="1240"/>
      <c r="K54" s="1240"/>
      <c r="L54" s="1240"/>
      <c r="M54" s="1240"/>
      <c r="N54" s="1240"/>
      <c r="O54" s="1240"/>
      <c r="P54" s="1240"/>
      <c r="Q54" s="1240"/>
      <c r="R54" s="1240"/>
      <c r="S54" s="1240"/>
      <c r="T54" s="468" cm="1" t="str">
        <f t="array" ref="T54:T54">T53</f>
        <v>false</v>
      </c>
      <c r="U54" s="1240"/>
      <c r="V54" s="1240"/>
      <c r="W54" s="1240"/>
      <c r="X54" s="1559"/>
      <c r="Y54" s="1240"/>
      <c r="Z54" s="1560"/>
      <c r="AA54" s="1240"/>
      <c r="AB54" s="84" t="s">
        <v>804</v>
      </c>
      <c r="AC54" s="210" t="s">
        <v>1071</v>
      </c>
      <c r="AD54" s="85" t="s">
        <v>936</v>
      </c>
      <c r="AE54" s="3109">
        <f>(AE48+AE30)/2</f>
        <v>0</v>
      </c>
      <c r="AF54" s="3109">
        <f>(AF48+AF30)/2</f>
        <v>0</v>
      </c>
      <c r="AG54" s="3109">
        <f>(AG48+AG30)/2</f>
        <v>0</v>
      </c>
      <c r="AH54" s="3109">
        <f>(AH48+AH30)/2</f>
        <v>0</v>
      </c>
      <c r="AI54" s="3109">
        <f>(AI48+AI30)/2</f>
        <v>0</v>
      </c>
      <c r="AJ54" s="3109">
        <f>(AJ48+AJ30)/2</f>
        <v>0</v>
      </c>
      <c r="AK54" s="3109">
        <f>(AK48+AK30)/2</f>
        <v>0</v>
      </c>
      <c r="AL54" s="3109">
        <f>(AL48+AL30)/2</f>
        <v>0</v>
      </c>
      <c r="AM54" s="3109">
        <f>(AM48+AM30)/2</f>
        <v>0</v>
      </c>
      <c r="AN54" s="3109">
        <f>(AN48+AN30)/2</f>
        <v>0</v>
      </c>
      <c r="AO54" s="3109">
        <f>(AO48+AO30)/2</f>
        <v>0</v>
      </c>
      <c r="AP54" s="3109">
        <f>(AP48+AP30)/2</f>
        <v>0</v>
      </c>
      <c r="AQ54" s="3109">
        <f>(AQ48+AQ30)/2</f>
        <v>0</v>
      </c>
      <c r="AR54" s="3109">
        <f>(AR48+AR30)/2</f>
        <v>0</v>
      </c>
      <c r="AS54" s="3109">
        <f>(AS48+AS30)/2</f>
        <v>0</v>
      </c>
      <c r="AT54" s="3109">
        <f>(AT48+AT30)/2</f>
        <v>0</v>
      </c>
      <c r="AU54" s="3109">
        <f>(AU48+AU30)/2</f>
        <v>0</v>
      </c>
      <c r="AV54" s="3109">
        <f>(AV48+AV30)/2</f>
        <v>0</v>
      </c>
      <c r="AW54" s="3109">
        <f>(AW48+AW30)/2</f>
        <v>0</v>
      </c>
      <c r="AX54" s="3109">
        <f>(AX48+AX30)/2</f>
        <v>0</v>
      </c>
      <c r="AY54" s="3109">
        <f>(AY48+AY30)/2</f>
        <v>0</v>
      </c>
      <c r="AZ54" s="3109">
        <f>(AZ48+AZ30)/2</f>
        <v>0</v>
      </c>
      <c r="BA54" s="3109">
        <f>(BA48+BA30)/2</f>
        <v>0</v>
      </c>
      <c r="BB54" s="3109">
        <f>(BB48+BB30)/2</f>
        <v>0</v>
      </c>
      <c r="BC54" s="1928"/>
      <c r="BD54" s="1240"/>
      <c r="BE54" s="1240"/>
      <c r="BF54" s="1042" t="s">
        <v>1121</v>
      </c>
    </row>
    <row customHeight="1" ht="14.625" hidden="1">
      <c r="A55" s="1240"/>
      <c r="B55" s="1223"/>
      <c r="C55" s="1240"/>
      <c r="D55" s="1240"/>
      <c r="E55" s="633">
        <v>15</v>
      </c>
      <c r="F55" s="50" cm="1" t="str">
        <f t="array" ref="F55:F55">OFFSET(E55,-1,1)</f>
        <v>0</v>
      </c>
      <c r="G55" s="100" t="s">
        <v>889</v>
      </c>
      <c r="H55" s="1240"/>
      <c r="I55" s="1240"/>
      <c r="J55" s="1240"/>
      <c r="K55" s="1240"/>
      <c r="L55" s="1240"/>
      <c r="M55" s="1240"/>
      <c r="N55" s="1240"/>
      <c r="O55" s="1240"/>
      <c r="P55" s="1240"/>
      <c r="Q55" s="1240"/>
      <c r="R55" s="1240"/>
      <c r="S55" s="1240"/>
      <c r="T55" s="468" cm="1" t="str">
        <f t="array" ref="T55:T55">T54</f>
        <v>false</v>
      </c>
      <c r="U55" s="1240"/>
      <c r="V55" s="1240"/>
      <c r="W55" s="1240"/>
      <c r="X55" s="1559"/>
      <c r="Y55" s="1240"/>
      <c r="Z55" s="1560"/>
      <c r="AA55" s="1240"/>
      <c r="AB55" s="84" t="s">
        <v>1122</v>
      </c>
      <c r="AC55" s="210" t="s">
        <v>1074</v>
      </c>
      <c r="AD55" s="85" t="s">
        <v>936</v>
      </c>
      <c r="AE55" s="3109">
        <f>(AE49+AE31)/2</f>
        <v>0</v>
      </c>
      <c r="AF55" s="3109">
        <f>(AF49+AF31)/2</f>
        <v>0</v>
      </c>
      <c r="AG55" s="3109">
        <f>(AG49+AG31)/2</f>
        <v>0</v>
      </c>
      <c r="AH55" s="3109">
        <f>(AH49+AH31)/2</f>
        <v>0</v>
      </c>
      <c r="AI55" s="3109">
        <f>(AI49+AI31)/2</f>
        <v>0</v>
      </c>
      <c r="AJ55" s="3109">
        <f>(AJ49+AJ31)/2</f>
        <v>0</v>
      </c>
      <c r="AK55" s="3109">
        <f>(AK49+AK31)/2</f>
        <v>0</v>
      </c>
      <c r="AL55" s="3109">
        <f>(AL49+AL31)/2</f>
        <v>0</v>
      </c>
      <c r="AM55" s="3109">
        <f>(AM49+AM31)/2</f>
        <v>0</v>
      </c>
      <c r="AN55" s="3109">
        <f>(AN49+AN31)/2</f>
        <v>0</v>
      </c>
      <c r="AO55" s="3109">
        <f>(AO49+AO31)/2</f>
        <v>0</v>
      </c>
      <c r="AP55" s="3109">
        <f>(AP49+AP31)/2</f>
        <v>0</v>
      </c>
      <c r="AQ55" s="3109">
        <f>(AQ49+AQ31)/2</f>
        <v>0</v>
      </c>
      <c r="AR55" s="3109">
        <f>(AR49+AR31)/2</f>
        <v>0</v>
      </c>
      <c r="AS55" s="3109">
        <f>(AS49+AS31)/2</f>
        <v>0</v>
      </c>
      <c r="AT55" s="3109">
        <f>(AT49+AT31)/2</f>
        <v>0</v>
      </c>
      <c r="AU55" s="3109">
        <f>(AU49+AU31)/2</f>
        <v>0</v>
      </c>
      <c r="AV55" s="3109">
        <f>(AV49+AV31)/2</f>
        <v>0</v>
      </c>
      <c r="AW55" s="3109">
        <f>(AW49+AW31)/2</f>
        <v>0</v>
      </c>
      <c r="AX55" s="3109">
        <f>(AX49+AX31)/2</f>
        <v>0</v>
      </c>
      <c r="AY55" s="3109">
        <f>(AY49+AY31)/2</f>
        <v>0</v>
      </c>
      <c r="AZ55" s="3109">
        <f>(AZ49+AZ31)/2</f>
        <v>0</v>
      </c>
      <c r="BA55" s="3109">
        <f>(BA49+BA31)/2</f>
        <v>0</v>
      </c>
      <c r="BB55" s="3109">
        <f>(BB49+BB31)/2</f>
        <v>0</v>
      </c>
      <c r="BC55" s="1928"/>
      <c r="BD55" s="1240"/>
      <c r="BE55" s="1240"/>
      <c r="BF55" s="1042" t="s">
        <v>1123</v>
      </c>
    </row>
    <row customHeight="1" ht="14.625" hidden="1">
      <c r="A56" s="1240"/>
      <c r="B56" s="1223"/>
      <c r="C56" s="1240"/>
      <c r="D56" s="1240"/>
      <c r="E56" s="633">
        <v>15</v>
      </c>
      <c r="F56" s="50" cm="1" t="str">
        <f t="array" ref="F56:F56">OFFSET(E56,-1,1)</f>
        <v>0</v>
      </c>
      <c r="G56" s="100" t="s">
        <v>1124</v>
      </c>
      <c r="H56" s="1240"/>
      <c r="I56" s="1240"/>
      <c r="J56" s="1240"/>
      <c r="K56" s="1240"/>
      <c r="L56" s="1240"/>
      <c r="M56" s="1240"/>
      <c r="N56" s="1240"/>
      <c r="O56" s="1240"/>
      <c r="P56" s="1240"/>
      <c r="Q56" s="1240"/>
      <c r="R56" s="1240"/>
      <c r="S56" s="1240"/>
      <c r="T56" s="468" cm="1" t="str">
        <f t="array" ref="T56:T56">T55</f>
        <v>false</v>
      </c>
      <c r="U56" s="1240"/>
      <c r="V56" s="1240"/>
      <c r="W56" s="1240"/>
      <c r="X56" s="1559"/>
      <c r="Y56" s="1240"/>
      <c r="Z56" s="1560"/>
      <c r="AA56" s="1240"/>
      <c r="AB56" s="84" t="s">
        <v>1125</v>
      </c>
      <c r="AC56" s="210" t="s">
        <v>1077</v>
      </c>
      <c r="AD56" s="85" t="s">
        <v>936</v>
      </c>
      <c r="AE56" s="3109">
        <f>(AE50+AE32)/2</f>
        <v>0</v>
      </c>
      <c r="AF56" s="3109">
        <f>(AF50+AF32)/2</f>
        <v>0</v>
      </c>
      <c r="AG56" s="3109">
        <f>(AG50+AG32)/2</f>
        <v>0</v>
      </c>
      <c r="AH56" s="3109">
        <f>(AH50+AH32)/2</f>
        <v>0</v>
      </c>
      <c r="AI56" s="3109">
        <f>(AI50+AI32)/2</f>
        <v>0</v>
      </c>
      <c r="AJ56" s="3109">
        <f>(AJ50+AJ32)/2</f>
        <v>0</v>
      </c>
      <c r="AK56" s="3109">
        <f>(AK50+AK32)/2</f>
        <v>0</v>
      </c>
      <c r="AL56" s="3109">
        <f>(AL50+AL32)/2</f>
        <v>0</v>
      </c>
      <c r="AM56" s="3109">
        <f>(AM50+AM32)/2</f>
        <v>0</v>
      </c>
      <c r="AN56" s="3109">
        <f>(AN50+AN32)/2</f>
        <v>0</v>
      </c>
      <c r="AO56" s="3109">
        <f>(AO50+AO32)/2</f>
        <v>0</v>
      </c>
      <c r="AP56" s="3109">
        <f>(AP50+AP32)/2</f>
        <v>0</v>
      </c>
      <c r="AQ56" s="3109">
        <f>(AQ50+AQ32)/2</f>
        <v>0</v>
      </c>
      <c r="AR56" s="3109">
        <f>(AR50+AR32)/2</f>
        <v>0</v>
      </c>
      <c r="AS56" s="3109">
        <f>(AS50+AS32)/2</f>
        <v>0</v>
      </c>
      <c r="AT56" s="3109">
        <f>(AT50+AT32)/2</f>
        <v>0</v>
      </c>
      <c r="AU56" s="3109">
        <f>(AU50+AU32)/2</f>
        <v>0</v>
      </c>
      <c r="AV56" s="3109">
        <f>(AV50+AV32)/2</f>
        <v>0</v>
      </c>
      <c r="AW56" s="3109">
        <f>(AW50+AW32)/2</f>
        <v>0</v>
      </c>
      <c r="AX56" s="3109">
        <f>(AX50+AX32)/2</f>
        <v>0</v>
      </c>
      <c r="AY56" s="3109">
        <f>(AY50+AY32)/2</f>
        <v>0</v>
      </c>
      <c r="AZ56" s="3109">
        <f>(AZ50+AZ32)/2</f>
        <v>0</v>
      </c>
      <c r="BA56" s="3109">
        <f>(BA50+BA32)/2</f>
        <v>0</v>
      </c>
      <c r="BB56" s="3109">
        <f>(BB50+BB32)/2</f>
        <v>0</v>
      </c>
      <c r="BC56" s="1928"/>
      <c r="BD56" s="1240"/>
      <c r="BE56" s="1240"/>
      <c r="BF56" s="1042" t="s">
        <v>1126</v>
      </c>
    </row>
    <row customHeight="1" ht="14.625" hidden="1">
      <c r="A57" s="1240"/>
      <c r="B57" s="1223"/>
      <c r="C57" s="1240"/>
      <c r="D57" s="1240"/>
      <c r="E57" s="633">
        <v>15</v>
      </c>
      <c r="F57" s="50" cm="1" t="str">
        <f t="array" ref="F57:F57">OFFSET(E57,-1,1)</f>
        <v>0</v>
      </c>
      <c r="G57" s="100" t="s">
        <v>1127</v>
      </c>
      <c r="H57" s="1240"/>
      <c r="I57" s="1240"/>
      <c r="J57" s="1240"/>
      <c r="K57" s="1240"/>
      <c r="L57" s="1240"/>
      <c r="M57" s="1240"/>
      <c r="N57" s="1240"/>
      <c r="O57" s="1240"/>
      <c r="P57" s="1240"/>
      <c r="Q57" s="1240"/>
      <c r="R57" s="1240"/>
      <c r="S57" s="1240"/>
      <c r="T57" s="468" cm="1" t="str">
        <f t="array" ref="T57:T57">T56</f>
        <v>false</v>
      </c>
      <c r="U57" s="1240"/>
      <c r="V57" s="1240"/>
      <c r="W57" s="1240"/>
      <c r="X57" s="1559"/>
      <c r="Y57" s="1240"/>
      <c r="Z57" s="1560"/>
      <c r="AA57" s="1240"/>
      <c r="AB57" s="84" t="s">
        <v>1128</v>
      </c>
      <c r="AC57" s="210" t="s">
        <v>1081</v>
      </c>
      <c r="AD57" s="85" t="s">
        <v>936</v>
      </c>
      <c r="AE57" s="3109">
        <f>(AE51+AE33)/2</f>
        <v>0</v>
      </c>
      <c r="AF57" s="3109">
        <f>(AF51+AF33)/2</f>
        <v>0</v>
      </c>
      <c r="AG57" s="3109">
        <f>(AG51+AG33)/2</f>
        <v>0</v>
      </c>
      <c r="AH57" s="3109">
        <f>(AH51+AH33)/2</f>
        <v>0</v>
      </c>
      <c r="AI57" s="3109">
        <f>(AI51+AI33)/2</f>
        <v>0</v>
      </c>
      <c r="AJ57" s="3109">
        <f>(AJ51+AJ33)/2</f>
        <v>0</v>
      </c>
      <c r="AK57" s="3109">
        <f>(AK51+AK33)/2</f>
        <v>0</v>
      </c>
      <c r="AL57" s="3109">
        <f>(AL51+AL33)/2</f>
        <v>0</v>
      </c>
      <c r="AM57" s="3109">
        <f>(AM51+AM33)/2</f>
        <v>0</v>
      </c>
      <c r="AN57" s="3109">
        <f>(AN51+AN33)/2</f>
        <v>0</v>
      </c>
      <c r="AO57" s="3109">
        <f>(AO51+AO33)/2</f>
        <v>0</v>
      </c>
      <c r="AP57" s="3109">
        <f>(AP51+AP33)/2</f>
        <v>0</v>
      </c>
      <c r="AQ57" s="3109">
        <f>(AQ51+AQ33)/2</f>
        <v>0</v>
      </c>
      <c r="AR57" s="3109">
        <f>(AR51+AR33)/2</f>
        <v>0</v>
      </c>
      <c r="AS57" s="3109">
        <f>(AS51+AS33)/2</f>
        <v>0</v>
      </c>
      <c r="AT57" s="3109">
        <f>(AT51+AT33)/2</f>
        <v>0</v>
      </c>
      <c r="AU57" s="3109">
        <f>(AU51+AU33)/2</f>
        <v>0</v>
      </c>
      <c r="AV57" s="3109">
        <f>(AV51+AV33)/2</f>
        <v>0</v>
      </c>
      <c r="AW57" s="3109">
        <f>(AW51+AW33)/2</f>
        <v>0</v>
      </c>
      <c r="AX57" s="3109">
        <f>(AX51+AX33)/2</f>
        <v>0</v>
      </c>
      <c r="AY57" s="3109">
        <f>(AY51+AY33)/2</f>
        <v>0</v>
      </c>
      <c r="AZ57" s="3109">
        <f>(AZ51+AZ33)/2</f>
        <v>0</v>
      </c>
      <c r="BA57" s="3109">
        <f>(BA51+BA33)/2</f>
        <v>0</v>
      </c>
      <c r="BB57" s="3109">
        <f>(BB51+BB33)/2</f>
        <v>0</v>
      </c>
      <c r="BC57" s="1928"/>
      <c r="BD57" s="1240"/>
      <c r="BE57" s="1240"/>
      <c r="BF57" s="1042" t="s">
        <v>1129</v>
      </c>
    </row>
    <row s="528" customFormat="1" customHeight="1" ht="21.9375" hidden="1">
      <c r="A58" s="528"/>
      <c r="B58" s="433"/>
      <c r="C58" s="528"/>
      <c r="D58" s="528"/>
      <c r="E58" s="675">
        <v>22.5</v>
      </c>
      <c r="F58" s="50" cm="1" t="str">
        <f t="array" ref="F58:F58">OFFSET(E58,-1,1)</f>
        <v>0</v>
      </c>
      <c r="G58" s="100" t="s">
        <v>616</v>
      </c>
      <c r="H58" s="528"/>
      <c r="I58" s="528"/>
      <c r="J58" s="528"/>
      <c r="K58" s="528"/>
      <c r="L58" s="528"/>
      <c r="M58" s="528"/>
      <c r="N58" s="528"/>
      <c r="O58" s="528"/>
      <c r="P58" s="528"/>
      <c r="Q58" s="528"/>
      <c r="R58" s="528"/>
      <c r="S58" s="528"/>
      <c r="T58" s="468" cm="1" t="str">
        <f t="array" ref="T58:T58">T57</f>
        <v>false</v>
      </c>
      <c r="U58" s="528"/>
      <c r="V58" s="528"/>
      <c r="W58" s="528"/>
      <c r="X58" s="1559"/>
      <c r="Y58" s="528"/>
      <c r="Z58" s="1560"/>
      <c r="AA58" s="528"/>
      <c r="AB58" s="207">
        <v>6</v>
      </c>
      <c r="AC58" s="208" t="s">
        <v>1130</v>
      </c>
      <c r="AD58" s="207"/>
      <c r="AE58" s="212"/>
      <c r="AF58" s="212"/>
      <c r="AG58" s="212"/>
      <c r="AH58" s="212"/>
      <c r="AI58" s="212"/>
      <c r="AJ58" s="212"/>
      <c r="AK58" s="212"/>
      <c r="AL58" s="212"/>
      <c r="AM58" s="212"/>
      <c r="AN58" s="212"/>
      <c r="AO58" s="212"/>
      <c r="AP58" s="212"/>
      <c r="AQ58" s="212"/>
      <c r="AR58" s="212"/>
      <c r="AS58" s="212"/>
      <c r="AT58" s="212"/>
      <c r="AU58" s="212"/>
      <c r="AV58" s="212"/>
      <c r="AW58" s="212"/>
      <c r="AX58" s="212"/>
      <c r="AY58" s="212"/>
      <c r="AZ58" s="212"/>
      <c r="BA58" s="212"/>
      <c r="BB58" s="212"/>
      <c r="BC58" s="1928"/>
      <c r="BD58" s="528"/>
      <c r="BE58" s="528"/>
      <c r="BF58" s="1042" t="s">
        <v>1131</v>
      </c>
    </row>
    <row customHeight="1" ht="14.625" hidden="1">
      <c r="A59" s="1240"/>
      <c r="B59" s="1223"/>
      <c r="C59" s="1240"/>
      <c r="D59" s="1240"/>
      <c r="E59" s="633">
        <v>15</v>
      </c>
      <c r="F59" s="50" cm="1" t="str">
        <f t="array" ref="F59:F59">OFFSET(E59,-1,1)</f>
        <v>0</v>
      </c>
      <c r="G59" s="100" t="s">
        <v>793</v>
      </c>
      <c r="H59" s="1240"/>
      <c r="I59" s="1240"/>
      <c r="J59" s="1240"/>
      <c r="K59" s="1240"/>
      <c r="L59" s="1240"/>
      <c r="M59" s="1240"/>
      <c r="N59" s="1240"/>
      <c r="O59" s="1240"/>
      <c r="P59" s="1240"/>
      <c r="Q59" s="1240"/>
      <c r="R59" s="1240"/>
      <c r="S59" s="1240"/>
      <c r="T59" s="468" cm="1" t="str">
        <f t="array" ref="T59:T59">T58</f>
        <v>false</v>
      </c>
      <c r="U59" s="1240"/>
      <c r="V59" s="1240"/>
      <c r="W59" s="1240"/>
      <c r="X59" s="1559"/>
      <c r="Y59" s="1240"/>
      <c r="Z59" s="1560"/>
      <c r="AA59" s="1240"/>
      <c r="AB59" s="84" t="s">
        <v>689</v>
      </c>
      <c r="AC59" s="210" t="s">
        <v>1068</v>
      </c>
      <c r="AD59" s="84" t="s">
        <v>561</v>
      </c>
      <c r="AE59" s="3109">
        <f>IF(AE53=0,0,AE65/AE53*100)</f>
        <v>0</v>
      </c>
      <c r="AF59" s="3109">
        <f>IF(AF53=0,0,AF65/AF53*100)</f>
        <v>0</v>
      </c>
      <c r="AG59" s="3109">
        <f>IF(AG53=0,0,AG65/AG53*100)</f>
        <v>0</v>
      </c>
      <c r="AH59" s="3109">
        <f>IF(AH53=0,0,AH65/AH53*100)</f>
        <v>0</v>
      </c>
      <c r="AI59" s="3109">
        <f>IF(AI53=0,0,AI65/AI53*100)</f>
        <v>0</v>
      </c>
      <c r="AJ59" s="3109">
        <f>IF(AJ53=0,0,AJ65/AJ53*100)</f>
        <v>0</v>
      </c>
      <c r="AK59" s="3109">
        <f>IF(AK53=0,0,AK65/AK53*100)</f>
        <v>0</v>
      </c>
      <c r="AL59" s="3109">
        <f>IF(AL53=0,0,AL65/AL53*100)</f>
        <v>0</v>
      </c>
      <c r="AM59" s="3109">
        <f>IF(AM53=0,0,AM65/AM53*100)</f>
        <v>0</v>
      </c>
      <c r="AN59" s="3109">
        <f>IF(AN53=0,0,AN65/AN53*100)</f>
        <v>0</v>
      </c>
      <c r="AO59" s="3109">
        <f>IF(AO53=0,0,AO65/AO53*100)</f>
        <v>0</v>
      </c>
      <c r="AP59" s="3109">
        <f>IF(AP53=0,0,AP65/AP53*100)</f>
        <v>0</v>
      </c>
      <c r="AQ59" s="3109">
        <f>IF(AQ53=0,0,AQ65/AQ53*100)</f>
        <v>0</v>
      </c>
      <c r="AR59" s="3109">
        <f>IF(AR53=0,0,AR65/AR53*100)</f>
        <v>0</v>
      </c>
      <c r="AS59" s="3109">
        <f>IF(AS53=0,0,AS65/AS53*100)</f>
        <v>0</v>
      </c>
      <c r="AT59" s="3109">
        <f>IF(AT53=0,0,AT65/AT53*100)</f>
        <v>0</v>
      </c>
      <c r="AU59" s="3109">
        <f>IF(AU53=0,0,AU65/AU53*100)</f>
        <v>0</v>
      </c>
      <c r="AV59" s="3109">
        <f>IF(AV53=0,0,AV65/AV53*100)</f>
        <v>0</v>
      </c>
      <c r="AW59" s="3109">
        <f>IF(AW53=0,0,AW65/AW53*100)</f>
        <v>0</v>
      </c>
      <c r="AX59" s="3109">
        <f>IF(AX53=0,0,AX65/AX53*100)</f>
        <v>0</v>
      </c>
      <c r="AY59" s="3109">
        <f>IF(AY53=0,0,AY65/AY53*100)</f>
        <v>0</v>
      </c>
      <c r="AZ59" s="3109">
        <f>IF(AZ53=0,0,AZ65/AZ53*100)</f>
        <v>0</v>
      </c>
      <c r="BA59" s="3109">
        <f>IF(BA53=0,0,BA65/BA53*100)</f>
        <v>0</v>
      </c>
      <c r="BB59" s="3109">
        <f>IF(BB53=0,0,BB65/BB53*100)</f>
        <v>0</v>
      </c>
      <c r="BC59" s="1928"/>
      <c r="BD59" s="1240"/>
      <c r="BE59" s="1240"/>
      <c r="BF59" s="1042" t="s">
        <v>1132</v>
      </c>
    </row>
    <row customHeight="1" ht="14.625" hidden="1">
      <c r="A60" s="1240"/>
      <c r="B60" s="1223"/>
      <c r="C60" s="1240"/>
      <c r="D60" s="1240"/>
      <c r="E60" s="633">
        <v>15</v>
      </c>
      <c r="F60" s="50" cm="1" t="str">
        <f t="array" ref="F60:F60">OFFSET(E60,-1,1)</f>
        <v>0</v>
      </c>
      <c r="G60" s="100" t="s">
        <v>796</v>
      </c>
      <c r="H60" s="1240"/>
      <c r="I60" s="1240"/>
      <c r="J60" s="1240"/>
      <c r="K60" s="1240"/>
      <c r="L60" s="1240"/>
      <c r="M60" s="1240"/>
      <c r="N60" s="1240"/>
      <c r="O60" s="1240"/>
      <c r="P60" s="1240"/>
      <c r="Q60" s="1240"/>
      <c r="R60" s="1240"/>
      <c r="S60" s="1240"/>
      <c r="T60" s="468" cm="1" t="str">
        <f t="array" ref="T60:T60">T59</f>
        <v>false</v>
      </c>
      <c r="U60" s="1240"/>
      <c r="V60" s="1240"/>
      <c r="W60" s="1240"/>
      <c r="X60" s="1559"/>
      <c r="Y60" s="1240"/>
      <c r="Z60" s="1560"/>
      <c r="AA60" s="1240"/>
      <c r="AB60" s="84" t="s">
        <v>693</v>
      </c>
      <c r="AC60" s="210" t="s">
        <v>1071</v>
      </c>
      <c r="AD60" s="84" t="s">
        <v>561</v>
      </c>
      <c r="AE60" s="3109">
        <f>IF(AE54=0,0,AE66/AE54*100)</f>
        <v>0</v>
      </c>
      <c r="AF60" s="3109">
        <f>IF(AF54=0,0,AF66/AF54*100)</f>
        <v>0</v>
      </c>
      <c r="AG60" s="3109">
        <f>IF(AG54=0,0,AG66/AG54*100)</f>
        <v>0</v>
      </c>
      <c r="AH60" s="3109">
        <f>IF(AH54=0,0,AH66/AH54*100)</f>
        <v>0</v>
      </c>
      <c r="AI60" s="3109">
        <f>IF(AI54=0,0,AI66/AI54*100)</f>
        <v>0</v>
      </c>
      <c r="AJ60" s="3109">
        <f>IF(AJ54=0,0,AJ66/AJ54*100)</f>
        <v>0</v>
      </c>
      <c r="AK60" s="3109">
        <f>IF(AK54=0,0,AK66/AK54*100)</f>
        <v>0</v>
      </c>
      <c r="AL60" s="3109">
        <f>IF(AL54=0,0,AL66/AL54*100)</f>
        <v>0</v>
      </c>
      <c r="AM60" s="3109">
        <f>IF(AM54=0,0,AM66/AM54*100)</f>
        <v>0</v>
      </c>
      <c r="AN60" s="3109">
        <f>IF(AN54=0,0,AN66/AN54*100)</f>
        <v>0</v>
      </c>
      <c r="AO60" s="3109">
        <f>IF(AO54=0,0,AO66/AO54*100)</f>
        <v>0</v>
      </c>
      <c r="AP60" s="3109">
        <f>IF(AP54=0,0,AP66/AP54*100)</f>
        <v>0</v>
      </c>
      <c r="AQ60" s="3109">
        <f>IF(AQ54=0,0,AQ66/AQ54*100)</f>
        <v>0</v>
      </c>
      <c r="AR60" s="3109">
        <f>IF(AR54=0,0,AR66/AR54*100)</f>
        <v>0</v>
      </c>
      <c r="AS60" s="3109">
        <f>IF(AS54=0,0,AS66/AS54*100)</f>
        <v>0</v>
      </c>
      <c r="AT60" s="3109">
        <f>IF(AT54=0,0,AT66/AT54*100)</f>
        <v>0</v>
      </c>
      <c r="AU60" s="3109">
        <f>IF(AU54=0,0,AU66/AU54*100)</f>
        <v>0</v>
      </c>
      <c r="AV60" s="3109">
        <f>IF(AV54=0,0,AV66/AV54*100)</f>
        <v>0</v>
      </c>
      <c r="AW60" s="3109">
        <f>IF(AW54=0,0,AW66/AW54*100)</f>
        <v>0</v>
      </c>
      <c r="AX60" s="3109">
        <f>IF(AX54=0,0,AX66/AX54*100)</f>
        <v>0</v>
      </c>
      <c r="AY60" s="3109">
        <f>IF(AY54=0,0,AY66/AY54*100)</f>
        <v>0</v>
      </c>
      <c r="AZ60" s="3109">
        <f>IF(AZ54=0,0,AZ66/AZ54*100)</f>
        <v>0</v>
      </c>
      <c r="BA60" s="3109">
        <f>IF(BA54=0,0,BA66/BA54*100)</f>
        <v>0</v>
      </c>
      <c r="BB60" s="3109">
        <f>IF(BB54=0,0,BB66/BB54*100)</f>
        <v>0</v>
      </c>
      <c r="BC60" s="1928"/>
      <c r="BD60" s="1240"/>
      <c r="BE60" s="1240"/>
      <c r="BF60" s="1042" t="s">
        <v>1133</v>
      </c>
    </row>
    <row customHeight="1" ht="14.625" hidden="1">
      <c r="A61" s="1240"/>
      <c r="B61" s="1223"/>
      <c r="C61" s="1240"/>
      <c r="D61" s="1240"/>
      <c r="E61" s="633">
        <v>15</v>
      </c>
      <c r="F61" s="50" cm="1" t="str">
        <f t="array" ref="F61:F61">OFFSET(E61,-1,1)</f>
        <v>0</v>
      </c>
      <c r="G61" s="100" t="s">
        <v>830</v>
      </c>
      <c r="H61" s="1240"/>
      <c r="I61" s="1240"/>
      <c r="J61" s="1240"/>
      <c r="K61" s="1240"/>
      <c r="L61" s="1240"/>
      <c r="M61" s="1240"/>
      <c r="N61" s="1240"/>
      <c r="O61" s="1240"/>
      <c r="P61" s="1240"/>
      <c r="Q61" s="1240"/>
      <c r="R61" s="1240"/>
      <c r="S61" s="1240"/>
      <c r="T61" s="468" cm="1" t="str">
        <f t="array" ref="T61:T61">T60</f>
        <v>false</v>
      </c>
      <c r="U61" s="1240"/>
      <c r="V61" s="1240"/>
      <c r="W61" s="1240"/>
      <c r="X61" s="1559"/>
      <c r="Y61" s="1240"/>
      <c r="Z61" s="1560"/>
      <c r="AA61" s="1240"/>
      <c r="AB61" s="84" t="s">
        <v>697</v>
      </c>
      <c r="AC61" s="210" t="s">
        <v>1074</v>
      </c>
      <c r="AD61" s="84" t="s">
        <v>561</v>
      </c>
      <c r="AE61" s="3109">
        <f>IF(AE55=0,0,AE67/AE55*100)</f>
        <v>0</v>
      </c>
      <c r="AF61" s="3109">
        <f>IF(AF55=0,0,AF67/AF55*100)</f>
        <v>0</v>
      </c>
      <c r="AG61" s="3109">
        <f>IF(AG55=0,0,AG67/AG55*100)</f>
        <v>0</v>
      </c>
      <c r="AH61" s="3109">
        <f>IF(AH55=0,0,AH67/AH55*100)</f>
        <v>0</v>
      </c>
      <c r="AI61" s="3109">
        <f>IF(AI55=0,0,AI67/AI55*100)</f>
        <v>0</v>
      </c>
      <c r="AJ61" s="3109">
        <f>IF(AJ55=0,0,AJ67/AJ55*100)</f>
        <v>0</v>
      </c>
      <c r="AK61" s="3109">
        <f>IF(AK55=0,0,AK67/AK55*100)</f>
        <v>0</v>
      </c>
      <c r="AL61" s="3109">
        <f>IF(AL55=0,0,AL67/AL55*100)</f>
        <v>0</v>
      </c>
      <c r="AM61" s="3109">
        <f>IF(AM55=0,0,AM67/AM55*100)</f>
        <v>0</v>
      </c>
      <c r="AN61" s="3109">
        <f>IF(AN55=0,0,AN67/AN55*100)</f>
        <v>0</v>
      </c>
      <c r="AO61" s="3109">
        <f>IF(AO55=0,0,AO67/AO55*100)</f>
        <v>0</v>
      </c>
      <c r="AP61" s="3109">
        <f>IF(AP55=0,0,AP67/AP55*100)</f>
        <v>0</v>
      </c>
      <c r="AQ61" s="3109">
        <f>IF(AQ55=0,0,AQ67/AQ55*100)</f>
        <v>0</v>
      </c>
      <c r="AR61" s="3109">
        <f>IF(AR55=0,0,AR67/AR55*100)</f>
        <v>0</v>
      </c>
      <c r="AS61" s="3109">
        <f>IF(AS55=0,0,AS67/AS55*100)</f>
        <v>0</v>
      </c>
      <c r="AT61" s="3109">
        <f>IF(AT55=0,0,AT67/AT55*100)</f>
        <v>0</v>
      </c>
      <c r="AU61" s="3109">
        <f>IF(AU55=0,0,AU67/AU55*100)</f>
        <v>0</v>
      </c>
      <c r="AV61" s="3109">
        <f>IF(AV55=0,0,AV67/AV55*100)</f>
        <v>0</v>
      </c>
      <c r="AW61" s="3109">
        <f>IF(AW55=0,0,AW67/AW55*100)</f>
        <v>0</v>
      </c>
      <c r="AX61" s="3109">
        <f>IF(AX55=0,0,AX67/AX55*100)</f>
        <v>0</v>
      </c>
      <c r="AY61" s="3109">
        <f>IF(AY55=0,0,AY67/AY55*100)</f>
        <v>0</v>
      </c>
      <c r="AZ61" s="3109">
        <f>IF(AZ55=0,0,AZ67/AZ55*100)</f>
        <v>0</v>
      </c>
      <c r="BA61" s="3109">
        <f>IF(BA55=0,0,BA67/BA55*100)</f>
        <v>0</v>
      </c>
      <c r="BB61" s="3109">
        <f>IF(BB55=0,0,BB67/BB55*100)</f>
        <v>0</v>
      </c>
      <c r="BC61" s="1928"/>
      <c r="BD61" s="1240"/>
      <c r="BE61" s="1240"/>
      <c r="BF61" s="1042" t="s">
        <v>1134</v>
      </c>
    </row>
    <row customHeight="1" ht="14.625" hidden="1">
      <c r="A62" s="1240"/>
      <c r="B62" s="1223"/>
      <c r="C62" s="1240"/>
      <c r="D62" s="1240"/>
      <c r="E62" s="633">
        <v>15</v>
      </c>
      <c r="F62" s="50" cm="1" t="str">
        <f t="array" ref="F62:F62">OFFSET(E62,-1,1)</f>
        <v>0</v>
      </c>
      <c r="G62" s="100" t="s">
        <v>839</v>
      </c>
      <c r="H62" s="1240"/>
      <c r="I62" s="1240"/>
      <c r="J62" s="1240"/>
      <c r="K62" s="1240"/>
      <c r="L62" s="1240"/>
      <c r="M62" s="1240"/>
      <c r="N62" s="1240"/>
      <c r="O62" s="1240"/>
      <c r="P62" s="1240"/>
      <c r="Q62" s="1240"/>
      <c r="R62" s="1240"/>
      <c r="S62" s="1240"/>
      <c r="T62" s="468" cm="1" t="str">
        <f t="array" ref="T62:T62">T61</f>
        <v>false</v>
      </c>
      <c r="U62" s="1240"/>
      <c r="V62" s="1240"/>
      <c r="W62" s="1240"/>
      <c r="X62" s="1559"/>
      <c r="Y62" s="1240"/>
      <c r="Z62" s="1560"/>
      <c r="AA62" s="1240"/>
      <c r="AB62" s="84" t="s">
        <v>1135</v>
      </c>
      <c r="AC62" s="210" t="s">
        <v>1077</v>
      </c>
      <c r="AD62" s="84" t="s">
        <v>561</v>
      </c>
      <c r="AE62" s="3109">
        <f>IF(AE56=0,0,AE68/AE56*100)</f>
        <v>0</v>
      </c>
      <c r="AF62" s="3109">
        <f>IF(AF56=0,0,AF68/AF56*100)</f>
        <v>0</v>
      </c>
      <c r="AG62" s="3109">
        <f>IF(AG56=0,0,AG68/AG56*100)</f>
        <v>0</v>
      </c>
      <c r="AH62" s="3109">
        <f>IF(AH56=0,0,AH68/AH56*100)</f>
        <v>0</v>
      </c>
      <c r="AI62" s="3109">
        <f>IF(AI56=0,0,AI68/AI56*100)</f>
        <v>0</v>
      </c>
      <c r="AJ62" s="3109">
        <f>IF(AJ56=0,0,AJ68/AJ56*100)</f>
        <v>0</v>
      </c>
      <c r="AK62" s="3109">
        <f>IF(AK56=0,0,AK68/AK56*100)</f>
        <v>0</v>
      </c>
      <c r="AL62" s="3109">
        <f>IF(AL56=0,0,AL68/AL56*100)</f>
        <v>0</v>
      </c>
      <c r="AM62" s="3109">
        <f>IF(AM56=0,0,AM68/AM56*100)</f>
        <v>0</v>
      </c>
      <c r="AN62" s="3109">
        <f>IF(AN56=0,0,AN68/AN56*100)</f>
        <v>0</v>
      </c>
      <c r="AO62" s="3109">
        <f>IF(AO56=0,0,AO68/AO56*100)</f>
        <v>0</v>
      </c>
      <c r="AP62" s="3109">
        <f>IF(AP56=0,0,AP68/AP56*100)</f>
        <v>0</v>
      </c>
      <c r="AQ62" s="3109">
        <f>IF(AQ56=0,0,AQ68/AQ56*100)</f>
        <v>0</v>
      </c>
      <c r="AR62" s="3109">
        <f>IF(AR56=0,0,AR68/AR56*100)</f>
        <v>0</v>
      </c>
      <c r="AS62" s="3109">
        <f>IF(AS56=0,0,AS68/AS56*100)</f>
        <v>0</v>
      </c>
      <c r="AT62" s="3109">
        <f>IF(AT56=0,0,AT68/AT56*100)</f>
        <v>0</v>
      </c>
      <c r="AU62" s="3109">
        <f>IF(AU56=0,0,AU68/AU56*100)</f>
        <v>0</v>
      </c>
      <c r="AV62" s="3109">
        <f>IF(AV56=0,0,AV68/AV56*100)</f>
        <v>0</v>
      </c>
      <c r="AW62" s="3109">
        <f>IF(AW56=0,0,AW68/AW56*100)</f>
        <v>0</v>
      </c>
      <c r="AX62" s="3109">
        <f>IF(AX56=0,0,AX68/AX56*100)</f>
        <v>0</v>
      </c>
      <c r="AY62" s="3109">
        <f>IF(AY56=0,0,AY68/AY56*100)</f>
        <v>0</v>
      </c>
      <c r="AZ62" s="3109">
        <f>IF(AZ56=0,0,AZ68/AZ56*100)</f>
        <v>0</v>
      </c>
      <c r="BA62" s="3109">
        <f>IF(BA56=0,0,BA68/BA56*100)</f>
        <v>0</v>
      </c>
      <c r="BB62" s="3109">
        <f>IF(BB56=0,0,BB68/BB56*100)</f>
        <v>0</v>
      </c>
      <c r="BC62" s="1928"/>
      <c r="BD62" s="1240"/>
      <c r="BE62" s="1240"/>
      <c r="BF62" s="1042" t="s">
        <v>1136</v>
      </c>
    </row>
    <row customHeight="1" ht="14.625" hidden="1">
      <c r="A63" s="1240"/>
      <c r="B63" s="1223"/>
      <c r="C63" s="1240"/>
      <c r="D63" s="1240"/>
      <c r="E63" s="633">
        <v>15</v>
      </c>
      <c r="F63" s="50" cm="1" t="str">
        <f t="array" ref="F63:F63">OFFSET(E63,-1,1)</f>
        <v>0</v>
      </c>
      <c r="G63" s="100" t="s">
        <v>849</v>
      </c>
      <c r="H63" s="1240"/>
      <c r="I63" s="1240"/>
      <c r="J63" s="1240"/>
      <c r="K63" s="1240"/>
      <c r="L63" s="1240"/>
      <c r="M63" s="1240"/>
      <c r="N63" s="1240"/>
      <c r="O63" s="1240"/>
      <c r="P63" s="1240"/>
      <c r="Q63" s="1240"/>
      <c r="R63" s="1240"/>
      <c r="S63" s="1240"/>
      <c r="T63" s="468" cm="1" t="str">
        <f t="array" ref="T63:T63">T62</f>
        <v>false</v>
      </c>
      <c r="U63" s="1240"/>
      <c r="V63" s="1240"/>
      <c r="W63" s="1240"/>
      <c r="X63" s="1559"/>
      <c r="Y63" s="1240"/>
      <c r="Z63" s="1560"/>
      <c r="AA63" s="1240"/>
      <c r="AB63" s="84" t="s">
        <v>1137</v>
      </c>
      <c r="AC63" s="210" t="s">
        <v>1081</v>
      </c>
      <c r="AD63" s="84" t="s">
        <v>561</v>
      </c>
      <c r="AE63" s="3109">
        <f>IF(AE57=0,0,AE69/AE57*100)</f>
        <v>0</v>
      </c>
      <c r="AF63" s="3109">
        <f>IF(AF57=0,0,AF69/AF57*100)</f>
        <v>0</v>
      </c>
      <c r="AG63" s="3109">
        <f>IF(AG57=0,0,AG69/AG57*100)</f>
        <v>0</v>
      </c>
      <c r="AH63" s="3109">
        <f>IF(AH57=0,0,AH69/AH57*100)</f>
        <v>0</v>
      </c>
      <c r="AI63" s="3109">
        <f>IF(AI57=0,0,AI69/AI57*100)</f>
        <v>0</v>
      </c>
      <c r="AJ63" s="3109">
        <f>IF(AJ57=0,0,AJ69/AJ57*100)</f>
        <v>0</v>
      </c>
      <c r="AK63" s="3109">
        <f>IF(AK57=0,0,AK69/AK57*100)</f>
        <v>0</v>
      </c>
      <c r="AL63" s="3109">
        <f>IF(AL57=0,0,AL69/AL57*100)</f>
        <v>0</v>
      </c>
      <c r="AM63" s="3109">
        <f>IF(AM57=0,0,AM69/AM57*100)</f>
        <v>0</v>
      </c>
      <c r="AN63" s="3109">
        <f>IF(AN57=0,0,AN69/AN57*100)</f>
        <v>0</v>
      </c>
      <c r="AO63" s="3109">
        <f>IF(AO57=0,0,AO69/AO57*100)</f>
        <v>0</v>
      </c>
      <c r="AP63" s="3109">
        <f>IF(AP57=0,0,AP69/AP57*100)</f>
        <v>0</v>
      </c>
      <c r="AQ63" s="3109">
        <f>IF(AQ57=0,0,AQ69/AQ57*100)</f>
        <v>0</v>
      </c>
      <c r="AR63" s="3109">
        <f>IF(AR57=0,0,AR69/AR57*100)</f>
        <v>0</v>
      </c>
      <c r="AS63" s="3109">
        <f>IF(AS57=0,0,AS69/AS57*100)</f>
        <v>0</v>
      </c>
      <c r="AT63" s="3109">
        <f>IF(AT57=0,0,AT69/AT57*100)</f>
        <v>0</v>
      </c>
      <c r="AU63" s="3109">
        <f>IF(AU57=0,0,AU69/AU57*100)</f>
        <v>0</v>
      </c>
      <c r="AV63" s="3109">
        <f>IF(AV57=0,0,AV69/AV57*100)</f>
        <v>0</v>
      </c>
      <c r="AW63" s="3109">
        <f>IF(AW57=0,0,AW69/AW57*100)</f>
        <v>0</v>
      </c>
      <c r="AX63" s="3109">
        <f>IF(AX57=0,0,AX69/AX57*100)</f>
        <v>0</v>
      </c>
      <c r="AY63" s="3109">
        <f>IF(AY57=0,0,AY69/AY57*100)</f>
        <v>0</v>
      </c>
      <c r="AZ63" s="3109">
        <f>IF(AZ57=0,0,AZ69/AZ57*100)</f>
        <v>0</v>
      </c>
      <c r="BA63" s="3109">
        <f>IF(BA57=0,0,BA69/BA57*100)</f>
        <v>0</v>
      </c>
      <c r="BB63" s="3109">
        <f>IF(BB57=0,0,BB69/BB57*100)</f>
        <v>0</v>
      </c>
      <c r="BC63" s="1928"/>
      <c r="BD63" s="1240"/>
      <c r="BE63" s="1240"/>
      <c r="BF63" s="1042" t="s">
        <v>1138</v>
      </c>
    </row>
    <row s="528" customFormat="1" customHeight="1" ht="14.625" hidden="1">
      <c r="A64" s="528"/>
      <c r="B64" s="433"/>
      <c r="C64" s="528"/>
      <c r="D64" s="528"/>
      <c r="E64" s="633">
        <v>15</v>
      </c>
      <c r="F64" s="50" cm="1" t="str">
        <f t="array" ref="F64:F64">OFFSET(E64,-1,1)</f>
        <v>0</v>
      </c>
      <c r="G64" s="100" t="s">
        <v>619</v>
      </c>
      <c r="H64" s="528"/>
      <c r="I64" s="528"/>
      <c r="J64" s="528"/>
      <c r="K64" s="120" t="str">
        <f>F64&amp;"komm"</f>
        <v>0komm</v>
      </c>
      <c r="L64" s="926" cm="1" t="str">
        <f t="array" ref="L64:L64">BC64</f>
        <v>0</v>
      </c>
      <c r="M64" s="528"/>
      <c r="N64" s="528"/>
      <c r="O64" s="528"/>
      <c r="P64" s="528"/>
      <c r="Q64" s="528"/>
      <c r="R64" s="528"/>
      <c r="S64" s="528"/>
      <c r="T64" s="468" cm="1" t="str">
        <f t="array" ref="T64:T64">T63</f>
        <v>false</v>
      </c>
      <c r="U64" s="528"/>
      <c r="V64" s="528"/>
      <c r="W64" s="528"/>
      <c r="X64" s="1559"/>
      <c r="Y64" s="528"/>
      <c r="Z64" s="1560"/>
      <c r="AA64" s="528"/>
      <c r="AB64" s="207">
        <v>7</v>
      </c>
      <c r="AC64" s="208" t="s">
        <v>1139</v>
      </c>
      <c r="AD64" s="85" t="s">
        <v>936</v>
      </c>
      <c r="AE64" s="3107">
        <f>SUM(AE65:AE69)</f>
        <v>0</v>
      </c>
      <c r="AF64" s="3107">
        <f>SUM(AF65:AF69)</f>
        <v>0</v>
      </c>
      <c r="AG64" s="3107">
        <f>SUM(AG65:AG69)</f>
        <v>0</v>
      </c>
      <c r="AH64" s="3107">
        <f>SUM(AH65:AH69)</f>
        <v>0</v>
      </c>
      <c r="AI64" s="3107">
        <f>SUM(AI65:AI69)</f>
        <v>0</v>
      </c>
      <c r="AJ64" s="3107">
        <f>SUM(AJ65:AJ69)</f>
        <v>0</v>
      </c>
      <c r="AK64" s="3107">
        <f>SUM(AK65:AK69)</f>
        <v>0</v>
      </c>
      <c r="AL64" s="3107">
        <f>SUM(AL65:AL69)</f>
        <v>0</v>
      </c>
      <c r="AM64" s="3107">
        <f>SUM(AM65:AM69)</f>
        <v>0</v>
      </c>
      <c r="AN64" s="3107">
        <f>SUM(AN65:AN69)</f>
        <v>0</v>
      </c>
      <c r="AO64" s="3107">
        <f>SUM(AO65:AO69)</f>
        <v>0</v>
      </c>
      <c r="AP64" s="3107">
        <f>SUM(AP65:AP69)</f>
        <v>0</v>
      </c>
      <c r="AQ64" s="3107">
        <f>SUM(AQ65:AQ69)</f>
        <v>0</v>
      </c>
      <c r="AR64" s="3107">
        <f>SUM(AR65:AR69)</f>
        <v>0</v>
      </c>
      <c r="AS64" s="3107">
        <f>SUM(AS65:AS69)</f>
        <v>0</v>
      </c>
      <c r="AT64" s="3107">
        <f>SUM(AT65:AT69)</f>
        <v>0</v>
      </c>
      <c r="AU64" s="3107">
        <f>SUM(AU65:AU69)</f>
        <v>0</v>
      </c>
      <c r="AV64" s="3107">
        <f>SUM(AV65:AV69)</f>
        <v>0</v>
      </c>
      <c r="AW64" s="3107">
        <f>SUM(AW65:AW69)</f>
        <v>0</v>
      </c>
      <c r="AX64" s="3107">
        <f>SUM(AX65:AX69)</f>
        <v>0</v>
      </c>
      <c r="AY64" s="3107">
        <f>SUM(AY65:AY69)</f>
        <v>0</v>
      </c>
      <c r="AZ64" s="3107">
        <f>SUM(AZ65:AZ69)</f>
        <v>0</v>
      </c>
      <c r="BA64" s="3107">
        <f>SUM(BA65:BA69)</f>
        <v>0</v>
      </c>
      <c r="BB64" s="3107">
        <f>SUM(BB65:BB69)</f>
        <v>0</v>
      </c>
      <c r="BC64" s="1928"/>
      <c r="BD64" s="528"/>
      <c r="BE64" s="528"/>
      <c r="BF64" s="1042" t="s">
        <v>1140</v>
      </c>
    </row>
    <row customHeight="1" ht="14.625" hidden="1">
      <c r="A65" s="1240"/>
      <c r="B65" s="1223"/>
      <c r="C65" s="1240"/>
      <c r="D65" s="1240"/>
      <c r="E65" s="633">
        <v>15</v>
      </c>
      <c r="F65" s="50" cm="1" t="str">
        <f t="array" ref="F65:F65">OFFSET(E65,-1,1)</f>
        <v>0</v>
      </c>
      <c r="G65" s="100" t="s">
        <v>800</v>
      </c>
      <c r="H65" s="1240"/>
      <c r="I65" s="1240"/>
      <c r="J65" s="1240"/>
      <c r="K65" s="1240"/>
      <c r="L65" s="1240"/>
      <c r="M65" s="1240"/>
      <c r="N65" s="1240"/>
      <c r="O65" s="1240"/>
      <c r="P65" s="1240"/>
      <c r="Q65" s="1240"/>
      <c r="R65" s="1240"/>
      <c r="S65" s="1240"/>
      <c r="T65" s="468" cm="1" t="str">
        <f t="array" ref="T65:T65">T64</f>
        <v>false</v>
      </c>
      <c r="U65" s="1240"/>
      <c r="V65" s="1240"/>
      <c r="W65" s="1240"/>
      <c r="X65" s="1559"/>
      <c r="Y65" s="1240"/>
      <c r="Z65" s="1560"/>
      <c r="AA65" s="1240"/>
      <c r="AB65" s="84" t="s">
        <v>704</v>
      </c>
      <c r="AC65" s="210" t="s">
        <v>1068</v>
      </c>
      <c r="AD65" s="85" t="s">
        <v>936</v>
      </c>
      <c r="AE65" s="3109"/>
      <c r="AF65" s="3109"/>
      <c r="AG65" s="3109"/>
      <c r="AH65" s="3109"/>
      <c r="AI65" s="3109"/>
      <c r="AJ65" s="3109"/>
      <c r="AK65" s="3109"/>
      <c r="AL65" s="3109"/>
      <c r="AM65" s="3109"/>
      <c r="AN65" s="3109"/>
      <c r="AO65" s="3109"/>
      <c r="AP65" s="3109"/>
      <c r="AQ65" s="3109"/>
      <c r="AR65" s="3109"/>
      <c r="AS65" s="3109"/>
      <c r="AT65" s="3109"/>
      <c r="AU65" s="3109"/>
      <c r="AV65" s="3109"/>
      <c r="AW65" s="3109"/>
      <c r="AX65" s="3109"/>
      <c r="AY65" s="3109"/>
      <c r="AZ65" s="3109"/>
      <c r="BA65" s="3109"/>
      <c r="BB65" s="3109"/>
      <c r="BC65" s="1928"/>
      <c r="BD65" s="1240"/>
      <c r="BE65" s="1240"/>
      <c r="BF65" s="1042" t="s">
        <v>1141</v>
      </c>
    </row>
    <row customHeight="1" ht="14.625" hidden="1">
      <c r="A66" s="1240"/>
      <c r="B66" s="1223"/>
      <c r="C66" s="1240"/>
      <c r="D66" s="1240"/>
      <c r="E66" s="633">
        <v>15</v>
      </c>
      <c r="F66" s="50" cm="1" t="str">
        <f t="array" ref="F66:F66">OFFSET(E66,-1,1)</f>
        <v>0</v>
      </c>
      <c r="G66" s="100" t="s">
        <v>803</v>
      </c>
      <c r="H66" s="1240"/>
      <c r="I66" s="1240"/>
      <c r="J66" s="1240"/>
      <c r="K66" s="1240"/>
      <c r="L66" s="1240"/>
      <c r="M66" s="1240"/>
      <c r="N66" s="1240"/>
      <c r="O66" s="1240"/>
      <c r="P66" s="1240"/>
      <c r="Q66" s="1240"/>
      <c r="R66" s="1240"/>
      <c r="S66" s="1240"/>
      <c r="T66" s="468" cm="1" t="str">
        <f t="array" ref="T66:T66">T65</f>
        <v>false</v>
      </c>
      <c r="U66" s="1240"/>
      <c r="V66" s="1240"/>
      <c r="W66" s="1240"/>
      <c r="X66" s="1559"/>
      <c r="Y66" s="1240"/>
      <c r="Z66" s="1560"/>
      <c r="AA66" s="1240"/>
      <c r="AB66" s="84" t="s">
        <v>1142</v>
      </c>
      <c r="AC66" s="210" t="s">
        <v>1071</v>
      </c>
      <c r="AD66" s="85" t="s">
        <v>936</v>
      </c>
      <c r="AE66" s="3109"/>
      <c r="AF66" s="3109"/>
      <c r="AG66" s="3109"/>
      <c r="AH66" s="3109"/>
      <c r="AI66" s="3109"/>
      <c r="AJ66" s="3109"/>
      <c r="AK66" s="3109"/>
      <c r="AL66" s="3109"/>
      <c r="AM66" s="3109"/>
      <c r="AN66" s="3109"/>
      <c r="AO66" s="3109"/>
      <c r="AP66" s="3109"/>
      <c r="AQ66" s="3109"/>
      <c r="AR66" s="3109"/>
      <c r="AS66" s="3109"/>
      <c r="AT66" s="3109"/>
      <c r="AU66" s="3109"/>
      <c r="AV66" s="3109"/>
      <c r="AW66" s="3109"/>
      <c r="AX66" s="3109"/>
      <c r="AY66" s="3109"/>
      <c r="AZ66" s="3109"/>
      <c r="BA66" s="3109"/>
      <c r="BB66" s="3109"/>
      <c r="BC66" s="1928"/>
      <c r="BD66" s="1240"/>
      <c r="BE66" s="1240"/>
      <c r="BF66" s="1042" t="s">
        <v>1143</v>
      </c>
    </row>
    <row customHeight="1" ht="14.625" hidden="1">
      <c r="A67" s="1240"/>
      <c r="B67" s="1223"/>
      <c r="C67" s="1240"/>
      <c r="D67" s="1240"/>
      <c r="E67" s="633">
        <v>15</v>
      </c>
      <c r="F67" s="50" cm="1" t="str">
        <f t="array" ref="F67:F67">OFFSET(E67,-1,1)</f>
        <v>0</v>
      </c>
      <c r="G67" s="100" t="s">
        <v>1144</v>
      </c>
      <c r="H67" s="1240"/>
      <c r="I67" s="1240"/>
      <c r="J67" s="1240"/>
      <c r="K67" s="1240"/>
      <c r="L67" s="1240"/>
      <c r="M67" s="1240"/>
      <c r="N67" s="1240"/>
      <c r="O67" s="1240"/>
      <c r="P67" s="1240"/>
      <c r="Q67" s="1240"/>
      <c r="R67" s="1240"/>
      <c r="S67" s="1240"/>
      <c r="T67" s="468" cm="1" t="str">
        <f t="array" ref="T67:T67">T66</f>
        <v>false</v>
      </c>
      <c r="U67" s="1240"/>
      <c r="V67" s="1240"/>
      <c r="W67" s="1240"/>
      <c r="X67" s="1559"/>
      <c r="Y67" s="1240"/>
      <c r="Z67" s="1560"/>
      <c r="AA67" s="1240"/>
      <c r="AB67" s="84" t="s">
        <v>1145</v>
      </c>
      <c r="AC67" s="210" t="s">
        <v>1074</v>
      </c>
      <c r="AD67" s="85" t="s">
        <v>936</v>
      </c>
      <c r="AE67" s="3109"/>
      <c r="AF67" s="3109"/>
      <c r="AG67" s="3109"/>
      <c r="AH67" s="3109"/>
      <c r="AI67" s="3109"/>
      <c r="AJ67" s="3109"/>
      <c r="AK67" s="3109"/>
      <c r="AL67" s="3109"/>
      <c r="AM67" s="3109"/>
      <c r="AN67" s="3109"/>
      <c r="AO67" s="3109"/>
      <c r="AP67" s="3109"/>
      <c r="AQ67" s="3109"/>
      <c r="AR67" s="3109"/>
      <c r="AS67" s="3109"/>
      <c r="AT67" s="3109"/>
      <c r="AU67" s="3109"/>
      <c r="AV67" s="3109"/>
      <c r="AW67" s="3109"/>
      <c r="AX67" s="3109"/>
      <c r="AY67" s="3109"/>
      <c r="AZ67" s="3109"/>
      <c r="BA67" s="3109"/>
      <c r="BB67" s="3109"/>
      <c r="BC67" s="1928"/>
      <c r="BD67" s="1240"/>
      <c r="BE67" s="1240"/>
      <c r="BF67" s="1042" t="s">
        <v>1146</v>
      </c>
    </row>
    <row customHeight="1" ht="14.625" hidden="1">
      <c r="A68" s="1240"/>
      <c r="B68" s="1223"/>
      <c r="C68" s="1240"/>
      <c r="D68" s="1240"/>
      <c r="E68" s="633">
        <v>15</v>
      </c>
      <c r="F68" s="50" cm="1" t="str">
        <f t="array" ref="F68:F68">OFFSET(E68,-1,1)</f>
        <v>0</v>
      </c>
      <c r="G68" s="100" t="s">
        <v>1147</v>
      </c>
      <c r="H68" s="1240"/>
      <c r="I68" s="1240"/>
      <c r="J68" s="1240"/>
      <c r="K68" s="1240"/>
      <c r="L68" s="1240"/>
      <c r="M68" s="1240"/>
      <c r="N68" s="1240"/>
      <c r="O68" s="1240"/>
      <c r="P68" s="1240"/>
      <c r="Q68" s="1240"/>
      <c r="R68" s="1240"/>
      <c r="S68" s="1240"/>
      <c r="T68" s="468" cm="1" t="str">
        <f t="array" ref="T68:T68">T67</f>
        <v>false</v>
      </c>
      <c r="U68" s="1240"/>
      <c r="V68" s="1240"/>
      <c r="W68" s="1240"/>
      <c r="X68" s="1559"/>
      <c r="Y68" s="1240"/>
      <c r="Z68" s="1560"/>
      <c r="AA68" s="1240"/>
      <c r="AB68" s="84" t="s">
        <v>1148</v>
      </c>
      <c r="AC68" s="210" t="s">
        <v>1077</v>
      </c>
      <c r="AD68" s="85" t="s">
        <v>936</v>
      </c>
      <c r="AE68" s="3109"/>
      <c r="AF68" s="3109"/>
      <c r="AG68" s="3109"/>
      <c r="AH68" s="3109"/>
      <c r="AI68" s="3109"/>
      <c r="AJ68" s="3109"/>
      <c r="AK68" s="3109"/>
      <c r="AL68" s="3109"/>
      <c r="AM68" s="3109"/>
      <c r="AN68" s="3109"/>
      <c r="AO68" s="3109"/>
      <c r="AP68" s="3109"/>
      <c r="AQ68" s="3109"/>
      <c r="AR68" s="3109"/>
      <c r="AS68" s="3109"/>
      <c r="AT68" s="3109"/>
      <c r="AU68" s="3109"/>
      <c r="AV68" s="3109"/>
      <c r="AW68" s="3109"/>
      <c r="AX68" s="3109"/>
      <c r="AY68" s="3109"/>
      <c r="AZ68" s="3109"/>
      <c r="BA68" s="3109"/>
      <c r="BB68" s="3109"/>
      <c r="BC68" s="1928"/>
      <c r="BD68" s="1240"/>
      <c r="BE68" s="1240"/>
      <c r="BF68" s="1042" t="s">
        <v>1149</v>
      </c>
    </row>
    <row customHeight="1" ht="14.625" hidden="1">
      <c r="A69" s="1240"/>
      <c r="B69" s="1223"/>
      <c r="C69" s="1240"/>
      <c r="D69" s="1240"/>
      <c r="E69" s="633">
        <v>15</v>
      </c>
      <c r="F69" s="50" cm="1" t="str">
        <f t="array" ref="F69:F69">OFFSET(E69,-1,1)</f>
        <v>0</v>
      </c>
      <c r="G69" s="100" t="s">
        <v>1150</v>
      </c>
      <c r="H69" s="1240"/>
      <c r="I69" s="1240"/>
      <c r="J69" s="1240"/>
      <c r="K69" s="1240"/>
      <c r="L69" s="1240"/>
      <c r="M69" s="1240"/>
      <c r="N69" s="1240"/>
      <c r="O69" s="1240"/>
      <c r="P69" s="1240"/>
      <c r="Q69" s="1240"/>
      <c r="R69" s="1240"/>
      <c r="S69" s="1240"/>
      <c r="T69" s="468" cm="1" t="str">
        <f t="array" ref="T69:T69">T68</f>
        <v>false</v>
      </c>
      <c r="U69" s="1240"/>
      <c r="V69" s="1240"/>
      <c r="W69" s="1240"/>
      <c r="X69" s="1559"/>
      <c r="Y69" s="1240"/>
      <c r="Z69" s="1560"/>
      <c r="AA69" s="1240"/>
      <c r="AB69" s="84" t="s">
        <v>1151</v>
      </c>
      <c r="AC69" s="210" t="s">
        <v>1081</v>
      </c>
      <c r="AD69" s="85" t="s">
        <v>936</v>
      </c>
      <c r="AE69" s="3109"/>
      <c r="AF69" s="3109"/>
      <c r="AG69" s="3109"/>
      <c r="AH69" s="3109"/>
      <c r="AI69" s="3109"/>
      <c r="AJ69" s="3109"/>
      <c r="AK69" s="3109"/>
      <c r="AL69" s="3109"/>
      <c r="AM69" s="3109"/>
      <c r="AN69" s="3109"/>
      <c r="AO69" s="3109"/>
      <c r="AP69" s="3109"/>
      <c r="AQ69" s="3109"/>
      <c r="AR69" s="3109"/>
      <c r="AS69" s="3109"/>
      <c r="AT69" s="3109"/>
      <c r="AU69" s="3109"/>
      <c r="AV69" s="3109"/>
      <c r="AW69" s="3109"/>
      <c r="AX69" s="3109"/>
      <c r="AY69" s="3109"/>
      <c r="AZ69" s="3109"/>
      <c r="BA69" s="3109"/>
      <c r="BB69" s="3109"/>
      <c r="BC69" s="1928"/>
      <c r="BD69" s="1240"/>
      <c r="BE69" s="1240"/>
      <c r="BF69" s="1042" t="s">
        <v>1152</v>
      </c>
    </row>
    <row s="528" customFormat="1" customHeight="1" ht="14.625" hidden="1">
      <c r="A70" s="528"/>
      <c r="B70" s="433"/>
      <c r="C70" s="528"/>
      <c r="D70" s="528"/>
      <c r="E70" s="633">
        <v>15</v>
      </c>
      <c r="F70" s="50" cm="1" t="str">
        <f t="array" ref="F70:F70">OFFSET(E70,-1,1)</f>
        <v>0</v>
      </c>
      <c r="G70" s="100" t="s">
        <v>685</v>
      </c>
      <c r="H70" s="528"/>
      <c r="I70" s="528"/>
      <c r="J70" s="528"/>
      <c r="K70" s="528"/>
      <c r="L70" s="528"/>
      <c r="M70" s="528"/>
      <c r="N70" s="528"/>
      <c r="O70" s="528"/>
      <c r="P70" s="528"/>
      <c r="Q70" s="528"/>
      <c r="R70" s="528"/>
      <c r="S70" s="528"/>
      <c r="T70" s="468" cm="1" t="str">
        <f t="array" ref="T70:T70">T69</f>
        <v>false</v>
      </c>
      <c r="U70" s="528"/>
      <c r="V70" s="528"/>
      <c r="W70" s="528"/>
      <c r="X70" s="1559"/>
      <c r="Y70" s="528"/>
      <c r="Z70" s="1560"/>
      <c r="AA70" s="528"/>
      <c r="AB70" s="207">
        <v>8</v>
      </c>
      <c r="AC70" s="208" t="s">
        <v>1153</v>
      </c>
      <c r="AD70" s="85" t="s">
        <v>936</v>
      </c>
      <c r="AE70" s="3107">
        <f>SUM(AE71:AE75)</f>
        <v>0</v>
      </c>
      <c r="AF70" s="3107">
        <f>SUM(AF71:AF75)</f>
        <v>0</v>
      </c>
      <c r="AG70" s="3107">
        <f>SUM(AG71:AG75)</f>
        <v>0</v>
      </c>
      <c r="AH70" s="3107">
        <f>SUM(AH71:AH75)</f>
        <v>0</v>
      </c>
      <c r="AI70" s="3107">
        <f>SUM(AI71:AI75)</f>
        <v>0</v>
      </c>
      <c r="AJ70" s="3107">
        <f>SUM(AJ71:AJ75)</f>
        <v>0</v>
      </c>
      <c r="AK70" s="3107">
        <f>SUM(AK71:AK75)</f>
        <v>0</v>
      </c>
      <c r="AL70" s="3107">
        <f>SUM(AL71:AL75)</f>
        <v>0</v>
      </c>
      <c r="AM70" s="3107">
        <f>SUM(AM71:AM75)</f>
        <v>0</v>
      </c>
      <c r="AN70" s="3107">
        <f>SUM(AN71:AN75)</f>
        <v>0</v>
      </c>
      <c r="AO70" s="3107">
        <f>SUM(AO71:AO75)</f>
        <v>0</v>
      </c>
      <c r="AP70" s="3107">
        <f>SUM(AP71:AP75)</f>
        <v>0</v>
      </c>
      <c r="AQ70" s="3107">
        <f>SUM(AQ71:AQ75)</f>
        <v>0</v>
      </c>
      <c r="AR70" s="3107">
        <f>SUM(AR71:AR75)</f>
        <v>0</v>
      </c>
      <c r="AS70" s="3107">
        <f>SUM(AS71:AS75)</f>
        <v>0</v>
      </c>
      <c r="AT70" s="3107">
        <f>SUM(AT71:AT75)</f>
        <v>0</v>
      </c>
      <c r="AU70" s="3107">
        <f>SUM(AU71:AU75)</f>
        <v>0</v>
      </c>
      <c r="AV70" s="3107">
        <f>SUM(AV71:AV75)</f>
        <v>0</v>
      </c>
      <c r="AW70" s="3107">
        <f>SUM(AW71:AW75)</f>
        <v>0</v>
      </c>
      <c r="AX70" s="3107">
        <f>SUM(AX71:AX75)</f>
        <v>0</v>
      </c>
      <c r="AY70" s="3107">
        <f>SUM(AY71:AY75)</f>
        <v>0</v>
      </c>
      <c r="AZ70" s="3107">
        <f>SUM(AZ71:AZ75)</f>
        <v>0</v>
      </c>
      <c r="BA70" s="3107">
        <f>SUM(BA71:BA75)</f>
        <v>0</v>
      </c>
      <c r="BB70" s="3107">
        <f>SUM(BB71:BB75)</f>
        <v>0</v>
      </c>
      <c r="BC70" s="1928"/>
      <c r="BD70" s="528"/>
      <c r="BE70" s="528"/>
      <c r="BF70" s="1042" t="s">
        <v>1154</v>
      </c>
    </row>
    <row customHeight="1" ht="14.625" hidden="1">
      <c r="A71" s="1240"/>
      <c r="B71" s="1223"/>
      <c r="C71" s="1240"/>
      <c r="D71" s="1240"/>
      <c r="E71" s="633">
        <v>15</v>
      </c>
      <c r="F71" s="50" cm="1" t="str">
        <f t="array" ref="F71:F71">OFFSET(E71,-1,1)</f>
        <v>0</v>
      </c>
      <c r="G71" s="100" t="s">
        <v>688</v>
      </c>
      <c r="H71" s="1240"/>
      <c r="I71" s="1240"/>
      <c r="J71" s="1240"/>
      <c r="K71" s="1240"/>
      <c r="L71" s="1240"/>
      <c r="M71" s="1240"/>
      <c r="N71" s="1240"/>
      <c r="O71" s="1240"/>
      <c r="P71" s="1240"/>
      <c r="Q71" s="1240"/>
      <c r="R71" s="1240"/>
      <c r="S71" s="1240"/>
      <c r="T71" s="468" cm="1" t="str">
        <f t="array" ref="T71:T71">T70</f>
        <v>false</v>
      </c>
      <c r="U71" s="1240"/>
      <c r="V71" s="1240"/>
      <c r="W71" s="1240"/>
      <c r="X71" s="1559"/>
      <c r="Y71" s="1240"/>
      <c r="Z71" s="1560"/>
      <c r="AA71" s="1240"/>
      <c r="AB71" s="84" t="s">
        <v>711</v>
      </c>
      <c r="AC71" s="210" t="s">
        <v>1068</v>
      </c>
      <c r="AD71" s="85" t="s">
        <v>936</v>
      </c>
      <c r="AE71" s="3109"/>
      <c r="AF71" s="3109"/>
      <c r="AG71" s="3109"/>
      <c r="AH71" s="3109"/>
      <c r="AI71" s="3109"/>
      <c r="AJ71" s="3109"/>
      <c r="AK71" s="3109"/>
      <c r="AL71" s="3109"/>
      <c r="AM71" s="3109"/>
      <c r="AN71" s="3109"/>
      <c r="AO71" s="3109"/>
      <c r="AP71" s="3109"/>
      <c r="AQ71" s="3109"/>
      <c r="AR71" s="3109"/>
      <c r="AS71" s="3109"/>
      <c r="AT71" s="3109"/>
      <c r="AU71" s="3109"/>
      <c r="AV71" s="3109"/>
      <c r="AW71" s="3109"/>
      <c r="AX71" s="3109"/>
      <c r="AY71" s="3109"/>
      <c r="AZ71" s="3109"/>
      <c r="BA71" s="3109"/>
      <c r="BB71" s="3109"/>
      <c r="BC71" s="1928"/>
      <c r="BD71" s="1240"/>
      <c r="BE71" s="1240"/>
      <c r="BF71" s="1042" t="s">
        <v>1155</v>
      </c>
    </row>
    <row customHeight="1" ht="14.625" hidden="1">
      <c r="A72" s="1240"/>
      <c r="B72" s="1223"/>
      <c r="C72" s="1240"/>
      <c r="D72" s="1240"/>
      <c r="E72" s="633">
        <v>15</v>
      </c>
      <c r="F72" s="50" cm="1" t="str">
        <f t="array" ref="F72:F72">OFFSET(E72,-1,1)</f>
        <v>0</v>
      </c>
      <c r="G72" s="100" t="s">
        <v>692</v>
      </c>
      <c r="H72" s="1240"/>
      <c r="I72" s="1240"/>
      <c r="J72" s="1240"/>
      <c r="K72" s="1240"/>
      <c r="L72" s="1240"/>
      <c r="M72" s="1240"/>
      <c r="N72" s="1240"/>
      <c r="O72" s="1240"/>
      <c r="P72" s="1240"/>
      <c r="Q72" s="1240"/>
      <c r="R72" s="1240"/>
      <c r="S72" s="1240"/>
      <c r="T72" s="468" cm="1" t="str">
        <f t="array" ref="T72:T72">T71</f>
        <v>false</v>
      </c>
      <c r="U72" s="1240"/>
      <c r="V72" s="1240"/>
      <c r="W72" s="1240"/>
      <c r="X72" s="1559"/>
      <c r="Y72" s="1240"/>
      <c r="Z72" s="1560"/>
      <c r="AA72" s="1240"/>
      <c r="AB72" s="84" t="s">
        <v>728</v>
      </c>
      <c r="AC72" s="210" t="s">
        <v>1071</v>
      </c>
      <c r="AD72" s="85" t="s">
        <v>936</v>
      </c>
      <c r="AE72" s="3109"/>
      <c r="AF72" s="3109"/>
      <c r="AG72" s="3109"/>
      <c r="AH72" s="3109"/>
      <c r="AI72" s="3109"/>
      <c r="AJ72" s="3109"/>
      <c r="AK72" s="3109"/>
      <c r="AL72" s="3109"/>
      <c r="AM72" s="3109"/>
      <c r="AN72" s="3109"/>
      <c r="AO72" s="3109"/>
      <c r="AP72" s="3109"/>
      <c r="AQ72" s="3109"/>
      <c r="AR72" s="3109"/>
      <c r="AS72" s="3109"/>
      <c r="AT72" s="3109"/>
      <c r="AU72" s="3109"/>
      <c r="AV72" s="3109"/>
      <c r="AW72" s="3109"/>
      <c r="AX72" s="3109"/>
      <c r="AY72" s="3109"/>
      <c r="AZ72" s="3109"/>
      <c r="BA72" s="3109"/>
      <c r="BB72" s="3109"/>
      <c r="BC72" s="1928"/>
      <c r="BD72" s="1240"/>
      <c r="BE72" s="1240"/>
      <c r="BF72" s="1042" t="s">
        <v>1156</v>
      </c>
    </row>
    <row customHeight="1" ht="14.625" hidden="1">
      <c r="A73" s="1240"/>
      <c r="B73" s="1223"/>
      <c r="C73" s="1240"/>
      <c r="D73" s="1240"/>
      <c r="E73" s="633">
        <v>15</v>
      </c>
      <c r="F73" s="50" cm="1" t="str">
        <f t="array" ref="F73:F73">OFFSET(E73,-1,1)</f>
        <v>0</v>
      </c>
      <c r="G73" s="100" t="s">
        <v>696</v>
      </c>
      <c r="H73" s="1240"/>
      <c r="I73" s="1240"/>
      <c r="J73" s="1240"/>
      <c r="K73" s="1240"/>
      <c r="L73" s="1240"/>
      <c r="M73" s="1240"/>
      <c r="N73" s="1240"/>
      <c r="O73" s="1240"/>
      <c r="P73" s="1240"/>
      <c r="Q73" s="1240"/>
      <c r="R73" s="1240"/>
      <c r="S73" s="1240"/>
      <c r="T73" s="468" cm="1" t="str">
        <f t="array" ref="T73:T73">T72</f>
        <v>false</v>
      </c>
      <c r="U73" s="1240"/>
      <c r="V73" s="1240"/>
      <c r="W73" s="1240"/>
      <c r="X73" s="1559"/>
      <c r="Y73" s="1240"/>
      <c r="Z73" s="1560"/>
      <c r="AA73" s="1240"/>
      <c r="AB73" s="84" t="s">
        <v>740</v>
      </c>
      <c r="AC73" s="210" t="s">
        <v>1074</v>
      </c>
      <c r="AD73" s="85" t="s">
        <v>936</v>
      </c>
      <c r="AE73" s="3109"/>
      <c r="AF73" s="3109"/>
      <c r="AG73" s="3109"/>
      <c r="AH73" s="3109"/>
      <c r="AI73" s="3109"/>
      <c r="AJ73" s="3109"/>
      <c r="AK73" s="3109"/>
      <c r="AL73" s="3109"/>
      <c r="AM73" s="3109"/>
      <c r="AN73" s="3109"/>
      <c r="AO73" s="3109"/>
      <c r="AP73" s="3109"/>
      <c r="AQ73" s="3109"/>
      <c r="AR73" s="3109"/>
      <c r="AS73" s="3109"/>
      <c r="AT73" s="3109"/>
      <c r="AU73" s="3109"/>
      <c r="AV73" s="3109"/>
      <c r="AW73" s="3109"/>
      <c r="AX73" s="3109"/>
      <c r="AY73" s="3109"/>
      <c r="AZ73" s="3109"/>
      <c r="BA73" s="3109"/>
      <c r="BB73" s="3109"/>
      <c r="BC73" s="1928"/>
      <c r="BD73" s="1240"/>
      <c r="BE73" s="1240"/>
      <c r="BF73" s="1042" t="s">
        <v>1157</v>
      </c>
    </row>
    <row customHeight="1" ht="14.625" hidden="1">
      <c r="A74" s="1240"/>
      <c r="B74" s="1223"/>
      <c r="C74" s="1240"/>
      <c r="D74" s="1240"/>
      <c r="E74" s="633">
        <v>15</v>
      </c>
      <c r="F74" s="50" cm="1" t="str">
        <f t="array" ref="F74:F74">OFFSET(E74,-1,1)</f>
        <v>0</v>
      </c>
      <c r="G74" s="100" t="s">
        <v>1158</v>
      </c>
      <c r="H74" s="1240"/>
      <c r="I74" s="1240"/>
      <c r="J74" s="1240"/>
      <c r="K74" s="1240"/>
      <c r="L74" s="1240"/>
      <c r="M74" s="1240"/>
      <c r="N74" s="1240"/>
      <c r="O74" s="1240"/>
      <c r="P74" s="1240"/>
      <c r="Q74" s="1240"/>
      <c r="R74" s="1240"/>
      <c r="S74" s="1240"/>
      <c r="T74" s="468" cm="1" t="str">
        <f t="array" ref="T74:T74">T73</f>
        <v>false</v>
      </c>
      <c r="U74" s="1240"/>
      <c r="V74" s="1240"/>
      <c r="W74" s="1240"/>
      <c r="X74" s="1559"/>
      <c r="Y74" s="1240"/>
      <c r="Z74" s="1560"/>
      <c r="AA74" s="1240"/>
      <c r="AB74" s="84" t="s">
        <v>775</v>
      </c>
      <c r="AC74" s="210" t="s">
        <v>1077</v>
      </c>
      <c r="AD74" s="85" t="s">
        <v>936</v>
      </c>
      <c r="AE74" s="3109"/>
      <c r="AF74" s="3109"/>
      <c r="AG74" s="3109"/>
      <c r="AH74" s="3109"/>
      <c r="AI74" s="3109"/>
      <c r="AJ74" s="3109"/>
      <c r="AK74" s="3109"/>
      <c r="AL74" s="3109"/>
      <c r="AM74" s="3109"/>
      <c r="AN74" s="3109"/>
      <c r="AO74" s="3109"/>
      <c r="AP74" s="3109"/>
      <c r="AQ74" s="3109"/>
      <c r="AR74" s="3109"/>
      <c r="AS74" s="3109"/>
      <c r="AT74" s="3109"/>
      <c r="AU74" s="3109"/>
      <c r="AV74" s="3109"/>
      <c r="AW74" s="3109"/>
      <c r="AX74" s="3109"/>
      <c r="AY74" s="3109"/>
      <c r="AZ74" s="3109"/>
      <c r="BA74" s="3109"/>
      <c r="BB74" s="3109"/>
      <c r="BC74" s="1928"/>
      <c r="BD74" s="1240"/>
      <c r="BE74" s="1240"/>
      <c r="BF74" s="1042" t="s">
        <v>1159</v>
      </c>
    </row>
    <row customHeight="1" ht="14.625" hidden="1">
      <c r="A75" s="1240"/>
      <c r="B75" s="1223"/>
      <c r="C75" s="1240"/>
      <c r="D75" s="1240"/>
      <c r="E75" s="633">
        <v>15</v>
      </c>
      <c r="F75" s="50" cm="1" t="str">
        <f t="array" ref="F75:F75">OFFSET(E75,-1,1)</f>
        <v>0</v>
      </c>
      <c r="G75" s="100" t="s">
        <v>1160</v>
      </c>
      <c r="H75" s="1240"/>
      <c r="I75" s="1240"/>
      <c r="J75" s="1240"/>
      <c r="K75" s="1240"/>
      <c r="L75" s="1240"/>
      <c r="M75" s="1240"/>
      <c r="N75" s="1240"/>
      <c r="O75" s="1240"/>
      <c r="P75" s="1240"/>
      <c r="Q75" s="1240"/>
      <c r="R75" s="1240"/>
      <c r="S75" s="1240"/>
      <c r="T75" s="468" cm="1" t="str">
        <f t="array" ref="T75:T75">T74</f>
        <v>false</v>
      </c>
      <c r="U75" s="1240"/>
      <c r="V75" s="1240"/>
      <c r="W75" s="1240"/>
      <c r="X75" s="1559"/>
      <c r="Y75" s="1240"/>
      <c r="Z75" s="1560"/>
      <c r="AA75" s="1240"/>
      <c r="AB75" s="84" t="s">
        <v>778</v>
      </c>
      <c r="AC75" s="210" t="s">
        <v>1081</v>
      </c>
      <c r="AD75" s="85" t="s">
        <v>936</v>
      </c>
      <c r="AE75" s="3109"/>
      <c r="AF75" s="3109"/>
      <c r="AG75" s="3109"/>
      <c r="AH75" s="3109"/>
      <c r="AI75" s="3109"/>
      <c r="AJ75" s="3109"/>
      <c r="AK75" s="3109"/>
      <c r="AL75" s="3109"/>
      <c r="AM75" s="3109"/>
      <c r="AN75" s="3109"/>
      <c r="AO75" s="3109"/>
      <c r="AP75" s="3109"/>
      <c r="AQ75" s="3109"/>
      <c r="AR75" s="3109"/>
      <c r="AS75" s="3109"/>
      <c r="AT75" s="3109"/>
      <c r="AU75" s="3109"/>
      <c r="AV75" s="3109"/>
      <c r="AW75" s="3109"/>
      <c r="AX75" s="3109"/>
      <c r="AY75" s="3109"/>
      <c r="AZ75" s="3109"/>
      <c r="BA75" s="3109"/>
      <c r="BB75" s="3109"/>
      <c r="BC75" s="1928"/>
      <c r="BD75" s="1240"/>
      <c r="BE75" s="1240"/>
      <c r="BF75" s="1042" t="s">
        <v>1161</v>
      </c>
    </row>
    <row s="1656" customFormat="1" customHeight="1" ht="25.171875">
      <c r="A76" s="1240"/>
      <c r="B76" s="1223"/>
      <c r="C76" s="1240"/>
      <c r="D76" s="1240"/>
      <c r="E76" s="633">
        <v>15</v>
      </c>
      <c r="F76" s="726" cm="1" t="str">
        <f t="array" ref="F76:F76">X76</f>
        <v>1</v>
      </c>
      <c r="G76" s="1240"/>
      <c r="H76" s="1240"/>
      <c r="I76" s="1240"/>
      <c r="J76" s="1240"/>
      <c r="K76" s="1240"/>
      <c r="L76" s="1240"/>
      <c r="M76" s="1240"/>
      <c r="N76" s="1240"/>
      <c r="O76" s="1240"/>
      <c r="P76" s="1240"/>
      <c r="Q76" s="1240"/>
      <c r="R76" s="1240"/>
      <c r="S76" s="1240"/>
      <c r="T76" s="468">
        <f>X76&gt;0</f>
        <v>1</v>
      </c>
      <c r="U76" s="1240"/>
      <c r="V76" s="100" cm="1" t="str">
        <f t="array" ref="V76:V76">ЭЭ!$AB$49</f>
        <v>Тариф 1 (Водоснабжение) - тариф на питьевую воду (Оказание услуг на территории: город Ленинск-Кузнецкий (ОКТМО: 32719000) - г Ленинск-Кузнецкий, г Полысаево)</v>
      </c>
      <c r="W76" s="1240"/>
      <c r="X76" s="1559" t="s">
        <v>290</v>
      </c>
      <c r="Y76" s="1240"/>
      <c r="Z76" s="1560"/>
      <c r="AA76" s="1240"/>
      <c r="AB76" s="179" cm="1" t="str">
        <f t="array" ref="AB76:AB76">ЭЭ!$AB$49</f>
        <v>Тариф 1 (Водоснабжение) - тариф на питьевую воду (Оказание услуг на территории: город Ленинск-Кузнецкий (ОКТМО: 32719000) - г Ленинск-Кузнецкий, г Полысаево)</v>
      </c>
      <c r="AC76" s="176"/>
      <c r="AD76" s="170"/>
      <c r="AE76" s="170"/>
      <c r="AF76" s="170"/>
      <c r="AG76" s="170"/>
      <c r="AH76" s="170"/>
      <c r="AI76" s="170"/>
      <c r="AJ76" s="170"/>
      <c r="AK76" s="170"/>
      <c r="AL76" s="170"/>
      <c r="AM76" s="170"/>
      <c r="AN76" s="170"/>
      <c r="AO76" s="170"/>
      <c r="AP76" s="170"/>
      <c r="AQ76" s="170"/>
      <c r="AR76" s="170"/>
      <c r="AS76" s="170"/>
      <c r="AT76" s="170"/>
      <c r="AU76" s="170"/>
      <c r="AV76" s="170"/>
      <c r="AW76" s="170"/>
      <c r="AX76" s="170"/>
      <c r="AY76" s="170"/>
      <c r="AZ76" s="170"/>
      <c r="BA76" s="170"/>
      <c r="BB76" s="170"/>
      <c r="BC76" s="206"/>
      <c r="BD76" s="1240"/>
      <c r="BE76" s="1240"/>
      <c r="BF76" s="1184"/>
    </row>
    <row s="528" customFormat="1" customHeight="1" ht="53.671875">
      <c r="A77" s="528"/>
      <c r="B77" s="433"/>
      <c r="C77" s="528"/>
      <c r="D77" s="528"/>
      <c r="E77" s="675">
        <v>22.5</v>
      </c>
      <c r="F77" s="50" cm="1" t="str">
        <f t="array" ref="F77:F77">OFFSET(E77,-1,1)</f>
        <v>1</v>
      </c>
      <c r="G77" s="100" t="s">
        <v>344</v>
      </c>
      <c r="H77" s="528"/>
      <c r="I77" s="528"/>
      <c r="J77" s="528"/>
      <c r="K77" s="528"/>
      <c r="L77" s="528"/>
      <c r="M77" s="528"/>
      <c r="N77" s="528"/>
      <c r="O77" s="528"/>
      <c r="P77" s="528"/>
      <c r="Q77" s="528"/>
      <c r="R77" s="528"/>
      <c r="S77" s="528"/>
      <c r="T77" s="468" cm="1" t="str">
        <f t="array" ref="T77:T77">T76</f>
        <v>true</v>
      </c>
      <c r="U77" s="528"/>
      <c r="V77" s="528"/>
      <c r="W77" s="528"/>
      <c r="X77" s="1559"/>
      <c r="Y77" s="528"/>
      <c r="Z77" s="1560"/>
      <c r="AA77" s="528"/>
      <c r="AB77" s="207">
        <v>1</v>
      </c>
      <c r="AC77" s="208" t="s">
        <v>1065</v>
      </c>
      <c r="AD77" s="85" t="s">
        <v>936</v>
      </c>
      <c r="AE77" s="1217">
        <v>85994.6</v>
      </c>
      <c r="AF77" s="1217">
        <f>SUM(AF78:AF82)</f>
        <v>20806.78598</v>
      </c>
      <c r="AG77" s="1217">
        <f>SUM(AG78:AG82)</f>
        <v>20806.78598</v>
      </c>
      <c r="AH77" s="1217">
        <v>72126.38598</v>
      </c>
      <c r="AI77" s="1217">
        <f>SUM(AI78:AI82)</f>
        <v>0</v>
      </c>
      <c r="AJ77" s="3107">
        <f>SUM(AJ78:AJ82)</f>
        <v>0</v>
      </c>
      <c r="AK77" s="3107">
        <f>SUM(AK78:AK82)</f>
        <v>0</v>
      </c>
      <c r="AL77" s="3107">
        <f>SUM(AL78:AL82)</f>
        <v>0</v>
      </c>
      <c r="AM77" s="3107">
        <f>SUM(AM78:AM82)</f>
        <v>0</v>
      </c>
      <c r="AN77" s="3107">
        <f>SUM(AN78:AN82)</f>
        <v>0</v>
      </c>
      <c r="AO77" s="3107">
        <f>SUM(AO78:AO82)</f>
        <v>0</v>
      </c>
      <c r="AP77" s="3107">
        <f>SUM(AP78:AP82)</f>
        <v>0</v>
      </c>
      <c r="AQ77" s="3107">
        <f>SUM(AQ78:AQ82)</f>
        <v>0</v>
      </c>
      <c r="AR77" s="3107">
        <f>SUM(AR78:AR82)</f>
        <v>0</v>
      </c>
      <c r="AS77" s="1217">
        <f>SUM(AS78:AS82)</f>
        <v>222768.90177</v>
      </c>
      <c r="AT77" s="3107">
        <f>SUM(AT78:AT82)</f>
        <v>0</v>
      </c>
      <c r="AU77" s="3107">
        <f>SUM(AU78:AU82)</f>
        <v>0</v>
      </c>
      <c r="AV77" s="3107">
        <f>SUM(AV78:AV82)</f>
        <v>0</v>
      </c>
      <c r="AW77" s="3107">
        <f>SUM(AW78:AW82)</f>
        <v>0</v>
      </c>
      <c r="AX77" s="3107">
        <f>SUM(AX78:AX82)</f>
        <v>0</v>
      </c>
      <c r="AY77" s="3107">
        <f>SUM(AY78:AY82)</f>
        <v>0</v>
      </c>
      <c r="AZ77" s="3107">
        <f>SUM(AZ78:AZ82)</f>
        <v>0</v>
      </c>
      <c r="BA77" s="3107">
        <f>SUM(BA78:BA82)</f>
        <v>0</v>
      </c>
      <c r="BB77" s="3107">
        <f>SUM(BB78:BB82)</f>
        <v>0</v>
      </c>
      <c r="BC77" s="196" t="s">
        <v>1162</v>
      </c>
      <c r="BD77" s="528"/>
      <c r="BE77" s="528"/>
      <c r="BF77" s="1042" t="s">
        <v>1066</v>
      </c>
    </row>
    <row s="1656" customFormat="1" customHeight="1" ht="76.171875">
      <c r="A78" s="1240"/>
      <c r="B78" s="1223"/>
      <c r="C78" s="1240"/>
      <c r="D78" s="1240"/>
      <c r="E78" s="633">
        <v>15</v>
      </c>
      <c r="F78" s="50" cm="1" t="str">
        <f t="array" ref="F78:F78">OFFSET(E78,-1,1)</f>
        <v>1</v>
      </c>
      <c r="G78" s="100" t="s">
        <v>566</v>
      </c>
      <c r="H78" s="1240"/>
      <c r="I78" s="1240"/>
      <c r="J78" s="1240"/>
      <c r="K78" s="1240"/>
      <c r="L78" s="1240"/>
      <c r="M78" s="1240"/>
      <c r="N78" s="1240"/>
      <c r="O78" s="1240"/>
      <c r="P78" s="1240"/>
      <c r="Q78" s="1240"/>
      <c r="R78" s="1240"/>
      <c r="S78" s="1240"/>
      <c r="T78" s="468" cm="1" t="str">
        <f t="array" ref="T78:T78">T77</f>
        <v>true</v>
      </c>
      <c r="U78" s="1240"/>
      <c r="V78" s="1240"/>
      <c r="W78" s="1240"/>
      <c r="X78" s="1559"/>
      <c r="Y78" s="1240"/>
      <c r="Z78" s="1560"/>
      <c r="AA78" s="1240"/>
      <c r="AB78" s="84" t="s">
        <v>1067</v>
      </c>
      <c r="AC78" s="210" t="s">
        <v>1068</v>
      </c>
      <c r="AD78" s="85" t="s">
        <v>936</v>
      </c>
      <c r="AE78" s="211">
        <v>0</v>
      </c>
      <c r="AF78" s="211">
        <v>933.695</v>
      </c>
      <c r="AG78" s="211"/>
      <c r="AH78" s="211">
        <v>933.695</v>
      </c>
      <c r="AI78" s="211"/>
      <c r="AJ78" s="3109"/>
      <c r="AK78" s="3109"/>
      <c r="AL78" s="3109"/>
      <c r="AM78" s="3109"/>
      <c r="AN78" s="3109"/>
      <c r="AO78" s="3109"/>
      <c r="AP78" s="3109"/>
      <c r="AQ78" s="3109"/>
      <c r="AR78" s="3109"/>
      <c r="AS78" s="211"/>
      <c r="AT78" s="3109"/>
      <c r="AU78" s="3109"/>
      <c r="AV78" s="3109"/>
      <c r="AW78" s="3109"/>
      <c r="AX78" s="3109"/>
      <c r="AY78" s="3109"/>
      <c r="AZ78" s="3109"/>
      <c r="BA78" s="3109"/>
      <c r="BB78" s="3109"/>
      <c r="BC78" s="196" t="s">
        <v>1163</v>
      </c>
      <c r="BD78" s="1240"/>
      <c r="BE78" s="1240"/>
      <c r="BF78" s="1042" t="s">
        <v>1069</v>
      </c>
    </row>
    <row s="1656" customFormat="1" customHeight="1" ht="67.171875">
      <c r="A79" s="1240"/>
      <c r="B79" s="1223"/>
      <c r="C79" s="1240"/>
      <c r="D79" s="1240"/>
      <c r="E79" s="633">
        <v>15</v>
      </c>
      <c r="F79" s="50" cm="1" t="str">
        <f t="array" ref="F79:F79">OFFSET(E79,-1,1)</f>
        <v>1</v>
      </c>
      <c r="G79" s="100" t="s">
        <v>570</v>
      </c>
      <c r="H79" s="1240"/>
      <c r="I79" s="1240"/>
      <c r="J79" s="1240"/>
      <c r="K79" s="1240"/>
      <c r="L79" s="1240"/>
      <c r="M79" s="1240"/>
      <c r="N79" s="1240"/>
      <c r="O79" s="1240"/>
      <c r="P79" s="1240"/>
      <c r="Q79" s="1240"/>
      <c r="R79" s="1240"/>
      <c r="S79" s="1240"/>
      <c r="T79" s="468" cm="1" t="str">
        <f t="array" ref="T79:T79">T78</f>
        <v>true</v>
      </c>
      <c r="U79" s="1240"/>
      <c r="V79" s="1240"/>
      <c r="W79" s="1240"/>
      <c r="X79" s="1559"/>
      <c r="Y79" s="1240"/>
      <c r="Z79" s="1560"/>
      <c r="AA79" s="1240"/>
      <c r="AB79" s="84" t="s">
        <v>1070</v>
      </c>
      <c r="AC79" s="210" t="s">
        <v>1071</v>
      </c>
      <c r="AD79" s="85" t="s">
        <v>936</v>
      </c>
      <c r="AE79" s="211">
        <v>67160</v>
      </c>
      <c r="AF79" s="211">
        <f>1539.37752+206.72298+1378.86883</f>
        <v>3124.96933</v>
      </c>
      <c r="AG79" s="211">
        <f>1539.37752+206.72298</f>
        <v>1746.1005</v>
      </c>
      <c r="AH79" s="211">
        <v>47527.16933</v>
      </c>
      <c r="AI79" s="211"/>
      <c r="AJ79" s="3109"/>
      <c r="AK79" s="3109"/>
      <c r="AL79" s="3109"/>
      <c r="AM79" s="3109"/>
      <c r="AN79" s="3109"/>
      <c r="AO79" s="3109"/>
      <c r="AP79" s="3109"/>
      <c r="AQ79" s="3109"/>
      <c r="AR79" s="3109"/>
      <c r="AS79" s="211" cm="1" t="str">
        <f t="array" ref="AS79:AS79">AG97</f>
        <v>2853.10177</v>
      </c>
      <c r="AT79" s="3109"/>
      <c r="AU79" s="3109"/>
      <c r="AV79" s="3109"/>
      <c r="AW79" s="3109"/>
      <c r="AX79" s="3109"/>
      <c r="AY79" s="3109"/>
      <c r="AZ79" s="3109"/>
      <c r="BA79" s="3109"/>
      <c r="BB79" s="3109"/>
      <c r="BC79" s="196" t="s">
        <v>1164</v>
      </c>
      <c r="BD79" s="1240"/>
      <c r="BE79" s="1240"/>
      <c r="BF79" s="1042" t="s">
        <v>1072</v>
      </c>
    </row>
    <row s="1656" customFormat="1" customHeight="1" ht="52.921875">
      <c r="A80" s="1240"/>
      <c r="B80" s="1223"/>
      <c r="C80" s="1240"/>
      <c r="D80" s="1240"/>
      <c r="E80" s="633">
        <v>15</v>
      </c>
      <c r="F80" s="50" cm="1" t="str">
        <f t="array" ref="F80:F80">OFFSET(E80,-1,1)</f>
        <v>1</v>
      </c>
      <c r="G80" s="100" t="s">
        <v>573</v>
      </c>
      <c r="H80" s="1240"/>
      <c r="I80" s="1240"/>
      <c r="J80" s="1240"/>
      <c r="K80" s="1240"/>
      <c r="L80" s="1240"/>
      <c r="M80" s="1240"/>
      <c r="N80" s="1240"/>
      <c r="O80" s="1240"/>
      <c r="P80" s="1240"/>
      <c r="Q80" s="1240"/>
      <c r="R80" s="1240"/>
      <c r="S80" s="1240"/>
      <c r="T80" s="468" cm="1" t="str">
        <f t="array" ref="T80:T80">T79</f>
        <v>true</v>
      </c>
      <c r="U80" s="1240"/>
      <c r="V80" s="1240"/>
      <c r="W80" s="1240"/>
      <c r="X80" s="1559"/>
      <c r="Y80" s="1240"/>
      <c r="Z80" s="1560"/>
      <c r="AA80" s="1240"/>
      <c r="AB80" s="84" t="s">
        <v>1073</v>
      </c>
      <c r="AC80" s="210" t="s">
        <v>1074</v>
      </c>
      <c r="AD80" s="85" t="s">
        <v>936</v>
      </c>
      <c r="AE80" s="211">
        <v>0</v>
      </c>
      <c r="AF80" s="211">
        <f>12205.65665+4542.465</f>
        <v>16748.12165</v>
      </c>
      <c r="AG80" s="211"/>
      <c r="AH80" s="211">
        <v>23665.52165</v>
      </c>
      <c r="AI80" s="211"/>
      <c r="AJ80" s="3109"/>
      <c r="AK80" s="3109"/>
      <c r="AL80" s="3109"/>
      <c r="AM80" s="3109"/>
      <c r="AN80" s="3109"/>
      <c r="AO80" s="3109"/>
      <c r="AP80" s="3109"/>
      <c r="AQ80" s="3109"/>
      <c r="AR80" s="3109"/>
      <c r="AS80" s="211"/>
      <c r="AT80" s="3109"/>
      <c r="AU80" s="3109"/>
      <c r="AV80" s="3109"/>
      <c r="AW80" s="3109"/>
      <c r="AX80" s="3109"/>
      <c r="AY80" s="3109"/>
      <c r="AZ80" s="3109"/>
      <c r="BA80" s="3109"/>
      <c r="BB80" s="3109"/>
      <c r="BC80" s="196"/>
      <c r="BD80" s="1240"/>
      <c r="BE80" s="1240"/>
      <c r="BF80" s="1042" t="s">
        <v>1075</v>
      </c>
    </row>
    <row s="1656" customFormat="1" customHeight="1" ht="23.671875">
      <c r="A81" s="1240"/>
      <c r="B81" s="1223"/>
      <c r="C81" s="1240"/>
      <c r="D81" s="1240"/>
      <c r="E81" s="633">
        <v>15</v>
      </c>
      <c r="F81" s="50" cm="1" t="str">
        <f t="array" ref="F81:F81">OFFSET(E81,-1,1)</f>
        <v>1</v>
      </c>
      <c r="G81" s="100" t="s">
        <v>577</v>
      </c>
      <c r="H81" s="1240"/>
      <c r="I81" s="1240"/>
      <c r="J81" s="1240"/>
      <c r="K81" s="1240"/>
      <c r="L81" s="1240"/>
      <c r="M81" s="1240"/>
      <c r="N81" s="1240"/>
      <c r="O81" s="1240"/>
      <c r="P81" s="1240"/>
      <c r="Q81" s="1240"/>
      <c r="R81" s="1240"/>
      <c r="S81" s="1240"/>
      <c r="T81" s="468" cm="1" t="str">
        <f t="array" ref="T81:T81">T80</f>
        <v>true</v>
      </c>
      <c r="U81" s="1240"/>
      <c r="V81" s="1240"/>
      <c r="W81" s="1240"/>
      <c r="X81" s="1559"/>
      <c r="Y81" s="1240"/>
      <c r="Z81" s="1560"/>
      <c r="AA81" s="1240"/>
      <c r="AB81" s="84" t="s">
        <v>1076</v>
      </c>
      <c r="AC81" s="210" t="s">
        <v>1077</v>
      </c>
      <c r="AD81" s="85" t="s">
        <v>936</v>
      </c>
      <c r="AE81" s="211">
        <v>0</v>
      </c>
      <c r="AF81" s="211"/>
      <c r="AG81" s="211"/>
      <c r="AH81" s="211">
        <v>0</v>
      </c>
      <c r="AI81" s="211"/>
      <c r="AJ81" s="3109"/>
      <c r="AK81" s="3109"/>
      <c r="AL81" s="3109"/>
      <c r="AM81" s="3109"/>
      <c r="AN81" s="3109"/>
      <c r="AO81" s="3109"/>
      <c r="AP81" s="3109"/>
      <c r="AQ81" s="3109"/>
      <c r="AR81" s="3109"/>
      <c r="AS81" s="211"/>
      <c r="AT81" s="3109"/>
      <c r="AU81" s="3109"/>
      <c r="AV81" s="3109"/>
      <c r="AW81" s="3109"/>
      <c r="AX81" s="3109"/>
      <c r="AY81" s="3109"/>
      <c r="AZ81" s="3109"/>
      <c r="BA81" s="3109"/>
      <c r="BB81" s="3109"/>
      <c r="BC81" s="196"/>
      <c r="BD81" s="1240"/>
      <c r="BE81" s="1240"/>
      <c r="BF81" s="1042" t="s">
        <v>1078</v>
      </c>
    </row>
    <row s="1656" customFormat="1" customHeight="1" ht="49.171875">
      <c r="A82" s="1240"/>
      <c r="B82" s="1223"/>
      <c r="C82" s="1240"/>
      <c r="D82" s="1240"/>
      <c r="E82" s="633">
        <v>15</v>
      </c>
      <c r="F82" s="50" cm="1" t="str">
        <f t="array" ref="F82:F82">OFFSET(E82,-1,1)</f>
        <v>1</v>
      </c>
      <c r="G82" s="100" t="s">
        <v>1079</v>
      </c>
      <c r="H82" s="1240"/>
      <c r="I82" s="1240"/>
      <c r="J82" s="1240"/>
      <c r="K82" s="1240"/>
      <c r="L82" s="1240"/>
      <c r="M82" s="1240"/>
      <c r="N82" s="1240"/>
      <c r="O82" s="1240"/>
      <c r="P82" s="1240"/>
      <c r="Q82" s="1240"/>
      <c r="R82" s="1240"/>
      <c r="S82" s="1240"/>
      <c r="T82" s="468" cm="1" t="str">
        <f t="array" ref="T82:T82">T81</f>
        <v>true</v>
      </c>
      <c r="U82" s="1240"/>
      <c r="V82" s="1240"/>
      <c r="W82" s="1240"/>
      <c r="X82" s="1559"/>
      <c r="Y82" s="1240"/>
      <c r="Z82" s="1560"/>
      <c r="AA82" s="1240"/>
      <c r="AB82" s="84" t="s">
        <v>1080</v>
      </c>
      <c r="AC82" s="210" t="s">
        <v>1081</v>
      </c>
      <c r="AD82" s="85" t="s">
        <v>936</v>
      </c>
      <c r="AE82" s="211">
        <v>18834.6</v>
      </c>
      <c r="AF82" s="211"/>
      <c r="AG82" s="211">
        <f>12205.65665+6855.02883</f>
        <v>19060.68548</v>
      </c>
      <c r="AH82" s="211">
        <v>0</v>
      </c>
      <c r="AI82" s="211"/>
      <c r="AJ82" s="3109"/>
      <c r="AK82" s="3109"/>
      <c r="AL82" s="3109"/>
      <c r="AM82" s="3109"/>
      <c r="AN82" s="3109"/>
      <c r="AO82" s="3109"/>
      <c r="AP82" s="3109"/>
      <c r="AQ82" s="3109"/>
      <c r="AR82" s="3109"/>
      <c r="AS82" s="211">
        <f>154638.2+65277.6</f>
        <v>219915.8</v>
      </c>
      <c r="AT82" s="3109"/>
      <c r="AU82" s="3109"/>
      <c r="AV82" s="3109"/>
      <c r="AW82" s="3109"/>
      <c r="AX82" s="3109"/>
      <c r="AY82" s="3109"/>
      <c r="AZ82" s="3109"/>
      <c r="BA82" s="3109"/>
      <c r="BB82" s="3109"/>
      <c r="BC82" s="196" t="s">
        <v>1165</v>
      </c>
      <c r="BD82" s="1240"/>
      <c r="BE82" s="1240"/>
      <c r="BF82" s="1042" t="s">
        <v>1082</v>
      </c>
    </row>
    <row s="528" customFormat="1" customHeight="1" ht="101.671875">
      <c r="A83" s="528"/>
      <c r="B83" s="433"/>
      <c r="C83" s="528"/>
      <c r="D83" s="528"/>
      <c r="E83" s="633">
        <v>15</v>
      </c>
      <c r="F83" s="50" cm="1" t="str">
        <f t="array" ref="F83:F83">OFFSET(E83,-1,1)</f>
        <v>1</v>
      </c>
      <c r="G83" s="100" t="s">
        <v>345</v>
      </c>
      <c r="H83" s="528"/>
      <c r="I83" s="528"/>
      <c r="J83" s="528"/>
      <c r="K83" s="528"/>
      <c r="L83" s="528"/>
      <c r="M83" s="528"/>
      <c r="N83" s="528"/>
      <c r="O83" s="528"/>
      <c r="P83" s="528"/>
      <c r="Q83" s="528"/>
      <c r="R83" s="528"/>
      <c r="S83" s="528"/>
      <c r="T83" s="468" cm="1" t="str">
        <f t="array" ref="T83:T83">T82</f>
        <v>true</v>
      </c>
      <c r="U83" s="528"/>
      <c r="V83" s="528"/>
      <c r="W83" s="528"/>
      <c r="X83" s="1559"/>
      <c r="Y83" s="528"/>
      <c r="Z83" s="1560"/>
      <c r="AA83" s="528"/>
      <c r="AB83" s="207">
        <v>2</v>
      </c>
      <c r="AC83" s="208" t="s">
        <v>1083</v>
      </c>
      <c r="AD83" s="85" t="s">
        <v>936</v>
      </c>
      <c r="AE83" s="1217">
        <v>51319.6</v>
      </c>
      <c r="AF83" s="1217">
        <f>SUM(AF84:AF88)</f>
        <v>13439.45711</v>
      </c>
      <c r="AG83" s="1217">
        <f>SUM(AG84:AG88)</f>
        <v>13439.45714</v>
      </c>
      <c r="AH83" s="1217">
        <v>82601.6</v>
      </c>
      <c r="AI83" s="1217">
        <f>SUM(AI84:AI88)</f>
        <v>0</v>
      </c>
      <c r="AJ83" s="3107">
        <f>SUM(AJ84:AJ88)</f>
        <v>0</v>
      </c>
      <c r="AK83" s="3107">
        <f>SUM(AK84:AK88)</f>
        <v>0</v>
      </c>
      <c r="AL83" s="3107">
        <f>SUM(AL84:AL88)</f>
        <v>0</v>
      </c>
      <c r="AM83" s="3107">
        <f>SUM(AM84:AM88)</f>
        <v>0</v>
      </c>
      <c r="AN83" s="3107">
        <f>SUM(AN84:AN88)</f>
        <v>0</v>
      </c>
      <c r="AO83" s="3107">
        <f>SUM(AO84:AO88)</f>
        <v>0</v>
      </c>
      <c r="AP83" s="3107">
        <f>SUM(AP84:AP88)</f>
        <v>0</v>
      </c>
      <c r="AQ83" s="3107">
        <f>SUM(AQ84:AQ88)</f>
        <v>0</v>
      </c>
      <c r="AR83" s="3107">
        <f>SUM(AR84:AR88)</f>
        <v>0</v>
      </c>
      <c r="AS83" s="1217">
        <f>SUM(AS84:AS88)</f>
        <v>92413.5</v>
      </c>
      <c r="AT83" s="3107">
        <f>SUM(AT84:AT88)</f>
        <v>0</v>
      </c>
      <c r="AU83" s="3107">
        <f>SUM(AU84:AU88)</f>
        <v>0</v>
      </c>
      <c r="AV83" s="3107">
        <f>SUM(AV84:AV88)</f>
        <v>0</v>
      </c>
      <c r="AW83" s="3107">
        <f>SUM(AW84:AW88)</f>
        <v>0</v>
      </c>
      <c r="AX83" s="3107">
        <f>SUM(AX84:AX88)</f>
        <v>0</v>
      </c>
      <c r="AY83" s="3107">
        <f>SUM(AY84:AY88)</f>
        <v>0</v>
      </c>
      <c r="AZ83" s="3107">
        <f>SUM(AZ84:AZ88)</f>
        <v>0</v>
      </c>
      <c r="BA83" s="3107">
        <f>SUM(BA84:BA88)</f>
        <v>0</v>
      </c>
      <c r="BB83" s="3107">
        <f>SUM(BB84:BB88)</f>
        <v>0</v>
      </c>
      <c r="BC83" s="196" t="s">
        <v>1166</v>
      </c>
      <c r="BD83" s="528"/>
      <c r="BE83" s="528"/>
      <c r="BF83" s="1042" t="s">
        <v>1084</v>
      </c>
    </row>
    <row s="1656" customFormat="1" customHeight="1" ht="23.671875">
      <c r="A84" s="1240"/>
      <c r="B84" s="1223"/>
      <c r="C84" s="1240"/>
      <c r="D84" s="1240"/>
      <c r="E84" s="633">
        <v>15</v>
      </c>
      <c r="F84" s="50" cm="1" t="str">
        <f t="array" ref="F84:F84">OFFSET(E84,-1,1)</f>
        <v>1</v>
      </c>
      <c r="G84" s="100" t="s">
        <v>584</v>
      </c>
      <c r="H84" s="1240"/>
      <c r="I84" s="1240"/>
      <c r="J84" s="1240"/>
      <c r="K84" s="1240"/>
      <c r="L84" s="1240"/>
      <c r="M84" s="1240"/>
      <c r="N84" s="1240"/>
      <c r="O84" s="1240"/>
      <c r="P84" s="1240"/>
      <c r="Q84" s="1240"/>
      <c r="R84" s="1240"/>
      <c r="S84" s="1240"/>
      <c r="T84" s="468" cm="1" t="str">
        <f t="array" ref="T84:T84">T83</f>
        <v>true</v>
      </c>
      <c r="U84" s="1240"/>
      <c r="V84" s="1240"/>
      <c r="W84" s="1240"/>
      <c r="X84" s="1559"/>
      <c r="Y84" s="1240"/>
      <c r="Z84" s="1560"/>
      <c r="AA84" s="1240"/>
      <c r="AB84" s="84" t="s">
        <v>660</v>
      </c>
      <c r="AC84" s="210" t="s">
        <v>1068</v>
      </c>
      <c r="AD84" s="85" t="s">
        <v>936</v>
      </c>
      <c r="AE84" s="211">
        <v>0</v>
      </c>
      <c r="AF84" s="211">
        <f>1604.43167+1969.70167</f>
        <v>3574.13334</v>
      </c>
      <c r="AG84" s="211"/>
      <c r="AH84" s="211">
        <v>0</v>
      </c>
      <c r="AI84" s="211"/>
      <c r="AJ84" s="3109"/>
      <c r="AK84" s="3109"/>
      <c r="AL84" s="3109"/>
      <c r="AM84" s="3109"/>
      <c r="AN84" s="3109"/>
      <c r="AO84" s="3109"/>
      <c r="AP84" s="3109"/>
      <c r="AQ84" s="3109"/>
      <c r="AR84" s="3109"/>
      <c r="AS84" s="211"/>
      <c r="AT84" s="3109"/>
      <c r="AU84" s="3109"/>
      <c r="AV84" s="3109"/>
      <c r="AW84" s="3109"/>
      <c r="AX84" s="3109"/>
      <c r="AY84" s="3109"/>
      <c r="AZ84" s="3109"/>
      <c r="BA84" s="3109"/>
      <c r="BB84" s="3109"/>
      <c r="BC84" s="196"/>
      <c r="BD84" s="1240"/>
      <c r="BE84" s="1240"/>
      <c r="BF84" s="1042" t="s">
        <v>1085</v>
      </c>
    </row>
    <row s="1656" customFormat="1" customHeight="1" ht="60.421875">
      <c r="A85" s="1240"/>
      <c r="B85" s="1223"/>
      <c r="C85" s="1240"/>
      <c r="D85" s="1240"/>
      <c r="E85" s="633">
        <v>15</v>
      </c>
      <c r="F85" s="50" cm="1" t="str">
        <f t="array" ref="F85:F85">OFFSET(E85,-1,1)</f>
        <v>1</v>
      </c>
      <c r="G85" s="100" t="s">
        <v>587</v>
      </c>
      <c r="H85" s="1240"/>
      <c r="I85" s="1240"/>
      <c r="J85" s="1240"/>
      <c r="K85" s="1240"/>
      <c r="L85" s="1240"/>
      <c r="M85" s="1240"/>
      <c r="N85" s="1240"/>
      <c r="O85" s="1240"/>
      <c r="P85" s="1240"/>
      <c r="Q85" s="1240"/>
      <c r="R85" s="1240"/>
      <c r="S85" s="1240"/>
      <c r="T85" s="468" cm="1" t="str">
        <f t="array" ref="T85:T85">T84</f>
        <v>true</v>
      </c>
      <c r="U85" s="1240"/>
      <c r="V85" s="1240"/>
      <c r="W85" s="1240"/>
      <c r="X85" s="1559"/>
      <c r="Y85" s="1240"/>
      <c r="Z85" s="1560"/>
      <c r="AA85" s="1240"/>
      <c r="AB85" s="84" t="s">
        <v>664</v>
      </c>
      <c r="AC85" s="210" t="s">
        <v>1071</v>
      </c>
      <c r="AD85" s="85" t="s">
        <v>936</v>
      </c>
      <c r="AE85" s="211">
        <v>44402.2</v>
      </c>
      <c r="AF85" s="211">
        <f>889.21682+5496.52167+217.78445</f>
        <v>6603.52294</v>
      </c>
      <c r="AG85" s="211">
        <f>889.21682+217.78445</f>
        <v>1107.00127</v>
      </c>
      <c r="AH85" s="211">
        <v>60667.3</v>
      </c>
      <c r="AI85" s="211"/>
      <c r="AJ85" s="3109"/>
      <c r="AK85" s="3109"/>
      <c r="AL85" s="3109"/>
      <c r="AM85" s="3109"/>
      <c r="AN85" s="3109"/>
      <c r="AO85" s="3109"/>
      <c r="AP85" s="3109"/>
      <c r="AQ85" s="3109"/>
      <c r="AR85" s="3109"/>
      <c r="AS85" s="211"/>
      <c r="AT85" s="3109"/>
      <c r="AU85" s="3109"/>
      <c r="AV85" s="3109"/>
      <c r="AW85" s="3109"/>
      <c r="AX85" s="3109"/>
      <c r="AY85" s="3109"/>
      <c r="AZ85" s="3109"/>
      <c r="BA85" s="3109"/>
      <c r="BB85" s="3109"/>
      <c r="BC85" s="196" t="s">
        <v>1167</v>
      </c>
      <c r="BD85" s="1240"/>
      <c r="BE85" s="1240"/>
      <c r="BF85" s="1042" t="s">
        <v>1086</v>
      </c>
    </row>
    <row s="1656" customFormat="1" customHeight="1" ht="107.25">
      <c r="A86" s="1240"/>
      <c r="B86" s="1223"/>
      <c r="C86" s="1240"/>
      <c r="D86" s="1240"/>
      <c r="E86" s="633">
        <v>15</v>
      </c>
      <c r="F86" s="50" cm="1" t="str">
        <f t="array" ref="F86:F86">OFFSET(E86,-1,1)</f>
        <v>1</v>
      </c>
      <c r="G86" s="100" t="s">
        <v>1087</v>
      </c>
      <c r="H86" s="1240"/>
      <c r="I86" s="1240"/>
      <c r="J86" s="1240"/>
      <c r="K86" s="1240"/>
      <c r="L86" s="1240"/>
      <c r="M86" s="1240"/>
      <c r="N86" s="1240"/>
      <c r="O86" s="1240"/>
      <c r="P86" s="1240"/>
      <c r="Q86" s="1240"/>
      <c r="R86" s="1240"/>
      <c r="S86" s="1240"/>
      <c r="T86" s="468" cm="1" t="str">
        <f t="array" ref="T86:T86">T85</f>
        <v>true</v>
      </c>
      <c r="U86" s="1240"/>
      <c r="V86" s="1240"/>
      <c r="W86" s="1240"/>
      <c r="X86" s="1559"/>
      <c r="Y86" s="1240"/>
      <c r="Z86" s="1560"/>
      <c r="AA86" s="1240"/>
      <c r="AB86" s="84" t="s">
        <v>668</v>
      </c>
      <c r="AC86" s="210" t="s">
        <v>1074</v>
      </c>
      <c r="AD86" s="85" t="s">
        <v>936</v>
      </c>
      <c r="AE86" s="211">
        <v>6917.4</v>
      </c>
      <c r="AF86" s="211">
        <f>1179.41167+2082.38916</f>
        <v>3261.80083</v>
      </c>
      <c r="AG86" s="211"/>
      <c r="AH86" s="211">
        <v>21934.3</v>
      </c>
      <c r="AI86" s="211"/>
      <c r="AJ86" s="3109"/>
      <c r="AK86" s="3109"/>
      <c r="AL86" s="3109"/>
      <c r="AM86" s="3109"/>
      <c r="AN86" s="3109"/>
      <c r="AO86" s="3109"/>
      <c r="AP86" s="3109"/>
      <c r="AQ86" s="3109"/>
      <c r="AR86" s="3109"/>
      <c r="AS86" s="211"/>
      <c r="AT86" s="3109"/>
      <c r="AU86" s="3109"/>
      <c r="AV86" s="3109"/>
      <c r="AW86" s="3109"/>
      <c r="AX86" s="3109"/>
      <c r="AY86" s="3109"/>
      <c r="AZ86" s="3109"/>
      <c r="BA86" s="3109"/>
      <c r="BB86" s="3109"/>
      <c r="BC86" s="196"/>
      <c r="BD86" s="1240"/>
      <c r="BE86" s="1240"/>
      <c r="BF86" s="1042" t="s">
        <v>1088</v>
      </c>
    </row>
    <row s="1656" customFormat="1" customHeight="1" ht="14.625">
      <c r="A87" s="1240"/>
      <c r="B87" s="1223"/>
      <c r="C87" s="1240"/>
      <c r="D87" s="1240"/>
      <c r="E87" s="633">
        <v>15</v>
      </c>
      <c r="F87" s="50" cm="1" t="str">
        <f t="array" ref="F87:F87">OFFSET(E87,-1,1)</f>
        <v>1</v>
      </c>
      <c r="G87" s="100" t="s">
        <v>1089</v>
      </c>
      <c r="H87" s="1240"/>
      <c r="I87" s="1240"/>
      <c r="J87" s="1240"/>
      <c r="K87" s="1240"/>
      <c r="L87" s="1240"/>
      <c r="M87" s="1240"/>
      <c r="N87" s="1240"/>
      <c r="O87" s="1240"/>
      <c r="P87" s="1240"/>
      <c r="Q87" s="1240"/>
      <c r="R87" s="1240"/>
      <c r="S87" s="1240"/>
      <c r="T87" s="468" cm="1" t="str">
        <f t="array" ref="T87:T87">T86</f>
        <v>true</v>
      </c>
      <c r="U87" s="1240"/>
      <c r="V87" s="1240"/>
      <c r="W87" s="1240"/>
      <c r="X87" s="1559"/>
      <c r="Y87" s="1240"/>
      <c r="Z87" s="1560"/>
      <c r="AA87" s="1240"/>
      <c r="AB87" s="84" t="s">
        <v>1090</v>
      </c>
      <c r="AC87" s="210" t="s">
        <v>1077</v>
      </c>
      <c r="AD87" s="85" t="s">
        <v>936</v>
      </c>
      <c r="AE87" s="211">
        <v>0</v>
      </c>
      <c r="AF87" s="211"/>
      <c r="AG87" s="211"/>
      <c r="AH87" s="211">
        <v>0</v>
      </c>
      <c r="AI87" s="211"/>
      <c r="AJ87" s="3109"/>
      <c r="AK87" s="3109"/>
      <c r="AL87" s="3109"/>
      <c r="AM87" s="3109"/>
      <c r="AN87" s="3109"/>
      <c r="AO87" s="3109"/>
      <c r="AP87" s="3109"/>
      <c r="AQ87" s="3109"/>
      <c r="AR87" s="3109"/>
      <c r="AS87" s="211"/>
      <c r="AT87" s="3109"/>
      <c r="AU87" s="3109"/>
      <c r="AV87" s="3109"/>
      <c r="AW87" s="3109"/>
      <c r="AX87" s="3109"/>
      <c r="AY87" s="3109"/>
      <c r="AZ87" s="3109"/>
      <c r="BA87" s="3109"/>
      <c r="BB87" s="3109"/>
      <c r="BC87" s="196"/>
      <c r="BD87" s="1240"/>
      <c r="BE87" s="1240"/>
      <c r="BF87" s="1042" t="s">
        <v>1091</v>
      </c>
    </row>
    <row s="1656" customFormat="1" customHeight="1" ht="51.421875">
      <c r="A88" s="1240"/>
      <c r="B88" s="1223"/>
      <c r="C88" s="1240"/>
      <c r="D88" s="1240"/>
      <c r="E88" s="633">
        <v>15</v>
      </c>
      <c r="F88" s="50" cm="1" t="str">
        <f t="array" ref="F88:F88">OFFSET(E88,-1,1)</f>
        <v>1</v>
      </c>
      <c r="G88" s="100" t="s">
        <v>1092</v>
      </c>
      <c r="H88" s="1240"/>
      <c r="I88" s="1240"/>
      <c r="J88" s="1240"/>
      <c r="K88" s="1240"/>
      <c r="L88" s="1240"/>
      <c r="M88" s="1240"/>
      <c r="N88" s="1240"/>
      <c r="O88" s="1240"/>
      <c r="P88" s="1240"/>
      <c r="Q88" s="1240"/>
      <c r="R88" s="1240"/>
      <c r="S88" s="1240"/>
      <c r="T88" s="468" cm="1" t="str">
        <f t="array" ref="T88:T88">T87</f>
        <v>true</v>
      </c>
      <c r="U88" s="1240"/>
      <c r="V88" s="1240"/>
      <c r="W88" s="1240"/>
      <c r="X88" s="1559"/>
      <c r="Y88" s="1240"/>
      <c r="Z88" s="1560"/>
      <c r="AA88" s="1240"/>
      <c r="AB88" s="84" t="s">
        <v>1093</v>
      </c>
      <c r="AC88" s="210" t="s">
        <v>1081</v>
      </c>
      <c r="AD88" s="85" t="s">
        <v>936</v>
      </c>
      <c r="AE88" s="211">
        <v>0</v>
      </c>
      <c r="AF88" s="211"/>
      <c r="AG88" s="211">
        <f>8280.36504+4052.09083</f>
        <v>12332.45587</v>
      </c>
      <c r="AH88" s="211">
        <v>0</v>
      </c>
      <c r="AI88" s="211"/>
      <c r="AJ88" s="3109"/>
      <c r="AK88" s="3109"/>
      <c r="AL88" s="3109"/>
      <c r="AM88" s="3109"/>
      <c r="AN88" s="3109"/>
      <c r="AO88" s="3109"/>
      <c r="AP88" s="3109"/>
      <c r="AQ88" s="3109"/>
      <c r="AR88" s="3109"/>
      <c r="AS88" s="211">
        <f>66403.4+26010.1</f>
        <v>92413.5</v>
      </c>
      <c r="AT88" s="3109"/>
      <c r="AU88" s="3109"/>
      <c r="AV88" s="3109"/>
      <c r="AW88" s="3109"/>
      <c r="AX88" s="3109"/>
      <c r="AY88" s="3109"/>
      <c r="AZ88" s="3109"/>
      <c r="BA88" s="3109"/>
      <c r="BB88" s="3109"/>
      <c r="BC88" s="196" t="s">
        <v>1168</v>
      </c>
      <c r="BD88" s="1240"/>
      <c r="BE88" s="1240"/>
      <c r="BF88" s="1042" t="s">
        <v>1094</v>
      </c>
    </row>
    <row s="528" customFormat="1" customHeight="1" ht="14.25">
      <c r="A89" s="528"/>
      <c r="B89" s="433"/>
      <c r="C89" s="528"/>
      <c r="D89" s="528"/>
      <c r="E89" s="633">
        <v>15</v>
      </c>
      <c r="F89" s="50" cm="1" t="str">
        <f t="array" ref="F89:F89">OFFSET(E89,-1,1)</f>
        <v>1</v>
      </c>
      <c r="G89" s="100" t="s">
        <v>346</v>
      </c>
      <c r="H89" s="528"/>
      <c r="I89" s="528"/>
      <c r="J89" s="528"/>
      <c r="K89" s="528"/>
      <c r="L89" s="528"/>
      <c r="M89" s="528"/>
      <c r="N89" s="528"/>
      <c r="O89" s="528"/>
      <c r="P89" s="528"/>
      <c r="Q89" s="528"/>
      <c r="R89" s="528"/>
      <c r="S89" s="528"/>
      <c r="T89" s="468" cm="1" t="str">
        <f t="array" ref="T89:T89">T88</f>
        <v>true</v>
      </c>
      <c r="U89" s="528"/>
      <c r="V89" s="528"/>
      <c r="W89" s="528"/>
      <c r="X89" s="1559"/>
      <c r="Y89" s="528"/>
      <c r="Z89" s="1560"/>
      <c r="AA89" s="528"/>
      <c r="AB89" s="207">
        <v>3</v>
      </c>
      <c r="AC89" s="208" t="s">
        <v>1095</v>
      </c>
      <c r="AD89" s="85" t="s">
        <v>936</v>
      </c>
      <c r="AE89" s="1217">
        <f>SUM(AE90:AE94)</f>
        <v>0</v>
      </c>
      <c r="AF89" s="1217">
        <f>SUM(AF90:AF94)</f>
        <v>0</v>
      </c>
      <c r="AG89" s="1217">
        <f>SUM(AG90:AG94)</f>
        <v>0</v>
      </c>
      <c r="AH89" s="1217">
        <f>SUM(AH90:AH94)</f>
        <v>0</v>
      </c>
      <c r="AI89" s="1217">
        <f>SUM(AI90:AI94)</f>
        <v>0</v>
      </c>
      <c r="AJ89" s="3107">
        <f>SUM(AJ90:AJ94)</f>
        <v>0</v>
      </c>
      <c r="AK89" s="3107">
        <f>SUM(AK90:AK94)</f>
        <v>0</v>
      </c>
      <c r="AL89" s="3107">
        <f>SUM(AL90:AL94)</f>
        <v>0</v>
      </c>
      <c r="AM89" s="3107">
        <f>SUM(AM90:AM94)</f>
        <v>0</v>
      </c>
      <c r="AN89" s="3107">
        <f>SUM(AN90:AN94)</f>
        <v>0</v>
      </c>
      <c r="AO89" s="3107">
        <f>SUM(AO90:AO94)</f>
        <v>0</v>
      </c>
      <c r="AP89" s="3107">
        <f>SUM(AP90:AP94)</f>
        <v>0</v>
      </c>
      <c r="AQ89" s="3107">
        <f>SUM(AQ90:AQ94)</f>
        <v>0</v>
      </c>
      <c r="AR89" s="3107">
        <f>SUM(AR90:AR94)</f>
        <v>0</v>
      </c>
      <c r="AS89" s="1217">
        <f>SUM(AS90:AS94)</f>
        <v>0</v>
      </c>
      <c r="AT89" s="3107">
        <f>SUM(AT90:AT94)</f>
        <v>0</v>
      </c>
      <c r="AU89" s="3107">
        <f>SUM(AU90:AU94)</f>
        <v>0</v>
      </c>
      <c r="AV89" s="3107">
        <f>SUM(AV90:AV94)</f>
        <v>0</v>
      </c>
      <c r="AW89" s="3107">
        <f>SUM(AW90:AW94)</f>
        <v>0</v>
      </c>
      <c r="AX89" s="3107">
        <f>SUM(AX90:AX94)</f>
        <v>0</v>
      </c>
      <c r="AY89" s="3107">
        <f>SUM(AY90:AY94)</f>
        <v>0</v>
      </c>
      <c r="AZ89" s="3107">
        <f>SUM(AZ90:AZ94)</f>
        <v>0</v>
      </c>
      <c r="BA89" s="3107">
        <f>SUM(BA90:BA94)</f>
        <v>0</v>
      </c>
      <c r="BB89" s="3107">
        <f>SUM(BB90:BB94)</f>
        <v>0</v>
      </c>
      <c r="BC89" s="196"/>
      <c r="BD89" s="528"/>
      <c r="BE89" s="528"/>
      <c r="BF89" s="1042" t="s">
        <v>1096</v>
      </c>
    </row>
    <row s="1656" customFormat="1" customHeight="1" ht="14.625">
      <c r="A90" s="1240"/>
      <c r="B90" s="1223"/>
      <c r="C90" s="1240"/>
      <c r="D90" s="1240"/>
      <c r="E90" s="633">
        <v>15</v>
      </c>
      <c r="F90" s="50" cm="1" t="str">
        <f t="array" ref="F90:F90">OFFSET(E90,-1,1)</f>
        <v>1</v>
      </c>
      <c r="G90" s="100" t="s">
        <v>1097</v>
      </c>
      <c r="H90" s="1240"/>
      <c r="I90" s="1240"/>
      <c r="J90" s="1240"/>
      <c r="K90" s="1240"/>
      <c r="L90" s="1240"/>
      <c r="M90" s="1240"/>
      <c r="N90" s="1240"/>
      <c r="O90" s="1240"/>
      <c r="P90" s="1240"/>
      <c r="Q90" s="1240"/>
      <c r="R90" s="1240"/>
      <c r="S90" s="1240"/>
      <c r="T90" s="468" cm="1" t="str">
        <f t="array" ref="T90:T90">T89</f>
        <v>true</v>
      </c>
      <c r="U90" s="1240"/>
      <c r="V90" s="1240"/>
      <c r="W90" s="1240"/>
      <c r="X90" s="1559"/>
      <c r="Y90" s="1240"/>
      <c r="Z90" s="1560"/>
      <c r="AA90" s="1240"/>
      <c r="AB90" s="84" t="s">
        <v>674</v>
      </c>
      <c r="AC90" s="210" t="s">
        <v>1068</v>
      </c>
      <c r="AD90" s="85" t="s">
        <v>936</v>
      </c>
      <c r="AE90" s="211">
        <v>0</v>
      </c>
      <c r="AF90" s="211"/>
      <c r="AG90" s="211"/>
      <c r="AH90" s="211">
        <v>0</v>
      </c>
      <c r="AI90" s="211"/>
      <c r="AJ90" s="3109"/>
      <c r="AK90" s="3109"/>
      <c r="AL90" s="3109"/>
      <c r="AM90" s="3109"/>
      <c r="AN90" s="3109"/>
      <c r="AO90" s="3109"/>
      <c r="AP90" s="3109"/>
      <c r="AQ90" s="3109"/>
      <c r="AR90" s="3109"/>
      <c r="AS90" s="211"/>
      <c r="AT90" s="3109"/>
      <c r="AU90" s="3109"/>
      <c r="AV90" s="3109"/>
      <c r="AW90" s="3109"/>
      <c r="AX90" s="3109"/>
      <c r="AY90" s="3109"/>
      <c r="AZ90" s="3109"/>
      <c r="BA90" s="3109"/>
      <c r="BB90" s="3109"/>
      <c r="BC90" s="196"/>
      <c r="BD90" s="1240"/>
      <c r="BE90" s="1240"/>
      <c r="BF90" s="1042" t="s">
        <v>1098</v>
      </c>
    </row>
    <row s="1656" customFormat="1" customHeight="1" ht="14.625">
      <c r="A91" s="1240"/>
      <c r="B91" s="1223"/>
      <c r="C91" s="1240"/>
      <c r="D91" s="1240"/>
      <c r="E91" s="633">
        <v>15</v>
      </c>
      <c r="F91" s="50" cm="1" t="str">
        <f t="array" ref="F91:F91">OFFSET(E91,-1,1)</f>
        <v>1</v>
      </c>
      <c r="G91" s="100" t="s">
        <v>1099</v>
      </c>
      <c r="H91" s="1240"/>
      <c r="I91" s="1240"/>
      <c r="J91" s="1240"/>
      <c r="K91" s="1240"/>
      <c r="L91" s="1240"/>
      <c r="M91" s="1240"/>
      <c r="N91" s="1240"/>
      <c r="O91" s="1240"/>
      <c r="P91" s="1240"/>
      <c r="Q91" s="1240"/>
      <c r="R91" s="1240"/>
      <c r="S91" s="1240"/>
      <c r="T91" s="468" cm="1" t="str">
        <f t="array" ref="T91:T91">T90</f>
        <v>true</v>
      </c>
      <c r="U91" s="1240"/>
      <c r="V91" s="1240"/>
      <c r="W91" s="1240"/>
      <c r="X91" s="1559"/>
      <c r="Y91" s="1240"/>
      <c r="Z91" s="1560"/>
      <c r="AA91" s="1240"/>
      <c r="AB91" s="84" t="s">
        <v>678</v>
      </c>
      <c r="AC91" s="210" t="s">
        <v>1071</v>
      </c>
      <c r="AD91" s="85" t="s">
        <v>936</v>
      </c>
      <c r="AE91" s="211">
        <v>0</v>
      </c>
      <c r="AF91" s="211"/>
      <c r="AG91" s="211"/>
      <c r="AH91" s="211">
        <v>0</v>
      </c>
      <c r="AI91" s="211"/>
      <c r="AJ91" s="3109"/>
      <c r="AK91" s="3109"/>
      <c r="AL91" s="3109"/>
      <c r="AM91" s="3109"/>
      <c r="AN91" s="3109"/>
      <c r="AO91" s="3109"/>
      <c r="AP91" s="3109"/>
      <c r="AQ91" s="3109"/>
      <c r="AR91" s="3109"/>
      <c r="AS91" s="211"/>
      <c r="AT91" s="3109"/>
      <c r="AU91" s="3109"/>
      <c r="AV91" s="3109"/>
      <c r="AW91" s="3109"/>
      <c r="AX91" s="3109"/>
      <c r="AY91" s="3109"/>
      <c r="AZ91" s="3109"/>
      <c r="BA91" s="3109"/>
      <c r="BB91" s="3109"/>
      <c r="BC91" s="196"/>
      <c r="BD91" s="1240"/>
      <c r="BE91" s="1240"/>
      <c r="BF91" s="1042" t="s">
        <v>1100</v>
      </c>
    </row>
    <row s="1656" customFormat="1" customHeight="1" ht="14.625">
      <c r="A92" s="1240"/>
      <c r="B92" s="1223"/>
      <c r="C92" s="1240"/>
      <c r="D92" s="1240"/>
      <c r="E92" s="633">
        <v>15</v>
      </c>
      <c r="F92" s="50" cm="1" t="str">
        <f t="array" ref="F92:F92">OFFSET(E92,-1,1)</f>
        <v>1</v>
      </c>
      <c r="G92" s="100" t="s">
        <v>1101</v>
      </c>
      <c r="H92" s="1240"/>
      <c r="I92" s="1240"/>
      <c r="J92" s="1240"/>
      <c r="K92" s="1240"/>
      <c r="L92" s="1240"/>
      <c r="M92" s="1240"/>
      <c r="N92" s="1240"/>
      <c r="O92" s="1240"/>
      <c r="P92" s="1240"/>
      <c r="Q92" s="1240"/>
      <c r="R92" s="1240"/>
      <c r="S92" s="1240"/>
      <c r="T92" s="468" cm="1" t="str">
        <f t="array" ref="T92:T92">T91</f>
        <v>true</v>
      </c>
      <c r="U92" s="1240"/>
      <c r="V92" s="1240"/>
      <c r="W92" s="1240"/>
      <c r="X92" s="1559"/>
      <c r="Y92" s="1240"/>
      <c r="Z92" s="1560"/>
      <c r="AA92" s="1240"/>
      <c r="AB92" s="84" t="s">
        <v>890</v>
      </c>
      <c r="AC92" s="210" t="s">
        <v>1074</v>
      </c>
      <c r="AD92" s="85" t="s">
        <v>936</v>
      </c>
      <c r="AE92" s="211">
        <v>0</v>
      </c>
      <c r="AF92" s="211"/>
      <c r="AG92" s="211"/>
      <c r="AH92" s="211">
        <v>0</v>
      </c>
      <c r="AI92" s="211"/>
      <c r="AJ92" s="3109"/>
      <c r="AK92" s="3109"/>
      <c r="AL92" s="3109"/>
      <c r="AM92" s="3109"/>
      <c r="AN92" s="3109"/>
      <c r="AO92" s="3109"/>
      <c r="AP92" s="3109"/>
      <c r="AQ92" s="3109"/>
      <c r="AR92" s="3109"/>
      <c r="AS92" s="211"/>
      <c r="AT92" s="3109"/>
      <c r="AU92" s="3109"/>
      <c r="AV92" s="3109"/>
      <c r="AW92" s="3109"/>
      <c r="AX92" s="3109"/>
      <c r="AY92" s="3109"/>
      <c r="AZ92" s="3109"/>
      <c r="BA92" s="3109"/>
      <c r="BB92" s="3109"/>
      <c r="BC92" s="196"/>
      <c r="BD92" s="1240"/>
      <c r="BE92" s="1240"/>
      <c r="BF92" s="1042" t="s">
        <v>1102</v>
      </c>
    </row>
    <row s="1656" customFormat="1" customHeight="1" ht="14.625">
      <c r="A93" s="1240"/>
      <c r="B93" s="1223"/>
      <c r="C93" s="1240"/>
      <c r="D93" s="1240"/>
      <c r="E93" s="633">
        <v>15</v>
      </c>
      <c r="F93" s="50" cm="1" t="str">
        <f t="array" ref="F93:F93">OFFSET(E93,-1,1)</f>
        <v>1</v>
      </c>
      <c r="G93" s="100" t="s">
        <v>1103</v>
      </c>
      <c r="H93" s="1240"/>
      <c r="I93" s="1240"/>
      <c r="J93" s="1240"/>
      <c r="K93" s="1240"/>
      <c r="L93" s="1240"/>
      <c r="M93" s="1240"/>
      <c r="N93" s="1240"/>
      <c r="O93" s="1240"/>
      <c r="P93" s="1240"/>
      <c r="Q93" s="1240"/>
      <c r="R93" s="1240"/>
      <c r="S93" s="1240"/>
      <c r="T93" s="468" cm="1" t="str">
        <f t="array" ref="T93:T93">T92</f>
        <v>true</v>
      </c>
      <c r="U93" s="1240"/>
      <c r="V93" s="1240"/>
      <c r="W93" s="1240"/>
      <c r="X93" s="1559"/>
      <c r="Y93" s="1240"/>
      <c r="Z93" s="1560"/>
      <c r="AA93" s="1240"/>
      <c r="AB93" s="84" t="s">
        <v>1104</v>
      </c>
      <c r="AC93" s="210" t="s">
        <v>1077</v>
      </c>
      <c r="AD93" s="85" t="s">
        <v>936</v>
      </c>
      <c r="AE93" s="211">
        <v>0</v>
      </c>
      <c r="AF93" s="211"/>
      <c r="AG93" s="211"/>
      <c r="AH93" s="211">
        <v>0</v>
      </c>
      <c r="AI93" s="211"/>
      <c r="AJ93" s="3109"/>
      <c r="AK93" s="3109"/>
      <c r="AL93" s="3109"/>
      <c r="AM93" s="3109"/>
      <c r="AN93" s="3109"/>
      <c r="AO93" s="3109"/>
      <c r="AP93" s="3109"/>
      <c r="AQ93" s="3109"/>
      <c r="AR93" s="3109"/>
      <c r="AS93" s="211"/>
      <c r="AT93" s="3109"/>
      <c r="AU93" s="3109"/>
      <c r="AV93" s="3109"/>
      <c r="AW93" s="3109"/>
      <c r="AX93" s="3109"/>
      <c r="AY93" s="3109"/>
      <c r="AZ93" s="3109"/>
      <c r="BA93" s="3109"/>
      <c r="BB93" s="3109"/>
      <c r="BC93" s="196"/>
      <c r="BD93" s="1240"/>
      <c r="BE93" s="1240"/>
      <c r="BF93" s="1042" t="s">
        <v>1105</v>
      </c>
    </row>
    <row s="1656" customFormat="1" customHeight="1" ht="14.625">
      <c r="A94" s="1240"/>
      <c r="B94" s="1223"/>
      <c r="C94" s="1240"/>
      <c r="D94" s="1240"/>
      <c r="E94" s="633">
        <v>15</v>
      </c>
      <c r="F94" s="50" cm="1" t="str">
        <f t="array" ref="F94:F94">OFFSET(E94,-1,1)</f>
        <v>1</v>
      </c>
      <c r="G94" s="100" t="s">
        <v>1106</v>
      </c>
      <c r="H94" s="1240"/>
      <c r="I94" s="1240"/>
      <c r="J94" s="1240"/>
      <c r="K94" s="1240"/>
      <c r="L94" s="1240"/>
      <c r="M94" s="1240"/>
      <c r="N94" s="1240"/>
      <c r="O94" s="1240"/>
      <c r="P94" s="1240"/>
      <c r="Q94" s="1240"/>
      <c r="R94" s="1240"/>
      <c r="S94" s="1240"/>
      <c r="T94" s="468" cm="1" t="str">
        <f t="array" ref="T94:T94">T93</f>
        <v>true</v>
      </c>
      <c r="U94" s="1240"/>
      <c r="V94" s="1240"/>
      <c r="W94" s="1240"/>
      <c r="X94" s="1559"/>
      <c r="Y94" s="1240"/>
      <c r="Z94" s="1560"/>
      <c r="AA94" s="1240"/>
      <c r="AB94" s="84" t="s">
        <v>1107</v>
      </c>
      <c r="AC94" s="210" t="s">
        <v>1081</v>
      </c>
      <c r="AD94" s="85" t="s">
        <v>936</v>
      </c>
      <c r="AE94" s="211">
        <v>0</v>
      </c>
      <c r="AF94" s="211"/>
      <c r="AG94" s="211"/>
      <c r="AH94" s="211">
        <v>0</v>
      </c>
      <c r="AI94" s="211"/>
      <c r="AJ94" s="3109"/>
      <c r="AK94" s="3109"/>
      <c r="AL94" s="3109"/>
      <c r="AM94" s="3109"/>
      <c r="AN94" s="3109"/>
      <c r="AO94" s="3109"/>
      <c r="AP94" s="3109"/>
      <c r="AQ94" s="3109"/>
      <c r="AR94" s="3109"/>
      <c r="AS94" s="211"/>
      <c r="AT94" s="3109"/>
      <c r="AU94" s="3109"/>
      <c r="AV94" s="3109"/>
      <c r="AW94" s="3109"/>
      <c r="AX94" s="3109"/>
      <c r="AY94" s="3109"/>
      <c r="AZ94" s="3109"/>
      <c r="BA94" s="3109"/>
      <c r="BB94" s="3109"/>
      <c r="BC94" s="196"/>
      <c r="BD94" s="1240"/>
      <c r="BE94" s="1240"/>
      <c r="BF94" s="1042" t="s">
        <v>1108</v>
      </c>
    </row>
    <row s="528" customFormat="1" customHeight="1" ht="23.25">
      <c r="A95" s="528"/>
      <c r="B95" s="433"/>
      <c r="C95" s="528"/>
      <c r="D95" s="528"/>
      <c r="E95" s="675">
        <v>22.5</v>
      </c>
      <c r="F95" s="50" cm="1" t="str">
        <f t="array" ref="F95:F95">OFFSET(E95,-1,1)</f>
        <v>1</v>
      </c>
      <c r="G95" s="100" t="s">
        <v>348</v>
      </c>
      <c r="H95" s="528"/>
      <c r="I95" s="528"/>
      <c r="J95" s="528"/>
      <c r="K95" s="528"/>
      <c r="L95" s="528"/>
      <c r="M95" s="528"/>
      <c r="N95" s="528"/>
      <c r="O95" s="528"/>
      <c r="P95" s="528"/>
      <c r="Q95" s="528"/>
      <c r="R95" s="528"/>
      <c r="S95" s="528"/>
      <c r="T95" s="468" cm="1" t="str">
        <f t="array" ref="T95:T95">T94</f>
        <v>true</v>
      </c>
      <c r="U95" s="528"/>
      <c r="V95" s="528"/>
      <c r="W95" s="528"/>
      <c r="X95" s="1559"/>
      <c r="Y95" s="528"/>
      <c r="Z95" s="1560"/>
      <c r="AA95" s="528"/>
      <c r="AB95" s="207">
        <v>4</v>
      </c>
      <c r="AC95" s="208" t="s">
        <v>1109</v>
      </c>
      <c r="AD95" s="85" t="s">
        <v>936</v>
      </c>
      <c r="AE95" s="1217">
        <v>137314.2</v>
      </c>
      <c r="AF95" s="1217">
        <f>SUM(AF96:AF100)</f>
        <v>34246.24309</v>
      </c>
      <c r="AG95" s="1217">
        <f>SUM(AG96:AG100)</f>
        <v>34246.24312</v>
      </c>
      <c r="AH95" s="1217">
        <v>154727.98598</v>
      </c>
      <c r="AI95" s="1217">
        <f>SUM(AI96:AI100)</f>
        <v>0</v>
      </c>
      <c r="AJ95" s="3107">
        <f>SUM(AJ96:AJ100)</f>
        <v>0</v>
      </c>
      <c r="AK95" s="3107">
        <f>SUM(AK96:AK100)</f>
        <v>0</v>
      </c>
      <c r="AL95" s="3107">
        <f>SUM(AL96:AL100)</f>
        <v>0</v>
      </c>
      <c r="AM95" s="3107">
        <f>SUM(AM96:AM100)</f>
        <v>0</v>
      </c>
      <c r="AN95" s="3107">
        <f>SUM(AN96:AN100)</f>
        <v>0</v>
      </c>
      <c r="AO95" s="3107">
        <f>SUM(AO96:AO100)</f>
        <v>0</v>
      </c>
      <c r="AP95" s="3107">
        <f>SUM(AP96:AP100)</f>
        <v>0</v>
      </c>
      <c r="AQ95" s="3107">
        <f>SUM(AQ96:AQ100)</f>
        <v>0</v>
      </c>
      <c r="AR95" s="3107">
        <f>SUM(AR96:AR100)</f>
        <v>0</v>
      </c>
      <c r="AS95" s="1217">
        <f>SUM(AS96:AS100)</f>
        <v>315182.40177</v>
      </c>
      <c r="AT95" s="3107">
        <f>SUM(AT96:AT100)</f>
        <v>0</v>
      </c>
      <c r="AU95" s="3107">
        <f>SUM(AU96:AU100)</f>
        <v>0</v>
      </c>
      <c r="AV95" s="3107">
        <f>SUM(AV96:AV100)</f>
        <v>0</v>
      </c>
      <c r="AW95" s="3107">
        <f>SUM(AW96:AW100)</f>
        <v>0</v>
      </c>
      <c r="AX95" s="3107">
        <f>SUM(AX96:AX100)</f>
        <v>0</v>
      </c>
      <c r="AY95" s="3107">
        <f>SUM(AY96:AY100)</f>
        <v>0</v>
      </c>
      <c r="AZ95" s="3107">
        <f>SUM(AZ96:AZ100)</f>
        <v>0</v>
      </c>
      <c r="BA95" s="3107">
        <f>SUM(BA96:BA100)</f>
        <v>0</v>
      </c>
      <c r="BB95" s="3107">
        <f>SUM(BB96:BB100)</f>
        <v>0</v>
      </c>
      <c r="BC95" s="196"/>
      <c r="BD95" s="528"/>
      <c r="BE95" s="528"/>
      <c r="BF95" s="1042" t="s">
        <v>1110</v>
      </c>
    </row>
    <row s="1656" customFormat="1" customHeight="1" ht="46.921875">
      <c r="A96" s="1240"/>
      <c r="B96" s="1223"/>
      <c r="C96" s="1240"/>
      <c r="D96" s="1240"/>
      <c r="E96" s="633">
        <v>15</v>
      </c>
      <c r="F96" s="50" cm="1" t="str">
        <f t="array" ref="F96:F96">OFFSET(E96,-1,1)</f>
        <v>1</v>
      </c>
      <c r="G96" s="100" t="s">
        <v>659</v>
      </c>
      <c r="H96" s="1240"/>
      <c r="I96" s="1240"/>
      <c r="J96" s="1240"/>
      <c r="K96" s="1240"/>
      <c r="L96" s="1240"/>
      <c r="M96" s="1240"/>
      <c r="N96" s="1240"/>
      <c r="O96" s="1240"/>
      <c r="P96" s="1240"/>
      <c r="Q96" s="1240"/>
      <c r="R96" s="1240"/>
      <c r="S96" s="1240"/>
      <c r="T96" s="468" cm="1" t="str">
        <f t="array" ref="T96:T96">T95</f>
        <v>true</v>
      </c>
      <c r="U96" s="1240"/>
      <c r="V96" s="1240"/>
      <c r="W96" s="1240"/>
      <c r="X96" s="1559"/>
      <c r="Y96" s="1240"/>
      <c r="Z96" s="1560"/>
      <c r="AA96" s="1240"/>
      <c r="AB96" s="84" t="s">
        <v>794</v>
      </c>
      <c r="AC96" s="210" t="s">
        <v>1068</v>
      </c>
      <c r="AD96" s="85" t="s">
        <v>936</v>
      </c>
      <c r="AE96" s="211">
        <f>AE78+AE84-AE90</f>
        <v>0</v>
      </c>
      <c r="AF96" s="211">
        <f>AF78+AF84-AF90</f>
        <v>4507.82834</v>
      </c>
      <c r="AG96" s="211">
        <f>AG78+AG84-AG90</f>
        <v>0</v>
      </c>
      <c r="AH96" s="211">
        <v>933.695</v>
      </c>
      <c r="AI96" s="211">
        <f>AI78+AI84-AI90</f>
        <v>0</v>
      </c>
      <c r="AJ96" s="3109">
        <f>AJ78+AJ84-AJ90</f>
        <v>0</v>
      </c>
      <c r="AK96" s="3109">
        <f>AK78+AK84-AK90</f>
        <v>0</v>
      </c>
      <c r="AL96" s="3109">
        <f>AL78+AL84-AL90</f>
        <v>0</v>
      </c>
      <c r="AM96" s="3109">
        <f>AM78+AM84-AM90</f>
        <v>0</v>
      </c>
      <c r="AN96" s="3109">
        <f>AN78+AN84-AN90</f>
        <v>0</v>
      </c>
      <c r="AO96" s="3109">
        <f>AO78+AO84-AO90</f>
        <v>0</v>
      </c>
      <c r="AP96" s="3109">
        <f>AP78+AP84-AP90</f>
        <v>0</v>
      </c>
      <c r="AQ96" s="3109">
        <f>AQ78+AQ84-AQ90</f>
        <v>0</v>
      </c>
      <c r="AR96" s="3109">
        <f>AR78+AR84-AR90</f>
        <v>0</v>
      </c>
      <c r="AS96" s="211">
        <f>AS78+AS84-AS90</f>
        <v>0</v>
      </c>
      <c r="AT96" s="3109">
        <f>AT78+AT84-AT90</f>
        <v>0</v>
      </c>
      <c r="AU96" s="3109">
        <f>AU78+AU84-AU90</f>
        <v>0</v>
      </c>
      <c r="AV96" s="3109">
        <f>AV78+AV84-AV90</f>
        <v>0</v>
      </c>
      <c r="AW96" s="3109">
        <f>AW78+AW84-AW90</f>
        <v>0</v>
      </c>
      <c r="AX96" s="3109">
        <f>AX78+AX84-AX90</f>
        <v>0</v>
      </c>
      <c r="AY96" s="3109">
        <f>AY78+AY84-AY90</f>
        <v>0</v>
      </c>
      <c r="AZ96" s="3109">
        <f>AZ78+AZ84-AZ90</f>
        <v>0</v>
      </c>
      <c r="BA96" s="3109">
        <f>BA78+BA84-BA90</f>
        <v>0</v>
      </c>
      <c r="BB96" s="3109">
        <f>BB78+BB84-BB90</f>
        <v>0</v>
      </c>
      <c r="BC96" s="196"/>
      <c r="BD96" s="1240"/>
      <c r="BE96" s="1240"/>
      <c r="BF96" s="1042" t="s">
        <v>1111</v>
      </c>
    </row>
    <row s="1656" customFormat="1" customHeight="1" ht="37.171875">
      <c r="A97" s="1240"/>
      <c r="B97" s="1223"/>
      <c r="C97" s="1240"/>
      <c r="D97" s="1240"/>
      <c r="E97" s="633">
        <v>15</v>
      </c>
      <c r="F97" s="50" cm="1" t="str">
        <f t="array" ref="F97:F97">OFFSET(E97,-1,1)</f>
        <v>1</v>
      </c>
      <c r="G97" s="100" t="s">
        <v>663</v>
      </c>
      <c r="H97" s="1240"/>
      <c r="I97" s="1240"/>
      <c r="J97" s="1240"/>
      <c r="K97" s="1240"/>
      <c r="L97" s="1240"/>
      <c r="M97" s="1240"/>
      <c r="N97" s="1240"/>
      <c r="O97" s="1240"/>
      <c r="P97" s="1240"/>
      <c r="Q97" s="1240"/>
      <c r="R97" s="1240"/>
      <c r="S97" s="1240"/>
      <c r="T97" s="468" cm="1" t="str">
        <f t="array" ref="T97:T97">T96</f>
        <v>true</v>
      </c>
      <c r="U97" s="1240"/>
      <c r="V97" s="1240"/>
      <c r="W97" s="1240"/>
      <c r="X97" s="1559"/>
      <c r="Y97" s="1240"/>
      <c r="Z97" s="1560"/>
      <c r="AA97" s="1240"/>
      <c r="AB97" s="84" t="s">
        <v>797</v>
      </c>
      <c r="AC97" s="210" t="s">
        <v>1071</v>
      </c>
      <c r="AD97" s="85" t="s">
        <v>936</v>
      </c>
      <c r="AE97" s="211">
        <v>111562.2</v>
      </c>
      <c r="AF97" s="211">
        <f>AF79+AF85-AF91</f>
        <v>9728.49227</v>
      </c>
      <c r="AG97" s="211">
        <f>AG79+AG85-AG91</f>
        <v>2853.10177</v>
      </c>
      <c r="AH97" s="211">
        <v>108194.46933</v>
      </c>
      <c r="AI97" s="211">
        <f>AI79+AI85-AI91</f>
        <v>0</v>
      </c>
      <c r="AJ97" s="3109">
        <f>AJ79+AJ85-AJ91</f>
        <v>0</v>
      </c>
      <c r="AK97" s="3109">
        <f>AK79+AK85-AK91</f>
        <v>0</v>
      </c>
      <c r="AL97" s="3109">
        <f>AL79+AL85-AL91</f>
        <v>0</v>
      </c>
      <c r="AM97" s="3109">
        <f>AM79+AM85-AM91</f>
        <v>0</v>
      </c>
      <c r="AN97" s="3109">
        <f>AN79+AN85-AN91</f>
        <v>0</v>
      </c>
      <c r="AO97" s="3109">
        <f>AO79+AO85-AO91</f>
        <v>0</v>
      </c>
      <c r="AP97" s="3109">
        <f>AP79+AP85-AP91</f>
        <v>0</v>
      </c>
      <c r="AQ97" s="3109">
        <f>AQ79+AQ85-AQ91</f>
        <v>0</v>
      </c>
      <c r="AR97" s="3109">
        <f>AR79+AR85-AR91</f>
        <v>0</v>
      </c>
      <c r="AS97" s="211">
        <f>AS79+AS85-AS91</f>
        <v>2853.10177</v>
      </c>
      <c r="AT97" s="3109">
        <f>AT79+AT85-AT91</f>
        <v>0</v>
      </c>
      <c r="AU97" s="3109">
        <f>AU79+AU85-AU91</f>
        <v>0</v>
      </c>
      <c r="AV97" s="3109">
        <f>AV79+AV85-AV91</f>
        <v>0</v>
      </c>
      <c r="AW97" s="3109">
        <f>AW79+AW85-AW91</f>
        <v>0</v>
      </c>
      <c r="AX97" s="3109">
        <f>AX79+AX85-AX91</f>
        <v>0</v>
      </c>
      <c r="AY97" s="3109">
        <f>AY79+AY85-AY91</f>
        <v>0</v>
      </c>
      <c r="AZ97" s="3109">
        <f>AZ79+AZ85-AZ91</f>
        <v>0</v>
      </c>
      <c r="BA97" s="3109">
        <f>BA79+BA85-BA91</f>
        <v>0</v>
      </c>
      <c r="BB97" s="3109">
        <f>BB79+BB85-BB91</f>
        <v>0</v>
      </c>
      <c r="BC97" s="196" t="s">
        <v>1169</v>
      </c>
      <c r="BD97" s="1240"/>
      <c r="BE97" s="1240"/>
      <c r="BF97" s="1042" t="s">
        <v>1112</v>
      </c>
    </row>
    <row s="1656" customFormat="1" customHeight="1" ht="43.171875">
      <c r="A98" s="1240"/>
      <c r="B98" s="1223"/>
      <c r="C98" s="1240"/>
      <c r="D98" s="1240"/>
      <c r="E98" s="633">
        <v>15</v>
      </c>
      <c r="F98" s="50" cm="1" t="str">
        <f t="array" ref="F98:F98">OFFSET(E98,-1,1)</f>
        <v>1</v>
      </c>
      <c r="G98" s="100" t="s">
        <v>667</v>
      </c>
      <c r="H98" s="1240"/>
      <c r="I98" s="1240"/>
      <c r="J98" s="1240"/>
      <c r="K98" s="1240"/>
      <c r="L98" s="1240"/>
      <c r="M98" s="1240"/>
      <c r="N98" s="1240"/>
      <c r="O98" s="1240"/>
      <c r="P98" s="1240"/>
      <c r="Q98" s="1240"/>
      <c r="R98" s="1240"/>
      <c r="S98" s="1240"/>
      <c r="T98" s="468" cm="1" t="str">
        <f t="array" ref="T98:T98">T97</f>
        <v>true</v>
      </c>
      <c r="U98" s="1240"/>
      <c r="V98" s="1240"/>
      <c r="W98" s="1240"/>
      <c r="X98" s="1559"/>
      <c r="Y98" s="1240"/>
      <c r="Z98" s="1560"/>
      <c r="AA98" s="1240"/>
      <c r="AB98" s="84" t="s">
        <v>831</v>
      </c>
      <c r="AC98" s="210" t="s">
        <v>1074</v>
      </c>
      <c r="AD98" s="85" t="s">
        <v>936</v>
      </c>
      <c r="AE98" s="211">
        <f>AE80+AE86-AE92</f>
        <v>6917.4</v>
      </c>
      <c r="AF98" s="211">
        <f>AF80+AF86-AF92</f>
        <v>20009.92248</v>
      </c>
      <c r="AG98" s="211">
        <f>AG80+AG86-AG92</f>
        <v>0</v>
      </c>
      <c r="AH98" s="211">
        <v>45599.82165</v>
      </c>
      <c r="AI98" s="211">
        <f>AI80+AI86-AI92</f>
        <v>0</v>
      </c>
      <c r="AJ98" s="3109">
        <f>AJ80+AJ86-AJ92</f>
        <v>0</v>
      </c>
      <c r="AK98" s="3109">
        <f>AK80+AK86-AK92</f>
        <v>0</v>
      </c>
      <c r="AL98" s="3109">
        <f>AL80+AL86-AL92</f>
        <v>0</v>
      </c>
      <c r="AM98" s="3109">
        <f>AM80+AM86-AM92</f>
        <v>0</v>
      </c>
      <c r="AN98" s="3109">
        <f>AN80+AN86-AN92</f>
        <v>0</v>
      </c>
      <c r="AO98" s="3109">
        <f>AO80+AO86-AO92</f>
        <v>0</v>
      </c>
      <c r="AP98" s="3109">
        <f>AP80+AP86-AP92</f>
        <v>0</v>
      </c>
      <c r="AQ98" s="3109">
        <f>AQ80+AQ86-AQ92</f>
        <v>0</v>
      </c>
      <c r="AR98" s="3109">
        <f>AR80+AR86-AR92</f>
        <v>0</v>
      </c>
      <c r="AS98" s="211">
        <f>AS80+AS86-AS92</f>
        <v>0</v>
      </c>
      <c r="AT98" s="3109">
        <f>AT80+AT86-AT92</f>
        <v>0</v>
      </c>
      <c r="AU98" s="3109">
        <f>AU80+AU86-AU92</f>
        <v>0</v>
      </c>
      <c r="AV98" s="3109">
        <f>AV80+AV86-AV92</f>
        <v>0</v>
      </c>
      <c r="AW98" s="3109">
        <f>AW80+AW86-AW92</f>
        <v>0</v>
      </c>
      <c r="AX98" s="3109">
        <f>AX80+AX86-AX92</f>
        <v>0</v>
      </c>
      <c r="AY98" s="3109">
        <f>AY80+AY86-AY92</f>
        <v>0</v>
      </c>
      <c r="AZ98" s="3109">
        <f>AZ80+AZ86-AZ92</f>
        <v>0</v>
      </c>
      <c r="BA98" s="3109">
        <f>BA80+BA86-BA92</f>
        <v>0</v>
      </c>
      <c r="BB98" s="3109">
        <f>BB80+BB86-BB92</f>
        <v>0</v>
      </c>
      <c r="BC98" s="196" t="s">
        <v>1170</v>
      </c>
      <c r="BD98" s="1240"/>
      <c r="BE98" s="1240"/>
      <c r="BF98" s="1042" t="s">
        <v>1113</v>
      </c>
    </row>
    <row s="1656" customFormat="1" customHeight="1" ht="14.25">
      <c r="A99" s="1240"/>
      <c r="B99" s="1223"/>
      <c r="C99" s="1240"/>
      <c r="D99" s="1240"/>
      <c r="E99" s="633">
        <v>15</v>
      </c>
      <c r="F99" s="50" cm="1" t="str">
        <f t="array" ref="F99:F99">OFFSET(E99,-1,1)</f>
        <v>1</v>
      </c>
      <c r="G99" s="100" t="s">
        <v>1114</v>
      </c>
      <c r="H99" s="1240"/>
      <c r="I99" s="1240"/>
      <c r="J99" s="1240"/>
      <c r="K99" s="1240"/>
      <c r="L99" s="1240"/>
      <c r="M99" s="1240"/>
      <c r="N99" s="1240"/>
      <c r="O99" s="1240"/>
      <c r="P99" s="1240"/>
      <c r="Q99" s="1240"/>
      <c r="R99" s="1240"/>
      <c r="S99" s="1240"/>
      <c r="T99" s="468" cm="1" t="str">
        <f t="array" ref="T99:T99">T98</f>
        <v>true</v>
      </c>
      <c r="U99" s="1240"/>
      <c r="V99" s="1240"/>
      <c r="W99" s="1240"/>
      <c r="X99" s="1559"/>
      <c r="Y99" s="1240"/>
      <c r="Z99" s="1560"/>
      <c r="AA99" s="1240"/>
      <c r="AB99" s="84" t="s">
        <v>840</v>
      </c>
      <c r="AC99" s="210" t="s">
        <v>1077</v>
      </c>
      <c r="AD99" s="85" t="s">
        <v>936</v>
      </c>
      <c r="AE99" s="211">
        <f>AE81+AE87-AE93</f>
        <v>0</v>
      </c>
      <c r="AF99" s="211">
        <f>AF81+AF87-AF93</f>
        <v>0</v>
      </c>
      <c r="AG99" s="211">
        <f>AG81+AG87-AG93</f>
        <v>0</v>
      </c>
      <c r="AH99" s="211">
        <f>AH81+AH87-AH93</f>
        <v>0</v>
      </c>
      <c r="AI99" s="211">
        <f>AI81+AI87-AI93</f>
        <v>0</v>
      </c>
      <c r="AJ99" s="3109">
        <f>AJ81+AJ87-AJ93</f>
        <v>0</v>
      </c>
      <c r="AK99" s="3109">
        <f>AK81+AK87-AK93</f>
        <v>0</v>
      </c>
      <c r="AL99" s="3109">
        <f>AL81+AL87-AL93</f>
        <v>0</v>
      </c>
      <c r="AM99" s="3109">
        <f>AM81+AM87-AM93</f>
        <v>0</v>
      </c>
      <c r="AN99" s="3109">
        <f>AN81+AN87-AN93</f>
        <v>0</v>
      </c>
      <c r="AO99" s="3109">
        <f>AO81+AO87-AO93</f>
        <v>0</v>
      </c>
      <c r="AP99" s="3109">
        <f>AP81+AP87-AP93</f>
        <v>0</v>
      </c>
      <c r="AQ99" s="3109">
        <f>AQ81+AQ87-AQ93</f>
        <v>0</v>
      </c>
      <c r="AR99" s="3109">
        <f>AR81+AR87-AR93</f>
        <v>0</v>
      </c>
      <c r="AS99" s="211">
        <f>AS81+AS87-AS93</f>
        <v>0</v>
      </c>
      <c r="AT99" s="3109">
        <f>AT81+AT87-AT93</f>
        <v>0</v>
      </c>
      <c r="AU99" s="3109">
        <f>AU81+AU87-AU93</f>
        <v>0</v>
      </c>
      <c r="AV99" s="3109">
        <f>AV81+AV87-AV93</f>
        <v>0</v>
      </c>
      <c r="AW99" s="3109">
        <f>AW81+AW87-AW93</f>
        <v>0</v>
      </c>
      <c r="AX99" s="3109">
        <f>AX81+AX87-AX93</f>
        <v>0</v>
      </c>
      <c r="AY99" s="3109">
        <f>AY81+AY87-AY93</f>
        <v>0</v>
      </c>
      <c r="AZ99" s="3109">
        <f>AZ81+AZ87-AZ93</f>
        <v>0</v>
      </c>
      <c r="BA99" s="3109">
        <f>BA81+BA87-BA93</f>
        <v>0</v>
      </c>
      <c r="BB99" s="3109">
        <f>BB81+BB87-BB93</f>
        <v>0</v>
      </c>
      <c r="BC99" s="196"/>
      <c r="BD99" s="1240"/>
      <c r="BE99" s="1240"/>
      <c r="BF99" s="1042" t="s">
        <v>1115</v>
      </c>
    </row>
    <row s="1656" customFormat="1" customHeight="1" ht="14.625">
      <c r="A100" s="1240"/>
      <c r="B100" s="1223"/>
      <c r="C100" s="1240"/>
      <c r="D100" s="1240"/>
      <c r="E100" s="633">
        <v>15</v>
      </c>
      <c r="F100" s="50" cm="1" t="str">
        <f t="array" ref="F100:F100">OFFSET(E100,-1,1)</f>
        <v>1</v>
      </c>
      <c r="G100" s="100" t="s">
        <v>1116</v>
      </c>
      <c r="H100" s="1240"/>
      <c r="I100" s="1240"/>
      <c r="J100" s="1240"/>
      <c r="K100" s="1240"/>
      <c r="L100" s="1240"/>
      <c r="M100" s="1240"/>
      <c r="N100" s="1240"/>
      <c r="O100" s="1240"/>
      <c r="P100" s="1240"/>
      <c r="Q100" s="1240"/>
      <c r="R100" s="1240"/>
      <c r="S100" s="1240"/>
      <c r="T100" s="468" cm="1" t="str">
        <f t="array" ref="T100:T100">T99</f>
        <v>true</v>
      </c>
      <c r="U100" s="1240"/>
      <c r="V100" s="1240"/>
      <c r="W100" s="1240"/>
      <c r="X100" s="1559"/>
      <c r="Y100" s="1240"/>
      <c r="Z100" s="1560"/>
      <c r="AA100" s="1240"/>
      <c r="AB100" s="84" t="s">
        <v>850</v>
      </c>
      <c r="AC100" s="210" t="s">
        <v>1081</v>
      </c>
      <c r="AD100" s="85" t="s">
        <v>936</v>
      </c>
      <c r="AE100" s="211">
        <v>25752</v>
      </c>
      <c r="AF100" s="211">
        <f>AF82+AF88-AF94</f>
        <v>0</v>
      </c>
      <c r="AG100" s="211">
        <f>AG82+AG88-AG94</f>
        <v>31393.14135</v>
      </c>
      <c r="AH100" s="211">
        <f>AH82+AH88-AH94</f>
        <v>0</v>
      </c>
      <c r="AI100" s="211">
        <f>AI82+AI88-AI94</f>
        <v>0</v>
      </c>
      <c r="AJ100" s="3109">
        <f>AJ82+AJ88-AJ94</f>
        <v>0</v>
      </c>
      <c r="AK100" s="3109">
        <f>AK82+AK88-AK94</f>
        <v>0</v>
      </c>
      <c r="AL100" s="3109">
        <f>AL82+AL88-AL94</f>
        <v>0</v>
      </c>
      <c r="AM100" s="3109">
        <f>AM82+AM88-AM94</f>
        <v>0</v>
      </c>
      <c r="AN100" s="3109">
        <f>AN82+AN88-AN94</f>
        <v>0</v>
      </c>
      <c r="AO100" s="3109">
        <f>AO82+AO88-AO94</f>
        <v>0</v>
      </c>
      <c r="AP100" s="3109">
        <f>AP82+AP88-AP94</f>
        <v>0</v>
      </c>
      <c r="AQ100" s="3109">
        <f>AQ82+AQ88-AQ94</f>
        <v>0</v>
      </c>
      <c r="AR100" s="3109">
        <f>AR82+AR88-AR94</f>
        <v>0</v>
      </c>
      <c r="AS100" s="211">
        <f>AS82+AS88-AS94</f>
        <v>312329.3</v>
      </c>
      <c r="AT100" s="3109">
        <f>AT82+AT88-AT94</f>
        <v>0</v>
      </c>
      <c r="AU100" s="3109">
        <f>AU82+AU88-AU94</f>
        <v>0</v>
      </c>
      <c r="AV100" s="3109">
        <f>AV82+AV88-AV94</f>
        <v>0</v>
      </c>
      <c r="AW100" s="3109">
        <f>AW82+AW88-AW94</f>
        <v>0</v>
      </c>
      <c r="AX100" s="3109">
        <f>AX82+AX88-AX94</f>
        <v>0</v>
      </c>
      <c r="AY100" s="3109">
        <f>AY82+AY88-AY94</f>
        <v>0</v>
      </c>
      <c r="AZ100" s="3109">
        <f>AZ82+AZ88-AZ94</f>
        <v>0</v>
      </c>
      <c r="BA100" s="3109">
        <f>BA82+BA88-BA94</f>
        <v>0</v>
      </c>
      <c r="BB100" s="3109">
        <f>BB82+BB88-BB94</f>
        <v>0</v>
      </c>
      <c r="BC100" s="196"/>
      <c r="BD100" s="1240"/>
      <c r="BE100" s="1240"/>
      <c r="BF100" s="1042" t="s">
        <v>1117</v>
      </c>
    </row>
    <row s="528" customFormat="1" customHeight="1" ht="14.625">
      <c r="A101" s="528"/>
      <c r="B101" s="433"/>
      <c r="C101" s="528"/>
      <c r="D101" s="528"/>
      <c r="E101" s="633">
        <v>15</v>
      </c>
      <c r="F101" s="50" cm="1" t="str">
        <f t="array" ref="F101:F101">OFFSET(E101,-1,1)</f>
        <v>1</v>
      </c>
      <c r="G101" s="100" t="s">
        <v>347</v>
      </c>
      <c r="H101" s="528"/>
      <c r="I101" s="528"/>
      <c r="J101" s="528"/>
      <c r="K101" s="528"/>
      <c r="L101" s="528"/>
      <c r="M101" s="528"/>
      <c r="N101" s="528"/>
      <c r="O101" s="528"/>
      <c r="P101" s="528"/>
      <c r="Q101" s="528"/>
      <c r="R101" s="528"/>
      <c r="S101" s="528"/>
      <c r="T101" s="468" cm="1" t="str">
        <f t="array" ref="T101:T101">T100</f>
        <v>true</v>
      </c>
      <c r="U101" s="528"/>
      <c r="V101" s="528"/>
      <c r="W101" s="528"/>
      <c r="X101" s="1559"/>
      <c r="Y101" s="528"/>
      <c r="Z101" s="1560"/>
      <c r="AA101" s="528"/>
      <c r="AB101" s="207">
        <v>5</v>
      </c>
      <c r="AC101" s="208" t="s">
        <v>1118</v>
      </c>
      <c r="AD101" s="85" t="s">
        <v>936</v>
      </c>
      <c r="AE101" s="1217">
        <v>111654.4</v>
      </c>
      <c r="AF101" s="1217">
        <f>SUM(AF102:AF106)</f>
        <v>27526.514535</v>
      </c>
      <c r="AG101" s="1217">
        <f>SUM(AG102:AG106)</f>
        <v>27526.51455</v>
      </c>
      <c r="AH101" s="1217">
        <v>113427.18598</v>
      </c>
      <c r="AI101" s="1217">
        <f>SUM(AI102:AI106)</f>
        <v>0</v>
      </c>
      <c r="AJ101" s="3107">
        <f>SUM(AJ102:AJ106)</f>
        <v>0</v>
      </c>
      <c r="AK101" s="3107">
        <f>SUM(AK102:AK106)</f>
        <v>0</v>
      </c>
      <c r="AL101" s="3107">
        <f>SUM(AL102:AL106)</f>
        <v>0</v>
      </c>
      <c r="AM101" s="3107">
        <f>SUM(AM102:AM106)</f>
        <v>0</v>
      </c>
      <c r="AN101" s="3107">
        <f>SUM(AN102:AN106)</f>
        <v>0</v>
      </c>
      <c r="AO101" s="3107">
        <f>SUM(AO102:AO106)</f>
        <v>0</v>
      </c>
      <c r="AP101" s="3107">
        <f>SUM(AP102:AP106)</f>
        <v>0</v>
      </c>
      <c r="AQ101" s="3107">
        <f>SUM(AQ102:AQ106)</f>
        <v>0</v>
      </c>
      <c r="AR101" s="3107">
        <f>SUM(AR102:AR106)</f>
        <v>0</v>
      </c>
      <c r="AS101" s="1217">
        <f>SUM(AS102:AS106)</f>
        <v>268975.65177</v>
      </c>
      <c r="AT101" s="3107">
        <f>SUM(AT102:AT106)</f>
        <v>0</v>
      </c>
      <c r="AU101" s="3107">
        <f>SUM(AU102:AU106)</f>
        <v>0</v>
      </c>
      <c r="AV101" s="3107">
        <f>SUM(AV102:AV106)</f>
        <v>0</v>
      </c>
      <c r="AW101" s="3107">
        <f>SUM(AW102:AW106)</f>
        <v>0</v>
      </c>
      <c r="AX101" s="3107">
        <f>SUM(AX102:AX106)</f>
        <v>0</v>
      </c>
      <c r="AY101" s="3107">
        <f>SUM(AY102:AY106)</f>
        <v>0</v>
      </c>
      <c r="AZ101" s="3107">
        <f>SUM(AZ102:AZ106)</f>
        <v>0</v>
      </c>
      <c r="BA101" s="3107">
        <f>SUM(BA102:BA106)</f>
        <v>0</v>
      </c>
      <c r="BB101" s="3107">
        <f>SUM(BB102:BB106)</f>
        <v>0</v>
      </c>
      <c r="BC101" s="196"/>
      <c r="BD101" s="528"/>
      <c r="BE101" s="528"/>
      <c r="BF101" s="1042" t="s">
        <v>1119</v>
      </c>
    </row>
    <row s="1656" customFormat="1" customHeight="1" ht="14.625">
      <c r="A102" s="1240"/>
      <c r="B102" s="1223"/>
      <c r="C102" s="1240"/>
      <c r="D102" s="1240"/>
      <c r="E102" s="633">
        <v>15</v>
      </c>
      <c r="F102" s="50" cm="1" t="str">
        <f t="array" ref="F102:F102">OFFSET(E102,-1,1)</f>
        <v>1</v>
      </c>
      <c r="G102" s="100" t="s">
        <v>673</v>
      </c>
      <c r="H102" s="1240"/>
      <c r="I102" s="1240"/>
      <c r="J102" s="1240"/>
      <c r="K102" s="1240"/>
      <c r="L102" s="1240"/>
      <c r="M102" s="1240"/>
      <c r="N102" s="1240"/>
      <c r="O102" s="1240"/>
      <c r="P102" s="1240"/>
      <c r="Q102" s="1240"/>
      <c r="R102" s="1240"/>
      <c r="S102" s="1240"/>
      <c r="T102" s="468" cm="1" t="str">
        <f t="array" ref="T102:T102">T101</f>
        <v>true</v>
      </c>
      <c r="U102" s="1240"/>
      <c r="V102" s="1240"/>
      <c r="W102" s="1240"/>
      <c r="X102" s="1559"/>
      <c r="Y102" s="1240"/>
      <c r="Z102" s="1560"/>
      <c r="AA102" s="1240"/>
      <c r="AB102" s="84" t="s">
        <v>801</v>
      </c>
      <c r="AC102" s="210" t="s">
        <v>1068</v>
      </c>
      <c r="AD102" s="85" t="s">
        <v>936</v>
      </c>
      <c r="AE102" s="211">
        <f>(AE96+AE78)/2</f>
        <v>0</v>
      </c>
      <c r="AF102" s="211">
        <f>(AF96+AF78)/2</f>
        <v>2720.76167</v>
      </c>
      <c r="AG102" s="211">
        <f>(AG96+AG78)/2</f>
        <v>0</v>
      </c>
      <c r="AH102" s="211">
        <v>933.695</v>
      </c>
      <c r="AI102" s="211">
        <f>(AI96+AI78)/2</f>
        <v>0</v>
      </c>
      <c r="AJ102" s="3109">
        <f>(AJ96+AJ78)/2</f>
        <v>0</v>
      </c>
      <c r="AK102" s="3109">
        <f>(AK96+AK78)/2</f>
        <v>0</v>
      </c>
      <c r="AL102" s="3109">
        <f>(AL96+AL78)/2</f>
        <v>0</v>
      </c>
      <c r="AM102" s="3109">
        <f>(AM96+AM78)/2</f>
        <v>0</v>
      </c>
      <c r="AN102" s="3109">
        <f>(AN96+AN78)/2</f>
        <v>0</v>
      </c>
      <c r="AO102" s="3109">
        <f>(AO96+AO78)/2</f>
        <v>0</v>
      </c>
      <c r="AP102" s="3109">
        <f>(AP96+AP78)/2</f>
        <v>0</v>
      </c>
      <c r="AQ102" s="3109">
        <f>(AQ96+AQ78)/2</f>
        <v>0</v>
      </c>
      <c r="AR102" s="3109">
        <f>(AR96+AR78)/2</f>
        <v>0</v>
      </c>
      <c r="AS102" s="211">
        <f>(AS96+AS78)/2</f>
        <v>0</v>
      </c>
      <c r="AT102" s="3109">
        <f>(AT96+AT78)/2</f>
        <v>0</v>
      </c>
      <c r="AU102" s="3109">
        <f>(AU96+AU78)/2</f>
        <v>0</v>
      </c>
      <c r="AV102" s="3109">
        <f>(AV96+AV78)/2</f>
        <v>0</v>
      </c>
      <c r="AW102" s="3109">
        <f>(AW96+AW78)/2</f>
        <v>0</v>
      </c>
      <c r="AX102" s="3109">
        <f>(AX96+AX78)/2</f>
        <v>0</v>
      </c>
      <c r="AY102" s="3109">
        <f>(AY96+AY78)/2</f>
        <v>0</v>
      </c>
      <c r="AZ102" s="3109">
        <f>(AZ96+AZ78)/2</f>
        <v>0</v>
      </c>
      <c r="BA102" s="3109">
        <f>(BA96+BA78)/2</f>
        <v>0</v>
      </c>
      <c r="BB102" s="3109">
        <f>(BB96+BB78)/2</f>
        <v>0</v>
      </c>
      <c r="BC102" s="196"/>
      <c r="BD102" s="1240"/>
      <c r="BE102" s="1240"/>
      <c r="BF102" s="1042" t="s">
        <v>1120</v>
      </c>
    </row>
    <row s="1656" customFormat="1" customHeight="1" ht="14.625">
      <c r="A103" s="1240"/>
      <c r="B103" s="1223"/>
      <c r="C103" s="1240"/>
      <c r="D103" s="1240"/>
      <c r="E103" s="633">
        <v>15</v>
      </c>
      <c r="F103" s="50" cm="1" t="str">
        <f t="array" ref="F103:F103">OFFSET(E103,-1,1)</f>
        <v>1</v>
      </c>
      <c r="G103" s="100" t="s">
        <v>677</v>
      </c>
      <c r="H103" s="1240"/>
      <c r="I103" s="1240"/>
      <c r="J103" s="1240"/>
      <c r="K103" s="1240"/>
      <c r="L103" s="1240"/>
      <c r="M103" s="1240"/>
      <c r="N103" s="1240"/>
      <c r="O103" s="1240"/>
      <c r="P103" s="1240"/>
      <c r="Q103" s="1240"/>
      <c r="R103" s="1240"/>
      <c r="S103" s="1240"/>
      <c r="T103" s="468" cm="1" t="str">
        <f t="array" ref="T103:T103">T102</f>
        <v>true</v>
      </c>
      <c r="U103" s="1240"/>
      <c r="V103" s="1240"/>
      <c r="W103" s="1240"/>
      <c r="X103" s="1559"/>
      <c r="Y103" s="1240"/>
      <c r="Z103" s="1560"/>
      <c r="AA103" s="1240"/>
      <c r="AB103" s="84" t="s">
        <v>804</v>
      </c>
      <c r="AC103" s="210" t="s">
        <v>1071</v>
      </c>
      <c r="AD103" s="85" t="s">
        <v>936</v>
      </c>
      <c r="AE103" s="211">
        <v>89361.1</v>
      </c>
      <c r="AF103" s="211">
        <f>(AF97+AF79)/2</f>
        <v>6426.7308</v>
      </c>
      <c r="AG103" s="211">
        <f>(AG97+AG79)/2</f>
        <v>2299.601135</v>
      </c>
      <c r="AH103" s="211">
        <v>77860.81933</v>
      </c>
      <c r="AI103" s="211">
        <f>(AI97+AI79)/2</f>
        <v>0</v>
      </c>
      <c r="AJ103" s="3109">
        <f>(AJ97+AJ79)/2</f>
        <v>0</v>
      </c>
      <c r="AK103" s="3109">
        <f>(AK97+AK79)/2</f>
        <v>0</v>
      </c>
      <c r="AL103" s="3109">
        <f>(AL97+AL79)/2</f>
        <v>0</v>
      </c>
      <c r="AM103" s="3109">
        <f>(AM97+AM79)/2</f>
        <v>0</v>
      </c>
      <c r="AN103" s="3109">
        <f>(AN97+AN79)/2</f>
        <v>0</v>
      </c>
      <c r="AO103" s="3109">
        <f>(AO97+AO79)/2</f>
        <v>0</v>
      </c>
      <c r="AP103" s="3109">
        <f>(AP97+AP79)/2</f>
        <v>0</v>
      </c>
      <c r="AQ103" s="3109">
        <f>(AQ97+AQ79)/2</f>
        <v>0</v>
      </c>
      <c r="AR103" s="3109">
        <f>(AR97+AR79)/2</f>
        <v>0</v>
      </c>
      <c r="AS103" s="211">
        <f>(AS97+AS79)/2</f>
        <v>2853.10177</v>
      </c>
      <c r="AT103" s="3109">
        <f>(AT97+AT79)/2</f>
        <v>0</v>
      </c>
      <c r="AU103" s="3109">
        <f>(AU97+AU79)/2</f>
        <v>0</v>
      </c>
      <c r="AV103" s="3109">
        <f>(AV97+AV79)/2</f>
        <v>0</v>
      </c>
      <c r="AW103" s="3109">
        <f>(AW97+AW79)/2</f>
        <v>0</v>
      </c>
      <c r="AX103" s="3109">
        <f>(AX97+AX79)/2</f>
        <v>0</v>
      </c>
      <c r="AY103" s="3109">
        <f>(AY97+AY79)/2</f>
        <v>0</v>
      </c>
      <c r="AZ103" s="3109">
        <f>(AZ97+AZ79)/2</f>
        <v>0</v>
      </c>
      <c r="BA103" s="3109">
        <f>(BA97+BA79)/2</f>
        <v>0</v>
      </c>
      <c r="BB103" s="3109">
        <f>(BB97+BB79)/2</f>
        <v>0</v>
      </c>
      <c r="BC103" s="196"/>
      <c r="BD103" s="1240"/>
      <c r="BE103" s="1240"/>
      <c r="BF103" s="1042" t="s">
        <v>1121</v>
      </c>
    </row>
    <row s="1656" customFormat="1" customHeight="1" ht="14.625">
      <c r="A104" s="1240"/>
      <c r="B104" s="1223"/>
      <c r="C104" s="1240"/>
      <c r="D104" s="1240"/>
      <c r="E104" s="633">
        <v>15</v>
      </c>
      <c r="F104" s="50" cm="1" t="str">
        <f t="array" ref="F104:F104">OFFSET(E104,-1,1)</f>
        <v>1</v>
      </c>
      <c r="G104" s="100" t="s">
        <v>889</v>
      </c>
      <c r="H104" s="1240"/>
      <c r="I104" s="1240"/>
      <c r="J104" s="1240"/>
      <c r="K104" s="1240"/>
      <c r="L104" s="1240"/>
      <c r="M104" s="1240"/>
      <c r="N104" s="1240"/>
      <c r="O104" s="1240"/>
      <c r="P104" s="1240"/>
      <c r="Q104" s="1240"/>
      <c r="R104" s="1240"/>
      <c r="S104" s="1240"/>
      <c r="T104" s="468" cm="1" t="str">
        <f t="array" ref="T104:T104">T103</f>
        <v>true</v>
      </c>
      <c r="U104" s="1240"/>
      <c r="V104" s="1240"/>
      <c r="W104" s="1240"/>
      <c r="X104" s="1559"/>
      <c r="Y104" s="1240"/>
      <c r="Z104" s="1560"/>
      <c r="AA104" s="1240"/>
      <c r="AB104" s="84" t="s">
        <v>1122</v>
      </c>
      <c r="AC104" s="210" t="s">
        <v>1074</v>
      </c>
      <c r="AD104" s="85" t="s">
        <v>936</v>
      </c>
      <c r="AE104" s="211">
        <f>(AE98+AE80)/2</f>
        <v>3458.7</v>
      </c>
      <c r="AF104" s="211">
        <f>(AF98+AF80)/2</f>
        <v>18379.022065</v>
      </c>
      <c r="AG104" s="211">
        <f>(AG98+AG80)/2</f>
        <v>0</v>
      </c>
      <c r="AH104" s="211">
        <v>34632.67165</v>
      </c>
      <c r="AI104" s="211">
        <f>(AI98+AI80)/2</f>
        <v>0</v>
      </c>
      <c r="AJ104" s="3109">
        <f>(AJ98+AJ80)/2</f>
        <v>0</v>
      </c>
      <c r="AK104" s="3109">
        <f>(AK98+AK80)/2</f>
        <v>0</v>
      </c>
      <c r="AL104" s="3109">
        <f>(AL98+AL80)/2</f>
        <v>0</v>
      </c>
      <c r="AM104" s="3109">
        <f>(AM98+AM80)/2</f>
        <v>0</v>
      </c>
      <c r="AN104" s="3109">
        <f>(AN98+AN80)/2</f>
        <v>0</v>
      </c>
      <c r="AO104" s="3109">
        <f>(AO98+AO80)/2</f>
        <v>0</v>
      </c>
      <c r="AP104" s="3109">
        <f>(AP98+AP80)/2</f>
        <v>0</v>
      </c>
      <c r="AQ104" s="3109">
        <f>(AQ98+AQ80)/2</f>
        <v>0</v>
      </c>
      <c r="AR104" s="3109">
        <f>(AR98+AR80)/2</f>
        <v>0</v>
      </c>
      <c r="AS104" s="211">
        <f>(AS98+AS80)/2</f>
        <v>0</v>
      </c>
      <c r="AT104" s="3109">
        <f>(AT98+AT80)/2</f>
        <v>0</v>
      </c>
      <c r="AU104" s="3109">
        <f>(AU98+AU80)/2</f>
        <v>0</v>
      </c>
      <c r="AV104" s="3109">
        <f>(AV98+AV80)/2</f>
        <v>0</v>
      </c>
      <c r="AW104" s="3109">
        <f>(AW98+AW80)/2</f>
        <v>0</v>
      </c>
      <c r="AX104" s="3109">
        <f>(AX98+AX80)/2</f>
        <v>0</v>
      </c>
      <c r="AY104" s="3109">
        <f>(AY98+AY80)/2</f>
        <v>0</v>
      </c>
      <c r="AZ104" s="3109">
        <f>(AZ98+AZ80)/2</f>
        <v>0</v>
      </c>
      <c r="BA104" s="3109">
        <f>(BA98+BA80)/2</f>
        <v>0</v>
      </c>
      <c r="BB104" s="3109">
        <f>(BB98+BB80)/2</f>
        <v>0</v>
      </c>
      <c r="BC104" s="196"/>
      <c r="BD104" s="1240"/>
      <c r="BE104" s="1240"/>
      <c r="BF104" s="1042" t="s">
        <v>1123</v>
      </c>
    </row>
    <row s="1656" customFormat="1" customHeight="1" ht="14.25">
      <c r="A105" s="1240"/>
      <c r="B105" s="1223"/>
      <c r="C105" s="1240"/>
      <c r="D105" s="1240"/>
      <c r="E105" s="633">
        <v>15</v>
      </c>
      <c r="F105" s="50" cm="1" t="str">
        <f t="array" ref="F105:F105">OFFSET(E105,-1,1)</f>
        <v>1</v>
      </c>
      <c r="G105" s="100" t="s">
        <v>1124</v>
      </c>
      <c r="H105" s="1240"/>
      <c r="I105" s="1240"/>
      <c r="J105" s="1240"/>
      <c r="K105" s="1240"/>
      <c r="L105" s="1240"/>
      <c r="M105" s="1240"/>
      <c r="N105" s="1240"/>
      <c r="O105" s="1240"/>
      <c r="P105" s="1240"/>
      <c r="Q105" s="1240"/>
      <c r="R105" s="1240"/>
      <c r="S105" s="1240"/>
      <c r="T105" s="468" cm="1" t="str">
        <f t="array" ref="T105:T105">T104</f>
        <v>true</v>
      </c>
      <c r="U105" s="1240"/>
      <c r="V105" s="1240"/>
      <c r="W105" s="1240"/>
      <c r="X105" s="1559"/>
      <c r="Y105" s="1240"/>
      <c r="Z105" s="1560"/>
      <c r="AA105" s="1240"/>
      <c r="AB105" s="84" t="s">
        <v>1125</v>
      </c>
      <c r="AC105" s="210" t="s">
        <v>1077</v>
      </c>
      <c r="AD105" s="85" t="s">
        <v>936</v>
      </c>
      <c r="AE105" s="211">
        <f>(AE99+AE81)/2</f>
        <v>0</v>
      </c>
      <c r="AF105" s="211">
        <f>(AF99+AF81)/2</f>
        <v>0</v>
      </c>
      <c r="AG105" s="211">
        <f>(AG99+AG81)/2</f>
        <v>0</v>
      </c>
      <c r="AH105" s="211">
        <f>(AH99+AH81)/2</f>
        <v>0</v>
      </c>
      <c r="AI105" s="211">
        <f>(AI99+AI81)/2</f>
        <v>0</v>
      </c>
      <c r="AJ105" s="3109">
        <f>(AJ99+AJ81)/2</f>
        <v>0</v>
      </c>
      <c r="AK105" s="3109">
        <f>(AK99+AK81)/2</f>
        <v>0</v>
      </c>
      <c r="AL105" s="3109">
        <f>(AL99+AL81)/2</f>
        <v>0</v>
      </c>
      <c r="AM105" s="3109">
        <f>(AM99+AM81)/2</f>
        <v>0</v>
      </c>
      <c r="AN105" s="3109">
        <f>(AN99+AN81)/2</f>
        <v>0</v>
      </c>
      <c r="AO105" s="3109">
        <f>(AO99+AO81)/2</f>
        <v>0</v>
      </c>
      <c r="AP105" s="3109">
        <f>(AP99+AP81)/2</f>
        <v>0</v>
      </c>
      <c r="AQ105" s="3109">
        <f>(AQ99+AQ81)/2</f>
        <v>0</v>
      </c>
      <c r="AR105" s="3109">
        <f>(AR99+AR81)/2</f>
        <v>0</v>
      </c>
      <c r="AS105" s="211">
        <f>(AS99+AS81)/2</f>
        <v>0</v>
      </c>
      <c r="AT105" s="3109">
        <f>(AT99+AT81)/2</f>
        <v>0</v>
      </c>
      <c r="AU105" s="3109">
        <f>(AU99+AU81)/2</f>
        <v>0</v>
      </c>
      <c r="AV105" s="3109">
        <f>(AV99+AV81)/2</f>
        <v>0</v>
      </c>
      <c r="AW105" s="3109">
        <f>(AW99+AW81)/2</f>
        <v>0</v>
      </c>
      <c r="AX105" s="3109">
        <f>(AX99+AX81)/2</f>
        <v>0</v>
      </c>
      <c r="AY105" s="3109">
        <f>(AY99+AY81)/2</f>
        <v>0</v>
      </c>
      <c r="AZ105" s="3109">
        <f>(AZ99+AZ81)/2</f>
        <v>0</v>
      </c>
      <c r="BA105" s="3109">
        <f>(BA99+BA81)/2</f>
        <v>0</v>
      </c>
      <c r="BB105" s="3109">
        <f>(BB99+BB81)/2</f>
        <v>0</v>
      </c>
      <c r="BC105" s="196"/>
      <c r="BD105" s="1240"/>
      <c r="BE105" s="1240"/>
      <c r="BF105" s="1042" t="s">
        <v>1126</v>
      </c>
    </row>
    <row s="1656" customFormat="1" customHeight="1" ht="14.625">
      <c r="A106" s="1240"/>
      <c r="B106" s="1223"/>
      <c r="C106" s="1240"/>
      <c r="D106" s="1240"/>
      <c r="E106" s="633">
        <v>15</v>
      </c>
      <c r="F106" s="50" cm="1" t="str">
        <f t="array" ref="F106:F106">OFFSET(E106,-1,1)</f>
        <v>1</v>
      </c>
      <c r="G106" s="100" t="s">
        <v>1127</v>
      </c>
      <c r="H106" s="1240"/>
      <c r="I106" s="1240"/>
      <c r="J106" s="1240"/>
      <c r="K106" s="1240"/>
      <c r="L106" s="1240"/>
      <c r="M106" s="1240"/>
      <c r="N106" s="1240"/>
      <c r="O106" s="1240"/>
      <c r="P106" s="1240"/>
      <c r="Q106" s="1240"/>
      <c r="R106" s="1240"/>
      <c r="S106" s="1240"/>
      <c r="T106" s="468" cm="1" t="str">
        <f t="array" ref="T106:T106">T105</f>
        <v>true</v>
      </c>
      <c r="U106" s="1240"/>
      <c r="V106" s="1240"/>
      <c r="W106" s="1240"/>
      <c r="X106" s="1559"/>
      <c r="Y106" s="1240"/>
      <c r="Z106" s="1560"/>
      <c r="AA106" s="1240"/>
      <c r="AB106" s="84" t="s">
        <v>1128</v>
      </c>
      <c r="AC106" s="210" t="s">
        <v>1081</v>
      </c>
      <c r="AD106" s="85" t="s">
        <v>936</v>
      </c>
      <c r="AE106" s="211">
        <v>22293.3</v>
      </c>
      <c r="AF106" s="211">
        <f>(AF100+AF82)/2</f>
        <v>0</v>
      </c>
      <c r="AG106" s="211">
        <f>(AG100+AG82)/2</f>
        <v>25226.913415</v>
      </c>
      <c r="AH106" s="211">
        <f>(AH100+AH82)/2</f>
        <v>0</v>
      </c>
      <c r="AI106" s="211">
        <f>(AI100+AI82)/2</f>
        <v>0</v>
      </c>
      <c r="AJ106" s="3109">
        <f>(AJ100+AJ82)/2</f>
        <v>0</v>
      </c>
      <c r="AK106" s="3109">
        <f>(AK100+AK82)/2</f>
        <v>0</v>
      </c>
      <c r="AL106" s="3109">
        <f>(AL100+AL82)/2</f>
        <v>0</v>
      </c>
      <c r="AM106" s="3109">
        <f>(AM100+AM82)/2</f>
        <v>0</v>
      </c>
      <c r="AN106" s="3109">
        <f>(AN100+AN82)/2</f>
        <v>0</v>
      </c>
      <c r="AO106" s="3109">
        <f>(AO100+AO82)/2</f>
        <v>0</v>
      </c>
      <c r="AP106" s="3109">
        <f>(AP100+AP82)/2</f>
        <v>0</v>
      </c>
      <c r="AQ106" s="3109">
        <f>(AQ100+AQ82)/2</f>
        <v>0</v>
      </c>
      <c r="AR106" s="3109">
        <f>(AR100+AR82)/2</f>
        <v>0</v>
      </c>
      <c r="AS106" s="211">
        <f>(AS100+AS82)/2</f>
        <v>266122.55</v>
      </c>
      <c r="AT106" s="3109">
        <f>(AT100+AT82)/2</f>
        <v>0</v>
      </c>
      <c r="AU106" s="3109">
        <f>(AU100+AU82)/2</f>
        <v>0</v>
      </c>
      <c r="AV106" s="3109">
        <f>(AV100+AV82)/2</f>
        <v>0</v>
      </c>
      <c r="AW106" s="3109">
        <f>(AW100+AW82)/2</f>
        <v>0</v>
      </c>
      <c r="AX106" s="3109">
        <f>(AX100+AX82)/2</f>
        <v>0</v>
      </c>
      <c r="AY106" s="3109">
        <f>(AY100+AY82)/2</f>
        <v>0</v>
      </c>
      <c r="AZ106" s="3109">
        <f>(AZ100+AZ82)/2</f>
        <v>0</v>
      </c>
      <c r="BA106" s="3109">
        <f>(BA100+BA82)/2</f>
        <v>0</v>
      </c>
      <c r="BB106" s="3109">
        <f>(BB100+BB82)/2</f>
        <v>0</v>
      </c>
      <c r="BC106" s="196"/>
      <c r="BD106" s="1240"/>
      <c r="BE106" s="1240"/>
      <c r="BF106" s="1042" t="s">
        <v>1129</v>
      </c>
    </row>
    <row s="528" customFormat="1" customHeight="1" ht="21.75">
      <c r="A107" s="528"/>
      <c r="B107" s="433"/>
      <c r="C107" s="528"/>
      <c r="D107" s="528"/>
      <c r="E107" s="675">
        <v>22.5</v>
      </c>
      <c r="F107" s="50" cm="1" t="str">
        <f t="array" ref="F107:F107">OFFSET(E107,-1,1)</f>
        <v>1</v>
      </c>
      <c r="G107" s="100" t="s">
        <v>616</v>
      </c>
      <c r="H107" s="528"/>
      <c r="I107" s="528"/>
      <c r="J107" s="528"/>
      <c r="K107" s="528"/>
      <c r="L107" s="528"/>
      <c r="M107" s="528"/>
      <c r="N107" s="528"/>
      <c r="O107" s="528"/>
      <c r="P107" s="528"/>
      <c r="Q107" s="528"/>
      <c r="R107" s="528"/>
      <c r="S107" s="528"/>
      <c r="T107" s="468" cm="1" t="str">
        <f t="array" ref="T107:T107">T106</f>
        <v>true</v>
      </c>
      <c r="U107" s="528"/>
      <c r="V107" s="528"/>
      <c r="W107" s="528"/>
      <c r="X107" s="1559"/>
      <c r="Y107" s="528"/>
      <c r="Z107" s="1560"/>
      <c r="AA107" s="528"/>
      <c r="AB107" s="207">
        <v>6</v>
      </c>
      <c r="AC107" s="208" t="s">
        <v>1130</v>
      </c>
      <c r="AD107" s="207"/>
      <c r="AE107" s="212"/>
      <c r="AF107" s="212"/>
      <c r="AG107" s="212"/>
      <c r="AH107" s="212"/>
      <c r="AI107" s="212"/>
      <c r="AJ107" s="212"/>
      <c r="AK107" s="212"/>
      <c r="AL107" s="212"/>
      <c r="AM107" s="212"/>
      <c r="AN107" s="212"/>
      <c r="AO107" s="212"/>
      <c r="AP107" s="212"/>
      <c r="AQ107" s="212"/>
      <c r="AR107" s="212"/>
      <c r="AS107" s="212"/>
      <c r="AT107" s="212"/>
      <c r="AU107" s="212"/>
      <c r="AV107" s="212"/>
      <c r="AW107" s="212"/>
      <c r="AX107" s="212"/>
      <c r="AY107" s="212"/>
      <c r="AZ107" s="212"/>
      <c r="BA107" s="212"/>
      <c r="BB107" s="212"/>
      <c r="BC107" s="196"/>
      <c r="BD107" s="528"/>
      <c r="BE107" s="528"/>
      <c r="BF107" s="1042" t="s">
        <v>1131</v>
      </c>
    </row>
    <row s="1656" customFormat="1" customHeight="1" ht="14.25">
      <c r="A108" s="1240"/>
      <c r="B108" s="1223"/>
      <c r="C108" s="1240"/>
      <c r="D108" s="1240"/>
      <c r="E108" s="633">
        <v>15</v>
      </c>
      <c r="F108" s="50" cm="1" t="str">
        <f t="array" ref="F108:F108">OFFSET(E108,-1,1)</f>
        <v>1</v>
      </c>
      <c r="G108" s="100" t="s">
        <v>793</v>
      </c>
      <c r="H108" s="1240"/>
      <c r="I108" s="1240"/>
      <c r="J108" s="1240"/>
      <c r="K108" s="1240"/>
      <c r="L108" s="1240"/>
      <c r="M108" s="1240"/>
      <c r="N108" s="1240"/>
      <c r="O108" s="1240"/>
      <c r="P108" s="1240"/>
      <c r="Q108" s="1240"/>
      <c r="R108" s="1240"/>
      <c r="S108" s="1240"/>
      <c r="T108" s="468" cm="1" t="str">
        <f t="array" ref="T108:T108">T107</f>
        <v>true</v>
      </c>
      <c r="U108" s="1240"/>
      <c r="V108" s="1240"/>
      <c r="W108" s="1240"/>
      <c r="X108" s="1559"/>
      <c r="Y108" s="1240"/>
      <c r="Z108" s="1560"/>
      <c r="AA108" s="1240"/>
      <c r="AB108" s="84" t="s">
        <v>689</v>
      </c>
      <c r="AC108" s="210" t="s">
        <v>1068</v>
      </c>
      <c r="AD108" s="84" t="s">
        <v>561</v>
      </c>
      <c r="AE108" s="211">
        <f>IF(AE102=0,0,AE114/AE102*100)</f>
        <v>0</v>
      </c>
      <c r="AF108" s="211">
        <f>IF(AF102=0,0,AF114/AF102*100)</f>
        <v>8.82834915856485</v>
      </c>
      <c r="AG108" s="211">
        <f>IF(AG102=0,0,AG114/AG102*100)</f>
        <v>0</v>
      </c>
      <c r="AH108" s="211">
        <f>IF(AH102=0,0,AH114/AH102*100)</f>
        <v>0</v>
      </c>
      <c r="AI108" s="211">
        <f>IF(AI102=0,0,AI114/AI102*100)</f>
        <v>0</v>
      </c>
      <c r="AJ108" s="3109">
        <f>IF(AJ102=0,0,AJ114/AJ102*100)</f>
        <v>0</v>
      </c>
      <c r="AK108" s="3109">
        <f>IF(AK102=0,0,AK114/AK102*100)</f>
        <v>0</v>
      </c>
      <c r="AL108" s="3109">
        <f>IF(AL102=0,0,AL114/AL102*100)</f>
        <v>0</v>
      </c>
      <c r="AM108" s="3109">
        <f>IF(AM102=0,0,AM114/AM102*100)</f>
        <v>0</v>
      </c>
      <c r="AN108" s="3109">
        <f>IF(AN102=0,0,AN114/AN102*100)</f>
        <v>0</v>
      </c>
      <c r="AO108" s="3109">
        <f>IF(AO102=0,0,AO114/AO102*100)</f>
        <v>0</v>
      </c>
      <c r="AP108" s="3109">
        <f>IF(AP102=0,0,AP114/AP102*100)</f>
        <v>0</v>
      </c>
      <c r="AQ108" s="3109">
        <f>IF(AQ102=0,0,AQ114/AQ102*100)</f>
        <v>0</v>
      </c>
      <c r="AR108" s="3109">
        <f>IF(AR102=0,0,AR114/AR102*100)</f>
        <v>0</v>
      </c>
      <c r="AS108" s="211">
        <f>IF(AS102=0,0,AS114/AS102*100)</f>
        <v>0</v>
      </c>
      <c r="AT108" s="3109">
        <f>IF(AT102=0,0,AT114/AT102*100)</f>
        <v>0</v>
      </c>
      <c r="AU108" s="3109">
        <f>IF(AU102=0,0,AU114/AU102*100)</f>
        <v>0</v>
      </c>
      <c r="AV108" s="3109">
        <f>IF(AV102=0,0,AV114/AV102*100)</f>
        <v>0</v>
      </c>
      <c r="AW108" s="3109">
        <f>IF(AW102=0,0,AW114/AW102*100)</f>
        <v>0</v>
      </c>
      <c r="AX108" s="3109">
        <f>IF(AX102=0,0,AX114/AX102*100)</f>
        <v>0</v>
      </c>
      <c r="AY108" s="3109">
        <f>IF(AY102=0,0,AY114/AY102*100)</f>
        <v>0</v>
      </c>
      <c r="AZ108" s="3109">
        <f>IF(AZ102=0,0,AZ114/AZ102*100)</f>
        <v>0</v>
      </c>
      <c r="BA108" s="3109">
        <f>IF(BA102=0,0,BA114/BA102*100)</f>
        <v>0</v>
      </c>
      <c r="BB108" s="3109">
        <f>IF(BB102=0,0,BB114/BB102*100)</f>
        <v>0</v>
      </c>
      <c r="BC108" s="196"/>
      <c r="BD108" s="1240"/>
      <c r="BE108" s="1240"/>
      <c r="BF108" s="1042" t="s">
        <v>1132</v>
      </c>
    </row>
    <row s="1656" customFormat="1" customHeight="1" ht="14.625">
      <c r="A109" s="1240"/>
      <c r="B109" s="1223"/>
      <c r="C109" s="1240"/>
      <c r="D109" s="1240"/>
      <c r="E109" s="633">
        <v>15</v>
      </c>
      <c r="F109" s="50" cm="1" t="str">
        <f t="array" ref="F109:F109">OFFSET(E109,-1,1)</f>
        <v>1</v>
      </c>
      <c r="G109" s="100" t="s">
        <v>796</v>
      </c>
      <c r="H109" s="1240"/>
      <c r="I109" s="1240"/>
      <c r="J109" s="1240"/>
      <c r="K109" s="1240"/>
      <c r="L109" s="1240"/>
      <c r="M109" s="1240"/>
      <c r="N109" s="1240"/>
      <c r="O109" s="1240"/>
      <c r="P109" s="1240"/>
      <c r="Q109" s="1240"/>
      <c r="R109" s="1240"/>
      <c r="S109" s="1240"/>
      <c r="T109" s="468" cm="1" t="str">
        <f t="array" ref="T109:T109">T108</f>
        <v>true</v>
      </c>
      <c r="U109" s="1240"/>
      <c r="V109" s="1240"/>
      <c r="W109" s="1240"/>
      <c r="X109" s="1559"/>
      <c r="Y109" s="1240"/>
      <c r="Z109" s="1560"/>
      <c r="AA109" s="1240"/>
      <c r="AB109" s="84" t="s">
        <v>693</v>
      </c>
      <c r="AC109" s="210" t="s">
        <v>1071</v>
      </c>
      <c r="AD109" s="84" t="s">
        <v>561</v>
      </c>
      <c r="AE109" s="211">
        <v>4.2308566032</v>
      </c>
      <c r="AF109" s="211">
        <f>IF(AF103=0,0,AF115/AF103*100)</f>
        <v>6.74770787038412</v>
      </c>
      <c r="AG109" s="211">
        <f>IF(AG103=0,0,AG115/AG103*100)</f>
        <v>7.25025820619105</v>
      </c>
      <c r="AH109" s="211">
        <v>0.1495103712</v>
      </c>
      <c r="AI109" s="211">
        <f>IF(AI103=0,0,AI115/AI103*100)</f>
        <v>0</v>
      </c>
      <c r="AJ109" s="3109">
        <f>IF(AJ103=0,0,AJ115/AJ103*100)</f>
        <v>0</v>
      </c>
      <c r="AK109" s="3109">
        <f>IF(AK103=0,0,AK115/AK103*100)</f>
        <v>0</v>
      </c>
      <c r="AL109" s="3109">
        <f>IF(AL103=0,0,AL115/AL103*100)</f>
        <v>0</v>
      </c>
      <c r="AM109" s="3109">
        <f>IF(AM103=0,0,AM115/AM103*100)</f>
        <v>0</v>
      </c>
      <c r="AN109" s="3109">
        <f>IF(AN103=0,0,AN115/AN103*100)</f>
        <v>0</v>
      </c>
      <c r="AO109" s="3109">
        <f>IF(AO103=0,0,AO115/AO103*100)</f>
        <v>0</v>
      </c>
      <c r="AP109" s="3109">
        <f>IF(AP103=0,0,AP115/AP103*100)</f>
        <v>0</v>
      </c>
      <c r="AQ109" s="3109">
        <f>IF(AQ103=0,0,AQ115/AQ103*100)</f>
        <v>0</v>
      </c>
      <c r="AR109" s="3109">
        <f>IF(AR103=0,0,AR115/AR103*100)</f>
        <v>0</v>
      </c>
      <c r="AS109" s="211">
        <f>IF(AS103=0,0,AS115/AS103*100)</f>
        <v>6.66712985846278</v>
      </c>
      <c r="AT109" s="3109">
        <f>IF(AT103=0,0,AT115/AT103*100)</f>
        <v>0</v>
      </c>
      <c r="AU109" s="3109">
        <f>IF(AU103=0,0,AU115/AU103*100)</f>
        <v>0</v>
      </c>
      <c r="AV109" s="3109">
        <f>IF(AV103=0,0,AV115/AV103*100)</f>
        <v>0</v>
      </c>
      <c r="AW109" s="3109">
        <f>IF(AW103=0,0,AW115/AW103*100)</f>
        <v>0</v>
      </c>
      <c r="AX109" s="3109">
        <f>IF(AX103=0,0,AX115/AX103*100)</f>
        <v>0</v>
      </c>
      <c r="AY109" s="3109">
        <f>IF(AY103=0,0,AY115/AY103*100)</f>
        <v>0</v>
      </c>
      <c r="AZ109" s="3109">
        <f>IF(AZ103=0,0,AZ115/AZ103*100)</f>
        <v>0</v>
      </c>
      <c r="BA109" s="3109">
        <f>IF(BA103=0,0,BA115/BA103*100)</f>
        <v>0</v>
      </c>
      <c r="BB109" s="3109">
        <f>IF(BB103=0,0,BB115/BB103*100)</f>
        <v>0</v>
      </c>
      <c r="BC109" s="196"/>
      <c r="BD109" s="1240"/>
      <c r="BE109" s="1240"/>
      <c r="BF109" s="1042" t="s">
        <v>1133</v>
      </c>
    </row>
    <row s="1656" customFormat="1" customHeight="1" ht="14.625">
      <c r="A110" s="1240"/>
      <c r="B110" s="1223"/>
      <c r="C110" s="1240"/>
      <c r="D110" s="1240"/>
      <c r="E110" s="633">
        <v>15</v>
      </c>
      <c r="F110" s="50" cm="1" t="str">
        <f t="array" ref="F110:F110">OFFSET(E110,-1,1)</f>
        <v>1</v>
      </c>
      <c r="G110" s="100" t="s">
        <v>830</v>
      </c>
      <c r="H110" s="1240"/>
      <c r="I110" s="1240"/>
      <c r="J110" s="1240"/>
      <c r="K110" s="1240"/>
      <c r="L110" s="1240"/>
      <c r="M110" s="1240"/>
      <c r="N110" s="1240"/>
      <c r="O110" s="1240"/>
      <c r="P110" s="1240"/>
      <c r="Q110" s="1240"/>
      <c r="R110" s="1240"/>
      <c r="S110" s="1240"/>
      <c r="T110" s="468" cm="1" t="str">
        <f t="array" ref="T110:T110">T109</f>
        <v>true</v>
      </c>
      <c r="U110" s="1240"/>
      <c r="V110" s="1240"/>
      <c r="W110" s="1240"/>
      <c r="X110" s="1559"/>
      <c r="Y110" s="1240"/>
      <c r="Z110" s="1560"/>
      <c r="AA110" s="1240"/>
      <c r="AB110" s="84" t="s">
        <v>697</v>
      </c>
      <c r="AC110" s="210" t="s">
        <v>1074</v>
      </c>
      <c r="AD110" s="84" t="s">
        <v>561</v>
      </c>
      <c r="AE110" s="211">
        <f>IF(AE104=0,0,AE116/AE104*100)</f>
        <v>0</v>
      </c>
      <c r="AF110" s="211">
        <f>IF(AF104=0,0,AF116/AF104*100)</f>
        <v>16.1690107857216</v>
      </c>
      <c r="AG110" s="211">
        <f>IF(AG104=0,0,AG116/AG104*100)</f>
        <v>0</v>
      </c>
      <c r="AH110" s="211">
        <v>16.5539928826</v>
      </c>
      <c r="AI110" s="211">
        <f>IF(AI104=0,0,AI116/AI104*100)</f>
        <v>0</v>
      </c>
      <c r="AJ110" s="3109">
        <f>IF(AJ104=0,0,AJ116/AJ104*100)</f>
        <v>0</v>
      </c>
      <c r="AK110" s="3109">
        <f>IF(AK104=0,0,AK116/AK104*100)</f>
        <v>0</v>
      </c>
      <c r="AL110" s="3109">
        <f>IF(AL104=0,0,AL116/AL104*100)</f>
        <v>0</v>
      </c>
      <c r="AM110" s="3109">
        <f>IF(AM104=0,0,AM116/AM104*100)</f>
        <v>0</v>
      </c>
      <c r="AN110" s="3109">
        <f>IF(AN104=0,0,AN116/AN104*100)</f>
        <v>0</v>
      </c>
      <c r="AO110" s="3109">
        <f>IF(AO104=0,0,AO116/AO104*100)</f>
        <v>0</v>
      </c>
      <c r="AP110" s="3109">
        <f>IF(AP104=0,0,AP116/AP104*100)</f>
        <v>0</v>
      </c>
      <c r="AQ110" s="3109">
        <f>IF(AQ104=0,0,AQ116/AQ104*100)</f>
        <v>0</v>
      </c>
      <c r="AR110" s="3109">
        <f>IF(AR104=0,0,AR116/AR104*100)</f>
        <v>0</v>
      </c>
      <c r="AS110" s="211">
        <f>IF(AS104=0,0,AS116/AS104*100)</f>
        <v>0</v>
      </c>
      <c r="AT110" s="3109">
        <f>IF(AT104=0,0,AT116/AT104*100)</f>
        <v>0</v>
      </c>
      <c r="AU110" s="3109">
        <f>IF(AU104=0,0,AU116/AU104*100)</f>
        <v>0</v>
      </c>
      <c r="AV110" s="3109">
        <f>IF(AV104=0,0,AV116/AV104*100)</f>
        <v>0</v>
      </c>
      <c r="AW110" s="3109">
        <f>IF(AW104=0,0,AW116/AW104*100)</f>
        <v>0</v>
      </c>
      <c r="AX110" s="3109">
        <f>IF(AX104=0,0,AX116/AX104*100)</f>
        <v>0</v>
      </c>
      <c r="AY110" s="3109">
        <f>IF(AY104=0,0,AY116/AY104*100)</f>
        <v>0</v>
      </c>
      <c r="AZ110" s="3109">
        <f>IF(AZ104=0,0,AZ116/AZ104*100)</f>
        <v>0</v>
      </c>
      <c r="BA110" s="3109">
        <f>IF(BA104=0,0,BA116/BA104*100)</f>
        <v>0</v>
      </c>
      <c r="BB110" s="3109">
        <f>IF(BB104=0,0,BB116/BB104*100)</f>
        <v>0</v>
      </c>
      <c r="BC110" s="196"/>
      <c r="BD110" s="1240"/>
      <c r="BE110" s="1240"/>
      <c r="BF110" s="1042" t="s">
        <v>1134</v>
      </c>
    </row>
    <row s="1656" customFormat="1" customHeight="1" ht="14.25">
      <c r="A111" s="1240"/>
      <c r="B111" s="1223"/>
      <c r="C111" s="1240"/>
      <c r="D111" s="1240"/>
      <c r="E111" s="633">
        <v>15</v>
      </c>
      <c r="F111" s="50" cm="1" t="str">
        <f t="array" ref="F111:F111">OFFSET(E111,-1,1)</f>
        <v>1</v>
      </c>
      <c r="G111" s="100" t="s">
        <v>839</v>
      </c>
      <c r="H111" s="1240"/>
      <c r="I111" s="1240"/>
      <c r="J111" s="1240"/>
      <c r="K111" s="1240"/>
      <c r="L111" s="1240"/>
      <c r="M111" s="1240"/>
      <c r="N111" s="1240"/>
      <c r="O111" s="1240"/>
      <c r="P111" s="1240"/>
      <c r="Q111" s="1240"/>
      <c r="R111" s="1240"/>
      <c r="S111" s="1240"/>
      <c r="T111" s="468" cm="1" t="str">
        <f t="array" ref="T111:T111">T110</f>
        <v>true</v>
      </c>
      <c r="U111" s="1240"/>
      <c r="V111" s="1240"/>
      <c r="W111" s="1240"/>
      <c r="X111" s="1559"/>
      <c r="Y111" s="1240"/>
      <c r="Z111" s="1560"/>
      <c r="AA111" s="1240"/>
      <c r="AB111" s="84" t="s">
        <v>1135</v>
      </c>
      <c r="AC111" s="210" t="s">
        <v>1077</v>
      </c>
      <c r="AD111" s="84" t="s">
        <v>561</v>
      </c>
      <c r="AE111" s="211">
        <f>IF(AE105=0,0,AE117/AE105*100)</f>
        <v>0</v>
      </c>
      <c r="AF111" s="211">
        <f>IF(AF105=0,0,AF117/AF105*100)</f>
        <v>0</v>
      </c>
      <c r="AG111" s="211">
        <f>IF(AG105=0,0,AG117/AG105*100)</f>
        <v>0</v>
      </c>
      <c r="AH111" s="211">
        <f>IF(AH105=0,0,AH117/AH105*100)</f>
        <v>0</v>
      </c>
      <c r="AI111" s="211">
        <f>IF(AI105=0,0,AI117/AI105*100)</f>
        <v>0</v>
      </c>
      <c r="AJ111" s="3109">
        <f>IF(AJ105=0,0,AJ117/AJ105*100)</f>
        <v>0</v>
      </c>
      <c r="AK111" s="3109">
        <f>IF(AK105=0,0,AK117/AK105*100)</f>
        <v>0</v>
      </c>
      <c r="AL111" s="3109">
        <f>IF(AL105=0,0,AL117/AL105*100)</f>
        <v>0</v>
      </c>
      <c r="AM111" s="3109">
        <f>IF(AM105=0,0,AM117/AM105*100)</f>
        <v>0</v>
      </c>
      <c r="AN111" s="3109">
        <f>IF(AN105=0,0,AN117/AN105*100)</f>
        <v>0</v>
      </c>
      <c r="AO111" s="3109">
        <f>IF(AO105=0,0,AO117/AO105*100)</f>
        <v>0</v>
      </c>
      <c r="AP111" s="3109">
        <f>IF(AP105=0,0,AP117/AP105*100)</f>
        <v>0</v>
      </c>
      <c r="AQ111" s="3109">
        <f>IF(AQ105=0,0,AQ117/AQ105*100)</f>
        <v>0</v>
      </c>
      <c r="AR111" s="3109">
        <f>IF(AR105=0,0,AR117/AR105*100)</f>
        <v>0</v>
      </c>
      <c r="AS111" s="211">
        <f>IF(AS105=0,0,AS117/AS105*100)</f>
        <v>0</v>
      </c>
      <c r="AT111" s="3109">
        <f>IF(AT105=0,0,AT117/AT105*100)</f>
        <v>0</v>
      </c>
      <c r="AU111" s="3109">
        <f>IF(AU105=0,0,AU117/AU105*100)</f>
        <v>0</v>
      </c>
      <c r="AV111" s="3109">
        <f>IF(AV105=0,0,AV117/AV105*100)</f>
        <v>0</v>
      </c>
      <c r="AW111" s="3109">
        <f>IF(AW105=0,0,AW117/AW105*100)</f>
        <v>0</v>
      </c>
      <c r="AX111" s="3109">
        <f>IF(AX105=0,0,AX117/AX105*100)</f>
        <v>0</v>
      </c>
      <c r="AY111" s="3109">
        <f>IF(AY105=0,0,AY117/AY105*100)</f>
        <v>0</v>
      </c>
      <c r="AZ111" s="3109">
        <f>IF(AZ105=0,0,AZ117/AZ105*100)</f>
        <v>0</v>
      </c>
      <c r="BA111" s="3109">
        <f>IF(BA105=0,0,BA117/BA105*100)</f>
        <v>0</v>
      </c>
      <c r="BB111" s="3109">
        <f>IF(BB105=0,0,BB117/BB105*100)</f>
        <v>0</v>
      </c>
      <c r="BC111" s="196"/>
      <c r="BD111" s="1240"/>
      <c r="BE111" s="1240"/>
      <c r="BF111" s="1042" t="s">
        <v>1136</v>
      </c>
    </row>
    <row s="1656" customFormat="1" customHeight="1" ht="14.625">
      <c r="A112" s="1240"/>
      <c r="B112" s="1223"/>
      <c r="C112" s="1240"/>
      <c r="D112" s="1240"/>
      <c r="E112" s="633">
        <v>15</v>
      </c>
      <c r="F112" s="50" cm="1" t="str">
        <f t="array" ref="F112:F112">OFFSET(E112,-1,1)</f>
        <v>1</v>
      </c>
      <c r="G112" s="100" t="s">
        <v>849</v>
      </c>
      <c r="H112" s="1240"/>
      <c r="I112" s="1240"/>
      <c r="J112" s="1240"/>
      <c r="K112" s="1240"/>
      <c r="L112" s="1240"/>
      <c r="M112" s="1240"/>
      <c r="N112" s="1240"/>
      <c r="O112" s="1240"/>
      <c r="P112" s="1240"/>
      <c r="Q112" s="1240"/>
      <c r="R112" s="1240"/>
      <c r="S112" s="1240"/>
      <c r="T112" s="468" cm="1" t="str">
        <f t="array" ref="T112:T112">T111</f>
        <v>true</v>
      </c>
      <c r="U112" s="1240"/>
      <c r="V112" s="1240"/>
      <c r="W112" s="1240"/>
      <c r="X112" s="1559"/>
      <c r="Y112" s="1240"/>
      <c r="Z112" s="1560"/>
      <c r="AA112" s="1240"/>
      <c r="AB112" s="84" t="s">
        <v>1137</v>
      </c>
      <c r="AC112" s="210" t="s">
        <v>1081</v>
      </c>
      <c r="AD112" s="84" t="s">
        <v>561</v>
      </c>
      <c r="AE112" s="211">
        <v>0.3933020235</v>
      </c>
      <c r="AF112" s="211">
        <f>IF(AF106=0,0,AF118/AF106*100)</f>
        <v>0</v>
      </c>
      <c r="AG112" s="211">
        <f>IF(AG106=0,0,AG118/AG106*100)</f>
        <v>14.9869305761043</v>
      </c>
      <c r="AH112" s="211">
        <f>IF(AH106=0,0,AH118/AH106*100)</f>
        <v>0</v>
      </c>
      <c r="AI112" s="211">
        <f>IF(AI106=0,0,AI118/AI106*100)</f>
        <v>0</v>
      </c>
      <c r="AJ112" s="3109">
        <f>IF(AJ106=0,0,AJ118/AJ106*100)</f>
        <v>0</v>
      </c>
      <c r="AK112" s="3109">
        <f>IF(AK106=0,0,AK118/AK106*100)</f>
        <v>0</v>
      </c>
      <c r="AL112" s="3109">
        <f>IF(AL106=0,0,AL118/AL106*100)</f>
        <v>0</v>
      </c>
      <c r="AM112" s="3109">
        <f>IF(AM106=0,0,AM118/AM106*100)</f>
        <v>0</v>
      </c>
      <c r="AN112" s="3109">
        <f>IF(AN106=0,0,AN118/AN106*100)</f>
        <v>0</v>
      </c>
      <c r="AO112" s="3109">
        <f>IF(AO106=0,0,AO118/AO106*100)</f>
        <v>0</v>
      </c>
      <c r="AP112" s="3109">
        <f>IF(AP106=0,0,AP118/AP106*100)</f>
        <v>0</v>
      </c>
      <c r="AQ112" s="3109">
        <f>IF(AQ106=0,0,AQ118/AQ106*100)</f>
        <v>0</v>
      </c>
      <c r="AR112" s="3109">
        <f>IF(AR106=0,0,AR118/AR106*100)</f>
        <v>0</v>
      </c>
      <c r="AS112" s="211">
        <f>IF(AS106=0,0,AS118/AS106*100)</f>
        <v>3.58500998881906</v>
      </c>
      <c r="AT112" s="3109">
        <f>IF(AT106=0,0,AT118/AT106*100)</f>
        <v>0</v>
      </c>
      <c r="AU112" s="3109">
        <f>IF(AU106=0,0,AU118/AU106*100)</f>
        <v>0</v>
      </c>
      <c r="AV112" s="3109">
        <f>IF(AV106=0,0,AV118/AV106*100)</f>
        <v>0</v>
      </c>
      <c r="AW112" s="3109">
        <f>IF(AW106=0,0,AW118/AW106*100)</f>
        <v>0</v>
      </c>
      <c r="AX112" s="3109">
        <f>IF(AX106=0,0,AX118/AX106*100)</f>
        <v>0</v>
      </c>
      <c r="AY112" s="3109">
        <f>IF(AY106=0,0,AY118/AY106*100)</f>
        <v>0</v>
      </c>
      <c r="AZ112" s="3109">
        <f>IF(AZ106=0,0,AZ118/AZ106*100)</f>
        <v>0</v>
      </c>
      <c r="BA112" s="3109">
        <f>IF(BA106=0,0,BA118/BA106*100)</f>
        <v>0</v>
      </c>
      <c r="BB112" s="3109">
        <f>IF(BB106=0,0,BB118/BB106*100)</f>
        <v>0</v>
      </c>
      <c r="BC112" s="196"/>
      <c r="BD112" s="1240"/>
      <c r="BE112" s="1240"/>
      <c r="BF112" s="1042" t="s">
        <v>1138</v>
      </c>
    </row>
    <row s="528" customFormat="1" customHeight="1" ht="24.421875">
      <c r="A113" s="528"/>
      <c r="B113" s="433"/>
      <c r="C113" s="528"/>
      <c r="D113" s="528"/>
      <c r="E113" s="633">
        <v>15</v>
      </c>
      <c r="F113" s="50" cm="1" t="str">
        <f t="array" ref="F113:F113">OFFSET(E113,-1,1)</f>
        <v>1</v>
      </c>
      <c r="G113" s="100" t="s">
        <v>619</v>
      </c>
      <c r="H113" s="528"/>
      <c r="I113" s="528"/>
      <c r="J113" s="528"/>
      <c r="K113" s="120" t="str">
        <f>F113&amp;"komm"</f>
        <v>1komm</v>
      </c>
      <c r="L113" s="926" cm="1" t="str">
        <f t="array" ref="L113:L113">BC113</f>
        <v>0</v>
      </c>
      <c r="M113" s="528"/>
      <c r="N113" s="528"/>
      <c r="O113" s="528"/>
      <c r="P113" s="528"/>
      <c r="Q113" s="528"/>
      <c r="R113" s="528"/>
      <c r="S113" s="528"/>
      <c r="T113" s="468" cm="1" t="str">
        <f t="array" ref="T113:T113">T112</f>
        <v>true</v>
      </c>
      <c r="U113" s="528"/>
      <c r="V113" s="528"/>
      <c r="W113" s="528"/>
      <c r="X113" s="1559"/>
      <c r="Y113" s="528"/>
      <c r="Z113" s="1560"/>
      <c r="AA113" s="528"/>
      <c r="AB113" s="207">
        <v>7</v>
      </c>
      <c r="AC113" s="208" t="s">
        <v>1139</v>
      </c>
      <c r="AD113" s="85" t="s">
        <v>936</v>
      </c>
      <c r="AE113" s="1217">
        <v>3868.42</v>
      </c>
      <c r="AF113" s="1217">
        <f>SUM(AF114:AF118)</f>
        <v>3645.56142</v>
      </c>
      <c r="AG113" s="1217">
        <f>SUM(AG114:AG118)</f>
        <v>3947.46702</v>
      </c>
      <c r="AH113" s="1217">
        <v>5849.5</v>
      </c>
      <c r="AI113" s="1217">
        <f>SUM(AI114:AI118)</f>
        <v>9730.74</v>
      </c>
      <c r="AJ113" s="3107">
        <f>SUM(AJ114:AJ118)</f>
        <v>0</v>
      </c>
      <c r="AK113" s="3107">
        <f>SUM(AK114:AK118)</f>
        <v>0</v>
      </c>
      <c r="AL113" s="3107">
        <f>SUM(AL114:AL118)</f>
        <v>0</v>
      </c>
      <c r="AM113" s="3107">
        <f>SUM(AM114:AM118)</f>
        <v>0</v>
      </c>
      <c r="AN113" s="3107">
        <f>SUM(AN114:AN118)</f>
        <v>0</v>
      </c>
      <c r="AO113" s="3107">
        <f>SUM(AO114:AO118)</f>
        <v>0</v>
      </c>
      <c r="AP113" s="3107">
        <f>SUM(AP114:AP118)</f>
        <v>0</v>
      </c>
      <c r="AQ113" s="3107">
        <f>SUM(AQ114:AQ118)</f>
        <v>0</v>
      </c>
      <c r="AR113" s="3107">
        <f>SUM(AR114:AR118)</f>
        <v>0</v>
      </c>
      <c r="AS113" s="1217">
        <f>SUM(AS114:AS118)</f>
        <v>9730.74</v>
      </c>
      <c r="AT113" s="3107">
        <f>SUM(AT114:AT118)</f>
        <v>0</v>
      </c>
      <c r="AU113" s="3107">
        <f>SUM(AU114:AU118)</f>
        <v>0</v>
      </c>
      <c r="AV113" s="3107">
        <f>SUM(AV114:AV118)</f>
        <v>0</v>
      </c>
      <c r="AW113" s="3107">
        <f>SUM(AW114:AW118)</f>
        <v>0</v>
      </c>
      <c r="AX113" s="3107">
        <f>SUM(AX114:AX118)</f>
        <v>0</v>
      </c>
      <c r="AY113" s="3107">
        <f>SUM(AY114:AY118)</f>
        <v>0</v>
      </c>
      <c r="AZ113" s="3107">
        <f>SUM(AZ114:AZ118)</f>
        <v>0</v>
      </c>
      <c r="BA113" s="3107">
        <f>SUM(BA114:BA118)</f>
        <v>0</v>
      </c>
      <c r="BB113" s="3107">
        <f>SUM(BB114:BB118)</f>
        <v>0</v>
      </c>
      <c r="BC113" s="196"/>
      <c r="BD113" s="528"/>
      <c r="BE113" s="528"/>
      <c r="BF113" s="1042" t="s">
        <v>1140</v>
      </c>
    </row>
    <row s="1656" customFormat="1" customHeight="1" ht="27.421875">
      <c r="A114" s="1240"/>
      <c r="B114" s="1223"/>
      <c r="C114" s="1240"/>
      <c r="D114" s="1240"/>
      <c r="E114" s="633">
        <v>15</v>
      </c>
      <c r="F114" s="50" cm="1" t="str">
        <f t="array" ref="F114:F114">OFFSET(E114,-1,1)</f>
        <v>1</v>
      </c>
      <c r="G114" s="100" t="s">
        <v>800</v>
      </c>
      <c r="H114" s="1240"/>
      <c r="I114" s="1240"/>
      <c r="J114" s="1240"/>
      <c r="K114" s="1240"/>
      <c r="L114" s="1240"/>
      <c r="M114" s="1240"/>
      <c r="N114" s="1240"/>
      <c r="O114" s="1240"/>
      <c r="P114" s="1240"/>
      <c r="Q114" s="1240"/>
      <c r="R114" s="1240"/>
      <c r="S114" s="1240"/>
      <c r="T114" s="468" cm="1" t="str">
        <f t="array" ref="T114:T114">T113</f>
        <v>true</v>
      </c>
      <c r="U114" s="1240"/>
      <c r="V114" s="1240"/>
      <c r="W114" s="1240"/>
      <c r="X114" s="1559"/>
      <c r="Y114" s="1240"/>
      <c r="Z114" s="1560"/>
      <c r="AA114" s="1240"/>
      <c r="AB114" s="84" t="s">
        <v>704</v>
      </c>
      <c r="AC114" s="210" t="s">
        <v>1068</v>
      </c>
      <c r="AD114" s="85" t="s">
        <v>936</v>
      </c>
      <c r="AE114" s="211">
        <v>0</v>
      </c>
      <c r="AF114" s="211">
        <f>32.743+207.45534</f>
        <v>240.19834</v>
      </c>
      <c r="AG114" s="211"/>
      <c r="AH114" s="211">
        <v>0</v>
      </c>
      <c r="AI114" s="211"/>
      <c r="AJ114" s="3109"/>
      <c r="AK114" s="3109"/>
      <c r="AL114" s="3109"/>
      <c r="AM114" s="3109"/>
      <c r="AN114" s="3109"/>
      <c r="AO114" s="3109"/>
      <c r="AP114" s="3109"/>
      <c r="AQ114" s="3109"/>
      <c r="AR114" s="3109"/>
      <c r="AS114" s="211"/>
      <c r="AT114" s="3109"/>
      <c r="AU114" s="3109"/>
      <c r="AV114" s="3109"/>
      <c r="AW114" s="3109"/>
      <c r="AX114" s="3109"/>
      <c r="AY114" s="3109"/>
      <c r="AZ114" s="3109"/>
      <c r="BA114" s="3109"/>
      <c r="BB114" s="3109"/>
      <c r="BC114" s="196"/>
      <c r="BD114" s="1240"/>
      <c r="BE114" s="1240"/>
      <c r="BF114" s="1042" t="s">
        <v>1141</v>
      </c>
    </row>
    <row s="1656" customFormat="1" customHeight="1" ht="57.421875">
      <c r="A115" s="1240"/>
      <c r="B115" s="1223"/>
      <c r="C115" s="1240"/>
      <c r="D115" s="1240"/>
      <c r="E115" s="633">
        <v>15</v>
      </c>
      <c r="F115" s="50" cm="1" t="str">
        <f t="array" ref="F115:F115">OFFSET(E115,-1,1)</f>
        <v>1</v>
      </c>
      <c r="G115" s="100" t="s">
        <v>803</v>
      </c>
      <c r="H115" s="1240"/>
      <c r="I115" s="1240"/>
      <c r="J115" s="1240"/>
      <c r="K115" s="1240"/>
      <c r="L115" s="1240"/>
      <c r="M115" s="1240"/>
      <c r="N115" s="1240"/>
      <c r="O115" s="1240"/>
      <c r="P115" s="1240"/>
      <c r="Q115" s="1240"/>
      <c r="R115" s="1240"/>
      <c r="S115" s="1240"/>
      <c r="T115" s="468" cm="1" t="str">
        <f t="array" ref="T115:T115">T114</f>
        <v>true</v>
      </c>
      <c r="U115" s="1240"/>
      <c r="V115" s="1240"/>
      <c r="W115" s="1240"/>
      <c r="X115" s="1559"/>
      <c r="Y115" s="1240"/>
      <c r="Z115" s="1560"/>
      <c r="AA115" s="1240"/>
      <c r="AB115" s="84" t="s">
        <v>1142</v>
      </c>
      <c r="AC115" s="210" t="s">
        <v>1071</v>
      </c>
      <c r="AD115" s="85" t="s">
        <v>936</v>
      </c>
      <c r="AE115" s="211">
        <v>87.68</v>
      </c>
      <c r="AF115" s="211">
        <f>141.59302+266.93+25.134</f>
        <v>433.65702</v>
      </c>
      <c r="AG115" s="211">
        <f>141.59302+25.134</f>
        <v>166.72702</v>
      </c>
      <c r="AH115" s="211">
        <v>116.41</v>
      </c>
      <c r="AI115" s="211">
        <v>190.22</v>
      </c>
      <c r="AJ115" s="3109"/>
      <c r="AK115" s="3109"/>
      <c r="AL115" s="3109"/>
      <c r="AM115" s="3109"/>
      <c r="AN115" s="3109"/>
      <c r="AO115" s="3109"/>
      <c r="AP115" s="3109"/>
      <c r="AQ115" s="3109"/>
      <c r="AR115" s="3109"/>
      <c r="AS115" s="211">
        <v>190.22</v>
      </c>
      <c r="AT115" s="3109"/>
      <c r="AU115" s="3109"/>
      <c r="AV115" s="3109"/>
      <c r="AW115" s="3109"/>
      <c r="AX115" s="3109"/>
      <c r="AY115" s="3109"/>
      <c r="AZ115" s="3109"/>
      <c r="BA115" s="3109"/>
      <c r="BB115" s="3109"/>
      <c r="BC115" s="196" t="s">
        <v>1171</v>
      </c>
      <c r="BD115" s="1240"/>
      <c r="BE115" s="1240"/>
      <c r="BF115" s="1042" t="s">
        <v>1143</v>
      </c>
    </row>
    <row s="1656" customFormat="1" customHeight="1" ht="32.671875">
      <c r="A116" s="1240"/>
      <c r="B116" s="1223"/>
      <c r="C116" s="1240"/>
      <c r="D116" s="1240"/>
      <c r="E116" s="633">
        <v>15</v>
      </c>
      <c r="F116" s="50" cm="1" t="str">
        <f t="array" ref="F116:F116">OFFSET(E116,-1,1)</f>
        <v>1</v>
      </c>
      <c r="G116" s="100" t="s">
        <v>1144</v>
      </c>
      <c r="H116" s="1240"/>
      <c r="I116" s="1240"/>
      <c r="J116" s="1240"/>
      <c r="K116" s="1240"/>
      <c r="L116" s="1240"/>
      <c r="M116" s="1240"/>
      <c r="N116" s="1240"/>
      <c r="O116" s="1240"/>
      <c r="P116" s="1240"/>
      <c r="Q116" s="1240"/>
      <c r="R116" s="1240"/>
      <c r="S116" s="1240"/>
      <c r="T116" s="468" cm="1" t="str">
        <f t="array" ref="T116:T116">T115</f>
        <v>true</v>
      </c>
      <c r="U116" s="1240"/>
      <c r="V116" s="1240"/>
      <c r="W116" s="1240"/>
      <c r="X116" s="1559"/>
      <c r="Y116" s="1240"/>
      <c r="Z116" s="1560"/>
      <c r="AA116" s="1240"/>
      <c r="AB116" s="84" t="s">
        <v>1145</v>
      </c>
      <c r="AC116" s="210" t="s">
        <v>1074</v>
      </c>
      <c r="AD116" s="85" t="s">
        <v>936</v>
      </c>
      <c r="AE116" s="211"/>
      <c r="AF116" s="211">
        <f>2049.50666+922.1994</f>
        <v>2971.70606</v>
      </c>
      <c r="AG116" s="211"/>
      <c r="AH116" s="211"/>
      <c r="AI116" s="211"/>
      <c r="AJ116" s="3109"/>
      <c r="AK116" s="3109"/>
      <c r="AL116" s="3109"/>
      <c r="AM116" s="3109"/>
      <c r="AN116" s="3109"/>
      <c r="AO116" s="3109"/>
      <c r="AP116" s="3109"/>
      <c r="AQ116" s="3109"/>
      <c r="AR116" s="3109"/>
      <c r="AS116" s="211"/>
      <c r="AT116" s="3109"/>
      <c r="AU116" s="3109"/>
      <c r="AV116" s="3109"/>
      <c r="AW116" s="3109"/>
      <c r="AX116" s="3109"/>
      <c r="AY116" s="3109"/>
      <c r="AZ116" s="3109"/>
      <c r="BA116" s="3109"/>
      <c r="BB116" s="3109"/>
      <c r="BC116" s="196"/>
      <c r="BD116" s="1240"/>
      <c r="BE116" s="1240"/>
      <c r="BF116" s="1042" t="s">
        <v>1146</v>
      </c>
    </row>
    <row s="1656" customFormat="1" customHeight="1" ht="14.625">
      <c r="A117" s="1240"/>
      <c r="B117" s="1223"/>
      <c r="C117" s="1240"/>
      <c r="D117" s="1240"/>
      <c r="E117" s="633">
        <v>15</v>
      </c>
      <c r="F117" s="50" cm="1" t="str">
        <f t="array" ref="F117:F117">OFFSET(E117,-1,1)</f>
        <v>1</v>
      </c>
      <c r="G117" s="100" t="s">
        <v>1147</v>
      </c>
      <c r="H117" s="1240"/>
      <c r="I117" s="1240"/>
      <c r="J117" s="1240"/>
      <c r="K117" s="1240"/>
      <c r="L117" s="1240"/>
      <c r="M117" s="1240"/>
      <c r="N117" s="1240"/>
      <c r="O117" s="1240"/>
      <c r="P117" s="1240"/>
      <c r="Q117" s="1240"/>
      <c r="R117" s="1240"/>
      <c r="S117" s="1240"/>
      <c r="T117" s="468" cm="1" t="str">
        <f t="array" ref="T117:T117">T116</f>
        <v>true</v>
      </c>
      <c r="U117" s="1240"/>
      <c r="V117" s="1240"/>
      <c r="W117" s="1240"/>
      <c r="X117" s="1559"/>
      <c r="Y117" s="1240"/>
      <c r="Z117" s="1560"/>
      <c r="AA117" s="1240"/>
      <c r="AB117" s="84" t="s">
        <v>1148</v>
      </c>
      <c r="AC117" s="210" t="s">
        <v>1077</v>
      </c>
      <c r="AD117" s="85" t="s">
        <v>936</v>
      </c>
      <c r="AE117" s="211">
        <v>0</v>
      </c>
      <c r="AF117" s="211">
        <v>0</v>
      </c>
      <c r="AG117" s="211"/>
      <c r="AH117" s="211">
        <v>0</v>
      </c>
      <c r="AI117" s="211"/>
      <c r="AJ117" s="3109"/>
      <c r="AK117" s="3109"/>
      <c r="AL117" s="3109"/>
      <c r="AM117" s="3109"/>
      <c r="AN117" s="3109"/>
      <c r="AO117" s="3109"/>
      <c r="AP117" s="3109"/>
      <c r="AQ117" s="3109"/>
      <c r="AR117" s="3109"/>
      <c r="AS117" s="211"/>
      <c r="AT117" s="3109"/>
      <c r="AU117" s="3109"/>
      <c r="AV117" s="3109"/>
      <c r="AW117" s="3109"/>
      <c r="AX117" s="3109"/>
      <c r="AY117" s="3109"/>
      <c r="AZ117" s="3109"/>
      <c r="BA117" s="3109"/>
      <c r="BB117" s="3109"/>
      <c r="BC117" s="196"/>
      <c r="BD117" s="1240"/>
      <c r="BE117" s="1240"/>
      <c r="BF117" s="1042" t="s">
        <v>1149</v>
      </c>
    </row>
    <row s="1656" customFormat="1" customHeight="1" ht="59.671875">
      <c r="A118" s="1240"/>
      <c r="B118" s="1223"/>
      <c r="C118" s="1240"/>
      <c r="D118" s="1240"/>
      <c r="E118" s="633">
        <v>15</v>
      </c>
      <c r="F118" s="50" cm="1" t="str">
        <f t="array" ref="F118:F118">OFFSET(E118,-1,1)</f>
        <v>1</v>
      </c>
      <c r="G118" s="100" t="s">
        <v>1150</v>
      </c>
      <c r="H118" s="1240"/>
      <c r="I118" s="1240"/>
      <c r="J118" s="1240"/>
      <c r="K118" s="1240"/>
      <c r="L118" s="1240"/>
      <c r="M118" s="1240"/>
      <c r="N118" s="1240"/>
      <c r="O118" s="1240"/>
      <c r="P118" s="1240"/>
      <c r="Q118" s="1240"/>
      <c r="R118" s="1240"/>
      <c r="S118" s="1240"/>
      <c r="T118" s="468" cm="1" t="str">
        <f t="array" ref="T118:T118">T117</f>
        <v>true</v>
      </c>
      <c r="U118" s="1240"/>
      <c r="V118" s="1240"/>
      <c r="W118" s="1240"/>
      <c r="X118" s="1559"/>
      <c r="Y118" s="1240"/>
      <c r="Z118" s="1560"/>
      <c r="AA118" s="1240"/>
      <c r="AB118" s="84" t="s">
        <v>1151</v>
      </c>
      <c r="AC118" s="210" t="s">
        <v>1081</v>
      </c>
      <c r="AD118" s="85" t="s">
        <v>936</v>
      </c>
      <c r="AE118" s="211">
        <v>3780.74</v>
      </c>
      <c r="AF118" s="211">
        <v>0</v>
      </c>
      <c r="AG118" s="211">
        <f>2617+1163.74</f>
        <v>3780.74</v>
      </c>
      <c r="AH118" s="211">
        <v>5733.09</v>
      </c>
      <c r="AI118" s="211">
        <f>5090.4+4450.12</f>
        <v>9540.52</v>
      </c>
      <c r="AJ118" s="3109"/>
      <c r="AK118" s="3109"/>
      <c r="AL118" s="3109"/>
      <c r="AM118" s="3109"/>
      <c r="AN118" s="3109"/>
      <c r="AO118" s="3109"/>
      <c r="AP118" s="3109"/>
      <c r="AQ118" s="3109"/>
      <c r="AR118" s="3109"/>
      <c r="AS118" s="211">
        <f>5090.4+4450.12</f>
        <v>9540.52</v>
      </c>
      <c r="AT118" s="3109"/>
      <c r="AU118" s="3109"/>
      <c r="AV118" s="3109"/>
      <c r="AW118" s="3109"/>
      <c r="AX118" s="3109"/>
      <c r="AY118" s="3109"/>
      <c r="AZ118" s="3109"/>
      <c r="BA118" s="3109"/>
      <c r="BB118" s="3109"/>
      <c r="BC118" s="196" t="s">
        <v>1172</v>
      </c>
      <c r="BD118" s="1240"/>
      <c r="BE118" s="1240"/>
      <c r="BF118" s="1042" t="s">
        <v>1152</v>
      </c>
    </row>
    <row s="528" customFormat="1" customHeight="1" ht="19.171875">
      <c r="A119" s="528"/>
      <c r="B119" s="433"/>
      <c r="C119" s="528"/>
      <c r="D119" s="528"/>
      <c r="E119" s="633">
        <v>15</v>
      </c>
      <c r="F119" s="50" cm="1" t="str">
        <f t="array" ref="F119:F119">OFFSET(E119,-1,1)</f>
        <v>1</v>
      </c>
      <c r="G119" s="100" t="s">
        <v>685</v>
      </c>
      <c r="H119" s="528"/>
      <c r="I119" s="528"/>
      <c r="J119" s="528"/>
      <c r="K119" s="528"/>
      <c r="L119" s="528"/>
      <c r="M119" s="528"/>
      <c r="N119" s="528"/>
      <c r="O119" s="528"/>
      <c r="P119" s="528"/>
      <c r="Q119" s="528"/>
      <c r="R119" s="528"/>
      <c r="S119" s="528"/>
      <c r="T119" s="468" cm="1" t="str">
        <f t="array" ref="T119:T119">T118</f>
        <v>true</v>
      </c>
      <c r="U119" s="528"/>
      <c r="V119" s="528"/>
      <c r="W119" s="528"/>
      <c r="X119" s="1559"/>
      <c r="Y119" s="528"/>
      <c r="Z119" s="1560"/>
      <c r="AA119" s="528"/>
      <c r="AB119" s="207">
        <v>8</v>
      </c>
      <c r="AC119" s="208" t="s">
        <v>1153</v>
      </c>
      <c r="AD119" s="85" t="s">
        <v>936</v>
      </c>
      <c r="AE119" s="1217">
        <f>SUM(AE120:AE124)</f>
        <v>0</v>
      </c>
      <c r="AF119" s="1217">
        <f>SUM(AF120:AF124)</f>
        <v>0</v>
      </c>
      <c r="AG119" s="1217">
        <f>SUM(AG120:AG124)</f>
        <v>0</v>
      </c>
      <c r="AH119" s="1217">
        <f>SUM(AH120:AH124)</f>
        <v>0</v>
      </c>
      <c r="AI119" s="1217">
        <f>SUM(AI120:AI124)</f>
        <v>0</v>
      </c>
      <c r="AJ119" s="3107">
        <f>SUM(AJ120:AJ124)</f>
        <v>0</v>
      </c>
      <c r="AK119" s="3107">
        <f>SUM(AK120:AK124)</f>
        <v>0</v>
      </c>
      <c r="AL119" s="3107">
        <f>SUM(AL120:AL124)</f>
        <v>0</v>
      </c>
      <c r="AM119" s="3107">
        <f>SUM(AM120:AM124)</f>
        <v>0</v>
      </c>
      <c r="AN119" s="3107">
        <f>SUM(AN120:AN124)</f>
        <v>0</v>
      </c>
      <c r="AO119" s="3107">
        <f>SUM(AO120:AO124)</f>
        <v>0</v>
      </c>
      <c r="AP119" s="3107">
        <f>SUM(AP120:AP124)</f>
        <v>0</v>
      </c>
      <c r="AQ119" s="3107">
        <f>SUM(AQ120:AQ124)</f>
        <v>0</v>
      </c>
      <c r="AR119" s="3107">
        <f>SUM(AR120:AR124)</f>
        <v>0</v>
      </c>
      <c r="AS119" s="1217">
        <f>SUM(AS120:AS124)</f>
        <v>0</v>
      </c>
      <c r="AT119" s="3107">
        <f>SUM(AT120:AT124)</f>
        <v>0</v>
      </c>
      <c r="AU119" s="3107">
        <f>SUM(AU120:AU124)</f>
        <v>0</v>
      </c>
      <c r="AV119" s="3107">
        <f>SUM(AV120:AV124)</f>
        <v>0</v>
      </c>
      <c r="AW119" s="3107">
        <f>SUM(AW120:AW124)</f>
        <v>0</v>
      </c>
      <c r="AX119" s="3107">
        <f>SUM(AX120:AX124)</f>
        <v>0</v>
      </c>
      <c r="AY119" s="3107">
        <f>SUM(AY120:AY124)</f>
        <v>0</v>
      </c>
      <c r="AZ119" s="3107">
        <f>SUM(AZ120:AZ124)</f>
        <v>0</v>
      </c>
      <c r="BA119" s="3107">
        <f>SUM(BA120:BA124)</f>
        <v>0</v>
      </c>
      <c r="BB119" s="3107">
        <f>SUM(BB120:BB124)</f>
        <v>0</v>
      </c>
      <c r="BC119" s="196"/>
      <c r="BD119" s="528"/>
      <c r="BE119" s="528"/>
      <c r="BF119" s="1042" t="s">
        <v>1154</v>
      </c>
    </row>
    <row s="1656" customFormat="1" customHeight="1" ht="14.25">
      <c r="A120" s="1240"/>
      <c r="B120" s="1223"/>
      <c r="C120" s="1240"/>
      <c r="D120" s="1240"/>
      <c r="E120" s="633">
        <v>15</v>
      </c>
      <c r="F120" s="50" cm="1" t="str">
        <f t="array" ref="F120:F120">OFFSET(E120,-1,1)</f>
        <v>1</v>
      </c>
      <c r="G120" s="100" t="s">
        <v>688</v>
      </c>
      <c r="H120" s="1240"/>
      <c r="I120" s="1240"/>
      <c r="J120" s="1240"/>
      <c r="K120" s="1240"/>
      <c r="L120" s="1240"/>
      <c r="M120" s="1240"/>
      <c r="N120" s="1240"/>
      <c r="O120" s="1240"/>
      <c r="P120" s="1240"/>
      <c r="Q120" s="1240"/>
      <c r="R120" s="1240"/>
      <c r="S120" s="1240"/>
      <c r="T120" s="468" cm="1" t="str">
        <f t="array" ref="T120:T120">T119</f>
        <v>true</v>
      </c>
      <c r="U120" s="1240"/>
      <c r="V120" s="1240"/>
      <c r="W120" s="1240"/>
      <c r="X120" s="1559"/>
      <c r="Y120" s="1240"/>
      <c r="Z120" s="1560"/>
      <c r="AA120" s="1240"/>
      <c r="AB120" s="84" t="s">
        <v>711</v>
      </c>
      <c r="AC120" s="210" t="s">
        <v>1068</v>
      </c>
      <c r="AD120" s="85" t="s">
        <v>936</v>
      </c>
      <c r="AE120" s="211"/>
      <c r="AF120" s="211"/>
      <c r="AG120" s="211"/>
      <c r="AH120" s="211"/>
      <c r="AI120" s="211"/>
      <c r="AJ120" s="3109"/>
      <c r="AK120" s="3109"/>
      <c r="AL120" s="3109"/>
      <c r="AM120" s="3109"/>
      <c r="AN120" s="3109"/>
      <c r="AO120" s="3109"/>
      <c r="AP120" s="3109"/>
      <c r="AQ120" s="3109"/>
      <c r="AR120" s="3109"/>
      <c r="AS120" s="211"/>
      <c r="AT120" s="3109"/>
      <c r="AU120" s="3109"/>
      <c r="AV120" s="3109"/>
      <c r="AW120" s="3109"/>
      <c r="AX120" s="3109"/>
      <c r="AY120" s="3109"/>
      <c r="AZ120" s="3109"/>
      <c r="BA120" s="3109"/>
      <c r="BB120" s="3109"/>
      <c r="BC120" s="196"/>
      <c r="BD120" s="1240"/>
      <c r="BE120" s="1240"/>
      <c r="BF120" s="1042" t="s">
        <v>1155</v>
      </c>
    </row>
    <row s="1656" customFormat="1" customHeight="1" ht="14.25">
      <c r="A121" s="1240"/>
      <c r="B121" s="1223"/>
      <c r="C121" s="1240"/>
      <c r="D121" s="1240"/>
      <c r="E121" s="633">
        <v>15</v>
      </c>
      <c r="F121" s="50" cm="1" t="str">
        <f t="array" ref="F121:F121">OFFSET(E121,-1,1)</f>
        <v>1</v>
      </c>
      <c r="G121" s="100" t="s">
        <v>692</v>
      </c>
      <c r="H121" s="1240"/>
      <c r="I121" s="1240"/>
      <c r="J121" s="1240"/>
      <c r="K121" s="1240"/>
      <c r="L121" s="1240"/>
      <c r="M121" s="1240"/>
      <c r="N121" s="1240"/>
      <c r="O121" s="1240"/>
      <c r="P121" s="1240"/>
      <c r="Q121" s="1240"/>
      <c r="R121" s="1240"/>
      <c r="S121" s="1240"/>
      <c r="T121" s="468" cm="1" t="str">
        <f t="array" ref="T121:T121">T120</f>
        <v>true</v>
      </c>
      <c r="U121" s="1240"/>
      <c r="V121" s="1240"/>
      <c r="W121" s="1240"/>
      <c r="X121" s="1559"/>
      <c r="Y121" s="1240"/>
      <c r="Z121" s="1560"/>
      <c r="AA121" s="1240"/>
      <c r="AB121" s="84" t="s">
        <v>728</v>
      </c>
      <c r="AC121" s="210" t="s">
        <v>1071</v>
      </c>
      <c r="AD121" s="85" t="s">
        <v>936</v>
      </c>
      <c r="AE121" s="211"/>
      <c r="AF121" s="211"/>
      <c r="AG121" s="211"/>
      <c r="AH121" s="211"/>
      <c r="AI121" s="211"/>
      <c r="AJ121" s="3109"/>
      <c r="AK121" s="3109"/>
      <c r="AL121" s="3109"/>
      <c r="AM121" s="3109"/>
      <c r="AN121" s="3109"/>
      <c r="AO121" s="3109"/>
      <c r="AP121" s="3109"/>
      <c r="AQ121" s="3109"/>
      <c r="AR121" s="3109"/>
      <c r="AS121" s="211"/>
      <c r="AT121" s="3109"/>
      <c r="AU121" s="3109"/>
      <c r="AV121" s="3109"/>
      <c r="AW121" s="3109"/>
      <c r="AX121" s="3109"/>
      <c r="AY121" s="3109"/>
      <c r="AZ121" s="3109"/>
      <c r="BA121" s="3109"/>
      <c r="BB121" s="3109"/>
      <c r="BC121" s="196"/>
      <c r="BD121" s="1240"/>
      <c r="BE121" s="1240"/>
      <c r="BF121" s="1042" t="s">
        <v>1156</v>
      </c>
    </row>
    <row s="1656" customFormat="1" customHeight="1" ht="14.25">
      <c r="A122" s="1240"/>
      <c r="B122" s="1223"/>
      <c r="C122" s="1240"/>
      <c r="D122" s="1240"/>
      <c r="E122" s="633">
        <v>15</v>
      </c>
      <c r="F122" s="50" cm="1" t="str">
        <f t="array" ref="F122:F122">OFFSET(E122,-1,1)</f>
        <v>1</v>
      </c>
      <c r="G122" s="100" t="s">
        <v>696</v>
      </c>
      <c r="H122" s="1240"/>
      <c r="I122" s="1240"/>
      <c r="J122" s="1240"/>
      <c r="K122" s="1240"/>
      <c r="L122" s="1240"/>
      <c r="M122" s="1240"/>
      <c r="N122" s="1240"/>
      <c r="O122" s="1240"/>
      <c r="P122" s="1240"/>
      <c r="Q122" s="1240"/>
      <c r="R122" s="1240"/>
      <c r="S122" s="1240"/>
      <c r="T122" s="468" cm="1" t="str">
        <f t="array" ref="T122:T122">T121</f>
        <v>true</v>
      </c>
      <c r="U122" s="1240"/>
      <c r="V122" s="1240"/>
      <c r="W122" s="1240"/>
      <c r="X122" s="1559"/>
      <c r="Y122" s="1240"/>
      <c r="Z122" s="1560"/>
      <c r="AA122" s="1240"/>
      <c r="AB122" s="84" t="s">
        <v>740</v>
      </c>
      <c r="AC122" s="210" t="s">
        <v>1074</v>
      </c>
      <c r="AD122" s="85" t="s">
        <v>936</v>
      </c>
      <c r="AE122" s="211"/>
      <c r="AF122" s="211"/>
      <c r="AG122" s="211"/>
      <c r="AH122" s="211"/>
      <c r="AI122" s="211"/>
      <c r="AJ122" s="3109"/>
      <c r="AK122" s="3109"/>
      <c r="AL122" s="3109"/>
      <c r="AM122" s="3109"/>
      <c r="AN122" s="3109"/>
      <c r="AO122" s="3109"/>
      <c r="AP122" s="3109"/>
      <c r="AQ122" s="3109"/>
      <c r="AR122" s="3109"/>
      <c r="AS122" s="211"/>
      <c r="AT122" s="3109"/>
      <c r="AU122" s="3109"/>
      <c r="AV122" s="3109"/>
      <c r="AW122" s="3109"/>
      <c r="AX122" s="3109"/>
      <c r="AY122" s="3109"/>
      <c r="AZ122" s="3109"/>
      <c r="BA122" s="3109"/>
      <c r="BB122" s="3109"/>
      <c r="BC122" s="196"/>
      <c r="BD122" s="1240"/>
      <c r="BE122" s="1240"/>
      <c r="BF122" s="1042" t="s">
        <v>1157</v>
      </c>
    </row>
    <row s="1656" customFormat="1" customHeight="1" ht="14.25">
      <c r="A123" s="1240"/>
      <c r="B123" s="1223"/>
      <c r="C123" s="1240"/>
      <c r="D123" s="1240"/>
      <c r="E123" s="633">
        <v>15</v>
      </c>
      <c r="F123" s="50" cm="1" t="str">
        <f t="array" ref="F123:F123">OFFSET(E123,-1,1)</f>
        <v>1</v>
      </c>
      <c r="G123" s="100" t="s">
        <v>1158</v>
      </c>
      <c r="H123" s="1240"/>
      <c r="I123" s="1240"/>
      <c r="J123" s="1240"/>
      <c r="K123" s="1240"/>
      <c r="L123" s="1240"/>
      <c r="M123" s="1240"/>
      <c r="N123" s="1240"/>
      <c r="O123" s="1240"/>
      <c r="P123" s="1240"/>
      <c r="Q123" s="1240"/>
      <c r="R123" s="1240"/>
      <c r="S123" s="1240"/>
      <c r="T123" s="468" cm="1" t="str">
        <f t="array" ref="T123:T123">T122</f>
        <v>true</v>
      </c>
      <c r="U123" s="1240"/>
      <c r="V123" s="1240"/>
      <c r="W123" s="1240"/>
      <c r="X123" s="1559"/>
      <c r="Y123" s="1240"/>
      <c r="Z123" s="1560"/>
      <c r="AA123" s="1240"/>
      <c r="AB123" s="84" t="s">
        <v>775</v>
      </c>
      <c r="AC123" s="210" t="s">
        <v>1077</v>
      </c>
      <c r="AD123" s="85" t="s">
        <v>936</v>
      </c>
      <c r="AE123" s="211"/>
      <c r="AF123" s="211"/>
      <c r="AG123" s="211"/>
      <c r="AH123" s="211"/>
      <c r="AI123" s="211"/>
      <c r="AJ123" s="3109"/>
      <c r="AK123" s="3109"/>
      <c r="AL123" s="3109"/>
      <c r="AM123" s="3109"/>
      <c r="AN123" s="3109"/>
      <c r="AO123" s="3109"/>
      <c r="AP123" s="3109"/>
      <c r="AQ123" s="3109"/>
      <c r="AR123" s="3109"/>
      <c r="AS123" s="211"/>
      <c r="AT123" s="3109"/>
      <c r="AU123" s="3109"/>
      <c r="AV123" s="3109"/>
      <c r="AW123" s="3109"/>
      <c r="AX123" s="3109"/>
      <c r="AY123" s="3109"/>
      <c r="AZ123" s="3109"/>
      <c r="BA123" s="3109"/>
      <c r="BB123" s="3109"/>
      <c r="BC123" s="196"/>
      <c r="BD123" s="1240"/>
      <c r="BE123" s="1240"/>
      <c r="BF123" s="1042" t="s">
        <v>1159</v>
      </c>
    </row>
    <row s="1656" customFormat="1" customHeight="1" ht="14.25">
      <c r="A124" s="1240"/>
      <c r="B124" s="1223"/>
      <c r="C124" s="1240"/>
      <c r="D124" s="1240"/>
      <c r="E124" s="633">
        <v>15</v>
      </c>
      <c r="F124" s="50" cm="1" t="str">
        <f t="array" ref="F124:F124">OFFSET(E124,-1,1)</f>
        <v>1</v>
      </c>
      <c r="G124" s="100" t="s">
        <v>1160</v>
      </c>
      <c r="H124" s="1240"/>
      <c r="I124" s="1240"/>
      <c r="J124" s="1240"/>
      <c r="K124" s="1240"/>
      <c r="L124" s="1240"/>
      <c r="M124" s="1240"/>
      <c r="N124" s="1240"/>
      <c r="O124" s="1240"/>
      <c r="P124" s="1240"/>
      <c r="Q124" s="1240"/>
      <c r="R124" s="1240"/>
      <c r="S124" s="1240"/>
      <c r="T124" s="468" cm="1" t="str">
        <f t="array" ref="T124:T124">T123</f>
        <v>true</v>
      </c>
      <c r="U124" s="1240"/>
      <c r="V124" s="1240"/>
      <c r="W124" s="1240"/>
      <c r="X124" s="1559"/>
      <c r="Y124" s="1240"/>
      <c r="Z124" s="1560"/>
      <c r="AA124" s="1240"/>
      <c r="AB124" s="84" t="s">
        <v>778</v>
      </c>
      <c r="AC124" s="210" t="s">
        <v>1081</v>
      </c>
      <c r="AD124" s="85" t="s">
        <v>936</v>
      </c>
      <c r="AE124" s="211"/>
      <c r="AF124" s="211"/>
      <c r="AG124" s="211"/>
      <c r="AH124" s="211"/>
      <c r="AI124" s="211"/>
      <c r="AJ124" s="3109"/>
      <c r="AK124" s="3109"/>
      <c r="AL124" s="3109"/>
      <c r="AM124" s="3109"/>
      <c r="AN124" s="3109"/>
      <c r="AO124" s="3109"/>
      <c r="AP124" s="3109"/>
      <c r="AQ124" s="3109"/>
      <c r="AR124" s="3109"/>
      <c r="AS124" s="211"/>
      <c r="AT124" s="3109"/>
      <c r="AU124" s="3109"/>
      <c r="AV124" s="3109"/>
      <c r="AW124" s="3109"/>
      <c r="AX124" s="3109"/>
      <c r="AY124" s="3109"/>
      <c r="AZ124" s="3109"/>
      <c r="BA124" s="3109"/>
      <c r="BB124" s="3109"/>
      <c r="BC124" s="196"/>
      <c r="BD124" s="1240"/>
      <c r="BE124" s="1240"/>
      <c r="BF124" s="1042" t="s">
        <v>1161</v>
      </c>
    </row>
    <row s="1656" customFormat="1" customHeight="1" ht="37.171875">
      <c r="A125" s="1240"/>
      <c r="B125" s="1223"/>
      <c r="C125" s="1240"/>
      <c r="D125" s="1240"/>
      <c r="E125" s="633">
        <v>15</v>
      </c>
      <c r="F125" s="726" cm="1" t="str">
        <f t="array" ref="F125:F125">X125</f>
        <v>2</v>
      </c>
      <c r="G125" s="1240"/>
      <c r="H125" s="1240"/>
      <c r="I125" s="1240"/>
      <c r="J125" s="1240"/>
      <c r="K125" s="1240"/>
      <c r="L125" s="1240"/>
      <c r="M125" s="1240"/>
      <c r="N125" s="1240"/>
      <c r="O125" s="1240"/>
      <c r="P125" s="1240"/>
      <c r="Q125" s="1240"/>
      <c r="R125" s="1240"/>
      <c r="S125" s="1240"/>
      <c r="T125" s="468">
        <f>X125&gt;0</f>
        <v>1</v>
      </c>
      <c r="U125" s="1240"/>
      <c r="V125" s="100" cm="1" t="str">
        <f t="array" ref="V125:V125">ЭЭ!$AB$91</f>
        <v>Тариф 2 (Водоотведение) - тариф на водоотведение (Оказание услуг на территории: город Ленинск-Кузнецкий (ОКТМО: 32719000) - г Ленинск-Кузнецкий)</v>
      </c>
      <c r="W125" s="1240"/>
      <c r="X125" s="1559" t="s">
        <v>299</v>
      </c>
      <c r="Y125" s="1240"/>
      <c r="Z125" s="1560"/>
      <c r="AA125" s="1240"/>
      <c r="AB125" s="179" cm="1" t="str">
        <f t="array" ref="AB125:AB125">ЭЭ!$AB$91</f>
        <v>Тариф 2 (Водоотведение) - тариф на водоотведение (Оказание услуг на территории: город Ленинск-Кузнецкий (ОКТМО: 32719000) - г Ленинск-Кузнецкий)</v>
      </c>
      <c r="AC125" s="176"/>
      <c r="AD125" s="170"/>
      <c r="AE125" s="170"/>
      <c r="AF125" s="170"/>
      <c r="AG125" s="170"/>
      <c r="AH125" s="170"/>
      <c r="AI125" s="170"/>
      <c r="AJ125" s="170"/>
      <c r="AK125" s="170"/>
      <c r="AL125" s="170"/>
      <c r="AM125" s="170"/>
      <c r="AN125" s="170"/>
      <c r="AO125" s="170"/>
      <c r="AP125" s="170"/>
      <c r="AQ125" s="170"/>
      <c r="AR125" s="170"/>
      <c r="AS125" s="170"/>
      <c r="AT125" s="170"/>
      <c r="AU125" s="170"/>
      <c r="AV125" s="170"/>
      <c r="AW125" s="170"/>
      <c r="AX125" s="170"/>
      <c r="AY125" s="170"/>
      <c r="AZ125" s="170"/>
      <c r="BA125" s="170"/>
      <c r="BB125" s="170"/>
      <c r="BC125" s="206"/>
      <c r="BD125" s="1240"/>
      <c r="BE125" s="1240"/>
      <c r="BF125" s="1184"/>
    </row>
    <row s="528" customFormat="1" customHeight="1" ht="50.671875">
      <c r="A126" s="528"/>
      <c r="B126" s="433"/>
      <c r="C126" s="528"/>
      <c r="D126" s="528"/>
      <c r="E126" s="675">
        <v>22.5</v>
      </c>
      <c r="F126" s="50" cm="1" t="str">
        <f t="array" ref="F126:F126">OFFSET(E126,-1,1)</f>
        <v>2</v>
      </c>
      <c r="G126" s="100" t="s">
        <v>344</v>
      </c>
      <c r="H126" s="528"/>
      <c r="I126" s="528"/>
      <c r="J126" s="528"/>
      <c r="K126" s="528"/>
      <c r="L126" s="528"/>
      <c r="M126" s="528"/>
      <c r="N126" s="528"/>
      <c r="O126" s="528"/>
      <c r="P126" s="528"/>
      <c r="Q126" s="528"/>
      <c r="R126" s="528"/>
      <c r="S126" s="528"/>
      <c r="T126" s="468" cm="1" t="str">
        <f t="array" ref="T126:T126">T125</f>
        <v>true</v>
      </c>
      <c r="U126" s="528"/>
      <c r="V126" s="528"/>
      <c r="W126" s="528"/>
      <c r="X126" s="1559"/>
      <c r="Y126" s="528"/>
      <c r="Z126" s="1560"/>
      <c r="AA126" s="528"/>
      <c r="AB126" s="207">
        <v>1</v>
      </c>
      <c r="AC126" s="208" t="s">
        <v>1065</v>
      </c>
      <c r="AD126" s="85" t="s">
        <v>936</v>
      </c>
      <c r="AE126" s="1217">
        <v>1019.15</v>
      </c>
      <c r="AF126" s="1217">
        <f>SUM(AF127:AF131)</f>
        <v>1029.8146</v>
      </c>
      <c r="AG126" s="1217">
        <f>SUM(AG127:AG131)</f>
        <v>1029.8146</v>
      </c>
      <c r="AH126" s="1217">
        <v>2278.31</v>
      </c>
      <c r="AI126" s="1217">
        <f>SUM(AI127:AI131)</f>
        <v>0</v>
      </c>
      <c r="AJ126" s="3107">
        <f>SUM(AJ127:AJ131)</f>
        <v>0</v>
      </c>
      <c r="AK126" s="3107">
        <f>SUM(AK127:AK131)</f>
        <v>0</v>
      </c>
      <c r="AL126" s="3107">
        <f>SUM(AL127:AL131)</f>
        <v>0</v>
      </c>
      <c r="AM126" s="3107">
        <f>SUM(AM127:AM131)</f>
        <v>0</v>
      </c>
      <c r="AN126" s="3107">
        <f>SUM(AN127:AN131)</f>
        <v>0</v>
      </c>
      <c r="AO126" s="3107">
        <f>SUM(AO127:AO131)</f>
        <v>0</v>
      </c>
      <c r="AP126" s="3107">
        <f>SUM(AP127:AP131)</f>
        <v>0</v>
      </c>
      <c r="AQ126" s="3107">
        <f>SUM(AQ127:AQ131)</f>
        <v>0</v>
      </c>
      <c r="AR126" s="3107">
        <f>SUM(AR127:AR131)</f>
        <v>0</v>
      </c>
      <c r="AS126" s="1217">
        <f>SUM(AS127:AS131)</f>
        <v>3919.00633</v>
      </c>
      <c r="AT126" s="3107">
        <f>SUM(AT127:AT131)</f>
        <v>0</v>
      </c>
      <c r="AU126" s="3107">
        <f>SUM(AU127:AU131)</f>
        <v>0</v>
      </c>
      <c r="AV126" s="3107">
        <f>SUM(AV127:AV131)</f>
        <v>0</v>
      </c>
      <c r="AW126" s="3107">
        <f>SUM(AW127:AW131)</f>
        <v>0</v>
      </c>
      <c r="AX126" s="3107">
        <f>SUM(AX127:AX131)</f>
        <v>0</v>
      </c>
      <c r="AY126" s="3107">
        <f>SUM(AY127:AY131)</f>
        <v>0</v>
      </c>
      <c r="AZ126" s="3107">
        <f>SUM(AZ127:AZ131)</f>
        <v>0</v>
      </c>
      <c r="BA126" s="3107">
        <f>SUM(BA127:BA131)</f>
        <v>0</v>
      </c>
      <c r="BB126" s="3107">
        <f>SUM(BB127:BB131)</f>
        <v>0</v>
      </c>
      <c r="BC126" s="196" t="s">
        <v>1162</v>
      </c>
      <c r="BD126" s="528"/>
      <c r="BE126" s="528"/>
      <c r="BF126" s="1042" t="s">
        <v>1066</v>
      </c>
    </row>
    <row s="1656" customFormat="1" customHeight="1" ht="65.671875">
      <c r="A127" s="1240"/>
      <c r="B127" s="1223"/>
      <c r="C127" s="1240"/>
      <c r="D127" s="1240"/>
      <c r="E127" s="633">
        <v>15</v>
      </c>
      <c r="F127" s="50" cm="1" t="str">
        <f t="array" ref="F127:F127">OFFSET(E127,-1,1)</f>
        <v>2</v>
      </c>
      <c r="G127" s="100" t="s">
        <v>566</v>
      </c>
      <c r="H127" s="1240"/>
      <c r="I127" s="1240"/>
      <c r="J127" s="1240"/>
      <c r="K127" s="1240"/>
      <c r="L127" s="1240"/>
      <c r="M127" s="1240"/>
      <c r="N127" s="1240"/>
      <c r="O127" s="1240"/>
      <c r="P127" s="1240"/>
      <c r="Q127" s="1240"/>
      <c r="R127" s="1240"/>
      <c r="S127" s="1240"/>
      <c r="T127" s="468" cm="1" t="str">
        <f t="array" ref="T127:T127">T126</f>
        <v>true</v>
      </c>
      <c r="U127" s="1240"/>
      <c r="V127" s="1240"/>
      <c r="W127" s="1240"/>
      <c r="X127" s="1559"/>
      <c r="Y127" s="1240"/>
      <c r="Z127" s="1560"/>
      <c r="AA127" s="1240"/>
      <c r="AB127" s="84" t="s">
        <v>1067</v>
      </c>
      <c r="AC127" s="210" t="s">
        <v>1068</v>
      </c>
      <c r="AD127" s="85" t="s">
        <v>936</v>
      </c>
      <c r="AE127" s="211">
        <v>0</v>
      </c>
      <c r="AF127" s="211"/>
      <c r="AG127" s="211"/>
      <c r="AH127" s="211">
        <v>0</v>
      </c>
      <c r="AI127" s="211"/>
      <c r="AJ127" s="3109"/>
      <c r="AK127" s="3109"/>
      <c r="AL127" s="3109"/>
      <c r="AM127" s="3109"/>
      <c r="AN127" s="3109"/>
      <c r="AO127" s="3109"/>
      <c r="AP127" s="3109"/>
      <c r="AQ127" s="3109"/>
      <c r="AR127" s="3109"/>
      <c r="AS127" s="211"/>
      <c r="AT127" s="3109"/>
      <c r="AU127" s="3109"/>
      <c r="AV127" s="3109"/>
      <c r="AW127" s="3109"/>
      <c r="AX127" s="3109"/>
      <c r="AY127" s="3109"/>
      <c r="AZ127" s="3109"/>
      <c r="BA127" s="3109"/>
      <c r="BB127" s="3109"/>
      <c r="BC127" s="196" t="s">
        <v>1163</v>
      </c>
      <c r="BD127" s="1240"/>
      <c r="BE127" s="1240"/>
      <c r="BF127" s="1042" t="s">
        <v>1069</v>
      </c>
    </row>
    <row s="1656" customFormat="1" customHeight="1" ht="52.921875">
      <c r="A128" s="1240"/>
      <c r="B128" s="1223"/>
      <c r="C128" s="1240"/>
      <c r="D128" s="1240"/>
      <c r="E128" s="633">
        <v>15</v>
      </c>
      <c r="F128" s="50" cm="1" t="str">
        <f t="array" ref="F128:F128">OFFSET(E128,-1,1)</f>
        <v>2</v>
      </c>
      <c r="G128" s="100" t="s">
        <v>570</v>
      </c>
      <c r="H128" s="1240"/>
      <c r="I128" s="1240"/>
      <c r="J128" s="1240"/>
      <c r="K128" s="1240"/>
      <c r="L128" s="1240"/>
      <c r="M128" s="1240"/>
      <c r="N128" s="1240"/>
      <c r="O128" s="1240"/>
      <c r="P128" s="1240"/>
      <c r="Q128" s="1240"/>
      <c r="R128" s="1240"/>
      <c r="S128" s="1240"/>
      <c r="T128" s="468" cm="1" t="str">
        <f t="array" ref="T128:T128">T127</f>
        <v>true</v>
      </c>
      <c r="U128" s="1240"/>
      <c r="V128" s="1240"/>
      <c r="W128" s="1240"/>
      <c r="X128" s="1559"/>
      <c r="Y128" s="1240"/>
      <c r="Z128" s="1560"/>
      <c r="AA128" s="1240"/>
      <c r="AB128" s="84" t="s">
        <v>1070</v>
      </c>
      <c r="AC128" s="210" t="s">
        <v>1071</v>
      </c>
      <c r="AD128" s="85" t="s">
        <v>936</v>
      </c>
      <c r="AE128" s="211">
        <v>1019.15</v>
      </c>
      <c r="AF128" s="211">
        <f>1029.8146</f>
        <v>1029.8146</v>
      </c>
      <c r="AG128" s="211" cm="1" t="str">
        <f t="array" ref="AG128:AG128">AF128</f>
        <v>1029.8146</v>
      </c>
      <c r="AH128" s="211">
        <v>2278.31</v>
      </c>
      <c r="AI128" s="211"/>
      <c r="AJ128" s="3109"/>
      <c r="AK128" s="3109"/>
      <c r="AL128" s="3109"/>
      <c r="AM128" s="3109"/>
      <c r="AN128" s="3109"/>
      <c r="AO128" s="3109"/>
      <c r="AP128" s="3109"/>
      <c r="AQ128" s="3109"/>
      <c r="AR128" s="3109"/>
      <c r="AS128" s="211" cm="1" t="str">
        <f t="array" ref="AS128:AS128">AG146</f>
        <v>1455.60633</v>
      </c>
      <c r="AT128" s="3109"/>
      <c r="AU128" s="3109"/>
      <c r="AV128" s="3109"/>
      <c r="AW128" s="3109"/>
      <c r="AX128" s="3109"/>
      <c r="AY128" s="3109"/>
      <c r="AZ128" s="3109"/>
      <c r="BA128" s="3109"/>
      <c r="BB128" s="3109"/>
      <c r="BC128" s="196" t="s">
        <v>1173</v>
      </c>
      <c r="BD128" s="1240"/>
      <c r="BE128" s="1240"/>
      <c r="BF128" s="1042" t="s">
        <v>1072</v>
      </c>
    </row>
    <row s="1656" customFormat="1" customHeight="1" ht="46.921875">
      <c r="A129" s="1240"/>
      <c r="B129" s="1223"/>
      <c r="C129" s="1240"/>
      <c r="D129" s="1240"/>
      <c r="E129" s="633">
        <v>15</v>
      </c>
      <c r="F129" s="50" cm="1" t="str">
        <f t="array" ref="F129:F129">OFFSET(E129,-1,1)</f>
        <v>2</v>
      </c>
      <c r="G129" s="100" t="s">
        <v>573</v>
      </c>
      <c r="H129" s="1240"/>
      <c r="I129" s="1240"/>
      <c r="J129" s="1240"/>
      <c r="K129" s="1240"/>
      <c r="L129" s="1240"/>
      <c r="M129" s="1240"/>
      <c r="N129" s="1240"/>
      <c r="O129" s="1240"/>
      <c r="P129" s="1240"/>
      <c r="Q129" s="1240"/>
      <c r="R129" s="1240"/>
      <c r="S129" s="1240"/>
      <c r="T129" s="468" cm="1" t="str">
        <f t="array" ref="T129:T129">T128</f>
        <v>true</v>
      </c>
      <c r="U129" s="1240"/>
      <c r="V129" s="1240"/>
      <c r="W129" s="1240"/>
      <c r="X129" s="1559"/>
      <c r="Y129" s="1240"/>
      <c r="Z129" s="1560"/>
      <c r="AA129" s="1240"/>
      <c r="AB129" s="84" t="s">
        <v>1073</v>
      </c>
      <c r="AC129" s="210" t="s">
        <v>1074</v>
      </c>
      <c r="AD129" s="85" t="s">
        <v>936</v>
      </c>
      <c r="AE129" s="211">
        <v>0</v>
      </c>
      <c r="AF129" s="211"/>
      <c r="AG129" s="211"/>
      <c r="AH129" s="211">
        <v>0</v>
      </c>
      <c r="AI129" s="211"/>
      <c r="AJ129" s="3109"/>
      <c r="AK129" s="3109"/>
      <c r="AL129" s="3109"/>
      <c r="AM129" s="3109"/>
      <c r="AN129" s="3109"/>
      <c r="AO129" s="3109"/>
      <c r="AP129" s="3109"/>
      <c r="AQ129" s="3109"/>
      <c r="AR129" s="3109"/>
      <c r="AS129" s="211"/>
      <c r="AT129" s="3109"/>
      <c r="AU129" s="3109"/>
      <c r="AV129" s="3109"/>
      <c r="AW129" s="3109"/>
      <c r="AX129" s="3109"/>
      <c r="AY129" s="3109"/>
      <c r="AZ129" s="3109"/>
      <c r="BA129" s="3109"/>
      <c r="BB129" s="3109"/>
      <c r="BC129" s="196"/>
      <c r="BD129" s="1240"/>
      <c r="BE129" s="1240"/>
      <c r="BF129" s="1042" t="s">
        <v>1075</v>
      </c>
    </row>
    <row s="1656" customFormat="1" customHeight="1" ht="14.625">
      <c r="A130" s="1240"/>
      <c r="B130" s="1223"/>
      <c r="C130" s="1240"/>
      <c r="D130" s="1240"/>
      <c r="E130" s="633">
        <v>15</v>
      </c>
      <c r="F130" s="50" cm="1" t="str">
        <f t="array" ref="F130:F130">OFFSET(E130,-1,1)</f>
        <v>2</v>
      </c>
      <c r="G130" s="100" t="s">
        <v>577</v>
      </c>
      <c r="H130" s="1240"/>
      <c r="I130" s="1240"/>
      <c r="J130" s="1240"/>
      <c r="K130" s="1240"/>
      <c r="L130" s="1240"/>
      <c r="M130" s="1240"/>
      <c r="N130" s="1240"/>
      <c r="O130" s="1240"/>
      <c r="P130" s="1240"/>
      <c r="Q130" s="1240"/>
      <c r="R130" s="1240"/>
      <c r="S130" s="1240"/>
      <c r="T130" s="468" cm="1" t="str">
        <f t="array" ref="T130:T130">T129</f>
        <v>true</v>
      </c>
      <c r="U130" s="1240"/>
      <c r="V130" s="1240"/>
      <c r="W130" s="1240"/>
      <c r="X130" s="1559"/>
      <c r="Y130" s="1240"/>
      <c r="Z130" s="1560"/>
      <c r="AA130" s="1240"/>
      <c r="AB130" s="84" t="s">
        <v>1076</v>
      </c>
      <c r="AC130" s="210" t="s">
        <v>1077</v>
      </c>
      <c r="AD130" s="85" t="s">
        <v>936</v>
      </c>
      <c r="AE130" s="211">
        <v>0</v>
      </c>
      <c r="AF130" s="211"/>
      <c r="AG130" s="211"/>
      <c r="AH130" s="211">
        <v>0</v>
      </c>
      <c r="AI130" s="211"/>
      <c r="AJ130" s="3109"/>
      <c r="AK130" s="3109"/>
      <c r="AL130" s="3109"/>
      <c r="AM130" s="3109"/>
      <c r="AN130" s="3109"/>
      <c r="AO130" s="3109"/>
      <c r="AP130" s="3109"/>
      <c r="AQ130" s="3109"/>
      <c r="AR130" s="3109"/>
      <c r="AS130" s="211"/>
      <c r="AT130" s="3109"/>
      <c r="AU130" s="3109"/>
      <c r="AV130" s="3109"/>
      <c r="AW130" s="3109"/>
      <c r="AX130" s="3109"/>
      <c r="AY130" s="3109"/>
      <c r="AZ130" s="3109"/>
      <c r="BA130" s="3109"/>
      <c r="BB130" s="3109"/>
      <c r="BC130" s="196"/>
      <c r="BD130" s="1240"/>
      <c r="BE130" s="1240"/>
      <c r="BF130" s="1042" t="s">
        <v>1078</v>
      </c>
    </row>
    <row s="1656" customFormat="1" customHeight="1" ht="36.421875">
      <c r="A131" s="1240"/>
      <c r="B131" s="1223"/>
      <c r="C131" s="1240"/>
      <c r="D131" s="1240"/>
      <c r="E131" s="633">
        <v>15</v>
      </c>
      <c r="F131" s="50" cm="1" t="str">
        <f t="array" ref="F131:F131">OFFSET(E131,-1,1)</f>
        <v>2</v>
      </c>
      <c r="G131" s="100" t="s">
        <v>1079</v>
      </c>
      <c r="H131" s="1240"/>
      <c r="I131" s="1240"/>
      <c r="J131" s="1240"/>
      <c r="K131" s="1240"/>
      <c r="L131" s="1240"/>
      <c r="M131" s="1240"/>
      <c r="N131" s="1240"/>
      <c r="O131" s="1240"/>
      <c r="P131" s="1240"/>
      <c r="Q131" s="1240"/>
      <c r="R131" s="1240"/>
      <c r="S131" s="1240"/>
      <c r="T131" s="468" cm="1" t="str">
        <f t="array" ref="T131:T131">T130</f>
        <v>true</v>
      </c>
      <c r="U131" s="1240"/>
      <c r="V131" s="1240"/>
      <c r="W131" s="1240"/>
      <c r="X131" s="1559"/>
      <c r="Y131" s="1240"/>
      <c r="Z131" s="1560"/>
      <c r="AA131" s="1240"/>
      <c r="AB131" s="84" t="s">
        <v>1080</v>
      </c>
      <c r="AC131" s="210" t="s">
        <v>1081</v>
      </c>
      <c r="AD131" s="85" t="s">
        <v>936</v>
      </c>
      <c r="AE131" s="211">
        <v>0</v>
      </c>
      <c r="AF131" s="211"/>
      <c r="AG131" s="211"/>
      <c r="AH131" s="211">
        <v>0</v>
      </c>
      <c r="AI131" s="211"/>
      <c r="AJ131" s="3109"/>
      <c r="AK131" s="3109"/>
      <c r="AL131" s="3109"/>
      <c r="AM131" s="3109"/>
      <c r="AN131" s="3109"/>
      <c r="AO131" s="3109"/>
      <c r="AP131" s="3109"/>
      <c r="AQ131" s="3109"/>
      <c r="AR131" s="3109"/>
      <c r="AS131" s="211">
        <v>2463.4</v>
      </c>
      <c r="AT131" s="3109"/>
      <c r="AU131" s="3109"/>
      <c r="AV131" s="3109"/>
      <c r="AW131" s="3109"/>
      <c r="AX131" s="3109"/>
      <c r="AY131" s="3109"/>
      <c r="AZ131" s="3109"/>
      <c r="BA131" s="3109"/>
      <c r="BB131" s="3109"/>
      <c r="BC131" s="196" t="s">
        <v>1174</v>
      </c>
      <c r="BD131" s="1240"/>
      <c r="BE131" s="1240"/>
      <c r="BF131" s="1042" t="s">
        <v>1082</v>
      </c>
    </row>
    <row s="528" customFormat="1" customHeight="1" ht="72.421875">
      <c r="A132" s="528"/>
      <c r="B132" s="433"/>
      <c r="C132" s="528"/>
      <c r="D132" s="528"/>
      <c r="E132" s="633">
        <v>15</v>
      </c>
      <c r="F132" s="50" cm="1" t="str">
        <f t="array" ref="F132:F132">OFFSET(E132,-1,1)</f>
        <v>2</v>
      </c>
      <c r="G132" s="100" t="s">
        <v>345</v>
      </c>
      <c r="H132" s="528"/>
      <c r="I132" s="528"/>
      <c r="J132" s="528"/>
      <c r="K132" s="528"/>
      <c r="L132" s="528"/>
      <c r="M132" s="528"/>
      <c r="N132" s="528"/>
      <c r="O132" s="528"/>
      <c r="P132" s="528"/>
      <c r="Q132" s="528"/>
      <c r="R132" s="528"/>
      <c r="S132" s="528"/>
      <c r="T132" s="468" cm="1" t="str">
        <f t="array" ref="T132:T132">T131</f>
        <v>true</v>
      </c>
      <c r="U132" s="528"/>
      <c r="V132" s="528"/>
      <c r="W132" s="528"/>
      <c r="X132" s="1559"/>
      <c r="Y132" s="528"/>
      <c r="Z132" s="1560"/>
      <c r="AA132" s="528"/>
      <c r="AB132" s="207">
        <v>2</v>
      </c>
      <c r="AC132" s="208" t="s">
        <v>1083</v>
      </c>
      <c r="AD132" s="85" t="s">
        <v>936</v>
      </c>
      <c r="AE132" s="1217">
        <v>1248.5</v>
      </c>
      <c r="AF132" s="1217">
        <f>SUM(AF133:AF137)</f>
        <v>425.79173</v>
      </c>
      <c r="AG132" s="1217">
        <f>SUM(AG133:AG137)</f>
        <v>425.79173</v>
      </c>
      <c r="AH132" s="1217">
        <v>1214.9</v>
      </c>
      <c r="AI132" s="1217">
        <f>SUM(AI133:AI137)</f>
        <v>0</v>
      </c>
      <c r="AJ132" s="3107">
        <f>SUM(AJ133:AJ137)</f>
        <v>0</v>
      </c>
      <c r="AK132" s="3107">
        <f>SUM(AK133:AK137)</f>
        <v>0</v>
      </c>
      <c r="AL132" s="3107">
        <f>SUM(AL133:AL137)</f>
        <v>0</v>
      </c>
      <c r="AM132" s="3107">
        <f>SUM(AM133:AM137)</f>
        <v>0</v>
      </c>
      <c r="AN132" s="3107">
        <f>SUM(AN133:AN137)</f>
        <v>0</v>
      </c>
      <c r="AO132" s="3107">
        <f>SUM(AO133:AO137)</f>
        <v>0</v>
      </c>
      <c r="AP132" s="3107">
        <f>SUM(AP133:AP137)</f>
        <v>0</v>
      </c>
      <c r="AQ132" s="3107">
        <f>SUM(AQ133:AQ137)</f>
        <v>0</v>
      </c>
      <c r="AR132" s="3107">
        <f>SUM(AR133:AR137)</f>
        <v>0</v>
      </c>
      <c r="AS132" s="1217">
        <f>SUM(AS133:AS137)</f>
        <v>2227.8</v>
      </c>
      <c r="AT132" s="3107">
        <f>SUM(AT133:AT137)</f>
        <v>0</v>
      </c>
      <c r="AU132" s="3107">
        <f>SUM(AU133:AU137)</f>
        <v>0</v>
      </c>
      <c r="AV132" s="3107">
        <f>SUM(AV133:AV137)</f>
        <v>0</v>
      </c>
      <c r="AW132" s="3107">
        <f>SUM(AW133:AW137)</f>
        <v>0</v>
      </c>
      <c r="AX132" s="3107">
        <f>SUM(AX133:AX137)</f>
        <v>0</v>
      </c>
      <c r="AY132" s="3107">
        <f>SUM(AY133:AY137)</f>
        <v>0</v>
      </c>
      <c r="AZ132" s="3107">
        <f>SUM(AZ133:AZ137)</f>
        <v>0</v>
      </c>
      <c r="BA132" s="3107">
        <f>SUM(BA133:BA137)</f>
        <v>0</v>
      </c>
      <c r="BB132" s="3107">
        <f>SUM(BB133:BB137)</f>
        <v>0</v>
      </c>
      <c r="BC132" s="196" t="s">
        <v>1175</v>
      </c>
      <c r="BD132" s="528"/>
      <c r="BE132" s="528"/>
      <c r="BF132" s="1042" t="s">
        <v>1084</v>
      </c>
    </row>
    <row s="1656" customFormat="1" customHeight="1" ht="14.625">
      <c r="A133" s="1240"/>
      <c r="B133" s="1223"/>
      <c r="C133" s="1240"/>
      <c r="D133" s="1240"/>
      <c r="E133" s="633">
        <v>15</v>
      </c>
      <c r="F133" s="50" cm="1" t="str">
        <f t="array" ref="F133:F133">OFFSET(E133,-1,1)</f>
        <v>2</v>
      </c>
      <c r="G133" s="100" t="s">
        <v>584</v>
      </c>
      <c r="H133" s="1240"/>
      <c r="I133" s="1240"/>
      <c r="J133" s="1240"/>
      <c r="K133" s="1240"/>
      <c r="L133" s="1240"/>
      <c r="M133" s="1240"/>
      <c r="N133" s="1240"/>
      <c r="O133" s="1240"/>
      <c r="P133" s="1240"/>
      <c r="Q133" s="1240"/>
      <c r="R133" s="1240"/>
      <c r="S133" s="1240"/>
      <c r="T133" s="468" cm="1" t="str">
        <f t="array" ref="T133:T133">T132</f>
        <v>true</v>
      </c>
      <c r="U133" s="1240"/>
      <c r="V133" s="1240"/>
      <c r="W133" s="1240"/>
      <c r="X133" s="1559"/>
      <c r="Y133" s="1240"/>
      <c r="Z133" s="1560"/>
      <c r="AA133" s="1240"/>
      <c r="AB133" s="84" t="s">
        <v>660</v>
      </c>
      <c r="AC133" s="210" t="s">
        <v>1068</v>
      </c>
      <c r="AD133" s="85" t="s">
        <v>936</v>
      </c>
      <c r="AE133" s="211">
        <v>0</v>
      </c>
      <c r="AF133" s="211"/>
      <c r="AG133" s="211"/>
      <c r="AH133" s="211">
        <v>0</v>
      </c>
      <c r="AI133" s="211"/>
      <c r="AJ133" s="3109"/>
      <c r="AK133" s="3109"/>
      <c r="AL133" s="3109"/>
      <c r="AM133" s="3109"/>
      <c r="AN133" s="3109"/>
      <c r="AO133" s="3109"/>
      <c r="AP133" s="3109"/>
      <c r="AQ133" s="3109"/>
      <c r="AR133" s="3109"/>
      <c r="AS133" s="211"/>
      <c r="AT133" s="3109"/>
      <c r="AU133" s="3109"/>
      <c r="AV133" s="3109"/>
      <c r="AW133" s="3109"/>
      <c r="AX133" s="3109"/>
      <c r="AY133" s="3109"/>
      <c r="AZ133" s="3109"/>
      <c r="BA133" s="3109"/>
      <c r="BB133" s="3109"/>
      <c r="BC133" s="196"/>
      <c r="BD133" s="1240"/>
      <c r="BE133" s="1240"/>
      <c r="BF133" s="1042" t="s">
        <v>1085</v>
      </c>
    </row>
    <row s="1656" customFormat="1" customHeight="1" ht="35.671875">
      <c r="A134" s="1240"/>
      <c r="B134" s="1223"/>
      <c r="C134" s="1240"/>
      <c r="D134" s="1240"/>
      <c r="E134" s="633">
        <v>15</v>
      </c>
      <c r="F134" s="50" cm="1" t="str">
        <f t="array" ref="F134:F134">OFFSET(E134,-1,1)</f>
        <v>2</v>
      </c>
      <c r="G134" s="100" t="s">
        <v>587</v>
      </c>
      <c r="H134" s="1240"/>
      <c r="I134" s="1240"/>
      <c r="J134" s="1240"/>
      <c r="K134" s="1240"/>
      <c r="L134" s="1240"/>
      <c r="M134" s="1240"/>
      <c r="N134" s="1240"/>
      <c r="O134" s="1240"/>
      <c r="P134" s="1240"/>
      <c r="Q134" s="1240"/>
      <c r="R134" s="1240"/>
      <c r="S134" s="1240"/>
      <c r="T134" s="468" cm="1" t="str">
        <f t="array" ref="T134:T134">T133</f>
        <v>true</v>
      </c>
      <c r="U134" s="1240"/>
      <c r="V134" s="1240"/>
      <c r="W134" s="1240"/>
      <c r="X134" s="1559"/>
      <c r="Y134" s="1240"/>
      <c r="Z134" s="1560"/>
      <c r="AA134" s="1240"/>
      <c r="AB134" s="84" t="s">
        <v>664</v>
      </c>
      <c r="AC134" s="210" t="s">
        <v>1071</v>
      </c>
      <c r="AD134" s="85" t="s">
        <v>936</v>
      </c>
      <c r="AE134" s="211">
        <v>1248.5</v>
      </c>
      <c r="AF134" s="211">
        <v>425.79173</v>
      </c>
      <c r="AG134" s="211" cm="1" t="str">
        <f t="array" ref="AG134:AG134">AF134</f>
        <v>425.79173</v>
      </c>
      <c r="AH134" s="211">
        <v>1214.9</v>
      </c>
      <c r="AI134" s="211"/>
      <c r="AJ134" s="3109"/>
      <c r="AK134" s="3109"/>
      <c r="AL134" s="3109"/>
      <c r="AM134" s="3109"/>
      <c r="AN134" s="3109"/>
      <c r="AO134" s="3109"/>
      <c r="AP134" s="3109"/>
      <c r="AQ134" s="3109"/>
      <c r="AR134" s="3109"/>
      <c r="AS134" s="211"/>
      <c r="AT134" s="3109"/>
      <c r="AU134" s="3109"/>
      <c r="AV134" s="3109"/>
      <c r="AW134" s="3109"/>
      <c r="AX134" s="3109"/>
      <c r="AY134" s="3109"/>
      <c r="AZ134" s="3109"/>
      <c r="BA134" s="3109"/>
      <c r="BB134" s="3109"/>
      <c r="BC134" s="196" t="s">
        <v>1173</v>
      </c>
      <c r="BD134" s="1240"/>
      <c r="BE134" s="1240"/>
      <c r="BF134" s="1042" t="s">
        <v>1086</v>
      </c>
    </row>
    <row s="1656" customFormat="1" customHeight="1" ht="14.625">
      <c r="A135" s="1240"/>
      <c r="B135" s="1223"/>
      <c r="C135" s="1240"/>
      <c r="D135" s="1240"/>
      <c r="E135" s="633">
        <v>15</v>
      </c>
      <c r="F135" s="50" cm="1" t="str">
        <f t="array" ref="F135:F135">OFFSET(E135,-1,1)</f>
        <v>2</v>
      </c>
      <c r="G135" s="100" t="s">
        <v>1087</v>
      </c>
      <c r="H135" s="1240"/>
      <c r="I135" s="1240"/>
      <c r="J135" s="1240"/>
      <c r="K135" s="1240"/>
      <c r="L135" s="1240"/>
      <c r="M135" s="1240"/>
      <c r="N135" s="1240"/>
      <c r="O135" s="1240"/>
      <c r="P135" s="1240"/>
      <c r="Q135" s="1240"/>
      <c r="R135" s="1240"/>
      <c r="S135" s="1240"/>
      <c r="T135" s="468" cm="1" t="str">
        <f t="array" ref="T135:T135">T134</f>
        <v>true</v>
      </c>
      <c r="U135" s="1240"/>
      <c r="V135" s="1240"/>
      <c r="W135" s="1240"/>
      <c r="X135" s="1559"/>
      <c r="Y135" s="1240"/>
      <c r="Z135" s="1560"/>
      <c r="AA135" s="1240"/>
      <c r="AB135" s="84" t="s">
        <v>668</v>
      </c>
      <c r="AC135" s="210" t="s">
        <v>1074</v>
      </c>
      <c r="AD135" s="85" t="s">
        <v>936</v>
      </c>
      <c r="AE135" s="211">
        <v>0</v>
      </c>
      <c r="AF135" s="211"/>
      <c r="AG135" s="211"/>
      <c r="AH135" s="211">
        <v>0</v>
      </c>
      <c r="AI135" s="211"/>
      <c r="AJ135" s="3109"/>
      <c r="AK135" s="3109"/>
      <c r="AL135" s="3109"/>
      <c r="AM135" s="3109"/>
      <c r="AN135" s="3109"/>
      <c r="AO135" s="3109"/>
      <c r="AP135" s="3109"/>
      <c r="AQ135" s="3109"/>
      <c r="AR135" s="3109"/>
      <c r="AS135" s="211"/>
      <c r="AT135" s="3109"/>
      <c r="AU135" s="3109"/>
      <c r="AV135" s="3109"/>
      <c r="AW135" s="3109"/>
      <c r="AX135" s="3109"/>
      <c r="AY135" s="3109"/>
      <c r="AZ135" s="3109"/>
      <c r="BA135" s="3109"/>
      <c r="BB135" s="3109"/>
      <c r="BC135" s="196"/>
      <c r="BD135" s="1240"/>
      <c r="BE135" s="1240"/>
      <c r="BF135" s="1042" t="s">
        <v>1088</v>
      </c>
    </row>
    <row s="1656" customFormat="1" customHeight="1" ht="14.625">
      <c r="A136" s="1240"/>
      <c r="B136" s="1223"/>
      <c r="C136" s="1240"/>
      <c r="D136" s="1240"/>
      <c r="E136" s="633">
        <v>15</v>
      </c>
      <c r="F136" s="50" cm="1" t="str">
        <f t="array" ref="F136:F136">OFFSET(E136,-1,1)</f>
        <v>2</v>
      </c>
      <c r="G136" s="100" t="s">
        <v>1089</v>
      </c>
      <c r="H136" s="1240"/>
      <c r="I136" s="1240"/>
      <c r="J136" s="1240"/>
      <c r="K136" s="1240"/>
      <c r="L136" s="1240"/>
      <c r="M136" s="1240"/>
      <c r="N136" s="1240"/>
      <c r="O136" s="1240"/>
      <c r="P136" s="1240"/>
      <c r="Q136" s="1240"/>
      <c r="R136" s="1240"/>
      <c r="S136" s="1240"/>
      <c r="T136" s="468" cm="1" t="str">
        <f t="array" ref="T136:T136">T135</f>
        <v>true</v>
      </c>
      <c r="U136" s="1240"/>
      <c r="V136" s="1240"/>
      <c r="W136" s="1240"/>
      <c r="X136" s="1559"/>
      <c r="Y136" s="1240"/>
      <c r="Z136" s="1560"/>
      <c r="AA136" s="1240"/>
      <c r="AB136" s="84" t="s">
        <v>1090</v>
      </c>
      <c r="AC136" s="210" t="s">
        <v>1077</v>
      </c>
      <c r="AD136" s="85" t="s">
        <v>936</v>
      </c>
      <c r="AE136" s="211">
        <v>0</v>
      </c>
      <c r="AF136" s="211"/>
      <c r="AG136" s="211"/>
      <c r="AH136" s="211">
        <v>0</v>
      </c>
      <c r="AI136" s="211"/>
      <c r="AJ136" s="3109"/>
      <c r="AK136" s="3109"/>
      <c r="AL136" s="3109"/>
      <c r="AM136" s="3109"/>
      <c r="AN136" s="3109"/>
      <c r="AO136" s="3109"/>
      <c r="AP136" s="3109"/>
      <c r="AQ136" s="3109"/>
      <c r="AR136" s="3109"/>
      <c r="AS136" s="211"/>
      <c r="AT136" s="3109"/>
      <c r="AU136" s="3109"/>
      <c r="AV136" s="3109"/>
      <c r="AW136" s="3109"/>
      <c r="AX136" s="3109"/>
      <c r="AY136" s="3109"/>
      <c r="AZ136" s="3109"/>
      <c r="BA136" s="3109"/>
      <c r="BB136" s="3109"/>
      <c r="BC136" s="196"/>
      <c r="BD136" s="1240"/>
      <c r="BE136" s="1240"/>
      <c r="BF136" s="1042" t="s">
        <v>1091</v>
      </c>
    </row>
    <row s="1656" customFormat="1" customHeight="1" ht="30.421875">
      <c r="A137" s="1240"/>
      <c r="B137" s="1223"/>
      <c r="C137" s="1240"/>
      <c r="D137" s="1240"/>
      <c r="E137" s="633">
        <v>15</v>
      </c>
      <c r="F137" s="50" cm="1" t="str">
        <f t="array" ref="F137:F137">OFFSET(E137,-1,1)</f>
        <v>2</v>
      </c>
      <c r="G137" s="100" t="s">
        <v>1092</v>
      </c>
      <c r="H137" s="1240"/>
      <c r="I137" s="1240"/>
      <c r="J137" s="1240"/>
      <c r="K137" s="1240"/>
      <c r="L137" s="1240"/>
      <c r="M137" s="1240"/>
      <c r="N137" s="1240"/>
      <c r="O137" s="1240"/>
      <c r="P137" s="1240"/>
      <c r="Q137" s="1240"/>
      <c r="R137" s="1240"/>
      <c r="S137" s="1240"/>
      <c r="T137" s="468" cm="1" t="str">
        <f t="array" ref="T137:T137">T136</f>
        <v>true</v>
      </c>
      <c r="U137" s="1240"/>
      <c r="V137" s="1240"/>
      <c r="W137" s="1240"/>
      <c r="X137" s="1559"/>
      <c r="Y137" s="1240"/>
      <c r="Z137" s="1560"/>
      <c r="AA137" s="1240"/>
      <c r="AB137" s="84" t="s">
        <v>1093</v>
      </c>
      <c r="AC137" s="210" t="s">
        <v>1081</v>
      </c>
      <c r="AD137" s="85" t="s">
        <v>936</v>
      </c>
      <c r="AE137" s="211">
        <v>0</v>
      </c>
      <c r="AF137" s="211"/>
      <c r="AG137" s="211"/>
      <c r="AH137" s="211">
        <v>0</v>
      </c>
      <c r="AI137" s="211"/>
      <c r="AJ137" s="3109"/>
      <c r="AK137" s="3109"/>
      <c r="AL137" s="3109"/>
      <c r="AM137" s="3109"/>
      <c r="AN137" s="3109"/>
      <c r="AO137" s="3109"/>
      <c r="AP137" s="3109"/>
      <c r="AQ137" s="3109"/>
      <c r="AR137" s="3109"/>
      <c r="AS137" s="211">
        <v>2227.8</v>
      </c>
      <c r="AT137" s="3109"/>
      <c r="AU137" s="3109"/>
      <c r="AV137" s="3109"/>
      <c r="AW137" s="3109"/>
      <c r="AX137" s="3109"/>
      <c r="AY137" s="3109"/>
      <c r="AZ137" s="3109"/>
      <c r="BA137" s="3109"/>
      <c r="BB137" s="3109"/>
      <c r="BC137" s="196" t="s">
        <v>1176</v>
      </c>
      <c r="BD137" s="1240"/>
      <c r="BE137" s="1240"/>
      <c r="BF137" s="1042" t="s">
        <v>1094</v>
      </c>
    </row>
    <row s="528" customFormat="1" customHeight="1" ht="19.921875">
      <c r="A138" s="528"/>
      <c r="B138" s="433"/>
      <c r="C138" s="528"/>
      <c r="D138" s="528"/>
      <c r="E138" s="633">
        <v>15</v>
      </c>
      <c r="F138" s="50" cm="1" t="str">
        <f t="array" ref="F138:F138">OFFSET(E138,-1,1)</f>
        <v>2</v>
      </c>
      <c r="G138" s="100" t="s">
        <v>346</v>
      </c>
      <c r="H138" s="528"/>
      <c r="I138" s="528"/>
      <c r="J138" s="528"/>
      <c r="K138" s="528"/>
      <c r="L138" s="528"/>
      <c r="M138" s="528"/>
      <c r="N138" s="528"/>
      <c r="O138" s="528"/>
      <c r="P138" s="528"/>
      <c r="Q138" s="528"/>
      <c r="R138" s="528"/>
      <c r="S138" s="528"/>
      <c r="T138" s="468" cm="1" t="str">
        <f t="array" ref="T138:T138">T137</f>
        <v>true</v>
      </c>
      <c r="U138" s="528"/>
      <c r="V138" s="528"/>
      <c r="W138" s="528"/>
      <c r="X138" s="1559"/>
      <c r="Y138" s="528"/>
      <c r="Z138" s="1560"/>
      <c r="AA138" s="528"/>
      <c r="AB138" s="207">
        <v>3</v>
      </c>
      <c r="AC138" s="208" t="s">
        <v>1095</v>
      </c>
      <c r="AD138" s="85" t="s">
        <v>936</v>
      </c>
      <c r="AE138" s="1217">
        <f>SUM(AE139:AE143)</f>
        <v>0</v>
      </c>
      <c r="AF138" s="1217">
        <f>SUM(AF139:AF143)</f>
        <v>0</v>
      </c>
      <c r="AG138" s="1217">
        <f>SUM(AG139:AG143)</f>
        <v>0</v>
      </c>
      <c r="AH138" s="1217">
        <f>SUM(AH139:AH143)</f>
        <v>0</v>
      </c>
      <c r="AI138" s="1217">
        <f>SUM(AI139:AI143)</f>
        <v>0</v>
      </c>
      <c r="AJ138" s="3107">
        <f>SUM(AJ139:AJ143)</f>
        <v>0</v>
      </c>
      <c r="AK138" s="3107">
        <f>SUM(AK139:AK143)</f>
        <v>0</v>
      </c>
      <c r="AL138" s="3107">
        <f>SUM(AL139:AL143)</f>
        <v>0</v>
      </c>
      <c r="AM138" s="3107">
        <f>SUM(AM139:AM143)</f>
        <v>0</v>
      </c>
      <c r="AN138" s="3107">
        <f>SUM(AN139:AN143)</f>
        <v>0</v>
      </c>
      <c r="AO138" s="3107">
        <f>SUM(AO139:AO143)</f>
        <v>0</v>
      </c>
      <c r="AP138" s="3107">
        <f>SUM(AP139:AP143)</f>
        <v>0</v>
      </c>
      <c r="AQ138" s="3107">
        <f>SUM(AQ139:AQ143)</f>
        <v>0</v>
      </c>
      <c r="AR138" s="3107">
        <f>SUM(AR139:AR143)</f>
        <v>0</v>
      </c>
      <c r="AS138" s="1217">
        <f>SUM(AS139:AS143)</f>
        <v>0</v>
      </c>
      <c r="AT138" s="3107">
        <f>SUM(AT139:AT143)</f>
        <v>0</v>
      </c>
      <c r="AU138" s="3107">
        <f>SUM(AU139:AU143)</f>
        <v>0</v>
      </c>
      <c r="AV138" s="3107">
        <f>SUM(AV139:AV143)</f>
        <v>0</v>
      </c>
      <c r="AW138" s="3107">
        <f>SUM(AW139:AW143)</f>
        <v>0</v>
      </c>
      <c r="AX138" s="3107">
        <f>SUM(AX139:AX143)</f>
        <v>0</v>
      </c>
      <c r="AY138" s="3107">
        <f>SUM(AY139:AY143)</f>
        <v>0</v>
      </c>
      <c r="AZ138" s="3107">
        <f>SUM(AZ139:AZ143)</f>
        <v>0</v>
      </c>
      <c r="BA138" s="3107">
        <f>SUM(BA139:BA143)</f>
        <v>0</v>
      </c>
      <c r="BB138" s="3107">
        <f>SUM(BB139:BB143)</f>
        <v>0</v>
      </c>
      <c r="BC138" s="196"/>
      <c r="BD138" s="528"/>
      <c r="BE138" s="528"/>
      <c r="BF138" s="1042" t="s">
        <v>1096</v>
      </c>
    </row>
    <row s="1656" customFormat="1" customHeight="1" ht="14.625">
      <c r="A139" s="1240"/>
      <c r="B139" s="1223"/>
      <c r="C139" s="1240"/>
      <c r="D139" s="1240"/>
      <c r="E139" s="633">
        <v>15</v>
      </c>
      <c r="F139" s="50" cm="1" t="str">
        <f t="array" ref="F139:F139">OFFSET(E139,-1,1)</f>
        <v>2</v>
      </c>
      <c r="G139" s="100" t="s">
        <v>1097</v>
      </c>
      <c r="H139" s="1240"/>
      <c r="I139" s="1240"/>
      <c r="J139" s="1240"/>
      <c r="K139" s="1240"/>
      <c r="L139" s="1240"/>
      <c r="M139" s="1240"/>
      <c r="N139" s="1240"/>
      <c r="O139" s="1240"/>
      <c r="P139" s="1240"/>
      <c r="Q139" s="1240"/>
      <c r="R139" s="1240"/>
      <c r="S139" s="1240"/>
      <c r="T139" s="468" cm="1" t="str">
        <f t="array" ref="T139:T139">T138</f>
        <v>true</v>
      </c>
      <c r="U139" s="1240"/>
      <c r="V139" s="1240"/>
      <c r="W139" s="1240"/>
      <c r="X139" s="1559"/>
      <c r="Y139" s="1240"/>
      <c r="Z139" s="1560"/>
      <c r="AA139" s="1240"/>
      <c r="AB139" s="84" t="s">
        <v>674</v>
      </c>
      <c r="AC139" s="210" t="s">
        <v>1068</v>
      </c>
      <c r="AD139" s="85" t="s">
        <v>936</v>
      </c>
      <c r="AE139" s="211">
        <v>0</v>
      </c>
      <c r="AF139" s="211"/>
      <c r="AG139" s="211"/>
      <c r="AH139" s="211">
        <v>0</v>
      </c>
      <c r="AI139" s="211"/>
      <c r="AJ139" s="3109"/>
      <c r="AK139" s="3109"/>
      <c r="AL139" s="3109"/>
      <c r="AM139" s="3109"/>
      <c r="AN139" s="3109"/>
      <c r="AO139" s="3109"/>
      <c r="AP139" s="3109"/>
      <c r="AQ139" s="3109"/>
      <c r="AR139" s="3109"/>
      <c r="AS139" s="211"/>
      <c r="AT139" s="3109"/>
      <c r="AU139" s="3109"/>
      <c r="AV139" s="3109"/>
      <c r="AW139" s="3109"/>
      <c r="AX139" s="3109"/>
      <c r="AY139" s="3109"/>
      <c r="AZ139" s="3109"/>
      <c r="BA139" s="3109"/>
      <c r="BB139" s="3109"/>
      <c r="BC139" s="196"/>
      <c r="BD139" s="1240"/>
      <c r="BE139" s="1240"/>
      <c r="BF139" s="1042" t="s">
        <v>1098</v>
      </c>
    </row>
    <row s="1656" customFormat="1" customHeight="1" ht="14.625">
      <c r="A140" s="1240"/>
      <c r="B140" s="1223"/>
      <c r="C140" s="1240"/>
      <c r="D140" s="1240"/>
      <c r="E140" s="633">
        <v>15</v>
      </c>
      <c r="F140" s="50" cm="1" t="str">
        <f t="array" ref="F140:F140">OFFSET(E140,-1,1)</f>
        <v>2</v>
      </c>
      <c r="G140" s="100" t="s">
        <v>1099</v>
      </c>
      <c r="H140" s="1240"/>
      <c r="I140" s="1240"/>
      <c r="J140" s="1240"/>
      <c r="K140" s="1240"/>
      <c r="L140" s="1240"/>
      <c r="M140" s="1240"/>
      <c r="N140" s="1240"/>
      <c r="O140" s="1240"/>
      <c r="P140" s="1240"/>
      <c r="Q140" s="1240"/>
      <c r="R140" s="1240"/>
      <c r="S140" s="1240"/>
      <c r="T140" s="468" cm="1" t="str">
        <f t="array" ref="T140:T140">T139</f>
        <v>true</v>
      </c>
      <c r="U140" s="1240"/>
      <c r="V140" s="1240"/>
      <c r="W140" s="1240"/>
      <c r="X140" s="1559"/>
      <c r="Y140" s="1240"/>
      <c r="Z140" s="1560"/>
      <c r="AA140" s="1240"/>
      <c r="AB140" s="84" t="s">
        <v>678</v>
      </c>
      <c r="AC140" s="210" t="s">
        <v>1071</v>
      </c>
      <c r="AD140" s="85" t="s">
        <v>936</v>
      </c>
      <c r="AE140" s="211">
        <v>0</v>
      </c>
      <c r="AF140" s="211"/>
      <c r="AG140" s="211"/>
      <c r="AH140" s="211">
        <v>0</v>
      </c>
      <c r="AI140" s="211"/>
      <c r="AJ140" s="3109"/>
      <c r="AK140" s="3109"/>
      <c r="AL140" s="3109"/>
      <c r="AM140" s="3109"/>
      <c r="AN140" s="3109"/>
      <c r="AO140" s="3109"/>
      <c r="AP140" s="3109"/>
      <c r="AQ140" s="3109"/>
      <c r="AR140" s="3109"/>
      <c r="AS140" s="211"/>
      <c r="AT140" s="3109"/>
      <c r="AU140" s="3109"/>
      <c r="AV140" s="3109"/>
      <c r="AW140" s="3109"/>
      <c r="AX140" s="3109"/>
      <c r="AY140" s="3109"/>
      <c r="AZ140" s="3109"/>
      <c r="BA140" s="3109"/>
      <c r="BB140" s="3109"/>
      <c r="BC140" s="196"/>
      <c r="BD140" s="1240"/>
      <c r="BE140" s="1240"/>
      <c r="BF140" s="1042" t="s">
        <v>1100</v>
      </c>
    </row>
    <row s="1656" customFormat="1" customHeight="1" ht="14.625">
      <c r="A141" s="1240"/>
      <c r="B141" s="1223"/>
      <c r="C141" s="1240"/>
      <c r="D141" s="1240"/>
      <c r="E141" s="633">
        <v>15</v>
      </c>
      <c r="F141" s="50" cm="1" t="str">
        <f t="array" ref="F141:F141">OFFSET(E141,-1,1)</f>
        <v>2</v>
      </c>
      <c r="G141" s="100" t="s">
        <v>1101</v>
      </c>
      <c r="H141" s="1240"/>
      <c r="I141" s="1240"/>
      <c r="J141" s="1240"/>
      <c r="K141" s="1240"/>
      <c r="L141" s="1240"/>
      <c r="M141" s="1240"/>
      <c r="N141" s="1240"/>
      <c r="O141" s="1240"/>
      <c r="P141" s="1240"/>
      <c r="Q141" s="1240"/>
      <c r="R141" s="1240"/>
      <c r="S141" s="1240"/>
      <c r="T141" s="468" cm="1" t="str">
        <f t="array" ref="T141:T141">T140</f>
        <v>true</v>
      </c>
      <c r="U141" s="1240"/>
      <c r="V141" s="1240"/>
      <c r="W141" s="1240"/>
      <c r="X141" s="1559"/>
      <c r="Y141" s="1240"/>
      <c r="Z141" s="1560"/>
      <c r="AA141" s="1240"/>
      <c r="AB141" s="84" t="s">
        <v>890</v>
      </c>
      <c r="AC141" s="210" t="s">
        <v>1074</v>
      </c>
      <c r="AD141" s="85" t="s">
        <v>936</v>
      </c>
      <c r="AE141" s="211">
        <v>0</v>
      </c>
      <c r="AF141" s="211"/>
      <c r="AG141" s="211"/>
      <c r="AH141" s="211">
        <v>0</v>
      </c>
      <c r="AI141" s="211"/>
      <c r="AJ141" s="3109"/>
      <c r="AK141" s="3109"/>
      <c r="AL141" s="3109"/>
      <c r="AM141" s="3109"/>
      <c r="AN141" s="3109"/>
      <c r="AO141" s="3109"/>
      <c r="AP141" s="3109"/>
      <c r="AQ141" s="3109"/>
      <c r="AR141" s="3109"/>
      <c r="AS141" s="211"/>
      <c r="AT141" s="3109"/>
      <c r="AU141" s="3109"/>
      <c r="AV141" s="3109"/>
      <c r="AW141" s="3109"/>
      <c r="AX141" s="3109"/>
      <c r="AY141" s="3109"/>
      <c r="AZ141" s="3109"/>
      <c r="BA141" s="3109"/>
      <c r="BB141" s="3109"/>
      <c r="BC141" s="196"/>
      <c r="BD141" s="1240"/>
      <c r="BE141" s="1240"/>
      <c r="BF141" s="1042" t="s">
        <v>1102</v>
      </c>
    </row>
    <row s="1656" customFormat="1" customHeight="1" ht="14.625">
      <c r="A142" s="1240"/>
      <c r="B142" s="1223"/>
      <c r="C142" s="1240"/>
      <c r="D142" s="1240"/>
      <c r="E142" s="633">
        <v>15</v>
      </c>
      <c r="F142" s="50" cm="1" t="str">
        <f t="array" ref="F142:F142">OFFSET(E142,-1,1)</f>
        <v>2</v>
      </c>
      <c r="G142" s="100" t="s">
        <v>1103</v>
      </c>
      <c r="H142" s="1240"/>
      <c r="I142" s="1240"/>
      <c r="J142" s="1240"/>
      <c r="K142" s="1240"/>
      <c r="L142" s="1240"/>
      <c r="M142" s="1240"/>
      <c r="N142" s="1240"/>
      <c r="O142" s="1240"/>
      <c r="P142" s="1240"/>
      <c r="Q142" s="1240"/>
      <c r="R142" s="1240"/>
      <c r="S142" s="1240"/>
      <c r="T142" s="468" cm="1" t="str">
        <f t="array" ref="T142:T142">T141</f>
        <v>true</v>
      </c>
      <c r="U142" s="1240"/>
      <c r="V142" s="1240"/>
      <c r="W142" s="1240"/>
      <c r="X142" s="1559"/>
      <c r="Y142" s="1240"/>
      <c r="Z142" s="1560"/>
      <c r="AA142" s="1240"/>
      <c r="AB142" s="84" t="s">
        <v>1104</v>
      </c>
      <c r="AC142" s="210" t="s">
        <v>1077</v>
      </c>
      <c r="AD142" s="85" t="s">
        <v>936</v>
      </c>
      <c r="AE142" s="211">
        <v>0</v>
      </c>
      <c r="AF142" s="211"/>
      <c r="AG142" s="211"/>
      <c r="AH142" s="211">
        <v>0</v>
      </c>
      <c r="AI142" s="211"/>
      <c r="AJ142" s="3109"/>
      <c r="AK142" s="3109"/>
      <c r="AL142" s="3109"/>
      <c r="AM142" s="3109"/>
      <c r="AN142" s="3109"/>
      <c r="AO142" s="3109"/>
      <c r="AP142" s="3109"/>
      <c r="AQ142" s="3109"/>
      <c r="AR142" s="3109"/>
      <c r="AS142" s="211"/>
      <c r="AT142" s="3109"/>
      <c r="AU142" s="3109"/>
      <c r="AV142" s="3109"/>
      <c r="AW142" s="3109"/>
      <c r="AX142" s="3109"/>
      <c r="AY142" s="3109"/>
      <c r="AZ142" s="3109"/>
      <c r="BA142" s="3109"/>
      <c r="BB142" s="3109"/>
      <c r="BC142" s="196"/>
      <c r="BD142" s="1240"/>
      <c r="BE142" s="1240"/>
      <c r="BF142" s="1042" t="s">
        <v>1105</v>
      </c>
    </row>
    <row s="1656" customFormat="1" customHeight="1" ht="14.625">
      <c r="A143" s="1240"/>
      <c r="B143" s="1223"/>
      <c r="C143" s="1240"/>
      <c r="D143" s="1240"/>
      <c r="E143" s="633">
        <v>15</v>
      </c>
      <c r="F143" s="50" cm="1" t="str">
        <f t="array" ref="F143:F143">OFFSET(E143,-1,1)</f>
        <v>2</v>
      </c>
      <c r="G143" s="100" t="s">
        <v>1106</v>
      </c>
      <c r="H143" s="1240"/>
      <c r="I143" s="1240"/>
      <c r="J143" s="1240"/>
      <c r="K143" s="1240"/>
      <c r="L143" s="1240"/>
      <c r="M143" s="1240"/>
      <c r="N143" s="1240"/>
      <c r="O143" s="1240"/>
      <c r="P143" s="1240"/>
      <c r="Q143" s="1240"/>
      <c r="R143" s="1240"/>
      <c r="S143" s="1240"/>
      <c r="T143" s="468" cm="1" t="str">
        <f t="array" ref="T143:T143">T142</f>
        <v>true</v>
      </c>
      <c r="U143" s="1240"/>
      <c r="V143" s="1240"/>
      <c r="W143" s="1240"/>
      <c r="X143" s="1559"/>
      <c r="Y143" s="1240"/>
      <c r="Z143" s="1560"/>
      <c r="AA143" s="1240"/>
      <c r="AB143" s="84" t="s">
        <v>1107</v>
      </c>
      <c r="AC143" s="210" t="s">
        <v>1081</v>
      </c>
      <c r="AD143" s="85" t="s">
        <v>936</v>
      </c>
      <c r="AE143" s="211">
        <v>0</v>
      </c>
      <c r="AF143" s="211"/>
      <c r="AG143" s="211"/>
      <c r="AH143" s="211">
        <v>0</v>
      </c>
      <c r="AI143" s="211"/>
      <c r="AJ143" s="3109"/>
      <c r="AK143" s="3109"/>
      <c r="AL143" s="3109"/>
      <c r="AM143" s="3109"/>
      <c r="AN143" s="3109"/>
      <c r="AO143" s="3109"/>
      <c r="AP143" s="3109"/>
      <c r="AQ143" s="3109"/>
      <c r="AR143" s="3109"/>
      <c r="AS143" s="211"/>
      <c r="AT143" s="3109"/>
      <c r="AU143" s="3109"/>
      <c r="AV143" s="3109"/>
      <c r="AW143" s="3109"/>
      <c r="AX143" s="3109"/>
      <c r="AY143" s="3109"/>
      <c r="AZ143" s="3109"/>
      <c r="BA143" s="3109"/>
      <c r="BB143" s="3109"/>
      <c r="BC143" s="196"/>
      <c r="BD143" s="1240"/>
      <c r="BE143" s="1240"/>
      <c r="BF143" s="1042" t="s">
        <v>1108</v>
      </c>
    </row>
    <row s="528" customFormat="1" customHeight="1" ht="23.25">
      <c r="A144" s="528"/>
      <c r="B144" s="433"/>
      <c r="C144" s="528"/>
      <c r="D144" s="528"/>
      <c r="E144" s="675">
        <v>22.5</v>
      </c>
      <c r="F144" s="50" cm="1" t="str">
        <f t="array" ref="F144:F144">OFFSET(E144,-1,1)</f>
        <v>2</v>
      </c>
      <c r="G144" s="100" t="s">
        <v>348</v>
      </c>
      <c r="H144" s="528"/>
      <c r="I144" s="528"/>
      <c r="J144" s="528"/>
      <c r="K144" s="528"/>
      <c r="L144" s="528"/>
      <c r="M144" s="528"/>
      <c r="N144" s="528"/>
      <c r="O144" s="528"/>
      <c r="P144" s="528"/>
      <c r="Q144" s="528"/>
      <c r="R144" s="528"/>
      <c r="S144" s="528"/>
      <c r="T144" s="468" cm="1" t="str">
        <f t="array" ref="T144:T144">T143</f>
        <v>true</v>
      </c>
      <c r="U144" s="528"/>
      <c r="V144" s="528"/>
      <c r="W144" s="528"/>
      <c r="X144" s="1559"/>
      <c r="Y144" s="528"/>
      <c r="Z144" s="1560"/>
      <c r="AA144" s="528"/>
      <c r="AB144" s="207">
        <v>4</v>
      </c>
      <c r="AC144" s="208" t="s">
        <v>1109</v>
      </c>
      <c r="AD144" s="85" t="s">
        <v>936</v>
      </c>
      <c r="AE144" s="1217">
        <v>2267.65</v>
      </c>
      <c r="AF144" s="1217">
        <f>SUM(AF145:AF149)</f>
        <v>1455.60633</v>
      </c>
      <c r="AG144" s="1217">
        <f>SUM(AG145:AG149)</f>
        <v>1455.60633</v>
      </c>
      <c r="AH144" s="1217">
        <v>3493.21</v>
      </c>
      <c r="AI144" s="1217">
        <f>SUM(AI145:AI149)</f>
        <v>0</v>
      </c>
      <c r="AJ144" s="3107">
        <f>SUM(AJ145:AJ149)</f>
        <v>0</v>
      </c>
      <c r="AK144" s="3107">
        <f>SUM(AK145:AK149)</f>
        <v>0</v>
      </c>
      <c r="AL144" s="3107">
        <f>SUM(AL145:AL149)</f>
        <v>0</v>
      </c>
      <c r="AM144" s="3107">
        <f>SUM(AM145:AM149)</f>
        <v>0</v>
      </c>
      <c r="AN144" s="3107">
        <f>SUM(AN145:AN149)</f>
        <v>0</v>
      </c>
      <c r="AO144" s="3107">
        <f>SUM(AO145:AO149)</f>
        <v>0</v>
      </c>
      <c r="AP144" s="3107">
        <f>SUM(AP145:AP149)</f>
        <v>0</v>
      </c>
      <c r="AQ144" s="3107">
        <f>SUM(AQ145:AQ149)</f>
        <v>0</v>
      </c>
      <c r="AR144" s="3107">
        <f>SUM(AR145:AR149)</f>
        <v>0</v>
      </c>
      <c r="AS144" s="1217">
        <f>SUM(AS145:AS149)</f>
        <v>6146.80633</v>
      </c>
      <c r="AT144" s="3107">
        <f>SUM(AT145:AT149)</f>
        <v>0</v>
      </c>
      <c r="AU144" s="3107">
        <f>SUM(AU145:AU149)</f>
        <v>0</v>
      </c>
      <c r="AV144" s="3107">
        <f>SUM(AV145:AV149)</f>
        <v>0</v>
      </c>
      <c r="AW144" s="3107">
        <f>SUM(AW145:AW149)</f>
        <v>0</v>
      </c>
      <c r="AX144" s="3107">
        <f>SUM(AX145:AX149)</f>
        <v>0</v>
      </c>
      <c r="AY144" s="3107">
        <f>SUM(AY145:AY149)</f>
        <v>0</v>
      </c>
      <c r="AZ144" s="3107">
        <f>SUM(AZ145:AZ149)</f>
        <v>0</v>
      </c>
      <c r="BA144" s="3107">
        <f>SUM(BA145:BA149)</f>
        <v>0</v>
      </c>
      <c r="BB144" s="3107">
        <f>SUM(BB145:BB149)</f>
        <v>0</v>
      </c>
      <c r="BC144" s="196"/>
      <c r="BD144" s="528"/>
      <c r="BE144" s="528"/>
      <c r="BF144" s="1042" t="s">
        <v>1110</v>
      </c>
    </row>
    <row s="1656" customFormat="1" customHeight="1" ht="14.25">
      <c r="A145" s="1240"/>
      <c r="B145" s="1223"/>
      <c r="C145" s="1240"/>
      <c r="D145" s="1240"/>
      <c r="E145" s="633">
        <v>15</v>
      </c>
      <c r="F145" s="50" cm="1" t="str">
        <f t="array" ref="F145:F145">OFFSET(E145,-1,1)</f>
        <v>2</v>
      </c>
      <c r="G145" s="100" t="s">
        <v>659</v>
      </c>
      <c r="H145" s="1240"/>
      <c r="I145" s="1240"/>
      <c r="J145" s="1240"/>
      <c r="K145" s="1240"/>
      <c r="L145" s="1240"/>
      <c r="M145" s="1240"/>
      <c r="N145" s="1240"/>
      <c r="O145" s="1240"/>
      <c r="P145" s="1240"/>
      <c r="Q145" s="1240"/>
      <c r="R145" s="1240"/>
      <c r="S145" s="1240"/>
      <c r="T145" s="468" cm="1" t="str">
        <f t="array" ref="T145:T145">T144</f>
        <v>true</v>
      </c>
      <c r="U145" s="1240"/>
      <c r="V145" s="1240"/>
      <c r="W145" s="1240"/>
      <c r="X145" s="1559"/>
      <c r="Y145" s="1240"/>
      <c r="Z145" s="1560"/>
      <c r="AA145" s="1240"/>
      <c r="AB145" s="84" t="s">
        <v>794</v>
      </c>
      <c r="AC145" s="210" t="s">
        <v>1068</v>
      </c>
      <c r="AD145" s="85" t="s">
        <v>936</v>
      </c>
      <c r="AE145" s="211">
        <f>AE127+AE133-AE139</f>
        <v>0</v>
      </c>
      <c r="AF145" s="211">
        <f>AF127+AF133-AF139</f>
        <v>0</v>
      </c>
      <c r="AG145" s="211">
        <f>AG127+AG133-AG139</f>
        <v>0</v>
      </c>
      <c r="AH145" s="211">
        <f>AH127+AH133-AH139</f>
        <v>0</v>
      </c>
      <c r="AI145" s="211">
        <f>AI127+AI133-AI139</f>
        <v>0</v>
      </c>
      <c r="AJ145" s="3109">
        <f>AJ127+AJ133-AJ139</f>
        <v>0</v>
      </c>
      <c r="AK145" s="3109">
        <f>AK127+AK133-AK139</f>
        <v>0</v>
      </c>
      <c r="AL145" s="3109">
        <f>AL127+AL133-AL139</f>
        <v>0</v>
      </c>
      <c r="AM145" s="3109">
        <f>AM127+AM133-AM139</f>
        <v>0</v>
      </c>
      <c r="AN145" s="3109">
        <f>AN127+AN133-AN139</f>
        <v>0</v>
      </c>
      <c r="AO145" s="3109">
        <f>AO127+AO133-AO139</f>
        <v>0</v>
      </c>
      <c r="AP145" s="3109">
        <f>AP127+AP133-AP139</f>
        <v>0</v>
      </c>
      <c r="AQ145" s="3109">
        <f>AQ127+AQ133-AQ139</f>
        <v>0</v>
      </c>
      <c r="AR145" s="3109">
        <f>AR127+AR133-AR139</f>
        <v>0</v>
      </c>
      <c r="AS145" s="211">
        <f>AS127+AS133-AS139</f>
        <v>0</v>
      </c>
      <c r="AT145" s="3109">
        <f>AT127+AT133-AT139</f>
        <v>0</v>
      </c>
      <c r="AU145" s="3109">
        <f>AU127+AU133-AU139</f>
        <v>0</v>
      </c>
      <c r="AV145" s="3109">
        <f>AV127+AV133-AV139</f>
        <v>0</v>
      </c>
      <c r="AW145" s="3109">
        <f>AW127+AW133-AW139</f>
        <v>0</v>
      </c>
      <c r="AX145" s="3109">
        <f>AX127+AX133-AX139</f>
        <v>0</v>
      </c>
      <c r="AY145" s="3109">
        <f>AY127+AY133-AY139</f>
        <v>0</v>
      </c>
      <c r="AZ145" s="3109">
        <f>AZ127+AZ133-AZ139</f>
        <v>0</v>
      </c>
      <c r="BA145" s="3109">
        <f>BA127+BA133-BA139</f>
        <v>0</v>
      </c>
      <c r="BB145" s="3109">
        <f>BB127+BB133-BB139</f>
        <v>0</v>
      </c>
      <c r="BC145" s="196"/>
      <c r="BD145" s="1240"/>
      <c r="BE145" s="1240"/>
      <c r="BF145" s="1042" t="s">
        <v>1111</v>
      </c>
    </row>
    <row s="1656" customFormat="1" customHeight="1" ht="39.421875">
      <c r="A146" s="1240"/>
      <c r="B146" s="1223"/>
      <c r="C146" s="1240"/>
      <c r="D146" s="1240"/>
      <c r="E146" s="633">
        <v>15</v>
      </c>
      <c r="F146" s="50" cm="1" t="str">
        <f t="array" ref="F146:F146">OFFSET(E146,-1,1)</f>
        <v>2</v>
      </c>
      <c r="G146" s="100" t="s">
        <v>663</v>
      </c>
      <c r="H146" s="1240"/>
      <c r="I146" s="1240"/>
      <c r="J146" s="1240"/>
      <c r="K146" s="1240"/>
      <c r="L146" s="1240"/>
      <c r="M146" s="1240"/>
      <c r="N146" s="1240"/>
      <c r="O146" s="1240"/>
      <c r="P146" s="1240"/>
      <c r="Q146" s="1240"/>
      <c r="R146" s="1240"/>
      <c r="S146" s="1240"/>
      <c r="T146" s="468" cm="1" t="str">
        <f t="array" ref="T146:T146">T145</f>
        <v>true</v>
      </c>
      <c r="U146" s="1240"/>
      <c r="V146" s="1240"/>
      <c r="W146" s="1240"/>
      <c r="X146" s="1559"/>
      <c r="Y146" s="1240"/>
      <c r="Z146" s="1560"/>
      <c r="AA146" s="1240"/>
      <c r="AB146" s="84" t="s">
        <v>797</v>
      </c>
      <c r="AC146" s="210" t="s">
        <v>1071</v>
      </c>
      <c r="AD146" s="85" t="s">
        <v>936</v>
      </c>
      <c r="AE146" s="211">
        <v>1248.5</v>
      </c>
      <c r="AF146" s="211">
        <f>AF128+AF134-AF140</f>
        <v>1455.60633</v>
      </c>
      <c r="AG146" s="211">
        <f>AG128+AG134-AG140</f>
        <v>1455.60633</v>
      </c>
      <c r="AH146" s="211">
        <v>3493.21</v>
      </c>
      <c r="AI146" s="211">
        <f>AI128+AI134-AI140</f>
        <v>0</v>
      </c>
      <c r="AJ146" s="3109">
        <f>AJ128+AJ134-AJ140</f>
        <v>0</v>
      </c>
      <c r="AK146" s="3109">
        <f>AK128+AK134-AK140</f>
        <v>0</v>
      </c>
      <c r="AL146" s="3109">
        <f>AL128+AL134-AL140</f>
        <v>0</v>
      </c>
      <c r="AM146" s="3109">
        <f>AM128+AM134-AM140</f>
        <v>0</v>
      </c>
      <c r="AN146" s="3109">
        <f>AN128+AN134-AN140</f>
        <v>0</v>
      </c>
      <c r="AO146" s="3109">
        <f>AO128+AO134-AO140</f>
        <v>0</v>
      </c>
      <c r="AP146" s="3109">
        <f>AP128+AP134-AP140</f>
        <v>0</v>
      </c>
      <c r="AQ146" s="3109">
        <f>AQ128+AQ134-AQ140</f>
        <v>0</v>
      </c>
      <c r="AR146" s="3109">
        <f>AR128+AR134-AR140</f>
        <v>0</v>
      </c>
      <c r="AS146" s="211">
        <f>AS128+AS134-AS140</f>
        <v>1455.60633</v>
      </c>
      <c r="AT146" s="3109">
        <f>AT128+AT134-AT140</f>
        <v>0</v>
      </c>
      <c r="AU146" s="3109">
        <f>AU128+AU134-AU140</f>
        <v>0</v>
      </c>
      <c r="AV146" s="3109">
        <f>AV128+AV134-AV140</f>
        <v>0</v>
      </c>
      <c r="AW146" s="3109">
        <f>AW128+AW134-AW140</f>
        <v>0</v>
      </c>
      <c r="AX146" s="3109">
        <f>AX128+AX134-AX140</f>
        <v>0</v>
      </c>
      <c r="AY146" s="3109">
        <f>AY128+AY134-AY140</f>
        <v>0</v>
      </c>
      <c r="AZ146" s="3109">
        <f>AZ128+AZ134-AZ140</f>
        <v>0</v>
      </c>
      <c r="BA146" s="3109">
        <f>BA128+BA134-BA140</f>
        <v>0</v>
      </c>
      <c r="BB146" s="3109">
        <f>BB128+BB134-BB140</f>
        <v>0</v>
      </c>
      <c r="BC146" s="196"/>
      <c r="BD146" s="1240"/>
      <c r="BE146" s="1240"/>
      <c r="BF146" s="1042" t="s">
        <v>1112</v>
      </c>
    </row>
    <row s="1656" customFormat="1" customHeight="1" ht="14.25">
      <c r="A147" s="1240"/>
      <c r="B147" s="1223"/>
      <c r="C147" s="1240"/>
      <c r="D147" s="1240"/>
      <c r="E147" s="633">
        <v>15</v>
      </c>
      <c r="F147" s="50" cm="1" t="str">
        <f t="array" ref="F147:F147">OFFSET(E147,-1,1)</f>
        <v>2</v>
      </c>
      <c r="G147" s="100" t="s">
        <v>667</v>
      </c>
      <c r="H147" s="1240"/>
      <c r="I147" s="1240"/>
      <c r="J147" s="1240"/>
      <c r="K147" s="1240"/>
      <c r="L147" s="1240"/>
      <c r="M147" s="1240"/>
      <c r="N147" s="1240"/>
      <c r="O147" s="1240"/>
      <c r="P147" s="1240"/>
      <c r="Q147" s="1240"/>
      <c r="R147" s="1240"/>
      <c r="S147" s="1240"/>
      <c r="T147" s="468" cm="1" t="str">
        <f t="array" ref="T147:T147">T146</f>
        <v>true</v>
      </c>
      <c r="U147" s="1240"/>
      <c r="V147" s="1240"/>
      <c r="W147" s="1240"/>
      <c r="X147" s="1559"/>
      <c r="Y147" s="1240"/>
      <c r="Z147" s="1560"/>
      <c r="AA147" s="1240"/>
      <c r="AB147" s="84" t="s">
        <v>831</v>
      </c>
      <c r="AC147" s="210" t="s">
        <v>1074</v>
      </c>
      <c r="AD147" s="85" t="s">
        <v>936</v>
      </c>
      <c r="AE147" s="211">
        <f>AE129+AE135-AE141</f>
        <v>0</v>
      </c>
      <c r="AF147" s="211">
        <f>AF129+AF135-AF141</f>
        <v>0</v>
      </c>
      <c r="AG147" s="211">
        <f>AG129+AG135-AG141</f>
        <v>0</v>
      </c>
      <c r="AH147" s="211">
        <f>AH129+AH135-AH141</f>
        <v>0</v>
      </c>
      <c r="AI147" s="211">
        <f>AI129+AI135-AI141</f>
        <v>0</v>
      </c>
      <c r="AJ147" s="3109">
        <f>AJ129+AJ135-AJ141</f>
        <v>0</v>
      </c>
      <c r="AK147" s="3109">
        <f>AK129+AK135-AK141</f>
        <v>0</v>
      </c>
      <c r="AL147" s="3109">
        <f>AL129+AL135-AL141</f>
        <v>0</v>
      </c>
      <c r="AM147" s="3109">
        <f>AM129+AM135-AM141</f>
        <v>0</v>
      </c>
      <c r="AN147" s="3109">
        <f>AN129+AN135-AN141</f>
        <v>0</v>
      </c>
      <c r="AO147" s="3109">
        <f>AO129+AO135-AO141</f>
        <v>0</v>
      </c>
      <c r="AP147" s="3109">
        <f>AP129+AP135-AP141</f>
        <v>0</v>
      </c>
      <c r="AQ147" s="3109">
        <f>AQ129+AQ135-AQ141</f>
        <v>0</v>
      </c>
      <c r="AR147" s="3109">
        <f>AR129+AR135-AR141</f>
        <v>0</v>
      </c>
      <c r="AS147" s="211">
        <f>AS129+AS135-AS141</f>
        <v>0</v>
      </c>
      <c r="AT147" s="3109">
        <f>AT129+AT135-AT141</f>
        <v>0</v>
      </c>
      <c r="AU147" s="3109">
        <f>AU129+AU135-AU141</f>
        <v>0</v>
      </c>
      <c r="AV147" s="3109">
        <f>AV129+AV135-AV141</f>
        <v>0</v>
      </c>
      <c r="AW147" s="3109">
        <f>AW129+AW135-AW141</f>
        <v>0</v>
      </c>
      <c r="AX147" s="3109">
        <f>AX129+AX135-AX141</f>
        <v>0</v>
      </c>
      <c r="AY147" s="3109">
        <f>AY129+AY135-AY141</f>
        <v>0</v>
      </c>
      <c r="AZ147" s="3109">
        <f>AZ129+AZ135-AZ141</f>
        <v>0</v>
      </c>
      <c r="BA147" s="3109">
        <f>BA129+BA135-BA141</f>
        <v>0</v>
      </c>
      <c r="BB147" s="3109">
        <f>BB129+BB135-BB141</f>
        <v>0</v>
      </c>
      <c r="BC147" s="196"/>
      <c r="BD147" s="1240"/>
      <c r="BE147" s="1240"/>
      <c r="BF147" s="1042" t="s">
        <v>1113</v>
      </c>
    </row>
    <row s="1656" customFormat="1" customHeight="1" ht="14.25">
      <c r="A148" s="1240"/>
      <c r="B148" s="1223"/>
      <c r="C148" s="1240"/>
      <c r="D148" s="1240"/>
      <c r="E148" s="633">
        <v>15</v>
      </c>
      <c r="F148" s="50" cm="1" t="str">
        <f t="array" ref="F148:F148">OFFSET(E148,-1,1)</f>
        <v>2</v>
      </c>
      <c r="G148" s="100" t="s">
        <v>1114</v>
      </c>
      <c r="H148" s="1240"/>
      <c r="I148" s="1240"/>
      <c r="J148" s="1240"/>
      <c r="K148" s="1240"/>
      <c r="L148" s="1240"/>
      <c r="M148" s="1240"/>
      <c r="N148" s="1240"/>
      <c r="O148" s="1240"/>
      <c r="P148" s="1240"/>
      <c r="Q148" s="1240"/>
      <c r="R148" s="1240"/>
      <c r="S148" s="1240"/>
      <c r="T148" s="468" cm="1" t="str">
        <f t="array" ref="T148:T148">T147</f>
        <v>true</v>
      </c>
      <c r="U148" s="1240"/>
      <c r="V148" s="1240"/>
      <c r="W148" s="1240"/>
      <c r="X148" s="1559"/>
      <c r="Y148" s="1240"/>
      <c r="Z148" s="1560"/>
      <c r="AA148" s="1240"/>
      <c r="AB148" s="84" t="s">
        <v>840</v>
      </c>
      <c r="AC148" s="210" t="s">
        <v>1077</v>
      </c>
      <c r="AD148" s="85" t="s">
        <v>936</v>
      </c>
      <c r="AE148" s="211">
        <f>AE130+AE136-AE142</f>
        <v>0</v>
      </c>
      <c r="AF148" s="211">
        <f>AF130+AF136-AF142</f>
        <v>0</v>
      </c>
      <c r="AG148" s="211">
        <f>AG130+AG136-AG142</f>
        <v>0</v>
      </c>
      <c r="AH148" s="211">
        <f>AH130+AH136-AH142</f>
        <v>0</v>
      </c>
      <c r="AI148" s="211">
        <f>AI130+AI136-AI142</f>
        <v>0</v>
      </c>
      <c r="AJ148" s="3109">
        <f>AJ130+AJ136-AJ142</f>
        <v>0</v>
      </c>
      <c r="AK148" s="3109">
        <f>AK130+AK136-AK142</f>
        <v>0</v>
      </c>
      <c r="AL148" s="3109">
        <f>AL130+AL136-AL142</f>
        <v>0</v>
      </c>
      <c r="AM148" s="3109">
        <f>AM130+AM136-AM142</f>
        <v>0</v>
      </c>
      <c r="AN148" s="3109">
        <f>AN130+AN136-AN142</f>
        <v>0</v>
      </c>
      <c r="AO148" s="3109">
        <f>AO130+AO136-AO142</f>
        <v>0</v>
      </c>
      <c r="AP148" s="3109">
        <f>AP130+AP136-AP142</f>
        <v>0</v>
      </c>
      <c r="AQ148" s="3109">
        <f>AQ130+AQ136-AQ142</f>
        <v>0</v>
      </c>
      <c r="AR148" s="3109">
        <f>AR130+AR136-AR142</f>
        <v>0</v>
      </c>
      <c r="AS148" s="211">
        <f>AS130+AS136-AS142</f>
        <v>0</v>
      </c>
      <c r="AT148" s="3109">
        <f>AT130+AT136-AT142</f>
        <v>0</v>
      </c>
      <c r="AU148" s="3109">
        <f>AU130+AU136-AU142</f>
        <v>0</v>
      </c>
      <c r="AV148" s="3109">
        <f>AV130+AV136-AV142</f>
        <v>0</v>
      </c>
      <c r="AW148" s="3109">
        <f>AW130+AW136-AW142</f>
        <v>0</v>
      </c>
      <c r="AX148" s="3109">
        <f>AX130+AX136-AX142</f>
        <v>0</v>
      </c>
      <c r="AY148" s="3109">
        <f>AY130+AY136-AY142</f>
        <v>0</v>
      </c>
      <c r="AZ148" s="3109">
        <f>AZ130+AZ136-AZ142</f>
        <v>0</v>
      </c>
      <c r="BA148" s="3109">
        <f>BA130+BA136-BA142</f>
        <v>0</v>
      </c>
      <c r="BB148" s="3109">
        <f>BB130+BB136-BB142</f>
        <v>0</v>
      </c>
      <c r="BC148" s="196"/>
      <c r="BD148" s="1240"/>
      <c r="BE148" s="1240"/>
      <c r="BF148" s="1042" t="s">
        <v>1115</v>
      </c>
    </row>
    <row s="1656" customFormat="1" customHeight="1" ht="38.671875">
      <c r="A149" s="1240"/>
      <c r="B149" s="1223"/>
      <c r="C149" s="1240"/>
      <c r="D149" s="1240"/>
      <c r="E149" s="633">
        <v>15</v>
      </c>
      <c r="F149" s="50" cm="1" t="str">
        <f t="array" ref="F149:F149">OFFSET(E149,-1,1)</f>
        <v>2</v>
      </c>
      <c r="G149" s="100" t="s">
        <v>1116</v>
      </c>
      <c r="H149" s="1240"/>
      <c r="I149" s="1240"/>
      <c r="J149" s="1240"/>
      <c r="K149" s="1240"/>
      <c r="L149" s="1240"/>
      <c r="M149" s="1240"/>
      <c r="N149" s="1240"/>
      <c r="O149" s="1240"/>
      <c r="P149" s="1240"/>
      <c r="Q149" s="1240"/>
      <c r="R149" s="1240"/>
      <c r="S149" s="1240"/>
      <c r="T149" s="468" cm="1" t="str">
        <f t="array" ref="T149:T149">T148</f>
        <v>true</v>
      </c>
      <c r="U149" s="1240"/>
      <c r="V149" s="1240"/>
      <c r="W149" s="1240"/>
      <c r="X149" s="1559"/>
      <c r="Y149" s="1240"/>
      <c r="Z149" s="1560"/>
      <c r="AA149" s="1240"/>
      <c r="AB149" s="84" t="s">
        <v>850</v>
      </c>
      <c r="AC149" s="210" t="s">
        <v>1081</v>
      </c>
      <c r="AD149" s="85" t="s">
        <v>936</v>
      </c>
      <c r="AE149" s="211">
        <v>1019.15</v>
      </c>
      <c r="AF149" s="211">
        <f>AF131+AF137-AF143</f>
        <v>0</v>
      </c>
      <c r="AG149" s="211">
        <f>AG131+AG137-AG143</f>
        <v>0</v>
      </c>
      <c r="AH149" s="211">
        <f>AH131+AH137-AH143</f>
        <v>0</v>
      </c>
      <c r="AI149" s="211">
        <f>AI131+AI137-AI143</f>
        <v>0</v>
      </c>
      <c r="AJ149" s="3109">
        <f>AJ131+AJ137-AJ143</f>
        <v>0</v>
      </c>
      <c r="AK149" s="3109">
        <f>AK131+AK137-AK143</f>
        <v>0</v>
      </c>
      <c r="AL149" s="3109">
        <f>AL131+AL137-AL143</f>
        <v>0</v>
      </c>
      <c r="AM149" s="3109">
        <f>AM131+AM137-AM143</f>
        <v>0</v>
      </c>
      <c r="AN149" s="3109">
        <f>AN131+AN137-AN143</f>
        <v>0</v>
      </c>
      <c r="AO149" s="3109">
        <f>AO131+AO137-AO143</f>
        <v>0</v>
      </c>
      <c r="AP149" s="3109">
        <f>AP131+AP137-AP143</f>
        <v>0</v>
      </c>
      <c r="AQ149" s="3109">
        <f>AQ131+AQ137-AQ143</f>
        <v>0</v>
      </c>
      <c r="AR149" s="3109">
        <f>AR131+AR137-AR143</f>
        <v>0</v>
      </c>
      <c r="AS149" s="211">
        <f>AS131+AS137-AS143</f>
        <v>4691.2</v>
      </c>
      <c r="AT149" s="3109">
        <f>AT131+AT137-AT143</f>
        <v>0</v>
      </c>
      <c r="AU149" s="3109">
        <f>AU131+AU137-AU143</f>
        <v>0</v>
      </c>
      <c r="AV149" s="3109">
        <f>AV131+AV137-AV143</f>
        <v>0</v>
      </c>
      <c r="AW149" s="3109">
        <f>AW131+AW137-AW143</f>
        <v>0</v>
      </c>
      <c r="AX149" s="3109">
        <f>AX131+AX137-AX143</f>
        <v>0</v>
      </c>
      <c r="AY149" s="3109">
        <f>AY131+AY137-AY143</f>
        <v>0</v>
      </c>
      <c r="AZ149" s="3109">
        <f>AZ131+AZ137-AZ143</f>
        <v>0</v>
      </c>
      <c r="BA149" s="3109">
        <f>BA131+BA137-BA143</f>
        <v>0</v>
      </c>
      <c r="BB149" s="3109">
        <f>BB131+BB137-BB143</f>
        <v>0</v>
      </c>
      <c r="BC149" s="196"/>
      <c r="BD149" s="1240"/>
      <c r="BE149" s="1240"/>
      <c r="BF149" s="1042" t="s">
        <v>1117</v>
      </c>
    </row>
    <row s="528" customFormat="1" customHeight="1" ht="14.625">
      <c r="A150" s="528"/>
      <c r="B150" s="433"/>
      <c r="C150" s="528"/>
      <c r="D150" s="528"/>
      <c r="E150" s="633">
        <v>15</v>
      </c>
      <c r="F150" s="50" cm="1" t="str">
        <f t="array" ref="F150:F150">OFFSET(E150,-1,1)</f>
        <v>2</v>
      </c>
      <c r="G150" s="100" t="s">
        <v>347</v>
      </c>
      <c r="H150" s="528"/>
      <c r="I150" s="528"/>
      <c r="J150" s="528"/>
      <c r="K150" s="528"/>
      <c r="L150" s="528"/>
      <c r="M150" s="528"/>
      <c r="N150" s="528"/>
      <c r="O150" s="528"/>
      <c r="P150" s="528"/>
      <c r="Q150" s="528"/>
      <c r="R150" s="528"/>
      <c r="S150" s="528"/>
      <c r="T150" s="468" cm="1" t="str">
        <f t="array" ref="T150:T150">T149</f>
        <v>true</v>
      </c>
      <c r="U150" s="528"/>
      <c r="V150" s="528"/>
      <c r="W150" s="528"/>
      <c r="X150" s="1559"/>
      <c r="Y150" s="528"/>
      <c r="Z150" s="1560"/>
      <c r="AA150" s="528"/>
      <c r="AB150" s="207">
        <v>5</v>
      </c>
      <c r="AC150" s="208" t="s">
        <v>1118</v>
      </c>
      <c r="AD150" s="85" t="s">
        <v>936</v>
      </c>
      <c r="AE150" s="1217">
        <v>1643.4</v>
      </c>
      <c r="AF150" s="1217">
        <f>SUM(AF151:AF155)</f>
        <v>1242.710465</v>
      </c>
      <c r="AG150" s="1217">
        <f>SUM(AG151:AG155)</f>
        <v>1242.710465</v>
      </c>
      <c r="AH150" s="1217">
        <v>2885.76</v>
      </c>
      <c r="AI150" s="1217">
        <f>SUM(AI151:AI155)</f>
        <v>0</v>
      </c>
      <c r="AJ150" s="3107">
        <f>SUM(AJ151:AJ155)</f>
        <v>0</v>
      </c>
      <c r="AK150" s="3107">
        <f>SUM(AK151:AK155)</f>
        <v>0</v>
      </c>
      <c r="AL150" s="3107">
        <f>SUM(AL151:AL155)</f>
        <v>0</v>
      </c>
      <c r="AM150" s="3107">
        <f>SUM(AM151:AM155)</f>
        <v>0</v>
      </c>
      <c r="AN150" s="3107">
        <f>SUM(AN151:AN155)</f>
        <v>0</v>
      </c>
      <c r="AO150" s="3107">
        <f>SUM(AO151:AO155)</f>
        <v>0</v>
      </c>
      <c r="AP150" s="3107">
        <f>SUM(AP151:AP155)</f>
        <v>0</v>
      </c>
      <c r="AQ150" s="3107">
        <f>SUM(AQ151:AQ155)</f>
        <v>0</v>
      </c>
      <c r="AR150" s="3107">
        <f>SUM(AR151:AR155)</f>
        <v>0</v>
      </c>
      <c r="AS150" s="1217">
        <f>SUM(AS151:AS155)</f>
        <v>5032.90633</v>
      </c>
      <c r="AT150" s="3107">
        <f>SUM(AT151:AT155)</f>
        <v>0</v>
      </c>
      <c r="AU150" s="3107">
        <f>SUM(AU151:AU155)</f>
        <v>0</v>
      </c>
      <c r="AV150" s="3107">
        <f>SUM(AV151:AV155)</f>
        <v>0</v>
      </c>
      <c r="AW150" s="3107">
        <f>SUM(AW151:AW155)</f>
        <v>0</v>
      </c>
      <c r="AX150" s="3107">
        <f>SUM(AX151:AX155)</f>
        <v>0</v>
      </c>
      <c r="AY150" s="3107">
        <f>SUM(AY151:AY155)</f>
        <v>0</v>
      </c>
      <c r="AZ150" s="3107">
        <f>SUM(AZ151:AZ155)</f>
        <v>0</v>
      </c>
      <c r="BA150" s="3107">
        <f>SUM(BA151:BA155)</f>
        <v>0</v>
      </c>
      <c r="BB150" s="3107">
        <f>SUM(BB151:BB155)</f>
        <v>0</v>
      </c>
      <c r="BC150" s="196"/>
      <c r="BD150" s="528"/>
      <c r="BE150" s="528"/>
      <c r="BF150" s="1042" t="s">
        <v>1119</v>
      </c>
    </row>
    <row s="1656" customFormat="1" customHeight="1" ht="14.25">
      <c r="A151" s="1240"/>
      <c r="B151" s="1223"/>
      <c r="C151" s="1240"/>
      <c r="D151" s="1240"/>
      <c r="E151" s="633">
        <v>15</v>
      </c>
      <c r="F151" s="50" cm="1" t="str">
        <f t="array" ref="F151:F151">OFFSET(E151,-1,1)</f>
        <v>2</v>
      </c>
      <c r="G151" s="100" t="s">
        <v>673</v>
      </c>
      <c r="H151" s="1240"/>
      <c r="I151" s="1240"/>
      <c r="J151" s="1240"/>
      <c r="K151" s="1240"/>
      <c r="L151" s="1240"/>
      <c r="M151" s="1240"/>
      <c r="N151" s="1240"/>
      <c r="O151" s="1240"/>
      <c r="P151" s="1240"/>
      <c r="Q151" s="1240"/>
      <c r="R151" s="1240"/>
      <c r="S151" s="1240"/>
      <c r="T151" s="468" cm="1" t="str">
        <f t="array" ref="T151:T151">T150</f>
        <v>true</v>
      </c>
      <c r="U151" s="1240"/>
      <c r="V151" s="1240"/>
      <c r="W151" s="1240"/>
      <c r="X151" s="1559"/>
      <c r="Y151" s="1240"/>
      <c r="Z151" s="1560"/>
      <c r="AA151" s="1240"/>
      <c r="AB151" s="84" t="s">
        <v>801</v>
      </c>
      <c r="AC151" s="210" t="s">
        <v>1068</v>
      </c>
      <c r="AD151" s="85" t="s">
        <v>936</v>
      </c>
      <c r="AE151" s="211">
        <f>(AE145+AE127)/2</f>
        <v>0</v>
      </c>
      <c r="AF151" s="211">
        <f>(AF145+AF127)/2</f>
        <v>0</v>
      </c>
      <c r="AG151" s="211">
        <f>(AG145+AG127)/2</f>
        <v>0</v>
      </c>
      <c r="AH151" s="211">
        <f>(AH145+AH127)/2</f>
        <v>0</v>
      </c>
      <c r="AI151" s="211">
        <f>(AI145+AI127)/2</f>
        <v>0</v>
      </c>
      <c r="AJ151" s="3109">
        <f>(AJ145+AJ127)/2</f>
        <v>0</v>
      </c>
      <c r="AK151" s="3109">
        <f>(AK145+AK127)/2</f>
        <v>0</v>
      </c>
      <c r="AL151" s="3109">
        <f>(AL145+AL127)/2</f>
        <v>0</v>
      </c>
      <c r="AM151" s="3109">
        <f>(AM145+AM127)/2</f>
        <v>0</v>
      </c>
      <c r="AN151" s="3109">
        <f>(AN145+AN127)/2</f>
        <v>0</v>
      </c>
      <c r="AO151" s="3109">
        <f>(AO145+AO127)/2</f>
        <v>0</v>
      </c>
      <c r="AP151" s="3109">
        <f>(AP145+AP127)/2</f>
        <v>0</v>
      </c>
      <c r="AQ151" s="3109">
        <f>(AQ145+AQ127)/2</f>
        <v>0</v>
      </c>
      <c r="AR151" s="3109">
        <f>(AR145+AR127)/2</f>
        <v>0</v>
      </c>
      <c r="AS151" s="211">
        <f>(AS145+AS127)/2</f>
        <v>0</v>
      </c>
      <c r="AT151" s="3109">
        <f>(AT145+AT127)/2</f>
        <v>0</v>
      </c>
      <c r="AU151" s="3109">
        <f>(AU145+AU127)/2</f>
        <v>0</v>
      </c>
      <c r="AV151" s="3109">
        <f>(AV145+AV127)/2</f>
        <v>0</v>
      </c>
      <c r="AW151" s="3109">
        <f>(AW145+AW127)/2</f>
        <v>0</v>
      </c>
      <c r="AX151" s="3109">
        <f>(AX145+AX127)/2</f>
        <v>0</v>
      </c>
      <c r="AY151" s="3109">
        <f>(AY145+AY127)/2</f>
        <v>0</v>
      </c>
      <c r="AZ151" s="3109">
        <f>(AZ145+AZ127)/2</f>
        <v>0</v>
      </c>
      <c r="BA151" s="3109">
        <f>(BA145+BA127)/2</f>
        <v>0</v>
      </c>
      <c r="BB151" s="3109">
        <f>(BB145+BB127)/2</f>
        <v>0</v>
      </c>
      <c r="BC151" s="196"/>
      <c r="BD151" s="1240"/>
      <c r="BE151" s="1240"/>
      <c r="BF151" s="1042" t="s">
        <v>1120</v>
      </c>
    </row>
    <row s="1656" customFormat="1" customHeight="1" ht="14.625">
      <c r="A152" s="1240"/>
      <c r="B152" s="1223"/>
      <c r="C152" s="1240"/>
      <c r="D152" s="1240"/>
      <c r="E152" s="633">
        <v>15</v>
      </c>
      <c r="F152" s="50" cm="1" t="str">
        <f t="array" ref="F152:F152">OFFSET(E152,-1,1)</f>
        <v>2</v>
      </c>
      <c r="G152" s="100" t="s">
        <v>677</v>
      </c>
      <c r="H152" s="1240"/>
      <c r="I152" s="1240"/>
      <c r="J152" s="1240"/>
      <c r="K152" s="1240"/>
      <c r="L152" s="1240"/>
      <c r="M152" s="1240"/>
      <c r="N152" s="1240"/>
      <c r="O152" s="1240"/>
      <c r="P152" s="1240"/>
      <c r="Q152" s="1240"/>
      <c r="R152" s="1240"/>
      <c r="S152" s="1240"/>
      <c r="T152" s="468" cm="1" t="str">
        <f t="array" ref="T152:T152">T151</f>
        <v>true</v>
      </c>
      <c r="U152" s="1240"/>
      <c r="V152" s="1240"/>
      <c r="W152" s="1240"/>
      <c r="X152" s="1559"/>
      <c r="Y152" s="1240"/>
      <c r="Z152" s="1560"/>
      <c r="AA152" s="1240"/>
      <c r="AB152" s="84" t="s">
        <v>804</v>
      </c>
      <c r="AC152" s="210" t="s">
        <v>1071</v>
      </c>
      <c r="AD152" s="85" t="s">
        <v>936</v>
      </c>
      <c r="AE152" s="211">
        <v>624.25</v>
      </c>
      <c r="AF152" s="211">
        <f>(AF146+AF128)/2</f>
        <v>1242.710465</v>
      </c>
      <c r="AG152" s="211">
        <f>(AG146+AG128)/2</f>
        <v>1242.710465</v>
      </c>
      <c r="AH152" s="211">
        <v>2885.76</v>
      </c>
      <c r="AI152" s="211">
        <f>(AI146+AI128)/2</f>
        <v>0</v>
      </c>
      <c r="AJ152" s="3109">
        <f>(AJ146+AJ128)/2</f>
        <v>0</v>
      </c>
      <c r="AK152" s="3109">
        <f>(AK146+AK128)/2</f>
        <v>0</v>
      </c>
      <c r="AL152" s="3109">
        <f>(AL146+AL128)/2</f>
        <v>0</v>
      </c>
      <c r="AM152" s="3109">
        <f>(AM146+AM128)/2</f>
        <v>0</v>
      </c>
      <c r="AN152" s="3109">
        <f>(AN146+AN128)/2</f>
        <v>0</v>
      </c>
      <c r="AO152" s="3109">
        <f>(AO146+AO128)/2</f>
        <v>0</v>
      </c>
      <c r="AP152" s="3109">
        <f>(AP146+AP128)/2</f>
        <v>0</v>
      </c>
      <c r="AQ152" s="3109">
        <f>(AQ146+AQ128)/2</f>
        <v>0</v>
      </c>
      <c r="AR152" s="3109">
        <f>(AR146+AR128)/2</f>
        <v>0</v>
      </c>
      <c r="AS152" s="211">
        <f>(AS146+AS128)/2</f>
        <v>1455.60633</v>
      </c>
      <c r="AT152" s="3109">
        <f>(AT146+AT128)/2</f>
        <v>0</v>
      </c>
      <c r="AU152" s="3109">
        <f>(AU146+AU128)/2</f>
        <v>0</v>
      </c>
      <c r="AV152" s="3109">
        <f>(AV146+AV128)/2</f>
        <v>0</v>
      </c>
      <c r="AW152" s="3109">
        <f>(AW146+AW128)/2</f>
        <v>0</v>
      </c>
      <c r="AX152" s="3109">
        <f>(AX146+AX128)/2</f>
        <v>0</v>
      </c>
      <c r="AY152" s="3109">
        <f>(AY146+AY128)/2</f>
        <v>0</v>
      </c>
      <c r="AZ152" s="3109">
        <f>(AZ146+AZ128)/2</f>
        <v>0</v>
      </c>
      <c r="BA152" s="3109">
        <f>(BA146+BA128)/2</f>
        <v>0</v>
      </c>
      <c r="BB152" s="3109">
        <f>(BB146+BB128)/2</f>
        <v>0</v>
      </c>
      <c r="BC152" s="196"/>
      <c r="BD152" s="1240"/>
      <c r="BE152" s="1240"/>
      <c r="BF152" s="1042" t="s">
        <v>1121</v>
      </c>
    </row>
    <row s="1656" customFormat="1" customHeight="1" ht="14.25">
      <c r="A153" s="1240"/>
      <c r="B153" s="1223"/>
      <c r="C153" s="1240"/>
      <c r="D153" s="1240"/>
      <c r="E153" s="633">
        <v>15</v>
      </c>
      <c r="F153" s="50" cm="1" t="str">
        <f t="array" ref="F153:F153">OFFSET(E153,-1,1)</f>
        <v>2</v>
      </c>
      <c r="G153" s="100" t="s">
        <v>889</v>
      </c>
      <c r="H153" s="1240"/>
      <c r="I153" s="1240"/>
      <c r="J153" s="1240"/>
      <c r="K153" s="1240"/>
      <c r="L153" s="1240"/>
      <c r="M153" s="1240"/>
      <c r="N153" s="1240"/>
      <c r="O153" s="1240"/>
      <c r="P153" s="1240"/>
      <c r="Q153" s="1240"/>
      <c r="R153" s="1240"/>
      <c r="S153" s="1240"/>
      <c r="T153" s="468" cm="1" t="str">
        <f t="array" ref="T153:T153">T152</f>
        <v>true</v>
      </c>
      <c r="U153" s="1240"/>
      <c r="V153" s="1240"/>
      <c r="W153" s="1240"/>
      <c r="X153" s="1559"/>
      <c r="Y153" s="1240"/>
      <c r="Z153" s="1560"/>
      <c r="AA153" s="1240"/>
      <c r="AB153" s="84" t="s">
        <v>1122</v>
      </c>
      <c r="AC153" s="210" t="s">
        <v>1074</v>
      </c>
      <c r="AD153" s="85" t="s">
        <v>936</v>
      </c>
      <c r="AE153" s="211">
        <f>(AE147+AE129)/2</f>
        <v>0</v>
      </c>
      <c r="AF153" s="211">
        <f>(AF147+AF129)/2</f>
        <v>0</v>
      </c>
      <c r="AG153" s="211">
        <f>(AG147+AG129)/2</f>
        <v>0</v>
      </c>
      <c r="AH153" s="211">
        <f>(AH147+AH129)/2</f>
        <v>0</v>
      </c>
      <c r="AI153" s="211">
        <f>(AI147+AI129)/2</f>
        <v>0</v>
      </c>
      <c r="AJ153" s="3109">
        <f>(AJ147+AJ129)/2</f>
        <v>0</v>
      </c>
      <c r="AK153" s="3109">
        <f>(AK147+AK129)/2</f>
        <v>0</v>
      </c>
      <c r="AL153" s="3109">
        <f>(AL147+AL129)/2</f>
        <v>0</v>
      </c>
      <c r="AM153" s="3109">
        <f>(AM147+AM129)/2</f>
        <v>0</v>
      </c>
      <c r="AN153" s="3109">
        <f>(AN147+AN129)/2</f>
        <v>0</v>
      </c>
      <c r="AO153" s="3109">
        <f>(AO147+AO129)/2</f>
        <v>0</v>
      </c>
      <c r="AP153" s="3109">
        <f>(AP147+AP129)/2</f>
        <v>0</v>
      </c>
      <c r="AQ153" s="3109">
        <f>(AQ147+AQ129)/2</f>
        <v>0</v>
      </c>
      <c r="AR153" s="3109">
        <f>(AR147+AR129)/2</f>
        <v>0</v>
      </c>
      <c r="AS153" s="211">
        <f>(AS147+AS129)/2</f>
        <v>0</v>
      </c>
      <c r="AT153" s="3109">
        <f>(AT147+AT129)/2</f>
        <v>0</v>
      </c>
      <c r="AU153" s="3109">
        <f>(AU147+AU129)/2</f>
        <v>0</v>
      </c>
      <c r="AV153" s="3109">
        <f>(AV147+AV129)/2</f>
        <v>0</v>
      </c>
      <c r="AW153" s="3109">
        <f>(AW147+AW129)/2</f>
        <v>0</v>
      </c>
      <c r="AX153" s="3109">
        <f>(AX147+AX129)/2</f>
        <v>0</v>
      </c>
      <c r="AY153" s="3109">
        <f>(AY147+AY129)/2</f>
        <v>0</v>
      </c>
      <c r="AZ153" s="3109">
        <f>(AZ147+AZ129)/2</f>
        <v>0</v>
      </c>
      <c r="BA153" s="3109">
        <f>(BA147+BA129)/2</f>
        <v>0</v>
      </c>
      <c r="BB153" s="3109">
        <f>(BB147+BB129)/2</f>
        <v>0</v>
      </c>
      <c r="BC153" s="196"/>
      <c r="BD153" s="1240"/>
      <c r="BE153" s="1240"/>
      <c r="BF153" s="1042" t="s">
        <v>1123</v>
      </c>
    </row>
    <row s="1656" customFormat="1" customHeight="1" ht="14.25">
      <c r="A154" s="1240"/>
      <c r="B154" s="1223"/>
      <c r="C154" s="1240"/>
      <c r="D154" s="1240"/>
      <c r="E154" s="633">
        <v>15</v>
      </c>
      <c r="F154" s="50" cm="1" t="str">
        <f t="array" ref="F154:F154">OFFSET(E154,-1,1)</f>
        <v>2</v>
      </c>
      <c r="G154" s="100" t="s">
        <v>1124</v>
      </c>
      <c r="H154" s="1240"/>
      <c r="I154" s="1240"/>
      <c r="J154" s="1240"/>
      <c r="K154" s="1240"/>
      <c r="L154" s="1240"/>
      <c r="M154" s="1240"/>
      <c r="N154" s="1240"/>
      <c r="O154" s="1240"/>
      <c r="P154" s="1240"/>
      <c r="Q154" s="1240"/>
      <c r="R154" s="1240"/>
      <c r="S154" s="1240"/>
      <c r="T154" s="468" cm="1" t="str">
        <f t="array" ref="T154:T154">T153</f>
        <v>true</v>
      </c>
      <c r="U154" s="1240"/>
      <c r="V154" s="1240"/>
      <c r="W154" s="1240"/>
      <c r="X154" s="1559"/>
      <c r="Y154" s="1240"/>
      <c r="Z154" s="1560"/>
      <c r="AA154" s="1240"/>
      <c r="AB154" s="84" t="s">
        <v>1125</v>
      </c>
      <c r="AC154" s="210" t="s">
        <v>1077</v>
      </c>
      <c r="AD154" s="85" t="s">
        <v>936</v>
      </c>
      <c r="AE154" s="211">
        <f>(AE148+AE130)/2</f>
        <v>0</v>
      </c>
      <c r="AF154" s="211">
        <f>(AF148+AF130)/2</f>
        <v>0</v>
      </c>
      <c r="AG154" s="211">
        <f>(AG148+AG130)/2</f>
        <v>0</v>
      </c>
      <c r="AH154" s="211">
        <f>(AH148+AH130)/2</f>
        <v>0</v>
      </c>
      <c r="AI154" s="211">
        <f>(AI148+AI130)/2</f>
        <v>0</v>
      </c>
      <c r="AJ154" s="3109">
        <f>(AJ148+AJ130)/2</f>
        <v>0</v>
      </c>
      <c r="AK154" s="3109">
        <f>(AK148+AK130)/2</f>
        <v>0</v>
      </c>
      <c r="AL154" s="3109">
        <f>(AL148+AL130)/2</f>
        <v>0</v>
      </c>
      <c r="AM154" s="3109">
        <f>(AM148+AM130)/2</f>
        <v>0</v>
      </c>
      <c r="AN154" s="3109">
        <f>(AN148+AN130)/2</f>
        <v>0</v>
      </c>
      <c r="AO154" s="3109">
        <f>(AO148+AO130)/2</f>
        <v>0</v>
      </c>
      <c r="AP154" s="3109">
        <f>(AP148+AP130)/2</f>
        <v>0</v>
      </c>
      <c r="AQ154" s="3109">
        <f>(AQ148+AQ130)/2</f>
        <v>0</v>
      </c>
      <c r="AR154" s="3109">
        <f>(AR148+AR130)/2</f>
        <v>0</v>
      </c>
      <c r="AS154" s="211">
        <f>(AS148+AS130)/2</f>
        <v>0</v>
      </c>
      <c r="AT154" s="3109">
        <f>(AT148+AT130)/2</f>
        <v>0</v>
      </c>
      <c r="AU154" s="3109">
        <f>(AU148+AU130)/2</f>
        <v>0</v>
      </c>
      <c r="AV154" s="3109">
        <f>(AV148+AV130)/2</f>
        <v>0</v>
      </c>
      <c r="AW154" s="3109">
        <f>(AW148+AW130)/2</f>
        <v>0</v>
      </c>
      <c r="AX154" s="3109">
        <f>(AX148+AX130)/2</f>
        <v>0</v>
      </c>
      <c r="AY154" s="3109">
        <f>(AY148+AY130)/2</f>
        <v>0</v>
      </c>
      <c r="AZ154" s="3109">
        <f>(AZ148+AZ130)/2</f>
        <v>0</v>
      </c>
      <c r="BA154" s="3109">
        <f>(BA148+BA130)/2</f>
        <v>0</v>
      </c>
      <c r="BB154" s="3109">
        <f>(BB148+BB130)/2</f>
        <v>0</v>
      </c>
      <c r="BC154" s="196"/>
      <c r="BD154" s="1240"/>
      <c r="BE154" s="1240"/>
      <c r="BF154" s="1042" t="s">
        <v>1126</v>
      </c>
    </row>
    <row s="1656" customFormat="1" customHeight="1" ht="14.625">
      <c r="A155" s="1240"/>
      <c r="B155" s="1223"/>
      <c r="C155" s="1240"/>
      <c r="D155" s="1240"/>
      <c r="E155" s="633">
        <v>15</v>
      </c>
      <c r="F155" s="50" cm="1" t="str">
        <f t="array" ref="F155:F155">OFFSET(E155,-1,1)</f>
        <v>2</v>
      </c>
      <c r="G155" s="100" t="s">
        <v>1127</v>
      </c>
      <c r="H155" s="1240"/>
      <c r="I155" s="1240"/>
      <c r="J155" s="1240"/>
      <c r="K155" s="1240"/>
      <c r="L155" s="1240"/>
      <c r="M155" s="1240"/>
      <c r="N155" s="1240"/>
      <c r="O155" s="1240"/>
      <c r="P155" s="1240"/>
      <c r="Q155" s="1240"/>
      <c r="R155" s="1240"/>
      <c r="S155" s="1240"/>
      <c r="T155" s="468" cm="1" t="str">
        <f t="array" ref="T155:T155">T154</f>
        <v>true</v>
      </c>
      <c r="U155" s="1240"/>
      <c r="V155" s="1240"/>
      <c r="W155" s="1240"/>
      <c r="X155" s="1559"/>
      <c r="Y155" s="1240"/>
      <c r="Z155" s="1560"/>
      <c r="AA155" s="1240"/>
      <c r="AB155" s="84" t="s">
        <v>1128</v>
      </c>
      <c r="AC155" s="210" t="s">
        <v>1081</v>
      </c>
      <c r="AD155" s="85" t="s">
        <v>936</v>
      </c>
      <c r="AE155" s="211">
        <v>1019.15</v>
      </c>
      <c r="AF155" s="211">
        <f>(AF149+AF131)/2</f>
        <v>0</v>
      </c>
      <c r="AG155" s="211">
        <f>(AG149+AG131)/2</f>
        <v>0</v>
      </c>
      <c r="AH155" s="211">
        <f>(AH149+AH131)/2</f>
        <v>0</v>
      </c>
      <c r="AI155" s="211">
        <f>(AI149+AI131)/2</f>
        <v>0</v>
      </c>
      <c r="AJ155" s="3109">
        <f>(AJ149+AJ131)/2</f>
        <v>0</v>
      </c>
      <c r="AK155" s="3109">
        <f>(AK149+AK131)/2</f>
        <v>0</v>
      </c>
      <c r="AL155" s="3109">
        <f>(AL149+AL131)/2</f>
        <v>0</v>
      </c>
      <c r="AM155" s="3109">
        <f>(AM149+AM131)/2</f>
        <v>0</v>
      </c>
      <c r="AN155" s="3109">
        <f>(AN149+AN131)/2</f>
        <v>0</v>
      </c>
      <c r="AO155" s="3109">
        <f>(AO149+AO131)/2</f>
        <v>0</v>
      </c>
      <c r="AP155" s="3109">
        <f>(AP149+AP131)/2</f>
        <v>0</v>
      </c>
      <c r="AQ155" s="3109">
        <f>(AQ149+AQ131)/2</f>
        <v>0</v>
      </c>
      <c r="AR155" s="3109">
        <f>(AR149+AR131)/2</f>
        <v>0</v>
      </c>
      <c r="AS155" s="211">
        <f>(AS149+AS131)/2</f>
        <v>3577.3</v>
      </c>
      <c r="AT155" s="3109">
        <f>(AT149+AT131)/2</f>
        <v>0</v>
      </c>
      <c r="AU155" s="3109">
        <f>(AU149+AU131)/2</f>
        <v>0</v>
      </c>
      <c r="AV155" s="3109">
        <f>(AV149+AV131)/2</f>
        <v>0</v>
      </c>
      <c r="AW155" s="3109">
        <f>(AW149+AW131)/2</f>
        <v>0</v>
      </c>
      <c r="AX155" s="3109">
        <f>(AX149+AX131)/2</f>
        <v>0</v>
      </c>
      <c r="AY155" s="3109">
        <f>(AY149+AY131)/2</f>
        <v>0</v>
      </c>
      <c r="AZ155" s="3109">
        <f>(AZ149+AZ131)/2</f>
        <v>0</v>
      </c>
      <c r="BA155" s="3109">
        <f>(BA149+BA131)/2</f>
        <v>0</v>
      </c>
      <c r="BB155" s="3109">
        <f>(BB149+BB131)/2</f>
        <v>0</v>
      </c>
      <c r="BC155" s="196"/>
      <c r="BD155" s="1240"/>
      <c r="BE155" s="1240"/>
      <c r="BF155" s="1042" t="s">
        <v>1129</v>
      </c>
    </row>
    <row s="528" customFormat="1" customHeight="1" ht="21.75">
      <c r="A156" s="528"/>
      <c r="B156" s="433"/>
      <c r="C156" s="528"/>
      <c r="D156" s="528"/>
      <c r="E156" s="675">
        <v>22.5</v>
      </c>
      <c r="F156" s="50" cm="1" t="str">
        <f t="array" ref="F156:F156">OFFSET(E156,-1,1)</f>
        <v>2</v>
      </c>
      <c r="G156" s="100" t="s">
        <v>616</v>
      </c>
      <c r="H156" s="528"/>
      <c r="I156" s="528"/>
      <c r="J156" s="528"/>
      <c r="K156" s="528"/>
      <c r="L156" s="528"/>
      <c r="M156" s="528"/>
      <c r="N156" s="528"/>
      <c r="O156" s="528"/>
      <c r="P156" s="528"/>
      <c r="Q156" s="528"/>
      <c r="R156" s="528"/>
      <c r="S156" s="528"/>
      <c r="T156" s="468" cm="1" t="str">
        <f t="array" ref="T156:T156">T155</f>
        <v>true</v>
      </c>
      <c r="U156" s="528"/>
      <c r="V156" s="528"/>
      <c r="W156" s="528"/>
      <c r="X156" s="1559"/>
      <c r="Y156" s="528"/>
      <c r="Z156" s="1560"/>
      <c r="AA156" s="528"/>
      <c r="AB156" s="207">
        <v>6</v>
      </c>
      <c r="AC156" s="208" t="s">
        <v>1130</v>
      </c>
      <c r="AD156" s="207"/>
      <c r="AE156" s="212"/>
      <c r="AF156" s="212"/>
      <c r="AG156" s="212"/>
      <c r="AH156" s="212"/>
      <c r="AI156" s="212"/>
      <c r="AJ156" s="212"/>
      <c r="AK156" s="212"/>
      <c r="AL156" s="212"/>
      <c r="AM156" s="212"/>
      <c r="AN156" s="212"/>
      <c r="AO156" s="212"/>
      <c r="AP156" s="212"/>
      <c r="AQ156" s="212"/>
      <c r="AR156" s="212"/>
      <c r="AS156" s="212"/>
      <c r="AT156" s="212"/>
      <c r="AU156" s="212"/>
      <c r="AV156" s="212"/>
      <c r="AW156" s="212"/>
      <c r="AX156" s="212"/>
      <c r="AY156" s="212"/>
      <c r="AZ156" s="212"/>
      <c r="BA156" s="212"/>
      <c r="BB156" s="212"/>
      <c r="BC156" s="196"/>
      <c r="BD156" s="528"/>
      <c r="BE156" s="528"/>
      <c r="BF156" s="1042" t="s">
        <v>1131</v>
      </c>
    </row>
    <row s="1656" customFormat="1" customHeight="1" ht="14.25">
      <c r="A157" s="1240"/>
      <c r="B157" s="1223"/>
      <c r="C157" s="1240"/>
      <c r="D157" s="1240"/>
      <c r="E157" s="633">
        <v>15</v>
      </c>
      <c r="F157" s="50" cm="1" t="str">
        <f t="array" ref="F157:F157">OFFSET(E157,-1,1)</f>
        <v>2</v>
      </c>
      <c r="G157" s="100" t="s">
        <v>793</v>
      </c>
      <c r="H157" s="1240"/>
      <c r="I157" s="1240"/>
      <c r="J157" s="1240"/>
      <c r="K157" s="1240"/>
      <c r="L157" s="1240"/>
      <c r="M157" s="1240"/>
      <c r="N157" s="1240"/>
      <c r="O157" s="1240"/>
      <c r="P157" s="1240"/>
      <c r="Q157" s="1240"/>
      <c r="R157" s="1240"/>
      <c r="S157" s="1240"/>
      <c r="T157" s="468" cm="1" t="str">
        <f t="array" ref="T157:T157">T156</f>
        <v>true</v>
      </c>
      <c r="U157" s="1240"/>
      <c r="V157" s="1240"/>
      <c r="W157" s="1240"/>
      <c r="X157" s="1559"/>
      <c r="Y157" s="1240"/>
      <c r="Z157" s="1560"/>
      <c r="AA157" s="1240"/>
      <c r="AB157" s="84" t="s">
        <v>689</v>
      </c>
      <c r="AC157" s="210" t="s">
        <v>1068</v>
      </c>
      <c r="AD157" s="84" t="s">
        <v>561</v>
      </c>
      <c r="AE157" s="211">
        <f>IF(AE151=0,0,AE163/AE151*100)</f>
        <v>0</v>
      </c>
      <c r="AF157" s="211">
        <f>IF(AF151=0,0,AF163/AF151*100)</f>
        <v>0</v>
      </c>
      <c r="AG157" s="211">
        <f>IF(AG151=0,0,AG163/AG151*100)</f>
        <v>0</v>
      </c>
      <c r="AH157" s="211">
        <f>IF(AH151=0,0,AH163/AH151*100)</f>
        <v>0</v>
      </c>
      <c r="AI157" s="211">
        <f>IF(AI151=0,0,AI163/AI151*100)</f>
        <v>0</v>
      </c>
      <c r="AJ157" s="3109">
        <f>IF(AJ151=0,0,AJ163/AJ151*100)</f>
        <v>0</v>
      </c>
      <c r="AK157" s="3109">
        <f>IF(AK151=0,0,AK163/AK151*100)</f>
        <v>0</v>
      </c>
      <c r="AL157" s="3109">
        <f>IF(AL151=0,0,AL163/AL151*100)</f>
        <v>0</v>
      </c>
      <c r="AM157" s="3109">
        <f>IF(AM151=0,0,AM163/AM151*100)</f>
        <v>0</v>
      </c>
      <c r="AN157" s="3109">
        <f>IF(AN151=0,0,AN163/AN151*100)</f>
        <v>0</v>
      </c>
      <c r="AO157" s="3109">
        <f>IF(AO151=0,0,AO163/AO151*100)</f>
        <v>0</v>
      </c>
      <c r="AP157" s="3109">
        <f>IF(AP151=0,0,AP163/AP151*100)</f>
        <v>0</v>
      </c>
      <c r="AQ157" s="3109">
        <f>IF(AQ151=0,0,AQ163/AQ151*100)</f>
        <v>0</v>
      </c>
      <c r="AR157" s="3109">
        <f>IF(AR151=0,0,AR163/AR151*100)</f>
        <v>0</v>
      </c>
      <c r="AS157" s="211">
        <f>IF(AS151=0,0,AS163/AS151*100)</f>
        <v>0</v>
      </c>
      <c r="AT157" s="3109">
        <f>IF(AT151=0,0,AT163/AT151*100)</f>
        <v>0</v>
      </c>
      <c r="AU157" s="3109">
        <f>IF(AU151=0,0,AU163/AU151*100)</f>
        <v>0</v>
      </c>
      <c r="AV157" s="3109">
        <f>IF(AV151=0,0,AV163/AV151*100)</f>
        <v>0</v>
      </c>
      <c r="AW157" s="3109">
        <f>IF(AW151=0,0,AW163/AW151*100)</f>
        <v>0</v>
      </c>
      <c r="AX157" s="3109">
        <f>IF(AX151=0,0,AX163/AX151*100)</f>
        <v>0</v>
      </c>
      <c r="AY157" s="3109">
        <f>IF(AY151=0,0,AY163/AY151*100)</f>
        <v>0</v>
      </c>
      <c r="AZ157" s="3109">
        <f>IF(AZ151=0,0,AZ163/AZ151*100)</f>
        <v>0</v>
      </c>
      <c r="BA157" s="3109">
        <f>IF(BA151=0,0,BA163/BA151*100)</f>
        <v>0</v>
      </c>
      <c r="BB157" s="3109">
        <f>IF(BB151=0,0,BB163/BB151*100)</f>
        <v>0</v>
      </c>
      <c r="BC157" s="196"/>
      <c r="BD157" s="1240"/>
      <c r="BE157" s="1240"/>
      <c r="BF157" s="1042" t="s">
        <v>1132</v>
      </c>
    </row>
    <row s="1656" customFormat="1" customHeight="1" ht="14.625">
      <c r="A158" s="1240"/>
      <c r="B158" s="1223"/>
      <c r="C158" s="1240"/>
      <c r="D158" s="1240"/>
      <c r="E158" s="633">
        <v>15</v>
      </c>
      <c r="F158" s="50" cm="1" t="str">
        <f t="array" ref="F158:F158">OFFSET(E158,-1,1)</f>
        <v>2</v>
      </c>
      <c r="G158" s="100" t="s">
        <v>796</v>
      </c>
      <c r="H158" s="1240"/>
      <c r="I158" s="1240"/>
      <c r="J158" s="1240"/>
      <c r="K158" s="1240"/>
      <c r="L158" s="1240"/>
      <c r="M158" s="1240"/>
      <c r="N158" s="1240"/>
      <c r="O158" s="1240"/>
      <c r="P158" s="1240"/>
      <c r="Q158" s="1240"/>
      <c r="R158" s="1240"/>
      <c r="S158" s="1240"/>
      <c r="T158" s="468" cm="1" t="str">
        <f t="array" ref="T158:T158">T157</f>
        <v>true</v>
      </c>
      <c r="U158" s="1240"/>
      <c r="V158" s="1240"/>
      <c r="W158" s="1240"/>
      <c r="X158" s="1559"/>
      <c r="Y158" s="1240"/>
      <c r="Z158" s="1560"/>
      <c r="AA158" s="1240"/>
      <c r="AB158" s="84" t="s">
        <v>693</v>
      </c>
      <c r="AC158" s="210" t="s">
        <v>1071</v>
      </c>
      <c r="AD158" s="84" t="s">
        <v>561</v>
      </c>
      <c r="AE158" s="211">
        <f>IF(AE152=0,0,AE164/AE152*100)</f>
        <v>5.44173007609131</v>
      </c>
      <c r="AF158" s="211">
        <f>IF(AF152=0,0,AF164/AF152*100)</f>
        <v>3.52392622685446</v>
      </c>
      <c r="AG158" s="211">
        <f>IF(AG152=0,0,AG164/AG152*100)</f>
        <v>3.52392622685446</v>
      </c>
      <c r="AH158" s="211">
        <v>1.187607424</v>
      </c>
      <c r="AI158" s="211">
        <f>IF(AI152=0,0,AI164/AI152*100)</f>
        <v>0</v>
      </c>
      <c r="AJ158" s="3109">
        <f>IF(AJ152=0,0,AJ164/AJ152*100)</f>
        <v>0</v>
      </c>
      <c r="AK158" s="3109">
        <f>IF(AK152=0,0,AK164/AK152*100)</f>
        <v>0</v>
      </c>
      <c r="AL158" s="3109">
        <f>IF(AL152=0,0,AL164/AL152*100)</f>
        <v>0</v>
      </c>
      <c r="AM158" s="3109">
        <f>IF(AM152=0,0,AM164/AM152*100)</f>
        <v>0</v>
      </c>
      <c r="AN158" s="3109">
        <f>IF(AN152=0,0,AN164/AN152*100)</f>
        <v>0</v>
      </c>
      <c r="AO158" s="3109">
        <f>IF(AO152=0,0,AO164/AO152*100)</f>
        <v>0</v>
      </c>
      <c r="AP158" s="3109">
        <f>IF(AP152=0,0,AP164/AP152*100)</f>
        <v>0</v>
      </c>
      <c r="AQ158" s="3109">
        <f>IF(AQ152=0,0,AQ164/AQ152*100)</f>
        <v>0</v>
      </c>
      <c r="AR158" s="3109">
        <f>IF(AR152=0,0,AR164/AR152*100)</f>
        <v>0</v>
      </c>
      <c r="AS158" s="211">
        <f>IF(AS152=0,0,AS164/AS152*100)</f>
        <v>3.33331883765578</v>
      </c>
      <c r="AT158" s="3109">
        <f>IF(AT152=0,0,AT164/AT152*100)</f>
        <v>0</v>
      </c>
      <c r="AU158" s="3109">
        <f>IF(AU152=0,0,AU164/AU152*100)</f>
        <v>0</v>
      </c>
      <c r="AV158" s="3109">
        <f>IF(AV152=0,0,AV164/AV152*100)</f>
        <v>0</v>
      </c>
      <c r="AW158" s="3109">
        <f>IF(AW152=0,0,AW164/AW152*100)</f>
        <v>0</v>
      </c>
      <c r="AX158" s="3109">
        <f>IF(AX152=0,0,AX164/AX152*100)</f>
        <v>0</v>
      </c>
      <c r="AY158" s="3109">
        <f>IF(AY152=0,0,AY164/AY152*100)</f>
        <v>0</v>
      </c>
      <c r="AZ158" s="3109">
        <f>IF(AZ152=0,0,AZ164/AZ152*100)</f>
        <v>0</v>
      </c>
      <c r="BA158" s="3109">
        <f>IF(BA152=0,0,BA164/BA152*100)</f>
        <v>0</v>
      </c>
      <c r="BB158" s="3109">
        <f>IF(BB152=0,0,BB164/BB152*100)</f>
        <v>0</v>
      </c>
      <c r="BC158" s="196"/>
      <c r="BD158" s="1240"/>
      <c r="BE158" s="1240"/>
      <c r="BF158" s="1042" t="s">
        <v>1133</v>
      </c>
    </row>
    <row s="1656" customFormat="1" customHeight="1" ht="14.25">
      <c r="A159" s="1240"/>
      <c r="B159" s="1223"/>
      <c r="C159" s="1240"/>
      <c r="D159" s="1240"/>
      <c r="E159" s="633">
        <v>15</v>
      </c>
      <c r="F159" s="50" cm="1" t="str">
        <f t="array" ref="F159:F159">OFFSET(E159,-1,1)</f>
        <v>2</v>
      </c>
      <c r="G159" s="100" t="s">
        <v>830</v>
      </c>
      <c r="H159" s="1240"/>
      <c r="I159" s="1240"/>
      <c r="J159" s="1240"/>
      <c r="K159" s="1240"/>
      <c r="L159" s="1240"/>
      <c r="M159" s="1240"/>
      <c r="N159" s="1240"/>
      <c r="O159" s="1240"/>
      <c r="P159" s="1240"/>
      <c r="Q159" s="1240"/>
      <c r="R159" s="1240"/>
      <c r="S159" s="1240"/>
      <c r="T159" s="468" cm="1" t="str">
        <f t="array" ref="T159:T159">T158</f>
        <v>true</v>
      </c>
      <c r="U159" s="1240"/>
      <c r="V159" s="1240"/>
      <c r="W159" s="1240"/>
      <c r="X159" s="1559"/>
      <c r="Y159" s="1240"/>
      <c r="Z159" s="1560"/>
      <c r="AA159" s="1240"/>
      <c r="AB159" s="84" t="s">
        <v>697</v>
      </c>
      <c r="AC159" s="210" t="s">
        <v>1074</v>
      </c>
      <c r="AD159" s="84" t="s">
        <v>561</v>
      </c>
      <c r="AE159" s="211">
        <f>IF(AE153=0,0,AE165/AE153*100)</f>
        <v>0</v>
      </c>
      <c r="AF159" s="211">
        <f>IF(AF153=0,0,AF165/AF153*100)</f>
        <v>0</v>
      </c>
      <c r="AG159" s="211">
        <f>IF(AG153=0,0,AG165/AG153*100)</f>
        <v>0</v>
      </c>
      <c r="AH159" s="211">
        <f>IF(AH153=0,0,AH165/AH153*100)</f>
        <v>0</v>
      </c>
      <c r="AI159" s="211">
        <f>IF(AI153=0,0,AI165/AI153*100)</f>
        <v>0</v>
      </c>
      <c r="AJ159" s="3109">
        <f>IF(AJ153=0,0,AJ165/AJ153*100)</f>
        <v>0</v>
      </c>
      <c r="AK159" s="3109">
        <f>IF(AK153=0,0,AK165/AK153*100)</f>
        <v>0</v>
      </c>
      <c r="AL159" s="3109">
        <f>IF(AL153=0,0,AL165/AL153*100)</f>
        <v>0</v>
      </c>
      <c r="AM159" s="3109">
        <f>IF(AM153=0,0,AM165/AM153*100)</f>
        <v>0</v>
      </c>
      <c r="AN159" s="3109">
        <f>IF(AN153=0,0,AN165/AN153*100)</f>
        <v>0</v>
      </c>
      <c r="AO159" s="3109">
        <f>IF(AO153=0,0,AO165/AO153*100)</f>
        <v>0</v>
      </c>
      <c r="AP159" s="3109">
        <f>IF(AP153=0,0,AP165/AP153*100)</f>
        <v>0</v>
      </c>
      <c r="AQ159" s="3109">
        <f>IF(AQ153=0,0,AQ165/AQ153*100)</f>
        <v>0</v>
      </c>
      <c r="AR159" s="3109">
        <f>IF(AR153=0,0,AR165/AR153*100)</f>
        <v>0</v>
      </c>
      <c r="AS159" s="211">
        <f>IF(AS153=0,0,AS165/AS153*100)</f>
        <v>0</v>
      </c>
      <c r="AT159" s="3109">
        <f>IF(AT153=0,0,AT165/AT153*100)</f>
        <v>0</v>
      </c>
      <c r="AU159" s="3109">
        <f>IF(AU153=0,0,AU165/AU153*100)</f>
        <v>0</v>
      </c>
      <c r="AV159" s="3109">
        <f>IF(AV153=0,0,AV165/AV153*100)</f>
        <v>0</v>
      </c>
      <c r="AW159" s="3109">
        <f>IF(AW153=0,0,AW165/AW153*100)</f>
        <v>0</v>
      </c>
      <c r="AX159" s="3109">
        <f>IF(AX153=0,0,AX165/AX153*100)</f>
        <v>0</v>
      </c>
      <c r="AY159" s="3109">
        <f>IF(AY153=0,0,AY165/AY153*100)</f>
        <v>0</v>
      </c>
      <c r="AZ159" s="3109">
        <f>IF(AZ153=0,0,AZ165/AZ153*100)</f>
        <v>0</v>
      </c>
      <c r="BA159" s="3109">
        <f>IF(BA153=0,0,BA165/BA153*100)</f>
        <v>0</v>
      </c>
      <c r="BB159" s="3109">
        <f>IF(BB153=0,0,BB165/BB153*100)</f>
        <v>0</v>
      </c>
      <c r="BC159" s="196"/>
      <c r="BD159" s="1240"/>
      <c r="BE159" s="1240"/>
      <c r="BF159" s="1042" t="s">
        <v>1134</v>
      </c>
    </row>
    <row s="1656" customFormat="1" customHeight="1" ht="14.25">
      <c r="A160" s="1240"/>
      <c r="B160" s="1223"/>
      <c r="C160" s="1240"/>
      <c r="D160" s="1240"/>
      <c r="E160" s="633">
        <v>15</v>
      </c>
      <c r="F160" s="50" cm="1" t="str">
        <f t="array" ref="F160:F160">OFFSET(E160,-1,1)</f>
        <v>2</v>
      </c>
      <c r="G160" s="100" t="s">
        <v>839</v>
      </c>
      <c r="H160" s="1240"/>
      <c r="I160" s="1240"/>
      <c r="J160" s="1240"/>
      <c r="K160" s="1240"/>
      <c r="L160" s="1240"/>
      <c r="M160" s="1240"/>
      <c r="N160" s="1240"/>
      <c r="O160" s="1240"/>
      <c r="P160" s="1240"/>
      <c r="Q160" s="1240"/>
      <c r="R160" s="1240"/>
      <c r="S160" s="1240"/>
      <c r="T160" s="468" cm="1" t="str">
        <f t="array" ref="T160:T160">T159</f>
        <v>true</v>
      </c>
      <c r="U160" s="1240"/>
      <c r="V160" s="1240"/>
      <c r="W160" s="1240"/>
      <c r="X160" s="1559"/>
      <c r="Y160" s="1240"/>
      <c r="Z160" s="1560"/>
      <c r="AA160" s="1240"/>
      <c r="AB160" s="84" t="s">
        <v>1135</v>
      </c>
      <c r="AC160" s="210" t="s">
        <v>1077</v>
      </c>
      <c r="AD160" s="84" t="s">
        <v>561</v>
      </c>
      <c r="AE160" s="211">
        <f>IF(AE154=0,0,AE166/AE154*100)</f>
        <v>0</v>
      </c>
      <c r="AF160" s="211">
        <f>IF(AF154=0,0,AF166/AF154*100)</f>
        <v>0</v>
      </c>
      <c r="AG160" s="211">
        <f>IF(AG154=0,0,AG166/AG154*100)</f>
        <v>0</v>
      </c>
      <c r="AH160" s="211">
        <f>IF(AH154=0,0,AH166/AH154*100)</f>
        <v>0</v>
      </c>
      <c r="AI160" s="211">
        <f>IF(AI154=0,0,AI166/AI154*100)</f>
        <v>0</v>
      </c>
      <c r="AJ160" s="3109">
        <f>IF(AJ154=0,0,AJ166/AJ154*100)</f>
        <v>0</v>
      </c>
      <c r="AK160" s="3109">
        <f>IF(AK154=0,0,AK166/AK154*100)</f>
        <v>0</v>
      </c>
      <c r="AL160" s="3109">
        <f>IF(AL154=0,0,AL166/AL154*100)</f>
        <v>0</v>
      </c>
      <c r="AM160" s="3109">
        <f>IF(AM154=0,0,AM166/AM154*100)</f>
        <v>0</v>
      </c>
      <c r="AN160" s="3109">
        <f>IF(AN154=0,0,AN166/AN154*100)</f>
        <v>0</v>
      </c>
      <c r="AO160" s="3109">
        <f>IF(AO154=0,0,AO166/AO154*100)</f>
        <v>0</v>
      </c>
      <c r="AP160" s="3109">
        <f>IF(AP154=0,0,AP166/AP154*100)</f>
        <v>0</v>
      </c>
      <c r="AQ160" s="3109">
        <f>IF(AQ154=0,0,AQ166/AQ154*100)</f>
        <v>0</v>
      </c>
      <c r="AR160" s="3109">
        <f>IF(AR154=0,0,AR166/AR154*100)</f>
        <v>0</v>
      </c>
      <c r="AS160" s="211">
        <f>IF(AS154=0,0,AS166/AS154*100)</f>
        <v>0</v>
      </c>
      <c r="AT160" s="3109">
        <f>IF(AT154=0,0,AT166/AT154*100)</f>
        <v>0</v>
      </c>
      <c r="AU160" s="3109">
        <f>IF(AU154=0,0,AU166/AU154*100)</f>
        <v>0</v>
      </c>
      <c r="AV160" s="3109">
        <f>IF(AV154=0,0,AV166/AV154*100)</f>
        <v>0</v>
      </c>
      <c r="AW160" s="3109">
        <f>IF(AW154=0,0,AW166/AW154*100)</f>
        <v>0</v>
      </c>
      <c r="AX160" s="3109">
        <f>IF(AX154=0,0,AX166/AX154*100)</f>
        <v>0</v>
      </c>
      <c r="AY160" s="3109">
        <f>IF(AY154=0,0,AY166/AY154*100)</f>
        <v>0</v>
      </c>
      <c r="AZ160" s="3109">
        <f>IF(AZ154=0,0,AZ166/AZ154*100)</f>
        <v>0</v>
      </c>
      <c r="BA160" s="3109">
        <f>IF(BA154=0,0,BA166/BA154*100)</f>
        <v>0</v>
      </c>
      <c r="BB160" s="3109">
        <f>IF(BB154=0,0,BB166/BB154*100)</f>
        <v>0</v>
      </c>
      <c r="BC160" s="196"/>
      <c r="BD160" s="1240"/>
      <c r="BE160" s="1240"/>
      <c r="BF160" s="1042" t="s">
        <v>1136</v>
      </c>
    </row>
    <row s="1656" customFormat="1" customHeight="1" ht="14.625">
      <c r="A161" s="1240"/>
      <c r="B161" s="1223"/>
      <c r="C161" s="1240"/>
      <c r="D161" s="1240"/>
      <c r="E161" s="633">
        <v>15</v>
      </c>
      <c r="F161" s="50" cm="1" t="str">
        <f t="array" ref="F161:F161">OFFSET(E161,-1,1)</f>
        <v>2</v>
      </c>
      <c r="G161" s="100" t="s">
        <v>849</v>
      </c>
      <c r="H161" s="1240"/>
      <c r="I161" s="1240"/>
      <c r="J161" s="1240"/>
      <c r="K161" s="1240"/>
      <c r="L161" s="1240"/>
      <c r="M161" s="1240"/>
      <c r="N161" s="1240"/>
      <c r="O161" s="1240"/>
      <c r="P161" s="1240"/>
      <c r="Q161" s="1240"/>
      <c r="R161" s="1240"/>
      <c r="S161" s="1240"/>
      <c r="T161" s="468" cm="1" t="str">
        <f t="array" ref="T161:T161">T160</f>
        <v>true</v>
      </c>
      <c r="U161" s="1240"/>
      <c r="V161" s="1240"/>
      <c r="W161" s="1240"/>
      <c r="X161" s="1559"/>
      <c r="Y161" s="1240"/>
      <c r="Z161" s="1560"/>
      <c r="AA161" s="1240"/>
      <c r="AB161" s="84" t="s">
        <v>1137</v>
      </c>
      <c r="AC161" s="210" t="s">
        <v>1081</v>
      </c>
      <c r="AD161" s="84" t="s">
        <v>561</v>
      </c>
      <c r="AE161" s="211">
        <v>3.3331697984</v>
      </c>
      <c r="AF161" s="211">
        <f>IF(AF155=0,0,AF167/AF155*100)</f>
        <v>0</v>
      </c>
      <c r="AG161" s="211">
        <f>IF(AG155=0,0,AG167/AG155*100)</f>
        <v>0</v>
      </c>
      <c r="AH161" s="211">
        <f>IF(AH155=0,0,AH167/AH155*100)</f>
        <v>0</v>
      </c>
      <c r="AI161" s="211">
        <f>IF(AI155=0,0,AI167/AI155*100)</f>
        <v>0</v>
      </c>
      <c r="AJ161" s="3109">
        <f>IF(AJ155=0,0,AJ167/AJ155*100)</f>
        <v>0</v>
      </c>
      <c r="AK161" s="3109">
        <f>IF(AK155=0,0,AK167/AK155*100)</f>
        <v>0</v>
      </c>
      <c r="AL161" s="3109">
        <f>IF(AL155=0,0,AL167/AL155*100)</f>
        <v>0</v>
      </c>
      <c r="AM161" s="3109">
        <f>IF(AM155=0,0,AM167/AM155*100)</f>
        <v>0</v>
      </c>
      <c r="AN161" s="3109">
        <f>IF(AN155=0,0,AN167/AN155*100)</f>
        <v>0</v>
      </c>
      <c r="AO161" s="3109">
        <f>IF(AO155=0,0,AO167/AO155*100)</f>
        <v>0</v>
      </c>
      <c r="AP161" s="3109">
        <f>IF(AP155=0,0,AP167/AP155*100)</f>
        <v>0</v>
      </c>
      <c r="AQ161" s="3109">
        <f>IF(AQ155=0,0,AQ167/AQ155*100)</f>
        <v>0</v>
      </c>
      <c r="AR161" s="3109">
        <f>IF(AR155=0,0,AR167/AR155*100)</f>
        <v>0</v>
      </c>
      <c r="AS161" s="211">
        <f>IF(AS155=0,0,AS167/AS155*100)</f>
        <v>0</v>
      </c>
      <c r="AT161" s="3109">
        <f>IF(AT155=0,0,AT167/AT155*100)</f>
        <v>0</v>
      </c>
      <c r="AU161" s="3109">
        <f>IF(AU155=0,0,AU167/AU155*100)</f>
        <v>0</v>
      </c>
      <c r="AV161" s="3109">
        <f>IF(AV155=0,0,AV167/AV155*100)</f>
        <v>0</v>
      </c>
      <c r="AW161" s="3109">
        <f>IF(AW155=0,0,AW167/AW155*100)</f>
        <v>0</v>
      </c>
      <c r="AX161" s="3109">
        <f>IF(AX155=0,0,AX167/AX155*100)</f>
        <v>0</v>
      </c>
      <c r="AY161" s="3109">
        <f>IF(AY155=0,0,AY167/AY155*100)</f>
        <v>0</v>
      </c>
      <c r="AZ161" s="3109">
        <f>IF(AZ155=0,0,AZ167/AZ155*100)</f>
        <v>0</v>
      </c>
      <c r="BA161" s="3109">
        <f>IF(BA155=0,0,BA167/BA155*100)</f>
        <v>0</v>
      </c>
      <c r="BB161" s="3109">
        <f>IF(BB155=0,0,BB167/BB155*100)</f>
        <v>0</v>
      </c>
      <c r="BC161" s="196"/>
      <c r="BD161" s="1240"/>
      <c r="BE161" s="1240"/>
      <c r="BF161" s="1042" t="s">
        <v>1138</v>
      </c>
    </row>
    <row s="528" customFormat="1" customHeight="1" ht="65.671875">
      <c r="A162" s="528"/>
      <c r="B162" s="433"/>
      <c r="C162" s="528"/>
      <c r="D162" s="528"/>
      <c r="E162" s="633">
        <v>15</v>
      </c>
      <c r="F162" s="50" cm="1" t="str">
        <f t="array" ref="F162:F162">OFFSET(E162,-1,1)</f>
        <v>2</v>
      </c>
      <c r="G162" s="100" t="s">
        <v>619</v>
      </c>
      <c r="H162" s="528"/>
      <c r="I162" s="528"/>
      <c r="J162" s="528"/>
      <c r="K162" s="120" t="str">
        <f>F162&amp;"komm"</f>
        <v>2komm</v>
      </c>
      <c r="L162" s="926" cm="1" t="str">
        <f t="array" ref="L162:L162">BC162</f>
        <v>Постановление РЭК Кемеровской области от 17.12.2019 N 600 (ред. от 17.11.2022) "Об утверждении инвестиционной программы ОАО "Северо-Кузбасская энергетическая компания" в сфере холодного водоснабжения и водоотведения Ленинск-Кузнецкого городского округа на 2019 - 2028 годы" (в ред. постановления РЭК Кемеровской области от 26.12.2019 N 864, постановления РЭК Кузбасса от 17.11.2022 N 383).</v>
      </c>
      <c r="M162" s="528"/>
      <c r="N162" s="528"/>
      <c r="O162" s="528"/>
      <c r="P162" s="528"/>
      <c r="Q162" s="528"/>
      <c r="R162" s="528"/>
      <c r="S162" s="528"/>
      <c r="T162" s="468" cm="1" t="str">
        <f t="array" ref="T162:T162">T161</f>
        <v>true</v>
      </c>
      <c r="U162" s="528"/>
      <c r="V162" s="528"/>
      <c r="W162" s="528"/>
      <c r="X162" s="1559"/>
      <c r="Y162" s="528"/>
      <c r="Z162" s="1560"/>
      <c r="AA162" s="528"/>
      <c r="AB162" s="207">
        <v>7</v>
      </c>
      <c r="AC162" s="208" t="s">
        <v>1139</v>
      </c>
      <c r="AD162" s="85" t="s">
        <v>936</v>
      </c>
      <c r="AE162" s="1217">
        <v>33.97</v>
      </c>
      <c r="AF162" s="1217">
        <f>SUM(AF163:AF167)</f>
        <v>43.7922</v>
      </c>
      <c r="AG162" s="1217">
        <f>SUM(AG163:AG167)</f>
        <v>43.7922</v>
      </c>
      <c r="AH162" s="1217">
        <v>34.2715</v>
      </c>
      <c r="AI162" s="1217">
        <f>SUM(AI163:AI167)</f>
        <v>48.52</v>
      </c>
      <c r="AJ162" s="3107">
        <f>SUM(AJ163:AJ167)</f>
        <v>0</v>
      </c>
      <c r="AK162" s="3107">
        <f>SUM(AK163:AK167)</f>
        <v>0</v>
      </c>
      <c r="AL162" s="3107">
        <f>SUM(AL163:AL167)</f>
        <v>0</v>
      </c>
      <c r="AM162" s="3107">
        <f>SUM(AM163:AM167)</f>
        <v>0</v>
      </c>
      <c r="AN162" s="3107">
        <f>SUM(AN163:AN167)</f>
        <v>0</v>
      </c>
      <c r="AO162" s="3107">
        <f>SUM(AO163:AO167)</f>
        <v>0</v>
      </c>
      <c r="AP162" s="3107">
        <f>SUM(AP163:AP167)</f>
        <v>0</v>
      </c>
      <c r="AQ162" s="3107">
        <f>SUM(AQ163:AQ167)</f>
        <v>0</v>
      </c>
      <c r="AR162" s="3107">
        <f>SUM(AR163:AR167)</f>
        <v>0</v>
      </c>
      <c r="AS162" s="1217">
        <f>SUM(AS163:AS167)</f>
        <v>48.52</v>
      </c>
      <c r="AT162" s="3107">
        <f>SUM(AT163:AT167)</f>
        <v>0</v>
      </c>
      <c r="AU162" s="3107">
        <f>SUM(AU163:AU167)</f>
        <v>0</v>
      </c>
      <c r="AV162" s="3107">
        <f>SUM(AV163:AV167)</f>
        <v>0</v>
      </c>
      <c r="AW162" s="3107">
        <f>SUM(AW163:AW167)</f>
        <v>0</v>
      </c>
      <c r="AX162" s="3107">
        <f>SUM(AX163:AX167)</f>
        <v>0</v>
      </c>
      <c r="AY162" s="3107">
        <f>SUM(AY163:AY167)</f>
        <v>0</v>
      </c>
      <c r="AZ162" s="3107">
        <f>SUM(AZ163:AZ167)</f>
        <v>0</v>
      </c>
      <c r="BA162" s="3107">
        <f>SUM(BA163:BA167)</f>
        <v>0</v>
      </c>
      <c r="BB162" s="3107">
        <f>SUM(BB163:BB167)</f>
        <v>0</v>
      </c>
      <c r="BC162" s="196" t="s">
        <v>1175</v>
      </c>
      <c r="BD162" s="528"/>
      <c r="BE162" s="528"/>
      <c r="BF162" s="1042" t="s">
        <v>1140</v>
      </c>
    </row>
    <row s="1656" customFormat="1" customHeight="1" ht="14.625">
      <c r="A163" s="1240"/>
      <c r="B163" s="1223"/>
      <c r="C163" s="1240"/>
      <c r="D163" s="1240"/>
      <c r="E163" s="633">
        <v>15</v>
      </c>
      <c r="F163" s="50" cm="1" t="str">
        <f t="array" ref="F163:F163">OFFSET(E163,-1,1)</f>
        <v>2</v>
      </c>
      <c r="G163" s="100" t="s">
        <v>800</v>
      </c>
      <c r="H163" s="1240"/>
      <c r="I163" s="1240"/>
      <c r="J163" s="1240"/>
      <c r="K163" s="1240"/>
      <c r="L163" s="1240"/>
      <c r="M163" s="1240"/>
      <c r="N163" s="1240"/>
      <c r="O163" s="1240"/>
      <c r="P163" s="1240"/>
      <c r="Q163" s="1240"/>
      <c r="R163" s="1240"/>
      <c r="S163" s="1240"/>
      <c r="T163" s="468" cm="1" t="str">
        <f t="array" ref="T163:T163">T162</f>
        <v>true</v>
      </c>
      <c r="U163" s="1240"/>
      <c r="V163" s="1240"/>
      <c r="W163" s="1240"/>
      <c r="X163" s="1559"/>
      <c r="Y163" s="1240"/>
      <c r="Z163" s="1560"/>
      <c r="AA163" s="1240"/>
      <c r="AB163" s="84" t="s">
        <v>704</v>
      </c>
      <c r="AC163" s="210" t="s">
        <v>1068</v>
      </c>
      <c r="AD163" s="85" t="s">
        <v>936</v>
      </c>
      <c r="AE163" s="211">
        <v>0</v>
      </c>
      <c r="AF163" s="211"/>
      <c r="AG163" s="211"/>
      <c r="AH163" s="211">
        <v>0</v>
      </c>
      <c r="AI163" s="211"/>
      <c r="AJ163" s="3109"/>
      <c r="AK163" s="3109"/>
      <c r="AL163" s="3109"/>
      <c r="AM163" s="3109"/>
      <c r="AN163" s="3109"/>
      <c r="AO163" s="3109"/>
      <c r="AP163" s="3109"/>
      <c r="AQ163" s="3109"/>
      <c r="AR163" s="3109"/>
      <c r="AS163" s="211"/>
      <c r="AT163" s="3109"/>
      <c r="AU163" s="3109"/>
      <c r="AV163" s="3109"/>
      <c r="AW163" s="3109"/>
      <c r="AX163" s="3109"/>
      <c r="AY163" s="3109"/>
      <c r="AZ163" s="3109"/>
      <c r="BA163" s="3109"/>
      <c r="BB163" s="3109"/>
      <c r="BC163" s="196"/>
      <c r="BD163" s="1240"/>
      <c r="BE163" s="1240"/>
      <c r="BF163" s="1042" t="s">
        <v>1141</v>
      </c>
    </row>
    <row s="1656" customFormat="1" customHeight="1" ht="64.921875">
      <c r="A164" s="1240"/>
      <c r="B164" s="1223"/>
      <c r="C164" s="1240"/>
      <c r="D164" s="1240"/>
      <c r="E164" s="633">
        <v>15</v>
      </c>
      <c r="F164" s="50" cm="1" t="str">
        <f t="array" ref="F164:F164">OFFSET(E164,-1,1)</f>
        <v>2</v>
      </c>
      <c r="G164" s="100" t="s">
        <v>803</v>
      </c>
      <c r="H164" s="1240"/>
      <c r="I164" s="1240"/>
      <c r="J164" s="1240"/>
      <c r="K164" s="1240"/>
      <c r="L164" s="1240"/>
      <c r="M164" s="1240"/>
      <c r="N164" s="1240"/>
      <c r="O164" s="1240"/>
      <c r="P164" s="1240"/>
      <c r="Q164" s="1240"/>
      <c r="R164" s="1240"/>
      <c r="S164" s="1240"/>
      <c r="T164" s="468" cm="1" t="str">
        <f t="array" ref="T164:T164">T163</f>
        <v>true</v>
      </c>
      <c r="U164" s="1240"/>
      <c r="V164" s="1240"/>
      <c r="W164" s="1240"/>
      <c r="X164" s="1559"/>
      <c r="Y164" s="1240"/>
      <c r="Z164" s="1560"/>
      <c r="AA164" s="1240"/>
      <c r="AB164" s="84" t="s">
        <v>1142</v>
      </c>
      <c r="AC164" s="210" t="s">
        <v>1071</v>
      </c>
      <c r="AD164" s="85" t="s">
        <v>936</v>
      </c>
      <c r="AE164" s="211">
        <v>33.97</v>
      </c>
      <c r="AF164" s="211">
        <v>43.7922</v>
      </c>
      <c r="AG164" s="211">
        <v>43.7922</v>
      </c>
      <c r="AH164" s="211">
        <v>34.2715</v>
      </c>
      <c r="AI164" s="211">
        <v>48.52</v>
      </c>
      <c r="AJ164" s="3109"/>
      <c r="AK164" s="3109"/>
      <c r="AL164" s="3109"/>
      <c r="AM164" s="3109"/>
      <c r="AN164" s="3109"/>
      <c r="AO164" s="3109"/>
      <c r="AP164" s="3109"/>
      <c r="AQ164" s="3109"/>
      <c r="AR164" s="3109"/>
      <c r="AS164" s="211">
        <v>48.52</v>
      </c>
      <c r="AT164" s="3109"/>
      <c r="AU164" s="3109"/>
      <c r="AV164" s="3109"/>
      <c r="AW164" s="3109"/>
      <c r="AX164" s="3109"/>
      <c r="AY164" s="3109"/>
      <c r="AZ164" s="3109"/>
      <c r="BA164" s="3109"/>
      <c r="BB164" s="3109"/>
      <c r="BC164" s="196" t="s">
        <v>1177</v>
      </c>
      <c r="BD164" s="1240"/>
      <c r="BE164" s="1240"/>
      <c r="BF164" s="1042" t="s">
        <v>1143</v>
      </c>
    </row>
    <row s="1656" customFormat="1" customHeight="1" ht="14.625">
      <c r="A165" s="1240"/>
      <c r="B165" s="1223"/>
      <c r="C165" s="1240"/>
      <c r="D165" s="1240"/>
      <c r="E165" s="633">
        <v>15</v>
      </c>
      <c r="F165" s="50" cm="1" t="str">
        <f t="array" ref="F165:F165">OFFSET(E165,-1,1)</f>
        <v>2</v>
      </c>
      <c r="G165" s="100" t="s">
        <v>1144</v>
      </c>
      <c r="H165" s="1240"/>
      <c r="I165" s="1240"/>
      <c r="J165" s="1240"/>
      <c r="K165" s="1240"/>
      <c r="L165" s="1240"/>
      <c r="M165" s="1240"/>
      <c r="N165" s="1240"/>
      <c r="O165" s="1240"/>
      <c r="P165" s="1240"/>
      <c r="Q165" s="1240"/>
      <c r="R165" s="1240"/>
      <c r="S165" s="1240"/>
      <c r="T165" s="468" cm="1" t="str">
        <f t="array" ref="T165:T165">T164</f>
        <v>true</v>
      </c>
      <c r="U165" s="1240"/>
      <c r="V165" s="1240"/>
      <c r="W165" s="1240"/>
      <c r="X165" s="1559"/>
      <c r="Y165" s="1240"/>
      <c r="Z165" s="1560"/>
      <c r="AA165" s="1240"/>
      <c r="AB165" s="84" t="s">
        <v>1145</v>
      </c>
      <c r="AC165" s="210" t="s">
        <v>1074</v>
      </c>
      <c r="AD165" s="85" t="s">
        <v>936</v>
      </c>
      <c r="AE165" s="211">
        <v>0</v>
      </c>
      <c r="AF165" s="211"/>
      <c r="AG165" s="211"/>
      <c r="AH165" s="211">
        <v>0</v>
      </c>
      <c r="AI165" s="211"/>
      <c r="AJ165" s="3109"/>
      <c r="AK165" s="3109"/>
      <c r="AL165" s="3109"/>
      <c r="AM165" s="3109"/>
      <c r="AN165" s="3109"/>
      <c r="AO165" s="3109"/>
      <c r="AP165" s="3109"/>
      <c r="AQ165" s="3109"/>
      <c r="AR165" s="3109"/>
      <c r="AS165" s="211"/>
      <c r="AT165" s="3109"/>
      <c r="AU165" s="3109"/>
      <c r="AV165" s="3109"/>
      <c r="AW165" s="3109"/>
      <c r="AX165" s="3109"/>
      <c r="AY165" s="3109"/>
      <c r="AZ165" s="3109"/>
      <c r="BA165" s="3109"/>
      <c r="BB165" s="3109"/>
      <c r="BC165" s="196"/>
      <c r="BD165" s="1240"/>
      <c r="BE165" s="1240"/>
      <c r="BF165" s="1042" t="s">
        <v>1146</v>
      </c>
    </row>
    <row s="1656" customFormat="1" customHeight="1" ht="14.625">
      <c r="A166" s="1240"/>
      <c r="B166" s="1223"/>
      <c r="C166" s="1240"/>
      <c r="D166" s="1240"/>
      <c r="E166" s="633">
        <v>15</v>
      </c>
      <c r="F166" s="50" cm="1" t="str">
        <f t="array" ref="F166:F166">OFFSET(E166,-1,1)</f>
        <v>2</v>
      </c>
      <c r="G166" s="100" t="s">
        <v>1147</v>
      </c>
      <c r="H166" s="1240"/>
      <c r="I166" s="1240"/>
      <c r="J166" s="1240"/>
      <c r="K166" s="1240"/>
      <c r="L166" s="1240"/>
      <c r="M166" s="1240"/>
      <c r="N166" s="1240"/>
      <c r="O166" s="1240"/>
      <c r="P166" s="1240"/>
      <c r="Q166" s="1240"/>
      <c r="R166" s="1240"/>
      <c r="S166" s="1240"/>
      <c r="T166" s="468" cm="1" t="str">
        <f t="array" ref="T166:T166">T165</f>
        <v>true</v>
      </c>
      <c r="U166" s="1240"/>
      <c r="V166" s="1240"/>
      <c r="W166" s="1240"/>
      <c r="X166" s="1559"/>
      <c r="Y166" s="1240"/>
      <c r="Z166" s="1560"/>
      <c r="AA166" s="1240"/>
      <c r="AB166" s="84" t="s">
        <v>1148</v>
      </c>
      <c r="AC166" s="210" t="s">
        <v>1077</v>
      </c>
      <c r="AD166" s="85" t="s">
        <v>936</v>
      </c>
      <c r="AE166" s="211">
        <v>0</v>
      </c>
      <c r="AF166" s="211"/>
      <c r="AG166" s="211"/>
      <c r="AH166" s="211">
        <v>0</v>
      </c>
      <c r="AI166" s="211"/>
      <c r="AJ166" s="3109"/>
      <c r="AK166" s="3109"/>
      <c r="AL166" s="3109"/>
      <c r="AM166" s="3109"/>
      <c r="AN166" s="3109"/>
      <c r="AO166" s="3109"/>
      <c r="AP166" s="3109"/>
      <c r="AQ166" s="3109"/>
      <c r="AR166" s="3109"/>
      <c r="AS166" s="211"/>
      <c r="AT166" s="3109"/>
      <c r="AU166" s="3109"/>
      <c r="AV166" s="3109"/>
      <c r="AW166" s="3109"/>
      <c r="AX166" s="3109"/>
      <c r="AY166" s="3109"/>
      <c r="AZ166" s="3109"/>
      <c r="BA166" s="3109"/>
      <c r="BB166" s="3109"/>
      <c r="BC166" s="196"/>
      <c r="BD166" s="1240"/>
      <c r="BE166" s="1240"/>
      <c r="BF166" s="1042" t="s">
        <v>1149</v>
      </c>
    </row>
    <row s="1656" customFormat="1" customHeight="1" ht="24.421875">
      <c r="A167" s="1240"/>
      <c r="B167" s="1223"/>
      <c r="C167" s="1240"/>
      <c r="D167" s="1240"/>
      <c r="E167" s="633">
        <v>15</v>
      </c>
      <c r="F167" s="50" cm="1" t="str">
        <f t="array" ref="F167:F167">OFFSET(E167,-1,1)</f>
        <v>2</v>
      </c>
      <c r="G167" s="100" t="s">
        <v>1150</v>
      </c>
      <c r="H167" s="1240"/>
      <c r="I167" s="1240"/>
      <c r="J167" s="1240"/>
      <c r="K167" s="1240"/>
      <c r="L167" s="1240"/>
      <c r="M167" s="1240"/>
      <c r="N167" s="1240"/>
      <c r="O167" s="1240"/>
      <c r="P167" s="1240"/>
      <c r="Q167" s="1240"/>
      <c r="R167" s="1240"/>
      <c r="S167" s="1240"/>
      <c r="T167" s="468" cm="1" t="str">
        <f t="array" ref="T167:T167">T166</f>
        <v>true</v>
      </c>
      <c r="U167" s="1240"/>
      <c r="V167" s="1240"/>
      <c r="W167" s="1240"/>
      <c r="X167" s="1559"/>
      <c r="Y167" s="1240"/>
      <c r="Z167" s="1560"/>
      <c r="AA167" s="1240"/>
      <c r="AB167" s="84" t="s">
        <v>1151</v>
      </c>
      <c r="AC167" s="210" t="s">
        <v>1081</v>
      </c>
      <c r="AD167" s="85" t="s">
        <v>936</v>
      </c>
      <c r="AE167" s="211">
        <v>0</v>
      </c>
      <c r="AF167" s="211"/>
      <c r="AG167" s="211"/>
      <c r="AH167" s="211">
        <v>0</v>
      </c>
      <c r="AI167" s="211"/>
      <c r="AJ167" s="3109"/>
      <c r="AK167" s="3109"/>
      <c r="AL167" s="3109"/>
      <c r="AM167" s="3109"/>
      <c r="AN167" s="3109"/>
      <c r="AO167" s="3109"/>
      <c r="AP167" s="3109"/>
      <c r="AQ167" s="3109"/>
      <c r="AR167" s="3109"/>
      <c r="AS167" s="211"/>
      <c r="AT167" s="3109"/>
      <c r="AU167" s="3109"/>
      <c r="AV167" s="3109"/>
      <c r="AW167" s="3109"/>
      <c r="AX167" s="3109"/>
      <c r="AY167" s="3109"/>
      <c r="AZ167" s="3109"/>
      <c r="BA167" s="3109"/>
      <c r="BB167" s="3109"/>
      <c r="BC167" s="196" t="s">
        <v>1178</v>
      </c>
      <c r="BD167" s="1240"/>
      <c r="BE167" s="1240"/>
      <c r="BF167" s="1042" t="s">
        <v>1152</v>
      </c>
    </row>
    <row s="528" customFormat="1" customHeight="1" ht="14.25">
      <c r="A168" s="528"/>
      <c r="B168" s="433"/>
      <c r="C168" s="528"/>
      <c r="D168" s="528"/>
      <c r="E168" s="633">
        <v>15</v>
      </c>
      <c r="F168" s="50" cm="1" t="str">
        <f t="array" ref="F168:F168">OFFSET(E168,-1,1)</f>
        <v>2</v>
      </c>
      <c r="G168" s="100" t="s">
        <v>685</v>
      </c>
      <c r="H168" s="528"/>
      <c r="I168" s="528"/>
      <c r="J168" s="528"/>
      <c r="K168" s="528"/>
      <c r="L168" s="528"/>
      <c r="M168" s="528"/>
      <c r="N168" s="528"/>
      <c r="O168" s="528"/>
      <c r="P168" s="528"/>
      <c r="Q168" s="528"/>
      <c r="R168" s="528"/>
      <c r="S168" s="528"/>
      <c r="T168" s="468" cm="1" t="str">
        <f t="array" ref="T168:T168">T167</f>
        <v>true</v>
      </c>
      <c r="U168" s="528"/>
      <c r="V168" s="528"/>
      <c r="W168" s="528"/>
      <c r="X168" s="1559"/>
      <c r="Y168" s="528"/>
      <c r="Z168" s="1560"/>
      <c r="AA168" s="528"/>
      <c r="AB168" s="207">
        <v>8</v>
      </c>
      <c r="AC168" s="208" t="s">
        <v>1153</v>
      </c>
      <c r="AD168" s="85" t="s">
        <v>936</v>
      </c>
      <c r="AE168" s="1217">
        <f>SUM(AE169:AE173)</f>
        <v>0</v>
      </c>
      <c r="AF168" s="1217">
        <f>SUM(AF169:AF173)</f>
        <v>0</v>
      </c>
      <c r="AG168" s="1217">
        <f>SUM(AG169:AG173)</f>
        <v>0</v>
      </c>
      <c r="AH168" s="1217">
        <f>SUM(AH169:AH173)</f>
        <v>0</v>
      </c>
      <c r="AI168" s="1217">
        <f>SUM(AI169:AI173)</f>
        <v>0</v>
      </c>
      <c r="AJ168" s="3107">
        <f>SUM(AJ169:AJ173)</f>
        <v>0</v>
      </c>
      <c r="AK168" s="3107">
        <f>SUM(AK169:AK173)</f>
        <v>0</v>
      </c>
      <c r="AL168" s="3107">
        <f>SUM(AL169:AL173)</f>
        <v>0</v>
      </c>
      <c r="AM168" s="3107">
        <f>SUM(AM169:AM173)</f>
        <v>0</v>
      </c>
      <c r="AN168" s="3107">
        <f>SUM(AN169:AN173)</f>
        <v>0</v>
      </c>
      <c r="AO168" s="3107">
        <f>SUM(AO169:AO173)</f>
        <v>0</v>
      </c>
      <c r="AP168" s="3107">
        <f>SUM(AP169:AP173)</f>
        <v>0</v>
      </c>
      <c r="AQ168" s="3107">
        <f>SUM(AQ169:AQ173)</f>
        <v>0</v>
      </c>
      <c r="AR168" s="3107">
        <f>SUM(AR169:AR173)</f>
        <v>0</v>
      </c>
      <c r="AS168" s="1217">
        <f>SUM(AS169:AS173)</f>
        <v>0</v>
      </c>
      <c r="AT168" s="3107">
        <f>SUM(AT169:AT173)</f>
        <v>0</v>
      </c>
      <c r="AU168" s="3107">
        <f>SUM(AU169:AU173)</f>
        <v>0</v>
      </c>
      <c r="AV168" s="3107">
        <f>SUM(AV169:AV173)</f>
        <v>0</v>
      </c>
      <c r="AW168" s="3107">
        <f>SUM(AW169:AW173)</f>
        <v>0</v>
      </c>
      <c r="AX168" s="3107">
        <f>SUM(AX169:AX173)</f>
        <v>0</v>
      </c>
      <c r="AY168" s="3107">
        <f>SUM(AY169:AY173)</f>
        <v>0</v>
      </c>
      <c r="AZ168" s="3107">
        <f>SUM(AZ169:AZ173)</f>
        <v>0</v>
      </c>
      <c r="BA168" s="3107">
        <f>SUM(BA169:BA173)</f>
        <v>0</v>
      </c>
      <c r="BB168" s="3107">
        <f>SUM(BB169:BB173)</f>
        <v>0</v>
      </c>
      <c r="BC168" s="196"/>
      <c r="BD168" s="528"/>
      <c r="BE168" s="528"/>
      <c r="BF168" s="1042" t="s">
        <v>1154</v>
      </c>
    </row>
    <row s="1656" customFormat="1" customHeight="1" ht="14.625">
      <c r="A169" s="1240"/>
      <c r="B169" s="1223"/>
      <c r="C169" s="1240"/>
      <c r="D169" s="1240"/>
      <c r="E169" s="633">
        <v>15</v>
      </c>
      <c r="F169" s="50" cm="1" t="str">
        <f t="array" ref="F169:F169">OFFSET(E169,-1,1)</f>
        <v>2</v>
      </c>
      <c r="G169" s="100" t="s">
        <v>688</v>
      </c>
      <c r="H169" s="1240"/>
      <c r="I169" s="1240"/>
      <c r="J169" s="1240"/>
      <c r="K169" s="1240"/>
      <c r="L169" s="1240"/>
      <c r="M169" s="1240"/>
      <c r="N169" s="1240"/>
      <c r="O169" s="1240"/>
      <c r="P169" s="1240"/>
      <c r="Q169" s="1240"/>
      <c r="R169" s="1240"/>
      <c r="S169" s="1240"/>
      <c r="T169" s="468" cm="1" t="str">
        <f t="array" ref="T169:T169">T168</f>
        <v>true</v>
      </c>
      <c r="U169" s="1240"/>
      <c r="V169" s="1240"/>
      <c r="W169" s="1240"/>
      <c r="X169" s="1559"/>
      <c r="Y169" s="1240"/>
      <c r="Z169" s="1560"/>
      <c r="AA169" s="1240"/>
      <c r="AB169" s="84" t="s">
        <v>711</v>
      </c>
      <c r="AC169" s="210" t="s">
        <v>1068</v>
      </c>
      <c r="AD169" s="85" t="s">
        <v>936</v>
      </c>
      <c r="AE169" s="211">
        <v>0</v>
      </c>
      <c r="AF169" s="211"/>
      <c r="AG169" s="211"/>
      <c r="AH169" s="211"/>
      <c r="AI169" s="211"/>
      <c r="AJ169" s="3109"/>
      <c r="AK169" s="3109"/>
      <c r="AL169" s="3109"/>
      <c r="AM169" s="3109"/>
      <c r="AN169" s="3109"/>
      <c r="AO169" s="3109"/>
      <c r="AP169" s="3109"/>
      <c r="AQ169" s="3109"/>
      <c r="AR169" s="3109"/>
      <c r="AS169" s="211"/>
      <c r="AT169" s="3109"/>
      <c r="AU169" s="3109"/>
      <c r="AV169" s="3109"/>
      <c r="AW169" s="3109"/>
      <c r="AX169" s="3109"/>
      <c r="AY169" s="3109"/>
      <c r="AZ169" s="3109"/>
      <c r="BA169" s="3109"/>
      <c r="BB169" s="3109"/>
      <c r="BC169" s="196"/>
      <c r="BD169" s="1240"/>
      <c r="BE169" s="1240"/>
      <c r="BF169" s="1042" t="s">
        <v>1155</v>
      </c>
    </row>
    <row s="1656" customFormat="1" customHeight="1" ht="14.625">
      <c r="A170" s="1240"/>
      <c r="B170" s="1223"/>
      <c r="C170" s="1240"/>
      <c r="D170" s="1240"/>
      <c r="E170" s="633">
        <v>15</v>
      </c>
      <c r="F170" s="50" cm="1" t="str">
        <f t="array" ref="F170:F170">OFFSET(E170,-1,1)</f>
        <v>2</v>
      </c>
      <c r="G170" s="100" t="s">
        <v>692</v>
      </c>
      <c r="H170" s="1240"/>
      <c r="I170" s="1240"/>
      <c r="J170" s="1240"/>
      <c r="K170" s="1240"/>
      <c r="L170" s="1240"/>
      <c r="M170" s="1240"/>
      <c r="N170" s="1240"/>
      <c r="O170" s="1240"/>
      <c r="P170" s="1240"/>
      <c r="Q170" s="1240"/>
      <c r="R170" s="1240"/>
      <c r="S170" s="1240"/>
      <c r="T170" s="468" cm="1" t="str">
        <f t="array" ref="T170:T170">T169</f>
        <v>true</v>
      </c>
      <c r="U170" s="1240"/>
      <c r="V170" s="1240"/>
      <c r="W170" s="1240"/>
      <c r="X170" s="1559"/>
      <c r="Y170" s="1240"/>
      <c r="Z170" s="1560"/>
      <c r="AA170" s="1240"/>
      <c r="AB170" s="84" t="s">
        <v>728</v>
      </c>
      <c r="AC170" s="210" t="s">
        <v>1071</v>
      </c>
      <c r="AD170" s="85" t="s">
        <v>936</v>
      </c>
      <c r="AE170" s="211">
        <v>0</v>
      </c>
      <c r="AF170" s="211"/>
      <c r="AG170" s="211"/>
      <c r="AH170" s="211"/>
      <c r="AI170" s="211"/>
      <c r="AJ170" s="3109"/>
      <c r="AK170" s="3109"/>
      <c r="AL170" s="3109"/>
      <c r="AM170" s="3109"/>
      <c r="AN170" s="3109"/>
      <c r="AO170" s="3109"/>
      <c r="AP170" s="3109"/>
      <c r="AQ170" s="3109"/>
      <c r="AR170" s="3109"/>
      <c r="AS170" s="211"/>
      <c r="AT170" s="3109"/>
      <c r="AU170" s="3109"/>
      <c r="AV170" s="3109"/>
      <c r="AW170" s="3109"/>
      <c r="AX170" s="3109"/>
      <c r="AY170" s="3109"/>
      <c r="AZ170" s="3109"/>
      <c r="BA170" s="3109"/>
      <c r="BB170" s="3109"/>
      <c r="BC170" s="196"/>
      <c r="BD170" s="1240"/>
      <c r="BE170" s="1240"/>
      <c r="BF170" s="1042" t="s">
        <v>1156</v>
      </c>
    </row>
    <row s="1656" customFormat="1" customHeight="1" ht="14.625">
      <c r="A171" s="1240"/>
      <c r="B171" s="1223"/>
      <c r="C171" s="1240"/>
      <c r="D171" s="1240"/>
      <c r="E171" s="633">
        <v>15</v>
      </c>
      <c r="F171" s="50" cm="1" t="str">
        <f t="array" ref="F171:F171">OFFSET(E171,-1,1)</f>
        <v>2</v>
      </c>
      <c r="G171" s="100" t="s">
        <v>696</v>
      </c>
      <c r="H171" s="1240"/>
      <c r="I171" s="1240"/>
      <c r="J171" s="1240"/>
      <c r="K171" s="1240"/>
      <c r="L171" s="1240"/>
      <c r="M171" s="1240"/>
      <c r="N171" s="1240"/>
      <c r="O171" s="1240"/>
      <c r="P171" s="1240"/>
      <c r="Q171" s="1240"/>
      <c r="R171" s="1240"/>
      <c r="S171" s="1240"/>
      <c r="T171" s="468" cm="1" t="str">
        <f t="array" ref="T171:T171">T170</f>
        <v>true</v>
      </c>
      <c r="U171" s="1240"/>
      <c r="V171" s="1240"/>
      <c r="W171" s="1240"/>
      <c r="X171" s="1559"/>
      <c r="Y171" s="1240"/>
      <c r="Z171" s="1560"/>
      <c r="AA171" s="1240"/>
      <c r="AB171" s="84" t="s">
        <v>740</v>
      </c>
      <c r="AC171" s="210" t="s">
        <v>1074</v>
      </c>
      <c r="AD171" s="85" t="s">
        <v>936</v>
      </c>
      <c r="AE171" s="211">
        <v>0</v>
      </c>
      <c r="AF171" s="211"/>
      <c r="AG171" s="211"/>
      <c r="AH171" s="211"/>
      <c r="AI171" s="211"/>
      <c r="AJ171" s="3109"/>
      <c r="AK171" s="3109"/>
      <c r="AL171" s="3109"/>
      <c r="AM171" s="3109"/>
      <c r="AN171" s="3109"/>
      <c r="AO171" s="3109"/>
      <c r="AP171" s="3109"/>
      <c r="AQ171" s="3109"/>
      <c r="AR171" s="3109"/>
      <c r="AS171" s="211"/>
      <c r="AT171" s="3109"/>
      <c r="AU171" s="3109"/>
      <c r="AV171" s="3109"/>
      <c r="AW171" s="3109"/>
      <c r="AX171" s="3109"/>
      <c r="AY171" s="3109"/>
      <c r="AZ171" s="3109"/>
      <c r="BA171" s="3109"/>
      <c r="BB171" s="3109"/>
      <c r="BC171" s="196"/>
      <c r="BD171" s="1240"/>
      <c r="BE171" s="1240"/>
      <c r="BF171" s="1042" t="s">
        <v>1157</v>
      </c>
    </row>
    <row s="1656" customFormat="1" customHeight="1" ht="14.625">
      <c r="A172" s="1240"/>
      <c r="B172" s="1223"/>
      <c r="C172" s="1240"/>
      <c r="D172" s="1240"/>
      <c r="E172" s="633">
        <v>15</v>
      </c>
      <c r="F172" s="50" cm="1" t="str">
        <f t="array" ref="F172:F172">OFFSET(E172,-1,1)</f>
        <v>2</v>
      </c>
      <c r="G172" s="100" t="s">
        <v>1158</v>
      </c>
      <c r="H172" s="1240"/>
      <c r="I172" s="1240"/>
      <c r="J172" s="1240"/>
      <c r="K172" s="1240"/>
      <c r="L172" s="1240"/>
      <c r="M172" s="1240"/>
      <c r="N172" s="1240"/>
      <c r="O172" s="1240"/>
      <c r="P172" s="1240"/>
      <c r="Q172" s="1240"/>
      <c r="R172" s="1240"/>
      <c r="S172" s="1240"/>
      <c r="T172" s="468" cm="1" t="str">
        <f t="array" ref="T172:T172">T171</f>
        <v>true</v>
      </c>
      <c r="U172" s="1240"/>
      <c r="V172" s="1240"/>
      <c r="W172" s="1240"/>
      <c r="X172" s="1559"/>
      <c r="Y172" s="1240"/>
      <c r="Z172" s="1560"/>
      <c r="AA172" s="1240"/>
      <c r="AB172" s="84" t="s">
        <v>775</v>
      </c>
      <c r="AC172" s="210" t="s">
        <v>1077</v>
      </c>
      <c r="AD172" s="85" t="s">
        <v>936</v>
      </c>
      <c r="AE172" s="211">
        <v>0</v>
      </c>
      <c r="AF172" s="211"/>
      <c r="AG172" s="211"/>
      <c r="AH172" s="211"/>
      <c r="AI172" s="211"/>
      <c r="AJ172" s="3109"/>
      <c r="AK172" s="3109"/>
      <c r="AL172" s="3109"/>
      <c r="AM172" s="3109"/>
      <c r="AN172" s="3109"/>
      <c r="AO172" s="3109"/>
      <c r="AP172" s="3109"/>
      <c r="AQ172" s="3109"/>
      <c r="AR172" s="3109"/>
      <c r="AS172" s="211"/>
      <c r="AT172" s="3109"/>
      <c r="AU172" s="3109"/>
      <c r="AV172" s="3109"/>
      <c r="AW172" s="3109"/>
      <c r="AX172" s="3109"/>
      <c r="AY172" s="3109"/>
      <c r="AZ172" s="3109"/>
      <c r="BA172" s="3109"/>
      <c r="BB172" s="3109"/>
      <c r="BC172" s="196"/>
      <c r="BD172" s="1240"/>
      <c r="BE172" s="1240"/>
      <c r="BF172" s="1042" t="s">
        <v>1159</v>
      </c>
    </row>
    <row s="1656" customFormat="1" customHeight="1" ht="14.625">
      <c r="A173" s="1240"/>
      <c r="B173" s="1223"/>
      <c r="C173" s="1240"/>
      <c r="D173" s="1240"/>
      <c r="E173" s="633">
        <v>15</v>
      </c>
      <c r="F173" s="50" cm="1" t="str">
        <f t="array" ref="F173:F173">OFFSET(E173,-1,1)</f>
        <v>2</v>
      </c>
      <c r="G173" s="100" t="s">
        <v>1160</v>
      </c>
      <c r="H173" s="1240"/>
      <c r="I173" s="1240"/>
      <c r="J173" s="1240"/>
      <c r="K173" s="1240"/>
      <c r="L173" s="1240"/>
      <c r="M173" s="1240"/>
      <c r="N173" s="1240"/>
      <c r="O173" s="1240"/>
      <c r="P173" s="1240"/>
      <c r="Q173" s="1240"/>
      <c r="R173" s="1240"/>
      <c r="S173" s="1240"/>
      <c r="T173" s="468" cm="1" t="str">
        <f t="array" ref="T173:T173">T172</f>
        <v>true</v>
      </c>
      <c r="U173" s="1240"/>
      <c r="V173" s="1240"/>
      <c r="W173" s="1240"/>
      <c r="X173" s="1559"/>
      <c r="Y173" s="1240"/>
      <c r="Z173" s="1560"/>
      <c r="AA173" s="1240"/>
      <c r="AB173" s="84" t="s">
        <v>778</v>
      </c>
      <c r="AC173" s="210" t="s">
        <v>1081</v>
      </c>
      <c r="AD173" s="85" t="s">
        <v>936</v>
      </c>
      <c r="AE173" s="211">
        <v>0</v>
      </c>
      <c r="AF173" s="211"/>
      <c r="AG173" s="211"/>
      <c r="AH173" s="211"/>
      <c r="AI173" s="211"/>
      <c r="AJ173" s="3109"/>
      <c r="AK173" s="3109"/>
      <c r="AL173" s="3109"/>
      <c r="AM173" s="3109"/>
      <c r="AN173" s="3109"/>
      <c r="AO173" s="3109"/>
      <c r="AP173" s="3109"/>
      <c r="AQ173" s="3109"/>
      <c r="AR173" s="3109"/>
      <c r="AS173" s="211"/>
      <c r="AT173" s="3109"/>
      <c r="AU173" s="3109"/>
      <c r="AV173" s="3109"/>
      <c r="AW173" s="3109"/>
      <c r="AX173" s="3109"/>
      <c r="AY173" s="3109"/>
      <c r="AZ173" s="3109"/>
      <c r="BA173" s="3109"/>
      <c r="BB173" s="3109"/>
      <c r="BC173" s="196"/>
      <c r="BD173" s="1240"/>
      <c r="BE173" s="1240"/>
      <c r="BF173" s="1042" t="s">
        <v>1161</v>
      </c>
    </row>
    <row s="1656" customFormat="1" customHeight="1" ht="27.421875">
      <c r="A174" s="1240"/>
      <c r="B174" s="1223"/>
      <c r="C174" s="1240"/>
      <c r="D174" s="1240"/>
      <c r="E174" s="633">
        <v>15</v>
      </c>
      <c r="F174" s="726" cm="1" t="str">
        <f t="array" ref="F174:F174">X174</f>
        <v>3</v>
      </c>
      <c r="G174" s="1240"/>
      <c r="H174" s="1240"/>
      <c r="I174" s="1240"/>
      <c r="J174" s="1240"/>
      <c r="K174" s="1240"/>
      <c r="L174" s="1240"/>
      <c r="M174" s="1240"/>
      <c r="N174" s="1240"/>
      <c r="O174" s="1240"/>
      <c r="P174" s="1240"/>
      <c r="Q174" s="1240"/>
      <c r="R174" s="1240"/>
      <c r="S174" s="1240"/>
      <c r="T174" s="468">
        <f>X174&gt;0</f>
        <v>1</v>
      </c>
      <c r="U174" s="1240"/>
      <c r="V174" s="100" cm="1" t="str">
        <f t="array" ref="V174:V174">ЭЭ!$AB$133</f>
        <v>Тариф 3 (Водоотведение) - тариф на водоотведение (Оказание услуг на территории: город Полысаево (ОКТМО: 32732000) - г Полысаево)</v>
      </c>
      <c r="W174" s="1240"/>
      <c r="X174" s="1559" t="s">
        <v>234</v>
      </c>
      <c r="Y174" s="1240"/>
      <c r="Z174" s="1560"/>
      <c r="AA174" s="1240"/>
      <c r="AB174" s="179" cm="1" t="str">
        <f t="array" ref="AB174:AB174">ЭЭ!$AB$133</f>
        <v>Тариф 3 (Водоотведение) - тариф на водоотведение (Оказание услуг на территории: город Полысаево (ОКТМО: 32732000) - г Полысаево)</v>
      </c>
      <c r="AC174" s="176"/>
      <c r="AD174" s="170"/>
      <c r="AE174" s="170"/>
      <c r="AF174" s="170"/>
      <c r="AG174" s="170"/>
      <c r="AH174" s="170"/>
      <c r="AI174" s="170"/>
      <c r="AJ174" s="170"/>
      <c r="AK174" s="170"/>
      <c r="AL174" s="170"/>
      <c r="AM174" s="170"/>
      <c r="AN174" s="170"/>
      <c r="AO174" s="170"/>
      <c r="AP174" s="170"/>
      <c r="AQ174" s="170"/>
      <c r="AR174" s="170"/>
      <c r="AS174" s="170"/>
      <c r="AT174" s="170"/>
      <c r="AU174" s="170"/>
      <c r="AV174" s="170"/>
      <c r="AW174" s="170"/>
      <c r="AX174" s="170"/>
      <c r="AY174" s="170"/>
      <c r="AZ174" s="170"/>
      <c r="BA174" s="170"/>
      <c r="BB174" s="170"/>
      <c r="BC174" s="206"/>
      <c r="BD174" s="1240"/>
      <c r="BE174" s="1240"/>
      <c r="BF174" s="1184"/>
    </row>
    <row s="528" customFormat="1" customHeight="1" ht="62.671875">
      <c r="A175" s="528"/>
      <c r="B175" s="433"/>
      <c r="C175" s="528"/>
      <c r="D175" s="528"/>
      <c r="E175" s="675">
        <v>22.5</v>
      </c>
      <c r="F175" s="50" cm="1" t="str">
        <f t="array" ref="F175:F175">OFFSET(E175,-1,1)</f>
        <v>3</v>
      </c>
      <c r="G175" s="100" t="s">
        <v>344</v>
      </c>
      <c r="H175" s="528"/>
      <c r="I175" s="528"/>
      <c r="J175" s="528"/>
      <c r="K175" s="528"/>
      <c r="L175" s="528"/>
      <c r="M175" s="528"/>
      <c r="N175" s="528"/>
      <c r="O175" s="528"/>
      <c r="P175" s="528"/>
      <c r="Q175" s="528"/>
      <c r="R175" s="528"/>
      <c r="S175" s="528"/>
      <c r="T175" s="468" cm="1" t="str">
        <f t="array" ref="T175:T175">T174</f>
        <v>true</v>
      </c>
      <c r="U175" s="528"/>
      <c r="V175" s="528"/>
      <c r="W175" s="528"/>
      <c r="X175" s="1559"/>
      <c r="Y175" s="528"/>
      <c r="Z175" s="1560"/>
      <c r="AA175" s="528"/>
      <c r="AB175" s="207">
        <v>1</v>
      </c>
      <c r="AC175" s="208" t="s">
        <v>1065</v>
      </c>
      <c r="AD175" s="85" t="s">
        <v>936</v>
      </c>
      <c r="AE175" s="1217">
        <v>32714.11917</v>
      </c>
      <c r="AF175" s="1217">
        <f>SUM(AF176:AF180)</f>
        <v>17031.64712</v>
      </c>
      <c r="AG175" s="1217">
        <f>SUM(AG176:AG180)</f>
        <v>17031.64712</v>
      </c>
      <c r="AH175" s="1217">
        <v>41035.84616</v>
      </c>
      <c r="AI175" s="1217">
        <f>SUM(AI176:AI180)</f>
        <v>0</v>
      </c>
      <c r="AJ175" s="3107">
        <f>SUM(AJ176:AJ180)</f>
        <v>0</v>
      </c>
      <c r="AK175" s="3107">
        <f>SUM(AK176:AK180)</f>
        <v>0</v>
      </c>
      <c r="AL175" s="3107">
        <f>SUM(AL176:AL180)</f>
        <v>0</v>
      </c>
      <c r="AM175" s="3107">
        <f>SUM(AM176:AM180)</f>
        <v>0</v>
      </c>
      <c r="AN175" s="3107">
        <f>SUM(AN176:AN180)</f>
        <v>0</v>
      </c>
      <c r="AO175" s="3107">
        <f>SUM(AO176:AO180)</f>
        <v>0</v>
      </c>
      <c r="AP175" s="3107">
        <f>SUM(AP176:AP180)</f>
        <v>0</v>
      </c>
      <c r="AQ175" s="3107">
        <f>SUM(AQ176:AQ180)</f>
        <v>0</v>
      </c>
      <c r="AR175" s="3107">
        <f>SUM(AR176:AR180)</f>
        <v>0</v>
      </c>
      <c r="AS175" s="1217">
        <f>SUM(AS176:AS180)</f>
        <v>91334.52013</v>
      </c>
      <c r="AT175" s="3107">
        <f>SUM(AT176:AT180)</f>
        <v>0</v>
      </c>
      <c r="AU175" s="3107">
        <f>SUM(AU176:AU180)</f>
        <v>0</v>
      </c>
      <c r="AV175" s="3107">
        <f>SUM(AV176:AV180)</f>
        <v>0</v>
      </c>
      <c r="AW175" s="3107">
        <f>SUM(AW176:AW180)</f>
        <v>0</v>
      </c>
      <c r="AX175" s="3107">
        <f>SUM(AX176:AX180)</f>
        <v>0</v>
      </c>
      <c r="AY175" s="3107">
        <f>SUM(AY176:AY180)</f>
        <v>0</v>
      </c>
      <c r="AZ175" s="3107">
        <f>SUM(AZ176:AZ180)</f>
        <v>0</v>
      </c>
      <c r="BA175" s="3107">
        <f>SUM(BA176:BA180)</f>
        <v>0</v>
      </c>
      <c r="BB175" s="3107">
        <f>SUM(BB176:BB180)</f>
        <v>0</v>
      </c>
      <c r="BC175" s="196" t="s">
        <v>1162</v>
      </c>
      <c r="BD175" s="528"/>
      <c r="BE175" s="528"/>
      <c r="BF175" s="1042" t="s">
        <v>1066</v>
      </c>
    </row>
    <row s="1656" customFormat="1" customHeight="1" ht="84.421875">
      <c r="A176" s="1240"/>
      <c r="B176" s="1223"/>
      <c r="C176" s="1240"/>
      <c r="D176" s="1240"/>
      <c r="E176" s="633">
        <v>15</v>
      </c>
      <c r="F176" s="50" cm="1" t="str">
        <f t="array" ref="F176:F176">OFFSET(E176,-1,1)</f>
        <v>3</v>
      </c>
      <c r="G176" s="100" t="s">
        <v>566</v>
      </c>
      <c r="H176" s="1240"/>
      <c r="I176" s="1240"/>
      <c r="J176" s="1240"/>
      <c r="K176" s="1240"/>
      <c r="L176" s="1240"/>
      <c r="M176" s="1240"/>
      <c r="N176" s="1240"/>
      <c r="O176" s="1240"/>
      <c r="P176" s="1240"/>
      <c r="Q176" s="1240"/>
      <c r="R176" s="1240"/>
      <c r="S176" s="1240"/>
      <c r="T176" s="468" cm="1" t="str">
        <f t="array" ref="T176:T176">T175</f>
        <v>true</v>
      </c>
      <c r="U176" s="1240"/>
      <c r="V176" s="1240"/>
      <c r="W176" s="1240"/>
      <c r="X176" s="1559"/>
      <c r="Y176" s="1240"/>
      <c r="Z176" s="1560"/>
      <c r="AA176" s="1240"/>
      <c r="AB176" s="84" t="s">
        <v>1067</v>
      </c>
      <c r="AC176" s="210" t="s">
        <v>1068</v>
      </c>
      <c r="AD176" s="85" t="s">
        <v>936</v>
      </c>
      <c r="AE176" s="211">
        <v>0</v>
      </c>
      <c r="AF176" s="211"/>
      <c r="AG176" s="211"/>
      <c r="AH176" s="211">
        <v>0</v>
      </c>
      <c r="AI176" s="211"/>
      <c r="AJ176" s="3109"/>
      <c r="AK176" s="3109"/>
      <c r="AL176" s="3109"/>
      <c r="AM176" s="3109"/>
      <c r="AN176" s="3109"/>
      <c r="AO176" s="3109"/>
      <c r="AP176" s="3109"/>
      <c r="AQ176" s="3109"/>
      <c r="AR176" s="3109"/>
      <c r="AS176" s="211"/>
      <c r="AT176" s="3109"/>
      <c r="AU176" s="3109"/>
      <c r="AV176" s="3109"/>
      <c r="AW176" s="3109"/>
      <c r="AX176" s="3109"/>
      <c r="AY176" s="3109"/>
      <c r="AZ176" s="3109"/>
      <c r="BA176" s="3109"/>
      <c r="BB176" s="3109"/>
      <c r="BC176" s="196" t="s">
        <v>1163</v>
      </c>
      <c r="BD176" s="1240"/>
      <c r="BE176" s="1240"/>
      <c r="BF176" s="1042" t="s">
        <v>1069</v>
      </c>
    </row>
    <row s="1656" customFormat="1" customHeight="1" ht="47.671875">
      <c r="A177" s="1240"/>
      <c r="B177" s="1223"/>
      <c r="C177" s="1240"/>
      <c r="D177" s="1240"/>
      <c r="E177" s="633">
        <v>15</v>
      </c>
      <c r="F177" s="50" cm="1" t="str">
        <f t="array" ref="F177:F177">OFFSET(E177,-1,1)</f>
        <v>3</v>
      </c>
      <c r="G177" s="100" t="s">
        <v>570</v>
      </c>
      <c r="H177" s="1240"/>
      <c r="I177" s="1240"/>
      <c r="J177" s="1240"/>
      <c r="K177" s="1240"/>
      <c r="L177" s="1240"/>
      <c r="M177" s="1240"/>
      <c r="N177" s="1240"/>
      <c r="O177" s="1240"/>
      <c r="P177" s="1240"/>
      <c r="Q177" s="1240"/>
      <c r="R177" s="1240"/>
      <c r="S177" s="1240"/>
      <c r="T177" s="468" cm="1" t="str">
        <f t="array" ref="T177:T177">T176</f>
        <v>true</v>
      </c>
      <c r="U177" s="1240"/>
      <c r="V177" s="1240"/>
      <c r="W177" s="1240"/>
      <c r="X177" s="1559"/>
      <c r="Y177" s="1240"/>
      <c r="Z177" s="1560"/>
      <c r="AA177" s="1240"/>
      <c r="AB177" s="84" t="s">
        <v>1070</v>
      </c>
      <c r="AC177" s="210" t="s">
        <v>1071</v>
      </c>
      <c r="AD177" s="85" t="s">
        <v>936</v>
      </c>
      <c r="AE177" s="211">
        <v>32637.3</v>
      </c>
      <c r="AF177" s="211">
        <f>1283.62013+15748.02699</f>
        <v>17031.64712</v>
      </c>
      <c r="AG177" s="211">
        <v>1283.62013</v>
      </c>
      <c r="AH177" s="211">
        <v>41035.84616</v>
      </c>
      <c r="AI177" s="211"/>
      <c r="AJ177" s="3109"/>
      <c r="AK177" s="3109"/>
      <c r="AL177" s="3109"/>
      <c r="AM177" s="3109"/>
      <c r="AN177" s="3109"/>
      <c r="AO177" s="3109"/>
      <c r="AP177" s="3109"/>
      <c r="AQ177" s="3109"/>
      <c r="AR177" s="3109"/>
      <c r="AS177" s="211" cm="1" t="str">
        <f t="array" ref="AS177:AS177">AG195</f>
        <v>1283.62013</v>
      </c>
      <c r="AT177" s="3109"/>
      <c r="AU177" s="3109"/>
      <c r="AV177" s="3109"/>
      <c r="AW177" s="3109"/>
      <c r="AX177" s="3109"/>
      <c r="AY177" s="3109"/>
      <c r="AZ177" s="3109"/>
      <c r="BA177" s="3109"/>
      <c r="BB177" s="3109"/>
      <c r="BC177" s="196" t="s">
        <v>1179</v>
      </c>
      <c r="BD177" s="1240"/>
      <c r="BE177" s="1240"/>
      <c r="BF177" s="1042" t="s">
        <v>1072</v>
      </c>
    </row>
    <row s="1656" customFormat="1" customHeight="1" ht="14.625">
      <c r="A178" s="1240"/>
      <c r="B178" s="1223"/>
      <c r="C178" s="1240"/>
      <c r="D178" s="1240"/>
      <c r="E178" s="633">
        <v>15</v>
      </c>
      <c r="F178" s="50" cm="1" t="str">
        <f t="array" ref="F178:F178">OFFSET(E178,-1,1)</f>
        <v>3</v>
      </c>
      <c r="G178" s="100" t="s">
        <v>573</v>
      </c>
      <c r="H178" s="1240"/>
      <c r="I178" s="1240"/>
      <c r="J178" s="1240"/>
      <c r="K178" s="1240"/>
      <c r="L178" s="1240"/>
      <c r="M178" s="1240"/>
      <c r="N178" s="1240"/>
      <c r="O178" s="1240"/>
      <c r="P178" s="1240"/>
      <c r="Q178" s="1240"/>
      <c r="R178" s="1240"/>
      <c r="S178" s="1240"/>
      <c r="T178" s="468" cm="1" t="str">
        <f t="array" ref="T178:T178">T177</f>
        <v>true</v>
      </c>
      <c r="U178" s="1240"/>
      <c r="V178" s="1240"/>
      <c r="W178" s="1240"/>
      <c r="X178" s="1559"/>
      <c r="Y178" s="1240"/>
      <c r="Z178" s="1560"/>
      <c r="AA178" s="1240"/>
      <c r="AB178" s="84" t="s">
        <v>1073</v>
      </c>
      <c r="AC178" s="210" t="s">
        <v>1074</v>
      </c>
      <c r="AD178" s="85" t="s">
        <v>936</v>
      </c>
      <c r="AE178" s="211">
        <v>0</v>
      </c>
      <c r="AF178" s="211"/>
      <c r="AG178" s="211"/>
      <c r="AH178" s="211">
        <v>0</v>
      </c>
      <c r="AI178" s="211"/>
      <c r="AJ178" s="3109"/>
      <c r="AK178" s="3109"/>
      <c r="AL178" s="3109"/>
      <c r="AM178" s="3109"/>
      <c r="AN178" s="3109"/>
      <c r="AO178" s="3109"/>
      <c r="AP178" s="3109"/>
      <c r="AQ178" s="3109"/>
      <c r="AR178" s="3109"/>
      <c r="AS178" s="211"/>
      <c r="AT178" s="3109"/>
      <c r="AU178" s="3109"/>
      <c r="AV178" s="3109"/>
      <c r="AW178" s="3109"/>
      <c r="AX178" s="3109"/>
      <c r="AY178" s="3109"/>
      <c r="AZ178" s="3109"/>
      <c r="BA178" s="3109"/>
      <c r="BB178" s="3109"/>
      <c r="BC178" s="196"/>
      <c r="BD178" s="1240"/>
      <c r="BE178" s="1240"/>
      <c r="BF178" s="1042" t="s">
        <v>1075</v>
      </c>
    </row>
    <row s="1656" customFormat="1" customHeight="1" ht="14.625">
      <c r="A179" s="1240"/>
      <c r="B179" s="1223"/>
      <c r="C179" s="1240"/>
      <c r="D179" s="1240"/>
      <c r="E179" s="633">
        <v>15</v>
      </c>
      <c r="F179" s="50" cm="1" t="str">
        <f t="array" ref="F179:F179">OFFSET(E179,-1,1)</f>
        <v>3</v>
      </c>
      <c r="G179" s="100" t="s">
        <v>577</v>
      </c>
      <c r="H179" s="1240"/>
      <c r="I179" s="1240"/>
      <c r="J179" s="1240"/>
      <c r="K179" s="1240"/>
      <c r="L179" s="1240"/>
      <c r="M179" s="1240"/>
      <c r="N179" s="1240"/>
      <c r="O179" s="1240"/>
      <c r="P179" s="1240"/>
      <c r="Q179" s="1240"/>
      <c r="R179" s="1240"/>
      <c r="S179" s="1240"/>
      <c r="T179" s="468" cm="1" t="str">
        <f t="array" ref="T179:T179">T178</f>
        <v>true</v>
      </c>
      <c r="U179" s="1240"/>
      <c r="V179" s="1240"/>
      <c r="W179" s="1240"/>
      <c r="X179" s="1559"/>
      <c r="Y179" s="1240"/>
      <c r="Z179" s="1560"/>
      <c r="AA179" s="1240"/>
      <c r="AB179" s="84" t="s">
        <v>1076</v>
      </c>
      <c r="AC179" s="210" t="s">
        <v>1077</v>
      </c>
      <c r="AD179" s="85" t="s">
        <v>936</v>
      </c>
      <c r="AE179" s="211">
        <v>0</v>
      </c>
      <c r="AF179" s="211"/>
      <c r="AG179" s="211"/>
      <c r="AH179" s="211">
        <v>0</v>
      </c>
      <c r="AI179" s="211"/>
      <c r="AJ179" s="3109"/>
      <c r="AK179" s="3109"/>
      <c r="AL179" s="3109"/>
      <c r="AM179" s="3109"/>
      <c r="AN179" s="3109"/>
      <c r="AO179" s="3109"/>
      <c r="AP179" s="3109"/>
      <c r="AQ179" s="3109"/>
      <c r="AR179" s="3109"/>
      <c r="AS179" s="211"/>
      <c r="AT179" s="3109"/>
      <c r="AU179" s="3109"/>
      <c r="AV179" s="3109"/>
      <c r="AW179" s="3109"/>
      <c r="AX179" s="3109"/>
      <c r="AY179" s="3109"/>
      <c r="AZ179" s="3109"/>
      <c r="BA179" s="3109"/>
      <c r="BB179" s="3109"/>
      <c r="BC179" s="196"/>
      <c r="BD179" s="1240"/>
      <c r="BE179" s="1240"/>
      <c r="BF179" s="1042" t="s">
        <v>1078</v>
      </c>
    </row>
    <row s="1656" customFormat="1" customHeight="1" ht="50.671875">
      <c r="A180" s="1240"/>
      <c r="B180" s="1223"/>
      <c r="C180" s="1240"/>
      <c r="D180" s="1240"/>
      <c r="E180" s="633">
        <v>15</v>
      </c>
      <c r="F180" s="50" cm="1" t="str">
        <f t="array" ref="F180:F180">OFFSET(E180,-1,1)</f>
        <v>3</v>
      </c>
      <c r="G180" s="100" t="s">
        <v>1079</v>
      </c>
      <c r="H180" s="1240"/>
      <c r="I180" s="1240"/>
      <c r="J180" s="1240"/>
      <c r="K180" s="1240"/>
      <c r="L180" s="1240"/>
      <c r="M180" s="1240"/>
      <c r="N180" s="1240"/>
      <c r="O180" s="1240"/>
      <c r="P180" s="1240"/>
      <c r="Q180" s="1240"/>
      <c r="R180" s="1240"/>
      <c r="S180" s="1240"/>
      <c r="T180" s="468" cm="1" t="str">
        <f t="array" ref="T180:T180">T179</f>
        <v>true</v>
      </c>
      <c r="U180" s="1240"/>
      <c r="V180" s="1240"/>
      <c r="W180" s="1240"/>
      <c r="X180" s="1559"/>
      <c r="Y180" s="1240"/>
      <c r="Z180" s="1560"/>
      <c r="AA180" s="1240"/>
      <c r="AB180" s="84" t="s">
        <v>1080</v>
      </c>
      <c r="AC180" s="210" t="s">
        <v>1081</v>
      </c>
      <c r="AD180" s="85" t="s">
        <v>936</v>
      </c>
      <c r="AE180" s="211">
        <v>76.81917</v>
      </c>
      <c r="AF180" s="211"/>
      <c r="AG180" s="211">
        <v>15748.02699</v>
      </c>
      <c r="AH180" s="211">
        <v>0</v>
      </c>
      <c r="AI180" s="211"/>
      <c r="AJ180" s="3109"/>
      <c r="AK180" s="3109"/>
      <c r="AL180" s="3109"/>
      <c r="AM180" s="3109"/>
      <c r="AN180" s="3109"/>
      <c r="AO180" s="3109"/>
      <c r="AP180" s="3109"/>
      <c r="AQ180" s="3109"/>
      <c r="AR180" s="3109"/>
      <c r="AS180" s="211">
        <v>90050.9</v>
      </c>
      <c r="AT180" s="3109"/>
      <c r="AU180" s="3109"/>
      <c r="AV180" s="3109"/>
      <c r="AW180" s="3109"/>
      <c r="AX180" s="3109"/>
      <c r="AY180" s="3109"/>
      <c r="AZ180" s="3109"/>
      <c r="BA180" s="3109"/>
      <c r="BB180" s="3109"/>
      <c r="BC180" s="196" t="s">
        <v>1180</v>
      </c>
      <c r="BD180" s="1240"/>
      <c r="BE180" s="1240"/>
      <c r="BF180" s="1042" t="s">
        <v>1082</v>
      </c>
    </row>
    <row s="528" customFormat="1" customHeight="1" ht="67.921875">
      <c r="A181" s="528"/>
      <c r="B181" s="433"/>
      <c r="C181" s="528"/>
      <c r="D181" s="528"/>
      <c r="E181" s="633">
        <v>15</v>
      </c>
      <c r="F181" s="50" cm="1" t="str">
        <f t="array" ref="F181:F181">OFFSET(E181,-1,1)</f>
        <v>3</v>
      </c>
      <c r="G181" s="100" t="s">
        <v>345</v>
      </c>
      <c r="H181" s="528"/>
      <c r="I181" s="528"/>
      <c r="J181" s="528"/>
      <c r="K181" s="528"/>
      <c r="L181" s="528"/>
      <c r="M181" s="528"/>
      <c r="N181" s="528"/>
      <c r="O181" s="528"/>
      <c r="P181" s="528"/>
      <c r="Q181" s="528"/>
      <c r="R181" s="528"/>
      <c r="S181" s="528"/>
      <c r="T181" s="468" cm="1" t="str">
        <f t="array" ref="T181:T181">T180</f>
        <v>true</v>
      </c>
      <c r="U181" s="528"/>
      <c r="V181" s="528"/>
      <c r="W181" s="528"/>
      <c r="X181" s="1559"/>
      <c r="Y181" s="528"/>
      <c r="Z181" s="1560"/>
      <c r="AA181" s="528"/>
      <c r="AB181" s="207">
        <v>2</v>
      </c>
      <c r="AC181" s="208" t="s">
        <v>1083</v>
      </c>
      <c r="AD181" s="85" t="s">
        <v>936</v>
      </c>
      <c r="AE181" s="1217">
        <v>24004.2</v>
      </c>
      <c r="AF181" s="1217">
        <f>SUM(AF182:AF186)</f>
        <v>0</v>
      </c>
      <c r="AG181" s="1217">
        <f>SUM(AG182:AG186)</f>
        <v>0</v>
      </c>
      <c r="AH181" s="1217">
        <v>33409.4</v>
      </c>
      <c r="AI181" s="1217">
        <f>SUM(AI182:AI186)</f>
        <v>0</v>
      </c>
      <c r="AJ181" s="3107">
        <f>SUM(AJ182:AJ186)</f>
        <v>0</v>
      </c>
      <c r="AK181" s="3107">
        <f>SUM(AK182:AK186)</f>
        <v>0</v>
      </c>
      <c r="AL181" s="3107">
        <f>SUM(AL182:AL186)</f>
        <v>0</v>
      </c>
      <c r="AM181" s="3107">
        <f>SUM(AM182:AM186)</f>
        <v>0</v>
      </c>
      <c r="AN181" s="3107">
        <f>SUM(AN182:AN186)</f>
        <v>0</v>
      </c>
      <c r="AO181" s="3107">
        <f>SUM(AO182:AO186)</f>
        <v>0</v>
      </c>
      <c r="AP181" s="3107">
        <f>SUM(AP182:AP186)</f>
        <v>0</v>
      </c>
      <c r="AQ181" s="3107">
        <f>SUM(AQ182:AQ186)</f>
        <v>0</v>
      </c>
      <c r="AR181" s="3107">
        <f>SUM(AR182:AR186)</f>
        <v>0</v>
      </c>
      <c r="AS181" s="1217">
        <f>SUM(AS182:AS186)</f>
        <v>45024.3</v>
      </c>
      <c r="AT181" s="3107">
        <f>SUM(AT182:AT186)</f>
        <v>0</v>
      </c>
      <c r="AU181" s="3107">
        <f>SUM(AU182:AU186)</f>
        <v>0</v>
      </c>
      <c r="AV181" s="3107">
        <f>SUM(AV182:AV186)</f>
        <v>0</v>
      </c>
      <c r="AW181" s="3107">
        <f>SUM(AW182:AW186)</f>
        <v>0</v>
      </c>
      <c r="AX181" s="3107">
        <f>SUM(AX182:AX186)</f>
        <v>0</v>
      </c>
      <c r="AY181" s="3107">
        <f>SUM(AY182:AY186)</f>
        <v>0</v>
      </c>
      <c r="AZ181" s="3107">
        <f>SUM(AZ182:AZ186)</f>
        <v>0</v>
      </c>
      <c r="BA181" s="3107">
        <f>SUM(BA182:BA186)</f>
        <v>0</v>
      </c>
      <c r="BB181" s="3107">
        <f>SUM(BB182:BB186)</f>
        <v>0</v>
      </c>
      <c r="BC181" s="196" t="s">
        <v>1181</v>
      </c>
      <c r="BD181" s="528"/>
      <c r="BE181" s="528"/>
      <c r="BF181" s="1042" t="s">
        <v>1084</v>
      </c>
    </row>
    <row s="1656" customFormat="1" customHeight="1" ht="14.625">
      <c r="A182" s="1240"/>
      <c r="B182" s="1223"/>
      <c r="C182" s="1240"/>
      <c r="D182" s="1240"/>
      <c r="E182" s="633">
        <v>15</v>
      </c>
      <c r="F182" s="50" cm="1" t="str">
        <f t="array" ref="F182:F182">OFFSET(E182,-1,1)</f>
        <v>3</v>
      </c>
      <c r="G182" s="100" t="s">
        <v>584</v>
      </c>
      <c r="H182" s="1240"/>
      <c r="I182" s="1240"/>
      <c r="J182" s="1240"/>
      <c r="K182" s="1240"/>
      <c r="L182" s="1240"/>
      <c r="M182" s="1240"/>
      <c r="N182" s="1240"/>
      <c r="O182" s="1240"/>
      <c r="P182" s="1240"/>
      <c r="Q182" s="1240"/>
      <c r="R182" s="1240"/>
      <c r="S182" s="1240"/>
      <c r="T182" s="468" cm="1" t="str">
        <f t="array" ref="T182:T182">T181</f>
        <v>true</v>
      </c>
      <c r="U182" s="1240"/>
      <c r="V182" s="1240"/>
      <c r="W182" s="1240"/>
      <c r="X182" s="1559"/>
      <c r="Y182" s="1240"/>
      <c r="Z182" s="1560"/>
      <c r="AA182" s="1240"/>
      <c r="AB182" s="84" t="s">
        <v>660</v>
      </c>
      <c r="AC182" s="210" t="s">
        <v>1068</v>
      </c>
      <c r="AD182" s="85" t="s">
        <v>936</v>
      </c>
      <c r="AE182" s="211">
        <v>0</v>
      </c>
      <c r="AF182" s="211"/>
      <c r="AG182" s="211"/>
      <c r="AH182" s="211">
        <v>0</v>
      </c>
      <c r="AI182" s="211"/>
      <c r="AJ182" s="3109"/>
      <c r="AK182" s="3109"/>
      <c r="AL182" s="3109"/>
      <c r="AM182" s="3109"/>
      <c r="AN182" s="3109"/>
      <c r="AO182" s="3109"/>
      <c r="AP182" s="3109"/>
      <c r="AQ182" s="3109"/>
      <c r="AR182" s="3109"/>
      <c r="AS182" s="211"/>
      <c r="AT182" s="3109"/>
      <c r="AU182" s="3109"/>
      <c r="AV182" s="3109"/>
      <c r="AW182" s="3109"/>
      <c r="AX182" s="3109"/>
      <c r="AY182" s="3109"/>
      <c r="AZ182" s="3109"/>
      <c r="BA182" s="3109"/>
      <c r="BB182" s="3109"/>
      <c r="BC182" s="196"/>
      <c r="BD182" s="1240"/>
      <c r="BE182" s="1240"/>
      <c r="BF182" s="1042" t="s">
        <v>1085</v>
      </c>
    </row>
    <row s="1656" customFormat="1" customHeight="1" ht="22.171875">
      <c r="A183" s="1240"/>
      <c r="B183" s="1223"/>
      <c r="C183" s="1240"/>
      <c r="D183" s="1240"/>
      <c r="E183" s="633">
        <v>15</v>
      </c>
      <c r="F183" s="50" cm="1" t="str">
        <f t="array" ref="F183:F183">OFFSET(E183,-1,1)</f>
        <v>3</v>
      </c>
      <c r="G183" s="100" t="s">
        <v>587</v>
      </c>
      <c r="H183" s="1240"/>
      <c r="I183" s="1240"/>
      <c r="J183" s="1240"/>
      <c r="K183" s="1240"/>
      <c r="L183" s="1240"/>
      <c r="M183" s="1240"/>
      <c r="N183" s="1240"/>
      <c r="O183" s="1240"/>
      <c r="P183" s="1240"/>
      <c r="Q183" s="1240"/>
      <c r="R183" s="1240"/>
      <c r="S183" s="1240"/>
      <c r="T183" s="468" cm="1" t="str">
        <f t="array" ref="T183:T183">T182</f>
        <v>true</v>
      </c>
      <c r="U183" s="1240"/>
      <c r="V183" s="1240"/>
      <c r="W183" s="1240"/>
      <c r="X183" s="1559"/>
      <c r="Y183" s="1240"/>
      <c r="Z183" s="1560"/>
      <c r="AA183" s="1240"/>
      <c r="AB183" s="84" t="s">
        <v>664</v>
      </c>
      <c r="AC183" s="210" t="s">
        <v>1071</v>
      </c>
      <c r="AD183" s="85" t="s">
        <v>936</v>
      </c>
      <c r="AE183" s="211">
        <v>24004.2</v>
      </c>
      <c r="AF183" s="211"/>
      <c r="AG183" s="211"/>
      <c r="AH183" s="211">
        <v>33409.4</v>
      </c>
      <c r="AI183" s="211"/>
      <c r="AJ183" s="3109"/>
      <c r="AK183" s="3109"/>
      <c r="AL183" s="3109"/>
      <c r="AM183" s="3109"/>
      <c r="AN183" s="3109"/>
      <c r="AO183" s="3109"/>
      <c r="AP183" s="3109"/>
      <c r="AQ183" s="3109"/>
      <c r="AR183" s="3109"/>
      <c r="AS183" s="211"/>
      <c r="AT183" s="3109"/>
      <c r="AU183" s="3109"/>
      <c r="AV183" s="3109"/>
      <c r="AW183" s="3109"/>
      <c r="AX183" s="3109"/>
      <c r="AY183" s="3109"/>
      <c r="AZ183" s="3109"/>
      <c r="BA183" s="3109"/>
      <c r="BB183" s="3109"/>
      <c r="BC183" s="196"/>
      <c r="BD183" s="1240"/>
      <c r="BE183" s="1240"/>
      <c r="BF183" s="1042" t="s">
        <v>1086</v>
      </c>
    </row>
    <row s="1656" customFormat="1" customHeight="1" ht="14.625">
      <c r="A184" s="1240"/>
      <c r="B184" s="1223"/>
      <c r="C184" s="1240"/>
      <c r="D184" s="1240"/>
      <c r="E184" s="633">
        <v>15</v>
      </c>
      <c r="F184" s="50" cm="1" t="str">
        <f t="array" ref="F184:F184">OFFSET(E184,-1,1)</f>
        <v>3</v>
      </c>
      <c r="G184" s="100" t="s">
        <v>1087</v>
      </c>
      <c r="H184" s="1240"/>
      <c r="I184" s="1240"/>
      <c r="J184" s="1240"/>
      <c r="K184" s="1240"/>
      <c r="L184" s="1240"/>
      <c r="M184" s="1240"/>
      <c r="N184" s="1240"/>
      <c r="O184" s="1240"/>
      <c r="P184" s="1240"/>
      <c r="Q184" s="1240"/>
      <c r="R184" s="1240"/>
      <c r="S184" s="1240"/>
      <c r="T184" s="468" cm="1" t="str">
        <f t="array" ref="T184:T184">T183</f>
        <v>true</v>
      </c>
      <c r="U184" s="1240"/>
      <c r="V184" s="1240"/>
      <c r="W184" s="1240"/>
      <c r="X184" s="1559"/>
      <c r="Y184" s="1240"/>
      <c r="Z184" s="1560"/>
      <c r="AA184" s="1240"/>
      <c r="AB184" s="84" t="s">
        <v>668</v>
      </c>
      <c r="AC184" s="210" t="s">
        <v>1074</v>
      </c>
      <c r="AD184" s="85" t="s">
        <v>936</v>
      </c>
      <c r="AE184" s="211">
        <v>0</v>
      </c>
      <c r="AF184" s="211"/>
      <c r="AG184" s="211"/>
      <c r="AH184" s="211">
        <v>0</v>
      </c>
      <c r="AI184" s="211"/>
      <c r="AJ184" s="3109"/>
      <c r="AK184" s="3109"/>
      <c r="AL184" s="3109"/>
      <c r="AM184" s="3109"/>
      <c r="AN184" s="3109"/>
      <c r="AO184" s="3109"/>
      <c r="AP184" s="3109"/>
      <c r="AQ184" s="3109"/>
      <c r="AR184" s="3109"/>
      <c r="AS184" s="211"/>
      <c r="AT184" s="3109"/>
      <c r="AU184" s="3109"/>
      <c r="AV184" s="3109"/>
      <c r="AW184" s="3109"/>
      <c r="AX184" s="3109"/>
      <c r="AY184" s="3109"/>
      <c r="AZ184" s="3109"/>
      <c r="BA184" s="3109"/>
      <c r="BB184" s="3109"/>
      <c r="BC184" s="196"/>
      <c r="BD184" s="1240"/>
      <c r="BE184" s="1240"/>
      <c r="BF184" s="1042" t="s">
        <v>1088</v>
      </c>
    </row>
    <row s="1656" customFormat="1" customHeight="1" ht="14.625">
      <c r="A185" s="1240"/>
      <c r="B185" s="1223"/>
      <c r="C185" s="1240"/>
      <c r="D185" s="1240"/>
      <c r="E185" s="633">
        <v>15</v>
      </c>
      <c r="F185" s="50" cm="1" t="str">
        <f t="array" ref="F185:F185">OFFSET(E185,-1,1)</f>
        <v>3</v>
      </c>
      <c r="G185" s="100" t="s">
        <v>1089</v>
      </c>
      <c r="H185" s="1240"/>
      <c r="I185" s="1240"/>
      <c r="J185" s="1240"/>
      <c r="K185" s="1240"/>
      <c r="L185" s="1240"/>
      <c r="M185" s="1240"/>
      <c r="N185" s="1240"/>
      <c r="O185" s="1240"/>
      <c r="P185" s="1240"/>
      <c r="Q185" s="1240"/>
      <c r="R185" s="1240"/>
      <c r="S185" s="1240"/>
      <c r="T185" s="468" cm="1" t="str">
        <f t="array" ref="T185:T185">T184</f>
        <v>true</v>
      </c>
      <c r="U185" s="1240"/>
      <c r="V185" s="1240"/>
      <c r="W185" s="1240"/>
      <c r="X185" s="1559"/>
      <c r="Y185" s="1240"/>
      <c r="Z185" s="1560"/>
      <c r="AA185" s="1240"/>
      <c r="AB185" s="84" t="s">
        <v>1090</v>
      </c>
      <c r="AC185" s="210" t="s">
        <v>1077</v>
      </c>
      <c r="AD185" s="85" t="s">
        <v>936</v>
      </c>
      <c r="AE185" s="211">
        <v>0</v>
      </c>
      <c r="AF185" s="211"/>
      <c r="AG185" s="211"/>
      <c r="AH185" s="211">
        <v>0</v>
      </c>
      <c r="AI185" s="211"/>
      <c r="AJ185" s="3109"/>
      <c r="AK185" s="3109"/>
      <c r="AL185" s="3109"/>
      <c r="AM185" s="3109"/>
      <c r="AN185" s="3109"/>
      <c r="AO185" s="3109"/>
      <c r="AP185" s="3109"/>
      <c r="AQ185" s="3109"/>
      <c r="AR185" s="3109"/>
      <c r="AS185" s="211"/>
      <c r="AT185" s="3109"/>
      <c r="AU185" s="3109"/>
      <c r="AV185" s="3109"/>
      <c r="AW185" s="3109"/>
      <c r="AX185" s="3109"/>
      <c r="AY185" s="3109"/>
      <c r="AZ185" s="3109"/>
      <c r="BA185" s="3109"/>
      <c r="BB185" s="3109"/>
      <c r="BC185" s="196"/>
      <c r="BD185" s="1240"/>
      <c r="BE185" s="1240"/>
      <c r="BF185" s="1042" t="s">
        <v>1091</v>
      </c>
    </row>
    <row s="1656" customFormat="1" customHeight="1" ht="30.421875">
      <c r="A186" s="1240"/>
      <c r="B186" s="1223"/>
      <c r="C186" s="1240"/>
      <c r="D186" s="1240"/>
      <c r="E186" s="633">
        <v>15</v>
      </c>
      <c r="F186" s="50" cm="1" t="str">
        <f t="array" ref="F186:F186">OFFSET(E186,-1,1)</f>
        <v>3</v>
      </c>
      <c r="G186" s="100" t="s">
        <v>1092</v>
      </c>
      <c r="H186" s="1240"/>
      <c r="I186" s="1240"/>
      <c r="J186" s="1240"/>
      <c r="K186" s="1240"/>
      <c r="L186" s="1240"/>
      <c r="M186" s="1240"/>
      <c r="N186" s="1240"/>
      <c r="O186" s="1240"/>
      <c r="P186" s="1240"/>
      <c r="Q186" s="1240"/>
      <c r="R186" s="1240"/>
      <c r="S186" s="1240"/>
      <c r="T186" s="468" cm="1" t="str">
        <f t="array" ref="T186:T186">T185</f>
        <v>true</v>
      </c>
      <c r="U186" s="1240"/>
      <c r="V186" s="1240"/>
      <c r="W186" s="1240"/>
      <c r="X186" s="1559"/>
      <c r="Y186" s="1240"/>
      <c r="Z186" s="1560"/>
      <c r="AA186" s="1240"/>
      <c r="AB186" s="84" t="s">
        <v>1093</v>
      </c>
      <c r="AC186" s="210" t="s">
        <v>1081</v>
      </c>
      <c r="AD186" s="85" t="s">
        <v>936</v>
      </c>
      <c r="AE186" s="211">
        <v>0</v>
      </c>
      <c r="AF186" s="211"/>
      <c r="AG186" s="211"/>
      <c r="AH186" s="211">
        <v>0</v>
      </c>
      <c r="AI186" s="211"/>
      <c r="AJ186" s="3109"/>
      <c r="AK186" s="3109"/>
      <c r="AL186" s="3109"/>
      <c r="AM186" s="3109"/>
      <c r="AN186" s="3109"/>
      <c r="AO186" s="3109"/>
      <c r="AP186" s="3109"/>
      <c r="AQ186" s="3109"/>
      <c r="AR186" s="3109"/>
      <c r="AS186" s="211">
        <v>45024.3</v>
      </c>
      <c r="AT186" s="3109"/>
      <c r="AU186" s="3109"/>
      <c r="AV186" s="3109"/>
      <c r="AW186" s="3109"/>
      <c r="AX186" s="3109"/>
      <c r="AY186" s="3109"/>
      <c r="AZ186" s="3109"/>
      <c r="BA186" s="3109"/>
      <c r="BB186" s="3109"/>
      <c r="BC186" s="196" t="s">
        <v>1182</v>
      </c>
      <c r="BD186" s="1240"/>
      <c r="BE186" s="1240"/>
      <c r="BF186" s="1042" t="s">
        <v>1094</v>
      </c>
    </row>
    <row s="528" customFormat="1" customHeight="1" ht="14.25">
      <c r="A187" s="528"/>
      <c r="B187" s="433"/>
      <c r="C187" s="528"/>
      <c r="D187" s="528"/>
      <c r="E187" s="633">
        <v>15</v>
      </c>
      <c r="F187" s="50" cm="1" t="str">
        <f t="array" ref="F187:F187">OFFSET(E187,-1,1)</f>
        <v>3</v>
      </c>
      <c r="G187" s="100" t="s">
        <v>346</v>
      </c>
      <c r="H187" s="528"/>
      <c r="I187" s="528"/>
      <c r="J187" s="528"/>
      <c r="K187" s="528"/>
      <c r="L187" s="528"/>
      <c r="M187" s="528"/>
      <c r="N187" s="528"/>
      <c r="O187" s="528"/>
      <c r="P187" s="528"/>
      <c r="Q187" s="528"/>
      <c r="R187" s="528"/>
      <c r="S187" s="528"/>
      <c r="T187" s="468" cm="1" t="str">
        <f t="array" ref="T187:T187">T186</f>
        <v>true</v>
      </c>
      <c r="U187" s="528"/>
      <c r="V187" s="528"/>
      <c r="W187" s="528"/>
      <c r="X187" s="1559"/>
      <c r="Y187" s="528"/>
      <c r="Z187" s="1560"/>
      <c r="AA187" s="528"/>
      <c r="AB187" s="207">
        <v>3</v>
      </c>
      <c r="AC187" s="208" t="s">
        <v>1095</v>
      </c>
      <c r="AD187" s="85" t="s">
        <v>936</v>
      </c>
      <c r="AE187" s="1217">
        <f>SUM(AE188:AE192)</f>
        <v>0</v>
      </c>
      <c r="AF187" s="1217">
        <f>SUM(AF188:AF192)</f>
        <v>0</v>
      </c>
      <c r="AG187" s="1217">
        <f>SUM(AG188:AG192)</f>
        <v>0</v>
      </c>
      <c r="AH187" s="1217">
        <f>SUM(AH188:AH192)</f>
        <v>0</v>
      </c>
      <c r="AI187" s="1217">
        <f>SUM(AI188:AI192)</f>
        <v>0</v>
      </c>
      <c r="AJ187" s="3107">
        <f>SUM(AJ188:AJ192)</f>
        <v>0</v>
      </c>
      <c r="AK187" s="3107">
        <f>SUM(AK188:AK192)</f>
        <v>0</v>
      </c>
      <c r="AL187" s="3107">
        <f>SUM(AL188:AL192)</f>
        <v>0</v>
      </c>
      <c r="AM187" s="3107">
        <f>SUM(AM188:AM192)</f>
        <v>0</v>
      </c>
      <c r="AN187" s="3107">
        <f>SUM(AN188:AN192)</f>
        <v>0</v>
      </c>
      <c r="AO187" s="3107">
        <f>SUM(AO188:AO192)</f>
        <v>0</v>
      </c>
      <c r="AP187" s="3107">
        <f>SUM(AP188:AP192)</f>
        <v>0</v>
      </c>
      <c r="AQ187" s="3107">
        <f>SUM(AQ188:AQ192)</f>
        <v>0</v>
      </c>
      <c r="AR187" s="3107">
        <f>SUM(AR188:AR192)</f>
        <v>0</v>
      </c>
      <c r="AS187" s="1217">
        <f>SUM(AS188:AS192)</f>
        <v>0</v>
      </c>
      <c r="AT187" s="3107">
        <f>SUM(AT188:AT192)</f>
        <v>0</v>
      </c>
      <c r="AU187" s="3107">
        <f>SUM(AU188:AU192)</f>
        <v>0</v>
      </c>
      <c r="AV187" s="3107">
        <f>SUM(AV188:AV192)</f>
        <v>0</v>
      </c>
      <c r="AW187" s="3107">
        <f>SUM(AW188:AW192)</f>
        <v>0</v>
      </c>
      <c r="AX187" s="3107">
        <f>SUM(AX188:AX192)</f>
        <v>0</v>
      </c>
      <c r="AY187" s="3107">
        <f>SUM(AY188:AY192)</f>
        <v>0</v>
      </c>
      <c r="AZ187" s="3107">
        <f>SUM(AZ188:AZ192)</f>
        <v>0</v>
      </c>
      <c r="BA187" s="3107">
        <f>SUM(BA188:BA192)</f>
        <v>0</v>
      </c>
      <c r="BB187" s="3107">
        <f>SUM(BB188:BB192)</f>
        <v>0</v>
      </c>
      <c r="BC187" s="196"/>
      <c r="BD187" s="528"/>
      <c r="BE187" s="528"/>
      <c r="BF187" s="1042" t="s">
        <v>1096</v>
      </c>
    </row>
    <row s="1656" customFormat="1" customHeight="1" ht="14.625">
      <c r="A188" s="1240"/>
      <c r="B188" s="1223"/>
      <c r="C188" s="1240"/>
      <c r="D188" s="1240"/>
      <c r="E188" s="633">
        <v>15</v>
      </c>
      <c r="F188" s="50" cm="1" t="str">
        <f t="array" ref="F188:F188">OFFSET(E188,-1,1)</f>
        <v>3</v>
      </c>
      <c r="G188" s="100" t="s">
        <v>1097</v>
      </c>
      <c r="H188" s="1240"/>
      <c r="I188" s="1240"/>
      <c r="J188" s="1240"/>
      <c r="K188" s="1240"/>
      <c r="L188" s="1240"/>
      <c r="M188" s="1240"/>
      <c r="N188" s="1240"/>
      <c r="O188" s="1240"/>
      <c r="P188" s="1240"/>
      <c r="Q188" s="1240"/>
      <c r="R188" s="1240"/>
      <c r="S188" s="1240"/>
      <c r="T188" s="468" cm="1" t="str">
        <f t="array" ref="T188:T188">T187</f>
        <v>true</v>
      </c>
      <c r="U188" s="1240"/>
      <c r="V188" s="1240"/>
      <c r="W188" s="1240"/>
      <c r="X188" s="1559"/>
      <c r="Y188" s="1240"/>
      <c r="Z188" s="1560"/>
      <c r="AA188" s="1240"/>
      <c r="AB188" s="84" t="s">
        <v>674</v>
      </c>
      <c r="AC188" s="210" t="s">
        <v>1068</v>
      </c>
      <c r="AD188" s="85" t="s">
        <v>936</v>
      </c>
      <c r="AE188" s="211">
        <v>0</v>
      </c>
      <c r="AF188" s="211"/>
      <c r="AG188" s="211"/>
      <c r="AH188" s="211">
        <v>0</v>
      </c>
      <c r="AI188" s="211"/>
      <c r="AJ188" s="3109"/>
      <c r="AK188" s="3109"/>
      <c r="AL188" s="3109"/>
      <c r="AM188" s="3109"/>
      <c r="AN188" s="3109"/>
      <c r="AO188" s="3109"/>
      <c r="AP188" s="3109"/>
      <c r="AQ188" s="3109"/>
      <c r="AR188" s="3109"/>
      <c r="AS188" s="211"/>
      <c r="AT188" s="3109"/>
      <c r="AU188" s="3109"/>
      <c r="AV188" s="3109"/>
      <c r="AW188" s="3109"/>
      <c r="AX188" s="3109"/>
      <c r="AY188" s="3109"/>
      <c r="AZ188" s="3109"/>
      <c r="BA188" s="3109"/>
      <c r="BB188" s="3109"/>
      <c r="BC188" s="196"/>
      <c r="BD188" s="1240"/>
      <c r="BE188" s="1240"/>
      <c r="BF188" s="1042" t="s">
        <v>1098</v>
      </c>
    </row>
    <row s="1656" customFormat="1" customHeight="1" ht="14.625">
      <c r="A189" s="1240"/>
      <c r="B189" s="1223"/>
      <c r="C189" s="1240"/>
      <c r="D189" s="1240"/>
      <c r="E189" s="633">
        <v>15</v>
      </c>
      <c r="F189" s="50" cm="1" t="str">
        <f t="array" ref="F189:F189">OFFSET(E189,-1,1)</f>
        <v>3</v>
      </c>
      <c r="G189" s="100" t="s">
        <v>1099</v>
      </c>
      <c r="H189" s="1240"/>
      <c r="I189" s="1240"/>
      <c r="J189" s="1240"/>
      <c r="K189" s="1240"/>
      <c r="L189" s="1240"/>
      <c r="M189" s="1240"/>
      <c r="N189" s="1240"/>
      <c r="O189" s="1240"/>
      <c r="P189" s="1240"/>
      <c r="Q189" s="1240"/>
      <c r="R189" s="1240"/>
      <c r="S189" s="1240"/>
      <c r="T189" s="468" cm="1" t="str">
        <f t="array" ref="T189:T189">T188</f>
        <v>true</v>
      </c>
      <c r="U189" s="1240"/>
      <c r="V189" s="1240"/>
      <c r="W189" s="1240"/>
      <c r="X189" s="1559"/>
      <c r="Y189" s="1240"/>
      <c r="Z189" s="1560"/>
      <c r="AA189" s="1240"/>
      <c r="AB189" s="84" t="s">
        <v>678</v>
      </c>
      <c r="AC189" s="210" t="s">
        <v>1071</v>
      </c>
      <c r="AD189" s="85" t="s">
        <v>936</v>
      </c>
      <c r="AE189" s="211">
        <v>0</v>
      </c>
      <c r="AF189" s="211"/>
      <c r="AG189" s="211"/>
      <c r="AH189" s="211">
        <v>0</v>
      </c>
      <c r="AI189" s="211"/>
      <c r="AJ189" s="3109"/>
      <c r="AK189" s="3109"/>
      <c r="AL189" s="3109"/>
      <c r="AM189" s="3109"/>
      <c r="AN189" s="3109"/>
      <c r="AO189" s="3109"/>
      <c r="AP189" s="3109"/>
      <c r="AQ189" s="3109"/>
      <c r="AR189" s="3109"/>
      <c r="AS189" s="211"/>
      <c r="AT189" s="3109"/>
      <c r="AU189" s="3109"/>
      <c r="AV189" s="3109"/>
      <c r="AW189" s="3109"/>
      <c r="AX189" s="3109"/>
      <c r="AY189" s="3109"/>
      <c r="AZ189" s="3109"/>
      <c r="BA189" s="3109"/>
      <c r="BB189" s="3109"/>
      <c r="BC189" s="196"/>
      <c r="BD189" s="1240"/>
      <c r="BE189" s="1240"/>
      <c r="BF189" s="1042" t="s">
        <v>1100</v>
      </c>
    </row>
    <row s="1656" customFormat="1" customHeight="1" ht="14.625">
      <c r="A190" s="1240"/>
      <c r="B190" s="1223"/>
      <c r="C190" s="1240"/>
      <c r="D190" s="1240"/>
      <c r="E190" s="633">
        <v>15</v>
      </c>
      <c r="F190" s="50" cm="1" t="str">
        <f t="array" ref="F190:F190">OFFSET(E190,-1,1)</f>
        <v>3</v>
      </c>
      <c r="G190" s="100" t="s">
        <v>1101</v>
      </c>
      <c r="H190" s="1240"/>
      <c r="I190" s="1240"/>
      <c r="J190" s="1240"/>
      <c r="K190" s="1240"/>
      <c r="L190" s="1240"/>
      <c r="M190" s="1240"/>
      <c r="N190" s="1240"/>
      <c r="O190" s="1240"/>
      <c r="P190" s="1240"/>
      <c r="Q190" s="1240"/>
      <c r="R190" s="1240"/>
      <c r="S190" s="1240"/>
      <c r="T190" s="468" cm="1" t="str">
        <f t="array" ref="T190:T190">T189</f>
        <v>true</v>
      </c>
      <c r="U190" s="1240"/>
      <c r="V190" s="1240"/>
      <c r="W190" s="1240"/>
      <c r="X190" s="1559"/>
      <c r="Y190" s="1240"/>
      <c r="Z190" s="1560"/>
      <c r="AA190" s="1240"/>
      <c r="AB190" s="84" t="s">
        <v>890</v>
      </c>
      <c r="AC190" s="210" t="s">
        <v>1074</v>
      </c>
      <c r="AD190" s="85" t="s">
        <v>936</v>
      </c>
      <c r="AE190" s="211">
        <v>0</v>
      </c>
      <c r="AF190" s="211"/>
      <c r="AG190" s="211"/>
      <c r="AH190" s="211">
        <v>0</v>
      </c>
      <c r="AI190" s="211"/>
      <c r="AJ190" s="3109"/>
      <c r="AK190" s="3109"/>
      <c r="AL190" s="3109"/>
      <c r="AM190" s="3109"/>
      <c r="AN190" s="3109"/>
      <c r="AO190" s="3109"/>
      <c r="AP190" s="3109"/>
      <c r="AQ190" s="3109"/>
      <c r="AR190" s="3109"/>
      <c r="AS190" s="211"/>
      <c r="AT190" s="3109"/>
      <c r="AU190" s="3109"/>
      <c r="AV190" s="3109"/>
      <c r="AW190" s="3109"/>
      <c r="AX190" s="3109"/>
      <c r="AY190" s="3109"/>
      <c r="AZ190" s="3109"/>
      <c r="BA190" s="3109"/>
      <c r="BB190" s="3109"/>
      <c r="BC190" s="196"/>
      <c r="BD190" s="1240"/>
      <c r="BE190" s="1240"/>
      <c r="BF190" s="1042" t="s">
        <v>1102</v>
      </c>
    </row>
    <row s="1656" customFormat="1" customHeight="1" ht="14.625">
      <c r="A191" s="1240"/>
      <c r="B191" s="1223"/>
      <c r="C191" s="1240"/>
      <c r="D191" s="1240"/>
      <c r="E191" s="633">
        <v>15</v>
      </c>
      <c r="F191" s="50" cm="1" t="str">
        <f t="array" ref="F191:F191">OFFSET(E191,-1,1)</f>
        <v>3</v>
      </c>
      <c r="G191" s="100" t="s">
        <v>1103</v>
      </c>
      <c r="H191" s="1240"/>
      <c r="I191" s="1240"/>
      <c r="J191" s="1240"/>
      <c r="K191" s="1240"/>
      <c r="L191" s="1240"/>
      <c r="M191" s="1240"/>
      <c r="N191" s="1240"/>
      <c r="O191" s="1240"/>
      <c r="P191" s="1240"/>
      <c r="Q191" s="1240"/>
      <c r="R191" s="1240"/>
      <c r="S191" s="1240"/>
      <c r="T191" s="468" cm="1" t="str">
        <f t="array" ref="T191:T191">T190</f>
        <v>true</v>
      </c>
      <c r="U191" s="1240"/>
      <c r="V191" s="1240"/>
      <c r="W191" s="1240"/>
      <c r="X191" s="1559"/>
      <c r="Y191" s="1240"/>
      <c r="Z191" s="1560"/>
      <c r="AA191" s="1240"/>
      <c r="AB191" s="84" t="s">
        <v>1104</v>
      </c>
      <c r="AC191" s="210" t="s">
        <v>1077</v>
      </c>
      <c r="AD191" s="85" t="s">
        <v>936</v>
      </c>
      <c r="AE191" s="211">
        <v>0</v>
      </c>
      <c r="AF191" s="211"/>
      <c r="AG191" s="211"/>
      <c r="AH191" s="211">
        <v>0</v>
      </c>
      <c r="AI191" s="211"/>
      <c r="AJ191" s="3109"/>
      <c r="AK191" s="3109"/>
      <c r="AL191" s="3109"/>
      <c r="AM191" s="3109"/>
      <c r="AN191" s="3109"/>
      <c r="AO191" s="3109"/>
      <c r="AP191" s="3109"/>
      <c r="AQ191" s="3109"/>
      <c r="AR191" s="3109"/>
      <c r="AS191" s="211"/>
      <c r="AT191" s="3109"/>
      <c r="AU191" s="3109"/>
      <c r="AV191" s="3109"/>
      <c r="AW191" s="3109"/>
      <c r="AX191" s="3109"/>
      <c r="AY191" s="3109"/>
      <c r="AZ191" s="3109"/>
      <c r="BA191" s="3109"/>
      <c r="BB191" s="3109"/>
      <c r="BC191" s="196"/>
      <c r="BD191" s="1240"/>
      <c r="BE191" s="1240"/>
      <c r="BF191" s="1042" t="s">
        <v>1105</v>
      </c>
    </row>
    <row s="1656" customFormat="1" customHeight="1" ht="27.421875">
      <c r="A192" s="1240"/>
      <c r="B192" s="1223"/>
      <c r="C192" s="1240"/>
      <c r="D192" s="1240"/>
      <c r="E192" s="633">
        <v>15</v>
      </c>
      <c r="F192" s="50" cm="1" t="str">
        <f t="array" ref="F192:F192">OFFSET(E192,-1,1)</f>
        <v>3</v>
      </c>
      <c r="G192" s="100" t="s">
        <v>1106</v>
      </c>
      <c r="H192" s="1240"/>
      <c r="I192" s="1240"/>
      <c r="J192" s="1240"/>
      <c r="K192" s="1240"/>
      <c r="L192" s="1240"/>
      <c r="M192" s="1240"/>
      <c r="N192" s="1240"/>
      <c r="O192" s="1240"/>
      <c r="P192" s="1240"/>
      <c r="Q192" s="1240"/>
      <c r="R192" s="1240"/>
      <c r="S192" s="1240"/>
      <c r="T192" s="468" cm="1" t="str">
        <f t="array" ref="T192:T192">T191</f>
        <v>true</v>
      </c>
      <c r="U192" s="1240"/>
      <c r="V192" s="1240"/>
      <c r="W192" s="1240"/>
      <c r="X192" s="1559"/>
      <c r="Y192" s="1240"/>
      <c r="Z192" s="1560"/>
      <c r="AA192" s="1240"/>
      <c r="AB192" s="84" t="s">
        <v>1107</v>
      </c>
      <c r="AC192" s="210" t="s">
        <v>1081</v>
      </c>
      <c r="AD192" s="85" t="s">
        <v>936</v>
      </c>
      <c r="AE192" s="211">
        <v>0</v>
      </c>
      <c r="AF192" s="211"/>
      <c r="AG192" s="211"/>
      <c r="AH192" s="211">
        <v>0</v>
      </c>
      <c r="AI192" s="211"/>
      <c r="AJ192" s="3109"/>
      <c r="AK192" s="3109"/>
      <c r="AL192" s="3109"/>
      <c r="AM192" s="3109"/>
      <c r="AN192" s="3109"/>
      <c r="AO192" s="3109"/>
      <c r="AP192" s="3109"/>
      <c r="AQ192" s="3109"/>
      <c r="AR192" s="3109"/>
      <c r="AS192" s="211"/>
      <c r="AT192" s="3109"/>
      <c r="AU192" s="3109"/>
      <c r="AV192" s="3109"/>
      <c r="AW192" s="3109"/>
      <c r="AX192" s="3109"/>
      <c r="AY192" s="3109"/>
      <c r="AZ192" s="3109"/>
      <c r="BA192" s="3109"/>
      <c r="BB192" s="3109"/>
      <c r="BC192" s="196"/>
      <c r="BD192" s="1240"/>
      <c r="BE192" s="1240"/>
      <c r="BF192" s="1042" t="s">
        <v>1108</v>
      </c>
    </row>
    <row s="528" customFormat="1" customHeight="1" ht="23.25">
      <c r="A193" s="528"/>
      <c r="B193" s="433"/>
      <c r="C193" s="528"/>
      <c r="D193" s="528"/>
      <c r="E193" s="675">
        <v>22.5</v>
      </c>
      <c r="F193" s="50" cm="1" t="str">
        <f t="array" ref="F193:F193">OFFSET(E193,-1,1)</f>
        <v>3</v>
      </c>
      <c r="G193" s="100" t="s">
        <v>348</v>
      </c>
      <c r="H193" s="528"/>
      <c r="I193" s="528"/>
      <c r="J193" s="528"/>
      <c r="K193" s="528"/>
      <c r="L193" s="528"/>
      <c r="M193" s="528"/>
      <c r="N193" s="528"/>
      <c r="O193" s="528"/>
      <c r="P193" s="528"/>
      <c r="Q193" s="528"/>
      <c r="R193" s="528"/>
      <c r="S193" s="528"/>
      <c r="T193" s="468" cm="1" t="str">
        <f t="array" ref="T193:T193">T192</f>
        <v>true</v>
      </c>
      <c r="U193" s="528"/>
      <c r="V193" s="528"/>
      <c r="W193" s="528"/>
      <c r="X193" s="1559"/>
      <c r="Y193" s="528"/>
      <c r="Z193" s="1560"/>
      <c r="AA193" s="528"/>
      <c r="AB193" s="207">
        <v>4</v>
      </c>
      <c r="AC193" s="208" t="s">
        <v>1109</v>
      </c>
      <c r="AD193" s="85" t="s">
        <v>936</v>
      </c>
      <c r="AE193" s="1217">
        <v>56718.31917</v>
      </c>
      <c r="AF193" s="1217">
        <f>SUM(AF194:AF198)</f>
        <v>17031.64712</v>
      </c>
      <c r="AG193" s="1217">
        <f>SUM(AG194:AG198)</f>
        <v>17031.64712</v>
      </c>
      <c r="AH193" s="1217">
        <v>74445.24616</v>
      </c>
      <c r="AI193" s="1217">
        <f>SUM(AI194:AI198)</f>
        <v>0</v>
      </c>
      <c r="AJ193" s="3107">
        <f>SUM(AJ194:AJ198)</f>
        <v>0</v>
      </c>
      <c r="AK193" s="3107">
        <f>SUM(AK194:AK198)</f>
        <v>0</v>
      </c>
      <c r="AL193" s="3107">
        <f>SUM(AL194:AL198)</f>
        <v>0</v>
      </c>
      <c r="AM193" s="3107">
        <f>SUM(AM194:AM198)</f>
        <v>0</v>
      </c>
      <c r="AN193" s="3107">
        <f>SUM(AN194:AN198)</f>
        <v>0</v>
      </c>
      <c r="AO193" s="3107">
        <f>SUM(AO194:AO198)</f>
        <v>0</v>
      </c>
      <c r="AP193" s="3107">
        <f>SUM(AP194:AP198)</f>
        <v>0</v>
      </c>
      <c r="AQ193" s="3107">
        <f>SUM(AQ194:AQ198)</f>
        <v>0</v>
      </c>
      <c r="AR193" s="3107">
        <f>SUM(AR194:AR198)</f>
        <v>0</v>
      </c>
      <c r="AS193" s="1217">
        <f>SUM(AS194:AS198)</f>
        <v>136358.82013</v>
      </c>
      <c r="AT193" s="3107">
        <f>SUM(AT194:AT198)</f>
        <v>0</v>
      </c>
      <c r="AU193" s="3107">
        <f>SUM(AU194:AU198)</f>
        <v>0</v>
      </c>
      <c r="AV193" s="3107">
        <f>SUM(AV194:AV198)</f>
        <v>0</v>
      </c>
      <c r="AW193" s="3107">
        <f>SUM(AW194:AW198)</f>
        <v>0</v>
      </c>
      <c r="AX193" s="3107">
        <f>SUM(AX194:AX198)</f>
        <v>0</v>
      </c>
      <c r="AY193" s="3107">
        <f>SUM(AY194:AY198)</f>
        <v>0</v>
      </c>
      <c r="AZ193" s="3107">
        <f>SUM(AZ194:AZ198)</f>
        <v>0</v>
      </c>
      <c r="BA193" s="3107">
        <f>SUM(BA194:BA198)</f>
        <v>0</v>
      </c>
      <c r="BB193" s="3107">
        <f>SUM(BB194:BB198)</f>
        <v>0</v>
      </c>
      <c r="BC193" s="196"/>
      <c r="BD193" s="528"/>
      <c r="BE193" s="528"/>
      <c r="BF193" s="1042" t="s">
        <v>1110</v>
      </c>
    </row>
    <row s="1656" customFormat="1" customHeight="1" ht="14.25">
      <c r="A194" s="1240"/>
      <c r="B194" s="1223"/>
      <c r="C194" s="1240"/>
      <c r="D194" s="1240"/>
      <c r="E194" s="633">
        <v>15</v>
      </c>
      <c r="F194" s="50" cm="1" t="str">
        <f t="array" ref="F194:F194">OFFSET(E194,-1,1)</f>
        <v>3</v>
      </c>
      <c r="G194" s="100" t="s">
        <v>659</v>
      </c>
      <c r="H194" s="1240"/>
      <c r="I194" s="1240"/>
      <c r="J194" s="1240"/>
      <c r="K194" s="1240"/>
      <c r="L194" s="1240"/>
      <c r="M194" s="1240"/>
      <c r="N194" s="1240"/>
      <c r="O194" s="1240"/>
      <c r="P194" s="1240"/>
      <c r="Q194" s="1240"/>
      <c r="R194" s="1240"/>
      <c r="S194" s="1240"/>
      <c r="T194" s="468" cm="1" t="str">
        <f t="array" ref="T194:T194">T193</f>
        <v>true</v>
      </c>
      <c r="U194" s="1240"/>
      <c r="V194" s="1240"/>
      <c r="W194" s="1240"/>
      <c r="X194" s="1559"/>
      <c r="Y194" s="1240"/>
      <c r="Z194" s="1560"/>
      <c r="AA194" s="1240"/>
      <c r="AB194" s="84" t="s">
        <v>794</v>
      </c>
      <c r="AC194" s="210" t="s">
        <v>1068</v>
      </c>
      <c r="AD194" s="85" t="s">
        <v>936</v>
      </c>
      <c r="AE194" s="211">
        <f>AE176+AE182-AE188</f>
        <v>0</v>
      </c>
      <c r="AF194" s="211">
        <f>AF176+AF182-AF188</f>
        <v>0</v>
      </c>
      <c r="AG194" s="211">
        <f>AG176+AG182-AG188</f>
        <v>0</v>
      </c>
      <c r="AH194" s="211">
        <f>AH176+AH182-AH188</f>
        <v>0</v>
      </c>
      <c r="AI194" s="211">
        <f>AI176+AI182-AI188</f>
        <v>0</v>
      </c>
      <c r="AJ194" s="3109">
        <f>AJ176+AJ182-AJ188</f>
        <v>0</v>
      </c>
      <c r="AK194" s="3109">
        <f>AK176+AK182-AK188</f>
        <v>0</v>
      </c>
      <c r="AL194" s="3109">
        <f>AL176+AL182-AL188</f>
        <v>0</v>
      </c>
      <c r="AM194" s="3109">
        <f>AM176+AM182-AM188</f>
        <v>0</v>
      </c>
      <c r="AN194" s="3109">
        <f>AN176+AN182-AN188</f>
        <v>0</v>
      </c>
      <c r="AO194" s="3109">
        <f>AO176+AO182-AO188</f>
        <v>0</v>
      </c>
      <c r="AP194" s="3109">
        <f>AP176+AP182-AP188</f>
        <v>0</v>
      </c>
      <c r="AQ194" s="3109">
        <f>AQ176+AQ182-AQ188</f>
        <v>0</v>
      </c>
      <c r="AR194" s="3109">
        <f>AR176+AR182-AR188</f>
        <v>0</v>
      </c>
      <c r="AS194" s="211">
        <f>AS176+AS182-AS188</f>
        <v>0</v>
      </c>
      <c r="AT194" s="3109">
        <f>AT176+AT182-AT188</f>
        <v>0</v>
      </c>
      <c r="AU194" s="3109">
        <f>AU176+AU182-AU188</f>
        <v>0</v>
      </c>
      <c r="AV194" s="3109">
        <f>AV176+AV182-AV188</f>
        <v>0</v>
      </c>
      <c r="AW194" s="3109">
        <f>AW176+AW182-AW188</f>
        <v>0</v>
      </c>
      <c r="AX194" s="3109">
        <f>AX176+AX182-AX188</f>
        <v>0</v>
      </c>
      <c r="AY194" s="3109">
        <f>AY176+AY182-AY188</f>
        <v>0</v>
      </c>
      <c r="AZ194" s="3109">
        <f>AZ176+AZ182-AZ188</f>
        <v>0</v>
      </c>
      <c r="BA194" s="3109">
        <f>BA176+BA182-BA188</f>
        <v>0</v>
      </c>
      <c r="BB194" s="3109">
        <f>BB176+BB182-BB188</f>
        <v>0</v>
      </c>
      <c r="BC194" s="196"/>
      <c r="BD194" s="1240"/>
      <c r="BE194" s="1240"/>
      <c r="BF194" s="1042" t="s">
        <v>1111</v>
      </c>
    </row>
    <row s="1656" customFormat="1" customHeight="1" ht="14.625">
      <c r="A195" s="1240"/>
      <c r="B195" s="1223"/>
      <c r="C195" s="1240"/>
      <c r="D195" s="1240"/>
      <c r="E195" s="633">
        <v>15</v>
      </c>
      <c r="F195" s="50" cm="1" t="str">
        <f t="array" ref="F195:F195">OFFSET(E195,-1,1)</f>
        <v>3</v>
      </c>
      <c r="G195" s="100" t="s">
        <v>663</v>
      </c>
      <c r="H195" s="1240"/>
      <c r="I195" s="1240"/>
      <c r="J195" s="1240"/>
      <c r="K195" s="1240"/>
      <c r="L195" s="1240"/>
      <c r="M195" s="1240"/>
      <c r="N195" s="1240"/>
      <c r="O195" s="1240"/>
      <c r="P195" s="1240"/>
      <c r="Q195" s="1240"/>
      <c r="R195" s="1240"/>
      <c r="S195" s="1240"/>
      <c r="T195" s="468" cm="1" t="str">
        <f t="array" ref="T195:T195">T194</f>
        <v>true</v>
      </c>
      <c r="U195" s="1240"/>
      <c r="V195" s="1240"/>
      <c r="W195" s="1240"/>
      <c r="X195" s="1559"/>
      <c r="Y195" s="1240"/>
      <c r="Z195" s="1560"/>
      <c r="AA195" s="1240"/>
      <c r="AB195" s="84" t="s">
        <v>797</v>
      </c>
      <c r="AC195" s="210" t="s">
        <v>1071</v>
      </c>
      <c r="AD195" s="85" t="s">
        <v>936</v>
      </c>
      <c r="AE195" s="211">
        <v>56641.5</v>
      </c>
      <c r="AF195" s="211">
        <f>AF177+AF183-AF189</f>
        <v>17031.64712</v>
      </c>
      <c r="AG195" s="211">
        <f>AG177+AG183-AG189</f>
        <v>1283.62013</v>
      </c>
      <c r="AH195" s="211">
        <v>74445.24616</v>
      </c>
      <c r="AI195" s="211">
        <f>AI177+AI183-AI189</f>
        <v>0</v>
      </c>
      <c r="AJ195" s="3109">
        <f>AJ177+AJ183-AJ189</f>
        <v>0</v>
      </c>
      <c r="AK195" s="3109">
        <f>AK177+AK183-AK189</f>
        <v>0</v>
      </c>
      <c r="AL195" s="3109">
        <f>AL177+AL183-AL189</f>
        <v>0</v>
      </c>
      <c r="AM195" s="3109">
        <f>AM177+AM183-AM189</f>
        <v>0</v>
      </c>
      <c r="AN195" s="3109">
        <f>AN177+AN183-AN189</f>
        <v>0</v>
      </c>
      <c r="AO195" s="3109">
        <f>AO177+AO183-AO189</f>
        <v>0</v>
      </c>
      <c r="AP195" s="3109">
        <f>AP177+AP183-AP189</f>
        <v>0</v>
      </c>
      <c r="AQ195" s="3109">
        <f>AQ177+AQ183-AQ189</f>
        <v>0</v>
      </c>
      <c r="AR195" s="3109">
        <f>AR177+AR183-AR189</f>
        <v>0</v>
      </c>
      <c r="AS195" s="211">
        <f>AS177+AS183-AS189</f>
        <v>1283.62013</v>
      </c>
      <c r="AT195" s="3109">
        <f>AT177+AT183-AT189</f>
        <v>0</v>
      </c>
      <c r="AU195" s="3109">
        <f>AU177+AU183-AU189</f>
        <v>0</v>
      </c>
      <c r="AV195" s="3109">
        <f>AV177+AV183-AV189</f>
        <v>0</v>
      </c>
      <c r="AW195" s="3109">
        <f>AW177+AW183-AW189</f>
        <v>0</v>
      </c>
      <c r="AX195" s="3109">
        <f>AX177+AX183-AX189</f>
        <v>0</v>
      </c>
      <c r="AY195" s="3109">
        <f>AY177+AY183-AY189</f>
        <v>0</v>
      </c>
      <c r="AZ195" s="3109">
        <f>AZ177+AZ183-AZ189</f>
        <v>0</v>
      </c>
      <c r="BA195" s="3109">
        <f>BA177+BA183-BA189</f>
        <v>0</v>
      </c>
      <c r="BB195" s="3109">
        <f>BB177+BB183-BB189</f>
        <v>0</v>
      </c>
      <c r="BC195" s="196"/>
      <c r="BD195" s="1240"/>
      <c r="BE195" s="1240"/>
      <c r="BF195" s="1042" t="s">
        <v>1112</v>
      </c>
    </row>
    <row s="1656" customFormat="1" customHeight="1" ht="14.25">
      <c r="A196" s="1240"/>
      <c r="B196" s="1223"/>
      <c r="C196" s="1240"/>
      <c r="D196" s="1240"/>
      <c r="E196" s="633">
        <v>15</v>
      </c>
      <c r="F196" s="50" cm="1" t="str">
        <f t="array" ref="F196:F196">OFFSET(E196,-1,1)</f>
        <v>3</v>
      </c>
      <c r="G196" s="100" t="s">
        <v>667</v>
      </c>
      <c r="H196" s="1240"/>
      <c r="I196" s="1240"/>
      <c r="J196" s="1240"/>
      <c r="K196" s="1240"/>
      <c r="L196" s="1240"/>
      <c r="M196" s="1240"/>
      <c r="N196" s="1240"/>
      <c r="O196" s="1240"/>
      <c r="P196" s="1240"/>
      <c r="Q196" s="1240"/>
      <c r="R196" s="1240"/>
      <c r="S196" s="1240"/>
      <c r="T196" s="468" cm="1" t="str">
        <f t="array" ref="T196:T196">T195</f>
        <v>true</v>
      </c>
      <c r="U196" s="1240"/>
      <c r="V196" s="1240"/>
      <c r="W196" s="1240"/>
      <c r="X196" s="1559"/>
      <c r="Y196" s="1240"/>
      <c r="Z196" s="1560"/>
      <c r="AA196" s="1240"/>
      <c r="AB196" s="84" t="s">
        <v>831</v>
      </c>
      <c r="AC196" s="210" t="s">
        <v>1074</v>
      </c>
      <c r="AD196" s="85" t="s">
        <v>936</v>
      </c>
      <c r="AE196" s="211">
        <f>AE178+AE184-AE190</f>
        <v>0</v>
      </c>
      <c r="AF196" s="211">
        <f>AF178+AF184-AF190</f>
        <v>0</v>
      </c>
      <c r="AG196" s="211">
        <f>AG178+AG184-AG190</f>
        <v>0</v>
      </c>
      <c r="AH196" s="211">
        <f>AH178+AH184-AH190</f>
        <v>0</v>
      </c>
      <c r="AI196" s="211">
        <f>AI178+AI184-AI190</f>
        <v>0</v>
      </c>
      <c r="AJ196" s="3109">
        <f>AJ178+AJ184-AJ190</f>
        <v>0</v>
      </c>
      <c r="AK196" s="3109">
        <f>AK178+AK184-AK190</f>
        <v>0</v>
      </c>
      <c r="AL196" s="3109">
        <f>AL178+AL184-AL190</f>
        <v>0</v>
      </c>
      <c r="AM196" s="3109">
        <f>AM178+AM184-AM190</f>
        <v>0</v>
      </c>
      <c r="AN196" s="3109">
        <f>AN178+AN184-AN190</f>
        <v>0</v>
      </c>
      <c r="AO196" s="3109">
        <f>AO178+AO184-AO190</f>
        <v>0</v>
      </c>
      <c r="AP196" s="3109">
        <f>AP178+AP184-AP190</f>
        <v>0</v>
      </c>
      <c r="AQ196" s="3109">
        <f>AQ178+AQ184-AQ190</f>
        <v>0</v>
      </c>
      <c r="AR196" s="3109">
        <f>AR178+AR184-AR190</f>
        <v>0</v>
      </c>
      <c r="AS196" s="211">
        <f>AS178+AS184-AS190</f>
        <v>0</v>
      </c>
      <c r="AT196" s="3109">
        <f>AT178+AT184-AT190</f>
        <v>0</v>
      </c>
      <c r="AU196" s="3109">
        <f>AU178+AU184-AU190</f>
        <v>0</v>
      </c>
      <c r="AV196" s="3109">
        <f>AV178+AV184-AV190</f>
        <v>0</v>
      </c>
      <c r="AW196" s="3109">
        <f>AW178+AW184-AW190</f>
        <v>0</v>
      </c>
      <c r="AX196" s="3109">
        <f>AX178+AX184-AX190</f>
        <v>0</v>
      </c>
      <c r="AY196" s="3109">
        <f>AY178+AY184-AY190</f>
        <v>0</v>
      </c>
      <c r="AZ196" s="3109">
        <f>AZ178+AZ184-AZ190</f>
        <v>0</v>
      </c>
      <c r="BA196" s="3109">
        <f>BA178+BA184-BA190</f>
        <v>0</v>
      </c>
      <c r="BB196" s="3109">
        <f>BB178+BB184-BB190</f>
        <v>0</v>
      </c>
      <c r="BC196" s="196"/>
      <c r="BD196" s="1240"/>
      <c r="BE196" s="1240"/>
      <c r="BF196" s="1042" t="s">
        <v>1113</v>
      </c>
    </row>
    <row s="1656" customFormat="1" customHeight="1" ht="14.25">
      <c r="A197" s="1240"/>
      <c r="B197" s="1223"/>
      <c r="C197" s="1240"/>
      <c r="D197" s="1240"/>
      <c r="E197" s="633">
        <v>15</v>
      </c>
      <c r="F197" s="50" cm="1" t="str">
        <f t="array" ref="F197:F197">OFFSET(E197,-1,1)</f>
        <v>3</v>
      </c>
      <c r="G197" s="100" t="s">
        <v>1114</v>
      </c>
      <c r="H197" s="1240"/>
      <c r="I197" s="1240"/>
      <c r="J197" s="1240"/>
      <c r="K197" s="1240"/>
      <c r="L197" s="1240"/>
      <c r="M197" s="1240"/>
      <c r="N197" s="1240"/>
      <c r="O197" s="1240"/>
      <c r="P197" s="1240"/>
      <c r="Q197" s="1240"/>
      <c r="R197" s="1240"/>
      <c r="S197" s="1240"/>
      <c r="T197" s="468" cm="1" t="str">
        <f t="array" ref="T197:T197">T196</f>
        <v>true</v>
      </c>
      <c r="U197" s="1240"/>
      <c r="V197" s="1240"/>
      <c r="W197" s="1240"/>
      <c r="X197" s="1559"/>
      <c r="Y197" s="1240"/>
      <c r="Z197" s="1560"/>
      <c r="AA197" s="1240"/>
      <c r="AB197" s="84" t="s">
        <v>840</v>
      </c>
      <c r="AC197" s="210" t="s">
        <v>1077</v>
      </c>
      <c r="AD197" s="85" t="s">
        <v>936</v>
      </c>
      <c r="AE197" s="211">
        <f>AE179+AE185-AE191</f>
        <v>0</v>
      </c>
      <c r="AF197" s="211">
        <f>AF179+AF185-AF191</f>
        <v>0</v>
      </c>
      <c r="AG197" s="211">
        <f>AG179+AG185-AG191</f>
        <v>0</v>
      </c>
      <c r="AH197" s="211">
        <f>AH179+AH185-AH191</f>
        <v>0</v>
      </c>
      <c r="AI197" s="211">
        <f>AI179+AI185-AI191</f>
        <v>0</v>
      </c>
      <c r="AJ197" s="3109">
        <f>AJ179+AJ185-AJ191</f>
        <v>0</v>
      </c>
      <c r="AK197" s="3109">
        <f>AK179+AK185-AK191</f>
        <v>0</v>
      </c>
      <c r="AL197" s="3109">
        <f>AL179+AL185-AL191</f>
        <v>0</v>
      </c>
      <c r="AM197" s="3109">
        <f>AM179+AM185-AM191</f>
        <v>0</v>
      </c>
      <c r="AN197" s="3109">
        <f>AN179+AN185-AN191</f>
        <v>0</v>
      </c>
      <c r="AO197" s="3109">
        <f>AO179+AO185-AO191</f>
        <v>0</v>
      </c>
      <c r="AP197" s="3109">
        <f>AP179+AP185-AP191</f>
        <v>0</v>
      </c>
      <c r="AQ197" s="3109">
        <f>AQ179+AQ185-AQ191</f>
        <v>0</v>
      </c>
      <c r="AR197" s="3109">
        <f>AR179+AR185-AR191</f>
        <v>0</v>
      </c>
      <c r="AS197" s="211">
        <f>AS179+AS185-AS191</f>
        <v>0</v>
      </c>
      <c r="AT197" s="3109">
        <f>AT179+AT185-AT191</f>
        <v>0</v>
      </c>
      <c r="AU197" s="3109">
        <f>AU179+AU185-AU191</f>
        <v>0</v>
      </c>
      <c r="AV197" s="3109">
        <f>AV179+AV185-AV191</f>
        <v>0</v>
      </c>
      <c r="AW197" s="3109">
        <f>AW179+AW185-AW191</f>
        <v>0</v>
      </c>
      <c r="AX197" s="3109">
        <f>AX179+AX185-AX191</f>
        <v>0</v>
      </c>
      <c r="AY197" s="3109">
        <f>AY179+AY185-AY191</f>
        <v>0</v>
      </c>
      <c r="AZ197" s="3109">
        <f>AZ179+AZ185-AZ191</f>
        <v>0</v>
      </c>
      <c r="BA197" s="3109">
        <f>BA179+BA185-BA191</f>
        <v>0</v>
      </c>
      <c r="BB197" s="3109">
        <f>BB179+BB185-BB191</f>
        <v>0</v>
      </c>
      <c r="BC197" s="196"/>
      <c r="BD197" s="1240"/>
      <c r="BE197" s="1240"/>
      <c r="BF197" s="1042" t="s">
        <v>1115</v>
      </c>
    </row>
    <row s="1656" customFormat="1" customHeight="1" ht="22.921875">
      <c r="A198" s="1240"/>
      <c r="B198" s="1223"/>
      <c r="C198" s="1240"/>
      <c r="D198" s="1240"/>
      <c r="E198" s="633">
        <v>15</v>
      </c>
      <c r="F198" s="50" cm="1" t="str">
        <f t="array" ref="F198:F198">OFFSET(E198,-1,1)</f>
        <v>3</v>
      </c>
      <c r="G198" s="100" t="s">
        <v>1116</v>
      </c>
      <c r="H198" s="1240"/>
      <c r="I198" s="1240"/>
      <c r="J198" s="1240"/>
      <c r="K198" s="1240"/>
      <c r="L198" s="1240"/>
      <c r="M198" s="1240"/>
      <c r="N198" s="1240"/>
      <c r="O198" s="1240"/>
      <c r="P198" s="1240"/>
      <c r="Q198" s="1240"/>
      <c r="R198" s="1240"/>
      <c r="S198" s="1240"/>
      <c r="T198" s="468" cm="1" t="str">
        <f t="array" ref="T198:T198">T197</f>
        <v>true</v>
      </c>
      <c r="U198" s="1240"/>
      <c r="V198" s="1240"/>
      <c r="W198" s="1240"/>
      <c r="X198" s="1559"/>
      <c r="Y198" s="1240"/>
      <c r="Z198" s="1560"/>
      <c r="AA198" s="1240"/>
      <c r="AB198" s="84" t="s">
        <v>850</v>
      </c>
      <c r="AC198" s="210" t="s">
        <v>1081</v>
      </c>
      <c r="AD198" s="85" t="s">
        <v>936</v>
      </c>
      <c r="AE198" s="211">
        <v>76.81917</v>
      </c>
      <c r="AF198" s="211">
        <f>AF180+AF186-AF192</f>
        <v>0</v>
      </c>
      <c r="AG198" s="211">
        <f>AG180+AG186-AG192</f>
        <v>15748.02699</v>
      </c>
      <c r="AH198" s="211">
        <f>AH180+AH186-AH192</f>
        <v>0</v>
      </c>
      <c r="AI198" s="211">
        <f>AI180+AI186-AI192</f>
        <v>0</v>
      </c>
      <c r="AJ198" s="3109">
        <f>AJ180+AJ186-AJ192</f>
        <v>0</v>
      </c>
      <c r="AK198" s="3109">
        <f>AK180+AK186-AK192</f>
        <v>0</v>
      </c>
      <c r="AL198" s="3109">
        <f>AL180+AL186-AL192</f>
        <v>0</v>
      </c>
      <c r="AM198" s="3109">
        <f>AM180+AM186-AM192</f>
        <v>0</v>
      </c>
      <c r="AN198" s="3109">
        <f>AN180+AN186-AN192</f>
        <v>0</v>
      </c>
      <c r="AO198" s="3109">
        <f>AO180+AO186-AO192</f>
        <v>0</v>
      </c>
      <c r="AP198" s="3109">
        <f>AP180+AP186-AP192</f>
        <v>0</v>
      </c>
      <c r="AQ198" s="3109">
        <f>AQ180+AQ186-AQ192</f>
        <v>0</v>
      </c>
      <c r="AR198" s="3109">
        <f>AR180+AR186-AR192</f>
        <v>0</v>
      </c>
      <c r="AS198" s="211">
        <f>AS180+AS186-AS192</f>
        <v>135075.2</v>
      </c>
      <c r="AT198" s="3109">
        <f>AT180+AT186-AT192</f>
        <v>0</v>
      </c>
      <c r="AU198" s="3109">
        <f>AU180+AU186-AU192</f>
        <v>0</v>
      </c>
      <c r="AV198" s="3109">
        <f>AV180+AV186-AV192</f>
        <v>0</v>
      </c>
      <c r="AW198" s="3109">
        <f>AW180+AW186-AW192</f>
        <v>0</v>
      </c>
      <c r="AX198" s="3109">
        <f>AX180+AX186-AX192</f>
        <v>0</v>
      </c>
      <c r="AY198" s="3109">
        <f>AY180+AY186-AY192</f>
        <v>0</v>
      </c>
      <c r="AZ198" s="3109">
        <f>AZ180+AZ186-AZ192</f>
        <v>0</v>
      </c>
      <c r="BA198" s="3109">
        <f>BA180+BA186-BA192</f>
        <v>0</v>
      </c>
      <c r="BB198" s="3109">
        <f>BB180+BB186-BB192</f>
        <v>0</v>
      </c>
      <c r="BC198" s="196"/>
      <c r="BD198" s="1240"/>
      <c r="BE198" s="1240"/>
      <c r="BF198" s="1042" t="s">
        <v>1117</v>
      </c>
    </row>
    <row s="528" customFormat="1" customHeight="1" ht="19.921875">
      <c r="A199" s="528"/>
      <c r="B199" s="433"/>
      <c r="C199" s="528"/>
      <c r="D199" s="528"/>
      <c r="E199" s="633">
        <v>15</v>
      </c>
      <c r="F199" s="50" cm="1" t="str">
        <f t="array" ref="F199:F199">OFFSET(E199,-1,1)</f>
        <v>3</v>
      </c>
      <c r="G199" s="100" t="s">
        <v>347</v>
      </c>
      <c r="H199" s="528"/>
      <c r="I199" s="528"/>
      <c r="J199" s="528"/>
      <c r="K199" s="528"/>
      <c r="L199" s="528"/>
      <c r="M199" s="528"/>
      <c r="N199" s="528"/>
      <c r="O199" s="528"/>
      <c r="P199" s="528"/>
      <c r="Q199" s="528"/>
      <c r="R199" s="528"/>
      <c r="S199" s="528"/>
      <c r="T199" s="468" cm="1" t="str">
        <f t="array" ref="T199:T199">T198</f>
        <v>true</v>
      </c>
      <c r="U199" s="528"/>
      <c r="V199" s="528"/>
      <c r="W199" s="528"/>
      <c r="X199" s="1559"/>
      <c r="Y199" s="528"/>
      <c r="Z199" s="1560"/>
      <c r="AA199" s="528"/>
      <c r="AB199" s="207">
        <v>5</v>
      </c>
      <c r="AC199" s="208" t="s">
        <v>1118</v>
      </c>
      <c r="AD199" s="85" t="s">
        <v>936</v>
      </c>
      <c r="AE199" s="1217">
        <v>44716.21917</v>
      </c>
      <c r="AF199" s="1217">
        <f>SUM(AF200:AF204)</f>
        <v>17031.64712</v>
      </c>
      <c r="AG199" s="1217">
        <f>SUM(AG200:AG204)</f>
        <v>17031.64712</v>
      </c>
      <c r="AH199" s="1217">
        <v>57740.54616</v>
      </c>
      <c r="AI199" s="1217">
        <f>SUM(AI200:AI204)</f>
        <v>0</v>
      </c>
      <c r="AJ199" s="3107">
        <f>SUM(AJ200:AJ204)</f>
        <v>0</v>
      </c>
      <c r="AK199" s="3107">
        <f>SUM(AK200:AK204)</f>
        <v>0</v>
      </c>
      <c r="AL199" s="3107">
        <f>SUM(AL200:AL204)</f>
        <v>0</v>
      </c>
      <c r="AM199" s="3107">
        <f>SUM(AM200:AM204)</f>
        <v>0</v>
      </c>
      <c r="AN199" s="3107">
        <f>SUM(AN200:AN204)</f>
        <v>0</v>
      </c>
      <c r="AO199" s="3107">
        <f>SUM(AO200:AO204)</f>
        <v>0</v>
      </c>
      <c r="AP199" s="3107">
        <f>SUM(AP200:AP204)</f>
        <v>0</v>
      </c>
      <c r="AQ199" s="3107">
        <f>SUM(AQ200:AQ204)</f>
        <v>0</v>
      </c>
      <c r="AR199" s="3107">
        <f>SUM(AR200:AR204)</f>
        <v>0</v>
      </c>
      <c r="AS199" s="1217">
        <f>SUM(AS200:AS204)</f>
        <v>113846.67013</v>
      </c>
      <c r="AT199" s="3107">
        <f>SUM(AT200:AT204)</f>
        <v>0</v>
      </c>
      <c r="AU199" s="3107">
        <f>SUM(AU200:AU204)</f>
        <v>0</v>
      </c>
      <c r="AV199" s="3107">
        <f>SUM(AV200:AV204)</f>
        <v>0</v>
      </c>
      <c r="AW199" s="3107">
        <f>SUM(AW200:AW204)</f>
        <v>0</v>
      </c>
      <c r="AX199" s="3107">
        <f>SUM(AX200:AX204)</f>
        <v>0</v>
      </c>
      <c r="AY199" s="3107">
        <f>SUM(AY200:AY204)</f>
        <v>0</v>
      </c>
      <c r="AZ199" s="3107">
        <f>SUM(AZ200:AZ204)</f>
        <v>0</v>
      </c>
      <c r="BA199" s="3107">
        <f>SUM(BA200:BA204)</f>
        <v>0</v>
      </c>
      <c r="BB199" s="3107">
        <f>SUM(BB200:BB204)</f>
        <v>0</v>
      </c>
      <c r="BC199" s="196"/>
      <c r="BD199" s="528"/>
      <c r="BE199" s="528"/>
      <c r="BF199" s="1042" t="s">
        <v>1119</v>
      </c>
    </row>
    <row s="1656" customFormat="1" customHeight="1" ht="14.25">
      <c r="A200" s="1240"/>
      <c r="B200" s="1223"/>
      <c r="C200" s="1240"/>
      <c r="D200" s="1240"/>
      <c r="E200" s="633">
        <v>15</v>
      </c>
      <c r="F200" s="50" cm="1" t="str">
        <f t="array" ref="F200:F200">OFFSET(E200,-1,1)</f>
        <v>3</v>
      </c>
      <c r="G200" s="100" t="s">
        <v>673</v>
      </c>
      <c r="H200" s="1240"/>
      <c r="I200" s="1240"/>
      <c r="J200" s="1240"/>
      <c r="K200" s="1240"/>
      <c r="L200" s="1240"/>
      <c r="M200" s="1240"/>
      <c r="N200" s="1240"/>
      <c r="O200" s="1240"/>
      <c r="P200" s="1240"/>
      <c r="Q200" s="1240"/>
      <c r="R200" s="1240"/>
      <c r="S200" s="1240"/>
      <c r="T200" s="468" cm="1" t="str">
        <f t="array" ref="T200:T200">T199</f>
        <v>true</v>
      </c>
      <c r="U200" s="1240"/>
      <c r="V200" s="1240"/>
      <c r="W200" s="1240"/>
      <c r="X200" s="1559"/>
      <c r="Y200" s="1240"/>
      <c r="Z200" s="1560"/>
      <c r="AA200" s="1240"/>
      <c r="AB200" s="84" t="s">
        <v>801</v>
      </c>
      <c r="AC200" s="210" t="s">
        <v>1068</v>
      </c>
      <c r="AD200" s="85" t="s">
        <v>936</v>
      </c>
      <c r="AE200" s="211">
        <f>(AE194+AE176)/2</f>
        <v>0</v>
      </c>
      <c r="AF200" s="211">
        <f>(AF194+AF176)/2</f>
        <v>0</v>
      </c>
      <c r="AG200" s="211">
        <f>(AG194+AG176)/2</f>
        <v>0</v>
      </c>
      <c r="AH200" s="211">
        <f>(AH194+AH176)/2</f>
        <v>0</v>
      </c>
      <c r="AI200" s="211">
        <f>(AI194+AI176)/2</f>
        <v>0</v>
      </c>
      <c r="AJ200" s="3109">
        <f>(AJ194+AJ176)/2</f>
        <v>0</v>
      </c>
      <c r="AK200" s="3109">
        <f>(AK194+AK176)/2</f>
        <v>0</v>
      </c>
      <c r="AL200" s="3109">
        <f>(AL194+AL176)/2</f>
        <v>0</v>
      </c>
      <c r="AM200" s="3109">
        <f>(AM194+AM176)/2</f>
        <v>0</v>
      </c>
      <c r="AN200" s="3109">
        <f>(AN194+AN176)/2</f>
        <v>0</v>
      </c>
      <c r="AO200" s="3109">
        <f>(AO194+AO176)/2</f>
        <v>0</v>
      </c>
      <c r="AP200" s="3109">
        <f>(AP194+AP176)/2</f>
        <v>0</v>
      </c>
      <c r="AQ200" s="3109">
        <f>(AQ194+AQ176)/2</f>
        <v>0</v>
      </c>
      <c r="AR200" s="3109">
        <f>(AR194+AR176)/2</f>
        <v>0</v>
      </c>
      <c r="AS200" s="211">
        <f>(AS194+AS176)/2</f>
        <v>0</v>
      </c>
      <c r="AT200" s="3109">
        <f>(AT194+AT176)/2</f>
        <v>0</v>
      </c>
      <c r="AU200" s="3109">
        <f>(AU194+AU176)/2</f>
        <v>0</v>
      </c>
      <c r="AV200" s="3109">
        <f>(AV194+AV176)/2</f>
        <v>0</v>
      </c>
      <c r="AW200" s="3109">
        <f>(AW194+AW176)/2</f>
        <v>0</v>
      </c>
      <c r="AX200" s="3109">
        <f>(AX194+AX176)/2</f>
        <v>0</v>
      </c>
      <c r="AY200" s="3109">
        <f>(AY194+AY176)/2</f>
        <v>0</v>
      </c>
      <c r="AZ200" s="3109">
        <f>(AZ194+AZ176)/2</f>
        <v>0</v>
      </c>
      <c r="BA200" s="3109">
        <f>(BA194+BA176)/2</f>
        <v>0</v>
      </c>
      <c r="BB200" s="3109">
        <f>(BB194+BB176)/2</f>
        <v>0</v>
      </c>
      <c r="BC200" s="196"/>
      <c r="BD200" s="1240"/>
      <c r="BE200" s="1240"/>
      <c r="BF200" s="1042" t="s">
        <v>1120</v>
      </c>
    </row>
    <row s="1656" customFormat="1" customHeight="1" ht="14.625">
      <c r="A201" s="1240"/>
      <c r="B201" s="1223"/>
      <c r="C201" s="1240"/>
      <c r="D201" s="1240"/>
      <c r="E201" s="633">
        <v>15</v>
      </c>
      <c r="F201" s="50" cm="1" t="str">
        <f t="array" ref="F201:F201">OFFSET(E201,-1,1)</f>
        <v>3</v>
      </c>
      <c r="G201" s="100" t="s">
        <v>677</v>
      </c>
      <c r="H201" s="1240"/>
      <c r="I201" s="1240"/>
      <c r="J201" s="1240"/>
      <c r="K201" s="1240"/>
      <c r="L201" s="1240"/>
      <c r="M201" s="1240"/>
      <c r="N201" s="1240"/>
      <c r="O201" s="1240"/>
      <c r="P201" s="1240"/>
      <c r="Q201" s="1240"/>
      <c r="R201" s="1240"/>
      <c r="S201" s="1240"/>
      <c r="T201" s="468" cm="1" t="str">
        <f t="array" ref="T201:T201">T200</f>
        <v>true</v>
      </c>
      <c r="U201" s="1240"/>
      <c r="V201" s="1240"/>
      <c r="W201" s="1240"/>
      <c r="X201" s="1559"/>
      <c r="Y201" s="1240"/>
      <c r="Z201" s="1560"/>
      <c r="AA201" s="1240"/>
      <c r="AB201" s="84" t="s">
        <v>804</v>
      </c>
      <c r="AC201" s="210" t="s">
        <v>1071</v>
      </c>
      <c r="AD201" s="85" t="s">
        <v>936</v>
      </c>
      <c r="AE201" s="211">
        <v>44639.4</v>
      </c>
      <c r="AF201" s="211">
        <f>(AF195+AF177)/2</f>
        <v>17031.64712</v>
      </c>
      <c r="AG201" s="211">
        <f>(AG195+AG177)/2</f>
        <v>1283.62013</v>
      </c>
      <c r="AH201" s="211">
        <v>57740.54616</v>
      </c>
      <c r="AI201" s="211">
        <f>(AI195+AI177)/2</f>
        <v>0</v>
      </c>
      <c r="AJ201" s="3109">
        <f>(AJ195+AJ177)/2</f>
        <v>0</v>
      </c>
      <c r="AK201" s="3109">
        <f>(AK195+AK177)/2</f>
        <v>0</v>
      </c>
      <c r="AL201" s="3109">
        <f>(AL195+AL177)/2</f>
        <v>0</v>
      </c>
      <c r="AM201" s="3109">
        <f>(AM195+AM177)/2</f>
        <v>0</v>
      </c>
      <c r="AN201" s="3109">
        <f>(AN195+AN177)/2</f>
        <v>0</v>
      </c>
      <c r="AO201" s="3109">
        <f>(AO195+AO177)/2</f>
        <v>0</v>
      </c>
      <c r="AP201" s="3109">
        <f>(AP195+AP177)/2</f>
        <v>0</v>
      </c>
      <c r="AQ201" s="3109">
        <f>(AQ195+AQ177)/2</f>
        <v>0</v>
      </c>
      <c r="AR201" s="3109">
        <f>(AR195+AR177)/2</f>
        <v>0</v>
      </c>
      <c r="AS201" s="211">
        <f>(AS195+AS177)/2</f>
        <v>1283.62013</v>
      </c>
      <c r="AT201" s="3109">
        <f>(AT195+AT177)/2</f>
        <v>0</v>
      </c>
      <c r="AU201" s="3109">
        <f>(AU195+AU177)/2</f>
        <v>0</v>
      </c>
      <c r="AV201" s="3109">
        <f>(AV195+AV177)/2</f>
        <v>0</v>
      </c>
      <c r="AW201" s="3109">
        <f>(AW195+AW177)/2</f>
        <v>0</v>
      </c>
      <c r="AX201" s="3109">
        <f>(AX195+AX177)/2</f>
        <v>0</v>
      </c>
      <c r="AY201" s="3109">
        <f>(AY195+AY177)/2</f>
        <v>0</v>
      </c>
      <c r="AZ201" s="3109">
        <f>(AZ195+AZ177)/2</f>
        <v>0</v>
      </c>
      <c r="BA201" s="3109">
        <f>(BA195+BA177)/2</f>
        <v>0</v>
      </c>
      <c r="BB201" s="3109">
        <f>(BB195+BB177)/2</f>
        <v>0</v>
      </c>
      <c r="BC201" s="196"/>
      <c r="BD201" s="1240"/>
      <c r="BE201" s="1240"/>
      <c r="BF201" s="1042" t="s">
        <v>1121</v>
      </c>
    </row>
    <row s="1656" customFormat="1" customHeight="1" ht="14.25">
      <c r="A202" s="1240"/>
      <c r="B202" s="1223"/>
      <c r="C202" s="1240"/>
      <c r="D202" s="1240"/>
      <c r="E202" s="633">
        <v>15</v>
      </c>
      <c r="F202" s="50" cm="1" t="str">
        <f t="array" ref="F202:F202">OFFSET(E202,-1,1)</f>
        <v>3</v>
      </c>
      <c r="G202" s="100" t="s">
        <v>889</v>
      </c>
      <c r="H202" s="1240"/>
      <c r="I202" s="1240"/>
      <c r="J202" s="1240"/>
      <c r="K202" s="1240"/>
      <c r="L202" s="1240"/>
      <c r="M202" s="1240"/>
      <c r="N202" s="1240"/>
      <c r="O202" s="1240"/>
      <c r="P202" s="1240"/>
      <c r="Q202" s="1240"/>
      <c r="R202" s="1240"/>
      <c r="S202" s="1240"/>
      <c r="T202" s="468" cm="1" t="str">
        <f t="array" ref="T202:T202">T201</f>
        <v>true</v>
      </c>
      <c r="U202" s="1240"/>
      <c r="V202" s="1240"/>
      <c r="W202" s="1240"/>
      <c r="X202" s="1559"/>
      <c r="Y202" s="1240"/>
      <c r="Z202" s="1560"/>
      <c r="AA202" s="1240"/>
      <c r="AB202" s="84" t="s">
        <v>1122</v>
      </c>
      <c r="AC202" s="210" t="s">
        <v>1074</v>
      </c>
      <c r="AD202" s="85" t="s">
        <v>936</v>
      </c>
      <c r="AE202" s="211">
        <f>(AE196+AE178)/2</f>
        <v>0</v>
      </c>
      <c r="AF202" s="211">
        <f>(AF196+AF178)/2</f>
        <v>0</v>
      </c>
      <c r="AG202" s="211">
        <f>(AG196+AG178)/2</f>
        <v>0</v>
      </c>
      <c r="AH202" s="211">
        <f>(AH196+AH178)/2</f>
        <v>0</v>
      </c>
      <c r="AI202" s="211">
        <f>(AI196+AI178)/2</f>
        <v>0</v>
      </c>
      <c r="AJ202" s="3109">
        <f>(AJ196+AJ178)/2</f>
        <v>0</v>
      </c>
      <c r="AK202" s="3109">
        <f>(AK196+AK178)/2</f>
        <v>0</v>
      </c>
      <c r="AL202" s="3109">
        <f>(AL196+AL178)/2</f>
        <v>0</v>
      </c>
      <c r="AM202" s="3109">
        <f>(AM196+AM178)/2</f>
        <v>0</v>
      </c>
      <c r="AN202" s="3109">
        <f>(AN196+AN178)/2</f>
        <v>0</v>
      </c>
      <c r="AO202" s="3109">
        <f>(AO196+AO178)/2</f>
        <v>0</v>
      </c>
      <c r="AP202" s="3109">
        <f>(AP196+AP178)/2</f>
        <v>0</v>
      </c>
      <c r="AQ202" s="3109">
        <f>(AQ196+AQ178)/2</f>
        <v>0</v>
      </c>
      <c r="AR202" s="3109">
        <f>(AR196+AR178)/2</f>
        <v>0</v>
      </c>
      <c r="AS202" s="211">
        <f>(AS196+AS178)/2</f>
        <v>0</v>
      </c>
      <c r="AT202" s="3109">
        <f>(AT196+AT178)/2</f>
        <v>0</v>
      </c>
      <c r="AU202" s="3109">
        <f>(AU196+AU178)/2</f>
        <v>0</v>
      </c>
      <c r="AV202" s="3109">
        <f>(AV196+AV178)/2</f>
        <v>0</v>
      </c>
      <c r="AW202" s="3109">
        <f>(AW196+AW178)/2</f>
        <v>0</v>
      </c>
      <c r="AX202" s="3109">
        <f>(AX196+AX178)/2</f>
        <v>0</v>
      </c>
      <c r="AY202" s="3109">
        <f>(AY196+AY178)/2</f>
        <v>0</v>
      </c>
      <c r="AZ202" s="3109">
        <f>(AZ196+AZ178)/2</f>
        <v>0</v>
      </c>
      <c r="BA202" s="3109">
        <f>(BA196+BA178)/2</f>
        <v>0</v>
      </c>
      <c r="BB202" s="3109">
        <f>(BB196+BB178)/2</f>
        <v>0</v>
      </c>
      <c r="BC202" s="196"/>
      <c r="BD202" s="1240"/>
      <c r="BE202" s="1240"/>
      <c r="BF202" s="1042" t="s">
        <v>1123</v>
      </c>
    </row>
    <row s="1656" customFormat="1" customHeight="1" ht="14.25">
      <c r="A203" s="1240"/>
      <c r="B203" s="1223"/>
      <c r="C203" s="1240"/>
      <c r="D203" s="1240"/>
      <c r="E203" s="633">
        <v>15</v>
      </c>
      <c r="F203" s="50" cm="1" t="str">
        <f t="array" ref="F203:F203">OFFSET(E203,-1,1)</f>
        <v>3</v>
      </c>
      <c r="G203" s="100" t="s">
        <v>1124</v>
      </c>
      <c r="H203" s="1240"/>
      <c r="I203" s="1240"/>
      <c r="J203" s="1240"/>
      <c r="K203" s="1240"/>
      <c r="L203" s="1240"/>
      <c r="M203" s="1240"/>
      <c r="N203" s="1240"/>
      <c r="O203" s="1240"/>
      <c r="P203" s="1240"/>
      <c r="Q203" s="1240"/>
      <c r="R203" s="1240"/>
      <c r="S203" s="1240"/>
      <c r="T203" s="468" cm="1" t="str">
        <f t="array" ref="T203:T203">T202</f>
        <v>true</v>
      </c>
      <c r="U203" s="1240"/>
      <c r="V203" s="1240"/>
      <c r="W203" s="1240"/>
      <c r="X203" s="1559"/>
      <c r="Y203" s="1240"/>
      <c r="Z203" s="1560"/>
      <c r="AA203" s="1240"/>
      <c r="AB203" s="84" t="s">
        <v>1125</v>
      </c>
      <c r="AC203" s="210" t="s">
        <v>1077</v>
      </c>
      <c r="AD203" s="85" t="s">
        <v>936</v>
      </c>
      <c r="AE203" s="211">
        <f>(AE197+AE179)/2</f>
        <v>0</v>
      </c>
      <c r="AF203" s="211">
        <f>(AF197+AF179)/2</f>
        <v>0</v>
      </c>
      <c r="AG203" s="211">
        <f>(AG197+AG179)/2</f>
        <v>0</v>
      </c>
      <c r="AH203" s="211">
        <f>(AH197+AH179)/2</f>
        <v>0</v>
      </c>
      <c r="AI203" s="211">
        <f>(AI197+AI179)/2</f>
        <v>0</v>
      </c>
      <c r="AJ203" s="3109">
        <f>(AJ197+AJ179)/2</f>
        <v>0</v>
      </c>
      <c r="AK203" s="3109">
        <f>(AK197+AK179)/2</f>
        <v>0</v>
      </c>
      <c r="AL203" s="3109">
        <f>(AL197+AL179)/2</f>
        <v>0</v>
      </c>
      <c r="AM203" s="3109">
        <f>(AM197+AM179)/2</f>
        <v>0</v>
      </c>
      <c r="AN203" s="3109">
        <f>(AN197+AN179)/2</f>
        <v>0</v>
      </c>
      <c r="AO203" s="3109">
        <f>(AO197+AO179)/2</f>
        <v>0</v>
      </c>
      <c r="AP203" s="3109">
        <f>(AP197+AP179)/2</f>
        <v>0</v>
      </c>
      <c r="AQ203" s="3109">
        <f>(AQ197+AQ179)/2</f>
        <v>0</v>
      </c>
      <c r="AR203" s="3109">
        <f>(AR197+AR179)/2</f>
        <v>0</v>
      </c>
      <c r="AS203" s="211">
        <f>(AS197+AS179)/2</f>
        <v>0</v>
      </c>
      <c r="AT203" s="3109">
        <f>(AT197+AT179)/2</f>
        <v>0</v>
      </c>
      <c r="AU203" s="3109">
        <f>(AU197+AU179)/2</f>
        <v>0</v>
      </c>
      <c r="AV203" s="3109">
        <f>(AV197+AV179)/2</f>
        <v>0</v>
      </c>
      <c r="AW203" s="3109">
        <f>(AW197+AW179)/2</f>
        <v>0</v>
      </c>
      <c r="AX203" s="3109">
        <f>(AX197+AX179)/2</f>
        <v>0</v>
      </c>
      <c r="AY203" s="3109">
        <f>(AY197+AY179)/2</f>
        <v>0</v>
      </c>
      <c r="AZ203" s="3109">
        <f>(AZ197+AZ179)/2</f>
        <v>0</v>
      </c>
      <c r="BA203" s="3109">
        <f>(BA197+BA179)/2</f>
        <v>0</v>
      </c>
      <c r="BB203" s="3109">
        <f>(BB197+BB179)/2</f>
        <v>0</v>
      </c>
      <c r="BC203" s="196"/>
      <c r="BD203" s="1240"/>
      <c r="BE203" s="1240"/>
      <c r="BF203" s="1042" t="s">
        <v>1126</v>
      </c>
    </row>
    <row s="1656" customFormat="1" customHeight="1" ht="14.625">
      <c r="A204" s="1240"/>
      <c r="B204" s="1223"/>
      <c r="C204" s="1240"/>
      <c r="D204" s="1240"/>
      <c r="E204" s="633">
        <v>15</v>
      </c>
      <c r="F204" s="50" cm="1" t="str">
        <f t="array" ref="F204:F204">OFFSET(E204,-1,1)</f>
        <v>3</v>
      </c>
      <c r="G204" s="100" t="s">
        <v>1127</v>
      </c>
      <c r="H204" s="1240"/>
      <c r="I204" s="1240"/>
      <c r="J204" s="1240"/>
      <c r="K204" s="1240"/>
      <c r="L204" s="1240"/>
      <c r="M204" s="1240"/>
      <c r="N204" s="1240"/>
      <c r="O204" s="1240"/>
      <c r="P204" s="1240"/>
      <c r="Q204" s="1240"/>
      <c r="R204" s="1240"/>
      <c r="S204" s="1240"/>
      <c r="T204" s="468" cm="1" t="str">
        <f t="array" ref="T204:T204">T203</f>
        <v>true</v>
      </c>
      <c r="U204" s="1240"/>
      <c r="V204" s="1240"/>
      <c r="W204" s="1240"/>
      <c r="X204" s="1559"/>
      <c r="Y204" s="1240"/>
      <c r="Z204" s="1560"/>
      <c r="AA204" s="1240"/>
      <c r="AB204" s="84" t="s">
        <v>1128</v>
      </c>
      <c r="AC204" s="210" t="s">
        <v>1081</v>
      </c>
      <c r="AD204" s="85" t="s">
        <v>936</v>
      </c>
      <c r="AE204" s="211">
        <v>76.81917</v>
      </c>
      <c r="AF204" s="211">
        <f>(AF198+AF180)/2</f>
        <v>0</v>
      </c>
      <c r="AG204" s="211">
        <f>(AG198+AG180)/2</f>
        <v>15748.02699</v>
      </c>
      <c r="AH204" s="211">
        <f>(AH198+AH180)/2</f>
        <v>0</v>
      </c>
      <c r="AI204" s="211">
        <f>(AI198+AI180)/2</f>
        <v>0</v>
      </c>
      <c r="AJ204" s="3109">
        <f>(AJ198+AJ180)/2</f>
        <v>0</v>
      </c>
      <c r="AK204" s="3109">
        <f>(AK198+AK180)/2</f>
        <v>0</v>
      </c>
      <c r="AL204" s="3109">
        <f>(AL198+AL180)/2</f>
        <v>0</v>
      </c>
      <c r="AM204" s="3109">
        <f>(AM198+AM180)/2</f>
        <v>0</v>
      </c>
      <c r="AN204" s="3109">
        <f>(AN198+AN180)/2</f>
        <v>0</v>
      </c>
      <c r="AO204" s="3109">
        <f>(AO198+AO180)/2</f>
        <v>0</v>
      </c>
      <c r="AP204" s="3109">
        <f>(AP198+AP180)/2</f>
        <v>0</v>
      </c>
      <c r="AQ204" s="3109">
        <f>(AQ198+AQ180)/2</f>
        <v>0</v>
      </c>
      <c r="AR204" s="3109">
        <f>(AR198+AR180)/2</f>
        <v>0</v>
      </c>
      <c r="AS204" s="211">
        <f>(AS198+AS180)/2</f>
        <v>112563.05</v>
      </c>
      <c r="AT204" s="3109">
        <f>(AT198+AT180)/2</f>
        <v>0</v>
      </c>
      <c r="AU204" s="3109">
        <f>(AU198+AU180)/2</f>
        <v>0</v>
      </c>
      <c r="AV204" s="3109">
        <f>(AV198+AV180)/2</f>
        <v>0</v>
      </c>
      <c r="AW204" s="3109">
        <f>(AW198+AW180)/2</f>
        <v>0</v>
      </c>
      <c r="AX204" s="3109">
        <f>(AX198+AX180)/2</f>
        <v>0</v>
      </c>
      <c r="AY204" s="3109">
        <f>(AY198+AY180)/2</f>
        <v>0</v>
      </c>
      <c r="AZ204" s="3109">
        <f>(AZ198+AZ180)/2</f>
        <v>0</v>
      </c>
      <c r="BA204" s="3109">
        <f>(BA198+BA180)/2</f>
        <v>0</v>
      </c>
      <c r="BB204" s="3109">
        <f>(BB198+BB180)/2</f>
        <v>0</v>
      </c>
      <c r="BC204" s="196"/>
      <c r="BD204" s="1240"/>
      <c r="BE204" s="1240"/>
      <c r="BF204" s="1042" t="s">
        <v>1129</v>
      </c>
    </row>
    <row s="528" customFormat="1" customHeight="1" ht="21.75">
      <c r="A205" s="528"/>
      <c r="B205" s="433"/>
      <c r="C205" s="528"/>
      <c r="D205" s="528"/>
      <c r="E205" s="675">
        <v>22.5</v>
      </c>
      <c r="F205" s="50" cm="1" t="str">
        <f t="array" ref="F205:F205">OFFSET(E205,-1,1)</f>
        <v>3</v>
      </c>
      <c r="G205" s="100" t="s">
        <v>616</v>
      </c>
      <c r="H205" s="528"/>
      <c r="I205" s="528"/>
      <c r="J205" s="528"/>
      <c r="K205" s="528"/>
      <c r="L205" s="528"/>
      <c r="M205" s="528"/>
      <c r="N205" s="528"/>
      <c r="O205" s="528"/>
      <c r="P205" s="528"/>
      <c r="Q205" s="528"/>
      <c r="R205" s="528"/>
      <c r="S205" s="528"/>
      <c r="T205" s="468" cm="1" t="str">
        <f t="array" ref="T205:T205">T204</f>
        <v>true</v>
      </c>
      <c r="U205" s="528"/>
      <c r="V205" s="528"/>
      <c r="W205" s="528"/>
      <c r="X205" s="1559"/>
      <c r="Y205" s="528"/>
      <c r="Z205" s="1560"/>
      <c r="AA205" s="528"/>
      <c r="AB205" s="207">
        <v>6</v>
      </c>
      <c r="AC205" s="208" t="s">
        <v>1130</v>
      </c>
      <c r="AD205" s="207"/>
      <c r="AE205" s="212"/>
      <c r="AF205" s="212"/>
      <c r="AG205" s="212"/>
      <c r="AH205" s="212"/>
      <c r="AI205" s="212"/>
      <c r="AJ205" s="212"/>
      <c r="AK205" s="212"/>
      <c r="AL205" s="212"/>
      <c r="AM205" s="212"/>
      <c r="AN205" s="212"/>
      <c r="AO205" s="212"/>
      <c r="AP205" s="212"/>
      <c r="AQ205" s="212"/>
      <c r="AR205" s="212"/>
      <c r="AS205" s="212"/>
      <c r="AT205" s="212"/>
      <c r="AU205" s="212"/>
      <c r="AV205" s="212"/>
      <c r="AW205" s="212"/>
      <c r="AX205" s="212"/>
      <c r="AY205" s="212"/>
      <c r="AZ205" s="212"/>
      <c r="BA205" s="212"/>
      <c r="BB205" s="212"/>
      <c r="BC205" s="196"/>
      <c r="BD205" s="528"/>
      <c r="BE205" s="528"/>
      <c r="BF205" s="1042" t="s">
        <v>1131</v>
      </c>
    </row>
    <row s="1656" customFormat="1" customHeight="1" ht="14.25">
      <c r="A206" s="1240"/>
      <c r="B206" s="1223"/>
      <c r="C206" s="1240"/>
      <c r="D206" s="1240"/>
      <c r="E206" s="633">
        <v>15</v>
      </c>
      <c r="F206" s="50" cm="1" t="str">
        <f t="array" ref="F206:F206">OFFSET(E206,-1,1)</f>
        <v>3</v>
      </c>
      <c r="G206" s="100" t="s">
        <v>793</v>
      </c>
      <c r="H206" s="1240"/>
      <c r="I206" s="1240"/>
      <c r="J206" s="1240"/>
      <c r="K206" s="1240"/>
      <c r="L206" s="1240"/>
      <c r="M206" s="1240"/>
      <c r="N206" s="1240"/>
      <c r="O206" s="1240"/>
      <c r="P206" s="1240"/>
      <c r="Q206" s="1240"/>
      <c r="R206" s="1240"/>
      <c r="S206" s="1240"/>
      <c r="T206" s="468" cm="1" t="str">
        <f t="array" ref="T206:T206">T205</f>
        <v>true</v>
      </c>
      <c r="U206" s="1240"/>
      <c r="V206" s="1240"/>
      <c r="W206" s="1240"/>
      <c r="X206" s="1559"/>
      <c r="Y206" s="1240"/>
      <c r="Z206" s="1560"/>
      <c r="AA206" s="1240"/>
      <c r="AB206" s="84" t="s">
        <v>689</v>
      </c>
      <c r="AC206" s="210" t="s">
        <v>1068</v>
      </c>
      <c r="AD206" s="84" t="s">
        <v>561</v>
      </c>
      <c r="AE206" s="211">
        <f>IF(AE200=0,0,AE212/AE200*100)</f>
        <v>0</v>
      </c>
      <c r="AF206" s="211">
        <f>IF(AF200=0,0,AF212/AF200*100)</f>
        <v>0</v>
      </c>
      <c r="AG206" s="211">
        <f>IF(AG200=0,0,AG212/AG200*100)</f>
        <v>0</v>
      </c>
      <c r="AH206" s="211">
        <f>IF(AH200=0,0,AH212/AH200*100)</f>
        <v>0</v>
      </c>
      <c r="AI206" s="211">
        <f>IF(AI200=0,0,AI212/AI200*100)</f>
        <v>0</v>
      </c>
      <c r="AJ206" s="3109">
        <f>IF(AJ200=0,0,AJ212/AJ200*100)</f>
        <v>0</v>
      </c>
      <c r="AK206" s="3109">
        <f>IF(AK200=0,0,AK212/AK200*100)</f>
        <v>0</v>
      </c>
      <c r="AL206" s="3109">
        <f>IF(AL200=0,0,AL212/AL200*100)</f>
        <v>0</v>
      </c>
      <c r="AM206" s="3109">
        <f>IF(AM200=0,0,AM212/AM200*100)</f>
        <v>0</v>
      </c>
      <c r="AN206" s="3109">
        <f>IF(AN200=0,0,AN212/AN200*100)</f>
        <v>0</v>
      </c>
      <c r="AO206" s="3109">
        <f>IF(AO200=0,0,AO212/AO200*100)</f>
        <v>0</v>
      </c>
      <c r="AP206" s="3109">
        <f>IF(AP200=0,0,AP212/AP200*100)</f>
        <v>0</v>
      </c>
      <c r="AQ206" s="3109">
        <f>IF(AQ200=0,0,AQ212/AQ200*100)</f>
        <v>0</v>
      </c>
      <c r="AR206" s="3109">
        <f>IF(AR200=0,0,AR212/AR200*100)</f>
        <v>0</v>
      </c>
      <c r="AS206" s="211">
        <f>IF(AS200=0,0,AS212/AS200*100)</f>
        <v>0</v>
      </c>
      <c r="AT206" s="3109">
        <f>IF(AT200=0,0,AT212/AT200*100)</f>
        <v>0</v>
      </c>
      <c r="AU206" s="3109">
        <f>IF(AU200=0,0,AU212/AU200*100)</f>
        <v>0</v>
      </c>
      <c r="AV206" s="3109">
        <f>IF(AV200=0,0,AV212/AV200*100)</f>
        <v>0</v>
      </c>
      <c r="AW206" s="3109">
        <f>IF(AW200=0,0,AW212/AW200*100)</f>
        <v>0</v>
      </c>
      <c r="AX206" s="3109">
        <f>IF(AX200=0,0,AX212/AX200*100)</f>
        <v>0</v>
      </c>
      <c r="AY206" s="3109">
        <f>IF(AY200=0,0,AY212/AY200*100)</f>
        <v>0</v>
      </c>
      <c r="AZ206" s="3109">
        <f>IF(AZ200=0,0,AZ212/AZ200*100)</f>
        <v>0</v>
      </c>
      <c r="BA206" s="3109">
        <f>IF(BA200=0,0,BA212/BA200*100)</f>
        <v>0</v>
      </c>
      <c r="BB206" s="3109">
        <f>IF(BB200=0,0,BB212/BB200*100)</f>
        <v>0</v>
      </c>
      <c r="BC206" s="196"/>
      <c r="BD206" s="1240"/>
      <c r="BE206" s="1240"/>
      <c r="BF206" s="1042" t="s">
        <v>1132</v>
      </c>
    </row>
    <row s="1656" customFormat="1" customHeight="1" ht="14.625">
      <c r="A207" s="1240"/>
      <c r="B207" s="1223"/>
      <c r="C207" s="1240"/>
      <c r="D207" s="1240"/>
      <c r="E207" s="633">
        <v>15</v>
      </c>
      <c r="F207" s="50" cm="1" t="str">
        <f t="array" ref="F207:F207">OFFSET(E207,-1,1)</f>
        <v>3</v>
      </c>
      <c r="G207" s="100" t="s">
        <v>796</v>
      </c>
      <c r="H207" s="1240"/>
      <c r="I207" s="1240"/>
      <c r="J207" s="1240"/>
      <c r="K207" s="1240"/>
      <c r="L207" s="1240"/>
      <c r="M207" s="1240"/>
      <c r="N207" s="1240"/>
      <c r="O207" s="1240"/>
      <c r="P207" s="1240"/>
      <c r="Q207" s="1240"/>
      <c r="R207" s="1240"/>
      <c r="S207" s="1240"/>
      <c r="T207" s="468" cm="1" t="str">
        <f t="array" ref="T207:T207">T206</f>
        <v>true</v>
      </c>
      <c r="U207" s="1240"/>
      <c r="V207" s="1240"/>
      <c r="W207" s="1240"/>
      <c r="X207" s="1559"/>
      <c r="Y207" s="1240"/>
      <c r="Z207" s="1560"/>
      <c r="AA207" s="1240"/>
      <c r="AB207" s="84" t="s">
        <v>693</v>
      </c>
      <c r="AC207" s="210" t="s">
        <v>1071</v>
      </c>
      <c r="AD207" s="84" t="s">
        <v>561</v>
      </c>
      <c r="AE207" s="211">
        <v>16.1648006022</v>
      </c>
      <c r="AF207" s="211">
        <f>IF(AF201=0,0,AF213/AF201*100)</f>
        <v>14.2985583416667</v>
      </c>
      <c r="AG207" s="211">
        <f>IF(AG201=0,0,AG213/AG201*100)</f>
        <v>3.33354074152764</v>
      </c>
      <c r="AH207" s="211">
        <v>12.5711661609</v>
      </c>
      <c r="AI207" s="211">
        <f>IF(AI201=0,0,AI213/AI201*100)</f>
        <v>0</v>
      </c>
      <c r="AJ207" s="3109">
        <f>IF(AJ201=0,0,AJ213/AJ201*100)</f>
        <v>0</v>
      </c>
      <c r="AK207" s="3109">
        <f>IF(AK201=0,0,AK213/AK201*100)</f>
        <v>0</v>
      </c>
      <c r="AL207" s="3109">
        <f>IF(AL201=0,0,AL213/AL201*100)</f>
        <v>0</v>
      </c>
      <c r="AM207" s="3109">
        <f>IF(AM201=0,0,AM213/AM201*100)</f>
        <v>0</v>
      </c>
      <c r="AN207" s="3109">
        <f>IF(AN201=0,0,AN213/AN201*100)</f>
        <v>0</v>
      </c>
      <c r="AO207" s="3109">
        <f>IF(AO201=0,0,AO213/AO201*100)</f>
        <v>0</v>
      </c>
      <c r="AP207" s="3109">
        <f>IF(AP201=0,0,AP213/AP201*100)</f>
        <v>0</v>
      </c>
      <c r="AQ207" s="3109">
        <f>IF(AQ201=0,0,AQ213/AQ201*100)</f>
        <v>0</v>
      </c>
      <c r="AR207" s="3109">
        <f>IF(AR201=0,0,AR213/AR201*100)</f>
        <v>0</v>
      </c>
      <c r="AS207" s="211">
        <f>IF(AS201=0,0,AS213/AS201*100)</f>
        <v>3.33354074152764</v>
      </c>
      <c r="AT207" s="3109">
        <f>IF(AT201=0,0,AT213/AT201*100)</f>
        <v>0</v>
      </c>
      <c r="AU207" s="3109">
        <f>IF(AU201=0,0,AU213/AU201*100)</f>
        <v>0</v>
      </c>
      <c r="AV207" s="3109">
        <f>IF(AV201=0,0,AV213/AV201*100)</f>
        <v>0</v>
      </c>
      <c r="AW207" s="3109">
        <f>IF(AW201=0,0,AW213/AW201*100)</f>
        <v>0</v>
      </c>
      <c r="AX207" s="3109">
        <f>IF(AX201=0,0,AX213/AX201*100)</f>
        <v>0</v>
      </c>
      <c r="AY207" s="3109">
        <f>IF(AY201=0,0,AY213/AY201*100)</f>
        <v>0</v>
      </c>
      <c r="AZ207" s="3109">
        <f>IF(AZ201=0,0,AZ213/AZ201*100)</f>
        <v>0</v>
      </c>
      <c r="BA207" s="3109">
        <f>IF(BA201=0,0,BA213/BA201*100)</f>
        <v>0</v>
      </c>
      <c r="BB207" s="3109">
        <f>IF(BB201=0,0,BB213/BB201*100)</f>
        <v>0</v>
      </c>
      <c r="BC207" s="196"/>
      <c r="BD207" s="1240"/>
      <c r="BE207" s="1240"/>
      <c r="BF207" s="1042" t="s">
        <v>1133</v>
      </c>
    </row>
    <row s="1656" customFormat="1" customHeight="1" ht="14.25">
      <c r="A208" s="1240"/>
      <c r="B208" s="1223"/>
      <c r="C208" s="1240"/>
      <c r="D208" s="1240"/>
      <c r="E208" s="633">
        <v>15</v>
      </c>
      <c r="F208" s="50" cm="1" t="str">
        <f t="array" ref="F208:F208">OFFSET(E208,-1,1)</f>
        <v>3</v>
      </c>
      <c r="G208" s="100" t="s">
        <v>830</v>
      </c>
      <c r="H208" s="1240"/>
      <c r="I208" s="1240"/>
      <c r="J208" s="1240"/>
      <c r="K208" s="1240"/>
      <c r="L208" s="1240"/>
      <c r="M208" s="1240"/>
      <c r="N208" s="1240"/>
      <c r="O208" s="1240"/>
      <c r="P208" s="1240"/>
      <c r="Q208" s="1240"/>
      <c r="R208" s="1240"/>
      <c r="S208" s="1240"/>
      <c r="T208" s="468" cm="1" t="str">
        <f t="array" ref="T208:T208">T207</f>
        <v>true</v>
      </c>
      <c r="U208" s="1240"/>
      <c r="V208" s="1240"/>
      <c r="W208" s="1240"/>
      <c r="X208" s="1559"/>
      <c r="Y208" s="1240"/>
      <c r="Z208" s="1560"/>
      <c r="AA208" s="1240"/>
      <c r="AB208" s="84" t="s">
        <v>697</v>
      </c>
      <c r="AC208" s="210" t="s">
        <v>1074</v>
      </c>
      <c r="AD208" s="84" t="s">
        <v>561</v>
      </c>
      <c r="AE208" s="211">
        <f>IF(AE202=0,0,AE214/AE202*100)</f>
        <v>0</v>
      </c>
      <c r="AF208" s="211">
        <f>IF(AF202=0,0,AF214/AF202*100)</f>
        <v>0</v>
      </c>
      <c r="AG208" s="211">
        <f>IF(AG202=0,0,AG214/AG202*100)</f>
        <v>0</v>
      </c>
      <c r="AH208" s="211">
        <f>IF(AH202=0,0,AH214/AH202*100)</f>
        <v>0</v>
      </c>
      <c r="AI208" s="211">
        <f>IF(AI202=0,0,AI214/AI202*100)</f>
        <v>0</v>
      </c>
      <c r="AJ208" s="3109">
        <f>IF(AJ202=0,0,AJ214/AJ202*100)</f>
        <v>0</v>
      </c>
      <c r="AK208" s="3109">
        <f>IF(AK202=0,0,AK214/AK202*100)</f>
        <v>0</v>
      </c>
      <c r="AL208" s="3109">
        <f>IF(AL202=0,0,AL214/AL202*100)</f>
        <v>0</v>
      </c>
      <c r="AM208" s="3109">
        <f>IF(AM202=0,0,AM214/AM202*100)</f>
        <v>0</v>
      </c>
      <c r="AN208" s="3109">
        <f>IF(AN202=0,0,AN214/AN202*100)</f>
        <v>0</v>
      </c>
      <c r="AO208" s="3109">
        <f>IF(AO202=0,0,AO214/AO202*100)</f>
        <v>0</v>
      </c>
      <c r="AP208" s="3109">
        <f>IF(AP202=0,0,AP214/AP202*100)</f>
        <v>0</v>
      </c>
      <c r="AQ208" s="3109">
        <f>IF(AQ202=0,0,AQ214/AQ202*100)</f>
        <v>0</v>
      </c>
      <c r="AR208" s="3109">
        <f>IF(AR202=0,0,AR214/AR202*100)</f>
        <v>0</v>
      </c>
      <c r="AS208" s="211">
        <f>IF(AS202=0,0,AS214/AS202*100)</f>
        <v>0</v>
      </c>
      <c r="AT208" s="3109">
        <f>IF(AT202=0,0,AT214/AT202*100)</f>
        <v>0</v>
      </c>
      <c r="AU208" s="3109">
        <f>IF(AU202=0,0,AU214/AU202*100)</f>
        <v>0</v>
      </c>
      <c r="AV208" s="3109">
        <f>IF(AV202=0,0,AV214/AV202*100)</f>
        <v>0</v>
      </c>
      <c r="AW208" s="3109">
        <f>IF(AW202=0,0,AW214/AW202*100)</f>
        <v>0</v>
      </c>
      <c r="AX208" s="3109">
        <f>IF(AX202=0,0,AX214/AX202*100)</f>
        <v>0</v>
      </c>
      <c r="AY208" s="3109">
        <f>IF(AY202=0,0,AY214/AY202*100)</f>
        <v>0</v>
      </c>
      <c r="AZ208" s="3109">
        <f>IF(AZ202=0,0,AZ214/AZ202*100)</f>
        <v>0</v>
      </c>
      <c r="BA208" s="3109">
        <f>IF(BA202=0,0,BA214/BA202*100)</f>
        <v>0</v>
      </c>
      <c r="BB208" s="3109">
        <f>IF(BB202=0,0,BB214/BB202*100)</f>
        <v>0</v>
      </c>
      <c r="BC208" s="196"/>
      <c r="BD208" s="1240"/>
      <c r="BE208" s="1240"/>
      <c r="BF208" s="1042" t="s">
        <v>1134</v>
      </c>
    </row>
    <row s="1656" customFormat="1" customHeight="1" ht="14.25">
      <c r="A209" s="1240"/>
      <c r="B209" s="1223"/>
      <c r="C209" s="1240"/>
      <c r="D209" s="1240"/>
      <c r="E209" s="633">
        <v>15</v>
      </c>
      <c r="F209" s="50" cm="1" t="str">
        <f t="array" ref="F209:F209">OFFSET(E209,-1,1)</f>
        <v>3</v>
      </c>
      <c r="G209" s="100" t="s">
        <v>839</v>
      </c>
      <c r="H209" s="1240"/>
      <c r="I209" s="1240"/>
      <c r="J209" s="1240"/>
      <c r="K209" s="1240"/>
      <c r="L209" s="1240"/>
      <c r="M209" s="1240"/>
      <c r="N209" s="1240"/>
      <c r="O209" s="1240"/>
      <c r="P209" s="1240"/>
      <c r="Q209" s="1240"/>
      <c r="R209" s="1240"/>
      <c r="S209" s="1240"/>
      <c r="T209" s="468" cm="1" t="str">
        <f t="array" ref="T209:T209">T208</f>
        <v>true</v>
      </c>
      <c r="U209" s="1240"/>
      <c r="V209" s="1240"/>
      <c r="W209" s="1240"/>
      <c r="X209" s="1559"/>
      <c r="Y209" s="1240"/>
      <c r="Z209" s="1560"/>
      <c r="AA209" s="1240"/>
      <c r="AB209" s="84" t="s">
        <v>1135</v>
      </c>
      <c r="AC209" s="210" t="s">
        <v>1077</v>
      </c>
      <c r="AD209" s="84" t="s">
        <v>561</v>
      </c>
      <c r="AE209" s="211">
        <f>IF(AE203=0,0,AE215/AE203*100)</f>
        <v>0</v>
      </c>
      <c r="AF209" s="211">
        <f>IF(AF203=0,0,AF215/AF203*100)</f>
        <v>0</v>
      </c>
      <c r="AG209" s="211">
        <f>IF(AG203=0,0,AG215/AG203*100)</f>
        <v>0</v>
      </c>
      <c r="AH209" s="211">
        <f>IF(AH203=0,0,AH215/AH203*100)</f>
        <v>0</v>
      </c>
      <c r="AI209" s="211">
        <f>IF(AI203=0,0,AI215/AI203*100)</f>
        <v>0</v>
      </c>
      <c r="AJ209" s="3109">
        <f>IF(AJ203=0,0,AJ215/AJ203*100)</f>
        <v>0</v>
      </c>
      <c r="AK209" s="3109">
        <f>IF(AK203=0,0,AK215/AK203*100)</f>
        <v>0</v>
      </c>
      <c r="AL209" s="3109">
        <f>IF(AL203=0,0,AL215/AL203*100)</f>
        <v>0</v>
      </c>
      <c r="AM209" s="3109">
        <f>IF(AM203=0,0,AM215/AM203*100)</f>
        <v>0</v>
      </c>
      <c r="AN209" s="3109">
        <f>IF(AN203=0,0,AN215/AN203*100)</f>
        <v>0</v>
      </c>
      <c r="AO209" s="3109">
        <f>IF(AO203=0,0,AO215/AO203*100)</f>
        <v>0</v>
      </c>
      <c r="AP209" s="3109">
        <f>IF(AP203=0,0,AP215/AP203*100)</f>
        <v>0</v>
      </c>
      <c r="AQ209" s="3109">
        <f>IF(AQ203=0,0,AQ215/AQ203*100)</f>
        <v>0</v>
      </c>
      <c r="AR209" s="3109">
        <f>IF(AR203=0,0,AR215/AR203*100)</f>
        <v>0</v>
      </c>
      <c r="AS209" s="211">
        <f>IF(AS203=0,0,AS215/AS203*100)</f>
        <v>0</v>
      </c>
      <c r="AT209" s="3109">
        <f>IF(AT203=0,0,AT215/AT203*100)</f>
        <v>0</v>
      </c>
      <c r="AU209" s="3109">
        <f>IF(AU203=0,0,AU215/AU203*100)</f>
        <v>0</v>
      </c>
      <c r="AV209" s="3109">
        <f>IF(AV203=0,0,AV215/AV203*100)</f>
        <v>0</v>
      </c>
      <c r="AW209" s="3109">
        <f>IF(AW203=0,0,AW215/AW203*100)</f>
        <v>0</v>
      </c>
      <c r="AX209" s="3109">
        <f>IF(AX203=0,0,AX215/AX203*100)</f>
        <v>0</v>
      </c>
      <c r="AY209" s="3109">
        <f>IF(AY203=0,0,AY215/AY203*100)</f>
        <v>0</v>
      </c>
      <c r="AZ209" s="3109">
        <f>IF(AZ203=0,0,AZ215/AZ203*100)</f>
        <v>0</v>
      </c>
      <c r="BA209" s="3109">
        <f>IF(BA203=0,0,BA215/BA203*100)</f>
        <v>0</v>
      </c>
      <c r="BB209" s="3109">
        <f>IF(BB203=0,0,BB215/BB203*100)</f>
        <v>0</v>
      </c>
      <c r="BC209" s="196"/>
      <c r="BD209" s="1240"/>
      <c r="BE209" s="1240"/>
      <c r="BF209" s="1042" t="s">
        <v>1136</v>
      </c>
    </row>
    <row s="1656" customFormat="1" customHeight="1" ht="14.625">
      <c r="A210" s="1240"/>
      <c r="B210" s="1223"/>
      <c r="C210" s="1240"/>
      <c r="D210" s="1240"/>
      <c r="E210" s="633">
        <v>15</v>
      </c>
      <c r="F210" s="50" cm="1" t="str">
        <f t="array" ref="F210:F210">OFFSET(E210,-1,1)</f>
        <v>3</v>
      </c>
      <c r="G210" s="100" t="s">
        <v>849</v>
      </c>
      <c r="H210" s="1240"/>
      <c r="I210" s="1240"/>
      <c r="J210" s="1240"/>
      <c r="K210" s="1240"/>
      <c r="L210" s="1240"/>
      <c r="M210" s="1240"/>
      <c r="N210" s="1240"/>
      <c r="O210" s="1240"/>
      <c r="P210" s="1240"/>
      <c r="Q210" s="1240"/>
      <c r="R210" s="1240"/>
      <c r="S210" s="1240"/>
      <c r="T210" s="468" cm="1" t="str">
        <f t="array" ref="T210:T210">T209</f>
        <v>true</v>
      </c>
      <c r="U210" s="1240"/>
      <c r="V210" s="1240"/>
      <c r="W210" s="1240"/>
      <c r="X210" s="1559"/>
      <c r="Y210" s="1240"/>
      <c r="Z210" s="1560"/>
      <c r="AA210" s="1240"/>
      <c r="AB210" s="84" t="s">
        <v>1137</v>
      </c>
      <c r="AC210" s="210" t="s">
        <v>1081</v>
      </c>
      <c r="AD210" s="84" t="s">
        <v>561</v>
      </c>
      <c r="AE210" s="211">
        <v>3.3325015097</v>
      </c>
      <c r="AF210" s="211">
        <f>IF(AF204=0,0,AF216/AF204*100)</f>
        <v>0</v>
      </c>
      <c r="AG210" s="211">
        <f>IF(AG204=0,0,AG216/AG204*100)</f>
        <v>45.8207876109311</v>
      </c>
      <c r="AH210" s="211">
        <f>IF(AH204=0,0,AH216/AH204*100)</f>
        <v>0</v>
      </c>
      <c r="AI210" s="211">
        <f>IF(AI204=0,0,AI216/AI204*100)</f>
        <v>0</v>
      </c>
      <c r="AJ210" s="3109">
        <f>IF(AJ204=0,0,AJ216/AJ204*100)</f>
        <v>0</v>
      </c>
      <c r="AK210" s="3109">
        <f>IF(AK204=0,0,AK216/AK204*100)</f>
        <v>0</v>
      </c>
      <c r="AL210" s="3109">
        <f>IF(AL204=0,0,AL216/AL204*100)</f>
        <v>0</v>
      </c>
      <c r="AM210" s="3109">
        <f>IF(AM204=0,0,AM216/AM204*100)</f>
        <v>0</v>
      </c>
      <c r="AN210" s="3109">
        <f>IF(AN204=0,0,AN216/AN204*100)</f>
        <v>0</v>
      </c>
      <c r="AO210" s="3109">
        <f>IF(AO204=0,0,AO216/AO204*100)</f>
        <v>0</v>
      </c>
      <c r="AP210" s="3109">
        <f>IF(AP204=0,0,AP216/AP204*100)</f>
        <v>0</v>
      </c>
      <c r="AQ210" s="3109">
        <f>IF(AQ204=0,0,AQ216/AQ204*100)</f>
        <v>0</v>
      </c>
      <c r="AR210" s="3109">
        <f>IF(AR204=0,0,AR216/AR204*100)</f>
        <v>0</v>
      </c>
      <c r="AS210" s="211">
        <f>IF(AS204=0,0,AS216/AS204*100)</f>
        <v>6.41051392974871</v>
      </c>
      <c r="AT210" s="3109">
        <f>IF(AT204=0,0,AT216/AT204*100)</f>
        <v>0</v>
      </c>
      <c r="AU210" s="3109">
        <f>IF(AU204=0,0,AU216/AU204*100)</f>
        <v>0</v>
      </c>
      <c r="AV210" s="3109">
        <f>IF(AV204=0,0,AV216/AV204*100)</f>
        <v>0</v>
      </c>
      <c r="AW210" s="3109">
        <f>IF(AW204=0,0,AW216/AW204*100)</f>
        <v>0</v>
      </c>
      <c r="AX210" s="3109">
        <f>IF(AX204=0,0,AX216/AX204*100)</f>
        <v>0</v>
      </c>
      <c r="AY210" s="3109">
        <f>IF(AY204=0,0,AY216/AY204*100)</f>
        <v>0</v>
      </c>
      <c r="AZ210" s="3109">
        <f>IF(AZ204=0,0,AZ216/AZ204*100)</f>
        <v>0</v>
      </c>
      <c r="BA210" s="3109">
        <f>IF(BA204=0,0,BA216/BA204*100)</f>
        <v>0</v>
      </c>
      <c r="BB210" s="3109">
        <f>IF(BB204=0,0,BB216/BB204*100)</f>
        <v>0</v>
      </c>
      <c r="BC210" s="196"/>
      <c r="BD210" s="1240"/>
      <c r="BE210" s="1240"/>
      <c r="BF210" s="1042" t="s">
        <v>1138</v>
      </c>
    </row>
    <row s="528" customFormat="1" customHeight="1" ht="17.671875">
      <c r="A211" s="528"/>
      <c r="B211" s="433"/>
      <c r="C211" s="528"/>
      <c r="D211" s="528"/>
      <c r="E211" s="633">
        <v>15</v>
      </c>
      <c r="F211" s="50" cm="1" t="str">
        <f t="array" ref="F211:F211">OFFSET(E211,-1,1)</f>
        <v>3</v>
      </c>
      <c r="G211" s="100" t="s">
        <v>619</v>
      </c>
      <c r="H211" s="528"/>
      <c r="I211" s="528"/>
      <c r="J211" s="528"/>
      <c r="K211" s="120" t="str">
        <f>F211&amp;"komm"</f>
        <v>3komm</v>
      </c>
      <c r="L211" s="926" cm="1" t="str">
        <f t="array" ref="L211:L211">BC211</f>
        <v>0</v>
      </c>
      <c r="M211" s="528"/>
      <c r="N211" s="528"/>
      <c r="O211" s="528"/>
      <c r="P211" s="528"/>
      <c r="Q211" s="528"/>
      <c r="R211" s="528"/>
      <c r="S211" s="528"/>
      <c r="T211" s="468" cm="1" t="str">
        <f t="array" ref="T211:T211">T210</f>
        <v>true</v>
      </c>
      <c r="U211" s="528"/>
      <c r="V211" s="528"/>
      <c r="W211" s="528"/>
      <c r="X211" s="1559"/>
      <c r="Y211" s="528"/>
      <c r="Z211" s="1560"/>
      <c r="AA211" s="528"/>
      <c r="AB211" s="207">
        <v>7</v>
      </c>
      <c r="AC211" s="208" t="s">
        <v>1139</v>
      </c>
      <c r="AD211" s="85" t="s">
        <v>936</v>
      </c>
      <c r="AE211" s="1217">
        <v>7218.43</v>
      </c>
      <c r="AF211" s="1217">
        <f>SUM(AF212:AF216)</f>
        <v>2435.28</v>
      </c>
      <c r="AG211" s="1217">
        <f>SUM(AG212:AG216)</f>
        <v>7258.66</v>
      </c>
      <c r="AH211" s="1217">
        <v>7258.66</v>
      </c>
      <c r="AI211" s="1217">
        <f>SUM(AI212:AI216)</f>
        <v>7258.66</v>
      </c>
      <c r="AJ211" s="3107">
        <f>SUM(AJ212:AJ216)</f>
        <v>0</v>
      </c>
      <c r="AK211" s="3107">
        <f>SUM(AK212:AK216)</f>
        <v>0</v>
      </c>
      <c r="AL211" s="3107">
        <f>SUM(AL212:AL216)</f>
        <v>0</v>
      </c>
      <c r="AM211" s="3107">
        <f>SUM(AM212:AM216)</f>
        <v>0</v>
      </c>
      <c r="AN211" s="3107">
        <f>SUM(AN212:AN216)</f>
        <v>0</v>
      </c>
      <c r="AO211" s="3107">
        <f>SUM(AO212:AO216)</f>
        <v>0</v>
      </c>
      <c r="AP211" s="3107">
        <f>SUM(AP212:AP216)</f>
        <v>0</v>
      </c>
      <c r="AQ211" s="3107">
        <f>SUM(AQ212:AQ216)</f>
        <v>0</v>
      </c>
      <c r="AR211" s="3107">
        <f>SUM(AR212:AR216)</f>
        <v>0</v>
      </c>
      <c r="AS211" s="1217">
        <f>SUM(AS212:AS216)</f>
        <v>7258.66</v>
      </c>
      <c r="AT211" s="3107">
        <f>SUM(AT212:AT216)</f>
        <v>0</v>
      </c>
      <c r="AU211" s="3107">
        <f>SUM(AU212:AU216)</f>
        <v>0</v>
      </c>
      <c r="AV211" s="3107">
        <f>SUM(AV212:AV216)</f>
        <v>0</v>
      </c>
      <c r="AW211" s="3107">
        <f>SUM(AW212:AW216)</f>
        <v>0</v>
      </c>
      <c r="AX211" s="3107">
        <f>SUM(AX212:AX216)</f>
        <v>0</v>
      </c>
      <c r="AY211" s="3107">
        <f>SUM(AY212:AY216)</f>
        <v>0</v>
      </c>
      <c r="AZ211" s="3107">
        <f>SUM(AZ212:AZ216)</f>
        <v>0</v>
      </c>
      <c r="BA211" s="3107">
        <f>SUM(BA212:BA216)</f>
        <v>0</v>
      </c>
      <c r="BB211" s="3107">
        <f>SUM(BB212:BB216)</f>
        <v>0</v>
      </c>
      <c r="BC211" s="196"/>
      <c r="BD211" s="528"/>
      <c r="BE211" s="528"/>
      <c r="BF211" s="1042" t="s">
        <v>1140</v>
      </c>
    </row>
    <row s="1656" customFormat="1" customHeight="1" ht="14.625">
      <c r="A212" s="1240"/>
      <c r="B212" s="1223"/>
      <c r="C212" s="1240"/>
      <c r="D212" s="1240"/>
      <c r="E212" s="633">
        <v>15</v>
      </c>
      <c r="F212" s="50" cm="1" t="str">
        <f t="array" ref="F212:F212">OFFSET(E212,-1,1)</f>
        <v>3</v>
      </c>
      <c r="G212" s="100" t="s">
        <v>800</v>
      </c>
      <c r="H212" s="1240"/>
      <c r="I212" s="1240"/>
      <c r="J212" s="1240"/>
      <c r="K212" s="1240"/>
      <c r="L212" s="1240"/>
      <c r="M212" s="1240"/>
      <c r="N212" s="1240"/>
      <c r="O212" s="1240"/>
      <c r="P212" s="1240"/>
      <c r="Q212" s="1240"/>
      <c r="R212" s="1240"/>
      <c r="S212" s="1240"/>
      <c r="T212" s="468" cm="1" t="str">
        <f t="array" ref="T212:T212">T211</f>
        <v>true</v>
      </c>
      <c r="U212" s="1240"/>
      <c r="V212" s="1240"/>
      <c r="W212" s="1240"/>
      <c r="X212" s="1559"/>
      <c r="Y212" s="1240"/>
      <c r="Z212" s="1560"/>
      <c r="AA212" s="1240"/>
      <c r="AB212" s="84" t="s">
        <v>704</v>
      </c>
      <c r="AC212" s="210" t="s">
        <v>1068</v>
      </c>
      <c r="AD212" s="85" t="s">
        <v>936</v>
      </c>
      <c r="AE212" s="211">
        <v>0</v>
      </c>
      <c r="AF212" s="211"/>
      <c r="AG212" s="211"/>
      <c r="AH212" s="211">
        <v>0</v>
      </c>
      <c r="AI212" s="211"/>
      <c r="AJ212" s="3109"/>
      <c r="AK212" s="3109"/>
      <c r="AL212" s="3109"/>
      <c r="AM212" s="3109"/>
      <c r="AN212" s="3109"/>
      <c r="AO212" s="3109"/>
      <c r="AP212" s="3109"/>
      <c r="AQ212" s="3109"/>
      <c r="AR212" s="3109"/>
      <c r="AS212" s="211"/>
      <c r="AT212" s="3109"/>
      <c r="AU212" s="3109"/>
      <c r="AV212" s="3109"/>
      <c r="AW212" s="3109"/>
      <c r="AX212" s="3109"/>
      <c r="AY212" s="3109"/>
      <c r="AZ212" s="3109"/>
      <c r="BA212" s="3109"/>
      <c r="BB212" s="3109"/>
      <c r="BC212" s="196"/>
      <c r="BD212" s="1240"/>
      <c r="BE212" s="1240"/>
      <c r="BF212" s="1042" t="s">
        <v>1141</v>
      </c>
    </row>
    <row s="1656" customFormat="1" customHeight="1" ht="59.671875">
      <c r="A213" s="1240"/>
      <c r="B213" s="1223"/>
      <c r="C213" s="1240"/>
      <c r="D213" s="1240"/>
      <c r="E213" s="633">
        <v>15</v>
      </c>
      <c r="F213" s="50" cm="1" t="str">
        <f t="array" ref="F213:F213">OFFSET(E213,-1,1)</f>
        <v>3</v>
      </c>
      <c r="G213" s="100" t="s">
        <v>803</v>
      </c>
      <c r="H213" s="1240"/>
      <c r="I213" s="1240"/>
      <c r="J213" s="1240"/>
      <c r="K213" s="1240"/>
      <c r="L213" s="1240"/>
      <c r="M213" s="1240"/>
      <c r="N213" s="1240"/>
      <c r="O213" s="1240"/>
      <c r="P213" s="1240"/>
      <c r="Q213" s="1240"/>
      <c r="R213" s="1240"/>
      <c r="S213" s="1240"/>
      <c r="T213" s="468" cm="1" t="str">
        <f t="array" ref="T213:T213">T212</f>
        <v>true</v>
      </c>
      <c r="U213" s="1240"/>
      <c r="V213" s="1240"/>
      <c r="W213" s="1240"/>
      <c r="X213" s="1559"/>
      <c r="Y213" s="1240"/>
      <c r="Z213" s="1560"/>
      <c r="AA213" s="1240"/>
      <c r="AB213" s="84" t="s">
        <v>1142</v>
      </c>
      <c r="AC213" s="210" t="s">
        <v>1071</v>
      </c>
      <c r="AD213" s="85" t="s">
        <v>936</v>
      </c>
      <c r="AE213" s="211">
        <v>7215.87</v>
      </c>
      <c r="AF213" s="211">
        <f>42.79+2392.49</f>
        <v>2435.28</v>
      </c>
      <c r="AG213" s="211">
        <v>42.79</v>
      </c>
      <c r="AH213" s="211">
        <v>7258.66</v>
      </c>
      <c r="AI213" s="211">
        <f>42.79+7215.87</f>
        <v>7258.66</v>
      </c>
      <c r="AJ213" s="3109"/>
      <c r="AK213" s="3109"/>
      <c r="AL213" s="3109"/>
      <c r="AM213" s="3109"/>
      <c r="AN213" s="3109"/>
      <c r="AO213" s="3109"/>
      <c r="AP213" s="3109"/>
      <c r="AQ213" s="3109"/>
      <c r="AR213" s="3109"/>
      <c r="AS213" s="211">
        <v>42.79</v>
      </c>
      <c r="AT213" s="3109"/>
      <c r="AU213" s="3109"/>
      <c r="AV213" s="3109"/>
      <c r="AW213" s="3109"/>
      <c r="AX213" s="3109"/>
      <c r="AY213" s="3109"/>
      <c r="AZ213" s="3109"/>
      <c r="BA213" s="3109"/>
      <c r="BB213" s="3109"/>
      <c r="BC213" s="196" t="s">
        <v>1183</v>
      </c>
      <c r="BD213" s="1240"/>
      <c r="BE213" s="1240"/>
      <c r="BF213" s="1042" t="s">
        <v>1143</v>
      </c>
    </row>
    <row s="1656" customFormat="1" customHeight="1" ht="14.625">
      <c r="A214" s="1240"/>
      <c r="B214" s="1223"/>
      <c r="C214" s="1240"/>
      <c r="D214" s="1240"/>
      <c r="E214" s="633">
        <v>15</v>
      </c>
      <c r="F214" s="50" cm="1" t="str">
        <f t="array" ref="F214:F214">OFFSET(E214,-1,1)</f>
        <v>3</v>
      </c>
      <c r="G214" s="100" t="s">
        <v>1144</v>
      </c>
      <c r="H214" s="1240"/>
      <c r="I214" s="1240"/>
      <c r="J214" s="1240"/>
      <c r="K214" s="1240"/>
      <c r="L214" s="1240"/>
      <c r="M214" s="1240"/>
      <c r="N214" s="1240"/>
      <c r="O214" s="1240"/>
      <c r="P214" s="1240"/>
      <c r="Q214" s="1240"/>
      <c r="R214" s="1240"/>
      <c r="S214" s="1240"/>
      <c r="T214" s="468" cm="1" t="str">
        <f t="array" ref="T214:T214">T213</f>
        <v>true</v>
      </c>
      <c r="U214" s="1240"/>
      <c r="V214" s="1240"/>
      <c r="W214" s="1240"/>
      <c r="X214" s="1559"/>
      <c r="Y214" s="1240"/>
      <c r="Z214" s="1560"/>
      <c r="AA214" s="1240"/>
      <c r="AB214" s="84" t="s">
        <v>1145</v>
      </c>
      <c r="AC214" s="210" t="s">
        <v>1074</v>
      </c>
      <c r="AD214" s="85" t="s">
        <v>936</v>
      </c>
      <c r="AE214" s="211">
        <v>0</v>
      </c>
      <c r="AF214" s="211"/>
      <c r="AG214" s="211"/>
      <c r="AH214" s="211">
        <v>0</v>
      </c>
      <c r="AI214" s="211"/>
      <c r="AJ214" s="3109"/>
      <c r="AK214" s="3109"/>
      <c r="AL214" s="3109"/>
      <c r="AM214" s="3109"/>
      <c r="AN214" s="3109"/>
      <c r="AO214" s="3109"/>
      <c r="AP214" s="3109"/>
      <c r="AQ214" s="3109"/>
      <c r="AR214" s="3109"/>
      <c r="AS214" s="211"/>
      <c r="AT214" s="3109"/>
      <c r="AU214" s="3109"/>
      <c r="AV214" s="3109"/>
      <c r="AW214" s="3109"/>
      <c r="AX214" s="3109"/>
      <c r="AY214" s="3109"/>
      <c r="AZ214" s="3109"/>
      <c r="BA214" s="3109"/>
      <c r="BB214" s="3109"/>
      <c r="BC214" s="196"/>
      <c r="BD214" s="1240"/>
      <c r="BE214" s="1240"/>
      <c r="BF214" s="1042" t="s">
        <v>1146</v>
      </c>
    </row>
    <row s="1656" customFormat="1" customHeight="1" ht="14.625">
      <c r="A215" s="1240"/>
      <c r="B215" s="1223"/>
      <c r="C215" s="1240"/>
      <c r="D215" s="1240"/>
      <c r="E215" s="633">
        <v>15</v>
      </c>
      <c r="F215" s="50" cm="1" t="str">
        <f t="array" ref="F215:F215">OFFSET(E215,-1,1)</f>
        <v>3</v>
      </c>
      <c r="G215" s="100" t="s">
        <v>1147</v>
      </c>
      <c r="H215" s="1240"/>
      <c r="I215" s="1240"/>
      <c r="J215" s="1240"/>
      <c r="K215" s="1240"/>
      <c r="L215" s="1240"/>
      <c r="M215" s="1240"/>
      <c r="N215" s="1240"/>
      <c r="O215" s="1240"/>
      <c r="P215" s="1240"/>
      <c r="Q215" s="1240"/>
      <c r="R215" s="1240"/>
      <c r="S215" s="1240"/>
      <c r="T215" s="468" cm="1" t="str">
        <f t="array" ref="T215:T215">T214</f>
        <v>true</v>
      </c>
      <c r="U215" s="1240"/>
      <c r="V215" s="1240"/>
      <c r="W215" s="1240"/>
      <c r="X215" s="1559"/>
      <c r="Y215" s="1240"/>
      <c r="Z215" s="1560"/>
      <c r="AA215" s="1240"/>
      <c r="AB215" s="84" t="s">
        <v>1148</v>
      </c>
      <c r="AC215" s="210" t="s">
        <v>1077</v>
      </c>
      <c r="AD215" s="85" t="s">
        <v>936</v>
      </c>
      <c r="AE215" s="211">
        <v>0</v>
      </c>
      <c r="AF215" s="211"/>
      <c r="AG215" s="211"/>
      <c r="AH215" s="211">
        <v>0</v>
      </c>
      <c r="AI215" s="211"/>
      <c r="AJ215" s="3109"/>
      <c r="AK215" s="3109"/>
      <c r="AL215" s="3109"/>
      <c r="AM215" s="3109"/>
      <c r="AN215" s="3109"/>
      <c r="AO215" s="3109"/>
      <c r="AP215" s="3109"/>
      <c r="AQ215" s="3109"/>
      <c r="AR215" s="3109"/>
      <c r="AS215" s="211"/>
      <c r="AT215" s="3109"/>
      <c r="AU215" s="3109"/>
      <c r="AV215" s="3109"/>
      <c r="AW215" s="3109"/>
      <c r="AX215" s="3109"/>
      <c r="AY215" s="3109"/>
      <c r="AZ215" s="3109"/>
      <c r="BA215" s="3109"/>
      <c r="BB215" s="3109"/>
      <c r="BC215" s="196"/>
      <c r="BD215" s="1240"/>
      <c r="BE215" s="1240"/>
      <c r="BF215" s="1042" t="s">
        <v>1149</v>
      </c>
    </row>
    <row s="1656" customFormat="1" customHeight="1" ht="41.671875">
      <c r="A216" s="1240"/>
      <c r="B216" s="1223"/>
      <c r="C216" s="1240"/>
      <c r="D216" s="1240"/>
      <c r="E216" s="633">
        <v>15</v>
      </c>
      <c r="F216" s="50" cm="1" t="str">
        <f t="array" ref="F216:F216">OFFSET(E216,-1,1)</f>
        <v>3</v>
      </c>
      <c r="G216" s="100" t="s">
        <v>1150</v>
      </c>
      <c r="H216" s="1240"/>
      <c r="I216" s="1240"/>
      <c r="J216" s="1240"/>
      <c r="K216" s="1240"/>
      <c r="L216" s="1240"/>
      <c r="M216" s="1240"/>
      <c r="N216" s="1240"/>
      <c r="O216" s="1240"/>
      <c r="P216" s="1240"/>
      <c r="Q216" s="1240"/>
      <c r="R216" s="1240"/>
      <c r="S216" s="1240"/>
      <c r="T216" s="468" cm="1" t="str">
        <f t="array" ref="T216:T216">T215</f>
        <v>true</v>
      </c>
      <c r="U216" s="1240"/>
      <c r="V216" s="1240"/>
      <c r="W216" s="1240"/>
      <c r="X216" s="1559"/>
      <c r="Y216" s="1240"/>
      <c r="Z216" s="1560"/>
      <c r="AA216" s="1240"/>
      <c r="AB216" s="84" t="s">
        <v>1151</v>
      </c>
      <c r="AC216" s="210" t="s">
        <v>1081</v>
      </c>
      <c r="AD216" s="85" t="s">
        <v>936</v>
      </c>
      <c r="AE216" s="211">
        <v>2.56</v>
      </c>
      <c r="AF216" s="211"/>
      <c r="AG216" s="211" cm="1" t="str">
        <f t="array" ref="AG216:AG216">AE213</f>
        <v>7215.87</v>
      </c>
      <c r="AH216" s="211">
        <v>0</v>
      </c>
      <c r="AI216" s="211"/>
      <c r="AJ216" s="3109"/>
      <c r="AK216" s="3109"/>
      <c r="AL216" s="3109"/>
      <c r="AM216" s="3109"/>
      <c r="AN216" s="3109"/>
      <c r="AO216" s="3109"/>
      <c r="AP216" s="3109"/>
      <c r="AQ216" s="3109"/>
      <c r="AR216" s="3109"/>
      <c r="AS216" s="211">
        <v>7215.87</v>
      </c>
      <c r="AT216" s="3109"/>
      <c r="AU216" s="3109"/>
      <c r="AV216" s="3109"/>
      <c r="AW216" s="3109"/>
      <c r="AX216" s="3109"/>
      <c r="AY216" s="3109"/>
      <c r="AZ216" s="3109"/>
      <c r="BA216" s="3109"/>
      <c r="BB216" s="3109"/>
      <c r="BC216" s="196" t="s">
        <v>1184</v>
      </c>
      <c r="BD216" s="1240"/>
      <c r="BE216" s="1240"/>
      <c r="BF216" s="1042" t="s">
        <v>1152</v>
      </c>
    </row>
    <row s="528" customFormat="1" customHeight="1" ht="14.25">
      <c r="A217" s="528"/>
      <c r="B217" s="433"/>
      <c r="C217" s="528"/>
      <c r="D217" s="528"/>
      <c r="E217" s="633">
        <v>15</v>
      </c>
      <c r="F217" s="50" cm="1" t="str">
        <f t="array" ref="F217:F217">OFFSET(E217,-1,1)</f>
        <v>3</v>
      </c>
      <c r="G217" s="100" t="s">
        <v>685</v>
      </c>
      <c r="H217" s="528"/>
      <c r="I217" s="528"/>
      <c r="J217" s="528"/>
      <c r="K217" s="528"/>
      <c r="L217" s="528"/>
      <c r="M217" s="528"/>
      <c r="N217" s="528"/>
      <c r="O217" s="528"/>
      <c r="P217" s="528"/>
      <c r="Q217" s="528"/>
      <c r="R217" s="528"/>
      <c r="S217" s="528"/>
      <c r="T217" s="468" cm="1" t="str">
        <f t="array" ref="T217:T217">T216</f>
        <v>true</v>
      </c>
      <c r="U217" s="528"/>
      <c r="V217" s="528"/>
      <c r="W217" s="528"/>
      <c r="X217" s="1559"/>
      <c r="Y217" s="528"/>
      <c r="Z217" s="1560"/>
      <c r="AA217" s="528"/>
      <c r="AB217" s="207">
        <v>8</v>
      </c>
      <c r="AC217" s="208" t="s">
        <v>1153</v>
      </c>
      <c r="AD217" s="85" t="s">
        <v>936</v>
      </c>
      <c r="AE217" s="1217">
        <f>SUM(AE218:AE222)</f>
        <v>0</v>
      </c>
      <c r="AF217" s="1217">
        <f>SUM(AF218:AF222)</f>
        <v>0</v>
      </c>
      <c r="AG217" s="1217">
        <f>SUM(AG218:AG222)</f>
        <v>0</v>
      </c>
      <c r="AH217" s="1217">
        <f>SUM(AH218:AH222)</f>
        <v>0</v>
      </c>
      <c r="AI217" s="1217">
        <f>SUM(AI218:AI222)</f>
        <v>0</v>
      </c>
      <c r="AJ217" s="3107">
        <f>SUM(AJ218:AJ222)</f>
        <v>0</v>
      </c>
      <c r="AK217" s="3107">
        <f>SUM(AK218:AK222)</f>
        <v>0</v>
      </c>
      <c r="AL217" s="3107">
        <f>SUM(AL218:AL222)</f>
        <v>0</v>
      </c>
      <c r="AM217" s="3107">
        <f>SUM(AM218:AM222)</f>
        <v>0</v>
      </c>
      <c r="AN217" s="3107">
        <f>SUM(AN218:AN222)</f>
        <v>0</v>
      </c>
      <c r="AO217" s="3107">
        <f>SUM(AO218:AO222)</f>
        <v>0</v>
      </c>
      <c r="AP217" s="3107">
        <f>SUM(AP218:AP222)</f>
        <v>0</v>
      </c>
      <c r="AQ217" s="3107">
        <f>SUM(AQ218:AQ222)</f>
        <v>0</v>
      </c>
      <c r="AR217" s="3107">
        <f>SUM(AR218:AR222)</f>
        <v>0</v>
      </c>
      <c r="AS217" s="1217">
        <f>SUM(AS218:AS222)</f>
        <v>0</v>
      </c>
      <c r="AT217" s="3107">
        <f>SUM(AT218:AT222)</f>
        <v>0</v>
      </c>
      <c r="AU217" s="3107">
        <f>SUM(AU218:AU222)</f>
        <v>0</v>
      </c>
      <c r="AV217" s="3107">
        <f>SUM(AV218:AV222)</f>
        <v>0</v>
      </c>
      <c r="AW217" s="3107">
        <f>SUM(AW218:AW222)</f>
        <v>0</v>
      </c>
      <c r="AX217" s="3107">
        <f>SUM(AX218:AX222)</f>
        <v>0</v>
      </c>
      <c r="AY217" s="3107">
        <f>SUM(AY218:AY222)</f>
        <v>0</v>
      </c>
      <c r="AZ217" s="3107">
        <f>SUM(AZ218:AZ222)</f>
        <v>0</v>
      </c>
      <c r="BA217" s="3107">
        <f>SUM(BA218:BA222)</f>
        <v>0</v>
      </c>
      <c r="BB217" s="3107">
        <f>SUM(BB218:BB222)</f>
        <v>0</v>
      </c>
      <c r="BC217" s="196"/>
      <c r="BD217" s="528"/>
      <c r="BE217" s="528"/>
      <c r="BF217" s="1042" t="s">
        <v>1154</v>
      </c>
    </row>
    <row s="1656" customFormat="1" customHeight="1" ht="14.625">
      <c r="A218" s="1240"/>
      <c r="B218" s="1223"/>
      <c r="C218" s="1240"/>
      <c r="D218" s="1240"/>
      <c r="E218" s="633">
        <v>15</v>
      </c>
      <c r="F218" s="50" cm="1" t="str">
        <f t="array" ref="F218:F218">OFFSET(E218,-1,1)</f>
        <v>3</v>
      </c>
      <c r="G218" s="100" t="s">
        <v>688</v>
      </c>
      <c r="H218" s="1240"/>
      <c r="I218" s="1240"/>
      <c r="J218" s="1240"/>
      <c r="K218" s="1240"/>
      <c r="L218" s="1240"/>
      <c r="M218" s="1240"/>
      <c r="N218" s="1240"/>
      <c r="O218" s="1240"/>
      <c r="P218" s="1240"/>
      <c r="Q218" s="1240"/>
      <c r="R218" s="1240"/>
      <c r="S218" s="1240"/>
      <c r="T218" s="468" cm="1" t="str">
        <f t="array" ref="T218:T218">T217</f>
        <v>true</v>
      </c>
      <c r="U218" s="1240"/>
      <c r="V218" s="1240"/>
      <c r="W218" s="1240"/>
      <c r="X218" s="1559"/>
      <c r="Y218" s="1240"/>
      <c r="Z218" s="1560"/>
      <c r="AA218" s="1240"/>
      <c r="AB218" s="84" t="s">
        <v>711</v>
      </c>
      <c r="AC218" s="210" t="s">
        <v>1068</v>
      </c>
      <c r="AD218" s="85" t="s">
        <v>936</v>
      </c>
      <c r="AE218" s="211">
        <v>0</v>
      </c>
      <c r="AF218" s="211"/>
      <c r="AG218" s="211"/>
      <c r="AH218" s="211"/>
      <c r="AI218" s="211"/>
      <c r="AJ218" s="3109"/>
      <c r="AK218" s="3109"/>
      <c r="AL218" s="3109"/>
      <c r="AM218" s="3109"/>
      <c r="AN218" s="3109"/>
      <c r="AO218" s="3109"/>
      <c r="AP218" s="3109"/>
      <c r="AQ218" s="3109"/>
      <c r="AR218" s="3109"/>
      <c r="AS218" s="211"/>
      <c r="AT218" s="3109"/>
      <c r="AU218" s="3109"/>
      <c r="AV218" s="3109"/>
      <c r="AW218" s="3109"/>
      <c r="AX218" s="3109"/>
      <c r="AY218" s="3109"/>
      <c r="AZ218" s="3109"/>
      <c r="BA218" s="3109"/>
      <c r="BB218" s="3109"/>
      <c r="BC218" s="196"/>
      <c r="BD218" s="1240"/>
      <c r="BE218" s="1240"/>
      <c r="BF218" s="1042" t="s">
        <v>1155</v>
      </c>
    </row>
    <row s="1656" customFormat="1" customHeight="1" ht="14.625">
      <c r="A219" s="1240"/>
      <c r="B219" s="1223"/>
      <c r="C219" s="1240"/>
      <c r="D219" s="1240"/>
      <c r="E219" s="633">
        <v>15</v>
      </c>
      <c r="F219" s="50" cm="1" t="str">
        <f t="array" ref="F219:F219">OFFSET(E219,-1,1)</f>
        <v>3</v>
      </c>
      <c r="G219" s="100" t="s">
        <v>692</v>
      </c>
      <c r="H219" s="1240"/>
      <c r="I219" s="1240"/>
      <c r="J219" s="1240"/>
      <c r="K219" s="1240"/>
      <c r="L219" s="1240"/>
      <c r="M219" s="1240"/>
      <c r="N219" s="1240"/>
      <c r="O219" s="1240"/>
      <c r="P219" s="1240"/>
      <c r="Q219" s="1240"/>
      <c r="R219" s="1240"/>
      <c r="S219" s="1240"/>
      <c r="T219" s="468" cm="1" t="str">
        <f t="array" ref="T219:T219">T218</f>
        <v>true</v>
      </c>
      <c r="U219" s="1240"/>
      <c r="V219" s="1240"/>
      <c r="W219" s="1240"/>
      <c r="X219" s="1559"/>
      <c r="Y219" s="1240"/>
      <c r="Z219" s="1560"/>
      <c r="AA219" s="1240"/>
      <c r="AB219" s="84" t="s">
        <v>728</v>
      </c>
      <c r="AC219" s="210" t="s">
        <v>1071</v>
      </c>
      <c r="AD219" s="85" t="s">
        <v>936</v>
      </c>
      <c r="AE219" s="211">
        <v>0</v>
      </c>
      <c r="AF219" s="211"/>
      <c r="AG219" s="211"/>
      <c r="AH219" s="211"/>
      <c r="AI219" s="211"/>
      <c r="AJ219" s="3109"/>
      <c r="AK219" s="3109"/>
      <c r="AL219" s="3109"/>
      <c r="AM219" s="3109"/>
      <c r="AN219" s="3109"/>
      <c r="AO219" s="3109"/>
      <c r="AP219" s="3109"/>
      <c r="AQ219" s="3109"/>
      <c r="AR219" s="3109"/>
      <c r="AS219" s="211"/>
      <c r="AT219" s="3109"/>
      <c r="AU219" s="3109"/>
      <c r="AV219" s="3109"/>
      <c r="AW219" s="3109"/>
      <c r="AX219" s="3109"/>
      <c r="AY219" s="3109"/>
      <c r="AZ219" s="3109"/>
      <c r="BA219" s="3109"/>
      <c r="BB219" s="3109"/>
      <c r="BC219" s="196"/>
      <c r="BD219" s="1240"/>
      <c r="BE219" s="1240"/>
      <c r="BF219" s="1042" t="s">
        <v>1156</v>
      </c>
    </row>
    <row s="1656" customFormat="1" customHeight="1" ht="14.625">
      <c r="A220" s="1240"/>
      <c r="B220" s="1223"/>
      <c r="C220" s="1240"/>
      <c r="D220" s="1240"/>
      <c r="E220" s="633">
        <v>15</v>
      </c>
      <c r="F220" s="50" cm="1" t="str">
        <f t="array" ref="F220:F220">OFFSET(E220,-1,1)</f>
        <v>3</v>
      </c>
      <c r="G220" s="100" t="s">
        <v>696</v>
      </c>
      <c r="H220" s="1240"/>
      <c r="I220" s="1240"/>
      <c r="J220" s="1240"/>
      <c r="K220" s="1240"/>
      <c r="L220" s="1240"/>
      <c r="M220" s="1240"/>
      <c r="N220" s="1240"/>
      <c r="O220" s="1240"/>
      <c r="P220" s="1240"/>
      <c r="Q220" s="1240"/>
      <c r="R220" s="1240"/>
      <c r="S220" s="1240"/>
      <c r="T220" s="468" cm="1" t="str">
        <f t="array" ref="T220:T220">T219</f>
        <v>true</v>
      </c>
      <c r="U220" s="1240"/>
      <c r="V220" s="1240"/>
      <c r="W220" s="1240"/>
      <c r="X220" s="1559"/>
      <c r="Y220" s="1240"/>
      <c r="Z220" s="1560"/>
      <c r="AA220" s="1240"/>
      <c r="AB220" s="84" t="s">
        <v>740</v>
      </c>
      <c r="AC220" s="210" t="s">
        <v>1074</v>
      </c>
      <c r="AD220" s="85" t="s">
        <v>936</v>
      </c>
      <c r="AE220" s="211">
        <v>0</v>
      </c>
      <c r="AF220" s="211"/>
      <c r="AG220" s="211"/>
      <c r="AH220" s="211"/>
      <c r="AI220" s="211"/>
      <c r="AJ220" s="3109"/>
      <c r="AK220" s="3109"/>
      <c r="AL220" s="3109"/>
      <c r="AM220" s="3109"/>
      <c r="AN220" s="3109"/>
      <c r="AO220" s="3109"/>
      <c r="AP220" s="3109"/>
      <c r="AQ220" s="3109"/>
      <c r="AR220" s="3109"/>
      <c r="AS220" s="211"/>
      <c r="AT220" s="3109"/>
      <c r="AU220" s="3109"/>
      <c r="AV220" s="3109"/>
      <c r="AW220" s="3109"/>
      <c r="AX220" s="3109"/>
      <c r="AY220" s="3109"/>
      <c r="AZ220" s="3109"/>
      <c r="BA220" s="3109"/>
      <c r="BB220" s="3109"/>
      <c r="BC220" s="196"/>
      <c r="BD220" s="1240"/>
      <c r="BE220" s="1240"/>
      <c r="BF220" s="1042" t="s">
        <v>1157</v>
      </c>
    </row>
    <row s="1656" customFormat="1" customHeight="1" ht="14.625">
      <c r="A221" s="1240"/>
      <c r="B221" s="1223"/>
      <c r="C221" s="1240"/>
      <c r="D221" s="1240"/>
      <c r="E221" s="633">
        <v>15</v>
      </c>
      <c r="F221" s="50" cm="1" t="str">
        <f t="array" ref="F221:F221">OFFSET(E221,-1,1)</f>
        <v>3</v>
      </c>
      <c r="G221" s="100" t="s">
        <v>1158</v>
      </c>
      <c r="H221" s="1240"/>
      <c r="I221" s="1240"/>
      <c r="J221" s="1240"/>
      <c r="K221" s="1240"/>
      <c r="L221" s="1240"/>
      <c r="M221" s="1240"/>
      <c r="N221" s="1240"/>
      <c r="O221" s="1240"/>
      <c r="P221" s="1240"/>
      <c r="Q221" s="1240"/>
      <c r="R221" s="1240"/>
      <c r="S221" s="1240"/>
      <c r="T221" s="468" cm="1" t="str">
        <f t="array" ref="T221:T221">T220</f>
        <v>true</v>
      </c>
      <c r="U221" s="1240"/>
      <c r="V221" s="1240"/>
      <c r="W221" s="1240"/>
      <c r="X221" s="1559"/>
      <c r="Y221" s="1240"/>
      <c r="Z221" s="1560"/>
      <c r="AA221" s="1240"/>
      <c r="AB221" s="84" t="s">
        <v>775</v>
      </c>
      <c r="AC221" s="210" t="s">
        <v>1077</v>
      </c>
      <c r="AD221" s="85" t="s">
        <v>936</v>
      </c>
      <c r="AE221" s="211">
        <v>0</v>
      </c>
      <c r="AF221" s="211"/>
      <c r="AG221" s="211"/>
      <c r="AH221" s="211"/>
      <c r="AI221" s="211"/>
      <c r="AJ221" s="3109"/>
      <c r="AK221" s="3109"/>
      <c r="AL221" s="3109"/>
      <c r="AM221" s="3109"/>
      <c r="AN221" s="3109"/>
      <c r="AO221" s="3109"/>
      <c r="AP221" s="3109"/>
      <c r="AQ221" s="3109"/>
      <c r="AR221" s="3109"/>
      <c r="AS221" s="211"/>
      <c r="AT221" s="3109"/>
      <c r="AU221" s="3109"/>
      <c r="AV221" s="3109"/>
      <c r="AW221" s="3109"/>
      <c r="AX221" s="3109"/>
      <c r="AY221" s="3109"/>
      <c r="AZ221" s="3109"/>
      <c r="BA221" s="3109"/>
      <c r="BB221" s="3109"/>
      <c r="BC221" s="196"/>
      <c r="BD221" s="1240"/>
      <c r="BE221" s="1240"/>
      <c r="BF221" s="1042" t="s">
        <v>1159</v>
      </c>
    </row>
    <row s="1656" customFormat="1" customHeight="1" ht="14.625">
      <c r="A222" s="1240"/>
      <c r="B222" s="1223"/>
      <c r="C222" s="1240"/>
      <c r="D222" s="1240"/>
      <c r="E222" s="633">
        <v>15</v>
      </c>
      <c r="F222" s="50" cm="1" t="str">
        <f t="array" ref="F222:F222">OFFSET(E222,-1,1)</f>
        <v>3</v>
      </c>
      <c r="G222" s="100" t="s">
        <v>1160</v>
      </c>
      <c r="H222" s="1240"/>
      <c r="I222" s="1240"/>
      <c r="J222" s="1240"/>
      <c r="K222" s="1240"/>
      <c r="L222" s="1240"/>
      <c r="M222" s="1240"/>
      <c r="N222" s="1240"/>
      <c r="O222" s="1240"/>
      <c r="P222" s="1240"/>
      <c r="Q222" s="1240"/>
      <c r="R222" s="1240"/>
      <c r="S222" s="1240"/>
      <c r="T222" s="468" cm="1" t="str">
        <f t="array" ref="T222:T222">T221</f>
        <v>true</v>
      </c>
      <c r="U222" s="1240"/>
      <c r="V222" s="1240"/>
      <c r="W222" s="1240"/>
      <c r="X222" s="1559"/>
      <c r="Y222" s="1240"/>
      <c r="Z222" s="1560"/>
      <c r="AA222" s="1240"/>
      <c r="AB222" s="84" t="s">
        <v>778</v>
      </c>
      <c r="AC222" s="210" t="s">
        <v>1081</v>
      </c>
      <c r="AD222" s="85" t="s">
        <v>936</v>
      </c>
      <c r="AE222" s="211">
        <v>0</v>
      </c>
      <c r="AF222" s="211"/>
      <c r="AG222" s="211"/>
      <c r="AH222" s="211"/>
      <c r="AI222" s="211"/>
      <c r="AJ222" s="3109"/>
      <c r="AK222" s="3109"/>
      <c r="AL222" s="3109"/>
      <c r="AM222" s="3109"/>
      <c r="AN222" s="3109"/>
      <c r="AO222" s="3109"/>
      <c r="AP222" s="3109"/>
      <c r="AQ222" s="3109"/>
      <c r="AR222" s="3109"/>
      <c r="AS222" s="211"/>
      <c r="AT222" s="3109"/>
      <c r="AU222" s="3109"/>
      <c r="AV222" s="3109"/>
      <c r="AW222" s="3109"/>
      <c r="AX222" s="3109"/>
      <c r="AY222" s="3109"/>
      <c r="AZ222" s="3109"/>
      <c r="BA222" s="3109"/>
      <c r="BB222" s="3109"/>
      <c r="BC222" s="196"/>
      <c r="BD222" s="1240"/>
      <c r="BE222" s="1240"/>
      <c r="BF222" s="1042" t="s">
        <v>1161</v>
      </c>
    </row>
    <row customHeight="1" ht="10.725000000000001">
      <c r="E223" s="633">
        <v>11</v>
      </c>
      <c r="F223" s="345"/>
      <c r="U223" s="100" t="s">
        <v>177</v>
      </c>
      <c r="V223" s="136" t="s">
        <v>1185</v>
      </c>
      <c r="Z223" s="572"/>
      <c r="AA223" s="572"/>
      <c r="AB223" s="471"/>
      <c r="AC223" s="471"/>
      <c r="AD223" s="471"/>
      <c r="AE223" s="471"/>
      <c r="AF223" s="471"/>
      <c r="AG223" s="471"/>
      <c r="AH223" s="471"/>
      <c r="AI223" s="963"/>
      <c r="AJ223" s="963"/>
      <c r="AK223" s="963"/>
      <c r="AL223" s="963"/>
      <c r="AM223" s="963"/>
      <c r="AN223" s="963"/>
      <c r="AO223" s="963"/>
      <c r="AP223" s="963"/>
      <c r="AQ223" s="963"/>
      <c r="AR223" s="963"/>
      <c r="AS223" s="963"/>
      <c r="AT223" s="963"/>
      <c r="AU223" s="963"/>
      <c r="AV223" s="963"/>
      <c r="AW223" s="963"/>
      <c r="AX223" s="963"/>
      <c r="AY223" s="963"/>
      <c r="AZ223" s="963"/>
      <c r="BA223" s="963"/>
      <c r="BB223" s="963"/>
      <c r="BC223" s="963"/>
    </row>
    <row customHeight="1" ht="14.625">
      <c r="E224" s="633">
        <v>15</v>
      </c>
      <c r="AA224" s="94"/>
      <c r="AB224" s="1553" t="s">
        <v>420</v>
      </c>
      <c r="AC224" s="1553"/>
      <c r="AD224" s="1553"/>
      <c r="AE224" s="1553"/>
      <c r="AF224" s="1553"/>
      <c r="AG224" s="1553"/>
      <c r="AH224" s="1553"/>
      <c r="AI224" s="1561"/>
      <c r="AJ224" s="1561"/>
      <c r="AK224" s="1561"/>
      <c r="AL224" s="1561"/>
      <c r="AM224" s="1561"/>
      <c r="AN224" s="1561"/>
      <c r="AO224" s="1561"/>
      <c r="AP224" s="1561"/>
      <c r="AQ224" s="1561"/>
      <c r="AR224" s="1561"/>
      <c r="AS224" s="1561"/>
      <c r="AT224" s="1561"/>
      <c r="AU224" s="1561"/>
      <c r="AV224" s="1561"/>
      <c r="AW224" s="1561"/>
      <c r="AX224" s="1561"/>
      <c r="AY224" s="1561"/>
      <c r="AZ224" s="1561"/>
      <c r="BA224" s="1561"/>
      <c r="BB224" s="1561"/>
      <c r="BC224" s="1561"/>
      <c r="BD224" s="94"/>
    </row>
    <row customHeight="1" ht="37.921875">
      <c r="E225" s="633">
        <v>15</v>
      </c>
      <c r="T225" s="492"/>
      <c r="AA225" s="169"/>
      <c r="AB225" s="1562" t="s">
        <v>1186</v>
      </c>
      <c r="AC225" s="1562"/>
      <c r="AD225" s="1562"/>
      <c r="AE225" s="1562"/>
      <c r="AF225" s="1562"/>
      <c r="AG225" s="1562"/>
      <c r="AH225" s="1562"/>
      <c r="AI225" s="1563"/>
      <c r="AJ225" s="3116"/>
      <c r="AK225" s="3116"/>
      <c r="AL225" s="3116"/>
      <c r="AM225" s="3116"/>
      <c r="AN225" s="3116"/>
      <c r="AO225" s="3116"/>
      <c r="AP225" s="3116"/>
      <c r="AQ225" s="3116"/>
      <c r="AR225" s="3116"/>
      <c r="AS225" s="1563"/>
      <c r="AT225" s="3116"/>
      <c r="AU225" s="3116"/>
      <c r="AV225" s="3116"/>
      <c r="AW225" s="3116"/>
      <c r="AX225" s="3116"/>
      <c r="AY225" s="3116"/>
      <c r="AZ225" s="3116"/>
      <c r="BA225" s="3116"/>
      <c r="BB225" s="3116"/>
      <c r="BC225" s="1563"/>
      <c r="BD225" s="94"/>
    </row>
    <row customHeight="1" ht="14.625" hidden="1">
      <c r="A226" s="1240"/>
      <c r="B226" s="1223"/>
      <c r="C226" s="1240"/>
      <c r="D226" s="1240"/>
      <c r="E226" s="633">
        <v>15</v>
      </c>
      <c r="F226" s="1240"/>
      <c r="G226" s="1240"/>
      <c r="H226" s="1240"/>
      <c r="I226" s="1240"/>
      <c r="J226" s="1240"/>
      <c r="K226" s="1240"/>
      <c r="L226" s="1240"/>
      <c r="M226" s="1240"/>
      <c r="N226" s="1240"/>
      <c r="O226" s="1240"/>
      <c r="P226" s="1240"/>
      <c r="Q226" s="1240"/>
      <c r="R226" s="1240"/>
      <c r="S226" s="1240"/>
      <c r="T226" s="468">
        <f>ROW(W226)&gt;ROW(W$226)</f>
        <v>0</v>
      </c>
      <c r="U226" s="1240"/>
      <c r="V226" s="1240"/>
      <c r="W226" s="764" t="s">
        <v>173</v>
      </c>
      <c r="X226" s="1240"/>
      <c r="Y226" s="1240"/>
      <c r="Z226" s="1240"/>
      <c r="AA226" s="678" t="s">
        <v>174</v>
      </c>
      <c r="AB226" s="3117" t="s">
        <v>240</v>
      </c>
      <c r="AC226" s="3117"/>
      <c r="AD226" s="3117"/>
      <c r="AE226" s="3117"/>
      <c r="AF226" s="3117"/>
      <c r="AG226" s="3117"/>
      <c r="AH226" s="3117"/>
      <c r="AI226" s="1563"/>
      <c r="AJ226" s="3116"/>
      <c r="AK226" s="3116"/>
      <c r="AL226" s="3116"/>
      <c r="AM226" s="3116"/>
      <c r="AN226" s="3116"/>
      <c r="AO226" s="3116"/>
      <c r="AP226" s="3116"/>
      <c r="AQ226" s="3116"/>
      <c r="AR226" s="3116"/>
      <c r="AS226" s="1563"/>
      <c r="AT226" s="3116"/>
      <c r="AU226" s="3116"/>
      <c r="AV226" s="3116"/>
      <c r="AW226" s="3116"/>
      <c r="AX226" s="3116"/>
      <c r="AY226" s="3116"/>
      <c r="AZ226" s="3116"/>
      <c r="BA226" s="3116"/>
      <c r="BB226" s="3116"/>
      <c r="BC226" s="3116"/>
      <c r="BD226" s="94"/>
      <c r="BE226" s="1240"/>
      <c r="BF226" s="1184"/>
    </row>
    <row s="1656" customFormat="1" customHeight="1" ht="40.921875">
      <c r="A227" s="1240"/>
      <c r="B227" s="1223"/>
      <c r="C227" s="1240"/>
      <c r="D227" s="1240"/>
      <c r="E227" s="633">
        <v>15</v>
      </c>
      <c r="F227" s="1240"/>
      <c r="G227" s="1240"/>
      <c r="H227" s="1240"/>
      <c r="I227" s="1240"/>
      <c r="J227" s="1240"/>
      <c r="K227" s="1240"/>
      <c r="L227" s="1240"/>
      <c r="M227" s="1240"/>
      <c r="N227" s="1240"/>
      <c r="O227" s="1240"/>
      <c r="P227" s="1240"/>
      <c r="Q227" s="1240"/>
      <c r="R227" s="1240"/>
      <c r="S227" s="1240"/>
      <c r="T227" s="468">
        <f>ROW(W227)&gt;ROW(W$226)</f>
        <v>1</v>
      </c>
      <c r="U227" s="1240"/>
      <c r="V227" s="1240"/>
      <c r="W227" s="764"/>
      <c r="X227" s="1240"/>
      <c r="Y227" s="1240" t="s">
        <v>240</v>
      </c>
      <c r="Z227" s="1240"/>
      <c r="AA227" s="678" t="s">
        <v>174</v>
      </c>
      <c r="AB227" s="1562" t="s">
        <v>1187</v>
      </c>
      <c r="AC227" s="1562"/>
      <c r="AD227" s="1562"/>
      <c r="AE227" s="1562"/>
      <c r="AF227" s="1562"/>
      <c r="AG227" s="1562"/>
      <c r="AH227" s="1562"/>
      <c r="AI227" s="1563"/>
      <c r="AJ227" s="3116"/>
      <c r="AK227" s="3116"/>
      <c r="AL227" s="1563"/>
      <c r="AM227" s="1563"/>
      <c r="AN227" s="1563"/>
      <c r="AO227" s="1563"/>
      <c r="AP227" s="1563"/>
      <c r="AQ227" s="1563"/>
      <c r="AR227" s="1563"/>
      <c r="AS227" s="1563"/>
      <c r="AT227" s="3116"/>
      <c r="AU227" s="3116"/>
      <c r="AV227" s="1563"/>
      <c r="AW227" s="1563"/>
      <c r="AX227" s="1563"/>
      <c r="AY227" s="1563"/>
      <c r="AZ227" s="1563"/>
      <c r="BA227" s="1563"/>
      <c r="BB227" s="1563"/>
      <c r="BC227" s="1563"/>
      <c r="BD227" s="94"/>
      <c r="BE227" s="1240"/>
      <c r="BF227" s="1184"/>
    </row>
    <row s="1656" customFormat="1" customHeight="1" ht="34.171875">
      <c r="A228" s="1240"/>
      <c r="B228" s="1223"/>
      <c r="C228" s="1240"/>
      <c r="D228" s="1240"/>
      <c r="E228" s="633">
        <v>15</v>
      </c>
      <c r="F228" s="1240"/>
      <c r="G228" s="1240"/>
      <c r="H228" s="1240"/>
      <c r="I228" s="1240"/>
      <c r="J228" s="1240"/>
      <c r="K228" s="1240"/>
      <c r="L228" s="1240"/>
      <c r="M228" s="1240"/>
      <c r="N228" s="1240"/>
      <c r="O228" s="1240"/>
      <c r="P228" s="1240"/>
      <c r="Q228" s="1240"/>
      <c r="R228" s="1240"/>
      <c r="S228" s="1240"/>
      <c r="T228" s="468">
        <f>ROW(W228)&gt;ROW(W$226)</f>
        <v>1</v>
      </c>
      <c r="U228" s="1240"/>
      <c r="V228" s="1240"/>
      <c r="W228" s="764"/>
      <c r="X228" s="1240"/>
      <c r="Y228" s="1240" t="s">
        <v>240</v>
      </c>
      <c r="Z228" s="1240"/>
      <c r="AA228" s="678" t="s">
        <v>174</v>
      </c>
      <c r="AB228" s="1562" t="s">
        <v>1188</v>
      </c>
      <c r="AC228" s="1562"/>
      <c r="AD228" s="1562"/>
      <c r="AE228" s="1562"/>
      <c r="AF228" s="1562"/>
      <c r="AG228" s="1562"/>
      <c r="AH228" s="1562"/>
      <c r="AI228" s="1563"/>
      <c r="AJ228" s="3116"/>
      <c r="AK228" s="3116"/>
      <c r="AL228" s="1563"/>
      <c r="AM228" s="1563"/>
      <c r="AN228" s="1563"/>
      <c r="AO228" s="1563"/>
      <c r="AP228" s="1563"/>
      <c r="AQ228" s="1563"/>
      <c r="AR228" s="1563"/>
      <c r="AS228" s="1563"/>
      <c r="AT228" s="3116"/>
      <c r="AU228" s="3116"/>
      <c r="AV228" s="1563"/>
      <c r="AW228" s="1563"/>
      <c r="AX228" s="1563"/>
      <c r="AY228" s="1563"/>
      <c r="AZ228" s="1563"/>
      <c r="BA228" s="1563"/>
      <c r="BB228" s="1563"/>
      <c r="BC228" s="1563"/>
      <c r="BD228" s="94"/>
      <c r="BE228" s="1240"/>
      <c r="BF228" s="1184"/>
    </row>
    <row s="1656" customFormat="1" customHeight="1" ht="39.421875">
      <c r="A229" s="1240"/>
      <c r="B229" s="1223"/>
      <c r="C229" s="1240"/>
      <c r="D229" s="1240"/>
      <c r="E229" s="633">
        <v>15</v>
      </c>
      <c r="F229" s="1240"/>
      <c r="G229" s="1240"/>
      <c r="H229" s="1240"/>
      <c r="I229" s="1240"/>
      <c r="J229" s="1240"/>
      <c r="K229" s="1240"/>
      <c r="L229" s="1240"/>
      <c r="M229" s="1240"/>
      <c r="N229" s="1240"/>
      <c r="O229" s="1240"/>
      <c r="P229" s="1240"/>
      <c r="Q229" s="1240"/>
      <c r="R229" s="1240"/>
      <c r="S229" s="1240"/>
      <c r="T229" s="468">
        <f>ROW(W229)&gt;ROW(W$226)</f>
        <v>1</v>
      </c>
      <c r="U229" s="1240"/>
      <c r="V229" s="1240"/>
      <c r="W229" s="764"/>
      <c r="X229" s="1240"/>
      <c r="Y229" s="1240" t="s">
        <v>240</v>
      </c>
      <c r="Z229" s="1240"/>
      <c r="AA229" s="678" t="s">
        <v>174</v>
      </c>
      <c r="AB229" s="1562" t="s">
        <v>1189</v>
      </c>
      <c r="AC229" s="1562"/>
      <c r="AD229" s="1562"/>
      <c r="AE229" s="1562"/>
      <c r="AF229" s="1562"/>
      <c r="AG229" s="1562"/>
      <c r="AH229" s="1562"/>
      <c r="AI229" s="1563"/>
      <c r="AJ229" s="3116"/>
      <c r="AK229" s="3116"/>
      <c r="AL229" s="1563"/>
      <c r="AM229" s="1563"/>
      <c r="AN229" s="1563"/>
      <c r="AO229" s="1563"/>
      <c r="AP229" s="1563"/>
      <c r="AQ229" s="1563"/>
      <c r="AR229" s="1563"/>
      <c r="AS229" s="1563"/>
      <c r="AT229" s="3116"/>
      <c r="AU229" s="3116"/>
      <c r="AV229" s="1563"/>
      <c r="AW229" s="1563"/>
      <c r="AX229" s="1563"/>
      <c r="AY229" s="1563"/>
      <c r="AZ229" s="1563"/>
      <c r="BA229" s="1563"/>
      <c r="BB229" s="1563"/>
      <c r="BC229" s="1563"/>
      <c r="BD229" s="94"/>
      <c r="BE229" s="1240"/>
      <c r="BF229" s="1184"/>
    </row>
    <row customHeight="1" ht="14.625">
      <c r="E230" s="633">
        <v>15</v>
      </c>
      <c r="W230" s="764" t="s">
        <v>421</v>
      </c>
      <c r="AA230" s="94"/>
      <c r="AB230" s="653"/>
      <c r="AC230" s="517" t="s">
        <v>422</v>
      </c>
      <c r="AD230" s="306"/>
      <c r="AE230" s="306"/>
      <c r="AF230" s="307"/>
      <c r="AG230" s="307"/>
      <c r="AH230" s="307"/>
      <c r="AI230" s="307"/>
      <c r="AJ230" s="307"/>
      <c r="AK230" s="307"/>
      <c r="AL230" s="307"/>
      <c r="AM230" s="307"/>
      <c r="AN230" s="307"/>
      <c r="AO230" s="307"/>
      <c r="AP230" s="307"/>
      <c r="AQ230" s="307"/>
      <c r="AR230" s="307"/>
      <c r="AS230" s="307"/>
      <c r="AT230" s="307"/>
      <c r="AU230" s="307"/>
      <c r="AV230" s="307"/>
      <c r="AW230" s="307"/>
      <c r="AX230" s="307"/>
      <c r="AY230" s="307"/>
      <c r="AZ230" s="307"/>
      <c r="BA230" s="307"/>
      <c r="BB230" s="307"/>
      <c r="BC230" s="308"/>
      <c r="BD230" s="94"/>
    </row>
    <row customHeight="1" ht="10.96875">
      <c r="E231" s="633">
        <v>11.25</v>
      </c>
      <c r="AI231" s="1560"/>
      <c r="AJ231" s="1560"/>
      <c r="AK231" s="1560"/>
      <c r="AL231" s="1560"/>
      <c r="AM231" s="1560"/>
      <c r="AN231" s="1560"/>
      <c r="AO231" s="1560"/>
      <c r="AP231" s="1560"/>
      <c r="AQ231" s="1560"/>
      <c r="AR231" s="1560"/>
      <c r="AS231" s="1560"/>
      <c r="AT231" s="1560"/>
      <c r="AU231" s="1560"/>
      <c r="AV231" s="1560"/>
      <c r="AW231" s="1560"/>
      <c r="AX231" s="1560"/>
      <c r="AY231" s="1560"/>
      <c r="AZ231" s="1560"/>
      <c r="BA231" s="1560"/>
      <c r="BB231" s="1560"/>
      <c r="BD231" s="428"/>
    </row>
  </sheetData>
  <sheetProtection formatColumns="0" formatRows="0" insertRows="0" deleteColumns="0" deleteRows="0" sort="0" autoFilter="0" insertColumns="1"/>
  <mergeCells count="19">
    <mergeCell ref="AB226:BC226"/>
    <mergeCell ref="X27:X75"/>
    <mergeCell ref="Z27:Z75"/>
    <mergeCell ref="AB225:BC225"/>
    <mergeCell ref="AB224:BC224"/>
    <mergeCell ref="AB23:BB23"/>
    <mergeCell ref="AB24:AB25"/>
    <mergeCell ref="AC24:AC25"/>
    <mergeCell ref="AD24:AD25"/>
    <mergeCell ref="BC24:BC25"/>
    <mergeCell ref="X76:X124"/>
    <mergeCell ref="Z76:Z124"/>
    <mergeCell ref="X125:X173"/>
    <mergeCell ref="Z125:Z173"/>
    <mergeCell ref="X174:X222"/>
    <mergeCell ref="Z174:Z222"/>
    <mergeCell ref="AB227:BC227"/>
    <mergeCell ref="AB228:BC228"/>
    <mergeCell ref="AB229:BC229"/>
  </mergeCells>
  <dataValidations count="1">
    <dataValidation type="decimal" allowBlank="1" showErrorMessage="1" errorTitle="Ошибка" error="Допускается ввод только неотрицательных чисел!" sqref="AE59:BB63 BB71:BB75 BB78:BB82 BB84:BB88 BB90:BB94 BB96:BB100 BB102:BB106 BB108:BB112 BB114:BB118 BB120:BB124 BB127:BB131 BB133:BB137 BB139:BB143 BB145:BB149 BB151:BB155 BB157:BB161 BB163:BB167 BB169:BB173 BB176:BB180 BB182:BB186 BB188:BB192 BB194:BB198 BB200:BB204 BB206:BB210 BB212:BB216 BB218:BB223 BA71:BA75 BA78:BA82 BA84:BA88 BA90:BA94 BA96:BA100 BA102:BA106 BA108:BA112 BA114:BA118 BA120:BA124 BA127:BA131 BA133:BA137 BA139:BA143 BA145:BA149 BA151:BA155 BA157:BA161 BA163:BA167 BA169:BA173 BA176:BA180 BA182:BA186 BA188:BA192 BA194:BA198 BA200:BA204 BA206:BA210 BA212:BA216 BA218:BA223 AZ71:AZ75 AZ78:AZ82 AZ84:AZ88 AZ90:AZ94 AZ96:AZ100 AZ102:AZ106 AZ108:AZ112 AZ114:AZ118 AZ120:AZ124 AZ127:AZ131 AZ133:AZ137 AZ139:AZ143 AZ145:AZ149 AZ151:AZ155 AZ157:AZ161 AZ163:AZ167 AZ169:AZ173 AZ176:AZ180 AZ182:AZ186 AZ188:AZ192 AZ194:AZ198 AZ200:AZ204 AZ206:AZ210 AZ212:AZ216 AZ218:AZ223 AY71:AY75 AY78:AY82 AY84:AY88 AY90:AY94 AY96:AY100 AY102:AY106 AY108:AY112 AY114:AY118 AY120:AY124 AY127:AY131 AY133:AY137 AY139:AY143 AY145:AY149 AY151:AY155 AY157:AY161 AY163:AY167 AY169:AY173 AY176:AY180 AY182:AY186 AY188:AY192 AY194:AY198 AY200:AY204 AY206:AY210 AY212:AY216 AY218:AY223 AX71:AX75 AX78:AX82 AX84:AX88 AX90:AX94 AX96:AX100 AX102:AX106 AX108:AX112 AX114:AX118 AX120:AX124 AX127:AX131 AX133:AX137 AX139:AX143 AX145:AX149 AX151:AX155 AX157:AX161 AX163:AX167 AX169:AX173 AX176:AX180 AX182:AX186 AX188:AX192 AX194:AX198 AX200:AX204 AX206:AX210 AX212:AX216 AX218:AX223 AW71:AW75 AW78:AW82 AW84:AW88 AW90:AW94 AW96:AW100 AW102:AW106 AW108:AW112 AW114:AW118 AW120:AW124 AW127:AW131 AW133:AW137 AW139:AW143 AW145:AW149 AW151:AW155 AW157:AW161 AW163:AW167 AW169:AW173 AW176:AW180 AW182:AW186 AW188:AW192 AW194:AW198 AW200:AW204 AW206:AW210 AW212:AW216 AW218:AW223 AV71:AV75 AV78:AV82 AV84:AV88 AV90:AV94 AV96:AV100 AV102:AV106 AV108:AV112 AV114:AV118 AV120:AV124 AV127:AV131 AV133:AV137 AV139:AV143 AV145:AV149 AV151:AV155 AV157:AV161 AV163:AV167 AV169:AV173 AV176:AV180 AV182:AV186 AV188:AV192 AV194:AV198 AV200:AV204 AV206:AV210 AV212:AV216 AV218:AV223 AU71:AU75 AU78:AU82 AU84:AU88 AU90:AU94 AU96:AU100 AU102:AU106 AU108:AU112 AU114:AU118 AU120:AU124 AU127:AU131 AU133:AU137 AU139:AU143 AU145:AU149 AU151:AU155 AU157:AU161 AU163:AU167 AU169:AU173 AU176:AU180 AU182:AU186 AU188:AU192 AU194:AU198 AU200:AU204 AU206:AU210 AU212:AU216 AU218:AU223 AT71:AT75 AT78:AT82 AT84:AT88 AT90:AT94 AT96:AT100 AT102:AT106 AT108:AT112 AT114:AT118 AT120:AT124 AT127:AT131 AT133:AT137 AT139:AT143 AT145:AT149 AT151:AT155 AT157:AT161 AT163:AT167 AT169:AT173 AT176:AT180 AT182:AT186 AT188:AT192 AT194:AT198 AT200:AT204 AT206:AT210 AT212:AT216 AT218:AT223 AS71:AS75 AS78:AS82 AS84:AS88 AS90:AS94 AS96:AS100 AS102:AS106 AS108:AS112 AS114:AS118 AS120:AS124 AS127:AS131 AS133:AS137 AS139:AS143 AS145:AS149 AS151:AS155 AS157:AS161 AS163:AS167 AS169:AS173 AS176:AS180 AS182:AS186 AS188:AS192 AS194:AS198 AS200:AS204 AS206:AS210 AS212:AS216 AS218:AS223 AR71:AR75 AR78:AR82 AR84:AR88 AR90:AR94 AR96:AR100 AR102:AR106 AR108:AR112 AR114:AR118 AR120:AR124 AR127:AR131 AR133:AR137 AR139:AR143 AR145:AR149 AR151:AR155 AR157:AR161 AR163:AR167 AR169:AR173 AR176:AR180 AR182:AR186 AR188:AR192 AR194:AR198 AR200:AR204 AR206:AR210 AR212:AR216 AR218:AR223 AQ71:AQ75 AQ78:AQ82 AQ84:AQ88 AQ90:AQ94 AQ96:AQ100 AQ102:AQ106 AQ108:AQ112 AQ114:AQ118 AQ120:AQ124 AQ127:AQ131 AQ133:AQ137 AQ139:AQ143 AQ145:AQ149 AQ151:AQ155 AQ157:AQ161 AQ163:AQ167 AQ169:AQ173 AQ176:AQ180 AQ182:AQ186 AQ188:AQ192 AQ194:AQ198 AQ200:AQ204 AQ206:AQ210 AQ212:AQ216 AQ218:AQ223 AP71:AP75 AP78:AP82 AP84:AP88 AP90:AP94 AP96:AP100 AP102:AP106 AP108:AP112 AP114:AP118 AP120:AP124 AP127:AP131 AP133:AP137 AP139:AP143 AP145:AP149 AP151:AP155 AP157:AP161 AP163:AP167 AP169:AP173 AP176:AP180 AP182:AP186 AP188:AP192 AP194:AP198 AP200:AP204 AP206:AP210 AP212:AP216 AP218:AP223 AO71:AO75 AO78:AO82 AO84:AO88 AO90:AO94 AO96:AO100 AO102:AO106 AO108:AO112 AO114:AO118 AO120:AO124 AO127:AO131 AO133:AO137 AO139:AO143 AO145:AO149 AO151:AO155 AO157:AO161 AO163:AO167 AO169:AO173 AO176:AO180 AO182:AO186 AO188:AO192 AO194:AO198 AO200:AO204 AO206:AO210 AO212:AO216 AO218:AO223 AN71:AN75 AN78:AN82 AN84:AN88 AN90:AN94 AN96:AN100 AN102:AN106 AN108:AN112 AN114:AN118 AN120:AN124 AN127:AN131 AN133:AN137 AN139:AN143 AN145:AN149 AN151:AN155 AN157:AN161 AN163:AN167 AN169:AN173 AN176:AN180 AN182:AN186 AN188:AN192 AN194:AN198 AN200:AN204 AN206:AN210 AN212:AN216 AN218:AN223 AM71:AM75 AM78:AM82 AM84:AM88 AM90:AM94 AM96:AM100 AM102:AM106 AM108:AM112 AM114:AM118 AM120:AM124 AM127:AM131 AM133:AM137 AM139:AM143 AM145:AM149 AM151:AM155 AM157:AM161 AM163:AM167 AM169:AM173 AM176:AM180 AM182:AM186 AM188:AM192 AM194:AM198 AM200:AM204 AM206:AM210 AM212:AM216 AM218:AM223 AL71:AL75 AL78:AL82 AL84:AL88 AL90:AL94 AL96:AL100 AL102:AL106 AL108:AL112 AL114:AL118 AL120:AL124 AL127:AL131 AL133:AL137 AL139:AL143 AL145:AL149 AL151:AL155 AL157:AL161 AL163:AL167 AL169:AL173 AL176:AL180 AL182:AL186 AL188:AL192 AL194:AL198 AL200:AL204 AL206:AL210 AL212:AL216 AL218:AL223 AK71:AK75 AK78:AK82 AK84:AK88 AK90:AK94 AK96:AK100 AK102:AK106 AK108:AK112 AK114:AK118 AK120:AK124 AK127:AK131 AK133:AK137 AK139:AK143 AK145:AK149 AK151:AK155 AK157:AK161 AK163:AK167 AK169:AK173 AK176:AK180 AK182:AK186 AK188:AK192 AK194:AK198 AK200:AK204 AK206:AK210 AK212:AK216 AK218:AK223 AJ71:AJ75 AJ78:AJ82 AJ84:AJ88 AJ90:AJ94 AJ96:AJ100 AJ102:AJ106 AJ108:AJ112 AJ114:AJ118 AJ120:AJ124 AJ127:AJ131 AJ133:AJ137 AJ139:AJ143 AJ145:AJ149 AJ151:AJ155 AJ157:AJ161 AJ163:AJ167 AJ169:AJ173 AJ176:AJ180 AJ182:AJ186 AJ188:AJ192 AJ194:AJ198 AJ200:AJ204 AJ206:AJ210 AJ212:AJ216 AJ218:AJ223 AI71:AI75 AI78:AI82 AI84:AI88 AI90:AI94 AI96:AI100 AI102:AI106 AI108:AI112 AI114:AI118 AI120:AI124 AI127:AI131 AI133:AI137 AI139:AI143 AI145:AI149 AI151:AI155 AI157:AI161 AI163:AI167 AI169:AI173 AI176:AI180 AI182:AI186 AI188:AI192 AI194:AI198 AI200:AI204 AI206:AI210 AI212:AI216 AI218:AI223 AH71:AH75 AH78:AH82 AH84:AH88 AH90:AH94 AH96:AH100 AH102:AH106 AH108:AH112 AH114:AH118 AH120:AH124 AH127:AH131 AH133:AH137 AH139:AH143 AH145:AH149 AH151:AH155 AH157:AH161 AH163:AH167 AH169:AH173 AH176:AH180 AH182:AH186 AH188:AH192 AH194:AH198 AH200:AH204 AH206:AH210 AH212:AH216 AH218:AH223 AG71:AG75 AG78:AG82 AG84:AG88 AG90:AG94 AG96:AG100 AG102:AG106 AG108:AG112 AG114:AG118 AG120:AG124 AG127:AG131 AG133:AG137 AG139:AG143 AG145:AG149 AG151:AG155 AG157:AG161 AG163:AG167 AG169:AG173 AG176:AG180 AG182:AG186 AG188:AG192 AG194:AG198 AG200:AG204 AG206:AG210 AG212:AG216 AG218:AG223 AF71:AF75 AF78:AF82 AF84:AF88 AF90:AF94 AF96:AF100 AF102:AF106 AF108:AF112 AF114:AF118 AF120:AF124 AF127:AF131 AF133:AF137 AF139:AF143 AF145:AF149 AF151:AF155 AF157:AF161 AF163:AF167 AF169:AF173 AF176:AF180 AF182:AF186 AF188:AF192 AF194:AF198 AF200:AF204 AF206:AF210 AF212:AF216 AF218:AF223 AE71:AE75 AE78:AE82 AE84:AE88 AE90:AE94 AE96:AE100 AE102:AE106 AE108:AE112 AE114:AE118 AE120:AE124 AE127:AE131 AE133:AE137 AE139:AE143 AE145:AE149 AE151:AE155 AE157:AE161 AE163:AE167 AE169:AE173 AE176:AE180 AE182:AE186 AE188:AE192 AE194:AE198 AE200:AE204 AE206:AE210 AE212:AE216 AE218:AE223 AE53:BB57 AE47:BB51 AE41:BB45 AE35:BB39 AE29:BB33 AE65:BB69">
      <formula1>0</formula1>
      <formula2>9.99999999999999E+23</formula2>
    </dataValidation>
  </dataValidations>
  <pageMargins left="0.35" right="0.35" top="0.40" bottom="0.40" header="0.31" footer="0.31"/>
  <pageSetup paperSize="9" scale="63" fitToHeight="0" pageOrder="downThenOver" orientation="landscape"/>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FA20618-FF08-7D88-D981-AB596E98813E}" mc:Ignorable="x14ac xr xr2 xr3">
  <sheetPr>
    <tabColor rgb="FF002060"/>
    <outlinePr summaryRight="0" summaryBelow="0"/>
    <pageSetUpPr fitToPage="1"/>
  </sheetPr>
  <dimension ref="A1:BF76"/>
  <sheetViews>
    <sheetView showGridLines="0" workbookViewId="0">
      <pane xSplit="30" ySplit="25" topLeftCell="AE40" activePane="bottomRight" state="frozen"/>
      <selection pane="bottomLeft" activeCell="A26" sqref="A26"/>
      <selection pane="topRight" activeCell="AE1" sqref="AE1"/>
      <selection pane="bottomRight" activeCell="AG38" sqref="AG38"/>
    </sheetView>
  </sheetViews>
  <sheetFormatPr defaultColWidth="9.140625" customHeight="1" defaultRowHeight="11.25"/>
  <cols>
    <col min="1" max="1" style="1331" width="3.57421875" hidden="1" customWidth="1"/>
    <col min="2" max="2" style="1223" width="4.8515625" hidden="1" customWidth="1"/>
    <col min="3" max="3" style="1331" width="3.57421875" hidden="1" customWidth="1"/>
    <col min="4" max="4" style="1331" width="7.140625" hidden="1" customWidth="1"/>
    <col min="5" max="5" style="1182" width="3.57421875" hidden="1" customWidth="1"/>
    <col min="6" max="19" style="1331" width="3.57421875" hidden="1" customWidth="1"/>
    <col min="20" max="20" style="1331" width="8.421875" hidden="1" customWidth="1"/>
    <col min="21" max="21" style="1331" width="5.8515625" hidden="1" customWidth="1"/>
    <col min="22" max="23" style="1331" width="6.140625" hidden="1" customWidth="1"/>
    <col min="24" max="25" style="1331" width="5.57421875" hidden="1" customWidth="1"/>
    <col min="26" max="26" style="1331" width="5.28125" hidden="1" customWidth="1"/>
    <col min="27" max="27" style="1331" width="3.00390625" customWidth="1"/>
    <col min="28" max="28" style="1331" width="11.00390625" customWidth="1"/>
    <col min="29" max="29" style="1331" width="34.421875" customWidth="1"/>
    <col min="30" max="30" style="1331" width="12.00390625" customWidth="1"/>
    <col min="31" max="31" style="1529" width="13.00390625" customWidth="1"/>
    <col min="32" max="35" style="1331" width="13.00390625" customWidth="1"/>
    <col min="36" max="44" style="1331" width="13.00390625" hidden="1" customWidth="1"/>
    <col min="45" max="45" style="1331" width="13.00390625" customWidth="1"/>
    <col min="46" max="54" style="1331" width="13.00390625" hidden="1" customWidth="1"/>
    <col min="55" max="55" style="1331" width="77.140625" customWidth="1"/>
    <col min="56" max="56" style="1331" width="3.00390625" customWidth="1"/>
    <col min="57" max="57" style="1331" width="9.140625" hidden="1"/>
    <col min="58" max="58" style="1245" width="9.140625" hidden="1"/>
  </cols>
  <sheetData>
    <row customHeight="1" ht="11.25" hidden="1">
      <c r="E1" s="145"/>
      <c r="F1" s="145" t="s">
        <v>333</v>
      </c>
      <c r="H1" s="145" t="s">
        <v>343</v>
      </c>
      <c r="T1" s="468" t="s">
        <v>93</v>
      </c>
      <c r="U1" s="468" t="s">
        <v>98</v>
      </c>
      <c r="V1" s="468" t="s">
        <v>94</v>
      </c>
      <c r="W1" s="468" t="s">
        <v>95</v>
      </c>
      <c r="X1" s="468" t="s">
        <v>96</v>
      </c>
      <c r="Y1" s="470" t="s">
        <v>335</v>
      </c>
      <c r="Z1" s="468" t="s">
        <v>100</v>
      </c>
      <c r="AA1" s="469" t="s">
        <v>97</v>
      </c>
      <c r="AB1" s="81"/>
      <c r="AC1" s="469" t="s">
        <v>99</v>
      </c>
      <c r="AI1" s="1331"/>
      <c r="AJ1" s="1331"/>
      <c r="AK1" s="1331"/>
      <c r="AL1" s="1331"/>
      <c r="AM1" s="1331"/>
      <c r="AN1" s="1331"/>
      <c r="AO1" s="1331"/>
      <c r="AP1" s="1331"/>
      <c r="AQ1" s="1331"/>
      <c r="AR1" s="1331"/>
      <c r="AS1" s="1331"/>
      <c r="AT1" s="1331"/>
      <c r="AU1" s="1331"/>
      <c r="AV1" s="1331"/>
      <c r="AW1" s="1331"/>
      <c r="AX1" s="1331"/>
      <c r="AY1" s="1331"/>
      <c r="AZ1" s="1331"/>
      <c r="BA1" s="1331"/>
      <c r="BB1" s="1331"/>
      <c r="BF1" s="1046" t="s">
        <v>336</v>
      </c>
    </row>
    <row s="1223" customFormat="1" customHeight="1" ht="11.25" hidden="1">
      <c r="B2" s="449" t="s">
        <v>19</v>
      </c>
      <c r="AF2" s="1223" cm="1" t="str">
        <f t="array" ref="AF2:AF2">isOrgDeclare</f>
        <v>true</v>
      </c>
      <c r="AI2" s="448">
        <f>AND(AI6&lt;=last_year_vis,isOrgDeclare)</f>
        <v>1</v>
      </c>
      <c r="AJ2" s="448">
        <f>AND(AJ6&lt;=last_year_vis,isOrgDeclare)</f>
        <v>0</v>
      </c>
      <c r="AK2" s="448">
        <f>AND(AK6&lt;=last_year_vis,isOrgDeclare)</f>
        <v>0</v>
      </c>
      <c r="AL2" s="448">
        <f>AND(AL6&lt;=last_year_vis,isOrgDeclare)</f>
        <v>0</v>
      </c>
      <c r="AM2" s="448">
        <f>AND(AM6&lt;=last_year_vis,isOrgDeclare)</f>
        <v>0</v>
      </c>
      <c r="AN2" s="448">
        <f>AND(AN6&lt;=last_year_vis,isOrgDeclare)</f>
        <v>0</v>
      </c>
      <c r="AO2" s="448">
        <f>AND(AO6&lt;=last_year_vis,isOrgDeclare)</f>
        <v>0</v>
      </c>
      <c r="AP2" s="448">
        <f>AND(AP6&lt;=last_year_vis,isOrgDeclare)</f>
        <v>0</v>
      </c>
      <c r="AQ2" s="448">
        <f>AND(AQ6&lt;=last_year_vis,isOrgDeclare)</f>
        <v>0</v>
      </c>
      <c r="AR2" s="448">
        <f>AND(AR6&lt;=last_year_vis,isOrgDeclare)</f>
        <v>0</v>
      </c>
      <c r="AS2" s="448">
        <f>AS6&lt;=last_year_vis</f>
        <v>1</v>
      </c>
      <c r="AT2" s="448">
        <f>AT6&lt;=last_year_vis</f>
        <v>0</v>
      </c>
      <c r="AU2" s="448">
        <f>AU6&lt;=last_year_vis</f>
        <v>0</v>
      </c>
      <c r="AV2" s="448">
        <f>AV6&lt;=last_year_vis</f>
        <v>0</v>
      </c>
      <c r="AW2" s="448">
        <f>AW6&lt;=last_year_vis</f>
        <v>0</v>
      </c>
      <c r="AX2" s="448">
        <f>AX6&lt;=last_year_vis</f>
        <v>0</v>
      </c>
      <c r="AY2" s="448">
        <f>AY6&lt;=last_year_vis</f>
        <v>0</v>
      </c>
      <c r="AZ2" s="448">
        <f>AZ6&lt;=last_year_vis</f>
        <v>0</v>
      </c>
      <c r="BA2" s="448">
        <f>BA6&lt;=last_year_vis</f>
        <v>0</v>
      </c>
      <c r="BB2" s="448">
        <f>BB6&lt;=last_year_vis</f>
        <v>0</v>
      </c>
      <c r="BF2" s="1045"/>
    </row>
    <row customHeight="1" ht="11.25" hidden="1">
      <c r="E3" s="145"/>
      <c r="AI3" s="498"/>
      <c r="AJ3" s="498"/>
      <c r="AK3" s="498"/>
      <c r="AL3" s="498"/>
      <c r="AM3" s="498"/>
      <c r="AN3" s="498"/>
      <c r="AO3" s="498"/>
      <c r="AP3" s="498"/>
      <c r="AQ3" s="498"/>
      <c r="AR3" s="498"/>
      <c r="AS3" s="498"/>
      <c r="AT3" s="498"/>
      <c r="AU3" s="498"/>
      <c r="AV3" s="498"/>
      <c r="AW3" s="498"/>
      <c r="AX3" s="498"/>
      <c r="AY3" s="498"/>
      <c r="AZ3" s="498"/>
      <c r="BA3" s="498"/>
      <c r="BB3" s="498"/>
    </row>
    <row customHeight="1" ht="11.25" hidden="1">
      <c r="E4" s="145"/>
      <c r="AI4" s="1331"/>
      <c r="AJ4" s="1331"/>
      <c r="AK4" s="1331"/>
      <c r="AL4" s="1331"/>
      <c r="AM4" s="1331"/>
      <c r="AN4" s="1331"/>
      <c r="AO4" s="1331"/>
      <c r="AP4" s="1331"/>
      <c r="AQ4" s="1331"/>
      <c r="AR4" s="1331"/>
      <c r="AS4" s="1331"/>
      <c r="AT4" s="1331"/>
      <c r="AU4" s="1331"/>
      <c r="AV4" s="1331"/>
      <c r="AW4" s="1331"/>
      <c r="AX4" s="1331"/>
      <c r="AY4" s="1331"/>
      <c r="AZ4" s="1331"/>
      <c r="BA4" s="1331"/>
      <c r="BB4" s="1331"/>
    </row>
    <row s="1182" customFormat="1" customHeight="1" ht="11.25" hidden="1">
      <c r="A5" s="145"/>
      <c r="B5" s="444"/>
      <c r="C5" s="145"/>
      <c r="D5" s="145"/>
      <c r="E5" s="682" t="s">
        <v>20</v>
      </c>
      <c r="AA5" s="682">
        <v>3</v>
      </c>
      <c r="AB5" s="682">
        <v>11</v>
      </c>
      <c r="AC5" s="682">
        <v>35</v>
      </c>
      <c r="AD5" s="682">
        <v>12</v>
      </c>
      <c r="AE5" s="683">
        <v>13</v>
      </c>
      <c r="AF5" s="682">
        <v>13</v>
      </c>
      <c r="AG5" s="682">
        <v>13</v>
      </c>
      <c r="AH5" s="682">
        <v>13</v>
      </c>
      <c r="AI5" s="682">
        <v>13</v>
      </c>
      <c r="AJ5" s="682">
        <v>13</v>
      </c>
      <c r="AK5" s="682">
        <v>13</v>
      </c>
      <c r="AL5" s="682">
        <v>13</v>
      </c>
      <c r="AM5" s="682">
        <v>13</v>
      </c>
      <c r="AN5" s="682">
        <v>13</v>
      </c>
      <c r="AO5" s="682">
        <v>13</v>
      </c>
      <c r="AP5" s="682">
        <v>13</v>
      </c>
      <c r="AQ5" s="682">
        <v>13</v>
      </c>
      <c r="AR5" s="682">
        <v>13</v>
      </c>
      <c r="AS5" s="682">
        <v>13</v>
      </c>
      <c r="AT5" s="682">
        <v>13</v>
      </c>
      <c r="AU5" s="682">
        <v>13</v>
      </c>
      <c r="AV5" s="682">
        <v>13</v>
      </c>
      <c r="AW5" s="682">
        <v>13</v>
      </c>
      <c r="AX5" s="682">
        <v>13</v>
      </c>
      <c r="AY5" s="682">
        <v>13</v>
      </c>
      <c r="AZ5" s="682">
        <v>13</v>
      </c>
      <c r="BA5" s="682">
        <v>13</v>
      </c>
      <c r="BB5" s="682">
        <v>13</v>
      </c>
      <c r="BC5" s="682">
        <v>20</v>
      </c>
      <c r="BD5" s="682">
        <v>3</v>
      </c>
      <c r="BF5" s="1046"/>
    </row>
    <row customHeight="1" ht="11.25" hidden="1">
      <c r="A6" s="145" t="s">
        <v>371</v>
      </c>
      <c r="AE6" s="372">
        <f>god-2</f>
        <v>2024</v>
      </c>
      <c r="AF6" s="146">
        <f>god-2</f>
        <v>2024</v>
      </c>
      <c r="AG6" s="146">
        <f>god-2</f>
        <v>2024</v>
      </c>
      <c r="AH6" s="146">
        <f>god-1</f>
        <v>2025</v>
      </c>
      <c r="AI6" s="94" cm="1" t="str">
        <f t="array" ref="AI6:AI6">god</f>
        <v>2026</v>
      </c>
      <c r="AJ6" s="94">
        <f>god+1</f>
        <v>2027</v>
      </c>
      <c r="AK6" s="94">
        <f>god+2</f>
        <v>2028</v>
      </c>
      <c r="AL6" s="94">
        <f>god+3</f>
        <v>2029</v>
      </c>
      <c r="AM6" s="94">
        <f>god+4</f>
        <v>2030</v>
      </c>
      <c r="AN6" s="94">
        <f>god+5</f>
        <v>2031</v>
      </c>
      <c r="AO6" s="94">
        <f>god+6</f>
        <v>2032</v>
      </c>
      <c r="AP6" s="94">
        <f>god+7</f>
        <v>2033</v>
      </c>
      <c r="AQ6" s="94">
        <f>god+8</f>
        <v>2034</v>
      </c>
      <c r="AR6" s="94">
        <f>god+9</f>
        <v>2035</v>
      </c>
      <c r="AS6" s="94" cm="1" t="str">
        <f t="array" ref="AS6:AS6">god</f>
        <v>2026</v>
      </c>
      <c r="AT6" s="94">
        <f>god+1</f>
        <v>2027</v>
      </c>
      <c r="AU6" s="94">
        <f>god+2</f>
        <v>2028</v>
      </c>
      <c r="AV6" s="94">
        <f>god+3</f>
        <v>2029</v>
      </c>
      <c r="AW6" s="94">
        <f>god+4</f>
        <v>2030</v>
      </c>
      <c r="AX6" s="94">
        <f>god+5</f>
        <v>2031</v>
      </c>
      <c r="AY6" s="94">
        <f>god+6</f>
        <v>2032</v>
      </c>
      <c r="AZ6" s="94">
        <f>god+7</f>
        <v>2033</v>
      </c>
      <c r="BA6" s="94">
        <f>god+8</f>
        <v>2034</v>
      </c>
      <c r="BB6" s="94">
        <f>god+9</f>
        <v>2035</v>
      </c>
    </row>
    <row customHeight="1" ht="11.25" hidden="1">
      <c r="A7" s="145" t="s">
        <v>372</v>
      </c>
      <c r="AE7" s="372" cm="1" t="str">
        <f t="array" ref="AE7:AE7">AE25</f>
        <v>Принято органом регулирования</v>
      </c>
      <c r="AF7" s="372" cm="1" t="str">
        <f t="array" ref="AF7:AF7">AF25</f>
        <v>Факт по данным организации</v>
      </c>
      <c r="AG7" s="372" cm="1" t="str">
        <f t="array" ref="AG7:AG7">AG25</f>
        <v>Факт, принятый органом регулирования</v>
      </c>
      <c r="AH7" s="372" cm="1" t="str">
        <f t="array" ref="AH7:AH7">AH25</f>
        <v>Принято органом регулирования</v>
      </c>
      <c r="AI7" s="372" cm="1" t="str">
        <f t="array" ref="AI7:AI7">AI25</f>
        <v>Предложение организации</v>
      </c>
      <c r="AJ7" s="372" cm="1" t="str">
        <f t="array" ref="AJ7:AJ7">AJ25</f>
        <v>Предложение организации</v>
      </c>
      <c r="AK7" s="372" cm="1" t="str">
        <f t="array" ref="AK7:AK7">AK25</f>
        <v>Предложение организации</v>
      </c>
      <c r="AL7" s="372" cm="1" t="str">
        <f t="array" ref="AL7:AL7">AL25</f>
        <v>Предложение организации</v>
      </c>
      <c r="AM7" s="372" cm="1" t="str">
        <f t="array" ref="AM7:AM7">AM25</f>
        <v>Предложение организации</v>
      </c>
      <c r="AN7" s="372" cm="1" t="str">
        <f t="array" ref="AN7:AN7">AN25</f>
        <v>Предложение организации</v>
      </c>
      <c r="AO7" s="372" cm="1" t="str">
        <f t="array" ref="AO7:AO7">AO25</f>
        <v>Предложение организации</v>
      </c>
      <c r="AP7" s="372" cm="1" t="str">
        <f t="array" ref="AP7:AP7">AP25</f>
        <v>Предложение организации</v>
      </c>
      <c r="AQ7" s="372" cm="1" t="str">
        <f t="array" ref="AQ7:AQ7">AQ25</f>
        <v>Предложение организации</v>
      </c>
      <c r="AR7" s="372" cm="1" t="str">
        <f t="array" ref="AR7:AR7">AR25</f>
        <v>Предложение организации</v>
      </c>
      <c r="AS7" s="372" cm="1" t="str">
        <f t="array" ref="AS7:AS7">AS25</f>
        <v>Принято органом регулирования</v>
      </c>
      <c r="AT7" s="372" cm="1" t="str">
        <f t="array" ref="AT7:AT7">AT25</f>
        <v>Принято органом регулирования</v>
      </c>
      <c r="AU7" s="372" cm="1" t="str">
        <f t="array" ref="AU7:AU7">AU25</f>
        <v>Принято органом регулирования</v>
      </c>
      <c r="AV7" s="372" cm="1" t="str">
        <f t="array" ref="AV7:AV7">AV25</f>
        <v>Принято органом регулирования</v>
      </c>
      <c r="AW7" s="372" cm="1" t="str">
        <f t="array" ref="AW7:AW7">AW25</f>
        <v>Принято органом регулирования</v>
      </c>
      <c r="AX7" s="372" cm="1" t="str">
        <f t="array" ref="AX7:AX7">AX25</f>
        <v>Принято органом регулирования</v>
      </c>
      <c r="AY7" s="372" cm="1" t="str">
        <f t="array" ref="AY7:AY7">AY25</f>
        <v>Принято органом регулирования</v>
      </c>
      <c r="AZ7" s="372" cm="1" t="str">
        <f t="array" ref="AZ7:AZ7">AZ25</f>
        <v>Принято органом регулирования</v>
      </c>
      <c r="BA7" s="372" cm="1" t="str">
        <f t="array" ref="BA7:BA7">BA25</f>
        <v>Принято органом регулирования</v>
      </c>
      <c r="BB7" s="372" cm="1" t="str">
        <f t="array" ref="BB7:BB7">BB25</f>
        <v>Принято органом регулирования</v>
      </c>
    </row>
    <row customHeight="1" ht="11.25" hidden="1">
      <c r="AI8" s="1331"/>
      <c r="AJ8" s="1331"/>
      <c r="AK8" s="1331"/>
      <c r="AL8" s="1331"/>
      <c r="AM8" s="1331"/>
      <c r="AN8" s="1331"/>
      <c r="AO8" s="1331"/>
      <c r="AP8" s="1331"/>
      <c r="AQ8" s="1331"/>
      <c r="AR8" s="1331"/>
      <c r="AS8" s="1331"/>
      <c r="AT8" s="1331"/>
      <c r="AU8" s="1331"/>
      <c r="AV8" s="1331"/>
      <c r="AW8" s="1331"/>
      <c r="AX8" s="1331"/>
      <c r="AY8" s="1331"/>
      <c r="AZ8" s="1331"/>
      <c r="BA8" s="1331"/>
      <c r="BB8" s="1331"/>
    </row>
    <row s="1245" customFormat="1" customHeight="1" ht="11.25" hidden="1">
      <c r="A9" s="1023" t="s">
        <v>376</v>
      </c>
      <c r="B9" s="1045"/>
      <c r="AE9" s="1047" cm="1" t="str">
        <f t="array" ref="AE9:AE9">AE6</f>
        <v>2024</v>
      </c>
      <c r="AF9" s="1047" cm="1" t="str">
        <f t="array" ref="AF9:AF9">AF6</f>
        <v>2024</v>
      </c>
      <c r="AG9" s="1047" cm="1" t="str">
        <f t="array" ref="AG9:AG9">AG6</f>
        <v>2024</v>
      </c>
      <c r="AH9" s="1047" cm="1" t="str">
        <f t="array" ref="AH9:AH9">AH6</f>
        <v>2025</v>
      </c>
      <c r="AI9" s="1047" cm="1" t="str">
        <f t="array" ref="AI9:AI9">AI6</f>
        <v>2026</v>
      </c>
      <c r="AJ9" s="1047" cm="1" t="str">
        <f t="array" ref="AJ9:AJ9">AJ6</f>
        <v>2027</v>
      </c>
      <c r="AK9" s="1047" cm="1" t="str">
        <f t="array" ref="AK9:AK9">AK6</f>
        <v>2028</v>
      </c>
      <c r="AL9" s="1047" cm="1" t="str">
        <f t="array" ref="AL9:AL9">AL6</f>
        <v>2029</v>
      </c>
      <c r="AM9" s="1047" cm="1" t="str">
        <f t="array" ref="AM9:AM9">AM6</f>
        <v>2030</v>
      </c>
      <c r="AN9" s="1047" cm="1" t="str">
        <f t="array" ref="AN9:AN9">AN6</f>
        <v>2031</v>
      </c>
      <c r="AO9" s="1047" cm="1" t="str">
        <f t="array" ref="AO9:AO9">AO6</f>
        <v>2032</v>
      </c>
      <c r="AP9" s="1047" cm="1" t="str">
        <f t="array" ref="AP9:AP9">AP6</f>
        <v>2033</v>
      </c>
      <c r="AQ9" s="1047" cm="1" t="str">
        <f t="array" ref="AQ9:AQ9">AQ6</f>
        <v>2034</v>
      </c>
      <c r="AR9" s="1047" cm="1" t="str">
        <f t="array" ref="AR9:AR9">AR6</f>
        <v>2035</v>
      </c>
      <c r="AS9" s="1047" cm="1" t="str">
        <f t="array" ref="AS9:AS9">AS6</f>
        <v>2026</v>
      </c>
      <c r="AT9" s="1047" cm="1" t="str">
        <f t="array" ref="AT9:AT9">AT6</f>
        <v>2027</v>
      </c>
      <c r="AU9" s="1047" cm="1" t="str">
        <f t="array" ref="AU9:AU9">AU6</f>
        <v>2028</v>
      </c>
      <c r="AV9" s="1047" cm="1" t="str">
        <f t="array" ref="AV9:AV9">AV6</f>
        <v>2029</v>
      </c>
      <c r="AW9" s="1047" cm="1" t="str">
        <f t="array" ref="AW9:AW9">AW6</f>
        <v>2030</v>
      </c>
      <c r="AX9" s="1047" cm="1" t="str">
        <f t="array" ref="AX9:AX9">AX6</f>
        <v>2031</v>
      </c>
      <c r="AY9" s="1047" cm="1" t="str">
        <f t="array" ref="AY9:AY9">AY6</f>
        <v>2032</v>
      </c>
      <c r="AZ9" s="1047" cm="1" t="str">
        <f t="array" ref="AZ9:AZ9">AZ6</f>
        <v>2033</v>
      </c>
      <c r="BA9" s="1047" cm="1" t="str">
        <f t="array" ref="BA9:BA9">BA6</f>
        <v>2034</v>
      </c>
      <c r="BB9" s="1047" cm="1" t="str">
        <f t="array" ref="BB9:BB9">BB6</f>
        <v>2035</v>
      </c>
    </row>
    <row s="1245" customFormat="1" customHeight="1" ht="11.25" hidden="1">
      <c r="A10" s="1023" t="s">
        <v>377</v>
      </c>
      <c r="B10" s="1045"/>
      <c r="AE10" s="1047" cm="1" t="str">
        <f t="array" ref="AE10:AE10">AE25</f>
        <v>Принято органом регулирования</v>
      </c>
      <c r="AF10" s="1047" cm="1" t="str">
        <f t="array" ref="AF10:AF10">AF25</f>
        <v>Факт по данным организации</v>
      </c>
      <c r="AG10" s="1047" cm="1" t="str">
        <f t="array" ref="AG10:AG10">AG25</f>
        <v>Факт, принятый органом регулирования</v>
      </c>
      <c r="AH10" s="1047" cm="1" t="str">
        <f t="array" ref="AH10:AH10">AH25</f>
        <v>Принято органом регулирования</v>
      </c>
      <c r="AI10" s="1047" cm="1" t="str">
        <f t="array" ref="AI10:AI10">AI25</f>
        <v>Предложение организации</v>
      </c>
      <c r="AJ10" s="1047" cm="1" t="str">
        <f t="array" ref="AJ10:AJ10">AJ25</f>
        <v>Предложение организации</v>
      </c>
      <c r="AK10" s="1047" cm="1" t="str">
        <f t="array" ref="AK10:AK10">AK25</f>
        <v>Предложение организации</v>
      </c>
      <c r="AL10" s="1047" cm="1" t="str">
        <f t="array" ref="AL10:AL10">AL25</f>
        <v>Предложение организации</v>
      </c>
      <c r="AM10" s="1047" cm="1" t="str">
        <f t="array" ref="AM10:AM10">AM25</f>
        <v>Предложение организации</v>
      </c>
      <c r="AN10" s="1047" cm="1" t="str">
        <f t="array" ref="AN10:AN10">AN25</f>
        <v>Предложение организации</v>
      </c>
      <c r="AO10" s="1047" cm="1" t="str">
        <f t="array" ref="AO10:AO10">AO25</f>
        <v>Предложение организации</v>
      </c>
      <c r="AP10" s="1047" cm="1" t="str">
        <f t="array" ref="AP10:AP10">AP25</f>
        <v>Предложение организации</v>
      </c>
      <c r="AQ10" s="1047" cm="1" t="str">
        <f t="array" ref="AQ10:AQ10">AQ25</f>
        <v>Предложение организации</v>
      </c>
      <c r="AR10" s="1047" cm="1" t="str">
        <f t="array" ref="AR10:AR10">AR25</f>
        <v>Предложение организации</v>
      </c>
      <c r="AS10" s="1047" cm="1" t="str">
        <f t="array" ref="AS10:AS10">AS25</f>
        <v>Принято органом регулирования</v>
      </c>
      <c r="AT10" s="1047" cm="1" t="str">
        <f t="array" ref="AT10:AT10">AT25</f>
        <v>Принято органом регулирования</v>
      </c>
      <c r="AU10" s="1047" cm="1" t="str">
        <f t="array" ref="AU10:AU10">AU25</f>
        <v>Принято органом регулирования</v>
      </c>
      <c r="AV10" s="1047" cm="1" t="str">
        <f t="array" ref="AV10:AV10">AV25</f>
        <v>Принято органом регулирования</v>
      </c>
      <c r="AW10" s="1047" cm="1" t="str">
        <f t="array" ref="AW10:AW10">AW25</f>
        <v>Принято органом регулирования</v>
      </c>
      <c r="AX10" s="1047" cm="1" t="str">
        <f t="array" ref="AX10:AX10">AX25</f>
        <v>Принято органом регулирования</v>
      </c>
      <c r="AY10" s="1047" cm="1" t="str">
        <f t="array" ref="AY10:AY10">AY25</f>
        <v>Принято органом регулирования</v>
      </c>
      <c r="AZ10" s="1047" cm="1" t="str">
        <f t="array" ref="AZ10:AZ10">AZ25</f>
        <v>Принято органом регулирования</v>
      </c>
      <c r="BA10" s="1047" cm="1" t="str">
        <f t="array" ref="BA10:BA10">BA25</f>
        <v>Принято органом регулирования</v>
      </c>
      <c r="BB10" s="1047" cm="1" t="str">
        <f t="array" ref="BB10:BB10">BB25</f>
        <v>Принято органом регулирования</v>
      </c>
    </row>
    <row s="1245" customFormat="1" customHeight="1" ht="11.25" hidden="1">
      <c r="A11" s="1023" t="s">
        <v>378</v>
      </c>
      <c r="B11" s="1045"/>
      <c r="AE11" s="1047"/>
      <c r="AI11" s="1245"/>
      <c r="AJ11" s="1245"/>
      <c r="AK11" s="1245"/>
      <c r="AL11" s="1245"/>
      <c r="AM11" s="1245"/>
      <c r="AN11" s="1245"/>
      <c r="AO11" s="1245"/>
      <c r="AP11" s="1245"/>
      <c r="AQ11" s="1245"/>
      <c r="AR11" s="1245"/>
      <c r="AS11" s="1245"/>
      <c r="AT11" s="1245"/>
      <c r="AU11" s="1245"/>
      <c r="AV11" s="1245"/>
      <c r="AW11" s="1245"/>
      <c r="AX11" s="1245"/>
      <c r="AY11" s="1245"/>
      <c r="AZ11" s="1245"/>
      <c r="BA11" s="1245"/>
      <c r="BB11" s="1245"/>
      <c r="BC11" s="1046" cm="1" t="str">
        <f t="array" ref="BC11:BC11">BC24</f>
        <v>Ссылка на правовую норму (основание для принятия показателя в расчет тарифа)</v>
      </c>
    </row>
    <row customHeight="1" ht="11.25" hidden="1">
      <c r="AI12" s="1331"/>
      <c r="AJ12" s="1331"/>
      <c r="AK12" s="1331"/>
      <c r="AL12" s="1331"/>
      <c r="AM12" s="1331"/>
      <c r="AN12" s="1331"/>
      <c r="AO12" s="1331"/>
      <c r="AP12" s="1331"/>
      <c r="AQ12" s="1331"/>
      <c r="AR12" s="1331"/>
      <c r="AS12" s="1331"/>
      <c r="AT12" s="1331"/>
      <c r="AU12" s="1331"/>
      <c r="AV12" s="1331"/>
      <c r="AW12" s="1331"/>
      <c r="AX12" s="1331"/>
      <c r="AY12" s="1331"/>
      <c r="AZ12" s="1331"/>
      <c r="BA12" s="1331"/>
      <c r="BB12" s="1331"/>
    </row>
    <row customHeight="1" ht="11.25" hidden="1">
      <c r="AI13" s="94"/>
      <c r="AJ13" s="94"/>
      <c r="AK13" s="94"/>
      <c r="AL13" s="94"/>
      <c r="AM13" s="94"/>
      <c r="AN13" s="94"/>
      <c r="AO13" s="94"/>
      <c r="AP13" s="94"/>
      <c r="AQ13" s="94"/>
      <c r="AR13" s="94"/>
      <c r="AS13" s="94"/>
      <c r="AT13" s="94"/>
      <c r="AU13" s="94"/>
      <c r="AV13" s="94"/>
      <c r="AW13" s="94"/>
      <c r="AX13" s="94"/>
      <c r="AY13" s="94"/>
      <c r="AZ13" s="94"/>
      <c r="BA13" s="94"/>
      <c r="BB13" s="94"/>
    </row>
    <row customHeight="1" ht="11.25" hidden="1">
      <c r="AI14" s="94"/>
      <c r="AJ14" s="94"/>
      <c r="AK14" s="94"/>
      <c r="AL14" s="94"/>
      <c r="AM14" s="94"/>
      <c r="AN14" s="94"/>
      <c r="AO14" s="94"/>
      <c r="AP14" s="94"/>
      <c r="AQ14" s="94"/>
      <c r="AR14" s="94"/>
      <c r="AS14" s="94"/>
      <c r="AT14" s="94"/>
      <c r="AU14" s="94"/>
      <c r="AV14" s="94"/>
      <c r="AW14" s="94"/>
      <c r="AX14" s="94"/>
      <c r="AY14" s="94"/>
      <c r="AZ14" s="94"/>
      <c r="BA14" s="94"/>
      <c r="BB14" s="94"/>
    </row>
    <row customHeight="1" ht="11.25" hidden="1">
      <c r="AI15" s="94"/>
      <c r="AJ15" s="94"/>
      <c r="AK15" s="94"/>
      <c r="AL15" s="94"/>
      <c r="AM15" s="94"/>
      <c r="AN15" s="94"/>
      <c r="AO15" s="94"/>
      <c r="AP15" s="94"/>
      <c r="AQ15" s="94"/>
      <c r="AR15" s="94"/>
      <c r="AS15" s="94"/>
      <c r="AT15" s="94"/>
      <c r="AU15" s="94"/>
      <c r="AV15" s="94"/>
      <c r="AW15" s="94"/>
      <c r="AX15" s="94"/>
      <c r="AY15" s="94"/>
      <c r="AZ15" s="94"/>
      <c r="BA15" s="94"/>
      <c r="BB15" s="94"/>
    </row>
    <row customHeight="1" ht="11.25" hidden="1">
      <c r="AI16" s="94"/>
      <c r="AJ16" s="94"/>
      <c r="AK16" s="94"/>
      <c r="AL16" s="94"/>
      <c r="AM16" s="94"/>
      <c r="AN16" s="94"/>
      <c r="AO16" s="94"/>
      <c r="AP16" s="94"/>
      <c r="AQ16" s="94"/>
      <c r="AR16" s="94"/>
      <c r="AS16" s="94"/>
      <c r="AT16" s="94"/>
      <c r="AU16" s="94"/>
      <c r="AV16" s="94"/>
      <c r="AW16" s="94"/>
      <c r="AX16" s="94"/>
      <c r="AY16" s="94"/>
      <c r="AZ16" s="94"/>
      <c r="BA16" s="94"/>
      <c r="BB16" s="94"/>
    </row>
    <row customHeight="1" ht="11.25" hidden="1">
      <c r="AI17" s="1331"/>
      <c r="AJ17" s="1331"/>
      <c r="AK17" s="1331"/>
      <c r="AL17" s="1331"/>
      <c r="AM17" s="1331"/>
      <c r="AN17" s="1331"/>
      <c r="AO17" s="1331"/>
      <c r="AP17" s="1331"/>
      <c r="AQ17" s="1331"/>
      <c r="AR17" s="1331"/>
      <c r="AS17" s="1331"/>
      <c r="AT17" s="1331"/>
      <c r="AU17" s="1331"/>
      <c r="AV17" s="1331"/>
      <c r="AW17" s="1331"/>
      <c r="AX17" s="1331"/>
      <c r="AY17" s="1331"/>
      <c r="AZ17" s="1331"/>
      <c r="BA17" s="1331"/>
      <c r="BB17" s="1331"/>
    </row>
    <row customHeight="1" ht="11.25" hidden="1">
      <c r="AI18" s="1331"/>
      <c r="AJ18" s="1331"/>
      <c r="AK18" s="1331"/>
      <c r="AL18" s="1331"/>
      <c r="AM18" s="1331"/>
      <c r="AN18" s="1331"/>
      <c r="AO18" s="1331"/>
      <c r="AP18" s="1331"/>
      <c r="AQ18" s="1331"/>
      <c r="AR18" s="1331"/>
      <c r="AS18" s="1331"/>
      <c r="AT18" s="1331"/>
      <c r="AU18" s="1331"/>
      <c r="AV18" s="1331"/>
      <c r="AW18" s="1331"/>
      <c r="AX18" s="1331"/>
      <c r="AY18" s="1331"/>
      <c r="AZ18" s="1331"/>
      <c r="BA18" s="1331"/>
      <c r="BB18" s="1331"/>
    </row>
    <row customHeight="1" ht="11.25" hidden="1">
      <c r="AI19" s="1331"/>
      <c r="AJ19" s="1331"/>
      <c r="AK19" s="1331"/>
      <c r="AL19" s="1331"/>
      <c r="AM19" s="1331"/>
      <c r="AN19" s="1331"/>
      <c r="AO19" s="1331"/>
      <c r="AP19" s="1331"/>
      <c r="AQ19" s="1331"/>
      <c r="AR19" s="1331"/>
      <c r="AS19" s="1331"/>
      <c r="AT19" s="1331"/>
      <c r="AU19" s="1331"/>
      <c r="AV19" s="1331"/>
      <c r="AW19" s="1331"/>
      <c r="AX19" s="1331"/>
      <c r="AY19" s="1331"/>
      <c r="AZ19" s="1331"/>
      <c r="BA19" s="1331"/>
      <c r="BB19" s="1331"/>
    </row>
    <row customHeight="1" ht="11.25" hidden="1">
      <c r="AI20" s="1331"/>
      <c r="AJ20" s="1331"/>
      <c r="AK20" s="1331"/>
      <c r="AL20" s="1331"/>
      <c r="AM20" s="1331"/>
      <c r="AN20" s="1331"/>
      <c r="AO20" s="1331"/>
      <c r="AP20" s="1331"/>
      <c r="AQ20" s="1331"/>
      <c r="AR20" s="1331"/>
      <c r="AS20" s="1331"/>
      <c r="AT20" s="1331"/>
      <c r="AU20" s="1331"/>
      <c r="AV20" s="1331"/>
      <c r="AW20" s="1331"/>
      <c r="AX20" s="1331"/>
      <c r="AY20" s="1331"/>
      <c r="AZ20" s="1331"/>
      <c r="BA20" s="1331"/>
      <c r="BB20" s="1331"/>
    </row>
    <row customHeight="1" ht="14.625">
      <c r="E21" s="682">
        <v>15</v>
      </c>
      <c r="AA21" s="427"/>
      <c r="AC21" s="362" cm="1" t="str">
        <f t="array" ref="AC21:AC21">tpl_title</f>
        <v>Кемеровская область / 2026 / ОАО «СКЭК» (ИНН:4205153492, КПП:420501001) / ДПР: 2024-2028</v>
      </c>
      <c r="AI21" s="1331"/>
      <c r="AJ21" s="1331"/>
      <c r="AK21" s="1331"/>
      <c r="AL21" s="1331"/>
      <c r="AM21" s="1331"/>
      <c r="AN21" s="1331"/>
      <c r="AO21" s="1331"/>
      <c r="AP21" s="1331"/>
      <c r="AQ21" s="1331"/>
      <c r="AR21" s="1331"/>
      <c r="AS21" s="1331"/>
      <c r="AT21" s="1331"/>
      <c r="AU21" s="1331"/>
      <c r="AV21" s="1331"/>
      <c r="AW21" s="1331"/>
      <c r="AX21" s="1331"/>
      <c r="AY21" s="1331"/>
      <c r="AZ21" s="1331"/>
      <c r="BA21" s="1331"/>
      <c r="BB21" s="1331"/>
    </row>
    <row s="1331" customFormat="1" customHeight="1" ht="19.5">
      <c r="B22" s="430"/>
      <c r="E22" s="623">
        <v>20</v>
      </c>
      <c r="AB22" s="316" t="s">
        <v>58</v>
      </c>
      <c r="AC22" s="213"/>
      <c r="AD22" s="213"/>
      <c r="AE22" s="213"/>
      <c r="AF22" s="213"/>
      <c r="AG22" s="213"/>
      <c r="AH22" s="213"/>
      <c r="AI22" s="213"/>
      <c r="AJ22" s="213"/>
      <c r="AK22" s="213"/>
      <c r="AL22" s="213"/>
      <c r="AM22" s="213"/>
      <c r="AN22" s="213"/>
      <c r="AO22" s="213"/>
      <c r="AP22" s="213"/>
      <c r="AQ22" s="213"/>
      <c r="AR22" s="213"/>
      <c r="AS22" s="213"/>
      <c r="AT22" s="213"/>
      <c r="AU22" s="213"/>
      <c r="AV22" s="213"/>
      <c r="AW22" s="213"/>
      <c r="AX22" s="213"/>
      <c r="AY22" s="213"/>
      <c r="AZ22" s="213"/>
      <c r="BA22" s="213"/>
      <c r="BB22" s="213"/>
      <c r="BC22" s="213"/>
      <c r="BF22" s="1005"/>
    </row>
    <row s="1331" customFormat="1" customHeight="1" ht="10.96875">
      <c r="B23" s="430"/>
      <c r="E23" s="623">
        <v>11.25</v>
      </c>
      <c r="AB23" s="147"/>
      <c r="AE23" s="128"/>
      <c r="AI23" s="1331"/>
      <c r="AJ23" s="1331"/>
      <c r="AK23" s="1331"/>
      <c r="AL23" s="1331"/>
      <c r="AM23" s="1331"/>
      <c r="AN23" s="1331"/>
      <c r="AO23" s="1331"/>
      <c r="AP23" s="1331"/>
      <c r="AQ23" s="1331"/>
      <c r="AR23" s="1331"/>
      <c r="AS23" s="1331"/>
      <c r="AT23" s="1331"/>
      <c r="AU23" s="1331"/>
      <c r="AV23" s="1331"/>
      <c r="AW23" s="1331"/>
      <c r="AX23" s="1331"/>
      <c r="AY23" s="1331"/>
      <c r="AZ23" s="1331"/>
      <c r="BA23" s="1331"/>
      <c r="BB23" s="1331"/>
      <c r="BF23" s="1005"/>
    </row>
    <row s="1331" customFormat="1" customHeight="1" ht="14.625">
      <c r="B24" s="430"/>
      <c r="E24" s="623">
        <v>15</v>
      </c>
      <c r="AB24" s="1553" t="s">
        <v>22</v>
      </c>
      <c r="AC24" s="1553" t="s">
        <v>380</v>
      </c>
      <c r="AD24" s="1553" t="s">
        <v>1190</v>
      </c>
      <c r="AE24" s="355" t="str">
        <f>god-2&amp;" год"</f>
        <v>2024 год</v>
      </c>
      <c r="AF24" s="1130" t="str">
        <f>god-2&amp;" год"</f>
        <v>2024 год</v>
      </c>
      <c r="AG24" s="355" t="str">
        <f>god-2&amp;" год"</f>
        <v>2024 год</v>
      </c>
      <c r="AH24" s="90" t="str">
        <f>god-1&amp;" год"</f>
        <v>2025 год</v>
      </c>
      <c r="AI24" s="1127" t="str">
        <f>god&amp;" год"</f>
        <v>2026 год</v>
      </c>
      <c r="AJ24" s="1127" t="str">
        <f>god+1&amp;" год"</f>
        <v>2027 год</v>
      </c>
      <c r="AK24" s="1127" t="str">
        <f>god+2&amp;" год"</f>
        <v>2028 год</v>
      </c>
      <c r="AL24" s="1127" t="str">
        <f>god+3&amp;" год"</f>
        <v>2029 год</v>
      </c>
      <c r="AM24" s="1127" t="str">
        <f>god+4&amp;" год"</f>
        <v>2030 год</v>
      </c>
      <c r="AN24" s="1127" t="str">
        <f>god+5&amp;" год"</f>
        <v>2031 год</v>
      </c>
      <c r="AO24" s="1127" t="str">
        <f>god+6&amp;" год"</f>
        <v>2032 год</v>
      </c>
      <c r="AP24" s="1127" t="str">
        <f>god+7&amp;" год"</f>
        <v>2033 год</v>
      </c>
      <c r="AQ24" s="1127" t="str">
        <f>god+8&amp;" год"</f>
        <v>2034 год</v>
      </c>
      <c r="AR24" s="1127" t="str">
        <f>god+9&amp;" год"</f>
        <v>2035 год</v>
      </c>
      <c r="AS24" s="88" t="str">
        <f>god&amp;" год"</f>
        <v>2026 год</v>
      </c>
      <c r="AT24" s="88" t="str">
        <f>god+1&amp;" год"</f>
        <v>2027 год</v>
      </c>
      <c r="AU24" s="88" t="str">
        <f>god+2&amp;" год"</f>
        <v>2028 год</v>
      </c>
      <c r="AV24" s="88" t="str">
        <f>god+3&amp;" год"</f>
        <v>2029 год</v>
      </c>
      <c r="AW24" s="88" t="str">
        <f>god+4&amp;" год"</f>
        <v>2030 год</v>
      </c>
      <c r="AX24" s="88" t="str">
        <f>god+5&amp;" год"</f>
        <v>2031 год</v>
      </c>
      <c r="AY24" s="88" t="str">
        <f>god+6&amp;" год"</f>
        <v>2032 год</v>
      </c>
      <c r="AZ24" s="88" t="str">
        <f>god+7&amp;" год"</f>
        <v>2033 год</v>
      </c>
      <c r="BA24" s="88" t="str">
        <f>god+8&amp;" год"</f>
        <v>2034 год</v>
      </c>
      <c r="BB24" s="88" t="str">
        <f>god+9&amp;" год"</f>
        <v>2035 год</v>
      </c>
      <c r="BC24" s="1564" t="s">
        <v>652</v>
      </c>
      <c r="BF24" s="1005"/>
    </row>
    <row s="1331" customFormat="1" customHeight="1" ht="48.75">
      <c r="B25" s="430"/>
      <c r="E25" s="623">
        <v>50</v>
      </c>
      <c r="AB25" s="1553"/>
      <c r="AC25" s="1553"/>
      <c r="AD25" s="1553"/>
      <c r="AE25" s="88" t="s">
        <v>373</v>
      </c>
      <c r="AF25" s="1127" t="s">
        <v>555</v>
      </c>
      <c r="AG25" s="88" t="s">
        <v>556</v>
      </c>
      <c r="AH25" s="88" t="s">
        <v>373</v>
      </c>
      <c r="AI25" s="1131" t="s">
        <v>374</v>
      </c>
      <c r="AJ25" s="1131" t="s">
        <v>374</v>
      </c>
      <c r="AK25" s="1131" t="s">
        <v>374</v>
      </c>
      <c r="AL25" s="1131" t="s">
        <v>374</v>
      </c>
      <c r="AM25" s="1131" t="s">
        <v>374</v>
      </c>
      <c r="AN25" s="1131" t="s">
        <v>374</v>
      </c>
      <c r="AO25" s="1131" t="s">
        <v>374</v>
      </c>
      <c r="AP25" s="1131" t="s">
        <v>374</v>
      </c>
      <c r="AQ25" s="1131" t="s">
        <v>374</v>
      </c>
      <c r="AR25" s="1131" t="s">
        <v>374</v>
      </c>
      <c r="AS25" s="356" t="s">
        <v>373</v>
      </c>
      <c r="AT25" s="356" t="s">
        <v>373</v>
      </c>
      <c r="AU25" s="356" t="s">
        <v>373</v>
      </c>
      <c r="AV25" s="356" t="s">
        <v>373</v>
      </c>
      <c r="AW25" s="356" t="s">
        <v>373</v>
      </c>
      <c r="AX25" s="356" t="s">
        <v>373</v>
      </c>
      <c r="AY25" s="356" t="s">
        <v>373</v>
      </c>
      <c r="AZ25" s="356" t="s">
        <v>373</v>
      </c>
      <c r="BA25" s="356" t="s">
        <v>373</v>
      </c>
      <c r="BB25" s="356" t="s">
        <v>373</v>
      </c>
      <c r="BC25" s="1564"/>
      <c r="BF25" s="1005"/>
    </row>
    <row s="1656" customFormat="1" customHeight="1" ht="11.25" hidden="1">
      <c r="A26" s="502"/>
      <c r="B26" s="664"/>
      <c r="C26" s="502"/>
      <c r="D26" s="502"/>
      <c r="E26" s="665">
        <v>0</v>
      </c>
      <c r="F26" s="660" t="s">
        <v>1191</v>
      </c>
      <c r="G26" s="502"/>
      <c r="H26" s="502"/>
      <c r="I26" s="502"/>
      <c r="J26" s="502"/>
      <c r="K26" s="502"/>
      <c r="L26" s="502"/>
      <c r="M26" s="502"/>
      <c r="N26" s="502"/>
      <c r="O26" s="502"/>
      <c r="P26" s="502"/>
      <c r="Q26" s="502"/>
      <c r="R26" s="502"/>
      <c r="S26" s="502"/>
      <c r="T26" s="502"/>
      <c r="U26" s="502"/>
      <c r="V26" s="502"/>
      <c r="W26" s="502"/>
      <c r="X26" s="502"/>
      <c r="Y26" s="502"/>
      <c r="Z26" s="502"/>
      <c r="AC26" s="96"/>
      <c r="AD26" s="96"/>
      <c r="AE26" s="96"/>
      <c r="AF26" s="96"/>
      <c r="AI26" s="1656"/>
      <c r="AJ26" s="1656"/>
      <c r="AK26" s="1656"/>
      <c r="AL26" s="1656"/>
      <c r="AM26" s="1656"/>
      <c r="AN26" s="1656"/>
      <c r="AO26" s="1656"/>
      <c r="AP26" s="1656"/>
      <c r="AQ26" s="97"/>
      <c r="AR26" s="1656"/>
      <c r="AS26" s="1656"/>
      <c r="AT26" s="1656"/>
      <c r="AU26" s="1656"/>
      <c r="AV26" s="1656"/>
      <c r="AW26" s="1656"/>
      <c r="AX26" s="1656"/>
      <c r="AY26" s="1656"/>
      <c r="AZ26" s="1656"/>
      <c r="BA26" s="1656"/>
      <c r="BB26" s="1656"/>
      <c r="BF26" s="1012"/>
    </row>
    <row s="1331" customFormat="1" customHeight="1" ht="14.625" hidden="1">
      <c r="A27" s="1331"/>
      <c r="B27" s="430"/>
      <c r="C27" s="1331"/>
      <c r="D27" s="1331"/>
      <c r="E27" s="623">
        <v>15</v>
      </c>
      <c r="F27" s="94" cm="1" t="str">
        <f t="array" ref="F27:F27">X27</f>
        <v>0</v>
      </c>
      <c r="G27" s="1331"/>
      <c r="H27" s="1331"/>
      <c r="I27" s="1331"/>
      <c r="J27" s="1331"/>
      <c r="K27" s="1331"/>
      <c r="L27" s="1331"/>
      <c r="M27" s="1331"/>
      <c r="N27" s="1331"/>
      <c r="O27" s="1331"/>
      <c r="P27" s="1331"/>
      <c r="Q27" s="1331"/>
      <c r="R27" s="1331"/>
      <c r="S27" s="1331"/>
      <c r="T27" s="468">
        <f>X27&gt;0</f>
        <v>0</v>
      </c>
      <c r="U27" s="1331"/>
      <c r="V27" s="118" t="s">
        <v>279</v>
      </c>
      <c r="W27" s="1331"/>
      <c r="X27" s="1539">
        <v>0</v>
      </c>
      <c r="Y27" s="1331"/>
      <c r="Z27" s="1559"/>
      <c r="AA27" s="1331"/>
      <c r="AB27" s="218" cm="1" t="str">
        <f t="array" ref="AB27:AB27">INDEX('Общие сведения'!$AG$197:$AG$254,MATCH($X27,'Общие сведения'!$Z$197:$Z$254,0))</f>
        <v>Тариф 0 () - </v>
      </c>
      <c r="AC27" s="176"/>
      <c r="AD27" s="170"/>
      <c r="AE27" s="170"/>
      <c r="AF27" s="170"/>
      <c r="AG27" s="170"/>
      <c r="AH27" s="170"/>
      <c r="AI27" s="170"/>
      <c r="AJ27" s="170"/>
      <c r="AK27" s="170"/>
      <c r="AL27" s="170"/>
      <c r="AM27" s="170"/>
      <c r="AN27" s="170"/>
      <c r="AO27" s="170"/>
      <c r="AP27" s="170"/>
      <c r="AQ27" s="170"/>
      <c r="AR27" s="170"/>
      <c r="AS27" s="170"/>
      <c r="AT27" s="170"/>
      <c r="AU27" s="170"/>
      <c r="AV27" s="170"/>
      <c r="AW27" s="170"/>
      <c r="AX27" s="170"/>
      <c r="AY27" s="170"/>
      <c r="AZ27" s="170"/>
      <c r="BA27" s="170"/>
      <c r="BB27" s="170"/>
      <c r="BC27" s="206"/>
      <c r="BD27" s="1331"/>
      <c r="BE27" s="1331"/>
      <c r="BF27" s="1005"/>
    </row>
    <row s="1331" customFormat="1" customHeight="1" ht="71.6625" hidden="1">
      <c r="A28" s="1331"/>
      <c r="B28" s="430"/>
      <c r="C28" s="1331"/>
      <c r="D28" s="1331"/>
      <c r="E28" s="623">
        <v>73.5</v>
      </c>
      <c r="F28" s="50" cm="1" t="str">
        <f t="array" ref="F28:F28">OFFSET(E28,-1,1)</f>
        <v>0</v>
      </c>
      <c r="G28" s="497" t="s">
        <v>1192</v>
      </c>
      <c r="H28" s="118" t="s">
        <v>344</v>
      </c>
      <c r="I28" s="1331"/>
      <c r="J28" s="1331"/>
      <c r="K28" s="120" t="str">
        <f>F28&amp;"komm"</f>
        <v>0komm</v>
      </c>
      <c r="L28" s="926" cm="1" t="str">
        <f t="array" ref="L28:L28">BC28</f>
        <v>0</v>
      </c>
      <c r="M28" s="1331"/>
      <c r="N28" s="1331"/>
      <c r="O28" s="1331"/>
      <c r="P28" s="1331"/>
      <c r="Q28" s="1331"/>
      <c r="R28" s="1331"/>
      <c r="S28" s="1331"/>
      <c r="T28" s="468" cm="1" t="str">
        <f t="array" ref="T28:T28">T27</f>
        <v>false</v>
      </c>
      <c r="U28" s="1331"/>
      <c r="V28" s="1331"/>
      <c r="W28" s="1331"/>
      <c r="X28" s="1539"/>
      <c r="Y28" s="1331"/>
      <c r="Z28" s="1559"/>
      <c r="AA28" s="1331"/>
      <c r="AB28" s="214" t="s">
        <v>290</v>
      </c>
      <c r="AC28" s="215" t="s">
        <v>1193</v>
      </c>
      <c r="AD28" s="201" t="s">
        <v>936</v>
      </c>
      <c r="AE28" s="780">
        <f>AE29+AE32+AE33+AE34</f>
        <v>0</v>
      </c>
      <c r="AF28" s="780">
        <f>AF29+AF32+AF33+AF34</f>
        <v>0</v>
      </c>
      <c r="AG28" s="780">
        <f>AG29+AG32+AG33+AG34</f>
        <v>0</v>
      </c>
      <c r="AH28" s="780">
        <f>AH29+AH32+AH33+AH34</f>
        <v>0</v>
      </c>
      <c r="AI28" s="780">
        <f>AI29+AI32+AI33+AI34</f>
        <v>0</v>
      </c>
      <c r="AJ28" s="780">
        <f>AJ29+AJ32+AJ33+AJ34</f>
        <v>0</v>
      </c>
      <c r="AK28" s="780">
        <f>AK29+AK32+AK33+AK34</f>
        <v>0</v>
      </c>
      <c r="AL28" s="780">
        <f>AL29+AL32+AL33+AL34</f>
        <v>0</v>
      </c>
      <c r="AM28" s="780">
        <f>AM29+AM32+AM33+AM34</f>
        <v>0</v>
      </c>
      <c r="AN28" s="780">
        <f>AN29+AN32+AN33+AN34</f>
        <v>0</v>
      </c>
      <c r="AO28" s="780">
        <f>AO29+AO32+AO33+AO34</f>
        <v>0</v>
      </c>
      <c r="AP28" s="780">
        <f>AP29+AP32+AP33+AP34</f>
        <v>0</v>
      </c>
      <c r="AQ28" s="780">
        <f>AQ29+AQ32+AQ33+AQ34</f>
        <v>0</v>
      </c>
      <c r="AR28" s="780">
        <f>AR29+AR32+AR33+AR34</f>
        <v>0</v>
      </c>
      <c r="AS28" s="780">
        <f>AS29+AS32+AS33+AS34</f>
        <v>0</v>
      </c>
      <c r="AT28" s="780">
        <f>AT29+AT32+AT33+AT34</f>
        <v>0</v>
      </c>
      <c r="AU28" s="780">
        <f>AU29+AU32+AU33+AU34</f>
        <v>0</v>
      </c>
      <c r="AV28" s="780">
        <f>AV29+AV32+AV33+AV34</f>
        <v>0</v>
      </c>
      <c r="AW28" s="780">
        <f>AW29+AW32+AW33+AW34</f>
        <v>0</v>
      </c>
      <c r="AX28" s="780">
        <f>AX29+AX32+AX33+AX34</f>
        <v>0</v>
      </c>
      <c r="AY28" s="780">
        <f>AY29+AY32+AY33+AY34</f>
        <v>0</v>
      </c>
      <c r="AZ28" s="780">
        <f>AZ29+AZ32+AZ33+AZ34</f>
        <v>0</v>
      </c>
      <c r="BA28" s="780">
        <f>BA29+BA32+BA33+BA34</f>
        <v>0</v>
      </c>
      <c r="BB28" s="780">
        <f>BB29+BB32+BB33+BB34</f>
        <v>0</v>
      </c>
      <c r="BC28" s="1928"/>
      <c r="BD28" s="1331"/>
      <c r="BE28" s="1331"/>
      <c r="BF28" s="1048" t="s">
        <v>1194</v>
      </c>
    </row>
    <row s="1331" customFormat="1" customHeight="1" ht="14.625" hidden="1">
      <c r="A29" s="1331"/>
      <c r="B29" s="430"/>
      <c r="C29" s="1331"/>
      <c r="D29" s="118" t="s">
        <v>1195</v>
      </c>
      <c r="E29" s="623">
        <v>15</v>
      </c>
      <c r="F29" s="50" cm="1" t="str">
        <f t="array" ref="F29:F29">OFFSET(E29,-1,1)</f>
        <v>0</v>
      </c>
      <c r="G29" s="1331"/>
      <c r="H29" s="118" t="s">
        <v>566</v>
      </c>
      <c r="I29" s="1331"/>
      <c r="J29" s="1331"/>
      <c r="K29" s="1331"/>
      <c r="L29" s="1331"/>
      <c r="M29" s="1331"/>
      <c r="N29" s="1331"/>
      <c r="O29" s="1331"/>
      <c r="P29" s="1331"/>
      <c r="Q29" s="1331"/>
      <c r="R29" s="1331"/>
      <c r="S29" s="1331"/>
      <c r="T29" s="468" cm="1" t="str">
        <f t="array" ref="T29:T29">T28</f>
        <v>false</v>
      </c>
      <c r="U29" s="1331"/>
      <c r="V29" s="1331"/>
      <c r="W29" s="1331"/>
      <c r="X29" s="1539"/>
      <c r="Y29" s="1331"/>
      <c r="Z29" s="1559"/>
      <c r="AA29" s="1331"/>
      <c r="AB29" s="216" t="s">
        <v>1067</v>
      </c>
      <c r="AC29" s="769" t="s">
        <v>1195</v>
      </c>
      <c r="AD29" s="937" t="s">
        <v>936</v>
      </c>
      <c r="AE29" s="3132">
        <f>SUM(AE30:AE31)</f>
        <v>0</v>
      </c>
      <c r="AF29" s="3132">
        <f>SUM(AF30:AF31)</f>
        <v>0</v>
      </c>
      <c r="AG29" s="3132">
        <f>SUM(AG30:AG31)</f>
        <v>0</v>
      </c>
      <c r="AH29" s="3132">
        <f>SUM(AH30:AH31)</f>
        <v>0</v>
      </c>
      <c r="AI29" s="3132">
        <f>SUM(AI30:AI31)</f>
        <v>0</v>
      </c>
      <c r="AJ29" s="3132">
        <f>SUM(AJ30:AJ31)</f>
        <v>0</v>
      </c>
      <c r="AK29" s="3132">
        <f>SUM(AK30:AK31)</f>
        <v>0</v>
      </c>
      <c r="AL29" s="3132">
        <f>SUM(AL30:AL31)</f>
        <v>0</v>
      </c>
      <c r="AM29" s="3132">
        <f>SUM(AM30:AM31)</f>
        <v>0</v>
      </c>
      <c r="AN29" s="3132">
        <f>SUM(AN30:AN31)</f>
        <v>0</v>
      </c>
      <c r="AO29" s="3132">
        <f>SUM(AO30:AO31)</f>
        <v>0</v>
      </c>
      <c r="AP29" s="3132">
        <f>SUM(AP30:AP31)</f>
        <v>0</v>
      </c>
      <c r="AQ29" s="3132">
        <f>SUM(AQ30:AQ31)</f>
        <v>0</v>
      </c>
      <c r="AR29" s="3132">
        <f>SUM(AR30:AR31)</f>
        <v>0</v>
      </c>
      <c r="AS29" s="3132">
        <f>SUM(AS30:AS31)</f>
        <v>0</v>
      </c>
      <c r="AT29" s="3132">
        <f>SUM(AT30:AT31)</f>
        <v>0</v>
      </c>
      <c r="AU29" s="3132">
        <f>SUM(AU30:AU31)</f>
        <v>0</v>
      </c>
      <c r="AV29" s="3132">
        <f>SUM(AV30:AV31)</f>
        <v>0</v>
      </c>
      <c r="AW29" s="3132">
        <f>SUM(AW30:AW31)</f>
        <v>0</v>
      </c>
      <c r="AX29" s="3132">
        <f>SUM(AX30:AX31)</f>
        <v>0</v>
      </c>
      <c r="AY29" s="3132">
        <f>SUM(AY30:AY31)</f>
        <v>0</v>
      </c>
      <c r="AZ29" s="3132">
        <f>SUM(AZ30:AZ31)</f>
        <v>0</v>
      </c>
      <c r="BA29" s="3132">
        <f>SUM(BA30:BA31)</f>
        <v>0</v>
      </c>
      <c r="BB29" s="3132">
        <f>SUM(BB30:BB31)</f>
        <v>0</v>
      </c>
      <c r="BC29" s="1928"/>
      <c r="BD29" s="1331"/>
      <c r="BE29" s="1331"/>
      <c r="BF29" s="1048" t="s">
        <v>1196</v>
      </c>
    </row>
    <row s="1331" customFormat="1" customHeight="1" ht="23.400000000000002" hidden="1">
      <c r="A30" s="1331"/>
      <c r="B30" s="430"/>
      <c r="C30" s="1331"/>
      <c r="D30" s="1331"/>
      <c r="E30" s="623">
        <v>24</v>
      </c>
      <c r="F30" s="50" cm="1" t="str">
        <f t="array" ref="F30:F30">OFFSET(E30,-1,1)</f>
        <v>0</v>
      </c>
      <c r="G30" s="1331"/>
      <c r="H30" s="118" t="s">
        <v>1197</v>
      </c>
      <c r="I30" s="1331"/>
      <c r="J30" s="1331"/>
      <c r="K30" s="1331"/>
      <c r="L30" s="1331"/>
      <c r="M30" s="1331"/>
      <c r="N30" s="1331"/>
      <c r="O30" s="1331"/>
      <c r="P30" s="1331"/>
      <c r="Q30" s="1331"/>
      <c r="R30" s="1331"/>
      <c r="S30" s="1331"/>
      <c r="T30" s="468" cm="1" t="str">
        <f t="array" ref="T30:T30">T29</f>
        <v>false</v>
      </c>
      <c r="U30" s="1331"/>
      <c r="V30" s="1331"/>
      <c r="W30" s="1331"/>
      <c r="X30" s="1539"/>
      <c r="Y30" s="1331"/>
      <c r="Z30" s="1559"/>
      <c r="AA30" s="1331"/>
      <c r="AB30" s="216" t="s">
        <v>1198</v>
      </c>
      <c r="AC30" s="772" t="s">
        <v>1199</v>
      </c>
      <c r="AD30" s="937" t="s">
        <v>936</v>
      </c>
      <c r="AE30" s="3132"/>
      <c r="AF30" s="3132"/>
      <c r="AG30" s="3132"/>
      <c r="AH30" s="3132"/>
      <c r="AI30" s="3132"/>
      <c r="AJ30" s="3132"/>
      <c r="AK30" s="3132"/>
      <c r="AL30" s="3132"/>
      <c r="AM30" s="3132"/>
      <c r="AN30" s="3132"/>
      <c r="AO30" s="3132"/>
      <c r="AP30" s="3132"/>
      <c r="AQ30" s="3132"/>
      <c r="AR30" s="3132"/>
      <c r="AS30" s="3132"/>
      <c r="AT30" s="3132"/>
      <c r="AU30" s="3132"/>
      <c r="AV30" s="3132"/>
      <c r="AW30" s="3132"/>
      <c r="AX30" s="3132"/>
      <c r="AY30" s="3132"/>
      <c r="AZ30" s="3132"/>
      <c r="BA30" s="3132"/>
      <c r="BB30" s="3132"/>
      <c r="BC30" s="1928"/>
      <c r="BD30" s="1331"/>
      <c r="BE30" s="1331"/>
      <c r="BF30" s="1005" t="s">
        <v>1200</v>
      </c>
    </row>
    <row s="1331" customFormat="1" customHeight="1" ht="14.625" hidden="1">
      <c r="A31" s="1331"/>
      <c r="B31" s="430"/>
      <c r="C31" s="1331"/>
      <c r="D31" s="1331"/>
      <c r="E31" s="623">
        <v>15</v>
      </c>
      <c r="F31" s="50" cm="1" t="str">
        <f t="array" ref="F31:F31">OFFSET(E31,-1,1)</f>
        <v>0</v>
      </c>
      <c r="G31" s="1331"/>
      <c r="H31" s="118" t="s">
        <v>1201</v>
      </c>
      <c r="I31" s="1331"/>
      <c r="J31" s="1331"/>
      <c r="K31" s="1331"/>
      <c r="L31" s="1331"/>
      <c r="M31" s="1331"/>
      <c r="N31" s="1331"/>
      <c r="O31" s="1331"/>
      <c r="P31" s="1331"/>
      <c r="Q31" s="1331"/>
      <c r="R31" s="1331"/>
      <c r="S31" s="1331"/>
      <c r="T31" s="468" cm="1" t="str">
        <f t="array" ref="T31:T31">T30</f>
        <v>false</v>
      </c>
      <c r="U31" s="1331"/>
      <c r="V31" s="1331"/>
      <c r="W31" s="1331"/>
      <c r="X31" s="1539"/>
      <c r="Y31" s="1331"/>
      <c r="Z31" s="1559"/>
      <c r="AA31" s="1331"/>
      <c r="AB31" s="216" t="s">
        <v>1202</v>
      </c>
      <c r="AC31" s="772" t="s">
        <v>1203</v>
      </c>
      <c r="AD31" s="937" t="s">
        <v>936</v>
      </c>
      <c r="AE31" s="3132"/>
      <c r="AF31" s="3132"/>
      <c r="AG31" s="3132"/>
      <c r="AH31" s="3132"/>
      <c r="AI31" s="3132"/>
      <c r="AJ31" s="3132"/>
      <c r="AK31" s="3132"/>
      <c r="AL31" s="3132"/>
      <c r="AM31" s="3132"/>
      <c r="AN31" s="3132"/>
      <c r="AO31" s="3132"/>
      <c r="AP31" s="3132"/>
      <c r="AQ31" s="3132"/>
      <c r="AR31" s="3132"/>
      <c r="AS31" s="3132"/>
      <c r="AT31" s="3132"/>
      <c r="AU31" s="3132"/>
      <c r="AV31" s="3132"/>
      <c r="AW31" s="3132"/>
      <c r="AX31" s="3132"/>
      <c r="AY31" s="3132"/>
      <c r="AZ31" s="3132"/>
      <c r="BA31" s="3132"/>
      <c r="BB31" s="3132"/>
      <c r="BC31" s="1928"/>
      <c r="BD31" s="1331"/>
      <c r="BE31" s="1331"/>
      <c r="BF31" s="1005" t="s">
        <v>1204</v>
      </c>
    </row>
    <row s="1331" customFormat="1" customHeight="1" ht="14.625" hidden="1">
      <c r="A32" s="1331"/>
      <c r="B32" s="430"/>
      <c r="C32" s="1331"/>
      <c r="D32" s="118" t="s">
        <v>1205</v>
      </c>
      <c r="E32" s="623">
        <v>15</v>
      </c>
      <c r="F32" s="50" cm="1" t="str">
        <f t="array" ref="F32:F32">OFFSET(E32,-1,1)</f>
        <v>0</v>
      </c>
      <c r="G32" s="1331"/>
      <c r="H32" s="118" t="s">
        <v>570</v>
      </c>
      <c r="I32" s="1331"/>
      <c r="J32" s="1331"/>
      <c r="K32" s="1331"/>
      <c r="L32" s="1331"/>
      <c r="M32" s="1331"/>
      <c r="N32" s="1331"/>
      <c r="O32" s="1331"/>
      <c r="P32" s="1331"/>
      <c r="Q32" s="1331"/>
      <c r="R32" s="1331"/>
      <c r="S32" s="1331"/>
      <c r="T32" s="468" cm="1" t="str">
        <f t="array" ref="T32:T32">T31</f>
        <v>false</v>
      </c>
      <c r="U32" s="1331"/>
      <c r="V32" s="1331"/>
      <c r="W32" s="1331"/>
      <c r="X32" s="1539"/>
      <c r="Y32" s="1331"/>
      <c r="Z32" s="1559"/>
      <c r="AA32" s="1331"/>
      <c r="AB32" s="216" t="s">
        <v>1070</v>
      </c>
      <c r="AC32" s="938" t="s">
        <v>1206</v>
      </c>
      <c r="AD32" s="937" t="s">
        <v>936</v>
      </c>
      <c r="AE32" s="3132"/>
      <c r="AF32" s="3132"/>
      <c r="AG32" s="3132"/>
      <c r="AH32" s="3132"/>
      <c r="AI32" s="3132"/>
      <c r="AJ32" s="3132"/>
      <c r="AK32" s="3132"/>
      <c r="AL32" s="3132"/>
      <c r="AM32" s="3132"/>
      <c r="AN32" s="3132"/>
      <c r="AO32" s="3132"/>
      <c r="AP32" s="3132"/>
      <c r="AQ32" s="3132"/>
      <c r="AR32" s="3132"/>
      <c r="AS32" s="3132"/>
      <c r="AT32" s="3132"/>
      <c r="AU32" s="3132"/>
      <c r="AV32" s="3132"/>
      <c r="AW32" s="3132"/>
      <c r="AX32" s="3132"/>
      <c r="AY32" s="3132"/>
      <c r="AZ32" s="3132"/>
      <c r="BA32" s="3132"/>
      <c r="BB32" s="3132"/>
      <c r="BC32" s="1928"/>
      <c r="BD32" s="1331"/>
      <c r="BE32" s="1331"/>
      <c r="BF32" s="1005" t="s">
        <v>1207</v>
      </c>
    </row>
    <row s="1331" customFormat="1" customHeight="1" ht="14.625" hidden="1">
      <c r="A33" s="1331"/>
      <c r="B33" s="430"/>
      <c r="C33" s="1331"/>
      <c r="D33" s="118" t="s">
        <v>1208</v>
      </c>
      <c r="E33" s="623">
        <v>15</v>
      </c>
      <c r="F33" s="50" cm="1" t="str">
        <f t="array" ref="F33:F33">OFFSET(E33,-1,1)</f>
        <v>0</v>
      </c>
      <c r="G33" s="1331"/>
      <c r="H33" s="118" t="s">
        <v>573</v>
      </c>
      <c r="I33" s="1331"/>
      <c r="J33" s="1331"/>
      <c r="K33" s="1331"/>
      <c r="L33" s="1331"/>
      <c r="M33" s="1331"/>
      <c r="N33" s="1331"/>
      <c r="O33" s="1331"/>
      <c r="P33" s="1331"/>
      <c r="Q33" s="1331"/>
      <c r="R33" s="1331"/>
      <c r="S33" s="1331"/>
      <c r="T33" s="468" cm="1" t="str">
        <f t="array" ref="T33:T33">T32</f>
        <v>false</v>
      </c>
      <c r="U33" s="1331"/>
      <c r="V33" s="1331"/>
      <c r="W33" s="1331"/>
      <c r="X33" s="1539"/>
      <c r="Y33" s="1331"/>
      <c r="Z33" s="1559"/>
      <c r="AA33" s="1331"/>
      <c r="AB33" s="216" t="s">
        <v>1073</v>
      </c>
      <c r="AC33" s="769" t="s">
        <v>1209</v>
      </c>
      <c r="AD33" s="937" t="s">
        <v>936</v>
      </c>
      <c r="AE33" s="3132"/>
      <c r="AF33" s="3132"/>
      <c r="AG33" s="3132"/>
      <c r="AH33" s="3132"/>
      <c r="AI33" s="3132"/>
      <c r="AJ33" s="3132"/>
      <c r="AK33" s="3132"/>
      <c r="AL33" s="3132"/>
      <c r="AM33" s="3132"/>
      <c r="AN33" s="3132"/>
      <c r="AO33" s="3132"/>
      <c r="AP33" s="3132"/>
      <c r="AQ33" s="3132"/>
      <c r="AR33" s="3132"/>
      <c r="AS33" s="3132"/>
      <c r="AT33" s="3132"/>
      <c r="AU33" s="3132"/>
      <c r="AV33" s="3132"/>
      <c r="AW33" s="3132"/>
      <c r="AX33" s="3132"/>
      <c r="AY33" s="3132"/>
      <c r="AZ33" s="3132"/>
      <c r="BA33" s="3132"/>
      <c r="BB33" s="3132"/>
      <c r="BC33" s="1928"/>
      <c r="BD33" s="1331"/>
      <c r="BE33" s="1331"/>
      <c r="BF33" s="1005" t="s">
        <v>1210</v>
      </c>
    </row>
    <row s="1331" customFormat="1" customHeight="1" ht="14.625" hidden="1">
      <c r="A34" s="1331"/>
      <c r="B34" s="430"/>
      <c r="C34" s="1331"/>
      <c r="D34" s="118" t="s">
        <v>1211</v>
      </c>
      <c r="E34" s="623">
        <v>15</v>
      </c>
      <c r="F34" s="50" cm="1" t="str">
        <f t="array" ref="F34:F34">OFFSET(E34,-1,1)</f>
        <v>0</v>
      </c>
      <c r="G34" s="1331"/>
      <c r="H34" s="118" t="s">
        <v>577</v>
      </c>
      <c r="I34" s="1331"/>
      <c r="J34" s="1331"/>
      <c r="K34" s="1331"/>
      <c r="L34" s="1331"/>
      <c r="M34" s="1331"/>
      <c r="N34" s="1331"/>
      <c r="O34" s="1331"/>
      <c r="P34" s="1331"/>
      <c r="Q34" s="1331"/>
      <c r="R34" s="1331"/>
      <c r="S34" s="1331"/>
      <c r="T34" s="468" cm="1" t="str">
        <f t="array" ref="T34:T34">T33</f>
        <v>false</v>
      </c>
      <c r="U34" s="1331"/>
      <c r="V34" s="1331"/>
      <c r="W34" s="1331"/>
      <c r="X34" s="1539"/>
      <c r="Y34" s="1331"/>
      <c r="Z34" s="1559"/>
      <c r="AA34" s="1331"/>
      <c r="AB34" s="216" t="s">
        <v>1076</v>
      </c>
      <c r="AC34" s="769" t="s">
        <v>1212</v>
      </c>
      <c r="AD34" s="937" t="s">
        <v>936</v>
      </c>
      <c r="AE34" s="3132">
        <f>SUM(AE35:AE36)</f>
        <v>0</v>
      </c>
      <c r="AF34" s="3132">
        <f>SUM(AF35:AF36)</f>
        <v>0</v>
      </c>
      <c r="AG34" s="3132">
        <f>SUM(AG35:AG36)</f>
        <v>0</v>
      </c>
      <c r="AH34" s="3132">
        <f>SUM(AH35:AH36)</f>
        <v>0</v>
      </c>
      <c r="AI34" s="3132">
        <f>SUM(AI35:AI36)</f>
        <v>0</v>
      </c>
      <c r="AJ34" s="3132">
        <f>SUM(AJ35:AJ36)</f>
        <v>0</v>
      </c>
      <c r="AK34" s="3132">
        <f>SUM(AK35:AK36)</f>
        <v>0</v>
      </c>
      <c r="AL34" s="3132">
        <f>SUM(AL35:AL36)</f>
        <v>0</v>
      </c>
      <c r="AM34" s="3132">
        <f>SUM(AM35:AM36)</f>
        <v>0</v>
      </c>
      <c r="AN34" s="3132">
        <f>SUM(AN35:AN36)</f>
        <v>0</v>
      </c>
      <c r="AO34" s="3132">
        <f>SUM(AO35:AO36)</f>
        <v>0</v>
      </c>
      <c r="AP34" s="3132">
        <f>SUM(AP35:AP36)</f>
        <v>0</v>
      </c>
      <c r="AQ34" s="3132">
        <f>SUM(AQ35:AQ36)</f>
        <v>0</v>
      </c>
      <c r="AR34" s="3132">
        <f>SUM(AR35:AR36)</f>
        <v>0</v>
      </c>
      <c r="AS34" s="3132">
        <f>SUM(AS35:AS36)</f>
        <v>0</v>
      </c>
      <c r="AT34" s="3132">
        <f>SUM(AT35:AT36)</f>
        <v>0</v>
      </c>
      <c r="AU34" s="3132">
        <f>SUM(AU35:AU36)</f>
        <v>0</v>
      </c>
      <c r="AV34" s="3132">
        <f>SUM(AV35:AV36)</f>
        <v>0</v>
      </c>
      <c r="AW34" s="3132">
        <f>SUM(AW35:AW36)</f>
        <v>0</v>
      </c>
      <c r="AX34" s="3132">
        <f>SUM(AX35:AX36)</f>
        <v>0</v>
      </c>
      <c r="AY34" s="3132">
        <f>SUM(AY35:AY36)</f>
        <v>0</v>
      </c>
      <c r="AZ34" s="3132">
        <f>SUM(AZ35:AZ36)</f>
        <v>0</v>
      </c>
      <c r="BA34" s="3132">
        <f>SUM(BA35:BA36)</f>
        <v>0</v>
      </c>
      <c r="BB34" s="3132">
        <f>SUM(BB35:BB36)</f>
        <v>0</v>
      </c>
      <c r="BC34" s="1928"/>
      <c r="BD34" s="1331"/>
      <c r="BE34" s="1331"/>
      <c r="BF34" s="1005" t="s">
        <v>1213</v>
      </c>
    </row>
    <row s="1331" customFormat="1" customHeight="1" ht="35.1" hidden="1">
      <c r="A35" s="1331"/>
      <c r="B35" s="430"/>
      <c r="C35" s="1331"/>
      <c r="D35" s="1331"/>
      <c r="E35" s="623">
        <v>36</v>
      </c>
      <c r="F35" s="50" cm="1" t="str">
        <f t="array" ref="F35:F35">OFFSET(E35,-1,1)</f>
        <v>0</v>
      </c>
      <c r="G35" s="1331"/>
      <c r="H35" s="1331"/>
      <c r="I35" s="1331"/>
      <c r="J35" s="1331"/>
      <c r="K35" s="1331"/>
      <c r="L35" s="1331"/>
      <c r="M35" s="1331"/>
      <c r="N35" s="1331"/>
      <c r="O35" s="1331"/>
      <c r="P35" s="1331"/>
      <c r="Q35" s="1331"/>
      <c r="R35" s="1331"/>
      <c r="S35" s="1331"/>
      <c r="T35" s="468" cm="1" t="str">
        <f t="array" ref="T35:T35">T34</f>
        <v>false</v>
      </c>
      <c r="U35" s="1331"/>
      <c r="V35" s="1331"/>
      <c r="W35" s="1331"/>
      <c r="X35" s="1539"/>
      <c r="Y35" s="1331"/>
      <c r="Z35" s="1559"/>
      <c r="AA35" s="1331"/>
      <c r="AB35" s="216" t="s">
        <v>1214</v>
      </c>
      <c r="AC35" s="769" t="s">
        <v>1215</v>
      </c>
      <c r="AD35" s="937" t="s">
        <v>936</v>
      </c>
      <c r="AE35" s="3132"/>
      <c r="AF35" s="3132"/>
      <c r="AG35" s="3132"/>
      <c r="AH35" s="3132"/>
      <c r="AI35" s="3132"/>
      <c r="AJ35" s="3132"/>
      <c r="AK35" s="3132"/>
      <c r="AL35" s="3132"/>
      <c r="AM35" s="3132"/>
      <c r="AN35" s="3132"/>
      <c r="AO35" s="3132"/>
      <c r="AP35" s="3132"/>
      <c r="AQ35" s="3132"/>
      <c r="AR35" s="3132"/>
      <c r="AS35" s="3132"/>
      <c r="AT35" s="3132"/>
      <c r="AU35" s="3132"/>
      <c r="AV35" s="3132"/>
      <c r="AW35" s="3132"/>
      <c r="AX35" s="3132"/>
      <c r="AY35" s="3132"/>
      <c r="AZ35" s="3132"/>
      <c r="BA35" s="3132"/>
      <c r="BB35" s="3132"/>
      <c r="BC35" s="1928"/>
      <c r="BD35" s="1331"/>
      <c r="BE35" s="1331"/>
      <c r="BF35" s="1005" t="s">
        <v>1216</v>
      </c>
    </row>
    <row s="1331" customFormat="1" customHeight="1" ht="35.1" hidden="1">
      <c r="A36" s="1331"/>
      <c r="B36" s="430"/>
      <c r="C36" s="1331"/>
      <c r="D36" s="1331"/>
      <c r="E36" s="623">
        <v>36</v>
      </c>
      <c r="F36" s="50" cm="1" t="str">
        <f t="array" ref="F36:F36">OFFSET(E36,-1,1)</f>
        <v>0</v>
      </c>
      <c r="G36" s="1331"/>
      <c r="H36" s="1331"/>
      <c r="I36" s="1331"/>
      <c r="J36" s="1331"/>
      <c r="K36" s="1331"/>
      <c r="L36" s="1331"/>
      <c r="M36" s="1331"/>
      <c r="N36" s="1331"/>
      <c r="O36" s="1331"/>
      <c r="P36" s="1331"/>
      <c r="Q36" s="1331"/>
      <c r="R36" s="1331"/>
      <c r="S36" s="1331"/>
      <c r="T36" s="468" cm="1" t="str">
        <f t="array" ref="T36:T36">T35</f>
        <v>false</v>
      </c>
      <c r="U36" s="1331"/>
      <c r="V36" s="1331"/>
      <c r="W36" s="1331"/>
      <c r="X36" s="1539"/>
      <c r="Y36" s="1331"/>
      <c r="Z36" s="1559"/>
      <c r="AA36" s="1331"/>
      <c r="AB36" s="216" t="s">
        <v>1217</v>
      </c>
      <c r="AC36" s="769" t="s">
        <v>1218</v>
      </c>
      <c r="AD36" s="937" t="s">
        <v>936</v>
      </c>
      <c r="AE36" s="3132"/>
      <c r="AF36" s="3132"/>
      <c r="AG36" s="3132"/>
      <c r="AH36" s="3132"/>
      <c r="AI36" s="3132"/>
      <c r="AJ36" s="3132"/>
      <c r="AK36" s="3132"/>
      <c r="AL36" s="3132"/>
      <c r="AM36" s="3132"/>
      <c r="AN36" s="3132"/>
      <c r="AO36" s="3132"/>
      <c r="AP36" s="3132"/>
      <c r="AQ36" s="3132"/>
      <c r="AR36" s="3132"/>
      <c r="AS36" s="3132"/>
      <c r="AT36" s="3132"/>
      <c r="AU36" s="3132"/>
      <c r="AV36" s="3132"/>
      <c r="AW36" s="3132"/>
      <c r="AX36" s="3132"/>
      <c r="AY36" s="3132"/>
      <c r="AZ36" s="3132"/>
      <c r="BA36" s="3132"/>
      <c r="BB36" s="3132"/>
      <c r="BC36" s="1928"/>
      <c r="BD36" s="1331"/>
      <c r="BE36" s="1331"/>
      <c r="BF36" s="1005" t="s">
        <v>1219</v>
      </c>
    </row>
    <row s="541" customFormat="1" customHeight="1" ht="24.421875">
      <c r="A37" s="1331"/>
      <c r="B37" s="430"/>
      <c r="C37" s="1331"/>
      <c r="D37" s="1331"/>
      <c r="E37" s="623">
        <v>15</v>
      </c>
      <c r="F37" s="94" cm="1" t="str">
        <f t="array" ref="F37:F37">X37</f>
        <v>1</v>
      </c>
      <c r="G37" s="1331"/>
      <c r="H37" s="1331"/>
      <c r="I37" s="1331"/>
      <c r="J37" s="1331"/>
      <c r="K37" s="1331"/>
      <c r="L37" s="1331"/>
      <c r="M37" s="1331"/>
      <c r="N37" s="1331"/>
      <c r="O37" s="1331"/>
      <c r="P37" s="1331"/>
      <c r="Q37" s="1331"/>
      <c r="R37" s="1331"/>
      <c r="S37" s="1331"/>
      <c r="T37" s="468">
        <f>X37&gt;0</f>
        <v>1</v>
      </c>
      <c r="U37" s="1331"/>
      <c r="V37" s="118" cm="1" t="str">
        <f t="array" ref="V37:V37">'Амортизация (аналог)'!$AB$34</f>
        <v>Тариф 1 (Водоснабжение) - тариф на питьевую воду (Оказание услуг на территории: город Ленинск-Кузнецкий (ОКТМО: 32719000) - г Ленинск-Кузнецкий, г Полысаево)</v>
      </c>
      <c r="W37" s="1331"/>
      <c r="X37" s="1539" t="s">
        <v>290</v>
      </c>
      <c r="Y37" s="1331"/>
      <c r="Z37" s="1559"/>
      <c r="AA37" s="1331"/>
      <c r="AB37" s="218" cm="1" t="str">
        <f t="array" ref="AB37:AB37">'Амортизация (аналог)'!$AB$34</f>
        <v>Тариф 1 (Водоснабжение) - тариф на питьевую воду (Оказание услуг на территории: город Ленинск-Кузнецкий (ОКТМО: 32719000) - г Ленинск-Кузнецкий, г Полысаево)</v>
      </c>
      <c r="AC37" s="176"/>
      <c r="AD37" s="170"/>
      <c r="AE37" s="170"/>
      <c r="AF37" s="170"/>
      <c r="AG37" s="170"/>
      <c r="AH37" s="170"/>
      <c r="AI37" s="170"/>
      <c r="AJ37" s="170"/>
      <c r="AK37" s="170"/>
      <c r="AL37" s="170"/>
      <c r="AM37" s="170"/>
      <c r="AN37" s="170"/>
      <c r="AO37" s="170"/>
      <c r="AP37" s="170"/>
      <c r="AQ37" s="170"/>
      <c r="AR37" s="170"/>
      <c r="AS37" s="170"/>
      <c r="AT37" s="170"/>
      <c r="AU37" s="170"/>
      <c r="AV37" s="170"/>
      <c r="AW37" s="170"/>
      <c r="AX37" s="170"/>
      <c r="AY37" s="170"/>
      <c r="AZ37" s="170"/>
      <c r="BA37" s="170"/>
      <c r="BB37" s="170"/>
      <c r="BC37" s="206"/>
      <c r="BD37" s="1331"/>
      <c r="BE37" s="1331"/>
      <c r="BF37" s="1005"/>
    </row>
    <row s="541" customFormat="1" customHeight="1" ht="71.6625">
      <c r="A38" s="1331"/>
      <c r="B38" s="430"/>
      <c r="C38" s="1331"/>
      <c r="D38" s="1331"/>
      <c r="E38" s="623">
        <v>73.5</v>
      </c>
      <c r="F38" s="50" cm="1" t="str">
        <f t="array" ref="F38:F38">OFFSET(E38,-1,1)</f>
        <v>1</v>
      </c>
      <c r="G38" s="497" t="s">
        <v>1192</v>
      </c>
      <c r="H38" s="118" t="s">
        <v>344</v>
      </c>
      <c r="I38" s="1331"/>
      <c r="J38" s="1331"/>
      <c r="K38" s="120" t="str">
        <f>F38&amp;"komm"</f>
        <v>1komm</v>
      </c>
      <c r="L38" s="926" cm="1" t="str">
        <f t="array" ref="L38:L38">BC38</f>
        <v>П. 29 "Методических указаний…" ФСТ России (приказ от 27.12.2013 № 1746-э).</v>
      </c>
      <c r="M38" s="1331"/>
      <c r="N38" s="1331"/>
      <c r="O38" s="1331"/>
      <c r="P38" s="1331"/>
      <c r="Q38" s="1331"/>
      <c r="R38" s="1331"/>
      <c r="S38" s="1331"/>
      <c r="T38" s="468" cm="1" t="str">
        <f t="array" ref="T38:T38">T37</f>
        <v>true</v>
      </c>
      <c r="U38" s="1331"/>
      <c r="V38" s="1331"/>
      <c r="W38" s="1331"/>
      <c r="X38" s="1539"/>
      <c r="Y38" s="1331"/>
      <c r="Z38" s="1559"/>
      <c r="AA38" s="1331"/>
      <c r="AB38" s="214" t="s">
        <v>290</v>
      </c>
      <c r="AC38" s="215" t="s">
        <v>1193</v>
      </c>
      <c r="AD38" s="201" t="s">
        <v>936</v>
      </c>
      <c r="AE38" s="780">
        <f>AE39+AE42+AE43+AE44</f>
        <v>787.58</v>
      </c>
      <c r="AF38" s="780">
        <f>AF39+AF42+AF43+AF44</f>
        <v>729.95</v>
      </c>
      <c r="AG38" s="780">
        <f>AG39+AG42+AG43+AG44</f>
        <v>729.95</v>
      </c>
      <c r="AH38" s="780">
        <f>AH39+AH42+AH43+AH44</f>
        <v>729.96</v>
      </c>
      <c r="AI38" s="780">
        <f>AI39+AI42+AI43+AI44</f>
        <v>4433.04</v>
      </c>
      <c r="AJ38" s="780">
        <f>AJ39+AJ42+AJ43+AJ44</f>
        <v>0</v>
      </c>
      <c r="AK38" s="780">
        <f>AK39+AK42+AK43+AK44</f>
        <v>0</v>
      </c>
      <c r="AL38" s="780">
        <f>AL39+AL42+AL43+AL44</f>
        <v>0</v>
      </c>
      <c r="AM38" s="780">
        <f>AM39+AM42+AM43+AM44</f>
        <v>0</v>
      </c>
      <c r="AN38" s="780">
        <f>AN39+AN42+AN43+AN44</f>
        <v>0</v>
      </c>
      <c r="AO38" s="780">
        <f>AO39+AO42+AO43+AO44</f>
        <v>0</v>
      </c>
      <c r="AP38" s="780">
        <f>AP39+AP42+AP43+AP44</f>
        <v>0</v>
      </c>
      <c r="AQ38" s="780">
        <f>AQ39+AQ42+AQ43+AQ44</f>
        <v>0</v>
      </c>
      <c r="AR38" s="780">
        <f>AR39+AR42+AR43+AR44</f>
        <v>0</v>
      </c>
      <c r="AS38" s="780">
        <f>AS39+AS42+AS43+AS44</f>
        <v>2149.2</v>
      </c>
      <c r="AT38" s="780">
        <f>AT39+AT42+AT43+AT44</f>
        <v>0</v>
      </c>
      <c r="AU38" s="780">
        <f>AU39+AU42+AU43+AU44</f>
        <v>0</v>
      </c>
      <c r="AV38" s="780">
        <f>AV39+AV42+AV43+AV44</f>
        <v>0</v>
      </c>
      <c r="AW38" s="780">
        <f>AW39+AW42+AW43+AW44</f>
        <v>0</v>
      </c>
      <c r="AX38" s="780">
        <f>AX39+AX42+AX43+AX44</f>
        <v>0</v>
      </c>
      <c r="AY38" s="780">
        <f>AY39+AY42+AY43+AY44</f>
        <v>0</v>
      </c>
      <c r="AZ38" s="780">
        <f>AZ39+AZ42+AZ43+AZ44</f>
        <v>0</v>
      </c>
      <c r="BA38" s="780">
        <f>BA39+BA42+BA43+BA44</f>
        <v>0</v>
      </c>
      <c r="BB38" s="780">
        <f>BB39+BB42+BB43+BB44</f>
        <v>0</v>
      </c>
      <c r="BC38" s="196" t="s">
        <v>1220</v>
      </c>
      <c r="BD38" s="1331"/>
      <c r="BE38" s="1331"/>
      <c r="BF38" s="1048" t="s">
        <v>1194</v>
      </c>
    </row>
    <row s="541" customFormat="1" customHeight="1" ht="23.671875">
      <c r="A39" s="1331"/>
      <c r="B39" s="430"/>
      <c r="C39" s="1331"/>
      <c r="D39" s="118" t="s">
        <v>1195</v>
      </c>
      <c r="E39" s="623">
        <v>15</v>
      </c>
      <c r="F39" s="50" cm="1" t="str">
        <f t="array" ref="F39:F39">OFFSET(E39,-1,1)</f>
        <v>1</v>
      </c>
      <c r="G39" s="1331"/>
      <c r="H39" s="118" t="s">
        <v>566</v>
      </c>
      <c r="I39" s="1331"/>
      <c r="J39" s="1331"/>
      <c r="K39" s="1331"/>
      <c r="L39" s="1331"/>
      <c r="M39" s="1331"/>
      <c r="N39" s="1331"/>
      <c r="O39" s="1331"/>
      <c r="P39" s="1331"/>
      <c r="Q39" s="1331"/>
      <c r="R39" s="1331"/>
      <c r="S39" s="1331"/>
      <c r="T39" s="468" cm="1" t="str">
        <f t="array" ref="T39:T39">T38</f>
        <v>true</v>
      </c>
      <c r="U39" s="1331"/>
      <c r="V39" s="1331"/>
      <c r="W39" s="1331"/>
      <c r="X39" s="1539"/>
      <c r="Y39" s="1331"/>
      <c r="Z39" s="1559"/>
      <c r="AA39" s="1331"/>
      <c r="AB39" s="216" t="s">
        <v>1067</v>
      </c>
      <c r="AC39" s="769" t="s">
        <v>1195</v>
      </c>
      <c r="AD39" s="937" t="s">
        <v>936</v>
      </c>
      <c r="AE39" s="779">
        <f>SUM(AE40:AE41)</f>
        <v>0</v>
      </c>
      <c r="AF39" s="779">
        <f>SUM(AF40:AF41)</f>
        <v>0</v>
      </c>
      <c r="AG39" s="779">
        <f>SUM(AG40:AG41)</f>
        <v>0</v>
      </c>
      <c r="AH39" s="779">
        <f>SUM(AH40:AH41)</f>
        <v>0</v>
      </c>
      <c r="AI39" s="779">
        <f>SUM(AI40:AI41)</f>
        <v>3676</v>
      </c>
      <c r="AJ39" s="3132">
        <f>SUM(AJ40:AJ41)</f>
        <v>0</v>
      </c>
      <c r="AK39" s="3132">
        <f>SUM(AK40:AK41)</f>
        <v>0</v>
      </c>
      <c r="AL39" s="3132">
        <f>SUM(AL40:AL41)</f>
        <v>0</v>
      </c>
      <c r="AM39" s="3132">
        <f>SUM(AM40:AM41)</f>
        <v>0</v>
      </c>
      <c r="AN39" s="3132">
        <f>SUM(AN40:AN41)</f>
        <v>0</v>
      </c>
      <c r="AO39" s="3132">
        <f>SUM(AO40:AO41)</f>
        <v>0</v>
      </c>
      <c r="AP39" s="3132">
        <f>SUM(AP40:AP41)</f>
        <v>0</v>
      </c>
      <c r="AQ39" s="3132">
        <f>SUM(AQ40:AQ41)</f>
        <v>0</v>
      </c>
      <c r="AR39" s="3132">
        <f>SUM(AR40:AR41)</f>
        <v>0</v>
      </c>
      <c r="AS39" s="779">
        <f>SUM(AS40:AS41)</f>
        <v>1392.16</v>
      </c>
      <c r="AT39" s="3132">
        <f>SUM(AT40:AT41)</f>
        <v>0</v>
      </c>
      <c r="AU39" s="3132">
        <f>SUM(AU40:AU41)</f>
        <v>0</v>
      </c>
      <c r="AV39" s="3132">
        <f>SUM(AV40:AV41)</f>
        <v>0</v>
      </c>
      <c r="AW39" s="3132">
        <f>SUM(AW40:AW41)</f>
        <v>0</v>
      </c>
      <c r="AX39" s="3132">
        <f>SUM(AX40:AX41)</f>
        <v>0</v>
      </c>
      <c r="AY39" s="3132">
        <f>SUM(AY40:AY41)</f>
        <v>0</v>
      </c>
      <c r="AZ39" s="3132">
        <f>SUM(AZ40:AZ41)</f>
        <v>0</v>
      </c>
      <c r="BA39" s="3132">
        <f>SUM(BA40:BA41)</f>
        <v>0</v>
      </c>
      <c r="BB39" s="3132">
        <f>SUM(BB40:BB41)</f>
        <v>0</v>
      </c>
      <c r="BC39" s="196"/>
      <c r="BD39" s="1331"/>
      <c r="BE39" s="1331"/>
      <c r="BF39" s="1048" t="s">
        <v>1196</v>
      </c>
    </row>
    <row s="541" customFormat="1" customHeight="1" ht="55.921875">
      <c r="A40" s="1331"/>
      <c r="B40" s="430"/>
      <c r="C40" s="1331"/>
      <c r="D40" s="1331"/>
      <c r="E40" s="623">
        <v>24</v>
      </c>
      <c r="F40" s="50" cm="1" t="str">
        <f t="array" ref="F40:F40">OFFSET(E40,-1,1)</f>
        <v>1</v>
      </c>
      <c r="G40" s="1331"/>
      <c r="H40" s="118" t="s">
        <v>1197</v>
      </c>
      <c r="I40" s="1331"/>
      <c r="J40" s="1331"/>
      <c r="K40" s="1331"/>
      <c r="L40" s="1331"/>
      <c r="M40" s="1331"/>
      <c r="N40" s="1331"/>
      <c r="O40" s="1331"/>
      <c r="P40" s="1331"/>
      <c r="Q40" s="1331"/>
      <c r="R40" s="1331"/>
      <c r="S40" s="1331"/>
      <c r="T40" s="468" cm="1" t="str">
        <f t="array" ref="T40:T40">T39</f>
        <v>true</v>
      </c>
      <c r="U40" s="1331"/>
      <c r="V40" s="1331"/>
      <c r="W40" s="1331"/>
      <c r="X40" s="1539"/>
      <c r="Y40" s="1331"/>
      <c r="Z40" s="1559"/>
      <c r="AA40" s="1331"/>
      <c r="AB40" s="216" t="s">
        <v>1198</v>
      </c>
      <c r="AC40" s="772" t="s">
        <v>1199</v>
      </c>
      <c r="AD40" s="937" t="s">
        <v>936</v>
      </c>
      <c r="AE40" s="779"/>
      <c r="AF40" s="779"/>
      <c r="AG40" s="779"/>
      <c r="AH40" s="779">
        <v>0</v>
      </c>
      <c r="AI40" s="779">
        <v>3676</v>
      </c>
      <c r="AJ40" s="3132"/>
      <c r="AK40" s="3132"/>
      <c r="AL40" s="3132"/>
      <c r="AM40" s="3132"/>
      <c r="AN40" s="3132"/>
      <c r="AO40" s="3132"/>
      <c r="AP40" s="3132"/>
      <c r="AQ40" s="3132"/>
      <c r="AR40" s="3132"/>
      <c r="AS40" s="779">
        <v>1392.16</v>
      </c>
      <c r="AT40" s="3132"/>
      <c r="AU40" s="3132"/>
      <c r="AV40" s="3132"/>
      <c r="AW40" s="3132"/>
      <c r="AX40" s="3132"/>
      <c r="AY40" s="3132"/>
      <c r="AZ40" s="3132"/>
      <c r="BA40" s="3132"/>
      <c r="BB40" s="3132"/>
      <c r="BC40" s="196" t="s">
        <v>1221</v>
      </c>
      <c r="BD40" s="1331"/>
      <c r="BE40" s="1331"/>
      <c r="BF40" s="1005" t="s">
        <v>1200</v>
      </c>
    </row>
    <row s="541" customFormat="1" customHeight="1" ht="14.25">
      <c r="A41" s="1331"/>
      <c r="B41" s="430"/>
      <c r="C41" s="1331"/>
      <c r="D41" s="1331"/>
      <c r="E41" s="623">
        <v>15</v>
      </c>
      <c r="F41" s="50" cm="1" t="str">
        <f t="array" ref="F41:F41">OFFSET(E41,-1,1)</f>
        <v>1</v>
      </c>
      <c r="G41" s="1331"/>
      <c r="H41" s="118" t="s">
        <v>1201</v>
      </c>
      <c r="I41" s="1331"/>
      <c r="J41" s="1331"/>
      <c r="K41" s="1331"/>
      <c r="L41" s="1331"/>
      <c r="M41" s="1331"/>
      <c r="N41" s="1331"/>
      <c r="O41" s="1331"/>
      <c r="P41" s="1331"/>
      <c r="Q41" s="1331"/>
      <c r="R41" s="1331"/>
      <c r="S41" s="1331"/>
      <c r="T41" s="468" cm="1" t="str">
        <f t="array" ref="T41:T41">T40</f>
        <v>true</v>
      </c>
      <c r="U41" s="1331"/>
      <c r="V41" s="1331"/>
      <c r="W41" s="1331"/>
      <c r="X41" s="1539"/>
      <c r="Y41" s="1331"/>
      <c r="Z41" s="1559"/>
      <c r="AA41" s="1331"/>
      <c r="AB41" s="216" t="s">
        <v>1202</v>
      </c>
      <c r="AC41" s="772" t="s">
        <v>1203</v>
      </c>
      <c r="AD41" s="937" t="s">
        <v>936</v>
      </c>
      <c r="AE41" s="779"/>
      <c r="AF41" s="779"/>
      <c r="AG41" s="779"/>
      <c r="AH41" s="779"/>
      <c r="AI41" s="779"/>
      <c r="AJ41" s="3132"/>
      <c r="AK41" s="3132"/>
      <c r="AL41" s="3132"/>
      <c r="AM41" s="3132"/>
      <c r="AN41" s="3132"/>
      <c r="AO41" s="3132"/>
      <c r="AP41" s="3132"/>
      <c r="AQ41" s="3132"/>
      <c r="AR41" s="3132"/>
      <c r="AS41" s="779"/>
      <c r="AT41" s="3132"/>
      <c r="AU41" s="3132"/>
      <c r="AV41" s="3132"/>
      <c r="AW41" s="3132"/>
      <c r="AX41" s="3132"/>
      <c r="AY41" s="3132"/>
      <c r="AZ41" s="3132"/>
      <c r="BA41" s="3132"/>
      <c r="BB41" s="3132"/>
      <c r="BC41" s="196"/>
      <c r="BD41" s="1331"/>
      <c r="BE41" s="1331"/>
      <c r="BF41" s="1005" t="s">
        <v>1204</v>
      </c>
    </row>
    <row s="541" customFormat="1" customHeight="1" ht="14.25">
      <c r="A42" s="1331"/>
      <c r="B42" s="430"/>
      <c r="C42" s="1331"/>
      <c r="D42" s="118" t="s">
        <v>1205</v>
      </c>
      <c r="E42" s="623">
        <v>15</v>
      </c>
      <c r="F42" s="50" cm="1" t="str">
        <f t="array" ref="F42:F42">OFFSET(E42,-1,1)</f>
        <v>1</v>
      </c>
      <c r="G42" s="1331"/>
      <c r="H42" s="118" t="s">
        <v>570</v>
      </c>
      <c r="I42" s="1331"/>
      <c r="J42" s="1331"/>
      <c r="K42" s="1331"/>
      <c r="L42" s="1331"/>
      <c r="M42" s="1331"/>
      <c r="N42" s="1331"/>
      <c r="O42" s="1331"/>
      <c r="P42" s="1331"/>
      <c r="Q42" s="1331"/>
      <c r="R42" s="1331"/>
      <c r="S42" s="1331"/>
      <c r="T42" s="468" cm="1" t="str">
        <f t="array" ref="T42:T42">T41</f>
        <v>true</v>
      </c>
      <c r="U42" s="1331"/>
      <c r="V42" s="1331"/>
      <c r="W42" s="1331"/>
      <c r="X42" s="1539"/>
      <c r="Y42" s="1331"/>
      <c r="Z42" s="1559"/>
      <c r="AA42" s="1331"/>
      <c r="AB42" s="216" t="s">
        <v>1070</v>
      </c>
      <c r="AC42" s="938" t="s">
        <v>1206</v>
      </c>
      <c r="AD42" s="937" t="s">
        <v>936</v>
      </c>
      <c r="AE42" s="779"/>
      <c r="AF42" s="779"/>
      <c r="AG42" s="779"/>
      <c r="AH42" s="779"/>
      <c r="AI42" s="779"/>
      <c r="AJ42" s="3132"/>
      <c r="AK42" s="3132"/>
      <c r="AL42" s="3132"/>
      <c r="AM42" s="3132"/>
      <c r="AN42" s="3132"/>
      <c r="AO42" s="3132"/>
      <c r="AP42" s="3132"/>
      <c r="AQ42" s="3132"/>
      <c r="AR42" s="3132"/>
      <c r="AS42" s="779"/>
      <c r="AT42" s="3132"/>
      <c r="AU42" s="3132"/>
      <c r="AV42" s="3132"/>
      <c r="AW42" s="3132"/>
      <c r="AX42" s="3132"/>
      <c r="AY42" s="3132"/>
      <c r="AZ42" s="3132"/>
      <c r="BA42" s="3132"/>
      <c r="BB42" s="3132"/>
      <c r="BC42" s="196"/>
      <c r="BD42" s="1331"/>
      <c r="BE42" s="1331"/>
      <c r="BF42" s="1005" t="s">
        <v>1207</v>
      </c>
    </row>
    <row s="541" customFormat="1" customHeight="1" ht="14.25">
      <c r="A43" s="1331"/>
      <c r="B43" s="430"/>
      <c r="C43" s="1331"/>
      <c r="D43" s="118" t="s">
        <v>1208</v>
      </c>
      <c r="E43" s="623">
        <v>15</v>
      </c>
      <c r="F43" s="50" cm="1" t="str">
        <f t="array" ref="F43:F43">OFFSET(E43,-1,1)</f>
        <v>1</v>
      </c>
      <c r="G43" s="1331"/>
      <c r="H43" s="118" t="s">
        <v>573</v>
      </c>
      <c r="I43" s="1331"/>
      <c r="J43" s="1331"/>
      <c r="K43" s="1331"/>
      <c r="L43" s="1331"/>
      <c r="M43" s="1331"/>
      <c r="N43" s="1331"/>
      <c r="O43" s="1331"/>
      <c r="P43" s="1331"/>
      <c r="Q43" s="1331"/>
      <c r="R43" s="1331"/>
      <c r="S43" s="1331"/>
      <c r="T43" s="468" cm="1" t="str">
        <f t="array" ref="T43:T43">T42</f>
        <v>true</v>
      </c>
      <c r="U43" s="1331"/>
      <c r="V43" s="1331"/>
      <c r="W43" s="1331"/>
      <c r="X43" s="1539"/>
      <c r="Y43" s="1331"/>
      <c r="Z43" s="1559"/>
      <c r="AA43" s="1331"/>
      <c r="AB43" s="216" t="s">
        <v>1073</v>
      </c>
      <c r="AC43" s="769" t="s">
        <v>1209</v>
      </c>
      <c r="AD43" s="937" t="s">
        <v>936</v>
      </c>
      <c r="AE43" s="779"/>
      <c r="AF43" s="779"/>
      <c r="AG43" s="779"/>
      <c r="AH43" s="779"/>
      <c r="AI43" s="779"/>
      <c r="AJ43" s="3132"/>
      <c r="AK43" s="3132"/>
      <c r="AL43" s="3132"/>
      <c r="AM43" s="3132"/>
      <c r="AN43" s="3132"/>
      <c r="AO43" s="3132"/>
      <c r="AP43" s="3132"/>
      <c r="AQ43" s="3132"/>
      <c r="AR43" s="3132"/>
      <c r="AS43" s="779"/>
      <c r="AT43" s="3132"/>
      <c r="AU43" s="3132"/>
      <c r="AV43" s="3132"/>
      <c r="AW43" s="3132"/>
      <c r="AX43" s="3132"/>
      <c r="AY43" s="3132"/>
      <c r="AZ43" s="3132"/>
      <c r="BA43" s="3132"/>
      <c r="BB43" s="3132"/>
      <c r="BC43" s="196"/>
      <c r="BD43" s="1331"/>
      <c r="BE43" s="1331"/>
      <c r="BF43" s="1005" t="s">
        <v>1210</v>
      </c>
    </row>
    <row s="541" customFormat="1" customHeight="1" ht="83.671875">
      <c r="A44" s="1331"/>
      <c r="B44" s="430"/>
      <c r="C44" s="1331"/>
      <c r="D44" s="118" t="s">
        <v>1211</v>
      </c>
      <c r="E44" s="623">
        <v>15</v>
      </c>
      <c r="F44" s="50" cm="1" t="str">
        <f t="array" ref="F44:F44">OFFSET(E44,-1,1)</f>
        <v>1</v>
      </c>
      <c r="G44" s="1331"/>
      <c r="H44" s="118" t="s">
        <v>577</v>
      </c>
      <c r="I44" s="1331"/>
      <c r="J44" s="1331"/>
      <c r="K44" s="1331"/>
      <c r="L44" s="1331"/>
      <c r="M44" s="1331"/>
      <c r="N44" s="1331"/>
      <c r="O44" s="1331"/>
      <c r="P44" s="1331"/>
      <c r="Q44" s="1331"/>
      <c r="R44" s="1331"/>
      <c r="S44" s="1331"/>
      <c r="T44" s="468" cm="1" t="str">
        <f t="array" ref="T44:T44">T43</f>
        <v>true</v>
      </c>
      <c r="U44" s="1331"/>
      <c r="V44" s="1331"/>
      <c r="W44" s="1331"/>
      <c r="X44" s="1539"/>
      <c r="Y44" s="1331"/>
      <c r="Z44" s="1559"/>
      <c r="AA44" s="1331"/>
      <c r="AB44" s="216" t="s">
        <v>1076</v>
      </c>
      <c r="AC44" s="769" t="s">
        <v>1212</v>
      </c>
      <c r="AD44" s="937" t="s">
        <v>936</v>
      </c>
      <c r="AE44" s="779">
        <v>787.58</v>
      </c>
      <c r="AF44" s="779">
        <f>323.08+406.87</f>
        <v>729.95</v>
      </c>
      <c r="AG44" s="779">
        <f>323.08+406.87</f>
        <v>729.95</v>
      </c>
      <c r="AH44" s="779">
        <v>729.96</v>
      </c>
      <c r="AI44" s="779">
        <f>SUM(AI45:AI46)</f>
        <v>757.04</v>
      </c>
      <c r="AJ44" s="3132">
        <f>SUM(AJ45:AJ46)</f>
        <v>0</v>
      </c>
      <c r="AK44" s="3132">
        <f>SUM(AK45:AK46)</f>
        <v>0</v>
      </c>
      <c r="AL44" s="3132">
        <f>SUM(AL45:AL46)</f>
        <v>0</v>
      </c>
      <c r="AM44" s="3132">
        <f>SUM(AM45:AM46)</f>
        <v>0</v>
      </c>
      <c r="AN44" s="3132">
        <f>SUM(AN45:AN46)</f>
        <v>0</v>
      </c>
      <c r="AO44" s="3132">
        <f>SUM(AO45:AO46)</f>
        <v>0</v>
      </c>
      <c r="AP44" s="3132">
        <f>SUM(AP45:AP46)</f>
        <v>0</v>
      </c>
      <c r="AQ44" s="3132">
        <f>SUM(AQ45:AQ46)</f>
        <v>0</v>
      </c>
      <c r="AR44" s="3132">
        <f>SUM(AR45:AR46)</f>
        <v>0</v>
      </c>
      <c r="AS44" s="779">
        <f>SUM(AS45:AS46)</f>
        <v>757.04</v>
      </c>
      <c r="AT44" s="3132">
        <f>SUM(AT45:AT46)</f>
        <v>0</v>
      </c>
      <c r="AU44" s="3132">
        <f>SUM(AU45:AU46)</f>
        <v>0</v>
      </c>
      <c r="AV44" s="3132">
        <f>SUM(AV45:AV46)</f>
        <v>0</v>
      </c>
      <c r="AW44" s="3132">
        <f>SUM(AW45:AW46)</f>
        <v>0</v>
      </c>
      <c r="AX44" s="3132">
        <f>SUM(AX45:AX46)</f>
        <v>0</v>
      </c>
      <c r="AY44" s="3132">
        <f>SUM(AY45:AY46)</f>
        <v>0</v>
      </c>
      <c r="AZ44" s="3132">
        <f>SUM(AZ45:AZ46)</f>
        <v>0</v>
      </c>
      <c r="BA44" s="3132">
        <f>SUM(BA45:BA46)</f>
        <v>0</v>
      </c>
      <c r="BB44" s="3132">
        <f>SUM(BB45:BB46)</f>
        <v>0</v>
      </c>
      <c r="BC44" s="196" t="s">
        <v>1222</v>
      </c>
      <c r="BD44" s="1331"/>
      <c r="BE44" s="1331"/>
      <c r="BF44" s="1005" t="s">
        <v>1213</v>
      </c>
    </row>
    <row s="541" customFormat="1" customHeight="1" ht="41.671875">
      <c r="A45" s="1331"/>
      <c r="B45" s="430"/>
      <c r="C45" s="1331"/>
      <c r="D45" s="1331"/>
      <c r="E45" s="623">
        <v>36</v>
      </c>
      <c r="F45" s="50" cm="1" t="str">
        <f t="array" ref="F45:F45">OFFSET(E45,-1,1)</f>
        <v>1</v>
      </c>
      <c r="G45" s="1331"/>
      <c r="H45" s="1331"/>
      <c r="I45" s="1331"/>
      <c r="J45" s="1331"/>
      <c r="K45" s="1331"/>
      <c r="L45" s="1331"/>
      <c r="M45" s="1331"/>
      <c r="N45" s="1331"/>
      <c r="O45" s="1331"/>
      <c r="P45" s="1331"/>
      <c r="Q45" s="1331"/>
      <c r="R45" s="1331"/>
      <c r="S45" s="1331"/>
      <c r="T45" s="468" cm="1" t="str">
        <f t="array" ref="T45:T45">T44</f>
        <v>true</v>
      </c>
      <c r="U45" s="1331"/>
      <c r="V45" s="1331"/>
      <c r="W45" s="1331"/>
      <c r="X45" s="1539"/>
      <c r="Y45" s="1331"/>
      <c r="Z45" s="1559"/>
      <c r="AA45" s="1331"/>
      <c r="AB45" s="216" t="s">
        <v>1214</v>
      </c>
      <c r="AC45" s="769" t="s">
        <v>1215</v>
      </c>
      <c r="AD45" s="937" t="s">
        <v>936</v>
      </c>
      <c r="AE45" s="779">
        <v>787.58</v>
      </c>
      <c r="AF45" s="779">
        <v>729.95</v>
      </c>
      <c r="AG45" s="779">
        <v>729.95</v>
      </c>
      <c r="AH45" s="779"/>
      <c r="AI45" s="779">
        <f>350.17+406.87</f>
        <v>757.04</v>
      </c>
      <c r="AJ45" s="3132"/>
      <c r="AK45" s="3132"/>
      <c r="AL45" s="3132"/>
      <c r="AM45" s="3132"/>
      <c r="AN45" s="3132"/>
      <c r="AO45" s="3132"/>
      <c r="AP45" s="3132"/>
      <c r="AQ45" s="3132"/>
      <c r="AR45" s="3132"/>
      <c r="AS45" s="779">
        <f>350.17+406.87</f>
        <v>757.04</v>
      </c>
      <c r="AT45" s="3132"/>
      <c r="AU45" s="3132"/>
      <c r="AV45" s="3132"/>
      <c r="AW45" s="3132"/>
      <c r="AX45" s="3132"/>
      <c r="AY45" s="3132"/>
      <c r="AZ45" s="3132"/>
      <c r="BA45" s="3132"/>
      <c r="BB45" s="3132"/>
      <c r="BC45" s="196" t="s">
        <v>1223</v>
      </c>
      <c r="BD45" s="1331"/>
      <c r="BE45" s="1331"/>
      <c r="BF45" s="1005" t="s">
        <v>1216</v>
      </c>
    </row>
    <row s="541" customFormat="1" customHeight="1" ht="34.5">
      <c r="A46" s="1331"/>
      <c r="B46" s="430"/>
      <c r="C46" s="1331"/>
      <c r="D46" s="1331"/>
      <c r="E46" s="623">
        <v>36</v>
      </c>
      <c r="F46" s="50" cm="1" t="str">
        <f t="array" ref="F46:F46">OFFSET(E46,-1,1)</f>
        <v>1</v>
      </c>
      <c r="G46" s="1331"/>
      <c r="H46" s="1331"/>
      <c r="I46" s="1331"/>
      <c r="J46" s="1331"/>
      <c r="K46" s="1331"/>
      <c r="L46" s="1331"/>
      <c r="M46" s="1331"/>
      <c r="N46" s="1331"/>
      <c r="O46" s="1331"/>
      <c r="P46" s="1331"/>
      <c r="Q46" s="1331"/>
      <c r="R46" s="1331"/>
      <c r="S46" s="1331"/>
      <c r="T46" s="468" cm="1" t="str">
        <f t="array" ref="T46:T46">T45</f>
        <v>true</v>
      </c>
      <c r="U46" s="1331"/>
      <c r="V46" s="1331"/>
      <c r="W46" s="1331"/>
      <c r="X46" s="1539"/>
      <c r="Y46" s="1331"/>
      <c r="Z46" s="1559"/>
      <c r="AA46" s="1331"/>
      <c r="AB46" s="216" t="s">
        <v>1217</v>
      </c>
      <c r="AC46" s="769" t="s">
        <v>1218</v>
      </c>
      <c r="AD46" s="937" t="s">
        <v>936</v>
      </c>
      <c r="AE46" s="779"/>
      <c r="AF46" s="779"/>
      <c r="AG46" s="779"/>
      <c r="AH46" s="779"/>
      <c r="AI46" s="779"/>
      <c r="AJ46" s="3132"/>
      <c r="AK46" s="3132"/>
      <c r="AL46" s="3132"/>
      <c r="AM46" s="3132"/>
      <c r="AN46" s="3132"/>
      <c r="AO46" s="3132"/>
      <c r="AP46" s="3132"/>
      <c r="AQ46" s="3132"/>
      <c r="AR46" s="3132"/>
      <c r="AS46" s="779"/>
      <c r="AT46" s="3132"/>
      <c r="AU46" s="3132"/>
      <c r="AV46" s="3132"/>
      <c r="AW46" s="3132"/>
      <c r="AX46" s="3132"/>
      <c r="AY46" s="3132"/>
      <c r="AZ46" s="3132"/>
      <c r="BA46" s="3132"/>
      <c r="BB46" s="3132"/>
      <c r="BC46" s="196"/>
      <c r="BD46" s="1331"/>
      <c r="BE46" s="1331"/>
      <c r="BF46" s="1005" t="s">
        <v>1219</v>
      </c>
    </row>
    <row s="541" customFormat="1" customHeight="1" ht="29.671875">
      <c r="A47" s="1331"/>
      <c r="B47" s="430"/>
      <c r="C47" s="1331"/>
      <c r="D47" s="1331"/>
      <c r="E47" s="623">
        <v>15</v>
      </c>
      <c r="F47" s="94" cm="1" t="str">
        <f t="array" ref="F47:F47">X47</f>
        <v>2</v>
      </c>
      <c r="G47" s="1331"/>
      <c r="H47" s="1331"/>
      <c r="I47" s="1331"/>
      <c r="J47" s="1331"/>
      <c r="K47" s="1331"/>
      <c r="L47" s="1331"/>
      <c r="M47" s="1331"/>
      <c r="N47" s="1331"/>
      <c r="O47" s="1331"/>
      <c r="P47" s="1331"/>
      <c r="Q47" s="1331"/>
      <c r="R47" s="1331"/>
      <c r="S47" s="1331"/>
      <c r="T47" s="468">
        <f>X47&gt;0</f>
        <v>1</v>
      </c>
      <c r="U47" s="1331"/>
      <c r="V47" s="118" cm="1" t="str">
        <f t="array" ref="V47:V47">'Амортизация (аналог)'!$AB$41</f>
        <v>Тариф 2 (Водоотведение) - тариф на водоотведение (Оказание услуг на территории: город Ленинск-Кузнецкий (ОКТМО: 32719000) - г Ленинск-Кузнецкий)</v>
      </c>
      <c r="W47" s="1331"/>
      <c r="X47" s="1539" t="s">
        <v>299</v>
      </c>
      <c r="Y47" s="1331"/>
      <c r="Z47" s="1559"/>
      <c r="AA47" s="1331"/>
      <c r="AB47" s="218" cm="1" t="str">
        <f t="array" ref="AB47:AB47">'Амортизация (аналог)'!$AB$41</f>
        <v>Тариф 2 (Водоотведение) - тариф на водоотведение (Оказание услуг на территории: город Ленинск-Кузнецкий (ОКТМО: 32719000) - г Ленинск-Кузнецкий)</v>
      </c>
      <c r="AC47" s="176"/>
      <c r="AD47" s="170"/>
      <c r="AE47" s="170"/>
      <c r="AF47" s="170"/>
      <c r="AG47" s="170"/>
      <c r="AH47" s="170"/>
      <c r="AI47" s="170"/>
      <c r="AJ47" s="170"/>
      <c r="AK47" s="170"/>
      <c r="AL47" s="170"/>
      <c r="AM47" s="170"/>
      <c r="AN47" s="170"/>
      <c r="AO47" s="170"/>
      <c r="AP47" s="170"/>
      <c r="AQ47" s="170"/>
      <c r="AR47" s="170"/>
      <c r="AS47" s="170"/>
      <c r="AT47" s="170"/>
      <c r="AU47" s="170"/>
      <c r="AV47" s="170"/>
      <c r="AW47" s="170"/>
      <c r="AX47" s="170"/>
      <c r="AY47" s="170"/>
      <c r="AZ47" s="170"/>
      <c r="BA47" s="170"/>
      <c r="BB47" s="170"/>
      <c r="BC47" s="206"/>
      <c r="BD47" s="1331"/>
      <c r="BE47" s="1331"/>
      <c r="BF47" s="1005"/>
    </row>
    <row s="541" customFormat="1" customHeight="1" ht="71.6625">
      <c r="A48" s="1331"/>
      <c r="B48" s="430"/>
      <c r="C48" s="1331"/>
      <c r="D48" s="1331"/>
      <c r="E48" s="623">
        <v>73.5</v>
      </c>
      <c r="F48" s="50" cm="1" t="str">
        <f t="array" ref="F48:F48">OFFSET(E48,-1,1)</f>
        <v>2</v>
      </c>
      <c r="G48" s="497" t="s">
        <v>1192</v>
      </c>
      <c r="H48" s="118" t="s">
        <v>344</v>
      </c>
      <c r="I48" s="1331"/>
      <c r="J48" s="1331"/>
      <c r="K48" s="120" t="str">
        <f>F48&amp;"komm"</f>
        <v>2komm</v>
      </c>
      <c r="L48" s="926" cm="1" t="str">
        <f t="array" ref="L48:L48">BC48</f>
        <v>П. 29 "Методических указаний…" ФСТ России (приказ от 27.12.2013 № 1746-э).</v>
      </c>
      <c r="M48" s="1331"/>
      <c r="N48" s="1331"/>
      <c r="O48" s="1331"/>
      <c r="P48" s="1331"/>
      <c r="Q48" s="1331"/>
      <c r="R48" s="1331"/>
      <c r="S48" s="1331"/>
      <c r="T48" s="468" cm="1" t="str">
        <f t="array" ref="T48:T48">T47</f>
        <v>true</v>
      </c>
      <c r="U48" s="1331"/>
      <c r="V48" s="1331"/>
      <c r="W48" s="1331"/>
      <c r="X48" s="1539"/>
      <c r="Y48" s="1331"/>
      <c r="Z48" s="1559"/>
      <c r="AA48" s="1331"/>
      <c r="AB48" s="214" t="s">
        <v>290</v>
      </c>
      <c r="AC48" s="215" t="s">
        <v>1193</v>
      </c>
      <c r="AD48" s="201" t="s">
        <v>936</v>
      </c>
      <c r="AE48" s="780">
        <f>AE49+AE52+AE53+AE54</f>
        <v>295.1</v>
      </c>
      <c r="AF48" s="780">
        <f>AF49+AF52+AF53+AF54</f>
        <v>318.39</v>
      </c>
      <c r="AG48" s="780">
        <f>AG49+AG52+AG53+AG54</f>
        <v>318.39</v>
      </c>
      <c r="AH48" s="780">
        <f>AH49+AH52+AH53+AH54</f>
        <v>318.39</v>
      </c>
      <c r="AI48" s="780">
        <f>AI49+AI52+AI53+AI54</f>
        <v>346.47</v>
      </c>
      <c r="AJ48" s="780">
        <f>AJ49+AJ52+AJ53+AJ54</f>
        <v>0</v>
      </c>
      <c r="AK48" s="780">
        <f>AK49+AK52+AK53+AK54</f>
        <v>0</v>
      </c>
      <c r="AL48" s="780">
        <f>AL49+AL52+AL53+AL54</f>
        <v>0</v>
      </c>
      <c r="AM48" s="780">
        <f>AM49+AM52+AM53+AM54</f>
        <v>0</v>
      </c>
      <c r="AN48" s="780">
        <f>AN49+AN52+AN53+AN54</f>
        <v>0</v>
      </c>
      <c r="AO48" s="780">
        <f>AO49+AO52+AO53+AO54</f>
        <v>0</v>
      </c>
      <c r="AP48" s="780">
        <f>AP49+AP52+AP53+AP54</f>
        <v>0</v>
      </c>
      <c r="AQ48" s="780">
        <f>AQ49+AQ52+AQ53+AQ54</f>
        <v>0</v>
      </c>
      <c r="AR48" s="780">
        <f>AR49+AR52+AR53+AR54</f>
        <v>0</v>
      </c>
      <c r="AS48" s="780">
        <f>AS49+AS52+AS53+AS54</f>
        <v>346.47</v>
      </c>
      <c r="AT48" s="780">
        <f>AT49+AT52+AT53+AT54</f>
        <v>0</v>
      </c>
      <c r="AU48" s="780">
        <f>AU49+AU52+AU53+AU54</f>
        <v>0</v>
      </c>
      <c r="AV48" s="780">
        <f>AV49+AV52+AV53+AV54</f>
        <v>0</v>
      </c>
      <c r="AW48" s="780">
        <f>AW49+AW52+AW53+AW54</f>
        <v>0</v>
      </c>
      <c r="AX48" s="780">
        <f>AX49+AX52+AX53+AX54</f>
        <v>0</v>
      </c>
      <c r="AY48" s="780">
        <f>AY49+AY52+AY53+AY54</f>
        <v>0</v>
      </c>
      <c r="AZ48" s="780">
        <f>AZ49+AZ52+AZ53+AZ54</f>
        <v>0</v>
      </c>
      <c r="BA48" s="780">
        <f>BA49+BA52+BA53+BA54</f>
        <v>0</v>
      </c>
      <c r="BB48" s="780">
        <f>BB49+BB52+BB53+BB54</f>
        <v>0</v>
      </c>
      <c r="BC48" s="196" t="s">
        <v>1220</v>
      </c>
      <c r="BD48" s="1331"/>
      <c r="BE48" s="1331"/>
      <c r="BF48" s="1048" t="s">
        <v>1194</v>
      </c>
    </row>
    <row s="541" customFormat="1" customHeight="1" ht="14.25">
      <c r="A49" s="1331"/>
      <c r="B49" s="430"/>
      <c r="C49" s="1331"/>
      <c r="D49" s="118" t="s">
        <v>1195</v>
      </c>
      <c r="E49" s="623">
        <v>15</v>
      </c>
      <c r="F49" s="50" cm="1" t="str">
        <f t="array" ref="F49:F49">OFFSET(E49,-1,1)</f>
        <v>2</v>
      </c>
      <c r="G49" s="1331"/>
      <c r="H49" s="118" t="s">
        <v>566</v>
      </c>
      <c r="I49" s="1331"/>
      <c r="J49" s="1331"/>
      <c r="K49" s="1331"/>
      <c r="L49" s="1331"/>
      <c r="M49" s="1331"/>
      <c r="N49" s="1331"/>
      <c r="O49" s="1331"/>
      <c r="P49" s="1331"/>
      <c r="Q49" s="1331"/>
      <c r="R49" s="1331"/>
      <c r="S49" s="1331"/>
      <c r="T49" s="468" cm="1" t="str">
        <f t="array" ref="T49:T49">T48</f>
        <v>true</v>
      </c>
      <c r="U49" s="1331"/>
      <c r="V49" s="1331"/>
      <c r="W49" s="1331"/>
      <c r="X49" s="1539"/>
      <c r="Y49" s="1331"/>
      <c r="Z49" s="1559"/>
      <c r="AA49" s="1331"/>
      <c r="AB49" s="216" t="s">
        <v>1067</v>
      </c>
      <c r="AC49" s="769" t="s">
        <v>1195</v>
      </c>
      <c r="AD49" s="937" t="s">
        <v>936</v>
      </c>
      <c r="AE49" s="779">
        <f>SUM(AE50:AE51)</f>
        <v>0</v>
      </c>
      <c r="AF49" s="779">
        <f>SUM(AF50:AF51)</f>
        <v>0</v>
      </c>
      <c r="AG49" s="779">
        <f>SUM(AG50:AG51)</f>
        <v>0</v>
      </c>
      <c r="AH49" s="779">
        <f>SUM(AH50:AH51)</f>
        <v>0</v>
      </c>
      <c r="AI49" s="779">
        <f>SUM(AI50:AI51)</f>
        <v>0</v>
      </c>
      <c r="AJ49" s="3132">
        <f>SUM(AJ50:AJ51)</f>
        <v>0</v>
      </c>
      <c r="AK49" s="3132">
        <f>SUM(AK50:AK51)</f>
        <v>0</v>
      </c>
      <c r="AL49" s="3132">
        <f>SUM(AL50:AL51)</f>
        <v>0</v>
      </c>
      <c r="AM49" s="3132">
        <f>SUM(AM50:AM51)</f>
        <v>0</v>
      </c>
      <c r="AN49" s="3132">
        <f>SUM(AN50:AN51)</f>
        <v>0</v>
      </c>
      <c r="AO49" s="3132">
        <f>SUM(AO50:AO51)</f>
        <v>0</v>
      </c>
      <c r="AP49" s="3132">
        <f>SUM(AP50:AP51)</f>
        <v>0</v>
      </c>
      <c r="AQ49" s="3132">
        <f>SUM(AQ50:AQ51)</f>
        <v>0</v>
      </c>
      <c r="AR49" s="3132">
        <f>SUM(AR50:AR51)</f>
        <v>0</v>
      </c>
      <c r="AS49" s="779">
        <f>SUM(AS50:AS51)</f>
        <v>0</v>
      </c>
      <c r="AT49" s="3132">
        <f>SUM(AT50:AT51)</f>
        <v>0</v>
      </c>
      <c r="AU49" s="3132">
        <f>SUM(AU50:AU51)</f>
        <v>0</v>
      </c>
      <c r="AV49" s="3132">
        <f>SUM(AV50:AV51)</f>
        <v>0</v>
      </c>
      <c r="AW49" s="3132">
        <f>SUM(AW50:AW51)</f>
        <v>0</v>
      </c>
      <c r="AX49" s="3132">
        <f>SUM(AX50:AX51)</f>
        <v>0</v>
      </c>
      <c r="AY49" s="3132">
        <f>SUM(AY50:AY51)</f>
        <v>0</v>
      </c>
      <c r="AZ49" s="3132">
        <f>SUM(AZ50:AZ51)</f>
        <v>0</v>
      </c>
      <c r="BA49" s="3132">
        <f>SUM(BA50:BA51)</f>
        <v>0</v>
      </c>
      <c r="BB49" s="3132">
        <f>SUM(BB50:BB51)</f>
        <v>0</v>
      </c>
      <c r="BC49" s="196"/>
      <c r="BD49" s="1331"/>
      <c r="BE49" s="1331"/>
      <c r="BF49" s="1048" t="s">
        <v>1196</v>
      </c>
    </row>
    <row s="541" customFormat="1" customHeight="1" ht="23.25">
      <c r="A50" s="1331"/>
      <c r="B50" s="430"/>
      <c r="C50" s="1331"/>
      <c r="D50" s="1331"/>
      <c r="E50" s="623">
        <v>24</v>
      </c>
      <c r="F50" s="50" cm="1" t="str">
        <f t="array" ref="F50:F50">OFFSET(E50,-1,1)</f>
        <v>2</v>
      </c>
      <c r="G50" s="1331"/>
      <c r="H50" s="118" t="s">
        <v>1197</v>
      </c>
      <c r="I50" s="1331"/>
      <c r="J50" s="1331"/>
      <c r="K50" s="1331"/>
      <c r="L50" s="1331"/>
      <c r="M50" s="1331"/>
      <c r="N50" s="1331"/>
      <c r="O50" s="1331"/>
      <c r="P50" s="1331"/>
      <c r="Q50" s="1331"/>
      <c r="R50" s="1331"/>
      <c r="S50" s="1331"/>
      <c r="T50" s="468" cm="1" t="str">
        <f t="array" ref="T50:T50">T49</f>
        <v>true</v>
      </c>
      <c r="U50" s="1331"/>
      <c r="V50" s="1331"/>
      <c r="W50" s="1331"/>
      <c r="X50" s="1539"/>
      <c r="Y50" s="1331"/>
      <c r="Z50" s="1559"/>
      <c r="AA50" s="1331"/>
      <c r="AB50" s="216" t="s">
        <v>1198</v>
      </c>
      <c r="AC50" s="772" t="s">
        <v>1199</v>
      </c>
      <c r="AD50" s="937" t="s">
        <v>936</v>
      </c>
      <c r="AE50" s="779"/>
      <c r="AF50" s="779"/>
      <c r="AG50" s="779"/>
      <c r="AH50" s="779"/>
      <c r="AI50" s="779"/>
      <c r="AJ50" s="3132"/>
      <c r="AK50" s="3132"/>
      <c r="AL50" s="3132"/>
      <c r="AM50" s="3132"/>
      <c r="AN50" s="3132"/>
      <c r="AO50" s="3132"/>
      <c r="AP50" s="3132"/>
      <c r="AQ50" s="3132"/>
      <c r="AR50" s="3132"/>
      <c r="AS50" s="779"/>
      <c r="AT50" s="3132"/>
      <c r="AU50" s="3132"/>
      <c r="AV50" s="3132"/>
      <c r="AW50" s="3132"/>
      <c r="AX50" s="3132"/>
      <c r="AY50" s="3132"/>
      <c r="AZ50" s="3132"/>
      <c r="BA50" s="3132"/>
      <c r="BB50" s="3132"/>
      <c r="BC50" s="196"/>
      <c r="BD50" s="1331"/>
      <c r="BE50" s="1331"/>
      <c r="BF50" s="1005" t="s">
        <v>1200</v>
      </c>
    </row>
    <row s="541" customFormat="1" customHeight="1" ht="14.25">
      <c r="A51" s="1331"/>
      <c r="B51" s="430"/>
      <c r="C51" s="1331"/>
      <c r="D51" s="1331"/>
      <c r="E51" s="623">
        <v>15</v>
      </c>
      <c r="F51" s="50" cm="1" t="str">
        <f t="array" ref="F51:F51">OFFSET(E51,-1,1)</f>
        <v>2</v>
      </c>
      <c r="G51" s="1331"/>
      <c r="H51" s="118" t="s">
        <v>1201</v>
      </c>
      <c r="I51" s="1331"/>
      <c r="J51" s="1331"/>
      <c r="K51" s="1331"/>
      <c r="L51" s="1331"/>
      <c r="M51" s="1331"/>
      <c r="N51" s="1331"/>
      <c r="O51" s="1331"/>
      <c r="P51" s="1331"/>
      <c r="Q51" s="1331"/>
      <c r="R51" s="1331"/>
      <c r="S51" s="1331"/>
      <c r="T51" s="468" cm="1" t="str">
        <f t="array" ref="T51:T51">T50</f>
        <v>true</v>
      </c>
      <c r="U51" s="1331"/>
      <c r="V51" s="1331"/>
      <c r="W51" s="1331"/>
      <c r="X51" s="1539"/>
      <c r="Y51" s="1331"/>
      <c r="Z51" s="1559"/>
      <c r="AA51" s="1331"/>
      <c r="AB51" s="216" t="s">
        <v>1202</v>
      </c>
      <c r="AC51" s="772" t="s">
        <v>1203</v>
      </c>
      <c r="AD51" s="937" t="s">
        <v>936</v>
      </c>
      <c r="AE51" s="779"/>
      <c r="AF51" s="779"/>
      <c r="AG51" s="779"/>
      <c r="AH51" s="779"/>
      <c r="AI51" s="779"/>
      <c r="AJ51" s="3132"/>
      <c r="AK51" s="3132"/>
      <c r="AL51" s="3132"/>
      <c r="AM51" s="3132"/>
      <c r="AN51" s="3132"/>
      <c r="AO51" s="3132"/>
      <c r="AP51" s="3132"/>
      <c r="AQ51" s="3132"/>
      <c r="AR51" s="3132"/>
      <c r="AS51" s="779"/>
      <c r="AT51" s="3132"/>
      <c r="AU51" s="3132"/>
      <c r="AV51" s="3132"/>
      <c r="AW51" s="3132"/>
      <c r="AX51" s="3132"/>
      <c r="AY51" s="3132"/>
      <c r="AZ51" s="3132"/>
      <c r="BA51" s="3132"/>
      <c r="BB51" s="3132"/>
      <c r="BC51" s="196"/>
      <c r="BD51" s="1331"/>
      <c r="BE51" s="1331"/>
      <c r="BF51" s="1005" t="s">
        <v>1204</v>
      </c>
    </row>
    <row s="541" customFormat="1" customHeight="1" ht="14.25">
      <c r="A52" s="1331"/>
      <c r="B52" s="430"/>
      <c r="C52" s="1331"/>
      <c r="D52" s="118" t="s">
        <v>1205</v>
      </c>
      <c r="E52" s="623">
        <v>15</v>
      </c>
      <c r="F52" s="50" cm="1" t="str">
        <f t="array" ref="F52:F52">OFFSET(E52,-1,1)</f>
        <v>2</v>
      </c>
      <c r="G52" s="1331"/>
      <c r="H52" s="118" t="s">
        <v>570</v>
      </c>
      <c r="I52" s="1331"/>
      <c r="J52" s="1331"/>
      <c r="K52" s="1331"/>
      <c r="L52" s="1331"/>
      <c r="M52" s="1331"/>
      <c r="N52" s="1331"/>
      <c r="O52" s="1331"/>
      <c r="P52" s="1331"/>
      <c r="Q52" s="1331"/>
      <c r="R52" s="1331"/>
      <c r="S52" s="1331"/>
      <c r="T52" s="468" cm="1" t="str">
        <f t="array" ref="T52:T52">T51</f>
        <v>true</v>
      </c>
      <c r="U52" s="1331"/>
      <c r="V52" s="1331"/>
      <c r="W52" s="1331"/>
      <c r="X52" s="1539"/>
      <c r="Y52" s="1331"/>
      <c r="Z52" s="1559"/>
      <c r="AA52" s="1331"/>
      <c r="AB52" s="216" t="s">
        <v>1070</v>
      </c>
      <c r="AC52" s="938" t="s">
        <v>1206</v>
      </c>
      <c r="AD52" s="937" t="s">
        <v>936</v>
      </c>
      <c r="AE52" s="779"/>
      <c r="AF52" s="779"/>
      <c r="AG52" s="779"/>
      <c r="AH52" s="779"/>
      <c r="AI52" s="779"/>
      <c r="AJ52" s="3132"/>
      <c r="AK52" s="3132"/>
      <c r="AL52" s="3132"/>
      <c r="AM52" s="3132"/>
      <c r="AN52" s="3132"/>
      <c r="AO52" s="3132"/>
      <c r="AP52" s="3132"/>
      <c r="AQ52" s="3132"/>
      <c r="AR52" s="3132"/>
      <c r="AS52" s="779"/>
      <c r="AT52" s="3132"/>
      <c r="AU52" s="3132"/>
      <c r="AV52" s="3132"/>
      <c r="AW52" s="3132"/>
      <c r="AX52" s="3132"/>
      <c r="AY52" s="3132"/>
      <c r="AZ52" s="3132"/>
      <c r="BA52" s="3132"/>
      <c r="BB52" s="3132"/>
      <c r="BC52" s="196"/>
      <c r="BD52" s="1331"/>
      <c r="BE52" s="1331"/>
      <c r="BF52" s="1005" t="s">
        <v>1207</v>
      </c>
    </row>
    <row s="541" customFormat="1" customHeight="1" ht="14.25">
      <c r="A53" s="1331"/>
      <c r="B53" s="430"/>
      <c r="C53" s="1331"/>
      <c r="D53" s="118" t="s">
        <v>1208</v>
      </c>
      <c r="E53" s="623">
        <v>15</v>
      </c>
      <c r="F53" s="50" cm="1" t="str">
        <f t="array" ref="F53:F53">OFFSET(E53,-1,1)</f>
        <v>2</v>
      </c>
      <c r="G53" s="1331"/>
      <c r="H53" s="118" t="s">
        <v>573</v>
      </c>
      <c r="I53" s="1331"/>
      <c r="J53" s="1331"/>
      <c r="K53" s="1331"/>
      <c r="L53" s="1331"/>
      <c r="M53" s="1331"/>
      <c r="N53" s="1331"/>
      <c r="O53" s="1331"/>
      <c r="P53" s="1331"/>
      <c r="Q53" s="1331"/>
      <c r="R53" s="1331"/>
      <c r="S53" s="1331"/>
      <c r="T53" s="468" cm="1" t="str">
        <f t="array" ref="T53:T53">T52</f>
        <v>true</v>
      </c>
      <c r="U53" s="1331"/>
      <c r="V53" s="1331"/>
      <c r="W53" s="1331"/>
      <c r="X53" s="1539"/>
      <c r="Y53" s="1331"/>
      <c r="Z53" s="1559"/>
      <c r="AA53" s="1331"/>
      <c r="AB53" s="216" t="s">
        <v>1073</v>
      </c>
      <c r="AC53" s="769" t="s">
        <v>1209</v>
      </c>
      <c r="AD53" s="937" t="s">
        <v>936</v>
      </c>
      <c r="AE53" s="779"/>
      <c r="AF53" s="779"/>
      <c r="AG53" s="779"/>
      <c r="AH53" s="779"/>
      <c r="AI53" s="779"/>
      <c r="AJ53" s="3132"/>
      <c r="AK53" s="3132"/>
      <c r="AL53" s="3132"/>
      <c r="AM53" s="3132"/>
      <c r="AN53" s="3132"/>
      <c r="AO53" s="3132"/>
      <c r="AP53" s="3132"/>
      <c r="AQ53" s="3132"/>
      <c r="AR53" s="3132"/>
      <c r="AS53" s="779"/>
      <c r="AT53" s="3132"/>
      <c r="AU53" s="3132"/>
      <c r="AV53" s="3132"/>
      <c r="AW53" s="3132"/>
      <c r="AX53" s="3132"/>
      <c r="AY53" s="3132"/>
      <c r="AZ53" s="3132"/>
      <c r="BA53" s="3132"/>
      <c r="BB53" s="3132"/>
      <c r="BC53" s="196"/>
      <c r="BD53" s="1331"/>
      <c r="BE53" s="1331"/>
      <c r="BF53" s="1005" t="s">
        <v>1210</v>
      </c>
    </row>
    <row s="541" customFormat="1" customHeight="1" ht="52.171875">
      <c r="A54" s="1331"/>
      <c r="B54" s="430"/>
      <c r="C54" s="1331"/>
      <c r="D54" s="118" t="s">
        <v>1211</v>
      </c>
      <c r="E54" s="623">
        <v>15</v>
      </c>
      <c r="F54" s="50" cm="1" t="str">
        <f t="array" ref="F54:F54">OFFSET(E54,-1,1)</f>
        <v>2</v>
      </c>
      <c r="G54" s="1331"/>
      <c r="H54" s="118" t="s">
        <v>577</v>
      </c>
      <c r="I54" s="1331"/>
      <c r="J54" s="1331"/>
      <c r="K54" s="1331"/>
      <c r="L54" s="1331"/>
      <c r="M54" s="1331"/>
      <c r="N54" s="1331"/>
      <c r="O54" s="1331"/>
      <c r="P54" s="1331"/>
      <c r="Q54" s="1331"/>
      <c r="R54" s="1331"/>
      <c r="S54" s="1331"/>
      <c r="T54" s="468" cm="1" t="str">
        <f t="array" ref="T54:T54">T53</f>
        <v>true</v>
      </c>
      <c r="U54" s="1331"/>
      <c r="V54" s="1331"/>
      <c r="W54" s="1331"/>
      <c r="X54" s="1539"/>
      <c r="Y54" s="1331"/>
      <c r="Z54" s="1559"/>
      <c r="AA54" s="1331"/>
      <c r="AB54" s="216" t="s">
        <v>1076</v>
      </c>
      <c r="AC54" s="769" t="s">
        <v>1212</v>
      </c>
      <c r="AD54" s="937" t="s">
        <v>936</v>
      </c>
      <c r="AE54" s="779">
        <v>295.1</v>
      </c>
      <c r="AF54" s="779">
        <f>SUM(AF55:AF56)</f>
        <v>318.39</v>
      </c>
      <c r="AG54" s="779">
        <f>SUM(AG55:AG56)</f>
        <v>318.39</v>
      </c>
      <c r="AH54" s="779">
        <v>318.39</v>
      </c>
      <c r="AI54" s="779">
        <f>SUM(AI55:AI56)</f>
        <v>346.47</v>
      </c>
      <c r="AJ54" s="3132">
        <f>SUM(AJ55:AJ56)</f>
        <v>0</v>
      </c>
      <c r="AK54" s="3132">
        <f>SUM(AK55:AK56)</f>
        <v>0</v>
      </c>
      <c r="AL54" s="3132">
        <f>SUM(AL55:AL56)</f>
        <v>0</v>
      </c>
      <c r="AM54" s="3132">
        <f>SUM(AM55:AM56)</f>
        <v>0</v>
      </c>
      <c r="AN54" s="3132">
        <f>SUM(AN55:AN56)</f>
        <v>0</v>
      </c>
      <c r="AO54" s="3132">
        <f>SUM(AO55:AO56)</f>
        <v>0</v>
      </c>
      <c r="AP54" s="3132">
        <f>SUM(AP55:AP56)</f>
        <v>0</v>
      </c>
      <c r="AQ54" s="3132">
        <f>SUM(AQ55:AQ56)</f>
        <v>0</v>
      </c>
      <c r="AR54" s="3132">
        <f>SUM(AR55:AR56)</f>
        <v>0</v>
      </c>
      <c r="AS54" s="779">
        <f>SUM(AS55:AS56)</f>
        <v>346.47</v>
      </c>
      <c r="AT54" s="3132">
        <f>SUM(AT55:AT56)</f>
        <v>0</v>
      </c>
      <c r="AU54" s="3132">
        <f>SUM(AU55:AU56)</f>
        <v>0</v>
      </c>
      <c r="AV54" s="3132">
        <f>SUM(AV55:AV56)</f>
        <v>0</v>
      </c>
      <c r="AW54" s="3132">
        <f>SUM(AW55:AW56)</f>
        <v>0</v>
      </c>
      <c r="AX54" s="3132">
        <f>SUM(AX55:AX56)</f>
        <v>0</v>
      </c>
      <c r="AY54" s="3132">
        <f>SUM(AY55:AY56)</f>
        <v>0</v>
      </c>
      <c r="AZ54" s="3132">
        <f>SUM(AZ55:AZ56)</f>
        <v>0</v>
      </c>
      <c r="BA54" s="3132">
        <f>SUM(BA55:BA56)</f>
        <v>0</v>
      </c>
      <c r="BB54" s="3132">
        <f>SUM(BB55:BB56)</f>
        <v>0</v>
      </c>
      <c r="BC54" s="196" t="s">
        <v>1224</v>
      </c>
      <c r="BD54" s="1331"/>
      <c r="BE54" s="1331"/>
      <c r="BF54" s="1005" t="s">
        <v>1213</v>
      </c>
    </row>
    <row s="541" customFormat="1" customHeight="1" ht="41.671875">
      <c r="A55" s="1331"/>
      <c r="B55" s="430"/>
      <c r="C55" s="1331"/>
      <c r="D55" s="1331"/>
      <c r="E55" s="623">
        <v>36</v>
      </c>
      <c r="F55" s="50" cm="1" t="str">
        <f t="array" ref="F55:F55">OFFSET(E55,-1,1)</f>
        <v>2</v>
      </c>
      <c r="G55" s="1331"/>
      <c r="H55" s="1331"/>
      <c r="I55" s="1331"/>
      <c r="J55" s="1331"/>
      <c r="K55" s="1331"/>
      <c r="L55" s="1331"/>
      <c r="M55" s="1331"/>
      <c r="N55" s="1331"/>
      <c r="O55" s="1331"/>
      <c r="P55" s="1331"/>
      <c r="Q55" s="1331"/>
      <c r="R55" s="1331"/>
      <c r="S55" s="1331"/>
      <c r="T55" s="468" cm="1" t="str">
        <f t="array" ref="T55:T55">T54</f>
        <v>true</v>
      </c>
      <c r="U55" s="1331"/>
      <c r="V55" s="1331"/>
      <c r="W55" s="1331"/>
      <c r="X55" s="1539"/>
      <c r="Y55" s="1331"/>
      <c r="Z55" s="1559"/>
      <c r="AA55" s="1331"/>
      <c r="AB55" s="216" t="s">
        <v>1214</v>
      </c>
      <c r="AC55" s="769" t="s">
        <v>1215</v>
      </c>
      <c r="AD55" s="937" t="s">
        <v>936</v>
      </c>
      <c r="AE55" s="779">
        <v>295.1</v>
      </c>
      <c r="AF55" s="779">
        <v>318.39</v>
      </c>
      <c r="AG55" s="779">
        <v>318.39</v>
      </c>
      <c r="AH55" s="779">
        <v>318.39</v>
      </c>
      <c r="AI55" s="779">
        <v>346.47</v>
      </c>
      <c r="AJ55" s="3132"/>
      <c r="AK55" s="3132"/>
      <c r="AL55" s="3132"/>
      <c r="AM55" s="3132"/>
      <c r="AN55" s="3132"/>
      <c r="AO55" s="3132"/>
      <c r="AP55" s="3132"/>
      <c r="AQ55" s="3132"/>
      <c r="AR55" s="3132"/>
      <c r="AS55" s="779">
        <v>346.47</v>
      </c>
      <c r="AT55" s="3132"/>
      <c r="AU55" s="3132"/>
      <c r="AV55" s="3132"/>
      <c r="AW55" s="3132"/>
      <c r="AX55" s="3132"/>
      <c r="AY55" s="3132"/>
      <c r="AZ55" s="3132"/>
      <c r="BA55" s="3132"/>
      <c r="BB55" s="3132"/>
      <c r="BC55" s="196" t="s">
        <v>1223</v>
      </c>
      <c r="BD55" s="1331"/>
      <c r="BE55" s="1331"/>
      <c r="BF55" s="1005" t="s">
        <v>1216</v>
      </c>
    </row>
    <row s="541" customFormat="1" customHeight="1" ht="34.5">
      <c r="A56" s="1331"/>
      <c r="B56" s="430"/>
      <c r="C56" s="1331"/>
      <c r="D56" s="1331"/>
      <c r="E56" s="623">
        <v>36</v>
      </c>
      <c r="F56" s="50" cm="1" t="str">
        <f t="array" ref="F56:F56">OFFSET(E56,-1,1)</f>
        <v>2</v>
      </c>
      <c r="G56" s="1331"/>
      <c r="H56" s="1331"/>
      <c r="I56" s="1331"/>
      <c r="J56" s="1331"/>
      <c r="K56" s="1331"/>
      <c r="L56" s="1331"/>
      <c r="M56" s="1331"/>
      <c r="N56" s="1331"/>
      <c r="O56" s="1331"/>
      <c r="P56" s="1331"/>
      <c r="Q56" s="1331"/>
      <c r="R56" s="1331"/>
      <c r="S56" s="1331"/>
      <c r="T56" s="468" cm="1" t="str">
        <f t="array" ref="T56:T56">T55</f>
        <v>true</v>
      </c>
      <c r="U56" s="1331"/>
      <c r="V56" s="1331"/>
      <c r="W56" s="1331"/>
      <c r="X56" s="1539"/>
      <c r="Y56" s="1331"/>
      <c r="Z56" s="1559"/>
      <c r="AA56" s="1331"/>
      <c r="AB56" s="216" t="s">
        <v>1217</v>
      </c>
      <c r="AC56" s="769" t="s">
        <v>1218</v>
      </c>
      <c r="AD56" s="937" t="s">
        <v>936</v>
      </c>
      <c r="AE56" s="779"/>
      <c r="AF56" s="779"/>
      <c r="AG56" s="779"/>
      <c r="AH56" s="779"/>
      <c r="AI56" s="779"/>
      <c r="AJ56" s="3132"/>
      <c r="AK56" s="3132"/>
      <c r="AL56" s="3132"/>
      <c r="AM56" s="3132"/>
      <c r="AN56" s="3132"/>
      <c r="AO56" s="3132"/>
      <c r="AP56" s="3132"/>
      <c r="AQ56" s="3132"/>
      <c r="AR56" s="3132"/>
      <c r="AS56" s="779"/>
      <c r="AT56" s="3132"/>
      <c r="AU56" s="3132"/>
      <c r="AV56" s="3132"/>
      <c r="AW56" s="3132"/>
      <c r="AX56" s="3132"/>
      <c r="AY56" s="3132"/>
      <c r="AZ56" s="3132"/>
      <c r="BA56" s="3132"/>
      <c r="BB56" s="3132"/>
      <c r="BC56" s="196"/>
      <c r="BD56" s="1331"/>
      <c r="BE56" s="1331"/>
      <c r="BF56" s="1005" t="s">
        <v>1219</v>
      </c>
    </row>
    <row s="541" customFormat="1" customHeight="1" ht="26.671875">
      <c r="A57" s="1331"/>
      <c r="B57" s="430"/>
      <c r="C57" s="1331"/>
      <c r="D57" s="1331"/>
      <c r="E57" s="623">
        <v>15</v>
      </c>
      <c r="F57" s="94" cm="1" t="str">
        <f t="array" ref="F57:F57">X57</f>
        <v>3</v>
      </c>
      <c r="G57" s="1331"/>
      <c r="H57" s="1331"/>
      <c r="I57" s="1331"/>
      <c r="J57" s="1331"/>
      <c r="K57" s="1331"/>
      <c r="L57" s="1331"/>
      <c r="M57" s="1331"/>
      <c r="N57" s="1331"/>
      <c r="O57" s="1331"/>
      <c r="P57" s="1331"/>
      <c r="Q57" s="1331"/>
      <c r="R57" s="1331"/>
      <c r="S57" s="1331"/>
      <c r="T57" s="468">
        <f>X57&gt;0</f>
        <v>1</v>
      </c>
      <c r="U57" s="1331"/>
      <c r="V57" s="118" cm="1" t="str">
        <f t="array" ref="V57:V57">'Амортизация (аналог)'!$AB$48</f>
        <v>Тариф 3 (Водоотведение) - тариф на водоотведение (Оказание услуг на территории: город Полысаево (ОКТМО: 32732000) - г Полысаево)</v>
      </c>
      <c r="W57" s="1331"/>
      <c r="X57" s="1539" t="s">
        <v>234</v>
      </c>
      <c r="Y57" s="1331"/>
      <c r="Z57" s="1559"/>
      <c r="AA57" s="1331"/>
      <c r="AB57" s="218" cm="1" t="str">
        <f t="array" ref="AB57:AB57">'Амортизация (аналог)'!$AB$48</f>
        <v>Тариф 3 (Водоотведение) - тариф на водоотведение (Оказание услуг на территории: город Полысаево (ОКТМО: 32732000) - г Полысаево)</v>
      </c>
      <c r="AC57" s="176"/>
      <c r="AD57" s="170"/>
      <c r="AE57" s="170"/>
      <c r="AF57" s="170"/>
      <c r="AG57" s="170"/>
      <c r="AH57" s="170"/>
      <c r="AI57" s="170"/>
      <c r="AJ57" s="170"/>
      <c r="AK57" s="170"/>
      <c r="AL57" s="170"/>
      <c r="AM57" s="170"/>
      <c r="AN57" s="170"/>
      <c r="AO57" s="170"/>
      <c r="AP57" s="170"/>
      <c r="AQ57" s="170"/>
      <c r="AR57" s="170"/>
      <c r="AS57" s="170"/>
      <c r="AT57" s="170"/>
      <c r="AU57" s="170"/>
      <c r="AV57" s="170"/>
      <c r="AW57" s="170"/>
      <c r="AX57" s="170"/>
      <c r="AY57" s="170"/>
      <c r="AZ57" s="170"/>
      <c r="BA57" s="170"/>
      <c r="BB57" s="170"/>
      <c r="BC57" s="206"/>
      <c r="BD57" s="1331"/>
      <c r="BE57" s="1331"/>
      <c r="BF57" s="1005"/>
    </row>
    <row s="541" customFormat="1" customHeight="1" ht="71.6625">
      <c r="A58" s="1331"/>
      <c r="B58" s="430"/>
      <c r="C58" s="1331"/>
      <c r="D58" s="1331"/>
      <c r="E58" s="623">
        <v>73.5</v>
      </c>
      <c r="F58" s="50" cm="1" t="str">
        <f t="array" ref="F58:F58">OFFSET(E58,-1,1)</f>
        <v>3</v>
      </c>
      <c r="G58" s="497" t="s">
        <v>1192</v>
      </c>
      <c r="H58" s="118" t="s">
        <v>344</v>
      </c>
      <c r="I58" s="1331"/>
      <c r="J58" s="1331"/>
      <c r="K58" s="120" t="str">
        <f>F58&amp;"komm"</f>
        <v>3komm</v>
      </c>
      <c r="L58" s="926" cm="1" t="str">
        <f t="array" ref="L58:L58">BC58</f>
        <v>П. 29 "Методических указаний…" ФСТ России (приказ от 27.12.2013 № 1746-э).</v>
      </c>
      <c r="M58" s="1331"/>
      <c r="N58" s="1331"/>
      <c r="O58" s="1331"/>
      <c r="P58" s="1331"/>
      <c r="Q58" s="1331"/>
      <c r="R58" s="1331"/>
      <c r="S58" s="1331"/>
      <c r="T58" s="468" cm="1" t="str">
        <f t="array" ref="T58:T58">T57</f>
        <v>true</v>
      </c>
      <c r="U58" s="1331"/>
      <c r="V58" s="1331"/>
      <c r="W58" s="1331"/>
      <c r="X58" s="1539"/>
      <c r="Y58" s="1331"/>
      <c r="Z58" s="1559"/>
      <c r="AA58" s="1331"/>
      <c r="AB58" s="214" t="s">
        <v>290</v>
      </c>
      <c r="AC58" s="215" t="s">
        <v>1193</v>
      </c>
      <c r="AD58" s="201" t="s">
        <v>936</v>
      </c>
      <c r="AE58" s="780">
        <f>AE59+AE62+AE63+AE64</f>
        <v>733.32</v>
      </c>
      <c r="AF58" s="780">
        <f>AF59+AF62+AF63+AF64</f>
        <v>581.95</v>
      </c>
      <c r="AG58" s="780">
        <f>AG59+AG62+AG63+AG64</f>
        <v>581.95</v>
      </c>
      <c r="AH58" s="780">
        <f>AH59+AH62+AH63+AH64</f>
        <v>581.95</v>
      </c>
      <c r="AI58" s="780">
        <f>AI59+AI62+AI63+AI64</f>
        <v>581.95</v>
      </c>
      <c r="AJ58" s="780">
        <f>AJ59+AJ62+AJ63+AJ64</f>
        <v>0</v>
      </c>
      <c r="AK58" s="780">
        <f>AK59+AK62+AK63+AK64</f>
        <v>0</v>
      </c>
      <c r="AL58" s="780">
        <f>AL59+AL62+AL63+AL64</f>
        <v>0</v>
      </c>
      <c r="AM58" s="780">
        <f>AM59+AM62+AM63+AM64</f>
        <v>0</v>
      </c>
      <c r="AN58" s="780">
        <f>AN59+AN62+AN63+AN64</f>
        <v>0</v>
      </c>
      <c r="AO58" s="780">
        <f>AO59+AO62+AO63+AO64</f>
        <v>0</v>
      </c>
      <c r="AP58" s="780">
        <f>AP59+AP62+AP63+AP64</f>
        <v>0</v>
      </c>
      <c r="AQ58" s="780">
        <f>AQ59+AQ62+AQ63+AQ64</f>
        <v>0</v>
      </c>
      <c r="AR58" s="780">
        <f>AR59+AR62+AR63+AR64</f>
        <v>0</v>
      </c>
      <c r="AS58" s="780">
        <f>AS59+AS62+AS63+AS64</f>
        <v>581.95</v>
      </c>
      <c r="AT58" s="780">
        <f>AT59+AT62+AT63+AT64</f>
        <v>0</v>
      </c>
      <c r="AU58" s="780">
        <f>AU59+AU62+AU63+AU64</f>
        <v>0</v>
      </c>
      <c r="AV58" s="780">
        <f>AV59+AV62+AV63+AV64</f>
        <v>0</v>
      </c>
      <c r="AW58" s="780">
        <f>AW59+AW62+AW63+AW64</f>
        <v>0</v>
      </c>
      <c r="AX58" s="780">
        <f>AX59+AX62+AX63+AX64</f>
        <v>0</v>
      </c>
      <c r="AY58" s="780">
        <f>AY59+AY62+AY63+AY64</f>
        <v>0</v>
      </c>
      <c r="AZ58" s="780">
        <f>AZ59+AZ62+AZ63+AZ64</f>
        <v>0</v>
      </c>
      <c r="BA58" s="780">
        <f>BA59+BA62+BA63+BA64</f>
        <v>0</v>
      </c>
      <c r="BB58" s="780">
        <f>BB59+BB62+BB63+BB64</f>
        <v>0</v>
      </c>
      <c r="BC58" s="196" t="s">
        <v>1220</v>
      </c>
      <c r="BD58" s="1331"/>
      <c r="BE58" s="1331"/>
      <c r="BF58" s="1048" t="s">
        <v>1194</v>
      </c>
    </row>
    <row s="541" customFormat="1" customHeight="1" ht="14.25">
      <c r="A59" s="1331"/>
      <c r="B59" s="430"/>
      <c r="C59" s="1331"/>
      <c r="D59" s="118" t="s">
        <v>1195</v>
      </c>
      <c r="E59" s="623">
        <v>15</v>
      </c>
      <c r="F59" s="50" cm="1" t="str">
        <f t="array" ref="F59:F59">OFFSET(E59,-1,1)</f>
        <v>3</v>
      </c>
      <c r="G59" s="1331"/>
      <c r="H59" s="118" t="s">
        <v>566</v>
      </c>
      <c r="I59" s="1331"/>
      <c r="J59" s="1331"/>
      <c r="K59" s="1331"/>
      <c r="L59" s="1331"/>
      <c r="M59" s="1331"/>
      <c r="N59" s="1331"/>
      <c r="O59" s="1331"/>
      <c r="P59" s="1331"/>
      <c r="Q59" s="1331"/>
      <c r="R59" s="1331"/>
      <c r="S59" s="1331"/>
      <c r="T59" s="468" cm="1" t="str">
        <f t="array" ref="T59:T59">T58</f>
        <v>true</v>
      </c>
      <c r="U59" s="1331"/>
      <c r="V59" s="1331"/>
      <c r="W59" s="1331"/>
      <c r="X59" s="1539"/>
      <c r="Y59" s="1331"/>
      <c r="Z59" s="1559"/>
      <c r="AA59" s="1331"/>
      <c r="AB59" s="216" t="s">
        <v>1067</v>
      </c>
      <c r="AC59" s="769" t="s">
        <v>1195</v>
      </c>
      <c r="AD59" s="937" t="s">
        <v>936</v>
      </c>
      <c r="AE59" s="779">
        <f>SUM(AE60:AE61)</f>
        <v>0</v>
      </c>
      <c r="AF59" s="779">
        <f>SUM(AF60:AF61)</f>
        <v>0</v>
      </c>
      <c r="AG59" s="779">
        <f>SUM(AG60:AG61)</f>
        <v>0</v>
      </c>
      <c r="AH59" s="779">
        <f>SUM(AH60:AH61)</f>
        <v>0</v>
      </c>
      <c r="AI59" s="779">
        <f>SUM(AI60:AI61)</f>
        <v>0</v>
      </c>
      <c r="AJ59" s="3132">
        <f>SUM(AJ60:AJ61)</f>
        <v>0</v>
      </c>
      <c r="AK59" s="3132">
        <f>SUM(AK60:AK61)</f>
        <v>0</v>
      </c>
      <c r="AL59" s="3132">
        <f>SUM(AL60:AL61)</f>
        <v>0</v>
      </c>
      <c r="AM59" s="3132">
        <f>SUM(AM60:AM61)</f>
        <v>0</v>
      </c>
      <c r="AN59" s="3132">
        <f>SUM(AN60:AN61)</f>
        <v>0</v>
      </c>
      <c r="AO59" s="3132">
        <f>SUM(AO60:AO61)</f>
        <v>0</v>
      </c>
      <c r="AP59" s="3132">
        <f>SUM(AP60:AP61)</f>
        <v>0</v>
      </c>
      <c r="AQ59" s="3132">
        <f>SUM(AQ60:AQ61)</f>
        <v>0</v>
      </c>
      <c r="AR59" s="3132">
        <f>SUM(AR60:AR61)</f>
        <v>0</v>
      </c>
      <c r="AS59" s="779">
        <f>SUM(AS60:AS61)</f>
        <v>0</v>
      </c>
      <c r="AT59" s="3132">
        <f>SUM(AT60:AT61)</f>
        <v>0</v>
      </c>
      <c r="AU59" s="3132">
        <f>SUM(AU60:AU61)</f>
        <v>0</v>
      </c>
      <c r="AV59" s="3132">
        <f>SUM(AV60:AV61)</f>
        <v>0</v>
      </c>
      <c r="AW59" s="3132">
        <f>SUM(AW60:AW61)</f>
        <v>0</v>
      </c>
      <c r="AX59" s="3132">
        <f>SUM(AX60:AX61)</f>
        <v>0</v>
      </c>
      <c r="AY59" s="3132">
        <f>SUM(AY60:AY61)</f>
        <v>0</v>
      </c>
      <c r="AZ59" s="3132">
        <f>SUM(AZ60:AZ61)</f>
        <v>0</v>
      </c>
      <c r="BA59" s="3132">
        <f>SUM(BA60:BA61)</f>
        <v>0</v>
      </c>
      <c r="BB59" s="3132">
        <f>SUM(BB60:BB61)</f>
        <v>0</v>
      </c>
      <c r="BC59" s="196"/>
      <c r="BD59" s="1331"/>
      <c r="BE59" s="1331"/>
      <c r="BF59" s="1048" t="s">
        <v>1196</v>
      </c>
    </row>
    <row s="541" customFormat="1" customHeight="1" ht="23.25">
      <c r="A60" s="1331"/>
      <c r="B60" s="430"/>
      <c r="C60" s="1331"/>
      <c r="D60" s="1331"/>
      <c r="E60" s="623">
        <v>24</v>
      </c>
      <c r="F60" s="50" cm="1" t="str">
        <f t="array" ref="F60:F60">OFFSET(E60,-1,1)</f>
        <v>3</v>
      </c>
      <c r="G60" s="1331"/>
      <c r="H60" s="118" t="s">
        <v>1197</v>
      </c>
      <c r="I60" s="1331"/>
      <c r="J60" s="1331"/>
      <c r="K60" s="1331"/>
      <c r="L60" s="1331"/>
      <c r="M60" s="1331"/>
      <c r="N60" s="1331"/>
      <c r="O60" s="1331"/>
      <c r="P60" s="1331"/>
      <c r="Q60" s="1331"/>
      <c r="R60" s="1331"/>
      <c r="S60" s="1331"/>
      <c r="T60" s="468" cm="1" t="str">
        <f t="array" ref="T60:T60">T59</f>
        <v>true</v>
      </c>
      <c r="U60" s="1331"/>
      <c r="V60" s="1331"/>
      <c r="W60" s="1331"/>
      <c r="X60" s="1539"/>
      <c r="Y60" s="1331"/>
      <c r="Z60" s="1559"/>
      <c r="AA60" s="1331"/>
      <c r="AB60" s="216" t="s">
        <v>1198</v>
      </c>
      <c r="AC60" s="772" t="s">
        <v>1199</v>
      </c>
      <c r="AD60" s="937" t="s">
        <v>936</v>
      </c>
      <c r="AE60" s="779"/>
      <c r="AF60" s="779"/>
      <c r="AG60" s="779"/>
      <c r="AH60" s="779"/>
      <c r="AI60" s="779"/>
      <c r="AJ60" s="3132"/>
      <c r="AK60" s="3132"/>
      <c r="AL60" s="3132"/>
      <c r="AM60" s="3132"/>
      <c r="AN60" s="3132"/>
      <c r="AO60" s="3132"/>
      <c r="AP60" s="3132"/>
      <c r="AQ60" s="3132"/>
      <c r="AR60" s="3132"/>
      <c r="AS60" s="779"/>
      <c r="AT60" s="3132"/>
      <c r="AU60" s="3132"/>
      <c r="AV60" s="3132"/>
      <c r="AW60" s="3132"/>
      <c r="AX60" s="3132"/>
      <c r="AY60" s="3132"/>
      <c r="AZ60" s="3132"/>
      <c r="BA60" s="3132"/>
      <c r="BB60" s="3132"/>
      <c r="BC60" s="196"/>
      <c r="BD60" s="1331"/>
      <c r="BE60" s="1331"/>
      <c r="BF60" s="1005" t="s">
        <v>1200</v>
      </c>
    </row>
    <row s="541" customFormat="1" customHeight="1" ht="14.25">
      <c r="A61" s="1331"/>
      <c r="B61" s="430"/>
      <c r="C61" s="1331"/>
      <c r="D61" s="1331"/>
      <c r="E61" s="623">
        <v>15</v>
      </c>
      <c r="F61" s="50" cm="1" t="str">
        <f t="array" ref="F61:F61">OFFSET(E61,-1,1)</f>
        <v>3</v>
      </c>
      <c r="G61" s="1331"/>
      <c r="H61" s="118" t="s">
        <v>1201</v>
      </c>
      <c r="I61" s="1331"/>
      <c r="J61" s="1331"/>
      <c r="K61" s="1331"/>
      <c r="L61" s="1331"/>
      <c r="M61" s="1331"/>
      <c r="N61" s="1331"/>
      <c r="O61" s="1331"/>
      <c r="P61" s="1331"/>
      <c r="Q61" s="1331"/>
      <c r="R61" s="1331"/>
      <c r="S61" s="1331"/>
      <c r="T61" s="468" cm="1" t="str">
        <f t="array" ref="T61:T61">T60</f>
        <v>true</v>
      </c>
      <c r="U61" s="1331"/>
      <c r="V61" s="1331"/>
      <c r="W61" s="1331"/>
      <c r="X61" s="1539"/>
      <c r="Y61" s="1331"/>
      <c r="Z61" s="1559"/>
      <c r="AA61" s="1331"/>
      <c r="AB61" s="216" t="s">
        <v>1202</v>
      </c>
      <c r="AC61" s="772" t="s">
        <v>1203</v>
      </c>
      <c r="AD61" s="937" t="s">
        <v>936</v>
      </c>
      <c r="AE61" s="779"/>
      <c r="AF61" s="779"/>
      <c r="AG61" s="779"/>
      <c r="AH61" s="779"/>
      <c r="AI61" s="779"/>
      <c r="AJ61" s="3132"/>
      <c r="AK61" s="3132"/>
      <c r="AL61" s="3132"/>
      <c r="AM61" s="3132"/>
      <c r="AN61" s="3132"/>
      <c r="AO61" s="3132"/>
      <c r="AP61" s="3132"/>
      <c r="AQ61" s="3132"/>
      <c r="AR61" s="3132"/>
      <c r="AS61" s="779"/>
      <c r="AT61" s="3132"/>
      <c r="AU61" s="3132"/>
      <c r="AV61" s="3132"/>
      <c r="AW61" s="3132"/>
      <c r="AX61" s="3132"/>
      <c r="AY61" s="3132"/>
      <c r="AZ61" s="3132"/>
      <c r="BA61" s="3132"/>
      <c r="BB61" s="3132"/>
      <c r="BC61" s="196"/>
      <c r="BD61" s="1331"/>
      <c r="BE61" s="1331"/>
      <c r="BF61" s="1005" t="s">
        <v>1204</v>
      </c>
    </row>
    <row s="541" customFormat="1" customHeight="1" ht="14.25">
      <c r="A62" s="1331"/>
      <c r="B62" s="430"/>
      <c r="C62" s="1331"/>
      <c r="D62" s="118" t="s">
        <v>1205</v>
      </c>
      <c r="E62" s="623">
        <v>15</v>
      </c>
      <c r="F62" s="50" cm="1" t="str">
        <f t="array" ref="F62:F62">OFFSET(E62,-1,1)</f>
        <v>3</v>
      </c>
      <c r="G62" s="1331"/>
      <c r="H62" s="118" t="s">
        <v>570</v>
      </c>
      <c r="I62" s="1331"/>
      <c r="J62" s="1331"/>
      <c r="K62" s="1331"/>
      <c r="L62" s="1331"/>
      <c r="M62" s="1331"/>
      <c r="N62" s="1331"/>
      <c r="O62" s="1331"/>
      <c r="P62" s="1331"/>
      <c r="Q62" s="1331"/>
      <c r="R62" s="1331"/>
      <c r="S62" s="1331"/>
      <c r="T62" s="468" cm="1" t="str">
        <f t="array" ref="T62:T62">T61</f>
        <v>true</v>
      </c>
      <c r="U62" s="1331"/>
      <c r="V62" s="1331"/>
      <c r="W62" s="1331"/>
      <c r="X62" s="1539"/>
      <c r="Y62" s="1331"/>
      <c r="Z62" s="1559"/>
      <c r="AA62" s="1331"/>
      <c r="AB62" s="216" t="s">
        <v>1070</v>
      </c>
      <c r="AC62" s="938" t="s">
        <v>1206</v>
      </c>
      <c r="AD62" s="937" t="s">
        <v>936</v>
      </c>
      <c r="AE62" s="779"/>
      <c r="AF62" s="779"/>
      <c r="AG62" s="779"/>
      <c r="AH62" s="779"/>
      <c r="AI62" s="779"/>
      <c r="AJ62" s="3132"/>
      <c r="AK62" s="3132"/>
      <c r="AL62" s="3132"/>
      <c r="AM62" s="3132"/>
      <c r="AN62" s="3132"/>
      <c r="AO62" s="3132"/>
      <c r="AP62" s="3132"/>
      <c r="AQ62" s="3132"/>
      <c r="AR62" s="3132"/>
      <c r="AS62" s="779"/>
      <c r="AT62" s="3132"/>
      <c r="AU62" s="3132"/>
      <c r="AV62" s="3132"/>
      <c r="AW62" s="3132"/>
      <c r="AX62" s="3132"/>
      <c r="AY62" s="3132"/>
      <c r="AZ62" s="3132"/>
      <c r="BA62" s="3132"/>
      <c r="BB62" s="3132"/>
      <c r="BC62" s="196"/>
      <c r="BD62" s="1331"/>
      <c r="BE62" s="1331"/>
      <c r="BF62" s="1005" t="s">
        <v>1207</v>
      </c>
    </row>
    <row s="541" customFormat="1" customHeight="1" ht="14.25">
      <c r="A63" s="1331"/>
      <c r="B63" s="430"/>
      <c r="C63" s="1331"/>
      <c r="D63" s="118" t="s">
        <v>1208</v>
      </c>
      <c r="E63" s="623">
        <v>15</v>
      </c>
      <c r="F63" s="50" cm="1" t="str">
        <f t="array" ref="F63:F63">OFFSET(E63,-1,1)</f>
        <v>3</v>
      </c>
      <c r="G63" s="1331"/>
      <c r="H63" s="118" t="s">
        <v>573</v>
      </c>
      <c r="I63" s="1331"/>
      <c r="J63" s="1331"/>
      <c r="K63" s="1331"/>
      <c r="L63" s="1331"/>
      <c r="M63" s="1331"/>
      <c r="N63" s="1331"/>
      <c r="O63" s="1331"/>
      <c r="P63" s="1331"/>
      <c r="Q63" s="1331"/>
      <c r="R63" s="1331"/>
      <c r="S63" s="1331"/>
      <c r="T63" s="468" cm="1" t="str">
        <f t="array" ref="T63:T63">T62</f>
        <v>true</v>
      </c>
      <c r="U63" s="1331"/>
      <c r="V63" s="1331"/>
      <c r="W63" s="1331"/>
      <c r="X63" s="1539"/>
      <c r="Y63" s="1331"/>
      <c r="Z63" s="1559"/>
      <c r="AA63" s="1331"/>
      <c r="AB63" s="216" t="s">
        <v>1073</v>
      </c>
      <c r="AC63" s="769" t="s">
        <v>1209</v>
      </c>
      <c r="AD63" s="937" t="s">
        <v>936</v>
      </c>
      <c r="AE63" s="779"/>
      <c r="AF63" s="779"/>
      <c r="AG63" s="779"/>
      <c r="AH63" s="779"/>
      <c r="AI63" s="779"/>
      <c r="AJ63" s="3132"/>
      <c r="AK63" s="3132"/>
      <c r="AL63" s="3132"/>
      <c r="AM63" s="3132"/>
      <c r="AN63" s="3132"/>
      <c r="AO63" s="3132"/>
      <c r="AP63" s="3132"/>
      <c r="AQ63" s="3132"/>
      <c r="AR63" s="3132"/>
      <c r="AS63" s="779"/>
      <c r="AT63" s="3132"/>
      <c r="AU63" s="3132"/>
      <c r="AV63" s="3132"/>
      <c r="AW63" s="3132"/>
      <c r="AX63" s="3132"/>
      <c r="AY63" s="3132"/>
      <c r="AZ63" s="3132"/>
      <c r="BA63" s="3132"/>
      <c r="BB63" s="3132"/>
      <c r="BC63" s="196"/>
      <c r="BD63" s="1331"/>
      <c r="BE63" s="1331"/>
      <c r="BF63" s="1005" t="s">
        <v>1210</v>
      </c>
    </row>
    <row s="541" customFormat="1" customHeight="1" ht="61.921875">
      <c r="A64" s="1331"/>
      <c r="B64" s="430"/>
      <c r="C64" s="1331"/>
      <c r="D64" s="118" t="s">
        <v>1211</v>
      </c>
      <c r="E64" s="623">
        <v>15</v>
      </c>
      <c r="F64" s="50" cm="1" t="str">
        <f t="array" ref="F64:F64">OFFSET(E64,-1,1)</f>
        <v>3</v>
      </c>
      <c r="G64" s="1331"/>
      <c r="H64" s="118" t="s">
        <v>577</v>
      </c>
      <c r="I64" s="1331"/>
      <c r="J64" s="1331"/>
      <c r="K64" s="1331"/>
      <c r="L64" s="1331"/>
      <c r="M64" s="1331"/>
      <c r="N64" s="1331"/>
      <c r="O64" s="1331"/>
      <c r="P64" s="1331"/>
      <c r="Q64" s="1331"/>
      <c r="R64" s="1331"/>
      <c r="S64" s="1331"/>
      <c r="T64" s="468" cm="1" t="str">
        <f t="array" ref="T64:T64">T63</f>
        <v>true</v>
      </c>
      <c r="U64" s="1331"/>
      <c r="V64" s="1331"/>
      <c r="W64" s="1331"/>
      <c r="X64" s="1539"/>
      <c r="Y64" s="1331"/>
      <c r="Z64" s="1559"/>
      <c r="AA64" s="1331"/>
      <c r="AB64" s="216" t="s">
        <v>1076</v>
      </c>
      <c r="AC64" s="769" t="s">
        <v>1212</v>
      </c>
      <c r="AD64" s="937" t="s">
        <v>936</v>
      </c>
      <c r="AE64" s="779">
        <v>733.32</v>
      </c>
      <c r="AF64" s="779">
        <f>SUM(AF65:AF66)</f>
        <v>581.95</v>
      </c>
      <c r="AG64" s="779">
        <f>SUM(AG65:AG66)</f>
        <v>581.95</v>
      </c>
      <c r="AH64" s="779">
        <v>581.95</v>
      </c>
      <c r="AI64" s="779">
        <f>SUM(AI65:AI66)</f>
        <v>581.95</v>
      </c>
      <c r="AJ64" s="3132">
        <f>SUM(AJ65:AJ66)</f>
        <v>0</v>
      </c>
      <c r="AK64" s="3132">
        <f>SUM(AK65:AK66)</f>
        <v>0</v>
      </c>
      <c r="AL64" s="3132">
        <f>SUM(AL65:AL66)</f>
        <v>0</v>
      </c>
      <c r="AM64" s="3132">
        <f>SUM(AM65:AM66)</f>
        <v>0</v>
      </c>
      <c r="AN64" s="3132">
        <f>SUM(AN65:AN66)</f>
        <v>0</v>
      </c>
      <c r="AO64" s="3132">
        <f>SUM(AO65:AO66)</f>
        <v>0</v>
      </c>
      <c r="AP64" s="3132">
        <f>SUM(AP65:AP66)</f>
        <v>0</v>
      </c>
      <c r="AQ64" s="3132">
        <f>SUM(AQ65:AQ66)</f>
        <v>0</v>
      </c>
      <c r="AR64" s="3132">
        <f>SUM(AR65:AR66)</f>
        <v>0</v>
      </c>
      <c r="AS64" s="779">
        <f>SUM(AS65:AS66)</f>
        <v>581.95</v>
      </c>
      <c r="AT64" s="3132">
        <f>SUM(AT65:AT66)</f>
        <v>0</v>
      </c>
      <c r="AU64" s="3132">
        <f>SUM(AU65:AU66)</f>
        <v>0</v>
      </c>
      <c r="AV64" s="3132">
        <f>SUM(AV65:AV66)</f>
        <v>0</v>
      </c>
      <c r="AW64" s="3132">
        <f>SUM(AW65:AW66)</f>
        <v>0</v>
      </c>
      <c r="AX64" s="3132">
        <f>SUM(AX65:AX66)</f>
        <v>0</v>
      </c>
      <c r="AY64" s="3132">
        <f>SUM(AY65:AY66)</f>
        <v>0</v>
      </c>
      <c r="AZ64" s="3132">
        <f>SUM(AZ65:AZ66)</f>
        <v>0</v>
      </c>
      <c r="BA64" s="3132">
        <f>SUM(BA65:BA66)</f>
        <v>0</v>
      </c>
      <c r="BB64" s="3132">
        <f>SUM(BB65:BB66)</f>
        <v>0</v>
      </c>
      <c r="BC64" s="196" t="s">
        <v>1224</v>
      </c>
      <c r="BD64" s="1331"/>
      <c r="BE64" s="1331"/>
      <c r="BF64" s="1005" t="s">
        <v>1213</v>
      </c>
    </row>
    <row s="541" customFormat="1" customHeight="1" ht="41.671875">
      <c r="A65" s="1331"/>
      <c r="B65" s="430"/>
      <c r="C65" s="1331"/>
      <c r="D65" s="1331"/>
      <c r="E65" s="623">
        <v>36</v>
      </c>
      <c r="F65" s="50" cm="1" t="str">
        <f t="array" ref="F65:F65">OFFSET(E65,-1,1)</f>
        <v>3</v>
      </c>
      <c r="G65" s="1331"/>
      <c r="H65" s="1331"/>
      <c r="I65" s="1331"/>
      <c r="J65" s="1331"/>
      <c r="K65" s="1331"/>
      <c r="L65" s="1331"/>
      <c r="M65" s="1331"/>
      <c r="N65" s="1331"/>
      <c r="O65" s="1331"/>
      <c r="P65" s="1331"/>
      <c r="Q65" s="1331"/>
      <c r="R65" s="1331"/>
      <c r="S65" s="1331"/>
      <c r="T65" s="468" cm="1" t="str">
        <f t="array" ref="T65:T65">T64</f>
        <v>true</v>
      </c>
      <c r="U65" s="1331"/>
      <c r="V65" s="1331"/>
      <c r="W65" s="1331"/>
      <c r="X65" s="1539"/>
      <c r="Y65" s="1331"/>
      <c r="Z65" s="1559"/>
      <c r="AA65" s="1331"/>
      <c r="AB65" s="216" t="s">
        <v>1214</v>
      </c>
      <c r="AC65" s="769" t="s">
        <v>1215</v>
      </c>
      <c r="AD65" s="937" t="s">
        <v>936</v>
      </c>
      <c r="AE65" s="779">
        <v>733.32</v>
      </c>
      <c r="AF65" s="779">
        <v>581.95</v>
      </c>
      <c r="AG65" s="779">
        <v>581.95</v>
      </c>
      <c r="AH65" s="779">
        <v>581.95</v>
      </c>
      <c r="AI65" s="779">
        <v>581.95</v>
      </c>
      <c r="AJ65" s="3132"/>
      <c r="AK65" s="3132"/>
      <c r="AL65" s="3132"/>
      <c r="AM65" s="3132"/>
      <c r="AN65" s="3132"/>
      <c r="AO65" s="3132"/>
      <c r="AP65" s="3132"/>
      <c r="AQ65" s="3132"/>
      <c r="AR65" s="3132"/>
      <c r="AS65" s="779">
        <v>581.95</v>
      </c>
      <c r="AT65" s="3132"/>
      <c r="AU65" s="3132"/>
      <c r="AV65" s="3132"/>
      <c r="AW65" s="3132"/>
      <c r="AX65" s="3132"/>
      <c r="AY65" s="3132"/>
      <c r="AZ65" s="3132"/>
      <c r="BA65" s="3132"/>
      <c r="BB65" s="3132"/>
      <c r="BC65" s="196" t="s">
        <v>1223</v>
      </c>
      <c r="BD65" s="1331"/>
      <c r="BE65" s="1331"/>
      <c r="BF65" s="1005" t="s">
        <v>1216</v>
      </c>
    </row>
    <row s="541" customFormat="1" customHeight="1" ht="34.5">
      <c r="A66" s="1331"/>
      <c r="B66" s="430"/>
      <c r="C66" s="1331"/>
      <c r="D66" s="1331"/>
      <c r="E66" s="623">
        <v>36</v>
      </c>
      <c r="F66" s="50" cm="1" t="str">
        <f t="array" ref="F66:F66">OFFSET(E66,-1,1)</f>
        <v>3</v>
      </c>
      <c r="G66" s="1331"/>
      <c r="H66" s="1331"/>
      <c r="I66" s="1331"/>
      <c r="J66" s="1331"/>
      <c r="K66" s="1331"/>
      <c r="L66" s="1331"/>
      <c r="M66" s="1331"/>
      <c r="N66" s="1331"/>
      <c r="O66" s="1331"/>
      <c r="P66" s="1331"/>
      <c r="Q66" s="1331"/>
      <c r="R66" s="1331"/>
      <c r="S66" s="1331"/>
      <c r="T66" s="468" cm="1" t="str">
        <f t="array" ref="T66:T66">T65</f>
        <v>true</v>
      </c>
      <c r="U66" s="1331"/>
      <c r="V66" s="1331"/>
      <c r="W66" s="1331"/>
      <c r="X66" s="1539"/>
      <c r="Y66" s="1331"/>
      <c r="Z66" s="1559"/>
      <c r="AA66" s="1331"/>
      <c r="AB66" s="216" t="s">
        <v>1217</v>
      </c>
      <c r="AC66" s="769" t="s">
        <v>1218</v>
      </c>
      <c r="AD66" s="937" t="s">
        <v>936</v>
      </c>
      <c r="AE66" s="779"/>
      <c r="AF66" s="779"/>
      <c r="AG66" s="779"/>
      <c r="AH66" s="779"/>
      <c r="AI66" s="779"/>
      <c r="AJ66" s="3132"/>
      <c r="AK66" s="3132"/>
      <c r="AL66" s="3132"/>
      <c r="AM66" s="3132"/>
      <c r="AN66" s="3132"/>
      <c r="AO66" s="3132"/>
      <c r="AP66" s="3132"/>
      <c r="AQ66" s="3132"/>
      <c r="AR66" s="3132"/>
      <c r="AS66" s="779"/>
      <c r="AT66" s="3132"/>
      <c r="AU66" s="3132"/>
      <c r="AV66" s="3132"/>
      <c r="AW66" s="3132"/>
      <c r="AX66" s="3132"/>
      <c r="AY66" s="3132"/>
      <c r="AZ66" s="3132"/>
      <c r="BA66" s="3132"/>
      <c r="BB66" s="3132"/>
      <c r="BC66" s="196"/>
      <c r="BD66" s="1331"/>
      <c r="BE66" s="1331"/>
      <c r="BF66" s="1005" t="s">
        <v>1219</v>
      </c>
    </row>
    <row customHeight="1" ht="10.96875">
      <c r="E67" s="682">
        <v>11.25</v>
      </c>
      <c r="U67" s="145" t="s">
        <v>177</v>
      </c>
      <c r="V67" s="136" t="s">
        <v>1225</v>
      </c>
      <c r="AI67" s="1331"/>
      <c r="AJ67" s="1331"/>
      <c r="AK67" s="1331"/>
      <c r="AL67" s="1331"/>
      <c r="AM67" s="1331"/>
      <c r="AN67" s="1331"/>
      <c r="AO67" s="1331"/>
      <c r="AP67" s="1331"/>
      <c r="AQ67" s="1331"/>
      <c r="AR67" s="1331"/>
      <c r="AS67" s="1331"/>
      <c r="AT67" s="1331"/>
      <c r="AU67" s="1331"/>
      <c r="AV67" s="1331"/>
      <c r="AW67" s="1331"/>
      <c r="AX67" s="1331"/>
      <c r="AY67" s="1331"/>
      <c r="AZ67" s="1331"/>
      <c r="BA67" s="1331"/>
      <c r="BB67" s="1331"/>
    </row>
    <row customHeight="1" ht="14.625">
      <c r="E68" s="682">
        <v>15</v>
      </c>
      <c r="AA68" s="94"/>
      <c r="AB68" s="1553" t="s">
        <v>420</v>
      </c>
      <c r="AC68" s="1553"/>
      <c r="AD68" s="1553"/>
      <c r="AE68" s="1553"/>
      <c r="AF68" s="1553"/>
      <c r="AG68" s="1553"/>
      <c r="AH68" s="1553"/>
      <c r="AI68" s="1561"/>
      <c r="AJ68" s="1561"/>
      <c r="AK68" s="1561"/>
      <c r="AL68" s="1561"/>
      <c r="AM68" s="1561"/>
      <c r="AN68" s="1561"/>
      <c r="AO68" s="1561"/>
      <c r="AP68" s="1561"/>
      <c r="AQ68" s="1561"/>
      <c r="AR68" s="1561"/>
      <c r="AS68" s="1561"/>
      <c r="AT68" s="1561"/>
      <c r="AU68" s="1561"/>
      <c r="AV68" s="1561"/>
      <c r="AW68" s="1561"/>
      <c r="AX68" s="1561"/>
      <c r="AY68" s="1561"/>
      <c r="AZ68" s="1561"/>
      <c r="BA68" s="1561"/>
      <c r="BB68" s="1561"/>
      <c r="BC68" s="1561"/>
      <c r="BD68" s="94"/>
    </row>
    <row customHeight="1" ht="43.171875">
      <c r="E69" s="682">
        <v>15</v>
      </c>
      <c r="AA69" s="169"/>
      <c r="AB69" s="1562" t="s">
        <v>1226</v>
      </c>
      <c r="AC69" s="1562"/>
      <c r="AD69" s="1562"/>
      <c r="AE69" s="1562"/>
      <c r="AF69" s="1562"/>
      <c r="AG69" s="1562"/>
      <c r="AH69" s="1562"/>
      <c r="AI69" s="1563"/>
      <c r="AJ69" s="3116"/>
      <c r="AK69" s="3116"/>
      <c r="AL69" s="3116"/>
      <c r="AM69" s="3116"/>
      <c r="AN69" s="3116"/>
      <c r="AO69" s="3116"/>
      <c r="AP69" s="3116"/>
      <c r="AQ69" s="3116"/>
      <c r="AR69" s="3116"/>
      <c r="AS69" s="1563"/>
      <c r="AT69" s="3116"/>
      <c r="AU69" s="3116"/>
      <c r="AV69" s="3116"/>
      <c r="AW69" s="3116"/>
      <c r="AX69" s="3116"/>
      <c r="AY69" s="3116"/>
      <c r="AZ69" s="3116"/>
      <c r="BA69" s="3116"/>
      <c r="BB69" s="3116"/>
      <c r="BC69" s="1563"/>
      <c r="BD69" s="94"/>
    </row>
    <row customHeight="1" ht="14.625" hidden="1">
      <c r="A70" s="1331"/>
      <c r="B70" s="1223"/>
      <c r="C70" s="1331"/>
      <c r="D70" s="1331"/>
      <c r="E70" s="682">
        <v>15</v>
      </c>
      <c r="F70" s="1331"/>
      <c r="G70" s="1331"/>
      <c r="H70" s="1331"/>
      <c r="I70" s="1331"/>
      <c r="J70" s="1331"/>
      <c r="K70" s="1331"/>
      <c r="L70" s="1331"/>
      <c r="M70" s="1331"/>
      <c r="N70" s="1331"/>
      <c r="O70" s="1331"/>
      <c r="P70" s="1331"/>
      <c r="Q70" s="1331"/>
      <c r="R70" s="1331"/>
      <c r="S70" s="1331"/>
      <c r="T70" s="468">
        <f>ROW(W70)&gt;ROW(W$70)</f>
        <v>0</v>
      </c>
      <c r="U70" s="1331"/>
      <c r="V70" s="1331"/>
      <c r="W70" s="764" t="s">
        <v>173</v>
      </c>
      <c r="X70" s="1331"/>
      <c r="Y70" s="1331"/>
      <c r="Z70" s="1331"/>
      <c r="AA70" s="678" t="s">
        <v>174</v>
      </c>
      <c r="AB70" s="3117" t="s">
        <v>240</v>
      </c>
      <c r="AC70" s="3117"/>
      <c r="AD70" s="3117"/>
      <c r="AE70" s="3117"/>
      <c r="AF70" s="3117"/>
      <c r="AG70" s="3117"/>
      <c r="AH70" s="3117"/>
      <c r="AI70" s="1563"/>
      <c r="AJ70" s="3116"/>
      <c r="AK70" s="3116"/>
      <c r="AL70" s="3116"/>
      <c r="AM70" s="3116"/>
      <c r="AN70" s="3116"/>
      <c r="AO70" s="3116"/>
      <c r="AP70" s="3116"/>
      <c r="AQ70" s="3116"/>
      <c r="AR70" s="3116"/>
      <c r="AS70" s="1563"/>
      <c r="AT70" s="3116"/>
      <c r="AU70" s="3116"/>
      <c r="AV70" s="3116"/>
      <c r="AW70" s="3116"/>
      <c r="AX70" s="3116"/>
      <c r="AY70" s="3116"/>
      <c r="AZ70" s="3116"/>
      <c r="BA70" s="3116"/>
      <c r="BB70" s="3116"/>
      <c r="BC70" s="3116"/>
      <c r="BD70" s="94"/>
      <c r="BE70" s="1331"/>
      <c r="BF70" s="1245"/>
    </row>
    <row s="1656" customFormat="1" customHeight="1" ht="44.671875">
      <c r="A71" s="1331"/>
      <c r="B71" s="1223"/>
      <c r="C71" s="1331"/>
      <c r="D71" s="1331"/>
      <c r="E71" s="682">
        <v>15</v>
      </c>
      <c r="F71" s="1331"/>
      <c r="G71" s="1331"/>
      <c r="H71" s="1331"/>
      <c r="I71" s="1331"/>
      <c r="J71" s="1331"/>
      <c r="K71" s="1331"/>
      <c r="L71" s="1331"/>
      <c r="M71" s="1331"/>
      <c r="N71" s="1331"/>
      <c r="O71" s="1331"/>
      <c r="P71" s="1331"/>
      <c r="Q71" s="1331"/>
      <c r="R71" s="1331"/>
      <c r="S71" s="1331"/>
      <c r="T71" s="468">
        <f>ROW(W71)&gt;ROW(W$70)</f>
        <v>1</v>
      </c>
      <c r="U71" s="1331"/>
      <c r="V71" s="1331"/>
      <c r="W71" s="764"/>
      <c r="X71" s="1331"/>
      <c r="Y71" s="1331" t="s">
        <v>240</v>
      </c>
      <c r="Z71" s="1331"/>
      <c r="AA71" s="678" t="s">
        <v>174</v>
      </c>
      <c r="AB71" s="1562" t="s">
        <v>1227</v>
      </c>
      <c r="AC71" s="1562"/>
      <c r="AD71" s="1562"/>
      <c r="AE71" s="1562"/>
      <c r="AF71" s="1562"/>
      <c r="AG71" s="1562"/>
      <c r="AH71" s="1562"/>
      <c r="AI71" s="1563"/>
      <c r="AJ71" s="3116"/>
      <c r="AK71" s="3116"/>
      <c r="AL71" s="1563"/>
      <c r="AM71" s="1563"/>
      <c r="AN71" s="1563"/>
      <c r="AO71" s="1563"/>
      <c r="AP71" s="1563"/>
      <c r="AQ71" s="1563"/>
      <c r="AR71" s="1563"/>
      <c r="AS71" s="1563"/>
      <c r="AT71" s="3116"/>
      <c r="AU71" s="3116"/>
      <c r="AV71" s="1563"/>
      <c r="AW71" s="1563"/>
      <c r="AX71" s="1563"/>
      <c r="AY71" s="1563"/>
      <c r="AZ71" s="1563"/>
      <c r="BA71" s="1563"/>
      <c r="BB71" s="1563"/>
      <c r="BC71" s="1563"/>
      <c r="BD71" s="94"/>
      <c r="BE71" s="1331"/>
      <c r="BF71" s="1245"/>
    </row>
    <row s="1656" customFormat="1" customHeight="1" ht="50.671875">
      <c r="A72" s="1331"/>
      <c r="B72" s="1223"/>
      <c r="C72" s="1331"/>
      <c r="D72" s="1331"/>
      <c r="E72" s="682">
        <v>15</v>
      </c>
      <c r="F72" s="1331"/>
      <c r="G72" s="1331"/>
      <c r="H72" s="1331"/>
      <c r="I72" s="1331"/>
      <c r="J72" s="1331"/>
      <c r="K72" s="1331"/>
      <c r="L72" s="1331"/>
      <c r="M72" s="1331"/>
      <c r="N72" s="1331"/>
      <c r="O72" s="1331"/>
      <c r="P72" s="1331"/>
      <c r="Q72" s="1331"/>
      <c r="R72" s="1331"/>
      <c r="S72" s="1331"/>
      <c r="T72" s="468">
        <f>ROW(W72)&gt;ROW(W$70)</f>
        <v>1</v>
      </c>
      <c r="U72" s="1331"/>
      <c r="V72" s="1331"/>
      <c r="W72" s="764"/>
      <c r="X72" s="1331"/>
      <c r="Y72" s="1331" t="s">
        <v>240</v>
      </c>
      <c r="Z72" s="1331"/>
      <c r="AA72" s="678" t="s">
        <v>174</v>
      </c>
      <c r="AB72" s="1562" t="s">
        <v>1228</v>
      </c>
      <c r="AC72" s="1562"/>
      <c r="AD72" s="1562"/>
      <c r="AE72" s="1562"/>
      <c r="AF72" s="1562"/>
      <c r="AG72" s="1562"/>
      <c r="AH72" s="1562"/>
      <c r="AI72" s="1563"/>
      <c r="AJ72" s="3116"/>
      <c r="AK72" s="3116"/>
      <c r="AL72" s="1563"/>
      <c r="AM72" s="1563"/>
      <c r="AN72" s="1563"/>
      <c r="AO72" s="1563"/>
      <c r="AP72" s="1563"/>
      <c r="AQ72" s="1563"/>
      <c r="AR72" s="1563"/>
      <c r="AS72" s="1563"/>
      <c r="AT72" s="3116"/>
      <c r="AU72" s="3116"/>
      <c r="AV72" s="1563"/>
      <c r="AW72" s="1563"/>
      <c r="AX72" s="1563"/>
      <c r="AY72" s="1563"/>
      <c r="AZ72" s="1563"/>
      <c r="BA72" s="1563"/>
      <c r="BB72" s="1563"/>
      <c r="BC72" s="1563"/>
      <c r="BD72" s="94"/>
      <c r="BE72" s="1331"/>
      <c r="BF72" s="1245"/>
    </row>
    <row s="1656" customFormat="1" customHeight="1" ht="49.921875">
      <c r="A73" s="1331"/>
      <c r="B73" s="1223"/>
      <c r="C73" s="1331"/>
      <c r="D73" s="1331"/>
      <c r="E73" s="682">
        <v>15</v>
      </c>
      <c r="F73" s="1331"/>
      <c r="G73" s="1331"/>
      <c r="H73" s="1331"/>
      <c r="I73" s="1331"/>
      <c r="J73" s="1331"/>
      <c r="K73" s="1331"/>
      <c r="L73" s="1331"/>
      <c r="M73" s="1331"/>
      <c r="N73" s="1331"/>
      <c r="O73" s="1331"/>
      <c r="P73" s="1331"/>
      <c r="Q73" s="1331"/>
      <c r="R73" s="1331"/>
      <c r="S73" s="1331"/>
      <c r="T73" s="468">
        <f>ROW(W73)&gt;ROW(W$70)</f>
        <v>1</v>
      </c>
      <c r="U73" s="1331"/>
      <c r="V73" s="1331"/>
      <c r="W73" s="764"/>
      <c r="X73" s="1331"/>
      <c r="Y73" s="1331" t="s">
        <v>240</v>
      </c>
      <c r="Z73" s="1331"/>
      <c r="AA73" s="678" t="s">
        <v>174</v>
      </c>
      <c r="AB73" s="1562" t="s">
        <v>1229</v>
      </c>
      <c r="AC73" s="1562"/>
      <c r="AD73" s="1562"/>
      <c r="AE73" s="1562"/>
      <c r="AF73" s="1562"/>
      <c r="AG73" s="1562"/>
      <c r="AH73" s="1562"/>
      <c r="AI73" s="1563"/>
      <c r="AJ73" s="3116"/>
      <c r="AK73" s="3116"/>
      <c r="AL73" s="1563"/>
      <c r="AM73" s="1563"/>
      <c r="AN73" s="1563"/>
      <c r="AO73" s="1563"/>
      <c r="AP73" s="1563"/>
      <c r="AQ73" s="1563"/>
      <c r="AR73" s="1563"/>
      <c r="AS73" s="1563"/>
      <c r="AT73" s="3116"/>
      <c r="AU73" s="3116"/>
      <c r="AV73" s="1563"/>
      <c r="AW73" s="1563"/>
      <c r="AX73" s="1563"/>
      <c r="AY73" s="1563"/>
      <c r="AZ73" s="1563"/>
      <c r="BA73" s="1563"/>
      <c r="BB73" s="1563"/>
      <c r="BC73" s="1563"/>
      <c r="BD73" s="94"/>
      <c r="BE73" s="1331"/>
      <c r="BF73" s="1245"/>
    </row>
    <row s="1656" customFormat="1" customHeight="1" ht="50.671875">
      <c r="A74" s="1331"/>
      <c r="B74" s="1223"/>
      <c r="C74" s="1331"/>
      <c r="D74" s="1331"/>
      <c r="E74" s="682">
        <v>15</v>
      </c>
      <c r="F74" s="1331"/>
      <c r="G74" s="1331"/>
      <c r="H74" s="1331"/>
      <c r="I74" s="1331"/>
      <c r="J74" s="1331"/>
      <c r="K74" s="1331"/>
      <c r="L74" s="1331"/>
      <c r="M74" s="1331"/>
      <c r="N74" s="1331"/>
      <c r="O74" s="1331"/>
      <c r="P74" s="1331"/>
      <c r="Q74" s="1331"/>
      <c r="R74" s="1331"/>
      <c r="S74" s="1331"/>
      <c r="T74" s="468">
        <f>ROW(W74)&gt;ROW(W$70)</f>
        <v>1</v>
      </c>
      <c r="U74" s="1331"/>
      <c r="V74" s="1331"/>
      <c r="W74" s="764"/>
      <c r="X74" s="1331"/>
      <c r="Y74" s="1331" t="s">
        <v>240</v>
      </c>
      <c r="Z74" s="1331"/>
      <c r="AA74" s="678" t="s">
        <v>174</v>
      </c>
      <c r="AB74" s="1562" t="s">
        <v>1230</v>
      </c>
      <c r="AC74" s="1562"/>
      <c r="AD74" s="1562"/>
      <c r="AE74" s="1562"/>
      <c r="AF74" s="1562"/>
      <c r="AG74" s="1562"/>
      <c r="AH74" s="1562"/>
      <c r="AI74" s="1563"/>
      <c r="AJ74" s="3116"/>
      <c r="AK74" s="3116"/>
      <c r="AL74" s="1563"/>
      <c r="AM74" s="1563"/>
      <c r="AN74" s="1563"/>
      <c r="AO74" s="1563"/>
      <c r="AP74" s="1563"/>
      <c r="AQ74" s="1563"/>
      <c r="AR74" s="1563"/>
      <c r="AS74" s="1563"/>
      <c r="AT74" s="3116"/>
      <c r="AU74" s="3116"/>
      <c r="AV74" s="1563"/>
      <c r="AW74" s="1563"/>
      <c r="AX74" s="1563"/>
      <c r="AY74" s="1563"/>
      <c r="AZ74" s="1563"/>
      <c r="BA74" s="1563"/>
      <c r="BB74" s="1563"/>
      <c r="BC74" s="1563"/>
      <c r="BD74" s="94"/>
      <c r="BE74" s="1331"/>
      <c r="BF74" s="1245"/>
    </row>
    <row customHeight="1" ht="14.625">
      <c r="E75" s="682">
        <v>15</v>
      </c>
      <c r="W75" s="764" t="s">
        <v>421</v>
      </c>
      <c r="AA75" s="94"/>
      <c r="AB75" s="653"/>
      <c r="AC75" s="517" t="s">
        <v>422</v>
      </c>
      <c r="AD75" s="306"/>
      <c r="AE75" s="306"/>
      <c r="AF75" s="307"/>
      <c r="AG75" s="307"/>
      <c r="AH75" s="307"/>
      <c r="AI75" s="307"/>
      <c r="AJ75" s="307"/>
      <c r="AK75" s="307"/>
      <c r="AL75" s="307"/>
      <c r="AM75" s="307"/>
      <c r="AN75" s="307"/>
      <c r="AO75" s="307"/>
      <c r="AP75" s="307"/>
      <c r="AQ75" s="307"/>
      <c r="AR75" s="307"/>
      <c r="AS75" s="307"/>
      <c r="AT75" s="307"/>
      <c r="AU75" s="307"/>
      <c r="AV75" s="307"/>
      <c r="AW75" s="307"/>
      <c r="AX75" s="307"/>
      <c r="AY75" s="307"/>
      <c r="AZ75" s="307"/>
      <c r="BA75" s="307"/>
      <c r="BB75" s="307"/>
      <c r="BC75" s="308"/>
      <c r="BD75" s="94"/>
    </row>
    <row customHeight="1" ht="10.96875">
      <c r="E76" s="682">
        <v>11.25</v>
      </c>
      <c r="AI76" s="1331"/>
      <c r="AJ76" s="1331"/>
      <c r="AK76" s="1331"/>
      <c r="AL76" s="1331"/>
      <c r="AM76" s="1331"/>
      <c r="AN76" s="1331"/>
      <c r="AO76" s="1331"/>
      <c r="AP76" s="1331"/>
      <c r="AQ76" s="1331"/>
      <c r="AR76" s="1331"/>
      <c r="AS76" s="1331"/>
      <c r="AT76" s="1331"/>
      <c r="AU76" s="1331"/>
      <c r="AV76" s="1331"/>
      <c r="AW76" s="1331"/>
      <c r="AX76" s="1331"/>
      <c r="AY76" s="1331"/>
      <c r="AZ76" s="1331"/>
      <c r="BA76" s="1331"/>
      <c r="BB76" s="1331"/>
      <c r="BD76" s="428"/>
    </row>
  </sheetData>
  <sheetProtection formatColumns="0" formatRows="0" insertRows="0" deleteColumns="0" deleteRows="0" sort="0" autoFilter="0" insertColumns="1"/>
  <mergeCells count="19">
    <mergeCell ref="X27:X36"/>
    <mergeCell ref="Z27:Z36"/>
    <mergeCell ref="BC24:BC25"/>
    <mergeCell ref="AB24:AB25"/>
    <mergeCell ref="AC24:AC25"/>
    <mergeCell ref="AD24:AD25"/>
    <mergeCell ref="AB70:BC70"/>
    <mergeCell ref="AB68:BC68"/>
    <mergeCell ref="AB69:BC69"/>
    <mergeCell ref="X37:X46"/>
    <mergeCell ref="Z37:Z46"/>
    <mergeCell ref="X47:X56"/>
    <mergeCell ref="Z47:Z56"/>
    <mergeCell ref="X57:X66"/>
    <mergeCell ref="Z57:Z66"/>
    <mergeCell ref="AB71:BC71"/>
    <mergeCell ref="AB72:BC72"/>
    <mergeCell ref="AB73:BC73"/>
    <mergeCell ref="AB74:BC74"/>
  </mergeCells>
  <dataValidations count="1">
    <dataValidation type="decimal" allowBlank="1" showErrorMessage="1" errorTitle="Ошибка" error="Допускается ввод только неотрицательных чисел!" sqref="BB30:BB36 BB40:BB46 BB50:BB56 BB60:BB66 BA30:BA36 BA40:BA46 BA50:BA56 BA60:BA66 AZ30:AZ36 AZ40:AZ46 AZ50:AZ56 AZ60:AZ66 AY30:AY36 AY40:AY46 AY50:AY56 AY60:AY66 AX30:AX36 AX40:AX46 AX50:AX56 AX60:AX66 AW30:AW36 AW40:AW46 AW50:AW56 AW60:AW66 AV30:AV36 AV40:AV46 AV50:AV56 AV60:AV66 AU30:AU36 AU40:AU46 AU50:AU56 AU60:AU66 AT30:AT36 AT40:AT46 AT50:AT56 AT60:AT66 AS30:AS36 AS40:AS46 AS50:AS56 AS60:AS66 AR30:AR36 AR40:AR46 AR50:AR56 AR60:AR66 AQ30:AQ36 AQ40:AQ46 AQ50:AQ56 AQ60:AQ66 AP30:AP36 AP40:AP46 AP50:AP56 AP60:AP66 AO30:AO36 AO40:AO46 AO50:AO56 AO60:AO66 AN30:AN36 AN40:AN46 AN50:AN56 AN60:AN66 AM30:AM36 AM40:AM46 AM50:AM56 AM60:AM66 AL30:AL36 AL40:AL46 AL50:AL56 AL60:AL66 AK30:AK36 AK40:AK46 AK50:AK56 AK60:AK66 AJ30:AJ36 AJ40:AJ46 AJ50:AJ56 AJ60:AJ66 AI30:AI36 AI40:AI46 AI50:AI56 AI60:AI66 AH30:AH36 AH40:AH46 AH50:AH56 AH60:AH66 AG30:AG36 AG40:AG46 AG50:AG56 AG60:AG66 AF30:AF36 AF40:AF46 AF50:AF56 AF60:AF66 AE30:AE36 AE40:AE46 AE50:AE56 AE60:AE66">
      <formula1>0</formula1>
      <formula2>9.99999999999999E+23</formula2>
    </dataValidation>
  </dataValidations>
  <pageMargins left="0.35" right="0.35" top="0.40" bottom="0.40" header="0.31" footer="0.31"/>
  <pageSetup paperSize="8" scale="59" fitToHeight="0" pageOrder="downThenOver" orientation="landscape"/>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836CBAD-8EC5-8538-0F48-52EB900EDDA9}" mc:Ignorable="x14ac xr xr2 xr3">
  <sheetPr>
    <tabColor rgb="FF002060"/>
    <outlinePr summaryRight="0" summaryBelow="0"/>
    <pageSetUpPr fitToPage="1"/>
  </sheetPr>
  <dimension ref="A1:AI60"/>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8.7109375" customHeight="1" defaultRowHeight="11.25"/>
  <cols>
    <col min="1" max="1" style="1240" width="5.421875" hidden="1" customWidth="1"/>
    <col min="2" max="2" style="1240" width="6.7109375" hidden="1" customWidth="1"/>
    <col min="3" max="4" style="1240" width="2.7109375" hidden="1" customWidth="1"/>
    <col min="5" max="5" style="1183" width="3.7109375" hidden="1" customWidth="1"/>
    <col min="6" max="19" style="1240" width="2.7109375" hidden="1" customWidth="1"/>
    <col min="20" max="20" style="1240" width="8.140625" hidden="1" customWidth="1"/>
    <col min="21" max="21" style="1240" width="5.8515625" hidden="1" customWidth="1"/>
    <col min="22" max="23" style="1240" width="6.140625" hidden="1" customWidth="1"/>
    <col min="24" max="25" style="1240" width="5.57421875" hidden="1" customWidth="1"/>
    <col min="26" max="26" style="1240" width="5.28125" hidden="1" customWidth="1"/>
    <col min="27" max="27" style="1240" width="3.00390625" customWidth="1"/>
    <col min="28" max="28" style="1240" width="11.7109375" customWidth="1"/>
    <col min="29" max="29" style="1240" width="41.7109375" customWidth="1"/>
    <col min="30" max="30" style="1560" width="15.7109375" customWidth="1"/>
    <col min="31" max="32" style="1560" width="12.57421875" customWidth="1"/>
    <col min="33" max="33" style="1240" width="8.7109375"/>
    <col min="34" max="34" style="1240" width="8.7109375" hidden="1"/>
    <col min="35" max="35" style="1184" width="8.7109375" hidden="1"/>
  </cols>
  <sheetData>
    <row customHeight="1" ht="11.25" hidden="1">
      <c r="E1" s="491"/>
      <c r="F1" s="491" t="s">
        <v>333</v>
      </c>
      <c r="G1" s="491" t="s">
        <v>343</v>
      </c>
      <c r="T1" s="468" t="s">
        <v>93</v>
      </c>
      <c r="U1" s="468" t="s">
        <v>98</v>
      </c>
      <c r="V1" s="468" t="s">
        <v>94</v>
      </c>
      <c r="W1" s="468" t="s">
        <v>95</v>
      </c>
      <c r="X1" s="468" t="s">
        <v>96</v>
      </c>
      <c r="Y1" s="1440" t="s">
        <v>335</v>
      </c>
      <c r="Z1" s="468" t="s">
        <v>100</v>
      </c>
      <c r="AA1" s="470" t="s">
        <v>97</v>
      </c>
      <c r="AB1" s="1441"/>
      <c r="AC1" s="1442" t="s">
        <v>99</v>
      </c>
      <c r="AE1" s="1560"/>
      <c r="AF1" s="1560"/>
      <c r="AI1" s="1033" t="s">
        <v>336</v>
      </c>
    </row>
    <row customHeight="1" ht="11.25" hidden="1">
      <c r="B2" s="1218" t="s">
        <v>19</v>
      </c>
      <c r="E2" s="491"/>
      <c r="T2" s="1443"/>
      <c r="U2" s="1443"/>
      <c r="V2" s="1443"/>
      <c r="W2" s="1443"/>
      <c r="X2" s="1443"/>
      <c r="Y2" s="523"/>
      <c r="Z2" s="1443"/>
      <c r="AA2" s="523"/>
      <c r="AB2" s="1444"/>
      <c r="AC2" s="1444"/>
      <c r="AE2" s="542">
        <f>AE13&lt;=last_year_vis</f>
        <v>1</v>
      </c>
      <c r="AF2" s="542">
        <f>AF13&lt;=last_year_vis</f>
        <v>1</v>
      </c>
    </row>
    <row customHeight="1" ht="11.25" hidden="1">
      <c r="A3" s="417"/>
      <c r="B3" s="417"/>
      <c r="C3" s="417"/>
      <c r="D3" s="417"/>
      <c r="E3" s="417"/>
      <c r="F3" s="417"/>
      <c r="G3" s="417"/>
      <c r="H3" s="417"/>
      <c r="I3" s="417"/>
      <c r="J3" s="417"/>
      <c r="K3" s="417"/>
      <c r="L3" s="417"/>
      <c r="M3" s="417"/>
      <c r="N3" s="417"/>
      <c r="O3" s="417"/>
      <c r="P3" s="417"/>
      <c r="Q3" s="417"/>
      <c r="R3" s="417"/>
      <c r="S3" s="417"/>
      <c r="T3" s="417"/>
      <c r="U3" s="417"/>
      <c r="V3" s="417"/>
      <c r="W3" s="417"/>
      <c r="X3" s="417"/>
      <c r="Y3" s="417"/>
      <c r="Z3" s="417"/>
      <c r="AA3" s="417"/>
      <c r="AE3" s="1560"/>
      <c r="AF3" s="1560"/>
      <c r="AI3" s="1219"/>
    </row>
    <row customHeight="1" ht="11.25" hidden="1">
      <c r="A4" s="417"/>
      <c r="B4" s="417"/>
      <c r="C4" s="417"/>
      <c r="D4" s="417"/>
      <c r="E4" s="417"/>
      <c r="F4" s="417"/>
      <c r="G4" s="417"/>
      <c r="H4" s="417"/>
      <c r="I4" s="417"/>
      <c r="J4" s="417"/>
      <c r="K4" s="417"/>
      <c r="L4" s="417"/>
      <c r="M4" s="417"/>
      <c r="N4" s="417"/>
      <c r="O4" s="417"/>
      <c r="P4" s="417"/>
      <c r="Q4" s="417"/>
      <c r="R4" s="417"/>
      <c r="S4" s="417"/>
      <c r="T4" s="417"/>
      <c r="U4" s="417"/>
      <c r="V4" s="417"/>
      <c r="W4" s="417"/>
      <c r="X4" s="417"/>
      <c r="Y4" s="417"/>
      <c r="Z4" s="417"/>
      <c r="AA4" s="417"/>
      <c r="AE4" s="1560"/>
      <c r="AF4" s="1560"/>
      <c r="AI4" s="1219"/>
    </row>
    <row s="1243" customFormat="1" customHeight="1" ht="11.25" hidden="1">
      <c r="A5" s="417"/>
      <c r="B5" s="417"/>
      <c r="C5" s="417"/>
      <c r="D5" s="417"/>
      <c r="E5" s="1220" t="s">
        <v>20</v>
      </c>
      <c r="F5" s="662"/>
      <c r="G5" s="662"/>
      <c r="H5" s="662"/>
      <c r="I5" s="662"/>
      <c r="J5" s="662"/>
      <c r="K5" s="662"/>
      <c r="L5" s="662"/>
      <c r="M5" s="662"/>
      <c r="N5" s="662"/>
      <c r="O5" s="662"/>
      <c r="P5" s="662"/>
      <c r="Q5" s="662"/>
      <c r="R5" s="662"/>
      <c r="S5" s="662"/>
      <c r="T5" s="662"/>
      <c r="U5" s="662"/>
      <c r="V5" s="662"/>
      <c r="W5" s="662"/>
      <c r="X5" s="662"/>
      <c r="Y5" s="662"/>
      <c r="Z5" s="662"/>
      <c r="AA5" s="662">
        <v>3</v>
      </c>
      <c r="AB5" s="1221" t="s">
        <v>472</v>
      </c>
      <c r="AC5" s="681">
        <v>41.71</v>
      </c>
      <c r="AD5" s="681">
        <v>15.71</v>
      </c>
      <c r="AE5" s="681">
        <v>12.57</v>
      </c>
      <c r="AF5" s="681">
        <v>12.57</v>
      </c>
      <c r="AG5" s="681" t="s">
        <v>234</v>
      </c>
      <c r="AI5" s="1014"/>
    </row>
    <row customHeight="1" ht="11.25" hidden="1">
      <c r="A6" s="417"/>
      <c r="B6" s="417"/>
      <c r="C6" s="417"/>
      <c r="D6" s="417"/>
      <c r="E6" s="662"/>
      <c r="F6" s="417"/>
      <c r="G6" s="417"/>
      <c r="H6" s="417"/>
      <c r="I6" s="417"/>
      <c r="J6" s="417"/>
      <c r="K6" s="417"/>
      <c r="L6" s="417"/>
      <c r="M6" s="417"/>
      <c r="N6" s="417"/>
      <c r="O6" s="417"/>
      <c r="P6" s="417"/>
      <c r="Q6" s="417"/>
      <c r="R6" s="417"/>
      <c r="S6" s="417"/>
      <c r="T6" s="417"/>
      <c r="U6" s="417"/>
      <c r="V6" s="417"/>
      <c r="W6" s="417"/>
      <c r="X6" s="417"/>
      <c r="Y6" s="417"/>
      <c r="Z6" s="417"/>
      <c r="AA6" s="417"/>
      <c r="AE6" s="1560"/>
      <c r="AF6" s="1560"/>
      <c r="AI6" s="1219"/>
    </row>
    <row customHeight="1" ht="11.25" hidden="1">
      <c r="A7" s="417"/>
      <c r="B7" s="417"/>
      <c r="C7" s="417"/>
      <c r="D7" s="417"/>
      <c r="E7" s="662"/>
      <c r="F7" s="417"/>
      <c r="G7" s="417"/>
      <c r="H7" s="417"/>
      <c r="I7" s="417"/>
      <c r="J7" s="417"/>
      <c r="K7" s="417"/>
      <c r="L7" s="417"/>
      <c r="M7" s="417"/>
      <c r="N7" s="417"/>
      <c r="O7" s="417"/>
      <c r="P7" s="417"/>
      <c r="Q7" s="417"/>
      <c r="R7" s="417"/>
      <c r="S7" s="417"/>
      <c r="T7" s="417"/>
      <c r="U7" s="417"/>
      <c r="V7" s="417"/>
      <c r="W7" s="417"/>
      <c r="X7" s="417"/>
      <c r="Y7" s="417"/>
      <c r="Z7" s="417"/>
      <c r="AA7" s="417"/>
      <c r="AE7" s="1560"/>
      <c r="AF7" s="1560"/>
      <c r="AI7" s="1219"/>
    </row>
    <row customHeight="1" ht="11.25" hidden="1">
      <c r="A8" s="417"/>
      <c r="B8" s="417"/>
      <c r="C8" s="417"/>
      <c r="D8" s="417"/>
      <c r="E8" s="662"/>
      <c r="F8" s="417"/>
      <c r="G8" s="417"/>
      <c r="H8" s="417"/>
      <c r="I8" s="417"/>
      <c r="J8" s="417"/>
      <c r="K8" s="417"/>
      <c r="L8" s="417"/>
      <c r="M8" s="417"/>
      <c r="N8" s="417"/>
      <c r="O8" s="417"/>
      <c r="P8" s="417"/>
      <c r="Q8" s="417"/>
      <c r="R8" s="417"/>
      <c r="S8" s="417"/>
      <c r="T8" s="417"/>
      <c r="U8" s="417"/>
      <c r="V8" s="417"/>
      <c r="W8" s="417"/>
      <c r="X8" s="417"/>
      <c r="Y8" s="417"/>
      <c r="Z8" s="417"/>
      <c r="AA8" s="417"/>
      <c r="AE8" s="1560"/>
      <c r="AF8" s="1560"/>
      <c r="AI8" s="1219"/>
    </row>
    <row s="1219" customFormat="1" customHeight="1" ht="11.25" hidden="1">
      <c r="A9" s="1222" t="s">
        <v>376</v>
      </c>
      <c r="B9" s="1009"/>
      <c r="C9" s="1009"/>
      <c r="D9" s="1009"/>
      <c r="E9" s="1009"/>
      <c r="F9" s="1009"/>
      <c r="G9" s="1009"/>
      <c r="H9" s="1009"/>
      <c r="I9" s="1009"/>
      <c r="J9" s="1009"/>
      <c r="K9" s="1009"/>
      <c r="L9" s="1009"/>
      <c r="M9" s="1009"/>
      <c r="N9" s="1009"/>
      <c r="O9" s="1009"/>
      <c r="P9" s="1009"/>
      <c r="Q9" s="1009"/>
      <c r="R9" s="1009"/>
      <c r="S9" s="1009"/>
      <c r="T9" s="1009"/>
      <c r="U9" s="1009"/>
      <c r="V9" s="1009"/>
      <c r="W9" s="1009"/>
      <c r="X9" s="1009"/>
      <c r="Y9" s="1009"/>
      <c r="Z9" s="1009"/>
      <c r="AA9" s="1009"/>
      <c r="AE9" s="1219"/>
      <c r="AF9" s="1219"/>
    </row>
    <row s="1219" customFormat="1" customHeight="1" ht="11.25" hidden="1">
      <c r="A10" s="1009" t="s">
        <v>377</v>
      </c>
      <c r="B10" s="1009"/>
      <c r="C10" s="1009"/>
      <c r="D10" s="1009"/>
      <c r="E10" s="1009"/>
      <c r="F10" s="1009"/>
      <c r="G10" s="1009"/>
      <c r="H10" s="1009"/>
      <c r="I10" s="1009"/>
      <c r="J10" s="1009"/>
      <c r="K10" s="1009"/>
      <c r="L10" s="1009"/>
      <c r="M10" s="1009"/>
      <c r="N10" s="1009"/>
      <c r="O10" s="1009"/>
      <c r="P10" s="1009"/>
      <c r="Q10" s="1009"/>
      <c r="R10" s="1009"/>
      <c r="S10" s="1009"/>
      <c r="T10" s="1009"/>
      <c r="U10" s="1009"/>
      <c r="V10" s="1009"/>
      <c r="W10" s="1009"/>
      <c r="X10" s="1009"/>
      <c r="Y10" s="1009"/>
      <c r="Z10" s="1009"/>
      <c r="AA10" s="1009"/>
      <c r="AE10" s="1009" cm="1" t="str">
        <f t="array" ref="AE10:AE10">AE13</f>
        <v>2026</v>
      </c>
      <c r="AF10" s="1009" cm="1" t="str">
        <f t="array" ref="AF10:AF10">AF13</f>
        <v>2026</v>
      </c>
    </row>
    <row customHeight="1" ht="11.25" hidden="1">
      <c r="A11" s="417"/>
      <c r="B11" s="417"/>
      <c r="C11" s="417"/>
      <c r="D11" s="417"/>
      <c r="E11" s="662"/>
      <c r="F11" s="417"/>
      <c r="G11" s="417"/>
      <c r="H11" s="417"/>
      <c r="I11" s="417"/>
      <c r="J11" s="417"/>
      <c r="K11" s="417"/>
      <c r="L11" s="417"/>
      <c r="M11" s="417"/>
      <c r="N11" s="417"/>
      <c r="O11" s="417"/>
      <c r="P11" s="417"/>
      <c r="Q11" s="417"/>
      <c r="R11" s="417"/>
      <c r="S11" s="417"/>
      <c r="T11" s="417"/>
      <c r="U11" s="417"/>
      <c r="V11" s="417"/>
      <c r="W11" s="417"/>
      <c r="X11" s="417"/>
      <c r="Y11" s="417"/>
      <c r="Z11" s="417"/>
      <c r="AA11" s="417"/>
      <c r="AE11" s="417" cm="1" t="str">
        <f t="array" ref="AE11:AE11">AE25</f>
        <v>Предложение организации</v>
      </c>
      <c r="AF11" s="417" cm="1" t="str">
        <f t="array" ref="AF11:AF11">AF25</f>
        <v>Принято органом регулирования</v>
      </c>
      <c r="AI11" s="1219"/>
    </row>
    <row customHeight="1" ht="11.25" hidden="1">
      <c r="B12" s="1223"/>
      <c r="T12" s="1443"/>
      <c r="U12" s="1443"/>
      <c r="V12" s="1443"/>
      <c r="W12" s="1443"/>
      <c r="X12" s="1443"/>
      <c r="Y12" s="523"/>
      <c r="Z12" s="1443"/>
      <c r="AA12" s="523"/>
      <c r="AB12" s="1444"/>
      <c r="AC12" s="1444"/>
      <c r="AE12" s="1560"/>
      <c r="AF12" s="1560"/>
    </row>
    <row customHeight="1" ht="11.25" hidden="1">
      <c r="A13" s="491" t="s">
        <v>371</v>
      </c>
      <c r="B13" s="1223"/>
      <c r="AE13" s="519" cm="1" t="str">
        <f t="array" ref="AE13:AE13">god</f>
        <v>2026</v>
      </c>
      <c r="AF13" s="519" cm="1" t="str">
        <f t="array" ref="AF13:AF13">god</f>
        <v>2026</v>
      </c>
    </row>
    <row customHeight="1" ht="11.25" hidden="1">
      <c r="A14" s="491" t="s">
        <v>372</v>
      </c>
      <c r="AE14" s="519" cm="1" t="str">
        <f t="array" ref="AE14:AE14">AE25</f>
        <v>Предложение организации</v>
      </c>
      <c r="AF14" s="519" cm="1" t="str">
        <f t="array" ref="AF14:AF14">AF25</f>
        <v>Принято органом регулирования</v>
      </c>
    </row>
    <row customHeight="1" ht="11.25" hidden="1">
      <c r="AE15" s="519"/>
      <c r="AF15" s="519"/>
    </row>
    <row customHeight="1" ht="11.25" hidden="1">
      <c r="AE16" s="519"/>
      <c r="AF16" s="519"/>
    </row>
    <row customHeight="1" ht="11.25" hidden="1">
      <c r="AE17" s="519"/>
      <c r="AF17" s="519"/>
    </row>
    <row customHeight="1" ht="11.25" hidden="1">
      <c r="AE18" s="1560"/>
      <c r="AF18" s="1560"/>
    </row>
    <row customHeight="1" ht="11.25" hidden="1">
      <c r="AE19" s="1560"/>
      <c r="AF19" s="1560"/>
    </row>
    <row customHeight="1" ht="11.25" hidden="1">
      <c r="AE20" s="1560"/>
      <c r="AF20" s="1560"/>
    </row>
    <row customHeight="1" ht="14.625">
      <c r="E21" s="655">
        <v>15</v>
      </c>
      <c r="AA21" s="491"/>
      <c r="AC21" s="526" cm="1" t="str">
        <f t="array" ref="AC21:AC21">tpl_title</f>
        <v>Кемеровская область / 2026 / ОАО «СКЭК» (ИНН:4205153492, КПП:420501001) / ДПР: 2024-2028</v>
      </c>
      <c r="AE21" s="1560"/>
      <c r="AF21" s="1560"/>
    </row>
    <row customHeight="1" ht="37.29375">
      <c r="E22" s="655">
        <v>38.25</v>
      </c>
      <c r="AB22" s="1587" t="s">
        <v>56</v>
      </c>
      <c r="AC22" s="1588"/>
      <c r="AD22" s="1588"/>
      <c r="AE22" s="1588"/>
      <c r="AF22" s="1588"/>
    </row>
    <row customHeight="1" ht="10.96875">
      <c r="E23" s="655">
        <v>11.25</v>
      </c>
      <c r="AB23" s="1568"/>
      <c r="AC23" s="1568"/>
      <c r="AD23" s="1568"/>
      <c r="AE23" s="1568"/>
      <c r="AF23" s="1568"/>
    </row>
    <row customHeight="1" ht="14.625">
      <c r="E24" s="655">
        <v>15</v>
      </c>
      <c r="AB24" s="1553" t="s">
        <v>918</v>
      </c>
      <c r="AC24" s="1584" t="s">
        <v>194</v>
      </c>
      <c r="AD24" s="1553" t="s">
        <v>381</v>
      </c>
      <c r="AE24" s="1589" t="str">
        <f>god&amp;" год"</f>
        <v>2026 год</v>
      </c>
      <c r="AF24" s="1590"/>
    </row>
    <row customHeight="1" ht="48.75">
      <c r="E25" s="655">
        <v>50</v>
      </c>
      <c r="AB25" s="1553"/>
      <c r="AC25" s="1584"/>
      <c r="AD25" s="1553"/>
      <c r="AE25" s="1344" t="s">
        <v>374</v>
      </c>
      <c r="AF25" s="522" t="s">
        <v>373</v>
      </c>
    </row>
    <row customHeight="1" ht="11.25" hidden="1">
      <c r="E26" s="655">
        <v>0</v>
      </c>
      <c r="AB26" s="731"/>
      <c r="AC26" s="745"/>
      <c r="AD26" s="731"/>
      <c r="AE26" s="1345"/>
      <c r="AF26" s="1345"/>
    </row>
    <row customHeight="1" ht="14.625" hidden="1">
      <c r="A27" s="1240"/>
      <c r="B27" s="1240"/>
      <c r="C27" s="519"/>
      <c r="D27" s="1240"/>
      <c r="E27" s="655">
        <v>15</v>
      </c>
      <c r="F27" s="519" cm="1" t="str">
        <f t="array" ref="F27:F27">X27</f>
        <v>0</v>
      </c>
      <c r="G27" s="1240"/>
      <c r="H27" s="1240"/>
      <c r="I27" s="1240"/>
      <c r="J27" s="1240"/>
      <c r="K27" s="1240"/>
      <c r="L27" s="1240"/>
      <c r="M27" s="1240"/>
      <c r="N27" s="1240"/>
      <c r="O27" s="1240"/>
      <c r="P27" s="1240"/>
      <c r="Q27" s="1240"/>
      <c r="R27" s="1240"/>
      <c r="S27" s="1240"/>
      <c r="T27" s="468">
        <f>X27&gt;0</f>
        <v>0</v>
      </c>
      <c r="U27" s="1240"/>
      <c r="V27" s="491" t="s">
        <v>279</v>
      </c>
      <c r="W27" s="1240"/>
      <c r="X27" s="1559">
        <v>0</v>
      </c>
      <c r="Y27" s="1240"/>
      <c r="Z27" s="1560"/>
      <c r="AA27" s="1240"/>
      <c r="AB27" s="1224" cm="1" t="str">
        <f t="array" ref="AB27:AB27">INDEX('Общие сведения'!$AG$197:$AG$254,MATCH($X27,'Общие сведения'!$Z$197:$Z$254,0))</f>
        <v>Тариф 0 () - </v>
      </c>
      <c r="AC27" s="176"/>
      <c r="AD27" s="1225"/>
      <c r="AE27" s="1225"/>
      <c r="AF27" s="1226"/>
      <c r="AG27" s="1240"/>
      <c r="AH27" s="1240"/>
      <c r="AI27" s="1184"/>
    </row>
    <row s="528" customFormat="1" customHeight="1" ht="14.625" hidden="1">
      <c r="A28" s="491"/>
      <c r="B28" s="528"/>
      <c r="C28" s="1346"/>
      <c r="D28" s="528"/>
      <c r="E28" s="680">
        <v>15</v>
      </c>
      <c r="F28" s="50" cm="1" t="str">
        <f t="array" ref="F28:F28">OFFSET(E28,-1,1)</f>
        <v>0</v>
      </c>
      <c r="G28" s="528" t="s">
        <v>344</v>
      </c>
      <c r="H28" s="528"/>
      <c r="I28" s="528"/>
      <c r="J28" s="528"/>
      <c r="K28" s="528"/>
      <c r="L28" s="528"/>
      <c r="M28" s="528"/>
      <c r="N28" s="528"/>
      <c r="O28" s="528"/>
      <c r="P28" s="528"/>
      <c r="Q28" s="528"/>
      <c r="R28" s="528"/>
      <c r="S28" s="528"/>
      <c r="T28" s="468" cm="1" t="str">
        <f t="array" ref="T28:T28">T27</f>
        <v>false</v>
      </c>
      <c r="U28" s="528"/>
      <c r="V28" s="528"/>
      <c r="W28" s="528"/>
      <c r="X28" s="1559"/>
      <c r="Y28" s="528"/>
      <c r="Z28" s="1560"/>
      <c r="AA28" s="528"/>
      <c r="AB28" s="1227" t="s">
        <v>290</v>
      </c>
      <c r="AC28" s="1228" t="s">
        <v>1231</v>
      </c>
      <c r="AD28" s="518" t="s">
        <v>1232</v>
      </c>
      <c r="AE28" s="1229">
        <f>IF(AE30=0,0,AE29/AE30)</f>
        <v>0</v>
      </c>
      <c r="AF28" s="530">
        <f>IF(AF30=0,0,AF29/AF30)</f>
        <v>0</v>
      </c>
      <c r="AG28" s="528"/>
      <c r="AH28" s="528"/>
      <c r="AI28" s="1043" t="s">
        <v>1233</v>
      </c>
    </row>
    <row customHeight="1" ht="14.625" hidden="1">
      <c r="A29" s="1240"/>
      <c r="B29" s="1240"/>
      <c r="C29" s="521"/>
      <c r="D29" s="1240"/>
      <c r="E29" s="655">
        <v>15</v>
      </c>
      <c r="F29" s="50" cm="1" t="str">
        <f t="array" ref="F29:F29">OFFSET(E29,-1,1)</f>
        <v>0</v>
      </c>
      <c r="G29" s="491" t="s">
        <v>566</v>
      </c>
      <c r="H29" s="1240"/>
      <c r="I29" s="1240"/>
      <c r="J29" s="1240"/>
      <c r="K29" s="1240"/>
      <c r="L29" s="1240"/>
      <c r="M29" s="1240"/>
      <c r="N29" s="1240"/>
      <c r="O29" s="1240"/>
      <c r="P29" s="1240"/>
      <c r="Q29" s="1240"/>
      <c r="R29" s="1240"/>
      <c r="S29" s="1240"/>
      <c r="T29" s="468" cm="1" t="str">
        <f t="array" ref="T29:T29">T28</f>
        <v>false</v>
      </c>
      <c r="U29" s="1240"/>
      <c r="V29" s="1240"/>
      <c r="W29" s="1240"/>
      <c r="X29" s="1559"/>
      <c r="Y29" s="1240"/>
      <c r="Z29" s="1560"/>
      <c r="AA29" s="1240"/>
      <c r="AB29" s="1230" t="s">
        <v>1067</v>
      </c>
      <c r="AC29" s="1231" t="s">
        <v>1234</v>
      </c>
      <c r="AD29" s="531" t="s">
        <v>936</v>
      </c>
      <c r="AE29" s="3161"/>
      <c r="AF29" s="3161"/>
      <c r="AG29" s="1240"/>
      <c r="AH29" s="1240"/>
      <c r="AI29" s="1033" t="s">
        <v>1235</v>
      </c>
    </row>
    <row customHeight="1" ht="32.90625" hidden="1">
      <c r="A30" s="1240"/>
      <c r="B30" s="1240"/>
      <c r="C30" s="521"/>
      <c r="D30" s="1240"/>
      <c r="E30" s="655">
        <v>33.75</v>
      </c>
      <c r="F30" s="50" cm="1" t="str">
        <f t="array" ref="F30:F30">OFFSET(E30,-1,1)</f>
        <v>0</v>
      </c>
      <c r="G30" s="491" t="s">
        <v>570</v>
      </c>
      <c r="H30" s="1240"/>
      <c r="I30" s="1240"/>
      <c r="J30" s="1240"/>
      <c r="K30" s="1240"/>
      <c r="L30" s="1240"/>
      <c r="M30" s="1240"/>
      <c r="N30" s="1240"/>
      <c r="O30" s="1240"/>
      <c r="P30" s="1240"/>
      <c r="Q30" s="1240"/>
      <c r="R30" s="1240"/>
      <c r="S30" s="1240"/>
      <c r="T30" s="468" cm="1" t="str">
        <f t="array" ref="T30:T30">T29</f>
        <v>false</v>
      </c>
      <c r="U30" s="1240"/>
      <c r="V30" s="1240"/>
      <c r="W30" s="1240"/>
      <c r="X30" s="1559"/>
      <c r="Y30" s="1240"/>
      <c r="Z30" s="1560"/>
      <c r="AA30" s="1240"/>
      <c r="AB30" s="531" t="s">
        <v>1070</v>
      </c>
      <c r="AC30" s="532" t="s">
        <v>1236</v>
      </c>
      <c r="AD30" s="531" t="s">
        <v>928</v>
      </c>
      <c r="AE30" s="1233">
        <f>_xlfn.SUMIFS('Условные метры'!$AL$28:$AL$41,'Условные метры'!$F$28:$F$41,$F30,'Условные метры'!$G$28:$G$41,"Итог")</f>
        <v>0</v>
      </c>
      <c r="AF30" s="1093">
        <f>_xlfn.SUMIFS('Условные метры'!$AN$28:$AN$41,'Условные метры'!$F$28:$F$41,$F30,'Условные метры'!$G$28:$G$41,"Итог")</f>
        <v>0</v>
      </c>
      <c r="AG30" s="1240"/>
      <c r="AH30" s="1240"/>
      <c r="AI30" s="1033" t="s">
        <v>1237</v>
      </c>
    </row>
    <row s="528" customFormat="1" customHeight="1" ht="32.90625" hidden="1">
      <c r="A31" s="491"/>
      <c r="B31" s="528"/>
      <c r="C31" s="1347"/>
      <c r="D31" s="528"/>
      <c r="E31" s="680">
        <v>33.75</v>
      </c>
      <c r="F31" s="50" cm="1" t="str">
        <f t="array" ref="F31:F31">OFFSET(E31,-1,1)</f>
        <v>0</v>
      </c>
      <c r="G31" s="528" t="s">
        <v>345</v>
      </c>
      <c r="H31" s="528"/>
      <c r="I31" s="528"/>
      <c r="J31" s="528"/>
      <c r="K31" s="528"/>
      <c r="L31" s="528"/>
      <c r="M31" s="528"/>
      <c r="N31" s="528"/>
      <c r="O31" s="528"/>
      <c r="P31" s="528"/>
      <c r="Q31" s="528"/>
      <c r="R31" s="528"/>
      <c r="S31" s="528"/>
      <c r="T31" s="468" cm="1" t="str">
        <f t="array" ref="T31:T31">T30</f>
        <v>false</v>
      </c>
      <c r="U31" s="528"/>
      <c r="V31" s="528"/>
      <c r="W31" s="528"/>
      <c r="X31" s="1559"/>
      <c r="Y31" s="528"/>
      <c r="Z31" s="1560"/>
      <c r="AA31" s="528"/>
      <c r="AB31" s="1234">
        <v>2</v>
      </c>
      <c r="AC31" s="1235" t="s">
        <v>1238</v>
      </c>
      <c r="AD31" s="1236" t="s">
        <v>1232</v>
      </c>
      <c r="AE31" s="1237">
        <f>MIN(AE33,AE28)</f>
        <v>0</v>
      </c>
      <c r="AF31" s="535">
        <f>MIN(AF33,AF28)</f>
        <v>0</v>
      </c>
      <c r="AG31" s="528"/>
      <c r="AH31" s="528"/>
      <c r="AI31" s="1043" t="s">
        <v>1239</v>
      </c>
    </row>
    <row customHeight="1" ht="21.9375" hidden="1">
      <c r="A32" s="1240"/>
      <c r="B32" s="1240"/>
      <c r="C32" s="521"/>
      <c r="D32" s="1240"/>
      <c r="E32" s="655">
        <v>22.5</v>
      </c>
      <c r="F32" s="50" cm="1" t="str">
        <f t="array" ref="F32:F32">OFFSET(E32,-1,1)</f>
        <v>0</v>
      </c>
      <c r="G32" s="491" t="s">
        <v>346</v>
      </c>
      <c r="H32" s="1240"/>
      <c r="I32" s="1240"/>
      <c r="J32" s="1240"/>
      <c r="K32" s="1240"/>
      <c r="L32" s="1240"/>
      <c r="M32" s="1240"/>
      <c r="N32" s="1240"/>
      <c r="O32" s="1240"/>
      <c r="P32" s="1240"/>
      <c r="Q32" s="1240"/>
      <c r="R32" s="1240"/>
      <c r="S32" s="1240"/>
      <c r="T32" s="468" cm="1" t="str">
        <f t="array" ref="T32:T32">T31</f>
        <v>false</v>
      </c>
      <c r="U32" s="1240"/>
      <c r="V32" s="1240"/>
      <c r="W32" s="1240"/>
      <c r="X32" s="1559"/>
      <c r="Y32" s="1240"/>
      <c r="Z32" s="1560"/>
      <c r="AA32" s="1240"/>
      <c r="AB32" s="1238">
        <v>3</v>
      </c>
      <c r="AC32" s="529" t="s">
        <v>1240</v>
      </c>
      <c r="AD32" s="518" t="s">
        <v>1232</v>
      </c>
      <c r="AE32" s="530" cm="1" t="str">
        <f t="array" ref="AE32:AE32">INDEX('Калькуляция (МСА)'!$L$26:$M$105,MATCH('Амортизация (аналог)'!$F32&amp;"УТР",'Калькуляция (МСА)'!$K$26:$K$105,0),1)</f>
        <v>0</v>
      </c>
      <c r="AF32" s="530" cm="1" t="str">
        <f t="array" ref="AF32:AF32">INDEX('Калькуляция (МСА)'!$L$26:$M$105,MATCH('Амортизация (аналог)'!$F32&amp;"УТР",'Калькуляция (МСА)'!$K$26:$K$105,0),2)</f>
        <v>0</v>
      </c>
      <c r="AG32" s="1240"/>
      <c r="AH32" s="1240"/>
      <c r="AI32" s="1033" t="s">
        <v>1241</v>
      </c>
    </row>
    <row customHeight="1" ht="14.625" hidden="1">
      <c r="A33" s="1240"/>
      <c r="B33" s="1240"/>
      <c r="C33" s="521"/>
      <c r="D33" s="1240"/>
      <c r="E33" s="655">
        <v>15</v>
      </c>
      <c r="F33" s="50" cm="1" t="str">
        <f t="array" ref="F33:F33">OFFSET(E33,-1,1)</f>
        <v>0</v>
      </c>
      <c r="G33" s="491" t="s">
        <v>348</v>
      </c>
      <c r="H33" s="1240"/>
      <c r="I33" s="1240"/>
      <c r="J33" s="1240"/>
      <c r="K33" s="1240"/>
      <c r="L33" s="1240"/>
      <c r="M33" s="1240"/>
      <c r="N33" s="1240"/>
      <c r="O33" s="1240"/>
      <c r="P33" s="1240"/>
      <c r="Q33" s="1240"/>
      <c r="R33" s="1240"/>
      <c r="S33" s="1240"/>
      <c r="T33" s="468" cm="1" t="str">
        <f t="array" ref="T33:T33">T32</f>
        <v>false</v>
      </c>
      <c r="U33" s="1240"/>
      <c r="V33" s="1240"/>
      <c r="W33" s="1240"/>
      <c r="X33" s="1559"/>
      <c r="Y33" s="1240"/>
      <c r="Z33" s="1560"/>
      <c r="AA33" s="1240"/>
      <c r="AB33" s="536">
        <v>4</v>
      </c>
      <c r="AC33" s="529" t="s">
        <v>1242</v>
      </c>
      <c r="AD33" s="518" t="s">
        <v>1232</v>
      </c>
      <c r="AE33" s="3174">
        <f>AE32*0.15</f>
        <v>0</v>
      </c>
      <c r="AF33" s="3175">
        <f>AF32*0.15</f>
        <v>0</v>
      </c>
      <c r="AG33" s="1240"/>
      <c r="AH33" s="1240"/>
      <c r="AI33" s="1033" t="s">
        <v>1243</v>
      </c>
    </row>
    <row s="1656" customFormat="1" customHeight="1" ht="14.25">
      <c r="A34" s="1240"/>
      <c r="B34" s="1240"/>
      <c r="C34" s="519"/>
      <c r="D34" s="1240"/>
      <c r="E34" s="655">
        <v>15</v>
      </c>
      <c r="F34" s="519" cm="1" t="str">
        <f t="array" ref="F34:F34">X34</f>
        <v>1</v>
      </c>
      <c r="G34" s="1240"/>
      <c r="H34" s="1240"/>
      <c r="I34" s="1240"/>
      <c r="J34" s="1240"/>
      <c r="K34" s="1240"/>
      <c r="L34" s="1240"/>
      <c r="M34" s="1240"/>
      <c r="N34" s="1240"/>
      <c r="O34" s="1240"/>
      <c r="P34" s="1240"/>
      <c r="Q34" s="1240"/>
      <c r="R34" s="1240"/>
      <c r="S34" s="1240"/>
      <c r="T34" s="468">
        <f>X34&gt;0</f>
        <v>1</v>
      </c>
      <c r="U34" s="1240"/>
      <c r="V34" s="491" cm="1" t="str">
        <f t="array" ref="V34:V34">Амортизация!$AB$76</f>
        <v>Тариф 1 (Водоснабжение) - тариф на питьевую воду (Оказание услуг на территории: город Ленинск-Кузнецкий (ОКТМО: 32719000) - г Ленинск-Кузнецкий, г Полысаево)</v>
      </c>
      <c r="W34" s="1240"/>
      <c r="X34" s="1559" t="s">
        <v>290</v>
      </c>
      <c r="Y34" s="1240"/>
      <c r="Z34" s="1560"/>
      <c r="AA34" s="1240"/>
      <c r="AB34" s="1224" cm="1" t="str">
        <f t="array" ref="AB34:AB34">Амортизация!$AB$76</f>
        <v>Тариф 1 (Водоснабжение) - тариф на питьевую воду (Оказание услуг на территории: город Ленинск-Кузнецкий (ОКТМО: 32719000) - г Ленинск-Кузнецкий, г Полысаево)</v>
      </c>
      <c r="AC34" s="176"/>
      <c r="AD34" s="1225"/>
      <c r="AE34" s="1225"/>
      <c r="AF34" s="1226"/>
      <c r="AG34" s="1240"/>
      <c r="AH34" s="1240"/>
      <c r="AI34" s="1184"/>
    </row>
    <row s="528" customFormat="1" customHeight="1" ht="14.25">
      <c r="A35" s="491"/>
      <c r="B35" s="528"/>
      <c r="C35" s="1346"/>
      <c r="D35" s="528"/>
      <c r="E35" s="680">
        <v>15</v>
      </c>
      <c r="F35" s="50" cm="1" t="str">
        <f t="array" ref="F35:F35">OFFSET(E35,-1,1)</f>
        <v>1</v>
      </c>
      <c r="G35" s="528" t="s">
        <v>344</v>
      </c>
      <c r="H35" s="528"/>
      <c r="I35" s="528"/>
      <c r="J35" s="528"/>
      <c r="K35" s="528"/>
      <c r="L35" s="528"/>
      <c r="M35" s="528"/>
      <c r="N35" s="528"/>
      <c r="O35" s="528"/>
      <c r="P35" s="528"/>
      <c r="Q35" s="528"/>
      <c r="R35" s="528"/>
      <c r="S35" s="528"/>
      <c r="T35" s="468" cm="1" t="str">
        <f t="array" ref="T35:T35">T34</f>
        <v>true</v>
      </c>
      <c r="U35" s="528"/>
      <c r="V35" s="528"/>
      <c r="W35" s="528"/>
      <c r="X35" s="1559"/>
      <c r="Y35" s="528"/>
      <c r="Z35" s="1560"/>
      <c r="AA35" s="528"/>
      <c r="AB35" s="1227" t="s">
        <v>290</v>
      </c>
      <c r="AC35" s="1228" t="s">
        <v>1231</v>
      </c>
      <c r="AD35" s="518" t="s">
        <v>1232</v>
      </c>
      <c r="AE35" s="1229">
        <f>IF(AE37=0,0,AE36/AE37)</f>
        <v>0</v>
      </c>
      <c r="AF35" s="530">
        <f>IF(AF37=0,0,AF36/AF37)</f>
        <v>0</v>
      </c>
      <c r="AG35" s="528"/>
      <c r="AH35" s="528"/>
      <c r="AI35" s="1043" t="s">
        <v>1233</v>
      </c>
    </row>
    <row s="1656" customFormat="1" customHeight="1" ht="14.25">
      <c r="A36" s="1240"/>
      <c r="B36" s="1240"/>
      <c r="C36" s="521"/>
      <c r="D36" s="1240"/>
      <c r="E36" s="655">
        <v>15</v>
      </c>
      <c r="F36" s="50" cm="1" t="str">
        <f t="array" ref="F36:F36">OFFSET(E36,-1,1)</f>
        <v>1</v>
      </c>
      <c r="G36" s="491" t="s">
        <v>566</v>
      </c>
      <c r="H36" s="1240"/>
      <c r="I36" s="1240"/>
      <c r="J36" s="1240"/>
      <c r="K36" s="1240"/>
      <c r="L36" s="1240"/>
      <c r="M36" s="1240"/>
      <c r="N36" s="1240"/>
      <c r="O36" s="1240"/>
      <c r="P36" s="1240"/>
      <c r="Q36" s="1240"/>
      <c r="R36" s="1240"/>
      <c r="S36" s="1240"/>
      <c r="T36" s="468" cm="1" t="str">
        <f t="array" ref="T36:T36">T35</f>
        <v>true</v>
      </c>
      <c r="U36" s="1240"/>
      <c r="V36" s="1240"/>
      <c r="W36" s="1240"/>
      <c r="X36" s="1559"/>
      <c r="Y36" s="1240"/>
      <c r="Z36" s="1560"/>
      <c r="AA36" s="1240"/>
      <c r="AB36" s="1230" t="s">
        <v>1067</v>
      </c>
      <c r="AC36" s="1231" t="s">
        <v>1234</v>
      </c>
      <c r="AD36" s="531" t="s">
        <v>936</v>
      </c>
      <c r="AE36" s="1232"/>
      <c r="AF36" s="1232"/>
      <c r="AG36" s="1240"/>
      <c r="AH36" s="1240"/>
      <c r="AI36" s="1033" t="s">
        <v>1235</v>
      </c>
    </row>
    <row s="1656" customFormat="1" customHeight="1" ht="32.25">
      <c r="A37" s="1240"/>
      <c r="B37" s="1240"/>
      <c r="C37" s="521"/>
      <c r="D37" s="1240"/>
      <c r="E37" s="655">
        <v>33.75</v>
      </c>
      <c r="F37" s="50" cm="1" t="str">
        <f t="array" ref="F37:F37">OFFSET(E37,-1,1)</f>
        <v>1</v>
      </c>
      <c r="G37" s="491" t="s">
        <v>570</v>
      </c>
      <c r="H37" s="1240"/>
      <c r="I37" s="1240"/>
      <c r="J37" s="1240"/>
      <c r="K37" s="1240"/>
      <c r="L37" s="1240"/>
      <c r="M37" s="1240"/>
      <c r="N37" s="1240"/>
      <c r="O37" s="1240"/>
      <c r="P37" s="1240"/>
      <c r="Q37" s="1240"/>
      <c r="R37" s="1240"/>
      <c r="S37" s="1240"/>
      <c r="T37" s="468" cm="1" t="str">
        <f t="array" ref="T37:T37">T36</f>
        <v>true</v>
      </c>
      <c r="U37" s="1240"/>
      <c r="V37" s="1240"/>
      <c r="W37" s="1240"/>
      <c r="X37" s="1559"/>
      <c r="Y37" s="1240"/>
      <c r="Z37" s="1560"/>
      <c r="AA37" s="1240"/>
      <c r="AB37" s="531" t="s">
        <v>1070</v>
      </c>
      <c r="AC37" s="532" t="s">
        <v>1236</v>
      </c>
      <c r="AD37" s="531" t="s">
        <v>928</v>
      </c>
      <c r="AE37" s="1233">
        <f>_xlfn.SUMIFS('Условные метры'!$AL$28:$AL$41,'Условные метры'!$F$28:$F$41,$F37,'Условные метры'!$G$28:$G$41,"Итог")</f>
        <v>0</v>
      </c>
      <c r="AF37" s="1093">
        <f>_xlfn.SUMIFS('Условные метры'!$AN$28:$AN$41,'Условные метры'!$F$28:$F$41,$F37,'Условные метры'!$G$28:$G$41,"Итог")</f>
        <v>0</v>
      </c>
      <c r="AG37" s="1240"/>
      <c r="AH37" s="1240"/>
      <c r="AI37" s="1033" t="s">
        <v>1237</v>
      </c>
    </row>
    <row s="528" customFormat="1" customHeight="1" ht="32.25">
      <c r="A38" s="491"/>
      <c r="B38" s="528"/>
      <c r="C38" s="1347"/>
      <c r="D38" s="528"/>
      <c r="E38" s="680">
        <v>33.75</v>
      </c>
      <c r="F38" s="50" cm="1" t="str">
        <f t="array" ref="F38:F38">OFFSET(E38,-1,1)</f>
        <v>1</v>
      </c>
      <c r="G38" s="528" t="s">
        <v>345</v>
      </c>
      <c r="H38" s="528"/>
      <c r="I38" s="528"/>
      <c r="J38" s="528"/>
      <c r="K38" s="528"/>
      <c r="L38" s="528"/>
      <c r="M38" s="528"/>
      <c r="N38" s="528"/>
      <c r="O38" s="528"/>
      <c r="P38" s="528"/>
      <c r="Q38" s="528"/>
      <c r="R38" s="528"/>
      <c r="S38" s="528"/>
      <c r="T38" s="468" cm="1" t="str">
        <f t="array" ref="T38:T38">T37</f>
        <v>true</v>
      </c>
      <c r="U38" s="528"/>
      <c r="V38" s="528"/>
      <c r="W38" s="528"/>
      <c r="X38" s="1559"/>
      <c r="Y38" s="528"/>
      <c r="Z38" s="1560"/>
      <c r="AA38" s="528"/>
      <c r="AB38" s="1234">
        <v>2</v>
      </c>
      <c r="AC38" s="1235" t="s">
        <v>1238</v>
      </c>
      <c r="AD38" s="1236" t="s">
        <v>1232</v>
      </c>
      <c r="AE38" s="1237">
        <f>MIN(AE40,AE35)</f>
        <v>0</v>
      </c>
      <c r="AF38" s="535">
        <f>MIN(AF40,AF35)</f>
        <v>0</v>
      </c>
      <c r="AG38" s="528"/>
      <c r="AH38" s="528"/>
      <c r="AI38" s="1043" t="s">
        <v>1239</v>
      </c>
    </row>
    <row s="1656" customFormat="1" customHeight="1" ht="21.75">
      <c r="A39" s="1240"/>
      <c r="B39" s="1240"/>
      <c r="C39" s="521"/>
      <c r="D39" s="1240"/>
      <c r="E39" s="655">
        <v>22.5</v>
      </c>
      <c r="F39" s="50" cm="1" t="str">
        <f t="array" ref="F39:F39">OFFSET(E39,-1,1)</f>
        <v>1</v>
      </c>
      <c r="G39" s="491" t="s">
        <v>346</v>
      </c>
      <c r="H39" s="1240"/>
      <c r="I39" s="1240"/>
      <c r="J39" s="1240"/>
      <c r="K39" s="1240"/>
      <c r="L39" s="1240"/>
      <c r="M39" s="1240"/>
      <c r="N39" s="1240"/>
      <c r="O39" s="1240"/>
      <c r="P39" s="1240"/>
      <c r="Q39" s="1240"/>
      <c r="R39" s="1240"/>
      <c r="S39" s="1240"/>
      <c r="T39" s="468" cm="1" t="str">
        <f t="array" ref="T39:T39">T38</f>
        <v>true</v>
      </c>
      <c r="U39" s="1240"/>
      <c r="V39" s="1240"/>
      <c r="W39" s="1240"/>
      <c r="X39" s="1559"/>
      <c r="Y39" s="1240"/>
      <c r="Z39" s="1560"/>
      <c r="AA39" s="1240"/>
      <c r="AB39" s="1238">
        <v>3</v>
      </c>
      <c r="AC39" s="529" t="s">
        <v>1240</v>
      </c>
      <c r="AD39" s="518" t="s">
        <v>1232</v>
      </c>
      <c r="AE39" s="530" cm="1" t="str">
        <f t="array" ref="AE39:AE39">INDEX('Калькуляция (МСА)'!$L$26:$M$105,MATCH('Амортизация (аналог)'!$F39&amp;"УТР",'Калькуляция (МСА)'!$K$26:$K$105,0),1)</f>
        <v>0</v>
      </c>
      <c r="AF39" s="530" cm="1" t="str">
        <f t="array" ref="AF39:AF39">INDEX('Калькуляция (МСА)'!$L$26:$M$105,MATCH('Амортизация (аналог)'!$F39&amp;"УТР",'Калькуляция (МСА)'!$K$26:$K$105,0),2)</f>
        <v>0</v>
      </c>
      <c r="AG39" s="1240"/>
      <c r="AH39" s="1240"/>
      <c r="AI39" s="1033" t="s">
        <v>1241</v>
      </c>
    </row>
    <row s="1656" customFormat="1" customHeight="1" ht="14.25">
      <c r="A40" s="1240"/>
      <c r="B40" s="1240"/>
      <c r="C40" s="521"/>
      <c r="D40" s="1240"/>
      <c r="E40" s="655">
        <v>15</v>
      </c>
      <c r="F40" s="50" cm="1" t="str">
        <f t="array" ref="F40:F40">OFFSET(E40,-1,1)</f>
        <v>1</v>
      </c>
      <c r="G40" s="491" t="s">
        <v>348</v>
      </c>
      <c r="H40" s="1240"/>
      <c r="I40" s="1240"/>
      <c r="J40" s="1240"/>
      <c r="K40" s="1240"/>
      <c r="L40" s="1240"/>
      <c r="M40" s="1240"/>
      <c r="N40" s="1240"/>
      <c r="O40" s="1240"/>
      <c r="P40" s="1240"/>
      <c r="Q40" s="1240"/>
      <c r="R40" s="1240"/>
      <c r="S40" s="1240"/>
      <c r="T40" s="468" cm="1" t="str">
        <f t="array" ref="T40:T40">T39</f>
        <v>true</v>
      </c>
      <c r="U40" s="1240"/>
      <c r="V40" s="1240"/>
      <c r="W40" s="1240"/>
      <c r="X40" s="1559"/>
      <c r="Y40" s="1240"/>
      <c r="Z40" s="1560"/>
      <c r="AA40" s="1240"/>
      <c r="AB40" s="536">
        <v>4</v>
      </c>
      <c r="AC40" s="529" t="s">
        <v>1242</v>
      </c>
      <c r="AD40" s="518" t="s">
        <v>1232</v>
      </c>
      <c r="AE40" s="1239">
        <f>AE39*0.15</f>
        <v>0</v>
      </c>
      <c r="AF40" s="537">
        <f>AF39*0.15</f>
        <v>0</v>
      </c>
      <c r="AG40" s="1240"/>
      <c r="AH40" s="1240"/>
      <c r="AI40" s="1033" t="s">
        <v>1243</v>
      </c>
    </row>
    <row s="1656" customFormat="1" customHeight="1" ht="14.25">
      <c r="A41" s="1240"/>
      <c r="B41" s="1240"/>
      <c r="C41" s="519"/>
      <c r="D41" s="1240"/>
      <c r="E41" s="655">
        <v>15</v>
      </c>
      <c r="F41" s="519" cm="1" t="str">
        <f t="array" ref="F41:F41">X41</f>
        <v>2</v>
      </c>
      <c r="G41" s="1240"/>
      <c r="H41" s="1240"/>
      <c r="I41" s="1240"/>
      <c r="J41" s="1240"/>
      <c r="K41" s="1240"/>
      <c r="L41" s="1240"/>
      <c r="M41" s="1240"/>
      <c r="N41" s="1240"/>
      <c r="O41" s="1240"/>
      <c r="P41" s="1240"/>
      <c r="Q41" s="1240"/>
      <c r="R41" s="1240"/>
      <c r="S41" s="1240"/>
      <c r="T41" s="468">
        <f>X41&gt;0</f>
        <v>1</v>
      </c>
      <c r="U41" s="1240"/>
      <c r="V41" s="491" cm="1" t="str">
        <f t="array" ref="V41:V41">Амортизация!$AB$125</f>
        <v>Тариф 2 (Водоотведение) - тариф на водоотведение (Оказание услуг на территории: город Ленинск-Кузнецкий (ОКТМО: 32719000) - г Ленинск-Кузнецкий)</v>
      </c>
      <c r="W41" s="1240"/>
      <c r="X41" s="1559" t="s">
        <v>299</v>
      </c>
      <c r="Y41" s="1240"/>
      <c r="Z41" s="1560"/>
      <c r="AA41" s="1240"/>
      <c r="AB41" s="1224" cm="1" t="str">
        <f t="array" ref="AB41:AB41">Амортизация!$AB$125</f>
        <v>Тариф 2 (Водоотведение) - тариф на водоотведение (Оказание услуг на территории: город Ленинск-Кузнецкий (ОКТМО: 32719000) - г Ленинск-Кузнецкий)</v>
      </c>
      <c r="AC41" s="176"/>
      <c r="AD41" s="1225"/>
      <c r="AE41" s="1225"/>
      <c r="AF41" s="1226"/>
      <c r="AG41" s="1240"/>
      <c r="AH41" s="1240"/>
      <c r="AI41" s="1184"/>
    </row>
    <row s="528" customFormat="1" customHeight="1" ht="14.25">
      <c r="A42" s="491"/>
      <c r="B42" s="528"/>
      <c r="C42" s="1346"/>
      <c r="D42" s="528"/>
      <c r="E42" s="680">
        <v>15</v>
      </c>
      <c r="F42" s="50" cm="1" t="str">
        <f t="array" ref="F42:F42">OFFSET(E42,-1,1)</f>
        <v>2</v>
      </c>
      <c r="G42" s="528" t="s">
        <v>344</v>
      </c>
      <c r="H42" s="528"/>
      <c r="I42" s="528"/>
      <c r="J42" s="528"/>
      <c r="K42" s="528"/>
      <c r="L42" s="528"/>
      <c r="M42" s="528"/>
      <c r="N42" s="528"/>
      <c r="O42" s="528"/>
      <c r="P42" s="528"/>
      <c r="Q42" s="528"/>
      <c r="R42" s="528"/>
      <c r="S42" s="528"/>
      <c r="T42" s="468" cm="1" t="str">
        <f t="array" ref="T42:T42">T41</f>
        <v>true</v>
      </c>
      <c r="U42" s="528"/>
      <c r="V42" s="528"/>
      <c r="W42" s="528"/>
      <c r="X42" s="1559"/>
      <c r="Y42" s="528"/>
      <c r="Z42" s="1560"/>
      <c r="AA42" s="528"/>
      <c r="AB42" s="1227" t="s">
        <v>290</v>
      </c>
      <c r="AC42" s="1228" t="s">
        <v>1231</v>
      </c>
      <c r="AD42" s="518" t="s">
        <v>1232</v>
      </c>
      <c r="AE42" s="1229">
        <f>IF(AE44=0,0,AE43/AE44)</f>
        <v>0</v>
      </c>
      <c r="AF42" s="530">
        <f>IF(AF44=0,0,AF43/AF44)</f>
        <v>0</v>
      </c>
      <c r="AG42" s="528"/>
      <c r="AH42" s="528"/>
      <c r="AI42" s="1043" t="s">
        <v>1233</v>
      </c>
    </row>
    <row s="1656" customFormat="1" customHeight="1" ht="14.25">
      <c r="A43" s="1240"/>
      <c r="B43" s="1240"/>
      <c r="C43" s="521"/>
      <c r="D43" s="1240"/>
      <c r="E43" s="655">
        <v>15</v>
      </c>
      <c r="F43" s="50" cm="1" t="str">
        <f t="array" ref="F43:F43">OFFSET(E43,-1,1)</f>
        <v>2</v>
      </c>
      <c r="G43" s="491" t="s">
        <v>566</v>
      </c>
      <c r="H43" s="1240"/>
      <c r="I43" s="1240"/>
      <c r="J43" s="1240"/>
      <c r="K43" s="1240"/>
      <c r="L43" s="1240"/>
      <c r="M43" s="1240"/>
      <c r="N43" s="1240"/>
      <c r="O43" s="1240"/>
      <c r="P43" s="1240"/>
      <c r="Q43" s="1240"/>
      <c r="R43" s="1240"/>
      <c r="S43" s="1240"/>
      <c r="T43" s="468" cm="1" t="str">
        <f t="array" ref="T43:T43">T42</f>
        <v>true</v>
      </c>
      <c r="U43" s="1240"/>
      <c r="V43" s="1240"/>
      <c r="W43" s="1240"/>
      <c r="X43" s="1559"/>
      <c r="Y43" s="1240"/>
      <c r="Z43" s="1560"/>
      <c r="AA43" s="1240"/>
      <c r="AB43" s="1230" t="s">
        <v>1067</v>
      </c>
      <c r="AC43" s="1231" t="s">
        <v>1234</v>
      </c>
      <c r="AD43" s="531" t="s">
        <v>936</v>
      </c>
      <c r="AE43" s="1232"/>
      <c r="AF43" s="1232"/>
      <c r="AG43" s="1240"/>
      <c r="AH43" s="1240"/>
      <c r="AI43" s="1033" t="s">
        <v>1235</v>
      </c>
    </row>
    <row s="1656" customFormat="1" customHeight="1" ht="32.25">
      <c r="A44" s="1240"/>
      <c r="B44" s="1240"/>
      <c r="C44" s="521"/>
      <c r="D44" s="1240"/>
      <c r="E44" s="655">
        <v>33.75</v>
      </c>
      <c r="F44" s="50" cm="1" t="str">
        <f t="array" ref="F44:F44">OFFSET(E44,-1,1)</f>
        <v>2</v>
      </c>
      <c r="G44" s="491" t="s">
        <v>570</v>
      </c>
      <c r="H44" s="1240"/>
      <c r="I44" s="1240"/>
      <c r="J44" s="1240"/>
      <c r="K44" s="1240"/>
      <c r="L44" s="1240"/>
      <c r="M44" s="1240"/>
      <c r="N44" s="1240"/>
      <c r="O44" s="1240"/>
      <c r="P44" s="1240"/>
      <c r="Q44" s="1240"/>
      <c r="R44" s="1240"/>
      <c r="S44" s="1240"/>
      <c r="T44" s="468" cm="1" t="str">
        <f t="array" ref="T44:T44">T43</f>
        <v>true</v>
      </c>
      <c r="U44" s="1240"/>
      <c r="V44" s="1240"/>
      <c r="W44" s="1240"/>
      <c r="X44" s="1559"/>
      <c r="Y44" s="1240"/>
      <c r="Z44" s="1560"/>
      <c r="AA44" s="1240"/>
      <c r="AB44" s="531" t="s">
        <v>1070</v>
      </c>
      <c r="AC44" s="532" t="s">
        <v>1236</v>
      </c>
      <c r="AD44" s="531" t="s">
        <v>928</v>
      </c>
      <c r="AE44" s="1233">
        <f>_xlfn.SUMIFS('Условные метры'!$AL$28:$AL$41,'Условные метры'!$F$28:$F$41,$F44,'Условные метры'!$G$28:$G$41,"Итог")</f>
        <v>0</v>
      </c>
      <c r="AF44" s="1093">
        <f>_xlfn.SUMIFS('Условные метры'!$AN$28:$AN$41,'Условные метры'!$F$28:$F$41,$F44,'Условные метры'!$G$28:$G$41,"Итог")</f>
        <v>0</v>
      </c>
      <c r="AG44" s="1240"/>
      <c r="AH44" s="1240"/>
      <c r="AI44" s="1033" t="s">
        <v>1237</v>
      </c>
    </row>
    <row s="528" customFormat="1" customHeight="1" ht="32.25">
      <c r="A45" s="491"/>
      <c r="B45" s="528"/>
      <c r="C45" s="1347"/>
      <c r="D45" s="528"/>
      <c r="E45" s="680">
        <v>33.75</v>
      </c>
      <c r="F45" s="50" cm="1" t="str">
        <f t="array" ref="F45:F45">OFFSET(E45,-1,1)</f>
        <v>2</v>
      </c>
      <c r="G45" s="528" t="s">
        <v>345</v>
      </c>
      <c r="H45" s="528"/>
      <c r="I45" s="528"/>
      <c r="J45" s="528"/>
      <c r="K45" s="528"/>
      <c r="L45" s="528"/>
      <c r="M45" s="528"/>
      <c r="N45" s="528"/>
      <c r="O45" s="528"/>
      <c r="P45" s="528"/>
      <c r="Q45" s="528"/>
      <c r="R45" s="528"/>
      <c r="S45" s="528"/>
      <c r="T45" s="468" cm="1" t="str">
        <f t="array" ref="T45:T45">T44</f>
        <v>true</v>
      </c>
      <c r="U45" s="528"/>
      <c r="V45" s="528"/>
      <c r="W45" s="528"/>
      <c r="X45" s="1559"/>
      <c r="Y45" s="528"/>
      <c r="Z45" s="1560"/>
      <c r="AA45" s="528"/>
      <c r="AB45" s="1234">
        <v>2</v>
      </c>
      <c r="AC45" s="1235" t="s">
        <v>1238</v>
      </c>
      <c r="AD45" s="1236" t="s">
        <v>1232</v>
      </c>
      <c r="AE45" s="1237">
        <f>MIN(AE47,AE42)</f>
        <v>0</v>
      </c>
      <c r="AF45" s="535">
        <f>MIN(AF47,AF42)</f>
        <v>0</v>
      </c>
      <c r="AG45" s="528"/>
      <c r="AH45" s="528"/>
      <c r="AI45" s="1043" t="s">
        <v>1239</v>
      </c>
    </row>
    <row s="1656" customFormat="1" customHeight="1" ht="21.75">
      <c r="A46" s="1240"/>
      <c r="B46" s="1240"/>
      <c r="C46" s="521"/>
      <c r="D46" s="1240"/>
      <c r="E46" s="655">
        <v>22.5</v>
      </c>
      <c r="F46" s="50" cm="1" t="str">
        <f t="array" ref="F46:F46">OFFSET(E46,-1,1)</f>
        <v>2</v>
      </c>
      <c r="G46" s="491" t="s">
        <v>346</v>
      </c>
      <c r="H46" s="1240"/>
      <c r="I46" s="1240"/>
      <c r="J46" s="1240"/>
      <c r="K46" s="1240"/>
      <c r="L46" s="1240"/>
      <c r="M46" s="1240"/>
      <c r="N46" s="1240"/>
      <c r="O46" s="1240"/>
      <c r="P46" s="1240"/>
      <c r="Q46" s="1240"/>
      <c r="R46" s="1240"/>
      <c r="S46" s="1240"/>
      <c r="T46" s="468" cm="1" t="str">
        <f t="array" ref="T46:T46">T45</f>
        <v>true</v>
      </c>
      <c r="U46" s="1240"/>
      <c r="V46" s="1240"/>
      <c r="W46" s="1240"/>
      <c r="X46" s="1559"/>
      <c r="Y46" s="1240"/>
      <c r="Z46" s="1560"/>
      <c r="AA46" s="1240"/>
      <c r="AB46" s="1238">
        <v>3</v>
      </c>
      <c r="AC46" s="529" t="s">
        <v>1240</v>
      </c>
      <c r="AD46" s="518" t="s">
        <v>1232</v>
      </c>
      <c r="AE46" s="530" cm="1" t="str">
        <f t="array" ref="AE46:AE46">INDEX('Калькуляция (МСА)'!$L$26:$M$105,MATCH('Амортизация (аналог)'!$F46&amp;"УТР",'Калькуляция (МСА)'!$K$26:$K$105,0),1)</f>
        <v>0</v>
      </c>
      <c r="AF46" s="530" cm="1" t="str">
        <f t="array" ref="AF46:AF46">INDEX('Калькуляция (МСА)'!$L$26:$M$105,MATCH('Амортизация (аналог)'!$F46&amp;"УТР",'Калькуляция (МСА)'!$K$26:$K$105,0),2)</f>
        <v>0</v>
      </c>
      <c r="AG46" s="1240"/>
      <c r="AH46" s="1240"/>
      <c r="AI46" s="1033" t="s">
        <v>1241</v>
      </c>
    </row>
    <row s="1656" customFormat="1" customHeight="1" ht="14.25">
      <c r="A47" s="1240"/>
      <c r="B47" s="1240"/>
      <c r="C47" s="521"/>
      <c r="D47" s="1240"/>
      <c r="E47" s="655">
        <v>15</v>
      </c>
      <c r="F47" s="50" cm="1" t="str">
        <f t="array" ref="F47:F47">OFFSET(E47,-1,1)</f>
        <v>2</v>
      </c>
      <c r="G47" s="491" t="s">
        <v>348</v>
      </c>
      <c r="H47" s="1240"/>
      <c r="I47" s="1240"/>
      <c r="J47" s="1240"/>
      <c r="K47" s="1240"/>
      <c r="L47" s="1240"/>
      <c r="M47" s="1240"/>
      <c r="N47" s="1240"/>
      <c r="O47" s="1240"/>
      <c r="P47" s="1240"/>
      <c r="Q47" s="1240"/>
      <c r="R47" s="1240"/>
      <c r="S47" s="1240"/>
      <c r="T47" s="468" cm="1" t="str">
        <f t="array" ref="T47:T47">T46</f>
        <v>true</v>
      </c>
      <c r="U47" s="1240"/>
      <c r="V47" s="1240"/>
      <c r="W47" s="1240"/>
      <c r="X47" s="1559"/>
      <c r="Y47" s="1240"/>
      <c r="Z47" s="1560"/>
      <c r="AA47" s="1240"/>
      <c r="AB47" s="536">
        <v>4</v>
      </c>
      <c r="AC47" s="529" t="s">
        <v>1242</v>
      </c>
      <c r="AD47" s="518" t="s">
        <v>1232</v>
      </c>
      <c r="AE47" s="1239">
        <f>AE46*0.15</f>
        <v>0</v>
      </c>
      <c r="AF47" s="537">
        <f>AF46*0.15</f>
        <v>0</v>
      </c>
      <c r="AG47" s="1240"/>
      <c r="AH47" s="1240"/>
      <c r="AI47" s="1033" t="s">
        <v>1243</v>
      </c>
    </row>
    <row s="1656" customFormat="1" customHeight="1" ht="14.25">
      <c r="A48" s="1240"/>
      <c r="B48" s="1240"/>
      <c r="C48" s="519"/>
      <c r="D48" s="1240"/>
      <c r="E48" s="655">
        <v>15</v>
      </c>
      <c r="F48" s="519" cm="1" t="str">
        <f t="array" ref="F48:F48">X48</f>
        <v>3</v>
      </c>
      <c r="G48" s="1240"/>
      <c r="H48" s="1240"/>
      <c r="I48" s="1240"/>
      <c r="J48" s="1240"/>
      <c r="K48" s="1240"/>
      <c r="L48" s="1240"/>
      <c r="M48" s="1240"/>
      <c r="N48" s="1240"/>
      <c r="O48" s="1240"/>
      <c r="P48" s="1240"/>
      <c r="Q48" s="1240"/>
      <c r="R48" s="1240"/>
      <c r="S48" s="1240"/>
      <c r="T48" s="468">
        <f>X48&gt;0</f>
        <v>1</v>
      </c>
      <c r="U48" s="1240"/>
      <c r="V48" s="491" cm="1" t="str">
        <f t="array" ref="V48:V48">Амортизация!$AB$174</f>
        <v>Тариф 3 (Водоотведение) - тариф на водоотведение (Оказание услуг на территории: город Полысаево (ОКТМО: 32732000) - г Полысаево)</v>
      </c>
      <c r="W48" s="1240"/>
      <c r="X48" s="1559" t="s">
        <v>234</v>
      </c>
      <c r="Y48" s="1240"/>
      <c r="Z48" s="1560"/>
      <c r="AA48" s="1240"/>
      <c r="AB48" s="1224" cm="1" t="str">
        <f t="array" ref="AB48:AB48">Амортизация!$AB$174</f>
        <v>Тариф 3 (Водоотведение) - тариф на водоотведение (Оказание услуг на территории: город Полысаево (ОКТМО: 32732000) - г Полысаево)</v>
      </c>
      <c r="AC48" s="176"/>
      <c r="AD48" s="1225"/>
      <c r="AE48" s="1225"/>
      <c r="AF48" s="1226"/>
      <c r="AG48" s="1240"/>
      <c r="AH48" s="1240"/>
      <c r="AI48" s="1184"/>
    </row>
    <row s="528" customFormat="1" customHeight="1" ht="14.25">
      <c r="A49" s="491"/>
      <c r="B49" s="528"/>
      <c r="C49" s="1346"/>
      <c r="D49" s="528"/>
      <c r="E49" s="680">
        <v>15</v>
      </c>
      <c r="F49" s="50" cm="1" t="str">
        <f t="array" ref="F49:F49">OFFSET(E49,-1,1)</f>
        <v>3</v>
      </c>
      <c r="G49" s="528" t="s">
        <v>344</v>
      </c>
      <c r="H49" s="528"/>
      <c r="I49" s="528"/>
      <c r="J49" s="528"/>
      <c r="K49" s="528"/>
      <c r="L49" s="528"/>
      <c r="M49" s="528"/>
      <c r="N49" s="528"/>
      <c r="O49" s="528"/>
      <c r="P49" s="528"/>
      <c r="Q49" s="528"/>
      <c r="R49" s="528"/>
      <c r="S49" s="528"/>
      <c r="T49" s="468" cm="1" t="str">
        <f t="array" ref="T49:T49">T48</f>
        <v>true</v>
      </c>
      <c r="U49" s="528"/>
      <c r="V49" s="528"/>
      <c r="W49" s="528"/>
      <c r="X49" s="1559"/>
      <c r="Y49" s="528"/>
      <c r="Z49" s="1560"/>
      <c r="AA49" s="528"/>
      <c r="AB49" s="1227" t="s">
        <v>290</v>
      </c>
      <c r="AC49" s="1228" t="s">
        <v>1231</v>
      </c>
      <c r="AD49" s="518" t="s">
        <v>1232</v>
      </c>
      <c r="AE49" s="1229">
        <f>IF(AE51=0,0,AE50/AE51)</f>
        <v>0</v>
      </c>
      <c r="AF49" s="530">
        <f>IF(AF51=0,0,AF50/AF51)</f>
        <v>0</v>
      </c>
      <c r="AG49" s="528"/>
      <c r="AH49" s="528"/>
      <c r="AI49" s="1043" t="s">
        <v>1233</v>
      </c>
    </row>
    <row s="1656" customFormat="1" customHeight="1" ht="14.25">
      <c r="A50" s="1240"/>
      <c r="B50" s="1240"/>
      <c r="C50" s="521"/>
      <c r="D50" s="1240"/>
      <c r="E50" s="655">
        <v>15</v>
      </c>
      <c r="F50" s="50" cm="1" t="str">
        <f t="array" ref="F50:F50">OFFSET(E50,-1,1)</f>
        <v>3</v>
      </c>
      <c r="G50" s="491" t="s">
        <v>566</v>
      </c>
      <c r="H50" s="1240"/>
      <c r="I50" s="1240"/>
      <c r="J50" s="1240"/>
      <c r="K50" s="1240"/>
      <c r="L50" s="1240"/>
      <c r="M50" s="1240"/>
      <c r="N50" s="1240"/>
      <c r="O50" s="1240"/>
      <c r="P50" s="1240"/>
      <c r="Q50" s="1240"/>
      <c r="R50" s="1240"/>
      <c r="S50" s="1240"/>
      <c r="T50" s="468" cm="1" t="str">
        <f t="array" ref="T50:T50">T49</f>
        <v>true</v>
      </c>
      <c r="U50" s="1240"/>
      <c r="V50" s="1240"/>
      <c r="W50" s="1240"/>
      <c r="X50" s="1559"/>
      <c r="Y50" s="1240"/>
      <c r="Z50" s="1560"/>
      <c r="AA50" s="1240"/>
      <c r="AB50" s="1230" t="s">
        <v>1067</v>
      </c>
      <c r="AC50" s="1231" t="s">
        <v>1234</v>
      </c>
      <c r="AD50" s="531" t="s">
        <v>936</v>
      </c>
      <c r="AE50" s="1232"/>
      <c r="AF50" s="1232"/>
      <c r="AG50" s="1240"/>
      <c r="AH50" s="1240"/>
      <c r="AI50" s="1033" t="s">
        <v>1235</v>
      </c>
    </row>
    <row s="1656" customFormat="1" customHeight="1" ht="32.25">
      <c r="A51" s="1240"/>
      <c r="B51" s="1240"/>
      <c r="C51" s="521"/>
      <c r="D51" s="1240"/>
      <c r="E51" s="655">
        <v>33.75</v>
      </c>
      <c r="F51" s="50" cm="1" t="str">
        <f t="array" ref="F51:F51">OFFSET(E51,-1,1)</f>
        <v>3</v>
      </c>
      <c r="G51" s="491" t="s">
        <v>570</v>
      </c>
      <c r="H51" s="1240"/>
      <c r="I51" s="1240"/>
      <c r="J51" s="1240"/>
      <c r="K51" s="1240"/>
      <c r="L51" s="1240"/>
      <c r="M51" s="1240"/>
      <c r="N51" s="1240"/>
      <c r="O51" s="1240"/>
      <c r="P51" s="1240"/>
      <c r="Q51" s="1240"/>
      <c r="R51" s="1240"/>
      <c r="S51" s="1240"/>
      <c r="T51" s="468" cm="1" t="str">
        <f t="array" ref="T51:T51">T50</f>
        <v>true</v>
      </c>
      <c r="U51" s="1240"/>
      <c r="V51" s="1240"/>
      <c r="W51" s="1240"/>
      <c r="X51" s="1559"/>
      <c r="Y51" s="1240"/>
      <c r="Z51" s="1560"/>
      <c r="AA51" s="1240"/>
      <c r="AB51" s="531" t="s">
        <v>1070</v>
      </c>
      <c r="AC51" s="532" t="s">
        <v>1236</v>
      </c>
      <c r="AD51" s="531" t="s">
        <v>928</v>
      </c>
      <c r="AE51" s="1233">
        <f>_xlfn.SUMIFS('Условные метры'!$AL$28:$AL$41,'Условные метры'!$F$28:$F$41,$F51,'Условные метры'!$G$28:$G$41,"Итог")</f>
        <v>0</v>
      </c>
      <c r="AF51" s="1093">
        <f>_xlfn.SUMIFS('Условные метры'!$AN$28:$AN$41,'Условные метры'!$F$28:$F$41,$F51,'Условные метры'!$G$28:$G$41,"Итог")</f>
        <v>0</v>
      </c>
      <c r="AG51" s="1240"/>
      <c r="AH51" s="1240"/>
      <c r="AI51" s="1033" t="s">
        <v>1237</v>
      </c>
    </row>
    <row s="528" customFormat="1" customHeight="1" ht="32.25">
      <c r="A52" s="491"/>
      <c r="B52" s="528"/>
      <c r="C52" s="1347"/>
      <c r="D52" s="528"/>
      <c r="E52" s="680">
        <v>33.75</v>
      </c>
      <c r="F52" s="50" cm="1" t="str">
        <f t="array" ref="F52:F52">OFFSET(E52,-1,1)</f>
        <v>3</v>
      </c>
      <c r="G52" s="528" t="s">
        <v>345</v>
      </c>
      <c r="H52" s="528"/>
      <c r="I52" s="528"/>
      <c r="J52" s="528"/>
      <c r="K52" s="528"/>
      <c r="L52" s="528"/>
      <c r="M52" s="528"/>
      <c r="N52" s="528"/>
      <c r="O52" s="528"/>
      <c r="P52" s="528"/>
      <c r="Q52" s="528"/>
      <c r="R52" s="528"/>
      <c r="S52" s="528"/>
      <c r="T52" s="468" cm="1" t="str">
        <f t="array" ref="T52:T52">T51</f>
        <v>true</v>
      </c>
      <c r="U52" s="528"/>
      <c r="V52" s="528"/>
      <c r="W52" s="528"/>
      <c r="X52" s="1559"/>
      <c r="Y52" s="528"/>
      <c r="Z52" s="1560"/>
      <c r="AA52" s="528"/>
      <c r="AB52" s="1234">
        <v>2</v>
      </c>
      <c r="AC52" s="1235" t="s">
        <v>1238</v>
      </c>
      <c r="AD52" s="1236" t="s">
        <v>1232</v>
      </c>
      <c r="AE52" s="1237">
        <f>MIN(AE54,AE49)</f>
        <v>0</v>
      </c>
      <c r="AF52" s="535">
        <f>MIN(AF54,AF49)</f>
        <v>0</v>
      </c>
      <c r="AG52" s="528"/>
      <c r="AH52" s="528"/>
      <c r="AI52" s="1043" t="s">
        <v>1239</v>
      </c>
    </row>
    <row s="1656" customFormat="1" customHeight="1" ht="21.75">
      <c r="A53" s="1240"/>
      <c r="B53" s="1240"/>
      <c r="C53" s="521"/>
      <c r="D53" s="1240"/>
      <c r="E53" s="655">
        <v>22.5</v>
      </c>
      <c r="F53" s="50" cm="1" t="str">
        <f t="array" ref="F53:F53">OFFSET(E53,-1,1)</f>
        <v>3</v>
      </c>
      <c r="G53" s="491" t="s">
        <v>346</v>
      </c>
      <c r="H53" s="1240"/>
      <c r="I53" s="1240"/>
      <c r="J53" s="1240"/>
      <c r="K53" s="1240"/>
      <c r="L53" s="1240"/>
      <c r="M53" s="1240"/>
      <c r="N53" s="1240"/>
      <c r="O53" s="1240"/>
      <c r="P53" s="1240"/>
      <c r="Q53" s="1240"/>
      <c r="R53" s="1240"/>
      <c r="S53" s="1240"/>
      <c r="T53" s="468" cm="1" t="str">
        <f t="array" ref="T53:T53">T52</f>
        <v>true</v>
      </c>
      <c r="U53" s="1240"/>
      <c r="V53" s="1240"/>
      <c r="W53" s="1240"/>
      <c r="X53" s="1559"/>
      <c r="Y53" s="1240"/>
      <c r="Z53" s="1560"/>
      <c r="AA53" s="1240"/>
      <c r="AB53" s="1238">
        <v>3</v>
      </c>
      <c r="AC53" s="529" t="s">
        <v>1240</v>
      </c>
      <c r="AD53" s="518" t="s">
        <v>1232</v>
      </c>
      <c r="AE53" s="530" cm="1" t="str">
        <f t="array" ref="AE53:AE53">INDEX('Калькуляция (МСА)'!$L$26:$M$105,MATCH('Амортизация (аналог)'!$F53&amp;"УТР",'Калькуляция (МСА)'!$K$26:$K$105,0),1)</f>
        <v>0</v>
      </c>
      <c r="AF53" s="530" cm="1" t="str">
        <f t="array" ref="AF53:AF53">INDEX('Калькуляция (МСА)'!$L$26:$M$105,MATCH('Амортизация (аналог)'!$F53&amp;"УТР",'Калькуляция (МСА)'!$K$26:$K$105,0),2)</f>
        <v>0</v>
      </c>
      <c r="AG53" s="1240"/>
      <c r="AH53" s="1240"/>
      <c r="AI53" s="1033" t="s">
        <v>1241</v>
      </c>
    </row>
    <row s="1656" customFormat="1" customHeight="1" ht="14.25">
      <c r="A54" s="1240"/>
      <c r="B54" s="1240"/>
      <c r="C54" s="521"/>
      <c r="D54" s="1240"/>
      <c r="E54" s="655">
        <v>15</v>
      </c>
      <c r="F54" s="50" cm="1" t="str">
        <f t="array" ref="F54:F54">OFFSET(E54,-1,1)</f>
        <v>3</v>
      </c>
      <c r="G54" s="491" t="s">
        <v>348</v>
      </c>
      <c r="H54" s="1240"/>
      <c r="I54" s="1240"/>
      <c r="J54" s="1240"/>
      <c r="K54" s="1240"/>
      <c r="L54" s="1240"/>
      <c r="M54" s="1240"/>
      <c r="N54" s="1240"/>
      <c r="O54" s="1240"/>
      <c r="P54" s="1240"/>
      <c r="Q54" s="1240"/>
      <c r="R54" s="1240"/>
      <c r="S54" s="1240"/>
      <c r="T54" s="468" cm="1" t="str">
        <f t="array" ref="T54:T54">T53</f>
        <v>true</v>
      </c>
      <c r="U54" s="1240"/>
      <c r="V54" s="1240"/>
      <c r="W54" s="1240"/>
      <c r="X54" s="1559"/>
      <c r="Y54" s="1240"/>
      <c r="Z54" s="1560"/>
      <c r="AA54" s="1240"/>
      <c r="AB54" s="536">
        <v>4</v>
      </c>
      <c r="AC54" s="529" t="s">
        <v>1242</v>
      </c>
      <c r="AD54" s="518" t="s">
        <v>1232</v>
      </c>
      <c r="AE54" s="1239">
        <f>AE53*0.15</f>
        <v>0</v>
      </c>
      <c r="AF54" s="537">
        <f>AF53*0.15</f>
        <v>0</v>
      </c>
      <c r="AG54" s="1240"/>
      <c r="AH54" s="1240"/>
      <c r="AI54" s="1033" t="s">
        <v>1243</v>
      </c>
    </row>
    <row customHeight="1" ht="10.96875">
      <c r="E55" s="655">
        <v>11.25</v>
      </c>
      <c r="U55" s="100" t="s">
        <v>177</v>
      </c>
      <c r="V55" s="136" t="s">
        <v>1244</v>
      </c>
      <c r="AB55" s="538"/>
      <c r="AC55" s="539"/>
      <c r="AD55" s="538"/>
      <c r="AE55" s="540"/>
      <c r="AF55" s="1560"/>
    </row>
    <row s="1328" customFormat="1" customHeight="1" ht="14.625">
      <c r="E56" s="654">
        <v>15</v>
      </c>
      <c r="AB56" s="1553" t="s">
        <v>420</v>
      </c>
      <c r="AC56" s="1553"/>
      <c r="AD56" s="1553"/>
      <c r="AE56" s="1561"/>
      <c r="AF56" s="1561"/>
      <c r="AI56" s="1044"/>
    </row>
    <row s="1328" customFormat="1" customHeight="1" ht="14.625">
      <c r="E57" s="654">
        <v>15</v>
      </c>
      <c r="AB57" s="1562"/>
      <c r="AC57" s="1562"/>
      <c r="AD57" s="1562"/>
      <c r="AE57" s="1563"/>
      <c r="AF57" s="1563"/>
      <c r="AI57" s="1044"/>
    </row>
    <row s="1328" customFormat="1" customHeight="1" ht="14.625" hidden="1">
      <c r="A58" s="1328"/>
      <c r="B58" s="1328"/>
      <c r="C58" s="1328"/>
      <c r="D58" s="1328"/>
      <c r="E58" s="654">
        <v>15</v>
      </c>
      <c r="F58" s="1328"/>
      <c r="G58" s="1328"/>
      <c r="H58" s="1328"/>
      <c r="I58" s="1328"/>
      <c r="J58" s="1328"/>
      <c r="K58" s="1328"/>
      <c r="L58" s="1328"/>
      <c r="M58" s="1328"/>
      <c r="N58" s="1328"/>
      <c r="O58" s="1328"/>
      <c r="P58" s="1328"/>
      <c r="Q58" s="1328"/>
      <c r="R58" s="1328"/>
      <c r="S58" s="1328"/>
      <c r="T58" s="468">
        <f>ROW(W58)&gt;ROW(W$58)</f>
        <v>0</v>
      </c>
      <c r="U58" s="1240"/>
      <c r="V58" s="1240"/>
      <c r="W58" s="764" t="s">
        <v>173</v>
      </c>
      <c r="X58" s="1240"/>
      <c r="Y58" s="1240"/>
      <c r="Z58" s="1240"/>
      <c r="AA58" s="1348" t="s">
        <v>174</v>
      </c>
      <c r="AB58" s="2898"/>
      <c r="AC58" s="2897"/>
      <c r="AD58" s="2897"/>
      <c r="AE58" s="1579"/>
      <c r="AF58" s="1580"/>
      <c r="AG58" s="1328"/>
      <c r="AH58" s="1328"/>
      <c r="AI58" s="1044"/>
    </row>
    <row s="1328" customFormat="1" customHeight="1" ht="14.625">
      <c r="E59" s="654">
        <v>15</v>
      </c>
      <c r="W59" s="764" t="s">
        <v>421</v>
      </c>
      <c r="AB59" s="1349"/>
      <c r="AC59" s="1350" t="s">
        <v>422</v>
      </c>
      <c r="AD59" s="1351"/>
      <c r="AE59" s="1352"/>
      <c r="AF59" s="1353"/>
      <c r="AI59" s="1044"/>
    </row>
    <row customHeight="1" ht="10.96875">
      <c r="E60" s="655">
        <v>11.25</v>
      </c>
      <c r="AC60" s="541"/>
      <c r="AE60" s="1560"/>
      <c r="AF60" s="1560"/>
      <c r="AG60" s="491"/>
    </row>
  </sheetData>
  <sheetProtection formatColumns="0" formatRows="0" insertRows="0" deleteColumns="0" deleteRows="0" sort="0" autoFilter="0" insertColumns="1"/>
  <mergeCells count="17">
    <mergeCell ref="AB22:AF22"/>
    <mergeCell ref="AB23:AF23"/>
    <mergeCell ref="AB24:AB25"/>
    <mergeCell ref="AC24:AC25"/>
    <mergeCell ref="AD24:AD25"/>
    <mergeCell ref="AE24:AF24"/>
    <mergeCell ref="X27:X33"/>
    <mergeCell ref="Z27:Z33"/>
    <mergeCell ref="AB56:AF56"/>
    <mergeCell ref="AB57:AF57"/>
    <mergeCell ref="AB58:AF58"/>
    <mergeCell ref="X34:X40"/>
    <mergeCell ref="Z34:Z40"/>
    <mergeCell ref="X41:X47"/>
    <mergeCell ref="Z41:Z47"/>
    <mergeCell ref="X48:X54"/>
    <mergeCell ref="Z48:Z54"/>
  </mergeCells>
  <dataValidations count="1">
    <dataValidation type="decimal" allowBlank="1" showErrorMessage="1" errorTitle="Ошибка" error="Допускается ввод только неотрицательных чисел!" sqref="AE31:AF31 AF33 AF38 AF40 AF45 AF47 AF52 AF54 AE33 AE38 AE40 AE45 AE47 AE52 AE54">
      <formula1>0</formula1>
      <formula2>9.99999999999999E+23</formula2>
    </dataValidation>
  </dataValidations>
  <pageMargins left="0.35" right="0.35" top="0.40" bottom="0.40" header="0.31" footer="0.31"/>
  <pageSetup paperSize="9" scale="63" fitToHeight="0" pageOrder="downThenOver" orientation="landscape"/>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7F23518-55DE-75A8-DD7C-BB6AA9BB2B72}" mc:Ignorable="x14ac xr xr2 xr3">
  <sheetPr>
    <tabColor rgb="FF002060"/>
    <outlinePr summaryRight="0" summaryBelow="0"/>
    <pageSetUpPr fitToPage="1"/>
  </sheetPr>
  <dimension ref="A1:BJ343"/>
  <sheetViews>
    <sheetView showGridLines="0" zoomScale="80" workbookViewId="0">
      <pane xSplit="30" ySplit="25" topLeftCell="AE177" activePane="bottomRight" state="frozen"/>
      <selection pane="bottomLeft" activeCell="A26" sqref="A26"/>
      <selection pane="topRight" activeCell="AE1" sqref="AE1"/>
      <selection pane="bottomRight" activeCell="AI227" sqref="AI227"/>
    </sheetView>
  </sheetViews>
  <sheetFormatPr defaultColWidth="8.7109375" customHeight="1" defaultRowHeight="10.5"/>
  <cols>
    <col min="1" max="1" style="892" width="3.57421875" hidden="1" customWidth="1"/>
    <col min="2" max="2" style="442" width="8.57421875" hidden="1" customWidth="1"/>
    <col min="3" max="4" style="892" width="3.57421875" hidden="1" customWidth="1"/>
    <col min="5" max="5" style="684" width="3.57421875" hidden="1" customWidth="1"/>
    <col min="6" max="6" style="892" width="13.57421875" hidden="1" customWidth="1"/>
    <col min="7" max="8" style="892" width="3.57421875" hidden="1" customWidth="1"/>
    <col min="9" max="9" style="892" width="13.421875" hidden="1" customWidth="1"/>
    <col min="10" max="10" style="892" width="3.57421875" hidden="1" customWidth="1"/>
    <col min="11" max="11" style="918" width="5.8515625" hidden="1" customWidth="1"/>
    <col min="12" max="19" style="892" width="3.57421875" hidden="1" customWidth="1"/>
    <col min="20" max="20" style="892" width="9.8515625" hidden="1" customWidth="1"/>
    <col min="21" max="21" style="892" width="7.00390625" hidden="1" customWidth="1"/>
    <col min="22" max="23" style="892" width="6.140625" hidden="1" customWidth="1"/>
    <col min="24" max="24" style="892" width="5.57421875" hidden="1" customWidth="1"/>
    <col min="25" max="25" style="892" width="5.8515625" hidden="1" customWidth="1"/>
    <col min="26" max="26" style="892" width="5.28125" hidden="1" customWidth="1"/>
    <col min="27" max="27" style="892" width="3.00390625" customWidth="1"/>
    <col min="28" max="28" style="892" width="11.00390625" customWidth="1"/>
    <col min="29" max="29" style="892" width="39.421875" customWidth="1"/>
    <col min="30" max="30" style="892" width="11.8515625" customWidth="1"/>
    <col min="31" max="31" style="892" width="15.140625" customWidth="1"/>
    <col min="32" max="32" style="892" width="14.140625" customWidth="1"/>
    <col min="33" max="34" style="892" width="15.7109375" customWidth="1"/>
    <col min="35" max="35" style="892" width="14.4609375" customWidth="1"/>
    <col min="36" max="44" style="892" width="12.57421875" hidden="1" customWidth="1"/>
    <col min="45" max="45" style="892" width="16.9609375" customWidth="1"/>
    <col min="46" max="54" style="892" width="12.57421875" hidden="1" customWidth="1"/>
    <col min="55" max="55" style="892" width="63.28125" customWidth="1"/>
    <col min="56" max="56" style="892" width="3.00390625" customWidth="1"/>
    <col min="57" max="57" style="892" width="8.7109375" hidden="1"/>
    <col min="58" max="60" style="1049" width="8.7109375" hidden="1"/>
    <col min="61" max="62" style="684" width="8.7109375" hidden="1"/>
  </cols>
  <sheetData>
    <row customHeight="1" ht="11.25" hidden="1">
      <c r="E1" s="148"/>
      <c r="F1" s="148" t="s">
        <v>333</v>
      </c>
      <c r="G1" s="148" t="s">
        <v>343</v>
      </c>
      <c r="H1" s="148" t="s">
        <v>368</v>
      </c>
      <c r="T1" s="468" t="s">
        <v>93</v>
      </c>
      <c r="U1" s="468" t="s">
        <v>98</v>
      </c>
      <c r="V1" s="468" t="s">
        <v>94</v>
      </c>
      <c r="W1" s="468" t="s">
        <v>95</v>
      </c>
      <c r="X1" s="468" t="s">
        <v>96</v>
      </c>
      <c r="Y1" s="470" t="s">
        <v>335</v>
      </c>
      <c r="Z1" s="468" t="s">
        <v>100</v>
      </c>
      <c r="AA1" s="470" t="s">
        <v>97</v>
      </c>
      <c r="AB1" s="81"/>
      <c r="AC1" s="469" t="s">
        <v>99</v>
      </c>
      <c r="AI1" s="892"/>
      <c r="AJ1" s="892"/>
      <c r="AK1" s="892"/>
      <c r="AL1" s="892"/>
      <c r="AM1" s="892"/>
      <c r="AN1" s="892"/>
      <c r="AO1" s="892"/>
      <c r="AP1" s="892"/>
      <c r="AQ1" s="892"/>
      <c r="AR1" s="892"/>
      <c r="AS1" s="892"/>
      <c r="AT1" s="892"/>
      <c r="AU1" s="892"/>
      <c r="AV1" s="892"/>
      <c r="AW1" s="892"/>
      <c r="AX1" s="892"/>
      <c r="AY1" s="892"/>
      <c r="AZ1" s="892"/>
      <c r="BA1" s="892"/>
      <c r="BB1" s="892"/>
      <c r="BF1" s="1049" t="s">
        <v>336</v>
      </c>
      <c r="BG1" s="1049" t="s">
        <v>337</v>
      </c>
      <c r="BH1" s="1049" t="s">
        <v>338</v>
      </c>
      <c r="BI1" s="684" t="s">
        <v>341</v>
      </c>
      <c r="BJ1" s="684" t="s">
        <v>342</v>
      </c>
    </row>
    <row s="442" customFormat="1" customHeight="1" ht="11.25" hidden="1">
      <c r="B2" s="448" t="s">
        <v>19</v>
      </c>
      <c r="K2" s="919"/>
      <c r="AF2" s="442" cm="1" t="str">
        <f t="array" ref="AF2:AF2">isOrgDeclare</f>
        <v>true</v>
      </c>
      <c r="AI2" s="448">
        <f>AND(AI6&lt;=last_year_vis,isOrgDeclare)</f>
        <v>1</v>
      </c>
      <c r="AJ2" s="448">
        <f>AND(AJ6&lt;=last_year_vis,isOrgDeclare)</f>
        <v>0</v>
      </c>
      <c r="AK2" s="448">
        <f>AND(AK6&lt;=last_year_vis,isOrgDeclare)</f>
        <v>0</v>
      </c>
      <c r="AL2" s="448">
        <f>AND(AL6&lt;=last_year_vis,isOrgDeclare)</f>
        <v>0</v>
      </c>
      <c r="AM2" s="448">
        <f>AND(AM6&lt;=last_year_vis,isOrgDeclare)</f>
        <v>0</v>
      </c>
      <c r="AN2" s="448">
        <f>AND(AN6&lt;=last_year_vis,isOrgDeclare)</f>
        <v>0</v>
      </c>
      <c r="AO2" s="448">
        <f>AND(AO6&lt;=last_year_vis,isOrgDeclare)</f>
        <v>0</v>
      </c>
      <c r="AP2" s="448">
        <f>AND(AP6&lt;=last_year_vis,isOrgDeclare)</f>
        <v>0</v>
      </c>
      <c r="AQ2" s="448">
        <f>AND(AQ6&lt;=last_year_vis,isOrgDeclare)</f>
        <v>0</v>
      </c>
      <c r="AR2" s="448">
        <f>AND(AR6&lt;=last_year_vis,isOrgDeclare)</f>
        <v>0</v>
      </c>
      <c r="AS2" s="448">
        <f>AS6&lt;=last_year_vis</f>
        <v>1</v>
      </c>
      <c r="AT2" s="448">
        <f>AT6&lt;=last_year_vis</f>
        <v>0</v>
      </c>
      <c r="AU2" s="448">
        <f>AU6&lt;=last_year_vis</f>
        <v>0</v>
      </c>
      <c r="AV2" s="448">
        <f>AV6&lt;=last_year_vis</f>
        <v>0</v>
      </c>
      <c r="AW2" s="448">
        <f>AW6&lt;=last_year_vis</f>
        <v>0</v>
      </c>
      <c r="AX2" s="448">
        <f>AX6&lt;=last_year_vis</f>
        <v>0</v>
      </c>
      <c r="AY2" s="448">
        <f>AY6&lt;=last_year_vis</f>
        <v>0</v>
      </c>
      <c r="AZ2" s="448">
        <f>AZ6&lt;=last_year_vis</f>
        <v>0</v>
      </c>
      <c r="BA2" s="448">
        <f>BA6&lt;=last_year_vis</f>
        <v>0</v>
      </c>
      <c r="BB2" s="448">
        <f>BB6&lt;=last_year_vis</f>
        <v>0</v>
      </c>
      <c r="BF2" s="1050"/>
      <c r="BG2" s="1050"/>
      <c r="BH2" s="1050"/>
      <c r="BI2" s="1053"/>
      <c r="BJ2" s="1053"/>
    </row>
    <row customHeight="1" ht="11.25" hidden="1">
      <c r="E3" s="148"/>
      <c r="AI3" s="892"/>
      <c r="AJ3" s="892"/>
      <c r="AK3" s="892"/>
      <c r="AL3" s="892"/>
      <c r="AM3" s="892"/>
      <c r="AN3" s="892"/>
      <c r="AO3" s="892"/>
      <c r="AP3" s="892"/>
      <c r="AQ3" s="892"/>
      <c r="AR3" s="892"/>
      <c r="AS3" s="892"/>
      <c r="AT3" s="892"/>
      <c r="AU3" s="892"/>
      <c r="AV3" s="892"/>
      <c r="AW3" s="892"/>
      <c r="AX3" s="892"/>
      <c r="AY3" s="892"/>
      <c r="AZ3" s="892"/>
      <c r="BA3" s="892"/>
      <c r="BB3" s="892"/>
    </row>
    <row customHeight="1" ht="11.25" hidden="1">
      <c r="E4" s="148"/>
      <c r="AI4" s="892"/>
      <c r="AJ4" s="892"/>
      <c r="AK4" s="892"/>
      <c r="AL4" s="892"/>
      <c r="AM4" s="892"/>
      <c r="AN4" s="892"/>
      <c r="AO4" s="892"/>
      <c r="AP4" s="892"/>
      <c r="AQ4" s="892"/>
      <c r="AR4" s="892"/>
      <c r="AS4" s="892"/>
      <c r="AT4" s="892"/>
      <c r="AU4" s="892"/>
      <c r="AV4" s="892"/>
      <c r="AW4" s="892"/>
      <c r="AX4" s="892"/>
      <c r="AY4" s="892"/>
      <c r="AZ4" s="892"/>
      <c r="BA4" s="892"/>
      <c r="BB4" s="892"/>
    </row>
    <row s="684" customFormat="1" customHeight="1" ht="11.25" hidden="1">
      <c r="A5" s="148"/>
      <c r="B5" s="442"/>
      <c r="C5" s="148"/>
      <c r="D5" s="148"/>
      <c r="E5" s="684" t="s">
        <v>20</v>
      </c>
      <c r="K5" s="920"/>
      <c r="AA5" s="684">
        <v>3</v>
      </c>
      <c r="AB5" s="684">
        <v>11</v>
      </c>
      <c r="AC5" s="684">
        <v>43.43</v>
      </c>
      <c r="AD5" s="684">
        <v>15.71</v>
      </c>
      <c r="AE5" s="684">
        <v>15.71</v>
      </c>
      <c r="AF5" s="684">
        <v>15.71</v>
      </c>
      <c r="AG5" s="684">
        <v>15.71</v>
      </c>
      <c r="AH5" s="684">
        <v>15.71</v>
      </c>
      <c r="AI5" s="684">
        <v>12.57</v>
      </c>
      <c r="AJ5" s="684">
        <v>12.57</v>
      </c>
      <c r="AK5" s="684">
        <v>12.57</v>
      </c>
      <c r="AL5" s="684">
        <v>12.57</v>
      </c>
      <c r="AM5" s="684">
        <v>12.57</v>
      </c>
      <c r="AN5" s="684">
        <v>12.57</v>
      </c>
      <c r="AO5" s="684">
        <v>12.57</v>
      </c>
      <c r="AP5" s="684">
        <v>12.57</v>
      </c>
      <c r="AQ5" s="684">
        <v>12.57</v>
      </c>
      <c r="AR5" s="684">
        <v>12.57</v>
      </c>
      <c r="AS5" s="684">
        <v>12.57</v>
      </c>
      <c r="AT5" s="684">
        <v>12.57</v>
      </c>
      <c r="AU5" s="684">
        <v>12.57</v>
      </c>
      <c r="AV5" s="684">
        <v>12.57</v>
      </c>
      <c r="AW5" s="684">
        <v>12.57</v>
      </c>
      <c r="AX5" s="684">
        <v>12.57</v>
      </c>
      <c r="AY5" s="684">
        <v>12.57</v>
      </c>
      <c r="AZ5" s="684">
        <v>12.57</v>
      </c>
      <c r="BA5" s="684">
        <v>12.57</v>
      </c>
      <c r="BB5" s="684">
        <v>12.57</v>
      </c>
      <c r="BC5" s="684">
        <v>20</v>
      </c>
      <c r="BD5" s="684">
        <v>3</v>
      </c>
      <c r="BF5" s="1049"/>
      <c r="BG5" s="1049"/>
      <c r="BH5" s="1049"/>
    </row>
    <row customHeight="1" ht="11.25" hidden="1">
      <c r="A6" s="148" t="s">
        <v>371</v>
      </c>
      <c r="AE6" s="148">
        <f>god-2</f>
        <v>2024</v>
      </c>
      <c r="AF6" s="148">
        <f>god-2</f>
        <v>2024</v>
      </c>
      <c r="AG6" s="148">
        <f>god-2</f>
        <v>2024</v>
      </c>
      <c r="AH6" s="148">
        <f>god-1</f>
        <v>2025</v>
      </c>
      <c r="AI6" s="94" cm="1" t="str">
        <f t="array" ref="AI6:AI6">god</f>
        <v>2026</v>
      </c>
      <c r="AJ6" s="94">
        <f>god+1</f>
        <v>2027</v>
      </c>
      <c r="AK6" s="94">
        <f>god+2</f>
        <v>2028</v>
      </c>
      <c r="AL6" s="94">
        <f>god+3</f>
        <v>2029</v>
      </c>
      <c r="AM6" s="94">
        <f>god+4</f>
        <v>2030</v>
      </c>
      <c r="AN6" s="94">
        <f>god+5</f>
        <v>2031</v>
      </c>
      <c r="AO6" s="94">
        <f>god+6</f>
        <v>2032</v>
      </c>
      <c r="AP6" s="94">
        <f>god+7</f>
        <v>2033</v>
      </c>
      <c r="AQ6" s="94">
        <f>god+8</f>
        <v>2034</v>
      </c>
      <c r="AR6" s="94">
        <f>god+9</f>
        <v>2035</v>
      </c>
      <c r="AS6" s="94" cm="1" t="str">
        <f t="array" ref="AS6:AS6">god</f>
        <v>2026</v>
      </c>
      <c r="AT6" s="94">
        <f>god+1</f>
        <v>2027</v>
      </c>
      <c r="AU6" s="94">
        <f>god+2</f>
        <v>2028</v>
      </c>
      <c r="AV6" s="94">
        <f>god+3</f>
        <v>2029</v>
      </c>
      <c r="AW6" s="94">
        <f>god+4</f>
        <v>2030</v>
      </c>
      <c r="AX6" s="94">
        <f>god+5</f>
        <v>2031</v>
      </c>
      <c r="AY6" s="94">
        <f>god+6</f>
        <v>2032</v>
      </c>
      <c r="AZ6" s="94">
        <f>god+7</f>
        <v>2033</v>
      </c>
      <c r="BA6" s="94">
        <f>god+8</f>
        <v>2034</v>
      </c>
      <c r="BB6" s="94">
        <f>god+9</f>
        <v>2035</v>
      </c>
    </row>
    <row customHeight="1" ht="11.25" hidden="1">
      <c r="A7" s="148" t="s">
        <v>372</v>
      </c>
      <c r="AE7" s="148" cm="1" t="str">
        <f t="array" ref="AE7:AE7">AE25</f>
        <v>Принято органом регулирования</v>
      </c>
      <c r="AF7" s="148" cm="1" t="str">
        <f t="array" ref="AF7:AF7">AF25</f>
        <v>Факт по данным организации</v>
      </c>
      <c r="AG7" s="148" cm="1" t="str">
        <f t="array" ref="AG7:AG7">AG25</f>
        <v>Факт, принятый органом регулирования</v>
      </c>
      <c r="AH7" s="148" cm="1" t="str">
        <f t="array" ref="AH7:AH7">AH25</f>
        <v>Принято органом регулирования</v>
      </c>
      <c r="AI7" s="148" cm="1" t="str">
        <f t="array" ref="AI7:AI7">AI25</f>
        <v>Предложение организации</v>
      </c>
      <c r="AJ7" s="148" cm="1" t="str">
        <f t="array" ref="AJ7:AJ7">AJ25</f>
        <v>Предложение организации</v>
      </c>
      <c r="AK7" s="148" cm="1" t="str">
        <f t="array" ref="AK7:AK7">AK25</f>
        <v>Предложение организации</v>
      </c>
      <c r="AL7" s="148" cm="1" t="str">
        <f t="array" ref="AL7:AL7">AL25</f>
        <v>Предложение организации</v>
      </c>
      <c r="AM7" s="148" cm="1" t="str">
        <f t="array" ref="AM7:AM7">AM25</f>
        <v>Предложение организации</v>
      </c>
      <c r="AN7" s="148" cm="1" t="str">
        <f t="array" ref="AN7:AN7">AN25</f>
        <v>Предложение организации</v>
      </c>
      <c r="AO7" s="148" cm="1" t="str">
        <f t="array" ref="AO7:AO7">AO25</f>
        <v>Предложение организации</v>
      </c>
      <c r="AP7" s="148" cm="1" t="str">
        <f t="array" ref="AP7:AP7">AP25</f>
        <v>Предложение организации</v>
      </c>
      <c r="AQ7" s="148" cm="1" t="str">
        <f t="array" ref="AQ7:AQ7">AQ25</f>
        <v>Предложение организации</v>
      </c>
      <c r="AR7" s="148" cm="1" t="str">
        <f t="array" ref="AR7:AR7">AR25</f>
        <v>Предложение организации</v>
      </c>
      <c r="AS7" s="148" cm="1" t="str">
        <f t="array" ref="AS7:AS7">AS25</f>
        <v>Принято органом регулирования</v>
      </c>
      <c r="AT7" s="148" cm="1" t="str">
        <f t="array" ref="AT7:AT7">AT25</f>
        <v>Принято органом регулирования</v>
      </c>
      <c r="AU7" s="148" cm="1" t="str">
        <f t="array" ref="AU7:AU7">AU25</f>
        <v>Принято органом регулирования</v>
      </c>
      <c r="AV7" s="148" cm="1" t="str">
        <f t="array" ref="AV7:AV7">AV25</f>
        <v>Принято органом регулирования</v>
      </c>
      <c r="AW7" s="148" cm="1" t="str">
        <f t="array" ref="AW7:AW7">AW25</f>
        <v>Принято органом регулирования</v>
      </c>
      <c r="AX7" s="148" cm="1" t="str">
        <f t="array" ref="AX7:AX7">AX25</f>
        <v>Принято органом регулирования</v>
      </c>
      <c r="AY7" s="148" cm="1" t="str">
        <f t="array" ref="AY7:AY7">AY25</f>
        <v>Принято органом регулирования</v>
      </c>
      <c r="AZ7" s="148" cm="1" t="str">
        <f t="array" ref="AZ7:AZ7">AZ25</f>
        <v>Принято органом регулирования</v>
      </c>
      <c r="BA7" s="148" cm="1" t="str">
        <f t="array" ref="BA7:BA7">BA25</f>
        <v>Принято органом регулирования</v>
      </c>
      <c r="BB7" s="148" cm="1" t="str">
        <f t="array" ref="BB7:BB7">BB25</f>
        <v>Принято органом регулирования</v>
      </c>
    </row>
    <row customHeight="1" ht="11.25" hidden="1">
      <c r="AI8" s="892"/>
      <c r="AJ8" s="892"/>
      <c r="AK8" s="892"/>
      <c r="AL8" s="892"/>
      <c r="AM8" s="892"/>
      <c r="AN8" s="892"/>
      <c r="AO8" s="892"/>
      <c r="AP8" s="892"/>
      <c r="AQ8" s="892"/>
      <c r="AR8" s="892"/>
      <c r="AS8" s="892"/>
      <c r="AT8" s="892"/>
      <c r="AU8" s="892"/>
      <c r="AV8" s="892"/>
      <c r="AW8" s="892"/>
      <c r="AX8" s="892"/>
      <c r="AY8" s="892"/>
      <c r="AZ8" s="892"/>
      <c r="BA8" s="892"/>
      <c r="BB8" s="892"/>
    </row>
    <row s="1049" customFormat="1" customHeight="1" ht="11.25" hidden="1">
      <c r="A9" s="1049" t="s">
        <v>376</v>
      </c>
      <c r="B9" s="1050"/>
      <c r="K9" s="1051"/>
      <c r="AE9" s="1049" cm="1" t="str">
        <f t="array" ref="AE9:AE9">AE6</f>
        <v>2024</v>
      </c>
      <c r="AF9" s="1049" cm="1" t="str">
        <f t="array" ref="AF9:AF9">AF6</f>
        <v>2024</v>
      </c>
      <c r="AG9" s="1049" cm="1" t="str">
        <f t="array" ref="AG9:AG9">AG6</f>
        <v>2024</v>
      </c>
      <c r="AH9" s="1049" cm="1" t="str">
        <f t="array" ref="AH9:AH9">AH6</f>
        <v>2025</v>
      </c>
      <c r="AI9" s="1049" cm="1" t="str">
        <f t="array" ref="AI9:AI9">AI6</f>
        <v>2026</v>
      </c>
      <c r="AJ9" s="1049" cm="1" t="str">
        <f t="array" ref="AJ9:AJ9">AJ6</f>
        <v>2027</v>
      </c>
      <c r="AK9" s="1049" cm="1" t="str">
        <f t="array" ref="AK9:AK9">AK6</f>
        <v>2028</v>
      </c>
      <c r="AL9" s="1049" cm="1" t="str">
        <f t="array" ref="AL9:AL9">AL6</f>
        <v>2029</v>
      </c>
      <c r="AM9" s="1049" cm="1" t="str">
        <f t="array" ref="AM9:AM9">AM6</f>
        <v>2030</v>
      </c>
      <c r="AN9" s="1049" cm="1" t="str">
        <f t="array" ref="AN9:AN9">AN6</f>
        <v>2031</v>
      </c>
      <c r="AO9" s="1049" cm="1" t="str">
        <f t="array" ref="AO9:AO9">AO6</f>
        <v>2032</v>
      </c>
      <c r="AP9" s="1049" cm="1" t="str">
        <f t="array" ref="AP9:AP9">AP6</f>
        <v>2033</v>
      </c>
      <c r="AQ9" s="1049" cm="1" t="str">
        <f t="array" ref="AQ9:AQ9">AQ6</f>
        <v>2034</v>
      </c>
      <c r="AR9" s="1049" cm="1" t="str">
        <f t="array" ref="AR9:AR9">AR6</f>
        <v>2035</v>
      </c>
      <c r="AS9" s="1049" cm="1" t="str">
        <f t="array" ref="AS9:AS9">AS6</f>
        <v>2026</v>
      </c>
      <c r="AT9" s="1049" cm="1" t="str">
        <f t="array" ref="AT9:AT9">AT6</f>
        <v>2027</v>
      </c>
      <c r="AU9" s="1049" cm="1" t="str">
        <f t="array" ref="AU9:AU9">AU6</f>
        <v>2028</v>
      </c>
      <c r="AV9" s="1049" cm="1" t="str">
        <f t="array" ref="AV9:AV9">AV6</f>
        <v>2029</v>
      </c>
      <c r="AW9" s="1049" cm="1" t="str">
        <f t="array" ref="AW9:AW9">AW6</f>
        <v>2030</v>
      </c>
      <c r="AX9" s="1049" cm="1" t="str">
        <f t="array" ref="AX9:AX9">AX6</f>
        <v>2031</v>
      </c>
      <c r="AY9" s="1049" cm="1" t="str">
        <f t="array" ref="AY9:AY9">AY6</f>
        <v>2032</v>
      </c>
      <c r="AZ9" s="1049" cm="1" t="str">
        <f t="array" ref="AZ9:AZ9">AZ6</f>
        <v>2033</v>
      </c>
      <c r="BA9" s="1049" cm="1" t="str">
        <f t="array" ref="BA9:BA9">BA6</f>
        <v>2034</v>
      </c>
      <c r="BB9" s="1049" cm="1" t="str">
        <f t="array" ref="BB9:BB9">BB6</f>
        <v>2035</v>
      </c>
      <c r="BI9" s="684"/>
      <c r="BJ9" s="684"/>
    </row>
    <row s="1049" customFormat="1" customHeight="1" ht="11.25" hidden="1">
      <c r="A10" s="1049" t="s">
        <v>377</v>
      </c>
      <c r="B10" s="1050"/>
      <c r="K10" s="1051"/>
      <c r="AE10" s="1049" cm="1" t="str">
        <f t="array" ref="AE10:AE10">AE25</f>
        <v>Принято органом регулирования</v>
      </c>
      <c r="AF10" s="1049" cm="1" t="str">
        <f t="array" ref="AF10:AF10">AF25</f>
        <v>Факт по данным организации</v>
      </c>
      <c r="AG10" s="1049" cm="1" t="str">
        <f t="array" ref="AG10:AG10">AG25</f>
        <v>Факт, принятый органом регулирования</v>
      </c>
      <c r="AH10" s="1049" cm="1" t="str">
        <f t="array" ref="AH10:AH10">AH25</f>
        <v>Принято органом регулирования</v>
      </c>
      <c r="AI10" s="1049" cm="1" t="str">
        <f t="array" ref="AI10:AI10">AI25</f>
        <v>Предложение организации</v>
      </c>
      <c r="AJ10" s="1049" cm="1" t="str">
        <f t="array" ref="AJ10:AJ10">AJ25</f>
        <v>Предложение организации</v>
      </c>
      <c r="AK10" s="1049" cm="1" t="str">
        <f t="array" ref="AK10:AK10">AK25</f>
        <v>Предложение организации</v>
      </c>
      <c r="AL10" s="1049" cm="1" t="str">
        <f t="array" ref="AL10:AL10">AL25</f>
        <v>Предложение организации</v>
      </c>
      <c r="AM10" s="1049" cm="1" t="str">
        <f t="array" ref="AM10:AM10">AM25</f>
        <v>Предложение организации</v>
      </c>
      <c r="AN10" s="1049" cm="1" t="str">
        <f t="array" ref="AN10:AN10">AN25</f>
        <v>Предложение организации</v>
      </c>
      <c r="AO10" s="1049" cm="1" t="str">
        <f t="array" ref="AO10:AO10">AO25</f>
        <v>Предложение организации</v>
      </c>
      <c r="AP10" s="1049" cm="1" t="str">
        <f t="array" ref="AP10:AP10">AP25</f>
        <v>Предложение организации</v>
      </c>
      <c r="AQ10" s="1049" cm="1" t="str">
        <f t="array" ref="AQ10:AQ10">AQ25</f>
        <v>Предложение организации</v>
      </c>
      <c r="AR10" s="1049" cm="1" t="str">
        <f t="array" ref="AR10:AR10">AR25</f>
        <v>Предложение организации</v>
      </c>
      <c r="AS10" s="1049" cm="1" t="str">
        <f t="array" ref="AS10:AS10">AS25</f>
        <v>Принято органом регулирования</v>
      </c>
      <c r="AT10" s="1049" cm="1" t="str">
        <f t="array" ref="AT10:AT10">AT25</f>
        <v>Принято органом регулирования</v>
      </c>
      <c r="AU10" s="1049" cm="1" t="str">
        <f t="array" ref="AU10:AU10">AU25</f>
        <v>Принято органом регулирования</v>
      </c>
      <c r="AV10" s="1049" cm="1" t="str">
        <f t="array" ref="AV10:AV10">AV25</f>
        <v>Принято органом регулирования</v>
      </c>
      <c r="AW10" s="1049" cm="1" t="str">
        <f t="array" ref="AW10:AW10">AW25</f>
        <v>Принято органом регулирования</v>
      </c>
      <c r="AX10" s="1049" cm="1" t="str">
        <f t="array" ref="AX10:AX10">AX25</f>
        <v>Принято органом регулирования</v>
      </c>
      <c r="AY10" s="1049" cm="1" t="str">
        <f t="array" ref="AY10:AY10">AY25</f>
        <v>Принято органом регулирования</v>
      </c>
      <c r="AZ10" s="1049" cm="1" t="str">
        <f t="array" ref="AZ10:AZ10">AZ25</f>
        <v>Принято органом регулирования</v>
      </c>
      <c r="BA10" s="1049" cm="1" t="str">
        <f t="array" ref="BA10:BA10">BA25</f>
        <v>Принято органом регулирования</v>
      </c>
      <c r="BB10" s="1049" cm="1" t="str">
        <f t="array" ref="BB10:BB10">BB25</f>
        <v>Принято органом регулирования</v>
      </c>
      <c r="BI10" s="684"/>
      <c r="BJ10" s="684"/>
    </row>
    <row s="1049" customFormat="1" customHeight="1" ht="11.25" hidden="1">
      <c r="A11" s="1049" t="s">
        <v>378</v>
      </c>
      <c r="B11" s="1050"/>
      <c r="K11" s="1051"/>
      <c r="AI11" s="1049"/>
      <c r="AJ11" s="1049"/>
      <c r="AK11" s="1049"/>
      <c r="AL11" s="1049"/>
      <c r="AM11" s="1049"/>
      <c r="AN11" s="1049"/>
      <c r="AO11" s="1049"/>
      <c r="AP11" s="1049"/>
      <c r="AQ11" s="1049"/>
      <c r="AR11" s="1049"/>
      <c r="AS11" s="1049"/>
      <c r="AT11" s="1049"/>
      <c r="AU11" s="1049"/>
      <c r="AV11" s="1049"/>
      <c r="AW11" s="1049"/>
      <c r="AX11" s="1049"/>
      <c r="AY11" s="1049"/>
      <c r="AZ11" s="1049"/>
      <c r="BA11" s="1049"/>
      <c r="BB11" s="1049"/>
      <c r="BC11" s="1049" cm="1" t="str">
        <f t="array" ref="BC11:BC11">BC24</f>
        <v>Ссылка на правовую норму (основание для принятия показателя в расчет тарифа)</v>
      </c>
      <c r="BI11" s="684"/>
      <c r="BJ11" s="684"/>
    </row>
    <row s="1049" customFormat="1" customHeight="1" ht="11.25" hidden="1">
      <c r="A12" s="1049" t="s">
        <v>350</v>
      </c>
      <c r="B12" s="1050"/>
      <c r="K12" s="1051"/>
      <c r="AC12" s="1049" t="s">
        <v>338</v>
      </c>
      <c r="AI12" s="1049"/>
      <c r="AJ12" s="1049"/>
      <c r="AK12" s="1049"/>
      <c r="AL12" s="1049"/>
      <c r="AM12" s="1049"/>
      <c r="AN12" s="1049"/>
      <c r="AO12" s="1049"/>
      <c r="AP12" s="1049"/>
      <c r="AQ12" s="1049"/>
      <c r="AR12" s="1049"/>
      <c r="AS12" s="1049"/>
      <c r="AT12" s="1049"/>
      <c r="AU12" s="1049"/>
      <c r="AV12" s="1049"/>
      <c r="AW12" s="1049"/>
      <c r="AX12" s="1049"/>
      <c r="AY12" s="1049"/>
      <c r="AZ12" s="1049"/>
      <c r="BA12" s="1049"/>
      <c r="BB12" s="1049"/>
      <c r="BI12" s="684"/>
      <c r="BJ12" s="684"/>
    </row>
    <row customHeight="1" ht="11.25" hidden="1">
      <c r="AI13" s="94"/>
      <c r="AJ13" s="94"/>
      <c r="AK13" s="94"/>
      <c r="AL13" s="94"/>
      <c r="AM13" s="94"/>
      <c r="AN13" s="94"/>
      <c r="AO13" s="94"/>
      <c r="AP13" s="94"/>
      <c r="AQ13" s="94"/>
      <c r="AR13" s="94"/>
      <c r="AS13" s="94"/>
      <c r="AT13" s="94"/>
      <c r="AU13" s="94"/>
      <c r="AV13" s="94"/>
      <c r="AW13" s="94"/>
      <c r="AX13" s="94"/>
      <c r="AY13" s="94"/>
      <c r="AZ13" s="94"/>
      <c r="BA13" s="94"/>
      <c r="BB13" s="94"/>
    </row>
    <row customHeight="1" ht="11.25" hidden="1">
      <c r="AI14" s="94"/>
      <c r="AJ14" s="94"/>
      <c r="AK14" s="94"/>
      <c r="AL14" s="94"/>
      <c r="AM14" s="94"/>
      <c r="AN14" s="94"/>
      <c r="AO14" s="94"/>
      <c r="AP14" s="94"/>
      <c r="AQ14" s="94"/>
      <c r="AR14" s="94"/>
      <c r="AS14" s="94"/>
      <c r="AT14" s="94"/>
      <c r="AU14" s="94"/>
      <c r="AV14" s="94"/>
      <c r="AW14" s="94"/>
      <c r="AX14" s="94"/>
      <c r="AY14" s="94"/>
      <c r="AZ14" s="94"/>
      <c r="BA14" s="94"/>
      <c r="BB14" s="94"/>
    </row>
    <row customHeight="1" ht="11.25" hidden="1">
      <c r="AI15" s="94"/>
      <c r="AJ15" s="94"/>
      <c r="AK15" s="94"/>
      <c r="AL15" s="94"/>
      <c r="AM15" s="94"/>
      <c r="AN15" s="94"/>
      <c r="AO15" s="94"/>
      <c r="AP15" s="94"/>
      <c r="AQ15" s="94"/>
      <c r="AR15" s="94"/>
      <c r="AS15" s="94"/>
      <c r="AT15" s="94"/>
      <c r="AU15" s="94"/>
      <c r="AV15" s="94"/>
      <c r="AW15" s="94"/>
      <c r="AX15" s="94"/>
      <c r="AY15" s="94"/>
      <c r="AZ15" s="94"/>
      <c r="BA15" s="94"/>
      <c r="BB15" s="94"/>
    </row>
    <row customHeight="1" ht="11.25" hidden="1">
      <c r="AI16" s="94"/>
      <c r="AJ16" s="94"/>
      <c r="AK16" s="94"/>
      <c r="AL16" s="94"/>
      <c r="AM16" s="94"/>
      <c r="AN16" s="94"/>
      <c r="AO16" s="94"/>
      <c r="AP16" s="94"/>
      <c r="AQ16" s="94"/>
      <c r="AR16" s="94"/>
      <c r="AS16" s="94"/>
      <c r="AT16" s="94"/>
      <c r="AU16" s="94"/>
      <c r="AV16" s="94"/>
      <c r="AW16" s="94"/>
      <c r="AX16" s="94"/>
      <c r="AY16" s="94"/>
      <c r="AZ16" s="94"/>
      <c r="BA16" s="94"/>
      <c r="BB16" s="94"/>
    </row>
    <row customHeight="1" ht="11.25" hidden="1">
      <c r="AI17" s="892"/>
      <c r="AJ17" s="892"/>
      <c r="AK17" s="892"/>
      <c r="AL17" s="892"/>
      <c r="AM17" s="892"/>
      <c r="AN17" s="892"/>
      <c r="AO17" s="892"/>
      <c r="AP17" s="892"/>
      <c r="AQ17" s="892"/>
      <c r="AR17" s="892"/>
      <c r="AS17" s="892"/>
      <c r="AT17" s="892"/>
      <c r="AU17" s="892"/>
      <c r="AV17" s="892"/>
      <c r="AW17" s="892"/>
      <c r="AX17" s="892"/>
      <c r="AY17" s="892"/>
      <c r="AZ17" s="892"/>
      <c r="BA17" s="892"/>
      <c r="BB17" s="892"/>
    </row>
    <row customHeight="1" ht="11.25" hidden="1">
      <c r="A18" s="148" t="s">
        <v>379</v>
      </c>
      <c r="AC18" s="148" t="s">
        <v>1245</v>
      </c>
      <c r="AI18" s="892"/>
      <c r="AJ18" s="892"/>
      <c r="AK18" s="892"/>
      <c r="AL18" s="892"/>
      <c r="AM18" s="892"/>
      <c r="AN18" s="892"/>
      <c r="AO18" s="892"/>
      <c r="AP18" s="892"/>
      <c r="AQ18" s="892"/>
      <c r="AR18" s="892"/>
      <c r="AS18" s="892"/>
      <c r="AT18" s="892"/>
      <c r="AU18" s="892"/>
      <c r="AV18" s="892"/>
      <c r="AW18" s="892"/>
      <c r="AX18" s="892"/>
      <c r="AY18" s="892"/>
      <c r="AZ18" s="892"/>
      <c r="BA18" s="892"/>
      <c r="BB18" s="892"/>
    </row>
    <row customHeight="1" ht="11.25" hidden="1">
      <c r="AI19" s="892"/>
      <c r="AJ19" s="892"/>
      <c r="AK19" s="892"/>
      <c r="AL19" s="892"/>
      <c r="AM19" s="892"/>
      <c r="AN19" s="892"/>
      <c r="AO19" s="892"/>
      <c r="AP19" s="892"/>
      <c r="AQ19" s="892"/>
      <c r="AR19" s="892"/>
      <c r="AS19" s="892"/>
      <c r="AT19" s="892"/>
      <c r="AU19" s="892"/>
      <c r="AV19" s="892"/>
      <c r="AW19" s="892"/>
      <c r="AX19" s="892"/>
      <c r="AY19" s="892"/>
      <c r="AZ19" s="892"/>
      <c r="BA19" s="892"/>
      <c r="BB19" s="892"/>
    </row>
    <row customHeight="1" ht="11.25" hidden="1">
      <c r="AI20" s="892"/>
      <c r="AJ20" s="892"/>
      <c r="AK20" s="892"/>
      <c r="AL20" s="892"/>
      <c r="AM20" s="892"/>
      <c r="AN20" s="892"/>
      <c r="AO20" s="892"/>
      <c r="AP20" s="892"/>
      <c r="AQ20" s="892"/>
      <c r="AR20" s="892"/>
      <c r="AS20" s="892"/>
      <c r="AT20" s="892"/>
      <c r="AU20" s="892"/>
      <c r="AV20" s="892"/>
      <c r="AW20" s="892"/>
      <c r="AX20" s="892"/>
      <c r="AY20" s="892"/>
      <c r="AZ20" s="892"/>
      <c r="BA20" s="892"/>
      <c r="BB20" s="892"/>
    </row>
    <row customHeight="1" ht="14.625">
      <c r="E21" s="684">
        <v>15</v>
      </c>
      <c r="AA21" s="663"/>
      <c r="AC21" s="50" cm="1" t="str">
        <f t="array" ref="AC21:AC21">tpl_title</f>
        <v>Кемеровская область / 2026 / ОАО «СКЭК» (ИНН:4205153492, КПП:420501001) / ДПР: 2024-2028</v>
      </c>
      <c r="AI21" s="892"/>
      <c r="AJ21" s="892"/>
      <c r="AK21" s="892"/>
      <c r="AL21" s="892"/>
      <c r="AM21" s="892"/>
      <c r="AN21" s="892"/>
      <c r="AO21" s="892"/>
      <c r="AP21" s="892"/>
      <c r="AQ21" s="892"/>
      <c r="AR21" s="892"/>
      <c r="AS21" s="892"/>
      <c r="AT21" s="892"/>
      <c r="AU21" s="892"/>
      <c r="AV21" s="892"/>
      <c r="AW21" s="892"/>
      <c r="AX21" s="892"/>
      <c r="AY21" s="892"/>
      <c r="AZ21" s="892"/>
      <c r="BA21" s="892"/>
      <c r="BB21" s="892"/>
    </row>
    <row customHeight="1" ht="19.5">
      <c r="E22" s="684">
        <v>20</v>
      </c>
      <c r="AB22" s="315" t="s">
        <v>60</v>
      </c>
      <c r="AC22" s="219"/>
      <c r="AD22" s="219"/>
      <c r="AE22" s="219"/>
      <c r="AF22" s="219"/>
      <c r="AG22" s="219"/>
      <c r="AH22" s="219"/>
      <c r="AI22" s="219"/>
      <c r="AJ22" s="219"/>
      <c r="AK22" s="219"/>
      <c r="AL22" s="219"/>
      <c r="AM22" s="219"/>
      <c r="AN22" s="219"/>
      <c r="AO22" s="219"/>
      <c r="AP22" s="219"/>
      <c r="AQ22" s="219"/>
      <c r="AR22" s="219"/>
      <c r="AS22" s="219"/>
      <c r="AT22" s="219"/>
      <c r="AU22" s="219"/>
      <c r="AV22" s="219"/>
      <c r="AW22" s="219"/>
      <c r="AX22" s="219"/>
      <c r="AY22" s="219"/>
      <c r="AZ22" s="219"/>
      <c r="BA22" s="219"/>
      <c r="BB22" s="219"/>
      <c r="BC22" s="204"/>
    </row>
    <row customHeight="1" ht="10.96875">
      <c r="E23" s="684">
        <v>11.25</v>
      </c>
      <c r="AB23" s="149"/>
      <c r="AC23" s="150"/>
      <c r="AD23" s="150"/>
      <c r="AE23" s="150"/>
      <c r="AF23" s="150"/>
      <c r="AG23" s="150"/>
      <c r="AH23" s="150"/>
      <c r="AI23" s="150"/>
      <c r="AJ23" s="150"/>
      <c r="AK23" s="150"/>
      <c r="AL23" s="150"/>
      <c r="AM23" s="150"/>
      <c r="AN23" s="150"/>
      <c r="AO23" s="150"/>
      <c r="AP23" s="150"/>
      <c r="AQ23" s="150"/>
      <c r="AR23" s="150"/>
      <c r="AS23" s="150"/>
      <c r="AT23" s="151"/>
      <c r="AU23" s="151"/>
      <c r="AV23" s="151"/>
      <c r="AW23" s="151"/>
      <c r="AX23" s="151"/>
      <c r="AY23" s="151"/>
      <c r="AZ23" s="151"/>
      <c r="BA23" s="151"/>
      <c r="BB23" s="151"/>
    </row>
    <row customHeight="1" ht="14.625">
      <c r="E24" s="684">
        <v>15</v>
      </c>
      <c r="AB24" s="1553" t="s">
        <v>918</v>
      </c>
      <c r="AC24" s="1584" t="s">
        <v>194</v>
      </c>
      <c r="AD24" s="1553" t="s">
        <v>381</v>
      </c>
      <c r="AE24" s="355" t="str">
        <f>god-2&amp;" год"</f>
        <v>2024 год</v>
      </c>
      <c r="AF24" s="1130" t="str">
        <f>god-2&amp;" год"</f>
        <v>2024 год</v>
      </c>
      <c r="AG24" s="355" t="str">
        <f>god-2&amp;" год"</f>
        <v>2024 год</v>
      </c>
      <c r="AH24" s="90" t="str">
        <f>god-1&amp;" год"</f>
        <v>2025 год</v>
      </c>
      <c r="AI24" s="1127" t="str">
        <f>god&amp;" год"</f>
        <v>2026 год</v>
      </c>
      <c r="AJ24" s="1127" t="str">
        <f>god+1&amp;" год"</f>
        <v>2027 год</v>
      </c>
      <c r="AK24" s="1127" t="str">
        <f>god+2&amp;" год"</f>
        <v>2028 год</v>
      </c>
      <c r="AL24" s="1127" t="str">
        <f>god+3&amp;" год"</f>
        <v>2029 год</v>
      </c>
      <c r="AM24" s="1127" t="str">
        <f>god+4&amp;" год"</f>
        <v>2030 год</v>
      </c>
      <c r="AN24" s="1127" t="str">
        <f>god+5&amp;" год"</f>
        <v>2031 год</v>
      </c>
      <c r="AO24" s="1127" t="str">
        <f>god+6&amp;" год"</f>
        <v>2032 год</v>
      </c>
      <c r="AP24" s="1127" t="str">
        <f>god+7&amp;" год"</f>
        <v>2033 год</v>
      </c>
      <c r="AQ24" s="1127" t="str">
        <f>god+8&amp;" год"</f>
        <v>2034 год</v>
      </c>
      <c r="AR24" s="1127" t="str">
        <f>god+9&amp;" год"</f>
        <v>2035 год</v>
      </c>
      <c r="AS24" s="88" t="str">
        <f>god&amp;" год"</f>
        <v>2026 год</v>
      </c>
      <c r="AT24" s="88" t="str">
        <f>god+1&amp;" год"</f>
        <v>2027 год</v>
      </c>
      <c r="AU24" s="88" t="str">
        <f>god+2&amp;" год"</f>
        <v>2028 год</v>
      </c>
      <c r="AV24" s="88" t="str">
        <f>god+3&amp;" год"</f>
        <v>2029 год</v>
      </c>
      <c r="AW24" s="88" t="str">
        <f>god+4&amp;" год"</f>
        <v>2030 год</v>
      </c>
      <c r="AX24" s="88" t="str">
        <f>god+5&amp;" год"</f>
        <v>2031 год</v>
      </c>
      <c r="AY24" s="88" t="str">
        <f>god+6&amp;" год"</f>
        <v>2032 год</v>
      </c>
      <c r="AZ24" s="88" t="str">
        <f>god+7&amp;" год"</f>
        <v>2033 год</v>
      </c>
      <c r="BA24" s="88" t="str">
        <f>god+8&amp;" год"</f>
        <v>2034 год</v>
      </c>
      <c r="BB24" s="88" t="str">
        <f>god+9&amp;" год"</f>
        <v>2035 год</v>
      </c>
      <c r="BC24" s="1564" t="s">
        <v>652</v>
      </c>
    </row>
    <row customHeight="1" ht="48.75">
      <c r="E25" s="684">
        <v>50</v>
      </c>
      <c r="AB25" s="1591"/>
      <c r="AC25" s="1591"/>
      <c r="AD25" s="1591"/>
      <c r="AE25" s="88" t="s">
        <v>373</v>
      </c>
      <c r="AF25" s="1127" t="s">
        <v>555</v>
      </c>
      <c r="AG25" s="88" t="s">
        <v>556</v>
      </c>
      <c r="AH25" s="88" t="s">
        <v>373</v>
      </c>
      <c r="AI25" s="1131" t="s">
        <v>374</v>
      </c>
      <c r="AJ25" s="1131" t="s">
        <v>374</v>
      </c>
      <c r="AK25" s="1131" t="s">
        <v>374</v>
      </c>
      <c r="AL25" s="1131" t="s">
        <v>374</v>
      </c>
      <c r="AM25" s="1131" t="s">
        <v>374</v>
      </c>
      <c r="AN25" s="1131" t="s">
        <v>374</v>
      </c>
      <c r="AO25" s="1131" t="s">
        <v>374</v>
      </c>
      <c r="AP25" s="1131" t="s">
        <v>374</v>
      </c>
      <c r="AQ25" s="1131" t="s">
        <v>374</v>
      </c>
      <c r="AR25" s="1131" t="s">
        <v>374</v>
      </c>
      <c r="AS25" s="356" t="s">
        <v>373</v>
      </c>
      <c r="AT25" s="356" t="s">
        <v>373</v>
      </c>
      <c r="AU25" s="356" t="s">
        <v>373</v>
      </c>
      <c r="AV25" s="356" t="s">
        <v>373</v>
      </c>
      <c r="AW25" s="356" t="s">
        <v>373</v>
      </c>
      <c r="AX25" s="356" t="s">
        <v>373</v>
      </c>
      <c r="AY25" s="356" t="s">
        <v>373</v>
      </c>
      <c r="AZ25" s="356" t="s">
        <v>373</v>
      </c>
      <c r="BA25" s="356" t="s">
        <v>373</v>
      </c>
      <c r="BB25" s="356" t="s">
        <v>373</v>
      </c>
      <c r="BC25" s="1591"/>
    </row>
    <row s="1656" customFormat="1" customHeight="1" ht="11.25" hidden="1">
      <c r="A26" s="502"/>
      <c r="B26" s="664"/>
      <c r="C26" s="502"/>
      <c r="D26" s="502"/>
      <c r="E26" s="665">
        <v>0</v>
      </c>
      <c r="F26" s="660" t="s">
        <v>1246</v>
      </c>
      <c r="G26" s="502"/>
      <c r="H26" s="502"/>
      <c r="I26" s="485"/>
      <c r="J26" s="502"/>
      <c r="K26" s="921"/>
      <c r="L26" s="485"/>
      <c r="M26" s="502"/>
      <c r="N26" s="502"/>
      <c r="O26" s="502"/>
      <c r="P26" s="502"/>
      <c r="Q26" s="502"/>
      <c r="R26" s="502"/>
      <c r="S26" s="502"/>
      <c r="T26" s="502"/>
      <c r="U26" s="502"/>
      <c r="V26" s="502"/>
      <c r="W26" s="502"/>
      <c r="X26" s="502"/>
      <c r="Y26" s="502"/>
      <c r="Z26" s="502"/>
      <c r="AA26" s="502"/>
      <c r="AB26" s="502"/>
      <c r="AC26" s="96"/>
      <c r="AD26" s="96"/>
      <c r="AE26" s="96"/>
      <c r="AF26" s="96"/>
      <c r="AI26" s="1656"/>
      <c r="AJ26" s="1656"/>
      <c r="AK26" s="1656"/>
      <c r="AL26" s="1656"/>
      <c r="AM26" s="1656"/>
      <c r="AN26" s="1656"/>
      <c r="AO26" s="1656"/>
      <c r="AP26" s="1656"/>
      <c r="AQ26" s="97"/>
      <c r="AR26" s="1656"/>
      <c r="AS26" s="1656"/>
      <c r="AT26" s="1656"/>
      <c r="AU26" s="1656"/>
      <c r="AV26" s="1656"/>
      <c r="AW26" s="1656"/>
      <c r="AX26" s="1656"/>
      <c r="AY26" s="1656"/>
      <c r="AZ26" s="1656"/>
      <c r="BA26" s="1656"/>
      <c r="BB26" s="1656"/>
      <c r="BF26" s="1012"/>
      <c r="BG26" s="1012"/>
      <c r="BH26" s="1012"/>
      <c r="BI26" s="629"/>
      <c r="BJ26" s="629"/>
    </row>
    <row customHeight="1" ht="14.625" hidden="1">
      <c r="A27" s="892"/>
      <c r="B27" s="442"/>
      <c r="C27" s="892"/>
      <c r="D27" s="892"/>
      <c r="E27" s="684">
        <v>15</v>
      </c>
      <c r="F27" s="94" cm="1" t="str">
        <f t="array" ref="F27:F27">X27</f>
        <v>0</v>
      </c>
      <c r="G27" s="892"/>
      <c r="H27" s="892"/>
      <c r="I27" s="892" t="s">
        <v>1247</v>
      </c>
      <c r="J27" s="892"/>
      <c r="K27" s="918"/>
      <c r="L27" s="892"/>
      <c r="M27" s="892"/>
      <c r="N27" s="892"/>
      <c r="O27" s="892"/>
      <c r="P27" s="892"/>
      <c r="Q27" s="892"/>
      <c r="R27" s="892"/>
      <c r="S27" s="892"/>
      <c r="T27" s="468">
        <f>X27&gt;0</f>
        <v>0</v>
      </c>
      <c r="U27" s="892"/>
      <c r="V27" s="148" t="s">
        <v>279</v>
      </c>
      <c r="W27" s="892"/>
      <c r="X27" s="1469">
        <v>0</v>
      </c>
      <c r="Y27" s="686"/>
      <c r="Z27" s="1592"/>
      <c r="AA27" s="892"/>
      <c r="AB27" s="218" cm="1" t="str">
        <f t="array" ref="AB27:AB27">INDEX('Общие сведения'!$AG$197:$AG$254,MATCH($X27,'Общие сведения'!$Z$197:$Z$254,0))</f>
        <v>Тариф 0 () - </v>
      </c>
      <c r="AC27" s="176"/>
      <c r="AD27" s="176"/>
      <c r="AE27" s="302">
        <f>AE35+AE42+AE49+AE56+AE28+AE63+AE74+AE81+AE88</f>
        <v>0</v>
      </c>
      <c r="AF27" s="302">
        <f>AF35+AF42+AF49+AF56+AF28+AF63+AF74+AF81+AF88</f>
        <v>0</v>
      </c>
      <c r="AG27" s="302">
        <f>AG35+AG42+AG49+AG56+AG28+AG63+AG74+AG81+AG88</f>
        <v>0</v>
      </c>
      <c r="AH27" s="302">
        <f>AH35+AH42+AH49+AH56+AH28+AH63+AH74+AH81+AH88</f>
        <v>0</v>
      </c>
      <c r="AI27" s="302">
        <f>AI35+AI42+AI49+AI56+AI28+AI63+AI74+AI81+AI88</f>
        <v>0</v>
      </c>
      <c r="AJ27" s="302">
        <f>AJ35+AJ42+AJ49+AJ56+AJ28+AJ63+AJ74+AJ81+AJ88</f>
        <v>0</v>
      </c>
      <c r="AK27" s="302">
        <f>AK35+AK42+AK49+AK56+AK28+AK63+AK74+AK81+AK88</f>
        <v>0</v>
      </c>
      <c r="AL27" s="302">
        <f>AL35+AL42+AL49+AL56+AL28+AL63+AL74+AL81+AL88</f>
        <v>0</v>
      </c>
      <c r="AM27" s="302">
        <f>AM35+AM42+AM49+AM56+AM28+AM63+AM74+AM81+AM88</f>
        <v>0</v>
      </c>
      <c r="AN27" s="302">
        <f>AN35+AN42+AN49+AN56+AN28+AN63+AN74+AN81+AN88</f>
        <v>0</v>
      </c>
      <c r="AO27" s="302">
        <f>AO35+AO42+AO49+AO56+AO28+AO63+AO74+AO81+AO88</f>
        <v>0</v>
      </c>
      <c r="AP27" s="302">
        <f>AP35+AP42+AP49+AP56+AP28+AP63+AP74+AP81+AP88</f>
        <v>0</v>
      </c>
      <c r="AQ27" s="302">
        <f>AQ35+AQ42+AQ49+AQ56+AQ28+AQ63+AQ74+AQ81+AQ88</f>
        <v>0</v>
      </c>
      <c r="AR27" s="302">
        <f>AR35+AR42+AR49+AR56+AR28+AR63+AR74+AR81+AR88</f>
        <v>0</v>
      </c>
      <c r="AS27" s="302">
        <f>AS35+AS42+AS49+AS56+AS28+AS63+AS74+AS81+AS88</f>
        <v>0</v>
      </c>
      <c r="AT27" s="302">
        <f>AT35+AT42+AT49+AT56+AT28+AT63+AT74+AT81+AT88</f>
        <v>0</v>
      </c>
      <c r="AU27" s="302">
        <f>AU35+AU42+AU49+AU56+AU28+AU63+AU74+AU81+AU88</f>
        <v>0</v>
      </c>
      <c r="AV27" s="302">
        <f>AV35+AV42+AV49+AV56+AV28+AV63+AV74+AV81+AV88</f>
        <v>0</v>
      </c>
      <c r="AW27" s="302">
        <f>AW35+AW42+AW49+AW56+AW28+AW63+AW74+AW81+AW88</f>
        <v>0</v>
      </c>
      <c r="AX27" s="302">
        <f>AX35+AX42+AX49+AX56+AX28+AX63+AX74+AX81+AX88</f>
        <v>0</v>
      </c>
      <c r="AY27" s="302">
        <f>AY35+AY42+AY49+AY56+AY28+AY63+AY74+AY81+AY88</f>
        <v>0</v>
      </c>
      <c r="AZ27" s="302">
        <f>AZ35+AZ42+AZ49+AZ56+AZ28+AZ63+AZ74+AZ81+AZ88</f>
        <v>0</v>
      </c>
      <c r="BA27" s="302">
        <f>BA35+BA42+BA49+BA56+BA28+BA63+BA74+BA81+BA88</f>
        <v>0</v>
      </c>
      <c r="BB27" s="302">
        <f>BB35+BB42+BB49+BB56+BB28+BB63+BB74+BB81+BB88</f>
        <v>0</v>
      </c>
      <c r="BC27" s="220"/>
      <c r="BD27" s="892"/>
      <c r="BE27" s="892"/>
      <c r="BF27" s="1049"/>
      <c r="BG27" s="1049"/>
      <c r="BH27" s="1049"/>
      <c r="BI27" s="684"/>
      <c r="BJ27" s="684"/>
    </row>
    <row customHeight="1" ht="14.625" hidden="1">
      <c r="A28" s="892"/>
      <c r="B28" s="442"/>
      <c r="C28" s="892"/>
      <c r="D28" s="892"/>
      <c r="E28" s="684">
        <v>15</v>
      </c>
      <c r="F28" s="50" cm="1" t="str">
        <f t="array" ref="F28:F28">OFFSET(E28,-1,1)</f>
        <v>0</v>
      </c>
      <c r="G28" s="148" t="s">
        <v>344</v>
      </c>
      <c r="H28" s="892"/>
      <c r="I28" s="892"/>
      <c r="J28" s="892"/>
      <c r="K28" s="918" t="str">
        <f>F28&amp;"1komm"</f>
        <v>01komm</v>
      </c>
      <c r="L28" s="922" cm="1" t="str">
        <f t="array" ref="L28:L28">BC28</f>
        <v>0</v>
      </c>
      <c r="M28" s="892"/>
      <c r="N28" s="892"/>
      <c r="O28" s="892"/>
      <c r="P28" s="892"/>
      <c r="Q28" s="892"/>
      <c r="R28" s="892"/>
      <c r="S28" s="892"/>
      <c r="T28" s="468" cm="1" t="str">
        <f t="array" ref="T28:T28">T27</f>
        <v>false</v>
      </c>
      <c r="U28" s="892"/>
      <c r="V28" s="892"/>
      <c r="W28" s="892"/>
      <c r="X28" s="1469"/>
      <c r="Y28" s="892"/>
      <c r="Z28" s="1592"/>
      <c r="AA28" s="892"/>
      <c r="AB28" s="207">
        <v>1</v>
      </c>
      <c r="AC28" s="208" t="s">
        <v>1248</v>
      </c>
      <c r="AD28" s="207" t="s">
        <v>936</v>
      </c>
      <c r="AE28" s="209">
        <f>SUMIF(AD31:AD34,AD28,AE31:AE34)</f>
        <v>0</v>
      </c>
      <c r="AF28" s="209">
        <f>SUMIF(AD31:AD34,AD28,AF31:AF34)</f>
        <v>0</v>
      </c>
      <c r="AG28" s="209">
        <f>SUMIF(AD31:AD34,AD28,AG31:AG34)</f>
        <v>0</v>
      </c>
      <c r="AH28" s="209">
        <f>SUMIF(AD31:AD34,AD28,AH31:AH34)</f>
        <v>0</v>
      </c>
      <c r="AI28" s="209">
        <f>SUMIF(AD31:AD34,AD28,AI31:AI34)</f>
        <v>0</v>
      </c>
      <c r="AJ28" s="3200">
        <f>SUMIF(AD31:AD34,AD28,AJ31:AJ34)</f>
        <v>0</v>
      </c>
      <c r="AK28" s="3200">
        <f>SUMIF(AD31:AD34,AD28,AK31:AK34)</f>
        <v>0</v>
      </c>
      <c r="AL28" s="3200">
        <f>SUMIF(AD31:AD34,AD28,AL31:AL34)</f>
        <v>0</v>
      </c>
      <c r="AM28" s="3200">
        <f>SUMIF(AD31:AD34,AD28,AM31:AM34)</f>
        <v>0</v>
      </c>
      <c r="AN28" s="3200">
        <f>SUMIF(AD31:AD34,AD28,AN31:AN34)</f>
        <v>0</v>
      </c>
      <c r="AO28" s="3200">
        <f>SUMIF(AD31:AD34,AD28,AO31:AO34)</f>
        <v>0</v>
      </c>
      <c r="AP28" s="3200">
        <f>SUMIF(AD31:AD34,AD28,AP31:AP34)</f>
        <v>0</v>
      </c>
      <c r="AQ28" s="3200">
        <f>SUMIF(AD31:AD34,AD28,AQ31:AQ34)</f>
        <v>0</v>
      </c>
      <c r="AR28" s="3200">
        <f>SUMIF(AD31:AD34,AD28,AR31:AR34)</f>
        <v>0</v>
      </c>
      <c r="AS28" s="209">
        <f>SUMIF(AD31:AD34,AD28,AS31:AS34)</f>
        <v>0</v>
      </c>
      <c r="AT28" s="3200">
        <f>SUMIF(AD31:AD34,AD28,AT31:AT34)</f>
        <v>0</v>
      </c>
      <c r="AU28" s="3200">
        <f>SUMIF(AD31:AD34,AD28,AU31:AU34)</f>
        <v>0</v>
      </c>
      <c r="AV28" s="3200">
        <f>SUMIF(AD31:AD34,AD28,AV31:AV34)</f>
        <v>0</v>
      </c>
      <c r="AW28" s="3200">
        <f>SUMIF(AD31:AD34,AD28,AW31:AW34)</f>
        <v>0</v>
      </c>
      <c r="AX28" s="3200">
        <f>SUMIF(AD31:AD34,AD28,AX31:AX34)</f>
        <v>0</v>
      </c>
      <c r="AY28" s="3200">
        <f>SUMIF(AD31:AD34,AD28,AY31:AY34)</f>
        <v>0</v>
      </c>
      <c r="AZ28" s="3200">
        <f>SUMIF(AD31:AD34,AD28,AZ31:AZ34)</f>
        <v>0</v>
      </c>
      <c r="BA28" s="3200">
        <f>SUMIF(AD31:AD34,AD28,BA31:BA34)</f>
        <v>0</v>
      </c>
      <c r="BB28" s="3200">
        <f>SUMIF(AD31:AD34,AD28,BB31:BB34)</f>
        <v>0</v>
      </c>
      <c r="BC28" s="1928"/>
      <c r="BD28" s="892"/>
      <c r="BE28" s="892"/>
      <c r="BF28" s="1049" t="s">
        <v>1249</v>
      </c>
      <c r="BG28" s="1049"/>
      <c r="BH28" s="1049"/>
      <c r="BI28" s="684"/>
      <c r="BJ28" s="684"/>
    </row>
    <row customHeight="1" ht="15" hidden="1">
      <c r="A29" s="892"/>
      <c r="B29" s="442"/>
      <c r="C29" s="892"/>
      <c r="D29" s="892"/>
      <c r="E29" s="684">
        <v>0</v>
      </c>
      <c r="F29" s="50" cm="1" t="str">
        <f t="array" ref="F29:F29">OFFSET(E29,-1,1)</f>
        <v>0</v>
      </c>
      <c r="G29" s="892"/>
      <c r="H29" s="892"/>
      <c r="I29" s="892"/>
      <c r="J29" s="892"/>
      <c r="K29" s="918"/>
      <c r="L29" s="922"/>
      <c r="M29" s="892"/>
      <c r="N29" s="892"/>
      <c r="O29" s="892"/>
      <c r="P29" s="892"/>
      <c r="Q29" s="892"/>
      <c r="R29" s="892"/>
      <c r="S29" s="892"/>
      <c r="T29" s="468" t="b">
        <v>0</v>
      </c>
      <c r="U29" s="892"/>
      <c r="V29" s="892"/>
      <c r="W29" s="148" t="s">
        <v>173</v>
      </c>
      <c r="X29" s="1469"/>
      <c r="Y29" s="1469">
        <v>0</v>
      </c>
      <c r="Z29" s="1592"/>
      <c r="AA29" s="1593" t="s">
        <v>174</v>
      </c>
      <c r="AB29" s="207"/>
      <c r="AC29" s="208"/>
      <c r="AD29" s="207"/>
      <c r="AE29" s="212">
        <f>OR(AND(AE31&lt;&gt;"",AE32=""),AND(AE31="",AE32&lt;&gt;""))</f>
        <v>0</v>
      </c>
      <c r="AF29" s="212">
        <f>OR(AND(AF31&lt;&gt;"",AF32=""),AND(AF31="",AF32&lt;&gt;""))</f>
        <v>0</v>
      </c>
      <c r="AG29" s="212">
        <f>OR(AND(AG31&lt;&gt;"",AG32=""),AND(AG31="",AG32&lt;&gt;""))</f>
        <v>0</v>
      </c>
      <c r="AH29" s="212">
        <f>OR(AND(AH31&lt;&gt;"",AH32=""),AND(AH31="",AH32&lt;&gt;""))</f>
        <v>0</v>
      </c>
      <c r="AI29" s="212">
        <f>OR(AND(AI31&lt;&gt;"",AI32=""),AND(AI31="",AI32&lt;&gt;""))</f>
        <v>0</v>
      </c>
      <c r="AJ29" s="212">
        <f>OR(AND(AJ31&lt;&gt;"",AJ32=""),AND(AJ31="",AJ32&lt;&gt;""))</f>
        <v>0</v>
      </c>
      <c r="AK29" s="212">
        <f>OR(AND(AK31&lt;&gt;"",AK32=""),AND(AK31="",AK32&lt;&gt;""))</f>
        <v>0</v>
      </c>
      <c r="AL29" s="212">
        <f>OR(AND(AL31&lt;&gt;"",AL32=""),AND(AL31="",AL32&lt;&gt;""))</f>
        <v>0</v>
      </c>
      <c r="AM29" s="212">
        <f>OR(AND(AM31&lt;&gt;"",AM32=""),AND(AM31="",AM32&lt;&gt;""))</f>
        <v>0</v>
      </c>
      <c r="AN29" s="212">
        <f>OR(AND(AN31&lt;&gt;"",AN32=""),AND(AN31="",AN32&lt;&gt;""))</f>
        <v>0</v>
      </c>
      <c r="AO29" s="212">
        <f>OR(AND(AO31&lt;&gt;"",AO32=""),AND(AO31="",AO32&lt;&gt;""))</f>
        <v>0</v>
      </c>
      <c r="AP29" s="212">
        <f>OR(AND(AP31&lt;&gt;"",AP32=""),AND(AP31="",AP32&lt;&gt;""))</f>
        <v>0</v>
      </c>
      <c r="AQ29" s="212">
        <f>OR(AND(AQ31&lt;&gt;"",AQ32=""),AND(AQ31="",AQ32&lt;&gt;""))</f>
        <v>0</v>
      </c>
      <c r="AR29" s="212">
        <f>OR(AND(AR31&lt;&gt;"",AR32=""),AND(AR31="",AR32&lt;&gt;""))</f>
        <v>0</v>
      </c>
      <c r="AS29" s="212">
        <f>OR(AND(AS31&lt;&gt;"",AS32=""),AND(AS31="",AS32&lt;&gt;""))</f>
        <v>0</v>
      </c>
      <c r="AT29" s="212">
        <f>OR(AND(AT31&lt;&gt;"",AT32=""),AND(AT31="",AT32&lt;&gt;""))</f>
        <v>0</v>
      </c>
      <c r="AU29" s="212">
        <f>OR(AND(AU31&lt;&gt;"",AU32=""),AND(AU31="",AU32&lt;&gt;""))</f>
        <v>0</v>
      </c>
      <c r="AV29" s="212">
        <f>OR(AND(AV31&lt;&gt;"",AV32=""),AND(AV31="",AV32&lt;&gt;""))</f>
        <v>0</v>
      </c>
      <c r="AW29" s="212">
        <f>OR(AND(AW31&lt;&gt;"",AW32=""),AND(AW31="",AW32&lt;&gt;""))</f>
        <v>0</v>
      </c>
      <c r="AX29" s="212">
        <f>OR(AND(AX31&lt;&gt;"",AX32=""),AND(AX31="",AX32&lt;&gt;""))</f>
        <v>0</v>
      </c>
      <c r="AY29" s="212">
        <f>OR(AND(AY31&lt;&gt;"",AY32=""),AND(AY31="",AY32&lt;&gt;""))</f>
        <v>0</v>
      </c>
      <c r="AZ29" s="212">
        <f>OR(AND(AZ31&lt;&gt;"",AZ32=""),AND(AZ31="",AZ32&lt;&gt;""))</f>
        <v>0</v>
      </c>
      <c r="BA29" s="212">
        <f>OR(AND(BA31&lt;&gt;"",BA32=""),AND(BA31="",BA32&lt;&gt;""))</f>
        <v>0</v>
      </c>
      <c r="BB29" s="212">
        <f>OR(AND(BB31&lt;&gt;"",BB32=""),AND(BB31="",BB32&lt;&gt;""))</f>
        <v>0</v>
      </c>
      <c r="BC29" s="982"/>
      <c r="BD29" s="892"/>
      <c r="BE29" s="892"/>
      <c r="BF29" s="1049"/>
      <c r="BG29" s="1049"/>
      <c r="BH29" s="1049"/>
      <c r="BI29" s="684"/>
      <c r="BJ29" s="684"/>
    </row>
    <row customHeight="1" ht="14.625" hidden="1">
      <c r="A30" s="892"/>
      <c r="B30" s="442"/>
      <c r="C30" s="892"/>
      <c r="D30" s="892"/>
      <c r="E30" s="684">
        <v>15</v>
      </c>
      <c r="F30" s="1326" cm="1" t="str">
        <f t="array" ref="F30:F30">OFFSET(E30,-1,1)</f>
        <v>0</v>
      </c>
      <c r="G30" s="892"/>
      <c r="H30" s="892"/>
      <c r="I30" s="892"/>
      <c r="J30" s="892"/>
      <c r="K30" s="918"/>
      <c r="L30" s="922"/>
      <c r="M30" s="892"/>
      <c r="N30" s="892"/>
      <c r="O30" s="892"/>
      <c r="P30" s="892"/>
      <c r="Q30" s="892"/>
      <c r="R30" s="892"/>
      <c r="S30" s="892"/>
      <c r="T30" s="1436">
        <f>AND(Y29&gt;0,F30&gt;0)</f>
        <v>0</v>
      </c>
      <c r="U30" s="892"/>
      <c r="V30" s="892"/>
      <c r="W30" s="892"/>
      <c r="X30" s="690"/>
      <c r="Y30" s="1469"/>
      <c r="Z30" s="892"/>
      <c r="AA30" s="3203"/>
      <c r="AB30" s="3204" t="str">
        <f>"1."&amp;Y29</f>
        <v>1.0</v>
      </c>
      <c r="AC30" s="3205" t="s">
        <v>240</v>
      </c>
      <c r="AD30" s="3206"/>
      <c r="AE30" s="3207"/>
      <c r="AF30" s="3208"/>
      <c r="AG30" s="3207"/>
      <c r="AH30" s="3207"/>
      <c r="AI30" s="3207"/>
      <c r="AJ30" s="3207"/>
      <c r="AK30" s="3207"/>
      <c r="AL30" s="3207"/>
      <c r="AM30" s="3207"/>
      <c r="AN30" s="3207"/>
      <c r="AO30" s="3207"/>
      <c r="AP30" s="3207"/>
      <c r="AQ30" s="3207"/>
      <c r="AR30" s="3207"/>
      <c r="AS30" s="3208"/>
      <c r="AT30" s="3208"/>
      <c r="AU30" s="3208"/>
      <c r="AV30" s="3208"/>
      <c r="AW30" s="3208"/>
      <c r="AX30" s="3208"/>
      <c r="AY30" s="3208"/>
      <c r="AZ30" s="3208"/>
      <c r="BA30" s="3208"/>
      <c r="BB30" s="3209"/>
      <c r="BC30" s="3210"/>
      <c r="BD30" s="892"/>
      <c r="BE30" s="892"/>
      <c r="BF30" s="1049"/>
      <c r="BG30" s="1049"/>
      <c r="BH30" s="1049"/>
      <c r="BI30" s="684"/>
      <c r="BJ30" s="684"/>
    </row>
    <row customHeight="1" ht="14.25" hidden="1">
      <c r="A31" s="892"/>
      <c r="B31" s="442"/>
      <c r="C31" s="892"/>
      <c r="D31" s="892"/>
      <c r="E31" s="684">
        <v>15</v>
      </c>
      <c r="F31" s="50" cm="1" t="str">
        <f t="array" ref="F31:F31">OFFSET(E31,-1,1)</f>
        <v>0</v>
      </c>
      <c r="G31" s="148" t="s">
        <v>344</v>
      </c>
      <c r="H31" s="151" cm="1" t="str">
        <f t="array" ref="H31:H31">AC31</f>
        <v>Затраты</v>
      </c>
      <c r="I31" s="148" t="s">
        <v>1250</v>
      </c>
      <c r="J31" s="892"/>
      <c r="K31" s="918"/>
      <c r="L31" s="892"/>
      <c r="M31" s="892"/>
      <c r="N31" s="892"/>
      <c r="O31" s="892"/>
      <c r="P31" s="892"/>
      <c r="Q31" s="892"/>
      <c r="R31" s="892"/>
      <c r="S31" s="892"/>
      <c r="T31" s="468" cm="1" t="str">
        <f t="array" ref="T31:T31">T30</f>
        <v>false</v>
      </c>
      <c r="U31" s="892"/>
      <c r="V31" s="892"/>
      <c r="W31" s="892"/>
      <c r="X31" s="1469"/>
      <c r="Y31" s="1469"/>
      <c r="Z31" s="1592"/>
      <c r="AA31" s="1593"/>
      <c r="AB31" s="84" t="str">
        <f>AB30&amp;".1"</f>
        <v>1.0.1</v>
      </c>
      <c r="AC31" s="3211" t="s">
        <v>1251</v>
      </c>
      <c r="AD31" s="207" t="s">
        <v>936</v>
      </c>
      <c r="AE31" s="3212"/>
      <c r="AF31" s="3212"/>
      <c r="AG31" s="3212"/>
      <c r="AH31" s="3212"/>
      <c r="AI31" s="3212"/>
      <c r="AJ31" s="3212"/>
      <c r="AK31" s="3212"/>
      <c r="AL31" s="3212"/>
      <c r="AM31" s="3212"/>
      <c r="AN31" s="3212"/>
      <c r="AO31" s="3212"/>
      <c r="AP31" s="3212"/>
      <c r="AQ31" s="3212"/>
      <c r="AR31" s="3212"/>
      <c r="AS31" s="3212"/>
      <c r="AT31" s="3212"/>
      <c r="AU31" s="3212"/>
      <c r="AV31" s="3212"/>
      <c r="AW31" s="3212"/>
      <c r="AX31" s="3212"/>
      <c r="AY31" s="3212"/>
      <c r="AZ31" s="3212"/>
      <c r="BA31" s="3212"/>
      <c r="BB31" s="3212"/>
      <c r="BC31" s="1928"/>
      <c r="BD31" s="892"/>
      <c r="BE31" s="892"/>
      <c r="BF31" s="1049" t="s">
        <v>1252</v>
      </c>
      <c r="BG31" s="1049" t="s">
        <v>1253</v>
      </c>
      <c r="BH31" s="1049" cm="1" t="str">
        <f t="array" ref="BH31:BH31">AC30</f>
        <v/>
      </c>
      <c r="BI31" s="684"/>
      <c r="BJ31" s="684" t="b">
        <v>1</v>
      </c>
    </row>
    <row customHeight="1" ht="14.625" hidden="1">
      <c r="A32" s="892"/>
      <c r="B32" s="442"/>
      <c r="C32" s="892"/>
      <c r="D32" s="892"/>
      <c r="E32" s="684">
        <v>15</v>
      </c>
      <c r="F32" s="50" cm="1" t="str">
        <f t="array" ref="F32:F32">OFFSET(E32,-1,1)</f>
        <v>0</v>
      </c>
      <c r="G32" s="148" t="s">
        <v>566</v>
      </c>
      <c r="H32" s="151" cm="1" t="str">
        <f t="array" ref="H32:H32">H31</f>
        <v>Затраты</v>
      </c>
      <c r="I32" s="148" t="s">
        <v>1250</v>
      </c>
      <c r="J32" s="892"/>
      <c r="K32" s="918"/>
      <c r="L32" s="892"/>
      <c r="M32" s="892"/>
      <c r="N32" s="892"/>
      <c r="O32" s="892"/>
      <c r="P32" s="892"/>
      <c r="Q32" s="892"/>
      <c r="R32" s="892"/>
      <c r="S32" s="892"/>
      <c r="T32" s="468" cm="1" t="str">
        <f t="array" ref="T32:T32">T31</f>
        <v>false</v>
      </c>
      <c r="U32" s="892"/>
      <c r="V32" s="892"/>
      <c r="W32" s="892"/>
      <c r="X32" s="1469"/>
      <c r="Y32" s="1469"/>
      <c r="Z32" s="1592"/>
      <c r="AA32" s="1593"/>
      <c r="AB32" s="84" t="str">
        <f>AB31&amp;".1"</f>
        <v>1.0.1.1</v>
      </c>
      <c r="AC32" s="217" t="s">
        <v>1254</v>
      </c>
      <c r="AD32" s="84" t="s">
        <v>657</v>
      </c>
      <c r="AE32" s="3109"/>
      <c r="AF32" s="3109"/>
      <c r="AG32" s="3109"/>
      <c r="AH32" s="3109"/>
      <c r="AI32" s="3109"/>
      <c r="AJ32" s="3109"/>
      <c r="AK32" s="3109"/>
      <c r="AL32" s="3109"/>
      <c r="AM32" s="3109"/>
      <c r="AN32" s="3109"/>
      <c r="AO32" s="3109"/>
      <c r="AP32" s="3109"/>
      <c r="AQ32" s="3109"/>
      <c r="AR32" s="3109"/>
      <c r="AS32" s="3109"/>
      <c r="AT32" s="3109"/>
      <c r="AU32" s="3109"/>
      <c r="AV32" s="3109"/>
      <c r="AW32" s="3109"/>
      <c r="AX32" s="3109"/>
      <c r="AY32" s="3109"/>
      <c r="AZ32" s="3109"/>
      <c r="BA32" s="3109"/>
      <c r="BB32" s="3109"/>
      <c r="BC32" s="1928"/>
      <c r="BD32" s="892"/>
      <c r="BE32" s="892"/>
      <c r="BF32" s="1049" t="s">
        <v>1255</v>
      </c>
      <c r="BG32" s="1049" t="s">
        <v>1253</v>
      </c>
      <c r="BH32" s="1049" cm="1" t="str">
        <f t="array" ref="BH32:BH32">BH31</f>
        <v/>
      </c>
      <c r="BI32" s="684"/>
      <c r="BJ32" s="684"/>
    </row>
    <row customHeight="1" ht="14.625" hidden="1">
      <c r="A33" s="892"/>
      <c r="B33" s="442"/>
      <c r="C33" s="892"/>
      <c r="D33" s="892"/>
      <c r="E33" s="684">
        <v>15</v>
      </c>
      <c r="F33" s="1326" cm="1" t="str">
        <f t="array" ref="F33:F33">OFFSET(E33,-1,1)</f>
        <v>0</v>
      </c>
      <c r="G33" s="892"/>
      <c r="H33" s="151"/>
      <c r="I33" s="892"/>
      <c r="J33" s="892"/>
      <c r="K33" s="918"/>
      <c r="L33" s="892"/>
      <c r="M33" s="892"/>
      <c r="N33" s="892"/>
      <c r="O33" s="892"/>
      <c r="P33" s="892"/>
      <c r="Q33" s="892"/>
      <c r="R33" s="892"/>
      <c r="S33" s="892"/>
      <c r="T33" s="1436" cm="1" t="str">
        <f t="array" ref="T33:T33">T32</f>
        <v>false</v>
      </c>
      <c r="U33" s="892"/>
      <c r="V33" s="892"/>
      <c r="W33" s="892"/>
      <c r="X33" s="690"/>
      <c r="Y33" s="1469"/>
      <c r="Z33" s="892"/>
      <c r="AA33" s="3203"/>
      <c r="AB33" s="3214" t="str">
        <f>AB31&amp;".2"</f>
        <v>1.0.1.2</v>
      </c>
      <c r="AC33" s="3215" t="s">
        <v>1256</v>
      </c>
      <c r="AD33" s="3214" t="s">
        <v>1257</v>
      </c>
      <c r="AE33" s="3216"/>
      <c r="AF33" s="3216"/>
      <c r="AG33" s="3216"/>
      <c r="AH33" s="3216"/>
      <c r="AI33" s="3216"/>
      <c r="AJ33" s="3216"/>
      <c r="AK33" s="3216"/>
      <c r="AL33" s="3216"/>
      <c r="AM33" s="3216"/>
      <c r="AN33" s="3216"/>
      <c r="AO33" s="3216"/>
      <c r="AP33" s="3216"/>
      <c r="AQ33" s="3216"/>
      <c r="AR33" s="3216"/>
      <c r="AS33" s="3216"/>
      <c r="AT33" s="3216"/>
      <c r="AU33" s="3216"/>
      <c r="AV33" s="3216"/>
      <c r="AW33" s="3216"/>
      <c r="AX33" s="3216"/>
      <c r="AY33" s="3216"/>
      <c r="AZ33" s="3216"/>
      <c r="BA33" s="3216"/>
      <c r="BB33" s="3216"/>
      <c r="BC33" s="3217"/>
      <c r="BD33" s="892"/>
      <c r="BE33" s="892"/>
      <c r="BF33" s="1049" t="s">
        <v>1258</v>
      </c>
      <c r="BG33" s="1049" t="s">
        <v>1253</v>
      </c>
      <c r="BH33" s="3218" cm="1" t="str">
        <f t="array" ref="BH33:BH33">BH32</f>
        <v/>
      </c>
      <c r="BI33" s="684"/>
      <c r="BJ33" s="684"/>
    </row>
    <row customHeight="1" ht="14.625" hidden="1">
      <c r="A34" s="892"/>
      <c r="B34" s="442"/>
      <c r="C34" s="892"/>
      <c r="D34" s="892"/>
      <c r="E34" s="684">
        <v>15</v>
      </c>
      <c r="F34" s="50" cm="1" t="str">
        <f t="array" ref="F34:F34">OFFSET(E34,-1,1)</f>
        <v>0</v>
      </c>
      <c r="G34" s="892"/>
      <c r="H34" s="148" t="str">
        <f>"!=='не определено' &amp;&amp; row.l1 !== null"</f>
        <v>!=='не определено' &amp;&amp; row.l1 !== null</v>
      </c>
      <c r="I34" s="892"/>
      <c r="J34" s="892"/>
      <c r="K34" s="918"/>
      <c r="L34" s="892"/>
      <c r="M34" s="892"/>
      <c r="N34" s="892"/>
      <c r="O34" s="892"/>
      <c r="P34" s="892"/>
      <c r="Q34" s="892"/>
      <c r="R34" s="892"/>
      <c r="S34" s="892"/>
      <c r="T34" s="468">
        <f>F34&gt;0</f>
        <v>0</v>
      </c>
      <c r="U34" s="892"/>
      <c r="V34" s="892"/>
      <c r="W34" s="691" t="s">
        <v>1259</v>
      </c>
      <c r="X34" s="1469"/>
      <c r="Y34" s="892"/>
      <c r="Z34" s="1592"/>
      <c r="AA34" s="892"/>
      <c r="AB34" s="687"/>
      <c r="AC34" s="228" t="s">
        <v>1260</v>
      </c>
      <c r="AD34" s="228"/>
      <c r="AE34" s="228"/>
      <c r="AF34" s="228"/>
      <c r="AG34" s="228"/>
      <c r="AH34" s="228"/>
      <c r="AI34" s="228"/>
      <c r="AJ34" s="228"/>
      <c r="AK34" s="228"/>
      <c r="AL34" s="228"/>
      <c r="AM34" s="228"/>
      <c r="AN34" s="228"/>
      <c r="AO34" s="228"/>
      <c r="AP34" s="228"/>
      <c r="AQ34" s="228"/>
      <c r="AR34" s="228"/>
      <c r="AS34" s="228"/>
      <c r="AT34" s="228"/>
      <c r="AU34" s="228"/>
      <c r="AV34" s="228"/>
      <c r="AW34" s="228"/>
      <c r="AX34" s="228"/>
      <c r="AY34" s="228"/>
      <c r="AZ34" s="228"/>
      <c r="BA34" s="228"/>
      <c r="BB34" s="228"/>
      <c r="BC34" s="229"/>
      <c r="BD34" s="892"/>
      <c r="BE34" s="892"/>
      <c r="BF34" s="1049"/>
      <c r="BG34" s="1049"/>
      <c r="BH34" s="1049"/>
      <c r="BI34" s="684" t="s">
        <v>1253</v>
      </c>
      <c r="BJ34" s="684"/>
    </row>
    <row customHeight="1" ht="21.9375" hidden="1">
      <c r="A35" s="892"/>
      <c r="B35" s="442"/>
      <c r="C35" s="892"/>
      <c r="D35" s="892"/>
      <c r="E35" s="684">
        <v>22.5</v>
      </c>
      <c r="F35" s="50" cm="1" t="str">
        <f t="array" ref="F35:F35">OFFSET(E35,-1,1)</f>
        <v>0</v>
      </c>
      <c r="G35" s="892"/>
      <c r="H35" s="892"/>
      <c r="I35" s="892"/>
      <c r="J35" s="892"/>
      <c r="K35" s="918" t="str">
        <f>F28&amp;"2komm"</f>
        <v>02komm</v>
      </c>
      <c r="L35" s="922" cm="1" t="str">
        <f t="array" ref="L35:L35">BC35</f>
        <v>0</v>
      </c>
      <c r="M35" s="892"/>
      <c r="N35" s="892"/>
      <c r="O35" s="892"/>
      <c r="P35" s="892"/>
      <c r="Q35" s="892"/>
      <c r="R35" s="892"/>
      <c r="S35" s="892"/>
      <c r="T35" s="468" cm="1" t="str">
        <f t="array" ref="T35:T35">T34</f>
        <v>false</v>
      </c>
      <c r="U35" s="892"/>
      <c r="V35" s="892"/>
      <c r="W35" s="892"/>
      <c r="X35" s="1469"/>
      <c r="Y35" s="690"/>
      <c r="Z35" s="1592"/>
      <c r="AA35" s="892"/>
      <c r="AB35" s="207">
        <v>2</v>
      </c>
      <c r="AC35" s="208" t="s">
        <v>1261</v>
      </c>
      <c r="AD35" s="207" t="s">
        <v>936</v>
      </c>
      <c r="AE35" s="209">
        <f>SUMIF(AD38:AD41,AD35,AE38:AE41)</f>
        <v>0</v>
      </c>
      <c r="AF35" s="209">
        <f>SUMIF(AD38:AD41,AD35,AF38:AF41)</f>
        <v>0</v>
      </c>
      <c r="AG35" s="209">
        <f>SUMIF(AD38:AD41,AD35,AG38:AG41)</f>
        <v>0</v>
      </c>
      <c r="AH35" s="209">
        <f>SUMIF(AD38:AD41,AD35,AH38:AH41)</f>
        <v>0</v>
      </c>
      <c r="AI35" s="209">
        <f>SUMIF(AD38:AD41,AD35,AI38:AI41)</f>
        <v>0</v>
      </c>
      <c r="AJ35" s="3200">
        <f>SUMIF(AD38:AD41,AD35,AJ38:AJ41)</f>
        <v>0</v>
      </c>
      <c r="AK35" s="3200">
        <f>SUMIF(AD38:AD41,AD35,AK38:AK41)</f>
        <v>0</v>
      </c>
      <c r="AL35" s="3200">
        <f>SUMIF(AD38:AD41,AD35,AL38:AL41)</f>
        <v>0</v>
      </c>
      <c r="AM35" s="3200">
        <f>SUMIF(AD38:AD41,AD35,AM38:AM41)</f>
        <v>0</v>
      </c>
      <c r="AN35" s="3200">
        <f>SUMIF(AD38:AD41,AD35,AN38:AN41)</f>
        <v>0</v>
      </c>
      <c r="AO35" s="3200">
        <f>SUMIF(AD38:AD41,AD35,AO38:AO41)</f>
        <v>0</v>
      </c>
      <c r="AP35" s="3200">
        <f>SUMIF(AD38:AD41,AD35,AP38:AP41)</f>
        <v>0</v>
      </c>
      <c r="AQ35" s="3200">
        <f>SUMIF(AD38:AD41,AD35,AQ38:AQ41)</f>
        <v>0</v>
      </c>
      <c r="AR35" s="3200">
        <f>SUMIF(AD38:AD41,AD35,AR38:AR41)</f>
        <v>0</v>
      </c>
      <c r="AS35" s="209">
        <f>SUMIF(AD38:AD41,AD35,AS38:AS41)</f>
        <v>0</v>
      </c>
      <c r="AT35" s="3200">
        <f>SUMIF(AD38:AD41,AD35,AT38:AT41)</f>
        <v>0</v>
      </c>
      <c r="AU35" s="3200">
        <f>SUMIF(AD38:AD41,AD35,AU38:AU41)</f>
        <v>0</v>
      </c>
      <c r="AV35" s="3200">
        <f>SUMIF(AD38:AD41,AD35,AV38:AV41)</f>
        <v>0</v>
      </c>
      <c r="AW35" s="3200">
        <f>SUMIF(AD38:AD41,AD35,AW38:AW41)</f>
        <v>0</v>
      </c>
      <c r="AX35" s="3200">
        <f>SUMIF(AD38:AD41,AD35,AX38:AX41)</f>
        <v>0</v>
      </c>
      <c r="AY35" s="3200">
        <f>SUMIF(AD38:AD41,AD35,AY38:AY41)</f>
        <v>0</v>
      </c>
      <c r="AZ35" s="3200">
        <f>SUMIF(AD38:AD41,AD35,AZ38:AZ41)</f>
        <v>0</v>
      </c>
      <c r="BA35" s="3200">
        <f>SUMIF(AD38:AD41,AD35,BA38:BA41)</f>
        <v>0</v>
      </c>
      <c r="BB35" s="3200">
        <f>SUMIF(AD38:AD41,AD35,BB38:BB41)</f>
        <v>0</v>
      </c>
      <c r="BC35" s="1928"/>
      <c r="BD35" s="892"/>
      <c r="BE35" s="892"/>
      <c r="BF35" s="1049" t="s">
        <v>1262</v>
      </c>
      <c r="BG35" s="1049"/>
      <c r="BH35" s="1049"/>
      <c r="BI35" s="684"/>
      <c r="BJ35" s="684"/>
    </row>
    <row customHeight="1" ht="15" hidden="1">
      <c r="A36" s="892"/>
      <c r="B36" s="442"/>
      <c r="C36" s="892"/>
      <c r="D36" s="892"/>
      <c r="E36" s="684">
        <v>0</v>
      </c>
      <c r="F36" s="50" cm="1" t="str">
        <f t="array" ref="F36:F36">OFFSET(E36,-1,1)</f>
        <v>0</v>
      </c>
      <c r="G36" s="148" t="s">
        <v>345</v>
      </c>
      <c r="H36" s="892"/>
      <c r="I36" s="892"/>
      <c r="J36" s="892"/>
      <c r="K36" s="918"/>
      <c r="L36" s="922"/>
      <c r="M36" s="892"/>
      <c r="N36" s="892"/>
      <c r="O36" s="892"/>
      <c r="P36" s="892"/>
      <c r="Q36" s="892"/>
      <c r="R36" s="892"/>
      <c r="S36" s="892"/>
      <c r="T36" s="468" t="b">
        <v>0</v>
      </c>
      <c r="U36" s="892"/>
      <c r="V36" s="892"/>
      <c r="W36" s="148" t="s">
        <v>173</v>
      </c>
      <c r="X36" s="1469"/>
      <c r="Y36" s="1469">
        <v>0</v>
      </c>
      <c r="Z36" s="1592"/>
      <c r="AA36" s="1594" t="s">
        <v>174</v>
      </c>
      <c r="AB36" s="207"/>
      <c r="AC36" s="208"/>
      <c r="AD36" s="207"/>
      <c r="AE36" s="1448">
        <f>OR(AND(AE38&lt;&gt;"",AE39=""),AND(AE38="",AE39&lt;&gt;""))</f>
        <v>0</v>
      </c>
      <c r="AF36" s="1448">
        <f>OR(AND(AF38&lt;&gt;"",AF39=""),AND(AF38="",AF39&lt;&gt;""))</f>
        <v>0</v>
      </c>
      <c r="AG36" s="1448">
        <f>OR(AND(AG38&lt;&gt;"",AG39=""),AND(AG38="",AG39&lt;&gt;""))</f>
        <v>0</v>
      </c>
      <c r="AH36" s="1448">
        <f>OR(AND(AH38&lt;&gt;"",AH39=""),AND(AH38="",AH39&lt;&gt;""))</f>
        <v>0</v>
      </c>
      <c r="AI36" s="1448">
        <f>OR(AND(AI38&lt;&gt;"",AI39=""),AND(AI38="",AI39&lt;&gt;""))</f>
        <v>0</v>
      </c>
      <c r="AJ36" s="1448">
        <f>OR(AND(AJ38&lt;&gt;"",AJ39=""),AND(AJ38="",AJ39&lt;&gt;""))</f>
        <v>0</v>
      </c>
      <c r="AK36" s="1448">
        <f>OR(AND(AK38&lt;&gt;"",AK39=""),AND(AK38="",AK39&lt;&gt;""))</f>
        <v>0</v>
      </c>
      <c r="AL36" s="1448">
        <f>OR(AND(AL38&lt;&gt;"",AL39=""),AND(AL38="",AL39&lt;&gt;""))</f>
        <v>0</v>
      </c>
      <c r="AM36" s="1448">
        <f>OR(AND(AM38&lt;&gt;"",AM39=""),AND(AM38="",AM39&lt;&gt;""))</f>
        <v>0</v>
      </c>
      <c r="AN36" s="1448">
        <f>OR(AND(AN38&lt;&gt;"",AN39=""),AND(AN38="",AN39&lt;&gt;""))</f>
        <v>0</v>
      </c>
      <c r="AO36" s="1448">
        <f>OR(AND(AO38&lt;&gt;"",AO39=""),AND(AO38="",AO39&lt;&gt;""))</f>
        <v>0</v>
      </c>
      <c r="AP36" s="1448">
        <f>OR(AND(AP38&lt;&gt;"",AP39=""),AND(AP38="",AP39&lt;&gt;""))</f>
        <v>0</v>
      </c>
      <c r="AQ36" s="1448">
        <f>OR(AND(AQ38&lt;&gt;"",AQ39=""),AND(AQ38="",AQ39&lt;&gt;""))</f>
        <v>0</v>
      </c>
      <c r="AR36" s="1448">
        <f>OR(AND(AR38&lt;&gt;"",AR39=""),AND(AR38="",AR39&lt;&gt;""))</f>
        <v>0</v>
      </c>
      <c r="AS36" s="1448">
        <f>OR(AND(AS38&lt;&gt;"",AS39=""),AND(AS38="",AS39&lt;&gt;""))</f>
        <v>0</v>
      </c>
      <c r="AT36" s="1448">
        <f>OR(AND(AT38&lt;&gt;"",AT39=""),AND(AT38="",AT39&lt;&gt;""))</f>
        <v>0</v>
      </c>
      <c r="AU36" s="1448">
        <f>OR(AND(AU38&lt;&gt;"",AU39=""),AND(AU38="",AU39&lt;&gt;""))</f>
        <v>0</v>
      </c>
      <c r="AV36" s="1448">
        <f>OR(AND(AV38&lt;&gt;"",AV39=""),AND(AV38="",AV39&lt;&gt;""))</f>
        <v>0</v>
      </c>
      <c r="AW36" s="1448">
        <f>OR(AND(AW38&lt;&gt;"",AW39=""),AND(AW38="",AW39&lt;&gt;""))</f>
        <v>0</v>
      </c>
      <c r="AX36" s="1448">
        <f>OR(AND(AX38&lt;&gt;"",AX39=""),AND(AX38="",AX39&lt;&gt;""))</f>
        <v>0</v>
      </c>
      <c r="AY36" s="1448">
        <f>OR(AND(AY38&lt;&gt;"",AY39=""),AND(AY38="",AY39&lt;&gt;""))</f>
        <v>0</v>
      </c>
      <c r="AZ36" s="1448">
        <f>OR(AND(AZ38&lt;&gt;"",AZ39=""),AND(AZ38="",AZ39&lt;&gt;""))</f>
        <v>0</v>
      </c>
      <c r="BA36" s="1448">
        <f>OR(AND(BA38&lt;&gt;"",BA39=""),AND(BA38="",BA39&lt;&gt;""))</f>
        <v>0</v>
      </c>
      <c r="BB36" s="1448">
        <f>OR(AND(BB38&lt;&gt;"",BB39=""),AND(BB38="",BB39&lt;&gt;""))</f>
        <v>0</v>
      </c>
      <c r="BC36" s="982"/>
      <c r="BD36" s="892"/>
      <c r="BE36" s="892"/>
      <c r="BF36" s="1049"/>
      <c r="BG36" s="1049"/>
      <c r="BH36" s="1049"/>
      <c r="BI36" s="684"/>
      <c r="BJ36" s="684"/>
    </row>
    <row customHeight="1" ht="14.625" hidden="1">
      <c r="A37" s="892"/>
      <c r="B37" s="442"/>
      <c r="C37" s="892"/>
      <c r="D37" s="892"/>
      <c r="E37" s="684">
        <v>15</v>
      </c>
      <c r="F37" s="1326" cm="1" t="str">
        <f t="array" ref="F37:F37">OFFSET(E37,-1,1)</f>
        <v>0</v>
      </c>
      <c r="G37" s="892"/>
      <c r="H37" s="892"/>
      <c r="I37" s="892"/>
      <c r="J37" s="892"/>
      <c r="K37" s="918"/>
      <c r="L37" s="922"/>
      <c r="M37" s="892"/>
      <c r="N37" s="892"/>
      <c r="O37" s="892"/>
      <c r="P37" s="892"/>
      <c r="Q37" s="892"/>
      <c r="R37" s="892"/>
      <c r="S37" s="892"/>
      <c r="T37" s="1436">
        <f>AND(Y36&gt;0,F37&gt;0)</f>
        <v>0</v>
      </c>
      <c r="U37" s="892"/>
      <c r="V37" s="892"/>
      <c r="W37" s="892"/>
      <c r="X37" s="690"/>
      <c r="Y37" s="1469"/>
      <c r="Z37" s="892"/>
      <c r="AA37" s="3203"/>
      <c r="AB37" s="3204" t="str">
        <f>"2."&amp;Y36</f>
        <v>2.0</v>
      </c>
      <c r="AC37" s="3205" t="s">
        <v>240</v>
      </c>
      <c r="AD37" s="3206"/>
      <c r="AE37" s="3207"/>
      <c r="AF37" s="3208"/>
      <c r="AG37" s="3207"/>
      <c r="AH37" s="3207"/>
      <c r="AI37" s="3207"/>
      <c r="AJ37" s="3207"/>
      <c r="AK37" s="3207"/>
      <c r="AL37" s="3207"/>
      <c r="AM37" s="3207"/>
      <c r="AN37" s="3207"/>
      <c r="AO37" s="3207"/>
      <c r="AP37" s="3207"/>
      <c r="AQ37" s="3207"/>
      <c r="AR37" s="3207"/>
      <c r="AS37" s="3208"/>
      <c r="AT37" s="3208"/>
      <c r="AU37" s="3208"/>
      <c r="AV37" s="3208"/>
      <c r="AW37" s="3208"/>
      <c r="AX37" s="3208"/>
      <c r="AY37" s="3208"/>
      <c r="AZ37" s="3208"/>
      <c r="BA37" s="3208"/>
      <c r="BB37" s="3209"/>
      <c r="BC37" s="3210"/>
      <c r="BD37" s="892"/>
      <c r="BE37" s="892"/>
      <c r="BF37" s="1049"/>
      <c r="BG37" s="1049"/>
      <c r="BH37" s="1049"/>
      <c r="BI37" s="684"/>
      <c r="BJ37" s="684"/>
    </row>
    <row customHeight="1" ht="14.25" hidden="1">
      <c r="A38" s="892"/>
      <c r="B38" s="442"/>
      <c r="C38" s="892"/>
      <c r="D38" s="892"/>
      <c r="E38" s="684">
        <v>15</v>
      </c>
      <c r="F38" s="50" cm="1" t="str">
        <f t="array" ref="F38:F38">OFFSET(E38,-1,1)</f>
        <v>0</v>
      </c>
      <c r="G38" s="148" t="s">
        <v>345</v>
      </c>
      <c r="H38" s="151" cm="1" t="str">
        <f t="array" ref="H38:H38">AC38</f>
        <v>Затраты</v>
      </c>
      <c r="I38" s="148" t="s">
        <v>1263</v>
      </c>
      <c r="J38" s="892"/>
      <c r="K38" s="918"/>
      <c r="L38" s="892"/>
      <c r="M38" s="892"/>
      <c r="N38" s="892"/>
      <c r="O38" s="892"/>
      <c r="P38" s="892"/>
      <c r="Q38" s="892"/>
      <c r="R38" s="892"/>
      <c r="S38" s="892"/>
      <c r="T38" s="468" cm="1" t="str">
        <f t="array" ref="T38:T38">T37</f>
        <v>false</v>
      </c>
      <c r="U38" s="892"/>
      <c r="V38" s="892"/>
      <c r="W38" s="892"/>
      <c r="X38" s="1469"/>
      <c r="Y38" s="1469"/>
      <c r="Z38" s="1592"/>
      <c r="AA38" s="1594"/>
      <c r="AB38" s="84" t="str">
        <f>AB37&amp;".1"</f>
        <v>2.0.1</v>
      </c>
      <c r="AC38" s="3211" t="s">
        <v>1251</v>
      </c>
      <c r="AD38" s="207" t="s">
        <v>936</v>
      </c>
      <c r="AE38" s="3109"/>
      <c r="AF38" s="3109"/>
      <c r="AG38" s="3109"/>
      <c r="AH38" s="3109"/>
      <c r="AI38" s="3109"/>
      <c r="AJ38" s="3109"/>
      <c r="AK38" s="3109"/>
      <c r="AL38" s="3109"/>
      <c r="AM38" s="3109"/>
      <c r="AN38" s="3109"/>
      <c r="AO38" s="3109"/>
      <c r="AP38" s="3109"/>
      <c r="AQ38" s="3109"/>
      <c r="AR38" s="3109"/>
      <c r="AS38" s="3109"/>
      <c r="AT38" s="3109"/>
      <c r="AU38" s="3109"/>
      <c r="AV38" s="3109"/>
      <c r="AW38" s="3109"/>
      <c r="AX38" s="3109"/>
      <c r="AY38" s="3109"/>
      <c r="AZ38" s="3109"/>
      <c r="BA38" s="3109"/>
      <c r="BB38" s="3109"/>
      <c r="BC38" s="1928"/>
      <c r="BD38" s="892"/>
      <c r="BE38" s="892"/>
      <c r="BF38" s="1049" t="s">
        <v>1252</v>
      </c>
      <c r="BG38" s="1049" t="s">
        <v>1264</v>
      </c>
      <c r="BH38" s="1049" cm="1" t="str">
        <f t="array" ref="BH38:BH38">AC37</f>
        <v/>
      </c>
      <c r="BI38" s="684"/>
      <c r="BJ38" s="684" t="b">
        <v>1</v>
      </c>
    </row>
    <row customHeight="1" ht="14.625" hidden="1">
      <c r="A39" s="892"/>
      <c r="B39" s="442"/>
      <c r="C39" s="892"/>
      <c r="D39" s="892"/>
      <c r="E39" s="684">
        <v>15</v>
      </c>
      <c r="F39" s="50" cm="1" t="str">
        <f t="array" ref="F39:F39">OFFSET(E39,-1,1)</f>
        <v>0</v>
      </c>
      <c r="G39" s="148" t="s">
        <v>584</v>
      </c>
      <c r="H39" s="151" cm="1" t="str">
        <f t="array" ref="H39:H39">H38</f>
        <v>Затраты</v>
      </c>
      <c r="I39" s="148" t="s">
        <v>1263</v>
      </c>
      <c r="J39" s="892"/>
      <c r="K39" s="918"/>
      <c r="L39" s="892"/>
      <c r="M39" s="892"/>
      <c r="N39" s="892"/>
      <c r="O39" s="892"/>
      <c r="P39" s="892"/>
      <c r="Q39" s="892"/>
      <c r="R39" s="892"/>
      <c r="S39" s="892"/>
      <c r="T39" s="468" cm="1" t="str">
        <f t="array" ref="T39:T39">T38</f>
        <v>false</v>
      </c>
      <c r="U39" s="892"/>
      <c r="V39" s="892"/>
      <c r="W39" s="892"/>
      <c r="X39" s="1469"/>
      <c r="Y39" s="1469"/>
      <c r="Z39" s="1592"/>
      <c r="AA39" s="1594"/>
      <c r="AB39" s="84" t="str">
        <f>AB38&amp;".1"</f>
        <v>2.0.1.1</v>
      </c>
      <c r="AC39" s="217" t="s">
        <v>1265</v>
      </c>
      <c r="AD39" s="84" t="s">
        <v>657</v>
      </c>
      <c r="AE39" s="3109"/>
      <c r="AF39" s="3109"/>
      <c r="AG39" s="3109"/>
      <c r="AH39" s="3109"/>
      <c r="AI39" s="3109"/>
      <c r="AJ39" s="3109"/>
      <c r="AK39" s="3109"/>
      <c r="AL39" s="3109"/>
      <c r="AM39" s="3109"/>
      <c r="AN39" s="3109"/>
      <c r="AO39" s="3109"/>
      <c r="AP39" s="3109"/>
      <c r="AQ39" s="3109"/>
      <c r="AR39" s="3109"/>
      <c r="AS39" s="3109"/>
      <c r="AT39" s="3109"/>
      <c r="AU39" s="3109"/>
      <c r="AV39" s="3109"/>
      <c r="AW39" s="3109"/>
      <c r="AX39" s="3109"/>
      <c r="AY39" s="3109"/>
      <c r="AZ39" s="3109"/>
      <c r="BA39" s="3109"/>
      <c r="BB39" s="3109"/>
      <c r="BC39" s="1928"/>
      <c r="BD39" s="892"/>
      <c r="BE39" s="892"/>
      <c r="BF39" s="1049" t="s">
        <v>1255</v>
      </c>
      <c r="BG39" s="1049" t="s">
        <v>1264</v>
      </c>
      <c r="BH39" s="1049" cm="1" t="str">
        <f t="array" ref="BH39:BH39">BH38</f>
        <v/>
      </c>
      <c r="BI39" s="684"/>
      <c r="BJ39" s="684"/>
    </row>
    <row customHeight="1" ht="14.625" hidden="1">
      <c r="A40" s="892"/>
      <c r="B40" s="442"/>
      <c r="C40" s="892"/>
      <c r="D40" s="892"/>
      <c r="E40" s="684">
        <v>15</v>
      </c>
      <c r="F40" s="1326" cm="1" t="str">
        <f t="array" ref="F40:F40">OFFSET(E40,-1,1)</f>
        <v>0</v>
      </c>
      <c r="G40" s="892"/>
      <c r="H40" s="151"/>
      <c r="I40" s="892"/>
      <c r="J40" s="892"/>
      <c r="K40" s="918"/>
      <c r="L40" s="892"/>
      <c r="M40" s="892"/>
      <c r="N40" s="892"/>
      <c r="O40" s="892"/>
      <c r="P40" s="892"/>
      <c r="Q40" s="892"/>
      <c r="R40" s="892"/>
      <c r="S40" s="892"/>
      <c r="T40" s="1436" cm="1" t="str">
        <f t="array" ref="T40:T40">T39</f>
        <v>false</v>
      </c>
      <c r="U40" s="892"/>
      <c r="V40" s="892"/>
      <c r="W40" s="892"/>
      <c r="X40" s="690"/>
      <c r="Y40" s="1469"/>
      <c r="Z40" s="892"/>
      <c r="AA40" s="3203"/>
      <c r="AB40" s="3214" t="str">
        <f>AB38&amp;".2"</f>
        <v>2.0.1.2</v>
      </c>
      <c r="AC40" s="3215" t="s">
        <v>1266</v>
      </c>
      <c r="AD40" s="3214" t="s">
        <v>1257</v>
      </c>
      <c r="AE40" s="3216"/>
      <c r="AF40" s="3216"/>
      <c r="AG40" s="3216"/>
      <c r="AH40" s="3216"/>
      <c r="AI40" s="3216"/>
      <c r="AJ40" s="3216"/>
      <c r="AK40" s="3216"/>
      <c r="AL40" s="3216"/>
      <c r="AM40" s="3216"/>
      <c r="AN40" s="3216"/>
      <c r="AO40" s="3216"/>
      <c r="AP40" s="3216"/>
      <c r="AQ40" s="3216"/>
      <c r="AR40" s="3216"/>
      <c r="AS40" s="3216"/>
      <c r="AT40" s="3216"/>
      <c r="AU40" s="3216"/>
      <c r="AV40" s="3216"/>
      <c r="AW40" s="3216"/>
      <c r="AX40" s="3216"/>
      <c r="AY40" s="3216"/>
      <c r="AZ40" s="3216"/>
      <c r="BA40" s="3216"/>
      <c r="BB40" s="3216"/>
      <c r="BC40" s="3217"/>
      <c r="BD40" s="892"/>
      <c r="BE40" s="892"/>
      <c r="BF40" s="1049" t="s">
        <v>1258</v>
      </c>
      <c r="BG40" s="1049" t="s">
        <v>1264</v>
      </c>
      <c r="BH40" s="3218" cm="1" t="str">
        <f t="array" ref="BH40:BH40">BH39</f>
        <v/>
      </c>
      <c r="BI40" s="684"/>
      <c r="BJ40" s="684"/>
    </row>
    <row customHeight="1" ht="14.625" hidden="1">
      <c r="A41" s="892"/>
      <c r="B41" s="442"/>
      <c r="C41" s="892"/>
      <c r="D41" s="892"/>
      <c r="E41" s="684">
        <v>15</v>
      </c>
      <c r="F41" s="50" cm="1" t="str">
        <f t="array" ref="F41:F41">OFFSET(E41,-1,1)</f>
        <v>0</v>
      </c>
      <c r="G41" s="892"/>
      <c r="H41" s="148" t="str">
        <f>"!=='не определено' &amp;&amp; row.l2 !== null"</f>
        <v>!=='не определено' &amp;&amp; row.l2 !== null</v>
      </c>
      <c r="I41" s="892"/>
      <c r="J41" s="892"/>
      <c r="K41" s="918"/>
      <c r="L41" s="892"/>
      <c r="M41" s="892"/>
      <c r="N41" s="892"/>
      <c r="O41" s="892"/>
      <c r="P41" s="892"/>
      <c r="Q41" s="892"/>
      <c r="R41" s="892"/>
      <c r="S41" s="892"/>
      <c r="T41" s="468">
        <f>F41&gt;0</f>
        <v>0</v>
      </c>
      <c r="U41" s="892"/>
      <c r="V41" s="892"/>
      <c r="W41" s="691" t="s">
        <v>1259</v>
      </c>
      <c r="X41" s="1469"/>
      <c r="Y41" s="689"/>
      <c r="Z41" s="1592"/>
      <c r="AA41" s="892"/>
      <c r="AB41" s="687"/>
      <c r="AC41" s="228" t="s">
        <v>1260</v>
      </c>
      <c r="AD41" s="228"/>
      <c r="AE41" s="228"/>
      <c r="AF41" s="228"/>
      <c r="AG41" s="228"/>
      <c r="AH41" s="228"/>
      <c r="AI41" s="228"/>
      <c r="AJ41" s="228"/>
      <c r="AK41" s="228"/>
      <c r="AL41" s="228"/>
      <c r="AM41" s="228"/>
      <c r="AN41" s="228"/>
      <c r="AO41" s="228"/>
      <c r="AP41" s="228"/>
      <c r="AQ41" s="228"/>
      <c r="AR41" s="228"/>
      <c r="AS41" s="228"/>
      <c r="AT41" s="228"/>
      <c r="AU41" s="228"/>
      <c r="AV41" s="228"/>
      <c r="AW41" s="228"/>
      <c r="AX41" s="228"/>
      <c r="AY41" s="228"/>
      <c r="AZ41" s="228"/>
      <c r="BA41" s="228"/>
      <c r="BB41" s="228"/>
      <c r="BC41" s="229"/>
      <c r="BD41" s="892"/>
      <c r="BE41" s="892"/>
      <c r="BF41" s="1049"/>
      <c r="BG41" s="1049"/>
      <c r="BH41" s="1049"/>
      <c r="BI41" s="684" t="s">
        <v>1264</v>
      </c>
      <c r="BJ41" s="684"/>
    </row>
    <row customHeight="1" ht="22.425" hidden="1">
      <c r="A42" s="892"/>
      <c r="B42" s="442"/>
      <c r="C42" s="892"/>
      <c r="D42" s="892"/>
      <c r="E42" s="684">
        <v>23</v>
      </c>
      <c r="F42" s="50" cm="1" t="str">
        <f t="array" ref="F42:F42">OFFSET(E42,-1,1)</f>
        <v>0</v>
      </c>
      <c r="G42" s="892"/>
      <c r="H42" s="892"/>
      <c r="I42" s="892"/>
      <c r="J42" s="892"/>
      <c r="K42" s="918" t="str">
        <f>F28&amp;"3komm"</f>
        <v>03komm</v>
      </c>
      <c r="L42" s="922" cm="1" t="str">
        <f t="array" ref="L42:L42">BC42</f>
        <v>0</v>
      </c>
      <c r="M42" s="892"/>
      <c r="N42" s="892"/>
      <c r="O42" s="892"/>
      <c r="P42" s="892"/>
      <c r="Q42" s="892"/>
      <c r="R42" s="892"/>
      <c r="S42" s="892"/>
      <c r="T42" s="468" cm="1" t="str">
        <f t="array" ref="T42:T42">T41</f>
        <v>false</v>
      </c>
      <c r="U42" s="892"/>
      <c r="V42" s="892"/>
      <c r="W42" s="892"/>
      <c r="X42" s="1469"/>
      <c r="Y42" s="690"/>
      <c r="Z42" s="1592"/>
      <c r="AA42" s="892"/>
      <c r="AB42" s="207">
        <v>3</v>
      </c>
      <c r="AC42" s="208" t="s">
        <v>1267</v>
      </c>
      <c r="AD42" s="207" t="s">
        <v>936</v>
      </c>
      <c r="AE42" s="209">
        <f>SUMIF(AD45:AD48,AD42,AE45:AE48)</f>
        <v>0</v>
      </c>
      <c r="AF42" s="209">
        <f>SUMIF(AD45:AD48,AD42,AF45:AF48)</f>
        <v>0</v>
      </c>
      <c r="AG42" s="209">
        <f>SUMIF(AD45:AD48,AD42,AG45:AG48)</f>
        <v>0</v>
      </c>
      <c r="AH42" s="209">
        <f>SUMIF(AD45:AD48,AD42,AH45:AH48)</f>
        <v>0</v>
      </c>
      <c r="AI42" s="209">
        <f>SUMIF(AD45:AD48,AD42,AI45:AI48)</f>
        <v>0</v>
      </c>
      <c r="AJ42" s="3200">
        <f>SUMIF(AD45:AD48,AD42,AJ45:AJ48)</f>
        <v>0</v>
      </c>
      <c r="AK42" s="3200">
        <f>SUMIF(AD45:AD48,AD42,AK45:AK48)</f>
        <v>0</v>
      </c>
      <c r="AL42" s="3200">
        <f>SUMIF(AD45:AD48,AD42,AL45:AL48)</f>
        <v>0</v>
      </c>
      <c r="AM42" s="3200">
        <f>SUMIF(AD45:AD48,AD42,AM45:AM48)</f>
        <v>0</v>
      </c>
      <c r="AN42" s="3200">
        <f>SUMIF(AD45:AD48,AD42,AN45:AN48)</f>
        <v>0</v>
      </c>
      <c r="AO42" s="3200">
        <f>SUMIF(AD45:AD48,AD42,AO45:AO48)</f>
        <v>0</v>
      </c>
      <c r="AP42" s="3200">
        <f>SUMIF(AD45:AD48,AD42,AP45:AP48)</f>
        <v>0</v>
      </c>
      <c r="AQ42" s="3200">
        <f>SUMIF(AD45:AD48,AD42,AQ45:AQ48)</f>
        <v>0</v>
      </c>
      <c r="AR42" s="3200">
        <f>SUMIF(AD45:AD48,AD42,AR45:AR48)</f>
        <v>0</v>
      </c>
      <c r="AS42" s="209">
        <f>SUMIF(AD45:AD48,AD42,AS45:AS48)</f>
        <v>0</v>
      </c>
      <c r="AT42" s="3200">
        <f>SUMIF(AD45:AD48,AD42,AT45:AT48)</f>
        <v>0</v>
      </c>
      <c r="AU42" s="3200">
        <f>SUMIF(AD45:AD48,AD42,AU45:AU48)</f>
        <v>0</v>
      </c>
      <c r="AV42" s="3200">
        <f>SUMIF(AD45:AD48,AD42,AV45:AV48)</f>
        <v>0</v>
      </c>
      <c r="AW42" s="3200">
        <f>SUMIF(AD45:AD48,AD42,AW45:AW48)</f>
        <v>0</v>
      </c>
      <c r="AX42" s="3200">
        <f>SUMIF(AD45:AD48,AD42,AX45:AX48)</f>
        <v>0</v>
      </c>
      <c r="AY42" s="3200">
        <f>SUMIF(AD45:AD48,AD42,AY45:AY48)</f>
        <v>0</v>
      </c>
      <c r="AZ42" s="3200">
        <f>SUMIF(AD45:AD48,AD42,AZ45:AZ48)</f>
        <v>0</v>
      </c>
      <c r="BA42" s="3200">
        <f>SUMIF(AD45:AD48,AD42,BA45:BA48)</f>
        <v>0</v>
      </c>
      <c r="BB42" s="3200">
        <f>SUMIF(AD45:AD48,AD42,BB45:BB48)</f>
        <v>0</v>
      </c>
      <c r="BC42" s="1928"/>
      <c r="BD42" s="892"/>
      <c r="BE42" s="892"/>
      <c r="BF42" s="1049" t="s">
        <v>1268</v>
      </c>
      <c r="BG42" s="1049"/>
      <c r="BH42" s="1049"/>
      <c r="BI42" s="684"/>
      <c r="BJ42" s="684"/>
    </row>
    <row customHeight="1" ht="15" hidden="1">
      <c r="A43" s="892"/>
      <c r="B43" s="442"/>
      <c r="C43" s="892"/>
      <c r="D43" s="892"/>
      <c r="E43" s="684">
        <v>0</v>
      </c>
      <c r="F43" s="50" cm="1" t="str">
        <f t="array" ref="F43:F43">OFFSET(E43,-1,1)</f>
        <v>0</v>
      </c>
      <c r="G43" s="148" t="s">
        <v>346</v>
      </c>
      <c r="H43" s="892"/>
      <c r="I43" s="892"/>
      <c r="J43" s="892"/>
      <c r="K43" s="918"/>
      <c r="L43" s="922"/>
      <c r="M43" s="892"/>
      <c r="N43" s="892"/>
      <c r="O43" s="892"/>
      <c r="P43" s="892"/>
      <c r="Q43" s="892"/>
      <c r="R43" s="892"/>
      <c r="S43" s="892"/>
      <c r="T43" s="468" t="b">
        <v>0</v>
      </c>
      <c r="U43" s="892"/>
      <c r="V43" s="892"/>
      <c r="W43" s="148" t="s">
        <v>173</v>
      </c>
      <c r="X43" s="1469"/>
      <c r="Y43" s="1469">
        <v>0</v>
      </c>
      <c r="Z43" s="1592"/>
      <c r="AA43" s="1594" t="s">
        <v>174</v>
      </c>
      <c r="AB43" s="207"/>
      <c r="AC43" s="208"/>
      <c r="AD43" s="207"/>
      <c r="AE43" s="1448">
        <f>OR(AND(AE45&lt;&gt;"",AE46=""),AND(AE45="",AE46&lt;&gt;""))</f>
        <v>0</v>
      </c>
      <c r="AF43" s="1448">
        <f>OR(AND(AF45&lt;&gt;"",AF46=""),AND(AF45="",AF46&lt;&gt;""))</f>
        <v>0</v>
      </c>
      <c r="AG43" s="1448">
        <f>OR(AND(AG45&lt;&gt;"",AG46=""),AND(AG45="",AG46&lt;&gt;""))</f>
        <v>0</v>
      </c>
      <c r="AH43" s="1448">
        <f>OR(AND(AH45&lt;&gt;"",AH46=""),AND(AH45="",AH46&lt;&gt;""))</f>
        <v>0</v>
      </c>
      <c r="AI43" s="1448">
        <f>OR(AND(AI45&lt;&gt;"",AI46=""),AND(AI45="",AI46&lt;&gt;""))</f>
        <v>0</v>
      </c>
      <c r="AJ43" s="1448">
        <f>OR(AND(AJ45&lt;&gt;"",AJ46=""),AND(AJ45="",AJ46&lt;&gt;""))</f>
        <v>0</v>
      </c>
      <c r="AK43" s="1448">
        <f>OR(AND(AK45&lt;&gt;"",AK46=""),AND(AK45="",AK46&lt;&gt;""))</f>
        <v>0</v>
      </c>
      <c r="AL43" s="1448">
        <f>OR(AND(AL45&lt;&gt;"",AL46=""),AND(AL45="",AL46&lt;&gt;""))</f>
        <v>0</v>
      </c>
      <c r="AM43" s="1448">
        <f>OR(AND(AM45&lt;&gt;"",AM46=""),AND(AM45="",AM46&lt;&gt;""))</f>
        <v>0</v>
      </c>
      <c r="AN43" s="1448">
        <f>OR(AND(AN45&lt;&gt;"",AN46=""),AND(AN45="",AN46&lt;&gt;""))</f>
        <v>0</v>
      </c>
      <c r="AO43" s="1448">
        <f>OR(AND(AO45&lt;&gt;"",AO46=""),AND(AO45="",AO46&lt;&gt;""))</f>
        <v>0</v>
      </c>
      <c r="AP43" s="1448">
        <f>OR(AND(AP45&lt;&gt;"",AP46=""),AND(AP45="",AP46&lt;&gt;""))</f>
        <v>0</v>
      </c>
      <c r="AQ43" s="1448">
        <f>OR(AND(AQ45&lt;&gt;"",AQ46=""),AND(AQ45="",AQ46&lt;&gt;""))</f>
        <v>0</v>
      </c>
      <c r="AR43" s="1448">
        <f>OR(AND(AR45&lt;&gt;"",AR46=""),AND(AR45="",AR46&lt;&gt;""))</f>
        <v>0</v>
      </c>
      <c r="AS43" s="1448">
        <f>OR(AND(AS45&lt;&gt;"",AS46=""),AND(AS45="",AS46&lt;&gt;""))</f>
        <v>0</v>
      </c>
      <c r="AT43" s="1448">
        <f>OR(AND(AT45&lt;&gt;"",AT46=""),AND(AT45="",AT46&lt;&gt;""))</f>
        <v>0</v>
      </c>
      <c r="AU43" s="1448">
        <f>OR(AND(AU45&lt;&gt;"",AU46=""),AND(AU45="",AU46&lt;&gt;""))</f>
        <v>0</v>
      </c>
      <c r="AV43" s="1448">
        <f>OR(AND(AV45&lt;&gt;"",AV46=""),AND(AV45="",AV46&lt;&gt;""))</f>
        <v>0</v>
      </c>
      <c r="AW43" s="1448">
        <f>OR(AND(AW45&lt;&gt;"",AW46=""),AND(AW45="",AW46&lt;&gt;""))</f>
        <v>0</v>
      </c>
      <c r="AX43" s="1448">
        <f>OR(AND(AX45&lt;&gt;"",AX46=""),AND(AX45="",AX46&lt;&gt;""))</f>
        <v>0</v>
      </c>
      <c r="AY43" s="1448">
        <f>OR(AND(AY45&lt;&gt;"",AY46=""),AND(AY45="",AY46&lt;&gt;""))</f>
        <v>0</v>
      </c>
      <c r="AZ43" s="1448">
        <f>OR(AND(AZ45&lt;&gt;"",AZ46=""),AND(AZ45="",AZ46&lt;&gt;""))</f>
        <v>0</v>
      </c>
      <c r="BA43" s="1448">
        <f>OR(AND(BA45&lt;&gt;"",BA46=""),AND(BA45="",BA46&lt;&gt;""))</f>
        <v>0</v>
      </c>
      <c r="BB43" s="1448">
        <f>OR(AND(BB45&lt;&gt;"",BB46=""),AND(BB45="",BB46&lt;&gt;""))</f>
        <v>0</v>
      </c>
      <c r="BC43" s="982"/>
      <c r="BD43" s="892"/>
      <c r="BE43" s="892"/>
      <c r="BF43" s="1049"/>
      <c r="BG43" s="1049"/>
      <c r="BH43" s="1049"/>
      <c r="BI43" s="684"/>
      <c r="BJ43" s="684"/>
    </row>
    <row customHeight="1" ht="14.625" hidden="1">
      <c r="A44" s="892"/>
      <c r="B44" s="442"/>
      <c r="C44" s="892"/>
      <c r="D44" s="892"/>
      <c r="E44" s="684">
        <v>15</v>
      </c>
      <c r="F44" s="1326" cm="1" t="str">
        <f t="array" ref="F44:F44">OFFSET(E44,-1,1)</f>
        <v>0</v>
      </c>
      <c r="G44" s="892"/>
      <c r="H44" s="892"/>
      <c r="I44" s="892"/>
      <c r="J44" s="892"/>
      <c r="K44" s="918"/>
      <c r="L44" s="922"/>
      <c r="M44" s="892"/>
      <c r="N44" s="892"/>
      <c r="O44" s="892"/>
      <c r="P44" s="892"/>
      <c r="Q44" s="892"/>
      <c r="R44" s="892"/>
      <c r="S44" s="892"/>
      <c r="T44" s="1436">
        <f>AND(Y43&gt;0,F44&gt;0)</f>
        <v>0</v>
      </c>
      <c r="U44" s="892"/>
      <c r="V44" s="892"/>
      <c r="W44" s="892"/>
      <c r="X44" s="690"/>
      <c r="Y44" s="1469"/>
      <c r="Z44" s="892"/>
      <c r="AA44" s="3203"/>
      <c r="AB44" s="3204" t="str">
        <f>"3."&amp;Y43</f>
        <v>3.0</v>
      </c>
      <c r="AC44" s="3205" t="s">
        <v>240</v>
      </c>
      <c r="AD44" s="3206"/>
      <c r="AE44" s="3207"/>
      <c r="AF44" s="3208"/>
      <c r="AG44" s="3207"/>
      <c r="AH44" s="3207"/>
      <c r="AI44" s="3207"/>
      <c r="AJ44" s="3207"/>
      <c r="AK44" s="3207"/>
      <c r="AL44" s="3207"/>
      <c r="AM44" s="3207"/>
      <c r="AN44" s="3207"/>
      <c r="AO44" s="3207"/>
      <c r="AP44" s="3207"/>
      <c r="AQ44" s="3207"/>
      <c r="AR44" s="3207"/>
      <c r="AS44" s="3208"/>
      <c r="AT44" s="3208"/>
      <c r="AU44" s="3208"/>
      <c r="AV44" s="3208"/>
      <c r="AW44" s="3208"/>
      <c r="AX44" s="3208"/>
      <c r="AY44" s="3208"/>
      <c r="AZ44" s="3208"/>
      <c r="BA44" s="3208"/>
      <c r="BB44" s="3209"/>
      <c r="BC44" s="3210"/>
      <c r="BD44" s="892"/>
      <c r="BE44" s="892"/>
      <c r="BF44" s="1049"/>
      <c r="BG44" s="1049"/>
      <c r="BH44" s="1049"/>
      <c r="BI44" s="684"/>
      <c r="BJ44" s="684"/>
    </row>
    <row customHeight="1" ht="14.25" hidden="1">
      <c r="A45" s="892"/>
      <c r="B45" s="442"/>
      <c r="C45" s="892"/>
      <c r="D45" s="892"/>
      <c r="E45" s="684">
        <v>15</v>
      </c>
      <c r="F45" s="50" cm="1" t="str">
        <f t="array" ref="F45:F45">OFFSET(E45,-1,1)</f>
        <v>0</v>
      </c>
      <c r="G45" s="148" t="s">
        <v>346</v>
      </c>
      <c r="H45" s="151" cm="1" t="str">
        <f t="array" ref="H45:H45">AC45</f>
        <v>Затраты</v>
      </c>
      <c r="I45" s="148" t="s">
        <v>1269</v>
      </c>
      <c r="J45" s="892"/>
      <c r="K45" s="918"/>
      <c r="L45" s="892"/>
      <c r="M45" s="892"/>
      <c r="N45" s="892"/>
      <c r="O45" s="892"/>
      <c r="P45" s="892"/>
      <c r="Q45" s="892"/>
      <c r="R45" s="892"/>
      <c r="S45" s="892"/>
      <c r="T45" s="468" cm="1" t="str">
        <f t="array" ref="T45:T45">T44</f>
        <v>false</v>
      </c>
      <c r="U45" s="892"/>
      <c r="V45" s="892"/>
      <c r="W45" s="892"/>
      <c r="X45" s="1469"/>
      <c r="Y45" s="1469"/>
      <c r="Z45" s="1592"/>
      <c r="AA45" s="1594"/>
      <c r="AB45" s="84" t="str">
        <f>AB44&amp;".1"</f>
        <v>3.0.1</v>
      </c>
      <c r="AC45" s="3211" t="s">
        <v>1251</v>
      </c>
      <c r="AD45" s="207" t="s">
        <v>936</v>
      </c>
      <c r="AE45" s="3109"/>
      <c r="AF45" s="3109"/>
      <c r="AG45" s="3109"/>
      <c r="AH45" s="3109"/>
      <c r="AI45" s="3109"/>
      <c r="AJ45" s="3109"/>
      <c r="AK45" s="3109"/>
      <c r="AL45" s="3109"/>
      <c r="AM45" s="3109"/>
      <c r="AN45" s="3109"/>
      <c r="AO45" s="3109"/>
      <c r="AP45" s="3109"/>
      <c r="AQ45" s="3109"/>
      <c r="AR45" s="3109"/>
      <c r="AS45" s="3109"/>
      <c r="AT45" s="3109"/>
      <c r="AU45" s="3109"/>
      <c r="AV45" s="3109"/>
      <c r="AW45" s="3109"/>
      <c r="AX45" s="3109"/>
      <c r="AY45" s="3109"/>
      <c r="AZ45" s="3109"/>
      <c r="BA45" s="3109"/>
      <c r="BB45" s="3109"/>
      <c r="BC45" s="1928"/>
      <c r="BD45" s="892"/>
      <c r="BE45" s="892"/>
      <c r="BF45" s="1049" t="s">
        <v>1252</v>
      </c>
      <c r="BG45" s="1049" t="s">
        <v>1270</v>
      </c>
      <c r="BH45" s="1049" cm="1" t="str">
        <f t="array" ref="BH45:BH45">AC44</f>
        <v/>
      </c>
      <c r="BI45" s="684"/>
      <c r="BJ45" s="684" t="b">
        <v>1</v>
      </c>
    </row>
    <row customHeight="1" ht="14.625" hidden="1">
      <c r="A46" s="892"/>
      <c r="B46" s="442"/>
      <c r="C46" s="892"/>
      <c r="D46" s="892"/>
      <c r="E46" s="684">
        <v>15</v>
      </c>
      <c r="F46" s="50" cm="1" t="str">
        <f t="array" ref="F46:F46">OFFSET(E46,-1,1)</f>
        <v>0</v>
      </c>
      <c r="G46" s="148" t="s">
        <v>1097</v>
      </c>
      <c r="H46" s="151" cm="1" t="str">
        <f t="array" ref="H46:H46">H45</f>
        <v>Затраты</v>
      </c>
      <c r="I46" s="148" t="s">
        <v>1269</v>
      </c>
      <c r="J46" s="892"/>
      <c r="K46" s="918"/>
      <c r="L46" s="892"/>
      <c r="M46" s="892"/>
      <c r="N46" s="892"/>
      <c r="O46" s="892"/>
      <c r="P46" s="892"/>
      <c r="Q46" s="892"/>
      <c r="R46" s="892"/>
      <c r="S46" s="892"/>
      <c r="T46" s="468" cm="1" t="str">
        <f t="array" ref="T46:T46">T45</f>
        <v>false</v>
      </c>
      <c r="U46" s="892"/>
      <c r="V46" s="892"/>
      <c r="W46" s="892"/>
      <c r="X46" s="1469"/>
      <c r="Y46" s="1469"/>
      <c r="Z46" s="1592"/>
      <c r="AA46" s="1594"/>
      <c r="AB46" s="84" t="str">
        <f>AB45&amp;".1"</f>
        <v>3.0.1.1</v>
      </c>
      <c r="AC46" s="217" t="s">
        <v>1271</v>
      </c>
      <c r="AD46" s="84" t="s">
        <v>657</v>
      </c>
      <c r="AE46" s="3109"/>
      <c r="AF46" s="3109"/>
      <c r="AG46" s="3109"/>
      <c r="AH46" s="3109"/>
      <c r="AI46" s="3109"/>
      <c r="AJ46" s="3109"/>
      <c r="AK46" s="3109"/>
      <c r="AL46" s="3109"/>
      <c r="AM46" s="3109"/>
      <c r="AN46" s="3109"/>
      <c r="AO46" s="3109"/>
      <c r="AP46" s="3109"/>
      <c r="AQ46" s="3109"/>
      <c r="AR46" s="3109"/>
      <c r="AS46" s="3109"/>
      <c r="AT46" s="3109"/>
      <c r="AU46" s="3109"/>
      <c r="AV46" s="3109"/>
      <c r="AW46" s="3109"/>
      <c r="AX46" s="3109"/>
      <c r="AY46" s="3109"/>
      <c r="AZ46" s="3109"/>
      <c r="BA46" s="3109"/>
      <c r="BB46" s="3109"/>
      <c r="BC46" s="1928"/>
      <c r="BD46" s="892"/>
      <c r="BE46" s="892"/>
      <c r="BF46" s="1049" t="s">
        <v>1255</v>
      </c>
      <c r="BG46" s="1049" t="s">
        <v>1270</v>
      </c>
      <c r="BH46" s="1049" cm="1" t="str">
        <f t="array" ref="BH46:BH46">BH45</f>
        <v/>
      </c>
      <c r="BI46" s="684"/>
      <c r="BJ46" s="684"/>
    </row>
    <row customHeight="1" ht="14.625" hidden="1">
      <c r="A47" s="892"/>
      <c r="B47" s="442"/>
      <c r="C47" s="892"/>
      <c r="D47" s="892"/>
      <c r="E47" s="684">
        <v>15</v>
      </c>
      <c r="F47" s="1326" cm="1" t="str">
        <f t="array" ref="F47:F47">OFFSET(E47,-1,1)</f>
        <v>0</v>
      </c>
      <c r="G47" s="892"/>
      <c r="H47" s="151"/>
      <c r="I47" s="892"/>
      <c r="J47" s="892"/>
      <c r="K47" s="918"/>
      <c r="L47" s="892"/>
      <c r="M47" s="892"/>
      <c r="N47" s="892"/>
      <c r="O47" s="892"/>
      <c r="P47" s="892"/>
      <c r="Q47" s="892"/>
      <c r="R47" s="892"/>
      <c r="S47" s="892"/>
      <c r="T47" s="1436" cm="1" t="str">
        <f t="array" ref="T47:T47">T46</f>
        <v>false</v>
      </c>
      <c r="U47" s="892"/>
      <c r="V47" s="892"/>
      <c r="W47" s="892"/>
      <c r="X47" s="690"/>
      <c r="Y47" s="1469"/>
      <c r="Z47" s="892"/>
      <c r="AA47" s="3203"/>
      <c r="AB47" s="3214" t="str">
        <f>AB45&amp;".2"</f>
        <v>3.0.1.2</v>
      </c>
      <c r="AC47" s="3215" t="s">
        <v>1266</v>
      </c>
      <c r="AD47" s="3214" t="s">
        <v>1257</v>
      </c>
      <c r="AE47" s="3216"/>
      <c r="AF47" s="3216"/>
      <c r="AG47" s="3216"/>
      <c r="AH47" s="3216"/>
      <c r="AI47" s="3216"/>
      <c r="AJ47" s="3216"/>
      <c r="AK47" s="3216"/>
      <c r="AL47" s="3216"/>
      <c r="AM47" s="3216"/>
      <c r="AN47" s="3216"/>
      <c r="AO47" s="3216"/>
      <c r="AP47" s="3216"/>
      <c r="AQ47" s="3216"/>
      <c r="AR47" s="3216"/>
      <c r="AS47" s="3216"/>
      <c r="AT47" s="3216"/>
      <c r="AU47" s="3216"/>
      <c r="AV47" s="3216"/>
      <c r="AW47" s="3216"/>
      <c r="AX47" s="3216"/>
      <c r="AY47" s="3216"/>
      <c r="AZ47" s="3216"/>
      <c r="BA47" s="3216"/>
      <c r="BB47" s="3216"/>
      <c r="BC47" s="3217"/>
      <c r="BD47" s="892"/>
      <c r="BE47" s="892"/>
      <c r="BF47" s="1049" t="s">
        <v>1258</v>
      </c>
      <c r="BG47" s="1049" t="s">
        <v>1270</v>
      </c>
      <c r="BH47" s="3218" cm="1" t="str">
        <f t="array" ref="BH47:BH47">BH46</f>
        <v/>
      </c>
      <c r="BI47" s="684"/>
      <c r="BJ47" s="684"/>
    </row>
    <row customHeight="1" ht="14.625" hidden="1">
      <c r="A48" s="892"/>
      <c r="B48" s="442"/>
      <c r="C48" s="892"/>
      <c r="D48" s="892"/>
      <c r="E48" s="684">
        <v>15</v>
      </c>
      <c r="F48" s="50" cm="1" t="str">
        <f t="array" ref="F48:F48">OFFSET(E48,-1,1)</f>
        <v>0</v>
      </c>
      <c r="G48" s="892"/>
      <c r="H48" s="148" t="str">
        <f>"!=='не определено' &amp;&amp; row.l3 !== null"</f>
        <v>!=='не определено' &amp;&amp; row.l3 !== null</v>
      </c>
      <c r="I48" s="892"/>
      <c r="J48" s="892"/>
      <c r="K48" s="918"/>
      <c r="L48" s="892"/>
      <c r="M48" s="892"/>
      <c r="N48" s="892"/>
      <c r="O48" s="892"/>
      <c r="P48" s="892"/>
      <c r="Q48" s="892"/>
      <c r="R48" s="892"/>
      <c r="S48" s="892"/>
      <c r="T48" s="468">
        <f>F48&gt;0</f>
        <v>0</v>
      </c>
      <c r="U48" s="892"/>
      <c r="V48" s="892"/>
      <c r="W48" s="691" t="s">
        <v>1272</v>
      </c>
      <c r="X48" s="1469"/>
      <c r="Y48" s="689"/>
      <c r="Z48" s="1592"/>
      <c r="AA48" s="892"/>
      <c r="AB48" s="687"/>
      <c r="AC48" s="228" t="s">
        <v>1260</v>
      </c>
      <c r="AD48" s="228"/>
      <c r="AE48" s="228"/>
      <c r="AF48" s="228"/>
      <c r="AG48" s="228"/>
      <c r="AH48" s="228"/>
      <c r="AI48" s="228"/>
      <c r="AJ48" s="228"/>
      <c r="AK48" s="228"/>
      <c r="AL48" s="228"/>
      <c r="AM48" s="228"/>
      <c r="AN48" s="228"/>
      <c r="AO48" s="228"/>
      <c r="AP48" s="228"/>
      <c r="AQ48" s="228"/>
      <c r="AR48" s="228"/>
      <c r="AS48" s="228"/>
      <c r="AT48" s="228"/>
      <c r="AU48" s="228"/>
      <c r="AV48" s="228"/>
      <c r="AW48" s="228"/>
      <c r="AX48" s="228"/>
      <c r="AY48" s="228"/>
      <c r="AZ48" s="228"/>
      <c r="BA48" s="228"/>
      <c r="BB48" s="228"/>
      <c r="BC48" s="229"/>
      <c r="BD48" s="892"/>
      <c r="BE48" s="892"/>
      <c r="BF48" s="1049"/>
      <c r="BG48" s="1049"/>
      <c r="BH48" s="1049"/>
      <c r="BI48" s="684" t="s">
        <v>1270</v>
      </c>
      <c r="BJ48" s="684"/>
    </row>
    <row customHeight="1" ht="22.425" hidden="1">
      <c r="A49" s="892"/>
      <c r="B49" s="442"/>
      <c r="C49" s="892"/>
      <c r="D49" s="892"/>
      <c r="E49" s="684">
        <v>23</v>
      </c>
      <c r="F49" s="50" cm="1" t="str">
        <f t="array" ref="F49:F49">OFFSET(E49,-1,1)</f>
        <v>0</v>
      </c>
      <c r="G49" s="892"/>
      <c r="H49" s="892"/>
      <c r="I49" s="892"/>
      <c r="J49" s="892"/>
      <c r="K49" s="918" t="str">
        <f>F28&amp;"4komm"</f>
        <v>04komm</v>
      </c>
      <c r="L49" s="922" cm="1" t="str">
        <f t="array" ref="L49:L49">BC49</f>
        <v>0</v>
      </c>
      <c r="M49" s="892"/>
      <c r="N49" s="892"/>
      <c r="O49" s="892"/>
      <c r="P49" s="892"/>
      <c r="Q49" s="892"/>
      <c r="R49" s="892"/>
      <c r="S49" s="892"/>
      <c r="T49" s="468" cm="1" t="str">
        <f t="array" ref="T49:T49">T48</f>
        <v>false</v>
      </c>
      <c r="U49" s="892"/>
      <c r="V49" s="892"/>
      <c r="W49" s="892"/>
      <c r="X49" s="1469"/>
      <c r="Y49" s="690"/>
      <c r="Z49" s="1592"/>
      <c r="AA49" s="892"/>
      <c r="AB49" s="207">
        <v>4</v>
      </c>
      <c r="AC49" s="208" t="s">
        <v>1273</v>
      </c>
      <c r="AD49" s="207" t="s">
        <v>936</v>
      </c>
      <c r="AE49" s="209">
        <f>SUMIF(AD52:AD55,AD49,AE52:AE55)</f>
        <v>0</v>
      </c>
      <c r="AF49" s="209">
        <f>SUMIF(AD52:AD55,AD49,AF52:AF55)</f>
        <v>0</v>
      </c>
      <c r="AG49" s="209">
        <f>SUMIF(AD52:AD55,AD49,AG52:AG55)</f>
        <v>0</v>
      </c>
      <c r="AH49" s="209">
        <f>SUMIF(AD52:AD55,AD49,AH52:AH55)</f>
        <v>0</v>
      </c>
      <c r="AI49" s="209">
        <f>SUMIF(AD52:AD55,AD49,AI52:AI55)</f>
        <v>0</v>
      </c>
      <c r="AJ49" s="3200">
        <f>SUMIF(AD52:AD55,AD49,AJ52:AJ55)</f>
        <v>0</v>
      </c>
      <c r="AK49" s="3200">
        <f>SUMIF(AD52:AD55,AD49,AK52:AK55)</f>
        <v>0</v>
      </c>
      <c r="AL49" s="3200">
        <f>SUMIF(AD52:AD55,AD49,AL52:AL55)</f>
        <v>0</v>
      </c>
      <c r="AM49" s="3200">
        <f>SUMIF(AD52:AD55,AD49,AM52:AM55)</f>
        <v>0</v>
      </c>
      <c r="AN49" s="3200">
        <f>SUMIF(AD52:AD55,AD49,AN52:AN55)</f>
        <v>0</v>
      </c>
      <c r="AO49" s="3200">
        <f>SUMIF(AD52:AD55,AD49,AO52:AO55)</f>
        <v>0</v>
      </c>
      <c r="AP49" s="3200">
        <f>SUMIF(AD52:AD55,AD49,AP52:AP55)</f>
        <v>0</v>
      </c>
      <c r="AQ49" s="3200">
        <f>SUMIF(AD52:AD55,AD49,AQ52:AQ55)</f>
        <v>0</v>
      </c>
      <c r="AR49" s="3200">
        <f>SUMIF(AD52:AD55,AD49,AR52:AR55)</f>
        <v>0</v>
      </c>
      <c r="AS49" s="209">
        <f>SUMIF(AD52:AD55,AD49,AS52:AS55)</f>
        <v>0</v>
      </c>
      <c r="AT49" s="3200">
        <f>SUMIF(AD52:AD55,AD49,AT52:AT55)</f>
        <v>0</v>
      </c>
      <c r="AU49" s="3200">
        <f>SUMIF(AD52:AD55,AD49,AU52:AU55)</f>
        <v>0</v>
      </c>
      <c r="AV49" s="3200">
        <f>SUMIF(AD52:AD55,AD49,AV52:AV55)</f>
        <v>0</v>
      </c>
      <c r="AW49" s="3200">
        <f>SUMIF(AD52:AD55,AD49,AW52:AW55)</f>
        <v>0</v>
      </c>
      <c r="AX49" s="3200">
        <f>SUMIF(AD52:AD55,AD49,AX52:AX55)</f>
        <v>0</v>
      </c>
      <c r="AY49" s="3200">
        <f>SUMIF(AD52:AD55,AD49,AY52:AY55)</f>
        <v>0</v>
      </c>
      <c r="AZ49" s="3200">
        <f>SUMIF(AD52:AD55,AD49,AZ52:AZ55)</f>
        <v>0</v>
      </c>
      <c r="BA49" s="3200">
        <f>SUMIF(AD52:AD55,AD49,BA52:BA55)</f>
        <v>0</v>
      </c>
      <c r="BB49" s="3200">
        <f>SUMIF(AD52:AD55,AD49,BB52:BB55)</f>
        <v>0</v>
      </c>
      <c r="BC49" s="1928"/>
      <c r="BD49" s="892"/>
      <c r="BE49" s="892"/>
      <c r="BF49" s="1049" t="s">
        <v>1274</v>
      </c>
      <c r="BG49" s="1049"/>
      <c r="BH49" s="1049"/>
      <c r="BI49" s="684"/>
      <c r="BJ49" s="684"/>
    </row>
    <row customHeight="1" ht="15" hidden="1">
      <c r="A50" s="892"/>
      <c r="B50" s="442"/>
      <c r="C50" s="892"/>
      <c r="D50" s="892"/>
      <c r="E50" s="684">
        <v>0</v>
      </c>
      <c r="F50" s="50" cm="1" t="str">
        <f t="array" ref="F50:F50">OFFSET(E50,-1,1)</f>
        <v>0</v>
      </c>
      <c r="G50" s="148" t="s">
        <v>348</v>
      </c>
      <c r="H50" s="892"/>
      <c r="I50" s="892"/>
      <c r="J50" s="892"/>
      <c r="K50" s="918"/>
      <c r="L50" s="922"/>
      <c r="M50" s="892"/>
      <c r="N50" s="892"/>
      <c r="O50" s="892"/>
      <c r="P50" s="892"/>
      <c r="Q50" s="892"/>
      <c r="R50" s="892"/>
      <c r="S50" s="892"/>
      <c r="T50" s="468" t="b">
        <v>0</v>
      </c>
      <c r="U50" s="892"/>
      <c r="V50" s="892"/>
      <c r="W50" s="148" t="s">
        <v>173</v>
      </c>
      <c r="X50" s="1469"/>
      <c r="Y50" s="1469">
        <v>0</v>
      </c>
      <c r="Z50" s="1592"/>
      <c r="AA50" s="1594" t="s">
        <v>174</v>
      </c>
      <c r="AB50" s="207"/>
      <c r="AC50" s="208"/>
      <c r="AD50" s="207"/>
      <c r="AE50" s="1448">
        <f>OR(AND(AE52&lt;&gt;"",AE53=""),AND(AE52="",AE53&lt;&gt;""))</f>
        <v>0</v>
      </c>
      <c r="AF50" s="1448">
        <f>OR(AND(AF52&lt;&gt;"",AF53=""),AND(AF52="",AF53&lt;&gt;""))</f>
        <v>0</v>
      </c>
      <c r="AG50" s="1448">
        <f>OR(AND(AG52&lt;&gt;"",AG53=""),AND(AG52="",AG53&lt;&gt;""))</f>
        <v>0</v>
      </c>
      <c r="AH50" s="1448">
        <f>OR(AND(AH52&lt;&gt;"",AH53=""),AND(AH52="",AH53&lt;&gt;""))</f>
        <v>0</v>
      </c>
      <c r="AI50" s="1448">
        <f>OR(AND(AI52&lt;&gt;"",AI53=""),AND(AI52="",AI53&lt;&gt;""))</f>
        <v>0</v>
      </c>
      <c r="AJ50" s="1448">
        <f>OR(AND(AJ52&lt;&gt;"",AJ53=""),AND(AJ52="",AJ53&lt;&gt;""))</f>
        <v>0</v>
      </c>
      <c r="AK50" s="1448">
        <f>OR(AND(AK52&lt;&gt;"",AK53=""),AND(AK52="",AK53&lt;&gt;""))</f>
        <v>0</v>
      </c>
      <c r="AL50" s="1448">
        <f>OR(AND(AL52&lt;&gt;"",AL53=""),AND(AL52="",AL53&lt;&gt;""))</f>
        <v>0</v>
      </c>
      <c r="AM50" s="1448">
        <f>OR(AND(AM52&lt;&gt;"",AM53=""),AND(AM52="",AM53&lt;&gt;""))</f>
        <v>0</v>
      </c>
      <c r="AN50" s="1448">
        <f>OR(AND(AN52&lt;&gt;"",AN53=""),AND(AN52="",AN53&lt;&gt;""))</f>
        <v>0</v>
      </c>
      <c r="AO50" s="1448">
        <f>OR(AND(AO52&lt;&gt;"",AO53=""),AND(AO52="",AO53&lt;&gt;""))</f>
        <v>0</v>
      </c>
      <c r="AP50" s="1448">
        <f>OR(AND(AP52&lt;&gt;"",AP53=""),AND(AP52="",AP53&lt;&gt;""))</f>
        <v>0</v>
      </c>
      <c r="AQ50" s="1448">
        <f>OR(AND(AQ52&lt;&gt;"",AQ53=""),AND(AQ52="",AQ53&lt;&gt;""))</f>
        <v>0</v>
      </c>
      <c r="AR50" s="1448">
        <f>OR(AND(AR52&lt;&gt;"",AR53=""),AND(AR52="",AR53&lt;&gt;""))</f>
        <v>0</v>
      </c>
      <c r="AS50" s="1448">
        <f>OR(AND(AS52&lt;&gt;"",AS53=""),AND(AS52="",AS53&lt;&gt;""))</f>
        <v>0</v>
      </c>
      <c r="AT50" s="1448">
        <f>OR(AND(AT52&lt;&gt;"",AT53=""),AND(AT52="",AT53&lt;&gt;""))</f>
        <v>0</v>
      </c>
      <c r="AU50" s="1448">
        <f>OR(AND(AU52&lt;&gt;"",AU53=""),AND(AU52="",AU53&lt;&gt;""))</f>
        <v>0</v>
      </c>
      <c r="AV50" s="1448">
        <f>OR(AND(AV52&lt;&gt;"",AV53=""),AND(AV52="",AV53&lt;&gt;""))</f>
        <v>0</v>
      </c>
      <c r="AW50" s="1448">
        <f>OR(AND(AW52&lt;&gt;"",AW53=""),AND(AW52="",AW53&lt;&gt;""))</f>
        <v>0</v>
      </c>
      <c r="AX50" s="1448">
        <f>OR(AND(AX52&lt;&gt;"",AX53=""),AND(AX52="",AX53&lt;&gt;""))</f>
        <v>0</v>
      </c>
      <c r="AY50" s="1448">
        <f>OR(AND(AY52&lt;&gt;"",AY53=""),AND(AY52="",AY53&lt;&gt;""))</f>
        <v>0</v>
      </c>
      <c r="AZ50" s="1448">
        <f>OR(AND(AZ52&lt;&gt;"",AZ53=""),AND(AZ52="",AZ53&lt;&gt;""))</f>
        <v>0</v>
      </c>
      <c r="BA50" s="1448">
        <f>OR(AND(BA52&lt;&gt;"",BA53=""),AND(BA52="",BA53&lt;&gt;""))</f>
        <v>0</v>
      </c>
      <c r="BB50" s="1448">
        <f>OR(AND(BB52&lt;&gt;"",BB53=""),AND(BB52="",BB53&lt;&gt;""))</f>
        <v>0</v>
      </c>
      <c r="BC50" s="982"/>
      <c r="BD50" s="892"/>
      <c r="BE50" s="892"/>
      <c r="BF50" s="1049"/>
      <c r="BG50" s="1049"/>
      <c r="BH50" s="1049"/>
      <c r="BI50" s="684"/>
      <c r="BJ50" s="684"/>
    </row>
    <row customHeight="1" ht="14.625" hidden="1">
      <c r="A51" s="892"/>
      <c r="B51" s="442"/>
      <c r="C51" s="892"/>
      <c r="D51" s="892"/>
      <c r="E51" s="684">
        <v>15</v>
      </c>
      <c r="F51" s="1326" cm="1" t="str">
        <f t="array" ref="F51:F51">OFFSET(E51,-1,1)</f>
        <v>0</v>
      </c>
      <c r="G51" s="892"/>
      <c r="H51" s="892"/>
      <c r="I51" s="892"/>
      <c r="J51" s="892"/>
      <c r="K51" s="918"/>
      <c r="L51" s="922"/>
      <c r="M51" s="892"/>
      <c r="N51" s="892"/>
      <c r="O51" s="892"/>
      <c r="P51" s="892"/>
      <c r="Q51" s="892"/>
      <c r="R51" s="892"/>
      <c r="S51" s="892"/>
      <c r="T51" s="1436">
        <f>AND(Y50&gt;0,F51&gt;0)</f>
        <v>0</v>
      </c>
      <c r="U51" s="892"/>
      <c r="V51" s="892"/>
      <c r="W51" s="892"/>
      <c r="X51" s="690"/>
      <c r="Y51" s="1469"/>
      <c r="Z51" s="892"/>
      <c r="AA51" s="3203"/>
      <c r="AB51" s="3204" t="str">
        <f>"4."&amp;Y50</f>
        <v>4.0</v>
      </c>
      <c r="AC51" s="3205" t="s">
        <v>240</v>
      </c>
      <c r="AD51" s="3206"/>
      <c r="AE51" s="3207"/>
      <c r="AF51" s="3208"/>
      <c r="AG51" s="3207"/>
      <c r="AH51" s="3207"/>
      <c r="AI51" s="3207"/>
      <c r="AJ51" s="3207"/>
      <c r="AK51" s="3207"/>
      <c r="AL51" s="3207"/>
      <c r="AM51" s="3207"/>
      <c r="AN51" s="3207"/>
      <c r="AO51" s="3207"/>
      <c r="AP51" s="3207"/>
      <c r="AQ51" s="3207"/>
      <c r="AR51" s="3207"/>
      <c r="AS51" s="3208"/>
      <c r="AT51" s="3208"/>
      <c r="AU51" s="3208"/>
      <c r="AV51" s="3208"/>
      <c r="AW51" s="3208"/>
      <c r="AX51" s="3208"/>
      <c r="AY51" s="3208"/>
      <c r="AZ51" s="3208"/>
      <c r="BA51" s="3208"/>
      <c r="BB51" s="3209"/>
      <c r="BC51" s="3210"/>
      <c r="BD51" s="892"/>
      <c r="BE51" s="892"/>
      <c r="BF51" s="1049"/>
      <c r="BG51" s="1049"/>
      <c r="BH51" s="1049"/>
      <c r="BI51" s="684"/>
      <c r="BJ51" s="684"/>
    </row>
    <row customHeight="1" ht="14.25" hidden="1">
      <c r="A52" s="892"/>
      <c r="B52" s="442"/>
      <c r="C52" s="892"/>
      <c r="D52" s="892"/>
      <c r="E52" s="684">
        <v>15</v>
      </c>
      <c r="F52" s="50" cm="1" t="str">
        <f t="array" ref="F52:F52">OFFSET(E52,-1,1)</f>
        <v>0</v>
      </c>
      <c r="G52" s="148" t="s">
        <v>348</v>
      </c>
      <c r="H52" s="151" cm="1" t="str">
        <f t="array" ref="H52:H52">AC52</f>
        <v>Затраты</v>
      </c>
      <c r="I52" s="148" t="s">
        <v>1275</v>
      </c>
      <c r="J52" s="892"/>
      <c r="K52" s="918"/>
      <c r="L52" s="892"/>
      <c r="M52" s="892"/>
      <c r="N52" s="892"/>
      <c r="O52" s="892"/>
      <c r="P52" s="892"/>
      <c r="Q52" s="892"/>
      <c r="R52" s="892"/>
      <c r="S52" s="892"/>
      <c r="T52" s="468" cm="1" t="str">
        <f t="array" ref="T52:T52">T51</f>
        <v>false</v>
      </c>
      <c r="U52" s="892"/>
      <c r="V52" s="892"/>
      <c r="W52" s="892"/>
      <c r="X52" s="1469"/>
      <c r="Y52" s="1469"/>
      <c r="Z52" s="1592"/>
      <c r="AA52" s="1594"/>
      <c r="AB52" s="84" t="str">
        <f>AB51&amp;".1"</f>
        <v>4.0.1</v>
      </c>
      <c r="AC52" s="3211" t="s">
        <v>1251</v>
      </c>
      <c r="AD52" s="207" t="s">
        <v>936</v>
      </c>
      <c r="AE52" s="3109"/>
      <c r="AF52" s="3109"/>
      <c r="AG52" s="3109"/>
      <c r="AH52" s="3109"/>
      <c r="AI52" s="3109"/>
      <c r="AJ52" s="3109"/>
      <c r="AK52" s="3109"/>
      <c r="AL52" s="3109"/>
      <c r="AM52" s="3109"/>
      <c r="AN52" s="3109"/>
      <c r="AO52" s="3109"/>
      <c r="AP52" s="3109"/>
      <c r="AQ52" s="3109"/>
      <c r="AR52" s="3109"/>
      <c r="AS52" s="3109"/>
      <c r="AT52" s="3109"/>
      <c r="AU52" s="3109"/>
      <c r="AV52" s="3109"/>
      <c r="AW52" s="3109"/>
      <c r="AX52" s="3109"/>
      <c r="AY52" s="3109"/>
      <c r="AZ52" s="3109"/>
      <c r="BA52" s="3109"/>
      <c r="BB52" s="3109"/>
      <c r="BC52" s="1928"/>
      <c r="BD52" s="892"/>
      <c r="BE52" s="892"/>
      <c r="BF52" s="1049" t="s">
        <v>1252</v>
      </c>
      <c r="BG52" s="1049" t="s">
        <v>1276</v>
      </c>
      <c r="BH52" s="1049" cm="1" t="str">
        <f t="array" ref="BH52:BH52">AC51</f>
        <v/>
      </c>
      <c r="BI52" s="684"/>
      <c r="BJ52" s="684" t="b">
        <v>1</v>
      </c>
    </row>
    <row customHeight="1" ht="14.625" hidden="1">
      <c r="A53" s="892"/>
      <c r="B53" s="442"/>
      <c r="C53" s="892"/>
      <c r="D53" s="892"/>
      <c r="E53" s="684">
        <v>15</v>
      </c>
      <c r="F53" s="50" cm="1" t="str">
        <f t="array" ref="F53:F53">OFFSET(E53,-1,1)</f>
        <v>0</v>
      </c>
      <c r="G53" s="148" t="s">
        <v>659</v>
      </c>
      <c r="H53" s="151" cm="1" t="str">
        <f t="array" ref="H53:H53">H52</f>
        <v>Затраты</v>
      </c>
      <c r="I53" s="148" t="s">
        <v>1275</v>
      </c>
      <c r="J53" s="892"/>
      <c r="K53" s="918"/>
      <c r="L53" s="892"/>
      <c r="M53" s="892"/>
      <c r="N53" s="892"/>
      <c r="O53" s="892"/>
      <c r="P53" s="892"/>
      <c r="Q53" s="892"/>
      <c r="R53" s="892"/>
      <c r="S53" s="892"/>
      <c r="T53" s="468" cm="1" t="str">
        <f t="array" ref="T53:T53">T52</f>
        <v>false</v>
      </c>
      <c r="U53" s="892"/>
      <c r="V53" s="892"/>
      <c r="W53" s="892"/>
      <c r="X53" s="1469"/>
      <c r="Y53" s="1469"/>
      <c r="Z53" s="1592"/>
      <c r="AA53" s="1594"/>
      <c r="AB53" s="84" t="str">
        <f>AB52&amp;".1"</f>
        <v>4.0.1.1</v>
      </c>
      <c r="AC53" s="217" t="s">
        <v>1277</v>
      </c>
      <c r="AD53" s="84" t="s">
        <v>657</v>
      </c>
      <c r="AE53" s="3109"/>
      <c r="AF53" s="3109"/>
      <c r="AG53" s="3109"/>
      <c r="AH53" s="3109"/>
      <c r="AI53" s="3109"/>
      <c r="AJ53" s="3109"/>
      <c r="AK53" s="3109"/>
      <c r="AL53" s="3109"/>
      <c r="AM53" s="3109"/>
      <c r="AN53" s="3109"/>
      <c r="AO53" s="3109"/>
      <c r="AP53" s="3109"/>
      <c r="AQ53" s="3109"/>
      <c r="AR53" s="3109"/>
      <c r="AS53" s="3109"/>
      <c r="AT53" s="3109"/>
      <c r="AU53" s="3109"/>
      <c r="AV53" s="3109"/>
      <c r="AW53" s="3109"/>
      <c r="AX53" s="3109"/>
      <c r="AY53" s="3109"/>
      <c r="AZ53" s="3109"/>
      <c r="BA53" s="3109"/>
      <c r="BB53" s="3109"/>
      <c r="BC53" s="1928"/>
      <c r="BD53" s="892"/>
      <c r="BE53" s="892"/>
      <c r="BF53" s="1049" t="s">
        <v>1255</v>
      </c>
      <c r="BG53" s="1049" t="s">
        <v>1276</v>
      </c>
      <c r="BH53" s="1049" cm="1" t="str">
        <f t="array" ref="BH53:BH53">BH52</f>
        <v/>
      </c>
      <c r="BI53" s="684"/>
      <c r="BJ53" s="684"/>
    </row>
    <row customHeight="1" ht="14.625" hidden="1">
      <c r="A54" s="892"/>
      <c r="B54" s="442"/>
      <c r="C54" s="892"/>
      <c r="D54" s="892"/>
      <c r="E54" s="684">
        <v>15</v>
      </c>
      <c r="F54" s="1326" cm="1" t="str">
        <f t="array" ref="F54:F54">OFFSET(E54,-1,1)</f>
        <v>0</v>
      </c>
      <c r="G54" s="892"/>
      <c r="H54" s="151"/>
      <c r="I54" s="892"/>
      <c r="J54" s="892"/>
      <c r="K54" s="918"/>
      <c r="L54" s="892"/>
      <c r="M54" s="892"/>
      <c r="N54" s="892"/>
      <c r="O54" s="892"/>
      <c r="P54" s="892"/>
      <c r="Q54" s="892"/>
      <c r="R54" s="892"/>
      <c r="S54" s="892"/>
      <c r="T54" s="1436" cm="1" t="str">
        <f t="array" ref="T54:T54">T53</f>
        <v>false</v>
      </c>
      <c r="U54" s="892"/>
      <c r="V54" s="892"/>
      <c r="W54" s="892"/>
      <c r="X54" s="690"/>
      <c r="Y54" s="1469"/>
      <c r="Z54" s="892"/>
      <c r="AA54" s="3203"/>
      <c r="AB54" s="3214" t="str">
        <f>AB52&amp;".2"</f>
        <v>4.0.1.2</v>
      </c>
      <c r="AC54" s="3215" t="s">
        <v>1278</v>
      </c>
      <c r="AD54" s="3214" t="s">
        <v>1257</v>
      </c>
      <c r="AE54" s="3216"/>
      <c r="AF54" s="3216"/>
      <c r="AG54" s="3216"/>
      <c r="AH54" s="3216"/>
      <c r="AI54" s="3216"/>
      <c r="AJ54" s="3216"/>
      <c r="AK54" s="3216"/>
      <c r="AL54" s="3216"/>
      <c r="AM54" s="3216"/>
      <c r="AN54" s="3216"/>
      <c r="AO54" s="3216"/>
      <c r="AP54" s="3216"/>
      <c r="AQ54" s="3216"/>
      <c r="AR54" s="3216"/>
      <c r="AS54" s="3216"/>
      <c r="AT54" s="3216"/>
      <c r="AU54" s="3216"/>
      <c r="AV54" s="3216"/>
      <c r="AW54" s="3216"/>
      <c r="AX54" s="3216"/>
      <c r="AY54" s="3216"/>
      <c r="AZ54" s="3216"/>
      <c r="BA54" s="3216"/>
      <c r="BB54" s="3216"/>
      <c r="BC54" s="3217"/>
      <c r="BD54" s="892"/>
      <c r="BE54" s="892"/>
      <c r="BF54" s="1049" t="s">
        <v>1258</v>
      </c>
      <c r="BG54" s="1049" t="s">
        <v>1276</v>
      </c>
      <c r="BH54" s="3218" cm="1" t="str">
        <f t="array" ref="BH54:BH54">BH53</f>
        <v/>
      </c>
      <c r="BI54" s="684"/>
      <c r="BJ54" s="684"/>
    </row>
    <row customHeight="1" ht="14.625" hidden="1">
      <c r="A55" s="892"/>
      <c r="B55" s="442"/>
      <c r="C55" s="892"/>
      <c r="D55" s="892"/>
      <c r="E55" s="684">
        <v>15</v>
      </c>
      <c r="F55" s="50" cm="1" t="str">
        <f t="array" ref="F55:F55">OFFSET(E55,-1,1)</f>
        <v>0</v>
      </c>
      <c r="G55" s="892"/>
      <c r="H55" s="148" t="str">
        <f>"!=='не определено' &amp;&amp; row.l4 !== null"</f>
        <v>!=='не определено' &amp;&amp; row.l4 !== null</v>
      </c>
      <c r="I55" s="892"/>
      <c r="J55" s="892"/>
      <c r="K55" s="918"/>
      <c r="L55" s="892"/>
      <c r="M55" s="892"/>
      <c r="N55" s="892"/>
      <c r="O55" s="892"/>
      <c r="P55" s="892"/>
      <c r="Q55" s="892"/>
      <c r="R55" s="892"/>
      <c r="S55" s="892"/>
      <c r="T55" s="468">
        <f>F55&gt;0</f>
        <v>0</v>
      </c>
      <c r="U55" s="892"/>
      <c r="V55" s="892"/>
      <c r="W55" s="691" t="s">
        <v>1279</v>
      </c>
      <c r="X55" s="1469"/>
      <c r="Y55" s="689"/>
      <c r="Z55" s="1592"/>
      <c r="AA55" s="892"/>
      <c r="AB55" s="687"/>
      <c r="AC55" s="228" t="s">
        <v>1260</v>
      </c>
      <c r="AD55" s="228"/>
      <c r="AE55" s="228"/>
      <c r="AF55" s="228"/>
      <c r="AG55" s="228"/>
      <c r="AH55" s="228"/>
      <c r="AI55" s="228"/>
      <c r="AJ55" s="228"/>
      <c r="AK55" s="228"/>
      <c r="AL55" s="228"/>
      <c r="AM55" s="228"/>
      <c r="AN55" s="228"/>
      <c r="AO55" s="228"/>
      <c r="AP55" s="228"/>
      <c r="AQ55" s="228"/>
      <c r="AR55" s="228"/>
      <c r="AS55" s="228"/>
      <c r="AT55" s="228"/>
      <c r="AU55" s="228"/>
      <c r="AV55" s="228"/>
      <c r="AW55" s="228"/>
      <c r="AX55" s="228"/>
      <c r="AY55" s="228"/>
      <c r="AZ55" s="228"/>
      <c r="BA55" s="228"/>
      <c r="BB55" s="228"/>
      <c r="BC55" s="229"/>
      <c r="BD55" s="892"/>
      <c r="BE55" s="892"/>
      <c r="BF55" s="1049"/>
      <c r="BG55" s="1049"/>
      <c r="BH55" s="1049"/>
      <c r="BI55" s="684" t="s">
        <v>1276</v>
      </c>
      <c r="BJ55" s="684"/>
    </row>
    <row customHeight="1" ht="22.425" hidden="1">
      <c r="A56" s="892"/>
      <c r="B56" s="442"/>
      <c r="C56" s="892"/>
      <c r="D56" s="892"/>
      <c r="E56" s="684">
        <v>23</v>
      </c>
      <c r="F56" s="50" cm="1" t="str">
        <f t="array" ref="F56:F56">OFFSET(E56,-1,1)</f>
        <v>0</v>
      </c>
      <c r="G56" s="892"/>
      <c r="H56" s="892"/>
      <c r="I56" s="892"/>
      <c r="J56" s="892"/>
      <c r="K56" s="918" t="str">
        <f>F28&amp;"5komm"</f>
        <v>05komm</v>
      </c>
      <c r="L56" s="922" cm="1" t="str">
        <f t="array" ref="L56:L56">BC56</f>
        <v>0</v>
      </c>
      <c r="M56" s="892"/>
      <c r="N56" s="892"/>
      <c r="O56" s="892"/>
      <c r="P56" s="892"/>
      <c r="Q56" s="892"/>
      <c r="R56" s="892"/>
      <c r="S56" s="892"/>
      <c r="T56" s="468" cm="1" t="str">
        <f t="array" ref="T56:T56">T55</f>
        <v>false</v>
      </c>
      <c r="U56" s="892"/>
      <c r="V56" s="892"/>
      <c r="W56" s="892"/>
      <c r="X56" s="1469"/>
      <c r="Y56" s="690"/>
      <c r="Z56" s="1592"/>
      <c r="AA56" s="892"/>
      <c r="AB56" s="207">
        <v>5</v>
      </c>
      <c r="AC56" s="208" t="s">
        <v>1280</v>
      </c>
      <c r="AD56" s="207" t="s">
        <v>936</v>
      </c>
      <c r="AE56" s="209">
        <f>SUMIF(AD59:AD62,AD56,AE59:AE62)</f>
        <v>0</v>
      </c>
      <c r="AF56" s="209">
        <f>SUMIF(AD59:AD62,AD56,AF59:AF62)</f>
        <v>0</v>
      </c>
      <c r="AG56" s="209">
        <f>SUMIF(AD59:AD62,AD56,AG59:AG62)</f>
        <v>0</v>
      </c>
      <c r="AH56" s="209">
        <f>SUMIF(AD59:AD62,AD56,AH59:AH62)</f>
        <v>0</v>
      </c>
      <c r="AI56" s="209">
        <f>SUMIF(AD59:AD62,AD56,AI59:AI62)</f>
        <v>0</v>
      </c>
      <c r="AJ56" s="3200">
        <f>SUMIF(AD59:AD62,AD56,AJ59:AJ62)</f>
        <v>0</v>
      </c>
      <c r="AK56" s="3200">
        <f>SUMIF(AD59:AD62,AD56,AK59:AK62)</f>
        <v>0</v>
      </c>
      <c r="AL56" s="3200">
        <f>SUMIF(AD59:AD62,AD56,AL59:AL62)</f>
        <v>0</v>
      </c>
      <c r="AM56" s="3200">
        <f>SUMIF(AD59:AD62,AD56,AM59:AM62)</f>
        <v>0</v>
      </c>
      <c r="AN56" s="3200">
        <f>SUMIF(AD59:AD62,AD56,AN59:AN62)</f>
        <v>0</v>
      </c>
      <c r="AO56" s="3200">
        <f>SUMIF(AD59:AD62,AD56,AO59:AO62)</f>
        <v>0</v>
      </c>
      <c r="AP56" s="3200">
        <f>SUMIF(AD59:AD62,AD56,AP59:AP62)</f>
        <v>0</v>
      </c>
      <c r="AQ56" s="3200">
        <f>SUMIF(AD59:AD62,AD56,AQ59:AQ62)</f>
        <v>0</v>
      </c>
      <c r="AR56" s="3200">
        <f>SUMIF(AD59:AD62,AD56,AR59:AR62)</f>
        <v>0</v>
      </c>
      <c r="AS56" s="209">
        <f>SUMIF(AD59:AD62,AD56,AS59:AS62)</f>
        <v>0</v>
      </c>
      <c r="AT56" s="3200">
        <f>SUMIF(AD59:AD62,AD56,AT59:AT62)</f>
        <v>0</v>
      </c>
      <c r="AU56" s="3200">
        <f>SUMIF(AD59:AD62,AD56,AU59:AU62)</f>
        <v>0</v>
      </c>
      <c r="AV56" s="3200">
        <f>SUMIF(AD59:AD62,AD56,AV59:AV62)</f>
        <v>0</v>
      </c>
      <c r="AW56" s="3200">
        <f>SUMIF(AD59:AD62,AD56,AW59:AW62)</f>
        <v>0</v>
      </c>
      <c r="AX56" s="3200">
        <f>SUMIF(AD59:AD62,AD56,AX59:AX62)</f>
        <v>0</v>
      </c>
      <c r="AY56" s="3200">
        <f>SUMIF(AD59:AD62,AD56,AY59:AY62)</f>
        <v>0</v>
      </c>
      <c r="AZ56" s="3200">
        <f>SUMIF(AD59:AD62,AD56,AZ59:AZ62)</f>
        <v>0</v>
      </c>
      <c r="BA56" s="3200">
        <f>SUMIF(AD59:AD62,AD56,BA59:BA62)</f>
        <v>0</v>
      </c>
      <c r="BB56" s="3200">
        <f>SUMIF(AD59:AD62,AD56,BB59:BB62)</f>
        <v>0</v>
      </c>
      <c r="BC56" s="1928"/>
      <c r="BD56" s="892"/>
      <c r="BE56" s="892"/>
      <c r="BF56" s="1049" t="s">
        <v>1281</v>
      </c>
      <c r="BG56" s="1049"/>
      <c r="BH56" s="1049"/>
      <c r="BI56" s="684"/>
      <c r="BJ56" s="684"/>
    </row>
    <row customHeight="1" ht="15" hidden="1">
      <c r="A57" s="892"/>
      <c r="B57" s="442"/>
      <c r="C57" s="892"/>
      <c r="D57" s="892"/>
      <c r="E57" s="684">
        <v>0</v>
      </c>
      <c r="F57" s="50" cm="1" t="str">
        <f t="array" ref="F57:F57">OFFSET(E57,-1,1)</f>
        <v>0</v>
      </c>
      <c r="G57" s="148" t="s">
        <v>347</v>
      </c>
      <c r="H57" s="892"/>
      <c r="I57" s="892"/>
      <c r="J57" s="892"/>
      <c r="K57" s="918"/>
      <c r="L57" s="922"/>
      <c r="M57" s="892"/>
      <c r="N57" s="892"/>
      <c r="O57" s="892"/>
      <c r="P57" s="892"/>
      <c r="Q57" s="892"/>
      <c r="R57" s="892"/>
      <c r="S57" s="892"/>
      <c r="T57" s="468" t="b">
        <v>0</v>
      </c>
      <c r="U57" s="892"/>
      <c r="V57" s="892"/>
      <c r="W57" s="148" t="s">
        <v>173</v>
      </c>
      <c r="X57" s="1469"/>
      <c r="Y57" s="1469">
        <v>0</v>
      </c>
      <c r="Z57" s="1592"/>
      <c r="AA57" s="1594" t="s">
        <v>174</v>
      </c>
      <c r="AB57" s="207"/>
      <c r="AC57" s="208"/>
      <c r="AD57" s="207"/>
      <c r="AE57" s="1448">
        <f>OR(AND(AE59&lt;&gt;"",AE60=""),AND(AE59="",AE60&lt;&gt;""))</f>
        <v>0</v>
      </c>
      <c r="AF57" s="1448">
        <f>OR(AND(AF59&lt;&gt;"",AF60=""),AND(AF59="",AF60&lt;&gt;""))</f>
        <v>0</v>
      </c>
      <c r="AG57" s="1448">
        <f>OR(AND(AG59&lt;&gt;"",AG60=""),AND(AG59="",AG60&lt;&gt;""))</f>
        <v>0</v>
      </c>
      <c r="AH57" s="1448">
        <f>OR(AND(AH59&lt;&gt;"",AH60=""),AND(AH59="",AH60&lt;&gt;""))</f>
        <v>0</v>
      </c>
      <c r="AI57" s="1448">
        <f>OR(AND(AI59&lt;&gt;"",AI60=""),AND(AI59="",AI60&lt;&gt;""))</f>
        <v>0</v>
      </c>
      <c r="AJ57" s="1448">
        <f>OR(AND(AJ59&lt;&gt;"",AJ60=""),AND(AJ59="",AJ60&lt;&gt;""))</f>
        <v>0</v>
      </c>
      <c r="AK57" s="1448">
        <f>OR(AND(AK59&lt;&gt;"",AK60=""),AND(AK59="",AK60&lt;&gt;""))</f>
        <v>0</v>
      </c>
      <c r="AL57" s="1448">
        <f>OR(AND(AL59&lt;&gt;"",AL60=""),AND(AL59="",AL60&lt;&gt;""))</f>
        <v>0</v>
      </c>
      <c r="AM57" s="1448">
        <f>OR(AND(AM59&lt;&gt;"",AM60=""),AND(AM59="",AM60&lt;&gt;""))</f>
        <v>0</v>
      </c>
      <c r="AN57" s="1448">
        <f>OR(AND(AN59&lt;&gt;"",AN60=""),AND(AN59="",AN60&lt;&gt;""))</f>
        <v>0</v>
      </c>
      <c r="AO57" s="1448">
        <f>OR(AND(AO59&lt;&gt;"",AO60=""),AND(AO59="",AO60&lt;&gt;""))</f>
        <v>0</v>
      </c>
      <c r="AP57" s="1448">
        <f>OR(AND(AP59&lt;&gt;"",AP60=""),AND(AP59="",AP60&lt;&gt;""))</f>
        <v>0</v>
      </c>
      <c r="AQ57" s="1448">
        <f>OR(AND(AQ59&lt;&gt;"",AQ60=""),AND(AQ59="",AQ60&lt;&gt;""))</f>
        <v>0</v>
      </c>
      <c r="AR57" s="1448">
        <f>OR(AND(AR59&lt;&gt;"",AR60=""),AND(AR59="",AR60&lt;&gt;""))</f>
        <v>0</v>
      </c>
      <c r="AS57" s="1448">
        <f>OR(AND(AS59&lt;&gt;"",AS60=""),AND(AS59="",AS60&lt;&gt;""))</f>
        <v>0</v>
      </c>
      <c r="AT57" s="1448">
        <f>OR(AND(AT59&lt;&gt;"",AT60=""),AND(AT59="",AT60&lt;&gt;""))</f>
        <v>0</v>
      </c>
      <c r="AU57" s="1448">
        <f>OR(AND(AU59&lt;&gt;"",AU60=""),AND(AU59="",AU60&lt;&gt;""))</f>
        <v>0</v>
      </c>
      <c r="AV57" s="1448">
        <f>OR(AND(AV59&lt;&gt;"",AV60=""),AND(AV59="",AV60&lt;&gt;""))</f>
        <v>0</v>
      </c>
      <c r="AW57" s="1448">
        <f>OR(AND(AW59&lt;&gt;"",AW60=""),AND(AW59="",AW60&lt;&gt;""))</f>
        <v>0</v>
      </c>
      <c r="AX57" s="1448">
        <f>OR(AND(AX59&lt;&gt;"",AX60=""),AND(AX59="",AX60&lt;&gt;""))</f>
        <v>0</v>
      </c>
      <c r="AY57" s="1448">
        <f>OR(AND(AY59&lt;&gt;"",AY60=""),AND(AY59="",AY60&lt;&gt;""))</f>
        <v>0</v>
      </c>
      <c r="AZ57" s="1448">
        <f>OR(AND(AZ59&lt;&gt;"",AZ60=""),AND(AZ59="",AZ60&lt;&gt;""))</f>
        <v>0</v>
      </c>
      <c r="BA57" s="1448">
        <f>OR(AND(BA59&lt;&gt;"",BA60=""),AND(BA59="",BA60&lt;&gt;""))</f>
        <v>0</v>
      </c>
      <c r="BB57" s="1448">
        <f>OR(AND(BB59&lt;&gt;"",BB60=""),AND(BB59="",BB60&lt;&gt;""))</f>
        <v>0</v>
      </c>
      <c r="BC57" s="982"/>
      <c r="BD57" s="892"/>
      <c r="BE57" s="892"/>
      <c r="BF57" s="1049"/>
      <c r="BG57" s="1049"/>
      <c r="BH57" s="1049"/>
      <c r="BI57" s="684"/>
      <c r="BJ57" s="684"/>
    </row>
    <row customHeight="1" ht="14.625" hidden="1">
      <c r="A58" s="892"/>
      <c r="B58" s="442"/>
      <c r="C58" s="892"/>
      <c r="D58" s="892"/>
      <c r="E58" s="684">
        <v>15</v>
      </c>
      <c r="F58" s="1326" cm="1" t="str">
        <f t="array" ref="F58:F58">OFFSET(E58,-1,1)</f>
        <v>0</v>
      </c>
      <c r="G58" s="892"/>
      <c r="H58" s="892"/>
      <c r="I58" s="892"/>
      <c r="J58" s="892"/>
      <c r="K58" s="918"/>
      <c r="L58" s="922"/>
      <c r="M58" s="892"/>
      <c r="N58" s="892"/>
      <c r="O58" s="892"/>
      <c r="P58" s="892"/>
      <c r="Q58" s="892"/>
      <c r="R58" s="892"/>
      <c r="S58" s="892"/>
      <c r="T58" s="1436">
        <f>AND(Y57&gt;0,F58&gt;0)</f>
        <v>0</v>
      </c>
      <c r="U58" s="892"/>
      <c r="V58" s="892"/>
      <c r="W58" s="892"/>
      <c r="X58" s="690"/>
      <c r="Y58" s="1469"/>
      <c r="Z58" s="892"/>
      <c r="AA58" s="3203"/>
      <c r="AB58" s="3204" t="str">
        <f>"5."&amp;Y57</f>
        <v>5.0</v>
      </c>
      <c r="AC58" s="3205" t="s">
        <v>240</v>
      </c>
      <c r="AD58" s="3206"/>
      <c r="AE58" s="3207"/>
      <c r="AF58" s="3208"/>
      <c r="AG58" s="3207"/>
      <c r="AH58" s="3207"/>
      <c r="AI58" s="3207"/>
      <c r="AJ58" s="3207"/>
      <c r="AK58" s="3207"/>
      <c r="AL58" s="3207"/>
      <c r="AM58" s="3207"/>
      <c r="AN58" s="3207"/>
      <c r="AO58" s="3207"/>
      <c r="AP58" s="3207"/>
      <c r="AQ58" s="3207"/>
      <c r="AR58" s="3207"/>
      <c r="AS58" s="3208"/>
      <c r="AT58" s="3208"/>
      <c r="AU58" s="3208"/>
      <c r="AV58" s="3208"/>
      <c r="AW58" s="3208"/>
      <c r="AX58" s="3208"/>
      <c r="AY58" s="3208"/>
      <c r="AZ58" s="3208"/>
      <c r="BA58" s="3208"/>
      <c r="BB58" s="3209"/>
      <c r="BC58" s="3210"/>
      <c r="BD58" s="892"/>
      <c r="BE58" s="892"/>
      <c r="BF58" s="1049"/>
      <c r="BG58" s="1049"/>
      <c r="BH58" s="1049"/>
      <c r="BI58" s="684"/>
      <c r="BJ58" s="684"/>
    </row>
    <row customHeight="1" ht="14.25" hidden="1">
      <c r="A59" s="892"/>
      <c r="B59" s="442"/>
      <c r="C59" s="892"/>
      <c r="D59" s="892"/>
      <c r="E59" s="684">
        <v>15</v>
      </c>
      <c r="F59" s="50" cm="1" t="str">
        <f t="array" ref="F59:F59">OFFSET(E59,-1,1)</f>
        <v>0</v>
      </c>
      <c r="G59" s="148" t="s">
        <v>347</v>
      </c>
      <c r="H59" s="151" cm="1" t="str">
        <f t="array" ref="H59:H59">AC59</f>
        <v>Затраты</v>
      </c>
      <c r="I59" s="148" t="s">
        <v>1282</v>
      </c>
      <c r="J59" s="892"/>
      <c r="K59" s="918"/>
      <c r="L59" s="892"/>
      <c r="M59" s="892"/>
      <c r="N59" s="892"/>
      <c r="O59" s="892"/>
      <c r="P59" s="892"/>
      <c r="Q59" s="892"/>
      <c r="R59" s="892"/>
      <c r="S59" s="892"/>
      <c r="T59" s="468" cm="1" t="str">
        <f t="array" ref="T59:T59">T58</f>
        <v>false</v>
      </c>
      <c r="U59" s="892"/>
      <c r="V59" s="892"/>
      <c r="W59" s="892"/>
      <c r="X59" s="1469"/>
      <c r="Y59" s="1469"/>
      <c r="Z59" s="1592"/>
      <c r="AA59" s="1594"/>
      <c r="AB59" s="84" t="str">
        <f>AB58&amp;".1"</f>
        <v>5.0.1</v>
      </c>
      <c r="AC59" s="3211" t="s">
        <v>1251</v>
      </c>
      <c r="AD59" s="207" t="s">
        <v>936</v>
      </c>
      <c r="AE59" s="3109"/>
      <c r="AF59" s="3109"/>
      <c r="AG59" s="3109"/>
      <c r="AH59" s="3109"/>
      <c r="AI59" s="3109"/>
      <c r="AJ59" s="3109"/>
      <c r="AK59" s="3109"/>
      <c r="AL59" s="3109"/>
      <c r="AM59" s="3109"/>
      <c r="AN59" s="3109"/>
      <c r="AO59" s="3109"/>
      <c r="AP59" s="3109"/>
      <c r="AQ59" s="3109"/>
      <c r="AR59" s="3109"/>
      <c r="AS59" s="3109"/>
      <c r="AT59" s="3109"/>
      <c r="AU59" s="3109"/>
      <c r="AV59" s="3109"/>
      <c r="AW59" s="3109"/>
      <c r="AX59" s="3109"/>
      <c r="AY59" s="3109"/>
      <c r="AZ59" s="3109"/>
      <c r="BA59" s="3109"/>
      <c r="BB59" s="3109"/>
      <c r="BC59" s="1928"/>
      <c r="BD59" s="892"/>
      <c r="BE59" s="892"/>
      <c r="BF59" s="1049" t="s">
        <v>1252</v>
      </c>
      <c r="BG59" s="1049" t="s">
        <v>1283</v>
      </c>
      <c r="BH59" s="1049" cm="1" t="str">
        <f t="array" ref="BH59:BH59">AC58</f>
        <v/>
      </c>
      <c r="BI59" s="684"/>
      <c r="BJ59" s="684" t="b">
        <v>1</v>
      </c>
    </row>
    <row customHeight="1" ht="14.625" hidden="1">
      <c r="A60" s="892"/>
      <c r="B60" s="442"/>
      <c r="C60" s="892"/>
      <c r="D60" s="892"/>
      <c r="E60" s="684">
        <v>15</v>
      </c>
      <c r="F60" s="50" cm="1" t="str">
        <f t="array" ref="F60:F60">OFFSET(E60,-1,1)</f>
        <v>0</v>
      </c>
      <c r="G60" s="148" t="s">
        <v>673</v>
      </c>
      <c r="H60" s="151" cm="1" t="str">
        <f t="array" ref="H60:H60">H59</f>
        <v>Затраты</v>
      </c>
      <c r="I60" s="148" t="s">
        <v>1282</v>
      </c>
      <c r="J60" s="892"/>
      <c r="K60" s="918"/>
      <c r="L60" s="892"/>
      <c r="M60" s="892"/>
      <c r="N60" s="892"/>
      <c r="O60" s="892"/>
      <c r="P60" s="892"/>
      <c r="Q60" s="892"/>
      <c r="R60" s="892"/>
      <c r="S60" s="892"/>
      <c r="T60" s="468" cm="1" t="str">
        <f t="array" ref="T60:T60">T59</f>
        <v>false</v>
      </c>
      <c r="U60" s="892"/>
      <c r="V60" s="892"/>
      <c r="W60" s="892"/>
      <c r="X60" s="1469"/>
      <c r="Y60" s="1469"/>
      <c r="Z60" s="1592"/>
      <c r="AA60" s="1594"/>
      <c r="AB60" s="84" t="str">
        <f>AB59&amp;".1"</f>
        <v>5.0.1.1</v>
      </c>
      <c r="AC60" s="217" t="s">
        <v>1284</v>
      </c>
      <c r="AD60" s="84" t="s">
        <v>657</v>
      </c>
      <c r="AE60" s="3109"/>
      <c r="AF60" s="3109"/>
      <c r="AG60" s="3109"/>
      <c r="AH60" s="3109"/>
      <c r="AI60" s="3109"/>
      <c r="AJ60" s="3109"/>
      <c r="AK60" s="3109"/>
      <c r="AL60" s="3109"/>
      <c r="AM60" s="3109"/>
      <c r="AN60" s="3109"/>
      <c r="AO60" s="3109"/>
      <c r="AP60" s="3109"/>
      <c r="AQ60" s="3109"/>
      <c r="AR60" s="3109"/>
      <c r="AS60" s="3109"/>
      <c r="AT60" s="3109"/>
      <c r="AU60" s="3109"/>
      <c r="AV60" s="3109"/>
      <c r="AW60" s="3109"/>
      <c r="AX60" s="3109"/>
      <c r="AY60" s="3109"/>
      <c r="AZ60" s="3109"/>
      <c r="BA60" s="3109"/>
      <c r="BB60" s="3109"/>
      <c r="BC60" s="1928"/>
      <c r="BD60" s="892"/>
      <c r="BE60" s="892"/>
      <c r="BF60" s="1049" t="s">
        <v>1255</v>
      </c>
      <c r="BG60" s="1049" t="s">
        <v>1283</v>
      </c>
      <c r="BH60" s="1049" cm="1" t="str">
        <f t="array" ref="BH60:BH60">BH59</f>
        <v/>
      </c>
      <c r="BI60" s="684"/>
      <c r="BJ60" s="684"/>
    </row>
    <row customHeight="1" ht="14.625" hidden="1">
      <c r="A61" s="892"/>
      <c r="B61" s="442"/>
      <c r="C61" s="892"/>
      <c r="D61" s="892"/>
      <c r="E61" s="684">
        <v>15</v>
      </c>
      <c r="F61" s="1326" cm="1" t="str">
        <f t="array" ref="F61:F61">OFFSET(E61,-1,1)</f>
        <v>0</v>
      </c>
      <c r="G61" s="892"/>
      <c r="H61" s="151"/>
      <c r="I61" s="892"/>
      <c r="J61" s="892"/>
      <c r="K61" s="918"/>
      <c r="L61" s="892"/>
      <c r="M61" s="892"/>
      <c r="N61" s="892"/>
      <c r="O61" s="892"/>
      <c r="P61" s="892"/>
      <c r="Q61" s="892"/>
      <c r="R61" s="892"/>
      <c r="S61" s="892"/>
      <c r="T61" s="1436" cm="1" t="str">
        <f t="array" ref="T61:T61">T60</f>
        <v>false</v>
      </c>
      <c r="U61" s="892"/>
      <c r="V61" s="892"/>
      <c r="W61" s="892"/>
      <c r="X61" s="690"/>
      <c r="Y61" s="1469"/>
      <c r="Z61" s="892"/>
      <c r="AA61" s="3203"/>
      <c r="AB61" s="3214" t="str">
        <f>AB59&amp;".2"</f>
        <v>5.0.1.2</v>
      </c>
      <c r="AC61" s="3215" t="s">
        <v>1285</v>
      </c>
      <c r="AD61" s="3214" t="s">
        <v>1257</v>
      </c>
      <c r="AE61" s="3216"/>
      <c r="AF61" s="3216"/>
      <c r="AG61" s="3216"/>
      <c r="AH61" s="3216"/>
      <c r="AI61" s="3216"/>
      <c r="AJ61" s="3216"/>
      <c r="AK61" s="3216"/>
      <c r="AL61" s="3216"/>
      <c r="AM61" s="3216"/>
      <c r="AN61" s="3216"/>
      <c r="AO61" s="3216"/>
      <c r="AP61" s="3216"/>
      <c r="AQ61" s="3216"/>
      <c r="AR61" s="3216"/>
      <c r="AS61" s="3216"/>
      <c r="AT61" s="3216"/>
      <c r="AU61" s="3216"/>
      <c r="AV61" s="3216"/>
      <c r="AW61" s="3216"/>
      <c r="AX61" s="3216"/>
      <c r="AY61" s="3216"/>
      <c r="AZ61" s="3216"/>
      <c r="BA61" s="3216"/>
      <c r="BB61" s="3216"/>
      <c r="BC61" s="3217"/>
      <c r="BD61" s="892"/>
      <c r="BE61" s="892"/>
      <c r="BF61" s="1049" t="s">
        <v>1258</v>
      </c>
      <c r="BG61" s="1049" t="s">
        <v>1283</v>
      </c>
      <c r="BH61" s="3218" cm="1" t="str">
        <f t="array" ref="BH61:BH61">BH60</f>
        <v/>
      </c>
      <c r="BI61" s="684"/>
      <c r="BJ61" s="684"/>
    </row>
    <row customHeight="1" ht="14.625" hidden="1">
      <c r="A62" s="892"/>
      <c r="B62" s="442"/>
      <c r="C62" s="892"/>
      <c r="D62" s="892"/>
      <c r="E62" s="684">
        <v>15</v>
      </c>
      <c r="F62" s="50" cm="1" t="str">
        <f t="array" ref="F62:F62">OFFSET(E62,-1,1)</f>
        <v>0</v>
      </c>
      <c r="G62" s="892"/>
      <c r="H62" s="148" t="str">
        <f>"!=='не определено' &amp;&amp; row.l5 !== null"</f>
        <v>!=='не определено' &amp;&amp; row.l5 !== null</v>
      </c>
      <c r="I62" s="892"/>
      <c r="J62" s="892"/>
      <c r="K62" s="918"/>
      <c r="L62" s="892"/>
      <c r="M62" s="892"/>
      <c r="N62" s="892"/>
      <c r="O62" s="892"/>
      <c r="P62" s="892"/>
      <c r="Q62" s="892"/>
      <c r="R62" s="892"/>
      <c r="S62" s="892"/>
      <c r="T62" s="468">
        <f>F62&gt;0</f>
        <v>0</v>
      </c>
      <c r="U62" s="892"/>
      <c r="V62" s="892"/>
      <c r="W62" s="691" t="s">
        <v>1286</v>
      </c>
      <c r="X62" s="1469"/>
      <c r="Y62" s="165"/>
      <c r="Z62" s="1592"/>
      <c r="AA62" s="892"/>
      <c r="AB62" s="687"/>
      <c r="AC62" s="228" t="s">
        <v>1260</v>
      </c>
      <c r="AD62" s="228"/>
      <c r="AE62" s="228"/>
      <c r="AF62" s="228"/>
      <c r="AG62" s="228"/>
      <c r="AH62" s="228"/>
      <c r="AI62" s="228"/>
      <c r="AJ62" s="228"/>
      <c r="AK62" s="228"/>
      <c r="AL62" s="228"/>
      <c r="AM62" s="228"/>
      <c r="AN62" s="228"/>
      <c r="AO62" s="228"/>
      <c r="AP62" s="228"/>
      <c r="AQ62" s="228"/>
      <c r="AR62" s="228"/>
      <c r="AS62" s="228"/>
      <c r="AT62" s="228"/>
      <c r="AU62" s="228"/>
      <c r="AV62" s="228"/>
      <c r="AW62" s="228"/>
      <c r="AX62" s="228"/>
      <c r="AY62" s="228"/>
      <c r="AZ62" s="228"/>
      <c r="BA62" s="228"/>
      <c r="BB62" s="228"/>
      <c r="BC62" s="229"/>
      <c r="BD62" s="892"/>
      <c r="BE62" s="892"/>
      <c r="BF62" s="1049"/>
      <c r="BG62" s="1049"/>
      <c r="BH62" s="1049"/>
      <c r="BI62" s="684" t="s">
        <v>1283</v>
      </c>
      <c r="BJ62" s="684"/>
    </row>
    <row s="149" customFormat="1" customHeight="1" ht="14.625" hidden="1">
      <c r="A63" s="149"/>
      <c r="B63" s="443"/>
      <c r="C63" s="149"/>
      <c r="D63" s="149"/>
      <c r="E63" s="685">
        <v>15</v>
      </c>
      <c r="F63" s="50" cm="1" t="str">
        <f t="array" ref="F63:F63">OFFSET(E63,-1,1)</f>
        <v>0</v>
      </c>
      <c r="G63" s="148" t="s">
        <v>616</v>
      </c>
      <c r="H63" s="149"/>
      <c r="I63" s="149"/>
      <c r="J63" s="149"/>
      <c r="K63" s="918" t="str">
        <f>F28&amp;"6komm"</f>
        <v>06komm</v>
      </c>
      <c r="L63" s="922" cm="1" t="str">
        <f t="array" ref="L63:L63">BC63</f>
        <v>0</v>
      </c>
      <c r="M63" s="149"/>
      <c r="N63" s="149"/>
      <c r="O63" s="149"/>
      <c r="P63" s="149"/>
      <c r="Q63" s="149"/>
      <c r="R63" s="149"/>
      <c r="S63" s="149"/>
      <c r="T63" s="468" cm="1" t="str">
        <f t="array" ref="T63:T63">T62</f>
        <v>false</v>
      </c>
      <c r="U63" s="149"/>
      <c r="V63" s="149"/>
      <c r="W63" s="149"/>
      <c r="X63" s="1469"/>
      <c r="Y63" s="149"/>
      <c r="Z63" s="1592"/>
      <c r="AA63" s="149"/>
      <c r="AB63" s="207">
        <v>6</v>
      </c>
      <c r="AC63" s="208" t="s">
        <v>1287</v>
      </c>
      <c r="AD63" s="207" t="s">
        <v>936</v>
      </c>
      <c r="AE63" s="3230">
        <f>SUMIF($AC66:$AC73,"Затраты на тепловую энергию, всего",AE66:AE73)</f>
        <v>0</v>
      </c>
      <c r="AF63" s="3230">
        <f>SUMIF($AC66:$AC73,"Затраты на тепловую энергию, всего",AF66:AF73)</f>
        <v>0</v>
      </c>
      <c r="AG63" s="3230">
        <f>SUMIF($AC66:$AC73,"Затраты на тепловую энергию, всего",AG66:AG73)</f>
        <v>0</v>
      </c>
      <c r="AH63" s="3230">
        <f>SUMIF($AC66:$AC73,"Затраты на тепловую энергию, всего",AH66:AH73)</f>
        <v>0</v>
      </c>
      <c r="AI63" s="3231">
        <f>SUMIF($AC66:$AC73,"Затраты на тепловую энергию, всего",AI66:AI73)</f>
        <v>0</v>
      </c>
      <c r="AJ63" s="3232">
        <f>SUMIF($AC66:$AC73,"Затраты на тепловую энергию, всего",AJ66:AJ73)</f>
        <v>0</v>
      </c>
      <c r="AK63" s="3232">
        <f>SUMIF($AC66:$AC73,"Затраты на тепловую энергию, всего",AK66:AK73)</f>
        <v>0</v>
      </c>
      <c r="AL63" s="3232">
        <f>SUMIF($AC66:$AC73,"Затраты на тепловую энергию, всего",AL66:AL73)</f>
        <v>0</v>
      </c>
      <c r="AM63" s="3232">
        <f>SUMIF($AC66:$AC73,"Затраты на тепловую энергию, всего",AM66:AM73)</f>
        <v>0</v>
      </c>
      <c r="AN63" s="3232">
        <f>SUMIF($AC66:$AC73,"Затраты на тепловую энергию, всего",AN66:AN73)</f>
        <v>0</v>
      </c>
      <c r="AO63" s="3232">
        <f>SUMIF($AC66:$AC73,"Затраты на тепловую энергию, всего",AO66:AO73)</f>
        <v>0</v>
      </c>
      <c r="AP63" s="3232">
        <f>SUMIF($AC66:$AC73,"Затраты на тепловую энергию, всего",AP66:AP73)</f>
        <v>0</v>
      </c>
      <c r="AQ63" s="3232">
        <f>SUMIF($AC66:$AC73,"Затраты на тепловую энергию, всего",AQ66:AQ73)</f>
        <v>0</v>
      </c>
      <c r="AR63" s="3232">
        <f>SUMIF($AC66:$AC73,"Затраты на тепловую энергию, всего",AR66:AR73)</f>
        <v>0</v>
      </c>
      <c r="AS63" s="3231">
        <f>SUMIF($AC66:$AC73,"Затраты на тепловую энергию, всего",AS66:AS73)</f>
        <v>0</v>
      </c>
      <c r="AT63" s="3232">
        <f>SUMIF($AC66:$AC73,"Затраты на тепловую энергию, всего",AT66:AT73)</f>
        <v>0</v>
      </c>
      <c r="AU63" s="3232">
        <f>SUMIF($AC66:$AC73,"Затраты на тепловую энергию, всего",AU66:AU73)</f>
        <v>0</v>
      </c>
      <c r="AV63" s="3232">
        <f>SUMIF($AC66:$AC73,"Затраты на тепловую энергию, всего",AV66:AV73)</f>
        <v>0</v>
      </c>
      <c r="AW63" s="3232">
        <f>SUMIF($AC66:$AC73,"Затраты на тепловую энергию, всего",AW66:AW73)</f>
        <v>0</v>
      </c>
      <c r="AX63" s="3232">
        <f>SUMIF($AC66:$AC73,"Затраты на тепловую энергию, всего",AX66:AX73)</f>
        <v>0</v>
      </c>
      <c r="AY63" s="3232">
        <f>SUMIF($AC66:$AC73,"Затраты на тепловую энергию, всего",AY66:AY73)</f>
        <v>0</v>
      </c>
      <c r="AZ63" s="3232">
        <f>SUMIF($AC66:$AC73,"Затраты на тепловую энергию, всего",AZ66:AZ73)</f>
        <v>0</v>
      </c>
      <c r="BA63" s="3232">
        <f>SUMIF($AC66:$AC73,"Затраты на тепловую энергию, всего",BA66:BA73)</f>
        <v>0</v>
      </c>
      <c r="BB63" s="3232">
        <f>SUMIF($AC66:$AC73,"Затраты на тепловую энергию, всего",BB66:BB73)</f>
        <v>0</v>
      </c>
      <c r="BC63" s="1928"/>
      <c r="BD63" s="149"/>
      <c r="BE63" s="149"/>
      <c r="BF63" s="1052" t="s">
        <v>1288</v>
      </c>
      <c r="BG63" s="1052"/>
      <c r="BH63" s="1052"/>
      <c r="BI63" s="685"/>
      <c r="BJ63" s="685"/>
    </row>
    <row customHeight="1" ht="14.625" hidden="1">
      <c r="A64" s="892"/>
      <c r="B64" s="443"/>
      <c r="C64" s="892"/>
      <c r="D64" s="892"/>
      <c r="E64" s="684">
        <v>15</v>
      </c>
      <c r="F64" s="1326" cm="1" t="str">
        <f t="array" ref="F64:F64">OFFSET(E64,-1,1)</f>
        <v>0</v>
      </c>
      <c r="G64" s="892"/>
      <c r="H64" s="892"/>
      <c r="I64" s="892"/>
      <c r="J64" s="892"/>
      <c r="K64" s="918"/>
      <c r="L64" s="922"/>
      <c r="M64" s="892"/>
      <c r="N64" s="892"/>
      <c r="O64" s="892"/>
      <c r="P64" s="892"/>
      <c r="Q64" s="892"/>
      <c r="R64" s="892"/>
      <c r="S64" s="892"/>
      <c r="T64" s="1436" t="b">
        <v>0</v>
      </c>
      <c r="U64" s="892"/>
      <c r="V64" s="892"/>
      <c r="W64" s="892" t="s">
        <v>173</v>
      </c>
      <c r="X64" s="690"/>
      <c r="Y64" s="1469">
        <v>0</v>
      </c>
      <c r="Z64" s="892"/>
      <c r="AA64" s="3234" t="s">
        <v>174</v>
      </c>
      <c r="AB64" s="3206"/>
      <c r="AC64" s="1489"/>
      <c r="AD64" s="3235"/>
      <c r="AE64" s="3236">
        <f>OR(AND(AE67&lt;&gt;"",AE68=""),AND(AE67="",AE68&lt;&gt;""))</f>
        <v>0</v>
      </c>
      <c r="AF64" s="3236">
        <f>OR(AND(AF67&lt;&gt;"",AF68=""),AND(AF67="",AF68&lt;&gt;""))</f>
        <v>0</v>
      </c>
      <c r="AG64" s="3236">
        <f>OR(AND(AG67&lt;&gt;"",AG68=""),AND(AG67="",AG68&lt;&gt;""))</f>
        <v>0</v>
      </c>
      <c r="AH64" s="3236">
        <f>OR(AND(AH67&lt;&gt;"",AH68=""),AND(AH67="",AH68&lt;&gt;""))</f>
        <v>0</v>
      </c>
      <c r="AI64" s="3236">
        <f>OR(AND(AI67&lt;&gt;"",AI68=""),AND(AI67="",AI68&lt;&gt;""))</f>
        <v>0</v>
      </c>
      <c r="AJ64" s="3236">
        <f>OR(AND(AJ67&lt;&gt;"",AJ68=""),AND(AJ67="",AJ68&lt;&gt;""))</f>
        <v>0</v>
      </c>
      <c r="AK64" s="3236">
        <f>OR(AND(AK67&lt;&gt;"",AK68=""),AND(AK67="",AK68&lt;&gt;""))</f>
        <v>0</v>
      </c>
      <c r="AL64" s="3236">
        <f>OR(AND(AL67&lt;&gt;"",AL68=""),AND(AL67="",AL68&lt;&gt;""))</f>
        <v>0</v>
      </c>
      <c r="AM64" s="3236">
        <f>OR(AND(AM67&lt;&gt;"",AM68=""),AND(AM67="",AM68&lt;&gt;""))</f>
        <v>0</v>
      </c>
      <c r="AN64" s="3236">
        <f>OR(AND(AN67&lt;&gt;"",AN68=""),AND(AN67="",AN68&lt;&gt;""))</f>
        <v>0</v>
      </c>
      <c r="AO64" s="3236">
        <f>OR(AND(AO67&lt;&gt;"",AO68=""),AND(AO67="",AO68&lt;&gt;""))</f>
        <v>0</v>
      </c>
      <c r="AP64" s="3236">
        <f>OR(AND(AP67&lt;&gt;"",AP68=""),AND(AP67="",AP68&lt;&gt;""))</f>
        <v>0</v>
      </c>
      <c r="AQ64" s="3236">
        <f>OR(AND(AQ67&lt;&gt;"",AQ68=""),AND(AQ67="",AQ68&lt;&gt;""))</f>
        <v>0</v>
      </c>
      <c r="AR64" s="3236">
        <f>OR(AND(AR67&lt;&gt;"",AR68=""),AND(AR67="",AR68&lt;&gt;""))</f>
        <v>0</v>
      </c>
      <c r="AS64" s="3236">
        <f>OR(AND(AS67&lt;&gt;"",AS68=""),AND(AS67="",AS68&lt;&gt;""))</f>
        <v>0</v>
      </c>
      <c r="AT64" s="3236">
        <f>OR(AND(AT67&lt;&gt;"",AT68=""),AND(AT67="",AT68&lt;&gt;""))</f>
        <v>0</v>
      </c>
      <c r="AU64" s="3236">
        <f>OR(AND(AU67&lt;&gt;"",AU68=""),AND(AU67="",AU68&lt;&gt;""))</f>
        <v>0</v>
      </c>
      <c r="AV64" s="3236">
        <f>OR(AND(AV67&lt;&gt;"",AV68=""),AND(AV67="",AV68&lt;&gt;""))</f>
        <v>0</v>
      </c>
      <c r="AW64" s="3236">
        <f>OR(AND(AW67&lt;&gt;"",AW68=""),AND(AW67="",AW68&lt;&gt;""))</f>
        <v>0</v>
      </c>
      <c r="AX64" s="3236">
        <f>OR(AND(AX67&lt;&gt;"",AX68=""),AND(AX67="",AX68&lt;&gt;""))</f>
        <v>0</v>
      </c>
      <c r="AY64" s="3236">
        <f>OR(AND(AY67&lt;&gt;"",AY68=""),AND(AY67="",AY68&lt;&gt;""))</f>
        <v>0</v>
      </c>
      <c r="AZ64" s="3236">
        <f>OR(AND(AZ67&lt;&gt;"",AZ68=""),AND(AZ67="",AZ68&lt;&gt;""))</f>
        <v>0</v>
      </c>
      <c r="BA64" s="3236">
        <f>OR(AND(BA67&lt;&gt;"",BA68=""),AND(BA67="",BA68&lt;&gt;""))</f>
        <v>0</v>
      </c>
      <c r="BB64" s="3236">
        <f>OR(AND(BB67&lt;&gt;"",BB68=""),AND(BB67="",BB68&lt;&gt;""))</f>
        <v>0</v>
      </c>
      <c r="BC64" s="3236"/>
      <c r="BD64" s="892"/>
      <c r="BE64" s="892"/>
      <c r="BF64" s="1052"/>
      <c r="BG64" s="1052"/>
      <c r="BH64" s="1052"/>
      <c r="BI64" s="685"/>
      <c r="BJ64" s="685"/>
    </row>
    <row customHeight="1" ht="14.625" hidden="1">
      <c r="A65" s="892"/>
      <c r="B65" s="443"/>
      <c r="C65" s="892"/>
      <c r="D65" s="892"/>
      <c r="E65" s="684">
        <v>15</v>
      </c>
      <c r="F65" s="1326" cm="1" t="str">
        <f t="array" ref="F65:F65">OFFSET(E65,-1,1)</f>
        <v>0</v>
      </c>
      <c r="G65" s="892"/>
      <c r="H65" s="892"/>
      <c r="I65" s="892"/>
      <c r="J65" s="892"/>
      <c r="K65" s="918"/>
      <c r="L65" s="922"/>
      <c r="M65" s="892"/>
      <c r="N65" s="892"/>
      <c r="O65" s="892"/>
      <c r="P65" s="892"/>
      <c r="Q65" s="892"/>
      <c r="R65" s="892"/>
      <c r="S65" s="892"/>
      <c r="T65" s="1436">
        <f>AND(F65&gt;0,Y64&gt;0)</f>
        <v>0</v>
      </c>
      <c r="U65" s="892"/>
      <c r="V65" s="892"/>
      <c r="W65" s="892"/>
      <c r="X65" s="690"/>
      <c r="Y65" s="1469"/>
      <c r="Z65" s="892"/>
      <c r="AA65" s="3234"/>
      <c r="AB65" s="3204" t="str">
        <f>"6."&amp;Y64</f>
        <v>6.0</v>
      </c>
      <c r="AC65" s="3237"/>
      <c r="AD65" s="3235"/>
      <c r="AE65" s="3208"/>
      <c r="AF65" s="3208"/>
      <c r="AG65" s="3208"/>
      <c r="AH65" s="3208"/>
      <c r="AI65" s="3208"/>
      <c r="AJ65" s="3208"/>
      <c r="AK65" s="3208"/>
      <c r="AL65" s="3208"/>
      <c r="AM65" s="3208"/>
      <c r="AN65" s="3208"/>
      <c r="AO65" s="3208"/>
      <c r="AP65" s="3208"/>
      <c r="AQ65" s="3208"/>
      <c r="AR65" s="3208"/>
      <c r="AS65" s="3208"/>
      <c r="AT65" s="3208"/>
      <c r="AU65" s="3208"/>
      <c r="AV65" s="3208"/>
      <c r="AW65" s="3208"/>
      <c r="AX65" s="3208"/>
      <c r="AY65" s="3208"/>
      <c r="AZ65" s="3208"/>
      <c r="BA65" s="3208"/>
      <c r="BB65" s="3208"/>
      <c r="BC65" s="3208"/>
      <c r="BD65" s="892"/>
      <c r="BE65" s="892"/>
      <c r="BF65" s="1052"/>
      <c r="BG65" s="1052"/>
      <c r="BH65" s="1052"/>
      <c r="BI65" s="685"/>
      <c r="BJ65" s="685"/>
    </row>
    <row customHeight="1" ht="14.625" hidden="1">
      <c r="A66" s="892"/>
      <c r="B66" s="443"/>
      <c r="C66" s="892"/>
      <c r="D66" s="892"/>
      <c r="E66" s="684">
        <v>15</v>
      </c>
      <c r="F66" s="1326" cm="1" t="str">
        <f t="array" ref="F66:F66">OFFSET(E66,-1,1)</f>
        <v>0</v>
      </c>
      <c r="G66" s="892"/>
      <c r="H66" s="892"/>
      <c r="I66" s="892"/>
      <c r="J66" s="892"/>
      <c r="K66" s="918"/>
      <c r="L66" s="922"/>
      <c r="M66" s="892"/>
      <c r="N66" s="892"/>
      <c r="O66" s="892"/>
      <c r="P66" s="892"/>
      <c r="Q66" s="892"/>
      <c r="R66" s="892"/>
      <c r="S66" s="892"/>
      <c r="T66" s="1436" cm="1" t="str">
        <f t="array" ref="T66:T66">T65</f>
        <v>false</v>
      </c>
      <c r="U66" s="892"/>
      <c r="V66" s="892"/>
      <c r="W66" s="892"/>
      <c r="X66" s="690"/>
      <c r="Y66" s="1469"/>
      <c r="Z66" s="892"/>
      <c r="AA66" s="3234"/>
      <c r="AB66" s="3204" t="str">
        <f>AB65&amp;".1"</f>
        <v>6.0.1</v>
      </c>
      <c r="AC66" s="3238" t="s">
        <v>1289</v>
      </c>
      <c r="AD66" s="3214" t="s">
        <v>936</v>
      </c>
      <c r="AE66" s="3239">
        <f>AE67+AE70</f>
        <v>0</v>
      </c>
      <c r="AF66" s="3239">
        <f>AF67+AF70</f>
        <v>0</v>
      </c>
      <c r="AG66" s="3239">
        <f>AG67+AG70</f>
        <v>0</v>
      </c>
      <c r="AH66" s="3239">
        <f>AH67+AH70</f>
        <v>0</v>
      </c>
      <c r="AI66" s="3239">
        <f>AI67+AI70</f>
        <v>0</v>
      </c>
      <c r="AJ66" s="3240">
        <f>AJ67+AJ70</f>
        <v>0</v>
      </c>
      <c r="AK66" s="3240">
        <f>AK67+AK70</f>
        <v>0</v>
      </c>
      <c r="AL66" s="3240">
        <f>AL67+AL70</f>
        <v>0</v>
      </c>
      <c r="AM66" s="3240">
        <f>AM67+AM70</f>
        <v>0</v>
      </c>
      <c r="AN66" s="3240">
        <f>AN67+AN70</f>
        <v>0</v>
      </c>
      <c r="AO66" s="3240">
        <f>AO67+AO70</f>
        <v>0</v>
      </c>
      <c r="AP66" s="3240">
        <f>AP67+AP70</f>
        <v>0</v>
      </c>
      <c r="AQ66" s="3240">
        <f>AQ67+AQ70</f>
        <v>0</v>
      </c>
      <c r="AR66" s="3240">
        <f>AR67+AR70</f>
        <v>0</v>
      </c>
      <c r="AS66" s="3239">
        <f>AS67+AS70</f>
        <v>0</v>
      </c>
      <c r="AT66" s="3240">
        <f>AT67+AT70</f>
        <v>0</v>
      </c>
      <c r="AU66" s="3240">
        <f>AU67+AU70</f>
        <v>0</v>
      </c>
      <c r="AV66" s="3240">
        <f>AV67+AV70</f>
        <v>0</v>
      </c>
      <c r="AW66" s="3240">
        <f>AW67+AW70</f>
        <v>0</v>
      </c>
      <c r="AX66" s="3240">
        <f>AX67+AX70</f>
        <v>0</v>
      </c>
      <c r="AY66" s="3240">
        <f>AY67+AY70</f>
        <v>0</v>
      </c>
      <c r="AZ66" s="3240">
        <f>AZ67+AZ70</f>
        <v>0</v>
      </c>
      <c r="BA66" s="3240">
        <f>BA67+BA70</f>
        <v>0</v>
      </c>
      <c r="BB66" s="3240">
        <f>BB67+BB70</f>
        <v>0</v>
      </c>
      <c r="BC66" s="3217"/>
      <c r="BD66" s="892"/>
      <c r="BE66" s="892"/>
      <c r="BF66" s="1052" t="s">
        <v>1290</v>
      </c>
      <c r="BG66" s="1052" t="s">
        <v>1291</v>
      </c>
      <c r="BH66" s="3241" cm="1" t="str">
        <f t="array" ref="BH66:BH66">AC65</f>
        <v>0</v>
      </c>
      <c r="BI66" s="685"/>
      <c r="BJ66" s="685" t="b">
        <v>1</v>
      </c>
    </row>
    <row customHeight="1" ht="14.625" hidden="1">
      <c r="A67" s="892"/>
      <c r="B67" s="443"/>
      <c r="C67" s="892"/>
      <c r="D67" s="892"/>
      <c r="E67" s="684">
        <v>15</v>
      </c>
      <c r="F67" s="1326" cm="1" t="str">
        <f t="array" ref="F67:F67">OFFSET(E67,-1,1)</f>
        <v>0</v>
      </c>
      <c r="G67" s="892"/>
      <c r="H67" s="892"/>
      <c r="I67" s="892"/>
      <c r="J67" s="892"/>
      <c r="K67" s="918"/>
      <c r="L67" s="922"/>
      <c r="M67" s="892"/>
      <c r="N67" s="892"/>
      <c r="O67" s="892"/>
      <c r="P67" s="892"/>
      <c r="Q67" s="892"/>
      <c r="R67" s="892"/>
      <c r="S67" s="892"/>
      <c r="T67" s="1436" cm="1" t="str">
        <f t="array" ref="T67:T67">T66</f>
        <v>false</v>
      </c>
      <c r="U67" s="892"/>
      <c r="V67" s="892"/>
      <c r="W67" s="892"/>
      <c r="X67" s="690"/>
      <c r="Y67" s="1469"/>
      <c r="Z67" s="892"/>
      <c r="AA67" s="3234"/>
      <c r="AB67" s="3204" t="str">
        <f>AB66&amp;".1"</f>
        <v>6.0.1.1</v>
      </c>
      <c r="AC67" s="3242" t="s">
        <v>1292</v>
      </c>
      <c r="AD67" s="3243" t="s">
        <v>936</v>
      </c>
      <c r="AE67" s="3216"/>
      <c r="AF67" s="3216"/>
      <c r="AG67" s="3216"/>
      <c r="AH67" s="3216"/>
      <c r="AI67" s="3216"/>
      <c r="AJ67" s="3216"/>
      <c r="AK67" s="3216"/>
      <c r="AL67" s="3216"/>
      <c r="AM67" s="3216"/>
      <c r="AN67" s="3216"/>
      <c r="AO67" s="3216"/>
      <c r="AP67" s="3216"/>
      <c r="AQ67" s="3216"/>
      <c r="AR67" s="3216"/>
      <c r="AS67" s="3216"/>
      <c r="AT67" s="3216"/>
      <c r="AU67" s="3216"/>
      <c r="AV67" s="3216"/>
      <c r="AW67" s="3216"/>
      <c r="AX67" s="3216"/>
      <c r="AY67" s="3216"/>
      <c r="AZ67" s="3216"/>
      <c r="BA67" s="3216"/>
      <c r="BB67" s="3216"/>
      <c r="BC67" s="3217"/>
      <c r="BD67" s="892"/>
      <c r="BE67" s="892"/>
      <c r="BF67" s="1052" t="s">
        <v>1293</v>
      </c>
      <c r="BG67" s="1052" t="s">
        <v>1291</v>
      </c>
      <c r="BH67" s="3241" cm="1" t="str">
        <f t="array" ref="BH67:BH67">BH66</f>
        <v>0</v>
      </c>
      <c r="BI67" s="685"/>
      <c r="BJ67" s="685"/>
    </row>
    <row customHeight="1" ht="14.625" hidden="1">
      <c r="A68" s="892"/>
      <c r="B68" s="443"/>
      <c r="C68" s="892"/>
      <c r="D68" s="892"/>
      <c r="E68" s="684">
        <v>15</v>
      </c>
      <c r="F68" s="1326" cm="1" t="str">
        <f t="array" ref="F68:F68">OFFSET(E68,-1,1)</f>
        <v>0</v>
      </c>
      <c r="G68" s="892"/>
      <c r="H68" s="892"/>
      <c r="I68" s="892"/>
      <c r="J68" s="892"/>
      <c r="K68" s="918"/>
      <c r="L68" s="922"/>
      <c r="M68" s="892"/>
      <c r="N68" s="892"/>
      <c r="O68" s="892"/>
      <c r="P68" s="892"/>
      <c r="Q68" s="892"/>
      <c r="R68" s="892"/>
      <c r="S68" s="892"/>
      <c r="T68" s="1436" cm="1" t="str">
        <f t="array" ref="T68:T68">T67</f>
        <v>false</v>
      </c>
      <c r="U68" s="892"/>
      <c r="V68" s="892"/>
      <c r="W68" s="892"/>
      <c r="X68" s="690"/>
      <c r="Y68" s="1469"/>
      <c r="Z68" s="892"/>
      <c r="AA68" s="3234"/>
      <c r="AB68" s="3204" t="str">
        <f>AB67&amp;".1"</f>
        <v>6.0.1.1.1</v>
      </c>
      <c r="AC68" s="3244" t="s">
        <v>1294</v>
      </c>
      <c r="AD68" s="3214" t="s">
        <v>1295</v>
      </c>
      <c r="AE68" s="3216"/>
      <c r="AF68" s="3216"/>
      <c r="AG68" s="3216"/>
      <c r="AH68" s="3216"/>
      <c r="AI68" s="3216"/>
      <c r="AJ68" s="3216"/>
      <c r="AK68" s="3216"/>
      <c r="AL68" s="3216"/>
      <c r="AM68" s="3216"/>
      <c r="AN68" s="3216"/>
      <c r="AO68" s="3216"/>
      <c r="AP68" s="3216"/>
      <c r="AQ68" s="3216"/>
      <c r="AR68" s="3216"/>
      <c r="AS68" s="3216"/>
      <c r="AT68" s="3216"/>
      <c r="AU68" s="3216"/>
      <c r="AV68" s="3216"/>
      <c r="AW68" s="3216"/>
      <c r="AX68" s="3216"/>
      <c r="AY68" s="3216"/>
      <c r="AZ68" s="3216"/>
      <c r="BA68" s="3216"/>
      <c r="BB68" s="3216"/>
      <c r="BC68" s="3217"/>
      <c r="BD68" s="892"/>
      <c r="BE68" s="892"/>
      <c r="BF68" s="1052" t="s">
        <v>1296</v>
      </c>
      <c r="BG68" s="1052" t="s">
        <v>1291</v>
      </c>
      <c r="BH68" s="3241" cm="1" t="str">
        <f t="array" ref="BH68:BH68">BH67</f>
        <v>0</v>
      </c>
      <c r="BI68" s="685"/>
      <c r="BJ68" s="685"/>
    </row>
    <row customHeight="1" ht="14.625" hidden="1">
      <c r="A69" s="892"/>
      <c r="B69" s="443"/>
      <c r="C69" s="892"/>
      <c r="D69" s="892"/>
      <c r="E69" s="684">
        <v>15</v>
      </c>
      <c r="F69" s="1326" cm="1" t="str">
        <f t="array" ref="F69:F69">OFFSET(E69,-1,1)</f>
        <v>0</v>
      </c>
      <c r="G69" s="892"/>
      <c r="H69" s="892"/>
      <c r="I69" s="892"/>
      <c r="J69" s="892"/>
      <c r="K69" s="918"/>
      <c r="L69" s="922"/>
      <c r="M69" s="892"/>
      <c r="N69" s="892"/>
      <c r="O69" s="892"/>
      <c r="P69" s="892"/>
      <c r="Q69" s="892"/>
      <c r="R69" s="892"/>
      <c r="S69" s="892"/>
      <c r="T69" s="1436" cm="1" t="str">
        <f t="array" ref="T69:T69">T68</f>
        <v>false</v>
      </c>
      <c r="U69" s="892"/>
      <c r="V69" s="892"/>
      <c r="W69" s="892"/>
      <c r="X69" s="690"/>
      <c r="Y69" s="1469"/>
      <c r="Z69" s="892"/>
      <c r="AA69" s="3234"/>
      <c r="AB69" s="3204" t="str">
        <f>AB67&amp;".2"</f>
        <v>6.0.1.1.2</v>
      </c>
      <c r="AC69" s="3244" t="s">
        <v>1297</v>
      </c>
      <c r="AD69" s="3214" t="s">
        <v>1298</v>
      </c>
      <c r="AE69" s="3216"/>
      <c r="AF69" s="3216"/>
      <c r="AG69" s="3216"/>
      <c r="AH69" s="3216"/>
      <c r="AI69" s="3216"/>
      <c r="AJ69" s="3216"/>
      <c r="AK69" s="3216"/>
      <c r="AL69" s="3216"/>
      <c r="AM69" s="3216"/>
      <c r="AN69" s="3216"/>
      <c r="AO69" s="3216"/>
      <c r="AP69" s="3216"/>
      <c r="AQ69" s="3216"/>
      <c r="AR69" s="3216"/>
      <c r="AS69" s="3216"/>
      <c r="AT69" s="3216"/>
      <c r="AU69" s="3216"/>
      <c r="AV69" s="3216"/>
      <c r="AW69" s="3216"/>
      <c r="AX69" s="3216"/>
      <c r="AY69" s="3216"/>
      <c r="AZ69" s="3216"/>
      <c r="BA69" s="3216"/>
      <c r="BB69" s="3216"/>
      <c r="BC69" s="3217"/>
      <c r="BD69" s="892"/>
      <c r="BE69" s="892"/>
      <c r="BF69" s="1052" t="s">
        <v>1299</v>
      </c>
      <c r="BG69" s="1052" t="s">
        <v>1291</v>
      </c>
      <c r="BH69" s="3241" cm="1" t="str">
        <f t="array" ref="BH69:BH69">BH68</f>
        <v>0</v>
      </c>
      <c r="BI69" s="685"/>
      <c r="BJ69" s="685"/>
    </row>
    <row customHeight="1" ht="14.625" hidden="1">
      <c r="A70" s="892"/>
      <c r="B70" s="443"/>
      <c r="C70" s="892"/>
      <c r="D70" s="892"/>
      <c r="E70" s="684">
        <v>15</v>
      </c>
      <c r="F70" s="1326" cm="1" t="str">
        <f t="array" ref="F70:F70">OFFSET(E70,-1,1)</f>
        <v>0</v>
      </c>
      <c r="G70" s="892"/>
      <c r="H70" s="892"/>
      <c r="I70" s="892"/>
      <c r="J70" s="892"/>
      <c r="K70" s="918"/>
      <c r="L70" s="922"/>
      <c r="M70" s="892"/>
      <c r="N70" s="892"/>
      <c r="O70" s="892"/>
      <c r="P70" s="892"/>
      <c r="Q70" s="892"/>
      <c r="R70" s="892"/>
      <c r="S70" s="892"/>
      <c r="T70" s="1436" cm="1" t="str">
        <f t="array" ref="T70:T70">T69</f>
        <v>false</v>
      </c>
      <c r="U70" s="892"/>
      <c r="V70" s="892"/>
      <c r="W70" s="892"/>
      <c r="X70" s="690"/>
      <c r="Y70" s="1469"/>
      <c r="Z70" s="892"/>
      <c r="AA70" s="3234"/>
      <c r="AB70" s="3204" t="str">
        <f>AB66&amp;".2"</f>
        <v>6.0.1.2</v>
      </c>
      <c r="AC70" s="3215" t="s">
        <v>1300</v>
      </c>
      <c r="AD70" s="3214" t="s">
        <v>936</v>
      </c>
      <c r="AE70" s="3216"/>
      <c r="AF70" s="3216"/>
      <c r="AG70" s="3216"/>
      <c r="AH70" s="3216"/>
      <c r="AI70" s="3216"/>
      <c r="AJ70" s="3216"/>
      <c r="AK70" s="3216"/>
      <c r="AL70" s="3216"/>
      <c r="AM70" s="3216"/>
      <c r="AN70" s="3216"/>
      <c r="AO70" s="3216"/>
      <c r="AP70" s="3216"/>
      <c r="AQ70" s="3216"/>
      <c r="AR70" s="3216"/>
      <c r="AS70" s="3216"/>
      <c r="AT70" s="3216"/>
      <c r="AU70" s="3216"/>
      <c r="AV70" s="3216"/>
      <c r="AW70" s="3216"/>
      <c r="AX70" s="3216"/>
      <c r="AY70" s="3216"/>
      <c r="AZ70" s="3216"/>
      <c r="BA70" s="3216"/>
      <c r="BB70" s="3216"/>
      <c r="BC70" s="3217"/>
      <c r="BD70" s="892"/>
      <c r="BE70" s="892"/>
      <c r="BF70" s="1052" t="s">
        <v>1301</v>
      </c>
      <c r="BG70" s="1052" t="s">
        <v>1291</v>
      </c>
      <c r="BH70" s="3241" cm="1" t="str">
        <f t="array" ref="BH70:BH70">BH69</f>
        <v>0</v>
      </c>
      <c r="BI70" s="685"/>
      <c r="BJ70" s="685"/>
    </row>
    <row customHeight="1" ht="14.625" hidden="1">
      <c r="A71" s="892"/>
      <c r="B71" s="443"/>
      <c r="C71" s="892"/>
      <c r="D71" s="892"/>
      <c r="E71" s="684">
        <v>15</v>
      </c>
      <c r="F71" s="1326" cm="1" t="str">
        <f t="array" ref="F71:F71">OFFSET(E71,-1,1)</f>
        <v>0</v>
      </c>
      <c r="G71" s="892"/>
      <c r="H71" s="892"/>
      <c r="I71" s="892"/>
      <c r="J71" s="892"/>
      <c r="K71" s="918"/>
      <c r="L71" s="922"/>
      <c r="M71" s="892"/>
      <c r="N71" s="892"/>
      <c r="O71" s="892"/>
      <c r="P71" s="892"/>
      <c r="Q71" s="892"/>
      <c r="R71" s="892"/>
      <c r="S71" s="892"/>
      <c r="T71" s="1436" cm="1" t="str">
        <f t="array" ref="T71:T71">T70</f>
        <v>false</v>
      </c>
      <c r="U71" s="892"/>
      <c r="V71" s="892"/>
      <c r="W71" s="892"/>
      <c r="X71" s="690"/>
      <c r="Y71" s="1469"/>
      <c r="Z71" s="892"/>
      <c r="AA71" s="3234"/>
      <c r="AB71" s="3204" t="str">
        <f>AB70&amp;".1"</f>
        <v>6.0.1.2.1</v>
      </c>
      <c r="AC71" s="3244" t="s">
        <v>1302</v>
      </c>
      <c r="AD71" s="3214" t="s">
        <v>1303</v>
      </c>
      <c r="AE71" s="3216"/>
      <c r="AF71" s="3216"/>
      <c r="AG71" s="3216"/>
      <c r="AH71" s="3216"/>
      <c r="AI71" s="3216"/>
      <c r="AJ71" s="3216"/>
      <c r="AK71" s="3216"/>
      <c r="AL71" s="3216"/>
      <c r="AM71" s="3216"/>
      <c r="AN71" s="3216"/>
      <c r="AO71" s="3216"/>
      <c r="AP71" s="3216"/>
      <c r="AQ71" s="3216"/>
      <c r="AR71" s="3216"/>
      <c r="AS71" s="3216"/>
      <c r="AT71" s="3216"/>
      <c r="AU71" s="3216"/>
      <c r="AV71" s="3216"/>
      <c r="AW71" s="3216"/>
      <c r="AX71" s="3216"/>
      <c r="AY71" s="3216"/>
      <c r="AZ71" s="3216"/>
      <c r="BA71" s="3216"/>
      <c r="BB71" s="3216"/>
      <c r="BC71" s="3217"/>
      <c r="BD71" s="892"/>
      <c r="BE71" s="892"/>
      <c r="BF71" s="1052" t="s">
        <v>1304</v>
      </c>
      <c r="BG71" s="1052" t="s">
        <v>1291</v>
      </c>
      <c r="BH71" s="3241" cm="1" t="str">
        <f t="array" ref="BH71:BH71">BH70</f>
        <v>0</v>
      </c>
      <c r="BI71" s="685"/>
      <c r="BJ71" s="685"/>
    </row>
    <row customHeight="1" ht="14.625" hidden="1">
      <c r="A72" s="892"/>
      <c r="B72" s="443"/>
      <c r="C72" s="892"/>
      <c r="D72" s="892"/>
      <c r="E72" s="684">
        <v>15</v>
      </c>
      <c r="F72" s="1326" cm="1" t="str">
        <f t="array" ref="F72:F72">OFFSET(E72,-1,1)</f>
        <v>0</v>
      </c>
      <c r="G72" s="892"/>
      <c r="H72" s="892"/>
      <c r="I72" s="892"/>
      <c r="J72" s="892"/>
      <c r="K72" s="918"/>
      <c r="L72" s="922"/>
      <c r="M72" s="892"/>
      <c r="N72" s="892"/>
      <c r="O72" s="892"/>
      <c r="P72" s="892"/>
      <c r="Q72" s="892"/>
      <c r="R72" s="892"/>
      <c r="S72" s="892"/>
      <c r="T72" s="1436" cm="1" t="str">
        <f t="array" ref="T72:T72">T71</f>
        <v>false</v>
      </c>
      <c r="U72" s="892"/>
      <c r="V72" s="892"/>
      <c r="W72" s="892"/>
      <c r="X72" s="690"/>
      <c r="Y72" s="1469"/>
      <c r="Z72" s="892"/>
      <c r="AA72" s="3234"/>
      <c r="AB72" s="3204" t="str">
        <f>AB70&amp;".2"</f>
        <v>6.0.1.2.2</v>
      </c>
      <c r="AC72" s="3244" t="s">
        <v>1305</v>
      </c>
      <c r="AD72" s="3214" t="s">
        <v>1306</v>
      </c>
      <c r="AE72" s="3216"/>
      <c r="AF72" s="3216"/>
      <c r="AG72" s="3216"/>
      <c r="AH72" s="3216"/>
      <c r="AI72" s="3216"/>
      <c r="AJ72" s="3216"/>
      <c r="AK72" s="3216"/>
      <c r="AL72" s="3216"/>
      <c r="AM72" s="3216"/>
      <c r="AN72" s="3216"/>
      <c r="AO72" s="3216"/>
      <c r="AP72" s="3216"/>
      <c r="AQ72" s="3216"/>
      <c r="AR72" s="3216"/>
      <c r="AS72" s="3216"/>
      <c r="AT72" s="3216"/>
      <c r="AU72" s="3216"/>
      <c r="AV72" s="3216"/>
      <c r="AW72" s="3216"/>
      <c r="AX72" s="3216"/>
      <c r="AY72" s="3216"/>
      <c r="AZ72" s="3216"/>
      <c r="BA72" s="3216"/>
      <c r="BB72" s="3216"/>
      <c r="BC72" s="3217"/>
      <c r="BD72" s="892"/>
      <c r="BE72" s="892"/>
      <c r="BF72" s="1052" t="s">
        <v>1307</v>
      </c>
      <c r="BG72" s="1052" t="s">
        <v>1291</v>
      </c>
      <c r="BH72" s="3241" cm="1" t="str">
        <f t="array" ref="BH72:BH72">BH71</f>
        <v>0</v>
      </c>
      <c r="BI72" s="685"/>
      <c r="BJ72" s="685"/>
    </row>
    <row customHeight="1" ht="14.625" hidden="1">
      <c r="A73" s="892"/>
      <c r="B73" s="443"/>
      <c r="C73" s="892"/>
      <c r="D73" s="892"/>
      <c r="E73" s="684">
        <v>15</v>
      </c>
      <c r="F73" s="1326" cm="1" t="str">
        <f t="array" ref="F73:F73">OFFSET(E73,-1,1)</f>
        <v>0</v>
      </c>
      <c r="G73" s="892"/>
      <c r="H73" s="892"/>
      <c r="I73" s="892"/>
      <c r="J73" s="892"/>
      <c r="K73" s="918"/>
      <c r="L73" s="922"/>
      <c r="M73" s="892"/>
      <c r="N73" s="892"/>
      <c r="O73" s="892"/>
      <c r="P73" s="892"/>
      <c r="Q73" s="892"/>
      <c r="R73" s="892"/>
      <c r="S73" s="892"/>
      <c r="T73" s="1436">
        <f>F73&gt;0</f>
        <v>0</v>
      </c>
      <c r="U73" s="892"/>
      <c r="V73" s="892"/>
      <c r="W73" s="691" t="s">
        <v>1308</v>
      </c>
      <c r="X73" s="690"/>
      <c r="Y73" s="1491"/>
      <c r="Z73" s="892"/>
      <c r="AA73" s="2547"/>
      <c r="AB73" s="3245"/>
      <c r="AC73" s="3246" t="s">
        <v>1260</v>
      </c>
      <c r="AD73" s="3247"/>
      <c r="AE73" s="3248"/>
      <c r="AF73" s="3249"/>
      <c r="AG73" s="3250"/>
      <c r="AH73" s="3251"/>
      <c r="AI73" s="3252"/>
      <c r="AJ73" s="3253"/>
      <c r="AK73" s="3254"/>
      <c r="AL73" s="3255"/>
      <c r="AM73" s="3256"/>
      <c r="AN73" s="3257"/>
      <c r="AO73" s="3258"/>
      <c r="AP73" s="3259"/>
      <c r="AQ73" s="3260"/>
      <c r="AR73" s="3261"/>
      <c r="AS73" s="3262"/>
      <c r="AT73" s="3263"/>
      <c r="AU73" s="3264"/>
      <c r="AV73" s="3265"/>
      <c r="AW73" s="3266"/>
      <c r="AX73" s="3267"/>
      <c r="AY73" s="3268"/>
      <c r="AZ73" s="3269"/>
      <c r="BA73" s="3270"/>
      <c r="BB73" s="3271"/>
      <c r="BC73" s="3272"/>
      <c r="BD73" s="892"/>
      <c r="BE73" s="892"/>
      <c r="BF73" s="1052"/>
      <c r="BG73" s="1052"/>
      <c r="BH73" s="1052"/>
      <c r="BI73" s="685" t="s">
        <v>1291</v>
      </c>
      <c r="BJ73" s="685"/>
    </row>
    <row s="149" customFormat="1" customHeight="1" ht="14.625" hidden="1">
      <c r="A74" s="149"/>
      <c r="B74" s="443"/>
      <c r="C74" s="149"/>
      <c r="D74" s="149"/>
      <c r="E74" s="685">
        <v>15</v>
      </c>
      <c r="F74" s="50" cm="1" t="str">
        <f t="array" ref="F74:F74">OFFSET(E74,-1,1)</f>
        <v>0</v>
      </c>
      <c r="G74" s="148" t="s">
        <v>619</v>
      </c>
      <c r="H74" s="149"/>
      <c r="I74" s="149"/>
      <c r="J74" s="149"/>
      <c r="K74" s="918" t="str">
        <f>F28&amp;"7komm"</f>
        <v>07komm</v>
      </c>
      <c r="L74" s="922" cm="1" t="str">
        <f t="array" ref="L74:L74">BC74</f>
        <v>0</v>
      </c>
      <c r="M74" s="149"/>
      <c r="N74" s="149"/>
      <c r="O74" s="149"/>
      <c r="P74" s="149"/>
      <c r="Q74" s="149"/>
      <c r="R74" s="149"/>
      <c r="S74" s="149"/>
      <c r="T74" s="468" cm="1" t="str">
        <f t="array" ref="T74:T74">T63</f>
        <v>false</v>
      </c>
      <c r="U74" s="149"/>
      <c r="V74" s="149"/>
      <c r="W74" s="149"/>
      <c r="X74" s="1469"/>
      <c r="Y74" s="149"/>
      <c r="Z74" s="1592"/>
      <c r="AA74" s="149"/>
      <c r="AB74" s="207">
        <v>7</v>
      </c>
      <c r="AC74" s="208" t="s">
        <v>1309</v>
      </c>
      <c r="AD74" s="207" t="s">
        <v>936</v>
      </c>
      <c r="AE74" s="3230">
        <f>SUMIF($AD77:$AD80,$AD74,AE77:AE80)</f>
        <v>0</v>
      </c>
      <c r="AF74" s="3230">
        <f>SUMIF($AD77:$AD80,$AD74,AF77:AF80)</f>
        <v>0</v>
      </c>
      <c r="AG74" s="3230">
        <f>SUMIF($AD77:$AD80,$AD74,AG77:AG80)</f>
        <v>0</v>
      </c>
      <c r="AH74" s="3230">
        <f>SUMIF($AD77:$AD80,$AD74,AH77:AH80)</f>
        <v>0</v>
      </c>
      <c r="AI74" s="3231">
        <f>SUMIF($AD77:$AD80,$AD74,AI77:AI80)</f>
        <v>0</v>
      </c>
      <c r="AJ74" s="3232">
        <f>SUMIF($AD77:$AD80,$AD74,AJ77:AJ80)</f>
        <v>0</v>
      </c>
      <c r="AK74" s="3232">
        <f>SUMIF($AD77:$AD80,$AD74,AK77:AK80)</f>
        <v>0</v>
      </c>
      <c r="AL74" s="3232">
        <f>SUMIF($AD77:$AD80,$AD74,AL77:AL80)</f>
        <v>0</v>
      </c>
      <c r="AM74" s="3232">
        <f>SUMIF($AD77:$AD80,$AD74,AM77:AM80)</f>
        <v>0</v>
      </c>
      <c r="AN74" s="3232">
        <f>SUMIF($AD77:$AD80,$AD74,AN77:AN80)</f>
        <v>0</v>
      </c>
      <c r="AO74" s="3232">
        <f>SUMIF($AD77:$AD80,$AD74,AO77:AO80)</f>
        <v>0</v>
      </c>
      <c r="AP74" s="3232">
        <f>SUMIF($AD77:$AD80,$AD74,AP77:AP80)</f>
        <v>0</v>
      </c>
      <c r="AQ74" s="3232">
        <f>SUMIF($AD77:$AD80,$AD74,AQ77:AQ80)</f>
        <v>0</v>
      </c>
      <c r="AR74" s="3232">
        <f>SUMIF($AD77:$AD80,$AD74,AR77:AR80)</f>
        <v>0</v>
      </c>
      <c r="AS74" s="3231">
        <f>SUMIF($AD77:$AD80,$AD74,AS77:AS80)</f>
        <v>0</v>
      </c>
      <c r="AT74" s="3232">
        <f>SUMIF($AD77:$AD80,$AD74,AT77:AT80)</f>
        <v>0</v>
      </c>
      <c r="AU74" s="3232">
        <f>SUMIF($AD77:$AD80,$AD74,AU77:AU80)</f>
        <v>0</v>
      </c>
      <c r="AV74" s="3232">
        <f>SUMIF($AD77:$AD80,$AD74,AV77:AV80)</f>
        <v>0</v>
      </c>
      <c r="AW74" s="3232">
        <f>SUMIF($AD77:$AD80,$AD74,AW77:AW80)</f>
        <v>0</v>
      </c>
      <c r="AX74" s="3232">
        <f>SUMIF($AD77:$AD80,$AD74,AX77:AX80)</f>
        <v>0</v>
      </c>
      <c r="AY74" s="3232">
        <f>SUMIF($AD77:$AD80,$AD74,AY77:AY80)</f>
        <v>0</v>
      </c>
      <c r="AZ74" s="3232">
        <f>SUMIF($AD77:$AD80,$AD74,AZ77:AZ80)</f>
        <v>0</v>
      </c>
      <c r="BA74" s="3232">
        <f>SUMIF($AD77:$AD80,$AD74,BA77:BA80)</f>
        <v>0</v>
      </c>
      <c r="BB74" s="3232">
        <f>SUMIF($AD77:$AD80,$AD74,BB77:BB80)</f>
        <v>0</v>
      </c>
      <c r="BC74" s="1928"/>
      <c r="BD74" s="149"/>
      <c r="BE74" s="149"/>
      <c r="BF74" s="1052" t="s">
        <v>1310</v>
      </c>
      <c r="BG74" s="1052"/>
      <c r="BH74" s="1052"/>
      <c r="BI74" s="685"/>
      <c r="BJ74" s="685"/>
    </row>
    <row customHeight="1" ht="14.625" hidden="1">
      <c r="A75" s="892"/>
      <c r="B75" s="443"/>
      <c r="C75" s="892"/>
      <c r="D75" s="892"/>
      <c r="E75" s="684">
        <v>15</v>
      </c>
      <c r="F75" s="1326" cm="1" t="str">
        <f t="array" ref="F75:F75">OFFSET(E75,-1,1)</f>
        <v>0</v>
      </c>
      <c r="G75" s="892"/>
      <c r="H75" s="892"/>
      <c r="I75" s="892"/>
      <c r="J75" s="892"/>
      <c r="K75" s="918"/>
      <c r="L75" s="922"/>
      <c r="M75" s="892"/>
      <c r="N75" s="892"/>
      <c r="O75" s="892"/>
      <c r="P75" s="892"/>
      <c r="Q75" s="892"/>
      <c r="R75" s="892"/>
      <c r="S75" s="892"/>
      <c r="T75" s="1436" t="b">
        <v>0</v>
      </c>
      <c r="U75" s="892"/>
      <c r="V75" s="892"/>
      <c r="W75" s="892" t="s">
        <v>173</v>
      </c>
      <c r="X75" s="690"/>
      <c r="Y75" s="1469">
        <v>0</v>
      </c>
      <c r="Z75" s="892"/>
      <c r="AA75" s="3234" t="s">
        <v>174</v>
      </c>
      <c r="AB75" s="3206"/>
      <c r="AC75" s="1489"/>
      <c r="AD75" s="3235"/>
      <c r="AE75" s="3236">
        <f>OR(AND(AE77&lt;&gt;"",AE78=""),AND(AE77="",AE78&lt;&gt;""))</f>
        <v>0</v>
      </c>
      <c r="AF75" s="3236">
        <f>OR(AND(AF77&lt;&gt;"",AF78=""),AND(AF77="",AF78&lt;&gt;""))</f>
        <v>0</v>
      </c>
      <c r="AG75" s="3236">
        <f>OR(AND(AG77&lt;&gt;"",AG78=""),AND(AG77="",AG78&lt;&gt;""))</f>
        <v>0</v>
      </c>
      <c r="AH75" s="3236">
        <f>OR(AND(AH77&lt;&gt;"",AH78=""),AND(AH77="",AH78&lt;&gt;""))</f>
        <v>0</v>
      </c>
      <c r="AI75" s="3236">
        <f>OR(AND(AI77&lt;&gt;"",AI78=""),AND(AI77="",AI78&lt;&gt;""))</f>
        <v>0</v>
      </c>
      <c r="AJ75" s="3236">
        <f>OR(AND(AJ77&lt;&gt;"",AJ78=""),AND(AJ77="",AJ78&lt;&gt;""))</f>
        <v>0</v>
      </c>
      <c r="AK75" s="3236">
        <f>OR(AND(AK77&lt;&gt;"",AK78=""),AND(AK77="",AK78&lt;&gt;""))</f>
        <v>0</v>
      </c>
      <c r="AL75" s="3236">
        <f>OR(AND(AL77&lt;&gt;"",AL78=""),AND(AL77="",AL78&lt;&gt;""))</f>
        <v>0</v>
      </c>
      <c r="AM75" s="3236">
        <f>OR(AND(AM77&lt;&gt;"",AM78=""),AND(AM77="",AM78&lt;&gt;""))</f>
        <v>0</v>
      </c>
      <c r="AN75" s="3236">
        <f>OR(AND(AN77&lt;&gt;"",AN78=""),AND(AN77="",AN78&lt;&gt;""))</f>
        <v>0</v>
      </c>
      <c r="AO75" s="3236">
        <f>OR(AND(AO77&lt;&gt;"",AO78=""),AND(AO77="",AO78&lt;&gt;""))</f>
        <v>0</v>
      </c>
      <c r="AP75" s="3236">
        <f>OR(AND(AP77&lt;&gt;"",AP78=""),AND(AP77="",AP78&lt;&gt;""))</f>
        <v>0</v>
      </c>
      <c r="AQ75" s="3236">
        <f>OR(AND(AQ77&lt;&gt;"",AQ78=""),AND(AQ77="",AQ78&lt;&gt;""))</f>
        <v>0</v>
      </c>
      <c r="AR75" s="3236">
        <f>OR(AND(AR77&lt;&gt;"",AR78=""),AND(AR77="",AR78&lt;&gt;""))</f>
        <v>0</v>
      </c>
      <c r="AS75" s="3236">
        <f>OR(AND(AS77&lt;&gt;"",AS78=""),AND(AS77="",AS78&lt;&gt;""))</f>
        <v>0</v>
      </c>
      <c r="AT75" s="3236">
        <f>OR(AND(AT77&lt;&gt;"",AT78=""),AND(AT77="",AT78&lt;&gt;""))</f>
        <v>0</v>
      </c>
      <c r="AU75" s="3236">
        <f>OR(AND(AU77&lt;&gt;"",AU78=""),AND(AU77="",AU78&lt;&gt;""))</f>
        <v>0</v>
      </c>
      <c r="AV75" s="3236">
        <f>OR(AND(AV77&lt;&gt;"",AV78=""),AND(AV77="",AV78&lt;&gt;""))</f>
        <v>0</v>
      </c>
      <c r="AW75" s="3236">
        <f>OR(AND(AW77&lt;&gt;"",AW78=""),AND(AW77="",AW78&lt;&gt;""))</f>
        <v>0</v>
      </c>
      <c r="AX75" s="3236">
        <f>OR(AND(AX77&lt;&gt;"",AX78=""),AND(AX77="",AX78&lt;&gt;""))</f>
        <v>0</v>
      </c>
      <c r="AY75" s="3236">
        <f>OR(AND(AY77&lt;&gt;"",AY78=""),AND(AY77="",AY78&lt;&gt;""))</f>
        <v>0</v>
      </c>
      <c r="AZ75" s="3236">
        <f>OR(AND(AZ77&lt;&gt;"",AZ78=""),AND(AZ77="",AZ78&lt;&gt;""))</f>
        <v>0</v>
      </c>
      <c r="BA75" s="3236">
        <f>OR(AND(BA77&lt;&gt;"",BA78=""),AND(BA77="",BA78&lt;&gt;""))</f>
        <v>0</v>
      </c>
      <c r="BB75" s="3236">
        <f>OR(AND(BB77&lt;&gt;"",BB78=""),AND(BB77="",BB78&lt;&gt;""))</f>
        <v>0</v>
      </c>
      <c r="BC75" s="982"/>
      <c r="BD75" s="892"/>
      <c r="BE75" s="892"/>
      <c r="BF75" s="1052"/>
      <c r="BG75" s="1052"/>
      <c r="BH75" s="1052"/>
      <c r="BI75" s="685"/>
      <c r="BJ75" s="685"/>
    </row>
    <row customHeight="1" ht="14.625" hidden="1">
      <c r="A76" s="892"/>
      <c r="B76" s="443"/>
      <c r="C76" s="892"/>
      <c r="D76" s="892"/>
      <c r="E76" s="684">
        <v>15</v>
      </c>
      <c r="F76" s="1326" cm="1" t="str">
        <f t="array" ref="F76:F76">OFFSET(E76,-1,1)</f>
        <v>0</v>
      </c>
      <c r="G76" s="892"/>
      <c r="H76" s="892"/>
      <c r="I76" s="892"/>
      <c r="J76" s="892"/>
      <c r="K76" s="918"/>
      <c r="L76" s="922"/>
      <c r="M76" s="892"/>
      <c r="N76" s="892"/>
      <c r="O76" s="892"/>
      <c r="P76" s="892"/>
      <c r="Q76" s="892"/>
      <c r="R76" s="892"/>
      <c r="S76" s="892"/>
      <c r="T76" s="1436">
        <f>AND(F76&gt;0,Y75&gt;0)</f>
        <v>0</v>
      </c>
      <c r="U76" s="892"/>
      <c r="V76" s="892"/>
      <c r="W76" s="892"/>
      <c r="X76" s="690"/>
      <c r="Y76" s="1469"/>
      <c r="Z76" s="892"/>
      <c r="AA76" s="3234"/>
      <c r="AB76" s="3204" t="str">
        <f>"7."&amp;Y75</f>
        <v>7.0</v>
      </c>
      <c r="AC76" s="3237"/>
      <c r="AD76" s="3235"/>
      <c r="AE76" s="892"/>
      <c r="AF76" s="892"/>
      <c r="AG76" s="892"/>
      <c r="AH76" s="892"/>
      <c r="AI76" s="892"/>
      <c r="AJ76" s="892"/>
      <c r="AK76" s="892"/>
      <c r="AL76" s="892"/>
      <c r="AM76" s="892"/>
      <c r="AN76" s="892"/>
      <c r="AO76" s="892"/>
      <c r="AP76" s="892"/>
      <c r="AQ76" s="892"/>
      <c r="AR76" s="892"/>
      <c r="AS76" s="892"/>
      <c r="AT76" s="892"/>
      <c r="AU76" s="892"/>
      <c r="AV76" s="892"/>
      <c r="AW76" s="892"/>
      <c r="AX76" s="892"/>
      <c r="AY76" s="892"/>
      <c r="AZ76" s="892"/>
      <c r="BA76" s="892"/>
      <c r="BB76" s="892"/>
      <c r="BC76" s="892"/>
      <c r="BD76" s="892"/>
      <c r="BE76" s="892"/>
      <c r="BF76" s="1052"/>
      <c r="BG76" s="1052"/>
      <c r="BH76" s="1052"/>
      <c r="BI76" s="685"/>
      <c r="BJ76" s="685"/>
    </row>
    <row customHeight="1" ht="14.625" hidden="1">
      <c r="A77" s="892"/>
      <c r="B77" s="443"/>
      <c r="C77" s="892"/>
      <c r="D77" s="892"/>
      <c r="E77" s="684">
        <v>15</v>
      </c>
      <c r="F77" s="1326" cm="1" t="str">
        <f t="array" ref="F77:F77">OFFSET(E77,-1,1)</f>
        <v>0</v>
      </c>
      <c r="G77" s="892"/>
      <c r="H77" s="892"/>
      <c r="I77" s="892"/>
      <c r="J77" s="892"/>
      <c r="K77" s="918"/>
      <c r="L77" s="922"/>
      <c r="M77" s="892"/>
      <c r="N77" s="892"/>
      <c r="O77" s="892"/>
      <c r="P77" s="892"/>
      <c r="Q77" s="892"/>
      <c r="R77" s="892"/>
      <c r="S77" s="892"/>
      <c r="T77" s="1436" cm="1" t="str">
        <f t="array" ref="T77:T77">T76</f>
        <v>false</v>
      </c>
      <c r="U77" s="892"/>
      <c r="V77" s="892"/>
      <c r="W77" s="892"/>
      <c r="X77" s="690"/>
      <c r="Y77" s="1469"/>
      <c r="Z77" s="892"/>
      <c r="AA77" s="3234"/>
      <c r="AB77" s="3204" t="str">
        <f>AB76&amp;".1"</f>
        <v>7.0.1</v>
      </c>
      <c r="AC77" s="3273" t="s">
        <v>1251</v>
      </c>
      <c r="AD77" s="3206" t="s">
        <v>936</v>
      </c>
      <c r="AE77" s="3274"/>
      <c r="AF77" s="3275"/>
      <c r="AG77" s="3274"/>
      <c r="AH77" s="3274"/>
      <c r="AI77" s="3275"/>
      <c r="AJ77" s="3275"/>
      <c r="AK77" s="3275"/>
      <c r="AL77" s="3275"/>
      <c r="AM77" s="3275"/>
      <c r="AN77" s="3275"/>
      <c r="AO77" s="3275"/>
      <c r="AP77" s="3275"/>
      <c r="AQ77" s="3275"/>
      <c r="AR77" s="3275"/>
      <c r="AS77" s="3274"/>
      <c r="AT77" s="3274"/>
      <c r="AU77" s="3274"/>
      <c r="AV77" s="3274"/>
      <c r="AW77" s="3274"/>
      <c r="AX77" s="3274"/>
      <c r="AY77" s="3274"/>
      <c r="AZ77" s="3274"/>
      <c r="BA77" s="3274"/>
      <c r="BB77" s="3274"/>
      <c r="BC77" s="2550"/>
      <c r="BD77" s="892"/>
      <c r="BE77" s="892"/>
      <c r="BF77" s="1049" t="s">
        <v>1252</v>
      </c>
      <c r="BG77" s="1052" t="s">
        <v>1311</v>
      </c>
      <c r="BH77" s="3241" cm="1" t="str">
        <f t="array" ref="BH77:BH77">AC76</f>
        <v>0</v>
      </c>
      <c r="BI77" s="685"/>
      <c r="BJ77" s="685" t="b">
        <v>1</v>
      </c>
    </row>
    <row customHeight="1" ht="14.625" hidden="1">
      <c r="A78" s="892"/>
      <c r="B78" s="443"/>
      <c r="C78" s="892"/>
      <c r="D78" s="892"/>
      <c r="E78" s="684">
        <v>15</v>
      </c>
      <c r="F78" s="1326" cm="1" t="str">
        <f t="array" ref="F78:F78">OFFSET(E78,-1,1)</f>
        <v>0</v>
      </c>
      <c r="G78" s="892"/>
      <c r="H78" s="892"/>
      <c r="I78" s="892"/>
      <c r="J78" s="892"/>
      <c r="K78" s="918"/>
      <c r="L78" s="922"/>
      <c r="M78" s="892"/>
      <c r="N78" s="892"/>
      <c r="O78" s="892"/>
      <c r="P78" s="892"/>
      <c r="Q78" s="892"/>
      <c r="R78" s="892"/>
      <c r="S78" s="892"/>
      <c r="T78" s="1436" cm="1" t="str">
        <f t="array" ref="T78:T78">T77</f>
        <v>false</v>
      </c>
      <c r="U78" s="892"/>
      <c r="V78" s="892"/>
      <c r="W78" s="892"/>
      <c r="X78" s="690"/>
      <c r="Y78" s="1469"/>
      <c r="Z78" s="892"/>
      <c r="AA78" s="3234"/>
      <c r="AB78" s="3204" t="str">
        <f>AB77&amp;".1"</f>
        <v>7.0.1.1</v>
      </c>
      <c r="AC78" s="3215" t="s">
        <v>1312</v>
      </c>
      <c r="AD78" s="3204" t="s">
        <v>657</v>
      </c>
      <c r="AE78" s="3274"/>
      <c r="AF78" s="3275"/>
      <c r="AG78" s="3274"/>
      <c r="AH78" s="3274"/>
      <c r="AI78" s="3275"/>
      <c r="AJ78" s="3275"/>
      <c r="AK78" s="3275"/>
      <c r="AL78" s="3275"/>
      <c r="AM78" s="3275"/>
      <c r="AN78" s="3275"/>
      <c r="AO78" s="3275"/>
      <c r="AP78" s="3275"/>
      <c r="AQ78" s="3275"/>
      <c r="AR78" s="3275"/>
      <c r="AS78" s="3274"/>
      <c r="AT78" s="3274"/>
      <c r="AU78" s="3274"/>
      <c r="AV78" s="3274"/>
      <c r="AW78" s="3274"/>
      <c r="AX78" s="3274"/>
      <c r="AY78" s="3274"/>
      <c r="AZ78" s="3274"/>
      <c r="BA78" s="3274"/>
      <c r="BB78" s="3274"/>
      <c r="BC78" s="2550"/>
      <c r="BD78" s="892"/>
      <c r="BE78" s="892"/>
      <c r="BF78" s="1049" t="s">
        <v>1255</v>
      </c>
      <c r="BG78" s="1052" t="s">
        <v>1311</v>
      </c>
      <c r="BH78" s="3241" cm="1" t="str">
        <f t="array" ref="BH78:BH78">BH77</f>
        <v>0</v>
      </c>
      <c r="BI78" s="685"/>
      <c r="BJ78" s="685"/>
    </row>
    <row customHeight="1" ht="14.625" hidden="1">
      <c r="A79" s="892"/>
      <c r="B79" s="443"/>
      <c r="C79" s="892"/>
      <c r="D79" s="892"/>
      <c r="E79" s="684">
        <v>15</v>
      </c>
      <c r="F79" s="1326" cm="1" t="str">
        <f t="array" ref="F79:F79">OFFSET(E79,-1,1)</f>
        <v>0</v>
      </c>
      <c r="G79" s="892"/>
      <c r="H79" s="892"/>
      <c r="I79" s="892"/>
      <c r="J79" s="892"/>
      <c r="K79" s="918"/>
      <c r="L79" s="922"/>
      <c r="M79" s="892"/>
      <c r="N79" s="892"/>
      <c r="O79" s="892"/>
      <c r="P79" s="892"/>
      <c r="Q79" s="892"/>
      <c r="R79" s="892"/>
      <c r="S79" s="892"/>
      <c r="T79" s="1436" cm="1" t="str">
        <f t="array" ref="T79:T79">T78</f>
        <v>false</v>
      </c>
      <c r="U79" s="892"/>
      <c r="V79" s="892"/>
      <c r="W79" s="892"/>
      <c r="X79" s="690"/>
      <c r="Y79" s="1469"/>
      <c r="Z79" s="892"/>
      <c r="AA79" s="3234"/>
      <c r="AB79" s="3204" t="str">
        <f>AB77&amp;".2"</f>
        <v>7.0.1.2</v>
      </c>
      <c r="AC79" s="3215" t="s">
        <v>1313</v>
      </c>
      <c r="AD79" s="3204" t="s">
        <v>1257</v>
      </c>
      <c r="AE79" s="3274"/>
      <c r="AF79" s="3275"/>
      <c r="AG79" s="3275"/>
      <c r="AH79" s="3274"/>
      <c r="AI79" s="3275"/>
      <c r="AJ79" s="3275"/>
      <c r="AK79" s="3275"/>
      <c r="AL79" s="3275"/>
      <c r="AM79" s="3275"/>
      <c r="AN79" s="3275"/>
      <c r="AO79" s="3275"/>
      <c r="AP79" s="3275"/>
      <c r="AQ79" s="3275"/>
      <c r="AR79" s="3275"/>
      <c r="AS79" s="3275"/>
      <c r="AT79" s="3275"/>
      <c r="AU79" s="3275"/>
      <c r="AV79" s="3275"/>
      <c r="AW79" s="3275"/>
      <c r="AX79" s="3275"/>
      <c r="AY79" s="3275"/>
      <c r="AZ79" s="3275"/>
      <c r="BA79" s="3275"/>
      <c r="BB79" s="3275"/>
      <c r="BC79" s="2550"/>
      <c r="BD79" s="892"/>
      <c r="BE79" s="892"/>
      <c r="BF79" s="1049" t="s">
        <v>1258</v>
      </c>
      <c r="BG79" s="1052" t="s">
        <v>1311</v>
      </c>
      <c r="BH79" s="3241" cm="1" t="str">
        <f t="array" ref="BH79:BH79">BH78</f>
        <v>0</v>
      </c>
      <c r="BI79" s="685"/>
      <c r="BJ79" s="685"/>
    </row>
    <row customHeight="1" ht="14.625" hidden="1">
      <c r="A80" s="892"/>
      <c r="B80" s="443"/>
      <c r="C80" s="892"/>
      <c r="D80" s="892"/>
      <c r="E80" s="684">
        <v>15</v>
      </c>
      <c r="F80" s="1326" cm="1" t="str">
        <f t="array" ref="F80:F80">OFFSET(E80,-1,1)</f>
        <v>0</v>
      </c>
      <c r="G80" s="892"/>
      <c r="H80" s="892"/>
      <c r="I80" s="892"/>
      <c r="J80" s="892"/>
      <c r="K80" s="918"/>
      <c r="L80" s="922"/>
      <c r="M80" s="892"/>
      <c r="N80" s="892"/>
      <c r="O80" s="892"/>
      <c r="P80" s="892"/>
      <c r="Q80" s="892"/>
      <c r="R80" s="892"/>
      <c r="S80" s="892"/>
      <c r="T80" s="1436">
        <f>F80&gt;0</f>
        <v>0</v>
      </c>
      <c r="U80" s="892"/>
      <c r="V80" s="892"/>
      <c r="W80" s="691" t="s">
        <v>1314</v>
      </c>
      <c r="X80" s="690"/>
      <c r="Y80" s="892"/>
      <c r="Z80" s="892"/>
      <c r="AA80" s="2547"/>
      <c r="AB80" s="3276"/>
      <c r="AC80" s="3277" t="s">
        <v>1260</v>
      </c>
      <c r="AD80" s="3278"/>
      <c r="AE80" s="3279"/>
      <c r="AF80" s="3280"/>
      <c r="AG80" s="3281"/>
      <c r="AH80" s="3282"/>
      <c r="AI80" s="3283"/>
      <c r="AJ80" s="3284"/>
      <c r="AK80" s="3285"/>
      <c r="AL80" s="3286"/>
      <c r="AM80" s="3287"/>
      <c r="AN80" s="3288"/>
      <c r="AO80" s="3289"/>
      <c r="AP80" s="3290"/>
      <c r="AQ80" s="3291"/>
      <c r="AR80" s="3292"/>
      <c r="AS80" s="3293"/>
      <c r="AT80" s="3294"/>
      <c r="AU80" s="3295"/>
      <c r="AV80" s="3296"/>
      <c r="AW80" s="3297"/>
      <c r="AX80" s="3298"/>
      <c r="AY80" s="3299"/>
      <c r="AZ80" s="3300"/>
      <c r="BA80" s="3301"/>
      <c r="BB80" s="3302"/>
      <c r="BC80" s="3303"/>
      <c r="BD80" s="892"/>
      <c r="BE80" s="892"/>
      <c r="BF80" s="1052"/>
      <c r="BG80" s="1052"/>
      <c r="BH80" s="1052"/>
      <c r="BI80" s="685" t="s">
        <v>1311</v>
      </c>
      <c r="BJ80" s="685"/>
    </row>
    <row s="149" customFormat="1" customHeight="1" ht="14.625" hidden="1">
      <c r="A81" s="149"/>
      <c r="B81" s="443"/>
      <c r="C81" s="149"/>
      <c r="D81" s="149"/>
      <c r="E81" s="685">
        <v>15</v>
      </c>
      <c r="F81" s="50" cm="1" t="str">
        <f t="array" ref="F81:F81">OFFSET(E81,-1,1)</f>
        <v>0</v>
      </c>
      <c r="G81" s="148" t="s">
        <v>685</v>
      </c>
      <c r="H81" s="149"/>
      <c r="I81" s="149"/>
      <c r="J81" s="149"/>
      <c r="K81" s="918" t="str">
        <f>F28&amp;"8komm"</f>
        <v>08komm</v>
      </c>
      <c r="L81" s="922" cm="1" t="str">
        <f t="array" ref="L81:L81">BC81</f>
        <v>0</v>
      </c>
      <c r="M81" s="149"/>
      <c r="N81" s="149"/>
      <c r="O81" s="149"/>
      <c r="P81" s="149"/>
      <c r="Q81" s="149"/>
      <c r="R81" s="149"/>
      <c r="S81" s="149"/>
      <c r="T81" s="468" cm="1" t="str">
        <f t="array" ref="T81:T81">T74</f>
        <v>false</v>
      </c>
      <c r="U81" s="149"/>
      <c r="V81" s="149"/>
      <c r="W81" s="149"/>
      <c r="X81" s="1469"/>
      <c r="Y81" s="149"/>
      <c r="Z81" s="1592"/>
      <c r="AA81" s="149"/>
      <c r="AB81" s="207">
        <v>8</v>
      </c>
      <c r="AC81" s="208" t="s">
        <v>1315</v>
      </c>
      <c r="AD81" s="207" t="s">
        <v>936</v>
      </c>
      <c r="AE81" s="3230">
        <f>SUMIF($AD84:$AD87,$AD81,AE84:AE87)</f>
        <v>0</v>
      </c>
      <c r="AF81" s="3230">
        <f>SUMIF($AD84:$AD87,$AD81,AF84:AF87)</f>
        <v>0</v>
      </c>
      <c r="AG81" s="3230">
        <f>SUMIF($AD84:$AD87,$AD81,AG84:AG87)</f>
        <v>0</v>
      </c>
      <c r="AH81" s="3230">
        <f>SUMIF($AD84:$AD87,$AD81,AH84:AH87)</f>
        <v>0</v>
      </c>
      <c r="AI81" s="3231">
        <f>SUMIF($AD84:$AD87,$AD81,AI84:AI87)</f>
        <v>0</v>
      </c>
      <c r="AJ81" s="3232">
        <f>SUMIF($AD84:$AD87,$AD81,AJ84:AJ87)</f>
        <v>0</v>
      </c>
      <c r="AK81" s="3232">
        <f>SUMIF($AD84:$AD87,$AD81,AK84:AK87)</f>
        <v>0</v>
      </c>
      <c r="AL81" s="3232">
        <f>SUMIF($AD84:$AD87,$AD81,AL84:AL87)</f>
        <v>0</v>
      </c>
      <c r="AM81" s="3232">
        <f>SUMIF($AD84:$AD87,$AD81,AM84:AM87)</f>
        <v>0</v>
      </c>
      <c r="AN81" s="3232">
        <f>SUMIF($AD84:$AD87,$AD81,AN84:AN87)</f>
        <v>0</v>
      </c>
      <c r="AO81" s="3232">
        <f>SUMIF($AD84:$AD87,$AD81,AO84:AO87)</f>
        <v>0</v>
      </c>
      <c r="AP81" s="3232">
        <f>SUMIF($AD84:$AD87,$AD81,AP84:AP87)</f>
        <v>0</v>
      </c>
      <c r="AQ81" s="3232">
        <f>SUMIF($AD84:$AD87,$AD81,AQ84:AQ87)</f>
        <v>0</v>
      </c>
      <c r="AR81" s="3232">
        <f>SUMIF($AD84:$AD87,$AD81,AR84:AR87)</f>
        <v>0</v>
      </c>
      <c r="AS81" s="3231">
        <f>SUMIF($AD84:$AD87,$AD81,AS84:AS87)</f>
        <v>0</v>
      </c>
      <c r="AT81" s="3232">
        <f>SUMIF($AD84:$AD87,$AD81,AT84:AT87)</f>
        <v>0</v>
      </c>
      <c r="AU81" s="3232">
        <f>SUMIF($AD84:$AD87,$AD81,AU84:AU87)</f>
        <v>0</v>
      </c>
      <c r="AV81" s="3232">
        <f>SUMIF($AD84:$AD87,$AD81,AV84:AV87)</f>
        <v>0</v>
      </c>
      <c r="AW81" s="3232">
        <f>SUMIF($AD84:$AD87,$AD81,AW84:AW87)</f>
        <v>0</v>
      </c>
      <c r="AX81" s="3232">
        <f>SUMIF($AD84:$AD87,$AD81,AX84:AX87)</f>
        <v>0</v>
      </c>
      <c r="AY81" s="3232">
        <f>SUMIF($AD84:$AD87,$AD81,AY84:AY87)</f>
        <v>0</v>
      </c>
      <c r="AZ81" s="3232">
        <f>SUMIF($AD84:$AD87,$AD81,AZ84:AZ87)</f>
        <v>0</v>
      </c>
      <c r="BA81" s="3232">
        <f>SUMIF($AD84:$AD87,$AD81,BA84:BA87)</f>
        <v>0</v>
      </c>
      <c r="BB81" s="3232">
        <f>SUMIF($AD84:$AD87,$AD81,BB84:BB87)</f>
        <v>0</v>
      </c>
      <c r="BC81" s="1928"/>
      <c r="BD81" s="149"/>
      <c r="BE81" s="149"/>
      <c r="BF81" s="1052" t="s">
        <v>1316</v>
      </c>
      <c r="BG81" s="1052"/>
      <c r="BH81" s="1052"/>
      <c r="BI81" s="685"/>
      <c r="BJ81" s="685"/>
    </row>
    <row customHeight="1" ht="14.625" hidden="1">
      <c r="A82" s="892"/>
      <c r="B82" s="443"/>
      <c r="C82" s="892"/>
      <c r="D82" s="892"/>
      <c r="E82" s="684">
        <v>15</v>
      </c>
      <c r="F82" s="1326" cm="1" t="str">
        <f t="array" ref="F82:F82">OFFSET(E82,-1,1)</f>
        <v>0</v>
      </c>
      <c r="G82" s="892"/>
      <c r="H82" s="892"/>
      <c r="I82" s="892"/>
      <c r="J82" s="892"/>
      <c r="K82" s="918"/>
      <c r="L82" s="922"/>
      <c r="M82" s="892"/>
      <c r="N82" s="892"/>
      <c r="O82" s="892"/>
      <c r="P82" s="892"/>
      <c r="Q82" s="892"/>
      <c r="R82" s="892"/>
      <c r="S82" s="892"/>
      <c r="T82" s="1436" t="b">
        <v>0</v>
      </c>
      <c r="U82" s="892"/>
      <c r="V82" s="892"/>
      <c r="W82" s="892" t="s">
        <v>173</v>
      </c>
      <c r="X82" s="690"/>
      <c r="Y82" s="1469">
        <v>0</v>
      </c>
      <c r="Z82" s="892"/>
      <c r="AA82" s="3234" t="s">
        <v>174</v>
      </c>
      <c r="AB82" s="3206"/>
      <c r="AC82" s="1489"/>
      <c r="AD82" s="3235"/>
      <c r="AE82" s="3236">
        <f>OR(AND(AE84&lt;&gt;"",AE85=""),AND(AE84="",AE85&lt;&gt;""))</f>
        <v>0</v>
      </c>
      <c r="AF82" s="3236">
        <f>OR(AND(AF84&lt;&gt;"",AF85=""),AND(AF84="",AF85&lt;&gt;""))</f>
        <v>0</v>
      </c>
      <c r="AG82" s="3236">
        <f>OR(AND(AG84&lt;&gt;"",AG85=""),AND(AG84="",AG85&lt;&gt;""))</f>
        <v>0</v>
      </c>
      <c r="AH82" s="3236">
        <f>OR(AND(AH84&lt;&gt;"",AH85=""),AND(AH84="",AH85&lt;&gt;""))</f>
        <v>0</v>
      </c>
      <c r="AI82" s="3236">
        <f>OR(AND(AI84&lt;&gt;"",AI85=""),AND(AI84="",AI85&lt;&gt;""))</f>
        <v>0</v>
      </c>
      <c r="AJ82" s="3236">
        <f>OR(AND(AJ84&lt;&gt;"",AJ85=""),AND(AJ84="",AJ85&lt;&gt;""))</f>
        <v>0</v>
      </c>
      <c r="AK82" s="3236">
        <f>OR(AND(AK84&lt;&gt;"",AK85=""),AND(AK84="",AK85&lt;&gt;""))</f>
        <v>0</v>
      </c>
      <c r="AL82" s="3236">
        <f>OR(AND(AL84&lt;&gt;"",AL85=""),AND(AL84="",AL85&lt;&gt;""))</f>
        <v>0</v>
      </c>
      <c r="AM82" s="3236">
        <f>OR(AND(AM84&lt;&gt;"",AM85=""),AND(AM84="",AM85&lt;&gt;""))</f>
        <v>0</v>
      </c>
      <c r="AN82" s="3236">
        <f>OR(AND(AN84&lt;&gt;"",AN85=""),AND(AN84="",AN85&lt;&gt;""))</f>
        <v>0</v>
      </c>
      <c r="AO82" s="3236">
        <f>OR(AND(AO84&lt;&gt;"",AO85=""),AND(AO84="",AO85&lt;&gt;""))</f>
        <v>0</v>
      </c>
      <c r="AP82" s="3236">
        <f>OR(AND(AP84&lt;&gt;"",AP85=""),AND(AP84="",AP85&lt;&gt;""))</f>
        <v>0</v>
      </c>
      <c r="AQ82" s="3236">
        <f>OR(AND(AQ84&lt;&gt;"",AQ85=""),AND(AQ84="",AQ85&lt;&gt;""))</f>
        <v>0</v>
      </c>
      <c r="AR82" s="3236">
        <f>OR(AND(AR84&lt;&gt;"",AR85=""),AND(AR84="",AR85&lt;&gt;""))</f>
        <v>0</v>
      </c>
      <c r="AS82" s="3236">
        <f>OR(AND(AS84&lt;&gt;"",AS85=""),AND(AS84="",AS85&lt;&gt;""))</f>
        <v>0</v>
      </c>
      <c r="AT82" s="3236">
        <f>OR(AND(AT84&lt;&gt;"",AT85=""),AND(AT84="",AT85&lt;&gt;""))</f>
        <v>0</v>
      </c>
      <c r="AU82" s="3236">
        <f>OR(AND(AU84&lt;&gt;"",AU85=""),AND(AU84="",AU85&lt;&gt;""))</f>
        <v>0</v>
      </c>
      <c r="AV82" s="3236">
        <f>OR(AND(AV84&lt;&gt;"",AV85=""),AND(AV84="",AV85&lt;&gt;""))</f>
        <v>0</v>
      </c>
      <c r="AW82" s="3236">
        <f>OR(AND(AW84&lt;&gt;"",AW85=""),AND(AW84="",AW85&lt;&gt;""))</f>
        <v>0</v>
      </c>
      <c r="AX82" s="3236">
        <f>OR(AND(AX84&lt;&gt;"",AX85=""),AND(AX84="",AX85&lt;&gt;""))</f>
        <v>0</v>
      </c>
      <c r="AY82" s="3236">
        <f>OR(AND(AY84&lt;&gt;"",AY85=""),AND(AY84="",AY85&lt;&gt;""))</f>
        <v>0</v>
      </c>
      <c r="AZ82" s="3236">
        <f>OR(AND(AZ84&lt;&gt;"",AZ85=""),AND(AZ84="",AZ85&lt;&gt;""))</f>
        <v>0</v>
      </c>
      <c r="BA82" s="3236">
        <f>OR(AND(BA84&lt;&gt;"",BA85=""),AND(BA84="",BA85&lt;&gt;""))</f>
        <v>0</v>
      </c>
      <c r="BB82" s="3304">
        <f>OR(AND(BB84&lt;&gt;"",BB85=""),AND(BB84="",BB85&lt;&gt;""))</f>
        <v>0</v>
      </c>
      <c r="BC82" s="3305"/>
      <c r="BD82" s="892"/>
      <c r="BE82" s="892"/>
      <c r="BF82" s="1052"/>
      <c r="BG82" s="1052"/>
      <c r="BH82" s="1052"/>
      <c r="BI82" s="685"/>
      <c r="BJ82" s="685"/>
    </row>
    <row customHeight="1" ht="14.625" hidden="1">
      <c r="A83" s="892"/>
      <c r="B83" s="443"/>
      <c r="C83" s="892"/>
      <c r="D83" s="892"/>
      <c r="E83" s="684">
        <v>15</v>
      </c>
      <c r="F83" s="1326" cm="1" t="str">
        <f t="array" ref="F83:F83">OFFSET(E83,-1,1)</f>
        <v>0</v>
      </c>
      <c r="G83" s="892"/>
      <c r="H83" s="892"/>
      <c r="I83" s="892"/>
      <c r="J83" s="892"/>
      <c r="K83" s="918"/>
      <c r="L83" s="922"/>
      <c r="M83" s="892"/>
      <c r="N83" s="892"/>
      <c r="O83" s="892"/>
      <c r="P83" s="892"/>
      <c r="Q83" s="892"/>
      <c r="R83" s="892"/>
      <c r="S83" s="892"/>
      <c r="T83" s="1436">
        <f>AND(F83&gt;0,Y82&gt;0)</f>
        <v>0</v>
      </c>
      <c r="U83" s="892"/>
      <c r="V83" s="892"/>
      <c r="W83" s="892"/>
      <c r="X83" s="690"/>
      <c r="Y83" s="1469"/>
      <c r="Z83" s="892"/>
      <c r="AA83" s="3234"/>
      <c r="AB83" s="3204" t="str">
        <f>"8."&amp;Y82</f>
        <v>8.0</v>
      </c>
      <c r="AC83" s="3237"/>
      <c r="AD83" s="3235"/>
      <c r="AE83" s="892"/>
      <c r="AF83" s="892"/>
      <c r="AG83" s="892"/>
      <c r="AH83" s="892"/>
      <c r="AI83" s="892"/>
      <c r="AJ83" s="892"/>
      <c r="AK83" s="892"/>
      <c r="AL83" s="892"/>
      <c r="AM83" s="892"/>
      <c r="AN83" s="892"/>
      <c r="AO83" s="892"/>
      <c r="AP83" s="892"/>
      <c r="AQ83" s="892"/>
      <c r="AR83" s="892"/>
      <c r="AS83" s="892"/>
      <c r="AT83" s="892"/>
      <c r="AU83" s="892"/>
      <c r="AV83" s="892"/>
      <c r="AW83" s="892"/>
      <c r="AX83" s="892"/>
      <c r="AY83" s="892"/>
      <c r="AZ83" s="892"/>
      <c r="BA83" s="892"/>
      <c r="BB83" s="892"/>
      <c r="BC83" s="892"/>
      <c r="BD83" s="892"/>
      <c r="BE83" s="892"/>
      <c r="BF83" s="1052"/>
      <c r="BG83" s="1052"/>
      <c r="BH83" s="1052"/>
      <c r="BI83" s="685"/>
      <c r="BJ83" s="685"/>
    </row>
    <row customHeight="1" ht="14.625" hidden="1">
      <c r="A84" s="892"/>
      <c r="B84" s="443"/>
      <c r="C84" s="892"/>
      <c r="D84" s="892"/>
      <c r="E84" s="684">
        <v>15</v>
      </c>
      <c r="F84" s="1326" cm="1" t="str">
        <f t="array" ref="F84:F84">OFFSET(E84,-1,1)</f>
        <v>0</v>
      </c>
      <c r="G84" s="892"/>
      <c r="H84" s="892"/>
      <c r="I84" s="892"/>
      <c r="J84" s="892"/>
      <c r="K84" s="918"/>
      <c r="L84" s="922"/>
      <c r="M84" s="892"/>
      <c r="N84" s="892"/>
      <c r="O84" s="892"/>
      <c r="P84" s="892"/>
      <c r="Q84" s="892"/>
      <c r="R84" s="892"/>
      <c r="S84" s="892"/>
      <c r="T84" s="1436" cm="1" t="str">
        <f t="array" ref="T84:T84">T83</f>
        <v>false</v>
      </c>
      <c r="U84" s="892"/>
      <c r="V84" s="892"/>
      <c r="W84" s="892"/>
      <c r="X84" s="690"/>
      <c r="Y84" s="1469"/>
      <c r="Z84" s="892"/>
      <c r="AA84" s="3234"/>
      <c r="AB84" s="3204" t="str">
        <f>AB83&amp;".1"</f>
        <v>8.0.1</v>
      </c>
      <c r="AC84" s="3273" t="s">
        <v>1251</v>
      </c>
      <c r="AD84" s="3206" t="s">
        <v>936</v>
      </c>
      <c r="AE84" s="3274"/>
      <c r="AF84" s="3275"/>
      <c r="AG84" s="3274"/>
      <c r="AH84" s="3274"/>
      <c r="AI84" s="3275"/>
      <c r="AJ84" s="3275"/>
      <c r="AK84" s="3275"/>
      <c r="AL84" s="3275"/>
      <c r="AM84" s="3275"/>
      <c r="AN84" s="3275"/>
      <c r="AO84" s="3275"/>
      <c r="AP84" s="3275"/>
      <c r="AQ84" s="3275"/>
      <c r="AR84" s="3275"/>
      <c r="AS84" s="3274"/>
      <c r="AT84" s="3274"/>
      <c r="AU84" s="3274"/>
      <c r="AV84" s="3274"/>
      <c r="AW84" s="3274"/>
      <c r="AX84" s="3274"/>
      <c r="AY84" s="3274"/>
      <c r="AZ84" s="3274"/>
      <c r="BA84" s="3274"/>
      <c r="BB84" s="3274"/>
      <c r="BC84" s="3306"/>
      <c r="BD84" s="892"/>
      <c r="BE84" s="892"/>
      <c r="BF84" s="1049" t="s">
        <v>1252</v>
      </c>
      <c r="BG84" s="1052" t="s">
        <v>1317</v>
      </c>
      <c r="BH84" s="3241" cm="1" t="str">
        <f t="array" ref="BH84:BH84">AC83</f>
        <v>0</v>
      </c>
      <c r="BI84" s="685"/>
      <c r="BJ84" s="685" t="b">
        <v>1</v>
      </c>
    </row>
    <row customHeight="1" ht="14.625" hidden="1">
      <c r="A85" s="892"/>
      <c r="B85" s="443"/>
      <c r="C85" s="892"/>
      <c r="D85" s="892"/>
      <c r="E85" s="684">
        <v>15</v>
      </c>
      <c r="F85" s="1326" cm="1" t="str">
        <f t="array" ref="F85:F85">OFFSET(E85,-1,1)</f>
        <v>0</v>
      </c>
      <c r="G85" s="892"/>
      <c r="H85" s="892"/>
      <c r="I85" s="892"/>
      <c r="J85" s="892"/>
      <c r="K85" s="918"/>
      <c r="L85" s="922"/>
      <c r="M85" s="892"/>
      <c r="N85" s="892"/>
      <c r="O85" s="892"/>
      <c r="P85" s="892"/>
      <c r="Q85" s="892"/>
      <c r="R85" s="892"/>
      <c r="S85" s="892"/>
      <c r="T85" s="1436" cm="1" t="str">
        <f t="array" ref="T85:T85">T84</f>
        <v>false</v>
      </c>
      <c r="U85" s="892"/>
      <c r="V85" s="892"/>
      <c r="W85" s="892"/>
      <c r="X85" s="690"/>
      <c r="Y85" s="1469"/>
      <c r="Z85" s="892"/>
      <c r="AA85" s="3234"/>
      <c r="AB85" s="3204" t="str">
        <f>AB84&amp;".1"</f>
        <v>8.0.1.1</v>
      </c>
      <c r="AC85" s="3215" t="s">
        <v>1318</v>
      </c>
      <c r="AD85" s="3204" t="s">
        <v>657</v>
      </c>
      <c r="AE85" s="3274"/>
      <c r="AF85" s="3275"/>
      <c r="AG85" s="3274"/>
      <c r="AH85" s="3274"/>
      <c r="AI85" s="3275"/>
      <c r="AJ85" s="3275"/>
      <c r="AK85" s="3275"/>
      <c r="AL85" s="3275"/>
      <c r="AM85" s="3275"/>
      <c r="AN85" s="3275"/>
      <c r="AO85" s="3275"/>
      <c r="AP85" s="3275"/>
      <c r="AQ85" s="3275"/>
      <c r="AR85" s="3275"/>
      <c r="AS85" s="3274"/>
      <c r="AT85" s="3274"/>
      <c r="AU85" s="3274"/>
      <c r="AV85" s="3274"/>
      <c r="AW85" s="3274"/>
      <c r="AX85" s="3274"/>
      <c r="AY85" s="3274"/>
      <c r="AZ85" s="3274"/>
      <c r="BA85" s="3274"/>
      <c r="BB85" s="3274"/>
      <c r="BC85" s="3306"/>
      <c r="BD85" s="892"/>
      <c r="BE85" s="892"/>
      <c r="BF85" s="1049" t="s">
        <v>1255</v>
      </c>
      <c r="BG85" s="1052" t="s">
        <v>1317</v>
      </c>
      <c r="BH85" s="3241" cm="1" t="str">
        <f t="array" ref="BH85:BH85">BH84</f>
        <v>0</v>
      </c>
      <c r="BI85" s="685"/>
      <c r="BJ85" s="685"/>
    </row>
    <row customHeight="1" ht="14.625" hidden="1">
      <c r="A86" s="892"/>
      <c r="B86" s="443"/>
      <c r="C86" s="892"/>
      <c r="D86" s="892"/>
      <c r="E86" s="684">
        <v>15</v>
      </c>
      <c r="F86" s="1326" cm="1" t="str">
        <f t="array" ref="F86:F86">OFFSET(E86,-1,1)</f>
        <v>0</v>
      </c>
      <c r="G86" s="892"/>
      <c r="H86" s="892"/>
      <c r="I86" s="892"/>
      <c r="J86" s="892"/>
      <c r="K86" s="918"/>
      <c r="L86" s="922"/>
      <c r="M86" s="892"/>
      <c r="N86" s="892"/>
      <c r="O86" s="892"/>
      <c r="P86" s="892"/>
      <c r="Q86" s="892"/>
      <c r="R86" s="892"/>
      <c r="S86" s="892"/>
      <c r="T86" s="1436" cm="1" t="str">
        <f t="array" ref="T86:T86">T85</f>
        <v>false</v>
      </c>
      <c r="U86" s="892"/>
      <c r="V86" s="892"/>
      <c r="W86" s="892"/>
      <c r="X86" s="690"/>
      <c r="Y86" s="1469"/>
      <c r="Z86" s="892"/>
      <c r="AA86" s="3234"/>
      <c r="AB86" s="3204" t="str">
        <f>AB84&amp;".2"</f>
        <v>8.0.1.2</v>
      </c>
      <c r="AC86" s="3215" t="s">
        <v>1319</v>
      </c>
      <c r="AD86" s="3204" t="s">
        <v>1257</v>
      </c>
      <c r="AE86" s="3274"/>
      <c r="AF86" s="3275"/>
      <c r="AG86" s="3275"/>
      <c r="AH86" s="3274"/>
      <c r="AI86" s="3275"/>
      <c r="AJ86" s="3275"/>
      <c r="AK86" s="3275"/>
      <c r="AL86" s="3275"/>
      <c r="AM86" s="3275"/>
      <c r="AN86" s="3275"/>
      <c r="AO86" s="3275"/>
      <c r="AP86" s="3275"/>
      <c r="AQ86" s="3275"/>
      <c r="AR86" s="3275"/>
      <c r="AS86" s="3275"/>
      <c r="AT86" s="3275"/>
      <c r="AU86" s="3275"/>
      <c r="AV86" s="3275"/>
      <c r="AW86" s="3275"/>
      <c r="AX86" s="3275"/>
      <c r="AY86" s="3275"/>
      <c r="AZ86" s="3275"/>
      <c r="BA86" s="3275"/>
      <c r="BB86" s="3307"/>
      <c r="BC86" s="3306"/>
      <c r="BD86" s="892"/>
      <c r="BE86" s="892"/>
      <c r="BF86" s="1049" t="s">
        <v>1258</v>
      </c>
      <c r="BG86" s="1052" t="s">
        <v>1317</v>
      </c>
      <c r="BH86" s="3241" cm="1" t="str">
        <f t="array" ref="BH86:BH86">BH85</f>
        <v>0</v>
      </c>
      <c r="BI86" s="685"/>
      <c r="BJ86" s="685"/>
    </row>
    <row customHeight="1" ht="14.625" hidden="1">
      <c r="A87" s="892"/>
      <c r="B87" s="443"/>
      <c r="C87" s="892"/>
      <c r="D87" s="892"/>
      <c r="E87" s="684">
        <v>15</v>
      </c>
      <c r="F87" s="1326" cm="1" t="str">
        <f t="array" ref="F87:F87">OFFSET(E87,-1,1)</f>
        <v>0</v>
      </c>
      <c r="G87" s="892"/>
      <c r="H87" s="892"/>
      <c r="I87" s="892"/>
      <c r="J87" s="892"/>
      <c r="K87" s="918"/>
      <c r="L87" s="922"/>
      <c r="M87" s="892"/>
      <c r="N87" s="892"/>
      <c r="O87" s="892"/>
      <c r="P87" s="892"/>
      <c r="Q87" s="892"/>
      <c r="R87" s="892"/>
      <c r="S87" s="892"/>
      <c r="T87" s="1436">
        <f>F87&gt;0</f>
        <v>0</v>
      </c>
      <c r="U87" s="892"/>
      <c r="V87" s="892"/>
      <c r="W87" s="691" t="s">
        <v>1320</v>
      </c>
      <c r="X87" s="690"/>
      <c r="Y87" s="892"/>
      <c r="Z87" s="892"/>
      <c r="AA87" s="892"/>
      <c r="AB87" s="3308"/>
      <c r="AC87" s="3309" t="s">
        <v>1260</v>
      </c>
      <c r="AD87" s="3310"/>
      <c r="AE87" s="3311"/>
      <c r="AF87" s="3312"/>
      <c r="AG87" s="3313"/>
      <c r="AH87" s="3314"/>
      <c r="AI87" s="3315"/>
      <c r="AJ87" s="3316"/>
      <c r="AK87" s="3317"/>
      <c r="AL87" s="3318"/>
      <c r="AM87" s="3319"/>
      <c r="AN87" s="3320"/>
      <c r="AO87" s="3321"/>
      <c r="AP87" s="3322"/>
      <c r="AQ87" s="3323"/>
      <c r="AR87" s="3324"/>
      <c r="AS87" s="3325"/>
      <c r="AT87" s="3326"/>
      <c r="AU87" s="3327"/>
      <c r="AV87" s="3328"/>
      <c r="AW87" s="3329"/>
      <c r="AX87" s="3330"/>
      <c r="AY87" s="3331"/>
      <c r="AZ87" s="3332"/>
      <c r="BA87" s="3333"/>
      <c r="BB87" s="3334"/>
      <c r="BC87" s="3335"/>
      <c r="BD87" s="892"/>
      <c r="BE87" s="892"/>
      <c r="BF87" s="1052"/>
      <c r="BG87" s="1052"/>
      <c r="BH87" s="1052"/>
      <c r="BI87" s="685" t="s">
        <v>1317</v>
      </c>
      <c r="BJ87" s="685"/>
    </row>
    <row s="149" customFormat="1" customHeight="1" ht="14.625" hidden="1">
      <c r="A88" s="149"/>
      <c r="B88" s="443"/>
      <c r="C88" s="149"/>
      <c r="D88" s="149"/>
      <c r="E88" s="685">
        <v>15</v>
      </c>
      <c r="F88" s="50" cm="1" t="str">
        <f t="array" ref="F88:F88">OFFSET(E88,-1,1)</f>
        <v>0</v>
      </c>
      <c r="G88" s="148"/>
      <c r="H88" s="149"/>
      <c r="I88" s="149"/>
      <c r="J88" s="149"/>
      <c r="K88" s="918" t="str">
        <f>F28&amp;"9komm"</f>
        <v>09komm</v>
      </c>
      <c r="L88" s="922" cm="1" t="str">
        <f t="array" ref="L88:L88">BC88</f>
        <v>0</v>
      </c>
      <c r="M88" s="149"/>
      <c r="N88" s="149"/>
      <c r="O88" s="149"/>
      <c r="P88" s="149"/>
      <c r="Q88" s="149"/>
      <c r="R88" s="149"/>
      <c r="S88" s="149"/>
      <c r="T88" s="468" cm="1" t="str">
        <f t="array" ref="T88:T88">T81</f>
        <v>false</v>
      </c>
      <c r="U88" s="149"/>
      <c r="V88" s="149"/>
      <c r="W88" s="149"/>
      <c r="X88" s="1469"/>
      <c r="Y88" s="149"/>
      <c r="Z88" s="1592"/>
      <c r="AA88" s="149"/>
      <c r="AB88" s="207">
        <v>9</v>
      </c>
      <c r="AC88" s="208" t="s">
        <v>1321</v>
      </c>
      <c r="AD88" s="207" t="s">
        <v>936</v>
      </c>
      <c r="AE88" s="3230">
        <f>SUMIF($AD91:$AD94,$AD88,AE91:AE94)</f>
        <v>0</v>
      </c>
      <c r="AF88" s="3230">
        <f>SUMIF($AD91:$AD94,$AD88,AF91:AF94)</f>
        <v>0</v>
      </c>
      <c r="AG88" s="3230">
        <f>SUMIF($AD91:$AD94,$AD88,AG91:AG94)</f>
        <v>0</v>
      </c>
      <c r="AH88" s="3230">
        <f>SUMIF($AD91:$AD94,$AD88,AH91:AH94)</f>
        <v>0</v>
      </c>
      <c r="AI88" s="3231">
        <f>SUMIF($AD91:$AD94,$AD88,AI91:AI94)</f>
        <v>0</v>
      </c>
      <c r="AJ88" s="3232">
        <f>SUMIF($AD91:$AD94,$AD88,AJ91:AJ94)</f>
        <v>0</v>
      </c>
      <c r="AK88" s="3232">
        <f>SUMIF($AD91:$AD94,$AD88,AK91:AK94)</f>
        <v>0</v>
      </c>
      <c r="AL88" s="3232">
        <f>SUMIF($AD91:$AD94,$AD88,AL91:AL94)</f>
        <v>0</v>
      </c>
      <c r="AM88" s="3232">
        <f>SUMIF($AD91:$AD94,$AD88,AM91:AM94)</f>
        <v>0</v>
      </c>
      <c r="AN88" s="3232">
        <f>SUMIF($AD91:$AD94,$AD88,AN91:AN94)</f>
        <v>0</v>
      </c>
      <c r="AO88" s="3232">
        <f>SUMIF($AD91:$AD94,$AD88,AO91:AO94)</f>
        <v>0</v>
      </c>
      <c r="AP88" s="3232">
        <f>SUMIF($AD91:$AD94,$AD88,AP91:AP94)</f>
        <v>0</v>
      </c>
      <c r="AQ88" s="3232">
        <f>SUMIF($AD91:$AD94,$AD88,AQ91:AQ94)</f>
        <v>0</v>
      </c>
      <c r="AR88" s="3232">
        <f>SUMIF($AD91:$AD94,$AD88,AR91:AR94)</f>
        <v>0</v>
      </c>
      <c r="AS88" s="3231">
        <f>SUMIF($AD91:$AD94,$AD88,AS91:AS94)</f>
        <v>0</v>
      </c>
      <c r="AT88" s="3232">
        <f>SUMIF($AD91:$AD94,$AD88,AT91:AT94)</f>
        <v>0</v>
      </c>
      <c r="AU88" s="3232">
        <f>SUMIF($AD91:$AD94,$AD88,AU91:AU94)</f>
        <v>0</v>
      </c>
      <c r="AV88" s="3232">
        <f>SUMIF($AD91:$AD94,$AD88,AV91:AV94)</f>
        <v>0</v>
      </c>
      <c r="AW88" s="3232">
        <f>SUMIF($AD91:$AD94,$AD88,AW91:AW94)</f>
        <v>0</v>
      </c>
      <c r="AX88" s="3232">
        <f>SUMIF($AD91:$AD94,$AD88,AX91:AX94)</f>
        <v>0</v>
      </c>
      <c r="AY88" s="3232">
        <f>SUMIF($AD91:$AD94,$AD88,AY91:AY94)</f>
        <v>0</v>
      </c>
      <c r="AZ88" s="3232">
        <f>SUMIF($AD91:$AD94,$AD88,AZ91:AZ94)</f>
        <v>0</v>
      </c>
      <c r="BA88" s="3232">
        <f>SUMIF($AD91:$AD94,$AD88,BA91:BA94)</f>
        <v>0</v>
      </c>
      <c r="BB88" s="3232">
        <f>SUMIF($AD91:$AD94,$AD88,BB91:BB94)</f>
        <v>0</v>
      </c>
      <c r="BC88" s="1928"/>
      <c r="BD88" s="149"/>
      <c r="BE88" s="149"/>
      <c r="BF88" s="1052" t="s">
        <v>1322</v>
      </c>
      <c r="BG88" s="1052"/>
      <c r="BH88" s="1052"/>
      <c r="BI88" s="685"/>
      <c r="BJ88" s="685"/>
    </row>
    <row customHeight="1" ht="14.625" hidden="1">
      <c r="A89" s="892"/>
      <c r="B89" s="443"/>
      <c r="C89" s="892"/>
      <c r="D89" s="892"/>
      <c r="E89" s="684">
        <v>15</v>
      </c>
      <c r="F89" s="1326" cm="1" t="str">
        <f t="array" ref="F89:F89">OFFSET(E89,-1,1)</f>
        <v>0</v>
      </c>
      <c r="G89" s="892"/>
      <c r="H89" s="892"/>
      <c r="I89" s="892"/>
      <c r="J89" s="892"/>
      <c r="K89" s="918"/>
      <c r="L89" s="922"/>
      <c r="M89" s="892"/>
      <c r="N89" s="892"/>
      <c r="O89" s="892"/>
      <c r="P89" s="892"/>
      <c r="Q89" s="892"/>
      <c r="R89" s="892"/>
      <c r="S89" s="892"/>
      <c r="T89" s="1436" t="b">
        <v>0</v>
      </c>
      <c r="U89" s="892"/>
      <c r="V89" s="892"/>
      <c r="W89" s="892" t="s">
        <v>173</v>
      </c>
      <c r="X89" s="690"/>
      <c r="Y89" s="1469">
        <v>0</v>
      </c>
      <c r="Z89" s="892"/>
      <c r="AA89" s="3234" t="s">
        <v>174</v>
      </c>
      <c r="AB89" s="3206"/>
      <c r="AC89" s="3336"/>
      <c r="AD89" s="3235"/>
      <c r="AE89" s="3236">
        <f>OR(AND(AE91&lt;&gt;"",AE92=""),AND(AE91="",AE92&lt;&gt;""))</f>
        <v>0</v>
      </c>
      <c r="AF89" s="3236">
        <f>OR(AND(AF91&lt;&gt;"",AF92=""),AND(AF91="",AF92&lt;&gt;""))</f>
        <v>0</v>
      </c>
      <c r="AG89" s="3236">
        <f>OR(AND(AG91&lt;&gt;"",AG92=""),AND(AG91="",AG92&lt;&gt;""))</f>
        <v>0</v>
      </c>
      <c r="AH89" s="3236">
        <f>OR(AND(AH91&lt;&gt;"",AH92=""),AND(AH91="",AH92&lt;&gt;""))</f>
        <v>0</v>
      </c>
      <c r="AI89" s="3236">
        <f>OR(AND(AI91&lt;&gt;"",AI92=""),AND(AI91="",AI92&lt;&gt;""))</f>
        <v>0</v>
      </c>
      <c r="AJ89" s="3236">
        <f>OR(AND(AJ91&lt;&gt;"",AJ92=""),AND(AJ91="",AJ92&lt;&gt;""))</f>
        <v>0</v>
      </c>
      <c r="AK89" s="3236">
        <f>OR(AND(AK91&lt;&gt;"",AK92=""),AND(AK91="",AK92&lt;&gt;""))</f>
        <v>0</v>
      </c>
      <c r="AL89" s="3236">
        <f>OR(AND(AL91&lt;&gt;"",AL92=""),AND(AL91="",AL92&lt;&gt;""))</f>
        <v>0</v>
      </c>
      <c r="AM89" s="3236">
        <f>OR(AND(AM91&lt;&gt;"",AM92=""),AND(AM91="",AM92&lt;&gt;""))</f>
        <v>0</v>
      </c>
      <c r="AN89" s="3236">
        <f>OR(AND(AN91&lt;&gt;"",AN92=""),AND(AN91="",AN92&lt;&gt;""))</f>
        <v>0</v>
      </c>
      <c r="AO89" s="3236">
        <f>OR(AND(AO91&lt;&gt;"",AO92=""),AND(AO91="",AO92&lt;&gt;""))</f>
        <v>0</v>
      </c>
      <c r="AP89" s="3236">
        <f>OR(AND(AP91&lt;&gt;"",AP92=""),AND(AP91="",AP92&lt;&gt;""))</f>
        <v>0</v>
      </c>
      <c r="AQ89" s="3236">
        <f>OR(AND(AQ91&lt;&gt;"",AQ92=""),AND(AQ91="",AQ92&lt;&gt;""))</f>
        <v>0</v>
      </c>
      <c r="AR89" s="3236">
        <f>OR(AND(AR91&lt;&gt;"",AR92=""),AND(AR91="",AR92&lt;&gt;""))</f>
        <v>0</v>
      </c>
      <c r="AS89" s="3236">
        <f>OR(AND(AS91&lt;&gt;"",AS92=""),AND(AS91="",AS92&lt;&gt;""))</f>
        <v>0</v>
      </c>
      <c r="AT89" s="3236">
        <f>OR(AND(AT91&lt;&gt;"",AT92=""),AND(AT91="",AT92&lt;&gt;""))</f>
        <v>0</v>
      </c>
      <c r="AU89" s="3236">
        <f>OR(AND(AU91&lt;&gt;"",AU92=""),AND(AU91="",AU92&lt;&gt;""))</f>
        <v>0</v>
      </c>
      <c r="AV89" s="3236">
        <f>OR(AND(AV91&lt;&gt;"",AV92=""),AND(AV91="",AV92&lt;&gt;""))</f>
        <v>0</v>
      </c>
      <c r="AW89" s="3236">
        <f>OR(AND(AW91&lt;&gt;"",AW92=""),AND(AW91="",AW92&lt;&gt;""))</f>
        <v>0</v>
      </c>
      <c r="AX89" s="3236">
        <f>OR(AND(AX91&lt;&gt;"",AX92=""),AND(AX91="",AX92&lt;&gt;""))</f>
        <v>0</v>
      </c>
      <c r="AY89" s="3236">
        <f>OR(AND(AY91&lt;&gt;"",AY92=""),AND(AY91="",AY92&lt;&gt;""))</f>
        <v>0</v>
      </c>
      <c r="AZ89" s="3236">
        <f>OR(AND(AZ91&lt;&gt;"",AZ92=""),AND(AZ91="",AZ92&lt;&gt;""))</f>
        <v>0</v>
      </c>
      <c r="BA89" s="3236">
        <f>OR(AND(BA91&lt;&gt;"",BA92=""),AND(BA91="",BA92&lt;&gt;""))</f>
        <v>0</v>
      </c>
      <c r="BB89" s="3304">
        <f>OR(AND(BB91&lt;&gt;"",BB92=""),AND(BB91="",BB92&lt;&gt;""))</f>
        <v>0</v>
      </c>
      <c r="BC89" s="3305"/>
      <c r="BD89" s="892"/>
      <c r="BE89" s="892"/>
      <c r="BF89" s="1052"/>
      <c r="BG89" s="1052"/>
      <c r="BH89" s="1052"/>
      <c r="BI89" s="685"/>
      <c r="BJ89" s="685"/>
    </row>
    <row customHeight="1" ht="14.625" hidden="1">
      <c r="A90" s="892"/>
      <c r="B90" s="443"/>
      <c r="C90" s="892"/>
      <c r="D90" s="892"/>
      <c r="E90" s="684">
        <v>15</v>
      </c>
      <c r="F90" s="1326" cm="1" t="str">
        <f t="array" ref="F90:F90">OFFSET(E90,-1,1)</f>
        <v>0</v>
      </c>
      <c r="G90" s="892"/>
      <c r="H90" s="892"/>
      <c r="I90" s="892"/>
      <c r="J90" s="892"/>
      <c r="K90" s="918"/>
      <c r="L90" s="922"/>
      <c r="M90" s="892"/>
      <c r="N90" s="892"/>
      <c r="O90" s="892"/>
      <c r="P90" s="892"/>
      <c r="Q90" s="892"/>
      <c r="R90" s="892"/>
      <c r="S90" s="892"/>
      <c r="T90" s="1436">
        <f>AND(F90&gt;0,Y89&gt;0)</f>
        <v>0</v>
      </c>
      <c r="U90" s="892"/>
      <c r="V90" s="892"/>
      <c r="W90" s="892"/>
      <c r="X90" s="690"/>
      <c r="Y90" s="1469"/>
      <c r="Z90" s="892"/>
      <c r="AA90" s="3234"/>
      <c r="AB90" s="3204" t="str">
        <f>"9."&amp;Y89</f>
        <v>9.0</v>
      </c>
      <c r="AC90" s="3337"/>
      <c r="AD90" s="3235"/>
      <c r="AE90" s="892"/>
      <c r="AF90" s="892"/>
      <c r="AG90" s="892"/>
      <c r="AH90" s="892"/>
      <c r="AI90" s="892"/>
      <c r="AJ90" s="892"/>
      <c r="AK90" s="892"/>
      <c r="AL90" s="892"/>
      <c r="AM90" s="892"/>
      <c r="AN90" s="892"/>
      <c r="AO90" s="892"/>
      <c r="AP90" s="892"/>
      <c r="AQ90" s="892"/>
      <c r="AR90" s="892"/>
      <c r="AS90" s="892"/>
      <c r="AT90" s="892"/>
      <c r="AU90" s="892"/>
      <c r="AV90" s="892"/>
      <c r="AW90" s="892"/>
      <c r="AX90" s="892"/>
      <c r="AY90" s="892"/>
      <c r="AZ90" s="892"/>
      <c r="BA90" s="892"/>
      <c r="BB90" s="892"/>
      <c r="BC90" s="892"/>
      <c r="BD90" s="892"/>
      <c r="BE90" s="892"/>
      <c r="BF90" s="1052"/>
      <c r="BG90" s="1052"/>
      <c r="BH90" s="1052"/>
      <c r="BI90" s="685"/>
      <c r="BJ90" s="685"/>
    </row>
    <row customHeight="1" ht="14.625" hidden="1">
      <c r="A91" s="892"/>
      <c r="B91" s="443"/>
      <c r="C91" s="892"/>
      <c r="D91" s="892"/>
      <c r="E91" s="684">
        <v>15</v>
      </c>
      <c r="F91" s="1326" cm="1" t="str">
        <f t="array" ref="F91:F91">OFFSET(E91,-1,1)</f>
        <v>0</v>
      </c>
      <c r="G91" s="892"/>
      <c r="H91" s="892"/>
      <c r="I91" s="892"/>
      <c r="J91" s="892"/>
      <c r="K91" s="918"/>
      <c r="L91" s="922"/>
      <c r="M91" s="892"/>
      <c r="N91" s="892"/>
      <c r="O91" s="892"/>
      <c r="P91" s="892"/>
      <c r="Q91" s="892"/>
      <c r="R91" s="892"/>
      <c r="S91" s="892"/>
      <c r="T91" s="1436" cm="1" t="str">
        <f t="array" ref="T91:T91">T90</f>
        <v>false</v>
      </c>
      <c r="U91" s="892"/>
      <c r="V91" s="892"/>
      <c r="W91" s="892"/>
      <c r="X91" s="690"/>
      <c r="Y91" s="1469"/>
      <c r="Z91" s="892"/>
      <c r="AA91" s="3234"/>
      <c r="AB91" s="3204" t="str">
        <f>AB90&amp;".1"</f>
        <v>9.0.1</v>
      </c>
      <c r="AC91" s="3273" t="s">
        <v>1251</v>
      </c>
      <c r="AD91" s="3206" t="s">
        <v>936</v>
      </c>
      <c r="AE91" s="3274"/>
      <c r="AF91" s="3275"/>
      <c r="AG91" s="3274"/>
      <c r="AH91" s="3274"/>
      <c r="AI91" s="3275"/>
      <c r="AJ91" s="3275"/>
      <c r="AK91" s="3275"/>
      <c r="AL91" s="3275"/>
      <c r="AM91" s="3275"/>
      <c r="AN91" s="3275"/>
      <c r="AO91" s="3275"/>
      <c r="AP91" s="3275"/>
      <c r="AQ91" s="3275"/>
      <c r="AR91" s="3275"/>
      <c r="AS91" s="3274"/>
      <c r="AT91" s="3274"/>
      <c r="AU91" s="3274"/>
      <c r="AV91" s="3274"/>
      <c r="AW91" s="3274"/>
      <c r="AX91" s="3274"/>
      <c r="AY91" s="3274"/>
      <c r="AZ91" s="3274"/>
      <c r="BA91" s="3274"/>
      <c r="BB91" s="3274"/>
      <c r="BC91" s="3306"/>
      <c r="BD91" s="892"/>
      <c r="BE91" s="892"/>
      <c r="BF91" s="1049" t="s">
        <v>1252</v>
      </c>
      <c r="BG91" s="1052" t="s">
        <v>1323</v>
      </c>
      <c r="BH91" s="3241" cm="1" t="str">
        <f t="array" ref="BH91:BH91">AC90</f>
        <v>0</v>
      </c>
      <c r="BI91" s="685"/>
      <c r="BJ91" s="685" t="b">
        <v>1</v>
      </c>
    </row>
    <row customHeight="1" ht="14.625" hidden="1">
      <c r="A92" s="892"/>
      <c r="B92" s="443"/>
      <c r="C92" s="892"/>
      <c r="D92" s="892"/>
      <c r="E92" s="684">
        <v>15</v>
      </c>
      <c r="F92" s="1326" cm="1" t="str">
        <f t="array" ref="F92:F92">OFFSET(E92,-1,1)</f>
        <v>0</v>
      </c>
      <c r="G92" s="892"/>
      <c r="H92" s="892"/>
      <c r="I92" s="892"/>
      <c r="J92" s="892"/>
      <c r="K92" s="918"/>
      <c r="L92" s="922"/>
      <c r="M92" s="892"/>
      <c r="N92" s="892"/>
      <c r="O92" s="892"/>
      <c r="P92" s="892"/>
      <c r="Q92" s="892"/>
      <c r="R92" s="892"/>
      <c r="S92" s="892"/>
      <c r="T92" s="1436" cm="1" t="str">
        <f t="array" ref="T92:T92">T91</f>
        <v>false</v>
      </c>
      <c r="U92" s="892"/>
      <c r="V92" s="892"/>
      <c r="W92" s="892"/>
      <c r="X92" s="690"/>
      <c r="Y92" s="1469"/>
      <c r="Z92" s="892"/>
      <c r="AA92" s="3234"/>
      <c r="AB92" s="3204" t="str">
        <f>AB91&amp;".1"</f>
        <v>9.0.1.1</v>
      </c>
      <c r="AC92" s="3215" t="s">
        <v>1324</v>
      </c>
      <c r="AD92" s="3204"/>
      <c r="AE92" s="3274"/>
      <c r="AF92" s="3275"/>
      <c r="AG92" s="3274"/>
      <c r="AH92" s="3274"/>
      <c r="AI92" s="3275"/>
      <c r="AJ92" s="3275"/>
      <c r="AK92" s="3275"/>
      <c r="AL92" s="3275"/>
      <c r="AM92" s="3275"/>
      <c r="AN92" s="3275"/>
      <c r="AO92" s="3275"/>
      <c r="AP92" s="3275"/>
      <c r="AQ92" s="3275"/>
      <c r="AR92" s="3275"/>
      <c r="AS92" s="3274"/>
      <c r="AT92" s="3274"/>
      <c r="AU92" s="3274"/>
      <c r="AV92" s="3274"/>
      <c r="AW92" s="3274"/>
      <c r="AX92" s="3274"/>
      <c r="AY92" s="3274"/>
      <c r="AZ92" s="3274"/>
      <c r="BA92" s="3274"/>
      <c r="BB92" s="3274"/>
      <c r="BC92" s="3306"/>
      <c r="BD92" s="892"/>
      <c r="BE92" s="892"/>
      <c r="BF92" s="1049" t="s">
        <v>1255</v>
      </c>
      <c r="BG92" s="1052" t="s">
        <v>1323</v>
      </c>
      <c r="BH92" s="3241" cm="1" t="str">
        <f t="array" ref="BH92:BH92">BH91</f>
        <v>0</v>
      </c>
      <c r="BI92" s="685"/>
      <c r="BJ92" s="685"/>
    </row>
    <row customHeight="1" ht="14.625" hidden="1">
      <c r="A93" s="892"/>
      <c r="B93" s="443"/>
      <c r="C93" s="892"/>
      <c r="D93" s="892"/>
      <c r="E93" s="684">
        <v>15</v>
      </c>
      <c r="F93" s="1326" cm="1" t="str">
        <f t="array" ref="F93:F93">OFFSET(E93,-1,1)</f>
        <v>0</v>
      </c>
      <c r="G93" s="892"/>
      <c r="H93" s="892"/>
      <c r="I93" s="892"/>
      <c r="J93" s="892"/>
      <c r="K93" s="918"/>
      <c r="L93" s="922"/>
      <c r="M93" s="892"/>
      <c r="N93" s="892"/>
      <c r="O93" s="892"/>
      <c r="P93" s="892"/>
      <c r="Q93" s="892"/>
      <c r="R93" s="892"/>
      <c r="S93" s="892"/>
      <c r="T93" s="1436" cm="1" t="str">
        <f t="array" ref="T93:T93">T92</f>
        <v>false</v>
      </c>
      <c r="U93" s="892"/>
      <c r="V93" s="892"/>
      <c r="W93" s="892"/>
      <c r="X93" s="690"/>
      <c r="Y93" s="1469"/>
      <c r="Z93" s="892"/>
      <c r="AA93" s="3234"/>
      <c r="AB93" s="3204" t="str">
        <f>AB91&amp;".2"</f>
        <v>9.0.1.2</v>
      </c>
      <c r="AC93" s="3215" t="s">
        <v>1325</v>
      </c>
      <c r="AD93" s="3204"/>
      <c r="AE93" s="3274"/>
      <c r="AF93" s="3275"/>
      <c r="AG93" s="3275"/>
      <c r="AH93" s="3274"/>
      <c r="AI93" s="3275"/>
      <c r="AJ93" s="3275"/>
      <c r="AK93" s="3275"/>
      <c r="AL93" s="3275"/>
      <c r="AM93" s="3275"/>
      <c r="AN93" s="3275"/>
      <c r="AO93" s="3275"/>
      <c r="AP93" s="3275"/>
      <c r="AQ93" s="3275"/>
      <c r="AR93" s="3275"/>
      <c r="AS93" s="3275"/>
      <c r="AT93" s="3275"/>
      <c r="AU93" s="3275"/>
      <c r="AV93" s="3275"/>
      <c r="AW93" s="3275"/>
      <c r="AX93" s="3275"/>
      <c r="AY93" s="3275"/>
      <c r="AZ93" s="3275"/>
      <c r="BA93" s="3275"/>
      <c r="BB93" s="3307"/>
      <c r="BC93" s="3306"/>
      <c r="BD93" s="892"/>
      <c r="BE93" s="892"/>
      <c r="BF93" s="1049" t="s">
        <v>1258</v>
      </c>
      <c r="BG93" s="1052" t="s">
        <v>1323</v>
      </c>
      <c r="BH93" s="3241" cm="1" t="str">
        <f t="array" ref="BH93:BH93">BH92</f>
        <v>0</v>
      </c>
      <c r="BI93" s="685"/>
      <c r="BJ93" s="685"/>
    </row>
    <row customHeight="1" ht="14.625" hidden="1">
      <c r="A94" s="892"/>
      <c r="B94" s="443"/>
      <c r="C94" s="892"/>
      <c r="D94" s="892"/>
      <c r="E94" s="684">
        <v>15</v>
      </c>
      <c r="F94" s="1326" cm="1" t="str">
        <f t="array" ref="F94:F94">OFFSET(E94,-1,1)</f>
        <v>0</v>
      </c>
      <c r="G94" s="892"/>
      <c r="H94" s="892"/>
      <c r="I94" s="892"/>
      <c r="J94" s="892"/>
      <c r="K94" s="918"/>
      <c r="L94" s="922"/>
      <c r="M94" s="892"/>
      <c r="N94" s="892"/>
      <c r="O94" s="892"/>
      <c r="P94" s="892"/>
      <c r="Q94" s="892"/>
      <c r="R94" s="892"/>
      <c r="S94" s="892"/>
      <c r="T94" s="1436">
        <f>F94&gt;0</f>
        <v>0</v>
      </c>
      <c r="U94" s="892"/>
      <c r="V94" s="892"/>
      <c r="W94" s="691" t="s">
        <v>1326</v>
      </c>
      <c r="X94" s="690"/>
      <c r="Y94" s="892"/>
      <c r="Z94" s="892"/>
      <c r="AA94" s="892"/>
      <c r="AB94" s="3338"/>
      <c r="AC94" s="3339" t="s">
        <v>1260</v>
      </c>
      <c r="AD94" s="3340"/>
      <c r="AE94" s="3341"/>
      <c r="AF94" s="3342"/>
      <c r="AG94" s="3343"/>
      <c r="AH94" s="3344"/>
      <c r="AI94" s="3345"/>
      <c r="AJ94" s="3346"/>
      <c r="AK94" s="3347"/>
      <c r="AL94" s="3348"/>
      <c r="AM94" s="3349"/>
      <c r="AN94" s="3350"/>
      <c r="AO94" s="3351"/>
      <c r="AP94" s="3352"/>
      <c r="AQ94" s="3353"/>
      <c r="AR94" s="3354"/>
      <c r="AS94" s="3355"/>
      <c r="AT94" s="3356"/>
      <c r="AU94" s="3357"/>
      <c r="AV94" s="3358"/>
      <c r="AW94" s="3359"/>
      <c r="AX94" s="3360"/>
      <c r="AY94" s="3361"/>
      <c r="AZ94" s="3362"/>
      <c r="BA94" s="3363"/>
      <c r="BB94" s="3364"/>
      <c r="BC94" s="3365"/>
      <c r="BD94" s="892"/>
      <c r="BE94" s="892"/>
      <c r="BF94" s="1052"/>
      <c r="BG94" s="1052"/>
      <c r="BH94" s="1052"/>
      <c r="BI94" s="685" t="s">
        <v>1323</v>
      </c>
      <c r="BJ94" s="685"/>
    </row>
    <row s="1656" customFormat="1" customHeight="1" ht="27.25942611694336">
      <c r="A95" s="892"/>
      <c r="B95" s="442"/>
      <c r="C95" s="892"/>
      <c r="D95" s="892"/>
      <c r="E95" s="684">
        <v>15</v>
      </c>
      <c r="F95" s="94" cm="1" t="str">
        <f t="array" ref="F95:F95">X95</f>
        <v>1</v>
      </c>
      <c r="G95" s="892"/>
      <c r="H95" s="892"/>
      <c r="I95" s="892" t="s">
        <v>1247</v>
      </c>
      <c r="J95" s="892"/>
      <c r="K95" s="918"/>
      <c r="L95" s="892"/>
      <c r="M95" s="892"/>
      <c r="N95" s="892"/>
      <c r="O95" s="892"/>
      <c r="P95" s="892"/>
      <c r="Q95" s="892"/>
      <c r="R95" s="892"/>
      <c r="S95" s="892"/>
      <c r="T95" s="468">
        <f>X95&gt;0</f>
        <v>1</v>
      </c>
      <c r="U95" s="892"/>
      <c r="V95" s="148" cm="1" t="str">
        <f t="array" ref="V95:V95">Аренда!$AB$37</f>
        <v>Тариф 1 (Водоснабжение) - тариф на питьевую воду (Оказание услуг на территории: город Ленинск-Кузнецкий (ОКТМО: 32719000) - г Ленинск-Кузнецкий, г Полысаево)</v>
      </c>
      <c r="W95" s="892"/>
      <c r="X95" s="1469" t="s">
        <v>290</v>
      </c>
      <c r="Y95" s="686"/>
      <c r="Z95" s="1592"/>
      <c r="AA95" s="892"/>
      <c r="AB95" s="218" cm="1" t="str">
        <f t="array" ref="AB95:AB95">Аренда!$AB$37</f>
        <v>Тариф 1 (Водоснабжение) - тариф на питьевую воду (Оказание услуг на территории: город Ленинск-Кузнецкий (ОКТМО: 32719000) - г Ленинск-Кузнецкий, г Полысаево)</v>
      </c>
      <c r="AC95" s="176"/>
      <c r="AD95" s="176"/>
      <c r="AE95" s="302">
        <f>AE103+AE110+AE117+AE124+AE96+AE131+AE151+AE158+AE165</f>
        <v>4283.56</v>
      </c>
      <c r="AF95" s="302">
        <f>AF103+AF110+AF117+AF124+AF96+AF131+AF151+AF158+AF165</f>
        <v>5861.53</v>
      </c>
      <c r="AG95" s="302">
        <f>AG103+AG110+AG117+AG124+AG96+AG131+AG151+AG158+AG165</f>
        <v>5861.53</v>
      </c>
      <c r="AH95" s="302">
        <f>AH103+AH110+AH117+AH124+AH96+AH131+AH151+AH158+AH165</f>
        <v>5465.44</v>
      </c>
      <c r="AI95" s="302">
        <f>AI103+AI110+AI117+AI124+AI96+AI131+AI151+AI158+AI165</f>
        <v>6900.27</v>
      </c>
      <c r="AJ95" s="302">
        <f>AJ103+AJ110+AJ117+AJ124+AJ96+AJ131+AJ151+AJ158+AJ165</f>
        <v>0</v>
      </c>
      <c r="AK95" s="302">
        <f>AK103+AK110+AK117+AK124+AK96+AK131+AK151+AK158+AK165</f>
        <v>0</v>
      </c>
      <c r="AL95" s="302">
        <f>AL103+AL110+AL117+AL124+AL96+AL131+AL151+AL158+AL165</f>
        <v>0</v>
      </c>
      <c r="AM95" s="302">
        <f>AM103+AM110+AM117+AM124+AM96+AM131+AM151+AM158+AM165</f>
        <v>0</v>
      </c>
      <c r="AN95" s="302">
        <f>AN103+AN110+AN117+AN124+AN96+AN131+AN151+AN158+AN165</f>
        <v>0</v>
      </c>
      <c r="AO95" s="302">
        <f>AO103+AO110+AO117+AO124+AO96+AO131+AO151+AO158+AO165</f>
        <v>0</v>
      </c>
      <c r="AP95" s="302">
        <f>AP103+AP110+AP117+AP124+AP96+AP131+AP151+AP158+AP165</f>
        <v>0</v>
      </c>
      <c r="AQ95" s="302">
        <f>AQ103+AQ110+AQ117+AQ124+AQ96+AQ131+AQ151+AQ158+AQ165</f>
        <v>0</v>
      </c>
      <c r="AR95" s="302">
        <f>AR103+AR110+AR117+AR124+AR96+AR131+AR151+AR158+AR165</f>
        <v>0</v>
      </c>
      <c r="AS95" s="302">
        <f>AS103+AS110+AS117+AS124+AS96+AS131+AS151+AS158+AS165</f>
        <v>6763.50725</v>
      </c>
      <c r="AT95" s="302">
        <f>AT103+AT110+AT117+AT124+AT96+AT131+AT151+AT158+AT165</f>
        <v>0</v>
      </c>
      <c r="AU95" s="302">
        <f>AU103+AU110+AU117+AU124+AU96+AU131+AU151+AU158+AU165</f>
        <v>0</v>
      </c>
      <c r="AV95" s="302">
        <f>AV103+AV110+AV117+AV124+AV96+AV131+AV151+AV158+AV165</f>
        <v>0</v>
      </c>
      <c r="AW95" s="302">
        <f>AW103+AW110+AW117+AW124+AW96+AW131+AW151+AW158+AW165</f>
        <v>0</v>
      </c>
      <c r="AX95" s="302">
        <f>AX103+AX110+AX117+AX124+AX96+AX131+AX151+AX158+AX165</f>
        <v>0</v>
      </c>
      <c r="AY95" s="302">
        <f>AY103+AY110+AY117+AY124+AY96+AY131+AY151+AY158+AY165</f>
        <v>0</v>
      </c>
      <c r="AZ95" s="302">
        <f>AZ103+AZ110+AZ117+AZ124+AZ96+AZ131+AZ151+AZ158+AZ165</f>
        <v>0</v>
      </c>
      <c r="BA95" s="302">
        <f>BA103+BA110+BA117+BA124+BA96+BA131+BA151+BA158+BA165</f>
        <v>0</v>
      </c>
      <c r="BB95" s="302">
        <f>BB103+BB110+BB117+BB124+BB96+BB131+BB151+BB158+BB165</f>
        <v>0</v>
      </c>
      <c r="BC95" s="220"/>
      <c r="BD95" s="892"/>
      <c r="BE95" s="892"/>
      <c r="BF95" s="1049"/>
      <c r="BG95" s="1049"/>
      <c r="BH95" s="1049"/>
      <c r="BI95" s="684"/>
      <c r="BJ95" s="684"/>
    </row>
    <row s="1656" customFormat="1" customHeight="1" ht="0">
      <c r="A96" s="892"/>
      <c r="B96" s="442"/>
      <c r="C96" s="892"/>
      <c r="D96" s="892"/>
      <c r="E96" s="684">
        <v>15</v>
      </c>
      <c r="F96" s="50" cm="1" t="str">
        <f t="array" ref="F96:F96">OFFSET(E96,-1,1)</f>
        <v>1</v>
      </c>
      <c r="G96" s="148" t="s">
        <v>344</v>
      </c>
      <c r="H96" s="892"/>
      <c r="I96" s="892"/>
      <c r="J96" s="892"/>
      <c r="K96" s="918" t="str">
        <f>F96&amp;"1komm"</f>
        <v>11komm</v>
      </c>
      <c r="L96" s="922" cm="1" t="str">
        <f t="array" ref="L96:L96">BC96</f>
        <v>0</v>
      </c>
      <c r="M96" s="892"/>
      <c r="N96" s="892"/>
      <c r="O96" s="892"/>
      <c r="P96" s="892"/>
      <c r="Q96" s="892"/>
      <c r="R96" s="892"/>
      <c r="S96" s="892"/>
      <c r="T96" s="468" cm="1" t="str">
        <f t="array" ref="T96:T96">T95</f>
        <v>true</v>
      </c>
      <c r="U96" s="892"/>
      <c r="V96" s="892"/>
      <c r="W96" s="892"/>
      <c r="X96" s="1469"/>
      <c r="Y96" s="892"/>
      <c r="Z96" s="1592"/>
      <c r="AA96" s="892"/>
      <c r="AB96" s="207">
        <v>1</v>
      </c>
      <c r="AC96" s="208" t="s">
        <v>1248</v>
      </c>
      <c r="AD96" s="207" t="s">
        <v>936</v>
      </c>
      <c r="AE96" s="209">
        <f>SUMIF(AD99:AD102,AD96,AE99:AE102)</f>
        <v>0</v>
      </c>
      <c r="AF96" s="209">
        <f>SUMIF(AD99:AD102,AD96,AF99:AF102)</f>
        <v>0</v>
      </c>
      <c r="AG96" s="209">
        <f>SUMIF(AD99:AD102,AD96,AG99:AG102)</f>
        <v>0</v>
      </c>
      <c r="AH96" s="209">
        <f>SUMIF(AD99:AD102,AD96,AH99:AH102)</f>
        <v>0</v>
      </c>
      <c r="AI96" s="209">
        <f>SUMIF(AD99:AD102,AD96,AI99:AI102)</f>
        <v>0</v>
      </c>
      <c r="AJ96" s="3200">
        <f>SUMIF(AD99:AD102,AD96,AJ99:AJ102)</f>
        <v>0</v>
      </c>
      <c r="AK96" s="3200">
        <f>SUMIF(AD99:AD102,AD96,AK99:AK102)</f>
        <v>0</v>
      </c>
      <c r="AL96" s="3200">
        <f>SUMIF(AD99:AD102,AD96,AL99:AL102)</f>
        <v>0</v>
      </c>
      <c r="AM96" s="3200">
        <f>SUMIF(AD99:AD102,AD96,AM99:AM102)</f>
        <v>0</v>
      </c>
      <c r="AN96" s="3200">
        <f>SUMIF(AD99:AD102,AD96,AN99:AN102)</f>
        <v>0</v>
      </c>
      <c r="AO96" s="3200">
        <f>SUMIF(AD99:AD102,AD96,AO99:AO102)</f>
        <v>0</v>
      </c>
      <c r="AP96" s="3200">
        <f>SUMIF(AD99:AD102,AD96,AP99:AP102)</f>
        <v>0</v>
      </c>
      <c r="AQ96" s="3200">
        <f>SUMIF(AD99:AD102,AD96,AQ99:AQ102)</f>
        <v>0</v>
      </c>
      <c r="AR96" s="3200">
        <f>SUMIF(AD99:AD102,AD96,AR99:AR102)</f>
        <v>0</v>
      </c>
      <c r="AS96" s="209">
        <f>SUMIF(AD99:AD102,AD96,AS99:AS102)</f>
        <v>0</v>
      </c>
      <c r="AT96" s="3200">
        <f>SUMIF(AD99:AD102,AD96,AT99:AT102)</f>
        <v>0</v>
      </c>
      <c r="AU96" s="3200">
        <f>SUMIF(AD99:AD102,AD96,AU99:AU102)</f>
        <v>0</v>
      </c>
      <c r="AV96" s="3200">
        <f>SUMIF(AD99:AD102,AD96,AV99:AV102)</f>
        <v>0</v>
      </c>
      <c r="AW96" s="3200">
        <f>SUMIF(AD99:AD102,AD96,AW99:AW102)</f>
        <v>0</v>
      </c>
      <c r="AX96" s="3200">
        <f>SUMIF(AD99:AD102,AD96,AX99:AX102)</f>
        <v>0</v>
      </c>
      <c r="AY96" s="3200">
        <f>SUMIF(AD99:AD102,AD96,AY99:AY102)</f>
        <v>0</v>
      </c>
      <c r="AZ96" s="3200">
        <f>SUMIF(AD99:AD102,AD96,AZ99:AZ102)</f>
        <v>0</v>
      </c>
      <c r="BA96" s="3200">
        <f>SUMIF(AD99:AD102,AD96,BA99:BA102)</f>
        <v>0</v>
      </c>
      <c r="BB96" s="3200">
        <f>SUMIF(AD99:AD102,AD96,BB99:BB102)</f>
        <v>0</v>
      </c>
      <c r="BC96" s="196"/>
      <c r="BD96" s="892"/>
      <c r="BE96" s="892"/>
      <c r="BF96" s="1049" t="s">
        <v>1249</v>
      </c>
      <c r="BG96" s="1049"/>
      <c r="BH96" s="1049"/>
      <c r="BI96" s="684"/>
      <c r="BJ96" s="684"/>
    </row>
    <row s="1656" customFormat="1" customHeight="1" ht="0" hidden="1">
      <c r="A97" s="892"/>
      <c r="B97" s="442"/>
      <c r="C97" s="892"/>
      <c r="D97" s="892"/>
      <c r="E97" s="684">
        <v>0</v>
      </c>
      <c r="F97" s="50" cm="1" t="str">
        <f t="array" ref="F97:F97">OFFSET(E97,-1,1)</f>
        <v>1</v>
      </c>
      <c r="G97" s="892"/>
      <c r="H97" s="892"/>
      <c r="I97" s="892"/>
      <c r="J97" s="892"/>
      <c r="K97" s="918"/>
      <c r="L97" s="922"/>
      <c r="M97" s="892"/>
      <c r="N97" s="892"/>
      <c r="O97" s="892"/>
      <c r="P97" s="892"/>
      <c r="Q97" s="892"/>
      <c r="R97" s="892"/>
      <c r="S97" s="892"/>
      <c r="T97" s="468" t="b">
        <v>0</v>
      </c>
      <c r="U97" s="892"/>
      <c r="V97" s="892"/>
      <c r="W97" s="148" t="s">
        <v>173</v>
      </c>
      <c r="X97" s="1469"/>
      <c r="Y97" s="1469">
        <v>0</v>
      </c>
      <c r="Z97" s="1592"/>
      <c r="AA97" s="1593" t="s">
        <v>174</v>
      </c>
      <c r="AB97" s="207"/>
      <c r="AC97" s="208"/>
      <c r="AD97" s="207"/>
      <c r="AE97" s="212">
        <f>OR(AND(AE99&lt;&gt;"",AE100=""),AND(AE99="",AE100&lt;&gt;""))</f>
        <v>0</v>
      </c>
      <c r="AF97" s="212">
        <f>OR(AND(AF99&lt;&gt;"",AF100=""),AND(AF99="",AF100&lt;&gt;""))</f>
        <v>0</v>
      </c>
      <c r="AG97" s="212">
        <f>OR(AND(AG99&lt;&gt;"",AG100=""),AND(AG99="",AG100&lt;&gt;""))</f>
        <v>0</v>
      </c>
      <c r="AH97" s="212">
        <f>OR(AND(AH99&lt;&gt;"",AH100=""),AND(AH99="",AH100&lt;&gt;""))</f>
        <v>0</v>
      </c>
      <c r="AI97" s="212">
        <f>OR(AND(AI99&lt;&gt;"",AI100=""),AND(AI99="",AI100&lt;&gt;""))</f>
        <v>0</v>
      </c>
      <c r="AJ97" s="212">
        <f>OR(AND(AJ99&lt;&gt;"",AJ100=""),AND(AJ99="",AJ100&lt;&gt;""))</f>
        <v>0</v>
      </c>
      <c r="AK97" s="212">
        <f>OR(AND(AK99&lt;&gt;"",AK100=""),AND(AK99="",AK100&lt;&gt;""))</f>
        <v>0</v>
      </c>
      <c r="AL97" s="212">
        <f>OR(AND(AL99&lt;&gt;"",AL100=""),AND(AL99="",AL100&lt;&gt;""))</f>
        <v>0</v>
      </c>
      <c r="AM97" s="212">
        <f>OR(AND(AM99&lt;&gt;"",AM100=""),AND(AM99="",AM100&lt;&gt;""))</f>
        <v>0</v>
      </c>
      <c r="AN97" s="212">
        <f>OR(AND(AN99&lt;&gt;"",AN100=""),AND(AN99="",AN100&lt;&gt;""))</f>
        <v>0</v>
      </c>
      <c r="AO97" s="212">
        <f>OR(AND(AO99&lt;&gt;"",AO100=""),AND(AO99="",AO100&lt;&gt;""))</f>
        <v>0</v>
      </c>
      <c r="AP97" s="212">
        <f>OR(AND(AP99&lt;&gt;"",AP100=""),AND(AP99="",AP100&lt;&gt;""))</f>
        <v>0</v>
      </c>
      <c r="AQ97" s="212">
        <f>OR(AND(AQ99&lt;&gt;"",AQ100=""),AND(AQ99="",AQ100&lt;&gt;""))</f>
        <v>0</v>
      </c>
      <c r="AR97" s="212">
        <f>OR(AND(AR99&lt;&gt;"",AR100=""),AND(AR99="",AR100&lt;&gt;""))</f>
        <v>0</v>
      </c>
      <c r="AS97" s="212">
        <f>OR(AND(AS99&lt;&gt;"",AS100=""),AND(AS99="",AS100&lt;&gt;""))</f>
        <v>0</v>
      </c>
      <c r="AT97" s="212">
        <f>OR(AND(AT99&lt;&gt;"",AT100=""),AND(AT99="",AT100&lt;&gt;""))</f>
        <v>0</v>
      </c>
      <c r="AU97" s="212">
        <f>OR(AND(AU99&lt;&gt;"",AU100=""),AND(AU99="",AU100&lt;&gt;""))</f>
        <v>0</v>
      </c>
      <c r="AV97" s="212">
        <f>OR(AND(AV99&lt;&gt;"",AV100=""),AND(AV99="",AV100&lt;&gt;""))</f>
        <v>0</v>
      </c>
      <c r="AW97" s="212">
        <f>OR(AND(AW99&lt;&gt;"",AW100=""),AND(AW99="",AW100&lt;&gt;""))</f>
        <v>0</v>
      </c>
      <c r="AX97" s="212">
        <f>OR(AND(AX99&lt;&gt;"",AX100=""),AND(AX99="",AX100&lt;&gt;""))</f>
        <v>0</v>
      </c>
      <c r="AY97" s="212">
        <f>OR(AND(AY99&lt;&gt;"",AY100=""),AND(AY99="",AY100&lt;&gt;""))</f>
        <v>0</v>
      </c>
      <c r="AZ97" s="212">
        <f>OR(AND(AZ99&lt;&gt;"",AZ100=""),AND(AZ99="",AZ100&lt;&gt;""))</f>
        <v>0</v>
      </c>
      <c r="BA97" s="212">
        <f>OR(AND(BA99&lt;&gt;"",BA100=""),AND(BA99="",BA100&lt;&gt;""))</f>
        <v>0</v>
      </c>
      <c r="BB97" s="212">
        <f>OR(AND(BB99&lt;&gt;"",BB100=""),AND(BB99="",BB100&lt;&gt;""))</f>
        <v>0</v>
      </c>
      <c r="BC97" s="982"/>
      <c r="BD97" s="892"/>
      <c r="BE97" s="892"/>
      <c r="BF97" s="1049"/>
      <c r="BG97" s="1049"/>
      <c r="BH97" s="1049"/>
      <c r="BI97" s="684"/>
      <c r="BJ97" s="684"/>
    </row>
    <row customHeight="1" ht="14.625" hidden="1">
      <c r="A98" s="892"/>
      <c r="B98" s="442"/>
      <c r="C98" s="892"/>
      <c r="D98" s="892"/>
      <c r="E98" s="684">
        <v>15</v>
      </c>
      <c r="F98" s="1326" cm="1" t="str">
        <f t="array" ref="F98:F98">OFFSET(E98,-1,1)</f>
        <v>1</v>
      </c>
      <c r="G98" s="892"/>
      <c r="H98" s="892"/>
      <c r="I98" s="892"/>
      <c r="J98" s="892"/>
      <c r="K98" s="918"/>
      <c r="L98" s="922"/>
      <c r="M98" s="892"/>
      <c r="N98" s="892"/>
      <c r="O98" s="892"/>
      <c r="P98" s="892"/>
      <c r="Q98" s="892"/>
      <c r="R98" s="892"/>
      <c r="S98" s="892"/>
      <c r="T98" s="1436">
        <f>AND(Y97&gt;0,F98&gt;0)</f>
        <v>0</v>
      </c>
      <c r="U98" s="892"/>
      <c r="V98" s="892"/>
      <c r="W98" s="892"/>
      <c r="X98" s="690"/>
      <c r="Y98" s="1469"/>
      <c r="Z98" s="892"/>
      <c r="AA98" s="3203"/>
      <c r="AB98" s="3204" t="str">
        <f>"1."&amp;Y97</f>
        <v>1.0</v>
      </c>
      <c r="AC98" s="3205" t="s">
        <v>240</v>
      </c>
      <c r="AD98" s="3206"/>
      <c r="AE98" s="3207"/>
      <c r="AF98" s="3208"/>
      <c r="AG98" s="3207"/>
      <c r="AH98" s="3207"/>
      <c r="AI98" s="3207"/>
      <c r="AJ98" s="3207"/>
      <c r="AK98" s="3207"/>
      <c r="AL98" s="3207"/>
      <c r="AM98" s="3207"/>
      <c r="AN98" s="3207"/>
      <c r="AO98" s="3207"/>
      <c r="AP98" s="3207"/>
      <c r="AQ98" s="3207"/>
      <c r="AR98" s="3207"/>
      <c r="AS98" s="3208"/>
      <c r="AT98" s="3208"/>
      <c r="AU98" s="3208"/>
      <c r="AV98" s="3208"/>
      <c r="AW98" s="3208"/>
      <c r="AX98" s="3208"/>
      <c r="AY98" s="3208"/>
      <c r="AZ98" s="3208"/>
      <c r="BA98" s="3208"/>
      <c r="BB98" s="3209"/>
      <c r="BC98" s="3210"/>
      <c r="BD98" s="892"/>
      <c r="BE98" s="892"/>
      <c r="BF98" s="1049"/>
      <c r="BG98" s="1049"/>
      <c r="BH98" s="1049"/>
      <c r="BI98" s="684"/>
      <c r="BJ98" s="684"/>
    </row>
    <row s="1656" customFormat="1" customHeight="1" ht="14.25" hidden="1">
      <c r="A99" s="892"/>
      <c r="B99" s="442"/>
      <c r="C99" s="892"/>
      <c r="D99" s="892"/>
      <c r="E99" s="684">
        <v>15</v>
      </c>
      <c r="F99" s="50" cm="1" t="str">
        <f t="array" ref="F99:F99">OFFSET(E99,-1,1)</f>
        <v>1</v>
      </c>
      <c r="G99" s="148" t="s">
        <v>344</v>
      </c>
      <c r="H99" s="151" cm="1" t="str">
        <f t="array" ref="H99:H99">AC99</f>
        <v>Затраты</v>
      </c>
      <c r="I99" s="148" t="s">
        <v>1250</v>
      </c>
      <c r="J99" s="892"/>
      <c r="K99" s="918"/>
      <c r="L99" s="892"/>
      <c r="M99" s="892"/>
      <c r="N99" s="892"/>
      <c r="O99" s="892"/>
      <c r="P99" s="892"/>
      <c r="Q99" s="892"/>
      <c r="R99" s="892"/>
      <c r="S99" s="892"/>
      <c r="T99" s="468" cm="1" t="str">
        <f t="array" ref="T99:T99">T98</f>
        <v>false</v>
      </c>
      <c r="U99" s="892"/>
      <c r="V99" s="892"/>
      <c r="W99" s="892"/>
      <c r="X99" s="1469"/>
      <c r="Y99" s="1469"/>
      <c r="Z99" s="1592"/>
      <c r="AA99" s="1593"/>
      <c r="AB99" s="84" t="str">
        <f>AB98&amp;".1"</f>
        <v>1.0.1</v>
      </c>
      <c r="AC99" s="3211" t="s">
        <v>1251</v>
      </c>
      <c r="AD99" s="207" t="s">
        <v>936</v>
      </c>
      <c r="AE99" s="3212"/>
      <c r="AF99" s="3212"/>
      <c r="AG99" s="3212"/>
      <c r="AH99" s="3212"/>
      <c r="AI99" s="3212"/>
      <c r="AJ99" s="3212"/>
      <c r="AK99" s="3212"/>
      <c r="AL99" s="3212"/>
      <c r="AM99" s="3212"/>
      <c r="AN99" s="3212"/>
      <c r="AO99" s="3212"/>
      <c r="AP99" s="3212"/>
      <c r="AQ99" s="3212"/>
      <c r="AR99" s="3212"/>
      <c r="AS99" s="3212"/>
      <c r="AT99" s="3212"/>
      <c r="AU99" s="3212"/>
      <c r="AV99" s="3212"/>
      <c r="AW99" s="3212"/>
      <c r="AX99" s="3212"/>
      <c r="AY99" s="3212"/>
      <c r="AZ99" s="3212"/>
      <c r="BA99" s="3212"/>
      <c r="BB99" s="3212"/>
      <c r="BC99" s="1928"/>
      <c r="BD99" s="892"/>
      <c r="BE99" s="892"/>
      <c r="BF99" s="1049" t="s">
        <v>1252</v>
      </c>
      <c r="BG99" s="1049" t="s">
        <v>1253</v>
      </c>
      <c r="BH99" s="1049" cm="1" t="str">
        <f t="array" ref="BH99:BH99">AC98</f>
        <v/>
      </c>
      <c r="BI99" s="684"/>
      <c r="BJ99" s="684" t="b">
        <v>1</v>
      </c>
    </row>
    <row s="1656" customFormat="1" customHeight="1" ht="0" hidden="1">
      <c r="A100" s="892"/>
      <c r="B100" s="442"/>
      <c r="C100" s="892"/>
      <c r="D100" s="892"/>
      <c r="E100" s="684">
        <v>15</v>
      </c>
      <c r="F100" s="50" cm="1" t="str">
        <f t="array" ref="F100:F100">OFFSET(E100,-1,1)</f>
        <v>1</v>
      </c>
      <c r="G100" s="148" t="s">
        <v>566</v>
      </c>
      <c r="H100" s="151" cm="1" t="str">
        <f t="array" ref="H100:H100">H99</f>
        <v>Затраты</v>
      </c>
      <c r="I100" s="148" t="s">
        <v>1250</v>
      </c>
      <c r="J100" s="892"/>
      <c r="K100" s="918"/>
      <c r="L100" s="892"/>
      <c r="M100" s="892"/>
      <c r="N100" s="892"/>
      <c r="O100" s="892"/>
      <c r="P100" s="892"/>
      <c r="Q100" s="892"/>
      <c r="R100" s="892"/>
      <c r="S100" s="892"/>
      <c r="T100" s="468" cm="1" t="str">
        <f t="array" ref="T100:T100">T99</f>
        <v>false</v>
      </c>
      <c r="U100" s="892"/>
      <c r="V100" s="892"/>
      <c r="W100" s="892"/>
      <c r="X100" s="1469"/>
      <c r="Y100" s="1469"/>
      <c r="Z100" s="1592"/>
      <c r="AA100" s="1593"/>
      <c r="AB100" s="84" t="str">
        <f>AB99&amp;".1"</f>
        <v>1.0.1.1</v>
      </c>
      <c r="AC100" s="217" t="s">
        <v>1254</v>
      </c>
      <c r="AD100" s="84" t="s">
        <v>657</v>
      </c>
      <c r="AE100" s="3109"/>
      <c r="AF100" s="3109"/>
      <c r="AG100" s="3109"/>
      <c r="AH100" s="3109"/>
      <c r="AI100" s="3109"/>
      <c r="AJ100" s="3109"/>
      <c r="AK100" s="3109"/>
      <c r="AL100" s="3109"/>
      <c r="AM100" s="3109"/>
      <c r="AN100" s="3109"/>
      <c r="AO100" s="3109"/>
      <c r="AP100" s="3109"/>
      <c r="AQ100" s="3109"/>
      <c r="AR100" s="3109"/>
      <c r="AS100" s="3109"/>
      <c r="AT100" s="3109"/>
      <c r="AU100" s="3109"/>
      <c r="AV100" s="3109"/>
      <c r="AW100" s="3109"/>
      <c r="AX100" s="3109"/>
      <c r="AY100" s="3109"/>
      <c r="AZ100" s="3109"/>
      <c r="BA100" s="3109"/>
      <c r="BB100" s="3109"/>
      <c r="BC100" s="1928"/>
      <c r="BD100" s="892"/>
      <c r="BE100" s="892"/>
      <c r="BF100" s="1049" t="s">
        <v>1255</v>
      </c>
      <c r="BG100" s="1049" t="s">
        <v>1253</v>
      </c>
      <c r="BH100" s="1049" cm="1" t="str">
        <f t="array" ref="BH100:BH100">BH99</f>
        <v/>
      </c>
      <c r="BI100" s="684"/>
      <c r="BJ100" s="684"/>
    </row>
    <row customHeight="1" ht="14.625" hidden="1">
      <c r="A101" s="892"/>
      <c r="B101" s="442"/>
      <c r="C101" s="892"/>
      <c r="D101" s="892"/>
      <c r="E101" s="684">
        <v>15</v>
      </c>
      <c r="F101" s="1326" cm="1" t="str">
        <f t="array" ref="F101:F101">OFFSET(E101,-1,1)</f>
        <v>1</v>
      </c>
      <c r="G101" s="892"/>
      <c r="H101" s="151"/>
      <c r="I101" s="892"/>
      <c r="J101" s="892"/>
      <c r="K101" s="918"/>
      <c r="L101" s="892"/>
      <c r="M101" s="892"/>
      <c r="N101" s="892"/>
      <c r="O101" s="892"/>
      <c r="P101" s="892"/>
      <c r="Q101" s="892"/>
      <c r="R101" s="892"/>
      <c r="S101" s="892"/>
      <c r="T101" s="1436" cm="1" t="str">
        <f t="array" ref="T101:T101">T100</f>
        <v>false</v>
      </c>
      <c r="U101" s="892"/>
      <c r="V101" s="892"/>
      <c r="W101" s="892"/>
      <c r="X101" s="690"/>
      <c r="Y101" s="1469"/>
      <c r="Z101" s="892"/>
      <c r="AA101" s="3203"/>
      <c r="AB101" s="3214" t="str">
        <f>AB99&amp;".2"</f>
        <v>1.0.1.2</v>
      </c>
      <c r="AC101" s="3215" t="s">
        <v>1256</v>
      </c>
      <c r="AD101" s="3214" t="s">
        <v>1257</v>
      </c>
      <c r="AE101" s="3216"/>
      <c r="AF101" s="3216"/>
      <c r="AG101" s="3216"/>
      <c r="AH101" s="3216"/>
      <c r="AI101" s="3216"/>
      <c r="AJ101" s="3216"/>
      <c r="AK101" s="3216"/>
      <c r="AL101" s="3216"/>
      <c r="AM101" s="3216"/>
      <c r="AN101" s="3216"/>
      <c r="AO101" s="3216"/>
      <c r="AP101" s="3216"/>
      <c r="AQ101" s="3216"/>
      <c r="AR101" s="3216"/>
      <c r="AS101" s="3216"/>
      <c r="AT101" s="3216"/>
      <c r="AU101" s="3216"/>
      <c r="AV101" s="3216"/>
      <c r="AW101" s="3216"/>
      <c r="AX101" s="3216"/>
      <c r="AY101" s="3216"/>
      <c r="AZ101" s="3216"/>
      <c r="BA101" s="3216"/>
      <c r="BB101" s="3216"/>
      <c r="BC101" s="3217"/>
      <c r="BD101" s="892"/>
      <c r="BE101" s="892"/>
      <c r="BF101" s="1049" t="s">
        <v>1258</v>
      </c>
      <c r="BG101" s="1049" t="s">
        <v>1253</v>
      </c>
      <c r="BH101" s="3218" cm="1" t="str">
        <f t="array" ref="BH101:BH101">BH100</f>
        <v/>
      </c>
      <c r="BI101" s="684"/>
      <c r="BJ101" s="684"/>
    </row>
    <row s="1656" customFormat="1" customHeight="1" ht="0">
      <c r="A102" s="892"/>
      <c r="B102" s="442"/>
      <c r="C102" s="892"/>
      <c r="D102" s="892"/>
      <c r="E102" s="684">
        <v>15</v>
      </c>
      <c r="F102" s="50" cm="1" t="str">
        <f t="array" ref="F102:F102">OFFSET(E102,-1,1)</f>
        <v>1</v>
      </c>
      <c r="G102" s="892"/>
      <c r="H102" s="148" t="str">
        <f>"!=='не определено' &amp;&amp; row.l1 !== null"</f>
        <v>!=='не определено' &amp;&amp; row.l1 !== null</v>
      </c>
      <c r="I102" s="892"/>
      <c r="J102" s="892"/>
      <c r="K102" s="918"/>
      <c r="L102" s="892"/>
      <c r="M102" s="892"/>
      <c r="N102" s="892"/>
      <c r="O102" s="892"/>
      <c r="P102" s="892"/>
      <c r="Q102" s="892"/>
      <c r="R102" s="892"/>
      <c r="S102" s="892"/>
      <c r="T102" s="468">
        <f>F102&gt;0</f>
        <v>1</v>
      </c>
      <c r="U102" s="892"/>
      <c r="V102" s="892"/>
      <c r="W102" s="691" t="s">
        <v>1259</v>
      </c>
      <c r="X102" s="1469"/>
      <c r="Y102" s="892"/>
      <c r="Z102" s="1592"/>
      <c r="AA102" s="892"/>
      <c r="AB102" s="687"/>
      <c r="AC102" s="228" t="s">
        <v>1260</v>
      </c>
      <c r="AD102" s="228"/>
      <c r="AE102" s="228"/>
      <c r="AF102" s="228"/>
      <c r="AG102" s="228"/>
      <c r="AH102" s="228"/>
      <c r="AI102" s="228"/>
      <c r="AJ102" s="228"/>
      <c r="AK102" s="228"/>
      <c r="AL102" s="228"/>
      <c r="AM102" s="228"/>
      <c r="AN102" s="228"/>
      <c r="AO102" s="228"/>
      <c r="AP102" s="228"/>
      <c r="AQ102" s="228"/>
      <c r="AR102" s="228"/>
      <c r="AS102" s="228"/>
      <c r="AT102" s="228"/>
      <c r="AU102" s="228"/>
      <c r="AV102" s="228"/>
      <c r="AW102" s="228"/>
      <c r="AX102" s="228"/>
      <c r="AY102" s="228"/>
      <c r="AZ102" s="228"/>
      <c r="BA102" s="228"/>
      <c r="BB102" s="228"/>
      <c r="BC102" s="229"/>
      <c r="BD102" s="892"/>
      <c r="BE102" s="892"/>
      <c r="BF102" s="1049"/>
      <c r="BG102" s="1049"/>
      <c r="BH102" s="1049"/>
      <c r="BI102" s="684" t="s">
        <v>1253</v>
      </c>
      <c r="BJ102" s="684"/>
    </row>
    <row s="1656" customFormat="1" customHeight="1" ht="0">
      <c r="A103" s="892"/>
      <c r="B103" s="442"/>
      <c r="C103" s="892"/>
      <c r="D103" s="892"/>
      <c r="E103" s="684">
        <v>22.5</v>
      </c>
      <c r="F103" s="50" cm="1" t="str">
        <f t="array" ref="F103:F103">OFFSET(E103,-1,1)</f>
        <v>1</v>
      </c>
      <c r="G103" s="892"/>
      <c r="H103" s="892"/>
      <c r="I103" s="892"/>
      <c r="J103" s="892"/>
      <c r="K103" s="918" t="str">
        <f>F96&amp;"2komm"</f>
        <v>12komm</v>
      </c>
      <c r="L103" s="922" cm="1" t="str">
        <f t="array" ref="L103:L103">BC103</f>
        <v>0</v>
      </c>
      <c r="M103" s="892"/>
      <c r="N103" s="892"/>
      <c r="O103" s="892"/>
      <c r="P103" s="892"/>
      <c r="Q103" s="892"/>
      <c r="R103" s="892"/>
      <c r="S103" s="892"/>
      <c r="T103" s="468" cm="1" t="str">
        <f t="array" ref="T103:T103">T102</f>
        <v>true</v>
      </c>
      <c r="U103" s="892"/>
      <c r="V103" s="892"/>
      <c r="W103" s="892"/>
      <c r="X103" s="1469"/>
      <c r="Y103" s="690"/>
      <c r="Z103" s="1592"/>
      <c r="AA103" s="892"/>
      <c r="AB103" s="207">
        <v>2</v>
      </c>
      <c r="AC103" s="208" t="s">
        <v>1261</v>
      </c>
      <c r="AD103" s="207" t="s">
        <v>936</v>
      </c>
      <c r="AE103" s="209">
        <f>SUMIF(AD106:AD109,AD103,AE106:AE109)</f>
        <v>0</v>
      </c>
      <c r="AF103" s="209">
        <f>SUMIF(AD106:AD109,AD103,AF106:AF109)</f>
        <v>0</v>
      </c>
      <c r="AG103" s="209">
        <f>SUMIF(AD106:AD109,AD103,AG106:AG109)</f>
        <v>0</v>
      </c>
      <c r="AH103" s="209">
        <f>SUMIF(AD106:AD109,AD103,AH106:AH109)</f>
        <v>0</v>
      </c>
      <c r="AI103" s="209">
        <f>SUMIF(AD106:AD109,AD103,AI106:AI109)</f>
        <v>0</v>
      </c>
      <c r="AJ103" s="3200">
        <f>SUMIF(AD106:AD109,AD103,AJ106:AJ109)</f>
        <v>0</v>
      </c>
      <c r="AK103" s="3200">
        <f>SUMIF(AD106:AD109,AD103,AK106:AK109)</f>
        <v>0</v>
      </c>
      <c r="AL103" s="3200">
        <f>SUMIF(AD106:AD109,AD103,AL106:AL109)</f>
        <v>0</v>
      </c>
      <c r="AM103" s="3200">
        <f>SUMIF(AD106:AD109,AD103,AM106:AM109)</f>
        <v>0</v>
      </c>
      <c r="AN103" s="3200">
        <f>SUMIF(AD106:AD109,AD103,AN106:AN109)</f>
        <v>0</v>
      </c>
      <c r="AO103" s="3200">
        <f>SUMIF(AD106:AD109,AD103,AO106:AO109)</f>
        <v>0</v>
      </c>
      <c r="AP103" s="3200">
        <f>SUMIF(AD106:AD109,AD103,AP106:AP109)</f>
        <v>0</v>
      </c>
      <c r="AQ103" s="3200">
        <f>SUMIF(AD106:AD109,AD103,AQ106:AQ109)</f>
        <v>0</v>
      </c>
      <c r="AR103" s="3200">
        <f>SUMIF(AD106:AD109,AD103,AR106:AR109)</f>
        <v>0</v>
      </c>
      <c r="AS103" s="209">
        <f>SUMIF(AD106:AD109,AD103,AS106:AS109)</f>
        <v>0</v>
      </c>
      <c r="AT103" s="3200">
        <f>SUMIF(AD106:AD109,AD103,AT106:AT109)</f>
        <v>0</v>
      </c>
      <c r="AU103" s="3200">
        <f>SUMIF(AD106:AD109,AD103,AU106:AU109)</f>
        <v>0</v>
      </c>
      <c r="AV103" s="3200">
        <f>SUMIF(AD106:AD109,AD103,AV106:AV109)</f>
        <v>0</v>
      </c>
      <c r="AW103" s="3200">
        <f>SUMIF(AD106:AD109,AD103,AW106:AW109)</f>
        <v>0</v>
      </c>
      <c r="AX103" s="3200">
        <f>SUMIF(AD106:AD109,AD103,AX106:AX109)</f>
        <v>0</v>
      </c>
      <c r="AY103" s="3200">
        <f>SUMIF(AD106:AD109,AD103,AY106:AY109)</f>
        <v>0</v>
      </c>
      <c r="AZ103" s="3200">
        <f>SUMIF(AD106:AD109,AD103,AZ106:AZ109)</f>
        <v>0</v>
      </c>
      <c r="BA103" s="3200">
        <f>SUMIF(AD106:AD109,AD103,BA106:BA109)</f>
        <v>0</v>
      </c>
      <c r="BB103" s="3200">
        <f>SUMIF(AD106:AD109,AD103,BB106:BB109)</f>
        <v>0</v>
      </c>
      <c r="BC103" s="196"/>
      <c r="BD103" s="892"/>
      <c r="BE103" s="892"/>
      <c r="BF103" s="1049" t="s">
        <v>1262</v>
      </c>
      <c r="BG103" s="1049"/>
      <c r="BH103" s="1049"/>
      <c r="BI103" s="684"/>
      <c r="BJ103" s="684"/>
    </row>
    <row s="1656" customFormat="1" customHeight="1" ht="0" hidden="1">
      <c r="A104" s="892"/>
      <c r="B104" s="442"/>
      <c r="C104" s="892"/>
      <c r="D104" s="892"/>
      <c r="E104" s="684">
        <v>0</v>
      </c>
      <c r="F104" s="50" cm="1" t="str">
        <f t="array" ref="F104:F104">OFFSET(E104,-1,1)</f>
        <v>1</v>
      </c>
      <c r="G104" s="148" t="s">
        <v>345</v>
      </c>
      <c r="H104" s="892"/>
      <c r="I104" s="892"/>
      <c r="J104" s="892"/>
      <c r="K104" s="918"/>
      <c r="L104" s="922"/>
      <c r="M104" s="892"/>
      <c r="N104" s="892"/>
      <c r="O104" s="892"/>
      <c r="P104" s="892"/>
      <c r="Q104" s="892"/>
      <c r="R104" s="892"/>
      <c r="S104" s="892"/>
      <c r="T104" s="468" t="b">
        <v>0</v>
      </c>
      <c r="U104" s="892"/>
      <c r="V104" s="892"/>
      <c r="W104" s="148" t="s">
        <v>173</v>
      </c>
      <c r="X104" s="1469"/>
      <c r="Y104" s="1469">
        <v>0</v>
      </c>
      <c r="Z104" s="1592"/>
      <c r="AA104" s="1594" t="s">
        <v>174</v>
      </c>
      <c r="AB104" s="207"/>
      <c r="AC104" s="208"/>
      <c r="AD104" s="207"/>
      <c r="AE104" s="1448">
        <f>OR(AND(AE106&lt;&gt;"",AE107=""),AND(AE106="",AE107&lt;&gt;""))</f>
        <v>0</v>
      </c>
      <c r="AF104" s="1448">
        <f>OR(AND(AF106&lt;&gt;"",AF107=""),AND(AF106="",AF107&lt;&gt;""))</f>
        <v>0</v>
      </c>
      <c r="AG104" s="1448">
        <f>OR(AND(AG106&lt;&gt;"",AG107=""),AND(AG106="",AG107&lt;&gt;""))</f>
        <v>0</v>
      </c>
      <c r="AH104" s="1448">
        <f>OR(AND(AH106&lt;&gt;"",AH107=""),AND(AH106="",AH107&lt;&gt;""))</f>
        <v>0</v>
      </c>
      <c r="AI104" s="1448">
        <f>OR(AND(AI106&lt;&gt;"",AI107=""),AND(AI106="",AI107&lt;&gt;""))</f>
        <v>0</v>
      </c>
      <c r="AJ104" s="1448">
        <f>OR(AND(AJ106&lt;&gt;"",AJ107=""),AND(AJ106="",AJ107&lt;&gt;""))</f>
        <v>0</v>
      </c>
      <c r="AK104" s="1448">
        <f>OR(AND(AK106&lt;&gt;"",AK107=""),AND(AK106="",AK107&lt;&gt;""))</f>
        <v>0</v>
      </c>
      <c r="AL104" s="1448">
        <f>OR(AND(AL106&lt;&gt;"",AL107=""),AND(AL106="",AL107&lt;&gt;""))</f>
        <v>0</v>
      </c>
      <c r="AM104" s="1448">
        <f>OR(AND(AM106&lt;&gt;"",AM107=""),AND(AM106="",AM107&lt;&gt;""))</f>
        <v>0</v>
      </c>
      <c r="AN104" s="1448">
        <f>OR(AND(AN106&lt;&gt;"",AN107=""),AND(AN106="",AN107&lt;&gt;""))</f>
        <v>0</v>
      </c>
      <c r="AO104" s="1448">
        <f>OR(AND(AO106&lt;&gt;"",AO107=""),AND(AO106="",AO107&lt;&gt;""))</f>
        <v>0</v>
      </c>
      <c r="AP104" s="1448">
        <f>OR(AND(AP106&lt;&gt;"",AP107=""),AND(AP106="",AP107&lt;&gt;""))</f>
        <v>0</v>
      </c>
      <c r="AQ104" s="1448">
        <f>OR(AND(AQ106&lt;&gt;"",AQ107=""),AND(AQ106="",AQ107&lt;&gt;""))</f>
        <v>0</v>
      </c>
      <c r="AR104" s="1448">
        <f>OR(AND(AR106&lt;&gt;"",AR107=""),AND(AR106="",AR107&lt;&gt;""))</f>
        <v>0</v>
      </c>
      <c r="AS104" s="1448">
        <f>OR(AND(AS106&lt;&gt;"",AS107=""),AND(AS106="",AS107&lt;&gt;""))</f>
        <v>0</v>
      </c>
      <c r="AT104" s="1448">
        <f>OR(AND(AT106&lt;&gt;"",AT107=""),AND(AT106="",AT107&lt;&gt;""))</f>
        <v>0</v>
      </c>
      <c r="AU104" s="1448">
        <f>OR(AND(AU106&lt;&gt;"",AU107=""),AND(AU106="",AU107&lt;&gt;""))</f>
        <v>0</v>
      </c>
      <c r="AV104" s="1448">
        <f>OR(AND(AV106&lt;&gt;"",AV107=""),AND(AV106="",AV107&lt;&gt;""))</f>
        <v>0</v>
      </c>
      <c r="AW104" s="1448">
        <f>OR(AND(AW106&lt;&gt;"",AW107=""),AND(AW106="",AW107&lt;&gt;""))</f>
        <v>0</v>
      </c>
      <c r="AX104" s="1448">
        <f>OR(AND(AX106&lt;&gt;"",AX107=""),AND(AX106="",AX107&lt;&gt;""))</f>
        <v>0</v>
      </c>
      <c r="AY104" s="1448">
        <f>OR(AND(AY106&lt;&gt;"",AY107=""),AND(AY106="",AY107&lt;&gt;""))</f>
        <v>0</v>
      </c>
      <c r="AZ104" s="1448">
        <f>OR(AND(AZ106&lt;&gt;"",AZ107=""),AND(AZ106="",AZ107&lt;&gt;""))</f>
        <v>0</v>
      </c>
      <c r="BA104" s="1448">
        <f>OR(AND(BA106&lt;&gt;"",BA107=""),AND(BA106="",BA107&lt;&gt;""))</f>
        <v>0</v>
      </c>
      <c r="BB104" s="1448">
        <f>OR(AND(BB106&lt;&gt;"",BB107=""),AND(BB106="",BB107&lt;&gt;""))</f>
        <v>0</v>
      </c>
      <c r="BC104" s="982"/>
      <c r="BD104" s="892"/>
      <c r="BE104" s="892"/>
      <c r="BF104" s="1049"/>
      <c r="BG104" s="1049"/>
      <c r="BH104" s="1049"/>
      <c r="BI104" s="684"/>
      <c r="BJ104" s="684"/>
    </row>
    <row customHeight="1" ht="14.625" hidden="1">
      <c r="A105" s="892"/>
      <c r="B105" s="442"/>
      <c r="C105" s="892"/>
      <c r="D105" s="892"/>
      <c r="E105" s="684">
        <v>15</v>
      </c>
      <c r="F105" s="1326" cm="1" t="str">
        <f t="array" ref="F105:F105">OFFSET(E105,-1,1)</f>
        <v>1</v>
      </c>
      <c r="G105" s="892"/>
      <c r="H105" s="892"/>
      <c r="I105" s="892"/>
      <c r="J105" s="892"/>
      <c r="K105" s="918"/>
      <c r="L105" s="922"/>
      <c r="M105" s="892"/>
      <c r="N105" s="892"/>
      <c r="O105" s="892"/>
      <c r="P105" s="892"/>
      <c r="Q105" s="892"/>
      <c r="R105" s="892"/>
      <c r="S105" s="892"/>
      <c r="T105" s="1436">
        <f>AND(Y104&gt;0,F105&gt;0)</f>
        <v>0</v>
      </c>
      <c r="U105" s="892"/>
      <c r="V105" s="892"/>
      <c r="W105" s="892"/>
      <c r="X105" s="690"/>
      <c r="Y105" s="1469"/>
      <c r="Z105" s="892"/>
      <c r="AA105" s="3203"/>
      <c r="AB105" s="3204" t="str">
        <f>"2."&amp;Y104</f>
        <v>2.0</v>
      </c>
      <c r="AC105" s="3205" t="s">
        <v>240</v>
      </c>
      <c r="AD105" s="3206"/>
      <c r="AE105" s="3207"/>
      <c r="AF105" s="3208"/>
      <c r="AG105" s="3207"/>
      <c r="AH105" s="3207"/>
      <c r="AI105" s="3207"/>
      <c r="AJ105" s="3207"/>
      <c r="AK105" s="3207"/>
      <c r="AL105" s="3207"/>
      <c r="AM105" s="3207"/>
      <c r="AN105" s="3207"/>
      <c r="AO105" s="3207"/>
      <c r="AP105" s="3207"/>
      <c r="AQ105" s="3207"/>
      <c r="AR105" s="3207"/>
      <c r="AS105" s="3208"/>
      <c r="AT105" s="3208"/>
      <c r="AU105" s="3208"/>
      <c r="AV105" s="3208"/>
      <c r="AW105" s="3208"/>
      <c r="AX105" s="3208"/>
      <c r="AY105" s="3208"/>
      <c r="AZ105" s="3208"/>
      <c r="BA105" s="3208"/>
      <c r="BB105" s="3209"/>
      <c r="BC105" s="3210"/>
      <c r="BD105" s="892"/>
      <c r="BE105" s="892"/>
      <c r="BF105" s="1049"/>
      <c r="BG105" s="1049"/>
      <c r="BH105" s="1049"/>
      <c r="BI105" s="684"/>
      <c r="BJ105" s="684"/>
    </row>
    <row s="1656" customFormat="1" customHeight="1" ht="14.25" hidden="1">
      <c r="A106" s="892"/>
      <c r="B106" s="442"/>
      <c r="C106" s="892"/>
      <c r="D106" s="892"/>
      <c r="E106" s="684">
        <v>15</v>
      </c>
      <c r="F106" s="50" cm="1" t="str">
        <f t="array" ref="F106:F106">OFFSET(E106,-1,1)</f>
        <v>1</v>
      </c>
      <c r="G106" s="148" t="s">
        <v>345</v>
      </c>
      <c r="H106" s="151" cm="1" t="str">
        <f t="array" ref="H106:H106">AC106</f>
        <v>Затраты</v>
      </c>
      <c r="I106" s="148" t="s">
        <v>1263</v>
      </c>
      <c r="J106" s="892"/>
      <c r="K106" s="918"/>
      <c r="L106" s="892"/>
      <c r="M106" s="892"/>
      <c r="N106" s="892"/>
      <c r="O106" s="892"/>
      <c r="P106" s="892"/>
      <c r="Q106" s="892"/>
      <c r="R106" s="892"/>
      <c r="S106" s="892"/>
      <c r="T106" s="468" cm="1" t="str">
        <f t="array" ref="T106:T106">T105</f>
        <v>false</v>
      </c>
      <c r="U106" s="892"/>
      <c r="V106" s="892"/>
      <c r="W106" s="892"/>
      <c r="X106" s="1469"/>
      <c r="Y106" s="1469"/>
      <c r="Z106" s="1592"/>
      <c r="AA106" s="1594"/>
      <c r="AB106" s="84" t="str">
        <f>AB105&amp;".1"</f>
        <v>2.0.1</v>
      </c>
      <c r="AC106" s="3211" t="s">
        <v>1251</v>
      </c>
      <c r="AD106" s="207" t="s">
        <v>936</v>
      </c>
      <c r="AE106" s="3109"/>
      <c r="AF106" s="3109"/>
      <c r="AG106" s="3109"/>
      <c r="AH106" s="3109"/>
      <c r="AI106" s="3109"/>
      <c r="AJ106" s="3109"/>
      <c r="AK106" s="3109"/>
      <c r="AL106" s="3109"/>
      <c r="AM106" s="3109"/>
      <c r="AN106" s="3109"/>
      <c r="AO106" s="3109"/>
      <c r="AP106" s="3109"/>
      <c r="AQ106" s="3109"/>
      <c r="AR106" s="3109"/>
      <c r="AS106" s="3109"/>
      <c r="AT106" s="3109"/>
      <c r="AU106" s="3109"/>
      <c r="AV106" s="3109"/>
      <c r="AW106" s="3109"/>
      <c r="AX106" s="3109"/>
      <c r="AY106" s="3109"/>
      <c r="AZ106" s="3109"/>
      <c r="BA106" s="3109"/>
      <c r="BB106" s="3109"/>
      <c r="BC106" s="1928"/>
      <c r="BD106" s="892"/>
      <c r="BE106" s="892"/>
      <c r="BF106" s="1049" t="s">
        <v>1252</v>
      </c>
      <c r="BG106" s="1049" t="s">
        <v>1264</v>
      </c>
      <c r="BH106" s="1049" cm="1" t="str">
        <f t="array" ref="BH106:BH106">AC105</f>
        <v/>
      </c>
      <c r="BI106" s="684"/>
      <c r="BJ106" s="684" t="b">
        <v>1</v>
      </c>
    </row>
    <row s="1656" customFormat="1" customHeight="1" ht="0" hidden="1">
      <c r="A107" s="892"/>
      <c r="B107" s="442"/>
      <c r="C107" s="892"/>
      <c r="D107" s="892"/>
      <c r="E107" s="684">
        <v>15</v>
      </c>
      <c r="F107" s="50" cm="1" t="str">
        <f t="array" ref="F107:F107">OFFSET(E107,-1,1)</f>
        <v>1</v>
      </c>
      <c r="G107" s="148" t="s">
        <v>584</v>
      </c>
      <c r="H107" s="151" cm="1" t="str">
        <f t="array" ref="H107:H107">H106</f>
        <v>Затраты</v>
      </c>
      <c r="I107" s="148" t="s">
        <v>1263</v>
      </c>
      <c r="J107" s="892"/>
      <c r="K107" s="918"/>
      <c r="L107" s="892"/>
      <c r="M107" s="892"/>
      <c r="N107" s="892"/>
      <c r="O107" s="892"/>
      <c r="P107" s="892"/>
      <c r="Q107" s="892"/>
      <c r="R107" s="892"/>
      <c r="S107" s="892"/>
      <c r="T107" s="468" cm="1" t="str">
        <f t="array" ref="T107:T107">T106</f>
        <v>false</v>
      </c>
      <c r="U107" s="892"/>
      <c r="V107" s="892"/>
      <c r="W107" s="892"/>
      <c r="X107" s="1469"/>
      <c r="Y107" s="1469"/>
      <c r="Z107" s="1592"/>
      <c r="AA107" s="1594"/>
      <c r="AB107" s="84" t="str">
        <f>AB106&amp;".1"</f>
        <v>2.0.1.1</v>
      </c>
      <c r="AC107" s="217" t="s">
        <v>1265</v>
      </c>
      <c r="AD107" s="84" t="s">
        <v>657</v>
      </c>
      <c r="AE107" s="3109"/>
      <c r="AF107" s="3109"/>
      <c r="AG107" s="3109"/>
      <c r="AH107" s="3109"/>
      <c r="AI107" s="3109"/>
      <c r="AJ107" s="3109"/>
      <c r="AK107" s="3109"/>
      <c r="AL107" s="3109"/>
      <c r="AM107" s="3109"/>
      <c r="AN107" s="3109"/>
      <c r="AO107" s="3109"/>
      <c r="AP107" s="3109"/>
      <c r="AQ107" s="3109"/>
      <c r="AR107" s="3109"/>
      <c r="AS107" s="3109"/>
      <c r="AT107" s="3109"/>
      <c r="AU107" s="3109"/>
      <c r="AV107" s="3109"/>
      <c r="AW107" s="3109"/>
      <c r="AX107" s="3109"/>
      <c r="AY107" s="3109"/>
      <c r="AZ107" s="3109"/>
      <c r="BA107" s="3109"/>
      <c r="BB107" s="3109"/>
      <c r="BC107" s="1928"/>
      <c r="BD107" s="892"/>
      <c r="BE107" s="892"/>
      <c r="BF107" s="1049" t="s">
        <v>1255</v>
      </c>
      <c r="BG107" s="1049" t="s">
        <v>1264</v>
      </c>
      <c r="BH107" s="1049" cm="1" t="str">
        <f t="array" ref="BH107:BH107">BH106</f>
        <v/>
      </c>
      <c r="BI107" s="684"/>
      <c r="BJ107" s="684"/>
    </row>
    <row customHeight="1" ht="14.625" hidden="1">
      <c r="A108" s="892"/>
      <c r="B108" s="442"/>
      <c r="C108" s="892"/>
      <c r="D108" s="892"/>
      <c r="E108" s="684">
        <v>15</v>
      </c>
      <c r="F108" s="1326" cm="1" t="str">
        <f t="array" ref="F108:F108">OFFSET(E108,-1,1)</f>
        <v>1</v>
      </c>
      <c r="G108" s="892"/>
      <c r="H108" s="151"/>
      <c r="I108" s="892"/>
      <c r="J108" s="892"/>
      <c r="K108" s="918"/>
      <c r="L108" s="892"/>
      <c r="M108" s="892"/>
      <c r="N108" s="892"/>
      <c r="O108" s="892"/>
      <c r="P108" s="892"/>
      <c r="Q108" s="892"/>
      <c r="R108" s="892"/>
      <c r="S108" s="892"/>
      <c r="T108" s="1436" cm="1" t="str">
        <f t="array" ref="T108:T108">T107</f>
        <v>false</v>
      </c>
      <c r="U108" s="892"/>
      <c r="V108" s="892"/>
      <c r="W108" s="892"/>
      <c r="X108" s="690"/>
      <c r="Y108" s="1469"/>
      <c r="Z108" s="892"/>
      <c r="AA108" s="3203"/>
      <c r="AB108" s="3214" t="str">
        <f>AB106&amp;".2"</f>
        <v>2.0.1.2</v>
      </c>
      <c r="AC108" s="3215" t="s">
        <v>1266</v>
      </c>
      <c r="AD108" s="3214" t="s">
        <v>1257</v>
      </c>
      <c r="AE108" s="3216"/>
      <c r="AF108" s="3216"/>
      <c r="AG108" s="3216"/>
      <c r="AH108" s="3216"/>
      <c r="AI108" s="3216"/>
      <c r="AJ108" s="3216"/>
      <c r="AK108" s="3216"/>
      <c r="AL108" s="3216"/>
      <c r="AM108" s="3216"/>
      <c r="AN108" s="3216"/>
      <c r="AO108" s="3216"/>
      <c r="AP108" s="3216"/>
      <c r="AQ108" s="3216"/>
      <c r="AR108" s="3216"/>
      <c r="AS108" s="3216"/>
      <c r="AT108" s="3216"/>
      <c r="AU108" s="3216"/>
      <c r="AV108" s="3216"/>
      <c r="AW108" s="3216"/>
      <c r="AX108" s="3216"/>
      <c r="AY108" s="3216"/>
      <c r="AZ108" s="3216"/>
      <c r="BA108" s="3216"/>
      <c r="BB108" s="3216"/>
      <c r="BC108" s="3217"/>
      <c r="BD108" s="892"/>
      <c r="BE108" s="892"/>
      <c r="BF108" s="1049" t="s">
        <v>1258</v>
      </c>
      <c r="BG108" s="1049" t="s">
        <v>1264</v>
      </c>
      <c r="BH108" s="3218" cm="1" t="str">
        <f t="array" ref="BH108:BH108">BH107</f>
        <v/>
      </c>
      <c r="BI108" s="684"/>
      <c r="BJ108" s="684"/>
    </row>
    <row s="1656" customFormat="1" customHeight="1" ht="0">
      <c r="A109" s="892"/>
      <c r="B109" s="442"/>
      <c r="C109" s="892"/>
      <c r="D109" s="892"/>
      <c r="E109" s="684">
        <v>15</v>
      </c>
      <c r="F109" s="50" cm="1" t="str">
        <f t="array" ref="F109:F109">OFFSET(E109,-1,1)</f>
        <v>1</v>
      </c>
      <c r="G109" s="892"/>
      <c r="H109" s="148" t="str">
        <f>"!=='не определено' &amp;&amp; row.l2 !== null"</f>
        <v>!=='не определено' &amp;&amp; row.l2 !== null</v>
      </c>
      <c r="I109" s="892"/>
      <c r="J109" s="892"/>
      <c r="K109" s="918"/>
      <c r="L109" s="892"/>
      <c r="M109" s="892"/>
      <c r="N109" s="892"/>
      <c r="O109" s="892"/>
      <c r="P109" s="892"/>
      <c r="Q109" s="892"/>
      <c r="R109" s="892"/>
      <c r="S109" s="892"/>
      <c r="T109" s="468">
        <f>F109&gt;0</f>
        <v>1</v>
      </c>
      <c r="U109" s="892"/>
      <c r="V109" s="892"/>
      <c r="W109" s="691" t="s">
        <v>1259</v>
      </c>
      <c r="X109" s="1469"/>
      <c r="Y109" s="689"/>
      <c r="Z109" s="1592"/>
      <c r="AA109" s="892"/>
      <c r="AB109" s="687"/>
      <c r="AC109" s="228" t="s">
        <v>1260</v>
      </c>
      <c r="AD109" s="228"/>
      <c r="AE109" s="228"/>
      <c r="AF109" s="228"/>
      <c r="AG109" s="228"/>
      <c r="AH109" s="228"/>
      <c r="AI109" s="228"/>
      <c r="AJ109" s="228"/>
      <c r="AK109" s="228"/>
      <c r="AL109" s="228"/>
      <c r="AM109" s="228"/>
      <c r="AN109" s="228"/>
      <c r="AO109" s="228"/>
      <c r="AP109" s="228"/>
      <c r="AQ109" s="228"/>
      <c r="AR109" s="228"/>
      <c r="AS109" s="228"/>
      <c r="AT109" s="228"/>
      <c r="AU109" s="228"/>
      <c r="AV109" s="228"/>
      <c r="AW109" s="228"/>
      <c r="AX109" s="228"/>
      <c r="AY109" s="228"/>
      <c r="AZ109" s="228"/>
      <c r="BA109" s="228"/>
      <c r="BB109" s="228"/>
      <c r="BC109" s="229"/>
      <c r="BD109" s="892"/>
      <c r="BE109" s="892"/>
      <c r="BF109" s="1049"/>
      <c r="BG109" s="1049"/>
      <c r="BH109" s="1049"/>
      <c r="BI109" s="684" t="s">
        <v>1264</v>
      </c>
      <c r="BJ109" s="684"/>
    </row>
    <row s="1656" customFormat="1" customHeight="1" ht="0">
      <c r="A110" s="892"/>
      <c r="B110" s="442"/>
      <c r="C110" s="892"/>
      <c r="D110" s="892"/>
      <c r="E110" s="684">
        <v>23</v>
      </c>
      <c r="F110" s="50" cm="1" t="str">
        <f t="array" ref="F110:F110">OFFSET(E110,-1,1)</f>
        <v>1</v>
      </c>
      <c r="G110" s="892"/>
      <c r="H110" s="892"/>
      <c r="I110" s="892"/>
      <c r="J110" s="892"/>
      <c r="K110" s="918" t="str">
        <f>F96&amp;"3komm"</f>
        <v>13komm</v>
      </c>
      <c r="L110" s="922" cm="1" t="str">
        <f t="array" ref="L110:L110">BC110</f>
        <v>0</v>
      </c>
      <c r="M110" s="892"/>
      <c r="N110" s="892"/>
      <c r="O110" s="892"/>
      <c r="P110" s="892"/>
      <c r="Q110" s="892"/>
      <c r="R110" s="892"/>
      <c r="S110" s="892"/>
      <c r="T110" s="468" cm="1" t="str">
        <f t="array" ref="T110:T110">T109</f>
        <v>true</v>
      </c>
      <c r="U110" s="892"/>
      <c r="V110" s="892"/>
      <c r="W110" s="892"/>
      <c r="X110" s="1469"/>
      <c r="Y110" s="690"/>
      <c r="Z110" s="1592"/>
      <c r="AA110" s="892"/>
      <c r="AB110" s="207">
        <v>3</v>
      </c>
      <c r="AC110" s="208" t="s">
        <v>1267</v>
      </c>
      <c r="AD110" s="207" t="s">
        <v>936</v>
      </c>
      <c r="AE110" s="209">
        <f>SUMIF(AD113:AD116,AD110,AE113:AE116)</f>
        <v>0</v>
      </c>
      <c r="AF110" s="209">
        <f>SUMIF(AD113:AD116,AD110,AF113:AF116)</f>
        <v>0</v>
      </c>
      <c r="AG110" s="209">
        <f>SUMIF(AD113:AD116,AD110,AG113:AG116)</f>
        <v>0</v>
      </c>
      <c r="AH110" s="209">
        <f>SUMIF(AD113:AD116,AD110,AH113:AH116)</f>
        <v>0</v>
      </c>
      <c r="AI110" s="209">
        <f>SUMIF(AD113:AD116,AD110,AI113:AI116)</f>
        <v>0</v>
      </c>
      <c r="AJ110" s="3200">
        <f>SUMIF(AD113:AD116,AD110,AJ113:AJ116)</f>
        <v>0</v>
      </c>
      <c r="AK110" s="3200">
        <f>SUMIF(AD113:AD116,AD110,AK113:AK116)</f>
        <v>0</v>
      </c>
      <c r="AL110" s="3200">
        <f>SUMIF(AD113:AD116,AD110,AL113:AL116)</f>
        <v>0</v>
      </c>
      <c r="AM110" s="3200">
        <f>SUMIF(AD113:AD116,AD110,AM113:AM116)</f>
        <v>0</v>
      </c>
      <c r="AN110" s="3200">
        <f>SUMIF(AD113:AD116,AD110,AN113:AN116)</f>
        <v>0</v>
      </c>
      <c r="AO110" s="3200">
        <f>SUMIF(AD113:AD116,AD110,AO113:AO116)</f>
        <v>0</v>
      </c>
      <c r="AP110" s="3200">
        <f>SUMIF(AD113:AD116,AD110,AP113:AP116)</f>
        <v>0</v>
      </c>
      <c r="AQ110" s="3200">
        <f>SUMIF(AD113:AD116,AD110,AQ113:AQ116)</f>
        <v>0</v>
      </c>
      <c r="AR110" s="3200">
        <f>SUMIF(AD113:AD116,AD110,AR113:AR116)</f>
        <v>0</v>
      </c>
      <c r="AS110" s="209">
        <f>SUMIF(AD113:AD116,AD110,AS113:AS116)</f>
        <v>0</v>
      </c>
      <c r="AT110" s="3200">
        <f>SUMIF(AD113:AD116,AD110,AT113:AT116)</f>
        <v>0</v>
      </c>
      <c r="AU110" s="3200">
        <f>SUMIF(AD113:AD116,AD110,AU113:AU116)</f>
        <v>0</v>
      </c>
      <c r="AV110" s="3200">
        <f>SUMIF(AD113:AD116,AD110,AV113:AV116)</f>
        <v>0</v>
      </c>
      <c r="AW110" s="3200">
        <f>SUMIF(AD113:AD116,AD110,AW113:AW116)</f>
        <v>0</v>
      </c>
      <c r="AX110" s="3200">
        <f>SUMIF(AD113:AD116,AD110,AX113:AX116)</f>
        <v>0</v>
      </c>
      <c r="AY110" s="3200">
        <f>SUMIF(AD113:AD116,AD110,AY113:AY116)</f>
        <v>0</v>
      </c>
      <c r="AZ110" s="3200">
        <f>SUMIF(AD113:AD116,AD110,AZ113:AZ116)</f>
        <v>0</v>
      </c>
      <c r="BA110" s="3200">
        <f>SUMIF(AD113:AD116,AD110,BA113:BA116)</f>
        <v>0</v>
      </c>
      <c r="BB110" s="3200">
        <f>SUMIF(AD113:AD116,AD110,BB113:BB116)</f>
        <v>0</v>
      </c>
      <c r="BC110" s="196"/>
      <c r="BD110" s="892"/>
      <c r="BE110" s="892"/>
      <c r="BF110" s="1049" t="s">
        <v>1268</v>
      </c>
      <c r="BG110" s="1049"/>
      <c r="BH110" s="1049"/>
      <c r="BI110" s="684"/>
      <c r="BJ110" s="684"/>
    </row>
    <row s="1656" customFormat="1" customHeight="1" ht="0" hidden="1">
      <c r="A111" s="892"/>
      <c r="B111" s="442"/>
      <c r="C111" s="892"/>
      <c r="D111" s="892"/>
      <c r="E111" s="684">
        <v>0</v>
      </c>
      <c r="F111" s="50" cm="1" t="str">
        <f t="array" ref="F111:F111">OFFSET(E111,-1,1)</f>
        <v>1</v>
      </c>
      <c r="G111" s="148" t="s">
        <v>346</v>
      </c>
      <c r="H111" s="892"/>
      <c r="I111" s="892"/>
      <c r="J111" s="892"/>
      <c r="K111" s="918"/>
      <c r="L111" s="922"/>
      <c r="M111" s="892"/>
      <c r="N111" s="892"/>
      <c r="O111" s="892"/>
      <c r="P111" s="892"/>
      <c r="Q111" s="892"/>
      <c r="R111" s="892"/>
      <c r="S111" s="892"/>
      <c r="T111" s="468" t="b">
        <v>0</v>
      </c>
      <c r="U111" s="892"/>
      <c r="V111" s="892"/>
      <c r="W111" s="148" t="s">
        <v>173</v>
      </c>
      <c r="X111" s="1469"/>
      <c r="Y111" s="1469">
        <v>0</v>
      </c>
      <c r="Z111" s="1592"/>
      <c r="AA111" s="1594" t="s">
        <v>174</v>
      </c>
      <c r="AB111" s="207"/>
      <c r="AC111" s="208"/>
      <c r="AD111" s="207"/>
      <c r="AE111" s="1448">
        <f>OR(AND(AE113&lt;&gt;"",AE114=""),AND(AE113="",AE114&lt;&gt;""))</f>
        <v>0</v>
      </c>
      <c r="AF111" s="1448">
        <f>OR(AND(AF113&lt;&gt;"",AF114=""),AND(AF113="",AF114&lt;&gt;""))</f>
        <v>0</v>
      </c>
      <c r="AG111" s="1448">
        <f>OR(AND(AG113&lt;&gt;"",AG114=""),AND(AG113="",AG114&lt;&gt;""))</f>
        <v>0</v>
      </c>
      <c r="AH111" s="1448">
        <f>OR(AND(AH113&lt;&gt;"",AH114=""),AND(AH113="",AH114&lt;&gt;""))</f>
        <v>0</v>
      </c>
      <c r="AI111" s="1448">
        <f>OR(AND(AI113&lt;&gt;"",AI114=""),AND(AI113="",AI114&lt;&gt;""))</f>
        <v>0</v>
      </c>
      <c r="AJ111" s="1448">
        <f>OR(AND(AJ113&lt;&gt;"",AJ114=""),AND(AJ113="",AJ114&lt;&gt;""))</f>
        <v>0</v>
      </c>
      <c r="AK111" s="1448">
        <f>OR(AND(AK113&lt;&gt;"",AK114=""),AND(AK113="",AK114&lt;&gt;""))</f>
        <v>0</v>
      </c>
      <c r="AL111" s="1448">
        <f>OR(AND(AL113&lt;&gt;"",AL114=""),AND(AL113="",AL114&lt;&gt;""))</f>
        <v>0</v>
      </c>
      <c r="AM111" s="1448">
        <f>OR(AND(AM113&lt;&gt;"",AM114=""),AND(AM113="",AM114&lt;&gt;""))</f>
        <v>0</v>
      </c>
      <c r="AN111" s="1448">
        <f>OR(AND(AN113&lt;&gt;"",AN114=""),AND(AN113="",AN114&lt;&gt;""))</f>
        <v>0</v>
      </c>
      <c r="AO111" s="1448">
        <f>OR(AND(AO113&lt;&gt;"",AO114=""),AND(AO113="",AO114&lt;&gt;""))</f>
        <v>0</v>
      </c>
      <c r="AP111" s="1448">
        <f>OR(AND(AP113&lt;&gt;"",AP114=""),AND(AP113="",AP114&lt;&gt;""))</f>
        <v>0</v>
      </c>
      <c r="AQ111" s="1448">
        <f>OR(AND(AQ113&lt;&gt;"",AQ114=""),AND(AQ113="",AQ114&lt;&gt;""))</f>
        <v>0</v>
      </c>
      <c r="AR111" s="1448">
        <f>OR(AND(AR113&lt;&gt;"",AR114=""),AND(AR113="",AR114&lt;&gt;""))</f>
        <v>0</v>
      </c>
      <c r="AS111" s="1448">
        <f>OR(AND(AS113&lt;&gt;"",AS114=""),AND(AS113="",AS114&lt;&gt;""))</f>
        <v>0</v>
      </c>
      <c r="AT111" s="1448">
        <f>OR(AND(AT113&lt;&gt;"",AT114=""),AND(AT113="",AT114&lt;&gt;""))</f>
        <v>0</v>
      </c>
      <c r="AU111" s="1448">
        <f>OR(AND(AU113&lt;&gt;"",AU114=""),AND(AU113="",AU114&lt;&gt;""))</f>
        <v>0</v>
      </c>
      <c r="AV111" s="1448">
        <f>OR(AND(AV113&lt;&gt;"",AV114=""),AND(AV113="",AV114&lt;&gt;""))</f>
        <v>0</v>
      </c>
      <c r="AW111" s="1448">
        <f>OR(AND(AW113&lt;&gt;"",AW114=""),AND(AW113="",AW114&lt;&gt;""))</f>
        <v>0</v>
      </c>
      <c r="AX111" s="1448">
        <f>OR(AND(AX113&lt;&gt;"",AX114=""),AND(AX113="",AX114&lt;&gt;""))</f>
        <v>0</v>
      </c>
      <c r="AY111" s="1448">
        <f>OR(AND(AY113&lt;&gt;"",AY114=""),AND(AY113="",AY114&lt;&gt;""))</f>
        <v>0</v>
      </c>
      <c r="AZ111" s="1448">
        <f>OR(AND(AZ113&lt;&gt;"",AZ114=""),AND(AZ113="",AZ114&lt;&gt;""))</f>
        <v>0</v>
      </c>
      <c r="BA111" s="1448">
        <f>OR(AND(BA113&lt;&gt;"",BA114=""),AND(BA113="",BA114&lt;&gt;""))</f>
        <v>0</v>
      </c>
      <c r="BB111" s="1448">
        <f>OR(AND(BB113&lt;&gt;"",BB114=""),AND(BB113="",BB114&lt;&gt;""))</f>
        <v>0</v>
      </c>
      <c r="BC111" s="982"/>
      <c r="BD111" s="892"/>
      <c r="BE111" s="892"/>
      <c r="BF111" s="1049"/>
      <c r="BG111" s="1049"/>
      <c r="BH111" s="1049"/>
      <c r="BI111" s="684"/>
      <c r="BJ111" s="684"/>
    </row>
    <row customHeight="1" ht="14.625" hidden="1">
      <c r="A112" s="892"/>
      <c r="B112" s="442"/>
      <c r="C112" s="892"/>
      <c r="D112" s="892"/>
      <c r="E112" s="684">
        <v>15</v>
      </c>
      <c r="F112" s="1326" cm="1" t="str">
        <f t="array" ref="F112:F112">OFFSET(E112,-1,1)</f>
        <v>1</v>
      </c>
      <c r="G112" s="892"/>
      <c r="H112" s="892"/>
      <c r="I112" s="892"/>
      <c r="J112" s="892"/>
      <c r="K112" s="918"/>
      <c r="L112" s="922"/>
      <c r="M112" s="892"/>
      <c r="N112" s="892"/>
      <c r="O112" s="892"/>
      <c r="P112" s="892"/>
      <c r="Q112" s="892"/>
      <c r="R112" s="892"/>
      <c r="S112" s="892"/>
      <c r="T112" s="1436">
        <f>AND(Y111&gt;0,F112&gt;0)</f>
        <v>0</v>
      </c>
      <c r="U112" s="892"/>
      <c r="V112" s="892"/>
      <c r="W112" s="892"/>
      <c r="X112" s="690"/>
      <c r="Y112" s="1469"/>
      <c r="Z112" s="892"/>
      <c r="AA112" s="3203"/>
      <c r="AB112" s="3204" t="str">
        <f>"3."&amp;Y111</f>
        <v>3.0</v>
      </c>
      <c r="AC112" s="3205" t="s">
        <v>240</v>
      </c>
      <c r="AD112" s="3206"/>
      <c r="AE112" s="3207"/>
      <c r="AF112" s="3208"/>
      <c r="AG112" s="3207"/>
      <c r="AH112" s="3207"/>
      <c r="AI112" s="3207"/>
      <c r="AJ112" s="3207"/>
      <c r="AK112" s="3207"/>
      <c r="AL112" s="3207"/>
      <c r="AM112" s="3207"/>
      <c r="AN112" s="3207"/>
      <c r="AO112" s="3207"/>
      <c r="AP112" s="3207"/>
      <c r="AQ112" s="3207"/>
      <c r="AR112" s="3207"/>
      <c r="AS112" s="3208"/>
      <c r="AT112" s="3208"/>
      <c r="AU112" s="3208"/>
      <c r="AV112" s="3208"/>
      <c r="AW112" s="3208"/>
      <c r="AX112" s="3208"/>
      <c r="AY112" s="3208"/>
      <c r="AZ112" s="3208"/>
      <c r="BA112" s="3208"/>
      <c r="BB112" s="3209"/>
      <c r="BC112" s="3210"/>
      <c r="BD112" s="892"/>
      <c r="BE112" s="892"/>
      <c r="BF112" s="1049"/>
      <c r="BG112" s="1049"/>
      <c r="BH112" s="1049"/>
      <c r="BI112" s="684"/>
      <c r="BJ112" s="684"/>
    </row>
    <row s="1656" customFormat="1" customHeight="1" ht="14.25" hidden="1">
      <c r="A113" s="892"/>
      <c r="B113" s="442"/>
      <c r="C113" s="892"/>
      <c r="D113" s="892"/>
      <c r="E113" s="684">
        <v>15</v>
      </c>
      <c r="F113" s="50" cm="1" t="str">
        <f t="array" ref="F113:F113">OFFSET(E113,-1,1)</f>
        <v>1</v>
      </c>
      <c r="G113" s="148" t="s">
        <v>346</v>
      </c>
      <c r="H113" s="151" cm="1" t="str">
        <f t="array" ref="H113:H113">AC113</f>
        <v>Затраты</v>
      </c>
      <c r="I113" s="148" t="s">
        <v>1269</v>
      </c>
      <c r="J113" s="892"/>
      <c r="K113" s="918"/>
      <c r="L113" s="892"/>
      <c r="M113" s="892"/>
      <c r="N113" s="892"/>
      <c r="O113" s="892"/>
      <c r="P113" s="892"/>
      <c r="Q113" s="892"/>
      <c r="R113" s="892"/>
      <c r="S113" s="892"/>
      <c r="T113" s="468" cm="1" t="str">
        <f t="array" ref="T113:T113">T112</f>
        <v>false</v>
      </c>
      <c r="U113" s="892"/>
      <c r="V113" s="892"/>
      <c r="W113" s="892"/>
      <c r="X113" s="1469"/>
      <c r="Y113" s="1469"/>
      <c r="Z113" s="1592"/>
      <c r="AA113" s="1594"/>
      <c r="AB113" s="84" t="str">
        <f>AB112&amp;".1"</f>
        <v>3.0.1</v>
      </c>
      <c r="AC113" s="3211" t="s">
        <v>1251</v>
      </c>
      <c r="AD113" s="207" t="s">
        <v>936</v>
      </c>
      <c r="AE113" s="3109"/>
      <c r="AF113" s="3109"/>
      <c r="AG113" s="3109"/>
      <c r="AH113" s="3109"/>
      <c r="AI113" s="3109"/>
      <c r="AJ113" s="3109"/>
      <c r="AK113" s="3109"/>
      <c r="AL113" s="3109"/>
      <c r="AM113" s="3109"/>
      <c r="AN113" s="3109"/>
      <c r="AO113" s="3109"/>
      <c r="AP113" s="3109"/>
      <c r="AQ113" s="3109"/>
      <c r="AR113" s="3109"/>
      <c r="AS113" s="3109"/>
      <c r="AT113" s="3109"/>
      <c r="AU113" s="3109"/>
      <c r="AV113" s="3109"/>
      <c r="AW113" s="3109"/>
      <c r="AX113" s="3109"/>
      <c r="AY113" s="3109"/>
      <c r="AZ113" s="3109"/>
      <c r="BA113" s="3109"/>
      <c r="BB113" s="3109"/>
      <c r="BC113" s="1928"/>
      <c r="BD113" s="892"/>
      <c r="BE113" s="892"/>
      <c r="BF113" s="1049" t="s">
        <v>1252</v>
      </c>
      <c r="BG113" s="1049" t="s">
        <v>1270</v>
      </c>
      <c r="BH113" s="1049" cm="1" t="str">
        <f t="array" ref="BH113:BH113">AC112</f>
        <v/>
      </c>
      <c r="BI113" s="684"/>
      <c r="BJ113" s="684" t="b">
        <v>1</v>
      </c>
    </row>
    <row s="1656" customFormat="1" customHeight="1" ht="0" hidden="1">
      <c r="A114" s="892"/>
      <c r="B114" s="442"/>
      <c r="C114" s="892"/>
      <c r="D114" s="892"/>
      <c r="E114" s="684">
        <v>15</v>
      </c>
      <c r="F114" s="50" cm="1" t="str">
        <f t="array" ref="F114:F114">OFFSET(E114,-1,1)</f>
        <v>1</v>
      </c>
      <c r="G114" s="148" t="s">
        <v>1097</v>
      </c>
      <c r="H114" s="151" cm="1" t="str">
        <f t="array" ref="H114:H114">H113</f>
        <v>Затраты</v>
      </c>
      <c r="I114" s="148" t="s">
        <v>1269</v>
      </c>
      <c r="J114" s="892"/>
      <c r="K114" s="918"/>
      <c r="L114" s="892"/>
      <c r="M114" s="892"/>
      <c r="N114" s="892"/>
      <c r="O114" s="892"/>
      <c r="P114" s="892"/>
      <c r="Q114" s="892"/>
      <c r="R114" s="892"/>
      <c r="S114" s="892"/>
      <c r="T114" s="468" cm="1" t="str">
        <f t="array" ref="T114:T114">T113</f>
        <v>false</v>
      </c>
      <c r="U114" s="892"/>
      <c r="V114" s="892"/>
      <c r="W114" s="892"/>
      <c r="X114" s="1469"/>
      <c r="Y114" s="1469"/>
      <c r="Z114" s="1592"/>
      <c r="AA114" s="1594"/>
      <c r="AB114" s="84" t="str">
        <f>AB113&amp;".1"</f>
        <v>3.0.1.1</v>
      </c>
      <c r="AC114" s="217" t="s">
        <v>1271</v>
      </c>
      <c r="AD114" s="84" t="s">
        <v>657</v>
      </c>
      <c r="AE114" s="3109"/>
      <c r="AF114" s="3109"/>
      <c r="AG114" s="3109"/>
      <c r="AH114" s="3109"/>
      <c r="AI114" s="3109"/>
      <c r="AJ114" s="3109"/>
      <c r="AK114" s="3109"/>
      <c r="AL114" s="3109"/>
      <c r="AM114" s="3109"/>
      <c r="AN114" s="3109"/>
      <c r="AO114" s="3109"/>
      <c r="AP114" s="3109"/>
      <c r="AQ114" s="3109"/>
      <c r="AR114" s="3109"/>
      <c r="AS114" s="3109"/>
      <c r="AT114" s="3109"/>
      <c r="AU114" s="3109"/>
      <c r="AV114" s="3109"/>
      <c r="AW114" s="3109"/>
      <c r="AX114" s="3109"/>
      <c r="AY114" s="3109"/>
      <c r="AZ114" s="3109"/>
      <c r="BA114" s="3109"/>
      <c r="BB114" s="3109"/>
      <c r="BC114" s="1928"/>
      <c r="BD114" s="892"/>
      <c r="BE114" s="892"/>
      <c r="BF114" s="1049" t="s">
        <v>1255</v>
      </c>
      <c r="BG114" s="1049" t="s">
        <v>1270</v>
      </c>
      <c r="BH114" s="1049" cm="1" t="str">
        <f t="array" ref="BH114:BH114">BH113</f>
        <v/>
      </c>
      <c r="BI114" s="684"/>
      <c r="BJ114" s="684"/>
    </row>
    <row customHeight="1" ht="14.625" hidden="1">
      <c r="A115" s="892"/>
      <c r="B115" s="442"/>
      <c r="C115" s="892"/>
      <c r="D115" s="892"/>
      <c r="E115" s="684">
        <v>15</v>
      </c>
      <c r="F115" s="1326" cm="1" t="str">
        <f t="array" ref="F115:F115">OFFSET(E115,-1,1)</f>
        <v>1</v>
      </c>
      <c r="G115" s="892"/>
      <c r="H115" s="151"/>
      <c r="I115" s="892"/>
      <c r="J115" s="892"/>
      <c r="K115" s="918"/>
      <c r="L115" s="892"/>
      <c r="M115" s="892"/>
      <c r="N115" s="892"/>
      <c r="O115" s="892"/>
      <c r="P115" s="892"/>
      <c r="Q115" s="892"/>
      <c r="R115" s="892"/>
      <c r="S115" s="892"/>
      <c r="T115" s="1436" cm="1" t="str">
        <f t="array" ref="T115:T115">T114</f>
        <v>false</v>
      </c>
      <c r="U115" s="892"/>
      <c r="V115" s="892"/>
      <c r="W115" s="892"/>
      <c r="X115" s="690"/>
      <c r="Y115" s="1469"/>
      <c r="Z115" s="892"/>
      <c r="AA115" s="3203"/>
      <c r="AB115" s="3214" t="str">
        <f>AB113&amp;".2"</f>
        <v>3.0.1.2</v>
      </c>
      <c r="AC115" s="3215" t="s">
        <v>1266</v>
      </c>
      <c r="AD115" s="3214" t="s">
        <v>1257</v>
      </c>
      <c r="AE115" s="3216"/>
      <c r="AF115" s="3216"/>
      <c r="AG115" s="3216"/>
      <c r="AH115" s="3216"/>
      <c r="AI115" s="3216"/>
      <c r="AJ115" s="3216"/>
      <c r="AK115" s="3216"/>
      <c r="AL115" s="3216"/>
      <c r="AM115" s="3216"/>
      <c r="AN115" s="3216"/>
      <c r="AO115" s="3216"/>
      <c r="AP115" s="3216"/>
      <c r="AQ115" s="3216"/>
      <c r="AR115" s="3216"/>
      <c r="AS115" s="3216"/>
      <c r="AT115" s="3216"/>
      <c r="AU115" s="3216"/>
      <c r="AV115" s="3216"/>
      <c r="AW115" s="3216"/>
      <c r="AX115" s="3216"/>
      <c r="AY115" s="3216"/>
      <c r="AZ115" s="3216"/>
      <c r="BA115" s="3216"/>
      <c r="BB115" s="3216"/>
      <c r="BC115" s="3217"/>
      <c r="BD115" s="892"/>
      <c r="BE115" s="892"/>
      <c r="BF115" s="1049" t="s">
        <v>1258</v>
      </c>
      <c r="BG115" s="1049" t="s">
        <v>1270</v>
      </c>
      <c r="BH115" s="3218" cm="1" t="str">
        <f t="array" ref="BH115:BH115">BH114</f>
        <v/>
      </c>
      <c r="BI115" s="684"/>
      <c r="BJ115" s="684"/>
    </row>
    <row s="1656" customFormat="1" customHeight="1" ht="0">
      <c r="A116" s="892"/>
      <c r="B116" s="442"/>
      <c r="C116" s="892"/>
      <c r="D116" s="892"/>
      <c r="E116" s="684">
        <v>15</v>
      </c>
      <c r="F116" s="50" cm="1" t="str">
        <f t="array" ref="F116:F116">OFFSET(E116,-1,1)</f>
        <v>1</v>
      </c>
      <c r="G116" s="892"/>
      <c r="H116" s="148" t="str">
        <f>"!=='не определено' &amp;&amp; row.l3 !== null"</f>
        <v>!=='не определено' &amp;&amp; row.l3 !== null</v>
      </c>
      <c r="I116" s="892"/>
      <c r="J116" s="892"/>
      <c r="K116" s="918"/>
      <c r="L116" s="892"/>
      <c r="M116" s="892"/>
      <c r="N116" s="892"/>
      <c r="O116" s="892"/>
      <c r="P116" s="892"/>
      <c r="Q116" s="892"/>
      <c r="R116" s="892"/>
      <c r="S116" s="892"/>
      <c r="T116" s="468">
        <f>F116&gt;0</f>
        <v>1</v>
      </c>
      <c r="U116" s="892"/>
      <c r="V116" s="892"/>
      <c r="W116" s="691" t="s">
        <v>1272</v>
      </c>
      <c r="X116" s="1469"/>
      <c r="Y116" s="689"/>
      <c r="Z116" s="1592"/>
      <c r="AA116" s="892"/>
      <c r="AB116" s="687"/>
      <c r="AC116" s="228" t="s">
        <v>1260</v>
      </c>
      <c r="AD116" s="228"/>
      <c r="AE116" s="228"/>
      <c r="AF116" s="228"/>
      <c r="AG116" s="228"/>
      <c r="AH116" s="228"/>
      <c r="AI116" s="228"/>
      <c r="AJ116" s="228"/>
      <c r="AK116" s="228"/>
      <c r="AL116" s="228"/>
      <c r="AM116" s="228"/>
      <c r="AN116" s="228"/>
      <c r="AO116" s="228"/>
      <c r="AP116" s="228"/>
      <c r="AQ116" s="228"/>
      <c r="AR116" s="228"/>
      <c r="AS116" s="228"/>
      <c r="AT116" s="228"/>
      <c r="AU116" s="228"/>
      <c r="AV116" s="228"/>
      <c r="AW116" s="228"/>
      <c r="AX116" s="228"/>
      <c r="AY116" s="228"/>
      <c r="AZ116" s="228"/>
      <c r="BA116" s="228"/>
      <c r="BB116" s="228"/>
      <c r="BC116" s="229"/>
      <c r="BD116" s="892"/>
      <c r="BE116" s="892"/>
      <c r="BF116" s="1049"/>
      <c r="BG116" s="1049"/>
      <c r="BH116" s="1049"/>
      <c r="BI116" s="684" t="s">
        <v>1270</v>
      </c>
      <c r="BJ116" s="684"/>
    </row>
    <row s="1656" customFormat="1" customHeight="1" ht="0">
      <c r="A117" s="892"/>
      <c r="B117" s="442"/>
      <c r="C117" s="892"/>
      <c r="D117" s="892"/>
      <c r="E117" s="684">
        <v>23</v>
      </c>
      <c r="F117" s="50" cm="1" t="str">
        <f t="array" ref="F117:F117">OFFSET(E117,-1,1)</f>
        <v>1</v>
      </c>
      <c r="G117" s="892"/>
      <c r="H117" s="892"/>
      <c r="I117" s="892"/>
      <c r="J117" s="892"/>
      <c r="K117" s="918" t="str">
        <f>F96&amp;"4komm"</f>
        <v>14komm</v>
      </c>
      <c r="L117" s="922" cm="1" t="str">
        <f t="array" ref="L117:L117">BC117</f>
        <v>0</v>
      </c>
      <c r="M117" s="892"/>
      <c r="N117" s="892"/>
      <c r="O117" s="892"/>
      <c r="P117" s="892"/>
      <c r="Q117" s="892"/>
      <c r="R117" s="892"/>
      <c r="S117" s="892"/>
      <c r="T117" s="468" cm="1" t="str">
        <f t="array" ref="T117:T117">T116</f>
        <v>true</v>
      </c>
      <c r="U117" s="892"/>
      <c r="V117" s="892"/>
      <c r="W117" s="892"/>
      <c r="X117" s="1469"/>
      <c r="Y117" s="690"/>
      <c r="Z117" s="1592"/>
      <c r="AA117" s="892"/>
      <c r="AB117" s="207">
        <v>4</v>
      </c>
      <c r="AC117" s="208" t="s">
        <v>1273</v>
      </c>
      <c r="AD117" s="207" t="s">
        <v>936</v>
      </c>
      <c r="AE117" s="209">
        <f>SUMIF(AD120:AD123,AD117,AE120:AE123)</f>
        <v>0</v>
      </c>
      <c r="AF117" s="209">
        <f>SUMIF(AD120:AD123,AD117,AF120:AF123)</f>
        <v>0</v>
      </c>
      <c r="AG117" s="209">
        <f>SUMIF(AD120:AD123,AD117,AG120:AG123)</f>
        <v>0</v>
      </c>
      <c r="AH117" s="209">
        <f>SUMIF(AD120:AD123,AD117,AH120:AH123)</f>
        <v>0</v>
      </c>
      <c r="AI117" s="209">
        <f>SUMIF(AD120:AD123,AD117,AI120:AI123)</f>
        <v>0</v>
      </c>
      <c r="AJ117" s="3200">
        <f>SUMIF(AD120:AD123,AD117,AJ120:AJ123)</f>
        <v>0</v>
      </c>
      <c r="AK117" s="3200">
        <f>SUMIF(AD120:AD123,AD117,AK120:AK123)</f>
        <v>0</v>
      </c>
      <c r="AL117" s="3200">
        <f>SUMIF(AD120:AD123,AD117,AL120:AL123)</f>
        <v>0</v>
      </c>
      <c r="AM117" s="3200">
        <f>SUMIF(AD120:AD123,AD117,AM120:AM123)</f>
        <v>0</v>
      </c>
      <c r="AN117" s="3200">
        <f>SUMIF(AD120:AD123,AD117,AN120:AN123)</f>
        <v>0</v>
      </c>
      <c r="AO117" s="3200">
        <f>SUMIF(AD120:AD123,AD117,AO120:AO123)</f>
        <v>0</v>
      </c>
      <c r="AP117" s="3200">
        <f>SUMIF(AD120:AD123,AD117,AP120:AP123)</f>
        <v>0</v>
      </c>
      <c r="AQ117" s="3200">
        <f>SUMIF(AD120:AD123,AD117,AQ120:AQ123)</f>
        <v>0</v>
      </c>
      <c r="AR117" s="3200">
        <f>SUMIF(AD120:AD123,AD117,AR120:AR123)</f>
        <v>0</v>
      </c>
      <c r="AS117" s="209">
        <f>SUMIF(AD120:AD123,AD117,AS120:AS123)</f>
        <v>0</v>
      </c>
      <c r="AT117" s="3200">
        <f>SUMIF(AD120:AD123,AD117,AT120:AT123)</f>
        <v>0</v>
      </c>
      <c r="AU117" s="3200">
        <f>SUMIF(AD120:AD123,AD117,AU120:AU123)</f>
        <v>0</v>
      </c>
      <c r="AV117" s="3200">
        <f>SUMIF(AD120:AD123,AD117,AV120:AV123)</f>
        <v>0</v>
      </c>
      <c r="AW117" s="3200">
        <f>SUMIF(AD120:AD123,AD117,AW120:AW123)</f>
        <v>0</v>
      </c>
      <c r="AX117" s="3200">
        <f>SUMIF(AD120:AD123,AD117,AX120:AX123)</f>
        <v>0</v>
      </c>
      <c r="AY117" s="3200">
        <f>SUMIF(AD120:AD123,AD117,AY120:AY123)</f>
        <v>0</v>
      </c>
      <c r="AZ117" s="3200">
        <f>SUMIF(AD120:AD123,AD117,AZ120:AZ123)</f>
        <v>0</v>
      </c>
      <c r="BA117" s="3200">
        <f>SUMIF(AD120:AD123,AD117,BA120:BA123)</f>
        <v>0</v>
      </c>
      <c r="BB117" s="3200">
        <f>SUMIF(AD120:AD123,AD117,BB120:BB123)</f>
        <v>0</v>
      </c>
      <c r="BC117" s="196"/>
      <c r="BD117" s="892"/>
      <c r="BE117" s="892"/>
      <c r="BF117" s="1049" t="s">
        <v>1274</v>
      </c>
      <c r="BG117" s="1049"/>
      <c r="BH117" s="1049"/>
      <c r="BI117" s="684"/>
      <c r="BJ117" s="684"/>
    </row>
    <row s="1656" customFormat="1" customHeight="1" ht="0" hidden="1">
      <c r="A118" s="892"/>
      <c r="B118" s="442"/>
      <c r="C118" s="892"/>
      <c r="D118" s="892"/>
      <c r="E118" s="684">
        <v>0</v>
      </c>
      <c r="F118" s="50" cm="1" t="str">
        <f t="array" ref="F118:F118">OFFSET(E118,-1,1)</f>
        <v>1</v>
      </c>
      <c r="G118" s="148" t="s">
        <v>348</v>
      </c>
      <c r="H118" s="892"/>
      <c r="I118" s="892"/>
      <c r="J118" s="892"/>
      <c r="K118" s="918"/>
      <c r="L118" s="922"/>
      <c r="M118" s="892"/>
      <c r="N118" s="892"/>
      <c r="O118" s="892"/>
      <c r="P118" s="892"/>
      <c r="Q118" s="892"/>
      <c r="R118" s="892"/>
      <c r="S118" s="892"/>
      <c r="T118" s="468" t="b">
        <v>0</v>
      </c>
      <c r="U118" s="892"/>
      <c r="V118" s="892"/>
      <c r="W118" s="148" t="s">
        <v>173</v>
      </c>
      <c r="X118" s="1469"/>
      <c r="Y118" s="1469">
        <v>0</v>
      </c>
      <c r="Z118" s="1592"/>
      <c r="AA118" s="1594" t="s">
        <v>174</v>
      </c>
      <c r="AB118" s="207"/>
      <c r="AC118" s="208"/>
      <c r="AD118" s="207"/>
      <c r="AE118" s="1448">
        <f>OR(AND(AE120&lt;&gt;"",AE121=""),AND(AE120="",AE121&lt;&gt;""))</f>
        <v>0</v>
      </c>
      <c r="AF118" s="1448">
        <f>OR(AND(AF120&lt;&gt;"",AF121=""),AND(AF120="",AF121&lt;&gt;""))</f>
        <v>0</v>
      </c>
      <c r="AG118" s="1448">
        <f>OR(AND(AG120&lt;&gt;"",AG121=""),AND(AG120="",AG121&lt;&gt;""))</f>
        <v>0</v>
      </c>
      <c r="AH118" s="1448">
        <f>OR(AND(AH120&lt;&gt;"",AH121=""),AND(AH120="",AH121&lt;&gt;""))</f>
        <v>0</v>
      </c>
      <c r="AI118" s="1448">
        <f>OR(AND(AI120&lt;&gt;"",AI121=""),AND(AI120="",AI121&lt;&gt;""))</f>
        <v>0</v>
      </c>
      <c r="AJ118" s="1448">
        <f>OR(AND(AJ120&lt;&gt;"",AJ121=""),AND(AJ120="",AJ121&lt;&gt;""))</f>
        <v>0</v>
      </c>
      <c r="AK118" s="1448">
        <f>OR(AND(AK120&lt;&gt;"",AK121=""),AND(AK120="",AK121&lt;&gt;""))</f>
        <v>0</v>
      </c>
      <c r="AL118" s="1448">
        <f>OR(AND(AL120&lt;&gt;"",AL121=""),AND(AL120="",AL121&lt;&gt;""))</f>
        <v>0</v>
      </c>
      <c r="AM118" s="1448">
        <f>OR(AND(AM120&lt;&gt;"",AM121=""),AND(AM120="",AM121&lt;&gt;""))</f>
        <v>0</v>
      </c>
      <c r="AN118" s="1448">
        <f>OR(AND(AN120&lt;&gt;"",AN121=""),AND(AN120="",AN121&lt;&gt;""))</f>
        <v>0</v>
      </c>
      <c r="AO118" s="1448">
        <f>OR(AND(AO120&lt;&gt;"",AO121=""),AND(AO120="",AO121&lt;&gt;""))</f>
        <v>0</v>
      </c>
      <c r="AP118" s="1448">
        <f>OR(AND(AP120&lt;&gt;"",AP121=""),AND(AP120="",AP121&lt;&gt;""))</f>
        <v>0</v>
      </c>
      <c r="AQ118" s="1448">
        <f>OR(AND(AQ120&lt;&gt;"",AQ121=""),AND(AQ120="",AQ121&lt;&gt;""))</f>
        <v>0</v>
      </c>
      <c r="AR118" s="1448">
        <f>OR(AND(AR120&lt;&gt;"",AR121=""),AND(AR120="",AR121&lt;&gt;""))</f>
        <v>0</v>
      </c>
      <c r="AS118" s="1448">
        <f>OR(AND(AS120&lt;&gt;"",AS121=""),AND(AS120="",AS121&lt;&gt;""))</f>
        <v>0</v>
      </c>
      <c r="AT118" s="1448">
        <f>OR(AND(AT120&lt;&gt;"",AT121=""),AND(AT120="",AT121&lt;&gt;""))</f>
        <v>0</v>
      </c>
      <c r="AU118" s="1448">
        <f>OR(AND(AU120&lt;&gt;"",AU121=""),AND(AU120="",AU121&lt;&gt;""))</f>
        <v>0</v>
      </c>
      <c r="AV118" s="1448">
        <f>OR(AND(AV120&lt;&gt;"",AV121=""),AND(AV120="",AV121&lt;&gt;""))</f>
        <v>0</v>
      </c>
      <c r="AW118" s="1448">
        <f>OR(AND(AW120&lt;&gt;"",AW121=""),AND(AW120="",AW121&lt;&gt;""))</f>
        <v>0</v>
      </c>
      <c r="AX118" s="1448">
        <f>OR(AND(AX120&lt;&gt;"",AX121=""),AND(AX120="",AX121&lt;&gt;""))</f>
        <v>0</v>
      </c>
      <c r="AY118" s="1448">
        <f>OR(AND(AY120&lt;&gt;"",AY121=""),AND(AY120="",AY121&lt;&gt;""))</f>
        <v>0</v>
      </c>
      <c r="AZ118" s="1448">
        <f>OR(AND(AZ120&lt;&gt;"",AZ121=""),AND(AZ120="",AZ121&lt;&gt;""))</f>
        <v>0</v>
      </c>
      <c r="BA118" s="1448">
        <f>OR(AND(BA120&lt;&gt;"",BA121=""),AND(BA120="",BA121&lt;&gt;""))</f>
        <v>0</v>
      </c>
      <c r="BB118" s="1448">
        <f>OR(AND(BB120&lt;&gt;"",BB121=""),AND(BB120="",BB121&lt;&gt;""))</f>
        <v>0</v>
      </c>
      <c r="BC118" s="982"/>
      <c r="BD118" s="892"/>
      <c r="BE118" s="892"/>
      <c r="BF118" s="1049"/>
      <c r="BG118" s="1049"/>
      <c r="BH118" s="1049"/>
      <c r="BI118" s="684"/>
      <c r="BJ118" s="684"/>
    </row>
    <row customHeight="1" ht="14.625" hidden="1">
      <c r="A119" s="892"/>
      <c r="B119" s="442"/>
      <c r="C119" s="892"/>
      <c r="D119" s="892"/>
      <c r="E119" s="684">
        <v>15</v>
      </c>
      <c r="F119" s="1326" cm="1" t="str">
        <f t="array" ref="F119:F119">OFFSET(E119,-1,1)</f>
        <v>1</v>
      </c>
      <c r="G119" s="892"/>
      <c r="H119" s="892"/>
      <c r="I119" s="892"/>
      <c r="J119" s="892"/>
      <c r="K119" s="918"/>
      <c r="L119" s="922"/>
      <c r="M119" s="892"/>
      <c r="N119" s="892"/>
      <c r="O119" s="892"/>
      <c r="P119" s="892"/>
      <c r="Q119" s="892"/>
      <c r="R119" s="892"/>
      <c r="S119" s="892"/>
      <c r="T119" s="1436">
        <f>AND(Y118&gt;0,F119&gt;0)</f>
        <v>0</v>
      </c>
      <c r="U119" s="892"/>
      <c r="V119" s="892"/>
      <c r="W119" s="892"/>
      <c r="X119" s="690"/>
      <c r="Y119" s="1469"/>
      <c r="Z119" s="892"/>
      <c r="AA119" s="3203"/>
      <c r="AB119" s="3204" t="str">
        <f>"4."&amp;Y118</f>
        <v>4.0</v>
      </c>
      <c r="AC119" s="3205" t="s">
        <v>240</v>
      </c>
      <c r="AD119" s="3206"/>
      <c r="AE119" s="3207"/>
      <c r="AF119" s="3208"/>
      <c r="AG119" s="3207"/>
      <c r="AH119" s="3207"/>
      <c r="AI119" s="3207"/>
      <c r="AJ119" s="3207"/>
      <c r="AK119" s="3207"/>
      <c r="AL119" s="3207"/>
      <c r="AM119" s="3207"/>
      <c r="AN119" s="3207"/>
      <c r="AO119" s="3207"/>
      <c r="AP119" s="3207"/>
      <c r="AQ119" s="3207"/>
      <c r="AR119" s="3207"/>
      <c r="AS119" s="3208"/>
      <c r="AT119" s="3208"/>
      <c r="AU119" s="3208"/>
      <c r="AV119" s="3208"/>
      <c r="AW119" s="3208"/>
      <c r="AX119" s="3208"/>
      <c r="AY119" s="3208"/>
      <c r="AZ119" s="3208"/>
      <c r="BA119" s="3208"/>
      <c r="BB119" s="3209"/>
      <c r="BC119" s="3210"/>
      <c r="BD119" s="892"/>
      <c r="BE119" s="892"/>
      <c r="BF119" s="1049"/>
      <c r="BG119" s="1049"/>
      <c r="BH119" s="1049"/>
      <c r="BI119" s="684"/>
      <c r="BJ119" s="684"/>
    </row>
    <row s="1656" customFormat="1" customHeight="1" ht="14.25" hidden="1">
      <c r="A120" s="892"/>
      <c r="B120" s="442"/>
      <c r="C120" s="892"/>
      <c r="D120" s="892"/>
      <c r="E120" s="684">
        <v>15</v>
      </c>
      <c r="F120" s="50" cm="1" t="str">
        <f t="array" ref="F120:F120">OFFSET(E120,-1,1)</f>
        <v>1</v>
      </c>
      <c r="G120" s="148" t="s">
        <v>348</v>
      </c>
      <c r="H120" s="151" cm="1" t="str">
        <f t="array" ref="H120:H120">AC120</f>
        <v>Затраты</v>
      </c>
      <c r="I120" s="148" t="s">
        <v>1275</v>
      </c>
      <c r="J120" s="892"/>
      <c r="K120" s="918"/>
      <c r="L120" s="892"/>
      <c r="M120" s="892"/>
      <c r="N120" s="892"/>
      <c r="O120" s="892"/>
      <c r="P120" s="892"/>
      <c r="Q120" s="892"/>
      <c r="R120" s="892"/>
      <c r="S120" s="892"/>
      <c r="T120" s="468" cm="1" t="str">
        <f t="array" ref="T120:T120">T119</f>
        <v>false</v>
      </c>
      <c r="U120" s="892"/>
      <c r="V120" s="892"/>
      <c r="W120" s="892"/>
      <c r="X120" s="1469"/>
      <c r="Y120" s="1469"/>
      <c r="Z120" s="1592"/>
      <c r="AA120" s="1594"/>
      <c r="AB120" s="84" t="str">
        <f>AB119&amp;".1"</f>
        <v>4.0.1</v>
      </c>
      <c r="AC120" s="3211" t="s">
        <v>1251</v>
      </c>
      <c r="AD120" s="207" t="s">
        <v>936</v>
      </c>
      <c r="AE120" s="3109"/>
      <c r="AF120" s="3109"/>
      <c r="AG120" s="3109"/>
      <c r="AH120" s="3109"/>
      <c r="AI120" s="3109"/>
      <c r="AJ120" s="3109"/>
      <c r="AK120" s="3109"/>
      <c r="AL120" s="3109"/>
      <c r="AM120" s="3109"/>
      <c r="AN120" s="3109"/>
      <c r="AO120" s="3109"/>
      <c r="AP120" s="3109"/>
      <c r="AQ120" s="3109"/>
      <c r="AR120" s="3109"/>
      <c r="AS120" s="3109"/>
      <c r="AT120" s="3109"/>
      <c r="AU120" s="3109"/>
      <c r="AV120" s="3109"/>
      <c r="AW120" s="3109"/>
      <c r="AX120" s="3109"/>
      <c r="AY120" s="3109"/>
      <c r="AZ120" s="3109"/>
      <c r="BA120" s="3109"/>
      <c r="BB120" s="3109"/>
      <c r="BC120" s="1928"/>
      <c r="BD120" s="892"/>
      <c r="BE120" s="892"/>
      <c r="BF120" s="1049" t="s">
        <v>1252</v>
      </c>
      <c r="BG120" s="1049" t="s">
        <v>1276</v>
      </c>
      <c r="BH120" s="1049" cm="1" t="str">
        <f t="array" ref="BH120:BH120">AC119</f>
        <v/>
      </c>
      <c r="BI120" s="684"/>
      <c r="BJ120" s="684" t="b">
        <v>1</v>
      </c>
    </row>
    <row s="1656" customFormat="1" customHeight="1" ht="0" hidden="1">
      <c r="A121" s="892"/>
      <c r="B121" s="442"/>
      <c r="C121" s="892"/>
      <c r="D121" s="892"/>
      <c r="E121" s="684">
        <v>15</v>
      </c>
      <c r="F121" s="50" cm="1" t="str">
        <f t="array" ref="F121:F121">OFFSET(E121,-1,1)</f>
        <v>1</v>
      </c>
      <c r="G121" s="148" t="s">
        <v>659</v>
      </c>
      <c r="H121" s="151" cm="1" t="str">
        <f t="array" ref="H121:H121">H120</f>
        <v>Затраты</v>
      </c>
      <c r="I121" s="148" t="s">
        <v>1275</v>
      </c>
      <c r="J121" s="892"/>
      <c r="K121" s="918"/>
      <c r="L121" s="892"/>
      <c r="M121" s="892"/>
      <c r="N121" s="892"/>
      <c r="O121" s="892"/>
      <c r="P121" s="892"/>
      <c r="Q121" s="892"/>
      <c r="R121" s="892"/>
      <c r="S121" s="892"/>
      <c r="T121" s="468" cm="1" t="str">
        <f t="array" ref="T121:T121">T120</f>
        <v>false</v>
      </c>
      <c r="U121" s="892"/>
      <c r="V121" s="892"/>
      <c r="W121" s="892"/>
      <c r="X121" s="1469"/>
      <c r="Y121" s="1469"/>
      <c r="Z121" s="1592"/>
      <c r="AA121" s="1594"/>
      <c r="AB121" s="84" t="str">
        <f>AB120&amp;".1"</f>
        <v>4.0.1.1</v>
      </c>
      <c r="AC121" s="217" t="s">
        <v>1277</v>
      </c>
      <c r="AD121" s="84" t="s">
        <v>657</v>
      </c>
      <c r="AE121" s="3109"/>
      <c r="AF121" s="3109"/>
      <c r="AG121" s="3109"/>
      <c r="AH121" s="3109"/>
      <c r="AI121" s="3109"/>
      <c r="AJ121" s="3109"/>
      <c r="AK121" s="3109"/>
      <c r="AL121" s="3109"/>
      <c r="AM121" s="3109"/>
      <c r="AN121" s="3109"/>
      <c r="AO121" s="3109"/>
      <c r="AP121" s="3109"/>
      <c r="AQ121" s="3109"/>
      <c r="AR121" s="3109"/>
      <c r="AS121" s="3109"/>
      <c r="AT121" s="3109"/>
      <c r="AU121" s="3109"/>
      <c r="AV121" s="3109"/>
      <c r="AW121" s="3109"/>
      <c r="AX121" s="3109"/>
      <c r="AY121" s="3109"/>
      <c r="AZ121" s="3109"/>
      <c r="BA121" s="3109"/>
      <c r="BB121" s="3109"/>
      <c r="BC121" s="1928"/>
      <c r="BD121" s="892"/>
      <c r="BE121" s="892"/>
      <c r="BF121" s="1049" t="s">
        <v>1255</v>
      </c>
      <c r="BG121" s="1049" t="s">
        <v>1276</v>
      </c>
      <c r="BH121" s="1049" cm="1" t="str">
        <f t="array" ref="BH121:BH121">BH120</f>
        <v/>
      </c>
      <c r="BI121" s="684"/>
      <c r="BJ121" s="684"/>
    </row>
    <row customHeight="1" ht="14.625" hidden="1">
      <c r="A122" s="892"/>
      <c r="B122" s="442"/>
      <c r="C122" s="892"/>
      <c r="D122" s="892"/>
      <c r="E122" s="684">
        <v>15</v>
      </c>
      <c r="F122" s="1326" cm="1" t="str">
        <f t="array" ref="F122:F122">OFFSET(E122,-1,1)</f>
        <v>1</v>
      </c>
      <c r="G122" s="892"/>
      <c r="H122" s="151"/>
      <c r="I122" s="892"/>
      <c r="J122" s="892"/>
      <c r="K122" s="918"/>
      <c r="L122" s="892"/>
      <c r="M122" s="892"/>
      <c r="N122" s="892"/>
      <c r="O122" s="892"/>
      <c r="P122" s="892"/>
      <c r="Q122" s="892"/>
      <c r="R122" s="892"/>
      <c r="S122" s="892"/>
      <c r="T122" s="1436" cm="1" t="str">
        <f t="array" ref="T122:T122">T121</f>
        <v>false</v>
      </c>
      <c r="U122" s="892"/>
      <c r="V122" s="892"/>
      <c r="W122" s="892"/>
      <c r="X122" s="690"/>
      <c r="Y122" s="1469"/>
      <c r="Z122" s="892"/>
      <c r="AA122" s="3203"/>
      <c r="AB122" s="3214" t="str">
        <f>AB120&amp;".2"</f>
        <v>4.0.1.2</v>
      </c>
      <c r="AC122" s="3215" t="s">
        <v>1278</v>
      </c>
      <c r="AD122" s="3214" t="s">
        <v>1257</v>
      </c>
      <c r="AE122" s="3216"/>
      <c r="AF122" s="3216"/>
      <c r="AG122" s="3216"/>
      <c r="AH122" s="3216"/>
      <c r="AI122" s="3216"/>
      <c r="AJ122" s="3216"/>
      <c r="AK122" s="3216"/>
      <c r="AL122" s="3216"/>
      <c r="AM122" s="3216"/>
      <c r="AN122" s="3216"/>
      <c r="AO122" s="3216"/>
      <c r="AP122" s="3216"/>
      <c r="AQ122" s="3216"/>
      <c r="AR122" s="3216"/>
      <c r="AS122" s="3216"/>
      <c r="AT122" s="3216"/>
      <c r="AU122" s="3216"/>
      <c r="AV122" s="3216"/>
      <c r="AW122" s="3216"/>
      <c r="AX122" s="3216"/>
      <c r="AY122" s="3216"/>
      <c r="AZ122" s="3216"/>
      <c r="BA122" s="3216"/>
      <c r="BB122" s="3216"/>
      <c r="BC122" s="3217"/>
      <c r="BD122" s="892"/>
      <c r="BE122" s="892"/>
      <c r="BF122" s="1049" t="s">
        <v>1258</v>
      </c>
      <c r="BG122" s="1049" t="s">
        <v>1276</v>
      </c>
      <c r="BH122" s="3218" cm="1" t="str">
        <f t="array" ref="BH122:BH122">BH121</f>
        <v/>
      </c>
      <c r="BI122" s="684"/>
      <c r="BJ122" s="684"/>
    </row>
    <row s="1656" customFormat="1" customHeight="1" ht="0">
      <c r="A123" s="892"/>
      <c r="B123" s="442"/>
      <c r="C123" s="892"/>
      <c r="D123" s="892"/>
      <c r="E123" s="684">
        <v>15</v>
      </c>
      <c r="F123" s="50" cm="1" t="str">
        <f t="array" ref="F123:F123">OFFSET(E123,-1,1)</f>
        <v>1</v>
      </c>
      <c r="G123" s="892"/>
      <c r="H123" s="148" t="str">
        <f>"!=='не определено' &amp;&amp; row.l4 !== null"</f>
        <v>!=='не определено' &amp;&amp; row.l4 !== null</v>
      </c>
      <c r="I123" s="892"/>
      <c r="J123" s="892"/>
      <c r="K123" s="918"/>
      <c r="L123" s="892"/>
      <c r="M123" s="892"/>
      <c r="N123" s="892"/>
      <c r="O123" s="892"/>
      <c r="P123" s="892"/>
      <c r="Q123" s="892"/>
      <c r="R123" s="892"/>
      <c r="S123" s="892"/>
      <c r="T123" s="468">
        <f>F123&gt;0</f>
        <v>1</v>
      </c>
      <c r="U123" s="892"/>
      <c r="V123" s="892"/>
      <c r="W123" s="691" t="s">
        <v>1279</v>
      </c>
      <c r="X123" s="1469"/>
      <c r="Y123" s="689"/>
      <c r="Z123" s="1592"/>
      <c r="AA123" s="892"/>
      <c r="AB123" s="687"/>
      <c r="AC123" s="228" t="s">
        <v>1260</v>
      </c>
      <c r="AD123" s="228"/>
      <c r="AE123" s="228"/>
      <c r="AF123" s="228"/>
      <c r="AG123" s="228"/>
      <c r="AH123" s="228"/>
      <c r="AI123" s="228"/>
      <c r="AJ123" s="228"/>
      <c r="AK123" s="228"/>
      <c r="AL123" s="228"/>
      <c r="AM123" s="228"/>
      <c r="AN123" s="228"/>
      <c r="AO123" s="228"/>
      <c r="AP123" s="228"/>
      <c r="AQ123" s="228"/>
      <c r="AR123" s="228"/>
      <c r="AS123" s="228"/>
      <c r="AT123" s="228"/>
      <c r="AU123" s="228"/>
      <c r="AV123" s="228"/>
      <c r="AW123" s="228"/>
      <c r="AX123" s="228"/>
      <c r="AY123" s="228"/>
      <c r="AZ123" s="228"/>
      <c r="BA123" s="228"/>
      <c r="BB123" s="228"/>
      <c r="BC123" s="229"/>
      <c r="BD123" s="892"/>
      <c r="BE123" s="892"/>
      <c r="BF123" s="1049"/>
      <c r="BG123" s="1049"/>
      <c r="BH123" s="1049"/>
      <c r="BI123" s="684" t="s">
        <v>1276</v>
      </c>
      <c r="BJ123" s="684"/>
    </row>
    <row s="1656" customFormat="1" customHeight="1" ht="0">
      <c r="A124" s="892"/>
      <c r="B124" s="442"/>
      <c r="C124" s="892"/>
      <c r="D124" s="892"/>
      <c r="E124" s="684">
        <v>23</v>
      </c>
      <c r="F124" s="50" cm="1" t="str">
        <f t="array" ref="F124:F124">OFFSET(E124,-1,1)</f>
        <v>1</v>
      </c>
      <c r="G124" s="892"/>
      <c r="H124" s="892"/>
      <c r="I124" s="892"/>
      <c r="J124" s="892"/>
      <c r="K124" s="918" t="str">
        <f>F96&amp;"5komm"</f>
        <v>15komm</v>
      </c>
      <c r="L124" s="922" cm="1" t="str">
        <f t="array" ref="L124:L124">BC124</f>
        <v>0</v>
      </c>
      <c r="M124" s="892"/>
      <c r="N124" s="892"/>
      <c r="O124" s="892"/>
      <c r="P124" s="892"/>
      <c r="Q124" s="892"/>
      <c r="R124" s="892"/>
      <c r="S124" s="892"/>
      <c r="T124" s="468" cm="1" t="str">
        <f t="array" ref="T124:T124">T123</f>
        <v>true</v>
      </c>
      <c r="U124" s="892"/>
      <c r="V124" s="892"/>
      <c r="W124" s="892"/>
      <c r="X124" s="1469"/>
      <c r="Y124" s="690"/>
      <c r="Z124" s="1592"/>
      <c r="AA124" s="892"/>
      <c r="AB124" s="207">
        <v>5</v>
      </c>
      <c r="AC124" s="208" t="s">
        <v>1280</v>
      </c>
      <c r="AD124" s="207" t="s">
        <v>936</v>
      </c>
      <c r="AE124" s="209">
        <f>SUMIF(AD127:AD130,AD124,AE127:AE130)</f>
        <v>0</v>
      </c>
      <c r="AF124" s="209">
        <f>SUMIF(AD127:AD130,AD124,AF127:AF130)</f>
        <v>0</v>
      </c>
      <c r="AG124" s="209">
        <f>SUMIF(AD127:AD130,AD124,AG127:AG130)</f>
        <v>0</v>
      </c>
      <c r="AH124" s="209">
        <f>SUMIF(AD127:AD130,AD124,AH127:AH130)</f>
        <v>0</v>
      </c>
      <c r="AI124" s="209">
        <f>SUMIF(AD127:AD130,AD124,AI127:AI130)</f>
        <v>0</v>
      </c>
      <c r="AJ124" s="3200">
        <f>SUMIF(AD127:AD130,AD124,AJ127:AJ130)</f>
        <v>0</v>
      </c>
      <c r="AK124" s="3200">
        <f>SUMIF(AD127:AD130,AD124,AK127:AK130)</f>
        <v>0</v>
      </c>
      <c r="AL124" s="3200">
        <f>SUMIF(AD127:AD130,AD124,AL127:AL130)</f>
        <v>0</v>
      </c>
      <c r="AM124" s="3200">
        <f>SUMIF(AD127:AD130,AD124,AM127:AM130)</f>
        <v>0</v>
      </c>
      <c r="AN124" s="3200">
        <f>SUMIF(AD127:AD130,AD124,AN127:AN130)</f>
        <v>0</v>
      </c>
      <c r="AO124" s="3200">
        <f>SUMIF(AD127:AD130,AD124,AO127:AO130)</f>
        <v>0</v>
      </c>
      <c r="AP124" s="3200">
        <f>SUMIF(AD127:AD130,AD124,AP127:AP130)</f>
        <v>0</v>
      </c>
      <c r="AQ124" s="3200">
        <f>SUMIF(AD127:AD130,AD124,AQ127:AQ130)</f>
        <v>0</v>
      </c>
      <c r="AR124" s="3200">
        <f>SUMIF(AD127:AD130,AD124,AR127:AR130)</f>
        <v>0</v>
      </c>
      <c r="AS124" s="209">
        <f>SUMIF(AD127:AD130,AD124,AS127:AS130)</f>
        <v>0</v>
      </c>
      <c r="AT124" s="3200">
        <f>SUMIF(AD127:AD130,AD124,AT127:AT130)</f>
        <v>0</v>
      </c>
      <c r="AU124" s="3200">
        <f>SUMIF(AD127:AD130,AD124,AU127:AU130)</f>
        <v>0</v>
      </c>
      <c r="AV124" s="3200">
        <f>SUMIF(AD127:AD130,AD124,AV127:AV130)</f>
        <v>0</v>
      </c>
      <c r="AW124" s="3200">
        <f>SUMIF(AD127:AD130,AD124,AW127:AW130)</f>
        <v>0</v>
      </c>
      <c r="AX124" s="3200">
        <f>SUMIF(AD127:AD130,AD124,AX127:AX130)</f>
        <v>0</v>
      </c>
      <c r="AY124" s="3200">
        <f>SUMIF(AD127:AD130,AD124,AY127:AY130)</f>
        <v>0</v>
      </c>
      <c r="AZ124" s="3200">
        <f>SUMIF(AD127:AD130,AD124,AZ127:AZ130)</f>
        <v>0</v>
      </c>
      <c r="BA124" s="3200">
        <f>SUMIF(AD127:AD130,AD124,BA127:BA130)</f>
        <v>0</v>
      </c>
      <c r="BB124" s="3200">
        <f>SUMIF(AD127:AD130,AD124,BB127:BB130)</f>
        <v>0</v>
      </c>
      <c r="BC124" s="196"/>
      <c r="BD124" s="892"/>
      <c r="BE124" s="892"/>
      <c r="BF124" s="1049" t="s">
        <v>1281</v>
      </c>
      <c r="BG124" s="1049"/>
      <c r="BH124" s="1049"/>
      <c r="BI124" s="684"/>
      <c r="BJ124" s="684"/>
    </row>
    <row s="1656" customFormat="1" customHeight="1" ht="0" hidden="1">
      <c r="A125" s="892"/>
      <c r="B125" s="442"/>
      <c r="C125" s="892"/>
      <c r="D125" s="892"/>
      <c r="E125" s="684">
        <v>0</v>
      </c>
      <c r="F125" s="50" cm="1" t="str">
        <f t="array" ref="F125:F125">OFFSET(E125,-1,1)</f>
        <v>1</v>
      </c>
      <c r="G125" s="148" t="s">
        <v>347</v>
      </c>
      <c r="H125" s="892"/>
      <c r="I125" s="892"/>
      <c r="J125" s="892"/>
      <c r="K125" s="918"/>
      <c r="L125" s="922"/>
      <c r="M125" s="892"/>
      <c r="N125" s="892"/>
      <c r="O125" s="892"/>
      <c r="P125" s="892"/>
      <c r="Q125" s="892"/>
      <c r="R125" s="892"/>
      <c r="S125" s="892"/>
      <c r="T125" s="468" t="b">
        <v>0</v>
      </c>
      <c r="U125" s="892"/>
      <c r="V125" s="892"/>
      <c r="W125" s="148" t="s">
        <v>173</v>
      </c>
      <c r="X125" s="1469"/>
      <c r="Y125" s="1469">
        <v>0</v>
      </c>
      <c r="Z125" s="1592"/>
      <c r="AA125" s="1594" t="s">
        <v>174</v>
      </c>
      <c r="AB125" s="207"/>
      <c r="AC125" s="208"/>
      <c r="AD125" s="207"/>
      <c r="AE125" s="1448">
        <f>OR(AND(AE127&lt;&gt;"",AE128=""),AND(AE127="",AE128&lt;&gt;""))</f>
        <v>0</v>
      </c>
      <c r="AF125" s="1448">
        <f>OR(AND(AF127&lt;&gt;"",AF128=""),AND(AF127="",AF128&lt;&gt;""))</f>
        <v>0</v>
      </c>
      <c r="AG125" s="1448">
        <f>OR(AND(AG127&lt;&gt;"",AG128=""),AND(AG127="",AG128&lt;&gt;""))</f>
        <v>0</v>
      </c>
      <c r="AH125" s="1448">
        <f>OR(AND(AH127&lt;&gt;"",AH128=""),AND(AH127="",AH128&lt;&gt;""))</f>
        <v>0</v>
      </c>
      <c r="AI125" s="1448">
        <f>OR(AND(AI127&lt;&gt;"",AI128=""),AND(AI127="",AI128&lt;&gt;""))</f>
        <v>0</v>
      </c>
      <c r="AJ125" s="1448">
        <f>OR(AND(AJ127&lt;&gt;"",AJ128=""),AND(AJ127="",AJ128&lt;&gt;""))</f>
        <v>0</v>
      </c>
      <c r="AK125" s="1448">
        <f>OR(AND(AK127&lt;&gt;"",AK128=""),AND(AK127="",AK128&lt;&gt;""))</f>
        <v>0</v>
      </c>
      <c r="AL125" s="1448">
        <f>OR(AND(AL127&lt;&gt;"",AL128=""),AND(AL127="",AL128&lt;&gt;""))</f>
        <v>0</v>
      </c>
      <c r="AM125" s="1448">
        <f>OR(AND(AM127&lt;&gt;"",AM128=""),AND(AM127="",AM128&lt;&gt;""))</f>
        <v>0</v>
      </c>
      <c r="AN125" s="1448">
        <f>OR(AND(AN127&lt;&gt;"",AN128=""),AND(AN127="",AN128&lt;&gt;""))</f>
        <v>0</v>
      </c>
      <c r="AO125" s="1448">
        <f>OR(AND(AO127&lt;&gt;"",AO128=""),AND(AO127="",AO128&lt;&gt;""))</f>
        <v>0</v>
      </c>
      <c r="AP125" s="1448">
        <f>OR(AND(AP127&lt;&gt;"",AP128=""),AND(AP127="",AP128&lt;&gt;""))</f>
        <v>0</v>
      </c>
      <c r="AQ125" s="1448">
        <f>OR(AND(AQ127&lt;&gt;"",AQ128=""),AND(AQ127="",AQ128&lt;&gt;""))</f>
        <v>0</v>
      </c>
      <c r="AR125" s="1448">
        <f>OR(AND(AR127&lt;&gt;"",AR128=""),AND(AR127="",AR128&lt;&gt;""))</f>
        <v>0</v>
      </c>
      <c r="AS125" s="1448">
        <f>OR(AND(AS127&lt;&gt;"",AS128=""),AND(AS127="",AS128&lt;&gt;""))</f>
        <v>0</v>
      </c>
      <c r="AT125" s="1448">
        <f>OR(AND(AT127&lt;&gt;"",AT128=""),AND(AT127="",AT128&lt;&gt;""))</f>
        <v>0</v>
      </c>
      <c r="AU125" s="1448">
        <f>OR(AND(AU127&lt;&gt;"",AU128=""),AND(AU127="",AU128&lt;&gt;""))</f>
        <v>0</v>
      </c>
      <c r="AV125" s="1448">
        <f>OR(AND(AV127&lt;&gt;"",AV128=""),AND(AV127="",AV128&lt;&gt;""))</f>
        <v>0</v>
      </c>
      <c r="AW125" s="1448">
        <f>OR(AND(AW127&lt;&gt;"",AW128=""),AND(AW127="",AW128&lt;&gt;""))</f>
        <v>0</v>
      </c>
      <c r="AX125" s="1448">
        <f>OR(AND(AX127&lt;&gt;"",AX128=""),AND(AX127="",AX128&lt;&gt;""))</f>
        <v>0</v>
      </c>
      <c r="AY125" s="1448">
        <f>OR(AND(AY127&lt;&gt;"",AY128=""),AND(AY127="",AY128&lt;&gt;""))</f>
        <v>0</v>
      </c>
      <c r="AZ125" s="1448">
        <f>OR(AND(AZ127&lt;&gt;"",AZ128=""),AND(AZ127="",AZ128&lt;&gt;""))</f>
        <v>0</v>
      </c>
      <c r="BA125" s="1448">
        <f>OR(AND(BA127&lt;&gt;"",BA128=""),AND(BA127="",BA128&lt;&gt;""))</f>
        <v>0</v>
      </c>
      <c r="BB125" s="1448">
        <f>OR(AND(BB127&lt;&gt;"",BB128=""),AND(BB127="",BB128&lt;&gt;""))</f>
        <v>0</v>
      </c>
      <c r="BC125" s="982"/>
      <c r="BD125" s="892"/>
      <c r="BE125" s="892"/>
      <c r="BF125" s="1049"/>
      <c r="BG125" s="1049"/>
      <c r="BH125" s="1049"/>
      <c r="BI125" s="684"/>
      <c r="BJ125" s="684"/>
    </row>
    <row customHeight="1" ht="14.625" hidden="1">
      <c r="A126" s="892"/>
      <c r="B126" s="442"/>
      <c r="C126" s="892"/>
      <c r="D126" s="892"/>
      <c r="E126" s="684">
        <v>15</v>
      </c>
      <c r="F126" s="1326" cm="1" t="str">
        <f t="array" ref="F126:F126">OFFSET(E126,-1,1)</f>
        <v>1</v>
      </c>
      <c r="G126" s="892"/>
      <c r="H126" s="892"/>
      <c r="I126" s="892"/>
      <c r="J126" s="892"/>
      <c r="K126" s="918"/>
      <c r="L126" s="922"/>
      <c r="M126" s="892"/>
      <c r="N126" s="892"/>
      <c r="O126" s="892"/>
      <c r="P126" s="892"/>
      <c r="Q126" s="892"/>
      <c r="R126" s="892"/>
      <c r="S126" s="892"/>
      <c r="T126" s="1436">
        <f>AND(Y125&gt;0,F126&gt;0)</f>
        <v>0</v>
      </c>
      <c r="U126" s="892"/>
      <c r="V126" s="892"/>
      <c r="W126" s="892"/>
      <c r="X126" s="690"/>
      <c r="Y126" s="1469"/>
      <c r="Z126" s="892"/>
      <c r="AA126" s="3203"/>
      <c r="AB126" s="3204" t="str">
        <f>"5."&amp;Y125</f>
        <v>5.0</v>
      </c>
      <c r="AC126" s="3205" t="s">
        <v>240</v>
      </c>
      <c r="AD126" s="3206"/>
      <c r="AE126" s="3207"/>
      <c r="AF126" s="3208"/>
      <c r="AG126" s="3207"/>
      <c r="AH126" s="3207"/>
      <c r="AI126" s="3207"/>
      <c r="AJ126" s="3207"/>
      <c r="AK126" s="3207"/>
      <c r="AL126" s="3207"/>
      <c r="AM126" s="3207"/>
      <c r="AN126" s="3207"/>
      <c r="AO126" s="3207"/>
      <c r="AP126" s="3207"/>
      <c r="AQ126" s="3207"/>
      <c r="AR126" s="3207"/>
      <c r="AS126" s="3208"/>
      <c r="AT126" s="3208"/>
      <c r="AU126" s="3208"/>
      <c r="AV126" s="3208"/>
      <c r="AW126" s="3208"/>
      <c r="AX126" s="3208"/>
      <c r="AY126" s="3208"/>
      <c r="AZ126" s="3208"/>
      <c r="BA126" s="3208"/>
      <c r="BB126" s="3209"/>
      <c r="BC126" s="3210"/>
      <c r="BD126" s="892"/>
      <c r="BE126" s="892"/>
      <c r="BF126" s="1049"/>
      <c r="BG126" s="1049"/>
      <c r="BH126" s="1049"/>
      <c r="BI126" s="684"/>
      <c r="BJ126" s="684"/>
    </row>
    <row s="1656" customFormat="1" customHeight="1" ht="14.25" hidden="1">
      <c r="A127" s="892"/>
      <c r="B127" s="442"/>
      <c r="C127" s="892"/>
      <c r="D127" s="892"/>
      <c r="E127" s="684">
        <v>15</v>
      </c>
      <c r="F127" s="50" cm="1" t="str">
        <f t="array" ref="F127:F127">OFFSET(E127,-1,1)</f>
        <v>1</v>
      </c>
      <c r="G127" s="148" t="s">
        <v>347</v>
      </c>
      <c r="H127" s="151" cm="1" t="str">
        <f t="array" ref="H127:H127">AC127</f>
        <v>Затраты</v>
      </c>
      <c r="I127" s="148" t="s">
        <v>1282</v>
      </c>
      <c r="J127" s="892"/>
      <c r="K127" s="918"/>
      <c r="L127" s="892"/>
      <c r="M127" s="892"/>
      <c r="N127" s="892"/>
      <c r="O127" s="892"/>
      <c r="P127" s="892"/>
      <c r="Q127" s="892"/>
      <c r="R127" s="892"/>
      <c r="S127" s="892"/>
      <c r="T127" s="468" cm="1" t="str">
        <f t="array" ref="T127:T127">T126</f>
        <v>false</v>
      </c>
      <c r="U127" s="892"/>
      <c r="V127" s="892"/>
      <c r="W127" s="892"/>
      <c r="X127" s="1469"/>
      <c r="Y127" s="1469"/>
      <c r="Z127" s="1592"/>
      <c r="AA127" s="1594"/>
      <c r="AB127" s="84" t="str">
        <f>AB126&amp;".1"</f>
        <v>5.0.1</v>
      </c>
      <c r="AC127" s="3211" t="s">
        <v>1251</v>
      </c>
      <c r="AD127" s="207" t="s">
        <v>936</v>
      </c>
      <c r="AE127" s="3109"/>
      <c r="AF127" s="3109"/>
      <c r="AG127" s="3109"/>
      <c r="AH127" s="3109"/>
      <c r="AI127" s="3109"/>
      <c r="AJ127" s="3109"/>
      <c r="AK127" s="3109"/>
      <c r="AL127" s="3109"/>
      <c r="AM127" s="3109"/>
      <c r="AN127" s="3109"/>
      <c r="AO127" s="3109"/>
      <c r="AP127" s="3109"/>
      <c r="AQ127" s="3109"/>
      <c r="AR127" s="3109"/>
      <c r="AS127" s="3109"/>
      <c r="AT127" s="3109"/>
      <c r="AU127" s="3109"/>
      <c r="AV127" s="3109"/>
      <c r="AW127" s="3109"/>
      <c r="AX127" s="3109"/>
      <c r="AY127" s="3109"/>
      <c r="AZ127" s="3109"/>
      <c r="BA127" s="3109"/>
      <c r="BB127" s="3109"/>
      <c r="BC127" s="1928"/>
      <c r="BD127" s="892"/>
      <c r="BE127" s="892"/>
      <c r="BF127" s="1049" t="s">
        <v>1252</v>
      </c>
      <c r="BG127" s="1049" t="s">
        <v>1283</v>
      </c>
      <c r="BH127" s="1049" cm="1" t="str">
        <f t="array" ref="BH127:BH127">AC126</f>
        <v/>
      </c>
      <c r="BI127" s="684"/>
      <c r="BJ127" s="684" t="b">
        <v>1</v>
      </c>
    </row>
    <row s="1656" customFormat="1" customHeight="1" ht="0" hidden="1">
      <c r="A128" s="892"/>
      <c r="B128" s="442"/>
      <c r="C128" s="892"/>
      <c r="D128" s="892"/>
      <c r="E128" s="684">
        <v>15</v>
      </c>
      <c r="F128" s="50" cm="1" t="str">
        <f t="array" ref="F128:F128">OFFSET(E128,-1,1)</f>
        <v>1</v>
      </c>
      <c r="G128" s="148" t="s">
        <v>673</v>
      </c>
      <c r="H128" s="151" cm="1" t="str">
        <f t="array" ref="H128:H128">H127</f>
        <v>Затраты</v>
      </c>
      <c r="I128" s="148" t="s">
        <v>1282</v>
      </c>
      <c r="J128" s="892"/>
      <c r="K128" s="918"/>
      <c r="L128" s="892"/>
      <c r="M128" s="892"/>
      <c r="N128" s="892"/>
      <c r="O128" s="892"/>
      <c r="P128" s="892"/>
      <c r="Q128" s="892"/>
      <c r="R128" s="892"/>
      <c r="S128" s="892"/>
      <c r="T128" s="468" cm="1" t="str">
        <f t="array" ref="T128:T128">T127</f>
        <v>false</v>
      </c>
      <c r="U128" s="892"/>
      <c r="V128" s="892"/>
      <c r="W128" s="892"/>
      <c r="X128" s="1469"/>
      <c r="Y128" s="1469"/>
      <c r="Z128" s="1592"/>
      <c r="AA128" s="1594"/>
      <c r="AB128" s="84" t="str">
        <f>AB127&amp;".1"</f>
        <v>5.0.1.1</v>
      </c>
      <c r="AC128" s="217" t="s">
        <v>1284</v>
      </c>
      <c r="AD128" s="84" t="s">
        <v>657</v>
      </c>
      <c r="AE128" s="3109"/>
      <c r="AF128" s="3109"/>
      <c r="AG128" s="3109"/>
      <c r="AH128" s="3109"/>
      <c r="AI128" s="3109"/>
      <c r="AJ128" s="3109"/>
      <c r="AK128" s="3109"/>
      <c r="AL128" s="3109"/>
      <c r="AM128" s="3109"/>
      <c r="AN128" s="3109"/>
      <c r="AO128" s="3109"/>
      <c r="AP128" s="3109"/>
      <c r="AQ128" s="3109"/>
      <c r="AR128" s="3109"/>
      <c r="AS128" s="3109"/>
      <c r="AT128" s="3109"/>
      <c r="AU128" s="3109"/>
      <c r="AV128" s="3109"/>
      <c r="AW128" s="3109"/>
      <c r="AX128" s="3109"/>
      <c r="AY128" s="3109"/>
      <c r="AZ128" s="3109"/>
      <c r="BA128" s="3109"/>
      <c r="BB128" s="3109"/>
      <c r="BC128" s="1928"/>
      <c r="BD128" s="892"/>
      <c r="BE128" s="892"/>
      <c r="BF128" s="1049" t="s">
        <v>1255</v>
      </c>
      <c r="BG128" s="1049" t="s">
        <v>1283</v>
      </c>
      <c r="BH128" s="1049" cm="1" t="str">
        <f t="array" ref="BH128:BH128">BH127</f>
        <v/>
      </c>
      <c r="BI128" s="684"/>
      <c r="BJ128" s="684"/>
    </row>
    <row customHeight="1" ht="14.625" hidden="1">
      <c r="A129" s="892"/>
      <c r="B129" s="442"/>
      <c r="C129" s="892"/>
      <c r="D129" s="892"/>
      <c r="E129" s="684">
        <v>15</v>
      </c>
      <c r="F129" s="1326" cm="1" t="str">
        <f t="array" ref="F129:F129">OFFSET(E129,-1,1)</f>
        <v>1</v>
      </c>
      <c r="G129" s="892"/>
      <c r="H129" s="151"/>
      <c r="I129" s="892"/>
      <c r="J129" s="892"/>
      <c r="K129" s="918"/>
      <c r="L129" s="892"/>
      <c r="M129" s="892"/>
      <c r="N129" s="892"/>
      <c r="O129" s="892"/>
      <c r="P129" s="892"/>
      <c r="Q129" s="892"/>
      <c r="R129" s="892"/>
      <c r="S129" s="892"/>
      <c r="T129" s="1436" cm="1" t="str">
        <f t="array" ref="T129:T129">T128</f>
        <v>false</v>
      </c>
      <c r="U129" s="892"/>
      <c r="V129" s="892"/>
      <c r="W129" s="892"/>
      <c r="X129" s="690"/>
      <c r="Y129" s="1469"/>
      <c r="Z129" s="892"/>
      <c r="AA129" s="3203"/>
      <c r="AB129" s="3214" t="str">
        <f>AB127&amp;".2"</f>
        <v>5.0.1.2</v>
      </c>
      <c r="AC129" s="3215" t="s">
        <v>1285</v>
      </c>
      <c r="AD129" s="3214" t="s">
        <v>1257</v>
      </c>
      <c r="AE129" s="3216"/>
      <c r="AF129" s="3216"/>
      <c r="AG129" s="3216"/>
      <c r="AH129" s="3216"/>
      <c r="AI129" s="3216"/>
      <c r="AJ129" s="3216"/>
      <c r="AK129" s="3216"/>
      <c r="AL129" s="3216"/>
      <c r="AM129" s="3216"/>
      <c r="AN129" s="3216"/>
      <c r="AO129" s="3216"/>
      <c r="AP129" s="3216"/>
      <c r="AQ129" s="3216"/>
      <c r="AR129" s="3216"/>
      <c r="AS129" s="3216"/>
      <c r="AT129" s="3216"/>
      <c r="AU129" s="3216"/>
      <c r="AV129" s="3216"/>
      <c r="AW129" s="3216"/>
      <c r="AX129" s="3216"/>
      <c r="AY129" s="3216"/>
      <c r="AZ129" s="3216"/>
      <c r="BA129" s="3216"/>
      <c r="BB129" s="3216"/>
      <c r="BC129" s="3217"/>
      <c r="BD129" s="892"/>
      <c r="BE129" s="892"/>
      <c r="BF129" s="1049" t="s">
        <v>1258</v>
      </c>
      <c r="BG129" s="1049" t="s">
        <v>1283</v>
      </c>
      <c r="BH129" s="3218" cm="1" t="str">
        <f t="array" ref="BH129:BH129">BH128</f>
        <v/>
      </c>
      <c r="BI129" s="684"/>
      <c r="BJ129" s="684"/>
    </row>
    <row s="1656" customFormat="1" customHeight="1" ht="0">
      <c r="A130" s="892"/>
      <c r="B130" s="442"/>
      <c r="C130" s="892"/>
      <c r="D130" s="892"/>
      <c r="E130" s="684">
        <v>15</v>
      </c>
      <c r="F130" s="50" cm="1" t="str">
        <f t="array" ref="F130:F130">OFFSET(E130,-1,1)</f>
        <v>1</v>
      </c>
      <c r="G130" s="892"/>
      <c r="H130" s="148" t="str">
        <f>"!=='не определено' &amp;&amp; row.l5 !== null"</f>
        <v>!=='не определено' &amp;&amp; row.l5 !== null</v>
      </c>
      <c r="I130" s="892"/>
      <c r="J130" s="892"/>
      <c r="K130" s="918"/>
      <c r="L130" s="892"/>
      <c r="M130" s="892"/>
      <c r="N130" s="892"/>
      <c r="O130" s="892"/>
      <c r="P130" s="892"/>
      <c r="Q130" s="892"/>
      <c r="R130" s="892"/>
      <c r="S130" s="892"/>
      <c r="T130" s="468">
        <f>F130&gt;0</f>
        <v>1</v>
      </c>
      <c r="U130" s="892"/>
      <c r="V130" s="892"/>
      <c r="W130" s="691" t="s">
        <v>1286</v>
      </c>
      <c r="X130" s="1469"/>
      <c r="Y130" s="165"/>
      <c r="Z130" s="1592"/>
      <c r="AA130" s="892"/>
      <c r="AB130" s="687"/>
      <c r="AC130" s="228" t="s">
        <v>1260</v>
      </c>
      <c r="AD130" s="228"/>
      <c r="AE130" s="228"/>
      <c r="AF130" s="228"/>
      <c r="AG130" s="228"/>
      <c r="AH130" s="228"/>
      <c r="AI130" s="228"/>
      <c r="AJ130" s="228"/>
      <c r="AK130" s="228"/>
      <c r="AL130" s="228"/>
      <c r="AM130" s="228"/>
      <c r="AN130" s="228"/>
      <c r="AO130" s="228"/>
      <c r="AP130" s="228"/>
      <c r="AQ130" s="228"/>
      <c r="AR130" s="228"/>
      <c r="AS130" s="228"/>
      <c r="AT130" s="228"/>
      <c r="AU130" s="228"/>
      <c r="AV130" s="228"/>
      <c r="AW130" s="228"/>
      <c r="AX130" s="228"/>
      <c r="AY130" s="228"/>
      <c r="AZ130" s="228"/>
      <c r="BA130" s="228"/>
      <c r="BB130" s="228"/>
      <c r="BC130" s="229"/>
      <c r="BD130" s="892"/>
      <c r="BE130" s="892"/>
      <c r="BF130" s="1049"/>
      <c r="BG130" s="1049"/>
      <c r="BH130" s="1049"/>
      <c r="BI130" s="684" t="s">
        <v>1283</v>
      </c>
      <c r="BJ130" s="684"/>
    </row>
    <row s="149" customFormat="1" customHeight="1" ht="33.75">
      <c r="A131" s="149"/>
      <c r="B131" s="443"/>
      <c r="C131" s="149"/>
      <c r="D131" s="149"/>
      <c r="E131" s="685">
        <v>15</v>
      </c>
      <c r="F131" s="50" cm="1" t="str">
        <f t="array" ref="F131:F131">OFFSET(E131,-1,1)</f>
        <v>1</v>
      </c>
      <c r="G131" s="148" t="s">
        <v>616</v>
      </c>
      <c r="H131" s="149"/>
      <c r="I131" s="149"/>
      <c r="J131" s="149"/>
      <c r="K131" s="918" t="str">
        <f>F96&amp;"6komm"</f>
        <v>16komm</v>
      </c>
      <c r="L131" s="922" cm="1" t="str">
        <f t="array" ref="L131:L131">BC131</f>
        <v>П. 49 (1) Методических указаний ФСТ России от 27.12.2013 № 1746-э.</v>
      </c>
      <c r="M131" s="149"/>
      <c r="N131" s="149"/>
      <c r="O131" s="149"/>
      <c r="P131" s="149"/>
      <c r="Q131" s="149"/>
      <c r="R131" s="149"/>
      <c r="S131" s="149"/>
      <c r="T131" s="468" cm="1" t="str">
        <f t="array" ref="T131:T131">T130</f>
        <v>true</v>
      </c>
      <c r="U131" s="149"/>
      <c r="V131" s="149"/>
      <c r="W131" s="149"/>
      <c r="X131" s="1469"/>
      <c r="Y131" s="149"/>
      <c r="Z131" s="1592"/>
      <c r="AA131" s="149"/>
      <c r="AB131" s="207">
        <v>6</v>
      </c>
      <c r="AC131" s="208" t="s">
        <v>1287</v>
      </c>
      <c r="AD131" s="207" t="s">
        <v>936</v>
      </c>
      <c r="AE131" s="3231">
        <f>SUMIF($AC134:$AC150,"Затраты на тепловую энергию, всего",AE134:AE150)</f>
        <v>4283.56</v>
      </c>
      <c r="AF131" s="3231">
        <f>SUMIF($AC134:$AC150,"Затраты на тепловую энергию, всего",AF134:AF150)</f>
        <v>5861.53</v>
      </c>
      <c r="AG131" s="3231">
        <f>SUMIF($AC134:$AC150,"Затраты на тепловую энергию, всего",AG134:AG150)</f>
        <v>5861.53</v>
      </c>
      <c r="AH131" s="3231">
        <f>SUMIF($AC134:$AC150,"Затраты на тепловую энергию, всего",AH134:AH150)</f>
        <v>5465.44</v>
      </c>
      <c r="AI131" s="3231">
        <f>SUMIF($AC134:$AC150,"Затраты на тепловую энергию, всего",AI134:AI150)</f>
        <v>6900.27</v>
      </c>
      <c r="AJ131" s="3232">
        <f>SUMIF($AC134:$AC150,"Затраты на тепловую энергию, всего",AJ134:AJ150)</f>
        <v>0</v>
      </c>
      <c r="AK131" s="3232">
        <f>SUMIF($AC134:$AC150,"Затраты на тепловую энергию, всего",AK134:AK150)</f>
        <v>0</v>
      </c>
      <c r="AL131" s="3232">
        <f>SUMIF($AC134:$AC150,"Затраты на тепловую энергию, всего",AL134:AL150)</f>
        <v>0</v>
      </c>
      <c r="AM131" s="3232">
        <f>SUMIF($AC134:$AC150,"Затраты на тепловую энергию, всего",AM134:AM150)</f>
        <v>0</v>
      </c>
      <c r="AN131" s="3232">
        <f>SUMIF($AC134:$AC150,"Затраты на тепловую энергию, всего",AN134:AN150)</f>
        <v>0</v>
      </c>
      <c r="AO131" s="3232">
        <f>SUMIF($AC134:$AC150,"Затраты на тепловую энергию, всего",AO134:AO150)</f>
        <v>0</v>
      </c>
      <c r="AP131" s="3232">
        <f>SUMIF($AC134:$AC150,"Затраты на тепловую энергию, всего",AP134:AP150)</f>
        <v>0</v>
      </c>
      <c r="AQ131" s="3232">
        <f>SUMIF($AC134:$AC150,"Затраты на тепловую энергию, всего",AQ134:AQ150)</f>
        <v>0</v>
      </c>
      <c r="AR131" s="3232">
        <f>SUMIF($AC134:$AC150,"Затраты на тепловую энергию, всего",AR134:AR150)</f>
        <v>0</v>
      </c>
      <c r="AS131" s="3231">
        <f>SUMIF($AC134:$AC150,"Затраты на тепловую энергию, всего",AS134:AS150)</f>
        <v>6711.7879</v>
      </c>
      <c r="AT131" s="3232">
        <f>SUMIF($AC134:$AC150,"Затраты на тепловую энергию, всего",AT134:AT150)</f>
        <v>0</v>
      </c>
      <c r="AU131" s="3232">
        <f>SUMIF($AC134:$AC150,"Затраты на тепловую энергию, всего",AU134:AU150)</f>
        <v>0</v>
      </c>
      <c r="AV131" s="3232">
        <f>SUMIF($AC134:$AC150,"Затраты на тепловую энергию, всего",AV134:AV150)</f>
        <v>0</v>
      </c>
      <c r="AW131" s="3232">
        <f>SUMIF($AC134:$AC150,"Затраты на тепловую энергию, всего",AW134:AW150)</f>
        <v>0</v>
      </c>
      <c r="AX131" s="3232">
        <f>SUMIF($AC134:$AC150,"Затраты на тепловую энергию, всего",AX134:AX150)</f>
        <v>0</v>
      </c>
      <c r="AY131" s="3232">
        <f>SUMIF($AC134:$AC150,"Затраты на тепловую энергию, всего",AY134:AY150)</f>
        <v>0</v>
      </c>
      <c r="AZ131" s="3232">
        <f>SUMIF($AC134:$AC150,"Затраты на тепловую энергию, всего",AZ134:AZ150)</f>
        <v>0</v>
      </c>
      <c r="BA131" s="3232">
        <f>SUMIF($AC134:$AC150,"Затраты на тепловую энергию, всего",BA134:BA150)</f>
        <v>0</v>
      </c>
      <c r="BB131" s="3232">
        <f>SUMIF($AC134:$AC150,"Затраты на тепловую энергию, всего",BB134:BB150)</f>
        <v>0</v>
      </c>
      <c r="BC131" s="196" t="s">
        <v>1327</v>
      </c>
      <c r="BD131" s="149"/>
      <c r="BE131" s="149"/>
      <c r="BF131" s="1052" t="s">
        <v>1288</v>
      </c>
      <c r="BG131" s="1052"/>
      <c r="BH131" s="1052"/>
      <c r="BI131" s="685"/>
      <c r="BJ131" s="685"/>
    </row>
    <row customHeight="1" ht="14.625" hidden="1">
      <c r="E132" s="684">
        <v>15</v>
      </c>
      <c r="F132" s="50" cm="1" t="str">
        <f t="array" ref="F132:F132">OFFSET(E132,-1,1)</f>
        <v>1</v>
      </c>
      <c r="T132" s="468" t="b">
        <v>0</v>
      </c>
      <c r="W132" s="148" t="s">
        <v>173</v>
      </c>
      <c r="Y132" s="689">
        <v>0</v>
      </c>
      <c r="AA132" s="52" t="s">
        <v>174</v>
      </c>
      <c r="AB132" s="53"/>
      <c r="AD132" s="54"/>
      <c r="AE132" s="55">
        <f>OR(AND(AE135&lt;&gt;"",AE136=""),AND(AE135="",AE136&lt;&gt;""))</f>
        <v>0</v>
      </c>
      <c r="AF132" s="55">
        <f>OR(AND(AF135&lt;&gt;"",AF136=""),AND(AF135="",AF136&lt;&gt;""))</f>
        <v>0</v>
      </c>
      <c r="AG132" s="55">
        <f>OR(AND(AG135&lt;&gt;"",AG136=""),AND(AG135="",AG136&lt;&gt;""))</f>
        <v>0</v>
      </c>
      <c r="AH132" s="55">
        <f>OR(AND(AH135&lt;&gt;"",AH136=""),AND(AH135="",AH136&lt;&gt;""))</f>
        <v>0</v>
      </c>
      <c r="AI132" s="55">
        <f>OR(AND(AI135&lt;&gt;"",AI136=""),AND(AI135="",AI136&lt;&gt;""))</f>
        <v>0</v>
      </c>
      <c r="AJ132" s="55">
        <f>OR(AND(AJ135&lt;&gt;"",AJ136=""),AND(AJ135="",AJ136&lt;&gt;""))</f>
        <v>0</v>
      </c>
      <c r="AK132" s="55">
        <f>OR(AND(AK135&lt;&gt;"",AK136=""),AND(AK135="",AK136&lt;&gt;""))</f>
        <v>0</v>
      </c>
      <c r="AL132" s="55">
        <f>OR(AND(AL135&lt;&gt;"",AL136=""),AND(AL135="",AL136&lt;&gt;""))</f>
        <v>0</v>
      </c>
      <c r="AM132" s="55">
        <f>OR(AND(AM135&lt;&gt;"",AM136=""),AND(AM135="",AM136&lt;&gt;""))</f>
        <v>0</v>
      </c>
      <c r="AN132" s="55">
        <f>OR(AND(AN135&lt;&gt;"",AN136=""),AND(AN135="",AN136&lt;&gt;""))</f>
        <v>0</v>
      </c>
      <c r="AO132" s="55">
        <f>OR(AND(AO135&lt;&gt;"",AO136=""),AND(AO135="",AO136&lt;&gt;""))</f>
        <v>0</v>
      </c>
      <c r="AP132" s="55">
        <f>OR(AND(AP135&lt;&gt;"",AP136=""),AND(AP135="",AP136&lt;&gt;""))</f>
        <v>0</v>
      </c>
      <c r="AQ132" s="55">
        <f>OR(AND(AQ135&lt;&gt;"",AQ136=""),AND(AQ135="",AQ136&lt;&gt;""))</f>
        <v>0</v>
      </c>
      <c r="AR132" s="55">
        <f>OR(AND(AR135&lt;&gt;"",AR136=""),AND(AR135="",AR136&lt;&gt;""))</f>
        <v>0</v>
      </c>
      <c r="AS132" s="55">
        <f>OR(AND(AS135&lt;&gt;"",AS136=""),AND(AS135="",AS136&lt;&gt;""))</f>
        <v>0</v>
      </c>
      <c r="AT132" s="55">
        <f>OR(AND(AT135&lt;&gt;"",AT136=""),AND(AT135="",AT136&lt;&gt;""))</f>
        <v>0</v>
      </c>
      <c r="AU132" s="55">
        <f>OR(AND(AU135&lt;&gt;"",AU136=""),AND(AU135="",AU136&lt;&gt;""))</f>
        <v>0</v>
      </c>
      <c r="AV132" s="55">
        <f>OR(AND(AV135&lt;&gt;"",AV136=""),AND(AV135="",AV136&lt;&gt;""))</f>
        <v>0</v>
      </c>
      <c r="AW132" s="55">
        <f>OR(AND(AW135&lt;&gt;"",AW136=""),AND(AW135="",AW136&lt;&gt;""))</f>
        <v>0</v>
      </c>
      <c r="AX132" s="55">
        <f>OR(AND(AX135&lt;&gt;"",AX136=""),AND(AX135="",AX136&lt;&gt;""))</f>
        <v>0</v>
      </c>
      <c r="AY132" s="55">
        <f>OR(AND(AY135&lt;&gt;"",AY136=""),AND(AY135="",AY136&lt;&gt;""))</f>
        <v>0</v>
      </c>
      <c r="AZ132" s="55">
        <f>OR(AND(AZ135&lt;&gt;"",AZ136=""),AND(AZ135="",AZ136&lt;&gt;""))</f>
        <v>0</v>
      </c>
      <c r="BA132" s="55">
        <f>OR(AND(BA135&lt;&gt;"",BA136=""),AND(BA135="",BA136&lt;&gt;""))</f>
        <v>0</v>
      </c>
      <c r="BB132" s="55">
        <f>OR(AND(BB135&lt;&gt;"",BB136=""),AND(BB135="",BB136&lt;&gt;""))</f>
        <v>0</v>
      </c>
      <c r="BC132" s="55"/>
      <c r="BF132" s="1052"/>
      <c r="BG132" s="1052"/>
      <c r="BH132" s="1052"/>
      <c r="BI132" s="685"/>
      <c r="BJ132" s="685"/>
    </row>
    <row customHeight="1" ht="14.625" hidden="1">
      <c r="E133" s="684">
        <v>15</v>
      </c>
      <c r="F133" s="50" cm="1" t="str">
        <f t="array" ref="F133:F133">OFFSET(E133,-1,1)</f>
        <v>1</v>
      </c>
      <c r="T133" s="468">
        <f>AND(F133&gt;0,Y132&gt;0)</f>
        <v>0</v>
      </c>
      <c r="AA133" s="52"/>
      <c r="AB133" s="56" t="str">
        <f>"6."&amp;Y132</f>
        <v>6.0</v>
      </c>
      <c r="AC133" s="57"/>
      <c r="AD133" s="54"/>
      <c r="AE133" s="58"/>
      <c r="AF133" s="58"/>
      <c r="AG133" s="58"/>
      <c r="AH133" s="58"/>
      <c r="AI133" s="58"/>
      <c r="AJ133" s="58"/>
      <c r="AK133" s="58"/>
      <c r="AL133" s="58"/>
      <c r="AM133" s="58"/>
      <c r="AN133" s="58"/>
      <c r="AO133" s="58"/>
      <c r="AP133" s="58"/>
      <c r="AQ133" s="58"/>
      <c r="AR133" s="58"/>
      <c r="AS133" s="58"/>
      <c r="AT133" s="58"/>
      <c r="AU133" s="58"/>
      <c r="AV133" s="58"/>
      <c r="AW133" s="58"/>
      <c r="AX133" s="58"/>
      <c r="AY133" s="58"/>
      <c r="AZ133" s="58"/>
      <c r="BA133" s="58"/>
      <c r="BB133" s="58"/>
      <c r="BC133" s="58"/>
      <c r="BF133" s="1052"/>
      <c r="BG133" s="1052"/>
      <c r="BH133" s="1052"/>
      <c r="BI133" s="685"/>
      <c r="BJ133" s="685"/>
    </row>
    <row customHeight="1" ht="14.625" hidden="1">
      <c r="E134" s="684">
        <v>15</v>
      </c>
      <c r="F134" s="50" cm="1" t="str">
        <f t="array" ref="F134:F134">OFFSET(E134,-1,1)</f>
        <v>1</v>
      </c>
      <c r="T134" s="468" cm="1" t="str">
        <f t="array" ref="T134:T134">T133</f>
        <v>false</v>
      </c>
      <c r="AA134" s="52"/>
      <c r="AB134" s="56" t="str">
        <f>AB133&amp;".1"</f>
        <v>6.0.1</v>
      </c>
      <c r="AC134" s="59" t="s">
        <v>1289</v>
      </c>
      <c r="AD134" s="60" t="s">
        <v>936</v>
      </c>
      <c r="AE134" s="61">
        <f>AE135+AE138</f>
        <v>0</v>
      </c>
      <c r="AF134" s="61">
        <f>AF135+AF138</f>
        <v>0</v>
      </c>
      <c r="AG134" s="61">
        <f>AG135+AG138</f>
        <v>0</v>
      </c>
      <c r="AH134" s="61">
        <f>AH135+AH138</f>
        <v>0</v>
      </c>
      <c r="AI134" s="61">
        <f>AI135+AI138</f>
        <v>0</v>
      </c>
      <c r="AJ134" s="62">
        <f>AJ135+AJ138</f>
        <v>0</v>
      </c>
      <c r="AK134" s="62">
        <f>AK135+AK138</f>
        <v>0</v>
      </c>
      <c r="AL134" s="62">
        <f>AL135+AL138</f>
        <v>0</v>
      </c>
      <c r="AM134" s="62">
        <f>AM135+AM138</f>
        <v>0</v>
      </c>
      <c r="AN134" s="62">
        <f>AN135+AN138</f>
        <v>0</v>
      </c>
      <c r="AO134" s="62">
        <f>AO135+AO138</f>
        <v>0</v>
      </c>
      <c r="AP134" s="62">
        <f>AP135+AP138</f>
        <v>0</v>
      </c>
      <c r="AQ134" s="62">
        <f>AQ135+AQ138</f>
        <v>0</v>
      </c>
      <c r="AR134" s="62">
        <f>AR135+AR138</f>
        <v>0</v>
      </c>
      <c r="AS134" s="61">
        <f>AS135+AS138</f>
        <v>0</v>
      </c>
      <c r="AT134" s="62">
        <f>AT135+AT138</f>
        <v>0</v>
      </c>
      <c r="AU134" s="62">
        <f>AU135+AU138</f>
        <v>0</v>
      </c>
      <c r="AV134" s="62">
        <f>AV135+AV138</f>
        <v>0</v>
      </c>
      <c r="AW134" s="62">
        <f>AW135+AW138</f>
        <v>0</v>
      </c>
      <c r="AX134" s="62">
        <f>AX135+AX138</f>
        <v>0</v>
      </c>
      <c r="AY134" s="62">
        <f>AY135+AY138</f>
        <v>0</v>
      </c>
      <c r="AZ134" s="62">
        <f>AZ135+AZ138</f>
        <v>0</v>
      </c>
      <c r="BA134" s="62">
        <f>BA135+BA138</f>
        <v>0</v>
      </c>
      <c r="BB134" s="62">
        <f>BB135+BB138</f>
        <v>0</v>
      </c>
      <c r="BC134" s="63"/>
      <c r="BF134" s="1052" t="s">
        <v>1290</v>
      </c>
      <c r="BG134" s="1052" t="s">
        <v>1291</v>
      </c>
      <c r="BH134" s="64" cm="1" t="str">
        <f t="array" ref="BH134:BH134">AC133</f>
        <v>0</v>
      </c>
      <c r="BI134" s="685"/>
      <c r="BJ134" s="685" t="b">
        <v>1</v>
      </c>
    </row>
    <row customHeight="1" ht="14.625" hidden="1">
      <c r="E135" s="684">
        <v>15</v>
      </c>
      <c r="F135" s="50" cm="1" t="str">
        <f t="array" ref="F135:F135">OFFSET(E135,-1,1)</f>
        <v>1</v>
      </c>
      <c r="T135" s="468" cm="1" t="str">
        <f t="array" ref="T135:T135">T134</f>
        <v>false</v>
      </c>
      <c r="AA135" s="52"/>
      <c r="AB135" s="56" t="str">
        <f>AB134&amp;".1"</f>
        <v>6.0.1.1</v>
      </c>
      <c r="AC135" s="65" t="s">
        <v>1292</v>
      </c>
      <c r="AD135" s="66" t="s">
        <v>936</v>
      </c>
      <c r="AE135" s="67"/>
      <c r="AF135" s="67"/>
      <c r="AG135" s="67"/>
      <c r="AH135" s="67"/>
      <c r="AI135" s="67"/>
      <c r="AJ135" s="67"/>
      <c r="AK135" s="67"/>
      <c r="AL135" s="67"/>
      <c r="AM135" s="67"/>
      <c r="AN135" s="67"/>
      <c r="AO135" s="67"/>
      <c r="AP135" s="67"/>
      <c r="AQ135" s="67"/>
      <c r="AR135" s="67"/>
      <c r="AS135" s="67"/>
      <c r="AT135" s="67"/>
      <c r="AU135" s="67"/>
      <c r="AV135" s="67"/>
      <c r="AW135" s="67"/>
      <c r="AX135" s="67"/>
      <c r="AY135" s="67"/>
      <c r="AZ135" s="67"/>
      <c r="BA135" s="67"/>
      <c r="BB135" s="67"/>
      <c r="BC135" s="63"/>
      <c r="BF135" s="1052" t="s">
        <v>1293</v>
      </c>
      <c r="BG135" s="1052" t="s">
        <v>1291</v>
      </c>
      <c r="BH135" s="64" cm="1" t="str">
        <f t="array" ref="BH135:BH135">BH134</f>
        <v>0</v>
      </c>
      <c r="BI135" s="685"/>
      <c r="BJ135" s="685"/>
    </row>
    <row customHeight="1" ht="14.625" hidden="1">
      <c r="E136" s="684">
        <v>15</v>
      </c>
      <c r="F136" s="50" cm="1" t="str">
        <f t="array" ref="F136:F136">OFFSET(E136,-1,1)</f>
        <v>1</v>
      </c>
      <c r="T136" s="468" cm="1" t="str">
        <f t="array" ref="T136:T136">T135</f>
        <v>false</v>
      </c>
      <c r="AA136" s="52"/>
      <c r="AB136" s="56" t="str">
        <f>AB135&amp;".1"</f>
        <v>6.0.1.1.1</v>
      </c>
      <c r="AC136" s="68" t="s">
        <v>1294</v>
      </c>
      <c r="AD136" s="60" t="s">
        <v>1295</v>
      </c>
      <c r="AE136" s="67"/>
      <c r="AF136" s="67"/>
      <c r="AG136" s="67"/>
      <c r="AH136" s="67"/>
      <c r="AI136" s="67"/>
      <c r="AJ136" s="67"/>
      <c r="AK136" s="67"/>
      <c r="AL136" s="67"/>
      <c r="AM136" s="67"/>
      <c r="AN136" s="67"/>
      <c r="AO136" s="67"/>
      <c r="AP136" s="67"/>
      <c r="AQ136" s="67"/>
      <c r="AR136" s="67"/>
      <c r="AS136" s="67"/>
      <c r="AT136" s="67"/>
      <c r="AU136" s="67"/>
      <c r="AV136" s="67"/>
      <c r="AW136" s="67"/>
      <c r="AX136" s="67"/>
      <c r="AY136" s="67"/>
      <c r="AZ136" s="67"/>
      <c r="BA136" s="67"/>
      <c r="BB136" s="67"/>
      <c r="BC136" s="63"/>
      <c r="BF136" s="1052" t="s">
        <v>1296</v>
      </c>
      <c r="BG136" s="1052" t="s">
        <v>1291</v>
      </c>
      <c r="BH136" s="64" cm="1" t="str">
        <f t="array" ref="BH136:BH136">BH135</f>
        <v>0</v>
      </c>
      <c r="BI136" s="685"/>
      <c r="BJ136" s="685"/>
    </row>
    <row customHeight="1" ht="14.625" hidden="1">
      <c r="E137" s="684">
        <v>15</v>
      </c>
      <c r="F137" s="50" cm="1" t="str">
        <f t="array" ref="F137:F137">OFFSET(E137,-1,1)</f>
        <v>1</v>
      </c>
      <c r="T137" s="468" cm="1" t="str">
        <f t="array" ref="T137:T137">T136</f>
        <v>false</v>
      </c>
      <c r="AA137" s="52"/>
      <c r="AB137" s="56" t="str">
        <f>AB135&amp;".2"</f>
        <v>6.0.1.1.2</v>
      </c>
      <c r="AC137" s="68" t="s">
        <v>1297</v>
      </c>
      <c r="AD137" s="60" t="s">
        <v>1298</v>
      </c>
      <c r="AE137" s="67"/>
      <c r="AF137" s="67"/>
      <c r="AG137" s="67"/>
      <c r="AH137" s="67"/>
      <c r="AI137" s="67"/>
      <c r="AJ137" s="67"/>
      <c r="AK137" s="67"/>
      <c r="AL137" s="67"/>
      <c r="AM137" s="67"/>
      <c r="AN137" s="67"/>
      <c r="AO137" s="67"/>
      <c r="AP137" s="67"/>
      <c r="AQ137" s="67"/>
      <c r="AR137" s="67"/>
      <c r="AS137" s="67"/>
      <c r="AT137" s="67"/>
      <c r="AU137" s="67"/>
      <c r="AV137" s="67"/>
      <c r="AW137" s="67"/>
      <c r="AX137" s="67"/>
      <c r="AY137" s="67"/>
      <c r="AZ137" s="67"/>
      <c r="BA137" s="67"/>
      <c r="BB137" s="67"/>
      <c r="BC137" s="63"/>
      <c r="BF137" s="1052" t="s">
        <v>1299</v>
      </c>
      <c r="BG137" s="1052" t="s">
        <v>1291</v>
      </c>
      <c r="BH137" s="64" cm="1" t="str">
        <f t="array" ref="BH137:BH137">BH136</f>
        <v>0</v>
      </c>
      <c r="BI137" s="685"/>
      <c r="BJ137" s="685"/>
    </row>
    <row customHeight="1" ht="14.625" hidden="1">
      <c r="E138" s="684">
        <v>15</v>
      </c>
      <c r="F138" s="50" cm="1" t="str">
        <f t="array" ref="F138:F138">OFFSET(E138,-1,1)</f>
        <v>1</v>
      </c>
      <c r="T138" s="468" cm="1" t="str">
        <f t="array" ref="T138:T138">T137</f>
        <v>false</v>
      </c>
      <c r="AA138" s="52"/>
      <c r="AB138" s="56" t="str">
        <f>AB134&amp;".2"</f>
        <v>6.0.1.2</v>
      </c>
      <c r="AC138" s="69" t="s">
        <v>1300</v>
      </c>
      <c r="AD138" s="60" t="s">
        <v>936</v>
      </c>
      <c r="AE138" s="67"/>
      <c r="AF138" s="67"/>
      <c r="AG138" s="67"/>
      <c r="AH138" s="67"/>
      <c r="AI138" s="67"/>
      <c r="AJ138" s="67"/>
      <c r="AK138" s="67"/>
      <c r="AL138" s="67"/>
      <c r="AM138" s="67"/>
      <c r="AN138" s="67"/>
      <c r="AO138" s="67"/>
      <c r="AP138" s="67"/>
      <c r="AQ138" s="67"/>
      <c r="AR138" s="67"/>
      <c r="AS138" s="67"/>
      <c r="AT138" s="67"/>
      <c r="AU138" s="67"/>
      <c r="AV138" s="67"/>
      <c r="AW138" s="67"/>
      <c r="AX138" s="67"/>
      <c r="AY138" s="67"/>
      <c r="AZ138" s="67"/>
      <c r="BA138" s="67"/>
      <c r="BB138" s="67"/>
      <c r="BC138" s="63"/>
      <c r="BF138" s="1052" t="s">
        <v>1301</v>
      </c>
      <c r="BG138" s="1052" t="s">
        <v>1291</v>
      </c>
      <c r="BH138" s="64" cm="1" t="str">
        <f t="array" ref="BH138:BH138">BH137</f>
        <v>0</v>
      </c>
      <c r="BI138" s="685"/>
      <c r="BJ138" s="685"/>
    </row>
    <row customHeight="1" ht="14.625" hidden="1">
      <c r="E139" s="684">
        <v>15</v>
      </c>
      <c r="F139" s="50" cm="1" t="str">
        <f t="array" ref="F139:F139">OFFSET(E139,-1,1)</f>
        <v>1</v>
      </c>
      <c r="T139" s="468" cm="1" t="str">
        <f t="array" ref="T139:T139">T138</f>
        <v>false</v>
      </c>
      <c r="AA139" s="52"/>
      <c r="AB139" s="56" t="str">
        <f>AB138&amp;".1"</f>
        <v>6.0.1.2.1</v>
      </c>
      <c r="AC139" s="68" t="s">
        <v>1302</v>
      </c>
      <c r="AD139" s="60" t="s">
        <v>1303</v>
      </c>
      <c r="AE139" s="67"/>
      <c r="AF139" s="67"/>
      <c r="AG139" s="67"/>
      <c r="AH139" s="67"/>
      <c r="AI139" s="67"/>
      <c r="AJ139" s="67"/>
      <c r="AK139" s="67"/>
      <c r="AL139" s="67"/>
      <c r="AM139" s="67"/>
      <c r="AN139" s="67"/>
      <c r="AO139" s="67"/>
      <c r="AP139" s="67"/>
      <c r="AQ139" s="67"/>
      <c r="AR139" s="67"/>
      <c r="AS139" s="67"/>
      <c r="AT139" s="67"/>
      <c r="AU139" s="67"/>
      <c r="AV139" s="67"/>
      <c r="AW139" s="67"/>
      <c r="AX139" s="67"/>
      <c r="AY139" s="67"/>
      <c r="AZ139" s="67"/>
      <c r="BA139" s="67"/>
      <c r="BB139" s="67"/>
      <c r="BC139" s="63"/>
      <c r="BF139" s="1052" t="s">
        <v>1304</v>
      </c>
      <c r="BG139" s="1052" t="s">
        <v>1291</v>
      </c>
      <c r="BH139" s="64" cm="1" t="str">
        <f t="array" ref="BH139:BH139">BH138</f>
        <v>0</v>
      </c>
      <c r="BI139" s="685"/>
      <c r="BJ139" s="685"/>
    </row>
    <row customHeight="1" ht="14.625" hidden="1">
      <c r="E140" s="684">
        <v>15</v>
      </c>
      <c r="F140" s="50" cm="1" t="str">
        <f t="array" ref="F140:F140">OFFSET(E140,-1,1)</f>
        <v>1</v>
      </c>
      <c r="T140" s="468" cm="1" t="str">
        <f t="array" ref="T140:T140">T139</f>
        <v>false</v>
      </c>
      <c r="AA140" s="52"/>
      <c r="AB140" s="56" t="str">
        <f>AB138&amp;".2"</f>
        <v>6.0.1.2.2</v>
      </c>
      <c r="AC140" s="68" t="s">
        <v>1305</v>
      </c>
      <c r="AD140" s="60" t="s">
        <v>1306</v>
      </c>
      <c r="AE140" s="67"/>
      <c r="AF140" s="67"/>
      <c r="AG140" s="67"/>
      <c r="AH140" s="67"/>
      <c r="AI140" s="67"/>
      <c r="AJ140" s="67"/>
      <c r="AK140" s="67"/>
      <c r="AL140" s="67"/>
      <c r="AM140" s="67"/>
      <c r="AN140" s="67"/>
      <c r="AO140" s="67"/>
      <c r="AP140" s="67"/>
      <c r="AQ140" s="67"/>
      <c r="AR140" s="67"/>
      <c r="AS140" s="67"/>
      <c r="AT140" s="67"/>
      <c r="AU140" s="67"/>
      <c r="AV140" s="67"/>
      <c r="AW140" s="67"/>
      <c r="AX140" s="67"/>
      <c r="AY140" s="67"/>
      <c r="AZ140" s="67"/>
      <c r="BA140" s="67"/>
      <c r="BB140" s="67"/>
      <c r="BC140" s="63"/>
      <c r="BF140" s="1052" t="s">
        <v>1307</v>
      </c>
      <c r="BG140" s="1052" t="s">
        <v>1291</v>
      </c>
      <c r="BH140" s="64" cm="1" t="str">
        <f t="array" ref="BH140:BH140">BH139</f>
        <v>0</v>
      </c>
      <c r="BI140" s="685"/>
      <c r="BJ140" s="685"/>
    </row>
    <row s="1656" customFormat="1" customHeight="1" ht="14.25" hidden="1">
      <c r="A141" s="892"/>
      <c r="B141" s="442"/>
      <c r="C141" s="892"/>
      <c r="D141" s="892"/>
      <c r="E141" s="684">
        <v>15</v>
      </c>
      <c r="F141" s="1194" cm="1" t="str">
        <f t="array" ref="F141:F141">OFFSET(E141,-1,1)</f>
        <v>1</v>
      </c>
      <c r="G141" s="892"/>
      <c r="H141" s="892"/>
      <c r="I141" s="892"/>
      <c r="J141" s="892"/>
      <c r="K141" s="918"/>
      <c r="L141" s="892"/>
      <c r="M141" s="892"/>
      <c r="N141" s="892"/>
      <c r="O141" s="892"/>
      <c r="P141" s="892"/>
      <c r="Q141" s="892"/>
      <c r="R141" s="892"/>
      <c r="S141" s="892"/>
      <c r="T141" s="468" t="b">
        <v>0</v>
      </c>
      <c r="U141" s="892"/>
      <c r="V141" s="892"/>
      <c r="W141" s="148"/>
      <c r="X141" s="892"/>
      <c r="Y141" s="689" t="s">
        <v>290</v>
      </c>
      <c r="Z141" s="892"/>
      <c r="AA141" s="52" t="s">
        <v>174</v>
      </c>
      <c r="AB141" s="53"/>
      <c r="AC141" s="892"/>
      <c r="AD141" s="54"/>
      <c r="AE141" s="55">
        <f>OR(AND(AE144&lt;&gt;"",AE145=""),AND(AE144="",AE145&lt;&gt;""))</f>
        <v>1</v>
      </c>
      <c r="AF141" s="55">
        <f>OR(AND(AF144&lt;&gt;"",AF145=""),AND(AF144="",AF145&lt;&gt;""))</f>
        <v>1</v>
      </c>
      <c r="AG141" s="55">
        <f>OR(AND(AG144&lt;&gt;"",AG145=""),AND(AG144="",AG145&lt;&gt;""))</f>
        <v>1</v>
      </c>
      <c r="AH141" s="55">
        <f>OR(AND(AH144&lt;&gt;"",AH145=""),AND(AH144="",AH145&lt;&gt;""))</f>
        <v>1</v>
      </c>
      <c r="AI141" s="55">
        <f>OR(AND(AI144&lt;&gt;"",AI145=""),AND(AI144="",AI145&lt;&gt;""))</f>
        <v>1</v>
      </c>
      <c r="AJ141" s="55">
        <f>OR(AND(AJ144&lt;&gt;"",AJ145=""),AND(AJ144="",AJ145&lt;&gt;""))</f>
        <v>0</v>
      </c>
      <c r="AK141" s="55">
        <f>OR(AND(AK144&lt;&gt;"",AK145=""),AND(AK144="",AK145&lt;&gt;""))</f>
        <v>0</v>
      </c>
      <c r="AL141" s="55">
        <f>OR(AND(AL144&lt;&gt;"",AL145=""),AND(AL144="",AL145&lt;&gt;""))</f>
        <v>0</v>
      </c>
      <c r="AM141" s="55">
        <f>OR(AND(AM144&lt;&gt;"",AM145=""),AND(AM144="",AM145&lt;&gt;""))</f>
        <v>0</v>
      </c>
      <c r="AN141" s="55">
        <f>OR(AND(AN144&lt;&gt;"",AN145=""),AND(AN144="",AN145&lt;&gt;""))</f>
        <v>0</v>
      </c>
      <c r="AO141" s="55">
        <f>OR(AND(AO144&lt;&gt;"",AO145=""),AND(AO144="",AO145&lt;&gt;""))</f>
        <v>0</v>
      </c>
      <c r="AP141" s="55">
        <f>OR(AND(AP144&lt;&gt;"",AP145=""),AND(AP144="",AP145&lt;&gt;""))</f>
        <v>0</v>
      </c>
      <c r="AQ141" s="55">
        <f>OR(AND(AQ144&lt;&gt;"",AQ145=""),AND(AQ144="",AQ145&lt;&gt;""))</f>
        <v>0</v>
      </c>
      <c r="AR141" s="55">
        <f>OR(AND(AR144&lt;&gt;"",AR145=""),AND(AR144="",AR145&lt;&gt;""))</f>
        <v>0</v>
      </c>
      <c r="AS141" s="55">
        <f>OR(AND(AS144&lt;&gt;"",AS145=""),AND(AS144="",AS145&lt;&gt;""))</f>
        <v>0</v>
      </c>
      <c r="AT141" s="55">
        <f>OR(AND(AT144&lt;&gt;"",AT145=""),AND(AT144="",AT145&lt;&gt;""))</f>
        <v>0</v>
      </c>
      <c r="AU141" s="55">
        <f>OR(AND(AU144&lt;&gt;"",AU145=""),AND(AU144="",AU145&lt;&gt;""))</f>
        <v>0</v>
      </c>
      <c r="AV141" s="55">
        <f>OR(AND(AV144&lt;&gt;"",AV145=""),AND(AV144="",AV145&lt;&gt;""))</f>
        <v>0</v>
      </c>
      <c r="AW141" s="55">
        <f>OR(AND(AW144&lt;&gt;"",AW145=""),AND(AW144="",AW145&lt;&gt;""))</f>
        <v>0</v>
      </c>
      <c r="AX141" s="55">
        <f>OR(AND(AX144&lt;&gt;"",AX145=""),AND(AX144="",AX145&lt;&gt;""))</f>
        <v>0</v>
      </c>
      <c r="AY141" s="55">
        <f>OR(AND(AY144&lt;&gt;"",AY145=""),AND(AY144="",AY145&lt;&gt;""))</f>
        <v>0</v>
      </c>
      <c r="AZ141" s="55">
        <f>OR(AND(AZ144&lt;&gt;"",AZ145=""),AND(AZ144="",AZ145&lt;&gt;""))</f>
        <v>0</v>
      </c>
      <c r="BA141" s="55">
        <f>OR(AND(BA144&lt;&gt;"",BA145=""),AND(BA144="",BA145&lt;&gt;""))</f>
        <v>0</v>
      </c>
      <c r="BB141" s="55">
        <f>OR(AND(BB144&lt;&gt;"",BB145=""),AND(BB144="",BB145&lt;&gt;""))</f>
        <v>0</v>
      </c>
      <c r="BC141" s="55"/>
      <c r="BD141" s="892"/>
      <c r="BE141" s="892"/>
      <c r="BF141" s="1052"/>
      <c r="BG141" s="1052"/>
      <c r="BH141" s="1052"/>
      <c r="BI141" s="685"/>
      <c r="BJ141" s="685"/>
    </row>
    <row s="1656" customFormat="1" customHeight="1" ht="33.82192611694336">
      <c r="A142" s="892"/>
      <c r="B142" s="442"/>
      <c r="C142" s="892"/>
      <c r="D142" s="892"/>
      <c r="E142" s="684">
        <v>15</v>
      </c>
      <c r="F142" s="1194" cm="1" t="str">
        <f t="array" ref="F142:F142">OFFSET(E142,-1,1)</f>
        <v>1</v>
      </c>
      <c r="G142" s="892"/>
      <c r="H142" s="892"/>
      <c r="I142" s="892"/>
      <c r="J142" s="892"/>
      <c r="K142" s="918"/>
      <c r="L142" s="892"/>
      <c r="M142" s="892"/>
      <c r="N142" s="892"/>
      <c r="O142" s="892"/>
      <c r="P142" s="892"/>
      <c r="Q142" s="892"/>
      <c r="R142" s="892"/>
      <c r="S142" s="892"/>
      <c r="T142" s="468">
        <f>AND(F142&gt;0,Y141&gt;0)</f>
        <v>1</v>
      </c>
      <c r="U142" s="892"/>
      <c r="V142" s="892"/>
      <c r="W142" s="892"/>
      <c r="X142" s="892"/>
      <c r="Y142" s="892"/>
      <c r="Z142" s="892"/>
      <c r="AA142" s="52"/>
      <c r="AB142" s="56" t="str">
        <f>"6."&amp;Y141</f>
        <v>6.1</v>
      </c>
      <c r="AC142" s="57" t="s">
        <v>1328</v>
      </c>
      <c r="AD142" s="54"/>
      <c r="AE142" s="58"/>
      <c r="AF142" s="58"/>
      <c r="AG142" s="58"/>
      <c r="AH142" s="58"/>
      <c r="AI142" s="58"/>
      <c r="AJ142" s="58"/>
      <c r="AK142" s="58"/>
      <c r="AL142" s="58"/>
      <c r="AM142" s="58"/>
      <c r="AN142" s="58"/>
      <c r="AO142" s="58"/>
      <c r="AP142" s="58"/>
      <c r="AQ142" s="58"/>
      <c r="AR142" s="58"/>
      <c r="AS142" s="58"/>
      <c r="AT142" s="58"/>
      <c r="AU142" s="58"/>
      <c r="AV142" s="58"/>
      <c r="AW142" s="58"/>
      <c r="AX142" s="58"/>
      <c r="AY142" s="58"/>
      <c r="AZ142" s="58"/>
      <c r="BA142" s="58"/>
      <c r="BB142" s="58"/>
      <c r="BC142" s="58"/>
      <c r="BD142" s="892"/>
      <c r="BE142" s="892"/>
      <c r="BF142" s="1052"/>
      <c r="BG142" s="1052"/>
      <c r="BH142" s="1052"/>
      <c r="BI142" s="685"/>
      <c r="BJ142" s="685"/>
    </row>
    <row s="1656" customFormat="1" customHeight="1" ht="21.63442611694336">
      <c r="A143" s="892"/>
      <c r="B143" s="442"/>
      <c r="C143" s="892"/>
      <c r="D143" s="892"/>
      <c r="E143" s="684">
        <v>15</v>
      </c>
      <c r="F143" s="1194" cm="1" t="str">
        <f t="array" ref="F143:F143">OFFSET(E143,-1,1)</f>
        <v>1</v>
      </c>
      <c r="G143" s="892"/>
      <c r="H143" s="892"/>
      <c r="I143" s="892"/>
      <c r="J143" s="892"/>
      <c r="K143" s="918"/>
      <c r="L143" s="892"/>
      <c r="M143" s="892"/>
      <c r="N143" s="892"/>
      <c r="O143" s="892"/>
      <c r="P143" s="892"/>
      <c r="Q143" s="892"/>
      <c r="R143" s="892"/>
      <c r="S143" s="892"/>
      <c r="T143" s="468" cm="1" t="str">
        <f t="array" ref="T143:T143">T142</f>
        <v>true</v>
      </c>
      <c r="U143" s="892"/>
      <c r="V143" s="892"/>
      <c r="W143" s="892"/>
      <c r="X143" s="892"/>
      <c r="Y143" s="892"/>
      <c r="Z143" s="892"/>
      <c r="AA143" s="52"/>
      <c r="AB143" s="56" t="str">
        <f>AB142&amp;".1"</f>
        <v>6.1.1</v>
      </c>
      <c r="AC143" s="59" t="s">
        <v>1289</v>
      </c>
      <c r="AD143" s="60" t="s">
        <v>936</v>
      </c>
      <c r="AE143" s="61">
        <f>AE144+AE147</f>
        <v>4283.56</v>
      </c>
      <c r="AF143" s="61">
        <f>AF144+AF147</f>
        <v>5861.53</v>
      </c>
      <c r="AG143" s="61">
        <f>AG144+AG147</f>
        <v>5861.53</v>
      </c>
      <c r="AH143" s="61">
        <f>AH144+AH147</f>
        <v>5465.44</v>
      </c>
      <c r="AI143" s="61">
        <f>AI144+AI147</f>
        <v>6900.27</v>
      </c>
      <c r="AJ143" s="62">
        <f>AJ144+AJ147</f>
        <v>0</v>
      </c>
      <c r="AK143" s="62">
        <f>AK144+AK147</f>
        <v>0</v>
      </c>
      <c r="AL143" s="62">
        <f>AL144+AL147</f>
        <v>0</v>
      </c>
      <c r="AM143" s="62">
        <f>AM144+AM147</f>
        <v>0</v>
      </c>
      <c r="AN143" s="62">
        <f>AN144+AN147</f>
        <v>0</v>
      </c>
      <c r="AO143" s="62">
        <f>AO144+AO147</f>
        <v>0</v>
      </c>
      <c r="AP143" s="62">
        <f>AP144+AP147</f>
        <v>0</v>
      </c>
      <c r="AQ143" s="62">
        <f>AQ144+AQ147</f>
        <v>0</v>
      </c>
      <c r="AR143" s="62">
        <f>AR144+AR147</f>
        <v>0</v>
      </c>
      <c r="AS143" s="61">
        <f>AS144+AS147</f>
        <v>6711.7879</v>
      </c>
      <c r="AT143" s="62">
        <f>AT144+AT147</f>
        <v>0</v>
      </c>
      <c r="AU143" s="62">
        <f>AU144+AU147</f>
        <v>0</v>
      </c>
      <c r="AV143" s="62">
        <f>AV144+AV147</f>
        <v>0</v>
      </c>
      <c r="AW143" s="62">
        <f>AW144+AW147</f>
        <v>0</v>
      </c>
      <c r="AX143" s="62">
        <f>AX144+AX147</f>
        <v>0</v>
      </c>
      <c r="AY143" s="62">
        <f>AY144+AY147</f>
        <v>0</v>
      </c>
      <c r="AZ143" s="62">
        <f>AZ144+AZ147</f>
        <v>0</v>
      </c>
      <c r="BA143" s="62">
        <f>BA144+BA147</f>
        <v>0</v>
      </c>
      <c r="BB143" s="62">
        <f>BB144+BB147</f>
        <v>0</v>
      </c>
      <c r="BC143" s="3506"/>
      <c r="BD143" s="892"/>
      <c r="BE143" s="892"/>
      <c r="BF143" s="1052" t="s">
        <v>1290</v>
      </c>
      <c r="BG143" s="1052" t="s">
        <v>1291</v>
      </c>
      <c r="BH143" s="64" cm="1" t="str">
        <f t="array" ref="BH143:BH143">AC142</f>
        <v>ОАО «СКЭК» (ИНН: 4205153492, КПП: 420501001)</v>
      </c>
      <c r="BI143" s="685"/>
      <c r="BJ143" s="685" t="b">
        <v>1</v>
      </c>
    </row>
    <row s="1656" customFormat="1" customHeight="1" ht="23.50942611694336">
      <c r="A144" s="892"/>
      <c r="B144" s="442"/>
      <c r="C144" s="892"/>
      <c r="D144" s="892"/>
      <c r="E144" s="684">
        <v>15</v>
      </c>
      <c r="F144" s="1194" cm="1" t="str">
        <f t="array" ref="F144:F144">OFFSET(E144,-1,1)</f>
        <v>1</v>
      </c>
      <c r="G144" s="892"/>
      <c r="H144" s="892"/>
      <c r="I144" s="892"/>
      <c r="J144" s="892"/>
      <c r="K144" s="918"/>
      <c r="L144" s="892"/>
      <c r="M144" s="892"/>
      <c r="N144" s="892"/>
      <c r="O144" s="892"/>
      <c r="P144" s="892"/>
      <c r="Q144" s="892"/>
      <c r="R144" s="892"/>
      <c r="S144" s="892"/>
      <c r="T144" s="468" cm="1" t="str">
        <f t="array" ref="T144:T144">T143</f>
        <v>true</v>
      </c>
      <c r="U144" s="892"/>
      <c r="V144" s="892"/>
      <c r="W144" s="892"/>
      <c r="X144" s="892"/>
      <c r="Y144" s="892"/>
      <c r="Z144" s="892"/>
      <c r="AA144" s="52"/>
      <c r="AB144" s="56" t="str">
        <f>AB143&amp;".1"</f>
        <v>6.1.1.1</v>
      </c>
      <c r="AC144" s="65" t="s">
        <v>1292</v>
      </c>
      <c r="AD144" s="66" t="s">
        <v>936</v>
      </c>
      <c r="AE144" s="3507">
        <v>4283.56</v>
      </c>
      <c r="AF144" s="3507">
        <v>5861.53</v>
      </c>
      <c r="AG144" s="3507">
        <v>5861.53</v>
      </c>
      <c r="AH144" s="3507">
        <v>5465.44</v>
      </c>
      <c r="AI144" s="3507">
        <v>6900.27</v>
      </c>
      <c r="AJ144" s="67"/>
      <c r="AK144" s="67"/>
      <c r="AL144" s="67"/>
      <c r="AM144" s="67"/>
      <c r="AN144" s="67"/>
      <c r="AO144" s="67"/>
      <c r="AP144" s="67"/>
      <c r="AQ144" s="67"/>
      <c r="AR144" s="67"/>
      <c r="AS144" s="3507">
        <v>6711.7879</v>
      </c>
      <c r="AT144" s="67"/>
      <c r="AU144" s="67"/>
      <c r="AV144" s="67"/>
      <c r="AW144" s="67"/>
      <c r="AX144" s="67"/>
      <c r="AY144" s="67"/>
      <c r="AZ144" s="67"/>
      <c r="BA144" s="67"/>
      <c r="BB144" s="67"/>
      <c r="BC144" s="3506"/>
      <c r="BD144" s="892"/>
      <c r="BE144" s="892"/>
      <c r="BF144" s="1052" t="s">
        <v>1293</v>
      </c>
      <c r="BG144" s="1052" t="s">
        <v>1291</v>
      </c>
      <c r="BH144" s="64" cm="1" t="str">
        <f t="array" ref="BH144:BH144">BH143</f>
        <v>ОАО «СКЭК» (ИНН: 4205153492, КПП: 420501001)</v>
      </c>
      <c r="BI144" s="685"/>
      <c r="BJ144" s="685"/>
    </row>
    <row s="1656" customFormat="1" customHeight="1" ht="22.57192611694336">
      <c r="A145" s="892"/>
      <c r="B145" s="442"/>
      <c r="C145" s="892"/>
      <c r="D145" s="892"/>
      <c r="E145" s="684">
        <v>15</v>
      </c>
      <c r="F145" s="1194" cm="1" t="str">
        <f t="array" ref="F145:F145">OFFSET(E145,-1,1)</f>
        <v>1</v>
      </c>
      <c r="G145" s="892"/>
      <c r="H145" s="892"/>
      <c r="I145" s="892"/>
      <c r="J145" s="892"/>
      <c r="K145" s="918"/>
      <c r="L145" s="892"/>
      <c r="M145" s="892"/>
      <c r="N145" s="892"/>
      <c r="O145" s="892"/>
      <c r="P145" s="892"/>
      <c r="Q145" s="892"/>
      <c r="R145" s="892"/>
      <c r="S145" s="892"/>
      <c r="T145" s="468" cm="1" t="str">
        <f t="array" ref="T145:T145">T144</f>
        <v>true</v>
      </c>
      <c r="U145" s="892"/>
      <c r="V145" s="892"/>
      <c r="W145" s="892"/>
      <c r="X145" s="892"/>
      <c r="Y145" s="892"/>
      <c r="Z145" s="892"/>
      <c r="AA145" s="52"/>
      <c r="AB145" s="56" t="str">
        <f>AB144&amp;".1"</f>
        <v>6.1.1.1.1</v>
      </c>
      <c r="AC145" s="68" t="s">
        <v>1294</v>
      </c>
      <c r="AD145" s="60" t="s">
        <v>1295</v>
      </c>
      <c r="AE145" s="3507"/>
      <c r="AF145" s="3507"/>
      <c r="AG145" s="3507"/>
      <c r="AH145" s="3507"/>
      <c r="AI145" s="3507"/>
      <c r="AJ145" s="67"/>
      <c r="AK145" s="67"/>
      <c r="AL145" s="67"/>
      <c r="AM145" s="67"/>
      <c r="AN145" s="67"/>
      <c r="AO145" s="67"/>
      <c r="AP145" s="67"/>
      <c r="AQ145" s="67"/>
      <c r="AR145" s="67"/>
      <c r="AS145" s="3507">
        <v>1746.22</v>
      </c>
      <c r="AT145" s="67"/>
      <c r="AU145" s="67"/>
      <c r="AV145" s="67"/>
      <c r="AW145" s="67"/>
      <c r="AX145" s="67"/>
      <c r="AY145" s="67"/>
      <c r="AZ145" s="67"/>
      <c r="BA145" s="67"/>
      <c r="BB145" s="67"/>
      <c r="BC145" s="3506"/>
      <c r="BD145" s="892"/>
      <c r="BE145" s="892"/>
      <c r="BF145" s="1052" t="s">
        <v>1296</v>
      </c>
      <c r="BG145" s="1052" t="s">
        <v>1291</v>
      </c>
      <c r="BH145" s="64" cm="1" t="str">
        <f t="array" ref="BH145:BH145">BH144</f>
        <v>ОАО «СКЭК» (ИНН: 4205153492, КПП: 420501001)</v>
      </c>
      <c r="BI145" s="685"/>
      <c r="BJ145" s="685"/>
    </row>
    <row s="1656" customFormat="1" customHeight="1" ht="103.19692611694336">
      <c r="A146" s="892"/>
      <c r="B146" s="442"/>
      <c r="C146" s="892"/>
      <c r="D146" s="892"/>
      <c r="E146" s="684">
        <v>15</v>
      </c>
      <c r="F146" s="1194" cm="1" t="str">
        <f t="array" ref="F146:F146">OFFSET(E146,-1,1)</f>
        <v>1</v>
      </c>
      <c r="G146" s="892"/>
      <c r="H146" s="892"/>
      <c r="I146" s="892"/>
      <c r="J146" s="892"/>
      <c r="K146" s="918"/>
      <c r="L146" s="892"/>
      <c r="M146" s="892"/>
      <c r="N146" s="892"/>
      <c r="O146" s="892"/>
      <c r="P146" s="892"/>
      <c r="Q146" s="892"/>
      <c r="R146" s="892"/>
      <c r="S146" s="892"/>
      <c r="T146" s="468" cm="1" t="str">
        <f t="array" ref="T146:T146">T145</f>
        <v>true</v>
      </c>
      <c r="U146" s="892"/>
      <c r="V146" s="892"/>
      <c r="W146" s="892"/>
      <c r="X146" s="892"/>
      <c r="Y146" s="892"/>
      <c r="Z146" s="892"/>
      <c r="AA146" s="52"/>
      <c r="AB146" s="56" t="str">
        <f>AB144&amp;".2"</f>
        <v>6.1.1.1.2</v>
      </c>
      <c r="AC146" s="68" t="s">
        <v>1297</v>
      </c>
      <c r="AD146" s="60" t="s">
        <v>1298</v>
      </c>
      <c r="AE146" s="3507"/>
      <c r="AF146" s="3507"/>
      <c r="AG146" s="3507"/>
      <c r="AH146" s="3507"/>
      <c r="AI146" s="3507"/>
      <c r="AJ146" s="67"/>
      <c r="AK146" s="67"/>
      <c r="AL146" s="67"/>
      <c r="AM146" s="67"/>
      <c r="AN146" s="67"/>
      <c r="AO146" s="67"/>
      <c r="AP146" s="67"/>
      <c r="AQ146" s="67"/>
      <c r="AR146" s="67"/>
      <c r="AS146" s="3507">
        <f>AS144/AS145*1000</f>
        <v>3843.60956809566</v>
      </c>
      <c r="AT146" s="67"/>
      <c r="AU146" s="67"/>
      <c r="AV146" s="67"/>
      <c r="AW146" s="67"/>
      <c r="AX146" s="67"/>
      <c r="AY146" s="67"/>
      <c r="AZ146" s="67"/>
      <c r="BA146" s="67"/>
      <c r="BB146" s="67"/>
      <c r="BC146" s="3506" t="s">
        <v>1329</v>
      </c>
      <c r="BD146" s="892"/>
      <c r="BE146" s="892"/>
      <c r="BF146" s="1052" t="s">
        <v>1299</v>
      </c>
      <c r="BG146" s="1052" t="s">
        <v>1291</v>
      </c>
      <c r="BH146" s="64" cm="1" t="str">
        <f t="array" ref="BH146:BH146">BH145</f>
        <v>ОАО «СКЭК» (ИНН: 4205153492, КПП: 420501001)</v>
      </c>
      <c r="BI146" s="685"/>
      <c r="BJ146" s="685"/>
    </row>
    <row s="1656" customFormat="1" customHeight="1" ht="17.88442611694336">
      <c r="A147" s="892"/>
      <c r="B147" s="442"/>
      <c r="C147" s="892"/>
      <c r="D147" s="892"/>
      <c r="E147" s="684">
        <v>15</v>
      </c>
      <c r="F147" s="1194" cm="1" t="str">
        <f t="array" ref="F147:F147">OFFSET(E147,-1,1)</f>
        <v>1</v>
      </c>
      <c r="G147" s="892"/>
      <c r="H147" s="892"/>
      <c r="I147" s="892"/>
      <c r="J147" s="892"/>
      <c r="K147" s="918"/>
      <c r="L147" s="892"/>
      <c r="M147" s="892"/>
      <c r="N147" s="892"/>
      <c r="O147" s="892"/>
      <c r="P147" s="892"/>
      <c r="Q147" s="892"/>
      <c r="R147" s="892"/>
      <c r="S147" s="892"/>
      <c r="T147" s="468" cm="1" t="str">
        <f t="array" ref="T147:T147">T146</f>
        <v>true</v>
      </c>
      <c r="U147" s="892"/>
      <c r="V147" s="892"/>
      <c r="W147" s="892"/>
      <c r="X147" s="892"/>
      <c r="Y147" s="892"/>
      <c r="Z147" s="892"/>
      <c r="AA147" s="52"/>
      <c r="AB147" s="56" t="str">
        <f>AB143&amp;".2"</f>
        <v>6.1.1.2</v>
      </c>
      <c r="AC147" s="69" t="s">
        <v>1300</v>
      </c>
      <c r="AD147" s="60" t="s">
        <v>936</v>
      </c>
      <c r="AE147" s="3507"/>
      <c r="AF147" s="3507"/>
      <c r="AG147" s="3507"/>
      <c r="AH147" s="3507"/>
      <c r="AI147" s="3507"/>
      <c r="AJ147" s="67"/>
      <c r="AK147" s="67"/>
      <c r="AL147" s="67"/>
      <c r="AM147" s="67"/>
      <c r="AN147" s="67"/>
      <c r="AO147" s="67"/>
      <c r="AP147" s="67"/>
      <c r="AQ147" s="67"/>
      <c r="AR147" s="67"/>
      <c r="AS147" s="3507"/>
      <c r="AT147" s="67"/>
      <c r="AU147" s="67"/>
      <c r="AV147" s="67"/>
      <c r="AW147" s="67"/>
      <c r="AX147" s="67"/>
      <c r="AY147" s="67"/>
      <c r="AZ147" s="67"/>
      <c r="BA147" s="67"/>
      <c r="BB147" s="67"/>
      <c r="BC147" s="3506"/>
      <c r="BD147" s="892"/>
      <c r="BE147" s="892"/>
      <c r="BF147" s="1052" t="s">
        <v>1301</v>
      </c>
      <c r="BG147" s="1052" t="s">
        <v>1291</v>
      </c>
      <c r="BH147" s="64" cm="1" t="str">
        <f t="array" ref="BH147:BH147">BH146</f>
        <v>ОАО «СКЭК» (ИНН: 4205153492, КПП: 420501001)</v>
      </c>
      <c r="BI147" s="685"/>
      <c r="BJ147" s="685"/>
    </row>
    <row s="1656" customFormat="1" customHeight="1" ht="20.69692611694336">
      <c r="A148" s="892"/>
      <c r="B148" s="442"/>
      <c r="C148" s="892"/>
      <c r="D148" s="892"/>
      <c r="E148" s="684">
        <v>15</v>
      </c>
      <c r="F148" s="1194" cm="1" t="str">
        <f t="array" ref="F148:F148">OFFSET(E148,-1,1)</f>
        <v>1</v>
      </c>
      <c r="G148" s="892"/>
      <c r="H148" s="892"/>
      <c r="I148" s="892"/>
      <c r="J148" s="892"/>
      <c r="K148" s="918"/>
      <c r="L148" s="892"/>
      <c r="M148" s="892"/>
      <c r="N148" s="892"/>
      <c r="O148" s="892"/>
      <c r="P148" s="892"/>
      <c r="Q148" s="892"/>
      <c r="R148" s="892"/>
      <c r="S148" s="892"/>
      <c r="T148" s="468" cm="1" t="str">
        <f t="array" ref="T148:T148">T147</f>
        <v>true</v>
      </c>
      <c r="U148" s="892"/>
      <c r="V148" s="892"/>
      <c r="W148" s="892"/>
      <c r="X148" s="892"/>
      <c r="Y148" s="892"/>
      <c r="Z148" s="892"/>
      <c r="AA148" s="52"/>
      <c r="AB148" s="56" t="str">
        <f>AB147&amp;".1"</f>
        <v>6.1.1.2.1</v>
      </c>
      <c r="AC148" s="68" t="s">
        <v>1302</v>
      </c>
      <c r="AD148" s="60" t="s">
        <v>1303</v>
      </c>
      <c r="AE148" s="3507"/>
      <c r="AF148" s="3507"/>
      <c r="AG148" s="3507"/>
      <c r="AH148" s="3507"/>
      <c r="AI148" s="3507"/>
      <c r="AJ148" s="67"/>
      <c r="AK148" s="67"/>
      <c r="AL148" s="67"/>
      <c r="AM148" s="67"/>
      <c r="AN148" s="67"/>
      <c r="AO148" s="67"/>
      <c r="AP148" s="67"/>
      <c r="AQ148" s="67"/>
      <c r="AR148" s="67"/>
      <c r="AS148" s="3507"/>
      <c r="AT148" s="67"/>
      <c r="AU148" s="67"/>
      <c r="AV148" s="67"/>
      <c r="AW148" s="67"/>
      <c r="AX148" s="67"/>
      <c r="AY148" s="67"/>
      <c r="AZ148" s="67"/>
      <c r="BA148" s="67"/>
      <c r="BB148" s="67"/>
      <c r="BC148" s="3506"/>
      <c r="BD148" s="892"/>
      <c r="BE148" s="892"/>
      <c r="BF148" s="1052" t="s">
        <v>1304</v>
      </c>
      <c r="BG148" s="1052" t="s">
        <v>1291</v>
      </c>
      <c r="BH148" s="64" cm="1" t="str">
        <f t="array" ref="BH148:BH148">BH147</f>
        <v>ОАО «СКЭК» (ИНН: 4205153492, КПП: 420501001)</v>
      </c>
      <c r="BI148" s="685"/>
      <c r="BJ148" s="685"/>
    </row>
    <row s="1656" customFormat="1" customHeight="1" ht="16.00942611694336">
      <c r="A149" s="892"/>
      <c r="B149" s="442"/>
      <c r="C149" s="892"/>
      <c r="D149" s="892"/>
      <c r="E149" s="684">
        <v>15</v>
      </c>
      <c r="F149" s="1194" cm="1" t="str">
        <f t="array" ref="F149:F149">OFFSET(E149,-1,1)</f>
        <v>1</v>
      </c>
      <c r="G149" s="892"/>
      <c r="H149" s="892"/>
      <c r="I149" s="892"/>
      <c r="J149" s="892"/>
      <c r="K149" s="918"/>
      <c r="L149" s="892"/>
      <c r="M149" s="892"/>
      <c r="N149" s="892"/>
      <c r="O149" s="892"/>
      <c r="P149" s="892"/>
      <c r="Q149" s="892"/>
      <c r="R149" s="892"/>
      <c r="S149" s="892"/>
      <c r="T149" s="468" cm="1" t="str">
        <f t="array" ref="T149:T149">T148</f>
        <v>true</v>
      </c>
      <c r="U149" s="892"/>
      <c r="V149" s="892"/>
      <c r="W149" s="892"/>
      <c r="X149" s="892"/>
      <c r="Y149" s="892"/>
      <c r="Z149" s="892"/>
      <c r="AA149" s="52"/>
      <c r="AB149" s="56" t="str">
        <f>AB147&amp;".2"</f>
        <v>6.1.1.2.2</v>
      </c>
      <c r="AC149" s="68" t="s">
        <v>1305</v>
      </c>
      <c r="AD149" s="60" t="s">
        <v>1306</v>
      </c>
      <c r="AE149" s="3507"/>
      <c r="AF149" s="3507"/>
      <c r="AG149" s="3507"/>
      <c r="AH149" s="3507"/>
      <c r="AI149" s="3507"/>
      <c r="AJ149" s="67"/>
      <c r="AK149" s="67"/>
      <c r="AL149" s="67"/>
      <c r="AM149" s="67"/>
      <c r="AN149" s="67"/>
      <c r="AO149" s="67"/>
      <c r="AP149" s="67"/>
      <c r="AQ149" s="67"/>
      <c r="AR149" s="67"/>
      <c r="AS149" s="3507"/>
      <c r="AT149" s="67"/>
      <c r="AU149" s="67"/>
      <c r="AV149" s="67"/>
      <c r="AW149" s="67"/>
      <c r="AX149" s="67"/>
      <c r="AY149" s="67"/>
      <c r="AZ149" s="67"/>
      <c r="BA149" s="67"/>
      <c r="BB149" s="67"/>
      <c r="BC149" s="3506"/>
      <c r="BD149" s="892"/>
      <c r="BE149" s="892"/>
      <c r="BF149" s="1052" t="s">
        <v>1307</v>
      </c>
      <c r="BG149" s="1052" t="s">
        <v>1291</v>
      </c>
      <c r="BH149" s="64" cm="1" t="str">
        <f t="array" ref="BH149:BH149">BH148</f>
        <v>ОАО «СКЭК» (ИНН: 4205153492, КПП: 420501001)</v>
      </c>
      <c r="BI149" s="685"/>
      <c r="BJ149" s="685"/>
    </row>
    <row customHeight="1" ht="14.625">
      <c r="B150" s="443"/>
      <c r="E150" s="684">
        <v>15</v>
      </c>
      <c r="F150" s="1326" cm="1" t="str">
        <f t="array" ref="F150:F150">OFFSET(E150,-1,1)</f>
        <v>1</v>
      </c>
      <c r="G150" s="892"/>
      <c r="K150" s="918"/>
      <c r="L150" s="922"/>
      <c r="T150" s="1436">
        <f>F150&gt;0</f>
        <v>1</v>
      </c>
      <c r="W150" s="691" t="s">
        <v>1308</v>
      </c>
      <c r="X150" s="690"/>
      <c r="Y150" s="1491"/>
      <c r="Z150" s="892"/>
      <c r="AA150" s="2547"/>
      <c r="AB150" s="3508"/>
      <c r="AC150" s="3509" t="s">
        <v>1260</v>
      </c>
      <c r="AD150" s="3510"/>
      <c r="AE150" s="3511"/>
      <c r="AF150" s="3512"/>
      <c r="AG150" s="3513"/>
      <c r="AH150" s="3514"/>
      <c r="AI150" s="3515"/>
      <c r="AJ150" s="3516"/>
      <c r="AK150" s="3517"/>
      <c r="AL150" s="3518"/>
      <c r="AM150" s="3519"/>
      <c r="AN150" s="3520"/>
      <c r="AO150" s="3521"/>
      <c r="AP150" s="3522"/>
      <c r="AQ150" s="3523"/>
      <c r="AR150" s="3524"/>
      <c r="AS150" s="3525"/>
      <c r="AT150" s="3526"/>
      <c r="AU150" s="3527"/>
      <c r="AV150" s="3528"/>
      <c r="AW150" s="3529"/>
      <c r="AX150" s="3530"/>
      <c r="AY150" s="3531"/>
      <c r="AZ150" s="3532"/>
      <c r="BA150" s="3533"/>
      <c r="BB150" s="3534"/>
      <c r="BC150" s="3535"/>
      <c r="BF150" s="1052"/>
      <c r="BG150" s="1052"/>
      <c r="BH150" s="1052"/>
      <c r="BI150" s="685" t="s">
        <v>1291</v>
      </c>
      <c r="BJ150" s="685"/>
    </row>
    <row s="149" customFormat="1" customHeight="1" ht="102.421875">
      <c r="A151" s="149"/>
      <c r="B151" s="443"/>
      <c r="C151" s="149"/>
      <c r="D151" s="149"/>
      <c r="E151" s="685">
        <v>15</v>
      </c>
      <c r="F151" s="50" cm="1" t="str">
        <f t="array" ref="F151:F151">OFFSET(E151,-1,1)</f>
        <v>1</v>
      </c>
      <c r="G151" s="148" t="s">
        <v>619</v>
      </c>
      <c r="H151" s="149"/>
      <c r="I151" s="149"/>
      <c r="J151" s="149"/>
      <c r="K151" s="918" t="str">
        <f>F96&amp;"7komm"</f>
        <v>17komm</v>
      </c>
      <c r="L151" s="922" cm="1" t="str">
        <f t="array" ref="L151:L151">BC151</f>
        <v>Постановление РЭК Кемеровской области от 27.12.2019 N 877 (ред. от 25.11.2022) "Об установлении долгосрочных параметров регулирования и долгосрочных тарифов ОАО "Северо-Кузбасская энергетическая компания" на тепловую энергию, реализуемую на потребительском рынке Ленинск-Кузнецкого городского округа, на период 2019 - 2028 годы" (в ред. постановлений РЭК Кузбасса от 18.12.2020 N 744, от 14.12.2021 N 685, от 25.11.2022 N 682, от 05.12.2023 N 478, от 19.12.2024 N 670).</v>
      </c>
      <c r="M151" s="149"/>
      <c r="N151" s="149"/>
      <c r="O151" s="149"/>
      <c r="P151" s="149"/>
      <c r="Q151" s="149"/>
      <c r="R151" s="149"/>
      <c r="S151" s="149"/>
      <c r="T151" s="468" cm="1" t="str">
        <f t="array" ref="T151:T151">T131</f>
        <v>true</v>
      </c>
      <c r="U151" s="149"/>
      <c r="V151" s="149"/>
      <c r="W151" s="149"/>
      <c r="X151" s="1469"/>
      <c r="Y151" s="149"/>
      <c r="Z151" s="1592"/>
      <c r="AA151" s="149"/>
      <c r="AB151" s="207">
        <v>7</v>
      </c>
      <c r="AC151" s="208" t="s">
        <v>1309</v>
      </c>
      <c r="AD151" s="207" t="s">
        <v>936</v>
      </c>
      <c r="AE151" s="3231">
        <f>SUMIF($AD154:$AD157,$AD151,AE154:AE157)</f>
        <v>0</v>
      </c>
      <c r="AF151" s="3231">
        <f>SUMIF($AD154:$AD157,$AD151,AF154:AF157)</f>
        <v>0</v>
      </c>
      <c r="AG151" s="3231">
        <f>SUMIF($AD154:$AD157,$AD151,AG154:AG157)</f>
        <v>0</v>
      </c>
      <c r="AH151" s="3231">
        <f>SUMIF($AD154:$AD157,$AD151,AH154:AH157)</f>
        <v>0</v>
      </c>
      <c r="AI151" s="3231">
        <f>SUMIF($AD154:$AD157,$AD151,AI154:AI157)</f>
        <v>0</v>
      </c>
      <c r="AJ151" s="3232">
        <f>SUMIF($AD154:$AD157,$AD151,AJ154:AJ157)</f>
        <v>0</v>
      </c>
      <c r="AK151" s="3232">
        <f>SUMIF($AD154:$AD157,$AD151,AK154:AK157)</f>
        <v>0</v>
      </c>
      <c r="AL151" s="3232">
        <f>SUMIF($AD154:$AD157,$AD151,AL154:AL157)</f>
        <v>0</v>
      </c>
      <c r="AM151" s="3232">
        <f>SUMIF($AD154:$AD157,$AD151,AM154:AM157)</f>
        <v>0</v>
      </c>
      <c r="AN151" s="3232">
        <f>SUMIF($AD154:$AD157,$AD151,AN154:AN157)</f>
        <v>0</v>
      </c>
      <c r="AO151" s="3232">
        <f>SUMIF($AD154:$AD157,$AD151,AO154:AO157)</f>
        <v>0</v>
      </c>
      <c r="AP151" s="3232">
        <f>SUMIF($AD154:$AD157,$AD151,AP154:AP157)</f>
        <v>0</v>
      </c>
      <c r="AQ151" s="3232">
        <f>SUMIF($AD154:$AD157,$AD151,AQ154:AQ157)</f>
        <v>0</v>
      </c>
      <c r="AR151" s="3232">
        <f>SUMIF($AD154:$AD157,$AD151,AR154:AR157)</f>
        <v>0</v>
      </c>
      <c r="AS151" s="3231">
        <f>SUMIF($AD154:$AD157,$AD151,AS154:AS157)</f>
        <v>0</v>
      </c>
      <c r="AT151" s="3232">
        <f>SUMIF($AD154:$AD157,$AD151,AT154:AT157)</f>
        <v>0</v>
      </c>
      <c r="AU151" s="3232">
        <f>SUMIF($AD154:$AD157,$AD151,AU154:AU157)</f>
        <v>0</v>
      </c>
      <c r="AV151" s="3232">
        <f>SUMIF($AD154:$AD157,$AD151,AV154:AV157)</f>
        <v>0</v>
      </c>
      <c r="AW151" s="3232">
        <f>SUMIF($AD154:$AD157,$AD151,AW154:AW157)</f>
        <v>0</v>
      </c>
      <c r="AX151" s="3232">
        <f>SUMIF($AD154:$AD157,$AD151,AX154:AX157)</f>
        <v>0</v>
      </c>
      <c r="AY151" s="3232">
        <f>SUMIF($AD154:$AD157,$AD151,AY154:AY157)</f>
        <v>0</v>
      </c>
      <c r="AZ151" s="3232">
        <f>SUMIF($AD154:$AD157,$AD151,AZ154:AZ157)</f>
        <v>0</v>
      </c>
      <c r="BA151" s="3232">
        <f>SUMIF($AD154:$AD157,$AD151,BA154:BA157)</f>
        <v>0</v>
      </c>
      <c r="BB151" s="3232">
        <f>SUMIF($AD154:$AD157,$AD151,BB154:BB157)</f>
        <v>0</v>
      </c>
      <c r="BC151" s="196" t="s">
        <v>1329</v>
      </c>
      <c r="BD151" s="149"/>
      <c r="BE151" s="149"/>
      <c r="BF151" s="1052" t="s">
        <v>1310</v>
      </c>
      <c r="BG151" s="1052"/>
      <c r="BH151" s="1052"/>
      <c r="BI151" s="685"/>
      <c r="BJ151" s="685"/>
    </row>
    <row customHeight="1" ht="14.625" hidden="1">
      <c r="A152" s="892"/>
      <c r="B152" s="443"/>
      <c r="C152" s="892"/>
      <c r="D152" s="892"/>
      <c r="E152" s="684">
        <v>15</v>
      </c>
      <c r="F152" s="1326" cm="1" t="str">
        <f t="array" ref="F152:F152">OFFSET(E152,-1,1)</f>
        <v>1</v>
      </c>
      <c r="G152" s="892"/>
      <c r="H152" s="892"/>
      <c r="I152" s="892"/>
      <c r="J152" s="892"/>
      <c r="K152" s="918"/>
      <c r="L152" s="922"/>
      <c r="M152" s="892"/>
      <c r="N152" s="892"/>
      <c r="O152" s="892"/>
      <c r="P152" s="892"/>
      <c r="Q152" s="892"/>
      <c r="R152" s="892"/>
      <c r="S152" s="892"/>
      <c r="T152" s="1436" t="b">
        <v>0</v>
      </c>
      <c r="U152" s="892"/>
      <c r="V152" s="892"/>
      <c r="W152" s="892" t="s">
        <v>173</v>
      </c>
      <c r="X152" s="690"/>
      <c r="Y152" s="1469">
        <v>0</v>
      </c>
      <c r="Z152" s="892"/>
      <c r="AA152" s="3234" t="s">
        <v>174</v>
      </c>
      <c r="AB152" s="3206"/>
      <c r="AC152" s="1489"/>
      <c r="AD152" s="3235"/>
      <c r="AE152" s="3236">
        <f>OR(AND(AE154&lt;&gt;"",AE155=""),AND(AE154="",AE155&lt;&gt;""))</f>
        <v>0</v>
      </c>
      <c r="AF152" s="3236">
        <f>OR(AND(AF154&lt;&gt;"",AF155=""),AND(AF154="",AF155&lt;&gt;""))</f>
        <v>0</v>
      </c>
      <c r="AG152" s="3236">
        <f>OR(AND(AG154&lt;&gt;"",AG155=""),AND(AG154="",AG155&lt;&gt;""))</f>
        <v>0</v>
      </c>
      <c r="AH152" s="3236">
        <f>OR(AND(AH154&lt;&gt;"",AH155=""),AND(AH154="",AH155&lt;&gt;""))</f>
        <v>0</v>
      </c>
      <c r="AI152" s="3236">
        <f>OR(AND(AI154&lt;&gt;"",AI155=""),AND(AI154="",AI155&lt;&gt;""))</f>
        <v>0</v>
      </c>
      <c r="AJ152" s="3236">
        <f>OR(AND(AJ154&lt;&gt;"",AJ155=""),AND(AJ154="",AJ155&lt;&gt;""))</f>
        <v>0</v>
      </c>
      <c r="AK152" s="3236">
        <f>OR(AND(AK154&lt;&gt;"",AK155=""),AND(AK154="",AK155&lt;&gt;""))</f>
        <v>0</v>
      </c>
      <c r="AL152" s="3236">
        <f>OR(AND(AL154&lt;&gt;"",AL155=""),AND(AL154="",AL155&lt;&gt;""))</f>
        <v>0</v>
      </c>
      <c r="AM152" s="3236">
        <f>OR(AND(AM154&lt;&gt;"",AM155=""),AND(AM154="",AM155&lt;&gt;""))</f>
        <v>0</v>
      </c>
      <c r="AN152" s="3236">
        <f>OR(AND(AN154&lt;&gt;"",AN155=""),AND(AN154="",AN155&lt;&gt;""))</f>
        <v>0</v>
      </c>
      <c r="AO152" s="3236">
        <f>OR(AND(AO154&lt;&gt;"",AO155=""),AND(AO154="",AO155&lt;&gt;""))</f>
        <v>0</v>
      </c>
      <c r="AP152" s="3236">
        <f>OR(AND(AP154&lt;&gt;"",AP155=""),AND(AP154="",AP155&lt;&gt;""))</f>
        <v>0</v>
      </c>
      <c r="AQ152" s="3236">
        <f>OR(AND(AQ154&lt;&gt;"",AQ155=""),AND(AQ154="",AQ155&lt;&gt;""))</f>
        <v>0</v>
      </c>
      <c r="AR152" s="3236">
        <f>OR(AND(AR154&lt;&gt;"",AR155=""),AND(AR154="",AR155&lt;&gt;""))</f>
        <v>0</v>
      </c>
      <c r="AS152" s="3236">
        <f>OR(AND(AS154&lt;&gt;"",AS155=""),AND(AS154="",AS155&lt;&gt;""))</f>
        <v>0</v>
      </c>
      <c r="AT152" s="3236">
        <f>OR(AND(AT154&lt;&gt;"",AT155=""),AND(AT154="",AT155&lt;&gt;""))</f>
        <v>0</v>
      </c>
      <c r="AU152" s="3236">
        <f>OR(AND(AU154&lt;&gt;"",AU155=""),AND(AU154="",AU155&lt;&gt;""))</f>
        <v>0</v>
      </c>
      <c r="AV152" s="3236">
        <f>OR(AND(AV154&lt;&gt;"",AV155=""),AND(AV154="",AV155&lt;&gt;""))</f>
        <v>0</v>
      </c>
      <c r="AW152" s="3236">
        <f>OR(AND(AW154&lt;&gt;"",AW155=""),AND(AW154="",AW155&lt;&gt;""))</f>
        <v>0</v>
      </c>
      <c r="AX152" s="3236">
        <f>OR(AND(AX154&lt;&gt;"",AX155=""),AND(AX154="",AX155&lt;&gt;""))</f>
        <v>0</v>
      </c>
      <c r="AY152" s="3236">
        <f>OR(AND(AY154&lt;&gt;"",AY155=""),AND(AY154="",AY155&lt;&gt;""))</f>
        <v>0</v>
      </c>
      <c r="AZ152" s="3236">
        <f>OR(AND(AZ154&lt;&gt;"",AZ155=""),AND(AZ154="",AZ155&lt;&gt;""))</f>
        <v>0</v>
      </c>
      <c r="BA152" s="3236">
        <f>OR(AND(BA154&lt;&gt;"",BA155=""),AND(BA154="",BA155&lt;&gt;""))</f>
        <v>0</v>
      </c>
      <c r="BB152" s="3236">
        <f>OR(AND(BB154&lt;&gt;"",BB155=""),AND(BB154="",BB155&lt;&gt;""))</f>
        <v>0</v>
      </c>
      <c r="BC152" s="982"/>
      <c r="BD152" s="892"/>
      <c r="BE152" s="892"/>
      <c r="BF152" s="1052"/>
      <c r="BG152" s="1052"/>
      <c r="BH152" s="1052"/>
      <c r="BI152" s="685"/>
      <c r="BJ152" s="685"/>
    </row>
    <row customHeight="1" ht="14.625" hidden="1">
      <c r="A153" s="892"/>
      <c r="B153" s="443"/>
      <c r="C153" s="892"/>
      <c r="D153" s="892"/>
      <c r="E153" s="684">
        <v>15</v>
      </c>
      <c r="F153" s="1326" cm="1" t="str">
        <f t="array" ref="F153:F153">OFFSET(E153,-1,1)</f>
        <v>1</v>
      </c>
      <c r="G153" s="892"/>
      <c r="H153" s="892"/>
      <c r="I153" s="892"/>
      <c r="J153" s="892"/>
      <c r="K153" s="918"/>
      <c r="L153" s="922"/>
      <c r="M153" s="892"/>
      <c r="N153" s="892"/>
      <c r="O153" s="892"/>
      <c r="P153" s="892"/>
      <c r="Q153" s="892"/>
      <c r="R153" s="892"/>
      <c r="S153" s="892"/>
      <c r="T153" s="1436">
        <f>AND(F153&gt;0,Y152&gt;0)</f>
        <v>0</v>
      </c>
      <c r="U153" s="892"/>
      <c r="V153" s="892"/>
      <c r="W153" s="892"/>
      <c r="X153" s="690"/>
      <c r="Y153" s="1469"/>
      <c r="Z153" s="892"/>
      <c r="AA153" s="3234"/>
      <c r="AB153" s="3204" t="str">
        <f>"7."&amp;Y152</f>
        <v>7.0</v>
      </c>
      <c r="AC153" s="3237"/>
      <c r="AD153" s="3235"/>
      <c r="AE153" s="892"/>
      <c r="AF153" s="892"/>
      <c r="AG153" s="892"/>
      <c r="AH153" s="892"/>
      <c r="AI153" s="892"/>
      <c r="AJ153" s="892"/>
      <c r="AK153" s="892"/>
      <c r="AL153" s="892"/>
      <c r="AM153" s="892"/>
      <c r="AN153" s="892"/>
      <c r="AO153" s="892"/>
      <c r="AP153" s="892"/>
      <c r="AQ153" s="892"/>
      <c r="AR153" s="892"/>
      <c r="AS153" s="892"/>
      <c r="AT153" s="892"/>
      <c r="AU153" s="892"/>
      <c r="AV153" s="892"/>
      <c r="AW153" s="892"/>
      <c r="AX153" s="892"/>
      <c r="AY153" s="892"/>
      <c r="AZ153" s="892"/>
      <c r="BA153" s="892"/>
      <c r="BB153" s="892"/>
      <c r="BC153" s="892"/>
      <c r="BD153" s="892"/>
      <c r="BE153" s="892"/>
      <c r="BF153" s="1052"/>
      <c r="BG153" s="1052"/>
      <c r="BH153" s="1052"/>
      <c r="BI153" s="685"/>
      <c r="BJ153" s="685"/>
    </row>
    <row customHeight="1" ht="14.625" hidden="1">
      <c r="A154" s="892"/>
      <c r="B154" s="443"/>
      <c r="C154" s="892"/>
      <c r="D154" s="892"/>
      <c r="E154" s="684">
        <v>15</v>
      </c>
      <c r="F154" s="1326" cm="1" t="str">
        <f t="array" ref="F154:F154">OFFSET(E154,-1,1)</f>
        <v>1</v>
      </c>
      <c r="G154" s="892"/>
      <c r="H154" s="892"/>
      <c r="I154" s="892"/>
      <c r="J154" s="892"/>
      <c r="K154" s="918"/>
      <c r="L154" s="922"/>
      <c r="M154" s="892"/>
      <c r="N154" s="892"/>
      <c r="O154" s="892"/>
      <c r="P154" s="892"/>
      <c r="Q154" s="892"/>
      <c r="R154" s="892"/>
      <c r="S154" s="892"/>
      <c r="T154" s="1436" cm="1" t="str">
        <f t="array" ref="T154:T154">T153</f>
        <v>false</v>
      </c>
      <c r="U154" s="892"/>
      <c r="V154" s="892"/>
      <c r="W154" s="892"/>
      <c r="X154" s="690"/>
      <c r="Y154" s="1469"/>
      <c r="Z154" s="892"/>
      <c r="AA154" s="3234"/>
      <c r="AB154" s="3204" t="str">
        <f>AB153&amp;".1"</f>
        <v>7.0.1</v>
      </c>
      <c r="AC154" s="3273" t="s">
        <v>1251</v>
      </c>
      <c r="AD154" s="3206" t="s">
        <v>936</v>
      </c>
      <c r="AE154" s="3274"/>
      <c r="AF154" s="3275"/>
      <c r="AG154" s="3274"/>
      <c r="AH154" s="3274"/>
      <c r="AI154" s="3275"/>
      <c r="AJ154" s="3275"/>
      <c r="AK154" s="3275"/>
      <c r="AL154" s="3275"/>
      <c r="AM154" s="3275"/>
      <c r="AN154" s="3275"/>
      <c r="AO154" s="3275"/>
      <c r="AP154" s="3275"/>
      <c r="AQ154" s="3275"/>
      <c r="AR154" s="3275"/>
      <c r="AS154" s="3274"/>
      <c r="AT154" s="3274"/>
      <c r="AU154" s="3274"/>
      <c r="AV154" s="3274"/>
      <c r="AW154" s="3274"/>
      <c r="AX154" s="3274"/>
      <c r="AY154" s="3274"/>
      <c r="AZ154" s="3274"/>
      <c r="BA154" s="3274"/>
      <c r="BB154" s="3274"/>
      <c r="BC154" s="2550"/>
      <c r="BD154" s="892"/>
      <c r="BE154" s="892"/>
      <c r="BF154" s="1049" t="s">
        <v>1252</v>
      </c>
      <c r="BG154" s="1052" t="s">
        <v>1311</v>
      </c>
      <c r="BH154" s="3241" cm="1" t="str">
        <f t="array" ref="BH154:BH154">AC153</f>
        <v>0</v>
      </c>
      <c r="BI154" s="685"/>
      <c r="BJ154" s="685" t="b">
        <v>1</v>
      </c>
    </row>
    <row customHeight="1" ht="14.625" hidden="1">
      <c r="A155" s="892"/>
      <c r="B155" s="443"/>
      <c r="C155" s="892"/>
      <c r="D155" s="892"/>
      <c r="E155" s="684">
        <v>15</v>
      </c>
      <c r="F155" s="1326" cm="1" t="str">
        <f t="array" ref="F155:F155">OFFSET(E155,-1,1)</f>
        <v>1</v>
      </c>
      <c r="G155" s="892"/>
      <c r="H155" s="892"/>
      <c r="I155" s="892"/>
      <c r="J155" s="892"/>
      <c r="K155" s="918"/>
      <c r="L155" s="922"/>
      <c r="M155" s="892"/>
      <c r="N155" s="892"/>
      <c r="O155" s="892"/>
      <c r="P155" s="892"/>
      <c r="Q155" s="892"/>
      <c r="R155" s="892"/>
      <c r="S155" s="892"/>
      <c r="T155" s="1436" cm="1" t="str">
        <f t="array" ref="T155:T155">T154</f>
        <v>false</v>
      </c>
      <c r="U155" s="892"/>
      <c r="V155" s="892"/>
      <c r="W155" s="892"/>
      <c r="X155" s="690"/>
      <c r="Y155" s="1469"/>
      <c r="Z155" s="892"/>
      <c r="AA155" s="3234"/>
      <c r="AB155" s="3204" t="str">
        <f>AB154&amp;".1"</f>
        <v>7.0.1.1</v>
      </c>
      <c r="AC155" s="3215" t="s">
        <v>1312</v>
      </c>
      <c r="AD155" s="3204" t="s">
        <v>657</v>
      </c>
      <c r="AE155" s="3274"/>
      <c r="AF155" s="3275"/>
      <c r="AG155" s="3274"/>
      <c r="AH155" s="3274"/>
      <c r="AI155" s="3275"/>
      <c r="AJ155" s="3275"/>
      <c r="AK155" s="3275"/>
      <c r="AL155" s="3275"/>
      <c r="AM155" s="3275"/>
      <c r="AN155" s="3275"/>
      <c r="AO155" s="3275"/>
      <c r="AP155" s="3275"/>
      <c r="AQ155" s="3275"/>
      <c r="AR155" s="3275"/>
      <c r="AS155" s="3274"/>
      <c r="AT155" s="3274"/>
      <c r="AU155" s="3274"/>
      <c r="AV155" s="3274"/>
      <c r="AW155" s="3274"/>
      <c r="AX155" s="3274"/>
      <c r="AY155" s="3274"/>
      <c r="AZ155" s="3274"/>
      <c r="BA155" s="3274"/>
      <c r="BB155" s="3274"/>
      <c r="BC155" s="2550"/>
      <c r="BD155" s="892"/>
      <c r="BE155" s="892"/>
      <c r="BF155" s="1049" t="s">
        <v>1255</v>
      </c>
      <c r="BG155" s="1052" t="s">
        <v>1311</v>
      </c>
      <c r="BH155" s="3241" cm="1" t="str">
        <f t="array" ref="BH155:BH155">BH154</f>
        <v>0</v>
      </c>
      <c r="BI155" s="685"/>
      <c r="BJ155" s="685"/>
    </row>
    <row customHeight="1" ht="14.625" hidden="1">
      <c r="A156" s="892"/>
      <c r="B156" s="443"/>
      <c r="C156" s="892"/>
      <c r="D156" s="892"/>
      <c r="E156" s="684">
        <v>15</v>
      </c>
      <c r="F156" s="1326" cm="1" t="str">
        <f t="array" ref="F156:F156">OFFSET(E156,-1,1)</f>
        <v>1</v>
      </c>
      <c r="G156" s="892"/>
      <c r="H156" s="892"/>
      <c r="I156" s="892"/>
      <c r="J156" s="892"/>
      <c r="K156" s="918"/>
      <c r="L156" s="922"/>
      <c r="M156" s="892"/>
      <c r="N156" s="892"/>
      <c r="O156" s="892"/>
      <c r="P156" s="892"/>
      <c r="Q156" s="892"/>
      <c r="R156" s="892"/>
      <c r="S156" s="892"/>
      <c r="T156" s="1436" cm="1" t="str">
        <f t="array" ref="T156:T156">T155</f>
        <v>false</v>
      </c>
      <c r="U156" s="892"/>
      <c r="V156" s="892"/>
      <c r="W156" s="892"/>
      <c r="X156" s="690"/>
      <c r="Y156" s="1469"/>
      <c r="Z156" s="892"/>
      <c r="AA156" s="3234"/>
      <c r="AB156" s="3204" t="str">
        <f>AB154&amp;".2"</f>
        <v>7.0.1.2</v>
      </c>
      <c r="AC156" s="3215" t="s">
        <v>1313</v>
      </c>
      <c r="AD156" s="3204" t="s">
        <v>1257</v>
      </c>
      <c r="AE156" s="3274"/>
      <c r="AF156" s="3275"/>
      <c r="AG156" s="3275"/>
      <c r="AH156" s="3274"/>
      <c r="AI156" s="3275"/>
      <c r="AJ156" s="3275"/>
      <c r="AK156" s="3275"/>
      <c r="AL156" s="3275"/>
      <c r="AM156" s="3275"/>
      <c r="AN156" s="3275"/>
      <c r="AO156" s="3275"/>
      <c r="AP156" s="3275"/>
      <c r="AQ156" s="3275"/>
      <c r="AR156" s="3275"/>
      <c r="AS156" s="3275"/>
      <c r="AT156" s="3275"/>
      <c r="AU156" s="3275"/>
      <c r="AV156" s="3275"/>
      <c r="AW156" s="3275"/>
      <c r="AX156" s="3275"/>
      <c r="AY156" s="3275"/>
      <c r="AZ156" s="3275"/>
      <c r="BA156" s="3275"/>
      <c r="BB156" s="3275"/>
      <c r="BC156" s="2550"/>
      <c r="BD156" s="892"/>
      <c r="BE156" s="892"/>
      <c r="BF156" s="1049" t="s">
        <v>1258</v>
      </c>
      <c r="BG156" s="1052" t="s">
        <v>1311</v>
      </c>
      <c r="BH156" s="3241" cm="1" t="str">
        <f t="array" ref="BH156:BH156">BH155</f>
        <v>0</v>
      </c>
      <c r="BI156" s="685"/>
      <c r="BJ156" s="685"/>
    </row>
    <row customHeight="1" ht="14.625">
      <c r="B157" s="443"/>
      <c r="E157" s="684">
        <v>15</v>
      </c>
      <c r="F157" s="1326" cm="1" t="str">
        <f t="array" ref="F157:F157">OFFSET(E157,-1,1)</f>
        <v>1</v>
      </c>
      <c r="G157" s="892"/>
      <c r="K157" s="918"/>
      <c r="L157" s="922"/>
      <c r="T157" s="1436">
        <f>F157&gt;0</f>
        <v>1</v>
      </c>
      <c r="W157" s="691" t="s">
        <v>1314</v>
      </c>
      <c r="X157" s="690"/>
      <c r="Z157" s="892"/>
      <c r="AA157" s="2547"/>
      <c r="AB157" s="3536"/>
      <c r="AC157" s="3537" t="s">
        <v>1260</v>
      </c>
      <c r="AD157" s="3538"/>
      <c r="AE157" s="3539"/>
      <c r="AF157" s="3540"/>
      <c r="AG157" s="3541"/>
      <c r="AH157" s="3542"/>
      <c r="AI157" s="3543"/>
      <c r="AJ157" s="3544"/>
      <c r="AK157" s="3545"/>
      <c r="AL157" s="3546"/>
      <c r="AM157" s="3547"/>
      <c r="AN157" s="3548"/>
      <c r="AO157" s="3549"/>
      <c r="AP157" s="3550"/>
      <c r="AQ157" s="3551"/>
      <c r="AR157" s="3552"/>
      <c r="AS157" s="3553"/>
      <c r="AT157" s="3554"/>
      <c r="AU157" s="3555"/>
      <c r="AV157" s="3556"/>
      <c r="AW157" s="3557"/>
      <c r="AX157" s="3558"/>
      <c r="AY157" s="3559"/>
      <c r="AZ157" s="3560"/>
      <c r="BA157" s="3561"/>
      <c r="BB157" s="3562"/>
      <c r="BC157" s="3563"/>
      <c r="BF157" s="1052"/>
      <c r="BG157" s="1052"/>
      <c r="BH157" s="1052"/>
      <c r="BI157" s="685" t="s">
        <v>1311</v>
      </c>
      <c r="BJ157" s="685"/>
    </row>
    <row s="149" customFormat="1" customHeight="1" ht="62.671875">
      <c r="A158" s="149"/>
      <c r="B158" s="443"/>
      <c r="C158" s="149"/>
      <c r="D158" s="149"/>
      <c r="E158" s="685">
        <v>15</v>
      </c>
      <c r="F158" s="50" cm="1" t="str">
        <f t="array" ref="F158:F158">OFFSET(E158,-1,1)</f>
        <v>1</v>
      </c>
      <c r="G158" s="148" t="s">
        <v>685</v>
      </c>
      <c r="H158" s="149"/>
      <c r="I158" s="149"/>
      <c r="J158" s="149"/>
      <c r="K158" s="918" t="str">
        <f>F96&amp;"8komm"</f>
        <v>18komm</v>
      </c>
      <c r="L158" s="922" cm="1" t="str">
        <f t="array" ref="L158:L158">BC158</f>
        <v>Приказ Генерального директора ОАО "СКЭК" от 31.12.2019 № 344 "О внесении изменений в Учетную политику" (Пункт 1.11, об учете и распределении затрат по  тепловой энергии на производственные нужды котельных  НФС и ОСВ г. Ленинск-Кузнецкий).</v>
      </c>
      <c r="M158" s="149"/>
      <c r="N158" s="149"/>
      <c r="O158" s="149"/>
      <c r="P158" s="149"/>
      <c r="Q158" s="149"/>
      <c r="R158" s="149"/>
      <c r="S158" s="149"/>
      <c r="T158" s="468" cm="1" t="str">
        <f t="array" ref="T158:T158">T151</f>
        <v>true</v>
      </c>
      <c r="U158" s="149"/>
      <c r="V158" s="149"/>
      <c r="W158" s="149"/>
      <c r="X158" s="1469"/>
      <c r="Y158" s="149"/>
      <c r="Z158" s="1592"/>
      <c r="AA158" s="149"/>
      <c r="AB158" s="207">
        <v>8</v>
      </c>
      <c r="AC158" s="208" t="s">
        <v>1315</v>
      </c>
      <c r="AD158" s="207" t="s">
        <v>936</v>
      </c>
      <c r="AE158" s="3231">
        <f>SUMIF($AD161:$AD164,$AD158,AE161:AE164)</f>
        <v>0</v>
      </c>
      <c r="AF158" s="3231">
        <f>SUMIF($AD161:$AD164,$AD158,AF161:AF164)</f>
        <v>0</v>
      </c>
      <c r="AG158" s="3231">
        <f>SUMIF($AD161:$AD164,$AD158,AG161:AG164)</f>
        <v>0</v>
      </c>
      <c r="AH158" s="3231">
        <f>SUMIF($AD161:$AD164,$AD158,AH161:AH164)</f>
        <v>0</v>
      </c>
      <c r="AI158" s="3231">
        <f>SUMIF($AD161:$AD164,$AD158,AI161:AI164)</f>
        <v>0</v>
      </c>
      <c r="AJ158" s="3232">
        <f>SUMIF($AD161:$AD164,$AD158,AJ161:AJ164)</f>
        <v>0</v>
      </c>
      <c r="AK158" s="3232">
        <f>SUMIF($AD161:$AD164,$AD158,AK161:AK164)</f>
        <v>0</v>
      </c>
      <c r="AL158" s="3232">
        <f>SUMIF($AD161:$AD164,$AD158,AL161:AL164)</f>
        <v>0</v>
      </c>
      <c r="AM158" s="3232">
        <f>SUMIF($AD161:$AD164,$AD158,AM161:AM164)</f>
        <v>0</v>
      </c>
      <c r="AN158" s="3232">
        <f>SUMIF($AD161:$AD164,$AD158,AN161:AN164)</f>
        <v>0</v>
      </c>
      <c r="AO158" s="3232">
        <f>SUMIF($AD161:$AD164,$AD158,AO161:AO164)</f>
        <v>0</v>
      </c>
      <c r="AP158" s="3232">
        <f>SUMIF($AD161:$AD164,$AD158,AP161:AP164)</f>
        <v>0</v>
      </c>
      <c r="AQ158" s="3232">
        <f>SUMIF($AD161:$AD164,$AD158,AQ161:AQ164)</f>
        <v>0</v>
      </c>
      <c r="AR158" s="3232">
        <f>SUMIF($AD161:$AD164,$AD158,AR161:AR164)</f>
        <v>0</v>
      </c>
      <c r="AS158" s="3231">
        <f>SUMIF($AD161:$AD164,$AD158,AS161:AS164)</f>
        <v>0</v>
      </c>
      <c r="AT158" s="3232">
        <f>SUMIF($AD161:$AD164,$AD158,AT161:AT164)</f>
        <v>0</v>
      </c>
      <c r="AU158" s="3232">
        <f>SUMIF($AD161:$AD164,$AD158,AU161:AU164)</f>
        <v>0</v>
      </c>
      <c r="AV158" s="3232">
        <f>SUMIF($AD161:$AD164,$AD158,AV161:AV164)</f>
        <v>0</v>
      </c>
      <c r="AW158" s="3232">
        <f>SUMIF($AD161:$AD164,$AD158,AW161:AW164)</f>
        <v>0</v>
      </c>
      <c r="AX158" s="3232">
        <f>SUMIF($AD161:$AD164,$AD158,AX161:AX164)</f>
        <v>0</v>
      </c>
      <c r="AY158" s="3232">
        <f>SUMIF($AD161:$AD164,$AD158,AY161:AY164)</f>
        <v>0</v>
      </c>
      <c r="AZ158" s="3232">
        <f>SUMIF($AD161:$AD164,$AD158,AZ161:AZ164)</f>
        <v>0</v>
      </c>
      <c r="BA158" s="3232">
        <f>SUMIF($AD161:$AD164,$AD158,BA161:BA164)</f>
        <v>0</v>
      </c>
      <c r="BB158" s="3232">
        <f>SUMIF($AD161:$AD164,$AD158,BB161:BB164)</f>
        <v>0</v>
      </c>
      <c r="BC158" s="196" t="s">
        <v>1330</v>
      </c>
      <c r="BD158" s="149"/>
      <c r="BE158" s="149"/>
      <c r="BF158" s="1052" t="s">
        <v>1316</v>
      </c>
      <c r="BG158" s="1052"/>
      <c r="BH158" s="1052"/>
      <c r="BI158" s="685"/>
      <c r="BJ158" s="685"/>
    </row>
    <row customHeight="1" ht="14.625" hidden="1">
      <c r="A159" s="892"/>
      <c r="B159" s="443"/>
      <c r="C159" s="892"/>
      <c r="D159" s="892"/>
      <c r="E159" s="684">
        <v>15</v>
      </c>
      <c r="F159" s="1326" cm="1" t="str">
        <f t="array" ref="F159:F159">OFFSET(E159,-1,1)</f>
        <v>1</v>
      </c>
      <c r="G159" s="892"/>
      <c r="H159" s="892"/>
      <c r="I159" s="892"/>
      <c r="J159" s="892"/>
      <c r="K159" s="918"/>
      <c r="L159" s="922"/>
      <c r="M159" s="892"/>
      <c r="N159" s="892"/>
      <c r="O159" s="892"/>
      <c r="P159" s="892"/>
      <c r="Q159" s="892"/>
      <c r="R159" s="892"/>
      <c r="S159" s="892"/>
      <c r="T159" s="1436" t="b">
        <v>0</v>
      </c>
      <c r="U159" s="892"/>
      <c r="V159" s="892"/>
      <c r="W159" s="892" t="s">
        <v>173</v>
      </c>
      <c r="X159" s="690"/>
      <c r="Y159" s="1469">
        <v>0</v>
      </c>
      <c r="Z159" s="892"/>
      <c r="AA159" s="3234" t="s">
        <v>174</v>
      </c>
      <c r="AB159" s="3206"/>
      <c r="AC159" s="1489"/>
      <c r="AD159" s="3235"/>
      <c r="AE159" s="3236">
        <f>OR(AND(AE161&lt;&gt;"",AE162=""),AND(AE161="",AE162&lt;&gt;""))</f>
        <v>0</v>
      </c>
      <c r="AF159" s="3236">
        <f>OR(AND(AF161&lt;&gt;"",AF162=""),AND(AF161="",AF162&lt;&gt;""))</f>
        <v>0</v>
      </c>
      <c r="AG159" s="3236">
        <f>OR(AND(AG161&lt;&gt;"",AG162=""),AND(AG161="",AG162&lt;&gt;""))</f>
        <v>0</v>
      </c>
      <c r="AH159" s="3236">
        <f>OR(AND(AH161&lt;&gt;"",AH162=""),AND(AH161="",AH162&lt;&gt;""))</f>
        <v>0</v>
      </c>
      <c r="AI159" s="3236">
        <f>OR(AND(AI161&lt;&gt;"",AI162=""),AND(AI161="",AI162&lt;&gt;""))</f>
        <v>0</v>
      </c>
      <c r="AJ159" s="3236">
        <f>OR(AND(AJ161&lt;&gt;"",AJ162=""),AND(AJ161="",AJ162&lt;&gt;""))</f>
        <v>0</v>
      </c>
      <c r="AK159" s="3236">
        <f>OR(AND(AK161&lt;&gt;"",AK162=""),AND(AK161="",AK162&lt;&gt;""))</f>
        <v>0</v>
      </c>
      <c r="AL159" s="3236">
        <f>OR(AND(AL161&lt;&gt;"",AL162=""),AND(AL161="",AL162&lt;&gt;""))</f>
        <v>0</v>
      </c>
      <c r="AM159" s="3236">
        <f>OR(AND(AM161&lt;&gt;"",AM162=""),AND(AM161="",AM162&lt;&gt;""))</f>
        <v>0</v>
      </c>
      <c r="AN159" s="3236">
        <f>OR(AND(AN161&lt;&gt;"",AN162=""),AND(AN161="",AN162&lt;&gt;""))</f>
        <v>0</v>
      </c>
      <c r="AO159" s="3236">
        <f>OR(AND(AO161&lt;&gt;"",AO162=""),AND(AO161="",AO162&lt;&gt;""))</f>
        <v>0</v>
      </c>
      <c r="AP159" s="3236">
        <f>OR(AND(AP161&lt;&gt;"",AP162=""),AND(AP161="",AP162&lt;&gt;""))</f>
        <v>0</v>
      </c>
      <c r="AQ159" s="3236">
        <f>OR(AND(AQ161&lt;&gt;"",AQ162=""),AND(AQ161="",AQ162&lt;&gt;""))</f>
        <v>0</v>
      </c>
      <c r="AR159" s="3236">
        <f>OR(AND(AR161&lt;&gt;"",AR162=""),AND(AR161="",AR162&lt;&gt;""))</f>
        <v>0</v>
      </c>
      <c r="AS159" s="3236">
        <f>OR(AND(AS161&lt;&gt;"",AS162=""),AND(AS161="",AS162&lt;&gt;""))</f>
        <v>0</v>
      </c>
      <c r="AT159" s="3236">
        <f>OR(AND(AT161&lt;&gt;"",AT162=""),AND(AT161="",AT162&lt;&gt;""))</f>
        <v>0</v>
      </c>
      <c r="AU159" s="3236">
        <f>OR(AND(AU161&lt;&gt;"",AU162=""),AND(AU161="",AU162&lt;&gt;""))</f>
        <v>0</v>
      </c>
      <c r="AV159" s="3236">
        <f>OR(AND(AV161&lt;&gt;"",AV162=""),AND(AV161="",AV162&lt;&gt;""))</f>
        <v>0</v>
      </c>
      <c r="AW159" s="3236">
        <f>OR(AND(AW161&lt;&gt;"",AW162=""),AND(AW161="",AW162&lt;&gt;""))</f>
        <v>0</v>
      </c>
      <c r="AX159" s="3236">
        <f>OR(AND(AX161&lt;&gt;"",AX162=""),AND(AX161="",AX162&lt;&gt;""))</f>
        <v>0</v>
      </c>
      <c r="AY159" s="3236">
        <f>OR(AND(AY161&lt;&gt;"",AY162=""),AND(AY161="",AY162&lt;&gt;""))</f>
        <v>0</v>
      </c>
      <c r="AZ159" s="3236">
        <f>OR(AND(AZ161&lt;&gt;"",AZ162=""),AND(AZ161="",AZ162&lt;&gt;""))</f>
        <v>0</v>
      </c>
      <c r="BA159" s="3236">
        <f>OR(AND(BA161&lt;&gt;"",BA162=""),AND(BA161="",BA162&lt;&gt;""))</f>
        <v>0</v>
      </c>
      <c r="BB159" s="3304">
        <f>OR(AND(BB161&lt;&gt;"",BB162=""),AND(BB161="",BB162&lt;&gt;""))</f>
        <v>0</v>
      </c>
      <c r="BC159" s="3305"/>
      <c r="BD159" s="892"/>
      <c r="BE159" s="892"/>
      <c r="BF159" s="1052"/>
      <c r="BG159" s="1052"/>
      <c r="BH159" s="1052"/>
      <c r="BI159" s="685"/>
      <c r="BJ159" s="685"/>
    </row>
    <row customHeight="1" ht="14.625" hidden="1">
      <c r="A160" s="892"/>
      <c r="B160" s="443"/>
      <c r="C160" s="892"/>
      <c r="D160" s="892"/>
      <c r="E160" s="684">
        <v>15</v>
      </c>
      <c r="F160" s="1326" cm="1" t="str">
        <f t="array" ref="F160:F160">OFFSET(E160,-1,1)</f>
        <v>1</v>
      </c>
      <c r="G160" s="892"/>
      <c r="H160" s="892"/>
      <c r="I160" s="892"/>
      <c r="J160" s="892"/>
      <c r="K160" s="918"/>
      <c r="L160" s="922"/>
      <c r="M160" s="892"/>
      <c r="N160" s="892"/>
      <c r="O160" s="892"/>
      <c r="P160" s="892"/>
      <c r="Q160" s="892"/>
      <c r="R160" s="892"/>
      <c r="S160" s="892"/>
      <c r="T160" s="1436">
        <f>AND(F160&gt;0,Y159&gt;0)</f>
        <v>0</v>
      </c>
      <c r="U160" s="892"/>
      <c r="V160" s="892"/>
      <c r="W160" s="892"/>
      <c r="X160" s="690"/>
      <c r="Y160" s="1469"/>
      <c r="Z160" s="892"/>
      <c r="AA160" s="3234"/>
      <c r="AB160" s="3204" t="str">
        <f>"8."&amp;Y159</f>
        <v>8.0</v>
      </c>
      <c r="AC160" s="3237"/>
      <c r="AD160" s="3235"/>
      <c r="AE160" s="892"/>
      <c r="AF160" s="892"/>
      <c r="AG160" s="892"/>
      <c r="AH160" s="892"/>
      <c r="AI160" s="892"/>
      <c r="AJ160" s="892"/>
      <c r="AK160" s="892"/>
      <c r="AL160" s="892"/>
      <c r="AM160" s="892"/>
      <c r="AN160" s="892"/>
      <c r="AO160" s="892"/>
      <c r="AP160" s="892"/>
      <c r="AQ160" s="892"/>
      <c r="AR160" s="892"/>
      <c r="AS160" s="892"/>
      <c r="AT160" s="892"/>
      <c r="AU160" s="892"/>
      <c r="AV160" s="892"/>
      <c r="AW160" s="892"/>
      <c r="AX160" s="892"/>
      <c r="AY160" s="892"/>
      <c r="AZ160" s="892"/>
      <c r="BA160" s="892"/>
      <c r="BB160" s="892"/>
      <c r="BC160" s="892"/>
      <c r="BD160" s="892"/>
      <c r="BE160" s="892"/>
      <c r="BF160" s="1052"/>
      <c r="BG160" s="1052"/>
      <c r="BH160" s="1052"/>
      <c r="BI160" s="685"/>
      <c r="BJ160" s="685"/>
    </row>
    <row customHeight="1" ht="14.625" hidden="1">
      <c r="A161" s="892"/>
      <c r="B161" s="443"/>
      <c r="C161" s="892"/>
      <c r="D161" s="892"/>
      <c r="E161" s="684">
        <v>15</v>
      </c>
      <c r="F161" s="1326" cm="1" t="str">
        <f t="array" ref="F161:F161">OFFSET(E161,-1,1)</f>
        <v>1</v>
      </c>
      <c r="G161" s="892"/>
      <c r="H161" s="892"/>
      <c r="I161" s="892"/>
      <c r="J161" s="892"/>
      <c r="K161" s="918"/>
      <c r="L161" s="922"/>
      <c r="M161" s="892"/>
      <c r="N161" s="892"/>
      <c r="O161" s="892"/>
      <c r="P161" s="892"/>
      <c r="Q161" s="892"/>
      <c r="R161" s="892"/>
      <c r="S161" s="892"/>
      <c r="T161" s="1436" cm="1" t="str">
        <f t="array" ref="T161:T161">T160</f>
        <v>false</v>
      </c>
      <c r="U161" s="892"/>
      <c r="V161" s="892"/>
      <c r="W161" s="892"/>
      <c r="X161" s="690"/>
      <c r="Y161" s="1469"/>
      <c r="Z161" s="892"/>
      <c r="AA161" s="3234"/>
      <c r="AB161" s="3204" t="str">
        <f>AB160&amp;".1"</f>
        <v>8.0.1</v>
      </c>
      <c r="AC161" s="3273" t="s">
        <v>1251</v>
      </c>
      <c r="AD161" s="3206" t="s">
        <v>936</v>
      </c>
      <c r="AE161" s="3274"/>
      <c r="AF161" s="3275"/>
      <c r="AG161" s="3274"/>
      <c r="AH161" s="3274"/>
      <c r="AI161" s="3275"/>
      <c r="AJ161" s="3275"/>
      <c r="AK161" s="3275"/>
      <c r="AL161" s="3275"/>
      <c r="AM161" s="3275"/>
      <c r="AN161" s="3275"/>
      <c r="AO161" s="3275"/>
      <c r="AP161" s="3275"/>
      <c r="AQ161" s="3275"/>
      <c r="AR161" s="3275"/>
      <c r="AS161" s="3274"/>
      <c r="AT161" s="3274"/>
      <c r="AU161" s="3274"/>
      <c r="AV161" s="3274"/>
      <c r="AW161" s="3274"/>
      <c r="AX161" s="3274"/>
      <c r="AY161" s="3274"/>
      <c r="AZ161" s="3274"/>
      <c r="BA161" s="3274"/>
      <c r="BB161" s="3274"/>
      <c r="BC161" s="3306"/>
      <c r="BD161" s="892"/>
      <c r="BE161" s="892"/>
      <c r="BF161" s="1049" t="s">
        <v>1252</v>
      </c>
      <c r="BG161" s="1052" t="s">
        <v>1317</v>
      </c>
      <c r="BH161" s="3241" cm="1" t="str">
        <f t="array" ref="BH161:BH161">AC160</f>
        <v>0</v>
      </c>
      <c r="BI161" s="685"/>
      <c r="BJ161" s="685" t="b">
        <v>1</v>
      </c>
    </row>
    <row customHeight="1" ht="14.625" hidden="1">
      <c r="A162" s="892"/>
      <c r="B162" s="443"/>
      <c r="C162" s="892"/>
      <c r="D162" s="892"/>
      <c r="E162" s="684">
        <v>15</v>
      </c>
      <c r="F162" s="1326" cm="1" t="str">
        <f t="array" ref="F162:F162">OFFSET(E162,-1,1)</f>
        <v>1</v>
      </c>
      <c r="G162" s="892"/>
      <c r="H162" s="892"/>
      <c r="I162" s="892"/>
      <c r="J162" s="892"/>
      <c r="K162" s="918"/>
      <c r="L162" s="922"/>
      <c r="M162" s="892"/>
      <c r="N162" s="892"/>
      <c r="O162" s="892"/>
      <c r="P162" s="892"/>
      <c r="Q162" s="892"/>
      <c r="R162" s="892"/>
      <c r="S162" s="892"/>
      <c r="T162" s="1436" cm="1" t="str">
        <f t="array" ref="T162:T162">T161</f>
        <v>false</v>
      </c>
      <c r="U162" s="892"/>
      <c r="V162" s="892"/>
      <c r="W162" s="892"/>
      <c r="X162" s="690"/>
      <c r="Y162" s="1469"/>
      <c r="Z162" s="892"/>
      <c r="AA162" s="3234"/>
      <c r="AB162" s="3204" t="str">
        <f>AB161&amp;".1"</f>
        <v>8.0.1.1</v>
      </c>
      <c r="AC162" s="3215" t="s">
        <v>1318</v>
      </c>
      <c r="AD162" s="3204" t="s">
        <v>657</v>
      </c>
      <c r="AE162" s="3274"/>
      <c r="AF162" s="3275"/>
      <c r="AG162" s="3274"/>
      <c r="AH162" s="3274"/>
      <c r="AI162" s="3275"/>
      <c r="AJ162" s="3275"/>
      <c r="AK162" s="3275"/>
      <c r="AL162" s="3275"/>
      <c r="AM162" s="3275"/>
      <c r="AN162" s="3275"/>
      <c r="AO162" s="3275"/>
      <c r="AP162" s="3275"/>
      <c r="AQ162" s="3275"/>
      <c r="AR162" s="3275"/>
      <c r="AS162" s="3274"/>
      <c r="AT162" s="3274"/>
      <c r="AU162" s="3274"/>
      <c r="AV162" s="3274"/>
      <c r="AW162" s="3274"/>
      <c r="AX162" s="3274"/>
      <c r="AY162" s="3274"/>
      <c r="AZ162" s="3274"/>
      <c r="BA162" s="3274"/>
      <c r="BB162" s="3274"/>
      <c r="BC162" s="3306"/>
      <c r="BD162" s="892"/>
      <c r="BE162" s="892"/>
      <c r="BF162" s="1049" t="s">
        <v>1255</v>
      </c>
      <c r="BG162" s="1052" t="s">
        <v>1317</v>
      </c>
      <c r="BH162" s="3241" cm="1" t="str">
        <f t="array" ref="BH162:BH162">BH161</f>
        <v>0</v>
      </c>
      <c r="BI162" s="685"/>
      <c r="BJ162" s="685"/>
    </row>
    <row customHeight="1" ht="14.625" hidden="1">
      <c r="A163" s="892"/>
      <c r="B163" s="443"/>
      <c r="C163" s="892"/>
      <c r="D163" s="892"/>
      <c r="E163" s="684">
        <v>15</v>
      </c>
      <c r="F163" s="1326" cm="1" t="str">
        <f t="array" ref="F163:F163">OFFSET(E163,-1,1)</f>
        <v>1</v>
      </c>
      <c r="G163" s="892"/>
      <c r="H163" s="892"/>
      <c r="I163" s="892"/>
      <c r="J163" s="892"/>
      <c r="K163" s="918"/>
      <c r="L163" s="922"/>
      <c r="M163" s="892"/>
      <c r="N163" s="892"/>
      <c r="O163" s="892"/>
      <c r="P163" s="892"/>
      <c r="Q163" s="892"/>
      <c r="R163" s="892"/>
      <c r="S163" s="892"/>
      <c r="T163" s="1436" cm="1" t="str">
        <f t="array" ref="T163:T163">T162</f>
        <v>false</v>
      </c>
      <c r="U163" s="892"/>
      <c r="V163" s="892"/>
      <c r="W163" s="892"/>
      <c r="X163" s="690"/>
      <c r="Y163" s="1469"/>
      <c r="Z163" s="892"/>
      <c r="AA163" s="3234"/>
      <c r="AB163" s="3204" t="str">
        <f>AB161&amp;".2"</f>
        <v>8.0.1.2</v>
      </c>
      <c r="AC163" s="3215" t="s">
        <v>1319</v>
      </c>
      <c r="AD163" s="3204" t="s">
        <v>1257</v>
      </c>
      <c r="AE163" s="3274"/>
      <c r="AF163" s="3275"/>
      <c r="AG163" s="3275"/>
      <c r="AH163" s="3274"/>
      <c r="AI163" s="3275"/>
      <c r="AJ163" s="3275"/>
      <c r="AK163" s="3275"/>
      <c r="AL163" s="3275"/>
      <c r="AM163" s="3275"/>
      <c r="AN163" s="3275"/>
      <c r="AO163" s="3275"/>
      <c r="AP163" s="3275"/>
      <c r="AQ163" s="3275"/>
      <c r="AR163" s="3275"/>
      <c r="AS163" s="3275"/>
      <c r="AT163" s="3275"/>
      <c r="AU163" s="3275"/>
      <c r="AV163" s="3275"/>
      <c r="AW163" s="3275"/>
      <c r="AX163" s="3275"/>
      <c r="AY163" s="3275"/>
      <c r="AZ163" s="3275"/>
      <c r="BA163" s="3275"/>
      <c r="BB163" s="3307"/>
      <c r="BC163" s="3306"/>
      <c r="BD163" s="892"/>
      <c r="BE163" s="892"/>
      <c r="BF163" s="1049" t="s">
        <v>1258</v>
      </c>
      <c r="BG163" s="1052" t="s">
        <v>1317</v>
      </c>
      <c r="BH163" s="3241" cm="1" t="str">
        <f t="array" ref="BH163:BH163">BH162</f>
        <v>0</v>
      </c>
      <c r="BI163" s="685"/>
      <c r="BJ163" s="685"/>
    </row>
    <row customHeight="1" ht="14.625">
      <c r="B164" s="443"/>
      <c r="E164" s="684">
        <v>15</v>
      </c>
      <c r="F164" s="1326" cm="1" t="str">
        <f t="array" ref="F164:F164">OFFSET(E164,-1,1)</f>
        <v>1</v>
      </c>
      <c r="G164" s="892"/>
      <c r="K164" s="918"/>
      <c r="L164" s="922"/>
      <c r="T164" s="1436">
        <f>F164&gt;0</f>
        <v>1</v>
      </c>
      <c r="W164" s="691" t="s">
        <v>1320</v>
      </c>
      <c r="X164" s="690"/>
      <c r="Z164" s="892"/>
      <c r="AB164" s="3564"/>
      <c r="AC164" s="3565" t="s">
        <v>1260</v>
      </c>
      <c r="AD164" s="3566"/>
      <c r="AE164" s="3567"/>
      <c r="AF164" s="3568"/>
      <c r="AG164" s="3569"/>
      <c r="AH164" s="3570"/>
      <c r="AI164" s="3571"/>
      <c r="AJ164" s="3572"/>
      <c r="AK164" s="3573"/>
      <c r="AL164" s="3574"/>
      <c r="AM164" s="3575"/>
      <c r="AN164" s="3576"/>
      <c r="AO164" s="3577"/>
      <c r="AP164" s="3578"/>
      <c r="AQ164" s="3579"/>
      <c r="AR164" s="3580"/>
      <c r="AS164" s="3581"/>
      <c r="AT164" s="3582"/>
      <c r="AU164" s="3583"/>
      <c r="AV164" s="3584"/>
      <c r="AW164" s="3585"/>
      <c r="AX164" s="3586"/>
      <c r="AY164" s="3587"/>
      <c r="AZ164" s="3588"/>
      <c r="BA164" s="3589"/>
      <c r="BB164" s="3590"/>
      <c r="BC164" s="3591"/>
      <c r="BF164" s="1052"/>
      <c r="BG164" s="1052"/>
      <c r="BH164" s="1052"/>
      <c r="BI164" s="685" t="s">
        <v>1317</v>
      </c>
      <c r="BJ164" s="685"/>
    </row>
    <row s="149" customFormat="1" customHeight="1" ht="20.69692611694336">
      <c r="A165" s="149"/>
      <c r="B165" s="443"/>
      <c r="C165" s="149"/>
      <c r="D165" s="149"/>
      <c r="E165" s="685">
        <v>15</v>
      </c>
      <c r="F165" s="50" cm="1" t="str">
        <f t="array" ref="F165:F165">OFFSET(E165,-1,1)</f>
        <v>1</v>
      </c>
      <c r="G165" s="148"/>
      <c r="H165" s="149"/>
      <c r="I165" s="149"/>
      <c r="J165" s="149"/>
      <c r="K165" s="918" t="str">
        <f>F96&amp;"9komm"</f>
        <v>19komm</v>
      </c>
      <c r="L165" s="922" cm="1" t="str">
        <f t="array" ref="L165:L165">BC165</f>
        <v>0</v>
      </c>
      <c r="M165" s="149"/>
      <c r="N165" s="149"/>
      <c r="O165" s="149"/>
      <c r="P165" s="149"/>
      <c r="Q165" s="149"/>
      <c r="R165" s="149"/>
      <c r="S165" s="149"/>
      <c r="T165" s="468" cm="1" t="str">
        <f t="array" ref="T165:T165">T158</f>
        <v>true</v>
      </c>
      <c r="U165" s="149"/>
      <c r="V165" s="149"/>
      <c r="W165" s="149"/>
      <c r="X165" s="1469"/>
      <c r="Y165" s="149"/>
      <c r="Z165" s="1592"/>
      <c r="AA165" s="149"/>
      <c r="AB165" s="207">
        <v>9</v>
      </c>
      <c r="AC165" s="208" t="s">
        <v>1321</v>
      </c>
      <c r="AD165" s="207" t="s">
        <v>936</v>
      </c>
      <c r="AE165" s="3231">
        <f>SUMIF($AD168:$AD176,$AD165,AE168:AE176)</f>
        <v>0</v>
      </c>
      <c r="AF165" s="3231">
        <f>SUMIF($AD168:$AD176,$AD165,AF168:AF176)</f>
        <v>0</v>
      </c>
      <c r="AG165" s="3231">
        <f>SUMIF($AD168:$AD176,$AD165,AG168:AG176)</f>
        <v>0</v>
      </c>
      <c r="AH165" s="3231">
        <f>SUMIF($AD168:$AD176,$AD165,AH168:AH176)</f>
        <v>0</v>
      </c>
      <c r="AI165" s="3231">
        <f>SUMIF($AD168:$AD176,$AD165,AI168:AI176)</f>
        <v>0</v>
      </c>
      <c r="AJ165" s="3232">
        <f>SUMIF($AD168:$AD176,$AD165,AJ168:AJ176)</f>
        <v>0</v>
      </c>
      <c r="AK165" s="3232">
        <f>SUMIF($AD168:$AD176,$AD165,AK168:AK176)</f>
        <v>0</v>
      </c>
      <c r="AL165" s="3232">
        <f>SUMIF($AD168:$AD176,$AD165,AL168:AL176)</f>
        <v>0</v>
      </c>
      <c r="AM165" s="3232">
        <f>SUMIF($AD168:$AD176,$AD165,AM168:AM176)</f>
        <v>0</v>
      </c>
      <c r="AN165" s="3232">
        <f>SUMIF($AD168:$AD176,$AD165,AN168:AN176)</f>
        <v>0</v>
      </c>
      <c r="AO165" s="3232">
        <f>SUMIF($AD168:$AD176,$AD165,AO168:AO176)</f>
        <v>0</v>
      </c>
      <c r="AP165" s="3232">
        <f>SUMIF($AD168:$AD176,$AD165,AP168:AP176)</f>
        <v>0</v>
      </c>
      <c r="AQ165" s="3232">
        <f>SUMIF($AD168:$AD176,$AD165,AQ168:AQ176)</f>
        <v>0</v>
      </c>
      <c r="AR165" s="3232">
        <f>SUMIF($AD168:$AD176,$AD165,AR168:AR176)</f>
        <v>0</v>
      </c>
      <c r="AS165" s="3231">
        <f>SUMIF($AD168:$AD176,$AD165,AS168:AS176)</f>
        <v>51.71935</v>
      </c>
      <c r="AT165" s="3232">
        <f>SUMIF($AD168:$AD176,$AD165,AT168:AT176)</f>
        <v>0</v>
      </c>
      <c r="AU165" s="3232">
        <f>SUMIF($AD168:$AD176,$AD165,AU168:AU176)</f>
        <v>0</v>
      </c>
      <c r="AV165" s="3232">
        <f>SUMIF($AD168:$AD176,$AD165,AV168:AV176)</f>
        <v>0</v>
      </c>
      <c r="AW165" s="3232">
        <f>SUMIF($AD168:$AD176,$AD165,AW168:AW176)</f>
        <v>0</v>
      </c>
      <c r="AX165" s="3232">
        <f>SUMIF($AD168:$AD176,$AD165,AX168:AX176)</f>
        <v>0</v>
      </c>
      <c r="AY165" s="3232">
        <f>SUMIF($AD168:$AD176,$AD165,AY168:AY176)</f>
        <v>0</v>
      </c>
      <c r="AZ165" s="3232">
        <f>SUMIF($AD168:$AD176,$AD165,AZ168:AZ176)</f>
        <v>0</v>
      </c>
      <c r="BA165" s="3232">
        <f>SUMIF($AD168:$AD176,$AD165,BA168:BA176)</f>
        <v>0</v>
      </c>
      <c r="BB165" s="3232">
        <f>SUMIF($AD168:$AD176,$AD165,BB168:BB176)</f>
        <v>0</v>
      </c>
      <c r="BC165" s="196"/>
      <c r="BD165" s="149"/>
      <c r="BE165" s="149"/>
      <c r="BF165" s="1052" t="s">
        <v>1322</v>
      </c>
      <c r="BG165" s="1052"/>
      <c r="BH165" s="1052"/>
      <c r="BI165" s="685"/>
      <c r="BJ165" s="685"/>
    </row>
    <row customHeight="1" ht="14.625" hidden="1">
      <c r="E166" s="684">
        <v>15</v>
      </c>
      <c r="F166" s="50" cm="1" t="str">
        <f t="array" ref="F166:F166">OFFSET(E166,-1,1)</f>
        <v>1</v>
      </c>
      <c r="T166" s="468" t="b">
        <v>0</v>
      </c>
      <c r="W166" s="148" t="s">
        <v>173</v>
      </c>
      <c r="Y166" s="689">
        <v>0</v>
      </c>
      <c r="AA166" s="52" t="s">
        <v>174</v>
      </c>
      <c r="AB166" s="53"/>
      <c r="AC166" s="70"/>
      <c r="AD166" s="54"/>
      <c r="AE166" s="55">
        <f>OR(AND(AE168&lt;&gt;"",AE169=""),AND(AE168="",AE169&lt;&gt;""))</f>
        <v>0</v>
      </c>
      <c r="AF166" s="55">
        <f>OR(AND(AF168&lt;&gt;"",AF169=""),AND(AF168="",AF169&lt;&gt;""))</f>
        <v>0</v>
      </c>
      <c r="AG166" s="55">
        <f>OR(AND(AG168&lt;&gt;"",AG169=""),AND(AG168="",AG169&lt;&gt;""))</f>
        <v>0</v>
      </c>
      <c r="AH166" s="55">
        <f>OR(AND(AH168&lt;&gt;"",AH169=""),AND(AH168="",AH169&lt;&gt;""))</f>
        <v>0</v>
      </c>
      <c r="AI166" s="55">
        <f>OR(AND(AI168&lt;&gt;"",AI169=""),AND(AI168="",AI169&lt;&gt;""))</f>
        <v>0</v>
      </c>
      <c r="AJ166" s="55">
        <f>OR(AND(AJ168&lt;&gt;"",AJ169=""),AND(AJ168="",AJ169&lt;&gt;""))</f>
        <v>0</v>
      </c>
      <c r="AK166" s="55">
        <f>OR(AND(AK168&lt;&gt;"",AK169=""),AND(AK168="",AK169&lt;&gt;""))</f>
        <v>0</v>
      </c>
      <c r="AL166" s="55">
        <f>OR(AND(AL168&lt;&gt;"",AL169=""),AND(AL168="",AL169&lt;&gt;""))</f>
        <v>0</v>
      </c>
      <c r="AM166" s="55">
        <f>OR(AND(AM168&lt;&gt;"",AM169=""),AND(AM168="",AM169&lt;&gt;""))</f>
        <v>0</v>
      </c>
      <c r="AN166" s="55">
        <f>OR(AND(AN168&lt;&gt;"",AN169=""),AND(AN168="",AN169&lt;&gt;""))</f>
        <v>0</v>
      </c>
      <c r="AO166" s="55">
        <f>OR(AND(AO168&lt;&gt;"",AO169=""),AND(AO168="",AO169&lt;&gt;""))</f>
        <v>0</v>
      </c>
      <c r="AP166" s="55">
        <f>OR(AND(AP168&lt;&gt;"",AP169=""),AND(AP168="",AP169&lt;&gt;""))</f>
        <v>0</v>
      </c>
      <c r="AQ166" s="55">
        <f>OR(AND(AQ168&lt;&gt;"",AQ169=""),AND(AQ168="",AQ169&lt;&gt;""))</f>
        <v>0</v>
      </c>
      <c r="AR166" s="55">
        <f>OR(AND(AR168&lt;&gt;"",AR169=""),AND(AR168="",AR169&lt;&gt;""))</f>
        <v>0</v>
      </c>
      <c r="AS166" s="55">
        <f>OR(AND(AS168&lt;&gt;"",AS169=""),AND(AS168="",AS169&lt;&gt;""))</f>
        <v>0</v>
      </c>
      <c r="AT166" s="55">
        <f>OR(AND(AT168&lt;&gt;"",AT169=""),AND(AT168="",AT169&lt;&gt;""))</f>
        <v>0</v>
      </c>
      <c r="AU166" s="55">
        <f>OR(AND(AU168&lt;&gt;"",AU169=""),AND(AU168="",AU169&lt;&gt;""))</f>
        <v>0</v>
      </c>
      <c r="AV166" s="55">
        <f>OR(AND(AV168&lt;&gt;"",AV169=""),AND(AV168="",AV169&lt;&gt;""))</f>
        <v>0</v>
      </c>
      <c r="AW166" s="55">
        <f>OR(AND(AW168&lt;&gt;"",AW169=""),AND(AW168="",AW169&lt;&gt;""))</f>
        <v>0</v>
      </c>
      <c r="AX166" s="55">
        <f>OR(AND(AX168&lt;&gt;"",AX169=""),AND(AX168="",AX169&lt;&gt;""))</f>
        <v>0</v>
      </c>
      <c r="AY166" s="55">
        <f>OR(AND(AY168&lt;&gt;"",AY169=""),AND(AY168="",AY169&lt;&gt;""))</f>
        <v>0</v>
      </c>
      <c r="AZ166" s="55">
        <f>OR(AND(AZ168&lt;&gt;"",AZ169=""),AND(AZ168="",AZ169&lt;&gt;""))</f>
        <v>0</v>
      </c>
      <c r="BA166" s="55">
        <f>OR(AND(BA168&lt;&gt;"",BA169=""),AND(BA168="",BA169&lt;&gt;""))</f>
        <v>0</v>
      </c>
      <c r="BB166" s="71">
        <f>OR(AND(BB168&lt;&gt;"",BB169=""),AND(BB168="",BB169&lt;&gt;""))</f>
        <v>0</v>
      </c>
      <c r="BC166" s="72"/>
      <c r="BF166" s="1052"/>
      <c r="BG166" s="1052"/>
      <c r="BH166" s="1052"/>
      <c r="BI166" s="685"/>
      <c r="BJ166" s="685"/>
    </row>
    <row customHeight="1" ht="14.625" hidden="1">
      <c r="E167" s="684">
        <v>15</v>
      </c>
      <c r="F167" s="50" cm="1" t="str">
        <f t="array" ref="F167:F167">OFFSET(E167,-1,1)</f>
        <v>1</v>
      </c>
      <c r="T167" s="468">
        <f>AND(F167&gt;0,Y166&gt;0)</f>
        <v>0</v>
      </c>
      <c r="AA167" s="52"/>
      <c r="AB167" s="56" t="str">
        <f>"9."&amp;Y166</f>
        <v>9.0</v>
      </c>
      <c r="AC167" s="73"/>
      <c r="AD167" s="54"/>
      <c r="BF167" s="1052"/>
      <c r="BG167" s="1052"/>
      <c r="BH167" s="1052"/>
      <c r="BI167" s="685"/>
      <c r="BJ167" s="685"/>
    </row>
    <row customHeight="1" ht="14.625" hidden="1">
      <c r="E168" s="684">
        <v>15</v>
      </c>
      <c r="F168" s="50" cm="1" t="str">
        <f t="array" ref="F168:F168">OFFSET(E168,-1,1)</f>
        <v>1</v>
      </c>
      <c r="T168" s="468" cm="1" t="str">
        <f t="array" ref="T168:T168">T167</f>
        <v>false</v>
      </c>
      <c r="AA168" s="52"/>
      <c r="AB168" s="56" t="str">
        <f>AB167&amp;".1"</f>
        <v>9.0.1</v>
      </c>
      <c r="AC168" s="74" t="s">
        <v>1251</v>
      </c>
      <c r="AD168" s="53" t="s">
        <v>936</v>
      </c>
      <c r="AE168" s="75"/>
      <c r="AF168" s="76"/>
      <c r="AG168" s="75"/>
      <c r="AH168" s="75"/>
      <c r="AI168" s="76"/>
      <c r="AJ168" s="76"/>
      <c r="AK168" s="76"/>
      <c r="AL168" s="76"/>
      <c r="AM168" s="76"/>
      <c r="AN168" s="76"/>
      <c r="AO168" s="76"/>
      <c r="AP168" s="76"/>
      <c r="AQ168" s="76"/>
      <c r="AR168" s="76"/>
      <c r="AS168" s="75"/>
      <c r="AT168" s="75"/>
      <c r="AU168" s="75"/>
      <c r="AV168" s="75"/>
      <c r="AW168" s="75"/>
      <c r="AX168" s="75"/>
      <c r="AY168" s="75"/>
      <c r="AZ168" s="75"/>
      <c r="BA168" s="75"/>
      <c r="BB168" s="75"/>
      <c r="BC168" s="77"/>
      <c r="BF168" s="1049" t="s">
        <v>1252</v>
      </c>
      <c r="BG168" s="1052" t="s">
        <v>1323</v>
      </c>
      <c r="BH168" s="64" cm="1" t="str">
        <f t="array" ref="BH168:BH168">AC167</f>
        <v>0</v>
      </c>
      <c r="BI168" s="685"/>
      <c r="BJ168" s="685" t="b">
        <v>1</v>
      </c>
    </row>
    <row customHeight="1" ht="14.625" hidden="1">
      <c r="E169" s="684">
        <v>15</v>
      </c>
      <c r="F169" s="50" cm="1" t="str">
        <f t="array" ref="F169:F169">OFFSET(E169,-1,1)</f>
        <v>1</v>
      </c>
      <c r="T169" s="468" cm="1" t="str">
        <f t="array" ref="T169:T169">T168</f>
        <v>false</v>
      </c>
      <c r="AA169" s="52"/>
      <c r="AB169" s="56" t="str">
        <f>AB168&amp;".1"</f>
        <v>9.0.1.1</v>
      </c>
      <c r="AC169" s="69" t="s">
        <v>1324</v>
      </c>
      <c r="AD169" s="56"/>
      <c r="AE169" s="75"/>
      <c r="AF169" s="76"/>
      <c r="AG169" s="75"/>
      <c r="AH169" s="75"/>
      <c r="AI169" s="76"/>
      <c r="AJ169" s="76"/>
      <c r="AK169" s="76"/>
      <c r="AL169" s="76"/>
      <c r="AM169" s="76"/>
      <c r="AN169" s="76"/>
      <c r="AO169" s="76"/>
      <c r="AP169" s="76"/>
      <c r="AQ169" s="76"/>
      <c r="AR169" s="76"/>
      <c r="AS169" s="75"/>
      <c r="AT169" s="75"/>
      <c r="AU169" s="75"/>
      <c r="AV169" s="75"/>
      <c r="AW169" s="75"/>
      <c r="AX169" s="75"/>
      <c r="AY169" s="75"/>
      <c r="AZ169" s="75"/>
      <c r="BA169" s="75"/>
      <c r="BB169" s="75"/>
      <c r="BC169" s="77"/>
      <c r="BF169" s="1049" t="s">
        <v>1255</v>
      </c>
      <c r="BG169" s="1052" t="s">
        <v>1323</v>
      </c>
      <c r="BH169" s="64" cm="1" t="str">
        <f t="array" ref="BH169:BH169">BH168</f>
        <v>0</v>
      </c>
      <c r="BI169" s="685"/>
      <c r="BJ169" s="685"/>
    </row>
    <row customHeight="1" ht="14.625" hidden="1">
      <c r="E170" s="684">
        <v>15</v>
      </c>
      <c r="F170" s="50" cm="1" t="str">
        <f t="array" ref="F170:F170">OFFSET(E170,-1,1)</f>
        <v>1</v>
      </c>
      <c r="T170" s="468" cm="1" t="str">
        <f t="array" ref="T170:T170">T169</f>
        <v>false</v>
      </c>
      <c r="AA170" s="52"/>
      <c r="AB170" s="56" t="str">
        <f>AB168&amp;".2"</f>
        <v>9.0.1.2</v>
      </c>
      <c r="AC170" s="69" t="s">
        <v>1325</v>
      </c>
      <c r="AD170" s="56"/>
      <c r="AE170" s="75"/>
      <c r="AF170" s="76"/>
      <c r="AG170" s="76"/>
      <c r="AH170" s="75"/>
      <c r="AI170" s="76"/>
      <c r="AJ170" s="76"/>
      <c r="AK170" s="76"/>
      <c r="AL170" s="76"/>
      <c r="AM170" s="76"/>
      <c r="AN170" s="76"/>
      <c r="AO170" s="76"/>
      <c r="AP170" s="76"/>
      <c r="AQ170" s="76"/>
      <c r="AR170" s="76"/>
      <c r="AS170" s="76"/>
      <c r="AT170" s="76"/>
      <c r="AU170" s="76"/>
      <c r="AV170" s="76"/>
      <c r="AW170" s="76"/>
      <c r="AX170" s="76"/>
      <c r="AY170" s="76"/>
      <c r="AZ170" s="76"/>
      <c r="BA170" s="76"/>
      <c r="BB170" s="78"/>
      <c r="BC170" s="77"/>
      <c r="BF170" s="1049" t="s">
        <v>1258</v>
      </c>
      <c r="BG170" s="1052" t="s">
        <v>1323</v>
      </c>
      <c r="BH170" s="64" cm="1" t="str">
        <f t="array" ref="BH170:BH170">BH169</f>
        <v>0</v>
      </c>
      <c r="BI170" s="685"/>
      <c r="BJ170" s="685"/>
    </row>
    <row s="1656" customFormat="1" customHeight="1" ht="14.25" hidden="1">
      <c r="A171" s="892"/>
      <c r="B171" s="442"/>
      <c r="C171" s="892"/>
      <c r="D171" s="892"/>
      <c r="E171" s="684">
        <v>15</v>
      </c>
      <c r="F171" s="1194" cm="1" t="str">
        <f t="array" ref="F171:F171">OFFSET(E171,-1,1)</f>
        <v>1</v>
      </c>
      <c r="G171" s="892"/>
      <c r="H171" s="892"/>
      <c r="I171" s="892"/>
      <c r="J171" s="892"/>
      <c r="K171" s="918"/>
      <c r="L171" s="892"/>
      <c r="M171" s="892"/>
      <c r="N171" s="892"/>
      <c r="O171" s="892"/>
      <c r="P171" s="892"/>
      <c r="Q171" s="892"/>
      <c r="R171" s="892"/>
      <c r="S171" s="892"/>
      <c r="T171" s="468" t="b">
        <v>0</v>
      </c>
      <c r="U171" s="892"/>
      <c r="V171" s="892"/>
      <c r="W171" s="148"/>
      <c r="X171" s="892"/>
      <c r="Y171" s="689" t="s">
        <v>290</v>
      </c>
      <c r="Z171" s="892"/>
      <c r="AA171" s="52" t="s">
        <v>174</v>
      </c>
      <c r="AB171" s="53"/>
      <c r="AC171" s="70"/>
      <c r="AD171" s="54"/>
      <c r="AE171" s="55">
        <f>OR(AND(AE173&lt;&gt;"",AE174=""),AND(AE173="",AE174&lt;&gt;""))</f>
        <v>0</v>
      </c>
      <c r="AF171" s="55">
        <f>OR(AND(AF173&lt;&gt;"",AF174=""),AND(AF173="",AF174&lt;&gt;""))</f>
        <v>0</v>
      </c>
      <c r="AG171" s="55">
        <f>OR(AND(AG173&lt;&gt;"",AG174=""),AND(AG173="",AG174&lt;&gt;""))</f>
        <v>0</v>
      </c>
      <c r="AH171" s="55">
        <f>OR(AND(AH173&lt;&gt;"",AH174=""),AND(AH173="",AH174&lt;&gt;""))</f>
        <v>0</v>
      </c>
      <c r="AI171" s="55">
        <f>OR(AND(AI173&lt;&gt;"",AI174=""),AND(AI173="",AI174&lt;&gt;""))</f>
        <v>0</v>
      </c>
      <c r="AJ171" s="55">
        <f>OR(AND(AJ173&lt;&gt;"",AJ174=""),AND(AJ173="",AJ174&lt;&gt;""))</f>
        <v>0</v>
      </c>
      <c r="AK171" s="55">
        <f>OR(AND(AK173&lt;&gt;"",AK174=""),AND(AK173="",AK174&lt;&gt;""))</f>
        <v>0</v>
      </c>
      <c r="AL171" s="55">
        <f>OR(AND(AL173&lt;&gt;"",AL174=""),AND(AL173="",AL174&lt;&gt;""))</f>
        <v>0</v>
      </c>
      <c r="AM171" s="55">
        <f>OR(AND(AM173&lt;&gt;"",AM174=""),AND(AM173="",AM174&lt;&gt;""))</f>
        <v>0</v>
      </c>
      <c r="AN171" s="55">
        <f>OR(AND(AN173&lt;&gt;"",AN174=""),AND(AN173="",AN174&lt;&gt;""))</f>
        <v>0</v>
      </c>
      <c r="AO171" s="55">
        <f>OR(AND(AO173&lt;&gt;"",AO174=""),AND(AO173="",AO174&lt;&gt;""))</f>
        <v>0</v>
      </c>
      <c r="AP171" s="55">
        <f>OR(AND(AP173&lt;&gt;"",AP174=""),AND(AP173="",AP174&lt;&gt;""))</f>
        <v>0</v>
      </c>
      <c r="AQ171" s="55">
        <f>OR(AND(AQ173&lt;&gt;"",AQ174=""),AND(AQ173="",AQ174&lt;&gt;""))</f>
        <v>0</v>
      </c>
      <c r="AR171" s="55">
        <f>OR(AND(AR173&lt;&gt;"",AR174=""),AND(AR173="",AR174&lt;&gt;""))</f>
        <v>0</v>
      </c>
      <c r="AS171" s="55">
        <f>OR(AND(AS173&lt;&gt;"",AS174=""),AND(AS173="",AS174&lt;&gt;""))</f>
        <v>0</v>
      </c>
      <c r="AT171" s="55">
        <f>OR(AND(AT173&lt;&gt;"",AT174=""),AND(AT173="",AT174&lt;&gt;""))</f>
        <v>0</v>
      </c>
      <c r="AU171" s="55">
        <f>OR(AND(AU173&lt;&gt;"",AU174=""),AND(AU173="",AU174&lt;&gt;""))</f>
        <v>0</v>
      </c>
      <c r="AV171" s="55">
        <f>OR(AND(AV173&lt;&gt;"",AV174=""),AND(AV173="",AV174&lt;&gt;""))</f>
        <v>0</v>
      </c>
      <c r="AW171" s="55">
        <f>OR(AND(AW173&lt;&gt;"",AW174=""),AND(AW173="",AW174&lt;&gt;""))</f>
        <v>0</v>
      </c>
      <c r="AX171" s="55">
        <f>OR(AND(AX173&lt;&gt;"",AX174=""),AND(AX173="",AX174&lt;&gt;""))</f>
        <v>0</v>
      </c>
      <c r="AY171" s="55">
        <f>OR(AND(AY173&lt;&gt;"",AY174=""),AND(AY173="",AY174&lt;&gt;""))</f>
        <v>0</v>
      </c>
      <c r="AZ171" s="55">
        <f>OR(AND(AZ173&lt;&gt;"",AZ174=""),AND(AZ173="",AZ174&lt;&gt;""))</f>
        <v>0</v>
      </c>
      <c r="BA171" s="55">
        <f>OR(AND(BA173&lt;&gt;"",BA174=""),AND(BA173="",BA174&lt;&gt;""))</f>
        <v>0</v>
      </c>
      <c r="BB171" s="71">
        <f>OR(AND(BB173&lt;&gt;"",BB174=""),AND(BB173="",BB174&lt;&gt;""))</f>
        <v>0</v>
      </c>
      <c r="BC171" s="72"/>
      <c r="BD171" s="892"/>
      <c r="BE171" s="892"/>
      <c r="BF171" s="1052"/>
      <c r="BG171" s="1052"/>
      <c r="BH171" s="1052"/>
      <c r="BI171" s="685"/>
      <c r="BJ171" s="685"/>
    </row>
    <row s="1656" customFormat="1" customHeight="1" ht="31.00942611694336">
      <c r="A172" s="892"/>
      <c r="B172" s="442"/>
      <c r="C172" s="892"/>
      <c r="D172" s="892"/>
      <c r="E172" s="684">
        <v>15</v>
      </c>
      <c r="F172" s="1194" cm="1" t="str">
        <f t="array" ref="F172:F172">OFFSET(E172,-1,1)</f>
        <v>1</v>
      </c>
      <c r="G172" s="892"/>
      <c r="H172" s="892"/>
      <c r="I172" s="892"/>
      <c r="J172" s="892"/>
      <c r="K172" s="918"/>
      <c r="L172" s="892"/>
      <c r="M172" s="892"/>
      <c r="N172" s="892"/>
      <c r="O172" s="892"/>
      <c r="P172" s="892"/>
      <c r="Q172" s="892"/>
      <c r="R172" s="892"/>
      <c r="S172" s="892"/>
      <c r="T172" s="468">
        <f>AND(F172&gt;0,Y171&gt;0)</f>
        <v>1</v>
      </c>
      <c r="U172" s="892"/>
      <c r="V172" s="892"/>
      <c r="W172" s="892"/>
      <c r="X172" s="892"/>
      <c r="Y172" s="892"/>
      <c r="Z172" s="892"/>
      <c r="AA172" s="52"/>
      <c r="AB172" s="56" t="str">
        <f>"9."&amp;Y171</f>
        <v>9.1</v>
      </c>
      <c r="AC172" s="3592" t="s">
        <v>1331</v>
      </c>
      <c r="AD172" s="54"/>
      <c r="AE172" s="892"/>
      <c r="AF172" s="892"/>
      <c r="AG172" s="892"/>
      <c r="AH172" s="892"/>
      <c r="AI172" s="892"/>
      <c r="AJ172" s="892"/>
      <c r="AK172" s="892"/>
      <c r="AL172" s="892"/>
      <c r="AM172" s="892"/>
      <c r="AN172" s="892"/>
      <c r="AO172" s="892"/>
      <c r="AP172" s="892"/>
      <c r="AQ172" s="892"/>
      <c r="AR172" s="892"/>
      <c r="AS172" s="892"/>
      <c r="AT172" s="892"/>
      <c r="AU172" s="892"/>
      <c r="AV172" s="892"/>
      <c r="AW172" s="892"/>
      <c r="AX172" s="892"/>
      <c r="AY172" s="892"/>
      <c r="AZ172" s="892"/>
      <c r="BA172" s="892"/>
      <c r="BB172" s="892"/>
      <c r="BC172" s="892"/>
      <c r="BD172" s="892"/>
      <c r="BE172" s="892"/>
      <c r="BF172" s="1052"/>
      <c r="BG172" s="1052"/>
      <c r="BH172" s="1052"/>
      <c r="BI172" s="685"/>
      <c r="BJ172" s="685"/>
    </row>
    <row s="1656" customFormat="1" customHeight="1" ht="32.88442611694336">
      <c r="A173" s="892"/>
      <c r="B173" s="442"/>
      <c r="C173" s="892"/>
      <c r="D173" s="892"/>
      <c r="E173" s="684">
        <v>15</v>
      </c>
      <c r="F173" s="1194" cm="1" t="str">
        <f t="array" ref="F173:F173">OFFSET(E173,-1,1)</f>
        <v>1</v>
      </c>
      <c r="G173" s="892"/>
      <c r="H173" s="892"/>
      <c r="I173" s="892"/>
      <c r="J173" s="892"/>
      <c r="K173" s="918"/>
      <c r="L173" s="892"/>
      <c r="M173" s="892"/>
      <c r="N173" s="892"/>
      <c r="O173" s="892"/>
      <c r="P173" s="892"/>
      <c r="Q173" s="892"/>
      <c r="R173" s="892"/>
      <c r="S173" s="892"/>
      <c r="T173" s="468" cm="1" t="str">
        <f t="array" ref="T173:T173">T172</f>
        <v>true</v>
      </c>
      <c r="U173" s="892"/>
      <c r="V173" s="892"/>
      <c r="W173" s="892"/>
      <c r="X173" s="892"/>
      <c r="Y173" s="892"/>
      <c r="Z173" s="892"/>
      <c r="AA173" s="52"/>
      <c r="AB173" s="56" t="str">
        <f>AB172&amp;".1"</f>
        <v>9.1.1</v>
      </c>
      <c r="AC173" s="74" t="s">
        <v>1251</v>
      </c>
      <c r="AD173" s="53" t="s">
        <v>936</v>
      </c>
      <c r="AE173" s="3593"/>
      <c r="AF173" s="3594"/>
      <c r="AG173" s="3593"/>
      <c r="AH173" s="3593"/>
      <c r="AI173" s="3594"/>
      <c r="AJ173" s="76"/>
      <c r="AK173" s="76"/>
      <c r="AL173" s="76"/>
      <c r="AM173" s="76"/>
      <c r="AN173" s="76"/>
      <c r="AO173" s="76"/>
      <c r="AP173" s="76"/>
      <c r="AQ173" s="76"/>
      <c r="AR173" s="76"/>
      <c r="AS173" s="3593">
        <v>51.71935</v>
      </c>
      <c r="AT173" s="75"/>
      <c r="AU173" s="75"/>
      <c r="AV173" s="75"/>
      <c r="AW173" s="75"/>
      <c r="AX173" s="75"/>
      <c r="AY173" s="75"/>
      <c r="AZ173" s="75"/>
      <c r="BA173" s="75"/>
      <c r="BB173" s="75"/>
      <c r="BC173" s="3595"/>
      <c r="BD173" s="892"/>
      <c r="BE173" s="892"/>
      <c r="BF173" s="1049" t="s">
        <v>1252</v>
      </c>
      <c r="BG173" s="1052" t="s">
        <v>1323</v>
      </c>
      <c r="BH173" s="64" cm="1" t="str">
        <f t="array" ref="BH173:BH173">AC172</f>
        <v>АО ХК "СДС-УГОЛЬ"</v>
      </c>
      <c r="BI173" s="685"/>
      <c r="BJ173" s="685" t="b">
        <v>1</v>
      </c>
    </row>
    <row s="1656" customFormat="1" customHeight="1" ht="27.25942611694336">
      <c r="A174" s="892"/>
      <c r="B174" s="442"/>
      <c r="C174" s="892"/>
      <c r="D174" s="892"/>
      <c r="E174" s="684">
        <v>15</v>
      </c>
      <c r="F174" s="1194" cm="1" t="str">
        <f t="array" ref="F174:F174">OFFSET(E174,-1,1)</f>
        <v>1</v>
      </c>
      <c r="G174" s="892"/>
      <c r="H174" s="892"/>
      <c r="I174" s="892"/>
      <c r="J174" s="892"/>
      <c r="K174" s="918"/>
      <c r="L174" s="892"/>
      <c r="M174" s="892"/>
      <c r="N174" s="892"/>
      <c r="O174" s="892"/>
      <c r="P174" s="892"/>
      <c r="Q174" s="892"/>
      <c r="R174" s="892"/>
      <c r="S174" s="892"/>
      <c r="T174" s="468" cm="1" t="str">
        <f t="array" ref="T174:T174">T173</f>
        <v>true</v>
      </c>
      <c r="U174" s="892"/>
      <c r="V174" s="892"/>
      <c r="W174" s="892"/>
      <c r="X174" s="892"/>
      <c r="Y174" s="892"/>
      <c r="Z174" s="892"/>
      <c r="AA174" s="52"/>
      <c r="AB174" s="56" t="str">
        <f>AB173&amp;".1"</f>
        <v>9.1.1.1</v>
      </c>
      <c r="AC174" s="69" t="s">
        <v>1324</v>
      </c>
      <c r="AD174" s="56"/>
      <c r="AE174" s="3593"/>
      <c r="AF174" s="3594"/>
      <c r="AG174" s="3593"/>
      <c r="AH174" s="3593"/>
      <c r="AI174" s="3594"/>
      <c r="AJ174" s="76"/>
      <c r="AK174" s="76"/>
      <c r="AL174" s="76"/>
      <c r="AM174" s="76"/>
      <c r="AN174" s="76"/>
      <c r="AO174" s="76"/>
      <c r="AP174" s="76"/>
      <c r="AQ174" s="76"/>
      <c r="AR174" s="76"/>
      <c r="AS174" s="3593">
        <v>20.22</v>
      </c>
      <c r="AT174" s="75"/>
      <c r="AU174" s="75"/>
      <c r="AV174" s="75"/>
      <c r="AW174" s="75"/>
      <c r="AX174" s="75"/>
      <c r="AY174" s="75"/>
      <c r="AZ174" s="75"/>
      <c r="BA174" s="75"/>
      <c r="BB174" s="75"/>
      <c r="BC174" s="3595" t="s">
        <v>1332</v>
      </c>
      <c r="BD174" s="892"/>
      <c r="BE174" s="892"/>
      <c r="BF174" s="1049" t="s">
        <v>1255</v>
      </c>
      <c r="BG174" s="1052" t="s">
        <v>1323</v>
      </c>
      <c r="BH174" s="64" cm="1" t="str">
        <f t="array" ref="BH174:BH174">BH173</f>
        <v>АО ХК "СДС-УГОЛЬ"</v>
      </c>
      <c r="BI174" s="685"/>
      <c r="BJ174" s="685"/>
    </row>
    <row s="1656" customFormat="1" customHeight="1" ht="60.07192611694336">
      <c r="A175" s="892"/>
      <c r="B175" s="442"/>
      <c r="C175" s="892"/>
      <c r="D175" s="892"/>
      <c r="E175" s="684">
        <v>15</v>
      </c>
      <c r="F175" s="1194" cm="1" t="str">
        <f t="array" ref="F175:F175">OFFSET(E175,-1,1)</f>
        <v>1</v>
      </c>
      <c r="G175" s="892"/>
      <c r="H175" s="892"/>
      <c r="I175" s="892"/>
      <c r="J175" s="892"/>
      <c r="K175" s="918"/>
      <c r="L175" s="892"/>
      <c r="M175" s="892"/>
      <c r="N175" s="892"/>
      <c r="O175" s="892"/>
      <c r="P175" s="892"/>
      <c r="Q175" s="892"/>
      <c r="R175" s="892"/>
      <c r="S175" s="892"/>
      <c r="T175" s="468" cm="1" t="str">
        <f t="array" ref="T175:T175">T174</f>
        <v>true</v>
      </c>
      <c r="U175" s="892"/>
      <c r="V175" s="892"/>
      <c r="W175" s="892"/>
      <c r="X175" s="892"/>
      <c r="Y175" s="892"/>
      <c r="Z175" s="892"/>
      <c r="AA175" s="52"/>
      <c r="AB175" s="56" t="str">
        <f>AB173&amp;".2"</f>
        <v>9.1.1.2</v>
      </c>
      <c r="AC175" s="69" t="s">
        <v>1325</v>
      </c>
      <c r="AD175" s="56"/>
      <c r="AE175" s="3593"/>
      <c r="AF175" s="3594"/>
      <c r="AG175" s="3594"/>
      <c r="AH175" s="3593"/>
      <c r="AI175" s="3594"/>
      <c r="AJ175" s="76"/>
      <c r="AK175" s="76"/>
      <c r="AL175" s="76"/>
      <c r="AM175" s="76"/>
      <c r="AN175" s="76"/>
      <c r="AO175" s="76"/>
      <c r="AP175" s="76"/>
      <c r="AQ175" s="76"/>
      <c r="AR175" s="76"/>
      <c r="AS175" s="3594">
        <f>AS173/AS174*1000</f>
        <v>2557.83135509397</v>
      </c>
      <c r="AT175" s="76"/>
      <c r="AU175" s="76"/>
      <c r="AV175" s="76"/>
      <c r="AW175" s="76"/>
      <c r="AX175" s="76"/>
      <c r="AY175" s="76"/>
      <c r="AZ175" s="76"/>
      <c r="BA175" s="76"/>
      <c r="BB175" s="78"/>
      <c r="BC175" s="3595" t="s">
        <v>1333</v>
      </c>
      <c r="BD175" s="892"/>
      <c r="BE175" s="892"/>
      <c r="BF175" s="1049" t="s">
        <v>1258</v>
      </c>
      <c r="BG175" s="1052" t="s">
        <v>1323</v>
      </c>
      <c r="BH175" s="64" cm="1" t="str">
        <f t="array" ref="BH175:BH175">BH174</f>
        <v>АО ХК "СДС-УГОЛЬ"</v>
      </c>
      <c r="BI175" s="685"/>
      <c r="BJ175" s="685"/>
    </row>
    <row customHeight="1" ht="14.625">
      <c r="B176" s="443"/>
      <c r="E176" s="684">
        <v>15</v>
      </c>
      <c r="F176" s="1326" cm="1" t="str">
        <f t="array" ref="F176:F176">OFFSET(E176,-1,1)</f>
        <v>1</v>
      </c>
      <c r="G176" s="892"/>
      <c r="K176" s="918"/>
      <c r="L176" s="922"/>
      <c r="T176" s="1436">
        <f>F176&gt;0</f>
        <v>1</v>
      </c>
      <c r="W176" s="691" t="s">
        <v>1326</v>
      </c>
      <c r="X176" s="690"/>
      <c r="Z176" s="892"/>
      <c r="AB176" s="3596"/>
      <c r="AC176" s="3597" t="s">
        <v>1260</v>
      </c>
      <c r="AD176" s="3598"/>
      <c r="AE176" s="3599"/>
      <c r="AF176" s="3600"/>
      <c r="AG176" s="3601"/>
      <c r="AH176" s="3602"/>
      <c r="AI176" s="3603"/>
      <c r="AJ176" s="3604"/>
      <c r="AK176" s="3605"/>
      <c r="AL176" s="3606"/>
      <c r="AM176" s="3607"/>
      <c r="AN176" s="3608"/>
      <c r="AO176" s="3609"/>
      <c r="AP176" s="3610"/>
      <c r="AQ176" s="3611"/>
      <c r="AR176" s="3612"/>
      <c r="AS176" s="3613"/>
      <c r="AT176" s="3614"/>
      <c r="AU176" s="3615"/>
      <c r="AV176" s="3616"/>
      <c r="AW176" s="3617"/>
      <c r="AX176" s="3618"/>
      <c r="AY176" s="3619"/>
      <c r="AZ176" s="3620"/>
      <c r="BA176" s="3621"/>
      <c r="BB176" s="3622"/>
      <c r="BC176" s="3623"/>
      <c r="BF176" s="1052"/>
      <c r="BG176" s="1052"/>
      <c r="BH176" s="1052"/>
      <c r="BI176" s="685" t="s">
        <v>1323</v>
      </c>
      <c r="BJ176" s="685"/>
    </row>
    <row s="1656" customFormat="1" customHeight="1" ht="30.07192611694336">
      <c r="A177" s="892"/>
      <c r="B177" s="442"/>
      <c r="C177" s="892"/>
      <c r="D177" s="892"/>
      <c r="E177" s="684">
        <v>15</v>
      </c>
      <c r="F177" s="94" cm="1" t="str">
        <f t="array" ref="F177:F177">X177</f>
        <v>2</v>
      </c>
      <c r="G177" s="892"/>
      <c r="H177" s="892"/>
      <c r="I177" s="892" t="s">
        <v>1247</v>
      </c>
      <c r="J177" s="892"/>
      <c r="K177" s="918"/>
      <c r="L177" s="892"/>
      <c r="M177" s="892"/>
      <c r="N177" s="892"/>
      <c r="O177" s="892"/>
      <c r="P177" s="892"/>
      <c r="Q177" s="892"/>
      <c r="R177" s="892"/>
      <c r="S177" s="892"/>
      <c r="T177" s="468">
        <f>X177&gt;0</f>
        <v>1</v>
      </c>
      <c r="U177" s="892"/>
      <c r="V177" s="148" cm="1" t="str">
        <f t="array" ref="V177:V177">Аренда!$AB$47</f>
        <v>Тариф 2 (Водоотведение) - тариф на водоотведение (Оказание услуг на территории: город Ленинск-Кузнецкий (ОКТМО: 32719000) - г Ленинск-Кузнецкий)</v>
      </c>
      <c r="W177" s="892"/>
      <c r="X177" s="1469" t="s">
        <v>299</v>
      </c>
      <c r="Y177" s="686"/>
      <c r="Z177" s="1592"/>
      <c r="AA177" s="892"/>
      <c r="AB177" s="218" cm="1" t="str">
        <f t="array" ref="AB177:AB177">Аренда!$AB$47</f>
        <v>Тариф 2 (Водоотведение) - тариф на водоотведение (Оказание услуг на территории: город Ленинск-Кузнецкий (ОКТМО: 32719000) - г Ленинск-Кузнецкий)</v>
      </c>
      <c r="AC177" s="176"/>
      <c r="AD177" s="176"/>
      <c r="AE177" s="302">
        <f>AE185+AE192+AE199+AE206+AE178+AE213+AE233+AE240+AE247</f>
        <v>1612.61</v>
      </c>
      <c r="AF177" s="302">
        <f>AF185+AF192+AF199+AF206+AF178+AF213+AF233+AF240+AF247</f>
        <v>961.18</v>
      </c>
      <c r="AG177" s="302">
        <f>AG185+AG192+AG199+AG206+AG178+AG213+AG233+AG240+AG247</f>
        <v>961.18</v>
      </c>
      <c r="AH177" s="302">
        <f>AH185+AH192+AH199+AH206+AH178+AH213+AH233+AH240+AH247</f>
        <v>1873.14</v>
      </c>
      <c r="AI177" s="302">
        <f>AI185+AI192+AI199+AI206+AI178+AI213+AI233+AI240+AI247</f>
        <v>1927.94</v>
      </c>
      <c r="AJ177" s="302">
        <f>AJ185+AJ192+AJ199+AJ206+AJ178+AJ213+AJ233+AJ240+AJ247</f>
        <v>0</v>
      </c>
      <c r="AK177" s="302">
        <f>AK185+AK192+AK199+AK206+AK178+AK213+AK233+AK240+AK247</f>
        <v>0</v>
      </c>
      <c r="AL177" s="302">
        <f>AL185+AL192+AL199+AL206+AL178+AL213+AL233+AL240+AL247</f>
        <v>0</v>
      </c>
      <c r="AM177" s="302">
        <f>AM185+AM192+AM199+AM206+AM178+AM213+AM233+AM240+AM247</f>
        <v>0</v>
      </c>
      <c r="AN177" s="302">
        <f>AN185+AN192+AN199+AN206+AN178+AN213+AN233+AN240+AN247</f>
        <v>0</v>
      </c>
      <c r="AO177" s="302">
        <f>AO185+AO192+AO199+AO206+AO178+AO213+AO233+AO240+AO247</f>
        <v>0</v>
      </c>
      <c r="AP177" s="302">
        <f>AP185+AP192+AP199+AP206+AP178+AP213+AP233+AP240+AP247</f>
        <v>0</v>
      </c>
      <c r="AQ177" s="302">
        <f>AQ185+AQ192+AQ199+AQ206+AQ178+AQ213+AQ233+AQ240+AQ247</f>
        <v>0</v>
      </c>
      <c r="AR177" s="302">
        <f>AR185+AR192+AR199+AR206+AR178+AR213+AR233+AR240+AR247</f>
        <v>0</v>
      </c>
      <c r="AS177" s="302">
        <f>AS185+AS192+AS199+AS206+AS178+AS213+AS233+AS240+AS247</f>
        <v>1874.45418</v>
      </c>
      <c r="AT177" s="302">
        <f>AT185+AT192+AT199+AT206+AT178+AT213+AT233+AT240+AT247</f>
        <v>0</v>
      </c>
      <c r="AU177" s="302">
        <f>AU185+AU192+AU199+AU206+AU178+AU213+AU233+AU240+AU247</f>
        <v>0</v>
      </c>
      <c r="AV177" s="302">
        <f>AV185+AV192+AV199+AV206+AV178+AV213+AV233+AV240+AV247</f>
        <v>0</v>
      </c>
      <c r="AW177" s="302">
        <f>AW185+AW192+AW199+AW206+AW178+AW213+AW233+AW240+AW247</f>
        <v>0</v>
      </c>
      <c r="AX177" s="302">
        <f>AX185+AX192+AX199+AX206+AX178+AX213+AX233+AX240+AX247</f>
        <v>0</v>
      </c>
      <c r="AY177" s="302">
        <f>AY185+AY192+AY199+AY206+AY178+AY213+AY233+AY240+AY247</f>
        <v>0</v>
      </c>
      <c r="AZ177" s="302">
        <f>AZ185+AZ192+AZ199+AZ206+AZ178+AZ213+AZ233+AZ240+AZ247</f>
        <v>0</v>
      </c>
      <c r="BA177" s="302">
        <f>BA185+BA192+BA199+BA206+BA178+BA213+BA233+BA240+BA247</f>
        <v>0</v>
      </c>
      <c r="BB177" s="302">
        <f>BB185+BB192+BB199+BB206+BB178+BB213+BB233+BB240+BB247</f>
        <v>0</v>
      </c>
      <c r="BC177" s="220"/>
      <c r="BD177" s="892"/>
      <c r="BE177" s="892"/>
      <c r="BF177" s="1049"/>
      <c r="BG177" s="1049"/>
      <c r="BH177" s="1049"/>
      <c r="BI177" s="684"/>
      <c r="BJ177" s="684"/>
    </row>
    <row s="1656" customFormat="1" customHeight="1" ht="0">
      <c r="A178" s="892"/>
      <c r="B178" s="442"/>
      <c r="C178" s="892"/>
      <c r="D178" s="892"/>
      <c r="E178" s="684">
        <v>15</v>
      </c>
      <c r="F178" s="50" cm="1" t="str">
        <f t="array" ref="F178:F178">OFFSET(E178,-1,1)</f>
        <v>2</v>
      </c>
      <c r="G178" s="148" t="s">
        <v>344</v>
      </c>
      <c r="H178" s="892"/>
      <c r="I178" s="892"/>
      <c r="J178" s="892"/>
      <c r="K178" s="918" t="str">
        <f>F178&amp;"1komm"</f>
        <v>21komm</v>
      </c>
      <c r="L178" s="922" cm="1" t="str">
        <f t="array" ref="L178:L178">BC178</f>
        <v>0</v>
      </c>
      <c r="M178" s="892"/>
      <c r="N178" s="892"/>
      <c r="O178" s="892"/>
      <c r="P178" s="892"/>
      <c r="Q178" s="892"/>
      <c r="R178" s="892"/>
      <c r="S178" s="892"/>
      <c r="T178" s="468" cm="1" t="str">
        <f t="array" ref="T178:T178">T177</f>
        <v>true</v>
      </c>
      <c r="U178" s="892"/>
      <c r="V178" s="892"/>
      <c r="W178" s="892"/>
      <c r="X178" s="1469"/>
      <c r="Y178" s="892"/>
      <c r="Z178" s="1592"/>
      <c r="AA178" s="892"/>
      <c r="AB178" s="207">
        <v>1</v>
      </c>
      <c r="AC178" s="208" t="s">
        <v>1248</v>
      </c>
      <c r="AD178" s="207" t="s">
        <v>936</v>
      </c>
      <c r="AE178" s="209">
        <f>SUMIF(AD181:AD184,AD178,AE181:AE184)</f>
        <v>0</v>
      </c>
      <c r="AF178" s="209">
        <f>SUMIF(AD181:AD184,AD178,AF181:AF184)</f>
        <v>0</v>
      </c>
      <c r="AG178" s="209">
        <f>SUMIF(AD181:AD184,AD178,AG181:AG184)</f>
        <v>0</v>
      </c>
      <c r="AH178" s="209">
        <f>SUMIF(AD181:AD184,AD178,AH181:AH184)</f>
        <v>0</v>
      </c>
      <c r="AI178" s="209">
        <f>SUMIF(AD181:AD184,AD178,AI181:AI184)</f>
        <v>0</v>
      </c>
      <c r="AJ178" s="3200">
        <f>SUMIF(AD181:AD184,AD178,AJ181:AJ184)</f>
        <v>0</v>
      </c>
      <c r="AK178" s="3200">
        <f>SUMIF(AD181:AD184,AD178,AK181:AK184)</f>
        <v>0</v>
      </c>
      <c r="AL178" s="3200">
        <f>SUMIF(AD181:AD184,AD178,AL181:AL184)</f>
        <v>0</v>
      </c>
      <c r="AM178" s="3200">
        <f>SUMIF(AD181:AD184,AD178,AM181:AM184)</f>
        <v>0</v>
      </c>
      <c r="AN178" s="3200">
        <f>SUMIF(AD181:AD184,AD178,AN181:AN184)</f>
        <v>0</v>
      </c>
      <c r="AO178" s="3200">
        <f>SUMIF(AD181:AD184,AD178,AO181:AO184)</f>
        <v>0</v>
      </c>
      <c r="AP178" s="3200">
        <f>SUMIF(AD181:AD184,AD178,AP181:AP184)</f>
        <v>0</v>
      </c>
      <c r="AQ178" s="3200">
        <f>SUMIF(AD181:AD184,AD178,AQ181:AQ184)</f>
        <v>0</v>
      </c>
      <c r="AR178" s="3200">
        <f>SUMIF(AD181:AD184,AD178,AR181:AR184)</f>
        <v>0</v>
      </c>
      <c r="AS178" s="209">
        <f>SUMIF(AD181:AD184,AD178,AS181:AS184)</f>
        <v>0</v>
      </c>
      <c r="AT178" s="3200">
        <f>SUMIF(AD181:AD184,AD178,AT181:AT184)</f>
        <v>0</v>
      </c>
      <c r="AU178" s="3200">
        <f>SUMIF(AD181:AD184,AD178,AU181:AU184)</f>
        <v>0</v>
      </c>
      <c r="AV178" s="3200">
        <f>SUMIF(AD181:AD184,AD178,AV181:AV184)</f>
        <v>0</v>
      </c>
      <c r="AW178" s="3200">
        <f>SUMIF(AD181:AD184,AD178,AW181:AW184)</f>
        <v>0</v>
      </c>
      <c r="AX178" s="3200">
        <f>SUMIF(AD181:AD184,AD178,AX181:AX184)</f>
        <v>0</v>
      </c>
      <c r="AY178" s="3200">
        <f>SUMIF(AD181:AD184,AD178,AY181:AY184)</f>
        <v>0</v>
      </c>
      <c r="AZ178" s="3200">
        <f>SUMIF(AD181:AD184,AD178,AZ181:AZ184)</f>
        <v>0</v>
      </c>
      <c r="BA178" s="3200">
        <f>SUMIF(AD181:AD184,AD178,BA181:BA184)</f>
        <v>0</v>
      </c>
      <c r="BB178" s="3200">
        <f>SUMIF(AD181:AD184,AD178,BB181:BB184)</f>
        <v>0</v>
      </c>
      <c r="BC178" s="196"/>
      <c r="BD178" s="892"/>
      <c r="BE178" s="892"/>
      <c r="BF178" s="1049" t="s">
        <v>1249</v>
      </c>
      <c r="BG178" s="1049"/>
      <c r="BH178" s="1049"/>
      <c r="BI178" s="684"/>
      <c r="BJ178" s="684"/>
    </row>
    <row s="1656" customFormat="1" customHeight="1" ht="0" hidden="1">
      <c r="A179" s="892"/>
      <c r="B179" s="442"/>
      <c r="C179" s="892"/>
      <c r="D179" s="892"/>
      <c r="E179" s="684">
        <v>0</v>
      </c>
      <c r="F179" s="50" cm="1" t="str">
        <f t="array" ref="F179:F179">OFFSET(E179,-1,1)</f>
        <v>2</v>
      </c>
      <c r="G179" s="892"/>
      <c r="H179" s="892"/>
      <c r="I179" s="892"/>
      <c r="J179" s="892"/>
      <c r="K179" s="918"/>
      <c r="L179" s="922"/>
      <c r="M179" s="892"/>
      <c r="N179" s="892"/>
      <c r="O179" s="892"/>
      <c r="P179" s="892"/>
      <c r="Q179" s="892"/>
      <c r="R179" s="892"/>
      <c r="S179" s="892"/>
      <c r="T179" s="468" t="b">
        <v>0</v>
      </c>
      <c r="U179" s="892"/>
      <c r="V179" s="892"/>
      <c r="W179" s="148" t="s">
        <v>173</v>
      </c>
      <c r="X179" s="1469"/>
      <c r="Y179" s="1469">
        <v>0</v>
      </c>
      <c r="Z179" s="1592"/>
      <c r="AA179" s="1593" t="s">
        <v>174</v>
      </c>
      <c r="AB179" s="207"/>
      <c r="AC179" s="208"/>
      <c r="AD179" s="207"/>
      <c r="AE179" s="212">
        <f>OR(AND(AE181&lt;&gt;"",AE182=""),AND(AE181="",AE182&lt;&gt;""))</f>
        <v>0</v>
      </c>
      <c r="AF179" s="212">
        <f>OR(AND(AF181&lt;&gt;"",AF182=""),AND(AF181="",AF182&lt;&gt;""))</f>
        <v>0</v>
      </c>
      <c r="AG179" s="212">
        <f>OR(AND(AG181&lt;&gt;"",AG182=""),AND(AG181="",AG182&lt;&gt;""))</f>
        <v>0</v>
      </c>
      <c r="AH179" s="212">
        <f>OR(AND(AH181&lt;&gt;"",AH182=""),AND(AH181="",AH182&lt;&gt;""))</f>
        <v>0</v>
      </c>
      <c r="AI179" s="212">
        <f>OR(AND(AI181&lt;&gt;"",AI182=""),AND(AI181="",AI182&lt;&gt;""))</f>
        <v>0</v>
      </c>
      <c r="AJ179" s="212">
        <f>OR(AND(AJ181&lt;&gt;"",AJ182=""),AND(AJ181="",AJ182&lt;&gt;""))</f>
        <v>0</v>
      </c>
      <c r="AK179" s="212">
        <f>OR(AND(AK181&lt;&gt;"",AK182=""),AND(AK181="",AK182&lt;&gt;""))</f>
        <v>0</v>
      </c>
      <c r="AL179" s="212">
        <f>OR(AND(AL181&lt;&gt;"",AL182=""),AND(AL181="",AL182&lt;&gt;""))</f>
        <v>0</v>
      </c>
      <c r="AM179" s="212">
        <f>OR(AND(AM181&lt;&gt;"",AM182=""),AND(AM181="",AM182&lt;&gt;""))</f>
        <v>0</v>
      </c>
      <c r="AN179" s="212">
        <f>OR(AND(AN181&lt;&gt;"",AN182=""),AND(AN181="",AN182&lt;&gt;""))</f>
        <v>0</v>
      </c>
      <c r="AO179" s="212">
        <f>OR(AND(AO181&lt;&gt;"",AO182=""),AND(AO181="",AO182&lt;&gt;""))</f>
        <v>0</v>
      </c>
      <c r="AP179" s="212">
        <f>OR(AND(AP181&lt;&gt;"",AP182=""),AND(AP181="",AP182&lt;&gt;""))</f>
        <v>0</v>
      </c>
      <c r="AQ179" s="212">
        <f>OR(AND(AQ181&lt;&gt;"",AQ182=""),AND(AQ181="",AQ182&lt;&gt;""))</f>
        <v>0</v>
      </c>
      <c r="AR179" s="212">
        <f>OR(AND(AR181&lt;&gt;"",AR182=""),AND(AR181="",AR182&lt;&gt;""))</f>
        <v>0</v>
      </c>
      <c r="AS179" s="212">
        <f>OR(AND(AS181&lt;&gt;"",AS182=""),AND(AS181="",AS182&lt;&gt;""))</f>
        <v>0</v>
      </c>
      <c r="AT179" s="212">
        <f>OR(AND(AT181&lt;&gt;"",AT182=""),AND(AT181="",AT182&lt;&gt;""))</f>
        <v>0</v>
      </c>
      <c r="AU179" s="212">
        <f>OR(AND(AU181&lt;&gt;"",AU182=""),AND(AU181="",AU182&lt;&gt;""))</f>
        <v>0</v>
      </c>
      <c r="AV179" s="212">
        <f>OR(AND(AV181&lt;&gt;"",AV182=""),AND(AV181="",AV182&lt;&gt;""))</f>
        <v>0</v>
      </c>
      <c r="AW179" s="212">
        <f>OR(AND(AW181&lt;&gt;"",AW182=""),AND(AW181="",AW182&lt;&gt;""))</f>
        <v>0</v>
      </c>
      <c r="AX179" s="212">
        <f>OR(AND(AX181&lt;&gt;"",AX182=""),AND(AX181="",AX182&lt;&gt;""))</f>
        <v>0</v>
      </c>
      <c r="AY179" s="212">
        <f>OR(AND(AY181&lt;&gt;"",AY182=""),AND(AY181="",AY182&lt;&gt;""))</f>
        <v>0</v>
      </c>
      <c r="AZ179" s="212">
        <f>OR(AND(AZ181&lt;&gt;"",AZ182=""),AND(AZ181="",AZ182&lt;&gt;""))</f>
        <v>0</v>
      </c>
      <c r="BA179" s="212">
        <f>OR(AND(BA181&lt;&gt;"",BA182=""),AND(BA181="",BA182&lt;&gt;""))</f>
        <v>0</v>
      </c>
      <c r="BB179" s="212">
        <f>OR(AND(BB181&lt;&gt;"",BB182=""),AND(BB181="",BB182&lt;&gt;""))</f>
        <v>0</v>
      </c>
      <c r="BC179" s="982"/>
      <c r="BD179" s="892"/>
      <c r="BE179" s="892"/>
      <c r="BF179" s="1049"/>
      <c r="BG179" s="1049"/>
      <c r="BH179" s="1049"/>
      <c r="BI179" s="684"/>
      <c r="BJ179" s="684"/>
    </row>
    <row customHeight="1" ht="14.625" hidden="1">
      <c r="A180" s="892"/>
      <c r="B180" s="442"/>
      <c r="C180" s="892"/>
      <c r="D180" s="892"/>
      <c r="E180" s="684">
        <v>15</v>
      </c>
      <c r="F180" s="1326" cm="1" t="str">
        <f t="array" ref="F180:F180">OFFSET(E180,-1,1)</f>
        <v>2</v>
      </c>
      <c r="G180" s="892"/>
      <c r="H180" s="892"/>
      <c r="I180" s="892"/>
      <c r="J180" s="892"/>
      <c r="K180" s="918"/>
      <c r="L180" s="922"/>
      <c r="M180" s="892"/>
      <c r="N180" s="892"/>
      <c r="O180" s="892"/>
      <c r="P180" s="892"/>
      <c r="Q180" s="892"/>
      <c r="R180" s="892"/>
      <c r="S180" s="892"/>
      <c r="T180" s="1436">
        <f>AND(Y179&gt;0,F180&gt;0)</f>
        <v>0</v>
      </c>
      <c r="U180" s="892"/>
      <c r="V180" s="892"/>
      <c r="W180" s="892"/>
      <c r="X180" s="690"/>
      <c r="Y180" s="1469"/>
      <c r="Z180" s="892"/>
      <c r="AA180" s="3203"/>
      <c r="AB180" s="3204" t="str">
        <f>"1."&amp;Y179</f>
        <v>1.0</v>
      </c>
      <c r="AC180" s="3205" t="s">
        <v>240</v>
      </c>
      <c r="AD180" s="3206"/>
      <c r="AE180" s="3207"/>
      <c r="AF180" s="3208"/>
      <c r="AG180" s="3207"/>
      <c r="AH180" s="3207"/>
      <c r="AI180" s="3207"/>
      <c r="AJ180" s="3207"/>
      <c r="AK180" s="3207"/>
      <c r="AL180" s="3207"/>
      <c r="AM180" s="3207"/>
      <c r="AN180" s="3207"/>
      <c r="AO180" s="3207"/>
      <c r="AP180" s="3207"/>
      <c r="AQ180" s="3207"/>
      <c r="AR180" s="3207"/>
      <c r="AS180" s="3208"/>
      <c r="AT180" s="3208"/>
      <c r="AU180" s="3208"/>
      <c r="AV180" s="3208"/>
      <c r="AW180" s="3208"/>
      <c r="AX180" s="3208"/>
      <c r="AY180" s="3208"/>
      <c r="AZ180" s="3208"/>
      <c r="BA180" s="3208"/>
      <c r="BB180" s="3209"/>
      <c r="BC180" s="3210"/>
      <c r="BD180" s="892"/>
      <c r="BE180" s="892"/>
      <c r="BF180" s="1049"/>
      <c r="BG180" s="1049"/>
      <c r="BH180" s="1049"/>
      <c r="BI180" s="684"/>
      <c r="BJ180" s="684"/>
    </row>
    <row s="1656" customFormat="1" customHeight="1" ht="14.25" hidden="1">
      <c r="A181" s="892"/>
      <c r="B181" s="442"/>
      <c r="C181" s="892"/>
      <c r="D181" s="892"/>
      <c r="E181" s="684">
        <v>15</v>
      </c>
      <c r="F181" s="50" cm="1" t="str">
        <f t="array" ref="F181:F181">OFFSET(E181,-1,1)</f>
        <v>2</v>
      </c>
      <c r="G181" s="148" t="s">
        <v>344</v>
      </c>
      <c r="H181" s="151" cm="1" t="str">
        <f t="array" ref="H181:H181">AC181</f>
        <v>Затраты</v>
      </c>
      <c r="I181" s="148" t="s">
        <v>1250</v>
      </c>
      <c r="J181" s="892"/>
      <c r="K181" s="918"/>
      <c r="L181" s="892"/>
      <c r="M181" s="892"/>
      <c r="N181" s="892"/>
      <c r="O181" s="892"/>
      <c r="P181" s="892"/>
      <c r="Q181" s="892"/>
      <c r="R181" s="892"/>
      <c r="S181" s="892"/>
      <c r="T181" s="468" cm="1" t="str">
        <f t="array" ref="T181:T181">T180</f>
        <v>false</v>
      </c>
      <c r="U181" s="892"/>
      <c r="V181" s="892"/>
      <c r="W181" s="892"/>
      <c r="X181" s="1469"/>
      <c r="Y181" s="1469"/>
      <c r="Z181" s="1592"/>
      <c r="AA181" s="1593"/>
      <c r="AB181" s="84" t="str">
        <f>AB180&amp;".1"</f>
        <v>1.0.1</v>
      </c>
      <c r="AC181" s="3211" t="s">
        <v>1251</v>
      </c>
      <c r="AD181" s="207" t="s">
        <v>936</v>
      </c>
      <c r="AE181" s="3212"/>
      <c r="AF181" s="3212"/>
      <c r="AG181" s="3212"/>
      <c r="AH181" s="3212"/>
      <c r="AI181" s="3212"/>
      <c r="AJ181" s="3212"/>
      <c r="AK181" s="3212"/>
      <c r="AL181" s="3212"/>
      <c r="AM181" s="3212"/>
      <c r="AN181" s="3212"/>
      <c r="AO181" s="3212"/>
      <c r="AP181" s="3212"/>
      <c r="AQ181" s="3212"/>
      <c r="AR181" s="3212"/>
      <c r="AS181" s="3212"/>
      <c r="AT181" s="3212"/>
      <c r="AU181" s="3212"/>
      <c r="AV181" s="3212"/>
      <c r="AW181" s="3212"/>
      <c r="AX181" s="3212"/>
      <c r="AY181" s="3212"/>
      <c r="AZ181" s="3212"/>
      <c r="BA181" s="3212"/>
      <c r="BB181" s="3212"/>
      <c r="BC181" s="1928"/>
      <c r="BD181" s="892"/>
      <c r="BE181" s="892"/>
      <c r="BF181" s="1049" t="s">
        <v>1252</v>
      </c>
      <c r="BG181" s="1049" t="s">
        <v>1253</v>
      </c>
      <c r="BH181" s="1049" cm="1" t="str">
        <f t="array" ref="BH181:BH181">AC180</f>
        <v/>
      </c>
      <c r="BI181" s="684"/>
      <c r="BJ181" s="684" t="b">
        <v>1</v>
      </c>
    </row>
    <row s="1656" customFormat="1" customHeight="1" ht="0" hidden="1">
      <c r="A182" s="892"/>
      <c r="B182" s="442"/>
      <c r="C182" s="892"/>
      <c r="D182" s="892"/>
      <c r="E182" s="684">
        <v>15</v>
      </c>
      <c r="F182" s="50" cm="1" t="str">
        <f t="array" ref="F182:F182">OFFSET(E182,-1,1)</f>
        <v>2</v>
      </c>
      <c r="G182" s="148" t="s">
        <v>566</v>
      </c>
      <c r="H182" s="151" cm="1" t="str">
        <f t="array" ref="H182:H182">H181</f>
        <v>Затраты</v>
      </c>
      <c r="I182" s="148" t="s">
        <v>1250</v>
      </c>
      <c r="J182" s="892"/>
      <c r="K182" s="918"/>
      <c r="L182" s="892"/>
      <c r="M182" s="892"/>
      <c r="N182" s="892"/>
      <c r="O182" s="892"/>
      <c r="P182" s="892"/>
      <c r="Q182" s="892"/>
      <c r="R182" s="892"/>
      <c r="S182" s="892"/>
      <c r="T182" s="468" cm="1" t="str">
        <f t="array" ref="T182:T182">T181</f>
        <v>false</v>
      </c>
      <c r="U182" s="892"/>
      <c r="V182" s="892"/>
      <c r="W182" s="892"/>
      <c r="X182" s="1469"/>
      <c r="Y182" s="1469"/>
      <c r="Z182" s="1592"/>
      <c r="AA182" s="1593"/>
      <c r="AB182" s="84" t="str">
        <f>AB181&amp;".1"</f>
        <v>1.0.1.1</v>
      </c>
      <c r="AC182" s="217" t="s">
        <v>1254</v>
      </c>
      <c r="AD182" s="84" t="s">
        <v>657</v>
      </c>
      <c r="AE182" s="3109"/>
      <c r="AF182" s="3109"/>
      <c r="AG182" s="3109"/>
      <c r="AH182" s="3109"/>
      <c r="AI182" s="3109"/>
      <c r="AJ182" s="3109"/>
      <c r="AK182" s="3109"/>
      <c r="AL182" s="3109"/>
      <c r="AM182" s="3109"/>
      <c r="AN182" s="3109"/>
      <c r="AO182" s="3109"/>
      <c r="AP182" s="3109"/>
      <c r="AQ182" s="3109"/>
      <c r="AR182" s="3109"/>
      <c r="AS182" s="3109"/>
      <c r="AT182" s="3109"/>
      <c r="AU182" s="3109"/>
      <c r="AV182" s="3109"/>
      <c r="AW182" s="3109"/>
      <c r="AX182" s="3109"/>
      <c r="AY182" s="3109"/>
      <c r="AZ182" s="3109"/>
      <c r="BA182" s="3109"/>
      <c r="BB182" s="3109"/>
      <c r="BC182" s="1928"/>
      <c r="BD182" s="892"/>
      <c r="BE182" s="892"/>
      <c r="BF182" s="1049" t="s">
        <v>1255</v>
      </c>
      <c r="BG182" s="1049" t="s">
        <v>1253</v>
      </c>
      <c r="BH182" s="1049" cm="1" t="str">
        <f t="array" ref="BH182:BH182">BH181</f>
        <v/>
      </c>
      <c r="BI182" s="684"/>
      <c r="BJ182" s="684"/>
    </row>
    <row customHeight="1" ht="14.625" hidden="1">
      <c r="A183" s="892"/>
      <c r="B183" s="442"/>
      <c r="C183" s="892"/>
      <c r="D183" s="892"/>
      <c r="E183" s="684">
        <v>15</v>
      </c>
      <c r="F183" s="1326" cm="1" t="str">
        <f t="array" ref="F183:F183">OFFSET(E183,-1,1)</f>
        <v>2</v>
      </c>
      <c r="G183" s="892"/>
      <c r="H183" s="151"/>
      <c r="I183" s="892"/>
      <c r="J183" s="892"/>
      <c r="K183" s="918"/>
      <c r="L183" s="892"/>
      <c r="M183" s="892"/>
      <c r="N183" s="892"/>
      <c r="O183" s="892"/>
      <c r="P183" s="892"/>
      <c r="Q183" s="892"/>
      <c r="R183" s="892"/>
      <c r="S183" s="892"/>
      <c r="T183" s="1436" cm="1" t="str">
        <f t="array" ref="T183:T183">T182</f>
        <v>false</v>
      </c>
      <c r="U183" s="892"/>
      <c r="V183" s="892"/>
      <c r="W183" s="892"/>
      <c r="X183" s="690"/>
      <c r="Y183" s="1469"/>
      <c r="Z183" s="892"/>
      <c r="AA183" s="3203"/>
      <c r="AB183" s="3214" t="str">
        <f>AB181&amp;".2"</f>
        <v>1.0.1.2</v>
      </c>
      <c r="AC183" s="3215" t="s">
        <v>1256</v>
      </c>
      <c r="AD183" s="3214" t="s">
        <v>1257</v>
      </c>
      <c r="AE183" s="3216"/>
      <c r="AF183" s="3216"/>
      <c r="AG183" s="3216"/>
      <c r="AH183" s="3216"/>
      <c r="AI183" s="3216"/>
      <c r="AJ183" s="3216"/>
      <c r="AK183" s="3216"/>
      <c r="AL183" s="3216"/>
      <c r="AM183" s="3216"/>
      <c r="AN183" s="3216"/>
      <c r="AO183" s="3216"/>
      <c r="AP183" s="3216"/>
      <c r="AQ183" s="3216"/>
      <c r="AR183" s="3216"/>
      <c r="AS183" s="3216"/>
      <c r="AT183" s="3216"/>
      <c r="AU183" s="3216"/>
      <c r="AV183" s="3216"/>
      <c r="AW183" s="3216"/>
      <c r="AX183" s="3216"/>
      <c r="AY183" s="3216"/>
      <c r="AZ183" s="3216"/>
      <c r="BA183" s="3216"/>
      <c r="BB183" s="3216"/>
      <c r="BC183" s="3217"/>
      <c r="BD183" s="892"/>
      <c r="BE183" s="892"/>
      <c r="BF183" s="1049" t="s">
        <v>1258</v>
      </c>
      <c r="BG183" s="1049" t="s">
        <v>1253</v>
      </c>
      <c r="BH183" s="3218" cm="1" t="str">
        <f t="array" ref="BH183:BH183">BH182</f>
        <v/>
      </c>
      <c r="BI183" s="684"/>
      <c r="BJ183" s="684"/>
    </row>
    <row s="1656" customFormat="1" customHeight="1" ht="0">
      <c r="A184" s="892"/>
      <c r="B184" s="442"/>
      <c r="C184" s="892"/>
      <c r="D184" s="892"/>
      <c r="E184" s="684">
        <v>15</v>
      </c>
      <c r="F184" s="50" cm="1" t="str">
        <f t="array" ref="F184:F184">OFFSET(E184,-1,1)</f>
        <v>2</v>
      </c>
      <c r="G184" s="892"/>
      <c r="H184" s="148" t="str">
        <f>"!=='не определено' &amp;&amp; row.l1 !== null"</f>
        <v>!=='не определено' &amp;&amp; row.l1 !== null</v>
      </c>
      <c r="I184" s="892"/>
      <c r="J184" s="892"/>
      <c r="K184" s="918"/>
      <c r="L184" s="892"/>
      <c r="M184" s="892"/>
      <c r="N184" s="892"/>
      <c r="O184" s="892"/>
      <c r="P184" s="892"/>
      <c r="Q184" s="892"/>
      <c r="R184" s="892"/>
      <c r="S184" s="892"/>
      <c r="T184" s="468">
        <f>F184&gt;0</f>
        <v>1</v>
      </c>
      <c r="U184" s="892"/>
      <c r="V184" s="892"/>
      <c r="W184" s="691" t="s">
        <v>1259</v>
      </c>
      <c r="X184" s="1469"/>
      <c r="Y184" s="892"/>
      <c r="Z184" s="1592"/>
      <c r="AA184" s="892"/>
      <c r="AB184" s="687"/>
      <c r="AC184" s="228" t="s">
        <v>1260</v>
      </c>
      <c r="AD184" s="228"/>
      <c r="AE184" s="228"/>
      <c r="AF184" s="228"/>
      <c r="AG184" s="228"/>
      <c r="AH184" s="228"/>
      <c r="AI184" s="228"/>
      <c r="AJ184" s="228"/>
      <c r="AK184" s="228"/>
      <c r="AL184" s="228"/>
      <c r="AM184" s="228"/>
      <c r="AN184" s="228"/>
      <c r="AO184" s="228"/>
      <c r="AP184" s="228"/>
      <c r="AQ184" s="228"/>
      <c r="AR184" s="228"/>
      <c r="AS184" s="228"/>
      <c r="AT184" s="228"/>
      <c r="AU184" s="228"/>
      <c r="AV184" s="228"/>
      <c r="AW184" s="228"/>
      <c r="AX184" s="228"/>
      <c r="AY184" s="228"/>
      <c r="AZ184" s="228"/>
      <c r="BA184" s="228"/>
      <c r="BB184" s="228"/>
      <c r="BC184" s="229"/>
      <c r="BD184" s="892"/>
      <c r="BE184" s="892"/>
      <c r="BF184" s="1049"/>
      <c r="BG184" s="1049"/>
      <c r="BH184" s="1049"/>
      <c r="BI184" s="684" t="s">
        <v>1253</v>
      </c>
      <c r="BJ184" s="684"/>
    </row>
    <row s="1656" customFormat="1" customHeight="1" ht="0">
      <c r="A185" s="892"/>
      <c r="B185" s="442"/>
      <c r="C185" s="892"/>
      <c r="D185" s="892"/>
      <c r="E185" s="684">
        <v>22.5</v>
      </c>
      <c r="F185" s="50" cm="1" t="str">
        <f t="array" ref="F185:F185">OFFSET(E185,-1,1)</f>
        <v>2</v>
      </c>
      <c r="G185" s="892"/>
      <c r="H185" s="892"/>
      <c r="I185" s="892"/>
      <c r="J185" s="892"/>
      <c r="K185" s="918" t="str">
        <f>F178&amp;"2komm"</f>
        <v>22komm</v>
      </c>
      <c r="L185" s="922" cm="1" t="str">
        <f t="array" ref="L185:L185">BC185</f>
        <v>0</v>
      </c>
      <c r="M185" s="892"/>
      <c r="N185" s="892"/>
      <c r="O185" s="892"/>
      <c r="P185" s="892"/>
      <c r="Q185" s="892"/>
      <c r="R185" s="892"/>
      <c r="S185" s="892"/>
      <c r="T185" s="468" cm="1" t="str">
        <f t="array" ref="T185:T185">T184</f>
        <v>true</v>
      </c>
      <c r="U185" s="892"/>
      <c r="V185" s="892"/>
      <c r="W185" s="892"/>
      <c r="X185" s="1469"/>
      <c r="Y185" s="690"/>
      <c r="Z185" s="1592"/>
      <c r="AA185" s="892"/>
      <c r="AB185" s="207">
        <v>2</v>
      </c>
      <c r="AC185" s="208" t="s">
        <v>1261</v>
      </c>
      <c r="AD185" s="207" t="s">
        <v>936</v>
      </c>
      <c r="AE185" s="209">
        <f>SUMIF(AD188:AD191,AD185,AE188:AE191)</f>
        <v>0</v>
      </c>
      <c r="AF185" s="209">
        <f>SUMIF(AD188:AD191,AD185,AF188:AF191)</f>
        <v>0</v>
      </c>
      <c r="AG185" s="209">
        <f>SUMIF(AD188:AD191,AD185,AG188:AG191)</f>
        <v>0</v>
      </c>
      <c r="AH185" s="209">
        <f>SUMIF(AD188:AD191,AD185,AH188:AH191)</f>
        <v>0</v>
      </c>
      <c r="AI185" s="209">
        <f>SUMIF(AD188:AD191,AD185,AI188:AI191)</f>
        <v>0</v>
      </c>
      <c r="AJ185" s="3200">
        <f>SUMIF(AD188:AD191,AD185,AJ188:AJ191)</f>
        <v>0</v>
      </c>
      <c r="AK185" s="3200">
        <f>SUMIF(AD188:AD191,AD185,AK188:AK191)</f>
        <v>0</v>
      </c>
      <c r="AL185" s="3200">
        <f>SUMIF(AD188:AD191,AD185,AL188:AL191)</f>
        <v>0</v>
      </c>
      <c r="AM185" s="3200">
        <f>SUMIF(AD188:AD191,AD185,AM188:AM191)</f>
        <v>0</v>
      </c>
      <c r="AN185" s="3200">
        <f>SUMIF(AD188:AD191,AD185,AN188:AN191)</f>
        <v>0</v>
      </c>
      <c r="AO185" s="3200">
        <f>SUMIF(AD188:AD191,AD185,AO188:AO191)</f>
        <v>0</v>
      </c>
      <c r="AP185" s="3200">
        <f>SUMIF(AD188:AD191,AD185,AP188:AP191)</f>
        <v>0</v>
      </c>
      <c r="AQ185" s="3200">
        <f>SUMIF(AD188:AD191,AD185,AQ188:AQ191)</f>
        <v>0</v>
      </c>
      <c r="AR185" s="3200">
        <f>SUMIF(AD188:AD191,AD185,AR188:AR191)</f>
        <v>0</v>
      </c>
      <c r="AS185" s="209">
        <f>SUMIF(AD188:AD191,AD185,AS188:AS191)</f>
        <v>0</v>
      </c>
      <c r="AT185" s="3200">
        <f>SUMIF(AD188:AD191,AD185,AT188:AT191)</f>
        <v>0</v>
      </c>
      <c r="AU185" s="3200">
        <f>SUMIF(AD188:AD191,AD185,AU188:AU191)</f>
        <v>0</v>
      </c>
      <c r="AV185" s="3200">
        <f>SUMIF(AD188:AD191,AD185,AV188:AV191)</f>
        <v>0</v>
      </c>
      <c r="AW185" s="3200">
        <f>SUMIF(AD188:AD191,AD185,AW188:AW191)</f>
        <v>0</v>
      </c>
      <c r="AX185" s="3200">
        <f>SUMIF(AD188:AD191,AD185,AX188:AX191)</f>
        <v>0</v>
      </c>
      <c r="AY185" s="3200">
        <f>SUMIF(AD188:AD191,AD185,AY188:AY191)</f>
        <v>0</v>
      </c>
      <c r="AZ185" s="3200">
        <f>SUMIF(AD188:AD191,AD185,AZ188:AZ191)</f>
        <v>0</v>
      </c>
      <c r="BA185" s="3200">
        <f>SUMIF(AD188:AD191,AD185,BA188:BA191)</f>
        <v>0</v>
      </c>
      <c r="BB185" s="3200">
        <f>SUMIF(AD188:AD191,AD185,BB188:BB191)</f>
        <v>0</v>
      </c>
      <c r="BC185" s="196"/>
      <c r="BD185" s="892"/>
      <c r="BE185" s="892"/>
      <c r="BF185" s="1049" t="s">
        <v>1262</v>
      </c>
      <c r="BG185" s="1049"/>
      <c r="BH185" s="1049"/>
      <c r="BI185" s="684"/>
      <c r="BJ185" s="684"/>
    </row>
    <row s="1656" customFormat="1" customHeight="1" ht="0" hidden="1">
      <c r="A186" s="892"/>
      <c r="B186" s="442"/>
      <c r="C186" s="892"/>
      <c r="D186" s="892"/>
      <c r="E186" s="684">
        <v>0</v>
      </c>
      <c r="F186" s="50" cm="1" t="str">
        <f t="array" ref="F186:F186">OFFSET(E186,-1,1)</f>
        <v>2</v>
      </c>
      <c r="G186" s="148" t="s">
        <v>345</v>
      </c>
      <c r="H186" s="892"/>
      <c r="I186" s="892"/>
      <c r="J186" s="892"/>
      <c r="K186" s="918"/>
      <c r="L186" s="922"/>
      <c r="M186" s="892"/>
      <c r="N186" s="892"/>
      <c r="O186" s="892"/>
      <c r="P186" s="892"/>
      <c r="Q186" s="892"/>
      <c r="R186" s="892"/>
      <c r="S186" s="892"/>
      <c r="T186" s="468" t="b">
        <v>0</v>
      </c>
      <c r="U186" s="892"/>
      <c r="V186" s="892"/>
      <c r="W186" s="148" t="s">
        <v>173</v>
      </c>
      <c r="X186" s="1469"/>
      <c r="Y186" s="1469">
        <v>0</v>
      </c>
      <c r="Z186" s="1592"/>
      <c r="AA186" s="1594" t="s">
        <v>174</v>
      </c>
      <c r="AB186" s="207"/>
      <c r="AC186" s="208"/>
      <c r="AD186" s="207"/>
      <c r="AE186" s="1448">
        <f>OR(AND(AE188&lt;&gt;"",AE189=""),AND(AE188="",AE189&lt;&gt;""))</f>
        <v>0</v>
      </c>
      <c r="AF186" s="1448">
        <f>OR(AND(AF188&lt;&gt;"",AF189=""),AND(AF188="",AF189&lt;&gt;""))</f>
        <v>0</v>
      </c>
      <c r="AG186" s="1448">
        <f>OR(AND(AG188&lt;&gt;"",AG189=""),AND(AG188="",AG189&lt;&gt;""))</f>
        <v>0</v>
      </c>
      <c r="AH186" s="1448">
        <f>OR(AND(AH188&lt;&gt;"",AH189=""),AND(AH188="",AH189&lt;&gt;""))</f>
        <v>0</v>
      </c>
      <c r="AI186" s="1448">
        <f>OR(AND(AI188&lt;&gt;"",AI189=""),AND(AI188="",AI189&lt;&gt;""))</f>
        <v>0</v>
      </c>
      <c r="AJ186" s="1448">
        <f>OR(AND(AJ188&lt;&gt;"",AJ189=""),AND(AJ188="",AJ189&lt;&gt;""))</f>
        <v>0</v>
      </c>
      <c r="AK186" s="1448">
        <f>OR(AND(AK188&lt;&gt;"",AK189=""),AND(AK188="",AK189&lt;&gt;""))</f>
        <v>0</v>
      </c>
      <c r="AL186" s="1448">
        <f>OR(AND(AL188&lt;&gt;"",AL189=""),AND(AL188="",AL189&lt;&gt;""))</f>
        <v>0</v>
      </c>
      <c r="AM186" s="1448">
        <f>OR(AND(AM188&lt;&gt;"",AM189=""),AND(AM188="",AM189&lt;&gt;""))</f>
        <v>0</v>
      </c>
      <c r="AN186" s="1448">
        <f>OR(AND(AN188&lt;&gt;"",AN189=""),AND(AN188="",AN189&lt;&gt;""))</f>
        <v>0</v>
      </c>
      <c r="AO186" s="1448">
        <f>OR(AND(AO188&lt;&gt;"",AO189=""),AND(AO188="",AO189&lt;&gt;""))</f>
        <v>0</v>
      </c>
      <c r="AP186" s="1448">
        <f>OR(AND(AP188&lt;&gt;"",AP189=""),AND(AP188="",AP189&lt;&gt;""))</f>
        <v>0</v>
      </c>
      <c r="AQ186" s="1448">
        <f>OR(AND(AQ188&lt;&gt;"",AQ189=""),AND(AQ188="",AQ189&lt;&gt;""))</f>
        <v>0</v>
      </c>
      <c r="AR186" s="1448">
        <f>OR(AND(AR188&lt;&gt;"",AR189=""),AND(AR188="",AR189&lt;&gt;""))</f>
        <v>0</v>
      </c>
      <c r="AS186" s="1448">
        <f>OR(AND(AS188&lt;&gt;"",AS189=""),AND(AS188="",AS189&lt;&gt;""))</f>
        <v>0</v>
      </c>
      <c r="AT186" s="1448">
        <f>OR(AND(AT188&lt;&gt;"",AT189=""),AND(AT188="",AT189&lt;&gt;""))</f>
        <v>0</v>
      </c>
      <c r="AU186" s="1448">
        <f>OR(AND(AU188&lt;&gt;"",AU189=""),AND(AU188="",AU189&lt;&gt;""))</f>
        <v>0</v>
      </c>
      <c r="AV186" s="1448">
        <f>OR(AND(AV188&lt;&gt;"",AV189=""),AND(AV188="",AV189&lt;&gt;""))</f>
        <v>0</v>
      </c>
      <c r="AW186" s="1448">
        <f>OR(AND(AW188&lt;&gt;"",AW189=""),AND(AW188="",AW189&lt;&gt;""))</f>
        <v>0</v>
      </c>
      <c r="AX186" s="1448">
        <f>OR(AND(AX188&lt;&gt;"",AX189=""),AND(AX188="",AX189&lt;&gt;""))</f>
        <v>0</v>
      </c>
      <c r="AY186" s="1448">
        <f>OR(AND(AY188&lt;&gt;"",AY189=""),AND(AY188="",AY189&lt;&gt;""))</f>
        <v>0</v>
      </c>
      <c r="AZ186" s="1448">
        <f>OR(AND(AZ188&lt;&gt;"",AZ189=""),AND(AZ188="",AZ189&lt;&gt;""))</f>
        <v>0</v>
      </c>
      <c r="BA186" s="1448">
        <f>OR(AND(BA188&lt;&gt;"",BA189=""),AND(BA188="",BA189&lt;&gt;""))</f>
        <v>0</v>
      </c>
      <c r="BB186" s="1448">
        <f>OR(AND(BB188&lt;&gt;"",BB189=""),AND(BB188="",BB189&lt;&gt;""))</f>
        <v>0</v>
      </c>
      <c r="BC186" s="982"/>
      <c r="BD186" s="892"/>
      <c r="BE186" s="892"/>
      <c r="BF186" s="1049"/>
      <c r="BG186" s="1049"/>
      <c r="BH186" s="1049"/>
      <c r="BI186" s="684"/>
      <c r="BJ186" s="684"/>
    </row>
    <row customHeight="1" ht="14.625" hidden="1">
      <c r="A187" s="892"/>
      <c r="B187" s="442"/>
      <c r="C187" s="892"/>
      <c r="D187" s="892"/>
      <c r="E187" s="684">
        <v>15</v>
      </c>
      <c r="F187" s="1326" cm="1" t="str">
        <f t="array" ref="F187:F187">OFFSET(E187,-1,1)</f>
        <v>2</v>
      </c>
      <c r="G187" s="892"/>
      <c r="H187" s="892"/>
      <c r="I187" s="892"/>
      <c r="J187" s="892"/>
      <c r="K187" s="918"/>
      <c r="L187" s="922"/>
      <c r="M187" s="892"/>
      <c r="N187" s="892"/>
      <c r="O187" s="892"/>
      <c r="P187" s="892"/>
      <c r="Q187" s="892"/>
      <c r="R187" s="892"/>
      <c r="S187" s="892"/>
      <c r="T187" s="1436">
        <f>AND(Y186&gt;0,F187&gt;0)</f>
        <v>0</v>
      </c>
      <c r="U187" s="892"/>
      <c r="V187" s="892"/>
      <c r="W187" s="892"/>
      <c r="X187" s="690"/>
      <c r="Y187" s="1469"/>
      <c r="Z187" s="892"/>
      <c r="AA187" s="3203"/>
      <c r="AB187" s="3204" t="str">
        <f>"2."&amp;Y186</f>
        <v>2.0</v>
      </c>
      <c r="AC187" s="3205" t="s">
        <v>240</v>
      </c>
      <c r="AD187" s="3206"/>
      <c r="AE187" s="3207"/>
      <c r="AF187" s="3208"/>
      <c r="AG187" s="3207"/>
      <c r="AH187" s="3207"/>
      <c r="AI187" s="3207"/>
      <c r="AJ187" s="3207"/>
      <c r="AK187" s="3207"/>
      <c r="AL187" s="3207"/>
      <c r="AM187" s="3207"/>
      <c r="AN187" s="3207"/>
      <c r="AO187" s="3207"/>
      <c r="AP187" s="3207"/>
      <c r="AQ187" s="3207"/>
      <c r="AR187" s="3207"/>
      <c r="AS187" s="3208"/>
      <c r="AT187" s="3208"/>
      <c r="AU187" s="3208"/>
      <c r="AV187" s="3208"/>
      <c r="AW187" s="3208"/>
      <c r="AX187" s="3208"/>
      <c r="AY187" s="3208"/>
      <c r="AZ187" s="3208"/>
      <c r="BA187" s="3208"/>
      <c r="BB187" s="3209"/>
      <c r="BC187" s="3210"/>
      <c r="BD187" s="892"/>
      <c r="BE187" s="892"/>
      <c r="BF187" s="1049"/>
      <c r="BG187" s="1049"/>
      <c r="BH187" s="1049"/>
      <c r="BI187" s="684"/>
      <c r="BJ187" s="684"/>
    </row>
    <row s="1656" customFormat="1" customHeight="1" ht="14.25" hidden="1">
      <c r="A188" s="892"/>
      <c r="B188" s="442"/>
      <c r="C188" s="892"/>
      <c r="D188" s="892"/>
      <c r="E188" s="684">
        <v>15</v>
      </c>
      <c r="F188" s="50" cm="1" t="str">
        <f t="array" ref="F188:F188">OFFSET(E188,-1,1)</f>
        <v>2</v>
      </c>
      <c r="G188" s="148" t="s">
        <v>345</v>
      </c>
      <c r="H188" s="151" cm="1" t="str">
        <f t="array" ref="H188:H188">AC188</f>
        <v>Затраты</v>
      </c>
      <c r="I188" s="148" t="s">
        <v>1263</v>
      </c>
      <c r="J188" s="892"/>
      <c r="K188" s="918"/>
      <c r="L188" s="892"/>
      <c r="M188" s="892"/>
      <c r="N188" s="892"/>
      <c r="O188" s="892"/>
      <c r="P188" s="892"/>
      <c r="Q188" s="892"/>
      <c r="R188" s="892"/>
      <c r="S188" s="892"/>
      <c r="T188" s="468" cm="1" t="str">
        <f t="array" ref="T188:T188">T187</f>
        <v>false</v>
      </c>
      <c r="U188" s="892"/>
      <c r="V188" s="892"/>
      <c r="W188" s="892"/>
      <c r="X188" s="1469"/>
      <c r="Y188" s="1469"/>
      <c r="Z188" s="1592"/>
      <c r="AA188" s="1594"/>
      <c r="AB188" s="84" t="str">
        <f>AB187&amp;".1"</f>
        <v>2.0.1</v>
      </c>
      <c r="AC188" s="3211" t="s">
        <v>1251</v>
      </c>
      <c r="AD188" s="207" t="s">
        <v>936</v>
      </c>
      <c r="AE188" s="3109"/>
      <c r="AF188" s="3109"/>
      <c r="AG188" s="3109"/>
      <c r="AH188" s="3109"/>
      <c r="AI188" s="3109"/>
      <c r="AJ188" s="3109"/>
      <c r="AK188" s="3109"/>
      <c r="AL188" s="3109"/>
      <c r="AM188" s="3109"/>
      <c r="AN188" s="3109"/>
      <c r="AO188" s="3109"/>
      <c r="AP188" s="3109"/>
      <c r="AQ188" s="3109"/>
      <c r="AR188" s="3109"/>
      <c r="AS188" s="3109"/>
      <c r="AT188" s="3109"/>
      <c r="AU188" s="3109"/>
      <c r="AV188" s="3109"/>
      <c r="AW188" s="3109"/>
      <c r="AX188" s="3109"/>
      <c r="AY188" s="3109"/>
      <c r="AZ188" s="3109"/>
      <c r="BA188" s="3109"/>
      <c r="BB188" s="3109"/>
      <c r="BC188" s="1928"/>
      <c r="BD188" s="892"/>
      <c r="BE188" s="892"/>
      <c r="BF188" s="1049" t="s">
        <v>1252</v>
      </c>
      <c r="BG188" s="1049" t="s">
        <v>1264</v>
      </c>
      <c r="BH188" s="1049" cm="1" t="str">
        <f t="array" ref="BH188:BH188">AC187</f>
        <v/>
      </c>
      <c r="BI188" s="684"/>
      <c r="BJ188" s="684" t="b">
        <v>1</v>
      </c>
    </row>
    <row s="1656" customFormat="1" customHeight="1" ht="0" hidden="1">
      <c r="A189" s="892"/>
      <c r="B189" s="442"/>
      <c r="C189" s="892"/>
      <c r="D189" s="892"/>
      <c r="E189" s="684">
        <v>15</v>
      </c>
      <c r="F189" s="50" cm="1" t="str">
        <f t="array" ref="F189:F189">OFFSET(E189,-1,1)</f>
        <v>2</v>
      </c>
      <c r="G189" s="148" t="s">
        <v>584</v>
      </c>
      <c r="H189" s="151" cm="1" t="str">
        <f t="array" ref="H189:H189">H188</f>
        <v>Затраты</v>
      </c>
      <c r="I189" s="148" t="s">
        <v>1263</v>
      </c>
      <c r="J189" s="892"/>
      <c r="K189" s="918"/>
      <c r="L189" s="892"/>
      <c r="M189" s="892"/>
      <c r="N189" s="892"/>
      <c r="O189" s="892"/>
      <c r="P189" s="892"/>
      <c r="Q189" s="892"/>
      <c r="R189" s="892"/>
      <c r="S189" s="892"/>
      <c r="T189" s="468" cm="1" t="str">
        <f t="array" ref="T189:T189">T188</f>
        <v>false</v>
      </c>
      <c r="U189" s="892"/>
      <c r="V189" s="892"/>
      <c r="W189" s="892"/>
      <c r="X189" s="1469"/>
      <c r="Y189" s="1469"/>
      <c r="Z189" s="1592"/>
      <c r="AA189" s="1594"/>
      <c r="AB189" s="84" t="str">
        <f>AB188&amp;".1"</f>
        <v>2.0.1.1</v>
      </c>
      <c r="AC189" s="217" t="s">
        <v>1265</v>
      </c>
      <c r="AD189" s="84" t="s">
        <v>657</v>
      </c>
      <c r="AE189" s="3109"/>
      <c r="AF189" s="3109"/>
      <c r="AG189" s="3109"/>
      <c r="AH189" s="3109"/>
      <c r="AI189" s="3109"/>
      <c r="AJ189" s="3109"/>
      <c r="AK189" s="3109"/>
      <c r="AL189" s="3109"/>
      <c r="AM189" s="3109"/>
      <c r="AN189" s="3109"/>
      <c r="AO189" s="3109"/>
      <c r="AP189" s="3109"/>
      <c r="AQ189" s="3109"/>
      <c r="AR189" s="3109"/>
      <c r="AS189" s="3109"/>
      <c r="AT189" s="3109"/>
      <c r="AU189" s="3109"/>
      <c r="AV189" s="3109"/>
      <c r="AW189" s="3109"/>
      <c r="AX189" s="3109"/>
      <c r="AY189" s="3109"/>
      <c r="AZ189" s="3109"/>
      <c r="BA189" s="3109"/>
      <c r="BB189" s="3109"/>
      <c r="BC189" s="1928"/>
      <c r="BD189" s="892"/>
      <c r="BE189" s="892"/>
      <c r="BF189" s="1049" t="s">
        <v>1255</v>
      </c>
      <c r="BG189" s="1049" t="s">
        <v>1264</v>
      </c>
      <c r="BH189" s="1049" cm="1" t="str">
        <f t="array" ref="BH189:BH189">BH188</f>
        <v/>
      </c>
      <c r="BI189" s="684"/>
      <c r="BJ189" s="684"/>
    </row>
    <row customHeight="1" ht="14.625" hidden="1">
      <c r="A190" s="892"/>
      <c r="B190" s="442"/>
      <c r="C190" s="892"/>
      <c r="D190" s="892"/>
      <c r="E190" s="684">
        <v>15</v>
      </c>
      <c r="F190" s="1326" cm="1" t="str">
        <f t="array" ref="F190:F190">OFFSET(E190,-1,1)</f>
        <v>2</v>
      </c>
      <c r="G190" s="892"/>
      <c r="H190" s="151"/>
      <c r="I190" s="892"/>
      <c r="J190" s="892"/>
      <c r="K190" s="918"/>
      <c r="L190" s="892"/>
      <c r="M190" s="892"/>
      <c r="N190" s="892"/>
      <c r="O190" s="892"/>
      <c r="P190" s="892"/>
      <c r="Q190" s="892"/>
      <c r="R190" s="892"/>
      <c r="S190" s="892"/>
      <c r="T190" s="1436" cm="1" t="str">
        <f t="array" ref="T190:T190">T189</f>
        <v>false</v>
      </c>
      <c r="U190" s="892"/>
      <c r="V190" s="892"/>
      <c r="W190" s="892"/>
      <c r="X190" s="690"/>
      <c r="Y190" s="1469"/>
      <c r="Z190" s="892"/>
      <c r="AA190" s="3203"/>
      <c r="AB190" s="3214" t="str">
        <f>AB188&amp;".2"</f>
        <v>2.0.1.2</v>
      </c>
      <c r="AC190" s="3215" t="s">
        <v>1266</v>
      </c>
      <c r="AD190" s="3214" t="s">
        <v>1257</v>
      </c>
      <c r="AE190" s="3216"/>
      <c r="AF190" s="3216"/>
      <c r="AG190" s="3216"/>
      <c r="AH190" s="3216"/>
      <c r="AI190" s="3216"/>
      <c r="AJ190" s="3216"/>
      <c r="AK190" s="3216"/>
      <c r="AL190" s="3216"/>
      <c r="AM190" s="3216"/>
      <c r="AN190" s="3216"/>
      <c r="AO190" s="3216"/>
      <c r="AP190" s="3216"/>
      <c r="AQ190" s="3216"/>
      <c r="AR190" s="3216"/>
      <c r="AS190" s="3216"/>
      <c r="AT190" s="3216"/>
      <c r="AU190" s="3216"/>
      <c r="AV190" s="3216"/>
      <c r="AW190" s="3216"/>
      <c r="AX190" s="3216"/>
      <c r="AY190" s="3216"/>
      <c r="AZ190" s="3216"/>
      <c r="BA190" s="3216"/>
      <c r="BB190" s="3216"/>
      <c r="BC190" s="3217"/>
      <c r="BD190" s="892"/>
      <c r="BE190" s="892"/>
      <c r="BF190" s="1049" t="s">
        <v>1258</v>
      </c>
      <c r="BG190" s="1049" t="s">
        <v>1264</v>
      </c>
      <c r="BH190" s="3218" cm="1" t="str">
        <f t="array" ref="BH190:BH190">BH189</f>
        <v/>
      </c>
      <c r="BI190" s="684"/>
      <c r="BJ190" s="684"/>
    </row>
    <row s="1656" customFormat="1" customHeight="1" ht="0">
      <c r="A191" s="892"/>
      <c r="B191" s="442"/>
      <c r="C191" s="892"/>
      <c r="D191" s="892"/>
      <c r="E191" s="684">
        <v>15</v>
      </c>
      <c r="F191" s="50" cm="1" t="str">
        <f t="array" ref="F191:F191">OFFSET(E191,-1,1)</f>
        <v>2</v>
      </c>
      <c r="G191" s="892"/>
      <c r="H191" s="148" t="str">
        <f>"!=='не определено' &amp;&amp; row.l2 !== null"</f>
        <v>!=='не определено' &amp;&amp; row.l2 !== null</v>
      </c>
      <c r="I191" s="892"/>
      <c r="J191" s="892"/>
      <c r="K191" s="918"/>
      <c r="L191" s="892"/>
      <c r="M191" s="892"/>
      <c r="N191" s="892"/>
      <c r="O191" s="892"/>
      <c r="P191" s="892"/>
      <c r="Q191" s="892"/>
      <c r="R191" s="892"/>
      <c r="S191" s="892"/>
      <c r="T191" s="468">
        <f>F191&gt;0</f>
        <v>1</v>
      </c>
      <c r="U191" s="892"/>
      <c r="V191" s="892"/>
      <c r="W191" s="691" t="s">
        <v>1259</v>
      </c>
      <c r="X191" s="1469"/>
      <c r="Y191" s="689"/>
      <c r="Z191" s="1592"/>
      <c r="AA191" s="892"/>
      <c r="AB191" s="687"/>
      <c r="AC191" s="228" t="s">
        <v>1260</v>
      </c>
      <c r="AD191" s="228"/>
      <c r="AE191" s="228"/>
      <c r="AF191" s="228"/>
      <c r="AG191" s="228"/>
      <c r="AH191" s="228"/>
      <c r="AI191" s="228"/>
      <c r="AJ191" s="228"/>
      <c r="AK191" s="228"/>
      <c r="AL191" s="228"/>
      <c r="AM191" s="228"/>
      <c r="AN191" s="228"/>
      <c r="AO191" s="228"/>
      <c r="AP191" s="228"/>
      <c r="AQ191" s="228"/>
      <c r="AR191" s="228"/>
      <c r="AS191" s="228"/>
      <c r="AT191" s="228"/>
      <c r="AU191" s="228"/>
      <c r="AV191" s="228"/>
      <c r="AW191" s="228"/>
      <c r="AX191" s="228"/>
      <c r="AY191" s="228"/>
      <c r="AZ191" s="228"/>
      <c r="BA191" s="228"/>
      <c r="BB191" s="228"/>
      <c r="BC191" s="229"/>
      <c r="BD191" s="892"/>
      <c r="BE191" s="892"/>
      <c r="BF191" s="1049"/>
      <c r="BG191" s="1049"/>
      <c r="BH191" s="1049"/>
      <c r="BI191" s="684" t="s">
        <v>1264</v>
      </c>
      <c r="BJ191" s="684"/>
    </row>
    <row s="1656" customFormat="1" customHeight="1" ht="0">
      <c r="A192" s="892"/>
      <c r="B192" s="442"/>
      <c r="C192" s="892"/>
      <c r="D192" s="892"/>
      <c r="E192" s="684">
        <v>23</v>
      </c>
      <c r="F192" s="50" cm="1" t="str">
        <f t="array" ref="F192:F192">OFFSET(E192,-1,1)</f>
        <v>2</v>
      </c>
      <c r="G192" s="892"/>
      <c r="H192" s="892"/>
      <c r="I192" s="892"/>
      <c r="J192" s="892"/>
      <c r="K192" s="918" t="str">
        <f>F178&amp;"3komm"</f>
        <v>23komm</v>
      </c>
      <c r="L192" s="922" cm="1" t="str">
        <f t="array" ref="L192:L192">BC192</f>
        <v>0</v>
      </c>
      <c r="M192" s="892"/>
      <c r="N192" s="892"/>
      <c r="O192" s="892"/>
      <c r="P192" s="892"/>
      <c r="Q192" s="892"/>
      <c r="R192" s="892"/>
      <c r="S192" s="892"/>
      <c r="T192" s="468" cm="1" t="str">
        <f t="array" ref="T192:T192">T191</f>
        <v>true</v>
      </c>
      <c r="U192" s="892"/>
      <c r="V192" s="892"/>
      <c r="W192" s="892"/>
      <c r="X192" s="1469"/>
      <c r="Y192" s="690"/>
      <c r="Z192" s="1592"/>
      <c r="AA192" s="892"/>
      <c r="AB192" s="207">
        <v>3</v>
      </c>
      <c r="AC192" s="208" t="s">
        <v>1267</v>
      </c>
      <c r="AD192" s="207" t="s">
        <v>936</v>
      </c>
      <c r="AE192" s="209">
        <f>SUMIF(AD195:AD198,AD192,AE195:AE198)</f>
        <v>0</v>
      </c>
      <c r="AF192" s="209">
        <f>SUMIF(AD195:AD198,AD192,AF195:AF198)</f>
        <v>0</v>
      </c>
      <c r="AG192" s="209">
        <f>SUMIF(AD195:AD198,AD192,AG195:AG198)</f>
        <v>0</v>
      </c>
      <c r="AH192" s="209">
        <f>SUMIF(AD195:AD198,AD192,AH195:AH198)</f>
        <v>0</v>
      </c>
      <c r="AI192" s="209">
        <f>SUMIF(AD195:AD198,AD192,AI195:AI198)</f>
        <v>0</v>
      </c>
      <c r="AJ192" s="3200">
        <f>SUMIF(AD195:AD198,AD192,AJ195:AJ198)</f>
        <v>0</v>
      </c>
      <c r="AK192" s="3200">
        <f>SUMIF(AD195:AD198,AD192,AK195:AK198)</f>
        <v>0</v>
      </c>
      <c r="AL192" s="3200">
        <f>SUMIF(AD195:AD198,AD192,AL195:AL198)</f>
        <v>0</v>
      </c>
      <c r="AM192" s="3200">
        <f>SUMIF(AD195:AD198,AD192,AM195:AM198)</f>
        <v>0</v>
      </c>
      <c r="AN192" s="3200">
        <f>SUMIF(AD195:AD198,AD192,AN195:AN198)</f>
        <v>0</v>
      </c>
      <c r="AO192" s="3200">
        <f>SUMIF(AD195:AD198,AD192,AO195:AO198)</f>
        <v>0</v>
      </c>
      <c r="AP192" s="3200">
        <f>SUMIF(AD195:AD198,AD192,AP195:AP198)</f>
        <v>0</v>
      </c>
      <c r="AQ192" s="3200">
        <f>SUMIF(AD195:AD198,AD192,AQ195:AQ198)</f>
        <v>0</v>
      </c>
      <c r="AR192" s="3200">
        <f>SUMIF(AD195:AD198,AD192,AR195:AR198)</f>
        <v>0</v>
      </c>
      <c r="AS192" s="209">
        <f>SUMIF(AD195:AD198,AD192,AS195:AS198)</f>
        <v>0</v>
      </c>
      <c r="AT192" s="3200">
        <f>SUMIF(AD195:AD198,AD192,AT195:AT198)</f>
        <v>0</v>
      </c>
      <c r="AU192" s="3200">
        <f>SUMIF(AD195:AD198,AD192,AU195:AU198)</f>
        <v>0</v>
      </c>
      <c r="AV192" s="3200">
        <f>SUMIF(AD195:AD198,AD192,AV195:AV198)</f>
        <v>0</v>
      </c>
      <c r="AW192" s="3200">
        <f>SUMIF(AD195:AD198,AD192,AW195:AW198)</f>
        <v>0</v>
      </c>
      <c r="AX192" s="3200">
        <f>SUMIF(AD195:AD198,AD192,AX195:AX198)</f>
        <v>0</v>
      </c>
      <c r="AY192" s="3200">
        <f>SUMIF(AD195:AD198,AD192,AY195:AY198)</f>
        <v>0</v>
      </c>
      <c r="AZ192" s="3200">
        <f>SUMIF(AD195:AD198,AD192,AZ195:AZ198)</f>
        <v>0</v>
      </c>
      <c r="BA192" s="3200">
        <f>SUMIF(AD195:AD198,AD192,BA195:BA198)</f>
        <v>0</v>
      </c>
      <c r="BB192" s="3200">
        <f>SUMIF(AD195:AD198,AD192,BB195:BB198)</f>
        <v>0</v>
      </c>
      <c r="BC192" s="196"/>
      <c r="BD192" s="892"/>
      <c r="BE192" s="892"/>
      <c r="BF192" s="1049" t="s">
        <v>1268</v>
      </c>
      <c r="BG192" s="1049"/>
      <c r="BH192" s="1049"/>
      <c r="BI192" s="684"/>
      <c r="BJ192" s="684"/>
    </row>
    <row s="1656" customFormat="1" customHeight="1" ht="0" hidden="1">
      <c r="A193" s="892"/>
      <c r="B193" s="442"/>
      <c r="C193" s="892"/>
      <c r="D193" s="892"/>
      <c r="E193" s="684">
        <v>0</v>
      </c>
      <c r="F193" s="50" cm="1" t="str">
        <f t="array" ref="F193:F193">OFFSET(E193,-1,1)</f>
        <v>2</v>
      </c>
      <c r="G193" s="148" t="s">
        <v>346</v>
      </c>
      <c r="H193" s="892"/>
      <c r="I193" s="892"/>
      <c r="J193" s="892"/>
      <c r="K193" s="918"/>
      <c r="L193" s="922"/>
      <c r="M193" s="892"/>
      <c r="N193" s="892"/>
      <c r="O193" s="892"/>
      <c r="P193" s="892"/>
      <c r="Q193" s="892"/>
      <c r="R193" s="892"/>
      <c r="S193" s="892"/>
      <c r="T193" s="468" t="b">
        <v>0</v>
      </c>
      <c r="U193" s="892"/>
      <c r="V193" s="892"/>
      <c r="W193" s="148" t="s">
        <v>173</v>
      </c>
      <c r="X193" s="1469"/>
      <c r="Y193" s="1469">
        <v>0</v>
      </c>
      <c r="Z193" s="1592"/>
      <c r="AA193" s="1594" t="s">
        <v>174</v>
      </c>
      <c r="AB193" s="207"/>
      <c r="AC193" s="208"/>
      <c r="AD193" s="207"/>
      <c r="AE193" s="1448">
        <f>OR(AND(AE195&lt;&gt;"",AE196=""),AND(AE195="",AE196&lt;&gt;""))</f>
        <v>0</v>
      </c>
      <c r="AF193" s="1448">
        <f>OR(AND(AF195&lt;&gt;"",AF196=""),AND(AF195="",AF196&lt;&gt;""))</f>
        <v>0</v>
      </c>
      <c r="AG193" s="1448">
        <f>OR(AND(AG195&lt;&gt;"",AG196=""),AND(AG195="",AG196&lt;&gt;""))</f>
        <v>0</v>
      </c>
      <c r="AH193" s="1448">
        <f>OR(AND(AH195&lt;&gt;"",AH196=""),AND(AH195="",AH196&lt;&gt;""))</f>
        <v>0</v>
      </c>
      <c r="AI193" s="1448">
        <f>OR(AND(AI195&lt;&gt;"",AI196=""),AND(AI195="",AI196&lt;&gt;""))</f>
        <v>0</v>
      </c>
      <c r="AJ193" s="1448">
        <f>OR(AND(AJ195&lt;&gt;"",AJ196=""),AND(AJ195="",AJ196&lt;&gt;""))</f>
        <v>0</v>
      </c>
      <c r="AK193" s="1448">
        <f>OR(AND(AK195&lt;&gt;"",AK196=""),AND(AK195="",AK196&lt;&gt;""))</f>
        <v>0</v>
      </c>
      <c r="AL193" s="1448">
        <f>OR(AND(AL195&lt;&gt;"",AL196=""),AND(AL195="",AL196&lt;&gt;""))</f>
        <v>0</v>
      </c>
      <c r="AM193" s="1448">
        <f>OR(AND(AM195&lt;&gt;"",AM196=""),AND(AM195="",AM196&lt;&gt;""))</f>
        <v>0</v>
      </c>
      <c r="AN193" s="1448">
        <f>OR(AND(AN195&lt;&gt;"",AN196=""),AND(AN195="",AN196&lt;&gt;""))</f>
        <v>0</v>
      </c>
      <c r="AO193" s="1448">
        <f>OR(AND(AO195&lt;&gt;"",AO196=""),AND(AO195="",AO196&lt;&gt;""))</f>
        <v>0</v>
      </c>
      <c r="AP193" s="1448">
        <f>OR(AND(AP195&lt;&gt;"",AP196=""),AND(AP195="",AP196&lt;&gt;""))</f>
        <v>0</v>
      </c>
      <c r="AQ193" s="1448">
        <f>OR(AND(AQ195&lt;&gt;"",AQ196=""),AND(AQ195="",AQ196&lt;&gt;""))</f>
        <v>0</v>
      </c>
      <c r="AR193" s="1448">
        <f>OR(AND(AR195&lt;&gt;"",AR196=""),AND(AR195="",AR196&lt;&gt;""))</f>
        <v>0</v>
      </c>
      <c r="AS193" s="1448">
        <f>OR(AND(AS195&lt;&gt;"",AS196=""),AND(AS195="",AS196&lt;&gt;""))</f>
        <v>0</v>
      </c>
      <c r="AT193" s="1448">
        <f>OR(AND(AT195&lt;&gt;"",AT196=""),AND(AT195="",AT196&lt;&gt;""))</f>
        <v>0</v>
      </c>
      <c r="AU193" s="1448">
        <f>OR(AND(AU195&lt;&gt;"",AU196=""),AND(AU195="",AU196&lt;&gt;""))</f>
        <v>0</v>
      </c>
      <c r="AV193" s="1448">
        <f>OR(AND(AV195&lt;&gt;"",AV196=""),AND(AV195="",AV196&lt;&gt;""))</f>
        <v>0</v>
      </c>
      <c r="AW193" s="1448">
        <f>OR(AND(AW195&lt;&gt;"",AW196=""),AND(AW195="",AW196&lt;&gt;""))</f>
        <v>0</v>
      </c>
      <c r="AX193" s="1448">
        <f>OR(AND(AX195&lt;&gt;"",AX196=""),AND(AX195="",AX196&lt;&gt;""))</f>
        <v>0</v>
      </c>
      <c r="AY193" s="1448">
        <f>OR(AND(AY195&lt;&gt;"",AY196=""),AND(AY195="",AY196&lt;&gt;""))</f>
        <v>0</v>
      </c>
      <c r="AZ193" s="1448">
        <f>OR(AND(AZ195&lt;&gt;"",AZ196=""),AND(AZ195="",AZ196&lt;&gt;""))</f>
        <v>0</v>
      </c>
      <c r="BA193" s="1448">
        <f>OR(AND(BA195&lt;&gt;"",BA196=""),AND(BA195="",BA196&lt;&gt;""))</f>
        <v>0</v>
      </c>
      <c r="BB193" s="1448">
        <f>OR(AND(BB195&lt;&gt;"",BB196=""),AND(BB195="",BB196&lt;&gt;""))</f>
        <v>0</v>
      </c>
      <c r="BC193" s="982"/>
      <c r="BD193" s="892"/>
      <c r="BE193" s="892"/>
      <c r="BF193" s="1049"/>
      <c r="BG193" s="1049"/>
      <c r="BH193" s="1049"/>
      <c r="BI193" s="684"/>
      <c r="BJ193" s="684"/>
    </row>
    <row customHeight="1" ht="14.625" hidden="1">
      <c r="A194" s="892"/>
      <c r="B194" s="442"/>
      <c r="C194" s="892"/>
      <c r="D194" s="892"/>
      <c r="E194" s="684">
        <v>15</v>
      </c>
      <c r="F194" s="1326" cm="1" t="str">
        <f t="array" ref="F194:F194">OFFSET(E194,-1,1)</f>
        <v>2</v>
      </c>
      <c r="G194" s="892"/>
      <c r="H194" s="892"/>
      <c r="I194" s="892"/>
      <c r="J194" s="892"/>
      <c r="K194" s="918"/>
      <c r="L194" s="922"/>
      <c r="M194" s="892"/>
      <c r="N194" s="892"/>
      <c r="O194" s="892"/>
      <c r="P194" s="892"/>
      <c r="Q194" s="892"/>
      <c r="R194" s="892"/>
      <c r="S194" s="892"/>
      <c r="T194" s="1436">
        <f>AND(Y193&gt;0,F194&gt;0)</f>
        <v>0</v>
      </c>
      <c r="U194" s="892"/>
      <c r="V194" s="892"/>
      <c r="W194" s="892"/>
      <c r="X194" s="690"/>
      <c r="Y194" s="1469"/>
      <c r="Z194" s="892"/>
      <c r="AA194" s="3203"/>
      <c r="AB194" s="3204" t="str">
        <f>"3."&amp;Y193</f>
        <v>3.0</v>
      </c>
      <c r="AC194" s="3205" t="s">
        <v>240</v>
      </c>
      <c r="AD194" s="3206"/>
      <c r="AE194" s="3207"/>
      <c r="AF194" s="3208"/>
      <c r="AG194" s="3207"/>
      <c r="AH194" s="3207"/>
      <c r="AI194" s="3207"/>
      <c r="AJ194" s="3207"/>
      <c r="AK194" s="3207"/>
      <c r="AL194" s="3207"/>
      <c r="AM194" s="3207"/>
      <c r="AN194" s="3207"/>
      <c r="AO194" s="3207"/>
      <c r="AP194" s="3207"/>
      <c r="AQ194" s="3207"/>
      <c r="AR194" s="3207"/>
      <c r="AS194" s="3208"/>
      <c r="AT194" s="3208"/>
      <c r="AU194" s="3208"/>
      <c r="AV194" s="3208"/>
      <c r="AW194" s="3208"/>
      <c r="AX194" s="3208"/>
      <c r="AY194" s="3208"/>
      <c r="AZ194" s="3208"/>
      <c r="BA194" s="3208"/>
      <c r="BB194" s="3209"/>
      <c r="BC194" s="3210"/>
      <c r="BD194" s="892"/>
      <c r="BE194" s="892"/>
      <c r="BF194" s="1049"/>
      <c r="BG194" s="1049"/>
      <c r="BH194" s="1049"/>
      <c r="BI194" s="684"/>
      <c r="BJ194" s="684"/>
    </row>
    <row s="1656" customFormat="1" customHeight="1" ht="14.25" hidden="1">
      <c r="A195" s="892"/>
      <c r="B195" s="442"/>
      <c r="C195" s="892"/>
      <c r="D195" s="892"/>
      <c r="E195" s="684">
        <v>15</v>
      </c>
      <c r="F195" s="50" cm="1" t="str">
        <f t="array" ref="F195:F195">OFFSET(E195,-1,1)</f>
        <v>2</v>
      </c>
      <c r="G195" s="148" t="s">
        <v>346</v>
      </c>
      <c r="H195" s="151" cm="1" t="str">
        <f t="array" ref="H195:H195">AC195</f>
        <v>Затраты</v>
      </c>
      <c r="I195" s="148" t="s">
        <v>1269</v>
      </c>
      <c r="J195" s="892"/>
      <c r="K195" s="918"/>
      <c r="L195" s="892"/>
      <c r="M195" s="892"/>
      <c r="N195" s="892"/>
      <c r="O195" s="892"/>
      <c r="P195" s="892"/>
      <c r="Q195" s="892"/>
      <c r="R195" s="892"/>
      <c r="S195" s="892"/>
      <c r="T195" s="468" cm="1" t="str">
        <f t="array" ref="T195:T195">T194</f>
        <v>false</v>
      </c>
      <c r="U195" s="892"/>
      <c r="V195" s="892"/>
      <c r="W195" s="892"/>
      <c r="X195" s="1469"/>
      <c r="Y195" s="1469"/>
      <c r="Z195" s="1592"/>
      <c r="AA195" s="1594"/>
      <c r="AB195" s="84" t="str">
        <f>AB194&amp;".1"</f>
        <v>3.0.1</v>
      </c>
      <c r="AC195" s="3211" t="s">
        <v>1251</v>
      </c>
      <c r="AD195" s="207" t="s">
        <v>936</v>
      </c>
      <c r="AE195" s="3109"/>
      <c r="AF195" s="3109"/>
      <c r="AG195" s="3109"/>
      <c r="AH195" s="3109"/>
      <c r="AI195" s="3109"/>
      <c r="AJ195" s="3109"/>
      <c r="AK195" s="3109"/>
      <c r="AL195" s="3109"/>
      <c r="AM195" s="3109"/>
      <c r="AN195" s="3109"/>
      <c r="AO195" s="3109"/>
      <c r="AP195" s="3109"/>
      <c r="AQ195" s="3109"/>
      <c r="AR195" s="3109"/>
      <c r="AS195" s="3109"/>
      <c r="AT195" s="3109"/>
      <c r="AU195" s="3109"/>
      <c r="AV195" s="3109"/>
      <c r="AW195" s="3109"/>
      <c r="AX195" s="3109"/>
      <c r="AY195" s="3109"/>
      <c r="AZ195" s="3109"/>
      <c r="BA195" s="3109"/>
      <c r="BB195" s="3109"/>
      <c r="BC195" s="1928"/>
      <c r="BD195" s="892"/>
      <c r="BE195" s="892"/>
      <c r="BF195" s="1049" t="s">
        <v>1252</v>
      </c>
      <c r="BG195" s="1049" t="s">
        <v>1270</v>
      </c>
      <c r="BH195" s="1049" cm="1" t="str">
        <f t="array" ref="BH195:BH195">AC194</f>
        <v/>
      </c>
      <c r="BI195" s="684"/>
      <c r="BJ195" s="684" t="b">
        <v>1</v>
      </c>
    </row>
    <row s="1656" customFormat="1" customHeight="1" ht="0" hidden="1">
      <c r="A196" s="892"/>
      <c r="B196" s="442"/>
      <c r="C196" s="892"/>
      <c r="D196" s="892"/>
      <c r="E196" s="684">
        <v>15</v>
      </c>
      <c r="F196" s="50" cm="1" t="str">
        <f t="array" ref="F196:F196">OFFSET(E196,-1,1)</f>
        <v>2</v>
      </c>
      <c r="G196" s="148" t="s">
        <v>1097</v>
      </c>
      <c r="H196" s="151" cm="1" t="str">
        <f t="array" ref="H196:H196">H195</f>
        <v>Затраты</v>
      </c>
      <c r="I196" s="148" t="s">
        <v>1269</v>
      </c>
      <c r="J196" s="892"/>
      <c r="K196" s="918"/>
      <c r="L196" s="892"/>
      <c r="M196" s="892"/>
      <c r="N196" s="892"/>
      <c r="O196" s="892"/>
      <c r="P196" s="892"/>
      <c r="Q196" s="892"/>
      <c r="R196" s="892"/>
      <c r="S196" s="892"/>
      <c r="T196" s="468" cm="1" t="str">
        <f t="array" ref="T196:T196">T195</f>
        <v>false</v>
      </c>
      <c r="U196" s="892"/>
      <c r="V196" s="892"/>
      <c r="W196" s="892"/>
      <c r="X196" s="1469"/>
      <c r="Y196" s="1469"/>
      <c r="Z196" s="1592"/>
      <c r="AA196" s="1594"/>
      <c r="AB196" s="84" t="str">
        <f>AB195&amp;".1"</f>
        <v>3.0.1.1</v>
      </c>
      <c r="AC196" s="217" t="s">
        <v>1271</v>
      </c>
      <c r="AD196" s="84" t="s">
        <v>657</v>
      </c>
      <c r="AE196" s="3109"/>
      <c r="AF196" s="3109"/>
      <c r="AG196" s="3109"/>
      <c r="AH196" s="3109"/>
      <c r="AI196" s="3109"/>
      <c r="AJ196" s="3109"/>
      <c r="AK196" s="3109"/>
      <c r="AL196" s="3109"/>
      <c r="AM196" s="3109"/>
      <c r="AN196" s="3109"/>
      <c r="AO196" s="3109"/>
      <c r="AP196" s="3109"/>
      <c r="AQ196" s="3109"/>
      <c r="AR196" s="3109"/>
      <c r="AS196" s="3109"/>
      <c r="AT196" s="3109"/>
      <c r="AU196" s="3109"/>
      <c r="AV196" s="3109"/>
      <c r="AW196" s="3109"/>
      <c r="AX196" s="3109"/>
      <c r="AY196" s="3109"/>
      <c r="AZ196" s="3109"/>
      <c r="BA196" s="3109"/>
      <c r="BB196" s="3109"/>
      <c r="BC196" s="1928"/>
      <c r="BD196" s="892"/>
      <c r="BE196" s="892"/>
      <c r="BF196" s="1049" t="s">
        <v>1255</v>
      </c>
      <c r="BG196" s="1049" t="s">
        <v>1270</v>
      </c>
      <c r="BH196" s="1049" cm="1" t="str">
        <f t="array" ref="BH196:BH196">BH195</f>
        <v/>
      </c>
      <c r="BI196" s="684"/>
      <c r="BJ196" s="684"/>
    </row>
    <row customHeight="1" ht="14.625" hidden="1">
      <c r="A197" s="892"/>
      <c r="B197" s="442"/>
      <c r="C197" s="892"/>
      <c r="D197" s="892"/>
      <c r="E197" s="684">
        <v>15</v>
      </c>
      <c r="F197" s="1326" cm="1" t="str">
        <f t="array" ref="F197:F197">OFFSET(E197,-1,1)</f>
        <v>2</v>
      </c>
      <c r="G197" s="892"/>
      <c r="H197" s="151"/>
      <c r="I197" s="892"/>
      <c r="J197" s="892"/>
      <c r="K197" s="918"/>
      <c r="L197" s="892"/>
      <c r="M197" s="892"/>
      <c r="N197" s="892"/>
      <c r="O197" s="892"/>
      <c r="P197" s="892"/>
      <c r="Q197" s="892"/>
      <c r="R197" s="892"/>
      <c r="S197" s="892"/>
      <c r="T197" s="1436" cm="1" t="str">
        <f t="array" ref="T197:T197">T196</f>
        <v>false</v>
      </c>
      <c r="U197" s="892"/>
      <c r="V197" s="892"/>
      <c r="W197" s="892"/>
      <c r="X197" s="690"/>
      <c r="Y197" s="1469"/>
      <c r="Z197" s="892"/>
      <c r="AA197" s="3203"/>
      <c r="AB197" s="3214" t="str">
        <f>AB195&amp;".2"</f>
        <v>3.0.1.2</v>
      </c>
      <c r="AC197" s="3215" t="s">
        <v>1266</v>
      </c>
      <c r="AD197" s="3214" t="s">
        <v>1257</v>
      </c>
      <c r="AE197" s="3216"/>
      <c r="AF197" s="3216"/>
      <c r="AG197" s="3216"/>
      <c r="AH197" s="3216"/>
      <c r="AI197" s="3216"/>
      <c r="AJ197" s="3216"/>
      <c r="AK197" s="3216"/>
      <c r="AL197" s="3216"/>
      <c r="AM197" s="3216"/>
      <c r="AN197" s="3216"/>
      <c r="AO197" s="3216"/>
      <c r="AP197" s="3216"/>
      <c r="AQ197" s="3216"/>
      <c r="AR197" s="3216"/>
      <c r="AS197" s="3216"/>
      <c r="AT197" s="3216"/>
      <c r="AU197" s="3216"/>
      <c r="AV197" s="3216"/>
      <c r="AW197" s="3216"/>
      <c r="AX197" s="3216"/>
      <c r="AY197" s="3216"/>
      <c r="AZ197" s="3216"/>
      <c r="BA197" s="3216"/>
      <c r="BB197" s="3216"/>
      <c r="BC197" s="3217"/>
      <c r="BD197" s="892"/>
      <c r="BE197" s="892"/>
      <c r="BF197" s="1049" t="s">
        <v>1258</v>
      </c>
      <c r="BG197" s="1049" t="s">
        <v>1270</v>
      </c>
      <c r="BH197" s="3218" cm="1" t="str">
        <f t="array" ref="BH197:BH197">BH196</f>
        <v/>
      </c>
      <c r="BI197" s="684"/>
      <c r="BJ197" s="684"/>
    </row>
    <row s="1656" customFormat="1" customHeight="1" ht="0">
      <c r="A198" s="892"/>
      <c r="B198" s="442"/>
      <c r="C198" s="892"/>
      <c r="D198" s="892"/>
      <c r="E198" s="684">
        <v>15</v>
      </c>
      <c r="F198" s="50" cm="1" t="str">
        <f t="array" ref="F198:F198">OFFSET(E198,-1,1)</f>
        <v>2</v>
      </c>
      <c r="G198" s="892"/>
      <c r="H198" s="148" t="str">
        <f>"!=='не определено' &amp;&amp; row.l3 !== null"</f>
        <v>!=='не определено' &amp;&amp; row.l3 !== null</v>
      </c>
      <c r="I198" s="892"/>
      <c r="J198" s="892"/>
      <c r="K198" s="918"/>
      <c r="L198" s="892"/>
      <c r="M198" s="892"/>
      <c r="N198" s="892"/>
      <c r="O198" s="892"/>
      <c r="P198" s="892"/>
      <c r="Q198" s="892"/>
      <c r="R198" s="892"/>
      <c r="S198" s="892"/>
      <c r="T198" s="468">
        <f>F198&gt;0</f>
        <v>1</v>
      </c>
      <c r="U198" s="892"/>
      <c r="V198" s="892"/>
      <c r="W198" s="691" t="s">
        <v>1272</v>
      </c>
      <c r="X198" s="1469"/>
      <c r="Y198" s="689"/>
      <c r="Z198" s="1592"/>
      <c r="AA198" s="892"/>
      <c r="AB198" s="687"/>
      <c r="AC198" s="228" t="s">
        <v>1260</v>
      </c>
      <c r="AD198" s="228"/>
      <c r="AE198" s="228"/>
      <c r="AF198" s="228"/>
      <c r="AG198" s="228"/>
      <c r="AH198" s="228"/>
      <c r="AI198" s="228"/>
      <c r="AJ198" s="228"/>
      <c r="AK198" s="228"/>
      <c r="AL198" s="228"/>
      <c r="AM198" s="228"/>
      <c r="AN198" s="228"/>
      <c r="AO198" s="228"/>
      <c r="AP198" s="228"/>
      <c r="AQ198" s="228"/>
      <c r="AR198" s="228"/>
      <c r="AS198" s="228"/>
      <c r="AT198" s="228"/>
      <c r="AU198" s="228"/>
      <c r="AV198" s="228"/>
      <c r="AW198" s="228"/>
      <c r="AX198" s="228"/>
      <c r="AY198" s="228"/>
      <c r="AZ198" s="228"/>
      <c r="BA198" s="228"/>
      <c r="BB198" s="228"/>
      <c r="BC198" s="229"/>
      <c r="BD198" s="892"/>
      <c r="BE198" s="892"/>
      <c r="BF198" s="1049"/>
      <c r="BG198" s="1049"/>
      <c r="BH198" s="1049"/>
      <c r="BI198" s="684" t="s">
        <v>1270</v>
      </c>
      <c r="BJ198" s="684"/>
    </row>
    <row s="1656" customFormat="1" customHeight="1" ht="0">
      <c r="A199" s="892"/>
      <c r="B199" s="442"/>
      <c r="C199" s="892"/>
      <c r="D199" s="892"/>
      <c r="E199" s="684">
        <v>23</v>
      </c>
      <c r="F199" s="50" cm="1" t="str">
        <f t="array" ref="F199:F199">OFFSET(E199,-1,1)</f>
        <v>2</v>
      </c>
      <c r="G199" s="892"/>
      <c r="H199" s="892"/>
      <c r="I199" s="892"/>
      <c r="J199" s="892"/>
      <c r="K199" s="918" t="str">
        <f>F178&amp;"4komm"</f>
        <v>24komm</v>
      </c>
      <c r="L199" s="922" cm="1" t="str">
        <f t="array" ref="L199:L199">BC199</f>
        <v>0</v>
      </c>
      <c r="M199" s="892"/>
      <c r="N199" s="892"/>
      <c r="O199" s="892"/>
      <c r="P199" s="892"/>
      <c r="Q199" s="892"/>
      <c r="R199" s="892"/>
      <c r="S199" s="892"/>
      <c r="T199" s="468" cm="1" t="str">
        <f t="array" ref="T199:T199">T198</f>
        <v>true</v>
      </c>
      <c r="U199" s="892"/>
      <c r="V199" s="892"/>
      <c r="W199" s="892"/>
      <c r="X199" s="1469"/>
      <c r="Y199" s="690"/>
      <c r="Z199" s="1592"/>
      <c r="AA199" s="892"/>
      <c r="AB199" s="207">
        <v>4</v>
      </c>
      <c r="AC199" s="208" t="s">
        <v>1273</v>
      </c>
      <c r="AD199" s="207" t="s">
        <v>936</v>
      </c>
      <c r="AE199" s="209">
        <f>SUMIF(AD202:AD205,AD199,AE202:AE205)</f>
        <v>0</v>
      </c>
      <c r="AF199" s="209">
        <f>SUMIF(AD202:AD205,AD199,AF202:AF205)</f>
        <v>0</v>
      </c>
      <c r="AG199" s="209">
        <f>SUMIF(AD202:AD205,AD199,AG202:AG205)</f>
        <v>0</v>
      </c>
      <c r="AH199" s="209">
        <f>SUMIF(AD202:AD205,AD199,AH202:AH205)</f>
        <v>0</v>
      </c>
      <c r="AI199" s="209">
        <f>SUMIF(AD202:AD205,AD199,AI202:AI205)</f>
        <v>0</v>
      </c>
      <c r="AJ199" s="3200">
        <f>SUMIF(AD202:AD205,AD199,AJ202:AJ205)</f>
        <v>0</v>
      </c>
      <c r="AK199" s="3200">
        <f>SUMIF(AD202:AD205,AD199,AK202:AK205)</f>
        <v>0</v>
      </c>
      <c r="AL199" s="3200">
        <f>SUMIF(AD202:AD205,AD199,AL202:AL205)</f>
        <v>0</v>
      </c>
      <c r="AM199" s="3200">
        <f>SUMIF(AD202:AD205,AD199,AM202:AM205)</f>
        <v>0</v>
      </c>
      <c r="AN199" s="3200">
        <f>SUMIF(AD202:AD205,AD199,AN202:AN205)</f>
        <v>0</v>
      </c>
      <c r="AO199" s="3200">
        <f>SUMIF(AD202:AD205,AD199,AO202:AO205)</f>
        <v>0</v>
      </c>
      <c r="AP199" s="3200">
        <f>SUMIF(AD202:AD205,AD199,AP202:AP205)</f>
        <v>0</v>
      </c>
      <c r="AQ199" s="3200">
        <f>SUMIF(AD202:AD205,AD199,AQ202:AQ205)</f>
        <v>0</v>
      </c>
      <c r="AR199" s="3200">
        <f>SUMIF(AD202:AD205,AD199,AR202:AR205)</f>
        <v>0</v>
      </c>
      <c r="AS199" s="209">
        <f>SUMIF(AD202:AD205,AD199,AS202:AS205)</f>
        <v>0</v>
      </c>
      <c r="AT199" s="3200">
        <f>SUMIF(AD202:AD205,AD199,AT202:AT205)</f>
        <v>0</v>
      </c>
      <c r="AU199" s="3200">
        <f>SUMIF(AD202:AD205,AD199,AU202:AU205)</f>
        <v>0</v>
      </c>
      <c r="AV199" s="3200">
        <f>SUMIF(AD202:AD205,AD199,AV202:AV205)</f>
        <v>0</v>
      </c>
      <c r="AW199" s="3200">
        <f>SUMIF(AD202:AD205,AD199,AW202:AW205)</f>
        <v>0</v>
      </c>
      <c r="AX199" s="3200">
        <f>SUMIF(AD202:AD205,AD199,AX202:AX205)</f>
        <v>0</v>
      </c>
      <c r="AY199" s="3200">
        <f>SUMIF(AD202:AD205,AD199,AY202:AY205)</f>
        <v>0</v>
      </c>
      <c r="AZ199" s="3200">
        <f>SUMIF(AD202:AD205,AD199,AZ202:AZ205)</f>
        <v>0</v>
      </c>
      <c r="BA199" s="3200">
        <f>SUMIF(AD202:AD205,AD199,BA202:BA205)</f>
        <v>0</v>
      </c>
      <c r="BB199" s="3200">
        <f>SUMIF(AD202:AD205,AD199,BB202:BB205)</f>
        <v>0</v>
      </c>
      <c r="BC199" s="196"/>
      <c r="BD199" s="892"/>
      <c r="BE199" s="892"/>
      <c r="BF199" s="1049" t="s">
        <v>1274</v>
      </c>
      <c r="BG199" s="1049"/>
      <c r="BH199" s="1049"/>
      <c r="BI199" s="684"/>
      <c r="BJ199" s="684"/>
    </row>
    <row s="1656" customFormat="1" customHeight="1" ht="0" hidden="1">
      <c r="A200" s="892"/>
      <c r="B200" s="442"/>
      <c r="C200" s="892"/>
      <c r="D200" s="892"/>
      <c r="E200" s="684">
        <v>0</v>
      </c>
      <c r="F200" s="50" cm="1" t="str">
        <f t="array" ref="F200:F200">OFFSET(E200,-1,1)</f>
        <v>2</v>
      </c>
      <c r="G200" s="148" t="s">
        <v>348</v>
      </c>
      <c r="H200" s="892"/>
      <c r="I200" s="892"/>
      <c r="J200" s="892"/>
      <c r="K200" s="918"/>
      <c r="L200" s="922"/>
      <c r="M200" s="892"/>
      <c r="N200" s="892"/>
      <c r="O200" s="892"/>
      <c r="P200" s="892"/>
      <c r="Q200" s="892"/>
      <c r="R200" s="892"/>
      <c r="S200" s="892"/>
      <c r="T200" s="468" t="b">
        <v>0</v>
      </c>
      <c r="U200" s="892"/>
      <c r="V200" s="892"/>
      <c r="W200" s="148" t="s">
        <v>173</v>
      </c>
      <c r="X200" s="1469"/>
      <c r="Y200" s="1469">
        <v>0</v>
      </c>
      <c r="Z200" s="1592"/>
      <c r="AA200" s="1594" t="s">
        <v>174</v>
      </c>
      <c r="AB200" s="207"/>
      <c r="AC200" s="208"/>
      <c r="AD200" s="207"/>
      <c r="AE200" s="1448">
        <f>OR(AND(AE202&lt;&gt;"",AE203=""),AND(AE202="",AE203&lt;&gt;""))</f>
        <v>0</v>
      </c>
      <c r="AF200" s="1448">
        <f>OR(AND(AF202&lt;&gt;"",AF203=""),AND(AF202="",AF203&lt;&gt;""))</f>
        <v>0</v>
      </c>
      <c r="AG200" s="1448">
        <f>OR(AND(AG202&lt;&gt;"",AG203=""),AND(AG202="",AG203&lt;&gt;""))</f>
        <v>0</v>
      </c>
      <c r="AH200" s="1448">
        <f>OR(AND(AH202&lt;&gt;"",AH203=""),AND(AH202="",AH203&lt;&gt;""))</f>
        <v>0</v>
      </c>
      <c r="AI200" s="1448">
        <f>OR(AND(AI202&lt;&gt;"",AI203=""),AND(AI202="",AI203&lt;&gt;""))</f>
        <v>0</v>
      </c>
      <c r="AJ200" s="1448">
        <f>OR(AND(AJ202&lt;&gt;"",AJ203=""),AND(AJ202="",AJ203&lt;&gt;""))</f>
        <v>0</v>
      </c>
      <c r="AK200" s="1448">
        <f>OR(AND(AK202&lt;&gt;"",AK203=""),AND(AK202="",AK203&lt;&gt;""))</f>
        <v>0</v>
      </c>
      <c r="AL200" s="1448">
        <f>OR(AND(AL202&lt;&gt;"",AL203=""),AND(AL202="",AL203&lt;&gt;""))</f>
        <v>0</v>
      </c>
      <c r="AM200" s="1448">
        <f>OR(AND(AM202&lt;&gt;"",AM203=""),AND(AM202="",AM203&lt;&gt;""))</f>
        <v>0</v>
      </c>
      <c r="AN200" s="1448">
        <f>OR(AND(AN202&lt;&gt;"",AN203=""),AND(AN202="",AN203&lt;&gt;""))</f>
        <v>0</v>
      </c>
      <c r="AO200" s="1448">
        <f>OR(AND(AO202&lt;&gt;"",AO203=""),AND(AO202="",AO203&lt;&gt;""))</f>
        <v>0</v>
      </c>
      <c r="AP200" s="1448">
        <f>OR(AND(AP202&lt;&gt;"",AP203=""),AND(AP202="",AP203&lt;&gt;""))</f>
        <v>0</v>
      </c>
      <c r="AQ200" s="1448">
        <f>OR(AND(AQ202&lt;&gt;"",AQ203=""),AND(AQ202="",AQ203&lt;&gt;""))</f>
        <v>0</v>
      </c>
      <c r="AR200" s="1448">
        <f>OR(AND(AR202&lt;&gt;"",AR203=""),AND(AR202="",AR203&lt;&gt;""))</f>
        <v>0</v>
      </c>
      <c r="AS200" s="1448">
        <f>OR(AND(AS202&lt;&gt;"",AS203=""),AND(AS202="",AS203&lt;&gt;""))</f>
        <v>0</v>
      </c>
      <c r="AT200" s="1448">
        <f>OR(AND(AT202&lt;&gt;"",AT203=""),AND(AT202="",AT203&lt;&gt;""))</f>
        <v>0</v>
      </c>
      <c r="AU200" s="1448">
        <f>OR(AND(AU202&lt;&gt;"",AU203=""),AND(AU202="",AU203&lt;&gt;""))</f>
        <v>0</v>
      </c>
      <c r="AV200" s="1448">
        <f>OR(AND(AV202&lt;&gt;"",AV203=""),AND(AV202="",AV203&lt;&gt;""))</f>
        <v>0</v>
      </c>
      <c r="AW200" s="1448">
        <f>OR(AND(AW202&lt;&gt;"",AW203=""),AND(AW202="",AW203&lt;&gt;""))</f>
        <v>0</v>
      </c>
      <c r="AX200" s="1448">
        <f>OR(AND(AX202&lt;&gt;"",AX203=""),AND(AX202="",AX203&lt;&gt;""))</f>
        <v>0</v>
      </c>
      <c r="AY200" s="1448">
        <f>OR(AND(AY202&lt;&gt;"",AY203=""),AND(AY202="",AY203&lt;&gt;""))</f>
        <v>0</v>
      </c>
      <c r="AZ200" s="1448">
        <f>OR(AND(AZ202&lt;&gt;"",AZ203=""),AND(AZ202="",AZ203&lt;&gt;""))</f>
        <v>0</v>
      </c>
      <c r="BA200" s="1448">
        <f>OR(AND(BA202&lt;&gt;"",BA203=""),AND(BA202="",BA203&lt;&gt;""))</f>
        <v>0</v>
      </c>
      <c r="BB200" s="1448">
        <f>OR(AND(BB202&lt;&gt;"",BB203=""),AND(BB202="",BB203&lt;&gt;""))</f>
        <v>0</v>
      </c>
      <c r="BC200" s="982"/>
      <c r="BD200" s="892"/>
      <c r="BE200" s="892"/>
      <c r="BF200" s="1049"/>
      <c r="BG200" s="1049"/>
      <c r="BH200" s="1049"/>
      <c r="BI200" s="684"/>
      <c r="BJ200" s="684"/>
    </row>
    <row customHeight="1" ht="14.625" hidden="1">
      <c r="A201" s="892"/>
      <c r="B201" s="442"/>
      <c r="C201" s="892"/>
      <c r="D201" s="892"/>
      <c r="E201" s="684">
        <v>15</v>
      </c>
      <c r="F201" s="1326" cm="1" t="str">
        <f t="array" ref="F201:F201">OFFSET(E201,-1,1)</f>
        <v>2</v>
      </c>
      <c r="G201" s="892"/>
      <c r="H201" s="892"/>
      <c r="I201" s="892"/>
      <c r="J201" s="892"/>
      <c r="K201" s="918"/>
      <c r="L201" s="922"/>
      <c r="M201" s="892"/>
      <c r="N201" s="892"/>
      <c r="O201" s="892"/>
      <c r="P201" s="892"/>
      <c r="Q201" s="892"/>
      <c r="R201" s="892"/>
      <c r="S201" s="892"/>
      <c r="T201" s="1436">
        <f>AND(Y200&gt;0,F201&gt;0)</f>
        <v>0</v>
      </c>
      <c r="U201" s="892"/>
      <c r="V201" s="892"/>
      <c r="W201" s="892"/>
      <c r="X201" s="690"/>
      <c r="Y201" s="1469"/>
      <c r="Z201" s="892"/>
      <c r="AA201" s="3203"/>
      <c r="AB201" s="3204" t="str">
        <f>"4."&amp;Y200</f>
        <v>4.0</v>
      </c>
      <c r="AC201" s="3205" t="s">
        <v>240</v>
      </c>
      <c r="AD201" s="3206"/>
      <c r="AE201" s="3207"/>
      <c r="AF201" s="3208"/>
      <c r="AG201" s="3207"/>
      <c r="AH201" s="3207"/>
      <c r="AI201" s="3207"/>
      <c r="AJ201" s="3207"/>
      <c r="AK201" s="3207"/>
      <c r="AL201" s="3207"/>
      <c r="AM201" s="3207"/>
      <c r="AN201" s="3207"/>
      <c r="AO201" s="3207"/>
      <c r="AP201" s="3207"/>
      <c r="AQ201" s="3207"/>
      <c r="AR201" s="3207"/>
      <c r="AS201" s="3208"/>
      <c r="AT201" s="3208"/>
      <c r="AU201" s="3208"/>
      <c r="AV201" s="3208"/>
      <c r="AW201" s="3208"/>
      <c r="AX201" s="3208"/>
      <c r="AY201" s="3208"/>
      <c r="AZ201" s="3208"/>
      <c r="BA201" s="3208"/>
      <c r="BB201" s="3209"/>
      <c r="BC201" s="3210"/>
      <c r="BD201" s="892"/>
      <c r="BE201" s="892"/>
      <c r="BF201" s="1049"/>
      <c r="BG201" s="1049"/>
      <c r="BH201" s="1049"/>
      <c r="BI201" s="684"/>
      <c r="BJ201" s="684"/>
    </row>
    <row s="1656" customFormat="1" customHeight="1" ht="14.25" hidden="1">
      <c r="A202" s="892"/>
      <c r="B202" s="442"/>
      <c r="C202" s="892"/>
      <c r="D202" s="892"/>
      <c r="E202" s="684">
        <v>15</v>
      </c>
      <c r="F202" s="50" cm="1" t="str">
        <f t="array" ref="F202:F202">OFFSET(E202,-1,1)</f>
        <v>2</v>
      </c>
      <c r="G202" s="148" t="s">
        <v>348</v>
      </c>
      <c r="H202" s="151" cm="1" t="str">
        <f t="array" ref="H202:H202">AC202</f>
        <v>Затраты</v>
      </c>
      <c r="I202" s="148" t="s">
        <v>1275</v>
      </c>
      <c r="J202" s="892"/>
      <c r="K202" s="918"/>
      <c r="L202" s="892"/>
      <c r="M202" s="892"/>
      <c r="N202" s="892"/>
      <c r="O202" s="892"/>
      <c r="P202" s="892"/>
      <c r="Q202" s="892"/>
      <c r="R202" s="892"/>
      <c r="S202" s="892"/>
      <c r="T202" s="468" cm="1" t="str">
        <f t="array" ref="T202:T202">T201</f>
        <v>false</v>
      </c>
      <c r="U202" s="892"/>
      <c r="V202" s="892"/>
      <c r="W202" s="892"/>
      <c r="X202" s="1469"/>
      <c r="Y202" s="1469"/>
      <c r="Z202" s="1592"/>
      <c r="AA202" s="1594"/>
      <c r="AB202" s="84" t="str">
        <f>AB201&amp;".1"</f>
        <v>4.0.1</v>
      </c>
      <c r="AC202" s="3211" t="s">
        <v>1251</v>
      </c>
      <c r="AD202" s="207" t="s">
        <v>936</v>
      </c>
      <c r="AE202" s="3109"/>
      <c r="AF202" s="3109"/>
      <c r="AG202" s="3109"/>
      <c r="AH202" s="3109"/>
      <c r="AI202" s="3109"/>
      <c r="AJ202" s="3109"/>
      <c r="AK202" s="3109"/>
      <c r="AL202" s="3109"/>
      <c r="AM202" s="3109"/>
      <c r="AN202" s="3109"/>
      <c r="AO202" s="3109"/>
      <c r="AP202" s="3109"/>
      <c r="AQ202" s="3109"/>
      <c r="AR202" s="3109"/>
      <c r="AS202" s="3109"/>
      <c r="AT202" s="3109"/>
      <c r="AU202" s="3109"/>
      <c r="AV202" s="3109"/>
      <c r="AW202" s="3109"/>
      <c r="AX202" s="3109"/>
      <c r="AY202" s="3109"/>
      <c r="AZ202" s="3109"/>
      <c r="BA202" s="3109"/>
      <c r="BB202" s="3109"/>
      <c r="BC202" s="1928"/>
      <c r="BD202" s="892"/>
      <c r="BE202" s="892"/>
      <c r="BF202" s="1049" t="s">
        <v>1252</v>
      </c>
      <c r="BG202" s="1049" t="s">
        <v>1276</v>
      </c>
      <c r="BH202" s="1049" cm="1" t="str">
        <f t="array" ref="BH202:BH202">AC201</f>
        <v/>
      </c>
      <c r="BI202" s="684"/>
      <c r="BJ202" s="684" t="b">
        <v>1</v>
      </c>
    </row>
    <row s="1656" customFormat="1" customHeight="1" ht="0" hidden="1">
      <c r="A203" s="892"/>
      <c r="B203" s="442"/>
      <c r="C203" s="892"/>
      <c r="D203" s="892"/>
      <c r="E203" s="684">
        <v>15</v>
      </c>
      <c r="F203" s="50" cm="1" t="str">
        <f t="array" ref="F203:F203">OFFSET(E203,-1,1)</f>
        <v>2</v>
      </c>
      <c r="G203" s="148" t="s">
        <v>659</v>
      </c>
      <c r="H203" s="151" cm="1" t="str">
        <f t="array" ref="H203:H203">H202</f>
        <v>Затраты</v>
      </c>
      <c r="I203" s="148" t="s">
        <v>1275</v>
      </c>
      <c r="J203" s="892"/>
      <c r="K203" s="918"/>
      <c r="L203" s="892"/>
      <c r="M203" s="892"/>
      <c r="N203" s="892"/>
      <c r="O203" s="892"/>
      <c r="P203" s="892"/>
      <c r="Q203" s="892"/>
      <c r="R203" s="892"/>
      <c r="S203" s="892"/>
      <c r="T203" s="468" cm="1" t="str">
        <f t="array" ref="T203:T203">T202</f>
        <v>false</v>
      </c>
      <c r="U203" s="892"/>
      <c r="V203" s="892"/>
      <c r="W203" s="892"/>
      <c r="X203" s="1469"/>
      <c r="Y203" s="1469"/>
      <c r="Z203" s="1592"/>
      <c r="AA203" s="1594"/>
      <c r="AB203" s="84" t="str">
        <f>AB202&amp;".1"</f>
        <v>4.0.1.1</v>
      </c>
      <c r="AC203" s="217" t="s">
        <v>1277</v>
      </c>
      <c r="AD203" s="84" t="s">
        <v>657</v>
      </c>
      <c r="AE203" s="3109"/>
      <c r="AF203" s="3109"/>
      <c r="AG203" s="3109"/>
      <c r="AH203" s="3109"/>
      <c r="AI203" s="3109"/>
      <c r="AJ203" s="3109"/>
      <c r="AK203" s="3109"/>
      <c r="AL203" s="3109"/>
      <c r="AM203" s="3109"/>
      <c r="AN203" s="3109"/>
      <c r="AO203" s="3109"/>
      <c r="AP203" s="3109"/>
      <c r="AQ203" s="3109"/>
      <c r="AR203" s="3109"/>
      <c r="AS203" s="3109"/>
      <c r="AT203" s="3109"/>
      <c r="AU203" s="3109"/>
      <c r="AV203" s="3109"/>
      <c r="AW203" s="3109"/>
      <c r="AX203" s="3109"/>
      <c r="AY203" s="3109"/>
      <c r="AZ203" s="3109"/>
      <c r="BA203" s="3109"/>
      <c r="BB203" s="3109"/>
      <c r="BC203" s="1928"/>
      <c r="BD203" s="892"/>
      <c r="BE203" s="892"/>
      <c r="BF203" s="1049" t="s">
        <v>1255</v>
      </c>
      <c r="BG203" s="1049" t="s">
        <v>1276</v>
      </c>
      <c r="BH203" s="1049" cm="1" t="str">
        <f t="array" ref="BH203:BH203">BH202</f>
        <v/>
      </c>
      <c r="BI203" s="684"/>
      <c r="BJ203" s="684"/>
    </row>
    <row customHeight="1" ht="14.625" hidden="1">
      <c r="A204" s="892"/>
      <c r="B204" s="442"/>
      <c r="C204" s="892"/>
      <c r="D204" s="892"/>
      <c r="E204" s="684">
        <v>15</v>
      </c>
      <c r="F204" s="1326" cm="1" t="str">
        <f t="array" ref="F204:F204">OFFSET(E204,-1,1)</f>
        <v>2</v>
      </c>
      <c r="G204" s="892"/>
      <c r="H204" s="151"/>
      <c r="I204" s="892"/>
      <c r="J204" s="892"/>
      <c r="K204" s="918"/>
      <c r="L204" s="892"/>
      <c r="M204" s="892"/>
      <c r="N204" s="892"/>
      <c r="O204" s="892"/>
      <c r="P204" s="892"/>
      <c r="Q204" s="892"/>
      <c r="R204" s="892"/>
      <c r="S204" s="892"/>
      <c r="T204" s="1436" cm="1" t="str">
        <f t="array" ref="T204:T204">T203</f>
        <v>false</v>
      </c>
      <c r="U204" s="892"/>
      <c r="V204" s="892"/>
      <c r="W204" s="892"/>
      <c r="X204" s="690"/>
      <c r="Y204" s="1469"/>
      <c r="Z204" s="892"/>
      <c r="AA204" s="3203"/>
      <c r="AB204" s="3214" t="str">
        <f>AB202&amp;".2"</f>
        <v>4.0.1.2</v>
      </c>
      <c r="AC204" s="3215" t="s">
        <v>1278</v>
      </c>
      <c r="AD204" s="3214" t="s">
        <v>1257</v>
      </c>
      <c r="AE204" s="3216"/>
      <c r="AF204" s="3216"/>
      <c r="AG204" s="3216"/>
      <c r="AH204" s="3216"/>
      <c r="AI204" s="3216"/>
      <c r="AJ204" s="3216"/>
      <c r="AK204" s="3216"/>
      <c r="AL204" s="3216"/>
      <c r="AM204" s="3216"/>
      <c r="AN204" s="3216"/>
      <c r="AO204" s="3216"/>
      <c r="AP204" s="3216"/>
      <c r="AQ204" s="3216"/>
      <c r="AR204" s="3216"/>
      <c r="AS204" s="3216"/>
      <c r="AT204" s="3216"/>
      <c r="AU204" s="3216"/>
      <c r="AV204" s="3216"/>
      <c r="AW204" s="3216"/>
      <c r="AX204" s="3216"/>
      <c r="AY204" s="3216"/>
      <c r="AZ204" s="3216"/>
      <c r="BA204" s="3216"/>
      <c r="BB204" s="3216"/>
      <c r="BC204" s="3217"/>
      <c r="BD204" s="892"/>
      <c r="BE204" s="892"/>
      <c r="BF204" s="1049" t="s">
        <v>1258</v>
      </c>
      <c r="BG204" s="1049" t="s">
        <v>1276</v>
      </c>
      <c r="BH204" s="3218" cm="1" t="str">
        <f t="array" ref="BH204:BH204">BH203</f>
        <v/>
      </c>
      <c r="BI204" s="684"/>
      <c r="BJ204" s="684"/>
    </row>
    <row s="1656" customFormat="1" customHeight="1" ht="0">
      <c r="A205" s="892"/>
      <c r="B205" s="442"/>
      <c r="C205" s="892"/>
      <c r="D205" s="892"/>
      <c r="E205" s="684">
        <v>15</v>
      </c>
      <c r="F205" s="50" cm="1" t="str">
        <f t="array" ref="F205:F205">OFFSET(E205,-1,1)</f>
        <v>2</v>
      </c>
      <c r="G205" s="892"/>
      <c r="H205" s="148" t="str">
        <f>"!=='не определено' &amp;&amp; row.l4 !== null"</f>
        <v>!=='не определено' &amp;&amp; row.l4 !== null</v>
      </c>
      <c r="I205" s="892"/>
      <c r="J205" s="892"/>
      <c r="K205" s="918"/>
      <c r="L205" s="892"/>
      <c r="M205" s="892"/>
      <c r="N205" s="892"/>
      <c r="O205" s="892"/>
      <c r="P205" s="892"/>
      <c r="Q205" s="892"/>
      <c r="R205" s="892"/>
      <c r="S205" s="892"/>
      <c r="T205" s="468">
        <f>F205&gt;0</f>
        <v>1</v>
      </c>
      <c r="U205" s="892"/>
      <c r="V205" s="892"/>
      <c r="W205" s="691" t="s">
        <v>1279</v>
      </c>
      <c r="X205" s="1469"/>
      <c r="Y205" s="689"/>
      <c r="Z205" s="1592"/>
      <c r="AA205" s="892"/>
      <c r="AB205" s="687"/>
      <c r="AC205" s="228" t="s">
        <v>1260</v>
      </c>
      <c r="AD205" s="228"/>
      <c r="AE205" s="228"/>
      <c r="AF205" s="228"/>
      <c r="AG205" s="228"/>
      <c r="AH205" s="228"/>
      <c r="AI205" s="228"/>
      <c r="AJ205" s="228"/>
      <c r="AK205" s="228"/>
      <c r="AL205" s="228"/>
      <c r="AM205" s="228"/>
      <c r="AN205" s="228"/>
      <c r="AO205" s="228"/>
      <c r="AP205" s="228"/>
      <c r="AQ205" s="228"/>
      <c r="AR205" s="228"/>
      <c r="AS205" s="228"/>
      <c r="AT205" s="228"/>
      <c r="AU205" s="228"/>
      <c r="AV205" s="228"/>
      <c r="AW205" s="228"/>
      <c r="AX205" s="228"/>
      <c r="AY205" s="228"/>
      <c r="AZ205" s="228"/>
      <c r="BA205" s="228"/>
      <c r="BB205" s="228"/>
      <c r="BC205" s="229"/>
      <c r="BD205" s="892"/>
      <c r="BE205" s="892"/>
      <c r="BF205" s="1049"/>
      <c r="BG205" s="1049"/>
      <c r="BH205" s="1049"/>
      <c r="BI205" s="684" t="s">
        <v>1276</v>
      </c>
      <c r="BJ205" s="684"/>
    </row>
    <row s="1656" customFormat="1" customHeight="1" ht="0">
      <c r="A206" s="892"/>
      <c r="B206" s="442"/>
      <c r="C206" s="892"/>
      <c r="D206" s="892"/>
      <c r="E206" s="684">
        <v>23</v>
      </c>
      <c r="F206" s="50" cm="1" t="str">
        <f t="array" ref="F206:F206">OFFSET(E206,-1,1)</f>
        <v>2</v>
      </c>
      <c r="G206" s="892"/>
      <c r="H206" s="892"/>
      <c r="I206" s="892"/>
      <c r="J206" s="892"/>
      <c r="K206" s="918" t="str">
        <f>F178&amp;"5komm"</f>
        <v>25komm</v>
      </c>
      <c r="L206" s="922" cm="1" t="str">
        <f t="array" ref="L206:L206">BC206</f>
        <v>0</v>
      </c>
      <c r="M206" s="892"/>
      <c r="N206" s="892"/>
      <c r="O206" s="892"/>
      <c r="P206" s="892"/>
      <c r="Q206" s="892"/>
      <c r="R206" s="892"/>
      <c r="S206" s="892"/>
      <c r="T206" s="468" cm="1" t="str">
        <f t="array" ref="T206:T206">T205</f>
        <v>true</v>
      </c>
      <c r="U206" s="892"/>
      <c r="V206" s="892"/>
      <c r="W206" s="892"/>
      <c r="X206" s="1469"/>
      <c r="Y206" s="690"/>
      <c r="Z206" s="1592"/>
      <c r="AA206" s="892"/>
      <c r="AB206" s="207">
        <v>5</v>
      </c>
      <c r="AC206" s="208" t="s">
        <v>1280</v>
      </c>
      <c r="AD206" s="207" t="s">
        <v>936</v>
      </c>
      <c r="AE206" s="209">
        <f>SUMIF(AD209:AD212,AD206,AE209:AE212)</f>
        <v>0</v>
      </c>
      <c r="AF206" s="209">
        <f>SUMIF(AD209:AD212,AD206,AF209:AF212)</f>
        <v>0</v>
      </c>
      <c r="AG206" s="209">
        <f>SUMIF(AD209:AD212,AD206,AG209:AG212)</f>
        <v>0</v>
      </c>
      <c r="AH206" s="209">
        <f>SUMIF(AD209:AD212,AD206,AH209:AH212)</f>
        <v>0</v>
      </c>
      <c r="AI206" s="209">
        <f>SUMIF(AD209:AD212,AD206,AI209:AI212)</f>
        <v>0</v>
      </c>
      <c r="AJ206" s="3200">
        <f>SUMIF(AD209:AD212,AD206,AJ209:AJ212)</f>
        <v>0</v>
      </c>
      <c r="AK206" s="3200">
        <f>SUMIF(AD209:AD212,AD206,AK209:AK212)</f>
        <v>0</v>
      </c>
      <c r="AL206" s="3200">
        <f>SUMIF(AD209:AD212,AD206,AL209:AL212)</f>
        <v>0</v>
      </c>
      <c r="AM206" s="3200">
        <f>SUMIF(AD209:AD212,AD206,AM209:AM212)</f>
        <v>0</v>
      </c>
      <c r="AN206" s="3200">
        <f>SUMIF(AD209:AD212,AD206,AN209:AN212)</f>
        <v>0</v>
      </c>
      <c r="AO206" s="3200">
        <f>SUMIF(AD209:AD212,AD206,AO209:AO212)</f>
        <v>0</v>
      </c>
      <c r="AP206" s="3200">
        <f>SUMIF(AD209:AD212,AD206,AP209:AP212)</f>
        <v>0</v>
      </c>
      <c r="AQ206" s="3200">
        <f>SUMIF(AD209:AD212,AD206,AQ209:AQ212)</f>
        <v>0</v>
      </c>
      <c r="AR206" s="3200">
        <f>SUMIF(AD209:AD212,AD206,AR209:AR212)</f>
        <v>0</v>
      </c>
      <c r="AS206" s="209">
        <f>SUMIF(AD209:AD212,AD206,AS209:AS212)</f>
        <v>0</v>
      </c>
      <c r="AT206" s="3200">
        <f>SUMIF(AD209:AD212,AD206,AT209:AT212)</f>
        <v>0</v>
      </c>
      <c r="AU206" s="3200">
        <f>SUMIF(AD209:AD212,AD206,AU209:AU212)</f>
        <v>0</v>
      </c>
      <c r="AV206" s="3200">
        <f>SUMIF(AD209:AD212,AD206,AV209:AV212)</f>
        <v>0</v>
      </c>
      <c r="AW206" s="3200">
        <f>SUMIF(AD209:AD212,AD206,AW209:AW212)</f>
        <v>0</v>
      </c>
      <c r="AX206" s="3200">
        <f>SUMIF(AD209:AD212,AD206,AX209:AX212)</f>
        <v>0</v>
      </c>
      <c r="AY206" s="3200">
        <f>SUMIF(AD209:AD212,AD206,AY209:AY212)</f>
        <v>0</v>
      </c>
      <c r="AZ206" s="3200">
        <f>SUMIF(AD209:AD212,AD206,AZ209:AZ212)</f>
        <v>0</v>
      </c>
      <c r="BA206" s="3200">
        <f>SUMIF(AD209:AD212,AD206,BA209:BA212)</f>
        <v>0</v>
      </c>
      <c r="BB206" s="3200">
        <f>SUMIF(AD209:AD212,AD206,BB209:BB212)</f>
        <v>0</v>
      </c>
      <c r="BC206" s="196"/>
      <c r="BD206" s="892"/>
      <c r="BE206" s="892"/>
      <c r="BF206" s="1049" t="s">
        <v>1281</v>
      </c>
      <c r="BG206" s="1049"/>
      <c r="BH206" s="1049"/>
      <c r="BI206" s="684"/>
      <c r="BJ206" s="684"/>
    </row>
    <row s="1656" customFormat="1" customHeight="1" ht="0" hidden="1">
      <c r="A207" s="892"/>
      <c r="B207" s="442"/>
      <c r="C207" s="892"/>
      <c r="D207" s="892"/>
      <c r="E207" s="684">
        <v>0</v>
      </c>
      <c r="F207" s="50" cm="1" t="str">
        <f t="array" ref="F207:F207">OFFSET(E207,-1,1)</f>
        <v>2</v>
      </c>
      <c r="G207" s="148" t="s">
        <v>347</v>
      </c>
      <c r="H207" s="892"/>
      <c r="I207" s="892"/>
      <c r="J207" s="892"/>
      <c r="K207" s="918"/>
      <c r="L207" s="922"/>
      <c r="M207" s="892"/>
      <c r="N207" s="892"/>
      <c r="O207" s="892"/>
      <c r="P207" s="892"/>
      <c r="Q207" s="892"/>
      <c r="R207" s="892"/>
      <c r="S207" s="892"/>
      <c r="T207" s="468" t="b">
        <v>0</v>
      </c>
      <c r="U207" s="892"/>
      <c r="V207" s="892"/>
      <c r="W207" s="148" t="s">
        <v>173</v>
      </c>
      <c r="X207" s="1469"/>
      <c r="Y207" s="1469">
        <v>0</v>
      </c>
      <c r="Z207" s="1592"/>
      <c r="AA207" s="1594" t="s">
        <v>174</v>
      </c>
      <c r="AB207" s="207"/>
      <c r="AC207" s="208"/>
      <c r="AD207" s="207"/>
      <c r="AE207" s="1448">
        <f>OR(AND(AE209&lt;&gt;"",AE210=""),AND(AE209="",AE210&lt;&gt;""))</f>
        <v>0</v>
      </c>
      <c r="AF207" s="1448">
        <f>OR(AND(AF209&lt;&gt;"",AF210=""),AND(AF209="",AF210&lt;&gt;""))</f>
        <v>0</v>
      </c>
      <c r="AG207" s="1448">
        <f>OR(AND(AG209&lt;&gt;"",AG210=""),AND(AG209="",AG210&lt;&gt;""))</f>
        <v>0</v>
      </c>
      <c r="AH207" s="1448">
        <f>OR(AND(AH209&lt;&gt;"",AH210=""),AND(AH209="",AH210&lt;&gt;""))</f>
        <v>0</v>
      </c>
      <c r="AI207" s="1448">
        <f>OR(AND(AI209&lt;&gt;"",AI210=""),AND(AI209="",AI210&lt;&gt;""))</f>
        <v>0</v>
      </c>
      <c r="AJ207" s="1448">
        <f>OR(AND(AJ209&lt;&gt;"",AJ210=""),AND(AJ209="",AJ210&lt;&gt;""))</f>
        <v>0</v>
      </c>
      <c r="AK207" s="1448">
        <f>OR(AND(AK209&lt;&gt;"",AK210=""),AND(AK209="",AK210&lt;&gt;""))</f>
        <v>0</v>
      </c>
      <c r="AL207" s="1448">
        <f>OR(AND(AL209&lt;&gt;"",AL210=""),AND(AL209="",AL210&lt;&gt;""))</f>
        <v>0</v>
      </c>
      <c r="AM207" s="1448">
        <f>OR(AND(AM209&lt;&gt;"",AM210=""),AND(AM209="",AM210&lt;&gt;""))</f>
        <v>0</v>
      </c>
      <c r="AN207" s="1448">
        <f>OR(AND(AN209&lt;&gt;"",AN210=""),AND(AN209="",AN210&lt;&gt;""))</f>
        <v>0</v>
      </c>
      <c r="AO207" s="1448">
        <f>OR(AND(AO209&lt;&gt;"",AO210=""),AND(AO209="",AO210&lt;&gt;""))</f>
        <v>0</v>
      </c>
      <c r="AP207" s="1448">
        <f>OR(AND(AP209&lt;&gt;"",AP210=""),AND(AP209="",AP210&lt;&gt;""))</f>
        <v>0</v>
      </c>
      <c r="AQ207" s="1448">
        <f>OR(AND(AQ209&lt;&gt;"",AQ210=""),AND(AQ209="",AQ210&lt;&gt;""))</f>
        <v>0</v>
      </c>
      <c r="AR207" s="1448">
        <f>OR(AND(AR209&lt;&gt;"",AR210=""),AND(AR209="",AR210&lt;&gt;""))</f>
        <v>0</v>
      </c>
      <c r="AS207" s="1448">
        <f>OR(AND(AS209&lt;&gt;"",AS210=""),AND(AS209="",AS210&lt;&gt;""))</f>
        <v>0</v>
      </c>
      <c r="AT207" s="1448">
        <f>OR(AND(AT209&lt;&gt;"",AT210=""),AND(AT209="",AT210&lt;&gt;""))</f>
        <v>0</v>
      </c>
      <c r="AU207" s="1448">
        <f>OR(AND(AU209&lt;&gt;"",AU210=""),AND(AU209="",AU210&lt;&gt;""))</f>
        <v>0</v>
      </c>
      <c r="AV207" s="1448">
        <f>OR(AND(AV209&lt;&gt;"",AV210=""),AND(AV209="",AV210&lt;&gt;""))</f>
        <v>0</v>
      </c>
      <c r="AW207" s="1448">
        <f>OR(AND(AW209&lt;&gt;"",AW210=""),AND(AW209="",AW210&lt;&gt;""))</f>
        <v>0</v>
      </c>
      <c r="AX207" s="1448">
        <f>OR(AND(AX209&lt;&gt;"",AX210=""),AND(AX209="",AX210&lt;&gt;""))</f>
        <v>0</v>
      </c>
      <c r="AY207" s="1448">
        <f>OR(AND(AY209&lt;&gt;"",AY210=""),AND(AY209="",AY210&lt;&gt;""))</f>
        <v>0</v>
      </c>
      <c r="AZ207" s="1448">
        <f>OR(AND(AZ209&lt;&gt;"",AZ210=""),AND(AZ209="",AZ210&lt;&gt;""))</f>
        <v>0</v>
      </c>
      <c r="BA207" s="1448">
        <f>OR(AND(BA209&lt;&gt;"",BA210=""),AND(BA209="",BA210&lt;&gt;""))</f>
        <v>0</v>
      </c>
      <c r="BB207" s="1448">
        <f>OR(AND(BB209&lt;&gt;"",BB210=""),AND(BB209="",BB210&lt;&gt;""))</f>
        <v>0</v>
      </c>
      <c r="BC207" s="982"/>
      <c r="BD207" s="892"/>
      <c r="BE207" s="892"/>
      <c r="BF207" s="1049"/>
      <c r="BG207" s="1049"/>
      <c r="BH207" s="1049"/>
      <c r="BI207" s="684"/>
      <c r="BJ207" s="684"/>
    </row>
    <row customHeight="1" ht="14.625" hidden="1">
      <c r="A208" s="892"/>
      <c r="B208" s="442"/>
      <c r="C208" s="892"/>
      <c r="D208" s="892"/>
      <c r="E208" s="684">
        <v>15</v>
      </c>
      <c r="F208" s="1326" cm="1" t="str">
        <f t="array" ref="F208:F208">OFFSET(E208,-1,1)</f>
        <v>2</v>
      </c>
      <c r="G208" s="892"/>
      <c r="H208" s="892"/>
      <c r="I208" s="892"/>
      <c r="J208" s="892"/>
      <c r="K208" s="918"/>
      <c r="L208" s="922"/>
      <c r="M208" s="892"/>
      <c r="N208" s="892"/>
      <c r="O208" s="892"/>
      <c r="P208" s="892"/>
      <c r="Q208" s="892"/>
      <c r="R208" s="892"/>
      <c r="S208" s="892"/>
      <c r="T208" s="1436">
        <f>AND(Y207&gt;0,F208&gt;0)</f>
        <v>0</v>
      </c>
      <c r="U208" s="892"/>
      <c r="V208" s="892"/>
      <c r="W208" s="892"/>
      <c r="X208" s="690"/>
      <c r="Y208" s="1469"/>
      <c r="Z208" s="892"/>
      <c r="AA208" s="3203"/>
      <c r="AB208" s="3204" t="str">
        <f>"5."&amp;Y207</f>
        <v>5.0</v>
      </c>
      <c r="AC208" s="3205" t="s">
        <v>240</v>
      </c>
      <c r="AD208" s="3206"/>
      <c r="AE208" s="3207"/>
      <c r="AF208" s="3208"/>
      <c r="AG208" s="3207"/>
      <c r="AH208" s="3207"/>
      <c r="AI208" s="3207"/>
      <c r="AJ208" s="3207"/>
      <c r="AK208" s="3207"/>
      <c r="AL208" s="3207"/>
      <c r="AM208" s="3207"/>
      <c r="AN208" s="3207"/>
      <c r="AO208" s="3207"/>
      <c r="AP208" s="3207"/>
      <c r="AQ208" s="3207"/>
      <c r="AR208" s="3207"/>
      <c r="AS208" s="3208"/>
      <c r="AT208" s="3208"/>
      <c r="AU208" s="3208"/>
      <c r="AV208" s="3208"/>
      <c r="AW208" s="3208"/>
      <c r="AX208" s="3208"/>
      <c r="AY208" s="3208"/>
      <c r="AZ208" s="3208"/>
      <c r="BA208" s="3208"/>
      <c r="BB208" s="3209"/>
      <c r="BC208" s="3210"/>
      <c r="BD208" s="892"/>
      <c r="BE208" s="892"/>
      <c r="BF208" s="1049"/>
      <c r="BG208" s="1049"/>
      <c r="BH208" s="1049"/>
      <c r="BI208" s="684"/>
      <c r="BJ208" s="684"/>
    </row>
    <row s="1656" customFormat="1" customHeight="1" ht="14.25" hidden="1">
      <c r="A209" s="892"/>
      <c r="B209" s="442"/>
      <c r="C209" s="892"/>
      <c r="D209" s="892"/>
      <c r="E209" s="684">
        <v>15</v>
      </c>
      <c r="F209" s="50" cm="1" t="str">
        <f t="array" ref="F209:F209">OFFSET(E209,-1,1)</f>
        <v>2</v>
      </c>
      <c r="G209" s="148" t="s">
        <v>347</v>
      </c>
      <c r="H209" s="151" cm="1" t="str">
        <f t="array" ref="H209:H209">AC209</f>
        <v>Затраты</v>
      </c>
      <c r="I209" s="148" t="s">
        <v>1282</v>
      </c>
      <c r="J209" s="892"/>
      <c r="K209" s="918"/>
      <c r="L209" s="892"/>
      <c r="M209" s="892"/>
      <c r="N209" s="892"/>
      <c r="O209" s="892"/>
      <c r="P209" s="892"/>
      <c r="Q209" s="892"/>
      <c r="R209" s="892"/>
      <c r="S209" s="892"/>
      <c r="T209" s="468" cm="1" t="str">
        <f t="array" ref="T209:T209">T208</f>
        <v>false</v>
      </c>
      <c r="U209" s="892"/>
      <c r="V209" s="892"/>
      <c r="W209" s="892"/>
      <c r="X209" s="1469"/>
      <c r="Y209" s="1469"/>
      <c r="Z209" s="1592"/>
      <c r="AA209" s="1594"/>
      <c r="AB209" s="84" t="str">
        <f>AB208&amp;".1"</f>
        <v>5.0.1</v>
      </c>
      <c r="AC209" s="3211" t="s">
        <v>1251</v>
      </c>
      <c r="AD209" s="207" t="s">
        <v>936</v>
      </c>
      <c r="AE209" s="3109"/>
      <c r="AF209" s="3109"/>
      <c r="AG209" s="3109"/>
      <c r="AH209" s="3109"/>
      <c r="AI209" s="3109"/>
      <c r="AJ209" s="3109"/>
      <c r="AK209" s="3109"/>
      <c r="AL209" s="3109"/>
      <c r="AM209" s="3109"/>
      <c r="AN209" s="3109"/>
      <c r="AO209" s="3109"/>
      <c r="AP209" s="3109"/>
      <c r="AQ209" s="3109"/>
      <c r="AR209" s="3109"/>
      <c r="AS209" s="3109"/>
      <c r="AT209" s="3109"/>
      <c r="AU209" s="3109"/>
      <c r="AV209" s="3109"/>
      <c r="AW209" s="3109"/>
      <c r="AX209" s="3109"/>
      <c r="AY209" s="3109"/>
      <c r="AZ209" s="3109"/>
      <c r="BA209" s="3109"/>
      <c r="BB209" s="3109"/>
      <c r="BC209" s="1928"/>
      <c r="BD209" s="892"/>
      <c r="BE209" s="892"/>
      <c r="BF209" s="1049" t="s">
        <v>1252</v>
      </c>
      <c r="BG209" s="1049" t="s">
        <v>1283</v>
      </c>
      <c r="BH209" s="1049" cm="1" t="str">
        <f t="array" ref="BH209:BH209">AC208</f>
        <v/>
      </c>
      <c r="BI209" s="684"/>
      <c r="BJ209" s="684" t="b">
        <v>1</v>
      </c>
    </row>
    <row s="1656" customFormat="1" customHeight="1" ht="0" hidden="1">
      <c r="A210" s="892"/>
      <c r="B210" s="442"/>
      <c r="C210" s="892"/>
      <c r="D210" s="892"/>
      <c r="E210" s="684">
        <v>15</v>
      </c>
      <c r="F210" s="50" cm="1" t="str">
        <f t="array" ref="F210:F210">OFFSET(E210,-1,1)</f>
        <v>2</v>
      </c>
      <c r="G210" s="148" t="s">
        <v>673</v>
      </c>
      <c r="H210" s="151" cm="1" t="str">
        <f t="array" ref="H210:H210">H209</f>
        <v>Затраты</v>
      </c>
      <c r="I210" s="148" t="s">
        <v>1282</v>
      </c>
      <c r="J210" s="892"/>
      <c r="K210" s="918"/>
      <c r="L210" s="892"/>
      <c r="M210" s="892"/>
      <c r="N210" s="892"/>
      <c r="O210" s="892"/>
      <c r="P210" s="892"/>
      <c r="Q210" s="892"/>
      <c r="R210" s="892"/>
      <c r="S210" s="892"/>
      <c r="T210" s="468" cm="1" t="str">
        <f t="array" ref="T210:T210">T209</f>
        <v>false</v>
      </c>
      <c r="U210" s="892"/>
      <c r="V210" s="892"/>
      <c r="W210" s="892"/>
      <c r="X210" s="1469"/>
      <c r="Y210" s="1469"/>
      <c r="Z210" s="1592"/>
      <c r="AA210" s="1594"/>
      <c r="AB210" s="84" t="str">
        <f>AB209&amp;".1"</f>
        <v>5.0.1.1</v>
      </c>
      <c r="AC210" s="217" t="s">
        <v>1284</v>
      </c>
      <c r="AD210" s="84" t="s">
        <v>657</v>
      </c>
      <c r="AE210" s="3109"/>
      <c r="AF210" s="3109"/>
      <c r="AG210" s="3109"/>
      <c r="AH210" s="3109"/>
      <c r="AI210" s="3109"/>
      <c r="AJ210" s="3109"/>
      <c r="AK210" s="3109"/>
      <c r="AL210" s="3109"/>
      <c r="AM210" s="3109"/>
      <c r="AN210" s="3109"/>
      <c r="AO210" s="3109"/>
      <c r="AP210" s="3109"/>
      <c r="AQ210" s="3109"/>
      <c r="AR210" s="3109"/>
      <c r="AS210" s="3109"/>
      <c r="AT210" s="3109"/>
      <c r="AU210" s="3109"/>
      <c r="AV210" s="3109"/>
      <c r="AW210" s="3109"/>
      <c r="AX210" s="3109"/>
      <c r="AY210" s="3109"/>
      <c r="AZ210" s="3109"/>
      <c r="BA210" s="3109"/>
      <c r="BB210" s="3109"/>
      <c r="BC210" s="1928"/>
      <c r="BD210" s="892"/>
      <c r="BE210" s="892"/>
      <c r="BF210" s="1049" t="s">
        <v>1255</v>
      </c>
      <c r="BG210" s="1049" t="s">
        <v>1283</v>
      </c>
      <c r="BH210" s="1049" cm="1" t="str">
        <f t="array" ref="BH210:BH210">BH209</f>
        <v/>
      </c>
      <c r="BI210" s="684"/>
      <c r="BJ210" s="684"/>
    </row>
    <row customHeight="1" ht="14.625" hidden="1">
      <c r="A211" s="892"/>
      <c r="B211" s="442"/>
      <c r="C211" s="892"/>
      <c r="D211" s="892"/>
      <c r="E211" s="684">
        <v>15</v>
      </c>
      <c r="F211" s="1326" cm="1" t="str">
        <f t="array" ref="F211:F211">OFFSET(E211,-1,1)</f>
        <v>2</v>
      </c>
      <c r="G211" s="892"/>
      <c r="H211" s="151"/>
      <c r="I211" s="892"/>
      <c r="J211" s="892"/>
      <c r="K211" s="918"/>
      <c r="L211" s="892"/>
      <c r="M211" s="892"/>
      <c r="N211" s="892"/>
      <c r="O211" s="892"/>
      <c r="P211" s="892"/>
      <c r="Q211" s="892"/>
      <c r="R211" s="892"/>
      <c r="S211" s="892"/>
      <c r="T211" s="1436" cm="1" t="str">
        <f t="array" ref="T211:T211">T210</f>
        <v>false</v>
      </c>
      <c r="U211" s="892"/>
      <c r="V211" s="892"/>
      <c r="W211" s="892"/>
      <c r="X211" s="690"/>
      <c r="Y211" s="1469"/>
      <c r="Z211" s="892"/>
      <c r="AA211" s="3203"/>
      <c r="AB211" s="3214" t="str">
        <f>AB209&amp;".2"</f>
        <v>5.0.1.2</v>
      </c>
      <c r="AC211" s="3215" t="s">
        <v>1285</v>
      </c>
      <c r="AD211" s="3214" t="s">
        <v>1257</v>
      </c>
      <c r="AE211" s="3216"/>
      <c r="AF211" s="3216"/>
      <c r="AG211" s="3216"/>
      <c r="AH211" s="3216"/>
      <c r="AI211" s="3216"/>
      <c r="AJ211" s="3216"/>
      <c r="AK211" s="3216"/>
      <c r="AL211" s="3216"/>
      <c r="AM211" s="3216"/>
      <c r="AN211" s="3216"/>
      <c r="AO211" s="3216"/>
      <c r="AP211" s="3216"/>
      <c r="AQ211" s="3216"/>
      <c r="AR211" s="3216"/>
      <c r="AS211" s="3216"/>
      <c r="AT211" s="3216"/>
      <c r="AU211" s="3216"/>
      <c r="AV211" s="3216"/>
      <c r="AW211" s="3216"/>
      <c r="AX211" s="3216"/>
      <c r="AY211" s="3216"/>
      <c r="AZ211" s="3216"/>
      <c r="BA211" s="3216"/>
      <c r="BB211" s="3216"/>
      <c r="BC211" s="3217"/>
      <c r="BD211" s="892"/>
      <c r="BE211" s="892"/>
      <c r="BF211" s="1049" t="s">
        <v>1258</v>
      </c>
      <c r="BG211" s="1049" t="s">
        <v>1283</v>
      </c>
      <c r="BH211" s="3218" cm="1" t="str">
        <f t="array" ref="BH211:BH211">BH210</f>
        <v/>
      </c>
      <c r="BI211" s="684"/>
      <c r="BJ211" s="684"/>
    </row>
    <row s="1656" customFormat="1" customHeight="1" ht="0">
      <c r="A212" s="892"/>
      <c r="B212" s="442"/>
      <c r="C212" s="892"/>
      <c r="D212" s="892"/>
      <c r="E212" s="684">
        <v>15</v>
      </c>
      <c r="F212" s="50" cm="1" t="str">
        <f t="array" ref="F212:F212">OFFSET(E212,-1,1)</f>
        <v>2</v>
      </c>
      <c r="G212" s="892"/>
      <c r="H212" s="148" t="str">
        <f>"!=='не определено' &amp;&amp; row.l5 !== null"</f>
        <v>!=='не определено' &amp;&amp; row.l5 !== null</v>
      </c>
      <c r="I212" s="892"/>
      <c r="J212" s="892"/>
      <c r="K212" s="918"/>
      <c r="L212" s="892"/>
      <c r="M212" s="892"/>
      <c r="N212" s="892"/>
      <c r="O212" s="892"/>
      <c r="P212" s="892"/>
      <c r="Q212" s="892"/>
      <c r="R212" s="892"/>
      <c r="S212" s="892"/>
      <c r="T212" s="468">
        <f>F212&gt;0</f>
        <v>1</v>
      </c>
      <c r="U212" s="892"/>
      <c r="V212" s="892"/>
      <c r="W212" s="691" t="s">
        <v>1286</v>
      </c>
      <c r="X212" s="1469"/>
      <c r="Y212" s="165"/>
      <c r="Z212" s="1592"/>
      <c r="AA212" s="892"/>
      <c r="AB212" s="687"/>
      <c r="AC212" s="228" t="s">
        <v>1260</v>
      </c>
      <c r="AD212" s="228"/>
      <c r="AE212" s="228"/>
      <c r="AF212" s="228"/>
      <c r="AG212" s="228"/>
      <c r="AH212" s="228"/>
      <c r="AI212" s="228"/>
      <c r="AJ212" s="228"/>
      <c r="AK212" s="228"/>
      <c r="AL212" s="228"/>
      <c r="AM212" s="228"/>
      <c r="AN212" s="228"/>
      <c r="AO212" s="228"/>
      <c r="AP212" s="228"/>
      <c r="AQ212" s="228"/>
      <c r="AR212" s="228"/>
      <c r="AS212" s="228"/>
      <c r="AT212" s="228"/>
      <c r="AU212" s="228"/>
      <c r="AV212" s="228"/>
      <c r="AW212" s="228"/>
      <c r="AX212" s="228"/>
      <c r="AY212" s="228"/>
      <c r="AZ212" s="228"/>
      <c r="BA212" s="228"/>
      <c r="BB212" s="228"/>
      <c r="BC212" s="229"/>
      <c r="BD212" s="892"/>
      <c r="BE212" s="892"/>
      <c r="BF212" s="1049"/>
      <c r="BG212" s="1049"/>
      <c r="BH212" s="1049"/>
      <c r="BI212" s="684" t="s">
        <v>1283</v>
      </c>
      <c r="BJ212" s="684"/>
    </row>
    <row s="149" customFormat="1" customHeight="1" ht="31.171875">
      <c r="A213" s="149"/>
      <c r="B213" s="443"/>
      <c r="C213" s="149"/>
      <c r="D213" s="149"/>
      <c r="E213" s="685">
        <v>15</v>
      </c>
      <c r="F213" s="50" cm="1" t="str">
        <f t="array" ref="F213:F213">OFFSET(E213,-1,1)</f>
        <v>2</v>
      </c>
      <c r="G213" s="148" t="s">
        <v>616</v>
      </c>
      <c r="H213" s="149"/>
      <c r="I213" s="149"/>
      <c r="J213" s="149"/>
      <c r="K213" s="918" t="str">
        <f>F178&amp;"6komm"</f>
        <v>26komm</v>
      </c>
      <c r="L213" s="922" cm="1" t="str">
        <f t="array" ref="L213:L213">BC213</f>
        <v>П. 49 Методических указаний ФСТ России от 27.12.2013 № 1746-э.</v>
      </c>
      <c r="M213" s="149"/>
      <c r="N213" s="149"/>
      <c r="O213" s="149"/>
      <c r="P213" s="149"/>
      <c r="Q213" s="149"/>
      <c r="R213" s="149"/>
      <c r="S213" s="149"/>
      <c r="T213" s="468" cm="1" t="str">
        <f t="array" ref="T213:T213">T212</f>
        <v>true</v>
      </c>
      <c r="U213" s="149"/>
      <c r="V213" s="149"/>
      <c r="W213" s="149"/>
      <c r="X213" s="1469"/>
      <c r="Y213" s="149"/>
      <c r="Z213" s="1592"/>
      <c r="AA213" s="149"/>
      <c r="AB213" s="207">
        <v>6</v>
      </c>
      <c r="AC213" s="208" t="s">
        <v>1287</v>
      </c>
      <c r="AD213" s="207" t="s">
        <v>936</v>
      </c>
      <c r="AE213" s="3231">
        <f>SUMIF($AC216:$AC232,"Затраты на тепловую энергию, всего",AE216:AE232)</f>
        <v>1612.61</v>
      </c>
      <c r="AF213" s="3231">
        <f>SUMIF($AC216:$AC232,"Затраты на тепловую энергию, всего",AF216:AF232)</f>
        <v>961.18</v>
      </c>
      <c r="AG213" s="3231">
        <f>SUMIF($AC216:$AC232,"Затраты на тепловую энергию, всего",AG216:AG232)</f>
        <v>961.18</v>
      </c>
      <c r="AH213" s="3231">
        <f>SUMIF($AC216:$AC232,"Затраты на тепловую энергию, всего",AH216:AH232)</f>
        <v>1873.14</v>
      </c>
      <c r="AI213" s="3231">
        <f>SUMIF($AC216:$AC232,"Затраты на тепловую энергию, всего",AI216:AI232)</f>
        <v>1927.94</v>
      </c>
      <c r="AJ213" s="3232">
        <f>SUMIF($AC216:$AC232,"Затраты на тепловую энергию, всего",AJ216:AJ232)</f>
        <v>0</v>
      </c>
      <c r="AK213" s="3232">
        <f>SUMIF($AC216:$AC232,"Затраты на тепловую энергию, всего",AK216:AK232)</f>
        <v>0</v>
      </c>
      <c r="AL213" s="3232">
        <f>SUMIF($AC216:$AC232,"Затраты на тепловую энергию, всего",AL216:AL232)</f>
        <v>0</v>
      </c>
      <c r="AM213" s="3232">
        <f>SUMIF($AC216:$AC232,"Затраты на тепловую энергию, всего",AM216:AM232)</f>
        <v>0</v>
      </c>
      <c r="AN213" s="3232">
        <f>SUMIF($AC216:$AC232,"Затраты на тепловую энергию, всего",AN216:AN232)</f>
        <v>0</v>
      </c>
      <c r="AO213" s="3232">
        <f>SUMIF($AC216:$AC232,"Затраты на тепловую энергию, всего",AO216:AO232)</f>
        <v>0</v>
      </c>
      <c r="AP213" s="3232">
        <f>SUMIF($AC216:$AC232,"Затраты на тепловую энергию, всего",AP216:AP232)</f>
        <v>0</v>
      </c>
      <c r="AQ213" s="3232">
        <f>SUMIF($AC216:$AC232,"Затраты на тепловую энергию, всего",AQ216:AQ232)</f>
        <v>0</v>
      </c>
      <c r="AR213" s="3232">
        <f>SUMIF($AC216:$AC232,"Затраты на тепловую энергию, всего",AR216:AR232)</f>
        <v>0</v>
      </c>
      <c r="AS213" s="3231">
        <f>SUMIF($AC216:$AC232,"Затраты на тепловую энергию, всего",AS216:AS232)</f>
        <v>1863.77491</v>
      </c>
      <c r="AT213" s="3232">
        <f>SUMIF($AC216:$AC232,"Затраты на тепловую энергию, всего",AT216:AT232)</f>
        <v>0</v>
      </c>
      <c r="AU213" s="3232">
        <f>SUMIF($AC216:$AC232,"Затраты на тепловую энергию, всего",AU216:AU232)</f>
        <v>0</v>
      </c>
      <c r="AV213" s="3232">
        <f>SUMIF($AC216:$AC232,"Затраты на тепловую энергию, всего",AV216:AV232)</f>
        <v>0</v>
      </c>
      <c r="AW213" s="3232">
        <f>SUMIF($AC216:$AC232,"Затраты на тепловую энергию, всего",AW216:AW232)</f>
        <v>0</v>
      </c>
      <c r="AX213" s="3232">
        <f>SUMIF($AC216:$AC232,"Затраты на тепловую энергию, всего",AX216:AX232)</f>
        <v>0</v>
      </c>
      <c r="AY213" s="3232">
        <f>SUMIF($AC216:$AC232,"Затраты на тепловую энергию, всего",AY216:AY232)</f>
        <v>0</v>
      </c>
      <c r="AZ213" s="3232">
        <f>SUMIF($AC216:$AC232,"Затраты на тепловую энергию, всего",AZ216:AZ232)</f>
        <v>0</v>
      </c>
      <c r="BA213" s="3232">
        <f>SUMIF($AC216:$AC232,"Затраты на тепловую энергию, всего",BA216:BA232)</f>
        <v>0</v>
      </c>
      <c r="BB213" s="3232">
        <f>SUMIF($AC216:$AC232,"Затраты на тепловую энергию, всего",BB216:BB232)</f>
        <v>0</v>
      </c>
      <c r="BC213" s="196" t="s">
        <v>1334</v>
      </c>
      <c r="BD213" s="149"/>
      <c r="BE213" s="149"/>
      <c r="BF213" s="1052" t="s">
        <v>1288</v>
      </c>
      <c r="BG213" s="1052"/>
      <c r="BH213" s="1052"/>
      <c r="BI213" s="685"/>
      <c r="BJ213" s="685"/>
    </row>
    <row customHeight="1" ht="14.625" hidden="1">
      <c r="E214" s="684">
        <v>15</v>
      </c>
      <c r="F214" s="50" cm="1" t="str">
        <f t="array" ref="F214:F214">OFFSET(E214,-1,1)</f>
        <v>2</v>
      </c>
      <c r="T214" s="468" t="b">
        <v>0</v>
      </c>
      <c r="W214" s="148" t="s">
        <v>173</v>
      </c>
      <c r="Y214" s="689">
        <v>0</v>
      </c>
      <c r="AA214" s="52" t="s">
        <v>174</v>
      </c>
      <c r="AB214" s="53"/>
      <c r="AD214" s="54"/>
      <c r="AE214" s="55">
        <f>OR(AND(AE217&lt;&gt;"",AE218=""),AND(AE217="",AE218&lt;&gt;""))</f>
        <v>0</v>
      </c>
      <c r="AF214" s="55">
        <f>OR(AND(AF217&lt;&gt;"",AF218=""),AND(AF217="",AF218&lt;&gt;""))</f>
        <v>0</v>
      </c>
      <c r="AG214" s="55">
        <f>OR(AND(AG217&lt;&gt;"",AG218=""),AND(AG217="",AG218&lt;&gt;""))</f>
        <v>0</v>
      </c>
      <c r="AH214" s="55">
        <f>OR(AND(AH217&lt;&gt;"",AH218=""),AND(AH217="",AH218&lt;&gt;""))</f>
        <v>0</v>
      </c>
      <c r="AI214" s="55">
        <f>OR(AND(AI217&lt;&gt;"",AI218=""),AND(AI217="",AI218&lt;&gt;""))</f>
        <v>0</v>
      </c>
      <c r="AJ214" s="55">
        <f>OR(AND(AJ217&lt;&gt;"",AJ218=""),AND(AJ217="",AJ218&lt;&gt;""))</f>
        <v>0</v>
      </c>
      <c r="AK214" s="55">
        <f>OR(AND(AK217&lt;&gt;"",AK218=""),AND(AK217="",AK218&lt;&gt;""))</f>
        <v>0</v>
      </c>
      <c r="AL214" s="55">
        <f>OR(AND(AL217&lt;&gt;"",AL218=""),AND(AL217="",AL218&lt;&gt;""))</f>
        <v>0</v>
      </c>
      <c r="AM214" s="55">
        <f>OR(AND(AM217&lt;&gt;"",AM218=""),AND(AM217="",AM218&lt;&gt;""))</f>
        <v>0</v>
      </c>
      <c r="AN214" s="55">
        <f>OR(AND(AN217&lt;&gt;"",AN218=""),AND(AN217="",AN218&lt;&gt;""))</f>
        <v>0</v>
      </c>
      <c r="AO214" s="55">
        <f>OR(AND(AO217&lt;&gt;"",AO218=""),AND(AO217="",AO218&lt;&gt;""))</f>
        <v>0</v>
      </c>
      <c r="AP214" s="55">
        <f>OR(AND(AP217&lt;&gt;"",AP218=""),AND(AP217="",AP218&lt;&gt;""))</f>
        <v>0</v>
      </c>
      <c r="AQ214" s="55">
        <f>OR(AND(AQ217&lt;&gt;"",AQ218=""),AND(AQ217="",AQ218&lt;&gt;""))</f>
        <v>0</v>
      </c>
      <c r="AR214" s="55">
        <f>OR(AND(AR217&lt;&gt;"",AR218=""),AND(AR217="",AR218&lt;&gt;""))</f>
        <v>0</v>
      </c>
      <c r="AS214" s="55">
        <f>OR(AND(AS217&lt;&gt;"",AS218=""),AND(AS217="",AS218&lt;&gt;""))</f>
        <v>0</v>
      </c>
      <c r="AT214" s="55">
        <f>OR(AND(AT217&lt;&gt;"",AT218=""),AND(AT217="",AT218&lt;&gt;""))</f>
        <v>0</v>
      </c>
      <c r="AU214" s="55">
        <f>OR(AND(AU217&lt;&gt;"",AU218=""),AND(AU217="",AU218&lt;&gt;""))</f>
        <v>0</v>
      </c>
      <c r="AV214" s="55">
        <f>OR(AND(AV217&lt;&gt;"",AV218=""),AND(AV217="",AV218&lt;&gt;""))</f>
        <v>0</v>
      </c>
      <c r="AW214" s="55">
        <f>OR(AND(AW217&lt;&gt;"",AW218=""),AND(AW217="",AW218&lt;&gt;""))</f>
        <v>0</v>
      </c>
      <c r="AX214" s="55">
        <f>OR(AND(AX217&lt;&gt;"",AX218=""),AND(AX217="",AX218&lt;&gt;""))</f>
        <v>0</v>
      </c>
      <c r="AY214" s="55">
        <f>OR(AND(AY217&lt;&gt;"",AY218=""),AND(AY217="",AY218&lt;&gt;""))</f>
        <v>0</v>
      </c>
      <c r="AZ214" s="55">
        <f>OR(AND(AZ217&lt;&gt;"",AZ218=""),AND(AZ217="",AZ218&lt;&gt;""))</f>
        <v>0</v>
      </c>
      <c r="BA214" s="55">
        <f>OR(AND(BA217&lt;&gt;"",BA218=""),AND(BA217="",BA218&lt;&gt;""))</f>
        <v>0</v>
      </c>
      <c r="BB214" s="55">
        <f>OR(AND(BB217&lt;&gt;"",BB218=""),AND(BB217="",BB218&lt;&gt;""))</f>
        <v>0</v>
      </c>
      <c r="BC214" s="55"/>
      <c r="BF214" s="1052"/>
      <c r="BG214" s="1052"/>
      <c r="BH214" s="1052"/>
      <c r="BI214" s="685"/>
      <c r="BJ214" s="685"/>
    </row>
    <row customHeight="1" ht="14.625" hidden="1">
      <c r="E215" s="684">
        <v>15</v>
      </c>
      <c r="F215" s="50" cm="1" t="str">
        <f t="array" ref="F215:F215">OFFSET(E215,-1,1)</f>
        <v>2</v>
      </c>
      <c r="T215" s="468">
        <f>AND(F215&gt;0,Y214&gt;0)</f>
        <v>0</v>
      </c>
      <c r="AA215" s="52"/>
      <c r="AB215" s="56" t="str">
        <f>"6."&amp;Y214</f>
        <v>6.0</v>
      </c>
      <c r="AC215" s="57"/>
      <c r="AD215" s="54"/>
      <c r="AE215" s="58"/>
      <c r="AF215" s="58"/>
      <c r="AG215" s="58"/>
      <c r="AH215" s="58"/>
      <c r="AI215" s="58"/>
      <c r="AJ215" s="58"/>
      <c r="AK215" s="58"/>
      <c r="AL215" s="58"/>
      <c r="AM215" s="58"/>
      <c r="AN215" s="58"/>
      <c r="AO215" s="58"/>
      <c r="AP215" s="58"/>
      <c r="AQ215" s="58"/>
      <c r="AR215" s="58"/>
      <c r="AS215" s="58"/>
      <c r="AT215" s="58"/>
      <c r="AU215" s="58"/>
      <c r="AV215" s="58"/>
      <c r="AW215" s="58"/>
      <c r="AX215" s="58"/>
      <c r="AY215" s="58"/>
      <c r="AZ215" s="58"/>
      <c r="BA215" s="58"/>
      <c r="BB215" s="58"/>
      <c r="BC215" s="58"/>
      <c r="BF215" s="1052"/>
      <c r="BG215" s="1052"/>
      <c r="BH215" s="1052"/>
      <c r="BI215" s="685"/>
      <c r="BJ215" s="685"/>
    </row>
    <row customHeight="1" ht="14.625" hidden="1">
      <c r="E216" s="684">
        <v>15</v>
      </c>
      <c r="F216" s="50" cm="1" t="str">
        <f t="array" ref="F216:F216">OFFSET(E216,-1,1)</f>
        <v>2</v>
      </c>
      <c r="T216" s="468" cm="1" t="str">
        <f t="array" ref="T216:T216">T215</f>
        <v>false</v>
      </c>
      <c r="AA216" s="52"/>
      <c r="AB216" s="56" t="str">
        <f>AB215&amp;".1"</f>
        <v>6.0.1</v>
      </c>
      <c r="AC216" s="59" t="s">
        <v>1289</v>
      </c>
      <c r="AD216" s="60" t="s">
        <v>936</v>
      </c>
      <c r="AE216" s="61">
        <f>AE217+AE220</f>
        <v>0</v>
      </c>
      <c r="AF216" s="61">
        <f>AF217+AF220</f>
        <v>0</v>
      </c>
      <c r="AG216" s="61">
        <f>AG217+AG220</f>
        <v>0</v>
      </c>
      <c r="AH216" s="61">
        <f>AH217+AH220</f>
        <v>0</v>
      </c>
      <c r="AI216" s="61">
        <f>AI217+AI220</f>
        <v>0</v>
      </c>
      <c r="AJ216" s="62">
        <f>AJ217+AJ220</f>
        <v>0</v>
      </c>
      <c r="AK216" s="62">
        <f>AK217+AK220</f>
        <v>0</v>
      </c>
      <c r="AL216" s="62">
        <f>AL217+AL220</f>
        <v>0</v>
      </c>
      <c r="AM216" s="62">
        <f>AM217+AM220</f>
        <v>0</v>
      </c>
      <c r="AN216" s="62">
        <f>AN217+AN220</f>
        <v>0</v>
      </c>
      <c r="AO216" s="62">
        <f>AO217+AO220</f>
        <v>0</v>
      </c>
      <c r="AP216" s="62">
        <f>AP217+AP220</f>
        <v>0</v>
      </c>
      <c r="AQ216" s="62">
        <f>AQ217+AQ220</f>
        <v>0</v>
      </c>
      <c r="AR216" s="62">
        <f>AR217+AR220</f>
        <v>0</v>
      </c>
      <c r="AS216" s="61">
        <f>AS217+AS220</f>
        <v>0</v>
      </c>
      <c r="AT216" s="62">
        <f>AT217+AT220</f>
        <v>0</v>
      </c>
      <c r="AU216" s="62">
        <f>AU217+AU220</f>
        <v>0</v>
      </c>
      <c r="AV216" s="62">
        <f>AV217+AV220</f>
        <v>0</v>
      </c>
      <c r="AW216" s="62">
        <f>AW217+AW220</f>
        <v>0</v>
      </c>
      <c r="AX216" s="62">
        <f>AX217+AX220</f>
        <v>0</v>
      </c>
      <c r="AY216" s="62">
        <f>AY217+AY220</f>
        <v>0</v>
      </c>
      <c r="AZ216" s="62">
        <f>AZ217+AZ220</f>
        <v>0</v>
      </c>
      <c r="BA216" s="62">
        <f>BA217+BA220</f>
        <v>0</v>
      </c>
      <c r="BB216" s="62">
        <f>BB217+BB220</f>
        <v>0</v>
      </c>
      <c r="BC216" s="63"/>
      <c r="BF216" s="1052" t="s">
        <v>1290</v>
      </c>
      <c r="BG216" s="1052" t="s">
        <v>1291</v>
      </c>
      <c r="BH216" s="64" cm="1" t="str">
        <f t="array" ref="BH216:BH216">AC215</f>
        <v>0</v>
      </c>
      <c r="BI216" s="685"/>
      <c r="BJ216" s="685" t="b">
        <v>1</v>
      </c>
    </row>
    <row customHeight="1" ht="14.625" hidden="1">
      <c r="E217" s="684">
        <v>15</v>
      </c>
      <c r="F217" s="50" cm="1" t="str">
        <f t="array" ref="F217:F217">OFFSET(E217,-1,1)</f>
        <v>2</v>
      </c>
      <c r="T217" s="468" cm="1" t="str">
        <f t="array" ref="T217:T217">T216</f>
        <v>false</v>
      </c>
      <c r="AA217" s="52"/>
      <c r="AB217" s="56" t="str">
        <f>AB216&amp;".1"</f>
        <v>6.0.1.1</v>
      </c>
      <c r="AC217" s="65" t="s">
        <v>1292</v>
      </c>
      <c r="AD217" s="66" t="s">
        <v>936</v>
      </c>
      <c r="AE217" s="67"/>
      <c r="AF217" s="67"/>
      <c r="AG217" s="67"/>
      <c r="AH217" s="67"/>
      <c r="AI217" s="67"/>
      <c r="AJ217" s="67"/>
      <c r="AK217" s="67"/>
      <c r="AL217" s="67"/>
      <c r="AM217" s="67"/>
      <c r="AN217" s="67"/>
      <c r="AO217" s="67"/>
      <c r="AP217" s="67"/>
      <c r="AQ217" s="67"/>
      <c r="AR217" s="67"/>
      <c r="AS217" s="67"/>
      <c r="AT217" s="67"/>
      <c r="AU217" s="67"/>
      <c r="AV217" s="67"/>
      <c r="AW217" s="67"/>
      <c r="AX217" s="67"/>
      <c r="AY217" s="67"/>
      <c r="AZ217" s="67"/>
      <c r="BA217" s="67"/>
      <c r="BB217" s="67"/>
      <c r="BC217" s="63"/>
      <c r="BF217" s="1052" t="s">
        <v>1293</v>
      </c>
      <c r="BG217" s="1052" t="s">
        <v>1291</v>
      </c>
      <c r="BH217" s="64" cm="1" t="str">
        <f t="array" ref="BH217:BH217">BH216</f>
        <v>0</v>
      </c>
      <c r="BI217" s="685"/>
      <c r="BJ217" s="685"/>
    </row>
    <row customHeight="1" ht="14.625" hidden="1">
      <c r="E218" s="684">
        <v>15</v>
      </c>
      <c r="F218" s="50" cm="1" t="str">
        <f t="array" ref="F218:F218">OFFSET(E218,-1,1)</f>
        <v>2</v>
      </c>
      <c r="T218" s="468" cm="1" t="str">
        <f t="array" ref="T218:T218">T217</f>
        <v>false</v>
      </c>
      <c r="AA218" s="52"/>
      <c r="AB218" s="56" t="str">
        <f>AB217&amp;".1"</f>
        <v>6.0.1.1.1</v>
      </c>
      <c r="AC218" s="68" t="s">
        <v>1294</v>
      </c>
      <c r="AD218" s="60" t="s">
        <v>1295</v>
      </c>
      <c r="AE218" s="67"/>
      <c r="AF218" s="67"/>
      <c r="AG218" s="67"/>
      <c r="AH218" s="67"/>
      <c r="AI218" s="67"/>
      <c r="AJ218" s="67"/>
      <c r="AK218" s="67"/>
      <c r="AL218" s="67"/>
      <c r="AM218" s="67"/>
      <c r="AN218" s="67"/>
      <c r="AO218" s="67"/>
      <c r="AP218" s="67"/>
      <c r="AQ218" s="67"/>
      <c r="AR218" s="67"/>
      <c r="AS218" s="67"/>
      <c r="AT218" s="67"/>
      <c r="AU218" s="67"/>
      <c r="AV218" s="67"/>
      <c r="AW218" s="67"/>
      <c r="AX218" s="67"/>
      <c r="AY218" s="67"/>
      <c r="AZ218" s="67"/>
      <c r="BA218" s="67"/>
      <c r="BB218" s="67"/>
      <c r="BC218" s="63"/>
      <c r="BF218" s="1052" t="s">
        <v>1296</v>
      </c>
      <c r="BG218" s="1052" t="s">
        <v>1291</v>
      </c>
      <c r="BH218" s="64" cm="1" t="str">
        <f t="array" ref="BH218:BH218">BH217</f>
        <v>0</v>
      </c>
      <c r="BI218" s="685"/>
      <c r="BJ218" s="685"/>
    </row>
    <row customHeight="1" ht="14.625" hidden="1">
      <c r="E219" s="684">
        <v>15</v>
      </c>
      <c r="F219" s="50" cm="1" t="str">
        <f t="array" ref="F219:F219">OFFSET(E219,-1,1)</f>
        <v>2</v>
      </c>
      <c r="T219" s="468" cm="1" t="str">
        <f t="array" ref="T219:T219">T218</f>
        <v>false</v>
      </c>
      <c r="AA219" s="52"/>
      <c r="AB219" s="56" t="str">
        <f>AB217&amp;".2"</f>
        <v>6.0.1.1.2</v>
      </c>
      <c r="AC219" s="68" t="s">
        <v>1297</v>
      </c>
      <c r="AD219" s="60" t="s">
        <v>1298</v>
      </c>
      <c r="AE219" s="67"/>
      <c r="AF219" s="67"/>
      <c r="AG219" s="67"/>
      <c r="AH219" s="67"/>
      <c r="AI219" s="67"/>
      <c r="AJ219" s="67"/>
      <c r="AK219" s="67"/>
      <c r="AL219" s="67"/>
      <c r="AM219" s="67"/>
      <c r="AN219" s="67"/>
      <c r="AO219" s="67"/>
      <c r="AP219" s="67"/>
      <c r="AQ219" s="67"/>
      <c r="AR219" s="67"/>
      <c r="AS219" s="67"/>
      <c r="AT219" s="67"/>
      <c r="AU219" s="67"/>
      <c r="AV219" s="67"/>
      <c r="AW219" s="67"/>
      <c r="AX219" s="67"/>
      <c r="AY219" s="67"/>
      <c r="AZ219" s="67"/>
      <c r="BA219" s="67"/>
      <c r="BB219" s="67"/>
      <c r="BC219" s="63"/>
      <c r="BF219" s="1052" t="s">
        <v>1299</v>
      </c>
      <c r="BG219" s="1052" t="s">
        <v>1291</v>
      </c>
      <c r="BH219" s="64" cm="1" t="str">
        <f t="array" ref="BH219:BH219">BH218</f>
        <v>0</v>
      </c>
      <c r="BI219" s="685"/>
      <c r="BJ219" s="685"/>
    </row>
    <row customHeight="1" ht="14.625" hidden="1">
      <c r="E220" s="684">
        <v>15</v>
      </c>
      <c r="F220" s="50" cm="1" t="str">
        <f t="array" ref="F220:F220">OFFSET(E220,-1,1)</f>
        <v>2</v>
      </c>
      <c r="T220" s="468" cm="1" t="str">
        <f t="array" ref="T220:T220">T219</f>
        <v>false</v>
      </c>
      <c r="AA220" s="52"/>
      <c r="AB220" s="56" t="str">
        <f>AB216&amp;".2"</f>
        <v>6.0.1.2</v>
      </c>
      <c r="AC220" s="69" t="s">
        <v>1300</v>
      </c>
      <c r="AD220" s="60" t="s">
        <v>936</v>
      </c>
      <c r="AE220" s="67"/>
      <c r="AF220" s="67"/>
      <c r="AG220" s="67"/>
      <c r="AH220" s="67"/>
      <c r="AI220" s="67"/>
      <c r="AJ220" s="67"/>
      <c r="AK220" s="67"/>
      <c r="AL220" s="67"/>
      <c r="AM220" s="67"/>
      <c r="AN220" s="67"/>
      <c r="AO220" s="67"/>
      <c r="AP220" s="67"/>
      <c r="AQ220" s="67"/>
      <c r="AR220" s="67"/>
      <c r="AS220" s="67"/>
      <c r="AT220" s="67"/>
      <c r="AU220" s="67"/>
      <c r="AV220" s="67"/>
      <c r="AW220" s="67"/>
      <c r="AX220" s="67"/>
      <c r="AY220" s="67"/>
      <c r="AZ220" s="67"/>
      <c r="BA220" s="67"/>
      <c r="BB220" s="67"/>
      <c r="BC220" s="63"/>
      <c r="BF220" s="1052" t="s">
        <v>1301</v>
      </c>
      <c r="BG220" s="1052" t="s">
        <v>1291</v>
      </c>
      <c r="BH220" s="64" cm="1" t="str">
        <f t="array" ref="BH220:BH220">BH219</f>
        <v>0</v>
      </c>
      <c r="BI220" s="685"/>
      <c r="BJ220" s="685"/>
    </row>
    <row customHeight="1" ht="14.625" hidden="1">
      <c r="E221" s="684">
        <v>15</v>
      </c>
      <c r="F221" s="50" cm="1" t="str">
        <f t="array" ref="F221:F221">OFFSET(E221,-1,1)</f>
        <v>2</v>
      </c>
      <c r="T221" s="468" cm="1" t="str">
        <f t="array" ref="T221:T221">T220</f>
        <v>false</v>
      </c>
      <c r="AA221" s="52"/>
      <c r="AB221" s="56" t="str">
        <f>AB220&amp;".1"</f>
        <v>6.0.1.2.1</v>
      </c>
      <c r="AC221" s="68" t="s">
        <v>1302</v>
      </c>
      <c r="AD221" s="60" t="s">
        <v>1303</v>
      </c>
      <c r="AE221" s="67"/>
      <c r="AF221" s="67"/>
      <c r="AG221" s="67"/>
      <c r="AH221" s="67"/>
      <c r="AI221" s="67"/>
      <c r="AJ221" s="67"/>
      <c r="AK221" s="67"/>
      <c r="AL221" s="67"/>
      <c r="AM221" s="67"/>
      <c r="AN221" s="67"/>
      <c r="AO221" s="67"/>
      <c r="AP221" s="67"/>
      <c r="AQ221" s="67"/>
      <c r="AR221" s="67"/>
      <c r="AS221" s="67"/>
      <c r="AT221" s="67"/>
      <c r="AU221" s="67"/>
      <c r="AV221" s="67"/>
      <c r="AW221" s="67"/>
      <c r="AX221" s="67"/>
      <c r="AY221" s="67"/>
      <c r="AZ221" s="67"/>
      <c r="BA221" s="67"/>
      <c r="BB221" s="67"/>
      <c r="BC221" s="63"/>
      <c r="BF221" s="1052" t="s">
        <v>1304</v>
      </c>
      <c r="BG221" s="1052" t="s">
        <v>1291</v>
      </c>
      <c r="BH221" s="64" cm="1" t="str">
        <f t="array" ref="BH221:BH221">BH220</f>
        <v>0</v>
      </c>
      <c r="BI221" s="685"/>
      <c r="BJ221" s="685"/>
    </row>
    <row customHeight="1" ht="14.625" hidden="1">
      <c r="E222" s="684">
        <v>15</v>
      </c>
      <c r="F222" s="50" cm="1" t="str">
        <f t="array" ref="F222:F222">OFFSET(E222,-1,1)</f>
        <v>2</v>
      </c>
      <c r="T222" s="468" cm="1" t="str">
        <f t="array" ref="T222:T222">T221</f>
        <v>false</v>
      </c>
      <c r="AA222" s="52"/>
      <c r="AB222" s="56" t="str">
        <f>AB220&amp;".2"</f>
        <v>6.0.1.2.2</v>
      </c>
      <c r="AC222" s="68" t="s">
        <v>1305</v>
      </c>
      <c r="AD222" s="60" t="s">
        <v>1306</v>
      </c>
      <c r="AE222" s="67"/>
      <c r="AF222" s="67"/>
      <c r="AG222" s="67"/>
      <c r="AH222" s="67"/>
      <c r="AI222" s="67"/>
      <c r="AJ222" s="67"/>
      <c r="AK222" s="67"/>
      <c r="AL222" s="67"/>
      <c r="AM222" s="67"/>
      <c r="AN222" s="67"/>
      <c r="AO222" s="67"/>
      <c r="AP222" s="67"/>
      <c r="AQ222" s="67"/>
      <c r="AR222" s="67"/>
      <c r="AS222" s="67"/>
      <c r="AT222" s="67"/>
      <c r="AU222" s="67"/>
      <c r="AV222" s="67"/>
      <c r="AW222" s="67"/>
      <c r="AX222" s="67"/>
      <c r="AY222" s="67"/>
      <c r="AZ222" s="67"/>
      <c r="BA222" s="67"/>
      <c r="BB222" s="67"/>
      <c r="BC222" s="63"/>
      <c r="BF222" s="1052" t="s">
        <v>1307</v>
      </c>
      <c r="BG222" s="1052" t="s">
        <v>1291</v>
      </c>
      <c r="BH222" s="64" cm="1" t="str">
        <f t="array" ref="BH222:BH222">BH221</f>
        <v>0</v>
      </c>
      <c r="BI222" s="685"/>
      <c r="BJ222" s="685"/>
    </row>
    <row s="1656" customFormat="1" customHeight="1" ht="14.25" hidden="1">
      <c r="A223" s="892"/>
      <c r="B223" s="442"/>
      <c r="C223" s="892"/>
      <c r="D223" s="892"/>
      <c r="E223" s="684">
        <v>15</v>
      </c>
      <c r="F223" s="1194" cm="1" t="str">
        <f t="array" ref="F223:F223">OFFSET(E223,-1,1)</f>
        <v>2</v>
      </c>
      <c r="G223" s="892"/>
      <c r="H223" s="892"/>
      <c r="I223" s="892"/>
      <c r="J223" s="892"/>
      <c r="K223" s="918"/>
      <c r="L223" s="892"/>
      <c r="M223" s="892"/>
      <c r="N223" s="892"/>
      <c r="O223" s="892"/>
      <c r="P223" s="892"/>
      <c r="Q223" s="892"/>
      <c r="R223" s="892"/>
      <c r="S223" s="892"/>
      <c r="T223" s="468" t="b">
        <v>0</v>
      </c>
      <c r="U223" s="892"/>
      <c r="V223" s="892"/>
      <c r="W223" s="148"/>
      <c r="X223" s="892"/>
      <c r="Y223" s="689" t="s">
        <v>290</v>
      </c>
      <c r="Z223" s="892"/>
      <c r="AA223" s="52" t="s">
        <v>174</v>
      </c>
      <c r="AB223" s="53"/>
      <c r="AC223" s="892"/>
      <c r="AD223" s="54"/>
      <c r="AE223" s="55">
        <f>OR(AND(AE226&lt;&gt;"",AE227=""),AND(AE226="",AE227&lt;&gt;""))</f>
        <v>1</v>
      </c>
      <c r="AF223" s="55">
        <f>OR(AND(AF226&lt;&gt;"",AF227=""),AND(AF226="",AF227&lt;&gt;""))</f>
        <v>1</v>
      </c>
      <c r="AG223" s="55">
        <f>OR(AND(AG226&lt;&gt;"",AG227=""),AND(AG226="",AG227&lt;&gt;""))</f>
        <v>1</v>
      </c>
      <c r="AH223" s="55">
        <f>OR(AND(AH226&lt;&gt;"",AH227=""),AND(AH226="",AH227&lt;&gt;""))</f>
        <v>1</v>
      </c>
      <c r="AI223" s="55">
        <f>OR(AND(AI226&lt;&gt;"",AI227=""),AND(AI226="",AI227&lt;&gt;""))</f>
        <v>1</v>
      </c>
      <c r="AJ223" s="55">
        <f>OR(AND(AJ226&lt;&gt;"",AJ227=""),AND(AJ226="",AJ227&lt;&gt;""))</f>
        <v>0</v>
      </c>
      <c r="AK223" s="55">
        <f>OR(AND(AK226&lt;&gt;"",AK227=""),AND(AK226="",AK227&lt;&gt;""))</f>
        <v>0</v>
      </c>
      <c r="AL223" s="55">
        <f>OR(AND(AL226&lt;&gt;"",AL227=""),AND(AL226="",AL227&lt;&gt;""))</f>
        <v>0</v>
      </c>
      <c r="AM223" s="55">
        <f>OR(AND(AM226&lt;&gt;"",AM227=""),AND(AM226="",AM227&lt;&gt;""))</f>
        <v>0</v>
      </c>
      <c r="AN223" s="55">
        <f>OR(AND(AN226&lt;&gt;"",AN227=""),AND(AN226="",AN227&lt;&gt;""))</f>
        <v>0</v>
      </c>
      <c r="AO223" s="55">
        <f>OR(AND(AO226&lt;&gt;"",AO227=""),AND(AO226="",AO227&lt;&gt;""))</f>
        <v>0</v>
      </c>
      <c r="AP223" s="55">
        <f>OR(AND(AP226&lt;&gt;"",AP227=""),AND(AP226="",AP227&lt;&gt;""))</f>
        <v>0</v>
      </c>
      <c r="AQ223" s="55">
        <f>OR(AND(AQ226&lt;&gt;"",AQ227=""),AND(AQ226="",AQ227&lt;&gt;""))</f>
        <v>0</v>
      </c>
      <c r="AR223" s="55">
        <f>OR(AND(AR226&lt;&gt;"",AR227=""),AND(AR226="",AR227&lt;&gt;""))</f>
        <v>0</v>
      </c>
      <c r="AS223" s="55">
        <f>OR(AND(AS226&lt;&gt;"",AS227=""),AND(AS226="",AS227&lt;&gt;""))</f>
        <v>0</v>
      </c>
      <c r="AT223" s="55">
        <f>OR(AND(AT226&lt;&gt;"",AT227=""),AND(AT226="",AT227&lt;&gt;""))</f>
        <v>0</v>
      </c>
      <c r="AU223" s="55">
        <f>OR(AND(AU226&lt;&gt;"",AU227=""),AND(AU226="",AU227&lt;&gt;""))</f>
        <v>0</v>
      </c>
      <c r="AV223" s="55">
        <f>OR(AND(AV226&lt;&gt;"",AV227=""),AND(AV226="",AV227&lt;&gt;""))</f>
        <v>0</v>
      </c>
      <c r="AW223" s="55">
        <f>OR(AND(AW226&lt;&gt;"",AW227=""),AND(AW226="",AW227&lt;&gt;""))</f>
        <v>0</v>
      </c>
      <c r="AX223" s="55">
        <f>OR(AND(AX226&lt;&gt;"",AX227=""),AND(AX226="",AX227&lt;&gt;""))</f>
        <v>0</v>
      </c>
      <c r="AY223" s="55">
        <f>OR(AND(AY226&lt;&gt;"",AY227=""),AND(AY226="",AY227&lt;&gt;""))</f>
        <v>0</v>
      </c>
      <c r="AZ223" s="55">
        <f>OR(AND(AZ226&lt;&gt;"",AZ227=""),AND(AZ226="",AZ227&lt;&gt;""))</f>
        <v>0</v>
      </c>
      <c r="BA223" s="55">
        <f>OR(AND(BA226&lt;&gt;"",BA227=""),AND(BA226="",BA227&lt;&gt;""))</f>
        <v>0</v>
      </c>
      <c r="BB223" s="55">
        <f>OR(AND(BB226&lt;&gt;"",BB227=""),AND(BB226="",BB227&lt;&gt;""))</f>
        <v>0</v>
      </c>
      <c r="BC223" s="55"/>
      <c r="BD223" s="892"/>
      <c r="BE223" s="892"/>
      <c r="BF223" s="1052"/>
      <c r="BG223" s="1052"/>
      <c r="BH223" s="1052"/>
      <c r="BI223" s="685"/>
      <c r="BJ223" s="685"/>
    </row>
    <row s="1656" customFormat="1" customHeight="1" ht="34.75942611694336">
      <c r="A224" s="892"/>
      <c r="B224" s="442"/>
      <c r="C224" s="892"/>
      <c r="D224" s="892"/>
      <c r="E224" s="684">
        <v>15</v>
      </c>
      <c r="F224" s="1194" cm="1" t="str">
        <f t="array" ref="F224:F224">OFFSET(E224,-1,1)</f>
        <v>2</v>
      </c>
      <c r="G224" s="892"/>
      <c r="H224" s="892"/>
      <c r="I224" s="892"/>
      <c r="J224" s="892"/>
      <c r="K224" s="918"/>
      <c r="L224" s="892"/>
      <c r="M224" s="892"/>
      <c r="N224" s="892"/>
      <c r="O224" s="892"/>
      <c r="P224" s="892"/>
      <c r="Q224" s="892"/>
      <c r="R224" s="892"/>
      <c r="S224" s="892"/>
      <c r="T224" s="468">
        <f>AND(F224&gt;0,Y223&gt;0)</f>
        <v>1</v>
      </c>
      <c r="U224" s="892"/>
      <c r="V224" s="892"/>
      <c r="W224" s="892"/>
      <c r="X224" s="892"/>
      <c r="Y224" s="892"/>
      <c r="Z224" s="892"/>
      <c r="AA224" s="52"/>
      <c r="AB224" s="56" t="str">
        <f>"6."&amp;Y223</f>
        <v>6.1</v>
      </c>
      <c r="AC224" s="57" t="s">
        <v>1328</v>
      </c>
      <c r="AD224" s="54"/>
      <c r="AE224" s="58"/>
      <c r="AF224" s="58"/>
      <c r="AG224" s="58"/>
      <c r="AH224" s="58"/>
      <c r="AI224" s="58"/>
      <c r="AJ224" s="58"/>
      <c r="AK224" s="58"/>
      <c r="AL224" s="58"/>
      <c r="AM224" s="58"/>
      <c r="AN224" s="58"/>
      <c r="AO224" s="58"/>
      <c r="AP224" s="58"/>
      <c r="AQ224" s="58"/>
      <c r="AR224" s="58"/>
      <c r="AS224" s="58"/>
      <c r="AT224" s="58"/>
      <c r="AU224" s="58"/>
      <c r="AV224" s="58"/>
      <c r="AW224" s="58"/>
      <c r="AX224" s="58"/>
      <c r="AY224" s="58"/>
      <c r="AZ224" s="58"/>
      <c r="BA224" s="58"/>
      <c r="BB224" s="58"/>
      <c r="BC224" s="58"/>
      <c r="BD224" s="892"/>
      <c r="BE224" s="892"/>
      <c r="BF224" s="1052"/>
      <c r="BG224" s="1052"/>
      <c r="BH224" s="1052"/>
      <c r="BI224" s="685"/>
      <c r="BJ224" s="685"/>
    </row>
    <row s="1656" customFormat="1" customHeight="1" ht="23.50942611694336">
      <c r="A225" s="892"/>
      <c r="B225" s="442"/>
      <c r="C225" s="892"/>
      <c r="D225" s="892"/>
      <c r="E225" s="684">
        <v>15</v>
      </c>
      <c r="F225" s="1194" cm="1" t="str">
        <f t="array" ref="F225:F225">OFFSET(E225,-1,1)</f>
        <v>2</v>
      </c>
      <c r="G225" s="892"/>
      <c r="H225" s="892"/>
      <c r="I225" s="892"/>
      <c r="J225" s="892"/>
      <c r="K225" s="918"/>
      <c r="L225" s="892"/>
      <c r="M225" s="892"/>
      <c r="N225" s="892"/>
      <c r="O225" s="892"/>
      <c r="P225" s="892"/>
      <c r="Q225" s="892"/>
      <c r="R225" s="892"/>
      <c r="S225" s="892"/>
      <c r="T225" s="468" cm="1" t="str">
        <f t="array" ref="T225:T225">T224</f>
        <v>true</v>
      </c>
      <c r="U225" s="892"/>
      <c r="V225" s="892"/>
      <c r="W225" s="892"/>
      <c r="X225" s="892"/>
      <c r="Y225" s="892"/>
      <c r="Z225" s="892"/>
      <c r="AA225" s="52"/>
      <c r="AB225" s="56" t="str">
        <f>AB224&amp;".1"</f>
        <v>6.1.1</v>
      </c>
      <c r="AC225" s="59" t="s">
        <v>1289</v>
      </c>
      <c r="AD225" s="60" t="s">
        <v>936</v>
      </c>
      <c r="AE225" s="61">
        <f>AE226+AE229</f>
        <v>1612.61</v>
      </c>
      <c r="AF225" s="61">
        <f>AF226+AF229</f>
        <v>961.18</v>
      </c>
      <c r="AG225" s="61">
        <f>AG226+AG229</f>
        <v>961.18</v>
      </c>
      <c r="AH225" s="61">
        <f>AH226+AH229</f>
        <v>1873.14</v>
      </c>
      <c r="AI225" s="61">
        <f>AI226+AI229</f>
        <v>1927.94</v>
      </c>
      <c r="AJ225" s="62">
        <f>AJ226+AJ229</f>
        <v>0</v>
      </c>
      <c r="AK225" s="62">
        <f>AK226+AK229</f>
        <v>0</v>
      </c>
      <c r="AL225" s="62">
        <f>AL226+AL229</f>
        <v>0</v>
      </c>
      <c r="AM225" s="62">
        <f>AM226+AM229</f>
        <v>0</v>
      </c>
      <c r="AN225" s="62">
        <f>AN226+AN229</f>
        <v>0</v>
      </c>
      <c r="AO225" s="62">
        <f>AO226+AO229</f>
        <v>0</v>
      </c>
      <c r="AP225" s="62">
        <f>AP226+AP229</f>
        <v>0</v>
      </c>
      <c r="AQ225" s="62">
        <f>AQ226+AQ229</f>
        <v>0</v>
      </c>
      <c r="AR225" s="62">
        <f>AR226+AR229</f>
        <v>0</v>
      </c>
      <c r="AS225" s="61">
        <f>AS226+AS229</f>
        <v>1863.77491</v>
      </c>
      <c r="AT225" s="62">
        <f>AT226+AT229</f>
        <v>0</v>
      </c>
      <c r="AU225" s="62">
        <f>AU226+AU229</f>
        <v>0</v>
      </c>
      <c r="AV225" s="62">
        <f>AV226+AV229</f>
        <v>0</v>
      </c>
      <c r="AW225" s="62">
        <f>AW226+AW229</f>
        <v>0</v>
      </c>
      <c r="AX225" s="62">
        <f>AX226+AX229</f>
        <v>0</v>
      </c>
      <c r="AY225" s="62">
        <f>AY226+AY229</f>
        <v>0</v>
      </c>
      <c r="AZ225" s="62">
        <f>AZ226+AZ229</f>
        <v>0</v>
      </c>
      <c r="BA225" s="62">
        <f>BA226+BA229</f>
        <v>0</v>
      </c>
      <c r="BB225" s="62">
        <f>BB226+BB229</f>
        <v>0</v>
      </c>
      <c r="BC225" s="3506"/>
      <c r="BD225" s="892"/>
      <c r="BE225" s="892"/>
      <c r="BF225" s="1052" t="s">
        <v>1290</v>
      </c>
      <c r="BG225" s="1052" t="s">
        <v>1291</v>
      </c>
      <c r="BH225" s="64" cm="1" t="str">
        <f t="array" ref="BH225:BH225">AC224</f>
        <v>ОАО «СКЭК» (ИНН: 4205153492, КПП: 420501001)</v>
      </c>
      <c r="BI225" s="685"/>
      <c r="BJ225" s="685" t="b">
        <v>1</v>
      </c>
    </row>
    <row s="1656" customFormat="1" customHeight="1" ht="27.25942611694336">
      <c r="A226" s="892"/>
      <c r="B226" s="442"/>
      <c r="C226" s="892"/>
      <c r="D226" s="892"/>
      <c r="E226" s="684">
        <v>15</v>
      </c>
      <c r="F226" s="1194" cm="1" t="str">
        <f t="array" ref="F226:F226">OFFSET(E226,-1,1)</f>
        <v>2</v>
      </c>
      <c r="G226" s="892"/>
      <c r="H226" s="892"/>
      <c r="I226" s="892"/>
      <c r="J226" s="892"/>
      <c r="K226" s="918"/>
      <c r="L226" s="892"/>
      <c r="M226" s="892"/>
      <c r="N226" s="892"/>
      <c r="O226" s="892"/>
      <c r="P226" s="892"/>
      <c r="Q226" s="892"/>
      <c r="R226" s="892"/>
      <c r="S226" s="892"/>
      <c r="T226" s="468" cm="1" t="str">
        <f t="array" ref="T226:T226">T225</f>
        <v>true</v>
      </c>
      <c r="U226" s="892"/>
      <c r="V226" s="892"/>
      <c r="W226" s="892"/>
      <c r="X226" s="892"/>
      <c r="Y226" s="892"/>
      <c r="Z226" s="892"/>
      <c r="AA226" s="52"/>
      <c r="AB226" s="56" t="str">
        <f>AB225&amp;".1"</f>
        <v>6.1.1.1</v>
      </c>
      <c r="AC226" s="65" t="s">
        <v>1292</v>
      </c>
      <c r="AD226" s="66" t="s">
        <v>936</v>
      </c>
      <c r="AE226" s="3507">
        <v>1612.61</v>
      </c>
      <c r="AF226" s="3507">
        <v>961.18</v>
      </c>
      <c r="AG226" s="3507">
        <v>961.18</v>
      </c>
      <c r="AH226" s="3507">
        <v>1873.14</v>
      </c>
      <c r="AI226" s="3507">
        <v>1927.94</v>
      </c>
      <c r="AJ226" s="67"/>
      <c r="AK226" s="67"/>
      <c r="AL226" s="67"/>
      <c r="AM226" s="67"/>
      <c r="AN226" s="67"/>
      <c r="AO226" s="67"/>
      <c r="AP226" s="67"/>
      <c r="AQ226" s="67"/>
      <c r="AR226" s="67"/>
      <c r="AS226" s="3507">
        <v>1863.77491</v>
      </c>
      <c r="AT226" s="67"/>
      <c r="AU226" s="67"/>
      <c r="AV226" s="67"/>
      <c r="AW226" s="67"/>
      <c r="AX226" s="67"/>
      <c r="AY226" s="67"/>
      <c r="AZ226" s="67"/>
      <c r="BA226" s="67"/>
      <c r="BB226" s="67"/>
      <c r="BC226" s="3506"/>
      <c r="BD226" s="892"/>
      <c r="BE226" s="892"/>
      <c r="BF226" s="1052" t="s">
        <v>1293</v>
      </c>
      <c r="BG226" s="1052" t="s">
        <v>1291</v>
      </c>
      <c r="BH226" s="64" cm="1" t="str">
        <f t="array" ref="BH226:BH226">BH225</f>
        <v>ОАО «СКЭК» (ИНН: 4205153492, КПП: 420501001)</v>
      </c>
      <c r="BI226" s="685"/>
      <c r="BJ226" s="685"/>
    </row>
    <row s="1656" customFormat="1" customHeight="1" ht="31.94692611694336">
      <c r="A227" s="892"/>
      <c r="B227" s="442"/>
      <c r="C227" s="892"/>
      <c r="D227" s="892"/>
      <c r="E227" s="684">
        <v>15</v>
      </c>
      <c r="F227" s="1194" cm="1" t="str">
        <f t="array" ref="F227:F227">OFFSET(E227,-1,1)</f>
        <v>2</v>
      </c>
      <c r="G227" s="892"/>
      <c r="H227" s="892"/>
      <c r="I227" s="892"/>
      <c r="J227" s="892"/>
      <c r="K227" s="918"/>
      <c r="L227" s="892"/>
      <c r="M227" s="892"/>
      <c r="N227" s="892"/>
      <c r="O227" s="892"/>
      <c r="P227" s="892"/>
      <c r="Q227" s="892"/>
      <c r="R227" s="892"/>
      <c r="S227" s="892"/>
      <c r="T227" s="468" cm="1" t="str">
        <f t="array" ref="T227:T227">T226</f>
        <v>true</v>
      </c>
      <c r="U227" s="892"/>
      <c r="V227" s="892"/>
      <c r="W227" s="892"/>
      <c r="X227" s="892"/>
      <c r="Y227" s="892"/>
      <c r="Z227" s="892"/>
      <c r="AA227" s="52"/>
      <c r="AB227" s="56" t="str">
        <f>AB226&amp;".1"</f>
        <v>6.1.1.1.1</v>
      </c>
      <c r="AC227" s="68" t="s">
        <v>1294</v>
      </c>
      <c r="AD227" s="60" t="s">
        <v>1295</v>
      </c>
      <c r="AE227" s="3507"/>
      <c r="AF227" s="3507"/>
      <c r="AG227" s="3507"/>
      <c r="AH227" s="3507"/>
      <c r="AI227" s="3507"/>
      <c r="AJ227" s="67"/>
      <c r="AK227" s="67"/>
      <c r="AL227" s="67"/>
      <c r="AM227" s="67"/>
      <c r="AN227" s="67"/>
      <c r="AO227" s="67"/>
      <c r="AP227" s="67"/>
      <c r="AQ227" s="67"/>
      <c r="AR227" s="67"/>
      <c r="AS227" s="3507">
        <v>488.71</v>
      </c>
      <c r="AT227" s="67"/>
      <c r="AU227" s="67"/>
      <c r="AV227" s="67"/>
      <c r="AW227" s="67"/>
      <c r="AX227" s="67"/>
      <c r="AY227" s="67"/>
      <c r="AZ227" s="67"/>
      <c r="BA227" s="67"/>
      <c r="BB227" s="67"/>
      <c r="BC227" s="3506" t="s">
        <v>1332</v>
      </c>
      <c r="BD227" s="892"/>
      <c r="BE227" s="892"/>
      <c r="BF227" s="1052" t="s">
        <v>1296</v>
      </c>
      <c r="BG227" s="1052" t="s">
        <v>1291</v>
      </c>
      <c r="BH227" s="64" cm="1" t="str">
        <f t="array" ref="BH227:BH227">BH226</f>
        <v>ОАО «СКЭК» (ИНН: 4205153492, КПП: 420501001)</v>
      </c>
      <c r="BI227" s="685"/>
      <c r="BJ227" s="685"/>
    </row>
    <row s="1656" customFormat="1" customHeight="1" ht="92.88442611694336">
      <c r="A228" s="892"/>
      <c r="B228" s="442"/>
      <c r="C228" s="892"/>
      <c r="D228" s="892"/>
      <c r="E228" s="684">
        <v>15</v>
      </c>
      <c r="F228" s="1194" cm="1" t="str">
        <f t="array" ref="F228:F228">OFFSET(E228,-1,1)</f>
        <v>2</v>
      </c>
      <c r="G228" s="892"/>
      <c r="H228" s="892"/>
      <c r="I228" s="892"/>
      <c r="J228" s="892"/>
      <c r="K228" s="918"/>
      <c r="L228" s="892"/>
      <c r="M228" s="892"/>
      <c r="N228" s="892"/>
      <c r="O228" s="892"/>
      <c r="P228" s="892"/>
      <c r="Q228" s="892"/>
      <c r="R228" s="892"/>
      <c r="S228" s="892"/>
      <c r="T228" s="468" cm="1" t="str">
        <f t="array" ref="T228:T228">T227</f>
        <v>true</v>
      </c>
      <c r="U228" s="892"/>
      <c r="V228" s="892"/>
      <c r="W228" s="892"/>
      <c r="X228" s="892"/>
      <c r="Y228" s="892"/>
      <c r="Z228" s="892"/>
      <c r="AA228" s="52"/>
      <c r="AB228" s="56" t="str">
        <f>AB226&amp;".2"</f>
        <v>6.1.1.1.2</v>
      </c>
      <c r="AC228" s="68" t="s">
        <v>1297</v>
      </c>
      <c r="AD228" s="60" t="s">
        <v>1298</v>
      </c>
      <c r="AE228" s="3507"/>
      <c r="AF228" s="3507"/>
      <c r="AG228" s="3507"/>
      <c r="AH228" s="3507"/>
      <c r="AI228" s="3507"/>
      <c r="AJ228" s="67"/>
      <c r="AK228" s="67"/>
      <c r="AL228" s="67"/>
      <c r="AM228" s="67"/>
      <c r="AN228" s="67"/>
      <c r="AO228" s="67"/>
      <c r="AP228" s="67"/>
      <c r="AQ228" s="67"/>
      <c r="AR228" s="67"/>
      <c r="AS228" s="3507">
        <f>AS226/AS227*1000</f>
        <v>3813.66231507438</v>
      </c>
      <c r="AT228" s="67"/>
      <c r="AU228" s="67"/>
      <c r="AV228" s="67"/>
      <c r="AW228" s="67"/>
      <c r="AX228" s="67"/>
      <c r="AY228" s="67"/>
      <c r="AZ228" s="67"/>
      <c r="BA228" s="67"/>
      <c r="BB228" s="67"/>
      <c r="BC228" s="3506" t="s">
        <v>1335</v>
      </c>
      <c r="BD228" s="892"/>
      <c r="BE228" s="892"/>
      <c r="BF228" s="1052" t="s">
        <v>1299</v>
      </c>
      <c r="BG228" s="1052" t="s">
        <v>1291</v>
      </c>
      <c r="BH228" s="64" cm="1" t="str">
        <f t="array" ref="BH228:BH228">BH227</f>
        <v>ОАО «СКЭК» (ИНН: 4205153492, КПП: 420501001)</v>
      </c>
      <c r="BI228" s="685"/>
      <c r="BJ228" s="685"/>
    </row>
    <row s="1656" customFormat="1" customHeight="1" ht="14.25">
      <c r="A229" s="892"/>
      <c r="B229" s="442"/>
      <c r="C229" s="892"/>
      <c r="D229" s="892"/>
      <c r="E229" s="684">
        <v>15</v>
      </c>
      <c r="F229" s="1194" cm="1" t="str">
        <f t="array" ref="F229:F229">OFFSET(E229,-1,1)</f>
        <v>2</v>
      </c>
      <c r="G229" s="892"/>
      <c r="H229" s="892"/>
      <c r="I229" s="892"/>
      <c r="J229" s="892"/>
      <c r="K229" s="918"/>
      <c r="L229" s="892"/>
      <c r="M229" s="892"/>
      <c r="N229" s="892"/>
      <c r="O229" s="892"/>
      <c r="P229" s="892"/>
      <c r="Q229" s="892"/>
      <c r="R229" s="892"/>
      <c r="S229" s="892"/>
      <c r="T229" s="468" cm="1" t="str">
        <f t="array" ref="T229:T229">T228</f>
        <v>true</v>
      </c>
      <c r="U229" s="892"/>
      <c r="V229" s="892"/>
      <c r="W229" s="892"/>
      <c r="X229" s="892"/>
      <c r="Y229" s="892"/>
      <c r="Z229" s="892"/>
      <c r="AA229" s="52"/>
      <c r="AB229" s="56" t="str">
        <f>AB225&amp;".2"</f>
        <v>6.1.1.2</v>
      </c>
      <c r="AC229" s="69" t="s">
        <v>1300</v>
      </c>
      <c r="AD229" s="60" t="s">
        <v>936</v>
      </c>
      <c r="AE229" s="3507"/>
      <c r="AF229" s="3507"/>
      <c r="AG229" s="3507"/>
      <c r="AH229" s="3507"/>
      <c r="AI229" s="3507"/>
      <c r="AJ229" s="67"/>
      <c r="AK229" s="67"/>
      <c r="AL229" s="67"/>
      <c r="AM229" s="67"/>
      <c r="AN229" s="67"/>
      <c r="AO229" s="67"/>
      <c r="AP229" s="67"/>
      <c r="AQ229" s="67"/>
      <c r="AR229" s="67"/>
      <c r="AS229" s="3507"/>
      <c r="AT229" s="67"/>
      <c r="AU229" s="67"/>
      <c r="AV229" s="67"/>
      <c r="AW229" s="67"/>
      <c r="AX229" s="67"/>
      <c r="AY229" s="67"/>
      <c r="AZ229" s="67"/>
      <c r="BA229" s="67"/>
      <c r="BB229" s="67"/>
      <c r="BC229" s="3506"/>
      <c r="BD229" s="892"/>
      <c r="BE229" s="892"/>
      <c r="BF229" s="1052" t="s">
        <v>1301</v>
      </c>
      <c r="BG229" s="1052" t="s">
        <v>1291</v>
      </c>
      <c r="BH229" s="64" cm="1" t="str">
        <f t="array" ref="BH229:BH229">BH228</f>
        <v>ОАО «СКЭК» (ИНН: 4205153492, КПП: 420501001)</v>
      </c>
      <c r="BI229" s="685"/>
      <c r="BJ229" s="685"/>
    </row>
    <row s="1656" customFormat="1" customHeight="1" ht="14.25">
      <c r="A230" s="892"/>
      <c r="B230" s="442"/>
      <c r="C230" s="892"/>
      <c r="D230" s="892"/>
      <c r="E230" s="684">
        <v>15</v>
      </c>
      <c r="F230" s="1194" cm="1" t="str">
        <f t="array" ref="F230:F230">OFFSET(E230,-1,1)</f>
        <v>2</v>
      </c>
      <c r="G230" s="892"/>
      <c r="H230" s="892"/>
      <c r="I230" s="892"/>
      <c r="J230" s="892"/>
      <c r="K230" s="918"/>
      <c r="L230" s="892"/>
      <c r="M230" s="892"/>
      <c r="N230" s="892"/>
      <c r="O230" s="892"/>
      <c r="P230" s="892"/>
      <c r="Q230" s="892"/>
      <c r="R230" s="892"/>
      <c r="S230" s="892"/>
      <c r="T230" s="468" cm="1" t="str">
        <f t="array" ref="T230:T230">T229</f>
        <v>true</v>
      </c>
      <c r="U230" s="892"/>
      <c r="V230" s="892"/>
      <c r="W230" s="892"/>
      <c r="X230" s="892"/>
      <c r="Y230" s="892"/>
      <c r="Z230" s="892"/>
      <c r="AA230" s="52"/>
      <c r="AB230" s="56" t="str">
        <f>AB229&amp;".1"</f>
        <v>6.1.1.2.1</v>
      </c>
      <c r="AC230" s="68" t="s">
        <v>1302</v>
      </c>
      <c r="AD230" s="60" t="s">
        <v>1303</v>
      </c>
      <c r="AE230" s="3507"/>
      <c r="AF230" s="3507"/>
      <c r="AG230" s="3507"/>
      <c r="AH230" s="3507"/>
      <c r="AI230" s="3507"/>
      <c r="AJ230" s="67"/>
      <c r="AK230" s="67"/>
      <c r="AL230" s="67"/>
      <c r="AM230" s="67"/>
      <c r="AN230" s="67"/>
      <c r="AO230" s="67"/>
      <c r="AP230" s="67"/>
      <c r="AQ230" s="67"/>
      <c r="AR230" s="67"/>
      <c r="AS230" s="3507"/>
      <c r="AT230" s="67"/>
      <c r="AU230" s="67"/>
      <c r="AV230" s="67"/>
      <c r="AW230" s="67"/>
      <c r="AX230" s="67"/>
      <c r="AY230" s="67"/>
      <c r="AZ230" s="67"/>
      <c r="BA230" s="67"/>
      <c r="BB230" s="67"/>
      <c r="BC230" s="3506"/>
      <c r="BD230" s="892"/>
      <c r="BE230" s="892"/>
      <c r="BF230" s="1052" t="s">
        <v>1304</v>
      </c>
      <c r="BG230" s="1052" t="s">
        <v>1291</v>
      </c>
      <c r="BH230" s="64" cm="1" t="str">
        <f t="array" ref="BH230:BH230">BH229</f>
        <v>ОАО «СКЭК» (ИНН: 4205153492, КПП: 420501001)</v>
      </c>
      <c r="BI230" s="685"/>
      <c r="BJ230" s="685"/>
    </row>
    <row s="1656" customFormat="1" customHeight="1" ht="14.25">
      <c r="A231" s="892"/>
      <c r="B231" s="442"/>
      <c r="C231" s="892"/>
      <c r="D231" s="892"/>
      <c r="E231" s="684">
        <v>15</v>
      </c>
      <c r="F231" s="1194" cm="1" t="str">
        <f t="array" ref="F231:F231">OFFSET(E231,-1,1)</f>
        <v>2</v>
      </c>
      <c r="G231" s="892"/>
      <c r="H231" s="892"/>
      <c r="I231" s="892"/>
      <c r="J231" s="892"/>
      <c r="K231" s="918"/>
      <c r="L231" s="892"/>
      <c r="M231" s="892"/>
      <c r="N231" s="892"/>
      <c r="O231" s="892"/>
      <c r="P231" s="892"/>
      <c r="Q231" s="892"/>
      <c r="R231" s="892"/>
      <c r="S231" s="892"/>
      <c r="T231" s="468" cm="1" t="str">
        <f t="array" ref="T231:T231">T230</f>
        <v>true</v>
      </c>
      <c r="U231" s="892"/>
      <c r="V231" s="892"/>
      <c r="W231" s="892"/>
      <c r="X231" s="892"/>
      <c r="Y231" s="892"/>
      <c r="Z231" s="892"/>
      <c r="AA231" s="52"/>
      <c r="AB231" s="56" t="str">
        <f>AB229&amp;".2"</f>
        <v>6.1.1.2.2</v>
      </c>
      <c r="AC231" s="68" t="s">
        <v>1305</v>
      </c>
      <c r="AD231" s="60" t="s">
        <v>1306</v>
      </c>
      <c r="AE231" s="3507"/>
      <c r="AF231" s="3507"/>
      <c r="AG231" s="3507"/>
      <c r="AH231" s="3507"/>
      <c r="AI231" s="3507"/>
      <c r="AJ231" s="67"/>
      <c r="AK231" s="67"/>
      <c r="AL231" s="67"/>
      <c r="AM231" s="67"/>
      <c r="AN231" s="67"/>
      <c r="AO231" s="67"/>
      <c r="AP231" s="67"/>
      <c r="AQ231" s="67"/>
      <c r="AR231" s="67"/>
      <c r="AS231" s="3507"/>
      <c r="AT231" s="67"/>
      <c r="AU231" s="67"/>
      <c r="AV231" s="67"/>
      <c r="AW231" s="67"/>
      <c r="AX231" s="67"/>
      <c r="AY231" s="67"/>
      <c r="AZ231" s="67"/>
      <c r="BA231" s="67"/>
      <c r="BB231" s="67"/>
      <c r="BC231" s="3506"/>
      <c r="BD231" s="892"/>
      <c r="BE231" s="892"/>
      <c r="BF231" s="1052" t="s">
        <v>1307</v>
      </c>
      <c r="BG231" s="1052" t="s">
        <v>1291</v>
      </c>
      <c r="BH231" s="64" cm="1" t="str">
        <f t="array" ref="BH231:BH231">BH230</f>
        <v>ОАО «СКЭК» (ИНН: 4205153492, КПП: 420501001)</v>
      </c>
      <c r="BI231" s="685"/>
      <c r="BJ231" s="685"/>
    </row>
    <row customHeight="1" ht="14.625">
      <c r="B232" s="443"/>
      <c r="E232" s="684">
        <v>15</v>
      </c>
      <c r="F232" s="1326" cm="1" t="str">
        <f t="array" ref="F232:F232">OFFSET(E232,-1,1)</f>
        <v>2</v>
      </c>
      <c r="G232" s="892"/>
      <c r="K232" s="918"/>
      <c r="L232" s="922"/>
      <c r="T232" s="1436">
        <f>F232&gt;0</f>
        <v>1</v>
      </c>
      <c r="W232" s="691" t="s">
        <v>1308</v>
      </c>
      <c r="X232" s="690"/>
      <c r="Y232" s="1491"/>
      <c r="Z232" s="892"/>
      <c r="AA232" s="2547"/>
      <c r="AB232" s="3764"/>
      <c r="AC232" s="3765" t="s">
        <v>1260</v>
      </c>
      <c r="AD232" s="3766"/>
      <c r="AE232" s="3767"/>
      <c r="AF232" s="3768"/>
      <c r="AG232" s="3769"/>
      <c r="AH232" s="3770"/>
      <c r="AI232" s="3771"/>
      <c r="AJ232" s="3772"/>
      <c r="AK232" s="3773"/>
      <c r="AL232" s="3774"/>
      <c r="AM232" s="3775"/>
      <c r="AN232" s="3776"/>
      <c r="AO232" s="3777"/>
      <c r="AP232" s="3778"/>
      <c r="AQ232" s="3779"/>
      <c r="AR232" s="3780"/>
      <c r="AS232" s="3781"/>
      <c r="AT232" s="3782"/>
      <c r="AU232" s="3783"/>
      <c r="AV232" s="3784"/>
      <c r="AW232" s="3785"/>
      <c r="AX232" s="3786"/>
      <c r="AY232" s="3787"/>
      <c r="AZ232" s="3788"/>
      <c r="BA232" s="3789"/>
      <c r="BB232" s="3790"/>
      <c r="BC232" s="3791"/>
      <c r="BF232" s="1052"/>
      <c r="BG232" s="1052"/>
      <c r="BH232" s="1052"/>
      <c r="BI232" s="685" t="s">
        <v>1291</v>
      </c>
      <c r="BJ232" s="685"/>
    </row>
    <row s="149" customFormat="1" customHeight="1" ht="84.421875">
      <c r="A233" s="149"/>
      <c r="B233" s="443"/>
      <c r="C233" s="149"/>
      <c r="D233" s="149"/>
      <c r="E233" s="685">
        <v>15</v>
      </c>
      <c r="F233" s="50" cm="1" t="str">
        <f t="array" ref="F233:F233">OFFSET(E233,-1,1)</f>
        <v>2</v>
      </c>
      <c r="G233" s="148" t="s">
        <v>619</v>
      </c>
      <c r="H233" s="149"/>
      <c r="I233" s="149"/>
      <c r="J233" s="149"/>
      <c r="K233" s="918" t="str">
        <f>F178&amp;"7komm"</f>
        <v>27komm</v>
      </c>
      <c r="L233" s="922" cm="1" t="str">
        <f t="array" ref="L233:L233">BC233</f>
        <v>0</v>
      </c>
      <c r="M233" s="149"/>
      <c r="N233" s="149"/>
      <c r="O233" s="149"/>
      <c r="P233" s="149"/>
      <c r="Q233" s="149"/>
      <c r="R233" s="149"/>
      <c r="S233" s="149"/>
      <c r="T233" s="468" cm="1" t="str">
        <f t="array" ref="T233:T233">T213</f>
        <v>true</v>
      </c>
      <c r="U233" s="149"/>
      <c r="V233" s="149"/>
      <c r="W233" s="149"/>
      <c r="X233" s="1469"/>
      <c r="Y233" s="149"/>
      <c r="Z233" s="1592"/>
      <c r="AA233" s="149"/>
      <c r="AB233" s="207">
        <v>7</v>
      </c>
      <c r="AC233" s="208" t="s">
        <v>1309</v>
      </c>
      <c r="AD233" s="207" t="s">
        <v>936</v>
      </c>
      <c r="AE233" s="3231">
        <f>SUMIF($AD236:$AD239,$AD233,AE236:AE239)</f>
        <v>0</v>
      </c>
      <c r="AF233" s="3231">
        <f>SUMIF($AD236:$AD239,$AD233,AF236:AF239)</f>
        <v>0</v>
      </c>
      <c r="AG233" s="3231">
        <f>SUMIF($AD236:$AD239,$AD233,AG236:AG239)</f>
        <v>0</v>
      </c>
      <c r="AH233" s="3231">
        <f>SUMIF($AD236:$AD239,$AD233,AH236:AH239)</f>
        <v>0</v>
      </c>
      <c r="AI233" s="3231">
        <f>SUMIF($AD236:$AD239,$AD233,AI236:AI239)</f>
        <v>0</v>
      </c>
      <c r="AJ233" s="3232">
        <f>SUMIF($AD236:$AD239,$AD233,AJ236:AJ239)</f>
        <v>0</v>
      </c>
      <c r="AK233" s="3232">
        <f>SUMIF($AD236:$AD239,$AD233,AK236:AK239)</f>
        <v>0</v>
      </c>
      <c r="AL233" s="3232">
        <f>SUMIF($AD236:$AD239,$AD233,AL236:AL239)</f>
        <v>0</v>
      </c>
      <c r="AM233" s="3232">
        <f>SUMIF($AD236:$AD239,$AD233,AM236:AM239)</f>
        <v>0</v>
      </c>
      <c r="AN233" s="3232">
        <f>SUMIF($AD236:$AD239,$AD233,AN236:AN239)</f>
        <v>0</v>
      </c>
      <c r="AO233" s="3232">
        <f>SUMIF($AD236:$AD239,$AD233,AO236:AO239)</f>
        <v>0</v>
      </c>
      <c r="AP233" s="3232">
        <f>SUMIF($AD236:$AD239,$AD233,AP236:AP239)</f>
        <v>0</v>
      </c>
      <c r="AQ233" s="3232">
        <f>SUMIF($AD236:$AD239,$AD233,AQ236:AQ239)</f>
        <v>0</v>
      </c>
      <c r="AR233" s="3232">
        <f>SUMIF($AD236:$AD239,$AD233,AR236:AR239)</f>
        <v>0</v>
      </c>
      <c r="AS233" s="3231">
        <f>SUMIF($AD236:$AD239,$AD233,AS236:AS239)</f>
        <v>0</v>
      </c>
      <c r="AT233" s="3232">
        <f>SUMIF($AD236:$AD239,$AD233,AT236:AT239)</f>
        <v>0</v>
      </c>
      <c r="AU233" s="3232">
        <f>SUMIF($AD236:$AD239,$AD233,AU236:AU239)</f>
        <v>0</v>
      </c>
      <c r="AV233" s="3232">
        <f>SUMIF($AD236:$AD239,$AD233,AV236:AV239)</f>
        <v>0</v>
      </c>
      <c r="AW233" s="3232">
        <f>SUMIF($AD236:$AD239,$AD233,AW236:AW239)</f>
        <v>0</v>
      </c>
      <c r="AX233" s="3232">
        <f>SUMIF($AD236:$AD239,$AD233,AX236:AX239)</f>
        <v>0</v>
      </c>
      <c r="AY233" s="3232">
        <f>SUMIF($AD236:$AD239,$AD233,AY236:AY239)</f>
        <v>0</v>
      </c>
      <c r="AZ233" s="3232">
        <f>SUMIF($AD236:$AD239,$AD233,AZ236:AZ239)</f>
        <v>0</v>
      </c>
      <c r="BA233" s="3232">
        <f>SUMIF($AD236:$AD239,$AD233,BA236:BA239)</f>
        <v>0</v>
      </c>
      <c r="BB233" s="3232">
        <f>SUMIF($AD236:$AD239,$AD233,BB236:BB239)</f>
        <v>0</v>
      </c>
      <c r="BC233" s="196"/>
      <c r="BD233" s="149"/>
      <c r="BE233" s="149"/>
      <c r="BF233" s="1052" t="s">
        <v>1310</v>
      </c>
      <c r="BG233" s="1052"/>
      <c r="BH233" s="1052"/>
      <c r="BI233" s="685"/>
      <c r="BJ233" s="685"/>
    </row>
    <row customHeight="1" ht="14.625" hidden="1">
      <c r="A234" s="892"/>
      <c r="B234" s="443"/>
      <c r="C234" s="892"/>
      <c r="D234" s="892"/>
      <c r="E234" s="684">
        <v>15</v>
      </c>
      <c r="F234" s="1326" cm="1" t="str">
        <f t="array" ref="F234:F234">OFFSET(E234,-1,1)</f>
        <v>2</v>
      </c>
      <c r="G234" s="892"/>
      <c r="H234" s="892"/>
      <c r="I234" s="892"/>
      <c r="J234" s="892"/>
      <c r="K234" s="918"/>
      <c r="L234" s="922"/>
      <c r="M234" s="892"/>
      <c r="N234" s="892"/>
      <c r="O234" s="892"/>
      <c r="P234" s="892"/>
      <c r="Q234" s="892"/>
      <c r="R234" s="892"/>
      <c r="S234" s="892"/>
      <c r="T234" s="1436" t="b">
        <v>0</v>
      </c>
      <c r="U234" s="892"/>
      <c r="V234" s="892"/>
      <c r="W234" s="892" t="s">
        <v>173</v>
      </c>
      <c r="X234" s="690"/>
      <c r="Y234" s="1469">
        <v>0</v>
      </c>
      <c r="Z234" s="892"/>
      <c r="AA234" s="3234" t="s">
        <v>174</v>
      </c>
      <c r="AB234" s="3206"/>
      <c r="AC234" s="1489"/>
      <c r="AD234" s="3235"/>
      <c r="AE234" s="3236">
        <f>OR(AND(AE236&lt;&gt;"",AE237=""),AND(AE236="",AE237&lt;&gt;""))</f>
        <v>0</v>
      </c>
      <c r="AF234" s="3236">
        <f>OR(AND(AF236&lt;&gt;"",AF237=""),AND(AF236="",AF237&lt;&gt;""))</f>
        <v>0</v>
      </c>
      <c r="AG234" s="3236">
        <f>OR(AND(AG236&lt;&gt;"",AG237=""),AND(AG236="",AG237&lt;&gt;""))</f>
        <v>0</v>
      </c>
      <c r="AH234" s="3236">
        <f>OR(AND(AH236&lt;&gt;"",AH237=""),AND(AH236="",AH237&lt;&gt;""))</f>
        <v>0</v>
      </c>
      <c r="AI234" s="3236">
        <f>OR(AND(AI236&lt;&gt;"",AI237=""),AND(AI236="",AI237&lt;&gt;""))</f>
        <v>0</v>
      </c>
      <c r="AJ234" s="3236">
        <f>OR(AND(AJ236&lt;&gt;"",AJ237=""),AND(AJ236="",AJ237&lt;&gt;""))</f>
        <v>0</v>
      </c>
      <c r="AK234" s="3236">
        <f>OR(AND(AK236&lt;&gt;"",AK237=""),AND(AK236="",AK237&lt;&gt;""))</f>
        <v>0</v>
      </c>
      <c r="AL234" s="3236">
        <f>OR(AND(AL236&lt;&gt;"",AL237=""),AND(AL236="",AL237&lt;&gt;""))</f>
        <v>0</v>
      </c>
      <c r="AM234" s="3236">
        <f>OR(AND(AM236&lt;&gt;"",AM237=""),AND(AM236="",AM237&lt;&gt;""))</f>
        <v>0</v>
      </c>
      <c r="AN234" s="3236">
        <f>OR(AND(AN236&lt;&gt;"",AN237=""),AND(AN236="",AN237&lt;&gt;""))</f>
        <v>0</v>
      </c>
      <c r="AO234" s="3236">
        <f>OR(AND(AO236&lt;&gt;"",AO237=""),AND(AO236="",AO237&lt;&gt;""))</f>
        <v>0</v>
      </c>
      <c r="AP234" s="3236">
        <f>OR(AND(AP236&lt;&gt;"",AP237=""),AND(AP236="",AP237&lt;&gt;""))</f>
        <v>0</v>
      </c>
      <c r="AQ234" s="3236">
        <f>OR(AND(AQ236&lt;&gt;"",AQ237=""),AND(AQ236="",AQ237&lt;&gt;""))</f>
        <v>0</v>
      </c>
      <c r="AR234" s="3236">
        <f>OR(AND(AR236&lt;&gt;"",AR237=""),AND(AR236="",AR237&lt;&gt;""))</f>
        <v>0</v>
      </c>
      <c r="AS234" s="3236">
        <f>OR(AND(AS236&lt;&gt;"",AS237=""),AND(AS236="",AS237&lt;&gt;""))</f>
        <v>0</v>
      </c>
      <c r="AT234" s="3236">
        <f>OR(AND(AT236&lt;&gt;"",AT237=""),AND(AT236="",AT237&lt;&gt;""))</f>
        <v>0</v>
      </c>
      <c r="AU234" s="3236">
        <f>OR(AND(AU236&lt;&gt;"",AU237=""),AND(AU236="",AU237&lt;&gt;""))</f>
        <v>0</v>
      </c>
      <c r="AV234" s="3236">
        <f>OR(AND(AV236&lt;&gt;"",AV237=""),AND(AV236="",AV237&lt;&gt;""))</f>
        <v>0</v>
      </c>
      <c r="AW234" s="3236">
        <f>OR(AND(AW236&lt;&gt;"",AW237=""),AND(AW236="",AW237&lt;&gt;""))</f>
        <v>0</v>
      </c>
      <c r="AX234" s="3236">
        <f>OR(AND(AX236&lt;&gt;"",AX237=""),AND(AX236="",AX237&lt;&gt;""))</f>
        <v>0</v>
      </c>
      <c r="AY234" s="3236">
        <f>OR(AND(AY236&lt;&gt;"",AY237=""),AND(AY236="",AY237&lt;&gt;""))</f>
        <v>0</v>
      </c>
      <c r="AZ234" s="3236">
        <f>OR(AND(AZ236&lt;&gt;"",AZ237=""),AND(AZ236="",AZ237&lt;&gt;""))</f>
        <v>0</v>
      </c>
      <c r="BA234" s="3236">
        <f>OR(AND(BA236&lt;&gt;"",BA237=""),AND(BA236="",BA237&lt;&gt;""))</f>
        <v>0</v>
      </c>
      <c r="BB234" s="3236">
        <f>OR(AND(BB236&lt;&gt;"",BB237=""),AND(BB236="",BB237&lt;&gt;""))</f>
        <v>0</v>
      </c>
      <c r="BC234" s="982"/>
      <c r="BD234" s="892"/>
      <c r="BE234" s="892"/>
      <c r="BF234" s="1052"/>
      <c r="BG234" s="1052"/>
      <c r="BH234" s="1052"/>
      <c r="BI234" s="685"/>
      <c r="BJ234" s="685"/>
    </row>
    <row customHeight="1" ht="14.625" hidden="1">
      <c r="A235" s="892"/>
      <c r="B235" s="443"/>
      <c r="C235" s="892"/>
      <c r="D235" s="892"/>
      <c r="E235" s="684">
        <v>15</v>
      </c>
      <c r="F235" s="1326" cm="1" t="str">
        <f t="array" ref="F235:F235">OFFSET(E235,-1,1)</f>
        <v>2</v>
      </c>
      <c r="G235" s="892"/>
      <c r="H235" s="892"/>
      <c r="I235" s="892"/>
      <c r="J235" s="892"/>
      <c r="K235" s="918"/>
      <c r="L235" s="922"/>
      <c r="M235" s="892"/>
      <c r="N235" s="892"/>
      <c r="O235" s="892"/>
      <c r="P235" s="892"/>
      <c r="Q235" s="892"/>
      <c r="R235" s="892"/>
      <c r="S235" s="892"/>
      <c r="T235" s="1436">
        <f>AND(F235&gt;0,Y234&gt;0)</f>
        <v>0</v>
      </c>
      <c r="U235" s="892"/>
      <c r="V235" s="892"/>
      <c r="W235" s="892"/>
      <c r="X235" s="690"/>
      <c r="Y235" s="1469"/>
      <c r="Z235" s="892"/>
      <c r="AA235" s="3234"/>
      <c r="AB235" s="3204" t="str">
        <f>"7."&amp;Y234</f>
        <v>7.0</v>
      </c>
      <c r="AC235" s="3237"/>
      <c r="AD235" s="3235"/>
      <c r="AE235" s="892"/>
      <c r="AF235" s="892"/>
      <c r="AG235" s="892"/>
      <c r="AH235" s="892"/>
      <c r="AI235" s="892"/>
      <c r="AJ235" s="892"/>
      <c r="AK235" s="892"/>
      <c r="AL235" s="892"/>
      <c r="AM235" s="892"/>
      <c r="AN235" s="892"/>
      <c r="AO235" s="892"/>
      <c r="AP235" s="892"/>
      <c r="AQ235" s="892"/>
      <c r="AR235" s="892"/>
      <c r="AS235" s="892"/>
      <c r="AT235" s="892"/>
      <c r="AU235" s="892"/>
      <c r="AV235" s="892"/>
      <c r="AW235" s="892"/>
      <c r="AX235" s="892"/>
      <c r="AY235" s="892"/>
      <c r="AZ235" s="892"/>
      <c r="BA235" s="892"/>
      <c r="BB235" s="892"/>
      <c r="BC235" s="892"/>
      <c r="BD235" s="892"/>
      <c r="BE235" s="892"/>
      <c r="BF235" s="1052"/>
      <c r="BG235" s="1052"/>
      <c r="BH235" s="1052"/>
      <c r="BI235" s="685"/>
      <c r="BJ235" s="685"/>
    </row>
    <row customHeight="1" ht="14.625" hidden="1">
      <c r="A236" s="892"/>
      <c r="B236" s="443"/>
      <c r="C236" s="892"/>
      <c r="D236" s="892"/>
      <c r="E236" s="684">
        <v>15</v>
      </c>
      <c r="F236" s="1326" cm="1" t="str">
        <f t="array" ref="F236:F236">OFFSET(E236,-1,1)</f>
        <v>2</v>
      </c>
      <c r="G236" s="892"/>
      <c r="H236" s="892"/>
      <c r="I236" s="892"/>
      <c r="J236" s="892"/>
      <c r="K236" s="918"/>
      <c r="L236" s="922"/>
      <c r="M236" s="892"/>
      <c r="N236" s="892"/>
      <c r="O236" s="892"/>
      <c r="P236" s="892"/>
      <c r="Q236" s="892"/>
      <c r="R236" s="892"/>
      <c r="S236" s="892"/>
      <c r="T236" s="1436" cm="1" t="str">
        <f t="array" ref="T236:T236">T235</f>
        <v>false</v>
      </c>
      <c r="U236" s="892"/>
      <c r="V236" s="892"/>
      <c r="W236" s="892"/>
      <c r="X236" s="690"/>
      <c r="Y236" s="1469"/>
      <c r="Z236" s="892"/>
      <c r="AA236" s="3234"/>
      <c r="AB236" s="3204" t="str">
        <f>AB235&amp;".1"</f>
        <v>7.0.1</v>
      </c>
      <c r="AC236" s="3273" t="s">
        <v>1251</v>
      </c>
      <c r="AD236" s="3206" t="s">
        <v>936</v>
      </c>
      <c r="AE236" s="3274"/>
      <c r="AF236" s="3275"/>
      <c r="AG236" s="3274"/>
      <c r="AH236" s="3274"/>
      <c r="AI236" s="3275"/>
      <c r="AJ236" s="3275"/>
      <c r="AK236" s="3275"/>
      <c r="AL236" s="3275"/>
      <c r="AM236" s="3275"/>
      <c r="AN236" s="3275"/>
      <c r="AO236" s="3275"/>
      <c r="AP236" s="3275"/>
      <c r="AQ236" s="3275"/>
      <c r="AR236" s="3275"/>
      <c r="AS236" s="3274"/>
      <c r="AT236" s="3274"/>
      <c r="AU236" s="3274"/>
      <c r="AV236" s="3274"/>
      <c r="AW236" s="3274"/>
      <c r="AX236" s="3274"/>
      <c r="AY236" s="3274"/>
      <c r="AZ236" s="3274"/>
      <c r="BA236" s="3274"/>
      <c r="BB236" s="3274"/>
      <c r="BC236" s="2550"/>
      <c r="BD236" s="892"/>
      <c r="BE236" s="892"/>
      <c r="BF236" s="1049" t="s">
        <v>1252</v>
      </c>
      <c r="BG236" s="1052" t="s">
        <v>1311</v>
      </c>
      <c r="BH236" s="3241" cm="1" t="str">
        <f t="array" ref="BH236:BH236">AC235</f>
        <v>0</v>
      </c>
      <c r="BI236" s="685"/>
      <c r="BJ236" s="685" t="b">
        <v>1</v>
      </c>
    </row>
    <row customHeight="1" ht="14.625" hidden="1">
      <c r="A237" s="892"/>
      <c r="B237" s="443"/>
      <c r="C237" s="892"/>
      <c r="D237" s="892"/>
      <c r="E237" s="684">
        <v>15</v>
      </c>
      <c r="F237" s="1326" cm="1" t="str">
        <f t="array" ref="F237:F237">OFFSET(E237,-1,1)</f>
        <v>2</v>
      </c>
      <c r="G237" s="892"/>
      <c r="H237" s="892"/>
      <c r="I237" s="892"/>
      <c r="J237" s="892"/>
      <c r="K237" s="918"/>
      <c r="L237" s="922"/>
      <c r="M237" s="892"/>
      <c r="N237" s="892"/>
      <c r="O237" s="892"/>
      <c r="P237" s="892"/>
      <c r="Q237" s="892"/>
      <c r="R237" s="892"/>
      <c r="S237" s="892"/>
      <c r="T237" s="1436" cm="1" t="str">
        <f t="array" ref="T237:T237">T236</f>
        <v>false</v>
      </c>
      <c r="U237" s="892"/>
      <c r="V237" s="892"/>
      <c r="W237" s="892"/>
      <c r="X237" s="690"/>
      <c r="Y237" s="1469"/>
      <c r="Z237" s="892"/>
      <c r="AA237" s="3234"/>
      <c r="AB237" s="3204" t="str">
        <f>AB236&amp;".1"</f>
        <v>7.0.1.1</v>
      </c>
      <c r="AC237" s="3215" t="s">
        <v>1312</v>
      </c>
      <c r="AD237" s="3204" t="s">
        <v>657</v>
      </c>
      <c r="AE237" s="3274"/>
      <c r="AF237" s="3275"/>
      <c r="AG237" s="3274"/>
      <c r="AH237" s="3274"/>
      <c r="AI237" s="3275"/>
      <c r="AJ237" s="3275"/>
      <c r="AK237" s="3275"/>
      <c r="AL237" s="3275"/>
      <c r="AM237" s="3275"/>
      <c r="AN237" s="3275"/>
      <c r="AO237" s="3275"/>
      <c r="AP237" s="3275"/>
      <c r="AQ237" s="3275"/>
      <c r="AR237" s="3275"/>
      <c r="AS237" s="3274"/>
      <c r="AT237" s="3274"/>
      <c r="AU237" s="3274"/>
      <c r="AV237" s="3274"/>
      <c r="AW237" s="3274"/>
      <c r="AX237" s="3274"/>
      <c r="AY237" s="3274"/>
      <c r="AZ237" s="3274"/>
      <c r="BA237" s="3274"/>
      <c r="BB237" s="3274"/>
      <c r="BC237" s="2550"/>
      <c r="BD237" s="892"/>
      <c r="BE237" s="892"/>
      <c r="BF237" s="1049" t="s">
        <v>1255</v>
      </c>
      <c r="BG237" s="1052" t="s">
        <v>1311</v>
      </c>
      <c r="BH237" s="3241" cm="1" t="str">
        <f t="array" ref="BH237:BH237">BH236</f>
        <v>0</v>
      </c>
      <c r="BI237" s="685"/>
      <c r="BJ237" s="685"/>
    </row>
    <row customHeight="1" ht="14.625" hidden="1">
      <c r="A238" s="892"/>
      <c r="B238" s="443"/>
      <c r="C238" s="892"/>
      <c r="D238" s="892"/>
      <c r="E238" s="684">
        <v>15</v>
      </c>
      <c r="F238" s="1326" cm="1" t="str">
        <f t="array" ref="F238:F238">OFFSET(E238,-1,1)</f>
        <v>2</v>
      </c>
      <c r="G238" s="892"/>
      <c r="H238" s="892"/>
      <c r="I238" s="892"/>
      <c r="J238" s="892"/>
      <c r="K238" s="918"/>
      <c r="L238" s="922"/>
      <c r="M238" s="892"/>
      <c r="N238" s="892"/>
      <c r="O238" s="892"/>
      <c r="P238" s="892"/>
      <c r="Q238" s="892"/>
      <c r="R238" s="892"/>
      <c r="S238" s="892"/>
      <c r="T238" s="1436" cm="1" t="str">
        <f t="array" ref="T238:T238">T237</f>
        <v>false</v>
      </c>
      <c r="U238" s="892"/>
      <c r="V238" s="892"/>
      <c r="W238" s="892"/>
      <c r="X238" s="690"/>
      <c r="Y238" s="1469"/>
      <c r="Z238" s="892"/>
      <c r="AA238" s="3234"/>
      <c r="AB238" s="3204" t="str">
        <f>AB236&amp;".2"</f>
        <v>7.0.1.2</v>
      </c>
      <c r="AC238" s="3215" t="s">
        <v>1313</v>
      </c>
      <c r="AD238" s="3204" t="s">
        <v>1257</v>
      </c>
      <c r="AE238" s="3274"/>
      <c r="AF238" s="3275"/>
      <c r="AG238" s="3275"/>
      <c r="AH238" s="3274"/>
      <c r="AI238" s="3275"/>
      <c r="AJ238" s="3275"/>
      <c r="AK238" s="3275"/>
      <c r="AL238" s="3275"/>
      <c r="AM238" s="3275"/>
      <c r="AN238" s="3275"/>
      <c r="AO238" s="3275"/>
      <c r="AP238" s="3275"/>
      <c r="AQ238" s="3275"/>
      <c r="AR238" s="3275"/>
      <c r="AS238" s="3275"/>
      <c r="AT238" s="3275"/>
      <c r="AU238" s="3275"/>
      <c r="AV238" s="3275"/>
      <c r="AW238" s="3275"/>
      <c r="AX238" s="3275"/>
      <c r="AY238" s="3275"/>
      <c r="AZ238" s="3275"/>
      <c r="BA238" s="3275"/>
      <c r="BB238" s="3275"/>
      <c r="BC238" s="2550"/>
      <c r="BD238" s="892"/>
      <c r="BE238" s="892"/>
      <c r="BF238" s="1049" t="s">
        <v>1258</v>
      </c>
      <c r="BG238" s="1052" t="s">
        <v>1311</v>
      </c>
      <c r="BH238" s="3241" cm="1" t="str">
        <f t="array" ref="BH238:BH238">BH237</f>
        <v>0</v>
      </c>
      <c r="BI238" s="685"/>
      <c r="BJ238" s="685"/>
    </row>
    <row customHeight="1" ht="14.625">
      <c r="B239" s="443"/>
      <c r="E239" s="684">
        <v>15</v>
      </c>
      <c r="F239" s="1326" cm="1" t="str">
        <f t="array" ref="F239:F239">OFFSET(E239,-1,1)</f>
        <v>2</v>
      </c>
      <c r="G239" s="892"/>
      <c r="K239" s="918"/>
      <c r="L239" s="922"/>
      <c r="T239" s="1436">
        <f>F239&gt;0</f>
        <v>1</v>
      </c>
      <c r="W239" s="691" t="s">
        <v>1314</v>
      </c>
      <c r="X239" s="690"/>
      <c r="Z239" s="892"/>
      <c r="AA239" s="2547"/>
      <c r="AB239" s="3792"/>
      <c r="AC239" s="3793" t="s">
        <v>1260</v>
      </c>
      <c r="AD239" s="3794"/>
      <c r="AE239" s="3795"/>
      <c r="AF239" s="3796"/>
      <c r="AG239" s="3797"/>
      <c r="AH239" s="3798"/>
      <c r="AI239" s="3799"/>
      <c r="AJ239" s="3800"/>
      <c r="AK239" s="3801"/>
      <c r="AL239" s="3802"/>
      <c r="AM239" s="3803"/>
      <c r="AN239" s="3804"/>
      <c r="AO239" s="3805"/>
      <c r="AP239" s="3806"/>
      <c r="AQ239" s="3807"/>
      <c r="AR239" s="3808"/>
      <c r="AS239" s="3809"/>
      <c r="AT239" s="3810"/>
      <c r="AU239" s="3811"/>
      <c r="AV239" s="3812"/>
      <c r="AW239" s="3813"/>
      <c r="AX239" s="3814"/>
      <c r="AY239" s="3815"/>
      <c r="AZ239" s="3816"/>
      <c r="BA239" s="3817"/>
      <c r="BB239" s="3818"/>
      <c r="BC239" s="3819"/>
      <c r="BF239" s="1052"/>
      <c r="BG239" s="1052"/>
      <c r="BH239" s="1052"/>
      <c r="BI239" s="685" t="s">
        <v>1311</v>
      </c>
      <c r="BJ239" s="685"/>
    </row>
    <row s="149" customFormat="1" customHeight="1" ht="58.171875">
      <c r="A240" s="149"/>
      <c r="B240" s="443"/>
      <c r="C240" s="149"/>
      <c r="D240" s="149"/>
      <c r="E240" s="685">
        <v>15</v>
      </c>
      <c r="F240" s="50" cm="1" t="str">
        <f t="array" ref="F240:F240">OFFSET(E240,-1,1)</f>
        <v>2</v>
      </c>
      <c r="G240" s="148" t="s">
        <v>685</v>
      </c>
      <c r="H240" s="149"/>
      <c r="I240" s="149"/>
      <c r="J240" s="149"/>
      <c r="K240" s="918" t="str">
        <f>F178&amp;"8komm"</f>
        <v>28komm</v>
      </c>
      <c r="L240" s="922" cm="1" t="str">
        <f t="array" ref="L240:L240">BC240</f>
        <v>Приказ Генерального директора ОАО "СКЭК" от 31.12.2019 № 344 "О внесении изменений в Учетную политику" (Пункт 1.11, об учете и распределении затрат по  тепловой энергии на производственные нужды котельных  НФС и ОСВ г. Ленинск-Кузнецкий).</v>
      </c>
      <c r="M240" s="149"/>
      <c r="N240" s="149"/>
      <c r="O240" s="149"/>
      <c r="P240" s="149"/>
      <c r="Q240" s="149"/>
      <c r="R240" s="149"/>
      <c r="S240" s="149"/>
      <c r="T240" s="468" cm="1" t="str">
        <f t="array" ref="T240:T240">T233</f>
        <v>true</v>
      </c>
      <c r="U240" s="149"/>
      <c r="V240" s="149"/>
      <c r="W240" s="149"/>
      <c r="X240" s="1469"/>
      <c r="Y240" s="149"/>
      <c r="Z240" s="1592"/>
      <c r="AA240" s="149"/>
      <c r="AB240" s="207">
        <v>8</v>
      </c>
      <c r="AC240" s="208" t="s">
        <v>1315</v>
      </c>
      <c r="AD240" s="207" t="s">
        <v>936</v>
      </c>
      <c r="AE240" s="3231">
        <f>SUMIF($AD243:$AD246,$AD240,AE243:AE246)</f>
        <v>0</v>
      </c>
      <c r="AF240" s="3231">
        <f>SUMIF($AD243:$AD246,$AD240,AF243:AF246)</f>
        <v>0</v>
      </c>
      <c r="AG240" s="3231">
        <f>SUMIF($AD243:$AD246,$AD240,AG243:AG246)</f>
        <v>0</v>
      </c>
      <c r="AH240" s="3231">
        <f>SUMIF($AD243:$AD246,$AD240,AH243:AH246)</f>
        <v>0</v>
      </c>
      <c r="AI240" s="3231">
        <f>SUMIF($AD243:$AD246,$AD240,AI243:AI246)</f>
        <v>0</v>
      </c>
      <c r="AJ240" s="3232">
        <f>SUMIF($AD243:$AD246,$AD240,AJ243:AJ246)</f>
        <v>0</v>
      </c>
      <c r="AK240" s="3232">
        <f>SUMIF($AD243:$AD246,$AD240,AK243:AK246)</f>
        <v>0</v>
      </c>
      <c r="AL240" s="3232">
        <f>SUMIF($AD243:$AD246,$AD240,AL243:AL246)</f>
        <v>0</v>
      </c>
      <c r="AM240" s="3232">
        <f>SUMIF($AD243:$AD246,$AD240,AM243:AM246)</f>
        <v>0</v>
      </c>
      <c r="AN240" s="3232">
        <f>SUMIF($AD243:$AD246,$AD240,AN243:AN246)</f>
        <v>0</v>
      </c>
      <c r="AO240" s="3232">
        <f>SUMIF($AD243:$AD246,$AD240,AO243:AO246)</f>
        <v>0</v>
      </c>
      <c r="AP240" s="3232">
        <f>SUMIF($AD243:$AD246,$AD240,AP243:AP246)</f>
        <v>0</v>
      </c>
      <c r="AQ240" s="3232">
        <f>SUMIF($AD243:$AD246,$AD240,AQ243:AQ246)</f>
        <v>0</v>
      </c>
      <c r="AR240" s="3232">
        <f>SUMIF($AD243:$AD246,$AD240,AR243:AR246)</f>
        <v>0</v>
      </c>
      <c r="AS240" s="3231">
        <f>SUMIF($AD243:$AD246,$AD240,AS243:AS246)</f>
        <v>0</v>
      </c>
      <c r="AT240" s="3232">
        <f>SUMIF($AD243:$AD246,$AD240,AT243:AT246)</f>
        <v>0</v>
      </c>
      <c r="AU240" s="3232">
        <f>SUMIF($AD243:$AD246,$AD240,AU243:AU246)</f>
        <v>0</v>
      </c>
      <c r="AV240" s="3232">
        <f>SUMIF($AD243:$AD246,$AD240,AV243:AV246)</f>
        <v>0</v>
      </c>
      <c r="AW240" s="3232">
        <f>SUMIF($AD243:$AD246,$AD240,AW243:AW246)</f>
        <v>0</v>
      </c>
      <c r="AX240" s="3232">
        <f>SUMIF($AD243:$AD246,$AD240,AX243:AX246)</f>
        <v>0</v>
      </c>
      <c r="AY240" s="3232">
        <f>SUMIF($AD243:$AD246,$AD240,AY243:AY246)</f>
        <v>0</v>
      </c>
      <c r="AZ240" s="3232">
        <f>SUMIF($AD243:$AD246,$AD240,AZ243:AZ246)</f>
        <v>0</v>
      </c>
      <c r="BA240" s="3232">
        <f>SUMIF($AD243:$AD246,$AD240,BA243:BA246)</f>
        <v>0</v>
      </c>
      <c r="BB240" s="3232">
        <f>SUMIF($AD243:$AD246,$AD240,BB243:BB246)</f>
        <v>0</v>
      </c>
      <c r="BC240" s="196" t="s">
        <v>1330</v>
      </c>
      <c r="BD240" s="149"/>
      <c r="BE240" s="149"/>
      <c r="BF240" s="1052" t="s">
        <v>1316</v>
      </c>
      <c r="BG240" s="1052"/>
      <c r="BH240" s="1052"/>
      <c r="BI240" s="685"/>
      <c r="BJ240" s="685"/>
    </row>
    <row customHeight="1" ht="14.625" hidden="1">
      <c r="A241" s="892"/>
      <c r="B241" s="443"/>
      <c r="C241" s="892"/>
      <c r="D241" s="892"/>
      <c r="E241" s="684">
        <v>15</v>
      </c>
      <c r="F241" s="1326" cm="1" t="str">
        <f t="array" ref="F241:F241">OFFSET(E241,-1,1)</f>
        <v>2</v>
      </c>
      <c r="G241" s="892"/>
      <c r="H241" s="892"/>
      <c r="I241" s="892"/>
      <c r="J241" s="892"/>
      <c r="K241" s="918"/>
      <c r="L241" s="922"/>
      <c r="M241" s="892"/>
      <c r="N241" s="892"/>
      <c r="O241" s="892"/>
      <c r="P241" s="892"/>
      <c r="Q241" s="892"/>
      <c r="R241" s="892"/>
      <c r="S241" s="892"/>
      <c r="T241" s="1436" t="b">
        <v>0</v>
      </c>
      <c r="U241" s="892"/>
      <c r="V241" s="892"/>
      <c r="W241" s="892" t="s">
        <v>173</v>
      </c>
      <c r="X241" s="690"/>
      <c r="Y241" s="1469">
        <v>0</v>
      </c>
      <c r="Z241" s="892"/>
      <c r="AA241" s="3234" t="s">
        <v>174</v>
      </c>
      <c r="AB241" s="3206"/>
      <c r="AC241" s="1489"/>
      <c r="AD241" s="3235"/>
      <c r="AE241" s="3236">
        <f>OR(AND(AE243&lt;&gt;"",AE244=""),AND(AE243="",AE244&lt;&gt;""))</f>
        <v>0</v>
      </c>
      <c r="AF241" s="3236">
        <f>OR(AND(AF243&lt;&gt;"",AF244=""),AND(AF243="",AF244&lt;&gt;""))</f>
        <v>0</v>
      </c>
      <c r="AG241" s="3236">
        <f>OR(AND(AG243&lt;&gt;"",AG244=""),AND(AG243="",AG244&lt;&gt;""))</f>
        <v>0</v>
      </c>
      <c r="AH241" s="3236">
        <f>OR(AND(AH243&lt;&gt;"",AH244=""),AND(AH243="",AH244&lt;&gt;""))</f>
        <v>0</v>
      </c>
      <c r="AI241" s="3236">
        <f>OR(AND(AI243&lt;&gt;"",AI244=""),AND(AI243="",AI244&lt;&gt;""))</f>
        <v>0</v>
      </c>
      <c r="AJ241" s="3236">
        <f>OR(AND(AJ243&lt;&gt;"",AJ244=""),AND(AJ243="",AJ244&lt;&gt;""))</f>
        <v>0</v>
      </c>
      <c r="AK241" s="3236">
        <f>OR(AND(AK243&lt;&gt;"",AK244=""),AND(AK243="",AK244&lt;&gt;""))</f>
        <v>0</v>
      </c>
      <c r="AL241" s="3236">
        <f>OR(AND(AL243&lt;&gt;"",AL244=""),AND(AL243="",AL244&lt;&gt;""))</f>
        <v>0</v>
      </c>
      <c r="AM241" s="3236">
        <f>OR(AND(AM243&lt;&gt;"",AM244=""),AND(AM243="",AM244&lt;&gt;""))</f>
        <v>0</v>
      </c>
      <c r="AN241" s="3236">
        <f>OR(AND(AN243&lt;&gt;"",AN244=""),AND(AN243="",AN244&lt;&gt;""))</f>
        <v>0</v>
      </c>
      <c r="AO241" s="3236">
        <f>OR(AND(AO243&lt;&gt;"",AO244=""),AND(AO243="",AO244&lt;&gt;""))</f>
        <v>0</v>
      </c>
      <c r="AP241" s="3236">
        <f>OR(AND(AP243&lt;&gt;"",AP244=""),AND(AP243="",AP244&lt;&gt;""))</f>
        <v>0</v>
      </c>
      <c r="AQ241" s="3236">
        <f>OR(AND(AQ243&lt;&gt;"",AQ244=""),AND(AQ243="",AQ244&lt;&gt;""))</f>
        <v>0</v>
      </c>
      <c r="AR241" s="3236">
        <f>OR(AND(AR243&lt;&gt;"",AR244=""),AND(AR243="",AR244&lt;&gt;""))</f>
        <v>0</v>
      </c>
      <c r="AS241" s="3236">
        <f>OR(AND(AS243&lt;&gt;"",AS244=""),AND(AS243="",AS244&lt;&gt;""))</f>
        <v>0</v>
      </c>
      <c r="AT241" s="3236">
        <f>OR(AND(AT243&lt;&gt;"",AT244=""),AND(AT243="",AT244&lt;&gt;""))</f>
        <v>0</v>
      </c>
      <c r="AU241" s="3236">
        <f>OR(AND(AU243&lt;&gt;"",AU244=""),AND(AU243="",AU244&lt;&gt;""))</f>
        <v>0</v>
      </c>
      <c r="AV241" s="3236">
        <f>OR(AND(AV243&lt;&gt;"",AV244=""),AND(AV243="",AV244&lt;&gt;""))</f>
        <v>0</v>
      </c>
      <c r="AW241" s="3236">
        <f>OR(AND(AW243&lt;&gt;"",AW244=""),AND(AW243="",AW244&lt;&gt;""))</f>
        <v>0</v>
      </c>
      <c r="AX241" s="3236">
        <f>OR(AND(AX243&lt;&gt;"",AX244=""),AND(AX243="",AX244&lt;&gt;""))</f>
        <v>0</v>
      </c>
      <c r="AY241" s="3236">
        <f>OR(AND(AY243&lt;&gt;"",AY244=""),AND(AY243="",AY244&lt;&gt;""))</f>
        <v>0</v>
      </c>
      <c r="AZ241" s="3236">
        <f>OR(AND(AZ243&lt;&gt;"",AZ244=""),AND(AZ243="",AZ244&lt;&gt;""))</f>
        <v>0</v>
      </c>
      <c r="BA241" s="3236">
        <f>OR(AND(BA243&lt;&gt;"",BA244=""),AND(BA243="",BA244&lt;&gt;""))</f>
        <v>0</v>
      </c>
      <c r="BB241" s="3304">
        <f>OR(AND(BB243&lt;&gt;"",BB244=""),AND(BB243="",BB244&lt;&gt;""))</f>
        <v>0</v>
      </c>
      <c r="BC241" s="3305"/>
      <c r="BD241" s="892"/>
      <c r="BE241" s="892"/>
      <c r="BF241" s="1052"/>
      <c r="BG241" s="1052"/>
      <c r="BH241" s="1052"/>
      <c r="BI241" s="685"/>
      <c r="BJ241" s="685"/>
    </row>
    <row customHeight="1" ht="14.625" hidden="1">
      <c r="A242" s="892"/>
      <c r="B242" s="443"/>
      <c r="C242" s="892"/>
      <c r="D242" s="892"/>
      <c r="E242" s="684">
        <v>15</v>
      </c>
      <c r="F242" s="1326" cm="1" t="str">
        <f t="array" ref="F242:F242">OFFSET(E242,-1,1)</f>
        <v>2</v>
      </c>
      <c r="G242" s="892"/>
      <c r="H242" s="892"/>
      <c r="I242" s="892"/>
      <c r="J242" s="892"/>
      <c r="K242" s="918"/>
      <c r="L242" s="922"/>
      <c r="M242" s="892"/>
      <c r="N242" s="892"/>
      <c r="O242" s="892"/>
      <c r="P242" s="892"/>
      <c r="Q242" s="892"/>
      <c r="R242" s="892"/>
      <c r="S242" s="892"/>
      <c r="T242" s="1436">
        <f>AND(F242&gt;0,Y241&gt;0)</f>
        <v>0</v>
      </c>
      <c r="U242" s="892"/>
      <c r="V242" s="892"/>
      <c r="W242" s="892"/>
      <c r="X242" s="690"/>
      <c r="Y242" s="1469"/>
      <c r="Z242" s="892"/>
      <c r="AA242" s="3234"/>
      <c r="AB242" s="3204" t="str">
        <f>"8."&amp;Y241</f>
        <v>8.0</v>
      </c>
      <c r="AC242" s="3237"/>
      <c r="AD242" s="3235"/>
      <c r="AE242" s="892"/>
      <c r="AF242" s="892"/>
      <c r="AG242" s="892"/>
      <c r="AH242" s="892"/>
      <c r="AI242" s="892"/>
      <c r="AJ242" s="892"/>
      <c r="AK242" s="892"/>
      <c r="AL242" s="892"/>
      <c r="AM242" s="892"/>
      <c r="AN242" s="892"/>
      <c r="AO242" s="892"/>
      <c r="AP242" s="892"/>
      <c r="AQ242" s="892"/>
      <c r="AR242" s="892"/>
      <c r="AS242" s="892"/>
      <c r="AT242" s="892"/>
      <c r="AU242" s="892"/>
      <c r="AV242" s="892"/>
      <c r="AW242" s="892"/>
      <c r="AX242" s="892"/>
      <c r="AY242" s="892"/>
      <c r="AZ242" s="892"/>
      <c r="BA242" s="892"/>
      <c r="BB242" s="892"/>
      <c r="BC242" s="892"/>
      <c r="BD242" s="892"/>
      <c r="BE242" s="892"/>
      <c r="BF242" s="1052"/>
      <c r="BG242" s="1052"/>
      <c r="BH242" s="1052"/>
      <c r="BI242" s="685"/>
      <c r="BJ242" s="685"/>
    </row>
    <row customHeight="1" ht="14.625" hidden="1">
      <c r="A243" s="892"/>
      <c r="B243" s="443"/>
      <c r="C243" s="892"/>
      <c r="D243" s="892"/>
      <c r="E243" s="684">
        <v>15</v>
      </c>
      <c r="F243" s="1326" cm="1" t="str">
        <f t="array" ref="F243:F243">OFFSET(E243,-1,1)</f>
        <v>2</v>
      </c>
      <c r="G243" s="892"/>
      <c r="H243" s="892"/>
      <c r="I243" s="892"/>
      <c r="J243" s="892"/>
      <c r="K243" s="918"/>
      <c r="L243" s="922"/>
      <c r="M243" s="892"/>
      <c r="N243" s="892"/>
      <c r="O243" s="892"/>
      <c r="P243" s="892"/>
      <c r="Q243" s="892"/>
      <c r="R243" s="892"/>
      <c r="S243" s="892"/>
      <c r="T243" s="1436" cm="1" t="str">
        <f t="array" ref="T243:T243">T242</f>
        <v>false</v>
      </c>
      <c r="U243" s="892"/>
      <c r="V243" s="892"/>
      <c r="W243" s="892"/>
      <c r="X243" s="690"/>
      <c r="Y243" s="1469"/>
      <c r="Z243" s="892"/>
      <c r="AA243" s="3234"/>
      <c r="AB243" s="3204" t="str">
        <f>AB242&amp;".1"</f>
        <v>8.0.1</v>
      </c>
      <c r="AC243" s="3273" t="s">
        <v>1251</v>
      </c>
      <c r="AD243" s="3206" t="s">
        <v>936</v>
      </c>
      <c r="AE243" s="3274"/>
      <c r="AF243" s="3275"/>
      <c r="AG243" s="3274"/>
      <c r="AH243" s="3274"/>
      <c r="AI243" s="3275"/>
      <c r="AJ243" s="3275"/>
      <c r="AK243" s="3275"/>
      <c r="AL243" s="3275"/>
      <c r="AM243" s="3275"/>
      <c r="AN243" s="3275"/>
      <c r="AO243" s="3275"/>
      <c r="AP243" s="3275"/>
      <c r="AQ243" s="3275"/>
      <c r="AR243" s="3275"/>
      <c r="AS243" s="3274"/>
      <c r="AT243" s="3274"/>
      <c r="AU243" s="3274"/>
      <c r="AV243" s="3274"/>
      <c r="AW243" s="3274"/>
      <c r="AX243" s="3274"/>
      <c r="AY243" s="3274"/>
      <c r="AZ243" s="3274"/>
      <c r="BA243" s="3274"/>
      <c r="BB243" s="3274"/>
      <c r="BC243" s="3306"/>
      <c r="BD243" s="892"/>
      <c r="BE243" s="892"/>
      <c r="BF243" s="1049" t="s">
        <v>1252</v>
      </c>
      <c r="BG243" s="1052" t="s">
        <v>1317</v>
      </c>
      <c r="BH243" s="3241" cm="1" t="str">
        <f t="array" ref="BH243:BH243">AC242</f>
        <v>0</v>
      </c>
      <c r="BI243" s="685"/>
      <c r="BJ243" s="685" t="b">
        <v>1</v>
      </c>
    </row>
    <row customHeight="1" ht="14.625" hidden="1">
      <c r="A244" s="892"/>
      <c r="B244" s="443"/>
      <c r="C244" s="892"/>
      <c r="D244" s="892"/>
      <c r="E244" s="684">
        <v>15</v>
      </c>
      <c r="F244" s="1326" cm="1" t="str">
        <f t="array" ref="F244:F244">OFFSET(E244,-1,1)</f>
        <v>2</v>
      </c>
      <c r="G244" s="892"/>
      <c r="H244" s="892"/>
      <c r="I244" s="892"/>
      <c r="J244" s="892"/>
      <c r="K244" s="918"/>
      <c r="L244" s="922"/>
      <c r="M244" s="892"/>
      <c r="N244" s="892"/>
      <c r="O244" s="892"/>
      <c r="P244" s="892"/>
      <c r="Q244" s="892"/>
      <c r="R244" s="892"/>
      <c r="S244" s="892"/>
      <c r="T244" s="1436" cm="1" t="str">
        <f t="array" ref="T244:T244">T243</f>
        <v>false</v>
      </c>
      <c r="U244" s="892"/>
      <c r="V244" s="892"/>
      <c r="W244" s="892"/>
      <c r="X244" s="690"/>
      <c r="Y244" s="1469"/>
      <c r="Z244" s="892"/>
      <c r="AA244" s="3234"/>
      <c r="AB244" s="3204" t="str">
        <f>AB243&amp;".1"</f>
        <v>8.0.1.1</v>
      </c>
      <c r="AC244" s="3215" t="s">
        <v>1318</v>
      </c>
      <c r="AD244" s="3204" t="s">
        <v>657</v>
      </c>
      <c r="AE244" s="3274"/>
      <c r="AF244" s="3275"/>
      <c r="AG244" s="3274"/>
      <c r="AH244" s="3274"/>
      <c r="AI244" s="3275"/>
      <c r="AJ244" s="3275"/>
      <c r="AK244" s="3275"/>
      <c r="AL244" s="3275"/>
      <c r="AM244" s="3275"/>
      <c r="AN244" s="3275"/>
      <c r="AO244" s="3275"/>
      <c r="AP244" s="3275"/>
      <c r="AQ244" s="3275"/>
      <c r="AR244" s="3275"/>
      <c r="AS244" s="3274"/>
      <c r="AT244" s="3274"/>
      <c r="AU244" s="3274"/>
      <c r="AV244" s="3274"/>
      <c r="AW244" s="3274"/>
      <c r="AX244" s="3274"/>
      <c r="AY244" s="3274"/>
      <c r="AZ244" s="3274"/>
      <c r="BA244" s="3274"/>
      <c r="BB244" s="3274"/>
      <c r="BC244" s="3306"/>
      <c r="BD244" s="892"/>
      <c r="BE244" s="892"/>
      <c r="BF244" s="1049" t="s">
        <v>1255</v>
      </c>
      <c r="BG244" s="1052" t="s">
        <v>1317</v>
      </c>
      <c r="BH244" s="3241" cm="1" t="str">
        <f t="array" ref="BH244:BH244">BH243</f>
        <v>0</v>
      </c>
      <c r="BI244" s="685"/>
      <c r="BJ244" s="685"/>
    </row>
    <row customHeight="1" ht="14.625" hidden="1">
      <c r="A245" s="892"/>
      <c r="B245" s="443"/>
      <c r="C245" s="892"/>
      <c r="D245" s="892"/>
      <c r="E245" s="684">
        <v>15</v>
      </c>
      <c r="F245" s="1326" cm="1" t="str">
        <f t="array" ref="F245:F245">OFFSET(E245,-1,1)</f>
        <v>2</v>
      </c>
      <c r="G245" s="892"/>
      <c r="H245" s="892"/>
      <c r="I245" s="892"/>
      <c r="J245" s="892"/>
      <c r="K245" s="918"/>
      <c r="L245" s="922"/>
      <c r="M245" s="892"/>
      <c r="N245" s="892"/>
      <c r="O245" s="892"/>
      <c r="P245" s="892"/>
      <c r="Q245" s="892"/>
      <c r="R245" s="892"/>
      <c r="S245" s="892"/>
      <c r="T245" s="1436" cm="1" t="str">
        <f t="array" ref="T245:T245">T244</f>
        <v>false</v>
      </c>
      <c r="U245" s="892"/>
      <c r="V245" s="892"/>
      <c r="W245" s="892"/>
      <c r="X245" s="690"/>
      <c r="Y245" s="1469"/>
      <c r="Z245" s="892"/>
      <c r="AA245" s="3234"/>
      <c r="AB245" s="3204" t="str">
        <f>AB243&amp;".2"</f>
        <v>8.0.1.2</v>
      </c>
      <c r="AC245" s="3215" t="s">
        <v>1319</v>
      </c>
      <c r="AD245" s="3204" t="s">
        <v>1257</v>
      </c>
      <c r="AE245" s="3274"/>
      <c r="AF245" s="3275"/>
      <c r="AG245" s="3275"/>
      <c r="AH245" s="3274"/>
      <c r="AI245" s="3275"/>
      <c r="AJ245" s="3275"/>
      <c r="AK245" s="3275"/>
      <c r="AL245" s="3275"/>
      <c r="AM245" s="3275"/>
      <c r="AN245" s="3275"/>
      <c r="AO245" s="3275"/>
      <c r="AP245" s="3275"/>
      <c r="AQ245" s="3275"/>
      <c r="AR245" s="3275"/>
      <c r="AS245" s="3275"/>
      <c r="AT245" s="3275"/>
      <c r="AU245" s="3275"/>
      <c r="AV245" s="3275"/>
      <c r="AW245" s="3275"/>
      <c r="AX245" s="3275"/>
      <c r="AY245" s="3275"/>
      <c r="AZ245" s="3275"/>
      <c r="BA245" s="3275"/>
      <c r="BB245" s="3307"/>
      <c r="BC245" s="3306"/>
      <c r="BD245" s="892"/>
      <c r="BE245" s="892"/>
      <c r="BF245" s="1049" t="s">
        <v>1258</v>
      </c>
      <c r="BG245" s="1052" t="s">
        <v>1317</v>
      </c>
      <c r="BH245" s="3241" cm="1" t="str">
        <f t="array" ref="BH245:BH245">BH244</f>
        <v>0</v>
      </c>
      <c r="BI245" s="685"/>
      <c r="BJ245" s="685"/>
    </row>
    <row customHeight="1" ht="14.625">
      <c r="B246" s="443"/>
      <c r="E246" s="684">
        <v>15</v>
      </c>
      <c r="F246" s="1326" cm="1" t="str">
        <f t="array" ref="F246:F246">OFFSET(E246,-1,1)</f>
        <v>2</v>
      </c>
      <c r="G246" s="892"/>
      <c r="K246" s="918"/>
      <c r="L246" s="922"/>
      <c r="T246" s="1436">
        <f>F246&gt;0</f>
        <v>1</v>
      </c>
      <c r="W246" s="691" t="s">
        <v>1320</v>
      </c>
      <c r="X246" s="690"/>
      <c r="Z246" s="892"/>
      <c r="AB246" s="3820"/>
      <c r="AC246" s="3821" t="s">
        <v>1260</v>
      </c>
      <c r="AD246" s="3822"/>
      <c r="AE246" s="3823"/>
      <c r="AF246" s="3824"/>
      <c r="AG246" s="3825"/>
      <c r="AH246" s="3826"/>
      <c r="AI246" s="3827"/>
      <c r="AJ246" s="3828"/>
      <c r="AK246" s="3829"/>
      <c r="AL246" s="3830"/>
      <c r="AM246" s="3831"/>
      <c r="AN246" s="3832"/>
      <c r="AO246" s="3833"/>
      <c r="AP246" s="3834"/>
      <c r="AQ246" s="3835"/>
      <c r="AR246" s="3836"/>
      <c r="AS246" s="3837"/>
      <c r="AT246" s="3838"/>
      <c r="AU246" s="3839"/>
      <c r="AV246" s="3840"/>
      <c r="AW246" s="3841"/>
      <c r="AX246" s="3842"/>
      <c r="AY246" s="3843"/>
      <c r="AZ246" s="3844"/>
      <c r="BA246" s="3845"/>
      <c r="BB246" s="3846"/>
      <c r="BC246" s="3847"/>
      <c r="BF246" s="1052"/>
      <c r="BG246" s="1052"/>
      <c r="BH246" s="1052"/>
      <c r="BI246" s="685" t="s">
        <v>1317</v>
      </c>
      <c r="BJ246" s="685"/>
    </row>
    <row s="149" customFormat="1" customHeight="1" ht="14.25">
      <c r="A247" s="149"/>
      <c r="B247" s="443"/>
      <c r="C247" s="149"/>
      <c r="D247" s="149"/>
      <c r="E247" s="685">
        <v>15</v>
      </c>
      <c r="F247" s="50" cm="1" t="str">
        <f t="array" ref="F247:F247">OFFSET(E247,-1,1)</f>
        <v>2</v>
      </c>
      <c r="G247" s="148"/>
      <c r="H247" s="149"/>
      <c r="I247" s="149"/>
      <c r="J247" s="149"/>
      <c r="K247" s="918" t="str">
        <f>F178&amp;"9komm"</f>
        <v>29komm</v>
      </c>
      <c r="L247" s="922" cm="1" t="str">
        <f t="array" ref="L247:L247">BC247</f>
        <v>0</v>
      </c>
      <c r="M247" s="149"/>
      <c r="N247" s="149"/>
      <c r="O247" s="149"/>
      <c r="P247" s="149"/>
      <c r="Q247" s="149"/>
      <c r="R247" s="149"/>
      <c r="S247" s="149"/>
      <c r="T247" s="468" cm="1" t="str">
        <f t="array" ref="T247:T247">T240</f>
        <v>true</v>
      </c>
      <c r="U247" s="149"/>
      <c r="V247" s="149"/>
      <c r="W247" s="149"/>
      <c r="X247" s="1469"/>
      <c r="Y247" s="149"/>
      <c r="Z247" s="1592"/>
      <c r="AA247" s="149"/>
      <c r="AB247" s="207">
        <v>9</v>
      </c>
      <c r="AC247" s="208" t="s">
        <v>1321</v>
      </c>
      <c r="AD247" s="207" t="s">
        <v>936</v>
      </c>
      <c r="AE247" s="3231">
        <f>SUMIF($AD250:$AD258,$AD247,AE250:AE258)</f>
        <v>0</v>
      </c>
      <c r="AF247" s="3231">
        <f>SUMIF($AD250:$AD258,$AD247,AF250:AF258)</f>
        <v>0</v>
      </c>
      <c r="AG247" s="3231">
        <f>SUMIF($AD250:$AD258,$AD247,AG250:AG258)</f>
        <v>0</v>
      </c>
      <c r="AH247" s="3231">
        <f>SUMIF($AD250:$AD258,$AD247,AH250:AH258)</f>
        <v>0</v>
      </c>
      <c r="AI247" s="3231">
        <f>SUMIF($AD250:$AD258,$AD247,AI250:AI258)</f>
        <v>0</v>
      </c>
      <c r="AJ247" s="3232">
        <f>SUMIF($AD250:$AD258,$AD247,AJ250:AJ258)</f>
        <v>0</v>
      </c>
      <c r="AK247" s="3232">
        <f>SUMIF($AD250:$AD258,$AD247,AK250:AK258)</f>
        <v>0</v>
      </c>
      <c r="AL247" s="3232">
        <f>SUMIF($AD250:$AD258,$AD247,AL250:AL258)</f>
        <v>0</v>
      </c>
      <c r="AM247" s="3232">
        <f>SUMIF($AD250:$AD258,$AD247,AM250:AM258)</f>
        <v>0</v>
      </c>
      <c r="AN247" s="3232">
        <f>SUMIF($AD250:$AD258,$AD247,AN250:AN258)</f>
        <v>0</v>
      </c>
      <c r="AO247" s="3232">
        <f>SUMIF($AD250:$AD258,$AD247,AO250:AO258)</f>
        <v>0</v>
      </c>
      <c r="AP247" s="3232">
        <f>SUMIF($AD250:$AD258,$AD247,AP250:AP258)</f>
        <v>0</v>
      </c>
      <c r="AQ247" s="3232">
        <f>SUMIF($AD250:$AD258,$AD247,AQ250:AQ258)</f>
        <v>0</v>
      </c>
      <c r="AR247" s="3232">
        <f>SUMIF($AD250:$AD258,$AD247,AR250:AR258)</f>
        <v>0</v>
      </c>
      <c r="AS247" s="3231">
        <f>SUMIF($AD250:$AD258,$AD247,AS250:AS258)</f>
        <v>10.67927</v>
      </c>
      <c r="AT247" s="3232">
        <f>SUMIF($AD250:$AD258,$AD247,AT250:AT258)</f>
        <v>0</v>
      </c>
      <c r="AU247" s="3232">
        <f>SUMIF($AD250:$AD258,$AD247,AU250:AU258)</f>
        <v>0</v>
      </c>
      <c r="AV247" s="3232">
        <f>SUMIF($AD250:$AD258,$AD247,AV250:AV258)</f>
        <v>0</v>
      </c>
      <c r="AW247" s="3232">
        <f>SUMIF($AD250:$AD258,$AD247,AW250:AW258)</f>
        <v>0</v>
      </c>
      <c r="AX247" s="3232">
        <f>SUMIF($AD250:$AD258,$AD247,AX250:AX258)</f>
        <v>0</v>
      </c>
      <c r="AY247" s="3232">
        <f>SUMIF($AD250:$AD258,$AD247,AY250:AY258)</f>
        <v>0</v>
      </c>
      <c r="AZ247" s="3232">
        <f>SUMIF($AD250:$AD258,$AD247,AZ250:AZ258)</f>
        <v>0</v>
      </c>
      <c r="BA247" s="3232">
        <f>SUMIF($AD250:$AD258,$AD247,BA250:BA258)</f>
        <v>0</v>
      </c>
      <c r="BB247" s="3232">
        <f>SUMIF($AD250:$AD258,$AD247,BB250:BB258)</f>
        <v>0</v>
      </c>
      <c r="BC247" s="196"/>
      <c r="BD247" s="149"/>
      <c r="BE247" s="149"/>
      <c r="BF247" s="1052" t="s">
        <v>1322</v>
      </c>
      <c r="BG247" s="1052"/>
      <c r="BH247" s="1052"/>
      <c r="BI247" s="685"/>
      <c r="BJ247" s="685"/>
    </row>
    <row customHeight="1" ht="14.625" hidden="1">
      <c r="E248" s="684">
        <v>15</v>
      </c>
      <c r="F248" s="50" cm="1" t="str">
        <f t="array" ref="F248:F248">OFFSET(E248,-1,1)</f>
        <v>2</v>
      </c>
      <c r="T248" s="468" t="b">
        <v>0</v>
      </c>
      <c r="W248" s="148" t="s">
        <v>173</v>
      </c>
      <c r="Y248" s="689">
        <v>0</v>
      </c>
      <c r="AA248" s="52" t="s">
        <v>174</v>
      </c>
      <c r="AB248" s="53"/>
      <c r="AC248" s="70"/>
      <c r="AD248" s="54"/>
      <c r="AE248" s="55">
        <f>OR(AND(AE250&lt;&gt;"",AE251=""),AND(AE250="",AE251&lt;&gt;""))</f>
        <v>0</v>
      </c>
      <c r="AF248" s="55">
        <f>OR(AND(AF250&lt;&gt;"",AF251=""),AND(AF250="",AF251&lt;&gt;""))</f>
        <v>0</v>
      </c>
      <c r="AG248" s="55">
        <f>OR(AND(AG250&lt;&gt;"",AG251=""),AND(AG250="",AG251&lt;&gt;""))</f>
        <v>0</v>
      </c>
      <c r="AH248" s="55">
        <f>OR(AND(AH250&lt;&gt;"",AH251=""),AND(AH250="",AH251&lt;&gt;""))</f>
        <v>0</v>
      </c>
      <c r="AI248" s="55">
        <f>OR(AND(AI250&lt;&gt;"",AI251=""),AND(AI250="",AI251&lt;&gt;""))</f>
        <v>0</v>
      </c>
      <c r="AJ248" s="55">
        <f>OR(AND(AJ250&lt;&gt;"",AJ251=""),AND(AJ250="",AJ251&lt;&gt;""))</f>
        <v>0</v>
      </c>
      <c r="AK248" s="55">
        <f>OR(AND(AK250&lt;&gt;"",AK251=""),AND(AK250="",AK251&lt;&gt;""))</f>
        <v>0</v>
      </c>
      <c r="AL248" s="55">
        <f>OR(AND(AL250&lt;&gt;"",AL251=""),AND(AL250="",AL251&lt;&gt;""))</f>
        <v>0</v>
      </c>
      <c r="AM248" s="55">
        <f>OR(AND(AM250&lt;&gt;"",AM251=""),AND(AM250="",AM251&lt;&gt;""))</f>
        <v>0</v>
      </c>
      <c r="AN248" s="55">
        <f>OR(AND(AN250&lt;&gt;"",AN251=""),AND(AN250="",AN251&lt;&gt;""))</f>
        <v>0</v>
      </c>
      <c r="AO248" s="55">
        <f>OR(AND(AO250&lt;&gt;"",AO251=""),AND(AO250="",AO251&lt;&gt;""))</f>
        <v>0</v>
      </c>
      <c r="AP248" s="55">
        <f>OR(AND(AP250&lt;&gt;"",AP251=""),AND(AP250="",AP251&lt;&gt;""))</f>
        <v>0</v>
      </c>
      <c r="AQ248" s="55">
        <f>OR(AND(AQ250&lt;&gt;"",AQ251=""),AND(AQ250="",AQ251&lt;&gt;""))</f>
        <v>0</v>
      </c>
      <c r="AR248" s="55">
        <f>OR(AND(AR250&lt;&gt;"",AR251=""),AND(AR250="",AR251&lt;&gt;""))</f>
        <v>0</v>
      </c>
      <c r="AS248" s="55">
        <f>OR(AND(AS250&lt;&gt;"",AS251=""),AND(AS250="",AS251&lt;&gt;""))</f>
        <v>0</v>
      </c>
      <c r="AT248" s="55">
        <f>OR(AND(AT250&lt;&gt;"",AT251=""),AND(AT250="",AT251&lt;&gt;""))</f>
        <v>0</v>
      </c>
      <c r="AU248" s="55">
        <f>OR(AND(AU250&lt;&gt;"",AU251=""),AND(AU250="",AU251&lt;&gt;""))</f>
        <v>0</v>
      </c>
      <c r="AV248" s="55">
        <f>OR(AND(AV250&lt;&gt;"",AV251=""),AND(AV250="",AV251&lt;&gt;""))</f>
        <v>0</v>
      </c>
      <c r="AW248" s="55">
        <f>OR(AND(AW250&lt;&gt;"",AW251=""),AND(AW250="",AW251&lt;&gt;""))</f>
        <v>0</v>
      </c>
      <c r="AX248" s="55">
        <f>OR(AND(AX250&lt;&gt;"",AX251=""),AND(AX250="",AX251&lt;&gt;""))</f>
        <v>0</v>
      </c>
      <c r="AY248" s="55">
        <f>OR(AND(AY250&lt;&gt;"",AY251=""),AND(AY250="",AY251&lt;&gt;""))</f>
        <v>0</v>
      </c>
      <c r="AZ248" s="55">
        <f>OR(AND(AZ250&lt;&gt;"",AZ251=""),AND(AZ250="",AZ251&lt;&gt;""))</f>
        <v>0</v>
      </c>
      <c r="BA248" s="55">
        <f>OR(AND(BA250&lt;&gt;"",BA251=""),AND(BA250="",BA251&lt;&gt;""))</f>
        <v>0</v>
      </c>
      <c r="BB248" s="71">
        <f>OR(AND(BB250&lt;&gt;"",BB251=""),AND(BB250="",BB251&lt;&gt;""))</f>
        <v>0</v>
      </c>
      <c r="BC248" s="72"/>
      <c r="BF248" s="1052"/>
      <c r="BG248" s="1052"/>
      <c r="BH248" s="1052"/>
      <c r="BI248" s="685"/>
      <c r="BJ248" s="685"/>
    </row>
    <row customHeight="1" ht="14.625" hidden="1">
      <c r="E249" s="684">
        <v>15</v>
      </c>
      <c r="F249" s="50" cm="1" t="str">
        <f t="array" ref="F249:F249">OFFSET(E249,-1,1)</f>
        <v>2</v>
      </c>
      <c r="T249" s="468">
        <f>AND(F249&gt;0,Y248&gt;0)</f>
        <v>0</v>
      </c>
      <c r="AA249" s="52"/>
      <c r="AB249" s="56" t="str">
        <f>"9."&amp;Y248</f>
        <v>9.0</v>
      </c>
      <c r="AC249" s="73"/>
      <c r="AD249" s="54"/>
      <c r="BF249" s="1052"/>
      <c r="BG249" s="1052"/>
      <c r="BH249" s="1052"/>
      <c r="BI249" s="685"/>
      <c r="BJ249" s="685"/>
    </row>
    <row customHeight="1" ht="14.625" hidden="1">
      <c r="E250" s="684">
        <v>15</v>
      </c>
      <c r="F250" s="50" cm="1" t="str">
        <f t="array" ref="F250:F250">OFFSET(E250,-1,1)</f>
        <v>2</v>
      </c>
      <c r="T250" s="468" cm="1" t="str">
        <f t="array" ref="T250:T250">T249</f>
        <v>false</v>
      </c>
      <c r="AA250" s="52"/>
      <c r="AB250" s="56" t="str">
        <f>AB249&amp;".1"</f>
        <v>9.0.1</v>
      </c>
      <c r="AC250" s="74" t="s">
        <v>1251</v>
      </c>
      <c r="AD250" s="53" t="s">
        <v>936</v>
      </c>
      <c r="AE250" s="75"/>
      <c r="AF250" s="76"/>
      <c r="AG250" s="75"/>
      <c r="AH250" s="75"/>
      <c r="AI250" s="76"/>
      <c r="AJ250" s="76"/>
      <c r="AK250" s="76"/>
      <c r="AL250" s="76"/>
      <c r="AM250" s="76"/>
      <c r="AN250" s="76"/>
      <c r="AO250" s="76"/>
      <c r="AP250" s="76"/>
      <c r="AQ250" s="76"/>
      <c r="AR250" s="76"/>
      <c r="AS250" s="75"/>
      <c r="AT250" s="75"/>
      <c r="AU250" s="75"/>
      <c r="AV250" s="75"/>
      <c r="AW250" s="75"/>
      <c r="AX250" s="75"/>
      <c r="AY250" s="75"/>
      <c r="AZ250" s="75"/>
      <c r="BA250" s="75"/>
      <c r="BB250" s="75"/>
      <c r="BC250" s="77"/>
      <c r="BF250" s="1049" t="s">
        <v>1252</v>
      </c>
      <c r="BG250" s="1052" t="s">
        <v>1323</v>
      </c>
      <c r="BH250" s="64" cm="1" t="str">
        <f t="array" ref="BH250:BH250">AC249</f>
        <v>0</v>
      </c>
      <c r="BI250" s="685"/>
      <c r="BJ250" s="685" t="b">
        <v>1</v>
      </c>
    </row>
    <row customHeight="1" ht="14.625" hidden="1">
      <c r="E251" s="684">
        <v>15</v>
      </c>
      <c r="F251" s="50" cm="1" t="str">
        <f t="array" ref="F251:F251">OFFSET(E251,-1,1)</f>
        <v>2</v>
      </c>
      <c r="T251" s="468" cm="1" t="str">
        <f t="array" ref="T251:T251">T250</f>
        <v>false</v>
      </c>
      <c r="AA251" s="52"/>
      <c r="AB251" s="56" t="str">
        <f>AB250&amp;".1"</f>
        <v>9.0.1.1</v>
      </c>
      <c r="AC251" s="69" t="s">
        <v>1324</v>
      </c>
      <c r="AD251" s="56"/>
      <c r="AE251" s="75"/>
      <c r="AF251" s="76"/>
      <c r="AG251" s="75"/>
      <c r="AH251" s="75"/>
      <c r="AI251" s="76"/>
      <c r="AJ251" s="76"/>
      <c r="AK251" s="76"/>
      <c r="AL251" s="76"/>
      <c r="AM251" s="76"/>
      <c r="AN251" s="76"/>
      <c r="AO251" s="76"/>
      <c r="AP251" s="76"/>
      <c r="AQ251" s="76"/>
      <c r="AR251" s="76"/>
      <c r="AS251" s="75"/>
      <c r="AT251" s="75"/>
      <c r="AU251" s="75"/>
      <c r="AV251" s="75"/>
      <c r="AW251" s="75"/>
      <c r="AX251" s="75"/>
      <c r="AY251" s="75"/>
      <c r="AZ251" s="75"/>
      <c r="BA251" s="75"/>
      <c r="BB251" s="75"/>
      <c r="BC251" s="77"/>
      <c r="BF251" s="1049" t="s">
        <v>1255</v>
      </c>
      <c r="BG251" s="1052" t="s">
        <v>1323</v>
      </c>
      <c r="BH251" s="64" cm="1" t="str">
        <f t="array" ref="BH251:BH251">BH250</f>
        <v>0</v>
      </c>
      <c r="BI251" s="685"/>
      <c r="BJ251" s="685"/>
    </row>
    <row customHeight="1" ht="14.625" hidden="1">
      <c r="E252" s="684">
        <v>15</v>
      </c>
      <c r="F252" s="50" cm="1" t="str">
        <f t="array" ref="F252:F252">OFFSET(E252,-1,1)</f>
        <v>2</v>
      </c>
      <c r="T252" s="468" cm="1" t="str">
        <f t="array" ref="T252:T252">T251</f>
        <v>false</v>
      </c>
      <c r="AA252" s="52"/>
      <c r="AB252" s="56" t="str">
        <f>AB250&amp;".2"</f>
        <v>9.0.1.2</v>
      </c>
      <c r="AC252" s="69" t="s">
        <v>1325</v>
      </c>
      <c r="AD252" s="56"/>
      <c r="AE252" s="75"/>
      <c r="AF252" s="76"/>
      <c r="AG252" s="76"/>
      <c r="AH252" s="75"/>
      <c r="AI252" s="76"/>
      <c r="AJ252" s="76"/>
      <c r="AK252" s="76"/>
      <c r="AL252" s="76"/>
      <c r="AM252" s="76"/>
      <c r="AN252" s="76"/>
      <c r="AO252" s="76"/>
      <c r="AP252" s="76"/>
      <c r="AQ252" s="76"/>
      <c r="AR252" s="76"/>
      <c r="AS252" s="76"/>
      <c r="AT252" s="76"/>
      <c r="AU252" s="76"/>
      <c r="AV252" s="76"/>
      <c r="AW252" s="76"/>
      <c r="AX252" s="76"/>
      <c r="AY252" s="76"/>
      <c r="AZ252" s="76"/>
      <c r="BA252" s="76"/>
      <c r="BB252" s="78"/>
      <c r="BC252" s="77"/>
      <c r="BF252" s="1049" t="s">
        <v>1258</v>
      </c>
      <c r="BG252" s="1052" t="s">
        <v>1323</v>
      </c>
      <c r="BH252" s="64" cm="1" t="str">
        <f t="array" ref="BH252:BH252">BH251</f>
        <v>0</v>
      </c>
      <c r="BI252" s="685"/>
      <c r="BJ252" s="685"/>
    </row>
    <row s="1656" customFormat="1" customHeight="1" ht="14.25" hidden="1">
      <c r="A253" s="892"/>
      <c r="B253" s="442"/>
      <c r="C253" s="892"/>
      <c r="D253" s="892"/>
      <c r="E253" s="684">
        <v>15</v>
      </c>
      <c r="F253" s="1194" cm="1" t="str">
        <f t="array" ref="F253:F253">OFFSET(E253,-1,1)</f>
        <v>2</v>
      </c>
      <c r="G253" s="892"/>
      <c r="H253" s="892"/>
      <c r="I253" s="892"/>
      <c r="J253" s="892"/>
      <c r="K253" s="918"/>
      <c r="L253" s="892"/>
      <c r="M253" s="892"/>
      <c r="N253" s="892"/>
      <c r="O253" s="892"/>
      <c r="P253" s="892"/>
      <c r="Q253" s="892"/>
      <c r="R253" s="892"/>
      <c r="S253" s="892"/>
      <c r="T253" s="468" t="b">
        <v>0</v>
      </c>
      <c r="U253" s="892"/>
      <c r="V253" s="892"/>
      <c r="W253" s="148"/>
      <c r="X253" s="892"/>
      <c r="Y253" s="689" t="s">
        <v>290</v>
      </c>
      <c r="Z253" s="892"/>
      <c r="AA253" s="52" t="s">
        <v>174</v>
      </c>
      <c r="AB253" s="53"/>
      <c r="AC253" s="70"/>
      <c r="AD253" s="54"/>
      <c r="AE253" s="55">
        <f>OR(AND(AE255&lt;&gt;"",AE256=""),AND(AE255="",AE256&lt;&gt;""))</f>
        <v>0</v>
      </c>
      <c r="AF253" s="55">
        <f>OR(AND(AF255&lt;&gt;"",AF256=""),AND(AF255="",AF256&lt;&gt;""))</f>
        <v>0</v>
      </c>
      <c r="AG253" s="55">
        <f>OR(AND(AG255&lt;&gt;"",AG256=""),AND(AG255="",AG256&lt;&gt;""))</f>
        <v>0</v>
      </c>
      <c r="AH253" s="55">
        <f>OR(AND(AH255&lt;&gt;"",AH256=""),AND(AH255="",AH256&lt;&gt;""))</f>
        <v>0</v>
      </c>
      <c r="AI253" s="55">
        <f>OR(AND(AI255&lt;&gt;"",AI256=""),AND(AI255="",AI256&lt;&gt;""))</f>
        <v>0</v>
      </c>
      <c r="AJ253" s="55">
        <f>OR(AND(AJ255&lt;&gt;"",AJ256=""),AND(AJ255="",AJ256&lt;&gt;""))</f>
        <v>0</v>
      </c>
      <c r="AK253" s="55">
        <f>OR(AND(AK255&lt;&gt;"",AK256=""),AND(AK255="",AK256&lt;&gt;""))</f>
        <v>0</v>
      </c>
      <c r="AL253" s="55">
        <f>OR(AND(AL255&lt;&gt;"",AL256=""),AND(AL255="",AL256&lt;&gt;""))</f>
        <v>0</v>
      </c>
      <c r="AM253" s="55">
        <f>OR(AND(AM255&lt;&gt;"",AM256=""),AND(AM255="",AM256&lt;&gt;""))</f>
        <v>0</v>
      </c>
      <c r="AN253" s="55">
        <f>OR(AND(AN255&lt;&gt;"",AN256=""),AND(AN255="",AN256&lt;&gt;""))</f>
        <v>0</v>
      </c>
      <c r="AO253" s="55">
        <f>OR(AND(AO255&lt;&gt;"",AO256=""),AND(AO255="",AO256&lt;&gt;""))</f>
        <v>0</v>
      </c>
      <c r="AP253" s="55">
        <f>OR(AND(AP255&lt;&gt;"",AP256=""),AND(AP255="",AP256&lt;&gt;""))</f>
        <v>0</v>
      </c>
      <c r="AQ253" s="55">
        <f>OR(AND(AQ255&lt;&gt;"",AQ256=""),AND(AQ255="",AQ256&lt;&gt;""))</f>
        <v>0</v>
      </c>
      <c r="AR253" s="55">
        <f>OR(AND(AR255&lt;&gt;"",AR256=""),AND(AR255="",AR256&lt;&gt;""))</f>
        <v>0</v>
      </c>
      <c r="AS253" s="55">
        <f>OR(AND(AS255&lt;&gt;"",AS256=""),AND(AS255="",AS256&lt;&gt;""))</f>
        <v>0</v>
      </c>
      <c r="AT253" s="55">
        <f>OR(AND(AT255&lt;&gt;"",AT256=""),AND(AT255="",AT256&lt;&gt;""))</f>
        <v>0</v>
      </c>
      <c r="AU253" s="55">
        <f>OR(AND(AU255&lt;&gt;"",AU256=""),AND(AU255="",AU256&lt;&gt;""))</f>
        <v>0</v>
      </c>
      <c r="AV253" s="55">
        <f>OR(AND(AV255&lt;&gt;"",AV256=""),AND(AV255="",AV256&lt;&gt;""))</f>
        <v>0</v>
      </c>
      <c r="AW253" s="55">
        <f>OR(AND(AW255&lt;&gt;"",AW256=""),AND(AW255="",AW256&lt;&gt;""))</f>
        <v>0</v>
      </c>
      <c r="AX253" s="55">
        <f>OR(AND(AX255&lt;&gt;"",AX256=""),AND(AX255="",AX256&lt;&gt;""))</f>
        <v>0</v>
      </c>
      <c r="AY253" s="55">
        <f>OR(AND(AY255&lt;&gt;"",AY256=""),AND(AY255="",AY256&lt;&gt;""))</f>
        <v>0</v>
      </c>
      <c r="AZ253" s="55">
        <f>OR(AND(AZ255&lt;&gt;"",AZ256=""),AND(AZ255="",AZ256&lt;&gt;""))</f>
        <v>0</v>
      </c>
      <c r="BA253" s="55">
        <f>OR(AND(BA255&lt;&gt;"",BA256=""),AND(BA255="",BA256&lt;&gt;""))</f>
        <v>0</v>
      </c>
      <c r="BB253" s="71">
        <f>OR(AND(BB255&lt;&gt;"",BB256=""),AND(BB255="",BB256&lt;&gt;""))</f>
        <v>0</v>
      </c>
      <c r="BC253" s="72"/>
      <c r="BD253" s="892"/>
      <c r="BE253" s="892"/>
      <c r="BF253" s="1052"/>
      <c r="BG253" s="1052"/>
      <c r="BH253" s="1052"/>
      <c r="BI253" s="685"/>
      <c r="BJ253" s="685"/>
    </row>
    <row s="1656" customFormat="1" customHeight="1" ht="14.25">
      <c r="A254" s="892"/>
      <c r="B254" s="442"/>
      <c r="C254" s="892"/>
      <c r="D254" s="892"/>
      <c r="E254" s="684">
        <v>15</v>
      </c>
      <c r="F254" s="1194" cm="1" t="str">
        <f t="array" ref="F254:F254">OFFSET(E254,-1,1)</f>
        <v>2</v>
      </c>
      <c r="G254" s="892"/>
      <c r="H254" s="892"/>
      <c r="I254" s="892"/>
      <c r="J254" s="892"/>
      <c r="K254" s="918"/>
      <c r="L254" s="892"/>
      <c r="M254" s="892"/>
      <c r="N254" s="892"/>
      <c r="O254" s="892"/>
      <c r="P254" s="892"/>
      <c r="Q254" s="892"/>
      <c r="R254" s="892"/>
      <c r="S254" s="892"/>
      <c r="T254" s="468">
        <f>AND(F254&gt;0,Y253&gt;0)</f>
        <v>1</v>
      </c>
      <c r="U254" s="892"/>
      <c r="V254" s="892"/>
      <c r="W254" s="892"/>
      <c r="X254" s="892"/>
      <c r="Y254" s="892"/>
      <c r="Z254" s="892"/>
      <c r="AA254" s="52"/>
      <c r="AB254" s="56" t="str">
        <f>"9."&amp;Y253</f>
        <v>9.1</v>
      </c>
      <c r="AC254" s="3592" t="s">
        <v>1336</v>
      </c>
      <c r="AD254" s="54"/>
      <c r="AE254" s="892"/>
      <c r="AF254" s="892"/>
      <c r="AG254" s="892"/>
      <c r="AH254" s="892"/>
      <c r="AI254" s="892"/>
      <c r="AJ254" s="892"/>
      <c r="AK254" s="892"/>
      <c r="AL254" s="892"/>
      <c r="AM254" s="892"/>
      <c r="AN254" s="892"/>
      <c r="AO254" s="892"/>
      <c r="AP254" s="892"/>
      <c r="AQ254" s="892"/>
      <c r="AR254" s="892"/>
      <c r="AS254" s="892"/>
      <c r="AT254" s="892"/>
      <c r="AU254" s="892"/>
      <c r="AV254" s="892"/>
      <c r="AW254" s="892"/>
      <c r="AX254" s="892"/>
      <c r="AY254" s="892"/>
      <c r="AZ254" s="892"/>
      <c r="BA254" s="892"/>
      <c r="BB254" s="892"/>
      <c r="BC254" s="892"/>
      <c r="BD254" s="892"/>
      <c r="BE254" s="892"/>
      <c r="BF254" s="1052"/>
      <c r="BG254" s="1052"/>
      <c r="BH254" s="1052"/>
      <c r="BI254" s="685"/>
      <c r="BJ254" s="685"/>
    </row>
    <row s="1656" customFormat="1" customHeight="1" ht="14.25">
      <c r="A255" s="892"/>
      <c r="B255" s="442"/>
      <c r="C255" s="892"/>
      <c r="D255" s="892"/>
      <c r="E255" s="684">
        <v>15</v>
      </c>
      <c r="F255" s="1194" cm="1" t="str">
        <f t="array" ref="F255:F255">OFFSET(E255,-1,1)</f>
        <v>2</v>
      </c>
      <c r="G255" s="892"/>
      <c r="H255" s="892"/>
      <c r="I255" s="892"/>
      <c r="J255" s="892"/>
      <c r="K255" s="918"/>
      <c r="L255" s="892"/>
      <c r="M255" s="892"/>
      <c r="N255" s="892"/>
      <c r="O255" s="892"/>
      <c r="P255" s="892"/>
      <c r="Q255" s="892"/>
      <c r="R255" s="892"/>
      <c r="S255" s="892"/>
      <c r="T255" s="468" cm="1" t="str">
        <f t="array" ref="T255:T255">T254</f>
        <v>true</v>
      </c>
      <c r="U255" s="892"/>
      <c r="V255" s="892"/>
      <c r="W255" s="892"/>
      <c r="X255" s="892"/>
      <c r="Y255" s="892"/>
      <c r="Z255" s="892"/>
      <c r="AA255" s="52"/>
      <c r="AB255" s="56" t="str">
        <f>AB254&amp;".1"</f>
        <v>9.1.1</v>
      </c>
      <c r="AC255" s="74" t="s">
        <v>1251</v>
      </c>
      <c r="AD255" s="53" t="s">
        <v>936</v>
      </c>
      <c r="AE255" s="3593"/>
      <c r="AF255" s="3594"/>
      <c r="AG255" s="3593"/>
      <c r="AH255" s="3593"/>
      <c r="AI255" s="3594"/>
      <c r="AJ255" s="76"/>
      <c r="AK255" s="76"/>
      <c r="AL255" s="76"/>
      <c r="AM255" s="76"/>
      <c r="AN255" s="76"/>
      <c r="AO255" s="76"/>
      <c r="AP255" s="76"/>
      <c r="AQ255" s="76"/>
      <c r="AR255" s="76"/>
      <c r="AS255" s="3593">
        <f>10.69927-0.02</f>
        <v>10.67927</v>
      </c>
      <c r="AT255" s="75"/>
      <c r="AU255" s="75"/>
      <c r="AV255" s="75"/>
      <c r="AW255" s="75"/>
      <c r="AX255" s="75"/>
      <c r="AY255" s="75"/>
      <c r="AZ255" s="75"/>
      <c r="BA255" s="75"/>
      <c r="BB255" s="75"/>
      <c r="BC255" s="3595"/>
      <c r="BD255" s="892"/>
      <c r="BE255" s="892"/>
      <c r="BF255" s="1049" t="s">
        <v>1252</v>
      </c>
      <c r="BG255" s="1052" t="s">
        <v>1323</v>
      </c>
      <c r="BH255" s="64" cm="1" t="str">
        <f t="array" ref="BH255:BH255">AC254</f>
        <v>АО "СУЭК-КУЗБАСС"</v>
      </c>
      <c r="BI255" s="685"/>
      <c r="BJ255" s="685" t="b">
        <v>1</v>
      </c>
    </row>
    <row s="1656" customFormat="1" customHeight="1" ht="27.25942611694336">
      <c r="A256" s="892"/>
      <c r="B256" s="442"/>
      <c r="C256" s="892"/>
      <c r="D256" s="892"/>
      <c r="E256" s="684">
        <v>15</v>
      </c>
      <c r="F256" s="1194" cm="1" t="str">
        <f t="array" ref="F256:F256">OFFSET(E256,-1,1)</f>
        <v>2</v>
      </c>
      <c r="G256" s="892"/>
      <c r="H256" s="892"/>
      <c r="I256" s="892"/>
      <c r="J256" s="892"/>
      <c r="K256" s="918"/>
      <c r="L256" s="892"/>
      <c r="M256" s="892"/>
      <c r="N256" s="892"/>
      <c r="O256" s="892"/>
      <c r="P256" s="892"/>
      <c r="Q256" s="892"/>
      <c r="R256" s="892"/>
      <c r="S256" s="892"/>
      <c r="T256" s="468" cm="1" t="str">
        <f t="array" ref="T256:T256">T255</f>
        <v>true</v>
      </c>
      <c r="U256" s="892"/>
      <c r="V256" s="892"/>
      <c r="W256" s="892"/>
      <c r="X256" s="892"/>
      <c r="Y256" s="892"/>
      <c r="Z256" s="892"/>
      <c r="AA256" s="52"/>
      <c r="AB256" s="56" t="str">
        <f>AB255&amp;".1"</f>
        <v>9.1.1.1</v>
      </c>
      <c r="AC256" s="69" t="s">
        <v>1324</v>
      </c>
      <c r="AD256" s="56"/>
      <c r="AE256" s="3593"/>
      <c r="AF256" s="3594"/>
      <c r="AG256" s="3593"/>
      <c r="AH256" s="3593"/>
      <c r="AI256" s="3594"/>
      <c r="AJ256" s="76"/>
      <c r="AK256" s="76"/>
      <c r="AL256" s="76"/>
      <c r="AM256" s="76"/>
      <c r="AN256" s="76"/>
      <c r="AO256" s="76"/>
      <c r="AP256" s="76"/>
      <c r="AQ256" s="76"/>
      <c r="AR256" s="76"/>
      <c r="AS256" s="3593">
        <v>6.69</v>
      </c>
      <c r="AT256" s="75"/>
      <c r="AU256" s="75"/>
      <c r="AV256" s="75"/>
      <c r="AW256" s="75"/>
      <c r="AX256" s="75"/>
      <c r="AY256" s="75"/>
      <c r="AZ256" s="75"/>
      <c r="BA256" s="75"/>
      <c r="BB256" s="75"/>
      <c r="BC256" s="3595" t="s">
        <v>1337</v>
      </c>
      <c r="BD256" s="892"/>
      <c r="BE256" s="892"/>
      <c r="BF256" s="1049" t="s">
        <v>1255</v>
      </c>
      <c r="BG256" s="1052" t="s">
        <v>1323</v>
      </c>
      <c r="BH256" s="64" cm="1" t="str">
        <f t="array" ref="BH256:BH256">BH255</f>
        <v>АО "СУЭК-КУЗБАСС"</v>
      </c>
      <c r="BI256" s="685"/>
      <c r="BJ256" s="685"/>
    </row>
    <row s="1656" customFormat="1" customHeight="1" ht="65.69692611694336">
      <c r="A257" s="892"/>
      <c r="B257" s="442"/>
      <c r="C257" s="892"/>
      <c r="D257" s="892"/>
      <c r="E257" s="684">
        <v>15</v>
      </c>
      <c r="F257" s="1194" cm="1" t="str">
        <f t="array" ref="F257:F257">OFFSET(E257,-1,1)</f>
        <v>2</v>
      </c>
      <c r="G257" s="892"/>
      <c r="H257" s="892"/>
      <c r="I257" s="892"/>
      <c r="J257" s="892"/>
      <c r="K257" s="918"/>
      <c r="L257" s="892"/>
      <c r="M257" s="892"/>
      <c r="N257" s="892"/>
      <c r="O257" s="892"/>
      <c r="P257" s="892"/>
      <c r="Q257" s="892"/>
      <c r="R257" s="892"/>
      <c r="S257" s="892"/>
      <c r="T257" s="468" cm="1" t="str">
        <f t="array" ref="T257:T257">T256</f>
        <v>true</v>
      </c>
      <c r="U257" s="892"/>
      <c r="V257" s="892"/>
      <c r="W257" s="892"/>
      <c r="X257" s="892"/>
      <c r="Y257" s="892"/>
      <c r="Z257" s="892"/>
      <c r="AA257" s="52"/>
      <c r="AB257" s="56" t="str">
        <f>AB255&amp;".2"</f>
        <v>9.1.1.2</v>
      </c>
      <c r="AC257" s="69" t="s">
        <v>1325</v>
      </c>
      <c r="AD257" s="56"/>
      <c r="AE257" s="3593"/>
      <c r="AF257" s="3594"/>
      <c r="AG257" s="3594"/>
      <c r="AH257" s="3593"/>
      <c r="AI257" s="3594"/>
      <c r="AJ257" s="76"/>
      <c r="AK257" s="76"/>
      <c r="AL257" s="76"/>
      <c r="AM257" s="76"/>
      <c r="AN257" s="76"/>
      <c r="AO257" s="76"/>
      <c r="AP257" s="76"/>
      <c r="AQ257" s="76"/>
      <c r="AR257" s="76"/>
      <c r="AS257" s="3594">
        <f>AS255/AS256*1000</f>
        <v>1596.30343796712</v>
      </c>
      <c r="AT257" s="76"/>
      <c r="AU257" s="76"/>
      <c r="AV257" s="76"/>
      <c r="AW257" s="76"/>
      <c r="AX257" s="76"/>
      <c r="AY257" s="76"/>
      <c r="AZ257" s="76"/>
      <c r="BA257" s="76"/>
      <c r="BB257" s="78"/>
      <c r="BC257" s="3595" t="s">
        <v>1338</v>
      </c>
      <c r="BD257" s="892"/>
      <c r="BE257" s="892"/>
      <c r="BF257" s="1049" t="s">
        <v>1258</v>
      </c>
      <c r="BG257" s="1052" t="s">
        <v>1323</v>
      </c>
      <c r="BH257" s="64" cm="1" t="str">
        <f t="array" ref="BH257:BH257">BH256</f>
        <v>АО "СУЭК-КУЗБАСС"</v>
      </c>
      <c r="BI257" s="685"/>
      <c r="BJ257" s="685"/>
    </row>
    <row customHeight="1" ht="14.625">
      <c r="B258" s="443"/>
      <c r="E258" s="684">
        <v>15</v>
      </c>
      <c r="F258" s="1326" cm="1" t="str">
        <f t="array" ref="F258:F258">OFFSET(E258,-1,1)</f>
        <v>2</v>
      </c>
      <c r="G258" s="892"/>
      <c r="K258" s="918"/>
      <c r="L258" s="922"/>
      <c r="T258" s="1436">
        <f>F258&gt;0</f>
        <v>1</v>
      </c>
      <c r="W258" s="691" t="s">
        <v>1326</v>
      </c>
      <c r="X258" s="690"/>
      <c r="Z258" s="892"/>
      <c r="AB258" s="3848"/>
      <c r="AC258" s="3849" t="s">
        <v>1260</v>
      </c>
      <c r="AD258" s="3850"/>
      <c r="AE258" s="3851"/>
      <c r="AF258" s="3852"/>
      <c r="AG258" s="3853"/>
      <c r="AH258" s="3854"/>
      <c r="AI258" s="3855"/>
      <c r="AJ258" s="3856"/>
      <c r="AK258" s="3857"/>
      <c r="AL258" s="3858"/>
      <c r="AM258" s="3859"/>
      <c r="AN258" s="3860"/>
      <c r="AO258" s="3861"/>
      <c r="AP258" s="3862"/>
      <c r="AQ258" s="3863"/>
      <c r="AR258" s="3864"/>
      <c r="AS258" s="3865"/>
      <c r="AT258" s="3866"/>
      <c r="AU258" s="3867"/>
      <c r="AV258" s="3868"/>
      <c r="AW258" s="3869"/>
      <c r="AX258" s="3870"/>
      <c r="AY258" s="3871"/>
      <c r="AZ258" s="3872"/>
      <c r="BA258" s="3873"/>
      <c r="BB258" s="3874"/>
      <c r="BC258" s="3875"/>
      <c r="BF258" s="1052"/>
      <c r="BG258" s="1052"/>
      <c r="BH258" s="1052"/>
      <c r="BI258" s="685" t="s">
        <v>1323</v>
      </c>
      <c r="BJ258" s="685"/>
    </row>
    <row s="1656" customFormat="1" customHeight="1" ht="31.171875">
      <c r="A259" s="892"/>
      <c r="B259" s="442"/>
      <c r="C259" s="892"/>
      <c r="D259" s="892"/>
      <c r="E259" s="684">
        <v>15</v>
      </c>
      <c r="F259" s="94" cm="1" t="str">
        <f t="array" ref="F259:F259">X259</f>
        <v>3</v>
      </c>
      <c r="G259" s="892"/>
      <c r="H259" s="892"/>
      <c r="I259" s="892" t="s">
        <v>1247</v>
      </c>
      <c r="J259" s="892"/>
      <c r="K259" s="918"/>
      <c r="L259" s="892"/>
      <c r="M259" s="892"/>
      <c r="N259" s="892"/>
      <c r="O259" s="892"/>
      <c r="P259" s="892"/>
      <c r="Q259" s="892"/>
      <c r="R259" s="892"/>
      <c r="S259" s="892"/>
      <c r="T259" s="468">
        <f>X259&gt;0</f>
        <v>1</v>
      </c>
      <c r="U259" s="892"/>
      <c r="V259" s="148" cm="1" t="str">
        <f t="array" ref="V259:V259">Аренда!$AB$57</f>
        <v>Тариф 3 (Водоотведение) - тариф на водоотведение (Оказание услуг на территории: город Полысаево (ОКТМО: 32732000) - г Полысаево)</v>
      </c>
      <c r="W259" s="892"/>
      <c r="X259" s="1469" t="s">
        <v>234</v>
      </c>
      <c r="Y259" s="686"/>
      <c r="Z259" s="1592"/>
      <c r="AA259" s="892"/>
      <c r="AB259" s="218" cm="1" t="str">
        <f t="array" ref="AB259:AB259">Аренда!$AB$57</f>
        <v>Тариф 3 (Водоотведение) - тариф на водоотведение (Оказание услуг на территории: город Полысаево (ОКТМО: 32732000) - г Полысаево)</v>
      </c>
      <c r="AC259" s="176"/>
      <c r="AD259" s="176"/>
      <c r="AE259" s="302">
        <f>AE267+AE274+AE281+AE288+AE260+AE295+AE306+AE313+AE320</f>
        <v>0</v>
      </c>
      <c r="AF259" s="302">
        <f>AF267+AF274+AF281+AF288+AF260+AF295+AF306+AF313+AF320</f>
        <v>0</v>
      </c>
      <c r="AG259" s="302">
        <f>AG267+AG274+AG281+AG288+AG260+AG295+AG306+AG313+AG320</f>
        <v>0</v>
      </c>
      <c r="AH259" s="302">
        <f>AH267+AH274+AH281+AH288+AH260+AH295+AH306+AH313+AH320</f>
        <v>0</v>
      </c>
      <c r="AI259" s="302">
        <f>AI267+AI274+AI281+AI288+AI260+AI295+AI306+AI313+AI320</f>
        <v>0</v>
      </c>
      <c r="AJ259" s="302">
        <f>AJ267+AJ274+AJ281+AJ288+AJ260+AJ295+AJ306+AJ313+AJ320</f>
        <v>0</v>
      </c>
      <c r="AK259" s="302">
        <f>AK267+AK274+AK281+AK288+AK260+AK295+AK306+AK313+AK320</f>
        <v>0</v>
      </c>
      <c r="AL259" s="302">
        <f>AL267+AL274+AL281+AL288+AL260+AL295+AL306+AL313+AL320</f>
        <v>0</v>
      </c>
      <c r="AM259" s="302">
        <f>AM267+AM274+AM281+AM288+AM260+AM295+AM306+AM313+AM320</f>
        <v>0</v>
      </c>
      <c r="AN259" s="302">
        <f>AN267+AN274+AN281+AN288+AN260+AN295+AN306+AN313+AN320</f>
        <v>0</v>
      </c>
      <c r="AO259" s="302">
        <f>AO267+AO274+AO281+AO288+AO260+AO295+AO306+AO313+AO320</f>
        <v>0</v>
      </c>
      <c r="AP259" s="302">
        <f>AP267+AP274+AP281+AP288+AP260+AP295+AP306+AP313+AP320</f>
        <v>0</v>
      </c>
      <c r="AQ259" s="302">
        <f>AQ267+AQ274+AQ281+AQ288+AQ260+AQ295+AQ306+AQ313+AQ320</f>
        <v>0</v>
      </c>
      <c r="AR259" s="302">
        <f>AR267+AR274+AR281+AR288+AR260+AR295+AR306+AR313+AR320</f>
        <v>0</v>
      </c>
      <c r="AS259" s="302">
        <f>AS267+AS274+AS281+AS288+AS260+AS295+AS306+AS313+AS320</f>
        <v>0</v>
      </c>
      <c r="AT259" s="302">
        <f>AT267+AT274+AT281+AT288+AT260+AT295+AT306+AT313+AT320</f>
        <v>0</v>
      </c>
      <c r="AU259" s="302">
        <f>AU267+AU274+AU281+AU288+AU260+AU295+AU306+AU313+AU320</f>
        <v>0</v>
      </c>
      <c r="AV259" s="302">
        <f>AV267+AV274+AV281+AV288+AV260+AV295+AV306+AV313+AV320</f>
        <v>0</v>
      </c>
      <c r="AW259" s="302">
        <f>AW267+AW274+AW281+AW288+AW260+AW295+AW306+AW313+AW320</f>
        <v>0</v>
      </c>
      <c r="AX259" s="302">
        <f>AX267+AX274+AX281+AX288+AX260+AX295+AX306+AX313+AX320</f>
        <v>0</v>
      </c>
      <c r="AY259" s="302">
        <f>AY267+AY274+AY281+AY288+AY260+AY295+AY306+AY313+AY320</f>
        <v>0</v>
      </c>
      <c r="AZ259" s="302">
        <f>AZ267+AZ274+AZ281+AZ288+AZ260+AZ295+AZ306+AZ313+AZ320</f>
        <v>0</v>
      </c>
      <c r="BA259" s="302">
        <f>BA267+BA274+BA281+BA288+BA260+BA295+BA306+BA313+BA320</f>
        <v>0</v>
      </c>
      <c r="BB259" s="302">
        <f>BB267+BB274+BB281+BB288+BB260+BB295+BB306+BB313+BB320</f>
        <v>0</v>
      </c>
      <c r="BC259" s="220"/>
      <c r="BD259" s="892"/>
      <c r="BE259" s="892"/>
      <c r="BF259" s="1049"/>
      <c r="BG259" s="1049"/>
      <c r="BH259" s="1049"/>
      <c r="BI259" s="684"/>
      <c r="BJ259" s="684"/>
    </row>
    <row s="1656" customFormat="1" customHeight="1" ht="0">
      <c r="A260" s="892"/>
      <c r="B260" s="442"/>
      <c r="C260" s="892"/>
      <c r="D260" s="892"/>
      <c r="E260" s="684">
        <v>15</v>
      </c>
      <c r="F260" s="50" cm="1" t="str">
        <f t="array" ref="F260:F260">OFFSET(E260,-1,1)</f>
        <v>3</v>
      </c>
      <c r="G260" s="148" t="s">
        <v>344</v>
      </c>
      <c r="H260" s="892"/>
      <c r="I260" s="892"/>
      <c r="J260" s="892"/>
      <c r="K260" s="918" t="str">
        <f>F260&amp;"1komm"</f>
        <v>31komm</v>
      </c>
      <c r="L260" s="922" cm="1" t="str">
        <f t="array" ref="L260:L260">BC260</f>
        <v>0</v>
      </c>
      <c r="M260" s="892"/>
      <c r="N260" s="892"/>
      <c r="O260" s="892"/>
      <c r="P260" s="892"/>
      <c r="Q260" s="892"/>
      <c r="R260" s="892"/>
      <c r="S260" s="892"/>
      <c r="T260" s="468" cm="1" t="str">
        <f t="array" ref="T260:T260">T259</f>
        <v>true</v>
      </c>
      <c r="U260" s="892"/>
      <c r="V260" s="892"/>
      <c r="W260" s="892"/>
      <c r="X260" s="1469"/>
      <c r="Y260" s="892"/>
      <c r="Z260" s="1592"/>
      <c r="AA260" s="892"/>
      <c r="AB260" s="207">
        <v>1</v>
      </c>
      <c r="AC260" s="208" t="s">
        <v>1248</v>
      </c>
      <c r="AD260" s="207" t="s">
        <v>936</v>
      </c>
      <c r="AE260" s="209">
        <f>SUMIF(AD263:AD266,AD260,AE263:AE266)</f>
        <v>0</v>
      </c>
      <c r="AF260" s="209">
        <f>SUMIF(AD263:AD266,AD260,AF263:AF266)</f>
        <v>0</v>
      </c>
      <c r="AG260" s="209">
        <f>SUMIF(AD263:AD266,AD260,AG263:AG266)</f>
        <v>0</v>
      </c>
      <c r="AH260" s="209">
        <f>SUMIF(AD263:AD266,AD260,AH263:AH266)</f>
        <v>0</v>
      </c>
      <c r="AI260" s="209">
        <f>SUMIF(AD263:AD266,AD260,AI263:AI266)</f>
        <v>0</v>
      </c>
      <c r="AJ260" s="3200">
        <f>SUMIF(AD263:AD266,AD260,AJ263:AJ266)</f>
        <v>0</v>
      </c>
      <c r="AK260" s="3200">
        <f>SUMIF(AD263:AD266,AD260,AK263:AK266)</f>
        <v>0</v>
      </c>
      <c r="AL260" s="3200">
        <f>SUMIF(AD263:AD266,AD260,AL263:AL266)</f>
        <v>0</v>
      </c>
      <c r="AM260" s="3200">
        <f>SUMIF(AD263:AD266,AD260,AM263:AM266)</f>
        <v>0</v>
      </c>
      <c r="AN260" s="3200">
        <f>SUMIF(AD263:AD266,AD260,AN263:AN266)</f>
        <v>0</v>
      </c>
      <c r="AO260" s="3200">
        <f>SUMIF(AD263:AD266,AD260,AO263:AO266)</f>
        <v>0</v>
      </c>
      <c r="AP260" s="3200">
        <f>SUMIF(AD263:AD266,AD260,AP263:AP266)</f>
        <v>0</v>
      </c>
      <c r="AQ260" s="3200">
        <f>SUMIF(AD263:AD266,AD260,AQ263:AQ266)</f>
        <v>0</v>
      </c>
      <c r="AR260" s="3200">
        <f>SUMIF(AD263:AD266,AD260,AR263:AR266)</f>
        <v>0</v>
      </c>
      <c r="AS260" s="209">
        <f>SUMIF(AD263:AD266,AD260,AS263:AS266)</f>
        <v>0</v>
      </c>
      <c r="AT260" s="3200">
        <f>SUMIF(AD263:AD266,AD260,AT263:AT266)</f>
        <v>0</v>
      </c>
      <c r="AU260" s="3200">
        <f>SUMIF(AD263:AD266,AD260,AU263:AU266)</f>
        <v>0</v>
      </c>
      <c r="AV260" s="3200">
        <f>SUMIF(AD263:AD266,AD260,AV263:AV266)</f>
        <v>0</v>
      </c>
      <c r="AW260" s="3200">
        <f>SUMIF(AD263:AD266,AD260,AW263:AW266)</f>
        <v>0</v>
      </c>
      <c r="AX260" s="3200">
        <f>SUMIF(AD263:AD266,AD260,AX263:AX266)</f>
        <v>0</v>
      </c>
      <c r="AY260" s="3200">
        <f>SUMIF(AD263:AD266,AD260,AY263:AY266)</f>
        <v>0</v>
      </c>
      <c r="AZ260" s="3200">
        <f>SUMIF(AD263:AD266,AD260,AZ263:AZ266)</f>
        <v>0</v>
      </c>
      <c r="BA260" s="3200">
        <f>SUMIF(AD263:AD266,AD260,BA263:BA266)</f>
        <v>0</v>
      </c>
      <c r="BB260" s="3200">
        <f>SUMIF(AD263:AD266,AD260,BB263:BB266)</f>
        <v>0</v>
      </c>
      <c r="BC260" s="196"/>
      <c r="BD260" s="892"/>
      <c r="BE260" s="892"/>
      <c r="BF260" s="1049" t="s">
        <v>1249</v>
      </c>
      <c r="BG260" s="1049"/>
      <c r="BH260" s="1049"/>
      <c r="BI260" s="684"/>
      <c r="BJ260" s="684"/>
    </row>
    <row s="1656" customFormat="1" customHeight="1" ht="0" hidden="1">
      <c r="A261" s="892"/>
      <c r="B261" s="442"/>
      <c r="C261" s="892"/>
      <c r="D261" s="892"/>
      <c r="E261" s="684">
        <v>0</v>
      </c>
      <c r="F261" s="50" cm="1" t="str">
        <f t="array" ref="F261:F261">OFFSET(E261,-1,1)</f>
        <v>3</v>
      </c>
      <c r="G261" s="892"/>
      <c r="H261" s="892"/>
      <c r="I261" s="892"/>
      <c r="J261" s="892"/>
      <c r="K261" s="918"/>
      <c r="L261" s="922"/>
      <c r="M261" s="892"/>
      <c r="N261" s="892"/>
      <c r="O261" s="892"/>
      <c r="P261" s="892"/>
      <c r="Q261" s="892"/>
      <c r="R261" s="892"/>
      <c r="S261" s="892"/>
      <c r="T261" s="468" t="b">
        <v>0</v>
      </c>
      <c r="U261" s="892"/>
      <c r="V261" s="892"/>
      <c r="W261" s="148" t="s">
        <v>173</v>
      </c>
      <c r="X261" s="1469"/>
      <c r="Y261" s="1469">
        <v>0</v>
      </c>
      <c r="Z261" s="1592"/>
      <c r="AA261" s="1593" t="s">
        <v>174</v>
      </c>
      <c r="AB261" s="207"/>
      <c r="AC261" s="208"/>
      <c r="AD261" s="207"/>
      <c r="AE261" s="212">
        <f>OR(AND(AE263&lt;&gt;"",AE264=""),AND(AE263="",AE264&lt;&gt;""))</f>
        <v>0</v>
      </c>
      <c r="AF261" s="212">
        <f>OR(AND(AF263&lt;&gt;"",AF264=""),AND(AF263="",AF264&lt;&gt;""))</f>
        <v>0</v>
      </c>
      <c r="AG261" s="212">
        <f>OR(AND(AG263&lt;&gt;"",AG264=""),AND(AG263="",AG264&lt;&gt;""))</f>
        <v>0</v>
      </c>
      <c r="AH261" s="212">
        <f>OR(AND(AH263&lt;&gt;"",AH264=""),AND(AH263="",AH264&lt;&gt;""))</f>
        <v>0</v>
      </c>
      <c r="AI261" s="212">
        <f>OR(AND(AI263&lt;&gt;"",AI264=""),AND(AI263="",AI264&lt;&gt;""))</f>
        <v>0</v>
      </c>
      <c r="AJ261" s="212">
        <f>OR(AND(AJ263&lt;&gt;"",AJ264=""),AND(AJ263="",AJ264&lt;&gt;""))</f>
        <v>0</v>
      </c>
      <c r="AK261" s="212">
        <f>OR(AND(AK263&lt;&gt;"",AK264=""),AND(AK263="",AK264&lt;&gt;""))</f>
        <v>0</v>
      </c>
      <c r="AL261" s="212">
        <f>OR(AND(AL263&lt;&gt;"",AL264=""),AND(AL263="",AL264&lt;&gt;""))</f>
        <v>0</v>
      </c>
      <c r="AM261" s="212">
        <f>OR(AND(AM263&lt;&gt;"",AM264=""),AND(AM263="",AM264&lt;&gt;""))</f>
        <v>0</v>
      </c>
      <c r="AN261" s="212">
        <f>OR(AND(AN263&lt;&gt;"",AN264=""),AND(AN263="",AN264&lt;&gt;""))</f>
        <v>0</v>
      </c>
      <c r="AO261" s="212">
        <f>OR(AND(AO263&lt;&gt;"",AO264=""),AND(AO263="",AO264&lt;&gt;""))</f>
        <v>0</v>
      </c>
      <c r="AP261" s="212">
        <f>OR(AND(AP263&lt;&gt;"",AP264=""),AND(AP263="",AP264&lt;&gt;""))</f>
        <v>0</v>
      </c>
      <c r="AQ261" s="212">
        <f>OR(AND(AQ263&lt;&gt;"",AQ264=""),AND(AQ263="",AQ264&lt;&gt;""))</f>
        <v>0</v>
      </c>
      <c r="AR261" s="212">
        <f>OR(AND(AR263&lt;&gt;"",AR264=""),AND(AR263="",AR264&lt;&gt;""))</f>
        <v>0</v>
      </c>
      <c r="AS261" s="212">
        <f>OR(AND(AS263&lt;&gt;"",AS264=""),AND(AS263="",AS264&lt;&gt;""))</f>
        <v>0</v>
      </c>
      <c r="AT261" s="212">
        <f>OR(AND(AT263&lt;&gt;"",AT264=""),AND(AT263="",AT264&lt;&gt;""))</f>
        <v>0</v>
      </c>
      <c r="AU261" s="212">
        <f>OR(AND(AU263&lt;&gt;"",AU264=""),AND(AU263="",AU264&lt;&gt;""))</f>
        <v>0</v>
      </c>
      <c r="AV261" s="212">
        <f>OR(AND(AV263&lt;&gt;"",AV264=""),AND(AV263="",AV264&lt;&gt;""))</f>
        <v>0</v>
      </c>
      <c r="AW261" s="212">
        <f>OR(AND(AW263&lt;&gt;"",AW264=""),AND(AW263="",AW264&lt;&gt;""))</f>
        <v>0</v>
      </c>
      <c r="AX261" s="212">
        <f>OR(AND(AX263&lt;&gt;"",AX264=""),AND(AX263="",AX264&lt;&gt;""))</f>
        <v>0</v>
      </c>
      <c r="AY261" s="212">
        <f>OR(AND(AY263&lt;&gt;"",AY264=""),AND(AY263="",AY264&lt;&gt;""))</f>
        <v>0</v>
      </c>
      <c r="AZ261" s="212">
        <f>OR(AND(AZ263&lt;&gt;"",AZ264=""),AND(AZ263="",AZ264&lt;&gt;""))</f>
        <v>0</v>
      </c>
      <c r="BA261" s="212">
        <f>OR(AND(BA263&lt;&gt;"",BA264=""),AND(BA263="",BA264&lt;&gt;""))</f>
        <v>0</v>
      </c>
      <c r="BB261" s="212">
        <f>OR(AND(BB263&lt;&gt;"",BB264=""),AND(BB263="",BB264&lt;&gt;""))</f>
        <v>0</v>
      </c>
      <c r="BC261" s="982"/>
      <c r="BD261" s="892"/>
      <c r="BE261" s="892"/>
      <c r="BF261" s="1049"/>
      <c r="BG261" s="1049"/>
      <c r="BH261" s="1049"/>
      <c r="BI261" s="684"/>
      <c r="BJ261" s="684"/>
    </row>
    <row customHeight="1" ht="14.625" hidden="1">
      <c r="A262" s="892"/>
      <c r="B262" s="442"/>
      <c r="C262" s="892"/>
      <c r="D262" s="892"/>
      <c r="E262" s="684">
        <v>15</v>
      </c>
      <c r="F262" s="1326" cm="1" t="str">
        <f t="array" ref="F262:F262">OFFSET(E262,-1,1)</f>
        <v>3</v>
      </c>
      <c r="G262" s="892"/>
      <c r="H262" s="892"/>
      <c r="I262" s="892"/>
      <c r="J262" s="892"/>
      <c r="K262" s="918"/>
      <c r="L262" s="922"/>
      <c r="M262" s="892"/>
      <c r="N262" s="892"/>
      <c r="O262" s="892"/>
      <c r="P262" s="892"/>
      <c r="Q262" s="892"/>
      <c r="R262" s="892"/>
      <c r="S262" s="892"/>
      <c r="T262" s="1436">
        <f>AND(Y261&gt;0,F262&gt;0)</f>
        <v>0</v>
      </c>
      <c r="U262" s="892"/>
      <c r="V262" s="892"/>
      <c r="W262" s="892"/>
      <c r="X262" s="690"/>
      <c r="Y262" s="1469"/>
      <c r="Z262" s="892"/>
      <c r="AA262" s="3203"/>
      <c r="AB262" s="3204" t="str">
        <f>"1."&amp;Y261</f>
        <v>1.0</v>
      </c>
      <c r="AC262" s="3205" t="s">
        <v>240</v>
      </c>
      <c r="AD262" s="3206"/>
      <c r="AE262" s="3207"/>
      <c r="AF262" s="3208"/>
      <c r="AG262" s="3207"/>
      <c r="AH262" s="3207"/>
      <c r="AI262" s="3207"/>
      <c r="AJ262" s="3207"/>
      <c r="AK262" s="3207"/>
      <c r="AL262" s="3207"/>
      <c r="AM262" s="3207"/>
      <c r="AN262" s="3207"/>
      <c r="AO262" s="3207"/>
      <c r="AP262" s="3207"/>
      <c r="AQ262" s="3207"/>
      <c r="AR262" s="3207"/>
      <c r="AS262" s="3208"/>
      <c r="AT262" s="3208"/>
      <c r="AU262" s="3208"/>
      <c r="AV262" s="3208"/>
      <c r="AW262" s="3208"/>
      <c r="AX262" s="3208"/>
      <c r="AY262" s="3208"/>
      <c r="AZ262" s="3208"/>
      <c r="BA262" s="3208"/>
      <c r="BB262" s="3209"/>
      <c r="BC262" s="3210"/>
      <c r="BD262" s="892"/>
      <c r="BE262" s="892"/>
      <c r="BF262" s="1049"/>
      <c r="BG262" s="1049"/>
      <c r="BH262" s="1049"/>
      <c r="BI262" s="684"/>
      <c r="BJ262" s="684"/>
    </row>
    <row s="1656" customFormat="1" customHeight="1" ht="14.25" hidden="1">
      <c r="A263" s="892"/>
      <c r="B263" s="442"/>
      <c r="C263" s="892"/>
      <c r="D263" s="892"/>
      <c r="E263" s="684">
        <v>15</v>
      </c>
      <c r="F263" s="50" cm="1" t="str">
        <f t="array" ref="F263:F263">OFFSET(E263,-1,1)</f>
        <v>3</v>
      </c>
      <c r="G263" s="148" t="s">
        <v>344</v>
      </c>
      <c r="H263" s="151" cm="1" t="str">
        <f t="array" ref="H263:H263">AC263</f>
        <v>Затраты</v>
      </c>
      <c r="I263" s="148" t="s">
        <v>1250</v>
      </c>
      <c r="J263" s="892"/>
      <c r="K263" s="918"/>
      <c r="L263" s="892"/>
      <c r="M263" s="892"/>
      <c r="N263" s="892"/>
      <c r="O263" s="892"/>
      <c r="P263" s="892"/>
      <c r="Q263" s="892"/>
      <c r="R263" s="892"/>
      <c r="S263" s="892"/>
      <c r="T263" s="468" cm="1" t="str">
        <f t="array" ref="T263:T263">T262</f>
        <v>false</v>
      </c>
      <c r="U263" s="892"/>
      <c r="V263" s="892"/>
      <c r="W263" s="892"/>
      <c r="X263" s="1469"/>
      <c r="Y263" s="1469"/>
      <c r="Z263" s="1592"/>
      <c r="AA263" s="1593"/>
      <c r="AB263" s="84" t="str">
        <f>AB262&amp;".1"</f>
        <v>1.0.1</v>
      </c>
      <c r="AC263" s="3211" t="s">
        <v>1251</v>
      </c>
      <c r="AD263" s="207" t="s">
        <v>936</v>
      </c>
      <c r="AE263" s="3212"/>
      <c r="AF263" s="3212"/>
      <c r="AG263" s="3212"/>
      <c r="AH263" s="3212"/>
      <c r="AI263" s="3212"/>
      <c r="AJ263" s="3212"/>
      <c r="AK263" s="3212"/>
      <c r="AL263" s="3212"/>
      <c r="AM263" s="3212"/>
      <c r="AN263" s="3212"/>
      <c r="AO263" s="3212"/>
      <c r="AP263" s="3212"/>
      <c r="AQ263" s="3212"/>
      <c r="AR263" s="3212"/>
      <c r="AS263" s="3212"/>
      <c r="AT263" s="3212"/>
      <c r="AU263" s="3212"/>
      <c r="AV263" s="3212"/>
      <c r="AW263" s="3212"/>
      <c r="AX263" s="3212"/>
      <c r="AY263" s="3212"/>
      <c r="AZ263" s="3212"/>
      <c r="BA263" s="3212"/>
      <c r="BB263" s="3212"/>
      <c r="BC263" s="1928"/>
      <c r="BD263" s="892"/>
      <c r="BE263" s="892"/>
      <c r="BF263" s="1049" t="s">
        <v>1252</v>
      </c>
      <c r="BG263" s="1049" t="s">
        <v>1253</v>
      </c>
      <c r="BH263" s="1049" cm="1" t="str">
        <f t="array" ref="BH263:BH263">AC262</f>
        <v/>
      </c>
      <c r="BI263" s="684"/>
      <c r="BJ263" s="684" t="b">
        <v>1</v>
      </c>
    </row>
    <row s="1656" customFormat="1" customHeight="1" ht="0" hidden="1">
      <c r="A264" s="892"/>
      <c r="B264" s="442"/>
      <c r="C264" s="892"/>
      <c r="D264" s="892"/>
      <c r="E264" s="684">
        <v>15</v>
      </c>
      <c r="F264" s="50" cm="1" t="str">
        <f t="array" ref="F264:F264">OFFSET(E264,-1,1)</f>
        <v>3</v>
      </c>
      <c r="G264" s="148" t="s">
        <v>566</v>
      </c>
      <c r="H264" s="151" cm="1" t="str">
        <f t="array" ref="H264:H264">H263</f>
        <v>Затраты</v>
      </c>
      <c r="I264" s="148" t="s">
        <v>1250</v>
      </c>
      <c r="J264" s="892"/>
      <c r="K264" s="918"/>
      <c r="L264" s="892"/>
      <c r="M264" s="892"/>
      <c r="N264" s="892"/>
      <c r="O264" s="892"/>
      <c r="P264" s="892"/>
      <c r="Q264" s="892"/>
      <c r="R264" s="892"/>
      <c r="S264" s="892"/>
      <c r="T264" s="468" cm="1" t="str">
        <f t="array" ref="T264:T264">T263</f>
        <v>false</v>
      </c>
      <c r="U264" s="892"/>
      <c r="V264" s="892"/>
      <c r="W264" s="892"/>
      <c r="X264" s="1469"/>
      <c r="Y264" s="1469"/>
      <c r="Z264" s="1592"/>
      <c r="AA264" s="1593"/>
      <c r="AB264" s="84" t="str">
        <f>AB263&amp;".1"</f>
        <v>1.0.1.1</v>
      </c>
      <c r="AC264" s="217" t="s">
        <v>1254</v>
      </c>
      <c r="AD264" s="84" t="s">
        <v>657</v>
      </c>
      <c r="AE264" s="3109"/>
      <c r="AF264" s="3109"/>
      <c r="AG264" s="3109"/>
      <c r="AH264" s="3109"/>
      <c r="AI264" s="3109"/>
      <c r="AJ264" s="3109"/>
      <c r="AK264" s="3109"/>
      <c r="AL264" s="3109"/>
      <c r="AM264" s="3109"/>
      <c r="AN264" s="3109"/>
      <c r="AO264" s="3109"/>
      <c r="AP264" s="3109"/>
      <c r="AQ264" s="3109"/>
      <c r="AR264" s="3109"/>
      <c r="AS264" s="3109"/>
      <c r="AT264" s="3109"/>
      <c r="AU264" s="3109"/>
      <c r="AV264" s="3109"/>
      <c r="AW264" s="3109"/>
      <c r="AX264" s="3109"/>
      <c r="AY264" s="3109"/>
      <c r="AZ264" s="3109"/>
      <c r="BA264" s="3109"/>
      <c r="BB264" s="3109"/>
      <c r="BC264" s="1928"/>
      <c r="BD264" s="892"/>
      <c r="BE264" s="892"/>
      <c r="BF264" s="1049" t="s">
        <v>1255</v>
      </c>
      <c r="BG264" s="1049" t="s">
        <v>1253</v>
      </c>
      <c r="BH264" s="1049" cm="1" t="str">
        <f t="array" ref="BH264:BH264">BH263</f>
        <v/>
      </c>
      <c r="BI264" s="684"/>
      <c r="BJ264" s="684"/>
    </row>
    <row customHeight="1" ht="14.625" hidden="1">
      <c r="A265" s="892"/>
      <c r="B265" s="442"/>
      <c r="C265" s="892"/>
      <c r="D265" s="892"/>
      <c r="E265" s="684">
        <v>15</v>
      </c>
      <c r="F265" s="1326" cm="1" t="str">
        <f t="array" ref="F265:F265">OFFSET(E265,-1,1)</f>
        <v>3</v>
      </c>
      <c r="G265" s="892"/>
      <c r="H265" s="151"/>
      <c r="I265" s="892"/>
      <c r="J265" s="892"/>
      <c r="K265" s="918"/>
      <c r="L265" s="892"/>
      <c r="M265" s="892"/>
      <c r="N265" s="892"/>
      <c r="O265" s="892"/>
      <c r="P265" s="892"/>
      <c r="Q265" s="892"/>
      <c r="R265" s="892"/>
      <c r="S265" s="892"/>
      <c r="T265" s="1436" cm="1" t="str">
        <f t="array" ref="T265:T265">T264</f>
        <v>false</v>
      </c>
      <c r="U265" s="892"/>
      <c r="V265" s="892"/>
      <c r="W265" s="892"/>
      <c r="X265" s="690"/>
      <c r="Y265" s="1469"/>
      <c r="Z265" s="892"/>
      <c r="AA265" s="3203"/>
      <c r="AB265" s="3214" t="str">
        <f>AB263&amp;".2"</f>
        <v>1.0.1.2</v>
      </c>
      <c r="AC265" s="3215" t="s">
        <v>1256</v>
      </c>
      <c r="AD265" s="3214" t="s">
        <v>1257</v>
      </c>
      <c r="AE265" s="3216"/>
      <c r="AF265" s="3216"/>
      <c r="AG265" s="3216"/>
      <c r="AH265" s="3216"/>
      <c r="AI265" s="3216"/>
      <c r="AJ265" s="3216"/>
      <c r="AK265" s="3216"/>
      <c r="AL265" s="3216"/>
      <c r="AM265" s="3216"/>
      <c r="AN265" s="3216"/>
      <c r="AO265" s="3216"/>
      <c r="AP265" s="3216"/>
      <c r="AQ265" s="3216"/>
      <c r="AR265" s="3216"/>
      <c r="AS265" s="3216"/>
      <c r="AT265" s="3216"/>
      <c r="AU265" s="3216"/>
      <c r="AV265" s="3216"/>
      <c r="AW265" s="3216"/>
      <c r="AX265" s="3216"/>
      <c r="AY265" s="3216"/>
      <c r="AZ265" s="3216"/>
      <c r="BA265" s="3216"/>
      <c r="BB265" s="3216"/>
      <c r="BC265" s="3217"/>
      <c r="BD265" s="892"/>
      <c r="BE265" s="892"/>
      <c r="BF265" s="1049" t="s">
        <v>1258</v>
      </c>
      <c r="BG265" s="1049" t="s">
        <v>1253</v>
      </c>
      <c r="BH265" s="3218" cm="1" t="str">
        <f t="array" ref="BH265:BH265">BH264</f>
        <v/>
      </c>
      <c r="BI265" s="684"/>
      <c r="BJ265" s="684"/>
    </row>
    <row s="1656" customFormat="1" customHeight="1" ht="0">
      <c r="A266" s="892"/>
      <c r="B266" s="442"/>
      <c r="C266" s="892"/>
      <c r="D266" s="892"/>
      <c r="E266" s="684">
        <v>15</v>
      </c>
      <c r="F266" s="50" cm="1" t="str">
        <f t="array" ref="F266:F266">OFFSET(E266,-1,1)</f>
        <v>3</v>
      </c>
      <c r="G266" s="892"/>
      <c r="H266" s="148" t="str">
        <f>"!=='не определено' &amp;&amp; row.l1 !== null"</f>
        <v>!=='не определено' &amp;&amp; row.l1 !== null</v>
      </c>
      <c r="I266" s="892"/>
      <c r="J266" s="892"/>
      <c r="K266" s="918"/>
      <c r="L266" s="892"/>
      <c r="M266" s="892"/>
      <c r="N266" s="892"/>
      <c r="O266" s="892"/>
      <c r="P266" s="892"/>
      <c r="Q266" s="892"/>
      <c r="R266" s="892"/>
      <c r="S266" s="892"/>
      <c r="T266" s="468">
        <f>F266&gt;0</f>
        <v>1</v>
      </c>
      <c r="U266" s="892"/>
      <c r="V266" s="892"/>
      <c r="W266" s="691" t="s">
        <v>1259</v>
      </c>
      <c r="X266" s="1469"/>
      <c r="Y266" s="892"/>
      <c r="Z266" s="1592"/>
      <c r="AA266" s="892"/>
      <c r="AB266" s="687"/>
      <c r="AC266" s="228" t="s">
        <v>1260</v>
      </c>
      <c r="AD266" s="228"/>
      <c r="AE266" s="228"/>
      <c r="AF266" s="228"/>
      <c r="AG266" s="228"/>
      <c r="AH266" s="228"/>
      <c r="AI266" s="228"/>
      <c r="AJ266" s="228"/>
      <c r="AK266" s="228"/>
      <c r="AL266" s="228"/>
      <c r="AM266" s="228"/>
      <c r="AN266" s="228"/>
      <c r="AO266" s="228"/>
      <c r="AP266" s="228"/>
      <c r="AQ266" s="228"/>
      <c r="AR266" s="228"/>
      <c r="AS266" s="228"/>
      <c r="AT266" s="228"/>
      <c r="AU266" s="228"/>
      <c r="AV266" s="228"/>
      <c r="AW266" s="228"/>
      <c r="AX266" s="228"/>
      <c r="AY266" s="228"/>
      <c r="AZ266" s="228"/>
      <c r="BA266" s="228"/>
      <c r="BB266" s="228"/>
      <c r="BC266" s="229"/>
      <c r="BD266" s="892"/>
      <c r="BE266" s="892"/>
      <c r="BF266" s="1049"/>
      <c r="BG266" s="1049"/>
      <c r="BH266" s="1049"/>
      <c r="BI266" s="684" t="s">
        <v>1253</v>
      </c>
      <c r="BJ266" s="684"/>
    </row>
    <row s="1656" customFormat="1" customHeight="1" ht="0">
      <c r="A267" s="892"/>
      <c r="B267" s="442"/>
      <c r="C267" s="892"/>
      <c r="D267" s="892"/>
      <c r="E267" s="684">
        <v>22.5</v>
      </c>
      <c r="F267" s="50" cm="1" t="str">
        <f t="array" ref="F267:F267">OFFSET(E267,-1,1)</f>
        <v>3</v>
      </c>
      <c r="G267" s="892"/>
      <c r="H267" s="892"/>
      <c r="I267" s="892"/>
      <c r="J267" s="892"/>
      <c r="K267" s="918" t="str">
        <f>F260&amp;"2komm"</f>
        <v>32komm</v>
      </c>
      <c r="L267" s="922" cm="1" t="str">
        <f t="array" ref="L267:L267">BC267</f>
        <v>0</v>
      </c>
      <c r="M267" s="892"/>
      <c r="N267" s="892"/>
      <c r="O267" s="892"/>
      <c r="P267" s="892"/>
      <c r="Q267" s="892"/>
      <c r="R267" s="892"/>
      <c r="S267" s="892"/>
      <c r="T267" s="468" cm="1" t="str">
        <f t="array" ref="T267:T267">T266</f>
        <v>true</v>
      </c>
      <c r="U267" s="892"/>
      <c r="V267" s="892"/>
      <c r="W267" s="892"/>
      <c r="X267" s="1469"/>
      <c r="Y267" s="690"/>
      <c r="Z267" s="1592"/>
      <c r="AA267" s="892"/>
      <c r="AB267" s="207">
        <v>2</v>
      </c>
      <c r="AC267" s="208" t="s">
        <v>1261</v>
      </c>
      <c r="AD267" s="207" t="s">
        <v>936</v>
      </c>
      <c r="AE267" s="209">
        <f>SUMIF(AD270:AD273,AD267,AE270:AE273)</f>
        <v>0</v>
      </c>
      <c r="AF267" s="209">
        <f>SUMIF(AD270:AD273,AD267,AF270:AF273)</f>
        <v>0</v>
      </c>
      <c r="AG267" s="209">
        <f>SUMIF(AD270:AD273,AD267,AG270:AG273)</f>
        <v>0</v>
      </c>
      <c r="AH267" s="209">
        <f>SUMIF(AD270:AD273,AD267,AH270:AH273)</f>
        <v>0</v>
      </c>
      <c r="AI267" s="209">
        <f>SUMIF(AD270:AD273,AD267,AI270:AI273)</f>
        <v>0</v>
      </c>
      <c r="AJ267" s="3200">
        <f>SUMIF(AD270:AD273,AD267,AJ270:AJ273)</f>
        <v>0</v>
      </c>
      <c r="AK267" s="3200">
        <f>SUMIF(AD270:AD273,AD267,AK270:AK273)</f>
        <v>0</v>
      </c>
      <c r="AL267" s="3200">
        <f>SUMIF(AD270:AD273,AD267,AL270:AL273)</f>
        <v>0</v>
      </c>
      <c r="AM267" s="3200">
        <f>SUMIF(AD270:AD273,AD267,AM270:AM273)</f>
        <v>0</v>
      </c>
      <c r="AN267" s="3200">
        <f>SUMIF(AD270:AD273,AD267,AN270:AN273)</f>
        <v>0</v>
      </c>
      <c r="AO267" s="3200">
        <f>SUMIF(AD270:AD273,AD267,AO270:AO273)</f>
        <v>0</v>
      </c>
      <c r="AP267" s="3200">
        <f>SUMIF(AD270:AD273,AD267,AP270:AP273)</f>
        <v>0</v>
      </c>
      <c r="AQ267" s="3200">
        <f>SUMIF(AD270:AD273,AD267,AQ270:AQ273)</f>
        <v>0</v>
      </c>
      <c r="AR267" s="3200">
        <f>SUMIF(AD270:AD273,AD267,AR270:AR273)</f>
        <v>0</v>
      </c>
      <c r="AS267" s="209">
        <f>SUMIF(AD270:AD273,AD267,AS270:AS273)</f>
        <v>0</v>
      </c>
      <c r="AT267" s="3200">
        <f>SUMIF(AD270:AD273,AD267,AT270:AT273)</f>
        <v>0</v>
      </c>
      <c r="AU267" s="3200">
        <f>SUMIF(AD270:AD273,AD267,AU270:AU273)</f>
        <v>0</v>
      </c>
      <c r="AV267" s="3200">
        <f>SUMIF(AD270:AD273,AD267,AV270:AV273)</f>
        <v>0</v>
      </c>
      <c r="AW267" s="3200">
        <f>SUMIF(AD270:AD273,AD267,AW270:AW273)</f>
        <v>0</v>
      </c>
      <c r="AX267" s="3200">
        <f>SUMIF(AD270:AD273,AD267,AX270:AX273)</f>
        <v>0</v>
      </c>
      <c r="AY267" s="3200">
        <f>SUMIF(AD270:AD273,AD267,AY270:AY273)</f>
        <v>0</v>
      </c>
      <c r="AZ267" s="3200">
        <f>SUMIF(AD270:AD273,AD267,AZ270:AZ273)</f>
        <v>0</v>
      </c>
      <c r="BA267" s="3200">
        <f>SUMIF(AD270:AD273,AD267,BA270:BA273)</f>
        <v>0</v>
      </c>
      <c r="BB267" s="3200">
        <f>SUMIF(AD270:AD273,AD267,BB270:BB273)</f>
        <v>0</v>
      </c>
      <c r="BC267" s="196"/>
      <c r="BD267" s="892"/>
      <c r="BE267" s="892"/>
      <c r="BF267" s="1049" t="s">
        <v>1262</v>
      </c>
      <c r="BG267" s="1049"/>
      <c r="BH267" s="1049"/>
      <c r="BI267" s="684"/>
      <c r="BJ267" s="684"/>
    </row>
    <row s="1656" customFormat="1" customHeight="1" ht="0" hidden="1">
      <c r="A268" s="892"/>
      <c r="B268" s="442"/>
      <c r="C268" s="892"/>
      <c r="D268" s="892"/>
      <c r="E268" s="684">
        <v>0</v>
      </c>
      <c r="F268" s="50" cm="1" t="str">
        <f t="array" ref="F268:F268">OFFSET(E268,-1,1)</f>
        <v>3</v>
      </c>
      <c r="G268" s="148" t="s">
        <v>345</v>
      </c>
      <c r="H268" s="892"/>
      <c r="I268" s="892"/>
      <c r="J268" s="892"/>
      <c r="K268" s="918"/>
      <c r="L268" s="922"/>
      <c r="M268" s="892"/>
      <c r="N268" s="892"/>
      <c r="O268" s="892"/>
      <c r="P268" s="892"/>
      <c r="Q268" s="892"/>
      <c r="R268" s="892"/>
      <c r="S268" s="892"/>
      <c r="T268" s="468" t="b">
        <v>0</v>
      </c>
      <c r="U268" s="892"/>
      <c r="V268" s="892"/>
      <c r="W268" s="148" t="s">
        <v>173</v>
      </c>
      <c r="X268" s="1469"/>
      <c r="Y268" s="1469">
        <v>0</v>
      </c>
      <c r="Z268" s="1592"/>
      <c r="AA268" s="1594" t="s">
        <v>174</v>
      </c>
      <c r="AB268" s="207"/>
      <c r="AC268" s="208"/>
      <c r="AD268" s="207"/>
      <c r="AE268" s="1448">
        <f>OR(AND(AE270&lt;&gt;"",AE271=""),AND(AE270="",AE271&lt;&gt;""))</f>
        <v>0</v>
      </c>
      <c r="AF268" s="1448">
        <f>OR(AND(AF270&lt;&gt;"",AF271=""),AND(AF270="",AF271&lt;&gt;""))</f>
        <v>0</v>
      </c>
      <c r="AG268" s="1448">
        <f>OR(AND(AG270&lt;&gt;"",AG271=""),AND(AG270="",AG271&lt;&gt;""))</f>
        <v>0</v>
      </c>
      <c r="AH268" s="1448">
        <f>OR(AND(AH270&lt;&gt;"",AH271=""),AND(AH270="",AH271&lt;&gt;""))</f>
        <v>0</v>
      </c>
      <c r="AI268" s="1448">
        <f>OR(AND(AI270&lt;&gt;"",AI271=""),AND(AI270="",AI271&lt;&gt;""))</f>
        <v>0</v>
      </c>
      <c r="AJ268" s="1448">
        <f>OR(AND(AJ270&lt;&gt;"",AJ271=""),AND(AJ270="",AJ271&lt;&gt;""))</f>
        <v>0</v>
      </c>
      <c r="AK268" s="1448">
        <f>OR(AND(AK270&lt;&gt;"",AK271=""),AND(AK270="",AK271&lt;&gt;""))</f>
        <v>0</v>
      </c>
      <c r="AL268" s="1448">
        <f>OR(AND(AL270&lt;&gt;"",AL271=""),AND(AL270="",AL271&lt;&gt;""))</f>
        <v>0</v>
      </c>
      <c r="AM268" s="1448">
        <f>OR(AND(AM270&lt;&gt;"",AM271=""),AND(AM270="",AM271&lt;&gt;""))</f>
        <v>0</v>
      </c>
      <c r="AN268" s="1448">
        <f>OR(AND(AN270&lt;&gt;"",AN271=""),AND(AN270="",AN271&lt;&gt;""))</f>
        <v>0</v>
      </c>
      <c r="AO268" s="1448">
        <f>OR(AND(AO270&lt;&gt;"",AO271=""),AND(AO270="",AO271&lt;&gt;""))</f>
        <v>0</v>
      </c>
      <c r="AP268" s="1448">
        <f>OR(AND(AP270&lt;&gt;"",AP271=""),AND(AP270="",AP271&lt;&gt;""))</f>
        <v>0</v>
      </c>
      <c r="AQ268" s="1448">
        <f>OR(AND(AQ270&lt;&gt;"",AQ271=""),AND(AQ270="",AQ271&lt;&gt;""))</f>
        <v>0</v>
      </c>
      <c r="AR268" s="1448">
        <f>OR(AND(AR270&lt;&gt;"",AR271=""),AND(AR270="",AR271&lt;&gt;""))</f>
        <v>0</v>
      </c>
      <c r="AS268" s="1448">
        <f>OR(AND(AS270&lt;&gt;"",AS271=""),AND(AS270="",AS271&lt;&gt;""))</f>
        <v>0</v>
      </c>
      <c r="AT268" s="1448">
        <f>OR(AND(AT270&lt;&gt;"",AT271=""),AND(AT270="",AT271&lt;&gt;""))</f>
        <v>0</v>
      </c>
      <c r="AU268" s="1448">
        <f>OR(AND(AU270&lt;&gt;"",AU271=""),AND(AU270="",AU271&lt;&gt;""))</f>
        <v>0</v>
      </c>
      <c r="AV268" s="1448">
        <f>OR(AND(AV270&lt;&gt;"",AV271=""),AND(AV270="",AV271&lt;&gt;""))</f>
        <v>0</v>
      </c>
      <c r="AW268" s="1448">
        <f>OR(AND(AW270&lt;&gt;"",AW271=""),AND(AW270="",AW271&lt;&gt;""))</f>
        <v>0</v>
      </c>
      <c r="AX268" s="1448">
        <f>OR(AND(AX270&lt;&gt;"",AX271=""),AND(AX270="",AX271&lt;&gt;""))</f>
        <v>0</v>
      </c>
      <c r="AY268" s="1448">
        <f>OR(AND(AY270&lt;&gt;"",AY271=""),AND(AY270="",AY271&lt;&gt;""))</f>
        <v>0</v>
      </c>
      <c r="AZ268" s="1448">
        <f>OR(AND(AZ270&lt;&gt;"",AZ271=""),AND(AZ270="",AZ271&lt;&gt;""))</f>
        <v>0</v>
      </c>
      <c r="BA268" s="1448">
        <f>OR(AND(BA270&lt;&gt;"",BA271=""),AND(BA270="",BA271&lt;&gt;""))</f>
        <v>0</v>
      </c>
      <c r="BB268" s="1448">
        <f>OR(AND(BB270&lt;&gt;"",BB271=""),AND(BB270="",BB271&lt;&gt;""))</f>
        <v>0</v>
      </c>
      <c r="BC268" s="982"/>
      <c r="BD268" s="892"/>
      <c r="BE268" s="892"/>
      <c r="BF268" s="1049"/>
      <c r="BG268" s="1049"/>
      <c r="BH268" s="1049"/>
      <c r="BI268" s="684"/>
      <c r="BJ268" s="684"/>
    </row>
    <row customHeight="1" ht="14.625" hidden="1">
      <c r="A269" s="892"/>
      <c r="B269" s="442"/>
      <c r="C269" s="892"/>
      <c r="D269" s="892"/>
      <c r="E269" s="684">
        <v>15</v>
      </c>
      <c r="F269" s="1326" cm="1" t="str">
        <f t="array" ref="F269:F269">OFFSET(E269,-1,1)</f>
        <v>3</v>
      </c>
      <c r="G269" s="892"/>
      <c r="H269" s="892"/>
      <c r="I269" s="892"/>
      <c r="J269" s="892"/>
      <c r="K269" s="918"/>
      <c r="L269" s="922"/>
      <c r="M269" s="892"/>
      <c r="N269" s="892"/>
      <c r="O269" s="892"/>
      <c r="P269" s="892"/>
      <c r="Q269" s="892"/>
      <c r="R269" s="892"/>
      <c r="S269" s="892"/>
      <c r="T269" s="1436">
        <f>AND(Y268&gt;0,F269&gt;0)</f>
        <v>0</v>
      </c>
      <c r="U269" s="892"/>
      <c r="V269" s="892"/>
      <c r="W269" s="892"/>
      <c r="X269" s="690"/>
      <c r="Y269" s="1469"/>
      <c r="Z269" s="892"/>
      <c r="AA269" s="3203"/>
      <c r="AB269" s="3204" t="str">
        <f>"2."&amp;Y268</f>
        <v>2.0</v>
      </c>
      <c r="AC269" s="3205" t="s">
        <v>240</v>
      </c>
      <c r="AD269" s="3206"/>
      <c r="AE269" s="3207"/>
      <c r="AF269" s="3208"/>
      <c r="AG269" s="3207"/>
      <c r="AH269" s="3207"/>
      <c r="AI269" s="3207"/>
      <c r="AJ269" s="3207"/>
      <c r="AK269" s="3207"/>
      <c r="AL269" s="3207"/>
      <c r="AM269" s="3207"/>
      <c r="AN269" s="3207"/>
      <c r="AO269" s="3207"/>
      <c r="AP269" s="3207"/>
      <c r="AQ269" s="3207"/>
      <c r="AR269" s="3207"/>
      <c r="AS269" s="3208"/>
      <c r="AT269" s="3208"/>
      <c r="AU269" s="3208"/>
      <c r="AV269" s="3208"/>
      <c r="AW269" s="3208"/>
      <c r="AX269" s="3208"/>
      <c r="AY269" s="3208"/>
      <c r="AZ269" s="3208"/>
      <c r="BA269" s="3208"/>
      <c r="BB269" s="3209"/>
      <c r="BC269" s="3210"/>
      <c r="BD269" s="892"/>
      <c r="BE269" s="892"/>
      <c r="BF269" s="1049"/>
      <c r="BG269" s="1049"/>
      <c r="BH269" s="1049"/>
      <c r="BI269" s="684"/>
      <c r="BJ269" s="684"/>
    </row>
    <row s="1656" customFormat="1" customHeight="1" ht="14.25" hidden="1">
      <c r="A270" s="892"/>
      <c r="B270" s="442"/>
      <c r="C270" s="892"/>
      <c r="D270" s="892"/>
      <c r="E270" s="684">
        <v>15</v>
      </c>
      <c r="F270" s="50" cm="1" t="str">
        <f t="array" ref="F270:F270">OFFSET(E270,-1,1)</f>
        <v>3</v>
      </c>
      <c r="G270" s="148" t="s">
        <v>345</v>
      </c>
      <c r="H270" s="151" cm="1" t="str">
        <f t="array" ref="H270:H270">AC270</f>
        <v>Затраты</v>
      </c>
      <c r="I270" s="148" t="s">
        <v>1263</v>
      </c>
      <c r="J270" s="892"/>
      <c r="K270" s="918"/>
      <c r="L270" s="892"/>
      <c r="M270" s="892"/>
      <c r="N270" s="892"/>
      <c r="O270" s="892"/>
      <c r="P270" s="892"/>
      <c r="Q270" s="892"/>
      <c r="R270" s="892"/>
      <c r="S270" s="892"/>
      <c r="T270" s="468" cm="1" t="str">
        <f t="array" ref="T270:T270">T269</f>
        <v>false</v>
      </c>
      <c r="U270" s="892"/>
      <c r="V270" s="892"/>
      <c r="W270" s="892"/>
      <c r="X270" s="1469"/>
      <c r="Y270" s="1469"/>
      <c r="Z270" s="1592"/>
      <c r="AA270" s="1594"/>
      <c r="AB270" s="84" t="str">
        <f>AB269&amp;".1"</f>
        <v>2.0.1</v>
      </c>
      <c r="AC270" s="3211" t="s">
        <v>1251</v>
      </c>
      <c r="AD270" s="207" t="s">
        <v>936</v>
      </c>
      <c r="AE270" s="3109"/>
      <c r="AF270" s="3109"/>
      <c r="AG270" s="3109"/>
      <c r="AH270" s="3109"/>
      <c r="AI270" s="3109"/>
      <c r="AJ270" s="3109"/>
      <c r="AK270" s="3109"/>
      <c r="AL270" s="3109"/>
      <c r="AM270" s="3109"/>
      <c r="AN270" s="3109"/>
      <c r="AO270" s="3109"/>
      <c r="AP270" s="3109"/>
      <c r="AQ270" s="3109"/>
      <c r="AR270" s="3109"/>
      <c r="AS270" s="3109"/>
      <c r="AT270" s="3109"/>
      <c r="AU270" s="3109"/>
      <c r="AV270" s="3109"/>
      <c r="AW270" s="3109"/>
      <c r="AX270" s="3109"/>
      <c r="AY270" s="3109"/>
      <c r="AZ270" s="3109"/>
      <c r="BA270" s="3109"/>
      <c r="BB270" s="3109"/>
      <c r="BC270" s="1928"/>
      <c r="BD270" s="892"/>
      <c r="BE270" s="892"/>
      <c r="BF270" s="1049" t="s">
        <v>1252</v>
      </c>
      <c r="BG270" s="1049" t="s">
        <v>1264</v>
      </c>
      <c r="BH270" s="1049" cm="1" t="str">
        <f t="array" ref="BH270:BH270">AC269</f>
        <v/>
      </c>
      <c r="BI270" s="684"/>
      <c r="BJ270" s="684" t="b">
        <v>1</v>
      </c>
    </row>
    <row s="1656" customFormat="1" customHeight="1" ht="0" hidden="1">
      <c r="A271" s="892"/>
      <c r="B271" s="442"/>
      <c r="C271" s="892"/>
      <c r="D271" s="892"/>
      <c r="E271" s="684">
        <v>15</v>
      </c>
      <c r="F271" s="50" cm="1" t="str">
        <f t="array" ref="F271:F271">OFFSET(E271,-1,1)</f>
        <v>3</v>
      </c>
      <c r="G271" s="148" t="s">
        <v>584</v>
      </c>
      <c r="H271" s="151" cm="1" t="str">
        <f t="array" ref="H271:H271">H270</f>
        <v>Затраты</v>
      </c>
      <c r="I271" s="148" t="s">
        <v>1263</v>
      </c>
      <c r="J271" s="892"/>
      <c r="K271" s="918"/>
      <c r="L271" s="892"/>
      <c r="M271" s="892"/>
      <c r="N271" s="892"/>
      <c r="O271" s="892"/>
      <c r="P271" s="892"/>
      <c r="Q271" s="892"/>
      <c r="R271" s="892"/>
      <c r="S271" s="892"/>
      <c r="T271" s="468" cm="1" t="str">
        <f t="array" ref="T271:T271">T270</f>
        <v>false</v>
      </c>
      <c r="U271" s="892"/>
      <c r="V271" s="892"/>
      <c r="W271" s="892"/>
      <c r="X271" s="1469"/>
      <c r="Y271" s="1469"/>
      <c r="Z271" s="1592"/>
      <c r="AA271" s="1594"/>
      <c r="AB271" s="84" t="str">
        <f>AB270&amp;".1"</f>
        <v>2.0.1.1</v>
      </c>
      <c r="AC271" s="217" t="s">
        <v>1265</v>
      </c>
      <c r="AD271" s="84" t="s">
        <v>657</v>
      </c>
      <c r="AE271" s="3109"/>
      <c r="AF271" s="3109"/>
      <c r="AG271" s="3109"/>
      <c r="AH271" s="3109"/>
      <c r="AI271" s="3109"/>
      <c r="AJ271" s="3109"/>
      <c r="AK271" s="3109"/>
      <c r="AL271" s="3109"/>
      <c r="AM271" s="3109"/>
      <c r="AN271" s="3109"/>
      <c r="AO271" s="3109"/>
      <c r="AP271" s="3109"/>
      <c r="AQ271" s="3109"/>
      <c r="AR271" s="3109"/>
      <c r="AS271" s="3109"/>
      <c r="AT271" s="3109"/>
      <c r="AU271" s="3109"/>
      <c r="AV271" s="3109"/>
      <c r="AW271" s="3109"/>
      <c r="AX271" s="3109"/>
      <c r="AY271" s="3109"/>
      <c r="AZ271" s="3109"/>
      <c r="BA271" s="3109"/>
      <c r="BB271" s="3109"/>
      <c r="BC271" s="1928"/>
      <c r="BD271" s="892"/>
      <c r="BE271" s="892"/>
      <c r="BF271" s="1049" t="s">
        <v>1255</v>
      </c>
      <c r="BG271" s="1049" t="s">
        <v>1264</v>
      </c>
      <c r="BH271" s="1049" cm="1" t="str">
        <f t="array" ref="BH271:BH271">BH270</f>
        <v/>
      </c>
      <c r="BI271" s="684"/>
      <c r="BJ271" s="684"/>
    </row>
    <row customHeight="1" ht="14.625" hidden="1">
      <c r="A272" s="892"/>
      <c r="B272" s="442"/>
      <c r="C272" s="892"/>
      <c r="D272" s="892"/>
      <c r="E272" s="684">
        <v>15</v>
      </c>
      <c r="F272" s="1326" cm="1" t="str">
        <f t="array" ref="F272:F272">OFFSET(E272,-1,1)</f>
        <v>3</v>
      </c>
      <c r="G272" s="892"/>
      <c r="H272" s="151"/>
      <c r="I272" s="892"/>
      <c r="J272" s="892"/>
      <c r="K272" s="918"/>
      <c r="L272" s="892"/>
      <c r="M272" s="892"/>
      <c r="N272" s="892"/>
      <c r="O272" s="892"/>
      <c r="P272" s="892"/>
      <c r="Q272" s="892"/>
      <c r="R272" s="892"/>
      <c r="S272" s="892"/>
      <c r="T272" s="1436" cm="1" t="str">
        <f t="array" ref="T272:T272">T271</f>
        <v>false</v>
      </c>
      <c r="U272" s="892"/>
      <c r="V272" s="892"/>
      <c r="W272" s="892"/>
      <c r="X272" s="690"/>
      <c r="Y272" s="1469"/>
      <c r="Z272" s="892"/>
      <c r="AA272" s="3203"/>
      <c r="AB272" s="3214" t="str">
        <f>AB270&amp;".2"</f>
        <v>2.0.1.2</v>
      </c>
      <c r="AC272" s="3215" t="s">
        <v>1266</v>
      </c>
      <c r="AD272" s="3214" t="s">
        <v>1257</v>
      </c>
      <c r="AE272" s="3216"/>
      <c r="AF272" s="3216"/>
      <c r="AG272" s="3216"/>
      <c r="AH272" s="3216"/>
      <c r="AI272" s="3216"/>
      <c r="AJ272" s="3216"/>
      <c r="AK272" s="3216"/>
      <c r="AL272" s="3216"/>
      <c r="AM272" s="3216"/>
      <c r="AN272" s="3216"/>
      <c r="AO272" s="3216"/>
      <c r="AP272" s="3216"/>
      <c r="AQ272" s="3216"/>
      <c r="AR272" s="3216"/>
      <c r="AS272" s="3216"/>
      <c r="AT272" s="3216"/>
      <c r="AU272" s="3216"/>
      <c r="AV272" s="3216"/>
      <c r="AW272" s="3216"/>
      <c r="AX272" s="3216"/>
      <c r="AY272" s="3216"/>
      <c r="AZ272" s="3216"/>
      <c r="BA272" s="3216"/>
      <c r="BB272" s="3216"/>
      <c r="BC272" s="3217"/>
      <c r="BD272" s="892"/>
      <c r="BE272" s="892"/>
      <c r="BF272" s="1049" t="s">
        <v>1258</v>
      </c>
      <c r="BG272" s="1049" t="s">
        <v>1264</v>
      </c>
      <c r="BH272" s="3218" cm="1" t="str">
        <f t="array" ref="BH272:BH272">BH271</f>
        <v/>
      </c>
      <c r="BI272" s="684"/>
      <c r="BJ272" s="684"/>
    </row>
    <row s="1656" customFormat="1" customHeight="1" ht="0">
      <c r="A273" s="892"/>
      <c r="B273" s="442"/>
      <c r="C273" s="892"/>
      <c r="D273" s="892"/>
      <c r="E273" s="684">
        <v>15</v>
      </c>
      <c r="F273" s="50" cm="1" t="str">
        <f t="array" ref="F273:F273">OFFSET(E273,-1,1)</f>
        <v>3</v>
      </c>
      <c r="G273" s="892"/>
      <c r="H273" s="148" t="str">
        <f>"!=='не определено' &amp;&amp; row.l2 !== null"</f>
        <v>!=='не определено' &amp;&amp; row.l2 !== null</v>
      </c>
      <c r="I273" s="892"/>
      <c r="J273" s="892"/>
      <c r="K273" s="918"/>
      <c r="L273" s="892"/>
      <c r="M273" s="892"/>
      <c r="N273" s="892"/>
      <c r="O273" s="892"/>
      <c r="P273" s="892"/>
      <c r="Q273" s="892"/>
      <c r="R273" s="892"/>
      <c r="S273" s="892"/>
      <c r="T273" s="468">
        <f>F273&gt;0</f>
        <v>1</v>
      </c>
      <c r="U273" s="892"/>
      <c r="V273" s="892"/>
      <c r="W273" s="691" t="s">
        <v>1259</v>
      </c>
      <c r="X273" s="1469"/>
      <c r="Y273" s="689"/>
      <c r="Z273" s="1592"/>
      <c r="AA273" s="892"/>
      <c r="AB273" s="687"/>
      <c r="AC273" s="228" t="s">
        <v>1260</v>
      </c>
      <c r="AD273" s="228"/>
      <c r="AE273" s="228"/>
      <c r="AF273" s="228"/>
      <c r="AG273" s="228"/>
      <c r="AH273" s="228"/>
      <c r="AI273" s="228"/>
      <c r="AJ273" s="228"/>
      <c r="AK273" s="228"/>
      <c r="AL273" s="228"/>
      <c r="AM273" s="228"/>
      <c r="AN273" s="228"/>
      <c r="AO273" s="228"/>
      <c r="AP273" s="228"/>
      <c r="AQ273" s="228"/>
      <c r="AR273" s="228"/>
      <c r="AS273" s="228"/>
      <c r="AT273" s="228"/>
      <c r="AU273" s="228"/>
      <c r="AV273" s="228"/>
      <c r="AW273" s="228"/>
      <c r="AX273" s="228"/>
      <c r="AY273" s="228"/>
      <c r="AZ273" s="228"/>
      <c r="BA273" s="228"/>
      <c r="BB273" s="228"/>
      <c r="BC273" s="229"/>
      <c r="BD273" s="892"/>
      <c r="BE273" s="892"/>
      <c r="BF273" s="1049"/>
      <c r="BG273" s="1049"/>
      <c r="BH273" s="1049"/>
      <c r="BI273" s="684" t="s">
        <v>1264</v>
      </c>
      <c r="BJ273" s="684"/>
    </row>
    <row s="1656" customFormat="1" customHeight="1" ht="0">
      <c r="A274" s="892"/>
      <c r="B274" s="442"/>
      <c r="C274" s="892"/>
      <c r="D274" s="892"/>
      <c r="E274" s="684">
        <v>23</v>
      </c>
      <c r="F274" s="50" cm="1" t="str">
        <f t="array" ref="F274:F274">OFFSET(E274,-1,1)</f>
        <v>3</v>
      </c>
      <c r="G274" s="892"/>
      <c r="H274" s="892"/>
      <c r="I274" s="892"/>
      <c r="J274" s="892"/>
      <c r="K274" s="918" t="str">
        <f>F260&amp;"3komm"</f>
        <v>33komm</v>
      </c>
      <c r="L274" s="922" cm="1" t="str">
        <f t="array" ref="L274:L274">BC274</f>
        <v>0</v>
      </c>
      <c r="M274" s="892"/>
      <c r="N274" s="892"/>
      <c r="O274" s="892"/>
      <c r="P274" s="892"/>
      <c r="Q274" s="892"/>
      <c r="R274" s="892"/>
      <c r="S274" s="892"/>
      <c r="T274" s="468" cm="1" t="str">
        <f t="array" ref="T274:T274">T273</f>
        <v>true</v>
      </c>
      <c r="U274" s="892"/>
      <c r="V274" s="892"/>
      <c r="W274" s="892"/>
      <c r="X274" s="1469"/>
      <c r="Y274" s="690"/>
      <c r="Z274" s="1592"/>
      <c r="AA274" s="892"/>
      <c r="AB274" s="207">
        <v>3</v>
      </c>
      <c r="AC274" s="208" t="s">
        <v>1267</v>
      </c>
      <c r="AD274" s="207" t="s">
        <v>936</v>
      </c>
      <c r="AE274" s="209">
        <f>SUMIF(AD277:AD280,AD274,AE277:AE280)</f>
        <v>0</v>
      </c>
      <c r="AF274" s="209">
        <f>SUMIF(AD277:AD280,AD274,AF277:AF280)</f>
        <v>0</v>
      </c>
      <c r="AG274" s="209">
        <f>SUMIF(AD277:AD280,AD274,AG277:AG280)</f>
        <v>0</v>
      </c>
      <c r="AH274" s="209">
        <f>SUMIF(AD277:AD280,AD274,AH277:AH280)</f>
        <v>0</v>
      </c>
      <c r="AI274" s="209">
        <f>SUMIF(AD277:AD280,AD274,AI277:AI280)</f>
        <v>0</v>
      </c>
      <c r="AJ274" s="3200">
        <f>SUMIF(AD277:AD280,AD274,AJ277:AJ280)</f>
        <v>0</v>
      </c>
      <c r="AK274" s="3200">
        <f>SUMIF(AD277:AD280,AD274,AK277:AK280)</f>
        <v>0</v>
      </c>
      <c r="AL274" s="3200">
        <f>SUMIF(AD277:AD280,AD274,AL277:AL280)</f>
        <v>0</v>
      </c>
      <c r="AM274" s="3200">
        <f>SUMIF(AD277:AD280,AD274,AM277:AM280)</f>
        <v>0</v>
      </c>
      <c r="AN274" s="3200">
        <f>SUMIF(AD277:AD280,AD274,AN277:AN280)</f>
        <v>0</v>
      </c>
      <c r="AO274" s="3200">
        <f>SUMIF(AD277:AD280,AD274,AO277:AO280)</f>
        <v>0</v>
      </c>
      <c r="AP274" s="3200">
        <f>SUMIF(AD277:AD280,AD274,AP277:AP280)</f>
        <v>0</v>
      </c>
      <c r="AQ274" s="3200">
        <f>SUMIF(AD277:AD280,AD274,AQ277:AQ280)</f>
        <v>0</v>
      </c>
      <c r="AR274" s="3200">
        <f>SUMIF(AD277:AD280,AD274,AR277:AR280)</f>
        <v>0</v>
      </c>
      <c r="AS274" s="209">
        <f>SUMIF(AD277:AD280,AD274,AS277:AS280)</f>
        <v>0</v>
      </c>
      <c r="AT274" s="3200">
        <f>SUMIF(AD277:AD280,AD274,AT277:AT280)</f>
        <v>0</v>
      </c>
      <c r="AU274" s="3200">
        <f>SUMIF(AD277:AD280,AD274,AU277:AU280)</f>
        <v>0</v>
      </c>
      <c r="AV274" s="3200">
        <f>SUMIF(AD277:AD280,AD274,AV277:AV280)</f>
        <v>0</v>
      </c>
      <c r="AW274" s="3200">
        <f>SUMIF(AD277:AD280,AD274,AW277:AW280)</f>
        <v>0</v>
      </c>
      <c r="AX274" s="3200">
        <f>SUMIF(AD277:AD280,AD274,AX277:AX280)</f>
        <v>0</v>
      </c>
      <c r="AY274" s="3200">
        <f>SUMIF(AD277:AD280,AD274,AY277:AY280)</f>
        <v>0</v>
      </c>
      <c r="AZ274" s="3200">
        <f>SUMIF(AD277:AD280,AD274,AZ277:AZ280)</f>
        <v>0</v>
      </c>
      <c r="BA274" s="3200">
        <f>SUMIF(AD277:AD280,AD274,BA277:BA280)</f>
        <v>0</v>
      </c>
      <c r="BB274" s="3200">
        <f>SUMIF(AD277:AD280,AD274,BB277:BB280)</f>
        <v>0</v>
      </c>
      <c r="BC274" s="196"/>
      <c r="BD274" s="892"/>
      <c r="BE274" s="892"/>
      <c r="BF274" s="1049" t="s">
        <v>1268</v>
      </c>
      <c r="BG274" s="1049"/>
      <c r="BH274" s="1049"/>
      <c r="BI274" s="684"/>
      <c r="BJ274" s="684"/>
    </row>
    <row s="1656" customFormat="1" customHeight="1" ht="0" hidden="1">
      <c r="A275" s="892"/>
      <c r="B275" s="442"/>
      <c r="C275" s="892"/>
      <c r="D275" s="892"/>
      <c r="E275" s="684">
        <v>0</v>
      </c>
      <c r="F275" s="50" cm="1" t="str">
        <f t="array" ref="F275:F275">OFFSET(E275,-1,1)</f>
        <v>3</v>
      </c>
      <c r="G275" s="148" t="s">
        <v>346</v>
      </c>
      <c r="H275" s="892"/>
      <c r="I275" s="892"/>
      <c r="J275" s="892"/>
      <c r="K275" s="918"/>
      <c r="L275" s="922"/>
      <c r="M275" s="892"/>
      <c r="N275" s="892"/>
      <c r="O275" s="892"/>
      <c r="P275" s="892"/>
      <c r="Q275" s="892"/>
      <c r="R275" s="892"/>
      <c r="S275" s="892"/>
      <c r="T275" s="468" t="b">
        <v>0</v>
      </c>
      <c r="U275" s="892"/>
      <c r="V275" s="892"/>
      <c r="W275" s="148" t="s">
        <v>173</v>
      </c>
      <c r="X275" s="1469"/>
      <c r="Y275" s="1469">
        <v>0</v>
      </c>
      <c r="Z275" s="1592"/>
      <c r="AA275" s="1594" t="s">
        <v>174</v>
      </c>
      <c r="AB275" s="207"/>
      <c r="AC275" s="208"/>
      <c r="AD275" s="207"/>
      <c r="AE275" s="1448">
        <f>OR(AND(AE277&lt;&gt;"",AE278=""),AND(AE277="",AE278&lt;&gt;""))</f>
        <v>0</v>
      </c>
      <c r="AF275" s="1448">
        <f>OR(AND(AF277&lt;&gt;"",AF278=""),AND(AF277="",AF278&lt;&gt;""))</f>
        <v>0</v>
      </c>
      <c r="AG275" s="1448">
        <f>OR(AND(AG277&lt;&gt;"",AG278=""),AND(AG277="",AG278&lt;&gt;""))</f>
        <v>0</v>
      </c>
      <c r="AH275" s="1448">
        <f>OR(AND(AH277&lt;&gt;"",AH278=""),AND(AH277="",AH278&lt;&gt;""))</f>
        <v>0</v>
      </c>
      <c r="AI275" s="1448">
        <f>OR(AND(AI277&lt;&gt;"",AI278=""),AND(AI277="",AI278&lt;&gt;""))</f>
        <v>0</v>
      </c>
      <c r="AJ275" s="1448">
        <f>OR(AND(AJ277&lt;&gt;"",AJ278=""),AND(AJ277="",AJ278&lt;&gt;""))</f>
        <v>0</v>
      </c>
      <c r="AK275" s="1448">
        <f>OR(AND(AK277&lt;&gt;"",AK278=""),AND(AK277="",AK278&lt;&gt;""))</f>
        <v>0</v>
      </c>
      <c r="AL275" s="1448">
        <f>OR(AND(AL277&lt;&gt;"",AL278=""),AND(AL277="",AL278&lt;&gt;""))</f>
        <v>0</v>
      </c>
      <c r="AM275" s="1448">
        <f>OR(AND(AM277&lt;&gt;"",AM278=""),AND(AM277="",AM278&lt;&gt;""))</f>
        <v>0</v>
      </c>
      <c r="AN275" s="1448">
        <f>OR(AND(AN277&lt;&gt;"",AN278=""),AND(AN277="",AN278&lt;&gt;""))</f>
        <v>0</v>
      </c>
      <c r="AO275" s="1448">
        <f>OR(AND(AO277&lt;&gt;"",AO278=""),AND(AO277="",AO278&lt;&gt;""))</f>
        <v>0</v>
      </c>
      <c r="AP275" s="1448">
        <f>OR(AND(AP277&lt;&gt;"",AP278=""),AND(AP277="",AP278&lt;&gt;""))</f>
        <v>0</v>
      </c>
      <c r="AQ275" s="1448">
        <f>OR(AND(AQ277&lt;&gt;"",AQ278=""),AND(AQ277="",AQ278&lt;&gt;""))</f>
        <v>0</v>
      </c>
      <c r="AR275" s="1448">
        <f>OR(AND(AR277&lt;&gt;"",AR278=""),AND(AR277="",AR278&lt;&gt;""))</f>
        <v>0</v>
      </c>
      <c r="AS275" s="1448">
        <f>OR(AND(AS277&lt;&gt;"",AS278=""),AND(AS277="",AS278&lt;&gt;""))</f>
        <v>0</v>
      </c>
      <c r="AT275" s="1448">
        <f>OR(AND(AT277&lt;&gt;"",AT278=""),AND(AT277="",AT278&lt;&gt;""))</f>
        <v>0</v>
      </c>
      <c r="AU275" s="1448">
        <f>OR(AND(AU277&lt;&gt;"",AU278=""),AND(AU277="",AU278&lt;&gt;""))</f>
        <v>0</v>
      </c>
      <c r="AV275" s="1448">
        <f>OR(AND(AV277&lt;&gt;"",AV278=""),AND(AV277="",AV278&lt;&gt;""))</f>
        <v>0</v>
      </c>
      <c r="AW275" s="1448">
        <f>OR(AND(AW277&lt;&gt;"",AW278=""),AND(AW277="",AW278&lt;&gt;""))</f>
        <v>0</v>
      </c>
      <c r="AX275" s="1448">
        <f>OR(AND(AX277&lt;&gt;"",AX278=""),AND(AX277="",AX278&lt;&gt;""))</f>
        <v>0</v>
      </c>
      <c r="AY275" s="1448">
        <f>OR(AND(AY277&lt;&gt;"",AY278=""),AND(AY277="",AY278&lt;&gt;""))</f>
        <v>0</v>
      </c>
      <c r="AZ275" s="1448">
        <f>OR(AND(AZ277&lt;&gt;"",AZ278=""),AND(AZ277="",AZ278&lt;&gt;""))</f>
        <v>0</v>
      </c>
      <c r="BA275" s="1448">
        <f>OR(AND(BA277&lt;&gt;"",BA278=""),AND(BA277="",BA278&lt;&gt;""))</f>
        <v>0</v>
      </c>
      <c r="BB275" s="1448">
        <f>OR(AND(BB277&lt;&gt;"",BB278=""),AND(BB277="",BB278&lt;&gt;""))</f>
        <v>0</v>
      </c>
      <c r="BC275" s="982"/>
      <c r="BD275" s="892"/>
      <c r="BE275" s="892"/>
      <c r="BF275" s="1049"/>
      <c r="BG275" s="1049"/>
      <c r="BH275" s="1049"/>
      <c r="BI275" s="684"/>
      <c r="BJ275" s="684"/>
    </row>
    <row customHeight="1" ht="14.625" hidden="1">
      <c r="A276" s="892"/>
      <c r="B276" s="442"/>
      <c r="C276" s="892"/>
      <c r="D276" s="892"/>
      <c r="E276" s="684">
        <v>15</v>
      </c>
      <c r="F276" s="1326" cm="1" t="str">
        <f t="array" ref="F276:F276">OFFSET(E276,-1,1)</f>
        <v>3</v>
      </c>
      <c r="G276" s="892"/>
      <c r="H276" s="892"/>
      <c r="I276" s="892"/>
      <c r="J276" s="892"/>
      <c r="K276" s="918"/>
      <c r="L276" s="922"/>
      <c r="M276" s="892"/>
      <c r="N276" s="892"/>
      <c r="O276" s="892"/>
      <c r="P276" s="892"/>
      <c r="Q276" s="892"/>
      <c r="R276" s="892"/>
      <c r="S276" s="892"/>
      <c r="T276" s="1436">
        <f>AND(Y275&gt;0,F276&gt;0)</f>
        <v>0</v>
      </c>
      <c r="U276" s="892"/>
      <c r="V276" s="892"/>
      <c r="W276" s="892"/>
      <c r="X276" s="690"/>
      <c r="Y276" s="1469"/>
      <c r="Z276" s="892"/>
      <c r="AA276" s="3203"/>
      <c r="AB276" s="3204" t="str">
        <f>"3."&amp;Y275</f>
        <v>3.0</v>
      </c>
      <c r="AC276" s="3205" t="s">
        <v>240</v>
      </c>
      <c r="AD276" s="3206"/>
      <c r="AE276" s="3207"/>
      <c r="AF276" s="3208"/>
      <c r="AG276" s="3207"/>
      <c r="AH276" s="3207"/>
      <c r="AI276" s="3207"/>
      <c r="AJ276" s="3207"/>
      <c r="AK276" s="3207"/>
      <c r="AL276" s="3207"/>
      <c r="AM276" s="3207"/>
      <c r="AN276" s="3207"/>
      <c r="AO276" s="3207"/>
      <c r="AP276" s="3207"/>
      <c r="AQ276" s="3207"/>
      <c r="AR276" s="3207"/>
      <c r="AS276" s="3208"/>
      <c r="AT276" s="3208"/>
      <c r="AU276" s="3208"/>
      <c r="AV276" s="3208"/>
      <c r="AW276" s="3208"/>
      <c r="AX276" s="3208"/>
      <c r="AY276" s="3208"/>
      <c r="AZ276" s="3208"/>
      <c r="BA276" s="3208"/>
      <c r="BB276" s="3209"/>
      <c r="BC276" s="3210"/>
      <c r="BD276" s="892"/>
      <c r="BE276" s="892"/>
      <c r="BF276" s="1049"/>
      <c r="BG276" s="1049"/>
      <c r="BH276" s="1049"/>
      <c r="BI276" s="684"/>
      <c r="BJ276" s="684"/>
    </row>
    <row s="1656" customFormat="1" customHeight="1" ht="14.25" hidden="1">
      <c r="A277" s="892"/>
      <c r="B277" s="442"/>
      <c r="C277" s="892"/>
      <c r="D277" s="892"/>
      <c r="E277" s="684">
        <v>15</v>
      </c>
      <c r="F277" s="50" cm="1" t="str">
        <f t="array" ref="F277:F277">OFFSET(E277,-1,1)</f>
        <v>3</v>
      </c>
      <c r="G277" s="148" t="s">
        <v>346</v>
      </c>
      <c r="H277" s="151" cm="1" t="str">
        <f t="array" ref="H277:H277">AC277</f>
        <v>Затраты</v>
      </c>
      <c r="I277" s="148" t="s">
        <v>1269</v>
      </c>
      <c r="J277" s="892"/>
      <c r="K277" s="918"/>
      <c r="L277" s="892"/>
      <c r="M277" s="892"/>
      <c r="N277" s="892"/>
      <c r="O277" s="892"/>
      <c r="P277" s="892"/>
      <c r="Q277" s="892"/>
      <c r="R277" s="892"/>
      <c r="S277" s="892"/>
      <c r="T277" s="468" cm="1" t="str">
        <f t="array" ref="T277:T277">T276</f>
        <v>false</v>
      </c>
      <c r="U277" s="892"/>
      <c r="V277" s="892"/>
      <c r="W277" s="892"/>
      <c r="X277" s="1469"/>
      <c r="Y277" s="1469"/>
      <c r="Z277" s="1592"/>
      <c r="AA277" s="1594"/>
      <c r="AB277" s="84" t="str">
        <f>AB276&amp;".1"</f>
        <v>3.0.1</v>
      </c>
      <c r="AC277" s="3211" t="s">
        <v>1251</v>
      </c>
      <c r="AD277" s="207" t="s">
        <v>936</v>
      </c>
      <c r="AE277" s="3109"/>
      <c r="AF277" s="3109"/>
      <c r="AG277" s="3109"/>
      <c r="AH277" s="3109"/>
      <c r="AI277" s="3109"/>
      <c r="AJ277" s="3109"/>
      <c r="AK277" s="3109"/>
      <c r="AL277" s="3109"/>
      <c r="AM277" s="3109"/>
      <c r="AN277" s="3109"/>
      <c r="AO277" s="3109"/>
      <c r="AP277" s="3109"/>
      <c r="AQ277" s="3109"/>
      <c r="AR277" s="3109"/>
      <c r="AS277" s="3109"/>
      <c r="AT277" s="3109"/>
      <c r="AU277" s="3109"/>
      <c r="AV277" s="3109"/>
      <c r="AW277" s="3109"/>
      <c r="AX277" s="3109"/>
      <c r="AY277" s="3109"/>
      <c r="AZ277" s="3109"/>
      <c r="BA277" s="3109"/>
      <c r="BB277" s="3109"/>
      <c r="BC277" s="1928"/>
      <c r="BD277" s="892"/>
      <c r="BE277" s="892"/>
      <c r="BF277" s="1049" t="s">
        <v>1252</v>
      </c>
      <c r="BG277" s="1049" t="s">
        <v>1270</v>
      </c>
      <c r="BH277" s="1049" cm="1" t="str">
        <f t="array" ref="BH277:BH277">AC276</f>
        <v/>
      </c>
      <c r="BI277" s="684"/>
      <c r="BJ277" s="684" t="b">
        <v>1</v>
      </c>
    </row>
    <row s="1656" customFormat="1" customHeight="1" ht="0" hidden="1">
      <c r="A278" s="892"/>
      <c r="B278" s="442"/>
      <c r="C278" s="892"/>
      <c r="D278" s="892"/>
      <c r="E278" s="684">
        <v>15</v>
      </c>
      <c r="F278" s="50" cm="1" t="str">
        <f t="array" ref="F278:F278">OFFSET(E278,-1,1)</f>
        <v>3</v>
      </c>
      <c r="G278" s="148" t="s">
        <v>1097</v>
      </c>
      <c r="H278" s="151" cm="1" t="str">
        <f t="array" ref="H278:H278">H277</f>
        <v>Затраты</v>
      </c>
      <c r="I278" s="148" t="s">
        <v>1269</v>
      </c>
      <c r="J278" s="892"/>
      <c r="K278" s="918"/>
      <c r="L278" s="892"/>
      <c r="M278" s="892"/>
      <c r="N278" s="892"/>
      <c r="O278" s="892"/>
      <c r="P278" s="892"/>
      <c r="Q278" s="892"/>
      <c r="R278" s="892"/>
      <c r="S278" s="892"/>
      <c r="T278" s="468" cm="1" t="str">
        <f t="array" ref="T278:T278">T277</f>
        <v>false</v>
      </c>
      <c r="U278" s="892"/>
      <c r="V278" s="892"/>
      <c r="W278" s="892"/>
      <c r="X278" s="1469"/>
      <c r="Y278" s="1469"/>
      <c r="Z278" s="1592"/>
      <c r="AA278" s="1594"/>
      <c r="AB278" s="84" t="str">
        <f>AB277&amp;".1"</f>
        <v>3.0.1.1</v>
      </c>
      <c r="AC278" s="217" t="s">
        <v>1271</v>
      </c>
      <c r="AD278" s="84" t="s">
        <v>657</v>
      </c>
      <c r="AE278" s="3109"/>
      <c r="AF278" s="3109"/>
      <c r="AG278" s="3109"/>
      <c r="AH278" s="3109"/>
      <c r="AI278" s="3109"/>
      <c r="AJ278" s="3109"/>
      <c r="AK278" s="3109"/>
      <c r="AL278" s="3109"/>
      <c r="AM278" s="3109"/>
      <c r="AN278" s="3109"/>
      <c r="AO278" s="3109"/>
      <c r="AP278" s="3109"/>
      <c r="AQ278" s="3109"/>
      <c r="AR278" s="3109"/>
      <c r="AS278" s="3109"/>
      <c r="AT278" s="3109"/>
      <c r="AU278" s="3109"/>
      <c r="AV278" s="3109"/>
      <c r="AW278" s="3109"/>
      <c r="AX278" s="3109"/>
      <c r="AY278" s="3109"/>
      <c r="AZ278" s="3109"/>
      <c r="BA278" s="3109"/>
      <c r="BB278" s="3109"/>
      <c r="BC278" s="1928"/>
      <c r="BD278" s="892"/>
      <c r="BE278" s="892"/>
      <c r="BF278" s="1049" t="s">
        <v>1255</v>
      </c>
      <c r="BG278" s="1049" t="s">
        <v>1270</v>
      </c>
      <c r="BH278" s="1049" cm="1" t="str">
        <f t="array" ref="BH278:BH278">BH277</f>
        <v/>
      </c>
      <c r="BI278" s="684"/>
      <c r="BJ278" s="684"/>
    </row>
    <row customHeight="1" ht="14.625" hidden="1">
      <c r="A279" s="892"/>
      <c r="B279" s="442"/>
      <c r="C279" s="892"/>
      <c r="D279" s="892"/>
      <c r="E279" s="684">
        <v>15</v>
      </c>
      <c r="F279" s="1326" cm="1" t="str">
        <f t="array" ref="F279:F279">OFFSET(E279,-1,1)</f>
        <v>3</v>
      </c>
      <c r="G279" s="892"/>
      <c r="H279" s="151"/>
      <c r="I279" s="892"/>
      <c r="J279" s="892"/>
      <c r="K279" s="918"/>
      <c r="L279" s="892"/>
      <c r="M279" s="892"/>
      <c r="N279" s="892"/>
      <c r="O279" s="892"/>
      <c r="P279" s="892"/>
      <c r="Q279" s="892"/>
      <c r="R279" s="892"/>
      <c r="S279" s="892"/>
      <c r="T279" s="1436" cm="1" t="str">
        <f t="array" ref="T279:T279">T278</f>
        <v>false</v>
      </c>
      <c r="U279" s="892"/>
      <c r="V279" s="892"/>
      <c r="W279" s="892"/>
      <c r="X279" s="690"/>
      <c r="Y279" s="1469"/>
      <c r="Z279" s="892"/>
      <c r="AA279" s="3203"/>
      <c r="AB279" s="3214" t="str">
        <f>AB277&amp;".2"</f>
        <v>3.0.1.2</v>
      </c>
      <c r="AC279" s="3215" t="s">
        <v>1266</v>
      </c>
      <c r="AD279" s="3214" t="s">
        <v>1257</v>
      </c>
      <c r="AE279" s="3216"/>
      <c r="AF279" s="3216"/>
      <c r="AG279" s="3216"/>
      <c r="AH279" s="3216"/>
      <c r="AI279" s="3216"/>
      <c r="AJ279" s="3216"/>
      <c r="AK279" s="3216"/>
      <c r="AL279" s="3216"/>
      <c r="AM279" s="3216"/>
      <c r="AN279" s="3216"/>
      <c r="AO279" s="3216"/>
      <c r="AP279" s="3216"/>
      <c r="AQ279" s="3216"/>
      <c r="AR279" s="3216"/>
      <c r="AS279" s="3216"/>
      <c r="AT279" s="3216"/>
      <c r="AU279" s="3216"/>
      <c r="AV279" s="3216"/>
      <c r="AW279" s="3216"/>
      <c r="AX279" s="3216"/>
      <c r="AY279" s="3216"/>
      <c r="AZ279" s="3216"/>
      <c r="BA279" s="3216"/>
      <c r="BB279" s="3216"/>
      <c r="BC279" s="3217"/>
      <c r="BD279" s="892"/>
      <c r="BE279" s="892"/>
      <c r="BF279" s="1049" t="s">
        <v>1258</v>
      </c>
      <c r="BG279" s="1049" t="s">
        <v>1270</v>
      </c>
      <c r="BH279" s="3218" cm="1" t="str">
        <f t="array" ref="BH279:BH279">BH278</f>
        <v/>
      </c>
      <c r="BI279" s="684"/>
      <c r="BJ279" s="684"/>
    </row>
    <row s="1656" customFormat="1" customHeight="1" ht="0">
      <c r="A280" s="892"/>
      <c r="B280" s="442"/>
      <c r="C280" s="892"/>
      <c r="D280" s="892"/>
      <c r="E280" s="684">
        <v>15</v>
      </c>
      <c r="F280" s="50" cm="1" t="str">
        <f t="array" ref="F280:F280">OFFSET(E280,-1,1)</f>
        <v>3</v>
      </c>
      <c r="G280" s="892"/>
      <c r="H280" s="148" t="str">
        <f>"!=='не определено' &amp;&amp; row.l3 !== null"</f>
        <v>!=='не определено' &amp;&amp; row.l3 !== null</v>
      </c>
      <c r="I280" s="892"/>
      <c r="J280" s="892"/>
      <c r="K280" s="918"/>
      <c r="L280" s="892"/>
      <c r="M280" s="892"/>
      <c r="N280" s="892"/>
      <c r="O280" s="892"/>
      <c r="P280" s="892"/>
      <c r="Q280" s="892"/>
      <c r="R280" s="892"/>
      <c r="S280" s="892"/>
      <c r="T280" s="468">
        <f>F280&gt;0</f>
        <v>1</v>
      </c>
      <c r="U280" s="892"/>
      <c r="V280" s="892"/>
      <c r="W280" s="691" t="s">
        <v>1272</v>
      </c>
      <c r="X280" s="1469"/>
      <c r="Y280" s="689"/>
      <c r="Z280" s="1592"/>
      <c r="AA280" s="892"/>
      <c r="AB280" s="687"/>
      <c r="AC280" s="228" t="s">
        <v>1260</v>
      </c>
      <c r="AD280" s="228"/>
      <c r="AE280" s="228"/>
      <c r="AF280" s="228"/>
      <c r="AG280" s="228"/>
      <c r="AH280" s="228"/>
      <c r="AI280" s="228"/>
      <c r="AJ280" s="228"/>
      <c r="AK280" s="228"/>
      <c r="AL280" s="228"/>
      <c r="AM280" s="228"/>
      <c r="AN280" s="228"/>
      <c r="AO280" s="228"/>
      <c r="AP280" s="228"/>
      <c r="AQ280" s="228"/>
      <c r="AR280" s="228"/>
      <c r="AS280" s="228"/>
      <c r="AT280" s="228"/>
      <c r="AU280" s="228"/>
      <c r="AV280" s="228"/>
      <c r="AW280" s="228"/>
      <c r="AX280" s="228"/>
      <c r="AY280" s="228"/>
      <c r="AZ280" s="228"/>
      <c r="BA280" s="228"/>
      <c r="BB280" s="228"/>
      <c r="BC280" s="229"/>
      <c r="BD280" s="892"/>
      <c r="BE280" s="892"/>
      <c r="BF280" s="1049"/>
      <c r="BG280" s="1049"/>
      <c r="BH280" s="1049"/>
      <c r="BI280" s="684" t="s">
        <v>1270</v>
      </c>
      <c r="BJ280" s="684"/>
    </row>
    <row s="1656" customFormat="1" customHeight="1" ht="0">
      <c r="A281" s="892"/>
      <c r="B281" s="442"/>
      <c r="C281" s="892"/>
      <c r="D281" s="892"/>
      <c r="E281" s="684">
        <v>23</v>
      </c>
      <c r="F281" s="50" cm="1" t="str">
        <f t="array" ref="F281:F281">OFFSET(E281,-1,1)</f>
        <v>3</v>
      </c>
      <c r="G281" s="892"/>
      <c r="H281" s="892"/>
      <c r="I281" s="892"/>
      <c r="J281" s="892"/>
      <c r="K281" s="918" t="str">
        <f>F260&amp;"4komm"</f>
        <v>34komm</v>
      </c>
      <c r="L281" s="922" cm="1" t="str">
        <f t="array" ref="L281:L281">BC281</f>
        <v>0</v>
      </c>
      <c r="M281" s="892"/>
      <c r="N281" s="892"/>
      <c r="O281" s="892"/>
      <c r="P281" s="892"/>
      <c r="Q281" s="892"/>
      <c r="R281" s="892"/>
      <c r="S281" s="892"/>
      <c r="T281" s="468" cm="1" t="str">
        <f t="array" ref="T281:T281">T280</f>
        <v>true</v>
      </c>
      <c r="U281" s="892"/>
      <c r="V281" s="892"/>
      <c r="W281" s="892"/>
      <c r="X281" s="1469"/>
      <c r="Y281" s="690"/>
      <c r="Z281" s="1592"/>
      <c r="AA281" s="892"/>
      <c r="AB281" s="207">
        <v>4</v>
      </c>
      <c r="AC281" s="208" t="s">
        <v>1273</v>
      </c>
      <c r="AD281" s="207" t="s">
        <v>936</v>
      </c>
      <c r="AE281" s="209">
        <f>SUMIF(AD284:AD287,AD281,AE284:AE287)</f>
        <v>0</v>
      </c>
      <c r="AF281" s="209">
        <f>SUMIF(AD284:AD287,AD281,AF284:AF287)</f>
        <v>0</v>
      </c>
      <c r="AG281" s="209">
        <f>SUMIF(AD284:AD287,AD281,AG284:AG287)</f>
        <v>0</v>
      </c>
      <c r="AH281" s="209">
        <f>SUMIF(AD284:AD287,AD281,AH284:AH287)</f>
        <v>0</v>
      </c>
      <c r="AI281" s="209">
        <f>SUMIF(AD284:AD287,AD281,AI284:AI287)</f>
        <v>0</v>
      </c>
      <c r="AJ281" s="3200">
        <f>SUMIF(AD284:AD287,AD281,AJ284:AJ287)</f>
        <v>0</v>
      </c>
      <c r="AK281" s="3200">
        <f>SUMIF(AD284:AD287,AD281,AK284:AK287)</f>
        <v>0</v>
      </c>
      <c r="AL281" s="3200">
        <f>SUMIF(AD284:AD287,AD281,AL284:AL287)</f>
        <v>0</v>
      </c>
      <c r="AM281" s="3200">
        <f>SUMIF(AD284:AD287,AD281,AM284:AM287)</f>
        <v>0</v>
      </c>
      <c r="AN281" s="3200">
        <f>SUMIF(AD284:AD287,AD281,AN284:AN287)</f>
        <v>0</v>
      </c>
      <c r="AO281" s="3200">
        <f>SUMIF(AD284:AD287,AD281,AO284:AO287)</f>
        <v>0</v>
      </c>
      <c r="AP281" s="3200">
        <f>SUMIF(AD284:AD287,AD281,AP284:AP287)</f>
        <v>0</v>
      </c>
      <c r="AQ281" s="3200">
        <f>SUMIF(AD284:AD287,AD281,AQ284:AQ287)</f>
        <v>0</v>
      </c>
      <c r="AR281" s="3200">
        <f>SUMIF(AD284:AD287,AD281,AR284:AR287)</f>
        <v>0</v>
      </c>
      <c r="AS281" s="209">
        <f>SUMIF(AD284:AD287,AD281,AS284:AS287)</f>
        <v>0</v>
      </c>
      <c r="AT281" s="3200">
        <f>SUMIF(AD284:AD287,AD281,AT284:AT287)</f>
        <v>0</v>
      </c>
      <c r="AU281" s="3200">
        <f>SUMIF(AD284:AD287,AD281,AU284:AU287)</f>
        <v>0</v>
      </c>
      <c r="AV281" s="3200">
        <f>SUMIF(AD284:AD287,AD281,AV284:AV287)</f>
        <v>0</v>
      </c>
      <c r="AW281" s="3200">
        <f>SUMIF(AD284:AD287,AD281,AW284:AW287)</f>
        <v>0</v>
      </c>
      <c r="AX281" s="3200">
        <f>SUMIF(AD284:AD287,AD281,AX284:AX287)</f>
        <v>0</v>
      </c>
      <c r="AY281" s="3200">
        <f>SUMIF(AD284:AD287,AD281,AY284:AY287)</f>
        <v>0</v>
      </c>
      <c r="AZ281" s="3200">
        <f>SUMIF(AD284:AD287,AD281,AZ284:AZ287)</f>
        <v>0</v>
      </c>
      <c r="BA281" s="3200">
        <f>SUMIF(AD284:AD287,AD281,BA284:BA287)</f>
        <v>0</v>
      </c>
      <c r="BB281" s="3200">
        <f>SUMIF(AD284:AD287,AD281,BB284:BB287)</f>
        <v>0</v>
      </c>
      <c r="BC281" s="196"/>
      <c r="BD281" s="892"/>
      <c r="BE281" s="892"/>
      <c r="BF281" s="1049" t="s">
        <v>1274</v>
      </c>
      <c r="BG281" s="1049"/>
      <c r="BH281" s="1049"/>
      <c r="BI281" s="684"/>
      <c r="BJ281" s="684"/>
    </row>
    <row s="1656" customFormat="1" customHeight="1" ht="0" hidden="1">
      <c r="A282" s="892"/>
      <c r="B282" s="442"/>
      <c r="C282" s="892"/>
      <c r="D282" s="892"/>
      <c r="E282" s="684">
        <v>0</v>
      </c>
      <c r="F282" s="50" cm="1" t="str">
        <f t="array" ref="F282:F282">OFFSET(E282,-1,1)</f>
        <v>3</v>
      </c>
      <c r="G282" s="148" t="s">
        <v>348</v>
      </c>
      <c r="H282" s="892"/>
      <c r="I282" s="892"/>
      <c r="J282" s="892"/>
      <c r="K282" s="918"/>
      <c r="L282" s="922"/>
      <c r="M282" s="892"/>
      <c r="N282" s="892"/>
      <c r="O282" s="892"/>
      <c r="P282" s="892"/>
      <c r="Q282" s="892"/>
      <c r="R282" s="892"/>
      <c r="S282" s="892"/>
      <c r="T282" s="468" t="b">
        <v>0</v>
      </c>
      <c r="U282" s="892"/>
      <c r="V282" s="892"/>
      <c r="W282" s="148" t="s">
        <v>173</v>
      </c>
      <c r="X282" s="1469"/>
      <c r="Y282" s="1469">
        <v>0</v>
      </c>
      <c r="Z282" s="1592"/>
      <c r="AA282" s="1594" t="s">
        <v>174</v>
      </c>
      <c r="AB282" s="207"/>
      <c r="AC282" s="208"/>
      <c r="AD282" s="207"/>
      <c r="AE282" s="1448">
        <f>OR(AND(AE284&lt;&gt;"",AE285=""),AND(AE284="",AE285&lt;&gt;""))</f>
        <v>0</v>
      </c>
      <c r="AF282" s="1448">
        <f>OR(AND(AF284&lt;&gt;"",AF285=""),AND(AF284="",AF285&lt;&gt;""))</f>
        <v>0</v>
      </c>
      <c r="AG282" s="1448">
        <f>OR(AND(AG284&lt;&gt;"",AG285=""),AND(AG284="",AG285&lt;&gt;""))</f>
        <v>0</v>
      </c>
      <c r="AH282" s="1448">
        <f>OR(AND(AH284&lt;&gt;"",AH285=""),AND(AH284="",AH285&lt;&gt;""))</f>
        <v>0</v>
      </c>
      <c r="AI282" s="1448">
        <f>OR(AND(AI284&lt;&gt;"",AI285=""),AND(AI284="",AI285&lt;&gt;""))</f>
        <v>0</v>
      </c>
      <c r="AJ282" s="1448">
        <f>OR(AND(AJ284&lt;&gt;"",AJ285=""),AND(AJ284="",AJ285&lt;&gt;""))</f>
        <v>0</v>
      </c>
      <c r="AK282" s="1448">
        <f>OR(AND(AK284&lt;&gt;"",AK285=""),AND(AK284="",AK285&lt;&gt;""))</f>
        <v>0</v>
      </c>
      <c r="AL282" s="1448">
        <f>OR(AND(AL284&lt;&gt;"",AL285=""),AND(AL284="",AL285&lt;&gt;""))</f>
        <v>0</v>
      </c>
      <c r="AM282" s="1448">
        <f>OR(AND(AM284&lt;&gt;"",AM285=""),AND(AM284="",AM285&lt;&gt;""))</f>
        <v>0</v>
      </c>
      <c r="AN282" s="1448">
        <f>OR(AND(AN284&lt;&gt;"",AN285=""),AND(AN284="",AN285&lt;&gt;""))</f>
        <v>0</v>
      </c>
      <c r="AO282" s="1448">
        <f>OR(AND(AO284&lt;&gt;"",AO285=""),AND(AO284="",AO285&lt;&gt;""))</f>
        <v>0</v>
      </c>
      <c r="AP282" s="1448">
        <f>OR(AND(AP284&lt;&gt;"",AP285=""),AND(AP284="",AP285&lt;&gt;""))</f>
        <v>0</v>
      </c>
      <c r="AQ282" s="1448">
        <f>OR(AND(AQ284&lt;&gt;"",AQ285=""),AND(AQ284="",AQ285&lt;&gt;""))</f>
        <v>0</v>
      </c>
      <c r="AR282" s="1448">
        <f>OR(AND(AR284&lt;&gt;"",AR285=""),AND(AR284="",AR285&lt;&gt;""))</f>
        <v>0</v>
      </c>
      <c r="AS282" s="1448">
        <f>OR(AND(AS284&lt;&gt;"",AS285=""),AND(AS284="",AS285&lt;&gt;""))</f>
        <v>0</v>
      </c>
      <c r="AT282" s="1448">
        <f>OR(AND(AT284&lt;&gt;"",AT285=""),AND(AT284="",AT285&lt;&gt;""))</f>
        <v>0</v>
      </c>
      <c r="AU282" s="1448">
        <f>OR(AND(AU284&lt;&gt;"",AU285=""),AND(AU284="",AU285&lt;&gt;""))</f>
        <v>0</v>
      </c>
      <c r="AV282" s="1448">
        <f>OR(AND(AV284&lt;&gt;"",AV285=""),AND(AV284="",AV285&lt;&gt;""))</f>
        <v>0</v>
      </c>
      <c r="AW282" s="1448">
        <f>OR(AND(AW284&lt;&gt;"",AW285=""),AND(AW284="",AW285&lt;&gt;""))</f>
        <v>0</v>
      </c>
      <c r="AX282" s="1448">
        <f>OR(AND(AX284&lt;&gt;"",AX285=""),AND(AX284="",AX285&lt;&gt;""))</f>
        <v>0</v>
      </c>
      <c r="AY282" s="1448">
        <f>OR(AND(AY284&lt;&gt;"",AY285=""),AND(AY284="",AY285&lt;&gt;""))</f>
        <v>0</v>
      </c>
      <c r="AZ282" s="1448">
        <f>OR(AND(AZ284&lt;&gt;"",AZ285=""),AND(AZ284="",AZ285&lt;&gt;""))</f>
        <v>0</v>
      </c>
      <c r="BA282" s="1448">
        <f>OR(AND(BA284&lt;&gt;"",BA285=""),AND(BA284="",BA285&lt;&gt;""))</f>
        <v>0</v>
      </c>
      <c r="BB282" s="1448">
        <f>OR(AND(BB284&lt;&gt;"",BB285=""),AND(BB284="",BB285&lt;&gt;""))</f>
        <v>0</v>
      </c>
      <c r="BC282" s="982"/>
      <c r="BD282" s="892"/>
      <c r="BE282" s="892"/>
      <c r="BF282" s="1049"/>
      <c r="BG282" s="1049"/>
      <c r="BH282" s="1049"/>
      <c r="BI282" s="684"/>
      <c r="BJ282" s="684"/>
    </row>
    <row customHeight="1" ht="14.625" hidden="1">
      <c r="A283" s="892"/>
      <c r="B283" s="442"/>
      <c r="C283" s="892"/>
      <c r="D283" s="892"/>
      <c r="E283" s="684">
        <v>15</v>
      </c>
      <c r="F283" s="1326" cm="1" t="str">
        <f t="array" ref="F283:F283">OFFSET(E283,-1,1)</f>
        <v>3</v>
      </c>
      <c r="G283" s="892"/>
      <c r="H283" s="892"/>
      <c r="I283" s="892"/>
      <c r="J283" s="892"/>
      <c r="K283" s="918"/>
      <c r="L283" s="922"/>
      <c r="M283" s="892"/>
      <c r="N283" s="892"/>
      <c r="O283" s="892"/>
      <c r="P283" s="892"/>
      <c r="Q283" s="892"/>
      <c r="R283" s="892"/>
      <c r="S283" s="892"/>
      <c r="T283" s="1436">
        <f>AND(Y282&gt;0,F283&gt;0)</f>
        <v>0</v>
      </c>
      <c r="U283" s="892"/>
      <c r="V283" s="892"/>
      <c r="W283" s="892"/>
      <c r="X283" s="690"/>
      <c r="Y283" s="1469"/>
      <c r="Z283" s="892"/>
      <c r="AA283" s="3203"/>
      <c r="AB283" s="3204" t="str">
        <f>"4."&amp;Y282</f>
        <v>4.0</v>
      </c>
      <c r="AC283" s="3205" t="s">
        <v>240</v>
      </c>
      <c r="AD283" s="3206"/>
      <c r="AE283" s="3207"/>
      <c r="AF283" s="3208"/>
      <c r="AG283" s="3207"/>
      <c r="AH283" s="3207"/>
      <c r="AI283" s="3207"/>
      <c r="AJ283" s="3207"/>
      <c r="AK283" s="3207"/>
      <c r="AL283" s="3207"/>
      <c r="AM283" s="3207"/>
      <c r="AN283" s="3207"/>
      <c r="AO283" s="3207"/>
      <c r="AP283" s="3207"/>
      <c r="AQ283" s="3207"/>
      <c r="AR283" s="3207"/>
      <c r="AS283" s="3208"/>
      <c r="AT283" s="3208"/>
      <c r="AU283" s="3208"/>
      <c r="AV283" s="3208"/>
      <c r="AW283" s="3208"/>
      <c r="AX283" s="3208"/>
      <c r="AY283" s="3208"/>
      <c r="AZ283" s="3208"/>
      <c r="BA283" s="3208"/>
      <c r="BB283" s="3209"/>
      <c r="BC283" s="3210"/>
      <c r="BD283" s="892"/>
      <c r="BE283" s="892"/>
      <c r="BF283" s="1049"/>
      <c r="BG283" s="1049"/>
      <c r="BH283" s="1049"/>
      <c r="BI283" s="684"/>
      <c r="BJ283" s="684"/>
    </row>
    <row s="1656" customFormat="1" customHeight="1" ht="14.25" hidden="1">
      <c r="A284" s="892"/>
      <c r="B284" s="442"/>
      <c r="C284" s="892"/>
      <c r="D284" s="892"/>
      <c r="E284" s="684">
        <v>15</v>
      </c>
      <c r="F284" s="50" cm="1" t="str">
        <f t="array" ref="F284:F284">OFFSET(E284,-1,1)</f>
        <v>3</v>
      </c>
      <c r="G284" s="148" t="s">
        <v>348</v>
      </c>
      <c r="H284" s="151" cm="1" t="str">
        <f t="array" ref="H284:H284">AC284</f>
        <v>Затраты</v>
      </c>
      <c r="I284" s="148" t="s">
        <v>1275</v>
      </c>
      <c r="J284" s="892"/>
      <c r="K284" s="918"/>
      <c r="L284" s="892"/>
      <c r="M284" s="892"/>
      <c r="N284" s="892"/>
      <c r="O284" s="892"/>
      <c r="P284" s="892"/>
      <c r="Q284" s="892"/>
      <c r="R284" s="892"/>
      <c r="S284" s="892"/>
      <c r="T284" s="468" cm="1" t="str">
        <f t="array" ref="T284:T284">T283</f>
        <v>false</v>
      </c>
      <c r="U284" s="892"/>
      <c r="V284" s="892"/>
      <c r="W284" s="892"/>
      <c r="X284" s="1469"/>
      <c r="Y284" s="1469"/>
      <c r="Z284" s="1592"/>
      <c r="AA284" s="1594"/>
      <c r="AB284" s="84" t="str">
        <f>AB283&amp;".1"</f>
        <v>4.0.1</v>
      </c>
      <c r="AC284" s="3211" t="s">
        <v>1251</v>
      </c>
      <c r="AD284" s="207" t="s">
        <v>936</v>
      </c>
      <c r="AE284" s="3109"/>
      <c r="AF284" s="3109"/>
      <c r="AG284" s="3109"/>
      <c r="AH284" s="3109"/>
      <c r="AI284" s="3109"/>
      <c r="AJ284" s="3109"/>
      <c r="AK284" s="3109"/>
      <c r="AL284" s="3109"/>
      <c r="AM284" s="3109"/>
      <c r="AN284" s="3109"/>
      <c r="AO284" s="3109"/>
      <c r="AP284" s="3109"/>
      <c r="AQ284" s="3109"/>
      <c r="AR284" s="3109"/>
      <c r="AS284" s="3109"/>
      <c r="AT284" s="3109"/>
      <c r="AU284" s="3109"/>
      <c r="AV284" s="3109"/>
      <c r="AW284" s="3109"/>
      <c r="AX284" s="3109"/>
      <c r="AY284" s="3109"/>
      <c r="AZ284" s="3109"/>
      <c r="BA284" s="3109"/>
      <c r="BB284" s="3109"/>
      <c r="BC284" s="1928"/>
      <c r="BD284" s="892"/>
      <c r="BE284" s="892"/>
      <c r="BF284" s="1049" t="s">
        <v>1252</v>
      </c>
      <c r="BG284" s="1049" t="s">
        <v>1276</v>
      </c>
      <c r="BH284" s="1049" cm="1" t="str">
        <f t="array" ref="BH284:BH284">AC283</f>
        <v/>
      </c>
      <c r="BI284" s="684"/>
      <c r="BJ284" s="684" t="b">
        <v>1</v>
      </c>
    </row>
    <row s="1656" customFormat="1" customHeight="1" ht="0" hidden="1">
      <c r="A285" s="892"/>
      <c r="B285" s="442"/>
      <c r="C285" s="892"/>
      <c r="D285" s="892"/>
      <c r="E285" s="684">
        <v>15</v>
      </c>
      <c r="F285" s="50" cm="1" t="str">
        <f t="array" ref="F285:F285">OFFSET(E285,-1,1)</f>
        <v>3</v>
      </c>
      <c r="G285" s="148" t="s">
        <v>659</v>
      </c>
      <c r="H285" s="151" cm="1" t="str">
        <f t="array" ref="H285:H285">H284</f>
        <v>Затраты</v>
      </c>
      <c r="I285" s="148" t="s">
        <v>1275</v>
      </c>
      <c r="J285" s="892"/>
      <c r="K285" s="918"/>
      <c r="L285" s="892"/>
      <c r="M285" s="892"/>
      <c r="N285" s="892"/>
      <c r="O285" s="892"/>
      <c r="P285" s="892"/>
      <c r="Q285" s="892"/>
      <c r="R285" s="892"/>
      <c r="S285" s="892"/>
      <c r="T285" s="468" cm="1" t="str">
        <f t="array" ref="T285:T285">T284</f>
        <v>false</v>
      </c>
      <c r="U285" s="892"/>
      <c r="V285" s="892"/>
      <c r="W285" s="892"/>
      <c r="X285" s="1469"/>
      <c r="Y285" s="1469"/>
      <c r="Z285" s="1592"/>
      <c r="AA285" s="1594"/>
      <c r="AB285" s="84" t="str">
        <f>AB284&amp;".1"</f>
        <v>4.0.1.1</v>
      </c>
      <c r="AC285" s="217" t="s">
        <v>1277</v>
      </c>
      <c r="AD285" s="84" t="s">
        <v>657</v>
      </c>
      <c r="AE285" s="3109"/>
      <c r="AF285" s="3109"/>
      <c r="AG285" s="3109"/>
      <c r="AH285" s="3109"/>
      <c r="AI285" s="3109"/>
      <c r="AJ285" s="3109"/>
      <c r="AK285" s="3109"/>
      <c r="AL285" s="3109"/>
      <c r="AM285" s="3109"/>
      <c r="AN285" s="3109"/>
      <c r="AO285" s="3109"/>
      <c r="AP285" s="3109"/>
      <c r="AQ285" s="3109"/>
      <c r="AR285" s="3109"/>
      <c r="AS285" s="3109"/>
      <c r="AT285" s="3109"/>
      <c r="AU285" s="3109"/>
      <c r="AV285" s="3109"/>
      <c r="AW285" s="3109"/>
      <c r="AX285" s="3109"/>
      <c r="AY285" s="3109"/>
      <c r="AZ285" s="3109"/>
      <c r="BA285" s="3109"/>
      <c r="BB285" s="3109"/>
      <c r="BC285" s="1928"/>
      <c r="BD285" s="892"/>
      <c r="BE285" s="892"/>
      <c r="BF285" s="1049" t="s">
        <v>1255</v>
      </c>
      <c r="BG285" s="1049" t="s">
        <v>1276</v>
      </c>
      <c r="BH285" s="1049" cm="1" t="str">
        <f t="array" ref="BH285:BH285">BH284</f>
        <v/>
      </c>
      <c r="BI285" s="684"/>
      <c r="BJ285" s="684"/>
    </row>
    <row customHeight="1" ht="14.625" hidden="1">
      <c r="A286" s="892"/>
      <c r="B286" s="442"/>
      <c r="C286" s="892"/>
      <c r="D286" s="892"/>
      <c r="E286" s="684">
        <v>15</v>
      </c>
      <c r="F286" s="1326" cm="1" t="str">
        <f t="array" ref="F286:F286">OFFSET(E286,-1,1)</f>
        <v>3</v>
      </c>
      <c r="G286" s="892"/>
      <c r="H286" s="151"/>
      <c r="I286" s="892"/>
      <c r="J286" s="892"/>
      <c r="K286" s="918"/>
      <c r="L286" s="892"/>
      <c r="M286" s="892"/>
      <c r="N286" s="892"/>
      <c r="O286" s="892"/>
      <c r="P286" s="892"/>
      <c r="Q286" s="892"/>
      <c r="R286" s="892"/>
      <c r="S286" s="892"/>
      <c r="T286" s="1436" cm="1" t="str">
        <f t="array" ref="T286:T286">T285</f>
        <v>false</v>
      </c>
      <c r="U286" s="892"/>
      <c r="V286" s="892"/>
      <c r="W286" s="892"/>
      <c r="X286" s="690"/>
      <c r="Y286" s="1469"/>
      <c r="Z286" s="892"/>
      <c r="AA286" s="3203"/>
      <c r="AB286" s="3214" t="str">
        <f>AB284&amp;".2"</f>
        <v>4.0.1.2</v>
      </c>
      <c r="AC286" s="3215" t="s">
        <v>1278</v>
      </c>
      <c r="AD286" s="3214" t="s">
        <v>1257</v>
      </c>
      <c r="AE286" s="3216"/>
      <c r="AF286" s="3216"/>
      <c r="AG286" s="3216"/>
      <c r="AH286" s="3216"/>
      <c r="AI286" s="3216"/>
      <c r="AJ286" s="3216"/>
      <c r="AK286" s="3216"/>
      <c r="AL286" s="3216"/>
      <c r="AM286" s="3216"/>
      <c r="AN286" s="3216"/>
      <c r="AO286" s="3216"/>
      <c r="AP286" s="3216"/>
      <c r="AQ286" s="3216"/>
      <c r="AR286" s="3216"/>
      <c r="AS286" s="3216"/>
      <c r="AT286" s="3216"/>
      <c r="AU286" s="3216"/>
      <c r="AV286" s="3216"/>
      <c r="AW286" s="3216"/>
      <c r="AX286" s="3216"/>
      <c r="AY286" s="3216"/>
      <c r="AZ286" s="3216"/>
      <c r="BA286" s="3216"/>
      <c r="BB286" s="3216"/>
      <c r="BC286" s="3217"/>
      <c r="BD286" s="892"/>
      <c r="BE286" s="892"/>
      <c r="BF286" s="1049" t="s">
        <v>1258</v>
      </c>
      <c r="BG286" s="1049" t="s">
        <v>1276</v>
      </c>
      <c r="BH286" s="3218" cm="1" t="str">
        <f t="array" ref="BH286:BH286">BH285</f>
        <v/>
      </c>
      <c r="BI286" s="684"/>
      <c r="BJ286" s="684"/>
    </row>
    <row s="1656" customFormat="1" customHeight="1" ht="0">
      <c r="A287" s="892"/>
      <c r="B287" s="442"/>
      <c r="C287" s="892"/>
      <c r="D287" s="892"/>
      <c r="E287" s="684">
        <v>15</v>
      </c>
      <c r="F287" s="50" cm="1" t="str">
        <f t="array" ref="F287:F287">OFFSET(E287,-1,1)</f>
        <v>3</v>
      </c>
      <c r="G287" s="892"/>
      <c r="H287" s="148" t="str">
        <f>"!=='не определено' &amp;&amp; row.l4 !== null"</f>
        <v>!=='не определено' &amp;&amp; row.l4 !== null</v>
      </c>
      <c r="I287" s="892"/>
      <c r="J287" s="892"/>
      <c r="K287" s="918"/>
      <c r="L287" s="892"/>
      <c r="M287" s="892"/>
      <c r="N287" s="892"/>
      <c r="O287" s="892"/>
      <c r="P287" s="892"/>
      <c r="Q287" s="892"/>
      <c r="R287" s="892"/>
      <c r="S287" s="892"/>
      <c r="T287" s="468">
        <f>F287&gt;0</f>
        <v>1</v>
      </c>
      <c r="U287" s="892"/>
      <c r="V287" s="892"/>
      <c r="W287" s="691" t="s">
        <v>1279</v>
      </c>
      <c r="X287" s="1469"/>
      <c r="Y287" s="689"/>
      <c r="Z287" s="1592"/>
      <c r="AA287" s="892"/>
      <c r="AB287" s="687"/>
      <c r="AC287" s="228" t="s">
        <v>1260</v>
      </c>
      <c r="AD287" s="228"/>
      <c r="AE287" s="228"/>
      <c r="AF287" s="228"/>
      <c r="AG287" s="228"/>
      <c r="AH287" s="228"/>
      <c r="AI287" s="228"/>
      <c r="AJ287" s="228"/>
      <c r="AK287" s="228"/>
      <c r="AL287" s="228"/>
      <c r="AM287" s="228"/>
      <c r="AN287" s="228"/>
      <c r="AO287" s="228"/>
      <c r="AP287" s="228"/>
      <c r="AQ287" s="228"/>
      <c r="AR287" s="228"/>
      <c r="AS287" s="228"/>
      <c r="AT287" s="228"/>
      <c r="AU287" s="228"/>
      <c r="AV287" s="228"/>
      <c r="AW287" s="228"/>
      <c r="AX287" s="228"/>
      <c r="AY287" s="228"/>
      <c r="AZ287" s="228"/>
      <c r="BA287" s="228"/>
      <c r="BB287" s="228"/>
      <c r="BC287" s="229"/>
      <c r="BD287" s="892"/>
      <c r="BE287" s="892"/>
      <c r="BF287" s="1049"/>
      <c r="BG287" s="1049"/>
      <c r="BH287" s="1049"/>
      <c r="BI287" s="684" t="s">
        <v>1276</v>
      </c>
      <c r="BJ287" s="684"/>
    </row>
    <row s="1656" customFormat="1" customHeight="1" ht="0">
      <c r="A288" s="892"/>
      <c r="B288" s="442"/>
      <c r="C288" s="892"/>
      <c r="D288" s="892"/>
      <c r="E288" s="684">
        <v>23</v>
      </c>
      <c r="F288" s="50" cm="1" t="str">
        <f t="array" ref="F288:F288">OFFSET(E288,-1,1)</f>
        <v>3</v>
      </c>
      <c r="G288" s="892"/>
      <c r="H288" s="892"/>
      <c r="I288" s="892"/>
      <c r="J288" s="892"/>
      <c r="K288" s="918" t="str">
        <f>F260&amp;"5komm"</f>
        <v>35komm</v>
      </c>
      <c r="L288" s="922" cm="1" t="str">
        <f t="array" ref="L288:L288">BC288</f>
        <v>0</v>
      </c>
      <c r="M288" s="892"/>
      <c r="N288" s="892"/>
      <c r="O288" s="892"/>
      <c r="P288" s="892"/>
      <c r="Q288" s="892"/>
      <c r="R288" s="892"/>
      <c r="S288" s="892"/>
      <c r="T288" s="468" cm="1" t="str">
        <f t="array" ref="T288:T288">T287</f>
        <v>true</v>
      </c>
      <c r="U288" s="892"/>
      <c r="V288" s="892"/>
      <c r="W288" s="892"/>
      <c r="X288" s="1469"/>
      <c r="Y288" s="690"/>
      <c r="Z288" s="1592"/>
      <c r="AA288" s="892"/>
      <c r="AB288" s="207">
        <v>5</v>
      </c>
      <c r="AC288" s="208" t="s">
        <v>1280</v>
      </c>
      <c r="AD288" s="207" t="s">
        <v>936</v>
      </c>
      <c r="AE288" s="209">
        <f>SUMIF(AD291:AD294,AD288,AE291:AE294)</f>
        <v>0</v>
      </c>
      <c r="AF288" s="209">
        <f>SUMIF(AD291:AD294,AD288,AF291:AF294)</f>
        <v>0</v>
      </c>
      <c r="AG288" s="209">
        <f>SUMIF(AD291:AD294,AD288,AG291:AG294)</f>
        <v>0</v>
      </c>
      <c r="AH288" s="209">
        <f>SUMIF(AD291:AD294,AD288,AH291:AH294)</f>
        <v>0</v>
      </c>
      <c r="AI288" s="209">
        <f>SUMIF(AD291:AD294,AD288,AI291:AI294)</f>
        <v>0</v>
      </c>
      <c r="AJ288" s="3200">
        <f>SUMIF(AD291:AD294,AD288,AJ291:AJ294)</f>
        <v>0</v>
      </c>
      <c r="AK288" s="3200">
        <f>SUMIF(AD291:AD294,AD288,AK291:AK294)</f>
        <v>0</v>
      </c>
      <c r="AL288" s="3200">
        <f>SUMIF(AD291:AD294,AD288,AL291:AL294)</f>
        <v>0</v>
      </c>
      <c r="AM288" s="3200">
        <f>SUMIF(AD291:AD294,AD288,AM291:AM294)</f>
        <v>0</v>
      </c>
      <c r="AN288" s="3200">
        <f>SUMIF(AD291:AD294,AD288,AN291:AN294)</f>
        <v>0</v>
      </c>
      <c r="AO288" s="3200">
        <f>SUMIF(AD291:AD294,AD288,AO291:AO294)</f>
        <v>0</v>
      </c>
      <c r="AP288" s="3200">
        <f>SUMIF(AD291:AD294,AD288,AP291:AP294)</f>
        <v>0</v>
      </c>
      <c r="AQ288" s="3200">
        <f>SUMIF(AD291:AD294,AD288,AQ291:AQ294)</f>
        <v>0</v>
      </c>
      <c r="AR288" s="3200">
        <f>SUMIF(AD291:AD294,AD288,AR291:AR294)</f>
        <v>0</v>
      </c>
      <c r="AS288" s="209">
        <f>SUMIF(AD291:AD294,AD288,AS291:AS294)</f>
        <v>0</v>
      </c>
      <c r="AT288" s="3200">
        <f>SUMIF(AD291:AD294,AD288,AT291:AT294)</f>
        <v>0</v>
      </c>
      <c r="AU288" s="3200">
        <f>SUMIF(AD291:AD294,AD288,AU291:AU294)</f>
        <v>0</v>
      </c>
      <c r="AV288" s="3200">
        <f>SUMIF(AD291:AD294,AD288,AV291:AV294)</f>
        <v>0</v>
      </c>
      <c r="AW288" s="3200">
        <f>SUMIF(AD291:AD294,AD288,AW291:AW294)</f>
        <v>0</v>
      </c>
      <c r="AX288" s="3200">
        <f>SUMIF(AD291:AD294,AD288,AX291:AX294)</f>
        <v>0</v>
      </c>
      <c r="AY288" s="3200">
        <f>SUMIF(AD291:AD294,AD288,AY291:AY294)</f>
        <v>0</v>
      </c>
      <c r="AZ288" s="3200">
        <f>SUMIF(AD291:AD294,AD288,AZ291:AZ294)</f>
        <v>0</v>
      </c>
      <c r="BA288" s="3200">
        <f>SUMIF(AD291:AD294,AD288,BA291:BA294)</f>
        <v>0</v>
      </c>
      <c r="BB288" s="3200">
        <f>SUMIF(AD291:AD294,AD288,BB291:BB294)</f>
        <v>0</v>
      </c>
      <c r="BC288" s="196"/>
      <c r="BD288" s="892"/>
      <c r="BE288" s="892"/>
      <c r="BF288" s="1049" t="s">
        <v>1281</v>
      </c>
      <c r="BG288" s="1049"/>
      <c r="BH288" s="1049"/>
      <c r="BI288" s="684"/>
      <c r="BJ288" s="684"/>
    </row>
    <row s="1656" customFormat="1" customHeight="1" ht="0" hidden="1">
      <c r="A289" s="892"/>
      <c r="B289" s="442"/>
      <c r="C289" s="892"/>
      <c r="D289" s="892"/>
      <c r="E289" s="684">
        <v>0</v>
      </c>
      <c r="F289" s="50" cm="1" t="str">
        <f t="array" ref="F289:F289">OFFSET(E289,-1,1)</f>
        <v>3</v>
      </c>
      <c r="G289" s="148" t="s">
        <v>347</v>
      </c>
      <c r="H289" s="892"/>
      <c r="I289" s="892"/>
      <c r="J289" s="892"/>
      <c r="K289" s="918"/>
      <c r="L289" s="922"/>
      <c r="M289" s="892"/>
      <c r="N289" s="892"/>
      <c r="O289" s="892"/>
      <c r="P289" s="892"/>
      <c r="Q289" s="892"/>
      <c r="R289" s="892"/>
      <c r="S289" s="892"/>
      <c r="T289" s="468" t="b">
        <v>0</v>
      </c>
      <c r="U289" s="892"/>
      <c r="V289" s="892"/>
      <c r="W289" s="148" t="s">
        <v>173</v>
      </c>
      <c r="X289" s="1469"/>
      <c r="Y289" s="1469">
        <v>0</v>
      </c>
      <c r="Z289" s="1592"/>
      <c r="AA289" s="1594" t="s">
        <v>174</v>
      </c>
      <c r="AB289" s="207"/>
      <c r="AC289" s="208"/>
      <c r="AD289" s="207"/>
      <c r="AE289" s="1448">
        <f>OR(AND(AE291&lt;&gt;"",AE292=""),AND(AE291="",AE292&lt;&gt;""))</f>
        <v>0</v>
      </c>
      <c r="AF289" s="1448">
        <f>OR(AND(AF291&lt;&gt;"",AF292=""),AND(AF291="",AF292&lt;&gt;""))</f>
        <v>0</v>
      </c>
      <c r="AG289" s="1448">
        <f>OR(AND(AG291&lt;&gt;"",AG292=""),AND(AG291="",AG292&lt;&gt;""))</f>
        <v>0</v>
      </c>
      <c r="AH289" s="1448">
        <f>OR(AND(AH291&lt;&gt;"",AH292=""),AND(AH291="",AH292&lt;&gt;""))</f>
        <v>0</v>
      </c>
      <c r="AI289" s="1448">
        <f>OR(AND(AI291&lt;&gt;"",AI292=""),AND(AI291="",AI292&lt;&gt;""))</f>
        <v>0</v>
      </c>
      <c r="AJ289" s="1448">
        <f>OR(AND(AJ291&lt;&gt;"",AJ292=""),AND(AJ291="",AJ292&lt;&gt;""))</f>
        <v>0</v>
      </c>
      <c r="AK289" s="1448">
        <f>OR(AND(AK291&lt;&gt;"",AK292=""),AND(AK291="",AK292&lt;&gt;""))</f>
        <v>0</v>
      </c>
      <c r="AL289" s="1448">
        <f>OR(AND(AL291&lt;&gt;"",AL292=""),AND(AL291="",AL292&lt;&gt;""))</f>
        <v>0</v>
      </c>
      <c r="AM289" s="1448">
        <f>OR(AND(AM291&lt;&gt;"",AM292=""),AND(AM291="",AM292&lt;&gt;""))</f>
        <v>0</v>
      </c>
      <c r="AN289" s="1448">
        <f>OR(AND(AN291&lt;&gt;"",AN292=""),AND(AN291="",AN292&lt;&gt;""))</f>
        <v>0</v>
      </c>
      <c r="AO289" s="1448">
        <f>OR(AND(AO291&lt;&gt;"",AO292=""),AND(AO291="",AO292&lt;&gt;""))</f>
        <v>0</v>
      </c>
      <c r="AP289" s="1448">
        <f>OR(AND(AP291&lt;&gt;"",AP292=""),AND(AP291="",AP292&lt;&gt;""))</f>
        <v>0</v>
      </c>
      <c r="AQ289" s="1448">
        <f>OR(AND(AQ291&lt;&gt;"",AQ292=""),AND(AQ291="",AQ292&lt;&gt;""))</f>
        <v>0</v>
      </c>
      <c r="AR289" s="1448">
        <f>OR(AND(AR291&lt;&gt;"",AR292=""),AND(AR291="",AR292&lt;&gt;""))</f>
        <v>0</v>
      </c>
      <c r="AS289" s="1448">
        <f>OR(AND(AS291&lt;&gt;"",AS292=""),AND(AS291="",AS292&lt;&gt;""))</f>
        <v>0</v>
      </c>
      <c r="AT289" s="1448">
        <f>OR(AND(AT291&lt;&gt;"",AT292=""),AND(AT291="",AT292&lt;&gt;""))</f>
        <v>0</v>
      </c>
      <c r="AU289" s="1448">
        <f>OR(AND(AU291&lt;&gt;"",AU292=""),AND(AU291="",AU292&lt;&gt;""))</f>
        <v>0</v>
      </c>
      <c r="AV289" s="1448">
        <f>OR(AND(AV291&lt;&gt;"",AV292=""),AND(AV291="",AV292&lt;&gt;""))</f>
        <v>0</v>
      </c>
      <c r="AW289" s="1448">
        <f>OR(AND(AW291&lt;&gt;"",AW292=""),AND(AW291="",AW292&lt;&gt;""))</f>
        <v>0</v>
      </c>
      <c r="AX289" s="1448">
        <f>OR(AND(AX291&lt;&gt;"",AX292=""),AND(AX291="",AX292&lt;&gt;""))</f>
        <v>0</v>
      </c>
      <c r="AY289" s="1448">
        <f>OR(AND(AY291&lt;&gt;"",AY292=""),AND(AY291="",AY292&lt;&gt;""))</f>
        <v>0</v>
      </c>
      <c r="AZ289" s="1448">
        <f>OR(AND(AZ291&lt;&gt;"",AZ292=""),AND(AZ291="",AZ292&lt;&gt;""))</f>
        <v>0</v>
      </c>
      <c r="BA289" s="1448">
        <f>OR(AND(BA291&lt;&gt;"",BA292=""),AND(BA291="",BA292&lt;&gt;""))</f>
        <v>0</v>
      </c>
      <c r="BB289" s="1448">
        <f>OR(AND(BB291&lt;&gt;"",BB292=""),AND(BB291="",BB292&lt;&gt;""))</f>
        <v>0</v>
      </c>
      <c r="BC289" s="982"/>
      <c r="BD289" s="892"/>
      <c r="BE289" s="892"/>
      <c r="BF289" s="1049"/>
      <c r="BG289" s="1049"/>
      <c r="BH289" s="1049"/>
      <c r="BI289" s="684"/>
      <c r="BJ289" s="684"/>
    </row>
    <row customHeight="1" ht="14.625" hidden="1">
      <c r="A290" s="892"/>
      <c r="B290" s="442"/>
      <c r="C290" s="892"/>
      <c r="D290" s="892"/>
      <c r="E290" s="684">
        <v>15</v>
      </c>
      <c r="F290" s="1326" cm="1" t="str">
        <f t="array" ref="F290:F290">OFFSET(E290,-1,1)</f>
        <v>3</v>
      </c>
      <c r="G290" s="892"/>
      <c r="H290" s="892"/>
      <c r="I290" s="892"/>
      <c r="J290" s="892"/>
      <c r="K290" s="918"/>
      <c r="L290" s="922"/>
      <c r="M290" s="892"/>
      <c r="N290" s="892"/>
      <c r="O290" s="892"/>
      <c r="P290" s="892"/>
      <c r="Q290" s="892"/>
      <c r="R290" s="892"/>
      <c r="S290" s="892"/>
      <c r="T290" s="1436">
        <f>AND(Y289&gt;0,F290&gt;0)</f>
        <v>0</v>
      </c>
      <c r="U290" s="892"/>
      <c r="V290" s="892"/>
      <c r="W290" s="892"/>
      <c r="X290" s="690"/>
      <c r="Y290" s="1469"/>
      <c r="Z290" s="892"/>
      <c r="AA290" s="3203"/>
      <c r="AB290" s="3204" t="str">
        <f>"5."&amp;Y289</f>
        <v>5.0</v>
      </c>
      <c r="AC290" s="3205" t="s">
        <v>240</v>
      </c>
      <c r="AD290" s="3206"/>
      <c r="AE290" s="3207"/>
      <c r="AF290" s="3208"/>
      <c r="AG290" s="3207"/>
      <c r="AH290" s="3207"/>
      <c r="AI290" s="3207"/>
      <c r="AJ290" s="3207"/>
      <c r="AK290" s="3207"/>
      <c r="AL290" s="3207"/>
      <c r="AM290" s="3207"/>
      <c r="AN290" s="3207"/>
      <c r="AO290" s="3207"/>
      <c r="AP290" s="3207"/>
      <c r="AQ290" s="3207"/>
      <c r="AR290" s="3207"/>
      <c r="AS290" s="3208"/>
      <c r="AT290" s="3208"/>
      <c r="AU290" s="3208"/>
      <c r="AV290" s="3208"/>
      <c r="AW290" s="3208"/>
      <c r="AX290" s="3208"/>
      <c r="AY290" s="3208"/>
      <c r="AZ290" s="3208"/>
      <c r="BA290" s="3208"/>
      <c r="BB290" s="3209"/>
      <c r="BC290" s="3210"/>
      <c r="BD290" s="892"/>
      <c r="BE290" s="892"/>
      <c r="BF290" s="1049"/>
      <c r="BG290" s="1049"/>
      <c r="BH290" s="1049"/>
      <c r="BI290" s="684"/>
      <c r="BJ290" s="684"/>
    </row>
    <row s="1656" customFormat="1" customHeight="1" ht="14.25" hidden="1">
      <c r="A291" s="892"/>
      <c r="B291" s="442"/>
      <c r="C291" s="892"/>
      <c r="D291" s="892"/>
      <c r="E291" s="684">
        <v>15</v>
      </c>
      <c r="F291" s="50" cm="1" t="str">
        <f t="array" ref="F291:F291">OFFSET(E291,-1,1)</f>
        <v>3</v>
      </c>
      <c r="G291" s="148" t="s">
        <v>347</v>
      </c>
      <c r="H291" s="151" cm="1" t="str">
        <f t="array" ref="H291:H291">AC291</f>
        <v>Затраты</v>
      </c>
      <c r="I291" s="148" t="s">
        <v>1282</v>
      </c>
      <c r="J291" s="892"/>
      <c r="K291" s="918"/>
      <c r="L291" s="892"/>
      <c r="M291" s="892"/>
      <c r="N291" s="892"/>
      <c r="O291" s="892"/>
      <c r="P291" s="892"/>
      <c r="Q291" s="892"/>
      <c r="R291" s="892"/>
      <c r="S291" s="892"/>
      <c r="T291" s="468" cm="1" t="str">
        <f t="array" ref="T291:T291">T290</f>
        <v>false</v>
      </c>
      <c r="U291" s="892"/>
      <c r="V291" s="892"/>
      <c r="W291" s="892"/>
      <c r="X291" s="1469"/>
      <c r="Y291" s="1469"/>
      <c r="Z291" s="1592"/>
      <c r="AA291" s="1594"/>
      <c r="AB291" s="84" t="str">
        <f>AB290&amp;".1"</f>
        <v>5.0.1</v>
      </c>
      <c r="AC291" s="3211" t="s">
        <v>1251</v>
      </c>
      <c r="AD291" s="207" t="s">
        <v>936</v>
      </c>
      <c r="AE291" s="3109"/>
      <c r="AF291" s="3109"/>
      <c r="AG291" s="3109"/>
      <c r="AH291" s="3109"/>
      <c r="AI291" s="3109"/>
      <c r="AJ291" s="3109"/>
      <c r="AK291" s="3109"/>
      <c r="AL291" s="3109"/>
      <c r="AM291" s="3109"/>
      <c r="AN291" s="3109"/>
      <c r="AO291" s="3109"/>
      <c r="AP291" s="3109"/>
      <c r="AQ291" s="3109"/>
      <c r="AR291" s="3109"/>
      <c r="AS291" s="3109"/>
      <c r="AT291" s="3109"/>
      <c r="AU291" s="3109"/>
      <c r="AV291" s="3109"/>
      <c r="AW291" s="3109"/>
      <c r="AX291" s="3109"/>
      <c r="AY291" s="3109"/>
      <c r="AZ291" s="3109"/>
      <c r="BA291" s="3109"/>
      <c r="BB291" s="3109"/>
      <c r="BC291" s="1928"/>
      <c r="BD291" s="892"/>
      <c r="BE291" s="892"/>
      <c r="BF291" s="1049" t="s">
        <v>1252</v>
      </c>
      <c r="BG291" s="1049" t="s">
        <v>1283</v>
      </c>
      <c r="BH291" s="1049" cm="1" t="str">
        <f t="array" ref="BH291:BH291">AC290</f>
        <v/>
      </c>
      <c r="BI291" s="684"/>
      <c r="BJ291" s="684" t="b">
        <v>1</v>
      </c>
    </row>
    <row s="1656" customFormat="1" customHeight="1" ht="0" hidden="1">
      <c r="A292" s="892"/>
      <c r="B292" s="442"/>
      <c r="C292" s="892"/>
      <c r="D292" s="892"/>
      <c r="E292" s="684">
        <v>15</v>
      </c>
      <c r="F292" s="50" cm="1" t="str">
        <f t="array" ref="F292:F292">OFFSET(E292,-1,1)</f>
        <v>3</v>
      </c>
      <c r="G292" s="148" t="s">
        <v>673</v>
      </c>
      <c r="H292" s="151" cm="1" t="str">
        <f t="array" ref="H292:H292">H291</f>
        <v>Затраты</v>
      </c>
      <c r="I292" s="148" t="s">
        <v>1282</v>
      </c>
      <c r="J292" s="892"/>
      <c r="K292" s="918"/>
      <c r="L292" s="892"/>
      <c r="M292" s="892"/>
      <c r="N292" s="892"/>
      <c r="O292" s="892"/>
      <c r="P292" s="892"/>
      <c r="Q292" s="892"/>
      <c r="R292" s="892"/>
      <c r="S292" s="892"/>
      <c r="T292" s="468" cm="1" t="str">
        <f t="array" ref="T292:T292">T291</f>
        <v>false</v>
      </c>
      <c r="U292" s="892"/>
      <c r="V292" s="892"/>
      <c r="W292" s="892"/>
      <c r="X292" s="1469"/>
      <c r="Y292" s="1469"/>
      <c r="Z292" s="1592"/>
      <c r="AA292" s="1594"/>
      <c r="AB292" s="84" t="str">
        <f>AB291&amp;".1"</f>
        <v>5.0.1.1</v>
      </c>
      <c r="AC292" s="217" t="s">
        <v>1284</v>
      </c>
      <c r="AD292" s="84" t="s">
        <v>657</v>
      </c>
      <c r="AE292" s="3109"/>
      <c r="AF292" s="3109"/>
      <c r="AG292" s="3109"/>
      <c r="AH292" s="3109"/>
      <c r="AI292" s="3109"/>
      <c r="AJ292" s="3109"/>
      <c r="AK292" s="3109"/>
      <c r="AL292" s="3109"/>
      <c r="AM292" s="3109"/>
      <c r="AN292" s="3109"/>
      <c r="AO292" s="3109"/>
      <c r="AP292" s="3109"/>
      <c r="AQ292" s="3109"/>
      <c r="AR292" s="3109"/>
      <c r="AS292" s="3109"/>
      <c r="AT292" s="3109"/>
      <c r="AU292" s="3109"/>
      <c r="AV292" s="3109"/>
      <c r="AW292" s="3109"/>
      <c r="AX292" s="3109"/>
      <c r="AY292" s="3109"/>
      <c r="AZ292" s="3109"/>
      <c r="BA292" s="3109"/>
      <c r="BB292" s="3109"/>
      <c r="BC292" s="1928"/>
      <c r="BD292" s="892"/>
      <c r="BE292" s="892"/>
      <c r="BF292" s="1049" t="s">
        <v>1255</v>
      </c>
      <c r="BG292" s="1049" t="s">
        <v>1283</v>
      </c>
      <c r="BH292" s="1049" cm="1" t="str">
        <f t="array" ref="BH292:BH292">BH291</f>
        <v/>
      </c>
      <c r="BI292" s="684"/>
      <c r="BJ292" s="684"/>
    </row>
    <row customHeight="1" ht="14.625" hidden="1">
      <c r="A293" s="892"/>
      <c r="B293" s="442"/>
      <c r="C293" s="892"/>
      <c r="D293" s="892"/>
      <c r="E293" s="684">
        <v>15</v>
      </c>
      <c r="F293" s="1326" cm="1" t="str">
        <f t="array" ref="F293:F293">OFFSET(E293,-1,1)</f>
        <v>3</v>
      </c>
      <c r="G293" s="892"/>
      <c r="H293" s="151"/>
      <c r="I293" s="892"/>
      <c r="J293" s="892"/>
      <c r="K293" s="918"/>
      <c r="L293" s="892"/>
      <c r="M293" s="892"/>
      <c r="N293" s="892"/>
      <c r="O293" s="892"/>
      <c r="P293" s="892"/>
      <c r="Q293" s="892"/>
      <c r="R293" s="892"/>
      <c r="S293" s="892"/>
      <c r="T293" s="1436" cm="1" t="str">
        <f t="array" ref="T293:T293">T292</f>
        <v>false</v>
      </c>
      <c r="U293" s="892"/>
      <c r="V293" s="892"/>
      <c r="W293" s="892"/>
      <c r="X293" s="690"/>
      <c r="Y293" s="1469"/>
      <c r="Z293" s="892"/>
      <c r="AA293" s="3203"/>
      <c r="AB293" s="3214" t="str">
        <f>AB291&amp;".2"</f>
        <v>5.0.1.2</v>
      </c>
      <c r="AC293" s="3215" t="s">
        <v>1285</v>
      </c>
      <c r="AD293" s="3214" t="s">
        <v>1257</v>
      </c>
      <c r="AE293" s="3216"/>
      <c r="AF293" s="3216"/>
      <c r="AG293" s="3216"/>
      <c r="AH293" s="3216"/>
      <c r="AI293" s="3216"/>
      <c r="AJ293" s="3216"/>
      <c r="AK293" s="3216"/>
      <c r="AL293" s="3216"/>
      <c r="AM293" s="3216"/>
      <c r="AN293" s="3216"/>
      <c r="AO293" s="3216"/>
      <c r="AP293" s="3216"/>
      <c r="AQ293" s="3216"/>
      <c r="AR293" s="3216"/>
      <c r="AS293" s="3216"/>
      <c r="AT293" s="3216"/>
      <c r="AU293" s="3216"/>
      <c r="AV293" s="3216"/>
      <c r="AW293" s="3216"/>
      <c r="AX293" s="3216"/>
      <c r="AY293" s="3216"/>
      <c r="AZ293" s="3216"/>
      <c r="BA293" s="3216"/>
      <c r="BB293" s="3216"/>
      <c r="BC293" s="3217"/>
      <c r="BD293" s="892"/>
      <c r="BE293" s="892"/>
      <c r="BF293" s="1049" t="s">
        <v>1258</v>
      </c>
      <c r="BG293" s="1049" t="s">
        <v>1283</v>
      </c>
      <c r="BH293" s="3218" cm="1" t="str">
        <f t="array" ref="BH293:BH293">BH292</f>
        <v/>
      </c>
      <c r="BI293" s="684"/>
      <c r="BJ293" s="684"/>
    </row>
    <row s="1656" customFormat="1" customHeight="1" ht="0">
      <c r="A294" s="892"/>
      <c r="B294" s="442"/>
      <c r="C294" s="892"/>
      <c r="D294" s="892"/>
      <c r="E294" s="684">
        <v>15</v>
      </c>
      <c r="F294" s="50" cm="1" t="str">
        <f t="array" ref="F294:F294">OFFSET(E294,-1,1)</f>
        <v>3</v>
      </c>
      <c r="G294" s="892"/>
      <c r="H294" s="148" t="str">
        <f>"!=='не определено' &amp;&amp; row.l5 !== null"</f>
        <v>!=='не определено' &amp;&amp; row.l5 !== null</v>
      </c>
      <c r="I294" s="892"/>
      <c r="J294" s="892"/>
      <c r="K294" s="918"/>
      <c r="L294" s="892"/>
      <c r="M294" s="892"/>
      <c r="N294" s="892"/>
      <c r="O294" s="892"/>
      <c r="P294" s="892"/>
      <c r="Q294" s="892"/>
      <c r="R294" s="892"/>
      <c r="S294" s="892"/>
      <c r="T294" s="468">
        <f>F294&gt;0</f>
        <v>1</v>
      </c>
      <c r="U294" s="892"/>
      <c r="V294" s="892"/>
      <c r="W294" s="691" t="s">
        <v>1286</v>
      </c>
      <c r="X294" s="1469"/>
      <c r="Y294" s="165"/>
      <c r="Z294" s="1592"/>
      <c r="AA294" s="892"/>
      <c r="AB294" s="687"/>
      <c r="AC294" s="228" t="s">
        <v>1260</v>
      </c>
      <c r="AD294" s="228"/>
      <c r="AE294" s="228"/>
      <c r="AF294" s="228"/>
      <c r="AG294" s="228"/>
      <c r="AH294" s="228"/>
      <c r="AI294" s="228"/>
      <c r="AJ294" s="228"/>
      <c r="AK294" s="228"/>
      <c r="AL294" s="228"/>
      <c r="AM294" s="228"/>
      <c r="AN294" s="228"/>
      <c r="AO294" s="228"/>
      <c r="AP294" s="228"/>
      <c r="AQ294" s="228"/>
      <c r="AR294" s="228"/>
      <c r="AS294" s="228"/>
      <c r="AT294" s="228"/>
      <c r="AU294" s="228"/>
      <c r="AV294" s="228"/>
      <c r="AW294" s="228"/>
      <c r="AX294" s="228"/>
      <c r="AY294" s="228"/>
      <c r="AZ294" s="228"/>
      <c r="BA294" s="228"/>
      <c r="BB294" s="228"/>
      <c r="BC294" s="229"/>
      <c r="BD294" s="892"/>
      <c r="BE294" s="892"/>
      <c r="BF294" s="1049"/>
      <c r="BG294" s="1049"/>
      <c r="BH294" s="1049"/>
      <c r="BI294" s="684" t="s">
        <v>1283</v>
      </c>
      <c r="BJ294" s="684"/>
    </row>
    <row s="149" customFormat="1" customHeight="1" ht="0">
      <c r="A295" s="149"/>
      <c r="B295" s="443"/>
      <c r="C295" s="149"/>
      <c r="D295" s="149"/>
      <c r="E295" s="685">
        <v>15</v>
      </c>
      <c r="F295" s="50" cm="1" t="str">
        <f t="array" ref="F295:F295">OFFSET(E295,-1,1)</f>
        <v>3</v>
      </c>
      <c r="G295" s="148" t="s">
        <v>616</v>
      </c>
      <c r="H295" s="149"/>
      <c r="I295" s="149"/>
      <c r="J295" s="149"/>
      <c r="K295" s="918" t="str">
        <f>F260&amp;"6komm"</f>
        <v>36komm</v>
      </c>
      <c r="L295" s="922" cm="1" t="str">
        <f t="array" ref="L295:L295">BC295</f>
        <v>П. 49 Методических указаний ФСТ России от 27.12.2013 № 1746-э.</v>
      </c>
      <c r="M295" s="149"/>
      <c r="N295" s="149"/>
      <c r="O295" s="149"/>
      <c r="P295" s="149"/>
      <c r="Q295" s="149"/>
      <c r="R295" s="149"/>
      <c r="S295" s="149"/>
      <c r="T295" s="468" cm="1" t="str">
        <f t="array" ref="T295:T295">T294</f>
        <v>true</v>
      </c>
      <c r="U295" s="149"/>
      <c r="V295" s="149"/>
      <c r="W295" s="149"/>
      <c r="X295" s="1469"/>
      <c r="Y295" s="149"/>
      <c r="Z295" s="1592"/>
      <c r="AA295" s="149"/>
      <c r="AB295" s="207">
        <v>6</v>
      </c>
      <c r="AC295" s="208" t="s">
        <v>1287</v>
      </c>
      <c r="AD295" s="207" t="s">
        <v>936</v>
      </c>
      <c r="AE295" s="3231">
        <f>SUMIF($AC298:$AC305,"Затраты на тепловую энергию, всего",AE298:AE305)</f>
        <v>0</v>
      </c>
      <c r="AF295" s="3231">
        <f>SUMIF($AC298:$AC305,"Затраты на тепловую энергию, всего",AF298:AF305)</f>
        <v>0</v>
      </c>
      <c r="AG295" s="3231">
        <f>SUMIF($AC298:$AC305,"Затраты на тепловую энергию, всего",AG298:AG305)</f>
        <v>0</v>
      </c>
      <c r="AH295" s="3231">
        <f>SUMIF($AC298:$AC305,"Затраты на тепловую энергию, всего",AH298:AH305)</f>
        <v>0</v>
      </c>
      <c r="AI295" s="3231">
        <f>SUMIF($AC298:$AC305,"Затраты на тепловую энергию, всего",AI298:AI305)</f>
        <v>0</v>
      </c>
      <c r="AJ295" s="3232">
        <f>SUMIF($AC298:$AC305,"Затраты на тепловую энергию, всего",AJ298:AJ305)</f>
        <v>0</v>
      </c>
      <c r="AK295" s="3232">
        <f>SUMIF($AC298:$AC305,"Затраты на тепловую энергию, всего",AK298:AK305)</f>
        <v>0</v>
      </c>
      <c r="AL295" s="3232">
        <f>SUMIF($AC298:$AC305,"Затраты на тепловую энергию, всего",AL298:AL305)</f>
        <v>0</v>
      </c>
      <c r="AM295" s="3232">
        <f>SUMIF($AC298:$AC305,"Затраты на тепловую энергию, всего",AM298:AM305)</f>
        <v>0</v>
      </c>
      <c r="AN295" s="3232">
        <f>SUMIF($AC298:$AC305,"Затраты на тепловую энергию, всего",AN298:AN305)</f>
        <v>0</v>
      </c>
      <c r="AO295" s="3232">
        <f>SUMIF($AC298:$AC305,"Затраты на тепловую энергию, всего",AO298:AO305)</f>
        <v>0</v>
      </c>
      <c r="AP295" s="3232">
        <f>SUMIF($AC298:$AC305,"Затраты на тепловую энергию, всего",AP298:AP305)</f>
        <v>0</v>
      </c>
      <c r="AQ295" s="3232">
        <f>SUMIF($AC298:$AC305,"Затраты на тепловую энергию, всего",AQ298:AQ305)</f>
        <v>0</v>
      </c>
      <c r="AR295" s="3232">
        <f>SUMIF($AC298:$AC305,"Затраты на тепловую энергию, всего",AR298:AR305)</f>
        <v>0</v>
      </c>
      <c r="AS295" s="3231">
        <f>SUMIF($AC298:$AC305,"Затраты на тепловую энергию, всего",AS298:AS305)</f>
        <v>0</v>
      </c>
      <c r="AT295" s="3232">
        <f>SUMIF($AC298:$AC305,"Затраты на тепловую энергию, всего",AT298:AT305)</f>
        <v>0</v>
      </c>
      <c r="AU295" s="3232">
        <f>SUMIF($AC298:$AC305,"Затраты на тепловую энергию, всего",AU298:AU305)</f>
        <v>0</v>
      </c>
      <c r="AV295" s="3232">
        <f>SUMIF($AC298:$AC305,"Затраты на тепловую энергию, всего",AV298:AV305)</f>
        <v>0</v>
      </c>
      <c r="AW295" s="3232">
        <f>SUMIF($AC298:$AC305,"Затраты на тепловую энергию, всего",AW298:AW305)</f>
        <v>0</v>
      </c>
      <c r="AX295" s="3232">
        <f>SUMIF($AC298:$AC305,"Затраты на тепловую энергию, всего",AX298:AX305)</f>
        <v>0</v>
      </c>
      <c r="AY295" s="3232">
        <f>SUMIF($AC298:$AC305,"Затраты на тепловую энергию, всего",AY298:AY305)</f>
        <v>0</v>
      </c>
      <c r="AZ295" s="3232">
        <f>SUMIF($AC298:$AC305,"Затраты на тепловую энергию, всего",AZ298:AZ305)</f>
        <v>0</v>
      </c>
      <c r="BA295" s="3232">
        <f>SUMIF($AC298:$AC305,"Затраты на тепловую энергию, всего",BA298:BA305)</f>
        <v>0</v>
      </c>
      <c r="BB295" s="3232">
        <f>SUMIF($AC298:$AC305,"Затраты на тепловую энергию, всего",BB298:BB305)</f>
        <v>0</v>
      </c>
      <c r="BC295" s="196" t="s">
        <v>1334</v>
      </c>
      <c r="BD295" s="149"/>
      <c r="BE295" s="149"/>
      <c r="BF295" s="1052" t="s">
        <v>1288</v>
      </c>
      <c r="BG295" s="1052"/>
      <c r="BH295" s="1052"/>
      <c r="BI295" s="685"/>
      <c r="BJ295" s="685"/>
    </row>
    <row customHeight="1" ht="14.625" hidden="1">
      <c r="A296" s="892"/>
      <c r="B296" s="443"/>
      <c r="C296" s="892"/>
      <c r="D296" s="892"/>
      <c r="E296" s="684">
        <v>15</v>
      </c>
      <c r="F296" s="1326" cm="1" t="str">
        <f t="array" ref="F296:F296">OFFSET(E296,-1,1)</f>
        <v>3</v>
      </c>
      <c r="G296" s="892"/>
      <c r="H296" s="892"/>
      <c r="I296" s="892"/>
      <c r="J296" s="892"/>
      <c r="K296" s="918"/>
      <c r="L296" s="922"/>
      <c r="M296" s="892"/>
      <c r="N296" s="892"/>
      <c r="O296" s="892"/>
      <c r="P296" s="892"/>
      <c r="Q296" s="892"/>
      <c r="R296" s="892"/>
      <c r="S296" s="892"/>
      <c r="T296" s="1436" t="b">
        <v>0</v>
      </c>
      <c r="U296" s="892"/>
      <c r="V296" s="892"/>
      <c r="W296" s="892" t="s">
        <v>173</v>
      </c>
      <c r="X296" s="690"/>
      <c r="Y296" s="1469">
        <v>0</v>
      </c>
      <c r="Z296" s="892"/>
      <c r="AA296" s="3234" t="s">
        <v>174</v>
      </c>
      <c r="AB296" s="3206"/>
      <c r="AC296" s="1489"/>
      <c r="AD296" s="3235"/>
      <c r="AE296" s="3236">
        <f>OR(AND(AE299&lt;&gt;"",AE300=""),AND(AE299="",AE300&lt;&gt;""))</f>
        <v>0</v>
      </c>
      <c r="AF296" s="3236">
        <f>OR(AND(AF299&lt;&gt;"",AF300=""),AND(AF299="",AF300&lt;&gt;""))</f>
        <v>0</v>
      </c>
      <c r="AG296" s="3236">
        <f>OR(AND(AG299&lt;&gt;"",AG300=""),AND(AG299="",AG300&lt;&gt;""))</f>
        <v>0</v>
      </c>
      <c r="AH296" s="3236">
        <f>OR(AND(AH299&lt;&gt;"",AH300=""),AND(AH299="",AH300&lt;&gt;""))</f>
        <v>0</v>
      </c>
      <c r="AI296" s="3236">
        <f>OR(AND(AI299&lt;&gt;"",AI300=""),AND(AI299="",AI300&lt;&gt;""))</f>
        <v>0</v>
      </c>
      <c r="AJ296" s="3236">
        <f>OR(AND(AJ299&lt;&gt;"",AJ300=""),AND(AJ299="",AJ300&lt;&gt;""))</f>
        <v>0</v>
      </c>
      <c r="AK296" s="3236">
        <f>OR(AND(AK299&lt;&gt;"",AK300=""),AND(AK299="",AK300&lt;&gt;""))</f>
        <v>0</v>
      </c>
      <c r="AL296" s="3236">
        <f>OR(AND(AL299&lt;&gt;"",AL300=""),AND(AL299="",AL300&lt;&gt;""))</f>
        <v>0</v>
      </c>
      <c r="AM296" s="3236">
        <f>OR(AND(AM299&lt;&gt;"",AM300=""),AND(AM299="",AM300&lt;&gt;""))</f>
        <v>0</v>
      </c>
      <c r="AN296" s="3236">
        <f>OR(AND(AN299&lt;&gt;"",AN300=""),AND(AN299="",AN300&lt;&gt;""))</f>
        <v>0</v>
      </c>
      <c r="AO296" s="3236">
        <f>OR(AND(AO299&lt;&gt;"",AO300=""),AND(AO299="",AO300&lt;&gt;""))</f>
        <v>0</v>
      </c>
      <c r="AP296" s="3236">
        <f>OR(AND(AP299&lt;&gt;"",AP300=""),AND(AP299="",AP300&lt;&gt;""))</f>
        <v>0</v>
      </c>
      <c r="AQ296" s="3236">
        <f>OR(AND(AQ299&lt;&gt;"",AQ300=""),AND(AQ299="",AQ300&lt;&gt;""))</f>
        <v>0</v>
      </c>
      <c r="AR296" s="3236">
        <f>OR(AND(AR299&lt;&gt;"",AR300=""),AND(AR299="",AR300&lt;&gt;""))</f>
        <v>0</v>
      </c>
      <c r="AS296" s="3236">
        <f>OR(AND(AS299&lt;&gt;"",AS300=""),AND(AS299="",AS300&lt;&gt;""))</f>
        <v>0</v>
      </c>
      <c r="AT296" s="3236">
        <f>OR(AND(AT299&lt;&gt;"",AT300=""),AND(AT299="",AT300&lt;&gt;""))</f>
        <v>0</v>
      </c>
      <c r="AU296" s="3236">
        <f>OR(AND(AU299&lt;&gt;"",AU300=""),AND(AU299="",AU300&lt;&gt;""))</f>
        <v>0</v>
      </c>
      <c r="AV296" s="3236">
        <f>OR(AND(AV299&lt;&gt;"",AV300=""),AND(AV299="",AV300&lt;&gt;""))</f>
        <v>0</v>
      </c>
      <c r="AW296" s="3236">
        <f>OR(AND(AW299&lt;&gt;"",AW300=""),AND(AW299="",AW300&lt;&gt;""))</f>
        <v>0</v>
      </c>
      <c r="AX296" s="3236">
        <f>OR(AND(AX299&lt;&gt;"",AX300=""),AND(AX299="",AX300&lt;&gt;""))</f>
        <v>0</v>
      </c>
      <c r="AY296" s="3236">
        <f>OR(AND(AY299&lt;&gt;"",AY300=""),AND(AY299="",AY300&lt;&gt;""))</f>
        <v>0</v>
      </c>
      <c r="AZ296" s="3236">
        <f>OR(AND(AZ299&lt;&gt;"",AZ300=""),AND(AZ299="",AZ300&lt;&gt;""))</f>
        <v>0</v>
      </c>
      <c r="BA296" s="3236">
        <f>OR(AND(BA299&lt;&gt;"",BA300=""),AND(BA299="",BA300&lt;&gt;""))</f>
        <v>0</v>
      </c>
      <c r="BB296" s="3236">
        <f>OR(AND(BB299&lt;&gt;"",BB300=""),AND(BB299="",BB300&lt;&gt;""))</f>
        <v>0</v>
      </c>
      <c r="BC296" s="3236"/>
      <c r="BD296" s="892"/>
      <c r="BE296" s="892"/>
      <c r="BF296" s="1052"/>
      <c r="BG296" s="1052"/>
      <c r="BH296" s="1052"/>
      <c r="BI296" s="685"/>
      <c r="BJ296" s="685"/>
    </row>
    <row customHeight="1" ht="14.625" hidden="1">
      <c r="A297" s="892"/>
      <c r="B297" s="443"/>
      <c r="C297" s="892"/>
      <c r="D297" s="892"/>
      <c r="E297" s="684">
        <v>15</v>
      </c>
      <c r="F297" s="1326" cm="1" t="str">
        <f t="array" ref="F297:F297">OFFSET(E297,-1,1)</f>
        <v>3</v>
      </c>
      <c r="G297" s="892"/>
      <c r="H297" s="892"/>
      <c r="I297" s="892"/>
      <c r="J297" s="892"/>
      <c r="K297" s="918"/>
      <c r="L297" s="922"/>
      <c r="M297" s="892"/>
      <c r="N297" s="892"/>
      <c r="O297" s="892"/>
      <c r="P297" s="892"/>
      <c r="Q297" s="892"/>
      <c r="R297" s="892"/>
      <c r="S297" s="892"/>
      <c r="T297" s="1436">
        <f>AND(F297&gt;0,Y296&gt;0)</f>
        <v>0</v>
      </c>
      <c r="U297" s="892"/>
      <c r="V297" s="892"/>
      <c r="W297" s="892"/>
      <c r="X297" s="690"/>
      <c r="Y297" s="1469"/>
      <c r="Z297" s="892"/>
      <c r="AA297" s="3234"/>
      <c r="AB297" s="3204" t="str">
        <f>"6."&amp;Y296</f>
        <v>6.0</v>
      </c>
      <c r="AC297" s="3237"/>
      <c r="AD297" s="3235"/>
      <c r="AE297" s="3208"/>
      <c r="AF297" s="3208"/>
      <c r="AG297" s="3208"/>
      <c r="AH297" s="3208"/>
      <c r="AI297" s="3208"/>
      <c r="AJ297" s="3208"/>
      <c r="AK297" s="3208"/>
      <c r="AL297" s="3208"/>
      <c r="AM297" s="3208"/>
      <c r="AN297" s="3208"/>
      <c r="AO297" s="3208"/>
      <c r="AP297" s="3208"/>
      <c r="AQ297" s="3208"/>
      <c r="AR297" s="3208"/>
      <c r="AS297" s="3208"/>
      <c r="AT297" s="3208"/>
      <c r="AU297" s="3208"/>
      <c r="AV297" s="3208"/>
      <c r="AW297" s="3208"/>
      <c r="AX297" s="3208"/>
      <c r="AY297" s="3208"/>
      <c r="AZ297" s="3208"/>
      <c r="BA297" s="3208"/>
      <c r="BB297" s="3208"/>
      <c r="BC297" s="3208"/>
      <c r="BD297" s="892"/>
      <c r="BE297" s="892"/>
      <c r="BF297" s="1052"/>
      <c r="BG297" s="1052"/>
      <c r="BH297" s="1052"/>
      <c r="BI297" s="685"/>
      <c r="BJ297" s="685"/>
    </row>
    <row customHeight="1" ht="14.625" hidden="1">
      <c r="A298" s="892"/>
      <c r="B298" s="443"/>
      <c r="C298" s="892"/>
      <c r="D298" s="892"/>
      <c r="E298" s="684">
        <v>15</v>
      </c>
      <c r="F298" s="1326" cm="1" t="str">
        <f t="array" ref="F298:F298">OFFSET(E298,-1,1)</f>
        <v>3</v>
      </c>
      <c r="G298" s="892"/>
      <c r="H298" s="892"/>
      <c r="I298" s="892"/>
      <c r="J298" s="892"/>
      <c r="K298" s="918"/>
      <c r="L298" s="922"/>
      <c r="M298" s="892"/>
      <c r="N298" s="892"/>
      <c r="O298" s="892"/>
      <c r="P298" s="892"/>
      <c r="Q298" s="892"/>
      <c r="R298" s="892"/>
      <c r="S298" s="892"/>
      <c r="T298" s="1436" cm="1" t="str">
        <f t="array" ref="T298:T298">T297</f>
        <v>false</v>
      </c>
      <c r="U298" s="892"/>
      <c r="V298" s="892"/>
      <c r="W298" s="892"/>
      <c r="X298" s="690"/>
      <c r="Y298" s="1469"/>
      <c r="Z298" s="892"/>
      <c r="AA298" s="3234"/>
      <c r="AB298" s="3204" t="str">
        <f>AB297&amp;".1"</f>
        <v>6.0.1</v>
      </c>
      <c r="AC298" s="3238" t="s">
        <v>1289</v>
      </c>
      <c r="AD298" s="3214" t="s">
        <v>936</v>
      </c>
      <c r="AE298" s="3239">
        <f>AE299+AE302</f>
        <v>0</v>
      </c>
      <c r="AF298" s="3239">
        <f>AF299+AF302</f>
        <v>0</v>
      </c>
      <c r="AG298" s="3239">
        <f>AG299+AG302</f>
        <v>0</v>
      </c>
      <c r="AH298" s="3239">
        <f>AH299+AH302</f>
        <v>0</v>
      </c>
      <c r="AI298" s="3239">
        <f>AI299+AI302</f>
        <v>0</v>
      </c>
      <c r="AJ298" s="3240">
        <f>AJ299+AJ302</f>
        <v>0</v>
      </c>
      <c r="AK298" s="3240">
        <f>AK299+AK302</f>
        <v>0</v>
      </c>
      <c r="AL298" s="3240">
        <f>AL299+AL302</f>
        <v>0</v>
      </c>
      <c r="AM298" s="3240">
        <f>AM299+AM302</f>
        <v>0</v>
      </c>
      <c r="AN298" s="3240">
        <f>AN299+AN302</f>
        <v>0</v>
      </c>
      <c r="AO298" s="3240">
        <f>AO299+AO302</f>
        <v>0</v>
      </c>
      <c r="AP298" s="3240">
        <f>AP299+AP302</f>
        <v>0</v>
      </c>
      <c r="AQ298" s="3240">
        <f>AQ299+AQ302</f>
        <v>0</v>
      </c>
      <c r="AR298" s="3240">
        <f>AR299+AR302</f>
        <v>0</v>
      </c>
      <c r="AS298" s="3239">
        <f>AS299+AS302</f>
        <v>0</v>
      </c>
      <c r="AT298" s="3240">
        <f>AT299+AT302</f>
        <v>0</v>
      </c>
      <c r="AU298" s="3240">
        <f>AU299+AU302</f>
        <v>0</v>
      </c>
      <c r="AV298" s="3240">
        <f>AV299+AV302</f>
        <v>0</v>
      </c>
      <c r="AW298" s="3240">
        <f>AW299+AW302</f>
        <v>0</v>
      </c>
      <c r="AX298" s="3240">
        <f>AX299+AX302</f>
        <v>0</v>
      </c>
      <c r="AY298" s="3240">
        <f>AY299+AY302</f>
        <v>0</v>
      </c>
      <c r="AZ298" s="3240">
        <f>AZ299+AZ302</f>
        <v>0</v>
      </c>
      <c r="BA298" s="3240">
        <f>BA299+BA302</f>
        <v>0</v>
      </c>
      <c r="BB298" s="3240">
        <f>BB299+BB302</f>
        <v>0</v>
      </c>
      <c r="BC298" s="3217"/>
      <c r="BD298" s="892"/>
      <c r="BE298" s="892"/>
      <c r="BF298" s="1052" t="s">
        <v>1290</v>
      </c>
      <c r="BG298" s="1052" t="s">
        <v>1291</v>
      </c>
      <c r="BH298" s="3241" cm="1" t="str">
        <f t="array" ref="BH298:BH298">AC297</f>
        <v>0</v>
      </c>
      <c r="BI298" s="685"/>
      <c r="BJ298" s="685" t="b">
        <v>1</v>
      </c>
    </row>
    <row customHeight="1" ht="14.625" hidden="1">
      <c r="A299" s="892"/>
      <c r="B299" s="443"/>
      <c r="C299" s="892"/>
      <c r="D299" s="892"/>
      <c r="E299" s="684">
        <v>15</v>
      </c>
      <c r="F299" s="1326" cm="1" t="str">
        <f t="array" ref="F299:F299">OFFSET(E299,-1,1)</f>
        <v>3</v>
      </c>
      <c r="G299" s="892"/>
      <c r="H299" s="892"/>
      <c r="I299" s="892"/>
      <c r="J299" s="892"/>
      <c r="K299" s="918"/>
      <c r="L299" s="922"/>
      <c r="M299" s="892"/>
      <c r="N299" s="892"/>
      <c r="O299" s="892"/>
      <c r="P299" s="892"/>
      <c r="Q299" s="892"/>
      <c r="R299" s="892"/>
      <c r="S299" s="892"/>
      <c r="T299" s="1436" cm="1" t="str">
        <f t="array" ref="T299:T299">T298</f>
        <v>false</v>
      </c>
      <c r="U299" s="892"/>
      <c r="V299" s="892"/>
      <c r="W299" s="892"/>
      <c r="X299" s="690"/>
      <c r="Y299" s="1469"/>
      <c r="Z299" s="892"/>
      <c r="AA299" s="3234"/>
      <c r="AB299" s="3204" t="str">
        <f>AB298&amp;".1"</f>
        <v>6.0.1.1</v>
      </c>
      <c r="AC299" s="3242" t="s">
        <v>1292</v>
      </c>
      <c r="AD299" s="3243" t="s">
        <v>936</v>
      </c>
      <c r="AE299" s="3216"/>
      <c r="AF299" s="3216"/>
      <c r="AG299" s="3216"/>
      <c r="AH299" s="3216"/>
      <c r="AI299" s="3216"/>
      <c r="AJ299" s="3216"/>
      <c r="AK299" s="3216"/>
      <c r="AL299" s="3216"/>
      <c r="AM299" s="3216"/>
      <c r="AN299" s="3216"/>
      <c r="AO299" s="3216"/>
      <c r="AP299" s="3216"/>
      <c r="AQ299" s="3216"/>
      <c r="AR299" s="3216"/>
      <c r="AS299" s="3216"/>
      <c r="AT299" s="3216"/>
      <c r="AU299" s="3216"/>
      <c r="AV299" s="3216"/>
      <c r="AW299" s="3216"/>
      <c r="AX299" s="3216"/>
      <c r="AY299" s="3216"/>
      <c r="AZ299" s="3216"/>
      <c r="BA299" s="3216"/>
      <c r="BB299" s="3216"/>
      <c r="BC299" s="3217"/>
      <c r="BD299" s="892"/>
      <c r="BE299" s="892"/>
      <c r="BF299" s="1052" t="s">
        <v>1293</v>
      </c>
      <c r="BG299" s="1052" t="s">
        <v>1291</v>
      </c>
      <c r="BH299" s="3241" cm="1" t="str">
        <f t="array" ref="BH299:BH299">BH298</f>
        <v>0</v>
      </c>
      <c r="BI299" s="685"/>
      <c r="BJ299" s="685"/>
    </row>
    <row customHeight="1" ht="14.625" hidden="1">
      <c r="A300" s="892"/>
      <c r="B300" s="443"/>
      <c r="C300" s="892"/>
      <c r="D300" s="892"/>
      <c r="E300" s="684">
        <v>15</v>
      </c>
      <c r="F300" s="1326" cm="1" t="str">
        <f t="array" ref="F300:F300">OFFSET(E300,-1,1)</f>
        <v>3</v>
      </c>
      <c r="G300" s="892"/>
      <c r="H300" s="892"/>
      <c r="I300" s="892"/>
      <c r="J300" s="892"/>
      <c r="K300" s="918"/>
      <c r="L300" s="922"/>
      <c r="M300" s="892"/>
      <c r="N300" s="892"/>
      <c r="O300" s="892"/>
      <c r="P300" s="892"/>
      <c r="Q300" s="892"/>
      <c r="R300" s="892"/>
      <c r="S300" s="892"/>
      <c r="T300" s="1436" cm="1" t="str">
        <f t="array" ref="T300:T300">T299</f>
        <v>false</v>
      </c>
      <c r="U300" s="892"/>
      <c r="V300" s="892"/>
      <c r="W300" s="892"/>
      <c r="X300" s="690"/>
      <c r="Y300" s="1469"/>
      <c r="Z300" s="892"/>
      <c r="AA300" s="3234"/>
      <c r="AB300" s="3204" t="str">
        <f>AB299&amp;".1"</f>
        <v>6.0.1.1.1</v>
      </c>
      <c r="AC300" s="3244" t="s">
        <v>1294</v>
      </c>
      <c r="AD300" s="3214" t="s">
        <v>1295</v>
      </c>
      <c r="AE300" s="3216"/>
      <c r="AF300" s="3216"/>
      <c r="AG300" s="3216"/>
      <c r="AH300" s="3216"/>
      <c r="AI300" s="3216"/>
      <c r="AJ300" s="3216"/>
      <c r="AK300" s="3216"/>
      <c r="AL300" s="3216"/>
      <c r="AM300" s="3216"/>
      <c r="AN300" s="3216"/>
      <c r="AO300" s="3216"/>
      <c r="AP300" s="3216"/>
      <c r="AQ300" s="3216"/>
      <c r="AR300" s="3216"/>
      <c r="AS300" s="3216"/>
      <c r="AT300" s="3216"/>
      <c r="AU300" s="3216"/>
      <c r="AV300" s="3216"/>
      <c r="AW300" s="3216"/>
      <c r="AX300" s="3216"/>
      <c r="AY300" s="3216"/>
      <c r="AZ300" s="3216"/>
      <c r="BA300" s="3216"/>
      <c r="BB300" s="3216"/>
      <c r="BC300" s="3217"/>
      <c r="BD300" s="892"/>
      <c r="BE300" s="892"/>
      <c r="BF300" s="1052" t="s">
        <v>1296</v>
      </c>
      <c r="BG300" s="1052" t="s">
        <v>1291</v>
      </c>
      <c r="BH300" s="3241" cm="1" t="str">
        <f t="array" ref="BH300:BH300">BH299</f>
        <v>0</v>
      </c>
      <c r="BI300" s="685"/>
      <c r="BJ300" s="685"/>
    </row>
    <row customHeight="1" ht="14.625" hidden="1">
      <c r="A301" s="892"/>
      <c r="B301" s="443"/>
      <c r="C301" s="892"/>
      <c r="D301" s="892"/>
      <c r="E301" s="684">
        <v>15</v>
      </c>
      <c r="F301" s="1326" cm="1" t="str">
        <f t="array" ref="F301:F301">OFFSET(E301,-1,1)</f>
        <v>3</v>
      </c>
      <c r="G301" s="892"/>
      <c r="H301" s="892"/>
      <c r="I301" s="892"/>
      <c r="J301" s="892"/>
      <c r="K301" s="918"/>
      <c r="L301" s="922"/>
      <c r="M301" s="892"/>
      <c r="N301" s="892"/>
      <c r="O301" s="892"/>
      <c r="P301" s="892"/>
      <c r="Q301" s="892"/>
      <c r="R301" s="892"/>
      <c r="S301" s="892"/>
      <c r="T301" s="1436" cm="1" t="str">
        <f t="array" ref="T301:T301">T300</f>
        <v>false</v>
      </c>
      <c r="U301" s="892"/>
      <c r="V301" s="892"/>
      <c r="W301" s="892"/>
      <c r="X301" s="690"/>
      <c r="Y301" s="1469"/>
      <c r="Z301" s="892"/>
      <c r="AA301" s="3234"/>
      <c r="AB301" s="3204" t="str">
        <f>AB299&amp;".2"</f>
        <v>6.0.1.1.2</v>
      </c>
      <c r="AC301" s="3244" t="s">
        <v>1297</v>
      </c>
      <c r="AD301" s="3214" t="s">
        <v>1298</v>
      </c>
      <c r="AE301" s="3216"/>
      <c r="AF301" s="3216"/>
      <c r="AG301" s="3216"/>
      <c r="AH301" s="3216"/>
      <c r="AI301" s="3216"/>
      <c r="AJ301" s="3216"/>
      <c r="AK301" s="3216"/>
      <c r="AL301" s="3216"/>
      <c r="AM301" s="3216"/>
      <c r="AN301" s="3216"/>
      <c r="AO301" s="3216"/>
      <c r="AP301" s="3216"/>
      <c r="AQ301" s="3216"/>
      <c r="AR301" s="3216"/>
      <c r="AS301" s="3216"/>
      <c r="AT301" s="3216"/>
      <c r="AU301" s="3216"/>
      <c r="AV301" s="3216"/>
      <c r="AW301" s="3216"/>
      <c r="AX301" s="3216"/>
      <c r="AY301" s="3216"/>
      <c r="AZ301" s="3216"/>
      <c r="BA301" s="3216"/>
      <c r="BB301" s="3216"/>
      <c r="BC301" s="3217"/>
      <c r="BD301" s="892"/>
      <c r="BE301" s="892"/>
      <c r="BF301" s="1052" t="s">
        <v>1299</v>
      </c>
      <c r="BG301" s="1052" t="s">
        <v>1291</v>
      </c>
      <c r="BH301" s="3241" cm="1" t="str">
        <f t="array" ref="BH301:BH301">BH300</f>
        <v>0</v>
      </c>
      <c r="BI301" s="685"/>
      <c r="BJ301" s="685"/>
    </row>
    <row customHeight="1" ht="14.625" hidden="1">
      <c r="A302" s="892"/>
      <c r="B302" s="443"/>
      <c r="C302" s="892"/>
      <c r="D302" s="892"/>
      <c r="E302" s="684">
        <v>15</v>
      </c>
      <c r="F302" s="1326" cm="1" t="str">
        <f t="array" ref="F302:F302">OFFSET(E302,-1,1)</f>
        <v>3</v>
      </c>
      <c r="G302" s="892"/>
      <c r="H302" s="892"/>
      <c r="I302" s="892"/>
      <c r="J302" s="892"/>
      <c r="K302" s="918"/>
      <c r="L302" s="922"/>
      <c r="M302" s="892"/>
      <c r="N302" s="892"/>
      <c r="O302" s="892"/>
      <c r="P302" s="892"/>
      <c r="Q302" s="892"/>
      <c r="R302" s="892"/>
      <c r="S302" s="892"/>
      <c r="T302" s="1436" cm="1" t="str">
        <f t="array" ref="T302:T302">T301</f>
        <v>false</v>
      </c>
      <c r="U302" s="892"/>
      <c r="V302" s="892"/>
      <c r="W302" s="892"/>
      <c r="X302" s="690"/>
      <c r="Y302" s="1469"/>
      <c r="Z302" s="892"/>
      <c r="AA302" s="3234"/>
      <c r="AB302" s="3204" t="str">
        <f>AB298&amp;".2"</f>
        <v>6.0.1.2</v>
      </c>
      <c r="AC302" s="3215" t="s">
        <v>1300</v>
      </c>
      <c r="AD302" s="3214" t="s">
        <v>936</v>
      </c>
      <c r="AE302" s="3216"/>
      <c r="AF302" s="3216"/>
      <c r="AG302" s="3216"/>
      <c r="AH302" s="3216"/>
      <c r="AI302" s="3216"/>
      <c r="AJ302" s="3216"/>
      <c r="AK302" s="3216"/>
      <c r="AL302" s="3216"/>
      <c r="AM302" s="3216"/>
      <c r="AN302" s="3216"/>
      <c r="AO302" s="3216"/>
      <c r="AP302" s="3216"/>
      <c r="AQ302" s="3216"/>
      <c r="AR302" s="3216"/>
      <c r="AS302" s="3216"/>
      <c r="AT302" s="3216"/>
      <c r="AU302" s="3216"/>
      <c r="AV302" s="3216"/>
      <c r="AW302" s="3216"/>
      <c r="AX302" s="3216"/>
      <c r="AY302" s="3216"/>
      <c r="AZ302" s="3216"/>
      <c r="BA302" s="3216"/>
      <c r="BB302" s="3216"/>
      <c r="BC302" s="3217"/>
      <c r="BD302" s="892"/>
      <c r="BE302" s="892"/>
      <c r="BF302" s="1052" t="s">
        <v>1301</v>
      </c>
      <c r="BG302" s="1052" t="s">
        <v>1291</v>
      </c>
      <c r="BH302" s="3241" cm="1" t="str">
        <f t="array" ref="BH302:BH302">BH301</f>
        <v>0</v>
      </c>
      <c r="BI302" s="685"/>
      <c r="BJ302" s="685"/>
    </row>
    <row customHeight="1" ht="14.625" hidden="1">
      <c r="A303" s="892"/>
      <c r="B303" s="443"/>
      <c r="C303" s="892"/>
      <c r="D303" s="892"/>
      <c r="E303" s="684">
        <v>15</v>
      </c>
      <c r="F303" s="1326" cm="1" t="str">
        <f t="array" ref="F303:F303">OFFSET(E303,-1,1)</f>
        <v>3</v>
      </c>
      <c r="G303" s="892"/>
      <c r="H303" s="892"/>
      <c r="I303" s="892"/>
      <c r="J303" s="892"/>
      <c r="K303" s="918"/>
      <c r="L303" s="922"/>
      <c r="M303" s="892"/>
      <c r="N303" s="892"/>
      <c r="O303" s="892"/>
      <c r="P303" s="892"/>
      <c r="Q303" s="892"/>
      <c r="R303" s="892"/>
      <c r="S303" s="892"/>
      <c r="T303" s="1436" cm="1" t="str">
        <f t="array" ref="T303:T303">T302</f>
        <v>false</v>
      </c>
      <c r="U303" s="892"/>
      <c r="V303" s="892"/>
      <c r="W303" s="892"/>
      <c r="X303" s="690"/>
      <c r="Y303" s="1469"/>
      <c r="Z303" s="892"/>
      <c r="AA303" s="3234"/>
      <c r="AB303" s="3204" t="str">
        <f>AB302&amp;".1"</f>
        <v>6.0.1.2.1</v>
      </c>
      <c r="AC303" s="3244" t="s">
        <v>1302</v>
      </c>
      <c r="AD303" s="3214" t="s">
        <v>1303</v>
      </c>
      <c r="AE303" s="3216"/>
      <c r="AF303" s="3216"/>
      <c r="AG303" s="3216"/>
      <c r="AH303" s="3216"/>
      <c r="AI303" s="3216"/>
      <c r="AJ303" s="3216"/>
      <c r="AK303" s="3216"/>
      <c r="AL303" s="3216"/>
      <c r="AM303" s="3216"/>
      <c r="AN303" s="3216"/>
      <c r="AO303" s="3216"/>
      <c r="AP303" s="3216"/>
      <c r="AQ303" s="3216"/>
      <c r="AR303" s="3216"/>
      <c r="AS303" s="3216"/>
      <c r="AT303" s="3216"/>
      <c r="AU303" s="3216"/>
      <c r="AV303" s="3216"/>
      <c r="AW303" s="3216"/>
      <c r="AX303" s="3216"/>
      <c r="AY303" s="3216"/>
      <c r="AZ303" s="3216"/>
      <c r="BA303" s="3216"/>
      <c r="BB303" s="3216"/>
      <c r="BC303" s="3217"/>
      <c r="BD303" s="892"/>
      <c r="BE303" s="892"/>
      <c r="BF303" s="1052" t="s">
        <v>1304</v>
      </c>
      <c r="BG303" s="1052" t="s">
        <v>1291</v>
      </c>
      <c r="BH303" s="3241" cm="1" t="str">
        <f t="array" ref="BH303:BH303">BH302</f>
        <v>0</v>
      </c>
      <c r="BI303" s="685"/>
      <c r="BJ303" s="685"/>
    </row>
    <row customHeight="1" ht="14.625" hidden="1">
      <c r="A304" s="892"/>
      <c r="B304" s="443"/>
      <c r="C304" s="892"/>
      <c r="D304" s="892"/>
      <c r="E304" s="684">
        <v>15</v>
      </c>
      <c r="F304" s="1326" cm="1" t="str">
        <f t="array" ref="F304:F304">OFFSET(E304,-1,1)</f>
        <v>3</v>
      </c>
      <c r="G304" s="892"/>
      <c r="H304" s="892"/>
      <c r="I304" s="892"/>
      <c r="J304" s="892"/>
      <c r="K304" s="918"/>
      <c r="L304" s="922"/>
      <c r="M304" s="892"/>
      <c r="N304" s="892"/>
      <c r="O304" s="892"/>
      <c r="P304" s="892"/>
      <c r="Q304" s="892"/>
      <c r="R304" s="892"/>
      <c r="S304" s="892"/>
      <c r="T304" s="1436" cm="1" t="str">
        <f t="array" ref="T304:T304">T303</f>
        <v>false</v>
      </c>
      <c r="U304" s="892"/>
      <c r="V304" s="892"/>
      <c r="W304" s="892"/>
      <c r="X304" s="690"/>
      <c r="Y304" s="1469"/>
      <c r="Z304" s="892"/>
      <c r="AA304" s="3234"/>
      <c r="AB304" s="3204" t="str">
        <f>AB302&amp;".2"</f>
        <v>6.0.1.2.2</v>
      </c>
      <c r="AC304" s="3244" t="s">
        <v>1305</v>
      </c>
      <c r="AD304" s="3214" t="s">
        <v>1306</v>
      </c>
      <c r="AE304" s="3216"/>
      <c r="AF304" s="3216"/>
      <c r="AG304" s="3216"/>
      <c r="AH304" s="3216"/>
      <c r="AI304" s="3216"/>
      <c r="AJ304" s="3216"/>
      <c r="AK304" s="3216"/>
      <c r="AL304" s="3216"/>
      <c r="AM304" s="3216"/>
      <c r="AN304" s="3216"/>
      <c r="AO304" s="3216"/>
      <c r="AP304" s="3216"/>
      <c r="AQ304" s="3216"/>
      <c r="AR304" s="3216"/>
      <c r="AS304" s="3216"/>
      <c r="AT304" s="3216"/>
      <c r="AU304" s="3216"/>
      <c r="AV304" s="3216"/>
      <c r="AW304" s="3216"/>
      <c r="AX304" s="3216"/>
      <c r="AY304" s="3216"/>
      <c r="AZ304" s="3216"/>
      <c r="BA304" s="3216"/>
      <c r="BB304" s="3216"/>
      <c r="BC304" s="3217"/>
      <c r="BD304" s="892"/>
      <c r="BE304" s="892"/>
      <c r="BF304" s="1052" t="s">
        <v>1307</v>
      </c>
      <c r="BG304" s="1052" t="s">
        <v>1291</v>
      </c>
      <c r="BH304" s="3241" cm="1" t="str">
        <f t="array" ref="BH304:BH304">BH303</f>
        <v>0</v>
      </c>
      <c r="BI304" s="685"/>
      <c r="BJ304" s="685"/>
    </row>
    <row customHeight="1" ht="14.625">
      <c r="B305" s="443"/>
      <c r="E305" s="684">
        <v>15</v>
      </c>
      <c r="F305" s="1326" cm="1" t="str">
        <f t="array" ref="F305:F305">OFFSET(E305,-1,1)</f>
        <v>3</v>
      </c>
      <c r="G305" s="892"/>
      <c r="K305" s="918"/>
      <c r="L305" s="922"/>
      <c r="T305" s="1436">
        <f>F305&gt;0</f>
        <v>1</v>
      </c>
      <c r="W305" s="691" t="s">
        <v>1308</v>
      </c>
      <c r="X305" s="690"/>
      <c r="Y305" s="1491"/>
      <c r="Z305" s="892"/>
      <c r="AA305" s="2547"/>
      <c r="AB305" s="4016"/>
      <c r="AC305" s="4017" t="s">
        <v>1260</v>
      </c>
      <c r="AD305" s="4018"/>
      <c r="AE305" s="4019"/>
      <c r="AF305" s="4020"/>
      <c r="AG305" s="4021"/>
      <c r="AH305" s="4022"/>
      <c r="AI305" s="4023"/>
      <c r="AJ305" s="4024"/>
      <c r="AK305" s="4025"/>
      <c r="AL305" s="4026"/>
      <c r="AM305" s="4027"/>
      <c r="AN305" s="4028"/>
      <c r="AO305" s="4029"/>
      <c r="AP305" s="4030"/>
      <c r="AQ305" s="4031"/>
      <c r="AR305" s="4032"/>
      <c r="AS305" s="4033"/>
      <c r="AT305" s="4034"/>
      <c r="AU305" s="4035"/>
      <c r="AV305" s="4036"/>
      <c r="AW305" s="4037"/>
      <c r="AX305" s="4038"/>
      <c r="AY305" s="4039"/>
      <c r="AZ305" s="4040"/>
      <c r="BA305" s="4041"/>
      <c r="BB305" s="4042"/>
      <c r="BC305" s="4043"/>
      <c r="BF305" s="1052"/>
      <c r="BG305" s="1052"/>
      <c r="BH305" s="1052"/>
      <c r="BI305" s="685" t="s">
        <v>1291</v>
      </c>
      <c r="BJ305" s="685"/>
    </row>
    <row s="149" customFormat="1" customHeight="1" ht="0">
      <c r="A306" s="149"/>
      <c r="B306" s="443"/>
      <c r="C306" s="149"/>
      <c r="D306" s="149"/>
      <c r="E306" s="685">
        <v>15</v>
      </c>
      <c r="F306" s="50" cm="1" t="str">
        <f t="array" ref="F306:F306">OFFSET(E306,-1,1)</f>
        <v>3</v>
      </c>
      <c r="G306" s="148" t="s">
        <v>619</v>
      </c>
      <c r="H306" s="149"/>
      <c r="I306" s="149"/>
      <c r="J306" s="149"/>
      <c r="K306" s="918" t="str">
        <f>F260&amp;"7komm"</f>
        <v>37komm</v>
      </c>
      <c r="L306" s="922" cm="1" t="str">
        <f t="array" ref="L306:L306">BC306</f>
        <v>0</v>
      </c>
      <c r="M306" s="149"/>
      <c r="N306" s="149"/>
      <c r="O306" s="149"/>
      <c r="P306" s="149"/>
      <c r="Q306" s="149"/>
      <c r="R306" s="149"/>
      <c r="S306" s="149"/>
      <c r="T306" s="468" cm="1" t="str">
        <f t="array" ref="T306:T306">T295</f>
        <v>true</v>
      </c>
      <c r="U306" s="149"/>
      <c r="V306" s="149"/>
      <c r="W306" s="149"/>
      <c r="X306" s="1469"/>
      <c r="Y306" s="149"/>
      <c r="Z306" s="1592"/>
      <c r="AA306" s="149"/>
      <c r="AB306" s="207">
        <v>7</v>
      </c>
      <c r="AC306" s="208" t="s">
        <v>1309</v>
      </c>
      <c r="AD306" s="207" t="s">
        <v>936</v>
      </c>
      <c r="AE306" s="3231">
        <f>SUMIF($AD309:$AD312,$AD306,AE309:AE312)</f>
        <v>0</v>
      </c>
      <c r="AF306" s="3231">
        <f>SUMIF($AD309:$AD312,$AD306,AF309:AF312)</f>
        <v>0</v>
      </c>
      <c r="AG306" s="3231">
        <f>SUMIF($AD309:$AD312,$AD306,AG309:AG312)</f>
        <v>0</v>
      </c>
      <c r="AH306" s="3231">
        <f>SUMIF($AD309:$AD312,$AD306,AH309:AH312)</f>
        <v>0</v>
      </c>
      <c r="AI306" s="3231">
        <f>SUMIF($AD309:$AD312,$AD306,AI309:AI312)</f>
        <v>0</v>
      </c>
      <c r="AJ306" s="3232">
        <f>SUMIF($AD309:$AD312,$AD306,AJ309:AJ312)</f>
        <v>0</v>
      </c>
      <c r="AK306" s="3232">
        <f>SUMIF($AD309:$AD312,$AD306,AK309:AK312)</f>
        <v>0</v>
      </c>
      <c r="AL306" s="3232">
        <f>SUMIF($AD309:$AD312,$AD306,AL309:AL312)</f>
        <v>0</v>
      </c>
      <c r="AM306" s="3232">
        <f>SUMIF($AD309:$AD312,$AD306,AM309:AM312)</f>
        <v>0</v>
      </c>
      <c r="AN306" s="3232">
        <f>SUMIF($AD309:$AD312,$AD306,AN309:AN312)</f>
        <v>0</v>
      </c>
      <c r="AO306" s="3232">
        <f>SUMIF($AD309:$AD312,$AD306,AO309:AO312)</f>
        <v>0</v>
      </c>
      <c r="AP306" s="3232">
        <f>SUMIF($AD309:$AD312,$AD306,AP309:AP312)</f>
        <v>0</v>
      </c>
      <c r="AQ306" s="3232">
        <f>SUMIF($AD309:$AD312,$AD306,AQ309:AQ312)</f>
        <v>0</v>
      </c>
      <c r="AR306" s="3232">
        <f>SUMIF($AD309:$AD312,$AD306,AR309:AR312)</f>
        <v>0</v>
      </c>
      <c r="AS306" s="3231">
        <f>SUMIF($AD309:$AD312,$AD306,AS309:AS312)</f>
        <v>0</v>
      </c>
      <c r="AT306" s="3232">
        <f>SUMIF($AD309:$AD312,$AD306,AT309:AT312)</f>
        <v>0</v>
      </c>
      <c r="AU306" s="3232">
        <f>SUMIF($AD309:$AD312,$AD306,AU309:AU312)</f>
        <v>0</v>
      </c>
      <c r="AV306" s="3232">
        <f>SUMIF($AD309:$AD312,$AD306,AV309:AV312)</f>
        <v>0</v>
      </c>
      <c r="AW306" s="3232">
        <f>SUMIF($AD309:$AD312,$AD306,AW309:AW312)</f>
        <v>0</v>
      </c>
      <c r="AX306" s="3232">
        <f>SUMIF($AD309:$AD312,$AD306,AX309:AX312)</f>
        <v>0</v>
      </c>
      <c r="AY306" s="3232">
        <f>SUMIF($AD309:$AD312,$AD306,AY309:AY312)</f>
        <v>0</v>
      </c>
      <c r="AZ306" s="3232">
        <f>SUMIF($AD309:$AD312,$AD306,AZ309:AZ312)</f>
        <v>0</v>
      </c>
      <c r="BA306" s="3232">
        <f>SUMIF($AD309:$AD312,$AD306,BA309:BA312)</f>
        <v>0</v>
      </c>
      <c r="BB306" s="3232">
        <f>SUMIF($AD309:$AD312,$AD306,BB309:BB312)</f>
        <v>0</v>
      </c>
      <c r="BC306" s="196"/>
      <c r="BD306" s="149"/>
      <c r="BE306" s="149"/>
      <c r="BF306" s="1052" t="s">
        <v>1310</v>
      </c>
      <c r="BG306" s="1052"/>
      <c r="BH306" s="1052"/>
      <c r="BI306" s="685"/>
      <c r="BJ306" s="685"/>
    </row>
    <row customHeight="1" ht="14.625" hidden="1">
      <c r="A307" s="892"/>
      <c r="B307" s="443"/>
      <c r="C307" s="892"/>
      <c r="D307" s="892"/>
      <c r="E307" s="684">
        <v>15</v>
      </c>
      <c r="F307" s="1326" cm="1" t="str">
        <f t="array" ref="F307:F307">OFFSET(E307,-1,1)</f>
        <v>3</v>
      </c>
      <c r="G307" s="892"/>
      <c r="H307" s="892"/>
      <c r="I307" s="892"/>
      <c r="J307" s="892"/>
      <c r="K307" s="918"/>
      <c r="L307" s="922"/>
      <c r="M307" s="892"/>
      <c r="N307" s="892"/>
      <c r="O307" s="892"/>
      <c r="P307" s="892"/>
      <c r="Q307" s="892"/>
      <c r="R307" s="892"/>
      <c r="S307" s="892"/>
      <c r="T307" s="1436" t="b">
        <v>0</v>
      </c>
      <c r="U307" s="892"/>
      <c r="V307" s="892"/>
      <c r="W307" s="892" t="s">
        <v>173</v>
      </c>
      <c r="X307" s="690"/>
      <c r="Y307" s="1469">
        <v>0</v>
      </c>
      <c r="Z307" s="892"/>
      <c r="AA307" s="3234" t="s">
        <v>174</v>
      </c>
      <c r="AB307" s="3206"/>
      <c r="AC307" s="1489"/>
      <c r="AD307" s="3235"/>
      <c r="AE307" s="3236">
        <f>OR(AND(AE309&lt;&gt;"",AE310=""),AND(AE309="",AE310&lt;&gt;""))</f>
        <v>0</v>
      </c>
      <c r="AF307" s="3236">
        <f>OR(AND(AF309&lt;&gt;"",AF310=""),AND(AF309="",AF310&lt;&gt;""))</f>
        <v>0</v>
      </c>
      <c r="AG307" s="3236">
        <f>OR(AND(AG309&lt;&gt;"",AG310=""),AND(AG309="",AG310&lt;&gt;""))</f>
        <v>0</v>
      </c>
      <c r="AH307" s="3236">
        <f>OR(AND(AH309&lt;&gt;"",AH310=""),AND(AH309="",AH310&lt;&gt;""))</f>
        <v>0</v>
      </c>
      <c r="AI307" s="3236">
        <f>OR(AND(AI309&lt;&gt;"",AI310=""),AND(AI309="",AI310&lt;&gt;""))</f>
        <v>0</v>
      </c>
      <c r="AJ307" s="3236">
        <f>OR(AND(AJ309&lt;&gt;"",AJ310=""),AND(AJ309="",AJ310&lt;&gt;""))</f>
        <v>0</v>
      </c>
      <c r="AK307" s="3236">
        <f>OR(AND(AK309&lt;&gt;"",AK310=""),AND(AK309="",AK310&lt;&gt;""))</f>
        <v>0</v>
      </c>
      <c r="AL307" s="3236">
        <f>OR(AND(AL309&lt;&gt;"",AL310=""),AND(AL309="",AL310&lt;&gt;""))</f>
        <v>0</v>
      </c>
      <c r="AM307" s="3236">
        <f>OR(AND(AM309&lt;&gt;"",AM310=""),AND(AM309="",AM310&lt;&gt;""))</f>
        <v>0</v>
      </c>
      <c r="AN307" s="3236">
        <f>OR(AND(AN309&lt;&gt;"",AN310=""),AND(AN309="",AN310&lt;&gt;""))</f>
        <v>0</v>
      </c>
      <c r="AO307" s="3236">
        <f>OR(AND(AO309&lt;&gt;"",AO310=""),AND(AO309="",AO310&lt;&gt;""))</f>
        <v>0</v>
      </c>
      <c r="AP307" s="3236">
        <f>OR(AND(AP309&lt;&gt;"",AP310=""),AND(AP309="",AP310&lt;&gt;""))</f>
        <v>0</v>
      </c>
      <c r="AQ307" s="3236">
        <f>OR(AND(AQ309&lt;&gt;"",AQ310=""),AND(AQ309="",AQ310&lt;&gt;""))</f>
        <v>0</v>
      </c>
      <c r="AR307" s="3236">
        <f>OR(AND(AR309&lt;&gt;"",AR310=""),AND(AR309="",AR310&lt;&gt;""))</f>
        <v>0</v>
      </c>
      <c r="AS307" s="3236">
        <f>OR(AND(AS309&lt;&gt;"",AS310=""),AND(AS309="",AS310&lt;&gt;""))</f>
        <v>0</v>
      </c>
      <c r="AT307" s="3236">
        <f>OR(AND(AT309&lt;&gt;"",AT310=""),AND(AT309="",AT310&lt;&gt;""))</f>
        <v>0</v>
      </c>
      <c r="AU307" s="3236">
        <f>OR(AND(AU309&lt;&gt;"",AU310=""),AND(AU309="",AU310&lt;&gt;""))</f>
        <v>0</v>
      </c>
      <c r="AV307" s="3236">
        <f>OR(AND(AV309&lt;&gt;"",AV310=""),AND(AV309="",AV310&lt;&gt;""))</f>
        <v>0</v>
      </c>
      <c r="AW307" s="3236">
        <f>OR(AND(AW309&lt;&gt;"",AW310=""),AND(AW309="",AW310&lt;&gt;""))</f>
        <v>0</v>
      </c>
      <c r="AX307" s="3236">
        <f>OR(AND(AX309&lt;&gt;"",AX310=""),AND(AX309="",AX310&lt;&gt;""))</f>
        <v>0</v>
      </c>
      <c r="AY307" s="3236">
        <f>OR(AND(AY309&lt;&gt;"",AY310=""),AND(AY309="",AY310&lt;&gt;""))</f>
        <v>0</v>
      </c>
      <c r="AZ307" s="3236">
        <f>OR(AND(AZ309&lt;&gt;"",AZ310=""),AND(AZ309="",AZ310&lt;&gt;""))</f>
        <v>0</v>
      </c>
      <c r="BA307" s="3236">
        <f>OR(AND(BA309&lt;&gt;"",BA310=""),AND(BA309="",BA310&lt;&gt;""))</f>
        <v>0</v>
      </c>
      <c r="BB307" s="3236">
        <f>OR(AND(BB309&lt;&gt;"",BB310=""),AND(BB309="",BB310&lt;&gt;""))</f>
        <v>0</v>
      </c>
      <c r="BC307" s="982"/>
      <c r="BD307" s="892"/>
      <c r="BE307" s="892"/>
      <c r="BF307" s="1052"/>
      <c r="BG307" s="1052"/>
      <c r="BH307" s="1052"/>
      <c r="BI307" s="685"/>
      <c r="BJ307" s="685"/>
    </row>
    <row customHeight="1" ht="14.625" hidden="1">
      <c r="A308" s="892"/>
      <c r="B308" s="443"/>
      <c r="C308" s="892"/>
      <c r="D308" s="892"/>
      <c r="E308" s="684">
        <v>15</v>
      </c>
      <c r="F308" s="1326" cm="1" t="str">
        <f t="array" ref="F308:F308">OFFSET(E308,-1,1)</f>
        <v>3</v>
      </c>
      <c r="G308" s="892"/>
      <c r="H308" s="892"/>
      <c r="I308" s="892"/>
      <c r="J308" s="892"/>
      <c r="K308" s="918"/>
      <c r="L308" s="922"/>
      <c r="M308" s="892"/>
      <c r="N308" s="892"/>
      <c r="O308" s="892"/>
      <c r="P308" s="892"/>
      <c r="Q308" s="892"/>
      <c r="R308" s="892"/>
      <c r="S308" s="892"/>
      <c r="T308" s="1436">
        <f>AND(F308&gt;0,Y307&gt;0)</f>
        <v>0</v>
      </c>
      <c r="U308" s="892"/>
      <c r="V308" s="892"/>
      <c r="W308" s="892"/>
      <c r="X308" s="690"/>
      <c r="Y308" s="1469"/>
      <c r="Z308" s="892"/>
      <c r="AA308" s="3234"/>
      <c r="AB308" s="3204" t="str">
        <f>"7."&amp;Y307</f>
        <v>7.0</v>
      </c>
      <c r="AC308" s="3237"/>
      <c r="AD308" s="3235"/>
      <c r="AE308" s="892"/>
      <c r="AF308" s="892"/>
      <c r="AG308" s="892"/>
      <c r="AH308" s="892"/>
      <c r="AI308" s="892"/>
      <c r="AJ308" s="892"/>
      <c r="AK308" s="892"/>
      <c r="AL308" s="892"/>
      <c r="AM308" s="892"/>
      <c r="AN308" s="892"/>
      <c r="AO308" s="892"/>
      <c r="AP308" s="892"/>
      <c r="AQ308" s="892"/>
      <c r="AR308" s="892"/>
      <c r="AS308" s="892"/>
      <c r="AT308" s="892"/>
      <c r="AU308" s="892"/>
      <c r="AV308" s="892"/>
      <c r="AW308" s="892"/>
      <c r="AX308" s="892"/>
      <c r="AY308" s="892"/>
      <c r="AZ308" s="892"/>
      <c r="BA308" s="892"/>
      <c r="BB308" s="892"/>
      <c r="BC308" s="892"/>
      <c r="BD308" s="892"/>
      <c r="BE308" s="892"/>
      <c r="BF308" s="1052"/>
      <c r="BG308" s="1052"/>
      <c r="BH308" s="1052"/>
      <c r="BI308" s="685"/>
      <c r="BJ308" s="685"/>
    </row>
    <row customHeight="1" ht="14.625" hidden="1">
      <c r="A309" s="892"/>
      <c r="B309" s="443"/>
      <c r="C309" s="892"/>
      <c r="D309" s="892"/>
      <c r="E309" s="684">
        <v>15</v>
      </c>
      <c r="F309" s="1326" cm="1" t="str">
        <f t="array" ref="F309:F309">OFFSET(E309,-1,1)</f>
        <v>3</v>
      </c>
      <c r="G309" s="892"/>
      <c r="H309" s="892"/>
      <c r="I309" s="892"/>
      <c r="J309" s="892"/>
      <c r="K309" s="918"/>
      <c r="L309" s="922"/>
      <c r="M309" s="892"/>
      <c r="N309" s="892"/>
      <c r="O309" s="892"/>
      <c r="P309" s="892"/>
      <c r="Q309" s="892"/>
      <c r="R309" s="892"/>
      <c r="S309" s="892"/>
      <c r="T309" s="1436" cm="1" t="str">
        <f t="array" ref="T309:T309">T308</f>
        <v>false</v>
      </c>
      <c r="U309" s="892"/>
      <c r="V309" s="892"/>
      <c r="W309" s="892"/>
      <c r="X309" s="690"/>
      <c r="Y309" s="1469"/>
      <c r="Z309" s="892"/>
      <c r="AA309" s="3234"/>
      <c r="AB309" s="3204" t="str">
        <f>AB308&amp;".1"</f>
        <v>7.0.1</v>
      </c>
      <c r="AC309" s="3273" t="s">
        <v>1251</v>
      </c>
      <c r="AD309" s="3206" t="s">
        <v>936</v>
      </c>
      <c r="AE309" s="3274"/>
      <c r="AF309" s="3275"/>
      <c r="AG309" s="3274"/>
      <c r="AH309" s="3274"/>
      <c r="AI309" s="3275"/>
      <c r="AJ309" s="3275"/>
      <c r="AK309" s="3275"/>
      <c r="AL309" s="3275"/>
      <c r="AM309" s="3275"/>
      <c r="AN309" s="3275"/>
      <c r="AO309" s="3275"/>
      <c r="AP309" s="3275"/>
      <c r="AQ309" s="3275"/>
      <c r="AR309" s="3275"/>
      <c r="AS309" s="3274"/>
      <c r="AT309" s="3274"/>
      <c r="AU309" s="3274"/>
      <c r="AV309" s="3274"/>
      <c r="AW309" s="3274"/>
      <c r="AX309" s="3274"/>
      <c r="AY309" s="3274"/>
      <c r="AZ309" s="3274"/>
      <c r="BA309" s="3274"/>
      <c r="BB309" s="3274"/>
      <c r="BC309" s="2550"/>
      <c r="BD309" s="892"/>
      <c r="BE309" s="892"/>
      <c r="BF309" s="1049" t="s">
        <v>1252</v>
      </c>
      <c r="BG309" s="1052" t="s">
        <v>1311</v>
      </c>
      <c r="BH309" s="3241" cm="1" t="str">
        <f t="array" ref="BH309:BH309">AC308</f>
        <v>0</v>
      </c>
      <c r="BI309" s="685"/>
      <c r="BJ309" s="685" t="b">
        <v>1</v>
      </c>
    </row>
    <row customHeight="1" ht="14.625" hidden="1">
      <c r="A310" s="892"/>
      <c r="B310" s="443"/>
      <c r="C310" s="892"/>
      <c r="D310" s="892"/>
      <c r="E310" s="684">
        <v>15</v>
      </c>
      <c r="F310" s="1326" cm="1" t="str">
        <f t="array" ref="F310:F310">OFFSET(E310,-1,1)</f>
        <v>3</v>
      </c>
      <c r="G310" s="892"/>
      <c r="H310" s="892"/>
      <c r="I310" s="892"/>
      <c r="J310" s="892"/>
      <c r="K310" s="918"/>
      <c r="L310" s="922"/>
      <c r="M310" s="892"/>
      <c r="N310" s="892"/>
      <c r="O310" s="892"/>
      <c r="P310" s="892"/>
      <c r="Q310" s="892"/>
      <c r="R310" s="892"/>
      <c r="S310" s="892"/>
      <c r="T310" s="1436" cm="1" t="str">
        <f t="array" ref="T310:T310">T309</f>
        <v>false</v>
      </c>
      <c r="U310" s="892"/>
      <c r="V310" s="892"/>
      <c r="W310" s="892"/>
      <c r="X310" s="690"/>
      <c r="Y310" s="1469"/>
      <c r="Z310" s="892"/>
      <c r="AA310" s="3234"/>
      <c r="AB310" s="3204" t="str">
        <f>AB309&amp;".1"</f>
        <v>7.0.1.1</v>
      </c>
      <c r="AC310" s="3215" t="s">
        <v>1312</v>
      </c>
      <c r="AD310" s="3204" t="s">
        <v>657</v>
      </c>
      <c r="AE310" s="3274"/>
      <c r="AF310" s="3275"/>
      <c r="AG310" s="3274"/>
      <c r="AH310" s="3274"/>
      <c r="AI310" s="3275"/>
      <c r="AJ310" s="3275"/>
      <c r="AK310" s="3275"/>
      <c r="AL310" s="3275"/>
      <c r="AM310" s="3275"/>
      <c r="AN310" s="3275"/>
      <c r="AO310" s="3275"/>
      <c r="AP310" s="3275"/>
      <c r="AQ310" s="3275"/>
      <c r="AR310" s="3275"/>
      <c r="AS310" s="3274"/>
      <c r="AT310" s="3274"/>
      <c r="AU310" s="3274"/>
      <c r="AV310" s="3274"/>
      <c r="AW310" s="3274"/>
      <c r="AX310" s="3274"/>
      <c r="AY310" s="3274"/>
      <c r="AZ310" s="3274"/>
      <c r="BA310" s="3274"/>
      <c r="BB310" s="3274"/>
      <c r="BC310" s="2550"/>
      <c r="BD310" s="892"/>
      <c r="BE310" s="892"/>
      <c r="BF310" s="1049" t="s">
        <v>1255</v>
      </c>
      <c r="BG310" s="1052" t="s">
        <v>1311</v>
      </c>
      <c r="BH310" s="3241" cm="1" t="str">
        <f t="array" ref="BH310:BH310">BH309</f>
        <v>0</v>
      </c>
      <c r="BI310" s="685"/>
      <c r="BJ310" s="685"/>
    </row>
    <row customHeight="1" ht="14.625" hidden="1">
      <c r="A311" s="892"/>
      <c r="B311" s="443"/>
      <c r="C311" s="892"/>
      <c r="D311" s="892"/>
      <c r="E311" s="684">
        <v>15</v>
      </c>
      <c r="F311" s="1326" cm="1" t="str">
        <f t="array" ref="F311:F311">OFFSET(E311,-1,1)</f>
        <v>3</v>
      </c>
      <c r="G311" s="892"/>
      <c r="H311" s="892"/>
      <c r="I311" s="892"/>
      <c r="J311" s="892"/>
      <c r="K311" s="918"/>
      <c r="L311" s="922"/>
      <c r="M311" s="892"/>
      <c r="N311" s="892"/>
      <c r="O311" s="892"/>
      <c r="P311" s="892"/>
      <c r="Q311" s="892"/>
      <c r="R311" s="892"/>
      <c r="S311" s="892"/>
      <c r="T311" s="1436" cm="1" t="str">
        <f t="array" ref="T311:T311">T310</f>
        <v>false</v>
      </c>
      <c r="U311" s="892"/>
      <c r="V311" s="892"/>
      <c r="W311" s="892"/>
      <c r="X311" s="690"/>
      <c r="Y311" s="1469"/>
      <c r="Z311" s="892"/>
      <c r="AA311" s="3234"/>
      <c r="AB311" s="3204" t="str">
        <f>AB309&amp;".2"</f>
        <v>7.0.1.2</v>
      </c>
      <c r="AC311" s="3215" t="s">
        <v>1313</v>
      </c>
      <c r="AD311" s="3204" t="s">
        <v>1257</v>
      </c>
      <c r="AE311" s="3274"/>
      <c r="AF311" s="3275"/>
      <c r="AG311" s="3275"/>
      <c r="AH311" s="3274"/>
      <c r="AI311" s="3275"/>
      <c r="AJ311" s="3275"/>
      <c r="AK311" s="3275"/>
      <c r="AL311" s="3275"/>
      <c r="AM311" s="3275"/>
      <c r="AN311" s="3275"/>
      <c r="AO311" s="3275"/>
      <c r="AP311" s="3275"/>
      <c r="AQ311" s="3275"/>
      <c r="AR311" s="3275"/>
      <c r="AS311" s="3275"/>
      <c r="AT311" s="3275"/>
      <c r="AU311" s="3275"/>
      <c r="AV311" s="3275"/>
      <c r="AW311" s="3275"/>
      <c r="AX311" s="3275"/>
      <c r="AY311" s="3275"/>
      <c r="AZ311" s="3275"/>
      <c r="BA311" s="3275"/>
      <c r="BB311" s="3275"/>
      <c r="BC311" s="2550"/>
      <c r="BD311" s="892"/>
      <c r="BE311" s="892"/>
      <c r="BF311" s="1049" t="s">
        <v>1258</v>
      </c>
      <c r="BG311" s="1052" t="s">
        <v>1311</v>
      </c>
      <c r="BH311" s="3241" cm="1" t="str">
        <f t="array" ref="BH311:BH311">BH310</f>
        <v>0</v>
      </c>
      <c r="BI311" s="685"/>
      <c r="BJ311" s="685"/>
    </row>
    <row customHeight="1" ht="14.625">
      <c r="B312" s="443"/>
      <c r="E312" s="684">
        <v>15</v>
      </c>
      <c r="F312" s="1326" cm="1" t="str">
        <f t="array" ref="F312:F312">OFFSET(E312,-1,1)</f>
        <v>3</v>
      </c>
      <c r="G312" s="892"/>
      <c r="K312" s="918"/>
      <c r="L312" s="922"/>
      <c r="T312" s="1436">
        <f>F312&gt;0</f>
        <v>1</v>
      </c>
      <c r="W312" s="691" t="s">
        <v>1314</v>
      </c>
      <c r="X312" s="690"/>
      <c r="Z312" s="892"/>
      <c r="AA312" s="2547"/>
      <c r="AB312" s="4044"/>
      <c r="AC312" s="4045" t="s">
        <v>1260</v>
      </c>
      <c r="AD312" s="4046"/>
      <c r="AE312" s="4047"/>
      <c r="AF312" s="4048"/>
      <c r="AG312" s="4049"/>
      <c r="AH312" s="4050"/>
      <c r="AI312" s="4051"/>
      <c r="AJ312" s="4052"/>
      <c r="AK312" s="4053"/>
      <c r="AL312" s="4054"/>
      <c r="AM312" s="4055"/>
      <c r="AN312" s="4056"/>
      <c r="AO312" s="4057"/>
      <c r="AP312" s="4058"/>
      <c r="AQ312" s="4059"/>
      <c r="AR312" s="4060"/>
      <c r="AS312" s="4061"/>
      <c r="AT312" s="4062"/>
      <c r="AU312" s="4063"/>
      <c r="AV312" s="4064"/>
      <c r="AW312" s="4065"/>
      <c r="AX312" s="4066"/>
      <c r="AY312" s="4067"/>
      <c r="AZ312" s="4068"/>
      <c r="BA312" s="4069"/>
      <c r="BB312" s="4070"/>
      <c r="BC312" s="4071"/>
      <c r="BF312" s="1052"/>
      <c r="BG312" s="1052"/>
      <c r="BH312" s="1052"/>
      <c r="BI312" s="685" t="s">
        <v>1311</v>
      </c>
      <c r="BJ312" s="685"/>
    </row>
    <row s="149" customFormat="1" customHeight="1" ht="0">
      <c r="A313" s="149"/>
      <c r="B313" s="443"/>
      <c r="C313" s="149"/>
      <c r="D313" s="149"/>
      <c r="E313" s="685">
        <v>15</v>
      </c>
      <c r="F313" s="50" cm="1" t="str">
        <f t="array" ref="F313:F313">OFFSET(E313,-1,1)</f>
        <v>3</v>
      </c>
      <c r="G313" s="148" t="s">
        <v>685</v>
      </c>
      <c r="H313" s="149"/>
      <c r="I313" s="149"/>
      <c r="J313" s="149"/>
      <c r="K313" s="918" t="str">
        <f>F260&amp;"8komm"</f>
        <v>38komm</v>
      </c>
      <c r="L313" s="922" cm="1" t="str">
        <f t="array" ref="L313:L313">BC313</f>
        <v>0</v>
      </c>
      <c r="M313" s="149"/>
      <c r="N313" s="149"/>
      <c r="O313" s="149"/>
      <c r="P313" s="149"/>
      <c r="Q313" s="149"/>
      <c r="R313" s="149"/>
      <c r="S313" s="149"/>
      <c r="T313" s="468" cm="1" t="str">
        <f t="array" ref="T313:T313">T306</f>
        <v>true</v>
      </c>
      <c r="U313" s="149"/>
      <c r="V313" s="149"/>
      <c r="W313" s="149"/>
      <c r="X313" s="1469"/>
      <c r="Y313" s="149"/>
      <c r="Z313" s="1592"/>
      <c r="AA313" s="149"/>
      <c r="AB313" s="207">
        <v>8</v>
      </c>
      <c r="AC313" s="208" t="s">
        <v>1315</v>
      </c>
      <c r="AD313" s="207" t="s">
        <v>936</v>
      </c>
      <c r="AE313" s="3231">
        <f>SUMIF($AD316:$AD319,$AD313,AE316:AE319)</f>
        <v>0</v>
      </c>
      <c r="AF313" s="3231">
        <f>SUMIF($AD316:$AD319,$AD313,AF316:AF319)</f>
        <v>0</v>
      </c>
      <c r="AG313" s="3231">
        <f>SUMIF($AD316:$AD319,$AD313,AG316:AG319)</f>
        <v>0</v>
      </c>
      <c r="AH313" s="3231">
        <f>SUMIF($AD316:$AD319,$AD313,AH316:AH319)</f>
        <v>0</v>
      </c>
      <c r="AI313" s="3231">
        <f>SUMIF($AD316:$AD319,$AD313,AI316:AI319)</f>
        <v>0</v>
      </c>
      <c r="AJ313" s="3232">
        <f>SUMIF($AD316:$AD319,$AD313,AJ316:AJ319)</f>
        <v>0</v>
      </c>
      <c r="AK313" s="3232">
        <f>SUMIF($AD316:$AD319,$AD313,AK316:AK319)</f>
        <v>0</v>
      </c>
      <c r="AL313" s="3232">
        <f>SUMIF($AD316:$AD319,$AD313,AL316:AL319)</f>
        <v>0</v>
      </c>
      <c r="AM313" s="3232">
        <f>SUMIF($AD316:$AD319,$AD313,AM316:AM319)</f>
        <v>0</v>
      </c>
      <c r="AN313" s="3232">
        <f>SUMIF($AD316:$AD319,$AD313,AN316:AN319)</f>
        <v>0</v>
      </c>
      <c r="AO313" s="3232">
        <f>SUMIF($AD316:$AD319,$AD313,AO316:AO319)</f>
        <v>0</v>
      </c>
      <c r="AP313" s="3232">
        <f>SUMIF($AD316:$AD319,$AD313,AP316:AP319)</f>
        <v>0</v>
      </c>
      <c r="AQ313" s="3232">
        <f>SUMIF($AD316:$AD319,$AD313,AQ316:AQ319)</f>
        <v>0</v>
      </c>
      <c r="AR313" s="3232">
        <f>SUMIF($AD316:$AD319,$AD313,AR316:AR319)</f>
        <v>0</v>
      </c>
      <c r="AS313" s="3231">
        <f>SUMIF($AD316:$AD319,$AD313,AS316:AS319)</f>
        <v>0</v>
      </c>
      <c r="AT313" s="3232">
        <f>SUMIF($AD316:$AD319,$AD313,AT316:AT319)</f>
        <v>0</v>
      </c>
      <c r="AU313" s="3232">
        <f>SUMIF($AD316:$AD319,$AD313,AU316:AU319)</f>
        <v>0</v>
      </c>
      <c r="AV313" s="3232">
        <f>SUMIF($AD316:$AD319,$AD313,AV316:AV319)</f>
        <v>0</v>
      </c>
      <c r="AW313" s="3232">
        <f>SUMIF($AD316:$AD319,$AD313,AW316:AW319)</f>
        <v>0</v>
      </c>
      <c r="AX313" s="3232">
        <f>SUMIF($AD316:$AD319,$AD313,AX316:AX319)</f>
        <v>0</v>
      </c>
      <c r="AY313" s="3232">
        <f>SUMIF($AD316:$AD319,$AD313,AY316:AY319)</f>
        <v>0</v>
      </c>
      <c r="AZ313" s="3232">
        <f>SUMIF($AD316:$AD319,$AD313,AZ316:AZ319)</f>
        <v>0</v>
      </c>
      <c r="BA313" s="3232">
        <f>SUMIF($AD316:$AD319,$AD313,BA316:BA319)</f>
        <v>0</v>
      </c>
      <c r="BB313" s="3232">
        <f>SUMIF($AD316:$AD319,$AD313,BB316:BB319)</f>
        <v>0</v>
      </c>
      <c r="BC313" s="196"/>
      <c r="BD313" s="149"/>
      <c r="BE313" s="149"/>
      <c r="BF313" s="1052" t="s">
        <v>1316</v>
      </c>
      <c r="BG313" s="1052"/>
      <c r="BH313" s="1052"/>
      <c r="BI313" s="685"/>
      <c r="BJ313" s="685"/>
    </row>
    <row customHeight="1" ht="14.625" hidden="1">
      <c r="A314" s="892"/>
      <c r="B314" s="443"/>
      <c r="C314" s="892"/>
      <c r="D314" s="892"/>
      <c r="E314" s="684">
        <v>15</v>
      </c>
      <c r="F314" s="1326" cm="1" t="str">
        <f t="array" ref="F314:F314">OFFSET(E314,-1,1)</f>
        <v>3</v>
      </c>
      <c r="G314" s="892"/>
      <c r="H314" s="892"/>
      <c r="I314" s="892"/>
      <c r="J314" s="892"/>
      <c r="K314" s="918"/>
      <c r="L314" s="922"/>
      <c r="M314" s="892"/>
      <c r="N314" s="892"/>
      <c r="O314" s="892"/>
      <c r="P314" s="892"/>
      <c r="Q314" s="892"/>
      <c r="R314" s="892"/>
      <c r="S314" s="892"/>
      <c r="T314" s="1436" t="b">
        <v>0</v>
      </c>
      <c r="U314" s="892"/>
      <c r="V314" s="892"/>
      <c r="W314" s="892" t="s">
        <v>173</v>
      </c>
      <c r="X314" s="690"/>
      <c r="Y314" s="1469">
        <v>0</v>
      </c>
      <c r="Z314" s="892"/>
      <c r="AA314" s="3234" t="s">
        <v>174</v>
      </c>
      <c r="AB314" s="3206"/>
      <c r="AC314" s="1489"/>
      <c r="AD314" s="3235"/>
      <c r="AE314" s="3236">
        <f>OR(AND(AE316&lt;&gt;"",AE317=""),AND(AE316="",AE317&lt;&gt;""))</f>
        <v>0</v>
      </c>
      <c r="AF314" s="3236">
        <f>OR(AND(AF316&lt;&gt;"",AF317=""),AND(AF316="",AF317&lt;&gt;""))</f>
        <v>0</v>
      </c>
      <c r="AG314" s="3236">
        <f>OR(AND(AG316&lt;&gt;"",AG317=""),AND(AG316="",AG317&lt;&gt;""))</f>
        <v>0</v>
      </c>
      <c r="AH314" s="3236">
        <f>OR(AND(AH316&lt;&gt;"",AH317=""),AND(AH316="",AH317&lt;&gt;""))</f>
        <v>0</v>
      </c>
      <c r="AI314" s="3236">
        <f>OR(AND(AI316&lt;&gt;"",AI317=""),AND(AI316="",AI317&lt;&gt;""))</f>
        <v>0</v>
      </c>
      <c r="AJ314" s="3236">
        <f>OR(AND(AJ316&lt;&gt;"",AJ317=""),AND(AJ316="",AJ317&lt;&gt;""))</f>
        <v>0</v>
      </c>
      <c r="AK314" s="3236">
        <f>OR(AND(AK316&lt;&gt;"",AK317=""),AND(AK316="",AK317&lt;&gt;""))</f>
        <v>0</v>
      </c>
      <c r="AL314" s="3236">
        <f>OR(AND(AL316&lt;&gt;"",AL317=""),AND(AL316="",AL317&lt;&gt;""))</f>
        <v>0</v>
      </c>
      <c r="AM314" s="3236">
        <f>OR(AND(AM316&lt;&gt;"",AM317=""),AND(AM316="",AM317&lt;&gt;""))</f>
        <v>0</v>
      </c>
      <c r="AN314" s="3236">
        <f>OR(AND(AN316&lt;&gt;"",AN317=""),AND(AN316="",AN317&lt;&gt;""))</f>
        <v>0</v>
      </c>
      <c r="AO314" s="3236">
        <f>OR(AND(AO316&lt;&gt;"",AO317=""),AND(AO316="",AO317&lt;&gt;""))</f>
        <v>0</v>
      </c>
      <c r="AP314" s="3236">
        <f>OR(AND(AP316&lt;&gt;"",AP317=""),AND(AP316="",AP317&lt;&gt;""))</f>
        <v>0</v>
      </c>
      <c r="AQ314" s="3236">
        <f>OR(AND(AQ316&lt;&gt;"",AQ317=""),AND(AQ316="",AQ317&lt;&gt;""))</f>
        <v>0</v>
      </c>
      <c r="AR314" s="3236">
        <f>OR(AND(AR316&lt;&gt;"",AR317=""),AND(AR316="",AR317&lt;&gt;""))</f>
        <v>0</v>
      </c>
      <c r="AS314" s="3236">
        <f>OR(AND(AS316&lt;&gt;"",AS317=""),AND(AS316="",AS317&lt;&gt;""))</f>
        <v>0</v>
      </c>
      <c r="AT314" s="3236">
        <f>OR(AND(AT316&lt;&gt;"",AT317=""),AND(AT316="",AT317&lt;&gt;""))</f>
        <v>0</v>
      </c>
      <c r="AU314" s="3236">
        <f>OR(AND(AU316&lt;&gt;"",AU317=""),AND(AU316="",AU317&lt;&gt;""))</f>
        <v>0</v>
      </c>
      <c r="AV314" s="3236">
        <f>OR(AND(AV316&lt;&gt;"",AV317=""),AND(AV316="",AV317&lt;&gt;""))</f>
        <v>0</v>
      </c>
      <c r="AW314" s="3236">
        <f>OR(AND(AW316&lt;&gt;"",AW317=""),AND(AW316="",AW317&lt;&gt;""))</f>
        <v>0</v>
      </c>
      <c r="AX314" s="3236">
        <f>OR(AND(AX316&lt;&gt;"",AX317=""),AND(AX316="",AX317&lt;&gt;""))</f>
        <v>0</v>
      </c>
      <c r="AY314" s="3236">
        <f>OR(AND(AY316&lt;&gt;"",AY317=""),AND(AY316="",AY317&lt;&gt;""))</f>
        <v>0</v>
      </c>
      <c r="AZ314" s="3236">
        <f>OR(AND(AZ316&lt;&gt;"",AZ317=""),AND(AZ316="",AZ317&lt;&gt;""))</f>
        <v>0</v>
      </c>
      <c r="BA314" s="3236">
        <f>OR(AND(BA316&lt;&gt;"",BA317=""),AND(BA316="",BA317&lt;&gt;""))</f>
        <v>0</v>
      </c>
      <c r="BB314" s="3304">
        <f>OR(AND(BB316&lt;&gt;"",BB317=""),AND(BB316="",BB317&lt;&gt;""))</f>
        <v>0</v>
      </c>
      <c r="BC314" s="3305"/>
      <c r="BD314" s="892"/>
      <c r="BE314" s="892"/>
      <c r="BF314" s="1052"/>
      <c r="BG314" s="1052"/>
      <c r="BH314" s="1052"/>
      <c r="BI314" s="685"/>
      <c r="BJ314" s="685"/>
    </row>
    <row customHeight="1" ht="14.625" hidden="1">
      <c r="A315" s="892"/>
      <c r="B315" s="443"/>
      <c r="C315" s="892"/>
      <c r="D315" s="892"/>
      <c r="E315" s="684">
        <v>15</v>
      </c>
      <c r="F315" s="1326" cm="1" t="str">
        <f t="array" ref="F315:F315">OFFSET(E315,-1,1)</f>
        <v>3</v>
      </c>
      <c r="G315" s="892"/>
      <c r="H315" s="892"/>
      <c r="I315" s="892"/>
      <c r="J315" s="892"/>
      <c r="K315" s="918"/>
      <c r="L315" s="922"/>
      <c r="M315" s="892"/>
      <c r="N315" s="892"/>
      <c r="O315" s="892"/>
      <c r="P315" s="892"/>
      <c r="Q315" s="892"/>
      <c r="R315" s="892"/>
      <c r="S315" s="892"/>
      <c r="T315" s="1436">
        <f>AND(F315&gt;0,Y314&gt;0)</f>
        <v>0</v>
      </c>
      <c r="U315" s="892"/>
      <c r="V315" s="892"/>
      <c r="W315" s="892"/>
      <c r="X315" s="690"/>
      <c r="Y315" s="1469"/>
      <c r="Z315" s="892"/>
      <c r="AA315" s="3234"/>
      <c r="AB315" s="3204" t="str">
        <f>"8."&amp;Y314</f>
        <v>8.0</v>
      </c>
      <c r="AC315" s="3237"/>
      <c r="AD315" s="3235"/>
      <c r="AE315" s="892"/>
      <c r="AF315" s="892"/>
      <c r="AG315" s="892"/>
      <c r="AH315" s="892"/>
      <c r="AI315" s="892"/>
      <c r="AJ315" s="892"/>
      <c r="AK315" s="892"/>
      <c r="AL315" s="892"/>
      <c r="AM315" s="892"/>
      <c r="AN315" s="892"/>
      <c r="AO315" s="892"/>
      <c r="AP315" s="892"/>
      <c r="AQ315" s="892"/>
      <c r="AR315" s="892"/>
      <c r="AS315" s="892"/>
      <c r="AT315" s="892"/>
      <c r="AU315" s="892"/>
      <c r="AV315" s="892"/>
      <c r="AW315" s="892"/>
      <c r="AX315" s="892"/>
      <c r="AY315" s="892"/>
      <c r="AZ315" s="892"/>
      <c r="BA315" s="892"/>
      <c r="BB315" s="892"/>
      <c r="BC315" s="892"/>
      <c r="BD315" s="892"/>
      <c r="BE315" s="892"/>
      <c r="BF315" s="1052"/>
      <c r="BG315" s="1052"/>
      <c r="BH315" s="1052"/>
      <c r="BI315" s="685"/>
      <c r="BJ315" s="685"/>
    </row>
    <row customHeight="1" ht="14.625" hidden="1">
      <c r="A316" s="892"/>
      <c r="B316" s="443"/>
      <c r="C316" s="892"/>
      <c r="D316" s="892"/>
      <c r="E316" s="684">
        <v>15</v>
      </c>
      <c r="F316" s="1326" cm="1" t="str">
        <f t="array" ref="F316:F316">OFFSET(E316,-1,1)</f>
        <v>3</v>
      </c>
      <c r="G316" s="892"/>
      <c r="H316" s="892"/>
      <c r="I316" s="892"/>
      <c r="J316" s="892"/>
      <c r="K316" s="918"/>
      <c r="L316" s="922"/>
      <c r="M316" s="892"/>
      <c r="N316" s="892"/>
      <c r="O316" s="892"/>
      <c r="P316" s="892"/>
      <c r="Q316" s="892"/>
      <c r="R316" s="892"/>
      <c r="S316" s="892"/>
      <c r="T316" s="1436" cm="1" t="str">
        <f t="array" ref="T316:T316">T315</f>
        <v>false</v>
      </c>
      <c r="U316" s="892"/>
      <c r="V316" s="892"/>
      <c r="W316" s="892"/>
      <c r="X316" s="690"/>
      <c r="Y316" s="1469"/>
      <c r="Z316" s="892"/>
      <c r="AA316" s="3234"/>
      <c r="AB316" s="3204" t="str">
        <f>AB315&amp;".1"</f>
        <v>8.0.1</v>
      </c>
      <c r="AC316" s="3273" t="s">
        <v>1251</v>
      </c>
      <c r="AD316" s="3206" t="s">
        <v>936</v>
      </c>
      <c r="AE316" s="3274"/>
      <c r="AF316" s="3275"/>
      <c r="AG316" s="3274"/>
      <c r="AH316" s="3274"/>
      <c r="AI316" s="3275"/>
      <c r="AJ316" s="3275"/>
      <c r="AK316" s="3275"/>
      <c r="AL316" s="3275"/>
      <c r="AM316" s="3275"/>
      <c r="AN316" s="3275"/>
      <c r="AO316" s="3275"/>
      <c r="AP316" s="3275"/>
      <c r="AQ316" s="3275"/>
      <c r="AR316" s="3275"/>
      <c r="AS316" s="3274"/>
      <c r="AT316" s="3274"/>
      <c r="AU316" s="3274"/>
      <c r="AV316" s="3274"/>
      <c r="AW316" s="3274"/>
      <c r="AX316" s="3274"/>
      <c r="AY316" s="3274"/>
      <c r="AZ316" s="3274"/>
      <c r="BA316" s="3274"/>
      <c r="BB316" s="3274"/>
      <c r="BC316" s="3306"/>
      <c r="BD316" s="892"/>
      <c r="BE316" s="892"/>
      <c r="BF316" s="1049" t="s">
        <v>1252</v>
      </c>
      <c r="BG316" s="1052" t="s">
        <v>1317</v>
      </c>
      <c r="BH316" s="3241" cm="1" t="str">
        <f t="array" ref="BH316:BH316">AC315</f>
        <v>0</v>
      </c>
      <c r="BI316" s="685"/>
      <c r="BJ316" s="685" t="b">
        <v>1</v>
      </c>
    </row>
    <row customHeight="1" ht="14.625" hidden="1">
      <c r="A317" s="892"/>
      <c r="B317" s="443"/>
      <c r="C317" s="892"/>
      <c r="D317" s="892"/>
      <c r="E317" s="684">
        <v>15</v>
      </c>
      <c r="F317" s="1326" cm="1" t="str">
        <f t="array" ref="F317:F317">OFFSET(E317,-1,1)</f>
        <v>3</v>
      </c>
      <c r="G317" s="892"/>
      <c r="H317" s="892"/>
      <c r="I317" s="892"/>
      <c r="J317" s="892"/>
      <c r="K317" s="918"/>
      <c r="L317" s="922"/>
      <c r="M317" s="892"/>
      <c r="N317" s="892"/>
      <c r="O317" s="892"/>
      <c r="P317" s="892"/>
      <c r="Q317" s="892"/>
      <c r="R317" s="892"/>
      <c r="S317" s="892"/>
      <c r="T317" s="1436" cm="1" t="str">
        <f t="array" ref="T317:T317">T316</f>
        <v>false</v>
      </c>
      <c r="U317" s="892"/>
      <c r="V317" s="892"/>
      <c r="W317" s="892"/>
      <c r="X317" s="690"/>
      <c r="Y317" s="1469"/>
      <c r="Z317" s="892"/>
      <c r="AA317" s="3234"/>
      <c r="AB317" s="3204" t="str">
        <f>AB316&amp;".1"</f>
        <v>8.0.1.1</v>
      </c>
      <c r="AC317" s="3215" t="s">
        <v>1318</v>
      </c>
      <c r="AD317" s="3204" t="s">
        <v>657</v>
      </c>
      <c r="AE317" s="3274"/>
      <c r="AF317" s="3275"/>
      <c r="AG317" s="3274"/>
      <c r="AH317" s="3274"/>
      <c r="AI317" s="3275"/>
      <c r="AJ317" s="3275"/>
      <c r="AK317" s="3275"/>
      <c r="AL317" s="3275"/>
      <c r="AM317" s="3275"/>
      <c r="AN317" s="3275"/>
      <c r="AO317" s="3275"/>
      <c r="AP317" s="3275"/>
      <c r="AQ317" s="3275"/>
      <c r="AR317" s="3275"/>
      <c r="AS317" s="3274"/>
      <c r="AT317" s="3274"/>
      <c r="AU317" s="3274"/>
      <c r="AV317" s="3274"/>
      <c r="AW317" s="3274"/>
      <c r="AX317" s="3274"/>
      <c r="AY317" s="3274"/>
      <c r="AZ317" s="3274"/>
      <c r="BA317" s="3274"/>
      <c r="BB317" s="3274"/>
      <c r="BC317" s="3306"/>
      <c r="BD317" s="892"/>
      <c r="BE317" s="892"/>
      <c r="BF317" s="1049" t="s">
        <v>1255</v>
      </c>
      <c r="BG317" s="1052" t="s">
        <v>1317</v>
      </c>
      <c r="BH317" s="3241" cm="1" t="str">
        <f t="array" ref="BH317:BH317">BH316</f>
        <v>0</v>
      </c>
      <c r="BI317" s="685"/>
      <c r="BJ317" s="685"/>
    </row>
    <row customHeight="1" ht="14.625" hidden="1">
      <c r="A318" s="892"/>
      <c r="B318" s="443"/>
      <c r="C318" s="892"/>
      <c r="D318" s="892"/>
      <c r="E318" s="684">
        <v>15</v>
      </c>
      <c r="F318" s="1326" cm="1" t="str">
        <f t="array" ref="F318:F318">OFFSET(E318,-1,1)</f>
        <v>3</v>
      </c>
      <c r="G318" s="892"/>
      <c r="H318" s="892"/>
      <c r="I318" s="892"/>
      <c r="J318" s="892"/>
      <c r="K318" s="918"/>
      <c r="L318" s="922"/>
      <c r="M318" s="892"/>
      <c r="N318" s="892"/>
      <c r="O318" s="892"/>
      <c r="P318" s="892"/>
      <c r="Q318" s="892"/>
      <c r="R318" s="892"/>
      <c r="S318" s="892"/>
      <c r="T318" s="1436" cm="1" t="str">
        <f t="array" ref="T318:T318">T317</f>
        <v>false</v>
      </c>
      <c r="U318" s="892"/>
      <c r="V318" s="892"/>
      <c r="W318" s="892"/>
      <c r="X318" s="690"/>
      <c r="Y318" s="1469"/>
      <c r="Z318" s="892"/>
      <c r="AA318" s="3234"/>
      <c r="AB318" s="3204" t="str">
        <f>AB316&amp;".2"</f>
        <v>8.0.1.2</v>
      </c>
      <c r="AC318" s="3215" t="s">
        <v>1319</v>
      </c>
      <c r="AD318" s="3204" t="s">
        <v>1257</v>
      </c>
      <c r="AE318" s="3274"/>
      <c r="AF318" s="3275"/>
      <c r="AG318" s="3275"/>
      <c r="AH318" s="3274"/>
      <c r="AI318" s="3275"/>
      <c r="AJ318" s="3275"/>
      <c r="AK318" s="3275"/>
      <c r="AL318" s="3275"/>
      <c r="AM318" s="3275"/>
      <c r="AN318" s="3275"/>
      <c r="AO318" s="3275"/>
      <c r="AP318" s="3275"/>
      <c r="AQ318" s="3275"/>
      <c r="AR318" s="3275"/>
      <c r="AS318" s="3275"/>
      <c r="AT318" s="3275"/>
      <c r="AU318" s="3275"/>
      <c r="AV318" s="3275"/>
      <c r="AW318" s="3275"/>
      <c r="AX318" s="3275"/>
      <c r="AY318" s="3275"/>
      <c r="AZ318" s="3275"/>
      <c r="BA318" s="3275"/>
      <c r="BB318" s="3307"/>
      <c r="BC318" s="3306"/>
      <c r="BD318" s="892"/>
      <c r="BE318" s="892"/>
      <c r="BF318" s="1049" t="s">
        <v>1258</v>
      </c>
      <c r="BG318" s="1052" t="s">
        <v>1317</v>
      </c>
      <c r="BH318" s="3241" cm="1" t="str">
        <f t="array" ref="BH318:BH318">BH317</f>
        <v>0</v>
      </c>
      <c r="BI318" s="685"/>
      <c r="BJ318" s="685"/>
    </row>
    <row customHeight="1" ht="14.625">
      <c r="B319" s="443"/>
      <c r="E319" s="684">
        <v>15</v>
      </c>
      <c r="F319" s="1326" cm="1" t="str">
        <f t="array" ref="F319:F319">OFFSET(E319,-1,1)</f>
        <v>3</v>
      </c>
      <c r="G319" s="892"/>
      <c r="K319" s="918"/>
      <c r="L319" s="922"/>
      <c r="T319" s="1436">
        <f>F319&gt;0</f>
        <v>1</v>
      </c>
      <c r="W319" s="691" t="s">
        <v>1320</v>
      </c>
      <c r="X319" s="690"/>
      <c r="Z319" s="892"/>
      <c r="AB319" s="4072"/>
      <c r="AC319" s="4073" t="s">
        <v>1260</v>
      </c>
      <c r="AD319" s="4074"/>
      <c r="AE319" s="4075"/>
      <c r="AF319" s="4076"/>
      <c r="AG319" s="4077"/>
      <c r="AH319" s="4078"/>
      <c r="AI319" s="4079"/>
      <c r="AJ319" s="4080"/>
      <c r="AK319" s="4081"/>
      <c r="AL319" s="4082"/>
      <c r="AM319" s="4083"/>
      <c r="AN319" s="4084"/>
      <c r="AO319" s="4085"/>
      <c r="AP319" s="4086"/>
      <c r="AQ319" s="4087"/>
      <c r="AR319" s="4088"/>
      <c r="AS319" s="4089"/>
      <c r="AT319" s="4090"/>
      <c r="AU319" s="4091"/>
      <c r="AV319" s="4092"/>
      <c r="AW319" s="4093"/>
      <c r="AX319" s="4094"/>
      <c r="AY319" s="4095"/>
      <c r="AZ319" s="4096"/>
      <c r="BA319" s="4097"/>
      <c r="BB319" s="4098"/>
      <c r="BC319" s="4099"/>
      <c r="BF319" s="1052"/>
      <c r="BG319" s="1052"/>
      <c r="BH319" s="1052"/>
      <c r="BI319" s="685" t="s">
        <v>1317</v>
      </c>
      <c r="BJ319" s="685"/>
    </row>
    <row s="149" customFormat="1" customHeight="1" ht="0">
      <c r="A320" s="149"/>
      <c r="B320" s="443"/>
      <c r="C320" s="149"/>
      <c r="D320" s="149"/>
      <c r="E320" s="685">
        <v>15</v>
      </c>
      <c r="F320" s="50" cm="1" t="str">
        <f t="array" ref="F320:F320">OFFSET(E320,-1,1)</f>
        <v>3</v>
      </c>
      <c r="G320" s="148"/>
      <c r="H320" s="149"/>
      <c r="I320" s="149"/>
      <c r="J320" s="149"/>
      <c r="K320" s="918" t="str">
        <f>F260&amp;"9komm"</f>
        <v>39komm</v>
      </c>
      <c r="L320" s="922" cm="1" t="str">
        <f t="array" ref="L320:L320">BC320</f>
        <v>0</v>
      </c>
      <c r="M320" s="149"/>
      <c r="N320" s="149"/>
      <c r="O320" s="149"/>
      <c r="P320" s="149"/>
      <c r="Q320" s="149"/>
      <c r="R320" s="149"/>
      <c r="S320" s="149"/>
      <c r="T320" s="468" cm="1" t="str">
        <f t="array" ref="T320:T320">T313</f>
        <v>true</v>
      </c>
      <c r="U320" s="149"/>
      <c r="V320" s="149"/>
      <c r="W320" s="149"/>
      <c r="X320" s="1469"/>
      <c r="Y320" s="149"/>
      <c r="Z320" s="1592"/>
      <c r="AA320" s="149"/>
      <c r="AB320" s="207">
        <v>9</v>
      </c>
      <c r="AC320" s="208" t="s">
        <v>1321</v>
      </c>
      <c r="AD320" s="207" t="s">
        <v>936</v>
      </c>
      <c r="AE320" s="3231">
        <f>SUMIF($AD323:$AD326,$AD320,AE323:AE326)</f>
        <v>0</v>
      </c>
      <c r="AF320" s="3231">
        <f>SUMIF($AD323:$AD326,$AD320,AF323:AF326)</f>
        <v>0</v>
      </c>
      <c r="AG320" s="3231">
        <f>SUMIF($AD323:$AD326,$AD320,AG323:AG326)</f>
        <v>0</v>
      </c>
      <c r="AH320" s="3231">
        <f>SUMIF($AD323:$AD326,$AD320,AH323:AH326)</f>
        <v>0</v>
      </c>
      <c r="AI320" s="3231">
        <f>SUMIF($AD323:$AD326,$AD320,AI323:AI326)</f>
        <v>0</v>
      </c>
      <c r="AJ320" s="3232">
        <f>SUMIF($AD323:$AD326,$AD320,AJ323:AJ326)</f>
        <v>0</v>
      </c>
      <c r="AK320" s="3232">
        <f>SUMIF($AD323:$AD326,$AD320,AK323:AK326)</f>
        <v>0</v>
      </c>
      <c r="AL320" s="3232">
        <f>SUMIF($AD323:$AD326,$AD320,AL323:AL326)</f>
        <v>0</v>
      </c>
      <c r="AM320" s="3232">
        <f>SUMIF($AD323:$AD326,$AD320,AM323:AM326)</f>
        <v>0</v>
      </c>
      <c r="AN320" s="3232">
        <f>SUMIF($AD323:$AD326,$AD320,AN323:AN326)</f>
        <v>0</v>
      </c>
      <c r="AO320" s="3232">
        <f>SUMIF($AD323:$AD326,$AD320,AO323:AO326)</f>
        <v>0</v>
      </c>
      <c r="AP320" s="3232">
        <f>SUMIF($AD323:$AD326,$AD320,AP323:AP326)</f>
        <v>0</v>
      </c>
      <c r="AQ320" s="3232">
        <f>SUMIF($AD323:$AD326,$AD320,AQ323:AQ326)</f>
        <v>0</v>
      </c>
      <c r="AR320" s="3232">
        <f>SUMIF($AD323:$AD326,$AD320,AR323:AR326)</f>
        <v>0</v>
      </c>
      <c r="AS320" s="3231">
        <f>SUMIF($AD323:$AD326,$AD320,AS323:AS326)</f>
        <v>0</v>
      </c>
      <c r="AT320" s="3232">
        <f>SUMIF($AD323:$AD326,$AD320,AT323:AT326)</f>
        <v>0</v>
      </c>
      <c r="AU320" s="3232">
        <f>SUMIF($AD323:$AD326,$AD320,AU323:AU326)</f>
        <v>0</v>
      </c>
      <c r="AV320" s="3232">
        <f>SUMIF($AD323:$AD326,$AD320,AV323:AV326)</f>
        <v>0</v>
      </c>
      <c r="AW320" s="3232">
        <f>SUMIF($AD323:$AD326,$AD320,AW323:AW326)</f>
        <v>0</v>
      </c>
      <c r="AX320" s="3232">
        <f>SUMIF($AD323:$AD326,$AD320,AX323:AX326)</f>
        <v>0</v>
      </c>
      <c r="AY320" s="3232">
        <f>SUMIF($AD323:$AD326,$AD320,AY323:AY326)</f>
        <v>0</v>
      </c>
      <c r="AZ320" s="3232">
        <f>SUMIF($AD323:$AD326,$AD320,AZ323:AZ326)</f>
        <v>0</v>
      </c>
      <c r="BA320" s="3232">
        <f>SUMIF($AD323:$AD326,$AD320,BA323:BA326)</f>
        <v>0</v>
      </c>
      <c r="BB320" s="3232">
        <f>SUMIF($AD323:$AD326,$AD320,BB323:BB326)</f>
        <v>0</v>
      </c>
      <c r="BC320" s="196"/>
      <c r="BD320" s="149"/>
      <c r="BE320" s="149"/>
      <c r="BF320" s="1052" t="s">
        <v>1322</v>
      </c>
      <c r="BG320" s="1052"/>
      <c r="BH320" s="1052"/>
      <c r="BI320" s="685"/>
      <c r="BJ320" s="685"/>
    </row>
    <row customHeight="1" ht="14.625" hidden="1">
      <c r="A321" s="892"/>
      <c r="B321" s="443"/>
      <c r="C321" s="892"/>
      <c r="D321" s="892"/>
      <c r="E321" s="684">
        <v>15</v>
      </c>
      <c r="F321" s="1326" cm="1" t="str">
        <f t="array" ref="F321:F321">OFFSET(E321,-1,1)</f>
        <v>3</v>
      </c>
      <c r="G321" s="892"/>
      <c r="H321" s="892"/>
      <c r="I321" s="892"/>
      <c r="J321" s="892"/>
      <c r="K321" s="918"/>
      <c r="L321" s="922"/>
      <c r="M321" s="892"/>
      <c r="N321" s="892"/>
      <c r="O321" s="892"/>
      <c r="P321" s="892"/>
      <c r="Q321" s="892"/>
      <c r="R321" s="892"/>
      <c r="S321" s="892"/>
      <c r="T321" s="1436" t="b">
        <v>0</v>
      </c>
      <c r="U321" s="892"/>
      <c r="V321" s="892"/>
      <c r="W321" s="892" t="s">
        <v>173</v>
      </c>
      <c r="X321" s="690"/>
      <c r="Y321" s="1469">
        <v>0</v>
      </c>
      <c r="Z321" s="892"/>
      <c r="AA321" s="3234" t="s">
        <v>174</v>
      </c>
      <c r="AB321" s="3206"/>
      <c r="AC321" s="3336"/>
      <c r="AD321" s="3235"/>
      <c r="AE321" s="3236">
        <f>OR(AND(AE323&lt;&gt;"",AE324=""),AND(AE323="",AE324&lt;&gt;""))</f>
        <v>0</v>
      </c>
      <c r="AF321" s="3236">
        <f>OR(AND(AF323&lt;&gt;"",AF324=""),AND(AF323="",AF324&lt;&gt;""))</f>
        <v>0</v>
      </c>
      <c r="AG321" s="3236">
        <f>OR(AND(AG323&lt;&gt;"",AG324=""),AND(AG323="",AG324&lt;&gt;""))</f>
        <v>0</v>
      </c>
      <c r="AH321" s="3236">
        <f>OR(AND(AH323&lt;&gt;"",AH324=""),AND(AH323="",AH324&lt;&gt;""))</f>
        <v>0</v>
      </c>
      <c r="AI321" s="3236">
        <f>OR(AND(AI323&lt;&gt;"",AI324=""),AND(AI323="",AI324&lt;&gt;""))</f>
        <v>0</v>
      </c>
      <c r="AJ321" s="3236">
        <f>OR(AND(AJ323&lt;&gt;"",AJ324=""),AND(AJ323="",AJ324&lt;&gt;""))</f>
        <v>0</v>
      </c>
      <c r="AK321" s="3236">
        <f>OR(AND(AK323&lt;&gt;"",AK324=""),AND(AK323="",AK324&lt;&gt;""))</f>
        <v>0</v>
      </c>
      <c r="AL321" s="3236">
        <f>OR(AND(AL323&lt;&gt;"",AL324=""),AND(AL323="",AL324&lt;&gt;""))</f>
        <v>0</v>
      </c>
      <c r="AM321" s="3236">
        <f>OR(AND(AM323&lt;&gt;"",AM324=""),AND(AM323="",AM324&lt;&gt;""))</f>
        <v>0</v>
      </c>
      <c r="AN321" s="3236">
        <f>OR(AND(AN323&lt;&gt;"",AN324=""),AND(AN323="",AN324&lt;&gt;""))</f>
        <v>0</v>
      </c>
      <c r="AO321" s="3236">
        <f>OR(AND(AO323&lt;&gt;"",AO324=""),AND(AO323="",AO324&lt;&gt;""))</f>
        <v>0</v>
      </c>
      <c r="AP321" s="3236">
        <f>OR(AND(AP323&lt;&gt;"",AP324=""),AND(AP323="",AP324&lt;&gt;""))</f>
        <v>0</v>
      </c>
      <c r="AQ321" s="3236">
        <f>OR(AND(AQ323&lt;&gt;"",AQ324=""),AND(AQ323="",AQ324&lt;&gt;""))</f>
        <v>0</v>
      </c>
      <c r="AR321" s="3236">
        <f>OR(AND(AR323&lt;&gt;"",AR324=""),AND(AR323="",AR324&lt;&gt;""))</f>
        <v>0</v>
      </c>
      <c r="AS321" s="3236">
        <f>OR(AND(AS323&lt;&gt;"",AS324=""),AND(AS323="",AS324&lt;&gt;""))</f>
        <v>0</v>
      </c>
      <c r="AT321" s="3236">
        <f>OR(AND(AT323&lt;&gt;"",AT324=""),AND(AT323="",AT324&lt;&gt;""))</f>
        <v>0</v>
      </c>
      <c r="AU321" s="3236">
        <f>OR(AND(AU323&lt;&gt;"",AU324=""),AND(AU323="",AU324&lt;&gt;""))</f>
        <v>0</v>
      </c>
      <c r="AV321" s="3236">
        <f>OR(AND(AV323&lt;&gt;"",AV324=""),AND(AV323="",AV324&lt;&gt;""))</f>
        <v>0</v>
      </c>
      <c r="AW321" s="3236">
        <f>OR(AND(AW323&lt;&gt;"",AW324=""),AND(AW323="",AW324&lt;&gt;""))</f>
        <v>0</v>
      </c>
      <c r="AX321" s="3236">
        <f>OR(AND(AX323&lt;&gt;"",AX324=""),AND(AX323="",AX324&lt;&gt;""))</f>
        <v>0</v>
      </c>
      <c r="AY321" s="3236">
        <f>OR(AND(AY323&lt;&gt;"",AY324=""),AND(AY323="",AY324&lt;&gt;""))</f>
        <v>0</v>
      </c>
      <c r="AZ321" s="3236">
        <f>OR(AND(AZ323&lt;&gt;"",AZ324=""),AND(AZ323="",AZ324&lt;&gt;""))</f>
        <v>0</v>
      </c>
      <c r="BA321" s="3236">
        <f>OR(AND(BA323&lt;&gt;"",BA324=""),AND(BA323="",BA324&lt;&gt;""))</f>
        <v>0</v>
      </c>
      <c r="BB321" s="3304">
        <f>OR(AND(BB323&lt;&gt;"",BB324=""),AND(BB323="",BB324&lt;&gt;""))</f>
        <v>0</v>
      </c>
      <c r="BC321" s="3305"/>
      <c r="BD321" s="892"/>
      <c r="BE321" s="892"/>
      <c r="BF321" s="1052"/>
      <c r="BG321" s="1052"/>
      <c r="BH321" s="1052"/>
      <c r="BI321" s="685"/>
      <c r="BJ321" s="685"/>
    </row>
    <row customHeight="1" ht="14.625" hidden="1">
      <c r="A322" s="892"/>
      <c r="B322" s="443"/>
      <c r="C322" s="892"/>
      <c r="D322" s="892"/>
      <c r="E322" s="684">
        <v>15</v>
      </c>
      <c r="F322" s="1326" cm="1" t="str">
        <f t="array" ref="F322:F322">OFFSET(E322,-1,1)</f>
        <v>3</v>
      </c>
      <c r="G322" s="892"/>
      <c r="H322" s="892"/>
      <c r="I322" s="892"/>
      <c r="J322" s="892"/>
      <c r="K322" s="918"/>
      <c r="L322" s="922"/>
      <c r="M322" s="892"/>
      <c r="N322" s="892"/>
      <c r="O322" s="892"/>
      <c r="P322" s="892"/>
      <c r="Q322" s="892"/>
      <c r="R322" s="892"/>
      <c r="S322" s="892"/>
      <c r="T322" s="1436">
        <f>AND(F322&gt;0,Y321&gt;0)</f>
        <v>0</v>
      </c>
      <c r="U322" s="892"/>
      <c r="V322" s="892"/>
      <c r="W322" s="892"/>
      <c r="X322" s="690"/>
      <c r="Y322" s="1469"/>
      <c r="Z322" s="892"/>
      <c r="AA322" s="3234"/>
      <c r="AB322" s="3204" t="str">
        <f>"9."&amp;Y321</f>
        <v>9.0</v>
      </c>
      <c r="AC322" s="3337"/>
      <c r="AD322" s="3235"/>
      <c r="AE322" s="892"/>
      <c r="AF322" s="892"/>
      <c r="AG322" s="892"/>
      <c r="AH322" s="892"/>
      <c r="AI322" s="892"/>
      <c r="AJ322" s="892"/>
      <c r="AK322" s="892"/>
      <c r="AL322" s="892"/>
      <c r="AM322" s="892"/>
      <c r="AN322" s="892"/>
      <c r="AO322" s="892"/>
      <c r="AP322" s="892"/>
      <c r="AQ322" s="892"/>
      <c r="AR322" s="892"/>
      <c r="AS322" s="892"/>
      <c r="AT322" s="892"/>
      <c r="AU322" s="892"/>
      <c r="AV322" s="892"/>
      <c r="AW322" s="892"/>
      <c r="AX322" s="892"/>
      <c r="AY322" s="892"/>
      <c r="AZ322" s="892"/>
      <c r="BA322" s="892"/>
      <c r="BB322" s="892"/>
      <c r="BC322" s="892"/>
      <c r="BD322" s="892"/>
      <c r="BE322" s="892"/>
      <c r="BF322" s="1052"/>
      <c r="BG322" s="1052"/>
      <c r="BH322" s="1052"/>
      <c r="BI322" s="685"/>
      <c r="BJ322" s="685"/>
    </row>
    <row customHeight="1" ht="14.625" hidden="1">
      <c r="A323" s="892"/>
      <c r="B323" s="443"/>
      <c r="C323" s="892"/>
      <c r="D323" s="892"/>
      <c r="E323" s="684">
        <v>15</v>
      </c>
      <c r="F323" s="1326" cm="1" t="str">
        <f t="array" ref="F323:F323">OFFSET(E323,-1,1)</f>
        <v>3</v>
      </c>
      <c r="G323" s="892"/>
      <c r="H323" s="892"/>
      <c r="I323" s="892"/>
      <c r="J323" s="892"/>
      <c r="K323" s="918"/>
      <c r="L323" s="922"/>
      <c r="M323" s="892"/>
      <c r="N323" s="892"/>
      <c r="O323" s="892"/>
      <c r="P323" s="892"/>
      <c r="Q323" s="892"/>
      <c r="R323" s="892"/>
      <c r="S323" s="892"/>
      <c r="T323" s="1436" cm="1" t="str">
        <f t="array" ref="T323:T323">T322</f>
        <v>false</v>
      </c>
      <c r="U323" s="892"/>
      <c r="V323" s="892"/>
      <c r="W323" s="892"/>
      <c r="X323" s="690"/>
      <c r="Y323" s="1469"/>
      <c r="Z323" s="892"/>
      <c r="AA323" s="3234"/>
      <c r="AB323" s="3204" t="str">
        <f>AB322&amp;".1"</f>
        <v>9.0.1</v>
      </c>
      <c r="AC323" s="3273" t="s">
        <v>1251</v>
      </c>
      <c r="AD323" s="3206" t="s">
        <v>936</v>
      </c>
      <c r="AE323" s="3274"/>
      <c r="AF323" s="3275"/>
      <c r="AG323" s="3274"/>
      <c r="AH323" s="3274"/>
      <c r="AI323" s="3275"/>
      <c r="AJ323" s="3275"/>
      <c r="AK323" s="3275"/>
      <c r="AL323" s="3275"/>
      <c r="AM323" s="3275"/>
      <c r="AN323" s="3275"/>
      <c r="AO323" s="3275"/>
      <c r="AP323" s="3275"/>
      <c r="AQ323" s="3275"/>
      <c r="AR323" s="3275"/>
      <c r="AS323" s="3274"/>
      <c r="AT323" s="3274"/>
      <c r="AU323" s="3274"/>
      <c r="AV323" s="3274"/>
      <c r="AW323" s="3274"/>
      <c r="AX323" s="3274"/>
      <c r="AY323" s="3274"/>
      <c r="AZ323" s="3274"/>
      <c r="BA323" s="3274"/>
      <c r="BB323" s="3274"/>
      <c r="BC323" s="3306"/>
      <c r="BD323" s="892"/>
      <c r="BE323" s="892"/>
      <c r="BF323" s="1049" t="s">
        <v>1252</v>
      </c>
      <c r="BG323" s="1052" t="s">
        <v>1323</v>
      </c>
      <c r="BH323" s="3241" cm="1" t="str">
        <f t="array" ref="BH323:BH323">AC322</f>
        <v>0</v>
      </c>
      <c r="BI323" s="685"/>
      <c r="BJ323" s="685" t="b">
        <v>1</v>
      </c>
    </row>
    <row customHeight="1" ht="14.625" hidden="1">
      <c r="A324" s="892"/>
      <c r="B324" s="443"/>
      <c r="C324" s="892"/>
      <c r="D324" s="892"/>
      <c r="E324" s="684">
        <v>15</v>
      </c>
      <c r="F324" s="1326" cm="1" t="str">
        <f t="array" ref="F324:F324">OFFSET(E324,-1,1)</f>
        <v>3</v>
      </c>
      <c r="G324" s="892"/>
      <c r="H324" s="892"/>
      <c r="I324" s="892"/>
      <c r="J324" s="892"/>
      <c r="K324" s="918"/>
      <c r="L324" s="922"/>
      <c r="M324" s="892"/>
      <c r="N324" s="892"/>
      <c r="O324" s="892"/>
      <c r="P324" s="892"/>
      <c r="Q324" s="892"/>
      <c r="R324" s="892"/>
      <c r="S324" s="892"/>
      <c r="T324" s="1436" cm="1" t="str">
        <f t="array" ref="T324:T324">T323</f>
        <v>false</v>
      </c>
      <c r="U324" s="892"/>
      <c r="V324" s="892"/>
      <c r="W324" s="892"/>
      <c r="X324" s="690"/>
      <c r="Y324" s="1469"/>
      <c r="Z324" s="892"/>
      <c r="AA324" s="3234"/>
      <c r="AB324" s="3204" t="str">
        <f>AB323&amp;".1"</f>
        <v>9.0.1.1</v>
      </c>
      <c r="AC324" s="3215" t="s">
        <v>1324</v>
      </c>
      <c r="AD324" s="3204"/>
      <c r="AE324" s="3274"/>
      <c r="AF324" s="3275"/>
      <c r="AG324" s="3274"/>
      <c r="AH324" s="3274"/>
      <c r="AI324" s="3275"/>
      <c r="AJ324" s="3275"/>
      <c r="AK324" s="3275"/>
      <c r="AL324" s="3275"/>
      <c r="AM324" s="3275"/>
      <c r="AN324" s="3275"/>
      <c r="AO324" s="3275"/>
      <c r="AP324" s="3275"/>
      <c r="AQ324" s="3275"/>
      <c r="AR324" s="3275"/>
      <c r="AS324" s="3274"/>
      <c r="AT324" s="3274"/>
      <c r="AU324" s="3274"/>
      <c r="AV324" s="3274"/>
      <c r="AW324" s="3274"/>
      <c r="AX324" s="3274"/>
      <c r="AY324" s="3274"/>
      <c r="AZ324" s="3274"/>
      <c r="BA324" s="3274"/>
      <c r="BB324" s="3274"/>
      <c r="BC324" s="3306"/>
      <c r="BD324" s="892"/>
      <c r="BE324" s="892"/>
      <c r="BF324" s="1049" t="s">
        <v>1255</v>
      </c>
      <c r="BG324" s="1052" t="s">
        <v>1323</v>
      </c>
      <c r="BH324" s="3241" cm="1" t="str">
        <f t="array" ref="BH324:BH324">BH323</f>
        <v>0</v>
      </c>
      <c r="BI324" s="685"/>
      <c r="BJ324" s="685"/>
    </row>
    <row customHeight="1" ht="14.625" hidden="1">
      <c r="A325" s="892"/>
      <c r="B325" s="443"/>
      <c r="C325" s="892"/>
      <c r="D325" s="892"/>
      <c r="E325" s="684">
        <v>15</v>
      </c>
      <c r="F325" s="1326" cm="1" t="str">
        <f t="array" ref="F325:F325">OFFSET(E325,-1,1)</f>
        <v>3</v>
      </c>
      <c r="G325" s="892"/>
      <c r="H325" s="892"/>
      <c r="I325" s="892"/>
      <c r="J325" s="892"/>
      <c r="K325" s="918"/>
      <c r="L325" s="922"/>
      <c r="M325" s="892"/>
      <c r="N325" s="892"/>
      <c r="O325" s="892"/>
      <c r="P325" s="892"/>
      <c r="Q325" s="892"/>
      <c r="R325" s="892"/>
      <c r="S325" s="892"/>
      <c r="T325" s="1436" cm="1" t="str">
        <f t="array" ref="T325:T325">T324</f>
        <v>false</v>
      </c>
      <c r="U325" s="892"/>
      <c r="V325" s="892"/>
      <c r="W325" s="892"/>
      <c r="X325" s="690"/>
      <c r="Y325" s="1469"/>
      <c r="Z325" s="892"/>
      <c r="AA325" s="3234"/>
      <c r="AB325" s="3204" t="str">
        <f>AB323&amp;".2"</f>
        <v>9.0.1.2</v>
      </c>
      <c r="AC325" s="3215" t="s">
        <v>1325</v>
      </c>
      <c r="AD325" s="3204"/>
      <c r="AE325" s="3274"/>
      <c r="AF325" s="3275"/>
      <c r="AG325" s="3275"/>
      <c r="AH325" s="3274"/>
      <c r="AI325" s="3275"/>
      <c r="AJ325" s="3275"/>
      <c r="AK325" s="3275"/>
      <c r="AL325" s="3275"/>
      <c r="AM325" s="3275"/>
      <c r="AN325" s="3275"/>
      <c r="AO325" s="3275"/>
      <c r="AP325" s="3275"/>
      <c r="AQ325" s="3275"/>
      <c r="AR325" s="3275"/>
      <c r="AS325" s="3275"/>
      <c r="AT325" s="3275"/>
      <c r="AU325" s="3275"/>
      <c r="AV325" s="3275"/>
      <c r="AW325" s="3275"/>
      <c r="AX325" s="3275"/>
      <c r="AY325" s="3275"/>
      <c r="AZ325" s="3275"/>
      <c r="BA325" s="3275"/>
      <c r="BB325" s="3307"/>
      <c r="BC325" s="3306"/>
      <c r="BD325" s="892"/>
      <c r="BE325" s="892"/>
      <c r="BF325" s="1049" t="s">
        <v>1258</v>
      </c>
      <c r="BG325" s="1052" t="s">
        <v>1323</v>
      </c>
      <c r="BH325" s="3241" cm="1" t="str">
        <f t="array" ref="BH325:BH325">BH324</f>
        <v>0</v>
      </c>
      <c r="BI325" s="685"/>
      <c r="BJ325" s="685"/>
    </row>
    <row customHeight="1" ht="14.625">
      <c r="B326" s="443"/>
      <c r="E326" s="684">
        <v>15</v>
      </c>
      <c r="F326" s="1326" cm="1" t="str">
        <f t="array" ref="F326:F326">OFFSET(E326,-1,1)</f>
        <v>3</v>
      </c>
      <c r="G326" s="892"/>
      <c r="K326" s="918"/>
      <c r="L326" s="922"/>
      <c r="T326" s="1436">
        <f>F326&gt;0</f>
        <v>1</v>
      </c>
      <c r="W326" s="691" t="s">
        <v>1326</v>
      </c>
      <c r="X326" s="690"/>
      <c r="Z326" s="892"/>
      <c r="AB326" s="4100"/>
      <c r="AC326" s="4101" t="s">
        <v>1260</v>
      </c>
      <c r="AD326" s="4102"/>
      <c r="AE326" s="4103"/>
      <c r="AF326" s="4104"/>
      <c r="AG326" s="4105"/>
      <c r="AH326" s="4106"/>
      <c r="AI326" s="4107"/>
      <c r="AJ326" s="4108"/>
      <c r="AK326" s="4109"/>
      <c r="AL326" s="4110"/>
      <c r="AM326" s="4111"/>
      <c r="AN326" s="4112"/>
      <c r="AO326" s="4113"/>
      <c r="AP326" s="4114"/>
      <c r="AQ326" s="4115"/>
      <c r="AR326" s="4116"/>
      <c r="AS326" s="4117"/>
      <c r="AT326" s="4118"/>
      <c r="AU326" s="4119"/>
      <c r="AV326" s="4120"/>
      <c r="AW326" s="4121"/>
      <c r="AX326" s="4122"/>
      <c r="AY326" s="4123"/>
      <c r="AZ326" s="4124"/>
      <c r="BA326" s="4125"/>
      <c r="BB326" s="4126"/>
      <c r="BC326" s="4127"/>
      <c r="BF326" s="1052"/>
      <c r="BG326" s="1052"/>
      <c r="BH326" s="1052"/>
      <c r="BI326" s="685" t="s">
        <v>1323</v>
      </c>
      <c r="BJ326" s="685"/>
    </row>
    <row customHeight="1" ht="10.2375">
      <c r="E327" s="684">
        <v>10.5</v>
      </c>
      <c r="U327" s="145" t="s">
        <v>177</v>
      </c>
      <c r="V327" s="136" t="s">
        <v>1339</v>
      </c>
      <c r="AI327" s="892"/>
      <c r="AJ327" s="892"/>
      <c r="AK327" s="892"/>
      <c r="AL327" s="892"/>
      <c r="AM327" s="892"/>
      <c r="AN327" s="892"/>
      <c r="AO327" s="892"/>
      <c r="AP327" s="892"/>
      <c r="AQ327" s="892"/>
      <c r="AR327" s="892"/>
      <c r="AS327" s="892"/>
      <c r="AT327" s="892"/>
      <c r="AU327" s="892"/>
      <c r="AV327" s="892"/>
      <c r="AW327" s="892"/>
      <c r="AX327" s="892"/>
      <c r="AY327" s="892"/>
      <c r="AZ327" s="892"/>
      <c r="BA327" s="892"/>
      <c r="BB327" s="892"/>
    </row>
    <row customHeight="1" ht="14.625">
      <c r="E328" s="684">
        <v>15</v>
      </c>
      <c r="AA328" s="94"/>
      <c r="AB328" s="1553" t="s">
        <v>420</v>
      </c>
      <c r="AC328" s="1553"/>
      <c r="AD328" s="1553"/>
      <c r="AE328" s="1553"/>
      <c r="AF328" s="1553"/>
      <c r="AG328" s="1553"/>
      <c r="AH328" s="1553"/>
      <c r="AI328" s="1561"/>
      <c r="AJ328" s="1561"/>
      <c r="AK328" s="1561"/>
      <c r="AL328" s="1561"/>
      <c r="AM328" s="1561"/>
      <c r="AN328" s="1561"/>
      <c r="AO328" s="1561"/>
      <c r="AP328" s="1561"/>
      <c r="AQ328" s="1561"/>
      <c r="AR328" s="1561"/>
      <c r="AS328" s="1561"/>
      <c r="AT328" s="1561"/>
      <c r="AU328" s="1561"/>
      <c r="AV328" s="1561"/>
      <c r="AW328" s="1561"/>
      <c r="AX328" s="1561"/>
      <c r="AY328" s="1561"/>
      <c r="AZ328" s="1561"/>
      <c r="BA328" s="1561"/>
      <c r="BB328" s="1561"/>
      <c r="BC328" s="1561"/>
      <c r="BD328" s="94"/>
    </row>
    <row customHeight="1" ht="38.56534090909091">
      <c r="E329" s="684">
        <v>15</v>
      </c>
      <c r="AA329" s="667"/>
      <c r="AB329" s="1562" t="s">
        <v>1340</v>
      </c>
      <c r="AC329" s="1562"/>
      <c r="AD329" s="1562"/>
      <c r="AE329" s="1562"/>
      <c r="AF329" s="1562"/>
      <c r="AG329" s="1562"/>
      <c r="AH329" s="1562"/>
      <c r="AI329" s="1563"/>
      <c r="AJ329" s="3116"/>
      <c r="AK329" s="3116"/>
      <c r="AL329" s="3116"/>
      <c r="AM329" s="3116"/>
      <c r="AN329" s="3116"/>
      <c r="AO329" s="3116"/>
      <c r="AP329" s="3116"/>
      <c r="AQ329" s="3116"/>
      <c r="AR329" s="3116"/>
      <c r="AS329" s="1563"/>
      <c r="AT329" s="3116"/>
      <c r="AU329" s="3116"/>
      <c r="AV329" s="3116"/>
      <c r="AW329" s="3116"/>
      <c r="AX329" s="3116"/>
      <c r="AY329" s="3116"/>
      <c r="AZ329" s="3116"/>
      <c r="BA329" s="3116"/>
      <c r="BB329" s="3116"/>
      <c r="BC329" s="1563"/>
      <c r="BD329" s="94"/>
    </row>
    <row customHeight="1" ht="14.625" hidden="1">
      <c r="A330" s="892"/>
      <c r="B330" s="442"/>
      <c r="C330" s="892"/>
      <c r="D330" s="892"/>
      <c r="E330" s="684">
        <v>15</v>
      </c>
      <c r="F330" s="892"/>
      <c r="G330" s="892"/>
      <c r="H330" s="892"/>
      <c r="I330" s="892"/>
      <c r="J330" s="892"/>
      <c r="K330" s="918"/>
      <c r="L330" s="892"/>
      <c r="M330" s="892"/>
      <c r="N330" s="892"/>
      <c r="O330" s="892"/>
      <c r="P330" s="892"/>
      <c r="Q330" s="892"/>
      <c r="R330" s="892"/>
      <c r="S330" s="892"/>
      <c r="T330" s="468">
        <f>ROW(W330)&gt;ROW(W$330)</f>
        <v>0</v>
      </c>
      <c r="U330" s="892"/>
      <c r="V330" s="892"/>
      <c r="W330" s="764" t="s">
        <v>173</v>
      </c>
      <c r="X330" s="892"/>
      <c r="Y330" s="892"/>
      <c r="Z330" s="892"/>
      <c r="AA330" s="678" t="s">
        <v>174</v>
      </c>
      <c r="AB330" s="3117" t="s">
        <v>240</v>
      </c>
      <c r="AC330" s="3117"/>
      <c r="AD330" s="3117"/>
      <c r="AE330" s="3117"/>
      <c r="AF330" s="3117"/>
      <c r="AG330" s="3117"/>
      <c r="AH330" s="3117"/>
      <c r="AI330" s="1563"/>
      <c r="AJ330" s="3116"/>
      <c r="AK330" s="3116"/>
      <c r="AL330" s="3116"/>
      <c r="AM330" s="3116"/>
      <c r="AN330" s="3116"/>
      <c r="AO330" s="3116"/>
      <c r="AP330" s="3116"/>
      <c r="AQ330" s="3116"/>
      <c r="AR330" s="3116"/>
      <c r="AS330" s="1563"/>
      <c r="AT330" s="3116"/>
      <c r="AU330" s="3116"/>
      <c r="AV330" s="3116"/>
      <c r="AW330" s="3116"/>
      <c r="AX330" s="3116"/>
      <c r="AY330" s="3116"/>
      <c r="AZ330" s="3116"/>
      <c r="BA330" s="3116"/>
      <c r="BB330" s="3116"/>
      <c r="BC330" s="3116"/>
      <c r="BD330" s="94"/>
      <c r="BE330" s="892"/>
      <c r="BF330" s="1049"/>
      <c r="BG330" s="1049"/>
      <c r="BH330" s="1049"/>
      <c r="BI330" s="684"/>
      <c r="BJ330" s="684"/>
    </row>
    <row s="1656" customFormat="1" customHeight="1" ht="39.92897727272727">
      <c r="A331" s="892"/>
      <c r="B331" s="442"/>
      <c r="C331" s="892"/>
      <c r="D331" s="892"/>
      <c r="E331" s="684">
        <v>15</v>
      </c>
      <c r="F331" s="892"/>
      <c r="G331" s="892"/>
      <c r="H331" s="892"/>
      <c r="I331" s="892"/>
      <c r="J331" s="892"/>
      <c r="K331" s="918"/>
      <c r="L331" s="892"/>
      <c r="M331" s="892"/>
      <c r="N331" s="892"/>
      <c r="O331" s="892"/>
      <c r="P331" s="892"/>
      <c r="Q331" s="892"/>
      <c r="R331" s="892"/>
      <c r="S331" s="892"/>
      <c r="T331" s="468">
        <f>ROW(W331)&gt;ROW(W$330)</f>
        <v>1</v>
      </c>
      <c r="U331" s="892"/>
      <c r="V331" s="892"/>
      <c r="W331" s="764"/>
      <c r="X331" s="892"/>
      <c r="Y331" s="892" t="s">
        <v>240</v>
      </c>
      <c r="Z331" s="892"/>
      <c r="AA331" s="678" t="s">
        <v>174</v>
      </c>
      <c r="AB331" s="1562" t="s">
        <v>1341</v>
      </c>
      <c r="AC331" s="1562"/>
      <c r="AD331" s="1562"/>
      <c r="AE331" s="1562"/>
      <c r="AF331" s="1562"/>
      <c r="AG331" s="1562"/>
      <c r="AH331" s="1562"/>
      <c r="AI331" s="1563"/>
      <c r="AJ331" s="3116"/>
      <c r="AK331" s="3116"/>
      <c r="AL331" s="1563"/>
      <c r="AM331" s="1563"/>
      <c r="AN331" s="1563"/>
      <c r="AO331" s="1563"/>
      <c r="AP331" s="1563"/>
      <c r="AQ331" s="1563"/>
      <c r="AR331" s="1563"/>
      <c r="AS331" s="1563"/>
      <c r="AT331" s="3116"/>
      <c r="AU331" s="3116"/>
      <c r="AV331" s="1563"/>
      <c r="AW331" s="1563"/>
      <c r="AX331" s="1563"/>
      <c r="AY331" s="1563"/>
      <c r="AZ331" s="1563"/>
      <c r="BA331" s="1563"/>
      <c r="BB331" s="1563"/>
      <c r="BC331" s="1563"/>
      <c r="BD331" s="94"/>
      <c r="BE331" s="892"/>
      <c r="BF331" s="1049"/>
      <c r="BG331" s="1049"/>
      <c r="BH331" s="1049"/>
      <c r="BI331" s="684"/>
      <c r="BJ331" s="684"/>
    </row>
    <row s="1656" customFormat="1" customHeight="1" ht="50.15625">
      <c r="A332" s="892"/>
      <c r="B332" s="442"/>
      <c r="C332" s="892"/>
      <c r="D332" s="892"/>
      <c r="E332" s="684">
        <v>15</v>
      </c>
      <c r="F332" s="892"/>
      <c r="G332" s="892"/>
      <c r="H332" s="892"/>
      <c r="I332" s="892"/>
      <c r="J332" s="892"/>
      <c r="K332" s="918"/>
      <c r="L332" s="892"/>
      <c r="M332" s="892"/>
      <c r="N332" s="892"/>
      <c r="O332" s="892"/>
      <c r="P332" s="892"/>
      <c r="Q332" s="892"/>
      <c r="R332" s="892"/>
      <c r="S332" s="892"/>
      <c r="T332" s="468">
        <f>ROW(W332)&gt;ROW(W$330)</f>
        <v>1</v>
      </c>
      <c r="U332" s="892"/>
      <c r="V332" s="892"/>
      <c r="W332" s="764"/>
      <c r="X332" s="892"/>
      <c r="Y332" s="892" t="s">
        <v>240</v>
      </c>
      <c r="Z332" s="892"/>
      <c r="AA332" s="678" t="s">
        <v>174</v>
      </c>
      <c r="AB332" s="1562" t="s">
        <v>1342</v>
      </c>
      <c r="AC332" s="1562"/>
      <c r="AD332" s="1562"/>
      <c r="AE332" s="1562"/>
      <c r="AF332" s="1562"/>
      <c r="AG332" s="1562"/>
      <c r="AH332" s="1562"/>
      <c r="AI332" s="1563"/>
      <c r="AJ332" s="3116"/>
      <c r="AK332" s="3116"/>
      <c r="AL332" s="1563"/>
      <c r="AM332" s="1563"/>
      <c r="AN332" s="1563"/>
      <c r="AO332" s="1563"/>
      <c r="AP332" s="1563"/>
      <c r="AQ332" s="1563"/>
      <c r="AR332" s="1563"/>
      <c r="AS332" s="1563"/>
      <c r="AT332" s="3116"/>
      <c r="AU332" s="3116"/>
      <c r="AV332" s="1563"/>
      <c r="AW332" s="1563"/>
      <c r="AX332" s="1563"/>
      <c r="AY332" s="1563"/>
      <c r="AZ332" s="1563"/>
      <c r="BA332" s="1563"/>
      <c r="BB332" s="1563"/>
      <c r="BC332" s="1563"/>
      <c r="BD332" s="94"/>
      <c r="BE332" s="892"/>
      <c r="BF332" s="1049"/>
      <c r="BG332" s="1049"/>
      <c r="BH332" s="1049"/>
      <c r="BI332" s="684"/>
      <c r="BJ332" s="684"/>
    </row>
    <row s="1656" customFormat="1" customHeight="1" ht="30.383522727272723">
      <c r="A333" s="892"/>
      <c r="B333" s="442"/>
      <c r="C333" s="892"/>
      <c r="D333" s="892"/>
      <c r="E333" s="684">
        <v>15</v>
      </c>
      <c r="F333" s="892"/>
      <c r="G333" s="892"/>
      <c r="H333" s="892"/>
      <c r="I333" s="892"/>
      <c r="J333" s="892"/>
      <c r="K333" s="918"/>
      <c r="L333" s="892"/>
      <c r="M333" s="892"/>
      <c r="N333" s="892"/>
      <c r="O333" s="892"/>
      <c r="P333" s="892"/>
      <c r="Q333" s="892"/>
      <c r="R333" s="892"/>
      <c r="S333" s="892"/>
      <c r="T333" s="468">
        <f>ROW(W333)&gt;ROW(W$330)</f>
        <v>1</v>
      </c>
      <c r="U333" s="892"/>
      <c r="V333" s="892"/>
      <c r="W333" s="764"/>
      <c r="X333" s="892"/>
      <c r="Y333" s="892" t="s">
        <v>240</v>
      </c>
      <c r="Z333" s="892"/>
      <c r="AA333" s="678" t="s">
        <v>174</v>
      </c>
      <c r="AB333" s="1562" t="s">
        <v>1343</v>
      </c>
      <c r="AC333" s="1562"/>
      <c r="AD333" s="1562"/>
      <c r="AE333" s="1562"/>
      <c r="AF333" s="1562"/>
      <c r="AG333" s="1562"/>
      <c r="AH333" s="1562"/>
      <c r="AI333" s="1563"/>
      <c r="AJ333" s="3116"/>
      <c r="AK333" s="3116"/>
      <c r="AL333" s="1563"/>
      <c r="AM333" s="1563"/>
      <c r="AN333" s="1563"/>
      <c r="AO333" s="1563"/>
      <c r="AP333" s="1563"/>
      <c r="AQ333" s="1563"/>
      <c r="AR333" s="1563"/>
      <c r="AS333" s="1563"/>
      <c r="AT333" s="3116"/>
      <c r="AU333" s="3116"/>
      <c r="AV333" s="1563"/>
      <c r="AW333" s="1563"/>
      <c r="AX333" s="1563"/>
      <c r="AY333" s="1563"/>
      <c r="AZ333" s="1563"/>
      <c r="BA333" s="1563"/>
      <c r="BB333" s="1563"/>
      <c r="BC333" s="1563"/>
      <c r="BD333" s="94"/>
      <c r="BE333" s="892"/>
      <c r="BF333" s="1049"/>
      <c r="BG333" s="1049"/>
      <c r="BH333" s="1049"/>
      <c r="BI333" s="684"/>
      <c r="BJ333" s="684"/>
    </row>
    <row s="1656" customFormat="1" customHeight="1" ht="39.247159090909086">
      <c r="A334" s="892"/>
      <c r="B334" s="442"/>
      <c r="C334" s="892"/>
      <c r="D334" s="892"/>
      <c r="E334" s="684">
        <v>15</v>
      </c>
      <c r="F334" s="892"/>
      <c r="G334" s="892"/>
      <c r="H334" s="892"/>
      <c r="I334" s="892"/>
      <c r="J334" s="892"/>
      <c r="K334" s="918"/>
      <c r="L334" s="892"/>
      <c r="M334" s="892"/>
      <c r="N334" s="892"/>
      <c r="O334" s="892"/>
      <c r="P334" s="892"/>
      <c r="Q334" s="892"/>
      <c r="R334" s="892"/>
      <c r="S334" s="892"/>
      <c r="T334" s="468">
        <f>ROW(W334)&gt;ROW(W$330)</f>
        <v>1</v>
      </c>
      <c r="U334" s="892"/>
      <c r="V334" s="892"/>
      <c r="W334" s="764"/>
      <c r="X334" s="892"/>
      <c r="Y334" s="892" t="s">
        <v>240</v>
      </c>
      <c r="Z334" s="892"/>
      <c r="AA334" s="678" t="s">
        <v>174</v>
      </c>
      <c r="AB334" s="1562" t="s">
        <v>1344</v>
      </c>
      <c r="AC334" s="1562"/>
      <c r="AD334" s="1562"/>
      <c r="AE334" s="1562"/>
      <c r="AF334" s="1562"/>
      <c r="AG334" s="1562"/>
      <c r="AH334" s="1562"/>
      <c r="AI334" s="1563"/>
      <c r="AJ334" s="3116"/>
      <c r="AK334" s="3116"/>
      <c r="AL334" s="1563"/>
      <c r="AM334" s="1563"/>
      <c r="AN334" s="1563"/>
      <c r="AO334" s="1563"/>
      <c r="AP334" s="1563"/>
      <c r="AQ334" s="1563"/>
      <c r="AR334" s="1563"/>
      <c r="AS334" s="1563"/>
      <c r="AT334" s="3116"/>
      <c r="AU334" s="3116"/>
      <c r="AV334" s="1563"/>
      <c r="AW334" s="1563"/>
      <c r="AX334" s="1563"/>
      <c r="AY334" s="1563"/>
      <c r="AZ334" s="1563"/>
      <c r="BA334" s="1563"/>
      <c r="BB334" s="1563"/>
      <c r="BC334" s="1563"/>
      <c r="BD334" s="94"/>
      <c r="BE334" s="892"/>
      <c r="BF334" s="1049"/>
      <c r="BG334" s="1049"/>
      <c r="BH334" s="1049"/>
      <c r="BI334" s="684"/>
      <c r="BJ334" s="684"/>
    </row>
    <row s="1656" customFormat="1" customHeight="1" ht="41.97443181818181">
      <c r="A335" s="892"/>
      <c r="B335" s="442"/>
      <c r="C335" s="892"/>
      <c r="D335" s="892"/>
      <c r="E335" s="684">
        <v>15</v>
      </c>
      <c r="F335" s="892"/>
      <c r="G335" s="892"/>
      <c r="H335" s="892"/>
      <c r="I335" s="892"/>
      <c r="J335" s="892"/>
      <c r="K335" s="918"/>
      <c r="L335" s="892"/>
      <c r="M335" s="892"/>
      <c r="N335" s="892"/>
      <c r="O335" s="892"/>
      <c r="P335" s="892"/>
      <c r="Q335" s="892"/>
      <c r="R335" s="892"/>
      <c r="S335" s="892"/>
      <c r="T335" s="468">
        <f>ROW(W335)&gt;ROW(W$330)</f>
        <v>1</v>
      </c>
      <c r="U335" s="892"/>
      <c r="V335" s="892"/>
      <c r="W335" s="764"/>
      <c r="X335" s="892"/>
      <c r="Y335" s="892" t="s">
        <v>240</v>
      </c>
      <c r="Z335" s="892"/>
      <c r="AA335" s="678" t="s">
        <v>174</v>
      </c>
      <c r="AB335" s="1562" t="s">
        <v>1345</v>
      </c>
      <c r="AC335" s="1562"/>
      <c r="AD335" s="1562"/>
      <c r="AE335" s="1562"/>
      <c r="AF335" s="1562"/>
      <c r="AG335" s="1562"/>
      <c r="AH335" s="1562"/>
      <c r="AI335" s="1563"/>
      <c r="AJ335" s="3116"/>
      <c r="AK335" s="3116"/>
      <c r="AL335" s="1563"/>
      <c r="AM335" s="1563"/>
      <c r="AN335" s="1563"/>
      <c r="AO335" s="1563"/>
      <c r="AP335" s="1563"/>
      <c r="AQ335" s="1563"/>
      <c r="AR335" s="1563"/>
      <c r="AS335" s="1563"/>
      <c r="AT335" s="3116"/>
      <c r="AU335" s="3116"/>
      <c r="AV335" s="1563"/>
      <c r="AW335" s="1563"/>
      <c r="AX335" s="1563"/>
      <c r="AY335" s="1563"/>
      <c r="AZ335" s="1563"/>
      <c r="BA335" s="1563"/>
      <c r="BB335" s="1563"/>
      <c r="BC335" s="1563"/>
      <c r="BD335" s="94"/>
      <c r="BE335" s="892"/>
      <c r="BF335" s="1049"/>
      <c r="BG335" s="1049"/>
      <c r="BH335" s="1049"/>
      <c r="BI335" s="684"/>
      <c r="BJ335" s="684"/>
    </row>
    <row s="1656" customFormat="1" customHeight="1" ht="44.01988636363635">
      <c r="A336" s="892"/>
      <c r="B336" s="442"/>
      <c r="C336" s="892"/>
      <c r="D336" s="892"/>
      <c r="E336" s="684">
        <v>15</v>
      </c>
      <c r="F336" s="892"/>
      <c r="G336" s="892"/>
      <c r="H336" s="892"/>
      <c r="I336" s="892"/>
      <c r="J336" s="892"/>
      <c r="K336" s="918"/>
      <c r="L336" s="892"/>
      <c r="M336" s="892"/>
      <c r="N336" s="892"/>
      <c r="O336" s="892"/>
      <c r="P336" s="892"/>
      <c r="Q336" s="892"/>
      <c r="R336" s="892"/>
      <c r="S336" s="892"/>
      <c r="T336" s="468">
        <f>ROW(W336)&gt;ROW(W$330)</f>
        <v>1</v>
      </c>
      <c r="U336" s="892"/>
      <c r="V336" s="892"/>
      <c r="W336" s="764"/>
      <c r="X336" s="892"/>
      <c r="Y336" s="892" t="s">
        <v>240</v>
      </c>
      <c r="Z336" s="892"/>
      <c r="AA336" s="678" t="s">
        <v>174</v>
      </c>
      <c r="AB336" s="1562" t="s">
        <v>1346</v>
      </c>
      <c r="AC336" s="1562"/>
      <c r="AD336" s="1562"/>
      <c r="AE336" s="1562"/>
      <c r="AF336" s="1562"/>
      <c r="AG336" s="1562"/>
      <c r="AH336" s="1562"/>
      <c r="AI336" s="1563"/>
      <c r="AJ336" s="3116"/>
      <c r="AK336" s="3116"/>
      <c r="AL336" s="1563"/>
      <c r="AM336" s="1563"/>
      <c r="AN336" s="1563"/>
      <c r="AO336" s="1563"/>
      <c r="AP336" s="1563"/>
      <c r="AQ336" s="1563"/>
      <c r="AR336" s="1563"/>
      <c r="AS336" s="1563"/>
      <c r="AT336" s="3116"/>
      <c r="AU336" s="3116"/>
      <c r="AV336" s="1563"/>
      <c r="AW336" s="1563"/>
      <c r="AX336" s="1563"/>
      <c r="AY336" s="1563"/>
      <c r="AZ336" s="1563"/>
      <c r="BA336" s="1563"/>
      <c r="BB336" s="1563"/>
      <c r="BC336" s="1563"/>
      <c r="BD336" s="94"/>
      <c r="BE336" s="892"/>
      <c r="BF336" s="1049"/>
      <c r="BG336" s="1049"/>
      <c r="BH336" s="1049"/>
      <c r="BI336" s="684"/>
      <c r="BJ336" s="684"/>
    </row>
    <row s="1656" customFormat="1" customHeight="1" ht="41.97443181818181">
      <c r="A337" s="892"/>
      <c r="B337" s="442"/>
      <c r="C337" s="892"/>
      <c r="D337" s="892"/>
      <c r="E337" s="684">
        <v>15</v>
      </c>
      <c r="F337" s="892"/>
      <c r="G337" s="892"/>
      <c r="H337" s="892"/>
      <c r="I337" s="892"/>
      <c r="J337" s="892"/>
      <c r="K337" s="918"/>
      <c r="L337" s="892"/>
      <c r="M337" s="892"/>
      <c r="N337" s="892"/>
      <c r="O337" s="892"/>
      <c r="P337" s="892"/>
      <c r="Q337" s="892"/>
      <c r="R337" s="892"/>
      <c r="S337" s="892"/>
      <c r="T337" s="468">
        <f>ROW(W337)&gt;ROW(W$330)</f>
        <v>1</v>
      </c>
      <c r="U337" s="892"/>
      <c r="V337" s="892"/>
      <c r="W337" s="764"/>
      <c r="X337" s="892"/>
      <c r="Y337" s="892" t="s">
        <v>240</v>
      </c>
      <c r="Z337" s="892"/>
      <c r="AA337" s="678" t="s">
        <v>174</v>
      </c>
      <c r="AB337" s="1562" t="s">
        <v>1347</v>
      </c>
      <c r="AC337" s="1562"/>
      <c r="AD337" s="1562"/>
      <c r="AE337" s="1562"/>
      <c r="AF337" s="1562"/>
      <c r="AG337" s="1562"/>
      <c r="AH337" s="1562"/>
      <c r="AI337" s="1563"/>
      <c r="AJ337" s="3116"/>
      <c r="AK337" s="3116"/>
      <c r="AL337" s="1563"/>
      <c r="AM337" s="1563"/>
      <c r="AN337" s="1563"/>
      <c r="AO337" s="1563"/>
      <c r="AP337" s="1563"/>
      <c r="AQ337" s="1563"/>
      <c r="AR337" s="1563"/>
      <c r="AS337" s="1563"/>
      <c r="AT337" s="3116"/>
      <c r="AU337" s="3116"/>
      <c r="AV337" s="1563"/>
      <c r="AW337" s="1563"/>
      <c r="AX337" s="1563"/>
      <c r="AY337" s="1563"/>
      <c r="AZ337" s="1563"/>
      <c r="BA337" s="1563"/>
      <c r="BB337" s="1563"/>
      <c r="BC337" s="1563"/>
      <c r="BD337" s="94"/>
      <c r="BE337" s="892"/>
      <c r="BF337" s="1049"/>
      <c r="BG337" s="1049"/>
      <c r="BH337" s="1049"/>
      <c r="BI337" s="684"/>
      <c r="BJ337" s="684"/>
    </row>
    <row s="1656" customFormat="1" customHeight="1" ht="30.383522727272723">
      <c r="A338" s="892"/>
      <c r="B338" s="442"/>
      <c r="C338" s="892"/>
      <c r="D338" s="892"/>
      <c r="E338" s="684">
        <v>15</v>
      </c>
      <c r="F338" s="892"/>
      <c r="G338" s="892"/>
      <c r="H338" s="892"/>
      <c r="I338" s="892"/>
      <c r="J338" s="892"/>
      <c r="K338" s="918"/>
      <c r="L338" s="892"/>
      <c r="M338" s="892"/>
      <c r="N338" s="892"/>
      <c r="O338" s="892"/>
      <c r="P338" s="892"/>
      <c r="Q338" s="892"/>
      <c r="R338" s="892"/>
      <c r="S338" s="892"/>
      <c r="T338" s="468">
        <f>ROW(W338)&gt;ROW(W$330)</f>
        <v>1</v>
      </c>
      <c r="U338" s="892"/>
      <c r="V338" s="892"/>
      <c r="W338" s="764"/>
      <c r="X338" s="892"/>
      <c r="Y338" s="892" t="s">
        <v>240</v>
      </c>
      <c r="Z338" s="892"/>
      <c r="AA338" s="678" t="s">
        <v>174</v>
      </c>
      <c r="AB338" s="1562" t="s">
        <v>1348</v>
      </c>
      <c r="AC338" s="1562"/>
      <c r="AD338" s="1562"/>
      <c r="AE338" s="1562"/>
      <c r="AF338" s="1562"/>
      <c r="AG338" s="1562"/>
      <c r="AH338" s="1562"/>
      <c r="AI338" s="1563"/>
      <c r="AJ338" s="3116"/>
      <c r="AK338" s="3116"/>
      <c r="AL338" s="1563"/>
      <c r="AM338" s="1563"/>
      <c r="AN338" s="1563"/>
      <c r="AO338" s="1563"/>
      <c r="AP338" s="1563"/>
      <c r="AQ338" s="1563"/>
      <c r="AR338" s="1563"/>
      <c r="AS338" s="1563"/>
      <c r="AT338" s="3116"/>
      <c r="AU338" s="3116"/>
      <c r="AV338" s="1563"/>
      <c r="AW338" s="1563"/>
      <c r="AX338" s="1563"/>
      <c r="AY338" s="1563"/>
      <c r="AZ338" s="1563"/>
      <c r="BA338" s="1563"/>
      <c r="BB338" s="1563"/>
      <c r="BC338" s="1563"/>
      <c r="BD338" s="94"/>
      <c r="BE338" s="892"/>
      <c r="BF338" s="1049"/>
      <c r="BG338" s="1049"/>
      <c r="BH338" s="1049"/>
      <c r="BI338" s="684"/>
      <c r="BJ338" s="684"/>
    </row>
    <row s="1656" customFormat="1" customHeight="1" ht="14.25">
      <c r="A339" s="892"/>
      <c r="B339" s="442"/>
      <c r="C339" s="892"/>
      <c r="D339" s="892"/>
      <c r="E339" s="684">
        <v>15</v>
      </c>
      <c r="F339" s="892"/>
      <c r="G339" s="892"/>
      <c r="H339" s="892"/>
      <c r="I339" s="892"/>
      <c r="J339" s="892"/>
      <c r="K339" s="918"/>
      <c r="L339" s="892"/>
      <c r="M339" s="892"/>
      <c r="N339" s="892"/>
      <c r="O339" s="892"/>
      <c r="P339" s="892"/>
      <c r="Q339" s="892"/>
      <c r="R339" s="892"/>
      <c r="S339" s="892"/>
      <c r="T339" s="468">
        <f>ROW(W339)&gt;ROW(W$330)</f>
        <v>1</v>
      </c>
      <c r="U339" s="892"/>
      <c r="V339" s="892"/>
      <c r="W339" s="764"/>
      <c r="X339" s="892"/>
      <c r="Y339" s="892" t="s">
        <v>240</v>
      </c>
      <c r="Z339" s="892"/>
      <c r="AA339" s="678" t="s">
        <v>174</v>
      </c>
      <c r="AB339" s="1562" t="s">
        <v>240</v>
      </c>
      <c r="AC339" s="1562"/>
      <c r="AD339" s="1562"/>
      <c r="AE339" s="1562"/>
      <c r="AF339" s="1562"/>
      <c r="AG339" s="1562"/>
      <c r="AH339" s="1562"/>
      <c r="AI339" s="1563"/>
      <c r="AJ339" s="3116"/>
      <c r="AK339" s="3116"/>
      <c r="AL339" s="1563"/>
      <c r="AM339" s="1563"/>
      <c r="AN339" s="1563"/>
      <c r="AO339" s="1563"/>
      <c r="AP339" s="1563"/>
      <c r="AQ339" s="1563"/>
      <c r="AR339" s="1563"/>
      <c r="AS339" s="1563"/>
      <c r="AT339" s="3116"/>
      <c r="AU339" s="3116"/>
      <c r="AV339" s="1563"/>
      <c r="AW339" s="1563"/>
      <c r="AX339" s="1563"/>
      <c r="AY339" s="1563"/>
      <c r="AZ339" s="1563"/>
      <c r="BA339" s="1563"/>
      <c r="BB339" s="1563"/>
      <c r="BC339" s="1563"/>
      <c r="BD339" s="94"/>
      <c r="BE339" s="892"/>
      <c r="BF339" s="1049"/>
      <c r="BG339" s="1049"/>
      <c r="BH339" s="1049"/>
      <c r="BI339" s="684"/>
      <c r="BJ339" s="684"/>
    </row>
    <row s="1656" customFormat="1" customHeight="1" ht="14.25">
      <c r="A340" s="892"/>
      <c r="B340" s="442"/>
      <c r="C340" s="892"/>
      <c r="D340" s="892"/>
      <c r="E340" s="684">
        <v>15</v>
      </c>
      <c r="F340" s="892"/>
      <c r="G340" s="892"/>
      <c r="H340" s="892"/>
      <c r="I340" s="892"/>
      <c r="J340" s="892"/>
      <c r="K340" s="918"/>
      <c r="L340" s="892"/>
      <c r="M340" s="892"/>
      <c r="N340" s="892"/>
      <c r="O340" s="892"/>
      <c r="P340" s="892"/>
      <c r="Q340" s="892"/>
      <c r="R340" s="892"/>
      <c r="S340" s="892"/>
      <c r="T340" s="468">
        <f>ROW(W340)&gt;ROW(W$330)</f>
        <v>1</v>
      </c>
      <c r="U340" s="892"/>
      <c r="V340" s="892"/>
      <c r="W340" s="764"/>
      <c r="X340" s="892"/>
      <c r="Y340" s="892" t="s">
        <v>240</v>
      </c>
      <c r="Z340" s="892"/>
      <c r="AA340" s="678" t="s">
        <v>174</v>
      </c>
      <c r="AB340" s="1562" t="s">
        <v>240</v>
      </c>
      <c r="AC340" s="1562"/>
      <c r="AD340" s="1562"/>
      <c r="AE340" s="1562"/>
      <c r="AF340" s="1562"/>
      <c r="AG340" s="1562"/>
      <c r="AH340" s="1562"/>
      <c r="AI340" s="1563"/>
      <c r="AJ340" s="3116"/>
      <c r="AK340" s="3116"/>
      <c r="AL340" s="1563"/>
      <c r="AM340" s="1563"/>
      <c r="AN340" s="1563"/>
      <c r="AO340" s="1563"/>
      <c r="AP340" s="1563"/>
      <c r="AQ340" s="1563"/>
      <c r="AR340" s="1563"/>
      <c r="AS340" s="1563"/>
      <c r="AT340" s="3116"/>
      <c r="AU340" s="3116"/>
      <c r="AV340" s="1563"/>
      <c r="AW340" s="1563"/>
      <c r="AX340" s="1563"/>
      <c r="AY340" s="1563"/>
      <c r="AZ340" s="1563"/>
      <c r="BA340" s="1563"/>
      <c r="BB340" s="1563"/>
      <c r="BC340" s="1563"/>
      <c r="BD340" s="94"/>
      <c r="BE340" s="892"/>
      <c r="BF340" s="1049"/>
      <c r="BG340" s="1049"/>
      <c r="BH340" s="1049"/>
      <c r="BI340" s="684"/>
      <c r="BJ340" s="684"/>
    </row>
    <row s="1656" customFormat="1" customHeight="1" ht="14.25">
      <c r="A341" s="892"/>
      <c r="B341" s="442"/>
      <c r="C341" s="892"/>
      <c r="D341" s="892"/>
      <c r="E341" s="684">
        <v>15</v>
      </c>
      <c r="F341" s="892"/>
      <c r="G341" s="892"/>
      <c r="H341" s="892"/>
      <c r="I341" s="892"/>
      <c r="J341" s="892"/>
      <c r="K341" s="918"/>
      <c r="L341" s="892"/>
      <c r="M341" s="892"/>
      <c r="N341" s="892"/>
      <c r="O341" s="892"/>
      <c r="P341" s="892"/>
      <c r="Q341" s="892"/>
      <c r="R341" s="892"/>
      <c r="S341" s="892"/>
      <c r="T341" s="468">
        <f>ROW(W341)&gt;ROW(W$330)</f>
        <v>1</v>
      </c>
      <c r="U341" s="892"/>
      <c r="V341" s="892"/>
      <c r="W341" s="764"/>
      <c r="X341" s="892"/>
      <c r="Y341" s="892" t="s">
        <v>240</v>
      </c>
      <c r="Z341" s="892"/>
      <c r="AA341" s="678" t="s">
        <v>174</v>
      </c>
      <c r="AB341" s="1562" t="s">
        <v>240</v>
      </c>
      <c r="AC341" s="1562"/>
      <c r="AD341" s="1562"/>
      <c r="AE341" s="1562"/>
      <c r="AF341" s="1562"/>
      <c r="AG341" s="1562"/>
      <c r="AH341" s="1562"/>
      <c r="AI341" s="1563"/>
      <c r="AJ341" s="3116"/>
      <c r="AK341" s="3116"/>
      <c r="AL341" s="1563"/>
      <c r="AM341" s="1563"/>
      <c r="AN341" s="1563"/>
      <c r="AO341" s="1563"/>
      <c r="AP341" s="1563"/>
      <c r="AQ341" s="1563"/>
      <c r="AR341" s="1563"/>
      <c r="AS341" s="1563"/>
      <c r="AT341" s="3116"/>
      <c r="AU341" s="3116"/>
      <c r="AV341" s="1563"/>
      <c r="AW341" s="1563"/>
      <c r="AX341" s="1563"/>
      <c r="AY341" s="1563"/>
      <c r="AZ341" s="1563"/>
      <c r="BA341" s="1563"/>
      <c r="BB341" s="1563"/>
      <c r="BC341" s="1563"/>
      <c r="BD341" s="94"/>
      <c r="BE341" s="892"/>
      <c r="BF341" s="1049"/>
      <c r="BG341" s="1049"/>
      <c r="BH341" s="1049"/>
      <c r="BI341" s="684"/>
      <c r="BJ341" s="684"/>
    </row>
    <row customHeight="1" ht="14.625">
      <c r="E342" s="684">
        <v>15</v>
      </c>
      <c r="W342" s="764" t="s">
        <v>421</v>
      </c>
      <c r="AA342" s="94"/>
      <c r="AB342" s="688"/>
      <c r="AC342" s="517" t="s">
        <v>422</v>
      </c>
      <c r="AD342" s="306"/>
      <c r="AE342" s="306"/>
      <c r="AF342" s="307"/>
      <c r="AG342" s="307"/>
      <c r="AH342" s="307"/>
      <c r="AI342" s="307"/>
      <c r="AJ342" s="307"/>
      <c r="AK342" s="307"/>
      <c r="AL342" s="307"/>
      <c r="AM342" s="307"/>
      <c r="AN342" s="307"/>
      <c r="AO342" s="307"/>
      <c r="AP342" s="307"/>
      <c r="AQ342" s="307"/>
      <c r="AR342" s="307"/>
      <c r="AS342" s="307"/>
      <c r="AT342" s="307"/>
      <c r="AU342" s="307"/>
      <c r="AV342" s="307"/>
      <c r="AW342" s="307"/>
      <c r="AX342" s="307"/>
      <c r="AY342" s="307"/>
      <c r="AZ342" s="307"/>
      <c r="BA342" s="307"/>
      <c r="BB342" s="307"/>
      <c r="BC342" s="308"/>
      <c r="BD342" s="94"/>
    </row>
    <row customHeight="1" ht="10.96875">
      <c r="E343" s="684">
        <v>11.25</v>
      </c>
      <c r="AI343" s="892"/>
      <c r="AJ343" s="892"/>
      <c r="AK343" s="892"/>
      <c r="AL343" s="892"/>
      <c r="AM343" s="892"/>
      <c r="AN343" s="892"/>
      <c r="AO343" s="892"/>
      <c r="AP343" s="892"/>
      <c r="AQ343" s="892"/>
      <c r="AR343" s="892"/>
      <c r="AS343" s="892"/>
      <c r="AT343" s="892"/>
      <c r="AU343" s="892"/>
      <c r="AV343" s="892"/>
      <c r="AW343" s="892"/>
      <c r="AX343" s="892"/>
      <c r="AY343" s="892"/>
      <c r="AZ343" s="892"/>
      <c r="BA343" s="892"/>
      <c r="BB343" s="892"/>
      <c r="BD343" s="428"/>
    </row>
  </sheetData>
  <sheetProtection formatColumns="0" formatRows="0" insertRows="0" deleteColumns="0" deleteRows="0" sort="0" autoFilter="0" insertColumns="1"/>
  <mergeCells count="106">
    <mergeCell ref="AB330:BC330"/>
    <mergeCell ref="AB328:BC328"/>
    <mergeCell ref="AB329:BC329"/>
    <mergeCell ref="AB24:AB25"/>
    <mergeCell ref="AC24:AC25"/>
    <mergeCell ref="AD24:AD25"/>
    <mergeCell ref="BC24:BC25"/>
    <mergeCell ref="AB331:BC331"/>
    <mergeCell ref="AB332:BC332"/>
    <mergeCell ref="AB333:BC333"/>
    <mergeCell ref="AB334:BC334"/>
    <mergeCell ref="AB335:BC335"/>
    <mergeCell ref="AB336:BC336"/>
    <mergeCell ref="AB337:BC337"/>
    <mergeCell ref="AB338:BC338"/>
    <mergeCell ref="AB339:BC339"/>
    <mergeCell ref="AB340:BC340"/>
    <mergeCell ref="AB341:BC341"/>
    <mergeCell ref="Y289:Y293"/>
    <mergeCell ref="AA289:AA293"/>
    <mergeCell ref="Y282:Y286"/>
    <mergeCell ref="AA282:AA286"/>
    <mergeCell ref="Y275:Y279"/>
    <mergeCell ref="AA275:AA279"/>
    <mergeCell ref="Y268:Y272"/>
    <mergeCell ref="AA268:AA272"/>
    <mergeCell ref="Y261:Y265"/>
    <mergeCell ref="AA261:AA265"/>
    <mergeCell ref="Y207:Y211"/>
    <mergeCell ref="AA207:AA211"/>
    <mergeCell ref="Y200:Y204"/>
    <mergeCell ref="AA200:AA204"/>
    <mergeCell ref="Y193:Y197"/>
    <mergeCell ref="AA193:AA197"/>
    <mergeCell ref="Y186:Y190"/>
    <mergeCell ref="AA186:AA190"/>
    <mergeCell ref="Y179:Y183"/>
    <mergeCell ref="AA179:AA183"/>
    <mergeCell ref="Y125:Y129"/>
    <mergeCell ref="AA125:AA129"/>
    <mergeCell ref="Y118:Y122"/>
    <mergeCell ref="AA118:AA122"/>
    <mergeCell ref="Y111:Y115"/>
    <mergeCell ref="AA111:AA115"/>
    <mergeCell ref="Y104:Y108"/>
    <mergeCell ref="AA104:AA108"/>
    <mergeCell ref="Y97:Y101"/>
    <mergeCell ref="AA97:AA101"/>
    <mergeCell ref="Y57:Y61"/>
    <mergeCell ref="AA57:AA61"/>
    <mergeCell ref="Y50:Y54"/>
    <mergeCell ref="AA50:AA54"/>
    <mergeCell ref="Y43:Y47"/>
    <mergeCell ref="AA43:AA47"/>
    <mergeCell ref="Y36:Y40"/>
    <mergeCell ref="AA36:AA40"/>
    <mergeCell ref="Y29:Y33"/>
    <mergeCell ref="AA29:AA33"/>
    <mergeCell ref="Y296:Y304"/>
    <mergeCell ref="AA296:AA304"/>
    <mergeCell ref="Y214:Y222"/>
    <mergeCell ref="AA214:AA222"/>
    <mergeCell ref="Y132:Y140"/>
    <mergeCell ref="AA132:AA140"/>
    <mergeCell ref="Y64:Y72"/>
    <mergeCell ref="AA64:AA72"/>
    <mergeCell ref="Y307:Y311"/>
    <mergeCell ref="AA307:AA311"/>
    <mergeCell ref="Y234:Y238"/>
    <mergeCell ref="AA234:AA238"/>
    <mergeCell ref="Y152:Y156"/>
    <mergeCell ref="AA152:AA156"/>
    <mergeCell ref="Y75:Y79"/>
    <mergeCell ref="AA75:AA79"/>
    <mergeCell ref="Y314:Y318"/>
    <mergeCell ref="AA314:AA318"/>
    <mergeCell ref="Y241:Y245"/>
    <mergeCell ref="AA241:AA245"/>
    <mergeCell ref="Y159:Y163"/>
    <mergeCell ref="AA159:AA163"/>
    <mergeCell ref="Y82:Y86"/>
    <mergeCell ref="AA82:AA86"/>
    <mergeCell ref="Y321:Y325"/>
    <mergeCell ref="AA321:AA325"/>
    <mergeCell ref="X259:X326"/>
    <mergeCell ref="Z259:Z326"/>
    <mergeCell ref="Y248:Y252"/>
    <mergeCell ref="AA248:AA252"/>
    <mergeCell ref="X177:X258"/>
    <mergeCell ref="Z177:Z258"/>
    <mergeCell ref="Y166:Y170"/>
    <mergeCell ref="AA166:AA170"/>
    <mergeCell ref="X95:X176"/>
    <mergeCell ref="Z95:Z176"/>
    <mergeCell ref="Y89:Y93"/>
    <mergeCell ref="AA89:AA93"/>
    <mergeCell ref="X27:X94"/>
    <mergeCell ref="Z27:Z94"/>
    <mergeCell ref="Y141:Y149"/>
    <mergeCell ref="AA141:AA149"/>
    <mergeCell ref="Y171:Y175"/>
    <mergeCell ref="AA171:AA175"/>
    <mergeCell ref="Y223:Y231"/>
    <mergeCell ref="AA223:AA231"/>
    <mergeCell ref="Y253:Y257"/>
    <mergeCell ref="AA253:AA257"/>
  </mergeCells>
  <dataValidations count="1">
    <dataValidation type="decimal" allowBlank="1" showErrorMessage="1" errorTitle="Ошибка" error="Допускается ввод только неотрицательных чисел!" sqref="AE38:BB40 AE59:BB61 AE45:BB47 AE52:BB54 AE31:BB33 BB63:BB94 BB99:BB101 BB106:BB108 BB113:BB115 BB120:BB122 BB127:BB129 BB131:BB176 BB181:BB183 BB188:BB190 BB195:BB197 BB202:BB204 BB209:BB211 BB213:BB258 BB263:BB265 BB270:BB272 BB277:BB279 BB284:BB286 BB291:BB293 BB295:BB326 BA63:BA94 BA99:BA101 BA106:BA108 BA113:BA115 BA120:BA122 BA127:BA129 BA131:BA176 BA181:BA183 BA188:BA190 BA195:BA197 BA202:BA204 BA209:BA211 BA213:BA258 BA263:BA265 BA270:BA272 BA277:BA279 BA284:BA286 BA291:BA293 BA295:BA326 AZ63:AZ94 AZ99:AZ101 AZ106:AZ108 AZ113:AZ115 AZ120:AZ122 AZ127:AZ129 AZ131:AZ176 AZ181:AZ183 AZ188:AZ190 AZ195:AZ197 AZ202:AZ204 AZ209:AZ211 AZ213:AZ258 AZ263:AZ265 AZ270:AZ272 AZ277:AZ279 AZ284:AZ286 AZ291:AZ293 AZ295:AZ326 AY63:AY94 AY99:AY101 AY106:AY108 AY113:AY115 AY120:AY122 AY127:AY129 AY131:AY176 AY181:AY183 AY188:AY190 AY195:AY197 AY202:AY204 AY209:AY211 AY213:AY258 AY263:AY265 AY270:AY272 AY277:AY279 AY284:AY286 AY291:AY293 AY295:AY326 AX63:AX94 AX99:AX101 AX106:AX108 AX113:AX115 AX120:AX122 AX127:AX129 AX131:AX176 AX181:AX183 AX188:AX190 AX195:AX197 AX202:AX204 AX209:AX211 AX213:AX258 AX263:AX265 AX270:AX272 AX277:AX279 AX284:AX286 AX291:AX293 AX295:AX326 AW63:AW94 AW99:AW101 AW106:AW108 AW113:AW115 AW120:AW122 AW127:AW129 AW131:AW176 AW181:AW183 AW188:AW190 AW195:AW197 AW202:AW204 AW209:AW211 AW213:AW258 AW263:AW265 AW270:AW272 AW277:AW279 AW284:AW286 AW291:AW293 AW295:AW326 AV63:AV94 AV99:AV101 AV106:AV108 AV113:AV115 AV120:AV122 AV127:AV129 AV131:AV176 AV181:AV183 AV188:AV190 AV195:AV197 AV202:AV204 AV209:AV211 AV213:AV258 AV263:AV265 AV270:AV272 AV277:AV279 AV284:AV286 AV291:AV293 AV295:AV326 AU63:AU94 AU99:AU101 AU106:AU108 AU113:AU115 AU120:AU122 AU127:AU129 AU131:AU176 AU181:AU183 AU188:AU190 AU195:AU197 AU202:AU204 AU209:AU211 AU213:AU258 AU263:AU265 AU270:AU272 AU277:AU279 AU284:AU286 AU291:AU293 AU295:AU326 AT63:AT94 AT99:AT101 AT106:AT108 AT113:AT115 AT120:AT122 AT127:AT129 AT131:AT176 AT181:AT183 AT188:AT190 AT195:AT197 AT202:AT204 AT209:AT211 AT213:AT258 AT263:AT265 AT270:AT272 AT277:AT279 AT284:AT286 AT291:AT293 AT295:AT326 AS63:AS94 AS99:AS101 AS106:AS108 AS113:AS115 AS120:AS122 AS127:AS129 AS131:AS176 AS181:AS183 AS188:AS190 AS195:AS197 AS202:AS204 AS209:AS211 AS213:AS258 AS263:AS265 AS270:AS272 AS277:AS279 AS284:AS286 AS291:AS293 AS295:AS326 AR63:AR94 AR99:AR101 AR106:AR108 AR113:AR115 AR120:AR122 AR127:AR129 AR131:AR176 AR181:AR183 AR188:AR190 AR195:AR197 AR202:AR204 AR209:AR211 AR213:AR258 AR263:AR265 AR270:AR272 AR277:AR279 AR284:AR286 AR291:AR293 AR295:AR326 AQ63:AQ94 AQ99:AQ101 AQ106:AQ108 AQ113:AQ115 AQ120:AQ122 AQ127:AQ129 AQ131:AQ176 AQ181:AQ183 AQ188:AQ190 AQ195:AQ197 AQ202:AQ204 AQ209:AQ211 AQ213:AQ258 AQ263:AQ265 AQ270:AQ272 AQ277:AQ279 AQ284:AQ286 AQ291:AQ293 AQ295:AQ326 AP63:AP94 AP99:AP101 AP106:AP108 AP113:AP115 AP120:AP122 AP127:AP129 AP131:AP176 AP181:AP183 AP188:AP190 AP195:AP197 AP202:AP204 AP209:AP211 AP213:AP258 AP263:AP265 AP270:AP272 AP277:AP279 AP284:AP286 AP291:AP293 AP295:AP326 AO63:AO94 AO99:AO101 AO106:AO108 AO113:AO115 AO120:AO122 AO127:AO129 AO131:AO176 AO181:AO183 AO188:AO190 AO195:AO197 AO202:AO204 AO209:AO211 AO213:AO258 AO263:AO265 AO270:AO272 AO277:AO279 AO284:AO286 AO291:AO293 AO295:AO326 AN63:AN94 AN99:AN101 AN106:AN108 AN113:AN115 AN120:AN122 AN127:AN129 AN131:AN176 AN181:AN183 AN188:AN190 AN195:AN197 AN202:AN204 AN209:AN211 AN213:AN258 AN263:AN265 AN270:AN272 AN277:AN279 AN284:AN286 AN291:AN293 AN295:AN326 AM63:AM94 AM99:AM101 AM106:AM108 AM113:AM115 AM120:AM122 AM127:AM129 AM131:AM176 AM181:AM183 AM188:AM190 AM195:AM197 AM202:AM204 AM209:AM211 AM213:AM258 AM263:AM265 AM270:AM272 AM277:AM279 AM284:AM286 AM291:AM293 AM295:AM326 AL63:AL94 AL99:AL101 AL106:AL108 AL113:AL115 AL120:AL122 AL127:AL129 AL131:AL176 AL181:AL183 AL188:AL190 AL195:AL197 AL202:AL204 AL209:AL211 AL213:AL258 AL263:AL265 AL270:AL272 AL277:AL279 AL284:AL286 AL291:AL293 AL295:AL326 AK63:AK94 AK99:AK101 AK106:AK108 AK113:AK115 AK120:AK122 AK127:AK129 AK131:AK176 AK181:AK183 AK188:AK190 AK195:AK197 AK202:AK204 AK209:AK211 AK213:AK258 AK263:AK265 AK270:AK272 AK277:AK279 AK284:AK286 AK291:AK293 AK295:AK326 AJ63:AJ94 AJ99:AJ101 AJ106:AJ108 AJ113:AJ115 AJ120:AJ122 AJ127:AJ129 AJ131:AJ176 AJ181:AJ183 AJ188:AJ190 AJ195:AJ197 AJ202:AJ204 AJ209:AJ211 AJ213:AJ258 AJ263:AJ265 AJ270:AJ272 AJ277:AJ279 AJ284:AJ286 AJ291:AJ293 AJ295:AJ326 AI63:AI94 AI99:AI101 AI106:AI108 AI113:AI115 AI120:AI122 AI127:AI129 AI131:AI176 AI181:AI183 AI188:AI190 AI195:AI197 AI202:AI204 AI209:AI211 AI213:AI258 AI263:AI265 AI270:AI272 AI277:AI279 AI284:AI286 AI291:AI293 AI295:AI326 AH63:AH94 AH99:AH101 AH106:AH108 AH113:AH115 AH120:AH122 AH127:AH129 AH131:AH176 AH181:AH183 AH188:AH190 AH195:AH197 AH202:AH204 AH209:AH211 AH213:AH258 AH263:AH265 AH270:AH272 AH277:AH279 AH284:AH286 AH291:AH293 AH295:AH326 AG63:AG94 AG99:AG101 AG106:AG108 AG113:AG115 AG120:AG122 AG127:AG129 AG131:AG176 AG181:AG183 AG188:AG190 AG195:AG197 AG202:AG204 AG209:AG211 AG213:AG258 AG263:AG265 AG270:AG272 AG277:AG279 AG284:AG286 AG291:AG293 AG295:AG326 AF63:AF94 AF99:AF101 AF106:AF108 AF113:AF115 AF120:AF122 AF127:AF129 AF131:AF176 AF181:AF183 AF188:AF190 AF195:AF197 AF202:AF204 AF209:AF211 AF213:AF258 AF263:AF265 AF270:AF272 AF277:AF279 AF284:AF286 AF291:AF293 AF295:AF326 AE63:AE94 AE99:AE101 AE106:AE108 AE113:AE115 AE120:AE122 AE127:AE129 AE131:AE176 AE181:AE183 AE188:AE190 AE195:AE197 AE202:AE204 AE209:AE211 AE213:AE258 AE263:AE265 AE270:AE272 AE277:AE279 AE284:AE286 AE291:AE293 AE295:AE326">
      <formula1>0</formula1>
      <formula2>9.99999999999999E+23</formula2>
    </dataValidation>
  </dataValidations>
  <pageMargins left="0.35" right="0.35" top="0.40" bottom="0.40" header="0.31" footer="0.31"/>
  <pageSetup paperSize="9" scale="46"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EE74CA1-6FA3-D028-5488-60D68F446CD8}" mc:Ignorable="x14ac xr xr2 xr3">
  <sheetPr>
    <tabColor rgb="FF002060"/>
    <outlinePr summaryBelow="0"/>
    <pageSetUpPr fitToPage="1"/>
  </sheetPr>
  <dimension ref="A1:AR132"/>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1.25"/>
  <cols>
    <col min="1" max="1" style="1328" width="3.57421875" hidden="1" customWidth="1"/>
    <col min="2" max="2" style="1186" width="8.57421875" hidden="1" customWidth="1"/>
    <col min="3" max="4" style="1328" width="3.57421875" hidden="1" customWidth="1"/>
    <col min="5" max="5" style="1329" width="3.57421875" hidden="1" customWidth="1"/>
    <col min="6" max="6" style="1328" width="3.57421875" hidden="1" customWidth="1"/>
    <col min="7" max="7" style="1336" width="9.8515625" hidden="1" customWidth="1"/>
    <col min="8" max="10" style="1328" width="3.57421875" hidden="1" customWidth="1"/>
    <col min="11" max="11" style="1336" width="6.421875" hidden="1" customWidth="1"/>
    <col min="12" max="12" style="1336" width="3.57421875" hidden="1" customWidth="1"/>
    <col min="13" max="17" style="1328" width="3.57421875" hidden="1" customWidth="1"/>
    <col min="18" max="18" style="1346" width="3.57421875" hidden="1" customWidth="1"/>
    <col min="19" max="19" style="1328" width="3.57421875" hidden="1" customWidth="1"/>
    <col min="20" max="20" style="1328" width="11.140625" hidden="1" customWidth="1"/>
    <col min="21" max="21" style="1328" width="5.8515625" hidden="1" customWidth="1"/>
    <col min="22" max="23" style="1328" width="6.140625" hidden="1" customWidth="1"/>
    <col min="24" max="25" style="1328" width="5.57421875" hidden="1" customWidth="1"/>
    <col min="26" max="26" style="1328" width="5.28125" hidden="1" customWidth="1"/>
    <col min="27" max="27" style="1328" width="3.00390625" customWidth="1"/>
    <col min="28" max="28" style="1328" width="11.00390625" customWidth="1"/>
    <col min="29" max="29" style="1328" width="56.7109375" customWidth="1"/>
    <col min="30" max="30" style="1328" width="12.00390625" customWidth="1"/>
    <col min="31" max="36" style="1328" width="13.00390625" customWidth="1"/>
    <col min="37" max="37" style="1328" width="20.00390625" customWidth="1"/>
    <col min="38" max="38" style="1328" width="3.00390625" customWidth="1"/>
    <col min="39" max="39" style="1328" width="9.140625" hidden="1"/>
    <col min="40" max="42" style="1330" width="9.140625" hidden="1"/>
    <col min="43" max="44" style="1329" width="9.140625" hidden="1"/>
  </cols>
  <sheetData>
    <row customHeight="1" ht="11.25" hidden="1">
      <c r="E1" s="94"/>
      <c r="F1" s="94" t="s">
        <v>333</v>
      </c>
      <c r="H1" s="94" t="s">
        <v>343</v>
      </c>
      <c r="I1" s="94" t="s">
        <v>368</v>
      </c>
      <c r="T1" s="468" t="s">
        <v>93</v>
      </c>
      <c r="U1" s="468" t="s">
        <v>98</v>
      </c>
      <c r="V1" s="468" t="s">
        <v>94</v>
      </c>
      <c r="W1" s="468" t="s">
        <v>95</v>
      </c>
      <c r="X1" s="468" t="s">
        <v>96</v>
      </c>
      <c r="Y1" s="470" t="s">
        <v>335</v>
      </c>
      <c r="Z1" s="468" t="s">
        <v>100</v>
      </c>
      <c r="AA1" s="470" t="s">
        <v>97</v>
      </c>
      <c r="AB1" s="417"/>
      <c r="AC1" s="469" t="s">
        <v>99</v>
      </c>
      <c r="AI1" s="1328"/>
      <c r="AJ1" s="1328"/>
      <c r="AN1" s="1023" t="s">
        <v>336</v>
      </c>
      <c r="AO1" s="1023" t="s">
        <v>337</v>
      </c>
      <c r="AP1" s="1023" t="s">
        <v>338</v>
      </c>
      <c r="AQ1" s="637" t="s">
        <v>341</v>
      </c>
      <c r="AR1" s="637" t="s">
        <v>342</v>
      </c>
    </row>
    <row s="1186" customFormat="1" customHeight="1" ht="11.25" hidden="1">
      <c r="B2" s="447" t="s">
        <v>19</v>
      </c>
      <c r="G2" s="488"/>
      <c r="K2" s="488"/>
      <c r="L2" s="488"/>
      <c r="AF2" s="1186" cm="1" t="str">
        <f t="array" ref="AF2:AF2">isOrgDeclare</f>
        <v>true</v>
      </c>
      <c r="AI2" s="448">
        <f>AND(AI11&lt;=last_year_vis,isOrgDeclare)</f>
        <v>1</v>
      </c>
      <c r="AJ2" s="448">
        <f>AJ11&lt;=last_year_vis</f>
        <v>1</v>
      </c>
      <c r="AN2" s="1024"/>
      <c r="AO2" s="1024"/>
      <c r="AP2" s="1024"/>
      <c r="AQ2" s="1037"/>
      <c r="AR2" s="1037"/>
    </row>
    <row customHeight="1" ht="11.25" hidden="1">
      <c r="E3" s="94"/>
      <c r="AI3" s="1328"/>
      <c r="AJ3" s="1328"/>
    </row>
    <row customHeight="1" ht="11.25" hidden="1">
      <c r="E4" s="94"/>
      <c r="AI4" s="1328"/>
      <c r="AJ4" s="1328"/>
    </row>
    <row s="1329" customFormat="1" customHeight="1" ht="11.25" hidden="1">
      <c r="A5" s="94"/>
      <c r="B5" s="429"/>
      <c r="C5" s="94"/>
      <c r="D5" s="94"/>
      <c r="E5" s="637" t="s">
        <v>20</v>
      </c>
      <c r="G5" s="693"/>
      <c r="K5" s="693"/>
      <c r="L5" s="693"/>
      <c r="R5" s="622"/>
      <c r="AA5" s="637">
        <v>3</v>
      </c>
      <c r="AB5" s="637">
        <v>11</v>
      </c>
      <c r="AC5" s="637">
        <v>56.71</v>
      </c>
      <c r="AD5" s="637">
        <v>12</v>
      </c>
      <c r="AE5" s="637">
        <v>13</v>
      </c>
      <c r="AF5" s="637">
        <v>13</v>
      </c>
      <c r="AG5" s="637">
        <v>13</v>
      </c>
      <c r="AH5" s="637">
        <v>13</v>
      </c>
      <c r="AI5" s="637">
        <v>13</v>
      </c>
      <c r="AJ5" s="637">
        <v>13</v>
      </c>
      <c r="AK5" s="637">
        <v>20</v>
      </c>
      <c r="AL5" s="637">
        <v>3</v>
      </c>
      <c r="AN5" s="1023"/>
      <c r="AO5" s="1023"/>
      <c r="AP5" s="1023"/>
    </row>
    <row customHeight="1" ht="11.25" hidden="1">
      <c r="AI6" s="1328"/>
      <c r="AJ6" s="1328"/>
    </row>
    <row s="1330" customFormat="1" customHeight="1" ht="11.25" hidden="1">
      <c r="A7" s="1023" t="s">
        <v>376</v>
      </c>
      <c r="B7" s="1024"/>
      <c r="G7" s="1039"/>
      <c r="K7" s="1039"/>
      <c r="L7" s="1039"/>
      <c r="R7" s="1025"/>
      <c r="AE7" s="1023" cm="1" t="str">
        <f t="array" ref="AE7:AE7">AE11</f>
        <v>2024</v>
      </c>
      <c r="AF7" s="1023" cm="1" t="str">
        <f t="array" ref="AF7:AF7">AF11</f>
        <v>2024</v>
      </c>
      <c r="AG7" s="1023" cm="1" t="str">
        <f t="array" ref="AG7:AG7">AG11</f>
        <v>2024</v>
      </c>
      <c r="AH7" s="1023" cm="1" t="str">
        <f t="array" ref="AH7:AH7">AH11</f>
        <v>2025</v>
      </c>
      <c r="AI7" s="1023" cm="1" t="str">
        <f t="array" ref="AI7:AI7">AI11</f>
        <v>2026</v>
      </c>
      <c r="AJ7" s="1023" cm="1" t="str">
        <f t="array" ref="AJ7:AJ7">AJ11</f>
        <v>2026</v>
      </c>
      <c r="AQ7" s="637"/>
      <c r="AR7" s="637"/>
    </row>
    <row s="1330" customFormat="1" customHeight="1" ht="11.25" hidden="1">
      <c r="A8" s="1023" t="s">
        <v>377</v>
      </c>
      <c r="B8" s="1024"/>
      <c r="G8" s="1039"/>
      <c r="K8" s="1039"/>
      <c r="L8" s="1039"/>
      <c r="R8" s="1025"/>
      <c r="AE8" s="1023" cm="1" t="str">
        <f t="array" ref="AE8:AE8">AE25</f>
        <v>Принято органом регулирования</v>
      </c>
      <c r="AF8" s="1023" cm="1" t="str">
        <f t="array" ref="AF8:AF8">AF25</f>
        <v>Факт по данным организации</v>
      </c>
      <c r="AG8" s="1023" cm="1" t="str">
        <f t="array" ref="AG8:AG8">AG25</f>
        <v>Факт, принятый органом регулирования</v>
      </c>
      <c r="AH8" s="1023" cm="1" t="str">
        <f t="array" ref="AH8:AH8">AH25</f>
        <v>Принято органом регулирования</v>
      </c>
      <c r="AI8" s="1023" cm="1" t="str">
        <f t="array" ref="AI8:AI8">AI25</f>
        <v>Предложение организации</v>
      </c>
      <c r="AJ8" s="1023" cm="1" t="str">
        <f t="array" ref="AJ8:AJ8">AJ25</f>
        <v>Принято органом регулирования</v>
      </c>
      <c r="AQ8" s="637"/>
      <c r="AR8" s="637"/>
    </row>
    <row s="1330" customFormat="1" customHeight="1" ht="11.25" hidden="1">
      <c r="A9" s="1023" t="s">
        <v>378</v>
      </c>
      <c r="B9" s="1024"/>
      <c r="G9" s="1039"/>
      <c r="K9" s="1039"/>
      <c r="L9" s="1039"/>
      <c r="R9" s="1025"/>
      <c r="AI9" s="1330"/>
      <c r="AJ9" s="1330"/>
      <c r="AK9" s="1023" cm="1" t="str">
        <f t="array" ref="AK9:AK9">AK24</f>
        <v>Ссылка на правовую норму (основание для принятия показателя в расчет тарифа)</v>
      </c>
      <c r="AQ9" s="637"/>
      <c r="AR9" s="637"/>
    </row>
    <row s="1330" customFormat="1" customHeight="1" ht="11.25" hidden="1">
      <c r="A10" s="1023" t="s">
        <v>350</v>
      </c>
      <c r="B10" s="1024"/>
      <c r="G10" s="1039"/>
      <c r="K10" s="1039"/>
      <c r="L10" s="1039"/>
      <c r="R10" s="1025"/>
      <c r="AC10" s="1023" t="s">
        <v>338</v>
      </c>
      <c r="AI10" s="1330"/>
      <c r="AJ10" s="1330"/>
      <c r="AQ10" s="637"/>
      <c r="AR10" s="637"/>
    </row>
    <row customHeight="1" ht="11.25" hidden="1">
      <c r="A11" s="94" t="s">
        <v>371</v>
      </c>
      <c r="AE11" s="94">
        <f>god-2</f>
        <v>2024</v>
      </c>
      <c r="AF11" s="94">
        <f>god-2</f>
        <v>2024</v>
      </c>
      <c r="AG11" s="94">
        <f>god-2</f>
        <v>2024</v>
      </c>
      <c r="AH11" s="94">
        <f>god-1</f>
        <v>2025</v>
      </c>
      <c r="AI11" s="94" cm="1" t="str">
        <f t="array" ref="AI11:AI11">god</f>
        <v>2026</v>
      </c>
      <c r="AJ11" s="94" cm="1" t="str">
        <f t="array" ref="AJ11:AJ11">god</f>
        <v>2026</v>
      </c>
      <c r="AK11" s="148"/>
    </row>
    <row customHeight="1" ht="11.25" hidden="1">
      <c r="A12" s="94" t="s">
        <v>372</v>
      </c>
      <c r="AE12" s="118" cm="1" t="str">
        <f t="array" ref="AE12:AE12">AE25</f>
        <v>Принято органом регулирования</v>
      </c>
      <c r="AF12" s="118" cm="1" t="str">
        <f t="array" ref="AF12:AF12">AF25</f>
        <v>Факт по данным организации</v>
      </c>
      <c r="AG12" s="118" cm="1" t="str">
        <f t="array" ref="AG12:AG12">AG25</f>
        <v>Факт, принятый органом регулирования</v>
      </c>
      <c r="AH12" s="118" cm="1" t="str">
        <f t="array" ref="AH12:AH12">AH25</f>
        <v>Принято органом регулирования</v>
      </c>
      <c r="AI12" s="118" cm="1" t="str">
        <f t="array" ref="AI12:AI12">AI25</f>
        <v>Предложение организации</v>
      </c>
      <c r="AJ12" s="118" cm="1" t="str">
        <f t="array" ref="AJ12:AJ12">AJ25</f>
        <v>Принято органом регулирования</v>
      </c>
    </row>
    <row customHeight="1" ht="11.25" hidden="1">
      <c r="AE13" s="118" t="str">
        <f>AE11&amp;AE12</f>
        <v>2024Принято органом регулирования</v>
      </c>
      <c r="AF13" s="118" t="str">
        <f>AF11&amp;AF12</f>
        <v>2024Факт по данным организации</v>
      </c>
      <c r="AG13" s="118" t="str">
        <f>AG11&amp;AG12</f>
        <v>2024Факт, принятый органом регулирования</v>
      </c>
      <c r="AH13" s="118" t="str">
        <f>AH11&amp;AH12</f>
        <v>2025Принято органом регулирования</v>
      </c>
      <c r="AI13" s="118" t="str">
        <f>AI11&amp;AI12</f>
        <v>2026Предложение организации</v>
      </c>
      <c r="AJ13" s="118" t="str">
        <f>AJ11&amp;AJ12</f>
        <v>2026Принято органом регулирования</v>
      </c>
    </row>
    <row customHeight="1" ht="11.25" hidden="1">
      <c r="AI14" s="1328"/>
      <c r="AJ14" s="1328"/>
    </row>
    <row customHeight="1" ht="11.25" hidden="1">
      <c r="AI15" s="1328"/>
      <c r="AJ15" s="1328"/>
    </row>
    <row customHeight="1" ht="11.25" hidden="1">
      <c r="AI16" s="1328"/>
      <c r="AJ16" s="1328"/>
    </row>
    <row customHeight="1" ht="11.25" hidden="1">
      <c r="AI17" s="1328"/>
      <c r="AJ17" s="1328"/>
      <c r="AK17" s="148"/>
    </row>
    <row customHeight="1" ht="11.25" hidden="1">
      <c r="A18" s="94" t="s">
        <v>379</v>
      </c>
      <c r="AC18" s="94" t="s">
        <v>194</v>
      </c>
      <c r="AI18" s="1328"/>
      <c r="AJ18" s="1328"/>
    </row>
    <row customHeight="1" ht="11.25" hidden="1">
      <c r="AI19" s="1328"/>
      <c r="AJ19" s="1328"/>
    </row>
    <row customHeight="1" ht="11.25" hidden="1">
      <c r="AI20" s="1328"/>
      <c r="AJ20" s="1328"/>
    </row>
    <row customHeight="1" ht="14.625">
      <c r="E21" s="637">
        <v>15</v>
      </c>
      <c r="AA21" s="663"/>
      <c r="AC21" s="50" cm="1" t="str">
        <f t="array" ref="AC21:AC21">tpl_title</f>
        <v>Кемеровская область / 2026 / ОАО «СКЭК» (ИНН:4205153492, КПП:420501001) / ДПР: 2024-2028</v>
      </c>
      <c r="AI21" s="1328"/>
      <c r="AJ21" s="1328"/>
    </row>
    <row s="1363" customFormat="1" customHeight="1" ht="19.74375">
      <c r="B22" s="429"/>
      <c r="E22" s="638">
        <v>20.25</v>
      </c>
      <c r="G22" s="487"/>
      <c r="K22" s="487"/>
      <c r="L22" s="487"/>
      <c r="R22" s="50"/>
      <c r="AB22" s="315" t="s">
        <v>1349</v>
      </c>
      <c r="AC22" s="346"/>
      <c r="AD22" s="346"/>
      <c r="AE22" s="346"/>
      <c r="AF22" s="346"/>
      <c r="AG22" s="346"/>
      <c r="AH22" s="346"/>
      <c r="AI22" s="346"/>
      <c r="AJ22" s="346"/>
      <c r="AK22" s="346"/>
      <c r="AN22" s="1026"/>
      <c r="AO22" s="1026"/>
      <c r="AP22" s="1026"/>
      <c r="AQ22" s="638"/>
      <c r="AR22" s="638"/>
    </row>
    <row s="1363" customFormat="1" customHeight="1" ht="10.96875">
      <c r="B23" s="429"/>
      <c r="C23" s="496"/>
      <c r="D23" s="496"/>
      <c r="E23" s="847">
        <v>11.25</v>
      </c>
      <c r="F23" s="496"/>
      <c r="G23" s="496"/>
      <c r="H23" s="496"/>
      <c r="I23" s="496"/>
      <c r="J23" s="496"/>
      <c r="K23" s="487"/>
      <c r="L23" s="487"/>
      <c r="M23" s="496"/>
      <c r="N23" s="496"/>
      <c r="O23" s="496"/>
      <c r="P23" s="496"/>
      <c r="Q23" s="496"/>
      <c r="R23" s="370"/>
      <c r="S23" s="496"/>
      <c r="T23" s="496"/>
      <c r="U23" s="496"/>
      <c r="V23" s="496"/>
      <c r="W23" s="496"/>
      <c r="X23" s="496"/>
      <c r="Y23" s="496"/>
      <c r="Z23" s="496"/>
      <c r="AA23" s="496"/>
      <c r="AB23" s="868"/>
      <c r="AC23" s="869"/>
      <c r="AD23" s="869"/>
      <c r="AE23" s="869"/>
      <c r="AF23" s="869"/>
      <c r="AG23" s="869"/>
      <c r="AH23" s="869"/>
      <c r="AI23" s="869"/>
      <c r="AJ23" s="869"/>
      <c r="AK23" s="869"/>
      <c r="AN23" s="1026"/>
      <c r="AO23" s="1026"/>
      <c r="AP23" s="1026"/>
      <c r="AQ23" s="638"/>
      <c r="AR23" s="638"/>
    </row>
    <row s="1189" customFormat="1" customHeight="1" ht="14.625">
      <c r="B24" s="431"/>
      <c r="C24" s="573"/>
      <c r="D24" s="573"/>
      <c r="E24" s="870">
        <v>15</v>
      </c>
      <c r="F24" s="573"/>
      <c r="G24" s="573"/>
      <c r="H24" s="573"/>
      <c r="I24" s="573"/>
      <c r="J24" s="573"/>
      <c r="K24" s="489"/>
      <c r="L24" s="489"/>
      <c r="M24" s="573"/>
      <c r="N24" s="573"/>
      <c r="O24" s="573"/>
      <c r="P24" s="573"/>
      <c r="Q24" s="573"/>
      <c r="R24" s="370"/>
      <c r="S24" s="573"/>
      <c r="T24" s="573"/>
      <c r="U24" s="573"/>
      <c r="V24" s="573"/>
      <c r="W24" s="573"/>
      <c r="X24" s="573"/>
      <c r="Y24" s="573"/>
      <c r="Z24" s="573"/>
      <c r="AA24" s="573"/>
      <c r="AB24" s="1553" t="s">
        <v>918</v>
      </c>
      <c r="AC24" s="1584" t="s">
        <v>194</v>
      </c>
      <c r="AD24" s="1553" t="s">
        <v>381</v>
      </c>
      <c r="AE24" s="773" t="str">
        <f>god-2&amp;" год"</f>
        <v>2024 год</v>
      </c>
      <c r="AF24" s="1132" t="str">
        <f>god-2&amp;" год"</f>
        <v>2024 год</v>
      </c>
      <c r="AG24" s="773" t="str">
        <f>god-2&amp;" год"</f>
        <v>2024 год</v>
      </c>
      <c r="AH24" s="773" t="str">
        <f>god-1&amp;" год"</f>
        <v>2025 год</v>
      </c>
      <c r="AI24" s="1133" t="str">
        <f>god&amp;" год"</f>
        <v>2026 год</v>
      </c>
      <c r="AJ24" s="871" t="str">
        <f>god&amp;" год"</f>
        <v>2026 год</v>
      </c>
      <c r="AK24" s="1553" t="s">
        <v>652</v>
      </c>
      <c r="AN24" s="1021"/>
      <c r="AO24" s="1021"/>
      <c r="AP24" s="1021"/>
      <c r="AQ24" s="635"/>
      <c r="AR24" s="635"/>
    </row>
    <row s="1189" customFormat="1" customHeight="1" ht="44.118750000000006">
      <c r="B25" s="431"/>
      <c r="C25" s="573"/>
      <c r="D25" s="573"/>
      <c r="E25" s="870">
        <v>45.25</v>
      </c>
      <c r="F25" s="573"/>
      <c r="G25" s="573"/>
      <c r="H25" s="573"/>
      <c r="I25" s="573"/>
      <c r="J25" s="573"/>
      <c r="K25" s="489"/>
      <c r="L25" s="489"/>
      <c r="M25" s="573"/>
      <c r="N25" s="573"/>
      <c r="O25" s="573"/>
      <c r="P25" s="573"/>
      <c r="Q25" s="573"/>
      <c r="R25" s="370"/>
      <c r="S25" s="573"/>
      <c r="T25" s="573"/>
      <c r="U25" s="573"/>
      <c r="V25" s="573"/>
      <c r="W25" s="573"/>
      <c r="X25" s="573"/>
      <c r="Y25" s="573"/>
      <c r="Z25" s="573"/>
      <c r="AA25" s="573"/>
      <c r="AB25" s="1595"/>
      <c r="AC25" s="1595"/>
      <c r="AD25" s="1595"/>
      <c r="AE25" s="773" t="s">
        <v>373</v>
      </c>
      <c r="AF25" s="1132" t="s">
        <v>555</v>
      </c>
      <c r="AG25" s="773" t="s">
        <v>556</v>
      </c>
      <c r="AH25" s="773" t="s">
        <v>373</v>
      </c>
      <c r="AI25" s="1134" t="s">
        <v>374</v>
      </c>
      <c r="AJ25" s="872" t="s">
        <v>373</v>
      </c>
      <c r="AK25" s="1595"/>
      <c r="AN25" s="1021"/>
      <c r="AO25" s="1021"/>
      <c r="AP25" s="1021"/>
      <c r="AQ25" s="635"/>
      <c r="AR25" s="635"/>
    </row>
    <row s="1656" customFormat="1" customHeight="1" ht="11.25" hidden="1">
      <c r="A26" s="472"/>
      <c r="B26" s="664"/>
      <c r="C26" s="485"/>
      <c r="D26" s="485"/>
      <c r="E26" s="873">
        <v>0</v>
      </c>
      <c r="F26" s="485"/>
      <c r="G26" s="485"/>
      <c r="H26" s="485"/>
      <c r="I26" s="485"/>
      <c r="J26" s="485"/>
      <c r="K26" s="921"/>
      <c r="L26" s="921"/>
      <c r="M26" s="485"/>
      <c r="N26" s="485"/>
      <c r="O26" s="485"/>
      <c r="P26" s="485"/>
      <c r="Q26" s="485"/>
      <c r="R26" s="485"/>
      <c r="S26" s="485"/>
      <c r="T26" s="485"/>
      <c r="U26" s="485"/>
      <c r="V26" s="485"/>
      <c r="W26" s="485"/>
      <c r="X26" s="485"/>
      <c r="Y26" s="485"/>
      <c r="Z26" s="485"/>
      <c r="AA26" s="485"/>
      <c r="AB26" s="485"/>
      <c r="AC26" s="485"/>
      <c r="AD26" s="485"/>
      <c r="AE26" s="485"/>
      <c r="AF26" s="485"/>
      <c r="AG26" s="0"/>
      <c r="AH26" s="0"/>
      <c r="AI26" s="0"/>
      <c r="AJ26" s="0"/>
      <c r="AK26" s="0"/>
      <c r="AN26" s="1027"/>
      <c r="AO26" s="1027"/>
      <c r="AP26" s="1027"/>
      <c r="AQ26" s="1015"/>
      <c r="AR26" s="692"/>
    </row>
    <row s="1541" customFormat="1" customHeight="1" ht="14.625" hidden="1">
      <c r="A27" s="1541"/>
      <c r="B27" s="431"/>
      <c r="C27" s="874"/>
      <c r="D27" s="874"/>
      <c r="E27" s="875">
        <v>15</v>
      </c>
      <c r="F27" s="496" cm="1" t="str">
        <f t="array" ref="F27:F27">X27</f>
        <v>0</v>
      </c>
      <c r="G27" s="846" t="s">
        <v>61</v>
      </c>
      <c r="H27" s="846"/>
      <c r="I27" s="846"/>
      <c r="J27" s="874"/>
      <c r="K27" s="486"/>
      <c r="L27" s="486"/>
      <c r="M27" s="874"/>
      <c r="N27" s="874"/>
      <c r="O27" s="874"/>
      <c r="P27" s="874"/>
      <c r="Q27" s="874"/>
      <c r="R27" s="874"/>
      <c r="S27" s="874"/>
      <c r="T27" s="468">
        <f>X27&gt;0</f>
        <v>0</v>
      </c>
      <c r="U27" s="874"/>
      <c r="V27" s="874" t="s">
        <v>279</v>
      </c>
      <c r="W27" s="874"/>
      <c r="X27" s="1597">
        <v>0</v>
      </c>
      <c r="Y27" s="874"/>
      <c r="Z27" s="1598"/>
      <c r="AA27" s="874"/>
      <c r="AB27" s="238" cm="1" t="str">
        <f t="array" ref="AB27:AB27">INDEX('Общие сведения'!$AG$197:$AG$254,MATCH($X27,'Общие сведения'!$Z$197:$Z$254,0))</f>
        <v>Тариф 0 () - </v>
      </c>
      <c r="AC27" s="876"/>
      <c r="AD27" s="876"/>
      <c r="AE27" s="877">
        <f>AE28+AE33+AE34+AE39+AE40+AE45+AE46+AE51</f>
        <v>0</v>
      </c>
      <c r="AF27" s="877">
        <f>AF28+AF33+AF34+AF39+AF40+AF45+AF46+AF51</f>
        <v>0</v>
      </c>
      <c r="AG27" s="877">
        <f>AG28+AG33+AG34+AG39+AG40+AG45+AG46+AG51</f>
        <v>0</v>
      </c>
      <c r="AH27" s="877">
        <f>AH28+AH33+AH34+AH39+AH40+AH45+AH46+AH51</f>
        <v>0</v>
      </c>
      <c r="AI27" s="877">
        <f>AI28+AI33+AI34+AI39+AI40+AI45+AI46+AI51</f>
        <v>0</v>
      </c>
      <c r="AJ27" s="877">
        <f>AJ28+AJ33+AJ34+AJ39+AJ40+AJ45+AJ46+AJ51</f>
        <v>0</v>
      </c>
      <c r="AK27" s="877"/>
      <c r="AL27" s="1541"/>
      <c r="AM27" s="1541"/>
      <c r="AN27" s="1038"/>
      <c r="AO27" s="1038"/>
      <c r="AP27" s="1038"/>
      <c r="AQ27" s="263"/>
      <c r="AR27" s="263"/>
    </row>
    <row s="1541" customFormat="1" customHeight="1" ht="21.9375" hidden="1">
      <c r="A28" s="1541"/>
      <c r="B28" s="431"/>
      <c r="C28" s="874"/>
      <c r="D28" s="874"/>
      <c r="E28" s="875">
        <v>22.5</v>
      </c>
      <c r="F28" s="50" cm="1" t="str">
        <f t="array" ref="F28:F28">OFFSET(E28,-1,1)</f>
        <v>0</v>
      </c>
      <c r="G28" s="370" t="s">
        <v>1350</v>
      </c>
      <c r="H28" s="846" t="s">
        <v>344</v>
      </c>
      <c r="I28" s="846"/>
      <c r="J28" s="874"/>
      <c r="K28" s="486" t="str">
        <f>F28&amp;"1komm"</f>
        <v>01komm</v>
      </c>
      <c r="L28" s="924" cm="1" t="str">
        <f t="array" ref="L28:L28">AK28</f>
        <v>0</v>
      </c>
      <c r="M28" s="874"/>
      <c r="N28" s="874"/>
      <c r="O28" s="874"/>
      <c r="P28" s="874"/>
      <c r="Q28" s="874"/>
      <c r="R28" s="874"/>
      <c r="S28" s="874"/>
      <c r="T28" s="468" cm="1" t="str">
        <f t="array" ref="T28:T28">T27</f>
        <v>false</v>
      </c>
      <c r="U28" s="874"/>
      <c r="V28" s="874"/>
      <c r="W28" s="874"/>
      <c r="X28" s="1597"/>
      <c r="Y28" s="874"/>
      <c r="Z28" s="1598"/>
      <c r="AA28" s="874"/>
      <c r="AB28" s="696">
        <v>1</v>
      </c>
      <c r="AC28" s="854" t="s">
        <v>1351</v>
      </c>
      <c r="AD28" s="773" t="s">
        <v>936</v>
      </c>
      <c r="AE28" s="4146"/>
      <c r="AF28" s="4146"/>
      <c r="AG28" s="4146"/>
      <c r="AH28" s="4146"/>
      <c r="AI28" s="209">
        <f>_xlfn.SUMIFS(AI29:AI32,$AD29:$AD32,$AD28)</f>
        <v>0</v>
      </c>
      <c r="AJ28" s="209">
        <f>_xlfn.SUMIFS(AJ29:AJ32,$AD29:$AD32,$AD28)</f>
        <v>0</v>
      </c>
      <c r="AK28" s="1823"/>
      <c r="AL28" s="1541"/>
      <c r="AM28" s="1541"/>
      <c r="AN28" s="1038" t="s">
        <v>1352</v>
      </c>
      <c r="AO28" s="1038"/>
      <c r="AP28" s="1038"/>
      <c r="AQ28" s="263"/>
      <c r="AR28" s="263"/>
    </row>
    <row s="1541" customFormat="1" customHeight="1" ht="18.28125" hidden="1">
      <c r="A29" s="1541"/>
      <c r="B29" s="431"/>
      <c r="C29" s="874"/>
      <c r="D29" s="874"/>
      <c r="E29" s="875">
        <v>18.75</v>
      </c>
      <c r="F29" s="50" cm="1" t="str">
        <f t="array" ref="F29:F29">OFFSET(E29,-1,1)</f>
        <v>0</v>
      </c>
      <c r="G29" s="846"/>
      <c r="H29" s="846" t="s">
        <v>344</v>
      </c>
      <c r="I29" s="846" cm="1" t="str">
        <f t="array" ref="I29:I29">AC29</f>
        <v>0</v>
      </c>
      <c r="J29" s="874"/>
      <c r="K29" s="486"/>
      <c r="L29" s="486"/>
      <c r="M29" s="874"/>
      <c r="N29" s="874"/>
      <c r="O29" s="874"/>
      <c r="P29" s="874"/>
      <c r="Q29" s="874"/>
      <c r="R29" s="874"/>
      <c r="S29" s="874"/>
      <c r="T29" s="468">
        <f>AND(F29&gt;0,Y29&gt;0)</f>
        <v>0</v>
      </c>
      <c r="U29" s="874"/>
      <c r="V29" s="874"/>
      <c r="W29" s="874" t="s">
        <v>173</v>
      </c>
      <c r="X29" s="1597"/>
      <c r="Y29" s="1597">
        <v>0</v>
      </c>
      <c r="Z29" s="1598"/>
      <c r="AA29" s="1594" t="s">
        <v>174</v>
      </c>
      <c r="AB29" s="296" t="str">
        <f>"1."&amp;Y29</f>
        <v>1.0</v>
      </c>
      <c r="AC29" s="4148"/>
      <c r="AD29" s="773" t="s">
        <v>936</v>
      </c>
      <c r="AE29" s="4149"/>
      <c r="AF29" s="4149"/>
      <c r="AG29" s="4149"/>
      <c r="AH29" s="4149"/>
      <c r="AI29" s="3132">
        <f>AI30*AI31*12/1000</f>
        <v>0</v>
      </c>
      <c r="AJ29" s="3132">
        <f>AJ30*AJ31*12/1000</f>
        <v>0</v>
      </c>
      <c r="AK29" s="1823"/>
      <c r="AL29" s="1541"/>
      <c r="AM29" s="1541"/>
      <c r="AN29" s="1038" t="s">
        <v>1353</v>
      </c>
      <c r="AO29" s="1038" t="s">
        <v>1354</v>
      </c>
      <c r="AP29" s="1038" cm="1" t="str">
        <f t="array" ref="AP29:AP29">AC29</f>
        <v>0</v>
      </c>
      <c r="AQ29" s="263"/>
      <c r="AR29" s="263" t="b">
        <v>1</v>
      </c>
    </row>
    <row s="1541" customFormat="1" customHeight="1" ht="14.625" hidden="1">
      <c r="A30" s="1541"/>
      <c r="B30" s="431"/>
      <c r="C30" s="874"/>
      <c r="D30" s="874"/>
      <c r="E30" s="875">
        <v>15</v>
      </c>
      <c r="F30" s="50" cm="1" t="str">
        <f t="array" ref="F30:F30">OFFSET(E30,-1,1)</f>
        <v>0</v>
      </c>
      <c r="G30" s="879" t="s">
        <v>1355</v>
      </c>
      <c r="H30" s="846" t="str">
        <f>H29&amp;"_1"</f>
        <v>l1_1</v>
      </c>
      <c r="I30" s="846" cm="1" t="str">
        <f t="array" ref="I30:I30">I29</f>
        <v>0</v>
      </c>
      <c r="J30" s="874"/>
      <c r="K30" s="486"/>
      <c r="L30" s="486"/>
      <c r="M30" s="874"/>
      <c r="N30" s="874"/>
      <c r="O30" s="874"/>
      <c r="P30" s="874"/>
      <c r="Q30" s="874"/>
      <c r="R30" s="874"/>
      <c r="S30" s="874"/>
      <c r="T30" s="468" cm="1" t="str">
        <f t="array" ref="T30:T30">T29</f>
        <v>false</v>
      </c>
      <c r="U30" s="874"/>
      <c r="V30" s="874"/>
      <c r="W30" s="874"/>
      <c r="X30" s="1597"/>
      <c r="Y30" s="1597"/>
      <c r="Z30" s="1598"/>
      <c r="AA30" s="1594"/>
      <c r="AB30" s="696" t="str">
        <f>AB29&amp;".1"</f>
        <v>1.0.1</v>
      </c>
      <c r="AC30" s="772" t="s">
        <v>1356</v>
      </c>
      <c r="AD30" s="773" t="s">
        <v>1357</v>
      </c>
      <c r="AE30" s="4149"/>
      <c r="AF30" s="4149"/>
      <c r="AG30" s="4149"/>
      <c r="AH30" s="4149"/>
      <c r="AI30" s="4146"/>
      <c r="AJ30" s="4146"/>
      <c r="AK30" s="1823"/>
      <c r="AL30" s="1541"/>
      <c r="AM30" s="1541"/>
      <c r="AN30" s="1038" t="s">
        <v>1358</v>
      </c>
      <c r="AO30" s="1038" t="s">
        <v>1354</v>
      </c>
      <c r="AP30" s="1038" cm="1" t="str">
        <f t="array" ref="AP30:AP30">AP29</f>
        <v>0</v>
      </c>
      <c r="AQ30" s="263"/>
      <c r="AR30" s="263"/>
    </row>
    <row s="1541" customFormat="1" customHeight="1" ht="14.625" hidden="1">
      <c r="A31" s="1541"/>
      <c r="B31" s="431"/>
      <c r="C31" s="874"/>
      <c r="D31" s="874"/>
      <c r="E31" s="875">
        <v>15</v>
      </c>
      <c r="F31" s="50" cm="1" t="str">
        <f t="array" ref="F31:F31">OFFSET(E31,-1,1)</f>
        <v>0</v>
      </c>
      <c r="G31" s="846"/>
      <c r="H31" s="846" t="str">
        <f>H29&amp;"_2"</f>
        <v>l1_2</v>
      </c>
      <c r="I31" s="846" cm="1" t="str">
        <f t="array" ref="I31:I31">I30</f>
        <v>0</v>
      </c>
      <c r="J31" s="874"/>
      <c r="K31" s="486"/>
      <c r="L31" s="486"/>
      <c r="M31" s="874"/>
      <c r="N31" s="874"/>
      <c r="O31" s="874"/>
      <c r="P31" s="874"/>
      <c r="Q31" s="874"/>
      <c r="R31" s="874"/>
      <c r="S31" s="874"/>
      <c r="T31" s="468" cm="1" t="str">
        <f t="array" ref="T31:T31">T30</f>
        <v>false</v>
      </c>
      <c r="U31" s="874"/>
      <c r="V31" s="874"/>
      <c r="W31" s="874"/>
      <c r="X31" s="1597"/>
      <c r="Y31" s="1597"/>
      <c r="Z31" s="1598"/>
      <c r="AA31" s="1594"/>
      <c r="AB31" s="696" t="str">
        <f>AB29&amp;".2"</f>
        <v>1.0.2</v>
      </c>
      <c r="AC31" s="772" t="s">
        <v>1359</v>
      </c>
      <c r="AD31" s="773" t="s">
        <v>1360</v>
      </c>
      <c r="AE31" s="4149"/>
      <c r="AF31" s="4149"/>
      <c r="AG31" s="4149"/>
      <c r="AH31" s="4149"/>
      <c r="AI31" s="4146"/>
      <c r="AJ31" s="4146"/>
      <c r="AK31" s="1823"/>
      <c r="AL31" s="1541"/>
      <c r="AM31" s="1541"/>
      <c r="AN31" s="1038" t="s">
        <v>1361</v>
      </c>
      <c r="AO31" s="1038" t="s">
        <v>1354</v>
      </c>
      <c r="AP31" s="1038" cm="1" t="str">
        <f t="array" ref="AP31:AP31">AP30</f>
        <v>0</v>
      </c>
      <c r="AQ31" s="263"/>
      <c r="AR31" s="263"/>
    </row>
    <row s="1541" customFormat="1" customHeight="1" ht="14.625" hidden="1">
      <c r="A32" s="1541"/>
      <c r="B32" s="431"/>
      <c r="C32" s="874"/>
      <c r="D32" s="874"/>
      <c r="E32" s="875">
        <v>15</v>
      </c>
      <c r="F32" s="50" cm="1" t="str">
        <f t="array" ref="F32:F32">OFFSET(E32,-1,1)</f>
        <v>0</v>
      </c>
      <c r="G32" s="370"/>
      <c r="H32" s="846"/>
      <c r="I32" s="148" t="str">
        <f>"!=='не определено' &amp;&amp; row.l1 !== null"</f>
        <v>!=='не определено' &amp;&amp; row.l1 !== null</v>
      </c>
      <c r="J32" s="874"/>
      <c r="K32" s="486"/>
      <c r="L32" s="486"/>
      <c r="M32" s="874"/>
      <c r="N32" s="874"/>
      <c r="O32" s="874"/>
      <c r="P32" s="874"/>
      <c r="Q32" s="874"/>
      <c r="R32" s="874"/>
      <c r="S32" s="874"/>
      <c r="T32" s="468">
        <f>F32&gt;0</f>
        <v>0</v>
      </c>
      <c r="U32" s="874"/>
      <c r="V32" s="874"/>
      <c r="W32" s="764" t="s">
        <v>410</v>
      </c>
      <c r="X32" s="1597"/>
      <c r="Y32" s="880"/>
      <c r="Z32" s="1598"/>
      <c r="AA32" s="874"/>
      <c r="AB32" s="881"/>
      <c r="AC32" s="256" t="s">
        <v>177</v>
      </c>
      <c r="AD32" s="783"/>
      <c r="AE32" s="783"/>
      <c r="AF32" s="783"/>
      <c r="AG32" s="783"/>
      <c r="AH32" s="783"/>
      <c r="AI32" s="783"/>
      <c r="AJ32" s="783"/>
      <c r="AK32" s="784"/>
      <c r="AL32" s="1541"/>
      <c r="AM32" s="1541"/>
      <c r="AN32" s="1038"/>
      <c r="AO32" s="1038"/>
      <c r="AP32" s="1038"/>
      <c r="AQ32" s="263" t="s">
        <v>1354</v>
      </c>
      <c r="AR32" s="263"/>
    </row>
    <row s="1541" customFormat="1" customHeight="1" ht="21.9375" hidden="1">
      <c r="A33" s="1541"/>
      <c r="B33" s="431"/>
      <c r="C33" s="874"/>
      <c r="D33" s="874"/>
      <c r="E33" s="875">
        <v>22.5</v>
      </c>
      <c r="F33" s="50" cm="1" t="str">
        <f t="array" ref="F33:F33">OFFSET(E33,-1,1)</f>
        <v>0</v>
      </c>
      <c r="G33" s="370" t="s">
        <v>1362</v>
      </c>
      <c r="H33" s="846" t="s">
        <v>345</v>
      </c>
      <c r="I33" s="846"/>
      <c r="J33" s="874"/>
      <c r="K33" s="486" t="str">
        <f>F33&amp;"2komm"</f>
        <v>02komm</v>
      </c>
      <c r="L33" s="924" cm="1" t="str">
        <f t="array" ref="L33:L33">AK33</f>
        <v>0</v>
      </c>
      <c r="M33" s="874"/>
      <c r="N33" s="874"/>
      <c r="O33" s="874"/>
      <c r="P33" s="874"/>
      <c r="Q33" s="874"/>
      <c r="R33" s="874"/>
      <c r="S33" s="874"/>
      <c r="T33" s="468" cm="1" t="str">
        <f t="array" ref="T33:T33">T32</f>
        <v>false</v>
      </c>
      <c r="U33" s="874"/>
      <c r="V33" s="874"/>
      <c r="W33" s="874"/>
      <c r="X33" s="1597"/>
      <c r="Y33" s="880"/>
      <c r="Z33" s="1598"/>
      <c r="AA33" s="874"/>
      <c r="AB33" s="696" t="s">
        <v>299</v>
      </c>
      <c r="AC33" s="854" t="s">
        <v>1363</v>
      </c>
      <c r="AD33" s="773" t="s">
        <v>936</v>
      </c>
      <c r="AE33" s="4146">
        <f>AE28*_xlfn.SUMIFS(INDEX(Сценарии!$AE$25:$BF$136,,MATCH(AE$13,Сценарии!$AE$8:$BF$8,0)),Сценарии!$F$25:$F$136,$F33,Сценарии!$G$25:$G$136,"СВФОТ")/100</f>
        <v>0</v>
      </c>
      <c r="AF33" s="4146">
        <f>AF28*_xlfn.SUMIFS(INDEX(Сценарии!$AE$25:$BF$136,,MATCH(AF$13,Сценарии!$AE$8:$BF$8,0)),Сценарии!$F$25:$F$136,$F33,Сценарии!$G$25:$G$136,"СВФОТ")/100</f>
        <v>0</v>
      </c>
      <c r="AG33" s="4146">
        <f>AG28*_xlfn.SUMIFS(INDEX(Сценарии!$AE$25:$BF$136,,MATCH(AG$13,Сценарии!$AE$8:$BF$8,0)),Сценарии!$F$25:$F$136,$F33,Сценарии!$G$25:$G$136,"СВФОТ")/100</f>
        <v>0</v>
      </c>
      <c r="AH33" s="4146">
        <f>AH28*_xlfn.SUMIFS(INDEX(Сценарии!$AE$25:$BF$136,,MATCH(AH$13,Сценарии!$AE$8:$BF$8,0)),Сценарии!$F$25:$F$136,$F33,Сценарии!$G$25:$G$136,"СВФОТ")/100</f>
        <v>0</v>
      </c>
      <c r="AI33" s="4146">
        <f>AI28*_xlfn.SUMIFS(INDEX(Сценарии!$AE$25:$BF$136,,MATCH(AI$13,Сценарии!$AE$8:$BF$8,0)),Сценарии!$F$25:$F$136,$F33,Сценарии!$G$25:$G$136,"СВФОТ")/100</f>
        <v>0</v>
      </c>
      <c r="AJ33" s="4146">
        <f>AJ28*_xlfn.SUMIFS(INDEX(Сценарии!$AE$25:$BF$136,,MATCH(AJ$13,Сценарии!$AE$8:$BF$8,0)),Сценарии!$F$25:$F$136,$F33,Сценарии!$G$25:$G$136,"СВФОТ")/100</f>
        <v>0</v>
      </c>
      <c r="AK33" s="1823"/>
      <c r="AL33" s="1541"/>
      <c r="AM33" s="1541"/>
      <c r="AN33" s="1038" t="s">
        <v>1364</v>
      </c>
      <c r="AO33" s="1038"/>
      <c r="AP33" s="1038"/>
      <c r="AQ33" s="263"/>
      <c r="AR33" s="263"/>
    </row>
    <row s="1541" customFormat="1" customHeight="1" ht="14.625" hidden="1">
      <c r="A34" s="1541"/>
      <c r="B34" s="431"/>
      <c r="C34" s="874"/>
      <c r="D34" s="874"/>
      <c r="E34" s="875">
        <v>15</v>
      </c>
      <c r="F34" s="50" cm="1" t="str">
        <f t="array" ref="F34:F34">OFFSET(E34,-1,1)</f>
        <v>0</v>
      </c>
      <c r="G34" s="370" t="s">
        <v>1365</v>
      </c>
      <c r="H34" s="846" t="s">
        <v>346</v>
      </c>
      <c r="I34" s="846"/>
      <c r="J34" s="874"/>
      <c r="K34" s="486" t="str">
        <f>F34&amp;"3komm"</f>
        <v>03komm</v>
      </c>
      <c r="L34" s="924" cm="1" t="str">
        <f t="array" ref="L34:L34">AK34</f>
        <v>0</v>
      </c>
      <c r="M34" s="874"/>
      <c r="N34" s="874"/>
      <c r="O34" s="874"/>
      <c r="P34" s="874"/>
      <c r="Q34" s="874"/>
      <c r="R34" s="874"/>
      <c r="S34" s="874"/>
      <c r="T34" s="468" cm="1" t="str">
        <f t="array" ref="T34:T34">T33</f>
        <v>false</v>
      </c>
      <c r="U34" s="874"/>
      <c r="V34" s="874"/>
      <c r="W34" s="874"/>
      <c r="X34" s="1597"/>
      <c r="Y34" s="880"/>
      <c r="Z34" s="1598"/>
      <c r="AA34" s="874"/>
      <c r="AB34" s="696" t="s">
        <v>234</v>
      </c>
      <c r="AC34" s="854" t="s">
        <v>1366</v>
      </c>
      <c r="AD34" s="773" t="s">
        <v>936</v>
      </c>
      <c r="AE34" s="4146"/>
      <c r="AF34" s="4146"/>
      <c r="AG34" s="4146"/>
      <c r="AH34" s="4146"/>
      <c r="AI34" s="209">
        <f>_xlfn.SUMIFS(AI35:AI38,$AD35:$AD38,$AD34)</f>
        <v>0</v>
      </c>
      <c r="AJ34" s="209">
        <f>_xlfn.SUMIFS(AJ35:AJ38,$AD35:$AD38,$AD34)</f>
        <v>0</v>
      </c>
      <c r="AK34" s="1823"/>
      <c r="AL34" s="1541"/>
      <c r="AM34" s="1541"/>
      <c r="AN34" s="1038" t="s">
        <v>1367</v>
      </c>
      <c r="AO34" s="1038"/>
      <c r="AP34" s="1038"/>
      <c r="AQ34" s="263"/>
      <c r="AR34" s="263"/>
    </row>
    <row s="1541" customFormat="1" customHeight="1" ht="18.28125" hidden="1">
      <c r="A35" s="1541"/>
      <c r="B35" s="431"/>
      <c r="C35" s="874"/>
      <c r="D35" s="874"/>
      <c r="E35" s="875">
        <v>18.75</v>
      </c>
      <c r="F35" s="50" cm="1" t="str">
        <f t="array" ref="F35:F35">OFFSET(E35,-1,1)</f>
        <v>0</v>
      </c>
      <c r="G35" s="846"/>
      <c r="H35" s="846" t="s">
        <v>346</v>
      </c>
      <c r="I35" s="846" cm="1" t="str">
        <f t="array" ref="I35:I35">AC35</f>
        <v>0</v>
      </c>
      <c r="J35" s="874"/>
      <c r="K35" s="486"/>
      <c r="L35" s="486"/>
      <c r="M35" s="874"/>
      <c r="N35" s="874"/>
      <c r="O35" s="874"/>
      <c r="P35" s="874"/>
      <c r="Q35" s="874"/>
      <c r="R35" s="874"/>
      <c r="S35" s="874"/>
      <c r="T35" s="468">
        <f>AND(F35&gt;0,Y35&gt;0)</f>
        <v>0</v>
      </c>
      <c r="U35" s="874"/>
      <c r="V35" s="874"/>
      <c r="W35" s="874" t="s">
        <v>173</v>
      </c>
      <c r="X35" s="1597"/>
      <c r="Y35" s="1597">
        <v>0</v>
      </c>
      <c r="Z35" s="1598"/>
      <c r="AA35" s="1594" t="s">
        <v>174</v>
      </c>
      <c r="AB35" s="296" t="str">
        <f>"3."&amp;Y35</f>
        <v>3.0</v>
      </c>
      <c r="AC35" s="4148"/>
      <c r="AD35" s="773" t="s">
        <v>936</v>
      </c>
      <c r="AE35" s="4149"/>
      <c r="AF35" s="4149"/>
      <c r="AG35" s="4149"/>
      <c r="AH35" s="4149"/>
      <c r="AI35" s="3132">
        <f>AI36*AI37*12/1000</f>
        <v>0</v>
      </c>
      <c r="AJ35" s="3132">
        <f>AJ36*AJ37*12/1000</f>
        <v>0</v>
      </c>
      <c r="AK35" s="1823"/>
      <c r="AL35" s="1541"/>
      <c r="AM35" s="1541"/>
      <c r="AN35" s="1038" t="s">
        <v>1353</v>
      </c>
      <c r="AO35" s="1038" t="s">
        <v>1368</v>
      </c>
      <c r="AP35" s="1038" cm="1" t="str">
        <f t="array" ref="AP35:AP35">AC35</f>
        <v>0</v>
      </c>
      <c r="AQ35" s="263"/>
      <c r="AR35" s="263" t="b">
        <v>1</v>
      </c>
    </row>
    <row s="1541" customFormat="1" customHeight="1" ht="14.625" hidden="1">
      <c r="A36" s="1541"/>
      <c r="B36" s="431"/>
      <c r="C36" s="874"/>
      <c r="D36" s="874"/>
      <c r="E36" s="875">
        <v>15</v>
      </c>
      <c r="F36" s="50" cm="1" t="str">
        <f t="array" ref="F36:F36">OFFSET(E36,-1,1)</f>
        <v>0</v>
      </c>
      <c r="G36" s="879" t="s">
        <v>1369</v>
      </c>
      <c r="H36" s="846" t="str">
        <f>H35&amp;"_1"</f>
        <v>l3_1</v>
      </c>
      <c r="I36" s="846" cm="1" t="str">
        <f t="array" ref="I36:I36">I35</f>
        <v>0</v>
      </c>
      <c r="J36" s="874"/>
      <c r="K36" s="486"/>
      <c r="L36" s="486"/>
      <c r="M36" s="874"/>
      <c r="N36" s="874"/>
      <c r="O36" s="874"/>
      <c r="P36" s="874"/>
      <c r="Q36" s="874"/>
      <c r="R36" s="874"/>
      <c r="S36" s="874"/>
      <c r="T36" s="468" cm="1" t="str">
        <f t="array" ref="T36:T36">T35</f>
        <v>false</v>
      </c>
      <c r="U36" s="874"/>
      <c r="V36" s="874"/>
      <c r="W36" s="874"/>
      <c r="X36" s="1597"/>
      <c r="Y36" s="1597"/>
      <c r="Z36" s="1598"/>
      <c r="AA36" s="1594"/>
      <c r="AB36" s="696" t="str">
        <f>AB35&amp;".1"</f>
        <v>3.0.1</v>
      </c>
      <c r="AC36" s="772" t="s">
        <v>1356</v>
      </c>
      <c r="AD36" s="773" t="s">
        <v>1357</v>
      </c>
      <c r="AE36" s="4149"/>
      <c r="AF36" s="4149"/>
      <c r="AG36" s="4149"/>
      <c r="AH36" s="4149"/>
      <c r="AI36" s="4146"/>
      <c r="AJ36" s="4146"/>
      <c r="AK36" s="1823"/>
      <c r="AL36" s="1541"/>
      <c r="AM36" s="1541"/>
      <c r="AN36" s="1038" t="s">
        <v>1358</v>
      </c>
      <c r="AO36" s="1038" t="s">
        <v>1368</v>
      </c>
      <c r="AP36" s="1038" cm="1" t="str">
        <f t="array" ref="AP36:AP36">AP35</f>
        <v>0</v>
      </c>
      <c r="AQ36" s="263"/>
      <c r="AR36" s="263"/>
    </row>
    <row s="1541" customFormat="1" customHeight="1" ht="14.625" hidden="1">
      <c r="A37" s="1541"/>
      <c r="B37" s="431"/>
      <c r="C37" s="874"/>
      <c r="D37" s="874"/>
      <c r="E37" s="875">
        <v>15</v>
      </c>
      <c r="F37" s="50" cm="1" t="str">
        <f t="array" ref="F37:F37">OFFSET(E37,-1,1)</f>
        <v>0</v>
      </c>
      <c r="G37" s="846"/>
      <c r="H37" s="846" t="str">
        <f>H35&amp;"_2"</f>
        <v>l3_2</v>
      </c>
      <c r="I37" s="846" cm="1" t="str">
        <f t="array" ref="I37:I37">I36</f>
        <v>0</v>
      </c>
      <c r="J37" s="874"/>
      <c r="K37" s="486"/>
      <c r="L37" s="486"/>
      <c r="M37" s="874"/>
      <c r="N37" s="874"/>
      <c r="O37" s="874"/>
      <c r="P37" s="874"/>
      <c r="Q37" s="874"/>
      <c r="R37" s="874"/>
      <c r="S37" s="874"/>
      <c r="T37" s="468" cm="1" t="str">
        <f t="array" ref="T37:T37">T36</f>
        <v>false</v>
      </c>
      <c r="U37" s="874"/>
      <c r="V37" s="874"/>
      <c r="W37" s="874"/>
      <c r="X37" s="1597"/>
      <c r="Y37" s="1597"/>
      <c r="Z37" s="1598"/>
      <c r="AA37" s="1594"/>
      <c r="AB37" s="696" t="str">
        <f>AB35&amp;".2"</f>
        <v>3.0.2</v>
      </c>
      <c r="AC37" s="772" t="s">
        <v>1359</v>
      </c>
      <c r="AD37" s="773" t="s">
        <v>1360</v>
      </c>
      <c r="AE37" s="4149"/>
      <c r="AF37" s="4149"/>
      <c r="AG37" s="4149"/>
      <c r="AH37" s="4149"/>
      <c r="AI37" s="4146"/>
      <c r="AJ37" s="4146"/>
      <c r="AK37" s="1823"/>
      <c r="AL37" s="1541"/>
      <c r="AM37" s="1541"/>
      <c r="AN37" s="1038" t="s">
        <v>1361</v>
      </c>
      <c r="AO37" s="1038" t="s">
        <v>1368</v>
      </c>
      <c r="AP37" s="1038" cm="1" t="str">
        <f t="array" ref="AP37:AP37">AP36</f>
        <v>0</v>
      </c>
      <c r="AQ37" s="263"/>
      <c r="AR37" s="263"/>
    </row>
    <row s="1541" customFormat="1" customHeight="1" ht="14.625" hidden="1">
      <c r="A38" s="1541"/>
      <c r="B38" s="431"/>
      <c r="C38" s="874"/>
      <c r="D38" s="874"/>
      <c r="E38" s="875">
        <v>15</v>
      </c>
      <c r="F38" s="50" cm="1" t="str">
        <f t="array" ref="F38:F38">OFFSET(E38,-1,1)</f>
        <v>0</v>
      </c>
      <c r="G38" s="370"/>
      <c r="H38" s="846"/>
      <c r="I38" s="148" t="str">
        <f>"!=='не определено' &amp;&amp; row.l3 !== null"</f>
        <v>!=='не определено' &amp;&amp; row.l3 !== null</v>
      </c>
      <c r="J38" s="874"/>
      <c r="K38" s="486"/>
      <c r="L38" s="486"/>
      <c r="M38" s="874"/>
      <c r="N38" s="874"/>
      <c r="O38" s="874"/>
      <c r="P38" s="874"/>
      <c r="Q38" s="874"/>
      <c r="R38" s="874"/>
      <c r="S38" s="874"/>
      <c r="T38" s="468">
        <f>F38&gt;0</f>
        <v>0</v>
      </c>
      <c r="U38" s="874"/>
      <c r="V38" s="874"/>
      <c r="W38" s="764" t="s">
        <v>1012</v>
      </c>
      <c r="X38" s="1597"/>
      <c r="Y38" s="880"/>
      <c r="Z38" s="1598"/>
      <c r="AA38" s="874"/>
      <c r="AB38" s="881"/>
      <c r="AC38" s="256" t="s">
        <v>177</v>
      </c>
      <c r="AD38" s="783"/>
      <c r="AE38" s="783"/>
      <c r="AF38" s="783"/>
      <c r="AG38" s="783"/>
      <c r="AH38" s="783"/>
      <c r="AI38" s="783"/>
      <c r="AJ38" s="783"/>
      <c r="AK38" s="784"/>
      <c r="AL38" s="1541"/>
      <c r="AM38" s="1541"/>
      <c r="AN38" s="1038"/>
      <c r="AO38" s="1038"/>
      <c r="AP38" s="1038"/>
      <c r="AQ38" s="263" t="s">
        <v>1368</v>
      </c>
      <c r="AR38" s="263"/>
    </row>
    <row s="1541" customFormat="1" customHeight="1" ht="21.9375" hidden="1">
      <c r="A39" s="1541"/>
      <c r="B39" s="431"/>
      <c r="C39" s="874"/>
      <c r="D39" s="874"/>
      <c r="E39" s="875">
        <v>22.5</v>
      </c>
      <c r="F39" s="50" cm="1" t="str">
        <f t="array" ref="F39:F39">OFFSET(E39,-1,1)</f>
        <v>0</v>
      </c>
      <c r="G39" s="370" t="s">
        <v>1370</v>
      </c>
      <c r="H39" s="846" t="s">
        <v>348</v>
      </c>
      <c r="I39" s="846"/>
      <c r="J39" s="874"/>
      <c r="K39" s="486" t="str">
        <f>F39&amp;"4komm"</f>
        <v>04komm</v>
      </c>
      <c r="L39" s="924" cm="1" t="str">
        <f t="array" ref="L39:L39">AK39</f>
        <v>0</v>
      </c>
      <c r="M39" s="874"/>
      <c r="N39" s="874"/>
      <c r="O39" s="874"/>
      <c r="P39" s="874"/>
      <c r="Q39" s="874"/>
      <c r="R39" s="874"/>
      <c r="S39" s="874"/>
      <c r="T39" s="468" cm="1" t="str">
        <f t="array" ref="T39:T39">T38</f>
        <v>false</v>
      </c>
      <c r="U39" s="874"/>
      <c r="V39" s="874"/>
      <c r="W39" s="874"/>
      <c r="X39" s="1597"/>
      <c r="Y39" s="880"/>
      <c r="Z39" s="1598"/>
      <c r="AA39" s="874"/>
      <c r="AB39" s="696" t="s">
        <v>451</v>
      </c>
      <c r="AC39" s="854" t="s">
        <v>1371</v>
      </c>
      <c r="AD39" s="773" t="s">
        <v>936</v>
      </c>
      <c r="AE39" s="4146">
        <f>AE34*_xlfn.SUMIFS(INDEX(Сценарии!$AE$25:$BF$136,,MATCH(AE$13,Сценарии!$AE$8:$BF$8,0)),Сценарии!$F$25:$F$136,$F39,Сценарии!$G$25:$G$136,"СВФОТ")/100</f>
        <v>0</v>
      </c>
      <c r="AF39" s="4146">
        <f>AF34*_xlfn.SUMIFS(INDEX(Сценарии!$AE$25:$BF$136,,MATCH(AF$13,Сценарии!$AE$8:$BF$8,0)),Сценарии!$F$25:$F$136,$F39,Сценарии!$G$25:$G$136,"СВФОТ")/100</f>
        <v>0</v>
      </c>
      <c r="AG39" s="4146">
        <f>AG34*_xlfn.SUMIFS(INDEX(Сценарии!$AE$25:$BF$136,,MATCH(AG$13,Сценарии!$AE$8:$BF$8,0)),Сценарии!$F$25:$F$136,$F39,Сценарии!$G$25:$G$136,"СВФОТ")/100</f>
        <v>0</v>
      </c>
      <c r="AH39" s="4146">
        <f>AH34*_xlfn.SUMIFS(INDEX(Сценарии!$AE$25:$BF$136,,MATCH(AH$13,Сценарии!$AE$8:$BF$8,0)),Сценарии!$F$25:$F$136,$F39,Сценарии!$G$25:$G$136,"СВФОТ")/100</f>
        <v>0</v>
      </c>
      <c r="AI39" s="4146">
        <f>AI34*_xlfn.SUMIFS(INDEX(Сценарии!$AE$25:$BF$136,,MATCH(AI$13,Сценарии!$AE$8:$BF$8,0)),Сценарии!$F$25:$F$136,$F39,Сценарии!$G$25:$G$136,"СВФОТ")/100</f>
        <v>0</v>
      </c>
      <c r="AJ39" s="4146">
        <f>AJ34*_xlfn.SUMIFS(INDEX(Сценарии!$AE$25:$BF$136,,MATCH(AJ$13,Сценарии!$AE$8:$BF$8,0)),Сценарии!$F$25:$F$136,$F39,Сценарии!$G$25:$G$136,"СВФОТ")/100</f>
        <v>0</v>
      </c>
      <c r="AK39" s="1823"/>
      <c r="AL39" s="1541"/>
      <c r="AM39" s="1541"/>
      <c r="AN39" s="1038" t="s">
        <v>1372</v>
      </c>
      <c r="AO39" s="1038"/>
      <c r="AP39" s="1038"/>
      <c r="AQ39" s="263"/>
      <c r="AR39" s="263"/>
    </row>
    <row s="1541" customFormat="1" customHeight="1" ht="21.9375" hidden="1">
      <c r="A40" s="1541"/>
      <c r="B40" s="431"/>
      <c r="C40" s="874"/>
      <c r="D40" s="874"/>
      <c r="E40" s="875">
        <v>22.5</v>
      </c>
      <c r="F40" s="50" cm="1" t="str">
        <f t="array" ref="F40:F40">OFFSET(E40,-1,1)</f>
        <v>0</v>
      </c>
      <c r="G40" s="370" t="s">
        <v>1373</v>
      </c>
      <c r="H40" s="846" t="s">
        <v>347</v>
      </c>
      <c r="I40" s="846"/>
      <c r="J40" s="874"/>
      <c r="K40" s="486" t="str">
        <f>F40&amp;"5komm"</f>
        <v>05komm</v>
      </c>
      <c r="L40" s="924" cm="1" t="str">
        <f t="array" ref="L40:L40">AK40</f>
        <v>0</v>
      </c>
      <c r="M40" s="874"/>
      <c r="N40" s="874"/>
      <c r="O40" s="874"/>
      <c r="P40" s="874"/>
      <c r="Q40" s="874"/>
      <c r="R40" s="874"/>
      <c r="S40" s="874"/>
      <c r="T40" s="468" cm="1" t="str">
        <f t="array" ref="T40:T40">T39</f>
        <v>false</v>
      </c>
      <c r="U40" s="874"/>
      <c r="V40" s="874"/>
      <c r="W40" s="874"/>
      <c r="X40" s="1597"/>
      <c r="Y40" s="880"/>
      <c r="Z40" s="1598"/>
      <c r="AA40" s="874"/>
      <c r="AB40" s="696" t="s">
        <v>454</v>
      </c>
      <c r="AC40" s="854" t="s">
        <v>1374</v>
      </c>
      <c r="AD40" s="773" t="s">
        <v>936</v>
      </c>
      <c r="AE40" s="4146"/>
      <c r="AF40" s="4146"/>
      <c r="AG40" s="4146"/>
      <c r="AH40" s="4146"/>
      <c r="AI40" s="209">
        <f>_xlfn.SUMIFS(AI41:AI44,$AD41:$AD44,$AD40)</f>
        <v>0</v>
      </c>
      <c r="AJ40" s="209">
        <f>_xlfn.SUMIFS(AJ41:AJ44,$AD41:$AD44,$AD40)</f>
        <v>0</v>
      </c>
      <c r="AK40" s="1823"/>
      <c r="AL40" s="1541"/>
      <c r="AM40" s="1541"/>
      <c r="AN40" s="1038" t="s">
        <v>1375</v>
      </c>
      <c r="AO40" s="1038"/>
      <c r="AP40" s="1038"/>
      <c r="AQ40" s="263"/>
      <c r="AR40" s="263"/>
    </row>
    <row s="1541" customFormat="1" customHeight="1" ht="18.28125" hidden="1">
      <c r="A41" s="1541"/>
      <c r="B41" s="431"/>
      <c r="C41" s="874"/>
      <c r="D41" s="874"/>
      <c r="E41" s="875">
        <v>18.75</v>
      </c>
      <c r="F41" s="50" cm="1" t="str">
        <f t="array" ref="F41:F41">OFFSET(E41,-1,1)</f>
        <v>0</v>
      </c>
      <c r="G41" s="846"/>
      <c r="H41" s="846" t="s">
        <v>347</v>
      </c>
      <c r="I41" s="846" cm="1" t="str">
        <f t="array" ref="I41:I41">AC41</f>
        <v>0</v>
      </c>
      <c r="J41" s="874"/>
      <c r="K41" s="486"/>
      <c r="L41" s="486"/>
      <c r="M41" s="874"/>
      <c r="N41" s="874"/>
      <c r="O41" s="874"/>
      <c r="P41" s="874"/>
      <c r="Q41" s="874"/>
      <c r="R41" s="874"/>
      <c r="S41" s="874"/>
      <c r="T41" s="468">
        <f>AND(F41&gt;0,Y41&gt;0)</f>
        <v>0</v>
      </c>
      <c r="U41" s="874"/>
      <c r="V41" s="874"/>
      <c r="W41" s="874" t="s">
        <v>173</v>
      </c>
      <c r="X41" s="1597"/>
      <c r="Y41" s="1597">
        <v>0</v>
      </c>
      <c r="Z41" s="1598"/>
      <c r="AA41" s="1594" t="s">
        <v>174</v>
      </c>
      <c r="AB41" s="296" t="str">
        <f>"5."&amp;Y41</f>
        <v>5.0</v>
      </c>
      <c r="AC41" s="4148"/>
      <c r="AD41" s="773" t="s">
        <v>936</v>
      </c>
      <c r="AE41" s="4149"/>
      <c r="AF41" s="4149"/>
      <c r="AG41" s="4149"/>
      <c r="AH41" s="4149"/>
      <c r="AI41" s="3132">
        <f>AI42*AI43*12/1000</f>
        <v>0</v>
      </c>
      <c r="AJ41" s="3132">
        <f>AJ42*AJ43*12/1000</f>
        <v>0</v>
      </c>
      <c r="AK41" s="1823"/>
      <c r="AL41" s="1541"/>
      <c r="AM41" s="1541"/>
      <c r="AN41" s="1038" t="s">
        <v>1353</v>
      </c>
      <c r="AO41" s="1038" t="s">
        <v>1376</v>
      </c>
      <c r="AP41" s="1038" cm="1" t="str">
        <f t="array" ref="AP41:AP41">AC41</f>
        <v>0</v>
      </c>
      <c r="AQ41" s="263"/>
      <c r="AR41" s="263" t="b">
        <v>1</v>
      </c>
    </row>
    <row s="1541" customFormat="1" customHeight="1" ht="14.625" hidden="1">
      <c r="A42" s="1541"/>
      <c r="B42" s="431"/>
      <c r="C42" s="874"/>
      <c r="D42" s="874"/>
      <c r="E42" s="875">
        <v>15</v>
      </c>
      <c r="F42" s="50" cm="1" t="str">
        <f t="array" ref="F42:F42">OFFSET(E42,-1,1)</f>
        <v>0</v>
      </c>
      <c r="G42" s="846"/>
      <c r="H42" s="846" t="str">
        <f>H41&amp;"_1"</f>
        <v>l5_1</v>
      </c>
      <c r="I42" s="846" cm="1" t="str">
        <f t="array" ref="I42:I42">I41</f>
        <v>0</v>
      </c>
      <c r="J42" s="874"/>
      <c r="K42" s="486"/>
      <c r="L42" s="486"/>
      <c r="M42" s="874"/>
      <c r="N42" s="874"/>
      <c r="O42" s="874"/>
      <c r="P42" s="874"/>
      <c r="Q42" s="874"/>
      <c r="R42" s="874"/>
      <c r="S42" s="874"/>
      <c r="T42" s="468" cm="1" t="str">
        <f t="array" ref="T42:T42">T41</f>
        <v>false</v>
      </c>
      <c r="U42" s="874"/>
      <c r="V42" s="874"/>
      <c r="W42" s="874"/>
      <c r="X42" s="1597"/>
      <c r="Y42" s="1597"/>
      <c r="Z42" s="1598"/>
      <c r="AA42" s="1594"/>
      <c r="AB42" s="696" t="str">
        <f>AB41&amp;".1"</f>
        <v>5.0.1</v>
      </c>
      <c r="AC42" s="772" t="s">
        <v>1356</v>
      </c>
      <c r="AD42" s="773" t="s">
        <v>1357</v>
      </c>
      <c r="AE42" s="4149"/>
      <c r="AF42" s="4149"/>
      <c r="AG42" s="4149"/>
      <c r="AH42" s="4149"/>
      <c r="AI42" s="4146"/>
      <c r="AJ42" s="4146"/>
      <c r="AK42" s="1823"/>
      <c r="AL42" s="1541"/>
      <c r="AM42" s="1541"/>
      <c r="AN42" s="1038" t="s">
        <v>1358</v>
      </c>
      <c r="AO42" s="1038" t="s">
        <v>1376</v>
      </c>
      <c r="AP42" s="1038" cm="1" t="str">
        <f t="array" ref="AP42:AP42">AP41</f>
        <v>0</v>
      </c>
      <c r="AQ42" s="263"/>
      <c r="AR42" s="263"/>
    </row>
    <row s="1541" customFormat="1" customHeight="1" ht="14.625" hidden="1">
      <c r="A43" s="1541"/>
      <c r="B43" s="431"/>
      <c r="C43" s="874"/>
      <c r="D43" s="874"/>
      <c r="E43" s="875">
        <v>15</v>
      </c>
      <c r="F43" s="50" cm="1" t="str">
        <f t="array" ref="F43:F43">OFFSET(E43,-1,1)</f>
        <v>0</v>
      </c>
      <c r="G43" s="846"/>
      <c r="H43" s="846" t="str">
        <f>H41&amp;"_2"</f>
        <v>l5_2</v>
      </c>
      <c r="I43" s="846" cm="1" t="str">
        <f t="array" ref="I43:I43">I42</f>
        <v>0</v>
      </c>
      <c r="J43" s="874"/>
      <c r="K43" s="486"/>
      <c r="L43" s="486"/>
      <c r="M43" s="874"/>
      <c r="N43" s="874"/>
      <c r="O43" s="874"/>
      <c r="P43" s="874"/>
      <c r="Q43" s="874"/>
      <c r="R43" s="874"/>
      <c r="S43" s="874"/>
      <c r="T43" s="468" cm="1" t="str">
        <f t="array" ref="T43:T43">T42</f>
        <v>false</v>
      </c>
      <c r="U43" s="874"/>
      <c r="V43" s="874"/>
      <c r="W43" s="874"/>
      <c r="X43" s="1597"/>
      <c r="Y43" s="1597"/>
      <c r="Z43" s="1598"/>
      <c r="AA43" s="1594"/>
      <c r="AB43" s="696" t="str">
        <f>AB41&amp;".2"</f>
        <v>5.0.2</v>
      </c>
      <c r="AC43" s="772" t="s">
        <v>1359</v>
      </c>
      <c r="AD43" s="773" t="s">
        <v>1360</v>
      </c>
      <c r="AE43" s="4149"/>
      <c r="AF43" s="4149"/>
      <c r="AG43" s="4149"/>
      <c r="AH43" s="4149"/>
      <c r="AI43" s="4146"/>
      <c r="AJ43" s="4146"/>
      <c r="AK43" s="1823"/>
      <c r="AL43" s="1541"/>
      <c r="AM43" s="1541"/>
      <c r="AN43" s="1038" t="s">
        <v>1361</v>
      </c>
      <c r="AO43" s="1038" t="s">
        <v>1376</v>
      </c>
      <c r="AP43" s="1038" cm="1" t="str">
        <f t="array" ref="AP43:AP43">AP42</f>
        <v>0</v>
      </c>
      <c r="AQ43" s="263"/>
      <c r="AR43" s="263"/>
    </row>
    <row s="1541" customFormat="1" customHeight="1" ht="14.625" hidden="1">
      <c r="A44" s="1541"/>
      <c r="B44" s="431"/>
      <c r="C44" s="874"/>
      <c r="D44" s="874"/>
      <c r="E44" s="875">
        <v>15</v>
      </c>
      <c r="F44" s="50" cm="1" t="str">
        <f t="array" ref="F44:F44">OFFSET(E44,-1,1)</f>
        <v>0</v>
      </c>
      <c r="G44" s="370"/>
      <c r="H44" s="846"/>
      <c r="I44" s="148" t="str">
        <f>"!=='не определено' &amp;&amp; row.l5 !== null"</f>
        <v>!=='не определено' &amp;&amp; row.l5 !== null</v>
      </c>
      <c r="J44" s="874"/>
      <c r="K44" s="486"/>
      <c r="L44" s="486"/>
      <c r="M44" s="874"/>
      <c r="N44" s="874"/>
      <c r="O44" s="874"/>
      <c r="P44" s="874"/>
      <c r="Q44" s="874"/>
      <c r="R44" s="874"/>
      <c r="S44" s="874"/>
      <c r="T44" s="468">
        <f>F44&gt;0</f>
        <v>0</v>
      </c>
      <c r="U44" s="874"/>
      <c r="V44" s="874"/>
      <c r="W44" s="764" t="s">
        <v>1377</v>
      </c>
      <c r="X44" s="1597"/>
      <c r="Y44" s="880"/>
      <c r="Z44" s="1598"/>
      <c r="AA44" s="874"/>
      <c r="AB44" s="881"/>
      <c r="AC44" s="256" t="s">
        <v>177</v>
      </c>
      <c r="AD44" s="783"/>
      <c r="AE44" s="783"/>
      <c r="AF44" s="783"/>
      <c r="AG44" s="783"/>
      <c r="AH44" s="783"/>
      <c r="AI44" s="783"/>
      <c r="AJ44" s="783"/>
      <c r="AK44" s="784"/>
      <c r="AL44" s="1541"/>
      <c r="AM44" s="1541"/>
      <c r="AN44" s="1038"/>
      <c r="AO44" s="1038"/>
      <c r="AP44" s="1038"/>
      <c r="AQ44" s="263" t="s">
        <v>1376</v>
      </c>
      <c r="AR44" s="263"/>
    </row>
    <row s="1541" customFormat="1" customHeight="1" ht="21.9375" hidden="1">
      <c r="A45" s="1541"/>
      <c r="B45" s="431"/>
      <c r="C45" s="874"/>
      <c r="D45" s="874"/>
      <c r="E45" s="875">
        <v>22.5</v>
      </c>
      <c r="F45" s="50" cm="1" t="str">
        <f t="array" ref="F45:F45">OFFSET(E45,-1,1)</f>
        <v>0</v>
      </c>
      <c r="G45" s="370" t="s">
        <v>1378</v>
      </c>
      <c r="H45" s="846" t="s">
        <v>616</v>
      </c>
      <c r="I45" s="846"/>
      <c r="J45" s="874"/>
      <c r="K45" s="486" t="str">
        <f>F45&amp;"6komm"</f>
        <v>06komm</v>
      </c>
      <c r="L45" s="486" cm="1" t="str">
        <f t="array" ref="L45:L45">AK45</f>
        <v>0</v>
      </c>
      <c r="M45" s="874"/>
      <c r="N45" s="874"/>
      <c r="O45" s="874"/>
      <c r="P45" s="874"/>
      <c r="Q45" s="874"/>
      <c r="R45" s="874"/>
      <c r="S45" s="874"/>
      <c r="T45" s="468" cm="1" t="str">
        <f t="array" ref="T45:T45">T44</f>
        <v>false</v>
      </c>
      <c r="U45" s="874"/>
      <c r="V45" s="874"/>
      <c r="W45" s="874"/>
      <c r="X45" s="1597"/>
      <c r="Y45" s="880"/>
      <c r="Z45" s="1598"/>
      <c r="AA45" s="874"/>
      <c r="AB45" s="696" t="s">
        <v>457</v>
      </c>
      <c r="AC45" s="854" t="s">
        <v>1379</v>
      </c>
      <c r="AD45" s="773" t="s">
        <v>936</v>
      </c>
      <c r="AE45" s="4146">
        <f>AE40*_xlfn.SUMIFS(INDEX(Сценарии!$AE$25:$BF$136,,MATCH(AE$13,Сценарии!$AE$8:$BF$8,0)),Сценарии!$F$25:$F$136,$F45,Сценарии!$G$25:$G$136,"СВФОТ")/100</f>
        <v>0</v>
      </c>
      <c r="AF45" s="4146">
        <f>AF40*_xlfn.SUMIFS(INDEX(Сценарии!$AE$25:$BF$136,,MATCH(AF$13,Сценарии!$AE$8:$BF$8,0)),Сценарии!$F$25:$F$136,$F45,Сценарии!$G$25:$G$136,"СВФОТ")/100</f>
        <v>0</v>
      </c>
      <c r="AG45" s="4146">
        <f>AG40*_xlfn.SUMIFS(INDEX(Сценарии!$AE$25:$BF$136,,MATCH(AG$13,Сценарии!$AE$8:$BF$8,0)),Сценарии!$F$25:$F$136,$F45,Сценарии!$G$25:$G$136,"СВФОТ")/100</f>
        <v>0</v>
      </c>
      <c r="AH45" s="4146">
        <f>AH40*_xlfn.SUMIFS(INDEX(Сценарии!$AE$25:$BF$136,,MATCH(AH$13,Сценарии!$AE$8:$BF$8,0)),Сценарии!$F$25:$F$136,$F45,Сценарии!$G$25:$G$136,"СВФОТ")/100</f>
        <v>0</v>
      </c>
      <c r="AI45" s="4146">
        <f>AI40*_xlfn.SUMIFS(INDEX(Сценарии!$AE$25:$BF$136,,MATCH(AI$13,Сценарии!$AE$8:$BF$8,0)),Сценарии!$F$25:$F$136,$F45,Сценарии!$G$25:$G$136,"СВФОТ")/100</f>
        <v>0</v>
      </c>
      <c r="AJ45" s="4146">
        <f>AJ40*_xlfn.SUMIFS(INDEX(Сценарии!$AE$25:$BF$136,,MATCH(AJ$13,Сценарии!$AE$8:$BF$8,0)),Сценарии!$F$25:$F$136,$F45,Сценарии!$G$25:$G$136,"СВФОТ")/100</f>
        <v>0</v>
      </c>
      <c r="AK45" s="4155"/>
      <c r="AL45" s="1541"/>
      <c r="AM45" s="1541"/>
      <c r="AN45" s="1038" t="s">
        <v>1380</v>
      </c>
      <c r="AO45" s="1038"/>
      <c r="AP45" s="1038"/>
      <c r="AQ45" s="263"/>
      <c r="AR45" s="263"/>
    </row>
    <row s="1541" customFormat="1" customHeight="1" ht="14.625" hidden="1">
      <c r="A46" s="1541"/>
      <c r="B46" s="431"/>
      <c r="C46" s="874"/>
      <c r="D46" s="874"/>
      <c r="E46" s="875">
        <v>15</v>
      </c>
      <c r="F46" s="50" cm="1" t="str">
        <f t="array" ref="F46:F46">OFFSET(E46,-1,1)</f>
        <v>0</v>
      </c>
      <c r="G46" s="370" t="s">
        <v>1381</v>
      </c>
      <c r="H46" s="846" t="s">
        <v>619</v>
      </c>
      <c r="I46" s="846"/>
      <c r="J46" s="874"/>
      <c r="K46" s="486" t="str">
        <f>F46&amp;"7komm"</f>
        <v>07komm</v>
      </c>
      <c r="L46" s="486" cm="1" t="str">
        <f t="array" ref="L46:L46">AK46</f>
        <v>0</v>
      </c>
      <c r="M46" s="874"/>
      <c r="N46" s="874"/>
      <c r="O46" s="874"/>
      <c r="P46" s="874"/>
      <c r="Q46" s="874"/>
      <c r="R46" s="874"/>
      <c r="S46" s="874"/>
      <c r="T46" s="468" cm="1" t="str">
        <f t="array" ref="T46:T46">T45</f>
        <v>false</v>
      </c>
      <c r="U46" s="874"/>
      <c r="V46" s="874"/>
      <c r="W46" s="874"/>
      <c r="X46" s="1597"/>
      <c r="Y46" s="880"/>
      <c r="Z46" s="1598"/>
      <c r="AA46" s="874"/>
      <c r="AB46" s="696" t="s">
        <v>460</v>
      </c>
      <c r="AC46" s="854" t="s">
        <v>1382</v>
      </c>
      <c r="AD46" s="773" t="s">
        <v>936</v>
      </c>
      <c r="AE46" s="4146"/>
      <c r="AF46" s="4146"/>
      <c r="AG46" s="4146"/>
      <c r="AH46" s="4146"/>
      <c r="AI46" s="209">
        <f>_xlfn.SUMIFS(AI47:AI50,$AD47:$AD50,$AD46)</f>
        <v>0</v>
      </c>
      <c r="AJ46" s="209">
        <f>_xlfn.SUMIFS(AJ47:AJ50,$AD47:$AD50,$AD46)</f>
        <v>0</v>
      </c>
      <c r="AK46" s="4155"/>
      <c r="AL46" s="1541"/>
      <c r="AM46" s="1541"/>
      <c r="AN46" s="1038" t="s">
        <v>1383</v>
      </c>
      <c r="AO46" s="1038"/>
      <c r="AP46" s="1038"/>
      <c r="AQ46" s="263"/>
      <c r="AR46" s="263"/>
    </row>
    <row s="1541" customFormat="1" customHeight="1" ht="18.28125" hidden="1">
      <c r="A47" s="1541"/>
      <c r="B47" s="1541"/>
      <c r="C47" s="882"/>
      <c r="D47" s="882"/>
      <c r="E47" s="883">
        <v>18.75</v>
      </c>
      <c r="F47" s="50" cm="1" t="str">
        <f t="array" ref="F47:F47">OFFSET(E47,-1,1)</f>
        <v>0</v>
      </c>
      <c r="G47" s="879"/>
      <c r="H47" s="846" t="s">
        <v>619</v>
      </c>
      <c r="I47" s="879" cm="1" t="str">
        <f t="array" ref="I47:I47">AC47</f>
        <v>0</v>
      </c>
      <c r="J47" s="882"/>
      <c r="K47" s="923"/>
      <c r="L47" s="923"/>
      <c r="M47" s="882"/>
      <c r="N47" s="882"/>
      <c r="O47" s="882"/>
      <c r="P47" s="882"/>
      <c r="Q47" s="882"/>
      <c r="R47" s="882"/>
      <c r="S47" s="882"/>
      <c r="T47" s="468">
        <f>AND(F47&gt;0,Y47&gt;0)</f>
        <v>0</v>
      </c>
      <c r="U47" s="882"/>
      <c r="V47" s="882"/>
      <c r="W47" s="874" t="s">
        <v>173</v>
      </c>
      <c r="X47" s="1597"/>
      <c r="Y47" s="1597">
        <v>0</v>
      </c>
      <c r="Z47" s="1598"/>
      <c r="AA47" s="1594" t="s">
        <v>174</v>
      </c>
      <c r="AB47" s="1241" t="str">
        <f>"7."&amp;Y47</f>
        <v>7.0</v>
      </c>
      <c r="AC47" s="4160"/>
      <c r="AD47" s="885" t="s">
        <v>936</v>
      </c>
      <c r="AE47" s="4162"/>
      <c r="AF47" s="4162"/>
      <c r="AG47" s="4162"/>
      <c r="AH47" s="4162"/>
      <c r="AI47" s="4163">
        <f>AI48*AI49*12/1000</f>
        <v>0</v>
      </c>
      <c r="AJ47" s="4163">
        <f>AJ48*AJ49*12/1000</f>
        <v>0</v>
      </c>
      <c r="AK47" s="4164"/>
      <c r="AL47" s="1541"/>
      <c r="AM47" s="1541"/>
      <c r="AN47" s="1038" t="s">
        <v>1353</v>
      </c>
      <c r="AO47" s="1054" t="s">
        <v>1384</v>
      </c>
      <c r="AP47" s="1038" cm="1" t="str">
        <f t="array" ref="AP47:AP47">AC47</f>
        <v>0</v>
      </c>
      <c r="AQ47" s="1055"/>
      <c r="AR47" s="263" t="b">
        <v>1</v>
      </c>
    </row>
    <row s="1541" customFormat="1" customHeight="1" ht="14.625" hidden="1">
      <c r="A48" s="1541"/>
      <c r="B48" s="1541"/>
      <c r="C48" s="882"/>
      <c r="D48" s="882"/>
      <c r="E48" s="883">
        <v>15</v>
      </c>
      <c r="F48" s="50" cm="1" t="str">
        <f t="array" ref="F48:F48">OFFSET(E48,-1,1)</f>
        <v>0</v>
      </c>
      <c r="G48" s="879"/>
      <c r="H48" s="879" t="str">
        <f>H47&amp;"_1"</f>
        <v>l7_1</v>
      </c>
      <c r="I48" s="879" cm="1" t="str">
        <f t="array" ref="I48:I48">I47</f>
        <v>0</v>
      </c>
      <c r="J48" s="882"/>
      <c r="K48" s="923"/>
      <c r="L48" s="923"/>
      <c r="M48" s="882"/>
      <c r="N48" s="882"/>
      <c r="O48" s="882"/>
      <c r="P48" s="882"/>
      <c r="Q48" s="882"/>
      <c r="R48" s="882"/>
      <c r="S48" s="882"/>
      <c r="T48" s="468" cm="1" t="str">
        <f t="array" ref="T48:T48">T47</f>
        <v>false</v>
      </c>
      <c r="U48" s="882"/>
      <c r="V48" s="882"/>
      <c r="W48" s="882"/>
      <c r="X48" s="1597"/>
      <c r="Y48" s="1597"/>
      <c r="Z48" s="1598"/>
      <c r="AA48" s="1594"/>
      <c r="AB48" s="889" t="str">
        <f>AB47&amp;".1"</f>
        <v>7.0.1</v>
      </c>
      <c r="AC48" s="890" t="s">
        <v>1356</v>
      </c>
      <c r="AD48" s="885" t="s">
        <v>1357</v>
      </c>
      <c r="AE48" s="4162"/>
      <c r="AF48" s="4162"/>
      <c r="AG48" s="4162"/>
      <c r="AH48" s="4162"/>
      <c r="AI48" s="4169"/>
      <c r="AJ48" s="4169"/>
      <c r="AK48" s="4164"/>
      <c r="AL48" s="1541"/>
      <c r="AM48" s="1541"/>
      <c r="AN48" s="1038" t="s">
        <v>1358</v>
      </c>
      <c r="AO48" s="1054" t="s">
        <v>1384</v>
      </c>
      <c r="AP48" s="1038" cm="1" t="str">
        <f t="array" ref="AP48:AP48">AP47</f>
        <v>0</v>
      </c>
      <c r="AQ48" s="1055"/>
      <c r="AR48" s="1055"/>
    </row>
    <row s="1541" customFormat="1" customHeight="1" ht="14.625" hidden="1">
      <c r="A49" s="1541"/>
      <c r="B49" s="1541"/>
      <c r="C49" s="882"/>
      <c r="D49" s="882"/>
      <c r="E49" s="883">
        <v>15</v>
      </c>
      <c r="F49" s="50" cm="1" t="str">
        <f t="array" ref="F49:F49">OFFSET(E49,-1,1)</f>
        <v>0</v>
      </c>
      <c r="G49" s="879"/>
      <c r="H49" s="879" t="str">
        <f>H47&amp;"_2"</f>
        <v>l7_2</v>
      </c>
      <c r="I49" s="879" cm="1" t="str">
        <f t="array" ref="I49:I49">I48</f>
        <v>0</v>
      </c>
      <c r="J49" s="882"/>
      <c r="K49" s="923"/>
      <c r="L49" s="923"/>
      <c r="M49" s="882"/>
      <c r="N49" s="882"/>
      <c r="O49" s="882"/>
      <c r="P49" s="882"/>
      <c r="Q49" s="882"/>
      <c r="R49" s="882"/>
      <c r="S49" s="882"/>
      <c r="T49" s="468" cm="1" t="str">
        <f t="array" ref="T49:T49">T48</f>
        <v>false</v>
      </c>
      <c r="U49" s="882"/>
      <c r="V49" s="882"/>
      <c r="W49" s="882"/>
      <c r="X49" s="1597"/>
      <c r="Y49" s="1597"/>
      <c r="Z49" s="1598"/>
      <c r="AA49" s="1594"/>
      <c r="AB49" s="889" t="str">
        <f>AB47&amp;".2"</f>
        <v>7.0.2</v>
      </c>
      <c r="AC49" s="890" t="s">
        <v>1359</v>
      </c>
      <c r="AD49" s="885" t="s">
        <v>1360</v>
      </c>
      <c r="AE49" s="4162"/>
      <c r="AF49" s="4162"/>
      <c r="AG49" s="4162"/>
      <c r="AH49" s="4162"/>
      <c r="AI49" s="4169"/>
      <c r="AJ49" s="4169"/>
      <c r="AK49" s="4164"/>
      <c r="AL49" s="1541"/>
      <c r="AM49" s="1541"/>
      <c r="AN49" s="1038" t="s">
        <v>1361</v>
      </c>
      <c r="AO49" s="1054" t="s">
        <v>1384</v>
      </c>
      <c r="AP49" s="1038" cm="1" t="str">
        <f t="array" ref="AP49:AP49">AP48</f>
        <v>0</v>
      </c>
      <c r="AQ49" s="1055"/>
      <c r="AR49" s="1055"/>
    </row>
    <row s="1541" customFormat="1" customHeight="1" ht="14.625" hidden="1">
      <c r="A50" s="1541"/>
      <c r="B50" s="431"/>
      <c r="C50" s="874"/>
      <c r="D50" s="874"/>
      <c r="E50" s="875">
        <v>15</v>
      </c>
      <c r="F50" s="50" cm="1" t="str">
        <f t="array" ref="F50:F50">OFFSET(E50,-1,1)</f>
        <v>0</v>
      </c>
      <c r="G50" s="370"/>
      <c r="H50" s="846"/>
      <c r="I50" s="148" t="str">
        <f>"!=='не определено' &amp;&amp; row.l7 !== null"</f>
        <v>!=='не определено' &amp;&amp; row.l7 !== null</v>
      </c>
      <c r="J50" s="874"/>
      <c r="K50" s="486"/>
      <c r="L50" s="486"/>
      <c r="M50" s="874"/>
      <c r="N50" s="874"/>
      <c r="O50" s="874"/>
      <c r="P50" s="874"/>
      <c r="Q50" s="874"/>
      <c r="R50" s="874"/>
      <c r="S50" s="874"/>
      <c r="T50" s="468">
        <f>F50&gt;0</f>
        <v>0</v>
      </c>
      <c r="U50" s="874"/>
      <c r="V50" s="874"/>
      <c r="W50" s="764" t="s">
        <v>1385</v>
      </c>
      <c r="X50" s="1597"/>
      <c r="Y50" s="874"/>
      <c r="Z50" s="1598"/>
      <c r="AA50" s="874"/>
      <c r="AB50" s="881"/>
      <c r="AC50" s="256" t="s">
        <v>177</v>
      </c>
      <c r="AD50" s="783"/>
      <c r="AE50" s="783"/>
      <c r="AF50" s="783"/>
      <c r="AG50" s="783"/>
      <c r="AH50" s="783"/>
      <c r="AI50" s="783"/>
      <c r="AJ50" s="783"/>
      <c r="AK50" s="784"/>
      <c r="AL50" s="1541"/>
      <c r="AM50" s="1541"/>
      <c r="AN50" s="1038"/>
      <c r="AO50" s="1038"/>
      <c r="AP50" s="1038"/>
      <c r="AQ50" s="1055" t="s">
        <v>1384</v>
      </c>
      <c r="AR50" s="263"/>
    </row>
    <row s="1541" customFormat="1" customHeight="1" ht="21.9375" hidden="1">
      <c r="A51" s="1541"/>
      <c r="B51" s="431"/>
      <c r="C51" s="874"/>
      <c r="D51" s="874"/>
      <c r="E51" s="875">
        <v>22.5</v>
      </c>
      <c r="F51" s="50" cm="1" t="str">
        <f t="array" ref="F51:F51">OFFSET(E51,-1,1)</f>
        <v>0</v>
      </c>
      <c r="G51" s="370" t="s">
        <v>1386</v>
      </c>
      <c r="H51" s="846" t="s">
        <v>685</v>
      </c>
      <c r="I51" s="846"/>
      <c r="J51" s="874"/>
      <c r="K51" s="486" t="str">
        <f>F51&amp;"8komm"</f>
        <v>08komm</v>
      </c>
      <c r="L51" s="924" cm="1" t="str">
        <f t="array" ref="L51:L51">AK51</f>
        <v>0</v>
      </c>
      <c r="M51" s="874"/>
      <c r="N51" s="874"/>
      <c r="O51" s="874"/>
      <c r="P51" s="874"/>
      <c r="Q51" s="874"/>
      <c r="R51" s="874"/>
      <c r="S51" s="874"/>
      <c r="T51" s="468" cm="1" t="str">
        <f t="array" ref="T51:T51">T50</f>
        <v>false</v>
      </c>
      <c r="U51" s="874"/>
      <c r="V51" s="874"/>
      <c r="W51" s="874"/>
      <c r="X51" s="1597"/>
      <c r="Y51" s="874"/>
      <c r="Z51" s="1598"/>
      <c r="AA51" s="874"/>
      <c r="AB51" s="696" t="s">
        <v>463</v>
      </c>
      <c r="AC51" s="854" t="s">
        <v>1387</v>
      </c>
      <c r="AD51" s="773" t="s">
        <v>936</v>
      </c>
      <c r="AE51" s="4146">
        <f>AE46*_xlfn.SUMIFS(INDEX(Сценарии!$AE$25:$BF$136,,MATCH(AE$13,Сценарии!$AE$8:$BF$8,0)),Сценарии!$F$25:$F$136,$F51,Сценарии!$G$25:$G$136,"СВФОТ")/100</f>
        <v>0</v>
      </c>
      <c r="AF51" s="4146">
        <f>AF46*_xlfn.SUMIFS(INDEX(Сценарии!$AE$25:$BF$136,,MATCH(AF$13,Сценарии!$AE$8:$BF$8,0)),Сценарии!$F$25:$F$136,$F51,Сценарии!$G$25:$G$136,"СВФОТ")/100</f>
        <v>0</v>
      </c>
      <c r="AG51" s="4146">
        <f>AG46*_xlfn.SUMIFS(INDEX(Сценарии!$AE$25:$BF$136,,MATCH(AG$13,Сценарии!$AE$8:$BF$8,0)),Сценарии!$F$25:$F$136,$F51,Сценарии!$G$25:$G$136,"СВФОТ")/100</f>
        <v>0</v>
      </c>
      <c r="AH51" s="4146">
        <f>AH46*_xlfn.SUMIFS(INDEX(Сценарии!$AE$25:$BF$136,,MATCH(AH$13,Сценарии!$AE$8:$BF$8,0)),Сценарии!$F$25:$F$136,$F51,Сценарии!$G$25:$G$136,"СВФОТ")/100</f>
        <v>0</v>
      </c>
      <c r="AI51" s="4146">
        <f>AI46*_xlfn.SUMIFS(INDEX(Сценарии!$AE$25:$BF$136,,MATCH(AI$13,Сценарии!$AE$8:$BF$8,0)),Сценарии!$F$25:$F$136,$F51,Сценарии!$G$25:$G$136,"СВФОТ")/100</f>
        <v>0</v>
      </c>
      <c r="AJ51" s="4146">
        <f>AJ46*_xlfn.SUMIFS(INDEX(Сценарии!$AE$25:$BF$136,,MATCH(AJ$13,Сценарии!$AE$8:$BF$8,0)),Сценарии!$F$25:$F$136,$F51,Сценарии!$G$25:$G$136,"СВФОТ")/100</f>
        <v>0</v>
      </c>
      <c r="AK51" s="1823"/>
      <c r="AL51" s="1541"/>
      <c r="AM51" s="1541"/>
      <c r="AN51" s="1038" t="s">
        <v>1388</v>
      </c>
      <c r="AO51" s="1038"/>
      <c r="AP51" s="1038"/>
      <c r="AQ51" s="263"/>
      <c r="AR51" s="263"/>
    </row>
    <row s="1191" customFormat="1" customHeight="1" ht="14.25">
      <c r="A52" s="1541"/>
      <c r="B52" s="431"/>
      <c r="C52" s="874"/>
      <c r="D52" s="874"/>
      <c r="E52" s="875">
        <v>15</v>
      </c>
      <c r="F52" s="496" cm="1" t="str">
        <f t="array" ref="F52:F52">X52</f>
        <v>1</v>
      </c>
      <c r="G52" s="846" t="s">
        <v>61</v>
      </c>
      <c r="H52" s="846"/>
      <c r="I52" s="846"/>
      <c r="J52" s="874"/>
      <c r="K52" s="486"/>
      <c r="L52" s="486"/>
      <c r="M52" s="874"/>
      <c r="N52" s="874"/>
      <c r="O52" s="874"/>
      <c r="P52" s="874"/>
      <c r="Q52" s="874"/>
      <c r="R52" s="874"/>
      <c r="S52" s="874"/>
      <c r="T52" s="468">
        <f>X52&gt;0</f>
        <v>1</v>
      </c>
      <c r="U52" s="874"/>
      <c r="V52" s="874" cm="1" t="str">
        <f t="array" ref="V52:V52">Покупка!$AB$95</f>
        <v>Тариф 1 (Водоснабжение) - тариф на питьевую воду (Оказание услуг на территории: город Ленинск-Кузнецкий (ОКТМО: 32719000) - г Ленинск-Кузнецкий, г Полысаево)</v>
      </c>
      <c r="W52" s="874"/>
      <c r="X52" s="1597" t="s">
        <v>290</v>
      </c>
      <c r="Y52" s="874"/>
      <c r="Z52" s="1598"/>
      <c r="AA52" s="874"/>
      <c r="AB52" s="238" cm="1" t="str">
        <f t="array" ref="AB52:AB52">Покупка!$AB$95</f>
        <v>Тариф 1 (Водоснабжение) - тариф на питьевую воду (Оказание услуг на территории: город Ленинск-Кузнецкий (ОКТМО: 32719000) - г Ленинск-Кузнецкий, г Полысаево)</v>
      </c>
      <c r="AC52" s="876"/>
      <c r="AD52" s="876"/>
      <c r="AE52" s="877">
        <f>AE53+AE58+AE59+AE64+AE65+AE70+AE71+AE76</f>
        <v>0</v>
      </c>
      <c r="AF52" s="877">
        <f>AF53+AF58+AF59+AF64+AF65+AF70+AF71+AF76</f>
        <v>0</v>
      </c>
      <c r="AG52" s="877">
        <f>AG53+AG58+AG59+AG64+AG65+AG70+AG71+AG76</f>
        <v>0</v>
      </c>
      <c r="AH52" s="877">
        <f>AH53+AH58+AH59+AH64+AH65+AH70+AH71+AH76</f>
        <v>0</v>
      </c>
      <c r="AI52" s="877">
        <f>AI53+AI58+AI59+AI64+AI65+AI70+AI71+AI76</f>
        <v>0</v>
      </c>
      <c r="AJ52" s="877">
        <f>AJ53+AJ58+AJ59+AJ64+AJ65+AJ70+AJ71+AJ76</f>
        <v>0</v>
      </c>
      <c r="AK52" s="877"/>
      <c r="AL52" s="1541"/>
      <c r="AM52" s="1541"/>
      <c r="AN52" s="1038"/>
      <c r="AO52" s="1038"/>
      <c r="AP52" s="1038"/>
      <c r="AQ52" s="263"/>
      <c r="AR52" s="263"/>
    </row>
    <row s="1191" customFormat="1" customHeight="1" ht="21.75">
      <c r="A53" s="1541"/>
      <c r="B53" s="431"/>
      <c r="C53" s="874"/>
      <c r="D53" s="874"/>
      <c r="E53" s="875">
        <v>22.5</v>
      </c>
      <c r="F53" s="50" cm="1" t="str">
        <f t="array" ref="F53:F53">OFFSET(E53,-1,1)</f>
        <v>1</v>
      </c>
      <c r="G53" s="370" t="s">
        <v>1350</v>
      </c>
      <c r="H53" s="846" t="s">
        <v>344</v>
      </c>
      <c r="I53" s="846"/>
      <c r="J53" s="874"/>
      <c r="K53" s="486" t="str">
        <f>F53&amp;"1komm"</f>
        <v>11komm</v>
      </c>
      <c r="L53" s="924" cm="1" t="str">
        <f t="array" ref="L53:L53">AK53</f>
        <v>0</v>
      </c>
      <c r="M53" s="874"/>
      <c r="N53" s="874"/>
      <c r="O53" s="874"/>
      <c r="P53" s="874"/>
      <c r="Q53" s="874"/>
      <c r="R53" s="874"/>
      <c r="S53" s="874"/>
      <c r="T53" s="468" cm="1" t="str">
        <f t="array" ref="T53:T53">T52</f>
        <v>true</v>
      </c>
      <c r="U53" s="874"/>
      <c r="V53" s="874"/>
      <c r="W53" s="874"/>
      <c r="X53" s="1597"/>
      <c r="Y53" s="874"/>
      <c r="Z53" s="1598"/>
      <c r="AA53" s="874"/>
      <c r="AB53" s="696">
        <v>1</v>
      </c>
      <c r="AC53" s="854" t="s">
        <v>1351</v>
      </c>
      <c r="AD53" s="773" t="s">
        <v>936</v>
      </c>
      <c r="AE53" s="294"/>
      <c r="AF53" s="294"/>
      <c r="AG53" s="294"/>
      <c r="AH53" s="294"/>
      <c r="AI53" s="209">
        <f>_xlfn.SUMIFS(AI54:AI57,$AD54:$AD57,$AD53)</f>
        <v>0</v>
      </c>
      <c r="AJ53" s="209">
        <f>_xlfn.SUMIFS(AJ54:AJ57,$AD54:$AD57,$AD53)</f>
        <v>0</v>
      </c>
      <c r="AK53" s="853"/>
      <c r="AL53" s="1541"/>
      <c r="AM53" s="1541"/>
      <c r="AN53" s="1038" t="s">
        <v>1352</v>
      </c>
      <c r="AO53" s="1038"/>
      <c r="AP53" s="1038"/>
      <c r="AQ53" s="263"/>
      <c r="AR53" s="263"/>
    </row>
    <row s="1191" customFormat="1" customHeight="1" ht="18" hidden="1">
      <c r="A54" s="1541"/>
      <c r="B54" s="431"/>
      <c r="C54" s="874"/>
      <c r="D54" s="874"/>
      <c r="E54" s="875">
        <v>18.75</v>
      </c>
      <c r="F54" s="50" cm="1" t="str">
        <f t="array" ref="F54:F54">OFFSET(E54,-1,1)</f>
        <v>1</v>
      </c>
      <c r="G54" s="846"/>
      <c r="H54" s="846" t="s">
        <v>344</v>
      </c>
      <c r="I54" s="846" cm="1" t="str">
        <f t="array" ref="I54:I54">AC54</f>
        <v>0</v>
      </c>
      <c r="J54" s="874"/>
      <c r="K54" s="486"/>
      <c r="L54" s="486"/>
      <c r="M54" s="874"/>
      <c r="N54" s="874"/>
      <c r="O54" s="874"/>
      <c r="P54" s="874"/>
      <c r="Q54" s="874"/>
      <c r="R54" s="874"/>
      <c r="S54" s="874"/>
      <c r="T54" s="468">
        <f>AND(F54&gt;0,Y54&gt;0)</f>
        <v>0</v>
      </c>
      <c r="U54" s="874"/>
      <c r="V54" s="874"/>
      <c r="W54" s="874" t="s">
        <v>173</v>
      </c>
      <c r="X54" s="1597"/>
      <c r="Y54" s="1597">
        <v>0</v>
      </c>
      <c r="Z54" s="1598"/>
      <c r="AA54" s="1594" t="s">
        <v>174</v>
      </c>
      <c r="AB54" s="296" t="str">
        <f>"1."&amp;Y54</f>
        <v>1.0</v>
      </c>
      <c r="AC54" s="4148"/>
      <c r="AD54" s="773" t="s">
        <v>936</v>
      </c>
      <c r="AE54" s="4149"/>
      <c r="AF54" s="4149"/>
      <c r="AG54" s="4149"/>
      <c r="AH54" s="4149"/>
      <c r="AI54" s="3132">
        <f>AI55*AI56*12/1000</f>
        <v>0</v>
      </c>
      <c r="AJ54" s="3132">
        <f>AJ55*AJ56*12/1000</f>
        <v>0</v>
      </c>
      <c r="AK54" s="1823"/>
      <c r="AL54" s="1541"/>
      <c r="AM54" s="1541"/>
      <c r="AN54" s="1038" t="s">
        <v>1353</v>
      </c>
      <c r="AO54" s="1038" t="s">
        <v>1354</v>
      </c>
      <c r="AP54" s="1038" cm="1" t="str">
        <f t="array" ref="AP54:AP54">AC54</f>
        <v>0</v>
      </c>
      <c r="AQ54" s="263"/>
      <c r="AR54" s="263" t="b">
        <v>1</v>
      </c>
    </row>
    <row s="1191" customFormat="1" customHeight="1" ht="14.25" hidden="1">
      <c r="A55" s="1541"/>
      <c r="B55" s="431"/>
      <c r="C55" s="874"/>
      <c r="D55" s="874"/>
      <c r="E55" s="875">
        <v>15</v>
      </c>
      <c r="F55" s="50" cm="1" t="str">
        <f t="array" ref="F55:F55">OFFSET(E55,-1,1)</f>
        <v>1</v>
      </c>
      <c r="G55" s="879" t="s">
        <v>1355</v>
      </c>
      <c r="H55" s="846" t="str">
        <f>H54&amp;"_1"</f>
        <v>l1_1</v>
      </c>
      <c r="I55" s="846" cm="1" t="str">
        <f t="array" ref="I55:I55">I54</f>
        <v>0</v>
      </c>
      <c r="J55" s="874"/>
      <c r="K55" s="486"/>
      <c r="L55" s="486"/>
      <c r="M55" s="874"/>
      <c r="N55" s="874"/>
      <c r="O55" s="874"/>
      <c r="P55" s="874"/>
      <c r="Q55" s="874"/>
      <c r="R55" s="874"/>
      <c r="S55" s="874"/>
      <c r="T55" s="468" cm="1" t="str">
        <f t="array" ref="T55:T55">T54</f>
        <v>false</v>
      </c>
      <c r="U55" s="874"/>
      <c r="V55" s="874"/>
      <c r="W55" s="874"/>
      <c r="X55" s="1597"/>
      <c r="Y55" s="1597"/>
      <c r="Z55" s="1598"/>
      <c r="AA55" s="1594"/>
      <c r="AB55" s="696" t="str">
        <f>AB54&amp;".1"</f>
        <v>1.0.1</v>
      </c>
      <c r="AC55" s="772" t="s">
        <v>1356</v>
      </c>
      <c r="AD55" s="773" t="s">
        <v>1357</v>
      </c>
      <c r="AE55" s="4149"/>
      <c r="AF55" s="4149"/>
      <c r="AG55" s="4149"/>
      <c r="AH55" s="4149"/>
      <c r="AI55" s="4146"/>
      <c r="AJ55" s="4146"/>
      <c r="AK55" s="1823"/>
      <c r="AL55" s="1541"/>
      <c r="AM55" s="1541"/>
      <c r="AN55" s="1038" t="s">
        <v>1358</v>
      </c>
      <c r="AO55" s="1038" t="s">
        <v>1354</v>
      </c>
      <c r="AP55" s="1038" cm="1" t="str">
        <f t="array" ref="AP55:AP55">AP54</f>
        <v>0</v>
      </c>
      <c r="AQ55" s="263"/>
      <c r="AR55" s="263"/>
    </row>
    <row s="1191" customFormat="1" customHeight="1" ht="14.25" hidden="1">
      <c r="A56" s="1541"/>
      <c r="B56" s="431"/>
      <c r="C56" s="874"/>
      <c r="D56" s="874"/>
      <c r="E56" s="875">
        <v>15</v>
      </c>
      <c r="F56" s="50" cm="1" t="str">
        <f t="array" ref="F56:F56">OFFSET(E56,-1,1)</f>
        <v>1</v>
      </c>
      <c r="G56" s="846"/>
      <c r="H56" s="846" t="str">
        <f>H54&amp;"_2"</f>
        <v>l1_2</v>
      </c>
      <c r="I56" s="846" cm="1" t="str">
        <f t="array" ref="I56:I56">I55</f>
        <v>0</v>
      </c>
      <c r="J56" s="874"/>
      <c r="K56" s="486"/>
      <c r="L56" s="486"/>
      <c r="M56" s="874"/>
      <c r="N56" s="874"/>
      <c r="O56" s="874"/>
      <c r="P56" s="874"/>
      <c r="Q56" s="874"/>
      <c r="R56" s="874"/>
      <c r="S56" s="874"/>
      <c r="T56" s="468" cm="1" t="str">
        <f t="array" ref="T56:T56">T55</f>
        <v>false</v>
      </c>
      <c r="U56" s="874"/>
      <c r="V56" s="874"/>
      <c r="W56" s="874"/>
      <c r="X56" s="1597"/>
      <c r="Y56" s="1597"/>
      <c r="Z56" s="1598"/>
      <c r="AA56" s="1594"/>
      <c r="AB56" s="696" t="str">
        <f>AB54&amp;".2"</f>
        <v>1.0.2</v>
      </c>
      <c r="AC56" s="772" t="s">
        <v>1359</v>
      </c>
      <c r="AD56" s="773" t="s">
        <v>1360</v>
      </c>
      <c r="AE56" s="4149"/>
      <c r="AF56" s="4149"/>
      <c r="AG56" s="4149"/>
      <c r="AH56" s="4149"/>
      <c r="AI56" s="4146"/>
      <c r="AJ56" s="4146"/>
      <c r="AK56" s="1823"/>
      <c r="AL56" s="1541"/>
      <c r="AM56" s="1541"/>
      <c r="AN56" s="1038" t="s">
        <v>1361</v>
      </c>
      <c r="AO56" s="1038" t="s">
        <v>1354</v>
      </c>
      <c r="AP56" s="1038" cm="1" t="str">
        <f t="array" ref="AP56:AP56">AP55</f>
        <v>0</v>
      </c>
      <c r="AQ56" s="263"/>
      <c r="AR56" s="263"/>
    </row>
    <row s="1191" customFormat="1" customHeight="1" ht="14.25">
      <c r="A57" s="1541"/>
      <c r="B57" s="431"/>
      <c r="C57" s="874"/>
      <c r="D57" s="874"/>
      <c r="E57" s="875">
        <v>15</v>
      </c>
      <c r="F57" s="50" cm="1" t="str">
        <f t="array" ref="F57:F57">OFFSET(E57,-1,1)</f>
        <v>1</v>
      </c>
      <c r="G57" s="370"/>
      <c r="H57" s="846"/>
      <c r="I57" s="148" t="str">
        <f>"!=='не определено' &amp;&amp; row.l1 !== null"</f>
        <v>!=='не определено' &amp;&amp; row.l1 !== null</v>
      </c>
      <c r="J57" s="874"/>
      <c r="K57" s="486"/>
      <c r="L57" s="486"/>
      <c r="M57" s="874"/>
      <c r="N57" s="874"/>
      <c r="O57" s="874"/>
      <c r="P57" s="874"/>
      <c r="Q57" s="874"/>
      <c r="R57" s="874"/>
      <c r="S57" s="874"/>
      <c r="T57" s="468">
        <f>F57&gt;0</f>
        <v>1</v>
      </c>
      <c r="U57" s="874"/>
      <c r="V57" s="874"/>
      <c r="W57" s="764" t="s">
        <v>410</v>
      </c>
      <c r="X57" s="1597"/>
      <c r="Y57" s="880"/>
      <c r="Z57" s="1598"/>
      <c r="AA57" s="874"/>
      <c r="AB57" s="881"/>
      <c r="AC57" s="256" t="s">
        <v>177</v>
      </c>
      <c r="AD57" s="783"/>
      <c r="AE57" s="783"/>
      <c r="AF57" s="783"/>
      <c r="AG57" s="783"/>
      <c r="AH57" s="783"/>
      <c r="AI57" s="783"/>
      <c r="AJ57" s="783"/>
      <c r="AK57" s="784"/>
      <c r="AL57" s="1541"/>
      <c r="AM57" s="1541"/>
      <c r="AN57" s="1038"/>
      <c r="AO57" s="1038"/>
      <c r="AP57" s="1038"/>
      <c r="AQ57" s="263" t="s">
        <v>1354</v>
      </c>
      <c r="AR57" s="263"/>
    </row>
    <row s="1191" customFormat="1" customHeight="1" ht="21.75">
      <c r="A58" s="1541"/>
      <c r="B58" s="431"/>
      <c r="C58" s="874"/>
      <c r="D58" s="874"/>
      <c r="E58" s="875">
        <v>22.5</v>
      </c>
      <c r="F58" s="50" cm="1" t="str">
        <f t="array" ref="F58:F58">OFFSET(E58,-1,1)</f>
        <v>1</v>
      </c>
      <c r="G58" s="370" t="s">
        <v>1362</v>
      </c>
      <c r="H58" s="846" t="s">
        <v>345</v>
      </c>
      <c r="I58" s="846"/>
      <c r="J58" s="874"/>
      <c r="K58" s="486" t="str">
        <f>F58&amp;"2komm"</f>
        <v>12komm</v>
      </c>
      <c r="L58" s="924" cm="1" t="str">
        <f t="array" ref="L58:L58">AK58</f>
        <v>0</v>
      </c>
      <c r="M58" s="874"/>
      <c r="N58" s="874"/>
      <c r="O58" s="874"/>
      <c r="P58" s="874"/>
      <c r="Q58" s="874"/>
      <c r="R58" s="874"/>
      <c r="S58" s="874"/>
      <c r="T58" s="468" cm="1" t="str">
        <f t="array" ref="T58:T58">T57</f>
        <v>true</v>
      </c>
      <c r="U58" s="874"/>
      <c r="V58" s="874"/>
      <c r="W58" s="874"/>
      <c r="X58" s="1597"/>
      <c r="Y58" s="880"/>
      <c r="Z58" s="1598"/>
      <c r="AA58" s="874"/>
      <c r="AB58" s="696" t="s">
        <v>299</v>
      </c>
      <c r="AC58" s="854" t="s">
        <v>1363</v>
      </c>
      <c r="AD58" s="773" t="s">
        <v>936</v>
      </c>
      <c r="AE58" s="294">
        <f>AE53*_xlfn.SUMIFS(INDEX(Сценарии!$AE$25:$BF$136,,MATCH(AE$13,Сценарии!$AE$8:$BF$8,0)),Сценарии!$F$25:$F$136,$F58,Сценарии!$G$25:$G$136,"СВФОТ")/100</f>
        <v>0</v>
      </c>
      <c r="AF58" s="294">
        <f>AF53*_xlfn.SUMIFS(INDEX(Сценарии!$AE$25:$BF$136,,MATCH(AF$13,Сценарии!$AE$8:$BF$8,0)),Сценарии!$F$25:$F$136,$F58,Сценарии!$G$25:$G$136,"СВФОТ")/100</f>
        <v>0</v>
      </c>
      <c r="AG58" s="294">
        <f>AG53*_xlfn.SUMIFS(INDEX(Сценарии!$AE$25:$BF$136,,MATCH(AG$13,Сценарии!$AE$8:$BF$8,0)),Сценарии!$F$25:$F$136,$F58,Сценарии!$G$25:$G$136,"СВФОТ")/100</f>
        <v>0</v>
      </c>
      <c r="AH58" s="294">
        <f>AH53*_xlfn.SUMIFS(INDEX(Сценарии!$AE$25:$BF$136,,MATCH(AH$13,Сценарии!$AE$8:$BF$8,0)),Сценарии!$F$25:$F$136,$F58,Сценарии!$G$25:$G$136,"СВФОТ")/100</f>
        <v>0</v>
      </c>
      <c r="AI58" s="294">
        <f>AI53*_xlfn.SUMIFS(INDEX(Сценарии!$AE$25:$BF$136,,MATCH(AI$13,Сценарии!$AE$8:$BF$8,0)),Сценарии!$F$25:$F$136,$F58,Сценарии!$G$25:$G$136,"СВФОТ")/100</f>
        <v>0</v>
      </c>
      <c r="AJ58" s="294">
        <f>AJ53*_xlfn.SUMIFS(INDEX(Сценарии!$AE$25:$BF$136,,MATCH(AJ$13,Сценарии!$AE$8:$BF$8,0)),Сценарии!$F$25:$F$136,$F58,Сценарии!$G$25:$G$136,"СВФОТ")/100</f>
        <v>0</v>
      </c>
      <c r="AK58" s="853"/>
      <c r="AL58" s="1541"/>
      <c r="AM58" s="1541"/>
      <c r="AN58" s="1038" t="s">
        <v>1364</v>
      </c>
      <c r="AO58" s="1038"/>
      <c r="AP58" s="1038"/>
      <c r="AQ58" s="263"/>
      <c r="AR58" s="263"/>
    </row>
    <row s="1191" customFormat="1" customHeight="1" ht="14.25">
      <c r="A59" s="1541"/>
      <c r="B59" s="431"/>
      <c r="C59" s="874"/>
      <c r="D59" s="874"/>
      <c r="E59" s="875">
        <v>15</v>
      </c>
      <c r="F59" s="50" cm="1" t="str">
        <f t="array" ref="F59:F59">OFFSET(E59,-1,1)</f>
        <v>1</v>
      </c>
      <c r="G59" s="370" t="s">
        <v>1365</v>
      </c>
      <c r="H59" s="846" t="s">
        <v>346</v>
      </c>
      <c r="I59" s="846"/>
      <c r="J59" s="874"/>
      <c r="K59" s="486" t="str">
        <f>F59&amp;"3komm"</f>
        <v>13komm</v>
      </c>
      <c r="L59" s="924" cm="1" t="str">
        <f t="array" ref="L59:L59">AK59</f>
        <v>0</v>
      </c>
      <c r="M59" s="874"/>
      <c r="N59" s="874"/>
      <c r="O59" s="874"/>
      <c r="P59" s="874"/>
      <c r="Q59" s="874"/>
      <c r="R59" s="874"/>
      <c r="S59" s="874"/>
      <c r="T59" s="468" cm="1" t="str">
        <f t="array" ref="T59:T59">T58</f>
        <v>true</v>
      </c>
      <c r="U59" s="874"/>
      <c r="V59" s="874"/>
      <c r="W59" s="874"/>
      <c r="X59" s="1597"/>
      <c r="Y59" s="880"/>
      <c r="Z59" s="1598"/>
      <c r="AA59" s="874"/>
      <c r="AB59" s="696" t="s">
        <v>234</v>
      </c>
      <c r="AC59" s="854" t="s">
        <v>1366</v>
      </c>
      <c r="AD59" s="773" t="s">
        <v>936</v>
      </c>
      <c r="AE59" s="294"/>
      <c r="AF59" s="294"/>
      <c r="AG59" s="294"/>
      <c r="AH59" s="294"/>
      <c r="AI59" s="209">
        <f>_xlfn.SUMIFS(AI60:AI63,$AD60:$AD63,$AD59)</f>
        <v>0</v>
      </c>
      <c r="AJ59" s="209">
        <f>_xlfn.SUMIFS(AJ60:AJ63,$AD60:$AD63,$AD59)</f>
        <v>0</v>
      </c>
      <c r="AK59" s="853"/>
      <c r="AL59" s="1541"/>
      <c r="AM59" s="1541"/>
      <c r="AN59" s="1038" t="s">
        <v>1367</v>
      </c>
      <c r="AO59" s="1038"/>
      <c r="AP59" s="1038"/>
      <c r="AQ59" s="263"/>
      <c r="AR59" s="263"/>
    </row>
    <row s="1191" customFormat="1" customHeight="1" ht="18" hidden="1">
      <c r="A60" s="1541"/>
      <c r="B60" s="431"/>
      <c r="C60" s="874"/>
      <c r="D60" s="874"/>
      <c r="E60" s="875">
        <v>18.75</v>
      </c>
      <c r="F60" s="50" cm="1" t="str">
        <f t="array" ref="F60:F60">OFFSET(E60,-1,1)</f>
        <v>1</v>
      </c>
      <c r="G60" s="846"/>
      <c r="H60" s="846" t="s">
        <v>346</v>
      </c>
      <c r="I60" s="846" cm="1" t="str">
        <f t="array" ref="I60:I60">AC60</f>
        <v>0</v>
      </c>
      <c r="J60" s="874"/>
      <c r="K60" s="486"/>
      <c r="L60" s="486"/>
      <c r="M60" s="874"/>
      <c r="N60" s="874"/>
      <c r="O60" s="874"/>
      <c r="P60" s="874"/>
      <c r="Q60" s="874"/>
      <c r="R60" s="874"/>
      <c r="S60" s="874"/>
      <c r="T60" s="468">
        <f>AND(F60&gt;0,Y60&gt;0)</f>
        <v>0</v>
      </c>
      <c r="U60" s="874"/>
      <c r="V60" s="874"/>
      <c r="W60" s="874" t="s">
        <v>173</v>
      </c>
      <c r="X60" s="1597"/>
      <c r="Y60" s="1597">
        <v>0</v>
      </c>
      <c r="Z60" s="1598"/>
      <c r="AA60" s="1594" t="s">
        <v>174</v>
      </c>
      <c r="AB60" s="296" t="str">
        <f>"3."&amp;Y60</f>
        <v>3.0</v>
      </c>
      <c r="AC60" s="4148"/>
      <c r="AD60" s="773" t="s">
        <v>936</v>
      </c>
      <c r="AE60" s="4149"/>
      <c r="AF60" s="4149"/>
      <c r="AG60" s="4149"/>
      <c r="AH60" s="4149"/>
      <c r="AI60" s="3132">
        <f>AI61*AI62*12/1000</f>
        <v>0</v>
      </c>
      <c r="AJ60" s="3132">
        <f>AJ61*AJ62*12/1000</f>
        <v>0</v>
      </c>
      <c r="AK60" s="1823"/>
      <c r="AL60" s="1541"/>
      <c r="AM60" s="1541"/>
      <c r="AN60" s="1038" t="s">
        <v>1353</v>
      </c>
      <c r="AO60" s="1038" t="s">
        <v>1368</v>
      </c>
      <c r="AP60" s="1038" cm="1" t="str">
        <f t="array" ref="AP60:AP60">AC60</f>
        <v>0</v>
      </c>
      <c r="AQ60" s="263"/>
      <c r="AR60" s="263" t="b">
        <v>1</v>
      </c>
    </row>
    <row s="1191" customFormat="1" customHeight="1" ht="14.25" hidden="1">
      <c r="A61" s="1541"/>
      <c r="B61" s="431"/>
      <c r="C61" s="874"/>
      <c r="D61" s="874"/>
      <c r="E61" s="875">
        <v>15</v>
      </c>
      <c r="F61" s="50" cm="1" t="str">
        <f t="array" ref="F61:F61">OFFSET(E61,-1,1)</f>
        <v>1</v>
      </c>
      <c r="G61" s="879" t="s">
        <v>1369</v>
      </c>
      <c r="H61" s="846" t="str">
        <f>H60&amp;"_1"</f>
        <v>l3_1</v>
      </c>
      <c r="I61" s="846" cm="1" t="str">
        <f t="array" ref="I61:I61">I60</f>
        <v>0</v>
      </c>
      <c r="J61" s="874"/>
      <c r="K61" s="486"/>
      <c r="L61" s="486"/>
      <c r="M61" s="874"/>
      <c r="N61" s="874"/>
      <c r="O61" s="874"/>
      <c r="P61" s="874"/>
      <c r="Q61" s="874"/>
      <c r="R61" s="874"/>
      <c r="S61" s="874"/>
      <c r="T61" s="468" cm="1" t="str">
        <f t="array" ref="T61:T61">T60</f>
        <v>false</v>
      </c>
      <c r="U61" s="874"/>
      <c r="V61" s="874"/>
      <c r="W61" s="874"/>
      <c r="X61" s="1597"/>
      <c r="Y61" s="1597"/>
      <c r="Z61" s="1598"/>
      <c r="AA61" s="1594"/>
      <c r="AB61" s="696" t="str">
        <f>AB60&amp;".1"</f>
        <v>3.0.1</v>
      </c>
      <c r="AC61" s="772" t="s">
        <v>1356</v>
      </c>
      <c r="AD61" s="773" t="s">
        <v>1357</v>
      </c>
      <c r="AE61" s="4149"/>
      <c r="AF61" s="4149"/>
      <c r="AG61" s="4149"/>
      <c r="AH61" s="4149"/>
      <c r="AI61" s="4146"/>
      <c r="AJ61" s="4146"/>
      <c r="AK61" s="1823"/>
      <c r="AL61" s="1541"/>
      <c r="AM61" s="1541"/>
      <c r="AN61" s="1038" t="s">
        <v>1358</v>
      </c>
      <c r="AO61" s="1038" t="s">
        <v>1368</v>
      </c>
      <c r="AP61" s="1038" cm="1" t="str">
        <f t="array" ref="AP61:AP61">AP60</f>
        <v>0</v>
      </c>
      <c r="AQ61" s="263"/>
      <c r="AR61" s="263"/>
    </row>
    <row s="1191" customFormat="1" customHeight="1" ht="14.25" hidden="1">
      <c r="A62" s="1541"/>
      <c r="B62" s="431"/>
      <c r="C62" s="874"/>
      <c r="D62" s="874"/>
      <c r="E62" s="875">
        <v>15</v>
      </c>
      <c r="F62" s="50" cm="1" t="str">
        <f t="array" ref="F62:F62">OFFSET(E62,-1,1)</f>
        <v>1</v>
      </c>
      <c r="G62" s="846"/>
      <c r="H62" s="846" t="str">
        <f>H60&amp;"_2"</f>
        <v>l3_2</v>
      </c>
      <c r="I62" s="846" cm="1" t="str">
        <f t="array" ref="I62:I62">I61</f>
        <v>0</v>
      </c>
      <c r="J62" s="874"/>
      <c r="K62" s="486"/>
      <c r="L62" s="486"/>
      <c r="M62" s="874"/>
      <c r="N62" s="874"/>
      <c r="O62" s="874"/>
      <c r="P62" s="874"/>
      <c r="Q62" s="874"/>
      <c r="R62" s="874"/>
      <c r="S62" s="874"/>
      <c r="T62" s="468" cm="1" t="str">
        <f t="array" ref="T62:T62">T61</f>
        <v>false</v>
      </c>
      <c r="U62" s="874"/>
      <c r="V62" s="874"/>
      <c r="W62" s="874"/>
      <c r="X62" s="1597"/>
      <c r="Y62" s="1597"/>
      <c r="Z62" s="1598"/>
      <c r="AA62" s="1594"/>
      <c r="AB62" s="696" t="str">
        <f>AB60&amp;".2"</f>
        <v>3.0.2</v>
      </c>
      <c r="AC62" s="772" t="s">
        <v>1359</v>
      </c>
      <c r="AD62" s="773" t="s">
        <v>1360</v>
      </c>
      <c r="AE62" s="4149"/>
      <c r="AF62" s="4149"/>
      <c r="AG62" s="4149"/>
      <c r="AH62" s="4149"/>
      <c r="AI62" s="4146"/>
      <c r="AJ62" s="4146"/>
      <c r="AK62" s="1823"/>
      <c r="AL62" s="1541"/>
      <c r="AM62" s="1541"/>
      <c r="AN62" s="1038" t="s">
        <v>1361</v>
      </c>
      <c r="AO62" s="1038" t="s">
        <v>1368</v>
      </c>
      <c r="AP62" s="1038" cm="1" t="str">
        <f t="array" ref="AP62:AP62">AP61</f>
        <v>0</v>
      </c>
      <c r="AQ62" s="263"/>
      <c r="AR62" s="263"/>
    </row>
    <row s="1191" customFormat="1" customHeight="1" ht="14.25">
      <c r="A63" s="1541"/>
      <c r="B63" s="431"/>
      <c r="C63" s="874"/>
      <c r="D63" s="874"/>
      <c r="E63" s="875">
        <v>15</v>
      </c>
      <c r="F63" s="50" cm="1" t="str">
        <f t="array" ref="F63:F63">OFFSET(E63,-1,1)</f>
        <v>1</v>
      </c>
      <c r="G63" s="370"/>
      <c r="H63" s="846"/>
      <c r="I63" s="148" t="str">
        <f>"!=='не определено' &amp;&amp; row.l3 !== null"</f>
        <v>!=='не определено' &amp;&amp; row.l3 !== null</v>
      </c>
      <c r="J63" s="874"/>
      <c r="K63" s="486"/>
      <c r="L63" s="486"/>
      <c r="M63" s="874"/>
      <c r="N63" s="874"/>
      <c r="O63" s="874"/>
      <c r="P63" s="874"/>
      <c r="Q63" s="874"/>
      <c r="R63" s="874"/>
      <c r="S63" s="874"/>
      <c r="T63" s="468">
        <f>F63&gt;0</f>
        <v>1</v>
      </c>
      <c r="U63" s="874"/>
      <c r="V63" s="874"/>
      <c r="W63" s="764" t="s">
        <v>1012</v>
      </c>
      <c r="X63" s="1597"/>
      <c r="Y63" s="880"/>
      <c r="Z63" s="1598"/>
      <c r="AA63" s="874"/>
      <c r="AB63" s="881"/>
      <c r="AC63" s="256" t="s">
        <v>177</v>
      </c>
      <c r="AD63" s="783"/>
      <c r="AE63" s="783"/>
      <c r="AF63" s="783"/>
      <c r="AG63" s="783"/>
      <c r="AH63" s="783"/>
      <c r="AI63" s="783"/>
      <c r="AJ63" s="783"/>
      <c r="AK63" s="784"/>
      <c r="AL63" s="1541"/>
      <c r="AM63" s="1541"/>
      <c r="AN63" s="1038"/>
      <c r="AO63" s="1038"/>
      <c r="AP63" s="1038"/>
      <c r="AQ63" s="263" t="s">
        <v>1368</v>
      </c>
      <c r="AR63" s="263"/>
    </row>
    <row s="1191" customFormat="1" customHeight="1" ht="21.75">
      <c r="A64" s="1541"/>
      <c r="B64" s="431"/>
      <c r="C64" s="874"/>
      <c r="D64" s="874"/>
      <c r="E64" s="875">
        <v>22.5</v>
      </c>
      <c r="F64" s="50" cm="1" t="str">
        <f t="array" ref="F64:F64">OFFSET(E64,-1,1)</f>
        <v>1</v>
      </c>
      <c r="G64" s="370" t="s">
        <v>1370</v>
      </c>
      <c r="H64" s="846" t="s">
        <v>348</v>
      </c>
      <c r="I64" s="846"/>
      <c r="J64" s="874"/>
      <c r="K64" s="486" t="str">
        <f>F64&amp;"4komm"</f>
        <v>14komm</v>
      </c>
      <c r="L64" s="924" cm="1" t="str">
        <f t="array" ref="L64:L64">AK64</f>
        <v>0</v>
      </c>
      <c r="M64" s="874"/>
      <c r="N64" s="874"/>
      <c r="O64" s="874"/>
      <c r="P64" s="874"/>
      <c r="Q64" s="874"/>
      <c r="R64" s="874"/>
      <c r="S64" s="874"/>
      <c r="T64" s="468" cm="1" t="str">
        <f t="array" ref="T64:T64">T63</f>
        <v>true</v>
      </c>
      <c r="U64" s="874"/>
      <c r="V64" s="874"/>
      <c r="W64" s="874"/>
      <c r="X64" s="1597"/>
      <c r="Y64" s="880"/>
      <c r="Z64" s="1598"/>
      <c r="AA64" s="874"/>
      <c r="AB64" s="696" t="s">
        <v>451</v>
      </c>
      <c r="AC64" s="854" t="s">
        <v>1371</v>
      </c>
      <c r="AD64" s="773" t="s">
        <v>936</v>
      </c>
      <c r="AE64" s="294">
        <f>AE59*_xlfn.SUMIFS(INDEX(Сценарии!$AE$25:$BF$136,,MATCH(AE$13,Сценарии!$AE$8:$BF$8,0)),Сценарии!$F$25:$F$136,$F64,Сценарии!$G$25:$G$136,"СВФОТ")/100</f>
        <v>0</v>
      </c>
      <c r="AF64" s="294">
        <f>AF59*_xlfn.SUMIFS(INDEX(Сценарии!$AE$25:$BF$136,,MATCH(AF$13,Сценарии!$AE$8:$BF$8,0)),Сценарии!$F$25:$F$136,$F64,Сценарии!$G$25:$G$136,"СВФОТ")/100</f>
        <v>0</v>
      </c>
      <c r="AG64" s="294">
        <f>AG59*_xlfn.SUMIFS(INDEX(Сценарии!$AE$25:$BF$136,,MATCH(AG$13,Сценарии!$AE$8:$BF$8,0)),Сценарии!$F$25:$F$136,$F64,Сценарии!$G$25:$G$136,"СВФОТ")/100</f>
        <v>0</v>
      </c>
      <c r="AH64" s="294">
        <f>AH59*_xlfn.SUMIFS(INDEX(Сценарии!$AE$25:$BF$136,,MATCH(AH$13,Сценарии!$AE$8:$BF$8,0)),Сценарии!$F$25:$F$136,$F64,Сценарии!$G$25:$G$136,"СВФОТ")/100</f>
        <v>0</v>
      </c>
      <c r="AI64" s="294">
        <f>AI59*_xlfn.SUMIFS(INDEX(Сценарии!$AE$25:$BF$136,,MATCH(AI$13,Сценарии!$AE$8:$BF$8,0)),Сценарии!$F$25:$F$136,$F64,Сценарии!$G$25:$G$136,"СВФОТ")/100</f>
        <v>0</v>
      </c>
      <c r="AJ64" s="294">
        <f>AJ59*_xlfn.SUMIFS(INDEX(Сценарии!$AE$25:$BF$136,,MATCH(AJ$13,Сценарии!$AE$8:$BF$8,0)),Сценарии!$F$25:$F$136,$F64,Сценарии!$G$25:$G$136,"СВФОТ")/100</f>
        <v>0</v>
      </c>
      <c r="AK64" s="853"/>
      <c r="AL64" s="1541"/>
      <c r="AM64" s="1541"/>
      <c r="AN64" s="1038" t="s">
        <v>1372</v>
      </c>
      <c r="AO64" s="1038"/>
      <c r="AP64" s="1038"/>
      <c r="AQ64" s="263"/>
      <c r="AR64" s="263"/>
    </row>
    <row s="1191" customFormat="1" customHeight="1" ht="21.75">
      <c r="A65" s="1541"/>
      <c r="B65" s="431"/>
      <c r="C65" s="874"/>
      <c r="D65" s="874"/>
      <c r="E65" s="875">
        <v>22.5</v>
      </c>
      <c r="F65" s="50" cm="1" t="str">
        <f t="array" ref="F65:F65">OFFSET(E65,-1,1)</f>
        <v>1</v>
      </c>
      <c r="G65" s="370" t="s">
        <v>1373</v>
      </c>
      <c r="H65" s="846" t="s">
        <v>347</v>
      </c>
      <c r="I65" s="846"/>
      <c r="J65" s="874"/>
      <c r="K65" s="486" t="str">
        <f>F65&amp;"5komm"</f>
        <v>15komm</v>
      </c>
      <c r="L65" s="924" cm="1" t="str">
        <f t="array" ref="L65:L65">AK65</f>
        <v>0</v>
      </c>
      <c r="M65" s="874"/>
      <c r="N65" s="874"/>
      <c r="O65" s="874"/>
      <c r="P65" s="874"/>
      <c r="Q65" s="874"/>
      <c r="R65" s="874"/>
      <c r="S65" s="874"/>
      <c r="T65" s="468" cm="1" t="str">
        <f t="array" ref="T65:T65">T64</f>
        <v>true</v>
      </c>
      <c r="U65" s="874"/>
      <c r="V65" s="874"/>
      <c r="W65" s="874"/>
      <c r="X65" s="1597"/>
      <c r="Y65" s="880"/>
      <c r="Z65" s="1598"/>
      <c r="AA65" s="874"/>
      <c r="AB65" s="696" t="s">
        <v>454</v>
      </c>
      <c r="AC65" s="854" t="s">
        <v>1374</v>
      </c>
      <c r="AD65" s="773" t="s">
        <v>936</v>
      </c>
      <c r="AE65" s="294"/>
      <c r="AF65" s="294"/>
      <c r="AG65" s="294"/>
      <c r="AH65" s="294"/>
      <c r="AI65" s="209">
        <f>_xlfn.SUMIFS(AI66:AI69,$AD66:$AD69,$AD65)</f>
        <v>0</v>
      </c>
      <c r="AJ65" s="209">
        <f>_xlfn.SUMIFS(AJ66:AJ69,$AD66:$AD69,$AD65)</f>
        <v>0</v>
      </c>
      <c r="AK65" s="853"/>
      <c r="AL65" s="1541"/>
      <c r="AM65" s="1541"/>
      <c r="AN65" s="1038" t="s">
        <v>1375</v>
      </c>
      <c r="AO65" s="1038"/>
      <c r="AP65" s="1038"/>
      <c r="AQ65" s="263"/>
      <c r="AR65" s="263"/>
    </row>
    <row s="1191" customFormat="1" customHeight="1" ht="18" hidden="1">
      <c r="A66" s="1541"/>
      <c r="B66" s="431"/>
      <c r="C66" s="874"/>
      <c r="D66" s="874"/>
      <c r="E66" s="875">
        <v>18.75</v>
      </c>
      <c r="F66" s="50" cm="1" t="str">
        <f t="array" ref="F66:F66">OFFSET(E66,-1,1)</f>
        <v>1</v>
      </c>
      <c r="G66" s="846"/>
      <c r="H66" s="846" t="s">
        <v>347</v>
      </c>
      <c r="I66" s="846" cm="1" t="str">
        <f t="array" ref="I66:I66">AC66</f>
        <v>0</v>
      </c>
      <c r="J66" s="874"/>
      <c r="K66" s="486"/>
      <c r="L66" s="486"/>
      <c r="M66" s="874"/>
      <c r="N66" s="874"/>
      <c r="O66" s="874"/>
      <c r="P66" s="874"/>
      <c r="Q66" s="874"/>
      <c r="R66" s="874"/>
      <c r="S66" s="874"/>
      <c r="T66" s="468">
        <f>AND(F66&gt;0,Y66&gt;0)</f>
        <v>0</v>
      </c>
      <c r="U66" s="874"/>
      <c r="V66" s="874"/>
      <c r="W66" s="874" t="s">
        <v>173</v>
      </c>
      <c r="X66" s="1597"/>
      <c r="Y66" s="1597">
        <v>0</v>
      </c>
      <c r="Z66" s="1598"/>
      <c r="AA66" s="1594" t="s">
        <v>174</v>
      </c>
      <c r="AB66" s="296" t="str">
        <f>"5."&amp;Y66</f>
        <v>5.0</v>
      </c>
      <c r="AC66" s="4148"/>
      <c r="AD66" s="773" t="s">
        <v>936</v>
      </c>
      <c r="AE66" s="4149"/>
      <c r="AF66" s="4149"/>
      <c r="AG66" s="4149"/>
      <c r="AH66" s="4149"/>
      <c r="AI66" s="3132">
        <f>AI67*AI68*12/1000</f>
        <v>0</v>
      </c>
      <c r="AJ66" s="3132">
        <f>AJ67*AJ68*12/1000</f>
        <v>0</v>
      </c>
      <c r="AK66" s="1823"/>
      <c r="AL66" s="1541"/>
      <c r="AM66" s="1541"/>
      <c r="AN66" s="1038" t="s">
        <v>1353</v>
      </c>
      <c r="AO66" s="1038" t="s">
        <v>1376</v>
      </c>
      <c r="AP66" s="1038" cm="1" t="str">
        <f t="array" ref="AP66:AP66">AC66</f>
        <v>0</v>
      </c>
      <c r="AQ66" s="263"/>
      <c r="AR66" s="263" t="b">
        <v>1</v>
      </c>
    </row>
    <row s="1191" customFormat="1" customHeight="1" ht="14.25" hidden="1">
      <c r="A67" s="1541"/>
      <c r="B67" s="431"/>
      <c r="C67" s="874"/>
      <c r="D67" s="874"/>
      <c r="E67" s="875">
        <v>15</v>
      </c>
      <c r="F67" s="50" cm="1" t="str">
        <f t="array" ref="F67:F67">OFFSET(E67,-1,1)</f>
        <v>1</v>
      </c>
      <c r="G67" s="846"/>
      <c r="H67" s="846" t="str">
        <f>H66&amp;"_1"</f>
        <v>l5_1</v>
      </c>
      <c r="I67" s="846" cm="1" t="str">
        <f t="array" ref="I67:I67">I66</f>
        <v>0</v>
      </c>
      <c r="J67" s="874"/>
      <c r="K67" s="486"/>
      <c r="L67" s="486"/>
      <c r="M67" s="874"/>
      <c r="N67" s="874"/>
      <c r="O67" s="874"/>
      <c r="P67" s="874"/>
      <c r="Q67" s="874"/>
      <c r="R67" s="874"/>
      <c r="S67" s="874"/>
      <c r="T67" s="468" cm="1" t="str">
        <f t="array" ref="T67:T67">T66</f>
        <v>false</v>
      </c>
      <c r="U67" s="874"/>
      <c r="V67" s="874"/>
      <c r="W67" s="874"/>
      <c r="X67" s="1597"/>
      <c r="Y67" s="1597"/>
      <c r="Z67" s="1598"/>
      <c r="AA67" s="1594"/>
      <c r="AB67" s="696" t="str">
        <f>AB66&amp;".1"</f>
        <v>5.0.1</v>
      </c>
      <c r="AC67" s="772" t="s">
        <v>1356</v>
      </c>
      <c r="AD67" s="773" t="s">
        <v>1357</v>
      </c>
      <c r="AE67" s="4149"/>
      <c r="AF67" s="4149"/>
      <c r="AG67" s="4149"/>
      <c r="AH67" s="4149"/>
      <c r="AI67" s="4146"/>
      <c r="AJ67" s="4146"/>
      <c r="AK67" s="1823"/>
      <c r="AL67" s="1541"/>
      <c r="AM67" s="1541"/>
      <c r="AN67" s="1038" t="s">
        <v>1358</v>
      </c>
      <c r="AO67" s="1038" t="s">
        <v>1376</v>
      </c>
      <c r="AP67" s="1038" cm="1" t="str">
        <f t="array" ref="AP67:AP67">AP66</f>
        <v>0</v>
      </c>
      <c r="AQ67" s="263"/>
      <c r="AR67" s="263"/>
    </row>
    <row s="1191" customFormat="1" customHeight="1" ht="14.25" hidden="1">
      <c r="A68" s="1541"/>
      <c r="B68" s="431"/>
      <c r="C68" s="874"/>
      <c r="D68" s="874"/>
      <c r="E68" s="875">
        <v>15</v>
      </c>
      <c r="F68" s="50" cm="1" t="str">
        <f t="array" ref="F68:F68">OFFSET(E68,-1,1)</f>
        <v>1</v>
      </c>
      <c r="G68" s="846"/>
      <c r="H68" s="846" t="str">
        <f>H66&amp;"_2"</f>
        <v>l5_2</v>
      </c>
      <c r="I68" s="846" cm="1" t="str">
        <f t="array" ref="I68:I68">I67</f>
        <v>0</v>
      </c>
      <c r="J68" s="874"/>
      <c r="K68" s="486"/>
      <c r="L68" s="486"/>
      <c r="M68" s="874"/>
      <c r="N68" s="874"/>
      <c r="O68" s="874"/>
      <c r="P68" s="874"/>
      <c r="Q68" s="874"/>
      <c r="R68" s="874"/>
      <c r="S68" s="874"/>
      <c r="T68" s="468" cm="1" t="str">
        <f t="array" ref="T68:T68">T67</f>
        <v>false</v>
      </c>
      <c r="U68" s="874"/>
      <c r="V68" s="874"/>
      <c r="W68" s="874"/>
      <c r="X68" s="1597"/>
      <c r="Y68" s="1597"/>
      <c r="Z68" s="1598"/>
      <c r="AA68" s="1594"/>
      <c r="AB68" s="696" t="str">
        <f>AB66&amp;".2"</f>
        <v>5.0.2</v>
      </c>
      <c r="AC68" s="772" t="s">
        <v>1359</v>
      </c>
      <c r="AD68" s="773" t="s">
        <v>1360</v>
      </c>
      <c r="AE68" s="4149"/>
      <c r="AF68" s="4149"/>
      <c r="AG68" s="4149"/>
      <c r="AH68" s="4149"/>
      <c r="AI68" s="4146"/>
      <c r="AJ68" s="4146"/>
      <c r="AK68" s="1823"/>
      <c r="AL68" s="1541"/>
      <c r="AM68" s="1541"/>
      <c r="AN68" s="1038" t="s">
        <v>1361</v>
      </c>
      <c r="AO68" s="1038" t="s">
        <v>1376</v>
      </c>
      <c r="AP68" s="1038" cm="1" t="str">
        <f t="array" ref="AP68:AP68">AP67</f>
        <v>0</v>
      </c>
      <c r="AQ68" s="263"/>
      <c r="AR68" s="263"/>
    </row>
    <row s="1191" customFormat="1" customHeight="1" ht="14.25">
      <c r="A69" s="1541"/>
      <c r="B69" s="431"/>
      <c r="C69" s="874"/>
      <c r="D69" s="874"/>
      <c r="E69" s="875">
        <v>15</v>
      </c>
      <c r="F69" s="50" cm="1" t="str">
        <f t="array" ref="F69:F69">OFFSET(E69,-1,1)</f>
        <v>1</v>
      </c>
      <c r="G69" s="370"/>
      <c r="H69" s="846"/>
      <c r="I69" s="148" t="str">
        <f>"!=='не определено' &amp;&amp; row.l5 !== null"</f>
        <v>!=='не определено' &amp;&amp; row.l5 !== null</v>
      </c>
      <c r="J69" s="874"/>
      <c r="K69" s="486"/>
      <c r="L69" s="486"/>
      <c r="M69" s="874"/>
      <c r="N69" s="874"/>
      <c r="O69" s="874"/>
      <c r="P69" s="874"/>
      <c r="Q69" s="874"/>
      <c r="R69" s="874"/>
      <c r="S69" s="874"/>
      <c r="T69" s="468">
        <f>F69&gt;0</f>
        <v>1</v>
      </c>
      <c r="U69" s="874"/>
      <c r="V69" s="874"/>
      <c r="W69" s="764" t="s">
        <v>1377</v>
      </c>
      <c r="X69" s="1597"/>
      <c r="Y69" s="880"/>
      <c r="Z69" s="1598"/>
      <c r="AA69" s="874"/>
      <c r="AB69" s="881"/>
      <c r="AC69" s="256" t="s">
        <v>177</v>
      </c>
      <c r="AD69" s="783"/>
      <c r="AE69" s="783"/>
      <c r="AF69" s="783"/>
      <c r="AG69" s="783"/>
      <c r="AH69" s="783"/>
      <c r="AI69" s="783"/>
      <c r="AJ69" s="783"/>
      <c r="AK69" s="784"/>
      <c r="AL69" s="1541"/>
      <c r="AM69" s="1541"/>
      <c r="AN69" s="1038"/>
      <c r="AO69" s="1038"/>
      <c r="AP69" s="1038"/>
      <c r="AQ69" s="263" t="s">
        <v>1376</v>
      </c>
      <c r="AR69" s="263"/>
    </row>
    <row s="1191" customFormat="1" customHeight="1" ht="21.75">
      <c r="A70" s="1541"/>
      <c r="B70" s="431"/>
      <c r="C70" s="874"/>
      <c r="D70" s="874"/>
      <c r="E70" s="875">
        <v>22.5</v>
      </c>
      <c r="F70" s="50" cm="1" t="str">
        <f t="array" ref="F70:F70">OFFSET(E70,-1,1)</f>
        <v>1</v>
      </c>
      <c r="G70" s="370" t="s">
        <v>1378</v>
      </c>
      <c r="H70" s="846" t="s">
        <v>616</v>
      </c>
      <c r="I70" s="846"/>
      <c r="J70" s="874"/>
      <c r="K70" s="486" t="str">
        <f>F70&amp;"6komm"</f>
        <v>16komm</v>
      </c>
      <c r="L70" s="486" cm="1" t="str">
        <f t="array" ref="L70:L70">AK70</f>
        <v>0</v>
      </c>
      <c r="M70" s="874"/>
      <c r="N70" s="874"/>
      <c r="O70" s="874"/>
      <c r="P70" s="874"/>
      <c r="Q70" s="874"/>
      <c r="R70" s="874"/>
      <c r="S70" s="874"/>
      <c r="T70" s="468" cm="1" t="str">
        <f t="array" ref="T70:T70">T69</f>
        <v>true</v>
      </c>
      <c r="U70" s="874"/>
      <c r="V70" s="874"/>
      <c r="W70" s="874"/>
      <c r="X70" s="1597"/>
      <c r="Y70" s="880"/>
      <c r="Z70" s="1598"/>
      <c r="AA70" s="874"/>
      <c r="AB70" s="696" t="s">
        <v>457</v>
      </c>
      <c r="AC70" s="854" t="s">
        <v>1379</v>
      </c>
      <c r="AD70" s="773" t="s">
        <v>936</v>
      </c>
      <c r="AE70" s="294">
        <f>AE65*_xlfn.SUMIFS(INDEX(Сценарии!$AE$25:$BF$136,,MATCH(AE$13,Сценарии!$AE$8:$BF$8,0)),Сценарии!$F$25:$F$136,$F70,Сценарии!$G$25:$G$136,"СВФОТ")/100</f>
        <v>0</v>
      </c>
      <c r="AF70" s="294">
        <f>AF65*_xlfn.SUMIFS(INDEX(Сценарии!$AE$25:$BF$136,,MATCH(AF$13,Сценарии!$AE$8:$BF$8,0)),Сценарии!$F$25:$F$136,$F70,Сценарии!$G$25:$G$136,"СВФОТ")/100</f>
        <v>0</v>
      </c>
      <c r="AG70" s="294">
        <f>AG65*_xlfn.SUMIFS(INDEX(Сценарии!$AE$25:$BF$136,,MATCH(AG$13,Сценарии!$AE$8:$BF$8,0)),Сценарии!$F$25:$F$136,$F70,Сценарии!$G$25:$G$136,"СВФОТ")/100</f>
        <v>0</v>
      </c>
      <c r="AH70" s="294">
        <f>AH65*_xlfn.SUMIFS(INDEX(Сценарии!$AE$25:$BF$136,,MATCH(AH$13,Сценарии!$AE$8:$BF$8,0)),Сценарии!$F$25:$F$136,$F70,Сценарии!$G$25:$G$136,"СВФОТ")/100</f>
        <v>0</v>
      </c>
      <c r="AI70" s="294">
        <f>AI65*_xlfn.SUMIFS(INDEX(Сценарии!$AE$25:$BF$136,,MATCH(AI$13,Сценарии!$AE$8:$BF$8,0)),Сценарии!$F$25:$F$136,$F70,Сценарии!$G$25:$G$136,"СВФОТ")/100</f>
        <v>0</v>
      </c>
      <c r="AJ70" s="294">
        <f>AJ65*_xlfn.SUMIFS(INDEX(Сценарии!$AE$25:$BF$136,,MATCH(AJ$13,Сценарии!$AE$8:$BF$8,0)),Сценарии!$F$25:$F$136,$F70,Сценарии!$G$25:$G$136,"СВФОТ")/100</f>
        <v>0</v>
      </c>
      <c r="AK70" s="925"/>
      <c r="AL70" s="1541"/>
      <c r="AM70" s="1541"/>
      <c r="AN70" s="1038" t="s">
        <v>1380</v>
      </c>
      <c r="AO70" s="1038"/>
      <c r="AP70" s="1038"/>
      <c r="AQ70" s="263"/>
      <c r="AR70" s="263"/>
    </row>
    <row s="1191" customFormat="1" customHeight="1" ht="14.25">
      <c r="A71" s="1541"/>
      <c r="B71" s="431"/>
      <c r="C71" s="874"/>
      <c r="D71" s="874"/>
      <c r="E71" s="875">
        <v>15</v>
      </c>
      <c r="F71" s="50" cm="1" t="str">
        <f t="array" ref="F71:F71">OFFSET(E71,-1,1)</f>
        <v>1</v>
      </c>
      <c r="G71" s="370" t="s">
        <v>1381</v>
      </c>
      <c r="H71" s="846" t="s">
        <v>619</v>
      </c>
      <c r="I71" s="846"/>
      <c r="J71" s="874"/>
      <c r="K71" s="486" t="str">
        <f>F71&amp;"7komm"</f>
        <v>17komm</v>
      </c>
      <c r="L71" s="486" cm="1" t="str">
        <f t="array" ref="L71:L71">AK71</f>
        <v>0</v>
      </c>
      <c r="M71" s="874"/>
      <c r="N71" s="874"/>
      <c r="O71" s="874"/>
      <c r="P71" s="874"/>
      <c r="Q71" s="874"/>
      <c r="R71" s="874"/>
      <c r="S71" s="874"/>
      <c r="T71" s="468" cm="1" t="str">
        <f t="array" ref="T71:T71">T70</f>
        <v>true</v>
      </c>
      <c r="U71" s="874"/>
      <c r="V71" s="874"/>
      <c r="W71" s="874"/>
      <c r="X71" s="1597"/>
      <c r="Y71" s="880"/>
      <c r="Z71" s="1598"/>
      <c r="AA71" s="874"/>
      <c r="AB71" s="696" t="s">
        <v>460</v>
      </c>
      <c r="AC71" s="854" t="s">
        <v>1382</v>
      </c>
      <c r="AD71" s="773" t="s">
        <v>936</v>
      </c>
      <c r="AE71" s="294"/>
      <c r="AF71" s="294"/>
      <c r="AG71" s="294"/>
      <c r="AH71" s="294"/>
      <c r="AI71" s="209">
        <f>_xlfn.SUMIFS(AI72:AI75,$AD72:$AD75,$AD71)</f>
        <v>0</v>
      </c>
      <c r="AJ71" s="209">
        <f>_xlfn.SUMIFS(AJ72:AJ75,$AD72:$AD75,$AD71)</f>
        <v>0</v>
      </c>
      <c r="AK71" s="925"/>
      <c r="AL71" s="1541"/>
      <c r="AM71" s="1541"/>
      <c r="AN71" s="1038" t="s">
        <v>1383</v>
      </c>
      <c r="AO71" s="1038"/>
      <c r="AP71" s="1038"/>
      <c r="AQ71" s="263"/>
      <c r="AR71" s="263"/>
    </row>
    <row s="1191" customFormat="1" customHeight="1" ht="18" hidden="1">
      <c r="A72" s="1541"/>
      <c r="B72" s="1541"/>
      <c r="C72" s="882"/>
      <c r="D72" s="882"/>
      <c r="E72" s="883">
        <v>18.75</v>
      </c>
      <c r="F72" s="50" cm="1" t="str">
        <f t="array" ref="F72:F72">OFFSET(E72,-1,1)</f>
        <v>1</v>
      </c>
      <c r="G72" s="879"/>
      <c r="H72" s="846" t="s">
        <v>619</v>
      </c>
      <c r="I72" s="879" cm="1" t="str">
        <f t="array" ref="I72:I72">AC72</f>
        <v>0</v>
      </c>
      <c r="J72" s="882"/>
      <c r="K72" s="923"/>
      <c r="L72" s="923"/>
      <c r="M72" s="882"/>
      <c r="N72" s="882"/>
      <c r="O72" s="882"/>
      <c r="P72" s="882"/>
      <c r="Q72" s="882"/>
      <c r="R72" s="882"/>
      <c r="S72" s="882"/>
      <c r="T72" s="468">
        <f>AND(F72&gt;0,Y72&gt;0)</f>
        <v>0</v>
      </c>
      <c r="U72" s="882"/>
      <c r="V72" s="882"/>
      <c r="W72" s="874" t="s">
        <v>173</v>
      </c>
      <c r="X72" s="1597"/>
      <c r="Y72" s="1597">
        <v>0</v>
      </c>
      <c r="Z72" s="1598"/>
      <c r="AA72" s="1594" t="s">
        <v>174</v>
      </c>
      <c r="AB72" s="1241" t="str">
        <f>"7."&amp;Y72</f>
        <v>7.0</v>
      </c>
      <c r="AC72" s="4160"/>
      <c r="AD72" s="885" t="s">
        <v>936</v>
      </c>
      <c r="AE72" s="4162"/>
      <c r="AF72" s="4162"/>
      <c r="AG72" s="4162"/>
      <c r="AH72" s="4162"/>
      <c r="AI72" s="4163">
        <f>AI73*AI74*12/1000</f>
        <v>0</v>
      </c>
      <c r="AJ72" s="4163">
        <f>AJ73*AJ74*12/1000</f>
        <v>0</v>
      </c>
      <c r="AK72" s="4164"/>
      <c r="AL72" s="1541"/>
      <c r="AM72" s="1541"/>
      <c r="AN72" s="1038" t="s">
        <v>1353</v>
      </c>
      <c r="AO72" s="1054" t="s">
        <v>1384</v>
      </c>
      <c r="AP72" s="1038" cm="1" t="str">
        <f t="array" ref="AP72:AP72">AC72</f>
        <v>0</v>
      </c>
      <c r="AQ72" s="1055"/>
      <c r="AR72" s="263" t="b">
        <v>1</v>
      </c>
    </row>
    <row s="1191" customFormat="1" customHeight="1" ht="14.25" hidden="1">
      <c r="A73" s="1541"/>
      <c r="B73" s="1541"/>
      <c r="C73" s="882"/>
      <c r="D73" s="882"/>
      <c r="E73" s="883">
        <v>15</v>
      </c>
      <c r="F73" s="50" cm="1" t="str">
        <f t="array" ref="F73:F73">OFFSET(E73,-1,1)</f>
        <v>1</v>
      </c>
      <c r="G73" s="879"/>
      <c r="H73" s="879" t="str">
        <f>H72&amp;"_1"</f>
        <v>l7_1</v>
      </c>
      <c r="I73" s="879" cm="1" t="str">
        <f t="array" ref="I73:I73">I72</f>
        <v>0</v>
      </c>
      <c r="J73" s="882"/>
      <c r="K73" s="923"/>
      <c r="L73" s="923"/>
      <c r="M73" s="882"/>
      <c r="N73" s="882"/>
      <c r="O73" s="882"/>
      <c r="P73" s="882"/>
      <c r="Q73" s="882"/>
      <c r="R73" s="882"/>
      <c r="S73" s="882"/>
      <c r="T73" s="468" cm="1" t="str">
        <f t="array" ref="T73:T73">T72</f>
        <v>false</v>
      </c>
      <c r="U73" s="882"/>
      <c r="V73" s="882"/>
      <c r="W73" s="882"/>
      <c r="X73" s="1597"/>
      <c r="Y73" s="1597"/>
      <c r="Z73" s="1598"/>
      <c r="AA73" s="1594"/>
      <c r="AB73" s="889" t="str">
        <f>AB72&amp;".1"</f>
        <v>7.0.1</v>
      </c>
      <c r="AC73" s="890" t="s">
        <v>1356</v>
      </c>
      <c r="AD73" s="885" t="s">
        <v>1357</v>
      </c>
      <c r="AE73" s="4162"/>
      <c r="AF73" s="4162"/>
      <c r="AG73" s="4162"/>
      <c r="AH73" s="4162"/>
      <c r="AI73" s="4169"/>
      <c r="AJ73" s="4169"/>
      <c r="AK73" s="4164"/>
      <c r="AL73" s="1541"/>
      <c r="AM73" s="1541"/>
      <c r="AN73" s="1038" t="s">
        <v>1358</v>
      </c>
      <c r="AO73" s="1054" t="s">
        <v>1384</v>
      </c>
      <c r="AP73" s="1038" cm="1" t="str">
        <f t="array" ref="AP73:AP73">AP72</f>
        <v>0</v>
      </c>
      <c r="AQ73" s="1055"/>
      <c r="AR73" s="1055"/>
    </row>
    <row s="1191" customFormat="1" customHeight="1" ht="14.25" hidden="1">
      <c r="A74" s="1541"/>
      <c r="B74" s="1541"/>
      <c r="C74" s="882"/>
      <c r="D74" s="882"/>
      <c r="E74" s="883">
        <v>15</v>
      </c>
      <c r="F74" s="50" cm="1" t="str">
        <f t="array" ref="F74:F74">OFFSET(E74,-1,1)</f>
        <v>1</v>
      </c>
      <c r="G74" s="879"/>
      <c r="H74" s="879" t="str">
        <f>H72&amp;"_2"</f>
        <v>l7_2</v>
      </c>
      <c r="I74" s="879" cm="1" t="str">
        <f t="array" ref="I74:I74">I73</f>
        <v>0</v>
      </c>
      <c r="J74" s="882"/>
      <c r="K74" s="923"/>
      <c r="L74" s="923"/>
      <c r="M74" s="882"/>
      <c r="N74" s="882"/>
      <c r="O74" s="882"/>
      <c r="P74" s="882"/>
      <c r="Q74" s="882"/>
      <c r="R74" s="882"/>
      <c r="S74" s="882"/>
      <c r="T74" s="468" cm="1" t="str">
        <f t="array" ref="T74:T74">T73</f>
        <v>false</v>
      </c>
      <c r="U74" s="882"/>
      <c r="V74" s="882"/>
      <c r="W74" s="882"/>
      <c r="X74" s="1597"/>
      <c r="Y74" s="1597"/>
      <c r="Z74" s="1598"/>
      <c r="AA74" s="1594"/>
      <c r="AB74" s="889" t="str">
        <f>AB72&amp;".2"</f>
        <v>7.0.2</v>
      </c>
      <c r="AC74" s="890" t="s">
        <v>1359</v>
      </c>
      <c r="AD74" s="885" t="s">
        <v>1360</v>
      </c>
      <c r="AE74" s="4162"/>
      <c r="AF74" s="4162"/>
      <c r="AG74" s="4162"/>
      <c r="AH74" s="4162"/>
      <c r="AI74" s="4169"/>
      <c r="AJ74" s="4169"/>
      <c r="AK74" s="4164"/>
      <c r="AL74" s="1541"/>
      <c r="AM74" s="1541"/>
      <c r="AN74" s="1038" t="s">
        <v>1361</v>
      </c>
      <c r="AO74" s="1054" t="s">
        <v>1384</v>
      </c>
      <c r="AP74" s="1038" cm="1" t="str">
        <f t="array" ref="AP74:AP74">AP73</f>
        <v>0</v>
      </c>
      <c r="AQ74" s="1055"/>
      <c r="AR74" s="1055"/>
    </row>
    <row s="1191" customFormat="1" customHeight="1" ht="14.25">
      <c r="A75" s="1541"/>
      <c r="B75" s="431"/>
      <c r="C75" s="874"/>
      <c r="D75" s="874"/>
      <c r="E75" s="875">
        <v>15</v>
      </c>
      <c r="F75" s="50" cm="1" t="str">
        <f t="array" ref="F75:F75">OFFSET(E75,-1,1)</f>
        <v>1</v>
      </c>
      <c r="G75" s="370"/>
      <c r="H75" s="846"/>
      <c r="I75" s="148" t="str">
        <f>"!=='не определено' &amp;&amp; row.l7 !== null"</f>
        <v>!=='не определено' &amp;&amp; row.l7 !== null</v>
      </c>
      <c r="J75" s="874"/>
      <c r="K75" s="486"/>
      <c r="L75" s="486"/>
      <c r="M75" s="874"/>
      <c r="N75" s="874"/>
      <c r="O75" s="874"/>
      <c r="P75" s="874"/>
      <c r="Q75" s="874"/>
      <c r="R75" s="874"/>
      <c r="S75" s="874"/>
      <c r="T75" s="468">
        <f>F75&gt;0</f>
        <v>1</v>
      </c>
      <c r="U75" s="874"/>
      <c r="V75" s="874"/>
      <c r="W75" s="764" t="s">
        <v>1385</v>
      </c>
      <c r="X75" s="1597"/>
      <c r="Y75" s="874"/>
      <c r="Z75" s="1598"/>
      <c r="AA75" s="874"/>
      <c r="AB75" s="881"/>
      <c r="AC75" s="256" t="s">
        <v>177</v>
      </c>
      <c r="AD75" s="783"/>
      <c r="AE75" s="783"/>
      <c r="AF75" s="783"/>
      <c r="AG75" s="783"/>
      <c r="AH75" s="783"/>
      <c r="AI75" s="783"/>
      <c r="AJ75" s="783"/>
      <c r="AK75" s="784"/>
      <c r="AL75" s="1541"/>
      <c r="AM75" s="1541"/>
      <c r="AN75" s="1038"/>
      <c r="AO75" s="1038"/>
      <c r="AP75" s="1038"/>
      <c r="AQ75" s="1055" t="s">
        <v>1384</v>
      </c>
      <c r="AR75" s="263"/>
    </row>
    <row s="1191" customFormat="1" customHeight="1" ht="21.75">
      <c r="A76" s="1541"/>
      <c r="B76" s="431"/>
      <c r="C76" s="874"/>
      <c r="D76" s="874"/>
      <c r="E76" s="875">
        <v>22.5</v>
      </c>
      <c r="F76" s="50" cm="1" t="str">
        <f t="array" ref="F76:F76">OFFSET(E76,-1,1)</f>
        <v>1</v>
      </c>
      <c r="G76" s="370" t="s">
        <v>1386</v>
      </c>
      <c r="H76" s="846" t="s">
        <v>685</v>
      </c>
      <c r="I76" s="846"/>
      <c r="J76" s="874"/>
      <c r="K76" s="486" t="str">
        <f>F76&amp;"8komm"</f>
        <v>18komm</v>
      </c>
      <c r="L76" s="924" cm="1" t="str">
        <f t="array" ref="L76:L76">AK76</f>
        <v>0</v>
      </c>
      <c r="M76" s="874"/>
      <c r="N76" s="874"/>
      <c r="O76" s="874"/>
      <c r="P76" s="874"/>
      <c r="Q76" s="874"/>
      <c r="R76" s="874"/>
      <c r="S76" s="874"/>
      <c r="T76" s="468" cm="1" t="str">
        <f t="array" ref="T76:T76">T75</f>
        <v>true</v>
      </c>
      <c r="U76" s="874"/>
      <c r="V76" s="874"/>
      <c r="W76" s="874"/>
      <c r="X76" s="1597"/>
      <c r="Y76" s="874"/>
      <c r="Z76" s="1598"/>
      <c r="AA76" s="874"/>
      <c r="AB76" s="696" t="s">
        <v>463</v>
      </c>
      <c r="AC76" s="854" t="s">
        <v>1387</v>
      </c>
      <c r="AD76" s="773" t="s">
        <v>936</v>
      </c>
      <c r="AE76" s="294">
        <f>AE71*_xlfn.SUMIFS(INDEX(Сценарии!$AE$25:$BF$136,,MATCH(AE$13,Сценарии!$AE$8:$BF$8,0)),Сценарии!$F$25:$F$136,$F76,Сценарии!$G$25:$G$136,"СВФОТ")/100</f>
        <v>0</v>
      </c>
      <c r="AF76" s="294">
        <f>AF71*_xlfn.SUMIFS(INDEX(Сценарии!$AE$25:$BF$136,,MATCH(AF$13,Сценарии!$AE$8:$BF$8,0)),Сценарии!$F$25:$F$136,$F76,Сценарии!$G$25:$G$136,"СВФОТ")/100</f>
        <v>0</v>
      </c>
      <c r="AG76" s="294">
        <f>AG71*_xlfn.SUMIFS(INDEX(Сценарии!$AE$25:$BF$136,,MATCH(AG$13,Сценарии!$AE$8:$BF$8,0)),Сценарии!$F$25:$F$136,$F76,Сценарии!$G$25:$G$136,"СВФОТ")/100</f>
        <v>0</v>
      </c>
      <c r="AH76" s="294">
        <f>AH71*_xlfn.SUMIFS(INDEX(Сценарии!$AE$25:$BF$136,,MATCH(AH$13,Сценарии!$AE$8:$BF$8,0)),Сценарии!$F$25:$F$136,$F76,Сценарии!$G$25:$G$136,"СВФОТ")/100</f>
        <v>0</v>
      </c>
      <c r="AI76" s="294">
        <f>AI71*_xlfn.SUMIFS(INDEX(Сценарии!$AE$25:$BF$136,,MATCH(AI$13,Сценарии!$AE$8:$BF$8,0)),Сценарии!$F$25:$F$136,$F76,Сценарии!$G$25:$G$136,"СВФОТ")/100</f>
        <v>0</v>
      </c>
      <c r="AJ76" s="294">
        <f>AJ71*_xlfn.SUMIFS(INDEX(Сценарии!$AE$25:$BF$136,,MATCH(AJ$13,Сценарии!$AE$8:$BF$8,0)),Сценарии!$F$25:$F$136,$F76,Сценарии!$G$25:$G$136,"СВФОТ")/100</f>
        <v>0</v>
      </c>
      <c r="AK76" s="853"/>
      <c r="AL76" s="1541"/>
      <c r="AM76" s="1541"/>
      <c r="AN76" s="1038" t="s">
        <v>1388</v>
      </c>
      <c r="AO76" s="1038"/>
      <c r="AP76" s="1038"/>
      <c r="AQ76" s="263"/>
      <c r="AR76" s="263"/>
    </row>
    <row s="1191" customFormat="1" customHeight="1" ht="14.25">
      <c r="A77" s="1541"/>
      <c r="B77" s="431"/>
      <c r="C77" s="874"/>
      <c r="D77" s="874"/>
      <c r="E77" s="875">
        <v>15</v>
      </c>
      <c r="F77" s="496" cm="1" t="str">
        <f t="array" ref="F77:F77">X77</f>
        <v>2</v>
      </c>
      <c r="G77" s="846" t="s">
        <v>61</v>
      </c>
      <c r="H77" s="846"/>
      <c r="I77" s="846"/>
      <c r="J77" s="874"/>
      <c r="K77" s="486"/>
      <c r="L77" s="486"/>
      <c r="M77" s="874"/>
      <c r="N77" s="874"/>
      <c r="O77" s="874"/>
      <c r="P77" s="874"/>
      <c r="Q77" s="874"/>
      <c r="R77" s="874"/>
      <c r="S77" s="874"/>
      <c r="T77" s="468">
        <f>X77&gt;0</f>
        <v>1</v>
      </c>
      <c r="U77" s="874"/>
      <c r="V77" s="874" cm="1" t="str">
        <f t="array" ref="V77:V77">Покупка!$AB$177</f>
        <v>Тариф 2 (Водоотведение) - тариф на водоотведение (Оказание услуг на территории: город Ленинск-Кузнецкий (ОКТМО: 32719000) - г Ленинск-Кузнецкий)</v>
      </c>
      <c r="W77" s="874"/>
      <c r="X77" s="1597" t="s">
        <v>299</v>
      </c>
      <c r="Y77" s="874"/>
      <c r="Z77" s="1598"/>
      <c r="AA77" s="874"/>
      <c r="AB77" s="238" cm="1" t="str">
        <f t="array" ref="AB77:AB77">Покупка!$AB$177</f>
        <v>Тариф 2 (Водоотведение) - тариф на водоотведение (Оказание услуг на территории: город Ленинск-Кузнецкий (ОКТМО: 32719000) - г Ленинск-Кузнецкий)</v>
      </c>
      <c r="AC77" s="876"/>
      <c r="AD77" s="876"/>
      <c r="AE77" s="877">
        <f>AE78+AE83+AE84+AE89+AE90+AE95+AE96+AE101</f>
        <v>0</v>
      </c>
      <c r="AF77" s="877">
        <f>AF78+AF83+AF84+AF89+AF90+AF95+AF96+AF101</f>
        <v>0</v>
      </c>
      <c r="AG77" s="877">
        <f>AG78+AG83+AG84+AG89+AG90+AG95+AG96+AG101</f>
        <v>0</v>
      </c>
      <c r="AH77" s="877">
        <f>AH78+AH83+AH84+AH89+AH90+AH95+AH96+AH101</f>
        <v>0</v>
      </c>
      <c r="AI77" s="877">
        <f>AI78+AI83+AI84+AI89+AI90+AI95+AI96+AI101</f>
        <v>0</v>
      </c>
      <c r="AJ77" s="877">
        <f>AJ78+AJ83+AJ84+AJ89+AJ90+AJ95+AJ96+AJ101</f>
        <v>0</v>
      </c>
      <c r="AK77" s="877"/>
      <c r="AL77" s="1541"/>
      <c r="AM77" s="1541"/>
      <c r="AN77" s="1038"/>
      <c r="AO77" s="1038"/>
      <c r="AP77" s="1038"/>
      <c r="AQ77" s="263"/>
      <c r="AR77" s="263"/>
    </row>
    <row s="1191" customFormat="1" customHeight="1" ht="21.75">
      <c r="A78" s="1541"/>
      <c r="B78" s="431"/>
      <c r="C78" s="874"/>
      <c r="D78" s="874"/>
      <c r="E78" s="875">
        <v>22.5</v>
      </c>
      <c r="F78" s="50" cm="1" t="str">
        <f t="array" ref="F78:F78">OFFSET(E78,-1,1)</f>
        <v>2</v>
      </c>
      <c r="G78" s="370" t="s">
        <v>1350</v>
      </c>
      <c r="H78" s="846" t="s">
        <v>344</v>
      </c>
      <c r="I78" s="846"/>
      <c r="J78" s="874"/>
      <c r="K78" s="486" t="str">
        <f>F78&amp;"1komm"</f>
        <v>21komm</v>
      </c>
      <c r="L78" s="924" cm="1" t="str">
        <f t="array" ref="L78:L78">AK78</f>
        <v>0</v>
      </c>
      <c r="M78" s="874"/>
      <c r="N78" s="874"/>
      <c r="O78" s="874"/>
      <c r="P78" s="874"/>
      <c r="Q78" s="874"/>
      <c r="R78" s="874"/>
      <c r="S78" s="874"/>
      <c r="T78" s="468" cm="1" t="str">
        <f t="array" ref="T78:T78">T77</f>
        <v>true</v>
      </c>
      <c r="U78" s="874"/>
      <c r="V78" s="874"/>
      <c r="W78" s="874"/>
      <c r="X78" s="1597"/>
      <c r="Y78" s="874"/>
      <c r="Z78" s="1598"/>
      <c r="AA78" s="874"/>
      <c r="AB78" s="696">
        <v>1</v>
      </c>
      <c r="AC78" s="854" t="s">
        <v>1351</v>
      </c>
      <c r="AD78" s="773" t="s">
        <v>936</v>
      </c>
      <c r="AE78" s="294"/>
      <c r="AF78" s="294"/>
      <c r="AG78" s="294"/>
      <c r="AH78" s="294"/>
      <c r="AI78" s="209">
        <f>_xlfn.SUMIFS(AI79:AI82,$AD79:$AD82,$AD78)</f>
        <v>0</v>
      </c>
      <c r="AJ78" s="209">
        <f>_xlfn.SUMIFS(AJ79:AJ82,$AD79:$AD82,$AD78)</f>
        <v>0</v>
      </c>
      <c r="AK78" s="853"/>
      <c r="AL78" s="1541"/>
      <c r="AM78" s="1541"/>
      <c r="AN78" s="1038" t="s">
        <v>1352</v>
      </c>
      <c r="AO78" s="1038"/>
      <c r="AP78" s="1038"/>
      <c r="AQ78" s="263"/>
      <c r="AR78" s="263"/>
    </row>
    <row s="1191" customFormat="1" customHeight="1" ht="18" hidden="1">
      <c r="A79" s="1541"/>
      <c r="B79" s="431"/>
      <c r="C79" s="874"/>
      <c r="D79" s="874"/>
      <c r="E79" s="875">
        <v>18.75</v>
      </c>
      <c r="F79" s="50" cm="1" t="str">
        <f t="array" ref="F79:F79">OFFSET(E79,-1,1)</f>
        <v>2</v>
      </c>
      <c r="G79" s="846"/>
      <c r="H79" s="846" t="s">
        <v>344</v>
      </c>
      <c r="I79" s="846" cm="1" t="str">
        <f t="array" ref="I79:I79">AC79</f>
        <v>0</v>
      </c>
      <c r="J79" s="874"/>
      <c r="K79" s="486"/>
      <c r="L79" s="486"/>
      <c r="M79" s="874"/>
      <c r="N79" s="874"/>
      <c r="O79" s="874"/>
      <c r="P79" s="874"/>
      <c r="Q79" s="874"/>
      <c r="R79" s="874"/>
      <c r="S79" s="874"/>
      <c r="T79" s="468">
        <f>AND(F79&gt;0,Y79&gt;0)</f>
        <v>0</v>
      </c>
      <c r="U79" s="874"/>
      <c r="V79" s="874"/>
      <c r="W79" s="874" t="s">
        <v>173</v>
      </c>
      <c r="X79" s="1597"/>
      <c r="Y79" s="1597">
        <v>0</v>
      </c>
      <c r="Z79" s="1598"/>
      <c r="AA79" s="1594" t="s">
        <v>174</v>
      </c>
      <c r="AB79" s="296" t="str">
        <f>"1."&amp;Y79</f>
        <v>1.0</v>
      </c>
      <c r="AC79" s="4148"/>
      <c r="AD79" s="773" t="s">
        <v>936</v>
      </c>
      <c r="AE79" s="4149"/>
      <c r="AF79" s="4149"/>
      <c r="AG79" s="4149"/>
      <c r="AH79" s="4149"/>
      <c r="AI79" s="3132">
        <f>AI80*AI81*12/1000</f>
        <v>0</v>
      </c>
      <c r="AJ79" s="3132">
        <f>AJ80*AJ81*12/1000</f>
        <v>0</v>
      </c>
      <c r="AK79" s="1823"/>
      <c r="AL79" s="1541"/>
      <c r="AM79" s="1541"/>
      <c r="AN79" s="1038" t="s">
        <v>1353</v>
      </c>
      <c r="AO79" s="1038" t="s">
        <v>1354</v>
      </c>
      <c r="AP79" s="1038" cm="1" t="str">
        <f t="array" ref="AP79:AP79">AC79</f>
        <v>0</v>
      </c>
      <c r="AQ79" s="263"/>
      <c r="AR79" s="263" t="b">
        <v>1</v>
      </c>
    </row>
    <row s="1191" customFormat="1" customHeight="1" ht="14.25" hidden="1">
      <c r="A80" s="1541"/>
      <c r="B80" s="431"/>
      <c r="C80" s="874"/>
      <c r="D80" s="874"/>
      <c r="E80" s="875">
        <v>15</v>
      </c>
      <c r="F80" s="50" cm="1" t="str">
        <f t="array" ref="F80:F80">OFFSET(E80,-1,1)</f>
        <v>2</v>
      </c>
      <c r="G80" s="879" t="s">
        <v>1355</v>
      </c>
      <c r="H80" s="846" t="str">
        <f>H79&amp;"_1"</f>
        <v>l1_1</v>
      </c>
      <c r="I80" s="846" cm="1" t="str">
        <f t="array" ref="I80:I80">I79</f>
        <v>0</v>
      </c>
      <c r="J80" s="874"/>
      <c r="K80" s="486"/>
      <c r="L80" s="486"/>
      <c r="M80" s="874"/>
      <c r="N80" s="874"/>
      <c r="O80" s="874"/>
      <c r="P80" s="874"/>
      <c r="Q80" s="874"/>
      <c r="R80" s="874"/>
      <c r="S80" s="874"/>
      <c r="T80" s="468" cm="1" t="str">
        <f t="array" ref="T80:T80">T79</f>
        <v>false</v>
      </c>
      <c r="U80" s="874"/>
      <c r="V80" s="874"/>
      <c r="W80" s="874"/>
      <c r="X80" s="1597"/>
      <c r="Y80" s="1597"/>
      <c r="Z80" s="1598"/>
      <c r="AA80" s="1594"/>
      <c r="AB80" s="696" t="str">
        <f>AB79&amp;".1"</f>
        <v>1.0.1</v>
      </c>
      <c r="AC80" s="772" t="s">
        <v>1356</v>
      </c>
      <c r="AD80" s="773" t="s">
        <v>1357</v>
      </c>
      <c r="AE80" s="4149"/>
      <c r="AF80" s="4149"/>
      <c r="AG80" s="4149"/>
      <c r="AH80" s="4149"/>
      <c r="AI80" s="4146"/>
      <c r="AJ80" s="4146"/>
      <c r="AK80" s="1823"/>
      <c r="AL80" s="1541"/>
      <c r="AM80" s="1541"/>
      <c r="AN80" s="1038" t="s">
        <v>1358</v>
      </c>
      <c r="AO80" s="1038" t="s">
        <v>1354</v>
      </c>
      <c r="AP80" s="1038" cm="1" t="str">
        <f t="array" ref="AP80:AP80">AP79</f>
        <v>0</v>
      </c>
      <c r="AQ80" s="263"/>
      <c r="AR80" s="263"/>
    </row>
    <row s="1191" customFormat="1" customHeight="1" ht="14.25" hidden="1">
      <c r="A81" s="1541"/>
      <c r="B81" s="431"/>
      <c r="C81" s="874"/>
      <c r="D81" s="874"/>
      <c r="E81" s="875">
        <v>15</v>
      </c>
      <c r="F81" s="50" cm="1" t="str">
        <f t="array" ref="F81:F81">OFFSET(E81,-1,1)</f>
        <v>2</v>
      </c>
      <c r="G81" s="846"/>
      <c r="H81" s="846" t="str">
        <f>H79&amp;"_2"</f>
        <v>l1_2</v>
      </c>
      <c r="I81" s="846" cm="1" t="str">
        <f t="array" ref="I81:I81">I80</f>
        <v>0</v>
      </c>
      <c r="J81" s="874"/>
      <c r="K81" s="486"/>
      <c r="L81" s="486"/>
      <c r="M81" s="874"/>
      <c r="N81" s="874"/>
      <c r="O81" s="874"/>
      <c r="P81" s="874"/>
      <c r="Q81" s="874"/>
      <c r="R81" s="874"/>
      <c r="S81" s="874"/>
      <c r="T81" s="468" cm="1" t="str">
        <f t="array" ref="T81:T81">T80</f>
        <v>false</v>
      </c>
      <c r="U81" s="874"/>
      <c r="V81" s="874"/>
      <c r="W81" s="874"/>
      <c r="X81" s="1597"/>
      <c r="Y81" s="1597"/>
      <c r="Z81" s="1598"/>
      <c r="AA81" s="1594"/>
      <c r="AB81" s="696" t="str">
        <f>AB79&amp;".2"</f>
        <v>1.0.2</v>
      </c>
      <c r="AC81" s="772" t="s">
        <v>1359</v>
      </c>
      <c r="AD81" s="773" t="s">
        <v>1360</v>
      </c>
      <c r="AE81" s="4149"/>
      <c r="AF81" s="4149"/>
      <c r="AG81" s="4149"/>
      <c r="AH81" s="4149"/>
      <c r="AI81" s="4146"/>
      <c r="AJ81" s="4146"/>
      <c r="AK81" s="1823"/>
      <c r="AL81" s="1541"/>
      <c r="AM81" s="1541"/>
      <c r="AN81" s="1038" t="s">
        <v>1361</v>
      </c>
      <c r="AO81" s="1038" t="s">
        <v>1354</v>
      </c>
      <c r="AP81" s="1038" cm="1" t="str">
        <f t="array" ref="AP81:AP81">AP80</f>
        <v>0</v>
      </c>
      <c r="AQ81" s="263"/>
      <c r="AR81" s="263"/>
    </row>
    <row s="1191" customFormat="1" customHeight="1" ht="14.25">
      <c r="A82" s="1541"/>
      <c r="B82" s="431"/>
      <c r="C82" s="874"/>
      <c r="D82" s="874"/>
      <c r="E82" s="875">
        <v>15</v>
      </c>
      <c r="F82" s="50" cm="1" t="str">
        <f t="array" ref="F82:F82">OFFSET(E82,-1,1)</f>
        <v>2</v>
      </c>
      <c r="G82" s="370"/>
      <c r="H82" s="846"/>
      <c r="I82" s="148" t="str">
        <f>"!=='не определено' &amp;&amp; row.l1 !== null"</f>
        <v>!=='не определено' &amp;&amp; row.l1 !== null</v>
      </c>
      <c r="J82" s="874"/>
      <c r="K82" s="486"/>
      <c r="L82" s="486"/>
      <c r="M82" s="874"/>
      <c r="N82" s="874"/>
      <c r="O82" s="874"/>
      <c r="P82" s="874"/>
      <c r="Q82" s="874"/>
      <c r="R82" s="874"/>
      <c r="S82" s="874"/>
      <c r="T82" s="468">
        <f>F82&gt;0</f>
        <v>1</v>
      </c>
      <c r="U82" s="874"/>
      <c r="V82" s="874"/>
      <c r="W82" s="764" t="s">
        <v>410</v>
      </c>
      <c r="X82" s="1597"/>
      <c r="Y82" s="880"/>
      <c r="Z82" s="1598"/>
      <c r="AA82" s="874"/>
      <c r="AB82" s="881"/>
      <c r="AC82" s="256" t="s">
        <v>177</v>
      </c>
      <c r="AD82" s="783"/>
      <c r="AE82" s="783"/>
      <c r="AF82" s="783"/>
      <c r="AG82" s="783"/>
      <c r="AH82" s="783"/>
      <c r="AI82" s="783"/>
      <c r="AJ82" s="783"/>
      <c r="AK82" s="784"/>
      <c r="AL82" s="1541"/>
      <c r="AM82" s="1541"/>
      <c r="AN82" s="1038"/>
      <c r="AO82" s="1038"/>
      <c r="AP82" s="1038"/>
      <c r="AQ82" s="263" t="s">
        <v>1354</v>
      </c>
      <c r="AR82" s="263"/>
    </row>
    <row s="1191" customFormat="1" customHeight="1" ht="21.75">
      <c r="A83" s="1541"/>
      <c r="B83" s="431"/>
      <c r="C83" s="874"/>
      <c r="D83" s="874"/>
      <c r="E83" s="875">
        <v>22.5</v>
      </c>
      <c r="F83" s="50" cm="1" t="str">
        <f t="array" ref="F83:F83">OFFSET(E83,-1,1)</f>
        <v>2</v>
      </c>
      <c r="G83" s="370" t="s">
        <v>1362</v>
      </c>
      <c r="H83" s="846" t="s">
        <v>345</v>
      </c>
      <c r="I83" s="846"/>
      <c r="J83" s="874"/>
      <c r="K83" s="486" t="str">
        <f>F83&amp;"2komm"</f>
        <v>22komm</v>
      </c>
      <c r="L83" s="924" cm="1" t="str">
        <f t="array" ref="L83:L83">AK83</f>
        <v>0</v>
      </c>
      <c r="M83" s="874"/>
      <c r="N83" s="874"/>
      <c r="O83" s="874"/>
      <c r="P83" s="874"/>
      <c r="Q83" s="874"/>
      <c r="R83" s="874"/>
      <c r="S83" s="874"/>
      <c r="T83" s="468" cm="1" t="str">
        <f t="array" ref="T83:T83">T82</f>
        <v>true</v>
      </c>
      <c r="U83" s="874"/>
      <c r="V83" s="874"/>
      <c r="W83" s="874"/>
      <c r="X83" s="1597"/>
      <c r="Y83" s="880"/>
      <c r="Z83" s="1598"/>
      <c r="AA83" s="874"/>
      <c r="AB83" s="696" t="s">
        <v>299</v>
      </c>
      <c r="AC83" s="854" t="s">
        <v>1363</v>
      </c>
      <c r="AD83" s="773" t="s">
        <v>936</v>
      </c>
      <c r="AE83" s="294">
        <f>AE78*_xlfn.SUMIFS(INDEX(Сценарии!$AE$25:$BF$136,,MATCH(AE$13,Сценарии!$AE$8:$BF$8,0)),Сценарии!$F$25:$F$136,$F83,Сценарии!$G$25:$G$136,"СВФОТ")/100</f>
        <v>0</v>
      </c>
      <c r="AF83" s="294">
        <f>AF78*_xlfn.SUMIFS(INDEX(Сценарии!$AE$25:$BF$136,,MATCH(AF$13,Сценарии!$AE$8:$BF$8,0)),Сценарии!$F$25:$F$136,$F83,Сценарии!$G$25:$G$136,"СВФОТ")/100</f>
        <v>0</v>
      </c>
      <c r="AG83" s="294">
        <f>AG78*_xlfn.SUMIFS(INDEX(Сценарии!$AE$25:$BF$136,,MATCH(AG$13,Сценарии!$AE$8:$BF$8,0)),Сценарии!$F$25:$F$136,$F83,Сценарии!$G$25:$G$136,"СВФОТ")/100</f>
        <v>0</v>
      </c>
      <c r="AH83" s="294">
        <f>AH78*_xlfn.SUMIFS(INDEX(Сценарии!$AE$25:$BF$136,,MATCH(AH$13,Сценарии!$AE$8:$BF$8,0)),Сценарии!$F$25:$F$136,$F83,Сценарии!$G$25:$G$136,"СВФОТ")/100</f>
        <v>0</v>
      </c>
      <c r="AI83" s="294">
        <f>AI78*_xlfn.SUMIFS(INDEX(Сценарии!$AE$25:$BF$136,,MATCH(AI$13,Сценарии!$AE$8:$BF$8,0)),Сценарии!$F$25:$F$136,$F83,Сценарии!$G$25:$G$136,"СВФОТ")/100</f>
        <v>0</v>
      </c>
      <c r="AJ83" s="294">
        <f>AJ78*_xlfn.SUMIFS(INDEX(Сценарии!$AE$25:$BF$136,,MATCH(AJ$13,Сценарии!$AE$8:$BF$8,0)),Сценарии!$F$25:$F$136,$F83,Сценарии!$G$25:$G$136,"СВФОТ")/100</f>
        <v>0</v>
      </c>
      <c r="AK83" s="853"/>
      <c r="AL83" s="1541"/>
      <c r="AM83" s="1541"/>
      <c r="AN83" s="1038" t="s">
        <v>1364</v>
      </c>
      <c r="AO83" s="1038"/>
      <c r="AP83" s="1038"/>
      <c r="AQ83" s="263"/>
      <c r="AR83" s="263"/>
    </row>
    <row s="1191" customFormat="1" customHeight="1" ht="14.25">
      <c r="A84" s="1541"/>
      <c r="B84" s="431"/>
      <c r="C84" s="874"/>
      <c r="D84" s="874"/>
      <c r="E84" s="875">
        <v>15</v>
      </c>
      <c r="F84" s="50" cm="1" t="str">
        <f t="array" ref="F84:F84">OFFSET(E84,-1,1)</f>
        <v>2</v>
      </c>
      <c r="G84" s="370" t="s">
        <v>1365</v>
      </c>
      <c r="H84" s="846" t="s">
        <v>346</v>
      </c>
      <c r="I84" s="846"/>
      <c r="J84" s="874"/>
      <c r="K84" s="486" t="str">
        <f>F84&amp;"3komm"</f>
        <v>23komm</v>
      </c>
      <c r="L84" s="924" cm="1" t="str">
        <f t="array" ref="L84:L84">AK84</f>
        <v>0</v>
      </c>
      <c r="M84" s="874"/>
      <c r="N84" s="874"/>
      <c r="O84" s="874"/>
      <c r="P84" s="874"/>
      <c r="Q84" s="874"/>
      <c r="R84" s="874"/>
      <c r="S84" s="874"/>
      <c r="T84" s="468" cm="1" t="str">
        <f t="array" ref="T84:T84">T83</f>
        <v>true</v>
      </c>
      <c r="U84" s="874"/>
      <c r="V84" s="874"/>
      <c r="W84" s="874"/>
      <c r="X84" s="1597"/>
      <c r="Y84" s="880"/>
      <c r="Z84" s="1598"/>
      <c r="AA84" s="874"/>
      <c r="AB84" s="696" t="s">
        <v>234</v>
      </c>
      <c r="AC84" s="854" t="s">
        <v>1366</v>
      </c>
      <c r="AD84" s="773" t="s">
        <v>936</v>
      </c>
      <c r="AE84" s="294"/>
      <c r="AF84" s="294"/>
      <c r="AG84" s="294"/>
      <c r="AH84" s="294"/>
      <c r="AI84" s="209">
        <f>_xlfn.SUMIFS(AI85:AI88,$AD85:$AD88,$AD84)</f>
        <v>0</v>
      </c>
      <c r="AJ84" s="209">
        <f>_xlfn.SUMIFS(AJ85:AJ88,$AD85:$AD88,$AD84)</f>
        <v>0</v>
      </c>
      <c r="AK84" s="853"/>
      <c r="AL84" s="1541"/>
      <c r="AM84" s="1541"/>
      <c r="AN84" s="1038" t="s">
        <v>1367</v>
      </c>
      <c r="AO84" s="1038"/>
      <c r="AP84" s="1038"/>
      <c r="AQ84" s="263"/>
      <c r="AR84" s="263"/>
    </row>
    <row s="1191" customFormat="1" customHeight="1" ht="18" hidden="1">
      <c r="A85" s="1541"/>
      <c r="B85" s="431"/>
      <c r="C85" s="874"/>
      <c r="D85" s="874"/>
      <c r="E85" s="875">
        <v>18.75</v>
      </c>
      <c r="F85" s="50" cm="1" t="str">
        <f t="array" ref="F85:F85">OFFSET(E85,-1,1)</f>
        <v>2</v>
      </c>
      <c r="G85" s="846"/>
      <c r="H85" s="846" t="s">
        <v>346</v>
      </c>
      <c r="I85" s="846" cm="1" t="str">
        <f t="array" ref="I85:I85">AC85</f>
        <v>0</v>
      </c>
      <c r="J85" s="874"/>
      <c r="K85" s="486"/>
      <c r="L85" s="486"/>
      <c r="M85" s="874"/>
      <c r="N85" s="874"/>
      <c r="O85" s="874"/>
      <c r="P85" s="874"/>
      <c r="Q85" s="874"/>
      <c r="R85" s="874"/>
      <c r="S85" s="874"/>
      <c r="T85" s="468">
        <f>AND(F85&gt;0,Y85&gt;0)</f>
        <v>0</v>
      </c>
      <c r="U85" s="874"/>
      <c r="V85" s="874"/>
      <c r="W85" s="874" t="s">
        <v>173</v>
      </c>
      <c r="X85" s="1597"/>
      <c r="Y85" s="1597">
        <v>0</v>
      </c>
      <c r="Z85" s="1598"/>
      <c r="AA85" s="1594" t="s">
        <v>174</v>
      </c>
      <c r="AB85" s="296" t="str">
        <f>"3."&amp;Y85</f>
        <v>3.0</v>
      </c>
      <c r="AC85" s="4148"/>
      <c r="AD85" s="773" t="s">
        <v>936</v>
      </c>
      <c r="AE85" s="4149"/>
      <c r="AF85" s="4149"/>
      <c r="AG85" s="4149"/>
      <c r="AH85" s="4149"/>
      <c r="AI85" s="3132">
        <f>AI86*AI87*12/1000</f>
        <v>0</v>
      </c>
      <c r="AJ85" s="3132">
        <f>AJ86*AJ87*12/1000</f>
        <v>0</v>
      </c>
      <c r="AK85" s="1823"/>
      <c r="AL85" s="1541"/>
      <c r="AM85" s="1541"/>
      <c r="AN85" s="1038" t="s">
        <v>1353</v>
      </c>
      <c r="AO85" s="1038" t="s">
        <v>1368</v>
      </c>
      <c r="AP85" s="1038" cm="1" t="str">
        <f t="array" ref="AP85:AP85">AC85</f>
        <v>0</v>
      </c>
      <c r="AQ85" s="263"/>
      <c r="AR85" s="263" t="b">
        <v>1</v>
      </c>
    </row>
    <row s="1191" customFormat="1" customHeight="1" ht="14.25" hidden="1">
      <c r="A86" s="1541"/>
      <c r="B86" s="431"/>
      <c r="C86" s="874"/>
      <c r="D86" s="874"/>
      <c r="E86" s="875">
        <v>15</v>
      </c>
      <c r="F86" s="50" cm="1" t="str">
        <f t="array" ref="F86:F86">OFFSET(E86,-1,1)</f>
        <v>2</v>
      </c>
      <c r="G86" s="879" t="s">
        <v>1369</v>
      </c>
      <c r="H86" s="846" t="str">
        <f>H85&amp;"_1"</f>
        <v>l3_1</v>
      </c>
      <c r="I86" s="846" cm="1" t="str">
        <f t="array" ref="I86:I86">I85</f>
        <v>0</v>
      </c>
      <c r="J86" s="874"/>
      <c r="K86" s="486"/>
      <c r="L86" s="486"/>
      <c r="M86" s="874"/>
      <c r="N86" s="874"/>
      <c r="O86" s="874"/>
      <c r="P86" s="874"/>
      <c r="Q86" s="874"/>
      <c r="R86" s="874"/>
      <c r="S86" s="874"/>
      <c r="T86" s="468" cm="1" t="str">
        <f t="array" ref="T86:T86">T85</f>
        <v>false</v>
      </c>
      <c r="U86" s="874"/>
      <c r="V86" s="874"/>
      <c r="W86" s="874"/>
      <c r="X86" s="1597"/>
      <c r="Y86" s="1597"/>
      <c r="Z86" s="1598"/>
      <c r="AA86" s="1594"/>
      <c r="AB86" s="696" t="str">
        <f>AB85&amp;".1"</f>
        <v>3.0.1</v>
      </c>
      <c r="AC86" s="772" t="s">
        <v>1356</v>
      </c>
      <c r="AD86" s="773" t="s">
        <v>1357</v>
      </c>
      <c r="AE86" s="4149"/>
      <c r="AF86" s="4149"/>
      <c r="AG86" s="4149"/>
      <c r="AH86" s="4149"/>
      <c r="AI86" s="4146"/>
      <c r="AJ86" s="4146"/>
      <c r="AK86" s="1823"/>
      <c r="AL86" s="1541"/>
      <c r="AM86" s="1541"/>
      <c r="AN86" s="1038" t="s">
        <v>1358</v>
      </c>
      <c r="AO86" s="1038" t="s">
        <v>1368</v>
      </c>
      <c r="AP86" s="1038" cm="1" t="str">
        <f t="array" ref="AP86:AP86">AP85</f>
        <v>0</v>
      </c>
      <c r="AQ86" s="263"/>
      <c r="AR86" s="263"/>
    </row>
    <row s="1191" customFormat="1" customHeight="1" ht="14.25" hidden="1">
      <c r="A87" s="1541"/>
      <c r="B87" s="431"/>
      <c r="C87" s="874"/>
      <c r="D87" s="874"/>
      <c r="E87" s="875">
        <v>15</v>
      </c>
      <c r="F87" s="50" cm="1" t="str">
        <f t="array" ref="F87:F87">OFFSET(E87,-1,1)</f>
        <v>2</v>
      </c>
      <c r="G87" s="846"/>
      <c r="H87" s="846" t="str">
        <f>H85&amp;"_2"</f>
        <v>l3_2</v>
      </c>
      <c r="I87" s="846" cm="1" t="str">
        <f t="array" ref="I87:I87">I86</f>
        <v>0</v>
      </c>
      <c r="J87" s="874"/>
      <c r="K87" s="486"/>
      <c r="L87" s="486"/>
      <c r="M87" s="874"/>
      <c r="N87" s="874"/>
      <c r="O87" s="874"/>
      <c r="P87" s="874"/>
      <c r="Q87" s="874"/>
      <c r="R87" s="874"/>
      <c r="S87" s="874"/>
      <c r="T87" s="468" cm="1" t="str">
        <f t="array" ref="T87:T87">T86</f>
        <v>false</v>
      </c>
      <c r="U87" s="874"/>
      <c r="V87" s="874"/>
      <c r="W87" s="874"/>
      <c r="X87" s="1597"/>
      <c r="Y87" s="1597"/>
      <c r="Z87" s="1598"/>
      <c r="AA87" s="1594"/>
      <c r="AB87" s="696" t="str">
        <f>AB85&amp;".2"</f>
        <v>3.0.2</v>
      </c>
      <c r="AC87" s="772" t="s">
        <v>1359</v>
      </c>
      <c r="AD87" s="773" t="s">
        <v>1360</v>
      </c>
      <c r="AE87" s="4149"/>
      <c r="AF87" s="4149"/>
      <c r="AG87" s="4149"/>
      <c r="AH87" s="4149"/>
      <c r="AI87" s="4146"/>
      <c r="AJ87" s="4146"/>
      <c r="AK87" s="1823"/>
      <c r="AL87" s="1541"/>
      <c r="AM87" s="1541"/>
      <c r="AN87" s="1038" t="s">
        <v>1361</v>
      </c>
      <c r="AO87" s="1038" t="s">
        <v>1368</v>
      </c>
      <c r="AP87" s="1038" cm="1" t="str">
        <f t="array" ref="AP87:AP87">AP86</f>
        <v>0</v>
      </c>
      <c r="AQ87" s="263"/>
      <c r="AR87" s="263"/>
    </row>
    <row s="1191" customFormat="1" customHeight="1" ht="14.25">
      <c r="A88" s="1541"/>
      <c r="B88" s="431"/>
      <c r="C88" s="874"/>
      <c r="D88" s="874"/>
      <c r="E88" s="875">
        <v>15</v>
      </c>
      <c r="F88" s="50" cm="1" t="str">
        <f t="array" ref="F88:F88">OFFSET(E88,-1,1)</f>
        <v>2</v>
      </c>
      <c r="G88" s="370"/>
      <c r="H88" s="846"/>
      <c r="I88" s="148" t="str">
        <f>"!=='не определено' &amp;&amp; row.l3 !== null"</f>
        <v>!=='не определено' &amp;&amp; row.l3 !== null</v>
      </c>
      <c r="J88" s="874"/>
      <c r="K88" s="486"/>
      <c r="L88" s="486"/>
      <c r="M88" s="874"/>
      <c r="N88" s="874"/>
      <c r="O88" s="874"/>
      <c r="P88" s="874"/>
      <c r="Q88" s="874"/>
      <c r="R88" s="874"/>
      <c r="S88" s="874"/>
      <c r="T88" s="468">
        <f>F88&gt;0</f>
        <v>1</v>
      </c>
      <c r="U88" s="874"/>
      <c r="V88" s="874"/>
      <c r="W88" s="764" t="s">
        <v>1012</v>
      </c>
      <c r="X88" s="1597"/>
      <c r="Y88" s="880"/>
      <c r="Z88" s="1598"/>
      <c r="AA88" s="874"/>
      <c r="AB88" s="881"/>
      <c r="AC88" s="256" t="s">
        <v>177</v>
      </c>
      <c r="AD88" s="783"/>
      <c r="AE88" s="783"/>
      <c r="AF88" s="783"/>
      <c r="AG88" s="783"/>
      <c r="AH88" s="783"/>
      <c r="AI88" s="783"/>
      <c r="AJ88" s="783"/>
      <c r="AK88" s="784"/>
      <c r="AL88" s="1541"/>
      <c r="AM88" s="1541"/>
      <c r="AN88" s="1038"/>
      <c r="AO88" s="1038"/>
      <c r="AP88" s="1038"/>
      <c r="AQ88" s="263" t="s">
        <v>1368</v>
      </c>
      <c r="AR88" s="263"/>
    </row>
    <row s="1191" customFormat="1" customHeight="1" ht="21.75">
      <c r="A89" s="1541"/>
      <c r="B89" s="431"/>
      <c r="C89" s="874"/>
      <c r="D89" s="874"/>
      <c r="E89" s="875">
        <v>22.5</v>
      </c>
      <c r="F89" s="50" cm="1" t="str">
        <f t="array" ref="F89:F89">OFFSET(E89,-1,1)</f>
        <v>2</v>
      </c>
      <c r="G89" s="370" t="s">
        <v>1370</v>
      </c>
      <c r="H89" s="846" t="s">
        <v>348</v>
      </c>
      <c r="I89" s="846"/>
      <c r="J89" s="874"/>
      <c r="K89" s="486" t="str">
        <f>F89&amp;"4komm"</f>
        <v>24komm</v>
      </c>
      <c r="L89" s="924" cm="1" t="str">
        <f t="array" ref="L89:L89">AK89</f>
        <v>0</v>
      </c>
      <c r="M89" s="874"/>
      <c r="N89" s="874"/>
      <c r="O89" s="874"/>
      <c r="P89" s="874"/>
      <c r="Q89" s="874"/>
      <c r="R89" s="874"/>
      <c r="S89" s="874"/>
      <c r="T89" s="468" cm="1" t="str">
        <f t="array" ref="T89:T89">T88</f>
        <v>true</v>
      </c>
      <c r="U89" s="874"/>
      <c r="V89" s="874"/>
      <c r="W89" s="874"/>
      <c r="X89" s="1597"/>
      <c r="Y89" s="880"/>
      <c r="Z89" s="1598"/>
      <c r="AA89" s="874"/>
      <c r="AB89" s="696" t="s">
        <v>451</v>
      </c>
      <c r="AC89" s="854" t="s">
        <v>1371</v>
      </c>
      <c r="AD89" s="773" t="s">
        <v>936</v>
      </c>
      <c r="AE89" s="294">
        <f>AE84*_xlfn.SUMIFS(INDEX(Сценарии!$AE$25:$BF$136,,MATCH(AE$13,Сценарии!$AE$8:$BF$8,0)),Сценарии!$F$25:$F$136,$F89,Сценарии!$G$25:$G$136,"СВФОТ")/100</f>
        <v>0</v>
      </c>
      <c r="AF89" s="294">
        <f>AF84*_xlfn.SUMIFS(INDEX(Сценарии!$AE$25:$BF$136,,MATCH(AF$13,Сценарии!$AE$8:$BF$8,0)),Сценарии!$F$25:$F$136,$F89,Сценарии!$G$25:$G$136,"СВФОТ")/100</f>
        <v>0</v>
      </c>
      <c r="AG89" s="294">
        <f>AG84*_xlfn.SUMIFS(INDEX(Сценарии!$AE$25:$BF$136,,MATCH(AG$13,Сценарии!$AE$8:$BF$8,0)),Сценарии!$F$25:$F$136,$F89,Сценарии!$G$25:$G$136,"СВФОТ")/100</f>
        <v>0</v>
      </c>
      <c r="AH89" s="294">
        <f>AH84*_xlfn.SUMIFS(INDEX(Сценарии!$AE$25:$BF$136,,MATCH(AH$13,Сценарии!$AE$8:$BF$8,0)),Сценарии!$F$25:$F$136,$F89,Сценарии!$G$25:$G$136,"СВФОТ")/100</f>
        <v>0</v>
      </c>
      <c r="AI89" s="294">
        <f>AI84*_xlfn.SUMIFS(INDEX(Сценарии!$AE$25:$BF$136,,MATCH(AI$13,Сценарии!$AE$8:$BF$8,0)),Сценарии!$F$25:$F$136,$F89,Сценарии!$G$25:$G$136,"СВФОТ")/100</f>
        <v>0</v>
      </c>
      <c r="AJ89" s="294">
        <f>AJ84*_xlfn.SUMIFS(INDEX(Сценарии!$AE$25:$BF$136,,MATCH(AJ$13,Сценарии!$AE$8:$BF$8,0)),Сценарии!$F$25:$F$136,$F89,Сценарии!$G$25:$G$136,"СВФОТ")/100</f>
        <v>0</v>
      </c>
      <c r="AK89" s="853"/>
      <c r="AL89" s="1541"/>
      <c r="AM89" s="1541"/>
      <c r="AN89" s="1038" t="s">
        <v>1372</v>
      </c>
      <c r="AO89" s="1038"/>
      <c r="AP89" s="1038"/>
      <c r="AQ89" s="263"/>
      <c r="AR89" s="263"/>
    </row>
    <row s="1191" customFormat="1" customHeight="1" ht="21.75">
      <c r="A90" s="1541"/>
      <c r="B90" s="431"/>
      <c r="C90" s="874"/>
      <c r="D90" s="874"/>
      <c r="E90" s="875">
        <v>22.5</v>
      </c>
      <c r="F90" s="50" cm="1" t="str">
        <f t="array" ref="F90:F90">OFFSET(E90,-1,1)</f>
        <v>2</v>
      </c>
      <c r="G90" s="370" t="s">
        <v>1373</v>
      </c>
      <c r="H90" s="846" t="s">
        <v>347</v>
      </c>
      <c r="I90" s="846"/>
      <c r="J90" s="874"/>
      <c r="K90" s="486" t="str">
        <f>F90&amp;"5komm"</f>
        <v>25komm</v>
      </c>
      <c r="L90" s="924" cm="1" t="str">
        <f t="array" ref="L90:L90">AK90</f>
        <v>0</v>
      </c>
      <c r="M90" s="874"/>
      <c r="N90" s="874"/>
      <c r="O90" s="874"/>
      <c r="P90" s="874"/>
      <c r="Q90" s="874"/>
      <c r="R90" s="874"/>
      <c r="S90" s="874"/>
      <c r="T90" s="468" cm="1" t="str">
        <f t="array" ref="T90:T90">T89</f>
        <v>true</v>
      </c>
      <c r="U90" s="874"/>
      <c r="V90" s="874"/>
      <c r="W90" s="874"/>
      <c r="X90" s="1597"/>
      <c r="Y90" s="880"/>
      <c r="Z90" s="1598"/>
      <c r="AA90" s="874"/>
      <c r="AB90" s="696" t="s">
        <v>454</v>
      </c>
      <c r="AC90" s="854" t="s">
        <v>1374</v>
      </c>
      <c r="AD90" s="773" t="s">
        <v>936</v>
      </c>
      <c r="AE90" s="294"/>
      <c r="AF90" s="294"/>
      <c r="AG90" s="294"/>
      <c r="AH90" s="294"/>
      <c r="AI90" s="209">
        <f>_xlfn.SUMIFS(AI91:AI94,$AD91:$AD94,$AD90)</f>
        <v>0</v>
      </c>
      <c r="AJ90" s="209">
        <f>_xlfn.SUMIFS(AJ91:AJ94,$AD91:$AD94,$AD90)</f>
        <v>0</v>
      </c>
      <c r="AK90" s="853"/>
      <c r="AL90" s="1541"/>
      <c r="AM90" s="1541"/>
      <c r="AN90" s="1038" t="s">
        <v>1375</v>
      </c>
      <c r="AO90" s="1038"/>
      <c r="AP90" s="1038"/>
      <c r="AQ90" s="263"/>
      <c r="AR90" s="263"/>
    </row>
    <row s="1191" customFormat="1" customHeight="1" ht="18" hidden="1">
      <c r="A91" s="1541"/>
      <c r="B91" s="431"/>
      <c r="C91" s="874"/>
      <c r="D91" s="874"/>
      <c r="E91" s="875">
        <v>18.75</v>
      </c>
      <c r="F91" s="50" cm="1" t="str">
        <f t="array" ref="F91:F91">OFFSET(E91,-1,1)</f>
        <v>2</v>
      </c>
      <c r="G91" s="846"/>
      <c r="H91" s="846" t="s">
        <v>347</v>
      </c>
      <c r="I91" s="846" cm="1" t="str">
        <f t="array" ref="I91:I91">AC91</f>
        <v>0</v>
      </c>
      <c r="J91" s="874"/>
      <c r="K91" s="486"/>
      <c r="L91" s="486"/>
      <c r="M91" s="874"/>
      <c r="N91" s="874"/>
      <c r="O91" s="874"/>
      <c r="P91" s="874"/>
      <c r="Q91" s="874"/>
      <c r="R91" s="874"/>
      <c r="S91" s="874"/>
      <c r="T91" s="468">
        <f>AND(F91&gt;0,Y91&gt;0)</f>
        <v>0</v>
      </c>
      <c r="U91" s="874"/>
      <c r="V91" s="874"/>
      <c r="W91" s="874" t="s">
        <v>173</v>
      </c>
      <c r="X91" s="1597"/>
      <c r="Y91" s="1597">
        <v>0</v>
      </c>
      <c r="Z91" s="1598"/>
      <c r="AA91" s="1594" t="s">
        <v>174</v>
      </c>
      <c r="AB91" s="296" t="str">
        <f>"5."&amp;Y91</f>
        <v>5.0</v>
      </c>
      <c r="AC91" s="4148"/>
      <c r="AD91" s="773" t="s">
        <v>936</v>
      </c>
      <c r="AE91" s="4149"/>
      <c r="AF91" s="4149"/>
      <c r="AG91" s="4149"/>
      <c r="AH91" s="4149"/>
      <c r="AI91" s="3132">
        <f>AI92*AI93*12/1000</f>
        <v>0</v>
      </c>
      <c r="AJ91" s="3132">
        <f>AJ92*AJ93*12/1000</f>
        <v>0</v>
      </c>
      <c r="AK91" s="1823"/>
      <c r="AL91" s="1541"/>
      <c r="AM91" s="1541"/>
      <c r="AN91" s="1038" t="s">
        <v>1353</v>
      </c>
      <c r="AO91" s="1038" t="s">
        <v>1376</v>
      </c>
      <c r="AP91" s="1038" cm="1" t="str">
        <f t="array" ref="AP91:AP91">AC91</f>
        <v>0</v>
      </c>
      <c r="AQ91" s="263"/>
      <c r="AR91" s="263" t="b">
        <v>1</v>
      </c>
    </row>
    <row s="1191" customFormat="1" customHeight="1" ht="14.25" hidden="1">
      <c r="A92" s="1541"/>
      <c r="B92" s="431"/>
      <c r="C92" s="874"/>
      <c r="D92" s="874"/>
      <c r="E92" s="875">
        <v>15</v>
      </c>
      <c r="F92" s="50" cm="1" t="str">
        <f t="array" ref="F92:F92">OFFSET(E92,-1,1)</f>
        <v>2</v>
      </c>
      <c r="G92" s="846"/>
      <c r="H92" s="846" t="str">
        <f>H91&amp;"_1"</f>
        <v>l5_1</v>
      </c>
      <c r="I92" s="846" cm="1" t="str">
        <f t="array" ref="I92:I92">I91</f>
        <v>0</v>
      </c>
      <c r="J92" s="874"/>
      <c r="K92" s="486"/>
      <c r="L92" s="486"/>
      <c r="M92" s="874"/>
      <c r="N92" s="874"/>
      <c r="O92" s="874"/>
      <c r="P92" s="874"/>
      <c r="Q92" s="874"/>
      <c r="R92" s="874"/>
      <c r="S92" s="874"/>
      <c r="T92" s="468" cm="1" t="str">
        <f t="array" ref="T92:T92">T91</f>
        <v>false</v>
      </c>
      <c r="U92" s="874"/>
      <c r="V92" s="874"/>
      <c r="W92" s="874"/>
      <c r="X92" s="1597"/>
      <c r="Y92" s="1597"/>
      <c r="Z92" s="1598"/>
      <c r="AA92" s="1594"/>
      <c r="AB92" s="696" t="str">
        <f>AB91&amp;".1"</f>
        <v>5.0.1</v>
      </c>
      <c r="AC92" s="772" t="s">
        <v>1356</v>
      </c>
      <c r="AD92" s="773" t="s">
        <v>1357</v>
      </c>
      <c r="AE92" s="4149"/>
      <c r="AF92" s="4149"/>
      <c r="AG92" s="4149"/>
      <c r="AH92" s="4149"/>
      <c r="AI92" s="4146"/>
      <c r="AJ92" s="4146"/>
      <c r="AK92" s="1823"/>
      <c r="AL92" s="1541"/>
      <c r="AM92" s="1541"/>
      <c r="AN92" s="1038" t="s">
        <v>1358</v>
      </c>
      <c r="AO92" s="1038" t="s">
        <v>1376</v>
      </c>
      <c r="AP92" s="1038" cm="1" t="str">
        <f t="array" ref="AP92:AP92">AP91</f>
        <v>0</v>
      </c>
      <c r="AQ92" s="263"/>
      <c r="AR92" s="263"/>
    </row>
    <row s="1191" customFormat="1" customHeight="1" ht="14.25" hidden="1">
      <c r="A93" s="1541"/>
      <c r="B93" s="431"/>
      <c r="C93" s="874"/>
      <c r="D93" s="874"/>
      <c r="E93" s="875">
        <v>15</v>
      </c>
      <c r="F93" s="50" cm="1" t="str">
        <f t="array" ref="F93:F93">OFFSET(E93,-1,1)</f>
        <v>2</v>
      </c>
      <c r="G93" s="846"/>
      <c r="H93" s="846" t="str">
        <f>H91&amp;"_2"</f>
        <v>l5_2</v>
      </c>
      <c r="I93" s="846" cm="1" t="str">
        <f t="array" ref="I93:I93">I92</f>
        <v>0</v>
      </c>
      <c r="J93" s="874"/>
      <c r="K93" s="486"/>
      <c r="L93" s="486"/>
      <c r="M93" s="874"/>
      <c r="N93" s="874"/>
      <c r="O93" s="874"/>
      <c r="P93" s="874"/>
      <c r="Q93" s="874"/>
      <c r="R93" s="874"/>
      <c r="S93" s="874"/>
      <c r="T93" s="468" cm="1" t="str">
        <f t="array" ref="T93:T93">T92</f>
        <v>false</v>
      </c>
      <c r="U93" s="874"/>
      <c r="V93" s="874"/>
      <c r="W93" s="874"/>
      <c r="X93" s="1597"/>
      <c r="Y93" s="1597"/>
      <c r="Z93" s="1598"/>
      <c r="AA93" s="1594"/>
      <c r="AB93" s="696" t="str">
        <f>AB91&amp;".2"</f>
        <v>5.0.2</v>
      </c>
      <c r="AC93" s="772" t="s">
        <v>1359</v>
      </c>
      <c r="AD93" s="773" t="s">
        <v>1360</v>
      </c>
      <c r="AE93" s="4149"/>
      <c r="AF93" s="4149"/>
      <c r="AG93" s="4149"/>
      <c r="AH93" s="4149"/>
      <c r="AI93" s="4146"/>
      <c r="AJ93" s="4146"/>
      <c r="AK93" s="1823"/>
      <c r="AL93" s="1541"/>
      <c r="AM93" s="1541"/>
      <c r="AN93" s="1038" t="s">
        <v>1361</v>
      </c>
      <c r="AO93" s="1038" t="s">
        <v>1376</v>
      </c>
      <c r="AP93" s="1038" cm="1" t="str">
        <f t="array" ref="AP93:AP93">AP92</f>
        <v>0</v>
      </c>
      <c r="AQ93" s="263"/>
      <c r="AR93" s="263"/>
    </row>
    <row s="1191" customFormat="1" customHeight="1" ht="14.25">
      <c r="A94" s="1541"/>
      <c r="B94" s="431"/>
      <c r="C94" s="874"/>
      <c r="D94" s="874"/>
      <c r="E94" s="875">
        <v>15</v>
      </c>
      <c r="F94" s="50" cm="1" t="str">
        <f t="array" ref="F94:F94">OFFSET(E94,-1,1)</f>
        <v>2</v>
      </c>
      <c r="G94" s="370"/>
      <c r="H94" s="846"/>
      <c r="I94" s="148" t="str">
        <f>"!=='не определено' &amp;&amp; row.l5 !== null"</f>
        <v>!=='не определено' &amp;&amp; row.l5 !== null</v>
      </c>
      <c r="J94" s="874"/>
      <c r="K94" s="486"/>
      <c r="L94" s="486"/>
      <c r="M94" s="874"/>
      <c r="N94" s="874"/>
      <c r="O94" s="874"/>
      <c r="P94" s="874"/>
      <c r="Q94" s="874"/>
      <c r="R94" s="874"/>
      <c r="S94" s="874"/>
      <c r="T94" s="468">
        <f>F94&gt;0</f>
        <v>1</v>
      </c>
      <c r="U94" s="874"/>
      <c r="V94" s="874"/>
      <c r="W94" s="764" t="s">
        <v>1377</v>
      </c>
      <c r="X94" s="1597"/>
      <c r="Y94" s="880"/>
      <c r="Z94" s="1598"/>
      <c r="AA94" s="874"/>
      <c r="AB94" s="881"/>
      <c r="AC94" s="256" t="s">
        <v>177</v>
      </c>
      <c r="AD94" s="783"/>
      <c r="AE94" s="783"/>
      <c r="AF94" s="783"/>
      <c r="AG94" s="783"/>
      <c r="AH94" s="783"/>
      <c r="AI94" s="783"/>
      <c r="AJ94" s="783"/>
      <c r="AK94" s="784"/>
      <c r="AL94" s="1541"/>
      <c r="AM94" s="1541"/>
      <c r="AN94" s="1038"/>
      <c r="AO94" s="1038"/>
      <c r="AP94" s="1038"/>
      <c r="AQ94" s="263" t="s">
        <v>1376</v>
      </c>
      <c r="AR94" s="263"/>
    </row>
    <row s="1191" customFormat="1" customHeight="1" ht="21.75">
      <c r="A95" s="1541"/>
      <c r="B95" s="431"/>
      <c r="C95" s="874"/>
      <c r="D95" s="874"/>
      <c r="E95" s="875">
        <v>22.5</v>
      </c>
      <c r="F95" s="50" cm="1" t="str">
        <f t="array" ref="F95:F95">OFFSET(E95,-1,1)</f>
        <v>2</v>
      </c>
      <c r="G95" s="370" t="s">
        <v>1378</v>
      </c>
      <c r="H95" s="846" t="s">
        <v>616</v>
      </c>
      <c r="I95" s="846"/>
      <c r="J95" s="874"/>
      <c r="K95" s="486" t="str">
        <f>F95&amp;"6komm"</f>
        <v>26komm</v>
      </c>
      <c r="L95" s="486" cm="1" t="str">
        <f t="array" ref="L95:L95">AK95</f>
        <v>0</v>
      </c>
      <c r="M95" s="874"/>
      <c r="N95" s="874"/>
      <c r="O95" s="874"/>
      <c r="P95" s="874"/>
      <c r="Q95" s="874"/>
      <c r="R95" s="874"/>
      <c r="S95" s="874"/>
      <c r="T95" s="468" cm="1" t="str">
        <f t="array" ref="T95:T95">T94</f>
        <v>true</v>
      </c>
      <c r="U95" s="874"/>
      <c r="V95" s="874"/>
      <c r="W95" s="874"/>
      <c r="X95" s="1597"/>
      <c r="Y95" s="880"/>
      <c r="Z95" s="1598"/>
      <c r="AA95" s="874"/>
      <c r="AB95" s="696" t="s">
        <v>457</v>
      </c>
      <c r="AC95" s="854" t="s">
        <v>1379</v>
      </c>
      <c r="AD95" s="773" t="s">
        <v>936</v>
      </c>
      <c r="AE95" s="294">
        <f>AE90*_xlfn.SUMIFS(INDEX(Сценарии!$AE$25:$BF$136,,MATCH(AE$13,Сценарии!$AE$8:$BF$8,0)),Сценарии!$F$25:$F$136,$F95,Сценарии!$G$25:$G$136,"СВФОТ")/100</f>
        <v>0</v>
      </c>
      <c r="AF95" s="294">
        <f>AF90*_xlfn.SUMIFS(INDEX(Сценарии!$AE$25:$BF$136,,MATCH(AF$13,Сценарии!$AE$8:$BF$8,0)),Сценарии!$F$25:$F$136,$F95,Сценарии!$G$25:$G$136,"СВФОТ")/100</f>
        <v>0</v>
      </c>
      <c r="AG95" s="294">
        <f>AG90*_xlfn.SUMIFS(INDEX(Сценарии!$AE$25:$BF$136,,MATCH(AG$13,Сценарии!$AE$8:$BF$8,0)),Сценарии!$F$25:$F$136,$F95,Сценарии!$G$25:$G$136,"СВФОТ")/100</f>
        <v>0</v>
      </c>
      <c r="AH95" s="294">
        <f>AH90*_xlfn.SUMIFS(INDEX(Сценарии!$AE$25:$BF$136,,MATCH(AH$13,Сценарии!$AE$8:$BF$8,0)),Сценарии!$F$25:$F$136,$F95,Сценарии!$G$25:$G$136,"СВФОТ")/100</f>
        <v>0</v>
      </c>
      <c r="AI95" s="294">
        <f>AI90*_xlfn.SUMIFS(INDEX(Сценарии!$AE$25:$BF$136,,MATCH(AI$13,Сценарии!$AE$8:$BF$8,0)),Сценарии!$F$25:$F$136,$F95,Сценарии!$G$25:$G$136,"СВФОТ")/100</f>
        <v>0</v>
      </c>
      <c r="AJ95" s="294">
        <f>AJ90*_xlfn.SUMIFS(INDEX(Сценарии!$AE$25:$BF$136,,MATCH(AJ$13,Сценарии!$AE$8:$BF$8,0)),Сценарии!$F$25:$F$136,$F95,Сценарии!$G$25:$G$136,"СВФОТ")/100</f>
        <v>0</v>
      </c>
      <c r="AK95" s="925"/>
      <c r="AL95" s="1541"/>
      <c r="AM95" s="1541"/>
      <c r="AN95" s="1038" t="s">
        <v>1380</v>
      </c>
      <c r="AO95" s="1038"/>
      <c r="AP95" s="1038"/>
      <c r="AQ95" s="263"/>
      <c r="AR95" s="263"/>
    </row>
    <row s="1191" customFormat="1" customHeight="1" ht="14.25">
      <c r="A96" s="1541"/>
      <c r="B96" s="431"/>
      <c r="C96" s="874"/>
      <c r="D96" s="874"/>
      <c r="E96" s="875">
        <v>15</v>
      </c>
      <c r="F96" s="50" cm="1" t="str">
        <f t="array" ref="F96:F96">OFFSET(E96,-1,1)</f>
        <v>2</v>
      </c>
      <c r="G96" s="370" t="s">
        <v>1381</v>
      </c>
      <c r="H96" s="846" t="s">
        <v>619</v>
      </c>
      <c r="I96" s="846"/>
      <c r="J96" s="874"/>
      <c r="K96" s="486" t="str">
        <f>F96&amp;"7komm"</f>
        <v>27komm</v>
      </c>
      <c r="L96" s="486" cm="1" t="str">
        <f t="array" ref="L96:L96">AK96</f>
        <v>0</v>
      </c>
      <c r="M96" s="874"/>
      <c r="N96" s="874"/>
      <c r="O96" s="874"/>
      <c r="P96" s="874"/>
      <c r="Q96" s="874"/>
      <c r="R96" s="874"/>
      <c r="S96" s="874"/>
      <c r="T96" s="468" cm="1" t="str">
        <f t="array" ref="T96:T96">T95</f>
        <v>true</v>
      </c>
      <c r="U96" s="874"/>
      <c r="V96" s="874"/>
      <c r="W96" s="874"/>
      <c r="X96" s="1597"/>
      <c r="Y96" s="880"/>
      <c r="Z96" s="1598"/>
      <c r="AA96" s="874"/>
      <c r="AB96" s="696" t="s">
        <v>460</v>
      </c>
      <c r="AC96" s="854" t="s">
        <v>1382</v>
      </c>
      <c r="AD96" s="773" t="s">
        <v>936</v>
      </c>
      <c r="AE96" s="294"/>
      <c r="AF96" s="294"/>
      <c r="AG96" s="294"/>
      <c r="AH96" s="294"/>
      <c r="AI96" s="209">
        <f>_xlfn.SUMIFS(AI97:AI100,$AD97:$AD100,$AD96)</f>
        <v>0</v>
      </c>
      <c r="AJ96" s="209">
        <f>_xlfn.SUMIFS(AJ97:AJ100,$AD97:$AD100,$AD96)</f>
        <v>0</v>
      </c>
      <c r="AK96" s="925"/>
      <c r="AL96" s="1541"/>
      <c r="AM96" s="1541"/>
      <c r="AN96" s="1038" t="s">
        <v>1383</v>
      </c>
      <c r="AO96" s="1038"/>
      <c r="AP96" s="1038"/>
      <c r="AQ96" s="263"/>
      <c r="AR96" s="263"/>
    </row>
    <row s="1191" customFormat="1" customHeight="1" ht="18" hidden="1">
      <c r="A97" s="1541"/>
      <c r="B97" s="1541"/>
      <c r="C97" s="882"/>
      <c r="D97" s="882"/>
      <c r="E97" s="883">
        <v>18.75</v>
      </c>
      <c r="F97" s="50" cm="1" t="str">
        <f t="array" ref="F97:F97">OFFSET(E97,-1,1)</f>
        <v>2</v>
      </c>
      <c r="G97" s="879"/>
      <c r="H97" s="846" t="s">
        <v>619</v>
      </c>
      <c r="I97" s="879" cm="1" t="str">
        <f t="array" ref="I97:I97">AC97</f>
        <v>0</v>
      </c>
      <c r="J97" s="882"/>
      <c r="K97" s="923"/>
      <c r="L97" s="923"/>
      <c r="M97" s="882"/>
      <c r="N97" s="882"/>
      <c r="O97" s="882"/>
      <c r="P97" s="882"/>
      <c r="Q97" s="882"/>
      <c r="R97" s="882"/>
      <c r="S97" s="882"/>
      <c r="T97" s="468">
        <f>AND(F97&gt;0,Y97&gt;0)</f>
        <v>0</v>
      </c>
      <c r="U97" s="882"/>
      <c r="V97" s="882"/>
      <c r="W97" s="874" t="s">
        <v>173</v>
      </c>
      <c r="X97" s="1597"/>
      <c r="Y97" s="1597">
        <v>0</v>
      </c>
      <c r="Z97" s="1598"/>
      <c r="AA97" s="1594" t="s">
        <v>174</v>
      </c>
      <c r="AB97" s="1241" t="str">
        <f>"7."&amp;Y97</f>
        <v>7.0</v>
      </c>
      <c r="AC97" s="4160"/>
      <c r="AD97" s="885" t="s">
        <v>936</v>
      </c>
      <c r="AE97" s="4162"/>
      <c r="AF97" s="4162"/>
      <c r="AG97" s="4162"/>
      <c r="AH97" s="4162"/>
      <c r="AI97" s="4163">
        <f>AI98*AI99*12/1000</f>
        <v>0</v>
      </c>
      <c r="AJ97" s="4163">
        <f>AJ98*AJ99*12/1000</f>
        <v>0</v>
      </c>
      <c r="AK97" s="4164"/>
      <c r="AL97" s="1541"/>
      <c r="AM97" s="1541"/>
      <c r="AN97" s="1038" t="s">
        <v>1353</v>
      </c>
      <c r="AO97" s="1054" t="s">
        <v>1384</v>
      </c>
      <c r="AP97" s="1038" cm="1" t="str">
        <f t="array" ref="AP97:AP97">AC97</f>
        <v>0</v>
      </c>
      <c r="AQ97" s="1055"/>
      <c r="AR97" s="263" t="b">
        <v>1</v>
      </c>
    </row>
    <row s="1191" customFormat="1" customHeight="1" ht="14.25" hidden="1">
      <c r="A98" s="1541"/>
      <c r="B98" s="1541"/>
      <c r="C98" s="882"/>
      <c r="D98" s="882"/>
      <c r="E98" s="883">
        <v>15</v>
      </c>
      <c r="F98" s="50" cm="1" t="str">
        <f t="array" ref="F98:F98">OFFSET(E98,-1,1)</f>
        <v>2</v>
      </c>
      <c r="G98" s="879"/>
      <c r="H98" s="879" t="str">
        <f>H97&amp;"_1"</f>
        <v>l7_1</v>
      </c>
      <c r="I98" s="879" cm="1" t="str">
        <f t="array" ref="I98:I98">I97</f>
        <v>0</v>
      </c>
      <c r="J98" s="882"/>
      <c r="K98" s="923"/>
      <c r="L98" s="923"/>
      <c r="M98" s="882"/>
      <c r="N98" s="882"/>
      <c r="O98" s="882"/>
      <c r="P98" s="882"/>
      <c r="Q98" s="882"/>
      <c r="R98" s="882"/>
      <c r="S98" s="882"/>
      <c r="T98" s="468" cm="1" t="str">
        <f t="array" ref="T98:T98">T97</f>
        <v>false</v>
      </c>
      <c r="U98" s="882"/>
      <c r="V98" s="882"/>
      <c r="W98" s="882"/>
      <c r="X98" s="1597"/>
      <c r="Y98" s="1597"/>
      <c r="Z98" s="1598"/>
      <c r="AA98" s="1594"/>
      <c r="AB98" s="889" t="str">
        <f>AB97&amp;".1"</f>
        <v>7.0.1</v>
      </c>
      <c r="AC98" s="890" t="s">
        <v>1356</v>
      </c>
      <c r="AD98" s="885" t="s">
        <v>1357</v>
      </c>
      <c r="AE98" s="4162"/>
      <c r="AF98" s="4162"/>
      <c r="AG98" s="4162"/>
      <c r="AH98" s="4162"/>
      <c r="AI98" s="4169"/>
      <c r="AJ98" s="4169"/>
      <c r="AK98" s="4164"/>
      <c r="AL98" s="1541"/>
      <c r="AM98" s="1541"/>
      <c r="AN98" s="1038" t="s">
        <v>1358</v>
      </c>
      <c r="AO98" s="1054" t="s">
        <v>1384</v>
      </c>
      <c r="AP98" s="1038" cm="1" t="str">
        <f t="array" ref="AP98:AP98">AP97</f>
        <v>0</v>
      </c>
      <c r="AQ98" s="1055"/>
      <c r="AR98" s="1055"/>
    </row>
    <row s="1191" customFormat="1" customHeight="1" ht="14.25" hidden="1">
      <c r="A99" s="1541"/>
      <c r="B99" s="1541"/>
      <c r="C99" s="882"/>
      <c r="D99" s="882"/>
      <c r="E99" s="883">
        <v>15</v>
      </c>
      <c r="F99" s="50" cm="1" t="str">
        <f t="array" ref="F99:F99">OFFSET(E99,-1,1)</f>
        <v>2</v>
      </c>
      <c r="G99" s="879"/>
      <c r="H99" s="879" t="str">
        <f>H97&amp;"_2"</f>
        <v>l7_2</v>
      </c>
      <c r="I99" s="879" cm="1" t="str">
        <f t="array" ref="I99:I99">I98</f>
        <v>0</v>
      </c>
      <c r="J99" s="882"/>
      <c r="K99" s="923"/>
      <c r="L99" s="923"/>
      <c r="M99" s="882"/>
      <c r="N99" s="882"/>
      <c r="O99" s="882"/>
      <c r="P99" s="882"/>
      <c r="Q99" s="882"/>
      <c r="R99" s="882"/>
      <c r="S99" s="882"/>
      <c r="T99" s="468" cm="1" t="str">
        <f t="array" ref="T99:T99">T98</f>
        <v>false</v>
      </c>
      <c r="U99" s="882"/>
      <c r="V99" s="882"/>
      <c r="W99" s="882"/>
      <c r="X99" s="1597"/>
      <c r="Y99" s="1597"/>
      <c r="Z99" s="1598"/>
      <c r="AA99" s="1594"/>
      <c r="AB99" s="889" t="str">
        <f>AB97&amp;".2"</f>
        <v>7.0.2</v>
      </c>
      <c r="AC99" s="890" t="s">
        <v>1359</v>
      </c>
      <c r="AD99" s="885" t="s">
        <v>1360</v>
      </c>
      <c r="AE99" s="4162"/>
      <c r="AF99" s="4162"/>
      <c r="AG99" s="4162"/>
      <c r="AH99" s="4162"/>
      <c r="AI99" s="4169"/>
      <c r="AJ99" s="4169"/>
      <c r="AK99" s="4164"/>
      <c r="AL99" s="1541"/>
      <c r="AM99" s="1541"/>
      <c r="AN99" s="1038" t="s">
        <v>1361</v>
      </c>
      <c r="AO99" s="1054" t="s">
        <v>1384</v>
      </c>
      <c r="AP99" s="1038" cm="1" t="str">
        <f t="array" ref="AP99:AP99">AP98</f>
        <v>0</v>
      </c>
      <c r="AQ99" s="1055"/>
      <c r="AR99" s="1055"/>
    </row>
    <row s="1191" customFormat="1" customHeight="1" ht="14.25">
      <c r="A100" s="1541"/>
      <c r="B100" s="431"/>
      <c r="C100" s="874"/>
      <c r="D100" s="874"/>
      <c r="E100" s="875">
        <v>15</v>
      </c>
      <c r="F100" s="50" cm="1" t="str">
        <f t="array" ref="F100:F100">OFFSET(E100,-1,1)</f>
        <v>2</v>
      </c>
      <c r="G100" s="370"/>
      <c r="H100" s="846"/>
      <c r="I100" s="148" t="str">
        <f>"!=='не определено' &amp;&amp; row.l7 !== null"</f>
        <v>!=='не определено' &amp;&amp; row.l7 !== null</v>
      </c>
      <c r="J100" s="874"/>
      <c r="K100" s="486"/>
      <c r="L100" s="486"/>
      <c r="M100" s="874"/>
      <c r="N100" s="874"/>
      <c r="O100" s="874"/>
      <c r="P100" s="874"/>
      <c r="Q100" s="874"/>
      <c r="R100" s="874"/>
      <c r="S100" s="874"/>
      <c r="T100" s="468">
        <f>F100&gt;0</f>
        <v>1</v>
      </c>
      <c r="U100" s="874"/>
      <c r="V100" s="874"/>
      <c r="W100" s="764" t="s">
        <v>1385</v>
      </c>
      <c r="X100" s="1597"/>
      <c r="Y100" s="874"/>
      <c r="Z100" s="1598"/>
      <c r="AA100" s="874"/>
      <c r="AB100" s="881"/>
      <c r="AC100" s="256" t="s">
        <v>177</v>
      </c>
      <c r="AD100" s="783"/>
      <c r="AE100" s="783"/>
      <c r="AF100" s="783"/>
      <c r="AG100" s="783"/>
      <c r="AH100" s="783"/>
      <c r="AI100" s="783"/>
      <c r="AJ100" s="783"/>
      <c r="AK100" s="784"/>
      <c r="AL100" s="1541"/>
      <c r="AM100" s="1541"/>
      <c r="AN100" s="1038"/>
      <c r="AO100" s="1038"/>
      <c r="AP100" s="1038"/>
      <c r="AQ100" s="1055" t="s">
        <v>1384</v>
      </c>
      <c r="AR100" s="263"/>
    </row>
    <row s="1191" customFormat="1" customHeight="1" ht="21.75">
      <c r="A101" s="1541"/>
      <c r="B101" s="431"/>
      <c r="C101" s="874"/>
      <c r="D101" s="874"/>
      <c r="E101" s="875">
        <v>22.5</v>
      </c>
      <c r="F101" s="50" cm="1" t="str">
        <f t="array" ref="F101:F101">OFFSET(E101,-1,1)</f>
        <v>2</v>
      </c>
      <c r="G101" s="370" t="s">
        <v>1386</v>
      </c>
      <c r="H101" s="846" t="s">
        <v>685</v>
      </c>
      <c r="I101" s="846"/>
      <c r="J101" s="874"/>
      <c r="K101" s="486" t="str">
        <f>F101&amp;"8komm"</f>
        <v>28komm</v>
      </c>
      <c r="L101" s="924" cm="1" t="str">
        <f t="array" ref="L101:L101">AK101</f>
        <v>0</v>
      </c>
      <c r="M101" s="874"/>
      <c r="N101" s="874"/>
      <c r="O101" s="874"/>
      <c r="P101" s="874"/>
      <c r="Q101" s="874"/>
      <c r="R101" s="874"/>
      <c r="S101" s="874"/>
      <c r="T101" s="468" cm="1" t="str">
        <f t="array" ref="T101:T101">T100</f>
        <v>true</v>
      </c>
      <c r="U101" s="874"/>
      <c r="V101" s="874"/>
      <c r="W101" s="874"/>
      <c r="X101" s="1597"/>
      <c r="Y101" s="874"/>
      <c r="Z101" s="1598"/>
      <c r="AA101" s="874"/>
      <c r="AB101" s="696" t="s">
        <v>463</v>
      </c>
      <c r="AC101" s="854" t="s">
        <v>1387</v>
      </c>
      <c r="AD101" s="773" t="s">
        <v>936</v>
      </c>
      <c r="AE101" s="294">
        <f>AE96*_xlfn.SUMIFS(INDEX(Сценарии!$AE$25:$BF$136,,MATCH(AE$13,Сценарии!$AE$8:$BF$8,0)),Сценарии!$F$25:$F$136,$F101,Сценарии!$G$25:$G$136,"СВФОТ")/100</f>
        <v>0</v>
      </c>
      <c r="AF101" s="294">
        <f>AF96*_xlfn.SUMIFS(INDEX(Сценарии!$AE$25:$BF$136,,MATCH(AF$13,Сценарии!$AE$8:$BF$8,0)),Сценарии!$F$25:$F$136,$F101,Сценарии!$G$25:$G$136,"СВФОТ")/100</f>
        <v>0</v>
      </c>
      <c r="AG101" s="294">
        <f>AG96*_xlfn.SUMIFS(INDEX(Сценарии!$AE$25:$BF$136,,MATCH(AG$13,Сценарии!$AE$8:$BF$8,0)),Сценарии!$F$25:$F$136,$F101,Сценарии!$G$25:$G$136,"СВФОТ")/100</f>
        <v>0</v>
      </c>
      <c r="AH101" s="294">
        <f>AH96*_xlfn.SUMIFS(INDEX(Сценарии!$AE$25:$BF$136,,MATCH(AH$13,Сценарии!$AE$8:$BF$8,0)),Сценарии!$F$25:$F$136,$F101,Сценарии!$G$25:$G$136,"СВФОТ")/100</f>
        <v>0</v>
      </c>
      <c r="AI101" s="294">
        <f>AI96*_xlfn.SUMIFS(INDEX(Сценарии!$AE$25:$BF$136,,MATCH(AI$13,Сценарии!$AE$8:$BF$8,0)),Сценарии!$F$25:$F$136,$F101,Сценарии!$G$25:$G$136,"СВФОТ")/100</f>
        <v>0</v>
      </c>
      <c r="AJ101" s="294">
        <f>AJ96*_xlfn.SUMIFS(INDEX(Сценарии!$AE$25:$BF$136,,MATCH(AJ$13,Сценарии!$AE$8:$BF$8,0)),Сценарии!$F$25:$F$136,$F101,Сценарии!$G$25:$G$136,"СВФОТ")/100</f>
        <v>0</v>
      </c>
      <c r="AK101" s="853"/>
      <c r="AL101" s="1541"/>
      <c r="AM101" s="1541"/>
      <c r="AN101" s="1038" t="s">
        <v>1388</v>
      </c>
      <c r="AO101" s="1038"/>
      <c r="AP101" s="1038"/>
      <c r="AQ101" s="263"/>
      <c r="AR101" s="263"/>
    </row>
    <row s="1191" customFormat="1" customHeight="1" ht="14.25">
      <c r="A102" s="1541"/>
      <c r="B102" s="431"/>
      <c r="C102" s="874"/>
      <c r="D102" s="874"/>
      <c r="E102" s="875">
        <v>15</v>
      </c>
      <c r="F102" s="496" cm="1" t="str">
        <f t="array" ref="F102:F102">X102</f>
        <v>3</v>
      </c>
      <c r="G102" s="846" t="s">
        <v>61</v>
      </c>
      <c r="H102" s="846"/>
      <c r="I102" s="846"/>
      <c r="J102" s="874"/>
      <c r="K102" s="486"/>
      <c r="L102" s="486"/>
      <c r="M102" s="874"/>
      <c r="N102" s="874"/>
      <c r="O102" s="874"/>
      <c r="P102" s="874"/>
      <c r="Q102" s="874"/>
      <c r="R102" s="874"/>
      <c r="S102" s="874"/>
      <c r="T102" s="468">
        <f>X102&gt;0</f>
        <v>1</v>
      </c>
      <c r="U102" s="874"/>
      <c r="V102" s="874" cm="1" t="str">
        <f t="array" ref="V102:V102">Покупка!$AB$259</f>
        <v>Тариф 3 (Водоотведение) - тариф на водоотведение (Оказание услуг на территории: город Полысаево (ОКТМО: 32732000) - г Полысаево)</v>
      </c>
      <c r="W102" s="874"/>
      <c r="X102" s="1597" t="s">
        <v>234</v>
      </c>
      <c r="Y102" s="874"/>
      <c r="Z102" s="1598"/>
      <c r="AA102" s="874"/>
      <c r="AB102" s="238" cm="1" t="str">
        <f t="array" ref="AB102:AB102">Покупка!$AB$259</f>
        <v>Тариф 3 (Водоотведение) - тариф на водоотведение (Оказание услуг на территории: город Полысаево (ОКТМО: 32732000) - г Полысаево)</v>
      </c>
      <c r="AC102" s="876"/>
      <c r="AD102" s="876"/>
      <c r="AE102" s="877">
        <f>AE103+AE108+AE109+AE114+AE115+AE120+AE121+AE126</f>
        <v>0</v>
      </c>
      <c r="AF102" s="877">
        <f>AF103+AF108+AF109+AF114+AF115+AF120+AF121+AF126</f>
        <v>0</v>
      </c>
      <c r="AG102" s="877">
        <f>AG103+AG108+AG109+AG114+AG115+AG120+AG121+AG126</f>
        <v>0</v>
      </c>
      <c r="AH102" s="877">
        <f>AH103+AH108+AH109+AH114+AH115+AH120+AH121+AH126</f>
        <v>0</v>
      </c>
      <c r="AI102" s="877">
        <f>AI103+AI108+AI109+AI114+AI115+AI120+AI121+AI126</f>
        <v>0</v>
      </c>
      <c r="AJ102" s="877">
        <f>AJ103+AJ108+AJ109+AJ114+AJ115+AJ120+AJ121+AJ126</f>
        <v>0</v>
      </c>
      <c r="AK102" s="877"/>
      <c r="AL102" s="1541"/>
      <c r="AM102" s="1541"/>
      <c r="AN102" s="1038"/>
      <c r="AO102" s="1038"/>
      <c r="AP102" s="1038"/>
      <c r="AQ102" s="263"/>
      <c r="AR102" s="263"/>
    </row>
    <row s="1191" customFormat="1" customHeight="1" ht="21.75">
      <c r="A103" s="1541"/>
      <c r="B103" s="431"/>
      <c r="C103" s="874"/>
      <c r="D103" s="874"/>
      <c r="E103" s="875">
        <v>22.5</v>
      </c>
      <c r="F103" s="50" cm="1" t="str">
        <f t="array" ref="F103:F103">OFFSET(E103,-1,1)</f>
        <v>3</v>
      </c>
      <c r="G103" s="370" t="s">
        <v>1350</v>
      </c>
      <c r="H103" s="846" t="s">
        <v>344</v>
      </c>
      <c r="I103" s="846"/>
      <c r="J103" s="874"/>
      <c r="K103" s="486" t="str">
        <f>F103&amp;"1komm"</f>
        <v>31komm</v>
      </c>
      <c r="L103" s="924" cm="1" t="str">
        <f t="array" ref="L103:L103">AK103</f>
        <v>0</v>
      </c>
      <c r="M103" s="874"/>
      <c r="N103" s="874"/>
      <c r="O103" s="874"/>
      <c r="P103" s="874"/>
      <c r="Q103" s="874"/>
      <c r="R103" s="874"/>
      <c r="S103" s="874"/>
      <c r="T103" s="468" cm="1" t="str">
        <f t="array" ref="T103:T103">T102</f>
        <v>true</v>
      </c>
      <c r="U103" s="874"/>
      <c r="V103" s="874"/>
      <c r="W103" s="874"/>
      <c r="X103" s="1597"/>
      <c r="Y103" s="874"/>
      <c r="Z103" s="1598"/>
      <c r="AA103" s="874"/>
      <c r="AB103" s="696">
        <v>1</v>
      </c>
      <c r="AC103" s="854" t="s">
        <v>1351</v>
      </c>
      <c r="AD103" s="773" t="s">
        <v>936</v>
      </c>
      <c r="AE103" s="294"/>
      <c r="AF103" s="294"/>
      <c r="AG103" s="294"/>
      <c r="AH103" s="294"/>
      <c r="AI103" s="209">
        <f>_xlfn.SUMIFS(AI104:AI107,$AD104:$AD107,$AD103)</f>
        <v>0</v>
      </c>
      <c r="AJ103" s="209">
        <f>_xlfn.SUMIFS(AJ104:AJ107,$AD104:$AD107,$AD103)</f>
        <v>0</v>
      </c>
      <c r="AK103" s="853"/>
      <c r="AL103" s="1541"/>
      <c r="AM103" s="1541"/>
      <c r="AN103" s="1038" t="s">
        <v>1352</v>
      </c>
      <c r="AO103" s="1038"/>
      <c r="AP103" s="1038"/>
      <c r="AQ103" s="263"/>
      <c r="AR103" s="263"/>
    </row>
    <row s="1191" customFormat="1" customHeight="1" ht="18" hidden="1">
      <c r="A104" s="1541"/>
      <c r="B104" s="431"/>
      <c r="C104" s="874"/>
      <c r="D104" s="874"/>
      <c r="E104" s="875">
        <v>18.75</v>
      </c>
      <c r="F104" s="50" cm="1" t="str">
        <f t="array" ref="F104:F104">OFFSET(E104,-1,1)</f>
        <v>3</v>
      </c>
      <c r="G104" s="846"/>
      <c r="H104" s="846" t="s">
        <v>344</v>
      </c>
      <c r="I104" s="846" cm="1" t="str">
        <f t="array" ref="I104:I104">AC104</f>
        <v>0</v>
      </c>
      <c r="J104" s="874"/>
      <c r="K104" s="486"/>
      <c r="L104" s="486"/>
      <c r="M104" s="874"/>
      <c r="N104" s="874"/>
      <c r="O104" s="874"/>
      <c r="P104" s="874"/>
      <c r="Q104" s="874"/>
      <c r="R104" s="874"/>
      <c r="S104" s="874"/>
      <c r="T104" s="468">
        <f>AND(F104&gt;0,Y104&gt;0)</f>
        <v>0</v>
      </c>
      <c r="U104" s="874"/>
      <c r="V104" s="874"/>
      <c r="W104" s="874" t="s">
        <v>173</v>
      </c>
      <c r="X104" s="1597"/>
      <c r="Y104" s="1597">
        <v>0</v>
      </c>
      <c r="Z104" s="1598"/>
      <c r="AA104" s="1594" t="s">
        <v>174</v>
      </c>
      <c r="AB104" s="296" t="str">
        <f>"1."&amp;Y104</f>
        <v>1.0</v>
      </c>
      <c r="AC104" s="4148"/>
      <c r="AD104" s="773" t="s">
        <v>936</v>
      </c>
      <c r="AE104" s="4149"/>
      <c r="AF104" s="4149"/>
      <c r="AG104" s="4149"/>
      <c r="AH104" s="4149"/>
      <c r="AI104" s="3132">
        <f>AI105*AI106*12/1000</f>
        <v>0</v>
      </c>
      <c r="AJ104" s="3132">
        <f>AJ105*AJ106*12/1000</f>
        <v>0</v>
      </c>
      <c r="AK104" s="1823"/>
      <c r="AL104" s="1541"/>
      <c r="AM104" s="1541"/>
      <c r="AN104" s="1038" t="s">
        <v>1353</v>
      </c>
      <c r="AO104" s="1038" t="s">
        <v>1354</v>
      </c>
      <c r="AP104" s="1038" cm="1" t="str">
        <f t="array" ref="AP104:AP104">AC104</f>
        <v>0</v>
      </c>
      <c r="AQ104" s="263"/>
      <c r="AR104" s="263" t="b">
        <v>1</v>
      </c>
    </row>
    <row s="1191" customFormat="1" customHeight="1" ht="14.25" hidden="1">
      <c r="A105" s="1541"/>
      <c r="B105" s="431"/>
      <c r="C105" s="874"/>
      <c r="D105" s="874"/>
      <c r="E105" s="875">
        <v>15</v>
      </c>
      <c r="F105" s="50" cm="1" t="str">
        <f t="array" ref="F105:F105">OFFSET(E105,-1,1)</f>
        <v>3</v>
      </c>
      <c r="G105" s="879" t="s">
        <v>1355</v>
      </c>
      <c r="H105" s="846" t="str">
        <f>H104&amp;"_1"</f>
        <v>l1_1</v>
      </c>
      <c r="I105" s="846" cm="1" t="str">
        <f t="array" ref="I105:I105">I104</f>
        <v>0</v>
      </c>
      <c r="J105" s="874"/>
      <c r="K105" s="486"/>
      <c r="L105" s="486"/>
      <c r="M105" s="874"/>
      <c r="N105" s="874"/>
      <c r="O105" s="874"/>
      <c r="P105" s="874"/>
      <c r="Q105" s="874"/>
      <c r="R105" s="874"/>
      <c r="S105" s="874"/>
      <c r="T105" s="468" cm="1" t="str">
        <f t="array" ref="T105:T105">T104</f>
        <v>false</v>
      </c>
      <c r="U105" s="874"/>
      <c r="V105" s="874"/>
      <c r="W105" s="874"/>
      <c r="X105" s="1597"/>
      <c r="Y105" s="1597"/>
      <c r="Z105" s="1598"/>
      <c r="AA105" s="1594"/>
      <c r="AB105" s="696" t="str">
        <f>AB104&amp;".1"</f>
        <v>1.0.1</v>
      </c>
      <c r="AC105" s="772" t="s">
        <v>1356</v>
      </c>
      <c r="AD105" s="773" t="s">
        <v>1357</v>
      </c>
      <c r="AE105" s="4149"/>
      <c r="AF105" s="4149"/>
      <c r="AG105" s="4149"/>
      <c r="AH105" s="4149"/>
      <c r="AI105" s="4146"/>
      <c r="AJ105" s="4146"/>
      <c r="AK105" s="1823"/>
      <c r="AL105" s="1541"/>
      <c r="AM105" s="1541"/>
      <c r="AN105" s="1038" t="s">
        <v>1358</v>
      </c>
      <c r="AO105" s="1038" t="s">
        <v>1354</v>
      </c>
      <c r="AP105" s="1038" cm="1" t="str">
        <f t="array" ref="AP105:AP105">AP104</f>
        <v>0</v>
      </c>
      <c r="AQ105" s="263"/>
      <c r="AR105" s="263"/>
    </row>
    <row s="1191" customFormat="1" customHeight="1" ht="14.25" hidden="1">
      <c r="A106" s="1541"/>
      <c r="B106" s="431"/>
      <c r="C106" s="874"/>
      <c r="D106" s="874"/>
      <c r="E106" s="875">
        <v>15</v>
      </c>
      <c r="F106" s="50" cm="1" t="str">
        <f t="array" ref="F106:F106">OFFSET(E106,-1,1)</f>
        <v>3</v>
      </c>
      <c r="G106" s="846"/>
      <c r="H106" s="846" t="str">
        <f>H104&amp;"_2"</f>
        <v>l1_2</v>
      </c>
      <c r="I106" s="846" cm="1" t="str">
        <f t="array" ref="I106:I106">I105</f>
        <v>0</v>
      </c>
      <c r="J106" s="874"/>
      <c r="K106" s="486"/>
      <c r="L106" s="486"/>
      <c r="M106" s="874"/>
      <c r="N106" s="874"/>
      <c r="O106" s="874"/>
      <c r="P106" s="874"/>
      <c r="Q106" s="874"/>
      <c r="R106" s="874"/>
      <c r="S106" s="874"/>
      <c r="T106" s="468" cm="1" t="str">
        <f t="array" ref="T106:T106">T105</f>
        <v>false</v>
      </c>
      <c r="U106" s="874"/>
      <c r="V106" s="874"/>
      <c r="W106" s="874"/>
      <c r="X106" s="1597"/>
      <c r="Y106" s="1597"/>
      <c r="Z106" s="1598"/>
      <c r="AA106" s="1594"/>
      <c r="AB106" s="696" t="str">
        <f>AB104&amp;".2"</f>
        <v>1.0.2</v>
      </c>
      <c r="AC106" s="772" t="s">
        <v>1359</v>
      </c>
      <c r="AD106" s="773" t="s">
        <v>1360</v>
      </c>
      <c r="AE106" s="4149"/>
      <c r="AF106" s="4149"/>
      <c r="AG106" s="4149"/>
      <c r="AH106" s="4149"/>
      <c r="AI106" s="4146"/>
      <c r="AJ106" s="4146"/>
      <c r="AK106" s="1823"/>
      <c r="AL106" s="1541"/>
      <c r="AM106" s="1541"/>
      <c r="AN106" s="1038" t="s">
        <v>1361</v>
      </c>
      <c r="AO106" s="1038" t="s">
        <v>1354</v>
      </c>
      <c r="AP106" s="1038" cm="1" t="str">
        <f t="array" ref="AP106:AP106">AP105</f>
        <v>0</v>
      </c>
      <c r="AQ106" s="263"/>
      <c r="AR106" s="263"/>
    </row>
    <row s="1191" customFormat="1" customHeight="1" ht="14.25">
      <c r="A107" s="1541"/>
      <c r="B107" s="431"/>
      <c r="C107" s="874"/>
      <c r="D107" s="874"/>
      <c r="E107" s="875">
        <v>15</v>
      </c>
      <c r="F107" s="50" cm="1" t="str">
        <f t="array" ref="F107:F107">OFFSET(E107,-1,1)</f>
        <v>3</v>
      </c>
      <c r="G107" s="370"/>
      <c r="H107" s="846"/>
      <c r="I107" s="148" t="str">
        <f>"!=='не определено' &amp;&amp; row.l1 !== null"</f>
        <v>!=='не определено' &amp;&amp; row.l1 !== null</v>
      </c>
      <c r="J107" s="874"/>
      <c r="K107" s="486"/>
      <c r="L107" s="486"/>
      <c r="M107" s="874"/>
      <c r="N107" s="874"/>
      <c r="O107" s="874"/>
      <c r="P107" s="874"/>
      <c r="Q107" s="874"/>
      <c r="R107" s="874"/>
      <c r="S107" s="874"/>
      <c r="T107" s="468">
        <f>F107&gt;0</f>
        <v>1</v>
      </c>
      <c r="U107" s="874"/>
      <c r="V107" s="874"/>
      <c r="W107" s="764" t="s">
        <v>410</v>
      </c>
      <c r="X107" s="1597"/>
      <c r="Y107" s="880"/>
      <c r="Z107" s="1598"/>
      <c r="AA107" s="874"/>
      <c r="AB107" s="881"/>
      <c r="AC107" s="256" t="s">
        <v>177</v>
      </c>
      <c r="AD107" s="783"/>
      <c r="AE107" s="783"/>
      <c r="AF107" s="783"/>
      <c r="AG107" s="783"/>
      <c r="AH107" s="783"/>
      <c r="AI107" s="783"/>
      <c r="AJ107" s="783"/>
      <c r="AK107" s="784"/>
      <c r="AL107" s="1541"/>
      <c r="AM107" s="1541"/>
      <c r="AN107" s="1038"/>
      <c r="AO107" s="1038"/>
      <c r="AP107" s="1038"/>
      <c r="AQ107" s="263" t="s">
        <v>1354</v>
      </c>
      <c r="AR107" s="263"/>
    </row>
    <row s="1191" customFormat="1" customHeight="1" ht="21.75">
      <c r="A108" s="1541"/>
      <c r="B108" s="431"/>
      <c r="C108" s="874"/>
      <c r="D108" s="874"/>
      <c r="E108" s="875">
        <v>22.5</v>
      </c>
      <c r="F108" s="50" cm="1" t="str">
        <f t="array" ref="F108:F108">OFFSET(E108,-1,1)</f>
        <v>3</v>
      </c>
      <c r="G108" s="370" t="s">
        <v>1362</v>
      </c>
      <c r="H108" s="846" t="s">
        <v>345</v>
      </c>
      <c r="I108" s="846"/>
      <c r="J108" s="874"/>
      <c r="K108" s="486" t="str">
        <f>F108&amp;"2komm"</f>
        <v>32komm</v>
      </c>
      <c r="L108" s="924" cm="1" t="str">
        <f t="array" ref="L108:L108">AK108</f>
        <v>0</v>
      </c>
      <c r="M108" s="874"/>
      <c r="N108" s="874"/>
      <c r="O108" s="874"/>
      <c r="P108" s="874"/>
      <c r="Q108" s="874"/>
      <c r="R108" s="874"/>
      <c r="S108" s="874"/>
      <c r="T108" s="468" cm="1" t="str">
        <f t="array" ref="T108:T108">T107</f>
        <v>true</v>
      </c>
      <c r="U108" s="874"/>
      <c r="V108" s="874"/>
      <c r="W108" s="874"/>
      <c r="X108" s="1597"/>
      <c r="Y108" s="880"/>
      <c r="Z108" s="1598"/>
      <c r="AA108" s="874"/>
      <c r="AB108" s="696" t="s">
        <v>299</v>
      </c>
      <c r="AC108" s="854" t="s">
        <v>1363</v>
      </c>
      <c r="AD108" s="773" t="s">
        <v>936</v>
      </c>
      <c r="AE108" s="294">
        <f>AE103*_xlfn.SUMIFS(INDEX(Сценарии!$AE$25:$BF$136,,MATCH(AE$13,Сценарии!$AE$8:$BF$8,0)),Сценарии!$F$25:$F$136,$F108,Сценарии!$G$25:$G$136,"СВФОТ")/100</f>
        <v>0</v>
      </c>
      <c r="AF108" s="294">
        <f>AF103*_xlfn.SUMIFS(INDEX(Сценарии!$AE$25:$BF$136,,MATCH(AF$13,Сценарии!$AE$8:$BF$8,0)),Сценарии!$F$25:$F$136,$F108,Сценарии!$G$25:$G$136,"СВФОТ")/100</f>
        <v>0</v>
      </c>
      <c r="AG108" s="294">
        <f>AG103*_xlfn.SUMIFS(INDEX(Сценарии!$AE$25:$BF$136,,MATCH(AG$13,Сценарии!$AE$8:$BF$8,0)),Сценарии!$F$25:$F$136,$F108,Сценарии!$G$25:$G$136,"СВФОТ")/100</f>
        <v>0</v>
      </c>
      <c r="AH108" s="294">
        <f>AH103*_xlfn.SUMIFS(INDEX(Сценарии!$AE$25:$BF$136,,MATCH(AH$13,Сценарии!$AE$8:$BF$8,0)),Сценарии!$F$25:$F$136,$F108,Сценарии!$G$25:$G$136,"СВФОТ")/100</f>
        <v>0</v>
      </c>
      <c r="AI108" s="294">
        <f>AI103*_xlfn.SUMIFS(INDEX(Сценарии!$AE$25:$BF$136,,MATCH(AI$13,Сценарии!$AE$8:$BF$8,0)),Сценарии!$F$25:$F$136,$F108,Сценарии!$G$25:$G$136,"СВФОТ")/100</f>
        <v>0</v>
      </c>
      <c r="AJ108" s="294">
        <f>AJ103*_xlfn.SUMIFS(INDEX(Сценарии!$AE$25:$BF$136,,MATCH(AJ$13,Сценарии!$AE$8:$BF$8,0)),Сценарии!$F$25:$F$136,$F108,Сценарии!$G$25:$G$136,"СВФОТ")/100</f>
        <v>0</v>
      </c>
      <c r="AK108" s="853"/>
      <c r="AL108" s="1541"/>
      <c r="AM108" s="1541"/>
      <c r="AN108" s="1038" t="s">
        <v>1364</v>
      </c>
      <c r="AO108" s="1038"/>
      <c r="AP108" s="1038"/>
      <c r="AQ108" s="263"/>
      <c r="AR108" s="263"/>
    </row>
    <row s="1191" customFormat="1" customHeight="1" ht="14.25">
      <c r="A109" s="1541"/>
      <c r="B109" s="431"/>
      <c r="C109" s="874"/>
      <c r="D109" s="874"/>
      <c r="E109" s="875">
        <v>15</v>
      </c>
      <c r="F109" s="50" cm="1" t="str">
        <f t="array" ref="F109:F109">OFFSET(E109,-1,1)</f>
        <v>3</v>
      </c>
      <c r="G109" s="370" t="s">
        <v>1365</v>
      </c>
      <c r="H109" s="846" t="s">
        <v>346</v>
      </c>
      <c r="I109" s="846"/>
      <c r="J109" s="874"/>
      <c r="K109" s="486" t="str">
        <f>F109&amp;"3komm"</f>
        <v>33komm</v>
      </c>
      <c r="L109" s="924" cm="1" t="str">
        <f t="array" ref="L109:L109">AK109</f>
        <v>0</v>
      </c>
      <c r="M109" s="874"/>
      <c r="N109" s="874"/>
      <c r="O109" s="874"/>
      <c r="P109" s="874"/>
      <c r="Q109" s="874"/>
      <c r="R109" s="874"/>
      <c r="S109" s="874"/>
      <c r="T109" s="468" cm="1" t="str">
        <f t="array" ref="T109:T109">T108</f>
        <v>true</v>
      </c>
      <c r="U109" s="874"/>
      <c r="V109" s="874"/>
      <c r="W109" s="874"/>
      <c r="X109" s="1597"/>
      <c r="Y109" s="880"/>
      <c r="Z109" s="1598"/>
      <c r="AA109" s="874"/>
      <c r="AB109" s="696" t="s">
        <v>234</v>
      </c>
      <c r="AC109" s="854" t="s">
        <v>1366</v>
      </c>
      <c r="AD109" s="773" t="s">
        <v>936</v>
      </c>
      <c r="AE109" s="294"/>
      <c r="AF109" s="294"/>
      <c r="AG109" s="294"/>
      <c r="AH109" s="294"/>
      <c r="AI109" s="209">
        <f>_xlfn.SUMIFS(AI110:AI113,$AD110:$AD113,$AD109)</f>
        <v>0</v>
      </c>
      <c r="AJ109" s="209">
        <f>_xlfn.SUMIFS(AJ110:AJ113,$AD110:$AD113,$AD109)</f>
        <v>0</v>
      </c>
      <c r="AK109" s="853"/>
      <c r="AL109" s="1541"/>
      <c r="AM109" s="1541"/>
      <c r="AN109" s="1038" t="s">
        <v>1367</v>
      </c>
      <c r="AO109" s="1038"/>
      <c r="AP109" s="1038"/>
      <c r="AQ109" s="263"/>
      <c r="AR109" s="263"/>
    </row>
    <row s="1191" customFormat="1" customHeight="1" ht="18" hidden="1">
      <c r="A110" s="1541"/>
      <c r="B110" s="431"/>
      <c r="C110" s="874"/>
      <c r="D110" s="874"/>
      <c r="E110" s="875">
        <v>18.75</v>
      </c>
      <c r="F110" s="50" cm="1" t="str">
        <f t="array" ref="F110:F110">OFFSET(E110,-1,1)</f>
        <v>3</v>
      </c>
      <c r="G110" s="846"/>
      <c r="H110" s="846" t="s">
        <v>346</v>
      </c>
      <c r="I110" s="846" cm="1" t="str">
        <f t="array" ref="I110:I110">AC110</f>
        <v>0</v>
      </c>
      <c r="J110" s="874"/>
      <c r="K110" s="486"/>
      <c r="L110" s="486"/>
      <c r="M110" s="874"/>
      <c r="N110" s="874"/>
      <c r="O110" s="874"/>
      <c r="P110" s="874"/>
      <c r="Q110" s="874"/>
      <c r="R110" s="874"/>
      <c r="S110" s="874"/>
      <c r="T110" s="468">
        <f>AND(F110&gt;0,Y110&gt;0)</f>
        <v>0</v>
      </c>
      <c r="U110" s="874"/>
      <c r="V110" s="874"/>
      <c r="W110" s="874" t="s">
        <v>173</v>
      </c>
      <c r="X110" s="1597"/>
      <c r="Y110" s="1597">
        <v>0</v>
      </c>
      <c r="Z110" s="1598"/>
      <c r="AA110" s="1594" t="s">
        <v>174</v>
      </c>
      <c r="AB110" s="296" t="str">
        <f>"3."&amp;Y110</f>
        <v>3.0</v>
      </c>
      <c r="AC110" s="4148"/>
      <c r="AD110" s="773" t="s">
        <v>936</v>
      </c>
      <c r="AE110" s="4149"/>
      <c r="AF110" s="4149"/>
      <c r="AG110" s="4149"/>
      <c r="AH110" s="4149"/>
      <c r="AI110" s="3132">
        <f>AI111*AI112*12/1000</f>
        <v>0</v>
      </c>
      <c r="AJ110" s="3132">
        <f>AJ111*AJ112*12/1000</f>
        <v>0</v>
      </c>
      <c r="AK110" s="1823"/>
      <c r="AL110" s="1541"/>
      <c r="AM110" s="1541"/>
      <c r="AN110" s="1038" t="s">
        <v>1353</v>
      </c>
      <c r="AO110" s="1038" t="s">
        <v>1368</v>
      </c>
      <c r="AP110" s="1038" cm="1" t="str">
        <f t="array" ref="AP110:AP110">AC110</f>
        <v>0</v>
      </c>
      <c r="AQ110" s="263"/>
      <c r="AR110" s="263" t="b">
        <v>1</v>
      </c>
    </row>
    <row s="1191" customFormat="1" customHeight="1" ht="14.25" hidden="1">
      <c r="A111" s="1541"/>
      <c r="B111" s="431"/>
      <c r="C111" s="874"/>
      <c r="D111" s="874"/>
      <c r="E111" s="875">
        <v>15</v>
      </c>
      <c r="F111" s="50" cm="1" t="str">
        <f t="array" ref="F111:F111">OFFSET(E111,-1,1)</f>
        <v>3</v>
      </c>
      <c r="G111" s="879" t="s">
        <v>1369</v>
      </c>
      <c r="H111" s="846" t="str">
        <f>H110&amp;"_1"</f>
        <v>l3_1</v>
      </c>
      <c r="I111" s="846" cm="1" t="str">
        <f t="array" ref="I111:I111">I110</f>
        <v>0</v>
      </c>
      <c r="J111" s="874"/>
      <c r="K111" s="486"/>
      <c r="L111" s="486"/>
      <c r="M111" s="874"/>
      <c r="N111" s="874"/>
      <c r="O111" s="874"/>
      <c r="P111" s="874"/>
      <c r="Q111" s="874"/>
      <c r="R111" s="874"/>
      <c r="S111" s="874"/>
      <c r="T111" s="468" cm="1" t="str">
        <f t="array" ref="T111:T111">T110</f>
        <v>false</v>
      </c>
      <c r="U111" s="874"/>
      <c r="V111" s="874"/>
      <c r="W111" s="874"/>
      <c r="X111" s="1597"/>
      <c r="Y111" s="1597"/>
      <c r="Z111" s="1598"/>
      <c r="AA111" s="1594"/>
      <c r="AB111" s="696" t="str">
        <f>AB110&amp;".1"</f>
        <v>3.0.1</v>
      </c>
      <c r="AC111" s="772" t="s">
        <v>1356</v>
      </c>
      <c r="AD111" s="773" t="s">
        <v>1357</v>
      </c>
      <c r="AE111" s="4149"/>
      <c r="AF111" s="4149"/>
      <c r="AG111" s="4149"/>
      <c r="AH111" s="4149"/>
      <c r="AI111" s="4146"/>
      <c r="AJ111" s="4146"/>
      <c r="AK111" s="1823"/>
      <c r="AL111" s="1541"/>
      <c r="AM111" s="1541"/>
      <c r="AN111" s="1038" t="s">
        <v>1358</v>
      </c>
      <c r="AO111" s="1038" t="s">
        <v>1368</v>
      </c>
      <c r="AP111" s="1038" cm="1" t="str">
        <f t="array" ref="AP111:AP111">AP110</f>
        <v>0</v>
      </c>
      <c r="AQ111" s="263"/>
      <c r="AR111" s="263"/>
    </row>
    <row s="1191" customFormat="1" customHeight="1" ht="14.25" hidden="1">
      <c r="A112" s="1541"/>
      <c r="B112" s="431"/>
      <c r="C112" s="874"/>
      <c r="D112" s="874"/>
      <c r="E112" s="875">
        <v>15</v>
      </c>
      <c r="F112" s="50" cm="1" t="str">
        <f t="array" ref="F112:F112">OFFSET(E112,-1,1)</f>
        <v>3</v>
      </c>
      <c r="G112" s="846"/>
      <c r="H112" s="846" t="str">
        <f>H110&amp;"_2"</f>
        <v>l3_2</v>
      </c>
      <c r="I112" s="846" cm="1" t="str">
        <f t="array" ref="I112:I112">I111</f>
        <v>0</v>
      </c>
      <c r="J112" s="874"/>
      <c r="K112" s="486"/>
      <c r="L112" s="486"/>
      <c r="M112" s="874"/>
      <c r="N112" s="874"/>
      <c r="O112" s="874"/>
      <c r="P112" s="874"/>
      <c r="Q112" s="874"/>
      <c r="R112" s="874"/>
      <c r="S112" s="874"/>
      <c r="T112" s="468" cm="1" t="str">
        <f t="array" ref="T112:T112">T111</f>
        <v>false</v>
      </c>
      <c r="U112" s="874"/>
      <c r="V112" s="874"/>
      <c r="W112" s="874"/>
      <c r="X112" s="1597"/>
      <c r="Y112" s="1597"/>
      <c r="Z112" s="1598"/>
      <c r="AA112" s="1594"/>
      <c r="AB112" s="696" t="str">
        <f>AB110&amp;".2"</f>
        <v>3.0.2</v>
      </c>
      <c r="AC112" s="772" t="s">
        <v>1359</v>
      </c>
      <c r="AD112" s="773" t="s">
        <v>1360</v>
      </c>
      <c r="AE112" s="4149"/>
      <c r="AF112" s="4149"/>
      <c r="AG112" s="4149"/>
      <c r="AH112" s="4149"/>
      <c r="AI112" s="4146"/>
      <c r="AJ112" s="4146"/>
      <c r="AK112" s="1823"/>
      <c r="AL112" s="1541"/>
      <c r="AM112" s="1541"/>
      <c r="AN112" s="1038" t="s">
        <v>1361</v>
      </c>
      <c r="AO112" s="1038" t="s">
        <v>1368</v>
      </c>
      <c r="AP112" s="1038" cm="1" t="str">
        <f t="array" ref="AP112:AP112">AP111</f>
        <v>0</v>
      </c>
      <c r="AQ112" s="263"/>
      <c r="AR112" s="263"/>
    </row>
    <row s="1191" customFormat="1" customHeight="1" ht="14.25">
      <c r="A113" s="1541"/>
      <c r="B113" s="431"/>
      <c r="C113" s="874"/>
      <c r="D113" s="874"/>
      <c r="E113" s="875">
        <v>15</v>
      </c>
      <c r="F113" s="50" cm="1" t="str">
        <f t="array" ref="F113:F113">OFFSET(E113,-1,1)</f>
        <v>3</v>
      </c>
      <c r="G113" s="370"/>
      <c r="H113" s="846"/>
      <c r="I113" s="148" t="str">
        <f>"!=='не определено' &amp;&amp; row.l3 !== null"</f>
        <v>!=='не определено' &amp;&amp; row.l3 !== null</v>
      </c>
      <c r="J113" s="874"/>
      <c r="K113" s="486"/>
      <c r="L113" s="486"/>
      <c r="M113" s="874"/>
      <c r="N113" s="874"/>
      <c r="O113" s="874"/>
      <c r="P113" s="874"/>
      <c r="Q113" s="874"/>
      <c r="R113" s="874"/>
      <c r="S113" s="874"/>
      <c r="T113" s="468">
        <f>F113&gt;0</f>
        <v>1</v>
      </c>
      <c r="U113" s="874"/>
      <c r="V113" s="874"/>
      <c r="W113" s="764" t="s">
        <v>1012</v>
      </c>
      <c r="X113" s="1597"/>
      <c r="Y113" s="880"/>
      <c r="Z113" s="1598"/>
      <c r="AA113" s="874"/>
      <c r="AB113" s="881"/>
      <c r="AC113" s="256" t="s">
        <v>177</v>
      </c>
      <c r="AD113" s="783"/>
      <c r="AE113" s="783"/>
      <c r="AF113" s="783"/>
      <c r="AG113" s="783"/>
      <c r="AH113" s="783"/>
      <c r="AI113" s="783"/>
      <c r="AJ113" s="783"/>
      <c r="AK113" s="784"/>
      <c r="AL113" s="1541"/>
      <c r="AM113" s="1541"/>
      <c r="AN113" s="1038"/>
      <c r="AO113" s="1038"/>
      <c r="AP113" s="1038"/>
      <c r="AQ113" s="263" t="s">
        <v>1368</v>
      </c>
      <c r="AR113" s="263"/>
    </row>
    <row s="1191" customFormat="1" customHeight="1" ht="21.75">
      <c r="A114" s="1541"/>
      <c r="B114" s="431"/>
      <c r="C114" s="874"/>
      <c r="D114" s="874"/>
      <c r="E114" s="875">
        <v>22.5</v>
      </c>
      <c r="F114" s="50" cm="1" t="str">
        <f t="array" ref="F114:F114">OFFSET(E114,-1,1)</f>
        <v>3</v>
      </c>
      <c r="G114" s="370" t="s">
        <v>1370</v>
      </c>
      <c r="H114" s="846" t="s">
        <v>348</v>
      </c>
      <c r="I114" s="846"/>
      <c r="J114" s="874"/>
      <c r="K114" s="486" t="str">
        <f>F114&amp;"4komm"</f>
        <v>34komm</v>
      </c>
      <c r="L114" s="924" cm="1" t="str">
        <f t="array" ref="L114:L114">AK114</f>
        <v>0</v>
      </c>
      <c r="M114" s="874"/>
      <c r="N114" s="874"/>
      <c r="O114" s="874"/>
      <c r="P114" s="874"/>
      <c r="Q114" s="874"/>
      <c r="R114" s="874"/>
      <c r="S114" s="874"/>
      <c r="T114" s="468" cm="1" t="str">
        <f t="array" ref="T114:T114">T113</f>
        <v>true</v>
      </c>
      <c r="U114" s="874"/>
      <c r="V114" s="874"/>
      <c r="W114" s="874"/>
      <c r="X114" s="1597"/>
      <c r="Y114" s="880"/>
      <c r="Z114" s="1598"/>
      <c r="AA114" s="874"/>
      <c r="AB114" s="696" t="s">
        <v>451</v>
      </c>
      <c r="AC114" s="854" t="s">
        <v>1371</v>
      </c>
      <c r="AD114" s="773" t="s">
        <v>936</v>
      </c>
      <c r="AE114" s="294">
        <f>AE109*_xlfn.SUMIFS(INDEX(Сценарии!$AE$25:$BF$136,,MATCH(AE$13,Сценарии!$AE$8:$BF$8,0)),Сценарии!$F$25:$F$136,$F114,Сценарии!$G$25:$G$136,"СВФОТ")/100</f>
        <v>0</v>
      </c>
      <c r="AF114" s="294">
        <f>AF109*_xlfn.SUMIFS(INDEX(Сценарии!$AE$25:$BF$136,,MATCH(AF$13,Сценарии!$AE$8:$BF$8,0)),Сценарии!$F$25:$F$136,$F114,Сценарии!$G$25:$G$136,"СВФОТ")/100</f>
        <v>0</v>
      </c>
      <c r="AG114" s="294">
        <f>AG109*_xlfn.SUMIFS(INDEX(Сценарии!$AE$25:$BF$136,,MATCH(AG$13,Сценарии!$AE$8:$BF$8,0)),Сценарии!$F$25:$F$136,$F114,Сценарии!$G$25:$G$136,"СВФОТ")/100</f>
        <v>0</v>
      </c>
      <c r="AH114" s="294">
        <f>AH109*_xlfn.SUMIFS(INDEX(Сценарии!$AE$25:$BF$136,,MATCH(AH$13,Сценарии!$AE$8:$BF$8,0)),Сценарии!$F$25:$F$136,$F114,Сценарии!$G$25:$G$136,"СВФОТ")/100</f>
        <v>0</v>
      </c>
      <c r="AI114" s="294">
        <f>AI109*_xlfn.SUMIFS(INDEX(Сценарии!$AE$25:$BF$136,,MATCH(AI$13,Сценарии!$AE$8:$BF$8,0)),Сценарии!$F$25:$F$136,$F114,Сценарии!$G$25:$G$136,"СВФОТ")/100</f>
        <v>0</v>
      </c>
      <c r="AJ114" s="294">
        <f>AJ109*_xlfn.SUMIFS(INDEX(Сценарии!$AE$25:$BF$136,,MATCH(AJ$13,Сценарии!$AE$8:$BF$8,0)),Сценарии!$F$25:$F$136,$F114,Сценарии!$G$25:$G$136,"СВФОТ")/100</f>
        <v>0</v>
      </c>
      <c r="AK114" s="853"/>
      <c r="AL114" s="1541"/>
      <c r="AM114" s="1541"/>
      <c r="AN114" s="1038" t="s">
        <v>1372</v>
      </c>
      <c r="AO114" s="1038"/>
      <c r="AP114" s="1038"/>
      <c r="AQ114" s="263"/>
      <c r="AR114" s="263"/>
    </row>
    <row s="1191" customFormat="1" customHeight="1" ht="21.75">
      <c r="A115" s="1541"/>
      <c r="B115" s="431"/>
      <c r="C115" s="874"/>
      <c r="D115" s="874"/>
      <c r="E115" s="875">
        <v>22.5</v>
      </c>
      <c r="F115" s="50" cm="1" t="str">
        <f t="array" ref="F115:F115">OFFSET(E115,-1,1)</f>
        <v>3</v>
      </c>
      <c r="G115" s="370" t="s">
        <v>1373</v>
      </c>
      <c r="H115" s="846" t="s">
        <v>347</v>
      </c>
      <c r="I115" s="846"/>
      <c r="J115" s="874"/>
      <c r="K115" s="486" t="str">
        <f>F115&amp;"5komm"</f>
        <v>35komm</v>
      </c>
      <c r="L115" s="924" cm="1" t="str">
        <f t="array" ref="L115:L115">AK115</f>
        <v>0</v>
      </c>
      <c r="M115" s="874"/>
      <c r="N115" s="874"/>
      <c r="O115" s="874"/>
      <c r="P115" s="874"/>
      <c r="Q115" s="874"/>
      <c r="R115" s="874"/>
      <c r="S115" s="874"/>
      <c r="T115" s="468" cm="1" t="str">
        <f t="array" ref="T115:T115">T114</f>
        <v>true</v>
      </c>
      <c r="U115" s="874"/>
      <c r="V115" s="874"/>
      <c r="W115" s="874"/>
      <c r="X115" s="1597"/>
      <c r="Y115" s="880"/>
      <c r="Z115" s="1598"/>
      <c r="AA115" s="874"/>
      <c r="AB115" s="696" t="s">
        <v>454</v>
      </c>
      <c r="AC115" s="854" t="s">
        <v>1374</v>
      </c>
      <c r="AD115" s="773" t="s">
        <v>936</v>
      </c>
      <c r="AE115" s="294"/>
      <c r="AF115" s="294"/>
      <c r="AG115" s="294"/>
      <c r="AH115" s="294"/>
      <c r="AI115" s="209">
        <f>_xlfn.SUMIFS(AI116:AI119,$AD116:$AD119,$AD115)</f>
        <v>0</v>
      </c>
      <c r="AJ115" s="209">
        <f>_xlfn.SUMIFS(AJ116:AJ119,$AD116:$AD119,$AD115)</f>
        <v>0</v>
      </c>
      <c r="AK115" s="853"/>
      <c r="AL115" s="1541"/>
      <c r="AM115" s="1541"/>
      <c r="AN115" s="1038" t="s">
        <v>1375</v>
      </c>
      <c r="AO115" s="1038"/>
      <c r="AP115" s="1038"/>
      <c r="AQ115" s="263"/>
      <c r="AR115" s="263"/>
    </row>
    <row s="1191" customFormat="1" customHeight="1" ht="18" hidden="1">
      <c r="A116" s="1541"/>
      <c r="B116" s="431"/>
      <c r="C116" s="874"/>
      <c r="D116" s="874"/>
      <c r="E116" s="875">
        <v>18.75</v>
      </c>
      <c r="F116" s="50" cm="1" t="str">
        <f t="array" ref="F116:F116">OFFSET(E116,-1,1)</f>
        <v>3</v>
      </c>
      <c r="G116" s="846"/>
      <c r="H116" s="846" t="s">
        <v>347</v>
      </c>
      <c r="I116" s="846" cm="1" t="str">
        <f t="array" ref="I116:I116">AC116</f>
        <v>0</v>
      </c>
      <c r="J116" s="874"/>
      <c r="K116" s="486"/>
      <c r="L116" s="486"/>
      <c r="M116" s="874"/>
      <c r="N116" s="874"/>
      <c r="O116" s="874"/>
      <c r="P116" s="874"/>
      <c r="Q116" s="874"/>
      <c r="R116" s="874"/>
      <c r="S116" s="874"/>
      <c r="T116" s="468">
        <f>AND(F116&gt;0,Y116&gt;0)</f>
        <v>0</v>
      </c>
      <c r="U116" s="874"/>
      <c r="V116" s="874"/>
      <c r="W116" s="874" t="s">
        <v>173</v>
      </c>
      <c r="X116" s="1597"/>
      <c r="Y116" s="1597">
        <v>0</v>
      </c>
      <c r="Z116" s="1598"/>
      <c r="AA116" s="1594" t="s">
        <v>174</v>
      </c>
      <c r="AB116" s="296" t="str">
        <f>"5."&amp;Y116</f>
        <v>5.0</v>
      </c>
      <c r="AC116" s="4148"/>
      <c r="AD116" s="773" t="s">
        <v>936</v>
      </c>
      <c r="AE116" s="4149"/>
      <c r="AF116" s="4149"/>
      <c r="AG116" s="4149"/>
      <c r="AH116" s="4149"/>
      <c r="AI116" s="3132">
        <f>AI117*AI118*12/1000</f>
        <v>0</v>
      </c>
      <c r="AJ116" s="3132">
        <f>AJ117*AJ118*12/1000</f>
        <v>0</v>
      </c>
      <c r="AK116" s="1823"/>
      <c r="AL116" s="1541"/>
      <c r="AM116" s="1541"/>
      <c r="AN116" s="1038" t="s">
        <v>1353</v>
      </c>
      <c r="AO116" s="1038" t="s">
        <v>1376</v>
      </c>
      <c r="AP116" s="1038" cm="1" t="str">
        <f t="array" ref="AP116:AP116">AC116</f>
        <v>0</v>
      </c>
      <c r="AQ116" s="263"/>
      <c r="AR116" s="263" t="b">
        <v>1</v>
      </c>
    </row>
    <row s="1191" customFormat="1" customHeight="1" ht="14.25" hidden="1">
      <c r="A117" s="1541"/>
      <c r="B117" s="431"/>
      <c r="C117" s="874"/>
      <c r="D117" s="874"/>
      <c r="E117" s="875">
        <v>15</v>
      </c>
      <c r="F117" s="50" cm="1" t="str">
        <f t="array" ref="F117:F117">OFFSET(E117,-1,1)</f>
        <v>3</v>
      </c>
      <c r="G117" s="846"/>
      <c r="H117" s="846" t="str">
        <f>H116&amp;"_1"</f>
        <v>l5_1</v>
      </c>
      <c r="I117" s="846" cm="1" t="str">
        <f t="array" ref="I117:I117">I116</f>
        <v>0</v>
      </c>
      <c r="J117" s="874"/>
      <c r="K117" s="486"/>
      <c r="L117" s="486"/>
      <c r="M117" s="874"/>
      <c r="N117" s="874"/>
      <c r="O117" s="874"/>
      <c r="P117" s="874"/>
      <c r="Q117" s="874"/>
      <c r="R117" s="874"/>
      <c r="S117" s="874"/>
      <c r="T117" s="468" cm="1" t="str">
        <f t="array" ref="T117:T117">T116</f>
        <v>false</v>
      </c>
      <c r="U117" s="874"/>
      <c r="V117" s="874"/>
      <c r="W117" s="874"/>
      <c r="X117" s="1597"/>
      <c r="Y117" s="1597"/>
      <c r="Z117" s="1598"/>
      <c r="AA117" s="1594"/>
      <c r="AB117" s="696" t="str">
        <f>AB116&amp;".1"</f>
        <v>5.0.1</v>
      </c>
      <c r="AC117" s="772" t="s">
        <v>1356</v>
      </c>
      <c r="AD117" s="773" t="s">
        <v>1357</v>
      </c>
      <c r="AE117" s="4149"/>
      <c r="AF117" s="4149"/>
      <c r="AG117" s="4149"/>
      <c r="AH117" s="4149"/>
      <c r="AI117" s="4146"/>
      <c r="AJ117" s="4146"/>
      <c r="AK117" s="1823"/>
      <c r="AL117" s="1541"/>
      <c r="AM117" s="1541"/>
      <c r="AN117" s="1038" t="s">
        <v>1358</v>
      </c>
      <c r="AO117" s="1038" t="s">
        <v>1376</v>
      </c>
      <c r="AP117" s="1038" cm="1" t="str">
        <f t="array" ref="AP117:AP117">AP116</f>
        <v>0</v>
      </c>
      <c r="AQ117" s="263"/>
      <c r="AR117" s="263"/>
    </row>
    <row s="1191" customFormat="1" customHeight="1" ht="14.25" hidden="1">
      <c r="A118" s="1541"/>
      <c r="B118" s="431"/>
      <c r="C118" s="874"/>
      <c r="D118" s="874"/>
      <c r="E118" s="875">
        <v>15</v>
      </c>
      <c r="F118" s="50" cm="1" t="str">
        <f t="array" ref="F118:F118">OFFSET(E118,-1,1)</f>
        <v>3</v>
      </c>
      <c r="G118" s="846"/>
      <c r="H118" s="846" t="str">
        <f>H116&amp;"_2"</f>
        <v>l5_2</v>
      </c>
      <c r="I118" s="846" cm="1" t="str">
        <f t="array" ref="I118:I118">I117</f>
        <v>0</v>
      </c>
      <c r="J118" s="874"/>
      <c r="K118" s="486"/>
      <c r="L118" s="486"/>
      <c r="M118" s="874"/>
      <c r="N118" s="874"/>
      <c r="O118" s="874"/>
      <c r="P118" s="874"/>
      <c r="Q118" s="874"/>
      <c r="R118" s="874"/>
      <c r="S118" s="874"/>
      <c r="T118" s="468" cm="1" t="str">
        <f t="array" ref="T118:T118">T117</f>
        <v>false</v>
      </c>
      <c r="U118" s="874"/>
      <c r="V118" s="874"/>
      <c r="W118" s="874"/>
      <c r="X118" s="1597"/>
      <c r="Y118" s="1597"/>
      <c r="Z118" s="1598"/>
      <c r="AA118" s="1594"/>
      <c r="AB118" s="696" t="str">
        <f>AB116&amp;".2"</f>
        <v>5.0.2</v>
      </c>
      <c r="AC118" s="772" t="s">
        <v>1359</v>
      </c>
      <c r="AD118" s="773" t="s">
        <v>1360</v>
      </c>
      <c r="AE118" s="4149"/>
      <c r="AF118" s="4149"/>
      <c r="AG118" s="4149"/>
      <c r="AH118" s="4149"/>
      <c r="AI118" s="4146"/>
      <c r="AJ118" s="4146"/>
      <c r="AK118" s="1823"/>
      <c r="AL118" s="1541"/>
      <c r="AM118" s="1541"/>
      <c r="AN118" s="1038" t="s">
        <v>1361</v>
      </c>
      <c r="AO118" s="1038" t="s">
        <v>1376</v>
      </c>
      <c r="AP118" s="1038" cm="1" t="str">
        <f t="array" ref="AP118:AP118">AP117</f>
        <v>0</v>
      </c>
      <c r="AQ118" s="263"/>
      <c r="AR118" s="263"/>
    </row>
    <row s="1191" customFormat="1" customHeight="1" ht="14.25">
      <c r="A119" s="1541"/>
      <c r="B119" s="431"/>
      <c r="C119" s="874"/>
      <c r="D119" s="874"/>
      <c r="E119" s="875">
        <v>15</v>
      </c>
      <c r="F119" s="50" cm="1" t="str">
        <f t="array" ref="F119:F119">OFFSET(E119,-1,1)</f>
        <v>3</v>
      </c>
      <c r="G119" s="370"/>
      <c r="H119" s="846"/>
      <c r="I119" s="148" t="str">
        <f>"!=='не определено' &amp;&amp; row.l5 !== null"</f>
        <v>!=='не определено' &amp;&amp; row.l5 !== null</v>
      </c>
      <c r="J119" s="874"/>
      <c r="K119" s="486"/>
      <c r="L119" s="486"/>
      <c r="M119" s="874"/>
      <c r="N119" s="874"/>
      <c r="O119" s="874"/>
      <c r="P119" s="874"/>
      <c r="Q119" s="874"/>
      <c r="R119" s="874"/>
      <c r="S119" s="874"/>
      <c r="T119" s="468">
        <f>F119&gt;0</f>
        <v>1</v>
      </c>
      <c r="U119" s="874"/>
      <c r="V119" s="874"/>
      <c r="W119" s="764" t="s">
        <v>1377</v>
      </c>
      <c r="X119" s="1597"/>
      <c r="Y119" s="880"/>
      <c r="Z119" s="1598"/>
      <c r="AA119" s="874"/>
      <c r="AB119" s="881"/>
      <c r="AC119" s="256" t="s">
        <v>177</v>
      </c>
      <c r="AD119" s="783"/>
      <c r="AE119" s="783"/>
      <c r="AF119" s="783"/>
      <c r="AG119" s="783"/>
      <c r="AH119" s="783"/>
      <c r="AI119" s="783"/>
      <c r="AJ119" s="783"/>
      <c r="AK119" s="784"/>
      <c r="AL119" s="1541"/>
      <c r="AM119" s="1541"/>
      <c r="AN119" s="1038"/>
      <c r="AO119" s="1038"/>
      <c r="AP119" s="1038"/>
      <c r="AQ119" s="263" t="s">
        <v>1376</v>
      </c>
      <c r="AR119" s="263"/>
    </row>
    <row s="1191" customFormat="1" customHeight="1" ht="21.75">
      <c r="A120" s="1541"/>
      <c r="B120" s="431"/>
      <c r="C120" s="874"/>
      <c r="D120" s="874"/>
      <c r="E120" s="875">
        <v>22.5</v>
      </c>
      <c r="F120" s="50" cm="1" t="str">
        <f t="array" ref="F120:F120">OFFSET(E120,-1,1)</f>
        <v>3</v>
      </c>
      <c r="G120" s="370" t="s">
        <v>1378</v>
      </c>
      <c r="H120" s="846" t="s">
        <v>616</v>
      </c>
      <c r="I120" s="846"/>
      <c r="J120" s="874"/>
      <c r="K120" s="486" t="str">
        <f>F120&amp;"6komm"</f>
        <v>36komm</v>
      </c>
      <c r="L120" s="486" cm="1" t="str">
        <f t="array" ref="L120:L120">AK120</f>
        <v>0</v>
      </c>
      <c r="M120" s="874"/>
      <c r="N120" s="874"/>
      <c r="O120" s="874"/>
      <c r="P120" s="874"/>
      <c r="Q120" s="874"/>
      <c r="R120" s="874"/>
      <c r="S120" s="874"/>
      <c r="T120" s="468" cm="1" t="str">
        <f t="array" ref="T120:T120">T119</f>
        <v>true</v>
      </c>
      <c r="U120" s="874"/>
      <c r="V120" s="874"/>
      <c r="W120" s="874"/>
      <c r="X120" s="1597"/>
      <c r="Y120" s="880"/>
      <c r="Z120" s="1598"/>
      <c r="AA120" s="874"/>
      <c r="AB120" s="696" t="s">
        <v>457</v>
      </c>
      <c r="AC120" s="854" t="s">
        <v>1379</v>
      </c>
      <c r="AD120" s="773" t="s">
        <v>936</v>
      </c>
      <c r="AE120" s="294">
        <f>AE115*_xlfn.SUMIFS(INDEX(Сценарии!$AE$25:$BF$136,,MATCH(AE$13,Сценарии!$AE$8:$BF$8,0)),Сценарии!$F$25:$F$136,$F120,Сценарии!$G$25:$G$136,"СВФОТ")/100</f>
        <v>0</v>
      </c>
      <c r="AF120" s="294">
        <f>AF115*_xlfn.SUMIFS(INDEX(Сценарии!$AE$25:$BF$136,,MATCH(AF$13,Сценарии!$AE$8:$BF$8,0)),Сценарии!$F$25:$F$136,$F120,Сценарии!$G$25:$G$136,"СВФОТ")/100</f>
        <v>0</v>
      </c>
      <c r="AG120" s="294">
        <f>AG115*_xlfn.SUMIFS(INDEX(Сценарии!$AE$25:$BF$136,,MATCH(AG$13,Сценарии!$AE$8:$BF$8,0)),Сценарии!$F$25:$F$136,$F120,Сценарии!$G$25:$G$136,"СВФОТ")/100</f>
        <v>0</v>
      </c>
      <c r="AH120" s="294">
        <f>AH115*_xlfn.SUMIFS(INDEX(Сценарии!$AE$25:$BF$136,,MATCH(AH$13,Сценарии!$AE$8:$BF$8,0)),Сценарии!$F$25:$F$136,$F120,Сценарии!$G$25:$G$136,"СВФОТ")/100</f>
        <v>0</v>
      </c>
      <c r="AI120" s="294">
        <f>AI115*_xlfn.SUMIFS(INDEX(Сценарии!$AE$25:$BF$136,,MATCH(AI$13,Сценарии!$AE$8:$BF$8,0)),Сценарии!$F$25:$F$136,$F120,Сценарии!$G$25:$G$136,"СВФОТ")/100</f>
        <v>0</v>
      </c>
      <c r="AJ120" s="294">
        <f>AJ115*_xlfn.SUMIFS(INDEX(Сценарии!$AE$25:$BF$136,,MATCH(AJ$13,Сценарии!$AE$8:$BF$8,0)),Сценарии!$F$25:$F$136,$F120,Сценарии!$G$25:$G$136,"СВФОТ")/100</f>
        <v>0</v>
      </c>
      <c r="AK120" s="925"/>
      <c r="AL120" s="1541"/>
      <c r="AM120" s="1541"/>
      <c r="AN120" s="1038" t="s">
        <v>1380</v>
      </c>
      <c r="AO120" s="1038"/>
      <c r="AP120" s="1038"/>
      <c r="AQ120" s="263"/>
      <c r="AR120" s="263"/>
    </row>
    <row s="1191" customFormat="1" customHeight="1" ht="14.25">
      <c r="A121" s="1541"/>
      <c r="B121" s="431"/>
      <c r="C121" s="874"/>
      <c r="D121" s="874"/>
      <c r="E121" s="875">
        <v>15</v>
      </c>
      <c r="F121" s="50" cm="1" t="str">
        <f t="array" ref="F121:F121">OFFSET(E121,-1,1)</f>
        <v>3</v>
      </c>
      <c r="G121" s="370" t="s">
        <v>1381</v>
      </c>
      <c r="H121" s="846" t="s">
        <v>619</v>
      </c>
      <c r="I121" s="846"/>
      <c r="J121" s="874"/>
      <c r="K121" s="486" t="str">
        <f>F121&amp;"7komm"</f>
        <v>37komm</v>
      </c>
      <c r="L121" s="486" cm="1" t="str">
        <f t="array" ref="L121:L121">AK121</f>
        <v>0</v>
      </c>
      <c r="M121" s="874"/>
      <c r="N121" s="874"/>
      <c r="O121" s="874"/>
      <c r="P121" s="874"/>
      <c r="Q121" s="874"/>
      <c r="R121" s="874"/>
      <c r="S121" s="874"/>
      <c r="T121" s="468" cm="1" t="str">
        <f t="array" ref="T121:T121">T120</f>
        <v>true</v>
      </c>
      <c r="U121" s="874"/>
      <c r="V121" s="874"/>
      <c r="W121" s="874"/>
      <c r="X121" s="1597"/>
      <c r="Y121" s="880"/>
      <c r="Z121" s="1598"/>
      <c r="AA121" s="874"/>
      <c r="AB121" s="696" t="s">
        <v>460</v>
      </c>
      <c r="AC121" s="854" t="s">
        <v>1382</v>
      </c>
      <c r="AD121" s="773" t="s">
        <v>936</v>
      </c>
      <c r="AE121" s="294"/>
      <c r="AF121" s="294"/>
      <c r="AG121" s="294"/>
      <c r="AH121" s="294"/>
      <c r="AI121" s="209">
        <f>_xlfn.SUMIFS(AI122:AI125,$AD122:$AD125,$AD121)</f>
        <v>0</v>
      </c>
      <c r="AJ121" s="209">
        <f>_xlfn.SUMIFS(AJ122:AJ125,$AD122:$AD125,$AD121)</f>
        <v>0</v>
      </c>
      <c r="AK121" s="925"/>
      <c r="AL121" s="1541"/>
      <c r="AM121" s="1541"/>
      <c r="AN121" s="1038" t="s">
        <v>1383</v>
      </c>
      <c r="AO121" s="1038"/>
      <c r="AP121" s="1038"/>
      <c r="AQ121" s="263"/>
      <c r="AR121" s="263"/>
    </row>
    <row s="1191" customFormat="1" customHeight="1" ht="18" hidden="1">
      <c r="A122" s="1541"/>
      <c r="B122" s="1541"/>
      <c r="C122" s="882"/>
      <c r="D122" s="882"/>
      <c r="E122" s="883">
        <v>18.75</v>
      </c>
      <c r="F122" s="50" cm="1" t="str">
        <f t="array" ref="F122:F122">OFFSET(E122,-1,1)</f>
        <v>3</v>
      </c>
      <c r="G122" s="879"/>
      <c r="H122" s="846" t="s">
        <v>619</v>
      </c>
      <c r="I122" s="879" cm="1" t="str">
        <f t="array" ref="I122:I122">AC122</f>
        <v>0</v>
      </c>
      <c r="J122" s="882"/>
      <c r="K122" s="923"/>
      <c r="L122" s="923"/>
      <c r="M122" s="882"/>
      <c r="N122" s="882"/>
      <c r="O122" s="882"/>
      <c r="P122" s="882"/>
      <c r="Q122" s="882"/>
      <c r="R122" s="882"/>
      <c r="S122" s="882"/>
      <c r="T122" s="468">
        <f>AND(F122&gt;0,Y122&gt;0)</f>
        <v>0</v>
      </c>
      <c r="U122" s="882"/>
      <c r="V122" s="882"/>
      <c r="W122" s="874" t="s">
        <v>173</v>
      </c>
      <c r="X122" s="1597"/>
      <c r="Y122" s="1597">
        <v>0</v>
      </c>
      <c r="Z122" s="1598"/>
      <c r="AA122" s="1594" t="s">
        <v>174</v>
      </c>
      <c r="AB122" s="1241" t="str">
        <f>"7."&amp;Y122</f>
        <v>7.0</v>
      </c>
      <c r="AC122" s="4160"/>
      <c r="AD122" s="885" t="s">
        <v>936</v>
      </c>
      <c r="AE122" s="4162"/>
      <c r="AF122" s="4162"/>
      <c r="AG122" s="4162"/>
      <c r="AH122" s="4162"/>
      <c r="AI122" s="4163">
        <f>AI123*AI124*12/1000</f>
        <v>0</v>
      </c>
      <c r="AJ122" s="4163">
        <f>AJ123*AJ124*12/1000</f>
        <v>0</v>
      </c>
      <c r="AK122" s="4164"/>
      <c r="AL122" s="1541"/>
      <c r="AM122" s="1541"/>
      <c r="AN122" s="1038" t="s">
        <v>1353</v>
      </c>
      <c r="AO122" s="1054" t="s">
        <v>1384</v>
      </c>
      <c r="AP122" s="1038" cm="1" t="str">
        <f t="array" ref="AP122:AP122">AC122</f>
        <v>0</v>
      </c>
      <c r="AQ122" s="1055"/>
      <c r="AR122" s="263" t="b">
        <v>1</v>
      </c>
    </row>
    <row s="1191" customFormat="1" customHeight="1" ht="14.25" hidden="1">
      <c r="A123" s="1541"/>
      <c r="B123" s="1541"/>
      <c r="C123" s="882"/>
      <c r="D123" s="882"/>
      <c r="E123" s="883">
        <v>15</v>
      </c>
      <c r="F123" s="50" cm="1" t="str">
        <f t="array" ref="F123:F123">OFFSET(E123,-1,1)</f>
        <v>3</v>
      </c>
      <c r="G123" s="879"/>
      <c r="H123" s="879" t="str">
        <f>H122&amp;"_1"</f>
        <v>l7_1</v>
      </c>
      <c r="I123" s="879" cm="1" t="str">
        <f t="array" ref="I123:I123">I122</f>
        <v>0</v>
      </c>
      <c r="J123" s="882"/>
      <c r="K123" s="923"/>
      <c r="L123" s="923"/>
      <c r="M123" s="882"/>
      <c r="N123" s="882"/>
      <c r="O123" s="882"/>
      <c r="P123" s="882"/>
      <c r="Q123" s="882"/>
      <c r="R123" s="882"/>
      <c r="S123" s="882"/>
      <c r="T123" s="468" cm="1" t="str">
        <f t="array" ref="T123:T123">T122</f>
        <v>false</v>
      </c>
      <c r="U123" s="882"/>
      <c r="V123" s="882"/>
      <c r="W123" s="882"/>
      <c r="X123" s="1597"/>
      <c r="Y123" s="1597"/>
      <c r="Z123" s="1598"/>
      <c r="AA123" s="1594"/>
      <c r="AB123" s="889" t="str">
        <f>AB122&amp;".1"</f>
        <v>7.0.1</v>
      </c>
      <c r="AC123" s="890" t="s">
        <v>1356</v>
      </c>
      <c r="AD123" s="885" t="s">
        <v>1357</v>
      </c>
      <c r="AE123" s="4162"/>
      <c r="AF123" s="4162"/>
      <c r="AG123" s="4162"/>
      <c r="AH123" s="4162"/>
      <c r="AI123" s="4169"/>
      <c r="AJ123" s="4169"/>
      <c r="AK123" s="4164"/>
      <c r="AL123" s="1541"/>
      <c r="AM123" s="1541"/>
      <c r="AN123" s="1038" t="s">
        <v>1358</v>
      </c>
      <c r="AO123" s="1054" t="s">
        <v>1384</v>
      </c>
      <c r="AP123" s="1038" cm="1" t="str">
        <f t="array" ref="AP123:AP123">AP122</f>
        <v>0</v>
      </c>
      <c r="AQ123" s="1055"/>
      <c r="AR123" s="1055"/>
    </row>
    <row s="1191" customFormat="1" customHeight="1" ht="14.25" hidden="1">
      <c r="A124" s="1541"/>
      <c r="B124" s="1541"/>
      <c r="C124" s="882"/>
      <c r="D124" s="882"/>
      <c r="E124" s="883">
        <v>15</v>
      </c>
      <c r="F124" s="50" cm="1" t="str">
        <f t="array" ref="F124:F124">OFFSET(E124,-1,1)</f>
        <v>3</v>
      </c>
      <c r="G124" s="879"/>
      <c r="H124" s="879" t="str">
        <f>H122&amp;"_2"</f>
        <v>l7_2</v>
      </c>
      <c r="I124" s="879" cm="1" t="str">
        <f t="array" ref="I124:I124">I123</f>
        <v>0</v>
      </c>
      <c r="J124" s="882"/>
      <c r="K124" s="923"/>
      <c r="L124" s="923"/>
      <c r="M124" s="882"/>
      <c r="N124" s="882"/>
      <c r="O124" s="882"/>
      <c r="P124" s="882"/>
      <c r="Q124" s="882"/>
      <c r="R124" s="882"/>
      <c r="S124" s="882"/>
      <c r="T124" s="468" cm="1" t="str">
        <f t="array" ref="T124:T124">T123</f>
        <v>false</v>
      </c>
      <c r="U124" s="882"/>
      <c r="V124" s="882"/>
      <c r="W124" s="882"/>
      <c r="X124" s="1597"/>
      <c r="Y124" s="1597"/>
      <c r="Z124" s="1598"/>
      <c r="AA124" s="1594"/>
      <c r="AB124" s="889" t="str">
        <f>AB122&amp;".2"</f>
        <v>7.0.2</v>
      </c>
      <c r="AC124" s="890" t="s">
        <v>1359</v>
      </c>
      <c r="AD124" s="885" t="s">
        <v>1360</v>
      </c>
      <c r="AE124" s="4162"/>
      <c r="AF124" s="4162"/>
      <c r="AG124" s="4162"/>
      <c r="AH124" s="4162"/>
      <c r="AI124" s="4169"/>
      <c r="AJ124" s="4169"/>
      <c r="AK124" s="4164"/>
      <c r="AL124" s="1541"/>
      <c r="AM124" s="1541"/>
      <c r="AN124" s="1038" t="s">
        <v>1361</v>
      </c>
      <c r="AO124" s="1054" t="s">
        <v>1384</v>
      </c>
      <c r="AP124" s="1038" cm="1" t="str">
        <f t="array" ref="AP124:AP124">AP123</f>
        <v>0</v>
      </c>
      <c r="AQ124" s="1055"/>
      <c r="AR124" s="1055"/>
    </row>
    <row s="1191" customFormat="1" customHeight="1" ht="14.25">
      <c r="A125" s="1541"/>
      <c r="B125" s="431"/>
      <c r="C125" s="874"/>
      <c r="D125" s="874"/>
      <c r="E125" s="875">
        <v>15</v>
      </c>
      <c r="F125" s="50" cm="1" t="str">
        <f t="array" ref="F125:F125">OFFSET(E125,-1,1)</f>
        <v>3</v>
      </c>
      <c r="G125" s="370"/>
      <c r="H125" s="846"/>
      <c r="I125" s="148" t="str">
        <f>"!=='не определено' &amp;&amp; row.l7 !== null"</f>
        <v>!=='не определено' &amp;&amp; row.l7 !== null</v>
      </c>
      <c r="J125" s="874"/>
      <c r="K125" s="486"/>
      <c r="L125" s="486"/>
      <c r="M125" s="874"/>
      <c r="N125" s="874"/>
      <c r="O125" s="874"/>
      <c r="P125" s="874"/>
      <c r="Q125" s="874"/>
      <c r="R125" s="874"/>
      <c r="S125" s="874"/>
      <c r="T125" s="468">
        <f>F125&gt;0</f>
        <v>1</v>
      </c>
      <c r="U125" s="874"/>
      <c r="V125" s="874"/>
      <c r="W125" s="764" t="s">
        <v>1385</v>
      </c>
      <c r="X125" s="1597"/>
      <c r="Y125" s="874"/>
      <c r="Z125" s="1598"/>
      <c r="AA125" s="874"/>
      <c r="AB125" s="881"/>
      <c r="AC125" s="256" t="s">
        <v>177</v>
      </c>
      <c r="AD125" s="783"/>
      <c r="AE125" s="783"/>
      <c r="AF125" s="783"/>
      <c r="AG125" s="783"/>
      <c r="AH125" s="783"/>
      <c r="AI125" s="783"/>
      <c r="AJ125" s="783"/>
      <c r="AK125" s="784"/>
      <c r="AL125" s="1541"/>
      <c r="AM125" s="1541"/>
      <c r="AN125" s="1038"/>
      <c r="AO125" s="1038"/>
      <c r="AP125" s="1038"/>
      <c r="AQ125" s="1055" t="s">
        <v>1384</v>
      </c>
      <c r="AR125" s="263"/>
    </row>
    <row s="1191" customFormat="1" customHeight="1" ht="21.75">
      <c r="A126" s="1541"/>
      <c r="B126" s="431"/>
      <c r="C126" s="874"/>
      <c r="D126" s="874"/>
      <c r="E126" s="875">
        <v>22.5</v>
      </c>
      <c r="F126" s="50" cm="1" t="str">
        <f t="array" ref="F126:F126">OFFSET(E126,-1,1)</f>
        <v>3</v>
      </c>
      <c r="G126" s="370" t="s">
        <v>1386</v>
      </c>
      <c r="H126" s="846" t="s">
        <v>685</v>
      </c>
      <c r="I126" s="846"/>
      <c r="J126" s="874"/>
      <c r="K126" s="486" t="str">
        <f>F126&amp;"8komm"</f>
        <v>38komm</v>
      </c>
      <c r="L126" s="924" cm="1" t="str">
        <f t="array" ref="L126:L126">AK126</f>
        <v>0</v>
      </c>
      <c r="M126" s="874"/>
      <c r="N126" s="874"/>
      <c r="O126" s="874"/>
      <c r="P126" s="874"/>
      <c r="Q126" s="874"/>
      <c r="R126" s="874"/>
      <c r="S126" s="874"/>
      <c r="T126" s="468" cm="1" t="str">
        <f t="array" ref="T126:T126">T125</f>
        <v>true</v>
      </c>
      <c r="U126" s="874"/>
      <c r="V126" s="874"/>
      <c r="W126" s="874"/>
      <c r="X126" s="1597"/>
      <c r="Y126" s="874"/>
      <c r="Z126" s="1598"/>
      <c r="AA126" s="874"/>
      <c r="AB126" s="696" t="s">
        <v>463</v>
      </c>
      <c r="AC126" s="854" t="s">
        <v>1387</v>
      </c>
      <c r="AD126" s="773" t="s">
        <v>936</v>
      </c>
      <c r="AE126" s="294">
        <f>AE121*_xlfn.SUMIFS(INDEX(Сценарии!$AE$25:$BF$136,,MATCH(AE$13,Сценарии!$AE$8:$BF$8,0)),Сценарии!$F$25:$F$136,$F126,Сценарии!$G$25:$G$136,"СВФОТ")/100</f>
        <v>0</v>
      </c>
      <c r="AF126" s="294">
        <f>AF121*_xlfn.SUMIFS(INDEX(Сценарии!$AE$25:$BF$136,,MATCH(AF$13,Сценарии!$AE$8:$BF$8,0)),Сценарии!$F$25:$F$136,$F126,Сценарии!$G$25:$G$136,"СВФОТ")/100</f>
        <v>0</v>
      </c>
      <c r="AG126" s="294">
        <f>AG121*_xlfn.SUMIFS(INDEX(Сценарии!$AE$25:$BF$136,,MATCH(AG$13,Сценарии!$AE$8:$BF$8,0)),Сценарии!$F$25:$F$136,$F126,Сценарии!$G$25:$G$136,"СВФОТ")/100</f>
        <v>0</v>
      </c>
      <c r="AH126" s="294">
        <f>AH121*_xlfn.SUMIFS(INDEX(Сценарии!$AE$25:$BF$136,,MATCH(AH$13,Сценарии!$AE$8:$BF$8,0)),Сценарии!$F$25:$F$136,$F126,Сценарии!$G$25:$G$136,"СВФОТ")/100</f>
        <v>0</v>
      </c>
      <c r="AI126" s="294">
        <f>AI121*_xlfn.SUMIFS(INDEX(Сценарии!$AE$25:$BF$136,,MATCH(AI$13,Сценарии!$AE$8:$BF$8,0)),Сценарии!$F$25:$F$136,$F126,Сценарии!$G$25:$G$136,"СВФОТ")/100</f>
        <v>0</v>
      </c>
      <c r="AJ126" s="294">
        <f>AJ121*_xlfn.SUMIFS(INDEX(Сценарии!$AE$25:$BF$136,,MATCH(AJ$13,Сценарии!$AE$8:$BF$8,0)),Сценарии!$F$25:$F$136,$F126,Сценарии!$G$25:$G$136,"СВФОТ")/100</f>
        <v>0</v>
      </c>
      <c r="AK126" s="853"/>
      <c r="AL126" s="1541"/>
      <c r="AM126" s="1541"/>
      <c r="AN126" s="1038" t="s">
        <v>1388</v>
      </c>
      <c r="AO126" s="1038"/>
      <c r="AP126" s="1038"/>
      <c r="AQ126" s="263"/>
      <c r="AR126" s="263"/>
    </row>
    <row s="1656" customFormat="1" customHeight="1" ht="10.96875">
      <c r="A127" s="472"/>
      <c r="B127" s="664"/>
      <c r="C127" s="485"/>
      <c r="D127" s="485"/>
      <c r="E127" s="873">
        <v>11.25</v>
      </c>
      <c r="F127" s="485"/>
      <c r="G127" s="485"/>
      <c r="H127" s="485"/>
      <c r="I127" s="485"/>
      <c r="J127" s="485"/>
      <c r="K127" s="921"/>
      <c r="L127" s="921"/>
      <c r="M127" s="485"/>
      <c r="N127" s="485"/>
      <c r="O127" s="485"/>
      <c r="P127" s="485"/>
      <c r="Q127" s="485"/>
      <c r="R127" s="485"/>
      <c r="S127" s="485"/>
      <c r="T127" s="485"/>
      <c r="U127" s="485" t="s">
        <v>177</v>
      </c>
      <c r="V127" s="856" t="s">
        <v>1389</v>
      </c>
      <c r="W127" s="485"/>
      <c r="X127" s="485"/>
      <c r="Y127" s="485"/>
      <c r="Z127" s="485"/>
      <c r="AA127" s="485"/>
      <c r="AB127" s="485"/>
      <c r="AC127" s="485"/>
      <c r="AD127" s="485"/>
      <c r="AE127" s="485"/>
      <c r="AF127" s="485"/>
      <c r="AG127" s="0"/>
      <c r="AH127" s="0"/>
      <c r="AI127" s="0"/>
      <c r="AJ127" s="0"/>
      <c r="AK127" s="0"/>
      <c r="AN127" s="1027"/>
      <c r="AO127" s="1027"/>
      <c r="AP127" s="1027"/>
      <c r="AQ127" s="692"/>
      <c r="AR127" s="692"/>
    </row>
    <row customHeight="1" ht="14.625">
      <c r="C128" s="496"/>
      <c r="D128" s="496"/>
      <c r="E128" s="847">
        <v>15</v>
      </c>
      <c r="F128" s="496"/>
      <c r="G128" s="496"/>
      <c r="H128" s="496"/>
      <c r="I128" s="496"/>
      <c r="J128" s="496"/>
      <c r="M128" s="496"/>
      <c r="N128" s="496"/>
      <c r="O128" s="496"/>
      <c r="P128" s="496"/>
      <c r="Q128" s="496"/>
      <c r="R128" s="370"/>
      <c r="S128" s="496"/>
      <c r="T128" s="496"/>
      <c r="U128" s="496"/>
      <c r="V128" s="496"/>
      <c r="W128" s="496"/>
      <c r="X128" s="496"/>
      <c r="Y128" s="496"/>
      <c r="Z128" s="496"/>
      <c r="AA128" s="496"/>
      <c r="AB128" s="1553" t="s">
        <v>420</v>
      </c>
      <c r="AC128" s="1553"/>
      <c r="AD128" s="1553"/>
      <c r="AE128" s="1553"/>
      <c r="AF128" s="1553"/>
      <c r="AG128" s="1553"/>
      <c r="AH128" s="1553"/>
      <c r="AI128" s="1596"/>
      <c r="AJ128" s="1596"/>
      <c r="AK128" s="1596"/>
    </row>
    <row customHeight="1" ht="14.625">
      <c r="E129" s="637">
        <v>15</v>
      </c>
      <c r="AA129" s="667"/>
      <c r="AB129" s="1562"/>
      <c r="AC129" s="1562"/>
      <c r="AD129" s="1562"/>
      <c r="AE129" s="1562"/>
      <c r="AF129" s="1562"/>
      <c r="AG129" s="1562"/>
      <c r="AH129" s="1562"/>
      <c r="AI129" s="1563"/>
      <c r="AJ129" s="1563"/>
      <c r="AK129" s="1563"/>
    </row>
    <row customHeight="1" ht="14.625" hidden="1">
      <c r="A130" s="1328"/>
      <c r="B130" s="1186"/>
      <c r="C130" s="1328"/>
      <c r="D130" s="1328"/>
      <c r="E130" s="637">
        <v>15</v>
      </c>
      <c r="F130" s="1328"/>
      <c r="G130" s="1336"/>
      <c r="H130" s="1328"/>
      <c r="I130" s="1328"/>
      <c r="J130" s="1328"/>
      <c r="K130" s="1336"/>
      <c r="L130" s="1336"/>
      <c r="M130" s="1328"/>
      <c r="N130" s="1328"/>
      <c r="O130" s="1328"/>
      <c r="P130" s="1328"/>
      <c r="Q130" s="1328"/>
      <c r="R130" s="1346"/>
      <c r="S130" s="1328"/>
      <c r="T130" s="468">
        <f>ROW(W130)&gt;ROW(W$130)</f>
        <v>0</v>
      </c>
      <c r="U130" s="1328"/>
      <c r="V130" s="1328"/>
      <c r="W130" s="764" t="s">
        <v>173</v>
      </c>
      <c r="X130" s="1328"/>
      <c r="Y130" s="1328"/>
      <c r="Z130" s="1328"/>
      <c r="AA130" s="668" t="s">
        <v>174</v>
      </c>
      <c r="AB130" s="3117" t="s">
        <v>240</v>
      </c>
      <c r="AC130" s="3117"/>
      <c r="AD130" s="3117"/>
      <c r="AE130" s="3117"/>
      <c r="AF130" s="3117"/>
      <c r="AG130" s="3117"/>
      <c r="AH130" s="3117"/>
      <c r="AI130" s="1563"/>
      <c r="AJ130" s="1563"/>
      <c r="AK130" s="3116"/>
      <c r="AL130" s="1328"/>
      <c r="AM130" s="1328"/>
      <c r="AN130" s="1330"/>
      <c r="AO130" s="1330"/>
      <c r="AP130" s="1330"/>
      <c r="AQ130" s="1329"/>
      <c r="AR130" s="1329"/>
    </row>
    <row customHeight="1" ht="14.625">
      <c r="E131" s="637">
        <v>15</v>
      </c>
      <c r="W131" s="764" t="s">
        <v>421</v>
      </c>
      <c r="AB131" s="688"/>
      <c r="AC131" s="517" t="s">
        <v>422</v>
      </c>
      <c r="AD131" s="306"/>
      <c r="AE131" s="306"/>
      <c r="AF131" s="307"/>
      <c r="AG131" s="307"/>
      <c r="AH131" s="307"/>
      <c r="AI131" s="307"/>
      <c r="AJ131" s="307"/>
      <c r="AK131" s="308"/>
    </row>
    <row customHeight="1" ht="10.725000000000001">
      <c r="E132" s="637">
        <v>11</v>
      </c>
      <c r="AI132" s="1328"/>
      <c r="AJ132" s="1328"/>
      <c r="AL132" s="428"/>
    </row>
  </sheetData>
  <sheetProtection formatColumns="0" formatRows="0" insertRows="0" deleteColumns="0" deleteRows="0" sort="0" autoFilter="0" insertColumns="1"/>
  <mergeCells count="47">
    <mergeCell ref="X27:X51"/>
    <mergeCell ref="Z27:Z51"/>
    <mergeCell ref="AA29:AA31"/>
    <mergeCell ref="AA35:AA37"/>
    <mergeCell ref="AA41:AA43"/>
    <mergeCell ref="AA47:AA49"/>
    <mergeCell ref="Y29:Y31"/>
    <mergeCell ref="Y35:Y37"/>
    <mergeCell ref="Y41:Y43"/>
    <mergeCell ref="Y47:Y49"/>
    <mergeCell ref="AB24:AB25"/>
    <mergeCell ref="AC24:AC25"/>
    <mergeCell ref="AD24:AD25"/>
    <mergeCell ref="AK24:AK25"/>
    <mergeCell ref="AB130:AK130"/>
    <mergeCell ref="AB128:AK128"/>
    <mergeCell ref="AB129:AK129"/>
    <mergeCell ref="X52:X76"/>
    <mergeCell ref="Z52:Z76"/>
    <mergeCell ref="AA54:AA56"/>
    <mergeCell ref="AA60:AA62"/>
    <mergeCell ref="AA66:AA68"/>
    <mergeCell ref="AA72:AA74"/>
    <mergeCell ref="Y54:Y56"/>
    <mergeCell ref="Y60:Y62"/>
    <mergeCell ref="Y66:Y68"/>
    <mergeCell ref="Y72:Y74"/>
    <mergeCell ref="X77:X101"/>
    <mergeCell ref="Z77:Z101"/>
    <mergeCell ref="AA79:AA81"/>
    <mergeCell ref="AA85:AA87"/>
    <mergeCell ref="AA91:AA93"/>
    <mergeCell ref="AA97:AA99"/>
    <mergeCell ref="Y79:Y81"/>
    <mergeCell ref="Y85:Y87"/>
    <mergeCell ref="Y91:Y93"/>
    <mergeCell ref="Y97:Y99"/>
    <mergeCell ref="X102:X126"/>
    <mergeCell ref="Z102:Z126"/>
    <mergeCell ref="AA104:AA106"/>
    <mergeCell ref="AA110:AA112"/>
    <mergeCell ref="AA116:AA118"/>
    <mergeCell ref="AA122:AA124"/>
    <mergeCell ref="Y104:Y106"/>
    <mergeCell ref="Y110:Y112"/>
    <mergeCell ref="Y116:Y118"/>
    <mergeCell ref="Y122:Y124"/>
  </mergeCells>
  <dataValidations count="1">
    <dataValidation type="decimal" allowBlank="1" showErrorMessage="1" errorTitle="Ошибка" error="Допускается ввод только неотрицательных чисел!" sqref="AJ51 AJ54:AJ56 AJ58 AJ60:AJ62 AJ64 AJ66:AJ68 AJ70 AJ72:AJ74 AJ76 AJ79:AJ81 AJ83 AJ85:AJ87 AJ89 AJ91:AJ93 AJ95 AJ97:AJ99 AJ101 AJ104:AJ106 AJ108 AJ110:AJ112 AJ114 AJ116:AJ118 AJ120 AJ122:AJ124 AJ126 AI51 AI54:AI56 AI58 AI60:AI62 AI64 AI66:AI68 AI70 AI72:AI74 AI76 AI79:AI81 AI83 AI85:AI87 AI89 AI91:AI93 AI95 AI97:AI99 AI101 AI104:AI106 AI108 AI110:AI112 AI114 AI116:AI118 AI120 AI122:AI124 AI126 AH51 AH53 AH58:AH59 AH64:AH65 AH70:AH71 AH76 AH78 AH83:AH84 AH89:AH90 AH95:AH96 AH101 AH103 AH108:AH109 AH114:AH115 AH120:AH121 AH126 AG51 AG53 AG58:AG59 AG64:AG65 AG70:AG71 AG76 AG78 AG83:AG84 AG89:AG90 AG95:AG96 AG101 AG103 AG108:AG109 AG114:AG115 AG120:AG121 AG126 AF51 AF53 AF58:AF59 AF64:AF65 AF70:AF71 AF76 AF78 AF83:AF84 AF89:AF90 AF95:AF96 AF101 AF103 AF108:AF109 AF114:AF115 AF120:AF121 AF126 AE51 AE53 AE58:AE59 AE64:AE65 AE70:AE71 AE76 AE78 AE83:AE84 AE89:AE90 AE95:AE96 AE101 AE103 AE108:AE109 AE114:AE115 AE120:AE121 AE126 AI47:AJ49 AE46:AH46 AE45:AJ45 AI41:AJ43 AE40:AH40 AE39:AJ39 AI35:AJ37 AE34:AH34 AE33:AJ33 AI29:AJ31 AE28:AH28">
      <formula1>0</formula1>
      <formula2>9.99999999999999E+23</formula2>
    </dataValidation>
  </dataValidations>
  <printOptions horizontalCentered="1"/>
  <pageMargins left="0.35" right="0.35" top="0.40" bottom="0.40" header="0.08" footer="0.08"/>
  <pageSetup paperSize="9" scale="73" firstPageNumber="11" fitToHeight="0" pageOrder="downThenOver" orientation="landscape" useFirstPageNumber="1"/>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B132FE7-DC48-C318-3D34-7FFC0F04CBF7}" mc:Ignorable="x14ac xr xr2 xr3">
  <sheetPr>
    <tabColor rgb="FF002060"/>
    <outlinePr summaryBelow="0"/>
    <pageSetUpPr fitToPage="1"/>
  </sheetPr>
  <dimension ref="A1:AN108"/>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1.25"/>
  <cols>
    <col min="1" max="1" style="1328" width="3.57421875" hidden="1" customWidth="1"/>
    <col min="2" max="2" style="1186" width="8.57421875" hidden="1" customWidth="1"/>
    <col min="3" max="4" style="1328" width="3.57421875" hidden="1" customWidth="1"/>
    <col min="5" max="5" style="1329" width="3.57421875" hidden="1" customWidth="1"/>
    <col min="6" max="7" style="1328" width="3.57421875" hidden="1" customWidth="1"/>
    <col min="8" max="8" style="1328" width="2.28125" hidden="1" customWidth="1"/>
    <col min="9" max="10" style="1328" width="3.57421875" hidden="1" customWidth="1"/>
    <col min="11" max="11" style="1328" width="6.140625" hidden="1" customWidth="1"/>
    <col min="12" max="12" style="1328" width="8.57421875" hidden="1" customWidth="1"/>
    <col min="13" max="17" style="1328" width="3.57421875" hidden="1" customWidth="1"/>
    <col min="18" max="18" style="1346" width="3.57421875" hidden="1" customWidth="1"/>
    <col min="19" max="19" style="1328" width="3.57421875" hidden="1" customWidth="1"/>
    <col min="20" max="20" style="1328" width="9.57421875" hidden="1" customWidth="1"/>
    <col min="21" max="21" style="1328" width="5.8515625" hidden="1" customWidth="1"/>
    <col min="22" max="23" style="1328" width="6.140625" hidden="1" customWidth="1"/>
    <col min="24" max="25" style="1328" width="5.57421875" hidden="1" customWidth="1"/>
    <col min="26" max="26" style="1328" width="5.28125" hidden="1" customWidth="1"/>
    <col min="27" max="27" style="1328" width="3.00390625" customWidth="1"/>
    <col min="28" max="28" style="1328" width="11.00390625" customWidth="1"/>
    <col min="29" max="29" style="1328" width="55.00390625" customWidth="1"/>
    <col min="30" max="30" style="1328" width="12.00390625" customWidth="1"/>
    <col min="31" max="36" style="1328" width="13.00390625" customWidth="1"/>
    <col min="37" max="37" style="1328" width="20.00390625" customWidth="1"/>
    <col min="38" max="38" style="1328" width="3.00390625" customWidth="1"/>
    <col min="39" max="39" style="1328" width="9.140625" hidden="1"/>
    <col min="40" max="40" style="1330" width="9.140625" hidden="1"/>
  </cols>
  <sheetData>
    <row customHeight="1" ht="11.25" hidden="1">
      <c r="E1" s="94"/>
      <c r="F1" s="94" t="s">
        <v>333</v>
      </c>
      <c r="H1" s="94" t="s">
        <v>343</v>
      </c>
      <c r="T1" s="468" t="s">
        <v>93</v>
      </c>
      <c r="U1" s="468" t="s">
        <v>98</v>
      </c>
      <c r="V1" s="468" t="s">
        <v>94</v>
      </c>
      <c r="W1" s="468" t="s">
        <v>95</v>
      </c>
      <c r="X1" s="468" t="s">
        <v>96</v>
      </c>
      <c r="Y1" s="470" t="s">
        <v>335</v>
      </c>
      <c r="Z1" s="468" t="s">
        <v>100</v>
      </c>
      <c r="AA1" s="469" t="s">
        <v>97</v>
      </c>
      <c r="AB1" s="81"/>
      <c r="AC1" s="469" t="s">
        <v>99</v>
      </c>
      <c r="AI1" s="1328"/>
      <c r="AJ1" s="1328"/>
      <c r="AN1" s="1023" t="s">
        <v>336</v>
      </c>
    </row>
    <row s="1186" customFormat="1" customHeight="1" ht="11.25" hidden="1">
      <c r="B2" s="447" t="s">
        <v>19</v>
      </c>
      <c r="AF2" s="1186" cm="1" t="str">
        <f t="array" ref="AF2:AF2">isOrgDeclare</f>
        <v>true</v>
      </c>
      <c r="AI2" s="448">
        <f>AND(AI6&lt;=last_year_vis,isOrgDeclare)</f>
        <v>1</v>
      </c>
      <c r="AJ2" s="448">
        <f>AJ6&lt;=last_year_vis</f>
        <v>1</v>
      </c>
      <c r="AN2" s="1024"/>
    </row>
    <row customHeight="1" ht="11.25" hidden="1">
      <c r="E3" s="94"/>
      <c r="AI3" s="1328"/>
      <c r="AJ3" s="1328"/>
    </row>
    <row customHeight="1" ht="11.25" hidden="1">
      <c r="E4" s="94"/>
      <c r="AI4" s="1328"/>
      <c r="AJ4" s="1328"/>
    </row>
    <row s="1329" customFormat="1" customHeight="1" ht="11.25" hidden="1">
      <c r="A5" s="94"/>
      <c r="B5" s="429"/>
      <c r="C5" s="94"/>
      <c r="D5" s="94"/>
      <c r="E5" s="637" t="s">
        <v>20</v>
      </c>
      <c r="R5" s="622"/>
      <c r="AA5" s="637">
        <v>3</v>
      </c>
      <c r="AB5" s="637">
        <v>11</v>
      </c>
      <c r="AC5" s="637">
        <v>55</v>
      </c>
      <c r="AD5" s="637">
        <v>12</v>
      </c>
      <c r="AE5" s="637">
        <v>13</v>
      </c>
      <c r="AF5" s="637">
        <v>13</v>
      </c>
      <c r="AG5" s="637">
        <v>13</v>
      </c>
      <c r="AH5" s="637">
        <v>13</v>
      </c>
      <c r="AI5" s="637">
        <v>13</v>
      </c>
      <c r="AJ5" s="637">
        <v>13</v>
      </c>
      <c r="AK5" s="637">
        <v>20</v>
      </c>
      <c r="AL5" s="637">
        <v>3</v>
      </c>
      <c r="AN5" s="1023"/>
    </row>
    <row customHeight="1" ht="11.25" hidden="1">
      <c r="A6" s="94" t="s">
        <v>371</v>
      </c>
      <c r="AE6" s="94">
        <f>god-2</f>
        <v>2024</v>
      </c>
      <c r="AF6" s="94">
        <f>god-2</f>
        <v>2024</v>
      </c>
      <c r="AG6" s="94">
        <f>god-2</f>
        <v>2024</v>
      </c>
      <c r="AH6" s="94">
        <f>god-1</f>
        <v>2025</v>
      </c>
      <c r="AI6" s="94" cm="1" t="str">
        <f t="array" ref="AI6:AI6">god</f>
        <v>2026</v>
      </c>
      <c r="AJ6" s="94" cm="1" t="str">
        <f t="array" ref="AJ6:AJ6">god</f>
        <v>2026</v>
      </c>
    </row>
    <row customHeight="1" ht="11.25" hidden="1">
      <c r="A7" s="94" t="s">
        <v>372</v>
      </c>
      <c r="AE7" s="94" cm="1" t="str">
        <f t="array" ref="AE7:AE7">AE25</f>
        <v>Принято органом регулирования</v>
      </c>
      <c r="AF7" s="94" cm="1" t="str">
        <f t="array" ref="AF7:AF7">AF25</f>
        <v>Факт по данным организации</v>
      </c>
      <c r="AG7" s="94" cm="1" t="str">
        <f t="array" ref="AG7:AG7">AG25</f>
        <v>Факт, принятый органом регулирования</v>
      </c>
      <c r="AH7" s="94" cm="1" t="str">
        <f t="array" ref="AH7:AH7">AH25</f>
        <v>Принято органом регулирования</v>
      </c>
      <c r="AI7" s="94" cm="1" t="str">
        <f t="array" ref="AI7:AI7">AI25</f>
        <v>Предложение организации</v>
      </c>
      <c r="AJ7" s="94" cm="1" t="str">
        <f t="array" ref="AJ7:AJ7">AJ25</f>
        <v>Принято органом регулирования</v>
      </c>
    </row>
    <row customHeight="1" ht="11.25" hidden="1">
      <c r="AI8" s="1328"/>
      <c r="AJ8" s="1328"/>
    </row>
    <row s="1330" customFormat="1" customHeight="1" ht="11.25" hidden="1">
      <c r="A9" s="1023" t="s">
        <v>376</v>
      </c>
      <c r="B9" s="1024"/>
      <c r="R9" s="1025"/>
      <c r="AE9" s="1023" cm="1" t="str">
        <f t="array" ref="AE9:AE9">AE6</f>
        <v>2024</v>
      </c>
      <c r="AF9" s="1023" cm="1" t="str">
        <f t="array" ref="AF9:AF9">AF6</f>
        <v>2024</v>
      </c>
      <c r="AG9" s="1023" cm="1" t="str">
        <f t="array" ref="AG9:AG9">AG6</f>
        <v>2024</v>
      </c>
      <c r="AH9" s="1023" cm="1" t="str">
        <f t="array" ref="AH9:AH9">AH6</f>
        <v>2025</v>
      </c>
      <c r="AI9" s="1023" cm="1" t="str">
        <f t="array" ref="AI9:AI9">AI6</f>
        <v>2026</v>
      </c>
      <c r="AJ9" s="1023" cm="1" t="str">
        <f t="array" ref="AJ9:AJ9">AJ6</f>
        <v>2026</v>
      </c>
    </row>
    <row s="1330" customFormat="1" customHeight="1" ht="11.25" hidden="1">
      <c r="A10" s="1023" t="s">
        <v>377</v>
      </c>
      <c r="B10" s="1024"/>
      <c r="R10" s="1025"/>
      <c r="AE10" s="1023" cm="1" t="str">
        <f t="array" ref="AE10:AE10">AE25</f>
        <v>Принято органом регулирования</v>
      </c>
      <c r="AF10" s="1023" cm="1" t="str">
        <f t="array" ref="AF10:AF10">AF25</f>
        <v>Факт по данным организации</v>
      </c>
      <c r="AG10" s="1023" cm="1" t="str">
        <f t="array" ref="AG10:AG10">AG25</f>
        <v>Факт, принятый органом регулирования</v>
      </c>
      <c r="AH10" s="1023" cm="1" t="str">
        <f t="array" ref="AH10:AH10">AH25</f>
        <v>Принято органом регулирования</v>
      </c>
      <c r="AI10" s="1023" cm="1" t="str">
        <f t="array" ref="AI10:AI10">AI25</f>
        <v>Предложение организации</v>
      </c>
      <c r="AJ10" s="1023" cm="1" t="str">
        <f t="array" ref="AJ10:AJ10">AJ25</f>
        <v>Принято органом регулирования</v>
      </c>
    </row>
    <row s="1330" customFormat="1" customHeight="1" ht="11.25" hidden="1">
      <c r="A11" s="1023" t="s">
        <v>378</v>
      </c>
      <c r="B11" s="1024"/>
      <c r="R11" s="1025"/>
      <c r="AI11" s="1330"/>
      <c r="AJ11" s="1330"/>
      <c r="AK11" s="1049" cm="1" t="str">
        <f t="array" ref="AK11:AK11">AK24</f>
        <v>Ссылка на правовую норму (основание для принятия показателя в расчет тарифа)</v>
      </c>
    </row>
    <row customHeight="1" ht="11.25" hidden="1">
      <c r="AI12" s="1328"/>
      <c r="AJ12" s="1328"/>
    </row>
    <row customHeight="1" ht="11.25" hidden="1">
      <c r="AI13" s="1328"/>
      <c r="AJ13" s="1328"/>
    </row>
    <row customHeight="1" ht="11.25" hidden="1">
      <c r="AI14" s="1328"/>
      <c r="AJ14" s="1328"/>
    </row>
    <row customHeight="1" ht="11.25" hidden="1">
      <c r="AI15" s="1328"/>
      <c r="AJ15" s="1328"/>
    </row>
    <row customHeight="1" ht="11.25" hidden="1">
      <c r="AI16" s="1328"/>
      <c r="AJ16" s="1328"/>
    </row>
    <row customHeight="1" ht="11.25" hidden="1">
      <c r="AI17" s="1328"/>
      <c r="AJ17" s="1328"/>
      <c r="AK17" s="148"/>
    </row>
    <row customHeight="1" ht="11.25" hidden="1">
      <c r="AI18" s="1328"/>
      <c r="AJ18" s="1328"/>
    </row>
    <row customHeight="1" ht="11.25" hidden="1">
      <c r="AI19" s="1328"/>
      <c r="AJ19" s="1328"/>
    </row>
    <row customHeight="1" ht="11.25" hidden="1">
      <c r="AI20" s="1328"/>
      <c r="AJ20" s="1328"/>
    </row>
    <row customHeight="1" ht="14.625">
      <c r="E21" s="637">
        <v>15</v>
      </c>
      <c r="AA21" s="427"/>
      <c r="AC21" s="50" cm="1" t="str">
        <f t="array" ref="AC21:AC21">tpl_title</f>
        <v>Кемеровская область / 2026 / ОАО «СКЭК» (ИНН:4205153492, КПП:420501001) / ДПР: 2024-2028</v>
      </c>
      <c r="AI21" s="1328"/>
      <c r="AJ21" s="1328"/>
    </row>
    <row s="1363" customFormat="1" customHeight="1" ht="19.74375">
      <c r="B22" s="429"/>
      <c r="E22" s="638">
        <v>20.25</v>
      </c>
      <c r="R22" s="50"/>
      <c r="AB22" s="316" t="s">
        <v>64</v>
      </c>
      <c r="AC22" s="346"/>
      <c r="AD22" s="346"/>
      <c r="AE22" s="346"/>
      <c r="AF22" s="346"/>
      <c r="AG22" s="346"/>
      <c r="AH22" s="346"/>
      <c r="AI22" s="346"/>
      <c r="AJ22" s="346"/>
      <c r="AK22" s="346"/>
      <c r="AN22" s="1026"/>
    </row>
    <row s="1363" customFormat="1" customHeight="1" ht="10.96875">
      <c r="B23" s="429"/>
      <c r="E23" s="638">
        <v>11.25</v>
      </c>
      <c r="R23" s="50"/>
      <c r="AB23" s="347"/>
      <c r="AC23" s="198"/>
      <c r="AD23" s="198"/>
      <c r="AE23" s="198"/>
      <c r="AF23" s="198"/>
      <c r="AG23" s="198"/>
      <c r="AH23" s="198"/>
      <c r="AI23" s="198"/>
      <c r="AJ23" s="198"/>
      <c r="AK23" s="198"/>
      <c r="AN23" s="1026"/>
    </row>
    <row s="1189" customFormat="1" customHeight="1" ht="14.625">
      <c r="B24" s="431"/>
      <c r="E24" s="635">
        <v>15</v>
      </c>
      <c r="R24" s="345"/>
      <c r="AB24" s="1553" t="s">
        <v>918</v>
      </c>
      <c r="AC24" s="1584" t="s">
        <v>194</v>
      </c>
      <c r="AD24" s="1553" t="s">
        <v>381</v>
      </c>
      <c r="AE24" s="87" t="str">
        <f>god-2&amp;" год"</f>
        <v>2024 год</v>
      </c>
      <c r="AF24" s="1129" t="str">
        <f>god-2&amp;" год"</f>
        <v>2024 год</v>
      </c>
      <c r="AG24" s="87" t="str">
        <f>god-2&amp;" год"</f>
        <v>2024 год</v>
      </c>
      <c r="AH24" s="87" t="str">
        <f>god-1&amp;" год"</f>
        <v>2025 год</v>
      </c>
      <c r="AI24" s="1127" t="str">
        <f>god&amp;" год"</f>
        <v>2026 год</v>
      </c>
      <c r="AJ24" s="88" t="str">
        <f>god&amp;" год"</f>
        <v>2026 год</v>
      </c>
      <c r="AK24" s="1564" t="s">
        <v>652</v>
      </c>
      <c r="AN24" s="1021"/>
    </row>
    <row s="1189" customFormat="1" customHeight="1" ht="44.118750000000006">
      <c r="B25" s="431"/>
      <c r="E25" s="635">
        <v>45.25</v>
      </c>
      <c r="R25" s="345"/>
      <c r="AB25" s="1591"/>
      <c r="AC25" s="1591"/>
      <c r="AD25" s="1591"/>
      <c r="AE25" s="87" t="s">
        <v>373</v>
      </c>
      <c r="AF25" s="1129" t="s">
        <v>555</v>
      </c>
      <c r="AG25" s="87" t="s">
        <v>556</v>
      </c>
      <c r="AH25" s="87" t="s">
        <v>373</v>
      </c>
      <c r="AI25" s="1131" t="s">
        <v>374</v>
      </c>
      <c r="AJ25" s="356" t="s">
        <v>373</v>
      </c>
      <c r="AK25" s="1591"/>
      <c r="AN25" s="1021"/>
    </row>
    <row customHeight="1" ht="15" hidden="1">
      <c r="C26" s="0"/>
      <c r="D26" s="0"/>
      <c r="E26" s="263">
        <v>0</v>
      </c>
      <c r="F26" s="81"/>
      <c r="G26" s="0"/>
      <c r="H26" s="0"/>
      <c r="I26" s="0"/>
      <c r="J26" s="0"/>
      <c r="K26" s="0"/>
      <c r="L26" s="0"/>
      <c r="M26" s="0"/>
      <c r="N26" s="0"/>
      <c r="O26" s="0"/>
      <c r="P26" s="0"/>
      <c r="Q26" s="0"/>
      <c r="R26" s="0"/>
      <c r="S26" s="0"/>
      <c r="T26" s="0"/>
      <c r="U26" s="0"/>
      <c r="V26" s="0"/>
      <c r="W26" s="0"/>
      <c r="X26" s="0"/>
      <c r="Y26" s="0"/>
      <c r="Z26" s="0"/>
      <c r="AA26" s="0"/>
      <c r="AB26" s="0"/>
      <c r="AC26" s="96"/>
      <c r="AD26" s="96"/>
      <c r="AE26" s="96"/>
      <c r="AF26" s="96"/>
      <c r="AG26" s="0"/>
      <c r="AH26" s="0"/>
      <c r="AI26" s="0"/>
      <c r="AJ26" s="0"/>
      <c r="AK26" s="0"/>
      <c r="AL26" s="0"/>
    </row>
    <row customHeight="1" ht="10.96875" hidden="1">
      <c r="A27" s="1328"/>
      <c r="B27" s="1186"/>
      <c r="C27" s="142"/>
      <c r="D27" s="142"/>
      <c r="E27" s="263">
        <v>11.25</v>
      </c>
      <c r="F27" s="94" cm="1" t="str">
        <f t="array" ref="F27:F27">X27</f>
        <v>0</v>
      </c>
      <c r="G27" s="142"/>
      <c r="H27" s="142"/>
      <c r="I27" s="142"/>
      <c r="J27" s="142"/>
      <c r="K27" s="142"/>
      <c r="L27" s="142"/>
      <c r="M27" s="142"/>
      <c r="N27" s="142"/>
      <c r="O27" s="142"/>
      <c r="P27" s="142"/>
      <c r="Q27" s="142"/>
      <c r="R27" s="142"/>
      <c r="S27" s="142"/>
      <c r="T27" s="468">
        <f>X27&gt;0</f>
        <v>0</v>
      </c>
      <c r="U27" s="142"/>
      <c r="V27" s="142" t="s">
        <v>279</v>
      </c>
      <c r="W27" s="142"/>
      <c r="X27" s="1519">
        <v>0</v>
      </c>
      <c r="Y27" s="142"/>
      <c r="Z27" s="1541"/>
      <c r="AA27" s="142"/>
      <c r="AB27" s="238" cm="1" t="str">
        <f t="array" ref="AB27:AB27">INDEX('Общие сведения'!$AG$197:$AG$254,MATCH($X27,'Общие сведения'!$Z$197:$Z$254,0))</f>
        <v>Тариф 0 () - </v>
      </c>
      <c r="AC27" s="176"/>
      <c r="AD27" s="176"/>
      <c r="AE27" s="302">
        <f>AE28+AE29+AE30+AE38+AE39+AE40+AE41+AE42</f>
        <v>0</v>
      </c>
      <c r="AF27" s="302">
        <f>AF28+AF29+AF30+AF38+AF39+AF40+AF41+AF42</f>
        <v>0</v>
      </c>
      <c r="AG27" s="302">
        <f>AG28+AG29+AG30+AG38+AG39+AG40+AG41+AG42</f>
        <v>0</v>
      </c>
      <c r="AH27" s="302">
        <f>AH28+AH29+AH30+AH38+AH39+AH40+AH41+AH42</f>
        <v>0</v>
      </c>
      <c r="AI27" s="302">
        <f>AI28+AI29+AI30+AI38+AI39+AI40+AI41+AI42</f>
        <v>0</v>
      </c>
      <c r="AJ27" s="302">
        <f>AJ28+AJ29+AJ30+AJ38+AJ39+AJ40+AJ41+AJ42</f>
        <v>0</v>
      </c>
      <c r="AK27" s="170"/>
      <c r="AL27" s="142"/>
      <c r="AM27" s="1328"/>
      <c r="AN27" s="1330"/>
    </row>
    <row customHeight="1" ht="21.9375" hidden="1">
      <c r="A28" s="1328"/>
      <c r="B28" s="1186"/>
      <c r="C28" s="142"/>
      <c r="D28" s="142"/>
      <c r="E28" s="263">
        <v>22.5</v>
      </c>
      <c r="F28" s="50" cm="1" t="str">
        <f t="array" ref="F28:F28">OFFSET(E28,-1,1)</f>
        <v>0</v>
      </c>
      <c r="G28" s="142"/>
      <c r="H28" s="122" t="s">
        <v>344</v>
      </c>
      <c r="I28" s="142"/>
      <c r="J28" s="142"/>
      <c r="K28" s="142"/>
      <c r="L28" s="142"/>
      <c r="M28" s="142"/>
      <c r="N28" s="142"/>
      <c r="O28" s="142"/>
      <c r="P28" s="142"/>
      <c r="Q28" s="142"/>
      <c r="R28" s="142"/>
      <c r="S28" s="142"/>
      <c r="T28" s="468" cm="1" t="str">
        <f t="array" ref="T28:T28">T27</f>
        <v>false</v>
      </c>
      <c r="U28" s="142"/>
      <c r="V28" s="142"/>
      <c r="W28" s="142"/>
      <c r="X28" s="1519"/>
      <c r="Y28" s="142"/>
      <c r="Z28" s="1541"/>
      <c r="AA28" s="142"/>
      <c r="AB28" s="348">
        <v>1</v>
      </c>
      <c r="AC28" s="337" t="s">
        <v>1374</v>
      </c>
      <c r="AD28" s="86" t="s">
        <v>936</v>
      </c>
      <c r="AE28" s="899">
        <f>_xlfn.SUMIFS(ФОТ!AE$25:AE$127,ФОТ!$F$25:$F$127,$F28,ФОТ!$AC$25:$AC$127,$AC28)</f>
        <v>0</v>
      </c>
      <c r="AF28" s="899">
        <f>_xlfn.SUMIFS(ФОТ!AF$25:AF$127,ФОТ!$F$25:$F$127,$F28,ФОТ!$AC$25:$AC$127,$AC28)</f>
        <v>0</v>
      </c>
      <c r="AG28" s="899">
        <f>_xlfn.SUMIFS(ФОТ!AG$25:AG$127,ФОТ!$F$25:$F$127,$F28,ФОТ!$AC$25:$AC$127,$AC28)</f>
        <v>0</v>
      </c>
      <c r="AH28" s="899">
        <f>_xlfn.SUMIFS(ФОТ!AH$25:AH$127,ФОТ!$F$25:$F$127,$F28,ФОТ!$AC$25:$AC$127,$AC28)</f>
        <v>0</v>
      </c>
      <c r="AI28" s="899">
        <f>_xlfn.SUMIFS(ФОТ!AI$25:AI$127,ФОТ!$F$25:$F$127,$F28,ФОТ!$AC$25:$AC$127,$AC28)</f>
        <v>0</v>
      </c>
      <c r="AJ28" s="899">
        <f>_xlfn.SUMIFS(ФОТ!AJ$25:AJ$127,ФОТ!$F$25:$F$127,$F28,ФОТ!$AC$25:$AC$127,$AC28)</f>
        <v>0</v>
      </c>
      <c r="AK28" s="1955"/>
      <c r="AL28" s="142"/>
      <c r="AM28" s="1328"/>
      <c r="AN28" s="1023" t="s">
        <v>1390</v>
      </c>
    </row>
    <row customHeight="1" ht="21.9375" hidden="1">
      <c r="A29" s="1328"/>
      <c r="B29" s="1186"/>
      <c r="C29" s="142"/>
      <c r="D29" s="142"/>
      <c r="E29" s="263">
        <v>22.5</v>
      </c>
      <c r="F29" s="50" cm="1" t="str">
        <f t="array" ref="F29:F29">OFFSET(E29,-1,1)</f>
        <v>0</v>
      </c>
      <c r="G29" s="142"/>
      <c r="H29" s="122" t="s">
        <v>345</v>
      </c>
      <c r="I29" s="142"/>
      <c r="J29" s="486"/>
      <c r="K29" s="486"/>
      <c r="L29" s="486"/>
      <c r="M29" s="142"/>
      <c r="N29" s="142"/>
      <c r="O29" s="142"/>
      <c r="P29" s="142"/>
      <c r="Q29" s="142"/>
      <c r="R29" s="142"/>
      <c r="S29" s="142"/>
      <c r="T29" s="468" cm="1" t="str">
        <f t="array" ref="T29:T29">T28</f>
        <v>false</v>
      </c>
      <c r="U29" s="142"/>
      <c r="V29" s="142"/>
      <c r="W29" s="142"/>
      <c r="X29" s="1519"/>
      <c r="Y29" s="142"/>
      <c r="Z29" s="1541"/>
      <c r="AA29" s="142"/>
      <c r="AB29" s="348" t="s">
        <v>299</v>
      </c>
      <c r="AC29" s="337" t="s">
        <v>1379</v>
      </c>
      <c r="AD29" s="86" t="s">
        <v>936</v>
      </c>
      <c r="AE29" s="899">
        <f>_xlfn.SUMIFS(ФОТ!AE$25:AE$127,ФОТ!$F$25:$F$127,$F29,ФОТ!$AC$25:$AC$127,$AC29)</f>
        <v>0</v>
      </c>
      <c r="AF29" s="899">
        <f>_xlfn.SUMIFS(ФОТ!AF$25:AF$127,ФОТ!$F$25:$F$127,$F29,ФОТ!$AC$25:$AC$127,$AC29)</f>
        <v>0</v>
      </c>
      <c r="AG29" s="899">
        <f>_xlfn.SUMIFS(ФОТ!AG$25:AG$127,ФОТ!$F$25:$F$127,$F29,ФОТ!$AC$25:$AC$127,$AC29)</f>
        <v>0</v>
      </c>
      <c r="AH29" s="899">
        <f>_xlfn.SUMIFS(ФОТ!AH$25:AH$127,ФОТ!$F$25:$F$127,$F29,ФОТ!$AC$25:$AC$127,$AC29)</f>
        <v>0</v>
      </c>
      <c r="AI29" s="899">
        <f>_xlfn.SUMIFS(ФОТ!AI$25:AI$127,ФОТ!$F$25:$F$127,$F29,ФОТ!$AC$25:$AC$127,$AC29)</f>
        <v>0</v>
      </c>
      <c r="AJ29" s="899">
        <f>_xlfn.SUMIFS(ФОТ!AJ$25:AJ$127,ФОТ!$F$25:$F$127,$F29,ФОТ!$AC$25:$AC$127,$AC29)</f>
        <v>0</v>
      </c>
      <c r="AK29" s="1955"/>
      <c r="AL29" s="142"/>
      <c r="AM29" s="1328"/>
      <c r="AN29" s="1023" t="s">
        <v>1380</v>
      </c>
    </row>
    <row customHeight="1" ht="32.90625" hidden="1">
      <c r="A30" s="1328"/>
      <c r="B30" s="1186"/>
      <c r="C30" s="142"/>
      <c r="D30" s="142"/>
      <c r="E30" s="263">
        <v>33.75</v>
      </c>
      <c r="F30" s="50" cm="1" t="str">
        <f t="array" ref="F30:F30">OFFSET(E30,-1,1)</f>
        <v>0</v>
      </c>
      <c r="G30" s="345" t="s">
        <v>1391</v>
      </c>
      <c r="H30" s="122" t="s">
        <v>346</v>
      </c>
      <c r="I30" s="142"/>
      <c r="J30" s="486"/>
      <c r="K30" s="486" t="str">
        <f>F30&amp;"17komm"</f>
        <v>017komm</v>
      </c>
      <c r="L30" s="924" cm="1" t="str">
        <f t="array" ref="L30:L30">AK30</f>
        <v>0</v>
      </c>
      <c r="M30" s="142"/>
      <c r="N30" s="142"/>
      <c r="O30" s="142"/>
      <c r="P30" s="142"/>
      <c r="Q30" s="142"/>
      <c r="R30" s="142"/>
      <c r="S30" s="142"/>
      <c r="T30" s="468" cm="1" t="str">
        <f t="array" ref="T30:T30">T29</f>
        <v>false</v>
      </c>
      <c r="U30" s="142"/>
      <c r="V30" s="142"/>
      <c r="W30" s="142"/>
      <c r="X30" s="1519"/>
      <c r="Y30" s="142"/>
      <c r="Z30" s="1541"/>
      <c r="AA30" s="142"/>
      <c r="AB30" s="348" t="s">
        <v>234</v>
      </c>
      <c r="AC30" s="337" t="s">
        <v>1392</v>
      </c>
      <c r="AD30" s="86" t="s">
        <v>936</v>
      </c>
      <c r="AE30" s="234">
        <f>SUM(AE31:AE37)</f>
        <v>0</v>
      </c>
      <c r="AF30" s="234">
        <f>SUM(AF31:AF37)</f>
        <v>0</v>
      </c>
      <c r="AG30" s="234">
        <f>SUM(AG31:AG37)</f>
        <v>0</v>
      </c>
      <c r="AH30" s="234">
        <f>SUM(AH31:AH37)</f>
        <v>0</v>
      </c>
      <c r="AI30" s="234">
        <f>SUM(AI31:AI37)</f>
        <v>0</v>
      </c>
      <c r="AJ30" s="234">
        <f>SUM(AJ31:AJ37)</f>
        <v>0</v>
      </c>
      <c r="AK30" s="1955"/>
      <c r="AL30" s="142"/>
      <c r="AM30" s="1328"/>
      <c r="AN30" s="1023" t="s">
        <v>1393</v>
      </c>
    </row>
    <row s="1656" customFormat="1" customHeight="1" ht="14.625" hidden="1">
      <c r="A31" s="1656"/>
      <c r="B31" s="432"/>
      <c r="C31" s="142"/>
      <c r="D31" s="142"/>
      <c r="E31" s="263">
        <v>15</v>
      </c>
      <c r="F31" s="1194" cm="1" t="str">
        <f t="array" ref="F31:F31">OFFSET(E31,-1,1)</f>
        <v>0</v>
      </c>
      <c r="G31" s="154" t="s">
        <v>1394</v>
      </c>
      <c r="H31" s="122" t="s">
        <v>1097</v>
      </c>
      <c r="I31" s="142"/>
      <c r="J31" s="486"/>
      <c r="K31" s="486" t="str">
        <f>F31&amp;"18komm"</f>
        <v>018komm</v>
      </c>
      <c r="L31" s="924" cm="1" t="str">
        <f t="array" ref="L31:L31">AK31</f>
        <v>0</v>
      </c>
      <c r="M31" s="142"/>
      <c r="N31" s="142"/>
      <c r="O31" s="142"/>
      <c r="P31" s="142"/>
      <c r="Q31" s="142"/>
      <c r="R31" s="142"/>
      <c r="S31" s="142"/>
      <c r="T31" s="468" cm="1" t="str">
        <f t="array" ref="T31:T31">T30</f>
        <v>false</v>
      </c>
      <c r="U31" s="142"/>
      <c r="V31" s="142"/>
      <c r="W31" s="142"/>
      <c r="X31" s="1519"/>
      <c r="Y31" s="142"/>
      <c r="Z31" s="1541"/>
      <c r="AA31" s="142"/>
      <c r="AB31" s="348" t="s">
        <v>674</v>
      </c>
      <c r="AC31" s="210" t="s">
        <v>1395</v>
      </c>
      <c r="AD31" s="86" t="s">
        <v>936</v>
      </c>
      <c r="AE31" s="4301"/>
      <c r="AF31" s="4301"/>
      <c r="AG31" s="4301"/>
      <c r="AH31" s="4301"/>
      <c r="AI31" s="4301"/>
      <c r="AJ31" s="4301"/>
      <c r="AK31" s="1955"/>
      <c r="AL31" s="142"/>
      <c r="AM31" s="1656"/>
      <c r="AN31" s="1027" t="s">
        <v>1396</v>
      </c>
    </row>
    <row s="1541" customFormat="1" customHeight="1" ht="14.625" hidden="1">
      <c r="A32" s="1541"/>
      <c r="B32" s="431"/>
      <c r="C32" s="1541"/>
      <c r="D32" s="1541"/>
      <c r="E32" s="263">
        <v>15</v>
      </c>
      <c r="F32" s="50" cm="1" t="str">
        <f t="array" ref="F32:F32">OFFSET(E32,-1,1)</f>
        <v>0</v>
      </c>
      <c r="G32" s="154" t="s">
        <v>1397</v>
      </c>
      <c r="H32" s="122" t="s">
        <v>1099</v>
      </c>
      <c r="I32" s="1541"/>
      <c r="J32" s="486"/>
      <c r="K32" s="486" t="str">
        <f>F32&amp;"11komm"</f>
        <v>011komm</v>
      </c>
      <c r="L32" s="924" cm="1" t="str">
        <f t="array" ref="L32:L32">AK32</f>
        <v>0</v>
      </c>
      <c r="M32" s="1541"/>
      <c r="N32" s="1541"/>
      <c r="O32" s="1541"/>
      <c r="P32" s="1541"/>
      <c r="Q32" s="1541"/>
      <c r="R32" s="1541"/>
      <c r="S32" s="1541"/>
      <c r="T32" s="468" cm="1" t="str">
        <f t="array" ref="T32:T32">T31</f>
        <v>false</v>
      </c>
      <c r="U32" s="1541"/>
      <c r="V32" s="1541"/>
      <c r="W32" s="1541"/>
      <c r="X32" s="1519"/>
      <c r="Y32" s="1541"/>
      <c r="Z32" s="1541"/>
      <c r="AA32" s="1541"/>
      <c r="AB32" s="348" t="s">
        <v>678</v>
      </c>
      <c r="AC32" s="210" t="s">
        <v>1398</v>
      </c>
      <c r="AD32" s="86" t="s">
        <v>936</v>
      </c>
      <c r="AE32" s="4301"/>
      <c r="AF32" s="4301"/>
      <c r="AG32" s="4301"/>
      <c r="AH32" s="4301"/>
      <c r="AI32" s="4301"/>
      <c r="AJ32" s="4301"/>
      <c r="AK32" s="1955"/>
      <c r="AL32" s="1541"/>
      <c r="AM32" s="1541"/>
      <c r="AN32" s="1038" t="s">
        <v>1399</v>
      </c>
    </row>
    <row s="1541" customFormat="1" customHeight="1" ht="14.625" hidden="1">
      <c r="A33" s="1541"/>
      <c r="B33" s="431"/>
      <c r="C33" s="1541"/>
      <c r="D33" s="1541"/>
      <c r="E33" s="263">
        <v>15</v>
      </c>
      <c r="F33" s="50" cm="1" t="str">
        <f t="array" ref="F33:F33">OFFSET(E33,-1,1)</f>
        <v>0</v>
      </c>
      <c r="G33" s="154" t="s">
        <v>1400</v>
      </c>
      <c r="H33" s="122" t="s">
        <v>1101</v>
      </c>
      <c r="I33" s="1541"/>
      <c r="J33" s="486"/>
      <c r="K33" s="486" t="str">
        <f>F33&amp;"12komm"</f>
        <v>012komm</v>
      </c>
      <c r="L33" s="924" cm="1" t="str">
        <f t="array" ref="L33:L33">AK33</f>
        <v>0</v>
      </c>
      <c r="M33" s="1541"/>
      <c r="N33" s="1541"/>
      <c r="O33" s="1541"/>
      <c r="P33" s="1541"/>
      <c r="Q33" s="1541"/>
      <c r="R33" s="1541"/>
      <c r="S33" s="1541"/>
      <c r="T33" s="468" cm="1" t="str">
        <f t="array" ref="T33:T33">T32</f>
        <v>false</v>
      </c>
      <c r="U33" s="1541"/>
      <c r="V33" s="1541"/>
      <c r="W33" s="1541"/>
      <c r="X33" s="1519"/>
      <c r="Y33" s="1541"/>
      <c r="Z33" s="1541"/>
      <c r="AA33" s="1541"/>
      <c r="AB33" s="348" t="s">
        <v>890</v>
      </c>
      <c r="AC33" s="210" t="s">
        <v>1401</v>
      </c>
      <c r="AD33" s="86" t="s">
        <v>936</v>
      </c>
      <c r="AE33" s="4301"/>
      <c r="AF33" s="4301"/>
      <c r="AG33" s="4301"/>
      <c r="AH33" s="4301"/>
      <c r="AI33" s="4301"/>
      <c r="AJ33" s="4301"/>
      <c r="AK33" s="1955"/>
      <c r="AL33" s="1541"/>
      <c r="AM33" s="1541"/>
      <c r="AN33" s="1038" t="s">
        <v>1402</v>
      </c>
    </row>
    <row s="1541" customFormat="1" customHeight="1" ht="14.625" hidden="1">
      <c r="A34" s="1541"/>
      <c r="B34" s="431"/>
      <c r="C34" s="1541"/>
      <c r="D34" s="1541"/>
      <c r="E34" s="263">
        <v>15</v>
      </c>
      <c r="F34" s="50" cm="1" t="str">
        <f t="array" ref="F34:F34">OFFSET(E34,-1,1)</f>
        <v>0</v>
      </c>
      <c r="G34" s="154" t="s">
        <v>1403</v>
      </c>
      <c r="H34" s="122" t="s">
        <v>1103</v>
      </c>
      <c r="I34" s="1541"/>
      <c r="J34" s="486"/>
      <c r="K34" s="486" t="str">
        <f>F34&amp;"13komm"</f>
        <v>013komm</v>
      </c>
      <c r="L34" s="924" cm="1" t="str">
        <f t="array" ref="L34:L34">AK34</f>
        <v>0</v>
      </c>
      <c r="M34" s="1541"/>
      <c r="N34" s="1541"/>
      <c r="O34" s="1541"/>
      <c r="P34" s="1541"/>
      <c r="Q34" s="1541"/>
      <c r="R34" s="1541"/>
      <c r="S34" s="1541"/>
      <c r="T34" s="468" cm="1" t="str">
        <f t="array" ref="T34:T34">T33</f>
        <v>false</v>
      </c>
      <c r="U34" s="1541"/>
      <c r="V34" s="1541"/>
      <c r="W34" s="1541"/>
      <c r="X34" s="1519"/>
      <c r="Y34" s="1541"/>
      <c r="Z34" s="1541"/>
      <c r="AA34" s="1541"/>
      <c r="AB34" s="348" t="s">
        <v>1104</v>
      </c>
      <c r="AC34" s="210" t="s">
        <v>1404</v>
      </c>
      <c r="AD34" s="86" t="s">
        <v>936</v>
      </c>
      <c r="AE34" s="4301"/>
      <c r="AF34" s="4301"/>
      <c r="AG34" s="4301"/>
      <c r="AH34" s="4301"/>
      <c r="AI34" s="4301"/>
      <c r="AJ34" s="4301"/>
      <c r="AK34" s="1955"/>
      <c r="AL34" s="1541"/>
      <c r="AM34" s="1541"/>
      <c r="AN34" s="1038" t="s">
        <v>1405</v>
      </c>
    </row>
    <row s="1541" customFormat="1" customHeight="1" ht="14.625" hidden="1">
      <c r="A35" s="1541"/>
      <c r="B35" s="431"/>
      <c r="C35" s="1541"/>
      <c r="D35" s="1541"/>
      <c r="E35" s="263">
        <v>15</v>
      </c>
      <c r="F35" s="50" cm="1" t="str">
        <f t="array" ref="F35:F35">OFFSET(E35,-1,1)</f>
        <v>0</v>
      </c>
      <c r="G35" s="154" t="s">
        <v>1406</v>
      </c>
      <c r="H35" s="122" t="s">
        <v>1106</v>
      </c>
      <c r="I35" s="1541"/>
      <c r="J35" s="486"/>
      <c r="K35" s="486" t="str">
        <f>F35&amp;"14komm"</f>
        <v>014komm</v>
      </c>
      <c r="L35" s="924" cm="1" t="str">
        <f t="array" ref="L35:L35">AK35</f>
        <v>0</v>
      </c>
      <c r="M35" s="1541"/>
      <c r="N35" s="1541"/>
      <c r="O35" s="1541"/>
      <c r="P35" s="1541"/>
      <c r="Q35" s="1541"/>
      <c r="R35" s="1541"/>
      <c r="S35" s="1541"/>
      <c r="T35" s="468" cm="1" t="str">
        <f t="array" ref="T35:T35">T34</f>
        <v>false</v>
      </c>
      <c r="U35" s="1541"/>
      <c r="V35" s="1541"/>
      <c r="W35" s="1541"/>
      <c r="X35" s="1519"/>
      <c r="Y35" s="1541"/>
      <c r="Z35" s="1541"/>
      <c r="AA35" s="1541"/>
      <c r="AB35" s="348" t="s">
        <v>1107</v>
      </c>
      <c r="AC35" s="210" t="s">
        <v>1407</v>
      </c>
      <c r="AD35" s="86" t="s">
        <v>936</v>
      </c>
      <c r="AE35" s="4301"/>
      <c r="AF35" s="4301"/>
      <c r="AG35" s="4301"/>
      <c r="AH35" s="4301"/>
      <c r="AI35" s="4301"/>
      <c r="AJ35" s="4301"/>
      <c r="AK35" s="1955"/>
      <c r="AL35" s="1541"/>
      <c r="AM35" s="1541"/>
      <c r="AN35" s="1038" t="s">
        <v>1408</v>
      </c>
    </row>
    <row s="1541" customFormat="1" customHeight="1" ht="14.625" hidden="1">
      <c r="A36" s="1541"/>
      <c r="B36" s="431"/>
      <c r="C36" s="1541"/>
      <c r="D36" s="1541"/>
      <c r="E36" s="263">
        <v>15</v>
      </c>
      <c r="F36" s="50" cm="1" t="str">
        <f t="array" ref="F36:F36">OFFSET(E36,-1,1)</f>
        <v>0</v>
      </c>
      <c r="G36" s="154" t="s">
        <v>1409</v>
      </c>
      <c r="H36" s="122" t="s">
        <v>1410</v>
      </c>
      <c r="I36" s="1541"/>
      <c r="J36" s="486"/>
      <c r="K36" s="486" t="str">
        <f>F36&amp;"15komm"</f>
        <v>015komm</v>
      </c>
      <c r="L36" s="924" cm="1" t="str">
        <f t="array" ref="L36:L36">AK36</f>
        <v>0</v>
      </c>
      <c r="M36" s="1541"/>
      <c r="N36" s="1541"/>
      <c r="O36" s="1541"/>
      <c r="P36" s="1541"/>
      <c r="Q36" s="1541"/>
      <c r="R36" s="1541"/>
      <c r="S36" s="1541"/>
      <c r="T36" s="468" cm="1" t="str">
        <f t="array" ref="T36:T36">T35</f>
        <v>false</v>
      </c>
      <c r="U36" s="1541"/>
      <c r="V36" s="1541"/>
      <c r="W36" s="1541"/>
      <c r="X36" s="1519"/>
      <c r="Y36" s="1541"/>
      <c r="Z36" s="1541"/>
      <c r="AA36" s="1541"/>
      <c r="AB36" s="348" t="s">
        <v>1411</v>
      </c>
      <c r="AC36" s="210" t="s">
        <v>1412</v>
      </c>
      <c r="AD36" s="86" t="s">
        <v>936</v>
      </c>
      <c r="AE36" s="4301"/>
      <c r="AF36" s="4301"/>
      <c r="AG36" s="4301"/>
      <c r="AH36" s="4301"/>
      <c r="AI36" s="4301"/>
      <c r="AJ36" s="4301"/>
      <c r="AK36" s="1955"/>
      <c r="AL36" s="1541"/>
      <c r="AM36" s="1541"/>
      <c r="AN36" s="1038" t="s">
        <v>1413</v>
      </c>
    </row>
    <row s="1541" customFormat="1" customHeight="1" ht="14.625" hidden="1">
      <c r="A37" s="1541"/>
      <c r="B37" s="431"/>
      <c r="C37" s="1541"/>
      <c r="D37" s="1541"/>
      <c r="E37" s="263">
        <v>15</v>
      </c>
      <c r="F37" s="50" cm="1" t="str">
        <f t="array" ref="F37:F37">OFFSET(E37,-1,1)</f>
        <v>0</v>
      </c>
      <c r="G37" s="154" t="s">
        <v>1414</v>
      </c>
      <c r="H37" s="122" t="s">
        <v>1415</v>
      </c>
      <c r="I37" s="1541"/>
      <c r="J37" s="486"/>
      <c r="K37" s="486" t="str">
        <f>F37&amp;"16komm"</f>
        <v>016komm</v>
      </c>
      <c r="L37" s="924" cm="1" t="str">
        <f t="array" ref="L37:L37">AK37</f>
        <v>0</v>
      </c>
      <c r="M37" s="1541"/>
      <c r="N37" s="1541"/>
      <c r="O37" s="1541"/>
      <c r="P37" s="1541"/>
      <c r="Q37" s="1541"/>
      <c r="R37" s="1541"/>
      <c r="S37" s="1541"/>
      <c r="T37" s="468" cm="1" t="str">
        <f t="array" ref="T37:T37">T36</f>
        <v>false</v>
      </c>
      <c r="U37" s="1541"/>
      <c r="V37" s="1541"/>
      <c r="W37" s="1541"/>
      <c r="X37" s="1519"/>
      <c r="Y37" s="1541"/>
      <c r="Z37" s="1541"/>
      <c r="AA37" s="1541"/>
      <c r="AB37" s="348" t="s">
        <v>1416</v>
      </c>
      <c r="AC37" s="210" t="s">
        <v>1417</v>
      </c>
      <c r="AD37" s="86" t="s">
        <v>936</v>
      </c>
      <c r="AE37" s="4301"/>
      <c r="AF37" s="4301"/>
      <c r="AG37" s="4301"/>
      <c r="AH37" s="4301"/>
      <c r="AI37" s="4301"/>
      <c r="AJ37" s="4301"/>
      <c r="AK37" s="1955"/>
      <c r="AL37" s="1541"/>
      <c r="AM37" s="1541"/>
      <c r="AN37" s="1038" t="s">
        <v>1418</v>
      </c>
    </row>
    <row s="1541" customFormat="1" customHeight="1" ht="32.90625" hidden="1">
      <c r="A38" s="1541"/>
      <c r="B38" s="431"/>
      <c r="C38" s="1541"/>
      <c r="D38" s="1541"/>
      <c r="E38" s="263">
        <v>33.75</v>
      </c>
      <c r="F38" s="50" cm="1" t="str">
        <f t="array" ref="F38:F38">OFFSET(E38,-1,1)</f>
        <v>0</v>
      </c>
      <c r="G38" s="345" t="s">
        <v>1419</v>
      </c>
      <c r="H38" s="122" t="s">
        <v>348</v>
      </c>
      <c r="I38" s="1541"/>
      <c r="J38" s="486"/>
      <c r="K38" s="486" t="str">
        <f>F38&amp;"2komm"</f>
        <v>02komm</v>
      </c>
      <c r="L38" s="924" cm="1" t="str">
        <f t="array" ref="L38:L38">AK38</f>
        <v>0</v>
      </c>
      <c r="M38" s="1541"/>
      <c r="N38" s="1541"/>
      <c r="O38" s="1541"/>
      <c r="P38" s="1541"/>
      <c r="Q38" s="1541"/>
      <c r="R38" s="1541"/>
      <c r="S38" s="1541"/>
      <c r="T38" s="468" cm="1" t="str">
        <f t="array" ref="T38:T38">T37</f>
        <v>false</v>
      </c>
      <c r="U38" s="1541"/>
      <c r="V38" s="1541"/>
      <c r="W38" s="1541"/>
      <c r="X38" s="1519"/>
      <c r="Y38" s="1541"/>
      <c r="Z38" s="1541"/>
      <c r="AA38" s="1541"/>
      <c r="AB38" s="348" t="s">
        <v>451</v>
      </c>
      <c r="AC38" s="337" t="s">
        <v>1420</v>
      </c>
      <c r="AD38" s="86" t="s">
        <v>936</v>
      </c>
      <c r="AE38" s="4301"/>
      <c r="AF38" s="4301"/>
      <c r="AG38" s="4301"/>
      <c r="AH38" s="4301"/>
      <c r="AI38" s="4301"/>
      <c r="AJ38" s="4301"/>
      <c r="AK38" s="1955"/>
      <c r="AL38" s="1541"/>
      <c r="AM38" s="1541"/>
      <c r="AN38" s="1038" t="s">
        <v>1421</v>
      </c>
    </row>
    <row s="1541" customFormat="1" customHeight="1" ht="14.625" hidden="1">
      <c r="A39" s="1541"/>
      <c r="B39" s="431"/>
      <c r="C39" s="1541"/>
      <c r="D39" s="1541"/>
      <c r="E39" s="263">
        <v>15</v>
      </c>
      <c r="F39" s="50" cm="1" t="str">
        <f t="array" ref="F39:F39">OFFSET(E39,-1,1)</f>
        <v>0</v>
      </c>
      <c r="G39" s="345" t="s">
        <v>1422</v>
      </c>
      <c r="H39" s="122" t="s">
        <v>347</v>
      </c>
      <c r="I39" s="1541"/>
      <c r="J39" s="486"/>
      <c r="K39" s="486" t="str">
        <f>F39&amp;"3komm"</f>
        <v>03komm</v>
      </c>
      <c r="L39" s="924" cm="1" t="str">
        <f t="array" ref="L39:L39">AK39</f>
        <v>0</v>
      </c>
      <c r="M39" s="1541"/>
      <c r="N39" s="1541"/>
      <c r="O39" s="1541"/>
      <c r="P39" s="1541"/>
      <c r="Q39" s="1541"/>
      <c r="R39" s="1541"/>
      <c r="S39" s="1541"/>
      <c r="T39" s="468" cm="1" t="str">
        <f t="array" ref="T39:T39">T38</f>
        <v>false</v>
      </c>
      <c r="U39" s="1541"/>
      <c r="V39" s="1541"/>
      <c r="W39" s="1541"/>
      <c r="X39" s="1519"/>
      <c r="Y39" s="1541"/>
      <c r="Z39" s="1541"/>
      <c r="AA39" s="1541"/>
      <c r="AB39" s="348" t="s">
        <v>454</v>
      </c>
      <c r="AC39" s="337" t="s">
        <v>1423</v>
      </c>
      <c r="AD39" s="86" t="s">
        <v>936</v>
      </c>
      <c r="AE39" s="4301"/>
      <c r="AF39" s="4301"/>
      <c r="AG39" s="4301"/>
      <c r="AH39" s="4301"/>
      <c r="AI39" s="4301"/>
      <c r="AJ39" s="4301"/>
      <c r="AK39" s="1955"/>
      <c r="AL39" s="1541"/>
      <c r="AM39" s="1541"/>
      <c r="AN39" s="1038" t="s">
        <v>1424</v>
      </c>
    </row>
    <row s="1541" customFormat="1" customHeight="1" ht="14.625" hidden="1">
      <c r="A40" s="1541"/>
      <c r="B40" s="431"/>
      <c r="C40" s="1541"/>
      <c r="D40" s="1541"/>
      <c r="E40" s="263">
        <v>15</v>
      </c>
      <c r="F40" s="50" cm="1" t="str">
        <f t="array" ref="F40:F40">OFFSET(E40,-1,1)</f>
        <v>0</v>
      </c>
      <c r="G40" s="345" t="s">
        <v>1425</v>
      </c>
      <c r="H40" s="122" t="s">
        <v>616</v>
      </c>
      <c r="I40" s="1541"/>
      <c r="J40" s="1541"/>
      <c r="K40" s="486" t="str">
        <f>F40&amp;"4komm"</f>
        <v>04komm</v>
      </c>
      <c r="L40" s="924" cm="1" t="str">
        <f t="array" ref="L40:L40">AK40</f>
        <v>0</v>
      </c>
      <c r="M40" s="1541"/>
      <c r="N40" s="1541"/>
      <c r="O40" s="1541"/>
      <c r="P40" s="1541"/>
      <c r="Q40" s="1541"/>
      <c r="R40" s="1541"/>
      <c r="S40" s="1541"/>
      <c r="T40" s="468" cm="1" t="str">
        <f t="array" ref="T40:T40">T39</f>
        <v>false</v>
      </c>
      <c r="U40" s="1541"/>
      <c r="V40" s="1541"/>
      <c r="W40" s="1541"/>
      <c r="X40" s="1519"/>
      <c r="Y40" s="1541"/>
      <c r="Z40" s="1541"/>
      <c r="AA40" s="1541"/>
      <c r="AB40" s="348" t="s">
        <v>457</v>
      </c>
      <c r="AC40" s="337" t="s">
        <v>1426</v>
      </c>
      <c r="AD40" s="86" t="s">
        <v>936</v>
      </c>
      <c r="AE40" s="4301"/>
      <c r="AF40" s="4301"/>
      <c r="AG40" s="4301"/>
      <c r="AH40" s="4301"/>
      <c r="AI40" s="4301"/>
      <c r="AJ40" s="4301"/>
      <c r="AK40" s="1955"/>
      <c r="AL40" s="1541"/>
      <c r="AM40" s="1541"/>
      <c r="AN40" s="1038" t="s">
        <v>1427</v>
      </c>
    </row>
    <row s="1541" customFormat="1" customHeight="1" ht="14.625" hidden="1">
      <c r="A41" s="1541"/>
      <c r="B41" s="431"/>
      <c r="C41" s="1541"/>
      <c r="D41" s="1541"/>
      <c r="E41" s="263">
        <v>15</v>
      </c>
      <c r="F41" s="50" cm="1" t="str">
        <f t="array" ref="F41:F41">OFFSET(E41,-1,1)</f>
        <v>0</v>
      </c>
      <c r="G41" s="345" t="s">
        <v>1428</v>
      </c>
      <c r="H41" s="122" t="s">
        <v>619</v>
      </c>
      <c r="I41" s="1541"/>
      <c r="J41" s="1541"/>
      <c r="K41" s="486" t="str">
        <f>F41&amp;"5komm"</f>
        <v>05komm</v>
      </c>
      <c r="L41" s="924" cm="1" t="str">
        <f t="array" ref="L41:L41">AK41</f>
        <v>0</v>
      </c>
      <c r="M41" s="1541"/>
      <c r="N41" s="1541"/>
      <c r="O41" s="1541"/>
      <c r="P41" s="1541"/>
      <c r="Q41" s="1541"/>
      <c r="R41" s="1541"/>
      <c r="S41" s="1541"/>
      <c r="T41" s="468" cm="1" t="str">
        <f t="array" ref="T41:T41">T40</f>
        <v>false</v>
      </c>
      <c r="U41" s="1541"/>
      <c r="V41" s="1541"/>
      <c r="W41" s="1541"/>
      <c r="X41" s="1519"/>
      <c r="Y41" s="1541"/>
      <c r="Z41" s="1541"/>
      <c r="AA41" s="1541"/>
      <c r="AB41" s="348" t="s">
        <v>460</v>
      </c>
      <c r="AC41" s="337" t="s">
        <v>1429</v>
      </c>
      <c r="AD41" s="86" t="s">
        <v>936</v>
      </c>
      <c r="AE41" s="4301"/>
      <c r="AF41" s="4301"/>
      <c r="AG41" s="4301"/>
      <c r="AH41" s="4301"/>
      <c r="AI41" s="4301"/>
      <c r="AJ41" s="4301"/>
      <c r="AK41" s="1955"/>
      <c r="AL41" s="1541"/>
      <c r="AM41" s="1541"/>
      <c r="AN41" s="1038" t="s">
        <v>1430</v>
      </c>
    </row>
    <row s="1541" customFormat="1" customHeight="1" ht="14.625" hidden="1">
      <c r="A42" s="1541"/>
      <c r="B42" s="431"/>
      <c r="C42" s="1541"/>
      <c r="D42" s="1541"/>
      <c r="E42" s="263">
        <v>15</v>
      </c>
      <c r="F42" s="50" cm="1" t="str">
        <f t="array" ref="F42:F42">OFFSET(E42,-1,1)</f>
        <v>0</v>
      </c>
      <c r="G42" s="345" t="s">
        <v>1431</v>
      </c>
      <c r="H42" s="122" t="s">
        <v>685</v>
      </c>
      <c r="I42" s="1541"/>
      <c r="J42" s="1541"/>
      <c r="K42" s="486" t="str">
        <f>F42&amp;"6komm"</f>
        <v>06komm</v>
      </c>
      <c r="L42" s="924" cm="1" t="str">
        <f t="array" ref="L42:L42">AK42</f>
        <v>0</v>
      </c>
      <c r="M42" s="1541"/>
      <c r="N42" s="1541"/>
      <c r="O42" s="1541"/>
      <c r="P42" s="1541"/>
      <c r="Q42" s="1541"/>
      <c r="R42" s="1541"/>
      <c r="S42" s="1541"/>
      <c r="T42" s="468" cm="1" t="str">
        <f t="array" ref="T42:T42">T41</f>
        <v>false</v>
      </c>
      <c r="U42" s="1541"/>
      <c r="V42" s="1541"/>
      <c r="W42" s="1541"/>
      <c r="X42" s="1519"/>
      <c r="Y42" s="1541"/>
      <c r="Z42" s="1541"/>
      <c r="AA42" s="1541"/>
      <c r="AB42" s="348" t="s">
        <v>463</v>
      </c>
      <c r="AC42" s="337" t="s">
        <v>1432</v>
      </c>
      <c r="AD42" s="86" t="s">
        <v>936</v>
      </c>
      <c r="AE42" s="349">
        <f>SUM(AE43:AE45)</f>
        <v>0</v>
      </c>
      <c r="AF42" s="349">
        <f>SUM(AF43:AF45)</f>
        <v>0</v>
      </c>
      <c r="AG42" s="349">
        <f>SUM(AG43:AG45)</f>
        <v>0</v>
      </c>
      <c r="AH42" s="349">
        <f>SUM(AH43:AH45)</f>
        <v>0</v>
      </c>
      <c r="AI42" s="349">
        <f>SUM(AI43:AI45)</f>
        <v>0</v>
      </c>
      <c r="AJ42" s="349">
        <f>SUM(AJ43:AJ45)</f>
        <v>0</v>
      </c>
      <c r="AK42" s="1955"/>
      <c r="AL42" s="1541"/>
      <c r="AM42" s="1541"/>
      <c r="AN42" s="1038" t="s">
        <v>407</v>
      </c>
    </row>
    <row s="1541" customFormat="1" customHeight="1" ht="14.625" hidden="1">
      <c r="A43" s="1541"/>
      <c r="B43" s="431"/>
      <c r="C43" s="1541"/>
      <c r="D43" s="1541"/>
      <c r="E43" s="263">
        <v>15</v>
      </c>
      <c r="F43" s="50" cm="1" t="str">
        <f t="array" ref="F43:F43">OFFSET(E43,-1,1)</f>
        <v>0</v>
      </c>
      <c r="G43" s="345" t="s">
        <v>1433</v>
      </c>
      <c r="H43" s="122" t="s">
        <v>688</v>
      </c>
      <c r="I43" s="1541"/>
      <c r="J43" s="1541"/>
      <c r="K43" s="486" t="str">
        <f>F43&amp;"7komm"</f>
        <v>07komm</v>
      </c>
      <c r="L43" s="924" cm="1" t="str">
        <f t="array" ref="L43:L43">AK43</f>
        <v>0</v>
      </c>
      <c r="M43" s="1541"/>
      <c r="N43" s="1541"/>
      <c r="O43" s="1541"/>
      <c r="P43" s="1541"/>
      <c r="Q43" s="1541"/>
      <c r="R43" s="1541"/>
      <c r="S43" s="1541"/>
      <c r="T43" s="468" cm="1" t="str">
        <f t="array" ref="T43:T43">T42</f>
        <v>false</v>
      </c>
      <c r="U43" s="1541"/>
      <c r="V43" s="1541"/>
      <c r="W43" s="1541"/>
      <c r="X43" s="1519"/>
      <c r="Y43" s="1541"/>
      <c r="Z43" s="1541"/>
      <c r="AA43" s="1541"/>
      <c r="AB43" s="348" t="s">
        <v>711</v>
      </c>
      <c r="AC43" s="210" t="s">
        <v>1434</v>
      </c>
      <c r="AD43" s="86" t="s">
        <v>936</v>
      </c>
      <c r="AE43" s="4301"/>
      <c r="AF43" s="4301"/>
      <c r="AG43" s="4301"/>
      <c r="AH43" s="4301"/>
      <c r="AI43" s="4301"/>
      <c r="AJ43" s="4301"/>
      <c r="AK43" s="1955"/>
      <c r="AL43" s="1541"/>
      <c r="AM43" s="1541"/>
      <c r="AN43" s="1038" t="s">
        <v>1435</v>
      </c>
    </row>
    <row s="1541" customFormat="1" customHeight="1" ht="43.875" hidden="1">
      <c r="A44" s="1541"/>
      <c r="B44" s="431"/>
      <c r="C44" s="1541"/>
      <c r="D44" s="1541"/>
      <c r="E44" s="263">
        <v>45</v>
      </c>
      <c r="F44" s="50" cm="1" t="str">
        <f t="array" ref="F44:F44">OFFSET(E44,-1,1)</f>
        <v>0</v>
      </c>
      <c r="G44" s="345" t="s">
        <v>1436</v>
      </c>
      <c r="H44" s="122" t="s">
        <v>692</v>
      </c>
      <c r="I44" s="1541"/>
      <c r="J44" s="1541"/>
      <c r="K44" s="486" t="str">
        <f>F44&amp;"8komm"</f>
        <v>08komm</v>
      </c>
      <c r="L44" s="924" cm="1" t="str">
        <f t="array" ref="L44:L44">AK44</f>
        <v>0</v>
      </c>
      <c r="M44" s="1541"/>
      <c r="N44" s="1541"/>
      <c r="O44" s="1541"/>
      <c r="P44" s="1541"/>
      <c r="Q44" s="1541"/>
      <c r="R44" s="1541"/>
      <c r="S44" s="1541"/>
      <c r="T44" s="468" cm="1" t="str">
        <f t="array" ref="T44:T44">T43</f>
        <v>false</v>
      </c>
      <c r="U44" s="1541"/>
      <c r="V44" s="1541"/>
      <c r="W44" s="1541"/>
      <c r="X44" s="1519"/>
      <c r="Y44" s="1541"/>
      <c r="Z44" s="1541"/>
      <c r="AA44" s="1541"/>
      <c r="AB44" s="348" t="s">
        <v>728</v>
      </c>
      <c r="AC44" s="769" t="s">
        <v>1437</v>
      </c>
      <c r="AD44" s="86" t="s">
        <v>936</v>
      </c>
      <c r="AE44" s="4301"/>
      <c r="AF44" s="4301"/>
      <c r="AG44" s="4301"/>
      <c r="AH44" s="4301"/>
      <c r="AI44" s="4301"/>
      <c r="AJ44" s="4301"/>
      <c r="AK44" s="1955"/>
      <c r="AL44" s="1541"/>
      <c r="AM44" s="1541"/>
      <c r="AN44" s="1038" t="s">
        <v>1438</v>
      </c>
    </row>
    <row s="1541" customFormat="1" customHeight="1" ht="14.625" hidden="1">
      <c r="A45" s="1541"/>
      <c r="B45" s="431"/>
      <c r="C45" s="1541"/>
      <c r="D45" s="1541"/>
      <c r="E45" s="263">
        <v>15</v>
      </c>
      <c r="F45" s="50" cm="1" t="str">
        <f t="array" ref="F45:F45">OFFSET(E45,-1,1)</f>
        <v>0</v>
      </c>
      <c r="G45" s="154" t="s">
        <v>1439</v>
      </c>
      <c r="H45" s="122" t="s">
        <v>696</v>
      </c>
      <c r="I45" s="1541"/>
      <c r="J45" s="1541"/>
      <c r="K45" s="486" t="str">
        <f>F45&amp;"9komm"</f>
        <v>09komm</v>
      </c>
      <c r="L45" s="924" cm="1" t="str">
        <f t="array" ref="L45:L45">AK45</f>
        <v>0</v>
      </c>
      <c r="M45" s="1541"/>
      <c r="N45" s="1541"/>
      <c r="O45" s="1541"/>
      <c r="P45" s="1541"/>
      <c r="Q45" s="1541"/>
      <c r="R45" s="1541"/>
      <c r="S45" s="1541"/>
      <c r="T45" s="468" cm="1" t="str">
        <f t="array" ref="T45:T45">T44</f>
        <v>false</v>
      </c>
      <c r="U45" s="1541"/>
      <c r="V45" s="1541"/>
      <c r="W45" s="1541"/>
      <c r="X45" s="1519"/>
      <c r="Y45" s="1541"/>
      <c r="Z45" s="1541"/>
      <c r="AA45" s="1541"/>
      <c r="AB45" s="348" t="s">
        <v>740</v>
      </c>
      <c r="AC45" s="210" t="s">
        <v>1440</v>
      </c>
      <c r="AD45" s="86" t="s">
        <v>936</v>
      </c>
      <c r="AE45" s="4301"/>
      <c r="AF45" s="4301"/>
      <c r="AG45" s="4301"/>
      <c r="AH45" s="4301"/>
      <c r="AI45" s="4303"/>
      <c r="AJ45" s="4303"/>
      <c r="AK45" s="1955"/>
      <c r="AL45" s="1541"/>
      <c r="AM45" s="1541"/>
      <c r="AN45" s="1038" t="s">
        <v>1441</v>
      </c>
    </row>
    <row s="1656" customFormat="1" customHeight="1" ht="10.5">
      <c r="A46" s="1328"/>
      <c r="B46" s="1186"/>
      <c r="C46" s="142"/>
      <c r="D46" s="142"/>
      <c r="E46" s="263">
        <v>11.25</v>
      </c>
      <c r="F46" s="94" cm="1" t="str">
        <f t="array" ref="F46:F46">X46</f>
        <v>1</v>
      </c>
      <c r="G46" s="142"/>
      <c r="H46" s="142"/>
      <c r="I46" s="142"/>
      <c r="J46" s="142"/>
      <c r="K46" s="142"/>
      <c r="L46" s="142"/>
      <c r="M46" s="142"/>
      <c r="N46" s="142"/>
      <c r="O46" s="142"/>
      <c r="P46" s="142"/>
      <c r="Q46" s="142"/>
      <c r="R46" s="142"/>
      <c r="S46" s="142"/>
      <c r="T46" s="468">
        <f>X46&gt;0</f>
        <v>1</v>
      </c>
      <c r="U46" s="142"/>
      <c r="V46" s="142" cm="1" t="str">
        <f t="array" ref="V46:V46">ФОТ!$AB$52</f>
        <v>Тариф 1 (Водоснабжение) - тариф на питьевую воду (Оказание услуг на территории: город Ленинск-Кузнецкий (ОКТМО: 32719000) - г Ленинск-Кузнецкий, г Полысаево)</v>
      </c>
      <c r="W46" s="142"/>
      <c r="X46" s="1519" t="s">
        <v>290</v>
      </c>
      <c r="Y46" s="142"/>
      <c r="Z46" s="1541"/>
      <c r="AA46" s="142"/>
      <c r="AB46" s="238" cm="1" t="str">
        <f t="array" ref="AB46:AB46">ФОТ!$AB$52</f>
        <v>Тариф 1 (Водоснабжение) - тариф на питьевую воду (Оказание услуг на территории: город Ленинск-Кузнецкий (ОКТМО: 32719000) - г Ленинск-Кузнецкий, г Полысаево)</v>
      </c>
      <c r="AC46" s="176"/>
      <c r="AD46" s="176"/>
      <c r="AE46" s="302">
        <f>AE47+AE48+AE49+AE57+AE58+AE59+AE60+AE61</f>
        <v>0</v>
      </c>
      <c r="AF46" s="302">
        <f>AF47+AF48+AF49+AF57+AF58+AF59+AF60+AF61</f>
        <v>0</v>
      </c>
      <c r="AG46" s="302">
        <f>AG47+AG48+AG49+AG57+AG58+AG59+AG60+AG61</f>
        <v>0</v>
      </c>
      <c r="AH46" s="302">
        <f>AH47+AH48+AH49+AH57+AH58+AH59+AH60+AH61</f>
        <v>0</v>
      </c>
      <c r="AI46" s="302">
        <f>AI47+AI48+AI49+AI57+AI58+AI59+AI60+AI61</f>
        <v>0</v>
      </c>
      <c r="AJ46" s="302">
        <f>AJ47+AJ48+AJ49+AJ57+AJ58+AJ59+AJ60+AJ61</f>
        <v>0</v>
      </c>
      <c r="AK46" s="170"/>
      <c r="AL46" s="142"/>
      <c r="AM46" s="1328"/>
      <c r="AN46" s="1330"/>
    </row>
    <row s="1656" customFormat="1" customHeight="1" ht="21.75">
      <c r="A47" s="1328"/>
      <c r="B47" s="1186"/>
      <c r="C47" s="142"/>
      <c r="D47" s="142"/>
      <c r="E47" s="263">
        <v>22.5</v>
      </c>
      <c r="F47" s="50" cm="1" t="str">
        <f t="array" ref="F47:F47">OFFSET(E47,-1,1)</f>
        <v>1</v>
      </c>
      <c r="G47" s="142"/>
      <c r="H47" s="122" t="s">
        <v>344</v>
      </c>
      <c r="I47" s="142"/>
      <c r="J47" s="142"/>
      <c r="K47" s="142"/>
      <c r="L47" s="142"/>
      <c r="M47" s="142"/>
      <c r="N47" s="142"/>
      <c r="O47" s="142"/>
      <c r="P47" s="142"/>
      <c r="Q47" s="142"/>
      <c r="R47" s="142"/>
      <c r="S47" s="142"/>
      <c r="T47" s="468" cm="1" t="str">
        <f t="array" ref="T47:T47">T46</f>
        <v>true</v>
      </c>
      <c r="U47" s="142"/>
      <c r="V47" s="142"/>
      <c r="W47" s="142"/>
      <c r="X47" s="1519"/>
      <c r="Y47" s="142"/>
      <c r="Z47" s="1541"/>
      <c r="AA47" s="142"/>
      <c r="AB47" s="348">
        <v>1</v>
      </c>
      <c r="AC47" s="337" t="s">
        <v>1374</v>
      </c>
      <c r="AD47" s="86" t="s">
        <v>936</v>
      </c>
      <c r="AE47" s="899">
        <f>_xlfn.SUMIFS(ФОТ!AE$25:AE$127,ФОТ!$F$25:$F$127,$F47,ФОТ!$AC$25:$AC$127,$AC47)</f>
        <v>0</v>
      </c>
      <c r="AF47" s="899">
        <f>_xlfn.SUMIFS(ФОТ!AF$25:AF$127,ФОТ!$F$25:$F$127,$F47,ФОТ!$AC$25:$AC$127,$AC47)</f>
        <v>0</v>
      </c>
      <c r="AG47" s="899">
        <f>_xlfn.SUMIFS(ФОТ!AG$25:AG$127,ФОТ!$F$25:$F$127,$F47,ФОТ!$AC$25:$AC$127,$AC47)</f>
        <v>0</v>
      </c>
      <c r="AH47" s="899">
        <f>_xlfn.SUMIFS(ФОТ!AH$25:AH$127,ФОТ!$F$25:$F$127,$F47,ФОТ!$AC$25:$AC$127,$AC47)</f>
        <v>0</v>
      </c>
      <c r="AI47" s="899">
        <f>_xlfn.SUMIFS(ФОТ!AI$25:AI$127,ФОТ!$F$25:$F$127,$F47,ФОТ!$AC$25:$AC$127,$AC47)</f>
        <v>0</v>
      </c>
      <c r="AJ47" s="899">
        <f>_xlfn.SUMIFS(ФОТ!AJ$25:AJ$127,ФОТ!$F$25:$F$127,$F47,ФОТ!$AC$25:$AC$127,$AC47)</f>
        <v>0</v>
      </c>
      <c r="AK47" s="305"/>
      <c r="AL47" s="142"/>
      <c r="AM47" s="1328"/>
      <c r="AN47" s="1023" t="s">
        <v>1390</v>
      </c>
    </row>
    <row s="1656" customFormat="1" customHeight="1" ht="21.75">
      <c r="A48" s="1328"/>
      <c r="B48" s="1186"/>
      <c r="C48" s="142"/>
      <c r="D48" s="142"/>
      <c r="E48" s="263">
        <v>22.5</v>
      </c>
      <c r="F48" s="50" cm="1" t="str">
        <f t="array" ref="F48:F48">OFFSET(E48,-1,1)</f>
        <v>1</v>
      </c>
      <c r="G48" s="142"/>
      <c r="H48" s="122" t="s">
        <v>345</v>
      </c>
      <c r="I48" s="142"/>
      <c r="J48" s="486"/>
      <c r="K48" s="486"/>
      <c r="L48" s="486"/>
      <c r="M48" s="142"/>
      <c r="N48" s="142"/>
      <c r="O48" s="142"/>
      <c r="P48" s="142"/>
      <c r="Q48" s="142"/>
      <c r="R48" s="142"/>
      <c r="S48" s="142"/>
      <c r="T48" s="468" cm="1" t="str">
        <f t="array" ref="T48:T48">T47</f>
        <v>true</v>
      </c>
      <c r="U48" s="142"/>
      <c r="V48" s="142"/>
      <c r="W48" s="142"/>
      <c r="X48" s="1519"/>
      <c r="Y48" s="142"/>
      <c r="Z48" s="1541"/>
      <c r="AA48" s="142"/>
      <c r="AB48" s="348" t="s">
        <v>299</v>
      </c>
      <c r="AC48" s="337" t="s">
        <v>1379</v>
      </c>
      <c r="AD48" s="86" t="s">
        <v>936</v>
      </c>
      <c r="AE48" s="899">
        <f>_xlfn.SUMIFS(ФОТ!AE$25:AE$127,ФОТ!$F$25:$F$127,$F48,ФОТ!$AC$25:$AC$127,$AC48)</f>
        <v>0</v>
      </c>
      <c r="AF48" s="899">
        <f>_xlfn.SUMIFS(ФОТ!AF$25:AF$127,ФОТ!$F$25:$F$127,$F48,ФОТ!$AC$25:$AC$127,$AC48)</f>
        <v>0</v>
      </c>
      <c r="AG48" s="899">
        <f>_xlfn.SUMIFS(ФОТ!AG$25:AG$127,ФОТ!$F$25:$F$127,$F48,ФОТ!$AC$25:$AC$127,$AC48)</f>
        <v>0</v>
      </c>
      <c r="AH48" s="899">
        <f>_xlfn.SUMIFS(ФОТ!AH$25:AH$127,ФОТ!$F$25:$F$127,$F48,ФОТ!$AC$25:$AC$127,$AC48)</f>
        <v>0</v>
      </c>
      <c r="AI48" s="899">
        <f>_xlfn.SUMIFS(ФОТ!AI$25:AI$127,ФОТ!$F$25:$F$127,$F48,ФОТ!$AC$25:$AC$127,$AC48)</f>
        <v>0</v>
      </c>
      <c r="AJ48" s="899">
        <f>_xlfn.SUMIFS(ФОТ!AJ$25:AJ$127,ФОТ!$F$25:$F$127,$F48,ФОТ!$AC$25:$AC$127,$AC48)</f>
        <v>0</v>
      </c>
      <c r="AK48" s="305"/>
      <c r="AL48" s="142"/>
      <c r="AM48" s="1328"/>
      <c r="AN48" s="1023" t="s">
        <v>1380</v>
      </c>
    </row>
    <row s="1656" customFormat="1" customHeight="1" ht="32.25">
      <c r="A49" s="1328"/>
      <c r="B49" s="1186"/>
      <c r="C49" s="142"/>
      <c r="D49" s="142"/>
      <c r="E49" s="263">
        <v>33.75</v>
      </c>
      <c r="F49" s="50" cm="1" t="str">
        <f t="array" ref="F49:F49">OFFSET(E49,-1,1)</f>
        <v>1</v>
      </c>
      <c r="G49" s="345" t="s">
        <v>1391</v>
      </c>
      <c r="H49" s="122" t="s">
        <v>346</v>
      </c>
      <c r="I49" s="142"/>
      <c r="J49" s="486"/>
      <c r="K49" s="486" t="str">
        <f>F49&amp;"17komm"</f>
        <v>117komm</v>
      </c>
      <c r="L49" s="924" cm="1" t="str">
        <f t="array" ref="L49:L49">AK49</f>
        <v>0</v>
      </c>
      <c r="M49" s="142"/>
      <c r="N49" s="142"/>
      <c r="O49" s="142"/>
      <c r="P49" s="142"/>
      <c r="Q49" s="142"/>
      <c r="R49" s="142"/>
      <c r="S49" s="142"/>
      <c r="T49" s="468" cm="1" t="str">
        <f t="array" ref="T49:T49">T48</f>
        <v>true</v>
      </c>
      <c r="U49" s="142"/>
      <c r="V49" s="142"/>
      <c r="W49" s="142"/>
      <c r="X49" s="1519"/>
      <c r="Y49" s="142"/>
      <c r="Z49" s="1541"/>
      <c r="AA49" s="142"/>
      <c r="AB49" s="348" t="s">
        <v>234</v>
      </c>
      <c r="AC49" s="337" t="s">
        <v>1392</v>
      </c>
      <c r="AD49" s="86" t="s">
        <v>936</v>
      </c>
      <c r="AE49" s="234">
        <f>SUM(AE50:AE56)</f>
        <v>0</v>
      </c>
      <c r="AF49" s="234">
        <f>SUM(AF50:AF56)</f>
        <v>0</v>
      </c>
      <c r="AG49" s="234">
        <f>SUM(AG50:AG56)</f>
        <v>0</v>
      </c>
      <c r="AH49" s="234">
        <f>SUM(AH50:AH56)</f>
        <v>0</v>
      </c>
      <c r="AI49" s="234">
        <f>SUM(AI50:AI56)</f>
        <v>0</v>
      </c>
      <c r="AJ49" s="234">
        <f>SUM(AJ50:AJ56)</f>
        <v>0</v>
      </c>
      <c r="AK49" s="305"/>
      <c r="AL49" s="142"/>
      <c r="AM49" s="1328"/>
      <c r="AN49" s="1023" t="s">
        <v>1393</v>
      </c>
    </row>
    <row s="1656" customFormat="1" customHeight="1" ht="14.25">
      <c r="A50" s="1656"/>
      <c r="B50" s="432"/>
      <c r="C50" s="142"/>
      <c r="D50" s="142"/>
      <c r="E50" s="263">
        <v>15</v>
      </c>
      <c r="F50" s="1194" cm="1" t="str">
        <f t="array" ref="F50:F50">OFFSET(E50,-1,1)</f>
        <v>1</v>
      </c>
      <c r="G50" s="154" t="s">
        <v>1394</v>
      </c>
      <c r="H50" s="122" t="s">
        <v>1097</v>
      </c>
      <c r="I50" s="142"/>
      <c r="J50" s="486"/>
      <c r="K50" s="486" t="str">
        <f>F50&amp;"18komm"</f>
        <v>118komm</v>
      </c>
      <c r="L50" s="924" cm="1" t="str">
        <f t="array" ref="L50:L50">AK50</f>
        <v>0</v>
      </c>
      <c r="M50" s="142"/>
      <c r="N50" s="142"/>
      <c r="O50" s="142"/>
      <c r="P50" s="142"/>
      <c r="Q50" s="142"/>
      <c r="R50" s="142"/>
      <c r="S50" s="142"/>
      <c r="T50" s="468" cm="1" t="str">
        <f t="array" ref="T50:T50">T49</f>
        <v>true</v>
      </c>
      <c r="U50" s="142"/>
      <c r="V50" s="142"/>
      <c r="W50" s="142"/>
      <c r="X50" s="1519"/>
      <c r="Y50" s="142"/>
      <c r="Z50" s="1541"/>
      <c r="AA50" s="142"/>
      <c r="AB50" s="348" t="s">
        <v>674</v>
      </c>
      <c r="AC50" s="210" t="s">
        <v>1395</v>
      </c>
      <c r="AD50" s="86" t="s">
        <v>936</v>
      </c>
      <c r="AE50" s="225"/>
      <c r="AF50" s="225"/>
      <c r="AG50" s="225"/>
      <c r="AH50" s="225"/>
      <c r="AI50" s="225"/>
      <c r="AJ50" s="225"/>
      <c r="AK50" s="305"/>
      <c r="AL50" s="142"/>
      <c r="AM50" s="1656"/>
      <c r="AN50" s="1027" t="s">
        <v>1396</v>
      </c>
    </row>
    <row s="1191" customFormat="1" customHeight="1" ht="14.25">
      <c r="A51" s="1541"/>
      <c r="B51" s="431"/>
      <c r="C51" s="1541"/>
      <c r="D51" s="1541"/>
      <c r="E51" s="263">
        <v>15</v>
      </c>
      <c r="F51" s="50" cm="1" t="str">
        <f t="array" ref="F51:F51">OFFSET(E51,-1,1)</f>
        <v>1</v>
      </c>
      <c r="G51" s="154" t="s">
        <v>1397</v>
      </c>
      <c r="H51" s="122" t="s">
        <v>1099</v>
      </c>
      <c r="I51" s="1541"/>
      <c r="J51" s="486"/>
      <c r="K51" s="486" t="str">
        <f>F51&amp;"11komm"</f>
        <v>111komm</v>
      </c>
      <c r="L51" s="924" cm="1" t="str">
        <f t="array" ref="L51:L51">AK51</f>
        <v>0</v>
      </c>
      <c r="M51" s="1541"/>
      <c r="N51" s="1541"/>
      <c r="O51" s="1541"/>
      <c r="P51" s="1541"/>
      <c r="Q51" s="1541"/>
      <c r="R51" s="1541"/>
      <c r="S51" s="1541"/>
      <c r="T51" s="468" cm="1" t="str">
        <f t="array" ref="T51:T51">T50</f>
        <v>true</v>
      </c>
      <c r="U51" s="1541"/>
      <c r="V51" s="1541"/>
      <c r="W51" s="1541"/>
      <c r="X51" s="1519"/>
      <c r="Y51" s="1541"/>
      <c r="Z51" s="1541"/>
      <c r="AA51" s="1541"/>
      <c r="AB51" s="348" t="s">
        <v>678</v>
      </c>
      <c r="AC51" s="210" t="s">
        <v>1398</v>
      </c>
      <c r="AD51" s="86" t="s">
        <v>936</v>
      </c>
      <c r="AE51" s="225"/>
      <c r="AF51" s="225"/>
      <c r="AG51" s="225"/>
      <c r="AH51" s="225"/>
      <c r="AI51" s="225"/>
      <c r="AJ51" s="225"/>
      <c r="AK51" s="305"/>
      <c r="AL51" s="1541"/>
      <c r="AM51" s="1541"/>
      <c r="AN51" s="1038" t="s">
        <v>1399</v>
      </c>
    </row>
    <row s="1191" customFormat="1" customHeight="1" ht="14.25">
      <c r="A52" s="1541"/>
      <c r="B52" s="431"/>
      <c r="C52" s="1541"/>
      <c r="D52" s="1541"/>
      <c r="E52" s="263">
        <v>15</v>
      </c>
      <c r="F52" s="50" cm="1" t="str">
        <f t="array" ref="F52:F52">OFFSET(E52,-1,1)</f>
        <v>1</v>
      </c>
      <c r="G52" s="154" t="s">
        <v>1400</v>
      </c>
      <c r="H52" s="122" t="s">
        <v>1101</v>
      </c>
      <c r="I52" s="1541"/>
      <c r="J52" s="486"/>
      <c r="K52" s="486" t="str">
        <f>F52&amp;"12komm"</f>
        <v>112komm</v>
      </c>
      <c r="L52" s="924" cm="1" t="str">
        <f t="array" ref="L52:L52">AK52</f>
        <v>0</v>
      </c>
      <c r="M52" s="1541"/>
      <c r="N52" s="1541"/>
      <c r="O52" s="1541"/>
      <c r="P52" s="1541"/>
      <c r="Q52" s="1541"/>
      <c r="R52" s="1541"/>
      <c r="S52" s="1541"/>
      <c r="T52" s="468" cm="1" t="str">
        <f t="array" ref="T52:T52">T51</f>
        <v>true</v>
      </c>
      <c r="U52" s="1541"/>
      <c r="V52" s="1541"/>
      <c r="W52" s="1541"/>
      <c r="X52" s="1519"/>
      <c r="Y52" s="1541"/>
      <c r="Z52" s="1541"/>
      <c r="AA52" s="1541"/>
      <c r="AB52" s="348" t="s">
        <v>890</v>
      </c>
      <c r="AC52" s="210" t="s">
        <v>1401</v>
      </c>
      <c r="AD52" s="86" t="s">
        <v>936</v>
      </c>
      <c r="AE52" s="225"/>
      <c r="AF52" s="225"/>
      <c r="AG52" s="225"/>
      <c r="AH52" s="225"/>
      <c r="AI52" s="225"/>
      <c r="AJ52" s="225"/>
      <c r="AK52" s="305"/>
      <c r="AL52" s="1541"/>
      <c r="AM52" s="1541"/>
      <c r="AN52" s="1038" t="s">
        <v>1402</v>
      </c>
    </row>
    <row s="1191" customFormat="1" customHeight="1" ht="14.25">
      <c r="A53" s="1541"/>
      <c r="B53" s="431"/>
      <c r="C53" s="1541"/>
      <c r="D53" s="1541"/>
      <c r="E53" s="263">
        <v>15</v>
      </c>
      <c r="F53" s="50" cm="1" t="str">
        <f t="array" ref="F53:F53">OFFSET(E53,-1,1)</f>
        <v>1</v>
      </c>
      <c r="G53" s="154" t="s">
        <v>1403</v>
      </c>
      <c r="H53" s="122" t="s">
        <v>1103</v>
      </c>
      <c r="I53" s="1541"/>
      <c r="J53" s="486"/>
      <c r="K53" s="486" t="str">
        <f>F53&amp;"13komm"</f>
        <v>113komm</v>
      </c>
      <c r="L53" s="924" cm="1" t="str">
        <f t="array" ref="L53:L53">AK53</f>
        <v>0</v>
      </c>
      <c r="M53" s="1541"/>
      <c r="N53" s="1541"/>
      <c r="O53" s="1541"/>
      <c r="P53" s="1541"/>
      <c r="Q53" s="1541"/>
      <c r="R53" s="1541"/>
      <c r="S53" s="1541"/>
      <c r="T53" s="468" cm="1" t="str">
        <f t="array" ref="T53:T53">T52</f>
        <v>true</v>
      </c>
      <c r="U53" s="1541"/>
      <c r="V53" s="1541"/>
      <c r="W53" s="1541"/>
      <c r="X53" s="1519"/>
      <c r="Y53" s="1541"/>
      <c r="Z53" s="1541"/>
      <c r="AA53" s="1541"/>
      <c r="AB53" s="348" t="s">
        <v>1104</v>
      </c>
      <c r="AC53" s="210" t="s">
        <v>1404</v>
      </c>
      <c r="AD53" s="86" t="s">
        <v>936</v>
      </c>
      <c r="AE53" s="225"/>
      <c r="AF53" s="225"/>
      <c r="AG53" s="225"/>
      <c r="AH53" s="225"/>
      <c r="AI53" s="225"/>
      <c r="AJ53" s="225"/>
      <c r="AK53" s="305"/>
      <c r="AL53" s="1541"/>
      <c r="AM53" s="1541"/>
      <c r="AN53" s="1038" t="s">
        <v>1405</v>
      </c>
    </row>
    <row s="1191" customFormat="1" customHeight="1" ht="14.25">
      <c r="A54" s="1541"/>
      <c r="B54" s="431"/>
      <c r="C54" s="1541"/>
      <c r="D54" s="1541"/>
      <c r="E54" s="263">
        <v>15</v>
      </c>
      <c r="F54" s="50" cm="1" t="str">
        <f t="array" ref="F54:F54">OFFSET(E54,-1,1)</f>
        <v>1</v>
      </c>
      <c r="G54" s="154" t="s">
        <v>1406</v>
      </c>
      <c r="H54" s="122" t="s">
        <v>1106</v>
      </c>
      <c r="I54" s="1541"/>
      <c r="J54" s="486"/>
      <c r="K54" s="486" t="str">
        <f>F54&amp;"14komm"</f>
        <v>114komm</v>
      </c>
      <c r="L54" s="924" cm="1" t="str">
        <f t="array" ref="L54:L54">AK54</f>
        <v>0</v>
      </c>
      <c r="M54" s="1541"/>
      <c r="N54" s="1541"/>
      <c r="O54" s="1541"/>
      <c r="P54" s="1541"/>
      <c r="Q54" s="1541"/>
      <c r="R54" s="1541"/>
      <c r="S54" s="1541"/>
      <c r="T54" s="468" cm="1" t="str">
        <f t="array" ref="T54:T54">T53</f>
        <v>true</v>
      </c>
      <c r="U54" s="1541"/>
      <c r="V54" s="1541"/>
      <c r="W54" s="1541"/>
      <c r="X54" s="1519"/>
      <c r="Y54" s="1541"/>
      <c r="Z54" s="1541"/>
      <c r="AA54" s="1541"/>
      <c r="AB54" s="348" t="s">
        <v>1107</v>
      </c>
      <c r="AC54" s="210" t="s">
        <v>1407</v>
      </c>
      <c r="AD54" s="86" t="s">
        <v>936</v>
      </c>
      <c r="AE54" s="225"/>
      <c r="AF54" s="225"/>
      <c r="AG54" s="225"/>
      <c r="AH54" s="225"/>
      <c r="AI54" s="225"/>
      <c r="AJ54" s="225"/>
      <c r="AK54" s="305"/>
      <c r="AL54" s="1541"/>
      <c r="AM54" s="1541"/>
      <c r="AN54" s="1038" t="s">
        <v>1408</v>
      </c>
    </row>
    <row s="1191" customFormat="1" customHeight="1" ht="14.25">
      <c r="A55" s="1541"/>
      <c r="B55" s="431"/>
      <c r="C55" s="1541"/>
      <c r="D55" s="1541"/>
      <c r="E55" s="263">
        <v>15</v>
      </c>
      <c r="F55" s="50" cm="1" t="str">
        <f t="array" ref="F55:F55">OFFSET(E55,-1,1)</f>
        <v>1</v>
      </c>
      <c r="G55" s="154" t="s">
        <v>1409</v>
      </c>
      <c r="H55" s="122" t="s">
        <v>1410</v>
      </c>
      <c r="I55" s="1541"/>
      <c r="J55" s="486"/>
      <c r="K55" s="486" t="str">
        <f>F55&amp;"15komm"</f>
        <v>115komm</v>
      </c>
      <c r="L55" s="924" cm="1" t="str">
        <f t="array" ref="L55:L55">AK55</f>
        <v>0</v>
      </c>
      <c r="M55" s="1541"/>
      <c r="N55" s="1541"/>
      <c r="O55" s="1541"/>
      <c r="P55" s="1541"/>
      <c r="Q55" s="1541"/>
      <c r="R55" s="1541"/>
      <c r="S55" s="1541"/>
      <c r="T55" s="468" cm="1" t="str">
        <f t="array" ref="T55:T55">T54</f>
        <v>true</v>
      </c>
      <c r="U55" s="1541"/>
      <c r="V55" s="1541"/>
      <c r="W55" s="1541"/>
      <c r="X55" s="1519"/>
      <c r="Y55" s="1541"/>
      <c r="Z55" s="1541"/>
      <c r="AA55" s="1541"/>
      <c r="AB55" s="348" t="s">
        <v>1411</v>
      </c>
      <c r="AC55" s="210" t="s">
        <v>1412</v>
      </c>
      <c r="AD55" s="86" t="s">
        <v>936</v>
      </c>
      <c r="AE55" s="225"/>
      <c r="AF55" s="225"/>
      <c r="AG55" s="225"/>
      <c r="AH55" s="225"/>
      <c r="AI55" s="225"/>
      <c r="AJ55" s="225"/>
      <c r="AK55" s="305"/>
      <c r="AL55" s="1541"/>
      <c r="AM55" s="1541"/>
      <c r="AN55" s="1038" t="s">
        <v>1413</v>
      </c>
    </row>
    <row s="1191" customFormat="1" customHeight="1" ht="14.25">
      <c r="A56" s="1541"/>
      <c r="B56" s="431"/>
      <c r="C56" s="1541"/>
      <c r="D56" s="1541"/>
      <c r="E56" s="263">
        <v>15</v>
      </c>
      <c r="F56" s="50" cm="1" t="str">
        <f t="array" ref="F56:F56">OFFSET(E56,-1,1)</f>
        <v>1</v>
      </c>
      <c r="G56" s="154" t="s">
        <v>1414</v>
      </c>
      <c r="H56" s="122" t="s">
        <v>1415</v>
      </c>
      <c r="I56" s="1541"/>
      <c r="J56" s="486"/>
      <c r="K56" s="486" t="str">
        <f>F56&amp;"16komm"</f>
        <v>116komm</v>
      </c>
      <c r="L56" s="924" cm="1" t="str">
        <f t="array" ref="L56:L56">AK56</f>
        <v>0</v>
      </c>
      <c r="M56" s="1541"/>
      <c r="N56" s="1541"/>
      <c r="O56" s="1541"/>
      <c r="P56" s="1541"/>
      <c r="Q56" s="1541"/>
      <c r="R56" s="1541"/>
      <c r="S56" s="1541"/>
      <c r="T56" s="468" cm="1" t="str">
        <f t="array" ref="T56:T56">T55</f>
        <v>true</v>
      </c>
      <c r="U56" s="1541"/>
      <c r="V56" s="1541"/>
      <c r="W56" s="1541"/>
      <c r="X56" s="1519"/>
      <c r="Y56" s="1541"/>
      <c r="Z56" s="1541"/>
      <c r="AA56" s="1541"/>
      <c r="AB56" s="348" t="s">
        <v>1416</v>
      </c>
      <c r="AC56" s="210" t="s">
        <v>1417</v>
      </c>
      <c r="AD56" s="86" t="s">
        <v>936</v>
      </c>
      <c r="AE56" s="225"/>
      <c r="AF56" s="225"/>
      <c r="AG56" s="225"/>
      <c r="AH56" s="225"/>
      <c r="AI56" s="225"/>
      <c r="AJ56" s="225"/>
      <c r="AK56" s="305"/>
      <c r="AL56" s="1541"/>
      <c r="AM56" s="1541"/>
      <c r="AN56" s="1038" t="s">
        <v>1418</v>
      </c>
    </row>
    <row s="1191" customFormat="1" customHeight="1" ht="32.25">
      <c r="A57" s="1541"/>
      <c r="B57" s="431"/>
      <c r="C57" s="1541"/>
      <c r="D57" s="1541"/>
      <c r="E57" s="263">
        <v>33.75</v>
      </c>
      <c r="F57" s="50" cm="1" t="str">
        <f t="array" ref="F57:F57">OFFSET(E57,-1,1)</f>
        <v>1</v>
      </c>
      <c r="G57" s="345" t="s">
        <v>1419</v>
      </c>
      <c r="H57" s="122" t="s">
        <v>348</v>
      </c>
      <c r="I57" s="1541"/>
      <c r="J57" s="486"/>
      <c r="K57" s="486" t="str">
        <f>F57&amp;"2komm"</f>
        <v>12komm</v>
      </c>
      <c r="L57" s="924" cm="1" t="str">
        <f t="array" ref="L57:L57">AK57</f>
        <v>0</v>
      </c>
      <c r="M57" s="1541"/>
      <c r="N57" s="1541"/>
      <c r="O57" s="1541"/>
      <c r="P57" s="1541"/>
      <c r="Q57" s="1541"/>
      <c r="R57" s="1541"/>
      <c r="S57" s="1541"/>
      <c r="T57" s="468" cm="1" t="str">
        <f t="array" ref="T57:T57">T56</f>
        <v>true</v>
      </c>
      <c r="U57" s="1541"/>
      <c r="V57" s="1541"/>
      <c r="W57" s="1541"/>
      <c r="X57" s="1519"/>
      <c r="Y57" s="1541"/>
      <c r="Z57" s="1541"/>
      <c r="AA57" s="1541"/>
      <c r="AB57" s="348" t="s">
        <v>451</v>
      </c>
      <c r="AC57" s="337" t="s">
        <v>1420</v>
      </c>
      <c r="AD57" s="86" t="s">
        <v>936</v>
      </c>
      <c r="AE57" s="225"/>
      <c r="AF57" s="225"/>
      <c r="AG57" s="225"/>
      <c r="AH57" s="225"/>
      <c r="AI57" s="225"/>
      <c r="AJ57" s="225"/>
      <c r="AK57" s="305"/>
      <c r="AL57" s="1541"/>
      <c r="AM57" s="1541"/>
      <c r="AN57" s="1038" t="s">
        <v>1421</v>
      </c>
    </row>
    <row s="1191" customFormat="1" customHeight="1" ht="14.25">
      <c r="A58" s="1541"/>
      <c r="B58" s="431"/>
      <c r="C58" s="1541"/>
      <c r="D58" s="1541"/>
      <c r="E58" s="263">
        <v>15</v>
      </c>
      <c r="F58" s="50" cm="1" t="str">
        <f t="array" ref="F58:F58">OFFSET(E58,-1,1)</f>
        <v>1</v>
      </c>
      <c r="G58" s="345" t="s">
        <v>1422</v>
      </c>
      <c r="H58" s="122" t="s">
        <v>347</v>
      </c>
      <c r="I58" s="1541"/>
      <c r="J58" s="486"/>
      <c r="K58" s="486" t="str">
        <f>F58&amp;"3komm"</f>
        <v>13komm</v>
      </c>
      <c r="L58" s="924" cm="1" t="str">
        <f t="array" ref="L58:L58">AK58</f>
        <v>0</v>
      </c>
      <c r="M58" s="1541"/>
      <c r="N58" s="1541"/>
      <c r="O58" s="1541"/>
      <c r="P58" s="1541"/>
      <c r="Q58" s="1541"/>
      <c r="R58" s="1541"/>
      <c r="S58" s="1541"/>
      <c r="T58" s="468" cm="1" t="str">
        <f t="array" ref="T58:T58">T57</f>
        <v>true</v>
      </c>
      <c r="U58" s="1541"/>
      <c r="V58" s="1541"/>
      <c r="W58" s="1541"/>
      <c r="X58" s="1519"/>
      <c r="Y58" s="1541"/>
      <c r="Z58" s="1541"/>
      <c r="AA58" s="1541"/>
      <c r="AB58" s="348" t="s">
        <v>454</v>
      </c>
      <c r="AC58" s="337" t="s">
        <v>1423</v>
      </c>
      <c r="AD58" s="86" t="s">
        <v>936</v>
      </c>
      <c r="AE58" s="225"/>
      <c r="AF58" s="225"/>
      <c r="AG58" s="225"/>
      <c r="AH58" s="225"/>
      <c r="AI58" s="225"/>
      <c r="AJ58" s="225"/>
      <c r="AK58" s="305"/>
      <c r="AL58" s="1541"/>
      <c r="AM58" s="1541"/>
      <c r="AN58" s="1038" t="s">
        <v>1424</v>
      </c>
    </row>
    <row s="1191" customFormat="1" customHeight="1" ht="14.25">
      <c r="A59" s="1541"/>
      <c r="B59" s="431"/>
      <c r="C59" s="1541"/>
      <c r="D59" s="1541"/>
      <c r="E59" s="263">
        <v>15</v>
      </c>
      <c r="F59" s="50" cm="1" t="str">
        <f t="array" ref="F59:F59">OFFSET(E59,-1,1)</f>
        <v>1</v>
      </c>
      <c r="G59" s="345" t="s">
        <v>1425</v>
      </c>
      <c r="H59" s="122" t="s">
        <v>616</v>
      </c>
      <c r="I59" s="1541"/>
      <c r="J59" s="1541"/>
      <c r="K59" s="486" t="str">
        <f>F59&amp;"4komm"</f>
        <v>14komm</v>
      </c>
      <c r="L59" s="924" cm="1" t="str">
        <f t="array" ref="L59:L59">AK59</f>
        <v>0</v>
      </c>
      <c r="M59" s="1541"/>
      <c r="N59" s="1541"/>
      <c r="O59" s="1541"/>
      <c r="P59" s="1541"/>
      <c r="Q59" s="1541"/>
      <c r="R59" s="1541"/>
      <c r="S59" s="1541"/>
      <c r="T59" s="468" cm="1" t="str">
        <f t="array" ref="T59:T59">T58</f>
        <v>true</v>
      </c>
      <c r="U59" s="1541"/>
      <c r="V59" s="1541"/>
      <c r="W59" s="1541"/>
      <c r="X59" s="1519"/>
      <c r="Y59" s="1541"/>
      <c r="Z59" s="1541"/>
      <c r="AA59" s="1541"/>
      <c r="AB59" s="348" t="s">
        <v>457</v>
      </c>
      <c r="AC59" s="337" t="s">
        <v>1426</v>
      </c>
      <c r="AD59" s="86" t="s">
        <v>936</v>
      </c>
      <c r="AE59" s="225"/>
      <c r="AF59" s="225"/>
      <c r="AG59" s="225"/>
      <c r="AH59" s="225"/>
      <c r="AI59" s="225"/>
      <c r="AJ59" s="225"/>
      <c r="AK59" s="305"/>
      <c r="AL59" s="1541"/>
      <c r="AM59" s="1541"/>
      <c r="AN59" s="1038" t="s">
        <v>1427</v>
      </c>
    </row>
    <row s="1191" customFormat="1" customHeight="1" ht="14.25">
      <c r="A60" s="1541"/>
      <c r="B60" s="431"/>
      <c r="C60" s="1541"/>
      <c r="D60" s="1541"/>
      <c r="E60" s="263">
        <v>15</v>
      </c>
      <c r="F60" s="50" cm="1" t="str">
        <f t="array" ref="F60:F60">OFFSET(E60,-1,1)</f>
        <v>1</v>
      </c>
      <c r="G60" s="345" t="s">
        <v>1428</v>
      </c>
      <c r="H60" s="122" t="s">
        <v>619</v>
      </c>
      <c r="I60" s="1541"/>
      <c r="J60" s="1541"/>
      <c r="K60" s="486" t="str">
        <f>F60&amp;"5komm"</f>
        <v>15komm</v>
      </c>
      <c r="L60" s="924" cm="1" t="str">
        <f t="array" ref="L60:L60">AK60</f>
        <v>0</v>
      </c>
      <c r="M60" s="1541"/>
      <c r="N60" s="1541"/>
      <c r="O60" s="1541"/>
      <c r="P60" s="1541"/>
      <c r="Q60" s="1541"/>
      <c r="R60" s="1541"/>
      <c r="S60" s="1541"/>
      <c r="T60" s="468" cm="1" t="str">
        <f t="array" ref="T60:T60">T59</f>
        <v>true</v>
      </c>
      <c r="U60" s="1541"/>
      <c r="V60" s="1541"/>
      <c r="W60" s="1541"/>
      <c r="X60" s="1519"/>
      <c r="Y60" s="1541"/>
      <c r="Z60" s="1541"/>
      <c r="AA60" s="1541"/>
      <c r="AB60" s="348" t="s">
        <v>460</v>
      </c>
      <c r="AC60" s="337" t="s">
        <v>1429</v>
      </c>
      <c r="AD60" s="86" t="s">
        <v>936</v>
      </c>
      <c r="AE60" s="225"/>
      <c r="AF60" s="225"/>
      <c r="AG60" s="225"/>
      <c r="AH60" s="225"/>
      <c r="AI60" s="225"/>
      <c r="AJ60" s="225"/>
      <c r="AK60" s="305"/>
      <c r="AL60" s="1541"/>
      <c r="AM60" s="1541"/>
      <c r="AN60" s="1038" t="s">
        <v>1430</v>
      </c>
    </row>
    <row s="1191" customFormat="1" customHeight="1" ht="14.25">
      <c r="A61" s="1541"/>
      <c r="B61" s="431"/>
      <c r="C61" s="1541"/>
      <c r="D61" s="1541"/>
      <c r="E61" s="263">
        <v>15</v>
      </c>
      <c r="F61" s="50" cm="1" t="str">
        <f t="array" ref="F61:F61">OFFSET(E61,-1,1)</f>
        <v>1</v>
      </c>
      <c r="G61" s="345" t="s">
        <v>1431</v>
      </c>
      <c r="H61" s="122" t="s">
        <v>685</v>
      </c>
      <c r="I61" s="1541"/>
      <c r="J61" s="1541"/>
      <c r="K61" s="486" t="str">
        <f>F61&amp;"6komm"</f>
        <v>16komm</v>
      </c>
      <c r="L61" s="924" cm="1" t="str">
        <f t="array" ref="L61:L61">AK61</f>
        <v>0</v>
      </c>
      <c r="M61" s="1541"/>
      <c r="N61" s="1541"/>
      <c r="O61" s="1541"/>
      <c r="P61" s="1541"/>
      <c r="Q61" s="1541"/>
      <c r="R61" s="1541"/>
      <c r="S61" s="1541"/>
      <c r="T61" s="468" cm="1" t="str">
        <f t="array" ref="T61:T61">T60</f>
        <v>true</v>
      </c>
      <c r="U61" s="1541"/>
      <c r="V61" s="1541"/>
      <c r="W61" s="1541"/>
      <c r="X61" s="1519"/>
      <c r="Y61" s="1541"/>
      <c r="Z61" s="1541"/>
      <c r="AA61" s="1541"/>
      <c r="AB61" s="348" t="s">
        <v>463</v>
      </c>
      <c r="AC61" s="337" t="s">
        <v>1432</v>
      </c>
      <c r="AD61" s="86" t="s">
        <v>936</v>
      </c>
      <c r="AE61" s="349">
        <f>SUM(AE62:AE64)</f>
        <v>0</v>
      </c>
      <c r="AF61" s="349">
        <f>SUM(AF62:AF64)</f>
        <v>0</v>
      </c>
      <c r="AG61" s="349">
        <f>SUM(AG62:AG64)</f>
        <v>0</v>
      </c>
      <c r="AH61" s="349">
        <f>SUM(AH62:AH64)</f>
        <v>0</v>
      </c>
      <c r="AI61" s="349">
        <f>SUM(AI62:AI64)</f>
        <v>0</v>
      </c>
      <c r="AJ61" s="349">
        <f>SUM(AJ62:AJ64)</f>
        <v>0</v>
      </c>
      <c r="AK61" s="305"/>
      <c r="AL61" s="1541"/>
      <c r="AM61" s="1541"/>
      <c r="AN61" s="1038" t="s">
        <v>407</v>
      </c>
    </row>
    <row s="1191" customFormat="1" customHeight="1" ht="14.25">
      <c r="A62" s="1541"/>
      <c r="B62" s="431"/>
      <c r="C62" s="1541"/>
      <c r="D62" s="1541"/>
      <c r="E62" s="263">
        <v>15</v>
      </c>
      <c r="F62" s="50" cm="1" t="str">
        <f t="array" ref="F62:F62">OFFSET(E62,-1,1)</f>
        <v>1</v>
      </c>
      <c r="G62" s="345" t="s">
        <v>1433</v>
      </c>
      <c r="H62" s="122" t="s">
        <v>688</v>
      </c>
      <c r="I62" s="1541"/>
      <c r="J62" s="1541"/>
      <c r="K62" s="486" t="str">
        <f>F62&amp;"7komm"</f>
        <v>17komm</v>
      </c>
      <c r="L62" s="924" cm="1" t="str">
        <f t="array" ref="L62:L62">AK62</f>
        <v>0</v>
      </c>
      <c r="M62" s="1541"/>
      <c r="N62" s="1541"/>
      <c r="O62" s="1541"/>
      <c r="P62" s="1541"/>
      <c r="Q62" s="1541"/>
      <c r="R62" s="1541"/>
      <c r="S62" s="1541"/>
      <c r="T62" s="468" cm="1" t="str">
        <f t="array" ref="T62:T62">T61</f>
        <v>true</v>
      </c>
      <c r="U62" s="1541"/>
      <c r="V62" s="1541"/>
      <c r="W62" s="1541"/>
      <c r="X62" s="1519"/>
      <c r="Y62" s="1541"/>
      <c r="Z62" s="1541"/>
      <c r="AA62" s="1541"/>
      <c r="AB62" s="348" t="s">
        <v>711</v>
      </c>
      <c r="AC62" s="210" t="s">
        <v>1434</v>
      </c>
      <c r="AD62" s="86" t="s">
        <v>936</v>
      </c>
      <c r="AE62" s="225"/>
      <c r="AF62" s="225"/>
      <c r="AG62" s="225"/>
      <c r="AH62" s="225"/>
      <c r="AI62" s="225"/>
      <c r="AJ62" s="225"/>
      <c r="AK62" s="305"/>
      <c r="AL62" s="1541"/>
      <c r="AM62" s="1541"/>
      <c r="AN62" s="1038" t="s">
        <v>1435</v>
      </c>
    </row>
    <row s="1191" customFormat="1" customHeight="1" ht="43.5">
      <c r="A63" s="1541"/>
      <c r="B63" s="431"/>
      <c r="C63" s="1541"/>
      <c r="D63" s="1541"/>
      <c r="E63" s="263">
        <v>45</v>
      </c>
      <c r="F63" s="50" cm="1" t="str">
        <f t="array" ref="F63:F63">OFFSET(E63,-1,1)</f>
        <v>1</v>
      </c>
      <c r="G63" s="345" t="s">
        <v>1436</v>
      </c>
      <c r="H63" s="122" t="s">
        <v>692</v>
      </c>
      <c r="I63" s="1541"/>
      <c r="J63" s="1541"/>
      <c r="K63" s="486" t="str">
        <f>F63&amp;"8komm"</f>
        <v>18komm</v>
      </c>
      <c r="L63" s="924" cm="1" t="str">
        <f t="array" ref="L63:L63">AK63</f>
        <v>0</v>
      </c>
      <c r="M63" s="1541"/>
      <c r="N63" s="1541"/>
      <c r="O63" s="1541"/>
      <c r="P63" s="1541"/>
      <c r="Q63" s="1541"/>
      <c r="R63" s="1541"/>
      <c r="S63" s="1541"/>
      <c r="T63" s="468" cm="1" t="str">
        <f t="array" ref="T63:T63">T62</f>
        <v>true</v>
      </c>
      <c r="U63" s="1541"/>
      <c r="V63" s="1541"/>
      <c r="W63" s="1541"/>
      <c r="X63" s="1519"/>
      <c r="Y63" s="1541"/>
      <c r="Z63" s="1541"/>
      <c r="AA63" s="1541"/>
      <c r="AB63" s="348" t="s">
        <v>728</v>
      </c>
      <c r="AC63" s="769" t="s">
        <v>1437</v>
      </c>
      <c r="AD63" s="86" t="s">
        <v>936</v>
      </c>
      <c r="AE63" s="225"/>
      <c r="AF63" s="225"/>
      <c r="AG63" s="225"/>
      <c r="AH63" s="225"/>
      <c r="AI63" s="225"/>
      <c r="AJ63" s="225"/>
      <c r="AK63" s="305"/>
      <c r="AL63" s="1541"/>
      <c r="AM63" s="1541"/>
      <c r="AN63" s="1038" t="s">
        <v>1438</v>
      </c>
    </row>
    <row s="1191" customFormat="1" customHeight="1" ht="14.25">
      <c r="A64" s="1541"/>
      <c r="B64" s="431"/>
      <c r="C64" s="1541"/>
      <c r="D64" s="1541"/>
      <c r="E64" s="263">
        <v>15</v>
      </c>
      <c r="F64" s="50" cm="1" t="str">
        <f t="array" ref="F64:F64">OFFSET(E64,-1,1)</f>
        <v>1</v>
      </c>
      <c r="G64" s="154" t="s">
        <v>1439</v>
      </c>
      <c r="H64" s="122" t="s">
        <v>696</v>
      </c>
      <c r="I64" s="1541"/>
      <c r="J64" s="1541"/>
      <c r="K64" s="486" t="str">
        <f>F64&amp;"9komm"</f>
        <v>19komm</v>
      </c>
      <c r="L64" s="924" cm="1" t="str">
        <f t="array" ref="L64:L64">AK64</f>
        <v>0</v>
      </c>
      <c r="M64" s="1541"/>
      <c r="N64" s="1541"/>
      <c r="O64" s="1541"/>
      <c r="P64" s="1541"/>
      <c r="Q64" s="1541"/>
      <c r="R64" s="1541"/>
      <c r="S64" s="1541"/>
      <c r="T64" s="468" cm="1" t="str">
        <f t="array" ref="T64:T64">T63</f>
        <v>true</v>
      </c>
      <c r="U64" s="1541"/>
      <c r="V64" s="1541"/>
      <c r="W64" s="1541"/>
      <c r="X64" s="1519"/>
      <c r="Y64" s="1541"/>
      <c r="Z64" s="1541"/>
      <c r="AA64" s="1541"/>
      <c r="AB64" s="348" t="s">
        <v>740</v>
      </c>
      <c r="AC64" s="210" t="s">
        <v>1440</v>
      </c>
      <c r="AD64" s="86" t="s">
        <v>936</v>
      </c>
      <c r="AE64" s="225"/>
      <c r="AF64" s="225"/>
      <c r="AG64" s="225"/>
      <c r="AH64" s="225"/>
      <c r="AI64" s="1376"/>
      <c r="AJ64" s="1376"/>
      <c r="AK64" s="305"/>
      <c r="AL64" s="1541"/>
      <c r="AM64" s="1541"/>
      <c r="AN64" s="1038" t="s">
        <v>1441</v>
      </c>
    </row>
    <row s="1656" customFormat="1" customHeight="1" ht="10.5">
      <c r="A65" s="1328"/>
      <c r="B65" s="1186"/>
      <c r="C65" s="142"/>
      <c r="D65" s="142"/>
      <c r="E65" s="263">
        <v>11.25</v>
      </c>
      <c r="F65" s="94" cm="1" t="str">
        <f t="array" ref="F65:F65">X65</f>
        <v>2</v>
      </c>
      <c r="G65" s="142"/>
      <c r="H65" s="142"/>
      <c r="I65" s="142"/>
      <c r="J65" s="142"/>
      <c r="K65" s="142"/>
      <c r="L65" s="142"/>
      <c r="M65" s="142"/>
      <c r="N65" s="142"/>
      <c r="O65" s="142"/>
      <c r="P65" s="142"/>
      <c r="Q65" s="142"/>
      <c r="R65" s="142"/>
      <c r="S65" s="142"/>
      <c r="T65" s="468">
        <f>X65&gt;0</f>
        <v>1</v>
      </c>
      <c r="U65" s="142"/>
      <c r="V65" s="142" cm="1" t="str">
        <f t="array" ref="V65:V65">ФОТ!$AB$77</f>
        <v>Тариф 2 (Водоотведение) - тариф на водоотведение (Оказание услуг на территории: город Ленинск-Кузнецкий (ОКТМО: 32719000) - г Ленинск-Кузнецкий)</v>
      </c>
      <c r="W65" s="142"/>
      <c r="X65" s="1519" t="s">
        <v>299</v>
      </c>
      <c r="Y65" s="142"/>
      <c r="Z65" s="1541"/>
      <c r="AA65" s="142"/>
      <c r="AB65" s="238" cm="1" t="str">
        <f t="array" ref="AB65:AB65">ФОТ!$AB$77</f>
        <v>Тариф 2 (Водоотведение) - тариф на водоотведение (Оказание услуг на территории: город Ленинск-Кузнецкий (ОКТМО: 32719000) - г Ленинск-Кузнецкий)</v>
      </c>
      <c r="AC65" s="176"/>
      <c r="AD65" s="176"/>
      <c r="AE65" s="302">
        <f>AE66+AE67+AE68+AE76+AE77+AE78+AE79+AE80</f>
        <v>0</v>
      </c>
      <c r="AF65" s="302">
        <f>AF66+AF67+AF68+AF76+AF77+AF78+AF79+AF80</f>
        <v>0</v>
      </c>
      <c r="AG65" s="302">
        <f>AG66+AG67+AG68+AG76+AG77+AG78+AG79+AG80</f>
        <v>0</v>
      </c>
      <c r="AH65" s="302">
        <f>AH66+AH67+AH68+AH76+AH77+AH78+AH79+AH80</f>
        <v>0</v>
      </c>
      <c r="AI65" s="302">
        <f>AI66+AI67+AI68+AI76+AI77+AI78+AI79+AI80</f>
        <v>0</v>
      </c>
      <c r="AJ65" s="302">
        <f>AJ66+AJ67+AJ68+AJ76+AJ77+AJ78+AJ79+AJ80</f>
        <v>0</v>
      </c>
      <c r="AK65" s="170"/>
      <c r="AL65" s="142"/>
      <c r="AM65" s="1328"/>
      <c r="AN65" s="1330"/>
    </row>
    <row s="1656" customFormat="1" customHeight="1" ht="21.75">
      <c r="A66" s="1328"/>
      <c r="B66" s="1186"/>
      <c r="C66" s="142"/>
      <c r="D66" s="142"/>
      <c r="E66" s="263">
        <v>22.5</v>
      </c>
      <c r="F66" s="50" cm="1" t="str">
        <f t="array" ref="F66:F66">OFFSET(E66,-1,1)</f>
        <v>2</v>
      </c>
      <c r="G66" s="142"/>
      <c r="H66" s="122" t="s">
        <v>344</v>
      </c>
      <c r="I66" s="142"/>
      <c r="J66" s="142"/>
      <c r="K66" s="142"/>
      <c r="L66" s="142"/>
      <c r="M66" s="142"/>
      <c r="N66" s="142"/>
      <c r="O66" s="142"/>
      <c r="P66" s="142"/>
      <c r="Q66" s="142"/>
      <c r="R66" s="142"/>
      <c r="S66" s="142"/>
      <c r="T66" s="468" cm="1" t="str">
        <f t="array" ref="T66:T66">T65</f>
        <v>true</v>
      </c>
      <c r="U66" s="142"/>
      <c r="V66" s="142"/>
      <c r="W66" s="142"/>
      <c r="X66" s="1519"/>
      <c r="Y66" s="142"/>
      <c r="Z66" s="1541"/>
      <c r="AA66" s="142"/>
      <c r="AB66" s="348">
        <v>1</v>
      </c>
      <c r="AC66" s="337" t="s">
        <v>1374</v>
      </c>
      <c r="AD66" s="86" t="s">
        <v>936</v>
      </c>
      <c r="AE66" s="899">
        <f>_xlfn.SUMIFS(ФОТ!AE$25:AE$127,ФОТ!$F$25:$F$127,$F66,ФОТ!$AC$25:$AC$127,$AC66)</f>
        <v>0</v>
      </c>
      <c r="AF66" s="899">
        <f>_xlfn.SUMIFS(ФОТ!AF$25:AF$127,ФОТ!$F$25:$F$127,$F66,ФОТ!$AC$25:$AC$127,$AC66)</f>
        <v>0</v>
      </c>
      <c r="AG66" s="899">
        <f>_xlfn.SUMIFS(ФОТ!AG$25:AG$127,ФОТ!$F$25:$F$127,$F66,ФОТ!$AC$25:$AC$127,$AC66)</f>
        <v>0</v>
      </c>
      <c r="AH66" s="899">
        <f>_xlfn.SUMIFS(ФОТ!AH$25:AH$127,ФОТ!$F$25:$F$127,$F66,ФОТ!$AC$25:$AC$127,$AC66)</f>
        <v>0</v>
      </c>
      <c r="AI66" s="899">
        <f>_xlfn.SUMIFS(ФОТ!AI$25:AI$127,ФОТ!$F$25:$F$127,$F66,ФОТ!$AC$25:$AC$127,$AC66)</f>
        <v>0</v>
      </c>
      <c r="AJ66" s="899">
        <f>_xlfn.SUMIFS(ФОТ!AJ$25:AJ$127,ФОТ!$F$25:$F$127,$F66,ФОТ!$AC$25:$AC$127,$AC66)</f>
        <v>0</v>
      </c>
      <c r="AK66" s="305"/>
      <c r="AL66" s="142"/>
      <c r="AM66" s="1328"/>
      <c r="AN66" s="1023" t="s">
        <v>1390</v>
      </c>
    </row>
    <row s="1656" customFormat="1" customHeight="1" ht="21.75">
      <c r="A67" s="1328"/>
      <c r="B67" s="1186"/>
      <c r="C67" s="142"/>
      <c r="D67" s="142"/>
      <c r="E67" s="263">
        <v>22.5</v>
      </c>
      <c r="F67" s="50" cm="1" t="str">
        <f t="array" ref="F67:F67">OFFSET(E67,-1,1)</f>
        <v>2</v>
      </c>
      <c r="G67" s="142"/>
      <c r="H67" s="122" t="s">
        <v>345</v>
      </c>
      <c r="I67" s="142"/>
      <c r="J67" s="486"/>
      <c r="K67" s="486"/>
      <c r="L67" s="486"/>
      <c r="M67" s="142"/>
      <c r="N67" s="142"/>
      <c r="O67" s="142"/>
      <c r="P67" s="142"/>
      <c r="Q67" s="142"/>
      <c r="R67" s="142"/>
      <c r="S67" s="142"/>
      <c r="T67" s="468" cm="1" t="str">
        <f t="array" ref="T67:T67">T66</f>
        <v>true</v>
      </c>
      <c r="U67" s="142"/>
      <c r="V67" s="142"/>
      <c r="W67" s="142"/>
      <c r="X67" s="1519"/>
      <c r="Y67" s="142"/>
      <c r="Z67" s="1541"/>
      <c r="AA67" s="142"/>
      <c r="AB67" s="348" t="s">
        <v>299</v>
      </c>
      <c r="AC67" s="337" t="s">
        <v>1379</v>
      </c>
      <c r="AD67" s="86" t="s">
        <v>936</v>
      </c>
      <c r="AE67" s="899">
        <f>_xlfn.SUMIFS(ФОТ!AE$25:AE$127,ФОТ!$F$25:$F$127,$F67,ФОТ!$AC$25:$AC$127,$AC67)</f>
        <v>0</v>
      </c>
      <c r="AF67" s="899">
        <f>_xlfn.SUMIFS(ФОТ!AF$25:AF$127,ФОТ!$F$25:$F$127,$F67,ФОТ!$AC$25:$AC$127,$AC67)</f>
        <v>0</v>
      </c>
      <c r="AG67" s="899">
        <f>_xlfn.SUMIFS(ФОТ!AG$25:AG$127,ФОТ!$F$25:$F$127,$F67,ФОТ!$AC$25:$AC$127,$AC67)</f>
        <v>0</v>
      </c>
      <c r="AH67" s="899">
        <f>_xlfn.SUMIFS(ФОТ!AH$25:AH$127,ФОТ!$F$25:$F$127,$F67,ФОТ!$AC$25:$AC$127,$AC67)</f>
        <v>0</v>
      </c>
      <c r="AI67" s="899">
        <f>_xlfn.SUMIFS(ФОТ!AI$25:AI$127,ФОТ!$F$25:$F$127,$F67,ФОТ!$AC$25:$AC$127,$AC67)</f>
        <v>0</v>
      </c>
      <c r="AJ67" s="899">
        <f>_xlfn.SUMIFS(ФОТ!AJ$25:AJ$127,ФОТ!$F$25:$F$127,$F67,ФОТ!$AC$25:$AC$127,$AC67)</f>
        <v>0</v>
      </c>
      <c r="AK67" s="305"/>
      <c r="AL67" s="142"/>
      <c r="AM67" s="1328"/>
      <c r="AN67" s="1023" t="s">
        <v>1380</v>
      </c>
    </row>
    <row s="1656" customFormat="1" customHeight="1" ht="32.25">
      <c r="A68" s="1328"/>
      <c r="B68" s="1186"/>
      <c r="C68" s="142"/>
      <c r="D68" s="142"/>
      <c r="E68" s="263">
        <v>33.75</v>
      </c>
      <c r="F68" s="50" cm="1" t="str">
        <f t="array" ref="F68:F68">OFFSET(E68,-1,1)</f>
        <v>2</v>
      </c>
      <c r="G68" s="345" t="s">
        <v>1391</v>
      </c>
      <c r="H68" s="122" t="s">
        <v>346</v>
      </c>
      <c r="I68" s="142"/>
      <c r="J68" s="486"/>
      <c r="K68" s="486" t="str">
        <f>F68&amp;"17komm"</f>
        <v>217komm</v>
      </c>
      <c r="L68" s="924" cm="1" t="str">
        <f t="array" ref="L68:L68">AK68</f>
        <v>0</v>
      </c>
      <c r="M68" s="142"/>
      <c r="N68" s="142"/>
      <c r="O68" s="142"/>
      <c r="P68" s="142"/>
      <c r="Q68" s="142"/>
      <c r="R68" s="142"/>
      <c r="S68" s="142"/>
      <c r="T68" s="468" cm="1" t="str">
        <f t="array" ref="T68:T68">T67</f>
        <v>true</v>
      </c>
      <c r="U68" s="142"/>
      <c r="V68" s="142"/>
      <c r="W68" s="142"/>
      <c r="X68" s="1519"/>
      <c r="Y68" s="142"/>
      <c r="Z68" s="1541"/>
      <c r="AA68" s="142"/>
      <c r="AB68" s="348" t="s">
        <v>234</v>
      </c>
      <c r="AC68" s="337" t="s">
        <v>1392</v>
      </c>
      <c r="AD68" s="86" t="s">
        <v>936</v>
      </c>
      <c r="AE68" s="234">
        <f>SUM(AE69:AE75)</f>
        <v>0</v>
      </c>
      <c r="AF68" s="234">
        <f>SUM(AF69:AF75)</f>
        <v>0</v>
      </c>
      <c r="AG68" s="234">
        <f>SUM(AG69:AG75)</f>
        <v>0</v>
      </c>
      <c r="AH68" s="234">
        <f>SUM(AH69:AH75)</f>
        <v>0</v>
      </c>
      <c r="AI68" s="234">
        <f>SUM(AI69:AI75)</f>
        <v>0</v>
      </c>
      <c r="AJ68" s="234">
        <f>SUM(AJ69:AJ75)</f>
        <v>0</v>
      </c>
      <c r="AK68" s="305"/>
      <c r="AL68" s="142"/>
      <c r="AM68" s="1328"/>
      <c r="AN68" s="1023" t="s">
        <v>1393</v>
      </c>
    </row>
    <row s="1656" customFormat="1" customHeight="1" ht="14.25">
      <c r="A69" s="1656"/>
      <c r="B69" s="432"/>
      <c r="C69" s="142"/>
      <c r="D69" s="142"/>
      <c r="E69" s="263">
        <v>15</v>
      </c>
      <c r="F69" s="1194" cm="1" t="str">
        <f t="array" ref="F69:F69">OFFSET(E69,-1,1)</f>
        <v>2</v>
      </c>
      <c r="G69" s="154" t="s">
        <v>1394</v>
      </c>
      <c r="H69" s="122" t="s">
        <v>1097</v>
      </c>
      <c r="I69" s="142"/>
      <c r="J69" s="486"/>
      <c r="K69" s="486" t="str">
        <f>F69&amp;"18komm"</f>
        <v>218komm</v>
      </c>
      <c r="L69" s="924" cm="1" t="str">
        <f t="array" ref="L69:L69">AK69</f>
        <v>0</v>
      </c>
      <c r="M69" s="142"/>
      <c r="N69" s="142"/>
      <c r="O69" s="142"/>
      <c r="P69" s="142"/>
      <c r="Q69" s="142"/>
      <c r="R69" s="142"/>
      <c r="S69" s="142"/>
      <c r="T69" s="468" cm="1" t="str">
        <f t="array" ref="T69:T69">T68</f>
        <v>true</v>
      </c>
      <c r="U69" s="142"/>
      <c r="V69" s="142"/>
      <c r="W69" s="142"/>
      <c r="X69" s="1519"/>
      <c r="Y69" s="142"/>
      <c r="Z69" s="1541"/>
      <c r="AA69" s="142"/>
      <c r="AB69" s="348" t="s">
        <v>674</v>
      </c>
      <c r="AC69" s="210" t="s">
        <v>1395</v>
      </c>
      <c r="AD69" s="86" t="s">
        <v>936</v>
      </c>
      <c r="AE69" s="225"/>
      <c r="AF69" s="225"/>
      <c r="AG69" s="225"/>
      <c r="AH69" s="225"/>
      <c r="AI69" s="225"/>
      <c r="AJ69" s="225"/>
      <c r="AK69" s="305"/>
      <c r="AL69" s="142"/>
      <c r="AM69" s="1656"/>
      <c r="AN69" s="1027" t="s">
        <v>1396</v>
      </c>
    </row>
    <row s="1191" customFormat="1" customHeight="1" ht="14.25">
      <c r="A70" s="1541"/>
      <c r="B70" s="431"/>
      <c r="C70" s="1541"/>
      <c r="D70" s="1541"/>
      <c r="E70" s="263">
        <v>15</v>
      </c>
      <c r="F70" s="50" cm="1" t="str">
        <f t="array" ref="F70:F70">OFFSET(E70,-1,1)</f>
        <v>2</v>
      </c>
      <c r="G70" s="154" t="s">
        <v>1397</v>
      </c>
      <c r="H70" s="122" t="s">
        <v>1099</v>
      </c>
      <c r="I70" s="1541"/>
      <c r="J70" s="486"/>
      <c r="K70" s="486" t="str">
        <f>F70&amp;"11komm"</f>
        <v>211komm</v>
      </c>
      <c r="L70" s="924" cm="1" t="str">
        <f t="array" ref="L70:L70">AK70</f>
        <v>0</v>
      </c>
      <c r="M70" s="1541"/>
      <c r="N70" s="1541"/>
      <c r="O70" s="1541"/>
      <c r="P70" s="1541"/>
      <c r="Q70" s="1541"/>
      <c r="R70" s="1541"/>
      <c r="S70" s="1541"/>
      <c r="T70" s="468" cm="1" t="str">
        <f t="array" ref="T70:T70">T69</f>
        <v>true</v>
      </c>
      <c r="U70" s="1541"/>
      <c r="V70" s="1541"/>
      <c r="W70" s="1541"/>
      <c r="X70" s="1519"/>
      <c r="Y70" s="1541"/>
      <c r="Z70" s="1541"/>
      <c r="AA70" s="1541"/>
      <c r="AB70" s="348" t="s">
        <v>678</v>
      </c>
      <c r="AC70" s="210" t="s">
        <v>1398</v>
      </c>
      <c r="AD70" s="86" t="s">
        <v>936</v>
      </c>
      <c r="AE70" s="225"/>
      <c r="AF70" s="225"/>
      <c r="AG70" s="225"/>
      <c r="AH70" s="225"/>
      <c r="AI70" s="225"/>
      <c r="AJ70" s="225"/>
      <c r="AK70" s="305"/>
      <c r="AL70" s="1541"/>
      <c r="AM70" s="1541"/>
      <c r="AN70" s="1038" t="s">
        <v>1399</v>
      </c>
    </row>
    <row s="1191" customFormat="1" customHeight="1" ht="14.25">
      <c r="A71" s="1541"/>
      <c r="B71" s="431"/>
      <c r="C71" s="1541"/>
      <c r="D71" s="1541"/>
      <c r="E71" s="263">
        <v>15</v>
      </c>
      <c r="F71" s="50" cm="1" t="str">
        <f t="array" ref="F71:F71">OFFSET(E71,-1,1)</f>
        <v>2</v>
      </c>
      <c r="G71" s="154" t="s">
        <v>1400</v>
      </c>
      <c r="H71" s="122" t="s">
        <v>1101</v>
      </c>
      <c r="I71" s="1541"/>
      <c r="J71" s="486"/>
      <c r="K71" s="486" t="str">
        <f>F71&amp;"12komm"</f>
        <v>212komm</v>
      </c>
      <c r="L71" s="924" cm="1" t="str">
        <f t="array" ref="L71:L71">AK71</f>
        <v>0</v>
      </c>
      <c r="M71" s="1541"/>
      <c r="N71" s="1541"/>
      <c r="O71" s="1541"/>
      <c r="P71" s="1541"/>
      <c r="Q71" s="1541"/>
      <c r="R71" s="1541"/>
      <c r="S71" s="1541"/>
      <c r="T71" s="468" cm="1" t="str">
        <f t="array" ref="T71:T71">T70</f>
        <v>true</v>
      </c>
      <c r="U71" s="1541"/>
      <c r="V71" s="1541"/>
      <c r="W71" s="1541"/>
      <c r="X71" s="1519"/>
      <c r="Y71" s="1541"/>
      <c r="Z71" s="1541"/>
      <c r="AA71" s="1541"/>
      <c r="AB71" s="348" t="s">
        <v>890</v>
      </c>
      <c r="AC71" s="210" t="s">
        <v>1401</v>
      </c>
      <c r="AD71" s="86" t="s">
        <v>936</v>
      </c>
      <c r="AE71" s="225"/>
      <c r="AF71" s="225"/>
      <c r="AG71" s="225"/>
      <c r="AH71" s="225"/>
      <c r="AI71" s="225"/>
      <c r="AJ71" s="225"/>
      <c r="AK71" s="305"/>
      <c r="AL71" s="1541"/>
      <c r="AM71" s="1541"/>
      <c r="AN71" s="1038" t="s">
        <v>1402</v>
      </c>
    </row>
    <row s="1191" customFormat="1" customHeight="1" ht="14.25">
      <c r="A72" s="1541"/>
      <c r="B72" s="431"/>
      <c r="C72" s="1541"/>
      <c r="D72" s="1541"/>
      <c r="E72" s="263">
        <v>15</v>
      </c>
      <c r="F72" s="50" cm="1" t="str">
        <f t="array" ref="F72:F72">OFFSET(E72,-1,1)</f>
        <v>2</v>
      </c>
      <c r="G72" s="154" t="s">
        <v>1403</v>
      </c>
      <c r="H72" s="122" t="s">
        <v>1103</v>
      </c>
      <c r="I72" s="1541"/>
      <c r="J72" s="486"/>
      <c r="K72" s="486" t="str">
        <f>F72&amp;"13komm"</f>
        <v>213komm</v>
      </c>
      <c r="L72" s="924" cm="1" t="str">
        <f t="array" ref="L72:L72">AK72</f>
        <v>0</v>
      </c>
      <c r="M72" s="1541"/>
      <c r="N72" s="1541"/>
      <c r="O72" s="1541"/>
      <c r="P72" s="1541"/>
      <c r="Q72" s="1541"/>
      <c r="R72" s="1541"/>
      <c r="S72" s="1541"/>
      <c r="T72" s="468" cm="1" t="str">
        <f t="array" ref="T72:T72">T71</f>
        <v>true</v>
      </c>
      <c r="U72" s="1541"/>
      <c r="V72" s="1541"/>
      <c r="W72" s="1541"/>
      <c r="X72" s="1519"/>
      <c r="Y72" s="1541"/>
      <c r="Z72" s="1541"/>
      <c r="AA72" s="1541"/>
      <c r="AB72" s="348" t="s">
        <v>1104</v>
      </c>
      <c r="AC72" s="210" t="s">
        <v>1404</v>
      </c>
      <c r="AD72" s="86" t="s">
        <v>936</v>
      </c>
      <c r="AE72" s="225"/>
      <c r="AF72" s="225"/>
      <c r="AG72" s="225"/>
      <c r="AH72" s="225"/>
      <c r="AI72" s="225"/>
      <c r="AJ72" s="225"/>
      <c r="AK72" s="305"/>
      <c r="AL72" s="1541"/>
      <c r="AM72" s="1541"/>
      <c r="AN72" s="1038" t="s">
        <v>1405</v>
      </c>
    </row>
    <row s="1191" customFormat="1" customHeight="1" ht="14.25">
      <c r="A73" s="1541"/>
      <c r="B73" s="431"/>
      <c r="C73" s="1541"/>
      <c r="D73" s="1541"/>
      <c r="E73" s="263">
        <v>15</v>
      </c>
      <c r="F73" s="50" cm="1" t="str">
        <f t="array" ref="F73:F73">OFFSET(E73,-1,1)</f>
        <v>2</v>
      </c>
      <c r="G73" s="154" t="s">
        <v>1406</v>
      </c>
      <c r="H73" s="122" t="s">
        <v>1106</v>
      </c>
      <c r="I73" s="1541"/>
      <c r="J73" s="486"/>
      <c r="K73" s="486" t="str">
        <f>F73&amp;"14komm"</f>
        <v>214komm</v>
      </c>
      <c r="L73" s="924" cm="1" t="str">
        <f t="array" ref="L73:L73">AK73</f>
        <v>0</v>
      </c>
      <c r="M73" s="1541"/>
      <c r="N73" s="1541"/>
      <c r="O73" s="1541"/>
      <c r="P73" s="1541"/>
      <c r="Q73" s="1541"/>
      <c r="R73" s="1541"/>
      <c r="S73" s="1541"/>
      <c r="T73" s="468" cm="1" t="str">
        <f t="array" ref="T73:T73">T72</f>
        <v>true</v>
      </c>
      <c r="U73" s="1541"/>
      <c r="V73" s="1541"/>
      <c r="W73" s="1541"/>
      <c r="X73" s="1519"/>
      <c r="Y73" s="1541"/>
      <c r="Z73" s="1541"/>
      <c r="AA73" s="1541"/>
      <c r="AB73" s="348" t="s">
        <v>1107</v>
      </c>
      <c r="AC73" s="210" t="s">
        <v>1407</v>
      </c>
      <c r="AD73" s="86" t="s">
        <v>936</v>
      </c>
      <c r="AE73" s="225"/>
      <c r="AF73" s="225"/>
      <c r="AG73" s="225"/>
      <c r="AH73" s="225"/>
      <c r="AI73" s="225"/>
      <c r="AJ73" s="225"/>
      <c r="AK73" s="305"/>
      <c r="AL73" s="1541"/>
      <c r="AM73" s="1541"/>
      <c r="AN73" s="1038" t="s">
        <v>1408</v>
      </c>
    </row>
    <row s="1191" customFormat="1" customHeight="1" ht="14.25">
      <c r="A74" s="1541"/>
      <c r="B74" s="431"/>
      <c r="C74" s="1541"/>
      <c r="D74" s="1541"/>
      <c r="E74" s="263">
        <v>15</v>
      </c>
      <c r="F74" s="50" cm="1" t="str">
        <f t="array" ref="F74:F74">OFFSET(E74,-1,1)</f>
        <v>2</v>
      </c>
      <c r="G74" s="154" t="s">
        <v>1409</v>
      </c>
      <c r="H74" s="122" t="s">
        <v>1410</v>
      </c>
      <c r="I74" s="1541"/>
      <c r="J74" s="486"/>
      <c r="K74" s="486" t="str">
        <f>F74&amp;"15komm"</f>
        <v>215komm</v>
      </c>
      <c r="L74" s="924" cm="1" t="str">
        <f t="array" ref="L74:L74">AK74</f>
        <v>0</v>
      </c>
      <c r="M74" s="1541"/>
      <c r="N74" s="1541"/>
      <c r="O74" s="1541"/>
      <c r="P74" s="1541"/>
      <c r="Q74" s="1541"/>
      <c r="R74" s="1541"/>
      <c r="S74" s="1541"/>
      <c r="T74" s="468" cm="1" t="str">
        <f t="array" ref="T74:T74">T73</f>
        <v>true</v>
      </c>
      <c r="U74" s="1541"/>
      <c r="V74" s="1541"/>
      <c r="W74" s="1541"/>
      <c r="X74" s="1519"/>
      <c r="Y74" s="1541"/>
      <c r="Z74" s="1541"/>
      <c r="AA74" s="1541"/>
      <c r="AB74" s="348" t="s">
        <v>1411</v>
      </c>
      <c r="AC74" s="210" t="s">
        <v>1412</v>
      </c>
      <c r="AD74" s="86" t="s">
        <v>936</v>
      </c>
      <c r="AE74" s="225"/>
      <c r="AF74" s="225"/>
      <c r="AG74" s="225"/>
      <c r="AH74" s="225"/>
      <c r="AI74" s="225"/>
      <c r="AJ74" s="225"/>
      <c r="AK74" s="305"/>
      <c r="AL74" s="1541"/>
      <c r="AM74" s="1541"/>
      <c r="AN74" s="1038" t="s">
        <v>1413</v>
      </c>
    </row>
    <row s="1191" customFormat="1" customHeight="1" ht="14.25">
      <c r="A75" s="1541"/>
      <c r="B75" s="431"/>
      <c r="C75" s="1541"/>
      <c r="D75" s="1541"/>
      <c r="E75" s="263">
        <v>15</v>
      </c>
      <c r="F75" s="50" cm="1" t="str">
        <f t="array" ref="F75:F75">OFFSET(E75,-1,1)</f>
        <v>2</v>
      </c>
      <c r="G75" s="154" t="s">
        <v>1414</v>
      </c>
      <c r="H75" s="122" t="s">
        <v>1415</v>
      </c>
      <c r="I75" s="1541"/>
      <c r="J75" s="486"/>
      <c r="K75" s="486" t="str">
        <f>F75&amp;"16komm"</f>
        <v>216komm</v>
      </c>
      <c r="L75" s="924" cm="1" t="str">
        <f t="array" ref="L75:L75">AK75</f>
        <v>0</v>
      </c>
      <c r="M75" s="1541"/>
      <c r="N75" s="1541"/>
      <c r="O75" s="1541"/>
      <c r="P75" s="1541"/>
      <c r="Q75" s="1541"/>
      <c r="R75" s="1541"/>
      <c r="S75" s="1541"/>
      <c r="T75" s="468" cm="1" t="str">
        <f t="array" ref="T75:T75">T74</f>
        <v>true</v>
      </c>
      <c r="U75" s="1541"/>
      <c r="V75" s="1541"/>
      <c r="W75" s="1541"/>
      <c r="X75" s="1519"/>
      <c r="Y75" s="1541"/>
      <c r="Z75" s="1541"/>
      <c r="AA75" s="1541"/>
      <c r="AB75" s="348" t="s">
        <v>1416</v>
      </c>
      <c r="AC75" s="210" t="s">
        <v>1417</v>
      </c>
      <c r="AD75" s="86" t="s">
        <v>936</v>
      </c>
      <c r="AE75" s="225"/>
      <c r="AF75" s="225"/>
      <c r="AG75" s="225"/>
      <c r="AH75" s="225"/>
      <c r="AI75" s="225"/>
      <c r="AJ75" s="225"/>
      <c r="AK75" s="305"/>
      <c r="AL75" s="1541"/>
      <c r="AM75" s="1541"/>
      <c r="AN75" s="1038" t="s">
        <v>1418</v>
      </c>
    </row>
    <row s="1191" customFormat="1" customHeight="1" ht="32.25">
      <c r="A76" s="1541"/>
      <c r="B76" s="431"/>
      <c r="C76" s="1541"/>
      <c r="D76" s="1541"/>
      <c r="E76" s="263">
        <v>33.75</v>
      </c>
      <c r="F76" s="50" cm="1" t="str">
        <f t="array" ref="F76:F76">OFFSET(E76,-1,1)</f>
        <v>2</v>
      </c>
      <c r="G76" s="345" t="s">
        <v>1419</v>
      </c>
      <c r="H76" s="122" t="s">
        <v>348</v>
      </c>
      <c r="I76" s="1541"/>
      <c r="J76" s="486"/>
      <c r="K76" s="486" t="str">
        <f>F76&amp;"2komm"</f>
        <v>22komm</v>
      </c>
      <c r="L76" s="924" cm="1" t="str">
        <f t="array" ref="L76:L76">AK76</f>
        <v>0</v>
      </c>
      <c r="M76" s="1541"/>
      <c r="N76" s="1541"/>
      <c r="O76" s="1541"/>
      <c r="P76" s="1541"/>
      <c r="Q76" s="1541"/>
      <c r="R76" s="1541"/>
      <c r="S76" s="1541"/>
      <c r="T76" s="468" cm="1" t="str">
        <f t="array" ref="T76:T76">T75</f>
        <v>true</v>
      </c>
      <c r="U76" s="1541"/>
      <c r="V76" s="1541"/>
      <c r="W76" s="1541"/>
      <c r="X76" s="1519"/>
      <c r="Y76" s="1541"/>
      <c r="Z76" s="1541"/>
      <c r="AA76" s="1541"/>
      <c r="AB76" s="348" t="s">
        <v>451</v>
      </c>
      <c r="AC76" s="337" t="s">
        <v>1420</v>
      </c>
      <c r="AD76" s="86" t="s">
        <v>936</v>
      </c>
      <c r="AE76" s="225"/>
      <c r="AF76" s="225"/>
      <c r="AG76" s="225"/>
      <c r="AH76" s="225"/>
      <c r="AI76" s="225"/>
      <c r="AJ76" s="225"/>
      <c r="AK76" s="305"/>
      <c r="AL76" s="1541"/>
      <c r="AM76" s="1541"/>
      <c r="AN76" s="1038" t="s">
        <v>1421</v>
      </c>
    </row>
    <row s="1191" customFormat="1" customHeight="1" ht="14.25">
      <c r="A77" s="1541"/>
      <c r="B77" s="431"/>
      <c r="C77" s="1541"/>
      <c r="D77" s="1541"/>
      <c r="E77" s="263">
        <v>15</v>
      </c>
      <c r="F77" s="50" cm="1" t="str">
        <f t="array" ref="F77:F77">OFFSET(E77,-1,1)</f>
        <v>2</v>
      </c>
      <c r="G77" s="345" t="s">
        <v>1422</v>
      </c>
      <c r="H77" s="122" t="s">
        <v>347</v>
      </c>
      <c r="I77" s="1541"/>
      <c r="J77" s="486"/>
      <c r="K77" s="486" t="str">
        <f>F77&amp;"3komm"</f>
        <v>23komm</v>
      </c>
      <c r="L77" s="924" cm="1" t="str">
        <f t="array" ref="L77:L77">AK77</f>
        <v>0</v>
      </c>
      <c r="M77" s="1541"/>
      <c r="N77" s="1541"/>
      <c r="O77" s="1541"/>
      <c r="P77" s="1541"/>
      <c r="Q77" s="1541"/>
      <c r="R77" s="1541"/>
      <c r="S77" s="1541"/>
      <c r="T77" s="468" cm="1" t="str">
        <f t="array" ref="T77:T77">T76</f>
        <v>true</v>
      </c>
      <c r="U77" s="1541"/>
      <c r="V77" s="1541"/>
      <c r="W77" s="1541"/>
      <c r="X77" s="1519"/>
      <c r="Y77" s="1541"/>
      <c r="Z77" s="1541"/>
      <c r="AA77" s="1541"/>
      <c r="AB77" s="348" t="s">
        <v>454</v>
      </c>
      <c r="AC77" s="337" t="s">
        <v>1423</v>
      </c>
      <c r="AD77" s="86" t="s">
        <v>936</v>
      </c>
      <c r="AE77" s="225"/>
      <c r="AF77" s="225"/>
      <c r="AG77" s="225"/>
      <c r="AH77" s="225"/>
      <c r="AI77" s="225"/>
      <c r="AJ77" s="225"/>
      <c r="AK77" s="305"/>
      <c r="AL77" s="1541"/>
      <c r="AM77" s="1541"/>
      <c r="AN77" s="1038" t="s">
        <v>1424</v>
      </c>
    </row>
    <row s="1191" customFormat="1" customHeight="1" ht="14.25">
      <c r="A78" s="1541"/>
      <c r="B78" s="431"/>
      <c r="C78" s="1541"/>
      <c r="D78" s="1541"/>
      <c r="E78" s="263">
        <v>15</v>
      </c>
      <c r="F78" s="50" cm="1" t="str">
        <f t="array" ref="F78:F78">OFFSET(E78,-1,1)</f>
        <v>2</v>
      </c>
      <c r="G78" s="345" t="s">
        <v>1425</v>
      </c>
      <c r="H78" s="122" t="s">
        <v>616</v>
      </c>
      <c r="I78" s="1541"/>
      <c r="J78" s="1541"/>
      <c r="K78" s="486" t="str">
        <f>F78&amp;"4komm"</f>
        <v>24komm</v>
      </c>
      <c r="L78" s="924" cm="1" t="str">
        <f t="array" ref="L78:L78">AK78</f>
        <v>0</v>
      </c>
      <c r="M78" s="1541"/>
      <c r="N78" s="1541"/>
      <c r="O78" s="1541"/>
      <c r="P78" s="1541"/>
      <c r="Q78" s="1541"/>
      <c r="R78" s="1541"/>
      <c r="S78" s="1541"/>
      <c r="T78" s="468" cm="1" t="str">
        <f t="array" ref="T78:T78">T77</f>
        <v>true</v>
      </c>
      <c r="U78" s="1541"/>
      <c r="V78" s="1541"/>
      <c r="W78" s="1541"/>
      <c r="X78" s="1519"/>
      <c r="Y78" s="1541"/>
      <c r="Z78" s="1541"/>
      <c r="AA78" s="1541"/>
      <c r="AB78" s="348" t="s">
        <v>457</v>
      </c>
      <c r="AC78" s="337" t="s">
        <v>1426</v>
      </c>
      <c r="AD78" s="86" t="s">
        <v>936</v>
      </c>
      <c r="AE78" s="225"/>
      <c r="AF78" s="225"/>
      <c r="AG78" s="225"/>
      <c r="AH78" s="225"/>
      <c r="AI78" s="225"/>
      <c r="AJ78" s="225"/>
      <c r="AK78" s="305"/>
      <c r="AL78" s="1541"/>
      <c r="AM78" s="1541"/>
      <c r="AN78" s="1038" t="s">
        <v>1427</v>
      </c>
    </row>
    <row s="1191" customFormat="1" customHeight="1" ht="14.25">
      <c r="A79" s="1541"/>
      <c r="B79" s="431"/>
      <c r="C79" s="1541"/>
      <c r="D79" s="1541"/>
      <c r="E79" s="263">
        <v>15</v>
      </c>
      <c r="F79" s="50" cm="1" t="str">
        <f t="array" ref="F79:F79">OFFSET(E79,-1,1)</f>
        <v>2</v>
      </c>
      <c r="G79" s="345" t="s">
        <v>1428</v>
      </c>
      <c r="H79" s="122" t="s">
        <v>619</v>
      </c>
      <c r="I79" s="1541"/>
      <c r="J79" s="1541"/>
      <c r="K79" s="486" t="str">
        <f>F79&amp;"5komm"</f>
        <v>25komm</v>
      </c>
      <c r="L79" s="924" cm="1" t="str">
        <f t="array" ref="L79:L79">AK79</f>
        <v>0</v>
      </c>
      <c r="M79" s="1541"/>
      <c r="N79" s="1541"/>
      <c r="O79" s="1541"/>
      <c r="P79" s="1541"/>
      <c r="Q79" s="1541"/>
      <c r="R79" s="1541"/>
      <c r="S79" s="1541"/>
      <c r="T79" s="468" cm="1" t="str">
        <f t="array" ref="T79:T79">T78</f>
        <v>true</v>
      </c>
      <c r="U79" s="1541"/>
      <c r="V79" s="1541"/>
      <c r="W79" s="1541"/>
      <c r="X79" s="1519"/>
      <c r="Y79" s="1541"/>
      <c r="Z79" s="1541"/>
      <c r="AA79" s="1541"/>
      <c r="AB79" s="348" t="s">
        <v>460</v>
      </c>
      <c r="AC79" s="337" t="s">
        <v>1429</v>
      </c>
      <c r="AD79" s="86" t="s">
        <v>936</v>
      </c>
      <c r="AE79" s="225"/>
      <c r="AF79" s="225"/>
      <c r="AG79" s="225"/>
      <c r="AH79" s="225"/>
      <c r="AI79" s="225"/>
      <c r="AJ79" s="225"/>
      <c r="AK79" s="305"/>
      <c r="AL79" s="1541"/>
      <c r="AM79" s="1541"/>
      <c r="AN79" s="1038" t="s">
        <v>1430</v>
      </c>
    </row>
    <row s="1191" customFormat="1" customHeight="1" ht="14.25">
      <c r="A80" s="1541"/>
      <c r="B80" s="431"/>
      <c r="C80" s="1541"/>
      <c r="D80" s="1541"/>
      <c r="E80" s="263">
        <v>15</v>
      </c>
      <c r="F80" s="50" cm="1" t="str">
        <f t="array" ref="F80:F80">OFFSET(E80,-1,1)</f>
        <v>2</v>
      </c>
      <c r="G80" s="345" t="s">
        <v>1431</v>
      </c>
      <c r="H80" s="122" t="s">
        <v>685</v>
      </c>
      <c r="I80" s="1541"/>
      <c r="J80" s="1541"/>
      <c r="K80" s="486" t="str">
        <f>F80&amp;"6komm"</f>
        <v>26komm</v>
      </c>
      <c r="L80" s="924" cm="1" t="str">
        <f t="array" ref="L80:L80">AK80</f>
        <v>0</v>
      </c>
      <c r="M80" s="1541"/>
      <c r="N80" s="1541"/>
      <c r="O80" s="1541"/>
      <c r="P80" s="1541"/>
      <c r="Q80" s="1541"/>
      <c r="R80" s="1541"/>
      <c r="S80" s="1541"/>
      <c r="T80" s="468" cm="1" t="str">
        <f t="array" ref="T80:T80">T79</f>
        <v>true</v>
      </c>
      <c r="U80" s="1541"/>
      <c r="V80" s="1541"/>
      <c r="W80" s="1541"/>
      <c r="X80" s="1519"/>
      <c r="Y80" s="1541"/>
      <c r="Z80" s="1541"/>
      <c r="AA80" s="1541"/>
      <c r="AB80" s="348" t="s">
        <v>463</v>
      </c>
      <c r="AC80" s="337" t="s">
        <v>1432</v>
      </c>
      <c r="AD80" s="86" t="s">
        <v>936</v>
      </c>
      <c r="AE80" s="349">
        <f>SUM(AE81:AE83)</f>
        <v>0</v>
      </c>
      <c r="AF80" s="349">
        <f>SUM(AF81:AF83)</f>
        <v>0</v>
      </c>
      <c r="AG80" s="349">
        <f>SUM(AG81:AG83)</f>
        <v>0</v>
      </c>
      <c r="AH80" s="349">
        <f>SUM(AH81:AH83)</f>
        <v>0</v>
      </c>
      <c r="AI80" s="349">
        <f>SUM(AI81:AI83)</f>
        <v>0</v>
      </c>
      <c r="AJ80" s="349">
        <f>SUM(AJ81:AJ83)</f>
        <v>0</v>
      </c>
      <c r="AK80" s="305"/>
      <c r="AL80" s="1541"/>
      <c r="AM80" s="1541"/>
      <c r="AN80" s="1038" t="s">
        <v>407</v>
      </c>
    </row>
    <row s="1191" customFormat="1" customHeight="1" ht="14.25">
      <c r="A81" s="1541"/>
      <c r="B81" s="431"/>
      <c r="C81" s="1541"/>
      <c r="D81" s="1541"/>
      <c r="E81" s="263">
        <v>15</v>
      </c>
      <c r="F81" s="50" cm="1" t="str">
        <f t="array" ref="F81:F81">OFFSET(E81,-1,1)</f>
        <v>2</v>
      </c>
      <c r="G81" s="345" t="s">
        <v>1433</v>
      </c>
      <c r="H81" s="122" t="s">
        <v>688</v>
      </c>
      <c r="I81" s="1541"/>
      <c r="J81" s="1541"/>
      <c r="K81" s="486" t="str">
        <f>F81&amp;"7komm"</f>
        <v>27komm</v>
      </c>
      <c r="L81" s="924" cm="1" t="str">
        <f t="array" ref="L81:L81">AK81</f>
        <v>0</v>
      </c>
      <c r="M81" s="1541"/>
      <c r="N81" s="1541"/>
      <c r="O81" s="1541"/>
      <c r="P81" s="1541"/>
      <c r="Q81" s="1541"/>
      <c r="R81" s="1541"/>
      <c r="S81" s="1541"/>
      <c r="T81" s="468" cm="1" t="str">
        <f t="array" ref="T81:T81">T80</f>
        <v>true</v>
      </c>
      <c r="U81" s="1541"/>
      <c r="V81" s="1541"/>
      <c r="W81" s="1541"/>
      <c r="X81" s="1519"/>
      <c r="Y81" s="1541"/>
      <c r="Z81" s="1541"/>
      <c r="AA81" s="1541"/>
      <c r="AB81" s="348" t="s">
        <v>711</v>
      </c>
      <c r="AC81" s="210" t="s">
        <v>1434</v>
      </c>
      <c r="AD81" s="86" t="s">
        <v>936</v>
      </c>
      <c r="AE81" s="225"/>
      <c r="AF81" s="225"/>
      <c r="AG81" s="225"/>
      <c r="AH81" s="225"/>
      <c r="AI81" s="225"/>
      <c r="AJ81" s="225"/>
      <c r="AK81" s="305"/>
      <c r="AL81" s="1541"/>
      <c r="AM81" s="1541"/>
      <c r="AN81" s="1038" t="s">
        <v>1435</v>
      </c>
    </row>
    <row s="1191" customFormat="1" customHeight="1" ht="43.5">
      <c r="A82" s="1541"/>
      <c r="B82" s="431"/>
      <c r="C82" s="1541"/>
      <c r="D82" s="1541"/>
      <c r="E82" s="263">
        <v>45</v>
      </c>
      <c r="F82" s="50" cm="1" t="str">
        <f t="array" ref="F82:F82">OFFSET(E82,-1,1)</f>
        <v>2</v>
      </c>
      <c r="G82" s="345" t="s">
        <v>1436</v>
      </c>
      <c r="H82" s="122" t="s">
        <v>692</v>
      </c>
      <c r="I82" s="1541"/>
      <c r="J82" s="1541"/>
      <c r="K82" s="486" t="str">
        <f>F82&amp;"8komm"</f>
        <v>28komm</v>
      </c>
      <c r="L82" s="924" cm="1" t="str">
        <f t="array" ref="L82:L82">AK82</f>
        <v>0</v>
      </c>
      <c r="M82" s="1541"/>
      <c r="N82" s="1541"/>
      <c r="O82" s="1541"/>
      <c r="P82" s="1541"/>
      <c r="Q82" s="1541"/>
      <c r="R82" s="1541"/>
      <c r="S82" s="1541"/>
      <c r="T82" s="468" cm="1" t="str">
        <f t="array" ref="T82:T82">T81</f>
        <v>true</v>
      </c>
      <c r="U82" s="1541"/>
      <c r="V82" s="1541"/>
      <c r="W82" s="1541"/>
      <c r="X82" s="1519"/>
      <c r="Y82" s="1541"/>
      <c r="Z82" s="1541"/>
      <c r="AA82" s="1541"/>
      <c r="AB82" s="348" t="s">
        <v>728</v>
      </c>
      <c r="AC82" s="769" t="s">
        <v>1437</v>
      </c>
      <c r="AD82" s="86" t="s">
        <v>936</v>
      </c>
      <c r="AE82" s="225"/>
      <c r="AF82" s="225"/>
      <c r="AG82" s="225"/>
      <c r="AH82" s="225"/>
      <c r="AI82" s="225"/>
      <c r="AJ82" s="225"/>
      <c r="AK82" s="305"/>
      <c r="AL82" s="1541"/>
      <c r="AM82" s="1541"/>
      <c r="AN82" s="1038" t="s">
        <v>1438</v>
      </c>
    </row>
    <row s="1191" customFormat="1" customHeight="1" ht="14.25">
      <c r="A83" s="1541"/>
      <c r="B83" s="431"/>
      <c r="C83" s="1541"/>
      <c r="D83" s="1541"/>
      <c r="E83" s="263">
        <v>15</v>
      </c>
      <c r="F83" s="50" cm="1" t="str">
        <f t="array" ref="F83:F83">OFFSET(E83,-1,1)</f>
        <v>2</v>
      </c>
      <c r="G83" s="154" t="s">
        <v>1439</v>
      </c>
      <c r="H83" s="122" t="s">
        <v>696</v>
      </c>
      <c r="I83" s="1541"/>
      <c r="J83" s="1541"/>
      <c r="K83" s="486" t="str">
        <f>F83&amp;"9komm"</f>
        <v>29komm</v>
      </c>
      <c r="L83" s="924" cm="1" t="str">
        <f t="array" ref="L83:L83">AK83</f>
        <v>0</v>
      </c>
      <c r="M83" s="1541"/>
      <c r="N83" s="1541"/>
      <c r="O83" s="1541"/>
      <c r="P83" s="1541"/>
      <c r="Q83" s="1541"/>
      <c r="R83" s="1541"/>
      <c r="S83" s="1541"/>
      <c r="T83" s="468" cm="1" t="str">
        <f t="array" ref="T83:T83">T82</f>
        <v>true</v>
      </c>
      <c r="U83" s="1541"/>
      <c r="V83" s="1541"/>
      <c r="W83" s="1541"/>
      <c r="X83" s="1519"/>
      <c r="Y83" s="1541"/>
      <c r="Z83" s="1541"/>
      <c r="AA83" s="1541"/>
      <c r="AB83" s="348" t="s">
        <v>740</v>
      </c>
      <c r="AC83" s="210" t="s">
        <v>1440</v>
      </c>
      <c r="AD83" s="86" t="s">
        <v>936</v>
      </c>
      <c r="AE83" s="225"/>
      <c r="AF83" s="225"/>
      <c r="AG83" s="225"/>
      <c r="AH83" s="225"/>
      <c r="AI83" s="1376"/>
      <c r="AJ83" s="1376"/>
      <c r="AK83" s="305"/>
      <c r="AL83" s="1541"/>
      <c r="AM83" s="1541"/>
      <c r="AN83" s="1038" t="s">
        <v>1441</v>
      </c>
    </row>
    <row s="1656" customFormat="1" customHeight="1" ht="10.5">
      <c r="A84" s="1328"/>
      <c r="B84" s="1186"/>
      <c r="C84" s="142"/>
      <c r="D84" s="142"/>
      <c r="E84" s="263">
        <v>11.25</v>
      </c>
      <c r="F84" s="94" cm="1" t="str">
        <f t="array" ref="F84:F84">X84</f>
        <v>3</v>
      </c>
      <c r="G84" s="142"/>
      <c r="H84" s="142"/>
      <c r="I84" s="142"/>
      <c r="J84" s="142"/>
      <c r="K84" s="142"/>
      <c r="L84" s="142"/>
      <c r="M84" s="142"/>
      <c r="N84" s="142"/>
      <c r="O84" s="142"/>
      <c r="P84" s="142"/>
      <c r="Q84" s="142"/>
      <c r="R84" s="142"/>
      <c r="S84" s="142"/>
      <c r="T84" s="468">
        <f>X84&gt;0</f>
        <v>1</v>
      </c>
      <c r="U84" s="142"/>
      <c r="V84" s="142" cm="1" t="str">
        <f t="array" ref="V84:V84">ФОТ!$AB$102</f>
        <v>Тариф 3 (Водоотведение) - тариф на водоотведение (Оказание услуг на территории: город Полысаево (ОКТМО: 32732000) - г Полысаево)</v>
      </c>
      <c r="W84" s="142"/>
      <c r="X84" s="1519" t="s">
        <v>234</v>
      </c>
      <c r="Y84" s="142"/>
      <c r="Z84" s="1541"/>
      <c r="AA84" s="142"/>
      <c r="AB84" s="238" cm="1" t="str">
        <f t="array" ref="AB84:AB84">ФОТ!$AB$102</f>
        <v>Тариф 3 (Водоотведение) - тариф на водоотведение (Оказание услуг на территории: город Полысаево (ОКТМО: 32732000) - г Полысаево)</v>
      </c>
      <c r="AC84" s="176"/>
      <c r="AD84" s="176"/>
      <c r="AE84" s="302">
        <f>AE85+AE86+AE87+AE95+AE96+AE97+AE98+AE99</f>
        <v>0</v>
      </c>
      <c r="AF84" s="302">
        <f>AF85+AF86+AF87+AF95+AF96+AF97+AF98+AF99</f>
        <v>0</v>
      </c>
      <c r="AG84" s="302">
        <f>AG85+AG86+AG87+AG95+AG96+AG97+AG98+AG99</f>
        <v>0</v>
      </c>
      <c r="AH84" s="302">
        <f>AH85+AH86+AH87+AH95+AH96+AH97+AH98+AH99</f>
        <v>0</v>
      </c>
      <c r="AI84" s="302">
        <f>AI85+AI86+AI87+AI95+AI96+AI97+AI98+AI99</f>
        <v>0</v>
      </c>
      <c r="AJ84" s="302">
        <f>AJ85+AJ86+AJ87+AJ95+AJ96+AJ97+AJ98+AJ99</f>
        <v>0</v>
      </c>
      <c r="AK84" s="170"/>
      <c r="AL84" s="142"/>
      <c r="AM84" s="1328"/>
      <c r="AN84" s="1330"/>
    </row>
    <row s="1656" customFormat="1" customHeight="1" ht="21.75">
      <c r="A85" s="1328"/>
      <c r="B85" s="1186"/>
      <c r="C85" s="142"/>
      <c r="D85" s="142"/>
      <c r="E85" s="263">
        <v>22.5</v>
      </c>
      <c r="F85" s="50" cm="1" t="str">
        <f t="array" ref="F85:F85">OFFSET(E85,-1,1)</f>
        <v>3</v>
      </c>
      <c r="G85" s="142"/>
      <c r="H85" s="122" t="s">
        <v>344</v>
      </c>
      <c r="I85" s="142"/>
      <c r="J85" s="142"/>
      <c r="K85" s="142"/>
      <c r="L85" s="142"/>
      <c r="M85" s="142"/>
      <c r="N85" s="142"/>
      <c r="O85" s="142"/>
      <c r="P85" s="142"/>
      <c r="Q85" s="142"/>
      <c r="R85" s="142"/>
      <c r="S85" s="142"/>
      <c r="T85" s="468" cm="1" t="str">
        <f t="array" ref="T85:T85">T84</f>
        <v>true</v>
      </c>
      <c r="U85" s="142"/>
      <c r="V85" s="142"/>
      <c r="W85" s="142"/>
      <c r="X85" s="1519"/>
      <c r="Y85" s="142"/>
      <c r="Z85" s="1541"/>
      <c r="AA85" s="142"/>
      <c r="AB85" s="348">
        <v>1</v>
      </c>
      <c r="AC85" s="337" t="s">
        <v>1374</v>
      </c>
      <c r="AD85" s="86" t="s">
        <v>936</v>
      </c>
      <c r="AE85" s="899">
        <f>_xlfn.SUMIFS(ФОТ!AE$25:AE$127,ФОТ!$F$25:$F$127,$F85,ФОТ!$AC$25:$AC$127,$AC85)</f>
        <v>0</v>
      </c>
      <c r="AF85" s="899">
        <f>_xlfn.SUMIFS(ФОТ!AF$25:AF$127,ФОТ!$F$25:$F$127,$F85,ФОТ!$AC$25:$AC$127,$AC85)</f>
        <v>0</v>
      </c>
      <c r="AG85" s="899">
        <f>_xlfn.SUMIFS(ФОТ!AG$25:AG$127,ФОТ!$F$25:$F$127,$F85,ФОТ!$AC$25:$AC$127,$AC85)</f>
        <v>0</v>
      </c>
      <c r="AH85" s="899">
        <f>_xlfn.SUMIFS(ФОТ!AH$25:AH$127,ФОТ!$F$25:$F$127,$F85,ФОТ!$AC$25:$AC$127,$AC85)</f>
        <v>0</v>
      </c>
      <c r="AI85" s="899">
        <f>_xlfn.SUMIFS(ФОТ!AI$25:AI$127,ФОТ!$F$25:$F$127,$F85,ФОТ!$AC$25:$AC$127,$AC85)</f>
        <v>0</v>
      </c>
      <c r="AJ85" s="899">
        <f>_xlfn.SUMIFS(ФОТ!AJ$25:AJ$127,ФОТ!$F$25:$F$127,$F85,ФОТ!$AC$25:$AC$127,$AC85)</f>
        <v>0</v>
      </c>
      <c r="AK85" s="305"/>
      <c r="AL85" s="142"/>
      <c r="AM85" s="1328"/>
      <c r="AN85" s="1023" t="s">
        <v>1390</v>
      </c>
    </row>
    <row s="1656" customFormat="1" customHeight="1" ht="21.75">
      <c r="A86" s="1328"/>
      <c r="B86" s="1186"/>
      <c r="C86" s="142"/>
      <c r="D86" s="142"/>
      <c r="E86" s="263">
        <v>22.5</v>
      </c>
      <c r="F86" s="50" cm="1" t="str">
        <f t="array" ref="F86:F86">OFFSET(E86,-1,1)</f>
        <v>3</v>
      </c>
      <c r="G86" s="142"/>
      <c r="H86" s="122" t="s">
        <v>345</v>
      </c>
      <c r="I86" s="142"/>
      <c r="J86" s="486"/>
      <c r="K86" s="486"/>
      <c r="L86" s="486"/>
      <c r="M86" s="142"/>
      <c r="N86" s="142"/>
      <c r="O86" s="142"/>
      <c r="P86" s="142"/>
      <c r="Q86" s="142"/>
      <c r="R86" s="142"/>
      <c r="S86" s="142"/>
      <c r="T86" s="468" cm="1" t="str">
        <f t="array" ref="T86:T86">T85</f>
        <v>true</v>
      </c>
      <c r="U86" s="142"/>
      <c r="V86" s="142"/>
      <c r="W86" s="142"/>
      <c r="X86" s="1519"/>
      <c r="Y86" s="142"/>
      <c r="Z86" s="1541"/>
      <c r="AA86" s="142"/>
      <c r="AB86" s="348" t="s">
        <v>299</v>
      </c>
      <c r="AC86" s="337" t="s">
        <v>1379</v>
      </c>
      <c r="AD86" s="86" t="s">
        <v>936</v>
      </c>
      <c r="AE86" s="899">
        <f>_xlfn.SUMIFS(ФОТ!AE$25:AE$127,ФОТ!$F$25:$F$127,$F86,ФОТ!$AC$25:$AC$127,$AC86)</f>
        <v>0</v>
      </c>
      <c r="AF86" s="899">
        <f>_xlfn.SUMIFS(ФОТ!AF$25:AF$127,ФОТ!$F$25:$F$127,$F86,ФОТ!$AC$25:$AC$127,$AC86)</f>
        <v>0</v>
      </c>
      <c r="AG86" s="899">
        <f>_xlfn.SUMIFS(ФОТ!AG$25:AG$127,ФОТ!$F$25:$F$127,$F86,ФОТ!$AC$25:$AC$127,$AC86)</f>
        <v>0</v>
      </c>
      <c r="AH86" s="899">
        <f>_xlfn.SUMIFS(ФОТ!AH$25:AH$127,ФОТ!$F$25:$F$127,$F86,ФОТ!$AC$25:$AC$127,$AC86)</f>
        <v>0</v>
      </c>
      <c r="AI86" s="899">
        <f>_xlfn.SUMIFS(ФОТ!AI$25:AI$127,ФОТ!$F$25:$F$127,$F86,ФОТ!$AC$25:$AC$127,$AC86)</f>
        <v>0</v>
      </c>
      <c r="AJ86" s="899">
        <f>_xlfn.SUMIFS(ФОТ!AJ$25:AJ$127,ФОТ!$F$25:$F$127,$F86,ФОТ!$AC$25:$AC$127,$AC86)</f>
        <v>0</v>
      </c>
      <c r="AK86" s="305"/>
      <c r="AL86" s="142"/>
      <c r="AM86" s="1328"/>
      <c r="AN86" s="1023" t="s">
        <v>1380</v>
      </c>
    </row>
    <row s="1656" customFormat="1" customHeight="1" ht="32.25">
      <c r="A87" s="1328"/>
      <c r="B87" s="1186"/>
      <c r="C87" s="142"/>
      <c r="D87" s="142"/>
      <c r="E87" s="263">
        <v>33.75</v>
      </c>
      <c r="F87" s="50" cm="1" t="str">
        <f t="array" ref="F87:F87">OFFSET(E87,-1,1)</f>
        <v>3</v>
      </c>
      <c r="G87" s="345" t="s">
        <v>1391</v>
      </c>
      <c r="H87" s="122" t="s">
        <v>346</v>
      </c>
      <c r="I87" s="142"/>
      <c r="J87" s="486"/>
      <c r="K87" s="486" t="str">
        <f>F87&amp;"17komm"</f>
        <v>317komm</v>
      </c>
      <c r="L87" s="924" cm="1" t="str">
        <f t="array" ref="L87:L87">AK87</f>
        <v>0</v>
      </c>
      <c r="M87" s="142"/>
      <c r="N87" s="142"/>
      <c r="O87" s="142"/>
      <c r="P87" s="142"/>
      <c r="Q87" s="142"/>
      <c r="R87" s="142"/>
      <c r="S87" s="142"/>
      <c r="T87" s="468" cm="1" t="str">
        <f t="array" ref="T87:T87">T86</f>
        <v>true</v>
      </c>
      <c r="U87" s="142"/>
      <c r="V87" s="142"/>
      <c r="W87" s="142"/>
      <c r="X87" s="1519"/>
      <c r="Y87" s="142"/>
      <c r="Z87" s="1541"/>
      <c r="AA87" s="142"/>
      <c r="AB87" s="348" t="s">
        <v>234</v>
      </c>
      <c r="AC87" s="337" t="s">
        <v>1392</v>
      </c>
      <c r="AD87" s="86" t="s">
        <v>936</v>
      </c>
      <c r="AE87" s="234">
        <f>SUM(AE88:AE94)</f>
        <v>0</v>
      </c>
      <c r="AF87" s="234">
        <f>SUM(AF88:AF94)</f>
        <v>0</v>
      </c>
      <c r="AG87" s="234">
        <f>SUM(AG88:AG94)</f>
        <v>0</v>
      </c>
      <c r="AH87" s="234">
        <f>SUM(AH88:AH94)</f>
        <v>0</v>
      </c>
      <c r="AI87" s="234">
        <f>SUM(AI88:AI94)</f>
        <v>0</v>
      </c>
      <c r="AJ87" s="234">
        <f>SUM(AJ88:AJ94)</f>
        <v>0</v>
      </c>
      <c r="AK87" s="305"/>
      <c r="AL87" s="142"/>
      <c r="AM87" s="1328"/>
      <c r="AN87" s="1023" t="s">
        <v>1393</v>
      </c>
    </row>
    <row s="1656" customFormat="1" customHeight="1" ht="14.25">
      <c r="A88" s="1656"/>
      <c r="B88" s="432"/>
      <c r="C88" s="142"/>
      <c r="D88" s="142"/>
      <c r="E88" s="263">
        <v>15</v>
      </c>
      <c r="F88" s="1194" cm="1" t="str">
        <f t="array" ref="F88:F88">OFFSET(E88,-1,1)</f>
        <v>3</v>
      </c>
      <c r="G88" s="154" t="s">
        <v>1394</v>
      </c>
      <c r="H88" s="122" t="s">
        <v>1097</v>
      </c>
      <c r="I88" s="142"/>
      <c r="J88" s="486"/>
      <c r="K88" s="486" t="str">
        <f>F88&amp;"18komm"</f>
        <v>318komm</v>
      </c>
      <c r="L88" s="924" cm="1" t="str">
        <f t="array" ref="L88:L88">AK88</f>
        <v>0</v>
      </c>
      <c r="M88" s="142"/>
      <c r="N88" s="142"/>
      <c r="O88" s="142"/>
      <c r="P88" s="142"/>
      <c r="Q88" s="142"/>
      <c r="R88" s="142"/>
      <c r="S88" s="142"/>
      <c r="T88" s="468" cm="1" t="str">
        <f t="array" ref="T88:T88">T87</f>
        <v>true</v>
      </c>
      <c r="U88" s="142"/>
      <c r="V88" s="142"/>
      <c r="W88" s="142"/>
      <c r="X88" s="1519"/>
      <c r="Y88" s="142"/>
      <c r="Z88" s="1541"/>
      <c r="AA88" s="142"/>
      <c r="AB88" s="348" t="s">
        <v>674</v>
      </c>
      <c r="AC88" s="210" t="s">
        <v>1395</v>
      </c>
      <c r="AD88" s="86" t="s">
        <v>936</v>
      </c>
      <c r="AE88" s="225"/>
      <c r="AF88" s="225"/>
      <c r="AG88" s="225"/>
      <c r="AH88" s="225"/>
      <c r="AI88" s="225"/>
      <c r="AJ88" s="225"/>
      <c r="AK88" s="305"/>
      <c r="AL88" s="142"/>
      <c r="AM88" s="1656"/>
      <c r="AN88" s="1027" t="s">
        <v>1396</v>
      </c>
    </row>
    <row s="1191" customFormat="1" customHeight="1" ht="14.25">
      <c r="A89" s="1541"/>
      <c r="B89" s="431"/>
      <c r="C89" s="1541"/>
      <c r="D89" s="1541"/>
      <c r="E89" s="263">
        <v>15</v>
      </c>
      <c r="F89" s="50" cm="1" t="str">
        <f t="array" ref="F89:F89">OFFSET(E89,-1,1)</f>
        <v>3</v>
      </c>
      <c r="G89" s="154" t="s">
        <v>1397</v>
      </c>
      <c r="H89" s="122" t="s">
        <v>1099</v>
      </c>
      <c r="I89" s="1541"/>
      <c r="J89" s="486"/>
      <c r="K89" s="486" t="str">
        <f>F89&amp;"11komm"</f>
        <v>311komm</v>
      </c>
      <c r="L89" s="924" cm="1" t="str">
        <f t="array" ref="L89:L89">AK89</f>
        <v>0</v>
      </c>
      <c r="M89" s="1541"/>
      <c r="N89" s="1541"/>
      <c r="O89" s="1541"/>
      <c r="P89" s="1541"/>
      <c r="Q89" s="1541"/>
      <c r="R89" s="1541"/>
      <c r="S89" s="1541"/>
      <c r="T89" s="468" cm="1" t="str">
        <f t="array" ref="T89:T89">T88</f>
        <v>true</v>
      </c>
      <c r="U89" s="1541"/>
      <c r="V89" s="1541"/>
      <c r="W89" s="1541"/>
      <c r="X89" s="1519"/>
      <c r="Y89" s="1541"/>
      <c r="Z89" s="1541"/>
      <c r="AA89" s="1541"/>
      <c r="AB89" s="348" t="s">
        <v>678</v>
      </c>
      <c r="AC89" s="210" t="s">
        <v>1398</v>
      </c>
      <c r="AD89" s="86" t="s">
        <v>936</v>
      </c>
      <c r="AE89" s="225"/>
      <c r="AF89" s="225"/>
      <c r="AG89" s="225"/>
      <c r="AH89" s="225"/>
      <c r="AI89" s="225"/>
      <c r="AJ89" s="225"/>
      <c r="AK89" s="305"/>
      <c r="AL89" s="1541"/>
      <c r="AM89" s="1541"/>
      <c r="AN89" s="1038" t="s">
        <v>1399</v>
      </c>
    </row>
    <row s="1191" customFormat="1" customHeight="1" ht="14.25">
      <c r="A90" s="1541"/>
      <c r="B90" s="431"/>
      <c r="C90" s="1541"/>
      <c r="D90" s="1541"/>
      <c r="E90" s="263">
        <v>15</v>
      </c>
      <c r="F90" s="50" cm="1" t="str">
        <f t="array" ref="F90:F90">OFFSET(E90,-1,1)</f>
        <v>3</v>
      </c>
      <c r="G90" s="154" t="s">
        <v>1400</v>
      </c>
      <c r="H90" s="122" t="s">
        <v>1101</v>
      </c>
      <c r="I90" s="1541"/>
      <c r="J90" s="486"/>
      <c r="K90" s="486" t="str">
        <f>F90&amp;"12komm"</f>
        <v>312komm</v>
      </c>
      <c r="L90" s="924" cm="1" t="str">
        <f t="array" ref="L90:L90">AK90</f>
        <v>0</v>
      </c>
      <c r="M90" s="1541"/>
      <c r="N90" s="1541"/>
      <c r="O90" s="1541"/>
      <c r="P90" s="1541"/>
      <c r="Q90" s="1541"/>
      <c r="R90" s="1541"/>
      <c r="S90" s="1541"/>
      <c r="T90" s="468" cm="1" t="str">
        <f t="array" ref="T90:T90">T89</f>
        <v>true</v>
      </c>
      <c r="U90" s="1541"/>
      <c r="V90" s="1541"/>
      <c r="W90" s="1541"/>
      <c r="X90" s="1519"/>
      <c r="Y90" s="1541"/>
      <c r="Z90" s="1541"/>
      <c r="AA90" s="1541"/>
      <c r="AB90" s="348" t="s">
        <v>890</v>
      </c>
      <c r="AC90" s="210" t="s">
        <v>1401</v>
      </c>
      <c r="AD90" s="86" t="s">
        <v>936</v>
      </c>
      <c r="AE90" s="225"/>
      <c r="AF90" s="225"/>
      <c r="AG90" s="225"/>
      <c r="AH90" s="225"/>
      <c r="AI90" s="225"/>
      <c r="AJ90" s="225"/>
      <c r="AK90" s="305"/>
      <c r="AL90" s="1541"/>
      <c r="AM90" s="1541"/>
      <c r="AN90" s="1038" t="s">
        <v>1402</v>
      </c>
    </row>
    <row s="1191" customFormat="1" customHeight="1" ht="14.25">
      <c r="A91" s="1541"/>
      <c r="B91" s="431"/>
      <c r="C91" s="1541"/>
      <c r="D91" s="1541"/>
      <c r="E91" s="263">
        <v>15</v>
      </c>
      <c r="F91" s="50" cm="1" t="str">
        <f t="array" ref="F91:F91">OFFSET(E91,-1,1)</f>
        <v>3</v>
      </c>
      <c r="G91" s="154" t="s">
        <v>1403</v>
      </c>
      <c r="H91" s="122" t="s">
        <v>1103</v>
      </c>
      <c r="I91" s="1541"/>
      <c r="J91" s="486"/>
      <c r="K91" s="486" t="str">
        <f>F91&amp;"13komm"</f>
        <v>313komm</v>
      </c>
      <c r="L91" s="924" cm="1" t="str">
        <f t="array" ref="L91:L91">AK91</f>
        <v>0</v>
      </c>
      <c r="M91" s="1541"/>
      <c r="N91" s="1541"/>
      <c r="O91" s="1541"/>
      <c r="P91" s="1541"/>
      <c r="Q91" s="1541"/>
      <c r="R91" s="1541"/>
      <c r="S91" s="1541"/>
      <c r="T91" s="468" cm="1" t="str">
        <f t="array" ref="T91:T91">T90</f>
        <v>true</v>
      </c>
      <c r="U91" s="1541"/>
      <c r="V91" s="1541"/>
      <c r="W91" s="1541"/>
      <c r="X91" s="1519"/>
      <c r="Y91" s="1541"/>
      <c r="Z91" s="1541"/>
      <c r="AA91" s="1541"/>
      <c r="AB91" s="348" t="s">
        <v>1104</v>
      </c>
      <c r="AC91" s="210" t="s">
        <v>1404</v>
      </c>
      <c r="AD91" s="86" t="s">
        <v>936</v>
      </c>
      <c r="AE91" s="225"/>
      <c r="AF91" s="225"/>
      <c r="AG91" s="225"/>
      <c r="AH91" s="225"/>
      <c r="AI91" s="225"/>
      <c r="AJ91" s="225"/>
      <c r="AK91" s="305"/>
      <c r="AL91" s="1541"/>
      <c r="AM91" s="1541"/>
      <c r="AN91" s="1038" t="s">
        <v>1405</v>
      </c>
    </row>
    <row s="1191" customFormat="1" customHeight="1" ht="14.25">
      <c r="A92" s="1541"/>
      <c r="B92" s="431"/>
      <c r="C92" s="1541"/>
      <c r="D92" s="1541"/>
      <c r="E92" s="263">
        <v>15</v>
      </c>
      <c r="F92" s="50" cm="1" t="str">
        <f t="array" ref="F92:F92">OFFSET(E92,-1,1)</f>
        <v>3</v>
      </c>
      <c r="G92" s="154" t="s">
        <v>1406</v>
      </c>
      <c r="H92" s="122" t="s">
        <v>1106</v>
      </c>
      <c r="I92" s="1541"/>
      <c r="J92" s="486"/>
      <c r="K92" s="486" t="str">
        <f>F92&amp;"14komm"</f>
        <v>314komm</v>
      </c>
      <c r="L92" s="924" cm="1" t="str">
        <f t="array" ref="L92:L92">AK92</f>
        <v>0</v>
      </c>
      <c r="M92" s="1541"/>
      <c r="N92" s="1541"/>
      <c r="O92" s="1541"/>
      <c r="P92" s="1541"/>
      <c r="Q92" s="1541"/>
      <c r="R92" s="1541"/>
      <c r="S92" s="1541"/>
      <c r="T92" s="468" cm="1" t="str">
        <f t="array" ref="T92:T92">T91</f>
        <v>true</v>
      </c>
      <c r="U92" s="1541"/>
      <c r="V92" s="1541"/>
      <c r="W92" s="1541"/>
      <c r="X92" s="1519"/>
      <c r="Y92" s="1541"/>
      <c r="Z92" s="1541"/>
      <c r="AA92" s="1541"/>
      <c r="AB92" s="348" t="s">
        <v>1107</v>
      </c>
      <c r="AC92" s="210" t="s">
        <v>1407</v>
      </c>
      <c r="AD92" s="86" t="s">
        <v>936</v>
      </c>
      <c r="AE92" s="225"/>
      <c r="AF92" s="225"/>
      <c r="AG92" s="225"/>
      <c r="AH92" s="225"/>
      <c r="AI92" s="225"/>
      <c r="AJ92" s="225"/>
      <c r="AK92" s="305"/>
      <c r="AL92" s="1541"/>
      <c r="AM92" s="1541"/>
      <c r="AN92" s="1038" t="s">
        <v>1408</v>
      </c>
    </row>
    <row s="1191" customFormat="1" customHeight="1" ht="14.25">
      <c r="A93" s="1541"/>
      <c r="B93" s="431"/>
      <c r="C93" s="1541"/>
      <c r="D93" s="1541"/>
      <c r="E93" s="263">
        <v>15</v>
      </c>
      <c r="F93" s="50" cm="1" t="str">
        <f t="array" ref="F93:F93">OFFSET(E93,-1,1)</f>
        <v>3</v>
      </c>
      <c r="G93" s="154" t="s">
        <v>1409</v>
      </c>
      <c r="H93" s="122" t="s">
        <v>1410</v>
      </c>
      <c r="I93" s="1541"/>
      <c r="J93" s="486"/>
      <c r="K93" s="486" t="str">
        <f>F93&amp;"15komm"</f>
        <v>315komm</v>
      </c>
      <c r="L93" s="924" cm="1" t="str">
        <f t="array" ref="L93:L93">AK93</f>
        <v>0</v>
      </c>
      <c r="M93" s="1541"/>
      <c r="N93" s="1541"/>
      <c r="O93" s="1541"/>
      <c r="P93" s="1541"/>
      <c r="Q93" s="1541"/>
      <c r="R93" s="1541"/>
      <c r="S93" s="1541"/>
      <c r="T93" s="468" cm="1" t="str">
        <f t="array" ref="T93:T93">T92</f>
        <v>true</v>
      </c>
      <c r="U93" s="1541"/>
      <c r="V93" s="1541"/>
      <c r="W93" s="1541"/>
      <c r="X93" s="1519"/>
      <c r="Y93" s="1541"/>
      <c r="Z93" s="1541"/>
      <c r="AA93" s="1541"/>
      <c r="AB93" s="348" t="s">
        <v>1411</v>
      </c>
      <c r="AC93" s="210" t="s">
        <v>1412</v>
      </c>
      <c r="AD93" s="86" t="s">
        <v>936</v>
      </c>
      <c r="AE93" s="225"/>
      <c r="AF93" s="225"/>
      <c r="AG93" s="225"/>
      <c r="AH93" s="225"/>
      <c r="AI93" s="225"/>
      <c r="AJ93" s="225"/>
      <c r="AK93" s="305"/>
      <c r="AL93" s="1541"/>
      <c r="AM93" s="1541"/>
      <c r="AN93" s="1038" t="s">
        <v>1413</v>
      </c>
    </row>
    <row s="1191" customFormat="1" customHeight="1" ht="14.25">
      <c r="A94" s="1541"/>
      <c r="B94" s="431"/>
      <c r="C94" s="1541"/>
      <c r="D94" s="1541"/>
      <c r="E94" s="263">
        <v>15</v>
      </c>
      <c r="F94" s="50" cm="1" t="str">
        <f t="array" ref="F94:F94">OFFSET(E94,-1,1)</f>
        <v>3</v>
      </c>
      <c r="G94" s="154" t="s">
        <v>1414</v>
      </c>
      <c r="H94" s="122" t="s">
        <v>1415</v>
      </c>
      <c r="I94" s="1541"/>
      <c r="J94" s="486"/>
      <c r="K94" s="486" t="str">
        <f>F94&amp;"16komm"</f>
        <v>316komm</v>
      </c>
      <c r="L94" s="924" cm="1" t="str">
        <f t="array" ref="L94:L94">AK94</f>
        <v>0</v>
      </c>
      <c r="M94" s="1541"/>
      <c r="N94" s="1541"/>
      <c r="O94" s="1541"/>
      <c r="P94" s="1541"/>
      <c r="Q94" s="1541"/>
      <c r="R94" s="1541"/>
      <c r="S94" s="1541"/>
      <c r="T94" s="468" cm="1" t="str">
        <f t="array" ref="T94:T94">T93</f>
        <v>true</v>
      </c>
      <c r="U94" s="1541"/>
      <c r="V94" s="1541"/>
      <c r="W94" s="1541"/>
      <c r="X94" s="1519"/>
      <c r="Y94" s="1541"/>
      <c r="Z94" s="1541"/>
      <c r="AA94" s="1541"/>
      <c r="AB94" s="348" t="s">
        <v>1416</v>
      </c>
      <c r="AC94" s="210" t="s">
        <v>1417</v>
      </c>
      <c r="AD94" s="86" t="s">
        <v>936</v>
      </c>
      <c r="AE94" s="225"/>
      <c r="AF94" s="225"/>
      <c r="AG94" s="225"/>
      <c r="AH94" s="225"/>
      <c r="AI94" s="225"/>
      <c r="AJ94" s="225"/>
      <c r="AK94" s="305"/>
      <c r="AL94" s="1541"/>
      <c r="AM94" s="1541"/>
      <c r="AN94" s="1038" t="s">
        <v>1418</v>
      </c>
    </row>
    <row s="1191" customFormat="1" customHeight="1" ht="32.25">
      <c r="A95" s="1541"/>
      <c r="B95" s="431"/>
      <c r="C95" s="1541"/>
      <c r="D95" s="1541"/>
      <c r="E95" s="263">
        <v>33.75</v>
      </c>
      <c r="F95" s="50" cm="1" t="str">
        <f t="array" ref="F95:F95">OFFSET(E95,-1,1)</f>
        <v>3</v>
      </c>
      <c r="G95" s="345" t="s">
        <v>1419</v>
      </c>
      <c r="H95" s="122" t="s">
        <v>348</v>
      </c>
      <c r="I95" s="1541"/>
      <c r="J95" s="486"/>
      <c r="K95" s="486" t="str">
        <f>F95&amp;"2komm"</f>
        <v>32komm</v>
      </c>
      <c r="L95" s="924" cm="1" t="str">
        <f t="array" ref="L95:L95">AK95</f>
        <v>0</v>
      </c>
      <c r="M95" s="1541"/>
      <c r="N95" s="1541"/>
      <c r="O95" s="1541"/>
      <c r="P95" s="1541"/>
      <c r="Q95" s="1541"/>
      <c r="R95" s="1541"/>
      <c r="S95" s="1541"/>
      <c r="T95" s="468" cm="1" t="str">
        <f t="array" ref="T95:T95">T94</f>
        <v>true</v>
      </c>
      <c r="U95" s="1541"/>
      <c r="V95" s="1541"/>
      <c r="W95" s="1541"/>
      <c r="X95" s="1519"/>
      <c r="Y95" s="1541"/>
      <c r="Z95" s="1541"/>
      <c r="AA95" s="1541"/>
      <c r="AB95" s="348" t="s">
        <v>451</v>
      </c>
      <c r="AC95" s="337" t="s">
        <v>1420</v>
      </c>
      <c r="AD95" s="86" t="s">
        <v>936</v>
      </c>
      <c r="AE95" s="225"/>
      <c r="AF95" s="225"/>
      <c r="AG95" s="225"/>
      <c r="AH95" s="225"/>
      <c r="AI95" s="225"/>
      <c r="AJ95" s="225"/>
      <c r="AK95" s="305"/>
      <c r="AL95" s="1541"/>
      <c r="AM95" s="1541"/>
      <c r="AN95" s="1038" t="s">
        <v>1421</v>
      </c>
    </row>
    <row s="1191" customFormat="1" customHeight="1" ht="14.25">
      <c r="A96" s="1541"/>
      <c r="B96" s="431"/>
      <c r="C96" s="1541"/>
      <c r="D96" s="1541"/>
      <c r="E96" s="263">
        <v>15</v>
      </c>
      <c r="F96" s="50" cm="1" t="str">
        <f t="array" ref="F96:F96">OFFSET(E96,-1,1)</f>
        <v>3</v>
      </c>
      <c r="G96" s="345" t="s">
        <v>1422</v>
      </c>
      <c r="H96" s="122" t="s">
        <v>347</v>
      </c>
      <c r="I96" s="1541"/>
      <c r="J96" s="486"/>
      <c r="K96" s="486" t="str">
        <f>F96&amp;"3komm"</f>
        <v>33komm</v>
      </c>
      <c r="L96" s="924" cm="1" t="str">
        <f t="array" ref="L96:L96">AK96</f>
        <v>0</v>
      </c>
      <c r="M96" s="1541"/>
      <c r="N96" s="1541"/>
      <c r="O96" s="1541"/>
      <c r="P96" s="1541"/>
      <c r="Q96" s="1541"/>
      <c r="R96" s="1541"/>
      <c r="S96" s="1541"/>
      <c r="T96" s="468" cm="1" t="str">
        <f t="array" ref="T96:T96">T95</f>
        <v>true</v>
      </c>
      <c r="U96" s="1541"/>
      <c r="V96" s="1541"/>
      <c r="W96" s="1541"/>
      <c r="X96" s="1519"/>
      <c r="Y96" s="1541"/>
      <c r="Z96" s="1541"/>
      <c r="AA96" s="1541"/>
      <c r="AB96" s="348" t="s">
        <v>454</v>
      </c>
      <c r="AC96" s="337" t="s">
        <v>1423</v>
      </c>
      <c r="AD96" s="86" t="s">
        <v>936</v>
      </c>
      <c r="AE96" s="225"/>
      <c r="AF96" s="225"/>
      <c r="AG96" s="225"/>
      <c r="AH96" s="225"/>
      <c r="AI96" s="225"/>
      <c r="AJ96" s="225"/>
      <c r="AK96" s="305"/>
      <c r="AL96" s="1541"/>
      <c r="AM96" s="1541"/>
      <c r="AN96" s="1038" t="s">
        <v>1424</v>
      </c>
    </row>
    <row s="1191" customFormat="1" customHeight="1" ht="14.25">
      <c r="A97" s="1541"/>
      <c r="B97" s="431"/>
      <c r="C97" s="1541"/>
      <c r="D97" s="1541"/>
      <c r="E97" s="263">
        <v>15</v>
      </c>
      <c r="F97" s="50" cm="1" t="str">
        <f t="array" ref="F97:F97">OFFSET(E97,-1,1)</f>
        <v>3</v>
      </c>
      <c r="G97" s="345" t="s">
        <v>1425</v>
      </c>
      <c r="H97" s="122" t="s">
        <v>616</v>
      </c>
      <c r="I97" s="1541"/>
      <c r="J97" s="1541"/>
      <c r="K97" s="486" t="str">
        <f>F97&amp;"4komm"</f>
        <v>34komm</v>
      </c>
      <c r="L97" s="924" cm="1" t="str">
        <f t="array" ref="L97:L97">AK97</f>
        <v>0</v>
      </c>
      <c r="M97" s="1541"/>
      <c r="N97" s="1541"/>
      <c r="O97" s="1541"/>
      <c r="P97" s="1541"/>
      <c r="Q97" s="1541"/>
      <c r="R97" s="1541"/>
      <c r="S97" s="1541"/>
      <c r="T97" s="468" cm="1" t="str">
        <f t="array" ref="T97:T97">T96</f>
        <v>true</v>
      </c>
      <c r="U97" s="1541"/>
      <c r="V97" s="1541"/>
      <c r="W97" s="1541"/>
      <c r="X97" s="1519"/>
      <c r="Y97" s="1541"/>
      <c r="Z97" s="1541"/>
      <c r="AA97" s="1541"/>
      <c r="AB97" s="348" t="s">
        <v>457</v>
      </c>
      <c r="AC97" s="337" t="s">
        <v>1426</v>
      </c>
      <c r="AD97" s="86" t="s">
        <v>936</v>
      </c>
      <c r="AE97" s="225"/>
      <c r="AF97" s="225"/>
      <c r="AG97" s="225"/>
      <c r="AH97" s="225"/>
      <c r="AI97" s="225"/>
      <c r="AJ97" s="225"/>
      <c r="AK97" s="305"/>
      <c r="AL97" s="1541"/>
      <c r="AM97" s="1541"/>
      <c r="AN97" s="1038" t="s">
        <v>1427</v>
      </c>
    </row>
    <row s="1191" customFormat="1" customHeight="1" ht="14.25">
      <c r="A98" s="1541"/>
      <c r="B98" s="431"/>
      <c r="C98" s="1541"/>
      <c r="D98" s="1541"/>
      <c r="E98" s="263">
        <v>15</v>
      </c>
      <c r="F98" s="50" cm="1" t="str">
        <f t="array" ref="F98:F98">OFFSET(E98,-1,1)</f>
        <v>3</v>
      </c>
      <c r="G98" s="345" t="s">
        <v>1428</v>
      </c>
      <c r="H98" s="122" t="s">
        <v>619</v>
      </c>
      <c r="I98" s="1541"/>
      <c r="J98" s="1541"/>
      <c r="K98" s="486" t="str">
        <f>F98&amp;"5komm"</f>
        <v>35komm</v>
      </c>
      <c r="L98" s="924" cm="1" t="str">
        <f t="array" ref="L98:L98">AK98</f>
        <v>0</v>
      </c>
      <c r="M98" s="1541"/>
      <c r="N98" s="1541"/>
      <c r="O98" s="1541"/>
      <c r="P98" s="1541"/>
      <c r="Q98" s="1541"/>
      <c r="R98" s="1541"/>
      <c r="S98" s="1541"/>
      <c r="T98" s="468" cm="1" t="str">
        <f t="array" ref="T98:T98">T97</f>
        <v>true</v>
      </c>
      <c r="U98" s="1541"/>
      <c r="V98" s="1541"/>
      <c r="W98" s="1541"/>
      <c r="X98" s="1519"/>
      <c r="Y98" s="1541"/>
      <c r="Z98" s="1541"/>
      <c r="AA98" s="1541"/>
      <c r="AB98" s="348" t="s">
        <v>460</v>
      </c>
      <c r="AC98" s="337" t="s">
        <v>1429</v>
      </c>
      <c r="AD98" s="86" t="s">
        <v>936</v>
      </c>
      <c r="AE98" s="225"/>
      <c r="AF98" s="225"/>
      <c r="AG98" s="225"/>
      <c r="AH98" s="225"/>
      <c r="AI98" s="225"/>
      <c r="AJ98" s="225"/>
      <c r="AK98" s="305"/>
      <c r="AL98" s="1541"/>
      <c r="AM98" s="1541"/>
      <c r="AN98" s="1038" t="s">
        <v>1430</v>
      </c>
    </row>
    <row s="1191" customFormat="1" customHeight="1" ht="14.25">
      <c r="A99" s="1541"/>
      <c r="B99" s="431"/>
      <c r="C99" s="1541"/>
      <c r="D99" s="1541"/>
      <c r="E99" s="263">
        <v>15</v>
      </c>
      <c r="F99" s="50" cm="1" t="str">
        <f t="array" ref="F99:F99">OFFSET(E99,-1,1)</f>
        <v>3</v>
      </c>
      <c r="G99" s="345" t="s">
        <v>1431</v>
      </c>
      <c r="H99" s="122" t="s">
        <v>685</v>
      </c>
      <c r="I99" s="1541"/>
      <c r="J99" s="1541"/>
      <c r="K99" s="486" t="str">
        <f>F99&amp;"6komm"</f>
        <v>36komm</v>
      </c>
      <c r="L99" s="924" cm="1" t="str">
        <f t="array" ref="L99:L99">AK99</f>
        <v>0</v>
      </c>
      <c r="M99" s="1541"/>
      <c r="N99" s="1541"/>
      <c r="O99" s="1541"/>
      <c r="P99" s="1541"/>
      <c r="Q99" s="1541"/>
      <c r="R99" s="1541"/>
      <c r="S99" s="1541"/>
      <c r="T99" s="468" cm="1" t="str">
        <f t="array" ref="T99:T99">T98</f>
        <v>true</v>
      </c>
      <c r="U99" s="1541"/>
      <c r="V99" s="1541"/>
      <c r="W99" s="1541"/>
      <c r="X99" s="1519"/>
      <c r="Y99" s="1541"/>
      <c r="Z99" s="1541"/>
      <c r="AA99" s="1541"/>
      <c r="AB99" s="348" t="s">
        <v>463</v>
      </c>
      <c r="AC99" s="337" t="s">
        <v>1432</v>
      </c>
      <c r="AD99" s="86" t="s">
        <v>936</v>
      </c>
      <c r="AE99" s="349">
        <f>SUM(AE100:AE102)</f>
        <v>0</v>
      </c>
      <c r="AF99" s="349">
        <f>SUM(AF100:AF102)</f>
        <v>0</v>
      </c>
      <c r="AG99" s="349">
        <f>SUM(AG100:AG102)</f>
        <v>0</v>
      </c>
      <c r="AH99" s="349">
        <f>SUM(AH100:AH102)</f>
        <v>0</v>
      </c>
      <c r="AI99" s="349">
        <f>SUM(AI100:AI102)</f>
        <v>0</v>
      </c>
      <c r="AJ99" s="349">
        <f>SUM(AJ100:AJ102)</f>
        <v>0</v>
      </c>
      <c r="AK99" s="305"/>
      <c r="AL99" s="1541"/>
      <c r="AM99" s="1541"/>
      <c r="AN99" s="1038" t="s">
        <v>407</v>
      </c>
    </row>
    <row s="1191" customFormat="1" customHeight="1" ht="14.25">
      <c r="A100" s="1541"/>
      <c r="B100" s="431"/>
      <c r="C100" s="1541"/>
      <c r="D100" s="1541"/>
      <c r="E100" s="263">
        <v>15</v>
      </c>
      <c r="F100" s="50" cm="1" t="str">
        <f t="array" ref="F100:F100">OFFSET(E100,-1,1)</f>
        <v>3</v>
      </c>
      <c r="G100" s="345" t="s">
        <v>1433</v>
      </c>
      <c r="H100" s="122" t="s">
        <v>688</v>
      </c>
      <c r="I100" s="1541"/>
      <c r="J100" s="1541"/>
      <c r="K100" s="486" t="str">
        <f>F100&amp;"7komm"</f>
        <v>37komm</v>
      </c>
      <c r="L100" s="924" cm="1" t="str">
        <f t="array" ref="L100:L100">AK100</f>
        <v>0</v>
      </c>
      <c r="M100" s="1541"/>
      <c r="N100" s="1541"/>
      <c r="O100" s="1541"/>
      <c r="P100" s="1541"/>
      <c r="Q100" s="1541"/>
      <c r="R100" s="1541"/>
      <c r="S100" s="1541"/>
      <c r="T100" s="468" cm="1" t="str">
        <f t="array" ref="T100:T100">T99</f>
        <v>true</v>
      </c>
      <c r="U100" s="1541"/>
      <c r="V100" s="1541"/>
      <c r="W100" s="1541"/>
      <c r="X100" s="1519"/>
      <c r="Y100" s="1541"/>
      <c r="Z100" s="1541"/>
      <c r="AA100" s="1541"/>
      <c r="AB100" s="348" t="s">
        <v>711</v>
      </c>
      <c r="AC100" s="210" t="s">
        <v>1434</v>
      </c>
      <c r="AD100" s="86" t="s">
        <v>936</v>
      </c>
      <c r="AE100" s="225"/>
      <c r="AF100" s="225"/>
      <c r="AG100" s="225"/>
      <c r="AH100" s="225"/>
      <c r="AI100" s="225"/>
      <c r="AJ100" s="225"/>
      <c r="AK100" s="305"/>
      <c r="AL100" s="1541"/>
      <c r="AM100" s="1541"/>
      <c r="AN100" s="1038" t="s">
        <v>1435</v>
      </c>
    </row>
    <row s="1191" customFormat="1" customHeight="1" ht="43.5">
      <c r="A101" s="1541"/>
      <c r="B101" s="431"/>
      <c r="C101" s="1541"/>
      <c r="D101" s="1541"/>
      <c r="E101" s="263">
        <v>45</v>
      </c>
      <c r="F101" s="50" cm="1" t="str">
        <f t="array" ref="F101:F101">OFFSET(E101,-1,1)</f>
        <v>3</v>
      </c>
      <c r="G101" s="345" t="s">
        <v>1436</v>
      </c>
      <c r="H101" s="122" t="s">
        <v>692</v>
      </c>
      <c r="I101" s="1541"/>
      <c r="J101" s="1541"/>
      <c r="K101" s="486" t="str">
        <f>F101&amp;"8komm"</f>
        <v>38komm</v>
      </c>
      <c r="L101" s="924" cm="1" t="str">
        <f t="array" ref="L101:L101">AK101</f>
        <v>0</v>
      </c>
      <c r="M101" s="1541"/>
      <c r="N101" s="1541"/>
      <c r="O101" s="1541"/>
      <c r="P101" s="1541"/>
      <c r="Q101" s="1541"/>
      <c r="R101" s="1541"/>
      <c r="S101" s="1541"/>
      <c r="T101" s="468" cm="1" t="str">
        <f t="array" ref="T101:T101">T100</f>
        <v>true</v>
      </c>
      <c r="U101" s="1541"/>
      <c r="V101" s="1541"/>
      <c r="W101" s="1541"/>
      <c r="X101" s="1519"/>
      <c r="Y101" s="1541"/>
      <c r="Z101" s="1541"/>
      <c r="AA101" s="1541"/>
      <c r="AB101" s="348" t="s">
        <v>728</v>
      </c>
      <c r="AC101" s="769" t="s">
        <v>1437</v>
      </c>
      <c r="AD101" s="86" t="s">
        <v>936</v>
      </c>
      <c r="AE101" s="225"/>
      <c r="AF101" s="225"/>
      <c r="AG101" s="225"/>
      <c r="AH101" s="225"/>
      <c r="AI101" s="225"/>
      <c r="AJ101" s="225"/>
      <c r="AK101" s="305"/>
      <c r="AL101" s="1541"/>
      <c r="AM101" s="1541"/>
      <c r="AN101" s="1038" t="s">
        <v>1438</v>
      </c>
    </row>
    <row s="1191" customFormat="1" customHeight="1" ht="14.25">
      <c r="A102" s="1541"/>
      <c r="B102" s="431"/>
      <c r="C102" s="1541"/>
      <c r="D102" s="1541"/>
      <c r="E102" s="263">
        <v>15</v>
      </c>
      <c r="F102" s="50" cm="1" t="str">
        <f t="array" ref="F102:F102">OFFSET(E102,-1,1)</f>
        <v>3</v>
      </c>
      <c r="G102" s="154" t="s">
        <v>1439</v>
      </c>
      <c r="H102" s="122" t="s">
        <v>696</v>
      </c>
      <c r="I102" s="1541"/>
      <c r="J102" s="1541"/>
      <c r="K102" s="486" t="str">
        <f>F102&amp;"9komm"</f>
        <v>39komm</v>
      </c>
      <c r="L102" s="924" cm="1" t="str">
        <f t="array" ref="L102:L102">AK102</f>
        <v>0</v>
      </c>
      <c r="M102" s="1541"/>
      <c r="N102" s="1541"/>
      <c r="O102" s="1541"/>
      <c r="P102" s="1541"/>
      <c r="Q102" s="1541"/>
      <c r="R102" s="1541"/>
      <c r="S102" s="1541"/>
      <c r="T102" s="468" cm="1" t="str">
        <f t="array" ref="T102:T102">T101</f>
        <v>true</v>
      </c>
      <c r="U102" s="1541"/>
      <c r="V102" s="1541"/>
      <c r="W102" s="1541"/>
      <c r="X102" s="1519"/>
      <c r="Y102" s="1541"/>
      <c r="Z102" s="1541"/>
      <c r="AA102" s="1541"/>
      <c r="AB102" s="348" t="s">
        <v>740</v>
      </c>
      <c r="AC102" s="210" t="s">
        <v>1440</v>
      </c>
      <c r="AD102" s="86" t="s">
        <v>936</v>
      </c>
      <c r="AE102" s="225"/>
      <c r="AF102" s="225"/>
      <c r="AG102" s="225"/>
      <c r="AH102" s="225"/>
      <c r="AI102" s="1376"/>
      <c r="AJ102" s="1376"/>
      <c r="AK102" s="305"/>
      <c r="AL102" s="1541"/>
      <c r="AM102" s="1541"/>
      <c r="AN102" s="1038" t="s">
        <v>1441</v>
      </c>
    </row>
    <row s="1541" customFormat="1" customHeight="1" ht="10.96875">
      <c r="B103" s="431"/>
      <c r="C103" s="0"/>
      <c r="D103" s="0"/>
      <c r="E103" s="263">
        <v>11.25</v>
      </c>
      <c r="F103" s="81"/>
      <c r="G103" s="0"/>
      <c r="H103" s="0"/>
      <c r="I103" s="0"/>
      <c r="J103" s="0"/>
      <c r="K103" s="0"/>
      <c r="L103" s="0"/>
      <c r="M103" s="0"/>
      <c r="N103" s="0"/>
      <c r="O103" s="0"/>
      <c r="P103" s="0"/>
      <c r="Q103" s="0"/>
      <c r="R103" s="0"/>
      <c r="S103" s="0"/>
      <c r="T103" s="0"/>
      <c r="U103" s="0" t="s">
        <v>177</v>
      </c>
      <c r="V103" s="136" t="s">
        <v>1442</v>
      </c>
      <c r="W103" s="0"/>
      <c r="X103" s="0"/>
      <c r="Y103" s="0"/>
      <c r="Z103" s="0"/>
      <c r="AA103" s="0"/>
      <c r="AB103" s="0"/>
      <c r="AC103" s="96"/>
      <c r="AD103" s="96"/>
      <c r="AE103" s="350"/>
      <c r="AF103" s="350"/>
      <c r="AG103" s="351"/>
      <c r="AH103" s="351"/>
      <c r="AI103" s="351"/>
      <c r="AJ103" s="0"/>
      <c r="AK103" s="0"/>
      <c r="AL103" s="0"/>
      <c r="AN103" s="1038"/>
    </row>
    <row s="1541" customFormat="1" customHeight="1" ht="14.625">
      <c r="B104" s="431"/>
      <c r="C104" s="94"/>
      <c r="D104" s="94"/>
      <c r="E104" s="637">
        <v>15</v>
      </c>
      <c r="F104" s="94"/>
      <c r="G104" s="94"/>
      <c r="H104" s="94"/>
      <c r="I104" s="94"/>
      <c r="J104" s="94"/>
      <c r="K104" s="94"/>
      <c r="L104" s="94"/>
      <c r="M104" s="94"/>
      <c r="N104" s="94"/>
      <c r="O104" s="94"/>
      <c r="P104" s="94"/>
      <c r="Q104" s="94"/>
      <c r="R104" s="345"/>
      <c r="S104" s="94"/>
      <c r="T104" s="94"/>
      <c r="U104" s="94"/>
      <c r="V104" s="94"/>
      <c r="W104" s="94"/>
      <c r="X104" s="94"/>
      <c r="Y104" s="94"/>
      <c r="Z104" s="94"/>
      <c r="AA104" s="94"/>
      <c r="AB104" s="1553" t="s">
        <v>420</v>
      </c>
      <c r="AC104" s="1553"/>
      <c r="AD104" s="1553"/>
      <c r="AE104" s="1553"/>
      <c r="AF104" s="1553"/>
      <c r="AG104" s="1553"/>
      <c r="AH104" s="1553"/>
      <c r="AI104" s="1561"/>
      <c r="AJ104" s="1561"/>
      <c r="AK104" s="1561"/>
      <c r="AL104" s="94"/>
      <c r="AN104" s="1038"/>
    </row>
    <row s="1541" customFormat="1" customHeight="1" ht="14.625">
      <c r="B105" s="431"/>
      <c r="C105" s="94"/>
      <c r="D105" s="94"/>
      <c r="E105" s="637">
        <v>15</v>
      </c>
      <c r="F105" s="94"/>
      <c r="G105" s="94"/>
      <c r="H105" s="94"/>
      <c r="I105" s="94"/>
      <c r="J105" s="94"/>
      <c r="K105" s="94"/>
      <c r="L105" s="94"/>
      <c r="M105" s="94"/>
      <c r="N105" s="94"/>
      <c r="O105" s="94"/>
      <c r="P105" s="94"/>
      <c r="Q105" s="94"/>
      <c r="R105" s="345"/>
      <c r="S105" s="94"/>
      <c r="U105" s="94"/>
      <c r="V105" s="94"/>
      <c r="W105" s="94"/>
      <c r="X105" s="94"/>
      <c r="Y105" s="94"/>
      <c r="Z105" s="94"/>
      <c r="AA105" s="169"/>
      <c r="AB105" s="1562"/>
      <c r="AC105" s="1562"/>
      <c r="AD105" s="1562"/>
      <c r="AE105" s="1562"/>
      <c r="AF105" s="1562"/>
      <c r="AG105" s="1562"/>
      <c r="AH105" s="1562"/>
      <c r="AI105" s="1563"/>
      <c r="AJ105" s="1563"/>
      <c r="AK105" s="1563"/>
      <c r="AL105" s="94"/>
      <c r="AN105" s="1038"/>
    </row>
    <row s="1541" customFormat="1" customHeight="1" ht="14.625" hidden="1">
      <c r="A106" s="1541"/>
      <c r="B106" s="431"/>
      <c r="C106" s="94"/>
      <c r="D106" s="94"/>
      <c r="E106" s="637">
        <v>15</v>
      </c>
      <c r="F106" s="94"/>
      <c r="G106" s="94"/>
      <c r="H106" s="94"/>
      <c r="I106" s="94"/>
      <c r="J106" s="94"/>
      <c r="K106" s="94"/>
      <c r="L106" s="94"/>
      <c r="M106" s="94"/>
      <c r="N106" s="94"/>
      <c r="O106" s="94"/>
      <c r="P106" s="94"/>
      <c r="Q106" s="94"/>
      <c r="R106" s="345"/>
      <c r="S106" s="94"/>
      <c r="T106" s="468">
        <f>ROW(W106)&gt;ROW(W$106)</f>
        <v>0</v>
      </c>
      <c r="U106" s="94"/>
      <c r="V106" s="94"/>
      <c r="W106" s="764" t="s">
        <v>173</v>
      </c>
      <c r="X106" s="94"/>
      <c r="Y106" s="94"/>
      <c r="Z106" s="94"/>
      <c r="AA106" s="422" t="s">
        <v>174</v>
      </c>
      <c r="AB106" s="3117" t="s">
        <v>240</v>
      </c>
      <c r="AC106" s="3117"/>
      <c r="AD106" s="3117"/>
      <c r="AE106" s="3117"/>
      <c r="AF106" s="3117"/>
      <c r="AG106" s="3117"/>
      <c r="AH106" s="3117"/>
      <c r="AI106" s="1563"/>
      <c r="AJ106" s="1563"/>
      <c r="AK106" s="3116"/>
      <c r="AL106" s="94"/>
      <c r="AM106" s="1541"/>
      <c r="AN106" s="1038"/>
    </row>
    <row s="1541" customFormat="1" customHeight="1" ht="14.625">
      <c r="B107" s="431"/>
      <c r="C107" s="94"/>
      <c r="D107" s="94"/>
      <c r="E107" s="637">
        <v>15</v>
      </c>
      <c r="F107" s="94"/>
      <c r="G107" s="94"/>
      <c r="H107" s="94"/>
      <c r="I107" s="94"/>
      <c r="J107" s="94"/>
      <c r="K107" s="94"/>
      <c r="L107" s="94"/>
      <c r="M107" s="94"/>
      <c r="N107" s="94"/>
      <c r="O107" s="94"/>
      <c r="P107" s="94"/>
      <c r="Q107" s="94"/>
      <c r="R107" s="345"/>
      <c r="S107" s="94"/>
      <c r="T107" s="94"/>
      <c r="U107" s="94"/>
      <c r="V107" s="94"/>
      <c r="W107" s="764" t="s">
        <v>421</v>
      </c>
      <c r="X107" s="94"/>
      <c r="Y107" s="94"/>
      <c r="Z107" s="94"/>
      <c r="AA107" s="94"/>
      <c r="AB107" s="653"/>
      <c r="AC107" s="517" t="s">
        <v>1443</v>
      </c>
      <c r="AD107" s="306"/>
      <c r="AE107" s="306"/>
      <c r="AF107" s="307"/>
      <c r="AG107" s="307"/>
      <c r="AH107" s="307"/>
      <c r="AI107" s="307"/>
      <c r="AJ107" s="307"/>
      <c r="AK107" s="308"/>
      <c r="AL107" s="94"/>
      <c r="AN107" s="1038"/>
    </row>
    <row s="1656" customFormat="1" customHeight="1" ht="11.25">
      <c r="B108" s="432"/>
      <c r="E108" s="692" t="s">
        <v>472</v>
      </c>
      <c r="F108" s="81"/>
      <c r="AC108" s="96"/>
      <c r="AD108" s="96"/>
      <c r="AE108" s="350"/>
      <c r="AF108" s="350"/>
      <c r="AG108" s="351"/>
      <c r="AH108" s="351"/>
      <c r="AI108" s="351"/>
      <c r="AJ108" s="1656"/>
      <c r="AL108" s="0"/>
      <c r="AN108" s="1027"/>
    </row>
  </sheetData>
  <sheetProtection formatColumns="0" formatRows="0" insertRows="0" deleteColumns="0" deleteRows="0" sort="0" autoFilter="0" insertColumns="1"/>
  <mergeCells count="15">
    <mergeCell ref="AB24:AB25"/>
    <mergeCell ref="AC24:AC25"/>
    <mergeCell ref="AD24:AD25"/>
    <mergeCell ref="AK24:AK25"/>
    <mergeCell ref="AB106:AK106"/>
    <mergeCell ref="X27:X45"/>
    <mergeCell ref="Z27:Z45"/>
    <mergeCell ref="AB104:AK104"/>
    <mergeCell ref="AB105:AK105"/>
    <mergeCell ref="X46:X64"/>
    <mergeCell ref="Z46:Z64"/>
    <mergeCell ref="X65:X83"/>
    <mergeCell ref="Z65:Z83"/>
    <mergeCell ref="X84:X102"/>
    <mergeCell ref="Z84:Z102"/>
  </mergeCells>
  <dataValidations count="1">
    <dataValidation type="decimal" allowBlank="1" showErrorMessage="1" errorTitle="Ошибка" error="Допускается ввод только неотрицательных чисел!" sqref="AH45 AH50:AH60 AH62:AH64 AH69:AH79 AH81:AH83 AH88:AH98 AH100:AH102 AG45 AG50:AG60 AG62:AG64 AG69:AG79 AG81:AG83 AG88:AG98 AG100:AG102 AF45 AF50:AF60 AF62:AF64 AF69:AF79 AF81:AF83 AF88:AF98 AF100:AF102 AE45 AE50:AE60 AE62:AE64 AE69:AE79 AE81:AE83 AE88:AE98 AE100:AE102 AE43:AJ44 AE31:AJ41 AI50 AJ50 AI51 AJ51 AI52 AJ52 AI53 AJ53 AI54 AJ54 AI55 AJ55 AI56 AJ56 AI57 AJ57 AI58 AJ58 AI59 AJ59 AI60 AJ60 AI62 AJ62 AI63 AJ63 AI69 AJ69 AI70 AJ70 AI71 AJ71 AI72 AJ72 AI73 AJ73 AI74 AJ74 AI75 AJ75 AI76 AJ76 AI77 AJ77 AI78 AJ78 AI79 AJ79 AI81 AJ81 AI82 AJ82 AI88 AJ88 AI89 AJ89 AI90 AJ90 AI91 AJ91 AI92 AJ92 AI93 AJ93 AI94 AJ94 AI95 AJ95 AI96 AJ96 AI97 AJ97 AI98 AJ98 AI100 AJ100 AI101 AJ101">
      <formula1>0</formula1>
      <formula2>9.99999999999999E+23</formula2>
    </dataValidation>
  </dataValidations>
  <printOptions horizontalCentered="1"/>
  <pageMargins left="0.35" right="0.35" top="0.40" bottom="0.40" header="0.08" footer="0.08"/>
  <pageSetup paperSize="9" scale="73" firstPageNumber="11" fitToHeight="0" pageOrder="downThenOver" orientation="landscape" useFirstPageNumber="1"/>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2C80438-6C18-B7B8-5753-4F60AAEFC5B8}" mc:Ignorable="x14ac xr xr2 xr3">
  <sheetPr>
    <tabColor rgb="FF002060"/>
    <outlinePr summaryBelow="0"/>
  </sheetPr>
  <dimension ref="A1:AR81"/>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4.25"/>
  <cols>
    <col min="1" max="1" style="1331" width="3.57421875" hidden="1" customWidth="1"/>
    <col min="2" max="2" style="1223" width="8.57421875" hidden="1" customWidth="1"/>
    <col min="3" max="4" style="1331" width="3.57421875" hidden="1" customWidth="1"/>
    <col min="5" max="5" style="1182" width="3.57421875" hidden="1" customWidth="1"/>
    <col min="6" max="6" style="1331" width="3.57421875" hidden="1" customWidth="1"/>
    <col min="7" max="7" style="1331" width="9.28125" hidden="1" customWidth="1"/>
    <col min="8" max="19" style="1331" width="3.57421875" hidden="1" customWidth="1"/>
    <col min="20" max="20" style="1331" width="10.421875" hidden="1" customWidth="1"/>
    <col min="21" max="21" style="1331" width="5.8515625" hidden="1" customWidth="1"/>
    <col min="22" max="23" style="1331" width="6.140625" hidden="1" customWidth="1"/>
    <col min="24" max="25" style="1331" width="5.57421875" hidden="1" customWidth="1"/>
    <col min="26" max="26" style="1331" width="5.28125" hidden="1" customWidth="1"/>
    <col min="27" max="27" style="450" width="3.00390625" customWidth="1"/>
    <col min="28" max="28" style="450" width="11.00390625" customWidth="1"/>
    <col min="29" max="29" style="450" width="50.140625" customWidth="1"/>
    <col min="30" max="30" style="450" width="10.29296875" customWidth="1"/>
    <col min="31" max="36" style="450" width="13.00390625" customWidth="1"/>
    <col min="37" max="37" style="450" width="20.00390625" customWidth="1"/>
    <col min="38" max="38" style="450" width="3.00390625" customWidth="1"/>
    <col min="39" max="39" style="450" width="9.140625" hidden="1"/>
    <col min="40" max="42" style="1245" width="9.140625" hidden="1"/>
    <col min="43" max="44" style="1182" width="9.140625" hidden="1"/>
  </cols>
  <sheetData>
    <row s="1331" customFormat="1" customHeight="1" ht="11.25" hidden="1">
      <c r="B1" s="430"/>
      <c r="F1" s="118" t="s">
        <v>333</v>
      </c>
      <c r="G1" s="118" t="s">
        <v>343</v>
      </c>
      <c r="H1" s="118" t="s">
        <v>368</v>
      </c>
      <c r="T1" s="468" t="s">
        <v>93</v>
      </c>
      <c r="U1" s="468" t="s">
        <v>98</v>
      </c>
      <c r="V1" s="468" t="s">
        <v>94</v>
      </c>
      <c r="W1" s="468" t="s">
        <v>95</v>
      </c>
      <c r="X1" s="468" t="s">
        <v>96</v>
      </c>
      <c r="Y1" s="470" t="s">
        <v>335</v>
      </c>
      <c r="Z1" s="468" t="s">
        <v>100</v>
      </c>
      <c r="AA1" s="469" t="s">
        <v>97</v>
      </c>
      <c r="AB1" s="81"/>
      <c r="AC1" s="469" t="s">
        <v>99</v>
      </c>
      <c r="AI1" s="1331"/>
      <c r="AJ1" s="1331"/>
      <c r="AN1" s="1005" t="s">
        <v>336</v>
      </c>
      <c r="AO1" s="1005" t="s">
        <v>337</v>
      </c>
      <c r="AP1" s="1005" t="s">
        <v>338</v>
      </c>
      <c r="AQ1" s="623" t="s">
        <v>341</v>
      </c>
      <c r="AR1" s="623" t="s">
        <v>342</v>
      </c>
    </row>
    <row s="1223" customFormat="1" customHeight="1" ht="11.25" hidden="1">
      <c r="B2" s="448" t="s">
        <v>19</v>
      </c>
      <c r="AF2" s="1223" cm="1" t="str">
        <f t="array" ref="AF2:AF2">isOrgDeclare</f>
        <v>true</v>
      </c>
      <c r="AI2" s="448">
        <f>AND(AI6&lt;=last_year_vis,isOrgDeclare)</f>
        <v>1</v>
      </c>
      <c r="AJ2" s="448">
        <f>AJ6&lt;=last_year_vis</f>
        <v>1</v>
      </c>
      <c r="AN2" s="1017"/>
      <c r="AO2" s="1017"/>
      <c r="AP2" s="1017"/>
      <c r="AQ2" s="1022"/>
      <c r="AR2" s="1022"/>
    </row>
    <row s="1331" customFormat="1" customHeight="1" ht="11.25" hidden="1">
      <c r="B3" s="430"/>
      <c r="AI3" s="1331"/>
      <c r="AJ3" s="1331"/>
      <c r="AN3" s="1005"/>
      <c r="AO3" s="1005"/>
      <c r="AP3" s="1005"/>
      <c r="AQ3" s="623"/>
      <c r="AR3" s="623"/>
    </row>
    <row s="1331" customFormat="1" customHeight="1" ht="11.25" hidden="1">
      <c r="B4" s="430"/>
      <c r="AI4" s="1331"/>
      <c r="AJ4" s="1331"/>
      <c r="AN4" s="1005"/>
      <c r="AO4" s="1005"/>
      <c r="AP4" s="1005"/>
      <c r="AQ4" s="623"/>
      <c r="AR4" s="623"/>
    </row>
    <row s="1182" customFormat="1" customHeight="1" ht="11.25" hidden="1">
      <c r="A5" s="118"/>
      <c r="B5" s="430"/>
      <c r="C5" s="118"/>
      <c r="D5" s="118"/>
      <c r="E5" s="623" t="s">
        <v>20</v>
      </c>
      <c r="AA5" s="623">
        <v>3</v>
      </c>
      <c r="AB5" s="623">
        <v>11</v>
      </c>
      <c r="AC5" s="623">
        <v>50.14</v>
      </c>
      <c r="AD5" s="623">
        <v>10.29</v>
      </c>
      <c r="AE5" s="623">
        <v>13</v>
      </c>
      <c r="AF5" s="623">
        <v>13</v>
      </c>
      <c r="AG5" s="623">
        <v>13</v>
      </c>
      <c r="AH5" s="623">
        <v>13</v>
      </c>
      <c r="AI5" s="623">
        <v>13</v>
      </c>
      <c r="AJ5" s="623">
        <v>13</v>
      </c>
      <c r="AK5" s="623">
        <v>20</v>
      </c>
      <c r="AL5" s="623">
        <v>3</v>
      </c>
      <c r="AN5" s="1005"/>
      <c r="AO5" s="1005"/>
      <c r="AP5" s="1005"/>
    </row>
    <row s="1331" customFormat="1" customHeight="1" ht="11.25" hidden="1">
      <c r="A6" s="118" t="s">
        <v>371</v>
      </c>
      <c r="B6" s="430"/>
      <c r="E6" s="623"/>
      <c r="AE6" s="118">
        <f>god-2</f>
        <v>2024</v>
      </c>
      <c r="AF6" s="118">
        <f>god-2</f>
        <v>2024</v>
      </c>
      <c r="AG6" s="118">
        <f>god-2</f>
        <v>2024</v>
      </c>
      <c r="AH6" s="118">
        <f>god-1</f>
        <v>2025</v>
      </c>
      <c r="AI6" s="94" cm="1" t="str">
        <f t="array" ref="AI6:AI6">god</f>
        <v>2026</v>
      </c>
      <c r="AJ6" s="94" cm="1" t="str">
        <f t="array" ref="AJ6:AJ6">god</f>
        <v>2026</v>
      </c>
      <c r="AN6" s="1005"/>
      <c r="AO6" s="1005"/>
      <c r="AP6" s="1005"/>
      <c r="AQ6" s="623"/>
      <c r="AR6" s="623"/>
    </row>
    <row s="1331" customFormat="1" customHeight="1" ht="11.25" hidden="1">
      <c r="A7" s="118" t="s">
        <v>372</v>
      </c>
      <c r="B7" s="430"/>
      <c r="E7" s="623"/>
      <c r="AE7" s="118" cm="1" t="str">
        <f t="array" ref="AE7:AE7">AE25</f>
        <v>Принято органом регулирования</v>
      </c>
      <c r="AF7" s="118" cm="1" t="str">
        <f t="array" ref="AF7:AF7">AF25</f>
        <v>Факт по данным организации</v>
      </c>
      <c r="AG7" s="118" cm="1" t="str">
        <f t="array" ref="AG7:AG7">AG25</f>
        <v>Факт, принятый органом регулирования</v>
      </c>
      <c r="AH7" s="118" cm="1" t="str">
        <f t="array" ref="AH7:AH7">AH25</f>
        <v>Принято органом регулирования</v>
      </c>
      <c r="AI7" s="118" cm="1" t="str">
        <f t="array" ref="AI7:AI7">AI25</f>
        <v>Предложение организации</v>
      </c>
      <c r="AJ7" s="118" cm="1" t="str">
        <f t="array" ref="AJ7:AJ7">AJ25</f>
        <v>Принято органом регулирования</v>
      </c>
      <c r="AN7" s="1005"/>
      <c r="AO7" s="1005"/>
      <c r="AP7" s="1005"/>
      <c r="AQ7" s="623"/>
      <c r="AR7" s="623"/>
    </row>
    <row s="1331" customFormat="1" customHeight="1" ht="11.25" hidden="1">
      <c r="B8" s="430"/>
      <c r="E8" s="623"/>
      <c r="AI8" s="1331"/>
      <c r="AJ8" s="1331"/>
      <c r="AN8" s="1005"/>
      <c r="AO8" s="1005"/>
      <c r="AP8" s="1005"/>
      <c r="AQ8" s="623"/>
      <c r="AR8" s="623"/>
    </row>
    <row s="1245" customFormat="1" customHeight="1" ht="11.25" hidden="1">
      <c r="A9" s="1005" t="s">
        <v>376</v>
      </c>
      <c r="B9" s="1017"/>
      <c r="AE9" s="1005" cm="1" t="str">
        <f t="array" ref="AE9:AE9">AE6</f>
        <v>2024</v>
      </c>
      <c r="AF9" s="1005" cm="1" t="str">
        <f t="array" ref="AF9:AF9">AF6</f>
        <v>2024</v>
      </c>
      <c r="AG9" s="1005" cm="1" t="str">
        <f t="array" ref="AG9:AG9">AG6</f>
        <v>2024</v>
      </c>
      <c r="AH9" s="1005" cm="1" t="str">
        <f t="array" ref="AH9:AH9">AH6</f>
        <v>2025</v>
      </c>
      <c r="AI9" s="1005" cm="1" t="str">
        <f t="array" ref="AI9:AI9">AI6</f>
        <v>2026</v>
      </c>
      <c r="AJ9" s="1005" cm="1" t="str">
        <f t="array" ref="AJ9:AJ9">AJ6</f>
        <v>2026</v>
      </c>
      <c r="AQ9" s="623"/>
      <c r="AR9" s="623"/>
    </row>
    <row s="1245" customFormat="1" customHeight="1" ht="11.25" hidden="1">
      <c r="A10" s="1005" t="s">
        <v>377</v>
      </c>
      <c r="B10" s="1017"/>
      <c r="AE10" s="1005" cm="1" t="str">
        <f t="array" ref="AE10:AE10">AE25</f>
        <v>Принято органом регулирования</v>
      </c>
      <c r="AF10" s="1005" cm="1" t="str">
        <f t="array" ref="AF10:AF10">AF25</f>
        <v>Факт по данным организации</v>
      </c>
      <c r="AG10" s="1005" cm="1" t="str">
        <f t="array" ref="AG10:AG10">AG25</f>
        <v>Факт, принятый органом регулирования</v>
      </c>
      <c r="AH10" s="1005" cm="1" t="str">
        <f t="array" ref="AH10:AH10">AH25</f>
        <v>Принято органом регулирования</v>
      </c>
      <c r="AI10" s="1005" cm="1" t="str">
        <f t="array" ref="AI10:AI10">AI25</f>
        <v>Предложение организации</v>
      </c>
      <c r="AJ10" s="1005" cm="1" t="str">
        <f t="array" ref="AJ10:AJ10">AJ25</f>
        <v>Принято органом регулирования</v>
      </c>
      <c r="AQ10" s="623"/>
      <c r="AR10" s="623"/>
    </row>
    <row s="1245" customFormat="1" customHeight="1" ht="11.25" hidden="1">
      <c r="A11" s="1005" t="s">
        <v>378</v>
      </c>
      <c r="B11" s="1017"/>
      <c r="AI11" s="1245"/>
      <c r="AJ11" s="1245"/>
      <c r="AK11" s="1040" cm="1" t="str">
        <f t="array" ref="AK11:AK11">AK24</f>
        <v>Ссылка на правовую норму (основание для принятия показателя в расчет тарифа)</v>
      </c>
      <c r="AQ11" s="623"/>
      <c r="AR11" s="623"/>
    </row>
    <row s="1245" customFormat="1" customHeight="1" ht="11.25" hidden="1">
      <c r="A12" s="1005" t="s">
        <v>350</v>
      </c>
      <c r="B12" s="1017"/>
      <c r="AC12" s="1005" t="s">
        <v>338</v>
      </c>
      <c r="AI12" s="1245"/>
      <c r="AJ12" s="1245"/>
      <c r="AQ12" s="623"/>
      <c r="AR12" s="623"/>
    </row>
    <row s="1331" customFormat="1" customHeight="1" ht="11.25" hidden="1">
      <c r="B13" s="430"/>
      <c r="E13" s="623"/>
      <c r="AI13" s="1331"/>
      <c r="AJ13" s="1331"/>
      <c r="AN13" s="1005"/>
      <c r="AO13" s="1005"/>
      <c r="AP13" s="1005"/>
      <c r="AQ13" s="623"/>
      <c r="AR13" s="623"/>
    </row>
    <row s="1331" customFormat="1" customHeight="1" ht="11.25" hidden="1">
      <c r="B14" s="430"/>
      <c r="E14" s="623"/>
      <c r="AI14" s="1331"/>
      <c r="AJ14" s="1331"/>
      <c r="AN14" s="1005"/>
      <c r="AO14" s="1005"/>
      <c r="AP14" s="1005"/>
      <c r="AQ14" s="623"/>
      <c r="AR14" s="623"/>
    </row>
    <row s="1331" customFormat="1" customHeight="1" ht="11.25" hidden="1">
      <c r="B15" s="430"/>
      <c r="E15" s="623"/>
      <c r="AI15" s="1331"/>
      <c r="AJ15" s="1331"/>
      <c r="AN15" s="1005"/>
      <c r="AO15" s="1005"/>
      <c r="AP15" s="1005"/>
      <c r="AQ15" s="623"/>
      <c r="AR15" s="623"/>
    </row>
    <row s="1331" customFormat="1" customHeight="1" ht="11.25" hidden="1">
      <c r="B16" s="430"/>
      <c r="E16" s="623"/>
      <c r="AI16" s="1331"/>
      <c r="AJ16" s="1331"/>
      <c r="AN16" s="1005"/>
      <c r="AO16" s="1005"/>
      <c r="AP16" s="1005"/>
      <c r="AQ16" s="623"/>
      <c r="AR16" s="623"/>
    </row>
    <row s="1331" customFormat="1" customHeight="1" ht="11.25" hidden="1">
      <c r="B17" s="430"/>
      <c r="E17" s="623"/>
      <c r="AE17" s="94"/>
      <c r="AF17" s="94"/>
      <c r="AG17" s="94"/>
      <c r="AH17" s="94"/>
      <c r="AI17" s="1331"/>
      <c r="AJ17" s="1331"/>
      <c r="AK17" s="428"/>
      <c r="AN17" s="1005"/>
      <c r="AO17" s="1005"/>
      <c r="AP17" s="1005"/>
      <c r="AQ17" s="623"/>
      <c r="AR17" s="623"/>
    </row>
    <row s="1331" customFormat="1" customHeight="1" ht="11.25" hidden="1">
      <c r="A18" s="118" t="s">
        <v>379</v>
      </c>
      <c r="B18" s="430"/>
      <c r="E18" s="623"/>
      <c r="AC18" s="118" t="s">
        <v>380</v>
      </c>
      <c r="AI18" s="1331"/>
      <c r="AJ18" s="1331"/>
      <c r="AN18" s="1005"/>
      <c r="AO18" s="1005"/>
      <c r="AP18" s="1005"/>
      <c r="AQ18" s="623"/>
      <c r="AR18" s="623"/>
    </row>
    <row s="1331" customFormat="1" customHeight="1" ht="11.25" hidden="1">
      <c r="B19" s="430"/>
      <c r="E19" s="623"/>
      <c r="AI19" s="1331"/>
      <c r="AJ19" s="1331"/>
      <c r="AN19" s="1005"/>
      <c r="AO19" s="1005"/>
      <c r="AP19" s="1005"/>
      <c r="AQ19" s="623"/>
      <c r="AR19" s="623"/>
    </row>
    <row s="1331" customFormat="1" customHeight="1" ht="11.25" hidden="1">
      <c r="B20" s="430"/>
      <c r="E20" s="623"/>
      <c r="AI20" s="1331"/>
      <c r="AJ20" s="1331"/>
      <c r="AN20" s="1005"/>
      <c r="AO20" s="1005"/>
      <c r="AP20" s="1005"/>
      <c r="AQ20" s="623"/>
      <c r="AR20" s="623"/>
    </row>
    <row customHeight="1" ht="14.625">
      <c r="E21" s="623">
        <v>15</v>
      </c>
      <c r="AA21" s="451"/>
      <c r="AC21" s="370" cm="1" t="str">
        <f t="array" ref="AC21:AC21">tpl_title</f>
        <v>Кемеровская область / 2026 / ОАО «СКЭК» (ИНН:4205153492, КПП:420501001) / ДПР: 2024-2028</v>
      </c>
      <c r="AI21" s="450"/>
      <c r="AJ21" s="450"/>
    </row>
    <row customHeight="1" ht="19.5">
      <c r="E22" s="623">
        <v>20</v>
      </c>
      <c r="AB22" s="316" t="s">
        <v>66</v>
      </c>
      <c r="AC22" s="222"/>
      <c r="AD22" s="222"/>
      <c r="AE22" s="222"/>
      <c r="AF22" s="222"/>
      <c r="AG22" s="222"/>
      <c r="AH22" s="222"/>
      <c r="AI22" s="222"/>
      <c r="AJ22" s="222"/>
      <c r="AK22" s="452"/>
    </row>
    <row customHeight="1" ht="13.893750000000002">
      <c r="E23" s="623">
        <v>14.25</v>
      </c>
      <c r="AB23" s="145"/>
      <c r="AC23" s="145"/>
      <c r="AD23" s="145"/>
      <c r="AE23" s="145"/>
      <c r="AF23" s="145"/>
      <c r="AG23" s="145"/>
      <c r="AH23" s="145"/>
      <c r="AI23" s="145"/>
      <c r="AJ23" s="145"/>
      <c r="AK23" s="145"/>
    </row>
    <row customHeight="1" ht="14.625">
      <c r="E24" s="623">
        <v>15</v>
      </c>
      <c r="AB24" s="1553" t="s">
        <v>22</v>
      </c>
      <c r="AC24" s="1553" t="s">
        <v>380</v>
      </c>
      <c r="AD24" s="1553" t="s">
        <v>1190</v>
      </c>
      <c r="AE24" s="87" t="str">
        <f>god-2&amp;" год"</f>
        <v>2024 год</v>
      </c>
      <c r="AF24" s="1129" t="str">
        <f>god-2&amp;" год"</f>
        <v>2024 год</v>
      </c>
      <c r="AG24" s="87" t="str">
        <f>god-2&amp;" год"</f>
        <v>2024 год</v>
      </c>
      <c r="AH24" s="87" t="str">
        <f>god-1&amp;" год"</f>
        <v>2025 год</v>
      </c>
      <c r="AI24" s="1127" t="str">
        <f>god&amp;" год"</f>
        <v>2026 год</v>
      </c>
      <c r="AJ24" s="88" t="str">
        <f>god&amp;" год"</f>
        <v>2026 год</v>
      </c>
      <c r="AK24" s="1601" t="s">
        <v>652</v>
      </c>
    </row>
    <row customHeight="1" ht="44.118750000000006">
      <c r="E25" s="623">
        <v>45.25</v>
      </c>
      <c r="AB25" s="1553"/>
      <c r="AC25" s="1553"/>
      <c r="AD25" s="1553"/>
      <c r="AE25" s="87" t="s">
        <v>373</v>
      </c>
      <c r="AF25" s="1129" t="s">
        <v>555</v>
      </c>
      <c r="AG25" s="87" t="s">
        <v>556</v>
      </c>
      <c r="AH25" s="87" t="s">
        <v>373</v>
      </c>
      <c r="AI25" s="1131" t="s">
        <v>374</v>
      </c>
      <c r="AJ25" s="356" t="s">
        <v>373</v>
      </c>
      <c r="AK25" s="1601"/>
    </row>
    <row customHeight="1" ht="12" hidden="1">
      <c r="E26" s="623">
        <v>0</v>
      </c>
      <c r="AB26" s="742"/>
      <c r="AC26" s="742"/>
      <c r="AD26" s="742"/>
      <c r="AE26" s="743"/>
      <c r="AF26" s="743"/>
      <c r="AG26" s="743"/>
      <c r="AH26" s="743"/>
      <c r="AI26" s="727"/>
      <c r="AJ26" s="727"/>
      <c r="AK26" s="744"/>
    </row>
    <row customHeight="1" ht="14.625" hidden="1">
      <c r="A27" s="1331"/>
      <c r="B27" s="1223"/>
      <c r="C27" s="1331"/>
      <c r="D27" s="1331"/>
      <c r="E27" s="623">
        <v>15</v>
      </c>
      <c r="F27" s="94" cm="1" t="str">
        <f t="array" ref="F27:F27">X27</f>
        <v>0</v>
      </c>
      <c r="G27" s="118" t="s">
        <v>1444</v>
      </c>
      <c r="H27" s="1331"/>
      <c r="I27" s="1331"/>
      <c r="J27" s="1331"/>
      <c r="K27" s="1331"/>
      <c r="L27" s="1331"/>
      <c r="M27" s="1331"/>
      <c r="N27" s="1331"/>
      <c r="O27" s="1331"/>
      <c r="P27" s="1331"/>
      <c r="Q27" s="1331"/>
      <c r="R27" s="1331"/>
      <c r="S27" s="1331"/>
      <c r="T27" s="468">
        <f>X27&gt;0</f>
        <v>0</v>
      </c>
      <c r="U27" s="1331"/>
      <c r="V27" s="118" t="s">
        <v>279</v>
      </c>
      <c r="W27" s="1331"/>
      <c r="X27" s="1539">
        <v>0</v>
      </c>
      <c r="Y27" s="1331"/>
      <c r="Z27" s="1529"/>
      <c r="AA27" s="450"/>
      <c r="AB27" s="218" cm="1" t="str">
        <f t="array" ref="AB27:AB27">INDEX('Общие сведения'!$AG$197:$AG$254,MATCH($X27,'Общие сведения'!$Z$197:$Z$254,0))</f>
        <v>Тариф 0 () - </v>
      </c>
      <c r="AC27" s="176"/>
      <c r="AD27" s="176"/>
      <c r="AE27" s="302">
        <f>SUM(AE28:AE36)</f>
        <v>0</v>
      </c>
      <c r="AF27" s="302">
        <f>SUM(AF28:AF36)</f>
        <v>0</v>
      </c>
      <c r="AG27" s="302">
        <f>SUM(AG28:AG36)</f>
        <v>0</v>
      </c>
      <c r="AH27" s="302">
        <f>SUM(AH28:AH36)</f>
        <v>0</v>
      </c>
      <c r="AI27" s="302">
        <f>SUM(AI28:AI36)</f>
        <v>0</v>
      </c>
      <c r="AJ27" s="302">
        <f>SUM(AJ28:AJ36)</f>
        <v>0</v>
      </c>
      <c r="AK27" s="220"/>
      <c r="AL27" s="450"/>
      <c r="AM27" s="450"/>
      <c r="AN27" s="1245"/>
      <c r="AO27" s="1245"/>
      <c r="AP27" s="1245"/>
      <c r="AQ27" s="1182"/>
      <c r="AR27" s="1182"/>
    </row>
    <row customHeight="1" ht="21.9375" hidden="1">
      <c r="A28" s="1331"/>
      <c r="B28" s="1223"/>
      <c r="C28" s="1331"/>
      <c r="D28" s="1331"/>
      <c r="E28" s="623">
        <v>22.5</v>
      </c>
      <c r="F28" s="50" cm="1" t="str">
        <f t="array" ref="F28:F28">OFFSET(E28,-1,1)</f>
        <v>0</v>
      </c>
      <c r="G28" s="118" t="s">
        <v>344</v>
      </c>
      <c r="H28" s="1331"/>
      <c r="I28" s="1331"/>
      <c r="J28" s="1331"/>
      <c r="K28" s="120" t="str">
        <f>F28&amp;"komm"</f>
        <v>0komm</v>
      </c>
      <c r="L28" s="926" cm="1" t="str">
        <f t="array" ref="L28:L28">AK28</f>
        <v>0</v>
      </c>
      <c r="M28" s="1331"/>
      <c r="N28" s="1331"/>
      <c r="O28" s="1331"/>
      <c r="P28" s="1331"/>
      <c r="Q28" s="1331"/>
      <c r="R28" s="1331"/>
      <c r="S28" s="1331"/>
      <c r="T28" s="468" cm="1" t="str">
        <f t="array" ref="T28:T28">T27</f>
        <v>false</v>
      </c>
      <c r="U28" s="1331"/>
      <c r="V28" s="1331"/>
      <c r="W28" s="1331"/>
      <c r="X28" s="1539"/>
      <c r="Y28" s="1331"/>
      <c r="Z28" s="1529"/>
      <c r="AA28" s="450"/>
      <c r="AB28" s="295" t="s">
        <v>290</v>
      </c>
      <c r="AC28" s="454" t="s">
        <v>1445</v>
      </c>
      <c r="AD28" s="296" t="s">
        <v>936</v>
      </c>
      <c r="AE28" s="4146"/>
      <c r="AF28" s="4301"/>
      <c r="AG28" s="4301"/>
      <c r="AH28" s="4301"/>
      <c r="AI28" s="4301"/>
      <c r="AJ28" s="4301"/>
      <c r="AK28" s="1928"/>
      <c r="AL28" s="450"/>
      <c r="AM28" s="450"/>
      <c r="AN28" s="1005" t="s">
        <v>1446</v>
      </c>
      <c r="AO28" s="1245"/>
      <c r="AP28" s="1245"/>
      <c r="AQ28" s="1182"/>
      <c r="AR28" s="1182"/>
    </row>
    <row customHeight="1" ht="21.9375" hidden="1">
      <c r="A29" s="1331"/>
      <c r="B29" s="1223"/>
      <c r="C29" s="1331"/>
      <c r="D29" s="1331"/>
      <c r="E29" s="623">
        <v>22.5</v>
      </c>
      <c r="F29" s="50" cm="1" t="str">
        <f t="array" ref="F29:F29">OFFSET(E29,-1,1)</f>
        <v>0</v>
      </c>
      <c r="G29" s="118" t="s">
        <v>345</v>
      </c>
      <c r="H29" s="1331"/>
      <c r="I29" s="1331"/>
      <c r="J29" s="1331"/>
      <c r="K29" s="1331"/>
      <c r="L29" s="1331"/>
      <c r="M29" s="1331"/>
      <c r="N29" s="1331"/>
      <c r="O29" s="1331"/>
      <c r="P29" s="1331"/>
      <c r="Q29" s="1331"/>
      <c r="R29" s="1331"/>
      <c r="S29" s="1331"/>
      <c r="T29" s="468" cm="1" t="str">
        <f t="array" ref="T29:T29">T28</f>
        <v>false</v>
      </c>
      <c r="U29" s="1331"/>
      <c r="V29" s="1331"/>
      <c r="W29" s="1331"/>
      <c r="X29" s="1539"/>
      <c r="Y29" s="1331"/>
      <c r="Z29" s="1529"/>
      <c r="AA29" s="450"/>
      <c r="AB29" s="295" t="s">
        <v>299</v>
      </c>
      <c r="AC29" s="454" t="s">
        <v>1447</v>
      </c>
      <c r="AD29" s="296" t="s">
        <v>936</v>
      </c>
      <c r="AE29" s="4146"/>
      <c r="AF29" s="4301"/>
      <c r="AG29" s="4301"/>
      <c r="AH29" s="4301"/>
      <c r="AI29" s="4301"/>
      <c r="AJ29" s="4301"/>
      <c r="AK29" s="1928"/>
      <c r="AL29" s="450"/>
      <c r="AM29" s="450"/>
      <c r="AN29" s="1005" t="s">
        <v>1448</v>
      </c>
      <c r="AO29" s="1245"/>
      <c r="AP29" s="1245"/>
      <c r="AQ29" s="1182"/>
      <c r="AR29" s="1182"/>
    </row>
    <row customHeight="1" ht="21.9375" hidden="1">
      <c r="A30" s="1331"/>
      <c r="B30" s="1223"/>
      <c r="C30" s="1331"/>
      <c r="D30" s="1331"/>
      <c r="E30" s="623">
        <v>22.5</v>
      </c>
      <c r="F30" s="50" cm="1" t="str">
        <f t="array" ref="F30:F30">OFFSET(E30,-1,1)</f>
        <v>0</v>
      </c>
      <c r="G30" s="118" t="s">
        <v>346</v>
      </c>
      <c r="H30" s="1331"/>
      <c r="I30" s="1331"/>
      <c r="J30" s="1331"/>
      <c r="K30" s="1331"/>
      <c r="L30" s="1331"/>
      <c r="M30" s="1331"/>
      <c r="N30" s="1331"/>
      <c r="O30" s="1331"/>
      <c r="P30" s="1331"/>
      <c r="Q30" s="1331"/>
      <c r="R30" s="1331"/>
      <c r="S30" s="1331"/>
      <c r="T30" s="468" cm="1" t="str">
        <f t="array" ref="T30:T30">T29</f>
        <v>false</v>
      </c>
      <c r="U30" s="1331"/>
      <c r="V30" s="1331"/>
      <c r="W30" s="1331"/>
      <c r="X30" s="1539"/>
      <c r="Y30" s="1331"/>
      <c r="Z30" s="1529"/>
      <c r="AA30" s="450"/>
      <c r="AB30" s="295" t="s">
        <v>234</v>
      </c>
      <c r="AC30" s="454" t="s">
        <v>1449</v>
      </c>
      <c r="AD30" s="296" t="s">
        <v>936</v>
      </c>
      <c r="AE30" s="4146"/>
      <c r="AF30" s="4301"/>
      <c r="AG30" s="4301"/>
      <c r="AH30" s="4301"/>
      <c r="AI30" s="4301"/>
      <c r="AJ30" s="4301"/>
      <c r="AK30" s="1928"/>
      <c r="AL30" s="450"/>
      <c r="AM30" s="450"/>
      <c r="AN30" s="1005" t="s">
        <v>1450</v>
      </c>
      <c r="AO30" s="1245"/>
      <c r="AP30" s="1245"/>
      <c r="AQ30" s="1182"/>
      <c r="AR30" s="1182"/>
    </row>
    <row s="1656" customFormat="1" customHeight="1" ht="32.90625" hidden="1">
      <c r="A31" s="118"/>
      <c r="B31" s="430"/>
      <c r="C31" s="118"/>
      <c r="D31" s="118"/>
      <c r="E31" s="623">
        <v>33.75</v>
      </c>
      <c r="F31" s="1194" cm="1" t="str">
        <f t="array" ref="F31:F31">OFFSET(E31,-1,1)</f>
        <v>0</v>
      </c>
      <c r="G31" s="118" t="s">
        <v>348</v>
      </c>
      <c r="H31" s="118"/>
      <c r="I31" s="118"/>
      <c r="J31" s="118"/>
      <c r="K31" s="118"/>
      <c r="L31" s="118"/>
      <c r="M31" s="118"/>
      <c r="N31" s="118"/>
      <c r="O31" s="118"/>
      <c r="P31" s="118"/>
      <c r="Q31" s="118"/>
      <c r="R31" s="118"/>
      <c r="S31" s="118"/>
      <c r="T31" s="468" cm="1" t="str">
        <f t="array" ref="T31:T31">T30</f>
        <v>false</v>
      </c>
      <c r="U31" s="118"/>
      <c r="V31" s="118"/>
      <c r="W31" s="118"/>
      <c r="X31" s="1539"/>
      <c r="Y31" s="118"/>
      <c r="Z31" s="1529"/>
      <c r="AA31" s="450"/>
      <c r="AB31" s="893">
        <v>4</v>
      </c>
      <c r="AC31" s="454" t="s">
        <v>1451</v>
      </c>
      <c r="AD31" s="296" t="s">
        <v>936</v>
      </c>
      <c r="AE31" s="780">
        <f>_xlfn.SUMIFS(ФОТ!AE$25:AE$127,ФОТ!$F$25:$F$127,$F31,ФОТ!$G$25:$G$127,"СП")+_xlfn.SUMIFS(ФОТ!AE$25:AE$127,ФОТ!$F$25:$F$127,$F31,ФОТ!$G$25:$G$127,"СОЦ_СП")</f>
        <v>0</v>
      </c>
      <c r="AF31" s="780">
        <f>_xlfn.SUMIFS(ФОТ!AF$25:AF$127,ФОТ!$F$25:$F$127,$F31,ФОТ!$G$25:$G$127,"СП")+_xlfn.SUMIFS(ФОТ!AF$25:AF$127,ФОТ!$F$25:$F$127,$F31,ФОТ!$G$25:$G$127,"СОЦ_СП")</f>
        <v>0</v>
      </c>
      <c r="AG31" s="780">
        <f>_xlfn.SUMIFS(ФОТ!AG$25:AG$127,ФОТ!$F$25:$F$127,$F31,ФОТ!$G$25:$G$127,"СП")+_xlfn.SUMIFS(ФОТ!AG$25:AG$127,ФОТ!$F$25:$F$127,$F31,ФОТ!$G$25:$G$127,"СОЦ_СП")</f>
        <v>0</v>
      </c>
      <c r="AH31" s="780">
        <f>_xlfn.SUMIFS(ФОТ!AH$25:AH$127,ФОТ!$F$25:$F$127,$F31,ФОТ!$G$25:$G$127,"СП")+_xlfn.SUMIFS(ФОТ!AH$25:AH$127,ФОТ!$F$25:$F$127,$F31,ФОТ!$G$25:$G$127,"СОЦ_СП")</f>
        <v>0</v>
      </c>
      <c r="AI31" s="780">
        <f>_xlfn.SUMIFS(ФОТ!AI$25:AI$127,ФОТ!$F$25:$F$127,$F31,ФОТ!$G$25:$G$127,"СП")+_xlfn.SUMIFS(ФОТ!AI$25:AI$127,ФОТ!$F$25:$F$127,$F31,ФОТ!$G$25:$G$127,"СОЦ_СП")</f>
        <v>0</v>
      </c>
      <c r="AJ31" s="780">
        <f>_xlfn.SUMIFS(ФОТ!AJ$25:AJ$127,ФОТ!$F$25:$F$127,$F31,ФОТ!$G$25:$G$127,"СП")+_xlfn.SUMIFS(ФОТ!AJ$25:AJ$127,ФОТ!$F$25:$F$127,$F31,ФОТ!$G$25:$G$127,"СОЦ_СП")</f>
        <v>0</v>
      </c>
      <c r="AK31" s="1928"/>
      <c r="AL31" s="450"/>
      <c r="AM31" s="1656"/>
      <c r="AN31" s="1056" t="s">
        <v>1452</v>
      </c>
      <c r="AO31" s="1056"/>
      <c r="AP31" s="1056"/>
      <c r="AQ31" s="677"/>
      <c r="AR31" s="677"/>
    </row>
    <row customHeight="1" ht="32.90625" hidden="1">
      <c r="A32" s="1331"/>
      <c r="B32" s="1223"/>
      <c r="C32" s="1331"/>
      <c r="D32" s="1331"/>
      <c r="E32" s="623">
        <v>33.75</v>
      </c>
      <c r="F32" s="50" cm="1" t="str">
        <f t="array" ref="F32:F32">OFFSET(E32,-1,1)</f>
        <v>0</v>
      </c>
      <c r="G32" s="118" t="s">
        <v>347</v>
      </c>
      <c r="H32" s="1331"/>
      <c r="I32" s="1331"/>
      <c r="J32" s="1331"/>
      <c r="K32" s="1331"/>
      <c r="L32" s="1331"/>
      <c r="M32" s="1331"/>
      <c r="N32" s="1331"/>
      <c r="O32" s="1331"/>
      <c r="P32" s="1331"/>
      <c r="Q32" s="1331"/>
      <c r="R32" s="1331"/>
      <c r="S32" s="1331"/>
      <c r="T32" s="468" cm="1" t="str">
        <f t="array" ref="T32:T32">T31</f>
        <v>false</v>
      </c>
      <c r="U32" s="1331"/>
      <c r="V32" s="1331"/>
      <c r="W32" s="1331"/>
      <c r="X32" s="1539"/>
      <c r="Y32" s="1331"/>
      <c r="Z32" s="1529"/>
      <c r="AA32" s="450"/>
      <c r="AB32" s="295" t="s">
        <v>454</v>
      </c>
      <c r="AC32" s="454" t="s">
        <v>1453</v>
      </c>
      <c r="AD32" s="296" t="s">
        <v>936</v>
      </c>
      <c r="AE32" s="4146"/>
      <c r="AF32" s="4146"/>
      <c r="AG32" s="4146"/>
      <c r="AH32" s="4146"/>
      <c r="AI32" s="4146"/>
      <c r="AJ32" s="4146"/>
      <c r="AK32" s="1928"/>
      <c r="AL32" s="450"/>
      <c r="AM32" s="450"/>
      <c r="AN32" s="1005" t="s">
        <v>1435</v>
      </c>
      <c r="AO32" s="1245"/>
      <c r="AP32" s="1245"/>
      <c r="AQ32" s="1182"/>
      <c r="AR32" s="1182"/>
    </row>
    <row customHeight="1" ht="21.9375" hidden="1">
      <c r="A33" s="1331"/>
      <c r="B33" s="1223"/>
      <c r="C33" s="1331"/>
      <c r="D33" s="1331"/>
      <c r="E33" s="623">
        <v>22.5</v>
      </c>
      <c r="F33" s="50" cm="1" t="str">
        <f t="array" ref="F33:F33">OFFSET(E33,-1,1)</f>
        <v>0</v>
      </c>
      <c r="G33" s="118" t="s">
        <v>616</v>
      </c>
      <c r="H33" s="1331"/>
      <c r="I33" s="1331"/>
      <c r="J33" s="1331"/>
      <c r="K33" s="1331"/>
      <c r="L33" s="1331"/>
      <c r="M33" s="1331"/>
      <c r="N33" s="1331"/>
      <c r="O33" s="1331"/>
      <c r="P33" s="1331"/>
      <c r="Q33" s="1331"/>
      <c r="R33" s="1331"/>
      <c r="S33" s="1331"/>
      <c r="T33" s="468" cm="1" t="str">
        <f t="array" ref="T33:T33">T32</f>
        <v>false</v>
      </c>
      <c r="U33" s="1331"/>
      <c r="V33" s="1331"/>
      <c r="W33" s="1331"/>
      <c r="X33" s="1539"/>
      <c r="Y33" s="1331"/>
      <c r="Z33" s="1529"/>
      <c r="AA33" s="450"/>
      <c r="AB33" s="295" t="s">
        <v>457</v>
      </c>
      <c r="AC33" s="454" t="s">
        <v>1454</v>
      </c>
      <c r="AD33" s="296" t="s">
        <v>936</v>
      </c>
      <c r="AE33" s="4146"/>
      <c r="AF33" s="4146"/>
      <c r="AG33" s="4146"/>
      <c r="AH33" s="4146"/>
      <c r="AI33" s="4146"/>
      <c r="AJ33" s="4146"/>
      <c r="AK33" s="1928"/>
      <c r="AL33" s="450"/>
      <c r="AM33" s="450"/>
      <c r="AN33" s="1005" t="s">
        <v>1421</v>
      </c>
      <c r="AO33" s="1245"/>
      <c r="AP33" s="1245"/>
      <c r="AQ33" s="1182"/>
      <c r="AR33" s="1182"/>
    </row>
    <row customHeight="1" ht="43.875" hidden="1">
      <c r="A34" s="1331"/>
      <c r="B34" s="1223"/>
      <c r="C34" s="1331"/>
      <c r="D34" s="1331"/>
      <c r="E34" s="623">
        <v>45</v>
      </c>
      <c r="F34" s="50" cm="1" t="str">
        <f t="array" ref="F34:F34">OFFSET(E34,-1,1)</f>
        <v>0</v>
      </c>
      <c r="G34" s="118" t="s">
        <v>619</v>
      </c>
      <c r="H34" s="1331"/>
      <c r="I34" s="1331"/>
      <c r="J34" s="1331"/>
      <c r="K34" s="1331"/>
      <c r="L34" s="1331"/>
      <c r="M34" s="1331"/>
      <c r="N34" s="1331"/>
      <c r="O34" s="1331"/>
      <c r="P34" s="1331"/>
      <c r="Q34" s="1331"/>
      <c r="R34" s="1331"/>
      <c r="S34" s="1331"/>
      <c r="T34" s="468" cm="1" t="str">
        <f t="array" ref="T34:T34">T33</f>
        <v>false</v>
      </c>
      <c r="U34" s="1331"/>
      <c r="V34" s="1331"/>
      <c r="W34" s="1331"/>
      <c r="X34" s="1539"/>
      <c r="Y34" s="1331"/>
      <c r="Z34" s="1529"/>
      <c r="AA34" s="450"/>
      <c r="AB34" s="295" t="s">
        <v>460</v>
      </c>
      <c r="AC34" s="454" t="s">
        <v>1455</v>
      </c>
      <c r="AD34" s="296" t="s">
        <v>936</v>
      </c>
      <c r="AE34" s="4146"/>
      <c r="AF34" s="4146"/>
      <c r="AG34" s="4146"/>
      <c r="AH34" s="4146"/>
      <c r="AI34" s="4146"/>
      <c r="AJ34" s="4146"/>
      <c r="AK34" s="1928"/>
      <c r="AL34" s="450"/>
      <c r="AM34" s="450"/>
      <c r="AN34" s="1005" t="s">
        <v>1456</v>
      </c>
      <c r="AO34" s="1245"/>
      <c r="AP34" s="1245"/>
      <c r="AQ34" s="1182"/>
      <c r="AR34" s="1182"/>
    </row>
    <row customHeight="1" ht="43.875" hidden="1">
      <c r="A35" s="1331"/>
      <c r="B35" s="1223"/>
      <c r="C35" s="1331"/>
      <c r="D35" s="1331"/>
      <c r="E35" s="623">
        <v>45</v>
      </c>
      <c r="F35" s="50" cm="1" t="str">
        <f t="array" ref="F35:F35">OFFSET(E35,-1,1)</f>
        <v>0</v>
      </c>
      <c r="G35" s="118" t="s">
        <v>685</v>
      </c>
      <c r="H35" s="1331"/>
      <c r="I35" s="1331"/>
      <c r="J35" s="1331"/>
      <c r="K35" s="1331"/>
      <c r="L35" s="1331"/>
      <c r="M35" s="1331"/>
      <c r="N35" s="1331"/>
      <c r="O35" s="1331"/>
      <c r="P35" s="1331"/>
      <c r="Q35" s="1331"/>
      <c r="R35" s="1331"/>
      <c r="S35" s="1331"/>
      <c r="T35" s="468" cm="1" t="str">
        <f t="array" ref="T35:T35">T34</f>
        <v>false</v>
      </c>
      <c r="U35" s="1331"/>
      <c r="V35" s="1331"/>
      <c r="W35" s="1331"/>
      <c r="X35" s="1539"/>
      <c r="Y35" s="1331"/>
      <c r="Z35" s="1529"/>
      <c r="AA35" s="450"/>
      <c r="AB35" s="295" t="s">
        <v>463</v>
      </c>
      <c r="AC35" s="454" t="s">
        <v>1457</v>
      </c>
      <c r="AD35" s="296" t="s">
        <v>936</v>
      </c>
      <c r="AE35" s="4146"/>
      <c r="AF35" s="4146"/>
      <c r="AG35" s="4146"/>
      <c r="AH35" s="4146"/>
      <c r="AI35" s="4146"/>
      <c r="AJ35" s="4146"/>
      <c r="AK35" s="1928"/>
      <c r="AL35" s="450"/>
      <c r="AM35" s="450"/>
      <c r="AN35" s="1005" t="s">
        <v>1458</v>
      </c>
      <c r="AO35" s="1245"/>
      <c r="AP35" s="1245"/>
      <c r="AQ35" s="1182"/>
      <c r="AR35" s="1182"/>
    </row>
    <row customHeight="1" ht="14.625" hidden="1">
      <c r="A36" s="1331"/>
      <c r="B36" s="1223"/>
      <c r="C36" s="1331"/>
      <c r="D36" s="1331"/>
      <c r="E36" s="623">
        <v>15</v>
      </c>
      <c r="F36" s="50" cm="1" t="str">
        <f t="array" ref="F36:F36">OFFSET(E36,-1,1)</f>
        <v>0</v>
      </c>
      <c r="G36" s="118" t="s">
        <v>700</v>
      </c>
      <c r="H36" s="1331"/>
      <c r="I36" s="1331"/>
      <c r="J36" s="1331"/>
      <c r="K36" s="1331"/>
      <c r="L36" s="1331"/>
      <c r="M36" s="1331"/>
      <c r="N36" s="1331"/>
      <c r="O36" s="1331"/>
      <c r="P36" s="1331"/>
      <c r="Q36" s="1331"/>
      <c r="R36" s="1331"/>
      <c r="S36" s="1331"/>
      <c r="T36" s="468" cm="1" t="str">
        <f t="array" ref="T36:T36">T35</f>
        <v>false</v>
      </c>
      <c r="U36" s="1331"/>
      <c r="V36" s="1331"/>
      <c r="W36" s="1331"/>
      <c r="X36" s="1539"/>
      <c r="Y36" s="1331"/>
      <c r="Z36" s="1529"/>
      <c r="AA36" s="450"/>
      <c r="AB36" s="352">
        <v>9</v>
      </c>
      <c r="AC36" s="454" t="s">
        <v>1459</v>
      </c>
      <c r="AD36" s="296" t="s">
        <v>936</v>
      </c>
      <c r="AE36" s="231">
        <f>SUM(AE37:AE38)</f>
        <v>0</v>
      </c>
      <c r="AF36" s="231">
        <f>SUM(AF37:AF38)</f>
        <v>0</v>
      </c>
      <c r="AG36" s="231">
        <f>SUM(AG37:AG38)</f>
        <v>0</v>
      </c>
      <c r="AH36" s="231">
        <f>SUM(AH37:AH38)</f>
        <v>0</v>
      </c>
      <c r="AI36" s="231">
        <f>SUM(AI37:AI38)</f>
        <v>0</v>
      </c>
      <c r="AJ36" s="231">
        <f>SUM(AJ37:AJ38)</f>
        <v>0</v>
      </c>
      <c r="AK36" s="1928"/>
      <c r="AL36" s="450"/>
      <c r="AM36" s="450"/>
      <c r="AN36" s="1005" t="s">
        <v>407</v>
      </c>
      <c r="AO36" s="1245"/>
      <c r="AP36" s="1245"/>
      <c r="AQ36" s="1182"/>
      <c r="AR36" s="1182"/>
    </row>
    <row customHeight="1" ht="14.625" hidden="1">
      <c r="A37" s="1331"/>
      <c r="B37" s="1223"/>
      <c r="C37" s="1331"/>
      <c r="D37" s="1331"/>
      <c r="E37" s="623">
        <v>15</v>
      </c>
      <c r="F37" s="50" cm="1" t="str">
        <f t="array" ref="F37:F37">OFFSET(E37,-1,1)</f>
        <v>0</v>
      </c>
      <c r="G37" s="118" t="s">
        <v>700</v>
      </c>
      <c r="H37" s="118" cm="1" t="str">
        <f t="array" ref="H37:H37">AC37</f>
        <v>0</v>
      </c>
      <c r="I37" s="1331"/>
      <c r="J37" s="1331"/>
      <c r="K37" s="1331"/>
      <c r="L37" s="1331"/>
      <c r="M37" s="1331"/>
      <c r="N37" s="1331"/>
      <c r="O37" s="1331"/>
      <c r="P37" s="1331"/>
      <c r="Q37" s="1331"/>
      <c r="R37" s="1331"/>
      <c r="S37" s="1331"/>
      <c r="T37" s="468">
        <f>AND(F37&gt;0,Y37&gt;0)</f>
        <v>0</v>
      </c>
      <c r="U37" s="1331"/>
      <c r="V37" s="1331"/>
      <c r="W37" s="764" t="s">
        <v>173</v>
      </c>
      <c r="X37" s="1539"/>
      <c r="Y37" s="118">
        <v>0</v>
      </c>
      <c r="Z37" s="1529"/>
      <c r="AA37" s="422" t="s">
        <v>174</v>
      </c>
      <c r="AB37" s="696" t="str">
        <f>"9."&amp;Y37</f>
        <v>9.0</v>
      </c>
      <c r="AC37" s="4148"/>
      <c r="AD37" s="296" t="s">
        <v>936</v>
      </c>
      <c r="AE37" s="4146"/>
      <c r="AF37" s="4146"/>
      <c r="AG37" s="4146"/>
      <c r="AH37" s="4146"/>
      <c r="AI37" s="4146"/>
      <c r="AJ37" s="4146"/>
      <c r="AK37" s="1928"/>
      <c r="AL37" s="450"/>
      <c r="AM37" s="450"/>
      <c r="AN37" s="1005" t="s">
        <v>407</v>
      </c>
      <c r="AO37" s="1005" t="s">
        <v>1460</v>
      </c>
      <c r="AP37" s="1005" cm="1" t="str">
        <f t="array" ref="AP37:AP37">AC37</f>
        <v>0</v>
      </c>
      <c r="AQ37" s="1182"/>
      <c r="AR37" s="623" t="b">
        <v>1</v>
      </c>
    </row>
    <row customHeight="1" ht="14.625" hidden="1">
      <c r="A38" s="142"/>
      <c r="B38" s="431"/>
      <c r="C38" s="142"/>
      <c r="D38" s="142"/>
      <c r="E38" s="263">
        <v>15</v>
      </c>
      <c r="F38" s="50" cm="1" t="str">
        <f t="array" ref="F38:F38">OFFSET(E38,-1,1)</f>
        <v>0</v>
      </c>
      <c r="G38" s="142"/>
      <c r="H38" s="148" t="str">
        <f>"!=='не определено'"</f>
        <v>!=='не определено'</v>
      </c>
      <c r="I38" s="142"/>
      <c r="J38" s="142"/>
      <c r="K38" s="142"/>
      <c r="L38" s="142"/>
      <c r="M38" s="142"/>
      <c r="N38" s="142"/>
      <c r="O38" s="142"/>
      <c r="P38" s="142"/>
      <c r="Q38" s="142"/>
      <c r="R38" s="142"/>
      <c r="S38" s="142"/>
      <c r="T38" s="468">
        <f>F38&gt;0</f>
        <v>0</v>
      </c>
      <c r="U38" s="142"/>
      <c r="V38" s="142"/>
      <c r="W38" s="764" t="s">
        <v>1461</v>
      </c>
      <c r="X38" s="1539"/>
      <c r="Y38" s="142"/>
      <c r="Z38" s="1529"/>
      <c r="AA38" s="142"/>
      <c r="AB38" s="227"/>
      <c r="AC38" s="228" t="s">
        <v>177</v>
      </c>
      <c r="AD38" s="228"/>
      <c r="AE38" s="228"/>
      <c r="AF38" s="228"/>
      <c r="AG38" s="228"/>
      <c r="AH38" s="228"/>
      <c r="AI38" s="228"/>
      <c r="AJ38" s="228"/>
      <c r="AK38" s="229"/>
      <c r="AL38" s="142"/>
      <c r="AM38" s="450"/>
      <c r="AN38" s="1245"/>
      <c r="AO38" s="1245"/>
      <c r="AP38" s="1245"/>
      <c r="AQ38" s="623" t="s">
        <v>1460</v>
      </c>
      <c r="AR38" s="1182"/>
    </row>
    <row s="1656" customFormat="1" customHeight="1" ht="14.25">
      <c r="A39" s="1331"/>
      <c r="B39" s="1223"/>
      <c r="C39" s="1331"/>
      <c r="D39" s="1331"/>
      <c r="E39" s="623">
        <v>15</v>
      </c>
      <c r="F39" s="94" cm="1" t="str">
        <f t="array" ref="F39:F39">X39</f>
        <v>1</v>
      </c>
      <c r="G39" s="118" t="s">
        <v>1444</v>
      </c>
      <c r="H39" s="1331"/>
      <c r="I39" s="1331"/>
      <c r="J39" s="1331"/>
      <c r="K39" s="1331"/>
      <c r="L39" s="1331"/>
      <c r="M39" s="1331"/>
      <c r="N39" s="1331"/>
      <c r="O39" s="1331"/>
      <c r="P39" s="1331"/>
      <c r="Q39" s="1331"/>
      <c r="R39" s="1331"/>
      <c r="S39" s="1331"/>
      <c r="T39" s="468">
        <f>X39&gt;0</f>
        <v>1</v>
      </c>
      <c r="U39" s="1331"/>
      <c r="V39" s="118" cm="1" t="str">
        <f t="array" ref="V39:V39">Административные!$AB$46</f>
        <v>Тариф 1 (Водоснабжение) - тариф на питьевую воду (Оказание услуг на территории: город Ленинск-Кузнецкий (ОКТМО: 32719000) - г Ленинск-Кузнецкий, г Полысаево)</v>
      </c>
      <c r="W39" s="1331"/>
      <c r="X39" s="1539" t="s">
        <v>290</v>
      </c>
      <c r="Y39" s="1331"/>
      <c r="Z39" s="1529"/>
      <c r="AA39" s="450"/>
      <c r="AB39" s="218" cm="1" t="str">
        <f t="array" ref="AB39:AB39">Административные!$AB$46</f>
        <v>Тариф 1 (Водоснабжение) - тариф на питьевую воду (Оказание услуг на территории: город Ленинск-Кузнецкий (ОКТМО: 32719000) - г Ленинск-Кузнецкий, г Полысаево)</v>
      </c>
      <c r="AC39" s="176"/>
      <c r="AD39" s="176"/>
      <c r="AE39" s="302">
        <f>SUM(AE40:AE48)</f>
        <v>0</v>
      </c>
      <c r="AF39" s="302">
        <f>SUM(AF40:AF48)</f>
        <v>0</v>
      </c>
      <c r="AG39" s="302">
        <f>SUM(AG40:AG48)</f>
        <v>0</v>
      </c>
      <c r="AH39" s="302">
        <f>SUM(AH40:AH48)</f>
        <v>0</v>
      </c>
      <c r="AI39" s="302">
        <f>SUM(AI40:AI48)</f>
        <v>0</v>
      </c>
      <c r="AJ39" s="302">
        <f>SUM(AJ40:AJ48)</f>
        <v>0</v>
      </c>
      <c r="AK39" s="220"/>
      <c r="AL39" s="450"/>
      <c r="AM39" s="450"/>
      <c r="AN39" s="1245"/>
      <c r="AO39" s="1245"/>
      <c r="AP39" s="1245"/>
      <c r="AQ39" s="1182"/>
      <c r="AR39" s="1182"/>
    </row>
    <row s="1656" customFormat="1" customHeight="1" ht="21.75">
      <c r="A40" s="1331"/>
      <c r="B40" s="1223"/>
      <c r="C40" s="1331"/>
      <c r="D40" s="1331"/>
      <c r="E40" s="623">
        <v>22.5</v>
      </c>
      <c r="F40" s="50" cm="1" t="str">
        <f t="array" ref="F40:F40">OFFSET(E40,-1,1)</f>
        <v>1</v>
      </c>
      <c r="G40" s="118" t="s">
        <v>344</v>
      </c>
      <c r="H40" s="1331"/>
      <c r="I40" s="1331"/>
      <c r="J40" s="1331"/>
      <c r="K40" s="120" t="str">
        <f>F40&amp;"komm"</f>
        <v>1komm</v>
      </c>
      <c r="L40" s="926" cm="1" t="str">
        <f t="array" ref="L40:L40">AK40</f>
        <v>0</v>
      </c>
      <c r="M40" s="1331"/>
      <c r="N40" s="1331"/>
      <c r="O40" s="1331"/>
      <c r="P40" s="1331"/>
      <c r="Q40" s="1331"/>
      <c r="R40" s="1331"/>
      <c r="S40" s="1331"/>
      <c r="T40" s="468" cm="1" t="str">
        <f t="array" ref="T40:T40">T39</f>
        <v>true</v>
      </c>
      <c r="U40" s="1331"/>
      <c r="V40" s="1331"/>
      <c r="W40" s="1331"/>
      <c r="X40" s="1539"/>
      <c r="Y40" s="1331"/>
      <c r="Z40" s="1529"/>
      <c r="AA40" s="450"/>
      <c r="AB40" s="295" t="s">
        <v>290</v>
      </c>
      <c r="AC40" s="454" t="s">
        <v>1445</v>
      </c>
      <c r="AD40" s="296" t="s">
        <v>936</v>
      </c>
      <c r="AE40" s="294"/>
      <c r="AF40" s="225"/>
      <c r="AG40" s="225"/>
      <c r="AH40" s="225"/>
      <c r="AI40" s="225"/>
      <c r="AJ40" s="225"/>
      <c r="AK40" s="196"/>
      <c r="AL40" s="450"/>
      <c r="AM40" s="450"/>
      <c r="AN40" s="1005" t="s">
        <v>1446</v>
      </c>
      <c r="AO40" s="1245"/>
      <c r="AP40" s="1245"/>
      <c r="AQ40" s="1182"/>
      <c r="AR40" s="1182"/>
    </row>
    <row s="1656" customFormat="1" customHeight="1" ht="21.75">
      <c r="A41" s="1331"/>
      <c r="B41" s="1223"/>
      <c r="C41" s="1331"/>
      <c r="D41" s="1331"/>
      <c r="E41" s="623">
        <v>22.5</v>
      </c>
      <c r="F41" s="50" cm="1" t="str">
        <f t="array" ref="F41:F41">OFFSET(E41,-1,1)</f>
        <v>1</v>
      </c>
      <c r="G41" s="118" t="s">
        <v>345</v>
      </c>
      <c r="H41" s="1331"/>
      <c r="I41" s="1331"/>
      <c r="J41" s="1331"/>
      <c r="K41" s="1331"/>
      <c r="L41" s="1331"/>
      <c r="M41" s="1331"/>
      <c r="N41" s="1331"/>
      <c r="O41" s="1331"/>
      <c r="P41" s="1331"/>
      <c r="Q41" s="1331"/>
      <c r="R41" s="1331"/>
      <c r="S41" s="1331"/>
      <c r="T41" s="468" cm="1" t="str">
        <f t="array" ref="T41:T41">T40</f>
        <v>true</v>
      </c>
      <c r="U41" s="1331"/>
      <c r="V41" s="1331"/>
      <c r="W41" s="1331"/>
      <c r="X41" s="1539"/>
      <c r="Y41" s="1331"/>
      <c r="Z41" s="1529"/>
      <c r="AA41" s="450"/>
      <c r="AB41" s="295" t="s">
        <v>299</v>
      </c>
      <c r="AC41" s="454" t="s">
        <v>1447</v>
      </c>
      <c r="AD41" s="296" t="s">
        <v>936</v>
      </c>
      <c r="AE41" s="294"/>
      <c r="AF41" s="225"/>
      <c r="AG41" s="225"/>
      <c r="AH41" s="225"/>
      <c r="AI41" s="225"/>
      <c r="AJ41" s="225"/>
      <c r="AK41" s="196"/>
      <c r="AL41" s="450"/>
      <c r="AM41" s="450"/>
      <c r="AN41" s="1005" t="s">
        <v>1448</v>
      </c>
      <c r="AO41" s="1245"/>
      <c r="AP41" s="1245"/>
      <c r="AQ41" s="1182"/>
      <c r="AR41" s="1182"/>
    </row>
    <row s="1656" customFormat="1" customHeight="1" ht="21.75">
      <c r="A42" s="1331"/>
      <c r="B42" s="1223"/>
      <c r="C42" s="1331"/>
      <c r="D42" s="1331"/>
      <c r="E42" s="623">
        <v>22.5</v>
      </c>
      <c r="F42" s="50" cm="1" t="str">
        <f t="array" ref="F42:F42">OFFSET(E42,-1,1)</f>
        <v>1</v>
      </c>
      <c r="G42" s="118" t="s">
        <v>346</v>
      </c>
      <c r="H42" s="1331"/>
      <c r="I42" s="1331"/>
      <c r="J42" s="1331"/>
      <c r="K42" s="1331"/>
      <c r="L42" s="1331"/>
      <c r="M42" s="1331"/>
      <c r="N42" s="1331"/>
      <c r="O42" s="1331"/>
      <c r="P42" s="1331"/>
      <c r="Q42" s="1331"/>
      <c r="R42" s="1331"/>
      <c r="S42" s="1331"/>
      <c r="T42" s="468" cm="1" t="str">
        <f t="array" ref="T42:T42">T41</f>
        <v>true</v>
      </c>
      <c r="U42" s="1331"/>
      <c r="V42" s="1331"/>
      <c r="W42" s="1331"/>
      <c r="X42" s="1539"/>
      <c r="Y42" s="1331"/>
      <c r="Z42" s="1529"/>
      <c r="AA42" s="450"/>
      <c r="AB42" s="295" t="s">
        <v>234</v>
      </c>
      <c r="AC42" s="454" t="s">
        <v>1449</v>
      </c>
      <c r="AD42" s="296" t="s">
        <v>936</v>
      </c>
      <c r="AE42" s="294"/>
      <c r="AF42" s="225"/>
      <c r="AG42" s="225"/>
      <c r="AH42" s="225"/>
      <c r="AI42" s="225"/>
      <c r="AJ42" s="225"/>
      <c r="AK42" s="196"/>
      <c r="AL42" s="450"/>
      <c r="AM42" s="450"/>
      <c r="AN42" s="1005" t="s">
        <v>1450</v>
      </c>
      <c r="AO42" s="1245"/>
      <c r="AP42" s="1245"/>
      <c r="AQ42" s="1182"/>
      <c r="AR42" s="1182"/>
    </row>
    <row s="1656" customFormat="1" customHeight="1" ht="32.25">
      <c r="A43" s="118"/>
      <c r="B43" s="430"/>
      <c r="C43" s="118"/>
      <c r="D43" s="118"/>
      <c r="E43" s="623">
        <v>33.75</v>
      </c>
      <c r="F43" s="1194" cm="1" t="str">
        <f t="array" ref="F43:F43">OFFSET(E43,-1,1)</f>
        <v>1</v>
      </c>
      <c r="G43" s="118" t="s">
        <v>348</v>
      </c>
      <c r="H43" s="118"/>
      <c r="I43" s="118"/>
      <c r="J43" s="118"/>
      <c r="K43" s="118"/>
      <c r="L43" s="118"/>
      <c r="M43" s="118"/>
      <c r="N43" s="118"/>
      <c r="O43" s="118"/>
      <c r="P43" s="118"/>
      <c r="Q43" s="118"/>
      <c r="R43" s="118"/>
      <c r="S43" s="118"/>
      <c r="T43" s="468" cm="1" t="str">
        <f t="array" ref="T43:T43">T42</f>
        <v>true</v>
      </c>
      <c r="U43" s="118"/>
      <c r="V43" s="118"/>
      <c r="W43" s="118"/>
      <c r="X43" s="1539"/>
      <c r="Y43" s="118"/>
      <c r="Z43" s="1529"/>
      <c r="AA43" s="450"/>
      <c r="AB43" s="893">
        <v>4</v>
      </c>
      <c r="AC43" s="454" t="s">
        <v>1451</v>
      </c>
      <c r="AD43" s="296" t="s">
        <v>936</v>
      </c>
      <c r="AE43" s="780">
        <f>_xlfn.SUMIFS(ФОТ!AE$25:AE$127,ФОТ!$F$25:$F$127,$F43,ФОТ!$G$25:$G$127,"СП")+_xlfn.SUMIFS(ФОТ!AE$25:AE$127,ФОТ!$F$25:$F$127,$F43,ФОТ!$G$25:$G$127,"СОЦ_СП")</f>
        <v>0</v>
      </c>
      <c r="AF43" s="780">
        <f>_xlfn.SUMIFS(ФОТ!AF$25:AF$127,ФОТ!$F$25:$F$127,$F43,ФОТ!$G$25:$G$127,"СП")+_xlfn.SUMIFS(ФОТ!AF$25:AF$127,ФОТ!$F$25:$F$127,$F43,ФОТ!$G$25:$G$127,"СОЦ_СП")</f>
        <v>0</v>
      </c>
      <c r="AG43" s="780">
        <f>_xlfn.SUMIFS(ФОТ!AG$25:AG$127,ФОТ!$F$25:$F$127,$F43,ФОТ!$G$25:$G$127,"СП")+_xlfn.SUMIFS(ФОТ!AG$25:AG$127,ФОТ!$F$25:$F$127,$F43,ФОТ!$G$25:$G$127,"СОЦ_СП")</f>
        <v>0</v>
      </c>
      <c r="AH43" s="780">
        <f>_xlfn.SUMIFS(ФОТ!AH$25:AH$127,ФОТ!$F$25:$F$127,$F43,ФОТ!$G$25:$G$127,"СП")+_xlfn.SUMIFS(ФОТ!AH$25:AH$127,ФОТ!$F$25:$F$127,$F43,ФОТ!$G$25:$G$127,"СОЦ_СП")</f>
        <v>0</v>
      </c>
      <c r="AI43" s="780">
        <f>_xlfn.SUMIFS(ФОТ!AI$25:AI$127,ФОТ!$F$25:$F$127,$F43,ФОТ!$G$25:$G$127,"СП")+_xlfn.SUMIFS(ФОТ!AI$25:AI$127,ФОТ!$F$25:$F$127,$F43,ФОТ!$G$25:$G$127,"СОЦ_СП")</f>
        <v>0</v>
      </c>
      <c r="AJ43" s="780">
        <f>_xlfn.SUMIFS(ФОТ!AJ$25:AJ$127,ФОТ!$F$25:$F$127,$F43,ФОТ!$G$25:$G$127,"СП")+_xlfn.SUMIFS(ФОТ!AJ$25:AJ$127,ФОТ!$F$25:$F$127,$F43,ФОТ!$G$25:$G$127,"СОЦ_СП")</f>
        <v>0</v>
      </c>
      <c r="AK43" s="196"/>
      <c r="AL43" s="450"/>
      <c r="AM43" s="1656"/>
      <c r="AN43" s="1056" t="s">
        <v>1452</v>
      </c>
      <c r="AO43" s="1056"/>
      <c r="AP43" s="1056"/>
      <c r="AQ43" s="677"/>
      <c r="AR43" s="677"/>
    </row>
    <row s="1656" customFormat="1" customHeight="1" ht="32.25">
      <c r="A44" s="1331"/>
      <c r="B44" s="1223"/>
      <c r="C44" s="1331"/>
      <c r="D44" s="1331"/>
      <c r="E44" s="623">
        <v>33.75</v>
      </c>
      <c r="F44" s="50" cm="1" t="str">
        <f t="array" ref="F44:F44">OFFSET(E44,-1,1)</f>
        <v>1</v>
      </c>
      <c r="G44" s="118" t="s">
        <v>347</v>
      </c>
      <c r="H44" s="1331"/>
      <c r="I44" s="1331"/>
      <c r="J44" s="1331"/>
      <c r="K44" s="1331"/>
      <c r="L44" s="1331"/>
      <c r="M44" s="1331"/>
      <c r="N44" s="1331"/>
      <c r="O44" s="1331"/>
      <c r="P44" s="1331"/>
      <c r="Q44" s="1331"/>
      <c r="R44" s="1331"/>
      <c r="S44" s="1331"/>
      <c r="T44" s="468" cm="1" t="str">
        <f t="array" ref="T44:T44">T43</f>
        <v>true</v>
      </c>
      <c r="U44" s="1331"/>
      <c r="V44" s="1331"/>
      <c r="W44" s="1331"/>
      <c r="X44" s="1539"/>
      <c r="Y44" s="1331"/>
      <c r="Z44" s="1529"/>
      <c r="AA44" s="450"/>
      <c r="AB44" s="295" t="s">
        <v>454</v>
      </c>
      <c r="AC44" s="454" t="s">
        <v>1453</v>
      </c>
      <c r="AD44" s="296" t="s">
        <v>936</v>
      </c>
      <c r="AE44" s="294"/>
      <c r="AF44" s="294"/>
      <c r="AG44" s="294"/>
      <c r="AH44" s="294"/>
      <c r="AI44" s="294"/>
      <c r="AJ44" s="294"/>
      <c r="AK44" s="196"/>
      <c r="AL44" s="450"/>
      <c r="AM44" s="450"/>
      <c r="AN44" s="1005" t="s">
        <v>1435</v>
      </c>
      <c r="AO44" s="1245"/>
      <c r="AP44" s="1245"/>
      <c r="AQ44" s="1182"/>
      <c r="AR44" s="1182"/>
    </row>
    <row s="1656" customFormat="1" customHeight="1" ht="21.75">
      <c r="A45" s="1331"/>
      <c r="B45" s="1223"/>
      <c r="C45" s="1331"/>
      <c r="D45" s="1331"/>
      <c r="E45" s="623">
        <v>22.5</v>
      </c>
      <c r="F45" s="50" cm="1" t="str">
        <f t="array" ref="F45:F45">OFFSET(E45,-1,1)</f>
        <v>1</v>
      </c>
      <c r="G45" s="118" t="s">
        <v>616</v>
      </c>
      <c r="H45" s="1331"/>
      <c r="I45" s="1331"/>
      <c r="J45" s="1331"/>
      <c r="K45" s="1331"/>
      <c r="L45" s="1331"/>
      <c r="M45" s="1331"/>
      <c r="N45" s="1331"/>
      <c r="O45" s="1331"/>
      <c r="P45" s="1331"/>
      <c r="Q45" s="1331"/>
      <c r="R45" s="1331"/>
      <c r="S45" s="1331"/>
      <c r="T45" s="468" cm="1" t="str">
        <f t="array" ref="T45:T45">T44</f>
        <v>true</v>
      </c>
      <c r="U45" s="1331"/>
      <c r="V45" s="1331"/>
      <c r="W45" s="1331"/>
      <c r="X45" s="1539"/>
      <c r="Y45" s="1331"/>
      <c r="Z45" s="1529"/>
      <c r="AA45" s="450"/>
      <c r="AB45" s="295" t="s">
        <v>457</v>
      </c>
      <c r="AC45" s="454" t="s">
        <v>1454</v>
      </c>
      <c r="AD45" s="296" t="s">
        <v>936</v>
      </c>
      <c r="AE45" s="294"/>
      <c r="AF45" s="294"/>
      <c r="AG45" s="294"/>
      <c r="AH45" s="294"/>
      <c r="AI45" s="294"/>
      <c r="AJ45" s="294"/>
      <c r="AK45" s="196"/>
      <c r="AL45" s="450"/>
      <c r="AM45" s="450"/>
      <c r="AN45" s="1005" t="s">
        <v>1421</v>
      </c>
      <c r="AO45" s="1245"/>
      <c r="AP45" s="1245"/>
      <c r="AQ45" s="1182"/>
      <c r="AR45" s="1182"/>
    </row>
    <row s="1656" customFormat="1" customHeight="1" ht="43.5">
      <c r="A46" s="1331"/>
      <c r="B46" s="1223"/>
      <c r="C46" s="1331"/>
      <c r="D46" s="1331"/>
      <c r="E46" s="623">
        <v>45</v>
      </c>
      <c r="F46" s="50" cm="1" t="str">
        <f t="array" ref="F46:F46">OFFSET(E46,-1,1)</f>
        <v>1</v>
      </c>
      <c r="G46" s="118" t="s">
        <v>619</v>
      </c>
      <c r="H46" s="1331"/>
      <c r="I46" s="1331"/>
      <c r="J46" s="1331"/>
      <c r="K46" s="1331"/>
      <c r="L46" s="1331"/>
      <c r="M46" s="1331"/>
      <c r="N46" s="1331"/>
      <c r="O46" s="1331"/>
      <c r="P46" s="1331"/>
      <c r="Q46" s="1331"/>
      <c r="R46" s="1331"/>
      <c r="S46" s="1331"/>
      <c r="T46" s="468" cm="1" t="str">
        <f t="array" ref="T46:T46">T45</f>
        <v>true</v>
      </c>
      <c r="U46" s="1331"/>
      <c r="V46" s="1331"/>
      <c r="W46" s="1331"/>
      <c r="X46" s="1539"/>
      <c r="Y46" s="1331"/>
      <c r="Z46" s="1529"/>
      <c r="AA46" s="450"/>
      <c r="AB46" s="295" t="s">
        <v>460</v>
      </c>
      <c r="AC46" s="454" t="s">
        <v>1455</v>
      </c>
      <c r="AD46" s="296" t="s">
        <v>936</v>
      </c>
      <c r="AE46" s="294"/>
      <c r="AF46" s="294"/>
      <c r="AG46" s="294"/>
      <c r="AH46" s="294"/>
      <c r="AI46" s="294"/>
      <c r="AJ46" s="294"/>
      <c r="AK46" s="196"/>
      <c r="AL46" s="450"/>
      <c r="AM46" s="450"/>
      <c r="AN46" s="1005" t="s">
        <v>1456</v>
      </c>
      <c r="AO46" s="1245"/>
      <c r="AP46" s="1245"/>
      <c r="AQ46" s="1182"/>
      <c r="AR46" s="1182"/>
    </row>
    <row s="1656" customFormat="1" customHeight="1" ht="43.5">
      <c r="A47" s="1331"/>
      <c r="B47" s="1223"/>
      <c r="C47" s="1331"/>
      <c r="D47" s="1331"/>
      <c r="E47" s="623">
        <v>45</v>
      </c>
      <c r="F47" s="50" cm="1" t="str">
        <f t="array" ref="F47:F47">OFFSET(E47,-1,1)</f>
        <v>1</v>
      </c>
      <c r="G47" s="118" t="s">
        <v>685</v>
      </c>
      <c r="H47" s="1331"/>
      <c r="I47" s="1331"/>
      <c r="J47" s="1331"/>
      <c r="K47" s="1331"/>
      <c r="L47" s="1331"/>
      <c r="M47" s="1331"/>
      <c r="N47" s="1331"/>
      <c r="O47" s="1331"/>
      <c r="P47" s="1331"/>
      <c r="Q47" s="1331"/>
      <c r="R47" s="1331"/>
      <c r="S47" s="1331"/>
      <c r="T47" s="468" cm="1" t="str">
        <f t="array" ref="T47:T47">T46</f>
        <v>true</v>
      </c>
      <c r="U47" s="1331"/>
      <c r="V47" s="1331"/>
      <c r="W47" s="1331"/>
      <c r="X47" s="1539"/>
      <c r="Y47" s="1331"/>
      <c r="Z47" s="1529"/>
      <c r="AA47" s="450"/>
      <c r="AB47" s="295" t="s">
        <v>463</v>
      </c>
      <c r="AC47" s="454" t="s">
        <v>1457</v>
      </c>
      <c r="AD47" s="296" t="s">
        <v>936</v>
      </c>
      <c r="AE47" s="294"/>
      <c r="AF47" s="294"/>
      <c r="AG47" s="294"/>
      <c r="AH47" s="294"/>
      <c r="AI47" s="294"/>
      <c r="AJ47" s="294"/>
      <c r="AK47" s="196"/>
      <c r="AL47" s="450"/>
      <c r="AM47" s="450"/>
      <c r="AN47" s="1005" t="s">
        <v>1458</v>
      </c>
      <c r="AO47" s="1245"/>
      <c r="AP47" s="1245"/>
      <c r="AQ47" s="1182"/>
      <c r="AR47" s="1182"/>
    </row>
    <row s="1656" customFormat="1" customHeight="1" ht="14.25">
      <c r="A48" s="1331"/>
      <c r="B48" s="1223"/>
      <c r="C48" s="1331"/>
      <c r="D48" s="1331"/>
      <c r="E48" s="623">
        <v>15</v>
      </c>
      <c r="F48" s="50" cm="1" t="str">
        <f t="array" ref="F48:F48">OFFSET(E48,-1,1)</f>
        <v>1</v>
      </c>
      <c r="G48" s="118" t="s">
        <v>700</v>
      </c>
      <c r="H48" s="1331"/>
      <c r="I48" s="1331"/>
      <c r="J48" s="1331"/>
      <c r="K48" s="1331"/>
      <c r="L48" s="1331"/>
      <c r="M48" s="1331"/>
      <c r="N48" s="1331"/>
      <c r="O48" s="1331"/>
      <c r="P48" s="1331"/>
      <c r="Q48" s="1331"/>
      <c r="R48" s="1331"/>
      <c r="S48" s="1331"/>
      <c r="T48" s="468" cm="1" t="str">
        <f t="array" ref="T48:T48">T47</f>
        <v>true</v>
      </c>
      <c r="U48" s="1331"/>
      <c r="V48" s="1331"/>
      <c r="W48" s="1331"/>
      <c r="X48" s="1539"/>
      <c r="Y48" s="1331"/>
      <c r="Z48" s="1529"/>
      <c r="AA48" s="450"/>
      <c r="AB48" s="352">
        <v>9</v>
      </c>
      <c r="AC48" s="454" t="s">
        <v>1459</v>
      </c>
      <c r="AD48" s="296" t="s">
        <v>936</v>
      </c>
      <c r="AE48" s="231">
        <f>SUM(AE49:AE50)</f>
        <v>0</v>
      </c>
      <c r="AF48" s="231">
        <f>SUM(AF49:AF50)</f>
        <v>0</v>
      </c>
      <c r="AG48" s="231">
        <f>SUM(AG49:AG50)</f>
        <v>0</v>
      </c>
      <c r="AH48" s="231">
        <f>SUM(AH49:AH50)</f>
        <v>0</v>
      </c>
      <c r="AI48" s="231">
        <f>SUM(AI49:AI50)</f>
        <v>0</v>
      </c>
      <c r="AJ48" s="231">
        <f>SUM(AJ49:AJ50)</f>
        <v>0</v>
      </c>
      <c r="AK48" s="196"/>
      <c r="AL48" s="450"/>
      <c r="AM48" s="450"/>
      <c r="AN48" s="1005" t="s">
        <v>407</v>
      </c>
      <c r="AO48" s="1245"/>
      <c r="AP48" s="1245"/>
      <c r="AQ48" s="1182"/>
      <c r="AR48" s="1182"/>
    </row>
    <row s="1656" customFormat="1" customHeight="1" ht="14.25" hidden="1">
      <c r="A49" s="1331"/>
      <c r="B49" s="1223"/>
      <c r="C49" s="1331"/>
      <c r="D49" s="1331"/>
      <c r="E49" s="623">
        <v>15</v>
      </c>
      <c r="F49" s="50" cm="1" t="str">
        <f t="array" ref="F49:F49">OFFSET(E49,-1,1)</f>
        <v>1</v>
      </c>
      <c r="G49" s="118" t="s">
        <v>700</v>
      </c>
      <c r="H49" s="118" cm="1" t="str">
        <f t="array" ref="H49:H49">AC49</f>
        <v>0</v>
      </c>
      <c r="I49" s="1331"/>
      <c r="J49" s="1331"/>
      <c r="K49" s="1331"/>
      <c r="L49" s="1331"/>
      <c r="M49" s="1331"/>
      <c r="N49" s="1331"/>
      <c r="O49" s="1331"/>
      <c r="P49" s="1331"/>
      <c r="Q49" s="1331"/>
      <c r="R49" s="1331"/>
      <c r="S49" s="1331"/>
      <c r="T49" s="468">
        <f>AND(F49&gt;0,Y49&gt;0)</f>
        <v>0</v>
      </c>
      <c r="U49" s="1331"/>
      <c r="V49" s="1331"/>
      <c r="W49" s="764" t="s">
        <v>173</v>
      </c>
      <c r="X49" s="1539"/>
      <c r="Y49" s="118">
        <v>0</v>
      </c>
      <c r="Z49" s="1529"/>
      <c r="AA49" s="422" t="s">
        <v>174</v>
      </c>
      <c r="AB49" s="696" t="str">
        <f>"9."&amp;Y49</f>
        <v>9.0</v>
      </c>
      <c r="AC49" s="4148"/>
      <c r="AD49" s="296" t="s">
        <v>936</v>
      </c>
      <c r="AE49" s="4146"/>
      <c r="AF49" s="4146"/>
      <c r="AG49" s="4146"/>
      <c r="AH49" s="4146"/>
      <c r="AI49" s="4146"/>
      <c r="AJ49" s="4146"/>
      <c r="AK49" s="1928"/>
      <c r="AL49" s="450"/>
      <c r="AM49" s="450"/>
      <c r="AN49" s="1005" t="s">
        <v>407</v>
      </c>
      <c r="AO49" s="1005" t="s">
        <v>1460</v>
      </c>
      <c r="AP49" s="1005" cm="1" t="str">
        <f t="array" ref="AP49:AP49">AC49</f>
        <v>0</v>
      </c>
      <c r="AQ49" s="1182"/>
      <c r="AR49" s="623" t="b">
        <v>1</v>
      </c>
    </row>
    <row s="1656" customFormat="1" customHeight="1" ht="14.25">
      <c r="A50" s="142"/>
      <c r="B50" s="431"/>
      <c r="C50" s="142"/>
      <c r="D50" s="142"/>
      <c r="E50" s="263">
        <v>15</v>
      </c>
      <c r="F50" s="50" cm="1" t="str">
        <f t="array" ref="F50:F50">OFFSET(E50,-1,1)</f>
        <v>1</v>
      </c>
      <c r="G50" s="142"/>
      <c r="H50" s="148" t="str">
        <f>"!=='не определено'"</f>
        <v>!=='не определено'</v>
      </c>
      <c r="I50" s="142"/>
      <c r="J50" s="142"/>
      <c r="K50" s="142"/>
      <c r="L50" s="142"/>
      <c r="M50" s="142"/>
      <c r="N50" s="142"/>
      <c r="O50" s="142"/>
      <c r="P50" s="142"/>
      <c r="Q50" s="142"/>
      <c r="R50" s="142"/>
      <c r="S50" s="142"/>
      <c r="T50" s="468">
        <f>F50&gt;0</f>
        <v>1</v>
      </c>
      <c r="U50" s="142"/>
      <c r="V50" s="142"/>
      <c r="W50" s="764" t="s">
        <v>1461</v>
      </c>
      <c r="X50" s="1539"/>
      <c r="Y50" s="142"/>
      <c r="Z50" s="1529"/>
      <c r="AA50" s="142"/>
      <c r="AB50" s="227"/>
      <c r="AC50" s="228" t="s">
        <v>177</v>
      </c>
      <c r="AD50" s="228"/>
      <c r="AE50" s="228"/>
      <c r="AF50" s="228"/>
      <c r="AG50" s="228"/>
      <c r="AH50" s="228"/>
      <c r="AI50" s="228"/>
      <c r="AJ50" s="228"/>
      <c r="AK50" s="229"/>
      <c r="AL50" s="142"/>
      <c r="AM50" s="450"/>
      <c r="AN50" s="1245"/>
      <c r="AO50" s="1245"/>
      <c r="AP50" s="1245"/>
      <c r="AQ50" s="623" t="s">
        <v>1460</v>
      </c>
      <c r="AR50" s="1182"/>
    </row>
    <row s="1656" customFormat="1" customHeight="1" ht="14.25">
      <c r="A51" s="1331"/>
      <c r="B51" s="1223"/>
      <c r="C51" s="1331"/>
      <c r="D51" s="1331"/>
      <c r="E51" s="623">
        <v>15</v>
      </c>
      <c r="F51" s="94" cm="1" t="str">
        <f t="array" ref="F51:F51">X51</f>
        <v>2</v>
      </c>
      <c r="G51" s="118" t="s">
        <v>1444</v>
      </c>
      <c r="H51" s="1331"/>
      <c r="I51" s="1331"/>
      <c r="J51" s="1331"/>
      <c r="K51" s="1331"/>
      <c r="L51" s="1331"/>
      <c r="M51" s="1331"/>
      <c r="N51" s="1331"/>
      <c r="O51" s="1331"/>
      <c r="P51" s="1331"/>
      <c r="Q51" s="1331"/>
      <c r="R51" s="1331"/>
      <c r="S51" s="1331"/>
      <c r="T51" s="468">
        <f>X51&gt;0</f>
        <v>1</v>
      </c>
      <c r="U51" s="1331"/>
      <c r="V51" s="118" cm="1" t="str">
        <f t="array" ref="V51:V51">Административные!$AB$65</f>
        <v>Тариф 2 (Водоотведение) - тариф на водоотведение (Оказание услуг на территории: город Ленинск-Кузнецкий (ОКТМО: 32719000) - г Ленинск-Кузнецкий)</v>
      </c>
      <c r="W51" s="1331"/>
      <c r="X51" s="1539" t="s">
        <v>299</v>
      </c>
      <c r="Y51" s="1331"/>
      <c r="Z51" s="1529"/>
      <c r="AA51" s="450"/>
      <c r="AB51" s="218" cm="1" t="str">
        <f t="array" ref="AB51:AB51">Административные!$AB$65</f>
        <v>Тариф 2 (Водоотведение) - тариф на водоотведение (Оказание услуг на территории: город Ленинск-Кузнецкий (ОКТМО: 32719000) - г Ленинск-Кузнецкий)</v>
      </c>
      <c r="AC51" s="176"/>
      <c r="AD51" s="176"/>
      <c r="AE51" s="302">
        <f>SUM(AE52:AE60)</f>
        <v>0</v>
      </c>
      <c r="AF51" s="302">
        <f>SUM(AF52:AF60)</f>
        <v>0</v>
      </c>
      <c r="AG51" s="302">
        <f>SUM(AG52:AG60)</f>
        <v>0</v>
      </c>
      <c r="AH51" s="302">
        <f>SUM(AH52:AH60)</f>
        <v>0</v>
      </c>
      <c r="AI51" s="302">
        <f>SUM(AI52:AI60)</f>
        <v>0</v>
      </c>
      <c r="AJ51" s="302">
        <f>SUM(AJ52:AJ60)</f>
        <v>0</v>
      </c>
      <c r="AK51" s="220"/>
      <c r="AL51" s="450"/>
      <c r="AM51" s="450"/>
      <c r="AN51" s="1245"/>
      <c r="AO51" s="1245"/>
      <c r="AP51" s="1245"/>
      <c r="AQ51" s="1182"/>
      <c r="AR51" s="1182"/>
    </row>
    <row s="1656" customFormat="1" customHeight="1" ht="21.75">
      <c r="A52" s="1331"/>
      <c r="B52" s="1223"/>
      <c r="C52" s="1331"/>
      <c r="D52" s="1331"/>
      <c r="E52" s="623">
        <v>22.5</v>
      </c>
      <c r="F52" s="50" cm="1" t="str">
        <f t="array" ref="F52:F52">OFFSET(E52,-1,1)</f>
        <v>2</v>
      </c>
      <c r="G52" s="118" t="s">
        <v>344</v>
      </c>
      <c r="H52" s="1331"/>
      <c r="I52" s="1331"/>
      <c r="J52" s="1331"/>
      <c r="K52" s="120" t="str">
        <f>F52&amp;"komm"</f>
        <v>2komm</v>
      </c>
      <c r="L52" s="926" cm="1" t="str">
        <f t="array" ref="L52:L52">AK52</f>
        <v>0</v>
      </c>
      <c r="M52" s="1331"/>
      <c r="N52" s="1331"/>
      <c r="O52" s="1331"/>
      <c r="P52" s="1331"/>
      <c r="Q52" s="1331"/>
      <c r="R52" s="1331"/>
      <c r="S52" s="1331"/>
      <c r="T52" s="468" cm="1" t="str">
        <f t="array" ref="T52:T52">T51</f>
        <v>true</v>
      </c>
      <c r="U52" s="1331"/>
      <c r="V52" s="1331"/>
      <c r="W52" s="1331"/>
      <c r="X52" s="1539"/>
      <c r="Y52" s="1331"/>
      <c r="Z52" s="1529"/>
      <c r="AA52" s="450"/>
      <c r="AB52" s="295" t="s">
        <v>290</v>
      </c>
      <c r="AC52" s="454" t="s">
        <v>1445</v>
      </c>
      <c r="AD52" s="296" t="s">
        <v>936</v>
      </c>
      <c r="AE52" s="294"/>
      <c r="AF52" s="225"/>
      <c r="AG52" s="225"/>
      <c r="AH52" s="225"/>
      <c r="AI52" s="225"/>
      <c r="AJ52" s="225"/>
      <c r="AK52" s="196"/>
      <c r="AL52" s="450"/>
      <c r="AM52" s="450"/>
      <c r="AN52" s="1005" t="s">
        <v>1446</v>
      </c>
      <c r="AO52" s="1245"/>
      <c r="AP52" s="1245"/>
      <c r="AQ52" s="1182"/>
      <c r="AR52" s="1182"/>
    </row>
    <row s="1656" customFormat="1" customHeight="1" ht="21.75">
      <c r="A53" s="1331"/>
      <c r="B53" s="1223"/>
      <c r="C53" s="1331"/>
      <c r="D53" s="1331"/>
      <c r="E53" s="623">
        <v>22.5</v>
      </c>
      <c r="F53" s="50" cm="1" t="str">
        <f t="array" ref="F53:F53">OFFSET(E53,-1,1)</f>
        <v>2</v>
      </c>
      <c r="G53" s="118" t="s">
        <v>345</v>
      </c>
      <c r="H53" s="1331"/>
      <c r="I53" s="1331"/>
      <c r="J53" s="1331"/>
      <c r="K53" s="1331"/>
      <c r="L53" s="1331"/>
      <c r="M53" s="1331"/>
      <c r="N53" s="1331"/>
      <c r="O53" s="1331"/>
      <c r="P53" s="1331"/>
      <c r="Q53" s="1331"/>
      <c r="R53" s="1331"/>
      <c r="S53" s="1331"/>
      <c r="T53" s="468" cm="1" t="str">
        <f t="array" ref="T53:T53">T52</f>
        <v>true</v>
      </c>
      <c r="U53" s="1331"/>
      <c r="V53" s="1331"/>
      <c r="W53" s="1331"/>
      <c r="X53" s="1539"/>
      <c r="Y53" s="1331"/>
      <c r="Z53" s="1529"/>
      <c r="AA53" s="450"/>
      <c r="AB53" s="295" t="s">
        <v>299</v>
      </c>
      <c r="AC53" s="454" t="s">
        <v>1447</v>
      </c>
      <c r="AD53" s="296" t="s">
        <v>936</v>
      </c>
      <c r="AE53" s="294"/>
      <c r="AF53" s="225"/>
      <c r="AG53" s="225"/>
      <c r="AH53" s="225"/>
      <c r="AI53" s="225"/>
      <c r="AJ53" s="225"/>
      <c r="AK53" s="196"/>
      <c r="AL53" s="450"/>
      <c r="AM53" s="450"/>
      <c r="AN53" s="1005" t="s">
        <v>1448</v>
      </c>
      <c r="AO53" s="1245"/>
      <c r="AP53" s="1245"/>
      <c r="AQ53" s="1182"/>
      <c r="AR53" s="1182"/>
    </row>
    <row s="1656" customFormat="1" customHeight="1" ht="21.75">
      <c r="A54" s="1331"/>
      <c r="B54" s="1223"/>
      <c r="C54" s="1331"/>
      <c r="D54" s="1331"/>
      <c r="E54" s="623">
        <v>22.5</v>
      </c>
      <c r="F54" s="50" cm="1" t="str">
        <f t="array" ref="F54:F54">OFFSET(E54,-1,1)</f>
        <v>2</v>
      </c>
      <c r="G54" s="118" t="s">
        <v>346</v>
      </c>
      <c r="H54" s="1331"/>
      <c r="I54" s="1331"/>
      <c r="J54" s="1331"/>
      <c r="K54" s="1331"/>
      <c r="L54" s="1331"/>
      <c r="M54" s="1331"/>
      <c r="N54" s="1331"/>
      <c r="O54" s="1331"/>
      <c r="P54" s="1331"/>
      <c r="Q54" s="1331"/>
      <c r="R54" s="1331"/>
      <c r="S54" s="1331"/>
      <c r="T54" s="468" cm="1" t="str">
        <f t="array" ref="T54:T54">T53</f>
        <v>true</v>
      </c>
      <c r="U54" s="1331"/>
      <c r="V54" s="1331"/>
      <c r="W54" s="1331"/>
      <c r="X54" s="1539"/>
      <c r="Y54" s="1331"/>
      <c r="Z54" s="1529"/>
      <c r="AA54" s="450"/>
      <c r="AB54" s="295" t="s">
        <v>234</v>
      </c>
      <c r="AC54" s="454" t="s">
        <v>1449</v>
      </c>
      <c r="AD54" s="296" t="s">
        <v>936</v>
      </c>
      <c r="AE54" s="294"/>
      <c r="AF54" s="225"/>
      <c r="AG54" s="225"/>
      <c r="AH54" s="225"/>
      <c r="AI54" s="225"/>
      <c r="AJ54" s="225"/>
      <c r="AK54" s="196"/>
      <c r="AL54" s="450"/>
      <c r="AM54" s="450"/>
      <c r="AN54" s="1005" t="s">
        <v>1450</v>
      </c>
      <c r="AO54" s="1245"/>
      <c r="AP54" s="1245"/>
      <c r="AQ54" s="1182"/>
      <c r="AR54" s="1182"/>
    </row>
    <row s="1656" customFormat="1" customHeight="1" ht="32.25">
      <c r="A55" s="118"/>
      <c r="B55" s="430"/>
      <c r="C55" s="118"/>
      <c r="D55" s="118"/>
      <c r="E55" s="623">
        <v>33.75</v>
      </c>
      <c r="F55" s="1194" cm="1" t="str">
        <f t="array" ref="F55:F55">OFFSET(E55,-1,1)</f>
        <v>2</v>
      </c>
      <c r="G55" s="118" t="s">
        <v>348</v>
      </c>
      <c r="H55" s="118"/>
      <c r="I55" s="118"/>
      <c r="J55" s="118"/>
      <c r="K55" s="118"/>
      <c r="L55" s="118"/>
      <c r="M55" s="118"/>
      <c r="N55" s="118"/>
      <c r="O55" s="118"/>
      <c r="P55" s="118"/>
      <c r="Q55" s="118"/>
      <c r="R55" s="118"/>
      <c r="S55" s="118"/>
      <c r="T55" s="468" cm="1" t="str">
        <f t="array" ref="T55:T55">T54</f>
        <v>true</v>
      </c>
      <c r="U55" s="118"/>
      <c r="V55" s="118"/>
      <c r="W55" s="118"/>
      <c r="X55" s="1539"/>
      <c r="Y55" s="118"/>
      <c r="Z55" s="1529"/>
      <c r="AA55" s="450"/>
      <c r="AB55" s="893">
        <v>4</v>
      </c>
      <c r="AC55" s="454" t="s">
        <v>1451</v>
      </c>
      <c r="AD55" s="296" t="s">
        <v>936</v>
      </c>
      <c r="AE55" s="780">
        <f>_xlfn.SUMIFS(ФОТ!AE$25:AE$127,ФОТ!$F$25:$F$127,$F55,ФОТ!$G$25:$G$127,"СП")+_xlfn.SUMIFS(ФОТ!AE$25:AE$127,ФОТ!$F$25:$F$127,$F55,ФОТ!$G$25:$G$127,"СОЦ_СП")</f>
        <v>0</v>
      </c>
      <c r="AF55" s="780">
        <f>_xlfn.SUMIFS(ФОТ!AF$25:AF$127,ФОТ!$F$25:$F$127,$F55,ФОТ!$G$25:$G$127,"СП")+_xlfn.SUMIFS(ФОТ!AF$25:AF$127,ФОТ!$F$25:$F$127,$F55,ФОТ!$G$25:$G$127,"СОЦ_СП")</f>
        <v>0</v>
      </c>
      <c r="AG55" s="780">
        <f>_xlfn.SUMIFS(ФОТ!AG$25:AG$127,ФОТ!$F$25:$F$127,$F55,ФОТ!$G$25:$G$127,"СП")+_xlfn.SUMIFS(ФОТ!AG$25:AG$127,ФОТ!$F$25:$F$127,$F55,ФОТ!$G$25:$G$127,"СОЦ_СП")</f>
        <v>0</v>
      </c>
      <c r="AH55" s="780">
        <f>_xlfn.SUMIFS(ФОТ!AH$25:AH$127,ФОТ!$F$25:$F$127,$F55,ФОТ!$G$25:$G$127,"СП")+_xlfn.SUMIFS(ФОТ!AH$25:AH$127,ФОТ!$F$25:$F$127,$F55,ФОТ!$G$25:$G$127,"СОЦ_СП")</f>
        <v>0</v>
      </c>
      <c r="AI55" s="780">
        <f>_xlfn.SUMIFS(ФОТ!AI$25:AI$127,ФОТ!$F$25:$F$127,$F55,ФОТ!$G$25:$G$127,"СП")+_xlfn.SUMIFS(ФОТ!AI$25:AI$127,ФОТ!$F$25:$F$127,$F55,ФОТ!$G$25:$G$127,"СОЦ_СП")</f>
        <v>0</v>
      </c>
      <c r="AJ55" s="780">
        <f>_xlfn.SUMIFS(ФОТ!AJ$25:AJ$127,ФОТ!$F$25:$F$127,$F55,ФОТ!$G$25:$G$127,"СП")+_xlfn.SUMIFS(ФОТ!AJ$25:AJ$127,ФОТ!$F$25:$F$127,$F55,ФОТ!$G$25:$G$127,"СОЦ_СП")</f>
        <v>0</v>
      </c>
      <c r="AK55" s="196"/>
      <c r="AL55" s="450"/>
      <c r="AM55" s="1656"/>
      <c r="AN55" s="1056" t="s">
        <v>1452</v>
      </c>
      <c r="AO55" s="1056"/>
      <c r="AP55" s="1056"/>
      <c r="AQ55" s="677"/>
      <c r="AR55" s="677"/>
    </row>
    <row s="1656" customFormat="1" customHeight="1" ht="32.25">
      <c r="A56" s="1331"/>
      <c r="B56" s="1223"/>
      <c r="C56" s="1331"/>
      <c r="D56" s="1331"/>
      <c r="E56" s="623">
        <v>33.75</v>
      </c>
      <c r="F56" s="50" cm="1" t="str">
        <f t="array" ref="F56:F56">OFFSET(E56,-1,1)</f>
        <v>2</v>
      </c>
      <c r="G56" s="118" t="s">
        <v>347</v>
      </c>
      <c r="H56" s="1331"/>
      <c r="I56" s="1331"/>
      <c r="J56" s="1331"/>
      <c r="K56" s="1331"/>
      <c r="L56" s="1331"/>
      <c r="M56" s="1331"/>
      <c r="N56" s="1331"/>
      <c r="O56" s="1331"/>
      <c r="P56" s="1331"/>
      <c r="Q56" s="1331"/>
      <c r="R56" s="1331"/>
      <c r="S56" s="1331"/>
      <c r="T56" s="468" cm="1" t="str">
        <f t="array" ref="T56:T56">T55</f>
        <v>true</v>
      </c>
      <c r="U56" s="1331"/>
      <c r="V56" s="1331"/>
      <c r="W56" s="1331"/>
      <c r="X56" s="1539"/>
      <c r="Y56" s="1331"/>
      <c r="Z56" s="1529"/>
      <c r="AA56" s="450"/>
      <c r="AB56" s="295" t="s">
        <v>454</v>
      </c>
      <c r="AC56" s="454" t="s">
        <v>1453</v>
      </c>
      <c r="AD56" s="296" t="s">
        <v>936</v>
      </c>
      <c r="AE56" s="294"/>
      <c r="AF56" s="294"/>
      <c r="AG56" s="294"/>
      <c r="AH56" s="294"/>
      <c r="AI56" s="294"/>
      <c r="AJ56" s="294"/>
      <c r="AK56" s="196"/>
      <c r="AL56" s="450"/>
      <c r="AM56" s="450"/>
      <c r="AN56" s="1005" t="s">
        <v>1435</v>
      </c>
      <c r="AO56" s="1245"/>
      <c r="AP56" s="1245"/>
      <c r="AQ56" s="1182"/>
      <c r="AR56" s="1182"/>
    </row>
    <row s="1656" customFormat="1" customHeight="1" ht="21.75">
      <c r="A57" s="1331"/>
      <c r="B57" s="1223"/>
      <c r="C57" s="1331"/>
      <c r="D57" s="1331"/>
      <c r="E57" s="623">
        <v>22.5</v>
      </c>
      <c r="F57" s="50" cm="1" t="str">
        <f t="array" ref="F57:F57">OFFSET(E57,-1,1)</f>
        <v>2</v>
      </c>
      <c r="G57" s="118" t="s">
        <v>616</v>
      </c>
      <c r="H57" s="1331"/>
      <c r="I57" s="1331"/>
      <c r="J57" s="1331"/>
      <c r="K57" s="1331"/>
      <c r="L57" s="1331"/>
      <c r="M57" s="1331"/>
      <c r="N57" s="1331"/>
      <c r="O57" s="1331"/>
      <c r="P57" s="1331"/>
      <c r="Q57" s="1331"/>
      <c r="R57" s="1331"/>
      <c r="S57" s="1331"/>
      <c r="T57" s="468" cm="1" t="str">
        <f t="array" ref="T57:T57">T56</f>
        <v>true</v>
      </c>
      <c r="U57" s="1331"/>
      <c r="V57" s="1331"/>
      <c r="W57" s="1331"/>
      <c r="X57" s="1539"/>
      <c r="Y57" s="1331"/>
      <c r="Z57" s="1529"/>
      <c r="AA57" s="450"/>
      <c r="AB57" s="295" t="s">
        <v>457</v>
      </c>
      <c r="AC57" s="454" t="s">
        <v>1454</v>
      </c>
      <c r="AD57" s="296" t="s">
        <v>936</v>
      </c>
      <c r="AE57" s="294"/>
      <c r="AF57" s="294"/>
      <c r="AG57" s="294"/>
      <c r="AH57" s="294"/>
      <c r="AI57" s="294"/>
      <c r="AJ57" s="294"/>
      <c r="AK57" s="196"/>
      <c r="AL57" s="450"/>
      <c r="AM57" s="450"/>
      <c r="AN57" s="1005" t="s">
        <v>1421</v>
      </c>
      <c r="AO57" s="1245"/>
      <c r="AP57" s="1245"/>
      <c r="AQ57" s="1182"/>
      <c r="AR57" s="1182"/>
    </row>
    <row s="1656" customFormat="1" customHeight="1" ht="43.5">
      <c r="A58" s="1331"/>
      <c r="B58" s="1223"/>
      <c r="C58" s="1331"/>
      <c r="D58" s="1331"/>
      <c r="E58" s="623">
        <v>45</v>
      </c>
      <c r="F58" s="50" cm="1" t="str">
        <f t="array" ref="F58:F58">OFFSET(E58,-1,1)</f>
        <v>2</v>
      </c>
      <c r="G58" s="118" t="s">
        <v>619</v>
      </c>
      <c r="H58" s="1331"/>
      <c r="I58" s="1331"/>
      <c r="J58" s="1331"/>
      <c r="K58" s="1331"/>
      <c r="L58" s="1331"/>
      <c r="M58" s="1331"/>
      <c r="N58" s="1331"/>
      <c r="O58" s="1331"/>
      <c r="P58" s="1331"/>
      <c r="Q58" s="1331"/>
      <c r="R58" s="1331"/>
      <c r="S58" s="1331"/>
      <c r="T58" s="468" cm="1" t="str">
        <f t="array" ref="T58:T58">T57</f>
        <v>true</v>
      </c>
      <c r="U58" s="1331"/>
      <c r="V58" s="1331"/>
      <c r="W58" s="1331"/>
      <c r="X58" s="1539"/>
      <c r="Y58" s="1331"/>
      <c r="Z58" s="1529"/>
      <c r="AA58" s="450"/>
      <c r="AB58" s="295" t="s">
        <v>460</v>
      </c>
      <c r="AC58" s="454" t="s">
        <v>1455</v>
      </c>
      <c r="AD58" s="296" t="s">
        <v>936</v>
      </c>
      <c r="AE58" s="294"/>
      <c r="AF58" s="294"/>
      <c r="AG58" s="294"/>
      <c r="AH58" s="294"/>
      <c r="AI58" s="294"/>
      <c r="AJ58" s="294"/>
      <c r="AK58" s="196"/>
      <c r="AL58" s="450"/>
      <c r="AM58" s="450"/>
      <c r="AN58" s="1005" t="s">
        <v>1456</v>
      </c>
      <c r="AO58" s="1245"/>
      <c r="AP58" s="1245"/>
      <c r="AQ58" s="1182"/>
      <c r="AR58" s="1182"/>
    </row>
    <row s="1656" customFormat="1" customHeight="1" ht="43.5">
      <c r="A59" s="1331"/>
      <c r="B59" s="1223"/>
      <c r="C59" s="1331"/>
      <c r="D59" s="1331"/>
      <c r="E59" s="623">
        <v>45</v>
      </c>
      <c r="F59" s="50" cm="1" t="str">
        <f t="array" ref="F59:F59">OFFSET(E59,-1,1)</f>
        <v>2</v>
      </c>
      <c r="G59" s="118" t="s">
        <v>685</v>
      </c>
      <c r="H59" s="1331"/>
      <c r="I59" s="1331"/>
      <c r="J59" s="1331"/>
      <c r="K59" s="1331"/>
      <c r="L59" s="1331"/>
      <c r="M59" s="1331"/>
      <c r="N59" s="1331"/>
      <c r="O59" s="1331"/>
      <c r="P59" s="1331"/>
      <c r="Q59" s="1331"/>
      <c r="R59" s="1331"/>
      <c r="S59" s="1331"/>
      <c r="T59" s="468" cm="1" t="str">
        <f t="array" ref="T59:T59">T58</f>
        <v>true</v>
      </c>
      <c r="U59" s="1331"/>
      <c r="V59" s="1331"/>
      <c r="W59" s="1331"/>
      <c r="X59" s="1539"/>
      <c r="Y59" s="1331"/>
      <c r="Z59" s="1529"/>
      <c r="AA59" s="450"/>
      <c r="AB59" s="295" t="s">
        <v>463</v>
      </c>
      <c r="AC59" s="454" t="s">
        <v>1457</v>
      </c>
      <c r="AD59" s="296" t="s">
        <v>936</v>
      </c>
      <c r="AE59" s="294"/>
      <c r="AF59" s="294"/>
      <c r="AG59" s="294"/>
      <c r="AH59" s="294"/>
      <c r="AI59" s="294"/>
      <c r="AJ59" s="294"/>
      <c r="AK59" s="196"/>
      <c r="AL59" s="450"/>
      <c r="AM59" s="450"/>
      <c r="AN59" s="1005" t="s">
        <v>1458</v>
      </c>
      <c r="AO59" s="1245"/>
      <c r="AP59" s="1245"/>
      <c r="AQ59" s="1182"/>
      <c r="AR59" s="1182"/>
    </row>
    <row s="1656" customFormat="1" customHeight="1" ht="14.25">
      <c r="A60" s="1331"/>
      <c r="B60" s="1223"/>
      <c r="C60" s="1331"/>
      <c r="D60" s="1331"/>
      <c r="E60" s="623">
        <v>15</v>
      </c>
      <c r="F60" s="50" cm="1" t="str">
        <f t="array" ref="F60:F60">OFFSET(E60,-1,1)</f>
        <v>2</v>
      </c>
      <c r="G60" s="118" t="s">
        <v>700</v>
      </c>
      <c r="H60" s="1331"/>
      <c r="I60" s="1331"/>
      <c r="J60" s="1331"/>
      <c r="K60" s="1331"/>
      <c r="L60" s="1331"/>
      <c r="M60" s="1331"/>
      <c r="N60" s="1331"/>
      <c r="O60" s="1331"/>
      <c r="P60" s="1331"/>
      <c r="Q60" s="1331"/>
      <c r="R60" s="1331"/>
      <c r="S60" s="1331"/>
      <c r="T60" s="468" cm="1" t="str">
        <f t="array" ref="T60:T60">T59</f>
        <v>true</v>
      </c>
      <c r="U60" s="1331"/>
      <c r="V60" s="1331"/>
      <c r="W60" s="1331"/>
      <c r="X60" s="1539"/>
      <c r="Y60" s="1331"/>
      <c r="Z60" s="1529"/>
      <c r="AA60" s="450"/>
      <c r="AB60" s="352">
        <v>9</v>
      </c>
      <c r="AC60" s="454" t="s">
        <v>1459</v>
      </c>
      <c r="AD60" s="296" t="s">
        <v>936</v>
      </c>
      <c r="AE60" s="231">
        <f>SUM(AE61:AE62)</f>
        <v>0</v>
      </c>
      <c r="AF60" s="231">
        <f>SUM(AF61:AF62)</f>
        <v>0</v>
      </c>
      <c r="AG60" s="231">
        <f>SUM(AG61:AG62)</f>
        <v>0</v>
      </c>
      <c r="AH60" s="231">
        <f>SUM(AH61:AH62)</f>
        <v>0</v>
      </c>
      <c r="AI60" s="231">
        <f>SUM(AI61:AI62)</f>
        <v>0</v>
      </c>
      <c r="AJ60" s="231">
        <f>SUM(AJ61:AJ62)</f>
        <v>0</v>
      </c>
      <c r="AK60" s="196"/>
      <c r="AL60" s="450"/>
      <c r="AM60" s="450"/>
      <c r="AN60" s="1005" t="s">
        <v>407</v>
      </c>
      <c r="AO60" s="1245"/>
      <c r="AP60" s="1245"/>
      <c r="AQ60" s="1182"/>
      <c r="AR60" s="1182"/>
    </row>
    <row s="1656" customFormat="1" customHeight="1" ht="14.25" hidden="1">
      <c r="A61" s="1331"/>
      <c r="B61" s="1223"/>
      <c r="C61" s="1331"/>
      <c r="D61" s="1331"/>
      <c r="E61" s="623">
        <v>15</v>
      </c>
      <c r="F61" s="50" cm="1" t="str">
        <f t="array" ref="F61:F61">OFFSET(E61,-1,1)</f>
        <v>2</v>
      </c>
      <c r="G61" s="118" t="s">
        <v>700</v>
      </c>
      <c r="H61" s="118" cm="1" t="str">
        <f t="array" ref="H61:H61">AC61</f>
        <v>0</v>
      </c>
      <c r="I61" s="1331"/>
      <c r="J61" s="1331"/>
      <c r="K61" s="1331"/>
      <c r="L61" s="1331"/>
      <c r="M61" s="1331"/>
      <c r="N61" s="1331"/>
      <c r="O61" s="1331"/>
      <c r="P61" s="1331"/>
      <c r="Q61" s="1331"/>
      <c r="R61" s="1331"/>
      <c r="S61" s="1331"/>
      <c r="T61" s="468">
        <f>AND(F61&gt;0,Y61&gt;0)</f>
        <v>0</v>
      </c>
      <c r="U61" s="1331"/>
      <c r="V61" s="1331"/>
      <c r="W61" s="764" t="s">
        <v>173</v>
      </c>
      <c r="X61" s="1539"/>
      <c r="Y61" s="118">
        <v>0</v>
      </c>
      <c r="Z61" s="1529"/>
      <c r="AA61" s="422" t="s">
        <v>174</v>
      </c>
      <c r="AB61" s="696" t="str">
        <f>"9."&amp;Y61</f>
        <v>9.0</v>
      </c>
      <c r="AC61" s="4148"/>
      <c r="AD61" s="296" t="s">
        <v>936</v>
      </c>
      <c r="AE61" s="4146"/>
      <c r="AF61" s="4146"/>
      <c r="AG61" s="4146"/>
      <c r="AH61" s="4146"/>
      <c r="AI61" s="4146"/>
      <c r="AJ61" s="4146"/>
      <c r="AK61" s="1928"/>
      <c r="AL61" s="450"/>
      <c r="AM61" s="450"/>
      <c r="AN61" s="1005" t="s">
        <v>407</v>
      </c>
      <c r="AO61" s="1005" t="s">
        <v>1460</v>
      </c>
      <c r="AP61" s="1005" cm="1" t="str">
        <f t="array" ref="AP61:AP61">AC61</f>
        <v>0</v>
      </c>
      <c r="AQ61" s="1182"/>
      <c r="AR61" s="623" t="b">
        <v>1</v>
      </c>
    </row>
    <row s="1656" customFormat="1" customHeight="1" ht="14.25">
      <c r="A62" s="142"/>
      <c r="B62" s="431"/>
      <c r="C62" s="142"/>
      <c r="D62" s="142"/>
      <c r="E62" s="263">
        <v>15</v>
      </c>
      <c r="F62" s="50" cm="1" t="str">
        <f t="array" ref="F62:F62">OFFSET(E62,-1,1)</f>
        <v>2</v>
      </c>
      <c r="G62" s="142"/>
      <c r="H62" s="148" t="str">
        <f>"!=='не определено'"</f>
        <v>!=='не определено'</v>
      </c>
      <c r="I62" s="142"/>
      <c r="J62" s="142"/>
      <c r="K62" s="142"/>
      <c r="L62" s="142"/>
      <c r="M62" s="142"/>
      <c r="N62" s="142"/>
      <c r="O62" s="142"/>
      <c r="P62" s="142"/>
      <c r="Q62" s="142"/>
      <c r="R62" s="142"/>
      <c r="S62" s="142"/>
      <c r="T62" s="468">
        <f>F62&gt;0</f>
        <v>1</v>
      </c>
      <c r="U62" s="142"/>
      <c r="V62" s="142"/>
      <c r="W62" s="764" t="s">
        <v>1461</v>
      </c>
      <c r="X62" s="1539"/>
      <c r="Y62" s="142"/>
      <c r="Z62" s="1529"/>
      <c r="AA62" s="142"/>
      <c r="AB62" s="227"/>
      <c r="AC62" s="228" t="s">
        <v>177</v>
      </c>
      <c r="AD62" s="228"/>
      <c r="AE62" s="228"/>
      <c r="AF62" s="228"/>
      <c r="AG62" s="228"/>
      <c r="AH62" s="228"/>
      <c r="AI62" s="228"/>
      <c r="AJ62" s="228"/>
      <c r="AK62" s="229"/>
      <c r="AL62" s="142"/>
      <c r="AM62" s="450"/>
      <c r="AN62" s="1245"/>
      <c r="AO62" s="1245"/>
      <c r="AP62" s="1245"/>
      <c r="AQ62" s="623" t="s">
        <v>1460</v>
      </c>
      <c r="AR62" s="1182"/>
    </row>
    <row s="1656" customFormat="1" customHeight="1" ht="14.25">
      <c r="A63" s="1331"/>
      <c r="B63" s="1223"/>
      <c r="C63" s="1331"/>
      <c r="D63" s="1331"/>
      <c r="E63" s="623">
        <v>15</v>
      </c>
      <c r="F63" s="94" cm="1" t="str">
        <f t="array" ref="F63:F63">X63</f>
        <v>3</v>
      </c>
      <c r="G63" s="118" t="s">
        <v>1444</v>
      </c>
      <c r="H63" s="1331"/>
      <c r="I63" s="1331"/>
      <c r="J63" s="1331"/>
      <c r="K63" s="1331"/>
      <c r="L63" s="1331"/>
      <c r="M63" s="1331"/>
      <c r="N63" s="1331"/>
      <c r="O63" s="1331"/>
      <c r="P63" s="1331"/>
      <c r="Q63" s="1331"/>
      <c r="R63" s="1331"/>
      <c r="S63" s="1331"/>
      <c r="T63" s="468">
        <f>X63&gt;0</f>
        <v>1</v>
      </c>
      <c r="U63" s="1331"/>
      <c r="V63" s="118" cm="1" t="str">
        <f t="array" ref="V63:V63">Административные!$AB$84</f>
        <v>Тариф 3 (Водоотведение) - тариф на водоотведение (Оказание услуг на территории: город Полысаево (ОКТМО: 32732000) - г Полысаево)</v>
      </c>
      <c r="W63" s="1331"/>
      <c r="X63" s="1539" t="s">
        <v>234</v>
      </c>
      <c r="Y63" s="1331"/>
      <c r="Z63" s="1529"/>
      <c r="AA63" s="450"/>
      <c r="AB63" s="218" cm="1" t="str">
        <f t="array" ref="AB63:AB63">Административные!$AB$84</f>
        <v>Тариф 3 (Водоотведение) - тариф на водоотведение (Оказание услуг на территории: город Полысаево (ОКТМО: 32732000) - г Полысаево)</v>
      </c>
      <c r="AC63" s="176"/>
      <c r="AD63" s="176"/>
      <c r="AE63" s="302">
        <f>SUM(AE64:AE72)</f>
        <v>0</v>
      </c>
      <c r="AF63" s="302">
        <f>SUM(AF64:AF72)</f>
        <v>0</v>
      </c>
      <c r="AG63" s="302">
        <f>SUM(AG64:AG72)</f>
        <v>0</v>
      </c>
      <c r="AH63" s="302">
        <f>SUM(AH64:AH72)</f>
        <v>0</v>
      </c>
      <c r="AI63" s="302">
        <f>SUM(AI64:AI72)</f>
        <v>0</v>
      </c>
      <c r="AJ63" s="302">
        <f>SUM(AJ64:AJ72)</f>
        <v>0</v>
      </c>
      <c r="AK63" s="220"/>
      <c r="AL63" s="450"/>
      <c r="AM63" s="450"/>
      <c r="AN63" s="1245"/>
      <c r="AO63" s="1245"/>
      <c r="AP63" s="1245"/>
      <c r="AQ63" s="1182"/>
      <c r="AR63" s="1182"/>
    </row>
    <row s="1656" customFormat="1" customHeight="1" ht="21.75">
      <c r="A64" s="1331"/>
      <c r="B64" s="1223"/>
      <c r="C64" s="1331"/>
      <c r="D64" s="1331"/>
      <c r="E64" s="623">
        <v>22.5</v>
      </c>
      <c r="F64" s="50" cm="1" t="str">
        <f t="array" ref="F64:F64">OFFSET(E64,-1,1)</f>
        <v>3</v>
      </c>
      <c r="G64" s="118" t="s">
        <v>344</v>
      </c>
      <c r="H64" s="1331"/>
      <c r="I64" s="1331"/>
      <c r="J64" s="1331"/>
      <c r="K64" s="120" t="str">
        <f>F64&amp;"komm"</f>
        <v>3komm</v>
      </c>
      <c r="L64" s="926" cm="1" t="str">
        <f t="array" ref="L64:L64">AK64</f>
        <v>0</v>
      </c>
      <c r="M64" s="1331"/>
      <c r="N64" s="1331"/>
      <c r="O64" s="1331"/>
      <c r="P64" s="1331"/>
      <c r="Q64" s="1331"/>
      <c r="R64" s="1331"/>
      <c r="S64" s="1331"/>
      <c r="T64" s="468" cm="1" t="str">
        <f t="array" ref="T64:T64">T63</f>
        <v>true</v>
      </c>
      <c r="U64" s="1331"/>
      <c r="V64" s="1331"/>
      <c r="W64" s="1331"/>
      <c r="X64" s="1539"/>
      <c r="Y64" s="1331"/>
      <c r="Z64" s="1529"/>
      <c r="AA64" s="450"/>
      <c r="AB64" s="295" t="s">
        <v>290</v>
      </c>
      <c r="AC64" s="454" t="s">
        <v>1445</v>
      </c>
      <c r="AD64" s="296" t="s">
        <v>936</v>
      </c>
      <c r="AE64" s="294"/>
      <c r="AF64" s="225"/>
      <c r="AG64" s="225"/>
      <c r="AH64" s="225"/>
      <c r="AI64" s="225"/>
      <c r="AJ64" s="225"/>
      <c r="AK64" s="196"/>
      <c r="AL64" s="450"/>
      <c r="AM64" s="450"/>
      <c r="AN64" s="1005" t="s">
        <v>1446</v>
      </c>
      <c r="AO64" s="1245"/>
      <c r="AP64" s="1245"/>
      <c r="AQ64" s="1182"/>
      <c r="AR64" s="1182"/>
    </row>
    <row s="1656" customFormat="1" customHeight="1" ht="21.75">
      <c r="A65" s="1331"/>
      <c r="B65" s="1223"/>
      <c r="C65" s="1331"/>
      <c r="D65" s="1331"/>
      <c r="E65" s="623">
        <v>22.5</v>
      </c>
      <c r="F65" s="50" cm="1" t="str">
        <f t="array" ref="F65:F65">OFFSET(E65,-1,1)</f>
        <v>3</v>
      </c>
      <c r="G65" s="118" t="s">
        <v>345</v>
      </c>
      <c r="H65" s="1331"/>
      <c r="I65" s="1331"/>
      <c r="J65" s="1331"/>
      <c r="K65" s="1331"/>
      <c r="L65" s="1331"/>
      <c r="M65" s="1331"/>
      <c r="N65" s="1331"/>
      <c r="O65" s="1331"/>
      <c r="P65" s="1331"/>
      <c r="Q65" s="1331"/>
      <c r="R65" s="1331"/>
      <c r="S65" s="1331"/>
      <c r="T65" s="468" cm="1" t="str">
        <f t="array" ref="T65:T65">T64</f>
        <v>true</v>
      </c>
      <c r="U65" s="1331"/>
      <c r="V65" s="1331"/>
      <c r="W65" s="1331"/>
      <c r="X65" s="1539"/>
      <c r="Y65" s="1331"/>
      <c r="Z65" s="1529"/>
      <c r="AA65" s="450"/>
      <c r="AB65" s="295" t="s">
        <v>299</v>
      </c>
      <c r="AC65" s="454" t="s">
        <v>1447</v>
      </c>
      <c r="AD65" s="296" t="s">
        <v>936</v>
      </c>
      <c r="AE65" s="294"/>
      <c r="AF65" s="225"/>
      <c r="AG65" s="225"/>
      <c r="AH65" s="225"/>
      <c r="AI65" s="225"/>
      <c r="AJ65" s="225"/>
      <c r="AK65" s="196"/>
      <c r="AL65" s="450"/>
      <c r="AM65" s="450"/>
      <c r="AN65" s="1005" t="s">
        <v>1448</v>
      </c>
      <c r="AO65" s="1245"/>
      <c r="AP65" s="1245"/>
      <c r="AQ65" s="1182"/>
      <c r="AR65" s="1182"/>
    </row>
    <row s="1656" customFormat="1" customHeight="1" ht="21.75">
      <c r="A66" s="1331"/>
      <c r="B66" s="1223"/>
      <c r="C66" s="1331"/>
      <c r="D66" s="1331"/>
      <c r="E66" s="623">
        <v>22.5</v>
      </c>
      <c r="F66" s="50" cm="1" t="str">
        <f t="array" ref="F66:F66">OFFSET(E66,-1,1)</f>
        <v>3</v>
      </c>
      <c r="G66" s="118" t="s">
        <v>346</v>
      </c>
      <c r="H66" s="1331"/>
      <c r="I66" s="1331"/>
      <c r="J66" s="1331"/>
      <c r="K66" s="1331"/>
      <c r="L66" s="1331"/>
      <c r="M66" s="1331"/>
      <c r="N66" s="1331"/>
      <c r="O66" s="1331"/>
      <c r="P66" s="1331"/>
      <c r="Q66" s="1331"/>
      <c r="R66" s="1331"/>
      <c r="S66" s="1331"/>
      <c r="T66" s="468" cm="1" t="str">
        <f t="array" ref="T66:T66">T65</f>
        <v>true</v>
      </c>
      <c r="U66" s="1331"/>
      <c r="V66" s="1331"/>
      <c r="W66" s="1331"/>
      <c r="X66" s="1539"/>
      <c r="Y66" s="1331"/>
      <c r="Z66" s="1529"/>
      <c r="AA66" s="450"/>
      <c r="AB66" s="295" t="s">
        <v>234</v>
      </c>
      <c r="AC66" s="454" t="s">
        <v>1449</v>
      </c>
      <c r="AD66" s="296" t="s">
        <v>936</v>
      </c>
      <c r="AE66" s="294"/>
      <c r="AF66" s="225"/>
      <c r="AG66" s="225"/>
      <c r="AH66" s="225"/>
      <c r="AI66" s="225"/>
      <c r="AJ66" s="225"/>
      <c r="AK66" s="196"/>
      <c r="AL66" s="450"/>
      <c r="AM66" s="450"/>
      <c r="AN66" s="1005" t="s">
        <v>1450</v>
      </c>
      <c r="AO66" s="1245"/>
      <c r="AP66" s="1245"/>
      <c r="AQ66" s="1182"/>
      <c r="AR66" s="1182"/>
    </row>
    <row s="1656" customFormat="1" customHeight="1" ht="32.25">
      <c r="A67" s="118"/>
      <c r="B67" s="430"/>
      <c r="C67" s="118"/>
      <c r="D67" s="118"/>
      <c r="E67" s="623">
        <v>33.75</v>
      </c>
      <c r="F67" s="1194" cm="1" t="str">
        <f t="array" ref="F67:F67">OFFSET(E67,-1,1)</f>
        <v>3</v>
      </c>
      <c r="G67" s="118" t="s">
        <v>348</v>
      </c>
      <c r="H67" s="118"/>
      <c r="I67" s="118"/>
      <c r="J67" s="118"/>
      <c r="K67" s="118"/>
      <c r="L67" s="118"/>
      <c r="M67" s="118"/>
      <c r="N67" s="118"/>
      <c r="O67" s="118"/>
      <c r="P67" s="118"/>
      <c r="Q67" s="118"/>
      <c r="R67" s="118"/>
      <c r="S67" s="118"/>
      <c r="T67" s="468" cm="1" t="str">
        <f t="array" ref="T67:T67">T66</f>
        <v>true</v>
      </c>
      <c r="U67" s="118"/>
      <c r="V67" s="118"/>
      <c r="W67" s="118"/>
      <c r="X67" s="1539"/>
      <c r="Y67" s="118"/>
      <c r="Z67" s="1529"/>
      <c r="AA67" s="450"/>
      <c r="AB67" s="893">
        <v>4</v>
      </c>
      <c r="AC67" s="454" t="s">
        <v>1451</v>
      </c>
      <c r="AD67" s="296" t="s">
        <v>936</v>
      </c>
      <c r="AE67" s="780">
        <f>_xlfn.SUMIFS(ФОТ!AE$25:AE$127,ФОТ!$F$25:$F$127,$F67,ФОТ!$G$25:$G$127,"СП")+_xlfn.SUMIFS(ФОТ!AE$25:AE$127,ФОТ!$F$25:$F$127,$F67,ФОТ!$G$25:$G$127,"СОЦ_СП")</f>
        <v>0</v>
      </c>
      <c r="AF67" s="780">
        <f>_xlfn.SUMIFS(ФОТ!AF$25:AF$127,ФОТ!$F$25:$F$127,$F67,ФОТ!$G$25:$G$127,"СП")+_xlfn.SUMIFS(ФОТ!AF$25:AF$127,ФОТ!$F$25:$F$127,$F67,ФОТ!$G$25:$G$127,"СОЦ_СП")</f>
        <v>0</v>
      </c>
      <c r="AG67" s="780">
        <f>_xlfn.SUMIFS(ФОТ!AG$25:AG$127,ФОТ!$F$25:$F$127,$F67,ФОТ!$G$25:$G$127,"СП")+_xlfn.SUMIFS(ФОТ!AG$25:AG$127,ФОТ!$F$25:$F$127,$F67,ФОТ!$G$25:$G$127,"СОЦ_СП")</f>
        <v>0</v>
      </c>
      <c r="AH67" s="780">
        <f>_xlfn.SUMIFS(ФОТ!AH$25:AH$127,ФОТ!$F$25:$F$127,$F67,ФОТ!$G$25:$G$127,"СП")+_xlfn.SUMIFS(ФОТ!AH$25:AH$127,ФОТ!$F$25:$F$127,$F67,ФОТ!$G$25:$G$127,"СОЦ_СП")</f>
        <v>0</v>
      </c>
      <c r="AI67" s="780">
        <f>_xlfn.SUMIFS(ФОТ!AI$25:AI$127,ФОТ!$F$25:$F$127,$F67,ФОТ!$G$25:$G$127,"СП")+_xlfn.SUMIFS(ФОТ!AI$25:AI$127,ФОТ!$F$25:$F$127,$F67,ФОТ!$G$25:$G$127,"СОЦ_СП")</f>
        <v>0</v>
      </c>
      <c r="AJ67" s="780">
        <f>_xlfn.SUMIFS(ФОТ!AJ$25:AJ$127,ФОТ!$F$25:$F$127,$F67,ФОТ!$G$25:$G$127,"СП")+_xlfn.SUMIFS(ФОТ!AJ$25:AJ$127,ФОТ!$F$25:$F$127,$F67,ФОТ!$G$25:$G$127,"СОЦ_СП")</f>
        <v>0</v>
      </c>
      <c r="AK67" s="196"/>
      <c r="AL67" s="450"/>
      <c r="AM67" s="1656"/>
      <c r="AN67" s="1056" t="s">
        <v>1452</v>
      </c>
      <c r="AO67" s="1056"/>
      <c r="AP67" s="1056"/>
      <c r="AQ67" s="677"/>
      <c r="AR67" s="677"/>
    </row>
    <row s="1656" customFormat="1" customHeight="1" ht="32.25">
      <c r="A68" s="1331"/>
      <c r="B68" s="1223"/>
      <c r="C68" s="1331"/>
      <c r="D68" s="1331"/>
      <c r="E68" s="623">
        <v>33.75</v>
      </c>
      <c r="F68" s="50" cm="1" t="str">
        <f t="array" ref="F68:F68">OFFSET(E68,-1,1)</f>
        <v>3</v>
      </c>
      <c r="G68" s="118" t="s">
        <v>347</v>
      </c>
      <c r="H68" s="1331"/>
      <c r="I68" s="1331"/>
      <c r="J68" s="1331"/>
      <c r="K68" s="1331"/>
      <c r="L68" s="1331"/>
      <c r="M68" s="1331"/>
      <c r="N68" s="1331"/>
      <c r="O68" s="1331"/>
      <c r="P68" s="1331"/>
      <c r="Q68" s="1331"/>
      <c r="R68" s="1331"/>
      <c r="S68" s="1331"/>
      <c r="T68" s="468" cm="1" t="str">
        <f t="array" ref="T68:T68">T67</f>
        <v>true</v>
      </c>
      <c r="U68" s="1331"/>
      <c r="V68" s="1331"/>
      <c r="W68" s="1331"/>
      <c r="X68" s="1539"/>
      <c r="Y68" s="1331"/>
      <c r="Z68" s="1529"/>
      <c r="AA68" s="450"/>
      <c r="AB68" s="295" t="s">
        <v>454</v>
      </c>
      <c r="AC68" s="454" t="s">
        <v>1453</v>
      </c>
      <c r="AD68" s="296" t="s">
        <v>936</v>
      </c>
      <c r="AE68" s="294"/>
      <c r="AF68" s="294"/>
      <c r="AG68" s="294"/>
      <c r="AH68" s="294"/>
      <c r="AI68" s="294"/>
      <c r="AJ68" s="294"/>
      <c r="AK68" s="196"/>
      <c r="AL68" s="450"/>
      <c r="AM68" s="450"/>
      <c r="AN68" s="1005" t="s">
        <v>1435</v>
      </c>
      <c r="AO68" s="1245"/>
      <c r="AP68" s="1245"/>
      <c r="AQ68" s="1182"/>
      <c r="AR68" s="1182"/>
    </row>
    <row s="1656" customFormat="1" customHeight="1" ht="21.75">
      <c r="A69" s="1331"/>
      <c r="B69" s="1223"/>
      <c r="C69" s="1331"/>
      <c r="D69" s="1331"/>
      <c r="E69" s="623">
        <v>22.5</v>
      </c>
      <c r="F69" s="50" cm="1" t="str">
        <f t="array" ref="F69:F69">OFFSET(E69,-1,1)</f>
        <v>3</v>
      </c>
      <c r="G69" s="118" t="s">
        <v>616</v>
      </c>
      <c r="H69" s="1331"/>
      <c r="I69" s="1331"/>
      <c r="J69" s="1331"/>
      <c r="K69" s="1331"/>
      <c r="L69" s="1331"/>
      <c r="M69" s="1331"/>
      <c r="N69" s="1331"/>
      <c r="O69" s="1331"/>
      <c r="P69" s="1331"/>
      <c r="Q69" s="1331"/>
      <c r="R69" s="1331"/>
      <c r="S69" s="1331"/>
      <c r="T69" s="468" cm="1" t="str">
        <f t="array" ref="T69:T69">T68</f>
        <v>true</v>
      </c>
      <c r="U69" s="1331"/>
      <c r="V69" s="1331"/>
      <c r="W69" s="1331"/>
      <c r="X69" s="1539"/>
      <c r="Y69" s="1331"/>
      <c r="Z69" s="1529"/>
      <c r="AA69" s="450"/>
      <c r="AB69" s="295" t="s">
        <v>457</v>
      </c>
      <c r="AC69" s="454" t="s">
        <v>1454</v>
      </c>
      <c r="AD69" s="296" t="s">
        <v>936</v>
      </c>
      <c r="AE69" s="294"/>
      <c r="AF69" s="294"/>
      <c r="AG69" s="294"/>
      <c r="AH69" s="294"/>
      <c r="AI69" s="294"/>
      <c r="AJ69" s="294"/>
      <c r="AK69" s="196"/>
      <c r="AL69" s="450"/>
      <c r="AM69" s="450"/>
      <c r="AN69" s="1005" t="s">
        <v>1421</v>
      </c>
      <c r="AO69" s="1245"/>
      <c r="AP69" s="1245"/>
      <c r="AQ69" s="1182"/>
      <c r="AR69" s="1182"/>
    </row>
    <row s="1656" customFormat="1" customHeight="1" ht="43.5">
      <c r="A70" s="1331"/>
      <c r="B70" s="1223"/>
      <c r="C70" s="1331"/>
      <c r="D70" s="1331"/>
      <c r="E70" s="623">
        <v>45</v>
      </c>
      <c r="F70" s="50" cm="1" t="str">
        <f t="array" ref="F70:F70">OFFSET(E70,-1,1)</f>
        <v>3</v>
      </c>
      <c r="G70" s="118" t="s">
        <v>619</v>
      </c>
      <c r="H70" s="1331"/>
      <c r="I70" s="1331"/>
      <c r="J70" s="1331"/>
      <c r="K70" s="1331"/>
      <c r="L70" s="1331"/>
      <c r="M70" s="1331"/>
      <c r="N70" s="1331"/>
      <c r="O70" s="1331"/>
      <c r="P70" s="1331"/>
      <c r="Q70" s="1331"/>
      <c r="R70" s="1331"/>
      <c r="S70" s="1331"/>
      <c r="T70" s="468" cm="1" t="str">
        <f t="array" ref="T70:T70">T69</f>
        <v>true</v>
      </c>
      <c r="U70" s="1331"/>
      <c r="V70" s="1331"/>
      <c r="W70" s="1331"/>
      <c r="X70" s="1539"/>
      <c r="Y70" s="1331"/>
      <c r="Z70" s="1529"/>
      <c r="AA70" s="450"/>
      <c r="AB70" s="295" t="s">
        <v>460</v>
      </c>
      <c r="AC70" s="454" t="s">
        <v>1455</v>
      </c>
      <c r="AD70" s="296" t="s">
        <v>936</v>
      </c>
      <c r="AE70" s="294"/>
      <c r="AF70" s="294"/>
      <c r="AG70" s="294"/>
      <c r="AH70" s="294"/>
      <c r="AI70" s="294"/>
      <c r="AJ70" s="294"/>
      <c r="AK70" s="196"/>
      <c r="AL70" s="450"/>
      <c r="AM70" s="450"/>
      <c r="AN70" s="1005" t="s">
        <v>1456</v>
      </c>
      <c r="AO70" s="1245"/>
      <c r="AP70" s="1245"/>
      <c r="AQ70" s="1182"/>
      <c r="AR70" s="1182"/>
    </row>
    <row s="1656" customFormat="1" customHeight="1" ht="43.5">
      <c r="A71" s="1331"/>
      <c r="B71" s="1223"/>
      <c r="C71" s="1331"/>
      <c r="D71" s="1331"/>
      <c r="E71" s="623">
        <v>45</v>
      </c>
      <c r="F71" s="50" cm="1" t="str">
        <f t="array" ref="F71:F71">OFFSET(E71,-1,1)</f>
        <v>3</v>
      </c>
      <c r="G71" s="118" t="s">
        <v>685</v>
      </c>
      <c r="H71" s="1331"/>
      <c r="I71" s="1331"/>
      <c r="J71" s="1331"/>
      <c r="K71" s="1331"/>
      <c r="L71" s="1331"/>
      <c r="M71" s="1331"/>
      <c r="N71" s="1331"/>
      <c r="O71" s="1331"/>
      <c r="P71" s="1331"/>
      <c r="Q71" s="1331"/>
      <c r="R71" s="1331"/>
      <c r="S71" s="1331"/>
      <c r="T71" s="468" cm="1" t="str">
        <f t="array" ref="T71:T71">T70</f>
        <v>true</v>
      </c>
      <c r="U71" s="1331"/>
      <c r="V71" s="1331"/>
      <c r="W71" s="1331"/>
      <c r="X71" s="1539"/>
      <c r="Y71" s="1331"/>
      <c r="Z71" s="1529"/>
      <c r="AA71" s="450"/>
      <c r="AB71" s="295" t="s">
        <v>463</v>
      </c>
      <c r="AC71" s="454" t="s">
        <v>1457</v>
      </c>
      <c r="AD71" s="296" t="s">
        <v>936</v>
      </c>
      <c r="AE71" s="294"/>
      <c r="AF71" s="294"/>
      <c r="AG71" s="294"/>
      <c r="AH71" s="294"/>
      <c r="AI71" s="294"/>
      <c r="AJ71" s="294"/>
      <c r="AK71" s="196"/>
      <c r="AL71" s="450"/>
      <c r="AM71" s="450"/>
      <c r="AN71" s="1005" t="s">
        <v>1458</v>
      </c>
      <c r="AO71" s="1245"/>
      <c r="AP71" s="1245"/>
      <c r="AQ71" s="1182"/>
      <c r="AR71" s="1182"/>
    </row>
    <row s="1656" customFormat="1" customHeight="1" ht="14.25">
      <c r="A72" s="1331"/>
      <c r="B72" s="1223"/>
      <c r="C72" s="1331"/>
      <c r="D72" s="1331"/>
      <c r="E72" s="623">
        <v>15</v>
      </c>
      <c r="F72" s="50" cm="1" t="str">
        <f t="array" ref="F72:F72">OFFSET(E72,-1,1)</f>
        <v>3</v>
      </c>
      <c r="G72" s="118" t="s">
        <v>700</v>
      </c>
      <c r="H72" s="1331"/>
      <c r="I72" s="1331"/>
      <c r="J72" s="1331"/>
      <c r="K72" s="1331"/>
      <c r="L72" s="1331"/>
      <c r="M72" s="1331"/>
      <c r="N72" s="1331"/>
      <c r="O72" s="1331"/>
      <c r="P72" s="1331"/>
      <c r="Q72" s="1331"/>
      <c r="R72" s="1331"/>
      <c r="S72" s="1331"/>
      <c r="T72" s="468" cm="1" t="str">
        <f t="array" ref="T72:T72">T71</f>
        <v>true</v>
      </c>
      <c r="U72" s="1331"/>
      <c r="V72" s="1331"/>
      <c r="W72" s="1331"/>
      <c r="X72" s="1539"/>
      <c r="Y72" s="1331"/>
      <c r="Z72" s="1529"/>
      <c r="AA72" s="450"/>
      <c r="AB72" s="352">
        <v>9</v>
      </c>
      <c r="AC72" s="454" t="s">
        <v>1459</v>
      </c>
      <c r="AD72" s="296" t="s">
        <v>936</v>
      </c>
      <c r="AE72" s="231">
        <f>SUM(AE73:AE74)</f>
        <v>0</v>
      </c>
      <c r="AF72" s="231">
        <f>SUM(AF73:AF74)</f>
        <v>0</v>
      </c>
      <c r="AG72" s="231">
        <f>SUM(AG73:AG74)</f>
        <v>0</v>
      </c>
      <c r="AH72" s="231">
        <f>SUM(AH73:AH74)</f>
        <v>0</v>
      </c>
      <c r="AI72" s="231">
        <f>SUM(AI73:AI74)</f>
        <v>0</v>
      </c>
      <c r="AJ72" s="231">
        <f>SUM(AJ73:AJ74)</f>
        <v>0</v>
      </c>
      <c r="AK72" s="196"/>
      <c r="AL72" s="450"/>
      <c r="AM72" s="450"/>
      <c r="AN72" s="1005" t="s">
        <v>407</v>
      </c>
      <c r="AO72" s="1245"/>
      <c r="AP72" s="1245"/>
      <c r="AQ72" s="1182"/>
      <c r="AR72" s="1182"/>
    </row>
    <row s="1656" customFormat="1" customHeight="1" ht="14.25" hidden="1">
      <c r="A73" s="1331"/>
      <c r="B73" s="1223"/>
      <c r="C73" s="1331"/>
      <c r="D73" s="1331"/>
      <c r="E73" s="623">
        <v>15</v>
      </c>
      <c r="F73" s="50" cm="1" t="str">
        <f t="array" ref="F73:F73">OFFSET(E73,-1,1)</f>
        <v>3</v>
      </c>
      <c r="G73" s="118" t="s">
        <v>700</v>
      </c>
      <c r="H73" s="118" cm="1" t="str">
        <f t="array" ref="H73:H73">AC73</f>
        <v>0</v>
      </c>
      <c r="I73" s="1331"/>
      <c r="J73" s="1331"/>
      <c r="K73" s="1331"/>
      <c r="L73" s="1331"/>
      <c r="M73" s="1331"/>
      <c r="N73" s="1331"/>
      <c r="O73" s="1331"/>
      <c r="P73" s="1331"/>
      <c r="Q73" s="1331"/>
      <c r="R73" s="1331"/>
      <c r="S73" s="1331"/>
      <c r="T73" s="468">
        <f>AND(F73&gt;0,Y73&gt;0)</f>
        <v>0</v>
      </c>
      <c r="U73" s="1331"/>
      <c r="V73" s="1331"/>
      <c r="W73" s="764" t="s">
        <v>173</v>
      </c>
      <c r="X73" s="1539"/>
      <c r="Y73" s="118">
        <v>0</v>
      </c>
      <c r="Z73" s="1529"/>
      <c r="AA73" s="422" t="s">
        <v>174</v>
      </c>
      <c r="AB73" s="696" t="str">
        <f>"9."&amp;Y73</f>
        <v>9.0</v>
      </c>
      <c r="AC73" s="4148"/>
      <c r="AD73" s="296" t="s">
        <v>936</v>
      </c>
      <c r="AE73" s="4146"/>
      <c r="AF73" s="4146"/>
      <c r="AG73" s="4146"/>
      <c r="AH73" s="4146"/>
      <c r="AI73" s="4146"/>
      <c r="AJ73" s="4146"/>
      <c r="AK73" s="1928"/>
      <c r="AL73" s="450"/>
      <c r="AM73" s="450"/>
      <c r="AN73" s="1005" t="s">
        <v>407</v>
      </c>
      <c r="AO73" s="1005" t="s">
        <v>1460</v>
      </c>
      <c r="AP73" s="1005" cm="1" t="str">
        <f t="array" ref="AP73:AP73">AC73</f>
        <v>0</v>
      </c>
      <c r="AQ73" s="1182"/>
      <c r="AR73" s="623" t="b">
        <v>1</v>
      </c>
    </row>
    <row s="1656" customFormat="1" customHeight="1" ht="14.25">
      <c r="A74" s="142"/>
      <c r="B74" s="431"/>
      <c r="C74" s="142"/>
      <c r="D74" s="142"/>
      <c r="E74" s="263">
        <v>15</v>
      </c>
      <c r="F74" s="50" cm="1" t="str">
        <f t="array" ref="F74:F74">OFFSET(E74,-1,1)</f>
        <v>3</v>
      </c>
      <c r="G74" s="142"/>
      <c r="H74" s="148" t="str">
        <f>"!=='не определено'"</f>
        <v>!=='не определено'</v>
      </c>
      <c r="I74" s="142"/>
      <c r="J74" s="142"/>
      <c r="K74" s="142"/>
      <c r="L74" s="142"/>
      <c r="M74" s="142"/>
      <c r="N74" s="142"/>
      <c r="O74" s="142"/>
      <c r="P74" s="142"/>
      <c r="Q74" s="142"/>
      <c r="R74" s="142"/>
      <c r="S74" s="142"/>
      <c r="T74" s="468">
        <f>F74&gt;0</f>
        <v>1</v>
      </c>
      <c r="U74" s="142"/>
      <c r="V74" s="142"/>
      <c r="W74" s="764" t="s">
        <v>1461</v>
      </c>
      <c r="X74" s="1539"/>
      <c r="Y74" s="142"/>
      <c r="Z74" s="1529"/>
      <c r="AA74" s="142"/>
      <c r="AB74" s="227"/>
      <c r="AC74" s="228" t="s">
        <v>177</v>
      </c>
      <c r="AD74" s="228"/>
      <c r="AE74" s="228"/>
      <c r="AF74" s="228"/>
      <c r="AG74" s="228"/>
      <c r="AH74" s="228"/>
      <c r="AI74" s="228"/>
      <c r="AJ74" s="228"/>
      <c r="AK74" s="229"/>
      <c r="AL74" s="142"/>
      <c r="AM74" s="450"/>
      <c r="AN74" s="1245"/>
      <c r="AO74" s="1245"/>
      <c r="AP74" s="1245"/>
      <c r="AQ74" s="623" t="s">
        <v>1460</v>
      </c>
      <c r="AR74" s="1182"/>
    </row>
    <row customHeight="1" ht="10.725000000000001">
      <c r="A75" s="0"/>
      <c r="B75" s="432"/>
      <c r="C75" s="0"/>
      <c r="D75" s="0"/>
      <c r="E75" s="623">
        <v>11</v>
      </c>
      <c r="F75" s="81"/>
      <c r="G75" s="0"/>
      <c r="H75" s="0"/>
      <c r="I75" s="0"/>
      <c r="J75" s="0"/>
      <c r="K75" s="0"/>
      <c r="L75" s="0"/>
      <c r="M75" s="0"/>
      <c r="N75" s="0"/>
      <c r="O75" s="0"/>
      <c r="P75" s="0"/>
      <c r="Q75" s="0"/>
      <c r="R75" s="0"/>
      <c r="S75" s="0"/>
      <c r="T75" s="0"/>
      <c r="U75" s="0" t="s">
        <v>177</v>
      </c>
      <c r="V75" s="136" t="s">
        <v>1462</v>
      </c>
      <c r="W75" s="0"/>
      <c r="X75" s="0"/>
      <c r="Y75" s="0"/>
      <c r="Z75" s="0"/>
      <c r="AA75" s="0"/>
      <c r="AB75" s="0"/>
      <c r="AC75" s="96"/>
      <c r="AD75" s="96"/>
      <c r="AE75" s="96"/>
      <c r="AF75" s="96"/>
      <c r="AG75" s="0"/>
      <c r="AH75" s="0"/>
      <c r="AI75" s="0"/>
      <c r="AJ75" s="0"/>
      <c r="AK75" s="0"/>
      <c r="AL75" s="0"/>
    </row>
    <row customHeight="1" ht="14.625">
      <c r="A76" s="94"/>
      <c r="B76" s="429"/>
      <c r="C76" s="94"/>
      <c r="D76" s="94"/>
      <c r="E76" s="637">
        <v>15</v>
      </c>
      <c r="F76" s="94"/>
      <c r="G76" s="94"/>
      <c r="H76" s="94"/>
      <c r="I76" s="94"/>
      <c r="J76" s="94"/>
      <c r="K76" s="94"/>
      <c r="L76" s="94"/>
      <c r="M76" s="94"/>
      <c r="N76" s="94"/>
      <c r="O76" s="94"/>
      <c r="P76" s="94"/>
      <c r="Q76" s="94"/>
      <c r="R76" s="94"/>
      <c r="S76" s="94"/>
      <c r="T76" s="94"/>
      <c r="U76" s="94"/>
      <c r="V76" s="94"/>
      <c r="W76" s="94"/>
      <c r="X76" s="94"/>
      <c r="Y76" s="94"/>
      <c r="Z76" s="94"/>
      <c r="AA76" s="94"/>
      <c r="AB76" s="1553" t="s">
        <v>420</v>
      </c>
      <c r="AC76" s="1553"/>
      <c r="AD76" s="1553"/>
      <c r="AE76" s="1553"/>
      <c r="AF76" s="1553"/>
      <c r="AG76" s="1553"/>
      <c r="AH76" s="1553"/>
      <c r="AI76" s="1600"/>
      <c r="AJ76" s="1600"/>
      <c r="AK76" s="1600"/>
      <c r="AL76" s="94"/>
    </row>
    <row customHeight="1" ht="14.625">
      <c r="A77" s="94"/>
      <c r="B77" s="429"/>
      <c r="C77" s="94"/>
      <c r="D77" s="94"/>
      <c r="E77" s="637">
        <v>15</v>
      </c>
      <c r="F77" s="94"/>
      <c r="G77" s="94"/>
      <c r="H77" s="94"/>
      <c r="I77" s="94"/>
      <c r="J77" s="94"/>
      <c r="K77" s="94"/>
      <c r="L77" s="94"/>
      <c r="M77" s="94"/>
      <c r="N77" s="94"/>
      <c r="O77" s="94"/>
      <c r="P77" s="94"/>
      <c r="Q77" s="94"/>
      <c r="R77" s="94"/>
      <c r="S77" s="94"/>
      <c r="U77" s="94"/>
      <c r="V77" s="94"/>
      <c r="W77" s="94"/>
      <c r="X77" s="94"/>
      <c r="Y77" s="94"/>
      <c r="Z77" s="94"/>
      <c r="AA77" s="453"/>
      <c r="AB77" s="1562"/>
      <c r="AC77" s="1562"/>
      <c r="AD77" s="1562"/>
      <c r="AE77" s="1562"/>
      <c r="AF77" s="1562"/>
      <c r="AG77" s="1562"/>
      <c r="AH77" s="1562"/>
      <c r="AI77" s="1599"/>
      <c r="AJ77" s="1599"/>
      <c r="AK77" s="1599"/>
      <c r="AL77" s="94"/>
    </row>
    <row customHeight="1" ht="14.625" hidden="1">
      <c r="A78" s="94"/>
      <c r="B78" s="429"/>
      <c r="C78" s="94"/>
      <c r="D78" s="94"/>
      <c r="E78" s="637">
        <v>15</v>
      </c>
      <c r="F78" s="94"/>
      <c r="G78" s="94"/>
      <c r="H78" s="94"/>
      <c r="I78" s="94"/>
      <c r="J78" s="94"/>
      <c r="K78" s="94"/>
      <c r="L78" s="94"/>
      <c r="M78" s="94"/>
      <c r="N78" s="94"/>
      <c r="O78" s="94"/>
      <c r="P78" s="94"/>
      <c r="Q78" s="94"/>
      <c r="R78" s="94"/>
      <c r="S78" s="94"/>
      <c r="T78" s="468">
        <f>ROW(W78)&gt;ROW(W$78)</f>
        <v>0</v>
      </c>
      <c r="U78" s="94"/>
      <c r="V78" s="94"/>
      <c r="W78" s="764" t="s">
        <v>173</v>
      </c>
      <c r="X78" s="94"/>
      <c r="Y78" s="94"/>
      <c r="Z78" s="94"/>
      <c r="AA78" s="422" t="s">
        <v>174</v>
      </c>
      <c r="AB78" s="3117" t="s">
        <v>240</v>
      </c>
      <c r="AC78" s="3117"/>
      <c r="AD78" s="3117"/>
      <c r="AE78" s="3117"/>
      <c r="AF78" s="3117"/>
      <c r="AG78" s="3117"/>
      <c r="AH78" s="3117"/>
      <c r="AI78" s="1599"/>
      <c r="AJ78" s="1599"/>
      <c r="AK78" s="4349"/>
      <c r="AL78" s="94"/>
      <c r="AM78" s="450"/>
      <c r="AN78" s="1245"/>
      <c r="AO78" s="1245"/>
      <c r="AP78" s="1245"/>
      <c r="AQ78" s="1182"/>
      <c r="AR78" s="1182"/>
    </row>
    <row s="1541" customFormat="1" customHeight="1" ht="14.625">
      <c r="A79" s="94"/>
      <c r="B79" s="429"/>
      <c r="C79" s="94"/>
      <c r="D79" s="94"/>
      <c r="E79" s="637">
        <v>15</v>
      </c>
      <c r="F79" s="94"/>
      <c r="G79" s="94"/>
      <c r="H79" s="94"/>
      <c r="I79" s="94"/>
      <c r="J79" s="94"/>
      <c r="K79" s="94"/>
      <c r="L79" s="94"/>
      <c r="M79" s="94"/>
      <c r="N79" s="94"/>
      <c r="O79" s="94"/>
      <c r="P79" s="94"/>
      <c r="Q79" s="94"/>
      <c r="R79" s="94"/>
      <c r="S79" s="94"/>
      <c r="T79" s="94"/>
      <c r="U79" s="94"/>
      <c r="V79" s="94"/>
      <c r="W79" s="764" t="s">
        <v>421</v>
      </c>
      <c r="X79" s="94"/>
      <c r="Y79" s="94"/>
      <c r="Z79" s="94"/>
      <c r="AA79" s="94"/>
      <c r="AB79" s="653"/>
      <c r="AC79" s="517" t="s">
        <v>422</v>
      </c>
      <c r="AD79" s="306"/>
      <c r="AE79" s="306"/>
      <c r="AF79" s="307"/>
      <c r="AG79" s="307"/>
      <c r="AH79" s="307"/>
      <c r="AI79" s="307"/>
      <c r="AJ79" s="307"/>
      <c r="AK79" s="308"/>
      <c r="AL79" s="94"/>
      <c r="AN79" s="1038"/>
      <c r="AO79" s="1038"/>
      <c r="AP79" s="1038"/>
      <c r="AQ79" s="263"/>
      <c r="AR79" s="263"/>
    </row>
    <row s="1656" customFormat="1" customHeight="1" ht="10.725000000000001">
      <c r="A80" s="118"/>
      <c r="B80" s="430"/>
      <c r="C80" s="118"/>
      <c r="D80" s="118"/>
      <c r="E80" s="623">
        <v>11</v>
      </c>
      <c r="F80" s="118"/>
      <c r="G80" s="118"/>
      <c r="H80" s="118"/>
      <c r="I80" s="118"/>
      <c r="J80" s="118"/>
      <c r="K80" s="118"/>
      <c r="L80" s="118"/>
      <c r="M80" s="118"/>
      <c r="N80" s="118"/>
      <c r="O80" s="118"/>
      <c r="P80" s="118"/>
      <c r="Q80" s="118"/>
      <c r="R80" s="118"/>
      <c r="S80" s="118"/>
      <c r="T80" s="118"/>
      <c r="U80" s="118"/>
      <c r="V80" s="118"/>
      <c r="W80" s="118"/>
      <c r="X80" s="118"/>
      <c r="Y80" s="118"/>
      <c r="Z80" s="118"/>
      <c r="AA80" s="450"/>
      <c r="AB80" s="450"/>
      <c r="AC80" s="450"/>
      <c r="AD80" s="450"/>
      <c r="AE80" s="450"/>
      <c r="AF80" s="450"/>
      <c r="AG80" s="450"/>
      <c r="AH80" s="450"/>
      <c r="AI80" s="450"/>
      <c r="AJ80" s="450"/>
      <c r="AK80" s="450"/>
      <c r="AL80" s="428"/>
      <c r="AN80" s="1056"/>
      <c r="AO80" s="1056"/>
      <c r="AP80" s="1056"/>
      <c r="AQ80" s="677"/>
      <c r="AR80" s="677"/>
    </row>
    <row customHeight="1" ht="14.25" hidden="1">
      <c r="A81" s="450"/>
      <c r="B81" s="450"/>
      <c r="C81" s="450"/>
      <c r="D81" s="450"/>
      <c r="E81" s="695"/>
      <c r="F81" s="450"/>
      <c r="G81" s="450"/>
      <c r="H81" s="450"/>
      <c r="I81" s="450"/>
      <c r="J81" s="450"/>
      <c r="K81" s="450"/>
      <c r="L81" s="450"/>
      <c r="M81" s="450"/>
      <c r="N81" s="450"/>
      <c r="O81" s="450"/>
      <c r="P81" s="450"/>
      <c r="Q81" s="450"/>
      <c r="R81" s="450"/>
      <c r="S81" s="450"/>
      <c r="T81" s="450"/>
      <c r="U81" s="450"/>
      <c r="V81" s="450"/>
      <c r="W81" s="450"/>
      <c r="X81" s="450"/>
      <c r="Y81" s="450"/>
      <c r="Z81" s="450"/>
      <c r="AI81" s="450"/>
      <c r="AJ81" s="450"/>
    </row>
  </sheetData>
  <sheetProtection formatColumns="0" formatRows="0" insertRows="0" deleteColumns="0" deleteRows="0" sort="0" autoFilter="0" insertColumns="1"/>
  <mergeCells count="15">
    <mergeCell ref="AB24:AB25"/>
    <mergeCell ref="AC24:AC25"/>
    <mergeCell ref="AD24:AD25"/>
    <mergeCell ref="AK24:AK25"/>
    <mergeCell ref="AB78:AK78"/>
    <mergeCell ref="X27:X38"/>
    <mergeCell ref="Z27:Z38"/>
    <mergeCell ref="AB76:AK76"/>
    <mergeCell ref="AB77:AK77"/>
    <mergeCell ref="X39:X50"/>
    <mergeCell ref="Z39:Z50"/>
    <mergeCell ref="X51:X62"/>
    <mergeCell ref="Z51:Z62"/>
    <mergeCell ref="X63:X74"/>
    <mergeCell ref="Z63:Z74"/>
  </mergeCells>
  <dataValidations count="2">
    <dataValidation allowBlank="1" showInputMessage="1" showErrorMessage="1" sqref="AI76:AK79 AI37:AJ37 AI49 AJ49 AI61 AJ61 AI73 AJ73"/>
    <dataValidation type="decimal" allowBlank="1" showErrorMessage="1" errorTitle="Ошибка" error="Допускается ввод только неотрицательных чисел!" sqref="AE37:AH37 AE28:AJ35 AE40 AF40 AG40 AH40 AI40 AJ40 AE41 AF41 AG41 AH41 AI41 AJ41 AE42 AF42 AG42 AH42 AI42 AJ42 AE43 AF43 AG43 AH43 AI43 AJ43 AE44 AF44 AG44 AH44 AI44 AJ44 AE45 AF45 AG45 AH45 AI45 AJ45 AE46 AF46 AG46 AH46 AI46 AJ46 AE47 AF47 AG47 AH47 AI47 AJ47 AE49 AF49 AG49 AH49 AE52 AF52 AG52 AH52 AI52 AJ52 AE53 AF53 AG53 AH53 AI53 AJ53 AE54 AF54 AG54 AH54 AI54 AJ54 AE55 AF55 AG55 AH55 AI55 AJ55 AE56 AF56 AG56 AH56 AI56 AJ56 AE57 AF57 AG57 AH57 AI57 AJ57 AE58 AF58 AG58 AH58 AI58 AJ58 AE59 AF59 AG59 AH59 AI59 AJ59 AE61 AF61 AG61 AH61 AE64 AF64 AG64 AH64 AI64 AJ64 AE65 AF65 AG65 AH65 AI65 AJ65 AE66 AF66 AG66 AH66 AI66 AJ66 AE67 AF67 AG67 AH67 AI67 AJ67 AE68 AF68 AG68 AH68 AI68 AJ68 AE69 AF69 AG69 AH69 AI69 AJ69 AE70 AF70 AG70 AH70 AI70 AJ70 AE71 AF71 AG71 AH71 AI71 AJ71 AE73 AF73 AG73 AH73">
      <formula1>0</formula1>
      <formula2>9.99999999999999E+23</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D1006DA-E808-D0E8-7878-652E81FB557B}" mc:Ignorable="x14ac xr xr2 xr3">
  <sheetPr>
    <tabColor rgb="FF002060"/>
    <outlinePr summaryRight="0" summaryBelow="0"/>
    <pageSetUpPr fitToPage="1"/>
  </sheetPr>
  <dimension ref="A1:BJ97"/>
  <sheetViews>
    <sheetView showGridLines="0" workbookViewId="0">
      <pane xSplit="30" ySplit="25" topLeftCell="AE26" activePane="bottomRight" state="frozen"/>
      <selection pane="bottomLeft" activeCell="A26" sqref="A26"/>
      <selection pane="topRight" activeCell="AE1" sqref="AE1"/>
      <selection pane="bottomRight" activeCell="AB87" sqref="AB87:BC87"/>
    </sheetView>
  </sheetViews>
  <sheetFormatPr defaultColWidth="9.140625" customHeight="1" defaultRowHeight="11.25"/>
  <cols>
    <col min="1" max="1" style="1331" width="3.57421875" hidden="1" customWidth="1"/>
    <col min="2" max="2" style="1223" width="8.57421875" hidden="1" customWidth="1"/>
    <col min="3" max="4" style="1331" width="3.57421875" hidden="1" customWidth="1"/>
    <col min="5" max="5" style="1182" width="3.57421875" hidden="1" customWidth="1"/>
    <col min="6" max="7" style="1331" width="3.57421875" hidden="1" customWidth="1"/>
    <col min="8" max="8" style="1331" width="6.00390625" hidden="1" customWidth="1"/>
    <col min="9" max="19" style="1331" width="3.57421875" hidden="1" customWidth="1"/>
    <col min="20" max="20" style="1331" width="10.00390625" hidden="1" customWidth="1"/>
    <col min="21" max="21" style="1331" width="5.8515625" hidden="1" customWidth="1"/>
    <col min="22" max="23" style="1331" width="6.140625" hidden="1" customWidth="1"/>
    <col min="24" max="25" style="1331" width="5.57421875" hidden="1" customWidth="1"/>
    <col min="26" max="26" style="1331" width="5.28125" hidden="1" customWidth="1"/>
    <col min="27" max="27" style="1331" width="3.00390625" customWidth="1"/>
    <col min="28" max="28" style="1331" width="6.00390625" customWidth="1"/>
    <col min="29" max="29" style="1331" width="32.8515625" customWidth="1"/>
    <col min="30" max="30" style="1331" width="12.00390625" customWidth="1"/>
    <col min="31" max="35" style="1331" width="12.57421875" customWidth="1"/>
    <col min="36" max="44" style="1331" width="12.57421875" hidden="1" customWidth="1"/>
    <col min="45" max="45" style="1331" width="12.57421875" customWidth="1"/>
    <col min="46" max="54" style="1331" width="12.57421875" hidden="1" customWidth="1"/>
    <col min="55" max="55" style="1331" width="110.28125" customWidth="1"/>
    <col min="56" max="56" style="1331" width="3.00390625" customWidth="1"/>
    <col min="57" max="57" style="1331" width="9.140625" hidden="1"/>
    <col min="58" max="60" style="1245" width="9.140625" hidden="1"/>
    <col min="61" max="62" style="1182" width="9.140625" hidden="1"/>
  </cols>
  <sheetData>
    <row customHeight="1" ht="11.25" hidden="1">
      <c r="E1" s="145"/>
      <c r="F1" s="145" t="s">
        <v>333</v>
      </c>
      <c r="G1" s="145" t="s">
        <v>343</v>
      </c>
      <c r="I1" s="145" t="s">
        <v>368</v>
      </c>
      <c r="T1" s="468" t="s">
        <v>93</v>
      </c>
      <c r="U1" s="468" t="s">
        <v>98</v>
      </c>
      <c r="V1" s="468" t="s">
        <v>94</v>
      </c>
      <c r="W1" s="468" t="s">
        <v>95</v>
      </c>
      <c r="X1" s="468" t="s">
        <v>96</v>
      </c>
      <c r="Y1" s="470" t="s">
        <v>335</v>
      </c>
      <c r="Z1" s="468" t="s">
        <v>100</v>
      </c>
      <c r="AA1" s="469" t="s">
        <v>97</v>
      </c>
      <c r="AB1" s="81"/>
      <c r="AC1" s="469" t="s">
        <v>99</v>
      </c>
      <c r="AI1" s="1331"/>
      <c r="AJ1" s="1331"/>
      <c r="AK1" s="1331"/>
      <c r="AL1" s="1331"/>
      <c r="AM1" s="1331"/>
      <c r="AN1" s="1331"/>
      <c r="AO1" s="1331"/>
      <c r="AP1" s="1331"/>
      <c r="AQ1" s="1331"/>
      <c r="AR1" s="1331"/>
      <c r="AS1" s="1331"/>
      <c r="AT1" s="1331"/>
      <c r="AU1" s="1331"/>
      <c r="AV1" s="1331"/>
      <c r="AW1" s="1331"/>
      <c r="AX1" s="1331"/>
      <c r="AY1" s="1331"/>
      <c r="AZ1" s="1331"/>
      <c r="BA1" s="1331"/>
      <c r="BB1" s="1331"/>
      <c r="BF1" s="1046" t="s">
        <v>336</v>
      </c>
      <c r="BG1" s="1046" t="s">
        <v>337</v>
      </c>
      <c r="BH1" s="1046" t="s">
        <v>338</v>
      </c>
      <c r="BI1" s="682" t="s">
        <v>341</v>
      </c>
      <c r="BJ1" s="682" t="s">
        <v>342</v>
      </c>
    </row>
    <row s="1223" customFormat="1" customHeight="1" ht="11.25" hidden="1">
      <c r="B2" s="449" t="s">
        <v>19</v>
      </c>
      <c r="AF2" s="1223" cm="1" t="str">
        <f t="array" ref="AF2:AF2">isOrgDeclare</f>
        <v>true</v>
      </c>
      <c r="AI2" s="448">
        <f>AND(AI6&lt;=last_year_vis,isOrgDeclare)</f>
        <v>1</v>
      </c>
      <c r="AJ2" s="448">
        <f>AND(AJ6&lt;=last_year_vis,isOrgDeclare)</f>
        <v>0</v>
      </c>
      <c r="AK2" s="448">
        <f>AND(AK6&lt;=last_year_vis,isOrgDeclare)</f>
        <v>0</v>
      </c>
      <c r="AL2" s="448">
        <f>AND(AL6&lt;=last_year_vis,isOrgDeclare)</f>
        <v>0</v>
      </c>
      <c r="AM2" s="448">
        <f>AND(AM6&lt;=last_year_vis,isOrgDeclare)</f>
        <v>0</v>
      </c>
      <c r="AN2" s="448">
        <f>AND(AN6&lt;=last_year_vis,isOrgDeclare)</f>
        <v>0</v>
      </c>
      <c r="AO2" s="448">
        <f>AND(AO6&lt;=last_year_vis,isOrgDeclare)</f>
        <v>0</v>
      </c>
      <c r="AP2" s="448">
        <f>AND(AP6&lt;=last_year_vis,isOrgDeclare)</f>
        <v>0</v>
      </c>
      <c r="AQ2" s="448">
        <f>AND(AQ6&lt;=last_year_vis,isOrgDeclare)</f>
        <v>0</v>
      </c>
      <c r="AR2" s="448">
        <f>AND(AR6&lt;=last_year_vis,isOrgDeclare)</f>
        <v>0</v>
      </c>
      <c r="AS2" s="448">
        <f>AS6&lt;=last_year_vis</f>
        <v>1</v>
      </c>
      <c r="AT2" s="448">
        <f>AT6&lt;=last_year_vis</f>
        <v>0</v>
      </c>
      <c r="AU2" s="448">
        <f>AU6&lt;=last_year_vis</f>
        <v>0</v>
      </c>
      <c r="AV2" s="448">
        <f>AV6&lt;=last_year_vis</f>
        <v>0</v>
      </c>
      <c r="AW2" s="448">
        <f>AW6&lt;=last_year_vis</f>
        <v>0</v>
      </c>
      <c r="AX2" s="448">
        <f>AX6&lt;=last_year_vis</f>
        <v>0</v>
      </c>
      <c r="AY2" s="448">
        <f>AY6&lt;=last_year_vis</f>
        <v>0</v>
      </c>
      <c r="AZ2" s="448">
        <f>AZ6&lt;=last_year_vis</f>
        <v>0</v>
      </c>
      <c r="BA2" s="448">
        <f>BA6&lt;=last_year_vis</f>
        <v>0</v>
      </c>
      <c r="BB2" s="448">
        <f>BB6&lt;=last_year_vis</f>
        <v>0</v>
      </c>
      <c r="BF2" s="1045"/>
      <c r="BG2" s="1045"/>
      <c r="BH2" s="1045"/>
      <c r="BI2" s="1057"/>
      <c r="BJ2" s="1057"/>
    </row>
    <row customHeight="1" ht="11.25" hidden="1">
      <c r="E3" s="145"/>
      <c r="AI3" s="1331"/>
      <c r="AJ3" s="1331"/>
      <c r="AK3" s="1331"/>
      <c r="AL3" s="1331"/>
      <c r="AM3" s="1331"/>
      <c r="AN3" s="1331"/>
      <c r="AO3" s="1331"/>
      <c r="AP3" s="1331"/>
      <c r="AQ3" s="1331"/>
      <c r="AR3" s="1331"/>
      <c r="AS3" s="1331"/>
      <c r="AT3" s="1331"/>
      <c r="AU3" s="1331"/>
      <c r="AV3" s="1331"/>
      <c r="AW3" s="1331"/>
      <c r="AX3" s="1331"/>
      <c r="AY3" s="1331"/>
      <c r="AZ3" s="1331"/>
      <c r="BA3" s="1331"/>
      <c r="BB3" s="1331"/>
    </row>
    <row customHeight="1" ht="11.25" hidden="1">
      <c r="E4" s="145"/>
      <c r="AI4" s="1331"/>
      <c r="AJ4" s="1331"/>
      <c r="AK4" s="1331"/>
      <c r="AL4" s="1331"/>
      <c r="AM4" s="1331"/>
      <c r="AN4" s="1331"/>
      <c r="AO4" s="1331"/>
      <c r="AP4" s="1331"/>
      <c r="AQ4" s="1331"/>
      <c r="AR4" s="1331"/>
      <c r="AS4" s="1331"/>
      <c r="AT4" s="1331"/>
      <c r="AU4" s="1331"/>
      <c r="AV4" s="1331"/>
      <c r="AW4" s="1331"/>
      <c r="AX4" s="1331"/>
      <c r="AY4" s="1331"/>
      <c r="AZ4" s="1331"/>
      <c r="BA4" s="1331"/>
      <c r="BB4" s="1331"/>
    </row>
    <row s="1182" customFormat="1" customHeight="1" ht="11.25" hidden="1">
      <c r="A5" s="145"/>
      <c r="B5" s="444"/>
      <c r="C5" s="145"/>
      <c r="D5" s="145"/>
      <c r="E5" s="682" t="s">
        <v>20</v>
      </c>
      <c r="AA5" s="682">
        <v>3</v>
      </c>
      <c r="AB5" s="682">
        <v>6</v>
      </c>
      <c r="AC5" s="682">
        <v>35</v>
      </c>
      <c r="AD5" s="682">
        <v>12</v>
      </c>
      <c r="AE5" s="682">
        <v>12.57</v>
      </c>
      <c r="AF5" s="682">
        <v>12.57</v>
      </c>
      <c r="AG5" s="682">
        <v>12.57</v>
      </c>
      <c r="AH5" s="682">
        <v>12.57</v>
      </c>
      <c r="AI5" s="682">
        <v>12.57</v>
      </c>
      <c r="AJ5" s="682">
        <v>12.57</v>
      </c>
      <c r="AK5" s="682">
        <v>12.57</v>
      </c>
      <c r="AL5" s="682">
        <v>12.57</v>
      </c>
      <c r="AM5" s="682">
        <v>12.57</v>
      </c>
      <c r="AN5" s="682">
        <v>12.57</v>
      </c>
      <c r="AO5" s="682">
        <v>12.57</v>
      </c>
      <c r="AP5" s="682">
        <v>12.57</v>
      </c>
      <c r="AQ5" s="682">
        <v>12.57</v>
      </c>
      <c r="AR5" s="682">
        <v>12.57</v>
      </c>
      <c r="AS5" s="682">
        <v>12.57</v>
      </c>
      <c r="AT5" s="682">
        <v>12.57</v>
      </c>
      <c r="AU5" s="682">
        <v>12.57</v>
      </c>
      <c r="AV5" s="682">
        <v>12.57</v>
      </c>
      <c r="AW5" s="682">
        <v>12.57</v>
      </c>
      <c r="AX5" s="682">
        <v>12.57</v>
      </c>
      <c r="AY5" s="682">
        <v>12.57</v>
      </c>
      <c r="AZ5" s="682">
        <v>12.57</v>
      </c>
      <c r="BA5" s="682">
        <v>12.57</v>
      </c>
      <c r="BB5" s="682">
        <v>12.57</v>
      </c>
      <c r="BC5" s="682">
        <v>20</v>
      </c>
      <c r="BD5" s="682">
        <v>3</v>
      </c>
      <c r="BF5" s="1046"/>
      <c r="BG5" s="1046"/>
      <c r="BH5" s="1046"/>
    </row>
    <row customHeight="1" ht="11.25" hidden="1">
      <c r="A6" s="145" t="s">
        <v>371</v>
      </c>
      <c r="AE6" s="145">
        <f>god-2</f>
        <v>2024</v>
      </c>
      <c r="AF6" s="145">
        <f>god-2</f>
        <v>2024</v>
      </c>
      <c r="AG6" s="145">
        <f>god-2</f>
        <v>2024</v>
      </c>
      <c r="AH6" s="145">
        <f>god-1</f>
        <v>2025</v>
      </c>
      <c r="AI6" s="94" cm="1" t="str">
        <f t="array" ref="AI6:AI6">god</f>
        <v>2026</v>
      </c>
      <c r="AJ6" s="94">
        <f>god+1</f>
        <v>2027</v>
      </c>
      <c r="AK6" s="94">
        <f>god+2</f>
        <v>2028</v>
      </c>
      <c r="AL6" s="94">
        <f>god+3</f>
        <v>2029</v>
      </c>
      <c r="AM6" s="94">
        <f>god+4</f>
        <v>2030</v>
      </c>
      <c r="AN6" s="94">
        <f>god+5</f>
        <v>2031</v>
      </c>
      <c r="AO6" s="94">
        <f>god+6</f>
        <v>2032</v>
      </c>
      <c r="AP6" s="94">
        <f>god+7</f>
        <v>2033</v>
      </c>
      <c r="AQ6" s="94">
        <f>god+8</f>
        <v>2034</v>
      </c>
      <c r="AR6" s="94">
        <f>god+9</f>
        <v>2035</v>
      </c>
      <c r="AS6" s="94" cm="1" t="str">
        <f t="array" ref="AS6:AS6">god</f>
        <v>2026</v>
      </c>
      <c r="AT6" s="94">
        <f>god+1</f>
        <v>2027</v>
      </c>
      <c r="AU6" s="94">
        <f>god+2</f>
        <v>2028</v>
      </c>
      <c r="AV6" s="94">
        <f>god+3</f>
        <v>2029</v>
      </c>
      <c r="AW6" s="94">
        <f>god+4</f>
        <v>2030</v>
      </c>
      <c r="AX6" s="94">
        <f>god+5</f>
        <v>2031</v>
      </c>
      <c r="AY6" s="94">
        <f>god+6</f>
        <v>2032</v>
      </c>
      <c r="AZ6" s="94">
        <f>god+7</f>
        <v>2033</v>
      </c>
      <c r="BA6" s="94">
        <f>god+8</f>
        <v>2034</v>
      </c>
      <c r="BB6" s="94">
        <f>god+9</f>
        <v>2035</v>
      </c>
    </row>
    <row customHeight="1" ht="11.25" hidden="1">
      <c r="A7" s="145" t="s">
        <v>372</v>
      </c>
      <c r="AE7" s="145" cm="1" t="str">
        <f t="array" ref="AE7:AE7">AE25</f>
        <v>Принято органом регулирования</v>
      </c>
      <c r="AF7" s="145" cm="1" t="str">
        <f t="array" ref="AF7:AF7">AF25</f>
        <v>Факт по данным организации</v>
      </c>
      <c r="AG7" s="145" cm="1" t="str">
        <f t="array" ref="AG7:AG7">AG25</f>
        <v>Факт, принятый органом регулирования</v>
      </c>
      <c r="AH7" s="145" cm="1" t="str">
        <f t="array" ref="AH7:AH7">AH25</f>
        <v>Принято органом регулирования</v>
      </c>
      <c r="AI7" s="145" cm="1" t="str">
        <f t="array" ref="AI7:AI7">AI25</f>
        <v>Предложение организации</v>
      </c>
      <c r="AJ7" s="145" cm="1" t="str">
        <f t="array" ref="AJ7:AJ7">AJ25</f>
        <v>Предложение организации</v>
      </c>
      <c r="AK7" s="145" cm="1" t="str">
        <f t="array" ref="AK7:AK7">AK25</f>
        <v>Предложение организации</v>
      </c>
      <c r="AL7" s="145" cm="1" t="str">
        <f t="array" ref="AL7:AL7">AL25</f>
        <v>Предложение организации</v>
      </c>
      <c r="AM7" s="145" cm="1" t="str">
        <f t="array" ref="AM7:AM7">AM25</f>
        <v>Предложение организации</v>
      </c>
      <c r="AN7" s="145" cm="1" t="str">
        <f t="array" ref="AN7:AN7">AN25</f>
        <v>Предложение организации</v>
      </c>
      <c r="AO7" s="145" cm="1" t="str">
        <f t="array" ref="AO7:AO7">AO25</f>
        <v>Предложение организации</v>
      </c>
      <c r="AP7" s="145" cm="1" t="str">
        <f t="array" ref="AP7:AP7">AP25</f>
        <v>Предложение организации</v>
      </c>
      <c r="AQ7" s="145" cm="1" t="str">
        <f t="array" ref="AQ7:AQ7">AQ25</f>
        <v>Предложение организации</v>
      </c>
      <c r="AR7" s="145" cm="1" t="str">
        <f t="array" ref="AR7:AR7">AR25</f>
        <v>Предложение организации</v>
      </c>
      <c r="AS7" s="145" cm="1" t="str">
        <f t="array" ref="AS7:AS7">AS25</f>
        <v>Принято органом регулирования</v>
      </c>
      <c r="AT7" s="145" cm="1" t="str">
        <f t="array" ref="AT7:AT7">AT25</f>
        <v>Принято органом регулирования</v>
      </c>
      <c r="AU7" s="145" cm="1" t="str">
        <f t="array" ref="AU7:AU7">AU25</f>
        <v>Принято органом регулирования</v>
      </c>
      <c r="AV7" s="145" cm="1" t="str">
        <f t="array" ref="AV7:AV7">AV25</f>
        <v>Принято органом регулирования</v>
      </c>
      <c r="AW7" s="145" cm="1" t="str">
        <f t="array" ref="AW7:AW7">AW25</f>
        <v>Принято органом регулирования</v>
      </c>
      <c r="AX7" s="145" cm="1" t="str">
        <f t="array" ref="AX7:AX7">AX25</f>
        <v>Принято органом регулирования</v>
      </c>
      <c r="AY7" s="145" cm="1" t="str">
        <f t="array" ref="AY7:AY7">AY25</f>
        <v>Принято органом регулирования</v>
      </c>
      <c r="AZ7" s="145" cm="1" t="str">
        <f t="array" ref="AZ7:AZ7">AZ25</f>
        <v>Принято органом регулирования</v>
      </c>
      <c r="BA7" s="145" cm="1" t="str">
        <f t="array" ref="BA7:BA7">BA25</f>
        <v>Принято органом регулирования</v>
      </c>
      <c r="BB7" s="145" cm="1" t="str">
        <f t="array" ref="BB7:BB7">BB25</f>
        <v>Принято органом регулирования</v>
      </c>
    </row>
    <row customHeight="1" ht="11.25" hidden="1">
      <c r="AI8" s="1331"/>
      <c r="AJ8" s="1331"/>
      <c r="AK8" s="1331"/>
      <c r="AL8" s="1331"/>
      <c r="AM8" s="1331"/>
      <c r="AN8" s="1331"/>
      <c r="AO8" s="1331"/>
      <c r="AP8" s="1331"/>
      <c r="AQ8" s="1331"/>
      <c r="AR8" s="1331"/>
      <c r="AS8" s="1331"/>
      <c r="AT8" s="1331"/>
      <c r="AU8" s="1331"/>
      <c r="AV8" s="1331"/>
      <c r="AW8" s="1331"/>
      <c r="AX8" s="1331"/>
      <c r="AY8" s="1331"/>
      <c r="AZ8" s="1331"/>
      <c r="BA8" s="1331"/>
      <c r="BB8" s="1331"/>
    </row>
    <row s="1245" customFormat="1" customHeight="1" ht="11.25" hidden="1">
      <c r="A9" s="1046" t="s">
        <v>376</v>
      </c>
      <c r="B9" s="1045"/>
      <c r="AE9" s="1046" cm="1" t="str">
        <f t="array" ref="AE9:AE9">AE6</f>
        <v>2024</v>
      </c>
      <c r="AF9" s="1046" cm="1" t="str">
        <f t="array" ref="AF9:AF9">AF6</f>
        <v>2024</v>
      </c>
      <c r="AG9" s="1046" cm="1" t="str">
        <f t="array" ref="AG9:AG9">AG6</f>
        <v>2024</v>
      </c>
      <c r="AH9" s="1046" cm="1" t="str">
        <f t="array" ref="AH9:AH9">AH6</f>
        <v>2025</v>
      </c>
      <c r="AI9" s="1046" cm="1" t="str">
        <f t="array" ref="AI9:AI9">AI6</f>
        <v>2026</v>
      </c>
      <c r="AJ9" s="1046" cm="1" t="str">
        <f t="array" ref="AJ9:AJ9">AJ6</f>
        <v>2027</v>
      </c>
      <c r="AK9" s="1046" cm="1" t="str">
        <f t="array" ref="AK9:AK9">AK6</f>
        <v>2028</v>
      </c>
      <c r="AL9" s="1046" cm="1" t="str">
        <f t="array" ref="AL9:AL9">AL6</f>
        <v>2029</v>
      </c>
      <c r="AM9" s="1046" cm="1" t="str">
        <f t="array" ref="AM9:AM9">AM6</f>
        <v>2030</v>
      </c>
      <c r="AN9" s="1046" cm="1" t="str">
        <f t="array" ref="AN9:AN9">AN6</f>
        <v>2031</v>
      </c>
      <c r="AO9" s="1046" cm="1" t="str">
        <f t="array" ref="AO9:AO9">AO6</f>
        <v>2032</v>
      </c>
      <c r="AP9" s="1046" cm="1" t="str">
        <f t="array" ref="AP9:AP9">AP6</f>
        <v>2033</v>
      </c>
      <c r="AQ9" s="1046" cm="1" t="str">
        <f t="array" ref="AQ9:AQ9">AQ6</f>
        <v>2034</v>
      </c>
      <c r="AR9" s="1046" cm="1" t="str">
        <f t="array" ref="AR9:AR9">AR6</f>
        <v>2035</v>
      </c>
      <c r="AS9" s="1046" cm="1" t="str">
        <f t="array" ref="AS9:AS9">AS6</f>
        <v>2026</v>
      </c>
      <c r="AT9" s="1046" cm="1" t="str">
        <f t="array" ref="AT9:AT9">AT6</f>
        <v>2027</v>
      </c>
      <c r="AU9" s="1046" cm="1" t="str">
        <f t="array" ref="AU9:AU9">AU6</f>
        <v>2028</v>
      </c>
      <c r="AV9" s="1046" cm="1" t="str">
        <f t="array" ref="AV9:AV9">AV6</f>
        <v>2029</v>
      </c>
      <c r="AW9" s="1046" cm="1" t="str">
        <f t="array" ref="AW9:AW9">AW6</f>
        <v>2030</v>
      </c>
      <c r="AX9" s="1046" cm="1" t="str">
        <f t="array" ref="AX9:AX9">AX6</f>
        <v>2031</v>
      </c>
      <c r="AY9" s="1046" cm="1" t="str">
        <f t="array" ref="AY9:AY9">AY6</f>
        <v>2032</v>
      </c>
      <c r="AZ9" s="1046" cm="1" t="str">
        <f t="array" ref="AZ9:AZ9">AZ6</f>
        <v>2033</v>
      </c>
      <c r="BA9" s="1046" cm="1" t="str">
        <f t="array" ref="BA9:BA9">BA6</f>
        <v>2034</v>
      </c>
      <c r="BB9" s="1046" cm="1" t="str">
        <f t="array" ref="BB9:BB9">BB6</f>
        <v>2035</v>
      </c>
      <c r="BI9" s="682"/>
      <c r="BJ9" s="682"/>
    </row>
    <row s="1245" customFormat="1" customHeight="1" ht="11.25" hidden="1">
      <c r="A10" s="1046" t="s">
        <v>377</v>
      </c>
      <c r="B10" s="1045"/>
      <c r="AE10" s="1046" cm="1" t="str">
        <f t="array" ref="AE10:AE10">AE25</f>
        <v>Принято органом регулирования</v>
      </c>
      <c r="AF10" s="1046" cm="1" t="str">
        <f t="array" ref="AF10:AF10">AF25</f>
        <v>Факт по данным организации</v>
      </c>
      <c r="AG10" s="1046" cm="1" t="str">
        <f t="array" ref="AG10:AG10">AG25</f>
        <v>Факт, принятый органом регулирования</v>
      </c>
      <c r="AH10" s="1046" cm="1" t="str">
        <f t="array" ref="AH10:AH10">AH25</f>
        <v>Принято органом регулирования</v>
      </c>
      <c r="AI10" s="1046" cm="1" t="str">
        <f t="array" ref="AI10:AI10">AI25</f>
        <v>Предложение организации</v>
      </c>
      <c r="AJ10" s="1046" cm="1" t="str">
        <f t="array" ref="AJ10:AJ10">AJ25</f>
        <v>Предложение организации</v>
      </c>
      <c r="AK10" s="1046" cm="1" t="str">
        <f t="array" ref="AK10:AK10">AK25</f>
        <v>Предложение организации</v>
      </c>
      <c r="AL10" s="1046" cm="1" t="str">
        <f t="array" ref="AL10:AL10">AL25</f>
        <v>Предложение организации</v>
      </c>
      <c r="AM10" s="1046" cm="1" t="str">
        <f t="array" ref="AM10:AM10">AM25</f>
        <v>Предложение организации</v>
      </c>
      <c r="AN10" s="1046" cm="1" t="str">
        <f t="array" ref="AN10:AN10">AN25</f>
        <v>Предложение организации</v>
      </c>
      <c r="AO10" s="1046" cm="1" t="str">
        <f t="array" ref="AO10:AO10">AO25</f>
        <v>Предложение организации</v>
      </c>
      <c r="AP10" s="1046" cm="1" t="str">
        <f t="array" ref="AP10:AP10">AP25</f>
        <v>Предложение организации</v>
      </c>
      <c r="AQ10" s="1046" cm="1" t="str">
        <f t="array" ref="AQ10:AQ10">AQ25</f>
        <v>Предложение организации</v>
      </c>
      <c r="AR10" s="1046" cm="1" t="str">
        <f t="array" ref="AR10:AR10">AR25</f>
        <v>Предложение организации</v>
      </c>
      <c r="AS10" s="1046" cm="1" t="str">
        <f t="array" ref="AS10:AS10">AS25</f>
        <v>Принято органом регулирования</v>
      </c>
      <c r="AT10" s="1046" cm="1" t="str">
        <f t="array" ref="AT10:AT10">AT25</f>
        <v>Принято органом регулирования</v>
      </c>
      <c r="AU10" s="1046" cm="1" t="str">
        <f t="array" ref="AU10:AU10">AU25</f>
        <v>Принято органом регулирования</v>
      </c>
      <c r="AV10" s="1046" cm="1" t="str">
        <f t="array" ref="AV10:AV10">AV25</f>
        <v>Принято органом регулирования</v>
      </c>
      <c r="AW10" s="1046" cm="1" t="str">
        <f t="array" ref="AW10:AW10">AW25</f>
        <v>Принято органом регулирования</v>
      </c>
      <c r="AX10" s="1046" cm="1" t="str">
        <f t="array" ref="AX10:AX10">AX25</f>
        <v>Принято органом регулирования</v>
      </c>
      <c r="AY10" s="1046" cm="1" t="str">
        <f t="array" ref="AY10:AY10">AY25</f>
        <v>Принято органом регулирования</v>
      </c>
      <c r="AZ10" s="1046" cm="1" t="str">
        <f t="array" ref="AZ10:AZ10">AZ25</f>
        <v>Принято органом регулирования</v>
      </c>
      <c r="BA10" s="1046" cm="1" t="str">
        <f t="array" ref="BA10:BA10">BA25</f>
        <v>Принято органом регулирования</v>
      </c>
      <c r="BB10" s="1046" cm="1" t="str">
        <f t="array" ref="BB10:BB10">BB25</f>
        <v>Принято органом регулирования</v>
      </c>
      <c r="BI10" s="682"/>
      <c r="BJ10" s="682"/>
    </row>
    <row s="1245" customFormat="1" customHeight="1" ht="11.25" hidden="1">
      <c r="A11" s="1046" t="s">
        <v>378</v>
      </c>
      <c r="B11" s="1045"/>
      <c r="AI11" s="1245"/>
      <c r="AJ11" s="1245"/>
      <c r="AK11" s="1245"/>
      <c r="AL11" s="1245"/>
      <c r="AM11" s="1245"/>
      <c r="AN11" s="1245"/>
      <c r="AO11" s="1245"/>
      <c r="AP11" s="1245"/>
      <c r="AQ11" s="1245"/>
      <c r="AR11" s="1245"/>
      <c r="AS11" s="1245"/>
      <c r="AT11" s="1245"/>
      <c r="AU11" s="1245"/>
      <c r="AV11" s="1245"/>
      <c r="AW11" s="1245"/>
      <c r="AX11" s="1245"/>
      <c r="AY11" s="1245"/>
      <c r="AZ11" s="1245"/>
      <c r="BA11" s="1245"/>
      <c r="BB11" s="1245"/>
      <c r="BC11" s="1046" cm="1" t="str">
        <f t="array" ref="BC11:BC11">BC24</f>
        <v>Ссылка на правовую норму (основание для принятия показателя в расчет тарифа)</v>
      </c>
      <c r="BI11" s="682"/>
      <c r="BJ11" s="682"/>
    </row>
    <row s="1245" customFormat="1" customHeight="1" ht="11.25" hidden="1">
      <c r="A12" s="1046" t="s">
        <v>350</v>
      </c>
      <c r="B12" s="1045"/>
      <c r="AC12" s="1046" t="s">
        <v>338</v>
      </c>
      <c r="AI12" s="1245"/>
      <c r="AJ12" s="1245"/>
      <c r="AK12" s="1245"/>
      <c r="AL12" s="1245"/>
      <c r="AM12" s="1245"/>
      <c r="AN12" s="1245"/>
      <c r="AO12" s="1245"/>
      <c r="AP12" s="1245"/>
      <c r="AQ12" s="1245"/>
      <c r="AR12" s="1245"/>
      <c r="AS12" s="1245"/>
      <c r="AT12" s="1245"/>
      <c r="AU12" s="1245"/>
      <c r="AV12" s="1245"/>
      <c r="AW12" s="1245"/>
      <c r="AX12" s="1245"/>
      <c r="AY12" s="1245"/>
      <c r="AZ12" s="1245"/>
      <c r="BA12" s="1245"/>
      <c r="BB12" s="1245"/>
      <c r="BI12" s="682"/>
      <c r="BJ12" s="682"/>
    </row>
    <row customHeight="1" ht="11.25" hidden="1">
      <c r="AI13" s="94"/>
      <c r="AJ13" s="94"/>
      <c r="AK13" s="94"/>
      <c r="AL13" s="94"/>
      <c r="AM13" s="94"/>
      <c r="AN13" s="94"/>
      <c r="AO13" s="94"/>
      <c r="AP13" s="94"/>
      <c r="AQ13" s="94"/>
      <c r="AR13" s="94"/>
      <c r="AS13" s="94"/>
      <c r="AT13" s="94"/>
      <c r="AU13" s="94"/>
      <c r="AV13" s="94"/>
      <c r="AW13" s="94"/>
      <c r="AX13" s="94"/>
      <c r="AY13" s="94"/>
      <c r="AZ13" s="94"/>
      <c r="BA13" s="94"/>
      <c r="BB13" s="94"/>
    </row>
    <row customHeight="1" ht="11.25" hidden="1">
      <c r="AI14" s="94"/>
      <c r="AJ14" s="94"/>
      <c r="AK14" s="94"/>
      <c r="AL14" s="94"/>
      <c r="AM14" s="94"/>
      <c r="AN14" s="94"/>
      <c r="AO14" s="94"/>
      <c r="AP14" s="94"/>
      <c r="AQ14" s="94"/>
      <c r="AR14" s="94"/>
      <c r="AS14" s="94"/>
      <c r="AT14" s="94"/>
      <c r="AU14" s="94"/>
      <c r="AV14" s="94"/>
      <c r="AW14" s="94"/>
      <c r="AX14" s="94"/>
      <c r="AY14" s="94"/>
      <c r="AZ14" s="94"/>
      <c r="BA14" s="94"/>
      <c r="BB14" s="94"/>
    </row>
    <row customHeight="1" ht="11.25" hidden="1">
      <c r="AI15" s="94"/>
      <c r="AJ15" s="94"/>
      <c r="AK15" s="94"/>
      <c r="AL15" s="94"/>
      <c r="AM15" s="94"/>
      <c r="AN15" s="94"/>
      <c r="AO15" s="94"/>
      <c r="AP15" s="94"/>
      <c r="AQ15" s="94"/>
      <c r="AR15" s="94"/>
      <c r="AS15" s="94"/>
      <c r="AT15" s="94"/>
      <c r="AU15" s="94"/>
      <c r="AV15" s="94"/>
      <c r="AW15" s="94"/>
      <c r="AX15" s="94"/>
      <c r="AY15" s="94"/>
      <c r="AZ15" s="94"/>
      <c r="BA15" s="94"/>
      <c r="BB15" s="94"/>
    </row>
    <row customHeight="1" ht="11.25" hidden="1">
      <c r="AI16" s="94"/>
      <c r="AJ16" s="94"/>
      <c r="AK16" s="94"/>
      <c r="AL16" s="94"/>
      <c r="AM16" s="94"/>
      <c r="AN16" s="94"/>
      <c r="AO16" s="94"/>
      <c r="AP16" s="94"/>
      <c r="AQ16" s="94"/>
      <c r="AR16" s="94"/>
      <c r="AS16" s="94"/>
      <c r="AT16" s="94"/>
      <c r="AU16" s="94"/>
      <c r="AV16" s="94"/>
      <c r="AW16" s="94"/>
      <c r="AX16" s="94"/>
      <c r="AY16" s="94"/>
      <c r="AZ16" s="94"/>
      <c r="BA16" s="94"/>
      <c r="BB16" s="94"/>
    </row>
    <row customHeight="1" ht="11.25" hidden="1">
      <c r="AI17" s="1331"/>
      <c r="AJ17" s="1331"/>
      <c r="AK17" s="1331"/>
      <c r="AL17" s="1331"/>
      <c r="AM17" s="1331"/>
      <c r="AN17" s="1331"/>
      <c r="AO17" s="1331"/>
      <c r="AP17" s="1331"/>
      <c r="AQ17" s="1331"/>
      <c r="AR17" s="1331"/>
      <c r="AS17" s="1331"/>
      <c r="AT17" s="1331"/>
      <c r="AU17" s="1331"/>
      <c r="AV17" s="1331"/>
      <c r="AW17" s="1331"/>
      <c r="AX17" s="1331"/>
      <c r="AY17" s="1331"/>
      <c r="AZ17" s="1331"/>
      <c r="BA17" s="1331"/>
      <c r="BB17" s="1331"/>
    </row>
    <row customHeight="1" ht="11.25" hidden="1">
      <c r="A18" s="145" t="s">
        <v>379</v>
      </c>
      <c r="AC18" s="145" t="s">
        <v>380</v>
      </c>
      <c r="AI18" s="1331"/>
      <c r="AJ18" s="1331"/>
      <c r="AK18" s="1331"/>
      <c r="AL18" s="1331"/>
      <c r="AM18" s="1331"/>
      <c r="AN18" s="1331"/>
      <c r="AO18" s="1331"/>
      <c r="AP18" s="1331"/>
      <c r="AQ18" s="1331"/>
      <c r="AR18" s="1331"/>
      <c r="AS18" s="1331"/>
      <c r="AT18" s="1331"/>
      <c r="AU18" s="1331"/>
      <c r="AV18" s="1331"/>
      <c r="AW18" s="1331"/>
      <c r="AX18" s="1331"/>
      <c r="AY18" s="1331"/>
      <c r="AZ18" s="1331"/>
      <c r="BA18" s="1331"/>
      <c r="BB18" s="1331"/>
    </row>
    <row customHeight="1" ht="11.25" hidden="1">
      <c r="AI19" s="1331"/>
      <c r="AJ19" s="1331"/>
      <c r="AK19" s="1331"/>
      <c r="AL19" s="1331"/>
      <c r="AM19" s="1331"/>
      <c r="AN19" s="1331"/>
      <c r="AO19" s="1331"/>
      <c r="AP19" s="1331"/>
      <c r="AQ19" s="1331"/>
      <c r="AR19" s="1331"/>
      <c r="AS19" s="1331"/>
      <c r="AT19" s="1331"/>
      <c r="AU19" s="1331"/>
      <c r="AV19" s="1331"/>
      <c r="AW19" s="1331"/>
      <c r="AX19" s="1331"/>
      <c r="AY19" s="1331"/>
      <c r="AZ19" s="1331"/>
      <c r="BA19" s="1331"/>
      <c r="BB19" s="1331"/>
    </row>
    <row customHeight="1" ht="11.25" hidden="1">
      <c r="AI20" s="1331"/>
      <c r="AJ20" s="1331"/>
      <c r="AK20" s="1331"/>
      <c r="AL20" s="1331"/>
      <c r="AM20" s="1331"/>
      <c r="AN20" s="1331"/>
      <c r="AO20" s="1331"/>
      <c r="AP20" s="1331"/>
      <c r="AQ20" s="1331"/>
      <c r="AR20" s="1331"/>
      <c r="AS20" s="1331"/>
      <c r="AT20" s="1331"/>
      <c r="AU20" s="1331"/>
      <c r="AV20" s="1331"/>
      <c r="AW20" s="1331"/>
      <c r="AX20" s="1331"/>
      <c r="AY20" s="1331"/>
      <c r="AZ20" s="1331"/>
      <c r="BA20" s="1331"/>
      <c r="BB20" s="1331"/>
    </row>
    <row customHeight="1" ht="14.625">
      <c r="E21" s="682">
        <v>15</v>
      </c>
      <c r="AA21" s="427"/>
      <c r="AC21" s="362" cm="1" t="str">
        <f t="array" ref="AC21:AC21">tpl_title</f>
        <v>Кемеровская область / 2026 / ОАО «СКЭК» (ИНН:4205153492, КПП:420501001) / ДПР: 2024-2028</v>
      </c>
      <c r="AI21" s="1331"/>
      <c r="AJ21" s="1331"/>
      <c r="AK21" s="1331"/>
      <c r="AL21" s="1331"/>
      <c r="AM21" s="1331"/>
      <c r="AN21" s="1331"/>
      <c r="AO21" s="1331"/>
      <c r="AP21" s="1331"/>
      <c r="AQ21" s="1331"/>
      <c r="AR21" s="1331"/>
      <c r="AS21" s="1331"/>
      <c r="AT21" s="1331"/>
      <c r="AU21" s="1331"/>
      <c r="AV21" s="1331"/>
      <c r="AW21" s="1331"/>
      <c r="AX21" s="1331"/>
      <c r="AY21" s="1331"/>
      <c r="AZ21" s="1331"/>
      <c r="BA21" s="1331"/>
      <c r="BB21" s="1331"/>
    </row>
    <row customHeight="1" ht="19.5">
      <c r="E22" s="682">
        <v>20</v>
      </c>
      <c r="AB22" s="316" t="s">
        <v>68</v>
      </c>
      <c r="AC22" s="222"/>
      <c r="AD22" s="222"/>
      <c r="AE22" s="222"/>
      <c r="AF22" s="222"/>
      <c r="AG22" s="222"/>
      <c r="AH22" s="222"/>
      <c r="AI22" s="222"/>
      <c r="AJ22" s="222"/>
      <c r="AK22" s="222"/>
      <c r="AL22" s="222"/>
      <c r="AM22" s="222"/>
      <c r="AN22" s="222"/>
      <c r="AO22" s="222"/>
      <c r="AP22" s="222"/>
      <c r="AQ22" s="222"/>
      <c r="AR22" s="222"/>
      <c r="AS22" s="222"/>
      <c r="AT22" s="222"/>
      <c r="AU22" s="222"/>
      <c r="AV22" s="222"/>
      <c r="AW22" s="222"/>
      <c r="AX22" s="222"/>
      <c r="AY22" s="222"/>
      <c r="AZ22" s="222"/>
      <c r="BA22" s="222"/>
      <c r="BB22" s="222"/>
      <c r="BC22" s="219"/>
    </row>
    <row customHeight="1" ht="10.96875">
      <c r="E23" s="682">
        <v>11.25</v>
      </c>
      <c r="AI23" s="1331"/>
      <c r="AJ23" s="1331"/>
      <c r="AK23" s="1331"/>
      <c r="AL23" s="1331"/>
      <c r="AM23" s="1331"/>
      <c r="AN23" s="1331"/>
      <c r="AO23" s="1331"/>
      <c r="AP23" s="1331"/>
      <c r="AQ23" s="1331"/>
      <c r="AR23" s="1331"/>
      <c r="AS23" s="1331"/>
      <c r="AT23" s="1331"/>
      <c r="AU23" s="1331"/>
      <c r="AV23" s="1331"/>
      <c r="AW23" s="1331"/>
      <c r="AX23" s="1331"/>
      <c r="AY23" s="1331"/>
      <c r="AZ23" s="1331"/>
      <c r="BA23" s="1331"/>
      <c r="BB23" s="1331"/>
    </row>
    <row s="1331" customFormat="1" customHeight="1" ht="14.625">
      <c r="B24" s="430"/>
      <c r="E24" s="623">
        <v>15</v>
      </c>
      <c r="AB24" s="1553" t="s">
        <v>22</v>
      </c>
      <c r="AC24" s="1553" t="s">
        <v>380</v>
      </c>
      <c r="AD24" s="1553" t="s">
        <v>1190</v>
      </c>
      <c r="AE24" s="355" t="str">
        <f>god-2&amp;" год"</f>
        <v>2024 год</v>
      </c>
      <c r="AF24" s="1130" t="str">
        <f>god-2&amp;" год"</f>
        <v>2024 год</v>
      </c>
      <c r="AG24" s="355" t="str">
        <f>god-2&amp;" год"</f>
        <v>2024 год</v>
      </c>
      <c r="AH24" s="90" t="str">
        <f>god-1&amp;" год"</f>
        <v>2025 год</v>
      </c>
      <c r="AI24" s="1127" t="str">
        <f>god&amp;" год"</f>
        <v>2026 год</v>
      </c>
      <c r="AJ24" s="1127" t="str">
        <f>god+1&amp;" год"</f>
        <v>2027 год</v>
      </c>
      <c r="AK24" s="1127" t="str">
        <f>god+2&amp;" год"</f>
        <v>2028 год</v>
      </c>
      <c r="AL24" s="1127" t="str">
        <f>god+3&amp;" год"</f>
        <v>2029 год</v>
      </c>
      <c r="AM24" s="1127" t="str">
        <f>god+4&amp;" год"</f>
        <v>2030 год</v>
      </c>
      <c r="AN24" s="1127" t="str">
        <f>god+5&amp;" год"</f>
        <v>2031 год</v>
      </c>
      <c r="AO24" s="1127" t="str">
        <f>god+6&amp;" год"</f>
        <v>2032 год</v>
      </c>
      <c r="AP24" s="1127" t="str">
        <f>god+7&amp;" год"</f>
        <v>2033 год</v>
      </c>
      <c r="AQ24" s="1127" t="str">
        <f>god+8&amp;" год"</f>
        <v>2034 год</v>
      </c>
      <c r="AR24" s="1127" t="str">
        <f>god+9&amp;" год"</f>
        <v>2035 год</v>
      </c>
      <c r="AS24" s="88" t="str">
        <f>god&amp;" год"</f>
        <v>2026 год</v>
      </c>
      <c r="AT24" s="88" t="str">
        <f>god+1&amp;" год"</f>
        <v>2027 год</v>
      </c>
      <c r="AU24" s="88" t="str">
        <f>god+2&amp;" год"</f>
        <v>2028 год</v>
      </c>
      <c r="AV24" s="88" t="str">
        <f>god+3&amp;" год"</f>
        <v>2029 год</v>
      </c>
      <c r="AW24" s="88" t="str">
        <f>god+4&amp;" год"</f>
        <v>2030 год</v>
      </c>
      <c r="AX24" s="88" t="str">
        <f>god+5&amp;" год"</f>
        <v>2031 год</v>
      </c>
      <c r="AY24" s="88" t="str">
        <f>god+6&amp;" год"</f>
        <v>2032 год</v>
      </c>
      <c r="AZ24" s="88" t="str">
        <f>god+7&amp;" год"</f>
        <v>2033 год</v>
      </c>
      <c r="BA24" s="88" t="str">
        <f>god+8&amp;" год"</f>
        <v>2034 год</v>
      </c>
      <c r="BB24" s="88" t="str">
        <f>god+9&amp;" год"</f>
        <v>2035 год</v>
      </c>
      <c r="BC24" s="1601" t="s">
        <v>652</v>
      </c>
      <c r="BF24" s="1005"/>
      <c r="BG24" s="1005"/>
      <c r="BH24" s="1005"/>
      <c r="BI24" s="623"/>
      <c r="BJ24" s="623"/>
    </row>
    <row s="1331" customFormat="1" customHeight="1" ht="48.75">
      <c r="B25" s="430"/>
      <c r="E25" s="623">
        <v>50</v>
      </c>
      <c r="AB25" s="1553"/>
      <c r="AC25" s="1553"/>
      <c r="AD25" s="1553"/>
      <c r="AE25" s="88" t="s">
        <v>373</v>
      </c>
      <c r="AF25" s="1127" t="s">
        <v>555</v>
      </c>
      <c r="AG25" s="88" t="s">
        <v>556</v>
      </c>
      <c r="AH25" s="88" t="s">
        <v>373</v>
      </c>
      <c r="AI25" s="1131" t="s">
        <v>374</v>
      </c>
      <c r="AJ25" s="1131" t="s">
        <v>374</v>
      </c>
      <c r="AK25" s="1131" t="s">
        <v>374</v>
      </c>
      <c r="AL25" s="1131" t="s">
        <v>374</v>
      </c>
      <c r="AM25" s="1131" t="s">
        <v>374</v>
      </c>
      <c r="AN25" s="1131" t="s">
        <v>374</v>
      </c>
      <c r="AO25" s="1131" t="s">
        <v>374</v>
      </c>
      <c r="AP25" s="1131" t="s">
        <v>374</v>
      </c>
      <c r="AQ25" s="1131" t="s">
        <v>374</v>
      </c>
      <c r="AR25" s="1131" t="s">
        <v>374</v>
      </c>
      <c r="AS25" s="356" t="s">
        <v>373</v>
      </c>
      <c r="AT25" s="356" t="s">
        <v>373</v>
      </c>
      <c r="AU25" s="356" t="s">
        <v>373</v>
      </c>
      <c r="AV25" s="356" t="s">
        <v>373</v>
      </c>
      <c r="AW25" s="356" t="s">
        <v>373</v>
      </c>
      <c r="AX25" s="356" t="s">
        <v>373</v>
      </c>
      <c r="AY25" s="356" t="s">
        <v>373</v>
      </c>
      <c r="AZ25" s="356" t="s">
        <v>373</v>
      </c>
      <c r="BA25" s="356" t="s">
        <v>373</v>
      </c>
      <c r="BB25" s="356" t="s">
        <v>373</v>
      </c>
      <c r="BC25" s="1601"/>
      <c r="BF25" s="1005"/>
      <c r="BG25" s="1005"/>
      <c r="BH25" s="1005"/>
      <c r="BI25" s="623"/>
      <c r="BJ25" s="623"/>
    </row>
    <row s="1656" customFormat="1" customHeight="1" ht="11.25">
      <c r="B26" s="432"/>
      <c r="E26" s="677" t="s">
        <v>384</v>
      </c>
      <c r="F26" s="81"/>
      <c r="AC26" s="96"/>
      <c r="AD26" s="96"/>
      <c r="AE26" s="96"/>
      <c r="AF26" s="96"/>
      <c r="AI26" s="1656"/>
      <c r="AJ26" s="1656"/>
      <c r="AK26" s="1656"/>
      <c r="AL26" s="1656"/>
      <c r="AM26" s="1656"/>
      <c r="AN26" s="1656"/>
      <c r="AO26" s="1656"/>
      <c r="AP26" s="1656"/>
      <c r="AQ26" s="97"/>
      <c r="AR26" s="1656"/>
      <c r="AS26" s="1656"/>
      <c r="AT26" s="1656"/>
      <c r="AU26" s="1656"/>
      <c r="AV26" s="1656"/>
      <c r="AW26" s="1656"/>
      <c r="AX26" s="1656"/>
      <c r="AY26" s="1656"/>
      <c r="AZ26" s="1656"/>
      <c r="BA26" s="1656"/>
      <c r="BB26" s="1656"/>
      <c r="BF26" s="1012"/>
      <c r="BG26" s="1012"/>
      <c r="BH26" s="1012"/>
      <c r="BI26" s="629"/>
      <c r="BJ26" s="629"/>
    </row>
    <row s="1331" customFormat="1" customHeight="1" ht="14.625" hidden="1">
      <c r="A27" s="1331"/>
      <c r="B27" s="430"/>
      <c r="C27" s="1331"/>
      <c r="D27" s="1331"/>
      <c r="E27" s="623">
        <v>15</v>
      </c>
      <c r="F27" s="94" cm="1" t="str">
        <f t="array" ref="F27:F27">X27</f>
        <v>0</v>
      </c>
      <c r="G27" s="1331"/>
      <c r="H27" s="1331"/>
      <c r="I27" s="1331"/>
      <c r="J27" s="1331"/>
      <c r="K27" s="1331"/>
      <c r="L27" s="1331"/>
      <c r="M27" s="1331"/>
      <c r="N27" s="1331"/>
      <c r="O27" s="1331"/>
      <c r="P27" s="1331"/>
      <c r="Q27" s="1331"/>
      <c r="R27" s="1331"/>
      <c r="S27" s="1331"/>
      <c r="T27" s="468">
        <f>X27&gt;0</f>
        <v>0</v>
      </c>
      <c r="U27" s="1331"/>
      <c r="V27" s="118" t="s">
        <v>279</v>
      </c>
      <c r="W27" s="1331"/>
      <c r="X27" s="1539">
        <v>0</v>
      </c>
      <c r="Y27" s="1331"/>
      <c r="Z27" s="1529"/>
      <c r="AA27" s="1331"/>
      <c r="AB27" s="218" cm="1" t="str">
        <f t="array" ref="AB27:AB27">INDEX('Общие сведения'!$AG$197:$AG$254,MATCH($X27,'Общие сведения'!$Z$197:$Z$254,0))</f>
        <v>Тариф 0 () - </v>
      </c>
      <c r="AC27" s="176"/>
      <c r="AD27" s="176"/>
      <c r="AE27" s="176"/>
      <c r="AF27" s="176"/>
      <c r="AG27" s="176"/>
      <c r="AH27" s="176"/>
      <c r="AI27" s="176"/>
      <c r="AJ27" s="176"/>
      <c r="AK27" s="176"/>
      <c r="AL27" s="176"/>
      <c r="AM27" s="176"/>
      <c r="AN27" s="176"/>
      <c r="AO27" s="176"/>
      <c r="AP27" s="176"/>
      <c r="AQ27" s="176"/>
      <c r="AR27" s="176"/>
      <c r="AS27" s="176"/>
      <c r="AT27" s="176"/>
      <c r="AU27" s="176"/>
      <c r="AV27" s="176"/>
      <c r="AW27" s="176"/>
      <c r="AX27" s="176"/>
      <c r="AY27" s="176"/>
      <c r="AZ27" s="176"/>
      <c r="BA27" s="176"/>
      <c r="BB27" s="176"/>
      <c r="BC27" s="176"/>
      <c r="BD27" s="1331"/>
      <c r="BE27" s="1331"/>
      <c r="BF27" s="1005"/>
      <c r="BG27" s="1005"/>
      <c r="BH27" s="1005"/>
      <c r="BI27" s="623"/>
      <c r="BJ27" s="623"/>
    </row>
    <row s="1331" customFormat="1" customHeight="1" ht="21.9375" hidden="1">
      <c r="A28" s="1331"/>
      <c r="B28" s="430"/>
      <c r="C28" s="1331"/>
      <c r="D28" s="1331"/>
      <c r="E28" s="623">
        <v>22.5</v>
      </c>
      <c r="F28" s="50" cm="1" t="str">
        <f t="array" ref="F28:F28">OFFSET(E28,-1,1)</f>
        <v>0</v>
      </c>
      <c r="G28" s="118" t="s">
        <v>1444</v>
      </c>
      <c r="H28" s="1331"/>
      <c r="I28" s="1331"/>
      <c r="J28" s="1331"/>
      <c r="K28" s="120" t="str">
        <f>F28&amp;"komm"</f>
        <v>0komm</v>
      </c>
      <c r="L28" s="926" cm="1" t="str">
        <f t="array" ref="L28:L28">BC28</f>
        <v>0</v>
      </c>
      <c r="M28" s="1331"/>
      <c r="N28" s="1331"/>
      <c r="O28" s="1331"/>
      <c r="P28" s="1331"/>
      <c r="Q28" s="1331"/>
      <c r="R28" s="1331"/>
      <c r="S28" s="1331"/>
      <c r="T28" s="468" cm="1" t="str">
        <f t="array" ref="T28:T28">T27</f>
        <v>false</v>
      </c>
      <c r="U28" s="1331"/>
      <c r="V28" s="1331"/>
      <c r="W28" s="1331"/>
      <c r="X28" s="1539"/>
      <c r="Y28" s="1331"/>
      <c r="Z28" s="1529"/>
      <c r="AA28" s="1331"/>
      <c r="AB28" s="230">
        <v>0</v>
      </c>
      <c r="AC28" s="215" t="s">
        <v>1463</v>
      </c>
      <c r="AD28" s="207" t="s">
        <v>936</v>
      </c>
      <c r="AE28" s="223">
        <f>SUM(AE29:AE38)</f>
        <v>0</v>
      </c>
      <c r="AF28" s="223">
        <f>SUM(AF29:AF38)</f>
        <v>0</v>
      </c>
      <c r="AG28" s="223">
        <f>SUM(AG29:AG38)</f>
        <v>0</v>
      </c>
      <c r="AH28" s="223">
        <f>SUM(AH29:AH38)</f>
        <v>0</v>
      </c>
      <c r="AI28" s="223">
        <f>SUM(AI29:AI38)</f>
        <v>0</v>
      </c>
      <c r="AJ28" s="223">
        <f>SUM(AJ29:AJ38)</f>
        <v>0</v>
      </c>
      <c r="AK28" s="223">
        <f>SUM(AK29:AK38)</f>
        <v>0</v>
      </c>
      <c r="AL28" s="223">
        <f>SUM(AL29:AL38)</f>
        <v>0</v>
      </c>
      <c r="AM28" s="223">
        <f>SUM(AM29:AM38)</f>
        <v>0</v>
      </c>
      <c r="AN28" s="223">
        <f>SUM(AN29:AN38)</f>
        <v>0</v>
      </c>
      <c r="AO28" s="223">
        <f>SUM(AO29:AO38)</f>
        <v>0</v>
      </c>
      <c r="AP28" s="223">
        <f>SUM(AP29:AP38)</f>
        <v>0</v>
      </c>
      <c r="AQ28" s="223">
        <f>SUM(AQ29:AQ38)</f>
        <v>0</v>
      </c>
      <c r="AR28" s="223">
        <f>SUM(AR29:AR38)</f>
        <v>0</v>
      </c>
      <c r="AS28" s="223">
        <f>SUM(AS29:AS38)</f>
        <v>0</v>
      </c>
      <c r="AT28" s="223">
        <f>SUM(AT29:AT38)</f>
        <v>0</v>
      </c>
      <c r="AU28" s="223">
        <f>SUM(AU29:AU38)</f>
        <v>0</v>
      </c>
      <c r="AV28" s="223">
        <f>SUM(AV29:AV38)</f>
        <v>0</v>
      </c>
      <c r="AW28" s="223">
        <f>SUM(AW29:AW38)</f>
        <v>0</v>
      </c>
      <c r="AX28" s="223">
        <f>SUM(AX29:AX38)</f>
        <v>0</v>
      </c>
      <c r="AY28" s="223">
        <f>SUM(AY29:AY38)</f>
        <v>0</v>
      </c>
      <c r="AZ28" s="223">
        <f>SUM(AZ29:AZ38)</f>
        <v>0</v>
      </c>
      <c r="BA28" s="223">
        <f>SUM(BA29:BA38)</f>
        <v>0</v>
      </c>
      <c r="BB28" s="223">
        <f>SUM(BB29:BB38)</f>
        <v>0</v>
      </c>
      <c r="BC28" s="1928"/>
      <c r="BD28" s="1331"/>
      <c r="BE28" s="1331"/>
      <c r="BF28" s="1005" t="s">
        <v>1464</v>
      </c>
      <c r="BG28" s="1005"/>
      <c r="BH28" s="1005"/>
      <c r="BI28" s="623"/>
      <c r="BJ28" s="623"/>
    </row>
    <row s="1331" customFormat="1" customHeight="1" ht="14.625" hidden="1">
      <c r="A29" s="1331"/>
      <c r="B29" s="430"/>
      <c r="C29" s="1331"/>
      <c r="D29" s="1331"/>
      <c r="E29" s="623">
        <v>15</v>
      </c>
      <c r="F29" s="50" cm="1" t="str">
        <f t="array" ref="F29:F29">OFFSET(E29,-1,1)</f>
        <v>0</v>
      </c>
      <c r="G29" s="118" t="s">
        <v>344</v>
      </c>
      <c r="H29" s="1331"/>
      <c r="I29" s="1331"/>
      <c r="J29" s="1331"/>
      <c r="K29" s="120" t="str">
        <f>F29&amp;"1komm"</f>
        <v>01komm</v>
      </c>
      <c r="L29" s="926" cm="1" t="str">
        <f t="array" ref="L29:L29">BC29</f>
        <v>0</v>
      </c>
      <c r="M29" s="1331"/>
      <c r="N29" s="1331"/>
      <c r="O29" s="1331"/>
      <c r="P29" s="1331"/>
      <c r="Q29" s="1331"/>
      <c r="R29" s="1331"/>
      <c r="S29" s="1331"/>
      <c r="T29" s="468" cm="1" t="str">
        <f t="array" ref="T29:T29">T28</f>
        <v>false</v>
      </c>
      <c r="U29" s="1331"/>
      <c r="V29" s="1331"/>
      <c r="W29" s="1331"/>
      <c r="X29" s="1539"/>
      <c r="Y29" s="1331"/>
      <c r="Z29" s="1529"/>
      <c r="AA29" s="1331"/>
      <c r="AB29" s="295" t="s">
        <v>290</v>
      </c>
      <c r="AC29" s="454" t="s">
        <v>1465</v>
      </c>
      <c r="AD29" s="296" t="s">
        <v>936</v>
      </c>
      <c r="AE29" s="4352"/>
      <c r="AF29" s="4301"/>
      <c r="AG29" s="4301"/>
      <c r="AH29" s="4301"/>
      <c r="AI29" s="4301"/>
      <c r="AJ29" s="4301"/>
      <c r="AK29" s="4301"/>
      <c r="AL29" s="4301"/>
      <c r="AM29" s="4301"/>
      <c r="AN29" s="4301"/>
      <c r="AO29" s="4301"/>
      <c r="AP29" s="4301"/>
      <c r="AQ29" s="4301"/>
      <c r="AR29" s="4301"/>
      <c r="AS29" s="4301"/>
      <c r="AT29" s="4301"/>
      <c r="AU29" s="4301"/>
      <c r="AV29" s="4301"/>
      <c r="AW29" s="4301"/>
      <c r="AX29" s="4301"/>
      <c r="AY29" s="4301"/>
      <c r="AZ29" s="4301"/>
      <c r="BA29" s="4301"/>
      <c r="BB29" s="4301"/>
      <c r="BC29" s="1928"/>
      <c r="BD29" s="1331"/>
      <c r="BE29" s="1331"/>
      <c r="BF29" s="1005" t="s">
        <v>1466</v>
      </c>
      <c r="BG29" s="1005"/>
      <c r="BH29" s="1005"/>
      <c r="BI29" s="623"/>
      <c r="BJ29" s="623"/>
    </row>
    <row s="1331" customFormat="1" customHeight="1" ht="21.9375" hidden="1">
      <c r="A30" s="1331"/>
      <c r="B30" s="845"/>
      <c r="C30" s="428"/>
      <c r="D30" s="428"/>
      <c r="E30" s="624">
        <v>22.5</v>
      </c>
      <c r="F30" s="50" cm="1" t="str">
        <f t="array" ref="F30:F30">OFFSET(E30,-1,1)</f>
        <v>0</v>
      </c>
      <c r="G30" s="428" t="s">
        <v>345</v>
      </c>
      <c r="H30" s="428"/>
      <c r="I30" s="428"/>
      <c r="J30" s="428"/>
      <c r="K30" s="120" t="str">
        <f>F30&amp;"2komm"</f>
        <v>02komm</v>
      </c>
      <c r="L30" s="926" cm="1" t="str">
        <f t="array" ref="L30:L30">BC30</f>
        <v>0</v>
      </c>
      <c r="M30" s="428"/>
      <c r="N30" s="428"/>
      <c r="O30" s="428"/>
      <c r="P30" s="428"/>
      <c r="Q30" s="428"/>
      <c r="R30" s="428"/>
      <c r="S30" s="428"/>
      <c r="T30" s="468" cm="1" t="str">
        <f t="array" ref="T30:T30">T29</f>
        <v>false</v>
      </c>
      <c r="U30" s="428"/>
      <c r="V30" s="428"/>
      <c r="W30" s="1331"/>
      <c r="X30" s="1539"/>
      <c r="Y30" s="1331"/>
      <c r="Z30" s="1529"/>
      <c r="AA30" s="1331"/>
      <c r="AB30" s="295" t="s">
        <v>299</v>
      </c>
      <c r="AC30" s="454" t="s">
        <v>1467</v>
      </c>
      <c r="AD30" s="296" t="s">
        <v>936</v>
      </c>
      <c r="AE30" s="4352"/>
      <c r="AF30" s="4301"/>
      <c r="AG30" s="4301"/>
      <c r="AH30" s="4301"/>
      <c r="AI30" s="4301"/>
      <c r="AJ30" s="4301"/>
      <c r="AK30" s="4301"/>
      <c r="AL30" s="4301"/>
      <c r="AM30" s="4301"/>
      <c r="AN30" s="4301"/>
      <c r="AO30" s="4301"/>
      <c r="AP30" s="4301"/>
      <c r="AQ30" s="4301"/>
      <c r="AR30" s="4301"/>
      <c r="AS30" s="4301"/>
      <c r="AT30" s="4301"/>
      <c r="AU30" s="4301"/>
      <c r="AV30" s="4301"/>
      <c r="AW30" s="4301"/>
      <c r="AX30" s="4301"/>
      <c r="AY30" s="4301"/>
      <c r="AZ30" s="4301"/>
      <c r="BA30" s="4301"/>
      <c r="BB30" s="4301"/>
      <c r="BC30" s="1928"/>
      <c r="BD30" s="1331"/>
      <c r="BE30" s="1331"/>
      <c r="BF30" s="1005" t="s">
        <v>1468</v>
      </c>
      <c r="BG30" s="1005"/>
      <c r="BH30" s="1005"/>
      <c r="BI30" s="623"/>
      <c r="BJ30" s="623"/>
    </row>
    <row s="1331" customFormat="1" customHeight="1" ht="21.9375" hidden="1">
      <c r="A31" s="1331"/>
      <c r="B31" s="845"/>
      <c r="C31" s="428"/>
      <c r="D31" s="428"/>
      <c r="E31" s="624">
        <v>22.5</v>
      </c>
      <c r="F31" s="50" cm="1" t="str">
        <f t="array" ref="F31:F31">OFFSET(E31,-1,1)</f>
        <v>0</v>
      </c>
      <c r="G31" s="428" t="s">
        <v>346</v>
      </c>
      <c r="H31" s="428" t="s">
        <v>1469</v>
      </c>
      <c r="I31" s="428"/>
      <c r="J31" s="428"/>
      <c r="K31" s="120" t="str">
        <f>F31&amp;"3komm"</f>
        <v>03komm</v>
      </c>
      <c r="L31" s="926" cm="1" t="str">
        <f t="array" ref="L31:L31">BC31</f>
        <v>0</v>
      </c>
      <c r="M31" s="428"/>
      <c r="N31" s="428"/>
      <c r="O31" s="428"/>
      <c r="P31" s="428"/>
      <c r="Q31" s="428"/>
      <c r="R31" s="428"/>
      <c r="S31" s="428"/>
      <c r="T31" s="468" cm="1" t="str">
        <f t="array" ref="T31:T31">T30</f>
        <v>false</v>
      </c>
      <c r="U31" s="428"/>
      <c r="V31" s="428"/>
      <c r="W31" s="1331"/>
      <c r="X31" s="1539"/>
      <c r="Y31" s="1331"/>
      <c r="Z31" s="1529"/>
      <c r="AA31" s="1331"/>
      <c r="AB31" s="295" t="s">
        <v>234</v>
      </c>
      <c r="AC31" s="454" t="s">
        <v>1470</v>
      </c>
      <c r="AD31" s="296" t="s">
        <v>936</v>
      </c>
      <c r="AE31" s="4352"/>
      <c r="AF31" s="4301"/>
      <c r="AG31" s="4301"/>
      <c r="AH31" s="4301"/>
      <c r="AI31" s="4301"/>
      <c r="AJ31" s="4301"/>
      <c r="AK31" s="4301"/>
      <c r="AL31" s="4301"/>
      <c r="AM31" s="4301"/>
      <c r="AN31" s="4301"/>
      <c r="AO31" s="4301"/>
      <c r="AP31" s="4301"/>
      <c r="AQ31" s="4301"/>
      <c r="AR31" s="4301"/>
      <c r="AS31" s="4301"/>
      <c r="AT31" s="4301"/>
      <c r="AU31" s="4301"/>
      <c r="AV31" s="4301"/>
      <c r="AW31" s="4301"/>
      <c r="AX31" s="4301"/>
      <c r="AY31" s="4301"/>
      <c r="AZ31" s="4301"/>
      <c r="BA31" s="4301"/>
      <c r="BB31" s="4301"/>
      <c r="BC31" s="1928"/>
      <c r="BD31" s="1331"/>
      <c r="BE31" s="1331"/>
      <c r="BF31" s="1005" t="s">
        <v>1471</v>
      </c>
      <c r="BG31" s="1005"/>
      <c r="BH31" s="1005"/>
      <c r="BI31" s="623"/>
      <c r="BJ31" s="623"/>
    </row>
    <row customHeight="1" ht="14.625" hidden="1">
      <c r="A32" s="1331"/>
      <c r="B32" s="898"/>
      <c r="C32" s="894"/>
      <c r="D32" s="894"/>
      <c r="E32" s="895">
        <v>15</v>
      </c>
      <c r="F32" s="50" cm="1" t="str">
        <f t="array" ref="F32:F32">OFFSET(E32,-1,1)</f>
        <v>0</v>
      </c>
      <c r="G32" s="894" t="s">
        <v>348</v>
      </c>
      <c r="H32" s="894"/>
      <c r="I32" s="894"/>
      <c r="J32" s="894"/>
      <c r="K32" s="120" t="str">
        <f>F32&amp;"4komm"</f>
        <v>04komm</v>
      </c>
      <c r="L32" s="926" cm="1" t="str">
        <f t="array" ref="L32:L32">BC32</f>
        <v>0</v>
      </c>
      <c r="M32" s="894"/>
      <c r="N32" s="894"/>
      <c r="O32" s="894"/>
      <c r="P32" s="894"/>
      <c r="Q32" s="894"/>
      <c r="R32" s="894"/>
      <c r="S32" s="894"/>
      <c r="T32" s="468" cm="1" t="str">
        <f t="array" ref="T32:T32">T31</f>
        <v>false</v>
      </c>
      <c r="U32" s="894"/>
      <c r="V32" s="894"/>
      <c r="W32" s="1331"/>
      <c r="X32" s="1539"/>
      <c r="Y32" s="1331"/>
      <c r="Z32" s="1529"/>
      <c r="AA32" s="1331"/>
      <c r="AB32" s="896">
        <v>4</v>
      </c>
      <c r="AC32" s="454" t="s">
        <v>1472</v>
      </c>
      <c r="AD32" s="296" t="s">
        <v>936</v>
      </c>
      <c r="AE32" s="4359"/>
      <c r="AF32" s="4359"/>
      <c r="AG32" s="4359"/>
      <c r="AH32" s="4359"/>
      <c r="AI32" s="4359"/>
      <c r="AJ32" s="4359"/>
      <c r="AK32" s="4359"/>
      <c r="AL32" s="4359"/>
      <c r="AM32" s="4359"/>
      <c r="AN32" s="4359"/>
      <c r="AO32" s="4359"/>
      <c r="AP32" s="4359"/>
      <c r="AQ32" s="4359"/>
      <c r="AR32" s="4359"/>
      <c r="AS32" s="4359"/>
      <c r="AT32" s="4359"/>
      <c r="AU32" s="4359"/>
      <c r="AV32" s="4359"/>
      <c r="AW32" s="4359"/>
      <c r="AX32" s="4359"/>
      <c r="AY32" s="4359"/>
      <c r="AZ32" s="4359"/>
      <c r="BA32" s="4359"/>
      <c r="BB32" s="4359"/>
      <c r="BC32" s="1928"/>
      <c r="BD32" s="1331"/>
      <c r="BE32" s="1331"/>
      <c r="BF32" s="1046" t="s">
        <v>1473</v>
      </c>
      <c r="BG32" s="1245"/>
      <c r="BH32" s="1245"/>
      <c r="BI32" s="1182"/>
      <c r="BJ32" s="1182"/>
    </row>
    <row s="1331" customFormat="1" customHeight="1" ht="14.625" hidden="1">
      <c r="A33" s="1331"/>
      <c r="B33" s="845"/>
      <c r="C33" s="428"/>
      <c r="D33" s="428"/>
      <c r="E33" s="624">
        <v>15</v>
      </c>
      <c r="F33" s="50" cm="1" t="str">
        <f t="array" ref="F33:F33">OFFSET(E33,-1,1)</f>
        <v>0</v>
      </c>
      <c r="G33" s="428" t="s">
        <v>347</v>
      </c>
      <c r="H33" s="428"/>
      <c r="I33" s="428"/>
      <c r="J33" s="428"/>
      <c r="K33" s="120" t="str">
        <f>F33&amp;"5komm"</f>
        <v>05komm</v>
      </c>
      <c r="L33" s="926" cm="1" t="str">
        <f t="array" ref="L33:L33">BC33</f>
        <v>0</v>
      </c>
      <c r="M33" s="428"/>
      <c r="N33" s="428"/>
      <c r="O33" s="428"/>
      <c r="P33" s="428"/>
      <c r="Q33" s="428"/>
      <c r="R33" s="428"/>
      <c r="S33" s="428"/>
      <c r="T33" s="468" cm="1" t="str">
        <f t="array" ref="T33:T33">T32</f>
        <v>false</v>
      </c>
      <c r="U33" s="428"/>
      <c r="V33" s="428"/>
      <c r="W33" s="1331"/>
      <c r="X33" s="1539"/>
      <c r="Y33" s="1331"/>
      <c r="Z33" s="1529"/>
      <c r="AA33" s="1331"/>
      <c r="AB33" s="295" t="s">
        <v>454</v>
      </c>
      <c r="AC33" s="454" t="s">
        <v>1474</v>
      </c>
      <c r="AD33" s="296" t="s">
        <v>936</v>
      </c>
      <c r="AE33" s="4352"/>
      <c r="AF33" s="4352"/>
      <c r="AG33" s="4352"/>
      <c r="AH33" s="4352"/>
      <c r="AI33" s="4352"/>
      <c r="AJ33" s="4352"/>
      <c r="AK33" s="4352"/>
      <c r="AL33" s="4352"/>
      <c r="AM33" s="4352"/>
      <c r="AN33" s="4352"/>
      <c r="AO33" s="4352"/>
      <c r="AP33" s="4352"/>
      <c r="AQ33" s="4352"/>
      <c r="AR33" s="4352"/>
      <c r="AS33" s="4352"/>
      <c r="AT33" s="4352"/>
      <c r="AU33" s="4352"/>
      <c r="AV33" s="4352"/>
      <c r="AW33" s="4352"/>
      <c r="AX33" s="4352"/>
      <c r="AY33" s="4352"/>
      <c r="AZ33" s="4352"/>
      <c r="BA33" s="4352"/>
      <c r="BB33" s="4352"/>
      <c r="BC33" s="1928"/>
      <c r="BD33" s="1331"/>
      <c r="BE33" s="1331"/>
      <c r="BF33" s="1005" t="s">
        <v>1475</v>
      </c>
      <c r="BG33" s="1005"/>
      <c r="BH33" s="1005"/>
      <c r="BI33" s="623"/>
      <c r="BJ33" s="623"/>
    </row>
    <row s="1331" customFormat="1" customHeight="1" ht="14.625" hidden="1">
      <c r="A34" s="1331"/>
      <c r="B34" s="845"/>
      <c r="C34" s="428"/>
      <c r="D34" s="428"/>
      <c r="E34" s="624">
        <v>15</v>
      </c>
      <c r="F34" s="50" cm="1" t="str">
        <f t="array" ref="F34:F34">OFFSET(E34,-1,1)</f>
        <v>0</v>
      </c>
      <c r="G34" s="428" t="s">
        <v>616</v>
      </c>
      <c r="H34" s="428"/>
      <c r="I34" s="428"/>
      <c r="J34" s="428"/>
      <c r="K34" s="120" t="str">
        <f>F34&amp;"6komm"</f>
        <v>06komm</v>
      </c>
      <c r="L34" s="926" cm="1" t="str">
        <f t="array" ref="L34:L34">BC34</f>
        <v>0</v>
      </c>
      <c r="M34" s="428"/>
      <c r="N34" s="428"/>
      <c r="O34" s="428"/>
      <c r="P34" s="428"/>
      <c r="Q34" s="428"/>
      <c r="R34" s="428"/>
      <c r="S34" s="428"/>
      <c r="T34" s="468" cm="1" t="str">
        <f t="array" ref="T34:T34">T33</f>
        <v>false</v>
      </c>
      <c r="U34" s="428"/>
      <c r="V34" s="428"/>
      <c r="W34" s="1331"/>
      <c r="X34" s="1539"/>
      <c r="Y34" s="1331"/>
      <c r="Z34" s="1529"/>
      <c r="AA34" s="1331"/>
      <c r="AB34" s="295" t="s">
        <v>457</v>
      </c>
      <c r="AC34" s="454" t="s">
        <v>1476</v>
      </c>
      <c r="AD34" s="296" t="s">
        <v>936</v>
      </c>
      <c r="AE34" s="4352"/>
      <c r="AF34" s="4352"/>
      <c r="AG34" s="4352"/>
      <c r="AH34" s="4352"/>
      <c r="AI34" s="4352"/>
      <c r="AJ34" s="4352"/>
      <c r="AK34" s="4352"/>
      <c r="AL34" s="4352"/>
      <c r="AM34" s="4352"/>
      <c r="AN34" s="4352"/>
      <c r="AO34" s="4352"/>
      <c r="AP34" s="4352"/>
      <c r="AQ34" s="4352"/>
      <c r="AR34" s="4352"/>
      <c r="AS34" s="4352"/>
      <c r="AT34" s="4352"/>
      <c r="AU34" s="4352"/>
      <c r="AV34" s="4352"/>
      <c r="AW34" s="4352"/>
      <c r="AX34" s="4352"/>
      <c r="AY34" s="4352"/>
      <c r="AZ34" s="4352"/>
      <c r="BA34" s="4352"/>
      <c r="BB34" s="4352"/>
      <c r="BC34" s="1928"/>
      <c r="BD34" s="1331"/>
      <c r="BE34" s="1331"/>
      <c r="BF34" s="1005" t="s">
        <v>1477</v>
      </c>
      <c r="BG34" s="1005"/>
      <c r="BH34" s="1005"/>
      <c r="BI34" s="623"/>
      <c r="BJ34" s="623"/>
    </row>
    <row s="1331" customFormat="1" customHeight="1" ht="14.625" hidden="1">
      <c r="A35" s="1331"/>
      <c r="B35" s="845"/>
      <c r="C35" s="428"/>
      <c r="D35" s="428"/>
      <c r="E35" s="624">
        <v>15</v>
      </c>
      <c r="F35" s="50" cm="1" t="str">
        <f t="array" ref="F35:F35">OFFSET(E35,-1,1)</f>
        <v>0</v>
      </c>
      <c r="G35" s="428" t="s">
        <v>619</v>
      </c>
      <c r="H35" s="428" t="s">
        <v>1478</v>
      </c>
      <c r="I35" s="428"/>
      <c r="J35" s="428"/>
      <c r="K35" s="120" t="str">
        <f>F35&amp;"7komm"</f>
        <v>07komm</v>
      </c>
      <c r="L35" s="926" cm="1" t="str">
        <f t="array" ref="L35:L35">BC35</f>
        <v>0</v>
      </c>
      <c r="M35" s="428"/>
      <c r="N35" s="428"/>
      <c r="O35" s="428"/>
      <c r="P35" s="428"/>
      <c r="Q35" s="428"/>
      <c r="R35" s="428"/>
      <c r="S35" s="428"/>
      <c r="T35" s="468" cm="1" t="str">
        <f t="array" ref="T35:T35">T34</f>
        <v>false</v>
      </c>
      <c r="U35" s="428"/>
      <c r="V35" s="428"/>
      <c r="W35" s="1331"/>
      <c r="X35" s="1539"/>
      <c r="Y35" s="1331"/>
      <c r="Z35" s="1529"/>
      <c r="AA35" s="1331"/>
      <c r="AB35" s="295" t="s">
        <v>460</v>
      </c>
      <c r="AC35" s="454" t="s">
        <v>1479</v>
      </c>
      <c r="AD35" s="296" t="s">
        <v>936</v>
      </c>
      <c r="AE35" s="4352"/>
      <c r="AF35" s="4352"/>
      <c r="AG35" s="4352"/>
      <c r="AH35" s="4352"/>
      <c r="AI35" s="4352"/>
      <c r="AJ35" s="4352"/>
      <c r="AK35" s="4352"/>
      <c r="AL35" s="4352"/>
      <c r="AM35" s="4352"/>
      <c r="AN35" s="4352"/>
      <c r="AO35" s="4352"/>
      <c r="AP35" s="4352"/>
      <c r="AQ35" s="4352"/>
      <c r="AR35" s="4352"/>
      <c r="AS35" s="4352"/>
      <c r="AT35" s="4352"/>
      <c r="AU35" s="4352"/>
      <c r="AV35" s="4352"/>
      <c r="AW35" s="4352"/>
      <c r="AX35" s="4352"/>
      <c r="AY35" s="4352"/>
      <c r="AZ35" s="4352"/>
      <c r="BA35" s="4352"/>
      <c r="BB35" s="4352"/>
      <c r="BC35" s="1928"/>
      <c r="BD35" s="1331"/>
      <c r="BE35" s="1331"/>
      <c r="BF35" s="1005" t="s">
        <v>1480</v>
      </c>
      <c r="BG35" s="1005"/>
      <c r="BH35" s="1005"/>
      <c r="BI35" s="623"/>
      <c r="BJ35" s="623"/>
    </row>
    <row s="1331" customFormat="1" customHeight="1" ht="21.9375" hidden="1">
      <c r="A36" s="1331"/>
      <c r="B36" s="845"/>
      <c r="C36" s="428"/>
      <c r="D36" s="428"/>
      <c r="E36" s="624">
        <v>22.5</v>
      </c>
      <c r="F36" s="50" cm="1" t="str">
        <f t="array" ref="F36:F36">OFFSET(E36,-1,1)</f>
        <v>0</v>
      </c>
      <c r="G36" s="428" t="s">
        <v>685</v>
      </c>
      <c r="H36" s="428"/>
      <c r="I36" s="428"/>
      <c r="J36" s="428"/>
      <c r="K36" s="120" t="str">
        <f>F36&amp;"8komm"</f>
        <v>08komm</v>
      </c>
      <c r="L36" s="926" cm="1" t="str">
        <f t="array" ref="L36:L36">BC36</f>
        <v>0</v>
      </c>
      <c r="M36" s="428"/>
      <c r="N36" s="428"/>
      <c r="O36" s="428"/>
      <c r="P36" s="428"/>
      <c r="Q36" s="428"/>
      <c r="R36" s="428"/>
      <c r="S36" s="428"/>
      <c r="T36" s="468" cm="1" t="str">
        <f t="array" ref="T36:T36">T35</f>
        <v>false</v>
      </c>
      <c r="U36" s="428"/>
      <c r="V36" s="428"/>
      <c r="W36" s="1331"/>
      <c r="X36" s="1539"/>
      <c r="Y36" s="1331"/>
      <c r="Z36" s="1529"/>
      <c r="AA36" s="1331"/>
      <c r="AB36" s="295" t="s">
        <v>463</v>
      </c>
      <c r="AC36" s="454" t="s">
        <v>1481</v>
      </c>
      <c r="AD36" s="296" t="s">
        <v>936</v>
      </c>
      <c r="AE36" s="4352"/>
      <c r="AF36" s="4352"/>
      <c r="AG36" s="4352"/>
      <c r="AH36" s="4352"/>
      <c r="AI36" s="4352"/>
      <c r="AJ36" s="4352"/>
      <c r="AK36" s="4352"/>
      <c r="AL36" s="4352"/>
      <c r="AM36" s="4352"/>
      <c r="AN36" s="4352"/>
      <c r="AO36" s="4352"/>
      <c r="AP36" s="4352"/>
      <c r="AQ36" s="4352"/>
      <c r="AR36" s="4352"/>
      <c r="AS36" s="4352"/>
      <c r="AT36" s="4352"/>
      <c r="AU36" s="4352"/>
      <c r="AV36" s="4352"/>
      <c r="AW36" s="4352"/>
      <c r="AX36" s="4352"/>
      <c r="AY36" s="4352"/>
      <c r="AZ36" s="4352"/>
      <c r="BA36" s="4352"/>
      <c r="BB36" s="4352"/>
      <c r="BC36" s="1928"/>
      <c r="BD36" s="1331"/>
      <c r="BE36" s="1331"/>
      <c r="BF36" s="1005" t="s">
        <v>1482</v>
      </c>
      <c r="BG36" s="1005"/>
      <c r="BH36" s="1005"/>
      <c r="BI36" s="623"/>
      <c r="BJ36" s="623"/>
    </row>
    <row s="1029" customFormat="1" customHeight="1" ht="21.9375" hidden="1">
      <c r="A37" s="1029"/>
      <c r="B37" s="845"/>
      <c r="C37" s="428"/>
      <c r="D37" s="428"/>
      <c r="E37" s="624">
        <v>22.5</v>
      </c>
      <c r="F37" s="50" cm="1" t="str">
        <f t="array" ref="F37:F37">OFFSET(E37,-1,1)</f>
        <v>0</v>
      </c>
      <c r="G37" s="428"/>
      <c r="H37" s="428"/>
      <c r="I37" s="428"/>
      <c r="J37" s="428"/>
      <c r="K37" s="120" t="str">
        <f>F37&amp;"9komm"</f>
        <v>09komm</v>
      </c>
      <c r="L37" s="926" cm="1" t="str">
        <f t="array" ref="L37:L37">BC37</f>
        <v>0</v>
      </c>
      <c r="M37" s="428"/>
      <c r="N37" s="428"/>
      <c r="O37" s="428"/>
      <c r="P37" s="428"/>
      <c r="Q37" s="428"/>
      <c r="R37" s="428"/>
      <c r="S37" s="428"/>
      <c r="T37" s="468" cm="1" t="str">
        <f t="array" ref="T37:T37">T36</f>
        <v>false</v>
      </c>
      <c r="U37" s="428"/>
      <c r="V37" s="428"/>
      <c r="W37" s="1029"/>
      <c r="X37" s="1539"/>
      <c r="Y37" s="1029"/>
      <c r="Z37" s="1529"/>
      <c r="AA37" s="1029"/>
      <c r="AB37" s="295" t="s">
        <v>466</v>
      </c>
      <c r="AC37" s="454" t="s">
        <v>1483</v>
      </c>
      <c r="AD37" s="296" t="s">
        <v>936</v>
      </c>
      <c r="AE37" s="4146"/>
      <c r="AF37" s="4146"/>
      <c r="AG37" s="4146"/>
      <c r="AH37" s="4146"/>
      <c r="AI37" s="4146"/>
      <c r="AJ37" s="4146"/>
      <c r="AK37" s="4146"/>
      <c r="AL37" s="4146"/>
      <c r="AM37" s="4146"/>
      <c r="AN37" s="4146"/>
      <c r="AO37" s="4146"/>
      <c r="AP37" s="4146"/>
      <c r="AQ37" s="4146"/>
      <c r="AR37" s="4146"/>
      <c r="AS37" s="4146"/>
      <c r="AT37" s="4146"/>
      <c r="AU37" s="4146"/>
      <c r="AV37" s="4146"/>
      <c r="AW37" s="4146"/>
      <c r="AX37" s="4146"/>
      <c r="AY37" s="4146"/>
      <c r="AZ37" s="4146"/>
      <c r="BA37" s="4146"/>
      <c r="BB37" s="4146"/>
      <c r="BC37" s="4360"/>
      <c r="BD37" s="1029"/>
      <c r="BE37" s="1029"/>
      <c r="BF37" s="1013" t="s">
        <v>1484</v>
      </c>
      <c r="BG37" s="1013"/>
      <c r="BH37" s="1013"/>
      <c r="BI37" s="698"/>
      <c r="BJ37" s="698"/>
    </row>
    <row customHeight="1" ht="14.625" hidden="1">
      <c r="A38" s="1331"/>
      <c r="B38" s="898"/>
      <c r="C38" s="894"/>
      <c r="D38" s="894"/>
      <c r="E38" s="895">
        <v>15</v>
      </c>
      <c r="F38" s="50" cm="1" t="str">
        <f t="array" ref="F38:F38">OFFSET(E38,-1,1)</f>
        <v>0</v>
      </c>
      <c r="G38" s="894" t="s">
        <v>700</v>
      </c>
      <c r="H38" s="930"/>
      <c r="I38" s="894"/>
      <c r="J38" s="894"/>
      <c r="K38" s="120" t="str">
        <f>F38&amp;"10komm"</f>
        <v>010komm</v>
      </c>
      <c r="L38" s="926" cm="1" t="str">
        <f t="array" ref="L38:L38">BC38</f>
        <v>0</v>
      </c>
      <c r="M38" s="894"/>
      <c r="N38" s="894"/>
      <c r="O38" s="894"/>
      <c r="P38" s="894"/>
      <c r="Q38" s="894"/>
      <c r="R38" s="894"/>
      <c r="S38" s="894"/>
      <c r="T38" s="468" cm="1" t="str">
        <f t="array" ref="T38:T38">T37</f>
        <v>false</v>
      </c>
      <c r="U38" s="894"/>
      <c r="V38" s="894"/>
      <c r="W38" s="1331"/>
      <c r="X38" s="1539"/>
      <c r="Y38" s="1331"/>
      <c r="Z38" s="1529"/>
      <c r="AA38" s="1331"/>
      <c r="AB38" s="896">
        <v>10</v>
      </c>
      <c r="AC38" s="454" t="s">
        <v>1485</v>
      </c>
      <c r="AD38" s="296" t="s">
        <v>936</v>
      </c>
      <c r="AE38" s="231">
        <f>SUM(AE39:AE40)</f>
        <v>0</v>
      </c>
      <c r="AF38" s="231">
        <f>SUM(AF39:AF40)</f>
        <v>0</v>
      </c>
      <c r="AG38" s="231">
        <f>SUM(AG39:AG40)</f>
        <v>0</v>
      </c>
      <c r="AH38" s="231">
        <f>SUM(AH39:AH40)</f>
        <v>0</v>
      </c>
      <c r="AI38" s="231">
        <f>SUM(AI39:AI40)</f>
        <v>0</v>
      </c>
      <c r="AJ38" s="231">
        <f>SUM(AJ39:AJ40)</f>
        <v>0</v>
      </c>
      <c r="AK38" s="231">
        <f>SUM(AK39:AK40)</f>
        <v>0</v>
      </c>
      <c r="AL38" s="231">
        <f>SUM(AL39:AL40)</f>
        <v>0</v>
      </c>
      <c r="AM38" s="231">
        <f>SUM(AM39:AM40)</f>
        <v>0</v>
      </c>
      <c r="AN38" s="231">
        <f>SUM(AN39:AN40)</f>
        <v>0</v>
      </c>
      <c r="AO38" s="231">
        <f>SUM(AO39:AO40)</f>
        <v>0</v>
      </c>
      <c r="AP38" s="231">
        <f>SUM(AP39:AP40)</f>
        <v>0</v>
      </c>
      <c r="AQ38" s="231">
        <f>SUM(AQ39:AQ40)</f>
        <v>0</v>
      </c>
      <c r="AR38" s="231">
        <f>SUM(AR39:AR40)</f>
        <v>0</v>
      </c>
      <c r="AS38" s="231">
        <f>SUM(AS39:AS40)</f>
        <v>0</v>
      </c>
      <c r="AT38" s="231">
        <f>SUM(AT39:AT40)</f>
        <v>0</v>
      </c>
      <c r="AU38" s="231">
        <f>SUM(AU39:AU40)</f>
        <v>0</v>
      </c>
      <c r="AV38" s="231">
        <f>SUM(AV39:AV40)</f>
        <v>0</v>
      </c>
      <c r="AW38" s="231">
        <f>SUM(AW39:AW40)</f>
        <v>0</v>
      </c>
      <c r="AX38" s="231">
        <f>SUM(AX39:AX40)</f>
        <v>0</v>
      </c>
      <c r="AY38" s="231">
        <f>SUM(AY39:AY40)</f>
        <v>0</v>
      </c>
      <c r="AZ38" s="231">
        <f>SUM(AZ39:AZ40)</f>
        <v>0</v>
      </c>
      <c r="BA38" s="231">
        <f>SUM(BA39:BA40)</f>
        <v>0</v>
      </c>
      <c r="BB38" s="231">
        <f>SUM(BB39:BB40)</f>
        <v>0</v>
      </c>
      <c r="BC38" s="1928"/>
      <c r="BD38" s="1331"/>
      <c r="BE38" s="1331"/>
      <c r="BF38" s="1046" t="s">
        <v>1486</v>
      </c>
      <c r="BG38" s="1245"/>
      <c r="BH38" s="1245"/>
      <c r="BI38" s="1182"/>
      <c r="BJ38" s="1182"/>
    </row>
    <row customHeight="1" ht="14.625" hidden="1">
      <c r="A39" s="118"/>
      <c r="B39" s="845"/>
      <c r="C39" s="428"/>
      <c r="D39" s="428"/>
      <c r="E39" s="624">
        <v>15</v>
      </c>
      <c r="F39" s="50" cm="1" t="str">
        <f t="array" ref="F39:F39">OFFSET(E39,-1,1)</f>
        <v>0</v>
      </c>
      <c r="G39" s="428" t="s">
        <v>700</v>
      </c>
      <c r="H39" s="930"/>
      <c r="I39" s="1088" cm="1" t="str">
        <f t="array" ref="I39:I39">AC39</f>
        <v>0</v>
      </c>
      <c r="J39" s="428"/>
      <c r="K39" s="428"/>
      <c r="L39" s="428"/>
      <c r="M39" s="428"/>
      <c r="N39" s="428"/>
      <c r="O39" s="428"/>
      <c r="P39" s="428"/>
      <c r="Q39" s="428"/>
      <c r="R39" s="428"/>
      <c r="S39" s="428"/>
      <c r="T39" s="468">
        <f>AND(F39&gt;0,Y39&gt;0)</f>
        <v>0</v>
      </c>
      <c r="U39" s="428"/>
      <c r="V39" s="428"/>
      <c r="W39" s="764" t="s">
        <v>173</v>
      </c>
      <c r="X39" s="1539"/>
      <c r="Y39" s="118">
        <v>0</v>
      </c>
      <c r="Z39" s="1529"/>
      <c r="AA39" s="422" t="s">
        <v>174</v>
      </c>
      <c r="AB39" s="696" t="str">
        <f>"10."&amp;Y39</f>
        <v>10.0</v>
      </c>
      <c r="AC39" s="4363"/>
      <c r="AD39" s="296" t="s">
        <v>936</v>
      </c>
      <c r="AE39" s="4352"/>
      <c r="AF39" s="4352"/>
      <c r="AG39" s="4352"/>
      <c r="AH39" s="4352"/>
      <c r="AI39" s="4352"/>
      <c r="AJ39" s="4352"/>
      <c r="AK39" s="4352"/>
      <c r="AL39" s="4352"/>
      <c r="AM39" s="4352"/>
      <c r="AN39" s="4352"/>
      <c r="AO39" s="4352"/>
      <c r="AP39" s="4352"/>
      <c r="AQ39" s="4352"/>
      <c r="AR39" s="4352"/>
      <c r="AS39" s="4352"/>
      <c r="AT39" s="4352"/>
      <c r="AU39" s="4352"/>
      <c r="AV39" s="4352"/>
      <c r="AW39" s="4352"/>
      <c r="AX39" s="4352"/>
      <c r="AY39" s="4352"/>
      <c r="AZ39" s="4352"/>
      <c r="BA39" s="4352"/>
      <c r="BB39" s="4352"/>
      <c r="BC39" s="1928"/>
      <c r="BD39" s="118"/>
      <c r="BE39" s="1331"/>
      <c r="BF39" s="1046" t="s">
        <v>1486</v>
      </c>
      <c r="BG39" s="1046" t="s">
        <v>1487</v>
      </c>
      <c r="BH39" s="1058" cm="1" t="str">
        <f t="array" ref="BH39:BH39">AC39</f>
        <v>0</v>
      </c>
      <c r="BI39" s="1182"/>
      <c r="BJ39" s="682" t="b">
        <v>1</v>
      </c>
    </row>
    <row s="1331" customFormat="1" customHeight="1" ht="14.625" hidden="1">
      <c r="A40" s="1331"/>
      <c r="B40" s="845"/>
      <c r="C40" s="428"/>
      <c r="D40" s="428"/>
      <c r="E40" s="624">
        <v>15</v>
      </c>
      <c r="F40" s="50" cm="1" t="str">
        <f t="array" ref="F40:F40">OFFSET(E40,-1,1)</f>
        <v>0</v>
      </c>
      <c r="G40" s="428"/>
      <c r="H40" s="1331"/>
      <c r="I40" s="428" t="str">
        <f>"!=='не определено'"</f>
        <v>!=='не определено'</v>
      </c>
      <c r="J40" s="428"/>
      <c r="K40" s="428"/>
      <c r="L40" s="428"/>
      <c r="M40" s="428"/>
      <c r="N40" s="428"/>
      <c r="O40" s="428"/>
      <c r="P40" s="428"/>
      <c r="Q40" s="428"/>
      <c r="R40" s="428"/>
      <c r="S40" s="428"/>
      <c r="T40" s="468">
        <f>F40&gt;0</f>
        <v>0</v>
      </c>
      <c r="U40" s="428"/>
      <c r="V40" s="428"/>
      <c r="W40" s="764" t="s">
        <v>410</v>
      </c>
      <c r="X40" s="1539"/>
      <c r="Y40" s="1331"/>
      <c r="Z40" s="1529"/>
      <c r="AA40" s="1331"/>
      <c r="AB40" s="782"/>
      <c r="AC40" s="256" t="s">
        <v>177</v>
      </c>
      <c r="AD40" s="783"/>
      <c r="AE40" s="228"/>
      <c r="AF40" s="228"/>
      <c r="AG40" s="228"/>
      <c r="AH40" s="228"/>
      <c r="AI40" s="228"/>
      <c r="AJ40" s="228"/>
      <c r="AK40" s="228"/>
      <c r="AL40" s="228"/>
      <c r="AM40" s="228"/>
      <c r="AN40" s="228"/>
      <c r="AO40" s="228"/>
      <c r="AP40" s="228"/>
      <c r="AQ40" s="228"/>
      <c r="AR40" s="228"/>
      <c r="AS40" s="228"/>
      <c r="AT40" s="228"/>
      <c r="AU40" s="228"/>
      <c r="AV40" s="228"/>
      <c r="AW40" s="228"/>
      <c r="AX40" s="228"/>
      <c r="AY40" s="228"/>
      <c r="AZ40" s="228"/>
      <c r="BA40" s="228"/>
      <c r="BB40" s="228"/>
      <c r="BC40" s="229"/>
      <c r="BD40" s="1331"/>
      <c r="BE40" s="1331"/>
      <c r="BF40" s="1005"/>
      <c r="BG40" s="1005"/>
      <c r="BH40" s="1005"/>
      <c r="BI40" s="623" t="s">
        <v>1487</v>
      </c>
      <c r="BJ40" s="623"/>
    </row>
    <row s="541" customFormat="1" customHeight="1" ht="29.671875">
      <c r="A41" s="1331"/>
      <c r="B41" s="430"/>
      <c r="C41" s="1331"/>
      <c r="D41" s="1331"/>
      <c r="E41" s="623">
        <v>15</v>
      </c>
      <c r="F41" s="94" cm="1" t="str">
        <f t="array" ref="F41:F41">X41</f>
        <v>1</v>
      </c>
      <c r="G41" s="1331"/>
      <c r="H41" s="1331"/>
      <c r="I41" s="1331"/>
      <c r="J41" s="1331"/>
      <c r="K41" s="1331"/>
      <c r="L41" s="1331"/>
      <c r="M41" s="1331"/>
      <c r="N41" s="1331"/>
      <c r="O41" s="1331"/>
      <c r="P41" s="1331"/>
      <c r="Q41" s="1331"/>
      <c r="R41" s="1331"/>
      <c r="S41" s="1331"/>
      <c r="T41" s="468">
        <f>X41&gt;0</f>
        <v>1</v>
      </c>
      <c r="U41" s="1331"/>
      <c r="V41" s="118" cm="1" t="str">
        <f t="array" ref="V41:V41">'Сбытовые расходы ГО'!$AB$39</f>
        <v>Тариф 1 (Водоснабжение) - тариф на питьевую воду (Оказание услуг на территории: город Ленинск-Кузнецкий (ОКТМО: 32719000) - г Ленинск-Кузнецкий, г Полысаево)</v>
      </c>
      <c r="W41" s="1331"/>
      <c r="X41" s="1539" t="s">
        <v>290</v>
      </c>
      <c r="Y41" s="1331"/>
      <c r="Z41" s="1529"/>
      <c r="AA41" s="1331"/>
      <c r="AB41" s="218" cm="1" t="str">
        <f t="array" ref="AB41:AB41">'Сбытовые расходы ГО'!$AB$39</f>
        <v>Тариф 1 (Водоснабжение) - тариф на питьевую воду (Оказание услуг на территории: город Ленинск-Кузнецкий (ОКТМО: 32719000) - г Ленинск-Кузнецкий, г Полысаево)</v>
      </c>
      <c r="AC41" s="176"/>
      <c r="AD41" s="176"/>
      <c r="AE41" s="176"/>
      <c r="AF41" s="176"/>
      <c r="AG41" s="176"/>
      <c r="AH41" s="176"/>
      <c r="AI41" s="176"/>
      <c r="AJ41" s="176"/>
      <c r="AK41" s="176"/>
      <c r="AL41" s="176"/>
      <c r="AM41" s="176"/>
      <c r="AN41" s="176"/>
      <c r="AO41" s="176"/>
      <c r="AP41" s="176"/>
      <c r="AQ41" s="176"/>
      <c r="AR41" s="176"/>
      <c r="AS41" s="176"/>
      <c r="AT41" s="176"/>
      <c r="AU41" s="176"/>
      <c r="AV41" s="176"/>
      <c r="AW41" s="176"/>
      <c r="AX41" s="176"/>
      <c r="AY41" s="176"/>
      <c r="AZ41" s="176"/>
      <c r="BA41" s="176"/>
      <c r="BB41" s="176"/>
      <c r="BC41" s="176"/>
      <c r="BD41" s="1331"/>
      <c r="BE41" s="1331"/>
      <c r="BF41" s="1005"/>
      <c r="BG41" s="1005"/>
      <c r="BH41" s="1005"/>
      <c r="BI41" s="623"/>
      <c r="BJ41" s="623"/>
    </row>
    <row s="541" customFormat="1" customHeight="1" ht="33.75">
      <c r="A42" s="1331"/>
      <c r="B42" s="430"/>
      <c r="C42" s="1331"/>
      <c r="D42" s="1331"/>
      <c r="E42" s="623">
        <v>22.5</v>
      </c>
      <c r="F42" s="50" cm="1" t="str">
        <f t="array" ref="F42:F42">OFFSET(E42,-1,1)</f>
        <v>1</v>
      </c>
      <c r="G42" s="118" t="s">
        <v>1444</v>
      </c>
      <c r="H42" s="1331"/>
      <c r="I42" s="1331"/>
      <c r="J42" s="1331"/>
      <c r="K42" s="120" t="str">
        <f>F42&amp;"komm"</f>
        <v>1komm</v>
      </c>
      <c r="L42" s="926" cm="1" t="str">
        <f t="array" ref="L42:L42">BC42</f>
        <v>П. 49 (2) Методических указаний ФСТ России от 27.12.2013 № 1746-э.</v>
      </c>
      <c r="M42" s="1331"/>
      <c r="N42" s="1331"/>
      <c r="O42" s="1331"/>
      <c r="P42" s="1331"/>
      <c r="Q42" s="1331"/>
      <c r="R42" s="1331"/>
      <c r="S42" s="1331"/>
      <c r="T42" s="468" cm="1" t="str">
        <f t="array" ref="T42:T42">T41</f>
        <v>true</v>
      </c>
      <c r="U42" s="1331"/>
      <c r="V42" s="1331"/>
      <c r="W42" s="1331"/>
      <c r="X42" s="1539"/>
      <c r="Y42" s="1331"/>
      <c r="Z42" s="1529"/>
      <c r="AA42" s="1331"/>
      <c r="AB42" s="230">
        <v>0</v>
      </c>
      <c r="AC42" s="215" t="s">
        <v>1463</v>
      </c>
      <c r="AD42" s="207" t="s">
        <v>936</v>
      </c>
      <c r="AE42" s="223">
        <f>SUM(AE43:AE52)</f>
        <v>29118.3034715</v>
      </c>
      <c r="AF42" s="223">
        <f>SUM(AF43:AF52)</f>
        <v>25973.68884</v>
      </c>
      <c r="AG42" s="223">
        <f>SUM(AG43:AG52)</f>
        <v>25973.68884</v>
      </c>
      <c r="AH42" s="223">
        <f>SUM(AH43:AH52)</f>
        <v>29560.6552008</v>
      </c>
      <c r="AI42" s="223">
        <f>SUM(AI43:AI52)</f>
        <v>30903.74</v>
      </c>
      <c r="AJ42" s="223">
        <f>SUM(AJ43:AJ52)</f>
        <v>0</v>
      </c>
      <c r="AK42" s="223">
        <f>SUM(AK43:AK52)</f>
        <v>0</v>
      </c>
      <c r="AL42" s="223">
        <f>SUM(AL43:AL52)</f>
        <v>0</v>
      </c>
      <c r="AM42" s="223">
        <f>SUM(AM43:AM52)</f>
        <v>0</v>
      </c>
      <c r="AN42" s="223">
        <f>SUM(AN43:AN52)</f>
        <v>0</v>
      </c>
      <c r="AO42" s="223">
        <f>SUM(AO43:AO52)</f>
        <v>0</v>
      </c>
      <c r="AP42" s="223">
        <f>SUM(AP43:AP52)</f>
        <v>0</v>
      </c>
      <c r="AQ42" s="223">
        <f>SUM(AQ43:AQ52)</f>
        <v>0</v>
      </c>
      <c r="AR42" s="223">
        <f>SUM(AR43:AR52)</f>
        <v>0</v>
      </c>
      <c r="AS42" s="223">
        <f>SUM(AS43:AS52)</f>
        <v>32540.26</v>
      </c>
      <c r="AT42" s="223">
        <f>SUM(AT43:AT52)</f>
        <v>0</v>
      </c>
      <c r="AU42" s="223">
        <f>SUM(AU43:AU52)</f>
        <v>0</v>
      </c>
      <c r="AV42" s="223">
        <f>SUM(AV43:AV52)</f>
        <v>0</v>
      </c>
      <c r="AW42" s="223">
        <f>SUM(AW43:AW52)</f>
        <v>0</v>
      </c>
      <c r="AX42" s="223">
        <f>SUM(AX43:AX52)</f>
        <v>0</v>
      </c>
      <c r="AY42" s="223">
        <f>SUM(AY43:AY52)</f>
        <v>0</v>
      </c>
      <c r="AZ42" s="223">
        <f>SUM(AZ43:AZ52)</f>
        <v>0</v>
      </c>
      <c r="BA42" s="223">
        <f>SUM(BA43:BA52)</f>
        <v>0</v>
      </c>
      <c r="BB42" s="223">
        <f>SUM(BB43:BB52)</f>
        <v>0</v>
      </c>
      <c r="BC42" s="196" t="s">
        <v>1488</v>
      </c>
      <c r="BD42" s="1331"/>
      <c r="BE42" s="1331"/>
      <c r="BF42" s="1005" t="s">
        <v>1464</v>
      </c>
      <c r="BG42" s="1005"/>
      <c r="BH42" s="1005"/>
      <c r="BI42" s="623"/>
      <c r="BJ42" s="623"/>
    </row>
    <row s="541" customFormat="1" customHeight="1" ht="57.421875">
      <c r="A43" s="1331"/>
      <c r="B43" s="430"/>
      <c r="C43" s="1331"/>
      <c r="D43" s="1331"/>
      <c r="E43" s="623">
        <v>15</v>
      </c>
      <c r="F43" s="50" cm="1" t="str">
        <f t="array" ref="F43:F43">OFFSET(E43,-1,1)</f>
        <v>1</v>
      </c>
      <c r="G43" s="118" t="s">
        <v>344</v>
      </c>
      <c r="H43" s="1331"/>
      <c r="I43" s="1331"/>
      <c r="J43" s="1331"/>
      <c r="K43" s="120" t="str">
        <f>F43&amp;"1komm"</f>
        <v>11komm</v>
      </c>
      <c r="L43" s="926" cm="1" t="str">
        <f t="array" ref="L43:L43">BC43</f>
        <v>Глава 28 "ТРАНСПОРТНЫЙ НАЛОГ" "Налогового кодекса Российской Федерации (часть вторая)" от 05.08.2000 N 117-ФЗ. 2) Закон Кемеровской области от 28.11.2002 N 95-ОЗ (ред. от 27.11.2025) "О транспортном налоге". 3) Приказ ФНС России от 04.09.2019 N ММВ-7-21/440@.</v>
      </c>
      <c r="M43" s="1331"/>
      <c r="N43" s="1331"/>
      <c r="O43" s="1331"/>
      <c r="P43" s="1331"/>
      <c r="Q43" s="1331"/>
      <c r="R43" s="1331"/>
      <c r="S43" s="1331"/>
      <c r="T43" s="468" cm="1" t="str">
        <f t="array" ref="T43:T43">T42</f>
        <v>true</v>
      </c>
      <c r="U43" s="1331"/>
      <c r="V43" s="1331"/>
      <c r="W43" s="1331"/>
      <c r="X43" s="1539"/>
      <c r="Y43" s="1331"/>
      <c r="Z43" s="1529"/>
      <c r="AA43" s="1331"/>
      <c r="AB43" s="295" t="s">
        <v>290</v>
      </c>
      <c r="AC43" s="454" t="s">
        <v>1465</v>
      </c>
      <c r="AD43" s="296" t="s">
        <v>936</v>
      </c>
      <c r="AE43" s="224">
        <v>3.05</v>
      </c>
      <c r="AF43" s="225">
        <f>139.12+34.83</f>
        <v>173.95</v>
      </c>
      <c r="AG43" s="225">
        <f>139.12+34.83</f>
        <v>173.95</v>
      </c>
      <c r="AH43" s="225">
        <v>20.44692</v>
      </c>
      <c r="AI43" s="225">
        <f>139.12+34.83</f>
        <v>173.95</v>
      </c>
      <c r="AJ43" s="4301"/>
      <c r="AK43" s="4301"/>
      <c r="AL43" s="4301"/>
      <c r="AM43" s="4301"/>
      <c r="AN43" s="4301"/>
      <c r="AO43" s="4301"/>
      <c r="AP43" s="4301"/>
      <c r="AQ43" s="4301"/>
      <c r="AR43" s="4301"/>
      <c r="AS43" s="225">
        <f>139.12+34.83</f>
        <v>173.95</v>
      </c>
      <c r="AT43" s="4301"/>
      <c r="AU43" s="4301"/>
      <c r="AV43" s="4301"/>
      <c r="AW43" s="4301"/>
      <c r="AX43" s="4301"/>
      <c r="AY43" s="4301"/>
      <c r="AZ43" s="4301"/>
      <c r="BA43" s="4301"/>
      <c r="BB43" s="4301"/>
      <c r="BC43" s="196" t="s">
        <v>1489</v>
      </c>
      <c r="BD43" s="1331"/>
      <c r="BE43" s="1331"/>
      <c r="BF43" s="1005" t="s">
        <v>1466</v>
      </c>
      <c r="BG43" s="1005"/>
      <c r="BH43" s="1005"/>
      <c r="BI43" s="623"/>
      <c r="BJ43" s="623"/>
    </row>
    <row s="541" customFormat="1" customHeight="1" ht="58.921875">
      <c r="A44" s="1331"/>
      <c r="B44" s="845"/>
      <c r="C44" s="428"/>
      <c r="D44" s="428"/>
      <c r="E44" s="624">
        <v>22.5</v>
      </c>
      <c r="F44" s="50" cm="1" t="str">
        <f t="array" ref="F44:F44">OFFSET(E44,-1,1)</f>
        <v>1</v>
      </c>
      <c r="G44" s="428" t="s">
        <v>345</v>
      </c>
      <c r="H44" s="428"/>
      <c r="I44" s="428"/>
      <c r="J44" s="428"/>
      <c r="K44" s="120" t="str">
        <f>F44&amp;"2komm"</f>
        <v>12komm</v>
      </c>
      <c r="L44" s="926" cm="1" t="str">
        <f t="array" ref="L44:L44">BC44</f>
        <v>1) Глава 31 "ЗЕМЕЛЬНЫЙ НАЛОГ" "Налогового кодекса Российской Федерации (часть вторая)" от 05.08.2000 N 117-ФЗ. 2) Постановление Кемеровского городского Совета народных депутатов от 30.09.2005 N 263 (ред. от 27.06.2025) "Об установлении и введении в действие на территории города Кемерово земельного налога"  (для  затрат на сч. 26). 3)  Приказ ФНС России от 04.09.2019 N ММВ-7-21/440@.</v>
      </c>
      <c r="M44" s="428"/>
      <c r="N44" s="428"/>
      <c r="O44" s="428"/>
      <c r="P44" s="428"/>
      <c r="Q44" s="428"/>
      <c r="R44" s="428"/>
      <c r="S44" s="428"/>
      <c r="T44" s="468" cm="1" t="str">
        <f t="array" ref="T44:T44">T43</f>
        <v>true</v>
      </c>
      <c r="U44" s="428"/>
      <c r="V44" s="428"/>
      <c r="W44" s="1331"/>
      <c r="X44" s="1539"/>
      <c r="Y44" s="1331"/>
      <c r="Z44" s="1529"/>
      <c r="AA44" s="1331"/>
      <c r="AB44" s="295" t="s">
        <v>299</v>
      </c>
      <c r="AC44" s="454" t="s">
        <v>1467</v>
      </c>
      <c r="AD44" s="296" t="s">
        <v>936</v>
      </c>
      <c r="AE44" s="224">
        <v>2.38</v>
      </c>
      <c r="AF44" s="225">
        <f>13.89+3.48</f>
        <v>17.37</v>
      </c>
      <c r="AG44" s="225">
        <f>13.89+3.48</f>
        <v>17.37</v>
      </c>
      <c r="AH44" s="225">
        <v>7.35083</v>
      </c>
      <c r="AI44" s="225">
        <f>13.89+3.48</f>
        <v>17.37</v>
      </c>
      <c r="AJ44" s="4301"/>
      <c r="AK44" s="4301"/>
      <c r="AL44" s="4301"/>
      <c r="AM44" s="4301"/>
      <c r="AN44" s="4301"/>
      <c r="AO44" s="4301"/>
      <c r="AP44" s="4301"/>
      <c r="AQ44" s="4301"/>
      <c r="AR44" s="4301"/>
      <c r="AS44" s="225">
        <f>13.89+3.48</f>
        <v>17.37</v>
      </c>
      <c r="AT44" s="4301"/>
      <c r="AU44" s="4301"/>
      <c r="AV44" s="4301"/>
      <c r="AW44" s="4301"/>
      <c r="AX44" s="4301"/>
      <c r="AY44" s="4301"/>
      <c r="AZ44" s="4301"/>
      <c r="BA44" s="4301"/>
      <c r="BB44" s="4301"/>
      <c r="BC44" s="196" t="s">
        <v>1490</v>
      </c>
      <c r="BD44" s="1331"/>
      <c r="BE44" s="1331"/>
      <c r="BF44" s="1005" t="s">
        <v>1468</v>
      </c>
      <c r="BG44" s="1005"/>
      <c r="BH44" s="1005"/>
      <c r="BI44" s="623"/>
      <c r="BJ44" s="623"/>
    </row>
    <row s="541" customFormat="1" customHeight="1" ht="34.171875">
      <c r="A45" s="1331"/>
      <c r="B45" s="845"/>
      <c r="C45" s="428"/>
      <c r="D45" s="428"/>
      <c r="E45" s="624">
        <v>22.5</v>
      </c>
      <c r="F45" s="50" cm="1" t="str">
        <f t="array" ref="F45:F45">OFFSET(E45,-1,1)</f>
        <v>1</v>
      </c>
      <c r="G45" s="428" t="s">
        <v>346</v>
      </c>
      <c r="H45" s="428" t="s">
        <v>1469</v>
      </c>
      <c r="I45" s="428"/>
      <c r="J45" s="428"/>
      <c r="K45" s="120" t="str">
        <f>F45&amp;"3komm"</f>
        <v>13komm</v>
      </c>
      <c r="L45" s="926" cm="1" t="str">
        <f t="array" ref="L45:L45">BC45</f>
        <v>Приказ Первого заместителя Генерального директора ОАО "СКЭК" от 31.12.2023 № 375 "О внесении изменений в Учетную политику" (Пункт 1.1).</v>
      </c>
      <c r="M45" s="428"/>
      <c r="N45" s="428"/>
      <c r="O45" s="428"/>
      <c r="P45" s="428"/>
      <c r="Q45" s="428"/>
      <c r="R45" s="428"/>
      <c r="S45" s="428"/>
      <c r="T45" s="468" cm="1" t="str">
        <f t="array" ref="T45:T45">T44</f>
        <v>true</v>
      </c>
      <c r="U45" s="428"/>
      <c r="V45" s="428"/>
      <c r="W45" s="1331"/>
      <c r="X45" s="1539"/>
      <c r="Y45" s="1331"/>
      <c r="Z45" s="1529"/>
      <c r="AA45" s="1331"/>
      <c r="AB45" s="295" t="s">
        <v>234</v>
      </c>
      <c r="AC45" s="454" t="s">
        <v>1470</v>
      </c>
      <c r="AD45" s="296" t="s">
        <v>936</v>
      </c>
      <c r="AE45" s="224"/>
      <c r="AF45" s="225"/>
      <c r="AG45" s="225"/>
      <c r="AH45" s="225"/>
      <c r="AI45" s="225"/>
      <c r="AJ45" s="4301"/>
      <c r="AK45" s="4301"/>
      <c r="AL45" s="4301"/>
      <c r="AM45" s="4301"/>
      <c r="AN45" s="4301"/>
      <c r="AO45" s="4301"/>
      <c r="AP45" s="4301"/>
      <c r="AQ45" s="4301"/>
      <c r="AR45" s="4301"/>
      <c r="AS45" s="225"/>
      <c r="AT45" s="4301"/>
      <c r="AU45" s="4301"/>
      <c r="AV45" s="4301"/>
      <c r="AW45" s="4301"/>
      <c r="AX45" s="4301"/>
      <c r="AY45" s="4301"/>
      <c r="AZ45" s="4301"/>
      <c r="BA45" s="4301"/>
      <c r="BB45" s="4301"/>
      <c r="BC45" s="196" t="s">
        <v>1491</v>
      </c>
      <c r="BD45" s="1331"/>
      <c r="BE45" s="1331"/>
      <c r="BF45" s="1005" t="s">
        <v>1471</v>
      </c>
      <c r="BG45" s="1005"/>
      <c r="BH45" s="1005"/>
      <c r="BI45" s="623"/>
      <c r="BJ45" s="623"/>
    </row>
    <row s="1656" customFormat="1" customHeight="1" ht="35.671875">
      <c r="A46" s="1331"/>
      <c r="B46" s="898"/>
      <c r="C46" s="894"/>
      <c r="D46" s="894"/>
      <c r="E46" s="895">
        <v>15</v>
      </c>
      <c r="F46" s="50" cm="1" t="str">
        <f t="array" ref="F46:F46">OFFSET(E46,-1,1)</f>
        <v>1</v>
      </c>
      <c r="G46" s="894" t="s">
        <v>348</v>
      </c>
      <c r="H46" s="894"/>
      <c r="I46" s="894"/>
      <c r="J46" s="894"/>
      <c r="K46" s="120" t="str">
        <f>F46&amp;"4komm"</f>
        <v>14komm</v>
      </c>
      <c r="L46" s="926" cm="1" t="str">
        <f t="array" ref="L46:L46">BC46</f>
        <v>Глава 25.2. "ВОДНЫЙ НАЛОГ" "Налогового кодекса Российской Федерации (часть вторая)" от 05.08.2000 N 117-ФЗ. (ред. от 28.11.2025 N 425-ФЗ)</v>
      </c>
      <c r="M46" s="894"/>
      <c r="N46" s="894"/>
      <c r="O46" s="894"/>
      <c r="P46" s="894"/>
      <c r="Q46" s="894"/>
      <c r="R46" s="894"/>
      <c r="S46" s="894"/>
      <c r="T46" s="468" cm="1" t="str">
        <f t="array" ref="T46:T46">T45</f>
        <v>true</v>
      </c>
      <c r="U46" s="894"/>
      <c r="V46" s="894"/>
      <c r="W46" s="1331"/>
      <c r="X46" s="1539"/>
      <c r="Y46" s="1331"/>
      <c r="Z46" s="1529"/>
      <c r="AA46" s="1331"/>
      <c r="AB46" s="896">
        <v>4</v>
      </c>
      <c r="AC46" s="454" t="s">
        <v>1472</v>
      </c>
      <c r="AD46" s="296" t="s">
        <v>936</v>
      </c>
      <c r="AE46" s="226">
        <v>6.13544</v>
      </c>
      <c r="AF46" s="226">
        <f>4.988-0.01</f>
        <v>4.978</v>
      </c>
      <c r="AG46" s="226">
        <f>4.988-0.01</f>
        <v>4.978</v>
      </c>
      <c r="AH46" s="226">
        <v>5.832466</v>
      </c>
      <c r="AI46" s="226"/>
      <c r="AJ46" s="4359"/>
      <c r="AK46" s="4359"/>
      <c r="AL46" s="4359"/>
      <c r="AM46" s="4359"/>
      <c r="AN46" s="4359"/>
      <c r="AO46" s="4359"/>
      <c r="AP46" s="4359"/>
      <c r="AQ46" s="4359"/>
      <c r="AR46" s="4359"/>
      <c r="AS46" s="226">
        <f>17.625*0.326*1.051</f>
        <v>6.03878325</v>
      </c>
      <c r="AT46" s="4359"/>
      <c r="AU46" s="4359"/>
      <c r="AV46" s="4359"/>
      <c r="AW46" s="4359"/>
      <c r="AX46" s="4359"/>
      <c r="AY46" s="4359"/>
      <c r="AZ46" s="4359"/>
      <c r="BA46" s="4359"/>
      <c r="BB46" s="4359"/>
      <c r="BC46" s="196" t="s">
        <v>1492</v>
      </c>
      <c r="BD46" s="1331"/>
      <c r="BE46" s="1331"/>
      <c r="BF46" s="1046" t="s">
        <v>1473</v>
      </c>
      <c r="BG46" s="1245"/>
      <c r="BH46" s="1245"/>
      <c r="BI46" s="1182"/>
      <c r="BJ46" s="1182"/>
    </row>
    <row s="541" customFormat="1" customHeight="1" ht="55.921875">
      <c r="A47" s="1331"/>
      <c r="B47" s="845"/>
      <c r="C47" s="428"/>
      <c r="D47" s="428"/>
      <c r="E47" s="624">
        <v>15</v>
      </c>
      <c r="F47" s="50" cm="1" t="str">
        <f t="array" ref="F47:F47">OFFSET(E47,-1,1)</f>
        <v>1</v>
      </c>
      <c r="G47" s="428" t="s">
        <v>347</v>
      </c>
      <c r="H47" s="428"/>
      <c r="I47" s="428"/>
      <c r="J47" s="428"/>
      <c r="K47" s="120" t="str">
        <f>F47&amp;"5komm"</f>
        <v>15komm</v>
      </c>
      <c r="L47" s="926" cm="1" t="str">
        <f t="array" ref="L47:L47">BC47</f>
        <v>1) Постановление Правительства РФ от 30.12.2006 N 876 (ред. от 29.12.2017) "О ставках платы за пользование водными объектами, находящимися в федеральной собственности"; 2) Постановление Правительства РФ от 26.12.2014 N 1509 (ред. от 21.12.2024) "О ставках платы за пользование водными объектами, находящимися в федеральной собственности, и внесении изменений в раздел I ставок платы за пользование водными объектами, находящимися в федеральной собственности".</v>
      </c>
      <c r="M47" s="428"/>
      <c r="N47" s="428"/>
      <c r="O47" s="428"/>
      <c r="P47" s="428"/>
      <c r="Q47" s="428"/>
      <c r="R47" s="428"/>
      <c r="S47" s="428"/>
      <c r="T47" s="468" cm="1" t="str">
        <f t="array" ref="T47:T47">T46</f>
        <v>true</v>
      </c>
      <c r="U47" s="428"/>
      <c r="V47" s="428"/>
      <c r="W47" s="1331"/>
      <c r="X47" s="1539"/>
      <c r="Y47" s="1331"/>
      <c r="Z47" s="1529"/>
      <c r="AA47" s="1331"/>
      <c r="AB47" s="295" t="s">
        <v>454</v>
      </c>
      <c r="AC47" s="454" t="s">
        <v>1474</v>
      </c>
      <c r="AD47" s="296" t="s">
        <v>936</v>
      </c>
      <c r="AE47" s="224">
        <v>22087.9730315</v>
      </c>
      <c r="AF47" s="224">
        <f>18944.25084</f>
        <v>18944.25084</v>
      </c>
      <c r="AG47" s="224">
        <f>18944.25084</f>
        <v>18944.25084</v>
      </c>
      <c r="AH47" s="224">
        <v>23813.3149848</v>
      </c>
      <c r="AI47" s="224">
        <v>26335.99</v>
      </c>
      <c r="AJ47" s="4352"/>
      <c r="AK47" s="4352"/>
      <c r="AL47" s="4352"/>
      <c r="AM47" s="4352"/>
      <c r="AN47" s="4352"/>
      <c r="AO47" s="4352"/>
      <c r="AP47" s="4352"/>
      <c r="AQ47" s="4352"/>
      <c r="AR47" s="4352"/>
      <c r="AS47" s="224">
        <f>27972.42-AS46</f>
        <v>27966.38121675</v>
      </c>
      <c r="AT47" s="4352"/>
      <c r="AU47" s="4352"/>
      <c r="AV47" s="4352"/>
      <c r="AW47" s="4352"/>
      <c r="AX47" s="4352"/>
      <c r="AY47" s="4352"/>
      <c r="AZ47" s="4352"/>
      <c r="BA47" s="4352"/>
      <c r="BB47" s="4352"/>
      <c r="BC47" s="196" t="s">
        <v>1493</v>
      </c>
      <c r="BD47" s="1331"/>
      <c r="BE47" s="1331"/>
      <c r="BF47" s="1005" t="s">
        <v>1475</v>
      </c>
      <c r="BG47" s="1005"/>
      <c r="BH47" s="1005"/>
      <c r="BI47" s="623"/>
      <c r="BJ47" s="623"/>
    </row>
    <row s="541" customFormat="1" customHeight="1" ht="47.671875">
      <c r="A48" s="1331"/>
      <c r="B48" s="845"/>
      <c r="C48" s="428"/>
      <c r="D48" s="428"/>
      <c r="E48" s="624">
        <v>15</v>
      </c>
      <c r="F48" s="50" cm="1" t="str">
        <f t="array" ref="F48:F48">OFFSET(E48,-1,1)</f>
        <v>1</v>
      </c>
      <c r="G48" s="428" t="s">
        <v>616</v>
      </c>
      <c r="H48" s="428"/>
      <c r="I48" s="428"/>
      <c r="J48" s="428"/>
      <c r="K48" s="120" t="str">
        <f>F48&amp;"6komm"</f>
        <v>16komm</v>
      </c>
      <c r="L48" s="926" cm="1" t="str">
        <f t="array" ref="L48:L48">BC48</f>
        <v>Глава 30 "НАЛОГ НА ИМУЩЕСТВО ОРГАНИЗАЦИЙ" Налогового кодекса РФ (Часть вторая);  Закон Кемеровской области - Кузбасса от 26.11.2003 N 60-ОЗ (ред. от 05.05.2025 N 47-ОЗ, от 30.06.2025 N 79-ОЗ, от 27.11.2025 N 144-ОЗ) ) "О налоге на имущество организаций".</v>
      </c>
      <c r="M48" s="428"/>
      <c r="N48" s="428"/>
      <c r="O48" s="428"/>
      <c r="P48" s="428"/>
      <c r="Q48" s="428"/>
      <c r="R48" s="428"/>
      <c r="S48" s="428"/>
      <c r="T48" s="468" cm="1" t="str">
        <f t="array" ref="T48:T48">T47</f>
        <v>true</v>
      </c>
      <c r="U48" s="428"/>
      <c r="V48" s="428"/>
      <c r="W48" s="1331"/>
      <c r="X48" s="1539"/>
      <c r="Y48" s="1331"/>
      <c r="Z48" s="1529"/>
      <c r="AA48" s="1331"/>
      <c r="AB48" s="295" t="s">
        <v>457</v>
      </c>
      <c r="AC48" s="454" t="s">
        <v>1476</v>
      </c>
      <c r="AD48" s="296" t="s">
        <v>936</v>
      </c>
      <c r="AE48" s="224">
        <v>7018.765</v>
      </c>
      <c r="AF48" s="224">
        <f>6318.95+514.19</f>
        <v>6833.14</v>
      </c>
      <c r="AG48" s="224">
        <f>6318.95+514.19</f>
        <v>6833.14</v>
      </c>
      <c r="AH48" s="224">
        <v>5713.71</v>
      </c>
      <c r="AI48" s="224">
        <f>3847.35+529.08</f>
        <v>4376.43</v>
      </c>
      <c r="AJ48" s="4352"/>
      <c r="AK48" s="4352"/>
      <c r="AL48" s="4352"/>
      <c r="AM48" s="4352"/>
      <c r="AN48" s="4352"/>
      <c r="AO48" s="4352"/>
      <c r="AP48" s="4352"/>
      <c r="AQ48" s="4352"/>
      <c r="AR48" s="4352"/>
      <c r="AS48" s="224">
        <f>3847.46+529.06</f>
        <v>4376.52</v>
      </c>
      <c r="AT48" s="4352"/>
      <c r="AU48" s="4352"/>
      <c r="AV48" s="4352"/>
      <c r="AW48" s="4352"/>
      <c r="AX48" s="4352"/>
      <c r="AY48" s="4352"/>
      <c r="AZ48" s="4352"/>
      <c r="BA48" s="4352"/>
      <c r="BB48" s="4352"/>
      <c r="BC48" s="196" t="s">
        <v>1494</v>
      </c>
      <c r="BD48" s="1331"/>
      <c r="BE48" s="1331"/>
      <c r="BF48" s="1005" t="s">
        <v>1477</v>
      </c>
      <c r="BG48" s="1005"/>
      <c r="BH48" s="1005"/>
      <c r="BI48" s="623"/>
      <c r="BJ48" s="623"/>
    </row>
    <row s="541" customFormat="1" customHeight="1" ht="30.421875">
      <c r="A49" s="1331"/>
      <c r="B49" s="845"/>
      <c r="C49" s="428"/>
      <c r="D49" s="428"/>
      <c r="E49" s="624">
        <v>15</v>
      </c>
      <c r="F49" s="50" cm="1" t="str">
        <f t="array" ref="F49:F49">OFFSET(E49,-1,1)</f>
        <v>1</v>
      </c>
      <c r="G49" s="428" t="s">
        <v>619</v>
      </c>
      <c r="H49" s="428" t="s">
        <v>1478</v>
      </c>
      <c r="I49" s="428"/>
      <c r="J49" s="428"/>
      <c r="K49" s="120" t="str">
        <f>F49&amp;"7komm"</f>
        <v>17komm</v>
      </c>
      <c r="L49" s="926" cm="1" t="str">
        <f t="array" ref="L49:L49">BC49</f>
        <v>Глава 25 "НАЛОГ НА ПРИБЫЛЬ ОРГАНИЗАЦИЙ" "Налогового кодекса Российской Федерации (часть вторая)" от 05.08.2000 N 117-ФЗ.</v>
      </c>
      <c r="M49" s="428"/>
      <c r="N49" s="428"/>
      <c r="O49" s="428"/>
      <c r="P49" s="428"/>
      <c r="Q49" s="428"/>
      <c r="R49" s="428"/>
      <c r="S49" s="428"/>
      <c r="T49" s="468" cm="1" t="str">
        <f t="array" ref="T49:T49">T48</f>
        <v>true</v>
      </c>
      <c r="U49" s="428"/>
      <c r="V49" s="428"/>
      <c r="W49" s="1331"/>
      <c r="X49" s="1539"/>
      <c r="Y49" s="1331"/>
      <c r="Z49" s="1529"/>
      <c r="AA49" s="1331"/>
      <c r="AB49" s="295" t="s">
        <v>460</v>
      </c>
      <c r="AC49" s="454" t="s">
        <v>1479</v>
      </c>
      <c r="AD49" s="296" t="s">
        <v>936</v>
      </c>
      <c r="AE49" s="224"/>
      <c r="AF49" s="224"/>
      <c r="AG49" s="224"/>
      <c r="AH49" s="224"/>
      <c r="AI49" s="224"/>
      <c r="AJ49" s="4352"/>
      <c r="AK49" s="4352"/>
      <c r="AL49" s="4352"/>
      <c r="AM49" s="4352"/>
      <c r="AN49" s="4352"/>
      <c r="AO49" s="4352"/>
      <c r="AP49" s="4352"/>
      <c r="AQ49" s="4352"/>
      <c r="AR49" s="4352"/>
      <c r="AS49" s="224"/>
      <c r="AT49" s="4352"/>
      <c r="AU49" s="4352"/>
      <c r="AV49" s="4352"/>
      <c r="AW49" s="4352"/>
      <c r="AX49" s="4352"/>
      <c r="AY49" s="4352"/>
      <c r="AZ49" s="4352"/>
      <c r="BA49" s="4352"/>
      <c r="BB49" s="4352"/>
      <c r="BC49" s="196" t="s">
        <v>1495</v>
      </c>
      <c r="BD49" s="1331"/>
      <c r="BE49" s="1331"/>
      <c r="BF49" s="1005" t="s">
        <v>1480</v>
      </c>
      <c r="BG49" s="1005"/>
      <c r="BH49" s="1005"/>
      <c r="BI49" s="623"/>
      <c r="BJ49" s="623"/>
    </row>
    <row s="541" customFormat="1" customHeight="1" ht="52.921875">
      <c r="A50" s="1331"/>
      <c r="B50" s="845"/>
      <c r="C50" s="428"/>
      <c r="D50" s="428"/>
      <c r="E50" s="624">
        <v>22.5</v>
      </c>
      <c r="F50" s="50" cm="1" t="str">
        <f t="array" ref="F50:F50">OFFSET(E50,-1,1)</f>
        <v>1</v>
      </c>
      <c r="G50" s="428" t="s">
        <v>685</v>
      </c>
      <c r="H50" s="428"/>
      <c r="I50" s="428"/>
      <c r="J50" s="428"/>
      <c r="K50" s="120" t="str">
        <f>F50&amp;"8komm"</f>
        <v>18komm</v>
      </c>
      <c r="L50" s="926" cm="1" t="str">
        <f t="array" ref="L50:L50">BC50</f>
        <v>Приказ Генерального директора ОАО "СКЭК" от 30.06.2023 № 166/1 "О внесении изменений в Учетную политику" (Пункт 1.1, внесение изменений в пункт 3.5.3 о распределении общехозяйственных расходов, учитываемых на сч. 26 ).</v>
      </c>
      <c r="M50" s="428"/>
      <c r="N50" s="428"/>
      <c r="O50" s="428"/>
      <c r="P50" s="428"/>
      <c r="Q50" s="428"/>
      <c r="R50" s="428"/>
      <c r="S50" s="428"/>
      <c r="T50" s="468" cm="1" t="str">
        <f t="array" ref="T50:T50">T49</f>
        <v>true</v>
      </c>
      <c r="U50" s="428"/>
      <c r="V50" s="428"/>
      <c r="W50" s="1331"/>
      <c r="X50" s="1539"/>
      <c r="Y50" s="1331"/>
      <c r="Z50" s="1529"/>
      <c r="AA50" s="1331"/>
      <c r="AB50" s="295" t="s">
        <v>463</v>
      </c>
      <c r="AC50" s="454" t="s">
        <v>1481</v>
      </c>
      <c r="AD50" s="296" t="s">
        <v>936</v>
      </c>
      <c r="AE50" s="224"/>
      <c r="AF50" s="224"/>
      <c r="AG50" s="224"/>
      <c r="AH50" s="224"/>
      <c r="AI50" s="224"/>
      <c r="AJ50" s="4352"/>
      <c r="AK50" s="4352"/>
      <c r="AL50" s="4352"/>
      <c r="AM50" s="4352"/>
      <c r="AN50" s="4352"/>
      <c r="AO50" s="4352"/>
      <c r="AP50" s="4352"/>
      <c r="AQ50" s="4352"/>
      <c r="AR50" s="4352"/>
      <c r="AS50" s="224"/>
      <c r="AT50" s="4352"/>
      <c r="AU50" s="4352"/>
      <c r="AV50" s="4352"/>
      <c r="AW50" s="4352"/>
      <c r="AX50" s="4352"/>
      <c r="AY50" s="4352"/>
      <c r="AZ50" s="4352"/>
      <c r="BA50" s="4352"/>
      <c r="BB50" s="4352"/>
      <c r="BC50" s="196" t="s">
        <v>1496</v>
      </c>
      <c r="BD50" s="1331"/>
      <c r="BE50" s="1331"/>
      <c r="BF50" s="1005" t="s">
        <v>1482</v>
      </c>
      <c r="BG50" s="1005"/>
      <c r="BH50" s="1005"/>
      <c r="BI50" s="623"/>
      <c r="BJ50" s="623"/>
    </row>
    <row s="1029" customFormat="1" customHeight="1" ht="36.421875">
      <c r="A51" s="1029"/>
      <c r="B51" s="845"/>
      <c r="C51" s="428"/>
      <c r="D51" s="428"/>
      <c r="E51" s="624">
        <v>22.5</v>
      </c>
      <c r="F51" s="50" cm="1" t="str">
        <f t="array" ref="F51:F51">OFFSET(E51,-1,1)</f>
        <v>1</v>
      </c>
      <c r="G51" s="428"/>
      <c r="H51" s="428"/>
      <c r="I51" s="428"/>
      <c r="J51" s="428"/>
      <c r="K51" s="120" t="str">
        <f>F51&amp;"9komm"</f>
        <v>19komm</v>
      </c>
      <c r="L51" s="926" cm="1" t="str">
        <f t="array" ref="L51:L51">BC51</f>
        <v>0</v>
      </c>
      <c r="M51" s="428"/>
      <c r="N51" s="428"/>
      <c r="O51" s="428"/>
      <c r="P51" s="428"/>
      <c r="Q51" s="428"/>
      <c r="R51" s="428"/>
      <c r="S51" s="428"/>
      <c r="T51" s="468" cm="1" t="str">
        <f t="array" ref="T51:T51">T50</f>
        <v>true</v>
      </c>
      <c r="U51" s="428"/>
      <c r="V51" s="428"/>
      <c r="W51" s="1029"/>
      <c r="X51" s="1539"/>
      <c r="Y51" s="1029"/>
      <c r="Z51" s="1529"/>
      <c r="AA51" s="1029"/>
      <c r="AB51" s="295" t="s">
        <v>466</v>
      </c>
      <c r="AC51" s="454" t="s">
        <v>1483</v>
      </c>
      <c r="AD51" s="296" t="s">
        <v>936</v>
      </c>
      <c r="AE51" s="294"/>
      <c r="AF51" s="294"/>
      <c r="AG51" s="294"/>
      <c r="AH51" s="294"/>
      <c r="AI51" s="294"/>
      <c r="AJ51" s="4146"/>
      <c r="AK51" s="4146"/>
      <c r="AL51" s="4146"/>
      <c r="AM51" s="4146"/>
      <c r="AN51" s="4146"/>
      <c r="AO51" s="4146"/>
      <c r="AP51" s="4146"/>
      <c r="AQ51" s="4146"/>
      <c r="AR51" s="4146"/>
      <c r="AS51" s="294"/>
      <c r="AT51" s="4146"/>
      <c r="AU51" s="4146"/>
      <c r="AV51" s="4146"/>
      <c r="AW51" s="4146"/>
      <c r="AX51" s="4146"/>
      <c r="AY51" s="4146"/>
      <c r="AZ51" s="4146"/>
      <c r="BA51" s="4146"/>
      <c r="BB51" s="4146"/>
      <c r="BC51" s="781"/>
      <c r="BD51" s="1029"/>
      <c r="BE51" s="1029"/>
      <c r="BF51" s="1013" t="s">
        <v>1484</v>
      </c>
      <c r="BG51" s="1013"/>
      <c r="BH51" s="1013"/>
      <c r="BI51" s="698"/>
      <c r="BJ51" s="698"/>
    </row>
    <row s="1656" customFormat="1" customHeight="1" ht="26.671875">
      <c r="A52" s="1331"/>
      <c r="B52" s="898"/>
      <c r="C52" s="894"/>
      <c r="D52" s="894"/>
      <c r="E52" s="895">
        <v>15</v>
      </c>
      <c r="F52" s="50" cm="1" t="str">
        <f t="array" ref="F52:F52">OFFSET(E52,-1,1)</f>
        <v>1</v>
      </c>
      <c r="G52" s="894" t="s">
        <v>700</v>
      </c>
      <c r="H52" s="930"/>
      <c r="I52" s="894"/>
      <c r="J52" s="894"/>
      <c r="K52" s="120" t="str">
        <f>F52&amp;"10komm"</f>
        <v>110komm</v>
      </c>
      <c r="L52" s="926" cm="1" t="str">
        <f t="array" ref="L52:L52">BC52</f>
        <v>0</v>
      </c>
      <c r="M52" s="894"/>
      <c r="N52" s="894"/>
      <c r="O52" s="894"/>
      <c r="P52" s="894"/>
      <c r="Q52" s="894"/>
      <c r="R52" s="894"/>
      <c r="S52" s="894"/>
      <c r="T52" s="468" cm="1" t="str">
        <f t="array" ref="T52:T52">T51</f>
        <v>true</v>
      </c>
      <c r="U52" s="894"/>
      <c r="V52" s="894"/>
      <c r="W52" s="1331"/>
      <c r="X52" s="1539"/>
      <c r="Y52" s="1331"/>
      <c r="Z52" s="1529"/>
      <c r="AA52" s="1331"/>
      <c r="AB52" s="896">
        <v>10</v>
      </c>
      <c r="AC52" s="454" t="s">
        <v>1485</v>
      </c>
      <c r="AD52" s="296" t="s">
        <v>936</v>
      </c>
      <c r="AE52" s="231">
        <f>SUM(AE53:AE54)</f>
        <v>0</v>
      </c>
      <c r="AF52" s="231">
        <f>SUM(AF53:AF54)</f>
        <v>0</v>
      </c>
      <c r="AG52" s="231">
        <f>SUM(AG53:AG54)</f>
        <v>0</v>
      </c>
      <c r="AH52" s="231">
        <f>SUM(AH53:AH54)</f>
        <v>0</v>
      </c>
      <c r="AI52" s="231">
        <f>SUM(AI53:AI54)</f>
        <v>0</v>
      </c>
      <c r="AJ52" s="231">
        <f>SUM(AJ53:AJ54)</f>
        <v>0</v>
      </c>
      <c r="AK52" s="231">
        <f>SUM(AK53:AK54)</f>
        <v>0</v>
      </c>
      <c r="AL52" s="231">
        <f>SUM(AL53:AL54)</f>
        <v>0</v>
      </c>
      <c r="AM52" s="231">
        <f>SUM(AM53:AM54)</f>
        <v>0</v>
      </c>
      <c r="AN52" s="231">
        <f>SUM(AN53:AN54)</f>
        <v>0</v>
      </c>
      <c r="AO52" s="231">
        <f>SUM(AO53:AO54)</f>
        <v>0</v>
      </c>
      <c r="AP52" s="231">
        <f>SUM(AP53:AP54)</f>
        <v>0</v>
      </c>
      <c r="AQ52" s="231">
        <f>SUM(AQ53:AQ54)</f>
        <v>0</v>
      </c>
      <c r="AR52" s="231">
        <f>SUM(AR53:AR54)</f>
        <v>0</v>
      </c>
      <c r="AS52" s="231">
        <f>SUM(AS53:AS54)</f>
        <v>0</v>
      </c>
      <c r="AT52" s="231">
        <f>SUM(AT53:AT54)</f>
        <v>0</v>
      </c>
      <c r="AU52" s="231">
        <f>SUM(AU53:AU54)</f>
        <v>0</v>
      </c>
      <c r="AV52" s="231">
        <f>SUM(AV53:AV54)</f>
        <v>0</v>
      </c>
      <c r="AW52" s="231">
        <f>SUM(AW53:AW54)</f>
        <v>0</v>
      </c>
      <c r="AX52" s="231">
        <f>SUM(AX53:AX54)</f>
        <v>0</v>
      </c>
      <c r="AY52" s="231">
        <f>SUM(AY53:AY54)</f>
        <v>0</v>
      </c>
      <c r="AZ52" s="231">
        <f>SUM(AZ53:AZ54)</f>
        <v>0</v>
      </c>
      <c r="BA52" s="231">
        <f>SUM(BA53:BA54)</f>
        <v>0</v>
      </c>
      <c r="BB52" s="231">
        <f>SUM(BB53:BB54)</f>
        <v>0</v>
      </c>
      <c r="BC52" s="196"/>
      <c r="BD52" s="1331"/>
      <c r="BE52" s="1331"/>
      <c r="BF52" s="1046" t="s">
        <v>1486</v>
      </c>
      <c r="BG52" s="1245"/>
      <c r="BH52" s="1245"/>
      <c r="BI52" s="1182"/>
      <c r="BJ52" s="1182"/>
    </row>
    <row s="1656" customFormat="1" customHeight="1" ht="14.25" hidden="1">
      <c r="A53" s="118"/>
      <c r="B53" s="845"/>
      <c r="C53" s="428"/>
      <c r="D53" s="428"/>
      <c r="E53" s="624">
        <v>15</v>
      </c>
      <c r="F53" s="50" cm="1" t="str">
        <f t="array" ref="F53:F53">OFFSET(E53,-1,1)</f>
        <v>1</v>
      </c>
      <c r="G53" s="428" t="s">
        <v>700</v>
      </c>
      <c r="H53" s="930"/>
      <c r="I53" s="1088" cm="1" t="str">
        <f t="array" ref="I53:I53">AC53</f>
        <v>0</v>
      </c>
      <c r="J53" s="428"/>
      <c r="K53" s="428"/>
      <c r="L53" s="428"/>
      <c r="M53" s="428"/>
      <c r="N53" s="428"/>
      <c r="O53" s="428"/>
      <c r="P53" s="428"/>
      <c r="Q53" s="428"/>
      <c r="R53" s="428"/>
      <c r="S53" s="428"/>
      <c r="T53" s="468">
        <f>AND(F53&gt;0,Y53&gt;0)</f>
        <v>0</v>
      </c>
      <c r="U53" s="428"/>
      <c r="V53" s="428"/>
      <c r="W53" s="764" t="s">
        <v>173</v>
      </c>
      <c r="X53" s="1539"/>
      <c r="Y53" s="118">
        <v>0</v>
      </c>
      <c r="Z53" s="1529"/>
      <c r="AA53" s="422" t="s">
        <v>174</v>
      </c>
      <c r="AB53" s="696" t="str">
        <f>"10."&amp;Y53</f>
        <v>10.0</v>
      </c>
      <c r="AC53" s="4363"/>
      <c r="AD53" s="296" t="s">
        <v>936</v>
      </c>
      <c r="AE53" s="4352"/>
      <c r="AF53" s="4352"/>
      <c r="AG53" s="4352"/>
      <c r="AH53" s="4352"/>
      <c r="AI53" s="4352"/>
      <c r="AJ53" s="4352"/>
      <c r="AK53" s="4352"/>
      <c r="AL53" s="4352"/>
      <c r="AM53" s="4352"/>
      <c r="AN53" s="4352"/>
      <c r="AO53" s="4352"/>
      <c r="AP53" s="4352"/>
      <c r="AQ53" s="4352"/>
      <c r="AR53" s="4352"/>
      <c r="AS53" s="4352"/>
      <c r="AT53" s="4352"/>
      <c r="AU53" s="4352"/>
      <c r="AV53" s="4352"/>
      <c r="AW53" s="4352"/>
      <c r="AX53" s="4352"/>
      <c r="AY53" s="4352"/>
      <c r="AZ53" s="4352"/>
      <c r="BA53" s="4352"/>
      <c r="BB53" s="4352"/>
      <c r="BC53" s="1928"/>
      <c r="BD53" s="118"/>
      <c r="BE53" s="1331"/>
      <c r="BF53" s="1046" t="s">
        <v>1486</v>
      </c>
      <c r="BG53" s="1046" t="s">
        <v>1487</v>
      </c>
      <c r="BH53" s="1058" cm="1" t="str">
        <f t="array" ref="BH53:BH53">AC53</f>
        <v>0</v>
      </c>
      <c r="BI53" s="1182"/>
      <c r="BJ53" s="682" t="b">
        <v>1</v>
      </c>
    </row>
    <row s="541" customFormat="1" customHeight="1" ht="14.25">
      <c r="A54" s="1331"/>
      <c r="B54" s="845"/>
      <c r="C54" s="428"/>
      <c r="D54" s="428"/>
      <c r="E54" s="624">
        <v>15</v>
      </c>
      <c r="F54" s="50" cm="1" t="str">
        <f t="array" ref="F54:F54">OFFSET(E54,-1,1)</f>
        <v>1</v>
      </c>
      <c r="G54" s="428"/>
      <c r="H54" s="1331"/>
      <c r="I54" s="428" t="str">
        <f>"!=='не определено'"</f>
        <v>!=='не определено'</v>
      </c>
      <c r="J54" s="428"/>
      <c r="K54" s="428"/>
      <c r="L54" s="428"/>
      <c r="M54" s="428"/>
      <c r="N54" s="428"/>
      <c r="O54" s="428"/>
      <c r="P54" s="428"/>
      <c r="Q54" s="428"/>
      <c r="R54" s="428"/>
      <c r="S54" s="428"/>
      <c r="T54" s="468">
        <f>F54&gt;0</f>
        <v>1</v>
      </c>
      <c r="U54" s="428"/>
      <c r="V54" s="428"/>
      <c r="W54" s="764" t="s">
        <v>410</v>
      </c>
      <c r="X54" s="1539"/>
      <c r="Y54" s="1331"/>
      <c r="Z54" s="1529"/>
      <c r="AA54" s="1331"/>
      <c r="AB54" s="782"/>
      <c r="AC54" s="256" t="s">
        <v>177</v>
      </c>
      <c r="AD54" s="783"/>
      <c r="AE54" s="228"/>
      <c r="AF54" s="228"/>
      <c r="AG54" s="228"/>
      <c r="AH54" s="228"/>
      <c r="AI54" s="228"/>
      <c r="AJ54" s="228"/>
      <c r="AK54" s="228"/>
      <c r="AL54" s="228"/>
      <c r="AM54" s="228"/>
      <c r="AN54" s="228"/>
      <c r="AO54" s="228"/>
      <c r="AP54" s="228"/>
      <c r="AQ54" s="228"/>
      <c r="AR54" s="228"/>
      <c r="AS54" s="228"/>
      <c r="AT54" s="228"/>
      <c r="AU54" s="228"/>
      <c r="AV54" s="228"/>
      <c r="AW54" s="228"/>
      <c r="AX54" s="228"/>
      <c r="AY54" s="228"/>
      <c r="AZ54" s="228"/>
      <c r="BA54" s="228"/>
      <c r="BB54" s="228"/>
      <c r="BC54" s="229"/>
      <c r="BD54" s="1331"/>
      <c r="BE54" s="1331"/>
      <c r="BF54" s="1005"/>
      <c r="BG54" s="1005"/>
      <c r="BH54" s="1005"/>
      <c r="BI54" s="623" t="s">
        <v>1487</v>
      </c>
      <c r="BJ54" s="623"/>
    </row>
    <row s="541" customFormat="1" customHeight="1" ht="28.171875">
      <c r="A55" s="1331"/>
      <c r="B55" s="430"/>
      <c r="C55" s="1331"/>
      <c r="D55" s="1331"/>
      <c r="E55" s="623">
        <v>15</v>
      </c>
      <c r="F55" s="94" cm="1" t="str">
        <f t="array" ref="F55:F55">X55</f>
        <v>2</v>
      </c>
      <c r="G55" s="1331"/>
      <c r="H55" s="1331"/>
      <c r="I55" s="1331"/>
      <c r="J55" s="1331"/>
      <c r="K55" s="1331"/>
      <c r="L55" s="1331"/>
      <c r="M55" s="1331"/>
      <c r="N55" s="1331"/>
      <c r="O55" s="1331"/>
      <c r="P55" s="1331"/>
      <c r="Q55" s="1331"/>
      <c r="R55" s="1331"/>
      <c r="S55" s="1331"/>
      <c r="T55" s="468">
        <f>X55&gt;0</f>
        <v>1</v>
      </c>
      <c r="U55" s="1331"/>
      <c r="V55" s="118" cm="1" t="str">
        <f t="array" ref="V55:V55">'Сбытовые расходы ГО'!$AB$51</f>
        <v>Тариф 2 (Водоотведение) - тариф на водоотведение (Оказание услуг на территории: город Ленинск-Кузнецкий (ОКТМО: 32719000) - г Ленинск-Кузнецкий)</v>
      </c>
      <c r="W55" s="1331"/>
      <c r="X55" s="1539" t="s">
        <v>299</v>
      </c>
      <c r="Y55" s="1331"/>
      <c r="Z55" s="1529"/>
      <c r="AA55" s="1331"/>
      <c r="AB55" s="218" cm="1" t="str">
        <f t="array" ref="AB55:AB55">'Сбытовые расходы ГО'!$AB$51</f>
        <v>Тариф 2 (Водоотведение) - тариф на водоотведение (Оказание услуг на территории: город Ленинск-Кузнецкий (ОКТМО: 32719000) - г Ленинск-Кузнецкий)</v>
      </c>
      <c r="AC55" s="176"/>
      <c r="AD55" s="176"/>
      <c r="AE55" s="176"/>
      <c r="AF55" s="176"/>
      <c r="AG55" s="176"/>
      <c r="AH55" s="176"/>
      <c r="AI55" s="176"/>
      <c r="AJ55" s="176"/>
      <c r="AK55" s="176"/>
      <c r="AL55" s="176"/>
      <c r="AM55" s="176"/>
      <c r="AN55" s="176"/>
      <c r="AO55" s="176"/>
      <c r="AP55" s="176"/>
      <c r="AQ55" s="176"/>
      <c r="AR55" s="176"/>
      <c r="AS55" s="176"/>
      <c r="AT55" s="176"/>
      <c r="AU55" s="176"/>
      <c r="AV55" s="176"/>
      <c r="AW55" s="176"/>
      <c r="AX55" s="176"/>
      <c r="AY55" s="176"/>
      <c r="AZ55" s="176"/>
      <c r="BA55" s="176"/>
      <c r="BB55" s="176"/>
      <c r="BC55" s="176"/>
      <c r="BD55" s="1331"/>
      <c r="BE55" s="1331"/>
      <c r="BF55" s="1005"/>
      <c r="BG55" s="1005"/>
      <c r="BH55" s="1005"/>
      <c r="BI55" s="623"/>
      <c r="BJ55" s="623"/>
    </row>
    <row s="541" customFormat="1" customHeight="1" ht="33.75">
      <c r="A56" s="1331"/>
      <c r="B56" s="430"/>
      <c r="C56" s="1331"/>
      <c r="D56" s="1331"/>
      <c r="E56" s="623">
        <v>22.5</v>
      </c>
      <c r="F56" s="50" cm="1" t="str">
        <f t="array" ref="F56:F56">OFFSET(E56,-1,1)</f>
        <v>2</v>
      </c>
      <c r="G56" s="118" t="s">
        <v>1444</v>
      </c>
      <c r="H56" s="1331"/>
      <c r="I56" s="1331"/>
      <c r="J56" s="1331"/>
      <c r="K56" s="120" t="str">
        <f>F56&amp;"komm"</f>
        <v>2komm</v>
      </c>
      <c r="L56" s="926" cm="1" t="str">
        <f t="array" ref="L56:L56">BC56</f>
        <v>П. 49 (2) Методических указаний ФСТ России от 27.12.2013 № 1746-э.</v>
      </c>
      <c r="M56" s="1331"/>
      <c r="N56" s="1331"/>
      <c r="O56" s="1331"/>
      <c r="P56" s="1331"/>
      <c r="Q56" s="1331"/>
      <c r="R56" s="1331"/>
      <c r="S56" s="1331"/>
      <c r="T56" s="468" cm="1" t="str">
        <f t="array" ref="T56:T56">T55</f>
        <v>true</v>
      </c>
      <c r="U56" s="1331"/>
      <c r="V56" s="1331"/>
      <c r="W56" s="1331"/>
      <c r="X56" s="1539"/>
      <c r="Y56" s="1331"/>
      <c r="Z56" s="1529"/>
      <c r="AA56" s="1331"/>
      <c r="AB56" s="230">
        <v>0</v>
      </c>
      <c r="AC56" s="215" t="s">
        <v>1463</v>
      </c>
      <c r="AD56" s="207" t="s">
        <v>936</v>
      </c>
      <c r="AE56" s="223">
        <f>SUM(AE57:AE66)</f>
        <v>1571.83</v>
      </c>
      <c r="AF56" s="223">
        <f>SUM(AF57:AF66)</f>
        <v>1674.18</v>
      </c>
      <c r="AG56" s="223">
        <f>SUM(AG57:AG66)</f>
        <v>1672.56</v>
      </c>
      <c r="AH56" s="223">
        <f>SUM(AH57:AH66)</f>
        <v>1273.28</v>
      </c>
      <c r="AI56" s="223">
        <f>SUM(AI57:AI66)</f>
        <v>5916.92</v>
      </c>
      <c r="AJ56" s="223">
        <f>SUM(AJ57:AJ66)</f>
        <v>0</v>
      </c>
      <c r="AK56" s="223">
        <f>SUM(AK57:AK66)</f>
        <v>0</v>
      </c>
      <c r="AL56" s="223">
        <f>SUM(AL57:AL66)</f>
        <v>0</v>
      </c>
      <c r="AM56" s="223">
        <f>SUM(AM57:AM66)</f>
        <v>0</v>
      </c>
      <c r="AN56" s="223">
        <f>SUM(AN57:AN66)</f>
        <v>0</v>
      </c>
      <c r="AO56" s="223">
        <f>SUM(AO57:AO66)</f>
        <v>0</v>
      </c>
      <c r="AP56" s="223">
        <f>SUM(AP57:AP66)</f>
        <v>0</v>
      </c>
      <c r="AQ56" s="223">
        <f>SUM(AQ57:AQ66)</f>
        <v>0</v>
      </c>
      <c r="AR56" s="223">
        <f>SUM(AR57:AR66)</f>
        <v>0</v>
      </c>
      <c r="AS56" s="223">
        <f>SUM(AS57:AS66)</f>
        <v>5916.97</v>
      </c>
      <c r="AT56" s="223">
        <f>SUM(AT57:AT66)</f>
        <v>0</v>
      </c>
      <c r="AU56" s="223">
        <f>SUM(AU57:AU66)</f>
        <v>0</v>
      </c>
      <c r="AV56" s="223">
        <f>SUM(AV57:AV66)</f>
        <v>0</v>
      </c>
      <c r="AW56" s="223">
        <f>SUM(AW57:AW66)</f>
        <v>0</v>
      </c>
      <c r="AX56" s="223">
        <f>SUM(AX57:AX66)</f>
        <v>0</v>
      </c>
      <c r="AY56" s="223">
        <f>SUM(AY57:AY66)</f>
        <v>0</v>
      </c>
      <c r="AZ56" s="223">
        <f>SUM(AZ57:AZ66)</f>
        <v>0</v>
      </c>
      <c r="BA56" s="223">
        <f>SUM(BA57:BA66)</f>
        <v>0</v>
      </c>
      <c r="BB56" s="223">
        <f>SUM(BB57:BB66)</f>
        <v>0</v>
      </c>
      <c r="BC56" s="196" t="s">
        <v>1488</v>
      </c>
      <c r="BD56" s="1331"/>
      <c r="BE56" s="1331"/>
      <c r="BF56" s="1005" t="s">
        <v>1464</v>
      </c>
      <c r="BG56" s="1005"/>
      <c r="BH56" s="1005"/>
      <c r="BI56" s="623"/>
      <c r="BJ56" s="623"/>
    </row>
    <row s="541" customFormat="1" customHeight="1" ht="46.921875">
      <c r="A57" s="1331"/>
      <c r="B57" s="430"/>
      <c r="C57" s="1331"/>
      <c r="D57" s="1331"/>
      <c r="E57" s="623">
        <v>15</v>
      </c>
      <c r="F57" s="50" cm="1" t="str">
        <f t="array" ref="F57:F57">OFFSET(E57,-1,1)</f>
        <v>2</v>
      </c>
      <c r="G57" s="118" t="s">
        <v>344</v>
      </c>
      <c r="H57" s="1331"/>
      <c r="I57" s="1331"/>
      <c r="J57" s="1331"/>
      <c r="K57" s="120" t="str">
        <f>F57&amp;"1komm"</f>
        <v>21komm</v>
      </c>
      <c r="L57" s="926" cm="1" t="str">
        <f t="array" ref="L57:L57">BC57</f>
        <v>1) Глава 28 "ТРАНСПОРТНЫЙ НАЛОГ" "Налогового кодекса Российской Федерации (часть вторая)" от 05.08.2000 N 117-ФЗ. 2) Закон Кемеровской области от 28.11.2002 N 95-ОЗ (ред. от 27.11.2025) "О транспортном налоге". 3) Приказ ФНС России от 04.09.2019 N ММВ-7-21/440@.</v>
      </c>
      <c r="M57" s="1331"/>
      <c r="N57" s="1331"/>
      <c r="O57" s="1331"/>
      <c r="P57" s="1331"/>
      <c r="Q57" s="1331"/>
      <c r="R57" s="1331"/>
      <c r="S57" s="1331"/>
      <c r="T57" s="468" cm="1" t="str">
        <f t="array" ref="T57:T57">T56</f>
        <v>true</v>
      </c>
      <c r="U57" s="1331"/>
      <c r="V57" s="1331"/>
      <c r="W57" s="1331"/>
      <c r="X57" s="1539"/>
      <c r="Y57" s="1331"/>
      <c r="Z57" s="1529"/>
      <c r="AA57" s="1331"/>
      <c r="AB57" s="295" t="s">
        <v>290</v>
      </c>
      <c r="AC57" s="454" t="s">
        <v>1465</v>
      </c>
      <c r="AD57" s="296" t="s">
        <v>936</v>
      </c>
      <c r="AE57" s="224">
        <v>1.96</v>
      </c>
      <c r="AF57" s="225">
        <v>45.7</v>
      </c>
      <c r="AG57" s="225">
        <v>45.7</v>
      </c>
      <c r="AH57" s="225">
        <v>6.82</v>
      </c>
      <c r="AI57" s="225">
        <v>45.7</v>
      </c>
      <c r="AJ57" s="4301"/>
      <c r="AK57" s="4301"/>
      <c r="AL57" s="4301"/>
      <c r="AM57" s="4301"/>
      <c r="AN57" s="4301"/>
      <c r="AO57" s="4301"/>
      <c r="AP57" s="4301"/>
      <c r="AQ57" s="4301"/>
      <c r="AR57" s="4301"/>
      <c r="AS57" s="225">
        <v>45.7</v>
      </c>
      <c r="AT57" s="4301"/>
      <c r="AU57" s="4301"/>
      <c r="AV57" s="4301"/>
      <c r="AW57" s="4301"/>
      <c r="AX57" s="4301"/>
      <c r="AY57" s="4301"/>
      <c r="AZ57" s="4301"/>
      <c r="BA57" s="4301"/>
      <c r="BB57" s="4301"/>
      <c r="BC57" s="196" t="s">
        <v>1497</v>
      </c>
      <c r="BD57" s="1331"/>
      <c r="BE57" s="1331"/>
      <c r="BF57" s="1005" t="s">
        <v>1466</v>
      </c>
      <c r="BG57" s="1005"/>
      <c r="BH57" s="1005"/>
      <c r="BI57" s="623"/>
      <c r="BJ57" s="623"/>
    </row>
    <row s="541" customFormat="1" customHeight="1" ht="60.421875">
      <c r="A58" s="1331"/>
      <c r="B58" s="845"/>
      <c r="C58" s="428"/>
      <c r="D58" s="428"/>
      <c r="E58" s="624">
        <v>22.5</v>
      </c>
      <c r="F58" s="50" cm="1" t="str">
        <f t="array" ref="F58:F58">OFFSET(E58,-1,1)</f>
        <v>2</v>
      </c>
      <c r="G58" s="428" t="s">
        <v>345</v>
      </c>
      <c r="H58" s="428"/>
      <c r="I58" s="428"/>
      <c r="J58" s="428"/>
      <c r="K58" s="120" t="str">
        <f>F58&amp;"2komm"</f>
        <v>22komm</v>
      </c>
      <c r="L58" s="926" cm="1" t="str">
        <f t="array" ref="L58:L58">BC58</f>
        <v>1) Глава 31 "ЗЕМЕЛЬНЫЙ НАЛОГ" "Налогового кодекса Российской Федерации (часть вторая)" от 05.08.2000 N 117-ФЗ. 2) Постановление Кемеровского городского Совета народных депутатов от 30.09.2005 N 263 (ред. от 27.06.2025) "Об установлении и введении в действие на территории города Кемерово земельного налога"  (для  затрат на сч. 26). 3)  Приказ ФНС России от 04.09.2019 N ММВ-7-21/440@.</v>
      </c>
      <c r="M58" s="428"/>
      <c r="N58" s="428"/>
      <c r="O58" s="428"/>
      <c r="P58" s="428"/>
      <c r="Q58" s="428"/>
      <c r="R58" s="428"/>
      <c r="S58" s="428"/>
      <c r="T58" s="468" cm="1" t="str">
        <f t="array" ref="T58:T58">T57</f>
        <v>true</v>
      </c>
      <c r="U58" s="428"/>
      <c r="V58" s="428"/>
      <c r="W58" s="1331"/>
      <c r="X58" s="1539"/>
      <c r="Y58" s="1331"/>
      <c r="Z58" s="1529"/>
      <c r="AA58" s="1331"/>
      <c r="AB58" s="295" t="s">
        <v>299</v>
      </c>
      <c r="AC58" s="454" t="s">
        <v>1467</v>
      </c>
      <c r="AD58" s="296" t="s">
        <v>936</v>
      </c>
      <c r="AE58" s="224">
        <v>1.53</v>
      </c>
      <c r="AF58" s="225">
        <v>4.56</v>
      </c>
      <c r="AG58" s="225">
        <v>4.56</v>
      </c>
      <c r="AH58" s="225">
        <v>2.45</v>
      </c>
      <c r="AI58" s="225">
        <v>4.56</v>
      </c>
      <c r="AJ58" s="4301"/>
      <c r="AK58" s="4301"/>
      <c r="AL58" s="4301"/>
      <c r="AM58" s="4301"/>
      <c r="AN58" s="4301"/>
      <c r="AO58" s="4301"/>
      <c r="AP58" s="4301"/>
      <c r="AQ58" s="4301"/>
      <c r="AR58" s="4301"/>
      <c r="AS58" s="225">
        <v>4.56</v>
      </c>
      <c r="AT58" s="4301"/>
      <c r="AU58" s="4301"/>
      <c r="AV58" s="4301"/>
      <c r="AW58" s="4301"/>
      <c r="AX58" s="4301"/>
      <c r="AY58" s="4301"/>
      <c r="AZ58" s="4301"/>
      <c r="BA58" s="4301"/>
      <c r="BB58" s="4301"/>
      <c r="BC58" s="196" t="s">
        <v>1490</v>
      </c>
      <c r="BD58" s="1331"/>
      <c r="BE58" s="1331"/>
      <c r="BF58" s="1005" t="s">
        <v>1468</v>
      </c>
      <c r="BG58" s="1005"/>
      <c r="BH58" s="1005"/>
      <c r="BI58" s="623"/>
      <c r="BJ58" s="623"/>
    </row>
    <row s="541" customFormat="1" customHeight="1" ht="70.171875">
      <c r="A59" s="1331"/>
      <c r="B59" s="845"/>
      <c r="C59" s="428"/>
      <c r="D59" s="428"/>
      <c r="E59" s="624">
        <v>22.5</v>
      </c>
      <c r="F59" s="50" cm="1" t="str">
        <f t="array" ref="F59:F59">OFFSET(E59,-1,1)</f>
        <v>2</v>
      </c>
      <c r="G59" s="428" t="s">
        <v>346</v>
      </c>
      <c r="H59" s="428" t="s">
        <v>1469</v>
      </c>
      <c r="I59" s="428"/>
      <c r="J59" s="428"/>
      <c r="K59" s="120" t="str">
        <f>F59&amp;"3komm"</f>
        <v>23komm</v>
      </c>
      <c r="L59" s="926" cm="1" t="str">
        <f t="array" ref="L59:L59">BC59</f>
        <v>1) П. 45, п. 65 (б) "Основ ценообразования " (Постановление Правительства РФ от 13.05.2013 № 406).  2) Постановление Правительства РФ от 13.09.2016 N 913 (ред. от 24.01.2020) "О ставках платы за негативное воздействие на окружающую среду и дополнительных коэффициентах" (в ред. от 24.01.2020 N 39). 3) Распоряжение Правительства РФ от 01.09.2025 N 2409-р  "О ставках платы за негативное воздействие на окружающую среду в 2026 - 2030 годах и внесении изменений в Распоряжение Правительства РФ от 10.07.2025 N 1852-р".</v>
      </c>
      <c r="M59" s="428"/>
      <c r="N59" s="428"/>
      <c r="O59" s="428"/>
      <c r="P59" s="428"/>
      <c r="Q59" s="428"/>
      <c r="R59" s="428"/>
      <c r="S59" s="428"/>
      <c r="T59" s="468" cm="1" t="str">
        <f t="array" ref="T59:T59">T58</f>
        <v>true</v>
      </c>
      <c r="U59" s="428"/>
      <c r="V59" s="428"/>
      <c r="W59" s="1331"/>
      <c r="X59" s="1539"/>
      <c r="Y59" s="1331"/>
      <c r="Z59" s="1529"/>
      <c r="AA59" s="1331"/>
      <c r="AB59" s="295" t="s">
        <v>234</v>
      </c>
      <c r="AC59" s="454" t="s">
        <v>1470</v>
      </c>
      <c r="AD59" s="296" t="s">
        <v>936</v>
      </c>
      <c r="AE59" s="224">
        <v>34.45</v>
      </c>
      <c r="AF59" s="225">
        <v>45.24</v>
      </c>
      <c r="AG59" s="225">
        <v>43.64</v>
      </c>
      <c r="AH59" s="225">
        <v>34.45</v>
      </c>
      <c r="AI59" s="225">
        <v>4961.66</v>
      </c>
      <c r="AJ59" s="4301"/>
      <c r="AK59" s="4301"/>
      <c r="AL59" s="4301"/>
      <c r="AM59" s="4301"/>
      <c r="AN59" s="4301"/>
      <c r="AO59" s="4301"/>
      <c r="AP59" s="4301"/>
      <c r="AQ59" s="4301"/>
      <c r="AR59" s="4301"/>
      <c r="AS59" s="225">
        <v>4961.66</v>
      </c>
      <c r="AT59" s="4301"/>
      <c r="AU59" s="4301"/>
      <c r="AV59" s="4301"/>
      <c r="AW59" s="4301"/>
      <c r="AX59" s="4301"/>
      <c r="AY59" s="4301"/>
      <c r="AZ59" s="4301"/>
      <c r="BA59" s="4301"/>
      <c r="BB59" s="4301"/>
      <c r="BC59" s="196" t="s">
        <v>1498</v>
      </c>
      <c r="BD59" s="1331"/>
      <c r="BE59" s="1331"/>
      <c r="BF59" s="1005" t="s">
        <v>1471</v>
      </c>
      <c r="BG59" s="1005"/>
      <c r="BH59" s="1005"/>
      <c r="BI59" s="623"/>
      <c r="BJ59" s="623"/>
    </row>
    <row s="1656" customFormat="1" customHeight="1" ht="31.921875">
      <c r="A60" s="1331"/>
      <c r="B60" s="898"/>
      <c r="C60" s="894"/>
      <c r="D60" s="894"/>
      <c r="E60" s="895">
        <v>15</v>
      </c>
      <c r="F60" s="50" cm="1" t="str">
        <f t="array" ref="F60:F60">OFFSET(E60,-1,1)</f>
        <v>2</v>
      </c>
      <c r="G60" s="894" t="s">
        <v>348</v>
      </c>
      <c r="H60" s="894"/>
      <c r="I60" s="894"/>
      <c r="J60" s="894"/>
      <c r="K60" s="120" t="str">
        <f>F60&amp;"4komm"</f>
        <v>24komm</v>
      </c>
      <c r="L60" s="926" cm="1" t="str">
        <f t="array" ref="L60:L60">BC60</f>
        <v>Приказ Первого заместителя Генерального директора ОАО "СКЭК" от 31.12.2023 № 375 "О внесении изменений в Учетную политику" (Пункт 1.1).</v>
      </c>
      <c r="M60" s="894"/>
      <c r="N60" s="894"/>
      <c r="O60" s="894"/>
      <c r="P60" s="894"/>
      <c r="Q60" s="894"/>
      <c r="R60" s="894"/>
      <c r="S60" s="894"/>
      <c r="T60" s="468" cm="1" t="str">
        <f t="array" ref="T60:T60">T59</f>
        <v>true</v>
      </c>
      <c r="U60" s="894"/>
      <c r="V60" s="894"/>
      <c r="W60" s="1331"/>
      <c r="X60" s="1539"/>
      <c r="Y60" s="1331"/>
      <c r="Z60" s="1529"/>
      <c r="AA60" s="1331"/>
      <c r="AB60" s="896">
        <v>4</v>
      </c>
      <c r="AC60" s="454" t="s">
        <v>1472</v>
      </c>
      <c r="AD60" s="296" t="s">
        <v>936</v>
      </c>
      <c r="AE60" s="226"/>
      <c r="AF60" s="226"/>
      <c r="AG60" s="226"/>
      <c r="AH60" s="226"/>
      <c r="AI60" s="226"/>
      <c r="AJ60" s="4359"/>
      <c r="AK60" s="4359"/>
      <c r="AL60" s="4359"/>
      <c r="AM60" s="4359"/>
      <c r="AN60" s="4359"/>
      <c r="AO60" s="4359"/>
      <c r="AP60" s="4359"/>
      <c r="AQ60" s="4359"/>
      <c r="AR60" s="4359"/>
      <c r="AS60" s="226"/>
      <c r="AT60" s="4359"/>
      <c r="AU60" s="4359"/>
      <c r="AV60" s="4359"/>
      <c r="AW60" s="4359"/>
      <c r="AX60" s="4359"/>
      <c r="AY60" s="4359"/>
      <c r="AZ60" s="4359"/>
      <c r="BA60" s="4359"/>
      <c r="BB60" s="4359"/>
      <c r="BC60" s="196" t="s">
        <v>1491</v>
      </c>
      <c r="BD60" s="1331"/>
      <c r="BE60" s="1331"/>
      <c r="BF60" s="1046" t="s">
        <v>1473</v>
      </c>
      <c r="BG60" s="1245"/>
      <c r="BH60" s="1245"/>
      <c r="BI60" s="1182"/>
      <c r="BJ60" s="1182"/>
    </row>
    <row s="541" customFormat="1" customHeight="1" ht="14.25">
      <c r="A61" s="1331"/>
      <c r="B61" s="845"/>
      <c r="C61" s="428"/>
      <c r="D61" s="428"/>
      <c r="E61" s="624">
        <v>15</v>
      </c>
      <c r="F61" s="50" cm="1" t="str">
        <f t="array" ref="F61:F61">OFFSET(E61,-1,1)</f>
        <v>2</v>
      </c>
      <c r="G61" s="428" t="s">
        <v>347</v>
      </c>
      <c r="H61" s="428"/>
      <c r="I61" s="428"/>
      <c r="J61" s="428"/>
      <c r="K61" s="120" t="str">
        <f>F61&amp;"5komm"</f>
        <v>25komm</v>
      </c>
      <c r="L61" s="926" cm="1" t="str">
        <f t="array" ref="L61:L61">BC61</f>
        <v>0</v>
      </c>
      <c r="M61" s="428"/>
      <c r="N61" s="428"/>
      <c r="O61" s="428"/>
      <c r="P61" s="428"/>
      <c r="Q61" s="428"/>
      <c r="R61" s="428"/>
      <c r="S61" s="428"/>
      <c r="T61" s="468" cm="1" t="str">
        <f t="array" ref="T61:T61">T60</f>
        <v>true</v>
      </c>
      <c r="U61" s="428"/>
      <c r="V61" s="428"/>
      <c r="W61" s="1331"/>
      <c r="X61" s="1539"/>
      <c r="Y61" s="1331"/>
      <c r="Z61" s="1529"/>
      <c r="AA61" s="1331"/>
      <c r="AB61" s="295" t="s">
        <v>454</v>
      </c>
      <c r="AC61" s="454" t="s">
        <v>1474</v>
      </c>
      <c r="AD61" s="296" t="s">
        <v>936</v>
      </c>
      <c r="AE61" s="224"/>
      <c r="AF61" s="224"/>
      <c r="AG61" s="224"/>
      <c r="AH61" s="224"/>
      <c r="AI61" s="224"/>
      <c r="AJ61" s="4352"/>
      <c r="AK61" s="4352"/>
      <c r="AL61" s="4352"/>
      <c r="AM61" s="4352"/>
      <c r="AN61" s="4352"/>
      <c r="AO61" s="4352"/>
      <c r="AP61" s="4352"/>
      <c r="AQ61" s="4352"/>
      <c r="AR61" s="4352"/>
      <c r="AS61" s="224"/>
      <c r="AT61" s="4352"/>
      <c r="AU61" s="4352"/>
      <c r="AV61" s="4352"/>
      <c r="AW61" s="4352"/>
      <c r="AX61" s="4352"/>
      <c r="AY61" s="4352"/>
      <c r="AZ61" s="4352"/>
      <c r="BA61" s="4352"/>
      <c r="BB61" s="4352"/>
      <c r="BC61" s="196"/>
      <c r="BD61" s="1331"/>
      <c r="BE61" s="1331"/>
      <c r="BF61" s="1005" t="s">
        <v>1475</v>
      </c>
      <c r="BG61" s="1005"/>
      <c r="BH61" s="1005"/>
      <c r="BI61" s="623"/>
      <c r="BJ61" s="623"/>
    </row>
    <row s="541" customFormat="1" customHeight="1" ht="42.421875">
      <c r="A62" s="1331"/>
      <c r="B62" s="845"/>
      <c r="C62" s="428"/>
      <c r="D62" s="428"/>
      <c r="E62" s="624">
        <v>15</v>
      </c>
      <c r="F62" s="50" cm="1" t="str">
        <f t="array" ref="F62:F62">OFFSET(E62,-1,1)</f>
        <v>2</v>
      </c>
      <c r="G62" s="428" t="s">
        <v>616</v>
      </c>
      <c r="H62" s="428"/>
      <c r="I62" s="428"/>
      <c r="J62" s="428"/>
      <c r="K62" s="120" t="str">
        <f>F62&amp;"6komm"</f>
        <v>26komm</v>
      </c>
      <c r="L62" s="926" cm="1" t="str">
        <f t="array" ref="L62:L62">BC62</f>
        <v>Глава 30 "НАЛОГ НА ИМУЩЕСТВО ОРГАНИЗАЦИЙ" Налогового кодекса РФ (Часть вторая);  Закон Кемеровской области - Кузбасса от 26.11.2003 N 60-ОЗ (ред. от 05.05.2025 N 47-ОЗ, от 30.06.2025 N 79-ОЗ, от 27.11.2025 N 144-ОЗ) ) "О налоге на имущество организаций".</v>
      </c>
      <c r="M62" s="428"/>
      <c r="N62" s="428"/>
      <c r="O62" s="428"/>
      <c r="P62" s="428"/>
      <c r="Q62" s="428"/>
      <c r="R62" s="428"/>
      <c r="S62" s="428"/>
      <c r="T62" s="468" cm="1" t="str">
        <f t="array" ref="T62:T62">T61</f>
        <v>true</v>
      </c>
      <c r="U62" s="428"/>
      <c r="V62" s="428"/>
      <c r="W62" s="1331"/>
      <c r="X62" s="1539"/>
      <c r="Y62" s="1331"/>
      <c r="Z62" s="1529"/>
      <c r="AA62" s="1331"/>
      <c r="AB62" s="295" t="s">
        <v>457</v>
      </c>
      <c r="AC62" s="454" t="s">
        <v>1476</v>
      </c>
      <c r="AD62" s="296" t="s">
        <v>936</v>
      </c>
      <c r="AE62" s="224">
        <v>1533.89</v>
      </c>
      <c r="AF62" s="224">
        <v>1578.68</v>
      </c>
      <c r="AG62" s="224">
        <v>1578.66</v>
      </c>
      <c r="AH62" s="224">
        <v>1229.56</v>
      </c>
      <c r="AI62" s="224">
        <v>905</v>
      </c>
      <c r="AJ62" s="4352"/>
      <c r="AK62" s="4352"/>
      <c r="AL62" s="4352"/>
      <c r="AM62" s="4352"/>
      <c r="AN62" s="4352"/>
      <c r="AO62" s="4352"/>
      <c r="AP62" s="4352"/>
      <c r="AQ62" s="4352"/>
      <c r="AR62" s="4352"/>
      <c r="AS62" s="224">
        <v>905.05</v>
      </c>
      <c r="AT62" s="4352"/>
      <c r="AU62" s="4352"/>
      <c r="AV62" s="4352"/>
      <c r="AW62" s="4352"/>
      <c r="AX62" s="4352"/>
      <c r="AY62" s="4352"/>
      <c r="AZ62" s="4352"/>
      <c r="BA62" s="4352"/>
      <c r="BB62" s="4352"/>
      <c r="BC62" s="196" t="s">
        <v>1494</v>
      </c>
      <c r="BD62" s="1331"/>
      <c r="BE62" s="1331"/>
      <c r="BF62" s="1005" t="s">
        <v>1477</v>
      </c>
      <c r="BG62" s="1005"/>
      <c r="BH62" s="1005"/>
      <c r="BI62" s="623"/>
      <c r="BJ62" s="623"/>
    </row>
    <row s="541" customFormat="1" customHeight="1" ht="40.921875">
      <c r="A63" s="1331"/>
      <c r="B63" s="845"/>
      <c r="C63" s="428"/>
      <c r="D63" s="428"/>
      <c r="E63" s="624">
        <v>15</v>
      </c>
      <c r="F63" s="50" cm="1" t="str">
        <f t="array" ref="F63:F63">OFFSET(E63,-1,1)</f>
        <v>2</v>
      </c>
      <c r="G63" s="428" t="s">
        <v>619</v>
      </c>
      <c r="H63" s="428" t="s">
        <v>1478</v>
      </c>
      <c r="I63" s="428"/>
      <c r="J63" s="428"/>
      <c r="K63" s="120" t="str">
        <f>F63&amp;"7komm"</f>
        <v>27komm</v>
      </c>
      <c r="L63" s="926" cm="1" t="str">
        <f t="array" ref="L63:L63">BC63</f>
        <v>Глава 25 "НАЛОГ НА ПРИБЫЛЬ ОРГАНИЗАЦИЙ" "Налогового кодекса Российской Федерации (часть вторая)" от 05.08.2000 N 117-ФЗ.</v>
      </c>
      <c r="M63" s="428"/>
      <c r="N63" s="428"/>
      <c r="O63" s="428"/>
      <c r="P63" s="428"/>
      <c r="Q63" s="428"/>
      <c r="R63" s="428"/>
      <c r="S63" s="428"/>
      <c r="T63" s="468" cm="1" t="str">
        <f t="array" ref="T63:T63">T62</f>
        <v>true</v>
      </c>
      <c r="U63" s="428"/>
      <c r="V63" s="428"/>
      <c r="W63" s="1331"/>
      <c r="X63" s="1539"/>
      <c r="Y63" s="1331"/>
      <c r="Z63" s="1529"/>
      <c r="AA63" s="1331"/>
      <c r="AB63" s="295" t="s">
        <v>460</v>
      </c>
      <c r="AC63" s="454" t="s">
        <v>1479</v>
      </c>
      <c r="AD63" s="296" t="s">
        <v>936</v>
      </c>
      <c r="AE63" s="224"/>
      <c r="AF63" s="224"/>
      <c r="AG63" s="224"/>
      <c r="AH63" s="224"/>
      <c r="AI63" s="224"/>
      <c r="AJ63" s="4352"/>
      <c r="AK63" s="4352"/>
      <c r="AL63" s="4352"/>
      <c r="AM63" s="4352"/>
      <c r="AN63" s="4352"/>
      <c r="AO63" s="4352"/>
      <c r="AP63" s="4352"/>
      <c r="AQ63" s="4352"/>
      <c r="AR63" s="4352"/>
      <c r="AS63" s="224"/>
      <c r="AT63" s="4352"/>
      <c r="AU63" s="4352"/>
      <c r="AV63" s="4352"/>
      <c r="AW63" s="4352"/>
      <c r="AX63" s="4352"/>
      <c r="AY63" s="4352"/>
      <c r="AZ63" s="4352"/>
      <c r="BA63" s="4352"/>
      <c r="BB63" s="4352"/>
      <c r="BC63" s="196" t="s">
        <v>1495</v>
      </c>
      <c r="BD63" s="1331"/>
      <c r="BE63" s="1331"/>
      <c r="BF63" s="1005" t="s">
        <v>1480</v>
      </c>
      <c r="BG63" s="1005"/>
      <c r="BH63" s="1005"/>
      <c r="BI63" s="623"/>
      <c r="BJ63" s="623"/>
    </row>
    <row s="541" customFormat="1" customHeight="1" ht="38.671875">
      <c r="A64" s="1331"/>
      <c r="B64" s="845"/>
      <c r="C64" s="428"/>
      <c r="D64" s="428"/>
      <c r="E64" s="624">
        <v>22.5</v>
      </c>
      <c r="F64" s="50" cm="1" t="str">
        <f t="array" ref="F64:F64">OFFSET(E64,-1,1)</f>
        <v>2</v>
      </c>
      <c r="G64" s="428" t="s">
        <v>685</v>
      </c>
      <c r="H64" s="428"/>
      <c r="I64" s="428"/>
      <c r="J64" s="428"/>
      <c r="K64" s="120" t="str">
        <f>F64&amp;"8komm"</f>
        <v>28komm</v>
      </c>
      <c r="L64" s="926" cm="1" t="str">
        <f t="array" ref="L64:L64">BC64</f>
        <v>Приказ Генерального директора ОАО "СКЭК" от 30.06.2023 № 166/1 "О внесении изменений в Учетную политику" (Пункт 1.1, внесение изменений в пункт 3.5.3 о распределении общехозяйственных расходов, учитываемых на сч. 26 ).</v>
      </c>
      <c r="M64" s="428"/>
      <c r="N64" s="428"/>
      <c r="O64" s="428"/>
      <c r="P64" s="428"/>
      <c r="Q64" s="428"/>
      <c r="R64" s="428"/>
      <c r="S64" s="428"/>
      <c r="T64" s="468" cm="1" t="str">
        <f t="array" ref="T64:T64">T63</f>
        <v>true</v>
      </c>
      <c r="U64" s="428"/>
      <c r="V64" s="428"/>
      <c r="W64" s="1331"/>
      <c r="X64" s="1539"/>
      <c r="Y64" s="1331"/>
      <c r="Z64" s="1529"/>
      <c r="AA64" s="1331"/>
      <c r="AB64" s="295" t="s">
        <v>463</v>
      </c>
      <c r="AC64" s="454" t="s">
        <v>1481</v>
      </c>
      <c r="AD64" s="296" t="s">
        <v>936</v>
      </c>
      <c r="AE64" s="224"/>
      <c r="AF64" s="224"/>
      <c r="AG64" s="224"/>
      <c r="AH64" s="224"/>
      <c r="AI64" s="224"/>
      <c r="AJ64" s="4352"/>
      <c r="AK64" s="4352"/>
      <c r="AL64" s="4352"/>
      <c r="AM64" s="4352"/>
      <c r="AN64" s="4352"/>
      <c r="AO64" s="4352"/>
      <c r="AP64" s="4352"/>
      <c r="AQ64" s="4352"/>
      <c r="AR64" s="4352"/>
      <c r="AS64" s="224"/>
      <c r="AT64" s="4352"/>
      <c r="AU64" s="4352"/>
      <c r="AV64" s="4352"/>
      <c r="AW64" s="4352"/>
      <c r="AX64" s="4352"/>
      <c r="AY64" s="4352"/>
      <c r="AZ64" s="4352"/>
      <c r="BA64" s="4352"/>
      <c r="BB64" s="4352"/>
      <c r="BC64" s="196" t="s">
        <v>1496</v>
      </c>
      <c r="BD64" s="1331"/>
      <c r="BE64" s="1331"/>
      <c r="BF64" s="1005" t="s">
        <v>1482</v>
      </c>
      <c r="BG64" s="1005"/>
      <c r="BH64" s="1005"/>
      <c r="BI64" s="623"/>
      <c r="BJ64" s="623"/>
    </row>
    <row s="1029" customFormat="1" customHeight="1" ht="21.75">
      <c r="A65" s="1029"/>
      <c r="B65" s="845"/>
      <c r="C65" s="428"/>
      <c r="D65" s="428"/>
      <c r="E65" s="624">
        <v>22.5</v>
      </c>
      <c r="F65" s="50" cm="1" t="str">
        <f t="array" ref="F65:F65">OFFSET(E65,-1,1)</f>
        <v>2</v>
      </c>
      <c r="G65" s="428"/>
      <c r="H65" s="428"/>
      <c r="I65" s="428"/>
      <c r="J65" s="428"/>
      <c r="K65" s="120" t="str">
        <f>F65&amp;"9komm"</f>
        <v>29komm</v>
      </c>
      <c r="L65" s="926" cm="1" t="str">
        <f t="array" ref="L65:L65">BC65</f>
        <v>0</v>
      </c>
      <c r="M65" s="428"/>
      <c r="N65" s="428"/>
      <c r="O65" s="428"/>
      <c r="P65" s="428"/>
      <c r="Q65" s="428"/>
      <c r="R65" s="428"/>
      <c r="S65" s="428"/>
      <c r="T65" s="468" cm="1" t="str">
        <f t="array" ref="T65:T65">T64</f>
        <v>true</v>
      </c>
      <c r="U65" s="428"/>
      <c r="V65" s="428"/>
      <c r="W65" s="1029"/>
      <c r="X65" s="1539"/>
      <c r="Y65" s="1029"/>
      <c r="Z65" s="1529"/>
      <c r="AA65" s="1029"/>
      <c r="AB65" s="295" t="s">
        <v>466</v>
      </c>
      <c r="AC65" s="454" t="s">
        <v>1483</v>
      </c>
      <c r="AD65" s="296" t="s">
        <v>936</v>
      </c>
      <c r="AE65" s="294"/>
      <c r="AF65" s="294"/>
      <c r="AG65" s="294"/>
      <c r="AH65" s="294"/>
      <c r="AI65" s="294"/>
      <c r="AJ65" s="4146"/>
      <c r="AK65" s="4146"/>
      <c r="AL65" s="4146"/>
      <c r="AM65" s="4146"/>
      <c r="AN65" s="4146"/>
      <c r="AO65" s="4146"/>
      <c r="AP65" s="4146"/>
      <c r="AQ65" s="4146"/>
      <c r="AR65" s="4146"/>
      <c r="AS65" s="294"/>
      <c r="AT65" s="4146"/>
      <c r="AU65" s="4146"/>
      <c r="AV65" s="4146"/>
      <c r="AW65" s="4146"/>
      <c r="AX65" s="4146"/>
      <c r="AY65" s="4146"/>
      <c r="AZ65" s="4146"/>
      <c r="BA65" s="4146"/>
      <c r="BB65" s="4146"/>
      <c r="BC65" s="781"/>
      <c r="BD65" s="1029"/>
      <c r="BE65" s="1029"/>
      <c r="BF65" s="1013" t="s">
        <v>1484</v>
      </c>
      <c r="BG65" s="1013"/>
      <c r="BH65" s="1013"/>
      <c r="BI65" s="698"/>
      <c r="BJ65" s="698"/>
    </row>
    <row s="1656" customFormat="1" customHeight="1" ht="14.25">
      <c r="A66" s="1331"/>
      <c r="B66" s="898"/>
      <c r="C66" s="894"/>
      <c r="D66" s="894"/>
      <c r="E66" s="895">
        <v>15</v>
      </c>
      <c r="F66" s="50" cm="1" t="str">
        <f t="array" ref="F66:F66">OFFSET(E66,-1,1)</f>
        <v>2</v>
      </c>
      <c r="G66" s="894" t="s">
        <v>700</v>
      </c>
      <c r="H66" s="930"/>
      <c r="I66" s="894"/>
      <c r="J66" s="894"/>
      <c r="K66" s="120" t="str">
        <f>F66&amp;"10komm"</f>
        <v>210komm</v>
      </c>
      <c r="L66" s="926" cm="1" t="str">
        <f t="array" ref="L66:L66">BC66</f>
        <v>0</v>
      </c>
      <c r="M66" s="894"/>
      <c r="N66" s="894"/>
      <c r="O66" s="894"/>
      <c r="P66" s="894"/>
      <c r="Q66" s="894"/>
      <c r="R66" s="894"/>
      <c r="S66" s="894"/>
      <c r="T66" s="468" cm="1" t="str">
        <f t="array" ref="T66:T66">T65</f>
        <v>true</v>
      </c>
      <c r="U66" s="894"/>
      <c r="V66" s="894"/>
      <c r="W66" s="1331"/>
      <c r="X66" s="1539"/>
      <c r="Y66" s="1331"/>
      <c r="Z66" s="1529"/>
      <c r="AA66" s="1331"/>
      <c r="AB66" s="896">
        <v>10</v>
      </c>
      <c r="AC66" s="454" t="s">
        <v>1485</v>
      </c>
      <c r="AD66" s="296" t="s">
        <v>936</v>
      </c>
      <c r="AE66" s="231">
        <f>SUM(AE67:AE68)</f>
        <v>0</v>
      </c>
      <c r="AF66" s="231">
        <f>SUM(AF67:AF68)</f>
        <v>0</v>
      </c>
      <c r="AG66" s="231">
        <f>SUM(AG67:AG68)</f>
        <v>0</v>
      </c>
      <c r="AH66" s="231">
        <f>SUM(AH67:AH68)</f>
        <v>0</v>
      </c>
      <c r="AI66" s="231">
        <f>SUM(AI67:AI68)</f>
        <v>0</v>
      </c>
      <c r="AJ66" s="231">
        <f>SUM(AJ67:AJ68)</f>
        <v>0</v>
      </c>
      <c r="AK66" s="231">
        <f>SUM(AK67:AK68)</f>
        <v>0</v>
      </c>
      <c r="AL66" s="231">
        <f>SUM(AL67:AL68)</f>
        <v>0</v>
      </c>
      <c r="AM66" s="231">
        <f>SUM(AM67:AM68)</f>
        <v>0</v>
      </c>
      <c r="AN66" s="231">
        <f>SUM(AN67:AN68)</f>
        <v>0</v>
      </c>
      <c r="AO66" s="231">
        <f>SUM(AO67:AO68)</f>
        <v>0</v>
      </c>
      <c r="AP66" s="231">
        <f>SUM(AP67:AP68)</f>
        <v>0</v>
      </c>
      <c r="AQ66" s="231">
        <f>SUM(AQ67:AQ68)</f>
        <v>0</v>
      </c>
      <c r="AR66" s="231">
        <f>SUM(AR67:AR68)</f>
        <v>0</v>
      </c>
      <c r="AS66" s="231">
        <f>SUM(AS67:AS68)</f>
        <v>0</v>
      </c>
      <c r="AT66" s="231">
        <f>SUM(AT67:AT68)</f>
        <v>0</v>
      </c>
      <c r="AU66" s="231">
        <f>SUM(AU67:AU68)</f>
        <v>0</v>
      </c>
      <c r="AV66" s="231">
        <f>SUM(AV67:AV68)</f>
        <v>0</v>
      </c>
      <c r="AW66" s="231">
        <f>SUM(AW67:AW68)</f>
        <v>0</v>
      </c>
      <c r="AX66" s="231">
        <f>SUM(AX67:AX68)</f>
        <v>0</v>
      </c>
      <c r="AY66" s="231">
        <f>SUM(AY67:AY68)</f>
        <v>0</v>
      </c>
      <c r="AZ66" s="231">
        <f>SUM(AZ67:AZ68)</f>
        <v>0</v>
      </c>
      <c r="BA66" s="231">
        <f>SUM(BA67:BA68)</f>
        <v>0</v>
      </c>
      <c r="BB66" s="231">
        <f>SUM(BB67:BB68)</f>
        <v>0</v>
      </c>
      <c r="BC66" s="196"/>
      <c r="BD66" s="1331"/>
      <c r="BE66" s="1331"/>
      <c r="BF66" s="1046" t="s">
        <v>1486</v>
      </c>
      <c r="BG66" s="1245"/>
      <c r="BH66" s="1245"/>
      <c r="BI66" s="1182"/>
      <c r="BJ66" s="1182"/>
    </row>
    <row s="1656" customFormat="1" customHeight="1" ht="14.25" hidden="1">
      <c r="A67" s="118"/>
      <c r="B67" s="845"/>
      <c r="C67" s="428"/>
      <c r="D67" s="428"/>
      <c r="E67" s="624">
        <v>15</v>
      </c>
      <c r="F67" s="50" cm="1" t="str">
        <f t="array" ref="F67:F67">OFFSET(E67,-1,1)</f>
        <v>2</v>
      </c>
      <c r="G67" s="428" t="s">
        <v>700</v>
      </c>
      <c r="H67" s="930"/>
      <c r="I67" s="1088" cm="1" t="str">
        <f t="array" ref="I67:I67">AC67</f>
        <v>0</v>
      </c>
      <c r="J67" s="428"/>
      <c r="K67" s="428"/>
      <c r="L67" s="428"/>
      <c r="M67" s="428"/>
      <c r="N67" s="428"/>
      <c r="O67" s="428"/>
      <c r="P67" s="428"/>
      <c r="Q67" s="428"/>
      <c r="R67" s="428"/>
      <c r="S67" s="428"/>
      <c r="T67" s="468">
        <f>AND(F67&gt;0,Y67&gt;0)</f>
        <v>0</v>
      </c>
      <c r="U67" s="428"/>
      <c r="V67" s="428"/>
      <c r="W67" s="764" t="s">
        <v>173</v>
      </c>
      <c r="X67" s="1539"/>
      <c r="Y67" s="118">
        <v>0</v>
      </c>
      <c r="Z67" s="1529"/>
      <c r="AA67" s="422" t="s">
        <v>174</v>
      </c>
      <c r="AB67" s="696" t="str">
        <f>"10."&amp;Y67</f>
        <v>10.0</v>
      </c>
      <c r="AC67" s="4363"/>
      <c r="AD67" s="296" t="s">
        <v>936</v>
      </c>
      <c r="AE67" s="4352"/>
      <c r="AF67" s="4352"/>
      <c r="AG67" s="4352"/>
      <c r="AH67" s="4352"/>
      <c r="AI67" s="4352"/>
      <c r="AJ67" s="4352"/>
      <c r="AK67" s="4352"/>
      <c r="AL67" s="4352"/>
      <c r="AM67" s="4352"/>
      <c r="AN67" s="4352"/>
      <c r="AO67" s="4352"/>
      <c r="AP67" s="4352"/>
      <c r="AQ67" s="4352"/>
      <c r="AR67" s="4352"/>
      <c r="AS67" s="4352"/>
      <c r="AT67" s="4352"/>
      <c r="AU67" s="4352"/>
      <c r="AV67" s="4352"/>
      <c r="AW67" s="4352"/>
      <c r="AX67" s="4352"/>
      <c r="AY67" s="4352"/>
      <c r="AZ67" s="4352"/>
      <c r="BA67" s="4352"/>
      <c r="BB67" s="4352"/>
      <c r="BC67" s="1928"/>
      <c r="BD67" s="118"/>
      <c r="BE67" s="1331"/>
      <c r="BF67" s="1046" t="s">
        <v>1486</v>
      </c>
      <c r="BG67" s="1046" t="s">
        <v>1487</v>
      </c>
      <c r="BH67" s="1058" cm="1" t="str">
        <f t="array" ref="BH67:BH67">AC67</f>
        <v>0</v>
      </c>
      <c r="BI67" s="1182"/>
      <c r="BJ67" s="682" t="b">
        <v>1</v>
      </c>
    </row>
    <row s="541" customFormat="1" customHeight="1" ht="14.25">
      <c r="A68" s="1331"/>
      <c r="B68" s="845"/>
      <c r="C68" s="428"/>
      <c r="D68" s="428"/>
      <c r="E68" s="624">
        <v>15</v>
      </c>
      <c r="F68" s="50" cm="1" t="str">
        <f t="array" ref="F68:F68">OFFSET(E68,-1,1)</f>
        <v>2</v>
      </c>
      <c r="G68" s="428"/>
      <c r="H68" s="1331"/>
      <c r="I68" s="428" t="str">
        <f>"!=='не определено'"</f>
        <v>!=='не определено'</v>
      </c>
      <c r="J68" s="428"/>
      <c r="K68" s="428"/>
      <c r="L68" s="428"/>
      <c r="M68" s="428"/>
      <c r="N68" s="428"/>
      <c r="O68" s="428"/>
      <c r="P68" s="428"/>
      <c r="Q68" s="428"/>
      <c r="R68" s="428"/>
      <c r="S68" s="428"/>
      <c r="T68" s="468">
        <f>F68&gt;0</f>
        <v>1</v>
      </c>
      <c r="U68" s="428"/>
      <c r="V68" s="428"/>
      <c r="W68" s="764" t="s">
        <v>410</v>
      </c>
      <c r="X68" s="1539"/>
      <c r="Y68" s="1331"/>
      <c r="Z68" s="1529"/>
      <c r="AA68" s="1331"/>
      <c r="AB68" s="782"/>
      <c r="AC68" s="256" t="s">
        <v>177</v>
      </c>
      <c r="AD68" s="783"/>
      <c r="AE68" s="228"/>
      <c r="AF68" s="228"/>
      <c r="AG68" s="228"/>
      <c r="AH68" s="228"/>
      <c r="AI68" s="228"/>
      <c r="AJ68" s="228"/>
      <c r="AK68" s="228"/>
      <c r="AL68" s="228"/>
      <c r="AM68" s="228"/>
      <c r="AN68" s="228"/>
      <c r="AO68" s="228"/>
      <c r="AP68" s="228"/>
      <c r="AQ68" s="228"/>
      <c r="AR68" s="228"/>
      <c r="AS68" s="228"/>
      <c r="AT68" s="228"/>
      <c r="AU68" s="228"/>
      <c r="AV68" s="228"/>
      <c r="AW68" s="228"/>
      <c r="AX68" s="228"/>
      <c r="AY68" s="228"/>
      <c r="AZ68" s="228"/>
      <c r="BA68" s="228"/>
      <c r="BB68" s="228"/>
      <c r="BC68" s="229"/>
      <c r="BD68" s="1331"/>
      <c r="BE68" s="1331"/>
      <c r="BF68" s="1005"/>
      <c r="BG68" s="1005"/>
      <c r="BH68" s="1005"/>
      <c r="BI68" s="623" t="s">
        <v>1487</v>
      </c>
      <c r="BJ68" s="623"/>
    </row>
    <row s="541" customFormat="1" customHeight="1" ht="27.421875">
      <c r="A69" s="1331"/>
      <c r="B69" s="430"/>
      <c r="C69" s="1331"/>
      <c r="D69" s="1331"/>
      <c r="E69" s="623">
        <v>15</v>
      </c>
      <c r="F69" s="94" cm="1" t="str">
        <f t="array" ref="F69:F69">X69</f>
        <v>3</v>
      </c>
      <c r="G69" s="1331"/>
      <c r="H69" s="1331"/>
      <c r="I69" s="1331"/>
      <c r="J69" s="1331"/>
      <c r="K69" s="1331"/>
      <c r="L69" s="1331"/>
      <c r="M69" s="1331"/>
      <c r="N69" s="1331"/>
      <c r="O69" s="1331"/>
      <c r="P69" s="1331"/>
      <c r="Q69" s="1331"/>
      <c r="R69" s="1331"/>
      <c r="S69" s="1331"/>
      <c r="T69" s="468">
        <f>X69&gt;0</f>
        <v>1</v>
      </c>
      <c r="U69" s="1331"/>
      <c r="V69" s="118" cm="1" t="str">
        <f t="array" ref="V69:V69">'Сбытовые расходы ГО'!$AB$63</f>
        <v>Тариф 3 (Водоотведение) - тариф на водоотведение (Оказание услуг на территории: город Полысаево (ОКТМО: 32732000) - г Полысаево)</v>
      </c>
      <c r="W69" s="1331"/>
      <c r="X69" s="1539" t="s">
        <v>234</v>
      </c>
      <c r="Y69" s="1331"/>
      <c r="Z69" s="1529"/>
      <c r="AA69" s="1331"/>
      <c r="AB69" s="218" cm="1" t="str">
        <f t="array" ref="AB69:AB69">'Сбытовые расходы ГО'!$AB$63</f>
        <v>Тариф 3 (Водоотведение) - тариф на водоотведение (Оказание услуг на территории: город Полысаево (ОКТМО: 32732000) - г Полысаево)</v>
      </c>
      <c r="AC69" s="176"/>
      <c r="AD69" s="176"/>
      <c r="AE69" s="176"/>
      <c r="AF69" s="176"/>
      <c r="AG69" s="176"/>
      <c r="AH69" s="176"/>
      <c r="AI69" s="176"/>
      <c r="AJ69" s="176"/>
      <c r="AK69" s="176"/>
      <c r="AL69" s="176"/>
      <c r="AM69" s="176"/>
      <c r="AN69" s="176"/>
      <c r="AO69" s="176"/>
      <c r="AP69" s="176"/>
      <c r="AQ69" s="176"/>
      <c r="AR69" s="176"/>
      <c r="AS69" s="176"/>
      <c r="AT69" s="176"/>
      <c r="AU69" s="176"/>
      <c r="AV69" s="176"/>
      <c r="AW69" s="176"/>
      <c r="AX69" s="176"/>
      <c r="AY69" s="176"/>
      <c r="AZ69" s="176"/>
      <c r="BA69" s="176"/>
      <c r="BB69" s="176"/>
      <c r="BC69" s="176"/>
      <c r="BD69" s="1331"/>
      <c r="BE69" s="1331"/>
      <c r="BF69" s="1005"/>
      <c r="BG69" s="1005"/>
      <c r="BH69" s="1005"/>
      <c r="BI69" s="623"/>
      <c r="BJ69" s="623"/>
    </row>
    <row s="541" customFormat="1" customHeight="1" ht="33.75">
      <c r="A70" s="1331"/>
      <c r="B70" s="430"/>
      <c r="C70" s="1331"/>
      <c r="D70" s="1331"/>
      <c r="E70" s="623">
        <v>22.5</v>
      </c>
      <c r="F70" s="50" cm="1" t="str">
        <f t="array" ref="F70:F70">OFFSET(E70,-1,1)</f>
        <v>3</v>
      </c>
      <c r="G70" s="118" t="s">
        <v>1444</v>
      </c>
      <c r="H70" s="1331"/>
      <c r="I70" s="1331"/>
      <c r="J70" s="1331"/>
      <c r="K70" s="120" t="str">
        <f>F70&amp;"komm"</f>
        <v>3komm</v>
      </c>
      <c r="L70" s="926" cm="1" t="str">
        <f t="array" ref="L70:L70">BC70</f>
        <v>П. 49 (2) Методических указаний ФСТ России от 27.12.2013 № 1746-э.</v>
      </c>
      <c r="M70" s="1331"/>
      <c r="N70" s="1331"/>
      <c r="O70" s="1331"/>
      <c r="P70" s="1331"/>
      <c r="Q70" s="1331"/>
      <c r="R70" s="1331"/>
      <c r="S70" s="1331"/>
      <c r="T70" s="468" cm="1" t="str">
        <f t="array" ref="T70:T70">T69</f>
        <v>true</v>
      </c>
      <c r="U70" s="1331"/>
      <c r="V70" s="1331"/>
      <c r="W70" s="1331"/>
      <c r="X70" s="1539"/>
      <c r="Y70" s="1331"/>
      <c r="Z70" s="1529"/>
      <c r="AA70" s="1331"/>
      <c r="AB70" s="230">
        <v>0</v>
      </c>
      <c r="AC70" s="215" t="s">
        <v>1463</v>
      </c>
      <c r="AD70" s="207" t="s">
        <v>936</v>
      </c>
      <c r="AE70" s="223">
        <f>SUM(AE71:AE80)</f>
        <v>1248.91894</v>
      </c>
      <c r="AF70" s="223">
        <f>SUM(AF71:AF80)</f>
        <v>905.47</v>
      </c>
      <c r="AG70" s="223">
        <f>SUM(AG71:AG80)</f>
        <v>905.47</v>
      </c>
      <c r="AH70" s="223">
        <f>SUM(AH71:AH80)</f>
        <v>999.05</v>
      </c>
      <c r="AI70" s="223">
        <f>SUM(AI71:AI80)</f>
        <v>8905.51</v>
      </c>
      <c r="AJ70" s="223">
        <f>SUM(AJ71:AJ80)</f>
        <v>0</v>
      </c>
      <c r="AK70" s="223">
        <f>SUM(AK71:AK80)</f>
        <v>0</v>
      </c>
      <c r="AL70" s="223">
        <f>SUM(AL71:AL80)</f>
        <v>0</v>
      </c>
      <c r="AM70" s="223">
        <f>SUM(AM71:AM80)</f>
        <v>0</v>
      </c>
      <c r="AN70" s="223">
        <f>SUM(AN71:AN80)</f>
        <v>0</v>
      </c>
      <c r="AO70" s="223">
        <f>SUM(AO71:AO80)</f>
        <v>0</v>
      </c>
      <c r="AP70" s="223">
        <f>SUM(AP71:AP80)</f>
        <v>0</v>
      </c>
      <c r="AQ70" s="223">
        <f>SUM(AQ71:AQ80)</f>
        <v>0</v>
      </c>
      <c r="AR70" s="223">
        <f>SUM(AR71:AR80)</f>
        <v>0</v>
      </c>
      <c r="AS70" s="223">
        <f>SUM(AS71:AS80)</f>
        <v>8881.64</v>
      </c>
      <c r="AT70" s="223">
        <f>SUM(AT71:AT80)</f>
        <v>0</v>
      </c>
      <c r="AU70" s="223">
        <f>SUM(AU71:AU80)</f>
        <v>0</v>
      </c>
      <c r="AV70" s="223">
        <f>SUM(AV71:AV80)</f>
        <v>0</v>
      </c>
      <c r="AW70" s="223">
        <f>SUM(AW71:AW80)</f>
        <v>0</v>
      </c>
      <c r="AX70" s="223">
        <f>SUM(AX71:AX80)</f>
        <v>0</v>
      </c>
      <c r="AY70" s="223">
        <f>SUM(AY71:AY80)</f>
        <v>0</v>
      </c>
      <c r="AZ70" s="223">
        <f>SUM(AZ71:AZ80)</f>
        <v>0</v>
      </c>
      <c r="BA70" s="223">
        <f>SUM(BA71:BA80)</f>
        <v>0</v>
      </c>
      <c r="BB70" s="223">
        <f>SUM(BB71:BB80)</f>
        <v>0</v>
      </c>
      <c r="BC70" s="196" t="s">
        <v>1488</v>
      </c>
      <c r="BD70" s="1331"/>
      <c r="BE70" s="1331"/>
      <c r="BF70" s="1005" t="s">
        <v>1464</v>
      </c>
      <c r="BG70" s="1005"/>
      <c r="BH70" s="1005"/>
      <c r="BI70" s="623"/>
      <c r="BJ70" s="623"/>
    </row>
    <row s="541" customFormat="1" customHeight="1" ht="37.921875">
      <c r="A71" s="1331"/>
      <c r="B71" s="430"/>
      <c r="C71" s="1331"/>
      <c r="D71" s="1331"/>
      <c r="E71" s="623">
        <v>15</v>
      </c>
      <c r="F71" s="50" cm="1" t="str">
        <f t="array" ref="F71:F71">OFFSET(E71,-1,1)</f>
        <v>3</v>
      </c>
      <c r="G71" s="118" t="s">
        <v>344</v>
      </c>
      <c r="H71" s="1331"/>
      <c r="I71" s="1331"/>
      <c r="J71" s="1331"/>
      <c r="K71" s="120" t="str">
        <f>F71&amp;"1komm"</f>
        <v>31komm</v>
      </c>
      <c r="L71" s="926" cm="1" t="str">
        <f t="array" ref="L71:L71">BC71</f>
        <v>) Глава 28 "ТРАНСПОРТНЫЙ НАЛОГ" "Налогового кодекса Российской Федерации (часть вторая)" от 05.08.2000 N 117-ФЗ. 2) Закон Кемеровской области от 28.11.2002 N 95-ОЗ (ред. от 27.11.2025) "О транспортном налоге". 3) Приказ ФНС России от 04.09.2019 N ММВ-7-21/440@.</v>
      </c>
      <c r="M71" s="1331"/>
      <c r="N71" s="1331"/>
      <c r="O71" s="1331"/>
      <c r="P71" s="1331"/>
      <c r="Q71" s="1331"/>
      <c r="R71" s="1331"/>
      <c r="S71" s="1331"/>
      <c r="T71" s="468" cm="1" t="str">
        <f t="array" ref="T71:T71">T70</f>
        <v>true</v>
      </c>
      <c r="U71" s="1331"/>
      <c r="V71" s="1331"/>
      <c r="W71" s="1331"/>
      <c r="X71" s="1539"/>
      <c r="Y71" s="1331"/>
      <c r="Z71" s="1529"/>
      <c r="AA71" s="1331"/>
      <c r="AB71" s="295" t="s">
        <v>290</v>
      </c>
      <c r="AC71" s="454" t="s">
        <v>1465</v>
      </c>
      <c r="AD71" s="296" t="s">
        <v>936</v>
      </c>
      <c r="AE71" s="224">
        <v>0.94</v>
      </c>
      <c r="AF71" s="225">
        <v>67.14</v>
      </c>
      <c r="AG71" s="225">
        <v>67.14</v>
      </c>
      <c r="AH71" s="225">
        <v>3.38</v>
      </c>
      <c r="AI71" s="225">
        <v>67.14</v>
      </c>
      <c r="AJ71" s="4301"/>
      <c r="AK71" s="4301"/>
      <c r="AL71" s="4301"/>
      <c r="AM71" s="4301"/>
      <c r="AN71" s="4301"/>
      <c r="AO71" s="4301"/>
      <c r="AP71" s="4301"/>
      <c r="AQ71" s="4301"/>
      <c r="AR71" s="4301"/>
      <c r="AS71" s="225">
        <v>67.14</v>
      </c>
      <c r="AT71" s="4301"/>
      <c r="AU71" s="4301"/>
      <c r="AV71" s="4301"/>
      <c r="AW71" s="4301"/>
      <c r="AX71" s="4301"/>
      <c r="AY71" s="4301"/>
      <c r="AZ71" s="4301"/>
      <c r="BA71" s="4301"/>
      <c r="BB71" s="4301"/>
      <c r="BC71" s="196" t="s">
        <v>1499</v>
      </c>
      <c r="BD71" s="1331"/>
      <c r="BE71" s="1331"/>
      <c r="BF71" s="1005" t="s">
        <v>1466</v>
      </c>
      <c r="BG71" s="1005"/>
      <c r="BH71" s="1005"/>
      <c r="BI71" s="623"/>
      <c r="BJ71" s="623"/>
    </row>
    <row s="541" customFormat="1" customHeight="1" ht="55.921875">
      <c r="A72" s="1331"/>
      <c r="B72" s="845"/>
      <c r="C72" s="428"/>
      <c r="D72" s="428"/>
      <c r="E72" s="624">
        <v>22.5</v>
      </c>
      <c r="F72" s="50" cm="1" t="str">
        <f t="array" ref="F72:F72">OFFSET(E72,-1,1)</f>
        <v>3</v>
      </c>
      <c r="G72" s="428" t="s">
        <v>345</v>
      </c>
      <c r="H72" s="428"/>
      <c r="I72" s="428"/>
      <c r="J72" s="428"/>
      <c r="K72" s="120" t="str">
        <f>F72&amp;"2komm"</f>
        <v>32komm</v>
      </c>
      <c r="L72" s="926" cm="1" t="str">
        <f t="array" ref="L72:L72">BC72</f>
        <v>1) Глава 31 "ЗЕМЕЛЬНЫЙ НАЛОГ" "Налогового кодекса Российской Федерации (часть вторая)" от 05.08.2000 N 117-ФЗ. 2) Постановление Кемеровского городского Совета народных депутатов от 30.09.2005 N 263 (ред. от 27.06.2025) "Об установлении и введении в действие на территории города Кемерово земельного налога"  (для  затрат на сч. 26). 3)  Приказ ФНС России от 04.09.2019 N ММВ-7-21/440@.</v>
      </c>
      <c r="M72" s="428"/>
      <c r="N72" s="428"/>
      <c r="O72" s="428"/>
      <c r="P72" s="428"/>
      <c r="Q72" s="428"/>
      <c r="R72" s="428"/>
      <c r="S72" s="428"/>
      <c r="T72" s="468" cm="1" t="str">
        <f t="array" ref="T72:T72">T71</f>
        <v>true</v>
      </c>
      <c r="U72" s="428"/>
      <c r="V72" s="428"/>
      <c r="W72" s="1331"/>
      <c r="X72" s="1539"/>
      <c r="Y72" s="1331"/>
      <c r="Z72" s="1529"/>
      <c r="AA72" s="1331"/>
      <c r="AB72" s="295" t="s">
        <v>299</v>
      </c>
      <c r="AC72" s="454" t="s">
        <v>1467</v>
      </c>
      <c r="AD72" s="296" t="s">
        <v>936</v>
      </c>
      <c r="AE72" s="224">
        <v>0.73</v>
      </c>
      <c r="AF72" s="225">
        <v>6.7</v>
      </c>
      <c r="AG72" s="225">
        <v>6.7</v>
      </c>
      <c r="AH72" s="225">
        <v>1.22</v>
      </c>
      <c r="AI72" s="225">
        <v>6.7</v>
      </c>
      <c r="AJ72" s="4301"/>
      <c r="AK72" s="4301"/>
      <c r="AL72" s="4301"/>
      <c r="AM72" s="4301"/>
      <c r="AN72" s="4301"/>
      <c r="AO72" s="4301"/>
      <c r="AP72" s="4301"/>
      <c r="AQ72" s="4301"/>
      <c r="AR72" s="4301"/>
      <c r="AS72" s="225">
        <v>6.7</v>
      </c>
      <c r="AT72" s="4301"/>
      <c r="AU72" s="4301"/>
      <c r="AV72" s="4301"/>
      <c r="AW72" s="4301"/>
      <c r="AX72" s="4301"/>
      <c r="AY72" s="4301"/>
      <c r="AZ72" s="4301"/>
      <c r="BA72" s="4301"/>
      <c r="BB72" s="4301"/>
      <c r="BC72" s="196" t="s">
        <v>1490</v>
      </c>
      <c r="BD72" s="1331"/>
      <c r="BE72" s="1331"/>
      <c r="BF72" s="1005" t="s">
        <v>1468</v>
      </c>
      <c r="BG72" s="1005"/>
      <c r="BH72" s="1005"/>
      <c r="BI72" s="623"/>
      <c r="BJ72" s="623"/>
    </row>
    <row s="541" customFormat="1" customHeight="1" ht="64.171875">
      <c r="A73" s="1331"/>
      <c r="B73" s="845"/>
      <c r="C73" s="428"/>
      <c r="D73" s="428"/>
      <c r="E73" s="624">
        <v>22.5</v>
      </c>
      <c r="F73" s="50" cm="1" t="str">
        <f t="array" ref="F73:F73">OFFSET(E73,-1,1)</f>
        <v>3</v>
      </c>
      <c r="G73" s="428" t="s">
        <v>346</v>
      </c>
      <c r="H73" s="428" t="s">
        <v>1469</v>
      </c>
      <c r="I73" s="428"/>
      <c r="J73" s="428"/>
      <c r="K73" s="120" t="str">
        <f>F73&amp;"3komm"</f>
        <v>33komm</v>
      </c>
      <c r="L73" s="926" cm="1" t="str">
        <f t="array" ref="L73:L73">BC73</f>
        <v>1) П. 45, п. 65 (б) "Основ ценообразования " (Постановление Правительства РФ от 13.05.2013 № 406).  2) Постановление Правительства РФ от 13.09.2016 N 913 (ред. от 24.01.2020) "О ставках платы за негативное воздействие на окружающую среду и дополнительных коэффициентах" (в ред. Постановлений Правительства РФ от 09.12.2017 N 1499, от 29.06.2018 N 758, от 24.01.2020 N 39). 3) Распоряжение Правительства РФ от 01.09.2025 N 2409-р (ред. от 26.12.2025) "О ставках платы за негативное воздействие на окружающую среду в 2026 - 2030 годах и внесении изменений в Распоряжение Правительства РФ от 10.07.2025 N 1852-р".</v>
      </c>
      <c r="M73" s="428"/>
      <c r="N73" s="428"/>
      <c r="O73" s="428"/>
      <c r="P73" s="428"/>
      <c r="Q73" s="428"/>
      <c r="R73" s="428"/>
      <c r="S73" s="428"/>
      <c r="T73" s="468" cm="1" t="str">
        <f t="array" ref="T73:T73">T72</f>
        <v>true</v>
      </c>
      <c r="U73" s="428"/>
      <c r="V73" s="428"/>
      <c r="W73" s="1331"/>
      <c r="X73" s="1539"/>
      <c r="Y73" s="1331"/>
      <c r="Z73" s="1529"/>
      <c r="AA73" s="1331"/>
      <c r="AB73" s="295" t="s">
        <v>234</v>
      </c>
      <c r="AC73" s="454" t="s">
        <v>1470</v>
      </c>
      <c r="AD73" s="296" t="s">
        <v>936</v>
      </c>
      <c r="AE73" s="224">
        <v>17.57</v>
      </c>
      <c r="AF73" s="225">
        <v>246.34</v>
      </c>
      <c r="AG73" s="225">
        <v>246.34</v>
      </c>
      <c r="AH73" s="225">
        <v>17.57</v>
      </c>
      <c r="AI73" s="225">
        <v>8189.17</v>
      </c>
      <c r="AJ73" s="4301"/>
      <c r="AK73" s="4301"/>
      <c r="AL73" s="4301"/>
      <c r="AM73" s="4301"/>
      <c r="AN73" s="4301"/>
      <c r="AO73" s="4301"/>
      <c r="AP73" s="4301"/>
      <c r="AQ73" s="4301"/>
      <c r="AR73" s="4301"/>
      <c r="AS73" s="225">
        <v>8189.17</v>
      </c>
      <c r="AT73" s="4301"/>
      <c r="AU73" s="4301"/>
      <c r="AV73" s="4301"/>
      <c r="AW73" s="4301"/>
      <c r="AX73" s="4301"/>
      <c r="AY73" s="4301"/>
      <c r="AZ73" s="4301"/>
      <c r="BA73" s="4301"/>
      <c r="BB73" s="4301"/>
      <c r="BC73" s="196" t="s">
        <v>1500</v>
      </c>
      <c r="BD73" s="1331"/>
      <c r="BE73" s="1331"/>
      <c r="BF73" s="1005" t="s">
        <v>1471</v>
      </c>
      <c r="BG73" s="1005"/>
      <c r="BH73" s="1005"/>
      <c r="BI73" s="623"/>
      <c r="BJ73" s="623"/>
    </row>
    <row s="1656" customFormat="1" customHeight="1" ht="14.25">
      <c r="A74" s="1331"/>
      <c r="B74" s="898"/>
      <c r="C74" s="894"/>
      <c r="D74" s="894"/>
      <c r="E74" s="895">
        <v>15</v>
      </c>
      <c r="F74" s="50" cm="1" t="str">
        <f t="array" ref="F74:F74">OFFSET(E74,-1,1)</f>
        <v>3</v>
      </c>
      <c r="G74" s="894" t="s">
        <v>348</v>
      </c>
      <c r="H74" s="894"/>
      <c r="I74" s="894"/>
      <c r="J74" s="894"/>
      <c r="K74" s="120" t="str">
        <f>F74&amp;"4komm"</f>
        <v>34komm</v>
      </c>
      <c r="L74" s="926" cm="1" t="str">
        <f t="array" ref="L74:L74">BC74</f>
        <v>0</v>
      </c>
      <c r="M74" s="894"/>
      <c r="N74" s="894"/>
      <c r="O74" s="894"/>
      <c r="P74" s="894"/>
      <c r="Q74" s="894"/>
      <c r="R74" s="894"/>
      <c r="S74" s="894"/>
      <c r="T74" s="468" cm="1" t="str">
        <f t="array" ref="T74:T74">T73</f>
        <v>true</v>
      </c>
      <c r="U74" s="894"/>
      <c r="V74" s="894"/>
      <c r="W74" s="1331"/>
      <c r="X74" s="1539"/>
      <c r="Y74" s="1331"/>
      <c r="Z74" s="1529"/>
      <c r="AA74" s="1331"/>
      <c r="AB74" s="896">
        <v>4</v>
      </c>
      <c r="AC74" s="454" t="s">
        <v>1472</v>
      </c>
      <c r="AD74" s="296" t="s">
        <v>936</v>
      </c>
      <c r="AE74" s="226"/>
      <c r="AF74" s="226"/>
      <c r="AG74" s="226"/>
      <c r="AH74" s="226"/>
      <c r="AI74" s="226"/>
      <c r="AJ74" s="4359"/>
      <c r="AK74" s="4359"/>
      <c r="AL74" s="4359"/>
      <c r="AM74" s="4359"/>
      <c r="AN74" s="4359"/>
      <c r="AO74" s="4359"/>
      <c r="AP74" s="4359"/>
      <c r="AQ74" s="4359"/>
      <c r="AR74" s="4359"/>
      <c r="AS74" s="226"/>
      <c r="AT74" s="4359"/>
      <c r="AU74" s="4359"/>
      <c r="AV74" s="4359"/>
      <c r="AW74" s="4359"/>
      <c r="AX74" s="4359"/>
      <c r="AY74" s="4359"/>
      <c r="AZ74" s="4359"/>
      <c r="BA74" s="4359"/>
      <c r="BB74" s="4359"/>
      <c r="BC74" s="196"/>
      <c r="BD74" s="1331"/>
      <c r="BE74" s="1331"/>
      <c r="BF74" s="1046" t="s">
        <v>1473</v>
      </c>
      <c r="BG74" s="1245"/>
      <c r="BH74" s="1245"/>
      <c r="BI74" s="1182"/>
      <c r="BJ74" s="1182"/>
    </row>
    <row s="541" customFormat="1" customHeight="1" ht="14.25">
      <c r="A75" s="1331"/>
      <c r="B75" s="845"/>
      <c r="C75" s="428"/>
      <c r="D75" s="428"/>
      <c r="E75" s="624">
        <v>15</v>
      </c>
      <c r="F75" s="50" cm="1" t="str">
        <f t="array" ref="F75:F75">OFFSET(E75,-1,1)</f>
        <v>3</v>
      </c>
      <c r="G75" s="428" t="s">
        <v>347</v>
      </c>
      <c r="H75" s="428"/>
      <c r="I75" s="428"/>
      <c r="J75" s="428"/>
      <c r="K75" s="120" t="str">
        <f>F75&amp;"5komm"</f>
        <v>35komm</v>
      </c>
      <c r="L75" s="926" cm="1" t="str">
        <f t="array" ref="L75:L75">BC75</f>
        <v>0</v>
      </c>
      <c r="M75" s="428"/>
      <c r="N75" s="428"/>
      <c r="O75" s="428"/>
      <c r="P75" s="428"/>
      <c r="Q75" s="428"/>
      <c r="R75" s="428"/>
      <c r="S75" s="428"/>
      <c r="T75" s="468" cm="1" t="str">
        <f t="array" ref="T75:T75">T74</f>
        <v>true</v>
      </c>
      <c r="U75" s="428"/>
      <c r="V75" s="428"/>
      <c r="W75" s="1331"/>
      <c r="X75" s="1539"/>
      <c r="Y75" s="1331"/>
      <c r="Z75" s="1529"/>
      <c r="AA75" s="1331"/>
      <c r="AB75" s="295" t="s">
        <v>454</v>
      </c>
      <c r="AC75" s="454" t="s">
        <v>1474</v>
      </c>
      <c r="AD75" s="296" t="s">
        <v>936</v>
      </c>
      <c r="AE75" s="224"/>
      <c r="AF75" s="224"/>
      <c r="AG75" s="224"/>
      <c r="AH75" s="224"/>
      <c r="AI75" s="224"/>
      <c r="AJ75" s="4352"/>
      <c r="AK75" s="4352"/>
      <c r="AL75" s="4352"/>
      <c r="AM75" s="4352"/>
      <c r="AN75" s="4352"/>
      <c r="AO75" s="4352"/>
      <c r="AP75" s="4352"/>
      <c r="AQ75" s="4352"/>
      <c r="AR75" s="4352"/>
      <c r="AS75" s="224"/>
      <c r="AT75" s="4352"/>
      <c r="AU75" s="4352"/>
      <c r="AV75" s="4352"/>
      <c r="AW75" s="4352"/>
      <c r="AX75" s="4352"/>
      <c r="AY75" s="4352"/>
      <c r="AZ75" s="4352"/>
      <c r="BA75" s="4352"/>
      <c r="BB75" s="4352"/>
      <c r="BC75" s="196"/>
      <c r="BD75" s="1331"/>
      <c r="BE75" s="1331"/>
      <c r="BF75" s="1005" t="s">
        <v>1475</v>
      </c>
      <c r="BG75" s="1005"/>
      <c r="BH75" s="1005"/>
      <c r="BI75" s="623"/>
      <c r="BJ75" s="623"/>
    </row>
    <row s="541" customFormat="1" customHeight="1" ht="39.421875">
      <c r="A76" s="1331"/>
      <c r="B76" s="845"/>
      <c r="C76" s="428"/>
      <c r="D76" s="428"/>
      <c r="E76" s="624">
        <v>15</v>
      </c>
      <c r="F76" s="50" cm="1" t="str">
        <f t="array" ref="F76:F76">OFFSET(E76,-1,1)</f>
        <v>3</v>
      </c>
      <c r="G76" s="428" t="s">
        <v>616</v>
      </c>
      <c r="H76" s="428"/>
      <c r="I76" s="428"/>
      <c r="J76" s="428"/>
      <c r="K76" s="120" t="str">
        <f>F76&amp;"6komm"</f>
        <v>36komm</v>
      </c>
      <c r="L76" s="926" cm="1" t="str">
        <f t="array" ref="L76:L76">BC76</f>
        <v>Глава 30 "НАЛОГ НА ИМУЩЕСТВО ОРГАНИЗАЦИЙ" Налогового кодекса РФ (Часть вторая);  Закон Кемеровской области - Кузбасса от 26.11.2003 N 60-ОЗ (ред. от 04.09.2023) "О налоге на имущество организаций".</v>
      </c>
      <c r="M76" s="428"/>
      <c r="N76" s="428"/>
      <c r="O76" s="428"/>
      <c r="P76" s="428"/>
      <c r="Q76" s="428"/>
      <c r="R76" s="428"/>
      <c r="S76" s="428"/>
      <c r="T76" s="468" cm="1" t="str">
        <f t="array" ref="T76:T76">T75</f>
        <v>true</v>
      </c>
      <c r="U76" s="428"/>
      <c r="V76" s="428"/>
      <c r="W76" s="1331"/>
      <c r="X76" s="1539"/>
      <c r="Y76" s="1331"/>
      <c r="Z76" s="1529"/>
      <c r="AA76" s="1331"/>
      <c r="AB76" s="295" t="s">
        <v>457</v>
      </c>
      <c r="AC76" s="454" t="s">
        <v>1476</v>
      </c>
      <c r="AD76" s="296" t="s">
        <v>936</v>
      </c>
      <c r="AE76" s="224">
        <v>1229.67894</v>
      </c>
      <c r="AF76" s="224">
        <v>585.29</v>
      </c>
      <c r="AG76" s="224">
        <v>585.29</v>
      </c>
      <c r="AH76" s="224">
        <v>976.88</v>
      </c>
      <c r="AI76" s="224">
        <v>642.5</v>
      </c>
      <c r="AJ76" s="4352"/>
      <c r="AK76" s="4352"/>
      <c r="AL76" s="4352"/>
      <c r="AM76" s="4352"/>
      <c r="AN76" s="4352"/>
      <c r="AO76" s="4352"/>
      <c r="AP76" s="4352"/>
      <c r="AQ76" s="4352"/>
      <c r="AR76" s="4352"/>
      <c r="AS76" s="224">
        <v>618.63</v>
      </c>
      <c r="AT76" s="4352"/>
      <c r="AU76" s="4352"/>
      <c r="AV76" s="4352"/>
      <c r="AW76" s="4352"/>
      <c r="AX76" s="4352"/>
      <c r="AY76" s="4352"/>
      <c r="AZ76" s="4352"/>
      <c r="BA76" s="4352"/>
      <c r="BB76" s="4352"/>
      <c r="BC76" s="196" t="s">
        <v>1501</v>
      </c>
      <c r="BD76" s="1331"/>
      <c r="BE76" s="1331"/>
      <c r="BF76" s="1005" t="s">
        <v>1477</v>
      </c>
      <c r="BG76" s="1005"/>
      <c r="BH76" s="1005"/>
      <c r="BI76" s="623"/>
      <c r="BJ76" s="623"/>
    </row>
    <row s="541" customFormat="1" customHeight="1" ht="42.421875">
      <c r="A77" s="1331"/>
      <c r="B77" s="845"/>
      <c r="C77" s="428"/>
      <c r="D77" s="428"/>
      <c r="E77" s="624">
        <v>15</v>
      </c>
      <c r="F77" s="50" cm="1" t="str">
        <f t="array" ref="F77:F77">OFFSET(E77,-1,1)</f>
        <v>3</v>
      </c>
      <c r="G77" s="428" t="s">
        <v>619</v>
      </c>
      <c r="H77" s="428" t="s">
        <v>1478</v>
      </c>
      <c r="I77" s="428"/>
      <c r="J77" s="428"/>
      <c r="K77" s="120" t="str">
        <f>F77&amp;"7komm"</f>
        <v>37komm</v>
      </c>
      <c r="L77" s="926" cm="1" t="str">
        <f t="array" ref="L77:L77">BC77</f>
        <v>Глава 25 "НАЛОГ НА ПРИБЫЛЬ ОРГАНИЗАЦИЙ" "Налогового кодекса Российской Федерации (часть вторая)" от 05.08.2000 N 117-ФЗ.</v>
      </c>
      <c r="M77" s="428"/>
      <c r="N77" s="428"/>
      <c r="O77" s="428"/>
      <c r="P77" s="428"/>
      <c r="Q77" s="428"/>
      <c r="R77" s="428"/>
      <c r="S77" s="428"/>
      <c r="T77" s="468" cm="1" t="str">
        <f t="array" ref="T77:T77">T76</f>
        <v>true</v>
      </c>
      <c r="U77" s="428"/>
      <c r="V77" s="428"/>
      <c r="W77" s="1331"/>
      <c r="X77" s="1539"/>
      <c r="Y77" s="1331"/>
      <c r="Z77" s="1529"/>
      <c r="AA77" s="1331"/>
      <c r="AB77" s="295" t="s">
        <v>460</v>
      </c>
      <c r="AC77" s="454" t="s">
        <v>1479</v>
      </c>
      <c r="AD77" s="296" t="s">
        <v>936</v>
      </c>
      <c r="AE77" s="224"/>
      <c r="AF77" s="224"/>
      <c r="AG77" s="224"/>
      <c r="AH77" s="224"/>
      <c r="AI77" s="224"/>
      <c r="AJ77" s="4352"/>
      <c r="AK77" s="4352"/>
      <c r="AL77" s="4352"/>
      <c r="AM77" s="4352"/>
      <c r="AN77" s="4352"/>
      <c r="AO77" s="4352"/>
      <c r="AP77" s="4352"/>
      <c r="AQ77" s="4352"/>
      <c r="AR77" s="4352"/>
      <c r="AS77" s="224"/>
      <c r="AT77" s="4352"/>
      <c r="AU77" s="4352"/>
      <c r="AV77" s="4352"/>
      <c r="AW77" s="4352"/>
      <c r="AX77" s="4352"/>
      <c r="AY77" s="4352"/>
      <c r="AZ77" s="4352"/>
      <c r="BA77" s="4352"/>
      <c r="BB77" s="4352"/>
      <c r="BC77" s="196" t="s">
        <v>1495</v>
      </c>
      <c r="BD77" s="1331"/>
      <c r="BE77" s="1331"/>
      <c r="BF77" s="1005" t="s">
        <v>1480</v>
      </c>
      <c r="BG77" s="1005"/>
      <c r="BH77" s="1005"/>
      <c r="BI77" s="623"/>
      <c r="BJ77" s="623"/>
    </row>
    <row s="541" customFormat="1" customHeight="1" ht="42.421875">
      <c r="A78" s="1331"/>
      <c r="B78" s="845"/>
      <c r="C78" s="428"/>
      <c r="D78" s="428"/>
      <c r="E78" s="624">
        <v>22.5</v>
      </c>
      <c r="F78" s="50" cm="1" t="str">
        <f t="array" ref="F78:F78">OFFSET(E78,-1,1)</f>
        <v>3</v>
      </c>
      <c r="G78" s="428" t="s">
        <v>685</v>
      </c>
      <c r="H78" s="428"/>
      <c r="I78" s="428"/>
      <c r="J78" s="428"/>
      <c r="K78" s="120" t="str">
        <f>F78&amp;"8komm"</f>
        <v>38komm</v>
      </c>
      <c r="L78" s="926" cm="1" t="str">
        <f t="array" ref="L78:L78">BC78</f>
        <v>Приказ Генерального директора ОАО "СКЭК" от 30.06.2023 № 166/1 "О внесении изменений в Учетную политику" (Пункт 1.1, внесение изменений в пункт 3.5.3 о распределении общехозяйственных расходов, учитываемых на сч. 26 ).</v>
      </c>
      <c r="M78" s="428"/>
      <c r="N78" s="428"/>
      <c r="O78" s="428"/>
      <c r="P78" s="428"/>
      <c r="Q78" s="428"/>
      <c r="R78" s="428"/>
      <c r="S78" s="428"/>
      <c r="T78" s="468" cm="1" t="str">
        <f t="array" ref="T78:T78">T77</f>
        <v>true</v>
      </c>
      <c r="U78" s="428"/>
      <c r="V78" s="428"/>
      <c r="W78" s="1331"/>
      <c r="X78" s="1539"/>
      <c r="Y78" s="1331"/>
      <c r="Z78" s="1529"/>
      <c r="AA78" s="1331"/>
      <c r="AB78" s="295" t="s">
        <v>463</v>
      </c>
      <c r="AC78" s="454" t="s">
        <v>1481</v>
      </c>
      <c r="AD78" s="296" t="s">
        <v>936</v>
      </c>
      <c r="AE78" s="224"/>
      <c r="AF78" s="224"/>
      <c r="AG78" s="224"/>
      <c r="AH78" s="224"/>
      <c r="AI78" s="224"/>
      <c r="AJ78" s="4352"/>
      <c r="AK78" s="4352"/>
      <c r="AL78" s="4352"/>
      <c r="AM78" s="4352"/>
      <c r="AN78" s="4352"/>
      <c r="AO78" s="4352"/>
      <c r="AP78" s="4352"/>
      <c r="AQ78" s="4352"/>
      <c r="AR78" s="4352"/>
      <c r="AS78" s="224"/>
      <c r="AT78" s="4352"/>
      <c r="AU78" s="4352"/>
      <c r="AV78" s="4352"/>
      <c r="AW78" s="4352"/>
      <c r="AX78" s="4352"/>
      <c r="AY78" s="4352"/>
      <c r="AZ78" s="4352"/>
      <c r="BA78" s="4352"/>
      <c r="BB78" s="4352"/>
      <c r="BC78" s="196" t="s">
        <v>1496</v>
      </c>
      <c r="BD78" s="1331"/>
      <c r="BE78" s="1331"/>
      <c r="BF78" s="1005" t="s">
        <v>1482</v>
      </c>
      <c r="BG78" s="1005"/>
      <c r="BH78" s="1005"/>
      <c r="BI78" s="623"/>
      <c r="BJ78" s="623"/>
    </row>
    <row s="1029" customFormat="1" customHeight="1" ht="30.421875">
      <c r="A79" s="1029"/>
      <c r="B79" s="845"/>
      <c r="C79" s="428"/>
      <c r="D79" s="428"/>
      <c r="E79" s="624">
        <v>22.5</v>
      </c>
      <c r="F79" s="50" cm="1" t="str">
        <f t="array" ref="F79:F79">OFFSET(E79,-1,1)</f>
        <v>3</v>
      </c>
      <c r="G79" s="428"/>
      <c r="H79" s="428"/>
      <c r="I79" s="428"/>
      <c r="J79" s="428"/>
      <c r="K79" s="120" t="str">
        <f>F79&amp;"9komm"</f>
        <v>39komm</v>
      </c>
      <c r="L79" s="926" cm="1" t="str">
        <f t="array" ref="L79:L79">BC79</f>
        <v>0</v>
      </c>
      <c r="M79" s="428"/>
      <c r="N79" s="428"/>
      <c r="O79" s="428"/>
      <c r="P79" s="428"/>
      <c r="Q79" s="428"/>
      <c r="R79" s="428"/>
      <c r="S79" s="428"/>
      <c r="T79" s="468" cm="1" t="str">
        <f t="array" ref="T79:T79">T78</f>
        <v>true</v>
      </c>
      <c r="U79" s="428"/>
      <c r="V79" s="428"/>
      <c r="W79" s="1029"/>
      <c r="X79" s="1539"/>
      <c r="Y79" s="1029"/>
      <c r="Z79" s="1529"/>
      <c r="AA79" s="1029"/>
      <c r="AB79" s="295" t="s">
        <v>466</v>
      </c>
      <c r="AC79" s="454" t="s">
        <v>1483</v>
      </c>
      <c r="AD79" s="296" t="s">
        <v>936</v>
      </c>
      <c r="AE79" s="294"/>
      <c r="AF79" s="294"/>
      <c r="AG79" s="294"/>
      <c r="AH79" s="294"/>
      <c r="AI79" s="294"/>
      <c r="AJ79" s="4146"/>
      <c r="AK79" s="4146"/>
      <c r="AL79" s="4146"/>
      <c r="AM79" s="4146"/>
      <c r="AN79" s="4146"/>
      <c r="AO79" s="4146"/>
      <c r="AP79" s="4146"/>
      <c r="AQ79" s="4146"/>
      <c r="AR79" s="4146"/>
      <c r="AS79" s="294"/>
      <c r="AT79" s="4146"/>
      <c r="AU79" s="4146"/>
      <c r="AV79" s="4146"/>
      <c r="AW79" s="4146"/>
      <c r="AX79" s="4146"/>
      <c r="AY79" s="4146"/>
      <c r="AZ79" s="4146"/>
      <c r="BA79" s="4146"/>
      <c r="BB79" s="4146"/>
      <c r="BC79" s="781"/>
      <c r="BD79" s="1029"/>
      <c r="BE79" s="1029"/>
      <c r="BF79" s="1013" t="s">
        <v>1484</v>
      </c>
      <c r="BG79" s="1013"/>
      <c r="BH79" s="1013"/>
      <c r="BI79" s="698"/>
      <c r="BJ79" s="698"/>
    </row>
    <row s="1656" customFormat="1" customHeight="1" ht="14.25">
      <c r="A80" s="1331"/>
      <c r="B80" s="898"/>
      <c r="C80" s="894"/>
      <c r="D80" s="894"/>
      <c r="E80" s="895">
        <v>15</v>
      </c>
      <c r="F80" s="50" cm="1" t="str">
        <f t="array" ref="F80:F80">OFFSET(E80,-1,1)</f>
        <v>3</v>
      </c>
      <c r="G80" s="894" t="s">
        <v>700</v>
      </c>
      <c r="H80" s="930"/>
      <c r="I80" s="894"/>
      <c r="J80" s="894"/>
      <c r="K80" s="120" t="str">
        <f>F80&amp;"10komm"</f>
        <v>310komm</v>
      </c>
      <c r="L80" s="926" cm="1" t="str">
        <f t="array" ref="L80:L80">BC80</f>
        <v>0</v>
      </c>
      <c r="M80" s="894"/>
      <c r="N80" s="894"/>
      <c r="O80" s="894"/>
      <c r="P80" s="894"/>
      <c r="Q80" s="894"/>
      <c r="R80" s="894"/>
      <c r="S80" s="894"/>
      <c r="T80" s="468" cm="1" t="str">
        <f t="array" ref="T80:T80">T79</f>
        <v>true</v>
      </c>
      <c r="U80" s="894"/>
      <c r="V80" s="894"/>
      <c r="W80" s="1331"/>
      <c r="X80" s="1539"/>
      <c r="Y80" s="1331"/>
      <c r="Z80" s="1529"/>
      <c r="AA80" s="1331"/>
      <c r="AB80" s="896">
        <v>10</v>
      </c>
      <c r="AC80" s="454" t="s">
        <v>1485</v>
      </c>
      <c r="AD80" s="296" t="s">
        <v>936</v>
      </c>
      <c r="AE80" s="231">
        <f>SUM(AE81:AE82)</f>
        <v>0</v>
      </c>
      <c r="AF80" s="231">
        <f>SUM(AF81:AF82)</f>
        <v>0</v>
      </c>
      <c r="AG80" s="231">
        <f>SUM(AG81:AG82)</f>
        <v>0</v>
      </c>
      <c r="AH80" s="231">
        <f>SUM(AH81:AH82)</f>
        <v>0</v>
      </c>
      <c r="AI80" s="231">
        <f>SUM(AI81:AI82)</f>
        <v>0</v>
      </c>
      <c r="AJ80" s="231">
        <f>SUM(AJ81:AJ82)</f>
        <v>0</v>
      </c>
      <c r="AK80" s="231">
        <f>SUM(AK81:AK82)</f>
        <v>0</v>
      </c>
      <c r="AL80" s="231">
        <f>SUM(AL81:AL82)</f>
        <v>0</v>
      </c>
      <c r="AM80" s="231">
        <f>SUM(AM81:AM82)</f>
        <v>0</v>
      </c>
      <c r="AN80" s="231">
        <f>SUM(AN81:AN82)</f>
        <v>0</v>
      </c>
      <c r="AO80" s="231">
        <f>SUM(AO81:AO82)</f>
        <v>0</v>
      </c>
      <c r="AP80" s="231">
        <f>SUM(AP81:AP82)</f>
        <v>0</v>
      </c>
      <c r="AQ80" s="231">
        <f>SUM(AQ81:AQ82)</f>
        <v>0</v>
      </c>
      <c r="AR80" s="231">
        <f>SUM(AR81:AR82)</f>
        <v>0</v>
      </c>
      <c r="AS80" s="231">
        <f>SUM(AS81:AS82)</f>
        <v>0</v>
      </c>
      <c r="AT80" s="231">
        <f>SUM(AT81:AT82)</f>
        <v>0</v>
      </c>
      <c r="AU80" s="231">
        <f>SUM(AU81:AU82)</f>
        <v>0</v>
      </c>
      <c r="AV80" s="231">
        <f>SUM(AV81:AV82)</f>
        <v>0</v>
      </c>
      <c r="AW80" s="231">
        <f>SUM(AW81:AW82)</f>
        <v>0</v>
      </c>
      <c r="AX80" s="231">
        <f>SUM(AX81:AX82)</f>
        <v>0</v>
      </c>
      <c r="AY80" s="231">
        <f>SUM(AY81:AY82)</f>
        <v>0</v>
      </c>
      <c r="AZ80" s="231">
        <f>SUM(AZ81:AZ82)</f>
        <v>0</v>
      </c>
      <c r="BA80" s="231">
        <f>SUM(BA81:BA82)</f>
        <v>0</v>
      </c>
      <c r="BB80" s="231">
        <f>SUM(BB81:BB82)</f>
        <v>0</v>
      </c>
      <c r="BC80" s="196"/>
      <c r="BD80" s="1331"/>
      <c r="BE80" s="1331"/>
      <c r="BF80" s="1046" t="s">
        <v>1486</v>
      </c>
      <c r="BG80" s="1245"/>
      <c r="BH80" s="1245"/>
      <c r="BI80" s="1182"/>
      <c r="BJ80" s="1182"/>
    </row>
    <row s="1656" customFormat="1" customHeight="1" ht="14.25" hidden="1">
      <c r="A81" s="118"/>
      <c r="B81" s="845"/>
      <c r="C81" s="428"/>
      <c r="D81" s="428"/>
      <c r="E81" s="624">
        <v>15</v>
      </c>
      <c r="F81" s="50" cm="1" t="str">
        <f t="array" ref="F81:F81">OFFSET(E81,-1,1)</f>
        <v>3</v>
      </c>
      <c r="G81" s="428" t="s">
        <v>700</v>
      </c>
      <c r="H81" s="930"/>
      <c r="I81" s="1088" cm="1" t="str">
        <f t="array" ref="I81:I81">AC81</f>
        <v>0</v>
      </c>
      <c r="J81" s="428"/>
      <c r="K81" s="428"/>
      <c r="L81" s="428"/>
      <c r="M81" s="428"/>
      <c r="N81" s="428"/>
      <c r="O81" s="428"/>
      <c r="P81" s="428"/>
      <c r="Q81" s="428"/>
      <c r="R81" s="428"/>
      <c r="S81" s="428"/>
      <c r="T81" s="468">
        <f>AND(F81&gt;0,Y81&gt;0)</f>
        <v>0</v>
      </c>
      <c r="U81" s="428"/>
      <c r="V81" s="428"/>
      <c r="W81" s="764" t="s">
        <v>173</v>
      </c>
      <c r="X81" s="1539"/>
      <c r="Y81" s="118">
        <v>0</v>
      </c>
      <c r="Z81" s="1529"/>
      <c r="AA81" s="422" t="s">
        <v>174</v>
      </c>
      <c r="AB81" s="696" t="str">
        <f>"10."&amp;Y81</f>
        <v>10.0</v>
      </c>
      <c r="AC81" s="4363"/>
      <c r="AD81" s="296" t="s">
        <v>936</v>
      </c>
      <c r="AE81" s="4352"/>
      <c r="AF81" s="4352"/>
      <c r="AG81" s="4352"/>
      <c r="AH81" s="4352"/>
      <c r="AI81" s="4352"/>
      <c r="AJ81" s="4352"/>
      <c r="AK81" s="4352"/>
      <c r="AL81" s="4352"/>
      <c r="AM81" s="4352"/>
      <c r="AN81" s="4352"/>
      <c r="AO81" s="4352"/>
      <c r="AP81" s="4352"/>
      <c r="AQ81" s="4352"/>
      <c r="AR81" s="4352"/>
      <c r="AS81" s="4352"/>
      <c r="AT81" s="4352"/>
      <c r="AU81" s="4352"/>
      <c r="AV81" s="4352"/>
      <c r="AW81" s="4352"/>
      <c r="AX81" s="4352"/>
      <c r="AY81" s="4352"/>
      <c r="AZ81" s="4352"/>
      <c r="BA81" s="4352"/>
      <c r="BB81" s="4352"/>
      <c r="BC81" s="1928"/>
      <c r="BD81" s="118"/>
      <c r="BE81" s="1331"/>
      <c r="BF81" s="1046" t="s">
        <v>1486</v>
      </c>
      <c r="BG81" s="1046" t="s">
        <v>1487</v>
      </c>
      <c r="BH81" s="1058" cm="1" t="str">
        <f t="array" ref="BH81:BH81">AC81</f>
        <v>0</v>
      </c>
      <c r="BI81" s="1182"/>
      <c r="BJ81" s="682" t="b">
        <v>1</v>
      </c>
    </row>
    <row s="541" customFormat="1" customHeight="1" ht="14.25">
      <c r="A82" s="1331"/>
      <c r="B82" s="845"/>
      <c r="C82" s="428"/>
      <c r="D82" s="428"/>
      <c r="E82" s="624">
        <v>15</v>
      </c>
      <c r="F82" s="50" cm="1" t="str">
        <f t="array" ref="F82:F82">OFFSET(E82,-1,1)</f>
        <v>3</v>
      </c>
      <c r="G82" s="428"/>
      <c r="H82" s="1331"/>
      <c r="I82" s="428" t="str">
        <f>"!=='не определено'"</f>
        <v>!=='не определено'</v>
      </c>
      <c r="J82" s="428"/>
      <c r="K82" s="428"/>
      <c r="L82" s="428"/>
      <c r="M82" s="428"/>
      <c r="N82" s="428"/>
      <c r="O82" s="428"/>
      <c r="P82" s="428"/>
      <c r="Q82" s="428"/>
      <c r="R82" s="428"/>
      <c r="S82" s="428"/>
      <c r="T82" s="468">
        <f>F82&gt;0</f>
        <v>1</v>
      </c>
      <c r="U82" s="428"/>
      <c r="V82" s="428"/>
      <c r="W82" s="764" t="s">
        <v>410</v>
      </c>
      <c r="X82" s="1539"/>
      <c r="Y82" s="1331"/>
      <c r="Z82" s="1529"/>
      <c r="AA82" s="1331"/>
      <c r="AB82" s="782"/>
      <c r="AC82" s="256" t="s">
        <v>177</v>
      </c>
      <c r="AD82" s="783"/>
      <c r="AE82" s="228"/>
      <c r="AF82" s="228"/>
      <c r="AG82" s="228"/>
      <c r="AH82" s="228"/>
      <c r="AI82" s="228"/>
      <c r="AJ82" s="228"/>
      <c r="AK82" s="228"/>
      <c r="AL82" s="228"/>
      <c r="AM82" s="228"/>
      <c r="AN82" s="228"/>
      <c r="AO82" s="228"/>
      <c r="AP82" s="228"/>
      <c r="AQ82" s="228"/>
      <c r="AR82" s="228"/>
      <c r="AS82" s="228"/>
      <c r="AT82" s="228"/>
      <c r="AU82" s="228"/>
      <c r="AV82" s="228"/>
      <c r="AW82" s="228"/>
      <c r="AX82" s="228"/>
      <c r="AY82" s="228"/>
      <c r="AZ82" s="228"/>
      <c r="BA82" s="228"/>
      <c r="BB82" s="228"/>
      <c r="BC82" s="229"/>
      <c r="BD82" s="1331"/>
      <c r="BE82" s="1331"/>
      <c r="BF82" s="1005"/>
      <c r="BG82" s="1005"/>
      <c r="BH82" s="1005"/>
      <c r="BI82" s="623" t="s">
        <v>1487</v>
      </c>
      <c r="BJ82" s="623"/>
    </row>
    <row s="1656" customFormat="1" customHeight="1" ht="10.96875">
      <c r="B83" s="834"/>
      <c r="C83" s="0"/>
      <c r="D83" s="0"/>
      <c r="E83" s="677">
        <v>11.25</v>
      </c>
      <c r="F83" s="81"/>
      <c r="G83" s="0"/>
      <c r="H83" s="0"/>
      <c r="I83" s="0"/>
      <c r="J83" s="0"/>
      <c r="K83" s="0"/>
      <c r="L83" s="0"/>
      <c r="M83" s="0"/>
      <c r="N83" s="0"/>
      <c r="O83" s="0"/>
      <c r="P83" s="0"/>
      <c r="Q83" s="0"/>
      <c r="R83" s="0"/>
      <c r="S83" s="0"/>
      <c r="T83" s="0"/>
      <c r="U83" s="0" t="s">
        <v>177</v>
      </c>
      <c r="V83" s="856" t="s">
        <v>1502</v>
      </c>
      <c r="AC83" s="96"/>
      <c r="AD83" s="96"/>
      <c r="AE83" s="96"/>
      <c r="AF83" s="96"/>
      <c r="AI83" s="1656"/>
      <c r="AJ83" s="1656"/>
      <c r="AK83" s="1656"/>
      <c r="AL83" s="1656"/>
      <c r="AM83" s="1656"/>
      <c r="AN83" s="1656"/>
      <c r="AO83" s="1656"/>
      <c r="AP83" s="1656"/>
      <c r="AQ83" s="97"/>
      <c r="AR83" s="1656"/>
      <c r="AS83" s="1656"/>
      <c r="AT83" s="1656"/>
      <c r="AU83" s="1656"/>
      <c r="AV83" s="1656"/>
      <c r="AW83" s="1656"/>
      <c r="AX83" s="1656"/>
      <c r="AY83" s="1656"/>
      <c r="AZ83" s="1656"/>
      <c r="BA83" s="1656"/>
      <c r="BB83" s="1656"/>
      <c r="BF83" s="1012"/>
      <c r="BG83" s="1012"/>
      <c r="BH83" s="1012"/>
      <c r="BI83" s="629"/>
      <c r="BJ83" s="629"/>
    </row>
    <row s="1656" customFormat="1" customHeight="1" ht="14.625">
      <c r="A84" s="94"/>
      <c r="B84" s="846"/>
      <c r="C84" s="496"/>
      <c r="D84" s="496"/>
      <c r="E84" s="847">
        <v>15</v>
      </c>
      <c r="F84" s="496"/>
      <c r="G84" s="496"/>
      <c r="H84" s="496"/>
      <c r="I84" s="496"/>
      <c r="J84" s="496"/>
      <c r="K84" s="496"/>
      <c r="L84" s="496"/>
      <c r="M84" s="496"/>
      <c r="N84" s="496"/>
      <c r="O84" s="496"/>
      <c r="P84" s="496"/>
      <c r="Q84" s="496"/>
      <c r="R84" s="496"/>
      <c r="S84" s="496"/>
      <c r="T84" s="496"/>
      <c r="U84" s="496"/>
      <c r="V84" s="496"/>
      <c r="W84" s="94"/>
      <c r="X84" s="94"/>
      <c r="Y84" s="94"/>
      <c r="Z84" s="94"/>
      <c r="AA84" s="94"/>
      <c r="AB84" s="1553" t="s">
        <v>420</v>
      </c>
      <c r="AC84" s="1553"/>
      <c r="AD84" s="1553"/>
      <c r="AE84" s="1553"/>
      <c r="AF84" s="1553"/>
      <c r="AG84" s="1553"/>
      <c r="AH84" s="1553"/>
      <c r="AI84" s="1561"/>
      <c r="AJ84" s="1561"/>
      <c r="AK84" s="1561"/>
      <c r="AL84" s="1561"/>
      <c r="AM84" s="1561"/>
      <c r="AN84" s="1561"/>
      <c r="AO84" s="1561"/>
      <c r="AP84" s="1561"/>
      <c r="AQ84" s="1561"/>
      <c r="AR84" s="1561"/>
      <c r="AS84" s="1561"/>
      <c r="AT84" s="1561"/>
      <c r="AU84" s="1561"/>
      <c r="AV84" s="1561"/>
      <c r="AW84" s="1561"/>
      <c r="AX84" s="1561"/>
      <c r="AY84" s="1561"/>
      <c r="AZ84" s="1561"/>
      <c r="BA84" s="1561"/>
      <c r="BB84" s="1561"/>
      <c r="BC84" s="1561"/>
      <c r="BD84" s="94"/>
      <c r="BF84" s="1012"/>
      <c r="BG84" s="1012"/>
      <c r="BH84" s="1012"/>
      <c r="BI84" s="629"/>
      <c r="BJ84" s="629"/>
    </row>
    <row s="1656" customFormat="1" customHeight="1" ht="40.171875">
      <c r="A85" s="94"/>
      <c r="B85" s="846"/>
      <c r="C85" s="496"/>
      <c r="D85" s="496"/>
      <c r="E85" s="847">
        <v>15</v>
      </c>
      <c r="F85" s="496"/>
      <c r="G85" s="496"/>
      <c r="H85" s="496"/>
      <c r="I85" s="496"/>
      <c r="J85" s="496"/>
      <c r="K85" s="496"/>
      <c r="L85" s="496"/>
      <c r="M85" s="496"/>
      <c r="N85" s="496"/>
      <c r="O85" s="496"/>
      <c r="P85" s="496"/>
      <c r="Q85" s="496"/>
      <c r="R85" s="496"/>
      <c r="S85" s="496"/>
      <c r="T85" s="496"/>
      <c r="U85" s="496"/>
      <c r="V85" s="496"/>
      <c r="W85" s="94"/>
      <c r="X85" s="94"/>
      <c r="Y85" s="94"/>
      <c r="Z85" s="94"/>
      <c r="AA85" s="169"/>
      <c r="AB85" s="1562" t="s">
        <v>1503</v>
      </c>
      <c r="AC85" s="1562"/>
      <c r="AD85" s="1562"/>
      <c r="AE85" s="1562"/>
      <c r="AF85" s="1562"/>
      <c r="AG85" s="1562"/>
      <c r="AH85" s="1562"/>
      <c r="AI85" s="1563"/>
      <c r="AJ85" s="3116"/>
      <c r="AK85" s="3116"/>
      <c r="AL85" s="3116"/>
      <c r="AM85" s="3116"/>
      <c r="AN85" s="3116"/>
      <c r="AO85" s="3116"/>
      <c r="AP85" s="3116"/>
      <c r="AQ85" s="3116"/>
      <c r="AR85" s="3116"/>
      <c r="AS85" s="1563"/>
      <c r="AT85" s="3116"/>
      <c r="AU85" s="3116"/>
      <c r="AV85" s="3116"/>
      <c r="AW85" s="3116"/>
      <c r="AX85" s="3116"/>
      <c r="AY85" s="3116"/>
      <c r="AZ85" s="3116"/>
      <c r="BA85" s="3116"/>
      <c r="BB85" s="3116"/>
      <c r="BC85" s="1563"/>
      <c r="BD85" s="94"/>
      <c r="BF85" s="1012"/>
      <c r="BG85" s="1012"/>
      <c r="BH85" s="1012"/>
      <c r="BI85" s="629"/>
      <c r="BJ85" s="629"/>
    </row>
    <row s="1656" customFormat="1" customHeight="1" ht="14.625" hidden="1">
      <c r="A86" s="94"/>
      <c r="B86" s="429"/>
      <c r="C86" s="94"/>
      <c r="D86" s="94"/>
      <c r="E86" s="637">
        <v>15</v>
      </c>
      <c r="F86" s="94"/>
      <c r="G86" s="94"/>
      <c r="H86" s="94"/>
      <c r="I86" s="94"/>
      <c r="J86" s="94"/>
      <c r="K86" s="94"/>
      <c r="L86" s="94"/>
      <c r="M86" s="94"/>
      <c r="N86" s="94"/>
      <c r="O86" s="94"/>
      <c r="P86" s="94"/>
      <c r="Q86" s="94"/>
      <c r="R86" s="94"/>
      <c r="S86" s="94"/>
      <c r="T86" s="468">
        <f>ROW(W86)&gt;ROW(W$86)</f>
        <v>0</v>
      </c>
      <c r="U86" s="94"/>
      <c r="V86" s="94"/>
      <c r="W86" s="764" t="s">
        <v>173</v>
      </c>
      <c r="X86" s="94"/>
      <c r="Y86" s="94"/>
      <c r="Z86" s="94"/>
      <c r="AA86" s="422" t="s">
        <v>174</v>
      </c>
      <c r="AB86" s="3117" t="s">
        <v>240</v>
      </c>
      <c r="AC86" s="3117"/>
      <c r="AD86" s="3117"/>
      <c r="AE86" s="3117"/>
      <c r="AF86" s="3117"/>
      <c r="AG86" s="3117"/>
      <c r="AH86" s="3117"/>
      <c r="AI86" s="1563"/>
      <c r="AJ86" s="3116"/>
      <c r="AK86" s="3116"/>
      <c r="AL86" s="3116"/>
      <c r="AM86" s="3116"/>
      <c r="AN86" s="3116"/>
      <c r="AO86" s="3116"/>
      <c r="AP86" s="3116"/>
      <c r="AQ86" s="3116"/>
      <c r="AR86" s="3116"/>
      <c r="AS86" s="1563"/>
      <c r="AT86" s="3116"/>
      <c r="AU86" s="3116"/>
      <c r="AV86" s="3116"/>
      <c r="AW86" s="3116"/>
      <c r="AX86" s="3116"/>
      <c r="AY86" s="3116"/>
      <c r="AZ86" s="3116"/>
      <c r="BA86" s="3116"/>
      <c r="BB86" s="3116"/>
      <c r="BC86" s="3116"/>
      <c r="BD86" s="94"/>
      <c r="BE86" s="1656"/>
      <c r="BF86" s="1012"/>
      <c r="BG86" s="1012"/>
      <c r="BH86" s="1012"/>
      <c r="BI86" s="629"/>
      <c r="BJ86" s="629"/>
    </row>
    <row s="1656" customFormat="1" customHeight="1" ht="38.671875">
      <c r="A87" s="94"/>
      <c r="B87" s="429"/>
      <c r="C87" s="94"/>
      <c r="D87" s="94"/>
      <c r="E87" s="637">
        <v>15</v>
      </c>
      <c r="F87" s="94"/>
      <c r="G87" s="94"/>
      <c r="H87" s="94"/>
      <c r="I87" s="94"/>
      <c r="J87" s="94"/>
      <c r="K87" s="94"/>
      <c r="L87" s="94"/>
      <c r="M87" s="94"/>
      <c r="N87" s="94"/>
      <c r="O87" s="94"/>
      <c r="P87" s="94"/>
      <c r="Q87" s="94"/>
      <c r="R87" s="94"/>
      <c r="S87" s="94"/>
      <c r="T87" s="468">
        <f>ROW(W87)&gt;ROW(W$86)</f>
        <v>1</v>
      </c>
      <c r="U87" s="94"/>
      <c r="V87" s="94"/>
      <c r="W87" s="764"/>
      <c r="X87" s="94"/>
      <c r="Y87" s="94" t="s">
        <v>240</v>
      </c>
      <c r="Z87" s="94"/>
      <c r="AA87" s="422" t="s">
        <v>174</v>
      </c>
      <c r="AB87" s="1562" t="s">
        <v>1504</v>
      </c>
      <c r="AC87" s="1562"/>
      <c r="AD87" s="1562"/>
      <c r="AE87" s="1562"/>
      <c r="AF87" s="1562"/>
      <c r="AG87" s="1562"/>
      <c r="AH87" s="1562"/>
      <c r="AI87" s="1563"/>
      <c r="AJ87" s="3116"/>
      <c r="AK87" s="3116"/>
      <c r="AL87" s="1563"/>
      <c r="AM87" s="1563"/>
      <c r="AN87" s="1563"/>
      <c r="AO87" s="1563"/>
      <c r="AP87" s="1563"/>
      <c r="AQ87" s="1563"/>
      <c r="AR87" s="1563"/>
      <c r="AS87" s="1563"/>
      <c r="AT87" s="3116"/>
      <c r="AU87" s="3116"/>
      <c r="AV87" s="1563"/>
      <c r="AW87" s="1563"/>
      <c r="AX87" s="1563"/>
      <c r="AY87" s="1563"/>
      <c r="AZ87" s="1563"/>
      <c r="BA87" s="1563"/>
      <c r="BB87" s="1563"/>
      <c r="BC87" s="1563"/>
      <c r="BD87" s="94"/>
      <c r="BE87" s="1656"/>
      <c r="BF87" s="1012"/>
      <c r="BG87" s="1012"/>
      <c r="BH87" s="1012"/>
      <c r="BI87" s="629"/>
      <c r="BJ87" s="629"/>
    </row>
    <row s="1656" customFormat="1" customHeight="1" ht="35.671875">
      <c r="A88" s="94"/>
      <c r="B88" s="429"/>
      <c r="C88" s="94"/>
      <c r="D88" s="94"/>
      <c r="E88" s="637">
        <v>15</v>
      </c>
      <c r="F88" s="94"/>
      <c r="G88" s="94"/>
      <c r="H88" s="94"/>
      <c r="I88" s="94"/>
      <c r="J88" s="94"/>
      <c r="K88" s="94"/>
      <c r="L88" s="94"/>
      <c r="M88" s="94"/>
      <c r="N88" s="94"/>
      <c r="O88" s="94"/>
      <c r="P88" s="94"/>
      <c r="Q88" s="94"/>
      <c r="R88" s="94"/>
      <c r="S88" s="94"/>
      <c r="T88" s="468">
        <f>ROW(W88)&gt;ROW(W$86)</f>
        <v>1</v>
      </c>
      <c r="U88" s="94"/>
      <c r="V88" s="94"/>
      <c r="W88" s="764"/>
      <c r="X88" s="94"/>
      <c r="Y88" s="94" t="s">
        <v>240</v>
      </c>
      <c r="Z88" s="94"/>
      <c r="AA88" s="422" t="s">
        <v>174</v>
      </c>
      <c r="AB88" s="1562" t="s">
        <v>1505</v>
      </c>
      <c r="AC88" s="1562"/>
      <c r="AD88" s="1562"/>
      <c r="AE88" s="1562"/>
      <c r="AF88" s="1562"/>
      <c r="AG88" s="1562"/>
      <c r="AH88" s="1562"/>
      <c r="AI88" s="1563"/>
      <c r="AJ88" s="3116"/>
      <c r="AK88" s="3116"/>
      <c r="AL88" s="1563"/>
      <c r="AM88" s="1563"/>
      <c r="AN88" s="1563"/>
      <c r="AO88" s="1563"/>
      <c r="AP88" s="1563"/>
      <c r="AQ88" s="1563"/>
      <c r="AR88" s="1563"/>
      <c r="AS88" s="1563"/>
      <c r="AT88" s="3116"/>
      <c r="AU88" s="3116"/>
      <c r="AV88" s="1563"/>
      <c r="AW88" s="1563"/>
      <c r="AX88" s="1563"/>
      <c r="AY88" s="1563"/>
      <c r="AZ88" s="1563"/>
      <c r="BA88" s="1563"/>
      <c r="BB88" s="1563"/>
      <c r="BC88" s="1563"/>
      <c r="BD88" s="94"/>
      <c r="BE88" s="1656"/>
      <c r="BF88" s="1012"/>
      <c r="BG88" s="1012"/>
      <c r="BH88" s="1012"/>
      <c r="BI88" s="629"/>
      <c r="BJ88" s="629"/>
    </row>
    <row s="1656" customFormat="1" customHeight="1" ht="52.171875">
      <c r="A89" s="94"/>
      <c r="B89" s="429"/>
      <c r="C89" s="94"/>
      <c r="D89" s="94"/>
      <c r="E89" s="637">
        <v>15</v>
      </c>
      <c r="F89" s="94"/>
      <c r="G89" s="94"/>
      <c r="H89" s="94"/>
      <c r="I89" s="94"/>
      <c r="J89" s="94"/>
      <c r="K89" s="94"/>
      <c r="L89" s="94"/>
      <c r="M89" s="94"/>
      <c r="N89" s="94"/>
      <c r="O89" s="94"/>
      <c r="P89" s="94"/>
      <c r="Q89" s="94"/>
      <c r="R89" s="94"/>
      <c r="S89" s="94"/>
      <c r="T89" s="468">
        <f>ROW(W89)&gt;ROW(W$86)</f>
        <v>1</v>
      </c>
      <c r="U89" s="94"/>
      <c r="V89" s="94"/>
      <c r="W89" s="764"/>
      <c r="X89" s="94"/>
      <c r="Y89" s="94" t="s">
        <v>240</v>
      </c>
      <c r="Z89" s="94"/>
      <c r="AA89" s="422" t="s">
        <v>174</v>
      </c>
      <c r="AB89" s="1562" t="s">
        <v>1506</v>
      </c>
      <c r="AC89" s="1562"/>
      <c r="AD89" s="1562"/>
      <c r="AE89" s="1562"/>
      <c r="AF89" s="1562"/>
      <c r="AG89" s="1562"/>
      <c r="AH89" s="1562"/>
      <c r="AI89" s="1563"/>
      <c r="AJ89" s="3116"/>
      <c r="AK89" s="3116"/>
      <c r="AL89" s="1563"/>
      <c r="AM89" s="1563"/>
      <c r="AN89" s="1563"/>
      <c r="AO89" s="1563"/>
      <c r="AP89" s="1563"/>
      <c r="AQ89" s="1563"/>
      <c r="AR89" s="1563"/>
      <c r="AS89" s="1563"/>
      <c r="AT89" s="3116"/>
      <c r="AU89" s="3116"/>
      <c r="AV89" s="1563"/>
      <c r="AW89" s="1563"/>
      <c r="AX89" s="1563"/>
      <c r="AY89" s="1563"/>
      <c r="AZ89" s="1563"/>
      <c r="BA89" s="1563"/>
      <c r="BB89" s="1563"/>
      <c r="BC89" s="1563"/>
      <c r="BD89" s="94"/>
      <c r="BE89" s="1656"/>
      <c r="BF89" s="1012"/>
      <c r="BG89" s="1012"/>
      <c r="BH89" s="1012"/>
      <c r="BI89" s="629"/>
      <c r="BJ89" s="629"/>
    </row>
    <row s="1656" customFormat="1" customHeight="1" ht="43.921875">
      <c r="A90" s="94"/>
      <c r="B90" s="429"/>
      <c r="C90" s="94"/>
      <c r="D90" s="94"/>
      <c r="E90" s="637">
        <v>15</v>
      </c>
      <c r="F90" s="94"/>
      <c r="G90" s="94"/>
      <c r="H90" s="94"/>
      <c r="I90" s="94"/>
      <c r="J90" s="94"/>
      <c r="K90" s="94"/>
      <c r="L90" s="94"/>
      <c r="M90" s="94"/>
      <c r="N90" s="94"/>
      <c r="O90" s="94"/>
      <c r="P90" s="94"/>
      <c r="Q90" s="94"/>
      <c r="R90" s="94"/>
      <c r="S90" s="94"/>
      <c r="T90" s="468">
        <f>ROW(W90)&gt;ROW(W$86)</f>
        <v>1</v>
      </c>
      <c r="U90" s="94"/>
      <c r="V90" s="94"/>
      <c r="W90" s="764"/>
      <c r="X90" s="94"/>
      <c r="Y90" s="94" t="s">
        <v>240</v>
      </c>
      <c r="Z90" s="94"/>
      <c r="AA90" s="422" t="s">
        <v>174</v>
      </c>
      <c r="AB90" s="1562" t="s">
        <v>1507</v>
      </c>
      <c r="AC90" s="1562"/>
      <c r="AD90" s="1562"/>
      <c r="AE90" s="1562"/>
      <c r="AF90" s="1562"/>
      <c r="AG90" s="1562"/>
      <c r="AH90" s="1562"/>
      <c r="AI90" s="1563"/>
      <c r="AJ90" s="3116"/>
      <c r="AK90" s="3116"/>
      <c r="AL90" s="1563"/>
      <c r="AM90" s="1563"/>
      <c r="AN90" s="1563"/>
      <c r="AO90" s="1563"/>
      <c r="AP90" s="1563"/>
      <c r="AQ90" s="1563"/>
      <c r="AR90" s="1563"/>
      <c r="AS90" s="1563"/>
      <c r="AT90" s="3116"/>
      <c r="AU90" s="3116"/>
      <c r="AV90" s="1563"/>
      <c r="AW90" s="1563"/>
      <c r="AX90" s="1563"/>
      <c r="AY90" s="1563"/>
      <c r="AZ90" s="1563"/>
      <c r="BA90" s="1563"/>
      <c r="BB90" s="1563"/>
      <c r="BC90" s="1563"/>
      <c r="BD90" s="94"/>
      <c r="BE90" s="1656"/>
      <c r="BF90" s="1012"/>
      <c r="BG90" s="1012"/>
      <c r="BH90" s="1012"/>
      <c r="BI90" s="629"/>
      <c r="BJ90" s="629"/>
    </row>
    <row s="1656" customFormat="1" customHeight="1" ht="42.421875">
      <c r="A91" s="94"/>
      <c r="B91" s="429"/>
      <c r="C91" s="94"/>
      <c r="D91" s="94"/>
      <c r="E91" s="637">
        <v>15</v>
      </c>
      <c r="F91" s="94"/>
      <c r="G91" s="94"/>
      <c r="H91" s="94"/>
      <c r="I91" s="94"/>
      <c r="J91" s="94"/>
      <c r="K91" s="94"/>
      <c r="L91" s="94"/>
      <c r="M91" s="94"/>
      <c r="N91" s="94"/>
      <c r="O91" s="94"/>
      <c r="P91" s="94"/>
      <c r="Q91" s="94"/>
      <c r="R91" s="94"/>
      <c r="S91" s="94"/>
      <c r="T91" s="468">
        <f>ROW(W91)&gt;ROW(W$86)</f>
        <v>1</v>
      </c>
      <c r="U91" s="94"/>
      <c r="V91" s="94"/>
      <c r="W91" s="764"/>
      <c r="X91" s="94"/>
      <c r="Y91" s="94" t="s">
        <v>240</v>
      </c>
      <c r="Z91" s="94"/>
      <c r="AA91" s="422" t="s">
        <v>174</v>
      </c>
      <c r="AB91" s="1562" t="s">
        <v>1508</v>
      </c>
      <c r="AC91" s="1562"/>
      <c r="AD91" s="1562"/>
      <c r="AE91" s="1562"/>
      <c r="AF91" s="1562"/>
      <c r="AG91" s="1562"/>
      <c r="AH91" s="1562"/>
      <c r="AI91" s="1563"/>
      <c r="AJ91" s="3116"/>
      <c r="AK91" s="3116"/>
      <c r="AL91" s="1563"/>
      <c r="AM91" s="1563"/>
      <c r="AN91" s="1563"/>
      <c r="AO91" s="1563"/>
      <c r="AP91" s="1563"/>
      <c r="AQ91" s="1563"/>
      <c r="AR91" s="1563"/>
      <c r="AS91" s="1563"/>
      <c r="AT91" s="3116"/>
      <c r="AU91" s="3116"/>
      <c r="AV91" s="1563"/>
      <c r="AW91" s="1563"/>
      <c r="AX91" s="1563"/>
      <c r="AY91" s="1563"/>
      <c r="AZ91" s="1563"/>
      <c r="BA91" s="1563"/>
      <c r="BB91" s="1563"/>
      <c r="BC91" s="1563"/>
      <c r="BD91" s="94"/>
      <c r="BE91" s="1656"/>
      <c r="BF91" s="1012"/>
      <c r="BG91" s="1012"/>
      <c r="BH91" s="1012"/>
      <c r="BI91" s="629"/>
      <c r="BJ91" s="629"/>
    </row>
    <row s="1656" customFormat="1" customHeight="1" ht="40.171875">
      <c r="A92" s="94"/>
      <c r="B92" s="429"/>
      <c r="C92" s="94"/>
      <c r="D92" s="94"/>
      <c r="E92" s="637">
        <v>15</v>
      </c>
      <c r="F92" s="94"/>
      <c r="G92" s="94"/>
      <c r="H92" s="94"/>
      <c r="I92" s="94"/>
      <c r="J92" s="94"/>
      <c r="K92" s="94"/>
      <c r="L92" s="94"/>
      <c r="M92" s="94"/>
      <c r="N92" s="94"/>
      <c r="O92" s="94"/>
      <c r="P92" s="94"/>
      <c r="Q92" s="94"/>
      <c r="R92" s="94"/>
      <c r="S92" s="94"/>
      <c r="T92" s="468">
        <f>ROW(W92)&gt;ROW(W$86)</f>
        <v>1</v>
      </c>
      <c r="U92" s="94"/>
      <c r="V92" s="94"/>
      <c r="W92" s="764"/>
      <c r="X92" s="94"/>
      <c r="Y92" s="94" t="s">
        <v>240</v>
      </c>
      <c r="Z92" s="94"/>
      <c r="AA92" s="422" t="s">
        <v>174</v>
      </c>
      <c r="AB92" s="1562" t="s">
        <v>1509</v>
      </c>
      <c r="AC92" s="1562"/>
      <c r="AD92" s="1562"/>
      <c r="AE92" s="1562"/>
      <c r="AF92" s="1562"/>
      <c r="AG92" s="1562"/>
      <c r="AH92" s="1562"/>
      <c r="AI92" s="1563"/>
      <c r="AJ92" s="3116"/>
      <c r="AK92" s="3116"/>
      <c r="AL92" s="1563"/>
      <c r="AM92" s="1563"/>
      <c r="AN92" s="1563"/>
      <c r="AO92" s="1563"/>
      <c r="AP92" s="1563"/>
      <c r="AQ92" s="1563"/>
      <c r="AR92" s="1563"/>
      <c r="AS92" s="1563"/>
      <c r="AT92" s="3116"/>
      <c r="AU92" s="3116"/>
      <c r="AV92" s="1563"/>
      <c r="AW92" s="1563"/>
      <c r="AX92" s="1563"/>
      <c r="AY92" s="1563"/>
      <c r="AZ92" s="1563"/>
      <c r="BA92" s="1563"/>
      <c r="BB92" s="1563"/>
      <c r="BC92" s="1563"/>
      <c r="BD92" s="94"/>
      <c r="BE92" s="1656"/>
      <c r="BF92" s="1012"/>
      <c r="BG92" s="1012"/>
      <c r="BH92" s="1012"/>
      <c r="BI92" s="629"/>
      <c r="BJ92" s="629"/>
    </row>
    <row s="1656" customFormat="1" customHeight="1" ht="29.671875">
      <c r="A93" s="94"/>
      <c r="B93" s="429"/>
      <c r="C93" s="94"/>
      <c r="D93" s="94"/>
      <c r="E93" s="637">
        <v>15</v>
      </c>
      <c r="F93" s="94"/>
      <c r="G93" s="94"/>
      <c r="H93" s="94"/>
      <c r="I93" s="94"/>
      <c r="J93" s="94"/>
      <c r="K93" s="94"/>
      <c r="L93" s="94"/>
      <c r="M93" s="94"/>
      <c r="N93" s="94"/>
      <c r="O93" s="94"/>
      <c r="P93" s="94"/>
      <c r="Q93" s="94"/>
      <c r="R93" s="94"/>
      <c r="S93" s="94"/>
      <c r="T93" s="468">
        <f>ROW(W93)&gt;ROW(W$86)</f>
        <v>1</v>
      </c>
      <c r="U93" s="94"/>
      <c r="V93" s="94"/>
      <c r="W93" s="764"/>
      <c r="X93" s="94"/>
      <c r="Y93" s="94" t="s">
        <v>240</v>
      </c>
      <c r="Z93" s="94"/>
      <c r="AA93" s="422" t="s">
        <v>174</v>
      </c>
      <c r="AB93" s="1562" t="s">
        <v>1510</v>
      </c>
      <c r="AC93" s="1562"/>
      <c r="AD93" s="1562"/>
      <c r="AE93" s="1562"/>
      <c r="AF93" s="1562"/>
      <c r="AG93" s="1562"/>
      <c r="AH93" s="1562"/>
      <c r="AI93" s="1563"/>
      <c r="AJ93" s="3116"/>
      <c r="AK93" s="3116"/>
      <c r="AL93" s="1563"/>
      <c r="AM93" s="1563"/>
      <c r="AN93" s="1563"/>
      <c r="AO93" s="1563"/>
      <c r="AP93" s="1563"/>
      <c r="AQ93" s="1563"/>
      <c r="AR93" s="1563"/>
      <c r="AS93" s="1563"/>
      <c r="AT93" s="3116"/>
      <c r="AU93" s="3116"/>
      <c r="AV93" s="1563"/>
      <c r="AW93" s="1563"/>
      <c r="AX93" s="1563"/>
      <c r="AY93" s="1563"/>
      <c r="AZ93" s="1563"/>
      <c r="BA93" s="1563"/>
      <c r="BB93" s="1563"/>
      <c r="BC93" s="1563"/>
      <c r="BD93" s="94"/>
      <c r="BE93" s="1656"/>
      <c r="BF93" s="1012"/>
      <c r="BG93" s="1012"/>
      <c r="BH93" s="1012"/>
      <c r="BI93" s="629"/>
      <c r="BJ93" s="629"/>
    </row>
    <row s="1656" customFormat="1" customHeight="1" ht="24.421875">
      <c r="A94" s="94"/>
      <c r="B94" s="429"/>
      <c r="C94" s="94"/>
      <c r="D94" s="94"/>
      <c r="E94" s="637">
        <v>15</v>
      </c>
      <c r="F94" s="94"/>
      <c r="G94" s="94"/>
      <c r="H94" s="94"/>
      <c r="I94" s="94"/>
      <c r="J94" s="94"/>
      <c r="K94" s="94"/>
      <c r="L94" s="94"/>
      <c r="M94" s="94"/>
      <c r="N94" s="94"/>
      <c r="O94" s="94"/>
      <c r="P94" s="94"/>
      <c r="Q94" s="94"/>
      <c r="R94" s="94"/>
      <c r="S94" s="94"/>
      <c r="T94" s="468">
        <f>ROW(W94)&gt;ROW(W$86)</f>
        <v>1</v>
      </c>
      <c r="U94" s="94"/>
      <c r="V94" s="94"/>
      <c r="W94" s="764"/>
      <c r="X94" s="94"/>
      <c r="Y94" s="94" t="s">
        <v>240</v>
      </c>
      <c r="Z94" s="94"/>
      <c r="AA94" s="422" t="s">
        <v>174</v>
      </c>
      <c r="AB94" s="1562" t="s">
        <v>1511</v>
      </c>
      <c r="AC94" s="1562"/>
      <c r="AD94" s="1562"/>
      <c r="AE94" s="1562"/>
      <c r="AF94" s="1562"/>
      <c r="AG94" s="1562"/>
      <c r="AH94" s="1562"/>
      <c r="AI94" s="1563"/>
      <c r="AJ94" s="3116"/>
      <c r="AK94" s="3116"/>
      <c r="AL94" s="1563"/>
      <c r="AM94" s="1563"/>
      <c r="AN94" s="1563"/>
      <c r="AO94" s="1563"/>
      <c r="AP94" s="1563"/>
      <c r="AQ94" s="1563"/>
      <c r="AR94" s="1563"/>
      <c r="AS94" s="1563"/>
      <c r="AT94" s="3116"/>
      <c r="AU94" s="3116"/>
      <c r="AV94" s="1563"/>
      <c r="AW94" s="1563"/>
      <c r="AX94" s="1563"/>
      <c r="AY94" s="1563"/>
      <c r="AZ94" s="1563"/>
      <c r="BA94" s="1563"/>
      <c r="BB94" s="1563"/>
      <c r="BC94" s="1563"/>
      <c r="BD94" s="94"/>
      <c r="BE94" s="1656"/>
      <c r="BF94" s="1012"/>
      <c r="BG94" s="1012"/>
      <c r="BH94" s="1012"/>
      <c r="BI94" s="629"/>
      <c r="BJ94" s="629"/>
    </row>
    <row s="1656" customFormat="1" customHeight="1" ht="34.171875">
      <c r="A95" s="94"/>
      <c r="B95" s="429"/>
      <c r="C95" s="94"/>
      <c r="D95" s="94"/>
      <c r="E95" s="637">
        <v>15</v>
      </c>
      <c r="F95" s="94"/>
      <c r="G95" s="94"/>
      <c r="H95" s="94"/>
      <c r="I95" s="94"/>
      <c r="J95" s="94"/>
      <c r="K95" s="94"/>
      <c r="L95" s="94"/>
      <c r="M95" s="94"/>
      <c r="N95" s="94"/>
      <c r="O95" s="94"/>
      <c r="P95" s="94"/>
      <c r="Q95" s="94"/>
      <c r="R95" s="94"/>
      <c r="S95" s="94"/>
      <c r="T95" s="468">
        <f>ROW(W95)&gt;ROW(W$86)</f>
        <v>1</v>
      </c>
      <c r="U95" s="94"/>
      <c r="V95" s="94"/>
      <c r="W95" s="764"/>
      <c r="X95" s="94"/>
      <c r="Y95" s="94" t="s">
        <v>240</v>
      </c>
      <c r="Z95" s="94"/>
      <c r="AA95" s="422" t="s">
        <v>174</v>
      </c>
      <c r="AB95" s="1562" t="s">
        <v>1512</v>
      </c>
      <c r="AC95" s="1562"/>
      <c r="AD95" s="1562"/>
      <c r="AE95" s="1562"/>
      <c r="AF95" s="1562"/>
      <c r="AG95" s="1562"/>
      <c r="AH95" s="1562"/>
      <c r="AI95" s="1563"/>
      <c r="AJ95" s="3116"/>
      <c r="AK95" s="3116"/>
      <c r="AL95" s="1563"/>
      <c r="AM95" s="1563"/>
      <c r="AN95" s="1563"/>
      <c r="AO95" s="1563"/>
      <c r="AP95" s="1563"/>
      <c r="AQ95" s="1563"/>
      <c r="AR95" s="1563"/>
      <c r="AS95" s="1563"/>
      <c r="AT95" s="3116"/>
      <c r="AU95" s="3116"/>
      <c r="AV95" s="1563"/>
      <c r="AW95" s="1563"/>
      <c r="AX95" s="1563"/>
      <c r="AY95" s="1563"/>
      <c r="AZ95" s="1563"/>
      <c r="BA95" s="1563"/>
      <c r="BB95" s="1563"/>
      <c r="BC95" s="1563"/>
      <c r="BD95" s="94"/>
      <c r="BE95" s="1656"/>
      <c r="BF95" s="1012"/>
      <c r="BG95" s="1012"/>
      <c r="BH95" s="1012"/>
      <c r="BI95" s="629"/>
      <c r="BJ95" s="629"/>
    </row>
    <row s="1656" customFormat="1" customHeight="1" ht="14.625">
      <c r="A96" s="94"/>
      <c r="B96" s="429"/>
      <c r="C96" s="94"/>
      <c r="D96" s="94"/>
      <c r="E96" s="637">
        <v>15</v>
      </c>
      <c r="F96" s="94"/>
      <c r="G96" s="94"/>
      <c r="H96" s="94"/>
      <c r="I96" s="94"/>
      <c r="J96" s="94"/>
      <c r="K96" s="94"/>
      <c r="L96" s="94"/>
      <c r="M96" s="94"/>
      <c r="N96" s="94"/>
      <c r="O96" s="94"/>
      <c r="P96" s="94"/>
      <c r="Q96" s="94"/>
      <c r="R96" s="94"/>
      <c r="S96" s="94"/>
      <c r="T96" s="94"/>
      <c r="U96" s="94"/>
      <c r="V96" s="94"/>
      <c r="W96" s="764" t="s">
        <v>421</v>
      </c>
      <c r="X96" s="94"/>
      <c r="Y96" s="94"/>
      <c r="Z96" s="94"/>
      <c r="AA96" s="94"/>
      <c r="AB96" s="653"/>
      <c r="AC96" s="517" t="s">
        <v>1443</v>
      </c>
      <c r="AD96" s="306"/>
      <c r="AE96" s="306"/>
      <c r="AF96" s="307"/>
      <c r="AG96" s="307"/>
      <c r="AH96" s="307"/>
      <c r="AI96" s="307"/>
      <c r="AJ96" s="307"/>
      <c r="AK96" s="307"/>
      <c r="AL96" s="307"/>
      <c r="AM96" s="307"/>
      <c r="AN96" s="307"/>
      <c r="AO96" s="307"/>
      <c r="AP96" s="307"/>
      <c r="AQ96" s="307"/>
      <c r="AR96" s="307"/>
      <c r="AS96" s="307"/>
      <c r="AT96" s="307"/>
      <c r="AU96" s="307"/>
      <c r="AV96" s="307"/>
      <c r="AW96" s="307"/>
      <c r="AX96" s="307"/>
      <c r="AY96" s="307"/>
      <c r="AZ96" s="307"/>
      <c r="BA96" s="307"/>
      <c r="BB96" s="307"/>
      <c r="BC96" s="308"/>
      <c r="BD96" s="94"/>
      <c r="BF96" s="1012"/>
      <c r="BG96" s="1012"/>
      <c r="BH96" s="1012"/>
      <c r="BI96" s="629"/>
      <c r="BJ96" s="629"/>
    </row>
    <row s="1656" customFormat="1" customHeight="1" ht="10.96875">
      <c r="A97" s="145"/>
      <c r="B97" s="444"/>
      <c r="C97" s="145"/>
      <c r="D97" s="145"/>
      <c r="E97" s="682">
        <v>11.25</v>
      </c>
      <c r="F97" s="145"/>
      <c r="G97" s="145"/>
      <c r="H97" s="145"/>
      <c r="I97" s="145"/>
      <c r="J97" s="145"/>
      <c r="K97" s="145"/>
      <c r="L97" s="145"/>
      <c r="M97" s="145"/>
      <c r="N97" s="145"/>
      <c r="O97" s="145"/>
      <c r="P97" s="145"/>
      <c r="Q97" s="145"/>
      <c r="R97" s="145"/>
      <c r="S97" s="145"/>
      <c r="T97" s="145"/>
      <c r="U97" s="145"/>
      <c r="V97" s="145"/>
      <c r="W97" s="145"/>
      <c r="X97" s="145"/>
      <c r="Y97" s="145"/>
      <c r="Z97" s="145"/>
      <c r="AA97" s="145"/>
      <c r="AB97" s="145"/>
      <c r="AC97" s="145"/>
      <c r="AD97" s="145"/>
      <c r="AE97" s="145"/>
      <c r="AF97" s="145"/>
      <c r="AG97" s="145"/>
      <c r="AH97" s="145"/>
      <c r="AI97" s="145"/>
      <c r="AJ97" s="145"/>
      <c r="AK97" s="145"/>
      <c r="AL97" s="145"/>
      <c r="AM97" s="145"/>
      <c r="AN97" s="145"/>
      <c r="AO97" s="145"/>
      <c r="AP97" s="145"/>
      <c r="AQ97" s="145"/>
      <c r="AR97" s="145"/>
      <c r="AS97" s="145"/>
      <c r="AT97" s="145"/>
      <c r="AU97" s="145"/>
      <c r="AV97" s="145"/>
      <c r="AW97" s="145"/>
      <c r="AX97" s="145"/>
      <c r="AY97" s="145"/>
      <c r="AZ97" s="145"/>
      <c r="BA97" s="145"/>
      <c r="BB97" s="145"/>
      <c r="BC97" s="145"/>
      <c r="BD97" s="428"/>
      <c r="BF97" s="1012"/>
      <c r="BG97" s="1012"/>
      <c r="BH97" s="1012"/>
      <c r="BI97" s="629"/>
      <c r="BJ97" s="629"/>
    </row>
  </sheetData>
  <sheetProtection formatColumns="0" formatRows="0" insertRows="0" deleteColumns="0" deleteRows="0" sort="0" autoFilter="0" insertColumns="1"/>
  <mergeCells count="24">
    <mergeCell ref="AB24:AB25"/>
    <mergeCell ref="AC24:AC25"/>
    <mergeCell ref="AD24:AD25"/>
    <mergeCell ref="BC24:BC25"/>
    <mergeCell ref="AB86:BC86"/>
    <mergeCell ref="X27:X40"/>
    <mergeCell ref="Z27:Z40"/>
    <mergeCell ref="AB84:BC84"/>
    <mergeCell ref="AB85:BC85"/>
    <mergeCell ref="X41:X54"/>
    <mergeCell ref="Z41:Z54"/>
    <mergeCell ref="X55:X68"/>
    <mergeCell ref="Z55:Z68"/>
    <mergeCell ref="X69:X82"/>
    <mergeCell ref="Z69:Z82"/>
    <mergeCell ref="AB87:BC87"/>
    <mergeCell ref="AB88:BC88"/>
    <mergeCell ref="AB89:BC89"/>
    <mergeCell ref="AB90:BC90"/>
    <mergeCell ref="AB91:BC91"/>
    <mergeCell ref="AB92:BC92"/>
    <mergeCell ref="AB93:BC93"/>
    <mergeCell ref="AB94:BC94"/>
    <mergeCell ref="AB95:BC95"/>
  </mergeCells>
  <dataValidations count="2">
    <dataValidation allowBlank="1" showInputMessage="1" showErrorMessage="1" sqref="AI84:BC65548"/>
    <dataValidation type="decimal" allowBlank="1" showErrorMessage="1" errorTitle="Ошибка" error="Допускается ввод только неотрицательных чисел!" sqref="AE29:BB37 AE39:AW39 AE43 AF43 AG43 AH43 AI43 AJ43 AK43 AL43 AM43 AN43 AO43 AP43 AQ43 AR43 AS43 AT43 AU43 AV43 AW43 AX43 AY43 AZ43 BA43 BB43 AE44 AF44 AG44 AH44 AI44 AJ44 AK44 AL44 AM44 AN44 AO44 AP44 AQ44 AR44 AS44 AT44 AU44 AV44 AW44 AX44 AY44 AZ44 BA44 BB44 AE45 AF45 AG45 AH45 AI45 AJ45 AK45 AL45 AM45 AN45 AO45 AP45 AQ45 AR45 AS45 AT45 AU45 AV45 AW45 AX45 AY45 AZ45 BA45 BB45 AE46 AF46 AG46 AH46 AI46 AJ46 AK46 AL46 AM46 AN46 AO46 AP46 AQ46 AR46 AS46 AT46 AU46 AV46 AW46 AX46 AY46 AZ46 BA46 BB46 AE47 AF47 AG47 AH47 AI47 AJ47 AK47 AL47 AM47 AN47 AO47 AP47 AQ47 AR47 AS47 AT47 AU47 AV47 AW47 AX47 AY47 AZ47 BA47 BB47 AE48 AF48 AG48 AH48 AI48 AJ48 AK48 AL48 AM48 AN48 AO48 AP48 AQ48 AR48 AS48 AT48 AU48 AV48 AW48 AX48 AY48 AZ48 BA48 BB48 AE49 AF49 AG49 AH49 AI49 AJ49 AK49 AL49 AM49 AN49 AO49 AP49 AQ49 AR49 AS49 AT49 AU49 AV49 AW49 AX49 AY49 AZ49 BA49 BB49 AE50 AF50 AG50 AH50 AI50 AJ50 AK50 AL50 AM50 AN50 AO50 AP50 AQ50 AR50 AS50 AT50 AU50 AV50 AW50 AX50 AY50 AZ50 BA50 BB50 AE51 AF51 AG51 AH51 AI51 AJ51 AK51 AL51 AM51 AN51 AO51 AP51 AQ51 AR51 AS51 AT51 AU51 AV51 AW51 AX51 AY51 AZ51 BA51 BB51 AE53 AF53 AG53 AH53 AI53 AJ53 AK53 AL53 AM53 AN53 AO53 AP53 AQ53 AR53 AS53 AT53 AU53 AV53 AW53 AE57 AF57 AG57 AH57 AI57 AJ57 AK57 AL57 AM57 AN57 AO57 AP57 AQ57 AR57 AS57 AT57 AU57 AV57 AW57 AX57 AY57 AZ57 BA57 BB57 AE58 AF58 AG58 AH58 AI58 AJ58 AK58 AL58 AM58 AN58 AO58 AP58 AQ58 AR58 AS58 AT58 AU58 AV58 AW58 AX58 AY58 AZ58 BA58 BB58 AE59 AF59 AG59 AH59 AI59 AJ59 AK59 AL59 AM59 AN59 AO59 AP59 AQ59 AR59 AS59 AT59 AU59 AV59 AW59 AX59 AY59 AZ59 BA59 BB59 AE60 AF60 AG60 AH60 AI60 AJ60 AK60 AL60 AM60 AN60 AO60 AP60 AQ60 AR60 AS60 AT60 AU60 AV60 AW60 AX60 AY60 AZ60 BA60 BB60 AE61 AF61 AG61 AH61 AI61 AJ61 AK61 AL61 AM61 AN61 AO61 AP61 AQ61 AR61 AS61 AT61 AU61 AV61 AW61 AX61 AY61 AZ61 BA61 BB61 AE62 AF62 AG62 AH62 AI62 AJ62 AK62 AL62 AM62 AN62 AO62 AP62 AQ62 AR62 AS62 AT62 AU62 AV62 AW62 AX62 AY62 AZ62 BA62 BB62 AE63 AF63 AG63 AH63 AI63 AJ63 AK63 AL63 AM63 AN63 AO63 AP63 AQ63 AR63 AS63 AT63 AU63 AV63 AW63 AX63 AY63 AZ63 BA63 BB63 AE64 AF64 AG64 AH64 AI64 AJ64 AK64 AL64 AM64 AN64 AO64 AP64 AQ64 AR64 AS64 AT64 AU64 AV64 AW64 AX64 AY64 AZ64 BA64 BB64 AE65 AF65 AG65 AH65 AI65 AJ65 AK65 AL65 AM65 AN65 AO65 AP65 AQ65 AR65 AS65 AT65 AU65 AV65 AW65 AX65 AY65 AZ65 BA65 BB65 AE67 AF67 AG67 AH67 AI67 AJ67 AK67 AL67 AM67 AN67 AO67 AP67 AQ67 AR67 AS67 AT67 AU67 AV67 AW67 AE71 AF71 AG71 AH71 AI71 AJ71 AK71 AL71 AM71 AN71 AO71 AP71 AQ71 AR71 AS71 AT71 AU71 AV71 AW71 AX71 AY71 AZ71 BA71 BB71 AE72 AF72 AG72 AH72 AI72 AJ72 AK72 AL72 AM72 AN72 AO72 AP72 AQ72 AR72 AS72 AT72 AU72 AV72 AW72 AX72 AY72 AZ72 BA72 BB72 AE73 AF73 AG73 AH73 AI73 AJ73 AK73 AL73 AM73 AN73 AO73 AP73 AQ73 AR73 AS73 AT73 AU73 AV73 AW73 AX73 AY73 AZ73 BA73 BB73 AE74 AF74 AG74 AH74 AI74 AJ74 AK74 AL74 AM74 AN74 AO74 AP74 AQ74 AR74 AS74 AT74 AU74 AV74 AW74 AX74 AY74 AZ74 BA74 BB74 AE75 AF75 AG75 AH75 AI75 AJ75 AK75 AL75 AM75 AN75 AO75 AP75 AQ75 AR75 AS75 AT75 AU75 AV75 AW75 AX75 AY75 AZ75 BA75 BB75 AE76 AF76 AG76 AH76 AI76 AJ76 AK76 AL76 AM76 AN76 AO76 AP76 AQ76 AR76 AS76 AT76 AU76 AV76 AW76 AX76 AY76 AZ76 BA76 BB76 AE77 AF77 AG77 AH77 AI77 AJ77 AK77 AL77 AM77 AN77 AO77 AP77 AQ77 AR77 AS77 AT77 AU77 AV77 AW77 AX77 AY77 AZ77 BA77 BB77 AE78 AF78 AG78 AH78 AI78 AJ78 AK78 AL78 AM78 AN78 AO78 AP78 AQ78 AR78 AS78 AT78 AU78 AV78 AW78 AX78 AY78 AZ78 BA78 BB78 AE79 AF79 AG79 AH79 AI79 AJ79 AK79 AL79 AM79 AN79 AO79 AP79 AQ79 AR79 AS79 AT79 AU79 AV79 AW79 AX79 AY79 AZ79 BA79 BB79 AE81 AF81 AG81 AH81 AI81 AJ81 AK81 AL81 AM81 AN81 AO81 AP81 AQ81 AR81 AS81 AT81 AU81 AV81 AW81">
      <formula1>0</formula1>
      <formula2>9.99999999999999E+23</formula2>
    </dataValidation>
  </dataValidations>
  <pageMargins left="0.35" right="0.35" top="0.40" bottom="0.40" header="0.31" footer="0.31"/>
  <pageSetup paperSize="9" scale="30" fitToHeight="0" pageOrder="downThenOver" orientation="landscape"/>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8C6E46F-6CB2-1CE5-34A8-41714A69E9D8}" mc:Ignorable="x14ac xr xr2 xr3">
  <sheetPr>
    <tabColor rgb="FF002060"/>
    <outlinePr summaryRight="0" summaryBelow="0"/>
    <pageSetUpPr fitToPage="1"/>
  </sheetPr>
  <dimension ref="A1:BH179"/>
  <sheetViews>
    <sheetView showGridLines="0" workbookViewId="0">
      <pane xSplit="30" ySplit="27" topLeftCell="AI91" activePane="bottomRight" state="frozen"/>
      <selection pane="bottomLeft" activeCell="A28" sqref="A28"/>
      <selection pane="topRight" activeCell="AE1" sqref="AE1"/>
      <selection pane="bottomRight" activeCell="BE92" sqref="BE92"/>
    </sheetView>
  </sheetViews>
  <sheetFormatPr defaultColWidth="8.8515625" customHeight="1" defaultRowHeight="11.25"/>
  <cols>
    <col min="1" max="1" style="1331" width="3.57421875" hidden="1" customWidth="1"/>
    <col min="2" max="2" style="1223" width="8.57421875" hidden="1" customWidth="1"/>
    <col min="3" max="4" style="1331" width="3.57421875" hidden="1" customWidth="1"/>
    <col min="5" max="5" style="1182" width="3.57421875" hidden="1" customWidth="1"/>
    <col min="6" max="6" style="1331" width="3.57421875" hidden="1" customWidth="1"/>
    <col min="7" max="7" style="1331" width="7.7109375" hidden="1" customWidth="1"/>
    <col min="8" max="10" style="1331" width="3.57421875" hidden="1" customWidth="1"/>
    <col min="11" max="11" style="1331" width="7.140625" hidden="1" customWidth="1"/>
    <col min="12" max="18" style="1331" width="3.57421875" hidden="1" customWidth="1"/>
    <col min="19" max="19" style="1331" width="9.28125" hidden="1" customWidth="1"/>
    <col min="20" max="20" style="1331" width="12.140625" hidden="1" customWidth="1"/>
    <col min="21" max="21" style="1331" width="5.8515625" hidden="1" customWidth="1"/>
    <col min="22" max="23" style="1331" width="6.140625" hidden="1" customWidth="1"/>
    <col min="24" max="25" style="1331" width="5.57421875" hidden="1" customWidth="1"/>
    <col min="26" max="26" style="1331" width="5.28125" hidden="1" customWidth="1"/>
    <col min="27" max="27" style="1331" width="3.00390625" customWidth="1"/>
    <col min="28" max="28" style="1331" width="7.57421875" customWidth="1"/>
    <col min="29" max="29" style="1331" width="28.00390625" customWidth="1"/>
    <col min="30" max="30" style="1331" width="10.00390625" customWidth="1"/>
    <col min="31" max="31" style="1331" width="15.140625" customWidth="1"/>
    <col min="32" max="32" style="1331" width="13.57421875" customWidth="1"/>
    <col min="33" max="33" style="1331" width="15.421875" customWidth="1"/>
    <col min="34" max="34" style="1331" width="16.140625" customWidth="1"/>
    <col min="35" max="35" style="1331" width="14.29296875" customWidth="1"/>
    <col min="36" max="36" style="1331" width="12.57421875" customWidth="1"/>
    <col min="37" max="37" style="1331" width="13.7109375" customWidth="1"/>
    <col min="38" max="46" style="1331" width="12.57421875" hidden="1" customWidth="1"/>
    <col min="47" max="47" style="1331" width="16.00390625" customWidth="1"/>
    <col min="48" max="56" style="1331" width="12.57421875" hidden="1" customWidth="1"/>
    <col min="57" max="57" style="1331" width="139.59375" customWidth="1"/>
    <col min="58" max="58" style="1331" width="3.00390625" customWidth="1"/>
    <col min="59" max="59" style="1331" width="8.8515625" hidden="1"/>
    <col min="60" max="60" style="1245" width="8.8515625" hidden="1"/>
  </cols>
  <sheetData>
    <row customHeight="1" ht="11.25" hidden="1">
      <c r="E1" s="118"/>
      <c r="F1" s="118" t="s">
        <v>333</v>
      </c>
      <c r="H1" s="118" t="s">
        <v>343</v>
      </c>
      <c r="T1" s="468" t="s">
        <v>93</v>
      </c>
      <c r="U1" s="468" t="s">
        <v>98</v>
      </c>
      <c r="V1" s="468" t="s">
        <v>94</v>
      </c>
      <c r="W1" s="468" t="s">
        <v>95</v>
      </c>
      <c r="X1" s="468" t="s">
        <v>96</v>
      </c>
      <c r="Y1" s="470" t="s">
        <v>335</v>
      </c>
      <c r="Z1" s="468" t="s">
        <v>100</v>
      </c>
      <c r="AA1" s="469" t="s">
        <v>97</v>
      </c>
      <c r="AB1" s="469" t="s">
        <v>99</v>
      </c>
      <c r="AC1" s="469" t="s">
        <v>99</v>
      </c>
      <c r="AK1" s="1331"/>
      <c r="AL1" s="1331"/>
      <c r="AM1" s="1331"/>
      <c r="AN1" s="1331"/>
      <c r="AO1" s="1331"/>
      <c r="AP1" s="1331"/>
      <c r="AQ1" s="1331"/>
      <c r="AR1" s="1331"/>
      <c r="AS1" s="1331"/>
      <c r="AT1" s="1331"/>
      <c r="AU1" s="1331"/>
      <c r="AV1" s="1331"/>
      <c r="AW1" s="1331"/>
      <c r="AX1" s="1331"/>
      <c r="AY1" s="1331"/>
      <c r="AZ1" s="1331"/>
      <c r="BA1" s="1331"/>
      <c r="BB1" s="1331"/>
      <c r="BC1" s="1331"/>
      <c r="BD1" s="1331"/>
      <c r="BH1" s="1005" t="s">
        <v>336</v>
      </c>
    </row>
    <row s="1223" customFormat="1" customHeight="1" ht="11.25" hidden="1">
      <c r="B2" s="448" t="s">
        <v>19</v>
      </c>
      <c r="AK2" s="448">
        <f>AND(AK6&lt;=last_year_vis,isOrgDeclare)</f>
        <v>1</v>
      </c>
      <c r="AL2" s="448">
        <f>AND(AL6&lt;=last_year_vis,isOrgDeclare)</f>
        <v>0</v>
      </c>
      <c r="AM2" s="448">
        <f>AND(AM6&lt;=last_year_vis,isOrgDeclare)</f>
        <v>0</v>
      </c>
      <c r="AN2" s="448">
        <f>AND(AN6&lt;=last_year_vis,isOrgDeclare)</f>
        <v>0</v>
      </c>
      <c r="AO2" s="448">
        <f>AND(AO6&lt;=last_year_vis,isOrgDeclare)</f>
        <v>0</v>
      </c>
      <c r="AP2" s="448">
        <f>AND(AP6&lt;=last_year_vis,isOrgDeclare)</f>
        <v>0</v>
      </c>
      <c r="AQ2" s="448">
        <f>AND(AQ6&lt;=last_year_vis,isOrgDeclare)</f>
        <v>0</v>
      </c>
      <c r="AR2" s="448">
        <f>AND(AR6&lt;=last_year_vis,isOrgDeclare)</f>
        <v>0</v>
      </c>
      <c r="AS2" s="448">
        <f>AND(AS6&lt;=last_year_vis,isOrgDeclare)</f>
        <v>0</v>
      </c>
      <c r="AT2" s="448">
        <f>AND(AT6&lt;=last_year_vis,isOrgDeclare)</f>
        <v>0</v>
      </c>
      <c r="AU2" s="448">
        <f>AU6&lt;=last_year_vis</f>
        <v>1</v>
      </c>
      <c r="AV2" s="448">
        <f>AV6&lt;=last_year_vis</f>
        <v>0</v>
      </c>
      <c r="AW2" s="448">
        <f>AW6&lt;=last_year_vis</f>
        <v>0</v>
      </c>
      <c r="AX2" s="448">
        <f>AX6&lt;=last_year_vis</f>
        <v>0</v>
      </c>
      <c r="AY2" s="448">
        <f>AY6&lt;=last_year_vis</f>
        <v>0</v>
      </c>
      <c r="AZ2" s="448">
        <f>AZ6&lt;=last_year_vis</f>
        <v>0</v>
      </c>
      <c r="BA2" s="448">
        <f>BA6&lt;=last_year_vis</f>
        <v>0</v>
      </c>
      <c r="BB2" s="448">
        <f>BB6&lt;=last_year_vis</f>
        <v>0</v>
      </c>
      <c r="BC2" s="448">
        <f>BC6&lt;=last_year_vis</f>
        <v>0</v>
      </c>
      <c r="BD2" s="448">
        <f>BD6&lt;=last_year_vis</f>
        <v>0</v>
      </c>
      <c r="BH2" s="1017"/>
    </row>
    <row customHeight="1" ht="11.25" hidden="1">
      <c r="E3" s="118"/>
      <c r="AK3" s="1331"/>
      <c r="AL3" s="1331"/>
      <c r="AM3" s="1331"/>
      <c r="AN3" s="1331"/>
      <c r="AO3" s="1331"/>
      <c r="AP3" s="1331"/>
      <c r="AQ3" s="1331"/>
      <c r="AR3" s="1331"/>
      <c r="AS3" s="1331"/>
      <c r="AT3" s="1331"/>
      <c r="AU3" s="1331"/>
      <c r="AV3" s="1331"/>
      <c r="AW3" s="1331"/>
      <c r="AX3" s="1331"/>
      <c r="AY3" s="1331"/>
      <c r="AZ3" s="1331"/>
      <c r="BA3" s="1331"/>
      <c r="BB3" s="1331"/>
      <c r="BC3" s="1331"/>
      <c r="BD3" s="1331"/>
    </row>
    <row customHeight="1" ht="11.25" hidden="1">
      <c r="E4" s="118"/>
      <c r="AK4" s="1331"/>
      <c r="AL4" s="1331"/>
      <c r="AM4" s="1331"/>
      <c r="AN4" s="1331"/>
      <c r="AO4" s="1331"/>
      <c r="AP4" s="1331"/>
      <c r="AQ4" s="1331"/>
      <c r="AR4" s="1331"/>
      <c r="AS4" s="1331"/>
      <c r="AT4" s="1331"/>
      <c r="AU4" s="1331"/>
      <c r="AV4" s="1331"/>
      <c r="AW4" s="1331"/>
      <c r="AX4" s="1331"/>
      <c r="AY4" s="1331"/>
      <c r="AZ4" s="1331"/>
      <c r="BA4" s="1331"/>
      <c r="BB4" s="1331"/>
      <c r="BC4" s="1331"/>
      <c r="BD4" s="1331"/>
    </row>
    <row s="1182" customFormat="1" customHeight="1" ht="11.25" hidden="1">
      <c r="A5" s="118"/>
      <c r="B5" s="430"/>
      <c r="C5" s="118"/>
      <c r="D5" s="118"/>
      <c r="E5" s="623" t="s">
        <v>20</v>
      </c>
      <c r="AA5" s="623">
        <v>3</v>
      </c>
      <c r="AB5" s="623">
        <v>11</v>
      </c>
      <c r="AC5" s="623">
        <v>54</v>
      </c>
      <c r="AD5" s="623">
        <v>11.14</v>
      </c>
      <c r="AE5" s="623">
        <v>14.14</v>
      </c>
      <c r="AF5" s="623">
        <v>12.57</v>
      </c>
      <c r="AG5" s="623">
        <v>14.29</v>
      </c>
      <c r="AH5" s="623">
        <v>14.43</v>
      </c>
      <c r="AI5" s="623">
        <v>14.29</v>
      </c>
      <c r="AJ5" s="623">
        <v>12.57</v>
      </c>
      <c r="AK5" s="623">
        <v>12.57</v>
      </c>
      <c r="AL5" s="623">
        <v>12.57</v>
      </c>
      <c r="AM5" s="623">
        <v>12.57</v>
      </c>
      <c r="AN5" s="623">
        <v>12.57</v>
      </c>
      <c r="AO5" s="623">
        <v>12.57</v>
      </c>
      <c r="AP5" s="623">
        <v>12.57</v>
      </c>
      <c r="AQ5" s="623">
        <v>12.57</v>
      </c>
      <c r="AR5" s="623">
        <v>12.57</v>
      </c>
      <c r="AS5" s="623">
        <v>12.57</v>
      </c>
      <c r="AT5" s="623">
        <v>12.57</v>
      </c>
      <c r="AU5" s="623">
        <v>12.57</v>
      </c>
      <c r="AV5" s="623">
        <v>12.57</v>
      </c>
      <c r="AW5" s="623">
        <v>12.57</v>
      </c>
      <c r="AX5" s="623">
        <v>12.57</v>
      </c>
      <c r="AY5" s="623">
        <v>12.57</v>
      </c>
      <c r="AZ5" s="623">
        <v>12.57</v>
      </c>
      <c r="BA5" s="623">
        <v>12.57</v>
      </c>
      <c r="BB5" s="623">
        <v>12.57</v>
      </c>
      <c r="BC5" s="623">
        <v>12.57</v>
      </c>
      <c r="BD5" s="623">
        <v>12.57</v>
      </c>
      <c r="BE5" s="623">
        <v>20</v>
      </c>
      <c r="BF5" s="623">
        <v>3</v>
      </c>
      <c r="BH5" s="1005"/>
    </row>
    <row customHeight="1" ht="11.25" hidden="1">
      <c r="A6" s="118" t="s">
        <v>371</v>
      </c>
      <c r="AE6" s="118">
        <f>god-2</f>
        <v>2024</v>
      </c>
      <c r="AF6" s="118">
        <f>god-2</f>
        <v>2024</v>
      </c>
      <c r="AG6" s="118">
        <f>god-2</f>
        <v>2024</v>
      </c>
      <c r="AH6" s="118">
        <f>god-2</f>
        <v>2024</v>
      </c>
      <c r="AI6" s="118">
        <f>god-1</f>
        <v>2025</v>
      </c>
      <c r="AJ6" s="118">
        <f>god-1</f>
        <v>2025</v>
      </c>
      <c r="AK6" s="94" cm="1" t="str">
        <f t="array" ref="AK6:AK6">god</f>
        <v>2026</v>
      </c>
      <c r="AL6" s="94">
        <f>god+1</f>
        <v>2027</v>
      </c>
      <c r="AM6" s="94">
        <f>god+2</f>
        <v>2028</v>
      </c>
      <c r="AN6" s="94">
        <f>god+3</f>
        <v>2029</v>
      </c>
      <c r="AO6" s="94">
        <f>god+4</f>
        <v>2030</v>
      </c>
      <c r="AP6" s="94">
        <f>god+5</f>
        <v>2031</v>
      </c>
      <c r="AQ6" s="94">
        <f>god+6</f>
        <v>2032</v>
      </c>
      <c r="AR6" s="94">
        <f>god+7</f>
        <v>2033</v>
      </c>
      <c r="AS6" s="94">
        <f>god+8</f>
        <v>2034</v>
      </c>
      <c r="AT6" s="94">
        <f>god+9</f>
        <v>2035</v>
      </c>
      <c r="AU6" s="94" cm="1" t="str">
        <f t="array" ref="AU6:AU6">god</f>
        <v>2026</v>
      </c>
      <c r="AV6" s="94">
        <f>god+1</f>
        <v>2027</v>
      </c>
      <c r="AW6" s="94">
        <f>god+2</f>
        <v>2028</v>
      </c>
      <c r="AX6" s="94">
        <f>god+3</f>
        <v>2029</v>
      </c>
      <c r="AY6" s="94">
        <f>god+4</f>
        <v>2030</v>
      </c>
      <c r="AZ6" s="94">
        <f>god+5</f>
        <v>2031</v>
      </c>
      <c r="BA6" s="94">
        <f>god+6</f>
        <v>2032</v>
      </c>
      <c r="BB6" s="94">
        <f>god+7</f>
        <v>2033</v>
      </c>
      <c r="BC6" s="94">
        <f>god+8</f>
        <v>2034</v>
      </c>
      <c r="BD6" s="94">
        <f>god+9</f>
        <v>2035</v>
      </c>
    </row>
    <row customHeight="1" ht="11.25" hidden="1">
      <c r="A7" s="118" t="s">
        <v>372</v>
      </c>
      <c r="AE7" s="118" cm="1" t="str">
        <f t="array" ref="AE7:AE7">AE27</f>
        <v>Плановый размер финансирования утвержденной инвестиционной программы</v>
      </c>
      <c r="AF7" s="118" cm="1" t="str">
        <f t="array" ref="AF7:AF7">AF27</f>
        <v>Принято органом регулирования</v>
      </c>
      <c r="AG7" s="118" cm="1" t="str">
        <f t="array" ref="AG7:AG7">AG27</f>
        <v>Объем фактического ввода объектов системы водоснабжения и водоотведения в эксплуатацию по данным организации</v>
      </c>
      <c r="AH7" s="118" cm="1" t="str">
        <f t="array" ref="AH7:AH7">AH27</f>
        <v>Объем фактического ввода объектов системы водоснабжения и водоотведения в эксплуатацию, принятый органом регулирования</v>
      </c>
      <c r="AI7" s="118" cm="1" t="str">
        <f t="array" ref="AI7:AI7">AI27</f>
        <v>Плановый размер финансирования утвержденной инвестиционной программы</v>
      </c>
      <c r="AJ7" s="118" cm="1" t="str">
        <f t="array" ref="AJ7:AJ7">AJ27</f>
        <v>Принято органом регулирования</v>
      </c>
      <c r="AK7" s="118" cm="1" t="str">
        <f t="array" ref="AK7:AK7">AK27</f>
        <v>Предложение организации</v>
      </c>
      <c r="AL7" s="118" cm="1" t="str">
        <f t="array" ref="AL7:AL7">AL27</f>
        <v>Предложение организации</v>
      </c>
      <c r="AM7" s="118" cm="1" t="str">
        <f t="array" ref="AM7:AM7">AM27</f>
        <v>Предложение организации</v>
      </c>
      <c r="AN7" s="118" cm="1" t="str">
        <f t="array" ref="AN7:AN7">AN27</f>
        <v>Предложение организации</v>
      </c>
      <c r="AO7" s="118" cm="1" t="str">
        <f t="array" ref="AO7:AO7">AO27</f>
        <v>Предложение организации</v>
      </c>
      <c r="AP7" s="118" cm="1" t="str">
        <f t="array" ref="AP7:AP7">AP27</f>
        <v>Предложение организации</v>
      </c>
      <c r="AQ7" s="118" cm="1" t="str">
        <f t="array" ref="AQ7:AQ7">AQ27</f>
        <v>Предложение организации</v>
      </c>
      <c r="AR7" s="118" cm="1" t="str">
        <f t="array" ref="AR7:AR7">AR27</f>
        <v>Предложение организации</v>
      </c>
      <c r="AS7" s="118" cm="1" t="str">
        <f t="array" ref="AS7:AS7">AS27</f>
        <v>Предложение организации</v>
      </c>
      <c r="AT7" s="118" cm="1" t="str">
        <f t="array" ref="AT7:AT7">AT27</f>
        <v>Предложение организации</v>
      </c>
      <c r="AU7" s="118" cm="1" t="str">
        <f t="array" ref="AU7:AU7">AU27</f>
        <v>Принято органом регулирования</v>
      </c>
      <c r="AV7" s="118" cm="1" t="str">
        <f t="array" ref="AV7:AV7">AV27</f>
        <v>Принято органом регулирования</v>
      </c>
      <c r="AW7" s="118" cm="1" t="str">
        <f t="array" ref="AW7:AW7">AW27</f>
        <v>Принято органом регулирования</v>
      </c>
      <c r="AX7" s="118" cm="1" t="str">
        <f t="array" ref="AX7:AX7">AX27</f>
        <v>Принято органом регулирования</v>
      </c>
      <c r="AY7" s="118" cm="1" t="str">
        <f t="array" ref="AY7:AY7">AY27</f>
        <v>Принято органом регулирования</v>
      </c>
      <c r="AZ7" s="118" cm="1" t="str">
        <f t="array" ref="AZ7:AZ7">AZ27</f>
        <v>Принято органом регулирования</v>
      </c>
      <c r="BA7" s="118" cm="1" t="str">
        <f t="array" ref="BA7:BA7">BA27</f>
        <v>Принято органом регулирования</v>
      </c>
      <c r="BB7" s="118" cm="1" t="str">
        <f t="array" ref="BB7:BB7">BB27</f>
        <v>Принято органом регулирования</v>
      </c>
      <c r="BC7" s="118" cm="1" t="str">
        <f t="array" ref="BC7:BC7">BC27</f>
        <v>Принято органом регулирования</v>
      </c>
      <c r="BD7" s="118" cm="1" t="str">
        <f t="array" ref="BD7:BD7">BD27</f>
        <v>Принято органом регулирования</v>
      </c>
    </row>
    <row customHeight="1" ht="11.25" hidden="1">
      <c r="AK8" s="1331"/>
      <c r="AL8" s="1331"/>
      <c r="AM8" s="1331"/>
      <c r="AN8" s="1331"/>
      <c r="AO8" s="1331"/>
      <c r="AP8" s="1331"/>
      <c r="AQ8" s="1331"/>
      <c r="AR8" s="1331"/>
      <c r="AS8" s="1331"/>
      <c r="AT8" s="1331"/>
      <c r="AU8" s="1331"/>
      <c r="AV8" s="1331"/>
      <c r="AW8" s="1331"/>
      <c r="AX8" s="1331"/>
      <c r="AY8" s="1331"/>
      <c r="AZ8" s="1331"/>
      <c r="BA8" s="1331"/>
      <c r="BB8" s="1331"/>
      <c r="BC8" s="1331"/>
      <c r="BD8" s="1331"/>
    </row>
    <row s="1245" customFormat="1" customHeight="1" ht="11.25" hidden="1">
      <c r="A9" s="1046" t="s">
        <v>376</v>
      </c>
      <c r="B9" s="1045"/>
      <c r="AE9" s="1046" cm="1" t="str">
        <f t="array" ref="AE9:AE9">AE6</f>
        <v>2024</v>
      </c>
      <c r="AF9" s="1046" cm="1" t="str">
        <f t="array" ref="AF9:AF9">AF6</f>
        <v>2024</v>
      </c>
      <c r="AG9" s="1046" cm="1" t="str">
        <f t="array" ref="AG9:AG9">AG6</f>
        <v>2024</v>
      </c>
      <c r="AH9" s="1046" cm="1" t="str">
        <f t="array" ref="AH9:AH9">AH6</f>
        <v>2024</v>
      </c>
      <c r="AI9" s="1046" cm="1" t="str">
        <f t="array" ref="AI9:AI9">AI6</f>
        <v>2025</v>
      </c>
      <c r="AJ9" s="1046" cm="1" t="str">
        <f t="array" ref="AJ9:AJ9">AJ6</f>
        <v>2025</v>
      </c>
      <c r="AK9" s="1046" cm="1" t="str">
        <f t="array" ref="AK9:AK9">AK6</f>
        <v>2026</v>
      </c>
      <c r="AL9" s="1046" cm="1" t="str">
        <f t="array" ref="AL9:AL9">AL6</f>
        <v>2027</v>
      </c>
      <c r="AM9" s="1046" cm="1" t="str">
        <f t="array" ref="AM9:AM9">AM6</f>
        <v>2028</v>
      </c>
      <c r="AN9" s="1046" cm="1" t="str">
        <f t="array" ref="AN9:AN9">AN6</f>
        <v>2029</v>
      </c>
      <c r="AO9" s="1046" cm="1" t="str">
        <f t="array" ref="AO9:AO9">AO6</f>
        <v>2030</v>
      </c>
      <c r="AP9" s="1046" cm="1" t="str">
        <f t="array" ref="AP9:AP9">AP6</f>
        <v>2031</v>
      </c>
      <c r="AQ9" s="1046" cm="1" t="str">
        <f t="array" ref="AQ9:AQ9">AQ6</f>
        <v>2032</v>
      </c>
      <c r="AR9" s="1046" cm="1" t="str">
        <f t="array" ref="AR9:AR9">AR6</f>
        <v>2033</v>
      </c>
      <c r="AS9" s="1046" cm="1" t="str">
        <f t="array" ref="AS9:AS9">AS6</f>
        <v>2034</v>
      </c>
      <c r="AT9" s="1046" cm="1" t="str">
        <f t="array" ref="AT9:AT9">AT6</f>
        <v>2035</v>
      </c>
      <c r="AU9" s="1046" cm="1" t="str">
        <f t="array" ref="AU9:AU9">AU6</f>
        <v>2026</v>
      </c>
      <c r="AV9" s="1046" cm="1" t="str">
        <f t="array" ref="AV9:AV9">AV6</f>
        <v>2027</v>
      </c>
      <c r="AW9" s="1046" cm="1" t="str">
        <f t="array" ref="AW9:AW9">AW6</f>
        <v>2028</v>
      </c>
      <c r="AX9" s="1046" cm="1" t="str">
        <f t="array" ref="AX9:AX9">AX6</f>
        <v>2029</v>
      </c>
      <c r="AY9" s="1046" cm="1" t="str">
        <f t="array" ref="AY9:AY9">AY6</f>
        <v>2030</v>
      </c>
      <c r="AZ9" s="1046" cm="1" t="str">
        <f t="array" ref="AZ9:AZ9">AZ6</f>
        <v>2031</v>
      </c>
      <c r="BA9" s="1046" cm="1" t="str">
        <f t="array" ref="BA9:BA9">BA6</f>
        <v>2032</v>
      </c>
      <c r="BB9" s="1046" cm="1" t="str">
        <f t="array" ref="BB9:BB9">BB6</f>
        <v>2033</v>
      </c>
      <c r="BC9" s="1046" cm="1" t="str">
        <f t="array" ref="BC9:BC9">BC6</f>
        <v>2034</v>
      </c>
      <c r="BD9" s="1046" cm="1" t="str">
        <f t="array" ref="BD9:BD9">BD6</f>
        <v>2035</v>
      </c>
    </row>
    <row s="1245" customFormat="1" customHeight="1" ht="11.25" hidden="1">
      <c r="A10" s="1046" t="s">
        <v>377</v>
      </c>
      <c r="B10" s="1045"/>
      <c r="AE10" s="1046" cm="1" t="str">
        <f t="array" ref="AE10:AE10">AE27</f>
        <v>Плановый размер финансирования утвержденной инвестиционной программы</v>
      </c>
      <c r="AF10" s="1046" cm="1" t="str">
        <f t="array" ref="AF10:AF10">AF27</f>
        <v>Принято органом регулирования</v>
      </c>
      <c r="AG10" s="1046" cm="1" t="str">
        <f t="array" ref="AG10:AG10">AG27</f>
        <v>Объем фактического ввода объектов системы водоснабжения и водоотведения в эксплуатацию по данным организации</v>
      </c>
      <c r="AH10" s="1046" cm="1" t="str">
        <f t="array" ref="AH10:AH10">AH27</f>
        <v>Объем фактического ввода объектов системы водоснабжения и водоотведения в эксплуатацию, принятый органом регулирования</v>
      </c>
      <c r="AI10" s="1046" cm="1" t="str">
        <f t="array" ref="AI10:AI10">AI27</f>
        <v>Плановый размер финансирования утвержденной инвестиционной программы</v>
      </c>
      <c r="AJ10" s="1046" cm="1" t="str">
        <f t="array" ref="AJ10:AJ10">AJ27</f>
        <v>Принято органом регулирования</v>
      </c>
      <c r="AK10" s="1046" cm="1" t="str">
        <f t="array" ref="AK10:AK10">AK27</f>
        <v>Предложение организации</v>
      </c>
      <c r="AL10" s="1046" cm="1" t="str">
        <f t="array" ref="AL10:AL10">AL27</f>
        <v>Предложение организации</v>
      </c>
      <c r="AM10" s="1046" cm="1" t="str">
        <f t="array" ref="AM10:AM10">AM27</f>
        <v>Предложение организации</v>
      </c>
      <c r="AN10" s="1046" cm="1" t="str">
        <f t="array" ref="AN10:AN10">AN27</f>
        <v>Предложение организации</v>
      </c>
      <c r="AO10" s="1046" cm="1" t="str">
        <f t="array" ref="AO10:AO10">AO27</f>
        <v>Предложение организации</v>
      </c>
      <c r="AP10" s="1046" cm="1" t="str">
        <f t="array" ref="AP10:AP10">AP27</f>
        <v>Предложение организации</v>
      </c>
      <c r="AQ10" s="1046" cm="1" t="str">
        <f t="array" ref="AQ10:AQ10">AQ27</f>
        <v>Предложение организации</v>
      </c>
      <c r="AR10" s="1046" cm="1" t="str">
        <f t="array" ref="AR10:AR10">AR27</f>
        <v>Предложение организации</v>
      </c>
      <c r="AS10" s="1046" cm="1" t="str">
        <f t="array" ref="AS10:AS10">AS27</f>
        <v>Предложение организации</v>
      </c>
      <c r="AT10" s="1046" cm="1" t="str">
        <f t="array" ref="AT10:AT10">AT27</f>
        <v>Предложение организации</v>
      </c>
      <c r="AU10" s="1046" cm="1" t="str">
        <f t="array" ref="AU10:AU10">AU27</f>
        <v>Принято органом регулирования</v>
      </c>
      <c r="AV10" s="1046" cm="1" t="str">
        <f t="array" ref="AV10:AV10">AV27</f>
        <v>Принято органом регулирования</v>
      </c>
      <c r="AW10" s="1046" cm="1" t="str">
        <f t="array" ref="AW10:AW10">AW27</f>
        <v>Принято органом регулирования</v>
      </c>
      <c r="AX10" s="1046" cm="1" t="str">
        <f t="array" ref="AX10:AX10">AX27</f>
        <v>Принято органом регулирования</v>
      </c>
      <c r="AY10" s="1046" cm="1" t="str">
        <f t="array" ref="AY10:AY10">AY27</f>
        <v>Принято органом регулирования</v>
      </c>
      <c r="AZ10" s="1046" cm="1" t="str">
        <f t="array" ref="AZ10:AZ10">AZ27</f>
        <v>Принято органом регулирования</v>
      </c>
      <c r="BA10" s="1046" cm="1" t="str">
        <f t="array" ref="BA10:BA10">BA27</f>
        <v>Принято органом регулирования</v>
      </c>
      <c r="BB10" s="1046" cm="1" t="str">
        <f t="array" ref="BB10:BB10">BB27</f>
        <v>Принято органом регулирования</v>
      </c>
      <c r="BC10" s="1046" cm="1" t="str">
        <f t="array" ref="BC10:BC10">BC27</f>
        <v>Принято органом регулирования</v>
      </c>
      <c r="BD10" s="1046" cm="1" t="str">
        <f t="array" ref="BD10:BD10">BD27</f>
        <v>Принято органом регулирования</v>
      </c>
    </row>
    <row s="1245" customFormat="1" customHeight="1" ht="11.25" hidden="1">
      <c r="A11" s="1046" t="s">
        <v>378</v>
      </c>
      <c r="B11" s="1045"/>
      <c r="AK11" s="1245"/>
      <c r="AL11" s="1245"/>
      <c r="AM11" s="1245"/>
      <c r="AN11" s="1245"/>
      <c r="AO11" s="1245"/>
      <c r="AP11" s="1245"/>
      <c r="AQ11" s="1245"/>
      <c r="AR11" s="1245"/>
      <c r="AS11" s="1245"/>
      <c r="AT11" s="1245"/>
      <c r="AU11" s="1245"/>
      <c r="AV11" s="1245"/>
      <c r="AW11" s="1245"/>
      <c r="AX11" s="1245"/>
      <c r="AY11" s="1245"/>
      <c r="AZ11" s="1245"/>
      <c r="BA11" s="1245"/>
      <c r="BB11" s="1245"/>
      <c r="BC11" s="1245"/>
      <c r="BD11" s="1245"/>
      <c r="BE11" s="1005" cm="1" t="str">
        <f t="array" ref="BE11:BE11">BE26</f>
        <v>Ссылка на правовую норму (основание для принятия показателя в расчет тарифа)</v>
      </c>
    </row>
    <row customHeight="1" ht="11.25" hidden="1">
      <c r="AK12" s="1331"/>
      <c r="AL12" s="1331"/>
      <c r="AM12" s="1331"/>
      <c r="AN12" s="1331"/>
      <c r="AO12" s="1331"/>
      <c r="AP12" s="1331"/>
      <c r="AQ12" s="1331"/>
      <c r="AR12" s="1331"/>
      <c r="AS12" s="1331"/>
      <c r="AT12" s="1331"/>
      <c r="AU12" s="1331"/>
      <c r="AV12" s="1331"/>
      <c r="AW12" s="1331"/>
      <c r="AX12" s="1331"/>
      <c r="AY12" s="1331"/>
      <c r="AZ12" s="1331"/>
      <c r="BA12" s="1331"/>
      <c r="BB12" s="1331"/>
      <c r="BC12" s="1331"/>
      <c r="BD12" s="1331"/>
    </row>
    <row customHeight="1" ht="11.25" hidden="1">
      <c r="AK13" s="94"/>
      <c r="AL13" s="94"/>
      <c r="AM13" s="94"/>
      <c r="AN13" s="94"/>
      <c r="AO13" s="94"/>
      <c r="AP13" s="94"/>
      <c r="AQ13" s="94"/>
      <c r="AR13" s="94"/>
      <c r="AS13" s="94"/>
      <c r="AT13" s="94"/>
      <c r="AU13" s="94"/>
      <c r="AV13" s="94"/>
      <c r="AW13" s="94"/>
      <c r="AX13" s="94"/>
      <c r="AY13" s="94"/>
      <c r="AZ13" s="94"/>
      <c r="BA13" s="94"/>
      <c r="BB13" s="94"/>
      <c r="BC13" s="94"/>
      <c r="BD13" s="94"/>
    </row>
    <row customHeight="1" ht="11.25" hidden="1">
      <c r="AK14" s="94"/>
      <c r="AL14" s="94"/>
      <c r="AM14" s="94"/>
      <c r="AN14" s="94"/>
      <c r="AO14" s="94"/>
      <c r="AP14" s="94"/>
      <c r="AQ14" s="94"/>
      <c r="AR14" s="94"/>
      <c r="AS14" s="94"/>
      <c r="AT14" s="94"/>
      <c r="AU14" s="94"/>
      <c r="AV14" s="94"/>
      <c r="AW14" s="94"/>
      <c r="AX14" s="94"/>
      <c r="AY14" s="94"/>
      <c r="AZ14" s="94"/>
      <c r="BA14" s="94"/>
      <c r="BB14" s="94"/>
      <c r="BC14" s="94"/>
      <c r="BD14" s="94"/>
    </row>
    <row customHeight="1" ht="11.25" hidden="1">
      <c r="AK15" s="94"/>
      <c r="AL15" s="94"/>
      <c r="AM15" s="94"/>
      <c r="AN15" s="94"/>
      <c r="AO15" s="94"/>
      <c r="AP15" s="94"/>
      <c r="AQ15" s="94"/>
      <c r="AR15" s="94"/>
      <c r="AS15" s="94"/>
      <c r="AT15" s="94"/>
      <c r="AU15" s="94"/>
      <c r="AV15" s="94"/>
      <c r="AW15" s="94"/>
      <c r="AX15" s="94"/>
      <c r="AY15" s="94"/>
      <c r="AZ15" s="94"/>
      <c r="BA15" s="94"/>
      <c r="BB15" s="94"/>
      <c r="BC15" s="94"/>
      <c r="BD15" s="94"/>
    </row>
    <row customHeight="1" ht="11.25" hidden="1">
      <c r="AK16" s="94"/>
      <c r="AL16" s="94"/>
      <c r="AM16" s="94"/>
      <c r="AN16" s="94"/>
      <c r="AO16" s="94"/>
      <c r="AP16" s="94"/>
      <c r="AQ16" s="94"/>
      <c r="AR16" s="94"/>
      <c r="AS16" s="94"/>
      <c r="AT16" s="94"/>
      <c r="AU16" s="94"/>
      <c r="AV16" s="94"/>
      <c r="AW16" s="94"/>
      <c r="AX16" s="94"/>
      <c r="AY16" s="94"/>
      <c r="AZ16" s="94"/>
      <c r="BA16" s="94"/>
      <c r="BB16" s="94"/>
      <c r="BC16" s="94"/>
      <c r="BD16" s="94"/>
    </row>
    <row customHeight="1" ht="11.25" hidden="1">
      <c r="AK17" s="1331"/>
      <c r="AL17" s="1331"/>
      <c r="AM17" s="1331"/>
      <c r="AN17" s="1331"/>
      <c r="AO17" s="1331"/>
      <c r="AP17" s="1331"/>
      <c r="AQ17" s="1331"/>
      <c r="AR17" s="1331"/>
      <c r="AS17" s="1331"/>
      <c r="AT17" s="1331"/>
      <c r="AU17" s="1331"/>
      <c r="AV17" s="1331"/>
      <c r="AW17" s="1331"/>
      <c r="AX17" s="1331"/>
      <c r="AY17" s="1331"/>
      <c r="AZ17" s="1331"/>
      <c r="BA17" s="1331"/>
      <c r="BB17" s="1331"/>
      <c r="BC17" s="1331"/>
      <c r="BD17" s="1331"/>
    </row>
    <row customHeight="1" ht="11.25" hidden="1">
      <c r="AK18" s="1331"/>
      <c r="AL18" s="1331"/>
      <c r="AM18" s="1331"/>
      <c r="AN18" s="1331"/>
      <c r="AO18" s="1331"/>
      <c r="AP18" s="1331"/>
      <c r="AQ18" s="1331"/>
      <c r="AR18" s="1331"/>
      <c r="AS18" s="1331"/>
      <c r="AT18" s="1331"/>
      <c r="AU18" s="1331"/>
      <c r="AV18" s="1331"/>
      <c r="AW18" s="1331"/>
      <c r="AX18" s="1331"/>
      <c r="AY18" s="1331"/>
      <c r="AZ18" s="1331"/>
      <c r="BA18" s="1331"/>
      <c r="BB18" s="1331"/>
      <c r="BC18" s="1331"/>
      <c r="BD18" s="1331"/>
    </row>
    <row customHeight="1" ht="11.25" hidden="1">
      <c r="AK19" s="1331"/>
      <c r="AL19" s="1331"/>
      <c r="AM19" s="1331"/>
      <c r="AN19" s="1331"/>
      <c r="AO19" s="1331"/>
      <c r="AP19" s="1331"/>
      <c r="AQ19" s="1331"/>
      <c r="AR19" s="1331"/>
      <c r="AS19" s="1331"/>
      <c r="AT19" s="1331"/>
      <c r="AU19" s="1331"/>
      <c r="AV19" s="1331"/>
      <c r="AW19" s="1331"/>
      <c r="AX19" s="1331"/>
      <c r="AY19" s="1331"/>
      <c r="AZ19" s="1331"/>
      <c r="BA19" s="1331"/>
      <c r="BB19" s="1331"/>
      <c r="BC19" s="1331"/>
      <c r="BD19" s="1331"/>
    </row>
    <row customHeight="1" ht="11.25" hidden="1">
      <c r="AK20" s="1331"/>
      <c r="AL20" s="1331"/>
      <c r="AM20" s="1331"/>
      <c r="AN20" s="1331"/>
      <c r="AO20" s="1331"/>
      <c r="AP20" s="1331"/>
      <c r="AQ20" s="1331"/>
      <c r="AR20" s="1331"/>
      <c r="AS20" s="1331"/>
      <c r="AT20" s="1331"/>
      <c r="AU20" s="1331"/>
      <c r="AV20" s="1331"/>
      <c r="AW20" s="1331"/>
      <c r="AX20" s="1331"/>
      <c r="AY20" s="1331"/>
      <c r="AZ20" s="1331"/>
      <c r="BA20" s="1331"/>
      <c r="BB20" s="1331"/>
      <c r="BC20" s="1331"/>
      <c r="BD20" s="1331"/>
    </row>
    <row customHeight="1" ht="14.625">
      <c r="E21" s="623">
        <v>15</v>
      </c>
      <c r="AA21" s="427"/>
      <c r="AC21" s="50" cm="1" t="str">
        <f t="array" ref="AC21:AC21">tpl_title</f>
        <v>Кемеровская область / 2026 / ОАО «СКЭК» (ИНН:4205153492, КПП:420501001) / ДПР: 2024-2028</v>
      </c>
      <c r="AK21" s="1331"/>
      <c r="AL21" s="1331"/>
      <c r="AM21" s="1331"/>
      <c r="AN21" s="1331"/>
      <c r="AO21" s="1331"/>
      <c r="AP21" s="1331"/>
      <c r="AQ21" s="1331"/>
      <c r="AR21" s="1331"/>
      <c r="AS21" s="1331"/>
      <c r="AT21" s="1331"/>
      <c r="AU21" s="1331"/>
      <c r="AV21" s="1331"/>
      <c r="AW21" s="1331"/>
      <c r="AX21" s="1331"/>
      <c r="AY21" s="1331"/>
      <c r="AZ21" s="1331"/>
      <c r="BA21" s="1331"/>
      <c r="BB21" s="1331"/>
      <c r="BC21" s="1331"/>
      <c r="BD21" s="1331"/>
    </row>
    <row customHeight="1" ht="19.921875">
      <c r="E22" s="623">
        <v>20</v>
      </c>
      <c r="AB22" s="316" t="s">
        <v>70</v>
      </c>
      <c r="AC22" s="232"/>
      <c r="AD22" s="232"/>
      <c r="AE22" s="232"/>
      <c r="AF22" s="232"/>
      <c r="AG22" s="232"/>
      <c r="AH22" s="232"/>
      <c r="AI22" s="232"/>
      <c r="AJ22" s="232"/>
      <c r="AK22" s="232"/>
      <c r="AL22" s="232"/>
      <c r="AM22" s="232"/>
      <c r="AN22" s="232"/>
      <c r="AO22" s="232"/>
      <c r="AP22" s="232"/>
      <c r="AQ22" s="232"/>
      <c r="AR22" s="232"/>
      <c r="AS22" s="232"/>
      <c r="AT22" s="232"/>
      <c r="AU22" s="232"/>
      <c r="AV22" s="233"/>
      <c r="AW22" s="233"/>
      <c r="AX22" s="233"/>
      <c r="AY22" s="233"/>
      <c r="AZ22" s="233"/>
      <c r="BA22" s="233"/>
      <c r="BB22" s="233"/>
      <c r="BC22" s="233"/>
      <c r="BD22" s="233"/>
      <c r="BE22" s="233"/>
    </row>
    <row customHeight="1" ht="10.96875">
      <c r="E23" s="623">
        <v>11.25</v>
      </c>
      <c r="AK23" s="1331"/>
      <c r="AL23" s="1331"/>
      <c r="AM23" s="1331"/>
      <c r="AN23" s="1331"/>
      <c r="AO23" s="1331"/>
      <c r="AP23" s="1331"/>
      <c r="AQ23" s="1331"/>
      <c r="AR23" s="1331"/>
      <c r="AS23" s="1331"/>
      <c r="AT23" s="1331"/>
      <c r="AU23" s="1331"/>
      <c r="AV23" s="1331"/>
      <c r="AW23" s="1331"/>
      <c r="AX23" s="1331"/>
      <c r="AY23" s="1331"/>
      <c r="AZ23" s="1331"/>
      <c r="BA23" s="1331"/>
      <c r="BB23" s="1331"/>
      <c r="BC23" s="1331"/>
      <c r="BD23" s="1331"/>
    </row>
    <row customHeight="1" ht="49.171875">
      <c r="E24" s="623">
        <v>22.5</v>
      </c>
      <c r="AB24" s="1603" t="s">
        <v>1513</v>
      </c>
      <c r="AC24" s="1603"/>
      <c r="AD24" s="344" t="str">
        <f>"нет"</f>
        <v>нет</v>
      </c>
      <c r="AK24" s="1331"/>
      <c r="AL24" s="1331"/>
      <c r="AM24" s="1331"/>
      <c r="AN24" s="1331"/>
      <c r="AO24" s="1331"/>
      <c r="AP24" s="1331"/>
      <c r="AQ24" s="1331"/>
      <c r="AR24" s="1331"/>
      <c r="AS24" s="1331"/>
      <c r="AT24" s="1331"/>
      <c r="AU24" s="1331"/>
      <c r="AV24" s="1331"/>
      <c r="AW24" s="1331"/>
      <c r="AX24" s="1331"/>
      <c r="AY24" s="1331"/>
      <c r="AZ24" s="1331"/>
      <c r="BA24" s="1331"/>
      <c r="BB24" s="1331"/>
      <c r="BC24" s="1331"/>
      <c r="BD24" s="1331"/>
    </row>
    <row customHeight="1" ht="0">
      <c r="E25" s="623">
        <v>11.25</v>
      </c>
      <c r="AK25" s="1331"/>
      <c r="AL25" s="1331"/>
      <c r="AM25" s="1331"/>
      <c r="AN25" s="1331"/>
      <c r="AO25" s="1331"/>
      <c r="AP25" s="1331"/>
      <c r="AQ25" s="1331"/>
      <c r="AR25" s="1331"/>
      <c r="AS25" s="1331"/>
      <c r="AT25" s="1331"/>
      <c r="AU25" s="1331"/>
      <c r="AV25" s="1331"/>
      <c r="AW25" s="1331"/>
      <c r="AX25" s="1331"/>
      <c r="AY25" s="1331"/>
      <c r="AZ25" s="1331"/>
      <c r="BA25" s="1331"/>
      <c r="BB25" s="1331"/>
      <c r="BC25" s="1331"/>
      <c r="BD25" s="1331"/>
    </row>
    <row customHeight="1" ht="24.421875">
      <c r="E26" s="623">
        <v>15</v>
      </c>
      <c r="AB26" s="1540" t="s">
        <v>22</v>
      </c>
      <c r="AC26" s="1553" t="s">
        <v>1514</v>
      </c>
      <c r="AD26" s="1553" t="s">
        <v>381</v>
      </c>
      <c r="AE26" s="773" t="str">
        <f>god-2&amp;" год"</f>
        <v>2024 год</v>
      </c>
      <c r="AF26" s="773" t="str">
        <f>god-2&amp;" год"</f>
        <v>2024 год</v>
      </c>
      <c r="AG26" s="1132" t="str">
        <f>god-2&amp;" год"</f>
        <v>2024 год</v>
      </c>
      <c r="AH26" s="773" t="str">
        <f>god-2&amp;" год"</f>
        <v>2024 год</v>
      </c>
      <c r="AI26" s="939" t="str">
        <f>god-1&amp;" год"</f>
        <v>2025 год</v>
      </c>
      <c r="AJ26" s="939" t="str">
        <f>god-1&amp;" год"</f>
        <v>2025 год</v>
      </c>
      <c r="AK26" s="1133" t="str">
        <f>god&amp;" год"</f>
        <v>2026 год</v>
      </c>
      <c r="AL26" s="1133" t="str">
        <f>god+1&amp;" год"</f>
        <v>2027 год</v>
      </c>
      <c r="AM26" s="1133" t="str">
        <f>god+2&amp;" год"</f>
        <v>2028 год</v>
      </c>
      <c r="AN26" s="1133" t="str">
        <f>god+3&amp;" год"</f>
        <v>2029 год</v>
      </c>
      <c r="AO26" s="1133" t="str">
        <f>god+4&amp;" год"</f>
        <v>2030 год</v>
      </c>
      <c r="AP26" s="1133" t="str">
        <f>god+5&amp;" год"</f>
        <v>2031 год</v>
      </c>
      <c r="AQ26" s="1133" t="str">
        <f>god+6&amp;" год"</f>
        <v>2032 год</v>
      </c>
      <c r="AR26" s="1133" t="str">
        <f>god+7&amp;" год"</f>
        <v>2033 год</v>
      </c>
      <c r="AS26" s="1133" t="str">
        <f>god+8&amp;" год"</f>
        <v>2034 год</v>
      </c>
      <c r="AT26" s="1133" t="str">
        <f>god+9&amp;" год"</f>
        <v>2035 год</v>
      </c>
      <c r="AU26" s="871" t="str">
        <f>god&amp;" год"</f>
        <v>2026 год</v>
      </c>
      <c r="AV26" s="871" t="str">
        <f>god+1&amp;" год"</f>
        <v>2027 год</v>
      </c>
      <c r="AW26" s="871" t="str">
        <f>god+2&amp;" год"</f>
        <v>2028 год</v>
      </c>
      <c r="AX26" s="871" t="str">
        <f>god+3&amp;" год"</f>
        <v>2029 год</v>
      </c>
      <c r="AY26" s="871" t="str">
        <f>god+4&amp;" год"</f>
        <v>2030 год</v>
      </c>
      <c r="AZ26" s="871" t="str">
        <f>god+5&amp;" год"</f>
        <v>2031 год</v>
      </c>
      <c r="BA26" s="871" t="str">
        <f>god+6&amp;" год"</f>
        <v>2032 год</v>
      </c>
      <c r="BB26" s="871" t="str">
        <f>god+7&amp;" год"</f>
        <v>2033 год</v>
      </c>
      <c r="BC26" s="871" t="str">
        <f>god+8&amp;" год"</f>
        <v>2034 год</v>
      </c>
      <c r="BD26" s="871" t="str">
        <f>god+9&amp;" год"</f>
        <v>2035 год</v>
      </c>
      <c r="BE26" s="1553" t="s">
        <v>652</v>
      </c>
    </row>
    <row s="1541" customFormat="1" customHeight="1" ht="68.671875">
      <c r="B27" s="431"/>
      <c r="E27" s="263">
        <v>126</v>
      </c>
      <c r="AB27" s="1540"/>
      <c r="AC27" s="1553"/>
      <c r="AD27" s="1553"/>
      <c r="AE27" s="773" t="s">
        <v>1515</v>
      </c>
      <c r="AF27" s="773" t="s">
        <v>373</v>
      </c>
      <c r="AG27" s="1132" t="s">
        <v>1516</v>
      </c>
      <c r="AH27" s="773" t="s">
        <v>1517</v>
      </c>
      <c r="AI27" s="773" t="s">
        <v>1515</v>
      </c>
      <c r="AJ27" s="940" t="s">
        <v>373</v>
      </c>
      <c r="AK27" s="1134" t="s">
        <v>374</v>
      </c>
      <c r="AL27" s="1134" t="s">
        <v>374</v>
      </c>
      <c r="AM27" s="1134" t="s">
        <v>374</v>
      </c>
      <c r="AN27" s="1134" t="s">
        <v>374</v>
      </c>
      <c r="AO27" s="1134" t="s">
        <v>374</v>
      </c>
      <c r="AP27" s="1134" t="s">
        <v>374</v>
      </c>
      <c r="AQ27" s="1134" t="s">
        <v>374</v>
      </c>
      <c r="AR27" s="1134" t="s">
        <v>374</v>
      </c>
      <c r="AS27" s="1134" t="s">
        <v>374</v>
      </c>
      <c r="AT27" s="1134" t="s">
        <v>374</v>
      </c>
      <c r="AU27" s="872" t="s">
        <v>373</v>
      </c>
      <c r="AV27" s="872" t="s">
        <v>373</v>
      </c>
      <c r="AW27" s="872" t="s">
        <v>373</v>
      </c>
      <c r="AX27" s="872" t="s">
        <v>373</v>
      </c>
      <c r="AY27" s="872" t="s">
        <v>373</v>
      </c>
      <c r="AZ27" s="872" t="s">
        <v>373</v>
      </c>
      <c r="BA27" s="872" t="s">
        <v>373</v>
      </c>
      <c r="BB27" s="872" t="s">
        <v>373</v>
      </c>
      <c r="BC27" s="872" t="s">
        <v>373</v>
      </c>
      <c r="BD27" s="872" t="s">
        <v>373</v>
      </c>
      <c r="BE27" s="1553"/>
      <c r="BH27" s="1038"/>
    </row>
    <row s="1656" customFormat="1" customHeight="1" ht="14.25" hidden="1">
      <c r="A28" s="1331"/>
      <c r="B28" s="1223">
        <f>InvestmentSources_is_one_block="да"</f>
        <v>0</v>
      </c>
      <c r="C28" s="1331"/>
      <c r="D28" s="1331"/>
      <c r="E28" s="623">
        <v>15</v>
      </c>
      <c r="F28" s="94"/>
      <c r="G28" s="1331"/>
      <c r="H28" s="1331"/>
      <c r="I28" s="4457"/>
      <c r="J28" s="4457"/>
      <c r="K28" s="4457"/>
      <c r="L28" s="4457"/>
      <c r="M28" s="4457"/>
      <c r="N28" s="4457"/>
      <c r="O28" s="4457"/>
      <c r="P28" s="4457"/>
      <c r="Q28" s="4457"/>
      <c r="R28" s="4457"/>
      <c r="S28" s="4457"/>
      <c r="T28" s="4458"/>
      <c r="U28" s="4457"/>
      <c r="V28" s="4459"/>
      <c r="W28" s="4457"/>
      <c r="X28" s="4460"/>
      <c r="Y28" s="4457"/>
      <c r="Z28" s="4457"/>
      <c r="AA28" s="4457"/>
      <c r="AB28" s="238"/>
      <c r="AC28" s="839"/>
      <c r="AD28" s="839"/>
      <c r="AE28" s="839"/>
      <c r="AF28" s="839"/>
      <c r="AG28" s="839"/>
      <c r="AH28" s="839"/>
      <c r="AI28" s="839"/>
      <c r="AJ28" s="839"/>
      <c r="AK28" s="839"/>
      <c r="AL28" s="839"/>
      <c r="AM28" s="839"/>
      <c r="AN28" s="839"/>
      <c r="AO28" s="839"/>
      <c r="AP28" s="839"/>
      <c r="AQ28" s="839"/>
      <c r="AR28" s="839"/>
      <c r="AS28" s="839"/>
      <c r="AT28" s="839"/>
      <c r="AU28" s="839"/>
      <c r="AV28" s="839"/>
      <c r="AW28" s="839"/>
      <c r="AX28" s="839"/>
      <c r="AY28" s="839"/>
      <c r="AZ28" s="839"/>
      <c r="BA28" s="839"/>
      <c r="BB28" s="839"/>
      <c r="BC28" s="839"/>
      <c r="BD28" s="839"/>
      <c r="BE28" s="839"/>
      <c r="BF28" s="1331"/>
      <c r="BG28" s="1331"/>
      <c r="BH28" s="1245"/>
    </row>
    <row s="4461" customFormat="1" customHeight="1" ht="21.75" hidden="1">
      <c r="A29" s="704"/>
      <c r="B29" s="704">
        <f>InvestmentSources_is_one_block="да"</f>
        <v>0</v>
      </c>
      <c r="C29" s="704"/>
      <c r="D29" s="704"/>
      <c r="E29" s="697">
        <v>22.5</v>
      </c>
      <c r="F29" s="50"/>
      <c r="G29" s="704"/>
      <c r="H29" s="118" t="s">
        <v>344</v>
      </c>
      <c r="I29" s="4462"/>
      <c r="J29" s="4462"/>
      <c r="K29" s="4462"/>
      <c r="L29" s="4462"/>
      <c r="M29" s="4462"/>
      <c r="N29" s="4462"/>
      <c r="O29" s="4462"/>
      <c r="P29" s="4462"/>
      <c r="Q29" s="4462"/>
      <c r="R29" s="4462"/>
      <c r="S29" s="4462"/>
      <c r="T29" s="4458"/>
      <c r="U29" s="4462"/>
      <c r="V29" s="4462"/>
      <c r="W29" s="4462"/>
      <c r="X29" s="4462"/>
      <c r="Y29" s="4462"/>
      <c r="Z29" s="4462"/>
      <c r="AA29" s="4462"/>
      <c r="AB29" s="214">
        <v>1</v>
      </c>
      <c r="AC29" s="208" t="s">
        <v>1518</v>
      </c>
      <c r="AD29" s="207" t="s">
        <v>936</v>
      </c>
      <c r="AE29" s="209">
        <f>AE30+AE40+AE44+AE48</f>
        <v>0</v>
      </c>
      <c r="AF29" s="209">
        <f>AF30+AF40+AF44+AF48</f>
        <v>0</v>
      </c>
      <c r="AG29" s="209">
        <f>AG30+AG40+AG44+AG48</f>
        <v>0</v>
      </c>
      <c r="AH29" s="209">
        <f>AH30+AH40+AH44+AH48</f>
        <v>0</v>
      </c>
      <c r="AI29" s="209">
        <f>AI30+AI40+AI44+AI48</f>
        <v>0</v>
      </c>
      <c r="AJ29" s="209">
        <f>AJ30+AJ40+AJ44+AJ48</f>
        <v>0</v>
      </c>
      <c r="AK29" s="209">
        <f>AK30+AK40+AK44+AK48</f>
        <v>0</v>
      </c>
      <c r="AL29" s="209">
        <f>AL30+AL40+AL44+AL48</f>
        <v>0</v>
      </c>
      <c r="AM29" s="209">
        <f>AM30+AM40+AM44+AM48</f>
        <v>0</v>
      </c>
      <c r="AN29" s="209">
        <f>AN30+AN40+AN44+AN48</f>
        <v>0</v>
      </c>
      <c r="AO29" s="209">
        <f>AO30+AO40+AO44+AO48</f>
        <v>0</v>
      </c>
      <c r="AP29" s="209">
        <f>AP30+AP40+AP44+AP48</f>
        <v>0</v>
      </c>
      <c r="AQ29" s="209">
        <f>AQ30+AQ40+AQ44+AQ48</f>
        <v>0</v>
      </c>
      <c r="AR29" s="209">
        <f>AR30+AR40+AR44+AR48</f>
        <v>0</v>
      </c>
      <c r="AS29" s="209">
        <f>AS30+AS40+AS44+AS48</f>
        <v>0</v>
      </c>
      <c r="AT29" s="209">
        <f>AT30+AT40+AT44+AT48</f>
        <v>0</v>
      </c>
      <c r="AU29" s="209">
        <f>AU30+AU40+AU44+AU48</f>
        <v>0</v>
      </c>
      <c r="AV29" s="209">
        <f>AV30+AV40+AV44+AV48</f>
        <v>0</v>
      </c>
      <c r="AW29" s="209">
        <f>AW30+AW40+AW44+AW48</f>
        <v>0</v>
      </c>
      <c r="AX29" s="209">
        <f>AX30+AX40+AX44+AX48</f>
        <v>0</v>
      </c>
      <c r="AY29" s="209">
        <f>AY30+AY40+AY44+AY48</f>
        <v>0</v>
      </c>
      <c r="AZ29" s="209">
        <f>AZ30+AZ40+AZ44+AZ48</f>
        <v>0</v>
      </c>
      <c r="BA29" s="209">
        <f>BA30+BA40+BA44+BA48</f>
        <v>0</v>
      </c>
      <c r="BB29" s="209">
        <f>BB30+BB40+BB44+BB48</f>
        <v>0</v>
      </c>
      <c r="BC29" s="209">
        <f>BC30+BC40+BC44+BC48</f>
        <v>0</v>
      </c>
      <c r="BD29" s="209">
        <f>BD30+BD40+BD44+BD48</f>
        <v>0</v>
      </c>
      <c r="BE29" s="1257"/>
      <c r="BF29" s="704"/>
      <c r="BG29" s="704"/>
      <c r="BH29" s="1059" t="s">
        <v>1519</v>
      </c>
    </row>
    <row s="1656" customFormat="1" customHeight="1" ht="14.25" hidden="1">
      <c r="A30" s="1331"/>
      <c r="B30" s="1223">
        <f>InvestmentSources_is_one_block="да"</f>
        <v>0</v>
      </c>
      <c r="C30" s="1331"/>
      <c r="D30" s="1331"/>
      <c r="E30" s="623">
        <v>15</v>
      </c>
      <c r="F30" s="1194"/>
      <c r="G30" s="1331"/>
      <c r="H30" s="118" t="s">
        <v>566</v>
      </c>
      <c r="I30" s="4457"/>
      <c r="J30" s="4457"/>
      <c r="K30" s="4457"/>
      <c r="L30" s="4457"/>
      <c r="M30" s="4457"/>
      <c r="N30" s="4457"/>
      <c r="O30" s="4457"/>
      <c r="P30" s="4457"/>
      <c r="Q30" s="4457"/>
      <c r="R30" s="4457"/>
      <c r="S30" s="4457"/>
      <c r="T30" s="4458"/>
      <c r="U30" s="4457"/>
      <c r="V30" s="4457"/>
      <c r="W30" s="4457"/>
      <c r="X30" s="4457"/>
      <c r="Y30" s="4457"/>
      <c r="Z30" s="4457"/>
      <c r="AA30" s="4457"/>
      <c r="AB30" s="216" t="s">
        <v>1067</v>
      </c>
      <c r="AC30" s="210" t="s">
        <v>1520</v>
      </c>
      <c r="AD30" s="84" t="s">
        <v>936</v>
      </c>
      <c r="AE30" s="255">
        <f>AE31+AE32+AE33+AE34+AE35</f>
        <v>0</v>
      </c>
      <c r="AF30" s="255">
        <f>AF31+AF32+AF33+AF34+AF35</f>
        <v>0</v>
      </c>
      <c r="AG30" s="255">
        <f>AG31+AG32+AG33+AG34+AG35</f>
        <v>0</v>
      </c>
      <c r="AH30" s="255">
        <f>AH31+AH32+AH33+AH34+AH35</f>
        <v>0</v>
      </c>
      <c r="AI30" s="255">
        <f>AI31+AI32+AI33+AI34+AI35</f>
        <v>0</v>
      </c>
      <c r="AJ30" s="255">
        <f>AJ31+AJ32+AJ33+AJ34+AJ35</f>
        <v>0</v>
      </c>
      <c r="AK30" s="255">
        <f>AK31+AK32+AK33+AK34+AK35</f>
        <v>0</v>
      </c>
      <c r="AL30" s="255">
        <f>AL31+AL32+AL33+AL34+AL35</f>
        <v>0</v>
      </c>
      <c r="AM30" s="255">
        <f>AM31+AM32+AM33+AM34+AM35</f>
        <v>0</v>
      </c>
      <c r="AN30" s="255">
        <f>AN31+AN32+AN33+AN34+AN35</f>
        <v>0</v>
      </c>
      <c r="AO30" s="255">
        <f>AO31+AO32+AO33+AO34+AO35</f>
        <v>0</v>
      </c>
      <c r="AP30" s="255">
        <f>AP31+AP32+AP33+AP34+AP35</f>
        <v>0</v>
      </c>
      <c r="AQ30" s="255">
        <f>AQ31+AQ32+AQ33+AQ34+AQ35</f>
        <v>0</v>
      </c>
      <c r="AR30" s="255">
        <f>AR31+AR32+AR33+AR34+AR35</f>
        <v>0</v>
      </c>
      <c r="AS30" s="255">
        <f>AS31+AS32+AS33+AS34+AS35</f>
        <v>0</v>
      </c>
      <c r="AT30" s="255">
        <f>AT31+AT32+AT33+AT34+AT35</f>
        <v>0</v>
      </c>
      <c r="AU30" s="255">
        <f>AU31+AU32+AU33+AU34+AU35</f>
        <v>0</v>
      </c>
      <c r="AV30" s="255">
        <f>AV31+AV32+AV33+AV34+AV35</f>
        <v>0</v>
      </c>
      <c r="AW30" s="255">
        <f>AW31+AW32+AW33+AW34+AW35</f>
        <v>0</v>
      </c>
      <c r="AX30" s="255">
        <f>AX31+AX32+AX33+AX34+AX35</f>
        <v>0</v>
      </c>
      <c r="AY30" s="255">
        <f>AY31+AY32+AY33+AY34+AY35</f>
        <v>0</v>
      </c>
      <c r="AZ30" s="255">
        <f>AZ31+AZ32+AZ33+AZ34+AZ35</f>
        <v>0</v>
      </c>
      <c r="BA30" s="255">
        <f>BA31+BA32+BA33+BA34+BA35</f>
        <v>0</v>
      </c>
      <c r="BB30" s="255">
        <f>BB31+BB32+BB33+BB34+BB35</f>
        <v>0</v>
      </c>
      <c r="BC30" s="255">
        <f>BC31+BC32+BC33+BC34+BC35</f>
        <v>0</v>
      </c>
      <c r="BD30" s="255">
        <f>BD31+BD32+BD33+BD34+BD35</f>
        <v>0</v>
      </c>
      <c r="BE30" s="1257"/>
      <c r="BF30" s="1331"/>
      <c r="BG30" s="1331"/>
      <c r="BH30" s="1005" t="s">
        <v>1521</v>
      </c>
    </row>
    <row s="1656" customFormat="1" customHeight="1" ht="14.25" hidden="1">
      <c r="A31" s="1331"/>
      <c r="B31" s="1223">
        <f>InvestmentSources_is_one_block="да"</f>
        <v>0</v>
      </c>
      <c r="C31" s="1331"/>
      <c r="D31" s="1331"/>
      <c r="E31" s="623">
        <v>15</v>
      </c>
      <c r="F31" s="1194"/>
      <c r="G31" s="1331"/>
      <c r="H31" s="118" t="s">
        <v>1197</v>
      </c>
      <c r="I31" s="4457"/>
      <c r="J31" s="4457"/>
      <c r="K31" s="4457"/>
      <c r="L31" s="4457"/>
      <c r="M31" s="4457"/>
      <c r="N31" s="4457"/>
      <c r="O31" s="4457"/>
      <c r="P31" s="4457"/>
      <c r="Q31" s="4457"/>
      <c r="R31" s="4457"/>
      <c r="S31" s="4457"/>
      <c r="T31" s="4458"/>
      <c r="U31" s="4457"/>
      <c r="V31" s="4457"/>
      <c r="W31" s="4457"/>
      <c r="X31" s="4457"/>
      <c r="Y31" s="4457"/>
      <c r="Z31" s="4457"/>
      <c r="AA31" s="4457"/>
      <c r="AB31" s="216" t="s">
        <v>1198</v>
      </c>
      <c r="AC31" s="217" t="s">
        <v>1522</v>
      </c>
      <c r="AD31" s="84" t="s">
        <v>936</v>
      </c>
      <c r="AE31" s="1260"/>
      <c r="AF31" s="1260"/>
      <c r="AG31" s="1260"/>
      <c r="AH31" s="1260"/>
      <c r="AI31" s="1260"/>
      <c r="AJ31" s="1260"/>
      <c r="AK31" s="211"/>
      <c r="AL31" s="1260"/>
      <c r="AM31" s="1260"/>
      <c r="AN31" s="1260"/>
      <c r="AO31" s="1260"/>
      <c r="AP31" s="1260"/>
      <c r="AQ31" s="1260"/>
      <c r="AR31" s="1260"/>
      <c r="AS31" s="1260"/>
      <c r="AT31" s="1260"/>
      <c r="AU31" s="211"/>
      <c r="AV31" s="1260"/>
      <c r="AW31" s="1260"/>
      <c r="AX31" s="1260"/>
      <c r="AY31" s="1260"/>
      <c r="AZ31" s="1260"/>
      <c r="BA31" s="1260"/>
      <c r="BB31" s="1260"/>
      <c r="BC31" s="1260"/>
      <c r="BD31" s="1260"/>
      <c r="BE31" s="1257"/>
      <c r="BF31" s="1331"/>
      <c r="BG31" s="1331"/>
      <c r="BH31" s="1005" t="s">
        <v>1435</v>
      </c>
    </row>
    <row s="1656" customFormat="1" customHeight="1" ht="14.25" hidden="1">
      <c r="A32" s="1331"/>
      <c r="B32" s="1223">
        <f>InvestmentSources_is_one_block="да"</f>
        <v>0</v>
      </c>
      <c r="C32" s="1331"/>
      <c r="D32" s="1331"/>
      <c r="E32" s="623">
        <v>15</v>
      </c>
      <c r="F32" s="1194"/>
      <c r="G32" s="1331"/>
      <c r="H32" s="118" t="s">
        <v>1201</v>
      </c>
      <c r="I32" s="4457"/>
      <c r="J32" s="4457"/>
      <c r="K32" s="4463"/>
      <c r="L32" s="4464"/>
      <c r="M32" s="4457"/>
      <c r="N32" s="4457"/>
      <c r="O32" s="4457"/>
      <c r="P32" s="4457"/>
      <c r="Q32" s="4457"/>
      <c r="R32" s="4457"/>
      <c r="S32" s="4457"/>
      <c r="T32" s="4458"/>
      <c r="U32" s="4457"/>
      <c r="V32" s="4457"/>
      <c r="W32" s="4457"/>
      <c r="X32" s="4457"/>
      <c r="Y32" s="4457"/>
      <c r="Z32" s="4457"/>
      <c r="AA32" s="4457"/>
      <c r="AB32" s="216" t="s">
        <v>1202</v>
      </c>
      <c r="AC32" s="217" t="s">
        <v>1523</v>
      </c>
      <c r="AD32" s="84" t="s">
        <v>936</v>
      </c>
      <c r="AE32" s="1260"/>
      <c r="AF32" s="1260"/>
      <c r="AG32" s="1260"/>
      <c r="AH32" s="1260"/>
      <c r="AI32" s="1260"/>
      <c r="AJ32" s="1260"/>
      <c r="AK32" s="211"/>
      <c r="AL32" s="1260"/>
      <c r="AM32" s="1260"/>
      <c r="AN32" s="1260"/>
      <c r="AO32" s="1260"/>
      <c r="AP32" s="1260"/>
      <c r="AQ32" s="1260"/>
      <c r="AR32" s="1260"/>
      <c r="AS32" s="1260"/>
      <c r="AT32" s="1260"/>
      <c r="AU32" s="211"/>
      <c r="AV32" s="1260"/>
      <c r="AW32" s="1260"/>
      <c r="AX32" s="1260"/>
      <c r="AY32" s="1260"/>
      <c r="AZ32" s="1260"/>
      <c r="BA32" s="1260"/>
      <c r="BB32" s="1260"/>
      <c r="BC32" s="1260"/>
      <c r="BD32" s="1260"/>
      <c r="BE32" s="1257"/>
      <c r="BF32" s="1331"/>
      <c r="BG32" s="1331"/>
      <c r="BH32" s="1005" t="s">
        <v>1524</v>
      </c>
    </row>
    <row s="1656" customFormat="1" customHeight="1" ht="14.25" hidden="1">
      <c r="A33" s="1331"/>
      <c r="B33" s="1223">
        <f>InvestmentSources_is_one_block="да"</f>
        <v>0</v>
      </c>
      <c r="C33" s="1331"/>
      <c r="D33" s="1331"/>
      <c r="E33" s="623">
        <v>15</v>
      </c>
      <c r="F33" s="1194"/>
      <c r="G33" s="1331"/>
      <c r="H33" s="118" t="s">
        <v>1525</v>
      </c>
      <c r="I33" s="4457"/>
      <c r="J33" s="4457"/>
      <c r="K33" s="4457"/>
      <c r="L33" s="4457"/>
      <c r="M33" s="4457"/>
      <c r="N33" s="4457"/>
      <c r="O33" s="4457"/>
      <c r="P33" s="4457"/>
      <c r="Q33" s="4457"/>
      <c r="R33" s="4457"/>
      <c r="S33" s="4457"/>
      <c r="T33" s="4458"/>
      <c r="U33" s="4457"/>
      <c r="V33" s="4457"/>
      <c r="W33" s="4457"/>
      <c r="X33" s="4457"/>
      <c r="Y33" s="4457"/>
      <c r="Z33" s="4457"/>
      <c r="AA33" s="4457"/>
      <c r="AB33" s="216" t="s">
        <v>1526</v>
      </c>
      <c r="AC33" s="217" t="s">
        <v>1527</v>
      </c>
      <c r="AD33" s="84" t="s">
        <v>936</v>
      </c>
      <c r="AE33" s="1260"/>
      <c r="AF33" s="1260"/>
      <c r="AG33" s="1260"/>
      <c r="AH33" s="1260"/>
      <c r="AI33" s="1260"/>
      <c r="AJ33" s="1260"/>
      <c r="AK33" s="211"/>
      <c r="AL33" s="1260"/>
      <c r="AM33" s="1260"/>
      <c r="AN33" s="1260"/>
      <c r="AO33" s="1260"/>
      <c r="AP33" s="1260"/>
      <c r="AQ33" s="1260"/>
      <c r="AR33" s="1260"/>
      <c r="AS33" s="1260"/>
      <c r="AT33" s="1260"/>
      <c r="AU33" s="211"/>
      <c r="AV33" s="1260"/>
      <c r="AW33" s="1260"/>
      <c r="AX33" s="1260"/>
      <c r="AY33" s="1260"/>
      <c r="AZ33" s="1260"/>
      <c r="BA33" s="1260"/>
      <c r="BB33" s="1260"/>
      <c r="BC33" s="1260"/>
      <c r="BD33" s="1260"/>
      <c r="BE33" s="1257"/>
      <c r="BF33" s="1331"/>
      <c r="BG33" s="1331"/>
      <c r="BH33" s="1005" t="s">
        <v>1528</v>
      </c>
    </row>
    <row s="1656" customFormat="1" customHeight="1" ht="14.25" hidden="1">
      <c r="A34" s="1331"/>
      <c r="B34" s="1223">
        <f>InvestmentSources_is_one_block="да"</f>
        <v>0</v>
      </c>
      <c r="C34" s="1331"/>
      <c r="D34" s="1331"/>
      <c r="E34" s="623">
        <v>15</v>
      </c>
      <c r="F34" s="1194"/>
      <c r="G34" s="1331"/>
      <c r="H34" s="118" t="s">
        <v>1529</v>
      </c>
      <c r="I34" s="4457"/>
      <c r="J34" s="4457"/>
      <c r="K34" s="4457"/>
      <c r="L34" s="4457"/>
      <c r="M34" s="4457"/>
      <c r="N34" s="4457"/>
      <c r="O34" s="4457"/>
      <c r="P34" s="4457"/>
      <c r="Q34" s="4457"/>
      <c r="R34" s="4457"/>
      <c r="S34" s="4457"/>
      <c r="T34" s="4458"/>
      <c r="U34" s="4457"/>
      <c r="V34" s="4457"/>
      <c r="W34" s="4457"/>
      <c r="X34" s="4457"/>
      <c r="Y34" s="4457"/>
      <c r="Z34" s="4457"/>
      <c r="AA34" s="4457"/>
      <c r="AB34" s="216" t="s">
        <v>1530</v>
      </c>
      <c r="AC34" s="217" t="s">
        <v>1531</v>
      </c>
      <c r="AD34" s="84" t="s">
        <v>936</v>
      </c>
      <c r="AE34" s="1260"/>
      <c r="AF34" s="1260"/>
      <c r="AG34" s="1260"/>
      <c r="AH34" s="1260"/>
      <c r="AI34" s="1260"/>
      <c r="AJ34" s="1260"/>
      <c r="AK34" s="211"/>
      <c r="AL34" s="1260"/>
      <c r="AM34" s="1260"/>
      <c r="AN34" s="1260"/>
      <c r="AO34" s="1260"/>
      <c r="AP34" s="1260"/>
      <c r="AQ34" s="1260"/>
      <c r="AR34" s="1260"/>
      <c r="AS34" s="1260"/>
      <c r="AT34" s="1260"/>
      <c r="AU34" s="211"/>
      <c r="AV34" s="1260"/>
      <c r="AW34" s="1260"/>
      <c r="AX34" s="1260"/>
      <c r="AY34" s="1260"/>
      <c r="AZ34" s="1260"/>
      <c r="BA34" s="1260"/>
      <c r="BB34" s="1260"/>
      <c r="BC34" s="1260"/>
      <c r="BD34" s="1260"/>
      <c r="BE34" s="1257"/>
      <c r="BF34" s="1331"/>
      <c r="BG34" s="1331"/>
      <c r="BH34" s="1005" t="s">
        <v>1532</v>
      </c>
    </row>
    <row s="1656" customFormat="1" customHeight="1" ht="21.75" hidden="1">
      <c r="A35" s="1331"/>
      <c r="B35" s="1223">
        <f>InvestmentSources_is_one_block="да"</f>
        <v>0</v>
      </c>
      <c r="C35" s="1331"/>
      <c r="D35" s="1331"/>
      <c r="E35" s="623">
        <v>22.5</v>
      </c>
      <c r="F35" s="1194"/>
      <c r="G35" s="1331"/>
      <c r="H35" s="1331"/>
      <c r="I35" s="4457"/>
      <c r="J35" s="4457"/>
      <c r="K35" s="4457"/>
      <c r="L35" s="4457"/>
      <c r="M35" s="4457"/>
      <c r="N35" s="4457"/>
      <c r="O35" s="4457"/>
      <c r="P35" s="4457"/>
      <c r="Q35" s="4457"/>
      <c r="R35" s="4457"/>
      <c r="S35" s="4457"/>
      <c r="T35" s="4458"/>
      <c r="U35" s="4457"/>
      <c r="V35" s="4457"/>
      <c r="W35" s="4457"/>
      <c r="X35" s="4457"/>
      <c r="Y35" s="4457"/>
      <c r="Z35" s="4457"/>
      <c r="AA35" s="4457"/>
      <c r="AB35" s="216" t="s">
        <v>1533</v>
      </c>
      <c r="AC35" s="217" t="s">
        <v>1534</v>
      </c>
      <c r="AD35" s="84" t="s">
        <v>936</v>
      </c>
      <c r="AE35" s="1260">
        <f>AE36+AE37+AE38+AE39</f>
        <v>0</v>
      </c>
      <c r="AF35" s="1260">
        <f>AF36+AF37+AF38+AF39</f>
        <v>0</v>
      </c>
      <c r="AG35" s="1260">
        <f>AG36+AG37+AG38+AG39</f>
        <v>0</v>
      </c>
      <c r="AH35" s="1260">
        <f>AH36+AH37+AH38+AH39</f>
        <v>0</v>
      </c>
      <c r="AI35" s="1260">
        <f>AI36+AI37+AI38+AI39</f>
        <v>0</v>
      </c>
      <c r="AJ35" s="1260">
        <f>AJ36+AJ37+AJ38+AJ39</f>
        <v>0</v>
      </c>
      <c r="AK35" s="211">
        <f>AK36+AK37+AK38+AK39</f>
        <v>0</v>
      </c>
      <c r="AL35" s="1260">
        <f>AL36+AL37+AL38+AL39</f>
        <v>0</v>
      </c>
      <c r="AM35" s="1260">
        <f>AM36+AM37+AM38+AM39</f>
        <v>0</v>
      </c>
      <c r="AN35" s="1260">
        <f>AN36+AN37+AN38+AN39</f>
        <v>0</v>
      </c>
      <c r="AO35" s="1260">
        <f>AO36+AO37+AO38+AO39</f>
        <v>0</v>
      </c>
      <c r="AP35" s="1260">
        <f>AP36+AP37+AP38+AP39</f>
        <v>0</v>
      </c>
      <c r="AQ35" s="1260">
        <f>AQ36+AQ37+AQ38+AQ39</f>
        <v>0</v>
      </c>
      <c r="AR35" s="1260">
        <f>AR36+AR37+AR38+AR39</f>
        <v>0</v>
      </c>
      <c r="AS35" s="1260">
        <f>AS36+AS37+AS38+AS39</f>
        <v>0</v>
      </c>
      <c r="AT35" s="1260">
        <f>AT36+AT37+AT38+AT39</f>
        <v>0</v>
      </c>
      <c r="AU35" s="211">
        <f>AU36+AU37+AU38+AU39</f>
        <v>0</v>
      </c>
      <c r="AV35" s="1260">
        <f>AV36+AV37+AV38+AV39</f>
        <v>0</v>
      </c>
      <c r="AW35" s="1260">
        <f>AW36+AW37+AW38+AW39</f>
        <v>0</v>
      </c>
      <c r="AX35" s="1260">
        <f>AX36+AX37+AX38+AX39</f>
        <v>0</v>
      </c>
      <c r="AY35" s="1260">
        <f>AY36+AY37+AY38+AY39</f>
        <v>0</v>
      </c>
      <c r="AZ35" s="1260">
        <f>AZ36+AZ37+AZ38+AZ39</f>
        <v>0</v>
      </c>
      <c r="BA35" s="1260">
        <f>BA36+BA37+BA38+BA39</f>
        <v>0</v>
      </c>
      <c r="BB35" s="1260">
        <f>BB36+BB37+BB38+BB39</f>
        <v>0</v>
      </c>
      <c r="BC35" s="1260">
        <f>BC36+BC37+BC38+BC39</f>
        <v>0</v>
      </c>
      <c r="BD35" s="1260">
        <f>BD36+BD37+BD38+BD39</f>
        <v>0</v>
      </c>
      <c r="BE35" s="1257"/>
      <c r="BF35" s="1331"/>
      <c r="BG35" s="1331"/>
      <c r="BH35" s="1005" t="s">
        <v>1535</v>
      </c>
    </row>
    <row s="1656" customFormat="1" customHeight="1" ht="44.25" hidden="1">
      <c r="A36" s="1331"/>
      <c r="B36" s="1223">
        <f>InvestmentSources_is_one_block="да"</f>
        <v>0</v>
      </c>
      <c r="C36" s="1331"/>
      <c r="D36" s="1331"/>
      <c r="E36" s="623">
        <v>45.75</v>
      </c>
      <c r="F36" s="1194"/>
      <c r="G36" s="1331"/>
      <c r="H36" s="1331"/>
      <c r="I36" s="4457"/>
      <c r="J36" s="4457"/>
      <c r="K36" s="4457"/>
      <c r="L36" s="4457"/>
      <c r="M36" s="4457"/>
      <c r="N36" s="4457"/>
      <c r="O36" s="4457"/>
      <c r="P36" s="4457"/>
      <c r="Q36" s="4457"/>
      <c r="R36" s="4457"/>
      <c r="S36" s="4457"/>
      <c r="T36" s="4458"/>
      <c r="U36" s="4457"/>
      <c r="V36" s="4457"/>
      <c r="W36" s="4457"/>
      <c r="X36" s="4457"/>
      <c r="Y36" s="4457"/>
      <c r="Z36" s="4457"/>
      <c r="AA36" s="4457"/>
      <c r="AB36" s="216" t="s">
        <v>1536</v>
      </c>
      <c r="AC36" s="775" t="s">
        <v>1537</v>
      </c>
      <c r="AD36" s="84" t="s">
        <v>936</v>
      </c>
      <c r="AE36" s="1260"/>
      <c r="AF36" s="1260"/>
      <c r="AG36" s="1260"/>
      <c r="AH36" s="1260"/>
      <c r="AI36" s="1260"/>
      <c r="AJ36" s="1260"/>
      <c r="AK36" s="211"/>
      <c r="AL36" s="1260"/>
      <c r="AM36" s="1260"/>
      <c r="AN36" s="1260"/>
      <c r="AO36" s="1260"/>
      <c r="AP36" s="1260"/>
      <c r="AQ36" s="1260"/>
      <c r="AR36" s="1260"/>
      <c r="AS36" s="1260"/>
      <c r="AT36" s="1260"/>
      <c r="AU36" s="211"/>
      <c r="AV36" s="1260"/>
      <c r="AW36" s="1260"/>
      <c r="AX36" s="1260"/>
      <c r="AY36" s="1260"/>
      <c r="AZ36" s="1260"/>
      <c r="BA36" s="1260"/>
      <c r="BB36" s="1260"/>
      <c r="BC36" s="1260"/>
      <c r="BD36" s="1260"/>
      <c r="BE36" s="1257"/>
      <c r="BF36" s="1331"/>
      <c r="BG36" s="1331"/>
      <c r="BH36" s="1005" t="s">
        <v>1538</v>
      </c>
    </row>
    <row s="1656" customFormat="1" customHeight="1" ht="44.25" hidden="1">
      <c r="A37" s="1331"/>
      <c r="B37" s="1223">
        <f>InvestmentSources_is_one_block="да"</f>
        <v>0</v>
      </c>
      <c r="C37" s="1331"/>
      <c r="D37" s="1331"/>
      <c r="E37" s="623">
        <v>45.75</v>
      </c>
      <c r="F37" s="1194"/>
      <c r="G37" s="1331"/>
      <c r="H37" s="1331"/>
      <c r="I37" s="4457"/>
      <c r="J37" s="4457"/>
      <c r="K37" s="4457"/>
      <c r="L37" s="4457"/>
      <c r="M37" s="4457"/>
      <c r="N37" s="4457"/>
      <c r="O37" s="4457"/>
      <c r="P37" s="4457"/>
      <c r="Q37" s="4457"/>
      <c r="R37" s="4457"/>
      <c r="S37" s="4457"/>
      <c r="T37" s="4458"/>
      <c r="U37" s="4457"/>
      <c r="V37" s="4457"/>
      <c r="W37" s="4457"/>
      <c r="X37" s="4457"/>
      <c r="Y37" s="4457"/>
      <c r="Z37" s="4457"/>
      <c r="AA37" s="4457"/>
      <c r="AB37" s="216" t="s">
        <v>1539</v>
      </c>
      <c r="AC37" s="775" t="s">
        <v>1540</v>
      </c>
      <c r="AD37" s="84" t="s">
        <v>936</v>
      </c>
      <c r="AE37" s="1260"/>
      <c r="AF37" s="1260"/>
      <c r="AG37" s="1260"/>
      <c r="AH37" s="1260"/>
      <c r="AI37" s="1260"/>
      <c r="AJ37" s="1260"/>
      <c r="AK37" s="211"/>
      <c r="AL37" s="1260"/>
      <c r="AM37" s="1260"/>
      <c r="AN37" s="1260"/>
      <c r="AO37" s="1260"/>
      <c r="AP37" s="1260"/>
      <c r="AQ37" s="1260"/>
      <c r="AR37" s="1260"/>
      <c r="AS37" s="1260"/>
      <c r="AT37" s="1260"/>
      <c r="AU37" s="211"/>
      <c r="AV37" s="1260"/>
      <c r="AW37" s="1260"/>
      <c r="AX37" s="1260"/>
      <c r="AY37" s="1260"/>
      <c r="AZ37" s="1260"/>
      <c r="BA37" s="1260"/>
      <c r="BB37" s="1260"/>
      <c r="BC37" s="1260"/>
      <c r="BD37" s="1260"/>
      <c r="BE37" s="1257"/>
      <c r="BF37" s="1331"/>
      <c r="BG37" s="1331"/>
      <c r="BH37" s="1005" t="s">
        <v>1541</v>
      </c>
    </row>
    <row s="1656" customFormat="1" customHeight="1" ht="44.25" hidden="1">
      <c r="A38" s="1331"/>
      <c r="B38" s="1223">
        <f>InvestmentSources_is_one_block="да"</f>
        <v>0</v>
      </c>
      <c r="C38" s="1331"/>
      <c r="D38" s="1331"/>
      <c r="E38" s="623">
        <v>45.75</v>
      </c>
      <c r="F38" s="1194"/>
      <c r="G38" s="1331"/>
      <c r="H38" s="1331"/>
      <c r="I38" s="4457"/>
      <c r="J38" s="4457"/>
      <c r="K38" s="4457"/>
      <c r="L38" s="4457"/>
      <c r="M38" s="4457"/>
      <c r="N38" s="4457"/>
      <c r="O38" s="4457"/>
      <c r="P38" s="4457"/>
      <c r="Q38" s="4457"/>
      <c r="R38" s="4457"/>
      <c r="S38" s="4457"/>
      <c r="T38" s="4458"/>
      <c r="U38" s="4457"/>
      <c r="V38" s="4457"/>
      <c r="W38" s="4457"/>
      <c r="X38" s="4457"/>
      <c r="Y38" s="4457"/>
      <c r="Z38" s="4457"/>
      <c r="AA38" s="4457"/>
      <c r="AB38" s="216" t="s">
        <v>1542</v>
      </c>
      <c r="AC38" s="775" t="s">
        <v>1543</v>
      </c>
      <c r="AD38" s="84" t="s">
        <v>936</v>
      </c>
      <c r="AE38" s="1260"/>
      <c r="AF38" s="1260"/>
      <c r="AG38" s="1260"/>
      <c r="AH38" s="1260"/>
      <c r="AI38" s="1260"/>
      <c r="AJ38" s="1260"/>
      <c r="AK38" s="211"/>
      <c r="AL38" s="1260"/>
      <c r="AM38" s="1260"/>
      <c r="AN38" s="1260"/>
      <c r="AO38" s="1260"/>
      <c r="AP38" s="1260"/>
      <c r="AQ38" s="1260"/>
      <c r="AR38" s="1260"/>
      <c r="AS38" s="1260"/>
      <c r="AT38" s="1260"/>
      <c r="AU38" s="211"/>
      <c r="AV38" s="1260"/>
      <c r="AW38" s="1260"/>
      <c r="AX38" s="1260"/>
      <c r="AY38" s="1260"/>
      <c r="AZ38" s="1260"/>
      <c r="BA38" s="1260"/>
      <c r="BB38" s="1260"/>
      <c r="BC38" s="1260"/>
      <c r="BD38" s="1260"/>
      <c r="BE38" s="1257"/>
      <c r="BF38" s="1331"/>
      <c r="BG38" s="1331"/>
      <c r="BH38" s="1005" t="s">
        <v>1544</v>
      </c>
    </row>
    <row s="1656" customFormat="1" customHeight="1" ht="21.75" hidden="1">
      <c r="A39" s="1331"/>
      <c r="B39" s="1223">
        <f>InvestmentSources_is_one_block="да"</f>
        <v>0</v>
      </c>
      <c r="C39" s="1331"/>
      <c r="D39" s="1331"/>
      <c r="E39" s="623">
        <v>22.5</v>
      </c>
      <c r="F39" s="1194"/>
      <c r="G39" s="1331"/>
      <c r="H39" s="1331"/>
      <c r="I39" s="4457"/>
      <c r="J39" s="4457"/>
      <c r="K39" s="4457"/>
      <c r="L39" s="4457"/>
      <c r="M39" s="4457"/>
      <c r="N39" s="4457"/>
      <c r="O39" s="4457"/>
      <c r="P39" s="4457"/>
      <c r="Q39" s="4457"/>
      <c r="R39" s="4457"/>
      <c r="S39" s="4457"/>
      <c r="T39" s="4458"/>
      <c r="U39" s="4457"/>
      <c r="V39" s="4457"/>
      <c r="W39" s="4457"/>
      <c r="X39" s="4457"/>
      <c r="Y39" s="4457"/>
      <c r="Z39" s="4457"/>
      <c r="AA39" s="4457"/>
      <c r="AB39" s="216" t="s">
        <v>1545</v>
      </c>
      <c r="AC39" s="775" t="s">
        <v>1546</v>
      </c>
      <c r="AD39" s="84" t="s">
        <v>936</v>
      </c>
      <c r="AE39" s="1260"/>
      <c r="AF39" s="1260"/>
      <c r="AG39" s="1260"/>
      <c r="AH39" s="1260"/>
      <c r="AI39" s="1260"/>
      <c r="AJ39" s="1260"/>
      <c r="AK39" s="211"/>
      <c r="AL39" s="1260"/>
      <c r="AM39" s="1260"/>
      <c r="AN39" s="1260"/>
      <c r="AO39" s="1260"/>
      <c r="AP39" s="1260"/>
      <c r="AQ39" s="1260"/>
      <c r="AR39" s="1260"/>
      <c r="AS39" s="1260"/>
      <c r="AT39" s="1260"/>
      <c r="AU39" s="211"/>
      <c r="AV39" s="1260"/>
      <c r="AW39" s="1260"/>
      <c r="AX39" s="1260"/>
      <c r="AY39" s="1260"/>
      <c r="AZ39" s="1260"/>
      <c r="BA39" s="1260"/>
      <c r="BB39" s="1260"/>
      <c r="BC39" s="1260"/>
      <c r="BD39" s="1260"/>
      <c r="BE39" s="1257"/>
      <c r="BF39" s="1331"/>
      <c r="BG39" s="1331"/>
      <c r="BH39" s="1005" t="s">
        <v>1547</v>
      </c>
    </row>
    <row s="1656" customFormat="1" customHeight="1" ht="14.25" hidden="1">
      <c r="A40" s="1331"/>
      <c r="B40" s="1223">
        <f>InvestmentSources_is_one_block="да"</f>
        <v>0</v>
      </c>
      <c r="C40" s="1331"/>
      <c r="D40" s="1331"/>
      <c r="E40" s="623">
        <v>15</v>
      </c>
      <c r="F40" s="1194"/>
      <c r="G40" s="1331"/>
      <c r="H40" s="118" t="s">
        <v>570</v>
      </c>
      <c r="I40" s="4457"/>
      <c r="J40" s="4457"/>
      <c r="K40" s="4457"/>
      <c r="L40" s="4457"/>
      <c r="M40" s="4457"/>
      <c r="N40" s="4457"/>
      <c r="O40" s="4457"/>
      <c r="P40" s="4457"/>
      <c r="Q40" s="4457"/>
      <c r="R40" s="4457"/>
      <c r="S40" s="4457"/>
      <c r="T40" s="4458"/>
      <c r="U40" s="4457"/>
      <c r="V40" s="4457"/>
      <c r="W40" s="4457"/>
      <c r="X40" s="4457"/>
      <c r="Y40" s="4457"/>
      <c r="Z40" s="4457"/>
      <c r="AA40" s="4457"/>
      <c r="AB40" s="216" t="s">
        <v>1070</v>
      </c>
      <c r="AC40" s="210" t="s">
        <v>1548</v>
      </c>
      <c r="AD40" s="84" t="s">
        <v>936</v>
      </c>
      <c r="AE40" s="255">
        <f>AE41+AE42+AE43</f>
        <v>0</v>
      </c>
      <c r="AF40" s="255">
        <f>AF41+AF42+AF43</f>
        <v>0</v>
      </c>
      <c r="AG40" s="255">
        <f>AG41+AG42+AG43</f>
        <v>0</v>
      </c>
      <c r="AH40" s="255">
        <f>AH41+AH42+AH43</f>
        <v>0</v>
      </c>
      <c r="AI40" s="255">
        <f>AI41+AI42+AI43</f>
        <v>0</v>
      </c>
      <c r="AJ40" s="255">
        <f>AJ41+AJ42+AJ43</f>
        <v>0</v>
      </c>
      <c r="AK40" s="255">
        <f>AK41+AK42+AK43</f>
        <v>0</v>
      </c>
      <c r="AL40" s="255">
        <f>AL41+AL42+AL43</f>
        <v>0</v>
      </c>
      <c r="AM40" s="255">
        <f>AM41+AM42+AM43</f>
        <v>0</v>
      </c>
      <c r="AN40" s="255">
        <f>AN41+AN42+AN43</f>
        <v>0</v>
      </c>
      <c r="AO40" s="255">
        <f>AO41+AO42+AO43</f>
        <v>0</v>
      </c>
      <c r="AP40" s="255">
        <f>AP41+AP42+AP43</f>
        <v>0</v>
      </c>
      <c r="AQ40" s="255">
        <f>AQ41+AQ42+AQ43</f>
        <v>0</v>
      </c>
      <c r="AR40" s="255">
        <f>AR41+AR42+AR43</f>
        <v>0</v>
      </c>
      <c r="AS40" s="255">
        <f>AS41+AS42+AS43</f>
        <v>0</v>
      </c>
      <c r="AT40" s="255">
        <f>AT41+AT42+AT43</f>
        <v>0</v>
      </c>
      <c r="AU40" s="255">
        <f>AU41+AU42+AU43</f>
        <v>0</v>
      </c>
      <c r="AV40" s="255">
        <f>AV41+AV42+AV43</f>
        <v>0</v>
      </c>
      <c r="AW40" s="255">
        <f>AW41+AW42+AW43</f>
        <v>0</v>
      </c>
      <c r="AX40" s="255">
        <f>AX41+AX42+AX43</f>
        <v>0</v>
      </c>
      <c r="AY40" s="255">
        <f>AY41+AY42+AY43</f>
        <v>0</v>
      </c>
      <c r="AZ40" s="255">
        <f>AZ41+AZ42+AZ43</f>
        <v>0</v>
      </c>
      <c r="BA40" s="255">
        <f>BA41+BA42+BA43</f>
        <v>0</v>
      </c>
      <c r="BB40" s="255">
        <f>BB41+BB42+BB43</f>
        <v>0</v>
      </c>
      <c r="BC40" s="255">
        <f>BC41+BC42+BC43</f>
        <v>0</v>
      </c>
      <c r="BD40" s="255">
        <f>BD41+BD42+BD43</f>
        <v>0</v>
      </c>
      <c r="BE40" s="1257"/>
      <c r="BF40" s="1331"/>
      <c r="BG40" s="1331"/>
      <c r="BH40" s="1005" t="s">
        <v>1549</v>
      </c>
    </row>
    <row s="1656" customFormat="1" customHeight="1" ht="14.25" hidden="1">
      <c r="A41" s="1331"/>
      <c r="B41" s="1223">
        <f>InvestmentSources_is_one_block="да"</f>
        <v>0</v>
      </c>
      <c r="C41" s="1331"/>
      <c r="D41" s="1331"/>
      <c r="E41" s="623">
        <v>15</v>
      </c>
      <c r="F41" s="1194"/>
      <c r="G41" s="1331"/>
      <c r="H41" s="118" t="s">
        <v>1550</v>
      </c>
      <c r="I41" s="4457"/>
      <c r="J41" s="4457"/>
      <c r="K41" s="4457"/>
      <c r="L41" s="4457"/>
      <c r="M41" s="4457"/>
      <c r="N41" s="4457"/>
      <c r="O41" s="4457"/>
      <c r="P41" s="4457"/>
      <c r="Q41" s="4457"/>
      <c r="R41" s="4457"/>
      <c r="S41" s="4457"/>
      <c r="T41" s="4458"/>
      <c r="U41" s="4457"/>
      <c r="V41" s="4457"/>
      <c r="W41" s="4457"/>
      <c r="X41" s="4457"/>
      <c r="Y41" s="4457"/>
      <c r="Z41" s="4457"/>
      <c r="AA41" s="4457"/>
      <c r="AB41" s="216" t="s">
        <v>1551</v>
      </c>
      <c r="AC41" s="217" t="s">
        <v>1552</v>
      </c>
      <c r="AD41" s="84" t="s">
        <v>936</v>
      </c>
      <c r="AE41" s="1260"/>
      <c r="AF41" s="1260"/>
      <c r="AG41" s="1260"/>
      <c r="AH41" s="1260"/>
      <c r="AI41" s="1260"/>
      <c r="AJ41" s="1260"/>
      <c r="AK41" s="211"/>
      <c r="AL41" s="1260"/>
      <c r="AM41" s="1260"/>
      <c r="AN41" s="1260"/>
      <c r="AO41" s="1260"/>
      <c r="AP41" s="1260"/>
      <c r="AQ41" s="1260"/>
      <c r="AR41" s="1260"/>
      <c r="AS41" s="1260"/>
      <c r="AT41" s="1260"/>
      <c r="AU41" s="211"/>
      <c r="AV41" s="1260"/>
      <c r="AW41" s="1260"/>
      <c r="AX41" s="1260"/>
      <c r="AY41" s="1260"/>
      <c r="AZ41" s="1260"/>
      <c r="BA41" s="1260"/>
      <c r="BB41" s="1260"/>
      <c r="BC41" s="1260"/>
      <c r="BD41" s="1260"/>
      <c r="BE41" s="1257"/>
      <c r="BF41" s="1331"/>
      <c r="BG41" s="1331"/>
      <c r="BH41" s="1005" t="s">
        <v>1456</v>
      </c>
    </row>
    <row s="1656" customFormat="1" customHeight="1" ht="14.25" hidden="1">
      <c r="A42" s="1331"/>
      <c r="B42" s="1223">
        <f>InvestmentSources_is_one_block="да"</f>
        <v>0</v>
      </c>
      <c r="C42" s="1331"/>
      <c r="D42" s="1331"/>
      <c r="E42" s="623">
        <v>15</v>
      </c>
      <c r="F42" s="1194"/>
      <c r="G42" s="1331"/>
      <c r="H42" s="118" t="s">
        <v>1553</v>
      </c>
      <c r="I42" s="4457"/>
      <c r="J42" s="4457"/>
      <c r="K42" s="4457"/>
      <c r="L42" s="4457"/>
      <c r="M42" s="4457"/>
      <c r="N42" s="4457"/>
      <c r="O42" s="4457"/>
      <c r="P42" s="4457"/>
      <c r="Q42" s="4457"/>
      <c r="R42" s="4457"/>
      <c r="S42" s="4457"/>
      <c r="T42" s="4458"/>
      <c r="U42" s="4457"/>
      <c r="V42" s="4457"/>
      <c r="W42" s="4457"/>
      <c r="X42" s="4457"/>
      <c r="Y42" s="4457"/>
      <c r="Z42" s="4457"/>
      <c r="AA42" s="4457"/>
      <c r="AB42" s="216" t="s">
        <v>1554</v>
      </c>
      <c r="AC42" s="217" t="s">
        <v>1555</v>
      </c>
      <c r="AD42" s="84" t="s">
        <v>936</v>
      </c>
      <c r="AE42" s="1260"/>
      <c r="AF42" s="1260"/>
      <c r="AG42" s="1260"/>
      <c r="AH42" s="1260"/>
      <c r="AI42" s="1260"/>
      <c r="AJ42" s="1260"/>
      <c r="AK42" s="211"/>
      <c r="AL42" s="1260"/>
      <c r="AM42" s="1260"/>
      <c r="AN42" s="1260"/>
      <c r="AO42" s="1260"/>
      <c r="AP42" s="1260"/>
      <c r="AQ42" s="1260"/>
      <c r="AR42" s="1260"/>
      <c r="AS42" s="1260"/>
      <c r="AT42" s="1260"/>
      <c r="AU42" s="211"/>
      <c r="AV42" s="1260"/>
      <c r="AW42" s="1260"/>
      <c r="AX42" s="1260"/>
      <c r="AY42" s="1260"/>
      <c r="AZ42" s="1260"/>
      <c r="BA42" s="1260"/>
      <c r="BB42" s="1260"/>
      <c r="BC42" s="1260"/>
      <c r="BD42" s="1260"/>
      <c r="BE42" s="1257"/>
      <c r="BF42" s="1331"/>
      <c r="BG42" s="1331"/>
      <c r="BH42" s="1005" t="s">
        <v>1556</v>
      </c>
    </row>
    <row s="1656" customFormat="1" customHeight="1" ht="14.25" hidden="1">
      <c r="A43" s="1331"/>
      <c r="B43" s="1223">
        <f>InvestmentSources_is_one_block="да"</f>
        <v>0</v>
      </c>
      <c r="C43" s="1331"/>
      <c r="D43" s="1331"/>
      <c r="E43" s="623">
        <v>15</v>
      </c>
      <c r="F43" s="1194"/>
      <c r="G43" s="1331"/>
      <c r="H43" s="118" t="s">
        <v>1557</v>
      </c>
      <c r="I43" s="4457"/>
      <c r="J43" s="4457"/>
      <c r="K43" s="4457"/>
      <c r="L43" s="4457"/>
      <c r="M43" s="4457"/>
      <c r="N43" s="4457"/>
      <c r="O43" s="4457"/>
      <c r="P43" s="4457"/>
      <c r="Q43" s="4457"/>
      <c r="R43" s="4457"/>
      <c r="S43" s="4457"/>
      <c r="T43" s="4458"/>
      <c r="U43" s="4457"/>
      <c r="V43" s="4457"/>
      <c r="W43" s="4457"/>
      <c r="X43" s="4457"/>
      <c r="Y43" s="4457"/>
      <c r="Z43" s="4457"/>
      <c r="AA43" s="4457"/>
      <c r="AB43" s="216" t="s">
        <v>1558</v>
      </c>
      <c r="AC43" s="217" t="s">
        <v>1559</v>
      </c>
      <c r="AD43" s="84" t="s">
        <v>936</v>
      </c>
      <c r="AE43" s="1260"/>
      <c r="AF43" s="1260"/>
      <c r="AG43" s="1260"/>
      <c r="AH43" s="1260"/>
      <c r="AI43" s="1260"/>
      <c r="AJ43" s="1260"/>
      <c r="AK43" s="211"/>
      <c r="AL43" s="1260"/>
      <c r="AM43" s="1260"/>
      <c r="AN43" s="1260"/>
      <c r="AO43" s="1260"/>
      <c r="AP43" s="1260"/>
      <c r="AQ43" s="1260"/>
      <c r="AR43" s="1260"/>
      <c r="AS43" s="1260"/>
      <c r="AT43" s="1260"/>
      <c r="AU43" s="211"/>
      <c r="AV43" s="1260"/>
      <c r="AW43" s="1260"/>
      <c r="AX43" s="1260"/>
      <c r="AY43" s="1260"/>
      <c r="AZ43" s="1260"/>
      <c r="BA43" s="1260"/>
      <c r="BB43" s="1260"/>
      <c r="BC43" s="1260"/>
      <c r="BD43" s="1260"/>
      <c r="BE43" s="1257"/>
      <c r="BF43" s="1331"/>
      <c r="BG43" s="1331"/>
      <c r="BH43" s="1005" t="s">
        <v>1560</v>
      </c>
    </row>
    <row s="1656" customFormat="1" customHeight="1" ht="14.25" hidden="1">
      <c r="A44" s="1331"/>
      <c r="B44" s="1223">
        <f>InvestmentSources_is_one_block="да"</f>
        <v>0</v>
      </c>
      <c r="C44" s="1331"/>
      <c r="D44" s="1331"/>
      <c r="E44" s="623">
        <v>15</v>
      </c>
      <c r="F44" s="1194"/>
      <c r="G44" s="1331"/>
      <c r="H44" s="118" t="s">
        <v>573</v>
      </c>
      <c r="I44" s="4457"/>
      <c r="J44" s="4457"/>
      <c r="K44" s="4457"/>
      <c r="L44" s="4457"/>
      <c r="M44" s="4457"/>
      <c r="N44" s="4457"/>
      <c r="O44" s="4457"/>
      <c r="P44" s="4457"/>
      <c r="Q44" s="4457"/>
      <c r="R44" s="4457"/>
      <c r="S44" s="4457"/>
      <c r="T44" s="4458"/>
      <c r="U44" s="4457"/>
      <c r="V44" s="4457"/>
      <c r="W44" s="4457"/>
      <c r="X44" s="4457"/>
      <c r="Y44" s="4457"/>
      <c r="Z44" s="4457"/>
      <c r="AA44" s="4457"/>
      <c r="AB44" s="216" t="s">
        <v>1073</v>
      </c>
      <c r="AC44" s="210" t="s">
        <v>1561</v>
      </c>
      <c r="AD44" s="84" t="s">
        <v>936</v>
      </c>
      <c r="AE44" s="255">
        <f>AE45+AE46+AE47</f>
        <v>0</v>
      </c>
      <c r="AF44" s="255">
        <f>AF45+AF46+AF47</f>
        <v>0</v>
      </c>
      <c r="AG44" s="255">
        <f>AG45+AG46+AG47</f>
        <v>0</v>
      </c>
      <c r="AH44" s="255">
        <f>AH45+AH46+AH47</f>
        <v>0</v>
      </c>
      <c r="AI44" s="255">
        <f>AI45+AI46+AI47</f>
        <v>0</v>
      </c>
      <c r="AJ44" s="255">
        <f>AJ45+AJ46+AJ47</f>
        <v>0</v>
      </c>
      <c r="AK44" s="255">
        <f>AK45+AK46+AK47</f>
        <v>0</v>
      </c>
      <c r="AL44" s="255">
        <f>AL45+AL46+AL47</f>
        <v>0</v>
      </c>
      <c r="AM44" s="255">
        <f>AM45+AM46+AM47</f>
        <v>0</v>
      </c>
      <c r="AN44" s="255">
        <f>AN45+AN46+AN47</f>
        <v>0</v>
      </c>
      <c r="AO44" s="255">
        <f>AO45+AO46+AO47</f>
        <v>0</v>
      </c>
      <c r="AP44" s="255">
        <f>AP45+AP46+AP47</f>
        <v>0</v>
      </c>
      <c r="AQ44" s="255">
        <f>AQ45+AQ46+AQ47</f>
        <v>0</v>
      </c>
      <c r="AR44" s="255">
        <f>AR45+AR46+AR47</f>
        <v>0</v>
      </c>
      <c r="AS44" s="255">
        <f>AS45+AS46+AS47</f>
        <v>0</v>
      </c>
      <c r="AT44" s="255">
        <f>AT45+AT46+AT47</f>
        <v>0</v>
      </c>
      <c r="AU44" s="255">
        <f>AU45+AU46+AU47</f>
        <v>0</v>
      </c>
      <c r="AV44" s="255">
        <f>AV45+AV46+AV47</f>
        <v>0</v>
      </c>
      <c r="AW44" s="255">
        <f>AW45+AW46+AW47</f>
        <v>0</v>
      </c>
      <c r="AX44" s="255">
        <f>AX45+AX46+AX47</f>
        <v>0</v>
      </c>
      <c r="AY44" s="255">
        <f>AY45+AY46+AY47</f>
        <v>0</v>
      </c>
      <c r="AZ44" s="255">
        <f>AZ45+AZ46+AZ47</f>
        <v>0</v>
      </c>
      <c r="BA44" s="255">
        <f>BA45+BA46+BA47</f>
        <v>0</v>
      </c>
      <c r="BB44" s="255">
        <f>BB45+BB46+BB47</f>
        <v>0</v>
      </c>
      <c r="BC44" s="255">
        <f>BC45+BC46+BC47</f>
        <v>0</v>
      </c>
      <c r="BD44" s="255">
        <f>BD45+BD46+BD47</f>
        <v>0</v>
      </c>
      <c r="BE44" s="1257"/>
      <c r="BF44" s="1331"/>
      <c r="BG44" s="1331"/>
      <c r="BH44" s="1005" t="s">
        <v>1562</v>
      </c>
    </row>
    <row s="1656" customFormat="1" customHeight="1" ht="14.25" hidden="1">
      <c r="A45" s="1331"/>
      <c r="B45" s="1223">
        <f>InvestmentSources_is_one_block="да"</f>
        <v>0</v>
      </c>
      <c r="C45" s="1331"/>
      <c r="D45" s="1331"/>
      <c r="E45" s="623">
        <v>15</v>
      </c>
      <c r="F45" s="1194"/>
      <c r="G45" s="1331"/>
      <c r="H45" s="118" t="s">
        <v>1563</v>
      </c>
      <c r="I45" s="4457"/>
      <c r="J45" s="4457"/>
      <c r="K45" s="4457"/>
      <c r="L45" s="4457"/>
      <c r="M45" s="4457"/>
      <c r="N45" s="4457"/>
      <c r="O45" s="4457"/>
      <c r="P45" s="4457"/>
      <c r="Q45" s="4457"/>
      <c r="R45" s="4457"/>
      <c r="S45" s="4457"/>
      <c r="T45" s="4458"/>
      <c r="U45" s="4457"/>
      <c r="V45" s="4457"/>
      <c r="W45" s="4457"/>
      <c r="X45" s="4457"/>
      <c r="Y45" s="4457"/>
      <c r="Z45" s="4457"/>
      <c r="AA45" s="4457"/>
      <c r="AB45" s="216" t="s">
        <v>1564</v>
      </c>
      <c r="AC45" s="217" t="s">
        <v>1565</v>
      </c>
      <c r="AD45" s="84" t="s">
        <v>936</v>
      </c>
      <c r="AE45" s="1260"/>
      <c r="AF45" s="1260"/>
      <c r="AG45" s="1260"/>
      <c r="AH45" s="1260"/>
      <c r="AI45" s="1260"/>
      <c r="AJ45" s="1260"/>
      <c r="AK45" s="211"/>
      <c r="AL45" s="1260"/>
      <c r="AM45" s="1260"/>
      <c r="AN45" s="1260"/>
      <c r="AO45" s="1260"/>
      <c r="AP45" s="1260"/>
      <c r="AQ45" s="1260"/>
      <c r="AR45" s="1260"/>
      <c r="AS45" s="1260"/>
      <c r="AT45" s="1260"/>
      <c r="AU45" s="211"/>
      <c r="AV45" s="1260"/>
      <c r="AW45" s="1260"/>
      <c r="AX45" s="1260"/>
      <c r="AY45" s="1260"/>
      <c r="AZ45" s="1260"/>
      <c r="BA45" s="1260"/>
      <c r="BB45" s="1260"/>
      <c r="BC45" s="1260"/>
      <c r="BD45" s="1260"/>
      <c r="BE45" s="1257"/>
      <c r="BF45" s="1331"/>
      <c r="BG45" s="1331"/>
      <c r="BH45" s="1005" t="s">
        <v>1566</v>
      </c>
    </row>
    <row s="1656" customFormat="1" customHeight="1" ht="14.25" hidden="1">
      <c r="A46" s="1331"/>
      <c r="B46" s="1223">
        <f>InvestmentSources_is_one_block="да"</f>
        <v>0</v>
      </c>
      <c r="C46" s="1331"/>
      <c r="D46" s="1331"/>
      <c r="E46" s="623">
        <v>15</v>
      </c>
      <c r="F46" s="1194"/>
      <c r="G46" s="1331"/>
      <c r="H46" s="118" t="s">
        <v>1567</v>
      </c>
      <c r="I46" s="4457"/>
      <c r="J46" s="4457"/>
      <c r="K46" s="4457"/>
      <c r="L46" s="4457"/>
      <c r="M46" s="4457"/>
      <c r="N46" s="4457"/>
      <c r="O46" s="4457"/>
      <c r="P46" s="4457"/>
      <c r="Q46" s="4457"/>
      <c r="R46" s="4457"/>
      <c r="S46" s="4457"/>
      <c r="T46" s="4458"/>
      <c r="U46" s="4457"/>
      <c r="V46" s="4457"/>
      <c r="W46" s="4457"/>
      <c r="X46" s="4457"/>
      <c r="Y46" s="4457"/>
      <c r="Z46" s="4457"/>
      <c r="AA46" s="4457"/>
      <c r="AB46" s="216" t="s">
        <v>1568</v>
      </c>
      <c r="AC46" s="217" t="s">
        <v>1569</v>
      </c>
      <c r="AD46" s="84" t="s">
        <v>936</v>
      </c>
      <c r="AE46" s="1260"/>
      <c r="AF46" s="1260"/>
      <c r="AG46" s="1260"/>
      <c r="AH46" s="1260"/>
      <c r="AI46" s="1260"/>
      <c r="AJ46" s="1260"/>
      <c r="AK46" s="211"/>
      <c r="AL46" s="1260"/>
      <c r="AM46" s="1260"/>
      <c r="AN46" s="1260"/>
      <c r="AO46" s="1260"/>
      <c r="AP46" s="1260"/>
      <c r="AQ46" s="1260"/>
      <c r="AR46" s="1260"/>
      <c r="AS46" s="1260"/>
      <c r="AT46" s="1260"/>
      <c r="AU46" s="211"/>
      <c r="AV46" s="1260"/>
      <c r="AW46" s="1260"/>
      <c r="AX46" s="1260"/>
      <c r="AY46" s="1260"/>
      <c r="AZ46" s="1260"/>
      <c r="BA46" s="1260"/>
      <c r="BB46" s="1260"/>
      <c r="BC46" s="1260"/>
      <c r="BD46" s="1260"/>
      <c r="BE46" s="1257"/>
      <c r="BF46" s="1331"/>
      <c r="BG46" s="1331"/>
      <c r="BH46" s="1005" t="s">
        <v>1570</v>
      </c>
    </row>
    <row s="1656" customFormat="1" customHeight="1" ht="14.25" hidden="1">
      <c r="A47" s="1331"/>
      <c r="B47" s="1223">
        <f>InvestmentSources_is_one_block="да"</f>
        <v>0</v>
      </c>
      <c r="C47" s="1331"/>
      <c r="D47" s="1331"/>
      <c r="E47" s="623">
        <v>15</v>
      </c>
      <c r="F47" s="1194"/>
      <c r="G47" s="1331"/>
      <c r="H47" s="118" t="s">
        <v>1571</v>
      </c>
      <c r="I47" s="4457"/>
      <c r="J47" s="4457"/>
      <c r="K47" s="4457"/>
      <c r="L47" s="4457"/>
      <c r="M47" s="4457"/>
      <c r="N47" s="4457"/>
      <c r="O47" s="4457"/>
      <c r="P47" s="4457"/>
      <c r="Q47" s="4457"/>
      <c r="R47" s="4457"/>
      <c r="S47" s="4457"/>
      <c r="T47" s="4458"/>
      <c r="U47" s="4457"/>
      <c r="V47" s="4457"/>
      <c r="W47" s="4457"/>
      <c r="X47" s="4457"/>
      <c r="Y47" s="4457"/>
      <c r="Z47" s="4457"/>
      <c r="AA47" s="4457"/>
      <c r="AB47" s="216" t="s">
        <v>1572</v>
      </c>
      <c r="AC47" s="217" t="s">
        <v>1573</v>
      </c>
      <c r="AD47" s="84" t="s">
        <v>936</v>
      </c>
      <c r="AE47" s="1260"/>
      <c r="AF47" s="1260"/>
      <c r="AG47" s="1260"/>
      <c r="AH47" s="1260"/>
      <c r="AI47" s="1260"/>
      <c r="AJ47" s="1260"/>
      <c r="AK47" s="211"/>
      <c r="AL47" s="1260"/>
      <c r="AM47" s="1260"/>
      <c r="AN47" s="1260"/>
      <c r="AO47" s="1260"/>
      <c r="AP47" s="1260"/>
      <c r="AQ47" s="1260"/>
      <c r="AR47" s="1260"/>
      <c r="AS47" s="1260"/>
      <c r="AT47" s="1260"/>
      <c r="AU47" s="211"/>
      <c r="AV47" s="1260"/>
      <c r="AW47" s="1260"/>
      <c r="AX47" s="1260"/>
      <c r="AY47" s="1260"/>
      <c r="AZ47" s="1260"/>
      <c r="BA47" s="1260"/>
      <c r="BB47" s="1260"/>
      <c r="BC47" s="1260"/>
      <c r="BD47" s="1260"/>
      <c r="BE47" s="1257"/>
      <c r="BF47" s="1331"/>
      <c r="BG47" s="1331"/>
      <c r="BH47" s="1005" t="s">
        <v>1574</v>
      </c>
    </row>
    <row s="1656" customFormat="1" customHeight="1" ht="14.25" hidden="1">
      <c r="A48" s="1331"/>
      <c r="B48" s="1223">
        <f>InvestmentSources_is_one_block="да"</f>
        <v>0</v>
      </c>
      <c r="C48" s="1331"/>
      <c r="D48" s="1331"/>
      <c r="E48" s="623">
        <v>15</v>
      </c>
      <c r="F48" s="1194"/>
      <c r="G48" s="1331"/>
      <c r="H48" s="118" t="s">
        <v>577</v>
      </c>
      <c r="I48" s="4457"/>
      <c r="J48" s="4457"/>
      <c r="K48" s="4457"/>
      <c r="L48" s="4457"/>
      <c r="M48" s="4457"/>
      <c r="N48" s="4457"/>
      <c r="O48" s="4457"/>
      <c r="P48" s="4457"/>
      <c r="Q48" s="4457"/>
      <c r="R48" s="4457"/>
      <c r="S48" s="4457"/>
      <c r="T48" s="4458"/>
      <c r="U48" s="4457"/>
      <c r="V48" s="4457"/>
      <c r="W48" s="4457"/>
      <c r="X48" s="4457"/>
      <c r="Y48" s="4457"/>
      <c r="Z48" s="4457"/>
      <c r="AA48" s="4457"/>
      <c r="AB48" s="216" t="s">
        <v>1076</v>
      </c>
      <c r="AC48" s="210" t="s">
        <v>1575</v>
      </c>
      <c r="AD48" s="84" t="s">
        <v>936</v>
      </c>
      <c r="AE48" s="255">
        <f>AE49+AE50+AE51+AE52</f>
        <v>0</v>
      </c>
      <c r="AF48" s="255">
        <f>AF49+AF50+AF51+AF52</f>
        <v>0</v>
      </c>
      <c r="AG48" s="255">
        <f>AG49+AG50+AG51+AG52</f>
        <v>0</v>
      </c>
      <c r="AH48" s="255">
        <f>AH49+AH50+AH51+AH52</f>
        <v>0</v>
      </c>
      <c r="AI48" s="255">
        <f>AI49+AI50+AI51+AI52</f>
        <v>0</v>
      </c>
      <c r="AJ48" s="255">
        <f>AJ49+AJ50+AJ51+AJ52</f>
        <v>0</v>
      </c>
      <c r="AK48" s="255">
        <f>AK49+AK50+AK51+AK52</f>
        <v>0</v>
      </c>
      <c r="AL48" s="255">
        <f>AL49+AL50+AL51+AL52</f>
        <v>0</v>
      </c>
      <c r="AM48" s="255">
        <f>AM49+AM50+AM51+AM52</f>
        <v>0</v>
      </c>
      <c r="AN48" s="255">
        <f>AN49+AN50+AN51+AN52</f>
        <v>0</v>
      </c>
      <c r="AO48" s="255">
        <f>AO49+AO50+AO51+AO52</f>
        <v>0</v>
      </c>
      <c r="AP48" s="255">
        <f>AP49+AP50+AP51+AP52</f>
        <v>0</v>
      </c>
      <c r="AQ48" s="255">
        <f>AQ49+AQ50+AQ51+AQ52</f>
        <v>0</v>
      </c>
      <c r="AR48" s="255">
        <f>AR49+AR50+AR51+AR52</f>
        <v>0</v>
      </c>
      <c r="AS48" s="255">
        <f>AS49+AS50+AS51+AS52</f>
        <v>0</v>
      </c>
      <c r="AT48" s="255">
        <f>AT49+AT50+AT51+AT52</f>
        <v>0</v>
      </c>
      <c r="AU48" s="255">
        <f>AU49+AU50+AU51+AU52</f>
        <v>0</v>
      </c>
      <c r="AV48" s="255">
        <f>AV49+AV50+AV51+AV52</f>
        <v>0</v>
      </c>
      <c r="AW48" s="255">
        <f>AW49+AW50+AW51+AW52</f>
        <v>0</v>
      </c>
      <c r="AX48" s="255">
        <f>AX49+AX50+AX51+AX52</f>
        <v>0</v>
      </c>
      <c r="AY48" s="255">
        <f>AY49+AY50+AY51+AY52</f>
        <v>0</v>
      </c>
      <c r="AZ48" s="255">
        <f>AZ49+AZ50+AZ51+AZ52</f>
        <v>0</v>
      </c>
      <c r="BA48" s="255">
        <f>BA49+BA50+BA51+BA52</f>
        <v>0</v>
      </c>
      <c r="BB48" s="255">
        <f>BB49+BB50+BB51+BB52</f>
        <v>0</v>
      </c>
      <c r="BC48" s="255">
        <f>BC49+BC50+BC51+BC52</f>
        <v>0</v>
      </c>
      <c r="BD48" s="255">
        <f>BD49+BD50+BD51+BD52</f>
        <v>0</v>
      </c>
      <c r="BE48" s="1257"/>
      <c r="BF48" s="1331"/>
      <c r="BG48" s="1331"/>
      <c r="BH48" s="1005" t="s">
        <v>1576</v>
      </c>
    </row>
    <row s="1656" customFormat="1" customHeight="1" ht="14.25" hidden="1">
      <c r="A49" s="1331"/>
      <c r="B49" s="1223">
        <f>InvestmentSources_is_one_block="да"</f>
        <v>0</v>
      </c>
      <c r="C49" s="1331"/>
      <c r="D49" s="1331"/>
      <c r="E49" s="623">
        <v>15</v>
      </c>
      <c r="F49" s="1194"/>
      <c r="G49" s="1331"/>
      <c r="H49" s="118" t="s">
        <v>1577</v>
      </c>
      <c r="I49" s="4457"/>
      <c r="J49" s="4457"/>
      <c r="K49" s="4457"/>
      <c r="L49" s="4457"/>
      <c r="M49" s="4457"/>
      <c r="N49" s="4457"/>
      <c r="O49" s="4457"/>
      <c r="P49" s="4457"/>
      <c r="Q49" s="4457"/>
      <c r="R49" s="4457"/>
      <c r="S49" s="4457"/>
      <c r="T49" s="4458"/>
      <c r="U49" s="4457"/>
      <c r="V49" s="4457"/>
      <c r="W49" s="4457"/>
      <c r="X49" s="4457"/>
      <c r="Y49" s="4457"/>
      <c r="Z49" s="4457"/>
      <c r="AA49" s="4457"/>
      <c r="AB49" s="216" t="s">
        <v>1214</v>
      </c>
      <c r="AC49" s="217" t="s">
        <v>1208</v>
      </c>
      <c r="AD49" s="84" t="s">
        <v>936</v>
      </c>
      <c r="AE49" s="1260"/>
      <c r="AF49" s="1260"/>
      <c r="AG49" s="1260"/>
      <c r="AH49" s="1260"/>
      <c r="AI49" s="1260"/>
      <c r="AJ49" s="1260"/>
      <c r="AK49" s="211"/>
      <c r="AL49" s="1260"/>
      <c r="AM49" s="1260"/>
      <c r="AN49" s="1260"/>
      <c r="AO49" s="1260"/>
      <c r="AP49" s="1260"/>
      <c r="AQ49" s="1260"/>
      <c r="AR49" s="1260"/>
      <c r="AS49" s="1260"/>
      <c r="AT49" s="1260"/>
      <c r="AU49" s="211"/>
      <c r="AV49" s="1260"/>
      <c r="AW49" s="1260"/>
      <c r="AX49" s="1260"/>
      <c r="AY49" s="1260"/>
      <c r="AZ49" s="1260"/>
      <c r="BA49" s="1260"/>
      <c r="BB49" s="1260"/>
      <c r="BC49" s="1260"/>
      <c r="BD49" s="1260"/>
      <c r="BE49" s="1257"/>
      <c r="BF49" s="1331"/>
      <c r="BG49" s="1331"/>
      <c r="BH49" s="1005" t="s">
        <v>1210</v>
      </c>
    </row>
    <row s="1656" customFormat="1" customHeight="1" ht="21.75" hidden="1">
      <c r="A50" s="1331"/>
      <c r="B50" s="1223">
        <f>InvestmentSources_is_one_block="да"</f>
        <v>0</v>
      </c>
      <c r="C50" s="1331"/>
      <c r="D50" s="1331"/>
      <c r="E50" s="623">
        <v>22.5</v>
      </c>
      <c r="F50" s="1194"/>
      <c r="G50" s="1331"/>
      <c r="H50" s="118" t="s">
        <v>1578</v>
      </c>
      <c r="I50" s="4457"/>
      <c r="J50" s="4457"/>
      <c r="K50" s="4457"/>
      <c r="L50" s="4457"/>
      <c r="M50" s="4457"/>
      <c r="N50" s="4457"/>
      <c r="O50" s="4457"/>
      <c r="P50" s="4457"/>
      <c r="Q50" s="4457"/>
      <c r="R50" s="4457"/>
      <c r="S50" s="4457"/>
      <c r="T50" s="4458"/>
      <c r="U50" s="4457"/>
      <c r="V50" s="4457"/>
      <c r="W50" s="4457"/>
      <c r="X50" s="4457"/>
      <c r="Y50" s="4457"/>
      <c r="Z50" s="4457"/>
      <c r="AA50" s="4457"/>
      <c r="AB50" s="216" t="s">
        <v>1217</v>
      </c>
      <c r="AC50" s="217" t="s">
        <v>1579</v>
      </c>
      <c r="AD50" s="84" t="s">
        <v>936</v>
      </c>
      <c r="AE50" s="1260"/>
      <c r="AF50" s="1260"/>
      <c r="AG50" s="1260"/>
      <c r="AH50" s="1260"/>
      <c r="AI50" s="1260"/>
      <c r="AJ50" s="1260"/>
      <c r="AK50" s="211"/>
      <c r="AL50" s="1260"/>
      <c r="AM50" s="1260"/>
      <c r="AN50" s="1260"/>
      <c r="AO50" s="1260"/>
      <c r="AP50" s="1260"/>
      <c r="AQ50" s="1260"/>
      <c r="AR50" s="1260"/>
      <c r="AS50" s="1260"/>
      <c r="AT50" s="1260"/>
      <c r="AU50" s="211"/>
      <c r="AV50" s="1260"/>
      <c r="AW50" s="1260"/>
      <c r="AX50" s="1260"/>
      <c r="AY50" s="1260"/>
      <c r="AZ50" s="1260"/>
      <c r="BA50" s="1260"/>
      <c r="BB50" s="1260"/>
      <c r="BC50" s="1260"/>
      <c r="BD50" s="1260"/>
      <c r="BE50" s="1257"/>
      <c r="BF50" s="1331"/>
      <c r="BG50" s="1331"/>
      <c r="BH50" s="1005" t="s">
        <v>1580</v>
      </c>
    </row>
    <row s="1656" customFormat="1" customHeight="1" ht="21.75" hidden="1">
      <c r="A51" s="1331"/>
      <c r="B51" s="1223">
        <f>InvestmentSources_is_one_block="да"</f>
        <v>0</v>
      </c>
      <c r="C51" s="1331"/>
      <c r="D51" s="1331"/>
      <c r="E51" s="623">
        <v>22.5</v>
      </c>
      <c r="F51" s="1194"/>
      <c r="G51" s="1331"/>
      <c r="H51" s="118" t="s">
        <v>1581</v>
      </c>
      <c r="I51" s="4457"/>
      <c r="J51" s="4457"/>
      <c r="K51" s="4457"/>
      <c r="L51" s="4457"/>
      <c r="M51" s="4457"/>
      <c r="N51" s="4457"/>
      <c r="O51" s="4457"/>
      <c r="P51" s="4457"/>
      <c r="Q51" s="4457"/>
      <c r="R51" s="4457"/>
      <c r="S51" s="4457"/>
      <c r="T51" s="4458"/>
      <c r="U51" s="4457"/>
      <c r="V51" s="4457"/>
      <c r="W51" s="4457"/>
      <c r="X51" s="4457"/>
      <c r="Y51" s="4457"/>
      <c r="Z51" s="4457"/>
      <c r="AA51" s="4457"/>
      <c r="AB51" s="216" t="s">
        <v>1582</v>
      </c>
      <c r="AC51" s="217" t="s">
        <v>1583</v>
      </c>
      <c r="AD51" s="84" t="s">
        <v>936</v>
      </c>
      <c r="AE51" s="1260"/>
      <c r="AF51" s="1260"/>
      <c r="AG51" s="1260"/>
      <c r="AH51" s="1260"/>
      <c r="AI51" s="1260"/>
      <c r="AJ51" s="1260"/>
      <c r="AK51" s="211"/>
      <c r="AL51" s="1260"/>
      <c r="AM51" s="1260"/>
      <c r="AN51" s="1260"/>
      <c r="AO51" s="1260"/>
      <c r="AP51" s="1260"/>
      <c r="AQ51" s="1260"/>
      <c r="AR51" s="1260"/>
      <c r="AS51" s="1260"/>
      <c r="AT51" s="1260"/>
      <c r="AU51" s="211"/>
      <c r="AV51" s="1260"/>
      <c r="AW51" s="1260"/>
      <c r="AX51" s="1260"/>
      <c r="AY51" s="1260"/>
      <c r="AZ51" s="1260"/>
      <c r="BA51" s="1260"/>
      <c r="BB51" s="1260"/>
      <c r="BC51" s="1260"/>
      <c r="BD51" s="1260"/>
      <c r="BE51" s="1257"/>
      <c r="BF51" s="1331"/>
      <c r="BG51" s="1331"/>
      <c r="BH51" s="1005" t="s">
        <v>1584</v>
      </c>
    </row>
    <row s="1656" customFormat="1" customHeight="1" ht="14.25" hidden="1">
      <c r="A52" s="1331"/>
      <c r="B52" s="1223">
        <f>InvestmentSources_is_one_block="да"</f>
        <v>0</v>
      </c>
      <c r="C52" s="1331"/>
      <c r="D52" s="1331"/>
      <c r="E52" s="623">
        <v>15</v>
      </c>
      <c r="F52" s="1194"/>
      <c r="G52" s="1331"/>
      <c r="H52" s="118" t="s">
        <v>1585</v>
      </c>
      <c r="I52" s="4457"/>
      <c r="J52" s="4457"/>
      <c r="K52" s="4457"/>
      <c r="L52" s="4457"/>
      <c r="M52" s="4457"/>
      <c r="N52" s="4457"/>
      <c r="O52" s="4457"/>
      <c r="P52" s="4457"/>
      <c r="Q52" s="4457"/>
      <c r="R52" s="4457"/>
      <c r="S52" s="4457"/>
      <c r="T52" s="4458"/>
      <c r="U52" s="4457"/>
      <c r="V52" s="4457"/>
      <c r="W52" s="4457"/>
      <c r="X52" s="4457"/>
      <c r="Y52" s="4457"/>
      <c r="Z52" s="4457"/>
      <c r="AA52" s="4457"/>
      <c r="AB52" s="216" t="s">
        <v>1586</v>
      </c>
      <c r="AC52" s="217" t="s">
        <v>1587</v>
      </c>
      <c r="AD52" s="84" t="s">
        <v>936</v>
      </c>
      <c r="AE52" s="1260"/>
      <c r="AF52" s="1260"/>
      <c r="AG52" s="1260"/>
      <c r="AH52" s="1260"/>
      <c r="AI52" s="1260"/>
      <c r="AJ52" s="1260"/>
      <c r="AK52" s="211"/>
      <c r="AL52" s="1260"/>
      <c r="AM52" s="1260"/>
      <c r="AN52" s="1260"/>
      <c r="AO52" s="1260"/>
      <c r="AP52" s="1260"/>
      <c r="AQ52" s="1260"/>
      <c r="AR52" s="1260"/>
      <c r="AS52" s="1260"/>
      <c r="AT52" s="1260"/>
      <c r="AU52" s="211"/>
      <c r="AV52" s="1260"/>
      <c r="AW52" s="1260"/>
      <c r="AX52" s="1260"/>
      <c r="AY52" s="1260"/>
      <c r="AZ52" s="1260"/>
      <c r="BA52" s="1260"/>
      <c r="BB52" s="1260"/>
      <c r="BC52" s="1260"/>
      <c r="BD52" s="1260"/>
      <c r="BE52" s="1257"/>
      <c r="BF52" s="1331"/>
      <c r="BG52" s="1331"/>
      <c r="BH52" s="1005" t="s">
        <v>1588</v>
      </c>
    </row>
    <row s="4465" customFormat="1" customHeight="1" ht="21.75" hidden="1">
      <c r="A53" s="704"/>
      <c r="B53" s="704">
        <f>InvestmentSources_is_one_block="да"</f>
        <v>0</v>
      </c>
      <c r="C53" s="704"/>
      <c r="D53" s="704"/>
      <c r="E53" s="697">
        <v>22.5</v>
      </c>
      <c r="F53" s="50"/>
      <c r="G53" s="704"/>
      <c r="H53" s="118" t="s">
        <v>345</v>
      </c>
      <c r="I53" s="4462"/>
      <c r="J53" s="4462"/>
      <c r="K53" s="4462"/>
      <c r="L53" s="4462"/>
      <c r="M53" s="4462"/>
      <c r="N53" s="4462"/>
      <c r="O53" s="4462"/>
      <c r="P53" s="4462"/>
      <c r="Q53" s="4462"/>
      <c r="R53" s="4462"/>
      <c r="S53" s="4462"/>
      <c r="T53" s="4458"/>
      <c r="U53" s="4462"/>
      <c r="V53" s="4462"/>
      <c r="W53" s="4462"/>
      <c r="X53" s="4462"/>
      <c r="Y53" s="4462"/>
      <c r="Z53" s="4462"/>
      <c r="AA53" s="4462"/>
      <c r="AB53" s="214" t="s">
        <v>299</v>
      </c>
      <c r="AC53" s="215" t="s">
        <v>1589</v>
      </c>
      <c r="AD53" s="207" t="s">
        <v>936</v>
      </c>
      <c r="AE53" s="209">
        <f>AE54+AE55+AE56</f>
        <v>0</v>
      </c>
      <c r="AF53" s="209">
        <f>AF54+AF55+AF56</f>
        <v>0</v>
      </c>
      <c r="AG53" s="209">
        <f>AG54+AG55+AG56</f>
        <v>0</v>
      </c>
      <c r="AH53" s="209">
        <f>AH54+AH55+AH56</f>
        <v>0</v>
      </c>
      <c r="AI53" s="209">
        <f>AI54+AI55+AI56</f>
        <v>0</v>
      </c>
      <c r="AJ53" s="209">
        <f>AJ54+AJ55+AJ56</f>
        <v>0</v>
      </c>
      <c r="AK53" s="209">
        <f>AK54+AK55+AK56</f>
        <v>0</v>
      </c>
      <c r="AL53" s="209">
        <f>AL54+AL55+AL56</f>
        <v>0</v>
      </c>
      <c r="AM53" s="209">
        <f>AM54+AM55+AM56</f>
        <v>0</v>
      </c>
      <c r="AN53" s="209">
        <f>AN54+AN55+AN56</f>
        <v>0</v>
      </c>
      <c r="AO53" s="209">
        <f>AO54+AO55+AO56</f>
        <v>0</v>
      </c>
      <c r="AP53" s="209">
        <f>AP54+AP55+AP56</f>
        <v>0</v>
      </c>
      <c r="AQ53" s="209">
        <f>AQ54+AQ55+AQ56</f>
        <v>0</v>
      </c>
      <c r="AR53" s="209">
        <f>AR54+AR55+AR56</f>
        <v>0</v>
      </c>
      <c r="AS53" s="209">
        <f>AS54+AS55+AS56</f>
        <v>0</v>
      </c>
      <c r="AT53" s="209">
        <f>AT54+AT55+AT56</f>
        <v>0</v>
      </c>
      <c r="AU53" s="209">
        <f>AU54+AU55+AU56</f>
        <v>0</v>
      </c>
      <c r="AV53" s="209">
        <f>AV54+AV55+AV56</f>
        <v>0</v>
      </c>
      <c r="AW53" s="209">
        <f>AW54+AW55+AW56</f>
        <v>0</v>
      </c>
      <c r="AX53" s="209">
        <f>AX54+AX55+AX56</f>
        <v>0</v>
      </c>
      <c r="AY53" s="209">
        <f>AY54+AY55+AY56</f>
        <v>0</v>
      </c>
      <c r="AZ53" s="209">
        <f>AZ54+AZ55+AZ56</f>
        <v>0</v>
      </c>
      <c r="BA53" s="209">
        <f>BA54+BA55+BA56</f>
        <v>0</v>
      </c>
      <c r="BB53" s="209">
        <f>BB54+BB55+BB56</f>
        <v>0</v>
      </c>
      <c r="BC53" s="209">
        <f>BC54+BC55+BC56</f>
        <v>0</v>
      </c>
      <c r="BD53" s="209">
        <f>BD54+BD55+BD56</f>
        <v>0</v>
      </c>
      <c r="BE53" s="1257"/>
      <c r="BF53" s="704"/>
      <c r="BG53" s="704"/>
      <c r="BH53" s="1059" t="s">
        <v>1590</v>
      </c>
    </row>
    <row s="1656" customFormat="1" customHeight="1" ht="14.25" hidden="1">
      <c r="A54" s="1331"/>
      <c r="B54" s="1223">
        <f>InvestmentSources_is_one_block="да"</f>
        <v>0</v>
      </c>
      <c r="C54" s="1331"/>
      <c r="D54" s="1331"/>
      <c r="E54" s="623">
        <v>15</v>
      </c>
      <c r="F54" s="1194"/>
      <c r="G54" s="1331"/>
      <c r="H54" s="118" t="s">
        <v>584</v>
      </c>
      <c r="I54" s="4457"/>
      <c r="J54" s="4457"/>
      <c r="K54" s="4463"/>
      <c r="L54" s="4463"/>
      <c r="M54" s="4457"/>
      <c r="N54" s="4457"/>
      <c r="O54" s="4457"/>
      <c r="P54" s="4457"/>
      <c r="Q54" s="4457"/>
      <c r="R54" s="4457"/>
      <c r="S54" s="4457"/>
      <c r="T54" s="4458"/>
      <c r="U54" s="4457"/>
      <c r="V54" s="4457"/>
      <c r="W54" s="4457"/>
      <c r="X54" s="4457"/>
      <c r="Y54" s="4457"/>
      <c r="Z54" s="4457"/>
      <c r="AA54" s="4457"/>
      <c r="AB54" s="216" t="s">
        <v>660</v>
      </c>
      <c r="AC54" s="210" t="s">
        <v>1591</v>
      </c>
      <c r="AD54" s="84" t="s">
        <v>936</v>
      </c>
      <c r="AE54" s="1260"/>
      <c r="AF54" s="1260"/>
      <c r="AG54" s="1260"/>
      <c r="AH54" s="1260"/>
      <c r="AI54" s="1260"/>
      <c r="AJ54" s="1260"/>
      <c r="AK54" s="211"/>
      <c r="AL54" s="1260"/>
      <c r="AM54" s="1260"/>
      <c r="AN54" s="1260"/>
      <c r="AO54" s="1260"/>
      <c r="AP54" s="1260"/>
      <c r="AQ54" s="1260"/>
      <c r="AR54" s="1260"/>
      <c r="AS54" s="1260"/>
      <c r="AT54" s="1260"/>
      <c r="AU54" s="211"/>
      <c r="AV54" s="1260"/>
      <c r="AW54" s="1260"/>
      <c r="AX54" s="1260"/>
      <c r="AY54" s="1260"/>
      <c r="AZ54" s="1260"/>
      <c r="BA54" s="1260"/>
      <c r="BB54" s="1260"/>
      <c r="BC54" s="1260"/>
      <c r="BD54" s="1260"/>
      <c r="BE54" s="1257"/>
      <c r="BF54" s="1331"/>
      <c r="BG54" s="1331"/>
      <c r="BH54" s="1005" t="s">
        <v>1592</v>
      </c>
    </row>
    <row s="1656" customFormat="1" customHeight="1" ht="14.25" hidden="1">
      <c r="A55" s="1331"/>
      <c r="B55" s="1223">
        <f>InvestmentSources_is_one_block="да"</f>
        <v>0</v>
      </c>
      <c r="C55" s="1331"/>
      <c r="D55" s="1331"/>
      <c r="E55" s="623">
        <v>15</v>
      </c>
      <c r="F55" s="1194"/>
      <c r="G55" s="1331"/>
      <c r="H55" s="118" t="s">
        <v>587</v>
      </c>
      <c r="I55" s="4457"/>
      <c r="J55" s="4457"/>
      <c r="K55" s="4463"/>
      <c r="L55" s="4463"/>
      <c r="M55" s="4457"/>
      <c r="N55" s="4457"/>
      <c r="O55" s="4457"/>
      <c r="P55" s="4457"/>
      <c r="Q55" s="4457"/>
      <c r="R55" s="4457"/>
      <c r="S55" s="4457"/>
      <c r="T55" s="4458"/>
      <c r="U55" s="4457"/>
      <c r="V55" s="4457"/>
      <c r="W55" s="4457"/>
      <c r="X55" s="4457"/>
      <c r="Y55" s="4457"/>
      <c r="Z55" s="4457"/>
      <c r="AA55" s="4457"/>
      <c r="AB55" s="216" t="s">
        <v>664</v>
      </c>
      <c r="AC55" s="210" t="s">
        <v>1593</v>
      </c>
      <c r="AD55" s="84" t="s">
        <v>936</v>
      </c>
      <c r="AE55" s="1260"/>
      <c r="AF55" s="1260"/>
      <c r="AG55" s="1260"/>
      <c r="AH55" s="1260"/>
      <c r="AI55" s="1260"/>
      <c r="AJ55" s="1260"/>
      <c r="AK55" s="211"/>
      <c r="AL55" s="1260"/>
      <c r="AM55" s="1260"/>
      <c r="AN55" s="1260"/>
      <c r="AO55" s="1260"/>
      <c r="AP55" s="1260"/>
      <c r="AQ55" s="1260"/>
      <c r="AR55" s="1260"/>
      <c r="AS55" s="1260"/>
      <c r="AT55" s="1260"/>
      <c r="AU55" s="211"/>
      <c r="AV55" s="1260"/>
      <c r="AW55" s="1260"/>
      <c r="AX55" s="1260"/>
      <c r="AY55" s="1260"/>
      <c r="AZ55" s="1260"/>
      <c r="BA55" s="1260"/>
      <c r="BB55" s="1260"/>
      <c r="BC55" s="1260"/>
      <c r="BD55" s="1260"/>
      <c r="BE55" s="1257"/>
      <c r="BF55" s="1331"/>
      <c r="BG55" s="1331"/>
      <c r="BH55" s="1005" t="s">
        <v>1594</v>
      </c>
    </row>
    <row s="1656" customFormat="1" customHeight="1" ht="14.25" hidden="1">
      <c r="A56" s="1331"/>
      <c r="B56" s="1223">
        <f>InvestmentSources_is_one_block="да"</f>
        <v>0</v>
      </c>
      <c r="C56" s="1331"/>
      <c r="D56" s="1331"/>
      <c r="E56" s="623">
        <v>15</v>
      </c>
      <c r="F56" s="1194"/>
      <c r="G56" s="1331"/>
      <c r="H56" s="118" t="s">
        <v>1087</v>
      </c>
      <c r="I56" s="4457"/>
      <c r="J56" s="4457"/>
      <c r="K56" s="4457"/>
      <c r="L56" s="4457"/>
      <c r="M56" s="4457"/>
      <c r="N56" s="4457"/>
      <c r="O56" s="4457"/>
      <c r="P56" s="4457"/>
      <c r="Q56" s="4457"/>
      <c r="R56" s="4457"/>
      <c r="S56" s="4457"/>
      <c r="T56" s="4458"/>
      <c r="U56" s="4457"/>
      <c r="V56" s="4457"/>
      <c r="W56" s="4457"/>
      <c r="X56" s="4457"/>
      <c r="Y56" s="4457"/>
      <c r="Z56" s="4457"/>
      <c r="AA56" s="4457"/>
      <c r="AB56" s="216" t="s">
        <v>668</v>
      </c>
      <c r="AC56" s="210" t="s">
        <v>1595</v>
      </c>
      <c r="AD56" s="84" t="s">
        <v>936</v>
      </c>
      <c r="AE56" s="1260"/>
      <c r="AF56" s="1260"/>
      <c r="AG56" s="1260"/>
      <c r="AH56" s="1260"/>
      <c r="AI56" s="1260"/>
      <c r="AJ56" s="1260"/>
      <c r="AK56" s="211"/>
      <c r="AL56" s="1260"/>
      <c r="AM56" s="1260"/>
      <c r="AN56" s="1260"/>
      <c r="AO56" s="1260"/>
      <c r="AP56" s="1260"/>
      <c r="AQ56" s="1260"/>
      <c r="AR56" s="1260"/>
      <c r="AS56" s="1260"/>
      <c r="AT56" s="1260"/>
      <c r="AU56" s="211"/>
      <c r="AV56" s="1260"/>
      <c r="AW56" s="1260"/>
      <c r="AX56" s="1260"/>
      <c r="AY56" s="1260"/>
      <c r="AZ56" s="1260"/>
      <c r="BA56" s="1260"/>
      <c r="BB56" s="1260"/>
      <c r="BC56" s="1260"/>
      <c r="BD56" s="1260"/>
      <c r="BE56" s="1257"/>
      <c r="BF56" s="1331"/>
      <c r="BG56" s="1331"/>
      <c r="BH56" s="1005" t="s">
        <v>1596</v>
      </c>
    </row>
    <row s="1656" customFormat="1" customHeight="1" ht="11.25" hidden="1">
      <c r="A57" s="502"/>
      <c r="B57" s="664"/>
      <c r="C57" s="502"/>
      <c r="D57" s="502"/>
      <c r="E57" s="665">
        <v>0</v>
      </c>
      <c r="F57" s="417"/>
      <c r="G57" s="502"/>
      <c r="H57" s="502"/>
      <c r="I57" s="502"/>
      <c r="J57" s="502"/>
      <c r="K57" s="502"/>
      <c r="L57" s="502"/>
      <c r="M57" s="502"/>
      <c r="N57" s="502"/>
      <c r="O57" s="502"/>
      <c r="P57" s="502"/>
      <c r="Q57" s="502"/>
      <c r="R57" s="502"/>
      <c r="S57" s="502"/>
      <c r="T57" s="502"/>
      <c r="U57" s="502"/>
      <c r="V57" s="502"/>
      <c r="W57" s="502"/>
      <c r="X57" s="502"/>
      <c r="Y57" s="502"/>
      <c r="Z57" s="502"/>
      <c r="AB57" s="0"/>
      <c r="AC57" s="485"/>
      <c r="AD57" s="485"/>
      <c r="AE57" s="485"/>
      <c r="AF57" s="485"/>
      <c r="AG57" s="0"/>
      <c r="AH57" s="0"/>
      <c r="AI57" s="0"/>
      <c r="AJ57" s="0"/>
      <c r="AK57" s="0"/>
      <c r="AL57" s="0"/>
      <c r="AM57" s="0"/>
      <c r="AN57" s="0"/>
      <c r="AO57" s="0"/>
      <c r="AP57" s="0"/>
      <c r="AQ57" s="0"/>
      <c r="AR57" s="0"/>
      <c r="AS57" s="0"/>
      <c r="AT57" s="0"/>
      <c r="AU57" s="0"/>
      <c r="AV57" s="0"/>
      <c r="AW57" s="0"/>
      <c r="AX57" s="0"/>
      <c r="AY57" s="0"/>
      <c r="AZ57" s="0"/>
      <c r="BA57" s="0"/>
      <c r="BB57" s="0"/>
      <c r="BC57" s="0"/>
      <c r="BD57" s="0"/>
      <c r="BE57" s="0"/>
      <c r="BH57" s="1012"/>
    </row>
    <row customHeight="1" ht="14.625" hidden="1">
      <c r="B58" s="1223">
        <f>InvestmentSources_is_one_block="нет"</f>
        <v>1</v>
      </c>
      <c r="E58" s="623">
        <v>15</v>
      </c>
      <c r="F58" s="94" cm="1" t="str">
        <f t="array" ref="F58:F58">X58</f>
        <v>0</v>
      </c>
      <c r="T58" s="468">
        <f>X58&gt;0</f>
        <v>0</v>
      </c>
      <c r="V58" s="118" t="s">
        <v>279</v>
      </c>
      <c r="X58" s="1539">
        <v>0</v>
      </c>
      <c r="AB58" s="238" cm="1" t="str">
        <f t="array" ref="AB58:AB58">INDEX('Общие сведения'!$AG$197:$AG$254,MATCH($X58,'Общие сведения'!$Z$197:$Z$254,0))</f>
        <v>Тариф 0 () - </v>
      </c>
      <c r="AC58" s="839"/>
      <c r="AD58" s="839"/>
      <c r="AE58" s="839"/>
      <c r="AF58" s="839"/>
      <c r="AG58" s="839"/>
      <c r="AH58" s="839"/>
      <c r="AI58" s="839"/>
      <c r="AJ58" s="839"/>
      <c r="AK58" s="839"/>
      <c r="AL58" s="839"/>
      <c r="AM58" s="839"/>
      <c r="AN58" s="839"/>
      <c r="AO58" s="839"/>
      <c r="AP58" s="839"/>
      <c r="AQ58" s="839"/>
      <c r="AR58" s="839"/>
      <c r="AS58" s="839"/>
      <c r="AT58" s="839"/>
      <c r="AU58" s="839"/>
      <c r="AV58" s="839"/>
      <c r="AW58" s="839"/>
      <c r="AX58" s="839"/>
      <c r="AY58" s="839"/>
      <c r="AZ58" s="839"/>
      <c r="BA58" s="839"/>
      <c r="BB58" s="839"/>
      <c r="BC58" s="839"/>
      <c r="BD58" s="839"/>
      <c r="BE58" s="839"/>
    </row>
    <row s="704" customFormat="1" customHeight="1" ht="21.9375" hidden="1">
      <c r="B59" s="704">
        <f>InvestmentSources_is_one_block="нет"</f>
        <v>1</v>
      </c>
      <c r="E59" s="697">
        <v>22.5</v>
      </c>
      <c r="F59" s="50" cm="1" t="str">
        <f t="array" ref="F59:F59">OFFSET(E59,-1,1)</f>
        <v>0</v>
      </c>
      <c r="H59" s="118" t="s">
        <v>344</v>
      </c>
      <c r="T59" s="468" cm="1" t="str">
        <f t="array" ref="T59:T59">T58</f>
        <v>false</v>
      </c>
      <c r="AB59" s="214">
        <v>1</v>
      </c>
      <c r="AC59" s="208" t="s">
        <v>1518</v>
      </c>
      <c r="AD59" s="207" t="s">
        <v>936</v>
      </c>
      <c r="AE59" s="209">
        <f>AE60+AE70+AE74+AE78</f>
        <v>0</v>
      </c>
      <c r="AF59" s="209">
        <f>AF60+AF70+AF74+AF78</f>
        <v>0</v>
      </c>
      <c r="AG59" s="209">
        <f>AG60+AG70+AG74+AG78</f>
        <v>0</v>
      </c>
      <c r="AH59" s="209">
        <f>AH60+AH70+AH74+AH78</f>
        <v>0</v>
      </c>
      <c r="AI59" s="209">
        <f>AI60+AI70+AI74+AI78</f>
        <v>0</v>
      </c>
      <c r="AJ59" s="209">
        <f>AJ60+AJ70+AJ74+AJ78</f>
        <v>0</v>
      </c>
      <c r="AK59" s="209">
        <f>AK60+AK70+AK74+AK78</f>
        <v>0</v>
      </c>
      <c r="AL59" s="209">
        <f>AL60+AL70+AL74+AL78</f>
        <v>0</v>
      </c>
      <c r="AM59" s="209">
        <f>AM60+AM70+AM74+AM78</f>
        <v>0</v>
      </c>
      <c r="AN59" s="209">
        <f>AN60+AN70+AN74+AN78</f>
        <v>0</v>
      </c>
      <c r="AO59" s="209">
        <f>AO60+AO70+AO74+AO78</f>
        <v>0</v>
      </c>
      <c r="AP59" s="209">
        <f>AP60+AP70+AP74+AP78</f>
        <v>0</v>
      </c>
      <c r="AQ59" s="209">
        <f>AQ60+AQ70+AQ74+AQ78</f>
        <v>0</v>
      </c>
      <c r="AR59" s="209">
        <f>AR60+AR70+AR74+AR78</f>
        <v>0</v>
      </c>
      <c r="AS59" s="209">
        <f>AS60+AS70+AS74+AS78</f>
        <v>0</v>
      </c>
      <c r="AT59" s="209">
        <f>AT60+AT70+AT74+AT78</f>
        <v>0</v>
      </c>
      <c r="AU59" s="209">
        <f>AU60+AU70+AU74+AU78</f>
        <v>0</v>
      </c>
      <c r="AV59" s="209">
        <f>AV60+AV70+AV74+AV78</f>
        <v>0</v>
      </c>
      <c r="AW59" s="209">
        <f>AW60+AW70+AW74+AW78</f>
        <v>0</v>
      </c>
      <c r="AX59" s="209">
        <f>AX60+AX70+AX74+AX78</f>
        <v>0</v>
      </c>
      <c r="AY59" s="209">
        <f>AY60+AY70+AY74+AY78</f>
        <v>0</v>
      </c>
      <c r="AZ59" s="209">
        <f>AZ60+AZ70+AZ74+AZ78</f>
        <v>0</v>
      </c>
      <c r="BA59" s="209">
        <f>BA60+BA70+BA74+BA78</f>
        <v>0</v>
      </c>
      <c r="BB59" s="209">
        <f>BB60+BB70+BB74+BB78</f>
        <v>0</v>
      </c>
      <c r="BC59" s="209">
        <f>BC60+BC70+BC74+BC78</f>
        <v>0</v>
      </c>
      <c r="BD59" s="209">
        <f>BD60+BD70+BD74+BD78</f>
        <v>0</v>
      </c>
      <c r="BE59" s="1257"/>
      <c r="BH59" s="1059" t="s">
        <v>1519</v>
      </c>
    </row>
    <row customHeight="1" ht="14.625" hidden="1">
      <c r="B60" s="1223">
        <f>InvestmentSources_is_one_block="нет"</f>
        <v>1</v>
      </c>
      <c r="E60" s="623">
        <v>15</v>
      </c>
      <c r="F60" s="50" cm="1" t="str">
        <f t="array" ref="F60:F60">OFFSET(E60,-1,1)</f>
        <v>0</v>
      </c>
      <c r="H60" s="118" t="s">
        <v>566</v>
      </c>
      <c r="T60" s="468" cm="1" t="str">
        <f t="array" ref="T60:T60">T59</f>
        <v>false</v>
      </c>
      <c r="AB60" s="216" t="s">
        <v>1067</v>
      </c>
      <c r="AC60" s="210" t="s">
        <v>1520</v>
      </c>
      <c r="AD60" s="84" t="s">
        <v>936</v>
      </c>
      <c r="AE60" s="255">
        <f>AE61+AE62+AE63+AE64+AE65</f>
        <v>0</v>
      </c>
      <c r="AF60" s="255">
        <f>AF61+AF62+AF63+AF64+AF65</f>
        <v>0</v>
      </c>
      <c r="AG60" s="255">
        <f>AG61+AG62+AG63+AG64+AG65</f>
        <v>0</v>
      </c>
      <c r="AH60" s="255">
        <f>AH61+AH62+AH63+AH64+AH65</f>
        <v>0</v>
      </c>
      <c r="AI60" s="255">
        <f>AI61+AI62+AI63+AI64+AI65</f>
        <v>0</v>
      </c>
      <c r="AJ60" s="255">
        <f>AJ61+AJ62+AJ63+AJ64+AJ65</f>
        <v>0</v>
      </c>
      <c r="AK60" s="255">
        <f>AK61+AK62+AK63+AK64+AK65</f>
        <v>0</v>
      </c>
      <c r="AL60" s="255">
        <f>AL61+AL62+AL63+AL64+AL65</f>
        <v>0</v>
      </c>
      <c r="AM60" s="255">
        <f>AM61+AM62+AM63+AM64+AM65</f>
        <v>0</v>
      </c>
      <c r="AN60" s="255">
        <f>AN61+AN62+AN63+AN64+AN65</f>
        <v>0</v>
      </c>
      <c r="AO60" s="255">
        <f>AO61+AO62+AO63+AO64+AO65</f>
        <v>0</v>
      </c>
      <c r="AP60" s="255">
        <f>AP61+AP62+AP63+AP64+AP65</f>
        <v>0</v>
      </c>
      <c r="AQ60" s="255">
        <f>AQ61+AQ62+AQ63+AQ64+AQ65</f>
        <v>0</v>
      </c>
      <c r="AR60" s="255">
        <f>AR61+AR62+AR63+AR64+AR65</f>
        <v>0</v>
      </c>
      <c r="AS60" s="255">
        <f>AS61+AS62+AS63+AS64+AS65</f>
        <v>0</v>
      </c>
      <c r="AT60" s="255">
        <f>AT61+AT62+AT63+AT64+AT65</f>
        <v>0</v>
      </c>
      <c r="AU60" s="255">
        <f>AU61+AU62+AU63+AU64+AU65</f>
        <v>0</v>
      </c>
      <c r="AV60" s="255">
        <f>AV61+AV62+AV63+AV64+AV65</f>
        <v>0</v>
      </c>
      <c r="AW60" s="255">
        <f>AW61+AW62+AW63+AW64+AW65</f>
        <v>0</v>
      </c>
      <c r="AX60" s="255">
        <f>AX61+AX62+AX63+AX64+AX65</f>
        <v>0</v>
      </c>
      <c r="AY60" s="255">
        <f>AY61+AY62+AY63+AY64+AY65</f>
        <v>0</v>
      </c>
      <c r="AZ60" s="255">
        <f>AZ61+AZ62+AZ63+AZ64+AZ65</f>
        <v>0</v>
      </c>
      <c r="BA60" s="255">
        <f>BA61+BA62+BA63+BA64+BA65</f>
        <v>0</v>
      </c>
      <c r="BB60" s="255">
        <f>BB61+BB62+BB63+BB64+BB65</f>
        <v>0</v>
      </c>
      <c r="BC60" s="255">
        <f>BC61+BC62+BC63+BC64+BC65</f>
        <v>0</v>
      </c>
      <c r="BD60" s="255">
        <f>BD61+BD62+BD63+BD64+BD65</f>
        <v>0</v>
      </c>
      <c r="BE60" s="1257"/>
      <c r="BH60" s="1005" t="s">
        <v>1521</v>
      </c>
    </row>
    <row customHeight="1" ht="14.625" hidden="1">
      <c r="B61" s="1223">
        <f>InvestmentSources_is_one_block="нет"</f>
        <v>1</v>
      </c>
      <c r="E61" s="623">
        <v>15</v>
      </c>
      <c r="F61" s="50" cm="1" t="str">
        <f t="array" ref="F61:F61">OFFSET(E61,-1,1)</f>
        <v>0</v>
      </c>
      <c r="H61" s="118" t="s">
        <v>1197</v>
      </c>
      <c r="T61" s="468" cm="1" t="str">
        <f t="array" ref="T61:T61">T60</f>
        <v>false</v>
      </c>
      <c r="AB61" s="216" t="s">
        <v>1198</v>
      </c>
      <c r="AC61" s="217" t="s">
        <v>1522</v>
      </c>
      <c r="AD61" s="84" t="s">
        <v>936</v>
      </c>
      <c r="AE61" s="1260"/>
      <c r="AF61" s="1260"/>
      <c r="AG61" s="1260"/>
      <c r="AH61" s="1260"/>
      <c r="AI61" s="1260"/>
      <c r="AJ61" s="1260"/>
      <c r="AK61" s="3109"/>
      <c r="AL61" s="1260"/>
      <c r="AM61" s="1260"/>
      <c r="AN61" s="1260"/>
      <c r="AO61" s="1260"/>
      <c r="AP61" s="1260"/>
      <c r="AQ61" s="1260"/>
      <c r="AR61" s="1260"/>
      <c r="AS61" s="1260"/>
      <c r="AT61" s="1260"/>
      <c r="AU61" s="3109"/>
      <c r="AV61" s="1260"/>
      <c r="AW61" s="1260"/>
      <c r="AX61" s="1260"/>
      <c r="AY61" s="1260"/>
      <c r="AZ61" s="1260"/>
      <c r="BA61" s="1260"/>
      <c r="BB61" s="1260"/>
      <c r="BC61" s="1260"/>
      <c r="BD61" s="1260"/>
      <c r="BE61" s="1257"/>
      <c r="BH61" s="1005" t="s">
        <v>1435</v>
      </c>
    </row>
    <row customHeight="1" ht="14.625" hidden="1">
      <c r="B62" s="1223">
        <f>InvestmentSources_is_one_block="нет"</f>
        <v>1</v>
      </c>
      <c r="E62" s="623">
        <v>15</v>
      </c>
      <c r="F62" s="50" cm="1" t="str">
        <f t="array" ref="F62:F62">OFFSET(E62,-1,1)</f>
        <v>0</v>
      </c>
      <c r="H62" s="118" t="s">
        <v>1201</v>
      </c>
      <c r="K62" s="120" t="str">
        <f>F62&amp;"1komm"</f>
        <v>01komm</v>
      </c>
      <c r="L62" s="926" cm="1" t="str">
        <f t="array" ref="L62:L62">BE62</f>
        <v>0</v>
      </c>
      <c r="T62" s="468" cm="1" t="str">
        <f t="array" ref="T62:T62">T61</f>
        <v>false</v>
      </c>
      <c r="AB62" s="216" t="s">
        <v>1202</v>
      </c>
      <c r="AC62" s="217" t="s">
        <v>1523</v>
      </c>
      <c r="AD62" s="84" t="s">
        <v>936</v>
      </c>
      <c r="AE62" s="1260"/>
      <c r="AF62" s="1260"/>
      <c r="AG62" s="1260"/>
      <c r="AH62" s="1260"/>
      <c r="AI62" s="1260"/>
      <c r="AJ62" s="1260"/>
      <c r="AK62" s="3109"/>
      <c r="AL62" s="1260"/>
      <c r="AM62" s="1260"/>
      <c r="AN62" s="1260"/>
      <c r="AO62" s="1260"/>
      <c r="AP62" s="1260"/>
      <c r="AQ62" s="1260"/>
      <c r="AR62" s="1260"/>
      <c r="AS62" s="1260"/>
      <c r="AT62" s="1260"/>
      <c r="AU62" s="3109"/>
      <c r="AV62" s="1260"/>
      <c r="AW62" s="1260"/>
      <c r="AX62" s="1260"/>
      <c r="AY62" s="1260"/>
      <c r="AZ62" s="1260"/>
      <c r="BA62" s="1260"/>
      <c r="BB62" s="1260"/>
      <c r="BC62" s="1260"/>
      <c r="BD62" s="1260"/>
      <c r="BE62" s="1257"/>
      <c r="BH62" s="1005" t="s">
        <v>1524</v>
      </c>
    </row>
    <row customHeight="1" ht="14.625" hidden="1">
      <c r="B63" s="1223">
        <f>InvestmentSources_is_one_block="нет"</f>
        <v>1</v>
      </c>
      <c r="E63" s="623">
        <v>15</v>
      </c>
      <c r="F63" s="50" cm="1" t="str">
        <f t="array" ref="F63:F63">OFFSET(E63,-1,1)</f>
        <v>0</v>
      </c>
      <c r="H63" s="118" t="s">
        <v>1525</v>
      </c>
      <c r="T63" s="468" cm="1" t="str">
        <f t="array" ref="T63:T63">T62</f>
        <v>false</v>
      </c>
      <c r="AB63" s="216" t="s">
        <v>1526</v>
      </c>
      <c r="AC63" s="217" t="s">
        <v>1527</v>
      </c>
      <c r="AD63" s="84" t="s">
        <v>936</v>
      </c>
      <c r="AE63" s="1260"/>
      <c r="AF63" s="1260"/>
      <c r="AG63" s="1260"/>
      <c r="AH63" s="1260"/>
      <c r="AI63" s="1260"/>
      <c r="AJ63" s="1260"/>
      <c r="AK63" s="3109"/>
      <c r="AL63" s="1260"/>
      <c r="AM63" s="1260"/>
      <c r="AN63" s="1260"/>
      <c r="AO63" s="1260"/>
      <c r="AP63" s="1260"/>
      <c r="AQ63" s="1260"/>
      <c r="AR63" s="1260"/>
      <c r="AS63" s="1260"/>
      <c r="AT63" s="1260"/>
      <c r="AU63" s="3109"/>
      <c r="AV63" s="1260"/>
      <c r="AW63" s="1260"/>
      <c r="AX63" s="1260"/>
      <c r="AY63" s="1260"/>
      <c r="AZ63" s="1260"/>
      <c r="BA63" s="1260"/>
      <c r="BB63" s="1260"/>
      <c r="BC63" s="1260"/>
      <c r="BD63" s="1260"/>
      <c r="BE63" s="1257"/>
      <c r="BH63" s="1005" t="s">
        <v>1528</v>
      </c>
    </row>
    <row customHeight="1" ht="14.625" hidden="1">
      <c r="B64" s="1223">
        <f>InvestmentSources_is_one_block="нет"</f>
        <v>1</v>
      </c>
      <c r="E64" s="623">
        <v>15</v>
      </c>
      <c r="F64" s="50" cm="1" t="str">
        <f t="array" ref="F64:F64">OFFSET(E64,-1,1)</f>
        <v>0</v>
      </c>
      <c r="H64" s="118" t="s">
        <v>1529</v>
      </c>
      <c r="T64" s="468" cm="1" t="str">
        <f t="array" ref="T64:T64">T63</f>
        <v>false</v>
      </c>
      <c r="AB64" s="216" t="s">
        <v>1530</v>
      </c>
      <c r="AC64" s="217" t="s">
        <v>1531</v>
      </c>
      <c r="AD64" s="84" t="s">
        <v>936</v>
      </c>
      <c r="AE64" s="1260"/>
      <c r="AF64" s="1260"/>
      <c r="AG64" s="1260"/>
      <c r="AH64" s="1260"/>
      <c r="AI64" s="1260"/>
      <c r="AJ64" s="1260"/>
      <c r="AK64" s="3109"/>
      <c r="AL64" s="1260"/>
      <c r="AM64" s="1260"/>
      <c r="AN64" s="1260"/>
      <c r="AO64" s="1260"/>
      <c r="AP64" s="1260"/>
      <c r="AQ64" s="1260"/>
      <c r="AR64" s="1260"/>
      <c r="AS64" s="1260"/>
      <c r="AT64" s="1260"/>
      <c r="AU64" s="3109"/>
      <c r="AV64" s="1260"/>
      <c r="AW64" s="1260"/>
      <c r="AX64" s="1260"/>
      <c r="AY64" s="1260"/>
      <c r="AZ64" s="1260"/>
      <c r="BA64" s="1260"/>
      <c r="BB64" s="1260"/>
      <c r="BC64" s="1260"/>
      <c r="BD64" s="1260"/>
      <c r="BE64" s="1257"/>
      <c r="BH64" s="1005" t="s">
        <v>1532</v>
      </c>
    </row>
    <row customHeight="1" ht="21.9375" hidden="1">
      <c r="B65" s="1223">
        <f>InvestmentSources_is_one_block="нет"</f>
        <v>1</v>
      </c>
      <c r="E65" s="623">
        <v>22.5</v>
      </c>
      <c r="F65" s="50" cm="1" t="str">
        <f t="array" ref="F65:F65">OFFSET(E65,-1,1)</f>
        <v>0</v>
      </c>
      <c r="T65" s="468" cm="1" t="str">
        <f t="array" ref="T65:T65">T64</f>
        <v>false</v>
      </c>
      <c r="AB65" s="216" t="s">
        <v>1533</v>
      </c>
      <c r="AC65" s="217" t="s">
        <v>1534</v>
      </c>
      <c r="AD65" s="84" t="s">
        <v>936</v>
      </c>
      <c r="AE65" s="1260">
        <f>AE66+AE67+AE68+AE69</f>
        <v>0</v>
      </c>
      <c r="AF65" s="1260">
        <f>AF66+AF67+AF68+AF69</f>
        <v>0</v>
      </c>
      <c r="AG65" s="1260">
        <f>AG66+AG67+AG68+AG69</f>
        <v>0</v>
      </c>
      <c r="AH65" s="1260">
        <f>AH66+AH67+AH68+AH69</f>
        <v>0</v>
      </c>
      <c r="AI65" s="1260">
        <f>AI66+AI67+AI68+AI69</f>
        <v>0</v>
      </c>
      <c r="AJ65" s="1260">
        <f>AJ66+AJ67+AJ68+AJ69</f>
        <v>0</v>
      </c>
      <c r="AK65" s="3109">
        <f>AK66+AK67+AK68+AK69</f>
        <v>0</v>
      </c>
      <c r="AL65" s="1260">
        <f>AL66+AL67+AL68+AL69</f>
        <v>0</v>
      </c>
      <c r="AM65" s="1260">
        <f>AM66+AM67+AM68+AM69</f>
        <v>0</v>
      </c>
      <c r="AN65" s="1260">
        <f>AN66+AN67+AN68+AN69</f>
        <v>0</v>
      </c>
      <c r="AO65" s="1260">
        <f>AO66+AO67+AO68+AO69</f>
        <v>0</v>
      </c>
      <c r="AP65" s="1260">
        <f>AP66+AP67+AP68+AP69</f>
        <v>0</v>
      </c>
      <c r="AQ65" s="1260">
        <f>AQ66+AQ67+AQ68+AQ69</f>
        <v>0</v>
      </c>
      <c r="AR65" s="1260">
        <f>AR66+AR67+AR68+AR69</f>
        <v>0</v>
      </c>
      <c r="AS65" s="1260">
        <f>AS66+AS67+AS68+AS69</f>
        <v>0</v>
      </c>
      <c r="AT65" s="1260">
        <f>AT66+AT67+AT68+AT69</f>
        <v>0</v>
      </c>
      <c r="AU65" s="3109">
        <f>AU66+AU67+AU68+AU69</f>
        <v>0</v>
      </c>
      <c r="AV65" s="1260">
        <f>AV66+AV67+AV68+AV69</f>
        <v>0</v>
      </c>
      <c r="AW65" s="1260">
        <f>AW66+AW67+AW68+AW69</f>
        <v>0</v>
      </c>
      <c r="AX65" s="1260">
        <f>AX66+AX67+AX68+AX69</f>
        <v>0</v>
      </c>
      <c r="AY65" s="1260">
        <f>AY66+AY67+AY68+AY69</f>
        <v>0</v>
      </c>
      <c r="AZ65" s="1260">
        <f>AZ66+AZ67+AZ68+AZ69</f>
        <v>0</v>
      </c>
      <c r="BA65" s="1260">
        <f>BA66+BA67+BA68+BA69</f>
        <v>0</v>
      </c>
      <c r="BB65" s="1260">
        <f>BB66+BB67+BB68+BB69</f>
        <v>0</v>
      </c>
      <c r="BC65" s="1260">
        <f>BC66+BC67+BC68+BC69</f>
        <v>0</v>
      </c>
      <c r="BD65" s="1260">
        <f>BD66+BD67+BD68+BD69</f>
        <v>0</v>
      </c>
      <c r="BE65" s="1257"/>
      <c r="BH65" s="1005" t="s">
        <v>1535</v>
      </c>
    </row>
    <row customHeight="1" ht="44.606249999999996" hidden="1">
      <c r="B66" s="1223">
        <f>InvestmentSources_is_one_block="нет"</f>
        <v>1</v>
      </c>
      <c r="E66" s="623">
        <v>45.75</v>
      </c>
      <c r="F66" s="50" cm="1" t="str">
        <f t="array" ref="F66:F66">OFFSET(E66,-1,1)</f>
        <v>0</v>
      </c>
      <c r="T66" s="468" cm="1" t="str">
        <f t="array" ref="T66:T66">T65</f>
        <v>false</v>
      </c>
      <c r="AB66" s="216" t="s">
        <v>1536</v>
      </c>
      <c r="AC66" s="775" t="s">
        <v>1537</v>
      </c>
      <c r="AD66" s="84" t="s">
        <v>936</v>
      </c>
      <c r="AE66" s="1260"/>
      <c r="AF66" s="1260"/>
      <c r="AG66" s="1260"/>
      <c r="AH66" s="1260"/>
      <c r="AI66" s="1260"/>
      <c r="AJ66" s="1260"/>
      <c r="AK66" s="3109"/>
      <c r="AL66" s="1260"/>
      <c r="AM66" s="1260"/>
      <c r="AN66" s="1260"/>
      <c r="AO66" s="1260"/>
      <c r="AP66" s="1260"/>
      <c r="AQ66" s="1260"/>
      <c r="AR66" s="1260"/>
      <c r="AS66" s="1260"/>
      <c r="AT66" s="1260"/>
      <c r="AU66" s="3109"/>
      <c r="AV66" s="1260"/>
      <c r="AW66" s="1260"/>
      <c r="AX66" s="1260"/>
      <c r="AY66" s="1260"/>
      <c r="AZ66" s="1260"/>
      <c r="BA66" s="1260"/>
      <c r="BB66" s="1260"/>
      <c r="BC66" s="1260"/>
      <c r="BD66" s="1260"/>
      <c r="BE66" s="1257"/>
      <c r="BH66" s="1005" t="s">
        <v>1538</v>
      </c>
    </row>
    <row customHeight="1" ht="44.606249999999996" hidden="1">
      <c r="B67" s="1223">
        <f>InvestmentSources_is_one_block="нет"</f>
        <v>1</v>
      </c>
      <c r="E67" s="623">
        <v>45.75</v>
      </c>
      <c r="F67" s="50" cm="1" t="str">
        <f t="array" ref="F67:F67">OFFSET(E67,-1,1)</f>
        <v>0</v>
      </c>
      <c r="T67" s="468" cm="1" t="str">
        <f t="array" ref="T67:T67">T66</f>
        <v>false</v>
      </c>
      <c r="AB67" s="216" t="s">
        <v>1539</v>
      </c>
      <c r="AC67" s="775" t="s">
        <v>1540</v>
      </c>
      <c r="AD67" s="84" t="s">
        <v>936</v>
      </c>
      <c r="AE67" s="1260"/>
      <c r="AF67" s="1260"/>
      <c r="AG67" s="1260"/>
      <c r="AH67" s="1260"/>
      <c r="AI67" s="1260"/>
      <c r="AJ67" s="1260"/>
      <c r="AK67" s="3109"/>
      <c r="AL67" s="1260"/>
      <c r="AM67" s="1260"/>
      <c r="AN67" s="1260"/>
      <c r="AO67" s="1260"/>
      <c r="AP67" s="1260"/>
      <c r="AQ67" s="1260"/>
      <c r="AR67" s="1260"/>
      <c r="AS67" s="1260"/>
      <c r="AT67" s="1260"/>
      <c r="AU67" s="3109"/>
      <c r="AV67" s="1260"/>
      <c r="AW67" s="1260"/>
      <c r="AX67" s="1260"/>
      <c r="AY67" s="1260"/>
      <c r="AZ67" s="1260"/>
      <c r="BA67" s="1260"/>
      <c r="BB67" s="1260"/>
      <c r="BC67" s="1260"/>
      <c r="BD67" s="1260"/>
      <c r="BE67" s="1257"/>
      <c r="BH67" s="1005" t="s">
        <v>1541</v>
      </c>
    </row>
    <row customHeight="1" ht="44.606249999999996" hidden="1">
      <c r="B68" s="1223">
        <f>InvestmentSources_is_one_block="нет"</f>
        <v>1</v>
      </c>
      <c r="E68" s="623">
        <v>45.75</v>
      </c>
      <c r="F68" s="50" cm="1" t="str">
        <f t="array" ref="F68:F68">OFFSET(E68,-1,1)</f>
        <v>0</v>
      </c>
      <c r="T68" s="468" cm="1" t="str">
        <f t="array" ref="T68:T68">T67</f>
        <v>false</v>
      </c>
      <c r="AB68" s="216" t="s">
        <v>1542</v>
      </c>
      <c r="AC68" s="775" t="s">
        <v>1543</v>
      </c>
      <c r="AD68" s="84" t="s">
        <v>936</v>
      </c>
      <c r="AE68" s="1260"/>
      <c r="AF68" s="1260"/>
      <c r="AG68" s="1260"/>
      <c r="AH68" s="1260"/>
      <c r="AI68" s="1260"/>
      <c r="AJ68" s="1260"/>
      <c r="AK68" s="3109"/>
      <c r="AL68" s="1260"/>
      <c r="AM68" s="1260"/>
      <c r="AN68" s="1260"/>
      <c r="AO68" s="1260"/>
      <c r="AP68" s="1260"/>
      <c r="AQ68" s="1260"/>
      <c r="AR68" s="1260"/>
      <c r="AS68" s="1260"/>
      <c r="AT68" s="1260"/>
      <c r="AU68" s="3109"/>
      <c r="AV68" s="1260"/>
      <c r="AW68" s="1260"/>
      <c r="AX68" s="1260"/>
      <c r="AY68" s="1260"/>
      <c r="AZ68" s="1260"/>
      <c r="BA68" s="1260"/>
      <c r="BB68" s="1260"/>
      <c r="BC68" s="1260"/>
      <c r="BD68" s="1260"/>
      <c r="BE68" s="1257"/>
      <c r="BH68" s="1005" t="s">
        <v>1544</v>
      </c>
    </row>
    <row customHeight="1" ht="21.9375" hidden="1">
      <c r="B69" s="1223">
        <f>InvestmentSources_is_one_block="нет"</f>
        <v>1</v>
      </c>
      <c r="E69" s="623">
        <v>22.5</v>
      </c>
      <c r="F69" s="50" cm="1" t="str">
        <f t="array" ref="F69:F69">OFFSET(E69,-1,1)</f>
        <v>0</v>
      </c>
      <c r="T69" s="468" cm="1" t="str">
        <f t="array" ref="T69:T69">T68</f>
        <v>false</v>
      </c>
      <c r="AB69" s="216" t="s">
        <v>1545</v>
      </c>
      <c r="AC69" s="775" t="s">
        <v>1546</v>
      </c>
      <c r="AD69" s="84" t="s">
        <v>936</v>
      </c>
      <c r="AE69" s="1260"/>
      <c r="AF69" s="1260"/>
      <c r="AG69" s="1260"/>
      <c r="AH69" s="1260"/>
      <c r="AI69" s="1260"/>
      <c r="AJ69" s="1260"/>
      <c r="AK69" s="3109"/>
      <c r="AL69" s="1260"/>
      <c r="AM69" s="1260"/>
      <c r="AN69" s="1260"/>
      <c r="AO69" s="1260"/>
      <c r="AP69" s="1260"/>
      <c r="AQ69" s="1260"/>
      <c r="AR69" s="1260"/>
      <c r="AS69" s="1260"/>
      <c r="AT69" s="1260"/>
      <c r="AU69" s="3109"/>
      <c r="AV69" s="1260"/>
      <c r="AW69" s="1260"/>
      <c r="AX69" s="1260"/>
      <c r="AY69" s="1260"/>
      <c r="AZ69" s="1260"/>
      <c r="BA69" s="1260"/>
      <c r="BB69" s="1260"/>
      <c r="BC69" s="1260"/>
      <c r="BD69" s="1260"/>
      <c r="BE69" s="1257"/>
      <c r="BH69" s="1005" t="s">
        <v>1547</v>
      </c>
    </row>
    <row customHeight="1" ht="14.625" hidden="1">
      <c r="B70" s="1223">
        <f>InvestmentSources_is_one_block="нет"</f>
        <v>1</v>
      </c>
      <c r="E70" s="623">
        <v>15</v>
      </c>
      <c r="F70" s="50" cm="1" t="str">
        <f t="array" ref="F70:F70">OFFSET(E70,-1,1)</f>
        <v>0</v>
      </c>
      <c r="H70" s="118" t="s">
        <v>570</v>
      </c>
      <c r="T70" s="468" cm="1" t="str">
        <f t="array" ref="T70:T70">T69</f>
        <v>false</v>
      </c>
      <c r="AB70" s="216" t="s">
        <v>1070</v>
      </c>
      <c r="AC70" s="210" t="s">
        <v>1548</v>
      </c>
      <c r="AD70" s="84" t="s">
        <v>936</v>
      </c>
      <c r="AE70" s="255">
        <f>AE71+AE72+AE73</f>
        <v>0</v>
      </c>
      <c r="AF70" s="255">
        <f>AF71+AF72+AF73</f>
        <v>0</v>
      </c>
      <c r="AG70" s="255">
        <f>AG71+AG72+AG73</f>
        <v>0</v>
      </c>
      <c r="AH70" s="255">
        <f>AH71+AH72+AH73</f>
        <v>0</v>
      </c>
      <c r="AI70" s="255">
        <f>AI71+AI72+AI73</f>
        <v>0</v>
      </c>
      <c r="AJ70" s="255">
        <f>AJ71+AJ72+AJ73</f>
        <v>0</v>
      </c>
      <c r="AK70" s="255">
        <f>AK71+AK72+AK73</f>
        <v>0</v>
      </c>
      <c r="AL70" s="255">
        <f>AL71+AL72+AL73</f>
        <v>0</v>
      </c>
      <c r="AM70" s="255">
        <f>AM71+AM72+AM73</f>
        <v>0</v>
      </c>
      <c r="AN70" s="255">
        <f>AN71+AN72+AN73</f>
        <v>0</v>
      </c>
      <c r="AO70" s="255">
        <f>AO71+AO72+AO73</f>
        <v>0</v>
      </c>
      <c r="AP70" s="255">
        <f>AP71+AP72+AP73</f>
        <v>0</v>
      </c>
      <c r="AQ70" s="255">
        <f>AQ71+AQ72+AQ73</f>
        <v>0</v>
      </c>
      <c r="AR70" s="255">
        <f>AR71+AR72+AR73</f>
        <v>0</v>
      </c>
      <c r="AS70" s="255">
        <f>AS71+AS72+AS73</f>
        <v>0</v>
      </c>
      <c r="AT70" s="255">
        <f>AT71+AT72+AT73</f>
        <v>0</v>
      </c>
      <c r="AU70" s="255">
        <f>AU71+AU72+AU73</f>
        <v>0</v>
      </c>
      <c r="AV70" s="255">
        <f>AV71+AV72+AV73</f>
        <v>0</v>
      </c>
      <c r="AW70" s="255">
        <f>AW71+AW72+AW73</f>
        <v>0</v>
      </c>
      <c r="AX70" s="255">
        <f>AX71+AX72+AX73</f>
        <v>0</v>
      </c>
      <c r="AY70" s="255">
        <f>AY71+AY72+AY73</f>
        <v>0</v>
      </c>
      <c r="AZ70" s="255">
        <f>AZ71+AZ72+AZ73</f>
        <v>0</v>
      </c>
      <c r="BA70" s="255">
        <f>BA71+BA72+BA73</f>
        <v>0</v>
      </c>
      <c r="BB70" s="255">
        <f>BB71+BB72+BB73</f>
        <v>0</v>
      </c>
      <c r="BC70" s="255">
        <f>BC71+BC72+BC73</f>
        <v>0</v>
      </c>
      <c r="BD70" s="255">
        <f>BD71+BD72+BD73</f>
        <v>0</v>
      </c>
      <c r="BE70" s="1257"/>
      <c r="BH70" s="1005" t="s">
        <v>1549</v>
      </c>
    </row>
    <row customHeight="1" ht="14.625" hidden="1">
      <c r="B71" s="1223">
        <f>InvestmentSources_is_one_block="нет"</f>
        <v>1</v>
      </c>
      <c r="E71" s="623">
        <v>15</v>
      </c>
      <c r="F71" s="50" cm="1" t="str">
        <f t="array" ref="F71:F71">OFFSET(E71,-1,1)</f>
        <v>0</v>
      </c>
      <c r="H71" s="118" t="s">
        <v>1550</v>
      </c>
      <c r="T71" s="468" cm="1" t="str">
        <f t="array" ref="T71:T71">T70</f>
        <v>false</v>
      </c>
      <c r="AB71" s="216" t="s">
        <v>1551</v>
      </c>
      <c r="AC71" s="217" t="s">
        <v>1552</v>
      </c>
      <c r="AD71" s="84" t="s">
        <v>936</v>
      </c>
      <c r="AE71" s="1260"/>
      <c r="AF71" s="1260"/>
      <c r="AG71" s="1260"/>
      <c r="AH71" s="1260"/>
      <c r="AI71" s="1260"/>
      <c r="AJ71" s="1260"/>
      <c r="AK71" s="3109"/>
      <c r="AL71" s="1260"/>
      <c r="AM71" s="1260"/>
      <c r="AN71" s="1260"/>
      <c r="AO71" s="1260"/>
      <c r="AP71" s="1260"/>
      <c r="AQ71" s="1260"/>
      <c r="AR71" s="1260"/>
      <c r="AS71" s="1260"/>
      <c r="AT71" s="1260"/>
      <c r="AU71" s="3109"/>
      <c r="AV71" s="1260"/>
      <c r="AW71" s="1260"/>
      <c r="AX71" s="1260"/>
      <c r="AY71" s="1260"/>
      <c r="AZ71" s="1260"/>
      <c r="BA71" s="1260"/>
      <c r="BB71" s="1260"/>
      <c r="BC71" s="1260"/>
      <c r="BD71" s="1260"/>
      <c r="BE71" s="1257"/>
      <c r="BH71" s="1005" t="s">
        <v>1456</v>
      </c>
    </row>
    <row customHeight="1" ht="14.625" hidden="1">
      <c r="B72" s="1223">
        <f>InvestmentSources_is_one_block="нет"</f>
        <v>1</v>
      </c>
      <c r="E72" s="623">
        <v>15</v>
      </c>
      <c r="F72" s="50" cm="1" t="str">
        <f t="array" ref="F72:F72">OFFSET(E72,-1,1)</f>
        <v>0</v>
      </c>
      <c r="H72" s="118" t="s">
        <v>1553</v>
      </c>
      <c r="T72" s="468" cm="1" t="str">
        <f t="array" ref="T72:T72">T71</f>
        <v>false</v>
      </c>
      <c r="AB72" s="216" t="s">
        <v>1554</v>
      </c>
      <c r="AC72" s="217" t="s">
        <v>1555</v>
      </c>
      <c r="AD72" s="84" t="s">
        <v>936</v>
      </c>
      <c r="AE72" s="1260"/>
      <c r="AF72" s="1260"/>
      <c r="AG72" s="1260"/>
      <c r="AH72" s="1260"/>
      <c r="AI72" s="1260"/>
      <c r="AJ72" s="1260"/>
      <c r="AK72" s="3109"/>
      <c r="AL72" s="1260"/>
      <c r="AM72" s="1260"/>
      <c r="AN72" s="1260"/>
      <c r="AO72" s="1260"/>
      <c r="AP72" s="1260"/>
      <c r="AQ72" s="1260"/>
      <c r="AR72" s="1260"/>
      <c r="AS72" s="1260"/>
      <c r="AT72" s="1260"/>
      <c r="AU72" s="3109"/>
      <c r="AV72" s="1260"/>
      <c r="AW72" s="1260"/>
      <c r="AX72" s="1260"/>
      <c r="AY72" s="1260"/>
      <c r="AZ72" s="1260"/>
      <c r="BA72" s="1260"/>
      <c r="BB72" s="1260"/>
      <c r="BC72" s="1260"/>
      <c r="BD72" s="1260"/>
      <c r="BE72" s="1257"/>
      <c r="BH72" s="1005" t="s">
        <v>1556</v>
      </c>
    </row>
    <row customHeight="1" ht="14.625" hidden="1">
      <c r="B73" s="1223">
        <f>InvestmentSources_is_one_block="нет"</f>
        <v>1</v>
      </c>
      <c r="E73" s="623">
        <v>15</v>
      </c>
      <c r="F73" s="50" cm="1" t="str">
        <f t="array" ref="F73:F73">OFFSET(E73,-1,1)</f>
        <v>0</v>
      </c>
      <c r="H73" s="118" t="s">
        <v>1557</v>
      </c>
      <c r="T73" s="468" cm="1" t="str">
        <f t="array" ref="T73:T73">T72</f>
        <v>false</v>
      </c>
      <c r="AB73" s="216" t="s">
        <v>1558</v>
      </c>
      <c r="AC73" s="217" t="s">
        <v>1559</v>
      </c>
      <c r="AD73" s="84" t="s">
        <v>936</v>
      </c>
      <c r="AE73" s="1260"/>
      <c r="AF73" s="1260"/>
      <c r="AG73" s="1260"/>
      <c r="AH73" s="1260"/>
      <c r="AI73" s="1260"/>
      <c r="AJ73" s="1260"/>
      <c r="AK73" s="3109"/>
      <c r="AL73" s="1260"/>
      <c r="AM73" s="1260"/>
      <c r="AN73" s="1260"/>
      <c r="AO73" s="1260"/>
      <c r="AP73" s="1260"/>
      <c r="AQ73" s="1260"/>
      <c r="AR73" s="1260"/>
      <c r="AS73" s="1260"/>
      <c r="AT73" s="1260"/>
      <c r="AU73" s="3109"/>
      <c r="AV73" s="1260"/>
      <c r="AW73" s="1260"/>
      <c r="AX73" s="1260"/>
      <c r="AY73" s="1260"/>
      <c r="AZ73" s="1260"/>
      <c r="BA73" s="1260"/>
      <c r="BB73" s="1260"/>
      <c r="BC73" s="1260"/>
      <c r="BD73" s="1260"/>
      <c r="BE73" s="1257"/>
      <c r="BH73" s="1005" t="s">
        <v>1560</v>
      </c>
    </row>
    <row customHeight="1" ht="14.625" hidden="1">
      <c r="B74" s="1223">
        <f>InvestmentSources_is_one_block="нет"</f>
        <v>1</v>
      </c>
      <c r="E74" s="623">
        <v>15</v>
      </c>
      <c r="F74" s="50" cm="1" t="str">
        <f t="array" ref="F74:F74">OFFSET(E74,-1,1)</f>
        <v>0</v>
      </c>
      <c r="H74" s="118" t="s">
        <v>573</v>
      </c>
      <c r="T74" s="468" cm="1" t="str">
        <f t="array" ref="T74:T74">T73</f>
        <v>false</v>
      </c>
      <c r="AB74" s="216" t="s">
        <v>1073</v>
      </c>
      <c r="AC74" s="210" t="s">
        <v>1561</v>
      </c>
      <c r="AD74" s="84" t="s">
        <v>936</v>
      </c>
      <c r="AE74" s="255">
        <f>AE75+AE76+AE77</f>
        <v>0</v>
      </c>
      <c r="AF74" s="255">
        <f>AF75+AF76+AF77</f>
        <v>0</v>
      </c>
      <c r="AG74" s="255">
        <f>AG75+AG76+AG77</f>
        <v>0</v>
      </c>
      <c r="AH74" s="255">
        <f>AH75+AH76+AH77</f>
        <v>0</v>
      </c>
      <c r="AI74" s="255">
        <f>AI75+AI76+AI77</f>
        <v>0</v>
      </c>
      <c r="AJ74" s="255">
        <f>AJ75+AJ76+AJ77</f>
        <v>0</v>
      </c>
      <c r="AK74" s="255">
        <f>AK75+AK76+AK77</f>
        <v>0</v>
      </c>
      <c r="AL74" s="255">
        <f>AL75+AL76+AL77</f>
        <v>0</v>
      </c>
      <c r="AM74" s="255">
        <f>AM75+AM76+AM77</f>
        <v>0</v>
      </c>
      <c r="AN74" s="255">
        <f>AN75+AN76+AN77</f>
        <v>0</v>
      </c>
      <c r="AO74" s="255">
        <f>AO75+AO76+AO77</f>
        <v>0</v>
      </c>
      <c r="AP74" s="255">
        <f>AP75+AP76+AP77</f>
        <v>0</v>
      </c>
      <c r="AQ74" s="255">
        <f>AQ75+AQ76+AQ77</f>
        <v>0</v>
      </c>
      <c r="AR74" s="255">
        <f>AR75+AR76+AR77</f>
        <v>0</v>
      </c>
      <c r="AS74" s="255">
        <f>AS75+AS76+AS77</f>
        <v>0</v>
      </c>
      <c r="AT74" s="255">
        <f>AT75+AT76+AT77</f>
        <v>0</v>
      </c>
      <c r="AU74" s="255">
        <f>AU75+AU76+AU77</f>
        <v>0</v>
      </c>
      <c r="AV74" s="255">
        <f>AV75+AV76+AV77</f>
        <v>0</v>
      </c>
      <c r="AW74" s="255">
        <f>AW75+AW76+AW77</f>
        <v>0</v>
      </c>
      <c r="AX74" s="255">
        <f>AX75+AX76+AX77</f>
        <v>0</v>
      </c>
      <c r="AY74" s="255">
        <f>AY75+AY76+AY77</f>
        <v>0</v>
      </c>
      <c r="AZ74" s="255">
        <f>AZ75+AZ76+AZ77</f>
        <v>0</v>
      </c>
      <c r="BA74" s="255">
        <f>BA75+BA76+BA77</f>
        <v>0</v>
      </c>
      <c r="BB74" s="255">
        <f>BB75+BB76+BB77</f>
        <v>0</v>
      </c>
      <c r="BC74" s="255">
        <f>BC75+BC76+BC77</f>
        <v>0</v>
      </c>
      <c r="BD74" s="255">
        <f>BD75+BD76+BD77</f>
        <v>0</v>
      </c>
      <c r="BE74" s="1257"/>
      <c r="BH74" s="1005" t="s">
        <v>1562</v>
      </c>
    </row>
    <row customHeight="1" ht="14.625" hidden="1">
      <c r="B75" s="1223">
        <f>InvestmentSources_is_one_block="нет"</f>
        <v>1</v>
      </c>
      <c r="E75" s="623">
        <v>15</v>
      </c>
      <c r="F75" s="50" cm="1" t="str">
        <f t="array" ref="F75:F75">OFFSET(E75,-1,1)</f>
        <v>0</v>
      </c>
      <c r="H75" s="118" t="s">
        <v>1563</v>
      </c>
      <c r="T75" s="468" cm="1" t="str">
        <f t="array" ref="T75:T75">T74</f>
        <v>false</v>
      </c>
      <c r="AB75" s="216" t="s">
        <v>1564</v>
      </c>
      <c r="AC75" s="217" t="s">
        <v>1565</v>
      </c>
      <c r="AD75" s="84" t="s">
        <v>936</v>
      </c>
      <c r="AE75" s="1260"/>
      <c r="AF75" s="1260"/>
      <c r="AG75" s="1260"/>
      <c r="AH75" s="1260"/>
      <c r="AI75" s="1260"/>
      <c r="AJ75" s="1260"/>
      <c r="AK75" s="3109"/>
      <c r="AL75" s="1260"/>
      <c r="AM75" s="1260"/>
      <c r="AN75" s="1260"/>
      <c r="AO75" s="1260"/>
      <c r="AP75" s="1260"/>
      <c r="AQ75" s="1260"/>
      <c r="AR75" s="1260"/>
      <c r="AS75" s="1260"/>
      <c r="AT75" s="1260"/>
      <c r="AU75" s="3109"/>
      <c r="AV75" s="1260"/>
      <c r="AW75" s="1260"/>
      <c r="AX75" s="1260"/>
      <c r="AY75" s="1260"/>
      <c r="AZ75" s="1260"/>
      <c r="BA75" s="1260"/>
      <c r="BB75" s="1260"/>
      <c r="BC75" s="1260"/>
      <c r="BD75" s="1260"/>
      <c r="BE75" s="1257"/>
      <c r="BH75" s="1005" t="s">
        <v>1566</v>
      </c>
    </row>
    <row customHeight="1" ht="14.625" hidden="1">
      <c r="B76" s="1223">
        <f>InvestmentSources_is_one_block="нет"</f>
        <v>1</v>
      </c>
      <c r="E76" s="623">
        <v>15</v>
      </c>
      <c r="F76" s="50" cm="1" t="str">
        <f t="array" ref="F76:F76">OFFSET(E76,-1,1)</f>
        <v>0</v>
      </c>
      <c r="H76" s="118" t="s">
        <v>1567</v>
      </c>
      <c r="T76" s="468" cm="1" t="str">
        <f t="array" ref="T76:T76">T75</f>
        <v>false</v>
      </c>
      <c r="AB76" s="216" t="s">
        <v>1568</v>
      </c>
      <c r="AC76" s="217" t="s">
        <v>1569</v>
      </c>
      <c r="AD76" s="84" t="s">
        <v>936</v>
      </c>
      <c r="AE76" s="1260"/>
      <c r="AF76" s="1260"/>
      <c r="AG76" s="1260"/>
      <c r="AH76" s="1260"/>
      <c r="AI76" s="1260"/>
      <c r="AJ76" s="1260"/>
      <c r="AK76" s="3109"/>
      <c r="AL76" s="1260"/>
      <c r="AM76" s="1260"/>
      <c r="AN76" s="1260"/>
      <c r="AO76" s="1260"/>
      <c r="AP76" s="1260"/>
      <c r="AQ76" s="1260"/>
      <c r="AR76" s="1260"/>
      <c r="AS76" s="1260"/>
      <c r="AT76" s="1260"/>
      <c r="AU76" s="3109"/>
      <c r="AV76" s="1260"/>
      <c r="AW76" s="1260"/>
      <c r="AX76" s="1260"/>
      <c r="AY76" s="1260"/>
      <c r="AZ76" s="1260"/>
      <c r="BA76" s="1260"/>
      <c r="BB76" s="1260"/>
      <c r="BC76" s="1260"/>
      <c r="BD76" s="1260"/>
      <c r="BE76" s="1257"/>
      <c r="BH76" s="1005" t="s">
        <v>1570</v>
      </c>
    </row>
    <row customHeight="1" ht="14.625" hidden="1">
      <c r="B77" s="1223">
        <f>InvestmentSources_is_one_block="нет"</f>
        <v>1</v>
      </c>
      <c r="E77" s="623">
        <v>15</v>
      </c>
      <c r="F77" s="50" cm="1" t="str">
        <f t="array" ref="F77:F77">OFFSET(E77,-1,1)</f>
        <v>0</v>
      </c>
      <c r="H77" s="118" t="s">
        <v>1571</v>
      </c>
      <c r="T77" s="468" cm="1" t="str">
        <f t="array" ref="T77:T77">T76</f>
        <v>false</v>
      </c>
      <c r="AB77" s="216" t="s">
        <v>1572</v>
      </c>
      <c r="AC77" s="217" t="s">
        <v>1573</v>
      </c>
      <c r="AD77" s="84" t="s">
        <v>936</v>
      </c>
      <c r="AE77" s="1260"/>
      <c r="AF77" s="1260"/>
      <c r="AG77" s="1260"/>
      <c r="AH77" s="1260"/>
      <c r="AI77" s="1260"/>
      <c r="AJ77" s="1260"/>
      <c r="AK77" s="3109"/>
      <c r="AL77" s="1260"/>
      <c r="AM77" s="1260"/>
      <c r="AN77" s="1260"/>
      <c r="AO77" s="1260"/>
      <c r="AP77" s="1260"/>
      <c r="AQ77" s="1260"/>
      <c r="AR77" s="1260"/>
      <c r="AS77" s="1260"/>
      <c r="AT77" s="1260"/>
      <c r="AU77" s="3109"/>
      <c r="AV77" s="1260"/>
      <c r="AW77" s="1260"/>
      <c r="AX77" s="1260"/>
      <c r="AY77" s="1260"/>
      <c r="AZ77" s="1260"/>
      <c r="BA77" s="1260"/>
      <c r="BB77" s="1260"/>
      <c r="BC77" s="1260"/>
      <c r="BD77" s="1260"/>
      <c r="BE77" s="1257"/>
      <c r="BH77" s="1005" t="s">
        <v>1574</v>
      </c>
    </row>
    <row customHeight="1" ht="14.625" hidden="1">
      <c r="B78" s="1223">
        <f>InvestmentSources_is_one_block="нет"</f>
        <v>1</v>
      </c>
      <c r="E78" s="623">
        <v>15</v>
      </c>
      <c r="F78" s="50" cm="1" t="str">
        <f t="array" ref="F78:F78">OFFSET(E78,-1,1)</f>
        <v>0</v>
      </c>
      <c r="H78" s="118" t="s">
        <v>577</v>
      </c>
      <c r="T78" s="468" cm="1" t="str">
        <f t="array" ref="T78:T78">T77</f>
        <v>false</v>
      </c>
      <c r="AB78" s="216" t="s">
        <v>1076</v>
      </c>
      <c r="AC78" s="210" t="s">
        <v>1575</v>
      </c>
      <c r="AD78" s="84" t="s">
        <v>936</v>
      </c>
      <c r="AE78" s="255">
        <f>AE79+AE80+AE81+AE82</f>
        <v>0</v>
      </c>
      <c r="AF78" s="255">
        <f>AF79+AF80+AF81+AF82</f>
        <v>0</v>
      </c>
      <c r="AG78" s="255">
        <f>AG79+AG80+AG81+AG82</f>
        <v>0</v>
      </c>
      <c r="AH78" s="255">
        <f>AH79+AH80+AH81+AH82</f>
        <v>0</v>
      </c>
      <c r="AI78" s="255">
        <f>AI79+AI80+AI81+AI82</f>
        <v>0</v>
      </c>
      <c r="AJ78" s="255">
        <f>AJ79+AJ80+AJ81+AJ82</f>
        <v>0</v>
      </c>
      <c r="AK78" s="255">
        <f>AK79+AK80+AK81+AK82</f>
        <v>0</v>
      </c>
      <c r="AL78" s="255">
        <f>AL79+AL80+AL81+AL82</f>
        <v>0</v>
      </c>
      <c r="AM78" s="255">
        <f>AM79+AM80+AM81+AM82</f>
        <v>0</v>
      </c>
      <c r="AN78" s="255">
        <f>AN79+AN80+AN81+AN82</f>
        <v>0</v>
      </c>
      <c r="AO78" s="255">
        <f>AO79+AO80+AO81+AO82</f>
        <v>0</v>
      </c>
      <c r="AP78" s="255">
        <f>AP79+AP80+AP81+AP82</f>
        <v>0</v>
      </c>
      <c r="AQ78" s="255">
        <f>AQ79+AQ80+AQ81+AQ82</f>
        <v>0</v>
      </c>
      <c r="AR78" s="255">
        <f>AR79+AR80+AR81+AR82</f>
        <v>0</v>
      </c>
      <c r="AS78" s="255">
        <f>AS79+AS80+AS81+AS82</f>
        <v>0</v>
      </c>
      <c r="AT78" s="255">
        <f>AT79+AT80+AT81+AT82</f>
        <v>0</v>
      </c>
      <c r="AU78" s="255">
        <f>AU79+AU80+AU81+AU82</f>
        <v>0</v>
      </c>
      <c r="AV78" s="255">
        <f>AV79+AV80+AV81+AV82</f>
        <v>0</v>
      </c>
      <c r="AW78" s="255">
        <f>AW79+AW80+AW81+AW82</f>
        <v>0</v>
      </c>
      <c r="AX78" s="255">
        <f>AX79+AX80+AX81+AX82</f>
        <v>0</v>
      </c>
      <c r="AY78" s="255">
        <f>AY79+AY80+AY81+AY82</f>
        <v>0</v>
      </c>
      <c r="AZ78" s="255">
        <f>AZ79+AZ80+AZ81+AZ82</f>
        <v>0</v>
      </c>
      <c r="BA78" s="255">
        <f>BA79+BA80+BA81+BA82</f>
        <v>0</v>
      </c>
      <c r="BB78" s="255">
        <f>BB79+BB80+BB81+BB82</f>
        <v>0</v>
      </c>
      <c r="BC78" s="255">
        <f>BC79+BC80+BC81+BC82</f>
        <v>0</v>
      </c>
      <c r="BD78" s="255">
        <f>BD79+BD80+BD81+BD82</f>
        <v>0</v>
      </c>
      <c r="BE78" s="1257"/>
      <c r="BH78" s="1005" t="s">
        <v>1576</v>
      </c>
    </row>
    <row customHeight="1" ht="14.625" hidden="1">
      <c r="B79" s="1223">
        <f>InvestmentSources_is_one_block="нет"</f>
        <v>1</v>
      </c>
      <c r="E79" s="623">
        <v>15</v>
      </c>
      <c r="F79" s="50" cm="1" t="str">
        <f t="array" ref="F79:F79">OFFSET(E79,-1,1)</f>
        <v>0</v>
      </c>
      <c r="H79" s="118" t="s">
        <v>1577</v>
      </c>
      <c r="T79" s="468" cm="1" t="str">
        <f t="array" ref="T79:T79">T78</f>
        <v>false</v>
      </c>
      <c r="AB79" s="216" t="s">
        <v>1214</v>
      </c>
      <c r="AC79" s="217" t="s">
        <v>1208</v>
      </c>
      <c r="AD79" s="84" t="s">
        <v>936</v>
      </c>
      <c r="AE79" s="1260"/>
      <c r="AF79" s="1260"/>
      <c r="AG79" s="1260"/>
      <c r="AH79" s="1260"/>
      <c r="AI79" s="1260"/>
      <c r="AJ79" s="1260"/>
      <c r="AK79" s="3109"/>
      <c r="AL79" s="1260"/>
      <c r="AM79" s="1260"/>
      <c r="AN79" s="1260"/>
      <c r="AO79" s="1260"/>
      <c r="AP79" s="1260"/>
      <c r="AQ79" s="1260"/>
      <c r="AR79" s="1260"/>
      <c r="AS79" s="1260"/>
      <c r="AT79" s="1260"/>
      <c r="AU79" s="3109"/>
      <c r="AV79" s="1260"/>
      <c r="AW79" s="1260"/>
      <c r="AX79" s="1260"/>
      <c r="AY79" s="1260"/>
      <c r="AZ79" s="1260"/>
      <c r="BA79" s="1260"/>
      <c r="BB79" s="1260"/>
      <c r="BC79" s="1260"/>
      <c r="BD79" s="1260"/>
      <c r="BE79" s="1257"/>
      <c r="BH79" s="1005" t="s">
        <v>1210</v>
      </c>
    </row>
    <row customHeight="1" ht="21.9375" hidden="1">
      <c r="B80" s="1223">
        <f>InvestmentSources_is_one_block="нет"</f>
        <v>1</v>
      </c>
      <c r="E80" s="623">
        <v>22.5</v>
      </c>
      <c r="F80" s="50" cm="1" t="str">
        <f t="array" ref="F80:F80">OFFSET(E80,-1,1)</f>
        <v>0</v>
      </c>
      <c r="H80" s="118" t="s">
        <v>1578</v>
      </c>
      <c r="T80" s="468" cm="1" t="str">
        <f t="array" ref="T80:T80">T79</f>
        <v>false</v>
      </c>
      <c r="AB80" s="216" t="s">
        <v>1217</v>
      </c>
      <c r="AC80" s="217" t="s">
        <v>1579</v>
      </c>
      <c r="AD80" s="84" t="s">
        <v>936</v>
      </c>
      <c r="AE80" s="1260"/>
      <c r="AF80" s="1260"/>
      <c r="AG80" s="1260"/>
      <c r="AH80" s="1260"/>
      <c r="AI80" s="1260"/>
      <c r="AJ80" s="1260"/>
      <c r="AK80" s="3109"/>
      <c r="AL80" s="1260"/>
      <c r="AM80" s="1260"/>
      <c r="AN80" s="1260"/>
      <c r="AO80" s="1260"/>
      <c r="AP80" s="1260"/>
      <c r="AQ80" s="1260"/>
      <c r="AR80" s="1260"/>
      <c r="AS80" s="1260"/>
      <c r="AT80" s="1260"/>
      <c r="AU80" s="3109"/>
      <c r="AV80" s="1260"/>
      <c r="AW80" s="1260"/>
      <c r="AX80" s="1260"/>
      <c r="AY80" s="1260"/>
      <c r="AZ80" s="1260"/>
      <c r="BA80" s="1260"/>
      <c r="BB80" s="1260"/>
      <c r="BC80" s="1260"/>
      <c r="BD80" s="1260"/>
      <c r="BE80" s="1257"/>
      <c r="BH80" s="1005" t="s">
        <v>1580</v>
      </c>
    </row>
    <row customHeight="1" ht="21.9375" hidden="1">
      <c r="B81" s="1223">
        <f>InvestmentSources_is_one_block="нет"</f>
        <v>1</v>
      </c>
      <c r="E81" s="623">
        <v>22.5</v>
      </c>
      <c r="F81" s="50" cm="1" t="str">
        <f t="array" ref="F81:F81">OFFSET(E81,-1,1)</f>
        <v>0</v>
      </c>
      <c r="H81" s="118" t="s">
        <v>1581</v>
      </c>
      <c r="T81" s="468" cm="1" t="str">
        <f t="array" ref="T81:T81">T80</f>
        <v>false</v>
      </c>
      <c r="AB81" s="216" t="s">
        <v>1582</v>
      </c>
      <c r="AC81" s="217" t="s">
        <v>1583</v>
      </c>
      <c r="AD81" s="84" t="s">
        <v>936</v>
      </c>
      <c r="AE81" s="1260"/>
      <c r="AF81" s="1260"/>
      <c r="AG81" s="1260"/>
      <c r="AH81" s="1260"/>
      <c r="AI81" s="1260"/>
      <c r="AJ81" s="1260"/>
      <c r="AK81" s="3109"/>
      <c r="AL81" s="1260"/>
      <c r="AM81" s="1260"/>
      <c r="AN81" s="1260"/>
      <c r="AO81" s="1260"/>
      <c r="AP81" s="1260"/>
      <c r="AQ81" s="1260"/>
      <c r="AR81" s="1260"/>
      <c r="AS81" s="1260"/>
      <c r="AT81" s="1260"/>
      <c r="AU81" s="3109"/>
      <c r="AV81" s="1260"/>
      <c r="AW81" s="1260"/>
      <c r="AX81" s="1260"/>
      <c r="AY81" s="1260"/>
      <c r="AZ81" s="1260"/>
      <c r="BA81" s="1260"/>
      <c r="BB81" s="1260"/>
      <c r="BC81" s="1260"/>
      <c r="BD81" s="1260"/>
      <c r="BE81" s="1257"/>
      <c r="BH81" s="1005" t="s">
        <v>1584</v>
      </c>
    </row>
    <row customHeight="1" ht="14.625" hidden="1">
      <c r="B82" s="1223">
        <f>InvestmentSources_is_one_block="нет"</f>
        <v>1</v>
      </c>
      <c r="E82" s="623">
        <v>15</v>
      </c>
      <c r="F82" s="50" cm="1" t="str">
        <f t="array" ref="F82:F82">OFFSET(E82,-1,1)</f>
        <v>0</v>
      </c>
      <c r="H82" s="118" t="s">
        <v>1585</v>
      </c>
      <c r="T82" s="468" cm="1" t="str">
        <f t="array" ref="T82:T82">T81</f>
        <v>false</v>
      </c>
      <c r="AB82" s="216" t="s">
        <v>1586</v>
      </c>
      <c r="AC82" s="217" t="s">
        <v>1587</v>
      </c>
      <c r="AD82" s="84" t="s">
        <v>936</v>
      </c>
      <c r="AE82" s="1260"/>
      <c r="AF82" s="1260"/>
      <c r="AG82" s="1260"/>
      <c r="AH82" s="1260"/>
      <c r="AI82" s="1260"/>
      <c r="AJ82" s="1260"/>
      <c r="AK82" s="3109"/>
      <c r="AL82" s="1260"/>
      <c r="AM82" s="1260"/>
      <c r="AN82" s="1260"/>
      <c r="AO82" s="1260"/>
      <c r="AP82" s="1260"/>
      <c r="AQ82" s="1260"/>
      <c r="AR82" s="1260"/>
      <c r="AS82" s="1260"/>
      <c r="AT82" s="1260"/>
      <c r="AU82" s="3109"/>
      <c r="AV82" s="1260"/>
      <c r="AW82" s="1260"/>
      <c r="AX82" s="1260"/>
      <c r="AY82" s="1260"/>
      <c r="AZ82" s="1260"/>
      <c r="BA82" s="1260"/>
      <c r="BB82" s="1260"/>
      <c r="BC82" s="1260"/>
      <c r="BD82" s="1260"/>
      <c r="BE82" s="1257"/>
      <c r="BH82" s="1005" t="s">
        <v>1588</v>
      </c>
    </row>
    <row s="704" customFormat="1" customHeight="1" ht="21.9375" hidden="1">
      <c r="B83" s="704">
        <f>InvestmentSources_is_one_block="нет"</f>
        <v>1</v>
      </c>
      <c r="E83" s="697">
        <v>22.5</v>
      </c>
      <c r="F83" s="50" cm="1" t="str">
        <f t="array" ref="F83:F83">OFFSET(E83,-1,1)</f>
        <v>0</v>
      </c>
      <c r="H83" s="118" t="s">
        <v>345</v>
      </c>
      <c r="T83" s="468" cm="1" t="str">
        <f t="array" ref="T83:T83">T82</f>
        <v>false</v>
      </c>
      <c r="AB83" s="214" t="s">
        <v>299</v>
      </c>
      <c r="AC83" s="215" t="s">
        <v>1589</v>
      </c>
      <c r="AD83" s="207" t="s">
        <v>936</v>
      </c>
      <c r="AE83" s="209">
        <f>AE84+AE85+AE86</f>
        <v>0</v>
      </c>
      <c r="AF83" s="209">
        <f>AF84+AF85+AF86</f>
        <v>0</v>
      </c>
      <c r="AG83" s="209">
        <f>AG84+AG85+AG86</f>
        <v>0</v>
      </c>
      <c r="AH83" s="209">
        <f>AH84+AH85+AH86</f>
        <v>0</v>
      </c>
      <c r="AI83" s="209">
        <f>AI84+AI85+AI86</f>
        <v>0</v>
      </c>
      <c r="AJ83" s="209">
        <f>AJ84+AJ85+AJ86</f>
        <v>0</v>
      </c>
      <c r="AK83" s="209">
        <f>AK84+AK85+AK86</f>
        <v>0</v>
      </c>
      <c r="AL83" s="209">
        <f>AL84+AL85+AL86</f>
        <v>0</v>
      </c>
      <c r="AM83" s="209">
        <f>AM84+AM85+AM86</f>
        <v>0</v>
      </c>
      <c r="AN83" s="209">
        <f>AN84+AN85+AN86</f>
        <v>0</v>
      </c>
      <c r="AO83" s="209">
        <f>AO84+AO85+AO86</f>
        <v>0</v>
      </c>
      <c r="AP83" s="209">
        <f>AP84+AP85+AP86</f>
        <v>0</v>
      </c>
      <c r="AQ83" s="209">
        <f>AQ84+AQ85+AQ86</f>
        <v>0</v>
      </c>
      <c r="AR83" s="209">
        <f>AR84+AR85+AR86</f>
        <v>0</v>
      </c>
      <c r="AS83" s="209">
        <f>AS84+AS85+AS86</f>
        <v>0</v>
      </c>
      <c r="AT83" s="209">
        <f>AT84+AT85+AT86</f>
        <v>0</v>
      </c>
      <c r="AU83" s="209">
        <f>AU84+AU85+AU86</f>
        <v>0</v>
      </c>
      <c r="AV83" s="209">
        <f>AV84+AV85+AV86</f>
        <v>0</v>
      </c>
      <c r="AW83" s="209">
        <f>AW84+AW85+AW86</f>
        <v>0</v>
      </c>
      <c r="AX83" s="209">
        <f>AX84+AX85+AX86</f>
        <v>0</v>
      </c>
      <c r="AY83" s="209">
        <f>AY84+AY85+AY86</f>
        <v>0</v>
      </c>
      <c r="AZ83" s="209">
        <f>AZ84+AZ85+AZ86</f>
        <v>0</v>
      </c>
      <c r="BA83" s="209">
        <f>BA84+BA85+BA86</f>
        <v>0</v>
      </c>
      <c r="BB83" s="209">
        <f>BB84+BB85+BB86</f>
        <v>0</v>
      </c>
      <c r="BC83" s="209">
        <f>BC84+BC85+BC86</f>
        <v>0</v>
      </c>
      <c r="BD83" s="209">
        <f>BD84+BD85+BD86</f>
        <v>0</v>
      </c>
      <c r="BE83" s="1257"/>
      <c r="BH83" s="1059" t="s">
        <v>1590</v>
      </c>
    </row>
    <row customHeight="1" ht="14.625" hidden="1">
      <c r="B84" s="1223">
        <f>InvestmentSources_is_one_block="нет"</f>
        <v>1</v>
      </c>
      <c r="E84" s="623">
        <v>15</v>
      </c>
      <c r="F84" s="50" cm="1" t="str">
        <f t="array" ref="F84:F84">OFFSET(E84,-1,1)</f>
        <v>0</v>
      </c>
      <c r="H84" s="118" t="s">
        <v>584</v>
      </c>
      <c r="K84" s="120" t="str">
        <f>F84&amp;"2komm"</f>
        <v>02komm</v>
      </c>
      <c r="L84" s="120" cm="1" t="str">
        <f t="array" ref="L84:L84">BE84</f>
        <v>0</v>
      </c>
      <c r="T84" s="468" cm="1" t="str">
        <f t="array" ref="T84:T84">T83</f>
        <v>false</v>
      </c>
      <c r="AB84" s="216" t="s">
        <v>660</v>
      </c>
      <c r="AC84" s="210" t="s">
        <v>1591</v>
      </c>
      <c r="AD84" s="84" t="s">
        <v>936</v>
      </c>
      <c r="AE84" s="1260"/>
      <c r="AF84" s="1260"/>
      <c r="AG84" s="1260"/>
      <c r="AH84" s="1260"/>
      <c r="AI84" s="1260"/>
      <c r="AJ84" s="1260"/>
      <c r="AK84" s="3109"/>
      <c r="AL84" s="1260"/>
      <c r="AM84" s="1260"/>
      <c r="AN84" s="1260"/>
      <c r="AO84" s="1260"/>
      <c r="AP84" s="1260"/>
      <c r="AQ84" s="1260"/>
      <c r="AR84" s="1260"/>
      <c r="AS84" s="1260"/>
      <c r="AT84" s="1260"/>
      <c r="AU84" s="3109"/>
      <c r="AV84" s="1260"/>
      <c r="AW84" s="1260"/>
      <c r="AX84" s="1260"/>
      <c r="AY84" s="1260"/>
      <c r="AZ84" s="1260"/>
      <c r="BA84" s="1260"/>
      <c r="BB84" s="1260"/>
      <c r="BC84" s="1260"/>
      <c r="BD84" s="1260"/>
      <c r="BE84" s="1257"/>
      <c r="BH84" s="1005" t="s">
        <v>1592</v>
      </c>
    </row>
    <row customHeight="1" ht="14.625" hidden="1">
      <c r="B85" s="1223">
        <f>InvestmentSources_is_one_block="нет"</f>
        <v>1</v>
      </c>
      <c r="E85" s="623">
        <v>15</v>
      </c>
      <c r="F85" s="50" cm="1" t="str">
        <f t="array" ref="F85:F85">OFFSET(E85,-1,1)</f>
        <v>0</v>
      </c>
      <c r="H85" s="118" t="s">
        <v>587</v>
      </c>
      <c r="K85" s="120" t="str">
        <f>F85&amp;"3komm"</f>
        <v>03komm</v>
      </c>
      <c r="L85" s="120" cm="1" t="str">
        <f t="array" ref="L85:L85">BE85</f>
        <v>0</v>
      </c>
      <c r="T85" s="468" cm="1" t="str">
        <f t="array" ref="T85:T85">T84</f>
        <v>false</v>
      </c>
      <c r="AB85" s="216" t="s">
        <v>664</v>
      </c>
      <c r="AC85" s="210" t="s">
        <v>1593</v>
      </c>
      <c r="AD85" s="84" t="s">
        <v>936</v>
      </c>
      <c r="AE85" s="1260"/>
      <c r="AF85" s="1260"/>
      <c r="AG85" s="1260"/>
      <c r="AH85" s="1260"/>
      <c r="AI85" s="1260"/>
      <c r="AJ85" s="1260"/>
      <c r="AK85" s="3109"/>
      <c r="AL85" s="1260"/>
      <c r="AM85" s="1260"/>
      <c r="AN85" s="1260"/>
      <c r="AO85" s="1260"/>
      <c r="AP85" s="1260"/>
      <c r="AQ85" s="1260"/>
      <c r="AR85" s="1260"/>
      <c r="AS85" s="1260"/>
      <c r="AT85" s="1260"/>
      <c r="AU85" s="3109"/>
      <c r="AV85" s="1260"/>
      <c r="AW85" s="1260"/>
      <c r="AX85" s="1260"/>
      <c r="AY85" s="1260"/>
      <c r="AZ85" s="1260"/>
      <c r="BA85" s="1260"/>
      <c r="BB85" s="1260"/>
      <c r="BC85" s="1260"/>
      <c r="BD85" s="1260"/>
      <c r="BE85" s="1257"/>
      <c r="BH85" s="1005" t="s">
        <v>1594</v>
      </c>
    </row>
    <row customHeight="1" ht="14.625" hidden="1">
      <c r="B86" s="1223">
        <f>InvestmentSources_is_one_block="нет"</f>
        <v>1</v>
      </c>
      <c r="E86" s="623">
        <v>15</v>
      </c>
      <c r="F86" s="50" cm="1" t="str">
        <f t="array" ref="F86:F86">OFFSET(E86,-1,1)</f>
        <v>0</v>
      </c>
      <c r="H86" s="118" t="s">
        <v>1087</v>
      </c>
      <c r="T86" s="468" cm="1" t="str">
        <f t="array" ref="T86:T86">T85</f>
        <v>false</v>
      </c>
      <c r="AB86" s="216" t="s">
        <v>668</v>
      </c>
      <c r="AC86" s="210" t="s">
        <v>1595</v>
      </c>
      <c r="AD86" s="84" t="s">
        <v>936</v>
      </c>
      <c r="AE86" s="1260"/>
      <c r="AF86" s="1260"/>
      <c r="AG86" s="1260"/>
      <c r="AH86" s="1260"/>
      <c r="AI86" s="1260"/>
      <c r="AJ86" s="1260"/>
      <c r="AK86" s="3109"/>
      <c r="AL86" s="1260"/>
      <c r="AM86" s="1260"/>
      <c r="AN86" s="1260"/>
      <c r="AO86" s="1260"/>
      <c r="AP86" s="1260"/>
      <c r="AQ86" s="1260"/>
      <c r="AR86" s="1260"/>
      <c r="AS86" s="1260"/>
      <c r="AT86" s="1260"/>
      <c r="AU86" s="3109"/>
      <c r="AV86" s="1260"/>
      <c r="AW86" s="1260"/>
      <c r="AX86" s="1260"/>
      <c r="AY86" s="1260"/>
      <c r="AZ86" s="1260"/>
      <c r="BA86" s="1260"/>
      <c r="BB86" s="1260"/>
      <c r="BC86" s="1260"/>
      <c r="BD86" s="1260"/>
      <c r="BE86" s="1257"/>
      <c r="BH86" s="1005" t="s">
        <v>1596</v>
      </c>
    </row>
    <row s="1656" customFormat="1" customHeight="1" ht="22.921875">
      <c r="A87" s="1331"/>
      <c r="B87" s="118">
        <f>InvestmentSources_is_one_block="нет"</f>
        <v>1</v>
      </c>
      <c r="C87" s="1331"/>
      <c r="D87" s="1331"/>
      <c r="E87" s="623">
        <v>15</v>
      </c>
      <c r="F87" s="94" cm="1" t="str">
        <f t="array" ref="F87:F87">X87</f>
        <v>1</v>
      </c>
      <c r="G87" s="1331"/>
      <c r="H87" s="1331"/>
      <c r="I87" s="1331"/>
      <c r="J87" s="1331"/>
      <c r="K87" s="1331"/>
      <c r="L87" s="1331"/>
      <c r="M87" s="1331"/>
      <c r="N87" s="1331"/>
      <c r="O87" s="1331"/>
      <c r="P87" s="1331"/>
      <c r="Q87" s="1331"/>
      <c r="R87" s="1331"/>
      <c r="S87" s="1331"/>
      <c r="T87" s="468">
        <f>X87&gt;0</f>
        <v>1</v>
      </c>
      <c r="U87" s="1331"/>
      <c r="V87" s="118" cm="1" t="str">
        <f t="array" ref="V87:V87">Налоги!$AB$41</f>
        <v>Тариф 1 (Водоснабжение) - тариф на питьевую воду (Оказание услуг на территории: город Ленинск-Кузнецкий (ОКТМО: 32719000) - г Ленинск-Кузнецкий, г Полысаево)</v>
      </c>
      <c r="W87" s="1331"/>
      <c r="X87" s="1539" t="s">
        <v>290</v>
      </c>
      <c r="Y87" s="1331"/>
      <c r="Z87" s="1529"/>
      <c r="AA87" s="1331"/>
      <c r="AB87" s="238" cm="1" t="str">
        <f t="array" ref="AB87:AB87">Налоги!$AB$41</f>
        <v>Тариф 1 (Водоснабжение) - тариф на питьевую воду (Оказание услуг на территории: город Ленинск-Кузнецкий (ОКТМО: 32719000) - г Ленинск-Кузнецкий, г Полысаево)</v>
      </c>
      <c r="AC87" s="839"/>
      <c r="AD87" s="839"/>
      <c r="AE87" s="839"/>
      <c r="AF87" s="839"/>
      <c r="AG87" s="839"/>
      <c r="AH87" s="839"/>
      <c r="AI87" s="839"/>
      <c r="AJ87" s="839"/>
      <c r="AK87" s="839"/>
      <c r="AL87" s="839"/>
      <c r="AM87" s="839"/>
      <c r="AN87" s="839"/>
      <c r="AO87" s="839"/>
      <c r="AP87" s="839"/>
      <c r="AQ87" s="839"/>
      <c r="AR87" s="839"/>
      <c r="AS87" s="839"/>
      <c r="AT87" s="839"/>
      <c r="AU87" s="839"/>
      <c r="AV87" s="839"/>
      <c r="AW87" s="839"/>
      <c r="AX87" s="839"/>
      <c r="AY87" s="839"/>
      <c r="AZ87" s="839"/>
      <c r="BA87" s="839"/>
      <c r="BB87" s="839"/>
      <c r="BC87" s="839"/>
      <c r="BD87" s="839"/>
      <c r="BE87" s="839"/>
      <c r="BF87" s="1331"/>
      <c r="BG87" s="1331"/>
      <c r="BH87" s="1245"/>
    </row>
    <row s="4467" customFormat="1" customHeight="1" ht="63.421875">
      <c r="A88" s="704"/>
      <c r="B88" s="118">
        <f>InvestmentSources_is_one_block="нет"</f>
        <v>1</v>
      </c>
      <c r="C88" s="704"/>
      <c r="D88" s="704"/>
      <c r="E88" s="697">
        <v>22.5</v>
      </c>
      <c r="F88" s="50" cm="1" t="str">
        <f t="array" ref="F88:F88">OFFSET(E88,-1,1)</f>
        <v>1</v>
      </c>
      <c r="G88" s="118"/>
      <c r="H88" s="118" t="s">
        <v>344</v>
      </c>
      <c r="I88" s="704"/>
      <c r="J88" s="704"/>
      <c r="K88" s="704"/>
      <c r="L88" s="704"/>
      <c r="M88" s="704"/>
      <c r="N88" s="704"/>
      <c r="O88" s="704"/>
      <c r="P88" s="704"/>
      <c r="Q88" s="704"/>
      <c r="R88" s="704"/>
      <c r="S88" s="704"/>
      <c r="T88" s="468" cm="1" t="str">
        <f t="array" ref="T88:T88">T87</f>
        <v>true</v>
      </c>
      <c r="U88" s="704"/>
      <c r="V88" s="704"/>
      <c r="W88" s="704"/>
      <c r="X88" s="1539"/>
      <c r="Y88" s="704"/>
      <c r="Z88" s="1529"/>
      <c r="AA88" s="704"/>
      <c r="AB88" s="214">
        <v>1</v>
      </c>
      <c r="AC88" s="208" t="s">
        <v>1518</v>
      </c>
      <c r="AD88" s="207" t="s">
        <v>936</v>
      </c>
      <c r="AE88" s="209">
        <f>AE89+AE99+AE103+AE107</f>
        <v>51319.6</v>
      </c>
      <c r="AF88" s="209">
        <f>AF89+AF99+AF103+AF107</f>
        <v>51319.6</v>
      </c>
      <c r="AG88" s="209">
        <f>AG89+AG99+AG103+AG107</f>
        <v>52134.49</v>
      </c>
      <c r="AH88" s="209">
        <f>AH89+AH99+AH103+AH107</f>
        <v>51183.16</v>
      </c>
      <c r="AI88" s="209">
        <f>AI89+AI99+AI103+AI107</f>
        <v>82601.6</v>
      </c>
      <c r="AJ88" s="209">
        <f>AJ89+AJ99+AJ103+AJ107</f>
        <v>82601.6</v>
      </c>
      <c r="AK88" s="209">
        <f>AK89+AK99+AK103+AK107</f>
        <v>92413.5</v>
      </c>
      <c r="AL88" s="209">
        <f>AL89+AL99+AL103+AL107</f>
        <v>0</v>
      </c>
      <c r="AM88" s="209">
        <f>AM89+AM99+AM103+AM107</f>
        <v>0</v>
      </c>
      <c r="AN88" s="209">
        <f>AN89+AN99+AN103+AN107</f>
        <v>0</v>
      </c>
      <c r="AO88" s="209">
        <f>AO89+AO99+AO103+AO107</f>
        <v>0</v>
      </c>
      <c r="AP88" s="209">
        <f>AP89+AP99+AP103+AP107</f>
        <v>0</v>
      </c>
      <c r="AQ88" s="209">
        <f>AQ89+AQ99+AQ103+AQ107</f>
        <v>0</v>
      </c>
      <c r="AR88" s="209">
        <f>AR89+AR99+AR103+AR107</f>
        <v>0</v>
      </c>
      <c r="AS88" s="209">
        <f>AS89+AS99+AS103+AS107</f>
        <v>0</v>
      </c>
      <c r="AT88" s="209">
        <f>AT89+AT99+AT103+AT107</f>
        <v>0</v>
      </c>
      <c r="AU88" s="209">
        <f>AU89+AU99+AU103+AU107</f>
        <v>92413.5</v>
      </c>
      <c r="AV88" s="209">
        <f>AV89+AV99+AV103+AV107</f>
        <v>0</v>
      </c>
      <c r="AW88" s="209">
        <f>AW89+AW99+AW103+AW107</f>
        <v>0</v>
      </c>
      <c r="AX88" s="209">
        <f>AX89+AX99+AX103+AX107</f>
        <v>0</v>
      </c>
      <c r="AY88" s="209">
        <f>AY89+AY99+AY103+AY107</f>
        <v>0</v>
      </c>
      <c r="AZ88" s="209">
        <f>AZ89+AZ99+AZ103+AZ107</f>
        <v>0</v>
      </c>
      <c r="BA88" s="209">
        <f>BA89+BA99+BA103+BA107</f>
        <v>0</v>
      </c>
      <c r="BB88" s="209">
        <f>BB89+BB99+BB103+BB107</f>
        <v>0</v>
      </c>
      <c r="BC88" s="209">
        <f>BC89+BC99+BC103+BC107</f>
        <v>0</v>
      </c>
      <c r="BD88" s="209">
        <f>BD89+BD99+BD103+BD107</f>
        <v>0</v>
      </c>
      <c r="BE88" s="781" t="s">
        <v>1597</v>
      </c>
      <c r="BF88" s="704"/>
      <c r="BG88" s="704"/>
      <c r="BH88" s="1059" t="s">
        <v>1519</v>
      </c>
    </row>
    <row s="1656" customFormat="1" customHeight="1" ht="79.921875">
      <c r="A89" s="1331"/>
      <c r="B89" s="118">
        <f>InvestmentSources_is_one_block="нет"</f>
        <v>1</v>
      </c>
      <c r="C89" s="1331"/>
      <c r="D89" s="1331"/>
      <c r="E89" s="623">
        <v>15</v>
      </c>
      <c r="F89" s="50" cm="1" t="str">
        <f t="array" ref="F89:F89">OFFSET(E89,-1,1)</f>
        <v>1</v>
      </c>
      <c r="G89" s="1331"/>
      <c r="H89" s="118" t="s">
        <v>566</v>
      </c>
      <c r="I89" s="1331"/>
      <c r="J89" s="1331"/>
      <c r="K89" s="1331"/>
      <c r="L89" s="1331"/>
      <c r="M89" s="1331"/>
      <c r="N89" s="1331"/>
      <c r="O89" s="1331"/>
      <c r="P89" s="1331"/>
      <c r="Q89" s="1331"/>
      <c r="R89" s="1331"/>
      <c r="S89" s="1331"/>
      <c r="T89" s="468" cm="1" t="str">
        <f t="array" ref="T89:T89">T88</f>
        <v>true</v>
      </c>
      <c r="U89" s="1331"/>
      <c r="V89" s="1331"/>
      <c r="W89" s="1331"/>
      <c r="X89" s="1539"/>
      <c r="Y89" s="1331"/>
      <c r="Z89" s="1529"/>
      <c r="AA89" s="1331"/>
      <c r="AB89" s="295" t="s">
        <v>1067</v>
      </c>
      <c r="AC89" s="769" t="s">
        <v>1520</v>
      </c>
      <c r="AD89" s="296" t="s">
        <v>936</v>
      </c>
      <c r="AE89" s="790">
        <f>AE90+AE91+AE92+AE93+AE94</f>
        <v>51319.6</v>
      </c>
      <c r="AF89" s="790">
        <f>AF90+AF91+AF92+AF93+AF94</f>
        <v>51319.6</v>
      </c>
      <c r="AG89" s="790">
        <f>AG90+AG91+AG92+AG93+AG94</f>
        <v>52134.49</v>
      </c>
      <c r="AH89" s="790">
        <f>AH90+AH91+AH92+AH93+AH94</f>
        <v>51183.16</v>
      </c>
      <c r="AI89" s="790">
        <f>AI90+AI91+AI92+AI93+AI94</f>
        <v>82601.6</v>
      </c>
      <c r="AJ89" s="790">
        <f>AJ90+AJ91+AJ92+AJ93+AJ94</f>
        <v>82601.6</v>
      </c>
      <c r="AK89" s="790">
        <f>AK90+AK91+AK92+AK93+AK94</f>
        <v>92413.5</v>
      </c>
      <c r="AL89" s="790">
        <f>AL90+AL91+AL92+AL93+AL94</f>
        <v>0</v>
      </c>
      <c r="AM89" s="790">
        <f>AM90+AM91+AM92+AM93+AM94</f>
        <v>0</v>
      </c>
      <c r="AN89" s="790">
        <f>AN90+AN91+AN92+AN93+AN94</f>
        <v>0</v>
      </c>
      <c r="AO89" s="790">
        <f>AO90+AO91+AO92+AO93+AO94</f>
        <v>0</v>
      </c>
      <c r="AP89" s="790">
        <f>AP90+AP91+AP92+AP93+AP94</f>
        <v>0</v>
      </c>
      <c r="AQ89" s="790">
        <f>AQ90+AQ91+AQ92+AQ93+AQ94</f>
        <v>0</v>
      </c>
      <c r="AR89" s="790">
        <f>AR90+AR91+AR92+AR93+AR94</f>
        <v>0</v>
      </c>
      <c r="AS89" s="790">
        <f>AS90+AS91+AS92+AS93+AS94</f>
        <v>0</v>
      </c>
      <c r="AT89" s="790">
        <f>AT90+AT91+AT92+AT93+AT94</f>
        <v>0</v>
      </c>
      <c r="AU89" s="790">
        <f>AU90+AU91+AU92+AU93+AU94</f>
        <v>92413.5</v>
      </c>
      <c r="AV89" s="790">
        <f>AV90+AV91+AV92+AV93+AV94</f>
        <v>0</v>
      </c>
      <c r="AW89" s="790">
        <f>AW90+AW91+AW92+AW93+AW94</f>
        <v>0</v>
      </c>
      <c r="AX89" s="790">
        <f>AX90+AX91+AX92+AX93+AX94</f>
        <v>0</v>
      </c>
      <c r="AY89" s="790">
        <f>AY90+AY91+AY92+AY93+AY94</f>
        <v>0</v>
      </c>
      <c r="AZ89" s="790">
        <f>AZ90+AZ91+AZ92+AZ93+AZ94</f>
        <v>0</v>
      </c>
      <c r="BA89" s="790">
        <f>BA90+BA91+BA92+BA93+BA94</f>
        <v>0</v>
      </c>
      <c r="BB89" s="790">
        <f>BB90+BB91+BB92+BB93+BB94</f>
        <v>0</v>
      </c>
      <c r="BC89" s="790">
        <f>BC90+BC91+BC92+BC93+BC94</f>
        <v>0</v>
      </c>
      <c r="BD89" s="790">
        <f>BD90+BD91+BD92+BD93+BD94</f>
        <v>0</v>
      </c>
      <c r="BE89" s="781" t="s">
        <v>1598</v>
      </c>
      <c r="BF89" s="1331"/>
      <c r="BG89" s="1331"/>
      <c r="BH89" s="1005" t="s">
        <v>1521</v>
      </c>
    </row>
    <row s="1656" customFormat="1" customHeight="1" ht="29.671875">
      <c r="A90" s="1331"/>
      <c r="B90" s="118">
        <f>InvestmentSources_is_one_block="нет"</f>
        <v>1</v>
      </c>
      <c r="C90" s="1331"/>
      <c r="D90" s="1331"/>
      <c r="E90" s="623">
        <v>15</v>
      </c>
      <c r="F90" s="50" cm="1" t="str">
        <f t="array" ref="F90:F90">OFFSET(E90,-1,1)</f>
        <v>1</v>
      </c>
      <c r="G90" s="1331"/>
      <c r="H90" s="118" t="s">
        <v>1197</v>
      </c>
      <c r="I90" s="1331"/>
      <c r="J90" s="1331"/>
      <c r="K90" s="1331"/>
      <c r="L90" s="1331"/>
      <c r="M90" s="1331"/>
      <c r="N90" s="1331"/>
      <c r="O90" s="1331"/>
      <c r="P90" s="1331"/>
      <c r="Q90" s="1331"/>
      <c r="R90" s="1331"/>
      <c r="S90" s="1331"/>
      <c r="T90" s="468" cm="1" t="str">
        <f t="array" ref="T90:T90">T89</f>
        <v>true</v>
      </c>
      <c r="U90" s="1331"/>
      <c r="V90" s="1331"/>
      <c r="W90" s="1331"/>
      <c r="X90" s="1539"/>
      <c r="Y90" s="1331"/>
      <c r="Z90" s="1529"/>
      <c r="AA90" s="1331"/>
      <c r="AB90" s="295" t="s">
        <v>1198</v>
      </c>
      <c r="AC90" s="772" t="s">
        <v>1522</v>
      </c>
      <c r="AD90" s="296" t="s">
        <v>936</v>
      </c>
      <c r="AE90" s="779">
        <f>2617+1163.74</f>
        <v>3780.74</v>
      </c>
      <c r="AF90" s="779">
        <v>3780.74</v>
      </c>
      <c r="AG90" s="779">
        <v>3478.84</v>
      </c>
      <c r="AH90" s="779">
        <v>3780.74</v>
      </c>
      <c r="AI90" s="779">
        <f>4061.8+1671.29</f>
        <v>5733.09</v>
      </c>
      <c r="AJ90" s="779">
        <v>5733.09</v>
      </c>
      <c r="AK90" s="779">
        <f>61313+21559.98</f>
        <v>82872.98</v>
      </c>
      <c r="AL90" s="3132"/>
      <c r="AM90" s="3132"/>
      <c r="AN90" s="3132"/>
      <c r="AO90" s="3132"/>
      <c r="AP90" s="3132"/>
      <c r="AQ90" s="3132"/>
      <c r="AR90" s="3132"/>
      <c r="AS90" s="3132"/>
      <c r="AT90" s="3132"/>
      <c r="AU90" s="779">
        <f>61313+21559.98</f>
        <v>82872.98</v>
      </c>
      <c r="AV90" s="3132"/>
      <c r="AW90" s="3132"/>
      <c r="AX90" s="3132"/>
      <c r="AY90" s="3132"/>
      <c r="AZ90" s="3132"/>
      <c r="BA90" s="3132"/>
      <c r="BB90" s="3132"/>
      <c r="BC90" s="3132"/>
      <c r="BD90" s="3132"/>
      <c r="BE90" s="781"/>
      <c r="BF90" s="1331"/>
      <c r="BG90" s="1331"/>
      <c r="BH90" s="1005" t="s">
        <v>1435</v>
      </c>
    </row>
    <row s="1656" customFormat="1" customHeight="1" ht="44.671875">
      <c r="A91" s="1331"/>
      <c r="B91" s="118">
        <f>InvestmentSources_is_one_block="нет"</f>
        <v>1</v>
      </c>
      <c r="C91" s="1331"/>
      <c r="D91" s="1331"/>
      <c r="E91" s="623">
        <v>15</v>
      </c>
      <c r="F91" s="50" cm="1" t="str">
        <f t="array" ref="F91:F91">OFFSET(E91,-1,1)</f>
        <v>1</v>
      </c>
      <c r="G91" s="1331"/>
      <c r="H91" s="118" t="s">
        <v>1201</v>
      </c>
      <c r="I91" s="1331"/>
      <c r="J91" s="1331"/>
      <c r="K91" s="120" t="str">
        <f>F91&amp;"1komm"</f>
        <v>11komm</v>
      </c>
      <c r="L91" s="926" cm="1" t="str">
        <f t="array" ref="L91:L91">BE91</f>
        <v>1) Фактическая суммарная экономия по инвестиционным мероприятиям г. Ленинск-Кузнецкий составила (-136,44 ) тыс. руб. 2)  Фактическая экономия по  ЗАВЕРШЕННЫМ мероприятиям в  г. Полысаево (п. 1.4.2.1.4.) составила  (-343,49) тыс. руб. , ; сумма перерасхода по прочим мероприятиям  - (+1294,82) тыс. руб. Итоговая величина перерасхода к учету не принята  в связи с тем, что данные мероприятия  по состоянию на конец отчетного периода НЕ ЗАВЕРШЕНЫ.</v>
      </c>
      <c r="M91" s="1331"/>
      <c r="N91" s="1331"/>
      <c r="O91" s="1331"/>
      <c r="P91" s="1331"/>
      <c r="Q91" s="1331"/>
      <c r="R91" s="1331"/>
      <c r="S91" s="1331"/>
      <c r="T91" s="468" cm="1" t="str">
        <f t="array" ref="T91:T91">T90</f>
        <v>true</v>
      </c>
      <c r="U91" s="1331"/>
      <c r="V91" s="1331"/>
      <c r="W91" s="1331"/>
      <c r="X91" s="1539"/>
      <c r="Y91" s="1331"/>
      <c r="Z91" s="1529"/>
      <c r="AA91" s="1331"/>
      <c r="AB91" s="295" t="s">
        <v>1202</v>
      </c>
      <c r="AC91" s="772" t="s">
        <v>1523</v>
      </c>
      <c r="AD91" s="296" t="s">
        <v>936</v>
      </c>
      <c r="AE91" s="779">
        <f>31188.9+16349.96</f>
        <v>47538.86</v>
      </c>
      <c r="AF91" s="779">
        <v>47538.86</v>
      </c>
      <c r="AG91" s="779">
        <f>33669.46+18465.03-AG90</f>
        <v>48655.65</v>
      </c>
      <c r="AH91" s="779">
        <f>33669.46+17513.7-AH90</f>
        <v>47402.42</v>
      </c>
      <c r="AI91" s="779">
        <f>48360.3+28508.21</f>
        <v>76868.51</v>
      </c>
      <c r="AJ91" s="779">
        <v>76868.51</v>
      </c>
      <c r="AK91" s="779">
        <f>5090.4+4450.12</f>
        <v>9540.52</v>
      </c>
      <c r="AL91" s="3132"/>
      <c r="AM91" s="3132"/>
      <c r="AN91" s="3132"/>
      <c r="AO91" s="3132"/>
      <c r="AP91" s="3132"/>
      <c r="AQ91" s="3132"/>
      <c r="AR91" s="3132"/>
      <c r="AS91" s="3132"/>
      <c r="AT91" s="3132"/>
      <c r="AU91" s="779">
        <f>5090.4+4450.12</f>
        <v>9540.52</v>
      </c>
      <c r="AV91" s="3132"/>
      <c r="AW91" s="3132"/>
      <c r="AX91" s="3132"/>
      <c r="AY91" s="3132"/>
      <c r="AZ91" s="3132"/>
      <c r="BA91" s="3132"/>
      <c r="BB91" s="3132"/>
      <c r="BC91" s="3132"/>
      <c r="BD91" s="3132"/>
      <c r="BE91" s="781" t="s">
        <v>1599</v>
      </c>
      <c r="BF91" s="1331"/>
      <c r="BG91" s="1331"/>
      <c r="BH91" s="1005" t="s">
        <v>1524</v>
      </c>
    </row>
    <row s="1656" customFormat="1" customHeight="1" ht="14.25">
      <c r="A92" s="1331"/>
      <c r="B92" s="118">
        <f>InvestmentSources_is_one_block="нет"</f>
        <v>1</v>
      </c>
      <c r="C92" s="1331"/>
      <c r="D92" s="1331"/>
      <c r="E92" s="623">
        <v>15</v>
      </c>
      <c r="F92" s="50" cm="1" t="str">
        <f t="array" ref="F92:F92">OFFSET(E92,-1,1)</f>
        <v>1</v>
      </c>
      <c r="G92" s="1331"/>
      <c r="H92" s="118" t="s">
        <v>1525</v>
      </c>
      <c r="I92" s="1331"/>
      <c r="J92" s="1331"/>
      <c r="K92" s="1331"/>
      <c r="L92" s="1331"/>
      <c r="M92" s="1331"/>
      <c r="N92" s="1331"/>
      <c r="O92" s="1331"/>
      <c r="P92" s="1331"/>
      <c r="Q92" s="1331"/>
      <c r="R92" s="1331"/>
      <c r="S92" s="1331"/>
      <c r="T92" s="468" cm="1" t="str">
        <f t="array" ref="T92:T92">T91</f>
        <v>true</v>
      </c>
      <c r="U92" s="1331"/>
      <c r="V92" s="1331"/>
      <c r="W92" s="1331"/>
      <c r="X92" s="1539"/>
      <c r="Y92" s="1331"/>
      <c r="Z92" s="1529"/>
      <c r="AA92" s="1331"/>
      <c r="AB92" s="295" t="s">
        <v>1526</v>
      </c>
      <c r="AC92" s="772" t="s">
        <v>1527</v>
      </c>
      <c r="AD92" s="296" t="s">
        <v>936</v>
      </c>
      <c r="AE92" s="779"/>
      <c r="AF92" s="779"/>
      <c r="AG92" s="779"/>
      <c r="AH92" s="779"/>
      <c r="AI92" s="779"/>
      <c r="AJ92" s="779"/>
      <c r="AK92" s="779"/>
      <c r="AL92" s="3132"/>
      <c r="AM92" s="3132"/>
      <c r="AN92" s="3132"/>
      <c r="AO92" s="3132"/>
      <c r="AP92" s="3132"/>
      <c r="AQ92" s="3132"/>
      <c r="AR92" s="3132"/>
      <c r="AS92" s="3132"/>
      <c r="AT92" s="3132"/>
      <c r="AU92" s="779"/>
      <c r="AV92" s="3132"/>
      <c r="AW92" s="3132"/>
      <c r="AX92" s="3132"/>
      <c r="AY92" s="3132"/>
      <c r="AZ92" s="3132"/>
      <c r="BA92" s="3132"/>
      <c r="BB92" s="3132"/>
      <c r="BC92" s="3132"/>
      <c r="BD92" s="3132"/>
      <c r="BE92" s="781"/>
      <c r="BF92" s="1331"/>
      <c r="BG92" s="1331"/>
      <c r="BH92" s="1005" t="s">
        <v>1528</v>
      </c>
    </row>
    <row s="1656" customFormat="1" customHeight="1" ht="14.25">
      <c r="A93" s="1331"/>
      <c r="B93" s="118">
        <f>InvestmentSources_is_one_block="нет"</f>
        <v>1</v>
      </c>
      <c r="C93" s="1331"/>
      <c r="D93" s="1331"/>
      <c r="E93" s="623">
        <v>15</v>
      </c>
      <c r="F93" s="50" cm="1" t="str">
        <f t="array" ref="F93:F93">OFFSET(E93,-1,1)</f>
        <v>1</v>
      </c>
      <c r="G93" s="1331"/>
      <c r="H93" s="118" t="s">
        <v>1529</v>
      </c>
      <c r="I93" s="1331"/>
      <c r="J93" s="1331"/>
      <c r="K93" s="1331"/>
      <c r="L93" s="1331"/>
      <c r="M93" s="1331"/>
      <c r="N93" s="1331"/>
      <c r="O93" s="1331"/>
      <c r="P93" s="1331"/>
      <c r="Q93" s="1331"/>
      <c r="R93" s="1331"/>
      <c r="S93" s="1331"/>
      <c r="T93" s="468" cm="1" t="str">
        <f t="array" ref="T93:T93">T92</f>
        <v>true</v>
      </c>
      <c r="U93" s="1331"/>
      <c r="V93" s="1331"/>
      <c r="W93" s="1331"/>
      <c r="X93" s="1539"/>
      <c r="Y93" s="1331"/>
      <c r="Z93" s="1529"/>
      <c r="AA93" s="1331"/>
      <c r="AB93" s="295" t="s">
        <v>1530</v>
      </c>
      <c r="AC93" s="772" t="s">
        <v>1531</v>
      </c>
      <c r="AD93" s="296" t="s">
        <v>936</v>
      </c>
      <c r="AE93" s="779"/>
      <c r="AF93" s="779"/>
      <c r="AG93" s="779"/>
      <c r="AH93" s="779"/>
      <c r="AI93" s="779"/>
      <c r="AJ93" s="779"/>
      <c r="AK93" s="779"/>
      <c r="AL93" s="3132"/>
      <c r="AM93" s="3132"/>
      <c r="AN93" s="3132"/>
      <c r="AO93" s="3132"/>
      <c r="AP93" s="3132"/>
      <c r="AQ93" s="3132"/>
      <c r="AR93" s="3132"/>
      <c r="AS93" s="3132"/>
      <c r="AT93" s="3132"/>
      <c r="AU93" s="779"/>
      <c r="AV93" s="3132"/>
      <c r="AW93" s="3132"/>
      <c r="AX93" s="3132"/>
      <c r="AY93" s="3132"/>
      <c r="AZ93" s="3132"/>
      <c r="BA93" s="3132"/>
      <c r="BB93" s="3132"/>
      <c r="BC93" s="3132"/>
      <c r="BD93" s="3132"/>
      <c r="BE93" s="781"/>
      <c r="BF93" s="1331"/>
      <c r="BG93" s="1331"/>
      <c r="BH93" s="1005" t="s">
        <v>1532</v>
      </c>
    </row>
    <row s="1656" customFormat="1" customHeight="1" ht="21.75">
      <c r="A94" s="1331"/>
      <c r="B94" s="118">
        <f>InvestmentSources_is_one_block="нет"</f>
        <v>1</v>
      </c>
      <c r="C94" s="1331"/>
      <c r="D94" s="1331"/>
      <c r="E94" s="623">
        <v>22.5</v>
      </c>
      <c r="F94" s="50" cm="1" t="str">
        <f t="array" ref="F94:F94">OFFSET(E94,-1,1)</f>
        <v>1</v>
      </c>
      <c r="G94" s="1331"/>
      <c r="H94" s="1331"/>
      <c r="I94" s="1331"/>
      <c r="J94" s="1331"/>
      <c r="K94" s="1331"/>
      <c r="L94" s="1331"/>
      <c r="M94" s="1331"/>
      <c r="N94" s="1331"/>
      <c r="O94" s="1331"/>
      <c r="P94" s="1331"/>
      <c r="Q94" s="1331"/>
      <c r="R94" s="1331"/>
      <c r="S94" s="1331"/>
      <c r="T94" s="468" cm="1" t="str">
        <f t="array" ref="T94:T94">T93</f>
        <v>true</v>
      </c>
      <c r="U94" s="1331"/>
      <c r="V94" s="1331"/>
      <c r="W94" s="1331"/>
      <c r="X94" s="1539"/>
      <c r="Y94" s="1331"/>
      <c r="Z94" s="1529"/>
      <c r="AA94" s="1331"/>
      <c r="AB94" s="295" t="s">
        <v>1533</v>
      </c>
      <c r="AC94" s="772" t="s">
        <v>1534</v>
      </c>
      <c r="AD94" s="296" t="s">
        <v>936</v>
      </c>
      <c r="AE94" s="779">
        <f>AE95+AE96+AE97+AE98</f>
        <v>0</v>
      </c>
      <c r="AF94" s="779">
        <f>AF95+AF96+AF97+AF98</f>
        <v>0</v>
      </c>
      <c r="AG94" s="779">
        <f>AG95+AG96+AG97+AG98</f>
        <v>0</v>
      </c>
      <c r="AH94" s="779">
        <f>AH95+AH96+AH97+AH98</f>
        <v>0</v>
      </c>
      <c r="AI94" s="779">
        <f>AI95+AI96+AI97+AI98</f>
        <v>0</v>
      </c>
      <c r="AJ94" s="779">
        <f>AJ95+AJ96+AJ97+AJ98</f>
        <v>0</v>
      </c>
      <c r="AK94" s="779">
        <f>AK95+AK96+AK97+AK98</f>
        <v>0</v>
      </c>
      <c r="AL94" s="3132">
        <f>AL95+AL96+AL97+AL98</f>
        <v>0</v>
      </c>
      <c r="AM94" s="3132">
        <f>AM95+AM96+AM97+AM98</f>
        <v>0</v>
      </c>
      <c r="AN94" s="3132">
        <f>AN95+AN96+AN97+AN98</f>
        <v>0</v>
      </c>
      <c r="AO94" s="3132">
        <f>AO95+AO96+AO97+AO98</f>
        <v>0</v>
      </c>
      <c r="AP94" s="3132">
        <f>AP95+AP96+AP97+AP98</f>
        <v>0</v>
      </c>
      <c r="AQ94" s="3132">
        <f>AQ95+AQ96+AQ97+AQ98</f>
        <v>0</v>
      </c>
      <c r="AR94" s="3132">
        <f>AR95+AR96+AR97+AR98</f>
        <v>0</v>
      </c>
      <c r="AS94" s="3132">
        <f>AS95+AS96+AS97+AS98</f>
        <v>0</v>
      </c>
      <c r="AT94" s="3132">
        <f>AT95+AT96+AT97+AT98</f>
        <v>0</v>
      </c>
      <c r="AU94" s="779">
        <f>AU95+AU96+AU97+AU98</f>
        <v>0</v>
      </c>
      <c r="AV94" s="3132">
        <f>AV95+AV96+AV97+AV98</f>
        <v>0</v>
      </c>
      <c r="AW94" s="3132">
        <f>AW95+AW96+AW97+AW98</f>
        <v>0</v>
      </c>
      <c r="AX94" s="3132">
        <f>AX95+AX96+AX97+AX98</f>
        <v>0</v>
      </c>
      <c r="AY94" s="3132">
        <f>AY95+AY96+AY97+AY98</f>
        <v>0</v>
      </c>
      <c r="AZ94" s="3132">
        <f>AZ95+AZ96+AZ97+AZ98</f>
        <v>0</v>
      </c>
      <c r="BA94" s="3132">
        <f>BA95+BA96+BA97+BA98</f>
        <v>0</v>
      </c>
      <c r="BB94" s="3132">
        <f>BB95+BB96+BB97+BB98</f>
        <v>0</v>
      </c>
      <c r="BC94" s="3132">
        <f>BC95+BC96+BC97+BC98</f>
        <v>0</v>
      </c>
      <c r="BD94" s="3132">
        <f>BD95+BD96+BD97+BD98</f>
        <v>0</v>
      </c>
      <c r="BE94" s="781"/>
      <c r="BF94" s="1331"/>
      <c r="BG94" s="1331"/>
      <c r="BH94" s="1005" t="s">
        <v>1535</v>
      </c>
    </row>
    <row s="1656" customFormat="1" customHeight="1" ht="44.25">
      <c r="A95" s="1331"/>
      <c r="B95" s="118">
        <f>InvestmentSources_is_one_block="нет"</f>
        <v>1</v>
      </c>
      <c r="C95" s="1331"/>
      <c r="D95" s="1331"/>
      <c r="E95" s="623">
        <v>45.75</v>
      </c>
      <c r="F95" s="50" cm="1" t="str">
        <f t="array" ref="F95:F95">OFFSET(E95,-1,1)</f>
        <v>1</v>
      </c>
      <c r="G95" s="1331"/>
      <c r="H95" s="1331"/>
      <c r="I95" s="1331"/>
      <c r="J95" s="1331"/>
      <c r="K95" s="1331"/>
      <c r="L95" s="1331"/>
      <c r="M95" s="1331"/>
      <c r="N95" s="1331"/>
      <c r="O95" s="1331"/>
      <c r="P95" s="1331"/>
      <c r="Q95" s="1331"/>
      <c r="R95" s="1331"/>
      <c r="S95" s="1331"/>
      <c r="T95" s="468" cm="1" t="str">
        <f t="array" ref="T95:T95">T94</f>
        <v>true</v>
      </c>
      <c r="U95" s="1331"/>
      <c r="V95" s="1331"/>
      <c r="W95" s="1331"/>
      <c r="X95" s="1539"/>
      <c r="Y95" s="1331"/>
      <c r="Z95" s="1529"/>
      <c r="AA95" s="1331"/>
      <c r="AB95" s="295" t="s">
        <v>1536</v>
      </c>
      <c r="AC95" s="775" t="s">
        <v>1537</v>
      </c>
      <c r="AD95" s="296" t="s">
        <v>936</v>
      </c>
      <c r="AE95" s="779"/>
      <c r="AF95" s="779"/>
      <c r="AG95" s="779"/>
      <c r="AH95" s="779"/>
      <c r="AI95" s="779"/>
      <c r="AJ95" s="779"/>
      <c r="AK95" s="779"/>
      <c r="AL95" s="3132"/>
      <c r="AM95" s="3132"/>
      <c r="AN95" s="3132"/>
      <c r="AO95" s="3132"/>
      <c r="AP95" s="3132"/>
      <c r="AQ95" s="3132"/>
      <c r="AR95" s="3132"/>
      <c r="AS95" s="3132"/>
      <c r="AT95" s="3132"/>
      <c r="AU95" s="779"/>
      <c r="AV95" s="3132"/>
      <c r="AW95" s="3132"/>
      <c r="AX95" s="3132"/>
      <c r="AY95" s="3132"/>
      <c r="AZ95" s="3132"/>
      <c r="BA95" s="3132"/>
      <c r="BB95" s="3132"/>
      <c r="BC95" s="3132"/>
      <c r="BD95" s="3132"/>
      <c r="BE95" s="781"/>
      <c r="BF95" s="1331"/>
      <c r="BG95" s="1331"/>
      <c r="BH95" s="1005" t="s">
        <v>1538</v>
      </c>
    </row>
    <row s="1656" customFormat="1" customHeight="1" ht="44.25">
      <c r="A96" s="1331"/>
      <c r="B96" s="118">
        <f>InvestmentSources_is_one_block="нет"</f>
        <v>1</v>
      </c>
      <c r="C96" s="1331"/>
      <c r="D96" s="1331"/>
      <c r="E96" s="623">
        <v>45.75</v>
      </c>
      <c r="F96" s="50" cm="1" t="str">
        <f t="array" ref="F96:F96">OFFSET(E96,-1,1)</f>
        <v>1</v>
      </c>
      <c r="G96" s="1331"/>
      <c r="H96" s="1331"/>
      <c r="I96" s="1331"/>
      <c r="J96" s="1331"/>
      <c r="K96" s="1331"/>
      <c r="L96" s="1331"/>
      <c r="M96" s="1331"/>
      <c r="N96" s="1331"/>
      <c r="O96" s="1331"/>
      <c r="P96" s="1331"/>
      <c r="Q96" s="1331"/>
      <c r="R96" s="1331"/>
      <c r="S96" s="1331"/>
      <c r="T96" s="468" cm="1" t="str">
        <f t="array" ref="T96:T96">T95</f>
        <v>true</v>
      </c>
      <c r="U96" s="1331"/>
      <c r="V96" s="1331"/>
      <c r="W96" s="1331"/>
      <c r="X96" s="1539"/>
      <c r="Y96" s="1331"/>
      <c r="Z96" s="1529"/>
      <c r="AA96" s="1331"/>
      <c r="AB96" s="295" t="s">
        <v>1539</v>
      </c>
      <c r="AC96" s="775" t="s">
        <v>1540</v>
      </c>
      <c r="AD96" s="296" t="s">
        <v>936</v>
      </c>
      <c r="AE96" s="779"/>
      <c r="AF96" s="779"/>
      <c r="AG96" s="779"/>
      <c r="AH96" s="779"/>
      <c r="AI96" s="779"/>
      <c r="AJ96" s="779"/>
      <c r="AK96" s="779"/>
      <c r="AL96" s="3132"/>
      <c r="AM96" s="3132"/>
      <c r="AN96" s="3132"/>
      <c r="AO96" s="3132"/>
      <c r="AP96" s="3132"/>
      <c r="AQ96" s="3132"/>
      <c r="AR96" s="3132"/>
      <c r="AS96" s="3132"/>
      <c r="AT96" s="3132"/>
      <c r="AU96" s="779"/>
      <c r="AV96" s="3132"/>
      <c r="AW96" s="3132"/>
      <c r="AX96" s="3132"/>
      <c r="AY96" s="3132"/>
      <c r="AZ96" s="3132"/>
      <c r="BA96" s="3132"/>
      <c r="BB96" s="3132"/>
      <c r="BC96" s="3132"/>
      <c r="BD96" s="3132"/>
      <c r="BE96" s="781"/>
      <c r="BF96" s="1331"/>
      <c r="BG96" s="1331"/>
      <c r="BH96" s="1005" t="s">
        <v>1541</v>
      </c>
    </row>
    <row s="1656" customFormat="1" customHeight="1" ht="44.25">
      <c r="A97" s="1331"/>
      <c r="B97" s="118">
        <f>InvestmentSources_is_one_block="нет"</f>
        <v>1</v>
      </c>
      <c r="C97" s="1331"/>
      <c r="D97" s="1331"/>
      <c r="E97" s="623">
        <v>45.75</v>
      </c>
      <c r="F97" s="50" cm="1" t="str">
        <f t="array" ref="F97:F97">OFFSET(E97,-1,1)</f>
        <v>1</v>
      </c>
      <c r="G97" s="1331"/>
      <c r="H97" s="1331"/>
      <c r="I97" s="1331"/>
      <c r="J97" s="1331"/>
      <c r="K97" s="1331"/>
      <c r="L97" s="1331"/>
      <c r="M97" s="1331"/>
      <c r="N97" s="1331"/>
      <c r="O97" s="1331"/>
      <c r="P97" s="1331"/>
      <c r="Q97" s="1331"/>
      <c r="R97" s="1331"/>
      <c r="S97" s="1331"/>
      <c r="T97" s="468" cm="1" t="str">
        <f t="array" ref="T97:T97">T96</f>
        <v>true</v>
      </c>
      <c r="U97" s="1331"/>
      <c r="V97" s="1331"/>
      <c r="W97" s="1331"/>
      <c r="X97" s="1539"/>
      <c r="Y97" s="1331"/>
      <c r="Z97" s="1529"/>
      <c r="AA97" s="1331"/>
      <c r="AB97" s="295" t="s">
        <v>1542</v>
      </c>
      <c r="AC97" s="775" t="s">
        <v>1543</v>
      </c>
      <c r="AD97" s="296" t="s">
        <v>936</v>
      </c>
      <c r="AE97" s="779"/>
      <c r="AF97" s="779"/>
      <c r="AG97" s="779"/>
      <c r="AH97" s="779"/>
      <c r="AI97" s="779"/>
      <c r="AJ97" s="779"/>
      <c r="AK97" s="779"/>
      <c r="AL97" s="3132"/>
      <c r="AM97" s="3132"/>
      <c r="AN97" s="3132"/>
      <c r="AO97" s="3132"/>
      <c r="AP97" s="3132"/>
      <c r="AQ97" s="3132"/>
      <c r="AR97" s="3132"/>
      <c r="AS97" s="3132"/>
      <c r="AT97" s="3132"/>
      <c r="AU97" s="779"/>
      <c r="AV97" s="3132"/>
      <c r="AW97" s="3132"/>
      <c r="AX97" s="3132"/>
      <c r="AY97" s="3132"/>
      <c r="AZ97" s="3132"/>
      <c r="BA97" s="3132"/>
      <c r="BB97" s="3132"/>
      <c r="BC97" s="3132"/>
      <c r="BD97" s="3132"/>
      <c r="BE97" s="781"/>
      <c r="BF97" s="1331"/>
      <c r="BG97" s="1331"/>
      <c r="BH97" s="1005" t="s">
        <v>1544</v>
      </c>
    </row>
    <row s="1656" customFormat="1" customHeight="1" ht="21.75">
      <c r="A98" s="1331"/>
      <c r="B98" s="118">
        <f>InvestmentSources_is_one_block="нет"</f>
        <v>1</v>
      </c>
      <c r="C98" s="1331"/>
      <c r="D98" s="1331"/>
      <c r="E98" s="623">
        <v>22.5</v>
      </c>
      <c r="F98" s="50" cm="1" t="str">
        <f t="array" ref="F98:F98">OFFSET(E98,-1,1)</f>
        <v>1</v>
      </c>
      <c r="G98" s="1331"/>
      <c r="H98" s="1331"/>
      <c r="I98" s="1331"/>
      <c r="J98" s="1331"/>
      <c r="K98" s="1331"/>
      <c r="L98" s="1331"/>
      <c r="M98" s="1331"/>
      <c r="N98" s="1331"/>
      <c r="O98" s="1331"/>
      <c r="P98" s="1331"/>
      <c r="Q98" s="1331"/>
      <c r="R98" s="1331"/>
      <c r="S98" s="1331"/>
      <c r="T98" s="468" cm="1" t="str">
        <f t="array" ref="T98:T98">T97</f>
        <v>true</v>
      </c>
      <c r="U98" s="1331"/>
      <c r="V98" s="1331"/>
      <c r="W98" s="1331"/>
      <c r="X98" s="1539"/>
      <c r="Y98" s="1331"/>
      <c r="Z98" s="1529"/>
      <c r="AA98" s="1331"/>
      <c r="AB98" s="295" t="s">
        <v>1545</v>
      </c>
      <c r="AC98" s="775" t="s">
        <v>1546</v>
      </c>
      <c r="AD98" s="296" t="s">
        <v>936</v>
      </c>
      <c r="AE98" s="779"/>
      <c r="AF98" s="779"/>
      <c r="AG98" s="779"/>
      <c r="AH98" s="779"/>
      <c r="AI98" s="779"/>
      <c r="AJ98" s="779"/>
      <c r="AK98" s="779"/>
      <c r="AL98" s="3132"/>
      <c r="AM98" s="3132"/>
      <c r="AN98" s="3132"/>
      <c r="AO98" s="3132"/>
      <c r="AP98" s="3132"/>
      <c r="AQ98" s="3132"/>
      <c r="AR98" s="3132"/>
      <c r="AS98" s="3132"/>
      <c r="AT98" s="3132"/>
      <c r="AU98" s="779"/>
      <c r="AV98" s="3132"/>
      <c r="AW98" s="3132"/>
      <c r="AX98" s="3132"/>
      <c r="AY98" s="3132"/>
      <c r="AZ98" s="3132"/>
      <c r="BA98" s="3132"/>
      <c r="BB98" s="3132"/>
      <c r="BC98" s="3132"/>
      <c r="BD98" s="3132"/>
      <c r="BE98" s="781"/>
      <c r="BF98" s="1331"/>
      <c r="BG98" s="1331"/>
      <c r="BH98" s="1005" t="s">
        <v>1547</v>
      </c>
    </row>
    <row s="1656" customFormat="1" customHeight="1" ht="14.25">
      <c r="A99" s="1331"/>
      <c r="B99" s="118">
        <f>InvestmentSources_is_one_block="нет"</f>
        <v>1</v>
      </c>
      <c r="C99" s="1331"/>
      <c r="D99" s="1331"/>
      <c r="E99" s="623">
        <v>15</v>
      </c>
      <c r="F99" s="50" cm="1" t="str">
        <f t="array" ref="F99:F99">OFFSET(E99,-1,1)</f>
        <v>1</v>
      </c>
      <c r="G99" s="1331"/>
      <c r="H99" s="118" t="s">
        <v>570</v>
      </c>
      <c r="I99" s="1331"/>
      <c r="J99" s="1331"/>
      <c r="K99" s="1331"/>
      <c r="L99" s="1331"/>
      <c r="M99" s="1331"/>
      <c r="N99" s="1331"/>
      <c r="O99" s="1331"/>
      <c r="P99" s="1331"/>
      <c r="Q99" s="1331"/>
      <c r="R99" s="1331"/>
      <c r="S99" s="1331"/>
      <c r="T99" s="468" cm="1" t="str">
        <f t="array" ref="T99:T99">T98</f>
        <v>true</v>
      </c>
      <c r="U99" s="1331"/>
      <c r="V99" s="1331"/>
      <c r="W99" s="1331"/>
      <c r="X99" s="1539"/>
      <c r="Y99" s="1331"/>
      <c r="Z99" s="1529"/>
      <c r="AA99" s="1331"/>
      <c r="AB99" s="295" t="s">
        <v>1070</v>
      </c>
      <c r="AC99" s="769" t="s">
        <v>1548</v>
      </c>
      <c r="AD99" s="296" t="s">
        <v>936</v>
      </c>
      <c r="AE99" s="790">
        <f>AE100+AE101+AE102</f>
        <v>0</v>
      </c>
      <c r="AF99" s="790">
        <f>AF100+AF101+AF102</f>
        <v>0</v>
      </c>
      <c r="AG99" s="790">
        <f>AG100+AG101+AG102</f>
        <v>0</v>
      </c>
      <c r="AH99" s="790">
        <f>AH100+AH101+AH102</f>
        <v>0</v>
      </c>
      <c r="AI99" s="790">
        <f>AI100+AI101+AI102</f>
        <v>0</v>
      </c>
      <c r="AJ99" s="790">
        <f>AJ100+AJ101+AJ102</f>
        <v>0</v>
      </c>
      <c r="AK99" s="790">
        <f>AK100+AK101+AK102</f>
        <v>0</v>
      </c>
      <c r="AL99" s="790">
        <f>AL100+AL101+AL102</f>
        <v>0</v>
      </c>
      <c r="AM99" s="790">
        <f>AM100+AM101+AM102</f>
        <v>0</v>
      </c>
      <c r="AN99" s="790">
        <f>AN100+AN101+AN102</f>
        <v>0</v>
      </c>
      <c r="AO99" s="790">
        <f>AO100+AO101+AO102</f>
        <v>0</v>
      </c>
      <c r="AP99" s="790">
        <f>AP100+AP101+AP102</f>
        <v>0</v>
      </c>
      <c r="AQ99" s="790">
        <f>AQ100+AQ101+AQ102</f>
        <v>0</v>
      </c>
      <c r="AR99" s="790">
        <f>AR100+AR101+AR102</f>
        <v>0</v>
      </c>
      <c r="AS99" s="790">
        <f>AS100+AS101+AS102</f>
        <v>0</v>
      </c>
      <c r="AT99" s="790">
        <f>AT100+AT101+AT102</f>
        <v>0</v>
      </c>
      <c r="AU99" s="790">
        <f>AU100+AU101+AU102</f>
        <v>0</v>
      </c>
      <c r="AV99" s="790">
        <f>AV100+AV101+AV102</f>
        <v>0</v>
      </c>
      <c r="AW99" s="790">
        <f>AW100+AW101+AW102</f>
        <v>0</v>
      </c>
      <c r="AX99" s="790">
        <f>AX100+AX101+AX102</f>
        <v>0</v>
      </c>
      <c r="AY99" s="790">
        <f>AY100+AY101+AY102</f>
        <v>0</v>
      </c>
      <c r="AZ99" s="790">
        <f>AZ100+AZ101+AZ102</f>
        <v>0</v>
      </c>
      <c r="BA99" s="790">
        <f>BA100+BA101+BA102</f>
        <v>0</v>
      </c>
      <c r="BB99" s="790">
        <f>BB100+BB101+BB102</f>
        <v>0</v>
      </c>
      <c r="BC99" s="790">
        <f>BC100+BC101+BC102</f>
        <v>0</v>
      </c>
      <c r="BD99" s="790">
        <f>BD100+BD101+BD102</f>
        <v>0</v>
      </c>
      <c r="BE99" s="781"/>
      <c r="BF99" s="1331"/>
      <c r="BG99" s="1331"/>
      <c r="BH99" s="1005" t="s">
        <v>1549</v>
      </c>
    </row>
    <row s="1656" customFormat="1" customHeight="1" ht="14.25">
      <c r="A100" s="1331"/>
      <c r="B100" s="118">
        <f>InvestmentSources_is_one_block="нет"</f>
        <v>1</v>
      </c>
      <c r="C100" s="1331"/>
      <c r="D100" s="1331"/>
      <c r="E100" s="623">
        <v>15</v>
      </c>
      <c r="F100" s="50" cm="1" t="str">
        <f t="array" ref="F100:F100">OFFSET(E100,-1,1)</f>
        <v>1</v>
      </c>
      <c r="G100" s="1331"/>
      <c r="H100" s="118" t="s">
        <v>1550</v>
      </c>
      <c r="I100" s="1331"/>
      <c r="J100" s="1331"/>
      <c r="K100" s="1331"/>
      <c r="L100" s="1331"/>
      <c r="M100" s="1331"/>
      <c r="N100" s="1331"/>
      <c r="O100" s="1331"/>
      <c r="P100" s="1331"/>
      <c r="Q100" s="1331"/>
      <c r="R100" s="1331"/>
      <c r="S100" s="1331"/>
      <c r="T100" s="468" cm="1" t="str">
        <f t="array" ref="T100:T100">T99</f>
        <v>true</v>
      </c>
      <c r="U100" s="1331"/>
      <c r="V100" s="1331"/>
      <c r="W100" s="1331"/>
      <c r="X100" s="1539"/>
      <c r="Y100" s="1331"/>
      <c r="Z100" s="1529"/>
      <c r="AA100" s="1331"/>
      <c r="AB100" s="295" t="s">
        <v>1551</v>
      </c>
      <c r="AC100" s="772" t="s">
        <v>1552</v>
      </c>
      <c r="AD100" s="296" t="s">
        <v>936</v>
      </c>
      <c r="AE100" s="779"/>
      <c r="AF100" s="779"/>
      <c r="AG100" s="779"/>
      <c r="AH100" s="779"/>
      <c r="AI100" s="779"/>
      <c r="AJ100" s="779"/>
      <c r="AK100" s="779"/>
      <c r="AL100" s="3132"/>
      <c r="AM100" s="3132"/>
      <c r="AN100" s="3132"/>
      <c r="AO100" s="3132"/>
      <c r="AP100" s="3132"/>
      <c r="AQ100" s="3132"/>
      <c r="AR100" s="3132"/>
      <c r="AS100" s="3132"/>
      <c r="AT100" s="3132"/>
      <c r="AU100" s="779"/>
      <c r="AV100" s="3132"/>
      <c r="AW100" s="3132"/>
      <c r="AX100" s="3132"/>
      <c r="AY100" s="3132"/>
      <c r="AZ100" s="3132"/>
      <c r="BA100" s="3132"/>
      <c r="BB100" s="3132"/>
      <c r="BC100" s="3132"/>
      <c r="BD100" s="3132"/>
      <c r="BE100" s="781"/>
      <c r="BF100" s="1331"/>
      <c r="BG100" s="1331"/>
      <c r="BH100" s="1005" t="s">
        <v>1456</v>
      </c>
    </row>
    <row s="1656" customFormat="1" customHeight="1" ht="14.25">
      <c r="A101" s="1331"/>
      <c r="B101" s="118">
        <f>InvestmentSources_is_one_block="нет"</f>
        <v>1</v>
      </c>
      <c r="C101" s="1331"/>
      <c r="D101" s="1331"/>
      <c r="E101" s="623">
        <v>15</v>
      </c>
      <c r="F101" s="50" cm="1" t="str">
        <f t="array" ref="F101:F101">OFFSET(E101,-1,1)</f>
        <v>1</v>
      </c>
      <c r="G101" s="1331"/>
      <c r="H101" s="118" t="s">
        <v>1553</v>
      </c>
      <c r="I101" s="1331"/>
      <c r="J101" s="1331"/>
      <c r="K101" s="1331"/>
      <c r="L101" s="1331"/>
      <c r="M101" s="1331"/>
      <c r="N101" s="1331"/>
      <c r="O101" s="1331"/>
      <c r="P101" s="1331"/>
      <c r="Q101" s="1331"/>
      <c r="R101" s="1331"/>
      <c r="S101" s="1331"/>
      <c r="T101" s="468" cm="1" t="str">
        <f t="array" ref="T101:T101">T100</f>
        <v>true</v>
      </c>
      <c r="U101" s="1331"/>
      <c r="V101" s="1331"/>
      <c r="W101" s="1331"/>
      <c r="X101" s="1539"/>
      <c r="Y101" s="1331"/>
      <c r="Z101" s="1529"/>
      <c r="AA101" s="1331"/>
      <c r="AB101" s="295" t="s">
        <v>1554</v>
      </c>
      <c r="AC101" s="772" t="s">
        <v>1555</v>
      </c>
      <c r="AD101" s="296" t="s">
        <v>936</v>
      </c>
      <c r="AE101" s="779"/>
      <c r="AF101" s="779"/>
      <c r="AG101" s="779"/>
      <c r="AH101" s="779"/>
      <c r="AI101" s="779"/>
      <c r="AJ101" s="779"/>
      <c r="AK101" s="779"/>
      <c r="AL101" s="3132"/>
      <c r="AM101" s="3132"/>
      <c r="AN101" s="3132"/>
      <c r="AO101" s="3132"/>
      <c r="AP101" s="3132"/>
      <c r="AQ101" s="3132"/>
      <c r="AR101" s="3132"/>
      <c r="AS101" s="3132"/>
      <c r="AT101" s="3132"/>
      <c r="AU101" s="779"/>
      <c r="AV101" s="3132"/>
      <c r="AW101" s="3132"/>
      <c r="AX101" s="3132"/>
      <c r="AY101" s="3132"/>
      <c r="AZ101" s="3132"/>
      <c r="BA101" s="3132"/>
      <c r="BB101" s="3132"/>
      <c r="BC101" s="3132"/>
      <c r="BD101" s="3132"/>
      <c r="BE101" s="781"/>
      <c r="BF101" s="1331"/>
      <c r="BG101" s="1331"/>
      <c r="BH101" s="1005" t="s">
        <v>1556</v>
      </c>
    </row>
    <row s="1656" customFormat="1" customHeight="1" ht="14.25">
      <c r="A102" s="1331"/>
      <c r="B102" s="118">
        <f>InvestmentSources_is_one_block="нет"</f>
        <v>1</v>
      </c>
      <c r="C102" s="1331"/>
      <c r="D102" s="1331"/>
      <c r="E102" s="623">
        <v>15</v>
      </c>
      <c r="F102" s="50" cm="1" t="str">
        <f t="array" ref="F102:F102">OFFSET(E102,-1,1)</f>
        <v>1</v>
      </c>
      <c r="G102" s="1331"/>
      <c r="H102" s="118" t="s">
        <v>1557</v>
      </c>
      <c r="I102" s="1331"/>
      <c r="J102" s="1331"/>
      <c r="K102" s="1331"/>
      <c r="L102" s="1331"/>
      <c r="M102" s="1331"/>
      <c r="N102" s="1331"/>
      <c r="O102" s="1331"/>
      <c r="P102" s="1331"/>
      <c r="Q102" s="1331"/>
      <c r="R102" s="1331"/>
      <c r="S102" s="1331"/>
      <c r="T102" s="468" cm="1" t="str">
        <f t="array" ref="T102:T102">T101</f>
        <v>true</v>
      </c>
      <c r="U102" s="1331"/>
      <c r="V102" s="1331"/>
      <c r="W102" s="1331"/>
      <c r="X102" s="1539"/>
      <c r="Y102" s="1331"/>
      <c r="Z102" s="1529"/>
      <c r="AA102" s="1331"/>
      <c r="AB102" s="295" t="s">
        <v>1558</v>
      </c>
      <c r="AC102" s="772" t="s">
        <v>1559</v>
      </c>
      <c r="AD102" s="296" t="s">
        <v>936</v>
      </c>
      <c r="AE102" s="779"/>
      <c r="AF102" s="779"/>
      <c r="AG102" s="779"/>
      <c r="AH102" s="779"/>
      <c r="AI102" s="779"/>
      <c r="AJ102" s="779"/>
      <c r="AK102" s="779"/>
      <c r="AL102" s="3132"/>
      <c r="AM102" s="3132"/>
      <c r="AN102" s="3132"/>
      <c r="AO102" s="3132"/>
      <c r="AP102" s="3132"/>
      <c r="AQ102" s="3132"/>
      <c r="AR102" s="3132"/>
      <c r="AS102" s="3132"/>
      <c r="AT102" s="3132"/>
      <c r="AU102" s="779"/>
      <c r="AV102" s="3132"/>
      <c r="AW102" s="3132"/>
      <c r="AX102" s="3132"/>
      <c r="AY102" s="3132"/>
      <c r="AZ102" s="3132"/>
      <c r="BA102" s="3132"/>
      <c r="BB102" s="3132"/>
      <c r="BC102" s="3132"/>
      <c r="BD102" s="3132"/>
      <c r="BE102" s="781"/>
      <c r="BF102" s="1331"/>
      <c r="BG102" s="1331"/>
      <c r="BH102" s="1005" t="s">
        <v>1560</v>
      </c>
    </row>
    <row s="1656" customFormat="1" customHeight="1" ht="14.25">
      <c r="A103" s="1331"/>
      <c r="B103" s="118">
        <f>InvestmentSources_is_one_block="нет"</f>
        <v>1</v>
      </c>
      <c r="C103" s="1331"/>
      <c r="D103" s="1331"/>
      <c r="E103" s="623">
        <v>15</v>
      </c>
      <c r="F103" s="50" cm="1" t="str">
        <f t="array" ref="F103:F103">OFFSET(E103,-1,1)</f>
        <v>1</v>
      </c>
      <c r="G103" s="1331"/>
      <c r="H103" s="118" t="s">
        <v>573</v>
      </c>
      <c r="I103" s="1331"/>
      <c r="J103" s="1331"/>
      <c r="K103" s="1331"/>
      <c r="L103" s="1331"/>
      <c r="M103" s="1331"/>
      <c r="N103" s="1331"/>
      <c r="O103" s="1331"/>
      <c r="P103" s="1331"/>
      <c r="Q103" s="1331"/>
      <c r="R103" s="1331"/>
      <c r="S103" s="1331"/>
      <c r="T103" s="468" cm="1" t="str">
        <f t="array" ref="T103:T103">T102</f>
        <v>true</v>
      </c>
      <c r="U103" s="1331"/>
      <c r="V103" s="1331"/>
      <c r="W103" s="1331"/>
      <c r="X103" s="1539"/>
      <c r="Y103" s="1331"/>
      <c r="Z103" s="1529"/>
      <c r="AA103" s="1331"/>
      <c r="AB103" s="295" t="s">
        <v>1073</v>
      </c>
      <c r="AC103" s="769" t="s">
        <v>1561</v>
      </c>
      <c r="AD103" s="296" t="s">
        <v>936</v>
      </c>
      <c r="AE103" s="790">
        <f>AE104+AE105+AE106</f>
        <v>0</v>
      </c>
      <c r="AF103" s="790">
        <f>AF104+AF105+AF106</f>
        <v>0</v>
      </c>
      <c r="AG103" s="790">
        <f>AG104+AG105+AG106</f>
        <v>0</v>
      </c>
      <c r="AH103" s="790">
        <f>AH104+AH105+AH106</f>
        <v>0</v>
      </c>
      <c r="AI103" s="790">
        <f>AI104+AI105+AI106</f>
        <v>0</v>
      </c>
      <c r="AJ103" s="790">
        <f>AJ104+AJ105+AJ106</f>
        <v>0</v>
      </c>
      <c r="AK103" s="790">
        <f>AK104+AK105+AK106</f>
        <v>0</v>
      </c>
      <c r="AL103" s="790">
        <f>AL104+AL105+AL106</f>
        <v>0</v>
      </c>
      <c r="AM103" s="790">
        <f>AM104+AM105+AM106</f>
        <v>0</v>
      </c>
      <c r="AN103" s="790">
        <f>AN104+AN105+AN106</f>
        <v>0</v>
      </c>
      <c r="AO103" s="790">
        <f>AO104+AO105+AO106</f>
        <v>0</v>
      </c>
      <c r="AP103" s="790">
        <f>AP104+AP105+AP106</f>
        <v>0</v>
      </c>
      <c r="AQ103" s="790">
        <f>AQ104+AQ105+AQ106</f>
        <v>0</v>
      </c>
      <c r="AR103" s="790">
        <f>AR104+AR105+AR106</f>
        <v>0</v>
      </c>
      <c r="AS103" s="790">
        <f>AS104+AS105+AS106</f>
        <v>0</v>
      </c>
      <c r="AT103" s="790">
        <f>AT104+AT105+AT106</f>
        <v>0</v>
      </c>
      <c r="AU103" s="790">
        <f>AU104+AU105+AU106</f>
        <v>0</v>
      </c>
      <c r="AV103" s="790">
        <f>AV104+AV105+AV106</f>
        <v>0</v>
      </c>
      <c r="AW103" s="790">
        <f>AW104+AW105+AW106</f>
        <v>0</v>
      </c>
      <c r="AX103" s="790">
        <f>AX104+AX105+AX106</f>
        <v>0</v>
      </c>
      <c r="AY103" s="790">
        <f>AY104+AY105+AY106</f>
        <v>0</v>
      </c>
      <c r="AZ103" s="790">
        <f>AZ104+AZ105+AZ106</f>
        <v>0</v>
      </c>
      <c r="BA103" s="790">
        <f>BA104+BA105+BA106</f>
        <v>0</v>
      </c>
      <c r="BB103" s="790">
        <f>BB104+BB105+BB106</f>
        <v>0</v>
      </c>
      <c r="BC103" s="790">
        <f>BC104+BC105+BC106</f>
        <v>0</v>
      </c>
      <c r="BD103" s="790">
        <f>BD104+BD105+BD106</f>
        <v>0</v>
      </c>
      <c r="BE103" s="781"/>
      <c r="BF103" s="1331"/>
      <c r="BG103" s="1331"/>
      <c r="BH103" s="1005" t="s">
        <v>1562</v>
      </c>
    </row>
    <row s="1656" customFormat="1" customHeight="1" ht="14.25">
      <c r="A104" s="1331"/>
      <c r="B104" s="118">
        <f>InvestmentSources_is_one_block="нет"</f>
        <v>1</v>
      </c>
      <c r="C104" s="1331"/>
      <c r="D104" s="1331"/>
      <c r="E104" s="623">
        <v>15</v>
      </c>
      <c r="F104" s="50" cm="1" t="str">
        <f t="array" ref="F104:F104">OFFSET(E104,-1,1)</f>
        <v>1</v>
      </c>
      <c r="G104" s="1331"/>
      <c r="H104" s="118" t="s">
        <v>1563</v>
      </c>
      <c r="I104" s="1331"/>
      <c r="J104" s="1331"/>
      <c r="K104" s="1331"/>
      <c r="L104" s="1331"/>
      <c r="M104" s="1331"/>
      <c r="N104" s="1331"/>
      <c r="O104" s="1331"/>
      <c r="P104" s="1331"/>
      <c r="Q104" s="1331"/>
      <c r="R104" s="1331"/>
      <c r="S104" s="1331"/>
      <c r="T104" s="468" cm="1" t="str">
        <f t="array" ref="T104:T104">T103</f>
        <v>true</v>
      </c>
      <c r="U104" s="1331"/>
      <c r="V104" s="1331"/>
      <c r="W104" s="1331"/>
      <c r="X104" s="1539"/>
      <c r="Y104" s="1331"/>
      <c r="Z104" s="1529"/>
      <c r="AA104" s="1331"/>
      <c r="AB104" s="295" t="s">
        <v>1564</v>
      </c>
      <c r="AC104" s="772" t="s">
        <v>1565</v>
      </c>
      <c r="AD104" s="296" t="s">
        <v>936</v>
      </c>
      <c r="AE104" s="779"/>
      <c r="AF104" s="779"/>
      <c r="AG104" s="779"/>
      <c r="AH104" s="779"/>
      <c r="AI104" s="779"/>
      <c r="AJ104" s="779"/>
      <c r="AK104" s="779"/>
      <c r="AL104" s="3132"/>
      <c r="AM104" s="3132"/>
      <c r="AN104" s="3132"/>
      <c r="AO104" s="3132"/>
      <c r="AP104" s="3132"/>
      <c r="AQ104" s="3132"/>
      <c r="AR104" s="3132"/>
      <c r="AS104" s="3132"/>
      <c r="AT104" s="3132"/>
      <c r="AU104" s="779"/>
      <c r="AV104" s="3132"/>
      <c r="AW104" s="3132"/>
      <c r="AX104" s="3132"/>
      <c r="AY104" s="3132"/>
      <c r="AZ104" s="3132"/>
      <c r="BA104" s="3132"/>
      <c r="BB104" s="3132"/>
      <c r="BC104" s="3132"/>
      <c r="BD104" s="3132"/>
      <c r="BE104" s="781"/>
      <c r="BF104" s="1331"/>
      <c r="BG104" s="1331"/>
      <c r="BH104" s="1005" t="s">
        <v>1566</v>
      </c>
    </row>
    <row s="1656" customFormat="1" customHeight="1" ht="14.25">
      <c r="A105" s="1331"/>
      <c r="B105" s="118">
        <f>InvestmentSources_is_one_block="нет"</f>
        <v>1</v>
      </c>
      <c r="C105" s="1331"/>
      <c r="D105" s="1331"/>
      <c r="E105" s="623">
        <v>15</v>
      </c>
      <c r="F105" s="50" cm="1" t="str">
        <f t="array" ref="F105:F105">OFFSET(E105,-1,1)</f>
        <v>1</v>
      </c>
      <c r="G105" s="1331"/>
      <c r="H105" s="118" t="s">
        <v>1567</v>
      </c>
      <c r="I105" s="1331"/>
      <c r="J105" s="1331"/>
      <c r="K105" s="1331"/>
      <c r="L105" s="1331"/>
      <c r="M105" s="1331"/>
      <c r="N105" s="1331"/>
      <c r="O105" s="1331"/>
      <c r="P105" s="1331"/>
      <c r="Q105" s="1331"/>
      <c r="R105" s="1331"/>
      <c r="S105" s="1331"/>
      <c r="T105" s="468" cm="1" t="str">
        <f t="array" ref="T105:T105">T104</f>
        <v>true</v>
      </c>
      <c r="U105" s="1331"/>
      <c r="V105" s="1331"/>
      <c r="W105" s="1331"/>
      <c r="X105" s="1539"/>
      <c r="Y105" s="1331"/>
      <c r="Z105" s="1529"/>
      <c r="AA105" s="1331"/>
      <c r="AB105" s="295" t="s">
        <v>1568</v>
      </c>
      <c r="AC105" s="772" t="s">
        <v>1569</v>
      </c>
      <c r="AD105" s="296" t="s">
        <v>936</v>
      </c>
      <c r="AE105" s="779"/>
      <c r="AF105" s="779"/>
      <c r="AG105" s="779"/>
      <c r="AH105" s="779"/>
      <c r="AI105" s="779"/>
      <c r="AJ105" s="779"/>
      <c r="AK105" s="779"/>
      <c r="AL105" s="3132"/>
      <c r="AM105" s="3132"/>
      <c r="AN105" s="3132"/>
      <c r="AO105" s="3132"/>
      <c r="AP105" s="3132"/>
      <c r="AQ105" s="3132"/>
      <c r="AR105" s="3132"/>
      <c r="AS105" s="3132"/>
      <c r="AT105" s="3132"/>
      <c r="AU105" s="779"/>
      <c r="AV105" s="3132"/>
      <c r="AW105" s="3132"/>
      <c r="AX105" s="3132"/>
      <c r="AY105" s="3132"/>
      <c r="AZ105" s="3132"/>
      <c r="BA105" s="3132"/>
      <c r="BB105" s="3132"/>
      <c r="BC105" s="3132"/>
      <c r="BD105" s="3132"/>
      <c r="BE105" s="781"/>
      <c r="BF105" s="1331"/>
      <c r="BG105" s="1331"/>
      <c r="BH105" s="1005" t="s">
        <v>1570</v>
      </c>
    </row>
    <row s="1656" customFormat="1" customHeight="1" ht="14.25">
      <c r="A106" s="1331"/>
      <c r="B106" s="118">
        <f>InvestmentSources_is_one_block="нет"</f>
        <v>1</v>
      </c>
      <c r="C106" s="1331"/>
      <c r="D106" s="1331"/>
      <c r="E106" s="623">
        <v>15</v>
      </c>
      <c r="F106" s="50" cm="1" t="str">
        <f t="array" ref="F106:F106">OFFSET(E106,-1,1)</f>
        <v>1</v>
      </c>
      <c r="G106" s="1331"/>
      <c r="H106" s="118" t="s">
        <v>1571</v>
      </c>
      <c r="I106" s="1331"/>
      <c r="J106" s="1331"/>
      <c r="K106" s="1331"/>
      <c r="L106" s="1331"/>
      <c r="M106" s="1331"/>
      <c r="N106" s="1331"/>
      <c r="O106" s="1331"/>
      <c r="P106" s="1331"/>
      <c r="Q106" s="1331"/>
      <c r="R106" s="1331"/>
      <c r="S106" s="1331"/>
      <c r="T106" s="468" cm="1" t="str">
        <f t="array" ref="T106:T106">T105</f>
        <v>true</v>
      </c>
      <c r="U106" s="1331"/>
      <c r="V106" s="1331"/>
      <c r="W106" s="1331"/>
      <c r="X106" s="1539"/>
      <c r="Y106" s="1331"/>
      <c r="Z106" s="1529"/>
      <c r="AA106" s="1331"/>
      <c r="AB106" s="295" t="s">
        <v>1572</v>
      </c>
      <c r="AC106" s="772" t="s">
        <v>1573</v>
      </c>
      <c r="AD106" s="296" t="s">
        <v>936</v>
      </c>
      <c r="AE106" s="779"/>
      <c r="AF106" s="779"/>
      <c r="AG106" s="779"/>
      <c r="AH106" s="779"/>
      <c r="AI106" s="779"/>
      <c r="AJ106" s="779"/>
      <c r="AK106" s="779"/>
      <c r="AL106" s="3132"/>
      <c r="AM106" s="3132"/>
      <c r="AN106" s="3132"/>
      <c r="AO106" s="3132"/>
      <c r="AP106" s="3132"/>
      <c r="AQ106" s="3132"/>
      <c r="AR106" s="3132"/>
      <c r="AS106" s="3132"/>
      <c r="AT106" s="3132"/>
      <c r="AU106" s="779"/>
      <c r="AV106" s="3132"/>
      <c r="AW106" s="3132"/>
      <c r="AX106" s="3132"/>
      <c r="AY106" s="3132"/>
      <c r="AZ106" s="3132"/>
      <c r="BA106" s="3132"/>
      <c r="BB106" s="3132"/>
      <c r="BC106" s="3132"/>
      <c r="BD106" s="3132"/>
      <c r="BE106" s="781"/>
      <c r="BF106" s="1331"/>
      <c r="BG106" s="1331"/>
      <c r="BH106" s="1005" t="s">
        <v>1574</v>
      </c>
    </row>
    <row s="1656" customFormat="1" customHeight="1" ht="14.25">
      <c r="A107" s="1331"/>
      <c r="B107" s="118">
        <f>InvestmentSources_is_one_block="нет"</f>
        <v>1</v>
      </c>
      <c r="C107" s="1331"/>
      <c r="D107" s="1331"/>
      <c r="E107" s="623">
        <v>15</v>
      </c>
      <c r="F107" s="50" cm="1" t="str">
        <f t="array" ref="F107:F107">OFFSET(E107,-1,1)</f>
        <v>1</v>
      </c>
      <c r="G107" s="1331"/>
      <c r="H107" s="118" t="s">
        <v>577</v>
      </c>
      <c r="I107" s="1331"/>
      <c r="J107" s="1331"/>
      <c r="K107" s="1331"/>
      <c r="L107" s="1331"/>
      <c r="M107" s="1331"/>
      <c r="N107" s="1331"/>
      <c r="O107" s="1331"/>
      <c r="P107" s="1331"/>
      <c r="Q107" s="1331"/>
      <c r="R107" s="1331"/>
      <c r="S107" s="1331"/>
      <c r="T107" s="468" cm="1" t="str">
        <f t="array" ref="T107:T107">T106</f>
        <v>true</v>
      </c>
      <c r="U107" s="1331"/>
      <c r="V107" s="1331"/>
      <c r="W107" s="1331"/>
      <c r="X107" s="1539"/>
      <c r="Y107" s="1331"/>
      <c r="Z107" s="1529"/>
      <c r="AA107" s="1331"/>
      <c r="AB107" s="295" t="s">
        <v>1076</v>
      </c>
      <c r="AC107" s="769" t="s">
        <v>1575</v>
      </c>
      <c r="AD107" s="296" t="s">
        <v>936</v>
      </c>
      <c r="AE107" s="790">
        <f>AE108+AE109+AE110+AE111</f>
        <v>0</v>
      </c>
      <c r="AF107" s="790">
        <f>AF108+AF109+AF110+AF111</f>
        <v>0</v>
      </c>
      <c r="AG107" s="790">
        <f>AG108+AG109+AG110+AG111</f>
        <v>0</v>
      </c>
      <c r="AH107" s="790">
        <f>AH108+AH109+AH110+AH111</f>
        <v>0</v>
      </c>
      <c r="AI107" s="790">
        <f>AI108+AI109+AI110+AI111</f>
        <v>0</v>
      </c>
      <c r="AJ107" s="790">
        <f>AJ108+AJ109+AJ110+AJ111</f>
        <v>0</v>
      </c>
      <c r="AK107" s="790">
        <f>AK108+AK109+AK110+AK111</f>
        <v>0</v>
      </c>
      <c r="AL107" s="790">
        <f>AL108+AL109+AL110+AL111</f>
        <v>0</v>
      </c>
      <c r="AM107" s="790">
        <f>AM108+AM109+AM110+AM111</f>
        <v>0</v>
      </c>
      <c r="AN107" s="790">
        <f>AN108+AN109+AN110+AN111</f>
        <v>0</v>
      </c>
      <c r="AO107" s="790">
        <f>AO108+AO109+AO110+AO111</f>
        <v>0</v>
      </c>
      <c r="AP107" s="790">
        <f>AP108+AP109+AP110+AP111</f>
        <v>0</v>
      </c>
      <c r="AQ107" s="790">
        <f>AQ108+AQ109+AQ110+AQ111</f>
        <v>0</v>
      </c>
      <c r="AR107" s="790">
        <f>AR108+AR109+AR110+AR111</f>
        <v>0</v>
      </c>
      <c r="AS107" s="790">
        <f>AS108+AS109+AS110+AS111</f>
        <v>0</v>
      </c>
      <c r="AT107" s="790">
        <f>AT108+AT109+AT110+AT111</f>
        <v>0</v>
      </c>
      <c r="AU107" s="790">
        <f>AU108+AU109+AU110+AU111</f>
        <v>0</v>
      </c>
      <c r="AV107" s="790">
        <f>AV108+AV109+AV110+AV111</f>
        <v>0</v>
      </c>
      <c r="AW107" s="790">
        <f>AW108+AW109+AW110+AW111</f>
        <v>0</v>
      </c>
      <c r="AX107" s="790">
        <f>AX108+AX109+AX110+AX111</f>
        <v>0</v>
      </c>
      <c r="AY107" s="790">
        <f>AY108+AY109+AY110+AY111</f>
        <v>0</v>
      </c>
      <c r="AZ107" s="790">
        <f>AZ108+AZ109+AZ110+AZ111</f>
        <v>0</v>
      </c>
      <c r="BA107" s="790">
        <f>BA108+BA109+BA110+BA111</f>
        <v>0</v>
      </c>
      <c r="BB107" s="790">
        <f>BB108+BB109+BB110+BB111</f>
        <v>0</v>
      </c>
      <c r="BC107" s="790">
        <f>BC108+BC109+BC110+BC111</f>
        <v>0</v>
      </c>
      <c r="BD107" s="790">
        <f>BD108+BD109+BD110+BD111</f>
        <v>0</v>
      </c>
      <c r="BE107" s="781"/>
      <c r="BF107" s="1331"/>
      <c r="BG107" s="1331"/>
      <c r="BH107" s="1005" t="s">
        <v>1576</v>
      </c>
    </row>
    <row s="1656" customFormat="1" customHeight="1" ht="14.25">
      <c r="A108" s="1331"/>
      <c r="B108" s="118">
        <f>InvestmentSources_is_one_block="нет"</f>
        <v>1</v>
      </c>
      <c r="C108" s="1331"/>
      <c r="D108" s="1331"/>
      <c r="E108" s="623">
        <v>15</v>
      </c>
      <c r="F108" s="50" cm="1" t="str">
        <f t="array" ref="F108:F108">OFFSET(E108,-1,1)</f>
        <v>1</v>
      </c>
      <c r="G108" s="1331"/>
      <c r="H108" s="118" t="s">
        <v>1577</v>
      </c>
      <c r="I108" s="1331"/>
      <c r="J108" s="1331"/>
      <c r="K108" s="1331"/>
      <c r="L108" s="1331"/>
      <c r="M108" s="1331"/>
      <c r="N108" s="1331"/>
      <c r="O108" s="1331"/>
      <c r="P108" s="1331"/>
      <c r="Q108" s="1331"/>
      <c r="R108" s="1331"/>
      <c r="S108" s="1331"/>
      <c r="T108" s="468" cm="1" t="str">
        <f t="array" ref="T108:T108">T107</f>
        <v>true</v>
      </c>
      <c r="U108" s="1331"/>
      <c r="V108" s="1331"/>
      <c r="W108" s="1331"/>
      <c r="X108" s="1539"/>
      <c r="Y108" s="1331"/>
      <c r="Z108" s="1529"/>
      <c r="AA108" s="1331"/>
      <c r="AB108" s="295" t="s">
        <v>1214</v>
      </c>
      <c r="AC108" s="772" t="s">
        <v>1208</v>
      </c>
      <c r="AD108" s="296" t="s">
        <v>936</v>
      </c>
      <c r="AE108" s="779"/>
      <c r="AF108" s="779"/>
      <c r="AG108" s="779"/>
      <c r="AH108" s="779"/>
      <c r="AI108" s="779"/>
      <c r="AJ108" s="779"/>
      <c r="AK108" s="779"/>
      <c r="AL108" s="3132"/>
      <c r="AM108" s="3132"/>
      <c r="AN108" s="3132"/>
      <c r="AO108" s="3132"/>
      <c r="AP108" s="3132"/>
      <c r="AQ108" s="3132"/>
      <c r="AR108" s="3132"/>
      <c r="AS108" s="3132"/>
      <c r="AT108" s="3132"/>
      <c r="AU108" s="779"/>
      <c r="AV108" s="3132"/>
      <c r="AW108" s="3132"/>
      <c r="AX108" s="3132"/>
      <c r="AY108" s="3132"/>
      <c r="AZ108" s="3132"/>
      <c r="BA108" s="3132"/>
      <c r="BB108" s="3132"/>
      <c r="BC108" s="3132"/>
      <c r="BD108" s="3132"/>
      <c r="BE108" s="781"/>
      <c r="BF108" s="1331"/>
      <c r="BG108" s="1331"/>
      <c r="BH108" s="1005" t="s">
        <v>1210</v>
      </c>
    </row>
    <row s="1656" customFormat="1" customHeight="1" ht="21.75">
      <c r="A109" s="1331"/>
      <c r="B109" s="118">
        <f>InvestmentSources_is_one_block="нет"</f>
        <v>1</v>
      </c>
      <c r="C109" s="1331"/>
      <c r="D109" s="1331"/>
      <c r="E109" s="623">
        <v>22.5</v>
      </c>
      <c r="F109" s="50" cm="1" t="str">
        <f t="array" ref="F109:F109">OFFSET(E109,-1,1)</f>
        <v>1</v>
      </c>
      <c r="G109" s="1331"/>
      <c r="H109" s="118" t="s">
        <v>1578</v>
      </c>
      <c r="I109" s="1331"/>
      <c r="J109" s="1331"/>
      <c r="K109" s="1331"/>
      <c r="L109" s="1331"/>
      <c r="M109" s="1331"/>
      <c r="N109" s="1331"/>
      <c r="O109" s="1331"/>
      <c r="P109" s="1331"/>
      <c r="Q109" s="1331"/>
      <c r="R109" s="1331"/>
      <c r="S109" s="1331"/>
      <c r="T109" s="468" cm="1" t="str">
        <f t="array" ref="T109:T109">T108</f>
        <v>true</v>
      </c>
      <c r="U109" s="1331"/>
      <c r="V109" s="1331"/>
      <c r="W109" s="1331"/>
      <c r="X109" s="1539"/>
      <c r="Y109" s="1331"/>
      <c r="Z109" s="1529"/>
      <c r="AA109" s="1331"/>
      <c r="AB109" s="295" t="s">
        <v>1217</v>
      </c>
      <c r="AC109" s="772" t="s">
        <v>1579</v>
      </c>
      <c r="AD109" s="296" t="s">
        <v>936</v>
      </c>
      <c r="AE109" s="779"/>
      <c r="AF109" s="779"/>
      <c r="AG109" s="779"/>
      <c r="AH109" s="779"/>
      <c r="AI109" s="779"/>
      <c r="AJ109" s="779"/>
      <c r="AK109" s="779"/>
      <c r="AL109" s="3132"/>
      <c r="AM109" s="3132"/>
      <c r="AN109" s="3132"/>
      <c r="AO109" s="3132"/>
      <c r="AP109" s="3132"/>
      <c r="AQ109" s="3132"/>
      <c r="AR109" s="3132"/>
      <c r="AS109" s="3132"/>
      <c r="AT109" s="3132"/>
      <c r="AU109" s="779"/>
      <c r="AV109" s="3132"/>
      <c r="AW109" s="3132"/>
      <c r="AX109" s="3132"/>
      <c r="AY109" s="3132"/>
      <c r="AZ109" s="3132"/>
      <c r="BA109" s="3132"/>
      <c r="BB109" s="3132"/>
      <c r="BC109" s="3132"/>
      <c r="BD109" s="3132"/>
      <c r="BE109" s="781"/>
      <c r="BF109" s="1331"/>
      <c r="BG109" s="1331"/>
      <c r="BH109" s="1005" t="s">
        <v>1580</v>
      </c>
    </row>
    <row s="1656" customFormat="1" customHeight="1" ht="21.75">
      <c r="A110" s="1331"/>
      <c r="B110" s="118">
        <f>InvestmentSources_is_one_block="нет"</f>
        <v>1</v>
      </c>
      <c r="C110" s="1331"/>
      <c r="D110" s="1331"/>
      <c r="E110" s="623">
        <v>22.5</v>
      </c>
      <c r="F110" s="50" cm="1" t="str">
        <f t="array" ref="F110:F110">OFFSET(E110,-1,1)</f>
        <v>1</v>
      </c>
      <c r="G110" s="1331"/>
      <c r="H110" s="118" t="s">
        <v>1581</v>
      </c>
      <c r="I110" s="1331"/>
      <c r="J110" s="1331"/>
      <c r="K110" s="1331"/>
      <c r="L110" s="1331"/>
      <c r="M110" s="1331"/>
      <c r="N110" s="1331"/>
      <c r="O110" s="1331"/>
      <c r="P110" s="1331"/>
      <c r="Q110" s="1331"/>
      <c r="R110" s="1331"/>
      <c r="S110" s="1331"/>
      <c r="T110" s="468" cm="1" t="str">
        <f t="array" ref="T110:T110">T109</f>
        <v>true</v>
      </c>
      <c r="U110" s="1331"/>
      <c r="V110" s="1331"/>
      <c r="W110" s="1331"/>
      <c r="X110" s="1539"/>
      <c r="Y110" s="1331"/>
      <c r="Z110" s="1529"/>
      <c r="AA110" s="1331"/>
      <c r="AB110" s="295" t="s">
        <v>1582</v>
      </c>
      <c r="AC110" s="772" t="s">
        <v>1583</v>
      </c>
      <c r="AD110" s="296" t="s">
        <v>936</v>
      </c>
      <c r="AE110" s="779"/>
      <c r="AF110" s="779"/>
      <c r="AG110" s="779"/>
      <c r="AH110" s="779"/>
      <c r="AI110" s="779"/>
      <c r="AJ110" s="779"/>
      <c r="AK110" s="779"/>
      <c r="AL110" s="3132"/>
      <c r="AM110" s="3132"/>
      <c r="AN110" s="3132"/>
      <c r="AO110" s="3132"/>
      <c r="AP110" s="3132"/>
      <c r="AQ110" s="3132"/>
      <c r="AR110" s="3132"/>
      <c r="AS110" s="3132"/>
      <c r="AT110" s="3132"/>
      <c r="AU110" s="779"/>
      <c r="AV110" s="3132"/>
      <c r="AW110" s="3132"/>
      <c r="AX110" s="3132"/>
      <c r="AY110" s="3132"/>
      <c r="AZ110" s="3132"/>
      <c r="BA110" s="3132"/>
      <c r="BB110" s="3132"/>
      <c r="BC110" s="3132"/>
      <c r="BD110" s="3132"/>
      <c r="BE110" s="781"/>
      <c r="BF110" s="1331"/>
      <c r="BG110" s="1331"/>
      <c r="BH110" s="1005" t="s">
        <v>1584</v>
      </c>
    </row>
    <row s="1656" customFormat="1" customHeight="1" ht="14.25">
      <c r="A111" s="1331"/>
      <c r="B111" s="118">
        <f>InvestmentSources_is_one_block="нет"</f>
        <v>1</v>
      </c>
      <c r="C111" s="1331"/>
      <c r="D111" s="1331"/>
      <c r="E111" s="623">
        <v>15</v>
      </c>
      <c r="F111" s="50" cm="1" t="str">
        <f t="array" ref="F111:F111">OFFSET(E111,-1,1)</f>
        <v>1</v>
      </c>
      <c r="G111" s="1331"/>
      <c r="H111" s="118" t="s">
        <v>1585</v>
      </c>
      <c r="I111" s="1331"/>
      <c r="J111" s="1331"/>
      <c r="K111" s="1331"/>
      <c r="L111" s="1331"/>
      <c r="M111" s="1331"/>
      <c r="N111" s="1331"/>
      <c r="O111" s="1331"/>
      <c r="P111" s="1331"/>
      <c r="Q111" s="1331"/>
      <c r="R111" s="1331"/>
      <c r="S111" s="1331"/>
      <c r="T111" s="468" cm="1" t="str">
        <f t="array" ref="T111:T111">T110</f>
        <v>true</v>
      </c>
      <c r="U111" s="1331"/>
      <c r="V111" s="1331"/>
      <c r="W111" s="1331"/>
      <c r="X111" s="1539"/>
      <c r="Y111" s="1331"/>
      <c r="Z111" s="1529"/>
      <c r="AA111" s="1331"/>
      <c r="AB111" s="295" t="s">
        <v>1586</v>
      </c>
      <c r="AC111" s="772" t="s">
        <v>1587</v>
      </c>
      <c r="AD111" s="296" t="s">
        <v>936</v>
      </c>
      <c r="AE111" s="779"/>
      <c r="AF111" s="779"/>
      <c r="AG111" s="779"/>
      <c r="AH111" s="779"/>
      <c r="AI111" s="779"/>
      <c r="AJ111" s="779"/>
      <c r="AK111" s="779"/>
      <c r="AL111" s="3132"/>
      <c r="AM111" s="3132"/>
      <c r="AN111" s="3132"/>
      <c r="AO111" s="3132"/>
      <c r="AP111" s="3132"/>
      <c r="AQ111" s="3132"/>
      <c r="AR111" s="3132"/>
      <c r="AS111" s="3132"/>
      <c r="AT111" s="3132"/>
      <c r="AU111" s="779"/>
      <c r="AV111" s="3132"/>
      <c r="AW111" s="3132"/>
      <c r="AX111" s="3132"/>
      <c r="AY111" s="3132"/>
      <c r="AZ111" s="3132"/>
      <c r="BA111" s="3132"/>
      <c r="BB111" s="3132"/>
      <c r="BC111" s="3132"/>
      <c r="BD111" s="3132"/>
      <c r="BE111" s="781"/>
      <c r="BF111" s="1331"/>
      <c r="BG111" s="1331"/>
      <c r="BH111" s="1005" t="s">
        <v>1588</v>
      </c>
    </row>
    <row s="4472" customFormat="1" customHeight="1" ht="21.75">
      <c r="A112" s="704"/>
      <c r="B112" s="118">
        <f>InvestmentSources_is_one_block="нет"</f>
        <v>1</v>
      </c>
      <c r="C112" s="704"/>
      <c r="D112" s="704"/>
      <c r="E112" s="697">
        <v>22.5</v>
      </c>
      <c r="F112" s="50" cm="1" t="str">
        <f t="array" ref="F112:F112">OFFSET(E112,-1,1)</f>
        <v>1</v>
      </c>
      <c r="G112" s="118"/>
      <c r="H112" s="118" t="s">
        <v>345</v>
      </c>
      <c r="I112" s="704"/>
      <c r="J112" s="704"/>
      <c r="K112" s="704"/>
      <c r="L112" s="704"/>
      <c r="M112" s="704"/>
      <c r="N112" s="704"/>
      <c r="O112" s="704"/>
      <c r="P112" s="704"/>
      <c r="Q112" s="704"/>
      <c r="R112" s="704"/>
      <c r="S112" s="704"/>
      <c r="T112" s="468" cm="1" t="str">
        <f t="array" ref="T112:T112">T111</f>
        <v>true</v>
      </c>
      <c r="U112" s="704"/>
      <c r="V112" s="704"/>
      <c r="W112" s="704"/>
      <c r="X112" s="1539"/>
      <c r="Y112" s="704"/>
      <c r="Z112" s="1529"/>
      <c r="AA112" s="704"/>
      <c r="AB112" s="214" t="s">
        <v>299</v>
      </c>
      <c r="AC112" s="215" t="s">
        <v>1589</v>
      </c>
      <c r="AD112" s="207" t="s">
        <v>936</v>
      </c>
      <c r="AE112" s="209">
        <f>AE113+AE114+AE115</f>
        <v>0</v>
      </c>
      <c r="AF112" s="209">
        <f>AF113+AF114+AF115</f>
        <v>0</v>
      </c>
      <c r="AG112" s="209">
        <f>AG113+AG114+AG115</f>
        <v>0</v>
      </c>
      <c r="AH112" s="209">
        <f>AH113+AH114+AH115</f>
        <v>0</v>
      </c>
      <c r="AI112" s="209">
        <f>AI113+AI114+AI115</f>
        <v>0</v>
      </c>
      <c r="AJ112" s="209">
        <f>AJ113+AJ114+AJ115</f>
        <v>0</v>
      </c>
      <c r="AK112" s="209">
        <f>AK113+AK114+AK115</f>
        <v>0</v>
      </c>
      <c r="AL112" s="209">
        <f>AL113+AL114+AL115</f>
        <v>0</v>
      </c>
      <c r="AM112" s="209">
        <f>AM113+AM114+AM115</f>
        <v>0</v>
      </c>
      <c r="AN112" s="209">
        <f>AN113+AN114+AN115</f>
        <v>0</v>
      </c>
      <c r="AO112" s="209">
        <f>AO113+AO114+AO115</f>
        <v>0</v>
      </c>
      <c r="AP112" s="209">
        <f>AP113+AP114+AP115</f>
        <v>0</v>
      </c>
      <c r="AQ112" s="209">
        <f>AQ113+AQ114+AQ115</f>
        <v>0</v>
      </c>
      <c r="AR112" s="209">
        <f>AR113+AR114+AR115</f>
        <v>0</v>
      </c>
      <c r="AS112" s="209">
        <f>AS113+AS114+AS115</f>
        <v>0</v>
      </c>
      <c r="AT112" s="209">
        <f>AT113+AT114+AT115</f>
        <v>0</v>
      </c>
      <c r="AU112" s="209">
        <f>AU113+AU114+AU115</f>
        <v>0</v>
      </c>
      <c r="AV112" s="209">
        <f>AV113+AV114+AV115</f>
        <v>0</v>
      </c>
      <c r="AW112" s="209">
        <f>AW113+AW114+AW115</f>
        <v>0</v>
      </c>
      <c r="AX112" s="209">
        <f>AX113+AX114+AX115</f>
        <v>0</v>
      </c>
      <c r="AY112" s="209">
        <f>AY113+AY114+AY115</f>
        <v>0</v>
      </c>
      <c r="AZ112" s="209">
        <f>AZ113+AZ114+AZ115</f>
        <v>0</v>
      </c>
      <c r="BA112" s="209">
        <f>BA113+BA114+BA115</f>
        <v>0</v>
      </c>
      <c r="BB112" s="209">
        <f>BB113+BB114+BB115</f>
        <v>0</v>
      </c>
      <c r="BC112" s="209">
        <f>BC113+BC114+BC115</f>
        <v>0</v>
      </c>
      <c r="BD112" s="209">
        <f>BD113+BD114+BD115</f>
        <v>0</v>
      </c>
      <c r="BE112" s="781"/>
      <c r="BF112" s="704"/>
      <c r="BG112" s="704"/>
      <c r="BH112" s="1059" t="s">
        <v>1590</v>
      </c>
    </row>
    <row s="1656" customFormat="1" customHeight="1" ht="14.25">
      <c r="A113" s="1331"/>
      <c r="B113" s="118">
        <f>InvestmentSources_is_one_block="нет"</f>
        <v>1</v>
      </c>
      <c r="C113" s="1331"/>
      <c r="D113" s="1331"/>
      <c r="E113" s="623">
        <v>15</v>
      </c>
      <c r="F113" s="50" cm="1" t="str">
        <f t="array" ref="F113:F113">OFFSET(E113,-1,1)</f>
        <v>1</v>
      </c>
      <c r="G113" s="1331"/>
      <c r="H113" s="118" t="s">
        <v>584</v>
      </c>
      <c r="I113" s="1331"/>
      <c r="J113" s="1331"/>
      <c r="K113" s="120" t="str">
        <f>F113&amp;"2komm"</f>
        <v>12komm</v>
      </c>
      <c r="L113" s="120" cm="1" t="str">
        <f t="array" ref="L113:L113">BE113</f>
        <v>0</v>
      </c>
      <c r="M113" s="1331"/>
      <c r="N113" s="1331"/>
      <c r="O113" s="1331"/>
      <c r="P113" s="1331"/>
      <c r="Q113" s="1331"/>
      <c r="R113" s="1331"/>
      <c r="S113" s="1331"/>
      <c r="T113" s="468" cm="1" t="str">
        <f t="array" ref="T113:T113">T112</f>
        <v>true</v>
      </c>
      <c r="U113" s="1331"/>
      <c r="V113" s="1331"/>
      <c r="W113" s="1331"/>
      <c r="X113" s="1539"/>
      <c r="Y113" s="1331"/>
      <c r="Z113" s="1529"/>
      <c r="AA113" s="1331"/>
      <c r="AB113" s="295" t="s">
        <v>660</v>
      </c>
      <c r="AC113" s="769" t="s">
        <v>1591</v>
      </c>
      <c r="AD113" s="296" t="s">
        <v>936</v>
      </c>
      <c r="AE113" s="779"/>
      <c r="AF113" s="779"/>
      <c r="AG113" s="779"/>
      <c r="AH113" s="779"/>
      <c r="AI113" s="779"/>
      <c r="AJ113" s="779"/>
      <c r="AK113" s="779"/>
      <c r="AL113" s="3132"/>
      <c r="AM113" s="3132"/>
      <c r="AN113" s="3132"/>
      <c r="AO113" s="3132"/>
      <c r="AP113" s="3132"/>
      <c r="AQ113" s="3132"/>
      <c r="AR113" s="3132"/>
      <c r="AS113" s="3132"/>
      <c r="AT113" s="3132"/>
      <c r="AU113" s="779"/>
      <c r="AV113" s="3132"/>
      <c r="AW113" s="3132"/>
      <c r="AX113" s="3132"/>
      <c r="AY113" s="3132"/>
      <c r="AZ113" s="3132"/>
      <c r="BA113" s="3132"/>
      <c r="BB113" s="3132"/>
      <c r="BC113" s="3132"/>
      <c r="BD113" s="3132"/>
      <c r="BE113" s="781"/>
      <c r="BF113" s="1331"/>
      <c r="BG113" s="1331"/>
      <c r="BH113" s="1005" t="s">
        <v>1592</v>
      </c>
    </row>
    <row s="1656" customFormat="1" customHeight="1" ht="14.25">
      <c r="A114" s="1331"/>
      <c r="B114" s="118">
        <f>InvestmentSources_is_one_block="нет"</f>
        <v>1</v>
      </c>
      <c r="C114" s="1331"/>
      <c r="D114" s="1331"/>
      <c r="E114" s="623">
        <v>15</v>
      </c>
      <c r="F114" s="50" cm="1" t="str">
        <f t="array" ref="F114:F114">OFFSET(E114,-1,1)</f>
        <v>1</v>
      </c>
      <c r="G114" s="1331"/>
      <c r="H114" s="118" t="s">
        <v>587</v>
      </c>
      <c r="I114" s="1331"/>
      <c r="J114" s="1331"/>
      <c r="K114" s="120" t="str">
        <f>F114&amp;"3komm"</f>
        <v>13komm</v>
      </c>
      <c r="L114" s="120" cm="1" t="str">
        <f t="array" ref="L114:L114">BE114</f>
        <v>0</v>
      </c>
      <c r="M114" s="1331"/>
      <c r="N114" s="1331"/>
      <c r="O114" s="1331"/>
      <c r="P114" s="1331"/>
      <c r="Q114" s="1331"/>
      <c r="R114" s="1331"/>
      <c r="S114" s="1331"/>
      <c r="T114" s="468" cm="1" t="str">
        <f t="array" ref="T114:T114">T113</f>
        <v>true</v>
      </c>
      <c r="U114" s="1331"/>
      <c r="V114" s="1331"/>
      <c r="W114" s="1331"/>
      <c r="X114" s="1539"/>
      <c r="Y114" s="1331"/>
      <c r="Z114" s="1529"/>
      <c r="AA114" s="1331"/>
      <c r="AB114" s="295" t="s">
        <v>664</v>
      </c>
      <c r="AC114" s="769" t="s">
        <v>1593</v>
      </c>
      <c r="AD114" s="296" t="s">
        <v>936</v>
      </c>
      <c r="AE114" s="779"/>
      <c r="AF114" s="779"/>
      <c r="AG114" s="779"/>
      <c r="AH114" s="779"/>
      <c r="AI114" s="779"/>
      <c r="AJ114" s="779"/>
      <c r="AK114" s="779"/>
      <c r="AL114" s="3132"/>
      <c r="AM114" s="3132"/>
      <c r="AN114" s="3132"/>
      <c r="AO114" s="3132"/>
      <c r="AP114" s="3132"/>
      <c r="AQ114" s="3132"/>
      <c r="AR114" s="3132"/>
      <c r="AS114" s="3132"/>
      <c r="AT114" s="3132"/>
      <c r="AU114" s="779"/>
      <c r="AV114" s="3132"/>
      <c r="AW114" s="3132"/>
      <c r="AX114" s="3132"/>
      <c r="AY114" s="3132"/>
      <c r="AZ114" s="3132"/>
      <c r="BA114" s="3132"/>
      <c r="BB114" s="3132"/>
      <c r="BC114" s="3132"/>
      <c r="BD114" s="3132"/>
      <c r="BE114" s="781"/>
      <c r="BF114" s="1331"/>
      <c r="BG114" s="1331"/>
      <c r="BH114" s="1005" t="s">
        <v>1594</v>
      </c>
    </row>
    <row s="1656" customFormat="1" customHeight="1" ht="14.25">
      <c r="A115" s="1331"/>
      <c r="B115" s="118">
        <f>InvestmentSources_is_one_block="нет"</f>
        <v>1</v>
      </c>
      <c r="C115" s="1331"/>
      <c r="D115" s="1331"/>
      <c r="E115" s="623">
        <v>15</v>
      </c>
      <c r="F115" s="50" cm="1" t="str">
        <f t="array" ref="F115:F115">OFFSET(E115,-1,1)</f>
        <v>1</v>
      </c>
      <c r="G115" s="1331"/>
      <c r="H115" s="118" t="s">
        <v>1087</v>
      </c>
      <c r="I115" s="1331"/>
      <c r="J115" s="1331"/>
      <c r="K115" s="1331"/>
      <c r="L115" s="1331"/>
      <c r="M115" s="1331"/>
      <c r="N115" s="1331"/>
      <c r="O115" s="1331"/>
      <c r="P115" s="1331"/>
      <c r="Q115" s="1331"/>
      <c r="R115" s="1331"/>
      <c r="S115" s="1331"/>
      <c r="T115" s="468" cm="1" t="str">
        <f t="array" ref="T115:T115">T114</f>
        <v>true</v>
      </c>
      <c r="U115" s="1331"/>
      <c r="V115" s="1331"/>
      <c r="W115" s="1331"/>
      <c r="X115" s="1539"/>
      <c r="Y115" s="1331"/>
      <c r="Z115" s="1529"/>
      <c r="AA115" s="1331"/>
      <c r="AB115" s="295" t="s">
        <v>668</v>
      </c>
      <c r="AC115" s="769" t="s">
        <v>1595</v>
      </c>
      <c r="AD115" s="296" t="s">
        <v>936</v>
      </c>
      <c r="AE115" s="779"/>
      <c r="AF115" s="779"/>
      <c r="AG115" s="779"/>
      <c r="AH115" s="779"/>
      <c r="AI115" s="779"/>
      <c r="AJ115" s="779"/>
      <c r="AK115" s="779"/>
      <c r="AL115" s="3132"/>
      <c r="AM115" s="3132"/>
      <c r="AN115" s="3132"/>
      <c r="AO115" s="3132"/>
      <c r="AP115" s="3132"/>
      <c r="AQ115" s="3132"/>
      <c r="AR115" s="3132"/>
      <c r="AS115" s="3132"/>
      <c r="AT115" s="3132"/>
      <c r="AU115" s="779"/>
      <c r="AV115" s="3132"/>
      <c r="AW115" s="3132"/>
      <c r="AX115" s="3132"/>
      <c r="AY115" s="3132"/>
      <c r="AZ115" s="3132"/>
      <c r="BA115" s="3132"/>
      <c r="BB115" s="3132"/>
      <c r="BC115" s="3132"/>
      <c r="BD115" s="3132"/>
      <c r="BE115" s="781"/>
      <c r="BF115" s="1331"/>
      <c r="BG115" s="1331"/>
      <c r="BH115" s="1005" t="s">
        <v>1596</v>
      </c>
    </row>
    <row s="1656" customFormat="1" customHeight="1" ht="27.421875">
      <c r="A116" s="1331"/>
      <c r="B116" s="118">
        <f>InvestmentSources_is_one_block="нет"</f>
        <v>1</v>
      </c>
      <c r="C116" s="1331"/>
      <c r="D116" s="1331"/>
      <c r="E116" s="623">
        <v>15</v>
      </c>
      <c r="F116" s="94" cm="1" t="str">
        <f t="array" ref="F116:F116">X116</f>
        <v>2</v>
      </c>
      <c r="G116" s="1331"/>
      <c r="H116" s="1331"/>
      <c r="I116" s="1331"/>
      <c r="J116" s="1331"/>
      <c r="K116" s="1331"/>
      <c r="L116" s="1331"/>
      <c r="M116" s="1331"/>
      <c r="N116" s="1331"/>
      <c r="O116" s="1331"/>
      <c r="P116" s="1331"/>
      <c r="Q116" s="1331"/>
      <c r="R116" s="1331"/>
      <c r="S116" s="1331"/>
      <c r="T116" s="468">
        <f>X116&gt;0</f>
        <v>1</v>
      </c>
      <c r="U116" s="1331"/>
      <c r="V116" s="118" cm="1" t="str">
        <f t="array" ref="V116:V116">Налоги!$AB$55</f>
        <v>Тариф 2 (Водоотведение) - тариф на водоотведение (Оказание услуг на территории: город Ленинск-Кузнецкий (ОКТМО: 32719000) - г Ленинск-Кузнецкий)</v>
      </c>
      <c r="W116" s="1331"/>
      <c r="X116" s="1539" t="s">
        <v>299</v>
      </c>
      <c r="Y116" s="1331"/>
      <c r="Z116" s="1529"/>
      <c r="AA116" s="1331"/>
      <c r="AB116" s="238" cm="1" t="str">
        <f t="array" ref="AB116:AB116">Налоги!$AB$55</f>
        <v>Тариф 2 (Водоотведение) - тариф на водоотведение (Оказание услуг на территории: город Ленинск-Кузнецкий (ОКТМО: 32719000) - г Ленинск-Кузнецкий)</v>
      </c>
      <c r="AC116" s="839"/>
      <c r="AD116" s="839"/>
      <c r="AE116" s="839"/>
      <c r="AF116" s="839"/>
      <c r="AG116" s="839"/>
      <c r="AH116" s="839"/>
      <c r="AI116" s="839"/>
      <c r="AJ116" s="839"/>
      <c r="AK116" s="839"/>
      <c r="AL116" s="839"/>
      <c r="AM116" s="839"/>
      <c r="AN116" s="839"/>
      <c r="AO116" s="839"/>
      <c r="AP116" s="839"/>
      <c r="AQ116" s="839"/>
      <c r="AR116" s="839"/>
      <c r="AS116" s="839"/>
      <c r="AT116" s="839"/>
      <c r="AU116" s="839"/>
      <c r="AV116" s="839"/>
      <c r="AW116" s="839"/>
      <c r="AX116" s="839"/>
      <c r="AY116" s="839"/>
      <c r="AZ116" s="839"/>
      <c r="BA116" s="839"/>
      <c r="BB116" s="839"/>
      <c r="BC116" s="839"/>
      <c r="BD116" s="839"/>
      <c r="BE116" s="839"/>
      <c r="BF116" s="1331"/>
      <c r="BG116" s="1331"/>
      <c r="BH116" s="1245"/>
    </row>
    <row s="4473" customFormat="1" customHeight="1" ht="61.921875">
      <c r="A117" s="704"/>
      <c r="B117" s="118">
        <f>InvestmentSources_is_one_block="нет"</f>
        <v>1</v>
      </c>
      <c r="C117" s="704"/>
      <c r="D117" s="704"/>
      <c r="E117" s="697">
        <v>22.5</v>
      </c>
      <c r="F117" s="50" cm="1" t="str">
        <f t="array" ref="F117:F117">OFFSET(E117,-1,1)</f>
        <v>2</v>
      </c>
      <c r="G117" s="118"/>
      <c r="H117" s="118" t="s">
        <v>344</v>
      </c>
      <c r="I117" s="704"/>
      <c r="J117" s="704"/>
      <c r="K117" s="704"/>
      <c r="L117" s="704"/>
      <c r="M117" s="704"/>
      <c r="N117" s="704"/>
      <c r="O117" s="704"/>
      <c r="P117" s="704"/>
      <c r="Q117" s="704"/>
      <c r="R117" s="704"/>
      <c r="S117" s="704"/>
      <c r="T117" s="468" cm="1" t="str">
        <f t="array" ref="T117:T117">T116</f>
        <v>true</v>
      </c>
      <c r="U117" s="704"/>
      <c r="V117" s="704"/>
      <c r="W117" s="704"/>
      <c r="X117" s="1539"/>
      <c r="Y117" s="704"/>
      <c r="Z117" s="1529"/>
      <c r="AA117" s="704"/>
      <c r="AB117" s="214">
        <v>1</v>
      </c>
      <c r="AC117" s="208" t="s">
        <v>1518</v>
      </c>
      <c r="AD117" s="207" t="s">
        <v>936</v>
      </c>
      <c r="AE117" s="209">
        <f>AE118+AE128+AE132+AE136</f>
        <v>1248.5</v>
      </c>
      <c r="AF117" s="209">
        <f>AF118+AF128+AF132+AF136</f>
        <v>1248.5</v>
      </c>
      <c r="AG117" s="209">
        <f>AG118+AG128+AG132+AG136</f>
        <v>1248.91</v>
      </c>
      <c r="AH117" s="209">
        <f>AH118+AH128+AH132+AH136</f>
        <v>1248.5</v>
      </c>
      <c r="AI117" s="209">
        <f>AI118+AI128+AI132+AI136</f>
        <v>1214.9</v>
      </c>
      <c r="AJ117" s="209">
        <f>AJ118+AJ128+AJ132+AJ136</f>
        <v>1214.9</v>
      </c>
      <c r="AK117" s="209">
        <f>AK118+AK128+AK132+AK136</f>
        <v>2777.8</v>
      </c>
      <c r="AL117" s="209">
        <f>AL118+AL128+AL132+AL136</f>
        <v>0</v>
      </c>
      <c r="AM117" s="209">
        <f>AM118+AM128+AM132+AM136</f>
        <v>0</v>
      </c>
      <c r="AN117" s="209">
        <f>AN118+AN128+AN132+AN136</f>
        <v>0</v>
      </c>
      <c r="AO117" s="209">
        <f>AO118+AO128+AO132+AO136</f>
        <v>0</v>
      </c>
      <c r="AP117" s="209">
        <f>AP118+AP128+AP132+AP136</f>
        <v>0</v>
      </c>
      <c r="AQ117" s="209">
        <f>AQ118+AQ128+AQ132+AQ136</f>
        <v>0</v>
      </c>
      <c r="AR117" s="209">
        <f>AR118+AR128+AR132+AR136</f>
        <v>0</v>
      </c>
      <c r="AS117" s="209">
        <f>AS118+AS128+AS132+AS136</f>
        <v>0</v>
      </c>
      <c r="AT117" s="209">
        <f>AT118+AT128+AT132+AT136</f>
        <v>0</v>
      </c>
      <c r="AU117" s="209">
        <f>AU118+AU128+AU132+AU136</f>
        <v>2227.8</v>
      </c>
      <c r="AV117" s="209">
        <f>AV118+AV128+AV132+AV136</f>
        <v>0</v>
      </c>
      <c r="AW117" s="209">
        <f>AW118+AW128+AW132+AW136</f>
        <v>0</v>
      </c>
      <c r="AX117" s="209">
        <f>AX118+AX128+AX132+AX136</f>
        <v>0</v>
      </c>
      <c r="AY117" s="209">
        <f>AY118+AY128+AY132+AY136</f>
        <v>0</v>
      </c>
      <c r="AZ117" s="209">
        <f>AZ118+AZ128+AZ132+AZ136</f>
        <v>0</v>
      </c>
      <c r="BA117" s="209">
        <f>BA118+BA128+BA132+BA136</f>
        <v>0</v>
      </c>
      <c r="BB117" s="209">
        <f>BB118+BB128+BB132+BB136</f>
        <v>0</v>
      </c>
      <c r="BC117" s="209">
        <f>BC118+BC128+BC132+BC136</f>
        <v>0</v>
      </c>
      <c r="BD117" s="209">
        <f>BD118+BD128+BD132+BD136</f>
        <v>0</v>
      </c>
      <c r="BE117" s="781" t="s">
        <v>1175</v>
      </c>
      <c r="BF117" s="704"/>
      <c r="BG117" s="704"/>
      <c r="BH117" s="1059" t="s">
        <v>1519</v>
      </c>
    </row>
    <row s="1656" customFormat="1" customHeight="1" ht="84.17410714285715">
      <c r="A118" s="1331"/>
      <c r="B118" s="118">
        <f>InvestmentSources_is_one_block="нет"</f>
        <v>1</v>
      </c>
      <c r="C118" s="1331"/>
      <c r="D118" s="1331"/>
      <c r="E118" s="623">
        <v>15</v>
      </c>
      <c r="F118" s="50" cm="1" t="str">
        <f t="array" ref="F118:F118">OFFSET(E118,-1,1)</f>
        <v>2</v>
      </c>
      <c r="G118" s="1331"/>
      <c r="H118" s="118" t="s">
        <v>566</v>
      </c>
      <c r="I118" s="1331"/>
      <c r="J118" s="1331"/>
      <c r="K118" s="1331"/>
      <c r="L118" s="1331"/>
      <c r="M118" s="1331"/>
      <c r="N118" s="1331"/>
      <c r="O118" s="1331"/>
      <c r="P118" s="1331"/>
      <c r="Q118" s="1331"/>
      <c r="R118" s="1331"/>
      <c r="S118" s="1331"/>
      <c r="T118" s="468" cm="1" t="str">
        <f t="array" ref="T118:T118">T117</f>
        <v>true</v>
      </c>
      <c r="U118" s="1331"/>
      <c r="V118" s="1331"/>
      <c r="W118" s="1331"/>
      <c r="X118" s="1539"/>
      <c r="Y118" s="1331"/>
      <c r="Z118" s="1529"/>
      <c r="AA118" s="1331"/>
      <c r="AB118" s="295" t="s">
        <v>1067</v>
      </c>
      <c r="AC118" s="769" t="s">
        <v>1520</v>
      </c>
      <c r="AD118" s="296" t="s">
        <v>936</v>
      </c>
      <c r="AE118" s="790">
        <f>AE119+AE120+AE121+AE122+AE123</f>
        <v>1248.5</v>
      </c>
      <c r="AF118" s="790">
        <f>AF119+AF120+AF121+AF122+AF123</f>
        <v>1248.5</v>
      </c>
      <c r="AG118" s="790">
        <f>AG119+AG120+AG121+AG122+AG123</f>
        <v>1248.91</v>
      </c>
      <c r="AH118" s="790">
        <f>AH119+AH120+AH121+AH122+AH123</f>
        <v>1248.5</v>
      </c>
      <c r="AI118" s="790">
        <f>AI119+AI120+AI121+AI122+AI123</f>
        <v>1214.9</v>
      </c>
      <c r="AJ118" s="790">
        <f>AJ119+AJ120+AJ121+AJ122+AJ123</f>
        <v>1214.9</v>
      </c>
      <c r="AK118" s="790">
        <f>AK119+AK120+AK121+AK122+AK123</f>
        <v>2777.8</v>
      </c>
      <c r="AL118" s="790">
        <f>AL119+AL120+AL121+AL122+AL123</f>
        <v>0</v>
      </c>
      <c r="AM118" s="790">
        <f>AM119+AM120+AM121+AM122+AM123</f>
        <v>0</v>
      </c>
      <c r="AN118" s="790">
        <f>AN119+AN120+AN121+AN122+AN123</f>
        <v>0</v>
      </c>
      <c r="AO118" s="790">
        <f>AO119+AO120+AO121+AO122+AO123</f>
        <v>0</v>
      </c>
      <c r="AP118" s="790">
        <f>AP119+AP120+AP121+AP122+AP123</f>
        <v>0</v>
      </c>
      <c r="AQ118" s="790">
        <f>AQ119+AQ120+AQ121+AQ122+AQ123</f>
        <v>0</v>
      </c>
      <c r="AR118" s="790">
        <f>AR119+AR120+AR121+AR122+AR123</f>
        <v>0</v>
      </c>
      <c r="AS118" s="790">
        <f>AS119+AS120+AS121+AS122+AS123</f>
        <v>0</v>
      </c>
      <c r="AT118" s="790">
        <f>AT119+AT120+AT121+AT122+AT123</f>
        <v>0</v>
      </c>
      <c r="AU118" s="790">
        <f>AU119+AU120+AU121+AU122+AU123</f>
        <v>2227.8</v>
      </c>
      <c r="AV118" s="790">
        <f>AV119+AV120+AV121+AV122+AV123</f>
        <v>0</v>
      </c>
      <c r="AW118" s="790">
        <f>AW119+AW120+AW121+AW122+AW123</f>
        <v>0</v>
      </c>
      <c r="AX118" s="790">
        <f>AX119+AX120+AX121+AX122+AX123</f>
        <v>0</v>
      </c>
      <c r="AY118" s="790">
        <f>AY119+AY120+AY121+AY122+AY123</f>
        <v>0</v>
      </c>
      <c r="AZ118" s="790">
        <f>AZ119+AZ120+AZ121+AZ122+AZ123</f>
        <v>0</v>
      </c>
      <c r="BA118" s="790">
        <f>BA119+BA120+BA121+BA122+BA123</f>
        <v>0</v>
      </c>
      <c r="BB118" s="790">
        <f>BB119+BB120+BB121+BB122+BB123</f>
        <v>0</v>
      </c>
      <c r="BC118" s="790">
        <f>BC119+BC120+BC121+BC122+BC123</f>
        <v>0</v>
      </c>
      <c r="BD118" s="790">
        <f>BD119+BD120+BD121+BD122+BD123</f>
        <v>0</v>
      </c>
      <c r="BE118" s="781" t="s">
        <v>1598</v>
      </c>
      <c r="BF118" s="1331"/>
      <c r="BG118" s="1331"/>
      <c r="BH118" s="1005" t="s">
        <v>1521</v>
      </c>
    </row>
    <row s="1656" customFormat="1" customHeight="1" ht="22.921875">
      <c r="A119" s="1331"/>
      <c r="B119" s="118">
        <f>InvestmentSources_is_one_block="нет"</f>
        <v>1</v>
      </c>
      <c r="C119" s="1331"/>
      <c r="D119" s="1331"/>
      <c r="E119" s="623">
        <v>15</v>
      </c>
      <c r="F119" s="50" cm="1" t="str">
        <f t="array" ref="F119:F119">OFFSET(E119,-1,1)</f>
        <v>2</v>
      </c>
      <c r="G119" s="1331"/>
      <c r="H119" s="118" t="s">
        <v>1197</v>
      </c>
      <c r="I119" s="1331"/>
      <c r="J119" s="1331"/>
      <c r="K119" s="1331"/>
      <c r="L119" s="1331"/>
      <c r="M119" s="1331"/>
      <c r="N119" s="1331"/>
      <c r="O119" s="1331"/>
      <c r="P119" s="1331"/>
      <c r="Q119" s="1331"/>
      <c r="R119" s="1331"/>
      <c r="S119" s="1331"/>
      <c r="T119" s="468" cm="1" t="str">
        <f t="array" ref="T119:T119">T118</f>
        <v>true</v>
      </c>
      <c r="U119" s="1331"/>
      <c r="V119" s="1331"/>
      <c r="W119" s="1331"/>
      <c r="X119" s="1539"/>
      <c r="Y119" s="1331"/>
      <c r="Z119" s="1529"/>
      <c r="AA119" s="1331"/>
      <c r="AB119" s="295" t="s">
        <v>1198</v>
      </c>
      <c r="AC119" s="772" t="s">
        <v>1522</v>
      </c>
      <c r="AD119" s="296" t="s">
        <v>936</v>
      </c>
      <c r="AE119" s="779"/>
      <c r="AF119" s="779">
        <v>0</v>
      </c>
      <c r="AG119" s="779"/>
      <c r="AH119" s="779"/>
      <c r="AI119" s="779"/>
      <c r="AJ119" s="779">
        <v>0</v>
      </c>
      <c r="AK119" s="779"/>
      <c r="AL119" s="3132"/>
      <c r="AM119" s="3132"/>
      <c r="AN119" s="3132"/>
      <c r="AO119" s="3132"/>
      <c r="AP119" s="3132"/>
      <c r="AQ119" s="3132"/>
      <c r="AR119" s="3132"/>
      <c r="AS119" s="3132"/>
      <c r="AT119" s="3132"/>
      <c r="AU119" s="779"/>
      <c r="AV119" s="3132"/>
      <c r="AW119" s="3132"/>
      <c r="AX119" s="3132"/>
      <c r="AY119" s="3132"/>
      <c r="AZ119" s="3132"/>
      <c r="BA119" s="3132"/>
      <c r="BB119" s="3132"/>
      <c r="BC119" s="3132"/>
      <c r="BD119" s="3132"/>
      <c r="BE119" s="781"/>
      <c r="BF119" s="1331"/>
      <c r="BG119" s="1331"/>
      <c r="BH119" s="1005" t="s">
        <v>1435</v>
      </c>
    </row>
    <row s="1656" customFormat="1" customHeight="1" ht="52.171875">
      <c r="A120" s="1331"/>
      <c r="B120" s="118">
        <f>InvestmentSources_is_one_block="нет"</f>
        <v>1</v>
      </c>
      <c r="C120" s="1331"/>
      <c r="D120" s="1331"/>
      <c r="E120" s="623">
        <v>15</v>
      </c>
      <c r="F120" s="50" cm="1" t="str">
        <f t="array" ref="F120:F120">OFFSET(E120,-1,1)</f>
        <v>2</v>
      </c>
      <c r="G120" s="1331"/>
      <c r="H120" s="118" t="s">
        <v>1201</v>
      </c>
      <c r="I120" s="1331"/>
      <c r="J120" s="1331"/>
      <c r="K120" s="120" t="str">
        <f>F120&amp;"1komm"</f>
        <v>21komm</v>
      </c>
      <c r="L120" s="926" cm="1" t="str">
        <f t="array" ref="L120:L120">BE120</f>
        <v>ФАКТ 2024 г.: Перерасход в размере (+0,41) тыс. руб. к учету НЕ ПРИНЯТ, так как по состоянию на конец отчетного периода   данное мероприятие НЕ ЗАВЕРШЕНО.  ПЛАН НА 2026 ГОД принят в соответствии  с утвержденной  Инвестиционной программой в сфере водоотведения.</v>
      </c>
      <c r="M120" s="1331"/>
      <c r="N120" s="1331"/>
      <c r="O120" s="1331"/>
      <c r="P120" s="1331"/>
      <c r="Q120" s="1331"/>
      <c r="R120" s="1331"/>
      <c r="S120" s="1331"/>
      <c r="T120" s="468" cm="1" t="str">
        <f t="array" ref="T120:T120">T119</f>
        <v>true</v>
      </c>
      <c r="U120" s="1331"/>
      <c r="V120" s="1331"/>
      <c r="W120" s="1331"/>
      <c r="X120" s="1539"/>
      <c r="Y120" s="1331"/>
      <c r="Z120" s="1529"/>
      <c r="AA120" s="1331"/>
      <c r="AB120" s="295" t="s">
        <v>1202</v>
      </c>
      <c r="AC120" s="772" t="s">
        <v>1523</v>
      </c>
      <c r="AD120" s="296" t="s">
        <v>936</v>
      </c>
      <c r="AE120" s="779">
        <v>1248.5</v>
      </c>
      <c r="AF120" s="779">
        <v>1248.5</v>
      </c>
      <c r="AG120" s="779">
        <v>1248.91</v>
      </c>
      <c r="AH120" s="779">
        <v>1248.5</v>
      </c>
      <c r="AI120" s="779">
        <v>1214.9</v>
      </c>
      <c r="AJ120" s="779">
        <v>1214.9</v>
      </c>
      <c r="AK120" s="779">
        <v>2777.8</v>
      </c>
      <c r="AL120" s="3132"/>
      <c r="AM120" s="3132"/>
      <c r="AN120" s="3132"/>
      <c r="AO120" s="3132"/>
      <c r="AP120" s="3132"/>
      <c r="AQ120" s="3132"/>
      <c r="AR120" s="3132"/>
      <c r="AS120" s="3132"/>
      <c r="AT120" s="3132"/>
      <c r="AU120" s="779">
        <v>2227.8</v>
      </c>
      <c r="AV120" s="3132"/>
      <c r="AW120" s="3132"/>
      <c r="AX120" s="3132"/>
      <c r="AY120" s="3132"/>
      <c r="AZ120" s="3132"/>
      <c r="BA120" s="3132"/>
      <c r="BB120" s="3132"/>
      <c r="BC120" s="3132"/>
      <c r="BD120" s="3132"/>
      <c r="BE120" s="781" t="s">
        <v>1600</v>
      </c>
      <c r="BF120" s="1331"/>
      <c r="BG120" s="1331"/>
      <c r="BH120" s="1005" t="s">
        <v>1524</v>
      </c>
    </row>
    <row s="1656" customFormat="1" customHeight="1" ht="14.25">
      <c r="A121" s="1331"/>
      <c r="B121" s="118">
        <f>InvestmentSources_is_one_block="нет"</f>
        <v>1</v>
      </c>
      <c r="C121" s="1331"/>
      <c r="D121" s="1331"/>
      <c r="E121" s="623">
        <v>15</v>
      </c>
      <c r="F121" s="50" cm="1" t="str">
        <f t="array" ref="F121:F121">OFFSET(E121,-1,1)</f>
        <v>2</v>
      </c>
      <c r="G121" s="1331"/>
      <c r="H121" s="118" t="s">
        <v>1525</v>
      </c>
      <c r="I121" s="1331"/>
      <c r="J121" s="1331"/>
      <c r="K121" s="1331"/>
      <c r="L121" s="1331"/>
      <c r="M121" s="1331"/>
      <c r="N121" s="1331"/>
      <c r="O121" s="1331"/>
      <c r="P121" s="1331"/>
      <c r="Q121" s="1331"/>
      <c r="R121" s="1331"/>
      <c r="S121" s="1331"/>
      <c r="T121" s="468" cm="1" t="str">
        <f t="array" ref="T121:T121">T120</f>
        <v>true</v>
      </c>
      <c r="U121" s="1331"/>
      <c r="V121" s="1331"/>
      <c r="W121" s="1331"/>
      <c r="X121" s="1539"/>
      <c r="Y121" s="1331"/>
      <c r="Z121" s="1529"/>
      <c r="AA121" s="1331"/>
      <c r="AB121" s="295" t="s">
        <v>1526</v>
      </c>
      <c r="AC121" s="772" t="s">
        <v>1527</v>
      </c>
      <c r="AD121" s="296" t="s">
        <v>936</v>
      </c>
      <c r="AE121" s="779"/>
      <c r="AF121" s="779"/>
      <c r="AG121" s="779"/>
      <c r="AH121" s="779"/>
      <c r="AI121" s="779"/>
      <c r="AJ121" s="779"/>
      <c r="AK121" s="779"/>
      <c r="AL121" s="3132"/>
      <c r="AM121" s="3132"/>
      <c r="AN121" s="3132"/>
      <c r="AO121" s="3132"/>
      <c r="AP121" s="3132"/>
      <c r="AQ121" s="3132"/>
      <c r="AR121" s="3132"/>
      <c r="AS121" s="3132"/>
      <c r="AT121" s="3132"/>
      <c r="AU121" s="779"/>
      <c r="AV121" s="3132"/>
      <c r="AW121" s="3132"/>
      <c r="AX121" s="3132"/>
      <c r="AY121" s="3132"/>
      <c r="AZ121" s="3132"/>
      <c r="BA121" s="3132"/>
      <c r="BB121" s="3132"/>
      <c r="BC121" s="3132"/>
      <c r="BD121" s="3132"/>
      <c r="BE121" s="781"/>
      <c r="BF121" s="1331"/>
      <c r="BG121" s="1331"/>
      <c r="BH121" s="1005" t="s">
        <v>1528</v>
      </c>
    </row>
    <row s="1656" customFormat="1" customHeight="1" ht="14.25">
      <c r="A122" s="1331"/>
      <c r="B122" s="118">
        <f>InvestmentSources_is_one_block="нет"</f>
        <v>1</v>
      </c>
      <c r="C122" s="1331"/>
      <c r="D122" s="1331"/>
      <c r="E122" s="623">
        <v>15</v>
      </c>
      <c r="F122" s="50" cm="1" t="str">
        <f t="array" ref="F122:F122">OFFSET(E122,-1,1)</f>
        <v>2</v>
      </c>
      <c r="G122" s="1331"/>
      <c r="H122" s="118" t="s">
        <v>1529</v>
      </c>
      <c r="I122" s="1331"/>
      <c r="J122" s="1331"/>
      <c r="K122" s="1331"/>
      <c r="L122" s="1331"/>
      <c r="M122" s="1331"/>
      <c r="N122" s="1331"/>
      <c r="O122" s="1331"/>
      <c r="P122" s="1331"/>
      <c r="Q122" s="1331"/>
      <c r="R122" s="1331"/>
      <c r="S122" s="1331"/>
      <c r="T122" s="468" cm="1" t="str">
        <f t="array" ref="T122:T122">T121</f>
        <v>true</v>
      </c>
      <c r="U122" s="1331"/>
      <c r="V122" s="1331"/>
      <c r="W122" s="1331"/>
      <c r="X122" s="1539"/>
      <c r="Y122" s="1331"/>
      <c r="Z122" s="1529"/>
      <c r="AA122" s="1331"/>
      <c r="AB122" s="295" t="s">
        <v>1530</v>
      </c>
      <c r="AC122" s="772" t="s">
        <v>1531</v>
      </c>
      <c r="AD122" s="296" t="s">
        <v>936</v>
      </c>
      <c r="AE122" s="779"/>
      <c r="AF122" s="779"/>
      <c r="AG122" s="779"/>
      <c r="AH122" s="779"/>
      <c r="AI122" s="779"/>
      <c r="AJ122" s="779"/>
      <c r="AK122" s="779"/>
      <c r="AL122" s="3132"/>
      <c r="AM122" s="3132"/>
      <c r="AN122" s="3132"/>
      <c r="AO122" s="3132"/>
      <c r="AP122" s="3132"/>
      <c r="AQ122" s="3132"/>
      <c r="AR122" s="3132"/>
      <c r="AS122" s="3132"/>
      <c r="AT122" s="3132"/>
      <c r="AU122" s="779"/>
      <c r="AV122" s="3132"/>
      <c r="AW122" s="3132"/>
      <c r="AX122" s="3132"/>
      <c r="AY122" s="3132"/>
      <c r="AZ122" s="3132"/>
      <c r="BA122" s="3132"/>
      <c r="BB122" s="3132"/>
      <c r="BC122" s="3132"/>
      <c r="BD122" s="3132"/>
      <c r="BE122" s="781"/>
      <c r="BF122" s="1331"/>
      <c r="BG122" s="1331"/>
      <c r="BH122" s="1005" t="s">
        <v>1532</v>
      </c>
    </row>
    <row s="1656" customFormat="1" customHeight="1" ht="21.75">
      <c r="A123" s="1331"/>
      <c r="B123" s="118">
        <f>InvestmentSources_is_one_block="нет"</f>
        <v>1</v>
      </c>
      <c r="C123" s="1331"/>
      <c r="D123" s="1331"/>
      <c r="E123" s="623">
        <v>22.5</v>
      </c>
      <c r="F123" s="50" cm="1" t="str">
        <f t="array" ref="F123:F123">OFFSET(E123,-1,1)</f>
        <v>2</v>
      </c>
      <c r="G123" s="1331"/>
      <c r="H123" s="1331"/>
      <c r="I123" s="1331"/>
      <c r="J123" s="1331"/>
      <c r="K123" s="1331"/>
      <c r="L123" s="1331"/>
      <c r="M123" s="1331"/>
      <c r="N123" s="1331"/>
      <c r="O123" s="1331"/>
      <c r="P123" s="1331"/>
      <c r="Q123" s="1331"/>
      <c r="R123" s="1331"/>
      <c r="S123" s="1331"/>
      <c r="T123" s="468" cm="1" t="str">
        <f t="array" ref="T123:T123">T122</f>
        <v>true</v>
      </c>
      <c r="U123" s="1331"/>
      <c r="V123" s="1331"/>
      <c r="W123" s="1331"/>
      <c r="X123" s="1539"/>
      <c r="Y123" s="1331"/>
      <c r="Z123" s="1529"/>
      <c r="AA123" s="1331"/>
      <c r="AB123" s="295" t="s">
        <v>1533</v>
      </c>
      <c r="AC123" s="772" t="s">
        <v>1534</v>
      </c>
      <c r="AD123" s="296" t="s">
        <v>936</v>
      </c>
      <c r="AE123" s="779">
        <f>AE124+AE125+AE126+AE127</f>
        <v>0</v>
      </c>
      <c r="AF123" s="779">
        <f>AF124+AF125+AF126+AF127</f>
        <v>0</v>
      </c>
      <c r="AG123" s="779">
        <f>AG124+AG125+AG126+AG127</f>
        <v>0</v>
      </c>
      <c r="AH123" s="779">
        <f>AH124+AH125+AH126+AH127</f>
        <v>0</v>
      </c>
      <c r="AI123" s="779">
        <f>AI124+AI125+AI126+AI127</f>
        <v>0</v>
      </c>
      <c r="AJ123" s="779">
        <f>AJ124+AJ125+AJ126+AJ127</f>
        <v>0</v>
      </c>
      <c r="AK123" s="779">
        <f>AK124+AK125+AK126+AK127</f>
        <v>0</v>
      </c>
      <c r="AL123" s="3132">
        <f>AL124+AL125+AL126+AL127</f>
        <v>0</v>
      </c>
      <c r="AM123" s="3132">
        <f>AM124+AM125+AM126+AM127</f>
        <v>0</v>
      </c>
      <c r="AN123" s="3132">
        <f>AN124+AN125+AN126+AN127</f>
        <v>0</v>
      </c>
      <c r="AO123" s="3132">
        <f>AO124+AO125+AO126+AO127</f>
        <v>0</v>
      </c>
      <c r="AP123" s="3132">
        <f>AP124+AP125+AP126+AP127</f>
        <v>0</v>
      </c>
      <c r="AQ123" s="3132">
        <f>AQ124+AQ125+AQ126+AQ127</f>
        <v>0</v>
      </c>
      <c r="AR123" s="3132">
        <f>AR124+AR125+AR126+AR127</f>
        <v>0</v>
      </c>
      <c r="AS123" s="3132">
        <f>AS124+AS125+AS126+AS127</f>
        <v>0</v>
      </c>
      <c r="AT123" s="3132">
        <f>AT124+AT125+AT126+AT127</f>
        <v>0</v>
      </c>
      <c r="AU123" s="779">
        <f>AU124+AU125+AU126+AU127</f>
        <v>0</v>
      </c>
      <c r="AV123" s="3132">
        <f>AV124+AV125+AV126+AV127</f>
        <v>0</v>
      </c>
      <c r="AW123" s="3132">
        <f>AW124+AW125+AW126+AW127</f>
        <v>0</v>
      </c>
      <c r="AX123" s="3132">
        <f>AX124+AX125+AX126+AX127</f>
        <v>0</v>
      </c>
      <c r="AY123" s="3132">
        <f>AY124+AY125+AY126+AY127</f>
        <v>0</v>
      </c>
      <c r="AZ123" s="3132">
        <f>AZ124+AZ125+AZ126+AZ127</f>
        <v>0</v>
      </c>
      <c r="BA123" s="3132">
        <f>BA124+BA125+BA126+BA127</f>
        <v>0</v>
      </c>
      <c r="BB123" s="3132">
        <f>BB124+BB125+BB126+BB127</f>
        <v>0</v>
      </c>
      <c r="BC123" s="3132">
        <f>BC124+BC125+BC126+BC127</f>
        <v>0</v>
      </c>
      <c r="BD123" s="3132">
        <f>BD124+BD125+BD126+BD127</f>
        <v>0</v>
      </c>
      <c r="BE123" s="781"/>
      <c r="BF123" s="1331"/>
      <c r="BG123" s="1331"/>
      <c r="BH123" s="1005" t="s">
        <v>1535</v>
      </c>
    </row>
    <row s="1656" customFormat="1" customHeight="1" ht="44.25">
      <c r="A124" s="1331"/>
      <c r="B124" s="118">
        <f>InvestmentSources_is_one_block="нет"</f>
        <v>1</v>
      </c>
      <c r="C124" s="1331"/>
      <c r="D124" s="1331"/>
      <c r="E124" s="623">
        <v>45.75</v>
      </c>
      <c r="F124" s="50" cm="1" t="str">
        <f t="array" ref="F124:F124">OFFSET(E124,-1,1)</f>
        <v>2</v>
      </c>
      <c r="G124" s="1331"/>
      <c r="H124" s="1331"/>
      <c r="I124" s="1331"/>
      <c r="J124" s="1331"/>
      <c r="K124" s="1331"/>
      <c r="L124" s="1331"/>
      <c r="M124" s="1331"/>
      <c r="N124" s="1331"/>
      <c r="O124" s="1331"/>
      <c r="P124" s="1331"/>
      <c r="Q124" s="1331"/>
      <c r="R124" s="1331"/>
      <c r="S124" s="1331"/>
      <c r="T124" s="468" cm="1" t="str">
        <f t="array" ref="T124:T124">T123</f>
        <v>true</v>
      </c>
      <c r="U124" s="1331"/>
      <c r="V124" s="1331"/>
      <c r="W124" s="1331"/>
      <c r="X124" s="1539"/>
      <c r="Y124" s="1331"/>
      <c r="Z124" s="1529"/>
      <c r="AA124" s="1331"/>
      <c r="AB124" s="295" t="s">
        <v>1536</v>
      </c>
      <c r="AC124" s="775" t="s">
        <v>1537</v>
      </c>
      <c r="AD124" s="296" t="s">
        <v>936</v>
      </c>
      <c r="AE124" s="779"/>
      <c r="AF124" s="779"/>
      <c r="AG124" s="779"/>
      <c r="AH124" s="779"/>
      <c r="AI124" s="779"/>
      <c r="AJ124" s="779"/>
      <c r="AK124" s="779"/>
      <c r="AL124" s="3132"/>
      <c r="AM124" s="3132"/>
      <c r="AN124" s="3132"/>
      <c r="AO124" s="3132"/>
      <c r="AP124" s="3132"/>
      <c r="AQ124" s="3132"/>
      <c r="AR124" s="3132"/>
      <c r="AS124" s="3132"/>
      <c r="AT124" s="3132"/>
      <c r="AU124" s="779"/>
      <c r="AV124" s="3132"/>
      <c r="AW124" s="3132"/>
      <c r="AX124" s="3132"/>
      <c r="AY124" s="3132"/>
      <c r="AZ124" s="3132"/>
      <c r="BA124" s="3132"/>
      <c r="BB124" s="3132"/>
      <c r="BC124" s="3132"/>
      <c r="BD124" s="3132"/>
      <c r="BE124" s="781"/>
      <c r="BF124" s="1331"/>
      <c r="BG124" s="1331"/>
      <c r="BH124" s="1005" t="s">
        <v>1538</v>
      </c>
    </row>
    <row s="1656" customFormat="1" customHeight="1" ht="44.25">
      <c r="A125" s="1331"/>
      <c r="B125" s="118">
        <f>InvestmentSources_is_one_block="нет"</f>
        <v>1</v>
      </c>
      <c r="C125" s="1331"/>
      <c r="D125" s="1331"/>
      <c r="E125" s="623">
        <v>45.75</v>
      </c>
      <c r="F125" s="50" cm="1" t="str">
        <f t="array" ref="F125:F125">OFFSET(E125,-1,1)</f>
        <v>2</v>
      </c>
      <c r="G125" s="1331"/>
      <c r="H125" s="1331"/>
      <c r="I125" s="1331"/>
      <c r="J125" s="1331"/>
      <c r="K125" s="1331"/>
      <c r="L125" s="1331"/>
      <c r="M125" s="1331"/>
      <c r="N125" s="1331"/>
      <c r="O125" s="1331"/>
      <c r="P125" s="1331"/>
      <c r="Q125" s="1331"/>
      <c r="R125" s="1331"/>
      <c r="S125" s="1331"/>
      <c r="T125" s="468" cm="1" t="str">
        <f t="array" ref="T125:T125">T124</f>
        <v>true</v>
      </c>
      <c r="U125" s="1331"/>
      <c r="V125" s="1331"/>
      <c r="W125" s="1331"/>
      <c r="X125" s="1539"/>
      <c r="Y125" s="1331"/>
      <c r="Z125" s="1529"/>
      <c r="AA125" s="1331"/>
      <c r="AB125" s="295" t="s">
        <v>1539</v>
      </c>
      <c r="AC125" s="775" t="s">
        <v>1540</v>
      </c>
      <c r="AD125" s="296" t="s">
        <v>936</v>
      </c>
      <c r="AE125" s="779"/>
      <c r="AF125" s="779"/>
      <c r="AG125" s="779"/>
      <c r="AH125" s="779"/>
      <c r="AI125" s="779"/>
      <c r="AJ125" s="779"/>
      <c r="AK125" s="779"/>
      <c r="AL125" s="3132"/>
      <c r="AM125" s="3132"/>
      <c r="AN125" s="3132"/>
      <c r="AO125" s="3132"/>
      <c r="AP125" s="3132"/>
      <c r="AQ125" s="3132"/>
      <c r="AR125" s="3132"/>
      <c r="AS125" s="3132"/>
      <c r="AT125" s="3132"/>
      <c r="AU125" s="779"/>
      <c r="AV125" s="3132"/>
      <c r="AW125" s="3132"/>
      <c r="AX125" s="3132"/>
      <c r="AY125" s="3132"/>
      <c r="AZ125" s="3132"/>
      <c r="BA125" s="3132"/>
      <c r="BB125" s="3132"/>
      <c r="BC125" s="3132"/>
      <c r="BD125" s="3132"/>
      <c r="BE125" s="781"/>
      <c r="BF125" s="1331"/>
      <c r="BG125" s="1331"/>
      <c r="BH125" s="1005" t="s">
        <v>1541</v>
      </c>
    </row>
    <row s="1656" customFormat="1" customHeight="1" ht="44.25">
      <c r="A126" s="1331"/>
      <c r="B126" s="118">
        <f>InvestmentSources_is_one_block="нет"</f>
        <v>1</v>
      </c>
      <c r="C126" s="1331"/>
      <c r="D126" s="1331"/>
      <c r="E126" s="623">
        <v>45.75</v>
      </c>
      <c r="F126" s="50" cm="1" t="str">
        <f t="array" ref="F126:F126">OFFSET(E126,-1,1)</f>
        <v>2</v>
      </c>
      <c r="G126" s="1331"/>
      <c r="H126" s="1331"/>
      <c r="I126" s="1331"/>
      <c r="J126" s="1331"/>
      <c r="K126" s="1331"/>
      <c r="L126" s="1331"/>
      <c r="M126" s="1331"/>
      <c r="N126" s="1331"/>
      <c r="O126" s="1331"/>
      <c r="P126" s="1331"/>
      <c r="Q126" s="1331"/>
      <c r="R126" s="1331"/>
      <c r="S126" s="1331"/>
      <c r="T126" s="468" cm="1" t="str">
        <f t="array" ref="T126:T126">T125</f>
        <v>true</v>
      </c>
      <c r="U126" s="1331"/>
      <c r="V126" s="1331"/>
      <c r="W126" s="1331"/>
      <c r="X126" s="1539"/>
      <c r="Y126" s="1331"/>
      <c r="Z126" s="1529"/>
      <c r="AA126" s="1331"/>
      <c r="AB126" s="295" t="s">
        <v>1542</v>
      </c>
      <c r="AC126" s="775" t="s">
        <v>1543</v>
      </c>
      <c r="AD126" s="296" t="s">
        <v>936</v>
      </c>
      <c r="AE126" s="779"/>
      <c r="AF126" s="779"/>
      <c r="AG126" s="779"/>
      <c r="AH126" s="779"/>
      <c r="AI126" s="779"/>
      <c r="AJ126" s="779"/>
      <c r="AK126" s="779"/>
      <c r="AL126" s="3132"/>
      <c r="AM126" s="3132"/>
      <c r="AN126" s="3132"/>
      <c r="AO126" s="3132"/>
      <c r="AP126" s="3132"/>
      <c r="AQ126" s="3132"/>
      <c r="AR126" s="3132"/>
      <c r="AS126" s="3132"/>
      <c r="AT126" s="3132"/>
      <c r="AU126" s="779"/>
      <c r="AV126" s="3132"/>
      <c r="AW126" s="3132"/>
      <c r="AX126" s="3132"/>
      <c r="AY126" s="3132"/>
      <c r="AZ126" s="3132"/>
      <c r="BA126" s="3132"/>
      <c r="BB126" s="3132"/>
      <c r="BC126" s="3132"/>
      <c r="BD126" s="3132"/>
      <c r="BE126" s="781"/>
      <c r="BF126" s="1331"/>
      <c r="BG126" s="1331"/>
      <c r="BH126" s="1005" t="s">
        <v>1544</v>
      </c>
    </row>
    <row s="1656" customFormat="1" customHeight="1" ht="21.75">
      <c r="A127" s="1331"/>
      <c r="B127" s="118">
        <f>InvestmentSources_is_one_block="нет"</f>
        <v>1</v>
      </c>
      <c r="C127" s="1331"/>
      <c r="D127" s="1331"/>
      <c r="E127" s="623">
        <v>22.5</v>
      </c>
      <c r="F127" s="50" cm="1" t="str">
        <f t="array" ref="F127:F127">OFFSET(E127,-1,1)</f>
        <v>2</v>
      </c>
      <c r="G127" s="1331"/>
      <c r="H127" s="1331"/>
      <c r="I127" s="1331"/>
      <c r="J127" s="1331"/>
      <c r="K127" s="1331"/>
      <c r="L127" s="1331"/>
      <c r="M127" s="1331"/>
      <c r="N127" s="1331"/>
      <c r="O127" s="1331"/>
      <c r="P127" s="1331"/>
      <c r="Q127" s="1331"/>
      <c r="R127" s="1331"/>
      <c r="S127" s="1331"/>
      <c r="T127" s="468" cm="1" t="str">
        <f t="array" ref="T127:T127">T126</f>
        <v>true</v>
      </c>
      <c r="U127" s="1331"/>
      <c r="V127" s="1331"/>
      <c r="W127" s="1331"/>
      <c r="X127" s="1539"/>
      <c r="Y127" s="1331"/>
      <c r="Z127" s="1529"/>
      <c r="AA127" s="1331"/>
      <c r="AB127" s="295" t="s">
        <v>1545</v>
      </c>
      <c r="AC127" s="775" t="s">
        <v>1546</v>
      </c>
      <c r="AD127" s="296" t="s">
        <v>936</v>
      </c>
      <c r="AE127" s="779"/>
      <c r="AF127" s="779"/>
      <c r="AG127" s="779"/>
      <c r="AH127" s="779"/>
      <c r="AI127" s="779"/>
      <c r="AJ127" s="779"/>
      <c r="AK127" s="779"/>
      <c r="AL127" s="3132"/>
      <c r="AM127" s="3132"/>
      <c r="AN127" s="3132"/>
      <c r="AO127" s="3132"/>
      <c r="AP127" s="3132"/>
      <c r="AQ127" s="3132"/>
      <c r="AR127" s="3132"/>
      <c r="AS127" s="3132"/>
      <c r="AT127" s="3132"/>
      <c r="AU127" s="779"/>
      <c r="AV127" s="3132"/>
      <c r="AW127" s="3132"/>
      <c r="AX127" s="3132"/>
      <c r="AY127" s="3132"/>
      <c r="AZ127" s="3132"/>
      <c r="BA127" s="3132"/>
      <c r="BB127" s="3132"/>
      <c r="BC127" s="3132"/>
      <c r="BD127" s="3132"/>
      <c r="BE127" s="781"/>
      <c r="BF127" s="1331"/>
      <c r="BG127" s="1331"/>
      <c r="BH127" s="1005" t="s">
        <v>1547</v>
      </c>
    </row>
    <row s="1656" customFormat="1" customHeight="1" ht="14.25">
      <c r="A128" s="1331"/>
      <c r="B128" s="118">
        <f>InvestmentSources_is_one_block="нет"</f>
        <v>1</v>
      </c>
      <c r="C128" s="1331"/>
      <c r="D128" s="1331"/>
      <c r="E128" s="623">
        <v>15</v>
      </c>
      <c r="F128" s="50" cm="1" t="str">
        <f t="array" ref="F128:F128">OFFSET(E128,-1,1)</f>
        <v>2</v>
      </c>
      <c r="G128" s="1331"/>
      <c r="H128" s="118" t="s">
        <v>570</v>
      </c>
      <c r="I128" s="1331"/>
      <c r="J128" s="1331"/>
      <c r="K128" s="1331"/>
      <c r="L128" s="1331"/>
      <c r="M128" s="1331"/>
      <c r="N128" s="1331"/>
      <c r="O128" s="1331"/>
      <c r="P128" s="1331"/>
      <c r="Q128" s="1331"/>
      <c r="R128" s="1331"/>
      <c r="S128" s="1331"/>
      <c r="T128" s="468" cm="1" t="str">
        <f t="array" ref="T128:T128">T127</f>
        <v>true</v>
      </c>
      <c r="U128" s="1331"/>
      <c r="V128" s="1331"/>
      <c r="W128" s="1331"/>
      <c r="X128" s="1539"/>
      <c r="Y128" s="1331"/>
      <c r="Z128" s="1529"/>
      <c r="AA128" s="1331"/>
      <c r="AB128" s="295" t="s">
        <v>1070</v>
      </c>
      <c r="AC128" s="769" t="s">
        <v>1548</v>
      </c>
      <c r="AD128" s="296" t="s">
        <v>936</v>
      </c>
      <c r="AE128" s="790">
        <f>AE129+AE130+AE131</f>
        <v>0</v>
      </c>
      <c r="AF128" s="790">
        <f>AF129+AF130+AF131</f>
        <v>0</v>
      </c>
      <c r="AG128" s="790">
        <f>AG129+AG130+AG131</f>
        <v>0</v>
      </c>
      <c r="AH128" s="790">
        <f>AH129+AH130+AH131</f>
        <v>0</v>
      </c>
      <c r="AI128" s="790">
        <f>AI129+AI130+AI131</f>
        <v>0</v>
      </c>
      <c r="AJ128" s="790">
        <f>AJ129+AJ130+AJ131</f>
        <v>0</v>
      </c>
      <c r="AK128" s="790">
        <f>AK129+AK130+AK131</f>
        <v>0</v>
      </c>
      <c r="AL128" s="790">
        <f>AL129+AL130+AL131</f>
        <v>0</v>
      </c>
      <c r="AM128" s="790">
        <f>AM129+AM130+AM131</f>
        <v>0</v>
      </c>
      <c r="AN128" s="790">
        <f>AN129+AN130+AN131</f>
        <v>0</v>
      </c>
      <c r="AO128" s="790">
        <f>AO129+AO130+AO131</f>
        <v>0</v>
      </c>
      <c r="AP128" s="790">
        <f>AP129+AP130+AP131</f>
        <v>0</v>
      </c>
      <c r="AQ128" s="790">
        <f>AQ129+AQ130+AQ131</f>
        <v>0</v>
      </c>
      <c r="AR128" s="790">
        <f>AR129+AR130+AR131</f>
        <v>0</v>
      </c>
      <c r="AS128" s="790">
        <f>AS129+AS130+AS131</f>
        <v>0</v>
      </c>
      <c r="AT128" s="790">
        <f>AT129+AT130+AT131</f>
        <v>0</v>
      </c>
      <c r="AU128" s="790">
        <f>AU129+AU130+AU131</f>
        <v>0</v>
      </c>
      <c r="AV128" s="790">
        <f>AV129+AV130+AV131</f>
        <v>0</v>
      </c>
      <c r="AW128" s="790">
        <f>AW129+AW130+AW131</f>
        <v>0</v>
      </c>
      <c r="AX128" s="790">
        <f>AX129+AX130+AX131</f>
        <v>0</v>
      </c>
      <c r="AY128" s="790">
        <f>AY129+AY130+AY131</f>
        <v>0</v>
      </c>
      <c r="AZ128" s="790">
        <f>AZ129+AZ130+AZ131</f>
        <v>0</v>
      </c>
      <c r="BA128" s="790">
        <f>BA129+BA130+BA131</f>
        <v>0</v>
      </c>
      <c r="BB128" s="790">
        <f>BB129+BB130+BB131</f>
        <v>0</v>
      </c>
      <c r="BC128" s="790">
        <f>BC129+BC130+BC131</f>
        <v>0</v>
      </c>
      <c r="BD128" s="790">
        <f>BD129+BD130+BD131</f>
        <v>0</v>
      </c>
      <c r="BE128" s="781"/>
      <c r="BF128" s="1331"/>
      <c r="BG128" s="1331"/>
      <c r="BH128" s="1005" t="s">
        <v>1549</v>
      </c>
    </row>
    <row s="1656" customFormat="1" customHeight="1" ht="14.25">
      <c r="A129" s="1331"/>
      <c r="B129" s="118">
        <f>InvestmentSources_is_one_block="нет"</f>
        <v>1</v>
      </c>
      <c r="C129" s="1331"/>
      <c r="D129" s="1331"/>
      <c r="E129" s="623">
        <v>15</v>
      </c>
      <c r="F129" s="50" cm="1" t="str">
        <f t="array" ref="F129:F129">OFFSET(E129,-1,1)</f>
        <v>2</v>
      </c>
      <c r="G129" s="1331"/>
      <c r="H129" s="118" t="s">
        <v>1550</v>
      </c>
      <c r="I129" s="1331"/>
      <c r="J129" s="1331"/>
      <c r="K129" s="1331"/>
      <c r="L129" s="1331"/>
      <c r="M129" s="1331"/>
      <c r="N129" s="1331"/>
      <c r="O129" s="1331"/>
      <c r="P129" s="1331"/>
      <c r="Q129" s="1331"/>
      <c r="R129" s="1331"/>
      <c r="S129" s="1331"/>
      <c r="T129" s="468" cm="1" t="str">
        <f t="array" ref="T129:T129">T128</f>
        <v>true</v>
      </c>
      <c r="U129" s="1331"/>
      <c r="V129" s="1331"/>
      <c r="W129" s="1331"/>
      <c r="X129" s="1539"/>
      <c r="Y129" s="1331"/>
      <c r="Z129" s="1529"/>
      <c r="AA129" s="1331"/>
      <c r="AB129" s="295" t="s">
        <v>1551</v>
      </c>
      <c r="AC129" s="772" t="s">
        <v>1552</v>
      </c>
      <c r="AD129" s="296" t="s">
        <v>936</v>
      </c>
      <c r="AE129" s="779"/>
      <c r="AF129" s="779"/>
      <c r="AG129" s="779"/>
      <c r="AH129" s="779"/>
      <c r="AI129" s="779"/>
      <c r="AJ129" s="779"/>
      <c r="AK129" s="779"/>
      <c r="AL129" s="3132"/>
      <c r="AM129" s="3132"/>
      <c r="AN129" s="3132"/>
      <c r="AO129" s="3132"/>
      <c r="AP129" s="3132"/>
      <c r="AQ129" s="3132"/>
      <c r="AR129" s="3132"/>
      <c r="AS129" s="3132"/>
      <c r="AT129" s="3132"/>
      <c r="AU129" s="779"/>
      <c r="AV129" s="3132"/>
      <c r="AW129" s="3132"/>
      <c r="AX129" s="3132"/>
      <c r="AY129" s="3132"/>
      <c r="AZ129" s="3132"/>
      <c r="BA129" s="3132"/>
      <c r="BB129" s="3132"/>
      <c r="BC129" s="3132"/>
      <c r="BD129" s="3132"/>
      <c r="BE129" s="781"/>
      <c r="BF129" s="1331"/>
      <c r="BG129" s="1331"/>
      <c r="BH129" s="1005" t="s">
        <v>1456</v>
      </c>
    </row>
    <row s="1656" customFormat="1" customHeight="1" ht="14.25">
      <c r="A130" s="1331"/>
      <c r="B130" s="118">
        <f>InvestmentSources_is_one_block="нет"</f>
        <v>1</v>
      </c>
      <c r="C130" s="1331"/>
      <c r="D130" s="1331"/>
      <c r="E130" s="623">
        <v>15</v>
      </c>
      <c r="F130" s="50" cm="1" t="str">
        <f t="array" ref="F130:F130">OFFSET(E130,-1,1)</f>
        <v>2</v>
      </c>
      <c r="G130" s="1331"/>
      <c r="H130" s="118" t="s">
        <v>1553</v>
      </c>
      <c r="I130" s="1331"/>
      <c r="J130" s="1331"/>
      <c r="K130" s="1331"/>
      <c r="L130" s="1331"/>
      <c r="M130" s="1331"/>
      <c r="N130" s="1331"/>
      <c r="O130" s="1331"/>
      <c r="P130" s="1331"/>
      <c r="Q130" s="1331"/>
      <c r="R130" s="1331"/>
      <c r="S130" s="1331"/>
      <c r="T130" s="468" cm="1" t="str">
        <f t="array" ref="T130:T130">T129</f>
        <v>true</v>
      </c>
      <c r="U130" s="1331"/>
      <c r="V130" s="1331"/>
      <c r="W130" s="1331"/>
      <c r="X130" s="1539"/>
      <c r="Y130" s="1331"/>
      <c r="Z130" s="1529"/>
      <c r="AA130" s="1331"/>
      <c r="AB130" s="295" t="s">
        <v>1554</v>
      </c>
      <c r="AC130" s="772" t="s">
        <v>1555</v>
      </c>
      <c r="AD130" s="296" t="s">
        <v>936</v>
      </c>
      <c r="AE130" s="779"/>
      <c r="AF130" s="779"/>
      <c r="AG130" s="779"/>
      <c r="AH130" s="779"/>
      <c r="AI130" s="779"/>
      <c r="AJ130" s="779"/>
      <c r="AK130" s="779"/>
      <c r="AL130" s="3132"/>
      <c r="AM130" s="3132"/>
      <c r="AN130" s="3132"/>
      <c r="AO130" s="3132"/>
      <c r="AP130" s="3132"/>
      <c r="AQ130" s="3132"/>
      <c r="AR130" s="3132"/>
      <c r="AS130" s="3132"/>
      <c r="AT130" s="3132"/>
      <c r="AU130" s="779"/>
      <c r="AV130" s="3132"/>
      <c r="AW130" s="3132"/>
      <c r="AX130" s="3132"/>
      <c r="AY130" s="3132"/>
      <c r="AZ130" s="3132"/>
      <c r="BA130" s="3132"/>
      <c r="BB130" s="3132"/>
      <c r="BC130" s="3132"/>
      <c r="BD130" s="3132"/>
      <c r="BE130" s="781"/>
      <c r="BF130" s="1331"/>
      <c r="BG130" s="1331"/>
      <c r="BH130" s="1005" t="s">
        <v>1556</v>
      </c>
    </row>
    <row s="1656" customFormat="1" customHeight="1" ht="14.25">
      <c r="A131" s="1331"/>
      <c r="B131" s="118">
        <f>InvestmentSources_is_one_block="нет"</f>
        <v>1</v>
      </c>
      <c r="C131" s="1331"/>
      <c r="D131" s="1331"/>
      <c r="E131" s="623">
        <v>15</v>
      </c>
      <c r="F131" s="50" cm="1" t="str">
        <f t="array" ref="F131:F131">OFFSET(E131,-1,1)</f>
        <v>2</v>
      </c>
      <c r="G131" s="1331"/>
      <c r="H131" s="118" t="s">
        <v>1557</v>
      </c>
      <c r="I131" s="1331"/>
      <c r="J131" s="1331"/>
      <c r="K131" s="1331"/>
      <c r="L131" s="1331"/>
      <c r="M131" s="1331"/>
      <c r="N131" s="1331"/>
      <c r="O131" s="1331"/>
      <c r="P131" s="1331"/>
      <c r="Q131" s="1331"/>
      <c r="R131" s="1331"/>
      <c r="S131" s="1331"/>
      <c r="T131" s="468" cm="1" t="str">
        <f t="array" ref="T131:T131">T130</f>
        <v>true</v>
      </c>
      <c r="U131" s="1331"/>
      <c r="V131" s="1331"/>
      <c r="W131" s="1331"/>
      <c r="X131" s="1539"/>
      <c r="Y131" s="1331"/>
      <c r="Z131" s="1529"/>
      <c r="AA131" s="1331"/>
      <c r="AB131" s="295" t="s">
        <v>1558</v>
      </c>
      <c r="AC131" s="772" t="s">
        <v>1559</v>
      </c>
      <c r="AD131" s="296" t="s">
        <v>936</v>
      </c>
      <c r="AE131" s="779"/>
      <c r="AF131" s="779"/>
      <c r="AG131" s="779"/>
      <c r="AH131" s="779"/>
      <c r="AI131" s="779"/>
      <c r="AJ131" s="779"/>
      <c r="AK131" s="779"/>
      <c r="AL131" s="3132"/>
      <c r="AM131" s="3132"/>
      <c r="AN131" s="3132"/>
      <c r="AO131" s="3132"/>
      <c r="AP131" s="3132"/>
      <c r="AQ131" s="3132"/>
      <c r="AR131" s="3132"/>
      <c r="AS131" s="3132"/>
      <c r="AT131" s="3132"/>
      <c r="AU131" s="779"/>
      <c r="AV131" s="3132"/>
      <c r="AW131" s="3132"/>
      <c r="AX131" s="3132"/>
      <c r="AY131" s="3132"/>
      <c r="AZ131" s="3132"/>
      <c r="BA131" s="3132"/>
      <c r="BB131" s="3132"/>
      <c r="BC131" s="3132"/>
      <c r="BD131" s="3132"/>
      <c r="BE131" s="781"/>
      <c r="BF131" s="1331"/>
      <c r="BG131" s="1331"/>
      <c r="BH131" s="1005" t="s">
        <v>1560</v>
      </c>
    </row>
    <row s="1656" customFormat="1" customHeight="1" ht="14.25">
      <c r="A132" s="1331"/>
      <c r="B132" s="118">
        <f>InvestmentSources_is_one_block="нет"</f>
        <v>1</v>
      </c>
      <c r="C132" s="1331"/>
      <c r="D132" s="1331"/>
      <c r="E132" s="623">
        <v>15</v>
      </c>
      <c r="F132" s="50" cm="1" t="str">
        <f t="array" ref="F132:F132">OFFSET(E132,-1,1)</f>
        <v>2</v>
      </c>
      <c r="G132" s="1331"/>
      <c r="H132" s="118" t="s">
        <v>573</v>
      </c>
      <c r="I132" s="1331"/>
      <c r="J132" s="1331"/>
      <c r="K132" s="1331"/>
      <c r="L132" s="1331"/>
      <c r="M132" s="1331"/>
      <c r="N132" s="1331"/>
      <c r="O132" s="1331"/>
      <c r="P132" s="1331"/>
      <c r="Q132" s="1331"/>
      <c r="R132" s="1331"/>
      <c r="S132" s="1331"/>
      <c r="T132" s="468" cm="1" t="str">
        <f t="array" ref="T132:T132">T131</f>
        <v>true</v>
      </c>
      <c r="U132" s="1331"/>
      <c r="V132" s="1331"/>
      <c r="W132" s="1331"/>
      <c r="X132" s="1539"/>
      <c r="Y132" s="1331"/>
      <c r="Z132" s="1529"/>
      <c r="AA132" s="1331"/>
      <c r="AB132" s="295" t="s">
        <v>1073</v>
      </c>
      <c r="AC132" s="769" t="s">
        <v>1561</v>
      </c>
      <c r="AD132" s="296" t="s">
        <v>936</v>
      </c>
      <c r="AE132" s="790">
        <f>AE133+AE134+AE135</f>
        <v>0</v>
      </c>
      <c r="AF132" s="790">
        <f>AF133+AF134+AF135</f>
        <v>0</v>
      </c>
      <c r="AG132" s="790">
        <f>AG133+AG134+AG135</f>
        <v>0</v>
      </c>
      <c r="AH132" s="790">
        <f>AH133+AH134+AH135</f>
        <v>0</v>
      </c>
      <c r="AI132" s="790">
        <f>AI133+AI134+AI135</f>
        <v>0</v>
      </c>
      <c r="AJ132" s="790">
        <f>AJ133+AJ134+AJ135</f>
        <v>0</v>
      </c>
      <c r="AK132" s="790">
        <f>AK133+AK134+AK135</f>
        <v>0</v>
      </c>
      <c r="AL132" s="790">
        <f>AL133+AL134+AL135</f>
        <v>0</v>
      </c>
      <c r="AM132" s="790">
        <f>AM133+AM134+AM135</f>
        <v>0</v>
      </c>
      <c r="AN132" s="790">
        <f>AN133+AN134+AN135</f>
        <v>0</v>
      </c>
      <c r="AO132" s="790">
        <f>AO133+AO134+AO135</f>
        <v>0</v>
      </c>
      <c r="AP132" s="790">
        <f>AP133+AP134+AP135</f>
        <v>0</v>
      </c>
      <c r="AQ132" s="790">
        <f>AQ133+AQ134+AQ135</f>
        <v>0</v>
      </c>
      <c r="AR132" s="790">
        <f>AR133+AR134+AR135</f>
        <v>0</v>
      </c>
      <c r="AS132" s="790">
        <f>AS133+AS134+AS135</f>
        <v>0</v>
      </c>
      <c r="AT132" s="790">
        <f>AT133+AT134+AT135</f>
        <v>0</v>
      </c>
      <c r="AU132" s="790">
        <f>AU133+AU134+AU135</f>
        <v>0</v>
      </c>
      <c r="AV132" s="790">
        <f>AV133+AV134+AV135</f>
        <v>0</v>
      </c>
      <c r="AW132" s="790">
        <f>AW133+AW134+AW135</f>
        <v>0</v>
      </c>
      <c r="AX132" s="790">
        <f>AX133+AX134+AX135</f>
        <v>0</v>
      </c>
      <c r="AY132" s="790">
        <f>AY133+AY134+AY135</f>
        <v>0</v>
      </c>
      <c r="AZ132" s="790">
        <f>AZ133+AZ134+AZ135</f>
        <v>0</v>
      </c>
      <c r="BA132" s="790">
        <f>BA133+BA134+BA135</f>
        <v>0</v>
      </c>
      <c r="BB132" s="790">
        <f>BB133+BB134+BB135</f>
        <v>0</v>
      </c>
      <c r="BC132" s="790">
        <f>BC133+BC134+BC135</f>
        <v>0</v>
      </c>
      <c r="BD132" s="790">
        <f>BD133+BD134+BD135</f>
        <v>0</v>
      </c>
      <c r="BE132" s="781"/>
      <c r="BF132" s="1331"/>
      <c r="BG132" s="1331"/>
      <c r="BH132" s="1005" t="s">
        <v>1562</v>
      </c>
    </row>
    <row s="1656" customFormat="1" customHeight="1" ht="14.25">
      <c r="A133" s="1331"/>
      <c r="B133" s="118">
        <f>InvestmentSources_is_one_block="нет"</f>
        <v>1</v>
      </c>
      <c r="C133" s="1331"/>
      <c r="D133" s="1331"/>
      <c r="E133" s="623">
        <v>15</v>
      </c>
      <c r="F133" s="50" cm="1" t="str">
        <f t="array" ref="F133:F133">OFFSET(E133,-1,1)</f>
        <v>2</v>
      </c>
      <c r="G133" s="1331"/>
      <c r="H133" s="118" t="s">
        <v>1563</v>
      </c>
      <c r="I133" s="1331"/>
      <c r="J133" s="1331"/>
      <c r="K133" s="1331"/>
      <c r="L133" s="1331"/>
      <c r="M133" s="1331"/>
      <c r="N133" s="1331"/>
      <c r="O133" s="1331"/>
      <c r="P133" s="1331"/>
      <c r="Q133" s="1331"/>
      <c r="R133" s="1331"/>
      <c r="S133" s="1331"/>
      <c r="T133" s="468" cm="1" t="str">
        <f t="array" ref="T133:T133">T132</f>
        <v>true</v>
      </c>
      <c r="U133" s="1331"/>
      <c r="V133" s="1331"/>
      <c r="W133" s="1331"/>
      <c r="X133" s="1539"/>
      <c r="Y133" s="1331"/>
      <c r="Z133" s="1529"/>
      <c r="AA133" s="1331"/>
      <c r="AB133" s="295" t="s">
        <v>1564</v>
      </c>
      <c r="AC133" s="772" t="s">
        <v>1565</v>
      </c>
      <c r="AD133" s="296" t="s">
        <v>936</v>
      </c>
      <c r="AE133" s="779"/>
      <c r="AF133" s="779"/>
      <c r="AG133" s="779"/>
      <c r="AH133" s="779"/>
      <c r="AI133" s="779"/>
      <c r="AJ133" s="779"/>
      <c r="AK133" s="779"/>
      <c r="AL133" s="3132"/>
      <c r="AM133" s="3132"/>
      <c r="AN133" s="3132"/>
      <c r="AO133" s="3132"/>
      <c r="AP133" s="3132"/>
      <c r="AQ133" s="3132"/>
      <c r="AR133" s="3132"/>
      <c r="AS133" s="3132"/>
      <c r="AT133" s="3132"/>
      <c r="AU133" s="779"/>
      <c r="AV133" s="3132"/>
      <c r="AW133" s="3132"/>
      <c r="AX133" s="3132"/>
      <c r="AY133" s="3132"/>
      <c r="AZ133" s="3132"/>
      <c r="BA133" s="3132"/>
      <c r="BB133" s="3132"/>
      <c r="BC133" s="3132"/>
      <c r="BD133" s="3132"/>
      <c r="BE133" s="781"/>
      <c r="BF133" s="1331"/>
      <c r="BG133" s="1331"/>
      <c r="BH133" s="1005" t="s">
        <v>1566</v>
      </c>
    </row>
    <row s="1656" customFormat="1" customHeight="1" ht="14.25">
      <c r="A134" s="1331"/>
      <c r="B134" s="118">
        <f>InvestmentSources_is_one_block="нет"</f>
        <v>1</v>
      </c>
      <c r="C134" s="1331"/>
      <c r="D134" s="1331"/>
      <c r="E134" s="623">
        <v>15</v>
      </c>
      <c r="F134" s="50" cm="1" t="str">
        <f t="array" ref="F134:F134">OFFSET(E134,-1,1)</f>
        <v>2</v>
      </c>
      <c r="G134" s="1331"/>
      <c r="H134" s="118" t="s">
        <v>1567</v>
      </c>
      <c r="I134" s="1331"/>
      <c r="J134" s="1331"/>
      <c r="K134" s="1331"/>
      <c r="L134" s="1331"/>
      <c r="M134" s="1331"/>
      <c r="N134" s="1331"/>
      <c r="O134" s="1331"/>
      <c r="P134" s="1331"/>
      <c r="Q134" s="1331"/>
      <c r="R134" s="1331"/>
      <c r="S134" s="1331"/>
      <c r="T134" s="468" cm="1" t="str">
        <f t="array" ref="T134:T134">T133</f>
        <v>true</v>
      </c>
      <c r="U134" s="1331"/>
      <c r="V134" s="1331"/>
      <c r="W134" s="1331"/>
      <c r="X134" s="1539"/>
      <c r="Y134" s="1331"/>
      <c r="Z134" s="1529"/>
      <c r="AA134" s="1331"/>
      <c r="AB134" s="295" t="s">
        <v>1568</v>
      </c>
      <c r="AC134" s="772" t="s">
        <v>1569</v>
      </c>
      <c r="AD134" s="296" t="s">
        <v>936</v>
      </c>
      <c r="AE134" s="779"/>
      <c r="AF134" s="779"/>
      <c r="AG134" s="779"/>
      <c r="AH134" s="779"/>
      <c r="AI134" s="779"/>
      <c r="AJ134" s="779"/>
      <c r="AK134" s="779"/>
      <c r="AL134" s="3132"/>
      <c r="AM134" s="3132"/>
      <c r="AN134" s="3132"/>
      <c r="AO134" s="3132"/>
      <c r="AP134" s="3132"/>
      <c r="AQ134" s="3132"/>
      <c r="AR134" s="3132"/>
      <c r="AS134" s="3132"/>
      <c r="AT134" s="3132"/>
      <c r="AU134" s="779"/>
      <c r="AV134" s="3132"/>
      <c r="AW134" s="3132"/>
      <c r="AX134" s="3132"/>
      <c r="AY134" s="3132"/>
      <c r="AZ134" s="3132"/>
      <c r="BA134" s="3132"/>
      <c r="BB134" s="3132"/>
      <c r="BC134" s="3132"/>
      <c r="BD134" s="3132"/>
      <c r="BE134" s="781"/>
      <c r="BF134" s="1331"/>
      <c r="BG134" s="1331"/>
      <c r="BH134" s="1005" t="s">
        <v>1570</v>
      </c>
    </row>
    <row s="1656" customFormat="1" customHeight="1" ht="14.25">
      <c r="A135" s="1331"/>
      <c r="B135" s="118">
        <f>InvestmentSources_is_one_block="нет"</f>
        <v>1</v>
      </c>
      <c r="C135" s="1331"/>
      <c r="D135" s="1331"/>
      <c r="E135" s="623">
        <v>15</v>
      </c>
      <c r="F135" s="50" cm="1" t="str">
        <f t="array" ref="F135:F135">OFFSET(E135,-1,1)</f>
        <v>2</v>
      </c>
      <c r="G135" s="1331"/>
      <c r="H135" s="118" t="s">
        <v>1571</v>
      </c>
      <c r="I135" s="1331"/>
      <c r="J135" s="1331"/>
      <c r="K135" s="1331"/>
      <c r="L135" s="1331"/>
      <c r="M135" s="1331"/>
      <c r="N135" s="1331"/>
      <c r="O135" s="1331"/>
      <c r="P135" s="1331"/>
      <c r="Q135" s="1331"/>
      <c r="R135" s="1331"/>
      <c r="S135" s="1331"/>
      <c r="T135" s="468" cm="1" t="str">
        <f t="array" ref="T135:T135">T134</f>
        <v>true</v>
      </c>
      <c r="U135" s="1331"/>
      <c r="V135" s="1331"/>
      <c r="W135" s="1331"/>
      <c r="X135" s="1539"/>
      <c r="Y135" s="1331"/>
      <c r="Z135" s="1529"/>
      <c r="AA135" s="1331"/>
      <c r="AB135" s="295" t="s">
        <v>1572</v>
      </c>
      <c r="AC135" s="772" t="s">
        <v>1573</v>
      </c>
      <c r="AD135" s="296" t="s">
        <v>936</v>
      </c>
      <c r="AE135" s="779"/>
      <c r="AF135" s="779"/>
      <c r="AG135" s="779"/>
      <c r="AH135" s="779"/>
      <c r="AI135" s="779"/>
      <c r="AJ135" s="779"/>
      <c r="AK135" s="779"/>
      <c r="AL135" s="3132"/>
      <c r="AM135" s="3132"/>
      <c r="AN135" s="3132"/>
      <c r="AO135" s="3132"/>
      <c r="AP135" s="3132"/>
      <c r="AQ135" s="3132"/>
      <c r="AR135" s="3132"/>
      <c r="AS135" s="3132"/>
      <c r="AT135" s="3132"/>
      <c r="AU135" s="779"/>
      <c r="AV135" s="3132"/>
      <c r="AW135" s="3132"/>
      <c r="AX135" s="3132"/>
      <c r="AY135" s="3132"/>
      <c r="AZ135" s="3132"/>
      <c r="BA135" s="3132"/>
      <c r="BB135" s="3132"/>
      <c r="BC135" s="3132"/>
      <c r="BD135" s="3132"/>
      <c r="BE135" s="781"/>
      <c r="BF135" s="1331"/>
      <c r="BG135" s="1331"/>
      <c r="BH135" s="1005" t="s">
        <v>1574</v>
      </c>
    </row>
    <row s="1656" customFormat="1" customHeight="1" ht="14.25">
      <c r="A136" s="1331"/>
      <c r="B136" s="118">
        <f>InvestmentSources_is_one_block="нет"</f>
        <v>1</v>
      </c>
      <c r="C136" s="1331"/>
      <c r="D136" s="1331"/>
      <c r="E136" s="623">
        <v>15</v>
      </c>
      <c r="F136" s="50" cm="1" t="str">
        <f t="array" ref="F136:F136">OFFSET(E136,-1,1)</f>
        <v>2</v>
      </c>
      <c r="G136" s="1331"/>
      <c r="H136" s="118" t="s">
        <v>577</v>
      </c>
      <c r="I136" s="1331"/>
      <c r="J136" s="1331"/>
      <c r="K136" s="1331"/>
      <c r="L136" s="1331"/>
      <c r="M136" s="1331"/>
      <c r="N136" s="1331"/>
      <c r="O136" s="1331"/>
      <c r="P136" s="1331"/>
      <c r="Q136" s="1331"/>
      <c r="R136" s="1331"/>
      <c r="S136" s="1331"/>
      <c r="T136" s="468" cm="1" t="str">
        <f t="array" ref="T136:T136">T135</f>
        <v>true</v>
      </c>
      <c r="U136" s="1331"/>
      <c r="V136" s="1331"/>
      <c r="W136" s="1331"/>
      <c r="X136" s="1539"/>
      <c r="Y136" s="1331"/>
      <c r="Z136" s="1529"/>
      <c r="AA136" s="1331"/>
      <c r="AB136" s="295" t="s">
        <v>1076</v>
      </c>
      <c r="AC136" s="769" t="s">
        <v>1575</v>
      </c>
      <c r="AD136" s="296" t="s">
        <v>936</v>
      </c>
      <c r="AE136" s="790">
        <f>AE137+AE138+AE139+AE140</f>
        <v>0</v>
      </c>
      <c r="AF136" s="790">
        <f>AF137+AF138+AF139+AF140</f>
        <v>0</v>
      </c>
      <c r="AG136" s="790">
        <f>AG137+AG138+AG139+AG140</f>
        <v>0</v>
      </c>
      <c r="AH136" s="790">
        <f>AH137+AH138+AH139+AH140</f>
        <v>0</v>
      </c>
      <c r="AI136" s="790">
        <f>AI137+AI138+AI139+AI140</f>
        <v>0</v>
      </c>
      <c r="AJ136" s="790">
        <f>AJ137+AJ138+AJ139+AJ140</f>
        <v>0</v>
      </c>
      <c r="AK136" s="790">
        <f>AK137+AK138+AK139+AK140</f>
        <v>0</v>
      </c>
      <c r="AL136" s="790">
        <f>AL137+AL138+AL139+AL140</f>
        <v>0</v>
      </c>
      <c r="AM136" s="790">
        <f>AM137+AM138+AM139+AM140</f>
        <v>0</v>
      </c>
      <c r="AN136" s="790">
        <f>AN137+AN138+AN139+AN140</f>
        <v>0</v>
      </c>
      <c r="AO136" s="790">
        <f>AO137+AO138+AO139+AO140</f>
        <v>0</v>
      </c>
      <c r="AP136" s="790">
        <f>AP137+AP138+AP139+AP140</f>
        <v>0</v>
      </c>
      <c r="AQ136" s="790">
        <f>AQ137+AQ138+AQ139+AQ140</f>
        <v>0</v>
      </c>
      <c r="AR136" s="790">
        <f>AR137+AR138+AR139+AR140</f>
        <v>0</v>
      </c>
      <c r="AS136" s="790">
        <f>AS137+AS138+AS139+AS140</f>
        <v>0</v>
      </c>
      <c r="AT136" s="790">
        <f>AT137+AT138+AT139+AT140</f>
        <v>0</v>
      </c>
      <c r="AU136" s="790">
        <f>AU137+AU138+AU139+AU140</f>
        <v>0</v>
      </c>
      <c r="AV136" s="790">
        <f>AV137+AV138+AV139+AV140</f>
        <v>0</v>
      </c>
      <c r="AW136" s="790">
        <f>AW137+AW138+AW139+AW140</f>
        <v>0</v>
      </c>
      <c r="AX136" s="790">
        <f>AX137+AX138+AX139+AX140</f>
        <v>0</v>
      </c>
      <c r="AY136" s="790">
        <f>AY137+AY138+AY139+AY140</f>
        <v>0</v>
      </c>
      <c r="AZ136" s="790">
        <f>AZ137+AZ138+AZ139+AZ140</f>
        <v>0</v>
      </c>
      <c r="BA136" s="790">
        <f>BA137+BA138+BA139+BA140</f>
        <v>0</v>
      </c>
      <c r="BB136" s="790">
        <f>BB137+BB138+BB139+BB140</f>
        <v>0</v>
      </c>
      <c r="BC136" s="790">
        <f>BC137+BC138+BC139+BC140</f>
        <v>0</v>
      </c>
      <c r="BD136" s="790">
        <f>BD137+BD138+BD139+BD140</f>
        <v>0</v>
      </c>
      <c r="BE136" s="781"/>
      <c r="BF136" s="1331"/>
      <c r="BG136" s="1331"/>
      <c r="BH136" s="1005" t="s">
        <v>1576</v>
      </c>
    </row>
    <row s="1656" customFormat="1" customHeight="1" ht="14.25">
      <c r="A137" s="1331"/>
      <c r="B137" s="118">
        <f>InvestmentSources_is_one_block="нет"</f>
        <v>1</v>
      </c>
      <c r="C137" s="1331"/>
      <c r="D137" s="1331"/>
      <c r="E137" s="623">
        <v>15</v>
      </c>
      <c r="F137" s="50" cm="1" t="str">
        <f t="array" ref="F137:F137">OFFSET(E137,-1,1)</f>
        <v>2</v>
      </c>
      <c r="G137" s="1331"/>
      <c r="H137" s="118" t="s">
        <v>1577</v>
      </c>
      <c r="I137" s="1331"/>
      <c r="J137" s="1331"/>
      <c r="K137" s="1331"/>
      <c r="L137" s="1331"/>
      <c r="M137" s="1331"/>
      <c r="N137" s="1331"/>
      <c r="O137" s="1331"/>
      <c r="P137" s="1331"/>
      <c r="Q137" s="1331"/>
      <c r="R137" s="1331"/>
      <c r="S137" s="1331"/>
      <c r="T137" s="468" cm="1" t="str">
        <f t="array" ref="T137:T137">T136</f>
        <v>true</v>
      </c>
      <c r="U137" s="1331"/>
      <c r="V137" s="1331"/>
      <c r="W137" s="1331"/>
      <c r="X137" s="1539"/>
      <c r="Y137" s="1331"/>
      <c r="Z137" s="1529"/>
      <c r="AA137" s="1331"/>
      <c r="AB137" s="295" t="s">
        <v>1214</v>
      </c>
      <c r="AC137" s="772" t="s">
        <v>1208</v>
      </c>
      <c r="AD137" s="296" t="s">
        <v>936</v>
      </c>
      <c r="AE137" s="779"/>
      <c r="AF137" s="779"/>
      <c r="AG137" s="779"/>
      <c r="AH137" s="779"/>
      <c r="AI137" s="779"/>
      <c r="AJ137" s="779"/>
      <c r="AK137" s="779"/>
      <c r="AL137" s="3132"/>
      <c r="AM137" s="3132"/>
      <c r="AN137" s="3132"/>
      <c r="AO137" s="3132"/>
      <c r="AP137" s="3132"/>
      <c r="AQ137" s="3132"/>
      <c r="AR137" s="3132"/>
      <c r="AS137" s="3132"/>
      <c r="AT137" s="3132"/>
      <c r="AU137" s="779"/>
      <c r="AV137" s="3132"/>
      <c r="AW137" s="3132"/>
      <c r="AX137" s="3132"/>
      <c r="AY137" s="3132"/>
      <c r="AZ137" s="3132"/>
      <c r="BA137" s="3132"/>
      <c r="BB137" s="3132"/>
      <c r="BC137" s="3132"/>
      <c r="BD137" s="3132"/>
      <c r="BE137" s="781"/>
      <c r="BF137" s="1331"/>
      <c r="BG137" s="1331"/>
      <c r="BH137" s="1005" t="s">
        <v>1210</v>
      </c>
    </row>
    <row s="1656" customFormat="1" customHeight="1" ht="21.75">
      <c r="A138" s="1331"/>
      <c r="B138" s="118">
        <f>InvestmentSources_is_one_block="нет"</f>
        <v>1</v>
      </c>
      <c r="C138" s="1331"/>
      <c r="D138" s="1331"/>
      <c r="E138" s="623">
        <v>22.5</v>
      </c>
      <c r="F138" s="50" cm="1" t="str">
        <f t="array" ref="F138:F138">OFFSET(E138,-1,1)</f>
        <v>2</v>
      </c>
      <c r="G138" s="1331"/>
      <c r="H138" s="118" t="s">
        <v>1578</v>
      </c>
      <c r="I138" s="1331"/>
      <c r="J138" s="1331"/>
      <c r="K138" s="1331"/>
      <c r="L138" s="1331"/>
      <c r="M138" s="1331"/>
      <c r="N138" s="1331"/>
      <c r="O138" s="1331"/>
      <c r="P138" s="1331"/>
      <c r="Q138" s="1331"/>
      <c r="R138" s="1331"/>
      <c r="S138" s="1331"/>
      <c r="T138" s="468" cm="1" t="str">
        <f t="array" ref="T138:T138">T137</f>
        <v>true</v>
      </c>
      <c r="U138" s="1331"/>
      <c r="V138" s="1331"/>
      <c r="W138" s="1331"/>
      <c r="X138" s="1539"/>
      <c r="Y138" s="1331"/>
      <c r="Z138" s="1529"/>
      <c r="AA138" s="1331"/>
      <c r="AB138" s="295" t="s">
        <v>1217</v>
      </c>
      <c r="AC138" s="772" t="s">
        <v>1579</v>
      </c>
      <c r="AD138" s="296" t="s">
        <v>936</v>
      </c>
      <c r="AE138" s="779"/>
      <c r="AF138" s="779"/>
      <c r="AG138" s="779"/>
      <c r="AH138" s="779"/>
      <c r="AI138" s="779"/>
      <c r="AJ138" s="779"/>
      <c r="AK138" s="779"/>
      <c r="AL138" s="3132"/>
      <c r="AM138" s="3132"/>
      <c r="AN138" s="3132"/>
      <c r="AO138" s="3132"/>
      <c r="AP138" s="3132"/>
      <c r="AQ138" s="3132"/>
      <c r="AR138" s="3132"/>
      <c r="AS138" s="3132"/>
      <c r="AT138" s="3132"/>
      <c r="AU138" s="779"/>
      <c r="AV138" s="3132"/>
      <c r="AW138" s="3132"/>
      <c r="AX138" s="3132"/>
      <c r="AY138" s="3132"/>
      <c r="AZ138" s="3132"/>
      <c r="BA138" s="3132"/>
      <c r="BB138" s="3132"/>
      <c r="BC138" s="3132"/>
      <c r="BD138" s="3132"/>
      <c r="BE138" s="781"/>
      <c r="BF138" s="1331"/>
      <c r="BG138" s="1331"/>
      <c r="BH138" s="1005" t="s">
        <v>1580</v>
      </c>
    </row>
    <row s="1656" customFormat="1" customHeight="1" ht="21.75">
      <c r="A139" s="1331"/>
      <c r="B139" s="118">
        <f>InvestmentSources_is_one_block="нет"</f>
        <v>1</v>
      </c>
      <c r="C139" s="1331"/>
      <c r="D139" s="1331"/>
      <c r="E139" s="623">
        <v>22.5</v>
      </c>
      <c r="F139" s="50" cm="1" t="str">
        <f t="array" ref="F139:F139">OFFSET(E139,-1,1)</f>
        <v>2</v>
      </c>
      <c r="G139" s="1331"/>
      <c r="H139" s="118" t="s">
        <v>1581</v>
      </c>
      <c r="I139" s="1331"/>
      <c r="J139" s="1331"/>
      <c r="K139" s="1331"/>
      <c r="L139" s="1331"/>
      <c r="M139" s="1331"/>
      <c r="N139" s="1331"/>
      <c r="O139" s="1331"/>
      <c r="P139" s="1331"/>
      <c r="Q139" s="1331"/>
      <c r="R139" s="1331"/>
      <c r="S139" s="1331"/>
      <c r="T139" s="468" cm="1" t="str">
        <f t="array" ref="T139:T139">T138</f>
        <v>true</v>
      </c>
      <c r="U139" s="1331"/>
      <c r="V139" s="1331"/>
      <c r="W139" s="1331"/>
      <c r="X139" s="1539"/>
      <c r="Y139" s="1331"/>
      <c r="Z139" s="1529"/>
      <c r="AA139" s="1331"/>
      <c r="AB139" s="295" t="s">
        <v>1582</v>
      </c>
      <c r="AC139" s="772" t="s">
        <v>1583</v>
      </c>
      <c r="AD139" s="296" t="s">
        <v>936</v>
      </c>
      <c r="AE139" s="779"/>
      <c r="AF139" s="779"/>
      <c r="AG139" s="779"/>
      <c r="AH139" s="779"/>
      <c r="AI139" s="779"/>
      <c r="AJ139" s="779"/>
      <c r="AK139" s="779"/>
      <c r="AL139" s="3132"/>
      <c r="AM139" s="3132"/>
      <c r="AN139" s="3132"/>
      <c r="AO139" s="3132"/>
      <c r="AP139" s="3132"/>
      <c r="AQ139" s="3132"/>
      <c r="AR139" s="3132"/>
      <c r="AS139" s="3132"/>
      <c r="AT139" s="3132"/>
      <c r="AU139" s="779"/>
      <c r="AV139" s="3132"/>
      <c r="AW139" s="3132"/>
      <c r="AX139" s="3132"/>
      <c r="AY139" s="3132"/>
      <c r="AZ139" s="3132"/>
      <c r="BA139" s="3132"/>
      <c r="BB139" s="3132"/>
      <c r="BC139" s="3132"/>
      <c r="BD139" s="3132"/>
      <c r="BE139" s="781"/>
      <c r="BF139" s="1331"/>
      <c r="BG139" s="1331"/>
      <c r="BH139" s="1005" t="s">
        <v>1584</v>
      </c>
    </row>
    <row s="1656" customFormat="1" customHeight="1" ht="14.25">
      <c r="A140" s="1331"/>
      <c r="B140" s="118">
        <f>InvestmentSources_is_one_block="нет"</f>
        <v>1</v>
      </c>
      <c r="C140" s="1331"/>
      <c r="D140" s="1331"/>
      <c r="E140" s="623">
        <v>15</v>
      </c>
      <c r="F140" s="50" cm="1" t="str">
        <f t="array" ref="F140:F140">OFFSET(E140,-1,1)</f>
        <v>2</v>
      </c>
      <c r="G140" s="1331"/>
      <c r="H140" s="118" t="s">
        <v>1585</v>
      </c>
      <c r="I140" s="1331"/>
      <c r="J140" s="1331"/>
      <c r="K140" s="1331"/>
      <c r="L140" s="1331"/>
      <c r="M140" s="1331"/>
      <c r="N140" s="1331"/>
      <c r="O140" s="1331"/>
      <c r="P140" s="1331"/>
      <c r="Q140" s="1331"/>
      <c r="R140" s="1331"/>
      <c r="S140" s="1331"/>
      <c r="T140" s="468" cm="1" t="str">
        <f t="array" ref="T140:T140">T139</f>
        <v>true</v>
      </c>
      <c r="U140" s="1331"/>
      <c r="V140" s="1331"/>
      <c r="W140" s="1331"/>
      <c r="X140" s="1539"/>
      <c r="Y140" s="1331"/>
      <c r="Z140" s="1529"/>
      <c r="AA140" s="1331"/>
      <c r="AB140" s="295" t="s">
        <v>1586</v>
      </c>
      <c r="AC140" s="772" t="s">
        <v>1587</v>
      </c>
      <c r="AD140" s="296" t="s">
        <v>936</v>
      </c>
      <c r="AE140" s="779"/>
      <c r="AF140" s="779"/>
      <c r="AG140" s="779"/>
      <c r="AH140" s="779"/>
      <c r="AI140" s="779"/>
      <c r="AJ140" s="779"/>
      <c r="AK140" s="779"/>
      <c r="AL140" s="3132"/>
      <c r="AM140" s="3132"/>
      <c r="AN140" s="3132"/>
      <c r="AO140" s="3132"/>
      <c r="AP140" s="3132"/>
      <c r="AQ140" s="3132"/>
      <c r="AR140" s="3132"/>
      <c r="AS140" s="3132"/>
      <c r="AT140" s="3132"/>
      <c r="AU140" s="779"/>
      <c r="AV140" s="3132"/>
      <c r="AW140" s="3132"/>
      <c r="AX140" s="3132"/>
      <c r="AY140" s="3132"/>
      <c r="AZ140" s="3132"/>
      <c r="BA140" s="3132"/>
      <c r="BB140" s="3132"/>
      <c r="BC140" s="3132"/>
      <c r="BD140" s="3132"/>
      <c r="BE140" s="781"/>
      <c r="BF140" s="1331"/>
      <c r="BG140" s="1331"/>
      <c r="BH140" s="1005" t="s">
        <v>1588</v>
      </c>
    </row>
    <row s="4474" customFormat="1" customHeight="1" ht="21.75">
      <c r="A141" s="704"/>
      <c r="B141" s="118">
        <f>InvestmentSources_is_one_block="нет"</f>
        <v>1</v>
      </c>
      <c r="C141" s="704"/>
      <c r="D141" s="704"/>
      <c r="E141" s="697">
        <v>22.5</v>
      </c>
      <c r="F141" s="50" cm="1" t="str">
        <f t="array" ref="F141:F141">OFFSET(E141,-1,1)</f>
        <v>2</v>
      </c>
      <c r="G141" s="118"/>
      <c r="H141" s="118" t="s">
        <v>345</v>
      </c>
      <c r="I141" s="704"/>
      <c r="J141" s="704"/>
      <c r="K141" s="704"/>
      <c r="L141" s="704"/>
      <c r="M141" s="704"/>
      <c r="N141" s="704"/>
      <c r="O141" s="704"/>
      <c r="P141" s="704"/>
      <c r="Q141" s="704"/>
      <c r="R141" s="704"/>
      <c r="S141" s="704"/>
      <c r="T141" s="468" cm="1" t="str">
        <f t="array" ref="T141:T141">T140</f>
        <v>true</v>
      </c>
      <c r="U141" s="704"/>
      <c r="V141" s="704"/>
      <c r="W141" s="704"/>
      <c r="X141" s="1539"/>
      <c r="Y141" s="704"/>
      <c r="Z141" s="1529"/>
      <c r="AA141" s="704"/>
      <c r="AB141" s="214" t="s">
        <v>299</v>
      </c>
      <c r="AC141" s="215" t="s">
        <v>1589</v>
      </c>
      <c r="AD141" s="207" t="s">
        <v>936</v>
      </c>
      <c r="AE141" s="209">
        <f>AE142+AE143+AE144</f>
        <v>0</v>
      </c>
      <c r="AF141" s="209">
        <f>AF142+AF143+AF144</f>
        <v>0</v>
      </c>
      <c r="AG141" s="209">
        <f>AG142+AG143+AG144</f>
        <v>0</v>
      </c>
      <c r="AH141" s="209">
        <f>AH142+AH143+AH144</f>
        <v>0</v>
      </c>
      <c r="AI141" s="209">
        <f>AI142+AI143+AI144</f>
        <v>0</v>
      </c>
      <c r="AJ141" s="209">
        <f>AJ142+AJ143+AJ144</f>
        <v>0</v>
      </c>
      <c r="AK141" s="209">
        <f>AK142+AK143+AK144</f>
        <v>0</v>
      </c>
      <c r="AL141" s="209">
        <f>AL142+AL143+AL144</f>
        <v>0</v>
      </c>
      <c r="AM141" s="209">
        <f>AM142+AM143+AM144</f>
        <v>0</v>
      </c>
      <c r="AN141" s="209">
        <f>AN142+AN143+AN144</f>
        <v>0</v>
      </c>
      <c r="AO141" s="209">
        <f>AO142+AO143+AO144</f>
        <v>0</v>
      </c>
      <c r="AP141" s="209">
        <f>AP142+AP143+AP144</f>
        <v>0</v>
      </c>
      <c r="AQ141" s="209">
        <f>AQ142+AQ143+AQ144</f>
        <v>0</v>
      </c>
      <c r="AR141" s="209">
        <f>AR142+AR143+AR144</f>
        <v>0</v>
      </c>
      <c r="AS141" s="209">
        <f>AS142+AS143+AS144</f>
        <v>0</v>
      </c>
      <c r="AT141" s="209">
        <f>AT142+AT143+AT144</f>
        <v>0</v>
      </c>
      <c r="AU141" s="209">
        <f>AU142+AU143+AU144</f>
        <v>0</v>
      </c>
      <c r="AV141" s="209">
        <f>AV142+AV143+AV144</f>
        <v>0</v>
      </c>
      <c r="AW141" s="209">
        <f>AW142+AW143+AW144</f>
        <v>0</v>
      </c>
      <c r="AX141" s="209">
        <f>AX142+AX143+AX144</f>
        <v>0</v>
      </c>
      <c r="AY141" s="209">
        <f>AY142+AY143+AY144</f>
        <v>0</v>
      </c>
      <c r="AZ141" s="209">
        <f>AZ142+AZ143+AZ144</f>
        <v>0</v>
      </c>
      <c r="BA141" s="209">
        <f>BA142+BA143+BA144</f>
        <v>0</v>
      </c>
      <c r="BB141" s="209">
        <f>BB142+BB143+BB144</f>
        <v>0</v>
      </c>
      <c r="BC141" s="209">
        <f>BC142+BC143+BC144</f>
        <v>0</v>
      </c>
      <c r="BD141" s="209">
        <f>BD142+BD143+BD144</f>
        <v>0</v>
      </c>
      <c r="BE141" s="781"/>
      <c r="BF141" s="704"/>
      <c r="BG141" s="704"/>
      <c r="BH141" s="1059" t="s">
        <v>1590</v>
      </c>
    </row>
    <row s="1656" customFormat="1" customHeight="1" ht="14.25">
      <c r="A142" s="1331"/>
      <c r="B142" s="118">
        <f>InvestmentSources_is_one_block="нет"</f>
        <v>1</v>
      </c>
      <c r="C142" s="1331"/>
      <c r="D142" s="1331"/>
      <c r="E142" s="623">
        <v>15</v>
      </c>
      <c r="F142" s="50" cm="1" t="str">
        <f t="array" ref="F142:F142">OFFSET(E142,-1,1)</f>
        <v>2</v>
      </c>
      <c r="G142" s="1331"/>
      <c r="H142" s="118" t="s">
        <v>584</v>
      </c>
      <c r="I142" s="1331"/>
      <c r="J142" s="1331"/>
      <c r="K142" s="120" t="str">
        <f>F142&amp;"2komm"</f>
        <v>22komm</v>
      </c>
      <c r="L142" s="120" cm="1" t="str">
        <f t="array" ref="L142:L142">BE142</f>
        <v>0</v>
      </c>
      <c r="M142" s="1331"/>
      <c r="N142" s="1331"/>
      <c r="O142" s="1331"/>
      <c r="P142" s="1331"/>
      <c r="Q142" s="1331"/>
      <c r="R142" s="1331"/>
      <c r="S142" s="1331"/>
      <c r="T142" s="468" cm="1" t="str">
        <f t="array" ref="T142:T142">T141</f>
        <v>true</v>
      </c>
      <c r="U142" s="1331"/>
      <c r="V142" s="1331"/>
      <c r="W142" s="1331"/>
      <c r="X142" s="1539"/>
      <c r="Y142" s="1331"/>
      <c r="Z142" s="1529"/>
      <c r="AA142" s="1331"/>
      <c r="AB142" s="295" t="s">
        <v>660</v>
      </c>
      <c r="AC142" s="769" t="s">
        <v>1591</v>
      </c>
      <c r="AD142" s="296" t="s">
        <v>936</v>
      </c>
      <c r="AE142" s="779"/>
      <c r="AF142" s="779"/>
      <c r="AG142" s="779"/>
      <c r="AH142" s="779"/>
      <c r="AI142" s="779"/>
      <c r="AJ142" s="779"/>
      <c r="AK142" s="779"/>
      <c r="AL142" s="3132"/>
      <c r="AM142" s="3132"/>
      <c r="AN142" s="3132"/>
      <c r="AO142" s="3132"/>
      <c r="AP142" s="3132"/>
      <c r="AQ142" s="3132"/>
      <c r="AR142" s="3132"/>
      <c r="AS142" s="3132"/>
      <c r="AT142" s="3132"/>
      <c r="AU142" s="779"/>
      <c r="AV142" s="3132"/>
      <c r="AW142" s="3132"/>
      <c r="AX142" s="3132"/>
      <c r="AY142" s="3132"/>
      <c r="AZ142" s="3132"/>
      <c r="BA142" s="3132"/>
      <c r="BB142" s="3132"/>
      <c r="BC142" s="3132"/>
      <c r="BD142" s="3132"/>
      <c r="BE142" s="781"/>
      <c r="BF142" s="1331"/>
      <c r="BG142" s="1331"/>
      <c r="BH142" s="1005" t="s">
        <v>1592</v>
      </c>
    </row>
    <row s="1656" customFormat="1" customHeight="1" ht="14.25">
      <c r="A143" s="1331"/>
      <c r="B143" s="118">
        <f>InvestmentSources_is_one_block="нет"</f>
        <v>1</v>
      </c>
      <c r="C143" s="1331"/>
      <c r="D143" s="1331"/>
      <c r="E143" s="623">
        <v>15</v>
      </c>
      <c r="F143" s="50" cm="1" t="str">
        <f t="array" ref="F143:F143">OFFSET(E143,-1,1)</f>
        <v>2</v>
      </c>
      <c r="G143" s="1331"/>
      <c r="H143" s="118" t="s">
        <v>587</v>
      </c>
      <c r="I143" s="1331"/>
      <c r="J143" s="1331"/>
      <c r="K143" s="120" t="str">
        <f>F143&amp;"3komm"</f>
        <v>23komm</v>
      </c>
      <c r="L143" s="120" cm="1" t="str">
        <f t="array" ref="L143:L143">BE143</f>
        <v>0</v>
      </c>
      <c r="M143" s="1331"/>
      <c r="N143" s="1331"/>
      <c r="O143" s="1331"/>
      <c r="P143" s="1331"/>
      <c r="Q143" s="1331"/>
      <c r="R143" s="1331"/>
      <c r="S143" s="1331"/>
      <c r="T143" s="468" cm="1" t="str">
        <f t="array" ref="T143:T143">T142</f>
        <v>true</v>
      </c>
      <c r="U143" s="1331"/>
      <c r="V143" s="1331"/>
      <c r="W143" s="1331"/>
      <c r="X143" s="1539"/>
      <c r="Y143" s="1331"/>
      <c r="Z143" s="1529"/>
      <c r="AA143" s="1331"/>
      <c r="AB143" s="295" t="s">
        <v>664</v>
      </c>
      <c r="AC143" s="769" t="s">
        <v>1593</v>
      </c>
      <c r="AD143" s="296" t="s">
        <v>936</v>
      </c>
      <c r="AE143" s="779"/>
      <c r="AF143" s="779"/>
      <c r="AG143" s="779"/>
      <c r="AH143" s="779"/>
      <c r="AI143" s="779"/>
      <c r="AJ143" s="779"/>
      <c r="AK143" s="779"/>
      <c r="AL143" s="3132"/>
      <c r="AM143" s="3132"/>
      <c r="AN143" s="3132"/>
      <c r="AO143" s="3132"/>
      <c r="AP143" s="3132"/>
      <c r="AQ143" s="3132"/>
      <c r="AR143" s="3132"/>
      <c r="AS143" s="3132"/>
      <c r="AT143" s="3132"/>
      <c r="AU143" s="779"/>
      <c r="AV143" s="3132"/>
      <c r="AW143" s="3132"/>
      <c r="AX143" s="3132"/>
      <c r="AY143" s="3132"/>
      <c r="AZ143" s="3132"/>
      <c r="BA143" s="3132"/>
      <c r="BB143" s="3132"/>
      <c r="BC143" s="3132"/>
      <c r="BD143" s="3132"/>
      <c r="BE143" s="781"/>
      <c r="BF143" s="1331"/>
      <c r="BG143" s="1331"/>
      <c r="BH143" s="1005" t="s">
        <v>1594</v>
      </c>
    </row>
    <row s="1656" customFormat="1" customHeight="1" ht="14.25">
      <c r="A144" s="1331"/>
      <c r="B144" s="118">
        <f>InvestmentSources_is_one_block="нет"</f>
        <v>1</v>
      </c>
      <c r="C144" s="1331"/>
      <c r="D144" s="1331"/>
      <c r="E144" s="623">
        <v>15</v>
      </c>
      <c r="F144" s="50" cm="1" t="str">
        <f t="array" ref="F144:F144">OFFSET(E144,-1,1)</f>
        <v>2</v>
      </c>
      <c r="G144" s="1331"/>
      <c r="H144" s="118" t="s">
        <v>1087</v>
      </c>
      <c r="I144" s="1331"/>
      <c r="J144" s="1331"/>
      <c r="K144" s="1331"/>
      <c r="L144" s="1331"/>
      <c r="M144" s="1331"/>
      <c r="N144" s="1331"/>
      <c r="O144" s="1331"/>
      <c r="P144" s="1331"/>
      <c r="Q144" s="1331"/>
      <c r="R144" s="1331"/>
      <c r="S144" s="1331"/>
      <c r="T144" s="468" cm="1" t="str">
        <f t="array" ref="T144:T144">T143</f>
        <v>true</v>
      </c>
      <c r="U144" s="1331"/>
      <c r="V144" s="1331"/>
      <c r="W144" s="1331"/>
      <c r="X144" s="1539"/>
      <c r="Y144" s="1331"/>
      <c r="Z144" s="1529"/>
      <c r="AA144" s="1331"/>
      <c r="AB144" s="295" t="s">
        <v>668</v>
      </c>
      <c r="AC144" s="769" t="s">
        <v>1595</v>
      </c>
      <c r="AD144" s="296" t="s">
        <v>936</v>
      </c>
      <c r="AE144" s="779"/>
      <c r="AF144" s="779"/>
      <c r="AG144" s="779"/>
      <c r="AH144" s="779"/>
      <c r="AI144" s="779"/>
      <c r="AJ144" s="779"/>
      <c r="AK144" s="779"/>
      <c r="AL144" s="3132"/>
      <c r="AM144" s="3132"/>
      <c r="AN144" s="3132"/>
      <c r="AO144" s="3132"/>
      <c r="AP144" s="3132"/>
      <c r="AQ144" s="3132"/>
      <c r="AR144" s="3132"/>
      <c r="AS144" s="3132"/>
      <c r="AT144" s="3132"/>
      <c r="AU144" s="779"/>
      <c r="AV144" s="3132"/>
      <c r="AW144" s="3132"/>
      <c r="AX144" s="3132"/>
      <c r="AY144" s="3132"/>
      <c r="AZ144" s="3132"/>
      <c r="BA144" s="3132"/>
      <c r="BB144" s="3132"/>
      <c r="BC144" s="3132"/>
      <c r="BD144" s="3132"/>
      <c r="BE144" s="781"/>
      <c r="BF144" s="1331"/>
      <c r="BG144" s="1331"/>
      <c r="BH144" s="1005" t="s">
        <v>1596</v>
      </c>
    </row>
    <row s="1656" customFormat="1" customHeight="1" ht="28.171875">
      <c r="A145" s="1331"/>
      <c r="B145" s="118">
        <f>InvestmentSources_is_one_block="нет"</f>
        <v>1</v>
      </c>
      <c r="C145" s="1331"/>
      <c r="D145" s="1331"/>
      <c r="E145" s="623">
        <v>15</v>
      </c>
      <c r="F145" s="94" cm="1" t="str">
        <f t="array" ref="F145:F145">X145</f>
        <v>3</v>
      </c>
      <c r="G145" s="1331"/>
      <c r="H145" s="1331"/>
      <c r="I145" s="1331"/>
      <c r="J145" s="1331"/>
      <c r="K145" s="1331"/>
      <c r="L145" s="1331"/>
      <c r="M145" s="1331"/>
      <c r="N145" s="1331"/>
      <c r="O145" s="1331"/>
      <c r="P145" s="1331"/>
      <c r="Q145" s="1331"/>
      <c r="R145" s="1331"/>
      <c r="S145" s="1331"/>
      <c r="T145" s="468">
        <f>X145&gt;0</f>
        <v>1</v>
      </c>
      <c r="U145" s="1331"/>
      <c r="V145" s="118" cm="1" t="str">
        <f t="array" ref="V145:V145">Налоги!$AB$69</f>
        <v>Тариф 3 (Водоотведение) - тариф на водоотведение (Оказание услуг на территории: город Полысаево (ОКТМО: 32732000) - г Полысаево)</v>
      </c>
      <c r="W145" s="1331"/>
      <c r="X145" s="1539" t="s">
        <v>234</v>
      </c>
      <c r="Y145" s="1331"/>
      <c r="Z145" s="1529"/>
      <c r="AA145" s="1331"/>
      <c r="AB145" s="238" cm="1" t="str">
        <f t="array" ref="AB145:AB145">Налоги!$AB$69</f>
        <v>Тариф 3 (Водоотведение) - тариф на водоотведение (Оказание услуг на территории: город Полысаево (ОКТМО: 32732000) - г Полысаево)</v>
      </c>
      <c r="AC145" s="839"/>
      <c r="AD145" s="839"/>
      <c r="AE145" s="839"/>
      <c r="AF145" s="839"/>
      <c r="AG145" s="839"/>
      <c r="AH145" s="839"/>
      <c r="AI145" s="839"/>
      <c r="AJ145" s="839"/>
      <c r="AK145" s="839"/>
      <c r="AL145" s="839"/>
      <c r="AM145" s="839"/>
      <c r="AN145" s="839"/>
      <c r="AO145" s="839"/>
      <c r="AP145" s="839"/>
      <c r="AQ145" s="839"/>
      <c r="AR145" s="839"/>
      <c r="AS145" s="839"/>
      <c r="AT145" s="839"/>
      <c r="AU145" s="839"/>
      <c r="AV145" s="839"/>
      <c r="AW145" s="839"/>
      <c r="AX145" s="839"/>
      <c r="AY145" s="839"/>
      <c r="AZ145" s="839"/>
      <c r="BA145" s="839"/>
      <c r="BB145" s="839"/>
      <c r="BC145" s="839"/>
      <c r="BD145" s="839"/>
      <c r="BE145" s="839"/>
      <c r="BF145" s="1331"/>
      <c r="BG145" s="1331"/>
      <c r="BH145" s="1245"/>
    </row>
    <row s="4475" customFormat="1" customHeight="1" ht="43.171875">
      <c r="A146" s="704"/>
      <c r="B146" s="118">
        <f>InvestmentSources_is_one_block="нет"</f>
        <v>1</v>
      </c>
      <c r="C146" s="704"/>
      <c r="D146" s="704"/>
      <c r="E146" s="697">
        <v>22.5</v>
      </c>
      <c r="F146" s="50" cm="1" t="str">
        <f t="array" ref="F146:F146">OFFSET(E146,-1,1)</f>
        <v>3</v>
      </c>
      <c r="G146" s="118"/>
      <c r="H146" s="118" t="s">
        <v>344</v>
      </c>
      <c r="I146" s="704"/>
      <c r="J146" s="704"/>
      <c r="K146" s="704"/>
      <c r="L146" s="704"/>
      <c r="M146" s="704"/>
      <c r="N146" s="704"/>
      <c r="O146" s="704"/>
      <c r="P146" s="704"/>
      <c r="Q146" s="704"/>
      <c r="R146" s="704"/>
      <c r="S146" s="704"/>
      <c r="T146" s="468" cm="1" t="str">
        <f t="array" ref="T146:T146">T145</f>
        <v>true</v>
      </c>
      <c r="U146" s="704"/>
      <c r="V146" s="704"/>
      <c r="W146" s="704"/>
      <c r="X146" s="1539"/>
      <c r="Y146" s="704"/>
      <c r="Z146" s="1529"/>
      <c r="AA146" s="704"/>
      <c r="AB146" s="214">
        <v>1</v>
      </c>
      <c r="AC146" s="208" t="s">
        <v>1518</v>
      </c>
      <c r="AD146" s="207" t="s">
        <v>936</v>
      </c>
      <c r="AE146" s="209">
        <f>AE147+AE157+AE161+AE165</f>
        <v>24004.2</v>
      </c>
      <c r="AF146" s="209">
        <f>AF147+AF157+AF161+AF165</f>
        <v>24004.2</v>
      </c>
      <c r="AG146" s="209">
        <f>AG147+AG157+AG161+AG165</f>
        <v>24004.2</v>
      </c>
      <c r="AH146" s="209">
        <f>AH147+AH157+AH161+AH165</f>
        <v>24004.2</v>
      </c>
      <c r="AI146" s="209">
        <f>AI147+AI157+AI161+AI165</f>
        <v>33409.4</v>
      </c>
      <c r="AJ146" s="209">
        <f>AJ147+AJ157+AJ161+AJ165</f>
        <v>33409.4</v>
      </c>
      <c r="AK146" s="209">
        <f>AK147+AK157+AK161+AK165</f>
        <v>45024.3</v>
      </c>
      <c r="AL146" s="209">
        <f>AL147+AL157+AL161+AL165</f>
        <v>0</v>
      </c>
      <c r="AM146" s="209">
        <f>AM147+AM157+AM161+AM165</f>
        <v>0</v>
      </c>
      <c r="AN146" s="209">
        <f>AN147+AN157+AN161+AN165</f>
        <v>0</v>
      </c>
      <c r="AO146" s="209">
        <f>AO147+AO157+AO161+AO165</f>
        <v>0</v>
      </c>
      <c r="AP146" s="209">
        <f>AP147+AP157+AP161+AP165</f>
        <v>0</v>
      </c>
      <c r="AQ146" s="209">
        <f>AQ147+AQ157+AQ161+AQ165</f>
        <v>0</v>
      </c>
      <c r="AR146" s="209">
        <f>AR147+AR157+AR161+AR165</f>
        <v>0</v>
      </c>
      <c r="AS146" s="209">
        <f>AS147+AS157+AS161+AS165</f>
        <v>0</v>
      </c>
      <c r="AT146" s="209">
        <f>AT147+AT157+AT161+AT165</f>
        <v>0</v>
      </c>
      <c r="AU146" s="209">
        <f>AU147+AU157+AU161+AU165</f>
        <v>45024.3</v>
      </c>
      <c r="AV146" s="209">
        <f>AV147+AV157+AV161+AV165</f>
        <v>0</v>
      </c>
      <c r="AW146" s="209">
        <f>AW147+AW157+AW161+AW165</f>
        <v>0</v>
      </c>
      <c r="AX146" s="209">
        <f>AX147+AX157+AX161+AX165</f>
        <v>0</v>
      </c>
      <c r="AY146" s="209">
        <f>AY147+AY157+AY161+AY165</f>
        <v>0</v>
      </c>
      <c r="AZ146" s="209">
        <f>AZ147+AZ157+AZ161+AZ165</f>
        <v>0</v>
      </c>
      <c r="BA146" s="209">
        <f>BA147+BA157+BA161+BA165</f>
        <v>0</v>
      </c>
      <c r="BB146" s="209">
        <f>BB147+BB157+BB161+BB165</f>
        <v>0</v>
      </c>
      <c r="BC146" s="209">
        <f>BC147+BC157+BC161+BC165</f>
        <v>0</v>
      </c>
      <c r="BD146" s="209">
        <f>BD147+BD157+BD161+BD165</f>
        <v>0</v>
      </c>
      <c r="BE146" s="781" t="s">
        <v>1601</v>
      </c>
      <c r="BF146" s="704"/>
      <c r="BG146" s="704"/>
      <c r="BH146" s="1059" t="s">
        <v>1519</v>
      </c>
    </row>
    <row s="1656" customFormat="1" customHeight="1" ht="84.421875">
      <c r="A147" s="1331"/>
      <c r="B147" s="118">
        <f>InvestmentSources_is_one_block="нет"</f>
        <v>1</v>
      </c>
      <c r="C147" s="1331"/>
      <c r="D147" s="1331"/>
      <c r="E147" s="623">
        <v>15</v>
      </c>
      <c r="F147" s="50" cm="1" t="str">
        <f t="array" ref="F147:F147">OFFSET(E147,-1,1)</f>
        <v>3</v>
      </c>
      <c r="G147" s="1331"/>
      <c r="H147" s="118" t="s">
        <v>566</v>
      </c>
      <c r="I147" s="1331"/>
      <c r="J147" s="1331"/>
      <c r="K147" s="1331"/>
      <c r="L147" s="1331"/>
      <c r="M147" s="1331"/>
      <c r="N147" s="1331"/>
      <c r="O147" s="1331"/>
      <c r="P147" s="1331"/>
      <c r="Q147" s="1331"/>
      <c r="R147" s="1331"/>
      <c r="S147" s="1331"/>
      <c r="T147" s="468" cm="1" t="str">
        <f t="array" ref="T147:T147">T146</f>
        <v>true</v>
      </c>
      <c r="U147" s="1331"/>
      <c r="V147" s="1331"/>
      <c r="W147" s="1331"/>
      <c r="X147" s="1539"/>
      <c r="Y147" s="1331"/>
      <c r="Z147" s="1529"/>
      <c r="AA147" s="1331"/>
      <c r="AB147" s="295" t="s">
        <v>1067</v>
      </c>
      <c r="AC147" s="769" t="s">
        <v>1520</v>
      </c>
      <c r="AD147" s="296" t="s">
        <v>936</v>
      </c>
      <c r="AE147" s="790">
        <f>AE148+AE149+AE150+AE151+AE152</f>
        <v>24004.2</v>
      </c>
      <c r="AF147" s="790">
        <f>AF148+AF149+AF150+AF151+AF152</f>
        <v>24004.2</v>
      </c>
      <c r="AG147" s="790">
        <f>AG148+AG149+AG150+AG151+AG152</f>
        <v>24004.2</v>
      </c>
      <c r="AH147" s="790">
        <f>AH148+AH149+AH150+AH151+AH152</f>
        <v>24004.2</v>
      </c>
      <c r="AI147" s="790">
        <f>AI148+AI149+AI150+AI151+AI152</f>
        <v>33409.4</v>
      </c>
      <c r="AJ147" s="790">
        <f>AJ148+AJ149+AJ150+AJ151+AJ152</f>
        <v>33409.4</v>
      </c>
      <c r="AK147" s="790">
        <f>AK148+AK149+AK150+AK151+AK152</f>
        <v>45024.3</v>
      </c>
      <c r="AL147" s="790">
        <f>AL148+AL149+AL150+AL151+AL152</f>
        <v>0</v>
      </c>
      <c r="AM147" s="790">
        <f>AM148+AM149+AM150+AM151+AM152</f>
        <v>0</v>
      </c>
      <c r="AN147" s="790">
        <f>AN148+AN149+AN150+AN151+AN152</f>
        <v>0</v>
      </c>
      <c r="AO147" s="790">
        <f>AO148+AO149+AO150+AO151+AO152</f>
        <v>0</v>
      </c>
      <c r="AP147" s="790">
        <f>AP148+AP149+AP150+AP151+AP152</f>
        <v>0</v>
      </c>
      <c r="AQ147" s="790">
        <f>AQ148+AQ149+AQ150+AQ151+AQ152</f>
        <v>0</v>
      </c>
      <c r="AR147" s="790">
        <f>AR148+AR149+AR150+AR151+AR152</f>
        <v>0</v>
      </c>
      <c r="AS147" s="790">
        <f>AS148+AS149+AS150+AS151+AS152</f>
        <v>0</v>
      </c>
      <c r="AT147" s="790">
        <f>AT148+AT149+AT150+AT151+AT152</f>
        <v>0</v>
      </c>
      <c r="AU147" s="790">
        <f>AU148+AU149+AU150+AU151+AU152</f>
        <v>45024.3</v>
      </c>
      <c r="AV147" s="790">
        <f>AV148+AV149+AV150+AV151+AV152</f>
        <v>0</v>
      </c>
      <c r="AW147" s="790">
        <f>AW148+AW149+AW150+AW151+AW152</f>
        <v>0</v>
      </c>
      <c r="AX147" s="790">
        <f>AX148+AX149+AX150+AX151+AX152</f>
        <v>0</v>
      </c>
      <c r="AY147" s="790">
        <f>AY148+AY149+AY150+AY151+AY152</f>
        <v>0</v>
      </c>
      <c r="AZ147" s="790">
        <f>AZ148+AZ149+AZ150+AZ151+AZ152</f>
        <v>0</v>
      </c>
      <c r="BA147" s="790">
        <f>BA148+BA149+BA150+BA151+BA152</f>
        <v>0</v>
      </c>
      <c r="BB147" s="790">
        <f>BB148+BB149+BB150+BB151+BB152</f>
        <v>0</v>
      </c>
      <c r="BC147" s="790">
        <f>BC148+BC149+BC150+BC151+BC152</f>
        <v>0</v>
      </c>
      <c r="BD147" s="790">
        <f>BD148+BD149+BD150+BD151+BD152</f>
        <v>0</v>
      </c>
      <c r="BE147" s="781" t="s">
        <v>1598</v>
      </c>
      <c r="BF147" s="1331"/>
      <c r="BG147" s="1331"/>
      <c r="BH147" s="1005" t="s">
        <v>1521</v>
      </c>
    </row>
    <row s="1656" customFormat="1" customHeight="1" ht="23.671875">
      <c r="A148" s="1331"/>
      <c r="B148" s="118">
        <f>InvestmentSources_is_one_block="нет"</f>
        <v>1</v>
      </c>
      <c r="C148" s="1331"/>
      <c r="D148" s="1331"/>
      <c r="E148" s="623">
        <v>15</v>
      </c>
      <c r="F148" s="50" cm="1" t="str">
        <f t="array" ref="F148:F148">OFFSET(E148,-1,1)</f>
        <v>3</v>
      </c>
      <c r="G148" s="1331"/>
      <c r="H148" s="118" t="s">
        <v>1197</v>
      </c>
      <c r="I148" s="1331"/>
      <c r="J148" s="1331"/>
      <c r="K148" s="1331"/>
      <c r="L148" s="1331"/>
      <c r="M148" s="1331"/>
      <c r="N148" s="1331"/>
      <c r="O148" s="1331"/>
      <c r="P148" s="1331"/>
      <c r="Q148" s="1331"/>
      <c r="R148" s="1331"/>
      <c r="S148" s="1331"/>
      <c r="T148" s="468" cm="1" t="str">
        <f t="array" ref="T148:T148">T147</f>
        <v>true</v>
      </c>
      <c r="U148" s="1331"/>
      <c r="V148" s="1331"/>
      <c r="W148" s="1331"/>
      <c r="X148" s="1539"/>
      <c r="Y148" s="1331"/>
      <c r="Z148" s="1529"/>
      <c r="AA148" s="1331"/>
      <c r="AB148" s="295" t="s">
        <v>1198</v>
      </c>
      <c r="AC148" s="772" t="s">
        <v>1522</v>
      </c>
      <c r="AD148" s="296" t="s">
        <v>936</v>
      </c>
      <c r="AE148" s="779">
        <v>7215.87</v>
      </c>
      <c r="AF148" s="779">
        <v>7215.87</v>
      </c>
      <c r="AG148" s="779">
        <v>7215.87</v>
      </c>
      <c r="AH148" s="779">
        <v>7215.87</v>
      </c>
      <c r="AI148" s="779">
        <v>7215.87</v>
      </c>
      <c r="AJ148" s="779">
        <v>7215.87</v>
      </c>
      <c r="AK148" s="779">
        <v>7215.87</v>
      </c>
      <c r="AL148" s="3132"/>
      <c r="AM148" s="3132"/>
      <c r="AN148" s="3132"/>
      <c r="AO148" s="3132"/>
      <c r="AP148" s="3132"/>
      <c r="AQ148" s="3132"/>
      <c r="AR148" s="3132"/>
      <c r="AS148" s="3132"/>
      <c r="AT148" s="3132"/>
      <c r="AU148" s="779">
        <v>7215.87</v>
      </c>
      <c r="AV148" s="3132"/>
      <c r="AW148" s="3132"/>
      <c r="AX148" s="3132"/>
      <c r="AY148" s="3132"/>
      <c r="AZ148" s="3132"/>
      <c r="BA148" s="3132"/>
      <c r="BB148" s="3132"/>
      <c r="BC148" s="3132"/>
      <c r="BD148" s="3132"/>
      <c r="BE148" s="781"/>
      <c r="BF148" s="1331"/>
      <c r="BG148" s="1331"/>
      <c r="BH148" s="1005" t="s">
        <v>1435</v>
      </c>
    </row>
    <row s="1656" customFormat="1" customHeight="1" ht="70.921875">
      <c r="A149" s="1331"/>
      <c r="B149" s="118">
        <f>InvestmentSources_is_one_block="нет"</f>
        <v>1</v>
      </c>
      <c r="C149" s="1331"/>
      <c r="D149" s="1331"/>
      <c r="E149" s="623">
        <v>15</v>
      </c>
      <c r="F149" s="50" cm="1" t="str">
        <f t="array" ref="F149:F149">OFFSET(E149,-1,1)</f>
        <v>3</v>
      </c>
      <c r="G149" s="1331"/>
      <c r="H149" s="118" t="s">
        <v>1201</v>
      </c>
      <c r="I149" s="1331"/>
      <c r="J149" s="1331"/>
      <c r="K149" s="120" t="str">
        <f>F149&amp;"1komm"</f>
        <v>31komm</v>
      </c>
      <c r="L149" s="926" cm="1" t="str">
        <f t="array" ref="L149:L149">BE149</f>
        <v>Фактическая экономия по ЗАВЕРШЕННЫМ инвестиционным мероприятиям (ПРОЕКТИРОВАНИЕ Очистных сооружений) составила  (-5480,61) тыс. руб.; перерасход по прочим мероприятиям (СТРОИТЕЛЬСТВО ОЧИСТНЫХ СООРУЖЕНИЙ) - (+5502,00) тыс. руб. (в том числе в счет плана будущих периодов - 5502,00 тыс. руб.). Так как оба мероприятия относятся к одному  и тому же объекту, сумма перерасхода принята в пределах плановой величины  стоимости инвестиционных мероприятий отчетного периода (экономия в части проектирования направлена на финансирование строительства объекта, итоговая фактическая стоимость будет определяться после полного завершения работ).  </v>
      </c>
      <c r="M149" s="1331"/>
      <c r="N149" s="1331"/>
      <c r="O149" s="1331"/>
      <c r="P149" s="1331"/>
      <c r="Q149" s="1331"/>
      <c r="R149" s="1331"/>
      <c r="S149" s="1331"/>
      <c r="T149" s="468" cm="1" t="str">
        <f t="array" ref="T149:T149">T148</f>
        <v>true</v>
      </c>
      <c r="U149" s="1331"/>
      <c r="V149" s="1331"/>
      <c r="W149" s="1331"/>
      <c r="X149" s="1539"/>
      <c r="Y149" s="1331"/>
      <c r="Z149" s="1529"/>
      <c r="AA149" s="1331"/>
      <c r="AB149" s="295" t="s">
        <v>1202</v>
      </c>
      <c r="AC149" s="772" t="s">
        <v>1523</v>
      </c>
      <c r="AD149" s="296" t="s">
        <v>936</v>
      </c>
      <c r="AE149" s="779">
        <v>16788.33</v>
      </c>
      <c r="AF149" s="779">
        <v>16788.33</v>
      </c>
      <c r="AG149" s="779">
        <v>16788.33</v>
      </c>
      <c r="AH149" s="779">
        <v>16788.33</v>
      </c>
      <c r="AI149" s="779">
        <v>26193.53</v>
      </c>
      <c r="AJ149" s="779">
        <v>26193.53</v>
      </c>
      <c r="AK149" s="779">
        <v>37808.43</v>
      </c>
      <c r="AL149" s="3132"/>
      <c r="AM149" s="3132"/>
      <c r="AN149" s="3132"/>
      <c r="AO149" s="3132"/>
      <c r="AP149" s="3132"/>
      <c r="AQ149" s="3132"/>
      <c r="AR149" s="3132"/>
      <c r="AS149" s="3132"/>
      <c r="AT149" s="3132"/>
      <c r="AU149" s="779">
        <v>37808.43</v>
      </c>
      <c r="AV149" s="3132"/>
      <c r="AW149" s="3132"/>
      <c r="AX149" s="3132"/>
      <c r="AY149" s="3132"/>
      <c r="AZ149" s="3132"/>
      <c r="BA149" s="3132"/>
      <c r="BB149" s="3132"/>
      <c r="BC149" s="3132"/>
      <c r="BD149" s="3132"/>
      <c r="BE149" s="781" t="s">
        <v>1602</v>
      </c>
      <c r="BF149" s="1331"/>
      <c r="BG149" s="1331"/>
      <c r="BH149" s="1005" t="s">
        <v>1524</v>
      </c>
    </row>
    <row s="1656" customFormat="1" customHeight="1" ht="14.25">
      <c r="A150" s="1331"/>
      <c r="B150" s="118">
        <f>InvestmentSources_is_one_block="нет"</f>
        <v>1</v>
      </c>
      <c r="C150" s="1331"/>
      <c r="D150" s="1331"/>
      <c r="E150" s="623">
        <v>15</v>
      </c>
      <c r="F150" s="50" cm="1" t="str">
        <f t="array" ref="F150:F150">OFFSET(E150,-1,1)</f>
        <v>3</v>
      </c>
      <c r="G150" s="1331"/>
      <c r="H150" s="118" t="s">
        <v>1525</v>
      </c>
      <c r="I150" s="1331"/>
      <c r="J150" s="1331"/>
      <c r="K150" s="1331"/>
      <c r="L150" s="1331"/>
      <c r="M150" s="1331"/>
      <c r="N150" s="1331"/>
      <c r="O150" s="1331"/>
      <c r="P150" s="1331"/>
      <c r="Q150" s="1331"/>
      <c r="R150" s="1331"/>
      <c r="S150" s="1331"/>
      <c r="T150" s="468" cm="1" t="str">
        <f t="array" ref="T150:T150">T149</f>
        <v>true</v>
      </c>
      <c r="U150" s="1331"/>
      <c r="V150" s="1331"/>
      <c r="W150" s="1331"/>
      <c r="X150" s="1539"/>
      <c r="Y150" s="1331"/>
      <c r="Z150" s="1529"/>
      <c r="AA150" s="1331"/>
      <c r="AB150" s="295" t="s">
        <v>1526</v>
      </c>
      <c r="AC150" s="772" t="s">
        <v>1527</v>
      </c>
      <c r="AD150" s="296" t="s">
        <v>936</v>
      </c>
      <c r="AE150" s="779"/>
      <c r="AF150" s="779"/>
      <c r="AG150" s="779"/>
      <c r="AH150" s="779"/>
      <c r="AI150" s="779"/>
      <c r="AJ150" s="779"/>
      <c r="AK150" s="779"/>
      <c r="AL150" s="3132"/>
      <c r="AM150" s="3132"/>
      <c r="AN150" s="3132"/>
      <c r="AO150" s="3132"/>
      <c r="AP150" s="3132"/>
      <c r="AQ150" s="3132"/>
      <c r="AR150" s="3132"/>
      <c r="AS150" s="3132"/>
      <c r="AT150" s="3132"/>
      <c r="AU150" s="779"/>
      <c r="AV150" s="3132"/>
      <c r="AW150" s="3132"/>
      <c r="AX150" s="3132"/>
      <c r="AY150" s="3132"/>
      <c r="AZ150" s="3132"/>
      <c r="BA150" s="3132"/>
      <c r="BB150" s="3132"/>
      <c r="BC150" s="3132"/>
      <c r="BD150" s="3132"/>
      <c r="BE150" s="781"/>
      <c r="BF150" s="1331"/>
      <c r="BG150" s="1331"/>
      <c r="BH150" s="1005" t="s">
        <v>1528</v>
      </c>
    </row>
    <row s="1656" customFormat="1" customHeight="1" ht="14.25">
      <c r="A151" s="1331"/>
      <c r="B151" s="118">
        <f>InvestmentSources_is_one_block="нет"</f>
        <v>1</v>
      </c>
      <c r="C151" s="1331"/>
      <c r="D151" s="1331"/>
      <c r="E151" s="623">
        <v>15</v>
      </c>
      <c r="F151" s="50" cm="1" t="str">
        <f t="array" ref="F151:F151">OFFSET(E151,-1,1)</f>
        <v>3</v>
      </c>
      <c r="G151" s="1331"/>
      <c r="H151" s="118" t="s">
        <v>1529</v>
      </c>
      <c r="I151" s="1331"/>
      <c r="J151" s="1331"/>
      <c r="K151" s="1331"/>
      <c r="L151" s="1331"/>
      <c r="M151" s="1331"/>
      <c r="N151" s="1331"/>
      <c r="O151" s="1331"/>
      <c r="P151" s="1331"/>
      <c r="Q151" s="1331"/>
      <c r="R151" s="1331"/>
      <c r="S151" s="1331"/>
      <c r="T151" s="468" cm="1" t="str">
        <f t="array" ref="T151:T151">T150</f>
        <v>true</v>
      </c>
      <c r="U151" s="1331"/>
      <c r="V151" s="1331"/>
      <c r="W151" s="1331"/>
      <c r="X151" s="1539"/>
      <c r="Y151" s="1331"/>
      <c r="Z151" s="1529"/>
      <c r="AA151" s="1331"/>
      <c r="AB151" s="295" t="s">
        <v>1530</v>
      </c>
      <c r="AC151" s="772" t="s">
        <v>1531</v>
      </c>
      <c r="AD151" s="296" t="s">
        <v>936</v>
      </c>
      <c r="AE151" s="779"/>
      <c r="AF151" s="779"/>
      <c r="AG151" s="779"/>
      <c r="AH151" s="779"/>
      <c r="AI151" s="779"/>
      <c r="AJ151" s="779"/>
      <c r="AK151" s="779"/>
      <c r="AL151" s="3132"/>
      <c r="AM151" s="3132"/>
      <c r="AN151" s="3132"/>
      <c r="AO151" s="3132"/>
      <c r="AP151" s="3132"/>
      <c r="AQ151" s="3132"/>
      <c r="AR151" s="3132"/>
      <c r="AS151" s="3132"/>
      <c r="AT151" s="3132"/>
      <c r="AU151" s="779"/>
      <c r="AV151" s="3132"/>
      <c r="AW151" s="3132"/>
      <c r="AX151" s="3132"/>
      <c r="AY151" s="3132"/>
      <c r="AZ151" s="3132"/>
      <c r="BA151" s="3132"/>
      <c r="BB151" s="3132"/>
      <c r="BC151" s="3132"/>
      <c r="BD151" s="3132"/>
      <c r="BE151" s="781"/>
      <c r="BF151" s="1331"/>
      <c r="BG151" s="1331"/>
      <c r="BH151" s="1005" t="s">
        <v>1532</v>
      </c>
    </row>
    <row s="1656" customFormat="1" customHeight="1" ht="21.75">
      <c r="A152" s="1331"/>
      <c r="B152" s="118">
        <f>InvestmentSources_is_one_block="нет"</f>
        <v>1</v>
      </c>
      <c r="C152" s="1331"/>
      <c r="D152" s="1331"/>
      <c r="E152" s="623">
        <v>22.5</v>
      </c>
      <c r="F152" s="50" cm="1" t="str">
        <f t="array" ref="F152:F152">OFFSET(E152,-1,1)</f>
        <v>3</v>
      </c>
      <c r="G152" s="1331"/>
      <c r="H152" s="1331"/>
      <c r="I152" s="1331"/>
      <c r="J152" s="1331"/>
      <c r="K152" s="1331"/>
      <c r="L152" s="1331"/>
      <c r="M152" s="1331"/>
      <c r="N152" s="1331"/>
      <c r="O152" s="1331"/>
      <c r="P152" s="1331"/>
      <c r="Q152" s="1331"/>
      <c r="R152" s="1331"/>
      <c r="S152" s="1331"/>
      <c r="T152" s="468" cm="1" t="str">
        <f t="array" ref="T152:T152">T151</f>
        <v>true</v>
      </c>
      <c r="U152" s="1331"/>
      <c r="V152" s="1331"/>
      <c r="W152" s="1331"/>
      <c r="X152" s="1539"/>
      <c r="Y152" s="1331"/>
      <c r="Z152" s="1529"/>
      <c r="AA152" s="1331"/>
      <c r="AB152" s="295" t="s">
        <v>1533</v>
      </c>
      <c r="AC152" s="772" t="s">
        <v>1534</v>
      </c>
      <c r="AD152" s="296" t="s">
        <v>936</v>
      </c>
      <c r="AE152" s="779">
        <f>AE153+AE154+AE155+AE156</f>
        <v>0</v>
      </c>
      <c r="AF152" s="779">
        <f>AF153+AF154+AF155+AF156</f>
        <v>0</v>
      </c>
      <c r="AG152" s="779">
        <f>AG153+AG154+AG155+AG156</f>
        <v>0</v>
      </c>
      <c r="AH152" s="779">
        <f>AH153+AH154+AH155+AH156</f>
        <v>0</v>
      </c>
      <c r="AI152" s="779">
        <f>AI153+AI154+AI155+AI156</f>
        <v>0</v>
      </c>
      <c r="AJ152" s="779">
        <f>AJ153+AJ154+AJ155+AJ156</f>
        <v>0</v>
      </c>
      <c r="AK152" s="779">
        <f>AK153+AK154+AK155+AK156</f>
        <v>0</v>
      </c>
      <c r="AL152" s="3132">
        <f>AL153+AL154+AL155+AL156</f>
        <v>0</v>
      </c>
      <c r="AM152" s="3132">
        <f>AM153+AM154+AM155+AM156</f>
        <v>0</v>
      </c>
      <c r="AN152" s="3132">
        <f>AN153+AN154+AN155+AN156</f>
        <v>0</v>
      </c>
      <c r="AO152" s="3132">
        <f>AO153+AO154+AO155+AO156</f>
        <v>0</v>
      </c>
      <c r="AP152" s="3132">
        <f>AP153+AP154+AP155+AP156</f>
        <v>0</v>
      </c>
      <c r="AQ152" s="3132">
        <f>AQ153+AQ154+AQ155+AQ156</f>
        <v>0</v>
      </c>
      <c r="AR152" s="3132">
        <f>AR153+AR154+AR155+AR156</f>
        <v>0</v>
      </c>
      <c r="AS152" s="3132">
        <f>AS153+AS154+AS155+AS156</f>
        <v>0</v>
      </c>
      <c r="AT152" s="3132">
        <f>AT153+AT154+AT155+AT156</f>
        <v>0</v>
      </c>
      <c r="AU152" s="779">
        <f>AU153+AU154+AU155+AU156</f>
        <v>0</v>
      </c>
      <c r="AV152" s="3132">
        <f>AV153+AV154+AV155+AV156</f>
        <v>0</v>
      </c>
      <c r="AW152" s="3132">
        <f>AW153+AW154+AW155+AW156</f>
        <v>0</v>
      </c>
      <c r="AX152" s="3132">
        <f>AX153+AX154+AX155+AX156</f>
        <v>0</v>
      </c>
      <c r="AY152" s="3132">
        <f>AY153+AY154+AY155+AY156</f>
        <v>0</v>
      </c>
      <c r="AZ152" s="3132">
        <f>AZ153+AZ154+AZ155+AZ156</f>
        <v>0</v>
      </c>
      <c r="BA152" s="3132">
        <f>BA153+BA154+BA155+BA156</f>
        <v>0</v>
      </c>
      <c r="BB152" s="3132">
        <f>BB153+BB154+BB155+BB156</f>
        <v>0</v>
      </c>
      <c r="BC152" s="3132">
        <f>BC153+BC154+BC155+BC156</f>
        <v>0</v>
      </c>
      <c r="BD152" s="3132">
        <f>BD153+BD154+BD155+BD156</f>
        <v>0</v>
      </c>
      <c r="BE152" s="781"/>
      <c r="BF152" s="1331"/>
      <c r="BG152" s="1331"/>
      <c r="BH152" s="1005" t="s">
        <v>1535</v>
      </c>
    </row>
    <row s="1656" customFormat="1" customHeight="1" ht="44.25">
      <c r="A153" s="1331"/>
      <c r="B153" s="118">
        <f>InvestmentSources_is_one_block="нет"</f>
        <v>1</v>
      </c>
      <c r="C153" s="1331"/>
      <c r="D153" s="1331"/>
      <c r="E153" s="623">
        <v>45.75</v>
      </c>
      <c r="F153" s="50" cm="1" t="str">
        <f t="array" ref="F153:F153">OFFSET(E153,-1,1)</f>
        <v>3</v>
      </c>
      <c r="G153" s="1331"/>
      <c r="H153" s="1331"/>
      <c r="I153" s="1331"/>
      <c r="J153" s="1331"/>
      <c r="K153" s="1331"/>
      <c r="L153" s="1331"/>
      <c r="M153" s="1331"/>
      <c r="N153" s="1331"/>
      <c r="O153" s="1331"/>
      <c r="P153" s="1331"/>
      <c r="Q153" s="1331"/>
      <c r="R153" s="1331"/>
      <c r="S153" s="1331"/>
      <c r="T153" s="468" cm="1" t="str">
        <f t="array" ref="T153:T153">T152</f>
        <v>true</v>
      </c>
      <c r="U153" s="1331"/>
      <c r="V153" s="1331"/>
      <c r="W153" s="1331"/>
      <c r="X153" s="1539"/>
      <c r="Y153" s="1331"/>
      <c r="Z153" s="1529"/>
      <c r="AA153" s="1331"/>
      <c r="AB153" s="295" t="s">
        <v>1536</v>
      </c>
      <c r="AC153" s="775" t="s">
        <v>1537</v>
      </c>
      <c r="AD153" s="296" t="s">
        <v>936</v>
      </c>
      <c r="AE153" s="779"/>
      <c r="AF153" s="779"/>
      <c r="AG153" s="779"/>
      <c r="AH153" s="779"/>
      <c r="AI153" s="779"/>
      <c r="AJ153" s="779"/>
      <c r="AK153" s="779"/>
      <c r="AL153" s="3132"/>
      <c r="AM153" s="3132"/>
      <c r="AN153" s="3132"/>
      <c r="AO153" s="3132"/>
      <c r="AP153" s="3132"/>
      <c r="AQ153" s="3132"/>
      <c r="AR153" s="3132"/>
      <c r="AS153" s="3132"/>
      <c r="AT153" s="3132"/>
      <c r="AU153" s="779"/>
      <c r="AV153" s="3132"/>
      <c r="AW153" s="3132"/>
      <c r="AX153" s="3132"/>
      <c r="AY153" s="3132"/>
      <c r="AZ153" s="3132"/>
      <c r="BA153" s="3132"/>
      <c r="BB153" s="3132"/>
      <c r="BC153" s="3132"/>
      <c r="BD153" s="3132"/>
      <c r="BE153" s="781"/>
      <c r="BF153" s="1331"/>
      <c r="BG153" s="1331"/>
      <c r="BH153" s="1005" t="s">
        <v>1538</v>
      </c>
    </row>
    <row s="1656" customFormat="1" customHeight="1" ht="44.25">
      <c r="A154" s="1331"/>
      <c r="B154" s="118">
        <f>InvestmentSources_is_one_block="нет"</f>
        <v>1</v>
      </c>
      <c r="C154" s="1331"/>
      <c r="D154" s="1331"/>
      <c r="E154" s="623">
        <v>45.75</v>
      </c>
      <c r="F154" s="50" cm="1" t="str">
        <f t="array" ref="F154:F154">OFFSET(E154,-1,1)</f>
        <v>3</v>
      </c>
      <c r="G154" s="1331"/>
      <c r="H154" s="1331"/>
      <c r="I154" s="1331"/>
      <c r="J154" s="1331"/>
      <c r="K154" s="1331"/>
      <c r="L154" s="1331"/>
      <c r="M154" s="1331"/>
      <c r="N154" s="1331"/>
      <c r="O154" s="1331"/>
      <c r="P154" s="1331"/>
      <c r="Q154" s="1331"/>
      <c r="R154" s="1331"/>
      <c r="S154" s="1331"/>
      <c r="T154" s="468" cm="1" t="str">
        <f t="array" ref="T154:T154">T153</f>
        <v>true</v>
      </c>
      <c r="U154" s="1331"/>
      <c r="V154" s="1331"/>
      <c r="W154" s="1331"/>
      <c r="X154" s="1539"/>
      <c r="Y154" s="1331"/>
      <c r="Z154" s="1529"/>
      <c r="AA154" s="1331"/>
      <c r="AB154" s="295" t="s">
        <v>1539</v>
      </c>
      <c r="AC154" s="775" t="s">
        <v>1540</v>
      </c>
      <c r="AD154" s="296" t="s">
        <v>936</v>
      </c>
      <c r="AE154" s="779"/>
      <c r="AF154" s="779"/>
      <c r="AG154" s="779"/>
      <c r="AH154" s="779"/>
      <c r="AI154" s="779"/>
      <c r="AJ154" s="779"/>
      <c r="AK154" s="779"/>
      <c r="AL154" s="3132"/>
      <c r="AM154" s="3132"/>
      <c r="AN154" s="3132"/>
      <c r="AO154" s="3132"/>
      <c r="AP154" s="3132"/>
      <c r="AQ154" s="3132"/>
      <c r="AR154" s="3132"/>
      <c r="AS154" s="3132"/>
      <c r="AT154" s="3132"/>
      <c r="AU154" s="779"/>
      <c r="AV154" s="3132"/>
      <c r="AW154" s="3132"/>
      <c r="AX154" s="3132"/>
      <c r="AY154" s="3132"/>
      <c r="AZ154" s="3132"/>
      <c r="BA154" s="3132"/>
      <c r="BB154" s="3132"/>
      <c r="BC154" s="3132"/>
      <c r="BD154" s="3132"/>
      <c r="BE154" s="781"/>
      <c r="BF154" s="1331"/>
      <c r="BG154" s="1331"/>
      <c r="BH154" s="1005" t="s">
        <v>1541</v>
      </c>
    </row>
    <row s="1656" customFormat="1" customHeight="1" ht="44.25">
      <c r="A155" s="1331"/>
      <c r="B155" s="118">
        <f>InvestmentSources_is_one_block="нет"</f>
        <v>1</v>
      </c>
      <c r="C155" s="1331"/>
      <c r="D155" s="1331"/>
      <c r="E155" s="623">
        <v>45.75</v>
      </c>
      <c r="F155" s="50" cm="1" t="str">
        <f t="array" ref="F155:F155">OFFSET(E155,-1,1)</f>
        <v>3</v>
      </c>
      <c r="G155" s="1331"/>
      <c r="H155" s="1331"/>
      <c r="I155" s="1331"/>
      <c r="J155" s="1331"/>
      <c r="K155" s="1331"/>
      <c r="L155" s="1331"/>
      <c r="M155" s="1331"/>
      <c r="N155" s="1331"/>
      <c r="O155" s="1331"/>
      <c r="P155" s="1331"/>
      <c r="Q155" s="1331"/>
      <c r="R155" s="1331"/>
      <c r="S155" s="1331"/>
      <c r="T155" s="468" cm="1" t="str">
        <f t="array" ref="T155:T155">T154</f>
        <v>true</v>
      </c>
      <c r="U155" s="1331"/>
      <c r="V155" s="1331"/>
      <c r="W155" s="1331"/>
      <c r="X155" s="1539"/>
      <c r="Y155" s="1331"/>
      <c r="Z155" s="1529"/>
      <c r="AA155" s="1331"/>
      <c r="AB155" s="295" t="s">
        <v>1542</v>
      </c>
      <c r="AC155" s="775" t="s">
        <v>1543</v>
      </c>
      <c r="AD155" s="296" t="s">
        <v>936</v>
      </c>
      <c r="AE155" s="779"/>
      <c r="AF155" s="779"/>
      <c r="AG155" s="779"/>
      <c r="AH155" s="779"/>
      <c r="AI155" s="779"/>
      <c r="AJ155" s="779"/>
      <c r="AK155" s="779"/>
      <c r="AL155" s="3132"/>
      <c r="AM155" s="3132"/>
      <c r="AN155" s="3132"/>
      <c r="AO155" s="3132"/>
      <c r="AP155" s="3132"/>
      <c r="AQ155" s="3132"/>
      <c r="AR155" s="3132"/>
      <c r="AS155" s="3132"/>
      <c r="AT155" s="3132"/>
      <c r="AU155" s="779"/>
      <c r="AV155" s="3132"/>
      <c r="AW155" s="3132"/>
      <c r="AX155" s="3132"/>
      <c r="AY155" s="3132"/>
      <c r="AZ155" s="3132"/>
      <c r="BA155" s="3132"/>
      <c r="BB155" s="3132"/>
      <c r="BC155" s="3132"/>
      <c r="BD155" s="3132"/>
      <c r="BE155" s="781"/>
      <c r="BF155" s="1331"/>
      <c r="BG155" s="1331"/>
      <c r="BH155" s="1005" t="s">
        <v>1544</v>
      </c>
    </row>
    <row s="1656" customFormat="1" customHeight="1" ht="21.75">
      <c r="A156" s="1331"/>
      <c r="B156" s="118">
        <f>InvestmentSources_is_one_block="нет"</f>
        <v>1</v>
      </c>
      <c r="C156" s="1331"/>
      <c r="D156" s="1331"/>
      <c r="E156" s="623">
        <v>22.5</v>
      </c>
      <c r="F156" s="50" cm="1" t="str">
        <f t="array" ref="F156:F156">OFFSET(E156,-1,1)</f>
        <v>3</v>
      </c>
      <c r="G156" s="1331"/>
      <c r="H156" s="1331"/>
      <c r="I156" s="1331"/>
      <c r="J156" s="1331"/>
      <c r="K156" s="1331"/>
      <c r="L156" s="1331"/>
      <c r="M156" s="1331"/>
      <c r="N156" s="1331"/>
      <c r="O156" s="1331"/>
      <c r="P156" s="1331"/>
      <c r="Q156" s="1331"/>
      <c r="R156" s="1331"/>
      <c r="S156" s="1331"/>
      <c r="T156" s="468" cm="1" t="str">
        <f t="array" ref="T156:T156">T155</f>
        <v>true</v>
      </c>
      <c r="U156" s="1331"/>
      <c r="V156" s="1331"/>
      <c r="W156" s="1331"/>
      <c r="X156" s="1539"/>
      <c r="Y156" s="1331"/>
      <c r="Z156" s="1529"/>
      <c r="AA156" s="1331"/>
      <c r="AB156" s="295" t="s">
        <v>1545</v>
      </c>
      <c r="AC156" s="775" t="s">
        <v>1546</v>
      </c>
      <c r="AD156" s="296" t="s">
        <v>936</v>
      </c>
      <c r="AE156" s="779"/>
      <c r="AF156" s="779"/>
      <c r="AG156" s="779"/>
      <c r="AH156" s="779"/>
      <c r="AI156" s="779"/>
      <c r="AJ156" s="779"/>
      <c r="AK156" s="779"/>
      <c r="AL156" s="3132"/>
      <c r="AM156" s="3132"/>
      <c r="AN156" s="3132"/>
      <c r="AO156" s="3132"/>
      <c r="AP156" s="3132"/>
      <c r="AQ156" s="3132"/>
      <c r="AR156" s="3132"/>
      <c r="AS156" s="3132"/>
      <c r="AT156" s="3132"/>
      <c r="AU156" s="779"/>
      <c r="AV156" s="3132"/>
      <c r="AW156" s="3132"/>
      <c r="AX156" s="3132"/>
      <c r="AY156" s="3132"/>
      <c r="AZ156" s="3132"/>
      <c r="BA156" s="3132"/>
      <c r="BB156" s="3132"/>
      <c r="BC156" s="3132"/>
      <c r="BD156" s="3132"/>
      <c r="BE156" s="781"/>
      <c r="BF156" s="1331"/>
      <c r="BG156" s="1331"/>
      <c r="BH156" s="1005" t="s">
        <v>1547</v>
      </c>
    </row>
    <row s="1656" customFormat="1" customHeight="1" ht="14.25">
      <c r="A157" s="1331"/>
      <c r="B157" s="118">
        <f>InvestmentSources_is_one_block="нет"</f>
        <v>1</v>
      </c>
      <c r="C157" s="1331"/>
      <c r="D157" s="1331"/>
      <c r="E157" s="623">
        <v>15</v>
      </c>
      <c r="F157" s="50" cm="1" t="str">
        <f t="array" ref="F157:F157">OFFSET(E157,-1,1)</f>
        <v>3</v>
      </c>
      <c r="G157" s="1331"/>
      <c r="H157" s="118" t="s">
        <v>570</v>
      </c>
      <c r="I157" s="1331"/>
      <c r="J157" s="1331"/>
      <c r="K157" s="1331"/>
      <c r="L157" s="1331"/>
      <c r="M157" s="1331"/>
      <c r="N157" s="1331"/>
      <c r="O157" s="1331"/>
      <c r="P157" s="1331"/>
      <c r="Q157" s="1331"/>
      <c r="R157" s="1331"/>
      <c r="S157" s="1331"/>
      <c r="T157" s="468" cm="1" t="str">
        <f t="array" ref="T157:T157">T156</f>
        <v>true</v>
      </c>
      <c r="U157" s="1331"/>
      <c r="V157" s="1331"/>
      <c r="W157" s="1331"/>
      <c r="X157" s="1539"/>
      <c r="Y157" s="1331"/>
      <c r="Z157" s="1529"/>
      <c r="AA157" s="1331"/>
      <c r="AB157" s="295" t="s">
        <v>1070</v>
      </c>
      <c r="AC157" s="769" t="s">
        <v>1548</v>
      </c>
      <c r="AD157" s="296" t="s">
        <v>936</v>
      </c>
      <c r="AE157" s="790">
        <f>AE158+AE159+AE160</f>
        <v>0</v>
      </c>
      <c r="AF157" s="790">
        <f>AF158+AF159+AF160</f>
        <v>0</v>
      </c>
      <c r="AG157" s="790">
        <f>AG158+AG159+AG160</f>
        <v>0</v>
      </c>
      <c r="AH157" s="790">
        <f>AH158+AH159+AH160</f>
        <v>0</v>
      </c>
      <c r="AI157" s="790">
        <f>AI158+AI159+AI160</f>
        <v>0</v>
      </c>
      <c r="AJ157" s="790">
        <f>AJ158+AJ159+AJ160</f>
        <v>0</v>
      </c>
      <c r="AK157" s="790">
        <f>AK158+AK159+AK160</f>
        <v>0</v>
      </c>
      <c r="AL157" s="790">
        <f>AL158+AL159+AL160</f>
        <v>0</v>
      </c>
      <c r="AM157" s="790">
        <f>AM158+AM159+AM160</f>
        <v>0</v>
      </c>
      <c r="AN157" s="790">
        <f>AN158+AN159+AN160</f>
        <v>0</v>
      </c>
      <c r="AO157" s="790">
        <f>AO158+AO159+AO160</f>
        <v>0</v>
      </c>
      <c r="AP157" s="790">
        <f>AP158+AP159+AP160</f>
        <v>0</v>
      </c>
      <c r="AQ157" s="790">
        <f>AQ158+AQ159+AQ160</f>
        <v>0</v>
      </c>
      <c r="AR157" s="790">
        <f>AR158+AR159+AR160</f>
        <v>0</v>
      </c>
      <c r="AS157" s="790">
        <f>AS158+AS159+AS160</f>
        <v>0</v>
      </c>
      <c r="AT157" s="790">
        <f>AT158+AT159+AT160</f>
        <v>0</v>
      </c>
      <c r="AU157" s="790">
        <f>AU158+AU159+AU160</f>
        <v>0</v>
      </c>
      <c r="AV157" s="790">
        <f>AV158+AV159+AV160</f>
        <v>0</v>
      </c>
      <c r="AW157" s="790">
        <f>AW158+AW159+AW160</f>
        <v>0</v>
      </c>
      <c r="AX157" s="790">
        <f>AX158+AX159+AX160</f>
        <v>0</v>
      </c>
      <c r="AY157" s="790">
        <f>AY158+AY159+AY160</f>
        <v>0</v>
      </c>
      <c r="AZ157" s="790">
        <f>AZ158+AZ159+AZ160</f>
        <v>0</v>
      </c>
      <c r="BA157" s="790">
        <f>BA158+BA159+BA160</f>
        <v>0</v>
      </c>
      <c r="BB157" s="790">
        <f>BB158+BB159+BB160</f>
        <v>0</v>
      </c>
      <c r="BC157" s="790">
        <f>BC158+BC159+BC160</f>
        <v>0</v>
      </c>
      <c r="BD157" s="790">
        <f>BD158+BD159+BD160</f>
        <v>0</v>
      </c>
      <c r="BE157" s="781"/>
      <c r="BF157" s="1331"/>
      <c r="BG157" s="1331"/>
      <c r="BH157" s="1005" t="s">
        <v>1549</v>
      </c>
    </row>
    <row s="1656" customFormat="1" customHeight="1" ht="14.25">
      <c r="A158" s="1331"/>
      <c r="B158" s="118">
        <f>InvestmentSources_is_one_block="нет"</f>
        <v>1</v>
      </c>
      <c r="C158" s="1331"/>
      <c r="D158" s="1331"/>
      <c r="E158" s="623">
        <v>15</v>
      </c>
      <c r="F158" s="50" cm="1" t="str">
        <f t="array" ref="F158:F158">OFFSET(E158,-1,1)</f>
        <v>3</v>
      </c>
      <c r="G158" s="1331"/>
      <c r="H158" s="118" t="s">
        <v>1550</v>
      </c>
      <c r="I158" s="1331"/>
      <c r="J158" s="1331"/>
      <c r="K158" s="1331"/>
      <c r="L158" s="1331"/>
      <c r="M158" s="1331"/>
      <c r="N158" s="1331"/>
      <c r="O158" s="1331"/>
      <c r="P158" s="1331"/>
      <c r="Q158" s="1331"/>
      <c r="R158" s="1331"/>
      <c r="S158" s="1331"/>
      <c r="T158" s="468" cm="1" t="str">
        <f t="array" ref="T158:T158">T157</f>
        <v>true</v>
      </c>
      <c r="U158" s="1331"/>
      <c r="V158" s="1331"/>
      <c r="W158" s="1331"/>
      <c r="X158" s="1539"/>
      <c r="Y158" s="1331"/>
      <c r="Z158" s="1529"/>
      <c r="AA158" s="1331"/>
      <c r="AB158" s="295" t="s">
        <v>1551</v>
      </c>
      <c r="AC158" s="772" t="s">
        <v>1552</v>
      </c>
      <c r="AD158" s="296" t="s">
        <v>936</v>
      </c>
      <c r="AE158" s="779"/>
      <c r="AF158" s="779"/>
      <c r="AG158" s="779"/>
      <c r="AH158" s="779"/>
      <c r="AI158" s="779"/>
      <c r="AJ158" s="779"/>
      <c r="AK158" s="779"/>
      <c r="AL158" s="3132"/>
      <c r="AM158" s="3132"/>
      <c r="AN158" s="3132"/>
      <c r="AO158" s="3132"/>
      <c r="AP158" s="3132"/>
      <c r="AQ158" s="3132"/>
      <c r="AR158" s="3132"/>
      <c r="AS158" s="3132"/>
      <c r="AT158" s="3132"/>
      <c r="AU158" s="779"/>
      <c r="AV158" s="3132"/>
      <c r="AW158" s="3132"/>
      <c r="AX158" s="3132"/>
      <c r="AY158" s="3132"/>
      <c r="AZ158" s="3132"/>
      <c r="BA158" s="3132"/>
      <c r="BB158" s="3132"/>
      <c r="BC158" s="3132"/>
      <c r="BD158" s="3132"/>
      <c r="BE158" s="781"/>
      <c r="BF158" s="1331"/>
      <c r="BG158" s="1331"/>
      <c r="BH158" s="1005" t="s">
        <v>1456</v>
      </c>
    </row>
    <row s="1656" customFormat="1" customHeight="1" ht="14.25">
      <c r="A159" s="1331"/>
      <c r="B159" s="118">
        <f>InvestmentSources_is_one_block="нет"</f>
        <v>1</v>
      </c>
      <c r="C159" s="1331"/>
      <c r="D159" s="1331"/>
      <c r="E159" s="623">
        <v>15</v>
      </c>
      <c r="F159" s="50" cm="1" t="str">
        <f t="array" ref="F159:F159">OFFSET(E159,-1,1)</f>
        <v>3</v>
      </c>
      <c r="G159" s="1331"/>
      <c r="H159" s="118" t="s">
        <v>1553</v>
      </c>
      <c r="I159" s="1331"/>
      <c r="J159" s="1331"/>
      <c r="K159" s="1331"/>
      <c r="L159" s="1331"/>
      <c r="M159" s="1331"/>
      <c r="N159" s="1331"/>
      <c r="O159" s="1331"/>
      <c r="P159" s="1331"/>
      <c r="Q159" s="1331"/>
      <c r="R159" s="1331"/>
      <c r="S159" s="1331"/>
      <c r="T159" s="468" cm="1" t="str">
        <f t="array" ref="T159:T159">T158</f>
        <v>true</v>
      </c>
      <c r="U159" s="1331"/>
      <c r="V159" s="1331"/>
      <c r="W159" s="1331"/>
      <c r="X159" s="1539"/>
      <c r="Y159" s="1331"/>
      <c r="Z159" s="1529"/>
      <c r="AA159" s="1331"/>
      <c r="AB159" s="295" t="s">
        <v>1554</v>
      </c>
      <c r="AC159" s="772" t="s">
        <v>1555</v>
      </c>
      <c r="AD159" s="296" t="s">
        <v>936</v>
      </c>
      <c r="AE159" s="779"/>
      <c r="AF159" s="779"/>
      <c r="AG159" s="779"/>
      <c r="AH159" s="779"/>
      <c r="AI159" s="779"/>
      <c r="AJ159" s="779"/>
      <c r="AK159" s="779"/>
      <c r="AL159" s="3132"/>
      <c r="AM159" s="3132"/>
      <c r="AN159" s="3132"/>
      <c r="AO159" s="3132"/>
      <c r="AP159" s="3132"/>
      <c r="AQ159" s="3132"/>
      <c r="AR159" s="3132"/>
      <c r="AS159" s="3132"/>
      <c r="AT159" s="3132"/>
      <c r="AU159" s="779"/>
      <c r="AV159" s="3132"/>
      <c r="AW159" s="3132"/>
      <c r="AX159" s="3132"/>
      <c r="AY159" s="3132"/>
      <c r="AZ159" s="3132"/>
      <c r="BA159" s="3132"/>
      <c r="BB159" s="3132"/>
      <c r="BC159" s="3132"/>
      <c r="BD159" s="3132"/>
      <c r="BE159" s="781"/>
      <c r="BF159" s="1331"/>
      <c r="BG159" s="1331"/>
      <c r="BH159" s="1005" t="s">
        <v>1556</v>
      </c>
    </row>
    <row s="1656" customFormat="1" customHeight="1" ht="14.25">
      <c r="A160" s="1331"/>
      <c r="B160" s="118">
        <f>InvestmentSources_is_one_block="нет"</f>
        <v>1</v>
      </c>
      <c r="C160" s="1331"/>
      <c r="D160" s="1331"/>
      <c r="E160" s="623">
        <v>15</v>
      </c>
      <c r="F160" s="50" cm="1" t="str">
        <f t="array" ref="F160:F160">OFFSET(E160,-1,1)</f>
        <v>3</v>
      </c>
      <c r="G160" s="1331"/>
      <c r="H160" s="118" t="s">
        <v>1557</v>
      </c>
      <c r="I160" s="1331"/>
      <c r="J160" s="1331"/>
      <c r="K160" s="1331"/>
      <c r="L160" s="1331"/>
      <c r="M160" s="1331"/>
      <c r="N160" s="1331"/>
      <c r="O160" s="1331"/>
      <c r="P160" s="1331"/>
      <c r="Q160" s="1331"/>
      <c r="R160" s="1331"/>
      <c r="S160" s="1331"/>
      <c r="T160" s="468" cm="1" t="str">
        <f t="array" ref="T160:T160">T159</f>
        <v>true</v>
      </c>
      <c r="U160" s="1331"/>
      <c r="V160" s="1331"/>
      <c r="W160" s="1331"/>
      <c r="X160" s="1539"/>
      <c r="Y160" s="1331"/>
      <c r="Z160" s="1529"/>
      <c r="AA160" s="1331"/>
      <c r="AB160" s="295" t="s">
        <v>1558</v>
      </c>
      <c r="AC160" s="772" t="s">
        <v>1559</v>
      </c>
      <c r="AD160" s="296" t="s">
        <v>936</v>
      </c>
      <c r="AE160" s="779"/>
      <c r="AF160" s="779"/>
      <c r="AG160" s="779"/>
      <c r="AH160" s="779"/>
      <c r="AI160" s="779"/>
      <c r="AJ160" s="779"/>
      <c r="AK160" s="779"/>
      <c r="AL160" s="3132"/>
      <c r="AM160" s="3132"/>
      <c r="AN160" s="3132"/>
      <c r="AO160" s="3132"/>
      <c r="AP160" s="3132"/>
      <c r="AQ160" s="3132"/>
      <c r="AR160" s="3132"/>
      <c r="AS160" s="3132"/>
      <c r="AT160" s="3132"/>
      <c r="AU160" s="779"/>
      <c r="AV160" s="3132"/>
      <c r="AW160" s="3132"/>
      <c r="AX160" s="3132"/>
      <c r="AY160" s="3132"/>
      <c r="AZ160" s="3132"/>
      <c r="BA160" s="3132"/>
      <c r="BB160" s="3132"/>
      <c r="BC160" s="3132"/>
      <c r="BD160" s="3132"/>
      <c r="BE160" s="781"/>
      <c r="BF160" s="1331"/>
      <c r="BG160" s="1331"/>
      <c r="BH160" s="1005" t="s">
        <v>1560</v>
      </c>
    </row>
    <row s="1656" customFormat="1" customHeight="1" ht="14.25">
      <c r="A161" s="1331"/>
      <c r="B161" s="118">
        <f>InvestmentSources_is_one_block="нет"</f>
        <v>1</v>
      </c>
      <c r="C161" s="1331"/>
      <c r="D161" s="1331"/>
      <c r="E161" s="623">
        <v>15</v>
      </c>
      <c r="F161" s="50" cm="1" t="str">
        <f t="array" ref="F161:F161">OFFSET(E161,-1,1)</f>
        <v>3</v>
      </c>
      <c r="G161" s="1331"/>
      <c r="H161" s="118" t="s">
        <v>573</v>
      </c>
      <c r="I161" s="1331"/>
      <c r="J161" s="1331"/>
      <c r="K161" s="1331"/>
      <c r="L161" s="1331"/>
      <c r="M161" s="1331"/>
      <c r="N161" s="1331"/>
      <c r="O161" s="1331"/>
      <c r="P161" s="1331"/>
      <c r="Q161" s="1331"/>
      <c r="R161" s="1331"/>
      <c r="S161" s="1331"/>
      <c r="T161" s="468" cm="1" t="str">
        <f t="array" ref="T161:T161">T160</f>
        <v>true</v>
      </c>
      <c r="U161" s="1331"/>
      <c r="V161" s="1331"/>
      <c r="W161" s="1331"/>
      <c r="X161" s="1539"/>
      <c r="Y161" s="1331"/>
      <c r="Z161" s="1529"/>
      <c r="AA161" s="1331"/>
      <c r="AB161" s="295" t="s">
        <v>1073</v>
      </c>
      <c r="AC161" s="769" t="s">
        <v>1561</v>
      </c>
      <c r="AD161" s="296" t="s">
        <v>936</v>
      </c>
      <c r="AE161" s="790">
        <f>AE162+AE163+AE164</f>
        <v>0</v>
      </c>
      <c r="AF161" s="790">
        <f>AF162+AF163+AF164</f>
        <v>0</v>
      </c>
      <c r="AG161" s="790">
        <f>AG162+AG163+AG164</f>
        <v>0</v>
      </c>
      <c r="AH161" s="790">
        <f>AH162+AH163+AH164</f>
        <v>0</v>
      </c>
      <c r="AI161" s="790">
        <f>AI162+AI163+AI164</f>
        <v>0</v>
      </c>
      <c r="AJ161" s="790">
        <f>AJ162+AJ163+AJ164</f>
        <v>0</v>
      </c>
      <c r="AK161" s="790">
        <f>AK162+AK163+AK164</f>
        <v>0</v>
      </c>
      <c r="AL161" s="790">
        <f>AL162+AL163+AL164</f>
        <v>0</v>
      </c>
      <c r="AM161" s="790">
        <f>AM162+AM163+AM164</f>
        <v>0</v>
      </c>
      <c r="AN161" s="790">
        <f>AN162+AN163+AN164</f>
        <v>0</v>
      </c>
      <c r="AO161" s="790">
        <f>AO162+AO163+AO164</f>
        <v>0</v>
      </c>
      <c r="AP161" s="790">
        <f>AP162+AP163+AP164</f>
        <v>0</v>
      </c>
      <c r="AQ161" s="790">
        <f>AQ162+AQ163+AQ164</f>
        <v>0</v>
      </c>
      <c r="AR161" s="790">
        <f>AR162+AR163+AR164</f>
        <v>0</v>
      </c>
      <c r="AS161" s="790">
        <f>AS162+AS163+AS164</f>
        <v>0</v>
      </c>
      <c r="AT161" s="790">
        <f>AT162+AT163+AT164</f>
        <v>0</v>
      </c>
      <c r="AU161" s="790">
        <f>AU162+AU163+AU164</f>
        <v>0</v>
      </c>
      <c r="AV161" s="790">
        <f>AV162+AV163+AV164</f>
        <v>0</v>
      </c>
      <c r="AW161" s="790">
        <f>AW162+AW163+AW164</f>
        <v>0</v>
      </c>
      <c r="AX161" s="790">
        <f>AX162+AX163+AX164</f>
        <v>0</v>
      </c>
      <c r="AY161" s="790">
        <f>AY162+AY163+AY164</f>
        <v>0</v>
      </c>
      <c r="AZ161" s="790">
        <f>AZ162+AZ163+AZ164</f>
        <v>0</v>
      </c>
      <c r="BA161" s="790">
        <f>BA162+BA163+BA164</f>
        <v>0</v>
      </c>
      <c r="BB161" s="790">
        <f>BB162+BB163+BB164</f>
        <v>0</v>
      </c>
      <c r="BC161" s="790">
        <f>BC162+BC163+BC164</f>
        <v>0</v>
      </c>
      <c r="BD161" s="790">
        <f>BD162+BD163+BD164</f>
        <v>0</v>
      </c>
      <c r="BE161" s="781"/>
      <c r="BF161" s="1331"/>
      <c r="BG161" s="1331"/>
      <c r="BH161" s="1005" t="s">
        <v>1562</v>
      </c>
    </row>
    <row s="1656" customFormat="1" customHeight="1" ht="14.25">
      <c r="A162" s="1331"/>
      <c r="B162" s="118">
        <f>InvestmentSources_is_one_block="нет"</f>
        <v>1</v>
      </c>
      <c r="C162" s="1331"/>
      <c r="D162" s="1331"/>
      <c r="E162" s="623">
        <v>15</v>
      </c>
      <c r="F162" s="50" cm="1" t="str">
        <f t="array" ref="F162:F162">OFFSET(E162,-1,1)</f>
        <v>3</v>
      </c>
      <c r="G162" s="1331"/>
      <c r="H162" s="118" t="s">
        <v>1563</v>
      </c>
      <c r="I162" s="1331"/>
      <c r="J162" s="1331"/>
      <c r="K162" s="1331"/>
      <c r="L162" s="1331"/>
      <c r="M162" s="1331"/>
      <c r="N162" s="1331"/>
      <c r="O162" s="1331"/>
      <c r="P162" s="1331"/>
      <c r="Q162" s="1331"/>
      <c r="R162" s="1331"/>
      <c r="S162" s="1331"/>
      <c r="T162" s="468" cm="1" t="str">
        <f t="array" ref="T162:T162">T161</f>
        <v>true</v>
      </c>
      <c r="U162" s="1331"/>
      <c r="V162" s="1331"/>
      <c r="W162" s="1331"/>
      <c r="X162" s="1539"/>
      <c r="Y162" s="1331"/>
      <c r="Z162" s="1529"/>
      <c r="AA162" s="1331"/>
      <c r="AB162" s="295" t="s">
        <v>1564</v>
      </c>
      <c r="AC162" s="772" t="s">
        <v>1565</v>
      </c>
      <c r="AD162" s="296" t="s">
        <v>936</v>
      </c>
      <c r="AE162" s="779"/>
      <c r="AF162" s="779"/>
      <c r="AG162" s="779"/>
      <c r="AH162" s="779"/>
      <c r="AI162" s="779"/>
      <c r="AJ162" s="779"/>
      <c r="AK162" s="779"/>
      <c r="AL162" s="3132"/>
      <c r="AM162" s="3132"/>
      <c r="AN162" s="3132"/>
      <c r="AO162" s="3132"/>
      <c r="AP162" s="3132"/>
      <c r="AQ162" s="3132"/>
      <c r="AR162" s="3132"/>
      <c r="AS162" s="3132"/>
      <c r="AT162" s="3132"/>
      <c r="AU162" s="779"/>
      <c r="AV162" s="3132"/>
      <c r="AW162" s="3132"/>
      <c r="AX162" s="3132"/>
      <c r="AY162" s="3132"/>
      <c r="AZ162" s="3132"/>
      <c r="BA162" s="3132"/>
      <c r="BB162" s="3132"/>
      <c r="BC162" s="3132"/>
      <c r="BD162" s="3132"/>
      <c r="BE162" s="781"/>
      <c r="BF162" s="1331"/>
      <c r="BG162" s="1331"/>
      <c r="BH162" s="1005" t="s">
        <v>1566</v>
      </c>
    </row>
    <row s="1656" customFormat="1" customHeight="1" ht="14.25">
      <c r="A163" s="1331"/>
      <c r="B163" s="118">
        <f>InvestmentSources_is_one_block="нет"</f>
        <v>1</v>
      </c>
      <c r="C163" s="1331"/>
      <c r="D163" s="1331"/>
      <c r="E163" s="623">
        <v>15</v>
      </c>
      <c r="F163" s="50" cm="1" t="str">
        <f t="array" ref="F163:F163">OFFSET(E163,-1,1)</f>
        <v>3</v>
      </c>
      <c r="G163" s="1331"/>
      <c r="H163" s="118" t="s">
        <v>1567</v>
      </c>
      <c r="I163" s="1331"/>
      <c r="J163" s="1331"/>
      <c r="K163" s="1331"/>
      <c r="L163" s="1331"/>
      <c r="M163" s="1331"/>
      <c r="N163" s="1331"/>
      <c r="O163" s="1331"/>
      <c r="P163" s="1331"/>
      <c r="Q163" s="1331"/>
      <c r="R163" s="1331"/>
      <c r="S163" s="1331"/>
      <c r="T163" s="468" cm="1" t="str">
        <f t="array" ref="T163:T163">T162</f>
        <v>true</v>
      </c>
      <c r="U163" s="1331"/>
      <c r="V163" s="1331"/>
      <c r="W163" s="1331"/>
      <c r="X163" s="1539"/>
      <c r="Y163" s="1331"/>
      <c r="Z163" s="1529"/>
      <c r="AA163" s="1331"/>
      <c r="AB163" s="295" t="s">
        <v>1568</v>
      </c>
      <c r="AC163" s="772" t="s">
        <v>1569</v>
      </c>
      <c r="AD163" s="296" t="s">
        <v>936</v>
      </c>
      <c r="AE163" s="779"/>
      <c r="AF163" s="779"/>
      <c r="AG163" s="779"/>
      <c r="AH163" s="779"/>
      <c r="AI163" s="779"/>
      <c r="AJ163" s="779"/>
      <c r="AK163" s="779"/>
      <c r="AL163" s="3132"/>
      <c r="AM163" s="3132"/>
      <c r="AN163" s="3132"/>
      <c r="AO163" s="3132"/>
      <c r="AP163" s="3132"/>
      <c r="AQ163" s="3132"/>
      <c r="AR163" s="3132"/>
      <c r="AS163" s="3132"/>
      <c r="AT163" s="3132"/>
      <c r="AU163" s="779"/>
      <c r="AV163" s="3132"/>
      <c r="AW163" s="3132"/>
      <c r="AX163" s="3132"/>
      <c r="AY163" s="3132"/>
      <c r="AZ163" s="3132"/>
      <c r="BA163" s="3132"/>
      <c r="BB163" s="3132"/>
      <c r="BC163" s="3132"/>
      <c r="BD163" s="3132"/>
      <c r="BE163" s="781"/>
      <c r="BF163" s="1331"/>
      <c r="BG163" s="1331"/>
      <c r="BH163" s="1005" t="s">
        <v>1570</v>
      </c>
    </row>
    <row s="1656" customFormat="1" customHeight="1" ht="14.25">
      <c r="A164" s="1331"/>
      <c r="B164" s="118">
        <f>InvestmentSources_is_one_block="нет"</f>
        <v>1</v>
      </c>
      <c r="C164" s="1331"/>
      <c r="D164" s="1331"/>
      <c r="E164" s="623">
        <v>15</v>
      </c>
      <c r="F164" s="50" cm="1" t="str">
        <f t="array" ref="F164:F164">OFFSET(E164,-1,1)</f>
        <v>3</v>
      </c>
      <c r="G164" s="1331"/>
      <c r="H164" s="118" t="s">
        <v>1571</v>
      </c>
      <c r="I164" s="1331"/>
      <c r="J164" s="1331"/>
      <c r="K164" s="1331"/>
      <c r="L164" s="1331"/>
      <c r="M164" s="1331"/>
      <c r="N164" s="1331"/>
      <c r="O164" s="1331"/>
      <c r="P164" s="1331"/>
      <c r="Q164" s="1331"/>
      <c r="R164" s="1331"/>
      <c r="S164" s="1331"/>
      <c r="T164" s="468" cm="1" t="str">
        <f t="array" ref="T164:T164">T163</f>
        <v>true</v>
      </c>
      <c r="U164" s="1331"/>
      <c r="V164" s="1331"/>
      <c r="W164" s="1331"/>
      <c r="X164" s="1539"/>
      <c r="Y164" s="1331"/>
      <c r="Z164" s="1529"/>
      <c r="AA164" s="1331"/>
      <c r="AB164" s="295" t="s">
        <v>1572</v>
      </c>
      <c r="AC164" s="772" t="s">
        <v>1573</v>
      </c>
      <c r="AD164" s="296" t="s">
        <v>936</v>
      </c>
      <c r="AE164" s="779"/>
      <c r="AF164" s="779"/>
      <c r="AG164" s="779"/>
      <c r="AH164" s="779"/>
      <c r="AI164" s="779"/>
      <c r="AJ164" s="779"/>
      <c r="AK164" s="779"/>
      <c r="AL164" s="3132"/>
      <c r="AM164" s="3132"/>
      <c r="AN164" s="3132"/>
      <c r="AO164" s="3132"/>
      <c r="AP164" s="3132"/>
      <c r="AQ164" s="3132"/>
      <c r="AR164" s="3132"/>
      <c r="AS164" s="3132"/>
      <c r="AT164" s="3132"/>
      <c r="AU164" s="779"/>
      <c r="AV164" s="3132"/>
      <c r="AW164" s="3132"/>
      <c r="AX164" s="3132"/>
      <c r="AY164" s="3132"/>
      <c r="AZ164" s="3132"/>
      <c r="BA164" s="3132"/>
      <c r="BB164" s="3132"/>
      <c r="BC164" s="3132"/>
      <c r="BD164" s="3132"/>
      <c r="BE164" s="781"/>
      <c r="BF164" s="1331"/>
      <c r="BG164" s="1331"/>
      <c r="BH164" s="1005" t="s">
        <v>1574</v>
      </c>
    </row>
    <row s="1656" customFormat="1" customHeight="1" ht="14.25">
      <c r="A165" s="1331"/>
      <c r="B165" s="118">
        <f>InvestmentSources_is_one_block="нет"</f>
        <v>1</v>
      </c>
      <c r="C165" s="1331"/>
      <c r="D165" s="1331"/>
      <c r="E165" s="623">
        <v>15</v>
      </c>
      <c r="F165" s="50" cm="1" t="str">
        <f t="array" ref="F165:F165">OFFSET(E165,-1,1)</f>
        <v>3</v>
      </c>
      <c r="G165" s="1331"/>
      <c r="H165" s="118" t="s">
        <v>577</v>
      </c>
      <c r="I165" s="1331"/>
      <c r="J165" s="1331"/>
      <c r="K165" s="1331"/>
      <c r="L165" s="1331"/>
      <c r="M165" s="1331"/>
      <c r="N165" s="1331"/>
      <c r="O165" s="1331"/>
      <c r="P165" s="1331"/>
      <c r="Q165" s="1331"/>
      <c r="R165" s="1331"/>
      <c r="S165" s="1331"/>
      <c r="T165" s="468" cm="1" t="str">
        <f t="array" ref="T165:T165">T164</f>
        <v>true</v>
      </c>
      <c r="U165" s="1331"/>
      <c r="V165" s="1331"/>
      <c r="W165" s="1331"/>
      <c r="X165" s="1539"/>
      <c r="Y165" s="1331"/>
      <c r="Z165" s="1529"/>
      <c r="AA165" s="1331"/>
      <c r="AB165" s="295" t="s">
        <v>1076</v>
      </c>
      <c r="AC165" s="769" t="s">
        <v>1575</v>
      </c>
      <c r="AD165" s="296" t="s">
        <v>936</v>
      </c>
      <c r="AE165" s="790">
        <f>AE166+AE167+AE168+AE169</f>
        <v>0</v>
      </c>
      <c r="AF165" s="790">
        <f>AF166+AF167+AF168+AF169</f>
        <v>0</v>
      </c>
      <c r="AG165" s="790">
        <f>AG166+AG167+AG168+AG169</f>
        <v>0</v>
      </c>
      <c r="AH165" s="790">
        <f>AH166+AH167+AH168+AH169</f>
        <v>0</v>
      </c>
      <c r="AI165" s="790">
        <f>AI166+AI167+AI168+AI169</f>
        <v>0</v>
      </c>
      <c r="AJ165" s="790">
        <f>AJ166+AJ167+AJ168+AJ169</f>
        <v>0</v>
      </c>
      <c r="AK165" s="790">
        <f>AK166+AK167+AK168+AK169</f>
        <v>0</v>
      </c>
      <c r="AL165" s="790">
        <f>AL166+AL167+AL168+AL169</f>
        <v>0</v>
      </c>
      <c r="AM165" s="790">
        <f>AM166+AM167+AM168+AM169</f>
        <v>0</v>
      </c>
      <c r="AN165" s="790">
        <f>AN166+AN167+AN168+AN169</f>
        <v>0</v>
      </c>
      <c r="AO165" s="790">
        <f>AO166+AO167+AO168+AO169</f>
        <v>0</v>
      </c>
      <c r="AP165" s="790">
        <f>AP166+AP167+AP168+AP169</f>
        <v>0</v>
      </c>
      <c r="AQ165" s="790">
        <f>AQ166+AQ167+AQ168+AQ169</f>
        <v>0</v>
      </c>
      <c r="AR165" s="790">
        <f>AR166+AR167+AR168+AR169</f>
        <v>0</v>
      </c>
      <c r="AS165" s="790">
        <f>AS166+AS167+AS168+AS169</f>
        <v>0</v>
      </c>
      <c r="AT165" s="790">
        <f>AT166+AT167+AT168+AT169</f>
        <v>0</v>
      </c>
      <c r="AU165" s="790">
        <f>AU166+AU167+AU168+AU169</f>
        <v>0</v>
      </c>
      <c r="AV165" s="790">
        <f>AV166+AV167+AV168+AV169</f>
        <v>0</v>
      </c>
      <c r="AW165" s="790">
        <f>AW166+AW167+AW168+AW169</f>
        <v>0</v>
      </c>
      <c r="AX165" s="790">
        <f>AX166+AX167+AX168+AX169</f>
        <v>0</v>
      </c>
      <c r="AY165" s="790">
        <f>AY166+AY167+AY168+AY169</f>
        <v>0</v>
      </c>
      <c r="AZ165" s="790">
        <f>AZ166+AZ167+AZ168+AZ169</f>
        <v>0</v>
      </c>
      <c r="BA165" s="790">
        <f>BA166+BA167+BA168+BA169</f>
        <v>0</v>
      </c>
      <c r="BB165" s="790">
        <f>BB166+BB167+BB168+BB169</f>
        <v>0</v>
      </c>
      <c r="BC165" s="790">
        <f>BC166+BC167+BC168+BC169</f>
        <v>0</v>
      </c>
      <c r="BD165" s="790">
        <f>BD166+BD167+BD168+BD169</f>
        <v>0</v>
      </c>
      <c r="BE165" s="781"/>
      <c r="BF165" s="1331"/>
      <c r="BG165" s="1331"/>
      <c r="BH165" s="1005" t="s">
        <v>1576</v>
      </c>
    </row>
    <row s="1656" customFormat="1" customHeight="1" ht="14.25">
      <c r="A166" s="1331"/>
      <c r="B166" s="118">
        <f>InvestmentSources_is_one_block="нет"</f>
        <v>1</v>
      </c>
      <c r="C166" s="1331"/>
      <c r="D166" s="1331"/>
      <c r="E166" s="623">
        <v>15</v>
      </c>
      <c r="F166" s="50" cm="1" t="str">
        <f t="array" ref="F166:F166">OFFSET(E166,-1,1)</f>
        <v>3</v>
      </c>
      <c r="G166" s="1331"/>
      <c r="H166" s="118" t="s">
        <v>1577</v>
      </c>
      <c r="I166" s="1331"/>
      <c r="J166" s="1331"/>
      <c r="K166" s="1331"/>
      <c r="L166" s="1331"/>
      <c r="M166" s="1331"/>
      <c r="N166" s="1331"/>
      <c r="O166" s="1331"/>
      <c r="P166" s="1331"/>
      <c r="Q166" s="1331"/>
      <c r="R166" s="1331"/>
      <c r="S166" s="1331"/>
      <c r="T166" s="468" cm="1" t="str">
        <f t="array" ref="T166:T166">T165</f>
        <v>true</v>
      </c>
      <c r="U166" s="1331"/>
      <c r="V166" s="1331"/>
      <c r="W166" s="1331"/>
      <c r="X166" s="1539"/>
      <c r="Y166" s="1331"/>
      <c r="Z166" s="1529"/>
      <c r="AA166" s="1331"/>
      <c r="AB166" s="295" t="s">
        <v>1214</v>
      </c>
      <c r="AC166" s="772" t="s">
        <v>1208</v>
      </c>
      <c r="AD166" s="296" t="s">
        <v>936</v>
      </c>
      <c r="AE166" s="779"/>
      <c r="AF166" s="779"/>
      <c r="AG166" s="779"/>
      <c r="AH166" s="779"/>
      <c r="AI166" s="779"/>
      <c r="AJ166" s="779"/>
      <c r="AK166" s="779"/>
      <c r="AL166" s="3132"/>
      <c r="AM166" s="3132"/>
      <c r="AN166" s="3132"/>
      <c r="AO166" s="3132"/>
      <c r="AP166" s="3132"/>
      <c r="AQ166" s="3132"/>
      <c r="AR166" s="3132"/>
      <c r="AS166" s="3132"/>
      <c r="AT166" s="3132"/>
      <c r="AU166" s="779"/>
      <c r="AV166" s="3132"/>
      <c r="AW166" s="3132"/>
      <c r="AX166" s="3132"/>
      <c r="AY166" s="3132"/>
      <c r="AZ166" s="3132"/>
      <c r="BA166" s="3132"/>
      <c r="BB166" s="3132"/>
      <c r="BC166" s="3132"/>
      <c r="BD166" s="3132"/>
      <c r="BE166" s="781"/>
      <c r="BF166" s="1331"/>
      <c r="BG166" s="1331"/>
      <c r="BH166" s="1005" t="s">
        <v>1210</v>
      </c>
    </row>
    <row s="1656" customFormat="1" customHeight="1" ht="21.75">
      <c r="A167" s="1331"/>
      <c r="B167" s="118">
        <f>InvestmentSources_is_one_block="нет"</f>
        <v>1</v>
      </c>
      <c r="C167" s="1331"/>
      <c r="D167" s="1331"/>
      <c r="E167" s="623">
        <v>22.5</v>
      </c>
      <c r="F167" s="50" cm="1" t="str">
        <f t="array" ref="F167:F167">OFFSET(E167,-1,1)</f>
        <v>3</v>
      </c>
      <c r="G167" s="1331"/>
      <c r="H167" s="118" t="s">
        <v>1578</v>
      </c>
      <c r="I167" s="1331"/>
      <c r="J167" s="1331"/>
      <c r="K167" s="1331"/>
      <c r="L167" s="1331"/>
      <c r="M167" s="1331"/>
      <c r="N167" s="1331"/>
      <c r="O167" s="1331"/>
      <c r="P167" s="1331"/>
      <c r="Q167" s="1331"/>
      <c r="R167" s="1331"/>
      <c r="S167" s="1331"/>
      <c r="T167" s="468" cm="1" t="str">
        <f t="array" ref="T167:T167">T166</f>
        <v>true</v>
      </c>
      <c r="U167" s="1331"/>
      <c r="V167" s="1331"/>
      <c r="W167" s="1331"/>
      <c r="X167" s="1539"/>
      <c r="Y167" s="1331"/>
      <c r="Z167" s="1529"/>
      <c r="AA167" s="1331"/>
      <c r="AB167" s="295" t="s">
        <v>1217</v>
      </c>
      <c r="AC167" s="772" t="s">
        <v>1579</v>
      </c>
      <c r="AD167" s="296" t="s">
        <v>936</v>
      </c>
      <c r="AE167" s="779"/>
      <c r="AF167" s="779"/>
      <c r="AG167" s="779"/>
      <c r="AH167" s="779"/>
      <c r="AI167" s="779"/>
      <c r="AJ167" s="779"/>
      <c r="AK167" s="779"/>
      <c r="AL167" s="3132"/>
      <c r="AM167" s="3132"/>
      <c r="AN167" s="3132"/>
      <c r="AO167" s="3132"/>
      <c r="AP167" s="3132"/>
      <c r="AQ167" s="3132"/>
      <c r="AR167" s="3132"/>
      <c r="AS167" s="3132"/>
      <c r="AT167" s="3132"/>
      <c r="AU167" s="779"/>
      <c r="AV167" s="3132"/>
      <c r="AW167" s="3132"/>
      <c r="AX167" s="3132"/>
      <c r="AY167" s="3132"/>
      <c r="AZ167" s="3132"/>
      <c r="BA167" s="3132"/>
      <c r="BB167" s="3132"/>
      <c r="BC167" s="3132"/>
      <c r="BD167" s="3132"/>
      <c r="BE167" s="781"/>
      <c r="BF167" s="1331"/>
      <c r="BG167" s="1331"/>
      <c r="BH167" s="1005" t="s">
        <v>1580</v>
      </c>
    </row>
    <row s="1656" customFormat="1" customHeight="1" ht="21.75">
      <c r="A168" s="1331"/>
      <c r="B168" s="118">
        <f>InvestmentSources_is_one_block="нет"</f>
        <v>1</v>
      </c>
      <c r="C168" s="1331"/>
      <c r="D168" s="1331"/>
      <c r="E168" s="623">
        <v>22.5</v>
      </c>
      <c r="F168" s="50" cm="1" t="str">
        <f t="array" ref="F168:F168">OFFSET(E168,-1,1)</f>
        <v>3</v>
      </c>
      <c r="G168" s="1331"/>
      <c r="H168" s="118" t="s">
        <v>1581</v>
      </c>
      <c r="I168" s="1331"/>
      <c r="J168" s="1331"/>
      <c r="K168" s="1331"/>
      <c r="L168" s="1331"/>
      <c r="M168" s="1331"/>
      <c r="N168" s="1331"/>
      <c r="O168" s="1331"/>
      <c r="P168" s="1331"/>
      <c r="Q168" s="1331"/>
      <c r="R168" s="1331"/>
      <c r="S168" s="1331"/>
      <c r="T168" s="468" cm="1" t="str">
        <f t="array" ref="T168:T168">T167</f>
        <v>true</v>
      </c>
      <c r="U168" s="1331"/>
      <c r="V168" s="1331"/>
      <c r="W168" s="1331"/>
      <c r="X168" s="1539"/>
      <c r="Y168" s="1331"/>
      <c r="Z168" s="1529"/>
      <c r="AA168" s="1331"/>
      <c r="AB168" s="295" t="s">
        <v>1582</v>
      </c>
      <c r="AC168" s="772" t="s">
        <v>1583</v>
      </c>
      <c r="AD168" s="296" t="s">
        <v>936</v>
      </c>
      <c r="AE168" s="779"/>
      <c r="AF168" s="779"/>
      <c r="AG168" s="779"/>
      <c r="AH168" s="779"/>
      <c r="AI168" s="779"/>
      <c r="AJ168" s="779"/>
      <c r="AK168" s="779"/>
      <c r="AL168" s="3132"/>
      <c r="AM168" s="3132"/>
      <c r="AN168" s="3132"/>
      <c r="AO168" s="3132"/>
      <c r="AP168" s="3132"/>
      <c r="AQ168" s="3132"/>
      <c r="AR168" s="3132"/>
      <c r="AS168" s="3132"/>
      <c r="AT168" s="3132"/>
      <c r="AU168" s="779"/>
      <c r="AV168" s="3132"/>
      <c r="AW168" s="3132"/>
      <c r="AX168" s="3132"/>
      <c r="AY168" s="3132"/>
      <c r="AZ168" s="3132"/>
      <c r="BA168" s="3132"/>
      <c r="BB168" s="3132"/>
      <c r="BC168" s="3132"/>
      <c r="BD168" s="3132"/>
      <c r="BE168" s="781"/>
      <c r="BF168" s="1331"/>
      <c r="BG168" s="1331"/>
      <c r="BH168" s="1005" t="s">
        <v>1584</v>
      </c>
    </row>
    <row s="1656" customFormat="1" customHeight="1" ht="14.25">
      <c r="A169" s="1331"/>
      <c r="B169" s="118">
        <f>InvestmentSources_is_one_block="нет"</f>
        <v>1</v>
      </c>
      <c r="C169" s="1331"/>
      <c r="D169" s="1331"/>
      <c r="E169" s="623">
        <v>15</v>
      </c>
      <c r="F169" s="50" cm="1" t="str">
        <f t="array" ref="F169:F169">OFFSET(E169,-1,1)</f>
        <v>3</v>
      </c>
      <c r="G169" s="1331"/>
      <c r="H169" s="118" t="s">
        <v>1585</v>
      </c>
      <c r="I169" s="1331"/>
      <c r="J169" s="1331"/>
      <c r="K169" s="1331"/>
      <c r="L169" s="1331"/>
      <c r="M169" s="1331"/>
      <c r="N169" s="1331"/>
      <c r="O169" s="1331"/>
      <c r="P169" s="1331"/>
      <c r="Q169" s="1331"/>
      <c r="R169" s="1331"/>
      <c r="S169" s="1331"/>
      <c r="T169" s="468" cm="1" t="str">
        <f t="array" ref="T169:T169">T168</f>
        <v>true</v>
      </c>
      <c r="U169" s="1331"/>
      <c r="V169" s="1331"/>
      <c r="W169" s="1331"/>
      <c r="X169" s="1539"/>
      <c r="Y169" s="1331"/>
      <c r="Z169" s="1529"/>
      <c r="AA169" s="1331"/>
      <c r="AB169" s="295" t="s">
        <v>1586</v>
      </c>
      <c r="AC169" s="772" t="s">
        <v>1587</v>
      </c>
      <c r="AD169" s="296" t="s">
        <v>936</v>
      </c>
      <c r="AE169" s="779"/>
      <c r="AF169" s="779"/>
      <c r="AG169" s="779"/>
      <c r="AH169" s="779"/>
      <c r="AI169" s="779"/>
      <c r="AJ169" s="779"/>
      <c r="AK169" s="779"/>
      <c r="AL169" s="3132"/>
      <c r="AM169" s="3132"/>
      <c r="AN169" s="3132"/>
      <c r="AO169" s="3132"/>
      <c r="AP169" s="3132"/>
      <c r="AQ169" s="3132"/>
      <c r="AR169" s="3132"/>
      <c r="AS169" s="3132"/>
      <c r="AT169" s="3132"/>
      <c r="AU169" s="779"/>
      <c r="AV169" s="3132"/>
      <c r="AW169" s="3132"/>
      <c r="AX169" s="3132"/>
      <c r="AY169" s="3132"/>
      <c r="AZ169" s="3132"/>
      <c r="BA169" s="3132"/>
      <c r="BB169" s="3132"/>
      <c r="BC169" s="3132"/>
      <c r="BD169" s="3132"/>
      <c r="BE169" s="781"/>
      <c r="BF169" s="1331"/>
      <c r="BG169" s="1331"/>
      <c r="BH169" s="1005" t="s">
        <v>1588</v>
      </c>
    </row>
    <row s="4476" customFormat="1" customHeight="1" ht="21.75">
      <c r="A170" s="704"/>
      <c r="B170" s="118">
        <f>InvestmentSources_is_one_block="нет"</f>
        <v>1</v>
      </c>
      <c r="C170" s="704"/>
      <c r="D170" s="704"/>
      <c r="E170" s="697">
        <v>22.5</v>
      </c>
      <c r="F170" s="50" cm="1" t="str">
        <f t="array" ref="F170:F170">OFFSET(E170,-1,1)</f>
        <v>3</v>
      </c>
      <c r="G170" s="118"/>
      <c r="H170" s="118" t="s">
        <v>345</v>
      </c>
      <c r="I170" s="704"/>
      <c r="J170" s="704"/>
      <c r="K170" s="704"/>
      <c r="L170" s="704"/>
      <c r="M170" s="704"/>
      <c r="N170" s="704"/>
      <c r="O170" s="704"/>
      <c r="P170" s="704"/>
      <c r="Q170" s="704"/>
      <c r="R170" s="704"/>
      <c r="S170" s="704"/>
      <c r="T170" s="468" cm="1" t="str">
        <f t="array" ref="T170:T170">T169</f>
        <v>true</v>
      </c>
      <c r="U170" s="704"/>
      <c r="V170" s="704"/>
      <c r="W170" s="704"/>
      <c r="X170" s="1539"/>
      <c r="Y170" s="704"/>
      <c r="Z170" s="1529"/>
      <c r="AA170" s="704"/>
      <c r="AB170" s="214" t="s">
        <v>299</v>
      </c>
      <c r="AC170" s="215" t="s">
        <v>1589</v>
      </c>
      <c r="AD170" s="207" t="s">
        <v>936</v>
      </c>
      <c r="AE170" s="209">
        <f>AE171+AE172+AE173</f>
        <v>0</v>
      </c>
      <c r="AF170" s="209">
        <f>AF171+AF172+AF173</f>
        <v>0</v>
      </c>
      <c r="AG170" s="209">
        <f>AG171+AG172+AG173</f>
        <v>0</v>
      </c>
      <c r="AH170" s="209">
        <f>AH171+AH172+AH173</f>
        <v>0</v>
      </c>
      <c r="AI170" s="209">
        <f>AI171+AI172+AI173</f>
        <v>0</v>
      </c>
      <c r="AJ170" s="209">
        <f>AJ171+AJ172+AJ173</f>
        <v>0</v>
      </c>
      <c r="AK170" s="209">
        <f>AK171+AK172+AK173</f>
        <v>0</v>
      </c>
      <c r="AL170" s="209">
        <f>AL171+AL172+AL173</f>
        <v>0</v>
      </c>
      <c r="AM170" s="209">
        <f>AM171+AM172+AM173</f>
        <v>0</v>
      </c>
      <c r="AN170" s="209">
        <f>AN171+AN172+AN173</f>
        <v>0</v>
      </c>
      <c r="AO170" s="209">
        <f>AO171+AO172+AO173</f>
        <v>0</v>
      </c>
      <c r="AP170" s="209">
        <f>AP171+AP172+AP173</f>
        <v>0</v>
      </c>
      <c r="AQ170" s="209">
        <f>AQ171+AQ172+AQ173</f>
        <v>0</v>
      </c>
      <c r="AR170" s="209">
        <f>AR171+AR172+AR173</f>
        <v>0</v>
      </c>
      <c r="AS170" s="209">
        <f>AS171+AS172+AS173</f>
        <v>0</v>
      </c>
      <c r="AT170" s="209">
        <f>AT171+AT172+AT173</f>
        <v>0</v>
      </c>
      <c r="AU170" s="209">
        <f>AU171+AU172+AU173</f>
        <v>0</v>
      </c>
      <c r="AV170" s="209">
        <f>AV171+AV172+AV173</f>
        <v>0</v>
      </c>
      <c r="AW170" s="209">
        <f>AW171+AW172+AW173</f>
        <v>0</v>
      </c>
      <c r="AX170" s="209">
        <f>AX171+AX172+AX173</f>
        <v>0</v>
      </c>
      <c r="AY170" s="209">
        <f>AY171+AY172+AY173</f>
        <v>0</v>
      </c>
      <c r="AZ170" s="209">
        <f>AZ171+AZ172+AZ173</f>
        <v>0</v>
      </c>
      <c r="BA170" s="209">
        <f>BA171+BA172+BA173</f>
        <v>0</v>
      </c>
      <c r="BB170" s="209">
        <f>BB171+BB172+BB173</f>
        <v>0</v>
      </c>
      <c r="BC170" s="209">
        <f>BC171+BC172+BC173</f>
        <v>0</v>
      </c>
      <c r="BD170" s="209">
        <f>BD171+BD172+BD173</f>
        <v>0</v>
      </c>
      <c r="BE170" s="781"/>
      <c r="BF170" s="704"/>
      <c r="BG170" s="704"/>
      <c r="BH170" s="1059" t="s">
        <v>1590</v>
      </c>
    </row>
    <row s="1656" customFormat="1" customHeight="1" ht="14.25">
      <c r="A171" s="1331"/>
      <c r="B171" s="118">
        <f>InvestmentSources_is_one_block="нет"</f>
        <v>1</v>
      </c>
      <c r="C171" s="1331"/>
      <c r="D171" s="1331"/>
      <c r="E171" s="623">
        <v>15</v>
      </c>
      <c r="F171" s="50" cm="1" t="str">
        <f t="array" ref="F171:F171">OFFSET(E171,-1,1)</f>
        <v>3</v>
      </c>
      <c r="G171" s="1331"/>
      <c r="H171" s="118" t="s">
        <v>584</v>
      </c>
      <c r="I171" s="1331"/>
      <c r="J171" s="1331"/>
      <c r="K171" s="120" t="str">
        <f>F171&amp;"2komm"</f>
        <v>32komm</v>
      </c>
      <c r="L171" s="120" cm="1" t="str">
        <f t="array" ref="L171:L171">BE171</f>
        <v>0</v>
      </c>
      <c r="M171" s="1331"/>
      <c r="N171" s="1331"/>
      <c r="O171" s="1331"/>
      <c r="P171" s="1331"/>
      <c r="Q171" s="1331"/>
      <c r="R171" s="1331"/>
      <c r="S171" s="1331"/>
      <c r="T171" s="468" cm="1" t="str">
        <f t="array" ref="T171:T171">T170</f>
        <v>true</v>
      </c>
      <c r="U171" s="1331"/>
      <c r="V171" s="1331"/>
      <c r="W171" s="1331"/>
      <c r="X171" s="1539"/>
      <c r="Y171" s="1331"/>
      <c r="Z171" s="1529"/>
      <c r="AA171" s="1331"/>
      <c r="AB171" s="295" t="s">
        <v>660</v>
      </c>
      <c r="AC171" s="769" t="s">
        <v>1591</v>
      </c>
      <c r="AD171" s="296" t="s">
        <v>936</v>
      </c>
      <c r="AE171" s="779"/>
      <c r="AF171" s="779"/>
      <c r="AG171" s="779"/>
      <c r="AH171" s="779"/>
      <c r="AI171" s="779"/>
      <c r="AJ171" s="779"/>
      <c r="AK171" s="779"/>
      <c r="AL171" s="3132"/>
      <c r="AM171" s="3132"/>
      <c r="AN171" s="3132"/>
      <c r="AO171" s="3132"/>
      <c r="AP171" s="3132"/>
      <c r="AQ171" s="3132"/>
      <c r="AR171" s="3132"/>
      <c r="AS171" s="3132"/>
      <c r="AT171" s="3132"/>
      <c r="AU171" s="779"/>
      <c r="AV171" s="3132"/>
      <c r="AW171" s="3132"/>
      <c r="AX171" s="3132"/>
      <c r="AY171" s="3132"/>
      <c r="AZ171" s="3132"/>
      <c r="BA171" s="3132"/>
      <c r="BB171" s="3132"/>
      <c r="BC171" s="3132"/>
      <c r="BD171" s="3132"/>
      <c r="BE171" s="781"/>
      <c r="BF171" s="1331"/>
      <c r="BG171" s="1331"/>
      <c r="BH171" s="1005" t="s">
        <v>1592</v>
      </c>
    </row>
    <row s="1656" customFormat="1" customHeight="1" ht="14.25">
      <c r="A172" s="1331"/>
      <c r="B172" s="118">
        <f>InvestmentSources_is_one_block="нет"</f>
        <v>1</v>
      </c>
      <c r="C172" s="1331"/>
      <c r="D172" s="1331"/>
      <c r="E172" s="623">
        <v>15</v>
      </c>
      <c r="F172" s="50" cm="1" t="str">
        <f t="array" ref="F172:F172">OFFSET(E172,-1,1)</f>
        <v>3</v>
      </c>
      <c r="G172" s="1331"/>
      <c r="H172" s="118" t="s">
        <v>587</v>
      </c>
      <c r="I172" s="1331"/>
      <c r="J172" s="1331"/>
      <c r="K172" s="120" t="str">
        <f>F172&amp;"3komm"</f>
        <v>33komm</v>
      </c>
      <c r="L172" s="120" cm="1" t="str">
        <f t="array" ref="L172:L172">BE172</f>
        <v>0</v>
      </c>
      <c r="M172" s="1331"/>
      <c r="N172" s="1331"/>
      <c r="O172" s="1331"/>
      <c r="P172" s="1331"/>
      <c r="Q172" s="1331"/>
      <c r="R172" s="1331"/>
      <c r="S172" s="1331"/>
      <c r="T172" s="468" cm="1" t="str">
        <f t="array" ref="T172:T172">T171</f>
        <v>true</v>
      </c>
      <c r="U172" s="1331"/>
      <c r="V172" s="1331"/>
      <c r="W172" s="1331"/>
      <c r="X172" s="1539"/>
      <c r="Y172" s="1331"/>
      <c r="Z172" s="1529"/>
      <c r="AA172" s="1331"/>
      <c r="AB172" s="295" t="s">
        <v>664</v>
      </c>
      <c r="AC172" s="769" t="s">
        <v>1593</v>
      </c>
      <c r="AD172" s="296" t="s">
        <v>936</v>
      </c>
      <c r="AE172" s="779"/>
      <c r="AF172" s="779"/>
      <c r="AG172" s="779"/>
      <c r="AH172" s="779"/>
      <c r="AI172" s="779"/>
      <c r="AJ172" s="779"/>
      <c r="AK172" s="779"/>
      <c r="AL172" s="3132"/>
      <c r="AM172" s="3132"/>
      <c r="AN172" s="3132"/>
      <c r="AO172" s="3132"/>
      <c r="AP172" s="3132"/>
      <c r="AQ172" s="3132"/>
      <c r="AR172" s="3132"/>
      <c r="AS172" s="3132"/>
      <c r="AT172" s="3132"/>
      <c r="AU172" s="779"/>
      <c r="AV172" s="3132"/>
      <c r="AW172" s="3132"/>
      <c r="AX172" s="3132"/>
      <c r="AY172" s="3132"/>
      <c r="AZ172" s="3132"/>
      <c r="BA172" s="3132"/>
      <c r="BB172" s="3132"/>
      <c r="BC172" s="3132"/>
      <c r="BD172" s="3132"/>
      <c r="BE172" s="781"/>
      <c r="BF172" s="1331"/>
      <c r="BG172" s="1331"/>
      <c r="BH172" s="1005" t="s">
        <v>1594</v>
      </c>
    </row>
    <row s="1656" customFormat="1" customHeight="1" ht="14.25">
      <c r="A173" s="1331"/>
      <c r="B173" s="118">
        <f>InvestmentSources_is_one_block="нет"</f>
        <v>1</v>
      </c>
      <c r="C173" s="1331"/>
      <c r="D173" s="1331"/>
      <c r="E173" s="623">
        <v>15</v>
      </c>
      <c r="F173" s="50" cm="1" t="str">
        <f t="array" ref="F173:F173">OFFSET(E173,-1,1)</f>
        <v>3</v>
      </c>
      <c r="G173" s="1331"/>
      <c r="H173" s="118" t="s">
        <v>1087</v>
      </c>
      <c r="I173" s="1331"/>
      <c r="J173" s="1331"/>
      <c r="K173" s="1331"/>
      <c r="L173" s="1331"/>
      <c r="M173" s="1331"/>
      <c r="N173" s="1331"/>
      <c r="O173" s="1331"/>
      <c r="P173" s="1331"/>
      <c r="Q173" s="1331"/>
      <c r="R173" s="1331"/>
      <c r="S173" s="1331"/>
      <c r="T173" s="468" cm="1" t="str">
        <f t="array" ref="T173:T173">T172</f>
        <v>true</v>
      </c>
      <c r="U173" s="1331"/>
      <c r="V173" s="1331"/>
      <c r="W173" s="1331"/>
      <c r="X173" s="1539"/>
      <c r="Y173" s="1331"/>
      <c r="Z173" s="1529"/>
      <c r="AA173" s="1331"/>
      <c r="AB173" s="295" t="s">
        <v>668</v>
      </c>
      <c r="AC173" s="769" t="s">
        <v>1595</v>
      </c>
      <c r="AD173" s="296" t="s">
        <v>936</v>
      </c>
      <c r="AE173" s="779"/>
      <c r="AF173" s="779"/>
      <c r="AG173" s="779"/>
      <c r="AH173" s="779"/>
      <c r="AI173" s="779"/>
      <c r="AJ173" s="779"/>
      <c r="AK173" s="779"/>
      <c r="AL173" s="3132"/>
      <c r="AM173" s="3132"/>
      <c r="AN173" s="3132"/>
      <c r="AO173" s="3132"/>
      <c r="AP173" s="3132"/>
      <c r="AQ173" s="3132"/>
      <c r="AR173" s="3132"/>
      <c r="AS173" s="3132"/>
      <c r="AT173" s="3132"/>
      <c r="AU173" s="779"/>
      <c r="AV173" s="3132"/>
      <c r="AW173" s="3132"/>
      <c r="AX173" s="3132"/>
      <c r="AY173" s="3132"/>
      <c r="AZ173" s="3132"/>
      <c r="BA173" s="3132"/>
      <c r="BB173" s="3132"/>
      <c r="BC173" s="3132"/>
      <c r="BD173" s="3132"/>
      <c r="BE173" s="781"/>
      <c r="BF173" s="1331"/>
      <c r="BG173" s="1331"/>
      <c r="BH173" s="1005" t="s">
        <v>1596</v>
      </c>
    </row>
    <row s="1656" customFormat="1" customHeight="1" ht="25.350000000000005">
      <c r="A174" s="502"/>
      <c r="B174" s="664"/>
      <c r="C174" s="502"/>
      <c r="D174" s="502"/>
      <c r="E174" s="665">
        <v>26</v>
      </c>
      <c r="F174" s="502"/>
      <c r="G174" s="502"/>
      <c r="H174" s="502"/>
      <c r="I174" s="502"/>
      <c r="J174" s="502"/>
      <c r="K174" s="502"/>
      <c r="L174" s="502"/>
      <c r="M174" s="502"/>
      <c r="N174" s="502"/>
      <c r="O174" s="502"/>
      <c r="P174" s="502"/>
      <c r="Q174" s="345"/>
      <c r="R174" s="502"/>
      <c r="S174" s="502"/>
      <c r="T174" s="502"/>
      <c r="U174" s="485" t="s">
        <v>177</v>
      </c>
      <c r="V174" s="136" t="s">
        <v>1603</v>
      </c>
      <c r="W174" s="502"/>
      <c r="X174" s="502"/>
      <c r="Y174" s="502"/>
      <c r="Z174" s="502"/>
      <c r="AA174" s="118"/>
      <c r="AB174" s="118"/>
      <c r="AC174" s="94" t="s">
        <v>1604</v>
      </c>
      <c r="AD174" s="118"/>
      <c r="AE174" s="118"/>
      <c r="AF174" s="118"/>
      <c r="AG174" s="118"/>
      <c r="AH174" s="118"/>
      <c r="AI174" s="118"/>
      <c r="AJ174" s="118"/>
      <c r="AK174" s="118"/>
      <c r="AL174" s="118"/>
      <c r="AM174" s="118"/>
      <c r="AN174" s="118"/>
      <c r="AO174" s="118"/>
      <c r="AP174" s="118"/>
      <c r="AQ174" s="118"/>
      <c r="AR174" s="118"/>
      <c r="AS174" s="118"/>
      <c r="AT174" s="118"/>
      <c r="AU174" s="118"/>
      <c r="AV174" s="118"/>
      <c r="AW174" s="118"/>
      <c r="AX174" s="118"/>
      <c r="AY174" s="118"/>
      <c r="AZ174" s="118"/>
      <c r="BA174" s="118"/>
      <c r="BB174" s="118"/>
      <c r="BC174" s="118"/>
      <c r="BD174" s="118"/>
      <c r="BE174" s="118"/>
      <c r="BF174" s="118"/>
      <c r="BH174" s="1012"/>
    </row>
    <row customHeight="1" ht="14.625">
      <c r="E175" s="623">
        <v>15</v>
      </c>
      <c r="AB175" s="1553" t="s">
        <v>420</v>
      </c>
      <c r="AC175" s="1604"/>
      <c r="AD175" s="1604"/>
      <c r="AE175" s="1604"/>
      <c r="AF175" s="1604"/>
      <c r="AG175" s="1604"/>
      <c r="AH175" s="1604"/>
      <c r="AI175" s="1604"/>
      <c r="AJ175" s="1604"/>
      <c r="AK175" s="1604"/>
      <c r="AL175" s="1604"/>
      <c r="AM175" s="1604"/>
      <c r="AN175" s="1604"/>
      <c r="AO175" s="1604"/>
      <c r="AP175" s="1604"/>
      <c r="AQ175" s="1604"/>
      <c r="AR175" s="1604"/>
      <c r="AS175" s="1604"/>
      <c r="AT175" s="1604"/>
      <c r="AU175" s="1604"/>
      <c r="AV175" s="1604"/>
      <c r="AW175" s="1604"/>
      <c r="AX175" s="1604"/>
      <c r="AY175" s="1604"/>
      <c r="AZ175" s="1604"/>
      <c r="BA175" s="1604"/>
      <c r="BB175" s="1604"/>
      <c r="BC175" s="1604"/>
      <c r="BD175" s="1604"/>
      <c r="BE175" s="1604"/>
    </row>
    <row customHeight="1" ht="14.625">
      <c r="E176" s="623">
        <v>15</v>
      </c>
      <c r="AA176" s="169"/>
      <c r="AB176" s="1602"/>
      <c r="AC176" s="1602"/>
      <c r="AD176" s="1602"/>
      <c r="AE176" s="1602"/>
      <c r="AF176" s="1602"/>
      <c r="AG176" s="1602"/>
      <c r="AH176" s="1602"/>
      <c r="AI176" s="1602"/>
      <c r="AJ176" s="1602"/>
      <c r="AK176" s="1602"/>
      <c r="AL176" s="4479"/>
      <c r="AM176" s="4479"/>
      <c r="AN176" s="4479"/>
      <c r="AO176" s="4479"/>
      <c r="AP176" s="4479"/>
      <c r="AQ176" s="4479"/>
      <c r="AR176" s="4479"/>
      <c r="AS176" s="4479"/>
      <c r="AT176" s="4479"/>
      <c r="AU176" s="1602"/>
      <c r="AV176" s="4479"/>
      <c r="AW176" s="4479"/>
      <c r="AX176" s="4479"/>
      <c r="AY176" s="4479"/>
      <c r="AZ176" s="4479"/>
      <c r="BA176" s="4479"/>
      <c r="BB176" s="4479"/>
      <c r="BC176" s="4479"/>
      <c r="BD176" s="4479"/>
      <c r="BE176" s="1602"/>
    </row>
    <row customHeight="1" ht="14.625" hidden="1">
      <c r="A177" s="1331"/>
      <c r="B177" s="1223"/>
      <c r="C177" s="1331"/>
      <c r="D177" s="1331"/>
      <c r="E177" s="623">
        <v>15</v>
      </c>
      <c r="F177" s="1331"/>
      <c r="G177" s="1331"/>
      <c r="H177" s="1331"/>
      <c r="I177" s="1331"/>
      <c r="J177" s="1331"/>
      <c r="K177" s="1331"/>
      <c r="L177" s="1331"/>
      <c r="M177" s="1331"/>
      <c r="N177" s="1331"/>
      <c r="O177" s="1331"/>
      <c r="P177" s="1331"/>
      <c r="Q177" s="1331"/>
      <c r="R177" s="1331"/>
      <c r="S177" s="1331"/>
      <c r="T177" s="468">
        <f>ROW(W177)&gt;ROW(W$177)</f>
        <v>0</v>
      </c>
      <c r="U177" s="1331"/>
      <c r="V177" s="1331"/>
      <c r="W177" s="764" t="s">
        <v>173</v>
      </c>
      <c r="X177" s="1331"/>
      <c r="Y177" s="1331"/>
      <c r="Z177" s="1331"/>
      <c r="AA177" s="422" t="s">
        <v>174</v>
      </c>
      <c r="AB177" s="4479" t="s">
        <v>240</v>
      </c>
      <c r="AC177" s="4479"/>
      <c r="AD177" s="4479"/>
      <c r="AE177" s="4479"/>
      <c r="AF177" s="4479"/>
      <c r="AG177" s="4479"/>
      <c r="AH177" s="4479"/>
      <c r="AI177" s="4479"/>
      <c r="AJ177" s="4479"/>
      <c r="AK177" s="1602"/>
      <c r="AL177" s="4479"/>
      <c r="AM177" s="4479"/>
      <c r="AN177" s="4479"/>
      <c r="AO177" s="4479"/>
      <c r="AP177" s="4479"/>
      <c r="AQ177" s="4479"/>
      <c r="AR177" s="4479"/>
      <c r="AS177" s="4479"/>
      <c r="AT177" s="4479"/>
      <c r="AU177" s="1602"/>
      <c r="AV177" s="4479"/>
      <c r="AW177" s="4479"/>
      <c r="AX177" s="4479"/>
      <c r="AY177" s="4479"/>
      <c r="AZ177" s="4479"/>
      <c r="BA177" s="4479"/>
      <c r="BB177" s="4479"/>
      <c r="BC177" s="4479"/>
      <c r="BD177" s="4479"/>
      <c r="BE177" s="4479"/>
      <c r="BF177" s="1331"/>
      <c r="BG177" s="1331"/>
      <c r="BH177" s="1245"/>
    </row>
    <row customHeight="1" ht="14.625">
      <c r="E178" s="623">
        <v>15</v>
      </c>
      <c r="W178" s="764" t="s">
        <v>421</v>
      </c>
      <c r="AB178" s="653"/>
      <c r="AC178" s="517" t="s">
        <v>422</v>
      </c>
      <c r="AD178" s="306"/>
      <c r="AE178" s="306"/>
      <c r="AF178" s="306"/>
      <c r="AG178" s="306"/>
      <c r="AH178" s="306"/>
      <c r="AI178" s="306"/>
      <c r="AJ178" s="306"/>
      <c r="AK178" s="306"/>
      <c r="AL178" s="306"/>
      <c r="AM178" s="306"/>
      <c r="AN178" s="306"/>
      <c r="AO178" s="306"/>
      <c r="AP178" s="306"/>
      <c r="AQ178" s="306"/>
      <c r="AR178" s="306"/>
      <c r="AS178" s="306"/>
      <c r="AT178" s="306"/>
      <c r="AU178" s="306"/>
      <c r="AV178" s="306"/>
      <c r="AW178" s="306"/>
      <c r="AX178" s="306"/>
      <c r="AY178" s="306"/>
      <c r="AZ178" s="306"/>
      <c r="BA178" s="306"/>
      <c r="BB178" s="306"/>
      <c r="BC178" s="306"/>
      <c r="BD178" s="306"/>
      <c r="BE178" s="271"/>
    </row>
    <row customHeight="1" ht="10.725000000000001">
      <c r="E179" s="623">
        <v>11</v>
      </c>
      <c r="AK179" s="1331"/>
      <c r="AL179" s="1331"/>
      <c r="AM179" s="1331"/>
      <c r="AN179" s="1331"/>
      <c r="AO179" s="1331"/>
      <c r="AP179" s="1331"/>
      <c r="AQ179" s="1331"/>
      <c r="AR179" s="1331"/>
      <c r="AS179" s="1331"/>
      <c r="AT179" s="1331"/>
      <c r="AU179" s="1331"/>
      <c r="AV179" s="1331"/>
      <c r="AW179" s="1331"/>
      <c r="AX179" s="1331"/>
      <c r="AY179" s="1331"/>
      <c r="AZ179" s="1331"/>
      <c r="BA179" s="1331"/>
      <c r="BB179" s="1331"/>
      <c r="BC179" s="1331"/>
      <c r="BD179" s="1331"/>
      <c r="BF179" s="428"/>
    </row>
  </sheetData>
  <sheetProtection formatColumns="0" formatRows="0" insertRows="0" deleteColumns="0" deleteRows="0" sort="0" autoFilter="0" insertColumns="1"/>
  <mergeCells count="16">
    <mergeCell ref="X58:X86"/>
    <mergeCell ref="Z58:Z86"/>
    <mergeCell ref="AB24:AC24"/>
    <mergeCell ref="BE26:BE27"/>
    <mergeCell ref="AB175:BE175"/>
    <mergeCell ref="AB176:BE176"/>
    <mergeCell ref="AB26:AB27"/>
    <mergeCell ref="AC26:AC27"/>
    <mergeCell ref="AD26:AD27"/>
    <mergeCell ref="AB177:BE177"/>
    <mergeCell ref="X87:X115"/>
    <mergeCell ref="Z87:Z115"/>
    <mergeCell ref="X116:X144"/>
    <mergeCell ref="Z116:Z144"/>
    <mergeCell ref="X145:X173"/>
    <mergeCell ref="Z145:Z173"/>
  </mergeCells>
  <dataValidations count="1">
    <dataValidation type="list" allowBlank="1" showInputMessage="1" showErrorMessage="1" errorTitle="Внимание" error="Пожалуйста, выберите значение из списка!" sqref="AD24">
      <formula1>YES_NO</formula1>
    </dataValidation>
  </dataValidations>
  <pageMargins left="0.35" right="0.35" top="0.40" bottom="0.40" header="0.31" footer="0.31"/>
  <pageSetup paperSize="9" scale="46" fitToHeight="0" pageOrder="downThenOver" orientation="landscape"/>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9EC4F04-6B9B-03D8-A66A-1707F4118988}" mc:Ignorable="x14ac xr xr2 xr3">
  <sheetPr>
    <tabColor rgb="FF002060"/>
    <outlinePr summaryRight="0" summaryBelow="0"/>
  </sheetPr>
  <dimension ref="A1:BB64"/>
  <sheetViews>
    <sheetView showGridLines="0" workbookViewId="0">
      <pane xSplit="30" ySplit="25" topLeftCell="AE35" activePane="bottomRight" state="frozen"/>
      <selection pane="bottomLeft" activeCell="A26" sqref="A26"/>
      <selection pane="topRight" activeCell="AE1" sqref="AE1"/>
      <selection pane="bottomRight" activeCell="AA21" sqref="AA21"/>
    </sheetView>
  </sheetViews>
  <sheetFormatPr defaultColWidth="9.140625" customHeight="1" defaultRowHeight="11.25"/>
  <cols>
    <col min="1" max="1" style="1331" width="3.57421875" hidden="1" customWidth="1"/>
    <col min="2" max="2" style="1223" width="8.57421875" hidden="1" customWidth="1"/>
    <col min="3" max="4" style="1331" width="3.57421875" hidden="1" customWidth="1"/>
    <col min="5" max="5" style="1182" width="3.57421875" hidden="1" customWidth="1"/>
    <col min="6" max="19" style="1331" width="3.57421875" hidden="1" customWidth="1"/>
    <col min="20" max="20" style="1331" width="8.421875" hidden="1" customWidth="1"/>
    <col min="21" max="21" style="1331" width="5.8515625" hidden="1" customWidth="1"/>
    <col min="22" max="23" style="1331" width="6.140625" hidden="1" customWidth="1"/>
    <col min="24" max="25" style="1331" width="5.57421875" hidden="1" customWidth="1"/>
    <col min="26" max="26" style="1331" width="5.28125" hidden="1" customWidth="1"/>
    <col min="27" max="27" style="1331" width="3.00390625" customWidth="1"/>
    <col min="28" max="28" style="1331" width="11.00390625" customWidth="1"/>
    <col min="29" max="29" style="1331" width="50.00390625" customWidth="1"/>
    <col min="30" max="30" style="1331" width="10.00390625" customWidth="1"/>
    <col min="31" max="31" style="1331" width="12.57421875" customWidth="1"/>
    <col min="32" max="40" style="1331" width="12.57421875" hidden="1" customWidth="1"/>
    <col min="41" max="41" style="1331" width="12.57421875" customWidth="1"/>
    <col min="42" max="50" style="1331" width="12.57421875" hidden="1" customWidth="1"/>
    <col min="51" max="51" style="1331" width="20.00390625" customWidth="1"/>
    <col min="52" max="52" style="1331" width="3.00390625" customWidth="1"/>
    <col min="53" max="53" style="1331" width="9.140625" hidden="1"/>
    <col min="54" max="54" style="1245" width="9.140625" hidden="1"/>
  </cols>
  <sheetData>
    <row customHeight="1" ht="11.25" hidden="1">
      <c r="E1" s="118"/>
      <c r="F1" s="118" t="s">
        <v>333</v>
      </c>
      <c r="G1" s="118" t="s">
        <v>343</v>
      </c>
      <c r="T1" s="468" t="s">
        <v>93</v>
      </c>
      <c r="U1" s="468" t="s">
        <v>98</v>
      </c>
      <c r="V1" s="468" t="s">
        <v>94</v>
      </c>
      <c r="W1" s="468" t="s">
        <v>95</v>
      </c>
      <c r="X1" s="468" t="s">
        <v>96</v>
      </c>
      <c r="Y1" s="470" t="s">
        <v>335</v>
      </c>
      <c r="Z1" s="468" t="s">
        <v>100</v>
      </c>
      <c r="AA1" s="469" t="s">
        <v>97</v>
      </c>
      <c r="AB1" s="81"/>
      <c r="AC1" s="469" t="s">
        <v>99</v>
      </c>
      <c r="AE1" s="1331"/>
      <c r="AF1" s="1331"/>
      <c r="AG1" s="1331"/>
      <c r="AH1" s="1331"/>
      <c r="AI1" s="1331"/>
      <c r="AJ1" s="1331"/>
      <c r="AK1" s="1331"/>
      <c r="AL1" s="1331"/>
      <c r="AM1" s="1331"/>
      <c r="AN1" s="1331"/>
      <c r="AO1" s="1331"/>
      <c r="AP1" s="1331"/>
      <c r="AQ1" s="1331"/>
      <c r="AR1" s="1331"/>
      <c r="AS1" s="1331"/>
      <c r="AT1" s="1331"/>
      <c r="AU1" s="1331"/>
      <c r="AV1" s="1331"/>
      <c r="AW1" s="1331"/>
      <c r="AX1" s="1331"/>
      <c r="BB1" s="1005" t="s">
        <v>336</v>
      </c>
    </row>
    <row s="1223" customFormat="1" customHeight="1" ht="11.25" hidden="1">
      <c r="B2" s="448" t="s">
        <v>19</v>
      </c>
      <c r="AE2" s="448">
        <f>AE6&lt;=last_year_vis</f>
        <v>1</v>
      </c>
      <c r="AF2" s="448">
        <f>AF6&lt;=last_year_vis</f>
        <v>0</v>
      </c>
      <c r="AG2" s="448">
        <f>AG6&lt;=last_year_vis</f>
        <v>0</v>
      </c>
      <c r="AH2" s="448">
        <f>AH6&lt;=last_year_vis</f>
        <v>0</v>
      </c>
      <c r="AI2" s="448">
        <f>AI6&lt;=last_year_vis</f>
        <v>0</v>
      </c>
      <c r="AJ2" s="448">
        <f>AJ6&lt;=last_year_vis</f>
        <v>0</v>
      </c>
      <c r="AK2" s="448">
        <f>AK6&lt;=last_year_vis</f>
        <v>0</v>
      </c>
      <c r="AL2" s="448">
        <f>AL6&lt;=last_year_vis</f>
        <v>0</v>
      </c>
      <c r="AM2" s="448">
        <f>AM6&lt;=last_year_vis</f>
        <v>0</v>
      </c>
      <c r="AN2" s="448">
        <f>AN6&lt;=last_year_vis</f>
        <v>0</v>
      </c>
      <c r="AO2" s="448">
        <f>AO6&lt;=last_year_vis</f>
        <v>1</v>
      </c>
      <c r="AP2" s="448">
        <f>AP6&lt;=last_year_vis</f>
        <v>0</v>
      </c>
      <c r="AQ2" s="448">
        <f>AQ6&lt;=last_year_vis</f>
        <v>0</v>
      </c>
      <c r="AR2" s="448">
        <f>AR6&lt;=last_year_vis</f>
        <v>0</v>
      </c>
      <c r="AS2" s="448">
        <f>AS6&lt;=last_year_vis</f>
        <v>0</v>
      </c>
      <c r="AT2" s="448">
        <f>AT6&lt;=last_year_vis</f>
        <v>0</v>
      </c>
      <c r="AU2" s="448">
        <f>AU6&lt;=last_year_vis</f>
        <v>0</v>
      </c>
      <c r="AV2" s="448">
        <f>AV6&lt;=last_year_vis</f>
        <v>0</v>
      </c>
      <c r="AW2" s="448">
        <f>AW6&lt;=last_year_vis</f>
        <v>0</v>
      </c>
      <c r="AX2" s="448">
        <f>AX6&lt;=last_year_vis</f>
        <v>0</v>
      </c>
      <c r="BB2" s="1017"/>
    </row>
    <row customHeight="1" ht="11.25" hidden="1">
      <c r="E3" s="118"/>
      <c r="AE3" s="1331"/>
      <c r="AF3" s="1331"/>
      <c r="AG3" s="1331"/>
      <c r="AH3" s="1331"/>
      <c r="AI3" s="1331"/>
      <c r="AJ3" s="1331"/>
      <c r="AK3" s="1331"/>
      <c r="AL3" s="1331"/>
      <c r="AM3" s="1331"/>
      <c r="AN3" s="1331"/>
      <c r="AO3" s="1331"/>
      <c r="AP3" s="1331"/>
      <c r="AQ3" s="1331"/>
      <c r="AR3" s="1331"/>
      <c r="AS3" s="1331"/>
      <c r="AT3" s="1331"/>
      <c r="AU3" s="1331"/>
      <c r="AV3" s="1331"/>
      <c r="AW3" s="1331"/>
      <c r="AX3" s="1331"/>
    </row>
    <row customHeight="1" ht="11.25" hidden="1">
      <c r="E4" s="118"/>
      <c r="AE4" s="1331"/>
      <c r="AF4" s="1331"/>
      <c r="AG4" s="1331"/>
      <c r="AH4" s="1331"/>
      <c r="AI4" s="1331"/>
      <c r="AJ4" s="1331"/>
      <c r="AK4" s="1331"/>
      <c r="AL4" s="1331"/>
      <c r="AM4" s="1331"/>
      <c r="AN4" s="1331"/>
      <c r="AO4" s="1331"/>
      <c r="AP4" s="1331"/>
      <c r="AQ4" s="1331"/>
      <c r="AR4" s="1331"/>
      <c r="AS4" s="1331"/>
      <c r="AT4" s="1331"/>
      <c r="AU4" s="1331"/>
      <c r="AV4" s="1331"/>
      <c r="AW4" s="1331"/>
      <c r="AX4" s="1331"/>
    </row>
    <row s="1182" customFormat="1" customHeight="1" ht="11.25" hidden="1">
      <c r="A5" s="118"/>
      <c r="B5" s="430"/>
      <c r="C5" s="118"/>
      <c r="D5" s="118"/>
      <c r="E5" s="623" t="s">
        <v>20</v>
      </c>
      <c r="AA5" s="623">
        <v>3</v>
      </c>
      <c r="AB5" s="623">
        <v>11</v>
      </c>
      <c r="AC5" s="623">
        <v>50</v>
      </c>
      <c r="AD5" s="623">
        <v>10</v>
      </c>
      <c r="AE5" s="623">
        <v>12.57</v>
      </c>
      <c r="AF5" s="623">
        <v>12.57</v>
      </c>
      <c r="AG5" s="623">
        <v>12.57</v>
      </c>
      <c r="AH5" s="623">
        <v>12.57</v>
      </c>
      <c r="AI5" s="623">
        <v>12.57</v>
      </c>
      <c r="AJ5" s="623">
        <v>12.57</v>
      </c>
      <c r="AK5" s="623">
        <v>12.57</v>
      </c>
      <c r="AL5" s="623">
        <v>12.57</v>
      </c>
      <c r="AM5" s="623">
        <v>12.57</v>
      </c>
      <c r="AN5" s="623">
        <v>12.57</v>
      </c>
      <c r="AO5" s="623">
        <v>12.57</v>
      </c>
      <c r="AP5" s="623">
        <v>12.57</v>
      </c>
      <c r="AQ5" s="623">
        <v>12.57</v>
      </c>
      <c r="AR5" s="623">
        <v>12.57</v>
      </c>
      <c r="AS5" s="623">
        <v>12.57</v>
      </c>
      <c r="AT5" s="623">
        <v>12.57</v>
      </c>
      <c r="AU5" s="623">
        <v>12.57</v>
      </c>
      <c r="AV5" s="623">
        <v>12.57</v>
      </c>
      <c r="AW5" s="623">
        <v>12.57</v>
      </c>
      <c r="AX5" s="623">
        <v>12.57</v>
      </c>
      <c r="AY5" s="623">
        <v>20</v>
      </c>
      <c r="AZ5" s="623">
        <v>3</v>
      </c>
      <c r="BB5" s="1005"/>
    </row>
    <row customHeight="1" ht="11.25" hidden="1">
      <c r="A6" s="118" t="s">
        <v>371</v>
      </c>
      <c r="AE6" s="94" cm="1" t="str">
        <f t="array" ref="AE6:AE6">god</f>
        <v>2026</v>
      </c>
      <c r="AF6" s="94">
        <f>god+1</f>
        <v>2027</v>
      </c>
      <c r="AG6" s="94">
        <f>god+2</f>
        <v>2028</v>
      </c>
      <c r="AH6" s="94">
        <f>god+3</f>
        <v>2029</v>
      </c>
      <c r="AI6" s="94">
        <f>god+4</f>
        <v>2030</v>
      </c>
      <c r="AJ6" s="94">
        <f>god+5</f>
        <v>2031</v>
      </c>
      <c r="AK6" s="94">
        <f>god+6</f>
        <v>2032</v>
      </c>
      <c r="AL6" s="94">
        <f>god+7</f>
        <v>2033</v>
      </c>
      <c r="AM6" s="94">
        <f>god+8</f>
        <v>2034</v>
      </c>
      <c r="AN6" s="94">
        <f>god+9</f>
        <v>2035</v>
      </c>
      <c r="AO6" s="94" cm="1" t="str">
        <f t="array" ref="AO6:AO6">god</f>
        <v>2026</v>
      </c>
      <c r="AP6" s="94">
        <f>god+1</f>
        <v>2027</v>
      </c>
      <c r="AQ6" s="94">
        <f>god+2</f>
        <v>2028</v>
      </c>
      <c r="AR6" s="94">
        <f>god+3</f>
        <v>2029</v>
      </c>
      <c r="AS6" s="94">
        <f>god+4</f>
        <v>2030</v>
      </c>
      <c r="AT6" s="94">
        <f>god+5</f>
        <v>2031</v>
      </c>
      <c r="AU6" s="94">
        <f>god+6</f>
        <v>2032</v>
      </c>
      <c r="AV6" s="94">
        <f>god+7</f>
        <v>2033</v>
      </c>
      <c r="AW6" s="94">
        <f>god+8</f>
        <v>2034</v>
      </c>
      <c r="AX6" s="94">
        <f>god+9</f>
        <v>2035</v>
      </c>
    </row>
    <row customHeight="1" ht="11.25" hidden="1">
      <c r="A7" s="118" t="s">
        <v>372</v>
      </c>
      <c r="AE7" s="94" cm="1" t="str">
        <f t="array" ref="AE7:AE7">AE25</f>
        <v>Предложения организации</v>
      </c>
      <c r="AF7" s="94" cm="1" t="str">
        <f t="array" ref="AF7:AF7">AF25</f>
        <v>Предложения организации</v>
      </c>
      <c r="AG7" s="94" cm="1" t="str">
        <f t="array" ref="AG7:AG7">AG25</f>
        <v>Предложения организации</v>
      </c>
      <c r="AH7" s="94" cm="1" t="str">
        <f t="array" ref="AH7:AH7">AH25</f>
        <v>Предложения организации</v>
      </c>
      <c r="AI7" s="94" cm="1" t="str">
        <f t="array" ref="AI7:AI7">AI25</f>
        <v>Предложения организации</v>
      </c>
      <c r="AJ7" s="94" cm="1" t="str">
        <f t="array" ref="AJ7:AJ7">AJ25</f>
        <v>Предложения организации</v>
      </c>
      <c r="AK7" s="94" cm="1" t="str">
        <f t="array" ref="AK7:AK7">AK25</f>
        <v>Предложения организации</v>
      </c>
      <c r="AL7" s="94" cm="1" t="str">
        <f t="array" ref="AL7:AL7">AL25</f>
        <v>Предложения организации</v>
      </c>
      <c r="AM7" s="94" cm="1" t="str">
        <f t="array" ref="AM7:AM7">AM25</f>
        <v>Предложения организации</v>
      </c>
      <c r="AN7" s="94" cm="1" t="str">
        <f t="array" ref="AN7:AN7">AN25</f>
        <v>Предложения организации</v>
      </c>
      <c r="AO7" s="94" cm="1" t="str">
        <f t="array" ref="AO7:AO7">AO25</f>
        <v>Принято органом регулирования</v>
      </c>
      <c r="AP7" s="94" cm="1" t="str">
        <f t="array" ref="AP7:AP7">AP25</f>
        <v>Принято органом регулирования</v>
      </c>
      <c r="AQ7" s="94" cm="1" t="str">
        <f t="array" ref="AQ7:AQ7">AQ25</f>
        <v>Принято органом регулирования</v>
      </c>
      <c r="AR7" s="94" cm="1" t="str">
        <f t="array" ref="AR7:AR7">AR25</f>
        <v>Принято органом регулирования</v>
      </c>
      <c r="AS7" s="94" cm="1" t="str">
        <f t="array" ref="AS7:AS7">AS25</f>
        <v>Принято органом регулирования</v>
      </c>
      <c r="AT7" s="94" cm="1" t="str">
        <f t="array" ref="AT7:AT7">AT25</f>
        <v>Принято органом регулирования</v>
      </c>
      <c r="AU7" s="94" cm="1" t="str">
        <f t="array" ref="AU7:AU7">AU25</f>
        <v>Принято органом регулирования</v>
      </c>
      <c r="AV7" s="94" cm="1" t="str">
        <f t="array" ref="AV7:AV7">AV25</f>
        <v>Принято органом регулирования</v>
      </c>
      <c r="AW7" s="94" cm="1" t="str">
        <f t="array" ref="AW7:AW7">AW25</f>
        <v>Принято органом регулирования</v>
      </c>
      <c r="AX7" s="94" cm="1" t="str">
        <f t="array" ref="AX7:AX7">AX25</f>
        <v>Принято органом регулирования</v>
      </c>
    </row>
    <row customHeight="1" ht="11.25" hidden="1">
      <c r="AE8" s="1331"/>
      <c r="AF8" s="1331"/>
      <c r="AG8" s="1331"/>
      <c r="AH8" s="1331"/>
      <c r="AI8" s="1331"/>
      <c r="AJ8" s="1331"/>
      <c r="AK8" s="1331"/>
      <c r="AL8" s="1331"/>
      <c r="AM8" s="1331"/>
      <c r="AN8" s="1331"/>
      <c r="AO8" s="1331"/>
      <c r="AP8" s="1331"/>
      <c r="AQ8" s="1331"/>
      <c r="AR8" s="1331"/>
      <c r="AS8" s="1331"/>
      <c r="AT8" s="1331"/>
      <c r="AU8" s="1331"/>
      <c r="AV8" s="1331"/>
      <c r="AW8" s="1331"/>
      <c r="AX8" s="1331"/>
    </row>
    <row s="1245" customFormat="1" customHeight="1" ht="11.25" hidden="1">
      <c r="A9" s="1005" t="s">
        <v>376</v>
      </c>
      <c r="B9" s="1017"/>
      <c r="AE9" s="1005" cm="1" t="str">
        <f t="array" ref="AE9:AE9">AE6</f>
        <v>2026</v>
      </c>
      <c r="AF9" s="1005" cm="1" t="str">
        <f t="array" ref="AF9:AF9">AF6</f>
        <v>2027</v>
      </c>
      <c r="AG9" s="1005" cm="1" t="str">
        <f t="array" ref="AG9:AG9">AG6</f>
        <v>2028</v>
      </c>
      <c r="AH9" s="1005" cm="1" t="str">
        <f t="array" ref="AH9:AH9">AH6</f>
        <v>2029</v>
      </c>
      <c r="AI9" s="1005" cm="1" t="str">
        <f t="array" ref="AI9:AI9">AI6</f>
        <v>2030</v>
      </c>
      <c r="AJ9" s="1005" cm="1" t="str">
        <f t="array" ref="AJ9:AJ9">AJ6</f>
        <v>2031</v>
      </c>
      <c r="AK9" s="1005" cm="1" t="str">
        <f t="array" ref="AK9:AK9">AK6</f>
        <v>2032</v>
      </c>
      <c r="AL9" s="1005" cm="1" t="str">
        <f t="array" ref="AL9:AL9">AL6</f>
        <v>2033</v>
      </c>
      <c r="AM9" s="1005" cm="1" t="str">
        <f t="array" ref="AM9:AM9">AM6</f>
        <v>2034</v>
      </c>
      <c r="AN9" s="1005" cm="1" t="str">
        <f t="array" ref="AN9:AN9">AN6</f>
        <v>2035</v>
      </c>
      <c r="AO9" s="1005" cm="1" t="str">
        <f t="array" ref="AO9:AO9">AO6</f>
        <v>2026</v>
      </c>
      <c r="AP9" s="1005" cm="1" t="str">
        <f t="array" ref="AP9:AP9">AP6</f>
        <v>2027</v>
      </c>
      <c r="AQ9" s="1005" cm="1" t="str">
        <f t="array" ref="AQ9:AQ9">AQ6</f>
        <v>2028</v>
      </c>
      <c r="AR9" s="1005" cm="1" t="str">
        <f t="array" ref="AR9:AR9">AR6</f>
        <v>2029</v>
      </c>
      <c r="AS9" s="1005" cm="1" t="str">
        <f t="array" ref="AS9:AS9">AS6</f>
        <v>2030</v>
      </c>
      <c r="AT9" s="1005" cm="1" t="str">
        <f t="array" ref="AT9:AT9">AT6</f>
        <v>2031</v>
      </c>
      <c r="AU9" s="1005" cm="1" t="str">
        <f t="array" ref="AU9:AU9">AU6</f>
        <v>2032</v>
      </c>
      <c r="AV9" s="1005" cm="1" t="str">
        <f t="array" ref="AV9:AV9">AV6</f>
        <v>2033</v>
      </c>
      <c r="AW9" s="1005" cm="1" t="str">
        <f t="array" ref="AW9:AW9">AW6</f>
        <v>2034</v>
      </c>
      <c r="AX9" s="1005" cm="1" t="str">
        <f t="array" ref="AX9:AX9">AX6</f>
        <v>2035</v>
      </c>
    </row>
    <row s="1245" customFormat="1" customHeight="1" ht="11.25" hidden="1">
      <c r="A10" s="1005" t="s">
        <v>377</v>
      </c>
      <c r="B10" s="1017"/>
      <c r="AE10" s="1005" cm="1" t="str">
        <f t="array" ref="AE10:AE10">AE25</f>
        <v>Предложения организации</v>
      </c>
      <c r="AF10" s="1005" cm="1" t="str">
        <f t="array" ref="AF10:AF10">AF25</f>
        <v>Предложения организации</v>
      </c>
      <c r="AG10" s="1005" cm="1" t="str">
        <f t="array" ref="AG10:AG10">AG25</f>
        <v>Предложения организации</v>
      </c>
      <c r="AH10" s="1005" cm="1" t="str">
        <f t="array" ref="AH10:AH10">AH25</f>
        <v>Предложения организации</v>
      </c>
      <c r="AI10" s="1005" cm="1" t="str">
        <f t="array" ref="AI10:AI10">AI25</f>
        <v>Предложения организации</v>
      </c>
      <c r="AJ10" s="1005" cm="1" t="str">
        <f t="array" ref="AJ10:AJ10">AJ25</f>
        <v>Предложения организации</v>
      </c>
      <c r="AK10" s="1005" cm="1" t="str">
        <f t="array" ref="AK10:AK10">AK25</f>
        <v>Предложения организации</v>
      </c>
      <c r="AL10" s="1005" cm="1" t="str">
        <f t="array" ref="AL10:AL10">AL25</f>
        <v>Предложения организации</v>
      </c>
      <c r="AM10" s="1005" cm="1" t="str">
        <f t="array" ref="AM10:AM10">AM25</f>
        <v>Предложения организации</v>
      </c>
      <c r="AN10" s="1005" cm="1" t="str">
        <f t="array" ref="AN10:AN10">AN25</f>
        <v>Предложения организации</v>
      </c>
      <c r="AO10" s="1005" cm="1" t="str">
        <f t="array" ref="AO10:AO10">AO25</f>
        <v>Принято органом регулирования</v>
      </c>
      <c r="AP10" s="1005" cm="1" t="str">
        <f t="array" ref="AP10:AP10">AP25</f>
        <v>Принято органом регулирования</v>
      </c>
      <c r="AQ10" s="1005" cm="1" t="str">
        <f t="array" ref="AQ10:AQ10">AQ25</f>
        <v>Принято органом регулирования</v>
      </c>
      <c r="AR10" s="1005" cm="1" t="str">
        <f t="array" ref="AR10:AR10">AR25</f>
        <v>Принято органом регулирования</v>
      </c>
      <c r="AS10" s="1005" cm="1" t="str">
        <f t="array" ref="AS10:AS10">AS25</f>
        <v>Принято органом регулирования</v>
      </c>
      <c r="AT10" s="1005" cm="1" t="str">
        <f t="array" ref="AT10:AT10">AT25</f>
        <v>Принято органом регулирования</v>
      </c>
      <c r="AU10" s="1005" cm="1" t="str">
        <f t="array" ref="AU10:AU10">AU25</f>
        <v>Принято органом регулирования</v>
      </c>
      <c r="AV10" s="1005" cm="1" t="str">
        <f t="array" ref="AV10:AV10">AV25</f>
        <v>Принято органом регулирования</v>
      </c>
      <c r="AW10" s="1005" cm="1" t="str">
        <f t="array" ref="AW10:AW10">AW25</f>
        <v>Принято органом регулирования</v>
      </c>
      <c r="AX10" s="1005" cm="1" t="str">
        <f t="array" ref="AX10:AX10">AX25</f>
        <v>Принято органом регулирования</v>
      </c>
    </row>
    <row s="1245" customFormat="1" customHeight="1" ht="11.25" hidden="1">
      <c r="A11" s="1005" t="s">
        <v>378</v>
      </c>
      <c r="B11" s="1017"/>
      <c r="AE11" s="1245"/>
      <c r="AF11" s="1245"/>
      <c r="AG11" s="1245"/>
      <c r="AH11" s="1245"/>
      <c r="AI11" s="1245"/>
      <c r="AJ11" s="1245"/>
      <c r="AK11" s="1245"/>
      <c r="AL11" s="1245"/>
      <c r="AM11" s="1245"/>
      <c r="AN11" s="1245"/>
      <c r="AO11" s="1245"/>
      <c r="AP11" s="1245"/>
      <c r="AQ11" s="1245"/>
      <c r="AR11" s="1245"/>
      <c r="AS11" s="1245"/>
      <c r="AT11" s="1245"/>
      <c r="AU11" s="1245"/>
      <c r="AV11" s="1245"/>
      <c r="AW11" s="1245"/>
      <c r="AX11" s="1245"/>
      <c r="AY11" s="1005" cm="1" t="str">
        <f t="array" ref="AY11:AY11">AY24</f>
        <v>Ссылка на правовую норму (основание для принятия показателя в расчет тарифа)</v>
      </c>
    </row>
    <row customHeight="1" ht="11.25" hidden="1">
      <c r="AE12" s="1331"/>
      <c r="AF12" s="1331"/>
      <c r="AG12" s="1331"/>
      <c r="AH12" s="1331"/>
      <c r="AI12" s="1331"/>
      <c r="AJ12" s="1331"/>
      <c r="AK12" s="1331"/>
      <c r="AL12" s="1331"/>
      <c r="AM12" s="1331"/>
      <c r="AN12" s="1331"/>
      <c r="AO12" s="1331"/>
      <c r="AP12" s="1331"/>
      <c r="AQ12" s="1331"/>
      <c r="AR12" s="1331"/>
      <c r="AS12" s="1331"/>
      <c r="AT12" s="1331"/>
      <c r="AU12" s="1331"/>
      <c r="AV12" s="1331"/>
      <c r="AW12" s="1331"/>
      <c r="AX12" s="1331"/>
    </row>
    <row customHeight="1" ht="11.25" hidden="1">
      <c r="AE13" s="94"/>
      <c r="AF13" s="94"/>
      <c r="AG13" s="94"/>
      <c r="AH13" s="94"/>
      <c r="AI13" s="94"/>
      <c r="AJ13" s="94"/>
      <c r="AK13" s="94"/>
      <c r="AL13" s="94"/>
      <c r="AM13" s="94"/>
      <c r="AN13" s="94"/>
      <c r="AO13" s="94"/>
      <c r="AP13" s="94"/>
      <c r="AQ13" s="94"/>
      <c r="AR13" s="94"/>
      <c r="AS13" s="94"/>
      <c r="AT13" s="94"/>
      <c r="AU13" s="94"/>
      <c r="AV13" s="94"/>
      <c r="AW13" s="94"/>
      <c r="AX13" s="94"/>
    </row>
    <row customHeight="1" ht="11.25" hidden="1">
      <c r="AE14" s="94"/>
      <c r="AF14" s="94"/>
      <c r="AG14" s="94"/>
      <c r="AH14" s="94"/>
      <c r="AI14" s="94"/>
      <c r="AJ14" s="94"/>
      <c r="AK14" s="94"/>
      <c r="AL14" s="94"/>
      <c r="AM14" s="94"/>
      <c r="AN14" s="94"/>
      <c r="AO14" s="94"/>
      <c r="AP14" s="94"/>
      <c r="AQ14" s="94"/>
      <c r="AR14" s="94"/>
      <c r="AS14" s="94"/>
      <c r="AT14" s="94"/>
      <c r="AU14" s="94"/>
      <c r="AV14" s="94"/>
      <c r="AW14" s="94"/>
      <c r="AX14" s="94"/>
    </row>
    <row customHeight="1" ht="11.25" hidden="1">
      <c r="AE15" s="94"/>
      <c r="AF15" s="94"/>
      <c r="AG15" s="94"/>
      <c r="AH15" s="94"/>
      <c r="AI15" s="94"/>
      <c r="AJ15" s="94"/>
      <c r="AK15" s="94"/>
      <c r="AL15" s="94"/>
      <c r="AM15" s="94"/>
      <c r="AN15" s="94"/>
      <c r="AO15" s="94"/>
      <c r="AP15" s="94"/>
      <c r="AQ15" s="94"/>
      <c r="AR15" s="94"/>
      <c r="AS15" s="94"/>
      <c r="AT15" s="94"/>
      <c r="AU15" s="94"/>
      <c r="AV15" s="94"/>
      <c r="AW15" s="94"/>
      <c r="AX15" s="94"/>
    </row>
    <row customHeight="1" ht="11.25" hidden="1">
      <c r="AE16" s="94"/>
      <c r="AF16" s="94"/>
      <c r="AG16" s="94"/>
      <c r="AH16" s="94"/>
      <c r="AI16" s="94"/>
      <c r="AJ16" s="94"/>
      <c r="AK16" s="94"/>
      <c r="AL16" s="94"/>
      <c r="AM16" s="94"/>
      <c r="AN16" s="94"/>
      <c r="AO16" s="94"/>
      <c r="AP16" s="94"/>
      <c r="AQ16" s="94"/>
      <c r="AR16" s="94"/>
      <c r="AS16" s="94"/>
      <c r="AT16" s="94"/>
      <c r="AU16" s="94"/>
      <c r="AV16" s="94"/>
      <c r="AW16" s="94"/>
      <c r="AX16" s="94"/>
    </row>
    <row customHeight="1" ht="11.25" hidden="1">
      <c r="AE17" s="1331"/>
      <c r="AF17" s="1331"/>
      <c r="AG17" s="1331"/>
      <c r="AH17" s="1331"/>
      <c r="AI17" s="1331"/>
      <c r="AJ17" s="1331"/>
      <c r="AK17" s="1331"/>
      <c r="AL17" s="1331"/>
      <c r="AM17" s="1331"/>
      <c r="AN17" s="1331"/>
      <c r="AO17" s="1331"/>
      <c r="AP17" s="1331"/>
      <c r="AQ17" s="1331"/>
      <c r="AR17" s="1331"/>
      <c r="AS17" s="1331"/>
      <c r="AT17" s="1331"/>
      <c r="AU17" s="1331"/>
      <c r="AV17" s="1331"/>
      <c r="AW17" s="1331"/>
      <c r="AX17" s="1331"/>
    </row>
    <row customHeight="1" ht="11.25" hidden="1">
      <c r="AE18" s="1331"/>
      <c r="AF18" s="1331"/>
      <c r="AG18" s="1331"/>
      <c r="AH18" s="1331"/>
      <c r="AI18" s="1331"/>
      <c r="AJ18" s="1331"/>
      <c r="AK18" s="1331"/>
      <c r="AL18" s="1331"/>
      <c r="AM18" s="1331"/>
      <c r="AN18" s="1331"/>
      <c r="AO18" s="1331"/>
      <c r="AP18" s="1331"/>
      <c r="AQ18" s="1331"/>
      <c r="AR18" s="1331"/>
      <c r="AS18" s="1331"/>
      <c r="AT18" s="1331"/>
      <c r="AU18" s="1331"/>
      <c r="AV18" s="1331"/>
      <c r="AW18" s="1331"/>
      <c r="AX18" s="1331"/>
    </row>
    <row customHeight="1" ht="11.25" hidden="1">
      <c r="AE19" s="1331"/>
      <c r="AF19" s="1331"/>
      <c r="AG19" s="1331"/>
      <c r="AH19" s="1331"/>
      <c r="AI19" s="1331"/>
      <c r="AJ19" s="1331"/>
      <c r="AK19" s="1331"/>
      <c r="AL19" s="1331"/>
      <c r="AM19" s="1331"/>
      <c r="AN19" s="1331"/>
      <c r="AO19" s="1331"/>
      <c r="AP19" s="1331"/>
      <c r="AQ19" s="1331"/>
      <c r="AR19" s="1331"/>
      <c r="AS19" s="1331"/>
      <c r="AT19" s="1331"/>
      <c r="AU19" s="1331"/>
      <c r="AV19" s="1331"/>
      <c r="AW19" s="1331"/>
      <c r="AX19" s="1331"/>
    </row>
    <row customHeight="1" ht="11.25" hidden="1">
      <c r="AE20" s="1331"/>
      <c r="AF20" s="1331"/>
      <c r="AG20" s="1331"/>
      <c r="AH20" s="1331"/>
      <c r="AI20" s="1331"/>
      <c r="AJ20" s="1331"/>
      <c r="AK20" s="1331"/>
      <c r="AL20" s="1331"/>
      <c r="AM20" s="1331"/>
      <c r="AN20" s="1331"/>
      <c r="AO20" s="1331"/>
      <c r="AP20" s="1331"/>
      <c r="AQ20" s="1331"/>
      <c r="AR20" s="1331"/>
      <c r="AS20" s="1331"/>
      <c r="AT20" s="1331"/>
      <c r="AU20" s="1331"/>
      <c r="AV20" s="1331"/>
      <c r="AW20" s="1331"/>
      <c r="AX20" s="1331"/>
    </row>
    <row customHeight="1" ht="14.625">
      <c r="E21" s="623">
        <v>15</v>
      </c>
      <c r="AA21" s="427"/>
      <c r="AB21" s="152"/>
      <c r="AC21" s="50" cm="1" t="str">
        <f t="array" ref="AC21:AC21">tpl_title</f>
        <v>Кемеровская область / 2026 / ОАО «СКЭК» (ИНН:4205153492, КПП:420501001) / ДПР: 2024-2028</v>
      </c>
      <c r="AD21" s="152"/>
      <c r="AE21" s="152"/>
      <c r="AF21" s="152"/>
      <c r="AG21" s="152"/>
      <c r="AH21" s="152"/>
      <c r="AI21" s="152"/>
      <c r="AJ21" s="152"/>
      <c r="AK21" s="152"/>
      <c r="AL21" s="152"/>
      <c r="AM21" s="152"/>
      <c r="AN21" s="152"/>
      <c r="AO21" s="152"/>
      <c r="AP21" s="152"/>
      <c r="AQ21" s="152"/>
      <c r="AR21" s="152"/>
      <c r="AS21" s="152"/>
      <c r="AT21" s="152"/>
      <c r="AU21" s="152"/>
      <c r="AV21" s="152"/>
      <c r="AW21" s="152"/>
      <c r="AX21" s="152"/>
    </row>
    <row customHeight="1" ht="19.5">
      <c r="E22" s="623">
        <v>20</v>
      </c>
      <c r="AB22" s="316" t="s">
        <v>72</v>
      </c>
      <c r="AC22" s="202"/>
      <c r="AD22" s="202"/>
      <c r="AE22" s="202"/>
      <c r="AF22" s="202"/>
      <c r="AG22" s="202"/>
      <c r="AH22" s="202"/>
      <c r="AI22" s="202"/>
      <c r="AJ22" s="202"/>
      <c r="AK22" s="202"/>
      <c r="AL22" s="202"/>
      <c r="AM22" s="202"/>
      <c r="AN22" s="202"/>
      <c r="AO22" s="202"/>
      <c r="AP22" s="202"/>
      <c r="AQ22" s="202"/>
      <c r="AR22" s="202"/>
      <c r="AS22" s="202"/>
      <c r="AT22" s="202"/>
      <c r="AU22" s="202"/>
      <c r="AV22" s="202"/>
      <c r="AW22" s="202"/>
      <c r="AX22" s="202"/>
      <c r="AY22" s="202"/>
    </row>
    <row customHeight="1" ht="10.96875">
      <c r="E23" s="623">
        <v>11.25</v>
      </c>
      <c r="AB23" s="152"/>
      <c r="AC23" s="152"/>
      <c r="AD23" s="152"/>
      <c r="AE23" s="152"/>
      <c r="AF23" s="152"/>
      <c r="AG23" s="152"/>
      <c r="AH23" s="152"/>
      <c r="AI23" s="152"/>
      <c r="AJ23" s="152"/>
      <c r="AK23" s="152"/>
      <c r="AL23" s="152"/>
      <c r="AM23" s="152"/>
      <c r="AN23" s="152"/>
      <c r="AO23" s="152"/>
      <c r="AP23" s="152"/>
      <c r="AQ23" s="152"/>
      <c r="AR23" s="152"/>
      <c r="AS23" s="152"/>
      <c r="AT23" s="152"/>
      <c r="AU23" s="152"/>
      <c r="AV23" s="152"/>
      <c r="AW23" s="152"/>
      <c r="AX23" s="152"/>
    </row>
    <row customHeight="1" ht="20.9625">
      <c r="E24" s="623">
        <v>21.5</v>
      </c>
      <c r="AB24" s="1540" t="s">
        <v>22</v>
      </c>
      <c r="AC24" s="1607" t="s">
        <v>1605</v>
      </c>
      <c r="AD24" s="1607" t="s">
        <v>381</v>
      </c>
      <c r="AE24" s="1127" t="str">
        <f>god&amp;" год"</f>
        <v>2026 год</v>
      </c>
      <c r="AF24" s="1127" t="str">
        <f>god+1&amp;" год"</f>
        <v>2027 год</v>
      </c>
      <c r="AG24" s="1127" t="str">
        <f>god+2&amp;" год"</f>
        <v>2028 год</v>
      </c>
      <c r="AH24" s="1127" t="str">
        <f>god+3&amp;" год"</f>
        <v>2029 год</v>
      </c>
      <c r="AI24" s="1127" t="str">
        <f>god+4&amp;" год"</f>
        <v>2030 год</v>
      </c>
      <c r="AJ24" s="1127" t="str">
        <f>god+5&amp;" год"</f>
        <v>2031 год</v>
      </c>
      <c r="AK24" s="1127" t="str">
        <f>god+6&amp;" год"</f>
        <v>2032 год</v>
      </c>
      <c r="AL24" s="1127" t="str">
        <f>god+7&amp;" год"</f>
        <v>2033 год</v>
      </c>
      <c r="AM24" s="1127" t="str">
        <f>god+8&amp;" год"</f>
        <v>2034 год</v>
      </c>
      <c r="AN24" s="1127" t="str">
        <f>god+9&amp;" год"</f>
        <v>2035 год</v>
      </c>
      <c r="AO24" s="88" t="str">
        <f>god&amp;" год"</f>
        <v>2026 год</v>
      </c>
      <c r="AP24" s="88" t="str">
        <f>god+1&amp;" год"</f>
        <v>2027 год</v>
      </c>
      <c r="AQ24" s="88" t="str">
        <f>god+2&amp;" год"</f>
        <v>2028 год</v>
      </c>
      <c r="AR24" s="88" t="str">
        <f>god+3&amp;" год"</f>
        <v>2029 год</v>
      </c>
      <c r="AS24" s="88" t="str">
        <f>god+4&amp;" год"</f>
        <v>2030 год</v>
      </c>
      <c r="AT24" s="88" t="str">
        <f>god+5&amp;" год"</f>
        <v>2031 год</v>
      </c>
      <c r="AU24" s="88" t="str">
        <f>god+6&amp;" год"</f>
        <v>2032 год</v>
      </c>
      <c r="AV24" s="88" t="str">
        <f>god+7&amp;" год"</f>
        <v>2033 год</v>
      </c>
      <c r="AW24" s="88" t="str">
        <f>god+8&amp;" год"</f>
        <v>2034 год</v>
      </c>
      <c r="AX24" s="88" t="str">
        <f>god+9&amp;" год"</f>
        <v>2035 год</v>
      </c>
      <c r="AY24" s="1601" t="s">
        <v>652</v>
      </c>
    </row>
    <row customHeight="1" ht="56.306250000000006">
      <c r="E25" s="623">
        <v>57.75</v>
      </c>
      <c r="F25" s="428"/>
      <c r="G25" s="428"/>
      <c r="H25" s="428"/>
      <c r="I25" s="428"/>
      <c r="J25" s="428"/>
      <c r="AB25" s="1540"/>
      <c r="AC25" s="1607"/>
      <c r="AD25" s="1607"/>
      <c r="AE25" s="1129" t="s">
        <v>1606</v>
      </c>
      <c r="AF25" s="1129" t="s">
        <v>1606</v>
      </c>
      <c r="AG25" s="1129" t="s">
        <v>1606</v>
      </c>
      <c r="AH25" s="1129" t="s">
        <v>1606</v>
      </c>
      <c r="AI25" s="1129" t="s">
        <v>1606</v>
      </c>
      <c r="AJ25" s="1129" t="s">
        <v>1606</v>
      </c>
      <c r="AK25" s="1129" t="s">
        <v>1606</v>
      </c>
      <c r="AL25" s="1129" t="s">
        <v>1606</v>
      </c>
      <c r="AM25" s="1129" t="s">
        <v>1606</v>
      </c>
      <c r="AN25" s="1129" t="s">
        <v>1606</v>
      </c>
      <c r="AO25" s="87" t="s">
        <v>373</v>
      </c>
      <c r="AP25" s="87" t="s">
        <v>373</v>
      </c>
      <c r="AQ25" s="87" t="s">
        <v>373</v>
      </c>
      <c r="AR25" s="87" t="s">
        <v>373</v>
      </c>
      <c r="AS25" s="87" t="s">
        <v>373</v>
      </c>
      <c r="AT25" s="87" t="s">
        <v>373</v>
      </c>
      <c r="AU25" s="87" t="s">
        <v>373</v>
      </c>
      <c r="AV25" s="87" t="s">
        <v>373</v>
      </c>
      <c r="AW25" s="87" t="s">
        <v>373</v>
      </c>
      <c r="AX25" s="87" t="s">
        <v>373</v>
      </c>
      <c r="AY25" s="1601"/>
    </row>
    <row customHeight="1" ht="11.25" hidden="1">
      <c r="A26" s="0"/>
      <c r="B26" s="432"/>
      <c r="C26" s="0"/>
      <c r="D26" s="0"/>
      <c r="E26" s="623">
        <v>0</v>
      </c>
      <c r="F26" s="81"/>
      <c r="G26" s="0"/>
      <c r="H26" s="0"/>
      <c r="I26" s="0"/>
      <c r="J26" s="0"/>
      <c r="K26" s="0"/>
      <c r="L26" s="0"/>
      <c r="M26" s="0"/>
      <c r="N26" s="0"/>
      <c r="O26" s="0"/>
      <c r="P26" s="0"/>
      <c r="Q26" s="0"/>
      <c r="R26" s="0"/>
      <c r="S26" s="0"/>
      <c r="T26" s="0"/>
      <c r="U26" s="0"/>
      <c r="V26" s="0"/>
      <c r="W26" s="0"/>
      <c r="X26" s="0"/>
      <c r="Y26" s="0"/>
      <c r="Z26" s="0"/>
      <c r="AA26" s="0"/>
      <c r="AB26" s="0"/>
      <c r="AC26" s="96"/>
      <c r="AD26" s="96"/>
      <c r="AE26" s="96"/>
      <c r="AF26" s="96"/>
      <c r="AG26" s="0"/>
      <c r="AH26" s="0"/>
      <c r="AI26" s="0"/>
      <c r="AJ26" s="0"/>
      <c r="AK26" s="0"/>
      <c r="AL26" s="0"/>
      <c r="AM26" s="0"/>
      <c r="AN26" s="0"/>
      <c r="AO26" s="0"/>
      <c r="AP26" s="0"/>
      <c r="AQ26" s="97"/>
      <c r="AR26" s="0"/>
      <c r="AS26" s="0"/>
      <c r="AT26" s="0"/>
      <c r="AU26" s="0"/>
      <c r="AV26" s="0"/>
      <c r="AW26" s="0"/>
      <c r="AX26" s="0"/>
      <c r="AY26" s="0"/>
      <c r="AZ26" s="0"/>
    </row>
    <row customHeight="1" ht="14.625" hidden="1">
      <c r="A27" s="1331"/>
      <c r="B27" s="1223"/>
      <c r="C27" s="1331"/>
      <c r="D27" s="1331"/>
      <c r="E27" s="623">
        <v>15</v>
      </c>
      <c r="F27" s="496" cm="1" t="str">
        <f t="array" ref="F27:F27">X27</f>
        <v>0</v>
      </c>
      <c r="G27" s="428"/>
      <c r="H27" s="428"/>
      <c r="I27" s="428"/>
      <c r="J27" s="428"/>
      <c r="K27" s="1331"/>
      <c r="L27" s="1331"/>
      <c r="M27" s="1331"/>
      <c r="N27" s="1331"/>
      <c r="O27" s="1331"/>
      <c r="P27" s="1331"/>
      <c r="Q27" s="1331"/>
      <c r="R27" s="1331"/>
      <c r="S27" s="1331"/>
      <c r="T27" s="468">
        <f>X27&gt;0</f>
        <v>0</v>
      </c>
      <c r="U27" s="1331"/>
      <c r="V27" s="118" t="s">
        <v>279</v>
      </c>
      <c r="W27" s="1331"/>
      <c r="X27" s="1539">
        <v>0</v>
      </c>
      <c r="Y27" s="428"/>
      <c r="Z27" s="1560"/>
      <c r="AA27" s="428"/>
      <c r="AB27" s="238" cm="1" t="str">
        <f t="array" ref="AB27:AB27">INDEX('Общие сведения'!$AG$197:$AG$254,MATCH($X27,'Общие сведения'!$Z$197:$Z$254,0))</f>
        <v>Тариф 0 () - </v>
      </c>
      <c r="AC27" s="839"/>
      <c r="AD27" s="839"/>
      <c r="AE27" s="839"/>
      <c r="AF27" s="839"/>
      <c r="AG27" s="839"/>
      <c r="AH27" s="839"/>
      <c r="AI27" s="839"/>
      <c r="AJ27" s="839"/>
      <c r="AK27" s="839"/>
      <c r="AL27" s="839"/>
      <c r="AM27" s="839"/>
      <c r="AN27" s="839"/>
      <c r="AO27" s="839"/>
      <c r="AP27" s="839"/>
      <c r="AQ27" s="839"/>
      <c r="AR27" s="839"/>
      <c r="AS27" s="839"/>
      <c r="AT27" s="839"/>
      <c r="AU27" s="839"/>
      <c r="AV27" s="839"/>
      <c r="AW27" s="839"/>
      <c r="AX27" s="839"/>
      <c r="AY27" s="839"/>
      <c r="AZ27" s="428"/>
      <c r="BA27" s="1331"/>
      <c r="BB27" s="1245"/>
    </row>
    <row customHeight="1" ht="14.625" hidden="1">
      <c r="A28" s="237"/>
      <c r="B28" s="433"/>
      <c r="C28" s="237"/>
      <c r="D28" s="237"/>
      <c r="E28" s="697">
        <v>15</v>
      </c>
      <c r="F28" s="50" cm="1" t="str">
        <f t="array" ref="F28:F28">OFFSET(E28,-1,1)</f>
        <v>0</v>
      </c>
      <c r="G28" s="428" t="s">
        <v>344</v>
      </c>
      <c r="H28" s="143"/>
      <c r="I28" s="143"/>
      <c r="J28" s="143"/>
      <c r="K28" s="237"/>
      <c r="L28" s="237"/>
      <c r="M28" s="237"/>
      <c r="N28" s="237"/>
      <c r="O28" s="237"/>
      <c r="P28" s="237"/>
      <c r="Q28" s="237"/>
      <c r="R28" s="237"/>
      <c r="S28" s="237"/>
      <c r="T28" s="468" cm="1" t="str">
        <f t="array" ref="T28:T28">T27</f>
        <v>false</v>
      </c>
      <c r="U28" s="237"/>
      <c r="V28" s="237"/>
      <c r="W28" s="237"/>
      <c r="X28" s="1539"/>
      <c r="Y28" s="143"/>
      <c r="Z28" s="1560"/>
      <c r="AA28" s="143"/>
      <c r="AB28" s="243" t="s">
        <v>290</v>
      </c>
      <c r="AC28" s="242" t="s">
        <v>1607</v>
      </c>
      <c r="AD28" s="243" t="s">
        <v>936</v>
      </c>
      <c r="AE28" s="851">
        <f>AE29+AE30+AE31</f>
        <v>0</v>
      </c>
      <c r="AF28" s="851">
        <f>AF29+AF30+AF31</f>
        <v>0</v>
      </c>
      <c r="AG28" s="851">
        <f>AG29+AG30+AG31</f>
        <v>0</v>
      </c>
      <c r="AH28" s="851">
        <f>AH29+AH30+AH31</f>
        <v>0</v>
      </c>
      <c r="AI28" s="851">
        <f>AI29+AI30+AI31</f>
        <v>0</v>
      </c>
      <c r="AJ28" s="851">
        <f>AJ29+AJ30+AJ31</f>
        <v>0</v>
      </c>
      <c r="AK28" s="851">
        <f>AK29+AK30+AK31</f>
        <v>0</v>
      </c>
      <c r="AL28" s="851">
        <f>AL29+AL30+AL31</f>
        <v>0</v>
      </c>
      <c r="AM28" s="851">
        <f>AM29+AM30+AM31</f>
        <v>0</v>
      </c>
      <c r="AN28" s="851">
        <f>AN29+AN30+AN31</f>
        <v>0</v>
      </c>
      <c r="AO28" s="851">
        <f>AO29+AO30+AO31</f>
        <v>0</v>
      </c>
      <c r="AP28" s="851">
        <f>AP29+AP30+AP31</f>
        <v>0</v>
      </c>
      <c r="AQ28" s="851">
        <f>AQ29+AQ30+AQ31</f>
        <v>0</v>
      </c>
      <c r="AR28" s="851">
        <f>AR29+AR30+AR31</f>
        <v>0</v>
      </c>
      <c r="AS28" s="851">
        <f>AS29+AS30+AS31</f>
        <v>0</v>
      </c>
      <c r="AT28" s="851">
        <f>AT29+AT30+AT31</f>
        <v>0</v>
      </c>
      <c r="AU28" s="851">
        <f>AU29+AU30+AU31</f>
        <v>0</v>
      </c>
      <c r="AV28" s="851">
        <f>AV29+AV30+AV31</f>
        <v>0</v>
      </c>
      <c r="AW28" s="851">
        <f>AW29+AW30+AW31</f>
        <v>0</v>
      </c>
      <c r="AX28" s="851">
        <f>AX29+AX30+AX31</f>
        <v>0</v>
      </c>
      <c r="AY28" s="4360"/>
      <c r="AZ28" s="143"/>
      <c r="BA28" s="1331"/>
      <c r="BB28" s="1005" t="s">
        <v>1535</v>
      </c>
    </row>
    <row customHeight="1" ht="14.625" hidden="1">
      <c r="A29" s="1331"/>
      <c r="B29" s="1223"/>
      <c r="C29" s="1331"/>
      <c r="D29" s="1331"/>
      <c r="E29" s="623">
        <v>15</v>
      </c>
      <c r="F29" s="50" cm="1" t="str">
        <f t="array" ref="F29:F29">OFFSET(E29,-1,1)</f>
        <v>0</v>
      </c>
      <c r="G29" s="428" t="s">
        <v>566</v>
      </c>
      <c r="H29" s="428"/>
      <c r="I29" s="428"/>
      <c r="J29" s="428"/>
      <c r="K29" s="1331"/>
      <c r="L29" s="1331"/>
      <c r="M29" s="1331"/>
      <c r="N29" s="1331"/>
      <c r="O29" s="1331"/>
      <c r="P29" s="1331"/>
      <c r="Q29" s="1331"/>
      <c r="R29" s="1331"/>
      <c r="S29" s="1331"/>
      <c r="T29" s="468" cm="1" t="str">
        <f t="array" ref="T29:T29">T28</f>
        <v>false</v>
      </c>
      <c r="U29" s="1331"/>
      <c r="V29" s="1331"/>
      <c r="W29" s="1331"/>
      <c r="X29" s="1539"/>
      <c r="Y29" s="428"/>
      <c r="Z29" s="1560"/>
      <c r="AA29" s="428"/>
      <c r="AB29" s="857" t="s">
        <v>1067</v>
      </c>
      <c r="AC29" s="858" t="s">
        <v>1608</v>
      </c>
      <c r="AD29" s="857" t="s">
        <v>936</v>
      </c>
      <c r="AE29" s="4146"/>
      <c r="AF29" s="4146"/>
      <c r="AG29" s="4146"/>
      <c r="AH29" s="4146"/>
      <c r="AI29" s="4146"/>
      <c r="AJ29" s="4146"/>
      <c r="AK29" s="4146"/>
      <c r="AL29" s="4146"/>
      <c r="AM29" s="4146"/>
      <c r="AN29" s="4146"/>
      <c r="AO29" s="4146"/>
      <c r="AP29" s="4146"/>
      <c r="AQ29" s="4146"/>
      <c r="AR29" s="4146"/>
      <c r="AS29" s="4146"/>
      <c r="AT29" s="4146"/>
      <c r="AU29" s="4146"/>
      <c r="AV29" s="4146"/>
      <c r="AW29" s="4146"/>
      <c r="AX29" s="4146"/>
      <c r="AY29" s="4360"/>
      <c r="AZ29" s="428"/>
      <c r="BA29" s="1331"/>
      <c r="BB29" s="1005" t="s">
        <v>1609</v>
      </c>
    </row>
    <row customHeight="1" ht="23.400000000000002" hidden="1">
      <c r="A30" s="1331"/>
      <c r="B30" s="1223"/>
      <c r="C30" s="1331"/>
      <c r="D30" s="1331"/>
      <c r="E30" s="623">
        <v>24</v>
      </c>
      <c r="F30" s="50" cm="1" t="str">
        <f t="array" ref="F30:F30">OFFSET(E30,-1,1)</f>
        <v>0</v>
      </c>
      <c r="G30" s="428" t="s">
        <v>570</v>
      </c>
      <c r="H30" s="428"/>
      <c r="I30" s="428"/>
      <c r="J30" s="428"/>
      <c r="K30" s="1331"/>
      <c r="L30" s="1331"/>
      <c r="M30" s="1331"/>
      <c r="N30" s="1331"/>
      <c r="O30" s="1331"/>
      <c r="P30" s="1331"/>
      <c r="Q30" s="1331"/>
      <c r="R30" s="1331"/>
      <c r="S30" s="1331"/>
      <c r="T30" s="468" cm="1" t="str">
        <f t="array" ref="T30:T30">T29</f>
        <v>false</v>
      </c>
      <c r="U30" s="1331"/>
      <c r="V30" s="1331"/>
      <c r="W30" s="1331"/>
      <c r="X30" s="1539"/>
      <c r="Y30" s="428"/>
      <c r="Z30" s="1560"/>
      <c r="AA30" s="428"/>
      <c r="AB30" s="857" t="s">
        <v>1070</v>
      </c>
      <c r="AC30" s="858" t="s">
        <v>1610</v>
      </c>
      <c r="AD30" s="857" t="s">
        <v>936</v>
      </c>
      <c r="AE30" s="4146"/>
      <c r="AF30" s="4146"/>
      <c r="AG30" s="4146"/>
      <c r="AH30" s="4146"/>
      <c r="AI30" s="4146"/>
      <c r="AJ30" s="4146"/>
      <c r="AK30" s="4146"/>
      <c r="AL30" s="4146"/>
      <c r="AM30" s="4146"/>
      <c r="AN30" s="4146"/>
      <c r="AO30" s="4146"/>
      <c r="AP30" s="4146"/>
      <c r="AQ30" s="4146"/>
      <c r="AR30" s="4146"/>
      <c r="AS30" s="4146"/>
      <c r="AT30" s="4146"/>
      <c r="AU30" s="4146"/>
      <c r="AV30" s="4146"/>
      <c r="AW30" s="4146"/>
      <c r="AX30" s="4146"/>
      <c r="AY30" s="4360"/>
      <c r="AZ30" s="428"/>
      <c r="BA30" s="1331"/>
      <c r="BB30" s="1005" t="s">
        <v>1611</v>
      </c>
    </row>
    <row s="1656" customFormat="1" customHeight="1" ht="33.345000000000006" hidden="1">
      <c r="A31" s="118"/>
      <c r="B31" s="430"/>
      <c r="C31" s="118"/>
      <c r="D31" s="118"/>
      <c r="E31" s="623">
        <v>34.2</v>
      </c>
      <c r="F31" s="1194" cm="1" t="str">
        <f t="array" ref="F31:F31">OFFSET(E31,-1,1)</f>
        <v>0</v>
      </c>
      <c r="G31" s="428" t="s">
        <v>573</v>
      </c>
      <c r="H31" s="428"/>
      <c r="I31" s="428"/>
      <c r="J31" s="428"/>
      <c r="K31" s="118"/>
      <c r="L31" s="118"/>
      <c r="M31" s="118"/>
      <c r="N31" s="118"/>
      <c r="O31" s="118"/>
      <c r="P31" s="118"/>
      <c r="Q31" s="118"/>
      <c r="R31" s="118"/>
      <c r="S31" s="118"/>
      <c r="T31" s="468" cm="1" t="str">
        <f t="array" ref="T31:T31">T30</f>
        <v>false</v>
      </c>
      <c r="U31" s="118"/>
      <c r="V31" s="118"/>
      <c r="W31" s="118"/>
      <c r="X31" s="1539"/>
      <c r="Y31" s="428"/>
      <c r="Z31" s="1560"/>
      <c r="AA31" s="428"/>
      <c r="AB31" s="857" t="s">
        <v>1073</v>
      </c>
      <c r="AC31" s="858" t="s">
        <v>1612</v>
      </c>
      <c r="AD31" s="857" t="s">
        <v>936</v>
      </c>
      <c r="AE31" s="4146"/>
      <c r="AF31" s="4146"/>
      <c r="AG31" s="4146"/>
      <c r="AH31" s="4146"/>
      <c r="AI31" s="4146"/>
      <c r="AJ31" s="4146"/>
      <c r="AK31" s="4146"/>
      <c r="AL31" s="4146"/>
      <c r="AM31" s="4146"/>
      <c r="AN31" s="4146"/>
      <c r="AO31" s="4146"/>
      <c r="AP31" s="4146"/>
      <c r="AQ31" s="4146"/>
      <c r="AR31" s="4146"/>
      <c r="AS31" s="4146"/>
      <c r="AT31" s="4146"/>
      <c r="AU31" s="4146"/>
      <c r="AV31" s="4146"/>
      <c r="AW31" s="4146"/>
      <c r="AX31" s="4146"/>
      <c r="AY31" s="4360"/>
      <c r="AZ31" s="428"/>
      <c r="BA31" s="1656"/>
      <c r="BB31" s="1056" t="s">
        <v>1613</v>
      </c>
    </row>
    <row customHeight="1" ht="14.625" hidden="1">
      <c r="A32" s="1331"/>
      <c r="B32" s="1223"/>
      <c r="C32" s="1331"/>
      <c r="D32" s="1331"/>
      <c r="E32" s="623">
        <v>15</v>
      </c>
      <c r="F32" s="50" cm="1" t="str">
        <f t="array" ref="F32:F32">OFFSET(E32,-1,1)</f>
        <v>0</v>
      </c>
      <c r="G32" s="428" t="s">
        <v>345</v>
      </c>
      <c r="H32" s="428"/>
      <c r="I32" s="428"/>
      <c r="J32" s="428"/>
      <c r="K32" s="1331"/>
      <c r="L32" s="1331"/>
      <c r="M32" s="1331"/>
      <c r="N32" s="1331"/>
      <c r="O32" s="1331"/>
      <c r="P32" s="1331"/>
      <c r="Q32" s="1331"/>
      <c r="R32" s="1331"/>
      <c r="S32" s="1331"/>
      <c r="T32" s="468" cm="1" t="str">
        <f t="array" ref="T32:T32">T31</f>
        <v>false</v>
      </c>
      <c r="U32" s="1331"/>
      <c r="V32" s="1331"/>
      <c r="W32" s="1331"/>
      <c r="X32" s="1539"/>
      <c r="Y32" s="428"/>
      <c r="Z32" s="1560"/>
      <c r="AA32" s="428"/>
      <c r="AB32" s="857" t="s">
        <v>299</v>
      </c>
      <c r="AC32" s="859" t="s">
        <v>1614</v>
      </c>
      <c r="AD32" s="857" t="s">
        <v>561</v>
      </c>
      <c r="AE32" s="860">
        <f>_xlfn.SUMIFS(Сценарии!AJ$25:AJ$136,Сценарии!$F$25:$F$136,$F32,Сценарии!$AC$25:$AC$136,"Индекс потребительских цен")</f>
        <v>0</v>
      </c>
      <c r="AF32" s="860">
        <f>_xlfn.SUMIFS(Сценарии!AO$25:AO$136,Сценарии!$F$25:$F$136,$F32,Сценарии!$AC$25:$AC$136,"Индекс потребительских цен")</f>
        <v>0</v>
      </c>
      <c r="AG32" s="860">
        <f>_xlfn.SUMIFS(Сценарии!AP$25:AP$136,Сценарии!$F$25:$F$136,$F32,Сценарии!$AC$25:$AC$136,"Индекс потребительских цен")</f>
        <v>0</v>
      </c>
      <c r="AH32" s="860">
        <f>_xlfn.SUMIFS(Сценарии!AQ$25:AQ$136,Сценарии!$F$25:$F$136,$F32,Сценарии!$AC$25:$AC$136,"Индекс потребительских цен")</f>
        <v>0</v>
      </c>
      <c r="AI32" s="860">
        <f>_xlfn.SUMIFS(Сценарии!AR$25:AR$136,Сценарии!$F$25:$F$136,$F32,Сценарии!$AC$25:$AC$136,"Индекс потребительских цен")</f>
        <v>0</v>
      </c>
      <c r="AJ32" s="860">
        <f>_xlfn.SUMIFS(Сценарии!AS$25:AS$136,Сценарии!$F$25:$F$136,$F32,Сценарии!$AC$25:$AC$136,"Индекс потребительских цен")</f>
        <v>0</v>
      </c>
      <c r="AK32" s="860">
        <f>_xlfn.SUMIFS(Сценарии!AT$25:AT$136,Сценарии!$F$25:$F$136,$F32,Сценарии!$AC$25:$AC$136,"Индекс потребительских цен")</f>
        <v>0</v>
      </c>
      <c r="AL32" s="860">
        <f>_xlfn.SUMIFS(Сценарии!AU$25:AU$136,Сценарии!$F$25:$F$136,$F32,Сценарии!$AC$25:$AC$136,"Индекс потребительских цен")</f>
        <v>0</v>
      </c>
      <c r="AM32" s="860">
        <f>_xlfn.SUMIFS(Сценарии!AV$25:AV$136,Сценарии!$F$25:$F$136,$F32,Сценарии!$AC$25:$AC$136,"Индекс потребительских цен")</f>
        <v>0</v>
      </c>
      <c r="AN32" s="860">
        <f>_xlfn.SUMIFS(Сценарии!AW$25:AW$136,Сценарии!$F$25:$F$136,$F32,Сценарии!$AC$25:$AC$136,"Индекс потребительских цен")</f>
        <v>0</v>
      </c>
      <c r="AO32" s="860">
        <f>_xlfn.SUMIFS(Сценарии!AK$25:AK$136,Сценарии!$F$25:$F$136,$F32,Сценарии!$AC$25:$AC$136,"Индекс потребительских цен")</f>
        <v>0</v>
      </c>
      <c r="AP32" s="860">
        <f>_xlfn.SUMIFS(Сценарии!AX$25:AX$136,Сценарии!$F$25:$F$136,$F32,Сценарии!$AC$25:$AC$136,"Индекс потребительских цен")</f>
        <v>0</v>
      </c>
      <c r="AQ32" s="860">
        <f>_xlfn.SUMIFS(Сценарии!AY$25:AY$136,Сценарии!$F$25:$F$136,$F32,Сценарии!$AC$25:$AC$136,"Индекс потребительских цен")</f>
        <v>0</v>
      </c>
      <c r="AR32" s="860">
        <f>_xlfn.SUMIFS(Сценарии!AZ$25:AZ$136,Сценарии!$F$25:$F$136,$F32,Сценарии!$AC$25:$AC$136,"Индекс потребительских цен")</f>
        <v>0</v>
      </c>
      <c r="AS32" s="860">
        <f>_xlfn.SUMIFS(Сценарии!BA$25:BA$136,Сценарии!$F$25:$F$136,$F32,Сценарии!$AC$25:$AC$136,"Индекс потребительских цен")</f>
        <v>0</v>
      </c>
      <c r="AT32" s="860">
        <f>_xlfn.SUMIFS(Сценарии!BB$25:BB$136,Сценарии!$F$25:$F$136,$F32,Сценарии!$AC$25:$AC$136,"Индекс потребительских цен")</f>
        <v>0</v>
      </c>
      <c r="AU32" s="860">
        <f>_xlfn.SUMIFS(Сценарии!BC$25:BC$136,Сценарии!$F$25:$F$136,$F32,Сценарии!$AC$25:$AC$136,"Индекс потребительских цен")</f>
        <v>0</v>
      </c>
      <c r="AV32" s="860">
        <f>_xlfn.SUMIFS(Сценарии!BD$25:BD$136,Сценарии!$F$25:$F$136,$F32,Сценарии!$AC$25:$AC$136,"Индекс потребительских цен")</f>
        <v>0</v>
      </c>
      <c r="AW32" s="860">
        <f>_xlfn.SUMIFS(Сценарии!BE$25:BE$136,Сценарии!$F$25:$F$136,$F32,Сценарии!$AC$25:$AC$136,"Индекс потребительских цен")</f>
        <v>0</v>
      </c>
      <c r="AX32" s="860">
        <f>_xlfn.SUMIFS(Сценарии!BF$25:BF$136,Сценарии!$F$25:$F$136,$F32,Сценарии!$AC$25:$AC$136,"Индекс потребительских цен")</f>
        <v>0</v>
      </c>
      <c r="AY32" s="4360"/>
      <c r="AZ32" s="428"/>
      <c r="BA32" s="1331"/>
      <c r="BB32" s="1005" t="s">
        <v>1615</v>
      </c>
    </row>
    <row s="704" customFormat="1" customHeight="1" ht="14.625" hidden="1">
      <c r="A33" s="118"/>
      <c r="B33" s="430"/>
      <c r="C33" s="118"/>
      <c r="D33" s="118"/>
      <c r="E33" s="623">
        <v>15</v>
      </c>
      <c r="F33" s="50" cm="1" t="str">
        <f t="array" ref="F33:F33">OFFSET(E33,-1,1)</f>
        <v>0</v>
      </c>
      <c r="G33" s="428" t="s">
        <v>346</v>
      </c>
      <c r="H33" s="428"/>
      <c r="I33" s="428"/>
      <c r="J33" s="428"/>
      <c r="K33" s="118"/>
      <c r="L33" s="118"/>
      <c r="M33" s="118"/>
      <c r="N33" s="118"/>
      <c r="O33" s="118"/>
      <c r="P33" s="118"/>
      <c r="Q33" s="118"/>
      <c r="R33" s="118"/>
      <c r="S33" s="118"/>
      <c r="T33" s="468" cm="1" t="str">
        <f t="array" ref="T33:T33">T32</f>
        <v>false</v>
      </c>
      <c r="U33" s="118"/>
      <c r="V33" s="118"/>
      <c r="W33" s="118"/>
      <c r="X33" s="1539"/>
      <c r="Y33" s="428"/>
      <c r="Z33" s="1560"/>
      <c r="AA33" s="428"/>
      <c r="AB33" s="773">
        <v>3</v>
      </c>
      <c r="AC33" s="859" t="s">
        <v>1616</v>
      </c>
      <c r="AD33" s="857" t="s">
        <v>561</v>
      </c>
      <c r="AE33" s="4492" cm="1" t="str">
        <f t="array" ref="AE33:AE33">AE32</f>
        <v>0</v>
      </c>
      <c r="AF33" s="4492">
        <f>AE33*AF32/100</f>
        <v>0</v>
      </c>
      <c r="AG33" s="4492">
        <f>AF33*AG32/100</f>
        <v>0</v>
      </c>
      <c r="AH33" s="4492">
        <f>AG33*AH32/100</f>
        <v>0</v>
      </c>
      <c r="AI33" s="4492">
        <f>AH33*AI32/100</f>
        <v>0</v>
      </c>
      <c r="AJ33" s="4492">
        <f>AI33*AJ32/100</f>
        <v>0</v>
      </c>
      <c r="AK33" s="4492">
        <f>AJ33*AK32/100</f>
        <v>0</v>
      </c>
      <c r="AL33" s="4492">
        <f>AK33*AL32/100</f>
        <v>0</v>
      </c>
      <c r="AM33" s="4492">
        <f>AL33*AM32/100</f>
        <v>0</v>
      </c>
      <c r="AN33" s="4492">
        <f>AM33*AN32/100</f>
        <v>0</v>
      </c>
      <c r="AO33" s="4492">
        <f>AN33*AO32/100</f>
        <v>0</v>
      </c>
      <c r="AP33" s="4492">
        <f>AO33*AP32/100</f>
        <v>0</v>
      </c>
      <c r="AQ33" s="4492">
        <f>AP33*AQ32/100</f>
        <v>0</v>
      </c>
      <c r="AR33" s="4492">
        <f>AQ33*AR32/100</f>
        <v>0</v>
      </c>
      <c r="AS33" s="4492">
        <f>AR33*AS32/100</f>
        <v>0</v>
      </c>
      <c r="AT33" s="4492">
        <f>AS33*AT32/100</f>
        <v>0</v>
      </c>
      <c r="AU33" s="4492">
        <f>AT33*AU32/100</f>
        <v>0</v>
      </c>
      <c r="AV33" s="4492">
        <f>AU33*AV32/100</f>
        <v>0</v>
      </c>
      <c r="AW33" s="4492">
        <f>AV33*AW32/100</f>
        <v>0</v>
      </c>
      <c r="AX33" s="4492">
        <f>AW33*AX32/100</f>
        <v>0</v>
      </c>
      <c r="AY33" s="4360"/>
      <c r="AZ33" s="428"/>
      <c r="BA33" s="704"/>
      <c r="BB33" s="1059" t="s">
        <v>1617</v>
      </c>
    </row>
    <row customHeight="1" ht="14.625" hidden="1">
      <c r="A34" s="237"/>
      <c r="B34" s="433"/>
      <c r="C34" s="237"/>
      <c r="D34" s="237"/>
      <c r="E34" s="697">
        <v>15</v>
      </c>
      <c r="F34" s="50" cm="1" t="str">
        <f t="array" ref="F34:F34">OFFSET(E34,-1,1)</f>
        <v>0</v>
      </c>
      <c r="G34" s="428" t="s">
        <v>348</v>
      </c>
      <c r="H34" s="428" t="s">
        <v>1618</v>
      </c>
      <c r="I34" s="143"/>
      <c r="J34" s="143"/>
      <c r="K34" s="237"/>
      <c r="L34" s="237"/>
      <c r="M34" s="237"/>
      <c r="N34" s="237"/>
      <c r="O34" s="237"/>
      <c r="P34" s="237"/>
      <c r="Q34" s="237"/>
      <c r="R34" s="237"/>
      <c r="S34" s="237"/>
      <c r="T34" s="468" cm="1" t="str">
        <f t="array" ref="T34:T34">T33</f>
        <v>false</v>
      </c>
      <c r="U34" s="237"/>
      <c r="V34" s="237"/>
      <c r="W34" s="237"/>
      <c r="X34" s="1539"/>
      <c r="Y34" s="143"/>
      <c r="Z34" s="1560"/>
      <c r="AA34" s="143"/>
      <c r="AB34" s="243" t="s">
        <v>451</v>
      </c>
      <c r="AC34" s="242" t="s">
        <v>1619</v>
      </c>
      <c r="AD34" s="243" t="s">
        <v>936</v>
      </c>
      <c r="AE34" s="851">
        <f>AE28*AE33/100</f>
        <v>0</v>
      </c>
      <c r="AF34" s="851">
        <f>AF28*AF33/100</f>
        <v>0</v>
      </c>
      <c r="AG34" s="851">
        <f>AG28*AG33/100</f>
        <v>0</v>
      </c>
      <c r="AH34" s="851">
        <f>AH28*AH33/100</f>
        <v>0</v>
      </c>
      <c r="AI34" s="851">
        <f>AI28*AI33/100</f>
        <v>0</v>
      </c>
      <c r="AJ34" s="851">
        <f>AJ28*AJ33/100</f>
        <v>0</v>
      </c>
      <c r="AK34" s="851">
        <f>AK28*AK33/100</f>
        <v>0</v>
      </c>
      <c r="AL34" s="851">
        <f>AL28*AL33/100</f>
        <v>0</v>
      </c>
      <c r="AM34" s="851">
        <f>AM28*AM33/100</f>
        <v>0</v>
      </c>
      <c r="AN34" s="851">
        <f>AN28*AN33/100</f>
        <v>0</v>
      </c>
      <c r="AO34" s="851">
        <f>AO28*AO33/100</f>
        <v>0</v>
      </c>
      <c r="AP34" s="851">
        <f>AP28*AP33/100</f>
        <v>0</v>
      </c>
      <c r="AQ34" s="851">
        <f>AQ28*AQ33/100</f>
        <v>0</v>
      </c>
      <c r="AR34" s="851">
        <f>AR28*AR33/100</f>
        <v>0</v>
      </c>
      <c r="AS34" s="851">
        <f>AS28*AS33/100</f>
        <v>0</v>
      </c>
      <c r="AT34" s="851">
        <f>AT28*AT33/100</f>
        <v>0</v>
      </c>
      <c r="AU34" s="851">
        <f>AU28*AU33/100</f>
        <v>0</v>
      </c>
      <c r="AV34" s="851">
        <f>AV28*AV33/100</f>
        <v>0</v>
      </c>
      <c r="AW34" s="851">
        <f>AW28*AW33/100</f>
        <v>0</v>
      </c>
      <c r="AX34" s="851">
        <f>AX28*AX33/100</f>
        <v>0</v>
      </c>
      <c r="AY34" s="4360"/>
      <c r="AZ34" s="143"/>
      <c r="BA34" s="1331"/>
      <c r="BB34" s="1005" t="s">
        <v>1620</v>
      </c>
    </row>
    <row s="1656" customFormat="1" customHeight="1" ht="14.25">
      <c r="A35" s="1331"/>
      <c r="B35" s="1223"/>
      <c r="C35" s="1331"/>
      <c r="D35" s="1331"/>
      <c r="E35" s="623">
        <v>15</v>
      </c>
      <c r="F35" s="496" cm="1" t="str">
        <f t="array" ref="F35:F35">X35</f>
        <v>1</v>
      </c>
      <c r="G35" s="428"/>
      <c r="H35" s="428"/>
      <c r="I35" s="428"/>
      <c r="J35" s="428"/>
      <c r="K35" s="1331"/>
      <c r="L35" s="1331"/>
      <c r="M35" s="1331"/>
      <c r="N35" s="1331"/>
      <c r="O35" s="1331"/>
      <c r="P35" s="1331"/>
      <c r="Q35" s="1331"/>
      <c r="R35" s="1331"/>
      <c r="S35" s="1331"/>
      <c r="T35" s="468">
        <f>X35&gt;0</f>
        <v>1</v>
      </c>
      <c r="U35" s="1331"/>
      <c r="V35" s="118" cm="1" t="str">
        <f t="array" ref="V35:V35">'ИП + источники'!$AB$87</f>
        <v>Тариф 1 (Водоснабжение) - тариф на питьевую воду (Оказание услуг на территории: город Ленинск-Кузнецкий (ОКТМО: 32719000) - г Ленинск-Кузнецкий, г Полысаево)</v>
      </c>
      <c r="W35" s="1331"/>
      <c r="X35" s="1539" t="s">
        <v>290</v>
      </c>
      <c r="Y35" s="428"/>
      <c r="Z35" s="1560"/>
      <c r="AA35" s="428"/>
      <c r="AB35" s="238" cm="1" t="str">
        <f t="array" ref="AB35:AB35">'ИП + источники'!$AB$87</f>
        <v>Тариф 1 (Водоснабжение) - тариф на питьевую воду (Оказание услуг на территории: город Ленинск-Кузнецкий (ОКТМО: 32719000) - г Ленинск-Кузнецкий, г Полысаево)</v>
      </c>
      <c r="AC35" s="839"/>
      <c r="AD35" s="839"/>
      <c r="AE35" s="839"/>
      <c r="AF35" s="839"/>
      <c r="AG35" s="839"/>
      <c r="AH35" s="839"/>
      <c r="AI35" s="839"/>
      <c r="AJ35" s="839"/>
      <c r="AK35" s="839"/>
      <c r="AL35" s="839"/>
      <c r="AM35" s="839"/>
      <c r="AN35" s="839"/>
      <c r="AO35" s="839"/>
      <c r="AP35" s="839"/>
      <c r="AQ35" s="839"/>
      <c r="AR35" s="839"/>
      <c r="AS35" s="839"/>
      <c r="AT35" s="839"/>
      <c r="AU35" s="839"/>
      <c r="AV35" s="839"/>
      <c r="AW35" s="839"/>
      <c r="AX35" s="839"/>
      <c r="AY35" s="839"/>
      <c r="AZ35" s="428"/>
      <c r="BA35" s="1331"/>
      <c r="BB35" s="1245"/>
    </row>
    <row s="1656" customFormat="1" customHeight="1" ht="14.25">
      <c r="A36" s="237"/>
      <c r="B36" s="433"/>
      <c r="C36" s="237"/>
      <c r="D36" s="237"/>
      <c r="E36" s="697">
        <v>15</v>
      </c>
      <c r="F36" s="50" cm="1" t="str">
        <f t="array" ref="F36:F36">OFFSET(E36,-1,1)</f>
        <v>1</v>
      </c>
      <c r="G36" s="428" t="s">
        <v>344</v>
      </c>
      <c r="H36" s="143"/>
      <c r="I36" s="143"/>
      <c r="J36" s="143"/>
      <c r="K36" s="237"/>
      <c r="L36" s="237"/>
      <c r="M36" s="237"/>
      <c r="N36" s="237"/>
      <c r="O36" s="237"/>
      <c r="P36" s="237"/>
      <c r="Q36" s="237"/>
      <c r="R36" s="237"/>
      <c r="S36" s="237"/>
      <c r="T36" s="468" cm="1" t="str">
        <f t="array" ref="T36:T36">T35</f>
        <v>true</v>
      </c>
      <c r="U36" s="237"/>
      <c r="V36" s="237"/>
      <c r="W36" s="237"/>
      <c r="X36" s="1539"/>
      <c r="Y36" s="143"/>
      <c r="Z36" s="1560"/>
      <c r="AA36" s="143"/>
      <c r="AB36" s="243" t="s">
        <v>290</v>
      </c>
      <c r="AC36" s="242" t="s">
        <v>1607</v>
      </c>
      <c r="AD36" s="243" t="s">
        <v>936</v>
      </c>
      <c r="AE36" s="851">
        <f>AE37+AE38+AE39</f>
        <v>0</v>
      </c>
      <c r="AF36" s="851">
        <f>AF37+AF38+AF39</f>
        <v>0</v>
      </c>
      <c r="AG36" s="851">
        <f>AG37+AG38+AG39</f>
        <v>0</v>
      </c>
      <c r="AH36" s="851">
        <f>AH37+AH38+AH39</f>
        <v>0</v>
      </c>
      <c r="AI36" s="851">
        <f>AI37+AI38+AI39</f>
        <v>0</v>
      </c>
      <c r="AJ36" s="851">
        <f>AJ37+AJ38+AJ39</f>
        <v>0</v>
      </c>
      <c r="AK36" s="851">
        <f>AK37+AK38+AK39</f>
        <v>0</v>
      </c>
      <c r="AL36" s="851">
        <f>AL37+AL38+AL39</f>
        <v>0</v>
      </c>
      <c r="AM36" s="851">
        <f>AM37+AM38+AM39</f>
        <v>0</v>
      </c>
      <c r="AN36" s="851">
        <f>AN37+AN38+AN39</f>
        <v>0</v>
      </c>
      <c r="AO36" s="851">
        <f>AO37+AO38+AO39</f>
        <v>0</v>
      </c>
      <c r="AP36" s="851">
        <f>AP37+AP38+AP39</f>
        <v>0</v>
      </c>
      <c r="AQ36" s="851">
        <f>AQ37+AQ38+AQ39</f>
        <v>0</v>
      </c>
      <c r="AR36" s="851">
        <f>AR37+AR38+AR39</f>
        <v>0</v>
      </c>
      <c r="AS36" s="851">
        <f>AS37+AS38+AS39</f>
        <v>0</v>
      </c>
      <c r="AT36" s="851">
        <f>AT37+AT38+AT39</f>
        <v>0</v>
      </c>
      <c r="AU36" s="851">
        <f>AU37+AU38+AU39</f>
        <v>0</v>
      </c>
      <c r="AV36" s="851">
        <f>AV37+AV38+AV39</f>
        <v>0</v>
      </c>
      <c r="AW36" s="851">
        <f>AW37+AW38+AW39</f>
        <v>0</v>
      </c>
      <c r="AX36" s="851">
        <f>AX37+AX38+AX39</f>
        <v>0</v>
      </c>
      <c r="AY36" s="781"/>
      <c r="AZ36" s="143"/>
      <c r="BA36" s="1331"/>
      <c r="BB36" s="1005" t="s">
        <v>1535</v>
      </c>
    </row>
    <row s="1656" customFormat="1" customHeight="1" ht="14.25">
      <c r="A37" s="1331"/>
      <c r="B37" s="1223"/>
      <c r="C37" s="1331"/>
      <c r="D37" s="1331"/>
      <c r="E37" s="623">
        <v>15</v>
      </c>
      <c r="F37" s="50" cm="1" t="str">
        <f t="array" ref="F37:F37">OFFSET(E37,-1,1)</f>
        <v>1</v>
      </c>
      <c r="G37" s="428" t="s">
        <v>566</v>
      </c>
      <c r="H37" s="428"/>
      <c r="I37" s="428"/>
      <c r="J37" s="428"/>
      <c r="K37" s="1331"/>
      <c r="L37" s="1331"/>
      <c r="M37" s="1331"/>
      <c r="N37" s="1331"/>
      <c r="O37" s="1331"/>
      <c r="P37" s="1331"/>
      <c r="Q37" s="1331"/>
      <c r="R37" s="1331"/>
      <c r="S37" s="1331"/>
      <c r="T37" s="468" cm="1" t="str">
        <f t="array" ref="T37:T37">T36</f>
        <v>true</v>
      </c>
      <c r="U37" s="1331"/>
      <c r="V37" s="1331"/>
      <c r="W37" s="1331"/>
      <c r="X37" s="1539"/>
      <c r="Y37" s="428"/>
      <c r="Z37" s="1560"/>
      <c r="AA37" s="428"/>
      <c r="AB37" s="857" t="s">
        <v>1067</v>
      </c>
      <c r="AC37" s="858" t="s">
        <v>1608</v>
      </c>
      <c r="AD37" s="857" t="s">
        <v>936</v>
      </c>
      <c r="AE37" s="294"/>
      <c r="AF37" s="4146"/>
      <c r="AG37" s="4146"/>
      <c r="AH37" s="4146"/>
      <c r="AI37" s="4146"/>
      <c r="AJ37" s="4146"/>
      <c r="AK37" s="4146"/>
      <c r="AL37" s="4146"/>
      <c r="AM37" s="4146"/>
      <c r="AN37" s="4146"/>
      <c r="AO37" s="294"/>
      <c r="AP37" s="4146"/>
      <c r="AQ37" s="4146"/>
      <c r="AR37" s="4146"/>
      <c r="AS37" s="4146"/>
      <c r="AT37" s="4146"/>
      <c r="AU37" s="4146"/>
      <c r="AV37" s="4146"/>
      <c r="AW37" s="4146"/>
      <c r="AX37" s="4146"/>
      <c r="AY37" s="781"/>
      <c r="AZ37" s="428"/>
      <c r="BA37" s="1331"/>
      <c r="BB37" s="1005" t="s">
        <v>1609</v>
      </c>
    </row>
    <row s="1656" customFormat="1" customHeight="1" ht="23.25">
      <c r="A38" s="1331"/>
      <c r="B38" s="1223"/>
      <c r="C38" s="1331"/>
      <c r="D38" s="1331"/>
      <c r="E38" s="623">
        <v>24</v>
      </c>
      <c r="F38" s="50" cm="1" t="str">
        <f t="array" ref="F38:F38">OFFSET(E38,-1,1)</f>
        <v>1</v>
      </c>
      <c r="G38" s="428" t="s">
        <v>570</v>
      </c>
      <c r="H38" s="428"/>
      <c r="I38" s="428"/>
      <c r="J38" s="428"/>
      <c r="K38" s="1331"/>
      <c r="L38" s="1331"/>
      <c r="M38" s="1331"/>
      <c r="N38" s="1331"/>
      <c r="O38" s="1331"/>
      <c r="P38" s="1331"/>
      <c r="Q38" s="1331"/>
      <c r="R38" s="1331"/>
      <c r="S38" s="1331"/>
      <c r="T38" s="468" cm="1" t="str">
        <f t="array" ref="T38:T38">T37</f>
        <v>true</v>
      </c>
      <c r="U38" s="1331"/>
      <c r="V38" s="1331"/>
      <c r="W38" s="1331"/>
      <c r="X38" s="1539"/>
      <c r="Y38" s="428"/>
      <c r="Z38" s="1560"/>
      <c r="AA38" s="428"/>
      <c r="AB38" s="857" t="s">
        <v>1070</v>
      </c>
      <c r="AC38" s="858" t="s">
        <v>1610</v>
      </c>
      <c r="AD38" s="857" t="s">
        <v>936</v>
      </c>
      <c r="AE38" s="294"/>
      <c r="AF38" s="4146"/>
      <c r="AG38" s="4146"/>
      <c r="AH38" s="4146"/>
      <c r="AI38" s="4146"/>
      <c r="AJ38" s="4146"/>
      <c r="AK38" s="4146"/>
      <c r="AL38" s="4146"/>
      <c r="AM38" s="4146"/>
      <c r="AN38" s="4146"/>
      <c r="AO38" s="294"/>
      <c r="AP38" s="4146"/>
      <c r="AQ38" s="4146"/>
      <c r="AR38" s="4146"/>
      <c r="AS38" s="4146"/>
      <c r="AT38" s="4146"/>
      <c r="AU38" s="4146"/>
      <c r="AV38" s="4146"/>
      <c r="AW38" s="4146"/>
      <c r="AX38" s="4146"/>
      <c r="AY38" s="781"/>
      <c r="AZ38" s="428"/>
      <c r="BA38" s="1331"/>
      <c r="BB38" s="1005" t="s">
        <v>1611</v>
      </c>
    </row>
    <row s="1656" customFormat="1" customHeight="1" ht="33">
      <c r="A39" s="118"/>
      <c r="B39" s="430"/>
      <c r="C39" s="118"/>
      <c r="D39" s="118"/>
      <c r="E39" s="623">
        <v>34.2</v>
      </c>
      <c r="F39" s="1194" cm="1" t="str">
        <f t="array" ref="F39:F39">OFFSET(E39,-1,1)</f>
        <v>1</v>
      </c>
      <c r="G39" s="428" t="s">
        <v>573</v>
      </c>
      <c r="H39" s="428"/>
      <c r="I39" s="428"/>
      <c r="J39" s="428"/>
      <c r="K39" s="118"/>
      <c r="L39" s="118"/>
      <c r="M39" s="118"/>
      <c r="N39" s="118"/>
      <c r="O39" s="118"/>
      <c r="P39" s="118"/>
      <c r="Q39" s="118"/>
      <c r="R39" s="118"/>
      <c r="S39" s="118"/>
      <c r="T39" s="468" cm="1" t="str">
        <f t="array" ref="T39:T39">T38</f>
        <v>true</v>
      </c>
      <c r="U39" s="118"/>
      <c r="V39" s="118"/>
      <c r="W39" s="118"/>
      <c r="X39" s="1539"/>
      <c r="Y39" s="428"/>
      <c r="Z39" s="1560"/>
      <c r="AA39" s="428"/>
      <c r="AB39" s="857" t="s">
        <v>1073</v>
      </c>
      <c r="AC39" s="858" t="s">
        <v>1612</v>
      </c>
      <c r="AD39" s="857" t="s">
        <v>936</v>
      </c>
      <c r="AE39" s="294"/>
      <c r="AF39" s="4146"/>
      <c r="AG39" s="4146"/>
      <c r="AH39" s="4146"/>
      <c r="AI39" s="4146"/>
      <c r="AJ39" s="4146"/>
      <c r="AK39" s="4146"/>
      <c r="AL39" s="4146"/>
      <c r="AM39" s="4146"/>
      <c r="AN39" s="4146"/>
      <c r="AO39" s="294"/>
      <c r="AP39" s="4146"/>
      <c r="AQ39" s="4146"/>
      <c r="AR39" s="4146"/>
      <c r="AS39" s="4146"/>
      <c r="AT39" s="4146"/>
      <c r="AU39" s="4146"/>
      <c r="AV39" s="4146"/>
      <c r="AW39" s="4146"/>
      <c r="AX39" s="4146"/>
      <c r="AY39" s="781"/>
      <c r="AZ39" s="428"/>
      <c r="BA39" s="1656"/>
      <c r="BB39" s="1056" t="s">
        <v>1613</v>
      </c>
    </row>
    <row s="1656" customFormat="1" customHeight="1" ht="14.25">
      <c r="A40" s="1331"/>
      <c r="B40" s="1223"/>
      <c r="C40" s="1331"/>
      <c r="D40" s="1331"/>
      <c r="E40" s="623">
        <v>15</v>
      </c>
      <c r="F40" s="50" cm="1" t="str">
        <f t="array" ref="F40:F40">OFFSET(E40,-1,1)</f>
        <v>1</v>
      </c>
      <c r="G40" s="428" t="s">
        <v>345</v>
      </c>
      <c r="H40" s="428"/>
      <c r="I40" s="428"/>
      <c r="J40" s="428"/>
      <c r="K40" s="1331"/>
      <c r="L40" s="1331"/>
      <c r="M40" s="1331"/>
      <c r="N40" s="1331"/>
      <c r="O40" s="1331"/>
      <c r="P40" s="1331"/>
      <c r="Q40" s="1331"/>
      <c r="R40" s="1331"/>
      <c r="S40" s="1331"/>
      <c r="T40" s="468" cm="1" t="str">
        <f t="array" ref="T40:T40">T39</f>
        <v>true</v>
      </c>
      <c r="U40" s="1331"/>
      <c r="V40" s="1331"/>
      <c r="W40" s="1331"/>
      <c r="X40" s="1539"/>
      <c r="Y40" s="428"/>
      <c r="Z40" s="1560"/>
      <c r="AA40" s="428"/>
      <c r="AB40" s="857" t="s">
        <v>299</v>
      </c>
      <c r="AC40" s="859" t="s">
        <v>1614</v>
      </c>
      <c r="AD40" s="857" t="s">
        <v>561</v>
      </c>
      <c r="AE40" s="860">
        <f>_xlfn.SUMIFS(Сценарии!AJ$25:AJ$136,Сценарии!$F$25:$F$136,$F40,Сценарии!$AC$25:$AC$136,"Индекс потребительских цен")</f>
        <v>4.3</v>
      </c>
      <c r="AF40" s="860">
        <f>_xlfn.SUMIFS(Сценарии!AO$25:AO$136,Сценарии!$F$25:$F$136,$F40,Сценарии!$AC$25:$AC$136,"Индекс потребительских цен")</f>
        <v>0</v>
      </c>
      <c r="AG40" s="860">
        <f>_xlfn.SUMIFS(Сценарии!AP$25:AP$136,Сценарии!$F$25:$F$136,$F40,Сценарии!$AC$25:$AC$136,"Индекс потребительских цен")</f>
        <v>0</v>
      </c>
      <c r="AH40" s="860">
        <f>_xlfn.SUMIFS(Сценарии!AQ$25:AQ$136,Сценарии!$F$25:$F$136,$F40,Сценарии!$AC$25:$AC$136,"Индекс потребительских цен")</f>
        <v>0</v>
      </c>
      <c r="AI40" s="860">
        <f>_xlfn.SUMIFS(Сценарии!AR$25:AR$136,Сценарии!$F$25:$F$136,$F40,Сценарии!$AC$25:$AC$136,"Индекс потребительских цен")</f>
        <v>0</v>
      </c>
      <c r="AJ40" s="860">
        <f>_xlfn.SUMIFS(Сценарии!AS$25:AS$136,Сценарии!$F$25:$F$136,$F40,Сценарии!$AC$25:$AC$136,"Индекс потребительских цен")</f>
        <v>0</v>
      </c>
      <c r="AK40" s="860">
        <f>_xlfn.SUMIFS(Сценарии!AT$25:AT$136,Сценарии!$F$25:$F$136,$F40,Сценарии!$AC$25:$AC$136,"Индекс потребительских цен")</f>
        <v>0</v>
      </c>
      <c r="AL40" s="860">
        <f>_xlfn.SUMIFS(Сценарии!AU$25:AU$136,Сценарии!$F$25:$F$136,$F40,Сценарии!$AC$25:$AC$136,"Индекс потребительских цен")</f>
        <v>0</v>
      </c>
      <c r="AM40" s="860">
        <f>_xlfn.SUMIFS(Сценарии!AV$25:AV$136,Сценарии!$F$25:$F$136,$F40,Сценарии!$AC$25:$AC$136,"Индекс потребительских цен")</f>
        <v>0</v>
      </c>
      <c r="AN40" s="860">
        <f>_xlfn.SUMIFS(Сценарии!AW$25:AW$136,Сценарии!$F$25:$F$136,$F40,Сценарии!$AC$25:$AC$136,"Индекс потребительских цен")</f>
        <v>0</v>
      </c>
      <c r="AO40" s="860">
        <f>_xlfn.SUMIFS(Сценарии!AK$25:AK$136,Сценарии!$F$25:$F$136,$F40,Сценарии!$AC$25:$AC$136,"Индекс потребительских цен")</f>
        <v>5.1</v>
      </c>
      <c r="AP40" s="860">
        <f>_xlfn.SUMIFS(Сценарии!AX$25:AX$136,Сценарии!$F$25:$F$136,$F40,Сценарии!$AC$25:$AC$136,"Индекс потребительских цен")</f>
        <v>0</v>
      </c>
      <c r="AQ40" s="860">
        <f>_xlfn.SUMIFS(Сценарии!AY$25:AY$136,Сценарии!$F$25:$F$136,$F40,Сценарии!$AC$25:$AC$136,"Индекс потребительских цен")</f>
        <v>0</v>
      </c>
      <c r="AR40" s="860">
        <f>_xlfn.SUMIFS(Сценарии!AZ$25:AZ$136,Сценарии!$F$25:$F$136,$F40,Сценарии!$AC$25:$AC$136,"Индекс потребительских цен")</f>
        <v>0</v>
      </c>
      <c r="AS40" s="860">
        <f>_xlfn.SUMIFS(Сценарии!BA$25:BA$136,Сценарии!$F$25:$F$136,$F40,Сценарии!$AC$25:$AC$136,"Индекс потребительских цен")</f>
        <v>0</v>
      </c>
      <c r="AT40" s="860">
        <f>_xlfn.SUMIFS(Сценарии!BB$25:BB$136,Сценарии!$F$25:$F$136,$F40,Сценарии!$AC$25:$AC$136,"Индекс потребительских цен")</f>
        <v>0</v>
      </c>
      <c r="AU40" s="860">
        <f>_xlfn.SUMIFS(Сценарии!BC$25:BC$136,Сценарии!$F$25:$F$136,$F40,Сценарии!$AC$25:$AC$136,"Индекс потребительских цен")</f>
        <v>0</v>
      </c>
      <c r="AV40" s="860">
        <f>_xlfn.SUMIFS(Сценарии!BD$25:BD$136,Сценарии!$F$25:$F$136,$F40,Сценарии!$AC$25:$AC$136,"Индекс потребительских цен")</f>
        <v>0</v>
      </c>
      <c r="AW40" s="860">
        <f>_xlfn.SUMIFS(Сценарии!BE$25:BE$136,Сценарии!$F$25:$F$136,$F40,Сценарии!$AC$25:$AC$136,"Индекс потребительских цен")</f>
        <v>0</v>
      </c>
      <c r="AX40" s="860">
        <f>_xlfn.SUMIFS(Сценарии!BF$25:BF$136,Сценарии!$F$25:$F$136,$F40,Сценарии!$AC$25:$AC$136,"Индекс потребительских цен")</f>
        <v>0</v>
      </c>
      <c r="AY40" s="781"/>
      <c r="AZ40" s="428"/>
      <c r="BA40" s="1331"/>
      <c r="BB40" s="1005" t="s">
        <v>1615</v>
      </c>
    </row>
    <row s="4493" customFormat="1" customHeight="1" ht="14.25">
      <c r="A41" s="118"/>
      <c r="B41" s="430"/>
      <c r="C41" s="118"/>
      <c r="D41" s="118"/>
      <c r="E41" s="623">
        <v>15</v>
      </c>
      <c r="F41" s="50" cm="1" t="str">
        <f t="array" ref="F41:F41">OFFSET(E41,-1,1)</f>
        <v>1</v>
      </c>
      <c r="G41" s="428" t="s">
        <v>346</v>
      </c>
      <c r="H41" s="428"/>
      <c r="I41" s="428"/>
      <c r="J41" s="428"/>
      <c r="K41" s="118"/>
      <c r="L41" s="118"/>
      <c r="M41" s="118"/>
      <c r="N41" s="118"/>
      <c r="O41" s="118"/>
      <c r="P41" s="118"/>
      <c r="Q41" s="118"/>
      <c r="R41" s="118"/>
      <c r="S41" s="118"/>
      <c r="T41" s="468" cm="1" t="str">
        <f t="array" ref="T41:T41">T40</f>
        <v>true</v>
      </c>
      <c r="U41" s="118"/>
      <c r="V41" s="118"/>
      <c r="W41" s="118"/>
      <c r="X41" s="1539"/>
      <c r="Y41" s="428"/>
      <c r="Z41" s="1560"/>
      <c r="AA41" s="428"/>
      <c r="AB41" s="773">
        <v>3</v>
      </c>
      <c r="AC41" s="859" t="s">
        <v>1616</v>
      </c>
      <c r="AD41" s="857" t="s">
        <v>561</v>
      </c>
      <c r="AE41" s="861" cm="1" t="str">
        <f t="array" ref="AE41:AE41">AE40</f>
        <v>4.3</v>
      </c>
      <c r="AF41" s="4492">
        <f>AE41*AF40/100</f>
        <v>0</v>
      </c>
      <c r="AG41" s="4492">
        <f>AF41*AG40/100</f>
        <v>0</v>
      </c>
      <c r="AH41" s="4492">
        <f>AG41*AH40/100</f>
        <v>0</v>
      </c>
      <c r="AI41" s="4492">
        <f>AH41*AI40/100</f>
        <v>0</v>
      </c>
      <c r="AJ41" s="4492">
        <f>AI41*AJ40/100</f>
        <v>0</v>
      </c>
      <c r="AK41" s="4492">
        <f>AJ41*AK40/100</f>
        <v>0</v>
      </c>
      <c r="AL41" s="4492">
        <f>AK41*AL40/100</f>
        <v>0</v>
      </c>
      <c r="AM41" s="4492">
        <f>AL41*AM40/100</f>
        <v>0</v>
      </c>
      <c r="AN41" s="4492">
        <f>AM41*AN40/100</f>
        <v>0</v>
      </c>
      <c r="AO41" s="861">
        <f>AN41*AO40/100</f>
        <v>0</v>
      </c>
      <c r="AP41" s="4492">
        <f>AO41*AP40/100</f>
        <v>0</v>
      </c>
      <c r="AQ41" s="4492">
        <f>AP41*AQ40/100</f>
        <v>0</v>
      </c>
      <c r="AR41" s="4492">
        <f>AQ41*AR40/100</f>
        <v>0</v>
      </c>
      <c r="AS41" s="4492">
        <f>AR41*AS40/100</f>
        <v>0</v>
      </c>
      <c r="AT41" s="4492">
        <f>AS41*AT40/100</f>
        <v>0</v>
      </c>
      <c r="AU41" s="4492">
        <f>AT41*AU40/100</f>
        <v>0</v>
      </c>
      <c r="AV41" s="4492">
        <f>AU41*AV40/100</f>
        <v>0</v>
      </c>
      <c r="AW41" s="4492">
        <f>AV41*AW40/100</f>
        <v>0</v>
      </c>
      <c r="AX41" s="4492">
        <f>AW41*AX40/100</f>
        <v>0</v>
      </c>
      <c r="AY41" s="781"/>
      <c r="AZ41" s="428"/>
      <c r="BA41" s="704"/>
      <c r="BB41" s="1059" t="s">
        <v>1617</v>
      </c>
    </row>
    <row s="1656" customFormat="1" customHeight="1" ht="14.25">
      <c r="A42" s="237"/>
      <c r="B42" s="433"/>
      <c r="C42" s="237"/>
      <c r="D42" s="237"/>
      <c r="E42" s="697">
        <v>15</v>
      </c>
      <c r="F42" s="50" cm="1" t="str">
        <f t="array" ref="F42:F42">OFFSET(E42,-1,1)</f>
        <v>1</v>
      </c>
      <c r="G42" s="428" t="s">
        <v>348</v>
      </c>
      <c r="H42" s="428" t="s">
        <v>1618</v>
      </c>
      <c r="I42" s="143"/>
      <c r="J42" s="143"/>
      <c r="K42" s="237"/>
      <c r="L42" s="237"/>
      <c r="M42" s="237"/>
      <c r="N42" s="237"/>
      <c r="O42" s="237"/>
      <c r="P42" s="237"/>
      <c r="Q42" s="237"/>
      <c r="R42" s="237"/>
      <c r="S42" s="237"/>
      <c r="T42" s="468" cm="1" t="str">
        <f t="array" ref="T42:T42">T41</f>
        <v>true</v>
      </c>
      <c r="U42" s="237"/>
      <c r="V42" s="237"/>
      <c r="W42" s="237"/>
      <c r="X42" s="1539"/>
      <c r="Y42" s="143"/>
      <c r="Z42" s="1560"/>
      <c r="AA42" s="143"/>
      <c r="AB42" s="243" t="s">
        <v>451</v>
      </c>
      <c r="AC42" s="242" t="s">
        <v>1619</v>
      </c>
      <c r="AD42" s="243" t="s">
        <v>936</v>
      </c>
      <c r="AE42" s="851">
        <f>AE36*AE41/100</f>
        <v>0</v>
      </c>
      <c r="AF42" s="851">
        <f>AF36*AF41/100</f>
        <v>0</v>
      </c>
      <c r="AG42" s="851">
        <f>AG36*AG41/100</f>
        <v>0</v>
      </c>
      <c r="AH42" s="851">
        <f>AH36*AH41/100</f>
        <v>0</v>
      </c>
      <c r="AI42" s="851">
        <f>AI36*AI41/100</f>
        <v>0</v>
      </c>
      <c r="AJ42" s="851">
        <f>AJ36*AJ41/100</f>
        <v>0</v>
      </c>
      <c r="AK42" s="851">
        <f>AK36*AK41/100</f>
        <v>0</v>
      </c>
      <c r="AL42" s="851">
        <f>AL36*AL41/100</f>
        <v>0</v>
      </c>
      <c r="AM42" s="851">
        <f>AM36*AM41/100</f>
        <v>0</v>
      </c>
      <c r="AN42" s="851">
        <f>AN36*AN41/100</f>
        <v>0</v>
      </c>
      <c r="AO42" s="851">
        <f>AO36*AO41/100</f>
        <v>0</v>
      </c>
      <c r="AP42" s="851">
        <f>AP36*AP41/100</f>
        <v>0</v>
      </c>
      <c r="AQ42" s="851">
        <f>AQ36*AQ41/100</f>
        <v>0</v>
      </c>
      <c r="AR42" s="851">
        <f>AR36*AR41/100</f>
        <v>0</v>
      </c>
      <c r="AS42" s="851">
        <f>AS36*AS41/100</f>
        <v>0</v>
      </c>
      <c r="AT42" s="851">
        <f>AT36*AT41/100</f>
        <v>0</v>
      </c>
      <c r="AU42" s="851">
        <f>AU36*AU41/100</f>
        <v>0</v>
      </c>
      <c r="AV42" s="851">
        <f>AV36*AV41/100</f>
        <v>0</v>
      </c>
      <c r="AW42" s="851">
        <f>AW36*AW41/100</f>
        <v>0</v>
      </c>
      <c r="AX42" s="851">
        <f>AX36*AX41/100</f>
        <v>0</v>
      </c>
      <c r="AY42" s="781"/>
      <c r="AZ42" s="143"/>
      <c r="BA42" s="1331"/>
      <c r="BB42" s="1005" t="s">
        <v>1620</v>
      </c>
    </row>
    <row s="1656" customFormat="1" customHeight="1" ht="14.25">
      <c r="A43" s="1331"/>
      <c r="B43" s="1223"/>
      <c r="C43" s="1331"/>
      <c r="D43" s="1331"/>
      <c r="E43" s="623">
        <v>15</v>
      </c>
      <c r="F43" s="496" cm="1" t="str">
        <f t="array" ref="F43:F43">X43</f>
        <v>2</v>
      </c>
      <c r="G43" s="428"/>
      <c r="H43" s="428"/>
      <c r="I43" s="428"/>
      <c r="J43" s="428"/>
      <c r="K43" s="1331"/>
      <c r="L43" s="1331"/>
      <c r="M43" s="1331"/>
      <c r="N43" s="1331"/>
      <c r="O43" s="1331"/>
      <c r="P43" s="1331"/>
      <c r="Q43" s="1331"/>
      <c r="R43" s="1331"/>
      <c r="S43" s="1331"/>
      <c r="T43" s="468">
        <f>X43&gt;0</f>
        <v>1</v>
      </c>
      <c r="U43" s="1331"/>
      <c r="V43" s="118" cm="1" t="str">
        <f t="array" ref="V43:V43">'ИП + источники'!$AB$116</f>
        <v>Тариф 2 (Водоотведение) - тариф на водоотведение (Оказание услуг на территории: город Ленинск-Кузнецкий (ОКТМО: 32719000) - г Ленинск-Кузнецкий)</v>
      </c>
      <c r="W43" s="1331"/>
      <c r="X43" s="1539" t="s">
        <v>299</v>
      </c>
      <c r="Y43" s="428"/>
      <c r="Z43" s="1560"/>
      <c r="AA43" s="428"/>
      <c r="AB43" s="238" cm="1" t="str">
        <f t="array" ref="AB43:AB43">'ИП + источники'!$AB$116</f>
        <v>Тариф 2 (Водоотведение) - тариф на водоотведение (Оказание услуг на территории: город Ленинск-Кузнецкий (ОКТМО: 32719000) - г Ленинск-Кузнецкий)</v>
      </c>
      <c r="AC43" s="839"/>
      <c r="AD43" s="839"/>
      <c r="AE43" s="839"/>
      <c r="AF43" s="839"/>
      <c r="AG43" s="839"/>
      <c r="AH43" s="839"/>
      <c r="AI43" s="839"/>
      <c r="AJ43" s="839"/>
      <c r="AK43" s="839"/>
      <c r="AL43" s="839"/>
      <c r="AM43" s="839"/>
      <c r="AN43" s="839"/>
      <c r="AO43" s="839"/>
      <c r="AP43" s="839"/>
      <c r="AQ43" s="839"/>
      <c r="AR43" s="839"/>
      <c r="AS43" s="839"/>
      <c r="AT43" s="839"/>
      <c r="AU43" s="839"/>
      <c r="AV43" s="839"/>
      <c r="AW43" s="839"/>
      <c r="AX43" s="839"/>
      <c r="AY43" s="839"/>
      <c r="AZ43" s="428"/>
      <c r="BA43" s="1331"/>
      <c r="BB43" s="1245"/>
    </row>
    <row s="1656" customFormat="1" customHeight="1" ht="14.25">
      <c r="A44" s="237"/>
      <c r="B44" s="433"/>
      <c r="C44" s="237"/>
      <c r="D44" s="237"/>
      <c r="E44" s="697">
        <v>15</v>
      </c>
      <c r="F44" s="50" cm="1" t="str">
        <f t="array" ref="F44:F44">OFFSET(E44,-1,1)</f>
        <v>2</v>
      </c>
      <c r="G44" s="428" t="s">
        <v>344</v>
      </c>
      <c r="H44" s="143"/>
      <c r="I44" s="143"/>
      <c r="J44" s="143"/>
      <c r="K44" s="237"/>
      <c r="L44" s="237"/>
      <c r="M44" s="237"/>
      <c r="N44" s="237"/>
      <c r="O44" s="237"/>
      <c r="P44" s="237"/>
      <c r="Q44" s="237"/>
      <c r="R44" s="237"/>
      <c r="S44" s="237"/>
      <c r="T44" s="468" cm="1" t="str">
        <f t="array" ref="T44:T44">T43</f>
        <v>true</v>
      </c>
      <c r="U44" s="237"/>
      <c r="V44" s="237"/>
      <c r="W44" s="237"/>
      <c r="X44" s="1539"/>
      <c r="Y44" s="143"/>
      <c r="Z44" s="1560"/>
      <c r="AA44" s="143"/>
      <c r="AB44" s="243" t="s">
        <v>290</v>
      </c>
      <c r="AC44" s="242" t="s">
        <v>1607</v>
      </c>
      <c r="AD44" s="243" t="s">
        <v>936</v>
      </c>
      <c r="AE44" s="851">
        <f>AE45+AE46+AE47</f>
        <v>0</v>
      </c>
      <c r="AF44" s="851">
        <f>AF45+AF46+AF47</f>
        <v>0</v>
      </c>
      <c r="AG44" s="851">
        <f>AG45+AG46+AG47</f>
        <v>0</v>
      </c>
      <c r="AH44" s="851">
        <f>AH45+AH46+AH47</f>
        <v>0</v>
      </c>
      <c r="AI44" s="851">
        <f>AI45+AI46+AI47</f>
        <v>0</v>
      </c>
      <c r="AJ44" s="851">
        <f>AJ45+AJ46+AJ47</f>
        <v>0</v>
      </c>
      <c r="AK44" s="851">
        <f>AK45+AK46+AK47</f>
        <v>0</v>
      </c>
      <c r="AL44" s="851">
        <f>AL45+AL46+AL47</f>
        <v>0</v>
      </c>
      <c r="AM44" s="851">
        <f>AM45+AM46+AM47</f>
        <v>0</v>
      </c>
      <c r="AN44" s="851">
        <f>AN45+AN46+AN47</f>
        <v>0</v>
      </c>
      <c r="AO44" s="851">
        <f>AO45+AO46+AO47</f>
        <v>0</v>
      </c>
      <c r="AP44" s="851">
        <f>AP45+AP46+AP47</f>
        <v>0</v>
      </c>
      <c r="AQ44" s="851">
        <f>AQ45+AQ46+AQ47</f>
        <v>0</v>
      </c>
      <c r="AR44" s="851">
        <f>AR45+AR46+AR47</f>
        <v>0</v>
      </c>
      <c r="AS44" s="851">
        <f>AS45+AS46+AS47</f>
        <v>0</v>
      </c>
      <c r="AT44" s="851">
        <f>AT45+AT46+AT47</f>
        <v>0</v>
      </c>
      <c r="AU44" s="851">
        <f>AU45+AU46+AU47</f>
        <v>0</v>
      </c>
      <c r="AV44" s="851">
        <f>AV45+AV46+AV47</f>
        <v>0</v>
      </c>
      <c r="AW44" s="851">
        <f>AW45+AW46+AW47</f>
        <v>0</v>
      </c>
      <c r="AX44" s="851">
        <f>AX45+AX46+AX47</f>
        <v>0</v>
      </c>
      <c r="AY44" s="781"/>
      <c r="AZ44" s="143"/>
      <c r="BA44" s="1331"/>
      <c r="BB44" s="1005" t="s">
        <v>1535</v>
      </c>
    </row>
    <row s="1656" customFormat="1" customHeight="1" ht="14.25">
      <c r="A45" s="1331"/>
      <c r="B45" s="1223"/>
      <c r="C45" s="1331"/>
      <c r="D45" s="1331"/>
      <c r="E45" s="623">
        <v>15</v>
      </c>
      <c r="F45" s="50" cm="1" t="str">
        <f t="array" ref="F45:F45">OFFSET(E45,-1,1)</f>
        <v>2</v>
      </c>
      <c r="G45" s="428" t="s">
        <v>566</v>
      </c>
      <c r="H45" s="428"/>
      <c r="I45" s="428"/>
      <c r="J45" s="428"/>
      <c r="K45" s="1331"/>
      <c r="L45" s="1331"/>
      <c r="M45" s="1331"/>
      <c r="N45" s="1331"/>
      <c r="O45" s="1331"/>
      <c r="P45" s="1331"/>
      <c r="Q45" s="1331"/>
      <c r="R45" s="1331"/>
      <c r="S45" s="1331"/>
      <c r="T45" s="468" cm="1" t="str">
        <f t="array" ref="T45:T45">T44</f>
        <v>true</v>
      </c>
      <c r="U45" s="1331"/>
      <c r="V45" s="1331"/>
      <c r="W45" s="1331"/>
      <c r="X45" s="1539"/>
      <c r="Y45" s="428"/>
      <c r="Z45" s="1560"/>
      <c r="AA45" s="428"/>
      <c r="AB45" s="857" t="s">
        <v>1067</v>
      </c>
      <c r="AC45" s="858" t="s">
        <v>1608</v>
      </c>
      <c r="AD45" s="857" t="s">
        <v>936</v>
      </c>
      <c r="AE45" s="294"/>
      <c r="AF45" s="4146"/>
      <c r="AG45" s="4146"/>
      <c r="AH45" s="4146"/>
      <c r="AI45" s="4146"/>
      <c r="AJ45" s="4146"/>
      <c r="AK45" s="4146"/>
      <c r="AL45" s="4146"/>
      <c r="AM45" s="4146"/>
      <c r="AN45" s="4146"/>
      <c r="AO45" s="294"/>
      <c r="AP45" s="4146"/>
      <c r="AQ45" s="4146"/>
      <c r="AR45" s="4146"/>
      <c r="AS45" s="4146"/>
      <c r="AT45" s="4146"/>
      <c r="AU45" s="4146"/>
      <c r="AV45" s="4146"/>
      <c r="AW45" s="4146"/>
      <c r="AX45" s="4146"/>
      <c r="AY45" s="781"/>
      <c r="AZ45" s="428"/>
      <c r="BA45" s="1331"/>
      <c r="BB45" s="1005" t="s">
        <v>1609</v>
      </c>
    </row>
    <row s="1656" customFormat="1" customHeight="1" ht="23.25">
      <c r="A46" s="1331"/>
      <c r="B46" s="1223"/>
      <c r="C46" s="1331"/>
      <c r="D46" s="1331"/>
      <c r="E46" s="623">
        <v>24</v>
      </c>
      <c r="F46" s="50" cm="1" t="str">
        <f t="array" ref="F46:F46">OFFSET(E46,-1,1)</f>
        <v>2</v>
      </c>
      <c r="G46" s="428" t="s">
        <v>570</v>
      </c>
      <c r="H46" s="428"/>
      <c r="I46" s="428"/>
      <c r="J46" s="428"/>
      <c r="K46" s="1331"/>
      <c r="L46" s="1331"/>
      <c r="M46" s="1331"/>
      <c r="N46" s="1331"/>
      <c r="O46" s="1331"/>
      <c r="P46" s="1331"/>
      <c r="Q46" s="1331"/>
      <c r="R46" s="1331"/>
      <c r="S46" s="1331"/>
      <c r="T46" s="468" cm="1" t="str">
        <f t="array" ref="T46:T46">T45</f>
        <v>true</v>
      </c>
      <c r="U46" s="1331"/>
      <c r="V46" s="1331"/>
      <c r="W46" s="1331"/>
      <c r="X46" s="1539"/>
      <c r="Y46" s="428"/>
      <c r="Z46" s="1560"/>
      <c r="AA46" s="428"/>
      <c r="AB46" s="857" t="s">
        <v>1070</v>
      </c>
      <c r="AC46" s="858" t="s">
        <v>1610</v>
      </c>
      <c r="AD46" s="857" t="s">
        <v>936</v>
      </c>
      <c r="AE46" s="294"/>
      <c r="AF46" s="4146"/>
      <c r="AG46" s="4146"/>
      <c r="AH46" s="4146"/>
      <c r="AI46" s="4146"/>
      <c r="AJ46" s="4146"/>
      <c r="AK46" s="4146"/>
      <c r="AL46" s="4146"/>
      <c r="AM46" s="4146"/>
      <c r="AN46" s="4146"/>
      <c r="AO46" s="294"/>
      <c r="AP46" s="4146"/>
      <c r="AQ46" s="4146"/>
      <c r="AR46" s="4146"/>
      <c r="AS46" s="4146"/>
      <c r="AT46" s="4146"/>
      <c r="AU46" s="4146"/>
      <c r="AV46" s="4146"/>
      <c r="AW46" s="4146"/>
      <c r="AX46" s="4146"/>
      <c r="AY46" s="781"/>
      <c r="AZ46" s="428"/>
      <c r="BA46" s="1331"/>
      <c r="BB46" s="1005" t="s">
        <v>1611</v>
      </c>
    </row>
    <row s="1656" customFormat="1" customHeight="1" ht="33">
      <c r="A47" s="118"/>
      <c r="B47" s="430"/>
      <c r="C47" s="118"/>
      <c r="D47" s="118"/>
      <c r="E47" s="623">
        <v>34.2</v>
      </c>
      <c r="F47" s="1194" cm="1" t="str">
        <f t="array" ref="F47:F47">OFFSET(E47,-1,1)</f>
        <v>2</v>
      </c>
      <c r="G47" s="428" t="s">
        <v>573</v>
      </c>
      <c r="H47" s="428"/>
      <c r="I47" s="428"/>
      <c r="J47" s="428"/>
      <c r="K47" s="118"/>
      <c r="L47" s="118"/>
      <c r="M47" s="118"/>
      <c r="N47" s="118"/>
      <c r="O47" s="118"/>
      <c r="P47" s="118"/>
      <c r="Q47" s="118"/>
      <c r="R47" s="118"/>
      <c r="S47" s="118"/>
      <c r="T47" s="468" cm="1" t="str">
        <f t="array" ref="T47:T47">T46</f>
        <v>true</v>
      </c>
      <c r="U47" s="118"/>
      <c r="V47" s="118"/>
      <c r="W47" s="118"/>
      <c r="X47" s="1539"/>
      <c r="Y47" s="428"/>
      <c r="Z47" s="1560"/>
      <c r="AA47" s="428"/>
      <c r="AB47" s="857" t="s">
        <v>1073</v>
      </c>
      <c r="AC47" s="858" t="s">
        <v>1612</v>
      </c>
      <c r="AD47" s="857" t="s">
        <v>936</v>
      </c>
      <c r="AE47" s="294"/>
      <c r="AF47" s="4146"/>
      <c r="AG47" s="4146"/>
      <c r="AH47" s="4146"/>
      <c r="AI47" s="4146"/>
      <c r="AJ47" s="4146"/>
      <c r="AK47" s="4146"/>
      <c r="AL47" s="4146"/>
      <c r="AM47" s="4146"/>
      <c r="AN47" s="4146"/>
      <c r="AO47" s="294"/>
      <c r="AP47" s="4146"/>
      <c r="AQ47" s="4146"/>
      <c r="AR47" s="4146"/>
      <c r="AS47" s="4146"/>
      <c r="AT47" s="4146"/>
      <c r="AU47" s="4146"/>
      <c r="AV47" s="4146"/>
      <c r="AW47" s="4146"/>
      <c r="AX47" s="4146"/>
      <c r="AY47" s="781"/>
      <c r="AZ47" s="428"/>
      <c r="BA47" s="1656"/>
      <c r="BB47" s="1056" t="s">
        <v>1613</v>
      </c>
    </row>
    <row s="1656" customFormat="1" customHeight="1" ht="14.25">
      <c r="A48" s="1331"/>
      <c r="B48" s="1223"/>
      <c r="C48" s="1331"/>
      <c r="D48" s="1331"/>
      <c r="E48" s="623">
        <v>15</v>
      </c>
      <c r="F48" s="50" cm="1" t="str">
        <f t="array" ref="F48:F48">OFFSET(E48,-1,1)</f>
        <v>2</v>
      </c>
      <c r="G48" s="428" t="s">
        <v>345</v>
      </c>
      <c r="H48" s="428"/>
      <c r="I48" s="428"/>
      <c r="J48" s="428"/>
      <c r="K48" s="1331"/>
      <c r="L48" s="1331"/>
      <c r="M48" s="1331"/>
      <c r="N48" s="1331"/>
      <c r="O48" s="1331"/>
      <c r="P48" s="1331"/>
      <c r="Q48" s="1331"/>
      <c r="R48" s="1331"/>
      <c r="S48" s="1331"/>
      <c r="T48" s="468" cm="1" t="str">
        <f t="array" ref="T48:T48">T47</f>
        <v>true</v>
      </c>
      <c r="U48" s="1331"/>
      <c r="V48" s="1331"/>
      <c r="W48" s="1331"/>
      <c r="X48" s="1539"/>
      <c r="Y48" s="428"/>
      <c r="Z48" s="1560"/>
      <c r="AA48" s="428"/>
      <c r="AB48" s="857" t="s">
        <v>299</v>
      </c>
      <c r="AC48" s="859" t="s">
        <v>1614</v>
      </c>
      <c r="AD48" s="857" t="s">
        <v>561</v>
      </c>
      <c r="AE48" s="860">
        <f>_xlfn.SUMIFS(Сценарии!AJ$25:AJ$136,Сценарии!$F$25:$F$136,$F48,Сценарии!$AC$25:$AC$136,"Индекс потребительских цен")</f>
        <v>4.3</v>
      </c>
      <c r="AF48" s="860">
        <f>_xlfn.SUMIFS(Сценарии!AO$25:AO$136,Сценарии!$F$25:$F$136,$F48,Сценарии!$AC$25:$AC$136,"Индекс потребительских цен")</f>
        <v>0</v>
      </c>
      <c r="AG48" s="860">
        <f>_xlfn.SUMIFS(Сценарии!AP$25:AP$136,Сценарии!$F$25:$F$136,$F48,Сценарии!$AC$25:$AC$136,"Индекс потребительских цен")</f>
        <v>0</v>
      </c>
      <c r="AH48" s="860">
        <f>_xlfn.SUMIFS(Сценарии!AQ$25:AQ$136,Сценарии!$F$25:$F$136,$F48,Сценарии!$AC$25:$AC$136,"Индекс потребительских цен")</f>
        <v>0</v>
      </c>
      <c r="AI48" s="860">
        <f>_xlfn.SUMIFS(Сценарии!AR$25:AR$136,Сценарии!$F$25:$F$136,$F48,Сценарии!$AC$25:$AC$136,"Индекс потребительских цен")</f>
        <v>0</v>
      </c>
      <c r="AJ48" s="860">
        <f>_xlfn.SUMIFS(Сценарии!AS$25:AS$136,Сценарии!$F$25:$F$136,$F48,Сценарии!$AC$25:$AC$136,"Индекс потребительских цен")</f>
        <v>0</v>
      </c>
      <c r="AK48" s="860">
        <f>_xlfn.SUMIFS(Сценарии!AT$25:AT$136,Сценарии!$F$25:$F$136,$F48,Сценарии!$AC$25:$AC$136,"Индекс потребительских цен")</f>
        <v>0</v>
      </c>
      <c r="AL48" s="860">
        <f>_xlfn.SUMIFS(Сценарии!AU$25:AU$136,Сценарии!$F$25:$F$136,$F48,Сценарии!$AC$25:$AC$136,"Индекс потребительских цен")</f>
        <v>0</v>
      </c>
      <c r="AM48" s="860">
        <f>_xlfn.SUMIFS(Сценарии!AV$25:AV$136,Сценарии!$F$25:$F$136,$F48,Сценарии!$AC$25:$AC$136,"Индекс потребительских цен")</f>
        <v>0</v>
      </c>
      <c r="AN48" s="860">
        <f>_xlfn.SUMIFS(Сценарии!AW$25:AW$136,Сценарии!$F$25:$F$136,$F48,Сценарии!$AC$25:$AC$136,"Индекс потребительских цен")</f>
        <v>0</v>
      </c>
      <c r="AO48" s="860">
        <f>_xlfn.SUMIFS(Сценарии!AK$25:AK$136,Сценарии!$F$25:$F$136,$F48,Сценарии!$AC$25:$AC$136,"Индекс потребительских цен")</f>
        <v>5.1</v>
      </c>
      <c r="AP48" s="860">
        <f>_xlfn.SUMIFS(Сценарии!AX$25:AX$136,Сценарии!$F$25:$F$136,$F48,Сценарии!$AC$25:$AC$136,"Индекс потребительских цен")</f>
        <v>0</v>
      </c>
      <c r="AQ48" s="860">
        <f>_xlfn.SUMIFS(Сценарии!AY$25:AY$136,Сценарии!$F$25:$F$136,$F48,Сценарии!$AC$25:$AC$136,"Индекс потребительских цен")</f>
        <v>0</v>
      </c>
      <c r="AR48" s="860">
        <f>_xlfn.SUMIFS(Сценарии!AZ$25:AZ$136,Сценарии!$F$25:$F$136,$F48,Сценарии!$AC$25:$AC$136,"Индекс потребительских цен")</f>
        <v>0</v>
      </c>
      <c r="AS48" s="860">
        <f>_xlfn.SUMIFS(Сценарии!BA$25:BA$136,Сценарии!$F$25:$F$136,$F48,Сценарии!$AC$25:$AC$136,"Индекс потребительских цен")</f>
        <v>0</v>
      </c>
      <c r="AT48" s="860">
        <f>_xlfn.SUMIFS(Сценарии!BB$25:BB$136,Сценарии!$F$25:$F$136,$F48,Сценарии!$AC$25:$AC$136,"Индекс потребительских цен")</f>
        <v>0</v>
      </c>
      <c r="AU48" s="860">
        <f>_xlfn.SUMIFS(Сценарии!BC$25:BC$136,Сценарии!$F$25:$F$136,$F48,Сценарии!$AC$25:$AC$136,"Индекс потребительских цен")</f>
        <v>0</v>
      </c>
      <c r="AV48" s="860">
        <f>_xlfn.SUMIFS(Сценарии!BD$25:BD$136,Сценарии!$F$25:$F$136,$F48,Сценарии!$AC$25:$AC$136,"Индекс потребительских цен")</f>
        <v>0</v>
      </c>
      <c r="AW48" s="860">
        <f>_xlfn.SUMIFS(Сценарии!BE$25:BE$136,Сценарии!$F$25:$F$136,$F48,Сценарии!$AC$25:$AC$136,"Индекс потребительских цен")</f>
        <v>0</v>
      </c>
      <c r="AX48" s="860">
        <f>_xlfn.SUMIFS(Сценарии!BF$25:BF$136,Сценарии!$F$25:$F$136,$F48,Сценарии!$AC$25:$AC$136,"Индекс потребительских цен")</f>
        <v>0</v>
      </c>
      <c r="AY48" s="781"/>
      <c r="AZ48" s="428"/>
      <c r="BA48" s="1331"/>
      <c r="BB48" s="1005" t="s">
        <v>1615</v>
      </c>
    </row>
    <row s="4495" customFormat="1" customHeight="1" ht="14.25">
      <c r="A49" s="118"/>
      <c r="B49" s="430"/>
      <c r="C49" s="118"/>
      <c r="D49" s="118"/>
      <c r="E49" s="623">
        <v>15</v>
      </c>
      <c r="F49" s="50" cm="1" t="str">
        <f t="array" ref="F49:F49">OFFSET(E49,-1,1)</f>
        <v>2</v>
      </c>
      <c r="G49" s="428" t="s">
        <v>346</v>
      </c>
      <c r="H49" s="428"/>
      <c r="I49" s="428"/>
      <c r="J49" s="428"/>
      <c r="K49" s="118"/>
      <c r="L49" s="118"/>
      <c r="M49" s="118"/>
      <c r="N49" s="118"/>
      <c r="O49" s="118"/>
      <c r="P49" s="118"/>
      <c r="Q49" s="118"/>
      <c r="R49" s="118"/>
      <c r="S49" s="118"/>
      <c r="T49" s="468" cm="1" t="str">
        <f t="array" ref="T49:T49">T48</f>
        <v>true</v>
      </c>
      <c r="U49" s="118"/>
      <c r="V49" s="118"/>
      <c r="W49" s="118"/>
      <c r="X49" s="1539"/>
      <c r="Y49" s="428"/>
      <c r="Z49" s="1560"/>
      <c r="AA49" s="428"/>
      <c r="AB49" s="773">
        <v>3</v>
      </c>
      <c r="AC49" s="859" t="s">
        <v>1616</v>
      </c>
      <c r="AD49" s="857" t="s">
        <v>561</v>
      </c>
      <c r="AE49" s="861" cm="1" t="str">
        <f t="array" ref="AE49:AE49">AE48</f>
        <v>4.3</v>
      </c>
      <c r="AF49" s="4492">
        <f>AE49*AF48/100</f>
        <v>0</v>
      </c>
      <c r="AG49" s="4492">
        <f>AF49*AG48/100</f>
        <v>0</v>
      </c>
      <c r="AH49" s="4492">
        <f>AG49*AH48/100</f>
        <v>0</v>
      </c>
      <c r="AI49" s="4492">
        <f>AH49*AI48/100</f>
        <v>0</v>
      </c>
      <c r="AJ49" s="4492">
        <f>AI49*AJ48/100</f>
        <v>0</v>
      </c>
      <c r="AK49" s="4492">
        <f>AJ49*AK48/100</f>
        <v>0</v>
      </c>
      <c r="AL49" s="4492">
        <f>AK49*AL48/100</f>
        <v>0</v>
      </c>
      <c r="AM49" s="4492">
        <f>AL49*AM48/100</f>
        <v>0</v>
      </c>
      <c r="AN49" s="4492">
        <f>AM49*AN48/100</f>
        <v>0</v>
      </c>
      <c r="AO49" s="861">
        <f>AN49*AO48/100</f>
        <v>0</v>
      </c>
      <c r="AP49" s="4492">
        <f>AO49*AP48/100</f>
        <v>0</v>
      </c>
      <c r="AQ49" s="4492">
        <f>AP49*AQ48/100</f>
        <v>0</v>
      </c>
      <c r="AR49" s="4492">
        <f>AQ49*AR48/100</f>
        <v>0</v>
      </c>
      <c r="AS49" s="4492">
        <f>AR49*AS48/100</f>
        <v>0</v>
      </c>
      <c r="AT49" s="4492">
        <f>AS49*AT48/100</f>
        <v>0</v>
      </c>
      <c r="AU49" s="4492">
        <f>AT49*AU48/100</f>
        <v>0</v>
      </c>
      <c r="AV49" s="4492">
        <f>AU49*AV48/100</f>
        <v>0</v>
      </c>
      <c r="AW49" s="4492">
        <f>AV49*AW48/100</f>
        <v>0</v>
      </c>
      <c r="AX49" s="4492">
        <f>AW49*AX48/100</f>
        <v>0</v>
      </c>
      <c r="AY49" s="781"/>
      <c r="AZ49" s="428"/>
      <c r="BA49" s="704"/>
      <c r="BB49" s="1059" t="s">
        <v>1617</v>
      </c>
    </row>
    <row s="1656" customFormat="1" customHeight="1" ht="14.25">
      <c r="A50" s="237"/>
      <c r="B50" s="433"/>
      <c r="C50" s="237"/>
      <c r="D50" s="237"/>
      <c r="E50" s="697">
        <v>15</v>
      </c>
      <c r="F50" s="50" cm="1" t="str">
        <f t="array" ref="F50:F50">OFFSET(E50,-1,1)</f>
        <v>2</v>
      </c>
      <c r="G50" s="428" t="s">
        <v>348</v>
      </c>
      <c r="H50" s="428" t="s">
        <v>1618</v>
      </c>
      <c r="I50" s="143"/>
      <c r="J50" s="143"/>
      <c r="K50" s="237"/>
      <c r="L50" s="237"/>
      <c r="M50" s="237"/>
      <c r="N50" s="237"/>
      <c r="O50" s="237"/>
      <c r="P50" s="237"/>
      <c r="Q50" s="237"/>
      <c r="R50" s="237"/>
      <c r="S50" s="237"/>
      <c r="T50" s="468" cm="1" t="str">
        <f t="array" ref="T50:T50">T49</f>
        <v>true</v>
      </c>
      <c r="U50" s="237"/>
      <c r="V50" s="237"/>
      <c r="W50" s="237"/>
      <c r="X50" s="1539"/>
      <c r="Y50" s="143"/>
      <c r="Z50" s="1560"/>
      <c r="AA50" s="143"/>
      <c r="AB50" s="243" t="s">
        <v>451</v>
      </c>
      <c r="AC50" s="242" t="s">
        <v>1619</v>
      </c>
      <c r="AD50" s="243" t="s">
        <v>936</v>
      </c>
      <c r="AE50" s="851">
        <f>AE44*AE49/100</f>
        <v>0</v>
      </c>
      <c r="AF50" s="851">
        <f>AF44*AF49/100</f>
        <v>0</v>
      </c>
      <c r="AG50" s="851">
        <f>AG44*AG49/100</f>
        <v>0</v>
      </c>
      <c r="AH50" s="851">
        <f>AH44*AH49/100</f>
        <v>0</v>
      </c>
      <c r="AI50" s="851">
        <f>AI44*AI49/100</f>
        <v>0</v>
      </c>
      <c r="AJ50" s="851">
        <f>AJ44*AJ49/100</f>
        <v>0</v>
      </c>
      <c r="AK50" s="851">
        <f>AK44*AK49/100</f>
        <v>0</v>
      </c>
      <c r="AL50" s="851">
        <f>AL44*AL49/100</f>
        <v>0</v>
      </c>
      <c r="AM50" s="851">
        <f>AM44*AM49/100</f>
        <v>0</v>
      </c>
      <c r="AN50" s="851">
        <f>AN44*AN49/100</f>
        <v>0</v>
      </c>
      <c r="AO50" s="851">
        <f>AO44*AO49/100</f>
        <v>0</v>
      </c>
      <c r="AP50" s="851">
        <f>AP44*AP49/100</f>
        <v>0</v>
      </c>
      <c r="AQ50" s="851">
        <f>AQ44*AQ49/100</f>
        <v>0</v>
      </c>
      <c r="AR50" s="851">
        <f>AR44*AR49/100</f>
        <v>0</v>
      </c>
      <c r="AS50" s="851">
        <f>AS44*AS49/100</f>
        <v>0</v>
      </c>
      <c r="AT50" s="851">
        <f>AT44*AT49/100</f>
        <v>0</v>
      </c>
      <c r="AU50" s="851">
        <f>AU44*AU49/100</f>
        <v>0</v>
      </c>
      <c r="AV50" s="851">
        <f>AV44*AV49/100</f>
        <v>0</v>
      </c>
      <c r="AW50" s="851">
        <f>AW44*AW49/100</f>
        <v>0</v>
      </c>
      <c r="AX50" s="851">
        <f>AX44*AX49/100</f>
        <v>0</v>
      </c>
      <c r="AY50" s="781"/>
      <c r="AZ50" s="143"/>
      <c r="BA50" s="1331"/>
      <c r="BB50" s="1005" t="s">
        <v>1620</v>
      </c>
    </row>
    <row s="1656" customFormat="1" customHeight="1" ht="14.25">
      <c r="A51" s="1331"/>
      <c r="B51" s="1223"/>
      <c r="C51" s="1331"/>
      <c r="D51" s="1331"/>
      <c r="E51" s="623">
        <v>15</v>
      </c>
      <c r="F51" s="496" cm="1" t="str">
        <f t="array" ref="F51:F51">X51</f>
        <v>3</v>
      </c>
      <c r="G51" s="428"/>
      <c r="H51" s="428"/>
      <c r="I51" s="428"/>
      <c r="J51" s="428"/>
      <c r="K51" s="1331"/>
      <c r="L51" s="1331"/>
      <c r="M51" s="1331"/>
      <c r="N51" s="1331"/>
      <c r="O51" s="1331"/>
      <c r="P51" s="1331"/>
      <c r="Q51" s="1331"/>
      <c r="R51" s="1331"/>
      <c r="S51" s="1331"/>
      <c r="T51" s="468">
        <f>X51&gt;0</f>
        <v>1</v>
      </c>
      <c r="U51" s="1331"/>
      <c r="V51" s="118" cm="1" t="str">
        <f t="array" ref="V51:V51">'ИП + источники'!$AB$145</f>
        <v>Тариф 3 (Водоотведение) - тариф на водоотведение (Оказание услуг на территории: город Полысаево (ОКТМО: 32732000) - г Полысаево)</v>
      </c>
      <c r="W51" s="1331"/>
      <c r="X51" s="1539" t="s">
        <v>234</v>
      </c>
      <c r="Y51" s="428"/>
      <c r="Z51" s="1560"/>
      <c r="AA51" s="428"/>
      <c r="AB51" s="238" cm="1" t="str">
        <f t="array" ref="AB51:AB51">'ИП + источники'!$AB$145</f>
        <v>Тариф 3 (Водоотведение) - тариф на водоотведение (Оказание услуг на территории: город Полысаево (ОКТМО: 32732000) - г Полысаево)</v>
      </c>
      <c r="AC51" s="839"/>
      <c r="AD51" s="839"/>
      <c r="AE51" s="839"/>
      <c r="AF51" s="839"/>
      <c r="AG51" s="839"/>
      <c r="AH51" s="839"/>
      <c r="AI51" s="839"/>
      <c r="AJ51" s="839"/>
      <c r="AK51" s="839"/>
      <c r="AL51" s="839"/>
      <c r="AM51" s="839"/>
      <c r="AN51" s="839"/>
      <c r="AO51" s="839"/>
      <c r="AP51" s="839"/>
      <c r="AQ51" s="839"/>
      <c r="AR51" s="839"/>
      <c r="AS51" s="839"/>
      <c r="AT51" s="839"/>
      <c r="AU51" s="839"/>
      <c r="AV51" s="839"/>
      <c r="AW51" s="839"/>
      <c r="AX51" s="839"/>
      <c r="AY51" s="839"/>
      <c r="AZ51" s="428"/>
      <c r="BA51" s="1331"/>
      <c r="BB51" s="1245"/>
    </row>
    <row s="1656" customFormat="1" customHeight="1" ht="14.25">
      <c r="A52" s="237"/>
      <c r="B52" s="433"/>
      <c r="C52" s="237"/>
      <c r="D52" s="237"/>
      <c r="E52" s="697">
        <v>15</v>
      </c>
      <c r="F52" s="50" cm="1" t="str">
        <f t="array" ref="F52:F52">OFFSET(E52,-1,1)</f>
        <v>3</v>
      </c>
      <c r="G52" s="428" t="s">
        <v>344</v>
      </c>
      <c r="H52" s="143"/>
      <c r="I52" s="143"/>
      <c r="J52" s="143"/>
      <c r="K52" s="237"/>
      <c r="L52" s="237"/>
      <c r="M52" s="237"/>
      <c r="N52" s="237"/>
      <c r="O52" s="237"/>
      <c r="P52" s="237"/>
      <c r="Q52" s="237"/>
      <c r="R52" s="237"/>
      <c r="S52" s="237"/>
      <c r="T52" s="468" cm="1" t="str">
        <f t="array" ref="T52:T52">T51</f>
        <v>true</v>
      </c>
      <c r="U52" s="237"/>
      <c r="V52" s="237"/>
      <c r="W52" s="237"/>
      <c r="X52" s="1539"/>
      <c r="Y52" s="143"/>
      <c r="Z52" s="1560"/>
      <c r="AA52" s="143"/>
      <c r="AB52" s="243" t="s">
        <v>290</v>
      </c>
      <c r="AC52" s="242" t="s">
        <v>1607</v>
      </c>
      <c r="AD52" s="243" t="s">
        <v>936</v>
      </c>
      <c r="AE52" s="851">
        <f>AE53+AE54+AE55</f>
        <v>0</v>
      </c>
      <c r="AF52" s="851">
        <f>AF53+AF54+AF55</f>
        <v>0</v>
      </c>
      <c r="AG52" s="851">
        <f>AG53+AG54+AG55</f>
        <v>0</v>
      </c>
      <c r="AH52" s="851">
        <f>AH53+AH54+AH55</f>
        <v>0</v>
      </c>
      <c r="AI52" s="851">
        <f>AI53+AI54+AI55</f>
        <v>0</v>
      </c>
      <c r="AJ52" s="851">
        <f>AJ53+AJ54+AJ55</f>
        <v>0</v>
      </c>
      <c r="AK52" s="851">
        <f>AK53+AK54+AK55</f>
        <v>0</v>
      </c>
      <c r="AL52" s="851">
        <f>AL53+AL54+AL55</f>
        <v>0</v>
      </c>
      <c r="AM52" s="851">
        <f>AM53+AM54+AM55</f>
        <v>0</v>
      </c>
      <c r="AN52" s="851">
        <f>AN53+AN54+AN55</f>
        <v>0</v>
      </c>
      <c r="AO52" s="851">
        <f>AO53+AO54+AO55</f>
        <v>0</v>
      </c>
      <c r="AP52" s="851">
        <f>AP53+AP54+AP55</f>
        <v>0</v>
      </c>
      <c r="AQ52" s="851">
        <f>AQ53+AQ54+AQ55</f>
        <v>0</v>
      </c>
      <c r="AR52" s="851">
        <f>AR53+AR54+AR55</f>
        <v>0</v>
      </c>
      <c r="AS52" s="851">
        <f>AS53+AS54+AS55</f>
        <v>0</v>
      </c>
      <c r="AT52" s="851">
        <f>AT53+AT54+AT55</f>
        <v>0</v>
      </c>
      <c r="AU52" s="851">
        <f>AU53+AU54+AU55</f>
        <v>0</v>
      </c>
      <c r="AV52" s="851">
        <f>AV53+AV54+AV55</f>
        <v>0</v>
      </c>
      <c r="AW52" s="851">
        <f>AW53+AW54+AW55</f>
        <v>0</v>
      </c>
      <c r="AX52" s="851">
        <f>AX53+AX54+AX55</f>
        <v>0</v>
      </c>
      <c r="AY52" s="781"/>
      <c r="AZ52" s="143"/>
      <c r="BA52" s="1331"/>
      <c r="BB52" s="1005" t="s">
        <v>1535</v>
      </c>
    </row>
    <row s="1656" customFormat="1" customHeight="1" ht="14.25">
      <c r="A53" s="1331"/>
      <c r="B53" s="1223"/>
      <c r="C53" s="1331"/>
      <c r="D53" s="1331"/>
      <c r="E53" s="623">
        <v>15</v>
      </c>
      <c r="F53" s="50" cm="1" t="str">
        <f t="array" ref="F53:F53">OFFSET(E53,-1,1)</f>
        <v>3</v>
      </c>
      <c r="G53" s="428" t="s">
        <v>566</v>
      </c>
      <c r="H53" s="428"/>
      <c r="I53" s="428"/>
      <c r="J53" s="428"/>
      <c r="K53" s="1331"/>
      <c r="L53" s="1331"/>
      <c r="M53" s="1331"/>
      <c r="N53" s="1331"/>
      <c r="O53" s="1331"/>
      <c r="P53" s="1331"/>
      <c r="Q53" s="1331"/>
      <c r="R53" s="1331"/>
      <c r="S53" s="1331"/>
      <c r="T53" s="468" cm="1" t="str">
        <f t="array" ref="T53:T53">T52</f>
        <v>true</v>
      </c>
      <c r="U53" s="1331"/>
      <c r="V53" s="1331"/>
      <c r="W53" s="1331"/>
      <c r="X53" s="1539"/>
      <c r="Y53" s="428"/>
      <c r="Z53" s="1560"/>
      <c r="AA53" s="428"/>
      <c r="AB53" s="857" t="s">
        <v>1067</v>
      </c>
      <c r="AC53" s="858" t="s">
        <v>1608</v>
      </c>
      <c r="AD53" s="857" t="s">
        <v>936</v>
      </c>
      <c r="AE53" s="294"/>
      <c r="AF53" s="4146"/>
      <c r="AG53" s="4146"/>
      <c r="AH53" s="4146"/>
      <c r="AI53" s="4146"/>
      <c r="AJ53" s="4146"/>
      <c r="AK53" s="4146"/>
      <c r="AL53" s="4146"/>
      <c r="AM53" s="4146"/>
      <c r="AN53" s="4146"/>
      <c r="AO53" s="294"/>
      <c r="AP53" s="4146"/>
      <c r="AQ53" s="4146"/>
      <c r="AR53" s="4146"/>
      <c r="AS53" s="4146"/>
      <c r="AT53" s="4146"/>
      <c r="AU53" s="4146"/>
      <c r="AV53" s="4146"/>
      <c r="AW53" s="4146"/>
      <c r="AX53" s="4146"/>
      <c r="AY53" s="781"/>
      <c r="AZ53" s="428"/>
      <c r="BA53" s="1331"/>
      <c r="BB53" s="1005" t="s">
        <v>1609</v>
      </c>
    </row>
    <row s="1656" customFormat="1" customHeight="1" ht="23.25">
      <c r="A54" s="1331"/>
      <c r="B54" s="1223"/>
      <c r="C54" s="1331"/>
      <c r="D54" s="1331"/>
      <c r="E54" s="623">
        <v>24</v>
      </c>
      <c r="F54" s="50" cm="1" t="str">
        <f t="array" ref="F54:F54">OFFSET(E54,-1,1)</f>
        <v>3</v>
      </c>
      <c r="G54" s="428" t="s">
        <v>570</v>
      </c>
      <c r="H54" s="428"/>
      <c r="I54" s="428"/>
      <c r="J54" s="428"/>
      <c r="K54" s="1331"/>
      <c r="L54" s="1331"/>
      <c r="M54" s="1331"/>
      <c r="N54" s="1331"/>
      <c r="O54" s="1331"/>
      <c r="P54" s="1331"/>
      <c r="Q54" s="1331"/>
      <c r="R54" s="1331"/>
      <c r="S54" s="1331"/>
      <c r="T54" s="468" cm="1" t="str">
        <f t="array" ref="T54:T54">T53</f>
        <v>true</v>
      </c>
      <c r="U54" s="1331"/>
      <c r="V54" s="1331"/>
      <c r="W54" s="1331"/>
      <c r="X54" s="1539"/>
      <c r="Y54" s="428"/>
      <c r="Z54" s="1560"/>
      <c r="AA54" s="428"/>
      <c r="AB54" s="857" t="s">
        <v>1070</v>
      </c>
      <c r="AC54" s="858" t="s">
        <v>1610</v>
      </c>
      <c r="AD54" s="857" t="s">
        <v>936</v>
      </c>
      <c r="AE54" s="294"/>
      <c r="AF54" s="4146"/>
      <c r="AG54" s="4146"/>
      <c r="AH54" s="4146"/>
      <c r="AI54" s="4146"/>
      <c r="AJ54" s="4146"/>
      <c r="AK54" s="4146"/>
      <c r="AL54" s="4146"/>
      <c r="AM54" s="4146"/>
      <c r="AN54" s="4146"/>
      <c r="AO54" s="294"/>
      <c r="AP54" s="4146"/>
      <c r="AQ54" s="4146"/>
      <c r="AR54" s="4146"/>
      <c r="AS54" s="4146"/>
      <c r="AT54" s="4146"/>
      <c r="AU54" s="4146"/>
      <c r="AV54" s="4146"/>
      <c r="AW54" s="4146"/>
      <c r="AX54" s="4146"/>
      <c r="AY54" s="781"/>
      <c r="AZ54" s="428"/>
      <c r="BA54" s="1331"/>
      <c r="BB54" s="1005" t="s">
        <v>1611</v>
      </c>
    </row>
    <row s="1656" customFormat="1" customHeight="1" ht="33">
      <c r="A55" s="118"/>
      <c r="B55" s="430"/>
      <c r="C55" s="118"/>
      <c r="D55" s="118"/>
      <c r="E55" s="623">
        <v>34.2</v>
      </c>
      <c r="F55" s="1194" cm="1" t="str">
        <f t="array" ref="F55:F55">OFFSET(E55,-1,1)</f>
        <v>3</v>
      </c>
      <c r="G55" s="428" t="s">
        <v>573</v>
      </c>
      <c r="H55" s="428"/>
      <c r="I55" s="428"/>
      <c r="J55" s="428"/>
      <c r="K55" s="118"/>
      <c r="L55" s="118"/>
      <c r="M55" s="118"/>
      <c r="N55" s="118"/>
      <c r="O55" s="118"/>
      <c r="P55" s="118"/>
      <c r="Q55" s="118"/>
      <c r="R55" s="118"/>
      <c r="S55" s="118"/>
      <c r="T55" s="468" cm="1" t="str">
        <f t="array" ref="T55:T55">T54</f>
        <v>true</v>
      </c>
      <c r="U55" s="118"/>
      <c r="V55" s="118"/>
      <c r="W55" s="118"/>
      <c r="X55" s="1539"/>
      <c r="Y55" s="428"/>
      <c r="Z55" s="1560"/>
      <c r="AA55" s="428"/>
      <c r="AB55" s="857" t="s">
        <v>1073</v>
      </c>
      <c r="AC55" s="858" t="s">
        <v>1612</v>
      </c>
      <c r="AD55" s="857" t="s">
        <v>936</v>
      </c>
      <c r="AE55" s="294"/>
      <c r="AF55" s="4146"/>
      <c r="AG55" s="4146"/>
      <c r="AH55" s="4146"/>
      <c r="AI55" s="4146"/>
      <c r="AJ55" s="4146"/>
      <c r="AK55" s="4146"/>
      <c r="AL55" s="4146"/>
      <c r="AM55" s="4146"/>
      <c r="AN55" s="4146"/>
      <c r="AO55" s="294"/>
      <c r="AP55" s="4146"/>
      <c r="AQ55" s="4146"/>
      <c r="AR55" s="4146"/>
      <c r="AS55" s="4146"/>
      <c r="AT55" s="4146"/>
      <c r="AU55" s="4146"/>
      <c r="AV55" s="4146"/>
      <c r="AW55" s="4146"/>
      <c r="AX55" s="4146"/>
      <c r="AY55" s="781"/>
      <c r="AZ55" s="428"/>
      <c r="BA55" s="1656"/>
      <c r="BB55" s="1056" t="s">
        <v>1613</v>
      </c>
    </row>
    <row s="1656" customFormat="1" customHeight="1" ht="14.25">
      <c r="A56" s="1331"/>
      <c r="B56" s="1223"/>
      <c r="C56" s="1331"/>
      <c r="D56" s="1331"/>
      <c r="E56" s="623">
        <v>15</v>
      </c>
      <c r="F56" s="50" cm="1" t="str">
        <f t="array" ref="F56:F56">OFFSET(E56,-1,1)</f>
        <v>3</v>
      </c>
      <c r="G56" s="428" t="s">
        <v>345</v>
      </c>
      <c r="H56" s="428"/>
      <c r="I56" s="428"/>
      <c r="J56" s="428"/>
      <c r="K56" s="1331"/>
      <c r="L56" s="1331"/>
      <c r="M56" s="1331"/>
      <c r="N56" s="1331"/>
      <c r="O56" s="1331"/>
      <c r="P56" s="1331"/>
      <c r="Q56" s="1331"/>
      <c r="R56" s="1331"/>
      <c r="S56" s="1331"/>
      <c r="T56" s="468" cm="1" t="str">
        <f t="array" ref="T56:T56">T55</f>
        <v>true</v>
      </c>
      <c r="U56" s="1331"/>
      <c r="V56" s="1331"/>
      <c r="W56" s="1331"/>
      <c r="X56" s="1539"/>
      <c r="Y56" s="428"/>
      <c r="Z56" s="1560"/>
      <c r="AA56" s="428"/>
      <c r="AB56" s="857" t="s">
        <v>299</v>
      </c>
      <c r="AC56" s="859" t="s">
        <v>1614</v>
      </c>
      <c r="AD56" s="857" t="s">
        <v>561</v>
      </c>
      <c r="AE56" s="860">
        <f>_xlfn.SUMIFS(Сценарии!AJ$25:AJ$136,Сценарии!$F$25:$F$136,$F56,Сценарии!$AC$25:$AC$136,"Индекс потребительских цен")</f>
        <v>4.3</v>
      </c>
      <c r="AF56" s="860">
        <f>_xlfn.SUMIFS(Сценарии!AO$25:AO$136,Сценарии!$F$25:$F$136,$F56,Сценарии!$AC$25:$AC$136,"Индекс потребительских цен")</f>
        <v>0</v>
      </c>
      <c r="AG56" s="860">
        <f>_xlfn.SUMIFS(Сценарии!AP$25:AP$136,Сценарии!$F$25:$F$136,$F56,Сценарии!$AC$25:$AC$136,"Индекс потребительских цен")</f>
        <v>0</v>
      </c>
      <c r="AH56" s="860">
        <f>_xlfn.SUMIFS(Сценарии!AQ$25:AQ$136,Сценарии!$F$25:$F$136,$F56,Сценарии!$AC$25:$AC$136,"Индекс потребительских цен")</f>
        <v>0</v>
      </c>
      <c r="AI56" s="860">
        <f>_xlfn.SUMIFS(Сценарии!AR$25:AR$136,Сценарии!$F$25:$F$136,$F56,Сценарии!$AC$25:$AC$136,"Индекс потребительских цен")</f>
        <v>0</v>
      </c>
      <c r="AJ56" s="860">
        <f>_xlfn.SUMIFS(Сценарии!AS$25:AS$136,Сценарии!$F$25:$F$136,$F56,Сценарии!$AC$25:$AC$136,"Индекс потребительских цен")</f>
        <v>0</v>
      </c>
      <c r="AK56" s="860">
        <f>_xlfn.SUMIFS(Сценарии!AT$25:AT$136,Сценарии!$F$25:$F$136,$F56,Сценарии!$AC$25:$AC$136,"Индекс потребительских цен")</f>
        <v>0</v>
      </c>
      <c r="AL56" s="860">
        <f>_xlfn.SUMIFS(Сценарии!AU$25:AU$136,Сценарии!$F$25:$F$136,$F56,Сценарии!$AC$25:$AC$136,"Индекс потребительских цен")</f>
        <v>0</v>
      </c>
      <c r="AM56" s="860">
        <f>_xlfn.SUMIFS(Сценарии!AV$25:AV$136,Сценарии!$F$25:$F$136,$F56,Сценарии!$AC$25:$AC$136,"Индекс потребительских цен")</f>
        <v>0</v>
      </c>
      <c r="AN56" s="860">
        <f>_xlfn.SUMIFS(Сценарии!AW$25:AW$136,Сценарии!$F$25:$F$136,$F56,Сценарии!$AC$25:$AC$136,"Индекс потребительских цен")</f>
        <v>0</v>
      </c>
      <c r="AO56" s="860">
        <f>_xlfn.SUMIFS(Сценарии!AK$25:AK$136,Сценарии!$F$25:$F$136,$F56,Сценарии!$AC$25:$AC$136,"Индекс потребительских цен")</f>
        <v>5.1</v>
      </c>
      <c r="AP56" s="860">
        <f>_xlfn.SUMIFS(Сценарии!AX$25:AX$136,Сценарии!$F$25:$F$136,$F56,Сценарии!$AC$25:$AC$136,"Индекс потребительских цен")</f>
        <v>0</v>
      </c>
      <c r="AQ56" s="860">
        <f>_xlfn.SUMIFS(Сценарии!AY$25:AY$136,Сценарии!$F$25:$F$136,$F56,Сценарии!$AC$25:$AC$136,"Индекс потребительских цен")</f>
        <v>0</v>
      </c>
      <c r="AR56" s="860">
        <f>_xlfn.SUMIFS(Сценарии!AZ$25:AZ$136,Сценарии!$F$25:$F$136,$F56,Сценарии!$AC$25:$AC$136,"Индекс потребительских цен")</f>
        <v>0</v>
      </c>
      <c r="AS56" s="860">
        <f>_xlfn.SUMIFS(Сценарии!BA$25:BA$136,Сценарии!$F$25:$F$136,$F56,Сценарии!$AC$25:$AC$136,"Индекс потребительских цен")</f>
        <v>0</v>
      </c>
      <c r="AT56" s="860">
        <f>_xlfn.SUMIFS(Сценарии!BB$25:BB$136,Сценарии!$F$25:$F$136,$F56,Сценарии!$AC$25:$AC$136,"Индекс потребительских цен")</f>
        <v>0</v>
      </c>
      <c r="AU56" s="860">
        <f>_xlfn.SUMIFS(Сценарии!BC$25:BC$136,Сценарии!$F$25:$F$136,$F56,Сценарии!$AC$25:$AC$136,"Индекс потребительских цен")</f>
        <v>0</v>
      </c>
      <c r="AV56" s="860">
        <f>_xlfn.SUMIFS(Сценарии!BD$25:BD$136,Сценарии!$F$25:$F$136,$F56,Сценарии!$AC$25:$AC$136,"Индекс потребительских цен")</f>
        <v>0</v>
      </c>
      <c r="AW56" s="860">
        <f>_xlfn.SUMIFS(Сценарии!BE$25:BE$136,Сценарии!$F$25:$F$136,$F56,Сценарии!$AC$25:$AC$136,"Индекс потребительских цен")</f>
        <v>0</v>
      </c>
      <c r="AX56" s="860">
        <f>_xlfn.SUMIFS(Сценарии!BF$25:BF$136,Сценарии!$F$25:$F$136,$F56,Сценарии!$AC$25:$AC$136,"Индекс потребительских цен")</f>
        <v>0</v>
      </c>
      <c r="AY56" s="781"/>
      <c r="AZ56" s="428"/>
      <c r="BA56" s="1331"/>
      <c r="BB56" s="1005" t="s">
        <v>1615</v>
      </c>
    </row>
    <row s="4496" customFormat="1" customHeight="1" ht="14.25">
      <c r="A57" s="118"/>
      <c r="B57" s="430"/>
      <c r="C57" s="118"/>
      <c r="D57" s="118"/>
      <c r="E57" s="623">
        <v>15</v>
      </c>
      <c r="F57" s="50" cm="1" t="str">
        <f t="array" ref="F57:F57">OFFSET(E57,-1,1)</f>
        <v>3</v>
      </c>
      <c r="G57" s="428" t="s">
        <v>346</v>
      </c>
      <c r="H57" s="428"/>
      <c r="I57" s="428"/>
      <c r="J57" s="428"/>
      <c r="K57" s="118"/>
      <c r="L57" s="118"/>
      <c r="M57" s="118"/>
      <c r="N57" s="118"/>
      <c r="O57" s="118"/>
      <c r="P57" s="118"/>
      <c r="Q57" s="118"/>
      <c r="R57" s="118"/>
      <c r="S57" s="118"/>
      <c r="T57" s="468" cm="1" t="str">
        <f t="array" ref="T57:T57">T56</f>
        <v>true</v>
      </c>
      <c r="U57" s="118"/>
      <c r="V57" s="118"/>
      <c r="W57" s="118"/>
      <c r="X57" s="1539"/>
      <c r="Y57" s="428"/>
      <c r="Z57" s="1560"/>
      <c r="AA57" s="428"/>
      <c r="AB57" s="773">
        <v>3</v>
      </c>
      <c r="AC57" s="859" t="s">
        <v>1616</v>
      </c>
      <c r="AD57" s="857" t="s">
        <v>561</v>
      </c>
      <c r="AE57" s="861" cm="1" t="str">
        <f t="array" ref="AE57:AE57">AE56</f>
        <v>4.3</v>
      </c>
      <c r="AF57" s="4492">
        <f>AE57*AF56/100</f>
        <v>0</v>
      </c>
      <c r="AG57" s="4492">
        <f>AF57*AG56/100</f>
        <v>0</v>
      </c>
      <c r="AH57" s="4492">
        <f>AG57*AH56/100</f>
        <v>0</v>
      </c>
      <c r="AI57" s="4492">
        <f>AH57*AI56/100</f>
        <v>0</v>
      </c>
      <c r="AJ57" s="4492">
        <f>AI57*AJ56/100</f>
        <v>0</v>
      </c>
      <c r="AK57" s="4492">
        <f>AJ57*AK56/100</f>
        <v>0</v>
      </c>
      <c r="AL57" s="4492">
        <f>AK57*AL56/100</f>
        <v>0</v>
      </c>
      <c r="AM57" s="4492">
        <f>AL57*AM56/100</f>
        <v>0</v>
      </c>
      <c r="AN57" s="4492">
        <f>AM57*AN56/100</f>
        <v>0</v>
      </c>
      <c r="AO57" s="861">
        <f>AN57*AO56/100</f>
        <v>0</v>
      </c>
      <c r="AP57" s="4492">
        <f>AO57*AP56/100</f>
        <v>0</v>
      </c>
      <c r="AQ57" s="4492">
        <f>AP57*AQ56/100</f>
        <v>0</v>
      </c>
      <c r="AR57" s="4492">
        <f>AQ57*AR56/100</f>
        <v>0</v>
      </c>
      <c r="AS57" s="4492">
        <f>AR57*AS56/100</f>
        <v>0</v>
      </c>
      <c r="AT57" s="4492">
        <f>AS57*AT56/100</f>
        <v>0</v>
      </c>
      <c r="AU57" s="4492">
        <f>AT57*AU56/100</f>
        <v>0</v>
      </c>
      <c r="AV57" s="4492">
        <f>AU57*AV56/100</f>
        <v>0</v>
      </c>
      <c r="AW57" s="4492">
        <f>AV57*AW56/100</f>
        <v>0</v>
      </c>
      <c r="AX57" s="4492">
        <f>AW57*AX56/100</f>
        <v>0</v>
      </c>
      <c r="AY57" s="781"/>
      <c r="AZ57" s="428"/>
      <c r="BA57" s="704"/>
      <c r="BB57" s="1059" t="s">
        <v>1617</v>
      </c>
    </row>
    <row s="1656" customFormat="1" customHeight="1" ht="14.25">
      <c r="A58" s="237"/>
      <c r="B58" s="433"/>
      <c r="C58" s="237"/>
      <c r="D58" s="237"/>
      <c r="E58" s="697">
        <v>15</v>
      </c>
      <c r="F58" s="50" cm="1" t="str">
        <f t="array" ref="F58:F58">OFFSET(E58,-1,1)</f>
        <v>3</v>
      </c>
      <c r="G58" s="428" t="s">
        <v>348</v>
      </c>
      <c r="H58" s="428" t="s">
        <v>1618</v>
      </c>
      <c r="I58" s="143"/>
      <c r="J58" s="143"/>
      <c r="K58" s="237"/>
      <c r="L58" s="237"/>
      <c r="M58" s="237"/>
      <c r="N58" s="237"/>
      <c r="O58" s="237"/>
      <c r="P58" s="237"/>
      <c r="Q58" s="237"/>
      <c r="R58" s="237"/>
      <c r="S58" s="237"/>
      <c r="T58" s="468" cm="1" t="str">
        <f t="array" ref="T58:T58">T57</f>
        <v>true</v>
      </c>
      <c r="U58" s="237"/>
      <c r="V58" s="237"/>
      <c r="W58" s="237"/>
      <c r="X58" s="1539"/>
      <c r="Y58" s="143"/>
      <c r="Z58" s="1560"/>
      <c r="AA58" s="143"/>
      <c r="AB58" s="243" t="s">
        <v>451</v>
      </c>
      <c r="AC58" s="242" t="s">
        <v>1619</v>
      </c>
      <c r="AD58" s="243" t="s">
        <v>936</v>
      </c>
      <c r="AE58" s="851">
        <f>AE52*AE57/100</f>
        <v>0</v>
      </c>
      <c r="AF58" s="851">
        <f>AF52*AF57/100</f>
        <v>0</v>
      </c>
      <c r="AG58" s="851">
        <f>AG52*AG57/100</f>
        <v>0</v>
      </c>
      <c r="AH58" s="851">
        <f>AH52*AH57/100</f>
        <v>0</v>
      </c>
      <c r="AI58" s="851">
        <f>AI52*AI57/100</f>
        <v>0</v>
      </c>
      <c r="AJ58" s="851">
        <f>AJ52*AJ57/100</f>
        <v>0</v>
      </c>
      <c r="AK58" s="851">
        <f>AK52*AK57/100</f>
        <v>0</v>
      </c>
      <c r="AL58" s="851">
        <f>AL52*AL57/100</f>
        <v>0</v>
      </c>
      <c r="AM58" s="851">
        <f>AM52*AM57/100</f>
        <v>0</v>
      </c>
      <c r="AN58" s="851">
        <f>AN52*AN57/100</f>
        <v>0</v>
      </c>
      <c r="AO58" s="851">
        <f>AO52*AO57/100</f>
        <v>0</v>
      </c>
      <c r="AP58" s="851">
        <f>AP52*AP57/100</f>
        <v>0</v>
      </c>
      <c r="AQ58" s="851">
        <f>AQ52*AQ57/100</f>
        <v>0</v>
      </c>
      <c r="AR58" s="851">
        <f>AR52*AR57/100</f>
        <v>0</v>
      </c>
      <c r="AS58" s="851">
        <f>AS52*AS57/100</f>
        <v>0</v>
      </c>
      <c r="AT58" s="851">
        <f>AT52*AT57/100</f>
        <v>0</v>
      </c>
      <c r="AU58" s="851">
        <f>AU52*AU57/100</f>
        <v>0</v>
      </c>
      <c r="AV58" s="851">
        <f>AV52*AV57/100</f>
        <v>0</v>
      </c>
      <c r="AW58" s="851">
        <f>AW52*AW57/100</f>
        <v>0</v>
      </c>
      <c r="AX58" s="851">
        <f>AX52*AX57/100</f>
        <v>0</v>
      </c>
      <c r="AY58" s="781"/>
      <c r="AZ58" s="143"/>
      <c r="BA58" s="1331"/>
      <c r="BB58" s="1005" t="s">
        <v>1620</v>
      </c>
    </row>
    <row customHeight="1" ht="10.96875">
      <c r="A59" s="0"/>
      <c r="B59" s="432"/>
      <c r="C59" s="0"/>
      <c r="D59" s="0"/>
      <c r="E59" s="629">
        <v>11.25</v>
      </c>
      <c r="F59" s="0"/>
      <c r="G59" s="0"/>
      <c r="H59" s="0"/>
      <c r="I59" s="0"/>
      <c r="J59" s="0"/>
      <c r="K59" s="0"/>
      <c r="L59" s="0"/>
      <c r="M59" s="0"/>
      <c r="N59" s="0"/>
      <c r="O59" s="0"/>
      <c r="P59" s="0"/>
      <c r="Q59" s="0"/>
      <c r="R59" s="0"/>
      <c r="S59" s="0"/>
      <c r="T59" s="0"/>
      <c r="U59" s="485" t="s">
        <v>177</v>
      </c>
      <c r="V59" s="136" t="s">
        <v>1621</v>
      </c>
      <c r="W59" s="0"/>
      <c r="X59" s="0"/>
      <c r="Y59" s="0"/>
      <c r="Z59" s="0"/>
      <c r="AA59" s="0"/>
      <c r="AB59" s="0"/>
      <c r="AC59" s="96"/>
      <c r="AD59" s="96"/>
      <c r="AE59" s="96"/>
      <c r="AF59" s="96"/>
      <c r="AG59" s="0"/>
      <c r="AH59" s="0"/>
      <c r="AI59" s="0"/>
      <c r="AJ59" s="0"/>
      <c r="AK59" s="0"/>
      <c r="AL59" s="0"/>
      <c r="AM59" s="0"/>
      <c r="AN59" s="0"/>
      <c r="AO59" s="0"/>
      <c r="AP59" s="0"/>
      <c r="AQ59" s="97"/>
      <c r="AR59" s="0"/>
      <c r="AS59" s="0"/>
      <c r="AT59" s="0"/>
      <c r="AU59" s="0"/>
      <c r="AV59" s="0"/>
      <c r="AW59" s="0"/>
      <c r="AX59" s="0"/>
      <c r="AY59" s="0"/>
      <c r="AZ59" s="0"/>
    </row>
    <row customHeight="1" ht="14.625">
      <c r="E60" s="623">
        <v>15</v>
      </c>
      <c r="F60" s="428"/>
      <c r="G60" s="428"/>
      <c r="H60" s="428"/>
      <c r="I60" s="428"/>
      <c r="J60" s="428"/>
      <c r="AB60" s="1553" t="s">
        <v>420</v>
      </c>
      <c r="AC60" s="1553"/>
      <c r="AD60" s="1553"/>
      <c r="AE60" s="1553"/>
      <c r="AF60" s="1553"/>
      <c r="AG60" s="1553"/>
      <c r="AH60" s="1553"/>
      <c r="AI60" s="1553"/>
      <c r="AJ60" s="1553"/>
      <c r="AK60" s="1553"/>
      <c r="AL60" s="1553"/>
      <c r="AM60" s="1553"/>
      <c r="AN60" s="1553"/>
      <c r="AO60" s="1553"/>
      <c r="AP60" s="1553"/>
      <c r="AQ60" s="1553"/>
      <c r="AR60" s="1553"/>
      <c r="AS60" s="1553"/>
      <c r="AT60" s="1553"/>
      <c r="AU60" s="1553"/>
      <c r="AV60" s="1553"/>
      <c r="AW60" s="1553"/>
      <c r="AX60" s="1561"/>
      <c r="AY60" s="1561"/>
    </row>
    <row customHeight="1" ht="14.625">
      <c r="E61" s="623">
        <v>15</v>
      </c>
      <c r="F61" s="428"/>
      <c r="G61" s="428"/>
      <c r="H61" s="428"/>
      <c r="I61" s="428"/>
      <c r="J61" s="428"/>
      <c r="AA61" s="169"/>
      <c r="AB61" s="1602"/>
      <c r="AC61" s="1605"/>
      <c r="AD61" s="1605"/>
      <c r="AE61" s="1605"/>
      <c r="AF61" s="1605"/>
      <c r="AG61" s="1605"/>
      <c r="AH61" s="1605"/>
      <c r="AI61" s="1605"/>
      <c r="AJ61" s="1605"/>
      <c r="AK61" s="1605"/>
      <c r="AL61" s="1605"/>
      <c r="AM61" s="1605"/>
      <c r="AN61" s="1605"/>
      <c r="AO61" s="1605"/>
      <c r="AP61" s="1605"/>
      <c r="AQ61" s="1605"/>
      <c r="AR61" s="1605"/>
      <c r="AS61" s="1605"/>
      <c r="AT61" s="1605"/>
      <c r="AU61" s="1605"/>
      <c r="AV61" s="1605"/>
      <c r="AW61" s="1605"/>
      <c r="AX61" s="1606"/>
      <c r="AY61" s="1606"/>
    </row>
    <row customHeight="1" ht="14.625" hidden="1">
      <c r="A62" s="1331"/>
      <c r="B62" s="1223"/>
      <c r="C62" s="1331"/>
      <c r="D62" s="1331"/>
      <c r="E62" s="623">
        <v>15</v>
      </c>
      <c r="F62" s="1331"/>
      <c r="G62" s="1331"/>
      <c r="H62" s="1331"/>
      <c r="I62" s="1331"/>
      <c r="J62" s="1331"/>
      <c r="K62" s="1331"/>
      <c r="L62" s="1331"/>
      <c r="M62" s="1331"/>
      <c r="N62" s="1331"/>
      <c r="O62" s="1331"/>
      <c r="P62" s="1331"/>
      <c r="Q62" s="1331"/>
      <c r="R62" s="1331"/>
      <c r="S62" s="1331"/>
      <c r="T62" s="468">
        <f>ROW(W62)&gt;ROW(W$62)</f>
        <v>0</v>
      </c>
      <c r="U62" s="1331"/>
      <c r="V62" s="1331"/>
      <c r="W62" s="764" t="s">
        <v>173</v>
      </c>
      <c r="X62" s="1331"/>
      <c r="Y62" s="1331"/>
      <c r="Z62" s="1331"/>
      <c r="AA62" s="422" t="s">
        <v>174</v>
      </c>
      <c r="AB62" s="4479" t="s">
        <v>240</v>
      </c>
      <c r="AC62" s="1605"/>
      <c r="AD62" s="1605"/>
      <c r="AE62" s="1605"/>
      <c r="AF62" s="1605"/>
      <c r="AG62" s="1605"/>
      <c r="AH62" s="1605"/>
      <c r="AI62" s="1605"/>
      <c r="AJ62" s="1605"/>
      <c r="AK62" s="1605"/>
      <c r="AL62" s="1605"/>
      <c r="AM62" s="1605"/>
      <c r="AN62" s="1605"/>
      <c r="AO62" s="1605"/>
      <c r="AP62" s="1605"/>
      <c r="AQ62" s="1605"/>
      <c r="AR62" s="1605"/>
      <c r="AS62" s="1605"/>
      <c r="AT62" s="1605"/>
      <c r="AU62" s="1605"/>
      <c r="AV62" s="1605"/>
      <c r="AW62" s="1605"/>
      <c r="AX62" s="1606"/>
      <c r="AY62" s="1606"/>
      <c r="AZ62" s="1331"/>
      <c r="BA62" s="1331"/>
      <c r="BB62" s="1245"/>
    </row>
    <row s="704" customFormat="1" customHeight="1" ht="14.625">
      <c r="A63" s="118"/>
      <c r="B63" s="430"/>
      <c r="C63" s="118"/>
      <c r="D63" s="118"/>
      <c r="E63" s="623">
        <v>15</v>
      </c>
      <c r="F63" s="118"/>
      <c r="G63" s="118"/>
      <c r="H63" s="118"/>
      <c r="I63" s="118"/>
      <c r="J63" s="118"/>
      <c r="K63" s="118"/>
      <c r="L63" s="118"/>
      <c r="M63" s="118"/>
      <c r="N63" s="118"/>
      <c r="O63" s="118"/>
      <c r="P63" s="118"/>
      <c r="Q63" s="118"/>
      <c r="R63" s="118"/>
      <c r="S63" s="118"/>
      <c r="T63" s="118"/>
      <c r="U63" s="118"/>
      <c r="V63" s="118"/>
      <c r="W63" s="764" t="s">
        <v>421</v>
      </c>
      <c r="X63" s="118"/>
      <c r="Y63" s="118"/>
      <c r="Z63" s="118"/>
      <c r="AA63" s="118"/>
      <c r="AB63" s="653"/>
      <c r="AC63" s="517" t="s">
        <v>422</v>
      </c>
      <c r="AD63" s="306"/>
      <c r="AE63" s="306"/>
      <c r="AF63" s="306"/>
      <c r="AG63" s="306"/>
      <c r="AH63" s="306"/>
      <c r="AI63" s="306"/>
      <c r="AJ63" s="306"/>
      <c r="AK63" s="306"/>
      <c r="AL63" s="306"/>
      <c r="AM63" s="306"/>
      <c r="AN63" s="306"/>
      <c r="AO63" s="306"/>
      <c r="AP63" s="306"/>
      <c r="AQ63" s="306"/>
      <c r="AR63" s="306"/>
      <c r="AS63" s="306"/>
      <c r="AT63" s="306"/>
      <c r="AU63" s="306"/>
      <c r="AV63" s="306"/>
      <c r="AW63" s="306"/>
      <c r="AX63" s="306"/>
      <c r="AY63" s="271"/>
      <c r="AZ63" s="118"/>
      <c r="BB63" s="1059"/>
    </row>
    <row s="1656" customFormat="1" customHeight="1" ht="10.725000000000001">
      <c r="A64" s="118"/>
      <c r="B64" s="430"/>
      <c r="C64" s="118"/>
      <c r="D64" s="118"/>
      <c r="E64" s="623">
        <v>11</v>
      </c>
      <c r="F64" s="118"/>
      <c r="G64" s="118"/>
      <c r="H64" s="118"/>
      <c r="I64" s="118"/>
      <c r="J64" s="118"/>
      <c r="K64" s="118"/>
      <c r="L64" s="118"/>
      <c r="M64" s="118"/>
      <c r="N64" s="118"/>
      <c r="O64" s="118"/>
      <c r="P64" s="118"/>
      <c r="Q64" s="118"/>
      <c r="R64" s="118"/>
      <c r="S64" s="118"/>
      <c r="T64" s="118"/>
      <c r="U64" s="118"/>
      <c r="V64" s="118"/>
      <c r="W64" s="118"/>
      <c r="X64" s="118"/>
      <c r="Y64" s="118"/>
      <c r="Z64" s="118"/>
      <c r="AA64" s="118"/>
      <c r="AB64" s="118"/>
      <c r="AC64" s="118"/>
      <c r="AD64" s="118"/>
      <c r="AE64" s="118"/>
      <c r="AF64" s="118"/>
      <c r="AG64" s="118"/>
      <c r="AH64" s="118"/>
      <c r="AI64" s="118"/>
      <c r="AJ64" s="118"/>
      <c r="AK64" s="118"/>
      <c r="AL64" s="118"/>
      <c r="AM64" s="118"/>
      <c r="AN64" s="118"/>
      <c r="AO64" s="118"/>
      <c r="AP64" s="118"/>
      <c r="AQ64" s="118"/>
      <c r="AR64" s="118"/>
      <c r="AS64" s="118"/>
      <c r="AT64" s="118"/>
      <c r="AU64" s="118"/>
      <c r="AV64" s="118"/>
      <c r="AW64" s="118"/>
      <c r="AX64" s="118"/>
      <c r="AY64" s="118"/>
      <c r="AZ64" s="428"/>
      <c r="BB64" s="1012"/>
    </row>
  </sheetData>
  <sheetProtection formatColumns="0" formatRows="0" insertRows="0" deleteColumns="0" deleteRows="0" sort="0" autoFilter="0" insertColumns="1"/>
  <mergeCells count="15">
    <mergeCell ref="AB24:AB25"/>
    <mergeCell ref="AC24:AC25"/>
    <mergeCell ref="AD24:AD25"/>
    <mergeCell ref="AY24:AY25"/>
    <mergeCell ref="AB62:AY62"/>
    <mergeCell ref="X27:X34"/>
    <mergeCell ref="Z27:Z34"/>
    <mergeCell ref="AB60:AY60"/>
    <mergeCell ref="AB61:AY61"/>
    <mergeCell ref="X35:X42"/>
    <mergeCell ref="Z35:Z42"/>
    <mergeCell ref="X43:X50"/>
    <mergeCell ref="Z43:Z50"/>
    <mergeCell ref="X51:X58"/>
    <mergeCell ref="Z51:Z58"/>
  </mergeCells>
  <dataValidations count="1">
    <dataValidation allowBlank="1" showInputMessage="1" showErrorMessage="1" sqref="AY60:AY62"/>
  </dataValidations>
  <pageMargins left="0.35" right="0.35" top="0.40" bottom="0.40" header="0.31" footer="0.31"/>
  <pageSetup paperSize="9" pageOrder="downThenOver" orientation="landscape"/>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0A7FF8D-091C-9B71-9998-46289B8C8668}" mc:Ignorable="x14ac xr xr2 xr3">
  <sheetPr>
    <tabColor rgb="FF002060"/>
  </sheetPr>
  <dimension ref="A1:AQ47"/>
  <sheetViews>
    <sheetView showGridLines="0" workbookViewId="0">
      <pane xSplit="30" ySplit="24" topLeftCell="AE38" activePane="bottomRight" state="frozen"/>
      <selection pane="bottomLeft" activeCell="A25" sqref="A25"/>
      <selection pane="topRight" activeCell="AE1" sqref="AE1"/>
      <selection pane="bottomRight" activeCell="AB46" sqref="AB46"/>
    </sheetView>
  </sheetViews>
  <sheetFormatPr defaultColWidth="9.140625" customHeight="1" defaultRowHeight="11.25"/>
  <cols>
    <col min="1" max="1" style="1331" width="3.57421875" hidden="1" customWidth="1"/>
    <col min="2" max="2" style="1223" width="8.57421875" hidden="1" customWidth="1"/>
    <col min="3" max="4" style="1331" width="3.57421875" hidden="1" customWidth="1"/>
    <col min="5" max="5" style="1182" width="3.57421875" hidden="1" customWidth="1"/>
    <col min="6" max="6" style="1178" width="3.57421875" hidden="1" customWidth="1"/>
    <col min="7" max="19" style="1331" width="3.57421875" hidden="1" customWidth="1"/>
    <col min="20" max="20" style="1331" width="10.421875" hidden="1" customWidth="1"/>
    <col min="21" max="21" style="1331" width="5.8515625" hidden="1" customWidth="1"/>
    <col min="22" max="23" style="1331" width="6.140625" hidden="1" customWidth="1"/>
    <col min="24" max="25" style="1331" width="5.57421875" hidden="1" customWidth="1"/>
    <col min="26" max="26" style="1331" width="5.28125" hidden="1" customWidth="1"/>
    <col min="27" max="27" style="1331" width="3.00390625" customWidth="1"/>
    <col min="28" max="28" style="1331" width="7.421875" customWidth="1"/>
    <col min="29" max="29" style="1331" width="60.8515625" customWidth="1"/>
    <col min="30" max="30" style="1331" width="10.7109375" customWidth="1"/>
    <col min="31" max="31" style="1331" width="15.00390625" customWidth="1"/>
    <col min="32" max="32" style="1331" width="16.57421875" customWidth="1"/>
    <col min="33" max="33" style="1331" width="18.7109375" customWidth="1"/>
    <col min="34" max="34" style="1331" width="25.86328125" customWidth="1"/>
    <col min="35" max="35" style="1331" width="18.43359375" customWidth="1"/>
    <col min="36" max="36" style="1331" width="29.140625" customWidth="1"/>
    <col min="37" max="37" style="1331" width="18.43359375" customWidth="1"/>
    <col min="38" max="38" style="1331" width="15.00390625" customWidth="1"/>
    <col min="39" max="39" style="1331" width="3.00390625" customWidth="1"/>
    <col min="40" max="40" style="1331" width="9.140625" hidden="1"/>
    <col min="41" max="41" style="1245" width="9.140625" hidden="1"/>
    <col min="42" max="43" style="1331" width="9.140625" hidden="1"/>
  </cols>
  <sheetData>
    <row customHeight="1" ht="11.25" hidden="1">
      <c r="E1" s="118"/>
      <c r="F1" s="756" t="s">
        <v>333</v>
      </c>
      <c r="G1" s="118" t="s">
        <v>343</v>
      </c>
      <c r="T1" s="468" t="s">
        <v>93</v>
      </c>
      <c r="U1" s="468" t="s">
        <v>98</v>
      </c>
      <c r="V1" s="468" t="s">
        <v>94</v>
      </c>
      <c r="W1" s="468" t="s">
        <v>95</v>
      </c>
      <c r="X1" s="468" t="s">
        <v>96</v>
      </c>
      <c r="Y1" s="470" t="s">
        <v>335</v>
      </c>
      <c r="Z1" s="468" t="s">
        <v>100</v>
      </c>
      <c r="AA1" s="469" t="s">
        <v>97</v>
      </c>
      <c r="AB1" s="81"/>
      <c r="AC1" s="469" t="s">
        <v>99</v>
      </c>
      <c r="AO1" s="1005" t="s">
        <v>336</v>
      </c>
    </row>
    <row s="1223" customFormat="1" customHeight="1" ht="11.25" hidden="1">
      <c r="B2" s="448" t="s">
        <v>19</v>
      </c>
      <c r="F2" s="757"/>
      <c r="AO2" s="1017"/>
    </row>
    <row customHeight="1" ht="11.25" hidden="1">
      <c r="E3" s="118"/>
    </row>
    <row customHeight="1" ht="11.25" hidden="1">
      <c r="E4" s="118"/>
    </row>
    <row s="1182" customFormat="1" customHeight="1" ht="11.25" hidden="1">
      <c r="A5" s="118"/>
      <c r="B5" s="430"/>
      <c r="C5" s="118"/>
      <c r="D5" s="118"/>
      <c r="E5" s="623" t="s">
        <v>20</v>
      </c>
      <c r="F5" s="758"/>
      <c r="AA5" s="623">
        <v>3</v>
      </c>
      <c r="AB5" s="623">
        <v>11</v>
      </c>
      <c r="AC5" s="623">
        <v>50</v>
      </c>
      <c r="AD5" s="623">
        <v>10</v>
      </c>
      <c r="AE5" s="623">
        <v>15</v>
      </c>
      <c r="AF5" s="623">
        <v>16.57</v>
      </c>
      <c r="AG5" s="623">
        <v>18.71</v>
      </c>
      <c r="AH5" s="623">
        <v>25.86</v>
      </c>
      <c r="AI5" s="623">
        <v>18.43</v>
      </c>
      <c r="AJ5" s="623">
        <v>29.14</v>
      </c>
      <c r="AK5" s="623">
        <v>18.43</v>
      </c>
      <c r="AL5" s="623">
        <v>15</v>
      </c>
      <c r="AM5" s="623">
        <v>3</v>
      </c>
      <c r="AO5" s="1005"/>
    </row>
    <row customHeight="1" ht="11.25" hidden="1">
      <c r="A6" s="118" t="s">
        <v>368</v>
      </c>
      <c r="AE6" s="118" cm="1" t="str">
        <f t="array" ref="AE6:AE6">AE24</f>
        <v>Начислено в соответствии с пунктом 26(1) Основ ценообразования в сфере водоснабжения и водоотведения</v>
      </c>
      <c r="AF6" s="118" cm="1" t="str">
        <f t="array" ref="AF6:AF6">AF24</f>
        <v>Направлено на внесение платы за негативное воздействие на окружающую среду</v>
      </c>
      <c r="AG6" s="118" cm="1" t="str">
        <f t="array" ref="AG6:AG6">AG24</f>
        <v>Направлено на компенсацию вреда, причиненного водному объекту</v>
      </c>
      <c r="AH6" s="118" cm="1" t="str">
        <f t="array" ref="AH6:AH6">AH24</f>
        <v>Предусмотрено на финансирование мероприятий инвестиционной программы по строительству, реконструкции и модернизации объектов централизованной системы водоотведения</v>
      </c>
      <c r="AI6" s="118" cm="1" t="str">
        <f t="array" ref="AI6:AI6">AI24</f>
        <v>Предусмотрено на финансирование мероприятий производственной программы регулируемой организации</v>
      </c>
      <c r="AJ6" s="118" cm="1" t="str">
        <f t="array" ref="AJ6:AJ6">AJ24</f>
        <v>Направлено на возврат займов и кредитов, в том числе процентов по займам и кредитам, привлекаемым на реализацию производственной программы и (или) инвестиционной программы (не более 50% от начисленной платы за негативное воздействие на работу ЦСВ)</v>
      </c>
      <c r="AK6" s="118" cm="1" t="str">
        <f t="array" ref="AK6:AK6">AK24</f>
        <v>Налог на прибыль</v>
      </c>
      <c r="AL6" s="118" cm="1" t="str">
        <f t="array" ref="AL6:AL6">AL24</f>
        <v>Подлежит к исключению</v>
      </c>
    </row>
    <row customHeight="1" ht="11.25" hidden="1"/>
    <row customHeight="1" ht="11.25" hidden="1"/>
    <row s="1245" customFormat="1" customHeight="1" ht="11.25" hidden="1">
      <c r="A9" s="1005" t="s">
        <v>378</v>
      </c>
      <c r="B9" s="1017"/>
      <c r="F9" s="1018"/>
      <c r="AE9" s="1005" cm="1" t="str">
        <f t="array" ref="AE9:AE9">AE24</f>
        <v>Начислено в соответствии с пунктом 26(1) Основ ценообразования в сфере водоснабжения и водоотведения</v>
      </c>
      <c r="AF9" s="1005" cm="1" t="str">
        <f t="array" ref="AF9:AF9">AF24</f>
        <v>Направлено на внесение платы за негативное воздействие на окружающую среду</v>
      </c>
      <c r="AG9" s="1005" cm="1" t="str">
        <f t="array" ref="AG9:AG9">AG24</f>
        <v>Направлено на компенсацию вреда, причиненного водному объекту</v>
      </c>
      <c r="AH9" s="1005" cm="1" t="str">
        <f t="array" ref="AH9:AH9">AH24</f>
        <v>Предусмотрено на финансирование мероприятий инвестиционной программы по строительству, реконструкции и модернизации объектов централизованной системы водоотведения</v>
      </c>
      <c r="AI9" s="1005" cm="1" t="str">
        <f t="array" ref="AI9:AI9">AI24</f>
        <v>Предусмотрено на финансирование мероприятий производственной программы регулируемой организации</v>
      </c>
      <c r="AJ9" s="1005" cm="1" t="str">
        <f t="array" ref="AJ9:AJ9">AJ24</f>
        <v>Направлено на возврат займов и кредитов, в том числе процентов по займам и кредитам, привлекаемым на реализацию производственной программы и (или) инвестиционной программы (не более 50% от начисленной платы за негативное воздействие на работу ЦСВ)</v>
      </c>
      <c r="AK9" s="1005" cm="1" t="str">
        <f t="array" ref="AK9:AK9">AK24</f>
        <v>Налог на прибыль</v>
      </c>
      <c r="AL9" s="1005" cm="1" t="str">
        <f t="array" ref="AL9:AL9">AL24</f>
        <v>Подлежит к исключению</v>
      </c>
    </row>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0.96875">
      <c r="E21" s="623">
        <v>11.25</v>
      </c>
      <c r="AA21" s="427"/>
      <c r="AB21" s="152"/>
      <c r="AC21" s="152"/>
      <c r="AD21" s="152"/>
      <c r="AE21" s="152"/>
      <c r="AF21" s="152"/>
      <c r="AG21" s="152"/>
      <c r="AH21" s="152"/>
      <c r="AI21" s="152"/>
      <c r="AJ21" s="152"/>
      <c r="AK21" s="152"/>
      <c r="AL21" s="152"/>
    </row>
    <row customHeight="1" ht="19.5">
      <c r="E22" s="623">
        <v>20</v>
      </c>
      <c r="AB22" s="316" t="s">
        <v>1622</v>
      </c>
      <c r="AC22" s="232"/>
      <c r="AD22" s="232"/>
      <c r="AE22" s="232"/>
      <c r="AF22" s="232"/>
      <c r="AG22" s="245"/>
      <c r="AH22" s="245"/>
      <c r="AI22" s="245"/>
      <c r="AJ22" s="245"/>
      <c r="AK22" s="245"/>
      <c r="AL22" s="245"/>
    </row>
    <row customHeight="1" ht="10.96875">
      <c r="E23" s="623">
        <v>11.25</v>
      </c>
      <c r="AB23" s="152"/>
      <c r="AC23" s="152"/>
      <c r="AD23" s="152"/>
      <c r="AE23" s="152"/>
      <c r="AF23" s="152"/>
      <c r="AG23" s="152"/>
      <c r="AH23" s="152"/>
      <c r="AI23" s="152"/>
      <c r="AJ23" s="152"/>
      <c r="AK23" s="152"/>
      <c r="AL23" s="152"/>
    </row>
    <row customHeight="1" ht="108.95625000000001">
      <c r="E24" s="623">
        <v>111.75</v>
      </c>
      <c r="AB24" s="241" t="s">
        <v>1623</v>
      </c>
      <c r="AC24" s="82" t="s">
        <v>1605</v>
      </c>
      <c r="AD24" s="82" t="s">
        <v>381</v>
      </c>
      <c r="AE24" s="87" t="s">
        <v>1624</v>
      </c>
      <c r="AF24" s="87" t="s">
        <v>1625</v>
      </c>
      <c r="AG24" s="87" t="s">
        <v>1626</v>
      </c>
      <c r="AH24" s="87" t="s">
        <v>1627</v>
      </c>
      <c r="AI24" s="87" t="s">
        <v>1628</v>
      </c>
      <c r="AJ24" s="87" t="s">
        <v>1629</v>
      </c>
      <c r="AK24" s="87" t="s">
        <v>1479</v>
      </c>
      <c r="AL24" s="87" t="s">
        <v>1630</v>
      </c>
    </row>
    <row s="1656" customFormat="1" customHeight="1" ht="11.25">
      <c r="B25" s="432"/>
      <c r="E25" s="677" t="s">
        <v>384</v>
      </c>
      <c r="F25" s="1091"/>
      <c r="AC25" s="96"/>
      <c r="AD25" s="96"/>
      <c r="AE25" s="96"/>
      <c r="AF25" s="96"/>
      <c r="AO25" s="1012"/>
      <c r="AQ25" s="97"/>
    </row>
    <row customHeight="1" ht="14.625" hidden="1">
      <c r="A26" s="1331"/>
      <c r="B26" s="1223"/>
      <c r="C26" s="1331"/>
      <c r="D26" s="1331"/>
      <c r="E26" s="623">
        <v>15</v>
      </c>
      <c r="F26" s="345" cm="1" t="str">
        <f t="array" ref="F26:F26">X26</f>
        <v>0</v>
      </c>
      <c r="G26" s="1331"/>
      <c r="H26" s="1331"/>
      <c r="I26" s="1331"/>
      <c r="J26" s="1331"/>
      <c r="K26" s="1331"/>
      <c r="L26" s="1331"/>
      <c r="M26" s="1331"/>
      <c r="N26" s="1331"/>
      <c r="O26" s="1331"/>
      <c r="P26" s="1331"/>
      <c r="Q26" s="1331"/>
      <c r="R26" s="1331"/>
      <c r="S26" s="1331"/>
      <c r="T26" s="468">
        <f>X26&gt;0</f>
        <v>0</v>
      </c>
      <c r="U26" s="1331"/>
      <c r="V26" s="118" t="s">
        <v>279</v>
      </c>
      <c r="W26" s="1331"/>
      <c r="X26" s="1539">
        <v>0</v>
      </c>
      <c r="Y26" s="1331"/>
      <c r="Z26" s="1529"/>
      <c r="AA26" s="1331"/>
      <c r="AB26" s="238" cm="1" t="str">
        <f t="array" ref="AB26:AB26">INDEX('Общие сведения'!$AG$197:$AG$254,MATCH($X26,'Общие сведения'!$Z$197:$Z$254,0))</f>
        <v>Тариф 0 () - </v>
      </c>
      <c r="AC26" s="239"/>
      <c r="AD26" s="239"/>
      <c r="AE26" s="269">
        <f>AE27+AE28</f>
        <v>0</v>
      </c>
      <c r="AF26" s="269">
        <f>AF27+AF28</f>
        <v>0</v>
      </c>
      <c r="AG26" s="269">
        <f>AG27+AG28</f>
        <v>0</v>
      </c>
      <c r="AH26" s="269">
        <f>AH27+AH28</f>
        <v>0</v>
      </c>
      <c r="AI26" s="269">
        <f>AI27+AI28</f>
        <v>0</v>
      </c>
      <c r="AJ26" s="269">
        <f>AJ27+AJ28</f>
        <v>0</v>
      </c>
      <c r="AK26" s="269">
        <f>AK27+AK28</f>
        <v>0</v>
      </c>
      <c r="AL26" s="269">
        <f>AL27+AL28</f>
        <v>0</v>
      </c>
      <c r="AM26" s="1331"/>
      <c r="AN26" s="1331"/>
      <c r="AO26" s="1245"/>
      <c r="AP26" s="1331"/>
      <c r="AQ26" s="1331"/>
    </row>
    <row customHeight="1" ht="33.39375" hidden="1">
      <c r="A27" s="1331"/>
      <c r="B27" s="448">
        <f>_xlfn.IFERROR(IF(SEARCH("Водоотведение",AB26),TRUE,FALSE),FALSE)</f>
        <v>0</v>
      </c>
      <c r="C27" s="1331"/>
      <c r="D27" s="1331"/>
      <c r="E27" s="623">
        <v>34.25</v>
      </c>
      <c r="F27" s="50" cm="1" t="str">
        <f t="array" ref="F27:F27">OFFSET(E27,-1,1)</f>
        <v>0</v>
      </c>
      <c r="G27" s="120">
        <v>1</v>
      </c>
      <c r="H27" s="1331"/>
      <c r="I27" s="1331"/>
      <c r="J27" s="1331"/>
      <c r="K27" s="1331"/>
      <c r="L27" s="1331"/>
      <c r="M27" s="1331"/>
      <c r="N27" s="1331"/>
      <c r="O27" s="1331"/>
      <c r="P27" s="1331"/>
      <c r="Q27" s="1331"/>
      <c r="R27" s="1331"/>
      <c r="S27" s="1331"/>
      <c r="T27" s="468" cm="1" t="str">
        <f t="array" ref="T27:T27">T26</f>
        <v>false</v>
      </c>
      <c r="U27" s="1331"/>
      <c r="V27" s="1331"/>
      <c r="W27" s="1331"/>
      <c r="X27" s="1539"/>
      <c r="Y27" s="1331"/>
      <c r="Z27" s="1529"/>
      <c r="AA27" s="1331"/>
      <c r="AB27" s="82" t="s">
        <v>290</v>
      </c>
      <c r="AC27" s="240" t="s">
        <v>1631</v>
      </c>
      <c r="AD27" s="82" t="s">
        <v>936</v>
      </c>
      <c r="AE27" s="4301"/>
      <c r="AF27" s="4504"/>
      <c r="AG27" s="4504"/>
      <c r="AH27" s="4504"/>
      <c r="AI27" s="4504"/>
      <c r="AJ27" s="4504"/>
      <c r="AK27" s="4504"/>
      <c r="AL27" s="4504">
        <f>IF(AE27-AF27-AG27-AH27-AI27-AJ27-AK27&lt;0,0,AE27-AF27-AG27-AH27-AI27-AJ27-AK27)</f>
        <v>0</v>
      </c>
      <c r="AM27" s="1331"/>
      <c r="AN27" s="1331"/>
      <c r="AO27" s="1005" t="s">
        <v>1580</v>
      </c>
      <c r="AP27" s="1331"/>
      <c r="AQ27" s="1331"/>
    </row>
    <row customHeight="1" ht="33.39375" hidden="1">
      <c r="A28" s="1331"/>
      <c r="B28" s="448" cm="1" t="str">
        <f t="array" ref="B28:B28">B27</f>
        <v>false</v>
      </c>
      <c r="C28" s="1331"/>
      <c r="D28" s="1331"/>
      <c r="E28" s="623">
        <v>34.25</v>
      </c>
      <c r="F28" s="50" cm="1" t="str">
        <f t="array" ref="F28:F28">OFFSET(E28,-1,1)</f>
        <v>0</v>
      </c>
      <c r="G28" s="120">
        <v>2</v>
      </c>
      <c r="H28" s="1331"/>
      <c r="I28" s="1331"/>
      <c r="J28" s="1331"/>
      <c r="K28" s="1331"/>
      <c r="L28" s="1331"/>
      <c r="M28" s="1331"/>
      <c r="N28" s="1331"/>
      <c r="O28" s="1331"/>
      <c r="P28" s="1331"/>
      <c r="Q28" s="1331"/>
      <c r="R28" s="1331"/>
      <c r="S28" s="1331"/>
      <c r="T28" s="468" cm="1" t="str">
        <f t="array" ref="T28:T28">T27</f>
        <v>false</v>
      </c>
      <c r="U28" s="1331"/>
      <c r="V28" s="1331"/>
      <c r="W28" s="1331"/>
      <c r="X28" s="1539"/>
      <c r="Y28" s="1331"/>
      <c r="Z28" s="1529"/>
      <c r="AA28" s="1331"/>
      <c r="AB28" s="82" t="s">
        <v>299</v>
      </c>
      <c r="AC28" s="240" t="s">
        <v>1632</v>
      </c>
      <c r="AD28" s="82" t="s">
        <v>936</v>
      </c>
      <c r="AE28" s="4301"/>
      <c r="AF28" s="4504"/>
      <c r="AG28" s="4504"/>
      <c r="AH28" s="4504"/>
      <c r="AI28" s="4504"/>
      <c r="AJ28" s="4504"/>
      <c r="AK28" s="4504"/>
      <c r="AL28" s="4504">
        <f>IF(AE28-AF28-AG28-AH28-AI28-AJ28-AK28&lt;0,0,AE28-AF28-AG28-AH28-AI28-AJ28-AK28)</f>
        <v>0</v>
      </c>
      <c r="AM28" s="1331"/>
      <c r="AN28" s="1331"/>
      <c r="AO28" s="1005" t="s">
        <v>1584</v>
      </c>
      <c r="AP28" s="1331"/>
      <c r="AQ28" s="1331"/>
    </row>
    <row s="1656" customFormat="1" customHeight="1" ht="14.25">
      <c r="A29" s="1331"/>
      <c r="B29" s="1223"/>
      <c r="C29" s="1331"/>
      <c r="D29" s="1331"/>
      <c r="E29" s="623">
        <v>15</v>
      </c>
      <c r="F29" s="345" cm="1" t="str">
        <f t="array" ref="F29:F29">X29</f>
        <v>1</v>
      </c>
      <c r="G29" s="1331"/>
      <c r="H29" s="1331"/>
      <c r="I29" s="1331"/>
      <c r="J29" s="1331"/>
      <c r="K29" s="1331"/>
      <c r="L29" s="1331"/>
      <c r="M29" s="1331"/>
      <c r="N29" s="1331"/>
      <c r="O29" s="1331"/>
      <c r="P29" s="1331"/>
      <c r="Q29" s="1331"/>
      <c r="R29" s="1331"/>
      <c r="S29" s="1331"/>
      <c r="T29" s="468">
        <f>X29&gt;0</f>
        <v>1</v>
      </c>
      <c r="U29" s="1331"/>
      <c r="V29" s="118" cm="1" t="str">
        <f t="array" ref="V29:V29">Экономия_корр!$AB$35</f>
        <v>Тариф 1 (Водоснабжение) - тариф на питьевую воду (Оказание услуг на территории: город Ленинск-Кузнецкий (ОКТМО: 32719000) - г Ленинск-Кузнецкий, г Полысаево)</v>
      </c>
      <c r="W29" s="1331"/>
      <c r="X29" s="1539" t="s">
        <v>290</v>
      </c>
      <c r="Y29" s="1331"/>
      <c r="Z29" s="1529"/>
      <c r="AA29" s="1331"/>
      <c r="AB29" s="238" cm="1" t="str">
        <f t="array" ref="AB29:AB29">Экономия_корр!$AB$35</f>
        <v>Тариф 1 (Водоснабжение) - тариф на питьевую воду (Оказание услуг на территории: город Ленинск-Кузнецкий (ОКТМО: 32719000) - г Ленинск-Кузнецкий, г Полысаево)</v>
      </c>
      <c r="AC29" s="239"/>
      <c r="AD29" s="239"/>
      <c r="AE29" s="269">
        <f>AE30+AE31</f>
        <v>0</v>
      </c>
      <c r="AF29" s="269">
        <f>AF30+AF31</f>
        <v>0</v>
      </c>
      <c r="AG29" s="269">
        <f>AG30+AG31</f>
        <v>0</v>
      </c>
      <c r="AH29" s="269">
        <f>AH30+AH31</f>
        <v>0</v>
      </c>
      <c r="AI29" s="269">
        <f>AI30+AI31</f>
        <v>0</v>
      </c>
      <c r="AJ29" s="269">
        <f>AJ30+AJ31</f>
        <v>0</v>
      </c>
      <c r="AK29" s="269">
        <f>AK30+AK31</f>
        <v>0</v>
      </c>
      <c r="AL29" s="269">
        <f>AL30+AL31</f>
        <v>0</v>
      </c>
      <c r="AM29" s="1331"/>
      <c r="AN29" s="1331"/>
      <c r="AO29" s="1245"/>
      <c r="AP29" s="1331"/>
      <c r="AQ29" s="1331"/>
    </row>
    <row s="1656" customFormat="1" customHeight="1" ht="33" hidden="1">
      <c r="A30" s="1331"/>
      <c r="B30" s="448">
        <f>_xlfn.IFERROR(IF(SEARCH("Водоотведение",AB29),TRUE,FALSE),FALSE)</f>
        <v>0</v>
      </c>
      <c r="C30" s="1331"/>
      <c r="D30" s="1331"/>
      <c r="E30" s="623">
        <v>34.25</v>
      </c>
      <c r="F30" s="50" cm="1" t="str">
        <f t="array" ref="F30:F30">OFFSET(E30,-1,1)</f>
        <v>1</v>
      </c>
      <c r="G30" s="120">
        <v>1</v>
      </c>
      <c r="H30" s="1331"/>
      <c r="I30" s="1331"/>
      <c r="J30" s="1331"/>
      <c r="K30" s="1331"/>
      <c r="L30" s="1331"/>
      <c r="M30" s="1331"/>
      <c r="N30" s="1331"/>
      <c r="O30" s="1331"/>
      <c r="P30" s="1331"/>
      <c r="Q30" s="1331"/>
      <c r="R30" s="1331"/>
      <c r="S30" s="1331"/>
      <c r="T30" s="468" cm="1" t="str">
        <f t="array" ref="T30:T30">T29</f>
        <v>true</v>
      </c>
      <c r="U30" s="1331"/>
      <c r="V30" s="1331"/>
      <c r="W30" s="1331"/>
      <c r="X30" s="1539"/>
      <c r="Y30" s="1331"/>
      <c r="Z30" s="1529"/>
      <c r="AA30" s="1331"/>
      <c r="AB30" s="82" t="s">
        <v>290</v>
      </c>
      <c r="AC30" s="240" t="s">
        <v>1631</v>
      </c>
      <c r="AD30" s="82" t="s">
        <v>936</v>
      </c>
      <c r="AE30" s="4301"/>
      <c r="AF30" s="4504"/>
      <c r="AG30" s="4504"/>
      <c r="AH30" s="4504"/>
      <c r="AI30" s="4504"/>
      <c r="AJ30" s="4504"/>
      <c r="AK30" s="4504"/>
      <c r="AL30" s="4504">
        <f>IF(AE30-AF30-AG30-AH30-AI30-AJ30-AK30&lt;0,0,AE30-AF30-AG30-AH30-AI30-AJ30-AK30)</f>
        <v>0</v>
      </c>
      <c r="AM30" s="1331"/>
      <c r="AN30" s="1331"/>
      <c r="AO30" s="1005" t="s">
        <v>1580</v>
      </c>
      <c r="AP30" s="1331"/>
      <c r="AQ30" s="1331"/>
    </row>
    <row s="1656" customFormat="1" customHeight="1" ht="33" hidden="1">
      <c r="A31" s="1331"/>
      <c r="B31" s="448" cm="1" t="str">
        <f t="array" ref="B31:B31">B30</f>
        <v>false</v>
      </c>
      <c r="C31" s="1331"/>
      <c r="D31" s="1331"/>
      <c r="E31" s="623">
        <v>34.25</v>
      </c>
      <c r="F31" s="50" cm="1" t="str">
        <f t="array" ref="F31:F31">OFFSET(E31,-1,1)</f>
        <v>1</v>
      </c>
      <c r="G31" s="120">
        <v>2</v>
      </c>
      <c r="H31" s="1331"/>
      <c r="I31" s="1331"/>
      <c r="J31" s="1331"/>
      <c r="K31" s="1331"/>
      <c r="L31" s="1331"/>
      <c r="M31" s="1331"/>
      <c r="N31" s="1331"/>
      <c r="O31" s="1331"/>
      <c r="P31" s="1331"/>
      <c r="Q31" s="1331"/>
      <c r="R31" s="1331"/>
      <c r="S31" s="1331"/>
      <c r="T31" s="468" cm="1" t="str">
        <f t="array" ref="T31:T31">T30</f>
        <v>true</v>
      </c>
      <c r="U31" s="1331"/>
      <c r="V31" s="1331"/>
      <c r="W31" s="1331"/>
      <c r="X31" s="1539"/>
      <c r="Y31" s="1331"/>
      <c r="Z31" s="1529"/>
      <c r="AA31" s="1331"/>
      <c r="AB31" s="82" t="s">
        <v>299</v>
      </c>
      <c r="AC31" s="240" t="s">
        <v>1632</v>
      </c>
      <c r="AD31" s="82" t="s">
        <v>936</v>
      </c>
      <c r="AE31" s="4301"/>
      <c r="AF31" s="4504"/>
      <c r="AG31" s="4504"/>
      <c r="AH31" s="4504"/>
      <c r="AI31" s="4504"/>
      <c r="AJ31" s="4504"/>
      <c r="AK31" s="4504"/>
      <c r="AL31" s="4504">
        <f>IF(AE31-AF31-AG31-AH31-AI31-AJ31-AK31&lt;0,0,AE31-AF31-AG31-AH31-AI31-AJ31-AK31)</f>
        <v>0</v>
      </c>
      <c r="AM31" s="1331"/>
      <c r="AN31" s="1331"/>
      <c r="AO31" s="1005" t="s">
        <v>1584</v>
      </c>
      <c r="AP31" s="1331"/>
      <c r="AQ31" s="1331"/>
    </row>
    <row s="1656" customFormat="1" customHeight="1" ht="27.421875">
      <c r="A32" s="1331"/>
      <c r="B32" s="1223"/>
      <c r="C32" s="1331"/>
      <c r="D32" s="1331"/>
      <c r="E32" s="623">
        <v>15</v>
      </c>
      <c r="F32" s="345" cm="1" t="str">
        <f t="array" ref="F32:F32">X32</f>
        <v>2</v>
      </c>
      <c r="G32" s="1331"/>
      <c r="H32" s="1331"/>
      <c r="I32" s="1331"/>
      <c r="J32" s="1331"/>
      <c r="K32" s="1331"/>
      <c r="L32" s="1331"/>
      <c r="M32" s="1331"/>
      <c r="N32" s="1331"/>
      <c r="O32" s="1331"/>
      <c r="P32" s="1331"/>
      <c r="Q32" s="1331"/>
      <c r="R32" s="1331"/>
      <c r="S32" s="1331"/>
      <c r="T32" s="468">
        <f>X32&gt;0</f>
        <v>1</v>
      </c>
      <c r="U32" s="1331"/>
      <c r="V32" s="118" cm="1" t="str">
        <f t="array" ref="V32:V32">Экономия_корр!$AB$43</f>
        <v>Тариф 2 (Водоотведение) - тариф на водоотведение (Оказание услуг на территории: город Ленинск-Кузнецкий (ОКТМО: 32719000) - г Ленинск-Кузнецкий)</v>
      </c>
      <c r="W32" s="1331"/>
      <c r="X32" s="1539" t="s">
        <v>299</v>
      </c>
      <c r="Y32" s="1331"/>
      <c r="Z32" s="1529"/>
      <c r="AA32" s="1331"/>
      <c r="AB32" s="238" cm="1" t="str">
        <f t="array" ref="AB32:AB32">Экономия_корр!$AB$43</f>
        <v>Тариф 2 (Водоотведение) - тариф на водоотведение (Оказание услуг на территории: город Ленинск-Кузнецкий (ОКТМО: 32719000) - г Ленинск-Кузнецкий)</v>
      </c>
      <c r="AC32" s="239"/>
      <c r="AD32" s="239"/>
      <c r="AE32" s="269">
        <f>AE33+AE34</f>
        <v>42724.44</v>
      </c>
      <c r="AF32" s="269">
        <f>AF33+AF34</f>
        <v>340.84</v>
      </c>
      <c r="AG32" s="269">
        <f>AG33+AG34</f>
        <v>359.98</v>
      </c>
      <c r="AH32" s="269">
        <f>AH33+AH34</f>
        <v>0</v>
      </c>
      <c r="AI32" s="269">
        <f>AI33+AI34</f>
        <v>0</v>
      </c>
      <c r="AJ32" s="269">
        <f>AJ33+AJ34</f>
        <v>2.75</v>
      </c>
      <c r="AK32" s="269">
        <f>AK33+AK34</f>
        <v>8404.174</v>
      </c>
      <c r="AL32" s="269">
        <f>AL33+AL34</f>
        <v>33616.696</v>
      </c>
      <c r="AM32" s="1331"/>
      <c r="AN32" s="1331"/>
      <c r="AO32" s="1245"/>
      <c r="AP32" s="1331"/>
      <c r="AQ32" s="1331"/>
    </row>
    <row s="1656" customFormat="1" customHeight="1" ht="33">
      <c r="A33" s="1331"/>
      <c r="B33" s="448">
        <f>_xlfn.IFERROR(IF(SEARCH("Водоотведение",AB32),TRUE,FALSE),FALSE)</f>
        <v>1</v>
      </c>
      <c r="C33" s="1331"/>
      <c r="D33" s="1331"/>
      <c r="E33" s="623">
        <v>34.25</v>
      </c>
      <c r="F33" s="50" cm="1" t="str">
        <f t="array" ref="F33:F33">OFFSET(E33,-1,1)</f>
        <v>2</v>
      </c>
      <c r="G33" s="120">
        <v>1</v>
      </c>
      <c r="H33" s="1331"/>
      <c r="I33" s="1331"/>
      <c r="J33" s="1331"/>
      <c r="K33" s="1331"/>
      <c r="L33" s="1331"/>
      <c r="M33" s="1331"/>
      <c r="N33" s="1331"/>
      <c r="O33" s="1331"/>
      <c r="P33" s="1331"/>
      <c r="Q33" s="1331"/>
      <c r="R33" s="1331"/>
      <c r="S33" s="1331"/>
      <c r="T33" s="468" cm="1" t="str">
        <f t="array" ref="T33:T33">T32</f>
        <v>true</v>
      </c>
      <c r="U33" s="1331"/>
      <c r="V33" s="1331"/>
      <c r="W33" s="1331"/>
      <c r="X33" s="1539"/>
      <c r="Y33" s="1331"/>
      <c r="Z33" s="1529"/>
      <c r="AA33" s="1331"/>
      <c r="AB33" s="82" t="s">
        <v>290</v>
      </c>
      <c r="AC33" s="240" t="s">
        <v>1631</v>
      </c>
      <c r="AD33" s="82" t="s">
        <v>936</v>
      </c>
      <c r="AE33" s="225">
        <v>10644.53</v>
      </c>
      <c r="AF33" s="244">
        <v>340.84</v>
      </c>
      <c r="AG33" s="244">
        <v>359.98</v>
      </c>
      <c r="AH33" s="244"/>
      <c r="AI33" s="244"/>
      <c r="AJ33" s="244">
        <v>2.75</v>
      </c>
      <c r="AK33" s="244">
        <f>(AE33-AF33-AG33-AJ33)*0.2</f>
        <v>1988.192</v>
      </c>
      <c r="AL33" s="244">
        <f>IF(AE33-AF33-AG33-AH33-AI33-AJ33-AK33&lt;0,0,AE33-AF33-AG33-AH33-AI33-AJ33-AK33)</f>
        <v>7952.768</v>
      </c>
      <c r="AM33" s="1331"/>
      <c r="AN33" s="1331"/>
      <c r="AO33" s="1005" t="s">
        <v>1580</v>
      </c>
      <c r="AP33" s="1331"/>
      <c r="AQ33" s="1331"/>
    </row>
    <row s="1656" customFormat="1" customHeight="1" ht="33">
      <c r="A34" s="1331"/>
      <c r="B34" s="448" cm="1" t="str">
        <f t="array" ref="B34:B34">B33</f>
        <v>true</v>
      </c>
      <c r="C34" s="1331"/>
      <c r="D34" s="1331"/>
      <c r="E34" s="623">
        <v>34.25</v>
      </c>
      <c r="F34" s="50" cm="1" t="str">
        <f t="array" ref="F34:F34">OFFSET(E34,-1,1)</f>
        <v>2</v>
      </c>
      <c r="G34" s="120">
        <v>2</v>
      </c>
      <c r="H34" s="1331"/>
      <c r="I34" s="1331"/>
      <c r="J34" s="1331"/>
      <c r="K34" s="1331"/>
      <c r="L34" s="1331"/>
      <c r="M34" s="1331"/>
      <c r="N34" s="1331"/>
      <c r="O34" s="1331"/>
      <c r="P34" s="1331"/>
      <c r="Q34" s="1331"/>
      <c r="R34" s="1331"/>
      <c r="S34" s="1331"/>
      <c r="T34" s="468" cm="1" t="str">
        <f t="array" ref="T34:T34">T33</f>
        <v>true</v>
      </c>
      <c r="U34" s="1331"/>
      <c r="V34" s="1331"/>
      <c r="W34" s="1331"/>
      <c r="X34" s="1539"/>
      <c r="Y34" s="1331"/>
      <c r="Z34" s="1529"/>
      <c r="AA34" s="1331"/>
      <c r="AB34" s="82" t="s">
        <v>299</v>
      </c>
      <c r="AC34" s="240" t="s">
        <v>1632</v>
      </c>
      <c r="AD34" s="82" t="s">
        <v>936</v>
      </c>
      <c r="AE34" s="225">
        <v>32079.91</v>
      </c>
      <c r="AF34" s="244"/>
      <c r="AG34" s="244"/>
      <c r="AH34" s="244"/>
      <c r="AI34" s="244"/>
      <c r="AJ34" s="244"/>
      <c r="AK34" s="244">
        <f>(AE34-AF34-AG34-AJ34)*0.2</f>
        <v>6415.982</v>
      </c>
      <c r="AL34" s="244">
        <f>IF(AE34-AF34-AG34-AH34-AI34-AJ34-AK34&lt;0,0,AE34-AF34-AG34-AH34-AI34-AJ34-AK34)</f>
        <v>25663.928</v>
      </c>
      <c r="AM34" s="1331"/>
      <c r="AN34" s="1331"/>
      <c r="AO34" s="1005" t="s">
        <v>1584</v>
      </c>
      <c r="AP34" s="1331"/>
      <c r="AQ34" s="1331"/>
    </row>
    <row s="1656" customFormat="1" customHeight="1" ht="24.421875">
      <c r="A35" s="1331"/>
      <c r="B35" s="1223"/>
      <c r="C35" s="1331"/>
      <c r="D35" s="1331"/>
      <c r="E35" s="623">
        <v>15</v>
      </c>
      <c r="F35" s="345" cm="1" t="str">
        <f t="array" ref="F35:F35">X35</f>
        <v>3</v>
      </c>
      <c r="G35" s="1331"/>
      <c r="H35" s="1331"/>
      <c r="I35" s="1331"/>
      <c r="J35" s="1331"/>
      <c r="K35" s="1331"/>
      <c r="L35" s="1331"/>
      <c r="M35" s="1331"/>
      <c r="N35" s="1331"/>
      <c r="O35" s="1331"/>
      <c r="P35" s="1331"/>
      <c r="Q35" s="1331"/>
      <c r="R35" s="1331"/>
      <c r="S35" s="1331"/>
      <c r="T35" s="468">
        <f>X35&gt;0</f>
        <v>1</v>
      </c>
      <c r="U35" s="1331"/>
      <c r="V35" s="118" cm="1" t="str">
        <f t="array" ref="V35:V35">Экономия_корр!$AB$51</f>
        <v>Тариф 3 (Водоотведение) - тариф на водоотведение (Оказание услуг на территории: город Полысаево (ОКТМО: 32732000) - г Полысаево)</v>
      </c>
      <c r="W35" s="1331"/>
      <c r="X35" s="1539" t="s">
        <v>234</v>
      </c>
      <c r="Y35" s="1331"/>
      <c r="Z35" s="1529"/>
      <c r="AA35" s="1331"/>
      <c r="AB35" s="238" cm="1" t="str">
        <f t="array" ref="AB35:AB35">Экономия_корр!$AB$51</f>
        <v>Тариф 3 (Водоотведение) - тариф на водоотведение (Оказание услуг на территории: город Полысаево (ОКТМО: 32732000) - г Полысаево)</v>
      </c>
      <c r="AC35" s="239"/>
      <c r="AD35" s="239"/>
      <c r="AE35" s="269">
        <f>AE36+AE37</f>
        <v>2554.55</v>
      </c>
      <c r="AF35" s="269">
        <f>AF36+AF37</f>
        <v>0</v>
      </c>
      <c r="AG35" s="269">
        <f>AG36+AG37</f>
        <v>0</v>
      </c>
      <c r="AH35" s="269">
        <f>AH36+AH37</f>
        <v>0</v>
      </c>
      <c r="AI35" s="269">
        <f>AI36+AI37</f>
        <v>0</v>
      </c>
      <c r="AJ35" s="269">
        <f>AJ36+AJ37</f>
        <v>0</v>
      </c>
      <c r="AK35" s="269">
        <f>AK36+AK37</f>
        <v>510.91</v>
      </c>
      <c r="AL35" s="269">
        <f>AL36+AL37</f>
        <v>2043.64</v>
      </c>
      <c r="AM35" s="1331"/>
      <c r="AN35" s="1331"/>
      <c r="AO35" s="1245"/>
      <c r="AP35" s="1331"/>
      <c r="AQ35" s="1331"/>
    </row>
    <row s="1656" customFormat="1" customHeight="1" ht="33">
      <c r="A36" s="1331"/>
      <c r="B36" s="448">
        <f>_xlfn.IFERROR(IF(SEARCH("Водоотведение",AB35),TRUE,FALSE),FALSE)</f>
        <v>1</v>
      </c>
      <c r="C36" s="1331"/>
      <c r="D36" s="1331"/>
      <c r="E36" s="623">
        <v>34.25</v>
      </c>
      <c r="F36" s="50" cm="1" t="str">
        <f t="array" ref="F36:F36">OFFSET(E36,-1,1)</f>
        <v>3</v>
      </c>
      <c r="G36" s="120">
        <v>1</v>
      </c>
      <c r="H36" s="1331"/>
      <c r="I36" s="1331"/>
      <c r="J36" s="1331"/>
      <c r="K36" s="1331"/>
      <c r="L36" s="1331"/>
      <c r="M36" s="1331"/>
      <c r="N36" s="1331"/>
      <c r="O36" s="1331"/>
      <c r="P36" s="1331"/>
      <c r="Q36" s="1331"/>
      <c r="R36" s="1331"/>
      <c r="S36" s="1331"/>
      <c r="T36" s="468" cm="1" t="str">
        <f t="array" ref="T36:T36">T35</f>
        <v>true</v>
      </c>
      <c r="U36" s="1331"/>
      <c r="V36" s="1331"/>
      <c r="W36" s="1331"/>
      <c r="X36" s="1539"/>
      <c r="Y36" s="1331"/>
      <c r="Z36" s="1529"/>
      <c r="AA36" s="1331"/>
      <c r="AB36" s="82" t="s">
        <v>290</v>
      </c>
      <c r="AC36" s="240" t="s">
        <v>1631</v>
      </c>
      <c r="AD36" s="82" t="s">
        <v>936</v>
      </c>
      <c r="AE36" s="225">
        <v>360.28</v>
      </c>
      <c r="AF36" s="244"/>
      <c r="AG36" s="244"/>
      <c r="AH36" s="244"/>
      <c r="AI36" s="244"/>
      <c r="AJ36" s="244"/>
      <c r="AK36" s="244">
        <f>(AE36-AF36-AG36-AJ36)*0.2</f>
        <v>72.056</v>
      </c>
      <c r="AL36" s="244">
        <f>IF(AE36-AF36-AG36-AH36-AI36-AJ36-AK36&lt;0,0,AE36-AF36-AG36-AH36-AI36-AJ36-AK36)</f>
        <v>288.224</v>
      </c>
      <c r="AM36" s="1331"/>
      <c r="AN36" s="1331"/>
      <c r="AO36" s="1005" t="s">
        <v>1580</v>
      </c>
      <c r="AP36" s="1331"/>
      <c r="AQ36" s="1331"/>
    </row>
    <row s="1656" customFormat="1" customHeight="1" ht="33">
      <c r="A37" s="1331"/>
      <c r="B37" s="448" cm="1" t="str">
        <f t="array" ref="B37:B37">B36</f>
        <v>true</v>
      </c>
      <c r="C37" s="1331"/>
      <c r="D37" s="1331"/>
      <c r="E37" s="623">
        <v>34.25</v>
      </c>
      <c r="F37" s="50" cm="1" t="str">
        <f t="array" ref="F37:F37">OFFSET(E37,-1,1)</f>
        <v>3</v>
      </c>
      <c r="G37" s="120">
        <v>2</v>
      </c>
      <c r="H37" s="1331"/>
      <c r="I37" s="1331"/>
      <c r="J37" s="1331"/>
      <c r="K37" s="1331"/>
      <c r="L37" s="1331"/>
      <c r="M37" s="1331"/>
      <c r="N37" s="1331"/>
      <c r="O37" s="1331"/>
      <c r="P37" s="1331"/>
      <c r="Q37" s="1331"/>
      <c r="R37" s="1331"/>
      <c r="S37" s="1331"/>
      <c r="T37" s="468" cm="1" t="str">
        <f t="array" ref="T37:T37">T36</f>
        <v>true</v>
      </c>
      <c r="U37" s="1331"/>
      <c r="V37" s="1331"/>
      <c r="W37" s="1331"/>
      <c r="X37" s="1539"/>
      <c r="Y37" s="1331"/>
      <c r="Z37" s="1529"/>
      <c r="AA37" s="1331"/>
      <c r="AB37" s="82" t="s">
        <v>299</v>
      </c>
      <c r="AC37" s="240" t="s">
        <v>1632</v>
      </c>
      <c r="AD37" s="82" t="s">
        <v>936</v>
      </c>
      <c r="AE37" s="225">
        <v>2194.27</v>
      </c>
      <c r="AF37" s="244"/>
      <c r="AG37" s="244"/>
      <c r="AH37" s="244"/>
      <c r="AI37" s="244"/>
      <c r="AJ37" s="244"/>
      <c r="AK37" s="244">
        <f>(AE37-AF37-AG37-AJ37)*0.2</f>
        <v>438.854</v>
      </c>
      <c r="AL37" s="244">
        <f>IF(AE37-AF37-AG37-AH37-AI37-AJ37-AK37&lt;0,0,AE37-AF37-AG37-AH37-AI37-AJ37-AK37)</f>
        <v>1755.416</v>
      </c>
      <c r="AM37" s="1331"/>
      <c r="AN37" s="1331"/>
      <c r="AO37" s="1005" t="s">
        <v>1584</v>
      </c>
      <c r="AP37" s="1331"/>
      <c r="AQ37" s="1331"/>
    </row>
    <row s="1656" customFormat="1" customHeight="1" ht="10.96875">
      <c r="B38" s="432"/>
      <c r="E38" s="629">
        <v>11.25</v>
      </c>
      <c r="F38" s="1092"/>
      <c r="U38" s="485" t="s">
        <v>177</v>
      </c>
      <c r="V38" s="136" t="s">
        <v>1633</v>
      </c>
      <c r="AC38" s="96"/>
      <c r="AD38" s="96"/>
      <c r="AE38" s="96"/>
      <c r="AF38" s="96"/>
      <c r="AO38" s="1012"/>
      <c r="AQ38" s="97"/>
    </row>
    <row customHeight="1" ht="14.625">
      <c r="E39" s="623">
        <v>15</v>
      </c>
      <c r="AB39" s="1553" t="s">
        <v>420</v>
      </c>
      <c r="AC39" s="1553"/>
      <c r="AD39" s="1553"/>
      <c r="AE39" s="1553"/>
      <c r="AF39" s="1553"/>
      <c r="AG39" s="1553"/>
      <c r="AH39" s="1553"/>
      <c r="AI39" s="1553"/>
      <c r="AJ39" s="1553"/>
      <c r="AK39" s="1553"/>
      <c r="AL39" s="1561"/>
    </row>
    <row customHeight="1" ht="34.921875">
      <c r="E40" s="623">
        <v>15</v>
      </c>
      <c r="AA40" s="169"/>
      <c r="AB40" s="1602" t="s">
        <v>1634</v>
      </c>
      <c r="AC40" s="1602"/>
      <c r="AD40" s="1602"/>
      <c r="AE40" s="1602"/>
      <c r="AF40" s="1602"/>
      <c r="AG40" s="1602"/>
      <c r="AH40" s="1602"/>
      <c r="AI40" s="1602"/>
      <c r="AJ40" s="1602"/>
      <c r="AK40" s="1602"/>
      <c r="AL40" s="1608"/>
    </row>
    <row customHeight="1" ht="14.625" hidden="1">
      <c r="A41" s="1331"/>
      <c r="B41" s="1223"/>
      <c r="C41" s="1331"/>
      <c r="D41" s="1331"/>
      <c r="E41" s="623">
        <v>15</v>
      </c>
      <c r="F41" s="1178"/>
      <c r="G41" s="1331"/>
      <c r="H41" s="1331"/>
      <c r="I41" s="1331"/>
      <c r="J41" s="1331"/>
      <c r="K41" s="1331"/>
      <c r="L41" s="1331"/>
      <c r="M41" s="1331"/>
      <c r="N41" s="1331"/>
      <c r="O41" s="1331"/>
      <c r="P41" s="1331"/>
      <c r="Q41" s="1331"/>
      <c r="R41" s="1331"/>
      <c r="S41" s="1331"/>
      <c r="T41" s="468">
        <f>ROW(W41)&gt;ROW(W$41)</f>
        <v>0</v>
      </c>
      <c r="U41" s="1331"/>
      <c r="V41" s="1331"/>
      <c r="W41" s="764" t="s">
        <v>173</v>
      </c>
      <c r="X41" s="1331"/>
      <c r="Y41" s="1331"/>
      <c r="Z41" s="1331"/>
      <c r="AA41" s="422" t="s">
        <v>174</v>
      </c>
      <c r="AB41" s="4479" t="s">
        <v>240</v>
      </c>
      <c r="AC41" s="4479"/>
      <c r="AD41" s="4479"/>
      <c r="AE41" s="4479"/>
      <c r="AF41" s="4479"/>
      <c r="AG41" s="4479"/>
      <c r="AH41" s="4479"/>
      <c r="AI41" s="4479"/>
      <c r="AJ41" s="4479"/>
      <c r="AK41" s="4479"/>
      <c r="AL41" s="4506"/>
      <c r="AM41" s="1331"/>
      <c r="AN41" s="1331"/>
      <c r="AO41" s="1245"/>
      <c r="AP41" s="1331"/>
      <c r="AQ41" s="1331"/>
    </row>
    <row s="1656" customFormat="1" customHeight="1" ht="33.421875">
      <c r="A42" s="1331"/>
      <c r="B42" s="1223"/>
      <c r="C42" s="1331"/>
      <c r="D42" s="1331"/>
      <c r="E42" s="623">
        <v>15</v>
      </c>
      <c r="F42" s="1178"/>
      <c r="G42" s="1331"/>
      <c r="H42" s="1331"/>
      <c r="I42" s="1331"/>
      <c r="J42" s="1331"/>
      <c r="K42" s="1331"/>
      <c r="L42" s="1331"/>
      <c r="M42" s="1331"/>
      <c r="N42" s="1331"/>
      <c r="O42" s="1331"/>
      <c r="P42" s="1331"/>
      <c r="Q42" s="1331"/>
      <c r="R42" s="1331"/>
      <c r="S42" s="1331"/>
      <c r="T42" s="468">
        <f>ROW(W42)&gt;ROW(W$41)</f>
        <v>1</v>
      </c>
      <c r="U42" s="1331"/>
      <c r="V42" s="1331"/>
      <c r="W42" s="764"/>
      <c r="X42" s="1331"/>
      <c r="Y42" s="1331" t="s">
        <v>240</v>
      </c>
      <c r="Z42" s="1331"/>
      <c r="AA42" s="422" t="s">
        <v>174</v>
      </c>
      <c r="AB42" s="1602" t="s">
        <v>1635</v>
      </c>
      <c r="AC42" s="1602"/>
      <c r="AD42" s="1602"/>
      <c r="AE42" s="1602"/>
      <c r="AF42" s="1602"/>
      <c r="AG42" s="1602"/>
      <c r="AH42" s="1602"/>
      <c r="AI42" s="1602"/>
      <c r="AJ42" s="1602"/>
      <c r="AK42" s="1602"/>
      <c r="AL42" s="1608"/>
      <c r="AM42" s="1331"/>
      <c r="AN42" s="1331"/>
      <c r="AO42" s="1245"/>
      <c r="AP42" s="1331"/>
      <c r="AQ42" s="1331"/>
    </row>
    <row s="1656" customFormat="1" customHeight="1" ht="43.171875">
      <c r="A43" s="1331"/>
      <c r="B43" s="1223"/>
      <c r="C43" s="1331"/>
      <c r="D43" s="1331"/>
      <c r="E43" s="623">
        <v>15</v>
      </c>
      <c r="F43" s="1178"/>
      <c r="G43" s="1331"/>
      <c r="H43" s="1331"/>
      <c r="I43" s="1331"/>
      <c r="J43" s="1331"/>
      <c r="K43" s="1331"/>
      <c r="L43" s="1331"/>
      <c r="M43" s="1331"/>
      <c r="N43" s="1331"/>
      <c r="O43" s="1331"/>
      <c r="P43" s="1331"/>
      <c r="Q43" s="1331"/>
      <c r="R43" s="1331"/>
      <c r="S43" s="1331"/>
      <c r="T43" s="468">
        <f>ROW(W43)&gt;ROW(W$41)</f>
        <v>1</v>
      </c>
      <c r="U43" s="1331"/>
      <c r="V43" s="1331"/>
      <c r="W43" s="764"/>
      <c r="X43" s="1331"/>
      <c r="Y43" s="1331" t="s">
        <v>240</v>
      </c>
      <c r="Z43" s="1331"/>
      <c r="AA43" s="422" t="s">
        <v>174</v>
      </c>
      <c r="AB43" s="1602" t="s">
        <v>1636</v>
      </c>
      <c r="AC43" s="1602"/>
      <c r="AD43" s="1602"/>
      <c r="AE43" s="1602"/>
      <c r="AF43" s="1602"/>
      <c r="AG43" s="1602"/>
      <c r="AH43" s="1602"/>
      <c r="AI43" s="1602"/>
      <c r="AJ43" s="1602"/>
      <c r="AK43" s="1602"/>
      <c r="AL43" s="1608"/>
      <c r="AM43" s="1331"/>
      <c r="AN43" s="1331"/>
      <c r="AO43" s="1245"/>
      <c r="AP43" s="1331"/>
      <c r="AQ43" s="1331"/>
    </row>
    <row s="1656" customFormat="1" customHeight="1" ht="37.921875">
      <c r="A44" s="1331"/>
      <c r="B44" s="1223"/>
      <c r="C44" s="1331"/>
      <c r="D44" s="1331"/>
      <c r="E44" s="623">
        <v>15</v>
      </c>
      <c r="F44" s="1178"/>
      <c r="G44" s="1331"/>
      <c r="H44" s="1331"/>
      <c r="I44" s="1331"/>
      <c r="J44" s="1331"/>
      <c r="K44" s="1331"/>
      <c r="L44" s="1331"/>
      <c r="M44" s="1331"/>
      <c r="N44" s="1331"/>
      <c r="O44" s="1331"/>
      <c r="P44" s="1331"/>
      <c r="Q44" s="1331"/>
      <c r="R44" s="1331"/>
      <c r="S44" s="1331"/>
      <c r="T44" s="468">
        <f>ROW(W44)&gt;ROW(W$41)</f>
        <v>1</v>
      </c>
      <c r="U44" s="1331"/>
      <c r="V44" s="1331"/>
      <c r="W44" s="764"/>
      <c r="X44" s="1331"/>
      <c r="Y44" s="1331" t="s">
        <v>240</v>
      </c>
      <c r="Z44" s="1331"/>
      <c r="AA44" s="422" t="s">
        <v>174</v>
      </c>
      <c r="AB44" s="1602" t="s">
        <v>1637</v>
      </c>
      <c r="AC44" s="1602"/>
      <c r="AD44" s="1602"/>
      <c r="AE44" s="1602"/>
      <c r="AF44" s="1602"/>
      <c r="AG44" s="1602"/>
      <c r="AH44" s="1602"/>
      <c r="AI44" s="1602"/>
      <c r="AJ44" s="1602"/>
      <c r="AK44" s="1602"/>
      <c r="AL44" s="1608"/>
      <c r="AM44" s="1331"/>
      <c r="AN44" s="1331"/>
      <c r="AO44" s="1245"/>
      <c r="AP44" s="1331"/>
      <c r="AQ44" s="1331"/>
    </row>
    <row s="1656" customFormat="1" customHeight="1" ht="35.671875">
      <c r="A45" s="1331"/>
      <c r="B45" s="1223"/>
      <c r="C45" s="1331"/>
      <c r="D45" s="1331"/>
      <c r="E45" s="623">
        <v>15</v>
      </c>
      <c r="F45" s="1178"/>
      <c r="G45" s="1331"/>
      <c r="H45" s="1331"/>
      <c r="I45" s="1331"/>
      <c r="J45" s="1331"/>
      <c r="K45" s="1331"/>
      <c r="L45" s="1331"/>
      <c r="M45" s="1331"/>
      <c r="N45" s="1331"/>
      <c r="O45" s="1331"/>
      <c r="P45" s="1331"/>
      <c r="Q45" s="1331"/>
      <c r="R45" s="1331"/>
      <c r="S45" s="1331"/>
      <c r="T45" s="468">
        <f>ROW(W45)&gt;ROW(W$41)</f>
        <v>1</v>
      </c>
      <c r="U45" s="1331"/>
      <c r="V45" s="1331"/>
      <c r="W45" s="764"/>
      <c r="X45" s="1331"/>
      <c r="Y45" s="1331" t="s">
        <v>240</v>
      </c>
      <c r="Z45" s="1331"/>
      <c r="AA45" s="422" t="s">
        <v>174</v>
      </c>
      <c r="AB45" s="1602" t="s">
        <v>1638</v>
      </c>
      <c r="AC45" s="1602"/>
      <c r="AD45" s="1602"/>
      <c r="AE45" s="1602"/>
      <c r="AF45" s="1602"/>
      <c r="AG45" s="1602"/>
      <c r="AH45" s="1602"/>
      <c r="AI45" s="1602"/>
      <c r="AJ45" s="1602"/>
      <c r="AK45" s="1602"/>
      <c r="AL45" s="1608"/>
      <c r="AM45" s="1331"/>
      <c r="AN45" s="1331"/>
      <c r="AO45" s="1245"/>
      <c r="AP45" s="1331"/>
      <c r="AQ45" s="1331"/>
    </row>
    <row customHeight="1" ht="14.625">
      <c r="E46" s="623">
        <v>15</v>
      </c>
      <c r="W46" s="764" t="s">
        <v>421</v>
      </c>
      <c r="AB46" s="653"/>
      <c r="AC46" s="517" t="s">
        <v>422</v>
      </c>
      <c r="AD46" s="306"/>
      <c r="AE46" s="306"/>
      <c r="AF46" s="306"/>
      <c r="AG46" s="306"/>
      <c r="AH46" s="306"/>
      <c r="AI46" s="306"/>
      <c r="AJ46" s="306"/>
      <c r="AK46" s="306"/>
      <c r="AL46" s="271"/>
    </row>
    <row customHeight="1" ht="10.96875">
      <c r="E47" s="623">
        <v>11.25</v>
      </c>
      <c r="AM47" s="428"/>
    </row>
  </sheetData>
  <sheetProtection formatColumns="0" formatRows="0" insertRows="0" deleteColumns="0" deleteRows="0" sort="0" autoFilter="0" insertColumns="1"/>
  <mergeCells count="15">
    <mergeCell ref="AB39:AL39"/>
    <mergeCell ref="AB40:AL40"/>
    <mergeCell ref="AB41:AL41"/>
    <mergeCell ref="X26:X28"/>
    <mergeCell ref="Z26:Z28"/>
    <mergeCell ref="X29:X31"/>
    <mergeCell ref="Z29:Z31"/>
    <mergeCell ref="X32:X34"/>
    <mergeCell ref="Z32:Z34"/>
    <mergeCell ref="X35:X37"/>
    <mergeCell ref="Z35:Z37"/>
    <mergeCell ref="AB42:AL42"/>
    <mergeCell ref="AB43:AL43"/>
    <mergeCell ref="AB44:AL44"/>
    <mergeCell ref="AB45:AL45"/>
  </mergeCells>
  <dataValidations count="1">
    <dataValidation type="decimal" allowBlank="1" showErrorMessage="1" errorTitle="Ошибка" error="Допускается ввод только неотрицательных чисел!" sqref="AL28 AL30:AL31 AL33:AL34 AL36:AL37 AK28 AK31 AK34 AK37 AJ28 AJ31 AJ34 AJ37 AI28 AI31 AI34 AI37 AH28 AH30:AH31 AH33:AH34 AH36:AH37 AF27:AH27 AL27 AF30 AG30 AF33 AG33 AF36 AG36">
      <formula1>0</formula1>
      <formula2>9.99999999999999E+23</formula2>
    </dataValidation>
  </dataValidations>
  <pageMargins left="0.35" right="0.35" top="0.40" bottom="0.40" header="0.31" footer="0.31"/>
  <pageSetup paperSize="9" pageOrder="downThenOver" orientation="landscape"/>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959CC3D-B83A-8AE8-0A6B-2A41676FB7E8}" mc:Ignorable="x14ac xr xr2 xr3">
  <sheetPr>
    <tabColor rgb="FF002060"/>
    <outlinePr summaryRight="0" summaryBelow="0"/>
    <pageSetUpPr fitToPage="1"/>
  </sheetPr>
  <dimension ref="A1:AQ237"/>
  <sheetViews>
    <sheetView showGridLines="0" workbookViewId="0">
      <pane xSplit="31" ySplit="25" topLeftCell="AF147" activePane="bottomRight" state="frozen"/>
      <selection pane="bottomLeft" activeCell="A26" sqref="A26"/>
      <selection pane="topRight" activeCell="AF1" sqref="AF1"/>
      <selection pane="bottomRight" activeCell="AF147" sqref="AF147"/>
    </sheetView>
  </sheetViews>
  <sheetFormatPr defaultColWidth="9.140625" customHeight="1" defaultRowHeight="11.25"/>
  <cols>
    <col min="1" max="1" style="1331" width="3.57421875" hidden="1" customWidth="1"/>
    <col min="2" max="2" style="1223" width="8.57421875" hidden="1" customWidth="1"/>
    <col min="3" max="4" style="1331" width="3.57421875" hidden="1" customWidth="1"/>
    <col min="5" max="5" style="1182" width="3.57421875" hidden="1" customWidth="1"/>
    <col min="6" max="6" style="1331" width="3.57421875" hidden="1" customWidth="1"/>
    <col min="7" max="7" style="1029" width="12.421875" hidden="1" customWidth="1"/>
    <col min="8" max="8" style="1331" width="15.140625" hidden="1" customWidth="1"/>
    <col min="9" max="18" style="1331" width="3.57421875" hidden="1" customWidth="1"/>
    <col min="19" max="19" style="1441" width="6.421875" hidden="1" customWidth="1"/>
    <col min="20" max="20" style="1331" width="8.421875" hidden="1" customWidth="1"/>
    <col min="21" max="26" style="1331" width="4.421875" hidden="1" customWidth="1"/>
    <col min="27" max="27" style="1331" width="3.00390625" customWidth="1"/>
    <col min="28" max="28" style="1328" width="11.00390625" customWidth="1"/>
    <col min="29" max="29" style="1331" width="72.29296875" customWidth="1"/>
    <col min="30" max="31" style="1331" width="12.00390625" customWidth="1"/>
    <col min="32" max="33" style="1331" width="15.00390625" customWidth="1"/>
    <col min="34" max="34" style="1331" width="77.421875" customWidth="1"/>
    <col min="35" max="35" style="1331" width="3.00390625" customWidth="1"/>
    <col min="36" max="37" style="1331" width="9.140625" hidden="1"/>
    <col min="38" max="38" style="1245" width="9.140625" hidden="1"/>
    <col min="39" max="43" style="1331" width="9.140625" hidden="1"/>
  </cols>
  <sheetData>
    <row customHeight="1" ht="11.25" hidden="1">
      <c r="E1" s="118"/>
      <c r="F1" s="118" t="s">
        <v>333</v>
      </c>
      <c r="I1" s="118" t="s">
        <v>343</v>
      </c>
      <c r="T1" s="468" t="s">
        <v>93</v>
      </c>
      <c r="U1" s="468" t="s">
        <v>98</v>
      </c>
      <c r="V1" s="468" t="s">
        <v>94</v>
      </c>
      <c r="W1" s="468" t="s">
        <v>95</v>
      </c>
      <c r="X1" s="468" t="s">
        <v>96</v>
      </c>
      <c r="Y1" s="470" t="s">
        <v>335</v>
      </c>
      <c r="Z1" s="468" t="s">
        <v>100</v>
      </c>
      <c r="AA1" s="469" t="s">
        <v>97</v>
      </c>
      <c r="AC1" s="469" t="s">
        <v>99</v>
      </c>
      <c r="AL1" s="1005" t="s">
        <v>336</v>
      </c>
    </row>
    <row s="1223" customFormat="1" customHeight="1" ht="11.25" hidden="1">
      <c r="B2" s="448" t="s">
        <v>19</v>
      </c>
      <c r="G2" s="499"/>
      <c r="S2" s="1242"/>
      <c r="AB2" s="429"/>
      <c r="AF2" s="1223" cm="1" t="str">
        <f t="array" ref="AF2:AF2">isOrgDeclare</f>
        <v>true</v>
      </c>
      <c r="AL2" s="1017"/>
    </row>
    <row customHeight="1" ht="11.25" hidden="1">
      <c r="E3" s="118"/>
    </row>
    <row customHeight="1" ht="11.25" hidden="1">
      <c r="E4" s="118"/>
    </row>
    <row s="1182" customFormat="1" customHeight="1" ht="11.25" hidden="1">
      <c r="A5" s="118"/>
      <c r="B5" s="430"/>
      <c r="C5" s="118"/>
      <c r="D5" s="118"/>
      <c r="E5" s="623" t="s">
        <v>20</v>
      </c>
      <c r="G5" s="698"/>
      <c r="S5" s="1243"/>
      <c r="AA5" s="623">
        <v>3</v>
      </c>
      <c r="AB5" s="637">
        <v>11</v>
      </c>
      <c r="AC5" s="623">
        <v>72.29</v>
      </c>
      <c r="AD5" s="623">
        <v>12</v>
      </c>
      <c r="AE5" s="623">
        <v>12</v>
      </c>
      <c r="AF5" s="623">
        <v>15</v>
      </c>
      <c r="AG5" s="623">
        <v>15</v>
      </c>
      <c r="AH5" s="623">
        <v>20</v>
      </c>
      <c r="AI5" s="623">
        <v>3</v>
      </c>
      <c r="AL5" s="1005"/>
    </row>
    <row customHeight="1" ht="11.25" hidden="1">
      <c r="AF6" s="118">
        <f>god-2</f>
        <v>2024</v>
      </c>
      <c r="AG6" s="118">
        <f>god-2</f>
        <v>2024</v>
      </c>
    </row>
    <row customHeight="1" ht="11.25" hidden="1">
      <c r="A7" s="118" t="s">
        <v>372</v>
      </c>
      <c r="AF7" s="118" cm="1" t="str">
        <f t="array" ref="AF7:AF7">AF25</f>
        <v>Факт по данным организации</v>
      </c>
      <c r="AG7" s="118" cm="1" t="str">
        <f t="array" ref="AG7:AG7">AG25</f>
        <v>Принято органом регулирования</v>
      </c>
    </row>
    <row customHeight="1" ht="11.25" hidden="1"/>
    <row s="1245" customFormat="1" customHeight="1" ht="11.25" hidden="1">
      <c r="A9" s="1005" t="s">
        <v>376</v>
      </c>
      <c r="B9" s="1017"/>
      <c r="AF9" s="1005" cm="1" t="str">
        <f t="array" ref="AF9:AF9">AF6</f>
        <v>2024</v>
      </c>
      <c r="AG9" s="1005" cm="1" t="str">
        <f t="array" ref="AG9:AG9">AG6</f>
        <v>2024</v>
      </c>
    </row>
    <row s="1245" customFormat="1" customHeight="1" ht="11.25" hidden="1">
      <c r="A10" s="1005" t="s">
        <v>377</v>
      </c>
      <c r="B10" s="1017"/>
      <c r="AF10" s="1005" cm="1" t="str">
        <f t="array" ref="AF10:AF10">AF25</f>
        <v>Факт по данным организации</v>
      </c>
      <c r="AG10" s="1005" cm="1" t="str">
        <f t="array" ref="AG10:AG10">AG25</f>
        <v>Принято органом регулирования</v>
      </c>
    </row>
    <row s="1245" customFormat="1" customHeight="1" ht="11.25" hidden="1">
      <c r="A11" s="1005" t="s">
        <v>378</v>
      </c>
      <c r="B11" s="1017"/>
      <c r="AH11" s="1005" cm="1" t="str">
        <f t="array" ref="AH11:AH11">AH24</f>
        <v>Комментарии</v>
      </c>
    </row>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4.625">
      <c r="E21" s="623">
        <v>15</v>
      </c>
      <c r="AA21" s="427"/>
      <c r="AB21" s="246"/>
      <c r="AC21" s="50" cm="1" t="str">
        <f t="array" ref="AC21:AC21">tpl_title</f>
        <v>Кемеровская область / 2026 / ОАО «СКЭК» (ИНН:4205153492, КПП:420501001) / ДПР: 2024-2028</v>
      </c>
      <c r="AD21" s="152"/>
      <c r="AE21" s="152"/>
      <c r="AF21" s="152"/>
      <c r="AG21" s="152"/>
    </row>
    <row customHeight="1" ht="21.9375">
      <c r="E22" s="623">
        <v>22.5</v>
      </c>
      <c r="AB22" s="316" t="s">
        <v>76</v>
      </c>
      <c r="AC22" s="222"/>
      <c r="AD22" s="222"/>
      <c r="AE22" s="222"/>
      <c r="AF22" s="222"/>
      <c r="AG22" s="233"/>
      <c r="AH22" s="233"/>
    </row>
    <row customHeight="1" ht="10.96875">
      <c r="E23" s="623">
        <v>11.25</v>
      </c>
      <c r="AB23" s="246"/>
      <c r="AC23" s="152"/>
      <c r="AD23" s="152"/>
      <c r="AE23" s="152"/>
      <c r="AF23" s="152"/>
      <c r="AG23" s="152"/>
    </row>
    <row customHeight="1" ht="19.25625">
      <c r="E24" s="623">
        <v>19.75</v>
      </c>
      <c r="AB24" s="1553" t="s">
        <v>22</v>
      </c>
      <c r="AC24" s="1564" t="s">
        <v>380</v>
      </c>
      <c r="AD24" s="1553" t="s">
        <v>1639</v>
      </c>
      <c r="AE24" s="1564" t="s">
        <v>1190</v>
      </c>
      <c r="AF24" s="1135" t="str">
        <f>god-2&amp;" год"</f>
        <v>2024 год</v>
      </c>
      <c r="AG24" s="86" t="str">
        <f>god-2&amp;" год"</f>
        <v>2024 год</v>
      </c>
      <c r="AH24" s="1564" t="s">
        <v>382</v>
      </c>
    </row>
    <row customHeight="1" ht="31.443750000000005">
      <c r="E25" s="623">
        <v>32.25</v>
      </c>
      <c r="AB25" s="1553"/>
      <c r="AC25" s="1564"/>
      <c r="AD25" s="1553"/>
      <c r="AE25" s="1564"/>
      <c r="AF25" s="1135" t="s">
        <v>555</v>
      </c>
      <c r="AG25" s="86" t="s">
        <v>373</v>
      </c>
      <c r="AH25" s="1564"/>
      <c r="AK25" s="118" t="s">
        <v>1623</v>
      </c>
    </row>
    <row s="1656" customFormat="1" customHeight="1" ht="11.25">
      <c r="B26" s="432"/>
      <c r="E26" s="677" t="s">
        <v>384</v>
      </c>
      <c r="F26" s="168" t="s">
        <v>1640</v>
      </c>
      <c r="G26" s="490"/>
      <c r="S26" s="0" t="s">
        <v>1641</v>
      </c>
      <c r="T26" s="0"/>
      <c r="AC26" s="96"/>
      <c r="AD26" s="96"/>
      <c r="AE26" s="96"/>
      <c r="AF26" s="96"/>
      <c r="AL26" s="1012"/>
      <c r="AQ26" s="97"/>
    </row>
    <row customHeight="1" ht="14.625" hidden="1">
      <c r="A27" s="1331"/>
      <c r="B27" s="1223"/>
      <c r="C27" s="1331"/>
      <c r="D27" s="1331"/>
      <c r="E27" s="623">
        <v>15</v>
      </c>
      <c r="F27" s="94" cm="1" t="str">
        <f t="array" ref="F27:F27">X27</f>
        <v>0</v>
      </c>
      <c r="G27" s="496"/>
      <c r="H27" s="81"/>
      <c r="I27" s="1331"/>
      <c r="J27" s="1331"/>
      <c r="K27" s="1331"/>
      <c r="L27" s="1331"/>
      <c r="M27" s="1331"/>
      <c r="N27" s="1331"/>
      <c r="O27" s="1331"/>
      <c r="P27" s="1331"/>
      <c r="Q27" s="1331"/>
      <c r="R27" s="1331"/>
      <c r="S27" s="1188" cm="1" t="str">
        <f t="array" ref="S27:S27">INDEX('Общие сведения'!$AE$197:$AE$254,MATCH($X27,'Общие сведения'!$Z$197:$Z$254,0))</f>
        <v>0</v>
      </c>
      <c r="T27" s="468">
        <f>X27&gt;0</f>
        <v>0</v>
      </c>
      <c r="U27" s="1331"/>
      <c r="V27" s="118" t="s">
        <v>279</v>
      </c>
      <c r="W27" s="1331"/>
      <c r="X27" s="1539">
        <v>0</v>
      </c>
      <c r="Y27" s="1331"/>
      <c r="Z27" s="1529"/>
      <c r="AA27" s="1331"/>
      <c r="AB27" s="377" cm="1" t="str">
        <f t="array" ref="AB27:AB27">INDEX('Общие сведения'!$AG$197:$AG$254,MATCH($X27,'Общие сведения'!$Z$197:$Z$254,0))</f>
        <v>Тариф 0 () - </v>
      </c>
      <c r="AC27" s="377"/>
      <c r="AD27" s="377"/>
      <c r="AE27" s="377"/>
      <c r="AF27" s="377"/>
      <c r="AG27" s="377"/>
      <c r="AH27" s="377"/>
      <c r="AI27" s="1331"/>
      <c r="AJ27" s="1331"/>
      <c r="AK27" s="1331"/>
      <c r="AL27" s="1245"/>
      <c r="AM27" s="1331"/>
      <c r="AN27" s="1331"/>
      <c r="AO27" s="1331"/>
      <c r="AP27" s="1331"/>
      <c r="AQ27" s="1331"/>
    </row>
    <row s="704" customFormat="1" customHeight="1" ht="43.875" hidden="1">
      <c r="A28" s="704"/>
      <c r="B28" s="433"/>
      <c r="C28" s="704"/>
      <c r="D28" s="704"/>
      <c r="E28" s="697">
        <v>45</v>
      </c>
      <c r="F28" s="50" cm="1" t="str">
        <f t="array" ref="F28:F28">OFFSET(E28,-1,1)</f>
        <v>0</v>
      </c>
      <c r="G28" s="500"/>
      <c r="H28" s="704"/>
      <c r="I28" s="118" t="s">
        <v>344</v>
      </c>
      <c r="J28" s="704"/>
      <c r="K28" s="120"/>
      <c r="L28" s="931"/>
      <c r="M28" s="500"/>
      <c r="N28" s="704"/>
      <c r="O28" s="704"/>
      <c r="P28" s="704"/>
      <c r="Q28" s="704"/>
      <c r="R28" s="704"/>
      <c r="S28" s="704"/>
      <c r="T28" s="468" cm="1" t="str">
        <f t="array" ref="T28:T28">T27</f>
        <v>false</v>
      </c>
      <c r="U28" s="704"/>
      <c r="V28" s="704"/>
      <c r="W28" s="704"/>
      <c r="X28" s="1539"/>
      <c r="Y28" s="704"/>
      <c r="Z28" s="1529"/>
      <c r="AA28" s="704"/>
      <c r="AB28" s="848" t="s">
        <v>1642</v>
      </c>
      <c r="AC28" s="849" t="s">
        <v>1643</v>
      </c>
      <c r="AD28" s="848" t="s">
        <v>1644</v>
      </c>
      <c r="AE28" s="850" t="s">
        <v>936</v>
      </c>
      <c r="AF28" s="851">
        <f>AF30-AF29</f>
        <v>0</v>
      </c>
      <c r="AG28" s="851">
        <f>AG30-AG29</f>
        <v>0</v>
      </c>
      <c r="AH28" s="4515"/>
      <c r="AI28" s="704"/>
      <c r="AJ28" s="704"/>
      <c r="AK28" s="704"/>
      <c r="AL28" s="1059" t="s">
        <v>1645</v>
      </c>
      <c r="AM28" s="704"/>
      <c r="AN28" s="704"/>
      <c r="AO28" s="704"/>
      <c r="AP28" s="704"/>
      <c r="AQ28" s="704"/>
    </row>
    <row s="704" customFormat="1" customHeight="1" ht="14.625" hidden="1">
      <c r="A29" s="704"/>
      <c r="B29" s="433"/>
      <c r="C29" s="704"/>
      <c r="D29" s="704"/>
      <c r="E29" s="697">
        <v>15</v>
      </c>
      <c r="F29" s="50" cm="1" t="str">
        <f t="array" ref="F29:F29">OFFSET(E29,-1,1)</f>
        <v>0</v>
      </c>
      <c r="G29" s="500"/>
      <c r="H29" s="704"/>
      <c r="I29" s="118" t="s">
        <v>566</v>
      </c>
      <c r="J29" s="704"/>
      <c r="K29" s="500"/>
      <c r="L29" s="500"/>
      <c r="M29" s="500"/>
      <c r="N29" s="704"/>
      <c r="O29" s="704"/>
      <c r="P29" s="704"/>
      <c r="Q29" s="704"/>
      <c r="R29" s="704"/>
      <c r="S29" s="704"/>
      <c r="T29" s="468" cm="1" t="str">
        <f t="array" ref="T29:T29">T28</f>
        <v>false</v>
      </c>
      <c r="U29" s="704"/>
      <c r="V29" s="704"/>
      <c r="W29" s="704"/>
      <c r="X29" s="1539"/>
      <c r="Y29" s="704"/>
      <c r="Z29" s="1529"/>
      <c r="AA29" s="704"/>
      <c r="AB29" s="214" t="s">
        <v>290</v>
      </c>
      <c r="AC29" s="215" t="s">
        <v>1646</v>
      </c>
      <c r="AD29" s="207" t="s">
        <v>1647</v>
      </c>
      <c r="AE29" s="230" t="s">
        <v>936</v>
      </c>
      <c r="AF29" s="4516"/>
      <c r="AG29" s="4516"/>
      <c r="AH29" s="4515"/>
      <c r="AI29" s="704"/>
      <c r="AJ29" s="704"/>
      <c r="AK29" s="704"/>
      <c r="AL29" s="1059" t="s">
        <v>1648</v>
      </c>
      <c r="AM29" s="704"/>
      <c r="AN29" s="704"/>
      <c r="AO29" s="704"/>
      <c r="AP29" s="704"/>
      <c r="AQ29" s="704"/>
    </row>
    <row s="704" customFormat="1" customHeight="1" ht="14.625" hidden="1">
      <c r="A30" s="704"/>
      <c r="B30" s="433"/>
      <c r="C30" s="704"/>
      <c r="D30" s="704"/>
      <c r="E30" s="697">
        <v>15</v>
      </c>
      <c r="F30" s="50" cm="1" t="str">
        <f t="array" ref="F30:F30">OFFSET(E30,-1,1)</f>
        <v>0</v>
      </c>
      <c r="G30" s="143"/>
      <c r="H30" s="143"/>
      <c r="I30" s="428" t="s">
        <v>570</v>
      </c>
      <c r="J30" s="704"/>
      <c r="K30" s="500"/>
      <c r="L30" s="500"/>
      <c r="M30" s="500"/>
      <c r="N30" s="704"/>
      <c r="O30" s="704"/>
      <c r="P30" s="704"/>
      <c r="Q30" s="704"/>
      <c r="R30" s="704"/>
      <c r="S30" s="704"/>
      <c r="T30" s="468" cm="1" t="str">
        <f t="array" ref="T30:T30">T29</f>
        <v>false</v>
      </c>
      <c r="U30" s="704"/>
      <c r="V30" s="704"/>
      <c r="W30" s="704"/>
      <c r="X30" s="1539"/>
      <c r="Y30" s="704"/>
      <c r="Z30" s="1529"/>
      <c r="AA30" s="704"/>
      <c r="AB30" s="214" t="s">
        <v>299</v>
      </c>
      <c r="AC30" s="208" t="s">
        <v>1649</v>
      </c>
      <c r="AD30" s="207" t="s">
        <v>1650</v>
      </c>
      <c r="AE30" s="230" t="s">
        <v>936</v>
      </c>
      <c r="AF30" s="851">
        <f>AF31+AF32+AF44+AF48+AF49+AF50+AF51+AF55+AF56+AF57+AF58+AF61+AF62</f>
        <v>0</v>
      </c>
      <c r="AG30" s="851">
        <f>AG31+AG32+AG44+AG48+AG49+AG50+AG51+AG55+AG56+AG57+AG58+AG61+AG62</f>
        <v>0</v>
      </c>
      <c r="AH30" s="4515"/>
      <c r="AI30" s="704"/>
      <c r="AJ30" s="704"/>
      <c r="AK30" s="704"/>
      <c r="AL30" s="1059" t="s">
        <v>1651</v>
      </c>
      <c r="AM30" s="704"/>
      <c r="AN30" s="704"/>
      <c r="AO30" s="704"/>
      <c r="AP30" s="704"/>
      <c r="AQ30" s="704"/>
    </row>
    <row customHeight="1" ht="21.9375" hidden="1">
      <c r="A31" s="1331"/>
      <c r="B31" s="1223"/>
      <c r="C31" s="1331"/>
      <c r="D31" s="1331"/>
      <c r="E31" s="623">
        <v>22.5</v>
      </c>
      <c r="F31" s="50" cm="1" t="str">
        <f t="array" ref="F31:F31">OFFSET(E31,-1,1)</f>
        <v>0</v>
      </c>
      <c r="G31" s="428" t="s">
        <v>1652</v>
      </c>
      <c r="H31" s="81"/>
      <c r="I31" s="428" t="s">
        <v>1550</v>
      </c>
      <c r="J31" s="1331"/>
      <c r="K31" s="120"/>
      <c r="L31" s="120"/>
      <c r="M31" s="120"/>
      <c r="N31" s="1331"/>
      <c r="O31" s="1331"/>
      <c r="P31" s="1331"/>
      <c r="Q31" s="1331"/>
      <c r="R31" s="1331"/>
      <c r="S31" s="1441"/>
      <c r="T31" s="468" cm="1" t="str">
        <f t="array" ref="T31:T31">T30</f>
        <v>false</v>
      </c>
      <c r="U31" s="1331"/>
      <c r="V31" s="1331"/>
      <c r="W31" s="1331"/>
      <c r="X31" s="1539"/>
      <c r="Y31" s="1331"/>
      <c r="Z31" s="1529"/>
      <c r="AA31" s="1331"/>
      <c r="AB31" s="295" t="s">
        <v>660</v>
      </c>
      <c r="AC31" s="769" t="s">
        <v>1653</v>
      </c>
      <c r="AD31" s="296" t="s">
        <v>1654</v>
      </c>
      <c r="AE31" s="773" t="s">
        <v>936</v>
      </c>
      <c r="AF31" s="4146"/>
      <c r="AG31" s="4146"/>
      <c r="AH31" s="1823"/>
      <c r="AI31" s="1331"/>
      <c r="AJ31" s="1331"/>
      <c r="AK31" s="1331"/>
      <c r="AL31" s="1005" t="s">
        <v>1655</v>
      </c>
      <c r="AM31" s="1331"/>
      <c r="AN31" s="1331"/>
      <c r="AO31" s="1331"/>
      <c r="AP31" s="1331"/>
      <c r="AQ31" s="1331"/>
    </row>
    <row customHeight="1" ht="21.9375" hidden="1">
      <c r="A32" s="1331"/>
      <c r="B32" s="1223"/>
      <c r="C32" s="1331"/>
      <c r="D32" s="1331"/>
      <c r="E32" s="623">
        <v>22.5</v>
      </c>
      <c r="F32" s="50" cm="1" t="str">
        <f t="array" ref="F32:F32">OFFSET(E32,-1,1)</f>
        <v>0</v>
      </c>
      <c r="G32" s="428"/>
      <c r="H32" s="81"/>
      <c r="I32" s="428" t="s">
        <v>1553</v>
      </c>
      <c r="J32" s="1331"/>
      <c r="K32" s="120"/>
      <c r="L32" s="120"/>
      <c r="M32" s="120"/>
      <c r="N32" s="1331"/>
      <c r="O32" s="1331"/>
      <c r="P32" s="1331"/>
      <c r="Q32" s="1331"/>
      <c r="R32" s="1331"/>
      <c r="S32" s="1441"/>
      <c r="T32" s="468" cm="1" t="str">
        <f t="array" ref="T32:T32">T31</f>
        <v>false</v>
      </c>
      <c r="U32" s="1331"/>
      <c r="V32" s="1331"/>
      <c r="W32" s="1331"/>
      <c r="X32" s="1539"/>
      <c r="Y32" s="1331"/>
      <c r="Z32" s="1529"/>
      <c r="AA32" s="1331"/>
      <c r="AB32" s="295" t="s">
        <v>664</v>
      </c>
      <c r="AC32" s="769" t="s">
        <v>1656</v>
      </c>
      <c r="AD32" s="296" t="s">
        <v>1657</v>
      </c>
      <c r="AE32" s="773" t="s">
        <v>936</v>
      </c>
      <c r="AF32" s="941">
        <f>SUM(AF33:AF43)</f>
        <v>0</v>
      </c>
      <c r="AG32" s="941">
        <f>SUM(AG33:AG43)</f>
        <v>0</v>
      </c>
      <c r="AH32" s="1823"/>
      <c r="AI32" s="1331"/>
      <c r="AJ32" s="1331"/>
      <c r="AK32" s="1331"/>
      <c r="AL32" s="1005" t="s">
        <v>1658</v>
      </c>
      <c r="AM32" s="1331"/>
      <c r="AN32" s="1331"/>
      <c r="AO32" s="1331"/>
      <c r="AP32" s="1331"/>
      <c r="AQ32" s="1331"/>
    </row>
    <row customHeight="1" ht="21.9375" hidden="1">
      <c r="A33" s="1331"/>
      <c r="B33" s="1223"/>
      <c r="C33" s="1331"/>
      <c r="D33" s="1331"/>
      <c r="E33" s="623">
        <v>22.5</v>
      </c>
      <c r="F33" s="50" cm="1" t="str">
        <f t="array" ref="F33:F33">OFFSET(E33,-1,1)</f>
        <v>0</v>
      </c>
      <c r="G33" s="428"/>
      <c r="H33" s="81"/>
      <c r="I33" s="428" t="s">
        <v>1659</v>
      </c>
      <c r="J33" s="1331"/>
      <c r="K33" s="120"/>
      <c r="L33" s="120"/>
      <c r="M33" s="120"/>
      <c r="N33" s="1331"/>
      <c r="O33" s="1331"/>
      <c r="P33" s="1331"/>
      <c r="Q33" s="1331"/>
      <c r="R33" s="1331"/>
      <c r="S33" s="1441"/>
      <c r="T33" s="468" cm="1" t="str">
        <f t="array" ref="T33:T33">T32</f>
        <v>false</v>
      </c>
      <c r="U33" s="1331"/>
      <c r="V33" s="1331"/>
      <c r="W33" s="1331"/>
      <c r="X33" s="1539"/>
      <c r="Y33" s="1331"/>
      <c r="Z33" s="1529"/>
      <c r="AA33" s="1331"/>
      <c r="AB33" s="791" t="s">
        <v>598</v>
      </c>
      <c r="AC33" s="788" t="s">
        <v>1660</v>
      </c>
      <c r="AD33" s="773"/>
      <c r="AE33" s="773" t="s">
        <v>936</v>
      </c>
      <c r="AF33" s="4146">
        <f>_xlfn.SUMIFS(Покупка!$AF$25:$AF$327,Покупка!$F$25:$F$327,$F33,Покупка!$I$25:$I$327,"Итого_пок_усл")</f>
        <v>0</v>
      </c>
      <c r="AG33" s="4146">
        <f>_xlfn.SUMIFS(Покупка!$AG$25:$AG$327,Покупка!$F$25:$F$327,$F33,Покупка!$I$25:$I$327,"Итого_пок_усл")</f>
        <v>0</v>
      </c>
      <c r="AH33" s="1823"/>
      <c r="AI33" s="1331"/>
      <c r="AJ33" s="1331"/>
      <c r="AK33" s="1331"/>
      <c r="AL33" s="1005" t="s">
        <v>1661</v>
      </c>
      <c r="AM33" s="1331"/>
      <c r="AN33" s="1331"/>
      <c r="AO33" s="1331"/>
      <c r="AP33" s="1331"/>
      <c r="AQ33" s="1331"/>
    </row>
    <row customHeight="1" ht="14.625" hidden="1">
      <c r="A34" s="1331"/>
      <c r="B34" s="1223"/>
      <c r="C34" s="1331"/>
      <c r="D34" s="1331"/>
      <c r="E34" s="623">
        <v>15</v>
      </c>
      <c r="F34" s="50" cm="1" t="str">
        <f t="array" ref="F34:F34">OFFSET(E34,-1,1)</f>
        <v>0</v>
      </c>
      <c r="G34" s="428"/>
      <c r="H34" s="81"/>
      <c r="I34" s="428" t="s">
        <v>1662</v>
      </c>
      <c r="J34" s="1331"/>
      <c r="K34" s="120"/>
      <c r="L34" s="120"/>
      <c r="M34" s="120"/>
      <c r="N34" s="1331"/>
      <c r="O34" s="1331"/>
      <c r="P34" s="1331"/>
      <c r="Q34" s="1331"/>
      <c r="R34" s="1331"/>
      <c r="S34" s="1441"/>
      <c r="T34" s="468" cm="1" t="str">
        <f t="array" ref="T34:T34">T33</f>
        <v>false</v>
      </c>
      <c r="U34" s="1331"/>
      <c r="V34" s="1331"/>
      <c r="W34" s="1331"/>
      <c r="X34" s="1539"/>
      <c r="Y34" s="1331"/>
      <c r="Z34" s="1529"/>
      <c r="AA34" s="1331"/>
      <c r="AB34" s="791" t="s">
        <v>1663</v>
      </c>
      <c r="AC34" s="788" t="s">
        <v>1664</v>
      </c>
      <c r="AD34" s="773"/>
      <c r="AE34" s="773" t="s">
        <v>936</v>
      </c>
      <c r="AF34" s="4146"/>
      <c r="AG34" s="4146">
        <f>_xlfn.SUMIFS('Сырье и материалы'!AG$25:AG$112,'Сырье и материалы'!$F$25:$F$112,$F34,'Сырье и материалы'!$AC$25:$AC$112,"Всего по тарифу")</f>
        <v>0</v>
      </c>
      <c r="AH34" s="1823"/>
      <c r="AI34" s="1331"/>
      <c r="AJ34" s="1331"/>
      <c r="AK34" s="1331"/>
      <c r="AL34" s="1005" t="s">
        <v>1665</v>
      </c>
      <c r="AM34" s="1331"/>
      <c r="AN34" s="1331"/>
      <c r="AO34" s="1331"/>
      <c r="AP34" s="1331"/>
      <c r="AQ34" s="1331"/>
    </row>
    <row customHeight="1" ht="14.625" hidden="1">
      <c r="A35" s="1331"/>
      <c r="B35" s="1223"/>
      <c r="C35" s="1331"/>
      <c r="D35" s="1331"/>
      <c r="E35" s="623">
        <v>15</v>
      </c>
      <c r="F35" s="50" cm="1" t="str">
        <f t="array" ref="F35:F35">OFFSET(E35,-1,1)</f>
        <v>0</v>
      </c>
      <c r="G35" s="428"/>
      <c r="H35" s="81"/>
      <c r="I35" s="428" t="s">
        <v>1666</v>
      </c>
      <c r="J35" s="1331"/>
      <c r="K35" s="120"/>
      <c r="L35" s="120"/>
      <c r="M35" s="120"/>
      <c r="N35" s="1331"/>
      <c r="O35" s="1331"/>
      <c r="P35" s="1331"/>
      <c r="Q35" s="1331"/>
      <c r="R35" s="1331"/>
      <c r="S35" s="1441"/>
      <c r="T35" s="468" cm="1" t="str">
        <f t="array" ref="T35:T35">T34</f>
        <v>false</v>
      </c>
      <c r="U35" s="1331"/>
      <c r="V35" s="1331"/>
      <c r="W35" s="1331"/>
      <c r="X35" s="1539"/>
      <c r="Y35" s="1331"/>
      <c r="Z35" s="1529"/>
      <c r="AA35" s="1331"/>
      <c r="AB35" s="791" t="s">
        <v>1667</v>
      </c>
      <c r="AC35" s="788" t="s">
        <v>1668</v>
      </c>
      <c r="AD35" s="773"/>
      <c r="AE35" s="773" t="s">
        <v>936</v>
      </c>
      <c r="AF35" s="4146">
        <f>_xlfn.SUMIFS(Налоги!AF$25:AF$83,Налоги!$F$25:$F$83,$F35,Налоги!$AB$25:$AB$83,"0")</f>
        <v>0</v>
      </c>
      <c r="AG35" s="4146">
        <f>_xlfn.SUMIFS(Налоги!AG$25:AG$83,Налоги!$F$25:$F$83,$F35,Налоги!$AB$25:$AB$83,"0")</f>
        <v>0</v>
      </c>
      <c r="AH35" s="1823"/>
      <c r="AI35" s="1331"/>
      <c r="AJ35" s="1331"/>
      <c r="AK35" s="1331"/>
      <c r="AL35" s="1005" t="s">
        <v>1669</v>
      </c>
      <c r="AM35" s="1331"/>
      <c r="AN35" s="1331"/>
      <c r="AO35" s="1331"/>
      <c r="AP35" s="1331"/>
      <c r="AQ35" s="1331"/>
    </row>
    <row customHeight="1" ht="65.8125" hidden="1">
      <c r="A36" s="1331"/>
      <c r="B36" s="1223"/>
      <c r="C36" s="1331"/>
      <c r="D36" s="1331"/>
      <c r="E36" s="623">
        <v>67.5</v>
      </c>
      <c r="F36" s="50" cm="1" t="str">
        <f t="array" ref="F36:F36">OFFSET(E36,-1,1)</f>
        <v>0</v>
      </c>
      <c r="G36" s="103" t="s">
        <v>1670</v>
      </c>
      <c r="H36" s="81"/>
      <c r="I36" s="496" t="s">
        <v>1671</v>
      </c>
      <c r="J36" s="1331"/>
      <c r="K36" s="120"/>
      <c r="L36" s="120"/>
      <c r="M36" s="120"/>
      <c r="N36" s="1331"/>
      <c r="O36" s="1331"/>
      <c r="P36" s="1331"/>
      <c r="Q36" s="1331"/>
      <c r="R36" s="1331"/>
      <c r="S36" s="1441"/>
      <c r="T36" s="468" cm="1" t="str">
        <f t="array" ref="T36:T36">T35</f>
        <v>false</v>
      </c>
      <c r="U36" s="1331"/>
      <c r="V36" s="1331"/>
      <c r="W36" s="1331"/>
      <c r="X36" s="1539"/>
      <c r="Y36" s="1331"/>
      <c r="Z36" s="1529"/>
      <c r="AA36" s="1331"/>
      <c r="AB36" s="791" t="s">
        <v>1672</v>
      </c>
      <c r="AC36" s="788" t="s">
        <v>1673</v>
      </c>
      <c r="AD36" s="773"/>
      <c r="AE36" s="773" t="s">
        <v>936</v>
      </c>
      <c r="AF36" s="4146"/>
      <c r="AG36" s="4146">
        <f>IF(AND(method_reg="Метод индексации",first_year=god),_xlfn.SUMIFS('Калькуляция (МИ)'!$AG$25:$AG$603,'Калькуляция (МИ)'!$F$25:$F$603,$F36,'Калькуляция (МИ)'!$G$25:$G$603,$G36),_xlfn.SUMIFS('Калькуляция (МИ корр)'!$AG$25:$AG$606,'Калькуляция (МИ корр)'!$F$25:$F$606,$F36,'Калькуляция (МИ корр)'!$G$25:$G$606,$G36))</f>
        <v>0</v>
      </c>
      <c r="AH36" s="1823"/>
      <c r="AI36" s="1331"/>
      <c r="AJ36" s="1331"/>
      <c r="AK36" s="1331"/>
      <c r="AL36" s="1005" t="s">
        <v>1674</v>
      </c>
      <c r="AM36" s="1331"/>
      <c r="AN36" s="1331"/>
      <c r="AO36" s="1331"/>
      <c r="AP36" s="1331"/>
      <c r="AQ36" s="1331"/>
    </row>
    <row customHeight="1" ht="14.625" hidden="1">
      <c r="A37" s="1331"/>
      <c r="B37" s="1223"/>
      <c r="C37" s="1331"/>
      <c r="D37" s="1331"/>
      <c r="E37" s="623">
        <v>15</v>
      </c>
      <c r="F37" s="50" cm="1" t="str">
        <f t="array" ref="F37:F37">OFFSET(E37,-1,1)</f>
        <v>0</v>
      </c>
      <c r="G37" s="103" t="s">
        <v>1192</v>
      </c>
      <c r="H37" s="81"/>
      <c r="I37" s="496" t="s">
        <v>1675</v>
      </c>
      <c r="J37" s="1331"/>
      <c r="K37" s="120"/>
      <c r="L37" s="120"/>
      <c r="M37" s="120"/>
      <c r="N37" s="1331"/>
      <c r="O37" s="1331"/>
      <c r="P37" s="1331"/>
      <c r="Q37" s="1331"/>
      <c r="R37" s="1331"/>
      <c r="S37" s="1441"/>
      <c r="T37" s="468" cm="1" t="str">
        <f t="array" ref="T37:T37">T36</f>
        <v>false</v>
      </c>
      <c r="U37" s="1331"/>
      <c r="V37" s="1331"/>
      <c r="W37" s="1331"/>
      <c r="X37" s="1539"/>
      <c r="Y37" s="1331"/>
      <c r="Z37" s="1529"/>
      <c r="AA37" s="1331"/>
      <c r="AB37" s="791" t="s">
        <v>1676</v>
      </c>
      <c r="AC37" s="788" t="s">
        <v>1677</v>
      </c>
      <c r="AD37" s="773"/>
      <c r="AE37" s="773" t="s">
        <v>936</v>
      </c>
      <c r="AF37" s="4146"/>
      <c r="AG37" s="4146">
        <f>IF(AND(method_reg="Метод индексации",first_year=god),_xlfn.SUMIFS('Калькуляция (МИ)'!$AG$25:$AG$603,'Калькуляция (МИ)'!$F$25:$F$603,$F37,'Калькуляция (МИ)'!$G$25:$G$603,$G37),_xlfn.SUMIFS('Калькуляция (МИ корр)'!$AG$25:$AG$606,'Калькуляция (МИ корр)'!$F$25:$F$606,$F37,'Калькуляция (МИ корр)'!$G$25:$G$606,$G37))</f>
        <v>0</v>
      </c>
      <c r="AH37" s="1823"/>
      <c r="AI37" s="1331"/>
      <c r="AJ37" s="1331"/>
      <c r="AK37" s="1331"/>
      <c r="AL37" s="1005" t="s">
        <v>1678</v>
      </c>
      <c r="AM37" s="1331"/>
      <c r="AN37" s="1331"/>
      <c r="AO37" s="1331"/>
      <c r="AP37" s="1331"/>
      <c r="AQ37" s="1331"/>
    </row>
    <row customHeight="1" ht="14.625" hidden="1">
      <c r="A38" s="1331"/>
      <c r="B38" s="1223"/>
      <c r="C38" s="1331"/>
      <c r="D38" s="1331"/>
      <c r="E38" s="623">
        <v>15</v>
      </c>
      <c r="F38" s="50" cm="1" t="str">
        <f t="array" ref="F38:F38">OFFSET(E38,-1,1)</f>
        <v>0</v>
      </c>
      <c r="G38" s="103" t="s">
        <v>1679</v>
      </c>
      <c r="H38" s="81"/>
      <c r="I38" s="496" t="s">
        <v>1680</v>
      </c>
      <c r="J38" s="1331"/>
      <c r="K38" s="120"/>
      <c r="L38" s="120"/>
      <c r="M38" s="120"/>
      <c r="N38" s="1331"/>
      <c r="O38" s="1331"/>
      <c r="P38" s="1331"/>
      <c r="Q38" s="1331"/>
      <c r="R38" s="1331"/>
      <c r="S38" s="1441"/>
      <c r="T38" s="468" cm="1" t="str">
        <f t="array" ref="T38:T38">T37</f>
        <v>false</v>
      </c>
      <c r="U38" s="1331"/>
      <c r="V38" s="1331"/>
      <c r="W38" s="1331"/>
      <c r="X38" s="1539"/>
      <c r="Y38" s="1331"/>
      <c r="Z38" s="1529"/>
      <c r="AA38" s="1331"/>
      <c r="AB38" s="791" t="s">
        <v>1681</v>
      </c>
      <c r="AC38" s="788" t="s">
        <v>1682</v>
      </c>
      <c r="AD38" s="773"/>
      <c r="AE38" s="773" t="s">
        <v>936</v>
      </c>
      <c r="AF38" s="4146"/>
      <c r="AG38" s="4146">
        <f>IF(AND(method_reg="Метод индексации",first_year=god),_xlfn.SUMIFS('Калькуляция (МИ)'!$AG$25:$AG$603,'Калькуляция (МИ)'!$F$25:$F$603,$F38,'Калькуляция (МИ)'!$G$25:$G$603,$G38),_xlfn.SUMIFS('Калькуляция (МИ корр)'!$AG$25:$AG$606,'Калькуляция (МИ корр)'!$F$25:$F$606,$F38,'Калькуляция (МИ корр)'!$G$25:$G$606,$G38))</f>
        <v>0</v>
      </c>
      <c r="AH38" s="1823"/>
      <c r="AI38" s="1331"/>
      <c r="AJ38" s="1331"/>
      <c r="AK38" s="1331"/>
      <c r="AL38" s="1005" t="s">
        <v>1683</v>
      </c>
      <c r="AM38" s="1331"/>
      <c r="AN38" s="1331"/>
      <c r="AO38" s="1331"/>
      <c r="AP38" s="1331"/>
      <c r="AQ38" s="1331"/>
    </row>
    <row customHeight="1" ht="21.9375" hidden="1">
      <c r="A39" s="1331"/>
      <c r="B39" s="1223"/>
      <c r="C39" s="1331"/>
      <c r="D39" s="1331"/>
      <c r="E39" s="623">
        <v>22.5</v>
      </c>
      <c r="F39" s="50" cm="1" t="str">
        <f t="array" ref="F39:F39">OFFSET(E39,-1,1)</f>
        <v>0</v>
      </c>
      <c r="G39" s="103" t="s">
        <v>1684</v>
      </c>
      <c r="H39" s="81"/>
      <c r="I39" s="496" t="s">
        <v>1685</v>
      </c>
      <c r="J39" s="1331"/>
      <c r="K39" s="120"/>
      <c r="L39" s="120"/>
      <c r="M39" s="120"/>
      <c r="N39" s="1331"/>
      <c r="O39" s="1331"/>
      <c r="P39" s="1331"/>
      <c r="Q39" s="1331"/>
      <c r="R39" s="1331"/>
      <c r="S39" s="1441"/>
      <c r="T39" s="468" cm="1" t="str">
        <f t="array" ref="T39:T39">T38</f>
        <v>false</v>
      </c>
      <c r="U39" s="1331"/>
      <c r="V39" s="1331"/>
      <c r="W39" s="1331"/>
      <c r="X39" s="1539"/>
      <c r="Y39" s="1331"/>
      <c r="Z39" s="1529"/>
      <c r="AA39" s="1331"/>
      <c r="AB39" s="791" t="s">
        <v>1686</v>
      </c>
      <c r="AC39" s="788" t="s">
        <v>1687</v>
      </c>
      <c r="AD39" s="773"/>
      <c r="AE39" s="773" t="s">
        <v>936</v>
      </c>
      <c r="AF39" s="4146"/>
      <c r="AG39" s="4146">
        <f>IF(AND(method_reg="Метод индексации",first_year=god),_xlfn.SUMIFS('Калькуляция (МИ)'!$AG$25:$AG$603,'Калькуляция (МИ)'!$F$25:$F$603,$F39,'Калькуляция (МИ)'!$G$25:$G$603,$G39),_xlfn.SUMIFS('Калькуляция (МИ корр)'!$AG$25:$AG$606,'Калькуляция (МИ корр)'!$F$25:$F$606,$F39,'Калькуляция (МИ корр)'!$G$25:$G$606,$G39))</f>
        <v>0</v>
      </c>
      <c r="AH39" s="1823"/>
      <c r="AI39" s="1331"/>
      <c r="AJ39" s="1331"/>
      <c r="AK39" s="1331"/>
      <c r="AL39" s="1005" t="s">
        <v>1688</v>
      </c>
      <c r="AM39" s="1331"/>
      <c r="AN39" s="1331"/>
      <c r="AO39" s="1331"/>
      <c r="AP39" s="1331"/>
      <c r="AQ39" s="1331"/>
    </row>
    <row customHeight="1" ht="21.9375" hidden="1">
      <c r="A40" s="1331"/>
      <c r="B40" s="1223"/>
      <c r="C40" s="1331"/>
      <c r="D40" s="1331"/>
      <c r="E40" s="623">
        <v>22.5</v>
      </c>
      <c r="F40" s="50" cm="1" t="str">
        <f t="array" ref="F40:F40">OFFSET(E40,-1,1)</f>
        <v>0</v>
      </c>
      <c r="G40" s="103" t="s">
        <v>1689</v>
      </c>
      <c r="H40" s="81"/>
      <c r="I40" s="496" t="s">
        <v>1690</v>
      </c>
      <c r="J40" s="1331"/>
      <c r="K40" s="120"/>
      <c r="L40" s="120"/>
      <c r="M40" s="120"/>
      <c r="N40" s="1331"/>
      <c r="O40" s="1331"/>
      <c r="P40" s="1331"/>
      <c r="Q40" s="1331"/>
      <c r="R40" s="1331"/>
      <c r="S40" s="1441"/>
      <c r="T40" s="468" cm="1" t="str">
        <f t="array" ref="T40:T40">T39</f>
        <v>false</v>
      </c>
      <c r="U40" s="1331"/>
      <c r="V40" s="1331"/>
      <c r="W40" s="1331"/>
      <c r="X40" s="1539"/>
      <c r="Y40" s="1331"/>
      <c r="Z40" s="1529"/>
      <c r="AA40" s="1331"/>
      <c r="AB40" s="791" t="s">
        <v>1691</v>
      </c>
      <c r="AC40" s="788" t="s">
        <v>1692</v>
      </c>
      <c r="AD40" s="942"/>
      <c r="AE40" s="773" t="s">
        <v>936</v>
      </c>
      <c r="AF40" s="4146"/>
      <c r="AG40" s="4146">
        <f>IF(AND(method_reg="Метод индексации",first_year=god),_xlfn.SUMIFS('Калькуляция (МИ)'!$AG$25:$AG$603,'Калькуляция (МИ)'!$F$25:$F$603,$F40,'Калькуляция (МИ)'!$G$25:$G$603,$G40),_xlfn.SUMIFS('Калькуляция (МИ корр)'!$AG$25:$AG$606,'Калькуляция (МИ корр)'!$F$25:$F$606,$F40,'Калькуляция (МИ корр)'!$G$25:$G$606,$G40))</f>
        <v>0</v>
      </c>
      <c r="AH40" s="1823"/>
      <c r="AI40" s="1331"/>
      <c r="AJ40" s="1331"/>
      <c r="AK40" s="1331"/>
      <c r="AL40" s="1005" t="s">
        <v>1693</v>
      </c>
      <c r="AM40" s="1331"/>
      <c r="AN40" s="1331"/>
      <c r="AO40" s="1331"/>
      <c r="AP40" s="1331"/>
      <c r="AQ40" s="1331"/>
    </row>
    <row customHeight="1" ht="21.9375" hidden="1">
      <c r="A41" s="1331"/>
      <c r="B41" s="1223"/>
      <c r="C41" s="1331"/>
      <c r="D41" s="1331"/>
      <c r="E41" s="623">
        <v>22.5</v>
      </c>
      <c r="F41" s="50" cm="1" t="str">
        <f t="array" ref="F41:F41">OFFSET(E41,-1,1)</f>
        <v>0</v>
      </c>
      <c r="G41" s="103" t="s">
        <v>1694</v>
      </c>
      <c r="H41" s="81"/>
      <c r="I41" s="496" t="s">
        <v>1695</v>
      </c>
      <c r="J41" s="1331"/>
      <c r="K41" s="120"/>
      <c r="L41" s="120"/>
      <c r="M41" s="120"/>
      <c r="N41" s="1331"/>
      <c r="O41" s="1331"/>
      <c r="P41" s="1331"/>
      <c r="Q41" s="1331"/>
      <c r="R41" s="1331"/>
      <c r="S41" s="1441"/>
      <c r="T41" s="468" cm="1" t="str">
        <f t="array" ref="T41:T41">T40</f>
        <v>false</v>
      </c>
      <c r="U41" s="1331"/>
      <c r="V41" s="1331"/>
      <c r="W41" s="1331"/>
      <c r="X41" s="1539"/>
      <c r="Y41" s="1331"/>
      <c r="Z41" s="1529"/>
      <c r="AA41" s="1331"/>
      <c r="AB41" s="791" t="s">
        <v>1696</v>
      </c>
      <c r="AC41" s="788" t="s">
        <v>1697</v>
      </c>
      <c r="AD41" s="942"/>
      <c r="AE41" s="773" t="s">
        <v>936</v>
      </c>
      <c r="AF41" s="4146"/>
      <c r="AG41" s="4146">
        <f>IF(AND(method_reg="Метод индексации",first_year=god),_xlfn.SUMIFS('Калькуляция (МИ)'!$AG$25:$AG$603,'Калькуляция (МИ)'!$F$25:$F$603,$F41,'Калькуляция (МИ)'!$G$25:$G$603,$G41),_xlfn.SUMIFS('Калькуляция (МИ корр)'!$AG$25:$AG$606,'Калькуляция (МИ корр)'!$F$25:$F$606,$F41,'Калькуляция (МИ корр)'!$G$25:$G$606,$G41))</f>
        <v>0</v>
      </c>
      <c r="AH41" s="1823"/>
      <c r="AI41" s="1331"/>
      <c r="AJ41" s="1331"/>
      <c r="AK41" s="1331"/>
      <c r="AL41" s="1005" t="s">
        <v>1698</v>
      </c>
      <c r="AM41" s="1331"/>
      <c r="AN41" s="1331"/>
      <c r="AO41" s="1331"/>
      <c r="AP41" s="1331"/>
      <c r="AQ41" s="1331"/>
    </row>
    <row customHeight="1" ht="14.625" hidden="1">
      <c r="A42" s="1331"/>
      <c r="B42" s="1223"/>
      <c r="C42" s="1331"/>
      <c r="D42" s="1331"/>
      <c r="E42" s="623">
        <v>15</v>
      </c>
      <c r="F42" s="50" cm="1" t="str">
        <f t="array" ref="F42:F42">OFFSET(E42,-1,1)</f>
        <v>0</v>
      </c>
      <c r="G42" s="103" t="s">
        <v>1699</v>
      </c>
      <c r="H42" s="81"/>
      <c r="I42" s="496" t="s">
        <v>1700</v>
      </c>
      <c r="J42" s="1331"/>
      <c r="K42" s="120"/>
      <c r="L42" s="120"/>
      <c r="M42" s="120"/>
      <c r="N42" s="1331"/>
      <c r="O42" s="1331"/>
      <c r="P42" s="1331"/>
      <c r="Q42" s="1331"/>
      <c r="R42" s="1331"/>
      <c r="S42" s="1441"/>
      <c r="T42" s="468" cm="1" t="str">
        <f t="array" ref="T42:T42">T41</f>
        <v>false</v>
      </c>
      <c r="U42" s="1331"/>
      <c r="V42" s="1331"/>
      <c r="W42" s="1331"/>
      <c r="X42" s="1539"/>
      <c r="Y42" s="1331"/>
      <c r="Z42" s="1529"/>
      <c r="AA42" s="1331"/>
      <c r="AB42" s="791" t="s">
        <v>1701</v>
      </c>
      <c r="AC42" s="788" t="s">
        <v>1702</v>
      </c>
      <c r="AD42" s="942"/>
      <c r="AE42" s="773" t="s">
        <v>936</v>
      </c>
      <c r="AF42" s="4146"/>
      <c r="AG42" s="4146">
        <f>IF(AND(method_reg="Метод индексации",first_year=god),_xlfn.SUMIFS('Калькуляция (МИ)'!$AG$25:$AG$603,'Калькуляция (МИ)'!$F$25:$F$603,$F42,'Калькуляция (МИ)'!$G$25:$G$603,$G42),_xlfn.SUMIFS('Калькуляция (МИ корр)'!$AG$25:$AG$606,'Калькуляция (МИ корр)'!$F$25:$F$606,$F42,'Калькуляция (МИ корр)'!$G$25:$G$606,$G42))</f>
        <v>0</v>
      </c>
      <c r="AH42" s="1823"/>
      <c r="AI42" s="1331"/>
      <c r="AJ42" s="1331"/>
      <c r="AK42" s="1331"/>
      <c r="AL42" s="1005" t="s">
        <v>1703</v>
      </c>
      <c r="AM42" s="1331"/>
      <c r="AN42" s="1331"/>
      <c r="AO42" s="1331"/>
      <c r="AP42" s="1331"/>
      <c r="AQ42" s="1331"/>
    </row>
    <row customHeight="1" ht="21.9375" hidden="1">
      <c r="A43" s="1331"/>
      <c r="B43" s="1223"/>
      <c r="C43" s="1331"/>
      <c r="D43" s="1331"/>
      <c r="E43" s="623">
        <v>22.5</v>
      </c>
      <c r="F43" s="50" cm="1" t="str">
        <f t="array" ref="F43:F43">OFFSET(E43,-1,1)</f>
        <v>0</v>
      </c>
      <c r="G43" s="103" t="s">
        <v>1704</v>
      </c>
      <c r="H43" s="81"/>
      <c r="I43" s="496" t="s">
        <v>1705</v>
      </c>
      <c r="J43" s="1331"/>
      <c r="K43" s="120"/>
      <c r="L43" s="120"/>
      <c r="M43" s="120"/>
      <c r="N43" s="1331"/>
      <c r="O43" s="1331"/>
      <c r="P43" s="1331"/>
      <c r="Q43" s="1331"/>
      <c r="R43" s="1331"/>
      <c r="S43" s="1441"/>
      <c r="T43" s="468" cm="1" t="str">
        <f t="array" ref="T43:T43">T42</f>
        <v>false</v>
      </c>
      <c r="U43" s="1331"/>
      <c r="V43" s="1331"/>
      <c r="W43" s="1331"/>
      <c r="X43" s="1539"/>
      <c r="Y43" s="1331"/>
      <c r="Z43" s="1529"/>
      <c r="AA43" s="1331"/>
      <c r="AB43" s="791" t="s">
        <v>1706</v>
      </c>
      <c r="AC43" s="788" t="s">
        <v>1707</v>
      </c>
      <c r="AD43" s="942"/>
      <c r="AE43" s="773" t="s">
        <v>936</v>
      </c>
      <c r="AF43" s="4146"/>
      <c r="AG43" s="4146">
        <f>IF(AND(method_reg="Метод индексации",first_year=god),_xlfn.SUMIFS('Калькуляция (МИ)'!$AG$25:$AG$603,'Калькуляция (МИ)'!$F$25:$F$603,$F43,'Калькуляция (МИ)'!$G$25:$G$603,$G43),_xlfn.SUMIFS('Калькуляция (МИ корр)'!$AG$25:$AG$606,'Калькуляция (МИ корр)'!$F$25:$F$606,$F43,'Калькуляция (МИ корр)'!$G$25:$G$606,$G43))</f>
        <v>0</v>
      </c>
      <c r="AH43" s="1823"/>
      <c r="AI43" s="1331"/>
      <c r="AJ43" s="1331"/>
      <c r="AK43" s="1331"/>
      <c r="AL43" s="1005" t="s">
        <v>1708</v>
      </c>
      <c r="AM43" s="1331"/>
      <c r="AN43" s="1331"/>
      <c r="AO43" s="1331"/>
      <c r="AP43" s="1331"/>
      <c r="AQ43" s="1331"/>
    </row>
    <row customHeight="1" ht="14.625" hidden="1">
      <c r="A44" s="1331"/>
      <c r="B44" s="1223"/>
      <c r="C44" s="1331"/>
      <c r="D44" s="1331"/>
      <c r="E44" s="623">
        <v>15</v>
      </c>
      <c r="F44" s="50" cm="1" t="str">
        <f t="array" ref="F44:F44">OFFSET(E44,-1,1)</f>
        <v>0</v>
      </c>
      <c r="G44" s="428"/>
      <c r="H44" s="81"/>
      <c r="I44" s="428" t="s">
        <v>1557</v>
      </c>
      <c r="J44" s="1331"/>
      <c r="K44" s="120"/>
      <c r="L44" s="120"/>
      <c r="M44" s="120"/>
      <c r="N44" s="1331"/>
      <c r="O44" s="1331"/>
      <c r="P44" s="1331"/>
      <c r="Q44" s="1331"/>
      <c r="R44" s="1331"/>
      <c r="S44" s="1441"/>
      <c r="T44" s="468" cm="1" t="str">
        <f t="array" ref="T44:T44">T43</f>
        <v>false</v>
      </c>
      <c r="U44" s="1331"/>
      <c r="V44" s="1331"/>
      <c r="W44" s="1331"/>
      <c r="X44" s="1539"/>
      <c r="Y44" s="1331"/>
      <c r="Z44" s="1529"/>
      <c r="AA44" s="1331"/>
      <c r="AB44" s="295" t="s">
        <v>668</v>
      </c>
      <c r="AC44" s="769" t="s">
        <v>1709</v>
      </c>
      <c r="AD44" s="296" t="s">
        <v>1710</v>
      </c>
      <c r="AE44" s="773" t="s">
        <v>936</v>
      </c>
      <c r="AF44" s="4146">
        <f>AF45*AF46*AF47</f>
        <v>0</v>
      </c>
      <c r="AG44" s="4146">
        <f>AG45*AG46*AG47</f>
        <v>0</v>
      </c>
      <c r="AH44" s="1823"/>
      <c r="AI44" s="1331"/>
      <c r="AJ44" s="1331"/>
      <c r="AK44" s="1331"/>
      <c r="AL44" s="1005" t="s">
        <v>1711</v>
      </c>
      <c r="AM44" s="1331"/>
      <c r="AN44" s="1331"/>
      <c r="AO44" s="1331"/>
      <c r="AP44" s="1331"/>
      <c r="AQ44" s="1331"/>
    </row>
    <row customHeight="1" ht="21.9375" hidden="1">
      <c r="A45" s="1331"/>
      <c r="B45" s="1223"/>
      <c r="C45" s="1331"/>
      <c r="D45" s="1331"/>
      <c r="E45" s="623">
        <v>22.5</v>
      </c>
      <c r="F45" s="50" cm="1" t="str">
        <f t="array" ref="F45:F45">OFFSET(E45,-1,1)</f>
        <v>0</v>
      </c>
      <c r="G45" s="428"/>
      <c r="H45" s="81"/>
      <c r="I45" s="428" t="s">
        <v>1712</v>
      </c>
      <c r="J45" s="1331"/>
      <c r="K45" s="120"/>
      <c r="L45" s="120"/>
      <c r="M45" s="120"/>
      <c r="N45" s="1331"/>
      <c r="O45" s="1331"/>
      <c r="P45" s="1331"/>
      <c r="Q45" s="1331"/>
      <c r="R45" s="1331"/>
      <c r="S45" s="1441"/>
      <c r="T45" s="468" cm="1" t="str">
        <f t="array" ref="T45:T45">T44</f>
        <v>false</v>
      </c>
      <c r="U45" s="1331"/>
      <c r="V45" s="1331"/>
      <c r="W45" s="1331"/>
      <c r="X45" s="1539"/>
      <c r="Y45" s="1331"/>
      <c r="Z45" s="1529"/>
      <c r="AA45" s="1331"/>
      <c r="AB45" s="295" t="s">
        <v>603</v>
      </c>
      <c r="AC45" s="772" t="s">
        <v>1713</v>
      </c>
      <c r="AD45" s="296" t="s">
        <v>1714</v>
      </c>
      <c r="AE45" s="773" t="s">
        <v>981</v>
      </c>
      <c r="AF45" s="4146"/>
      <c r="AG45" s="4146">
        <f>_xlfn.SUMIFS(ЭЭ!AG$25:AG$175,ЭЭ!$F$25:$F$175,$F45,ЭЭ!$AC$25:$AC$175,"Удельный расход электроэнергии")</f>
        <v>0</v>
      </c>
      <c r="AH45" s="1823"/>
      <c r="AI45" s="1331"/>
      <c r="AJ45" s="1331"/>
      <c r="AK45" s="1331"/>
      <c r="AL45" s="1005" t="s">
        <v>1715</v>
      </c>
      <c r="AM45" s="1331"/>
      <c r="AN45" s="1331"/>
      <c r="AO45" s="1331"/>
      <c r="AP45" s="1331"/>
      <c r="AQ45" s="1331"/>
    </row>
    <row customHeight="1" ht="14.625" hidden="1">
      <c r="A46" s="1331"/>
      <c r="B46" s="1223"/>
      <c r="C46" s="1331"/>
      <c r="D46" s="1331"/>
      <c r="E46" s="623">
        <v>15</v>
      </c>
      <c r="F46" s="50" cm="1" t="str">
        <f t="array" ref="F46:F46">OFFSET(E46,-1,1)</f>
        <v>0</v>
      </c>
      <c r="G46" s="428"/>
      <c r="H46" s="81"/>
      <c r="I46" s="428" t="s">
        <v>1716</v>
      </c>
      <c r="J46" s="1331"/>
      <c r="K46" s="120"/>
      <c r="L46" s="120"/>
      <c r="M46" s="120"/>
      <c r="N46" s="1331"/>
      <c r="O46" s="1331"/>
      <c r="P46" s="1331"/>
      <c r="Q46" s="1331"/>
      <c r="R46" s="1331"/>
      <c r="S46" s="1441"/>
      <c r="T46" s="468" cm="1" t="str">
        <f t="array" ref="T46:T46">T45</f>
        <v>false</v>
      </c>
      <c r="U46" s="1331"/>
      <c r="V46" s="1331"/>
      <c r="W46" s="1331"/>
      <c r="X46" s="1539"/>
      <c r="Y46" s="1331"/>
      <c r="Z46" s="1529"/>
      <c r="AA46" s="1331"/>
      <c r="AB46" s="295" t="s">
        <v>1717</v>
      </c>
      <c r="AC46" s="772" t="s">
        <v>1718</v>
      </c>
      <c r="AD46" s="296" t="s">
        <v>1719</v>
      </c>
      <c r="AE46" s="773" t="s">
        <v>975</v>
      </c>
      <c r="AF46" s="4146"/>
      <c r="AG46" s="4146">
        <f>_xlfn.SUMIFS(ЭЭ!AG$25:AG$175,ЭЭ!$F$25:$F$175,$F45,ЭЭ!$AC$25:$AC$175,"Объём воды/сточных вод")</f>
        <v>0</v>
      </c>
      <c r="AH46" s="1823"/>
      <c r="AI46" s="1331"/>
      <c r="AJ46" s="1331"/>
      <c r="AK46" s="1331"/>
      <c r="AL46" s="1005" t="s">
        <v>1720</v>
      </c>
      <c r="AM46" s="1331"/>
      <c r="AN46" s="1331"/>
      <c r="AO46" s="1331"/>
      <c r="AP46" s="1331"/>
      <c r="AQ46" s="1331"/>
    </row>
    <row customHeight="1" ht="21.9375" hidden="1">
      <c r="A47" s="1331"/>
      <c r="B47" s="1223"/>
      <c r="C47" s="1331"/>
      <c r="D47" s="1331"/>
      <c r="E47" s="623">
        <v>22.5</v>
      </c>
      <c r="F47" s="50" cm="1" t="str">
        <f t="array" ref="F47:F47">OFFSET(E47,-1,1)</f>
        <v>0</v>
      </c>
      <c r="G47" s="428"/>
      <c r="H47" s="81"/>
      <c r="I47" s="428" t="s">
        <v>1721</v>
      </c>
      <c r="J47" s="1331"/>
      <c r="K47" s="120"/>
      <c r="L47" s="120"/>
      <c r="M47" s="120"/>
      <c r="N47" s="1331"/>
      <c r="O47" s="1331"/>
      <c r="P47" s="1331"/>
      <c r="Q47" s="1331"/>
      <c r="R47" s="1331"/>
      <c r="S47" s="1441"/>
      <c r="T47" s="468" cm="1" t="str">
        <f t="array" ref="T47:T47">T46</f>
        <v>false</v>
      </c>
      <c r="U47" s="1331"/>
      <c r="V47" s="1331"/>
      <c r="W47" s="1331"/>
      <c r="X47" s="1539"/>
      <c r="Y47" s="1331"/>
      <c r="Z47" s="1529"/>
      <c r="AA47" s="1331"/>
      <c r="AB47" s="295" t="s">
        <v>1722</v>
      </c>
      <c r="AC47" s="772" t="s">
        <v>1723</v>
      </c>
      <c r="AD47" s="296" t="s">
        <v>1724</v>
      </c>
      <c r="AE47" s="773" t="s">
        <v>978</v>
      </c>
      <c r="AF47" s="4146"/>
      <c r="AG47" s="4146">
        <f>_xlfn.SUMIFS(ЭЭ!AG$25:AG$175,ЭЭ!$F$25:$F$175,$F45,ЭЭ!$AC$25:$AC$175,"Средний (расчетный) тариф")</f>
        <v>0</v>
      </c>
      <c r="AH47" s="1823"/>
      <c r="AI47" s="1331"/>
      <c r="AJ47" s="1331"/>
      <c r="AK47" s="1331"/>
      <c r="AL47" s="1005" t="s">
        <v>1725</v>
      </c>
      <c r="AM47" s="1331"/>
      <c r="AN47" s="1331"/>
      <c r="AO47" s="1331"/>
      <c r="AP47" s="1331"/>
      <c r="AQ47" s="1331"/>
    </row>
    <row customHeight="1" ht="21.9375" hidden="1">
      <c r="A48" s="1331"/>
      <c r="B48" s="1223"/>
      <c r="C48" s="1331"/>
      <c r="D48" s="1331"/>
      <c r="E48" s="623">
        <v>22.5</v>
      </c>
      <c r="F48" s="50" cm="1" t="str">
        <f t="array" ref="F48:F48">OFFSET(E48,-1,1)</f>
        <v>0</v>
      </c>
      <c r="G48" s="428" t="s">
        <v>1726</v>
      </c>
      <c r="H48" s="81"/>
      <c r="I48" s="428" t="s">
        <v>1727</v>
      </c>
      <c r="J48" s="1331"/>
      <c r="K48" s="120"/>
      <c r="L48" s="120"/>
      <c r="M48" s="120"/>
      <c r="N48" s="1331"/>
      <c r="O48" s="1331"/>
      <c r="P48" s="1331"/>
      <c r="Q48" s="1331"/>
      <c r="R48" s="1331"/>
      <c r="S48" s="1441"/>
      <c r="T48" s="468" cm="1" t="str">
        <f t="array" ref="T48:T48">T47</f>
        <v>false</v>
      </c>
      <c r="U48" s="1331"/>
      <c r="V48" s="1331"/>
      <c r="W48" s="1331"/>
      <c r="X48" s="1539"/>
      <c r="Y48" s="1331"/>
      <c r="Z48" s="1529"/>
      <c r="AA48" s="1331"/>
      <c r="AB48" s="295" t="s">
        <v>1090</v>
      </c>
      <c r="AC48" s="769" t="s">
        <v>1728</v>
      </c>
      <c r="AD48" s="296" t="s">
        <v>1729</v>
      </c>
      <c r="AE48" s="773" t="s">
        <v>936</v>
      </c>
      <c r="AF48" s="4146"/>
      <c r="AG48" s="4146">
        <f>IF(AND(method_reg="Метод индексации",first_year=god),_xlfn.SUMIFS('Калькуляция (МИ)'!$AG$25:$AG$603,'Калькуляция (МИ)'!$F$25:$F$603,$F48,'Калькуляция (МИ)'!$G$25:$G$603,$G48),_xlfn.SUMIFS('Калькуляция (МИ корр)'!$AG$25:$AG$606,'Калькуляция (МИ корр)'!$F$25:$F$606,$F48,'Калькуляция (МИ корр)'!$G$25:$G$606,$G48))</f>
        <v>0</v>
      </c>
      <c r="AH48" s="1823"/>
      <c r="AI48" s="1331"/>
      <c r="AJ48" s="1331"/>
      <c r="AK48" s="1331"/>
      <c r="AL48" s="1005" t="s">
        <v>1435</v>
      </c>
      <c r="AM48" s="1331"/>
      <c r="AN48" s="1331"/>
      <c r="AO48" s="1331"/>
      <c r="AP48" s="1331"/>
      <c r="AQ48" s="1331"/>
    </row>
    <row customHeight="1" ht="14.625" hidden="1">
      <c r="A49" s="1331"/>
      <c r="B49" s="1223"/>
      <c r="C49" s="1331"/>
      <c r="D49" s="1331"/>
      <c r="E49" s="623">
        <v>15</v>
      </c>
      <c r="F49" s="50" cm="1" t="str">
        <f t="array" ref="F49:F49">OFFSET(E49,-1,1)</f>
        <v>0</v>
      </c>
      <c r="G49" s="428" t="s">
        <v>1730</v>
      </c>
      <c r="H49" s="81"/>
      <c r="I49" s="428" t="s">
        <v>1731</v>
      </c>
      <c r="J49" s="1331"/>
      <c r="K49" s="120"/>
      <c r="L49" s="120"/>
      <c r="M49" s="120"/>
      <c r="N49" s="1331"/>
      <c r="O49" s="1331"/>
      <c r="P49" s="1331"/>
      <c r="Q49" s="1331"/>
      <c r="R49" s="1331"/>
      <c r="S49" s="1441"/>
      <c r="T49" s="468" cm="1" t="str">
        <f t="array" ref="T49:T49">T48</f>
        <v>false</v>
      </c>
      <c r="U49" s="1331"/>
      <c r="V49" s="1331"/>
      <c r="W49" s="1331"/>
      <c r="X49" s="1539"/>
      <c r="Y49" s="1331"/>
      <c r="Z49" s="1529"/>
      <c r="AA49" s="1331"/>
      <c r="AB49" s="295" t="s">
        <v>1093</v>
      </c>
      <c r="AC49" s="943" t="s">
        <v>1732</v>
      </c>
      <c r="AD49" s="296" t="s">
        <v>1733</v>
      </c>
      <c r="AE49" s="773" t="s">
        <v>936</v>
      </c>
      <c r="AF49" s="4146"/>
      <c r="AG49" s="4146">
        <f>IF(AND(method_reg="Метод индексации",first_year=god),_xlfn.SUMIFS('Калькуляция (МИ)'!$AE$25:$AE$603,'Калькуляция (МИ)'!$F$25:$F$603,$F49,'Калькуляция (МИ)'!$G$25:$G$603,"Нормативная прибыль")-_xlfn.SUMIFS('Калькуляция (МИ)'!$AE$25:$AE$603,'Калькуляция (МИ)'!$F$25:$F$603,$F49,'Калькуляция (МИ)'!$G$25:$G$603,"иные экономически обоснованные расходы на социальные нужды")+_xlfn.SUMIFS('Калькуляция (МИ)'!$AG$25:$AG$603,'Калькуляция (МИ)'!$F$25:$F$603,$F49,'Калькуляция (МИ)'!$G$25:$G$603,"иные экономически обоснованные расходы на социальные нужды"),_xlfn.SUMIFS('Калькуляция (МИ корр)'!$AE$25:$AE$606,'Калькуляция (МИ корр)'!$F$25:$F$606,$F49,'Калькуляция (МИ корр)'!$G$25:$G$606,"Нормативная прибыль")-_xlfn.SUMIFS('Калькуляция (МИ корр)'!$AE$25:$AE$606,'Калькуляция (МИ корр)'!$F$25:$F$606,$F49,'Калькуляция (МИ корр)'!$G$25:$G$606,"иные экономически обоснованные расходы на социальные нужды")+_xlfn.SUMIFS('Калькуляция (МИ корр)'!$AG$25:$AG$606,'Калькуляция (МИ корр)'!$F$25:$F$606,$F49,'Калькуляция (МИ корр)'!$G$25:$G$606,"иные экономически обоснованные расходы на социальные нужды"))</f>
        <v>0</v>
      </c>
      <c r="AH49" s="1823"/>
      <c r="AI49" s="1331"/>
      <c r="AJ49" s="1331"/>
      <c r="AK49" s="1331"/>
      <c r="AL49" s="1005" t="s">
        <v>1734</v>
      </c>
      <c r="AM49" s="1331"/>
      <c r="AN49" s="1331"/>
      <c r="AO49" s="1331"/>
      <c r="AP49" s="1331"/>
      <c r="AQ49" s="1331"/>
    </row>
    <row customHeight="1" ht="14.625" hidden="1">
      <c r="A50" s="1331"/>
      <c r="B50" s="1223"/>
      <c r="C50" s="1331"/>
      <c r="D50" s="1331"/>
      <c r="E50" s="623">
        <v>15</v>
      </c>
      <c r="F50" s="50" cm="1" t="str">
        <f t="array" ref="F50:F50">OFFSET(E50,-1,1)</f>
        <v>0</v>
      </c>
      <c r="G50" s="103" t="s">
        <v>1735</v>
      </c>
      <c r="H50" s="81"/>
      <c r="I50" s="496" t="s">
        <v>1736</v>
      </c>
      <c r="J50" s="1331"/>
      <c r="K50" s="120"/>
      <c r="L50" s="120"/>
      <c r="M50" s="120"/>
      <c r="N50" s="1331"/>
      <c r="O50" s="1331"/>
      <c r="P50" s="1331"/>
      <c r="Q50" s="1331"/>
      <c r="R50" s="1331"/>
      <c r="S50" s="1441"/>
      <c r="T50" s="468" cm="1" t="str">
        <f t="array" ref="T50:T50">T49</f>
        <v>false</v>
      </c>
      <c r="U50" s="1331"/>
      <c r="V50" s="1331"/>
      <c r="W50" s="1331"/>
      <c r="X50" s="1539"/>
      <c r="Y50" s="1331"/>
      <c r="Z50" s="1529"/>
      <c r="AA50" s="1331"/>
      <c r="AB50" s="295" t="s">
        <v>1737</v>
      </c>
      <c r="AC50" s="769" t="s">
        <v>1738</v>
      </c>
      <c r="AD50" s="296" t="s">
        <v>1739</v>
      </c>
      <c r="AE50" s="773" t="s">
        <v>936</v>
      </c>
      <c r="AF50" s="4146"/>
      <c r="AG50" s="4146">
        <f>IF(AND(method_reg="Метод индексации",first_year=god),_xlfn.SUMIFS('Калькуляция (МИ)'!$AG$25:$AG$603,'Калькуляция (МИ)'!$F$25:$F$603,$F50,'Калькуляция (МИ)'!$G$25:$G$603,$G50),_xlfn.SUMIFS('Калькуляция (МИ корр)'!$AG$25:$AG$606,'Калькуляция (МИ корр)'!$F$25:$F$606,$F50,'Калькуляция (МИ корр)'!$G$25:$G$606,$G50))</f>
        <v>0</v>
      </c>
      <c r="AH50" s="1823"/>
      <c r="AI50" s="1331"/>
      <c r="AJ50" s="1331"/>
      <c r="AK50" s="1331"/>
      <c r="AL50" s="1005" t="s">
        <v>1740</v>
      </c>
      <c r="AM50" s="1331"/>
      <c r="AN50" s="1331"/>
      <c r="AO50" s="1331"/>
      <c r="AP50" s="1331"/>
      <c r="AQ50" s="1331"/>
    </row>
    <row customHeight="1" ht="21.9375" hidden="1">
      <c r="A51" s="1331"/>
      <c r="B51" s="1223"/>
      <c r="C51" s="1331"/>
      <c r="D51" s="1331"/>
      <c r="E51" s="623">
        <v>22.5</v>
      </c>
      <c r="F51" s="50" cm="1" t="str">
        <f t="array" ref="F51:F51">OFFSET(E51,-1,1)</f>
        <v>0</v>
      </c>
      <c r="G51" s="103"/>
      <c r="H51" s="81"/>
      <c r="I51" s="428" t="s">
        <v>1741</v>
      </c>
      <c r="J51" s="1331"/>
      <c r="K51" s="120"/>
      <c r="L51" s="120"/>
      <c r="M51" s="120"/>
      <c r="N51" s="1331"/>
      <c r="O51" s="1331"/>
      <c r="P51" s="1331"/>
      <c r="Q51" s="1331"/>
      <c r="R51" s="1331"/>
      <c r="S51" s="1441"/>
      <c r="T51" s="468" cm="1" t="str">
        <f t="array" ref="T51:T51">T50</f>
        <v>false</v>
      </c>
      <c r="U51" s="1331"/>
      <c r="V51" s="1331"/>
      <c r="W51" s="1331"/>
      <c r="X51" s="1539"/>
      <c r="Y51" s="1331"/>
      <c r="Z51" s="1529"/>
      <c r="AA51" s="1331"/>
      <c r="AB51" s="295" t="s">
        <v>1742</v>
      </c>
      <c r="AC51" s="769" t="s">
        <v>1743</v>
      </c>
      <c r="AD51" s="296"/>
      <c r="AE51" s="773" t="s">
        <v>936</v>
      </c>
      <c r="AF51" s="4146">
        <f>AF52+AF53+AF54</f>
        <v>0</v>
      </c>
      <c r="AG51" s="4146">
        <f>AG52+AG53+AG54</f>
        <v>0</v>
      </c>
      <c r="AH51" s="1823"/>
      <c r="AI51" s="1331"/>
      <c r="AJ51" s="1331"/>
      <c r="AK51" s="1331"/>
      <c r="AL51" s="1005" t="s">
        <v>1744</v>
      </c>
      <c r="AM51" s="1331"/>
      <c r="AN51" s="1331"/>
      <c r="AO51" s="1331"/>
      <c r="AP51" s="1331"/>
      <c r="AQ51" s="1331"/>
    </row>
    <row customHeight="1" ht="21.9375" hidden="1">
      <c r="A52" s="1331"/>
      <c r="B52" s="1223"/>
      <c r="C52" s="1331"/>
      <c r="D52" s="1331"/>
      <c r="E52" s="623">
        <v>22.5</v>
      </c>
      <c r="F52" s="50" cm="1" t="str">
        <f t="array" ref="F52:F52">OFFSET(E52,-1,1)</f>
        <v>0</v>
      </c>
      <c r="G52" s="428"/>
      <c r="H52" s="81"/>
      <c r="I52" s="428" t="s">
        <v>1745</v>
      </c>
      <c r="J52" s="1331"/>
      <c r="K52" s="120"/>
      <c r="L52" s="120"/>
      <c r="M52" s="120"/>
      <c r="N52" s="1331"/>
      <c r="O52" s="1331"/>
      <c r="P52" s="1331"/>
      <c r="Q52" s="1331"/>
      <c r="R52" s="1331"/>
      <c r="S52" s="1441"/>
      <c r="T52" s="468" cm="1" t="str">
        <f t="array" ref="T52:T52">T51</f>
        <v>false</v>
      </c>
      <c r="U52" s="1331"/>
      <c r="V52" s="1331"/>
      <c r="W52" s="1331"/>
      <c r="X52" s="1539"/>
      <c r="Y52" s="1331"/>
      <c r="Z52" s="1529"/>
      <c r="AA52" s="1331"/>
      <c r="AB52" s="295" t="s">
        <v>1746</v>
      </c>
      <c r="AC52" s="772" t="s">
        <v>1747</v>
      </c>
      <c r="AD52" s="296" t="s">
        <v>1748</v>
      </c>
      <c r="AE52" s="773" t="s">
        <v>936</v>
      </c>
      <c r="AF52" s="4146"/>
      <c r="AG52" s="4146"/>
      <c r="AH52" s="1823"/>
      <c r="AI52" s="1331"/>
      <c r="AJ52" s="1331"/>
      <c r="AK52" s="1331"/>
      <c r="AL52" s="1005" t="s">
        <v>1749</v>
      </c>
      <c r="AM52" s="1331"/>
      <c r="AN52" s="1331"/>
      <c r="AO52" s="1331"/>
      <c r="AP52" s="1331"/>
      <c r="AQ52" s="1331"/>
    </row>
    <row customHeight="1" ht="14.625" hidden="1">
      <c r="A53" s="1331"/>
      <c r="B53" s="1223"/>
      <c r="C53" s="1331"/>
      <c r="D53" s="1331"/>
      <c r="E53" s="623">
        <v>15</v>
      </c>
      <c r="F53" s="50" cm="1" t="str">
        <f t="array" ref="F53:F53">OFFSET(E53,-1,1)</f>
        <v>0</v>
      </c>
      <c r="G53" s="428"/>
      <c r="H53" s="81"/>
      <c r="I53" s="428" t="s">
        <v>1750</v>
      </c>
      <c r="J53" s="1331"/>
      <c r="K53" s="120"/>
      <c r="L53" s="120"/>
      <c r="M53" s="120"/>
      <c r="N53" s="1331"/>
      <c r="O53" s="1331"/>
      <c r="P53" s="1331"/>
      <c r="Q53" s="1331"/>
      <c r="R53" s="1331"/>
      <c r="S53" s="1441"/>
      <c r="T53" s="468" cm="1" t="str">
        <f t="array" ref="T53:T53">T52</f>
        <v>false</v>
      </c>
      <c r="U53" s="1331"/>
      <c r="V53" s="1331"/>
      <c r="W53" s="1331"/>
      <c r="X53" s="1539"/>
      <c r="Y53" s="1331"/>
      <c r="Z53" s="1529"/>
      <c r="AA53" s="1331"/>
      <c r="AB53" s="295" t="s">
        <v>1751</v>
      </c>
      <c r="AC53" s="772" t="s">
        <v>1752</v>
      </c>
      <c r="AD53" s="296" t="s">
        <v>1753</v>
      </c>
      <c r="AE53" s="773" t="s">
        <v>936</v>
      </c>
      <c r="AF53" s="4146"/>
      <c r="AG53" s="4146"/>
      <c r="AH53" s="1823"/>
      <c r="AI53" s="1331"/>
      <c r="AJ53" s="1331"/>
      <c r="AK53" s="1331"/>
      <c r="AL53" s="1005" t="s">
        <v>1754</v>
      </c>
      <c r="AM53" s="1331"/>
      <c r="AN53" s="1331"/>
      <c r="AO53" s="1331"/>
      <c r="AP53" s="1331"/>
      <c r="AQ53" s="1331"/>
    </row>
    <row customHeight="1" ht="43.875" hidden="1">
      <c r="A54" s="1331"/>
      <c r="B54" s="1223"/>
      <c r="C54" s="1331"/>
      <c r="D54" s="1331"/>
      <c r="E54" s="623">
        <v>45</v>
      </c>
      <c r="F54" s="50" cm="1" t="str">
        <f t="array" ref="F54:F54">OFFSET(E54,-1,1)</f>
        <v>0</v>
      </c>
      <c r="G54" s="428"/>
      <c r="H54" s="81"/>
      <c r="I54" s="428" t="s">
        <v>1755</v>
      </c>
      <c r="J54" s="1331"/>
      <c r="K54" s="120"/>
      <c r="L54" s="120"/>
      <c r="M54" s="120"/>
      <c r="N54" s="1331"/>
      <c r="O54" s="1331"/>
      <c r="P54" s="1331"/>
      <c r="Q54" s="1331"/>
      <c r="R54" s="1331"/>
      <c r="S54" s="1441"/>
      <c r="T54" s="468" cm="1" t="str">
        <f t="array" ref="T54:T54">T53</f>
        <v>false</v>
      </c>
      <c r="U54" s="1331"/>
      <c r="V54" s="1331"/>
      <c r="W54" s="1331"/>
      <c r="X54" s="1539"/>
      <c r="Y54" s="1331"/>
      <c r="Z54" s="1529"/>
      <c r="AA54" s="1331"/>
      <c r="AB54" s="295" t="s">
        <v>1756</v>
      </c>
      <c r="AC54" s="772" t="s">
        <v>1757</v>
      </c>
      <c r="AD54" s="773" t="s">
        <v>1758</v>
      </c>
      <c r="AE54" s="773" t="s">
        <v>936</v>
      </c>
      <c r="AF54" s="4146"/>
      <c r="AG54" s="4146"/>
      <c r="AH54" s="1823"/>
      <c r="AI54" s="1331"/>
      <c r="AJ54" s="1331"/>
      <c r="AK54" s="1331"/>
      <c r="AL54" s="1005" t="s">
        <v>1759</v>
      </c>
      <c r="AM54" s="1331"/>
      <c r="AN54" s="1331"/>
      <c r="AO54" s="1331"/>
      <c r="AP54" s="1331"/>
      <c r="AQ54" s="1331"/>
    </row>
    <row customHeight="1" ht="21.9375" hidden="1">
      <c r="A55" s="1331"/>
      <c r="B55" s="1223"/>
      <c r="C55" s="1331"/>
      <c r="D55" s="1331"/>
      <c r="E55" s="623">
        <v>22.5</v>
      </c>
      <c r="F55" s="50" cm="1" t="str">
        <f t="array" ref="F55:F55">OFFSET(E55,-1,1)</f>
        <v>0</v>
      </c>
      <c r="G55" s="428"/>
      <c r="H55" s="81"/>
      <c r="I55" s="428" t="s">
        <v>1760</v>
      </c>
      <c r="J55" s="1331"/>
      <c r="K55" s="120"/>
      <c r="L55" s="120"/>
      <c r="M55" s="120"/>
      <c r="N55" s="1331"/>
      <c r="O55" s="1331"/>
      <c r="P55" s="1331"/>
      <c r="Q55" s="1331"/>
      <c r="R55" s="1331"/>
      <c r="S55" s="1441"/>
      <c r="T55" s="468" cm="1" t="str">
        <f t="array" ref="T55:T55">T54</f>
        <v>false</v>
      </c>
      <c r="U55" s="1331"/>
      <c r="V55" s="1331"/>
      <c r="W55" s="1331"/>
      <c r="X55" s="1539"/>
      <c r="Y55" s="1331"/>
      <c r="Z55" s="1529"/>
      <c r="AA55" s="1331"/>
      <c r="AB55" s="295" t="s">
        <v>1761</v>
      </c>
      <c r="AC55" s="769" t="s">
        <v>1762</v>
      </c>
      <c r="AD55" s="773" t="s">
        <v>1763</v>
      </c>
      <c r="AE55" s="773" t="s">
        <v>936</v>
      </c>
      <c r="AF55" s="4146"/>
      <c r="AG55" s="4146"/>
      <c r="AH55" s="1823"/>
      <c r="AI55" s="1331"/>
      <c r="AJ55" s="1331"/>
      <c r="AK55" s="1331"/>
      <c r="AL55" s="1005" t="s">
        <v>1764</v>
      </c>
      <c r="AM55" s="1331"/>
      <c r="AN55" s="1331"/>
      <c r="AO55" s="1331"/>
      <c r="AP55" s="1331"/>
      <c r="AQ55" s="1331"/>
    </row>
    <row customHeight="1" ht="76.78125" hidden="1">
      <c r="A56" s="1331"/>
      <c r="B56" s="430">
        <f>S27="Водоотведение"</f>
        <v>0</v>
      </c>
      <c r="C56" s="1331"/>
      <c r="D56" s="1331"/>
      <c r="E56" s="623">
        <v>78.75</v>
      </c>
      <c r="F56" s="50" cm="1" t="str">
        <f t="array" ref="F56:F56">OFFSET(E56,-1,1)</f>
        <v>0</v>
      </c>
      <c r="G56" s="428"/>
      <c r="H56" s="81"/>
      <c r="I56" s="428"/>
      <c r="J56" s="1331"/>
      <c r="K56" s="120"/>
      <c r="L56" s="120"/>
      <c r="M56" s="120"/>
      <c r="N56" s="1331"/>
      <c r="O56" s="1331"/>
      <c r="P56" s="1331"/>
      <c r="Q56" s="1331"/>
      <c r="R56" s="1331"/>
      <c r="S56" s="1441"/>
      <c r="T56" s="468" cm="1" t="str">
        <f t="array" ref="T56:T56">T55</f>
        <v>false</v>
      </c>
      <c r="U56" s="1331"/>
      <c r="V56" s="1331"/>
      <c r="W56" s="1331"/>
      <c r="X56" s="1539"/>
      <c r="Y56" s="1331"/>
      <c r="Z56" s="1529"/>
      <c r="AA56" s="1331"/>
      <c r="AB56" s="295" t="s">
        <v>1765</v>
      </c>
      <c r="AC56" s="769" t="s">
        <v>1766</v>
      </c>
      <c r="AD56" s="773"/>
      <c r="AE56" s="773" t="s">
        <v>936</v>
      </c>
      <c r="AF56" s="4146"/>
      <c r="AG56" s="4146"/>
      <c r="AH56" s="1823"/>
      <c r="AI56" s="1331"/>
      <c r="AJ56" s="1331"/>
      <c r="AK56" s="1331"/>
      <c r="AL56" s="1005" t="s">
        <v>1767</v>
      </c>
      <c r="AM56" s="1331"/>
      <c r="AN56" s="1331"/>
      <c r="AO56" s="1331"/>
      <c r="AP56" s="1331"/>
      <c r="AQ56" s="1331"/>
    </row>
    <row customHeight="1" ht="54.84375" hidden="1">
      <c r="A57" s="1331"/>
      <c r="B57" s="430" cm="1" t="str">
        <f t="array" ref="B57:B57">B56</f>
        <v>false</v>
      </c>
      <c r="C57" s="1331"/>
      <c r="D57" s="1331"/>
      <c r="E57" s="623">
        <v>56.25</v>
      </c>
      <c r="F57" s="50" cm="1" t="str">
        <f t="array" ref="F57:F57">OFFSET(E57,-1,1)</f>
        <v>0</v>
      </c>
      <c r="G57" s="428"/>
      <c r="H57" s="81"/>
      <c r="I57" s="428"/>
      <c r="J57" s="1331"/>
      <c r="K57" s="120"/>
      <c r="L57" s="120"/>
      <c r="M57" s="120"/>
      <c r="N57" s="1331"/>
      <c r="O57" s="1331"/>
      <c r="P57" s="1331"/>
      <c r="Q57" s="1331"/>
      <c r="R57" s="1331"/>
      <c r="S57" s="1441"/>
      <c r="T57" s="468" cm="1" t="str">
        <f t="array" ref="T57:T57">T56</f>
        <v>false</v>
      </c>
      <c r="U57" s="1331"/>
      <c r="V57" s="1331"/>
      <c r="W57" s="1331"/>
      <c r="X57" s="1539"/>
      <c r="Y57" s="1331"/>
      <c r="Z57" s="1529"/>
      <c r="AA57" s="1331"/>
      <c r="AB57" s="295" t="s">
        <v>1768</v>
      </c>
      <c r="AC57" s="769" t="s">
        <v>1769</v>
      </c>
      <c r="AD57" s="773"/>
      <c r="AE57" s="773" t="s">
        <v>936</v>
      </c>
      <c r="AF57" s="4146"/>
      <c r="AG57" s="4146"/>
      <c r="AH57" s="1823"/>
      <c r="AI57" s="1331"/>
      <c r="AJ57" s="1331"/>
      <c r="AK57" s="1331"/>
      <c r="AL57" s="1005" t="s">
        <v>1584</v>
      </c>
      <c r="AM57" s="1331"/>
      <c r="AN57" s="1331"/>
      <c r="AO57" s="1331"/>
      <c r="AP57" s="1331"/>
      <c r="AQ57" s="1331"/>
    </row>
    <row customHeight="1" ht="14.625" hidden="1">
      <c r="A58" s="1331"/>
      <c r="B58" s="1223"/>
      <c r="C58" s="1331"/>
      <c r="D58" s="1331"/>
      <c r="E58" s="623">
        <v>15</v>
      </c>
      <c r="F58" s="50" cm="1" t="str">
        <f t="array" ref="F58:F58">OFFSET(E58,-1,1)</f>
        <v>0</v>
      </c>
      <c r="G58" s="428"/>
      <c r="H58" s="81"/>
      <c r="I58" s="428"/>
      <c r="J58" s="1331"/>
      <c r="K58" s="120"/>
      <c r="L58" s="120"/>
      <c r="M58" s="120"/>
      <c r="N58" s="1331"/>
      <c r="O58" s="1331"/>
      <c r="P58" s="1331"/>
      <c r="Q58" s="1331"/>
      <c r="R58" s="1331"/>
      <c r="S58" s="1441"/>
      <c r="T58" s="468" cm="1" t="str">
        <f t="array" ref="T58:T58">T57</f>
        <v>false</v>
      </c>
      <c r="U58" s="1331"/>
      <c r="V58" s="1331"/>
      <c r="W58" s="1331"/>
      <c r="X58" s="1539"/>
      <c r="Y58" s="1331"/>
      <c r="Z58" s="1529"/>
      <c r="AA58" s="1331"/>
      <c r="AB58" s="296" t="str">
        <f>IF(B57,"2.12","2.10")</f>
        <v>2.10</v>
      </c>
      <c r="AC58" s="769" t="s">
        <v>1770</v>
      </c>
      <c r="AD58" s="773" t="s">
        <v>1771</v>
      </c>
      <c r="AE58" s="773" t="s">
        <v>936</v>
      </c>
      <c r="AF58" s="4146">
        <f>AF59+AF60</f>
        <v>0</v>
      </c>
      <c r="AG58" s="4146">
        <f>AG59+AG60</f>
        <v>0</v>
      </c>
      <c r="AH58" s="1823"/>
      <c r="AI58" s="1331"/>
      <c r="AJ58" s="1331"/>
      <c r="AK58" s="1331"/>
      <c r="AL58" s="1005" t="s">
        <v>1772</v>
      </c>
      <c r="AM58" s="1331"/>
      <c r="AN58" s="1331"/>
      <c r="AO58" s="1331"/>
      <c r="AP58" s="1331"/>
      <c r="AQ58" s="1331"/>
    </row>
    <row customHeight="1" ht="21.9375" hidden="1">
      <c r="A59" s="1331"/>
      <c r="B59" s="1223"/>
      <c r="C59" s="1331"/>
      <c r="D59" s="1331"/>
      <c r="E59" s="623">
        <v>22.5</v>
      </c>
      <c r="F59" s="50" cm="1" t="str">
        <f t="array" ref="F59:F59">OFFSET(E59,-1,1)</f>
        <v>0</v>
      </c>
      <c r="G59" s="428"/>
      <c r="H59" s="81"/>
      <c r="I59" s="428"/>
      <c r="J59" s="1331"/>
      <c r="K59" s="120"/>
      <c r="L59" s="120"/>
      <c r="M59" s="120"/>
      <c r="N59" s="1331"/>
      <c r="O59" s="1331"/>
      <c r="P59" s="1331"/>
      <c r="Q59" s="1331"/>
      <c r="R59" s="1331"/>
      <c r="S59" s="1441"/>
      <c r="T59" s="468" cm="1" t="str">
        <f t="array" ref="T59:T59">T58</f>
        <v>false</v>
      </c>
      <c r="U59" s="1331"/>
      <c r="V59" s="1331"/>
      <c r="W59" s="1331"/>
      <c r="X59" s="1539"/>
      <c r="Y59" s="1331"/>
      <c r="Z59" s="1529"/>
      <c r="AA59" s="1331"/>
      <c r="AB59" s="296" t="str">
        <f>AB58&amp;".1"</f>
        <v>2.10.1</v>
      </c>
      <c r="AC59" s="769" t="s">
        <v>1773</v>
      </c>
      <c r="AD59" s="773" t="s">
        <v>1771</v>
      </c>
      <c r="AE59" s="773" t="s">
        <v>936</v>
      </c>
      <c r="AF59" s="4146"/>
      <c r="AG59" s="4146"/>
      <c r="AH59" s="1823"/>
      <c r="AI59" s="1331"/>
      <c r="AJ59" s="1331"/>
      <c r="AK59" s="1331"/>
      <c r="AL59" s="1005" t="s">
        <v>1774</v>
      </c>
      <c r="AM59" s="1331"/>
      <c r="AN59" s="1331"/>
      <c r="AO59" s="1331"/>
      <c r="AP59" s="1331"/>
      <c r="AQ59" s="1331"/>
    </row>
    <row customHeight="1" ht="21.9375" hidden="1">
      <c r="A60" s="1331"/>
      <c r="B60" s="1223"/>
      <c r="C60" s="1331"/>
      <c r="D60" s="1331"/>
      <c r="E60" s="623">
        <v>22.5</v>
      </c>
      <c r="F60" s="50" cm="1" t="str">
        <f t="array" ref="F60:F60">OFFSET(E60,-1,1)</f>
        <v>0</v>
      </c>
      <c r="G60" s="428"/>
      <c r="H60" s="81"/>
      <c r="I60" s="428"/>
      <c r="J60" s="1331"/>
      <c r="K60" s="120"/>
      <c r="L60" s="120"/>
      <c r="M60" s="120"/>
      <c r="N60" s="1331"/>
      <c r="O60" s="1331"/>
      <c r="P60" s="1331"/>
      <c r="Q60" s="1331"/>
      <c r="R60" s="1331"/>
      <c r="S60" s="1441"/>
      <c r="T60" s="468" cm="1" t="str">
        <f t="array" ref="T60:T60">T59</f>
        <v>false</v>
      </c>
      <c r="U60" s="1331"/>
      <c r="V60" s="1331"/>
      <c r="W60" s="1331"/>
      <c r="X60" s="1539"/>
      <c r="Y60" s="1331"/>
      <c r="Z60" s="1529"/>
      <c r="AA60" s="1331"/>
      <c r="AB60" s="296" t="str">
        <f>AB58&amp;".2"</f>
        <v>2.10.2</v>
      </c>
      <c r="AC60" s="769" t="s">
        <v>1775</v>
      </c>
      <c r="AD60" s="773" t="s">
        <v>1771</v>
      </c>
      <c r="AE60" s="773" t="s">
        <v>936</v>
      </c>
      <c r="AF60" s="4146"/>
      <c r="AG60" s="4146"/>
      <c r="AH60" s="1823"/>
      <c r="AI60" s="1331"/>
      <c r="AJ60" s="1331"/>
      <c r="AK60" s="1331"/>
      <c r="AL60" s="1005" t="s">
        <v>1776</v>
      </c>
      <c r="AM60" s="1331"/>
      <c r="AN60" s="1331"/>
      <c r="AO60" s="1331"/>
      <c r="AP60" s="1331"/>
      <c r="AQ60" s="1331"/>
    </row>
    <row customHeight="1" ht="14.625" hidden="1">
      <c r="A61" s="1331"/>
      <c r="B61" s="1223"/>
      <c r="C61" s="1331"/>
      <c r="D61" s="1331"/>
      <c r="E61" s="623">
        <v>15</v>
      </c>
      <c r="F61" s="50" cm="1" t="str">
        <f t="array" ref="F61:F61">OFFSET(E61,-1,1)</f>
        <v>0</v>
      </c>
      <c r="G61" s="428"/>
      <c r="H61" s="81"/>
      <c r="I61" s="428"/>
      <c r="J61" s="1331"/>
      <c r="K61" s="120"/>
      <c r="L61" s="120"/>
      <c r="M61" s="120"/>
      <c r="N61" s="1331"/>
      <c r="O61" s="1331"/>
      <c r="P61" s="1331"/>
      <c r="Q61" s="1331"/>
      <c r="R61" s="1331"/>
      <c r="S61" s="1441"/>
      <c r="T61" s="468" cm="1" t="str">
        <f t="array" ref="T61:T61">T60</f>
        <v>false</v>
      </c>
      <c r="U61" s="1331"/>
      <c r="V61" s="1331"/>
      <c r="W61" s="1331"/>
      <c r="X61" s="1539"/>
      <c r="Y61" s="1331"/>
      <c r="Z61" s="1529"/>
      <c r="AA61" s="1331"/>
      <c r="AB61" s="296" t="str">
        <f>IF(B57,"2.13","2.11")</f>
        <v>2.11</v>
      </c>
      <c r="AC61" s="769" t="s">
        <v>1777</v>
      </c>
      <c r="AD61" s="773" t="s">
        <v>1771</v>
      </c>
      <c r="AE61" s="773" t="s">
        <v>936</v>
      </c>
      <c r="AF61" s="4146"/>
      <c r="AG61" s="4146"/>
      <c r="AH61" s="1823"/>
      <c r="AI61" s="1331"/>
      <c r="AJ61" s="1331"/>
      <c r="AK61" s="1331"/>
      <c r="AL61" s="1005" t="s">
        <v>1778</v>
      </c>
      <c r="AM61" s="1331"/>
      <c r="AN61" s="1331"/>
      <c r="AO61" s="1331"/>
      <c r="AP61" s="1331"/>
      <c r="AQ61" s="1331"/>
    </row>
    <row customHeight="1" ht="14.625" hidden="1">
      <c r="A62" s="1331"/>
      <c r="B62" s="1223"/>
      <c r="C62" s="1331"/>
      <c r="D62" s="1331"/>
      <c r="E62" s="623">
        <v>15</v>
      </c>
      <c r="F62" s="50" cm="1" t="str">
        <f t="array" ref="F62:F62">OFFSET(E62,-1,1)</f>
        <v>0</v>
      </c>
      <c r="G62" s="428"/>
      <c r="H62" s="81"/>
      <c r="I62" s="428"/>
      <c r="J62" s="1331"/>
      <c r="K62" s="120"/>
      <c r="L62" s="120"/>
      <c r="M62" s="120"/>
      <c r="N62" s="1331"/>
      <c r="O62" s="1331"/>
      <c r="P62" s="1331"/>
      <c r="Q62" s="1331"/>
      <c r="R62" s="1331"/>
      <c r="S62" s="1441"/>
      <c r="T62" s="468" cm="1" t="str">
        <f t="array" ref="T62:T62">T61</f>
        <v>false</v>
      </c>
      <c r="U62" s="1331"/>
      <c r="V62" s="1331"/>
      <c r="W62" s="1331"/>
      <c r="X62" s="1539"/>
      <c r="Y62" s="1331"/>
      <c r="Z62" s="1529"/>
      <c r="AA62" s="1331"/>
      <c r="AB62" s="296" t="str">
        <f>IF(B57,"2.14","2.12")</f>
        <v>2.12</v>
      </c>
      <c r="AC62" s="769" t="s">
        <v>1779</v>
      </c>
      <c r="AD62" s="773" t="s">
        <v>1771</v>
      </c>
      <c r="AE62" s="773" t="s">
        <v>936</v>
      </c>
      <c r="AF62" s="4146"/>
      <c r="AG62" s="4146"/>
      <c r="AH62" s="1823"/>
      <c r="AI62" s="1331"/>
      <c r="AJ62" s="1331"/>
      <c r="AK62" s="1331"/>
      <c r="AL62" s="1005" t="s">
        <v>1780</v>
      </c>
      <c r="AM62" s="1331"/>
      <c r="AN62" s="1331"/>
      <c r="AO62" s="1331"/>
      <c r="AP62" s="1331"/>
      <c r="AQ62" s="1331"/>
    </row>
    <row s="704" customFormat="1" customHeight="1" ht="21.9375" hidden="1">
      <c r="A63" s="704"/>
      <c r="B63" s="433"/>
      <c r="C63" s="704"/>
      <c r="D63" s="704"/>
      <c r="E63" s="697">
        <v>22.5</v>
      </c>
      <c r="F63" s="50" cm="1" t="str">
        <f t="array" ref="F63:F63">OFFSET(E63,-1,1)</f>
        <v>0</v>
      </c>
      <c r="G63" s="143"/>
      <c r="H63" s="143"/>
      <c r="I63" s="428" t="s">
        <v>345</v>
      </c>
      <c r="J63" s="704"/>
      <c r="K63" s="500"/>
      <c r="L63" s="500"/>
      <c r="M63" s="500"/>
      <c r="N63" s="704"/>
      <c r="O63" s="704"/>
      <c r="P63" s="704"/>
      <c r="Q63" s="704"/>
      <c r="R63" s="704"/>
      <c r="S63" s="704"/>
      <c r="T63" s="468" cm="1" t="str">
        <f t="array" ref="T63:T63">T62</f>
        <v>false</v>
      </c>
      <c r="U63" s="704"/>
      <c r="V63" s="704"/>
      <c r="W63" s="704"/>
      <c r="X63" s="1539"/>
      <c r="Y63" s="704"/>
      <c r="Z63" s="1529"/>
      <c r="AA63" s="704"/>
      <c r="AB63" s="207" t="s">
        <v>1781</v>
      </c>
      <c r="AC63" s="208" t="s">
        <v>1782</v>
      </c>
      <c r="AD63" s="207" t="s">
        <v>1644</v>
      </c>
      <c r="AE63" s="230" t="s">
        <v>936</v>
      </c>
      <c r="AF63" s="851" cm="1" t="str">
        <f t="array" ref="AF63:AF63">AF64</f>
        <v>0</v>
      </c>
      <c r="AG63" s="851" cm="1" t="str">
        <f t="array" ref="AG63:AG63">AG64</f>
        <v>0</v>
      </c>
      <c r="AH63" s="4515"/>
      <c r="AI63" s="704"/>
      <c r="AJ63" s="704"/>
      <c r="AK63" s="704"/>
      <c r="AL63" s="1059" t="s">
        <v>1783</v>
      </c>
      <c r="AM63" s="704"/>
      <c r="AN63" s="704"/>
      <c r="AO63" s="704"/>
      <c r="AP63" s="704"/>
      <c r="AQ63" s="704"/>
    </row>
    <row customHeight="1" ht="32.90625" hidden="1">
      <c r="A64" s="1331"/>
      <c r="B64" s="1223"/>
      <c r="C64" s="1331"/>
      <c r="D64" s="1331"/>
      <c r="E64" s="623">
        <v>33.75</v>
      </c>
      <c r="F64" s="50" cm="1" t="str">
        <f t="array" ref="F64:F64">OFFSET(E64,-1,1)</f>
        <v>0</v>
      </c>
      <c r="G64" s="428"/>
      <c r="H64" s="81"/>
      <c r="I64" s="428" t="s">
        <v>584</v>
      </c>
      <c r="J64" s="1331"/>
      <c r="K64" s="120"/>
      <c r="L64" s="120"/>
      <c r="M64" s="120"/>
      <c r="N64" s="1331"/>
      <c r="O64" s="1331"/>
      <c r="P64" s="1331"/>
      <c r="Q64" s="1331"/>
      <c r="R64" s="1331"/>
      <c r="S64" s="1441"/>
      <c r="T64" s="468" cm="1" t="str">
        <f t="array" ref="T64:T64">T63</f>
        <v>false</v>
      </c>
      <c r="U64" s="1331"/>
      <c r="V64" s="1331"/>
      <c r="W64" s="1331"/>
      <c r="X64" s="1539"/>
      <c r="Y64" s="1331"/>
      <c r="Z64" s="1529"/>
      <c r="AA64" s="1331"/>
      <c r="AB64" s="295" t="s">
        <v>290</v>
      </c>
      <c r="AC64" s="454" t="s">
        <v>1784</v>
      </c>
      <c r="AD64" s="296" t="s">
        <v>1785</v>
      </c>
      <c r="AE64" s="773" t="s">
        <v>936</v>
      </c>
      <c r="AF64" s="941">
        <f>AF65+AF66</f>
        <v>0</v>
      </c>
      <c r="AG64" s="941">
        <f>AG65+AG66</f>
        <v>0</v>
      </c>
      <c r="AH64" s="1823"/>
      <c r="AI64" s="1331"/>
      <c r="AJ64" s="1331"/>
      <c r="AK64" s="1331"/>
      <c r="AL64" s="1005" t="s">
        <v>1786</v>
      </c>
      <c r="AM64" s="1331"/>
      <c r="AN64" s="1331"/>
      <c r="AO64" s="1331"/>
      <c r="AP64" s="1331"/>
      <c r="AQ64" s="1331"/>
    </row>
    <row customHeight="1" ht="43.875" hidden="1">
      <c r="A65" s="1331"/>
      <c r="B65" s="1223"/>
      <c r="C65" s="1331"/>
      <c r="D65" s="1331"/>
      <c r="E65" s="623">
        <v>45</v>
      </c>
      <c r="F65" s="50" cm="1" t="str">
        <f t="array" ref="F65:F65">OFFSET(E65,-1,1)</f>
        <v>0</v>
      </c>
      <c r="G65" s="428"/>
      <c r="H65" s="81"/>
      <c r="I65" s="428" t="s">
        <v>1787</v>
      </c>
      <c r="J65" s="1331"/>
      <c r="K65" s="120"/>
      <c r="L65" s="120"/>
      <c r="M65" s="120"/>
      <c r="N65" s="1331"/>
      <c r="O65" s="1331"/>
      <c r="P65" s="1331"/>
      <c r="Q65" s="1331"/>
      <c r="R65" s="1331"/>
      <c r="S65" s="1441"/>
      <c r="T65" s="468" cm="1" t="str">
        <f t="array" ref="T65:T65">T64</f>
        <v>false</v>
      </c>
      <c r="U65" s="1331"/>
      <c r="V65" s="1331"/>
      <c r="W65" s="1331"/>
      <c r="X65" s="1539"/>
      <c r="Y65" s="1331"/>
      <c r="Z65" s="1529"/>
      <c r="AA65" s="1331"/>
      <c r="AB65" s="295" t="s">
        <v>1067</v>
      </c>
      <c r="AC65" s="769" t="s">
        <v>1788</v>
      </c>
      <c r="AD65" s="296" t="s">
        <v>1789</v>
      </c>
      <c r="AE65" s="773" t="s">
        <v>936</v>
      </c>
      <c r="AF65" s="4146"/>
      <c r="AG65" s="4146"/>
      <c r="AH65" s="1823"/>
      <c r="AI65" s="1331"/>
      <c r="AJ65" s="1331"/>
      <c r="AK65" s="1331"/>
      <c r="AL65" s="1005" t="s">
        <v>1790</v>
      </c>
      <c r="AM65" s="1331"/>
      <c r="AN65" s="1331"/>
      <c r="AO65" s="1331"/>
      <c r="AP65" s="1331"/>
      <c r="AQ65" s="1331"/>
    </row>
    <row customHeight="1" ht="32.90625" hidden="1">
      <c r="A66" s="1331"/>
      <c r="B66" s="1223"/>
      <c r="C66" s="1331"/>
      <c r="D66" s="1331"/>
      <c r="E66" s="623">
        <v>33.75</v>
      </c>
      <c r="F66" s="50" cm="1" t="str">
        <f t="array" ref="F66:F66">OFFSET(E66,-1,1)</f>
        <v>0</v>
      </c>
      <c r="G66" s="428"/>
      <c r="H66" s="81"/>
      <c r="I66" s="428" t="s">
        <v>1791</v>
      </c>
      <c r="J66" s="1331"/>
      <c r="K66" s="120"/>
      <c r="L66" s="120"/>
      <c r="M66" s="120"/>
      <c r="N66" s="1331"/>
      <c r="O66" s="1331"/>
      <c r="P66" s="1331"/>
      <c r="Q66" s="1331"/>
      <c r="R66" s="1331"/>
      <c r="S66" s="1441"/>
      <c r="T66" s="468" cm="1" t="str">
        <f t="array" ref="T66:T66">T65</f>
        <v>false</v>
      </c>
      <c r="U66" s="1331"/>
      <c r="V66" s="1331"/>
      <c r="W66" s="1331"/>
      <c r="X66" s="1539"/>
      <c r="Y66" s="1331"/>
      <c r="Z66" s="1529"/>
      <c r="AA66" s="1331"/>
      <c r="AB66" s="295" t="s">
        <v>1070</v>
      </c>
      <c r="AC66" s="769" t="s">
        <v>1792</v>
      </c>
      <c r="AD66" s="296" t="s">
        <v>1793</v>
      </c>
      <c r="AE66" s="773" t="s">
        <v>936</v>
      </c>
      <c r="AF66" s="4146"/>
      <c r="AG66" s="4146"/>
      <c r="AH66" s="1823"/>
      <c r="AI66" s="1331"/>
      <c r="AJ66" s="1331"/>
      <c r="AK66" s="1331"/>
      <c r="AL66" s="1005" t="s">
        <v>1794</v>
      </c>
      <c r="AM66" s="1331"/>
      <c r="AN66" s="1331"/>
      <c r="AO66" s="1331"/>
      <c r="AP66" s="1331"/>
      <c r="AQ66" s="1331"/>
    </row>
    <row customHeight="1" ht="34.125" hidden="1">
      <c r="A67" s="1331"/>
      <c r="B67" s="1223"/>
      <c r="C67" s="1331"/>
      <c r="D67" s="1331"/>
      <c r="E67" s="623">
        <v>35</v>
      </c>
      <c r="F67" s="50" cm="1" t="str">
        <f t="array" ref="F67:F67">OFFSET(E67,-1,1)</f>
        <v>0</v>
      </c>
      <c r="G67" s="428"/>
      <c r="H67" s="81"/>
      <c r="I67" s="428" t="s">
        <v>346</v>
      </c>
      <c r="J67" s="1331"/>
      <c r="K67" s="120" t="str">
        <f>F67&amp;"1komm"</f>
        <v>01komm</v>
      </c>
      <c r="L67" s="926" cm="1" t="str">
        <f t="array" ref="L67:L67">AH67</f>
        <v>0</v>
      </c>
      <c r="M67" s="120"/>
      <c r="N67" s="1331"/>
      <c r="O67" s="1331"/>
      <c r="P67" s="1331"/>
      <c r="Q67" s="1331"/>
      <c r="R67" s="1331"/>
      <c r="S67" s="1441"/>
      <c r="T67" s="468" cm="1" t="str">
        <f t="array" ref="T67:T67">T66</f>
        <v>false</v>
      </c>
      <c r="U67" s="1331"/>
      <c r="V67" s="1331"/>
      <c r="W67" s="1331"/>
      <c r="X67" s="1539"/>
      <c r="Y67" s="1331"/>
      <c r="Z67" s="1529"/>
      <c r="AA67" s="1331"/>
      <c r="AB67" s="230" t="s">
        <v>1795</v>
      </c>
      <c r="AC67" s="208" t="s">
        <v>1796</v>
      </c>
      <c r="AD67" s="207" t="s">
        <v>1797</v>
      </c>
      <c r="AE67" s="230" t="s">
        <v>936</v>
      </c>
      <c r="AF67" s="4516"/>
      <c r="AG67" s="4516"/>
      <c r="AH67" s="1823"/>
      <c r="AI67" s="1331"/>
      <c r="AJ67" s="1331"/>
      <c r="AK67" s="1331"/>
      <c r="AL67" s="1005" t="s">
        <v>1798</v>
      </c>
      <c r="AM67" s="1331"/>
      <c r="AN67" s="1331"/>
      <c r="AO67" s="1331"/>
      <c r="AP67" s="1331"/>
      <c r="AQ67" s="1331"/>
    </row>
    <row customHeight="1" ht="107.25" hidden="1">
      <c r="A68" s="1331"/>
      <c r="B68" s="1223"/>
      <c r="C68" s="1331"/>
      <c r="D68" s="1331"/>
      <c r="E68" s="623">
        <v>110</v>
      </c>
      <c r="F68" s="50" cm="1" t="str">
        <f t="array" ref="F68:F68">OFFSET(E68,-1,1)</f>
        <v>0</v>
      </c>
      <c r="G68" s="428"/>
      <c r="H68" s="81"/>
      <c r="I68" s="428" t="s">
        <v>348</v>
      </c>
      <c r="J68" s="1331"/>
      <c r="K68" s="120" t="str">
        <f>F68&amp;"2komm"</f>
        <v>02komm</v>
      </c>
      <c r="L68" s="926" cm="1" t="str">
        <f t="array" ref="L68:L68">AH68</f>
        <v>0</v>
      </c>
      <c r="M68" s="120"/>
      <c r="N68" s="1331"/>
      <c r="O68" s="1331"/>
      <c r="P68" s="1331"/>
      <c r="Q68" s="1331"/>
      <c r="R68" s="1331"/>
      <c r="S68" s="1441"/>
      <c r="T68" s="468" cm="1" t="str">
        <f t="array" ref="T68:T68">T67</f>
        <v>false</v>
      </c>
      <c r="U68" s="1331"/>
      <c r="V68" s="1331"/>
      <c r="W68" s="1331"/>
      <c r="X68" s="1539"/>
      <c r="Y68" s="1331"/>
      <c r="Z68" s="1529"/>
      <c r="AA68" s="1331"/>
      <c r="AB68" s="230" t="s">
        <v>1799</v>
      </c>
      <c r="AC68" s="208" t="s">
        <v>1800</v>
      </c>
      <c r="AD68" s="207" t="s">
        <v>1801</v>
      </c>
      <c r="AE68" s="230" t="s">
        <v>936</v>
      </c>
      <c r="AF68" s="4516"/>
      <c r="AG68" s="4516"/>
      <c r="AH68" s="1823"/>
      <c r="AI68" s="1331"/>
      <c r="AJ68" s="1331"/>
      <c r="AK68" s="1331"/>
      <c r="AL68" s="1005" t="s">
        <v>1207</v>
      </c>
      <c r="AM68" s="1331"/>
      <c r="AN68" s="1331"/>
      <c r="AO68" s="1331"/>
      <c r="AP68" s="1331"/>
      <c r="AQ68" s="1331"/>
    </row>
    <row customHeight="1" ht="76.78125" hidden="1">
      <c r="A69" s="1331"/>
      <c r="B69" s="430">
        <f>S27="Водоотведение"</f>
        <v>0</v>
      </c>
      <c r="C69" s="1331"/>
      <c r="D69" s="1331"/>
      <c r="E69" s="623">
        <v>78.75</v>
      </c>
      <c r="F69" s="50" cm="1" t="str">
        <f t="array" ref="F69:F69">OFFSET(E69,-1,1)</f>
        <v>0</v>
      </c>
      <c r="G69" s="1029"/>
      <c r="H69" s="49"/>
      <c r="I69" s="118" t="s">
        <v>347</v>
      </c>
      <c r="J69" s="1331"/>
      <c r="K69" s="120" t="str">
        <f>F69&amp;"3komm"</f>
        <v>03komm</v>
      </c>
      <c r="L69" s="926" cm="1" t="str">
        <f t="array" ref="L69:L69">AH69</f>
        <v>0</v>
      </c>
      <c r="M69" s="120"/>
      <c r="N69" s="1331"/>
      <c r="O69" s="1331"/>
      <c r="P69" s="1331"/>
      <c r="Q69" s="1331"/>
      <c r="R69" s="1331"/>
      <c r="S69" s="1441"/>
      <c r="T69" s="468" cm="1" t="str">
        <f t="array" ref="T69:T69">T68</f>
        <v>false</v>
      </c>
      <c r="U69" s="1331"/>
      <c r="V69" s="1331"/>
      <c r="W69" s="1331"/>
      <c r="X69" s="1539"/>
      <c r="Y69" s="1331"/>
      <c r="Z69" s="1529"/>
      <c r="AA69" s="1331"/>
      <c r="AB69" s="230" t="s">
        <v>1802</v>
      </c>
      <c r="AC69" s="208" t="s">
        <v>1803</v>
      </c>
      <c r="AD69" s="207"/>
      <c r="AE69" s="230" t="s">
        <v>936</v>
      </c>
      <c r="AF69" s="4516"/>
      <c r="AG69" s="3232">
        <f>_xlfn.IFERROR(_xlfn.SUMIFS('Плата за негативное возд'!$AL$24:$AL$38,'Плата за негативное возд'!$F$24:$F$38,F69,'Плата за негативное возд'!$AB$24:$AB$38,"1"),0)</f>
        <v>0</v>
      </c>
      <c r="AH69" s="1823"/>
      <c r="AI69" s="1331"/>
      <c r="AJ69" s="1331"/>
      <c r="AK69" s="1331"/>
      <c r="AL69" s="1005" t="s">
        <v>1804</v>
      </c>
      <c r="AM69" s="1331"/>
      <c r="AN69" s="1331"/>
      <c r="AO69" s="1331"/>
      <c r="AP69" s="1331"/>
      <c r="AQ69" s="1331"/>
    </row>
    <row customHeight="1" ht="54.84375" hidden="1">
      <c r="A70" s="1331"/>
      <c r="B70" s="430" cm="1" t="str">
        <f t="array" ref="B70:B70">B69</f>
        <v>false</v>
      </c>
      <c r="C70" s="1331"/>
      <c r="D70" s="1331"/>
      <c r="E70" s="623">
        <v>56.25</v>
      </c>
      <c r="F70" s="50" cm="1" t="str">
        <f t="array" ref="F70:F70">OFFSET(E70,-1,1)</f>
        <v>0</v>
      </c>
      <c r="G70" s="1029"/>
      <c r="H70" s="49"/>
      <c r="I70" s="118" t="s">
        <v>616</v>
      </c>
      <c r="J70" s="1331"/>
      <c r="K70" s="120" t="str">
        <f>F70&amp;"4komm"</f>
        <v>04komm</v>
      </c>
      <c r="L70" s="926" cm="1" t="str">
        <f t="array" ref="L70:L70">AH70</f>
        <v>0</v>
      </c>
      <c r="M70" s="120"/>
      <c r="N70" s="1331"/>
      <c r="O70" s="1331"/>
      <c r="P70" s="1331"/>
      <c r="Q70" s="1331"/>
      <c r="R70" s="1331"/>
      <c r="S70" s="1441"/>
      <c r="T70" s="468" cm="1" t="str">
        <f t="array" ref="T70:T70">T69</f>
        <v>false</v>
      </c>
      <c r="U70" s="1331"/>
      <c r="V70" s="1331"/>
      <c r="W70" s="1331"/>
      <c r="X70" s="1539"/>
      <c r="Y70" s="1331"/>
      <c r="Z70" s="1529"/>
      <c r="AA70" s="1331"/>
      <c r="AB70" s="230" t="s">
        <v>1805</v>
      </c>
      <c r="AC70" s="208" t="s">
        <v>1806</v>
      </c>
      <c r="AD70" s="207"/>
      <c r="AE70" s="230" t="s">
        <v>936</v>
      </c>
      <c r="AF70" s="4516"/>
      <c r="AG70" s="3232">
        <f>_xlfn.IFERROR(_xlfn.SUMIFS('Плата за негативное возд'!$AL$24:$AL$38,'Плата за негативное возд'!$F$24:$F$38,F70,'Плата за негативное возд'!$AB$24:$AB$38,"2"),0)</f>
        <v>0</v>
      </c>
      <c r="AH70" s="1823"/>
      <c r="AI70" s="1331"/>
      <c r="AJ70" s="1331"/>
      <c r="AK70" s="1331"/>
      <c r="AL70" s="1005" t="s">
        <v>1807</v>
      </c>
      <c r="AM70" s="1331"/>
      <c r="AN70" s="1331"/>
      <c r="AO70" s="1331"/>
      <c r="AP70" s="1331"/>
      <c r="AQ70" s="1331"/>
    </row>
    <row customHeight="1" ht="14.625" hidden="1">
      <c r="A71" s="1331"/>
      <c r="B71" s="1223"/>
      <c r="C71" s="1331"/>
      <c r="D71" s="1331"/>
      <c r="E71" s="623">
        <v>15</v>
      </c>
      <c r="F71" s="50" cm="1" t="str">
        <f t="array" ref="F71:F71">OFFSET(E71,-1,1)</f>
        <v>0</v>
      </c>
      <c r="G71" s="1029"/>
      <c r="H71" s="81"/>
      <c r="I71" s="118" t="s">
        <v>619</v>
      </c>
      <c r="J71" s="1331"/>
      <c r="K71" s="120" t="str">
        <f>F71&amp;"5komm"</f>
        <v>05komm</v>
      </c>
      <c r="L71" s="926" cm="1" t="str">
        <f t="array" ref="L71:L71">AH71</f>
        <v>0</v>
      </c>
      <c r="M71" s="120"/>
      <c r="N71" s="1331"/>
      <c r="O71" s="1331"/>
      <c r="P71" s="1331"/>
      <c r="Q71" s="1331"/>
      <c r="R71" s="1331"/>
      <c r="S71" s="1441"/>
      <c r="T71" s="468" cm="1" t="str">
        <f t="array" ref="T71:T71">T70</f>
        <v>false</v>
      </c>
      <c r="U71" s="1331"/>
      <c r="V71" s="1331"/>
      <c r="W71" s="1331"/>
      <c r="X71" s="1539"/>
      <c r="Y71" s="1331"/>
      <c r="Z71" s="1529"/>
      <c r="AA71" s="1331"/>
      <c r="AB71" s="230" t="str">
        <f>IF(B70,"VII","V")</f>
        <v>V</v>
      </c>
      <c r="AC71" s="208" t="s">
        <v>1808</v>
      </c>
      <c r="AD71" s="207"/>
      <c r="AE71" s="230" t="s">
        <v>936</v>
      </c>
      <c r="AF71" s="4516"/>
      <c r="AG71" s="4516"/>
      <c r="AH71" s="1823"/>
      <c r="AI71" s="1331"/>
      <c r="AJ71" s="1331"/>
      <c r="AK71" s="1331"/>
      <c r="AL71" s="1005" t="s">
        <v>1809</v>
      </c>
      <c r="AM71" s="1331"/>
      <c r="AN71" s="1331"/>
      <c r="AO71" s="1331"/>
      <c r="AP71" s="1331"/>
      <c r="AQ71" s="1331"/>
    </row>
    <row s="704" customFormat="1" customHeight="1" ht="14.625" hidden="1">
      <c r="A72" s="704"/>
      <c r="B72" s="433"/>
      <c r="C72" s="704"/>
      <c r="D72" s="704"/>
      <c r="E72" s="697">
        <v>15</v>
      </c>
      <c r="F72" s="50" cm="1" t="str">
        <f t="array" ref="F72:F72">OFFSET(E72,-1,1)</f>
        <v>0</v>
      </c>
      <c r="G72" s="500"/>
      <c r="H72" s="704"/>
      <c r="I72" s="237" t="s">
        <v>685</v>
      </c>
      <c r="J72" s="704"/>
      <c r="K72" s="120" t="str">
        <f>F72&amp;"6komm"</f>
        <v>06komm</v>
      </c>
      <c r="L72" s="926" cm="1" t="str">
        <f t="array" ref="L72:L72">AH72</f>
        <v>0</v>
      </c>
      <c r="M72" s="500"/>
      <c r="N72" s="704"/>
      <c r="O72" s="704"/>
      <c r="P72" s="704"/>
      <c r="Q72" s="704"/>
      <c r="R72" s="704"/>
      <c r="S72" s="704"/>
      <c r="T72" s="468" cm="1" t="str">
        <f t="array" ref="T72:T72">T71</f>
        <v>false</v>
      </c>
      <c r="U72" s="704"/>
      <c r="V72" s="704"/>
      <c r="W72" s="704"/>
      <c r="X72" s="1539"/>
      <c r="Y72" s="704"/>
      <c r="Z72" s="1529"/>
      <c r="AA72" s="704"/>
      <c r="AB72" s="230" t="str">
        <f>IF(B70,"VIII","VI")</f>
        <v>VI</v>
      </c>
      <c r="AC72" s="208" t="s">
        <v>1770</v>
      </c>
      <c r="AD72" s="207"/>
      <c r="AE72" s="230" t="s">
        <v>936</v>
      </c>
      <c r="AF72" s="4516">
        <f>AF73+AF74</f>
        <v>0</v>
      </c>
      <c r="AG72" s="4516">
        <f>AG73+AG74</f>
        <v>0</v>
      </c>
      <c r="AH72" s="1823"/>
      <c r="AI72" s="704"/>
      <c r="AJ72" s="704"/>
      <c r="AK72" s="704"/>
      <c r="AL72" s="1059" t="s">
        <v>1810</v>
      </c>
      <c r="AM72" s="704"/>
      <c r="AN72" s="704"/>
      <c r="AO72" s="704"/>
      <c r="AP72" s="704"/>
      <c r="AQ72" s="704"/>
    </row>
    <row customHeight="1" ht="21.9375" hidden="1">
      <c r="A73" s="1331"/>
      <c r="B73" s="1223"/>
      <c r="C73" s="1331"/>
      <c r="D73" s="1331"/>
      <c r="E73" s="623">
        <v>22.5</v>
      </c>
      <c r="F73" s="50" cm="1" t="str">
        <f t="array" ref="F73:F73">OFFSET(E73,-1,1)</f>
        <v>0</v>
      </c>
      <c r="G73" s="1029"/>
      <c r="H73" s="81"/>
      <c r="I73" s="118" t="s">
        <v>688</v>
      </c>
      <c r="J73" s="1331"/>
      <c r="K73" s="120" t="str">
        <f>F73&amp;"7komm"</f>
        <v>07komm</v>
      </c>
      <c r="L73" s="926" cm="1" t="str">
        <f t="array" ref="L73:L73">AH73</f>
        <v>0</v>
      </c>
      <c r="M73" s="120"/>
      <c r="N73" s="1331"/>
      <c r="O73" s="1331"/>
      <c r="P73" s="1331"/>
      <c r="Q73" s="1331"/>
      <c r="R73" s="1331"/>
      <c r="S73" s="1441"/>
      <c r="T73" s="468" cm="1" t="str">
        <f t="array" ref="T73:T73">T72</f>
        <v>false</v>
      </c>
      <c r="U73" s="1331"/>
      <c r="V73" s="1331"/>
      <c r="W73" s="1331"/>
      <c r="X73" s="1539"/>
      <c r="Y73" s="1331"/>
      <c r="Z73" s="1529"/>
      <c r="AA73" s="1331"/>
      <c r="AB73" s="773">
        <v>1</v>
      </c>
      <c r="AC73" s="769" t="s">
        <v>1773</v>
      </c>
      <c r="AD73" s="296"/>
      <c r="AE73" s="773" t="s">
        <v>936</v>
      </c>
      <c r="AF73" s="4146"/>
      <c r="AG73" s="4146"/>
      <c r="AH73" s="1823"/>
      <c r="AI73" s="1331"/>
      <c r="AJ73" s="1331"/>
      <c r="AK73" s="1331"/>
      <c r="AL73" s="1005" t="s">
        <v>1811</v>
      </c>
      <c r="AM73" s="1331"/>
      <c r="AN73" s="1331"/>
      <c r="AO73" s="1331"/>
      <c r="AP73" s="1331"/>
      <c r="AQ73" s="1331"/>
    </row>
    <row customHeight="1" ht="21.9375" hidden="1">
      <c r="A74" s="1331"/>
      <c r="B74" s="1223"/>
      <c r="C74" s="1331"/>
      <c r="D74" s="1331"/>
      <c r="E74" s="623">
        <v>22.5</v>
      </c>
      <c r="F74" s="50" cm="1" t="str">
        <f t="array" ref="F74:F74">OFFSET(E74,-1,1)</f>
        <v>0</v>
      </c>
      <c r="G74" s="1029"/>
      <c r="H74" s="81"/>
      <c r="I74" s="118" t="s">
        <v>692</v>
      </c>
      <c r="J74" s="1331"/>
      <c r="K74" s="120" t="str">
        <f>F74&amp;"8komm"</f>
        <v>08komm</v>
      </c>
      <c r="L74" s="926" cm="1" t="str">
        <f t="array" ref="L74:L74">AH74</f>
        <v>0</v>
      </c>
      <c r="M74" s="120"/>
      <c r="N74" s="1331"/>
      <c r="O74" s="1331"/>
      <c r="P74" s="1331"/>
      <c r="Q74" s="1331"/>
      <c r="R74" s="1331"/>
      <c r="S74" s="1441"/>
      <c r="T74" s="468" cm="1" t="str">
        <f t="array" ref="T74:T74">T73</f>
        <v>false</v>
      </c>
      <c r="U74" s="1331"/>
      <c r="V74" s="1331"/>
      <c r="W74" s="1331"/>
      <c r="X74" s="1539"/>
      <c r="Y74" s="1331"/>
      <c r="Z74" s="1529"/>
      <c r="AA74" s="1331"/>
      <c r="AB74" s="773">
        <v>2</v>
      </c>
      <c r="AC74" s="769" t="s">
        <v>1775</v>
      </c>
      <c r="AD74" s="296"/>
      <c r="AE74" s="773" t="s">
        <v>936</v>
      </c>
      <c r="AF74" s="4146"/>
      <c r="AG74" s="4146"/>
      <c r="AH74" s="1823"/>
      <c r="AI74" s="1331"/>
      <c r="AJ74" s="1331"/>
      <c r="AK74" s="1331"/>
      <c r="AL74" s="1005" t="s">
        <v>1812</v>
      </c>
      <c r="AM74" s="1331"/>
      <c r="AN74" s="1331"/>
      <c r="AO74" s="1331"/>
      <c r="AP74" s="1331"/>
      <c r="AQ74" s="1331"/>
    </row>
    <row customHeight="1" ht="14.625" hidden="1">
      <c r="A75" s="1331"/>
      <c r="B75" s="1223"/>
      <c r="C75" s="1331"/>
      <c r="D75" s="1331"/>
      <c r="E75" s="623">
        <v>15</v>
      </c>
      <c r="F75" s="50" cm="1" t="str">
        <f t="array" ref="F75:F75">OFFSET(E75,-1,1)</f>
        <v>0</v>
      </c>
      <c r="G75" s="1029"/>
      <c r="H75" s="81"/>
      <c r="I75" s="118" t="s">
        <v>700</v>
      </c>
      <c r="J75" s="1331"/>
      <c r="K75" s="120" t="str">
        <f>F75&amp;"9komm"</f>
        <v>09komm</v>
      </c>
      <c r="L75" s="926" cm="1" t="str">
        <f t="array" ref="L75:L75">AH75</f>
        <v>0</v>
      </c>
      <c r="M75" s="120"/>
      <c r="N75" s="1331"/>
      <c r="O75" s="1331"/>
      <c r="P75" s="1331"/>
      <c r="Q75" s="1331"/>
      <c r="R75" s="1331"/>
      <c r="S75" s="1441"/>
      <c r="T75" s="468" cm="1" t="str">
        <f t="array" ref="T75:T75">T74</f>
        <v>false</v>
      </c>
      <c r="U75" s="1331"/>
      <c r="V75" s="1331"/>
      <c r="W75" s="1331"/>
      <c r="X75" s="1539"/>
      <c r="Y75" s="1331"/>
      <c r="Z75" s="1529"/>
      <c r="AA75" s="1331"/>
      <c r="AB75" s="230" t="str">
        <f>IF(B70,"IX","VIII")</f>
        <v>VIII</v>
      </c>
      <c r="AC75" s="208" t="s">
        <v>1777</v>
      </c>
      <c r="AD75" s="207"/>
      <c r="AE75" s="230" t="s">
        <v>936</v>
      </c>
      <c r="AF75" s="4516"/>
      <c r="AG75" s="4516"/>
      <c r="AH75" s="1823"/>
      <c r="AI75" s="1331"/>
      <c r="AJ75" s="1331"/>
      <c r="AK75" s="1331"/>
      <c r="AL75" s="1005" t="s">
        <v>1813</v>
      </c>
      <c r="AM75" s="1331"/>
      <c r="AN75" s="1331"/>
      <c r="AO75" s="1331"/>
      <c r="AP75" s="1331"/>
      <c r="AQ75" s="1331"/>
    </row>
    <row customHeight="1" ht="14.625" hidden="1">
      <c r="A76" s="1331"/>
      <c r="B76" s="1223"/>
      <c r="C76" s="1331"/>
      <c r="D76" s="1331"/>
      <c r="E76" s="623">
        <v>15</v>
      </c>
      <c r="F76" s="50" cm="1" t="str">
        <f t="array" ref="F76:F76">OFFSET(E76,-1,1)</f>
        <v>0</v>
      </c>
      <c r="G76" s="1029"/>
      <c r="H76" s="81"/>
      <c r="I76" s="118" t="s">
        <v>707</v>
      </c>
      <c r="J76" s="1331"/>
      <c r="K76" s="120" t="str">
        <f>F76&amp;"10komm"</f>
        <v>010komm</v>
      </c>
      <c r="L76" s="926" cm="1" t="str">
        <f t="array" ref="L76:L76">AH76</f>
        <v>0</v>
      </c>
      <c r="M76" s="120"/>
      <c r="N76" s="1331"/>
      <c r="O76" s="1331"/>
      <c r="P76" s="1331"/>
      <c r="Q76" s="1331"/>
      <c r="R76" s="1331"/>
      <c r="S76" s="1441"/>
      <c r="T76" s="468" cm="1" t="str">
        <f t="array" ref="T76:T76">T75</f>
        <v>false</v>
      </c>
      <c r="U76" s="1331"/>
      <c r="V76" s="1331"/>
      <c r="W76" s="1331"/>
      <c r="X76" s="1539"/>
      <c r="Y76" s="1331"/>
      <c r="Z76" s="1529"/>
      <c r="AA76" s="1331"/>
      <c r="AB76" s="230" t="str">
        <f>IF(B70,"X","IX")</f>
        <v>IX</v>
      </c>
      <c r="AC76" s="208" t="s">
        <v>1779</v>
      </c>
      <c r="AD76" s="207"/>
      <c r="AE76" s="230" t="s">
        <v>936</v>
      </c>
      <c r="AF76" s="4516"/>
      <c r="AG76" s="4516"/>
      <c r="AH76" s="1823"/>
      <c r="AI76" s="1331"/>
      <c r="AJ76" s="1331"/>
      <c r="AK76" s="1331"/>
      <c r="AL76" s="1005" t="s">
        <v>1814</v>
      </c>
      <c r="AM76" s="1331"/>
      <c r="AN76" s="1331"/>
      <c r="AO76" s="1331"/>
      <c r="AP76" s="1331"/>
      <c r="AQ76" s="1331"/>
    </row>
    <row s="704" customFormat="1" customHeight="1" ht="14.625" hidden="1">
      <c r="A77" s="704"/>
      <c r="B77" s="433"/>
      <c r="C77" s="704"/>
      <c r="D77" s="704"/>
      <c r="E77" s="697">
        <v>15</v>
      </c>
      <c r="F77" s="50" cm="1" t="str">
        <f t="array" ref="F77:F77">OFFSET(E77,-1,1)</f>
        <v>0</v>
      </c>
      <c r="G77" s="500"/>
      <c r="H77" s="704"/>
      <c r="I77" s="237" t="s">
        <v>864</v>
      </c>
      <c r="J77" s="704"/>
      <c r="K77" s="120" t="str">
        <f>F77&amp;"11komm"</f>
        <v>011komm</v>
      </c>
      <c r="L77" s="926" cm="1" t="str">
        <f t="array" ref="L77:L77">AH77</f>
        <v>0</v>
      </c>
      <c r="M77" s="500"/>
      <c r="N77" s="704"/>
      <c r="O77" s="704"/>
      <c r="P77" s="704"/>
      <c r="Q77" s="704"/>
      <c r="R77" s="704"/>
      <c r="S77" s="704"/>
      <c r="T77" s="468" cm="1" t="str">
        <f t="array" ref="T77:T77">T76</f>
        <v>false</v>
      </c>
      <c r="U77" s="704"/>
      <c r="V77" s="704"/>
      <c r="W77" s="704"/>
      <c r="X77" s="1539"/>
      <c r="Y77" s="704"/>
      <c r="Z77" s="1529"/>
      <c r="AA77" s="704"/>
      <c r="AB77" s="230" t="str">
        <f>IF(B70,"XI","X")</f>
        <v>X</v>
      </c>
      <c r="AC77" s="215" t="s">
        <v>1815</v>
      </c>
      <c r="AD77" s="207"/>
      <c r="AE77" s="230" t="s">
        <v>936</v>
      </c>
      <c r="AF77" s="944">
        <f>AF28+AF63+AF67+AF68+AF69+AF70+AF71+AF72+AF75+AF76</f>
        <v>0</v>
      </c>
      <c r="AG77" s="944">
        <f>AG28+AG63+AG67+AG68+AG69+AG70+AG71+AG72+AG75+AG76</f>
        <v>0</v>
      </c>
      <c r="AH77" s="1823"/>
      <c r="AI77" s="704"/>
      <c r="AJ77" s="704"/>
      <c r="AK77" s="704"/>
      <c r="AL77" s="1059" t="s">
        <v>1816</v>
      </c>
      <c r="AM77" s="704"/>
      <c r="AN77" s="704"/>
      <c r="AO77" s="704"/>
      <c r="AP77" s="704"/>
      <c r="AQ77" s="704"/>
    </row>
    <row s="1656" customFormat="1" customHeight="1" ht="28.921875">
      <c r="A78" s="1331"/>
      <c r="B78" s="1223"/>
      <c r="C78" s="1331"/>
      <c r="D78" s="1331"/>
      <c r="E78" s="623">
        <v>15</v>
      </c>
      <c r="F78" s="94" cm="1" t="str">
        <f t="array" ref="F78:F78">X78</f>
        <v>1</v>
      </c>
      <c r="G78" s="496"/>
      <c r="H78" s="81"/>
      <c r="I78" s="1331"/>
      <c r="J78" s="1331"/>
      <c r="K78" s="1331"/>
      <c r="L78" s="1331"/>
      <c r="M78" s="1331"/>
      <c r="N78" s="1331"/>
      <c r="O78" s="1331"/>
      <c r="P78" s="1331"/>
      <c r="Q78" s="1331"/>
      <c r="R78" s="1331"/>
      <c r="S78" s="1188" cm="1" t="str">
        <f t="array" ref="S78:S78">INDEX('Общие сведения'!$AE$197:$AE$254,MATCH($X78,'Общие сведения'!$Z$197:$Z$254,0))</f>
        <v>Водоснабжение</v>
      </c>
      <c r="T78" s="468">
        <f>X78&gt;0</f>
        <v>1</v>
      </c>
      <c r="U78" s="1331"/>
      <c r="V78" s="118" cm="1" t="str">
        <f t="array" ref="V78:V78">'Плата за негативное возд'!$AB$29</f>
        <v>Тариф 1 (Водоснабжение) - тариф на питьевую воду (Оказание услуг на территории: город Ленинск-Кузнецкий (ОКТМО: 32719000) - г Ленинск-Кузнецкий, г Полысаево)</v>
      </c>
      <c r="W78" s="1331"/>
      <c r="X78" s="1539" t="s">
        <v>290</v>
      </c>
      <c r="Y78" s="1331"/>
      <c r="Z78" s="1529"/>
      <c r="AA78" s="1331"/>
      <c r="AB78" s="377" cm="1" t="str">
        <f t="array" ref="AB78:AB78">'Плата за негативное возд'!$AB$29</f>
        <v>Тариф 1 (Водоснабжение) - тариф на питьевую воду (Оказание услуг на территории: город Ленинск-Кузнецкий (ОКТМО: 32719000) - г Ленинск-Кузнецкий, г Полысаево)</v>
      </c>
      <c r="AC78" s="377"/>
      <c r="AD78" s="377"/>
      <c r="AE78" s="377"/>
      <c r="AF78" s="377"/>
      <c r="AG78" s="377"/>
      <c r="AH78" s="377"/>
      <c r="AI78" s="1331"/>
      <c r="AJ78" s="1331"/>
      <c r="AK78" s="1331"/>
      <c r="AL78" s="1245"/>
      <c r="AM78" s="1331"/>
      <c r="AN78" s="1331"/>
      <c r="AO78" s="1331"/>
      <c r="AP78" s="1331"/>
      <c r="AQ78" s="1331"/>
    </row>
    <row s="4524" customFormat="1" customHeight="1" ht="55.171875">
      <c r="A79" s="704"/>
      <c r="B79" s="433"/>
      <c r="C79" s="704"/>
      <c r="D79" s="704"/>
      <c r="E79" s="697">
        <v>45</v>
      </c>
      <c r="F79" s="50" cm="1" t="str">
        <f t="array" ref="F79:F79">OFFSET(E79,-1,1)</f>
        <v>1</v>
      </c>
      <c r="G79" s="500"/>
      <c r="H79" s="704"/>
      <c r="I79" s="118" t="s">
        <v>344</v>
      </c>
      <c r="J79" s="704"/>
      <c r="K79" s="120"/>
      <c r="L79" s="931"/>
      <c r="M79" s="500"/>
      <c r="N79" s="704"/>
      <c r="O79" s="704"/>
      <c r="P79" s="704"/>
      <c r="Q79" s="704"/>
      <c r="R79" s="704"/>
      <c r="S79" s="704"/>
      <c r="T79" s="468" cm="1" t="str">
        <f t="array" ref="T79:T79">T78</f>
        <v>true</v>
      </c>
      <c r="U79" s="704"/>
      <c r="V79" s="704"/>
      <c r="W79" s="704"/>
      <c r="X79" s="1539"/>
      <c r="Y79" s="704"/>
      <c r="Z79" s="1529"/>
      <c r="AA79" s="704"/>
      <c r="AB79" s="848" t="s">
        <v>1642</v>
      </c>
      <c r="AC79" s="849" t="s">
        <v>1643</v>
      </c>
      <c r="AD79" s="848" t="s">
        <v>1644</v>
      </c>
      <c r="AE79" s="850" t="s">
        <v>936</v>
      </c>
      <c r="AF79" s="851">
        <f>AF81-AF80</f>
        <v>59159.77442</v>
      </c>
      <c r="AG79" s="851">
        <f>AG81-AG80</f>
        <v>28855.2000199999</v>
      </c>
      <c r="AH79" s="852" t="s">
        <v>1817</v>
      </c>
      <c r="AI79" s="704"/>
      <c r="AJ79" s="704"/>
      <c r="AK79" s="704"/>
      <c r="AL79" s="1059" t="s">
        <v>1645</v>
      </c>
      <c r="AM79" s="704"/>
      <c r="AN79" s="704"/>
      <c r="AO79" s="704"/>
      <c r="AP79" s="704"/>
      <c r="AQ79" s="704"/>
    </row>
    <row s="4526" customFormat="1" customHeight="1" ht="58.171875">
      <c r="A80" s="704"/>
      <c r="B80" s="433"/>
      <c r="C80" s="704"/>
      <c r="D80" s="704"/>
      <c r="E80" s="697">
        <v>15</v>
      </c>
      <c r="F80" s="50" cm="1" t="str">
        <f t="array" ref="F80:F80">OFFSET(E80,-1,1)</f>
        <v>1</v>
      </c>
      <c r="G80" s="500"/>
      <c r="H80" s="704"/>
      <c r="I80" s="118" t="s">
        <v>566</v>
      </c>
      <c r="J80" s="704"/>
      <c r="K80" s="500"/>
      <c r="L80" s="500"/>
      <c r="M80" s="500"/>
      <c r="N80" s="704"/>
      <c r="O80" s="704"/>
      <c r="P80" s="704"/>
      <c r="Q80" s="704"/>
      <c r="R80" s="704"/>
      <c r="S80" s="704"/>
      <c r="T80" s="468" cm="1" t="str">
        <f t="array" ref="T80:T80">T79</f>
        <v>true</v>
      </c>
      <c r="U80" s="704"/>
      <c r="V80" s="704"/>
      <c r="W80" s="704"/>
      <c r="X80" s="1539"/>
      <c r="Y80" s="704"/>
      <c r="Z80" s="1529"/>
      <c r="AA80" s="704"/>
      <c r="AB80" s="214" t="s">
        <v>290</v>
      </c>
      <c r="AC80" s="215" t="s">
        <v>1646</v>
      </c>
      <c r="AD80" s="207" t="s">
        <v>1647</v>
      </c>
      <c r="AE80" s="230" t="s">
        <v>936</v>
      </c>
      <c r="AF80" s="378">
        <v>499408.7</v>
      </c>
      <c r="AG80" s="378">
        <v>499408.59</v>
      </c>
      <c r="AH80" s="852" t="s">
        <v>1818</v>
      </c>
      <c r="AI80" s="704"/>
      <c r="AJ80" s="704"/>
      <c r="AK80" s="704"/>
      <c r="AL80" s="1059" t="s">
        <v>1648</v>
      </c>
      <c r="AM80" s="704"/>
      <c r="AN80" s="704"/>
      <c r="AO80" s="704"/>
      <c r="AP80" s="704"/>
      <c r="AQ80" s="704"/>
    </row>
    <row s="4528" customFormat="1" customHeight="1" ht="34.171875">
      <c r="A81" s="704"/>
      <c r="B81" s="433"/>
      <c r="C81" s="704"/>
      <c r="D81" s="704"/>
      <c r="E81" s="697">
        <v>15</v>
      </c>
      <c r="F81" s="50" cm="1" t="str">
        <f t="array" ref="F81:F81">OFFSET(E81,-1,1)</f>
        <v>1</v>
      </c>
      <c r="G81" s="143"/>
      <c r="H81" s="143"/>
      <c r="I81" s="428" t="s">
        <v>570</v>
      </c>
      <c r="J81" s="704"/>
      <c r="K81" s="500"/>
      <c r="L81" s="500"/>
      <c r="M81" s="500"/>
      <c r="N81" s="704"/>
      <c r="O81" s="704"/>
      <c r="P81" s="704"/>
      <c r="Q81" s="704"/>
      <c r="R81" s="704"/>
      <c r="S81" s="704"/>
      <c r="T81" s="468" cm="1" t="str">
        <f t="array" ref="T81:T81">T80</f>
        <v>true</v>
      </c>
      <c r="U81" s="704"/>
      <c r="V81" s="704"/>
      <c r="W81" s="704"/>
      <c r="X81" s="1539"/>
      <c r="Y81" s="704"/>
      <c r="Z81" s="1529"/>
      <c r="AA81" s="704"/>
      <c r="AB81" s="214" t="s">
        <v>299</v>
      </c>
      <c r="AC81" s="208" t="s">
        <v>1649</v>
      </c>
      <c r="AD81" s="207" t="s">
        <v>1650</v>
      </c>
      <c r="AE81" s="230" t="s">
        <v>936</v>
      </c>
      <c r="AF81" s="851">
        <f>AF82+AF83+AF95+AF99+AF100+AF101+AF102+AF106+AF107+AF108+AF109+AF112+AF113</f>
        <v>558568.47442</v>
      </c>
      <c r="AG81" s="851">
        <f>AG82+AG83+AG95+AG99+AG100+AG101+AG102+AG106+AG107+AG108+AG109+AG112+AG113</f>
        <v>528263.79002</v>
      </c>
      <c r="AH81" s="852" t="s">
        <v>1819</v>
      </c>
      <c r="AI81" s="704"/>
      <c r="AJ81" s="704"/>
      <c r="AK81" s="704"/>
      <c r="AL81" s="1059" t="s">
        <v>1651</v>
      </c>
      <c r="AM81" s="704"/>
      <c r="AN81" s="704"/>
      <c r="AO81" s="704"/>
      <c r="AP81" s="704"/>
      <c r="AQ81" s="704"/>
    </row>
    <row s="1656" customFormat="1" customHeight="1" ht="81.421875">
      <c r="A82" s="1331"/>
      <c r="B82" s="1223"/>
      <c r="C82" s="1331"/>
      <c r="D82" s="1331"/>
      <c r="E82" s="623">
        <v>22.5</v>
      </c>
      <c r="F82" s="50" cm="1" t="str">
        <f t="array" ref="F82:F82">OFFSET(E82,-1,1)</f>
        <v>1</v>
      </c>
      <c r="G82" s="428" t="s">
        <v>1652</v>
      </c>
      <c r="H82" s="81"/>
      <c r="I82" s="428" t="s">
        <v>1550</v>
      </c>
      <c r="J82" s="1331"/>
      <c r="K82" s="120"/>
      <c r="L82" s="120"/>
      <c r="M82" s="120"/>
      <c r="N82" s="1331"/>
      <c r="O82" s="1331"/>
      <c r="P82" s="1331"/>
      <c r="Q82" s="1331"/>
      <c r="R82" s="1331"/>
      <c r="S82" s="1441"/>
      <c r="T82" s="468" cm="1" t="str">
        <f t="array" ref="T82:T82">T81</f>
        <v>true</v>
      </c>
      <c r="U82" s="1331"/>
      <c r="V82" s="1331"/>
      <c r="W82" s="1331"/>
      <c r="X82" s="1539"/>
      <c r="Y82" s="1331"/>
      <c r="Z82" s="1529"/>
      <c r="AA82" s="1331"/>
      <c r="AB82" s="295" t="s">
        <v>660</v>
      </c>
      <c r="AC82" s="769" t="s">
        <v>1653</v>
      </c>
      <c r="AD82" s="296" t="s">
        <v>1654</v>
      </c>
      <c r="AE82" s="773" t="s">
        <v>936</v>
      </c>
      <c r="AF82" s="294">
        <v>305037.88</v>
      </c>
      <c r="AG82" s="294">
        <v>305911.73</v>
      </c>
      <c r="AH82" s="853" t="s">
        <v>1820</v>
      </c>
      <c r="AI82" s="1331"/>
      <c r="AJ82" s="1331"/>
      <c r="AK82" s="1331"/>
      <c r="AL82" s="1005" t="s">
        <v>1655</v>
      </c>
      <c r="AM82" s="1331"/>
      <c r="AN82" s="1331"/>
      <c r="AO82" s="1331"/>
      <c r="AP82" s="1331"/>
      <c r="AQ82" s="1331"/>
    </row>
    <row s="1656" customFormat="1" customHeight="1" ht="21.75">
      <c r="A83" s="1331"/>
      <c r="B83" s="1223"/>
      <c r="C83" s="1331"/>
      <c r="D83" s="1331"/>
      <c r="E83" s="623">
        <v>22.5</v>
      </c>
      <c r="F83" s="50" cm="1" t="str">
        <f t="array" ref="F83:F83">OFFSET(E83,-1,1)</f>
        <v>1</v>
      </c>
      <c r="G83" s="428"/>
      <c r="H83" s="81"/>
      <c r="I83" s="428" t="s">
        <v>1553</v>
      </c>
      <c r="J83" s="1331"/>
      <c r="K83" s="120"/>
      <c r="L83" s="120"/>
      <c r="M83" s="120"/>
      <c r="N83" s="1331"/>
      <c r="O83" s="1331"/>
      <c r="P83" s="1331"/>
      <c r="Q83" s="1331"/>
      <c r="R83" s="1331"/>
      <c r="S83" s="1441"/>
      <c r="T83" s="468" cm="1" t="str">
        <f t="array" ref="T83:T83">T82</f>
        <v>true</v>
      </c>
      <c r="U83" s="1331"/>
      <c r="V83" s="1331"/>
      <c r="W83" s="1331"/>
      <c r="X83" s="1539"/>
      <c r="Y83" s="1331"/>
      <c r="Z83" s="1529"/>
      <c r="AA83" s="1331"/>
      <c r="AB83" s="295" t="s">
        <v>664</v>
      </c>
      <c r="AC83" s="769" t="s">
        <v>1656</v>
      </c>
      <c r="AD83" s="296" t="s">
        <v>1657</v>
      </c>
      <c r="AE83" s="773" t="s">
        <v>936</v>
      </c>
      <c r="AF83" s="941">
        <f>SUM(AF84:AF94)</f>
        <v>68945.843</v>
      </c>
      <c r="AG83" s="941">
        <f>SUM(AG84:AG94)</f>
        <v>68945.843</v>
      </c>
      <c r="AH83" s="853"/>
      <c r="AI83" s="1331"/>
      <c r="AJ83" s="1331"/>
      <c r="AK83" s="1331"/>
      <c r="AL83" s="1005" t="s">
        <v>1658</v>
      </c>
      <c r="AM83" s="1331"/>
      <c r="AN83" s="1331"/>
      <c r="AO83" s="1331"/>
      <c r="AP83" s="1331"/>
      <c r="AQ83" s="1331"/>
    </row>
    <row s="1656" customFormat="1" customHeight="1" ht="37.921875">
      <c r="A84" s="1331"/>
      <c r="B84" s="1223"/>
      <c r="C84" s="1331"/>
      <c r="D84" s="1331"/>
      <c r="E84" s="623">
        <v>22.5</v>
      </c>
      <c r="F84" s="50" cm="1" t="str">
        <f t="array" ref="F84:F84">OFFSET(E84,-1,1)</f>
        <v>1</v>
      </c>
      <c r="G84" s="428"/>
      <c r="H84" s="81"/>
      <c r="I84" s="428" t="s">
        <v>1659</v>
      </c>
      <c r="J84" s="1331"/>
      <c r="K84" s="120"/>
      <c r="L84" s="120"/>
      <c r="M84" s="120"/>
      <c r="N84" s="1331"/>
      <c r="O84" s="1331"/>
      <c r="P84" s="1331"/>
      <c r="Q84" s="1331"/>
      <c r="R84" s="1331"/>
      <c r="S84" s="1441"/>
      <c r="T84" s="468" cm="1" t="str">
        <f t="array" ref="T84:T84">T83</f>
        <v>true</v>
      </c>
      <c r="U84" s="1331"/>
      <c r="V84" s="1331"/>
      <c r="W84" s="1331"/>
      <c r="X84" s="1539"/>
      <c r="Y84" s="1331"/>
      <c r="Z84" s="1529"/>
      <c r="AA84" s="1331"/>
      <c r="AB84" s="791" t="s">
        <v>598</v>
      </c>
      <c r="AC84" s="788" t="s">
        <v>1660</v>
      </c>
      <c r="AD84" s="773"/>
      <c r="AE84" s="773" t="s">
        <v>936</v>
      </c>
      <c r="AF84" s="294">
        <f>5810.807+20.887+29.839+0.01</f>
        <v>5861.543</v>
      </c>
      <c r="AG84" s="294">
        <f>5810.807+20.887+29.839+0.01</f>
        <v>5861.543</v>
      </c>
      <c r="AH84" s="853" t="s">
        <v>1821</v>
      </c>
      <c r="AI84" s="1331"/>
      <c r="AJ84" s="1331"/>
      <c r="AK84" s="1331"/>
      <c r="AL84" s="1005" t="s">
        <v>1661</v>
      </c>
      <c r="AM84" s="1331"/>
      <c r="AN84" s="1331"/>
      <c r="AO84" s="1331"/>
      <c r="AP84" s="1331"/>
      <c r="AQ84" s="1331"/>
    </row>
    <row s="1656" customFormat="1" customHeight="1" ht="14.625">
      <c r="A85" s="1331"/>
      <c r="B85" s="1223"/>
      <c r="C85" s="1331"/>
      <c r="D85" s="1331"/>
      <c r="E85" s="623">
        <v>15</v>
      </c>
      <c r="F85" s="50" cm="1" t="str">
        <f t="array" ref="F85:F85">OFFSET(E85,-1,1)</f>
        <v>1</v>
      </c>
      <c r="G85" s="428"/>
      <c r="H85" s="81"/>
      <c r="I85" s="428" t="s">
        <v>1662</v>
      </c>
      <c r="J85" s="1331"/>
      <c r="K85" s="120"/>
      <c r="L85" s="120"/>
      <c r="M85" s="120"/>
      <c r="N85" s="1331"/>
      <c r="O85" s="1331"/>
      <c r="P85" s="1331"/>
      <c r="Q85" s="1331"/>
      <c r="R85" s="1331"/>
      <c r="S85" s="1441"/>
      <c r="T85" s="468" cm="1" t="str">
        <f t="array" ref="T85:T85">T84</f>
        <v>true</v>
      </c>
      <c r="U85" s="1331"/>
      <c r="V85" s="1331"/>
      <c r="W85" s="1331"/>
      <c r="X85" s="1539"/>
      <c r="Y85" s="1331"/>
      <c r="Z85" s="1529"/>
      <c r="AA85" s="1331"/>
      <c r="AB85" s="791" t="s">
        <v>1663</v>
      </c>
      <c r="AC85" s="788" t="s">
        <v>1664</v>
      </c>
      <c r="AD85" s="773"/>
      <c r="AE85" s="773" t="s">
        <v>936</v>
      </c>
      <c r="AF85" s="294">
        <v>0</v>
      </c>
      <c r="AG85" s="294">
        <f>_xlfn.SUMIFS('Сырье и материалы'!AG$25:AG$112,'Сырье и материалы'!$F$25:$F$112,$F85,'Сырье и материалы'!$AC$25:$AC$112,"Всего по тарифу")</f>
        <v>0</v>
      </c>
      <c r="AH85" s="853"/>
      <c r="AI85" s="1331"/>
      <c r="AJ85" s="1331"/>
      <c r="AK85" s="1331"/>
      <c r="AL85" s="1005" t="s">
        <v>1665</v>
      </c>
      <c r="AM85" s="1331"/>
      <c r="AN85" s="1331"/>
      <c r="AO85" s="1331"/>
      <c r="AP85" s="1331"/>
      <c r="AQ85" s="1331"/>
    </row>
    <row s="1656" customFormat="1" customHeight="1" ht="35.671875">
      <c r="A86" s="1331"/>
      <c r="B86" s="1223"/>
      <c r="C86" s="1331"/>
      <c r="D86" s="1331"/>
      <c r="E86" s="623">
        <v>15</v>
      </c>
      <c r="F86" s="50" cm="1" t="str">
        <f t="array" ref="F86:F86">OFFSET(E86,-1,1)</f>
        <v>1</v>
      </c>
      <c r="G86" s="428"/>
      <c r="H86" s="81"/>
      <c r="I86" s="428" t="s">
        <v>1666</v>
      </c>
      <c r="J86" s="1331"/>
      <c r="K86" s="120"/>
      <c r="L86" s="120"/>
      <c r="M86" s="120"/>
      <c r="N86" s="1331"/>
      <c r="O86" s="1331"/>
      <c r="P86" s="1331"/>
      <c r="Q86" s="1331"/>
      <c r="R86" s="1331"/>
      <c r="S86" s="1441"/>
      <c r="T86" s="468" cm="1" t="str">
        <f t="array" ref="T86:T86">T85</f>
        <v>true</v>
      </c>
      <c r="U86" s="1331"/>
      <c r="V86" s="1331"/>
      <c r="W86" s="1331"/>
      <c r="X86" s="1539"/>
      <c r="Y86" s="1331"/>
      <c r="Z86" s="1529"/>
      <c r="AA86" s="1331"/>
      <c r="AB86" s="791" t="s">
        <v>1667</v>
      </c>
      <c r="AC86" s="788" t="s">
        <v>1668</v>
      </c>
      <c r="AD86" s="773"/>
      <c r="AE86" s="773" t="s">
        <v>936</v>
      </c>
      <c r="AF86" s="294">
        <v>25973.69</v>
      </c>
      <c r="AG86" s="294">
        <v>25973.69</v>
      </c>
      <c r="AH86" s="853" t="s">
        <v>1822</v>
      </c>
      <c r="AI86" s="1331"/>
      <c r="AJ86" s="1331"/>
      <c r="AK86" s="1331"/>
      <c r="AL86" s="1005" t="s">
        <v>1669</v>
      </c>
      <c r="AM86" s="1331"/>
      <c r="AN86" s="1331"/>
      <c r="AO86" s="1331"/>
      <c r="AP86" s="1331"/>
      <c r="AQ86" s="1331"/>
    </row>
    <row s="1656" customFormat="1" customHeight="1" ht="65.8125">
      <c r="A87" s="1331"/>
      <c r="B87" s="1223"/>
      <c r="C87" s="1331"/>
      <c r="D87" s="1331"/>
      <c r="E87" s="623">
        <v>67.5</v>
      </c>
      <c r="F87" s="50" cm="1" t="str">
        <f t="array" ref="F87:F87">OFFSET(E87,-1,1)</f>
        <v>1</v>
      </c>
      <c r="G87" s="103" t="s">
        <v>1670</v>
      </c>
      <c r="H87" s="81"/>
      <c r="I87" s="496" t="s">
        <v>1671</v>
      </c>
      <c r="J87" s="1331"/>
      <c r="K87" s="120"/>
      <c r="L87" s="120"/>
      <c r="M87" s="120"/>
      <c r="N87" s="1331"/>
      <c r="O87" s="1331"/>
      <c r="P87" s="1331"/>
      <c r="Q87" s="1331"/>
      <c r="R87" s="1331"/>
      <c r="S87" s="1441"/>
      <c r="T87" s="468" cm="1" t="str">
        <f t="array" ref="T87:T87">T86</f>
        <v>true</v>
      </c>
      <c r="U87" s="1331"/>
      <c r="V87" s="1331"/>
      <c r="W87" s="1331"/>
      <c r="X87" s="1539"/>
      <c r="Y87" s="1331"/>
      <c r="Z87" s="1529"/>
      <c r="AA87" s="1331"/>
      <c r="AB87" s="791" t="s">
        <v>1672</v>
      </c>
      <c r="AC87" s="788" t="s">
        <v>1673</v>
      </c>
      <c r="AD87" s="773"/>
      <c r="AE87" s="773" t="s">
        <v>936</v>
      </c>
      <c r="AF87" s="294">
        <v>0</v>
      </c>
      <c r="AG87" s="294">
        <f>IF(AND(method_reg="Метод индексации",first_year=god),_xlfn.SUMIFS('Калькуляция (МИ)'!$AG$25:$AG$603,'Калькуляция (МИ)'!$F$25:$F$603,$F87,'Калькуляция (МИ)'!$G$25:$G$603,$G87),_xlfn.SUMIFS('Калькуляция (МИ корр)'!$AG$25:$AG$606,'Калькуляция (МИ корр)'!$F$25:$F$606,$F87,'Калькуляция (МИ корр)'!$G$25:$G$606,$G87))</f>
        <v>0</v>
      </c>
      <c r="AH87" s="853"/>
      <c r="AI87" s="1331"/>
      <c r="AJ87" s="1331"/>
      <c r="AK87" s="1331"/>
      <c r="AL87" s="1005" t="s">
        <v>1674</v>
      </c>
      <c r="AM87" s="1331"/>
      <c r="AN87" s="1331"/>
      <c r="AO87" s="1331"/>
      <c r="AP87" s="1331"/>
      <c r="AQ87" s="1331"/>
    </row>
    <row s="1656" customFormat="1" customHeight="1" ht="31.171875">
      <c r="A88" s="1331"/>
      <c r="B88" s="1223"/>
      <c r="C88" s="1331"/>
      <c r="D88" s="1331"/>
      <c r="E88" s="623">
        <v>15</v>
      </c>
      <c r="F88" s="50" cm="1" t="str">
        <f t="array" ref="F88:F88">OFFSET(E88,-1,1)</f>
        <v>1</v>
      </c>
      <c r="G88" s="103" t="s">
        <v>1192</v>
      </c>
      <c r="H88" s="81"/>
      <c r="I88" s="496" t="s">
        <v>1675</v>
      </c>
      <c r="J88" s="1331"/>
      <c r="K88" s="120"/>
      <c r="L88" s="120"/>
      <c r="M88" s="120"/>
      <c r="N88" s="1331"/>
      <c r="O88" s="1331"/>
      <c r="P88" s="1331"/>
      <c r="Q88" s="1331"/>
      <c r="R88" s="1331"/>
      <c r="S88" s="1441"/>
      <c r="T88" s="468" cm="1" t="str">
        <f t="array" ref="T88:T88">T87</f>
        <v>true</v>
      </c>
      <c r="U88" s="1331"/>
      <c r="V88" s="1331"/>
      <c r="W88" s="1331"/>
      <c r="X88" s="1539"/>
      <c r="Y88" s="1331"/>
      <c r="Z88" s="1529"/>
      <c r="AA88" s="1331"/>
      <c r="AB88" s="791" t="s">
        <v>1676</v>
      </c>
      <c r="AC88" s="788" t="s">
        <v>1677</v>
      </c>
      <c r="AD88" s="773"/>
      <c r="AE88" s="773" t="s">
        <v>936</v>
      </c>
      <c r="AF88" s="294">
        <v>729.95</v>
      </c>
      <c r="AG88" s="294">
        <v>729.95</v>
      </c>
      <c r="AH88" s="853" t="s">
        <v>1823</v>
      </c>
      <c r="AI88" s="1331"/>
      <c r="AJ88" s="1331"/>
      <c r="AK88" s="1331"/>
      <c r="AL88" s="1005" t="s">
        <v>1678</v>
      </c>
      <c r="AM88" s="1331"/>
      <c r="AN88" s="1331"/>
      <c r="AO88" s="1331"/>
      <c r="AP88" s="1331"/>
      <c r="AQ88" s="1331"/>
    </row>
    <row s="1656" customFormat="1" customHeight="1" ht="33.421875">
      <c r="A89" s="1331"/>
      <c r="B89" s="1223"/>
      <c r="C89" s="1331"/>
      <c r="D89" s="1331"/>
      <c r="E89" s="623">
        <v>15</v>
      </c>
      <c r="F89" s="50" cm="1" t="str">
        <f t="array" ref="F89:F89">OFFSET(E89,-1,1)</f>
        <v>1</v>
      </c>
      <c r="G89" s="103" t="s">
        <v>1679</v>
      </c>
      <c r="H89" s="81"/>
      <c r="I89" s="496" t="s">
        <v>1680</v>
      </c>
      <c r="J89" s="1331"/>
      <c r="K89" s="120"/>
      <c r="L89" s="120"/>
      <c r="M89" s="120"/>
      <c r="N89" s="1331"/>
      <c r="O89" s="1331"/>
      <c r="P89" s="1331"/>
      <c r="Q89" s="1331"/>
      <c r="R89" s="1331"/>
      <c r="S89" s="1441"/>
      <c r="T89" s="468" cm="1" t="str">
        <f t="array" ref="T89:T89">T88</f>
        <v>true</v>
      </c>
      <c r="U89" s="1331"/>
      <c r="V89" s="1331"/>
      <c r="W89" s="1331"/>
      <c r="X89" s="1539"/>
      <c r="Y89" s="1331"/>
      <c r="Z89" s="1529"/>
      <c r="AA89" s="1331"/>
      <c r="AB89" s="791" t="s">
        <v>1681</v>
      </c>
      <c r="AC89" s="788" t="s">
        <v>1682</v>
      </c>
      <c r="AD89" s="773"/>
      <c r="AE89" s="773" t="s">
        <v>936</v>
      </c>
      <c r="AF89" s="294">
        <v>286.08</v>
      </c>
      <c r="AG89" s="294">
        <v>286.08</v>
      </c>
      <c r="AH89" s="853" t="s">
        <v>1824</v>
      </c>
      <c r="AI89" s="1331"/>
      <c r="AJ89" s="1331"/>
      <c r="AK89" s="1331"/>
      <c r="AL89" s="1005" t="s">
        <v>1683</v>
      </c>
      <c r="AM89" s="1331"/>
      <c r="AN89" s="1331"/>
      <c r="AO89" s="1331"/>
      <c r="AP89" s="1331"/>
      <c r="AQ89" s="1331"/>
    </row>
    <row s="1656" customFormat="1" customHeight="1" ht="29.671875">
      <c r="A90" s="1331"/>
      <c r="B90" s="1223"/>
      <c r="C90" s="1331"/>
      <c r="D90" s="1331"/>
      <c r="E90" s="623">
        <v>22.5</v>
      </c>
      <c r="F90" s="50" cm="1" t="str">
        <f t="array" ref="F90:F90">OFFSET(E90,-1,1)</f>
        <v>1</v>
      </c>
      <c r="G90" s="103" t="s">
        <v>1684</v>
      </c>
      <c r="H90" s="81"/>
      <c r="I90" s="496" t="s">
        <v>1685</v>
      </c>
      <c r="J90" s="1331"/>
      <c r="K90" s="120"/>
      <c r="L90" s="120"/>
      <c r="M90" s="120"/>
      <c r="N90" s="1331"/>
      <c r="O90" s="1331"/>
      <c r="P90" s="1331"/>
      <c r="Q90" s="1331"/>
      <c r="R90" s="1331"/>
      <c r="S90" s="1441"/>
      <c r="T90" s="468" cm="1" t="str">
        <f t="array" ref="T90:T90">T89</f>
        <v>true</v>
      </c>
      <c r="U90" s="1331"/>
      <c r="V90" s="1331"/>
      <c r="W90" s="1331"/>
      <c r="X90" s="1539"/>
      <c r="Y90" s="1331"/>
      <c r="Z90" s="1529"/>
      <c r="AA90" s="1331"/>
      <c r="AB90" s="791" t="s">
        <v>1686</v>
      </c>
      <c r="AC90" s="788" t="s">
        <v>1687</v>
      </c>
      <c r="AD90" s="773"/>
      <c r="AE90" s="773" t="s">
        <v>936</v>
      </c>
      <c r="AF90" s="294">
        <v>0</v>
      </c>
      <c r="AG90" s="294">
        <f>IF(AND(method_reg="Метод индексации",first_year=god),_xlfn.SUMIFS('Калькуляция (МИ)'!$AG$25:$AG$603,'Калькуляция (МИ)'!$F$25:$F$603,$F90,'Калькуляция (МИ)'!$G$25:$G$603,$G90),_xlfn.SUMIFS('Калькуляция (МИ корр)'!$AG$25:$AG$606,'Калькуляция (МИ корр)'!$F$25:$F$606,$F90,'Калькуляция (МИ корр)'!$G$25:$G$606,$G90))</f>
        <v>0</v>
      </c>
      <c r="AH90" s="853"/>
      <c r="AI90" s="1331"/>
      <c r="AJ90" s="1331"/>
      <c r="AK90" s="1331"/>
      <c r="AL90" s="1005" t="s">
        <v>1688</v>
      </c>
      <c r="AM90" s="1331"/>
      <c r="AN90" s="1331"/>
      <c r="AO90" s="1331"/>
      <c r="AP90" s="1331"/>
      <c r="AQ90" s="1331"/>
    </row>
    <row s="1656" customFormat="1" customHeight="1" ht="34.171875">
      <c r="A91" s="1331"/>
      <c r="B91" s="1223"/>
      <c r="C91" s="1331"/>
      <c r="D91" s="1331"/>
      <c r="E91" s="623">
        <v>22.5</v>
      </c>
      <c r="F91" s="50" cm="1" t="str">
        <f t="array" ref="F91:F91">OFFSET(E91,-1,1)</f>
        <v>1</v>
      </c>
      <c r="G91" s="103" t="s">
        <v>1689</v>
      </c>
      <c r="H91" s="81"/>
      <c r="I91" s="496" t="s">
        <v>1690</v>
      </c>
      <c r="J91" s="1331"/>
      <c r="K91" s="120"/>
      <c r="L91" s="120"/>
      <c r="M91" s="120"/>
      <c r="N91" s="1331"/>
      <c r="O91" s="1331"/>
      <c r="P91" s="1331"/>
      <c r="Q91" s="1331"/>
      <c r="R91" s="1331"/>
      <c r="S91" s="1441"/>
      <c r="T91" s="468" cm="1" t="str">
        <f t="array" ref="T91:T91">T90</f>
        <v>true</v>
      </c>
      <c r="U91" s="1331"/>
      <c r="V91" s="1331"/>
      <c r="W91" s="1331"/>
      <c r="X91" s="1539"/>
      <c r="Y91" s="1331"/>
      <c r="Z91" s="1529"/>
      <c r="AA91" s="1331"/>
      <c r="AB91" s="791" t="s">
        <v>1691</v>
      </c>
      <c r="AC91" s="788" t="s">
        <v>1692</v>
      </c>
      <c r="AD91" s="942"/>
      <c r="AE91" s="773" t="s">
        <v>936</v>
      </c>
      <c r="AF91" s="294">
        <v>0</v>
      </c>
      <c r="AG91" s="294">
        <f>IF(AND(method_reg="Метод индексации",first_year=god),_xlfn.SUMIFS('Калькуляция (МИ)'!$AG$25:$AG$603,'Калькуляция (МИ)'!$F$25:$F$603,$F91,'Калькуляция (МИ)'!$G$25:$G$603,$G91),_xlfn.SUMIFS('Калькуляция (МИ корр)'!$AG$25:$AG$606,'Калькуляция (МИ корр)'!$F$25:$F$606,$F91,'Калькуляция (МИ корр)'!$G$25:$G$606,$G91))</f>
        <v>0</v>
      </c>
      <c r="AH91" s="853"/>
      <c r="AI91" s="1331"/>
      <c r="AJ91" s="1331"/>
      <c r="AK91" s="1331"/>
      <c r="AL91" s="1005" t="s">
        <v>1693</v>
      </c>
      <c r="AM91" s="1331"/>
      <c r="AN91" s="1331"/>
      <c r="AO91" s="1331"/>
      <c r="AP91" s="1331"/>
      <c r="AQ91" s="1331"/>
    </row>
    <row s="1656" customFormat="1" customHeight="1" ht="39.421875">
      <c r="A92" s="1331"/>
      <c r="B92" s="1223"/>
      <c r="C92" s="1331"/>
      <c r="D92" s="1331"/>
      <c r="E92" s="623">
        <v>22.5</v>
      </c>
      <c r="F92" s="50" cm="1" t="str">
        <f t="array" ref="F92:F92">OFFSET(E92,-1,1)</f>
        <v>1</v>
      </c>
      <c r="G92" s="103" t="s">
        <v>1694</v>
      </c>
      <c r="H92" s="81"/>
      <c r="I92" s="496" t="s">
        <v>1695</v>
      </c>
      <c r="J92" s="1331"/>
      <c r="K92" s="120"/>
      <c r="L92" s="120"/>
      <c r="M92" s="120"/>
      <c r="N92" s="1331"/>
      <c r="O92" s="1331"/>
      <c r="P92" s="1331"/>
      <c r="Q92" s="1331"/>
      <c r="R92" s="1331"/>
      <c r="S92" s="1441"/>
      <c r="T92" s="468" cm="1" t="str">
        <f t="array" ref="T92:T92">T91</f>
        <v>true</v>
      </c>
      <c r="U92" s="1331"/>
      <c r="V92" s="1331"/>
      <c r="W92" s="1331"/>
      <c r="X92" s="1539"/>
      <c r="Y92" s="1331"/>
      <c r="Z92" s="1529"/>
      <c r="AA92" s="1331"/>
      <c r="AB92" s="791" t="s">
        <v>1696</v>
      </c>
      <c r="AC92" s="788" t="s">
        <v>1697</v>
      </c>
      <c r="AD92" s="942"/>
      <c r="AE92" s="773" t="s">
        <v>936</v>
      </c>
      <c r="AF92" s="294">
        <f>34747.15+306.93</f>
        <v>35054.08</v>
      </c>
      <c r="AG92" s="294">
        <f>34747.15+306.93</f>
        <v>35054.08</v>
      </c>
      <c r="AH92" s="853" t="s">
        <v>1825</v>
      </c>
      <c r="AI92" s="1331"/>
      <c r="AJ92" s="1331"/>
      <c r="AK92" s="1331"/>
      <c r="AL92" s="1005" t="s">
        <v>1698</v>
      </c>
      <c r="AM92" s="1331"/>
      <c r="AN92" s="1331"/>
      <c r="AO92" s="1331"/>
      <c r="AP92" s="1331"/>
      <c r="AQ92" s="1331"/>
    </row>
    <row s="1656" customFormat="1" customHeight="1" ht="58.921875">
      <c r="A93" s="1331"/>
      <c r="B93" s="1223"/>
      <c r="C93" s="1331"/>
      <c r="D93" s="1331"/>
      <c r="E93" s="623">
        <v>15</v>
      </c>
      <c r="F93" s="50" cm="1" t="str">
        <f t="array" ref="F93:F93">OFFSET(E93,-1,1)</f>
        <v>1</v>
      </c>
      <c r="G93" s="103" t="s">
        <v>1699</v>
      </c>
      <c r="H93" s="81"/>
      <c r="I93" s="496" t="s">
        <v>1700</v>
      </c>
      <c r="J93" s="1331"/>
      <c r="K93" s="120"/>
      <c r="L93" s="120"/>
      <c r="M93" s="120"/>
      <c r="N93" s="1331"/>
      <c r="O93" s="1331"/>
      <c r="P93" s="1331"/>
      <c r="Q93" s="1331"/>
      <c r="R93" s="1331"/>
      <c r="S93" s="1441"/>
      <c r="T93" s="468" cm="1" t="str">
        <f t="array" ref="T93:T93">T92</f>
        <v>true</v>
      </c>
      <c r="U93" s="1331"/>
      <c r="V93" s="1331"/>
      <c r="W93" s="1331"/>
      <c r="X93" s="1539"/>
      <c r="Y93" s="1331"/>
      <c r="Z93" s="1529"/>
      <c r="AA93" s="1331"/>
      <c r="AB93" s="791" t="s">
        <v>1701</v>
      </c>
      <c r="AC93" s="788" t="s">
        <v>1702</v>
      </c>
      <c r="AD93" s="942"/>
      <c r="AE93" s="773" t="s">
        <v>936</v>
      </c>
      <c r="AF93" s="294">
        <v>1040.5</v>
      </c>
      <c r="AG93" s="294">
        <v>1040.5</v>
      </c>
      <c r="AH93" s="853" t="s">
        <v>1826</v>
      </c>
      <c r="AI93" s="1331"/>
      <c r="AJ93" s="1331"/>
      <c r="AK93" s="1331"/>
      <c r="AL93" s="1005" t="s">
        <v>1703</v>
      </c>
      <c r="AM93" s="1331"/>
      <c r="AN93" s="1331"/>
      <c r="AO93" s="1331"/>
      <c r="AP93" s="1331"/>
      <c r="AQ93" s="1331"/>
    </row>
    <row s="1656" customFormat="1" customHeight="1" ht="25.921875">
      <c r="A94" s="1331"/>
      <c r="B94" s="1223"/>
      <c r="C94" s="1331"/>
      <c r="D94" s="1331"/>
      <c r="E94" s="623">
        <v>22.5</v>
      </c>
      <c r="F94" s="50" cm="1" t="str">
        <f t="array" ref="F94:F94">OFFSET(E94,-1,1)</f>
        <v>1</v>
      </c>
      <c r="G94" s="103" t="s">
        <v>1704</v>
      </c>
      <c r="H94" s="81"/>
      <c r="I94" s="496" t="s">
        <v>1705</v>
      </c>
      <c r="J94" s="1331"/>
      <c r="K94" s="120"/>
      <c r="L94" s="120"/>
      <c r="M94" s="120"/>
      <c r="N94" s="1331"/>
      <c r="O94" s="1331"/>
      <c r="P94" s="1331"/>
      <c r="Q94" s="1331"/>
      <c r="R94" s="1331"/>
      <c r="S94" s="1441"/>
      <c r="T94" s="468" cm="1" t="str">
        <f t="array" ref="T94:T94">T93</f>
        <v>true</v>
      </c>
      <c r="U94" s="1331"/>
      <c r="V94" s="1331"/>
      <c r="W94" s="1331"/>
      <c r="X94" s="1539"/>
      <c r="Y94" s="1331"/>
      <c r="Z94" s="1529"/>
      <c r="AA94" s="1331"/>
      <c r="AB94" s="791" t="s">
        <v>1706</v>
      </c>
      <c r="AC94" s="788" t="s">
        <v>1707</v>
      </c>
      <c r="AD94" s="942"/>
      <c r="AE94" s="773" t="s">
        <v>936</v>
      </c>
      <c r="AF94" s="294">
        <v>0</v>
      </c>
      <c r="AG94" s="294">
        <f>IF(AND(method_reg="Метод индексации",first_year=god),_xlfn.SUMIFS('Калькуляция (МИ)'!$AG$25:$AG$603,'Калькуляция (МИ)'!$F$25:$F$603,$F94,'Калькуляция (МИ)'!$G$25:$G$603,$G94),_xlfn.SUMIFS('Калькуляция (МИ корр)'!$AG$25:$AG$606,'Калькуляция (МИ корр)'!$F$25:$F$606,$F94,'Калькуляция (МИ корр)'!$G$25:$G$606,$G94))</f>
        <v>0</v>
      </c>
      <c r="AH94" s="853"/>
      <c r="AI94" s="1331"/>
      <c r="AJ94" s="1331"/>
      <c r="AK94" s="1331"/>
      <c r="AL94" s="1005" t="s">
        <v>1708</v>
      </c>
      <c r="AM94" s="1331"/>
      <c r="AN94" s="1331"/>
      <c r="AO94" s="1331"/>
      <c r="AP94" s="1331"/>
      <c r="AQ94" s="1331"/>
    </row>
    <row s="1656" customFormat="1" customHeight="1" ht="30.421875">
      <c r="A95" s="1331"/>
      <c r="B95" s="1223"/>
      <c r="C95" s="1331"/>
      <c r="D95" s="1331"/>
      <c r="E95" s="623">
        <v>15</v>
      </c>
      <c r="F95" s="50" cm="1" t="str">
        <f t="array" ref="F95:F95">OFFSET(E95,-1,1)</f>
        <v>1</v>
      </c>
      <c r="G95" s="428"/>
      <c r="H95" s="81"/>
      <c r="I95" s="428" t="s">
        <v>1557</v>
      </c>
      <c r="J95" s="1331"/>
      <c r="K95" s="120"/>
      <c r="L95" s="120"/>
      <c r="M95" s="120"/>
      <c r="N95" s="1331"/>
      <c r="O95" s="1331"/>
      <c r="P95" s="1331"/>
      <c r="Q95" s="1331"/>
      <c r="R95" s="1331"/>
      <c r="S95" s="1441"/>
      <c r="T95" s="468" cm="1" t="str">
        <f t="array" ref="T95:T95">T94</f>
        <v>true</v>
      </c>
      <c r="U95" s="1331"/>
      <c r="V95" s="1331"/>
      <c r="W95" s="1331"/>
      <c r="X95" s="1539"/>
      <c r="Y95" s="1331"/>
      <c r="Z95" s="1529"/>
      <c r="AA95" s="1331"/>
      <c r="AB95" s="295" t="s">
        <v>668</v>
      </c>
      <c r="AC95" s="769" t="s">
        <v>1709</v>
      </c>
      <c r="AD95" s="296" t="s">
        <v>1710</v>
      </c>
      <c r="AE95" s="773" t="s">
        <v>936</v>
      </c>
      <c r="AF95" s="294">
        <v>169094.53</v>
      </c>
      <c r="AG95" s="294">
        <v>148569.62</v>
      </c>
      <c r="AH95" s="853" t="s">
        <v>1827</v>
      </c>
      <c r="AI95" s="1331"/>
      <c r="AJ95" s="1331"/>
      <c r="AK95" s="1331"/>
      <c r="AL95" s="1005" t="s">
        <v>1711</v>
      </c>
      <c r="AM95" s="1331"/>
      <c r="AN95" s="1331"/>
      <c r="AO95" s="1331"/>
      <c r="AP95" s="1331"/>
      <c r="AQ95" s="1331"/>
    </row>
    <row s="1656" customFormat="1" customHeight="1" ht="52.171875">
      <c r="A96" s="1331"/>
      <c r="B96" s="1223"/>
      <c r="C96" s="1331"/>
      <c r="D96" s="1331"/>
      <c r="E96" s="623">
        <v>22.5</v>
      </c>
      <c r="F96" s="50" cm="1" t="str">
        <f t="array" ref="F96:F96">OFFSET(E96,-1,1)</f>
        <v>1</v>
      </c>
      <c r="G96" s="428"/>
      <c r="H96" s="81"/>
      <c r="I96" s="428" t="s">
        <v>1712</v>
      </c>
      <c r="J96" s="1331"/>
      <c r="K96" s="120"/>
      <c r="L96" s="120"/>
      <c r="M96" s="120"/>
      <c r="N96" s="1331"/>
      <c r="O96" s="1331"/>
      <c r="P96" s="1331"/>
      <c r="Q96" s="1331"/>
      <c r="R96" s="1331"/>
      <c r="S96" s="1441"/>
      <c r="T96" s="468" cm="1" t="str">
        <f t="array" ref="T96:T96">T95</f>
        <v>true</v>
      </c>
      <c r="U96" s="1331"/>
      <c r="V96" s="1331"/>
      <c r="W96" s="1331"/>
      <c r="X96" s="1539"/>
      <c r="Y96" s="1331"/>
      <c r="Z96" s="1529"/>
      <c r="AA96" s="1331"/>
      <c r="AB96" s="295" t="s">
        <v>603</v>
      </c>
      <c r="AC96" s="772" t="s">
        <v>1713</v>
      </c>
      <c r="AD96" s="296" t="s">
        <v>1714</v>
      </c>
      <c r="AE96" s="773" t="s">
        <v>981</v>
      </c>
      <c r="AF96" s="294" cm="1" t="str">
        <f t="array" ref="AF96:AF96">ЭЭ!AF54</f>
        <v>1.78281710384477</v>
      </c>
      <c r="AG96" s="294" cm="1" t="str">
        <f t="array" ref="AG96:AG96">ЭЭ!AG54</f>
        <v>1.2869821877727</v>
      </c>
      <c r="AH96" s="853" t="s">
        <v>1828</v>
      </c>
      <c r="AI96" s="1331"/>
      <c r="AJ96" s="1331"/>
      <c r="AK96" s="1331"/>
      <c r="AL96" s="1005" t="s">
        <v>1715</v>
      </c>
      <c r="AM96" s="1331"/>
      <c r="AN96" s="1331"/>
      <c r="AO96" s="1331"/>
      <c r="AP96" s="1331"/>
      <c r="AQ96" s="1331"/>
    </row>
    <row s="1656" customFormat="1" customHeight="1" ht="58.921875">
      <c r="A97" s="1331"/>
      <c r="B97" s="1223"/>
      <c r="C97" s="1331"/>
      <c r="D97" s="1331"/>
      <c r="E97" s="623">
        <v>15</v>
      </c>
      <c r="F97" s="50" cm="1" t="str">
        <f t="array" ref="F97:F97">OFFSET(E97,-1,1)</f>
        <v>1</v>
      </c>
      <c r="G97" s="428"/>
      <c r="H97" s="81"/>
      <c r="I97" s="428" t="s">
        <v>1716</v>
      </c>
      <c r="J97" s="1331"/>
      <c r="K97" s="120"/>
      <c r="L97" s="120"/>
      <c r="M97" s="120"/>
      <c r="N97" s="1331"/>
      <c r="O97" s="1331"/>
      <c r="P97" s="1331"/>
      <c r="Q97" s="1331"/>
      <c r="R97" s="1331"/>
      <c r="S97" s="1441"/>
      <c r="T97" s="468" cm="1" t="str">
        <f t="array" ref="T97:T97">T96</f>
        <v>true</v>
      </c>
      <c r="U97" s="1331"/>
      <c r="V97" s="1331"/>
      <c r="W97" s="1331"/>
      <c r="X97" s="1539"/>
      <c r="Y97" s="1331"/>
      <c r="Z97" s="1529"/>
      <c r="AA97" s="1331"/>
      <c r="AB97" s="295" t="s">
        <v>1717</v>
      </c>
      <c r="AC97" s="772" t="s">
        <v>1718</v>
      </c>
      <c r="AD97" s="296" t="s">
        <v>1719</v>
      </c>
      <c r="AE97" s="773" t="s">
        <v>975</v>
      </c>
      <c r="AF97" s="294" cm="1" t="str">
        <f t="array" ref="AF97:AF97">ЭЭ!AF52</f>
        <v>19481</v>
      </c>
      <c r="AG97" s="294" cm="1" t="str">
        <f t="array" ref="AG97:AG97">ЭЭ!AG52</f>
        <v>19481</v>
      </c>
      <c r="AH97" s="853" t="s">
        <v>1016</v>
      </c>
      <c r="AI97" s="1331"/>
      <c r="AJ97" s="1331"/>
      <c r="AK97" s="1331"/>
      <c r="AL97" s="1005" t="s">
        <v>1720</v>
      </c>
      <c r="AM97" s="1331"/>
      <c r="AN97" s="1331"/>
      <c r="AO97" s="1331"/>
      <c r="AP97" s="1331"/>
      <c r="AQ97" s="1331"/>
    </row>
    <row s="1656" customFormat="1" customHeight="1" ht="23.25">
      <c r="A98" s="1331"/>
      <c r="B98" s="1223"/>
      <c r="C98" s="1331"/>
      <c r="D98" s="1331"/>
      <c r="E98" s="623">
        <v>22.5</v>
      </c>
      <c r="F98" s="50" cm="1" t="str">
        <f t="array" ref="F98:F98">OFFSET(E98,-1,1)</f>
        <v>1</v>
      </c>
      <c r="G98" s="428"/>
      <c r="H98" s="81"/>
      <c r="I98" s="428" t="s">
        <v>1721</v>
      </c>
      <c r="J98" s="1331"/>
      <c r="K98" s="120"/>
      <c r="L98" s="120"/>
      <c r="M98" s="120"/>
      <c r="N98" s="1331"/>
      <c r="O98" s="1331"/>
      <c r="P98" s="1331"/>
      <c r="Q98" s="1331"/>
      <c r="R98" s="1331"/>
      <c r="S98" s="1441"/>
      <c r="T98" s="468" cm="1" t="str">
        <f t="array" ref="T98:T98">T97</f>
        <v>true</v>
      </c>
      <c r="U98" s="1331"/>
      <c r="V98" s="1331"/>
      <c r="W98" s="1331"/>
      <c r="X98" s="1539"/>
      <c r="Y98" s="1331"/>
      <c r="Z98" s="1529"/>
      <c r="AA98" s="1331"/>
      <c r="AB98" s="295" t="s">
        <v>1722</v>
      </c>
      <c r="AC98" s="772" t="s">
        <v>1723</v>
      </c>
      <c r="AD98" s="296" t="s">
        <v>1724</v>
      </c>
      <c r="AE98" s="773" t="s">
        <v>978</v>
      </c>
      <c r="AF98" s="294" cm="1" t="str">
        <f t="array" ref="AF98:AF98">ЭЭ!AF53</f>
        <v>4.86868353571702</v>
      </c>
      <c r="AG98" s="294" cm="1" t="str">
        <f t="array" ref="AG98:AG98">ЭЭ!AG53</f>
        <v>5.92579003418197</v>
      </c>
      <c r="AH98" s="853" t="s">
        <v>1827</v>
      </c>
      <c r="AI98" s="1331"/>
      <c r="AJ98" s="1331"/>
      <c r="AK98" s="1331"/>
      <c r="AL98" s="1005" t="s">
        <v>1725</v>
      </c>
      <c r="AM98" s="1331"/>
      <c r="AN98" s="1331"/>
      <c r="AO98" s="1331"/>
      <c r="AP98" s="1331"/>
      <c r="AQ98" s="1331"/>
    </row>
    <row s="1656" customFormat="1" customHeight="1" ht="39.421875">
      <c r="A99" s="1331"/>
      <c r="B99" s="1223"/>
      <c r="C99" s="1331"/>
      <c r="D99" s="1331"/>
      <c r="E99" s="623">
        <v>22.5</v>
      </c>
      <c r="F99" s="50" cm="1" t="str">
        <f t="array" ref="F99:F99">OFFSET(E99,-1,1)</f>
        <v>1</v>
      </c>
      <c r="G99" s="428" t="s">
        <v>1726</v>
      </c>
      <c r="H99" s="81"/>
      <c r="I99" s="428" t="s">
        <v>1727</v>
      </c>
      <c r="J99" s="1331"/>
      <c r="K99" s="120"/>
      <c r="L99" s="120"/>
      <c r="M99" s="120"/>
      <c r="N99" s="1331"/>
      <c r="O99" s="1331"/>
      <c r="P99" s="1331"/>
      <c r="Q99" s="1331"/>
      <c r="R99" s="1331"/>
      <c r="S99" s="1441"/>
      <c r="T99" s="468" cm="1" t="str">
        <f t="array" ref="T99:T99">T98</f>
        <v>true</v>
      </c>
      <c r="U99" s="1331"/>
      <c r="V99" s="1331"/>
      <c r="W99" s="1331"/>
      <c r="X99" s="1539"/>
      <c r="Y99" s="1331"/>
      <c r="Z99" s="1529"/>
      <c r="AA99" s="1331"/>
      <c r="AB99" s="295" t="s">
        <v>1090</v>
      </c>
      <c r="AC99" s="769" t="s">
        <v>1728</v>
      </c>
      <c r="AD99" s="296" t="s">
        <v>1729</v>
      </c>
      <c r="AE99" s="773" t="s">
        <v>936</v>
      </c>
      <c r="AF99" s="294" cm="1" t="str">
        <f t="array" ref="AF99:AF99">Амортизация!AF113</f>
        <v>3645.56142</v>
      </c>
      <c r="AG99" s="294" cm="1" t="str">
        <f t="array" ref="AG99:AG99">Амортизация!AG113</f>
        <v>3947.46702</v>
      </c>
      <c r="AH99" s="853" t="s">
        <v>1829</v>
      </c>
      <c r="AI99" s="1331"/>
      <c r="AJ99" s="1331"/>
      <c r="AK99" s="1331"/>
      <c r="AL99" s="1005" t="s">
        <v>1435</v>
      </c>
      <c r="AM99" s="1331"/>
      <c r="AN99" s="1331"/>
      <c r="AO99" s="1331"/>
      <c r="AP99" s="1331"/>
      <c r="AQ99" s="1331"/>
    </row>
    <row s="1656" customFormat="1" customHeight="1" ht="54.421875">
      <c r="A100" s="1331"/>
      <c r="B100" s="1223"/>
      <c r="C100" s="1331"/>
      <c r="D100" s="1331"/>
      <c r="E100" s="623">
        <v>15</v>
      </c>
      <c r="F100" s="50" cm="1" t="str">
        <f t="array" ref="F100:F100">OFFSET(E100,-1,1)</f>
        <v>1</v>
      </c>
      <c r="G100" s="428" t="s">
        <v>1730</v>
      </c>
      <c r="H100" s="81"/>
      <c r="I100" s="428" t="s">
        <v>1731</v>
      </c>
      <c r="J100" s="1331"/>
      <c r="K100" s="120"/>
      <c r="L100" s="120"/>
      <c r="M100" s="120"/>
      <c r="N100" s="1331"/>
      <c r="O100" s="1331"/>
      <c r="P100" s="1331"/>
      <c r="Q100" s="1331"/>
      <c r="R100" s="1331"/>
      <c r="S100" s="1441"/>
      <c r="T100" s="468" cm="1" t="str">
        <f t="array" ref="T100:T100">T99</f>
        <v>true</v>
      </c>
      <c r="U100" s="1331"/>
      <c r="V100" s="1331"/>
      <c r="W100" s="1331"/>
      <c r="X100" s="1539"/>
      <c r="Y100" s="1331"/>
      <c r="Z100" s="1529"/>
      <c r="AA100" s="1331"/>
      <c r="AB100" s="295" t="s">
        <v>1093</v>
      </c>
      <c r="AC100" s="943" t="s">
        <v>1732</v>
      </c>
      <c r="AD100" s="296" t="s">
        <v>1733</v>
      </c>
      <c r="AE100" s="773" t="s">
        <v>936</v>
      </c>
      <c r="AF100" s="294">
        <v>49704.3</v>
      </c>
      <c r="AG100" s="294">
        <v>51866.63</v>
      </c>
      <c r="AH100" s="853" t="s">
        <v>1830</v>
      </c>
      <c r="AI100" s="1331"/>
      <c r="AJ100" s="1331"/>
      <c r="AK100" s="1331"/>
      <c r="AL100" s="1005" t="s">
        <v>1734</v>
      </c>
      <c r="AM100" s="1331"/>
      <c r="AN100" s="1331"/>
      <c r="AO100" s="1331"/>
      <c r="AP100" s="1331"/>
      <c r="AQ100" s="1331"/>
    </row>
    <row s="1656" customFormat="1" customHeight="1" ht="106.921875">
      <c r="A101" s="1331"/>
      <c r="B101" s="1223"/>
      <c r="C101" s="1331"/>
      <c r="D101" s="1331"/>
      <c r="E101" s="623">
        <v>15</v>
      </c>
      <c r="F101" s="50" cm="1" t="str">
        <f t="array" ref="F101:F101">OFFSET(E101,-1,1)</f>
        <v>1</v>
      </c>
      <c r="G101" s="103" t="s">
        <v>1735</v>
      </c>
      <c r="H101" s="81"/>
      <c r="I101" s="496" t="s">
        <v>1736</v>
      </c>
      <c r="J101" s="1331"/>
      <c r="K101" s="120"/>
      <c r="L101" s="120"/>
      <c r="M101" s="120"/>
      <c r="N101" s="1331"/>
      <c r="O101" s="1331"/>
      <c r="P101" s="1331"/>
      <c r="Q101" s="1331"/>
      <c r="R101" s="1331"/>
      <c r="S101" s="1441"/>
      <c r="T101" s="468" cm="1" t="str">
        <f t="array" ref="T101:T101">T100</f>
        <v>true</v>
      </c>
      <c r="U101" s="1331"/>
      <c r="V101" s="1331"/>
      <c r="W101" s="1331"/>
      <c r="X101" s="1539"/>
      <c r="Y101" s="1331"/>
      <c r="Z101" s="1529"/>
      <c r="AA101" s="1331"/>
      <c r="AB101" s="295" t="s">
        <v>1737</v>
      </c>
      <c r="AC101" s="769" t="s">
        <v>1738</v>
      </c>
      <c r="AD101" s="296" t="s">
        <v>1739</v>
      </c>
      <c r="AE101" s="773" t="s">
        <v>936</v>
      </c>
      <c r="AF101" s="294">
        <v>27014.28</v>
      </c>
      <c r="AG101" s="294">
        <v>18000</v>
      </c>
      <c r="AH101" s="853" t="s">
        <v>1831</v>
      </c>
      <c r="AI101" s="1331"/>
      <c r="AJ101" s="1331"/>
      <c r="AK101" s="1331"/>
      <c r="AL101" s="1005" t="s">
        <v>1740</v>
      </c>
      <c r="AM101" s="1331"/>
      <c r="AN101" s="1331"/>
      <c r="AO101" s="1331"/>
      <c r="AP101" s="1331"/>
      <c r="AQ101" s="1331"/>
    </row>
    <row s="1656" customFormat="1" customHeight="1" ht="23.25">
      <c r="A102" s="1331"/>
      <c r="B102" s="1223"/>
      <c r="C102" s="1331"/>
      <c r="D102" s="1331"/>
      <c r="E102" s="623">
        <v>22.5</v>
      </c>
      <c r="F102" s="50" cm="1" t="str">
        <f t="array" ref="F102:F102">OFFSET(E102,-1,1)</f>
        <v>1</v>
      </c>
      <c r="G102" s="103"/>
      <c r="H102" s="81"/>
      <c r="I102" s="428" t="s">
        <v>1741</v>
      </c>
      <c r="J102" s="1331"/>
      <c r="K102" s="120"/>
      <c r="L102" s="120"/>
      <c r="M102" s="120"/>
      <c r="N102" s="1331"/>
      <c r="O102" s="1331"/>
      <c r="P102" s="1331"/>
      <c r="Q102" s="1331"/>
      <c r="R102" s="1331"/>
      <c r="S102" s="1441"/>
      <c r="T102" s="468" cm="1" t="str">
        <f t="array" ref="T102:T102">T101</f>
        <v>true</v>
      </c>
      <c r="U102" s="1331"/>
      <c r="V102" s="1331"/>
      <c r="W102" s="1331"/>
      <c r="X102" s="1539"/>
      <c r="Y102" s="1331"/>
      <c r="Z102" s="1529"/>
      <c r="AA102" s="1331"/>
      <c r="AB102" s="295" t="s">
        <v>1742</v>
      </c>
      <c r="AC102" s="769" t="s">
        <v>1743</v>
      </c>
      <c r="AD102" s="296"/>
      <c r="AE102" s="773" t="s">
        <v>936</v>
      </c>
      <c r="AF102" s="294" cm="1" t="str">
        <f t="array" ref="AF102:AF102">AF104</f>
        <v>-5397.86</v>
      </c>
      <c r="AG102" s="294" cm="1" t="str">
        <f t="array" ref="AG102:AG102">AG104</f>
        <v>-5397.86</v>
      </c>
      <c r="AH102" s="853"/>
      <c r="AI102" s="1331"/>
      <c r="AJ102" s="1331"/>
      <c r="AK102" s="1331"/>
      <c r="AL102" s="1005" t="s">
        <v>1744</v>
      </c>
      <c r="AM102" s="1331"/>
      <c r="AN102" s="1331"/>
      <c r="AO102" s="1331"/>
      <c r="AP102" s="1331"/>
      <c r="AQ102" s="1331"/>
    </row>
    <row s="1656" customFormat="1" customHeight="1" ht="31.171875">
      <c r="A103" s="1331"/>
      <c r="B103" s="1223"/>
      <c r="C103" s="1331"/>
      <c r="D103" s="1331"/>
      <c r="E103" s="623">
        <v>22.5</v>
      </c>
      <c r="F103" s="50" cm="1" t="str">
        <f t="array" ref="F103:F103">OFFSET(E103,-1,1)</f>
        <v>1</v>
      </c>
      <c r="G103" s="428"/>
      <c r="H103" s="81"/>
      <c r="I103" s="428" t="s">
        <v>1745</v>
      </c>
      <c r="J103" s="1331"/>
      <c r="K103" s="120"/>
      <c r="L103" s="120"/>
      <c r="M103" s="120"/>
      <c r="N103" s="1331"/>
      <c r="O103" s="1331"/>
      <c r="P103" s="1331"/>
      <c r="Q103" s="1331"/>
      <c r="R103" s="1331"/>
      <c r="S103" s="1441"/>
      <c r="T103" s="468" cm="1" t="str">
        <f t="array" ref="T103:T103">T102</f>
        <v>true</v>
      </c>
      <c r="U103" s="1331"/>
      <c r="V103" s="1331"/>
      <c r="W103" s="1331"/>
      <c r="X103" s="1539"/>
      <c r="Y103" s="1331"/>
      <c r="Z103" s="1529"/>
      <c r="AA103" s="1331"/>
      <c r="AB103" s="295" t="s">
        <v>1746</v>
      </c>
      <c r="AC103" s="772" t="s">
        <v>1747</v>
      </c>
      <c r="AD103" s="296" t="s">
        <v>1748</v>
      </c>
      <c r="AE103" s="773" t="s">
        <v>936</v>
      </c>
      <c r="AF103" s="294"/>
      <c r="AG103" s="294"/>
      <c r="AH103" s="853"/>
      <c r="AI103" s="1331"/>
      <c r="AJ103" s="1331"/>
      <c r="AK103" s="1331"/>
      <c r="AL103" s="1005" t="s">
        <v>1749</v>
      </c>
      <c r="AM103" s="1331"/>
      <c r="AN103" s="1331"/>
      <c r="AO103" s="1331"/>
      <c r="AP103" s="1331"/>
      <c r="AQ103" s="1331"/>
    </row>
    <row s="1656" customFormat="1" customHeight="1" ht="61.171875">
      <c r="A104" s="1331"/>
      <c r="B104" s="1223"/>
      <c r="C104" s="1331"/>
      <c r="D104" s="1331"/>
      <c r="E104" s="623">
        <v>15</v>
      </c>
      <c r="F104" s="50" cm="1" t="str">
        <f t="array" ref="F104:F104">OFFSET(E104,-1,1)</f>
        <v>1</v>
      </c>
      <c r="G104" s="428"/>
      <c r="H104" s="81"/>
      <c r="I104" s="428" t="s">
        <v>1750</v>
      </c>
      <c r="J104" s="1331"/>
      <c r="K104" s="120"/>
      <c r="L104" s="120"/>
      <c r="M104" s="120"/>
      <c r="N104" s="1331"/>
      <c r="O104" s="1331"/>
      <c r="P104" s="1331"/>
      <c r="Q104" s="1331"/>
      <c r="R104" s="1331"/>
      <c r="S104" s="1441"/>
      <c r="T104" s="468" cm="1" t="str">
        <f t="array" ref="T104:T104">T103</f>
        <v>true</v>
      </c>
      <c r="U104" s="1331"/>
      <c r="V104" s="1331"/>
      <c r="W104" s="1331"/>
      <c r="X104" s="1539"/>
      <c r="Y104" s="1331"/>
      <c r="Z104" s="1529"/>
      <c r="AA104" s="1331"/>
      <c r="AB104" s="295" t="s">
        <v>1751</v>
      </c>
      <c r="AC104" s="772" t="s">
        <v>1752</v>
      </c>
      <c r="AD104" s="296" t="s">
        <v>1753</v>
      </c>
      <c r="AE104" s="773" t="s">
        <v>936</v>
      </c>
      <c r="AF104" s="294">
        <v>-5397.86</v>
      </c>
      <c r="AG104" s="294">
        <v>-5397.86</v>
      </c>
      <c r="AH104" s="853" t="s">
        <v>1832</v>
      </c>
      <c r="AI104" s="1331"/>
      <c r="AJ104" s="1331"/>
      <c r="AK104" s="1331"/>
      <c r="AL104" s="1005" t="s">
        <v>1754</v>
      </c>
      <c r="AM104" s="1331"/>
      <c r="AN104" s="1331"/>
      <c r="AO104" s="1331"/>
      <c r="AP104" s="1331"/>
      <c r="AQ104" s="1331"/>
    </row>
    <row s="1656" customFormat="1" customHeight="1" ht="44.25">
      <c r="A105" s="1331"/>
      <c r="B105" s="1223"/>
      <c r="C105" s="1331"/>
      <c r="D105" s="1331"/>
      <c r="E105" s="623">
        <v>45</v>
      </c>
      <c r="F105" s="50" cm="1" t="str">
        <f t="array" ref="F105:F105">OFFSET(E105,-1,1)</f>
        <v>1</v>
      </c>
      <c r="G105" s="428"/>
      <c r="H105" s="81"/>
      <c r="I105" s="428" t="s">
        <v>1755</v>
      </c>
      <c r="J105" s="1331"/>
      <c r="K105" s="120"/>
      <c r="L105" s="120"/>
      <c r="M105" s="120"/>
      <c r="N105" s="1331"/>
      <c r="O105" s="1331"/>
      <c r="P105" s="1331"/>
      <c r="Q105" s="1331"/>
      <c r="R105" s="1331"/>
      <c r="S105" s="1441"/>
      <c r="T105" s="468" cm="1" t="str">
        <f t="array" ref="T105:T105">T104</f>
        <v>true</v>
      </c>
      <c r="U105" s="1331"/>
      <c r="V105" s="1331"/>
      <c r="W105" s="1331"/>
      <c r="X105" s="1539"/>
      <c r="Y105" s="1331"/>
      <c r="Z105" s="1529"/>
      <c r="AA105" s="1331"/>
      <c r="AB105" s="295" t="s">
        <v>1756</v>
      </c>
      <c r="AC105" s="772" t="s">
        <v>1757</v>
      </c>
      <c r="AD105" s="773" t="s">
        <v>1758</v>
      </c>
      <c r="AE105" s="773" t="s">
        <v>936</v>
      </c>
      <c r="AF105" s="294"/>
      <c r="AG105" s="294"/>
      <c r="AH105" s="853"/>
      <c r="AI105" s="1331"/>
      <c r="AJ105" s="1331"/>
      <c r="AK105" s="1331"/>
      <c r="AL105" s="1005" t="s">
        <v>1759</v>
      </c>
      <c r="AM105" s="1331"/>
      <c r="AN105" s="1331"/>
      <c r="AO105" s="1331"/>
      <c r="AP105" s="1331"/>
      <c r="AQ105" s="1331"/>
    </row>
    <row s="1656" customFormat="1" customHeight="1" ht="33.75">
      <c r="A106" s="1331"/>
      <c r="B106" s="1223"/>
      <c r="C106" s="1331"/>
      <c r="D106" s="1331"/>
      <c r="E106" s="623">
        <v>22.5</v>
      </c>
      <c r="F106" s="50" cm="1" t="str">
        <f t="array" ref="F106:F106">OFFSET(E106,-1,1)</f>
        <v>1</v>
      </c>
      <c r="G106" s="428"/>
      <c r="H106" s="81"/>
      <c r="I106" s="428" t="s">
        <v>1760</v>
      </c>
      <c r="J106" s="1331"/>
      <c r="K106" s="120"/>
      <c r="L106" s="120"/>
      <c r="M106" s="120"/>
      <c r="N106" s="1331"/>
      <c r="O106" s="1331"/>
      <c r="P106" s="1331"/>
      <c r="Q106" s="1331"/>
      <c r="R106" s="1331"/>
      <c r="S106" s="1441"/>
      <c r="T106" s="468" cm="1" t="str">
        <f t="array" ref="T106:T106">T105</f>
        <v>true</v>
      </c>
      <c r="U106" s="1331"/>
      <c r="V106" s="1331"/>
      <c r="W106" s="1331"/>
      <c r="X106" s="1539"/>
      <c r="Y106" s="1331"/>
      <c r="Z106" s="1529"/>
      <c r="AA106" s="1331"/>
      <c r="AB106" s="295" t="s">
        <v>1761</v>
      </c>
      <c r="AC106" s="769" t="s">
        <v>1762</v>
      </c>
      <c r="AD106" s="773" t="s">
        <v>1763</v>
      </c>
      <c r="AE106" s="773" t="s">
        <v>936</v>
      </c>
      <c r="AF106" s="294">
        <v>-59476.06</v>
      </c>
      <c r="AG106" s="294">
        <v>-59476.06</v>
      </c>
      <c r="AH106" s="853" t="s">
        <v>1833</v>
      </c>
      <c r="AI106" s="1331"/>
      <c r="AJ106" s="1331"/>
      <c r="AK106" s="1331"/>
      <c r="AL106" s="1005" t="s">
        <v>1764</v>
      </c>
      <c r="AM106" s="1331"/>
      <c r="AN106" s="1331"/>
      <c r="AO106" s="1331"/>
      <c r="AP106" s="1331"/>
      <c r="AQ106" s="1331"/>
    </row>
    <row s="1656" customFormat="1" customHeight="1" ht="76.5" hidden="1">
      <c r="A107" s="1331"/>
      <c r="B107" s="430">
        <f>S78="Водоотведение"</f>
        <v>0</v>
      </c>
      <c r="C107" s="1331"/>
      <c r="D107" s="1331"/>
      <c r="E107" s="623">
        <v>78.75</v>
      </c>
      <c r="F107" s="50" cm="1" t="str">
        <f t="array" ref="F107:F107">OFFSET(E107,-1,1)</f>
        <v>1</v>
      </c>
      <c r="G107" s="428"/>
      <c r="H107" s="81"/>
      <c r="I107" s="428"/>
      <c r="J107" s="1331"/>
      <c r="K107" s="120"/>
      <c r="L107" s="120"/>
      <c r="M107" s="120"/>
      <c r="N107" s="1331"/>
      <c r="O107" s="1331"/>
      <c r="P107" s="1331"/>
      <c r="Q107" s="1331"/>
      <c r="R107" s="1331"/>
      <c r="S107" s="1441"/>
      <c r="T107" s="468" cm="1" t="str">
        <f t="array" ref="T107:T107">T106</f>
        <v>true</v>
      </c>
      <c r="U107" s="1331"/>
      <c r="V107" s="1331"/>
      <c r="W107" s="1331"/>
      <c r="X107" s="1539"/>
      <c r="Y107" s="1331"/>
      <c r="Z107" s="1529"/>
      <c r="AA107" s="1331"/>
      <c r="AB107" s="295" t="s">
        <v>1765</v>
      </c>
      <c r="AC107" s="769" t="s">
        <v>1766</v>
      </c>
      <c r="AD107" s="773"/>
      <c r="AE107" s="773" t="s">
        <v>936</v>
      </c>
      <c r="AF107" s="4146"/>
      <c r="AG107" s="4146"/>
      <c r="AH107" s="1823"/>
      <c r="AI107" s="1331"/>
      <c r="AJ107" s="1331"/>
      <c r="AK107" s="1331"/>
      <c r="AL107" s="1005" t="s">
        <v>1767</v>
      </c>
      <c r="AM107" s="1331"/>
      <c r="AN107" s="1331"/>
      <c r="AO107" s="1331"/>
      <c r="AP107" s="1331"/>
      <c r="AQ107" s="1331"/>
    </row>
    <row s="1656" customFormat="1" customHeight="1" ht="54.75" hidden="1">
      <c r="A108" s="1331"/>
      <c r="B108" s="430" cm="1" t="str">
        <f t="array" ref="B108:B108">B107</f>
        <v>false</v>
      </c>
      <c r="C108" s="1331"/>
      <c r="D108" s="1331"/>
      <c r="E108" s="623">
        <v>56.25</v>
      </c>
      <c r="F108" s="50" cm="1" t="str">
        <f t="array" ref="F108:F108">OFFSET(E108,-1,1)</f>
        <v>1</v>
      </c>
      <c r="G108" s="428"/>
      <c r="H108" s="81"/>
      <c r="I108" s="428"/>
      <c r="J108" s="1331"/>
      <c r="K108" s="120"/>
      <c r="L108" s="120"/>
      <c r="M108" s="120"/>
      <c r="N108" s="1331"/>
      <c r="O108" s="1331"/>
      <c r="P108" s="1331"/>
      <c r="Q108" s="1331"/>
      <c r="R108" s="1331"/>
      <c r="S108" s="1441"/>
      <c r="T108" s="468" cm="1" t="str">
        <f t="array" ref="T108:T108">T107</f>
        <v>true</v>
      </c>
      <c r="U108" s="1331"/>
      <c r="V108" s="1331"/>
      <c r="W108" s="1331"/>
      <c r="X108" s="1539"/>
      <c r="Y108" s="1331"/>
      <c r="Z108" s="1529"/>
      <c r="AA108" s="1331"/>
      <c r="AB108" s="295" t="s">
        <v>1768</v>
      </c>
      <c r="AC108" s="769" t="s">
        <v>1769</v>
      </c>
      <c r="AD108" s="773"/>
      <c r="AE108" s="773" t="s">
        <v>936</v>
      </c>
      <c r="AF108" s="4146"/>
      <c r="AG108" s="4146"/>
      <c r="AH108" s="1823"/>
      <c r="AI108" s="1331"/>
      <c r="AJ108" s="1331"/>
      <c r="AK108" s="1331"/>
      <c r="AL108" s="1005" t="s">
        <v>1584</v>
      </c>
      <c r="AM108" s="1331"/>
      <c r="AN108" s="1331"/>
      <c r="AO108" s="1331"/>
      <c r="AP108" s="1331"/>
      <c r="AQ108" s="1331"/>
    </row>
    <row s="1656" customFormat="1" customHeight="1" ht="49.171875">
      <c r="A109" s="1331"/>
      <c r="B109" s="1223"/>
      <c r="C109" s="1331"/>
      <c r="D109" s="1331"/>
      <c r="E109" s="623">
        <v>15</v>
      </c>
      <c r="F109" s="50" cm="1" t="str">
        <f t="array" ref="F109:F109">OFFSET(E109,-1,1)</f>
        <v>1</v>
      </c>
      <c r="G109" s="428"/>
      <c r="H109" s="81"/>
      <c r="I109" s="428"/>
      <c r="J109" s="1331"/>
      <c r="K109" s="120"/>
      <c r="L109" s="120"/>
      <c r="M109" s="120"/>
      <c r="N109" s="1331"/>
      <c r="O109" s="1331"/>
      <c r="P109" s="1331"/>
      <c r="Q109" s="1331"/>
      <c r="R109" s="1331"/>
      <c r="S109" s="1441"/>
      <c r="T109" s="468" cm="1" t="str">
        <f t="array" ref="T109:T109">T108</f>
        <v>true</v>
      </c>
      <c r="U109" s="1331"/>
      <c r="V109" s="1331"/>
      <c r="W109" s="1331"/>
      <c r="X109" s="1539"/>
      <c r="Y109" s="1331"/>
      <c r="Z109" s="1529"/>
      <c r="AA109" s="1331"/>
      <c r="AB109" s="296" t="str">
        <f>IF(B108,"2.12","2.10")</f>
        <v>2.10</v>
      </c>
      <c r="AC109" s="769" t="s">
        <v>1770</v>
      </c>
      <c r="AD109" s="773" t="s">
        <v>1771</v>
      </c>
      <c r="AE109" s="773" t="s">
        <v>936</v>
      </c>
      <c r="AF109" s="294">
        <f>AF110+AF111</f>
        <v>0</v>
      </c>
      <c r="AG109" s="294">
        <v>-4103.58</v>
      </c>
      <c r="AH109" s="853" t="s">
        <v>1834</v>
      </c>
      <c r="AI109" s="1331"/>
      <c r="AJ109" s="1331"/>
      <c r="AK109" s="1331"/>
      <c r="AL109" s="1005" t="s">
        <v>1772</v>
      </c>
      <c r="AM109" s="1331"/>
      <c r="AN109" s="1331"/>
      <c r="AO109" s="1331"/>
      <c r="AP109" s="1331"/>
      <c r="AQ109" s="1331"/>
    </row>
    <row s="1656" customFormat="1" customHeight="1" ht="21.75">
      <c r="A110" s="1331"/>
      <c r="B110" s="1223"/>
      <c r="C110" s="1331"/>
      <c r="D110" s="1331"/>
      <c r="E110" s="623">
        <v>22.5</v>
      </c>
      <c r="F110" s="50" cm="1" t="str">
        <f t="array" ref="F110:F110">OFFSET(E110,-1,1)</f>
        <v>1</v>
      </c>
      <c r="G110" s="428"/>
      <c r="H110" s="81"/>
      <c r="I110" s="428"/>
      <c r="J110" s="1331"/>
      <c r="K110" s="120"/>
      <c r="L110" s="120"/>
      <c r="M110" s="120"/>
      <c r="N110" s="1331"/>
      <c r="O110" s="1331"/>
      <c r="P110" s="1331"/>
      <c r="Q110" s="1331"/>
      <c r="R110" s="1331"/>
      <c r="S110" s="1441"/>
      <c r="T110" s="468" cm="1" t="str">
        <f t="array" ref="T110:T110">T109</f>
        <v>true</v>
      </c>
      <c r="U110" s="1331"/>
      <c r="V110" s="1331"/>
      <c r="W110" s="1331"/>
      <c r="X110" s="1539"/>
      <c r="Y110" s="1331"/>
      <c r="Z110" s="1529"/>
      <c r="AA110" s="1331"/>
      <c r="AB110" s="296" t="str">
        <f>AB109&amp;".1"</f>
        <v>2.10.1</v>
      </c>
      <c r="AC110" s="769" t="s">
        <v>1773</v>
      </c>
      <c r="AD110" s="773" t="s">
        <v>1771</v>
      </c>
      <c r="AE110" s="773" t="s">
        <v>936</v>
      </c>
      <c r="AF110" s="294"/>
      <c r="AG110" s="294"/>
      <c r="AH110" s="853"/>
      <c r="AI110" s="1331"/>
      <c r="AJ110" s="1331"/>
      <c r="AK110" s="1331"/>
      <c r="AL110" s="1005" t="s">
        <v>1774</v>
      </c>
      <c r="AM110" s="1331"/>
      <c r="AN110" s="1331"/>
      <c r="AO110" s="1331"/>
      <c r="AP110" s="1331"/>
      <c r="AQ110" s="1331"/>
    </row>
    <row s="1656" customFormat="1" customHeight="1" ht="21.75">
      <c r="A111" s="1331"/>
      <c r="B111" s="1223"/>
      <c r="C111" s="1331"/>
      <c r="D111" s="1331"/>
      <c r="E111" s="623">
        <v>22.5</v>
      </c>
      <c r="F111" s="50" cm="1" t="str">
        <f t="array" ref="F111:F111">OFFSET(E111,-1,1)</f>
        <v>1</v>
      </c>
      <c r="G111" s="428"/>
      <c r="H111" s="81"/>
      <c r="I111" s="428"/>
      <c r="J111" s="1331"/>
      <c r="K111" s="120"/>
      <c r="L111" s="120"/>
      <c r="M111" s="120"/>
      <c r="N111" s="1331"/>
      <c r="O111" s="1331"/>
      <c r="P111" s="1331"/>
      <c r="Q111" s="1331"/>
      <c r="R111" s="1331"/>
      <c r="S111" s="1441"/>
      <c r="T111" s="468" cm="1" t="str">
        <f t="array" ref="T111:T111">T110</f>
        <v>true</v>
      </c>
      <c r="U111" s="1331"/>
      <c r="V111" s="1331"/>
      <c r="W111" s="1331"/>
      <c r="X111" s="1539"/>
      <c r="Y111" s="1331"/>
      <c r="Z111" s="1529"/>
      <c r="AA111" s="1331"/>
      <c r="AB111" s="296" t="str">
        <f>AB109&amp;".2"</f>
        <v>2.10.2</v>
      </c>
      <c r="AC111" s="769" t="s">
        <v>1775</v>
      </c>
      <c r="AD111" s="773" t="s">
        <v>1771</v>
      </c>
      <c r="AE111" s="773" t="s">
        <v>936</v>
      </c>
      <c r="AF111" s="294"/>
      <c r="AG111" s="294"/>
      <c r="AH111" s="853"/>
      <c r="AI111" s="1331"/>
      <c r="AJ111" s="1331"/>
      <c r="AK111" s="1331"/>
      <c r="AL111" s="1005" t="s">
        <v>1776</v>
      </c>
      <c r="AM111" s="1331"/>
      <c r="AN111" s="1331"/>
      <c r="AO111" s="1331"/>
      <c r="AP111" s="1331"/>
      <c r="AQ111" s="1331"/>
    </row>
    <row s="1656" customFormat="1" customHeight="1" ht="14.25">
      <c r="A112" s="1331"/>
      <c r="B112" s="1223"/>
      <c r="C112" s="1331"/>
      <c r="D112" s="1331"/>
      <c r="E112" s="623">
        <v>15</v>
      </c>
      <c r="F112" s="50" cm="1" t="str">
        <f t="array" ref="F112:F112">OFFSET(E112,-1,1)</f>
        <v>1</v>
      </c>
      <c r="G112" s="428"/>
      <c r="H112" s="81"/>
      <c r="I112" s="428"/>
      <c r="J112" s="1331"/>
      <c r="K112" s="120"/>
      <c r="L112" s="120"/>
      <c r="M112" s="120"/>
      <c r="N112" s="1331"/>
      <c r="O112" s="1331"/>
      <c r="P112" s="1331"/>
      <c r="Q112" s="1331"/>
      <c r="R112" s="1331"/>
      <c r="S112" s="1441"/>
      <c r="T112" s="468" cm="1" t="str">
        <f t="array" ref="T112:T112">T111</f>
        <v>true</v>
      </c>
      <c r="U112" s="1331"/>
      <c r="V112" s="1331"/>
      <c r="W112" s="1331"/>
      <c r="X112" s="1539"/>
      <c r="Y112" s="1331"/>
      <c r="Z112" s="1529"/>
      <c r="AA112" s="1331"/>
      <c r="AB112" s="296" t="str">
        <f>IF(B108,"2.13","2.11")</f>
        <v>2.11</v>
      </c>
      <c r="AC112" s="769" t="s">
        <v>1777</v>
      </c>
      <c r="AD112" s="773" t="s">
        <v>1771</v>
      </c>
      <c r="AE112" s="773" t="s">
        <v>936</v>
      </c>
      <c r="AF112" s="294"/>
      <c r="AG112" s="294"/>
      <c r="AH112" s="853"/>
      <c r="AI112" s="1331"/>
      <c r="AJ112" s="1331"/>
      <c r="AK112" s="1331"/>
      <c r="AL112" s="1005" t="s">
        <v>1778</v>
      </c>
      <c r="AM112" s="1331"/>
      <c r="AN112" s="1331"/>
      <c r="AO112" s="1331"/>
      <c r="AP112" s="1331"/>
      <c r="AQ112" s="1331"/>
    </row>
    <row s="1656" customFormat="1" customHeight="1" ht="14.25">
      <c r="A113" s="1331"/>
      <c r="B113" s="1223"/>
      <c r="C113" s="1331"/>
      <c r="D113" s="1331"/>
      <c r="E113" s="623">
        <v>15</v>
      </c>
      <c r="F113" s="50" cm="1" t="str">
        <f t="array" ref="F113:F113">OFFSET(E113,-1,1)</f>
        <v>1</v>
      </c>
      <c r="G113" s="428"/>
      <c r="H113" s="81"/>
      <c r="I113" s="428"/>
      <c r="J113" s="1331"/>
      <c r="K113" s="120"/>
      <c r="L113" s="120"/>
      <c r="M113" s="120"/>
      <c r="N113" s="1331"/>
      <c r="O113" s="1331"/>
      <c r="P113" s="1331"/>
      <c r="Q113" s="1331"/>
      <c r="R113" s="1331"/>
      <c r="S113" s="1441"/>
      <c r="T113" s="468" cm="1" t="str">
        <f t="array" ref="T113:T113">T112</f>
        <v>true</v>
      </c>
      <c r="U113" s="1331"/>
      <c r="V113" s="1331"/>
      <c r="W113" s="1331"/>
      <c r="X113" s="1539"/>
      <c r="Y113" s="1331"/>
      <c r="Z113" s="1529"/>
      <c r="AA113" s="1331"/>
      <c r="AB113" s="296" t="str">
        <f>IF(B108,"2.14","2.12")</f>
        <v>2.12</v>
      </c>
      <c r="AC113" s="769" t="s">
        <v>1779</v>
      </c>
      <c r="AD113" s="773" t="s">
        <v>1771</v>
      </c>
      <c r="AE113" s="773" t="s">
        <v>936</v>
      </c>
      <c r="AF113" s="294"/>
      <c r="AG113" s="294"/>
      <c r="AH113" s="853"/>
      <c r="AI113" s="1331"/>
      <c r="AJ113" s="1331"/>
      <c r="AK113" s="1331"/>
      <c r="AL113" s="1005" t="s">
        <v>1780</v>
      </c>
      <c r="AM113" s="1331"/>
      <c r="AN113" s="1331"/>
      <c r="AO113" s="1331"/>
      <c r="AP113" s="1331"/>
      <c r="AQ113" s="1331"/>
    </row>
    <row s="4529" customFormat="1" customHeight="1" ht="21.75">
      <c r="A114" s="704"/>
      <c r="B114" s="433"/>
      <c r="C114" s="704"/>
      <c r="D114" s="704"/>
      <c r="E114" s="697">
        <v>22.5</v>
      </c>
      <c r="F114" s="50" cm="1" t="str">
        <f t="array" ref="F114:F114">OFFSET(E114,-1,1)</f>
        <v>1</v>
      </c>
      <c r="G114" s="143"/>
      <c r="H114" s="143"/>
      <c r="I114" s="428" t="s">
        <v>345</v>
      </c>
      <c r="J114" s="704"/>
      <c r="K114" s="500"/>
      <c r="L114" s="500"/>
      <c r="M114" s="500"/>
      <c r="N114" s="704"/>
      <c r="O114" s="704"/>
      <c r="P114" s="704"/>
      <c r="Q114" s="704"/>
      <c r="R114" s="704"/>
      <c r="S114" s="704"/>
      <c r="T114" s="468" cm="1" t="str">
        <f t="array" ref="T114:T114">T113</f>
        <v>true</v>
      </c>
      <c r="U114" s="704"/>
      <c r="V114" s="704"/>
      <c r="W114" s="704"/>
      <c r="X114" s="1539"/>
      <c r="Y114" s="704"/>
      <c r="Z114" s="1529"/>
      <c r="AA114" s="704"/>
      <c r="AB114" s="207" t="s">
        <v>1781</v>
      </c>
      <c r="AC114" s="208" t="s">
        <v>1782</v>
      </c>
      <c r="AD114" s="207" t="s">
        <v>1644</v>
      </c>
      <c r="AE114" s="230" t="s">
        <v>936</v>
      </c>
      <c r="AF114" s="851" cm="1" t="str">
        <f t="array" ref="AF114:AF114">AF115</f>
        <v>0</v>
      </c>
      <c r="AG114" s="851" cm="1" t="str">
        <f t="array" ref="AG114:AG114">AG115</f>
        <v>0</v>
      </c>
      <c r="AH114" s="852"/>
      <c r="AI114" s="704"/>
      <c r="AJ114" s="704"/>
      <c r="AK114" s="704"/>
      <c r="AL114" s="1059" t="s">
        <v>1783</v>
      </c>
      <c r="AM114" s="704"/>
      <c r="AN114" s="704"/>
      <c r="AO114" s="704"/>
      <c r="AP114" s="704"/>
      <c r="AQ114" s="704"/>
    </row>
    <row s="1656" customFormat="1" customHeight="1" ht="32.25">
      <c r="A115" s="1331"/>
      <c r="B115" s="1223"/>
      <c r="C115" s="1331"/>
      <c r="D115" s="1331"/>
      <c r="E115" s="623">
        <v>33.75</v>
      </c>
      <c r="F115" s="50" cm="1" t="str">
        <f t="array" ref="F115:F115">OFFSET(E115,-1,1)</f>
        <v>1</v>
      </c>
      <c r="G115" s="428"/>
      <c r="H115" s="81"/>
      <c r="I115" s="428" t="s">
        <v>584</v>
      </c>
      <c r="J115" s="1331"/>
      <c r="K115" s="120"/>
      <c r="L115" s="120"/>
      <c r="M115" s="120"/>
      <c r="N115" s="1331"/>
      <c r="O115" s="1331"/>
      <c r="P115" s="1331"/>
      <c r="Q115" s="1331"/>
      <c r="R115" s="1331"/>
      <c r="S115" s="1441"/>
      <c r="T115" s="468" cm="1" t="str">
        <f t="array" ref="T115:T115">T114</f>
        <v>true</v>
      </c>
      <c r="U115" s="1331"/>
      <c r="V115" s="1331"/>
      <c r="W115" s="1331"/>
      <c r="X115" s="1539"/>
      <c r="Y115" s="1331"/>
      <c r="Z115" s="1529"/>
      <c r="AA115" s="1331"/>
      <c r="AB115" s="295" t="s">
        <v>290</v>
      </c>
      <c r="AC115" s="454" t="s">
        <v>1784</v>
      </c>
      <c r="AD115" s="296" t="s">
        <v>1785</v>
      </c>
      <c r="AE115" s="773" t="s">
        <v>936</v>
      </c>
      <c r="AF115" s="941">
        <f>AF116+AF117</f>
        <v>0</v>
      </c>
      <c r="AG115" s="941">
        <f>AG116+AG117</f>
        <v>0</v>
      </c>
      <c r="AH115" s="853"/>
      <c r="AI115" s="1331"/>
      <c r="AJ115" s="1331"/>
      <c r="AK115" s="1331"/>
      <c r="AL115" s="1005" t="s">
        <v>1786</v>
      </c>
      <c r="AM115" s="1331"/>
      <c r="AN115" s="1331"/>
      <c r="AO115" s="1331"/>
      <c r="AP115" s="1331"/>
      <c r="AQ115" s="1331"/>
    </row>
    <row s="1656" customFormat="1" customHeight="1" ht="43.5">
      <c r="A116" s="1331"/>
      <c r="B116" s="1223"/>
      <c r="C116" s="1331"/>
      <c r="D116" s="1331"/>
      <c r="E116" s="623">
        <v>45</v>
      </c>
      <c r="F116" s="50" cm="1" t="str">
        <f t="array" ref="F116:F116">OFFSET(E116,-1,1)</f>
        <v>1</v>
      </c>
      <c r="G116" s="428"/>
      <c r="H116" s="81"/>
      <c r="I116" s="428" t="s">
        <v>1787</v>
      </c>
      <c r="J116" s="1331"/>
      <c r="K116" s="120"/>
      <c r="L116" s="120"/>
      <c r="M116" s="120"/>
      <c r="N116" s="1331"/>
      <c r="O116" s="1331"/>
      <c r="P116" s="1331"/>
      <c r="Q116" s="1331"/>
      <c r="R116" s="1331"/>
      <c r="S116" s="1441"/>
      <c r="T116" s="468" cm="1" t="str">
        <f t="array" ref="T116:T116">T115</f>
        <v>true</v>
      </c>
      <c r="U116" s="1331"/>
      <c r="V116" s="1331"/>
      <c r="W116" s="1331"/>
      <c r="X116" s="1539"/>
      <c r="Y116" s="1331"/>
      <c r="Z116" s="1529"/>
      <c r="AA116" s="1331"/>
      <c r="AB116" s="295" t="s">
        <v>1067</v>
      </c>
      <c r="AC116" s="769" t="s">
        <v>1788</v>
      </c>
      <c r="AD116" s="296" t="s">
        <v>1789</v>
      </c>
      <c r="AE116" s="773" t="s">
        <v>936</v>
      </c>
      <c r="AF116" s="294"/>
      <c r="AG116" s="294"/>
      <c r="AH116" s="853"/>
      <c r="AI116" s="1331"/>
      <c r="AJ116" s="1331"/>
      <c r="AK116" s="1331"/>
      <c r="AL116" s="1005" t="s">
        <v>1790</v>
      </c>
      <c r="AM116" s="1331"/>
      <c r="AN116" s="1331"/>
      <c r="AO116" s="1331"/>
      <c r="AP116" s="1331"/>
      <c r="AQ116" s="1331"/>
    </row>
    <row s="1656" customFormat="1" customHeight="1" ht="32.25">
      <c r="A117" s="1331"/>
      <c r="B117" s="1223"/>
      <c r="C117" s="1331"/>
      <c r="D117" s="1331"/>
      <c r="E117" s="623">
        <v>33.75</v>
      </c>
      <c r="F117" s="50" cm="1" t="str">
        <f t="array" ref="F117:F117">OFFSET(E117,-1,1)</f>
        <v>1</v>
      </c>
      <c r="G117" s="428"/>
      <c r="H117" s="81"/>
      <c r="I117" s="428" t="s">
        <v>1791</v>
      </c>
      <c r="J117" s="1331"/>
      <c r="K117" s="120"/>
      <c r="L117" s="120"/>
      <c r="M117" s="120"/>
      <c r="N117" s="1331"/>
      <c r="O117" s="1331"/>
      <c r="P117" s="1331"/>
      <c r="Q117" s="1331"/>
      <c r="R117" s="1331"/>
      <c r="S117" s="1441"/>
      <c r="T117" s="468" cm="1" t="str">
        <f t="array" ref="T117:T117">T116</f>
        <v>true</v>
      </c>
      <c r="U117" s="1331"/>
      <c r="V117" s="1331"/>
      <c r="W117" s="1331"/>
      <c r="X117" s="1539"/>
      <c r="Y117" s="1331"/>
      <c r="Z117" s="1529"/>
      <c r="AA117" s="1331"/>
      <c r="AB117" s="295" t="s">
        <v>1070</v>
      </c>
      <c r="AC117" s="769" t="s">
        <v>1792</v>
      </c>
      <c r="AD117" s="296" t="s">
        <v>1793</v>
      </c>
      <c r="AE117" s="773" t="s">
        <v>936</v>
      </c>
      <c r="AF117" s="294"/>
      <c r="AG117" s="294"/>
      <c r="AH117" s="853"/>
      <c r="AI117" s="1331"/>
      <c r="AJ117" s="1331"/>
      <c r="AK117" s="1331"/>
      <c r="AL117" s="1005" t="s">
        <v>1794</v>
      </c>
      <c r="AM117" s="1331"/>
      <c r="AN117" s="1331"/>
      <c r="AO117" s="1331"/>
      <c r="AP117" s="1331"/>
      <c r="AQ117" s="1331"/>
    </row>
    <row s="1656" customFormat="1" customHeight="1" ht="33.75">
      <c r="A118" s="1331"/>
      <c r="B118" s="1223"/>
      <c r="C118" s="1331"/>
      <c r="D118" s="1331"/>
      <c r="E118" s="623">
        <v>35</v>
      </c>
      <c r="F118" s="50" cm="1" t="str">
        <f t="array" ref="F118:F118">OFFSET(E118,-1,1)</f>
        <v>1</v>
      </c>
      <c r="G118" s="428"/>
      <c r="H118" s="81"/>
      <c r="I118" s="428" t="s">
        <v>346</v>
      </c>
      <c r="J118" s="1331"/>
      <c r="K118" s="120" t="str">
        <f>F118&amp;"1komm"</f>
        <v>11komm</v>
      </c>
      <c r="L118" s="926" cm="1" t="str">
        <f t="array" ref="L118:L118">AH118</f>
        <v>0</v>
      </c>
      <c r="M118" s="120"/>
      <c r="N118" s="1331"/>
      <c r="O118" s="1331"/>
      <c r="P118" s="1331"/>
      <c r="Q118" s="1331"/>
      <c r="R118" s="1331"/>
      <c r="S118" s="1441"/>
      <c r="T118" s="468" cm="1" t="str">
        <f t="array" ref="T118:T118">T117</f>
        <v>true</v>
      </c>
      <c r="U118" s="1331"/>
      <c r="V118" s="1331"/>
      <c r="W118" s="1331"/>
      <c r="X118" s="1539"/>
      <c r="Y118" s="1331"/>
      <c r="Z118" s="1529"/>
      <c r="AA118" s="1331"/>
      <c r="AB118" s="230" t="s">
        <v>1795</v>
      </c>
      <c r="AC118" s="208" t="s">
        <v>1796</v>
      </c>
      <c r="AD118" s="207" t="s">
        <v>1797</v>
      </c>
      <c r="AE118" s="230" t="s">
        <v>936</v>
      </c>
      <c r="AF118" s="378"/>
      <c r="AG118" s="378"/>
      <c r="AH118" s="853"/>
      <c r="AI118" s="1331"/>
      <c r="AJ118" s="1331"/>
      <c r="AK118" s="1331"/>
      <c r="AL118" s="1005" t="s">
        <v>1798</v>
      </c>
      <c r="AM118" s="1331"/>
      <c r="AN118" s="1331"/>
      <c r="AO118" s="1331"/>
      <c r="AP118" s="1331"/>
      <c r="AQ118" s="1331"/>
    </row>
    <row s="1656" customFormat="1" customHeight="1" ht="107.25">
      <c r="A119" s="1331"/>
      <c r="B119" s="1223"/>
      <c r="C119" s="1331"/>
      <c r="D119" s="1331"/>
      <c r="E119" s="623">
        <v>110</v>
      </c>
      <c r="F119" s="50" cm="1" t="str">
        <f t="array" ref="F119:F119">OFFSET(E119,-1,1)</f>
        <v>1</v>
      </c>
      <c r="G119" s="428"/>
      <c r="H119" s="81"/>
      <c r="I119" s="428" t="s">
        <v>348</v>
      </c>
      <c r="J119" s="1331"/>
      <c r="K119" s="120" t="str">
        <f>F119&amp;"2komm"</f>
        <v>12komm</v>
      </c>
      <c r="L119" s="926" cm="1" t="str">
        <f t="array" ref="L119:L119">AH119</f>
        <v>0</v>
      </c>
      <c r="M119" s="120"/>
      <c r="N119" s="1331"/>
      <c r="O119" s="1331"/>
      <c r="P119" s="1331"/>
      <c r="Q119" s="1331"/>
      <c r="R119" s="1331"/>
      <c r="S119" s="1441"/>
      <c r="T119" s="468" cm="1" t="str">
        <f t="array" ref="T119:T119">T118</f>
        <v>true</v>
      </c>
      <c r="U119" s="1331"/>
      <c r="V119" s="1331"/>
      <c r="W119" s="1331"/>
      <c r="X119" s="1539"/>
      <c r="Y119" s="1331"/>
      <c r="Z119" s="1529"/>
      <c r="AA119" s="1331"/>
      <c r="AB119" s="230" t="s">
        <v>1799</v>
      </c>
      <c r="AC119" s="208" t="s">
        <v>1800</v>
      </c>
      <c r="AD119" s="207" t="s">
        <v>1801</v>
      </c>
      <c r="AE119" s="230" t="s">
        <v>936</v>
      </c>
      <c r="AF119" s="378"/>
      <c r="AG119" s="378"/>
      <c r="AH119" s="853"/>
      <c r="AI119" s="1331"/>
      <c r="AJ119" s="1331"/>
      <c r="AK119" s="1331"/>
      <c r="AL119" s="1005" t="s">
        <v>1207</v>
      </c>
      <c r="AM119" s="1331"/>
      <c r="AN119" s="1331"/>
      <c r="AO119" s="1331"/>
      <c r="AP119" s="1331"/>
      <c r="AQ119" s="1331"/>
    </row>
    <row s="1656" customFormat="1" customHeight="1" ht="76.5" hidden="1">
      <c r="A120" s="1331"/>
      <c r="B120" s="430">
        <f>S78="Водоотведение"</f>
        <v>0</v>
      </c>
      <c r="C120" s="1331"/>
      <c r="D120" s="1331"/>
      <c r="E120" s="623">
        <v>78.75</v>
      </c>
      <c r="F120" s="50" cm="1" t="str">
        <f t="array" ref="F120:F120">OFFSET(E120,-1,1)</f>
        <v>1</v>
      </c>
      <c r="G120" s="1029"/>
      <c r="H120" s="49"/>
      <c r="I120" s="118" t="s">
        <v>347</v>
      </c>
      <c r="J120" s="1331"/>
      <c r="K120" s="120" t="str">
        <f>F120&amp;"3komm"</f>
        <v>13komm</v>
      </c>
      <c r="L120" s="926" cm="1" t="str">
        <f t="array" ref="L120:L120">AH120</f>
        <v>0</v>
      </c>
      <c r="M120" s="120"/>
      <c r="N120" s="1331"/>
      <c r="O120" s="1331"/>
      <c r="P120" s="1331"/>
      <c r="Q120" s="1331"/>
      <c r="R120" s="1331"/>
      <c r="S120" s="1441"/>
      <c r="T120" s="468" cm="1" t="str">
        <f t="array" ref="T120:T120">T119</f>
        <v>true</v>
      </c>
      <c r="U120" s="1331"/>
      <c r="V120" s="1331"/>
      <c r="W120" s="1331"/>
      <c r="X120" s="1539"/>
      <c r="Y120" s="1331"/>
      <c r="Z120" s="1529"/>
      <c r="AA120" s="1331"/>
      <c r="AB120" s="230" t="s">
        <v>1802</v>
      </c>
      <c r="AC120" s="208" t="s">
        <v>1803</v>
      </c>
      <c r="AD120" s="207"/>
      <c r="AE120" s="230" t="s">
        <v>936</v>
      </c>
      <c r="AF120" s="4516"/>
      <c r="AG120" s="3232">
        <f>_xlfn.IFERROR(_xlfn.SUMIFS('Плата за негативное возд'!$AL$24:$AL$38,'Плата за негативное возд'!$F$24:$F$38,F120,'Плата за негативное возд'!$AB$24:$AB$38,"1"),0)</f>
        <v>0</v>
      </c>
      <c r="AH120" s="1823"/>
      <c r="AI120" s="1331"/>
      <c r="AJ120" s="1331"/>
      <c r="AK120" s="1331"/>
      <c r="AL120" s="1005" t="s">
        <v>1804</v>
      </c>
      <c r="AM120" s="1331"/>
      <c r="AN120" s="1331"/>
      <c r="AO120" s="1331"/>
      <c r="AP120" s="1331"/>
      <c r="AQ120" s="1331"/>
    </row>
    <row s="1656" customFormat="1" customHeight="1" ht="54.75" hidden="1">
      <c r="A121" s="1331"/>
      <c r="B121" s="430" cm="1" t="str">
        <f t="array" ref="B121:B121">B120</f>
        <v>false</v>
      </c>
      <c r="C121" s="1331"/>
      <c r="D121" s="1331"/>
      <c r="E121" s="623">
        <v>56.25</v>
      </c>
      <c r="F121" s="50" cm="1" t="str">
        <f t="array" ref="F121:F121">OFFSET(E121,-1,1)</f>
        <v>1</v>
      </c>
      <c r="G121" s="1029"/>
      <c r="H121" s="49"/>
      <c r="I121" s="118" t="s">
        <v>616</v>
      </c>
      <c r="J121" s="1331"/>
      <c r="K121" s="120" t="str">
        <f>F121&amp;"4komm"</f>
        <v>14komm</v>
      </c>
      <c r="L121" s="926" cm="1" t="str">
        <f t="array" ref="L121:L121">AH121</f>
        <v>0</v>
      </c>
      <c r="M121" s="120"/>
      <c r="N121" s="1331"/>
      <c r="O121" s="1331"/>
      <c r="P121" s="1331"/>
      <c r="Q121" s="1331"/>
      <c r="R121" s="1331"/>
      <c r="S121" s="1441"/>
      <c r="T121" s="468" cm="1" t="str">
        <f t="array" ref="T121:T121">T120</f>
        <v>true</v>
      </c>
      <c r="U121" s="1331"/>
      <c r="V121" s="1331"/>
      <c r="W121" s="1331"/>
      <c r="X121" s="1539"/>
      <c r="Y121" s="1331"/>
      <c r="Z121" s="1529"/>
      <c r="AA121" s="1331"/>
      <c r="AB121" s="230" t="s">
        <v>1805</v>
      </c>
      <c r="AC121" s="208" t="s">
        <v>1806</v>
      </c>
      <c r="AD121" s="207"/>
      <c r="AE121" s="230" t="s">
        <v>936</v>
      </c>
      <c r="AF121" s="4516"/>
      <c r="AG121" s="3232">
        <f>_xlfn.IFERROR(_xlfn.SUMIFS('Плата за негативное возд'!$AL$24:$AL$38,'Плата за негативное возд'!$F$24:$F$38,F121,'Плата за негативное возд'!$AB$24:$AB$38,"2"),0)</f>
        <v>0</v>
      </c>
      <c r="AH121" s="1823"/>
      <c r="AI121" s="1331"/>
      <c r="AJ121" s="1331"/>
      <c r="AK121" s="1331"/>
      <c r="AL121" s="1005" t="s">
        <v>1807</v>
      </c>
      <c r="AM121" s="1331"/>
      <c r="AN121" s="1331"/>
      <c r="AO121" s="1331"/>
      <c r="AP121" s="1331"/>
      <c r="AQ121" s="1331"/>
    </row>
    <row s="1656" customFormat="1" customHeight="1" ht="14.25">
      <c r="A122" s="1331"/>
      <c r="B122" s="1223"/>
      <c r="C122" s="1331"/>
      <c r="D122" s="1331"/>
      <c r="E122" s="623">
        <v>15</v>
      </c>
      <c r="F122" s="50" cm="1" t="str">
        <f t="array" ref="F122:F122">OFFSET(E122,-1,1)</f>
        <v>1</v>
      </c>
      <c r="G122" s="1029"/>
      <c r="H122" s="81"/>
      <c r="I122" s="118" t="s">
        <v>619</v>
      </c>
      <c r="J122" s="1331"/>
      <c r="K122" s="120" t="str">
        <f>F122&amp;"5komm"</f>
        <v>15komm</v>
      </c>
      <c r="L122" s="926" cm="1" t="str">
        <f t="array" ref="L122:L122">AH122</f>
        <v>0</v>
      </c>
      <c r="M122" s="120"/>
      <c r="N122" s="1331"/>
      <c r="O122" s="1331"/>
      <c r="P122" s="1331"/>
      <c r="Q122" s="1331"/>
      <c r="R122" s="1331"/>
      <c r="S122" s="1441"/>
      <c r="T122" s="468" cm="1" t="str">
        <f t="array" ref="T122:T122">T121</f>
        <v>true</v>
      </c>
      <c r="U122" s="1331"/>
      <c r="V122" s="1331"/>
      <c r="W122" s="1331"/>
      <c r="X122" s="1539"/>
      <c r="Y122" s="1331"/>
      <c r="Z122" s="1529"/>
      <c r="AA122" s="1331"/>
      <c r="AB122" s="230" t="str">
        <f>IF(B121,"VII","V")</f>
        <v>V</v>
      </c>
      <c r="AC122" s="208" t="s">
        <v>1808</v>
      </c>
      <c r="AD122" s="207"/>
      <c r="AE122" s="230" t="s">
        <v>936</v>
      </c>
      <c r="AF122" s="378"/>
      <c r="AG122" s="378"/>
      <c r="AH122" s="853"/>
      <c r="AI122" s="1331"/>
      <c r="AJ122" s="1331"/>
      <c r="AK122" s="1331"/>
      <c r="AL122" s="1005" t="s">
        <v>1809</v>
      </c>
      <c r="AM122" s="1331"/>
      <c r="AN122" s="1331"/>
      <c r="AO122" s="1331"/>
      <c r="AP122" s="1331"/>
      <c r="AQ122" s="1331"/>
    </row>
    <row s="4530" customFormat="1" customHeight="1" ht="14.625">
      <c r="A123" s="704"/>
      <c r="B123" s="433"/>
      <c r="C123" s="704"/>
      <c r="D123" s="704"/>
      <c r="E123" s="697">
        <v>15</v>
      </c>
      <c r="F123" s="50" cm="1" t="str">
        <f t="array" ref="F123:F123">OFFSET(E123,-1,1)</f>
        <v>1</v>
      </c>
      <c r="G123" s="500"/>
      <c r="H123" s="704"/>
      <c r="I123" s="237" t="s">
        <v>685</v>
      </c>
      <c r="J123" s="704"/>
      <c r="K123" s="120" t="str">
        <f>F123&amp;"6komm"</f>
        <v>16komm</v>
      </c>
      <c r="L123" s="926" cm="1" t="str">
        <f t="array" ref="L123:L123">AH123</f>
        <v>0</v>
      </c>
      <c r="M123" s="500"/>
      <c r="N123" s="704"/>
      <c r="O123" s="704"/>
      <c r="P123" s="704"/>
      <c r="Q123" s="704"/>
      <c r="R123" s="704"/>
      <c r="S123" s="704"/>
      <c r="T123" s="468" cm="1" t="str">
        <f t="array" ref="T123:T123">T122</f>
        <v>true</v>
      </c>
      <c r="U123" s="704"/>
      <c r="V123" s="704"/>
      <c r="W123" s="704"/>
      <c r="X123" s="1539"/>
      <c r="Y123" s="704"/>
      <c r="Z123" s="1529"/>
      <c r="AA123" s="704"/>
      <c r="AB123" s="230" t="str">
        <f>IF(B121,"VIII","VI")</f>
        <v>VI</v>
      </c>
      <c r="AC123" s="208" t="s">
        <v>1770</v>
      </c>
      <c r="AD123" s="207"/>
      <c r="AE123" s="230" t="s">
        <v>936</v>
      </c>
      <c r="AF123" s="378"/>
      <c r="AG123" s="378"/>
      <c r="AH123" s="853"/>
      <c r="AI123" s="704"/>
      <c r="AJ123" s="704"/>
      <c r="AK123" s="704"/>
      <c r="AL123" s="1059" t="s">
        <v>1810</v>
      </c>
      <c r="AM123" s="704"/>
      <c r="AN123" s="704"/>
      <c r="AO123" s="704"/>
      <c r="AP123" s="704"/>
      <c r="AQ123" s="704"/>
    </row>
    <row s="1656" customFormat="1" customHeight="1" ht="40.83984375">
      <c r="A124" s="1331"/>
      <c r="B124" s="1223"/>
      <c r="C124" s="1331"/>
      <c r="D124" s="1331"/>
      <c r="E124" s="623">
        <v>22.5</v>
      </c>
      <c r="F124" s="50" cm="1" t="str">
        <f t="array" ref="F124:F124">OFFSET(E124,-1,1)</f>
        <v>1</v>
      </c>
      <c r="G124" s="1029"/>
      <c r="H124" s="81"/>
      <c r="I124" s="118" t="s">
        <v>688</v>
      </c>
      <c r="J124" s="1331"/>
      <c r="K124" s="120" t="str">
        <f>F124&amp;"7komm"</f>
        <v>17komm</v>
      </c>
      <c r="L124" s="926" cm="1" t="str">
        <f t="array" ref="L124:L124">AH124</f>
        <v>0</v>
      </c>
      <c r="M124" s="120"/>
      <c r="N124" s="1331"/>
      <c r="O124" s="1331"/>
      <c r="P124" s="1331"/>
      <c r="Q124" s="1331"/>
      <c r="R124" s="1331"/>
      <c r="S124" s="1441"/>
      <c r="T124" s="468" cm="1" t="str">
        <f t="array" ref="T124:T124">T123</f>
        <v>true</v>
      </c>
      <c r="U124" s="1331"/>
      <c r="V124" s="1331"/>
      <c r="W124" s="1331"/>
      <c r="X124" s="1539"/>
      <c r="Y124" s="1331"/>
      <c r="Z124" s="1529"/>
      <c r="AA124" s="1331"/>
      <c r="AB124" s="773">
        <v>1</v>
      </c>
      <c r="AC124" s="769" t="s">
        <v>1773</v>
      </c>
      <c r="AD124" s="296"/>
      <c r="AE124" s="773" t="s">
        <v>936</v>
      </c>
      <c r="AF124" s="294"/>
      <c r="AG124" s="294"/>
      <c r="AH124" s="853"/>
      <c r="AI124" s="1331"/>
      <c r="AJ124" s="1331"/>
      <c r="AK124" s="1331"/>
      <c r="AL124" s="1005" t="s">
        <v>1811</v>
      </c>
      <c r="AM124" s="1331"/>
      <c r="AN124" s="1331"/>
      <c r="AO124" s="1331"/>
      <c r="AP124" s="1331"/>
      <c r="AQ124" s="1331"/>
    </row>
    <row s="1656" customFormat="1" customHeight="1" ht="21.75">
      <c r="A125" s="1331"/>
      <c r="B125" s="1223"/>
      <c r="C125" s="1331"/>
      <c r="D125" s="1331"/>
      <c r="E125" s="623">
        <v>22.5</v>
      </c>
      <c r="F125" s="50" cm="1" t="str">
        <f t="array" ref="F125:F125">OFFSET(E125,-1,1)</f>
        <v>1</v>
      </c>
      <c r="G125" s="1029"/>
      <c r="H125" s="81"/>
      <c r="I125" s="118" t="s">
        <v>692</v>
      </c>
      <c r="J125" s="1331"/>
      <c r="K125" s="120" t="str">
        <f>F125&amp;"8komm"</f>
        <v>18komm</v>
      </c>
      <c r="L125" s="926" cm="1" t="str">
        <f t="array" ref="L125:L125">AH125</f>
        <v>0</v>
      </c>
      <c r="M125" s="120"/>
      <c r="N125" s="1331"/>
      <c r="O125" s="1331"/>
      <c r="P125" s="1331"/>
      <c r="Q125" s="1331"/>
      <c r="R125" s="1331"/>
      <c r="S125" s="1441"/>
      <c r="T125" s="468" cm="1" t="str">
        <f t="array" ref="T125:T125">T124</f>
        <v>true</v>
      </c>
      <c r="U125" s="1331"/>
      <c r="V125" s="1331"/>
      <c r="W125" s="1331"/>
      <c r="X125" s="1539"/>
      <c r="Y125" s="1331"/>
      <c r="Z125" s="1529"/>
      <c r="AA125" s="1331"/>
      <c r="AB125" s="773">
        <v>2</v>
      </c>
      <c r="AC125" s="769" t="s">
        <v>1775</v>
      </c>
      <c r="AD125" s="296"/>
      <c r="AE125" s="773" t="s">
        <v>936</v>
      </c>
      <c r="AF125" s="294"/>
      <c r="AG125" s="294"/>
      <c r="AH125" s="853"/>
      <c r="AI125" s="1331"/>
      <c r="AJ125" s="1331"/>
      <c r="AK125" s="1331"/>
      <c r="AL125" s="1005" t="s">
        <v>1812</v>
      </c>
      <c r="AM125" s="1331"/>
      <c r="AN125" s="1331"/>
      <c r="AO125" s="1331"/>
      <c r="AP125" s="1331"/>
      <c r="AQ125" s="1331"/>
    </row>
    <row s="1656" customFormat="1" customHeight="1" ht="14.25">
      <c r="A126" s="1331"/>
      <c r="B126" s="1223"/>
      <c r="C126" s="1331"/>
      <c r="D126" s="1331"/>
      <c r="E126" s="623">
        <v>15</v>
      </c>
      <c r="F126" s="50" cm="1" t="str">
        <f t="array" ref="F126:F126">OFFSET(E126,-1,1)</f>
        <v>1</v>
      </c>
      <c r="G126" s="1029"/>
      <c r="H126" s="81"/>
      <c r="I126" s="118" t="s">
        <v>700</v>
      </c>
      <c r="J126" s="1331"/>
      <c r="K126" s="120" t="str">
        <f>F126&amp;"9komm"</f>
        <v>19komm</v>
      </c>
      <c r="L126" s="926" cm="1" t="str">
        <f t="array" ref="L126:L126">AH126</f>
        <v>0</v>
      </c>
      <c r="M126" s="120"/>
      <c r="N126" s="1331"/>
      <c r="O126" s="1331"/>
      <c r="P126" s="1331"/>
      <c r="Q126" s="1331"/>
      <c r="R126" s="1331"/>
      <c r="S126" s="1441"/>
      <c r="T126" s="468" cm="1" t="str">
        <f t="array" ref="T126:T126">T125</f>
        <v>true</v>
      </c>
      <c r="U126" s="1331"/>
      <c r="V126" s="1331"/>
      <c r="W126" s="1331"/>
      <c r="X126" s="1539"/>
      <c r="Y126" s="1331"/>
      <c r="Z126" s="1529"/>
      <c r="AA126" s="1331"/>
      <c r="AB126" s="230" t="str">
        <f>IF(B121,"IX","VIII")</f>
        <v>VIII</v>
      </c>
      <c r="AC126" s="208" t="s">
        <v>1777</v>
      </c>
      <c r="AD126" s="207"/>
      <c r="AE126" s="230" t="s">
        <v>936</v>
      </c>
      <c r="AF126" s="378"/>
      <c r="AG126" s="378"/>
      <c r="AH126" s="853"/>
      <c r="AI126" s="1331"/>
      <c r="AJ126" s="1331"/>
      <c r="AK126" s="1331"/>
      <c r="AL126" s="1005" t="s">
        <v>1813</v>
      </c>
      <c r="AM126" s="1331"/>
      <c r="AN126" s="1331"/>
      <c r="AO126" s="1331"/>
      <c r="AP126" s="1331"/>
      <c r="AQ126" s="1331"/>
    </row>
    <row s="1656" customFormat="1" customHeight="1" ht="14.25">
      <c r="A127" s="1331"/>
      <c r="B127" s="1223"/>
      <c r="C127" s="1331"/>
      <c r="D127" s="1331"/>
      <c r="E127" s="623">
        <v>15</v>
      </c>
      <c r="F127" s="50" cm="1" t="str">
        <f t="array" ref="F127:F127">OFFSET(E127,-1,1)</f>
        <v>1</v>
      </c>
      <c r="G127" s="1029"/>
      <c r="H127" s="81"/>
      <c r="I127" s="118" t="s">
        <v>707</v>
      </c>
      <c r="J127" s="1331"/>
      <c r="K127" s="120" t="str">
        <f>F127&amp;"10komm"</f>
        <v>110komm</v>
      </c>
      <c r="L127" s="926" cm="1" t="str">
        <f t="array" ref="L127:L127">AH127</f>
        <v>0</v>
      </c>
      <c r="M127" s="120"/>
      <c r="N127" s="1331"/>
      <c r="O127" s="1331"/>
      <c r="P127" s="1331"/>
      <c r="Q127" s="1331"/>
      <c r="R127" s="1331"/>
      <c r="S127" s="1441"/>
      <c r="T127" s="468" cm="1" t="str">
        <f t="array" ref="T127:T127">T126</f>
        <v>true</v>
      </c>
      <c r="U127" s="1331"/>
      <c r="V127" s="1331"/>
      <c r="W127" s="1331"/>
      <c r="X127" s="1539"/>
      <c r="Y127" s="1331"/>
      <c r="Z127" s="1529"/>
      <c r="AA127" s="1331"/>
      <c r="AB127" s="230" t="str">
        <f>IF(B121,"X","IX")</f>
        <v>IX</v>
      </c>
      <c r="AC127" s="208" t="s">
        <v>1779</v>
      </c>
      <c r="AD127" s="207"/>
      <c r="AE127" s="230" t="s">
        <v>936</v>
      </c>
      <c r="AF127" s="378"/>
      <c r="AG127" s="378"/>
      <c r="AH127" s="853"/>
      <c r="AI127" s="1331"/>
      <c r="AJ127" s="1331"/>
      <c r="AK127" s="1331"/>
      <c r="AL127" s="1005" t="s">
        <v>1814</v>
      </c>
      <c r="AM127" s="1331"/>
      <c r="AN127" s="1331"/>
      <c r="AO127" s="1331"/>
      <c r="AP127" s="1331"/>
      <c r="AQ127" s="1331"/>
    </row>
    <row s="4531" customFormat="1" customHeight="1" ht="18.421875">
      <c r="A128" s="704"/>
      <c r="B128" s="433"/>
      <c r="C128" s="704"/>
      <c r="D128" s="704"/>
      <c r="E128" s="697">
        <v>15</v>
      </c>
      <c r="F128" s="50" cm="1" t="str">
        <f t="array" ref="F128:F128">OFFSET(E128,-1,1)</f>
        <v>1</v>
      </c>
      <c r="G128" s="500"/>
      <c r="H128" s="704"/>
      <c r="I128" s="237" t="s">
        <v>864</v>
      </c>
      <c r="J128" s="704"/>
      <c r="K128" s="120" t="str">
        <f>F128&amp;"11komm"</f>
        <v>111komm</v>
      </c>
      <c r="L128" s="926" cm="1" t="str">
        <f t="array" ref="L128:L128">AH128</f>
        <v>0</v>
      </c>
      <c r="M128" s="500"/>
      <c r="N128" s="704"/>
      <c r="O128" s="704"/>
      <c r="P128" s="704"/>
      <c r="Q128" s="704"/>
      <c r="R128" s="704"/>
      <c r="S128" s="704"/>
      <c r="T128" s="468" cm="1" t="str">
        <f t="array" ref="T128:T128">T127</f>
        <v>true</v>
      </c>
      <c r="U128" s="704"/>
      <c r="V128" s="704"/>
      <c r="W128" s="704"/>
      <c r="X128" s="1539"/>
      <c r="Y128" s="704"/>
      <c r="Z128" s="1529"/>
      <c r="AA128" s="704"/>
      <c r="AB128" s="230" t="str">
        <f>IF(B121,"XI","X")</f>
        <v>X</v>
      </c>
      <c r="AC128" s="215" t="s">
        <v>1815</v>
      </c>
      <c r="AD128" s="207"/>
      <c r="AE128" s="230" t="s">
        <v>936</v>
      </c>
      <c r="AF128" s="944">
        <f>AF79+AF114+AF118+AF119+AF120+AF121+AF122+AF123+AF126+AF127</f>
        <v>59159.77442</v>
      </c>
      <c r="AG128" s="944">
        <f>AG79+AG114+AG118+AG119+AG120+AG121+AG122+AG123+AG126+AG127</f>
        <v>28855.2000199999</v>
      </c>
      <c r="AH128" s="853"/>
      <c r="AI128" s="704"/>
      <c r="AJ128" s="704"/>
      <c r="AK128" s="704"/>
      <c r="AL128" s="1059" t="s">
        <v>1816</v>
      </c>
      <c r="AM128" s="704"/>
      <c r="AN128" s="704"/>
      <c r="AO128" s="704"/>
      <c r="AP128" s="704"/>
      <c r="AQ128" s="704"/>
    </row>
    <row s="1656" customFormat="1" customHeight="1" ht="25.921875">
      <c r="A129" s="1331"/>
      <c r="B129" s="1223"/>
      <c r="C129" s="1331"/>
      <c r="D129" s="1331"/>
      <c r="E129" s="623">
        <v>15</v>
      </c>
      <c r="F129" s="94" cm="1" t="str">
        <f t="array" ref="F129:F129">X129</f>
        <v>2</v>
      </c>
      <c r="G129" s="496"/>
      <c r="H129" s="81"/>
      <c r="I129" s="1331"/>
      <c r="J129" s="1331"/>
      <c r="K129" s="1331"/>
      <c r="L129" s="1331"/>
      <c r="M129" s="1331"/>
      <c r="N129" s="1331"/>
      <c r="O129" s="1331"/>
      <c r="P129" s="1331"/>
      <c r="Q129" s="1331"/>
      <c r="R129" s="1331"/>
      <c r="S129" s="1188" cm="1" t="str">
        <f t="array" ref="S129:S129">INDEX('Общие сведения'!$AE$197:$AE$254,MATCH($X129,'Общие сведения'!$Z$197:$Z$254,0))</f>
        <v>Водоотведение</v>
      </c>
      <c r="T129" s="468">
        <f>X129&gt;0</f>
        <v>1</v>
      </c>
      <c r="U129" s="1331"/>
      <c r="V129" s="118" cm="1" t="str">
        <f t="array" ref="V129:V129">'Плата за негативное возд'!$AB$32</f>
        <v>Тариф 2 (Водоотведение) - тариф на водоотведение (Оказание услуг на территории: город Ленинск-Кузнецкий (ОКТМО: 32719000) - г Ленинск-Кузнецкий)</v>
      </c>
      <c r="W129" s="1331"/>
      <c r="X129" s="1539" t="s">
        <v>299</v>
      </c>
      <c r="Y129" s="1331"/>
      <c r="Z129" s="1529"/>
      <c r="AA129" s="1331"/>
      <c r="AB129" s="377" cm="1" t="str">
        <f t="array" ref="AB129:AB129">'Плата за негативное возд'!$AB$32</f>
        <v>Тариф 2 (Водоотведение) - тариф на водоотведение (Оказание услуг на территории: город Ленинск-Кузнецкий (ОКТМО: 32719000) - г Ленинск-Кузнецкий)</v>
      </c>
      <c r="AC129" s="377"/>
      <c r="AD129" s="377"/>
      <c r="AE129" s="377"/>
      <c r="AF129" s="377"/>
      <c r="AG129" s="377"/>
      <c r="AH129" s="377"/>
      <c r="AI129" s="1331"/>
      <c r="AJ129" s="1331"/>
      <c r="AK129" s="1331"/>
      <c r="AL129" s="1245"/>
      <c r="AM129" s="1331"/>
      <c r="AN129" s="1331"/>
      <c r="AO129" s="1331"/>
      <c r="AP129" s="1331"/>
      <c r="AQ129" s="1331"/>
    </row>
    <row s="4532" customFormat="1" customHeight="1" ht="52.171875">
      <c r="A130" s="704"/>
      <c r="B130" s="433"/>
      <c r="C130" s="704"/>
      <c r="D130" s="704"/>
      <c r="E130" s="697">
        <v>45</v>
      </c>
      <c r="F130" s="50" cm="1" t="str">
        <f t="array" ref="F130:F130">OFFSET(E130,-1,1)</f>
        <v>2</v>
      </c>
      <c r="G130" s="500"/>
      <c r="H130" s="704"/>
      <c r="I130" s="118" t="s">
        <v>344</v>
      </c>
      <c r="J130" s="704"/>
      <c r="K130" s="120"/>
      <c r="L130" s="931"/>
      <c r="M130" s="500"/>
      <c r="N130" s="704"/>
      <c r="O130" s="704"/>
      <c r="P130" s="704"/>
      <c r="Q130" s="704"/>
      <c r="R130" s="704"/>
      <c r="S130" s="704"/>
      <c r="T130" s="468" cm="1" t="str">
        <f t="array" ref="T130:T130">T129</f>
        <v>true</v>
      </c>
      <c r="U130" s="704"/>
      <c r="V130" s="704"/>
      <c r="W130" s="704"/>
      <c r="X130" s="1539"/>
      <c r="Y130" s="704"/>
      <c r="Z130" s="1529"/>
      <c r="AA130" s="704"/>
      <c r="AB130" s="848" t="s">
        <v>1642</v>
      </c>
      <c r="AC130" s="849" t="s">
        <v>1643</v>
      </c>
      <c r="AD130" s="848" t="s">
        <v>1644</v>
      </c>
      <c r="AE130" s="850" t="s">
        <v>936</v>
      </c>
      <c r="AF130" s="851">
        <f>AF132-AF131</f>
        <v>20706.86</v>
      </c>
      <c r="AG130" s="851">
        <f>AG132-AG131</f>
        <v>21603.54</v>
      </c>
      <c r="AH130" s="852" t="s">
        <v>1817</v>
      </c>
      <c r="AI130" s="704"/>
      <c r="AJ130" s="704"/>
      <c r="AK130" s="704"/>
      <c r="AL130" s="1059" t="s">
        <v>1645</v>
      </c>
      <c r="AM130" s="704"/>
      <c r="AN130" s="704"/>
      <c r="AO130" s="704"/>
      <c r="AP130" s="704"/>
      <c r="AQ130" s="704"/>
    </row>
    <row s="4533" customFormat="1" customHeight="1" ht="64.921875">
      <c r="A131" s="704"/>
      <c r="B131" s="433"/>
      <c r="C131" s="704"/>
      <c r="D131" s="704"/>
      <c r="E131" s="697">
        <v>15</v>
      </c>
      <c r="F131" s="50" cm="1" t="str">
        <f t="array" ref="F131:F131">OFFSET(E131,-1,1)</f>
        <v>2</v>
      </c>
      <c r="G131" s="500"/>
      <c r="H131" s="704"/>
      <c r="I131" s="118" t="s">
        <v>566</v>
      </c>
      <c r="J131" s="704"/>
      <c r="K131" s="500"/>
      <c r="L131" s="500"/>
      <c r="M131" s="500"/>
      <c r="N131" s="704"/>
      <c r="O131" s="704"/>
      <c r="P131" s="704"/>
      <c r="Q131" s="704"/>
      <c r="R131" s="704"/>
      <c r="S131" s="704"/>
      <c r="T131" s="468" cm="1" t="str">
        <f t="array" ref="T131:T131">T130</f>
        <v>true</v>
      </c>
      <c r="U131" s="704"/>
      <c r="V131" s="704"/>
      <c r="W131" s="704"/>
      <c r="X131" s="1539"/>
      <c r="Y131" s="704"/>
      <c r="Z131" s="1529"/>
      <c r="AA131" s="704"/>
      <c r="AB131" s="214" t="s">
        <v>290</v>
      </c>
      <c r="AC131" s="215" t="s">
        <v>1646</v>
      </c>
      <c r="AD131" s="207" t="s">
        <v>1647</v>
      </c>
      <c r="AE131" s="230" t="s">
        <v>936</v>
      </c>
      <c r="AF131" s="378">
        <v>184290.84</v>
      </c>
      <c r="AG131" s="378">
        <v>184290.82</v>
      </c>
      <c r="AH131" s="852" t="s">
        <v>1835</v>
      </c>
      <c r="AI131" s="704"/>
      <c r="AJ131" s="704"/>
      <c r="AK131" s="704"/>
      <c r="AL131" s="1059" t="s">
        <v>1648</v>
      </c>
      <c r="AM131" s="704"/>
      <c r="AN131" s="704"/>
      <c r="AO131" s="704"/>
      <c r="AP131" s="704"/>
      <c r="AQ131" s="704"/>
    </row>
    <row s="4534" customFormat="1" customHeight="1" ht="31.171875">
      <c r="A132" s="704"/>
      <c r="B132" s="433"/>
      <c r="C132" s="704"/>
      <c r="D132" s="704"/>
      <c r="E132" s="697">
        <v>15</v>
      </c>
      <c r="F132" s="50" cm="1" t="str">
        <f t="array" ref="F132:F132">OFFSET(E132,-1,1)</f>
        <v>2</v>
      </c>
      <c r="G132" s="143"/>
      <c r="H132" s="143"/>
      <c r="I132" s="428" t="s">
        <v>570</v>
      </c>
      <c r="J132" s="704"/>
      <c r="K132" s="500"/>
      <c r="L132" s="500"/>
      <c r="M132" s="500"/>
      <c r="N132" s="704"/>
      <c r="O132" s="704"/>
      <c r="P132" s="704"/>
      <c r="Q132" s="704"/>
      <c r="R132" s="704"/>
      <c r="S132" s="704"/>
      <c r="T132" s="468" cm="1" t="str">
        <f t="array" ref="T132:T132">T131</f>
        <v>true</v>
      </c>
      <c r="U132" s="704"/>
      <c r="V132" s="704"/>
      <c r="W132" s="704"/>
      <c r="X132" s="1539"/>
      <c r="Y132" s="704"/>
      <c r="Z132" s="1529"/>
      <c r="AA132" s="704"/>
      <c r="AB132" s="214" t="s">
        <v>299</v>
      </c>
      <c r="AC132" s="208" t="s">
        <v>1649</v>
      </c>
      <c r="AD132" s="207" t="s">
        <v>1650</v>
      </c>
      <c r="AE132" s="230" t="s">
        <v>936</v>
      </c>
      <c r="AF132" s="851">
        <f>AF133+AF134+AF146+AF150+AF151+AF152+AF153+AF157+AF158+AF159+AF160+AF163+AF164</f>
        <v>204997.7</v>
      </c>
      <c r="AG132" s="851">
        <f>AG133+AG134+AG146+AG150+AG151+AG152+AG153+AG157+AG158+AG159+AG160+AG163+AG164</f>
        <v>205894.36</v>
      </c>
      <c r="AH132" s="852" t="s">
        <v>1819</v>
      </c>
      <c r="AI132" s="704"/>
      <c r="AJ132" s="704"/>
      <c r="AK132" s="704"/>
      <c r="AL132" s="1059" t="s">
        <v>1651</v>
      </c>
      <c r="AM132" s="704"/>
      <c r="AN132" s="704"/>
      <c r="AO132" s="704"/>
      <c r="AP132" s="704"/>
      <c r="AQ132" s="704"/>
    </row>
    <row s="1656" customFormat="1" customHeight="1" ht="66.421875">
      <c r="A133" s="1331"/>
      <c r="B133" s="1223"/>
      <c r="C133" s="1331"/>
      <c r="D133" s="1331"/>
      <c r="E133" s="623">
        <v>22.5</v>
      </c>
      <c r="F133" s="50" cm="1" t="str">
        <f t="array" ref="F133:F133">OFFSET(E133,-1,1)</f>
        <v>2</v>
      </c>
      <c r="G133" s="428" t="s">
        <v>1652</v>
      </c>
      <c r="H133" s="81"/>
      <c r="I133" s="428" t="s">
        <v>1550</v>
      </c>
      <c r="J133" s="1331"/>
      <c r="K133" s="120"/>
      <c r="L133" s="120"/>
      <c r="M133" s="120"/>
      <c r="N133" s="1331"/>
      <c r="O133" s="1331"/>
      <c r="P133" s="1331"/>
      <c r="Q133" s="1331"/>
      <c r="R133" s="1331"/>
      <c r="S133" s="1441"/>
      <c r="T133" s="468" cm="1" t="str">
        <f t="array" ref="T133:T133">T132</f>
        <v>true</v>
      </c>
      <c r="U133" s="1331"/>
      <c r="V133" s="1331"/>
      <c r="W133" s="1331"/>
      <c r="X133" s="1539"/>
      <c r="Y133" s="1331"/>
      <c r="Z133" s="1529"/>
      <c r="AA133" s="1331"/>
      <c r="AB133" s="295" t="s">
        <v>660</v>
      </c>
      <c r="AC133" s="769" t="s">
        <v>1653</v>
      </c>
      <c r="AD133" s="296" t="s">
        <v>1654</v>
      </c>
      <c r="AE133" s="773" t="s">
        <v>936</v>
      </c>
      <c r="AF133" s="294">
        <v>160209.19</v>
      </c>
      <c r="AG133" s="294">
        <v>165353.93</v>
      </c>
      <c r="AH133" s="853" t="s">
        <v>1836</v>
      </c>
      <c r="AI133" s="1331"/>
      <c r="AJ133" s="1331"/>
      <c r="AK133" s="1331"/>
      <c r="AL133" s="1005" t="s">
        <v>1655</v>
      </c>
      <c r="AM133" s="1331"/>
      <c r="AN133" s="1331"/>
      <c r="AO133" s="1331"/>
      <c r="AP133" s="1331"/>
      <c r="AQ133" s="1331"/>
    </row>
    <row s="1656" customFormat="1" customHeight="1" ht="21.75">
      <c r="A134" s="1331"/>
      <c r="B134" s="1223"/>
      <c r="C134" s="1331"/>
      <c r="D134" s="1331"/>
      <c r="E134" s="623">
        <v>22.5</v>
      </c>
      <c r="F134" s="50" cm="1" t="str">
        <f t="array" ref="F134:F134">OFFSET(E134,-1,1)</f>
        <v>2</v>
      </c>
      <c r="G134" s="428"/>
      <c r="H134" s="81"/>
      <c r="I134" s="428" t="s">
        <v>1553</v>
      </c>
      <c r="J134" s="1331"/>
      <c r="K134" s="120"/>
      <c r="L134" s="120"/>
      <c r="M134" s="120"/>
      <c r="N134" s="1331"/>
      <c r="O134" s="1331"/>
      <c r="P134" s="1331"/>
      <c r="Q134" s="1331"/>
      <c r="R134" s="1331"/>
      <c r="S134" s="1441"/>
      <c r="T134" s="468" cm="1" t="str">
        <f t="array" ref="T134:T134">T133</f>
        <v>true</v>
      </c>
      <c r="U134" s="1331"/>
      <c r="V134" s="1331"/>
      <c r="W134" s="1331"/>
      <c r="X134" s="1539"/>
      <c r="Y134" s="1331"/>
      <c r="Z134" s="1529"/>
      <c r="AA134" s="1331"/>
      <c r="AB134" s="295" t="s">
        <v>664</v>
      </c>
      <c r="AC134" s="769" t="s">
        <v>1656</v>
      </c>
      <c r="AD134" s="296" t="s">
        <v>1657</v>
      </c>
      <c r="AE134" s="773" t="s">
        <v>936</v>
      </c>
      <c r="AF134" s="941">
        <f>SUM(AF135:AF145)</f>
        <v>13900.87</v>
      </c>
      <c r="AG134" s="941">
        <f>SUM(AG135:AG145)</f>
        <v>13515.47</v>
      </c>
      <c r="AH134" s="853"/>
      <c r="AI134" s="1331"/>
      <c r="AJ134" s="1331"/>
      <c r="AK134" s="1331"/>
      <c r="AL134" s="1005" t="s">
        <v>1658</v>
      </c>
      <c r="AM134" s="1331"/>
      <c r="AN134" s="1331"/>
      <c r="AO134" s="1331"/>
      <c r="AP134" s="1331"/>
      <c r="AQ134" s="1331"/>
    </row>
    <row s="1656" customFormat="1" customHeight="1" ht="31.921875">
      <c r="A135" s="1331"/>
      <c r="B135" s="1223"/>
      <c r="C135" s="1331"/>
      <c r="D135" s="1331"/>
      <c r="E135" s="623">
        <v>22.5</v>
      </c>
      <c r="F135" s="50" cm="1" t="str">
        <f t="array" ref="F135:F135">OFFSET(E135,-1,1)</f>
        <v>2</v>
      </c>
      <c r="G135" s="428"/>
      <c r="H135" s="81"/>
      <c r="I135" s="428" t="s">
        <v>1659</v>
      </c>
      <c r="J135" s="1331"/>
      <c r="K135" s="120"/>
      <c r="L135" s="120"/>
      <c r="M135" s="120"/>
      <c r="N135" s="1331"/>
      <c r="O135" s="1331"/>
      <c r="P135" s="1331"/>
      <c r="Q135" s="1331"/>
      <c r="R135" s="1331"/>
      <c r="S135" s="1441"/>
      <c r="T135" s="468" cm="1" t="str">
        <f t="array" ref="T135:T135">T134</f>
        <v>true</v>
      </c>
      <c r="U135" s="1331"/>
      <c r="V135" s="1331"/>
      <c r="W135" s="1331"/>
      <c r="X135" s="1539"/>
      <c r="Y135" s="1331"/>
      <c r="Z135" s="1529"/>
      <c r="AA135" s="1331"/>
      <c r="AB135" s="791" t="s">
        <v>598</v>
      </c>
      <c r="AC135" s="788" t="s">
        <v>1660</v>
      </c>
      <c r="AD135" s="773"/>
      <c r="AE135" s="773" t="s">
        <v>936</v>
      </c>
      <c r="AF135" s="294">
        <v>961.18</v>
      </c>
      <c r="AG135" s="294">
        <v>961.18</v>
      </c>
      <c r="AH135" s="853" t="s">
        <v>1821</v>
      </c>
      <c r="AI135" s="1331"/>
      <c r="AJ135" s="1331"/>
      <c r="AK135" s="1331"/>
      <c r="AL135" s="1005" t="s">
        <v>1661</v>
      </c>
      <c r="AM135" s="1331"/>
      <c r="AN135" s="1331"/>
      <c r="AO135" s="1331"/>
      <c r="AP135" s="1331"/>
      <c r="AQ135" s="1331"/>
    </row>
    <row s="1656" customFormat="1" customHeight="1" ht="14.625">
      <c r="A136" s="1331"/>
      <c r="B136" s="1223"/>
      <c r="C136" s="1331"/>
      <c r="D136" s="1331"/>
      <c r="E136" s="623">
        <v>15</v>
      </c>
      <c r="F136" s="50" cm="1" t="str">
        <f t="array" ref="F136:F136">OFFSET(E136,-1,1)</f>
        <v>2</v>
      </c>
      <c r="G136" s="428"/>
      <c r="H136" s="81"/>
      <c r="I136" s="428" t="s">
        <v>1662</v>
      </c>
      <c r="J136" s="1331"/>
      <c r="K136" s="120"/>
      <c r="L136" s="120"/>
      <c r="M136" s="120"/>
      <c r="N136" s="1331"/>
      <c r="O136" s="1331"/>
      <c r="P136" s="1331"/>
      <c r="Q136" s="1331"/>
      <c r="R136" s="1331"/>
      <c r="S136" s="1441"/>
      <c r="T136" s="468" cm="1" t="str">
        <f t="array" ref="T136:T136">T135</f>
        <v>true</v>
      </c>
      <c r="U136" s="1331"/>
      <c r="V136" s="1331"/>
      <c r="W136" s="1331"/>
      <c r="X136" s="1539"/>
      <c r="Y136" s="1331"/>
      <c r="Z136" s="1529"/>
      <c r="AA136" s="1331"/>
      <c r="AB136" s="791" t="s">
        <v>1663</v>
      </c>
      <c r="AC136" s="788" t="s">
        <v>1664</v>
      </c>
      <c r="AD136" s="773"/>
      <c r="AE136" s="773" t="s">
        <v>936</v>
      </c>
      <c r="AF136" s="294">
        <v>0</v>
      </c>
      <c r="AG136" s="294">
        <f>_xlfn.SUMIFS('Сырье и материалы'!AG$25:AG$112,'Сырье и материалы'!$F$25:$F$112,$F136,'Сырье и материалы'!$AC$25:$AC$112,"Всего по тарифу")</f>
        <v>0</v>
      </c>
      <c r="AH136" s="853"/>
      <c r="AI136" s="1331"/>
      <c r="AJ136" s="1331"/>
      <c r="AK136" s="1331"/>
      <c r="AL136" s="1005" t="s">
        <v>1665</v>
      </c>
      <c r="AM136" s="1331"/>
      <c r="AN136" s="1331"/>
      <c r="AO136" s="1331"/>
      <c r="AP136" s="1331"/>
      <c r="AQ136" s="1331"/>
    </row>
    <row s="1656" customFormat="1" customHeight="1" ht="26.671875">
      <c r="A137" s="1331"/>
      <c r="B137" s="1223"/>
      <c r="C137" s="1331"/>
      <c r="D137" s="1331"/>
      <c r="E137" s="623">
        <v>15</v>
      </c>
      <c r="F137" s="50" cm="1" t="str">
        <f t="array" ref="F137:F137">OFFSET(E137,-1,1)</f>
        <v>2</v>
      </c>
      <c r="G137" s="428"/>
      <c r="H137" s="81"/>
      <c r="I137" s="428" t="s">
        <v>1666</v>
      </c>
      <c r="J137" s="1331"/>
      <c r="K137" s="120"/>
      <c r="L137" s="120"/>
      <c r="M137" s="120"/>
      <c r="N137" s="1331"/>
      <c r="O137" s="1331"/>
      <c r="P137" s="1331"/>
      <c r="Q137" s="1331"/>
      <c r="R137" s="1331"/>
      <c r="S137" s="1441"/>
      <c r="T137" s="468" cm="1" t="str">
        <f t="array" ref="T137:T137">T136</f>
        <v>true</v>
      </c>
      <c r="U137" s="1331"/>
      <c r="V137" s="1331"/>
      <c r="W137" s="1331"/>
      <c r="X137" s="1539"/>
      <c r="Y137" s="1331"/>
      <c r="Z137" s="1529"/>
      <c r="AA137" s="1331"/>
      <c r="AB137" s="791" t="s">
        <v>1667</v>
      </c>
      <c r="AC137" s="788" t="s">
        <v>1668</v>
      </c>
      <c r="AD137" s="773"/>
      <c r="AE137" s="773" t="s">
        <v>936</v>
      </c>
      <c r="AF137" s="294">
        <v>1674.18</v>
      </c>
      <c r="AG137" s="294">
        <v>1672.56</v>
      </c>
      <c r="AH137" s="853" t="s">
        <v>1837</v>
      </c>
      <c r="AI137" s="1331"/>
      <c r="AJ137" s="1331"/>
      <c r="AK137" s="1331"/>
      <c r="AL137" s="1005" t="s">
        <v>1669</v>
      </c>
      <c r="AM137" s="1331"/>
      <c r="AN137" s="1331"/>
      <c r="AO137" s="1331"/>
      <c r="AP137" s="1331"/>
      <c r="AQ137" s="1331"/>
    </row>
    <row s="1656" customFormat="1" customHeight="1" ht="65.8125">
      <c r="A138" s="1331"/>
      <c r="B138" s="1223"/>
      <c r="C138" s="1331"/>
      <c r="D138" s="1331"/>
      <c r="E138" s="623">
        <v>67.5</v>
      </c>
      <c r="F138" s="50" cm="1" t="str">
        <f t="array" ref="F138:F138">OFFSET(E138,-1,1)</f>
        <v>2</v>
      </c>
      <c r="G138" s="103" t="s">
        <v>1670</v>
      </c>
      <c r="H138" s="81"/>
      <c r="I138" s="496" t="s">
        <v>1671</v>
      </c>
      <c r="J138" s="1331"/>
      <c r="K138" s="120"/>
      <c r="L138" s="120"/>
      <c r="M138" s="120"/>
      <c r="N138" s="1331"/>
      <c r="O138" s="1331"/>
      <c r="P138" s="1331"/>
      <c r="Q138" s="1331"/>
      <c r="R138" s="1331"/>
      <c r="S138" s="1441"/>
      <c r="T138" s="468" cm="1" t="str">
        <f t="array" ref="T138:T138">T137</f>
        <v>true</v>
      </c>
      <c r="U138" s="1331"/>
      <c r="V138" s="1331"/>
      <c r="W138" s="1331"/>
      <c r="X138" s="1539"/>
      <c r="Y138" s="1331"/>
      <c r="Z138" s="1529"/>
      <c r="AA138" s="1331"/>
      <c r="AB138" s="791" t="s">
        <v>1672</v>
      </c>
      <c r="AC138" s="788" t="s">
        <v>1673</v>
      </c>
      <c r="AD138" s="773"/>
      <c r="AE138" s="773" t="s">
        <v>936</v>
      </c>
      <c r="AF138" s="294">
        <v>0</v>
      </c>
      <c r="AG138" s="294">
        <f>IF(AND(method_reg="Метод индексации",first_year=god),_xlfn.SUMIFS('Калькуляция (МИ)'!$AG$25:$AG$603,'Калькуляция (МИ)'!$F$25:$F$603,$F138,'Калькуляция (МИ)'!$G$25:$G$603,$G138),_xlfn.SUMIFS('Калькуляция (МИ корр)'!$AG$25:$AG$606,'Калькуляция (МИ корр)'!$F$25:$F$606,$F138,'Калькуляция (МИ корр)'!$G$25:$G$606,$G138))</f>
        <v>0</v>
      </c>
      <c r="AH138" s="853"/>
      <c r="AI138" s="1331"/>
      <c r="AJ138" s="1331"/>
      <c r="AK138" s="1331"/>
      <c r="AL138" s="1005" t="s">
        <v>1674</v>
      </c>
      <c r="AM138" s="1331"/>
      <c r="AN138" s="1331"/>
      <c r="AO138" s="1331"/>
      <c r="AP138" s="1331"/>
      <c r="AQ138" s="1331"/>
    </row>
    <row s="1656" customFormat="1" customHeight="1" ht="25.921875">
      <c r="A139" s="1331"/>
      <c r="B139" s="1223"/>
      <c r="C139" s="1331"/>
      <c r="D139" s="1331"/>
      <c r="E139" s="623">
        <v>15</v>
      </c>
      <c r="F139" s="50" cm="1" t="str">
        <f t="array" ref="F139:F139">OFFSET(E139,-1,1)</f>
        <v>2</v>
      </c>
      <c r="G139" s="103" t="s">
        <v>1192</v>
      </c>
      <c r="H139" s="81"/>
      <c r="I139" s="496" t="s">
        <v>1675</v>
      </c>
      <c r="J139" s="1331"/>
      <c r="K139" s="120"/>
      <c r="L139" s="120"/>
      <c r="M139" s="120"/>
      <c r="N139" s="1331"/>
      <c r="O139" s="1331"/>
      <c r="P139" s="1331"/>
      <c r="Q139" s="1331"/>
      <c r="R139" s="1331"/>
      <c r="S139" s="1441"/>
      <c r="T139" s="468" cm="1" t="str">
        <f t="array" ref="T139:T139">T138</f>
        <v>true</v>
      </c>
      <c r="U139" s="1331"/>
      <c r="V139" s="1331"/>
      <c r="W139" s="1331"/>
      <c r="X139" s="1539"/>
      <c r="Y139" s="1331"/>
      <c r="Z139" s="1529"/>
      <c r="AA139" s="1331"/>
      <c r="AB139" s="791" t="s">
        <v>1676</v>
      </c>
      <c r="AC139" s="788" t="s">
        <v>1677</v>
      </c>
      <c r="AD139" s="773"/>
      <c r="AE139" s="773" t="s">
        <v>936</v>
      </c>
      <c r="AF139" s="294">
        <v>318.39</v>
      </c>
      <c r="AG139" s="294">
        <v>318.39</v>
      </c>
      <c r="AH139" s="853" t="s">
        <v>1823</v>
      </c>
      <c r="AI139" s="1331"/>
      <c r="AJ139" s="1331"/>
      <c r="AK139" s="1331"/>
      <c r="AL139" s="1005" t="s">
        <v>1678</v>
      </c>
      <c r="AM139" s="1331"/>
      <c r="AN139" s="1331"/>
      <c r="AO139" s="1331"/>
      <c r="AP139" s="1331"/>
      <c r="AQ139" s="1331"/>
    </row>
    <row s="1656" customFormat="1" customHeight="1" ht="22.921875">
      <c r="A140" s="1331"/>
      <c r="B140" s="1223"/>
      <c r="C140" s="1331"/>
      <c r="D140" s="1331"/>
      <c r="E140" s="623">
        <v>15</v>
      </c>
      <c r="F140" s="50" cm="1" t="str">
        <f t="array" ref="F140:F140">OFFSET(E140,-1,1)</f>
        <v>2</v>
      </c>
      <c r="G140" s="103" t="s">
        <v>1679</v>
      </c>
      <c r="H140" s="81"/>
      <c r="I140" s="496" t="s">
        <v>1680</v>
      </c>
      <c r="J140" s="1331"/>
      <c r="K140" s="120"/>
      <c r="L140" s="120"/>
      <c r="M140" s="120"/>
      <c r="N140" s="1331"/>
      <c r="O140" s="1331"/>
      <c r="P140" s="1331"/>
      <c r="Q140" s="1331"/>
      <c r="R140" s="1331"/>
      <c r="S140" s="1441"/>
      <c r="T140" s="468" cm="1" t="str">
        <f t="array" ref="T140:T140">T139</f>
        <v>true</v>
      </c>
      <c r="U140" s="1331"/>
      <c r="V140" s="1331"/>
      <c r="W140" s="1331"/>
      <c r="X140" s="1539"/>
      <c r="Y140" s="1331"/>
      <c r="Z140" s="1529"/>
      <c r="AA140" s="1331"/>
      <c r="AB140" s="791" t="s">
        <v>1681</v>
      </c>
      <c r="AC140" s="788" t="s">
        <v>1682</v>
      </c>
      <c r="AD140" s="773"/>
      <c r="AE140" s="773" t="s">
        <v>936</v>
      </c>
      <c r="AF140" s="294">
        <v>0.95</v>
      </c>
      <c r="AG140" s="294">
        <v>0.95</v>
      </c>
      <c r="AH140" s="853" t="s">
        <v>1824</v>
      </c>
      <c r="AI140" s="1331"/>
      <c r="AJ140" s="1331"/>
      <c r="AK140" s="1331"/>
      <c r="AL140" s="1005" t="s">
        <v>1683</v>
      </c>
      <c r="AM140" s="1331"/>
      <c r="AN140" s="1331"/>
      <c r="AO140" s="1331"/>
      <c r="AP140" s="1331"/>
      <c r="AQ140" s="1331"/>
    </row>
    <row s="1656" customFormat="1" customHeight="1" ht="25.921875">
      <c r="A141" s="1331"/>
      <c r="B141" s="1223"/>
      <c r="C141" s="1331"/>
      <c r="D141" s="1331"/>
      <c r="E141" s="623">
        <v>22.5</v>
      </c>
      <c r="F141" s="50" cm="1" t="str">
        <f t="array" ref="F141:F141">OFFSET(E141,-1,1)</f>
        <v>2</v>
      </c>
      <c r="G141" s="103" t="s">
        <v>1684</v>
      </c>
      <c r="H141" s="81"/>
      <c r="I141" s="496" t="s">
        <v>1685</v>
      </c>
      <c r="J141" s="1331"/>
      <c r="K141" s="120"/>
      <c r="L141" s="120"/>
      <c r="M141" s="120"/>
      <c r="N141" s="1331"/>
      <c r="O141" s="1331"/>
      <c r="P141" s="1331"/>
      <c r="Q141" s="1331"/>
      <c r="R141" s="1331"/>
      <c r="S141" s="1441"/>
      <c r="T141" s="468" cm="1" t="str">
        <f t="array" ref="T141:T141">T140</f>
        <v>true</v>
      </c>
      <c r="U141" s="1331"/>
      <c r="V141" s="1331"/>
      <c r="W141" s="1331"/>
      <c r="X141" s="1539"/>
      <c r="Y141" s="1331"/>
      <c r="Z141" s="1529"/>
      <c r="AA141" s="1331"/>
      <c r="AB141" s="791" t="s">
        <v>1686</v>
      </c>
      <c r="AC141" s="788" t="s">
        <v>1687</v>
      </c>
      <c r="AD141" s="773"/>
      <c r="AE141" s="773" t="s">
        <v>936</v>
      </c>
      <c r="AF141" s="294"/>
      <c r="AG141" s="294">
        <f>IF(AND(method_reg="Метод индексации",first_year=god),_xlfn.SUMIFS('Калькуляция (МИ)'!$AG$25:$AG$603,'Калькуляция (МИ)'!$F$25:$F$603,$F141,'Калькуляция (МИ)'!$G$25:$G$603,$G141),_xlfn.SUMIFS('Калькуляция (МИ корр)'!$AG$25:$AG$606,'Калькуляция (МИ корр)'!$F$25:$F$606,$F141,'Калькуляция (МИ корр)'!$G$25:$G$606,$G141))</f>
        <v>0</v>
      </c>
      <c r="AH141" s="853"/>
      <c r="AI141" s="1331"/>
      <c r="AJ141" s="1331"/>
      <c r="AK141" s="1331"/>
      <c r="AL141" s="1005" t="s">
        <v>1688</v>
      </c>
      <c r="AM141" s="1331"/>
      <c r="AN141" s="1331"/>
      <c r="AO141" s="1331"/>
      <c r="AP141" s="1331"/>
      <c r="AQ141" s="1331"/>
    </row>
    <row s="1656" customFormat="1" customHeight="1" ht="21.75">
      <c r="A142" s="1331"/>
      <c r="B142" s="1223"/>
      <c r="C142" s="1331"/>
      <c r="D142" s="1331"/>
      <c r="E142" s="623">
        <v>22.5</v>
      </c>
      <c r="F142" s="50" cm="1" t="str">
        <f t="array" ref="F142:F142">OFFSET(E142,-1,1)</f>
        <v>2</v>
      </c>
      <c r="G142" s="103" t="s">
        <v>1689</v>
      </c>
      <c r="H142" s="81"/>
      <c r="I142" s="496" t="s">
        <v>1690</v>
      </c>
      <c r="J142" s="1331"/>
      <c r="K142" s="120"/>
      <c r="L142" s="120"/>
      <c r="M142" s="120"/>
      <c r="N142" s="1331"/>
      <c r="O142" s="1331"/>
      <c r="P142" s="1331"/>
      <c r="Q142" s="1331"/>
      <c r="R142" s="1331"/>
      <c r="S142" s="1441"/>
      <c r="T142" s="468" cm="1" t="str">
        <f t="array" ref="T142:T142">T141</f>
        <v>true</v>
      </c>
      <c r="U142" s="1331"/>
      <c r="V142" s="1331"/>
      <c r="W142" s="1331"/>
      <c r="X142" s="1539"/>
      <c r="Y142" s="1331"/>
      <c r="Z142" s="1529"/>
      <c r="AA142" s="1331"/>
      <c r="AB142" s="791" t="s">
        <v>1691</v>
      </c>
      <c r="AC142" s="788" t="s">
        <v>1692</v>
      </c>
      <c r="AD142" s="942"/>
      <c r="AE142" s="773" t="s">
        <v>936</v>
      </c>
      <c r="AF142" s="294"/>
      <c r="AG142" s="294">
        <f>IF(AND(method_reg="Метод индексации",first_year=god),_xlfn.SUMIFS('Калькуляция (МИ)'!$AG$25:$AG$603,'Калькуляция (МИ)'!$F$25:$F$603,$F142,'Калькуляция (МИ)'!$G$25:$G$603,$G142),_xlfn.SUMIFS('Калькуляция (МИ корр)'!$AG$25:$AG$606,'Калькуляция (МИ корр)'!$F$25:$F$606,$F142,'Калькуляция (МИ корр)'!$G$25:$G$606,$G142))</f>
        <v>0</v>
      </c>
      <c r="AH142" s="853"/>
      <c r="AI142" s="1331"/>
      <c r="AJ142" s="1331"/>
      <c r="AK142" s="1331"/>
      <c r="AL142" s="1005" t="s">
        <v>1693</v>
      </c>
      <c r="AM142" s="1331"/>
      <c r="AN142" s="1331"/>
      <c r="AO142" s="1331"/>
      <c r="AP142" s="1331"/>
      <c r="AQ142" s="1331"/>
    </row>
    <row s="1656" customFormat="1" customHeight="1" ht="26.671875">
      <c r="A143" s="1331"/>
      <c r="B143" s="1223"/>
      <c r="C143" s="1331"/>
      <c r="D143" s="1331"/>
      <c r="E143" s="623">
        <v>22.5</v>
      </c>
      <c r="F143" s="50" cm="1" t="str">
        <f t="array" ref="F143:F143">OFFSET(E143,-1,1)</f>
        <v>2</v>
      </c>
      <c r="G143" s="103" t="s">
        <v>1694</v>
      </c>
      <c r="H143" s="81"/>
      <c r="I143" s="496" t="s">
        <v>1695</v>
      </c>
      <c r="J143" s="1331"/>
      <c r="K143" s="120"/>
      <c r="L143" s="120"/>
      <c r="M143" s="120"/>
      <c r="N143" s="1331"/>
      <c r="O143" s="1331"/>
      <c r="P143" s="1331"/>
      <c r="Q143" s="1331"/>
      <c r="R143" s="1331"/>
      <c r="S143" s="1441"/>
      <c r="T143" s="468" cm="1" t="str">
        <f t="array" ref="T143:T143">T142</f>
        <v>true</v>
      </c>
      <c r="U143" s="1331"/>
      <c r="V143" s="1331"/>
      <c r="W143" s="1331"/>
      <c r="X143" s="1539"/>
      <c r="Y143" s="1331"/>
      <c r="Z143" s="1529"/>
      <c r="AA143" s="1331"/>
      <c r="AB143" s="791" t="s">
        <v>1696</v>
      </c>
      <c r="AC143" s="788" t="s">
        <v>1697</v>
      </c>
      <c r="AD143" s="942"/>
      <c r="AE143" s="773" t="s">
        <v>936</v>
      </c>
      <c r="AF143" s="294">
        <v>10751.88</v>
      </c>
      <c r="AG143" s="294">
        <f>10751.89-383.79</f>
        <v>10368.1</v>
      </c>
      <c r="AH143" s="853" t="s">
        <v>1838</v>
      </c>
      <c r="AI143" s="1331"/>
      <c r="AJ143" s="1331"/>
      <c r="AK143" s="1331"/>
      <c r="AL143" s="1005" t="s">
        <v>1698</v>
      </c>
      <c r="AM143" s="1331"/>
      <c r="AN143" s="1331"/>
      <c r="AO143" s="1331"/>
      <c r="AP143" s="1331"/>
      <c r="AQ143" s="1331"/>
    </row>
    <row s="1656" customFormat="1" customHeight="1" ht="49.171875">
      <c r="A144" s="1331"/>
      <c r="B144" s="1223"/>
      <c r="C144" s="1331"/>
      <c r="D144" s="1331"/>
      <c r="E144" s="623">
        <v>15</v>
      </c>
      <c r="F144" s="50" cm="1" t="str">
        <f t="array" ref="F144:F144">OFFSET(E144,-1,1)</f>
        <v>2</v>
      </c>
      <c r="G144" s="103" t="s">
        <v>1699</v>
      </c>
      <c r="H144" s="81"/>
      <c r="I144" s="496" t="s">
        <v>1700</v>
      </c>
      <c r="J144" s="1331"/>
      <c r="K144" s="120"/>
      <c r="L144" s="120"/>
      <c r="M144" s="120"/>
      <c r="N144" s="1331"/>
      <c r="O144" s="1331"/>
      <c r="P144" s="1331"/>
      <c r="Q144" s="1331"/>
      <c r="R144" s="1331"/>
      <c r="S144" s="1441"/>
      <c r="T144" s="468" cm="1" t="str">
        <f t="array" ref="T144:T144">T143</f>
        <v>true</v>
      </c>
      <c r="U144" s="1331"/>
      <c r="V144" s="1331"/>
      <c r="W144" s="1331"/>
      <c r="X144" s="1539"/>
      <c r="Y144" s="1331"/>
      <c r="Z144" s="1529"/>
      <c r="AA144" s="1331"/>
      <c r="AB144" s="791" t="s">
        <v>1701</v>
      </c>
      <c r="AC144" s="788" t="s">
        <v>1702</v>
      </c>
      <c r="AD144" s="942"/>
      <c r="AE144" s="773" t="s">
        <v>936</v>
      </c>
      <c r="AF144" s="294">
        <v>194.29</v>
      </c>
      <c r="AG144" s="294">
        <v>194.29</v>
      </c>
      <c r="AH144" s="853" t="s">
        <v>1839</v>
      </c>
      <c r="AI144" s="1331"/>
      <c r="AJ144" s="1331"/>
      <c r="AK144" s="1331"/>
      <c r="AL144" s="1005" t="s">
        <v>1703</v>
      </c>
      <c r="AM144" s="1331"/>
      <c r="AN144" s="1331"/>
      <c r="AO144" s="1331"/>
      <c r="AP144" s="1331"/>
      <c r="AQ144" s="1331"/>
    </row>
    <row s="1656" customFormat="1" customHeight="1" ht="23.25">
      <c r="A145" s="1331"/>
      <c r="B145" s="1223"/>
      <c r="C145" s="1331"/>
      <c r="D145" s="1331"/>
      <c r="E145" s="623">
        <v>22.5</v>
      </c>
      <c r="F145" s="50" cm="1" t="str">
        <f t="array" ref="F145:F145">OFFSET(E145,-1,1)</f>
        <v>2</v>
      </c>
      <c r="G145" s="103" t="s">
        <v>1704</v>
      </c>
      <c r="H145" s="81"/>
      <c r="I145" s="496" t="s">
        <v>1705</v>
      </c>
      <c r="J145" s="1331"/>
      <c r="K145" s="120"/>
      <c r="L145" s="120"/>
      <c r="M145" s="120"/>
      <c r="N145" s="1331"/>
      <c r="O145" s="1331"/>
      <c r="P145" s="1331"/>
      <c r="Q145" s="1331"/>
      <c r="R145" s="1331"/>
      <c r="S145" s="1441"/>
      <c r="T145" s="468" cm="1" t="str">
        <f t="array" ref="T145:T145">T144</f>
        <v>true</v>
      </c>
      <c r="U145" s="1331"/>
      <c r="V145" s="1331"/>
      <c r="W145" s="1331"/>
      <c r="X145" s="1539"/>
      <c r="Y145" s="1331"/>
      <c r="Z145" s="1529"/>
      <c r="AA145" s="1331"/>
      <c r="AB145" s="791" t="s">
        <v>1706</v>
      </c>
      <c r="AC145" s="788" t="s">
        <v>1707</v>
      </c>
      <c r="AD145" s="942"/>
      <c r="AE145" s="773" t="s">
        <v>936</v>
      </c>
      <c r="AF145" s="294">
        <v>0</v>
      </c>
      <c r="AG145" s="294">
        <f>IF(AND(method_reg="Метод индексации",first_year=god),_xlfn.SUMIFS('Калькуляция (МИ)'!$AG$25:$AG$603,'Калькуляция (МИ)'!$F$25:$F$603,$F145,'Калькуляция (МИ)'!$G$25:$G$603,$G145),_xlfn.SUMIFS('Калькуляция (МИ корр)'!$AG$25:$AG$606,'Калькуляция (МИ корр)'!$F$25:$F$606,$F145,'Калькуляция (МИ корр)'!$G$25:$G$606,$G145))</f>
        <v>0</v>
      </c>
      <c r="AH145" s="853"/>
      <c r="AI145" s="1331"/>
      <c r="AJ145" s="1331"/>
      <c r="AK145" s="1331"/>
      <c r="AL145" s="1005" t="s">
        <v>1708</v>
      </c>
      <c r="AM145" s="1331"/>
      <c r="AN145" s="1331"/>
      <c r="AO145" s="1331"/>
      <c r="AP145" s="1331"/>
      <c r="AQ145" s="1331"/>
    </row>
    <row s="1656" customFormat="1" customHeight="1" ht="25.921875">
      <c r="A146" s="1331"/>
      <c r="B146" s="1223"/>
      <c r="C146" s="1331"/>
      <c r="D146" s="1331"/>
      <c r="E146" s="623">
        <v>15</v>
      </c>
      <c r="F146" s="50" cm="1" t="str">
        <f t="array" ref="F146:F146">OFFSET(E146,-1,1)</f>
        <v>2</v>
      </c>
      <c r="G146" s="428"/>
      <c r="H146" s="81"/>
      <c r="I146" s="428" t="s">
        <v>1557</v>
      </c>
      <c r="J146" s="1331"/>
      <c r="K146" s="120"/>
      <c r="L146" s="120"/>
      <c r="M146" s="120"/>
      <c r="N146" s="1331"/>
      <c r="O146" s="1331"/>
      <c r="P146" s="1331"/>
      <c r="Q146" s="1331"/>
      <c r="R146" s="1331"/>
      <c r="S146" s="1441"/>
      <c r="T146" s="468" cm="1" t="str">
        <f t="array" ref="T146:T146">T145</f>
        <v>true</v>
      </c>
      <c r="U146" s="1331"/>
      <c r="V146" s="1331"/>
      <c r="W146" s="1331"/>
      <c r="X146" s="1539"/>
      <c r="Y146" s="1331"/>
      <c r="Z146" s="1529"/>
      <c r="AA146" s="1331"/>
      <c r="AB146" s="295" t="s">
        <v>668</v>
      </c>
      <c r="AC146" s="769" t="s">
        <v>1709</v>
      </c>
      <c r="AD146" s="296" t="s">
        <v>1710</v>
      </c>
      <c r="AE146" s="773" t="s">
        <v>936</v>
      </c>
      <c r="AF146" s="294">
        <v>25260.05</v>
      </c>
      <c r="AG146" s="294">
        <v>25321.48</v>
      </c>
      <c r="AH146" s="853" t="s">
        <v>1840</v>
      </c>
      <c r="AI146" s="1331"/>
      <c r="AJ146" s="1331"/>
      <c r="AK146" s="1331"/>
      <c r="AL146" s="1005" t="s">
        <v>1711</v>
      </c>
      <c r="AM146" s="1331"/>
      <c r="AN146" s="1331"/>
      <c r="AO146" s="1331"/>
      <c r="AP146" s="1331"/>
      <c r="AQ146" s="1331"/>
    </row>
    <row s="1656" customFormat="1" customHeight="1" ht="39.421875">
      <c r="A147" s="1331"/>
      <c r="B147" s="1223"/>
      <c r="C147" s="1331"/>
      <c r="D147" s="1331"/>
      <c r="E147" s="623">
        <v>22.5</v>
      </c>
      <c r="F147" s="50" cm="1" t="str">
        <f t="array" ref="F147:F147">OFFSET(E147,-1,1)</f>
        <v>2</v>
      </c>
      <c r="G147" s="428"/>
      <c r="H147" s="81"/>
      <c r="I147" s="428" t="s">
        <v>1712</v>
      </c>
      <c r="J147" s="1331"/>
      <c r="K147" s="120"/>
      <c r="L147" s="120"/>
      <c r="M147" s="120"/>
      <c r="N147" s="1331"/>
      <c r="O147" s="1331"/>
      <c r="P147" s="1331"/>
      <c r="Q147" s="1331"/>
      <c r="R147" s="1331"/>
      <c r="S147" s="1441"/>
      <c r="T147" s="468" cm="1" t="str">
        <f t="array" ref="T147:T147">T146</f>
        <v>true</v>
      </c>
      <c r="U147" s="1331"/>
      <c r="V147" s="1331"/>
      <c r="W147" s="1331"/>
      <c r="X147" s="1539"/>
      <c r="Y147" s="1331"/>
      <c r="Z147" s="1529"/>
      <c r="AA147" s="1331"/>
      <c r="AB147" s="295" t="s">
        <v>603</v>
      </c>
      <c r="AC147" s="772" t="s">
        <v>1713</v>
      </c>
      <c r="AD147" s="296" t="s">
        <v>1714</v>
      </c>
      <c r="AE147" s="773" t="s">
        <v>981</v>
      </c>
      <c r="AF147" s="294" cm="1" t="str">
        <f t="array" ref="AF147:AF147">ЭЭ!AF96</f>
        <v>0.692281374226415</v>
      </c>
      <c r="AG147" s="294" cm="1" t="str">
        <f t="array" ref="AG147:AG147">ЭЭ!AG96</f>
        <v>0.692281106515103</v>
      </c>
      <c r="AH147" s="853" t="s">
        <v>1038</v>
      </c>
      <c r="AI147" s="1331"/>
      <c r="AJ147" s="1331"/>
      <c r="AK147" s="1331"/>
      <c r="AL147" s="1005" t="s">
        <v>1715</v>
      </c>
      <c r="AM147" s="1331"/>
      <c r="AN147" s="1331"/>
      <c r="AO147" s="1331"/>
      <c r="AP147" s="1331"/>
      <c r="AQ147" s="1331"/>
    </row>
    <row s="1656" customFormat="1" customHeight="1" ht="34.921875">
      <c r="A148" s="1331"/>
      <c r="B148" s="1223"/>
      <c r="C148" s="1331"/>
      <c r="D148" s="1331"/>
      <c r="E148" s="623">
        <v>15</v>
      </c>
      <c r="F148" s="50" cm="1" t="str">
        <f t="array" ref="F148:F148">OFFSET(E148,-1,1)</f>
        <v>2</v>
      </c>
      <c r="G148" s="428"/>
      <c r="H148" s="81"/>
      <c r="I148" s="428" t="s">
        <v>1716</v>
      </c>
      <c r="J148" s="1331"/>
      <c r="K148" s="120"/>
      <c r="L148" s="120"/>
      <c r="M148" s="120"/>
      <c r="N148" s="1331"/>
      <c r="O148" s="1331"/>
      <c r="P148" s="1331"/>
      <c r="Q148" s="1331"/>
      <c r="R148" s="1331"/>
      <c r="S148" s="1441"/>
      <c r="T148" s="468" cm="1" t="str">
        <f t="array" ref="T148:T148">T147</f>
        <v>true</v>
      </c>
      <c r="U148" s="1331"/>
      <c r="V148" s="1331"/>
      <c r="W148" s="1331"/>
      <c r="X148" s="1539"/>
      <c r="Y148" s="1331"/>
      <c r="Z148" s="1529"/>
      <c r="AA148" s="1331"/>
      <c r="AB148" s="295" t="s">
        <v>1717</v>
      </c>
      <c r="AC148" s="772" t="s">
        <v>1718</v>
      </c>
      <c r="AD148" s="296" t="s">
        <v>1719</v>
      </c>
      <c r="AE148" s="773" t="s">
        <v>975</v>
      </c>
      <c r="AF148" s="294" cm="1" t="str">
        <f t="array" ref="AF148:AF148">ЭЭ!AF94</f>
        <v>7470.734</v>
      </c>
      <c r="AG148" s="294" cm="1" t="str">
        <f t="array" ref="AG148:AG148">ЭЭ!AG94</f>
        <v>7470.734</v>
      </c>
      <c r="AH148" s="853" t="s">
        <v>1037</v>
      </c>
      <c r="AI148" s="1331"/>
      <c r="AJ148" s="1331"/>
      <c r="AK148" s="1331"/>
      <c r="AL148" s="1005" t="s">
        <v>1720</v>
      </c>
      <c r="AM148" s="1331"/>
      <c r="AN148" s="1331"/>
      <c r="AO148" s="1331"/>
      <c r="AP148" s="1331"/>
      <c r="AQ148" s="1331"/>
    </row>
    <row s="1656" customFormat="1" customHeight="1" ht="21.9375">
      <c r="A149" s="1331"/>
      <c r="B149" s="1223"/>
      <c r="C149" s="1331"/>
      <c r="D149" s="1331"/>
      <c r="E149" s="623">
        <v>22.5</v>
      </c>
      <c r="F149" s="50" cm="1" t="str">
        <f t="array" ref="F149:F149">OFFSET(E149,-1,1)</f>
        <v>2</v>
      </c>
      <c r="G149" s="428"/>
      <c r="H149" s="81"/>
      <c r="I149" s="428" t="s">
        <v>1721</v>
      </c>
      <c r="J149" s="1331"/>
      <c r="K149" s="120"/>
      <c r="L149" s="120"/>
      <c r="M149" s="120"/>
      <c r="N149" s="1331"/>
      <c r="O149" s="1331"/>
      <c r="P149" s="1331"/>
      <c r="Q149" s="1331"/>
      <c r="R149" s="1331"/>
      <c r="S149" s="1441"/>
      <c r="T149" s="468" cm="1" t="str">
        <f t="array" ref="T149:T149">T148</f>
        <v>true</v>
      </c>
      <c r="U149" s="1331"/>
      <c r="V149" s="1331"/>
      <c r="W149" s="1331"/>
      <c r="X149" s="1539"/>
      <c r="Y149" s="1331"/>
      <c r="Z149" s="1529"/>
      <c r="AA149" s="1331"/>
      <c r="AB149" s="295" t="s">
        <v>1722</v>
      </c>
      <c r="AC149" s="772" t="s">
        <v>1723</v>
      </c>
      <c r="AD149" s="296" t="s">
        <v>1724</v>
      </c>
      <c r="AE149" s="773" t="s">
        <v>978</v>
      </c>
      <c r="AF149" s="294" cm="1" t="str">
        <f t="array" ref="AF149:AF149">ЭЭ!AF95</f>
        <v>4.88414203814882</v>
      </c>
      <c r="AG149" s="294" cm="1" t="str">
        <f t="array" ref="AG149:AG149">ЭЭ!AG95</f>
        <v>4.89602023696188</v>
      </c>
      <c r="AH149" s="853"/>
      <c r="AI149" s="1331"/>
      <c r="AJ149" s="1331"/>
      <c r="AK149" s="1331"/>
      <c r="AL149" s="1005" t="s">
        <v>1725</v>
      </c>
      <c r="AM149" s="1331"/>
      <c r="AN149" s="1331"/>
      <c r="AO149" s="1331"/>
      <c r="AP149" s="1331"/>
      <c r="AQ149" s="1331"/>
    </row>
    <row s="1656" customFormat="1" customHeight="1" ht="31.921875">
      <c r="A150" s="1331"/>
      <c r="B150" s="1223"/>
      <c r="C150" s="1331"/>
      <c r="D150" s="1331"/>
      <c r="E150" s="623">
        <v>22.5</v>
      </c>
      <c r="F150" s="50" cm="1" t="str">
        <f t="array" ref="F150:F150">OFFSET(E150,-1,1)</f>
        <v>2</v>
      </c>
      <c r="G150" s="428" t="s">
        <v>1726</v>
      </c>
      <c r="H150" s="81"/>
      <c r="I150" s="428" t="s">
        <v>1727</v>
      </c>
      <c r="J150" s="1331"/>
      <c r="K150" s="120"/>
      <c r="L150" s="120"/>
      <c r="M150" s="120"/>
      <c r="N150" s="1331"/>
      <c r="O150" s="1331"/>
      <c r="P150" s="1331"/>
      <c r="Q150" s="1331"/>
      <c r="R150" s="1331"/>
      <c r="S150" s="1441"/>
      <c r="T150" s="468" cm="1" t="str">
        <f t="array" ref="T150:T150">T149</f>
        <v>true</v>
      </c>
      <c r="U150" s="1331"/>
      <c r="V150" s="1331"/>
      <c r="W150" s="1331"/>
      <c r="X150" s="1539"/>
      <c r="Y150" s="1331"/>
      <c r="Z150" s="1529"/>
      <c r="AA150" s="1331"/>
      <c r="AB150" s="295" t="s">
        <v>1090</v>
      </c>
      <c r="AC150" s="769" t="s">
        <v>1728</v>
      </c>
      <c r="AD150" s="296" t="s">
        <v>1729</v>
      </c>
      <c r="AE150" s="773" t="s">
        <v>936</v>
      </c>
      <c r="AF150" s="294">
        <v>43.79</v>
      </c>
      <c r="AG150" s="294">
        <v>43.79</v>
      </c>
      <c r="AH150" s="853" t="s">
        <v>1829</v>
      </c>
      <c r="AI150" s="1331"/>
      <c r="AJ150" s="1331"/>
      <c r="AK150" s="1331"/>
      <c r="AL150" s="1005" t="s">
        <v>1435</v>
      </c>
      <c r="AM150" s="1331"/>
      <c r="AN150" s="1331"/>
      <c r="AO150" s="1331"/>
      <c r="AP150" s="1331"/>
      <c r="AQ150" s="1331"/>
    </row>
    <row s="1656" customFormat="1" customHeight="1" ht="46.921875">
      <c r="A151" s="1331"/>
      <c r="B151" s="1223"/>
      <c r="C151" s="1331"/>
      <c r="D151" s="1331"/>
      <c r="E151" s="623">
        <v>15</v>
      </c>
      <c r="F151" s="50" cm="1" t="str">
        <f t="array" ref="F151:F151">OFFSET(E151,-1,1)</f>
        <v>2</v>
      </c>
      <c r="G151" s="428" t="s">
        <v>1730</v>
      </c>
      <c r="H151" s="81"/>
      <c r="I151" s="428" t="s">
        <v>1731</v>
      </c>
      <c r="J151" s="1331"/>
      <c r="K151" s="120"/>
      <c r="L151" s="120"/>
      <c r="M151" s="120"/>
      <c r="N151" s="1331"/>
      <c r="O151" s="1331"/>
      <c r="P151" s="1331"/>
      <c r="Q151" s="1331"/>
      <c r="R151" s="1331"/>
      <c r="S151" s="1441"/>
      <c r="T151" s="468" cm="1" t="str">
        <f t="array" ref="T151:T151">T150</f>
        <v>true</v>
      </c>
      <c r="U151" s="1331"/>
      <c r="V151" s="1331"/>
      <c r="W151" s="1331"/>
      <c r="X151" s="1539"/>
      <c r="Y151" s="1331"/>
      <c r="Z151" s="1529"/>
      <c r="AA151" s="1331"/>
      <c r="AB151" s="295" t="s">
        <v>1093</v>
      </c>
      <c r="AC151" s="943" t="s">
        <v>1732</v>
      </c>
      <c r="AD151" s="296" t="s">
        <v>1733</v>
      </c>
      <c r="AE151" s="773" t="s">
        <v>936</v>
      </c>
      <c r="AF151" s="294">
        <v>1519.75</v>
      </c>
      <c r="AG151" s="294">
        <v>1528.85</v>
      </c>
      <c r="AH151" s="853" t="s">
        <v>1841</v>
      </c>
      <c r="AI151" s="1331"/>
      <c r="AJ151" s="1331"/>
      <c r="AK151" s="1331"/>
      <c r="AL151" s="1005" t="s">
        <v>1734</v>
      </c>
      <c r="AM151" s="1331"/>
      <c r="AN151" s="1331"/>
      <c r="AO151" s="1331"/>
      <c r="AP151" s="1331"/>
      <c r="AQ151" s="1331"/>
    </row>
    <row s="1656" customFormat="1" customHeight="1" ht="67.171875">
      <c r="A152" s="1331"/>
      <c r="B152" s="1223"/>
      <c r="C152" s="1331"/>
      <c r="D152" s="1331"/>
      <c r="E152" s="623">
        <v>15</v>
      </c>
      <c r="F152" s="50" cm="1" t="str">
        <f t="array" ref="F152:F152">OFFSET(E152,-1,1)</f>
        <v>2</v>
      </c>
      <c r="G152" s="103" t="s">
        <v>1735</v>
      </c>
      <c r="H152" s="81"/>
      <c r="I152" s="496" t="s">
        <v>1736</v>
      </c>
      <c r="J152" s="1331"/>
      <c r="K152" s="120"/>
      <c r="L152" s="120"/>
      <c r="M152" s="120"/>
      <c r="N152" s="1331"/>
      <c r="O152" s="1331"/>
      <c r="P152" s="1331"/>
      <c r="Q152" s="1331"/>
      <c r="R152" s="1331"/>
      <c r="S152" s="1441"/>
      <c r="T152" s="468" cm="1" t="str">
        <f t="array" ref="T152:T152">T151</f>
        <v>true</v>
      </c>
      <c r="U152" s="1331"/>
      <c r="V152" s="1331"/>
      <c r="W152" s="1331"/>
      <c r="X152" s="1539"/>
      <c r="Y152" s="1331"/>
      <c r="Z152" s="1529"/>
      <c r="AA152" s="1331"/>
      <c r="AB152" s="295" t="s">
        <v>1737</v>
      </c>
      <c r="AC152" s="769" t="s">
        <v>1738</v>
      </c>
      <c r="AD152" s="296" t="s">
        <v>1739</v>
      </c>
      <c r="AE152" s="773" t="s">
        <v>936</v>
      </c>
      <c r="AF152" s="294">
        <v>9909.35</v>
      </c>
      <c r="AG152" s="294">
        <v>5813.78</v>
      </c>
      <c r="AH152" s="853" t="s">
        <v>1842</v>
      </c>
      <c r="AI152" s="1331"/>
      <c r="AJ152" s="1331"/>
      <c r="AK152" s="1331"/>
      <c r="AL152" s="1005" t="s">
        <v>1740</v>
      </c>
      <c r="AM152" s="1331"/>
      <c r="AN152" s="1331"/>
      <c r="AO152" s="1331"/>
      <c r="AP152" s="1331"/>
      <c r="AQ152" s="1331"/>
    </row>
    <row s="1656" customFormat="1" customHeight="1" ht="23.25">
      <c r="A153" s="1331"/>
      <c r="B153" s="1223"/>
      <c r="C153" s="1331"/>
      <c r="D153" s="1331"/>
      <c r="E153" s="623">
        <v>22.5</v>
      </c>
      <c r="F153" s="50" cm="1" t="str">
        <f t="array" ref="F153:F153">OFFSET(E153,-1,1)</f>
        <v>2</v>
      </c>
      <c r="G153" s="103"/>
      <c r="H153" s="81"/>
      <c r="I153" s="428" t="s">
        <v>1741</v>
      </c>
      <c r="J153" s="1331"/>
      <c r="K153" s="120"/>
      <c r="L153" s="120"/>
      <c r="M153" s="120"/>
      <c r="N153" s="1331"/>
      <c r="O153" s="1331"/>
      <c r="P153" s="1331"/>
      <c r="Q153" s="1331"/>
      <c r="R153" s="1331"/>
      <c r="S153" s="1441"/>
      <c r="T153" s="468" cm="1" t="str">
        <f t="array" ref="T153:T153">T152</f>
        <v>true</v>
      </c>
      <c r="U153" s="1331"/>
      <c r="V153" s="1331"/>
      <c r="W153" s="1331"/>
      <c r="X153" s="1539"/>
      <c r="Y153" s="1331"/>
      <c r="Z153" s="1529"/>
      <c r="AA153" s="1331"/>
      <c r="AB153" s="295" t="s">
        <v>1742</v>
      </c>
      <c r="AC153" s="769" t="s">
        <v>1743</v>
      </c>
      <c r="AD153" s="296"/>
      <c r="AE153" s="773" t="s">
        <v>936</v>
      </c>
      <c r="AF153" s="294">
        <f>AF154+AF155+AF156</f>
        <v>-13279.24</v>
      </c>
      <c r="AG153" s="294">
        <f>AG154+AG155+AG156</f>
        <v>-648.91</v>
      </c>
      <c r="AH153" s="853"/>
      <c r="AI153" s="1331"/>
      <c r="AJ153" s="1331"/>
      <c r="AK153" s="1331"/>
      <c r="AL153" s="1005" t="s">
        <v>1744</v>
      </c>
      <c r="AM153" s="1331"/>
      <c r="AN153" s="1331"/>
      <c r="AO153" s="1331"/>
      <c r="AP153" s="1331"/>
      <c r="AQ153" s="1331"/>
    </row>
    <row s="1656" customFormat="1" customHeight="1" ht="29.671875">
      <c r="A154" s="1331"/>
      <c r="B154" s="1223"/>
      <c r="C154" s="1331"/>
      <c r="D154" s="1331"/>
      <c r="E154" s="623">
        <v>22.5</v>
      </c>
      <c r="F154" s="50" cm="1" t="str">
        <f t="array" ref="F154:F154">OFFSET(E154,-1,1)</f>
        <v>2</v>
      </c>
      <c r="G154" s="428"/>
      <c r="H154" s="81"/>
      <c r="I154" s="428" t="s">
        <v>1745</v>
      </c>
      <c r="J154" s="1331"/>
      <c r="K154" s="120"/>
      <c r="L154" s="120"/>
      <c r="M154" s="120"/>
      <c r="N154" s="1331"/>
      <c r="O154" s="1331"/>
      <c r="P154" s="1331"/>
      <c r="Q154" s="1331"/>
      <c r="R154" s="1331"/>
      <c r="S154" s="1441"/>
      <c r="T154" s="468" cm="1" t="str">
        <f t="array" ref="T154:T154">T153</f>
        <v>true</v>
      </c>
      <c r="U154" s="1331"/>
      <c r="V154" s="1331"/>
      <c r="W154" s="1331"/>
      <c r="X154" s="1539"/>
      <c r="Y154" s="1331"/>
      <c r="Z154" s="1529"/>
      <c r="AA154" s="1331"/>
      <c r="AB154" s="295" t="s">
        <v>1746</v>
      </c>
      <c r="AC154" s="772" t="s">
        <v>1747</v>
      </c>
      <c r="AD154" s="296" t="s">
        <v>1748</v>
      </c>
      <c r="AE154" s="773" t="s">
        <v>936</v>
      </c>
      <c r="AF154" s="294"/>
      <c r="AG154" s="294"/>
      <c r="AH154" s="853"/>
      <c r="AI154" s="1331"/>
      <c r="AJ154" s="1331"/>
      <c r="AK154" s="1331"/>
      <c r="AL154" s="1005" t="s">
        <v>1749</v>
      </c>
      <c r="AM154" s="1331"/>
      <c r="AN154" s="1331"/>
      <c r="AO154" s="1331"/>
      <c r="AP154" s="1331"/>
      <c r="AQ154" s="1331"/>
    </row>
    <row s="1656" customFormat="1" customHeight="1" ht="64.921875">
      <c r="A155" s="1331"/>
      <c r="B155" s="1223"/>
      <c r="C155" s="1331"/>
      <c r="D155" s="1331"/>
      <c r="E155" s="623">
        <v>15</v>
      </c>
      <c r="F155" s="50" cm="1" t="str">
        <f t="array" ref="F155:F155">OFFSET(E155,-1,1)</f>
        <v>2</v>
      </c>
      <c r="G155" s="428"/>
      <c r="H155" s="81"/>
      <c r="I155" s="428" t="s">
        <v>1750</v>
      </c>
      <c r="J155" s="1331"/>
      <c r="K155" s="120"/>
      <c r="L155" s="120"/>
      <c r="M155" s="120"/>
      <c r="N155" s="1331"/>
      <c r="O155" s="1331"/>
      <c r="P155" s="1331"/>
      <c r="Q155" s="1331"/>
      <c r="R155" s="1331"/>
      <c r="S155" s="1441"/>
      <c r="T155" s="468" cm="1" t="str">
        <f t="array" ref="T155:T155">T154</f>
        <v>true</v>
      </c>
      <c r="U155" s="1331"/>
      <c r="V155" s="1331"/>
      <c r="W155" s="1331"/>
      <c r="X155" s="1539"/>
      <c r="Y155" s="1331"/>
      <c r="Z155" s="1529"/>
      <c r="AA155" s="1331"/>
      <c r="AB155" s="295" t="s">
        <v>1751</v>
      </c>
      <c r="AC155" s="772" t="s">
        <v>1752</v>
      </c>
      <c r="AD155" s="296" t="s">
        <v>1753</v>
      </c>
      <c r="AE155" s="773" t="s">
        <v>936</v>
      </c>
      <c r="AF155" s="294">
        <v>-13279.24</v>
      </c>
      <c r="AG155" s="294">
        <v>-648.91</v>
      </c>
      <c r="AH155" s="853" t="s">
        <v>1832</v>
      </c>
      <c r="AI155" s="1331"/>
      <c r="AJ155" s="1331"/>
      <c r="AK155" s="1331"/>
      <c r="AL155" s="1005" t="s">
        <v>1754</v>
      </c>
      <c r="AM155" s="1331"/>
      <c r="AN155" s="1331"/>
      <c r="AO155" s="1331"/>
      <c r="AP155" s="1331"/>
      <c r="AQ155" s="1331"/>
    </row>
    <row s="1656" customFormat="1" customHeight="1" ht="44.25">
      <c r="A156" s="1331"/>
      <c r="B156" s="1223"/>
      <c r="C156" s="1331"/>
      <c r="D156" s="1331"/>
      <c r="E156" s="623">
        <v>45</v>
      </c>
      <c r="F156" s="50" cm="1" t="str">
        <f t="array" ref="F156:F156">OFFSET(E156,-1,1)</f>
        <v>2</v>
      </c>
      <c r="G156" s="428"/>
      <c r="H156" s="81"/>
      <c r="I156" s="428" t="s">
        <v>1755</v>
      </c>
      <c r="J156" s="1331"/>
      <c r="K156" s="120"/>
      <c r="L156" s="120"/>
      <c r="M156" s="120"/>
      <c r="N156" s="1331"/>
      <c r="O156" s="1331"/>
      <c r="P156" s="1331"/>
      <c r="Q156" s="1331"/>
      <c r="R156" s="1331"/>
      <c r="S156" s="1441"/>
      <c r="T156" s="468" cm="1" t="str">
        <f t="array" ref="T156:T156">T155</f>
        <v>true</v>
      </c>
      <c r="U156" s="1331"/>
      <c r="V156" s="1331"/>
      <c r="W156" s="1331"/>
      <c r="X156" s="1539"/>
      <c r="Y156" s="1331"/>
      <c r="Z156" s="1529"/>
      <c r="AA156" s="1331"/>
      <c r="AB156" s="295" t="s">
        <v>1756</v>
      </c>
      <c r="AC156" s="772" t="s">
        <v>1757</v>
      </c>
      <c r="AD156" s="773" t="s">
        <v>1758</v>
      </c>
      <c r="AE156" s="773" t="s">
        <v>936</v>
      </c>
      <c r="AF156" s="294"/>
      <c r="AG156" s="294"/>
      <c r="AH156" s="853"/>
      <c r="AI156" s="1331"/>
      <c r="AJ156" s="1331"/>
      <c r="AK156" s="1331"/>
      <c r="AL156" s="1005" t="s">
        <v>1759</v>
      </c>
      <c r="AM156" s="1331"/>
      <c r="AN156" s="1331"/>
      <c r="AO156" s="1331"/>
      <c r="AP156" s="1331"/>
      <c r="AQ156" s="1331"/>
    </row>
    <row s="1656" customFormat="1" customHeight="1" ht="23.25">
      <c r="A157" s="1331"/>
      <c r="B157" s="1223"/>
      <c r="C157" s="1331"/>
      <c r="D157" s="1331"/>
      <c r="E157" s="623">
        <v>22.5</v>
      </c>
      <c r="F157" s="50" cm="1" t="str">
        <f t="array" ref="F157:F157">OFFSET(E157,-1,1)</f>
        <v>2</v>
      </c>
      <c r="G157" s="428"/>
      <c r="H157" s="81"/>
      <c r="I157" s="428" t="s">
        <v>1760</v>
      </c>
      <c r="J157" s="1331"/>
      <c r="K157" s="120"/>
      <c r="L157" s="120"/>
      <c r="M157" s="120"/>
      <c r="N157" s="1331"/>
      <c r="O157" s="1331"/>
      <c r="P157" s="1331"/>
      <c r="Q157" s="1331"/>
      <c r="R157" s="1331"/>
      <c r="S157" s="1441"/>
      <c r="T157" s="468" cm="1" t="str">
        <f t="array" ref="T157:T157">T156</f>
        <v>true</v>
      </c>
      <c r="U157" s="1331"/>
      <c r="V157" s="1331"/>
      <c r="W157" s="1331"/>
      <c r="X157" s="1539"/>
      <c r="Y157" s="1331"/>
      <c r="Z157" s="1529"/>
      <c r="AA157" s="1331"/>
      <c r="AB157" s="295" t="s">
        <v>1761</v>
      </c>
      <c r="AC157" s="769" t="s">
        <v>1762</v>
      </c>
      <c r="AD157" s="773" t="s">
        <v>1763</v>
      </c>
      <c r="AE157" s="773" t="s">
        <v>936</v>
      </c>
      <c r="AF157" s="294">
        <v>-4812.6</v>
      </c>
      <c r="AG157" s="294">
        <v>-4812.59</v>
      </c>
      <c r="AH157" s="853" t="s">
        <v>1838</v>
      </c>
      <c r="AI157" s="1331"/>
      <c r="AJ157" s="1331"/>
      <c r="AK157" s="1331"/>
      <c r="AL157" s="1005" t="s">
        <v>1764</v>
      </c>
      <c r="AM157" s="1331"/>
      <c r="AN157" s="1331"/>
      <c r="AO157" s="1331"/>
      <c r="AP157" s="1331"/>
      <c r="AQ157" s="1331"/>
    </row>
    <row s="1656" customFormat="1" customHeight="1" ht="76.5">
      <c r="A158" s="1331"/>
      <c r="B158" s="430">
        <f>S129="Водоотведение"</f>
        <v>1</v>
      </c>
      <c r="C158" s="1331"/>
      <c r="D158" s="1331"/>
      <c r="E158" s="623">
        <v>78.75</v>
      </c>
      <c r="F158" s="50" cm="1" t="str">
        <f t="array" ref="F158:F158">OFFSET(E158,-1,1)</f>
        <v>2</v>
      </c>
      <c r="G158" s="428"/>
      <c r="H158" s="81"/>
      <c r="I158" s="428"/>
      <c r="J158" s="1331"/>
      <c r="K158" s="120"/>
      <c r="L158" s="120"/>
      <c r="M158" s="120"/>
      <c r="N158" s="1331"/>
      <c r="O158" s="1331"/>
      <c r="P158" s="1331"/>
      <c r="Q158" s="1331"/>
      <c r="R158" s="1331"/>
      <c r="S158" s="1441"/>
      <c r="T158" s="468" cm="1" t="str">
        <f t="array" ref="T158:T158">T157</f>
        <v>true</v>
      </c>
      <c r="U158" s="1331"/>
      <c r="V158" s="1331"/>
      <c r="W158" s="1331"/>
      <c r="X158" s="1539"/>
      <c r="Y158" s="1331"/>
      <c r="Z158" s="1529"/>
      <c r="AA158" s="1331"/>
      <c r="AB158" s="295" t="s">
        <v>1765</v>
      </c>
      <c r="AC158" s="769" t="s">
        <v>1766</v>
      </c>
      <c r="AD158" s="773"/>
      <c r="AE158" s="773" t="s">
        <v>936</v>
      </c>
      <c r="AF158" s="294"/>
      <c r="AG158" s="294"/>
      <c r="AH158" s="853"/>
      <c r="AI158" s="1331"/>
      <c r="AJ158" s="1331"/>
      <c r="AK158" s="1331"/>
      <c r="AL158" s="1005" t="s">
        <v>1767</v>
      </c>
      <c r="AM158" s="1331"/>
      <c r="AN158" s="1331"/>
      <c r="AO158" s="1331"/>
      <c r="AP158" s="1331"/>
      <c r="AQ158" s="1331"/>
    </row>
    <row s="1656" customFormat="1" customHeight="1" ht="54.75">
      <c r="A159" s="1331"/>
      <c r="B159" s="430" cm="1" t="str">
        <f t="array" ref="B159:B159">B158</f>
        <v>true</v>
      </c>
      <c r="C159" s="1331"/>
      <c r="D159" s="1331"/>
      <c r="E159" s="623">
        <v>56.25</v>
      </c>
      <c r="F159" s="50" cm="1" t="str">
        <f t="array" ref="F159:F159">OFFSET(E159,-1,1)</f>
        <v>2</v>
      </c>
      <c r="G159" s="428"/>
      <c r="H159" s="81"/>
      <c r="I159" s="428"/>
      <c r="J159" s="1331"/>
      <c r="K159" s="120"/>
      <c r="L159" s="120"/>
      <c r="M159" s="120"/>
      <c r="N159" s="1331"/>
      <c r="O159" s="1331"/>
      <c r="P159" s="1331"/>
      <c r="Q159" s="1331"/>
      <c r="R159" s="1331"/>
      <c r="S159" s="1441"/>
      <c r="T159" s="468" cm="1" t="str">
        <f t="array" ref="T159:T159">T158</f>
        <v>true</v>
      </c>
      <c r="U159" s="1331"/>
      <c r="V159" s="1331"/>
      <c r="W159" s="1331"/>
      <c r="X159" s="1539"/>
      <c r="Y159" s="1331"/>
      <c r="Z159" s="1529"/>
      <c r="AA159" s="1331"/>
      <c r="AB159" s="295" t="s">
        <v>1768</v>
      </c>
      <c r="AC159" s="769" t="s">
        <v>1769</v>
      </c>
      <c r="AD159" s="773"/>
      <c r="AE159" s="773" t="s">
        <v>936</v>
      </c>
      <c r="AF159" s="294"/>
      <c r="AG159" s="294"/>
      <c r="AH159" s="853"/>
      <c r="AI159" s="1331"/>
      <c r="AJ159" s="1331"/>
      <c r="AK159" s="1331"/>
      <c r="AL159" s="1005" t="s">
        <v>1584</v>
      </c>
      <c r="AM159" s="1331"/>
      <c r="AN159" s="1331"/>
      <c r="AO159" s="1331"/>
      <c r="AP159" s="1331"/>
      <c r="AQ159" s="1331"/>
    </row>
    <row s="1656" customFormat="1" customHeight="1" ht="49.171875">
      <c r="A160" s="1331"/>
      <c r="B160" s="1223"/>
      <c r="C160" s="1331"/>
      <c r="D160" s="1331"/>
      <c r="E160" s="623">
        <v>15</v>
      </c>
      <c r="F160" s="50" cm="1" t="str">
        <f t="array" ref="F160:F160">OFFSET(E160,-1,1)</f>
        <v>2</v>
      </c>
      <c r="G160" s="428"/>
      <c r="H160" s="81"/>
      <c r="I160" s="428"/>
      <c r="J160" s="1331"/>
      <c r="K160" s="120"/>
      <c r="L160" s="120"/>
      <c r="M160" s="120"/>
      <c r="N160" s="1331"/>
      <c r="O160" s="1331"/>
      <c r="P160" s="1331"/>
      <c r="Q160" s="1331"/>
      <c r="R160" s="1331"/>
      <c r="S160" s="1441"/>
      <c r="T160" s="468" cm="1" t="str">
        <f t="array" ref="T160:T160">T159</f>
        <v>true</v>
      </c>
      <c r="U160" s="1331"/>
      <c r="V160" s="1331"/>
      <c r="W160" s="1331"/>
      <c r="X160" s="1539"/>
      <c r="Y160" s="1331"/>
      <c r="Z160" s="1529"/>
      <c r="AA160" s="1331"/>
      <c r="AB160" s="296" t="str">
        <f>IF(B159,"2.12","2.10")</f>
        <v>2.12</v>
      </c>
      <c r="AC160" s="769" t="s">
        <v>1770</v>
      </c>
      <c r="AD160" s="773" t="s">
        <v>1771</v>
      </c>
      <c r="AE160" s="773" t="s">
        <v>936</v>
      </c>
      <c r="AF160" s="294">
        <v>12246.54</v>
      </c>
      <c r="AG160" s="294">
        <v>-221.44</v>
      </c>
      <c r="AH160" s="853" t="s">
        <v>1834</v>
      </c>
      <c r="AI160" s="1331"/>
      <c r="AJ160" s="1331"/>
      <c r="AK160" s="1331"/>
      <c r="AL160" s="1005" t="s">
        <v>1772</v>
      </c>
      <c r="AM160" s="1331"/>
      <c r="AN160" s="1331"/>
      <c r="AO160" s="1331"/>
      <c r="AP160" s="1331"/>
      <c r="AQ160" s="1331"/>
    </row>
    <row s="1656" customFormat="1" customHeight="1" ht="28.921875">
      <c r="A161" s="1331"/>
      <c r="B161" s="1223"/>
      <c r="C161" s="1331"/>
      <c r="D161" s="1331"/>
      <c r="E161" s="623">
        <v>22.5</v>
      </c>
      <c r="F161" s="50" cm="1" t="str">
        <f t="array" ref="F161:F161">OFFSET(E161,-1,1)</f>
        <v>2</v>
      </c>
      <c r="G161" s="428"/>
      <c r="H161" s="81"/>
      <c r="I161" s="428"/>
      <c r="J161" s="1331"/>
      <c r="K161" s="120"/>
      <c r="L161" s="120"/>
      <c r="M161" s="120"/>
      <c r="N161" s="1331"/>
      <c r="O161" s="1331"/>
      <c r="P161" s="1331"/>
      <c r="Q161" s="1331"/>
      <c r="R161" s="1331"/>
      <c r="S161" s="1441"/>
      <c r="T161" s="468" cm="1" t="str">
        <f t="array" ref="T161:T161">T160</f>
        <v>true</v>
      </c>
      <c r="U161" s="1331"/>
      <c r="V161" s="1331"/>
      <c r="W161" s="1331"/>
      <c r="X161" s="1539"/>
      <c r="Y161" s="1331"/>
      <c r="Z161" s="1529"/>
      <c r="AA161" s="1331"/>
      <c r="AB161" s="296" t="str">
        <f>AB160&amp;".1"</f>
        <v>2.12.1</v>
      </c>
      <c r="AC161" s="769" t="s">
        <v>1773</v>
      </c>
      <c r="AD161" s="773" t="s">
        <v>1771</v>
      </c>
      <c r="AE161" s="773" t="s">
        <v>936</v>
      </c>
      <c r="AF161" s="294"/>
      <c r="AG161" s="294"/>
      <c r="AH161" s="853"/>
      <c r="AI161" s="1331"/>
      <c r="AJ161" s="1331"/>
      <c r="AK161" s="1331"/>
      <c r="AL161" s="1005" t="s">
        <v>1774</v>
      </c>
      <c r="AM161" s="1331"/>
      <c r="AN161" s="1331"/>
      <c r="AO161" s="1331"/>
      <c r="AP161" s="1331"/>
      <c r="AQ161" s="1331"/>
    </row>
    <row s="1656" customFormat="1" customHeight="1" ht="21.75">
      <c r="A162" s="1331"/>
      <c r="B162" s="1223"/>
      <c r="C162" s="1331"/>
      <c r="D162" s="1331"/>
      <c r="E162" s="623">
        <v>22.5</v>
      </c>
      <c r="F162" s="50" cm="1" t="str">
        <f t="array" ref="F162:F162">OFFSET(E162,-1,1)</f>
        <v>2</v>
      </c>
      <c r="G162" s="428"/>
      <c r="H162" s="81"/>
      <c r="I162" s="428"/>
      <c r="J162" s="1331"/>
      <c r="K162" s="120"/>
      <c r="L162" s="120"/>
      <c r="M162" s="120"/>
      <c r="N162" s="1331"/>
      <c r="O162" s="1331"/>
      <c r="P162" s="1331"/>
      <c r="Q162" s="1331"/>
      <c r="R162" s="1331"/>
      <c r="S162" s="1441"/>
      <c r="T162" s="468" cm="1" t="str">
        <f t="array" ref="T162:T162">T161</f>
        <v>true</v>
      </c>
      <c r="U162" s="1331"/>
      <c r="V162" s="1331"/>
      <c r="W162" s="1331"/>
      <c r="X162" s="1539"/>
      <c r="Y162" s="1331"/>
      <c r="Z162" s="1529"/>
      <c r="AA162" s="1331"/>
      <c r="AB162" s="296" t="str">
        <f>AB160&amp;".2"</f>
        <v>2.12.2</v>
      </c>
      <c r="AC162" s="769" t="s">
        <v>1775</v>
      </c>
      <c r="AD162" s="773" t="s">
        <v>1771</v>
      </c>
      <c r="AE162" s="773" t="s">
        <v>936</v>
      </c>
      <c r="AF162" s="294"/>
      <c r="AG162" s="294"/>
      <c r="AH162" s="853"/>
      <c r="AI162" s="1331"/>
      <c r="AJ162" s="1331"/>
      <c r="AK162" s="1331"/>
      <c r="AL162" s="1005" t="s">
        <v>1776</v>
      </c>
      <c r="AM162" s="1331"/>
      <c r="AN162" s="1331"/>
      <c r="AO162" s="1331"/>
      <c r="AP162" s="1331"/>
      <c r="AQ162" s="1331"/>
    </row>
    <row s="1656" customFormat="1" customHeight="1" ht="14.25">
      <c r="A163" s="1331"/>
      <c r="B163" s="1223"/>
      <c r="C163" s="1331"/>
      <c r="D163" s="1331"/>
      <c r="E163" s="623">
        <v>15</v>
      </c>
      <c r="F163" s="50" cm="1" t="str">
        <f t="array" ref="F163:F163">OFFSET(E163,-1,1)</f>
        <v>2</v>
      </c>
      <c r="G163" s="428"/>
      <c r="H163" s="81"/>
      <c r="I163" s="428"/>
      <c r="J163" s="1331"/>
      <c r="K163" s="120"/>
      <c r="L163" s="120"/>
      <c r="M163" s="120"/>
      <c r="N163" s="1331"/>
      <c r="O163" s="1331"/>
      <c r="P163" s="1331"/>
      <c r="Q163" s="1331"/>
      <c r="R163" s="1331"/>
      <c r="S163" s="1441"/>
      <c r="T163" s="468" cm="1" t="str">
        <f t="array" ref="T163:T163">T162</f>
        <v>true</v>
      </c>
      <c r="U163" s="1331"/>
      <c r="V163" s="1331"/>
      <c r="W163" s="1331"/>
      <c r="X163" s="1539"/>
      <c r="Y163" s="1331"/>
      <c r="Z163" s="1529"/>
      <c r="AA163" s="1331"/>
      <c r="AB163" s="296" t="str">
        <f>IF(B159,"2.13","2.11")</f>
        <v>2.13</v>
      </c>
      <c r="AC163" s="769" t="s">
        <v>1777</v>
      </c>
      <c r="AD163" s="773" t="s">
        <v>1771</v>
      </c>
      <c r="AE163" s="773" t="s">
        <v>936</v>
      </c>
      <c r="AF163" s="294"/>
      <c r="AG163" s="294"/>
      <c r="AH163" s="853"/>
      <c r="AI163" s="1331"/>
      <c r="AJ163" s="1331"/>
      <c r="AK163" s="1331"/>
      <c r="AL163" s="1005" t="s">
        <v>1778</v>
      </c>
      <c r="AM163" s="1331"/>
      <c r="AN163" s="1331"/>
      <c r="AO163" s="1331"/>
      <c r="AP163" s="1331"/>
      <c r="AQ163" s="1331"/>
    </row>
    <row s="1656" customFormat="1" customHeight="1" ht="14.25">
      <c r="A164" s="1331"/>
      <c r="B164" s="1223"/>
      <c r="C164" s="1331"/>
      <c r="D164" s="1331"/>
      <c r="E164" s="623">
        <v>15</v>
      </c>
      <c r="F164" s="50" cm="1" t="str">
        <f t="array" ref="F164:F164">OFFSET(E164,-1,1)</f>
        <v>2</v>
      </c>
      <c r="G164" s="428"/>
      <c r="H164" s="81"/>
      <c r="I164" s="428"/>
      <c r="J164" s="1331"/>
      <c r="K164" s="120"/>
      <c r="L164" s="120"/>
      <c r="M164" s="120"/>
      <c r="N164" s="1331"/>
      <c r="O164" s="1331"/>
      <c r="P164" s="1331"/>
      <c r="Q164" s="1331"/>
      <c r="R164" s="1331"/>
      <c r="S164" s="1441"/>
      <c r="T164" s="468" cm="1" t="str">
        <f t="array" ref="T164:T164">T163</f>
        <v>true</v>
      </c>
      <c r="U164" s="1331"/>
      <c r="V164" s="1331"/>
      <c r="W164" s="1331"/>
      <c r="X164" s="1539"/>
      <c r="Y164" s="1331"/>
      <c r="Z164" s="1529"/>
      <c r="AA164" s="1331"/>
      <c r="AB164" s="296" t="str">
        <f>IF(B159,"2.14","2.12")</f>
        <v>2.14</v>
      </c>
      <c r="AC164" s="769" t="s">
        <v>1779</v>
      </c>
      <c r="AD164" s="773" t="s">
        <v>1771</v>
      </c>
      <c r="AE164" s="773" t="s">
        <v>936</v>
      </c>
      <c r="AF164" s="294"/>
      <c r="AG164" s="294"/>
      <c r="AH164" s="853"/>
      <c r="AI164" s="1331"/>
      <c r="AJ164" s="1331"/>
      <c r="AK164" s="1331"/>
      <c r="AL164" s="1005" t="s">
        <v>1780</v>
      </c>
      <c r="AM164" s="1331"/>
      <c r="AN164" s="1331"/>
      <c r="AO164" s="1331"/>
      <c r="AP164" s="1331"/>
      <c r="AQ164" s="1331"/>
    </row>
    <row s="4535" customFormat="1" customHeight="1" ht="21.75">
      <c r="A165" s="704"/>
      <c r="B165" s="433"/>
      <c r="C165" s="704"/>
      <c r="D165" s="704"/>
      <c r="E165" s="697">
        <v>22.5</v>
      </c>
      <c r="F165" s="50" cm="1" t="str">
        <f t="array" ref="F165:F165">OFFSET(E165,-1,1)</f>
        <v>2</v>
      </c>
      <c r="G165" s="143"/>
      <c r="H165" s="143"/>
      <c r="I165" s="428" t="s">
        <v>345</v>
      </c>
      <c r="J165" s="704"/>
      <c r="K165" s="500"/>
      <c r="L165" s="500"/>
      <c r="M165" s="500"/>
      <c r="N165" s="704"/>
      <c r="O165" s="704"/>
      <c r="P165" s="704"/>
      <c r="Q165" s="704"/>
      <c r="R165" s="704"/>
      <c r="S165" s="704"/>
      <c r="T165" s="468" cm="1" t="str">
        <f t="array" ref="T165:T165">T164</f>
        <v>true</v>
      </c>
      <c r="U165" s="704"/>
      <c r="V165" s="704"/>
      <c r="W165" s="704"/>
      <c r="X165" s="1539"/>
      <c r="Y165" s="704"/>
      <c r="Z165" s="1529"/>
      <c r="AA165" s="704"/>
      <c r="AB165" s="207" t="s">
        <v>1781</v>
      </c>
      <c r="AC165" s="208" t="s">
        <v>1782</v>
      </c>
      <c r="AD165" s="207" t="s">
        <v>1644</v>
      </c>
      <c r="AE165" s="230" t="s">
        <v>936</v>
      </c>
      <c r="AF165" s="851" cm="1" t="str">
        <f t="array" ref="AF165:AF165">AF166</f>
        <v>0</v>
      </c>
      <c r="AG165" s="851" cm="1" t="str">
        <f t="array" ref="AG165:AG165">AG166</f>
        <v>0</v>
      </c>
      <c r="AH165" s="852"/>
      <c r="AI165" s="704"/>
      <c r="AJ165" s="704"/>
      <c r="AK165" s="704"/>
      <c r="AL165" s="1059" t="s">
        <v>1783</v>
      </c>
      <c r="AM165" s="704"/>
      <c r="AN165" s="704"/>
      <c r="AO165" s="704"/>
      <c r="AP165" s="704"/>
      <c r="AQ165" s="704"/>
    </row>
    <row s="1656" customFormat="1" customHeight="1" ht="32.25">
      <c r="A166" s="1331"/>
      <c r="B166" s="1223"/>
      <c r="C166" s="1331"/>
      <c r="D166" s="1331"/>
      <c r="E166" s="623">
        <v>33.75</v>
      </c>
      <c r="F166" s="50" cm="1" t="str">
        <f t="array" ref="F166:F166">OFFSET(E166,-1,1)</f>
        <v>2</v>
      </c>
      <c r="G166" s="428"/>
      <c r="H166" s="81"/>
      <c r="I166" s="428" t="s">
        <v>584</v>
      </c>
      <c r="J166" s="1331"/>
      <c r="K166" s="120"/>
      <c r="L166" s="120"/>
      <c r="M166" s="120"/>
      <c r="N166" s="1331"/>
      <c r="O166" s="1331"/>
      <c r="P166" s="1331"/>
      <c r="Q166" s="1331"/>
      <c r="R166" s="1331"/>
      <c r="S166" s="1441"/>
      <c r="T166" s="468" cm="1" t="str">
        <f t="array" ref="T166:T166">T165</f>
        <v>true</v>
      </c>
      <c r="U166" s="1331"/>
      <c r="V166" s="1331"/>
      <c r="W166" s="1331"/>
      <c r="X166" s="1539"/>
      <c r="Y166" s="1331"/>
      <c r="Z166" s="1529"/>
      <c r="AA166" s="1331"/>
      <c r="AB166" s="295" t="s">
        <v>290</v>
      </c>
      <c r="AC166" s="454" t="s">
        <v>1784</v>
      </c>
      <c r="AD166" s="296" t="s">
        <v>1785</v>
      </c>
      <c r="AE166" s="773" t="s">
        <v>936</v>
      </c>
      <c r="AF166" s="941">
        <f>AF167+AF168</f>
        <v>0</v>
      </c>
      <c r="AG166" s="941">
        <f>AG167+AG168</f>
        <v>0</v>
      </c>
      <c r="AH166" s="853"/>
      <c r="AI166" s="1331"/>
      <c r="AJ166" s="1331"/>
      <c r="AK166" s="1331"/>
      <c r="AL166" s="1005" t="s">
        <v>1786</v>
      </c>
      <c r="AM166" s="1331"/>
      <c r="AN166" s="1331"/>
      <c r="AO166" s="1331"/>
      <c r="AP166" s="1331"/>
      <c r="AQ166" s="1331"/>
    </row>
    <row s="1656" customFormat="1" customHeight="1" ht="43.5">
      <c r="A167" s="1331"/>
      <c r="B167" s="1223"/>
      <c r="C167" s="1331"/>
      <c r="D167" s="1331"/>
      <c r="E167" s="623">
        <v>45</v>
      </c>
      <c r="F167" s="50" cm="1" t="str">
        <f t="array" ref="F167:F167">OFFSET(E167,-1,1)</f>
        <v>2</v>
      </c>
      <c r="G167" s="428"/>
      <c r="H167" s="81"/>
      <c r="I167" s="428" t="s">
        <v>1787</v>
      </c>
      <c r="J167" s="1331"/>
      <c r="K167" s="120"/>
      <c r="L167" s="120"/>
      <c r="M167" s="120"/>
      <c r="N167" s="1331"/>
      <c r="O167" s="1331"/>
      <c r="P167" s="1331"/>
      <c r="Q167" s="1331"/>
      <c r="R167" s="1331"/>
      <c r="S167" s="1441"/>
      <c r="T167" s="468" cm="1" t="str">
        <f t="array" ref="T167:T167">T166</f>
        <v>true</v>
      </c>
      <c r="U167" s="1331"/>
      <c r="V167" s="1331"/>
      <c r="W167" s="1331"/>
      <c r="X167" s="1539"/>
      <c r="Y167" s="1331"/>
      <c r="Z167" s="1529"/>
      <c r="AA167" s="1331"/>
      <c r="AB167" s="295" t="s">
        <v>1067</v>
      </c>
      <c r="AC167" s="769" t="s">
        <v>1788</v>
      </c>
      <c r="AD167" s="296" t="s">
        <v>1789</v>
      </c>
      <c r="AE167" s="773" t="s">
        <v>936</v>
      </c>
      <c r="AF167" s="294"/>
      <c r="AG167" s="294"/>
      <c r="AH167" s="853"/>
      <c r="AI167" s="1331"/>
      <c r="AJ167" s="1331"/>
      <c r="AK167" s="1331"/>
      <c r="AL167" s="1005" t="s">
        <v>1790</v>
      </c>
      <c r="AM167" s="1331"/>
      <c r="AN167" s="1331"/>
      <c r="AO167" s="1331"/>
      <c r="AP167" s="1331"/>
      <c r="AQ167" s="1331"/>
    </row>
    <row s="1656" customFormat="1" customHeight="1" ht="32.25">
      <c r="A168" s="1331"/>
      <c r="B168" s="1223"/>
      <c r="C168" s="1331"/>
      <c r="D168" s="1331"/>
      <c r="E168" s="623">
        <v>33.75</v>
      </c>
      <c r="F168" s="50" cm="1" t="str">
        <f t="array" ref="F168:F168">OFFSET(E168,-1,1)</f>
        <v>2</v>
      </c>
      <c r="G168" s="428"/>
      <c r="H168" s="81"/>
      <c r="I168" s="428" t="s">
        <v>1791</v>
      </c>
      <c r="J168" s="1331"/>
      <c r="K168" s="120"/>
      <c r="L168" s="120"/>
      <c r="M168" s="120"/>
      <c r="N168" s="1331"/>
      <c r="O168" s="1331"/>
      <c r="P168" s="1331"/>
      <c r="Q168" s="1331"/>
      <c r="R168" s="1331"/>
      <c r="S168" s="1441"/>
      <c r="T168" s="468" cm="1" t="str">
        <f t="array" ref="T168:T168">T167</f>
        <v>true</v>
      </c>
      <c r="U168" s="1331"/>
      <c r="V168" s="1331"/>
      <c r="W168" s="1331"/>
      <c r="X168" s="1539"/>
      <c r="Y168" s="1331"/>
      <c r="Z168" s="1529"/>
      <c r="AA168" s="1331"/>
      <c r="AB168" s="295" t="s">
        <v>1070</v>
      </c>
      <c r="AC168" s="769" t="s">
        <v>1792</v>
      </c>
      <c r="AD168" s="296" t="s">
        <v>1793</v>
      </c>
      <c r="AE168" s="773" t="s">
        <v>936</v>
      </c>
      <c r="AF168" s="294"/>
      <c r="AG168" s="294"/>
      <c r="AH168" s="853"/>
      <c r="AI168" s="1331"/>
      <c r="AJ168" s="1331"/>
      <c r="AK168" s="1331"/>
      <c r="AL168" s="1005" t="s">
        <v>1794</v>
      </c>
      <c r="AM168" s="1331"/>
      <c r="AN168" s="1331"/>
      <c r="AO168" s="1331"/>
      <c r="AP168" s="1331"/>
      <c r="AQ168" s="1331"/>
    </row>
    <row s="1656" customFormat="1" customHeight="1" ht="33.75">
      <c r="A169" s="1331"/>
      <c r="B169" s="1223"/>
      <c r="C169" s="1331"/>
      <c r="D169" s="1331"/>
      <c r="E169" s="623">
        <v>35</v>
      </c>
      <c r="F169" s="50" cm="1" t="str">
        <f t="array" ref="F169:F169">OFFSET(E169,-1,1)</f>
        <v>2</v>
      </c>
      <c r="G169" s="428"/>
      <c r="H169" s="81"/>
      <c r="I169" s="428" t="s">
        <v>346</v>
      </c>
      <c r="J169" s="1331"/>
      <c r="K169" s="120" t="str">
        <f>F169&amp;"1komm"</f>
        <v>21komm</v>
      </c>
      <c r="L169" s="926" cm="1" t="str">
        <f t="array" ref="L169:L169">AH169</f>
        <v>0</v>
      </c>
      <c r="M169" s="120"/>
      <c r="N169" s="1331"/>
      <c r="O169" s="1331"/>
      <c r="P169" s="1331"/>
      <c r="Q169" s="1331"/>
      <c r="R169" s="1331"/>
      <c r="S169" s="1441"/>
      <c r="T169" s="468" cm="1" t="str">
        <f t="array" ref="T169:T169">T168</f>
        <v>true</v>
      </c>
      <c r="U169" s="1331"/>
      <c r="V169" s="1331"/>
      <c r="W169" s="1331"/>
      <c r="X169" s="1539"/>
      <c r="Y169" s="1331"/>
      <c r="Z169" s="1529"/>
      <c r="AA169" s="1331"/>
      <c r="AB169" s="230" t="s">
        <v>1795</v>
      </c>
      <c r="AC169" s="208" t="s">
        <v>1796</v>
      </c>
      <c r="AD169" s="207" t="s">
        <v>1797</v>
      </c>
      <c r="AE169" s="230" t="s">
        <v>936</v>
      </c>
      <c r="AF169" s="378"/>
      <c r="AG169" s="378"/>
      <c r="AH169" s="853"/>
      <c r="AI169" s="1331"/>
      <c r="AJ169" s="1331"/>
      <c r="AK169" s="1331"/>
      <c r="AL169" s="1005" t="s">
        <v>1798</v>
      </c>
      <c r="AM169" s="1331"/>
      <c r="AN169" s="1331"/>
      <c r="AO169" s="1331"/>
      <c r="AP169" s="1331"/>
      <c r="AQ169" s="1331"/>
    </row>
    <row s="1656" customFormat="1" customHeight="1" ht="107.25">
      <c r="A170" s="1331"/>
      <c r="B170" s="1223"/>
      <c r="C170" s="1331"/>
      <c r="D170" s="1331"/>
      <c r="E170" s="623">
        <v>110</v>
      </c>
      <c r="F170" s="50" cm="1" t="str">
        <f t="array" ref="F170:F170">OFFSET(E170,-1,1)</f>
        <v>2</v>
      </c>
      <c r="G170" s="428"/>
      <c r="H170" s="81"/>
      <c r="I170" s="428" t="s">
        <v>348</v>
      </c>
      <c r="J170" s="1331"/>
      <c r="K170" s="120" t="str">
        <f>F170&amp;"2komm"</f>
        <v>22komm</v>
      </c>
      <c r="L170" s="926" cm="1" t="str">
        <f t="array" ref="L170:L170">AH170</f>
        <v>0</v>
      </c>
      <c r="M170" s="120"/>
      <c r="N170" s="1331"/>
      <c r="O170" s="1331"/>
      <c r="P170" s="1331"/>
      <c r="Q170" s="1331"/>
      <c r="R170" s="1331"/>
      <c r="S170" s="1441"/>
      <c r="T170" s="468" cm="1" t="str">
        <f t="array" ref="T170:T170">T169</f>
        <v>true</v>
      </c>
      <c r="U170" s="1331"/>
      <c r="V170" s="1331"/>
      <c r="W170" s="1331"/>
      <c r="X170" s="1539"/>
      <c r="Y170" s="1331"/>
      <c r="Z170" s="1529"/>
      <c r="AA170" s="1331"/>
      <c r="AB170" s="230" t="s">
        <v>1799</v>
      </c>
      <c r="AC170" s="208" t="s">
        <v>1800</v>
      </c>
      <c r="AD170" s="207" t="s">
        <v>1801</v>
      </c>
      <c r="AE170" s="230" t="s">
        <v>936</v>
      </c>
      <c r="AF170" s="378"/>
      <c r="AG170" s="378"/>
      <c r="AH170" s="853"/>
      <c r="AI170" s="1331"/>
      <c r="AJ170" s="1331"/>
      <c r="AK170" s="1331"/>
      <c r="AL170" s="1005" t="s">
        <v>1207</v>
      </c>
      <c r="AM170" s="1331"/>
      <c r="AN170" s="1331"/>
      <c r="AO170" s="1331"/>
      <c r="AP170" s="1331"/>
      <c r="AQ170" s="1331"/>
    </row>
    <row s="1656" customFormat="1" customHeight="1" ht="76.5">
      <c r="A171" s="1331"/>
      <c r="B171" s="430">
        <f>S129="Водоотведение"</f>
        <v>1</v>
      </c>
      <c r="C171" s="1331"/>
      <c r="D171" s="1331"/>
      <c r="E171" s="623">
        <v>78.75</v>
      </c>
      <c r="F171" s="50" cm="1" t="str">
        <f t="array" ref="F171:F171">OFFSET(E171,-1,1)</f>
        <v>2</v>
      </c>
      <c r="G171" s="1029"/>
      <c r="H171" s="49"/>
      <c r="I171" s="118" t="s">
        <v>347</v>
      </c>
      <c r="J171" s="1331"/>
      <c r="K171" s="120" t="str">
        <f>F171&amp;"3komm"</f>
        <v>23komm</v>
      </c>
      <c r="L171" s="926" cm="1" t="str">
        <f t="array" ref="L171:L171">AH171</f>
        <v>0</v>
      </c>
      <c r="M171" s="120"/>
      <c r="N171" s="1331"/>
      <c r="O171" s="1331"/>
      <c r="P171" s="1331"/>
      <c r="Q171" s="1331"/>
      <c r="R171" s="1331"/>
      <c r="S171" s="1441"/>
      <c r="T171" s="468" cm="1" t="str">
        <f t="array" ref="T171:T171">T170</f>
        <v>true</v>
      </c>
      <c r="U171" s="1331"/>
      <c r="V171" s="1331"/>
      <c r="W171" s="1331"/>
      <c r="X171" s="1539"/>
      <c r="Y171" s="1331"/>
      <c r="Z171" s="1529"/>
      <c r="AA171" s="1331"/>
      <c r="AB171" s="230" t="s">
        <v>1802</v>
      </c>
      <c r="AC171" s="208" t="s">
        <v>1803</v>
      </c>
      <c r="AD171" s="207"/>
      <c r="AE171" s="230" t="s">
        <v>936</v>
      </c>
      <c r="AF171" s="378"/>
      <c r="AG171" s="221"/>
      <c r="AH171" s="853"/>
      <c r="AI171" s="1331"/>
      <c r="AJ171" s="1331"/>
      <c r="AK171" s="1331"/>
      <c r="AL171" s="1005" t="s">
        <v>1804</v>
      </c>
      <c r="AM171" s="1331"/>
      <c r="AN171" s="1331"/>
      <c r="AO171" s="1331"/>
      <c r="AP171" s="1331"/>
      <c r="AQ171" s="1331"/>
    </row>
    <row s="1656" customFormat="1" customHeight="1" ht="54.75">
      <c r="A172" s="1331"/>
      <c r="B172" s="430" cm="1" t="str">
        <f t="array" ref="B172:B172">B171</f>
        <v>true</v>
      </c>
      <c r="C172" s="1331"/>
      <c r="D172" s="1331"/>
      <c r="E172" s="623">
        <v>56.25</v>
      </c>
      <c r="F172" s="50" cm="1" t="str">
        <f t="array" ref="F172:F172">OFFSET(E172,-1,1)</f>
        <v>2</v>
      </c>
      <c r="G172" s="1029"/>
      <c r="H172" s="49"/>
      <c r="I172" s="118" t="s">
        <v>616</v>
      </c>
      <c r="J172" s="1331"/>
      <c r="K172" s="120" t="str">
        <f>F172&amp;"4komm"</f>
        <v>24komm</v>
      </c>
      <c r="L172" s="926" cm="1" t="str">
        <f t="array" ref="L172:L172">AH172</f>
        <v>0</v>
      </c>
      <c r="M172" s="120"/>
      <c r="N172" s="1331"/>
      <c r="O172" s="1331"/>
      <c r="P172" s="1331"/>
      <c r="Q172" s="1331"/>
      <c r="R172" s="1331"/>
      <c r="S172" s="1441"/>
      <c r="T172" s="468" cm="1" t="str">
        <f t="array" ref="T172:T172">T171</f>
        <v>true</v>
      </c>
      <c r="U172" s="1331"/>
      <c r="V172" s="1331"/>
      <c r="W172" s="1331"/>
      <c r="X172" s="1539"/>
      <c r="Y172" s="1331"/>
      <c r="Z172" s="1529"/>
      <c r="AA172" s="1331"/>
      <c r="AB172" s="230" t="s">
        <v>1805</v>
      </c>
      <c r="AC172" s="208" t="s">
        <v>1806</v>
      </c>
      <c r="AD172" s="207"/>
      <c r="AE172" s="230" t="s">
        <v>936</v>
      </c>
      <c r="AF172" s="378"/>
      <c r="AG172" s="221"/>
      <c r="AH172" s="853"/>
      <c r="AI172" s="1331"/>
      <c r="AJ172" s="1331"/>
      <c r="AK172" s="1331"/>
      <c r="AL172" s="1005" t="s">
        <v>1807</v>
      </c>
      <c r="AM172" s="1331"/>
      <c r="AN172" s="1331"/>
      <c r="AO172" s="1331"/>
      <c r="AP172" s="1331"/>
      <c r="AQ172" s="1331"/>
    </row>
    <row s="1656" customFormat="1" customHeight="1" ht="138.75">
      <c r="A173" s="1331"/>
      <c r="B173" s="1223"/>
      <c r="C173" s="1331"/>
      <c r="D173" s="1331"/>
      <c r="E173" s="623">
        <v>15</v>
      </c>
      <c r="F173" s="50" cm="1" t="str">
        <f t="array" ref="F173:F173">OFFSET(E173,-1,1)</f>
        <v>2</v>
      </c>
      <c r="G173" s="1029"/>
      <c r="H173" s="81"/>
      <c r="I173" s="118" t="s">
        <v>619</v>
      </c>
      <c r="J173" s="1331"/>
      <c r="K173" s="120" t="str">
        <f>F173&amp;"5komm"</f>
        <v>25komm</v>
      </c>
      <c r="L173" s="926" cm="1" t="str">
        <f t="array" ref="L173:L173">AH173</f>
        <v>0</v>
      </c>
      <c r="M173" s="120"/>
      <c r="N173" s="1331"/>
      <c r="O173" s="1331"/>
      <c r="P173" s="1331"/>
      <c r="Q173" s="1331"/>
      <c r="R173" s="1331"/>
      <c r="S173" s="1441"/>
      <c r="T173" s="468" cm="1" t="str">
        <f t="array" ref="T173:T173">T172</f>
        <v>true</v>
      </c>
      <c r="U173" s="1331"/>
      <c r="V173" s="1331"/>
      <c r="W173" s="1331"/>
      <c r="X173" s="1539"/>
      <c r="Y173" s="1331"/>
      <c r="Z173" s="1529"/>
      <c r="AA173" s="1331"/>
      <c r="AB173" s="230" t="str">
        <f>IF(B172,"VII","V")</f>
        <v>VII</v>
      </c>
      <c r="AC173" s="208" t="s">
        <v>1808</v>
      </c>
      <c r="AD173" s="207"/>
      <c r="AE173" s="230" t="s">
        <v>936</v>
      </c>
      <c r="AF173" s="378"/>
      <c r="AG173" s="378"/>
      <c r="AH173" s="853"/>
      <c r="AI173" s="1331"/>
      <c r="AJ173" s="1331"/>
      <c r="AK173" s="1331"/>
      <c r="AL173" s="1005" t="s">
        <v>1809</v>
      </c>
      <c r="AM173" s="1331"/>
      <c r="AN173" s="1331"/>
      <c r="AO173" s="1331"/>
      <c r="AP173" s="1331"/>
      <c r="AQ173" s="1331"/>
    </row>
    <row s="4537" customFormat="1" customHeight="1" ht="14.625">
      <c r="A174" s="704"/>
      <c r="B174" s="433"/>
      <c r="C174" s="704"/>
      <c r="D174" s="704"/>
      <c r="E174" s="697">
        <v>15</v>
      </c>
      <c r="F174" s="50" cm="1" t="str">
        <f t="array" ref="F174:F174">OFFSET(E174,-1,1)</f>
        <v>2</v>
      </c>
      <c r="G174" s="500"/>
      <c r="H174" s="704"/>
      <c r="I174" s="237" t="s">
        <v>685</v>
      </c>
      <c r="J174" s="704"/>
      <c r="K174" s="120" t="str">
        <f>F174&amp;"6komm"</f>
        <v>26komm</v>
      </c>
      <c r="L174" s="926" cm="1" t="str">
        <f t="array" ref="L174:L174">AH174</f>
        <v>0</v>
      </c>
      <c r="M174" s="500"/>
      <c r="N174" s="704"/>
      <c r="O174" s="704"/>
      <c r="P174" s="704"/>
      <c r="Q174" s="704"/>
      <c r="R174" s="704"/>
      <c r="S174" s="704"/>
      <c r="T174" s="468" cm="1" t="str">
        <f t="array" ref="T174:T174">T173</f>
        <v>true</v>
      </c>
      <c r="U174" s="704"/>
      <c r="V174" s="704"/>
      <c r="W174" s="704"/>
      <c r="X174" s="1539"/>
      <c r="Y174" s="704"/>
      <c r="Z174" s="1529"/>
      <c r="AA174" s="704"/>
      <c r="AB174" s="230" t="str">
        <f>IF(B172,"VIII","VI")</f>
        <v>VIII</v>
      </c>
      <c r="AC174" s="208" t="s">
        <v>1770</v>
      </c>
      <c r="AD174" s="207"/>
      <c r="AE174" s="230" t="s">
        <v>936</v>
      </c>
      <c r="AF174" s="378"/>
      <c r="AG174" s="378"/>
      <c r="AH174" s="853"/>
      <c r="AI174" s="704"/>
      <c r="AJ174" s="704"/>
      <c r="AK174" s="704"/>
      <c r="AL174" s="1059" t="s">
        <v>1810</v>
      </c>
      <c r="AM174" s="704"/>
      <c r="AN174" s="704"/>
      <c r="AO174" s="704"/>
      <c r="AP174" s="704"/>
      <c r="AQ174" s="704"/>
    </row>
    <row s="1656" customFormat="1" customHeight="1" ht="23.25">
      <c r="A175" s="1331"/>
      <c r="B175" s="1223"/>
      <c r="C175" s="1331"/>
      <c r="D175" s="1331"/>
      <c r="E175" s="623">
        <v>22.5</v>
      </c>
      <c r="F175" s="50" cm="1" t="str">
        <f t="array" ref="F175:F175">OFFSET(E175,-1,1)</f>
        <v>2</v>
      </c>
      <c r="G175" s="1029"/>
      <c r="H175" s="81"/>
      <c r="I175" s="118" t="s">
        <v>688</v>
      </c>
      <c r="J175" s="1331"/>
      <c r="K175" s="120" t="str">
        <f>F175&amp;"7komm"</f>
        <v>27komm</v>
      </c>
      <c r="L175" s="926" cm="1" t="str">
        <f t="array" ref="L175:L175">AH175</f>
        <v>0</v>
      </c>
      <c r="M175" s="120"/>
      <c r="N175" s="1331"/>
      <c r="O175" s="1331"/>
      <c r="P175" s="1331"/>
      <c r="Q175" s="1331"/>
      <c r="R175" s="1331"/>
      <c r="S175" s="1441"/>
      <c r="T175" s="468" cm="1" t="str">
        <f t="array" ref="T175:T175">T174</f>
        <v>true</v>
      </c>
      <c r="U175" s="1331"/>
      <c r="V175" s="1331"/>
      <c r="W175" s="1331"/>
      <c r="X175" s="1539"/>
      <c r="Y175" s="1331"/>
      <c r="Z175" s="1529"/>
      <c r="AA175" s="1331"/>
      <c r="AB175" s="773">
        <v>1</v>
      </c>
      <c r="AC175" s="769" t="s">
        <v>1773</v>
      </c>
      <c r="AD175" s="296"/>
      <c r="AE175" s="773" t="s">
        <v>936</v>
      </c>
      <c r="AF175" s="294"/>
      <c r="AG175" s="294"/>
      <c r="AH175" s="853"/>
      <c r="AI175" s="1331"/>
      <c r="AJ175" s="1331"/>
      <c r="AK175" s="1331"/>
      <c r="AL175" s="1005" t="s">
        <v>1811</v>
      </c>
      <c r="AM175" s="1331"/>
      <c r="AN175" s="1331"/>
      <c r="AO175" s="1331"/>
      <c r="AP175" s="1331"/>
      <c r="AQ175" s="1331"/>
    </row>
    <row s="1656" customFormat="1" customHeight="1" ht="21.75">
      <c r="A176" s="1331"/>
      <c r="B176" s="1223"/>
      <c r="C176" s="1331"/>
      <c r="D176" s="1331"/>
      <c r="E176" s="623">
        <v>22.5</v>
      </c>
      <c r="F176" s="50" cm="1" t="str">
        <f t="array" ref="F176:F176">OFFSET(E176,-1,1)</f>
        <v>2</v>
      </c>
      <c r="G176" s="1029"/>
      <c r="H176" s="81"/>
      <c r="I176" s="118" t="s">
        <v>692</v>
      </c>
      <c r="J176" s="1331"/>
      <c r="K176" s="120" t="str">
        <f>F176&amp;"8komm"</f>
        <v>28komm</v>
      </c>
      <c r="L176" s="926" cm="1" t="str">
        <f t="array" ref="L176:L176">AH176</f>
        <v>0</v>
      </c>
      <c r="M176" s="120"/>
      <c r="N176" s="1331"/>
      <c r="O176" s="1331"/>
      <c r="P176" s="1331"/>
      <c r="Q176" s="1331"/>
      <c r="R176" s="1331"/>
      <c r="S176" s="1441"/>
      <c r="T176" s="468" cm="1" t="str">
        <f t="array" ref="T176:T176">T175</f>
        <v>true</v>
      </c>
      <c r="U176" s="1331"/>
      <c r="V176" s="1331"/>
      <c r="W176" s="1331"/>
      <c r="X176" s="1539"/>
      <c r="Y176" s="1331"/>
      <c r="Z176" s="1529"/>
      <c r="AA176" s="1331"/>
      <c r="AB176" s="773">
        <v>2</v>
      </c>
      <c r="AC176" s="769" t="s">
        <v>1775</v>
      </c>
      <c r="AD176" s="296"/>
      <c r="AE176" s="773" t="s">
        <v>936</v>
      </c>
      <c r="AF176" s="294"/>
      <c r="AG176" s="294"/>
      <c r="AH176" s="853"/>
      <c r="AI176" s="1331"/>
      <c r="AJ176" s="1331"/>
      <c r="AK176" s="1331"/>
      <c r="AL176" s="1005" t="s">
        <v>1812</v>
      </c>
      <c r="AM176" s="1331"/>
      <c r="AN176" s="1331"/>
      <c r="AO176" s="1331"/>
      <c r="AP176" s="1331"/>
      <c r="AQ176" s="1331"/>
    </row>
    <row s="1656" customFormat="1" customHeight="1" ht="14.25">
      <c r="A177" s="1331"/>
      <c r="B177" s="1223"/>
      <c r="C177" s="1331"/>
      <c r="D177" s="1331"/>
      <c r="E177" s="623">
        <v>15</v>
      </c>
      <c r="F177" s="50" cm="1" t="str">
        <f t="array" ref="F177:F177">OFFSET(E177,-1,1)</f>
        <v>2</v>
      </c>
      <c r="G177" s="1029"/>
      <c r="H177" s="81"/>
      <c r="I177" s="118" t="s">
        <v>700</v>
      </c>
      <c r="J177" s="1331"/>
      <c r="K177" s="120" t="str">
        <f>F177&amp;"9komm"</f>
        <v>29komm</v>
      </c>
      <c r="L177" s="926" cm="1" t="str">
        <f t="array" ref="L177:L177">AH177</f>
        <v>0</v>
      </c>
      <c r="M177" s="120"/>
      <c r="N177" s="1331"/>
      <c r="O177" s="1331"/>
      <c r="P177" s="1331"/>
      <c r="Q177" s="1331"/>
      <c r="R177" s="1331"/>
      <c r="S177" s="1441"/>
      <c r="T177" s="468" cm="1" t="str">
        <f t="array" ref="T177:T177">T176</f>
        <v>true</v>
      </c>
      <c r="U177" s="1331"/>
      <c r="V177" s="1331"/>
      <c r="W177" s="1331"/>
      <c r="X177" s="1539"/>
      <c r="Y177" s="1331"/>
      <c r="Z177" s="1529"/>
      <c r="AA177" s="1331"/>
      <c r="AB177" s="230" t="str">
        <f>IF(B172,"IX","VIII")</f>
        <v>IX</v>
      </c>
      <c r="AC177" s="208" t="s">
        <v>1777</v>
      </c>
      <c r="AD177" s="207"/>
      <c r="AE177" s="230" t="s">
        <v>936</v>
      </c>
      <c r="AF177" s="378"/>
      <c r="AG177" s="378"/>
      <c r="AH177" s="853"/>
      <c r="AI177" s="1331"/>
      <c r="AJ177" s="1331"/>
      <c r="AK177" s="1331"/>
      <c r="AL177" s="1005" t="s">
        <v>1813</v>
      </c>
      <c r="AM177" s="1331"/>
      <c r="AN177" s="1331"/>
      <c r="AO177" s="1331"/>
      <c r="AP177" s="1331"/>
      <c r="AQ177" s="1331"/>
    </row>
    <row s="1656" customFormat="1" customHeight="1" ht="14.25">
      <c r="A178" s="1331"/>
      <c r="B178" s="1223"/>
      <c r="C178" s="1331"/>
      <c r="D178" s="1331"/>
      <c r="E178" s="623">
        <v>15</v>
      </c>
      <c r="F178" s="50" cm="1" t="str">
        <f t="array" ref="F178:F178">OFFSET(E178,-1,1)</f>
        <v>2</v>
      </c>
      <c r="G178" s="1029"/>
      <c r="H178" s="81"/>
      <c r="I178" s="118" t="s">
        <v>707</v>
      </c>
      <c r="J178" s="1331"/>
      <c r="K178" s="120" t="str">
        <f>F178&amp;"10komm"</f>
        <v>210komm</v>
      </c>
      <c r="L178" s="926" cm="1" t="str">
        <f t="array" ref="L178:L178">AH178</f>
        <v>0</v>
      </c>
      <c r="M178" s="120"/>
      <c r="N178" s="1331"/>
      <c r="O178" s="1331"/>
      <c r="P178" s="1331"/>
      <c r="Q178" s="1331"/>
      <c r="R178" s="1331"/>
      <c r="S178" s="1441"/>
      <c r="T178" s="468" cm="1" t="str">
        <f t="array" ref="T178:T178">T177</f>
        <v>true</v>
      </c>
      <c r="U178" s="1331"/>
      <c r="V178" s="1331"/>
      <c r="W178" s="1331"/>
      <c r="X178" s="1539"/>
      <c r="Y178" s="1331"/>
      <c r="Z178" s="1529"/>
      <c r="AA178" s="1331"/>
      <c r="AB178" s="230" t="str">
        <f>IF(B172,"X","IX")</f>
        <v>X</v>
      </c>
      <c r="AC178" s="208" t="s">
        <v>1779</v>
      </c>
      <c r="AD178" s="207"/>
      <c r="AE178" s="230" t="s">
        <v>936</v>
      </c>
      <c r="AF178" s="378"/>
      <c r="AG178" s="378"/>
      <c r="AH178" s="853"/>
      <c r="AI178" s="1331"/>
      <c r="AJ178" s="1331"/>
      <c r="AK178" s="1331"/>
      <c r="AL178" s="1005" t="s">
        <v>1814</v>
      </c>
      <c r="AM178" s="1331"/>
      <c r="AN178" s="1331"/>
      <c r="AO178" s="1331"/>
      <c r="AP178" s="1331"/>
      <c r="AQ178" s="1331"/>
    </row>
    <row s="4538" customFormat="1" customHeight="1" ht="25.171875">
      <c r="A179" s="704"/>
      <c r="B179" s="433"/>
      <c r="C179" s="704"/>
      <c r="D179" s="704"/>
      <c r="E179" s="697">
        <v>15</v>
      </c>
      <c r="F179" s="50" cm="1" t="str">
        <f t="array" ref="F179:F179">OFFSET(E179,-1,1)</f>
        <v>2</v>
      </c>
      <c r="G179" s="500"/>
      <c r="H179" s="704"/>
      <c r="I179" s="237" t="s">
        <v>864</v>
      </c>
      <c r="J179" s="704"/>
      <c r="K179" s="120" t="str">
        <f>F179&amp;"11komm"</f>
        <v>211komm</v>
      </c>
      <c r="L179" s="926" cm="1" t="str">
        <f t="array" ref="L179:L179">AH179</f>
        <v>0</v>
      </c>
      <c r="M179" s="500"/>
      <c r="N179" s="704"/>
      <c r="O179" s="704"/>
      <c r="P179" s="704"/>
      <c r="Q179" s="704"/>
      <c r="R179" s="704"/>
      <c r="S179" s="704"/>
      <c r="T179" s="468" cm="1" t="str">
        <f t="array" ref="T179:T179">T178</f>
        <v>true</v>
      </c>
      <c r="U179" s="704"/>
      <c r="V179" s="704"/>
      <c r="W179" s="704"/>
      <c r="X179" s="1539"/>
      <c r="Y179" s="704"/>
      <c r="Z179" s="1529"/>
      <c r="AA179" s="704"/>
      <c r="AB179" s="230" t="str">
        <f>IF(B172,"XI","X")</f>
        <v>XI</v>
      </c>
      <c r="AC179" s="215" t="s">
        <v>1815</v>
      </c>
      <c r="AD179" s="207"/>
      <c r="AE179" s="230" t="s">
        <v>936</v>
      </c>
      <c r="AF179" s="944">
        <f>AF130+AF165+AF169+AF170+AF171+AF172+AF173+AF174+AF177+AF178</f>
        <v>20706.86</v>
      </c>
      <c r="AG179" s="944">
        <f>AG130+AG165+AG169+AG170+AG171+AG172+AG173+AG174+AG177+AG178</f>
        <v>21603.54</v>
      </c>
      <c r="AH179" s="853"/>
      <c r="AI179" s="704"/>
      <c r="AJ179" s="704"/>
      <c r="AK179" s="704"/>
      <c r="AL179" s="1059" t="s">
        <v>1816</v>
      </c>
      <c r="AM179" s="704"/>
      <c r="AN179" s="704"/>
      <c r="AO179" s="704"/>
      <c r="AP179" s="704"/>
      <c r="AQ179" s="704"/>
    </row>
    <row s="1656" customFormat="1" customHeight="1" ht="27.421875">
      <c r="A180" s="1331"/>
      <c r="B180" s="1223"/>
      <c r="C180" s="1331"/>
      <c r="D180" s="1331"/>
      <c r="E180" s="623">
        <v>15</v>
      </c>
      <c r="F180" s="94" cm="1" t="str">
        <f t="array" ref="F180:F180">X180</f>
        <v>3</v>
      </c>
      <c r="G180" s="496"/>
      <c r="H180" s="81"/>
      <c r="I180" s="1331"/>
      <c r="J180" s="1331"/>
      <c r="K180" s="1331"/>
      <c r="L180" s="1331"/>
      <c r="M180" s="1331"/>
      <c r="N180" s="1331"/>
      <c r="O180" s="1331"/>
      <c r="P180" s="1331"/>
      <c r="Q180" s="1331"/>
      <c r="R180" s="1331"/>
      <c r="S180" s="1188" cm="1" t="str">
        <f t="array" ref="S180:S180">INDEX('Общие сведения'!$AE$197:$AE$254,MATCH($X180,'Общие сведения'!$Z$197:$Z$254,0))</f>
        <v>Водоотведение</v>
      </c>
      <c r="T180" s="468">
        <f>X180&gt;0</f>
        <v>1</v>
      </c>
      <c r="U180" s="1331"/>
      <c r="V180" s="118" cm="1" t="str">
        <f t="array" ref="V180:V180">'Плата за негативное возд'!$AB$35</f>
        <v>Тариф 3 (Водоотведение) - тариф на водоотведение (Оказание услуг на территории: город Полысаево (ОКТМО: 32732000) - г Полысаево)</v>
      </c>
      <c r="W180" s="1331"/>
      <c r="X180" s="1539" t="s">
        <v>234</v>
      </c>
      <c r="Y180" s="1331"/>
      <c r="Z180" s="1529"/>
      <c r="AA180" s="1331"/>
      <c r="AB180" s="377" cm="1" t="str">
        <f t="array" ref="AB180:AB180">'Плата за негативное возд'!$AB$35</f>
        <v>Тариф 3 (Водоотведение) - тариф на водоотведение (Оказание услуг на территории: город Полысаево (ОКТМО: 32732000) - г Полысаево)</v>
      </c>
      <c r="AC180" s="377"/>
      <c r="AD180" s="377"/>
      <c r="AE180" s="377"/>
      <c r="AF180" s="377"/>
      <c r="AG180" s="377"/>
      <c r="AH180" s="377"/>
      <c r="AI180" s="1331"/>
      <c r="AJ180" s="1331"/>
      <c r="AK180" s="1331"/>
      <c r="AL180" s="1245"/>
      <c r="AM180" s="1331"/>
      <c r="AN180" s="1331"/>
      <c r="AO180" s="1331"/>
      <c r="AP180" s="1331"/>
      <c r="AQ180" s="1331"/>
    </row>
    <row s="4539" customFormat="1" customHeight="1" ht="49.921875">
      <c r="A181" s="704"/>
      <c r="B181" s="433"/>
      <c r="C181" s="704"/>
      <c r="D181" s="704"/>
      <c r="E181" s="697">
        <v>45</v>
      </c>
      <c r="F181" s="50" cm="1" t="str">
        <f t="array" ref="F181:F181">OFFSET(E181,-1,1)</f>
        <v>3</v>
      </c>
      <c r="G181" s="500"/>
      <c r="H181" s="704"/>
      <c r="I181" s="118" t="s">
        <v>344</v>
      </c>
      <c r="J181" s="704"/>
      <c r="K181" s="120"/>
      <c r="L181" s="931"/>
      <c r="M181" s="500"/>
      <c r="N181" s="704"/>
      <c r="O181" s="704"/>
      <c r="P181" s="704"/>
      <c r="Q181" s="704"/>
      <c r="R181" s="704"/>
      <c r="S181" s="704"/>
      <c r="T181" s="468" cm="1" t="str">
        <f t="array" ref="T181:T181">T180</f>
        <v>true</v>
      </c>
      <c r="U181" s="704"/>
      <c r="V181" s="704"/>
      <c r="W181" s="704"/>
      <c r="X181" s="1539"/>
      <c r="Y181" s="704"/>
      <c r="Z181" s="1529"/>
      <c r="AA181" s="704"/>
      <c r="AB181" s="848" t="s">
        <v>1642</v>
      </c>
      <c r="AC181" s="849" t="s">
        <v>1643</v>
      </c>
      <c r="AD181" s="848" t="s">
        <v>1644</v>
      </c>
      <c r="AE181" s="850" t="s">
        <v>936</v>
      </c>
      <c r="AF181" s="851">
        <f>AF183-AF182</f>
        <v>21647.5</v>
      </c>
      <c r="AG181" s="851">
        <f>AG183-AG182</f>
        <v>21032.02</v>
      </c>
      <c r="AH181" s="852" t="s">
        <v>1817</v>
      </c>
      <c r="AI181" s="704"/>
      <c r="AJ181" s="704"/>
      <c r="AK181" s="704"/>
      <c r="AL181" s="1059" t="s">
        <v>1645</v>
      </c>
      <c r="AM181" s="704"/>
      <c r="AN181" s="704"/>
      <c r="AO181" s="704"/>
      <c r="AP181" s="704"/>
      <c r="AQ181" s="704"/>
    </row>
    <row s="4540" customFormat="1" customHeight="1" ht="60.421875">
      <c r="A182" s="704"/>
      <c r="B182" s="433"/>
      <c r="C182" s="704"/>
      <c r="D182" s="704"/>
      <c r="E182" s="697">
        <v>15</v>
      </c>
      <c r="F182" s="50" cm="1" t="str">
        <f t="array" ref="F182:F182">OFFSET(E182,-1,1)</f>
        <v>3</v>
      </c>
      <c r="G182" s="500"/>
      <c r="H182" s="704"/>
      <c r="I182" s="118" t="s">
        <v>566</v>
      </c>
      <c r="J182" s="704"/>
      <c r="K182" s="500"/>
      <c r="L182" s="500"/>
      <c r="M182" s="500"/>
      <c r="N182" s="704"/>
      <c r="O182" s="704"/>
      <c r="P182" s="704"/>
      <c r="Q182" s="704"/>
      <c r="R182" s="704"/>
      <c r="S182" s="704"/>
      <c r="T182" s="468" cm="1" t="str">
        <f t="array" ref="T182:T182">T181</f>
        <v>true</v>
      </c>
      <c r="U182" s="704"/>
      <c r="V182" s="704"/>
      <c r="W182" s="704"/>
      <c r="X182" s="1539"/>
      <c r="Y182" s="704"/>
      <c r="Z182" s="1529"/>
      <c r="AA182" s="704"/>
      <c r="AB182" s="214" t="s">
        <v>290</v>
      </c>
      <c r="AC182" s="215" t="s">
        <v>1646</v>
      </c>
      <c r="AD182" s="207" t="s">
        <v>1647</v>
      </c>
      <c r="AE182" s="230" t="s">
        <v>936</v>
      </c>
      <c r="AF182" s="378">
        <v>51251.89</v>
      </c>
      <c r="AG182" s="378">
        <v>51251.89</v>
      </c>
      <c r="AH182" s="852" t="s">
        <v>1835</v>
      </c>
      <c r="AI182" s="704"/>
      <c r="AJ182" s="704"/>
      <c r="AK182" s="704"/>
      <c r="AL182" s="1059" t="s">
        <v>1648</v>
      </c>
      <c r="AM182" s="704"/>
      <c r="AN182" s="704"/>
      <c r="AO182" s="704"/>
      <c r="AP182" s="704"/>
      <c r="AQ182" s="704"/>
    </row>
    <row s="4541" customFormat="1" customHeight="1" ht="28.921875">
      <c r="A183" s="704"/>
      <c r="B183" s="433"/>
      <c r="C183" s="704"/>
      <c r="D183" s="704"/>
      <c r="E183" s="697">
        <v>15</v>
      </c>
      <c r="F183" s="50" cm="1" t="str">
        <f t="array" ref="F183:F183">OFFSET(E183,-1,1)</f>
        <v>3</v>
      </c>
      <c r="G183" s="143"/>
      <c r="H183" s="143"/>
      <c r="I183" s="428" t="s">
        <v>570</v>
      </c>
      <c r="J183" s="704"/>
      <c r="K183" s="500"/>
      <c r="L183" s="500"/>
      <c r="M183" s="500"/>
      <c r="N183" s="704"/>
      <c r="O183" s="704"/>
      <c r="P183" s="704"/>
      <c r="Q183" s="704"/>
      <c r="R183" s="704"/>
      <c r="S183" s="704"/>
      <c r="T183" s="468" cm="1" t="str">
        <f t="array" ref="T183:T183">T182</f>
        <v>true</v>
      </c>
      <c r="U183" s="704"/>
      <c r="V183" s="704"/>
      <c r="W183" s="704"/>
      <c r="X183" s="1539"/>
      <c r="Y183" s="704"/>
      <c r="Z183" s="1529"/>
      <c r="AA183" s="704"/>
      <c r="AB183" s="214" t="s">
        <v>299</v>
      </c>
      <c r="AC183" s="208" t="s">
        <v>1649</v>
      </c>
      <c r="AD183" s="207" t="s">
        <v>1650</v>
      </c>
      <c r="AE183" s="230" t="s">
        <v>936</v>
      </c>
      <c r="AF183" s="851">
        <f>AF184+AF185+AF197+AF201+AF202+AF203+AF204+AF208+AF209+AF210+AF211+AF214+AF215</f>
        <v>72899.39</v>
      </c>
      <c r="AG183" s="851">
        <f>AG184+AG185+AG197+AG201+AG202+AG203+AG204+AG208+AG209+AG210+AG211+AG214+AG215</f>
        <v>72283.91</v>
      </c>
      <c r="AH183" s="852" t="s">
        <v>1819</v>
      </c>
      <c r="AI183" s="704"/>
      <c r="AJ183" s="704"/>
      <c r="AK183" s="704"/>
      <c r="AL183" s="1059" t="s">
        <v>1651</v>
      </c>
      <c r="AM183" s="704"/>
      <c r="AN183" s="704"/>
      <c r="AO183" s="704"/>
      <c r="AP183" s="704"/>
      <c r="AQ183" s="704"/>
    </row>
    <row s="1656" customFormat="1" customHeight="1" ht="75.46875">
      <c r="A184" s="1331"/>
      <c r="B184" s="1223"/>
      <c r="C184" s="1331"/>
      <c r="D184" s="1331"/>
      <c r="E184" s="623">
        <v>22.5</v>
      </c>
      <c r="F184" s="50" cm="1" t="str">
        <f t="array" ref="F184:F184">OFFSET(E184,-1,1)</f>
        <v>3</v>
      </c>
      <c r="G184" s="428" t="s">
        <v>1652</v>
      </c>
      <c r="H184" s="81"/>
      <c r="I184" s="428" t="s">
        <v>1550</v>
      </c>
      <c r="J184" s="1331"/>
      <c r="K184" s="120"/>
      <c r="L184" s="120"/>
      <c r="M184" s="120"/>
      <c r="N184" s="1331"/>
      <c r="O184" s="1331"/>
      <c r="P184" s="1331"/>
      <c r="Q184" s="1331"/>
      <c r="R184" s="1331"/>
      <c r="S184" s="1441"/>
      <c r="T184" s="468" cm="1" t="str">
        <f t="array" ref="T184:T184">T183</f>
        <v>true</v>
      </c>
      <c r="U184" s="1331"/>
      <c r="V184" s="1331"/>
      <c r="W184" s="1331"/>
      <c r="X184" s="1539"/>
      <c r="Y184" s="1331"/>
      <c r="Z184" s="1529"/>
      <c r="AA184" s="1331"/>
      <c r="AB184" s="295" t="s">
        <v>660</v>
      </c>
      <c r="AC184" s="769" t="s">
        <v>1653</v>
      </c>
      <c r="AD184" s="296" t="s">
        <v>1654</v>
      </c>
      <c r="AE184" s="773" t="s">
        <v>936</v>
      </c>
      <c r="AF184" s="294">
        <v>53566.61</v>
      </c>
      <c r="AG184" s="294">
        <v>55284.73</v>
      </c>
      <c r="AH184" s="853" t="s">
        <v>1843</v>
      </c>
      <c r="AI184" s="1331"/>
      <c r="AJ184" s="1331"/>
      <c r="AK184" s="1331"/>
      <c r="AL184" s="1005" t="s">
        <v>1655</v>
      </c>
      <c r="AM184" s="1331"/>
      <c r="AN184" s="1331"/>
      <c r="AO184" s="1331"/>
      <c r="AP184" s="1331"/>
      <c r="AQ184" s="1331"/>
    </row>
    <row s="1656" customFormat="1" customHeight="1" ht="21.75">
      <c r="A185" s="1331"/>
      <c r="B185" s="1223"/>
      <c r="C185" s="1331"/>
      <c r="D185" s="1331"/>
      <c r="E185" s="623">
        <v>22.5</v>
      </c>
      <c r="F185" s="50" cm="1" t="str">
        <f t="array" ref="F185:F185">OFFSET(E185,-1,1)</f>
        <v>3</v>
      </c>
      <c r="G185" s="428"/>
      <c r="H185" s="81"/>
      <c r="I185" s="428" t="s">
        <v>1553</v>
      </c>
      <c r="J185" s="1331"/>
      <c r="K185" s="120"/>
      <c r="L185" s="120"/>
      <c r="M185" s="120"/>
      <c r="N185" s="1331"/>
      <c r="O185" s="1331"/>
      <c r="P185" s="1331"/>
      <c r="Q185" s="1331"/>
      <c r="R185" s="1331"/>
      <c r="S185" s="1441"/>
      <c r="T185" s="468" cm="1" t="str">
        <f t="array" ref="T185:T185">T184</f>
        <v>true</v>
      </c>
      <c r="U185" s="1331"/>
      <c r="V185" s="1331"/>
      <c r="W185" s="1331"/>
      <c r="X185" s="1539"/>
      <c r="Y185" s="1331"/>
      <c r="Z185" s="1529"/>
      <c r="AA185" s="1331"/>
      <c r="AB185" s="295" t="s">
        <v>664</v>
      </c>
      <c r="AC185" s="769" t="s">
        <v>1656</v>
      </c>
      <c r="AD185" s="296" t="s">
        <v>1657</v>
      </c>
      <c r="AE185" s="773" t="s">
        <v>936</v>
      </c>
      <c r="AF185" s="941">
        <f>SUM(AF186:AF196)</f>
        <v>14456.72</v>
      </c>
      <c r="AG185" s="941">
        <f>SUM(AG186:AG196)</f>
        <v>14456.73</v>
      </c>
      <c r="AH185" s="853"/>
      <c r="AI185" s="1331"/>
      <c r="AJ185" s="1331"/>
      <c r="AK185" s="1331"/>
      <c r="AL185" s="1005" t="s">
        <v>1658</v>
      </c>
      <c r="AM185" s="1331"/>
      <c r="AN185" s="1331"/>
      <c r="AO185" s="1331"/>
      <c r="AP185" s="1331"/>
      <c r="AQ185" s="1331"/>
    </row>
    <row s="1656" customFormat="1" customHeight="1" ht="36.421875">
      <c r="A186" s="1331"/>
      <c r="B186" s="1223"/>
      <c r="C186" s="1331"/>
      <c r="D186" s="1331"/>
      <c r="E186" s="623">
        <v>22.5</v>
      </c>
      <c r="F186" s="50" cm="1" t="str">
        <f t="array" ref="F186:F186">OFFSET(E186,-1,1)</f>
        <v>3</v>
      </c>
      <c r="G186" s="428"/>
      <c r="H186" s="81"/>
      <c r="I186" s="428" t="s">
        <v>1659</v>
      </c>
      <c r="J186" s="1331"/>
      <c r="K186" s="120"/>
      <c r="L186" s="120"/>
      <c r="M186" s="120"/>
      <c r="N186" s="1331"/>
      <c r="O186" s="1331"/>
      <c r="P186" s="1331"/>
      <c r="Q186" s="1331"/>
      <c r="R186" s="1331"/>
      <c r="S186" s="1441"/>
      <c r="T186" s="468" cm="1" t="str">
        <f t="array" ref="T186:T186">T185</f>
        <v>true</v>
      </c>
      <c r="U186" s="1331"/>
      <c r="V186" s="1331"/>
      <c r="W186" s="1331"/>
      <c r="X186" s="1539"/>
      <c r="Y186" s="1331"/>
      <c r="Z186" s="1529"/>
      <c r="AA186" s="1331"/>
      <c r="AB186" s="791" t="s">
        <v>598</v>
      </c>
      <c r="AC186" s="788" t="s">
        <v>1660</v>
      </c>
      <c r="AD186" s="773"/>
      <c r="AE186" s="773" t="s">
        <v>936</v>
      </c>
      <c r="AF186" s="294">
        <f>_xlfn.SUMIFS(Покупка!$AF$25:$AF$327,Покупка!$F$25:$F$327,$F186,Покупка!$I$25:$I$327,"Итого_пок_усл")</f>
        <v>0</v>
      </c>
      <c r="AG186" s="294">
        <f>_xlfn.SUMIFS(Покупка!$AG$25:$AG$327,Покупка!$F$25:$F$327,$F186,Покупка!$I$25:$I$327,"Итого_пок_усл")</f>
        <v>0</v>
      </c>
      <c r="AH186" s="853"/>
      <c r="AI186" s="1331"/>
      <c r="AJ186" s="1331"/>
      <c r="AK186" s="1331"/>
      <c r="AL186" s="1005" t="s">
        <v>1661</v>
      </c>
      <c r="AM186" s="1331"/>
      <c r="AN186" s="1331"/>
      <c r="AO186" s="1331"/>
      <c r="AP186" s="1331"/>
      <c r="AQ186" s="1331"/>
    </row>
    <row s="1656" customFormat="1" customHeight="1" ht="14.625">
      <c r="A187" s="1331"/>
      <c r="B187" s="1223"/>
      <c r="C187" s="1331"/>
      <c r="D187" s="1331"/>
      <c r="E187" s="623">
        <v>15</v>
      </c>
      <c r="F187" s="50" cm="1" t="str">
        <f t="array" ref="F187:F187">OFFSET(E187,-1,1)</f>
        <v>3</v>
      </c>
      <c r="G187" s="428"/>
      <c r="H187" s="81"/>
      <c r="I187" s="428" t="s">
        <v>1662</v>
      </c>
      <c r="J187" s="1331"/>
      <c r="K187" s="120"/>
      <c r="L187" s="120"/>
      <c r="M187" s="120"/>
      <c r="N187" s="1331"/>
      <c r="O187" s="1331"/>
      <c r="P187" s="1331"/>
      <c r="Q187" s="1331"/>
      <c r="R187" s="1331"/>
      <c r="S187" s="1441"/>
      <c r="T187" s="468" cm="1" t="str">
        <f t="array" ref="T187:T187">T186</f>
        <v>true</v>
      </c>
      <c r="U187" s="1331"/>
      <c r="V187" s="1331"/>
      <c r="W187" s="1331"/>
      <c r="X187" s="1539"/>
      <c r="Y187" s="1331"/>
      <c r="Z187" s="1529"/>
      <c r="AA187" s="1331"/>
      <c r="AB187" s="791" t="s">
        <v>1663</v>
      </c>
      <c r="AC187" s="788" t="s">
        <v>1664</v>
      </c>
      <c r="AD187" s="773"/>
      <c r="AE187" s="773" t="s">
        <v>936</v>
      </c>
      <c r="AF187" s="294">
        <v>0</v>
      </c>
      <c r="AG187" s="294">
        <f>_xlfn.SUMIFS('Сырье и материалы'!AG$25:AG$112,'Сырье и материалы'!$F$25:$F$112,$F187,'Сырье и материалы'!$AC$25:$AC$112,"Всего по тарифу")</f>
        <v>0</v>
      </c>
      <c r="AH187" s="853"/>
      <c r="AI187" s="1331"/>
      <c r="AJ187" s="1331"/>
      <c r="AK187" s="1331"/>
      <c r="AL187" s="1005" t="s">
        <v>1665</v>
      </c>
      <c r="AM187" s="1331"/>
      <c r="AN187" s="1331"/>
      <c r="AO187" s="1331"/>
      <c r="AP187" s="1331"/>
      <c r="AQ187" s="1331"/>
    </row>
    <row s="1656" customFormat="1" customHeight="1" ht="20.671875">
      <c r="A188" s="1331"/>
      <c r="B188" s="1223"/>
      <c r="C188" s="1331"/>
      <c r="D188" s="1331"/>
      <c r="E188" s="623">
        <v>15</v>
      </c>
      <c r="F188" s="50" cm="1" t="str">
        <f t="array" ref="F188:F188">OFFSET(E188,-1,1)</f>
        <v>3</v>
      </c>
      <c r="G188" s="428"/>
      <c r="H188" s="81"/>
      <c r="I188" s="428" t="s">
        <v>1666</v>
      </c>
      <c r="J188" s="1331"/>
      <c r="K188" s="120"/>
      <c r="L188" s="120"/>
      <c r="M188" s="120"/>
      <c r="N188" s="1331"/>
      <c r="O188" s="1331"/>
      <c r="P188" s="1331"/>
      <c r="Q188" s="1331"/>
      <c r="R188" s="1331"/>
      <c r="S188" s="1441"/>
      <c r="T188" s="468" cm="1" t="str">
        <f t="array" ref="T188:T188">T187</f>
        <v>true</v>
      </c>
      <c r="U188" s="1331"/>
      <c r="V188" s="1331"/>
      <c r="W188" s="1331"/>
      <c r="X188" s="1539"/>
      <c r="Y188" s="1331"/>
      <c r="Z188" s="1529"/>
      <c r="AA188" s="1331"/>
      <c r="AB188" s="791" t="s">
        <v>1667</v>
      </c>
      <c r="AC188" s="788" t="s">
        <v>1668</v>
      </c>
      <c r="AD188" s="773"/>
      <c r="AE188" s="773" t="s">
        <v>936</v>
      </c>
      <c r="AF188" s="294">
        <v>905.46</v>
      </c>
      <c r="AG188" s="294">
        <v>905.47</v>
      </c>
      <c r="AH188" s="853" t="s">
        <v>1822</v>
      </c>
      <c r="AI188" s="1331"/>
      <c r="AJ188" s="1331"/>
      <c r="AK188" s="1331"/>
      <c r="AL188" s="1005" t="s">
        <v>1669</v>
      </c>
      <c r="AM188" s="1331"/>
      <c r="AN188" s="1331"/>
      <c r="AO188" s="1331"/>
      <c r="AP188" s="1331"/>
      <c r="AQ188" s="1331"/>
    </row>
    <row s="1656" customFormat="1" customHeight="1" ht="65.8125">
      <c r="A189" s="1331"/>
      <c r="B189" s="1223"/>
      <c r="C189" s="1331"/>
      <c r="D189" s="1331"/>
      <c r="E189" s="623">
        <v>67.5</v>
      </c>
      <c r="F189" s="50" cm="1" t="str">
        <f t="array" ref="F189:F189">OFFSET(E189,-1,1)</f>
        <v>3</v>
      </c>
      <c r="G189" s="103" t="s">
        <v>1670</v>
      </c>
      <c r="H189" s="81"/>
      <c r="I189" s="496" t="s">
        <v>1671</v>
      </c>
      <c r="J189" s="1331"/>
      <c r="K189" s="120"/>
      <c r="L189" s="120"/>
      <c r="M189" s="120"/>
      <c r="N189" s="1331"/>
      <c r="O189" s="1331"/>
      <c r="P189" s="1331"/>
      <c r="Q189" s="1331"/>
      <c r="R189" s="1331"/>
      <c r="S189" s="1441"/>
      <c r="T189" s="468" cm="1" t="str">
        <f t="array" ref="T189:T189">T188</f>
        <v>true</v>
      </c>
      <c r="U189" s="1331"/>
      <c r="V189" s="1331"/>
      <c r="W189" s="1331"/>
      <c r="X189" s="1539"/>
      <c r="Y189" s="1331"/>
      <c r="Z189" s="1529"/>
      <c r="AA189" s="1331"/>
      <c r="AB189" s="791" t="s">
        <v>1672</v>
      </c>
      <c r="AC189" s="788" t="s">
        <v>1673</v>
      </c>
      <c r="AD189" s="773"/>
      <c r="AE189" s="773" t="s">
        <v>936</v>
      </c>
      <c r="AF189" s="294">
        <v>0</v>
      </c>
      <c r="AG189" s="294">
        <f>IF(AND(method_reg="Метод индексации",first_year=god),_xlfn.SUMIFS('Калькуляция (МИ)'!$AG$25:$AG$603,'Калькуляция (МИ)'!$F$25:$F$603,$F189,'Калькуляция (МИ)'!$G$25:$G$603,$G189),_xlfn.SUMIFS('Калькуляция (МИ корр)'!$AG$25:$AG$606,'Калькуляция (МИ корр)'!$F$25:$F$606,$F189,'Калькуляция (МИ корр)'!$G$25:$G$606,$G189))</f>
        <v>0</v>
      </c>
      <c r="AH189" s="853"/>
      <c r="AI189" s="1331"/>
      <c r="AJ189" s="1331"/>
      <c r="AK189" s="1331"/>
      <c r="AL189" s="1005" t="s">
        <v>1674</v>
      </c>
      <c r="AM189" s="1331"/>
      <c r="AN189" s="1331"/>
      <c r="AO189" s="1331"/>
      <c r="AP189" s="1331"/>
      <c r="AQ189" s="1331"/>
    </row>
    <row s="1656" customFormat="1" customHeight="1" ht="24.421875">
      <c r="A190" s="1331"/>
      <c r="B190" s="1223"/>
      <c r="C190" s="1331"/>
      <c r="D190" s="1331"/>
      <c r="E190" s="623">
        <v>15</v>
      </c>
      <c r="F190" s="50" cm="1" t="str">
        <f t="array" ref="F190:F190">OFFSET(E190,-1,1)</f>
        <v>3</v>
      </c>
      <c r="G190" s="103" t="s">
        <v>1192</v>
      </c>
      <c r="H190" s="81"/>
      <c r="I190" s="496" t="s">
        <v>1675</v>
      </c>
      <c r="J190" s="1331"/>
      <c r="K190" s="120"/>
      <c r="L190" s="120"/>
      <c r="M190" s="120"/>
      <c r="N190" s="1331"/>
      <c r="O190" s="1331"/>
      <c r="P190" s="1331"/>
      <c r="Q190" s="1331"/>
      <c r="R190" s="1331"/>
      <c r="S190" s="1441"/>
      <c r="T190" s="468" cm="1" t="str">
        <f t="array" ref="T190:T190">T189</f>
        <v>true</v>
      </c>
      <c r="U190" s="1331"/>
      <c r="V190" s="1331"/>
      <c r="W190" s="1331"/>
      <c r="X190" s="1539"/>
      <c r="Y190" s="1331"/>
      <c r="Z190" s="1529"/>
      <c r="AA190" s="1331"/>
      <c r="AB190" s="791" t="s">
        <v>1676</v>
      </c>
      <c r="AC190" s="788" t="s">
        <v>1677</v>
      </c>
      <c r="AD190" s="773"/>
      <c r="AE190" s="773" t="s">
        <v>936</v>
      </c>
      <c r="AF190" s="294">
        <v>581.95</v>
      </c>
      <c r="AG190" s="294">
        <v>581.95</v>
      </c>
      <c r="AH190" s="853" t="s">
        <v>1823</v>
      </c>
      <c r="AI190" s="1331"/>
      <c r="AJ190" s="1331"/>
      <c r="AK190" s="1331"/>
      <c r="AL190" s="1005" t="s">
        <v>1678</v>
      </c>
      <c r="AM190" s="1331"/>
      <c r="AN190" s="1331"/>
      <c r="AO190" s="1331"/>
      <c r="AP190" s="1331"/>
      <c r="AQ190" s="1331"/>
    </row>
    <row s="1656" customFormat="1" customHeight="1" ht="25.171875">
      <c r="A191" s="1331"/>
      <c r="B191" s="1223"/>
      <c r="C191" s="1331"/>
      <c r="D191" s="1331"/>
      <c r="E191" s="623">
        <v>15</v>
      </c>
      <c r="F191" s="50" cm="1" t="str">
        <f t="array" ref="F191:F191">OFFSET(E191,-1,1)</f>
        <v>3</v>
      </c>
      <c r="G191" s="103" t="s">
        <v>1679</v>
      </c>
      <c r="H191" s="81"/>
      <c r="I191" s="496" t="s">
        <v>1680</v>
      </c>
      <c r="J191" s="1331"/>
      <c r="K191" s="120"/>
      <c r="L191" s="120"/>
      <c r="M191" s="120"/>
      <c r="N191" s="1331"/>
      <c r="O191" s="1331"/>
      <c r="P191" s="1331"/>
      <c r="Q191" s="1331"/>
      <c r="R191" s="1331"/>
      <c r="S191" s="1441"/>
      <c r="T191" s="468" cm="1" t="str">
        <f t="array" ref="T191:T191">T190</f>
        <v>true</v>
      </c>
      <c r="U191" s="1331"/>
      <c r="V191" s="1331"/>
      <c r="W191" s="1331"/>
      <c r="X191" s="1539"/>
      <c r="Y191" s="1331"/>
      <c r="Z191" s="1529"/>
      <c r="AA191" s="1331"/>
      <c r="AB191" s="791" t="s">
        <v>1681</v>
      </c>
      <c r="AC191" s="788" t="s">
        <v>1682</v>
      </c>
      <c r="AD191" s="773"/>
      <c r="AE191" s="773" t="s">
        <v>936</v>
      </c>
      <c r="AF191" s="294">
        <v>72.52</v>
      </c>
      <c r="AG191" s="294">
        <v>72.52</v>
      </c>
      <c r="AH191" s="853" t="s">
        <v>1844</v>
      </c>
      <c r="AI191" s="1331"/>
      <c r="AJ191" s="1331"/>
      <c r="AK191" s="1331"/>
      <c r="AL191" s="1005" t="s">
        <v>1683</v>
      </c>
      <c r="AM191" s="1331"/>
      <c r="AN191" s="1331"/>
      <c r="AO191" s="1331"/>
      <c r="AP191" s="1331"/>
      <c r="AQ191" s="1331"/>
    </row>
    <row s="1656" customFormat="1" customHeight="1" ht="23.25">
      <c r="A192" s="1331"/>
      <c r="B192" s="1223"/>
      <c r="C192" s="1331"/>
      <c r="D192" s="1331"/>
      <c r="E192" s="623">
        <v>22.5</v>
      </c>
      <c r="F192" s="50" cm="1" t="str">
        <f t="array" ref="F192:F192">OFFSET(E192,-1,1)</f>
        <v>3</v>
      </c>
      <c r="G192" s="103" t="s">
        <v>1684</v>
      </c>
      <c r="H192" s="81"/>
      <c r="I192" s="496" t="s">
        <v>1685</v>
      </c>
      <c r="J192" s="1331"/>
      <c r="K192" s="120"/>
      <c r="L192" s="120"/>
      <c r="M192" s="120"/>
      <c r="N192" s="1331"/>
      <c r="O192" s="1331"/>
      <c r="P192" s="1331"/>
      <c r="Q192" s="1331"/>
      <c r="R192" s="1331"/>
      <c r="S192" s="1441"/>
      <c r="T192" s="468" cm="1" t="str">
        <f t="array" ref="T192:T192">T191</f>
        <v>true</v>
      </c>
      <c r="U192" s="1331"/>
      <c r="V192" s="1331"/>
      <c r="W192" s="1331"/>
      <c r="X192" s="1539"/>
      <c r="Y192" s="1331"/>
      <c r="Z192" s="1529"/>
      <c r="AA192" s="1331"/>
      <c r="AB192" s="791" t="s">
        <v>1686</v>
      </c>
      <c r="AC192" s="788" t="s">
        <v>1687</v>
      </c>
      <c r="AD192" s="773"/>
      <c r="AE192" s="773" t="s">
        <v>936</v>
      </c>
      <c r="AF192" s="294">
        <v>0</v>
      </c>
      <c r="AG192" s="294">
        <f>IF(AND(method_reg="Метод индексации",first_year=god),_xlfn.SUMIFS('Калькуляция (МИ)'!$AG$25:$AG$603,'Калькуляция (МИ)'!$F$25:$F$603,$F192,'Калькуляция (МИ)'!$G$25:$G$603,$G192),_xlfn.SUMIFS('Калькуляция (МИ корр)'!$AG$25:$AG$606,'Калькуляция (МИ корр)'!$F$25:$F$606,$F192,'Калькуляция (МИ корр)'!$G$25:$G$606,$G192))</f>
        <v>0</v>
      </c>
      <c r="AH192" s="853"/>
      <c r="AI192" s="1331"/>
      <c r="AJ192" s="1331"/>
      <c r="AK192" s="1331"/>
      <c r="AL192" s="1005" t="s">
        <v>1688</v>
      </c>
      <c r="AM192" s="1331"/>
      <c r="AN192" s="1331"/>
      <c r="AO192" s="1331"/>
      <c r="AP192" s="1331"/>
      <c r="AQ192" s="1331"/>
    </row>
    <row s="1656" customFormat="1" customHeight="1" ht="23.25">
      <c r="A193" s="1331"/>
      <c r="B193" s="1223"/>
      <c r="C193" s="1331"/>
      <c r="D193" s="1331"/>
      <c r="E193" s="623">
        <v>22.5</v>
      </c>
      <c r="F193" s="50" cm="1" t="str">
        <f t="array" ref="F193:F193">OFFSET(E193,-1,1)</f>
        <v>3</v>
      </c>
      <c r="G193" s="103" t="s">
        <v>1689</v>
      </c>
      <c r="H193" s="81"/>
      <c r="I193" s="496" t="s">
        <v>1690</v>
      </c>
      <c r="J193" s="1331"/>
      <c r="K193" s="120"/>
      <c r="L193" s="120"/>
      <c r="M193" s="120"/>
      <c r="N193" s="1331"/>
      <c r="O193" s="1331"/>
      <c r="P193" s="1331"/>
      <c r="Q193" s="1331"/>
      <c r="R193" s="1331"/>
      <c r="S193" s="1441"/>
      <c r="T193" s="468" cm="1" t="str">
        <f t="array" ref="T193:T193">T192</f>
        <v>true</v>
      </c>
      <c r="U193" s="1331"/>
      <c r="V193" s="1331"/>
      <c r="W193" s="1331"/>
      <c r="X193" s="1539"/>
      <c r="Y193" s="1331"/>
      <c r="Z193" s="1529"/>
      <c r="AA193" s="1331"/>
      <c r="AB193" s="791" t="s">
        <v>1691</v>
      </c>
      <c r="AC193" s="788" t="s">
        <v>1692</v>
      </c>
      <c r="AD193" s="942"/>
      <c r="AE193" s="773" t="s">
        <v>936</v>
      </c>
      <c r="AF193" s="294">
        <v>0</v>
      </c>
      <c r="AG193" s="294">
        <f>IF(AND(method_reg="Метод индексации",first_year=god),_xlfn.SUMIFS('Калькуляция (МИ)'!$AG$25:$AG$603,'Калькуляция (МИ)'!$F$25:$F$603,$F193,'Калькуляция (МИ)'!$G$25:$G$603,$G193),_xlfn.SUMIFS('Калькуляция (МИ корр)'!$AG$25:$AG$606,'Калькуляция (МИ корр)'!$F$25:$F$606,$F193,'Калькуляция (МИ корр)'!$G$25:$G$606,$G193))</f>
        <v>0</v>
      </c>
      <c r="AH193" s="853"/>
      <c r="AI193" s="1331"/>
      <c r="AJ193" s="1331"/>
      <c r="AK193" s="1331"/>
      <c r="AL193" s="1005" t="s">
        <v>1693</v>
      </c>
      <c r="AM193" s="1331"/>
      <c r="AN193" s="1331"/>
      <c r="AO193" s="1331"/>
      <c r="AP193" s="1331"/>
      <c r="AQ193" s="1331"/>
    </row>
    <row s="1656" customFormat="1" customHeight="1" ht="29.671875">
      <c r="A194" s="1331"/>
      <c r="B194" s="1223"/>
      <c r="C194" s="1331"/>
      <c r="D194" s="1331"/>
      <c r="E194" s="623">
        <v>22.5</v>
      </c>
      <c r="F194" s="50" cm="1" t="str">
        <f t="array" ref="F194:F194">OFFSET(E194,-1,1)</f>
        <v>3</v>
      </c>
      <c r="G194" s="103" t="s">
        <v>1694</v>
      </c>
      <c r="H194" s="81"/>
      <c r="I194" s="496" t="s">
        <v>1695</v>
      </c>
      <c r="J194" s="1331"/>
      <c r="K194" s="120"/>
      <c r="L194" s="120"/>
      <c r="M194" s="120"/>
      <c r="N194" s="1331"/>
      <c r="O194" s="1331"/>
      <c r="P194" s="1331"/>
      <c r="Q194" s="1331"/>
      <c r="R194" s="1331"/>
      <c r="S194" s="1441"/>
      <c r="T194" s="468" cm="1" t="str">
        <f t="array" ref="T194:T194">T193</f>
        <v>true</v>
      </c>
      <c r="U194" s="1331"/>
      <c r="V194" s="1331"/>
      <c r="W194" s="1331"/>
      <c r="X194" s="1539"/>
      <c r="Y194" s="1331"/>
      <c r="Z194" s="1529"/>
      <c r="AA194" s="1331"/>
      <c r="AB194" s="791" t="s">
        <v>1696</v>
      </c>
      <c r="AC194" s="788" t="s">
        <v>1697</v>
      </c>
      <c r="AD194" s="942"/>
      <c r="AE194" s="773" t="s">
        <v>936</v>
      </c>
      <c r="AF194" s="294">
        <v>12436.1</v>
      </c>
      <c r="AG194" s="294">
        <v>12436.1</v>
      </c>
      <c r="AH194" s="853" t="s">
        <v>1838</v>
      </c>
      <c r="AI194" s="1331"/>
      <c r="AJ194" s="1331"/>
      <c r="AK194" s="1331"/>
      <c r="AL194" s="1005" t="s">
        <v>1698</v>
      </c>
      <c r="AM194" s="1331"/>
      <c r="AN194" s="1331"/>
      <c r="AO194" s="1331"/>
      <c r="AP194" s="1331"/>
      <c r="AQ194" s="1331"/>
    </row>
    <row s="1656" customFormat="1" customHeight="1" ht="47.671875">
      <c r="A195" s="1331"/>
      <c r="B195" s="1223"/>
      <c r="C195" s="1331"/>
      <c r="D195" s="1331"/>
      <c r="E195" s="623">
        <v>15</v>
      </c>
      <c r="F195" s="50" cm="1" t="str">
        <f t="array" ref="F195:F195">OFFSET(E195,-1,1)</f>
        <v>3</v>
      </c>
      <c r="G195" s="103" t="s">
        <v>1699</v>
      </c>
      <c r="H195" s="81"/>
      <c r="I195" s="496" t="s">
        <v>1700</v>
      </c>
      <c r="J195" s="1331"/>
      <c r="K195" s="120"/>
      <c r="L195" s="120"/>
      <c r="M195" s="120"/>
      <c r="N195" s="1331"/>
      <c r="O195" s="1331"/>
      <c r="P195" s="1331"/>
      <c r="Q195" s="1331"/>
      <c r="R195" s="1331"/>
      <c r="S195" s="1441"/>
      <c r="T195" s="468" cm="1" t="str">
        <f t="array" ref="T195:T195">T194</f>
        <v>true</v>
      </c>
      <c r="U195" s="1331"/>
      <c r="V195" s="1331"/>
      <c r="W195" s="1331"/>
      <c r="X195" s="1539"/>
      <c r="Y195" s="1331"/>
      <c r="Z195" s="1529"/>
      <c r="AA195" s="1331"/>
      <c r="AB195" s="791" t="s">
        <v>1701</v>
      </c>
      <c r="AC195" s="788" t="s">
        <v>1702</v>
      </c>
      <c r="AD195" s="942"/>
      <c r="AE195" s="773" t="s">
        <v>936</v>
      </c>
      <c r="AF195" s="294">
        <v>460.69</v>
      </c>
      <c r="AG195" s="294">
        <v>460.69</v>
      </c>
      <c r="AH195" s="853" t="s">
        <v>1839</v>
      </c>
      <c r="AI195" s="1331"/>
      <c r="AJ195" s="1331"/>
      <c r="AK195" s="1331"/>
      <c r="AL195" s="1005" t="s">
        <v>1703</v>
      </c>
      <c r="AM195" s="1331"/>
      <c r="AN195" s="1331"/>
      <c r="AO195" s="1331"/>
      <c r="AP195" s="1331"/>
      <c r="AQ195" s="1331"/>
    </row>
    <row s="1656" customFormat="1" customHeight="1" ht="26.671875">
      <c r="A196" s="1331"/>
      <c r="B196" s="1223"/>
      <c r="C196" s="1331"/>
      <c r="D196" s="1331"/>
      <c r="E196" s="623">
        <v>22.5</v>
      </c>
      <c r="F196" s="50" cm="1" t="str">
        <f t="array" ref="F196:F196">OFFSET(E196,-1,1)</f>
        <v>3</v>
      </c>
      <c r="G196" s="103" t="s">
        <v>1704</v>
      </c>
      <c r="H196" s="81"/>
      <c r="I196" s="496" t="s">
        <v>1705</v>
      </c>
      <c r="J196" s="1331"/>
      <c r="K196" s="120"/>
      <c r="L196" s="120"/>
      <c r="M196" s="120"/>
      <c r="N196" s="1331"/>
      <c r="O196" s="1331"/>
      <c r="P196" s="1331"/>
      <c r="Q196" s="1331"/>
      <c r="R196" s="1331"/>
      <c r="S196" s="1441"/>
      <c r="T196" s="468" cm="1" t="str">
        <f t="array" ref="T196:T196">T195</f>
        <v>true</v>
      </c>
      <c r="U196" s="1331"/>
      <c r="V196" s="1331"/>
      <c r="W196" s="1331"/>
      <c r="X196" s="1539"/>
      <c r="Y196" s="1331"/>
      <c r="Z196" s="1529"/>
      <c r="AA196" s="1331"/>
      <c r="AB196" s="791" t="s">
        <v>1706</v>
      </c>
      <c r="AC196" s="788" t="s">
        <v>1707</v>
      </c>
      <c r="AD196" s="942"/>
      <c r="AE196" s="773" t="s">
        <v>936</v>
      </c>
      <c r="AF196" s="294"/>
      <c r="AG196" s="294">
        <f>IF(AND(method_reg="Метод индексации",first_year=god),_xlfn.SUMIFS('Калькуляция (МИ)'!$AG$25:$AG$603,'Калькуляция (МИ)'!$F$25:$F$603,$F196,'Калькуляция (МИ)'!$G$25:$G$603,$G196),_xlfn.SUMIFS('Калькуляция (МИ корр)'!$AG$25:$AG$606,'Калькуляция (МИ корр)'!$F$25:$F$606,$F196,'Калькуляция (МИ корр)'!$G$25:$G$606,$G196))</f>
        <v>0</v>
      </c>
      <c r="AH196" s="853"/>
      <c r="AI196" s="1331"/>
      <c r="AJ196" s="1331"/>
      <c r="AK196" s="1331"/>
      <c r="AL196" s="1005" t="s">
        <v>1708</v>
      </c>
      <c r="AM196" s="1331"/>
      <c r="AN196" s="1331"/>
      <c r="AO196" s="1331"/>
      <c r="AP196" s="1331"/>
      <c r="AQ196" s="1331"/>
    </row>
    <row s="1656" customFormat="1" customHeight="1" ht="28.921875">
      <c r="A197" s="1331"/>
      <c r="B197" s="1223"/>
      <c r="C197" s="1331"/>
      <c r="D197" s="1331"/>
      <c r="E197" s="623">
        <v>15</v>
      </c>
      <c r="F197" s="50" cm="1" t="str">
        <f t="array" ref="F197:F197">OFFSET(E197,-1,1)</f>
        <v>3</v>
      </c>
      <c r="G197" s="428"/>
      <c r="H197" s="81"/>
      <c r="I197" s="428" t="s">
        <v>1557</v>
      </c>
      <c r="J197" s="1331"/>
      <c r="K197" s="120"/>
      <c r="L197" s="120"/>
      <c r="M197" s="120"/>
      <c r="N197" s="1331"/>
      <c r="O197" s="1331"/>
      <c r="P197" s="1331"/>
      <c r="Q197" s="1331"/>
      <c r="R197" s="1331"/>
      <c r="S197" s="1441"/>
      <c r="T197" s="468" cm="1" t="str">
        <f t="array" ref="T197:T197">T196</f>
        <v>true</v>
      </c>
      <c r="U197" s="1331"/>
      <c r="V197" s="1331"/>
      <c r="W197" s="1331"/>
      <c r="X197" s="1539"/>
      <c r="Y197" s="1331"/>
      <c r="Z197" s="1529"/>
      <c r="AA197" s="1331"/>
      <c r="AB197" s="295" t="s">
        <v>668</v>
      </c>
      <c r="AC197" s="769" t="s">
        <v>1709</v>
      </c>
      <c r="AD197" s="296" t="s">
        <v>1710</v>
      </c>
      <c r="AE197" s="773" t="s">
        <v>936</v>
      </c>
      <c r="AF197" s="294">
        <v>6367.79</v>
      </c>
      <c r="AG197" s="294">
        <v>4503.6</v>
      </c>
      <c r="AH197" s="853" t="s">
        <v>1840</v>
      </c>
      <c r="AI197" s="1331"/>
      <c r="AJ197" s="1331"/>
      <c r="AK197" s="1331"/>
      <c r="AL197" s="1005" t="s">
        <v>1711</v>
      </c>
      <c r="AM197" s="1331"/>
      <c r="AN197" s="1331"/>
      <c r="AO197" s="1331"/>
      <c r="AP197" s="1331"/>
      <c r="AQ197" s="1331"/>
    </row>
    <row s="1656" customFormat="1" customHeight="1" ht="40.921875">
      <c r="A198" s="1331"/>
      <c r="B198" s="1223"/>
      <c r="C198" s="1331"/>
      <c r="D198" s="1331"/>
      <c r="E198" s="623">
        <v>22.5</v>
      </c>
      <c r="F198" s="50" cm="1" t="str">
        <f t="array" ref="F198:F198">OFFSET(E198,-1,1)</f>
        <v>3</v>
      </c>
      <c r="G198" s="428"/>
      <c r="H198" s="81"/>
      <c r="I198" s="428" t="s">
        <v>1712</v>
      </c>
      <c r="J198" s="1331"/>
      <c r="K198" s="120"/>
      <c r="L198" s="120"/>
      <c r="M198" s="120"/>
      <c r="N198" s="1331"/>
      <c r="O198" s="1331"/>
      <c r="P198" s="1331"/>
      <c r="Q198" s="1331"/>
      <c r="R198" s="1331"/>
      <c r="S198" s="1441"/>
      <c r="T198" s="468" cm="1" t="str">
        <f t="array" ref="T198:T198">T197</f>
        <v>true</v>
      </c>
      <c r="U198" s="1331"/>
      <c r="V198" s="1331"/>
      <c r="W198" s="1331"/>
      <c r="X198" s="1539"/>
      <c r="Y198" s="1331"/>
      <c r="Z198" s="1529"/>
      <c r="AA198" s="1331"/>
      <c r="AB198" s="295" t="s">
        <v>603</v>
      </c>
      <c r="AC198" s="772" t="s">
        <v>1713</v>
      </c>
      <c r="AD198" s="296" t="s">
        <v>1714</v>
      </c>
      <c r="AE198" s="773" t="s">
        <v>981</v>
      </c>
      <c r="AF198" s="294" cm="1" t="str">
        <f t="array" ref="AF198:AF198">ЭЭ!AF138</f>
        <v>0.581539501859574</v>
      </c>
      <c r="AG198" s="294">
        <v>0.6300007578</v>
      </c>
      <c r="AH198" s="853" t="s">
        <v>1038</v>
      </c>
      <c r="AI198" s="1331"/>
      <c r="AJ198" s="1331"/>
      <c r="AK198" s="1331"/>
      <c r="AL198" s="1005" t="s">
        <v>1715</v>
      </c>
      <c r="AM198" s="1331"/>
      <c r="AN198" s="1331"/>
      <c r="AO198" s="1331"/>
      <c r="AP198" s="1331"/>
      <c r="AQ198" s="1331"/>
    </row>
    <row s="1656" customFormat="1" customHeight="1" ht="39.421875">
      <c r="A199" s="1331"/>
      <c r="B199" s="1223"/>
      <c r="C199" s="1331"/>
      <c r="D199" s="1331"/>
      <c r="E199" s="623">
        <v>15</v>
      </c>
      <c r="F199" s="50" cm="1" t="str">
        <f t="array" ref="F199:F199">OFFSET(E199,-1,1)</f>
        <v>3</v>
      </c>
      <c r="G199" s="428"/>
      <c r="H199" s="81"/>
      <c r="I199" s="428" t="s">
        <v>1716</v>
      </c>
      <c r="J199" s="1331"/>
      <c r="K199" s="120"/>
      <c r="L199" s="120"/>
      <c r="M199" s="120"/>
      <c r="N199" s="1331"/>
      <c r="O199" s="1331"/>
      <c r="P199" s="1331"/>
      <c r="Q199" s="1331"/>
      <c r="R199" s="1331"/>
      <c r="S199" s="1441"/>
      <c r="T199" s="468" cm="1" t="str">
        <f t="array" ref="T199:T199">T198</f>
        <v>true</v>
      </c>
      <c r="U199" s="1331"/>
      <c r="V199" s="1331"/>
      <c r="W199" s="1331"/>
      <c r="X199" s="1539"/>
      <c r="Y199" s="1331"/>
      <c r="Z199" s="1529"/>
      <c r="AA199" s="1331"/>
      <c r="AB199" s="295" t="s">
        <v>1717</v>
      </c>
      <c r="AC199" s="772" t="s">
        <v>1718</v>
      </c>
      <c r="AD199" s="296" t="s">
        <v>1719</v>
      </c>
      <c r="AE199" s="773" t="s">
        <v>975</v>
      </c>
      <c r="AF199" s="294" cm="1" t="str">
        <f t="array" ref="AF199:AF199">ЭЭ!AF136</f>
        <v>1916.568</v>
      </c>
      <c r="AG199" s="294" cm="1" t="str">
        <f t="array" ref="AG199:AG199">ЭЭ!AG136</f>
        <v>1106.15105</v>
      </c>
      <c r="AH199" s="853" t="s">
        <v>1845</v>
      </c>
      <c r="AI199" s="1331"/>
      <c r="AJ199" s="1331"/>
      <c r="AK199" s="1331"/>
      <c r="AL199" s="1005" t="s">
        <v>1720</v>
      </c>
      <c r="AM199" s="1331"/>
      <c r="AN199" s="1331"/>
      <c r="AO199" s="1331"/>
      <c r="AP199" s="1331"/>
      <c r="AQ199" s="1331"/>
    </row>
    <row s="1656" customFormat="1" customHeight="1" ht="24.421875">
      <c r="A200" s="1331"/>
      <c r="B200" s="1223"/>
      <c r="C200" s="1331"/>
      <c r="D200" s="1331"/>
      <c r="E200" s="623">
        <v>22.5</v>
      </c>
      <c r="F200" s="50" cm="1" t="str">
        <f t="array" ref="F200:F200">OFFSET(E200,-1,1)</f>
        <v>3</v>
      </c>
      <c r="G200" s="428"/>
      <c r="H200" s="81"/>
      <c r="I200" s="428" t="s">
        <v>1721</v>
      </c>
      <c r="J200" s="1331"/>
      <c r="K200" s="120"/>
      <c r="L200" s="120"/>
      <c r="M200" s="120"/>
      <c r="N200" s="1331"/>
      <c r="O200" s="1331"/>
      <c r="P200" s="1331"/>
      <c r="Q200" s="1331"/>
      <c r="R200" s="1331"/>
      <c r="S200" s="1441"/>
      <c r="T200" s="468" cm="1" t="str">
        <f t="array" ref="T200:T200">T199</f>
        <v>true</v>
      </c>
      <c r="U200" s="1331"/>
      <c r="V200" s="1331"/>
      <c r="W200" s="1331"/>
      <c r="X200" s="1539"/>
      <c r="Y200" s="1331"/>
      <c r="Z200" s="1529"/>
      <c r="AA200" s="1331"/>
      <c r="AB200" s="295" t="s">
        <v>1722</v>
      </c>
      <c r="AC200" s="772" t="s">
        <v>1723</v>
      </c>
      <c r="AD200" s="296" t="s">
        <v>1724</v>
      </c>
      <c r="AE200" s="773" t="s">
        <v>978</v>
      </c>
      <c r="AF200" s="294" cm="1" t="str">
        <f t="array" ref="AF200:AF200">ЭЭ!AF137</f>
        <v>5.71327698822854</v>
      </c>
      <c r="AG200" s="294" cm="1" t="str">
        <f t="array" ref="AG200:AG200">ЭЭ!AG137</f>
        <v>6.46252974976467</v>
      </c>
      <c r="AH200" s="853"/>
      <c r="AI200" s="1331"/>
      <c r="AJ200" s="1331"/>
      <c r="AK200" s="1331"/>
      <c r="AL200" s="1005" t="s">
        <v>1725</v>
      </c>
      <c r="AM200" s="1331"/>
      <c r="AN200" s="1331"/>
      <c r="AO200" s="1331"/>
      <c r="AP200" s="1331"/>
      <c r="AQ200" s="1331"/>
    </row>
    <row s="1656" customFormat="1" customHeight="1" ht="38.671875">
      <c r="A201" s="1331"/>
      <c r="B201" s="1223"/>
      <c r="C201" s="1331"/>
      <c r="D201" s="1331"/>
      <c r="E201" s="623">
        <v>22.5</v>
      </c>
      <c r="F201" s="50" cm="1" t="str">
        <f t="array" ref="F201:F201">OFFSET(E201,-1,1)</f>
        <v>3</v>
      </c>
      <c r="G201" s="428" t="s">
        <v>1726</v>
      </c>
      <c r="H201" s="81"/>
      <c r="I201" s="428" t="s">
        <v>1727</v>
      </c>
      <c r="J201" s="1331"/>
      <c r="K201" s="120"/>
      <c r="L201" s="120"/>
      <c r="M201" s="120"/>
      <c r="N201" s="1331"/>
      <c r="O201" s="1331"/>
      <c r="P201" s="1331"/>
      <c r="Q201" s="1331"/>
      <c r="R201" s="1331"/>
      <c r="S201" s="1441"/>
      <c r="T201" s="468" cm="1" t="str">
        <f t="array" ref="T201:T201">T200</f>
        <v>true</v>
      </c>
      <c r="U201" s="1331"/>
      <c r="V201" s="1331"/>
      <c r="W201" s="1331"/>
      <c r="X201" s="1539"/>
      <c r="Y201" s="1331"/>
      <c r="Z201" s="1529"/>
      <c r="AA201" s="1331"/>
      <c r="AB201" s="295" t="s">
        <v>1090</v>
      </c>
      <c r="AC201" s="769" t="s">
        <v>1728</v>
      </c>
      <c r="AD201" s="296" t="s">
        <v>1729</v>
      </c>
      <c r="AE201" s="773" t="s">
        <v>936</v>
      </c>
      <c r="AF201" s="294">
        <v>2435.28</v>
      </c>
      <c r="AG201" s="294">
        <v>7258.66</v>
      </c>
      <c r="AH201" s="853" t="s">
        <v>1846</v>
      </c>
      <c r="AI201" s="1331"/>
      <c r="AJ201" s="1331"/>
      <c r="AK201" s="1331"/>
      <c r="AL201" s="1005" t="s">
        <v>1435</v>
      </c>
      <c r="AM201" s="1331"/>
      <c r="AN201" s="1331"/>
      <c r="AO201" s="1331"/>
      <c r="AP201" s="1331"/>
      <c r="AQ201" s="1331"/>
    </row>
    <row s="1656" customFormat="1" customHeight="1" ht="52.171875">
      <c r="A202" s="1331"/>
      <c r="B202" s="1223"/>
      <c r="C202" s="1331"/>
      <c r="D202" s="1331"/>
      <c r="E202" s="623">
        <v>15</v>
      </c>
      <c r="F202" s="50" cm="1" t="str">
        <f t="array" ref="F202:F202">OFFSET(E202,-1,1)</f>
        <v>3</v>
      </c>
      <c r="G202" s="428" t="s">
        <v>1730</v>
      </c>
      <c r="H202" s="81"/>
      <c r="I202" s="428" t="s">
        <v>1731</v>
      </c>
      <c r="J202" s="1331"/>
      <c r="K202" s="120"/>
      <c r="L202" s="120"/>
      <c r="M202" s="120"/>
      <c r="N202" s="1331"/>
      <c r="O202" s="1331"/>
      <c r="P202" s="1331"/>
      <c r="Q202" s="1331"/>
      <c r="R202" s="1331"/>
      <c r="S202" s="1441"/>
      <c r="T202" s="468" cm="1" t="str">
        <f t="array" ref="T202:T202">T201</f>
        <v>true</v>
      </c>
      <c r="U202" s="1331"/>
      <c r="V202" s="1331"/>
      <c r="W202" s="1331"/>
      <c r="X202" s="1539"/>
      <c r="Y202" s="1331"/>
      <c r="Z202" s="1529"/>
      <c r="AA202" s="1331"/>
      <c r="AB202" s="295" t="s">
        <v>1093</v>
      </c>
      <c r="AC202" s="943" t="s">
        <v>1732</v>
      </c>
      <c r="AD202" s="296" t="s">
        <v>1733</v>
      </c>
      <c r="AE202" s="773" t="s">
        <v>936</v>
      </c>
      <c r="AF202" s="294">
        <v>22030.98</v>
      </c>
      <c r="AG202" s="294">
        <v>15258.46</v>
      </c>
      <c r="AH202" s="853" t="s">
        <v>1847</v>
      </c>
      <c r="AI202" s="1331"/>
      <c r="AJ202" s="1331"/>
      <c r="AK202" s="1331"/>
      <c r="AL202" s="1005" t="s">
        <v>1734</v>
      </c>
      <c r="AM202" s="1331"/>
      <c r="AN202" s="1331"/>
      <c r="AO202" s="1331"/>
      <c r="AP202" s="1331"/>
      <c r="AQ202" s="1331"/>
    </row>
    <row s="1656" customFormat="1" customHeight="1" ht="55.171875">
      <c r="A203" s="1331"/>
      <c r="B203" s="1223"/>
      <c r="C203" s="1331"/>
      <c r="D203" s="1331"/>
      <c r="E203" s="623">
        <v>15</v>
      </c>
      <c r="F203" s="50" cm="1" t="str">
        <f t="array" ref="F203:F203">OFFSET(E203,-1,1)</f>
        <v>3</v>
      </c>
      <c r="G203" s="103" t="s">
        <v>1735</v>
      </c>
      <c r="H203" s="81"/>
      <c r="I203" s="496" t="s">
        <v>1736</v>
      </c>
      <c r="J203" s="1331"/>
      <c r="K203" s="120"/>
      <c r="L203" s="120"/>
      <c r="M203" s="120"/>
      <c r="N203" s="1331"/>
      <c r="O203" s="1331"/>
      <c r="P203" s="1331"/>
      <c r="Q203" s="1331"/>
      <c r="R203" s="1331"/>
      <c r="S203" s="1441"/>
      <c r="T203" s="468" cm="1" t="str">
        <f t="array" ref="T203:T203">T202</f>
        <v>true</v>
      </c>
      <c r="U203" s="1331"/>
      <c r="V203" s="1331"/>
      <c r="W203" s="1331"/>
      <c r="X203" s="1539"/>
      <c r="Y203" s="1331"/>
      <c r="Z203" s="1529"/>
      <c r="AA203" s="1331"/>
      <c r="AB203" s="295" t="s">
        <v>1737</v>
      </c>
      <c r="AC203" s="769" t="s">
        <v>1738</v>
      </c>
      <c r="AD203" s="296" t="s">
        <v>1739</v>
      </c>
      <c r="AE203" s="773" t="s">
        <v>936</v>
      </c>
      <c r="AF203" s="294">
        <v>2822.9</v>
      </c>
      <c r="AG203" s="294">
        <v>2686.22</v>
      </c>
      <c r="AH203" s="853" t="s">
        <v>1848</v>
      </c>
      <c r="AI203" s="1331"/>
      <c r="AJ203" s="1331"/>
      <c r="AK203" s="1331"/>
      <c r="AL203" s="1005" t="s">
        <v>1740</v>
      </c>
      <c r="AM203" s="1331"/>
      <c r="AN203" s="1331"/>
      <c r="AO203" s="1331"/>
      <c r="AP203" s="1331"/>
      <c r="AQ203" s="1331"/>
    </row>
    <row s="1656" customFormat="1" customHeight="1" ht="23.25">
      <c r="A204" s="1331"/>
      <c r="B204" s="1223"/>
      <c r="C204" s="1331"/>
      <c r="D204" s="1331"/>
      <c r="E204" s="623">
        <v>22.5</v>
      </c>
      <c r="F204" s="50" cm="1" t="str">
        <f t="array" ref="F204:F204">OFFSET(E204,-1,1)</f>
        <v>3</v>
      </c>
      <c r="G204" s="103"/>
      <c r="H204" s="81"/>
      <c r="I204" s="428" t="s">
        <v>1741</v>
      </c>
      <c r="J204" s="1331"/>
      <c r="K204" s="120"/>
      <c r="L204" s="120"/>
      <c r="M204" s="120"/>
      <c r="N204" s="1331"/>
      <c r="O204" s="1331"/>
      <c r="P204" s="1331"/>
      <c r="Q204" s="1331"/>
      <c r="R204" s="1331"/>
      <c r="S204" s="1441"/>
      <c r="T204" s="468" cm="1" t="str">
        <f t="array" ref="T204:T204">T203</f>
        <v>true</v>
      </c>
      <c r="U204" s="1331"/>
      <c r="V204" s="1331"/>
      <c r="W204" s="1331"/>
      <c r="X204" s="1539"/>
      <c r="Y204" s="1331"/>
      <c r="Z204" s="1529"/>
      <c r="AA204" s="1331"/>
      <c r="AB204" s="295" t="s">
        <v>1742</v>
      </c>
      <c r="AC204" s="769" t="s">
        <v>1743</v>
      </c>
      <c r="AD204" s="296"/>
      <c r="AE204" s="773" t="s">
        <v>936</v>
      </c>
      <c r="AF204" s="294"/>
      <c r="AG204" s="294"/>
      <c r="AH204" s="853"/>
      <c r="AI204" s="1331"/>
      <c r="AJ204" s="1331"/>
      <c r="AK204" s="1331"/>
      <c r="AL204" s="1005" t="s">
        <v>1744</v>
      </c>
      <c r="AM204" s="1331"/>
      <c r="AN204" s="1331"/>
      <c r="AO204" s="1331"/>
      <c r="AP204" s="1331"/>
      <c r="AQ204" s="1331"/>
    </row>
    <row s="1656" customFormat="1" customHeight="1" ht="21.75">
      <c r="A205" s="1331"/>
      <c r="B205" s="1223"/>
      <c r="C205" s="1331"/>
      <c r="D205" s="1331"/>
      <c r="E205" s="623">
        <v>22.5</v>
      </c>
      <c r="F205" s="50" cm="1" t="str">
        <f t="array" ref="F205:F205">OFFSET(E205,-1,1)</f>
        <v>3</v>
      </c>
      <c r="G205" s="428"/>
      <c r="H205" s="81"/>
      <c r="I205" s="428" t="s">
        <v>1745</v>
      </c>
      <c r="J205" s="1331"/>
      <c r="K205" s="120"/>
      <c r="L205" s="120"/>
      <c r="M205" s="120"/>
      <c r="N205" s="1331"/>
      <c r="O205" s="1331"/>
      <c r="P205" s="1331"/>
      <c r="Q205" s="1331"/>
      <c r="R205" s="1331"/>
      <c r="S205" s="1441"/>
      <c r="T205" s="468" cm="1" t="str">
        <f t="array" ref="T205:T205">T204</f>
        <v>true</v>
      </c>
      <c r="U205" s="1331"/>
      <c r="V205" s="1331"/>
      <c r="W205" s="1331"/>
      <c r="X205" s="1539"/>
      <c r="Y205" s="1331"/>
      <c r="Z205" s="1529"/>
      <c r="AA205" s="1331"/>
      <c r="AB205" s="295" t="s">
        <v>1746</v>
      </c>
      <c r="AC205" s="772" t="s">
        <v>1747</v>
      </c>
      <c r="AD205" s="296" t="s">
        <v>1748</v>
      </c>
      <c r="AE205" s="773" t="s">
        <v>936</v>
      </c>
      <c r="AF205" s="294"/>
      <c r="AG205" s="294"/>
      <c r="AH205" s="853"/>
      <c r="AI205" s="1331"/>
      <c r="AJ205" s="1331"/>
      <c r="AK205" s="1331"/>
      <c r="AL205" s="1005" t="s">
        <v>1749</v>
      </c>
      <c r="AM205" s="1331"/>
      <c r="AN205" s="1331"/>
      <c r="AO205" s="1331"/>
      <c r="AP205" s="1331"/>
      <c r="AQ205" s="1331"/>
    </row>
    <row s="1656" customFormat="1" customHeight="1" ht="14.25">
      <c r="A206" s="1331"/>
      <c r="B206" s="1223"/>
      <c r="C206" s="1331"/>
      <c r="D206" s="1331"/>
      <c r="E206" s="623">
        <v>15</v>
      </c>
      <c r="F206" s="50" cm="1" t="str">
        <f t="array" ref="F206:F206">OFFSET(E206,-1,1)</f>
        <v>3</v>
      </c>
      <c r="G206" s="428"/>
      <c r="H206" s="81"/>
      <c r="I206" s="428" t="s">
        <v>1750</v>
      </c>
      <c r="J206" s="1331"/>
      <c r="K206" s="120"/>
      <c r="L206" s="120"/>
      <c r="M206" s="120"/>
      <c r="N206" s="1331"/>
      <c r="O206" s="1331"/>
      <c r="P206" s="1331"/>
      <c r="Q206" s="1331"/>
      <c r="R206" s="1331"/>
      <c r="S206" s="1441"/>
      <c r="T206" s="468" cm="1" t="str">
        <f t="array" ref="T206:T206">T205</f>
        <v>true</v>
      </c>
      <c r="U206" s="1331"/>
      <c r="V206" s="1331"/>
      <c r="W206" s="1331"/>
      <c r="X206" s="1539"/>
      <c r="Y206" s="1331"/>
      <c r="Z206" s="1529"/>
      <c r="AA206" s="1331"/>
      <c r="AB206" s="295" t="s">
        <v>1751</v>
      </c>
      <c r="AC206" s="772" t="s">
        <v>1752</v>
      </c>
      <c r="AD206" s="296" t="s">
        <v>1753</v>
      </c>
      <c r="AE206" s="773" t="s">
        <v>936</v>
      </c>
      <c r="AF206" s="294"/>
      <c r="AG206" s="294"/>
      <c r="AH206" s="853"/>
      <c r="AI206" s="1331"/>
      <c r="AJ206" s="1331"/>
      <c r="AK206" s="1331"/>
      <c r="AL206" s="1005" t="s">
        <v>1754</v>
      </c>
      <c r="AM206" s="1331"/>
      <c r="AN206" s="1331"/>
      <c r="AO206" s="1331"/>
      <c r="AP206" s="1331"/>
      <c r="AQ206" s="1331"/>
    </row>
    <row s="1656" customFormat="1" customHeight="1" ht="44.25">
      <c r="A207" s="1331"/>
      <c r="B207" s="1223"/>
      <c r="C207" s="1331"/>
      <c r="D207" s="1331"/>
      <c r="E207" s="623">
        <v>45</v>
      </c>
      <c r="F207" s="50" cm="1" t="str">
        <f t="array" ref="F207:F207">OFFSET(E207,-1,1)</f>
        <v>3</v>
      </c>
      <c r="G207" s="428"/>
      <c r="H207" s="81"/>
      <c r="I207" s="428" t="s">
        <v>1755</v>
      </c>
      <c r="J207" s="1331"/>
      <c r="K207" s="120"/>
      <c r="L207" s="120"/>
      <c r="M207" s="120"/>
      <c r="N207" s="1331"/>
      <c r="O207" s="1331"/>
      <c r="P207" s="1331"/>
      <c r="Q207" s="1331"/>
      <c r="R207" s="1331"/>
      <c r="S207" s="1441"/>
      <c r="T207" s="468" cm="1" t="str">
        <f t="array" ref="T207:T207">T206</f>
        <v>true</v>
      </c>
      <c r="U207" s="1331"/>
      <c r="V207" s="1331"/>
      <c r="W207" s="1331"/>
      <c r="X207" s="1539"/>
      <c r="Y207" s="1331"/>
      <c r="Z207" s="1529"/>
      <c r="AA207" s="1331"/>
      <c r="AB207" s="295" t="s">
        <v>1756</v>
      </c>
      <c r="AC207" s="772" t="s">
        <v>1757</v>
      </c>
      <c r="AD207" s="773" t="s">
        <v>1758</v>
      </c>
      <c r="AE207" s="773" t="s">
        <v>936</v>
      </c>
      <c r="AF207" s="294"/>
      <c r="AG207" s="294"/>
      <c r="AH207" s="853"/>
      <c r="AI207" s="1331"/>
      <c r="AJ207" s="1331"/>
      <c r="AK207" s="1331"/>
      <c r="AL207" s="1005" t="s">
        <v>1759</v>
      </c>
      <c r="AM207" s="1331"/>
      <c r="AN207" s="1331"/>
      <c r="AO207" s="1331"/>
      <c r="AP207" s="1331"/>
      <c r="AQ207" s="1331"/>
    </row>
    <row s="1656" customFormat="1" customHeight="1" ht="23.25">
      <c r="A208" s="1331"/>
      <c r="B208" s="1223"/>
      <c r="C208" s="1331"/>
      <c r="D208" s="1331"/>
      <c r="E208" s="623">
        <v>22.5</v>
      </c>
      <c r="F208" s="50" cm="1" t="str">
        <f t="array" ref="F208:F208">OFFSET(E208,-1,1)</f>
        <v>3</v>
      </c>
      <c r="G208" s="428"/>
      <c r="H208" s="81"/>
      <c r="I208" s="428" t="s">
        <v>1760</v>
      </c>
      <c r="J208" s="1331"/>
      <c r="K208" s="120"/>
      <c r="L208" s="120"/>
      <c r="M208" s="120"/>
      <c r="N208" s="1331"/>
      <c r="O208" s="1331"/>
      <c r="P208" s="1331"/>
      <c r="Q208" s="1331"/>
      <c r="R208" s="1331"/>
      <c r="S208" s="1441"/>
      <c r="T208" s="468" cm="1" t="str">
        <f t="array" ref="T208:T208">T207</f>
        <v>true</v>
      </c>
      <c r="U208" s="1331"/>
      <c r="V208" s="1331"/>
      <c r="W208" s="1331"/>
      <c r="X208" s="1539"/>
      <c r="Y208" s="1331"/>
      <c r="Z208" s="1529"/>
      <c r="AA208" s="1331"/>
      <c r="AB208" s="295" t="s">
        <v>1761</v>
      </c>
      <c r="AC208" s="769" t="s">
        <v>1762</v>
      </c>
      <c r="AD208" s="773" t="s">
        <v>1763</v>
      </c>
      <c r="AE208" s="773" t="s">
        <v>936</v>
      </c>
      <c r="AF208" s="294">
        <v>-8873.11</v>
      </c>
      <c r="AG208" s="294">
        <v>-8873.11</v>
      </c>
      <c r="AH208" s="853" t="s">
        <v>1838</v>
      </c>
      <c r="AI208" s="1331"/>
      <c r="AJ208" s="1331"/>
      <c r="AK208" s="1331"/>
      <c r="AL208" s="1005" t="s">
        <v>1764</v>
      </c>
      <c r="AM208" s="1331"/>
      <c r="AN208" s="1331"/>
      <c r="AO208" s="1331"/>
      <c r="AP208" s="1331"/>
      <c r="AQ208" s="1331"/>
    </row>
    <row s="1656" customFormat="1" customHeight="1" ht="80.671875">
      <c r="A209" s="1331"/>
      <c r="B209" s="430">
        <f>S180="Водоотведение"</f>
        <v>1</v>
      </c>
      <c r="C209" s="1331"/>
      <c r="D209" s="1331"/>
      <c r="E209" s="623">
        <v>78.75</v>
      </c>
      <c r="F209" s="50" cm="1" t="str">
        <f t="array" ref="F209:F209">OFFSET(E209,-1,1)</f>
        <v>3</v>
      </c>
      <c r="G209" s="428"/>
      <c r="H209" s="81"/>
      <c r="I209" s="428"/>
      <c r="J209" s="1331"/>
      <c r="K209" s="120"/>
      <c r="L209" s="120"/>
      <c r="M209" s="120"/>
      <c r="N209" s="1331"/>
      <c r="O209" s="1331"/>
      <c r="P209" s="1331"/>
      <c r="Q209" s="1331"/>
      <c r="R209" s="1331"/>
      <c r="S209" s="1441"/>
      <c r="T209" s="468" cm="1" t="str">
        <f t="array" ref="T209:T209">T208</f>
        <v>true</v>
      </c>
      <c r="U209" s="1331"/>
      <c r="V209" s="1331"/>
      <c r="W209" s="1331"/>
      <c r="X209" s="1539"/>
      <c r="Y209" s="1331"/>
      <c r="Z209" s="1529"/>
      <c r="AA209" s="1331"/>
      <c r="AB209" s="295" t="s">
        <v>1765</v>
      </c>
      <c r="AC209" s="769" t="s">
        <v>1766</v>
      </c>
      <c r="AD209" s="773"/>
      <c r="AE209" s="773" t="s">
        <v>936</v>
      </c>
      <c r="AF209" s="294">
        <v>-19907.78</v>
      </c>
      <c r="AG209" s="294">
        <v>-19907.78</v>
      </c>
      <c r="AH209" s="853" t="s">
        <v>1838</v>
      </c>
      <c r="AI209" s="1331"/>
      <c r="AJ209" s="1331"/>
      <c r="AK209" s="1331"/>
      <c r="AL209" s="1005" t="s">
        <v>1767</v>
      </c>
      <c r="AM209" s="1331"/>
      <c r="AN209" s="1331"/>
      <c r="AO209" s="1331"/>
      <c r="AP209" s="1331"/>
      <c r="AQ209" s="1331"/>
    </row>
    <row s="1656" customFormat="1" customHeight="1" ht="59.671875">
      <c r="A210" s="1331"/>
      <c r="B210" s="430" cm="1" t="str">
        <f t="array" ref="B210:B210">B209</f>
        <v>true</v>
      </c>
      <c r="C210" s="1331"/>
      <c r="D210" s="1331"/>
      <c r="E210" s="623">
        <v>56.25</v>
      </c>
      <c r="F210" s="50" cm="1" t="str">
        <f t="array" ref="F210:F210">OFFSET(E210,-1,1)</f>
        <v>3</v>
      </c>
      <c r="G210" s="428"/>
      <c r="H210" s="81"/>
      <c r="I210" s="428"/>
      <c r="J210" s="1331"/>
      <c r="K210" s="120"/>
      <c r="L210" s="120"/>
      <c r="M210" s="120"/>
      <c r="N210" s="1331"/>
      <c r="O210" s="1331"/>
      <c r="P210" s="1331"/>
      <c r="Q210" s="1331"/>
      <c r="R210" s="1331"/>
      <c r="S210" s="1441"/>
      <c r="T210" s="468" cm="1" t="str">
        <f t="array" ref="T210:T210">T209</f>
        <v>true</v>
      </c>
      <c r="U210" s="1331"/>
      <c r="V210" s="1331"/>
      <c r="W210" s="1331"/>
      <c r="X210" s="1539"/>
      <c r="Y210" s="1331"/>
      <c r="Z210" s="1529"/>
      <c r="AA210" s="1331"/>
      <c r="AB210" s="295" t="s">
        <v>1768</v>
      </c>
      <c r="AC210" s="769" t="s">
        <v>1769</v>
      </c>
      <c r="AD210" s="773"/>
      <c r="AE210" s="773" t="s">
        <v>936</v>
      </c>
      <c r="AF210" s="294"/>
      <c r="AG210" s="294"/>
      <c r="AH210" s="853"/>
      <c r="AI210" s="1331"/>
      <c r="AJ210" s="1331"/>
      <c r="AK210" s="1331"/>
      <c r="AL210" s="1005" t="s">
        <v>1584</v>
      </c>
      <c r="AM210" s="1331"/>
      <c r="AN210" s="1331"/>
      <c r="AO210" s="1331"/>
      <c r="AP210" s="1331"/>
      <c r="AQ210" s="1331"/>
    </row>
    <row s="1656" customFormat="1" customHeight="1" ht="50.671875">
      <c r="A211" s="1331"/>
      <c r="B211" s="1223"/>
      <c r="C211" s="1331"/>
      <c r="D211" s="1331"/>
      <c r="E211" s="623">
        <v>15</v>
      </c>
      <c r="F211" s="50" cm="1" t="str">
        <f t="array" ref="F211:F211">OFFSET(E211,-1,1)</f>
        <v>3</v>
      </c>
      <c r="G211" s="428"/>
      <c r="H211" s="81"/>
      <c r="I211" s="428"/>
      <c r="J211" s="1331"/>
      <c r="K211" s="120"/>
      <c r="L211" s="120"/>
      <c r="M211" s="120"/>
      <c r="N211" s="1331"/>
      <c r="O211" s="1331"/>
      <c r="P211" s="1331"/>
      <c r="Q211" s="1331"/>
      <c r="R211" s="1331"/>
      <c r="S211" s="1441"/>
      <c r="T211" s="468" cm="1" t="str">
        <f t="array" ref="T211:T211">T210</f>
        <v>true</v>
      </c>
      <c r="U211" s="1331"/>
      <c r="V211" s="1331"/>
      <c r="W211" s="1331"/>
      <c r="X211" s="1539"/>
      <c r="Y211" s="1331"/>
      <c r="Z211" s="1529"/>
      <c r="AA211" s="1331"/>
      <c r="AB211" s="296" t="str">
        <f>IF(B210,"2.12","2.10")</f>
        <v>2.12</v>
      </c>
      <c r="AC211" s="769" t="s">
        <v>1770</v>
      </c>
      <c r="AD211" s="773" t="s">
        <v>1771</v>
      </c>
      <c r="AE211" s="773" t="s">
        <v>936</v>
      </c>
      <c r="AF211" s="294">
        <f>AF212+AF213</f>
        <v>0</v>
      </c>
      <c r="AG211" s="294">
        <v>1616.4</v>
      </c>
      <c r="AH211" s="853" t="s">
        <v>1849</v>
      </c>
      <c r="AI211" s="1331"/>
      <c r="AJ211" s="1331"/>
      <c r="AK211" s="1331"/>
      <c r="AL211" s="1005" t="s">
        <v>1772</v>
      </c>
      <c r="AM211" s="1331"/>
      <c r="AN211" s="1331"/>
      <c r="AO211" s="1331"/>
      <c r="AP211" s="1331"/>
      <c r="AQ211" s="1331"/>
    </row>
    <row s="1656" customFormat="1" customHeight="1" ht="21.75">
      <c r="A212" s="1331"/>
      <c r="B212" s="1223"/>
      <c r="C212" s="1331"/>
      <c r="D212" s="1331"/>
      <c r="E212" s="623">
        <v>22.5</v>
      </c>
      <c r="F212" s="50" cm="1" t="str">
        <f t="array" ref="F212:F212">OFFSET(E212,-1,1)</f>
        <v>3</v>
      </c>
      <c r="G212" s="428"/>
      <c r="H212" s="81"/>
      <c r="I212" s="428"/>
      <c r="J212" s="1331"/>
      <c r="K212" s="120"/>
      <c r="L212" s="120"/>
      <c r="M212" s="120"/>
      <c r="N212" s="1331"/>
      <c r="O212" s="1331"/>
      <c r="P212" s="1331"/>
      <c r="Q212" s="1331"/>
      <c r="R212" s="1331"/>
      <c r="S212" s="1441"/>
      <c r="T212" s="468" cm="1" t="str">
        <f t="array" ref="T212:T212">T211</f>
        <v>true</v>
      </c>
      <c r="U212" s="1331"/>
      <c r="V212" s="1331"/>
      <c r="W212" s="1331"/>
      <c r="X212" s="1539"/>
      <c r="Y212" s="1331"/>
      <c r="Z212" s="1529"/>
      <c r="AA212" s="1331"/>
      <c r="AB212" s="296" t="str">
        <f>AB211&amp;".1"</f>
        <v>2.12.1</v>
      </c>
      <c r="AC212" s="769" t="s">
        <v>1773</v>
      </c>
      <c r="AD212" s="773" t="s">
        <v>1771</v>
      </c>
      <c r="AE212" s="773" t="s">
        <v>936</v>
      </c>
      <c r="AF212" s="294"/>
      <c r="AG212" s="294"/>
      <c r="AH212" s="853"/>
      <c r="AI212" s="1331"/>
      <c r="AJ212" s="1331"/>
      <c r="AK212" s="1331"/>
      <c r="AL212" s="1005" t="s">
        <v>1774</v>
      </c>
      <c r="AM212" s="1331"/>
      <c r="AN212" s="1331"/>
      <c r="AO212" s="1331"/>
      <c r="AP212" s="1331"/>
      <c r="AQ212" s="1331"/>
    </row>
    <row s="1656" customFormat="1" customHeight="1" ht="21.75">
      <c r="A213" s="1331"/>
      <c r="B213" s="1223"/>
      <c r="C213" s="1331"/>
      <c r="D213" s="1331"/>
      <c r="E213" s="623">
        <v>22.5</v>
      </c>
      <c r="F213" s="50" cm="1" t="str">
        <f t="array" ref="F213:F213">OFFSET(E213,-1,1)</f>
        <v>3</v>
      </c>
      <c r="G213" s="428"/>
      <c r="H213" s="81"/>
      <c r="I213" s="428"/>
      <c r="J213" s="1331"/>
      <c r="K213" s="120"/>
      <c r="L213" s="120"/>
      <c r="M213" s="120"/>
      <c r="N213" s="1331"/>
      <c r="O213" s="1331"/>
      <c r="P213" s="1331"/>
      <c r="Q213" s="1331"/>
      <c r="R213" s="1331"/>
      <c r="S213" s="1441"/>
      <c r="T213" s="468" cm="1" t="str">
        <f t="array" ref="T213:T213">T212</f>
        <v>true</v>
      </c>
      <c r="U213" s="1331"/>
      <c r="V213" s="1331"/>
      <c r="W213" s="1331"/>
      <c r="X213" s="1539"/>
      <c r="Y213" s="1331"/>
      <c r="Z213" s="1529"/>
      <c r="AA213" s="1331"/>
      <c r="AB213" s="296" t="str">
        <f>AB211&amp;".2"</f>
        <v>2.12.2</v>
      </c>
      <c r="AC213" s="769" t="s">
        <v>1775</v>
      </c>
      <c r="AD213" s="773" t="s">
        <v>1771</v>
      </c>
      <c r="AE213" s="773" t="s">
        <v>936</v>
      </c>
      <c r="AF213" s="294"/>
      <c r="AG213" s="294"/>
      <c r="AH213" s="853"/>
      <c r="AI213" s="1331"/>
      <c r="AJ213" s="1331"/>
      <c r="AK213" s="1331"/>
      <c r="AL213" s="1005" t="s">
        <v>1776</v>
      </c>
      <c r="AM213" s="1331"/>
      <c r="AN213" s="1331"/>
      <c r="AO213" s="1331"/>
      <c r="AP213" s="1331"/>
      <c r="AQ213" s="1331"/>
    </row>
    <row s="1656" customFormat="1" customHeight="1" ht="14.25">
      <c r="A214" s="1331"/>
      <c r="B214" s="1223"/>
      <c r="C214" s="1331"/>
      <c r="D214" s="1331"/>
      <c r="E214" s="623">
        <v>15</v>
      </c>
      <c r="F214" s="50" cm="1" t="str">
        <f t="array" ref="F214:F214">OFFSET(E214,-1,1)</f>
        <v>3</v>
      </c>
      <c r="G214" s="428"/>
      <c r="H214" s="81"/>
      <c r="I214" s="428"/>
      <c r="J214" s="1331"/>
      <c r="K214" s="120"/>
      <c r="L214" s="120"/>
      <c r="M214" s="120"/>
      <c r="N214" s="1331"/>
      <c r="O214" s="1331"/>
      <c r="P214" s="1331"/>
      <c r="Q214" s="1331"/>
      <c r="R214" s="1331"/>
      <c r="S214" s="1441"/>
      <c r="T214" s="468" cm="1" t="str">
        <f t="array" ref="T214:T214">T213</f>
        <v>true</v>
      </c>
      <c r="U214" s="1331"/>
      <c r="V214" s="1331"/>
      <c r="W214" s="1331"/>
      <c r="X214" s="1539"/>
      <c r="Y214" s="1331"/>
      <c r="Z214" s="1529"/>
      <c r="AA214" s="1331"/>
      <c r="AB214" s="296" t="str">
        <f>IF(B210,"2.13","2.11")</f>
        <v>2.13</v>
      </c>
      <c r="AC214" s="769" t="s">
        <v>1777</v>
      </c>
      <c r="AD214" s="773" t="s">
        <v>1771</v>
      </c>
      <c r="AE214" s="773" t="s">
        <v>936</v>
      </c>
      <c r="AF214" s="294"/>
      <c r="AG214" s="294"/>
      <c r="AH214" s="853"/>
      <c r="AI214" s="1331"/>
      <c r="AJ214" s="1331"/>
      <c r="AK214" s="1331"/>
      <c r="AL214" s="1005" t="s">
        <v>1778</v>
      </c>
      <c r="AM214" s="1331"/>
      <c r="AN214" s="1331"/>
      <c r="AO214" s="1331"/>
      <c r="AP214" s="1331"/>
      <c r="AQ214" s="1331"/>
    </row>
    <row s="1656" customFormat="1" customHeight="1" ht="14.25">
      <c r="A215" s="1331"/>
      <c r="B215" s="1223"/>
      <c r="C215" s="1331"/>
      <c r="D215" s="1331"/>
      <c r="E215" s="623">
        <v>15</v>
      </c>
      <c r="F215" s="50" cm="1" t="str">
        <f t="array" ref="F215:F215">OFFSET(E215,-1,1)</f>
        <v>3</v>
      </c>
      <c r="G215" s="428"/>
      <c r="H215" s="81"/>
      <c r="I215" s="428"/>
      <c r="J215" s="1331"/>
      <c r="K215" s="120"/>
      <c r="L215" s="120"/>
      <c r="M215" s="120"/>
      <c r="N215" s="1331"/>
      <c r="O215" s="1331"/>
      <c r="P215" s="1331"/>
      <c r="Q215" s="1331"/>
      <c r="R215" s="1331"/>
      <c r="S215" s="1441"/>
      <c r="T215" s="468" cm="1" t="str">
        <f t="array" ref="T215:T215">T214</f>
        <v>true</v>
      </c>
      <c r="U215" s="1331"/>
      <c r="V215" s="1331"/>
      <c r="W215" s="1331"/>
      <c r="X215" s="1539"/>
      <c r="Y215" s="1331"/>
      <c r="Z215" s="1529"/>
      <c r="AA215" s="1331"/>
      <c r="AB215" s="296" t="str">
        <f>IF(B210,"2.14","2.12")</f>
        <v>2.14</v>
      </c>
      <c r="AC215" s="769" t="s">
        <v>1779</v>
      </c>
      <c r="AD215" s="773" t="s">
        <v>1771</v>
      </c>
      <c r="AE215" s="773" t="s">
        <v>936</v>
      </c>
      <c r="AF215" s="294"/>
      <c r="AG215" s="294"/>
      <c r="AH215" s="853"/>
      <c r="AI215" s="1331"/>
      <c r="AJ215" s="1331"/>
      <c r="AK215" s="1331"/>
      <c r="AL215" s="1005" t="s">
        <v>1780</v>
      </c>
      <c r="AM215" s="1331"/>
      <c r="AN215" s="1331"/>
      <c r="AO215" s="1331"/>
      <c r="AP215" s="1331"/>
      <c r="AQ215" s="1331"/>
    </row>
    <row s="4542" customFormat="1" customHeight="1" ht="36.421875">
      <c r="A216" s="704"/>
      <c r="B216" s="433"/>
      <c r="C216" s="704"/>
      <c r="D216" s="704"/>
      <c r="E216" s="697">
        <v>22.5</v>
      </c>
      <c r="F216" s="50" cm="1" t="str">
        <f t="array" ref="F216:F216">OFFSET(E216,-1,1)</f>
        <v>3</v>
      </c>
      <c r="G216" s="143"/>
      <c r="H216" s="143"/>
      <c r="I216" s="428" t="s">
        <v>345</v>
      </c>
      <c r="J216" s="704"/>
      <c r="K216" s="500"/>
      <c r="L216" s="500"/>
      <c r="M216" s="500"/>
      <c r="N216" s="704"/>
      <c r="O216" s="704"/>
      <c r="P216" s="704"/>
      <c r="Q216" s="704"/>
      <c r="R216" s="704"/>
      <c r="S216" s="704"/>
      <c r="T216" s="468" cm="1" t="str">
        <f t="array" ref="T216:T216">T215</f>
        <v>true</v>
      </c>
      <c r="U216" s="704"/>
      <c r="V216" s="704"/>
      <c r="W216" s="704"/>
      <c r="X216" s="1539"/>
      <c r="Y216" s="704"/>
      <c r="Z216" s="1529"/>
      <c r="AA216" s="704"/>
      <c r="AB216" s="207" t="s">
        <v>1781</v>
      </c>
      <c r="AC216" s="208" t="s">
        <v>1782</v>
      </c>
      <c r="AD216" s="207" t="s">
        <v>1644</v>
      </c>
      <c r="AE216" s="230" t="s">
        <v>936</v>
      </c>
      <c r="AF216" s="851" cm="1" t="str">
        <f t="array" ref="AF216:AF216">AF217</f>
        <v>0</v>
      </c>
      <c r="AG216" s="851" cm="1" t="str">
        <f t="array" ref="AG216:AG216">AG217</f>
        <v>0</v>
      </c>
      <c r="AH216" s="852"/>
      <c r="AI216" s="704"/>
      <c r="AJ216" s="704"/>
      <c r="AK216" s="704"/>
      <c r="AL216" s="1059" t="s">
        <v>1783</v>
      </c>
      <c r="AM216" s="704"/>
      <c r="AN216" s="704"/>
      <c r="AO216" s="704"/>
      <c r="AP216" s="704"/>
      <c r="AQ216" s="704"/>
    </row>
    <row s="1656" customFormat="1" customHeight="1" ht="32.25">
      <c r="A217" s="1331"/>
      <c r="B217" s="1223"/>
      <c r="C217" s="1331"/>
      <c r="D217" s="1331"/>
      <c r="E217" s="623">
        <v>33.75</v>
      </c>
      <c r="F217" s="50" cm="1" t="str">
        <f t="array" ref="F217:F217">OFFSET(E217,-1,1)</f>
        <v>3</v>
      </c>
      <c r="G217" s="428"/>
      <c r="H217" s="81"/>
      <c r="I217" s="428" t="s">
        <v>584</v>
      </c>
      <c r="J217" s="1331"/>
      <c r="K217" s="120"/>
      <c r="L217" s="120"/>
      <c r="M217" s="120"/>
      <c r="N217" s="1331"/>
      <c r="O217" s="1331"/>
      <c r="P217" s="1331"/>
      <c r="Q217" s="1331"/>
      <c r="R217" s="1331"/>
      <c r="S217" s="1441"/>
      <c r="T217" s="468" cm="1" t="str">
        <f t="array" ref="T217:T217">T216</f>
        <v>true</v>
      </c>
      <c r="U217" s="1331"/>
      <c r="V217" s="1331"/>
      <c r="W217" s="1331"/>
      <c r="X217" s="1539"/>
      <c r="Y217" s="1331"/>
      <c r="Z217" s="1529"/>
      <c r="AA217" s="1331"/>
      <c r="AB217" s="295" t="s">
        <v>290</v>
      </c>
      <c r="AC217" s="454" t="s">
        <v>1784</v>
      </c>
      <c r="AD217" s="296" t="s">
        <v>1785</v>
      </c>
      <c r="AE217" s="773" t="s">
        <v>936</v>
      </c>
      <c r="AF217" s="941">
        <f>AF218+AF219</f>
        <v>0</v>
      </c>
      <c r="AG217" s="941">
        <f>AG218+AG219</f>
        <v>0</v>
      </c>
      <c r="AH217" s="853"/>
      <c r="AI217" s="1331"/>
      <c r="AJ217" s="1331"/>
      <c r="AK217" s="1331"/>
      <c r="AL217" s="1005" t="s">
        <v>1786</v>
      </c>
      <c r="AM217" s="1331"/>
      <c r="AN217" s="1331"/>
      <c r="AO217" s="1331"/>
      <c r="AP217" s="1331"/>
      <c r="AQ217" s="1331"/>
    </row>
    <row s="1656" customFormat="1" customHeight="1" ht="43.5">
      <c r="A218" s="1331"/>
      <c r="B218" s="1223"/>
      <c r="C218" s="1331"/>
      <c r="D218" s="1331"/>
      <c r="E218" s="623">
        <v>45</v>
      </c>
      <c r="F218" s="50" cm="1" t="str">
        <f t="array" ref="F218:F218">OFFSET(E218,-1,1)</f>
        <v>3</v>
      </c>
      <c r="G218" s="428"/>
      <c r="H218" s="81"/>
      <c r="I218" s="428" t="s">
        <v>1787</v>
      </c>
      <c r="J218" s="1331"/>
      <c r="K218" s="120"/>
      <c r="L218" s="120"/>
      <c r="M218" s="120"/>
      <c r="N218" s="1331"/>
      <c r="O218" s="1331"/>
      <c r="P218" s="1331"/>
      <c r="Q218" s="1331"/>
      <c r="R218" s="1331"/>
      <c r="S218" s="1441"/>
      <c r="T218" s="468" cm="1" t="str">
        <f t="array" ref="T218:T218">T217</f>
        <v>true</v>
      </c>
      <c r="U218" s="1331"/>
      <c r="V218" s="1331"/>
      <c r="W218" s="1331"/>
      <c r="X218" s="1539"/>
      <c r="Y218" s="1331"/>
      <c r="Z218" s="1529"/>
      <c r="AA218" s="1331"/>
      <c r="AB218" s="295" t="s">
        <v>1067</v>
      </c>
      <c r="AC218" s="769" t="s">
        <v>1788</v>
      </c>
      <c r="AD218" s="296" t="s">
        <v>1789</v>
      </c>
      <c r="AE218" s="773" t="s">
        <v>936</v>
      </c>
      <c r="AF218" s="294"/>
      <c r="AG218" s="294"/>
      <c r="AH218" s="853"/>
      <c r="AI218" s="1331"/>
      <c r="AJ218" s="1331"/>
      <c r="AK218" s="1331"/>
      <c r="AL218" s="1005" t="s">
        <v>1790</v>
      </c>
      <c r="AM218" s="1331"/>
      <c r="AN218" s="1331"/>
      <c r="AO218" s="1331"/>
      <c r="AP218" s="1331"/>
      <c r="AQ218" s="1331"/>
    </row>
    <row s="1656" customFormat="1" customHeight="1" ht="32.25">
      <c r="A219" s="1331"/>
      <c r="B219" s="1223"/>
      <c r="C219" s="1331"/>
      <c r="D219" s="1331"/>
      <c r="E219" s="623">
        <v>33.75</v>
      </c>
      <c r="F219" s="50" cm="1" t="str">
        <f t="array" ref="F219:F219">OFFSET(E219,-1,1)</f>
        <v>3</v>
      </c>
      <c r="G219" s="428"/>
      <c r="H219" s="81"/>
      <c r="I219" s="428" t="s">
        <v>1791</v>
      </c>
      <c r="J219" s="1331"/>
      <c r="K219" s="120"/>
      <c r="L219" s="120"/>
      <c r="M219" s="120"/>
      <c r="N219" s="1331"/>
      <c r="O219" s="1331"/>
      <c r="P219" s="1331"/>
      <c r="Q219" s="1331"/>
      <c r="R219" s="1331"/>
      <c r="S219" s="1441"/>
      <c r="T219" s="468" cm="1" t="str">
        <f t="array" ref="T219:T219">T218</f>
        <v>true</v>
      </c>
      <c r="U219" s="1331"/>
      <c r="V219" s="1331"/>
      <c r="W219" s="1331"/>
      <c r="X219" s="1539"/>
      <c r="Y219" s="1331"/>
      <c r="Z219" s="1529"/>
      <c r="AA219" s="1331"/>
      <c r="AB219" s="295" t="s">
        <v>1070</v>
      </c>
      <c r="AC219" s="769" t="s">
        <v>1792</v>
      </c>
      <c r="AD219" s="296" t="s">
        <v>1793</v>
      </c>
      <c r="AE219" s="773" t="s">
        <v>936</v>
      </c>
      <c r="AF219" s="294"/>
      <c r="AG219" s="294"/>
      <c r="AH219" s="853"/>
      <c r="AI219" s="1331"/>
      <c r="AJ219" s="1331"/>
      <c r="AK219" s="1331"/>
      <c r="AL219" s="1005" t="s">
        <v>1794</v>
      </c>
      <c r="AM219" s="1331"/>
      <c r="AN219" s="1331"/>
      <c r="AO219" s="1331"/>
      <c r="AP219" s="1331"/>
      <c r="AQ219" s="1331"/>
    </row>
    <row s="1656" customFormat="1" customHeight="1" ht="33.75">
      <c r="A220" s="1331"/>
      <c r="B220" s="1223"/>
      <c r="C220" s="1331"/>
      <c r="D220" s="1331"/>
      <c r="E220" s="623">
        <v>35</v>
      </c>
      <c r="F220" s="50" cm="1" t="str">
        <f t="array" ref="F220:F220">OFFSET(E220,-1,1)</f>
        <v>3</v>
      </c>
      <c r="G220" s="428"/>
      <c r="H220" s="81"/>
      <c r="I220" s="428" t="s">
        <v>346</v>
      </c>
      <c r="J220" s="1331"/>
      <c r="K220" s="120" t="str">
        <f>F220&amp;"1komm"</f>
        <v>31komm</v>
      </c>
      <c r="L220" s="926" cm="1" t="str">
        <f t="array" ref="L220:L220">AH220</f>
        <v>0</v>
      </c>
      <c r="M220" s="120"/>
      <c r="N220" s="1331"/>
      <c r="O220" s="1331"/>
      <c r="P220" s="1331"/>
      <c r="Q220" s="1331"/>
      <c r="R220" s="1331"/>
      <c r="S220" s="1441"/>
      <c r="T220" s="468" cm="1" t="str">
        <f t="array" ref="T220:T220">T219</f>
        <v>true</v>
      </c>
      <c r="U220" s="1331"/>
      <c r="V220" s="1331"/>
      <c r="W220" s="1331"/>
      <c r="X220" s="1539"/>
      <c r="Y220" s="1331"/>
      <c r="Z220" s="1529"/>
      <c r="AA220" s="1331"/>
      <c r="AB220" s="230" t="s">
        <v>1795</v>
      </c>
      <c r="AC220" s="208" t="s">
        <v>1796</v>
      </c>
      <c r="AD220" s="207" t="s">
        <v>1797</v>
      </c>
      <c r="AE220" s="230" t="s">
        <v>936</v>
      </c>
      <c r="AF220" s="378"/>
      <c r="AG220" s="378"/>
      <c r="AH220" s="853"/>
      <c r="AI220" s="1331"/>
      <c r="AJ220" s="1331"/>
      <c r="AK220" s="1331"/>
      <c r="AL220" s="1005" t="s">
        <v>1798</v>
      </c>
      <c r="AM220" s="1331"/>
      <c r="AN220" s="1331"/>
      <c r="AO220" s="1331"/>
      <c r="AP220" s="1331"/>
      <c r="AQ220" s="1331"/>
    </row>
    <row s="1656" customFormat="1" customHeight="1" ht="107.25">
      <c r="A221" s="1331"/>
      <c r="B221" s="1223"/>
      <c r="C221" s="1331"/>
      <c r="D221" s="1331"/>
      <c r="E221" s="623">
        <v>110</v>
      </c>
      <c r="F221" s="50" cm="1" t="str">
        <f t="array" ref="F221:F221">OFFSET(E221,-1,1)</f>
        <v>3</v>
      </c>
      <c r="G221" s="428"/>
      <c r="H221" s="81"/>
      <c r="I221" s="428" t="s">
        <v>348</v>
      </c>
      <c r="J221" s="1331"/>
      <c r="K221" s="120" t="str">
        <f>F221&amp;"2komm"</f>
        <v>32komm</v>
      </c>
      <c r="L221" s="926" cm="1" t="str">
        <f t="array" ref="L221:L221">AH221</f>
        <v>0</v>
      </c>
      <c r="M221" s="120"/>
      <c r="N221" s="1331"/>
      <c r="O221" s="1331"/>
      <c r="P221" s="1331"/>
      <c r="Q221" s="1331"/>
      <c r="R221" s="1331"/>
      <c r="S221" s="1441"/>
      <c r="T221" s="468" cm="1" t="str">
        <f t="array" ref="T221:T221">T220</f>
        <v>true</v>
      </c>
      <c r="U221" s="1331"/>
      <c r="V221" s="1331"/>
      <c r="W221" s="1331"/>
      <c r="X221" s="1539"/>
      <c r="Y221" s="1331"/>
      <c r="Z221" s="1529"/>
      <c r="AA221" s="1331"/>
      <c r="AB221" s="230" t="s">
        <v>1799</v>
      </c>
      <c r="AC221" s="208" t="s">
        <v>1800</v>
      </c>
      <c r="AD221" s="207" t="s">
        <v>1801</v>
      </c>
      <c r="AE221" s="230" t="s">
        <v>936</v>
      </c>
      <c r="AF221" s="378"/>
      <c r="AG221" s="378"/>
      <c r="AH221" s="853"/>
      <c r="AI221" s="1331"/>
      <c r="AJ221" s="1331"/>
      <c r="AK221" s="1331"/>
      <c r="AL221" s="1005" t="s">
        <v>1207</v>
      </c>
      <c r="AM221" s="1331"/>
      <c r="AN221" s="1331"/>
      <c r="AO221" s="1331"/>
      <c r="AP221" s="1331"/>
      <c r="AQ221" s="1331"/>
    </row>
    <row s="1656" customFormat="1" customHeight="1" ht="76.5">
      <c r="A222" s="1331"/>
      <c r="B222" s="430">
        <f>S180="Водоотведение"</f>
        <v>1</v>
      </c>
      <c r="C222" s="1331"/>
      <c r="D222" s="1331"/>
      <c r="E222" s="623">
        <v>78.75</v>
      </c>
      <c r="F222" s="50" cm="1" t="str">
        <f t="array" ref="F222:F222">OFFSET(E222,-1,1)</f>
        <v>3</v>
      </c>
      <c r="G222" s="1029"/>
      <c r="H222" s="49"/>
      <c r="I222" s="118" t="s">
        <v>347</v>
      </c>
      <c r="J222" s="1331"/>
      <c r="K222" s="120" t="str">
        <f>F222&amp;"3komm"</f>
        <v>33komm</v>
      </c>
      <c r="L222" s="926" cm="1" t="str">
        <f t="array" ref="L222:L222">AH222</f>
        <v>0</v>
      </c>
      <c r="M222" s="120"/>
      <c r="N222" s="1331"/>
      <c r="O222" s="1331"/>
      <c r="P222" s="1331"/>
      <c r="Q222" s="1331"/>
      <c r="R222" s="1331"/>
      <c r="S222" s="1441"/>
      <c r="T222" s="468" cm="1" t="str">
        <f t="array" ref="T222:T222">T221</f>
        <v>true</v>
      </c>
      <c r="U222" s="1331"/>
      <c r="V222" s="1331"/>
      <c r="W222" s="1331"/>
      <c r="X222" s="1539"/>
      <c r="Y222" s="1331"/>
      <c r="Z222" s="1529"/>
      <c r="AA222" s="1331"/>
      <c r="AB222" s="230" t="s">
        <v>1802</v>
      </c>
      <c r="AC222" s="208" t="s">
        <v>1803</v>
      </c>
      <c r="AD222" s="207"/>
      <c r="AE222" s="230" t="s">
        <v>936</v>
      </c>
      <c r="AF222" s="378"/>
      <c r="AG222" s="221"/>
      <c r="AH222" s="853"/>
      <c r="AI222" s="1331"/>
      <c r="AJ222" s="1331"/>
      <c r="AK222" s="1331"/>
      <c r="AL222" s="1005" t="s">
        <v>1804</v>
      </c>
      <c r="AM222" s="1331"/>
      <c r="AN222" s="1331"/>
      <c r="AO222" s="1331"/>
      <c r="AP222" s="1331"/>
      <c r="AQ222" s="1331"/>
    </row>
    <row s="1656" customFormat="1" customHeight="1" ht="54.75">
      <c r="A223" s="1331"/>
      <c r="B223" s="430" cm="1" t="str">
        <f t="array" ref="B223:B223">B222</f>
        <v>true</v>
      </c>
      <c r="C223" s="1331"/>
      <c r="D223" s="1331"/>
      <c r="E223" s="623">
        <v>56.25</v>
      </c>
      <c r="F223" s="50" cm="1" t="str">
        <f t="array" ref="F223:F223">OFFSET(E223,-1,1)</f>
        <v>3</v>
      </c>
      <c r="G223" s="1029"/>
      <c r="H223" s="49"/>
      <c r="I223" s="118" t="s">
        <v>616</v>
      </c>
      <c r="J223" s="1331"/>
      <c r="K223" s="120" t="str">
        <f>F223&amp;"4komm"</f>
        <v>34komm</v>
      </c>
      <c r="L223" s="926" cm="1" t="str">
        <f t="array" ref="L223:L223">AH223</f>
        <v>0</v>
      </c>
      <c r="M223" s="120"/>
      <c r="N223" s="1331"/>
      <c r="O223" s="1331"/>
      <c r="P223" s="1331"/>
      <c r="Q223" s="1331"/>
      <c r="R223" s="1331"/>
      <c r="S223" s="1441"/>
      <c r="T223" s="468" cm="1" t="str">
        <f t="array" ref="T223:T223">T222</f>
        <v>true</v>
      </c>
      <c r="U223" s="1331"/>
      <c r="V223" s="1331"/>
      <c r="W223" s="1331"/>
      <c r="X223" s="1539"/>
      <c r="Y223" s="1331"/>
      <c r="Z223" s="1529"/>
      <c r="AA223" s="1331"/>
      <c r="AB223" s="230" t="s">
        <v>1805</v>
      </c>
      <c r="AC223" s="208" t="s">
        <v>1806</v>
      </c>
      <c r="AD223" s="207"/>
      <c r="AE223" s="230" t="s">
        <v>936</v>
      </c>
      <c r="AF223" s="378"/>
      <c r="AG223" s="221"/>
      <c r="AH223" s="853"/>
      <c r="AI223" s="1331"/>
      <c r="AJ223" s="1331"/>
      <c r="AK223" s="1331"/>
      <c r="AL223" s="1005" t="s">
        <v>1807</v>
      </c>
      <c r="AM223" s="1331"/>
      <c r="AN223" s="1331"/>
      <c r="AO223" s="1331"/>
      <c r="AP223" s="1331"/>
      <c r="AQ223" s="1331"/>
    </row>
    <row s="1656" customFormat="1" customHeight="1" ht="222.75">
      <c r="A224" s="1331"/>
      <c r="B224" s="1223"/>
      <c r="C224" s="1331"/>
      <c r="D224" s="1331"/>
      <c r="E224" s="623">
        <v>15</v>
      </c>
      <c r="F224" s="50" cm="1" t="str">
        <f t="array" ref="F224:F224">OFFSET(E224,-1,1)</f>
        <v>3</v>
      </c>
      <c r="G224" s="1029"/>
      <c r="H224" s="81"/>
      <c r="I224" s="118" t="s">
        <v>619</v>
      </c>
      <c r="J224" s="1331"/>
      <c r="K224" s="120" t="str">
        <f>F224&amp;"5komm"</f>
        <v>35komm</v>
      </c>
      <c r="L224" s="926" cm="1" t="str">
        <f t="array" ref="L224:L224">AH224</f>
        <v>0</v>
      </c>
      <c r="M224" s="120"/>
      <c r="N224" s="1331"/>
      <c r="O224" s="1331"/>
      <c r="P224" s="1331"/>
      <c r="Q224" s="1331"/>
      <c r="R224" s="1331"/>
      <c r="S224" s="1441"/>
      <c r="T224" s="468" cm="1" t="str">
        <f t="array" ref="T224:T224">T223</f>
        <v>true</v>
      </c>
      <c r="U224" s="1331"/>
      <c r="V224" s="1331"/>
      <c r="W224" s="1331"/>
      <c r="X224" s="1539"/>
      <c r="Y224" s="1331"/>
      <c r="Z224" s="1529"/>
      <c r="AA224" s="1331"/>
      <c r="AB224" s="230" t="str">
        <f>IF(B223,"VII","V")</f>
        <v>VII</v>
      </c>
      <c r="AC224" s="208" t="s">
        <v>1808</v>
      </c>
      <c r="AD224" s="207"/>
      <c r="AE224" s="230" t="s">
        <v>936</v>
      </c>
      <c r="AF224" s="378"/>
      <c r="AG224" s="378"/>
      <c r="AH224" s="853"/>
      <c r="AI224" s="1331"/>
      <c r="AJ224" s="1331"/>
      <c r="AK224" s="1331"/>
      <c r="AL224" s="1005" t="s">
        <v>1809</v>
      </c>
      <c r="AM224" s="1331"/>
      <c r="AN224" s="1331"/>
      <c r="AO224" s="1331"/>
      <c r="AP224" s="1331"/>
      <c r="AQ224" s="1331"/>
    </row>
    <row s="4543" customFormat="1" customHeight="1" ht="14.625">
      <c r="A225" s="704"/>
      <c r="B225" s="433"/>
      <c r="C225" s="704"/>
      <c r="D225" s="704"/>
      <c r="E225" s="697">
        <v>15</v>
      </c>
      <c r="F225" s="50" cm="1" t="str">
        <f t="array" ref="F225:F225">OFFSET(E225,-1,1)</f>
        <v>3</v>
      </c>
      <c r="G225" s="500"/>
      <c r="H225" s="704"/>
      <c r="I225" s="237" t="s">
        <v>685</v>
      </c>
      <c r="J225" s="704"/>
      <c r="K225" s="120" t="str">
        <f>F225&amp;"6komm"</f>
        <v>36komm</v>
      </c>
      <c r="L225" s="926" cm="1" t="str">
        <f t="array" ref="L225:L225">AH225</f>
        <v>0</v>
      </c>
      <c r="M225" s="500"/>
      <c r="N225" s="704"/>
      <c r="O225" s="704"/>
      <c r="P225" s="704"/>
      <c r="Q225" s="704"/>
      <c r="R225" s="704"/>
      <c r="S225" s="704"/>
      <c r="T225" s="468" cm="1" t="str">
        <f t="array" ref="T225:T225">T224</f>
        <v>true</v>
      </c>
      <c r="U225" s="704"/>
      <c r="V225" s="704"/>
      <c r="W225" s="704"/>
      <c r="X225" s="1539"/>
      <c r="Y225" s="704"/>
      <c r="Z225" s="1529"/>
      <c r="AA225" s="704"/>
      <c r="AB225" s="230" t="str">
        <f>IF(B223,"VIII","VI")</f>
        <v>VIII</v>
      </c>
      <c r="AC225" s="208" t="s">
        <v>1770</v>
      </c>
      <c r="AD225" s="207"/>
      <c r="AE225" s="230" t="s">
        <v>936</v>
      </c>
      <c r="AF225" s="378"/>
      <c r="AG225" s="378"/>
      <c r="AH225" s="853"/>
      <c r="AI225" s="704"/>
      <c r="AJ225" s="704"/>
      <c r="AK225" s="704"/>
      <c r="AL225" s="1059" t="s">
        <v>1810</v>
      </c>
      <c r="AM225" s="704"/>
      <c r="AN225" s="704"/>
      <c r="AO225" s="704"/>
      <c r="AP225" s="704"/>
      <c r="AQ225" s="704"/>
    </row>
    <row s="1656" customFormat="1" customHeight="1" ht="23.25">
      <c r="A226" s="1331"/>
      <c r="B226" s="1223"/>
      <c r="C226" s="1331"/>
      <c r="D226" s="1331"/>
      <c r="E226" s="623">
        <v>22.5</v>
      </c>
      <c r="F226" s="50" cm="1" t="str">
        <f t="array" ref="F226:F226">OFFSET(E226,-1,1)</f>
        <v>3</v>
      </c>
      <c r="G226" s="1029"/>
      <c r="H226" s="81"/>
      <c r="I226" s="118" t="s">
        <v>688</v>
      </c>
      <c r="J226" s="1331"/>
      <c r="K226" s="120" t="str">
        <f>F226&amp;"7komm"</f>
        <v>37komm</v>
      </c>
      <c r="L226" s="926" cm="1" t="str">
        <f t="array" ref="L226:L226">AH226</f>
        <v>0</v>
      </c>
      <c r="M226" s="120"/>
      <c r="N226" s="1331"/>
      <c r="O226" s="1331"/>
      <c r="P226" s="1331"/>
      <c r="Q226" s="1331"/>
      <c r="R226" s="1331"/>
      <c r="S226" s="1441"/>
      <c r="T226" s="468" cm="1" t="str">
        <f t="array" ref="T226:T226">T225</f>
        <v>true</v>
      </c>
      <c r="U226" s="1331"/>
      <c r="V226" s="1331"/>
      <c r="W226" s="1331"/>
      <c r="X226" s="1539"/>
      <c r="Y226" s="1331"/>
      <c r="Z226" s="1529"/>
      <c r="AA226" s="1331"/>
      <c r="AB226" s="773">
        <v>1</v>
      </c>
      <c r="AC226" s="769" t="s">
        <v>1773</v>
      </c>
      <c r="AD226" s="296"/>
      <c r="AE226" s="773" t="s">
        <v>936</v>
      </c>
      <c r="AF226" s="294"/>
      <c r="AG226" s="294"/>
      <c r="AH226" s="853"/>
      <c r="AI226" s="1331"/>
      <c r="AJ226" s="1331"/>
      <c r="AK226" s="1331"/>
      <c r="AL226" s="1005" t="s">
        <v>1811</v>
      </c>
      <c r="AM226" s="1331"/>
      <c r="AN226" s="1331"/>
      <c r="AO226" s="1331"/>
      <c r="AP226" s="1331"/>
      <c r="AQ226" s="1331"/>
    </row>
    <row s="1656" customFormat="1" customHeight="1" ht="21.75">
      <c r="A227" s="1331"/>
      <c r="B227" s="1223"/>
      <c r="C227" s="1331"/>
      <c r="D227" s="1331"/>
      <c r="E227" s="623">
        <v>22.5</v>
      </c>
      <c r="F227" s="50" cm="1" t="str">
        <f t="array" ref="F227:F227">OFFSET(E227,-1,1)</f>
        <v>3</v>
      </c>
      <c r="G227" s="1029"/>
      <c r="H227" s="81"/>
      <c r="I227" s="118" t="s">
        <v>692</v>
      </c>
      <c r="J227" s="1331"/>
      <c r="K227" s="120" t="str">
        <f>F227&amp;"8komm"</f>
        <v>38komm</v>
      </c>
      <c r="L227" s="926" cm="1" t="str">
        <f t="array" ref="L227:L227">AH227</f>
        <v>0</v>
      </c>
      <c r="M227" s="120"/>
      <c r="N227" s="1331"/>
      <c r="O227" s="1331"/>
      <c r="P227" s="1331"/>
      <c r="Q227" s="1331"/>
      <c r="R227" s="1331"/>
      <c r="S227" s="1441"/>
      <c r="T227" s="468" cm="1" t="str">
        <f t="array" ref="T227:T227">T226</f>
        <v>true</v>
      </c>
      <c r="U227" s="1331"/>
      <c r="V227" s="1331"/>
      <c r="W227" s="1331"/>
      <c r="X227" s="1539"/>
      <c r="Y227" s="1331"/>
      <c r="Z227" s="1529"/>
      <c r="AA227" s="1331"/>
      <c r="AB227" s="773">
        <v>2</v>
      </c>
      <c r="AC227" s="769" t="s">
        <v>1775</v>
      </c>
      <c r="AD227" s="296"/>
      <c r="AE227" s="773" t="s">
        <v>936</v>
      </c>
      <c r="AF227" s="294"/>
      <c r="AG227" s="294"/>
      <c r="AH227" s="853"/>
      <c r="AI227" s="1331"/>
      <c r="AJ227" s="1331"/>
      <c r="AK227" s="1331"/>
      <c r="AL227" s="1005" t="s">
        <v>1812</v>
      </c>
      <c r="AM227" s="1331"/>
      <c r="AN227" s="1331"/>
      <c r="AO227" s="1331"/>
      <c r="AP227" s="1331"/>
      <c r="AQ227" s="1331"/>
    </row>
    <row s="1656" customFormat="1" customHeight="1" ht="14.25">
      <c r="A228" s="1331"/>
      <c r="B228" s="1223"/>
      <c r="C228" s="1331"/>
      <c r="D228" s="1331"/>
      <c r="E228" s="623">
        <v>15</v>
      </c>
      <c r="F228" s="50" cm="1" t="str">
        <f t="array" ref="F228:F228">OFFSET(E228,-1,1)</f>
        <v>3</v>
      </c>
      <c r="G228" s="1029"/>
      <c r="H228" s="81"/>
      <c r="I228" s="118" t="s">
        <v>700</v>
      </c>
      <c r="J228" s="1331"/>
      <c r="K228" s="120" t="str">
        <f>F228&amp;"9komm"</f>
        <v>39komm</v>
      </c>
      <c r="L228" s="926" cm="1" t="str">
        <f t="array" ref="L228:L228">AH228</f>
        <v>0</v>
      </c>
      <c r="M228" s="120"/>
      <c r="N228" s="1331"/>
      <c r="O228" s="1331"/>
      <c r="P228" s="1331"/>
      <c r="Q228" s="1331"/>
      <c r="R228" s="1331"/>
      <c r="S228" s="1441"/>
      <c r="T228" s="468" cm="1" t="str">
        <f t="array" ref="T228:T228">T227</f>
        <v>true</v>
      </c>
      <c r="U228" s="1331"/>
      <c r="V228" s="1331"/>
      <c r="W228" s="1331"/>
      <c r="X228" s="1539"/>
      <c r="Y228" s="1331"/>
      <c r="Z228" s="1529"/>
      <c r="AA228" s="1331"/>
      <c r="AB228" s="230" t="str">
        <f>IF(B223,"IX","VIII")</f>
        <v>IX</v>
      </c>
      <c r="AC228" s="208" t="s">
        <v>1777</v>
      </c>
      <c r="AD228" s="207"/>
      <c r="AE228" s="230" t="s">
        <v>936</v>
      </c>
      <c r="AF228" s="378"/>
      <c r="AG228" s="378"/>
      <c r="AH228" s="853"/>
      <c r="AI228" s="1331"/>
      <c r="AJ228" s="1331"/>
      <c r="AK228" s="1331"/>
      <c r="AL228" s="1005" t="s">
        <v>1813</v>
      </c>
      <c r="AM228" s="1331"/>
      <c r="AN228" s="1331"/>
      <c r="AO228" s="1331"/>
      <c r="AP228" s="1331"/>
      <c r="AQ228" s="1331"/>
    </row>
    <row s="1656" customFormat="1" customHeight="1" ht="14.25">
      <c r="A229" s="1331"/>
      <c r="B229" s="1223"/>
      <c r="C229" s="1331"/>
      <c r="D229" s="1331"/>
      <c r="E229" s="623">
        <v>15</v>
      </c>
      <c r="F229" s="50" cm="1" t="str">
        <f t="array" ref="F229:F229">OFFSET(E229,-1,1)</f>
        <v>3</v>
      </c>
      <c r="G229" s="1029"/>
      <c r="H229" s="81"/>
      <c r="I229" s="118" t="s">
        <v>707</v>
      </c>
      <c r="J229" s="1331"/>
      <c r="K229" s="120" t="str">
        <f>F229&amp;"10komm"</f>
        <v>310komm</v>
      </c>
      <c r="L229" s="926" cm="1" t="str">
        <f t="array" ref="L229:L229">AH229</f>
        <v>0</v>
      </c>
      <c r="M229" s="120"/>
      <c r="N229" s="1331"/>
      <c r="O229" s="1331"/>
      <c r="P229" s="1331"/>
      <c r="Q229" s="1331"/>
      <c r="R229" s="1331"/>
      <c r="S229" s="1441"/>
      <c r="T229" s="468" cm="1" t="str">
        <f t="array" ref="T229:T229">T228</f>
        <v>true</v>
      </c>
      <c r="U229" s="1331"/>
      <c r="V229" s="1331"/>
      <c r="W229" s="1331"/>
      <c r="X229" s="1539"/>
      <c r="Y229" s="1331"/>
      <c r="Z229" s="1529"/>
      <c r="AA229" s="1331"/>
      <c r="AB229" s="230" t="str">
        <f>IF(B223,"X","IX")</f>
        <v>X</v>
      </c>
      <c r="AC229" s="208" t="s">
        <v>1779</v>
      </c>
      <c r="AD229" s="207"/>
      <c r="AE229" s="230" t="s">
        <v>936</v>
      </c>
      <c r="AF229" s="378"/>
      <c r="AG229" s="378"/>
      <c r="AH229" s="853"/>
      <c r="AI229" s="1331"/>
      <c r="AJ229" s="1331"/>
      <c r="AK229" s="1331"/>
      <c r="AL229" s="1005" t="s">
        <v>1814</v>
      </c>
      <c r="AM229" s="1331"/>
      <c r="AN229" s="1331"/>
      <c r="AO229" s="1331"/>
      <c r="AP229" s="1331"/>
      <c r="AQ229" s="1331"/>
    </row>
    <row s="4544" customFormat="1" customHeight="1" ht="22.921875">
      <c r="A230" s="704"/>
      <c r="B230" s="433"/>
      <c r="C230" s="704"/>
      <c r="D230" s="704"/>
      <c r="E230" s="697">
        <v>15</v>
      </c>
      <c r="F230" s="50" cm="1" t="str">
        <f t="array" ref="F230:F230">OFFSET(E230,-1,1)</f>
        <v>3</v>
      </c>
      <c r="G230" s="500"/>
      <c r="H230" s="704"/>
      <c r="I230" s="237" t="s">
        <v>864</v>
      </c>
      <c r="J230" s="704"/>
      <c r="K230" s="120" t="str">
        <f>F230&amp;"11komm"</f>
        <v>311komm</v>
      </c>
      <c r="L230" s="926" cm="1" t="str">
        <f t="array" ref="L230:L230">AH230</f>
        <v>0</v>
      </c>
      <c r="M230" s="500"/>
      <c r="N230" s="704"/>
      <c r="O230" s="704"/>
      <c r="P230" s="704"/>
      <c r="Q230" s="704"/>
      <c r="R230" s="704"/>
      <c r="S230" s="704"/>
      <c r="T230" s="468" cm="1" t="str">
        <f t="array" ref="T230:T230">T229</f>
        <v>true</v>
      </c>
      <c r="U230" s="704"/>
      <c r="V230" s="704"/>
      <c r="W230" s="704"/>
      <c r="X230" s="1539"/>
      <c r="Y230" s="704"/>
      <c r="Z230" s="1529"/>
      <c r="AA230" s="704"/>
      <c r="AB230" s="230" t="str">
        <f>IF(B223,"XI","X")</f>
        <v>XI</v>
      </c>
      <c r="AC230" s="215" t="s">
        <v>1815</v>
      </c>
      <c r="AD230" s="207"/>
      <c r="AE230" s="230" t="s">
        <v>936</v>
      </c>
      <c r="AF230" s="944">
        <f>AF181+AF216+AF220+AF221+AF222+AF223+AF224+AF225+AF228+AF229</f>
        <v>21647.5</v>
      </c>
      <c r="AG230" s="944">
        <f>AG181+AG216+AG220+AG221+AG222+AG223+AG224+AG225+AG228+AG229</f>
        <v>21032.02</v>
      </c>
      <c r="AH230" s="853"/>
      <c r="AI230" s="704"/>
      <c r="AJ230" s="704"/>
      <c r="AK230" s="704"/>
      <c r="AL230" s="1059" t="s">
        <v>1816</v>
      </c>
      <c r="AM230" s="704"/>
      <c r="AN230" s="704"/>
      <c r="AO230" s="704"/>
      <c r="AP230" s="704"/>
      <c r="AQ230" s="704"/>
    </row>
    <row s="1656" customFormat="1" customHeight="1" ht="10.96875">
      <c r="B231" s="432"/>
      <c r="E231" s="629">
        <v>11.25</v>
      </c>
      <c r="G231" s="490"/>
      <c r="K231" s="120"/>
      <c r="L231" s="926"/>
      <c r="M231" s="490"/>
      <c r="T231" s="0"/>
      <c r="U231" s="485" t="s">
        <v>177</v>
      </c>
      <c r="V231" s="136" t="s">
        <v>1850</v>
      </c>
      <c r="AB231" s="0"/>
      <c r="AC231" s="485"/>
      <c r="AD231" s="485"/>
      <c r="AE231" s="485"/>
      <c r="AF231" s="485"/>
      <c r="AG231" s="0"/>
      <c r="AH231" s="0"/>
      <c r="AL231" s="1012"/>
      <c r="AQ231" s="97"/>
    </row>
    <row customHeight="1" ht="14.625">
      <c r="E232" s="623">
        <v>15</v>
      </c>
      <c r="AB232" s="1553" t="s">
        <v>420</v>
      </c>
      <c r="AC232" s="1553"/>
      <c r="AD232" s="1553"/>
      <c r="AE232" s="1553"/>
      <c r="AF232" s="1553"/>
      <c r="AG232" s="1553"/>
      <c r="AH232" s="1553"/>
    </row>
    <row customHeight="1" ht="14.625">
      <c r="E233" s="623">
        <v>15</v>
      </c>
      <c r="AA233" s="169"/>
      <c r="AB233" s="1602"/>
      <c r="AC233" s="1602"/>
      <c r="AD233" s="1602"/>
      <c r="AE233" s="1602"/>
      <c r="AF233" s="1602"/>
      <c r="AG233" s="1602"/>
      <c r="AH233" s="1602"/>
    </row>
    <row customHeight="1" ht="14.625" hidden="1">
      <c r="A234" s="1331"/>
      <c r="B234" s="1223"/>
      <c r="C234" s="1331"/>
      <c r="D234" s="1331"/>
      <c r="E234" s="623">
        <v>15</v>
      </c>
      <c r="F234" s="1331"/>
      <c r="G234" s="1029"/>
      <c r="H234" s="1331"/>
      <c r="I234" s="1331"/>
      <c r="J234" s="1331"/>
      <c r="K234" s="1331"/>
      <c r="L234" s="1331"/>
      <c r="M234" s="1331"/>
      <c r="N234" s="1331"/>
      <c r="O234" s="1331"/>
      <c r="P234" s="1331"/>
      <c r="Q234" s="1331"/>
      <c r="R234" s="1331"/>
      <c r="S234" s="1441"/>
      <c r="T234" s="468">
        <f>ROW(W234)&gt;ROW(W$234)</f>
        <v>0</v>
      </c>
      <c r="U234" s="1331"/>
      <c r="V234" s="1331"/>
      <c r="W234" s="764" t="s">
        <v>173</v>
      </c>
      <c r="X234" s="1331"/>
      <c r="Y234" s="1331"/>
      <c r="Z234" s="1331"/>
      <c r="AA234" s="422" t="s">
        <v>174</v>
      </c>
      <c r="AB234" s="4479" t="s">
        <v>240</v>
      </c>
      <c r="AC234" s="4479"/>
      <c r="AD234" s="4479"/>
      <c r="AE234" s="4479"/>
      <c r="AF234" s="4479"/>
      <c r="AG234" s="4479"/>
      <c r="AH234" s="4479"/>
      <c r="AI234" s="1331"/>
      <c r="AJ234" s="1331"/>
      <c r="AK234" s="1331"/>
      <c r="AL234" s="1245"/>
      <c r="AM234" s="1331"/>
      <c r="AN234" s="1331"/>
      <c r="AO234" s="1331"/>
      <c r="AP234" s="1331"/>
      <c r="AQ234" s="1331"/>
    </row>
    <row customHeight="1" ht="14.625">
      <c r="E235" s="623">
        <v>15</v>
      </c>
      <c r="W235" s="764" t="s">
        <v>421</v>
      </c>
      <c r="AB235" s="653"/>
      <c r="AC235" s="517" t="s">
        <v>422</v>
      </c>
      <c r="AD235" s="306"/>
      <c r="AE235" s="306"/>
      <c r="AF235" s="306"/>
      <c r="AG235" s="306"/>
      <c r="AH235" s="379"/>
    </row>
    <row customHeight="1" ht="10.725000000000001">
      <c r="E236" s="623">
        <v>11</v>
      </c>
      <c r="AI236" s="428"/>
    </row>
    <row customHeight="1" ht="10.725000000000001" hidden="1">
      <c r="E237" s="623">
        <v>11</v>
      </c>
      <c r="AB237" s="496" t="s">
        <v>1851</v>
      </c>
    </row>
  </sheetData>
  <sheetProtection formatColumns="0" formatRows="0" insertRows="0" deleteColumns="0" deleteRows="0" sort="0" autoFilter="0" insertColumns="1"/>
  <mergeCells count="16">
    <mergeCell ref="AH24:AH25"/>
    <mergeCell ref="AB24:AB25"/>
    <mergeCell ref="AC24:AC25"/>
    <mergeCell ref="AD24:AD25"/>
    <mergeCell ref="AE24:AE25"/>
    <mergeCell ref="AB232:AH232"/>
    <mergeCell ref="AB233:AH233"/>
    <mergeCell ref="AB234:AH234"/>
    <mergeCell ref="X27:X77"/>
    <mergeCell ref="Z27:Z77"/>
    <mergeCell ref="X78:X128"/>
    <mergeCell ref="Z78:Z128"/>
    <mergeCell ref="X129:X179"/>
    <mergeCell ref="Z129:Z179"/>
    <mergeCell ref="X180:X230"/>
    <mergeCell ref="Z180:Z230"/>
  </mergeCells>
  <pageMargins left="0.35" right="0.35" top="0.40" bottom="0.40" header="0.31" footer="0.31"/>
  <pageSetup paperSize="9" scale="61" fitToHeight="0"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308228-D7C5-D08B-13B5-480CF83B6512}" mc:Ignorable="x14ac xr xr2 xr3">
  <sheetPr>
    <tabColor rgb="FF002060"/>
    <outlinePr summaryRight="0" summaryBelow="0"/>
  </sheetPr>
  <dimension ref="A1:GD311"/>
  <sheetViews>
    <sheetView showGridLines="0" zoomScale="120" workbookViewId="0">
      <pane xSplit="29" ySplit="26" topLeftCell="AD120" activePane="bottomRight" state="frozen"/>
      <selection pane="bottomLeft" activeCell="A27" sqref="A27"/>
      <selection pane="topRight" activeCell="AD1" sqref="AD1"/>
      <selection pane="bottomRight" activeCell="AB131" sqref="AB131"/>
    </sheetView>
  </sheetViews>
  <sheetFormatPr defaultColWidth="9.140625" customHeight="1" defaultRowHeight="11.25"/>
  <cols>
    <col min="1" max="1" style="1328" width="3.57421875" hidden="1" customWidth="1"/>
    <col min="2" max="2" style="879" width="8.57421875" hidden="1" customWidth="1"/>
    <col min="3" max="4" style="1328" width="3.57421875" hidden="1" customWidth="1"/>
    <col min="5" max="5" style="1329" width="3.57421875" hidden="1" customWidth="1"/>
    <col min="6" max="6" style="1361" width="5.421875" hidden="1" customWidth="1"/>
    <col min="7" max="7" style="1328" width="19.421875" hidden="1" customWidth="1"/>
    <col min="8" max="10" style="1328" width="3.57421875" hidden="1" customWidth="1"/>
    <col min="11" max="11" style="1328" width="6.421875" hidden="1" customWidth="1"/>
    <col min="12" max="12" style="1328" width="8.57421875" hidden="1" customWidth="1"/>
    <col min="13" max="16" style="1328" width="3.57421875" hidden="1" customWidth="1"/>
    <col min="17" max="17" style="1328" width="18.8515625" hidden="1" customWidth="1"/>
    <col min="18" max="18" style="1328" width="17.7109375" hidden="1" customWidth="1"/>
    <col min="19" max="19" style="1328" width="11.8515625" hidden="1" customWidth="1"/>
    <col min="20" max="20" style="1328" width="9.421875" hidden="1" customWidth="1"/>
    <col min="21" max="21" style="1328" width="5.8515625" hidden="1" customWidth="1"/>
    <col min="22" max="23" style="1328" width="6.140625" hidden="1" customWidth="1"/>
    <col min="24" max="25" style="1328" width="5.57421875" hidden="1" customWidth="1"/>
    <col min="26" max="26" style="1328" width="5.28125" hidden="1" customWidth="1"/>
    <col min="27" max="27" style="1328" width="3.00390625" customWidth="1"/>
    <col min="28" max="28" style="203" width="66.7109375" customWidth="1"/>
    <col min="29" max="29" style="1189" width="12.57421875" customWidth="1"/>
    <col min="30" max="30" style="1328" width="20.00390625" customWidth="1"/>
    <col min="31" max="31" style="1328" width="22.57421875" customWidth="1"/>
    <col min="32" max="32" style="1328" width="68.57421875" customWidth="1"/>
    <col min="33" max="179" style="1328" width="14.140625" hidden="1" customWidth="1"/>
    <col min="180" max="180" style="1328" width="3.00390625" customWidth="1"/>
    <col min="181" max="181" style="1328" width="9.140625" hidden="1"/>
    <col min="182" max="182" style="1330" width="31.7109375" hidden="1" customWidth="1"/>
    <col min="183" max="184" style="1330" width="9.140625" hidden="1"/>
    <col min="185" max="186" style="1329" width="9.140625" hidden="1"/>
  </cols>
  <sheetData>
    <row customHeight="1" ht="11.25" hidden="1">
      <c r="E1" s="94"/>
      <c r="F1" s="497" t="s">
        <v>333</v>
      </c>
      <c r="H1" s="94" t="s">
        <v>343</v>
      </c>
      <c r="I1" s="94" t="s">
        <v>368</v>
      </c>
      <c r="T1" s="468" t="s">
        <v>93</v>
      </c>
      <c r="U1" s="468" t="s">
        <v>98</v>
      </c>
      <c r="V1" s="468" t="s">
        <v>94</v>
      </c>
      <c r="W1" s="468" t="s">
        <v>95</v>
      </c>
      <c r="X1" s="468" t="s">
        <v>96</v>
      </c>
      <c r="Y1" s="470" t="s">
        <v>335</v>
      </c>
      <c r="Z1" s="468" t="s">
        <v>100</v>
      </c>
      <c r="AA1" s="470" t="s">
        <v>97</v>
      </c>
      <c r="AB1" s="469" t="s">
        <v>99</v>
      </c>
      <c r="AG1" s="1328"/>
      <c r="AH1" s="1328"/>
      <c r="AI1" s="1328"/>
      <c r="AJ1" s="1328"/>
      <c r="AK1" s="1328"/>
      <c r="AL1" s="1328"/>
      <c r="AM1" s="1328"/>
      <c r="AN1" s="1328"/>
      <c r="AO1" s="1328"/>
      <c r="AP1" s="1328"/>
      <c r="AQ1" s="1328"/>
      <c r="AR1" s="1328"/>
      <c r="AS1" s="1328"/>
      <c r="AT1" s="1328"/>
      <c r="AU1" s="1328"/>
      <c r="AV1" s="1328"/>
      <c r="AW1" s="1328"/>
      <c r="AX1" s="1328"/>
      <c r="AY1" s="1328"/>
      <c r="AZ1" s="1328"/>
      <c r="BA1" s="1328"/>
      <c r="BB1" s="1328"/>
      <c r="BC1" s="1328"/>
      <c r="BD1" s="1328"/>
      <c r="BE1" s="1328"/>
      <c r="BF1" s="1328"/>
      <c r="BG1" s="1328"/>
      <c r="BH1" s="1328"/>
      <c r="BI1" s="1328"/>
      <c r="BJ1" s="1328"/>
      <c r="BK1" s="1328"/>
      <c r="BL1" s="1328"/>
      <c r="BM1" s="1328"/>
      <c r="BN1" s="1328"/>
      <c r="BO1" s="1328"/>
      <c r="BP1" s="1328"/>
      <c r="BQ1" s="1328"/>
      <c r="BR1" s="1328"/>
      <c r="BS1" s="1328"/>
      <c r="BT1" s="1328"/>
      <c r="BU1" s="1328"/>
      <c r="BV1" s="1328"/>
      <c r="BW1" s="1328"/>
      <c r="BX1" s="1328"/>
      <c r="BY1" s="1328"/>
      <c r="BZ1" s="1328"/>
      <c r="CA1" s="1328"/>
      <c r="CB1" s="1328"/>
      <c r="CC1" s="1328"/>
      <c r="CD1" s="1328"/>
      <c r="CE1" s="1328"/>
      <c r="CF1" s="1328"/>
      <c r="CG1" s="1328"/>
      <c r="CH1" s="1328"/>
      <c r="CI1" s="1328"/>
      <c r="CJ1" s="1328"/>
      <c r="CK1" s="1328"/>
      <c r="CL1" s="1328"/>
      <c r="CM1" s="1328"/>
      <c r="CN1" s="1328"/>
      <c r="CO1" s="1328"/>
      <c r="CP1" s="1328"/>
      <c r="CQ1" s="1328"/>
      <c r="CR1" s="1328"/>
      <c r="CS1" s="1328"/>
      <c r="CT1" s="1328"/>
      <c r="CU1" s="1328"/>
      <c r="CV1" s="1328"/>
      <c r="CW1" s="1328"/>
      <c r="CX1" s="1328"/>
      <c r="CY1" s="1328"/>
      <c r="CZ1" s="1328"/>
      <c r="DA1" s="1328"/>
      <c r="DB1" s="1328"/>
      <c r="DC1" s="1328"/>
      <c r="DD1" s="1328"/>
      <c r="DE1" s="1328"/>
      <c r="DF1" s="1328"/>
      <c r="DG1" s="1328"/>
      <c r="DH1" s="1328"/>
      <c r="DI1" s="1328"/>
      <c r="DJ1" s="1328"/>
      <c r="DK1" s="1328"/>
      <c r="DL1" s="1328"/>
      <c r="DM1" s="1328"/>
      <c r="DN1" s="1328"/>
      <c r="DO1" s="1328"/>
      <c r="DP1" s="1328"/>
      <c r="DQ1" s="1328"/>
      <c r="DR1" s="1328"/>
      <c r="DS1" s="1328"/>
      <c r="DT1" s="1328"/>
      <c r="DU1" s="1328"/>
      <c r="DV1" s="1328"/>
      <c r="DW1" s="1328"/>
      <c r="DX1" s="1328"/>
      <c r="DY1" s="1328"/>
      <c r="DZ1" s="1328"/>
      <c r="EA1" s="1328"/>
      <c r="EB1" s="1328"/>
      <c r="EC1" s="1328"/>
      <c r="ED1" s="1328"/>
      <c r="EE1" s="1328"/>
      <c r="EF1" s="1328"/>
      <c r="EG1" s="1328"/>
      <c r="EH1" s="1328"/>
      <c r="EI1" s="1328"/>
      <c r="EJ1" s="1328"/>
      <c r="EK1" s="1328"/>
      <c r="EL1" s="1328"/>
      <c r="EM1" s="1328"/>
      <c r="EN1" s="1328"/>
      <c r="EO1" s="1328"/>
      <c r="EP1" s="1328"/>
      <c r="EQ1" s="1328"/>
      <c r="ER1" s="1328"/>
      <c r="ES1" s="1328"/>
      <c r="ET1" s="1328"/>
      <c r="EU1" s="1328"/>
      <c r="EV1" s="1328"/>
      <c r="EW1" s="1328"/>
      <c r="EX1" s="1328"/>
      <c r="EY1" s="1328"/>
      <c r="EZ1" s="1328"/>
      <c r="FA1" s="1328"/>
      <c r="FB1" s="1328"/>
      <c r="FC1" s="1328"/>
      <c r="FD1" s="1328"/>
      <c r="FE1" s="1328"/>
      <c r="FF1" s="1328"/>
      <c r="FG1" s="1328"/>
      <c r="FH1" s="1328"/>
      <c r="FI1" s="1328"/>
      <c r="FJ1" s="1328"/>
      <c r="FK1" s="1328"/>
      <c r="FL1" s="1328"/>
      <c r="FM1" s="1328"/>
      <c r="FN1" s="1328"/>
      <c r="FO1" s="1328"/>
      <c r="FP1" s="1328"/>
      <c r="FQ1" s="1328"/>
      <c r="FR1" s="1328"/>
      <c r="FS1" s="1328"/>
      <c r="FT1" s="1328"/>
      <c r="FU1" s="1328"/>
      <c r="FV1" s="1328"/>
      <c r="FW1" s="1328"/>
      <c r="FZ1" s="1023" t="s">
        <v>336</v>
      </c>
      <c r="GA1" s="1023" t="s">
        <v>337</v>
      </c>
      <c r="GB1" s="1023" t="s">
        <v>338</v>
      </c>
      <c r="GC1" s="637" t="s">
        <v>341</v>
      </c>
      <c r="GD1" s="637" t="s">
        <v>342</v>
      </c>
    </row>
    <row s="1186" customFormat="1" customHeight="1" ht="11.25" hidden="1">
      <c r="B2" s="932" t="s">
        <v>19</v>
      </c>
      <c r="F2" s="497"/>
      <c r="AB2" s="431"/>
      <c r="AC2" s="431"/>
      <c r="AD2" s="1186" cm="1" t="str">
        <f t="array" ref="AD2:AD2">isOrgDeclare</f>
        <v>true</v>
      </c>
      <c r="AF2" s="1186" cm="1" t="str">
        <f t="array" ref="AF2:AF2">isOrgDeclare</f>
        <v>true</v>
      </c>
      <c r="AG2" s="503">
        <f>AND(AG6&lt;=last_year_vis,isOrgDeclare)</f>
        <v>0</v>
      </c>
      <c r="AH2" s="503">
        <f>AH6&lt;=last_year_vis</f>
        <v>0</v>
      </c>
      <c r="AI2" s="503">
        <f>AND(AI6&lt;=last_year_vis,isOrgDeclare)</f>
        <v>0</v>
      </c>
      <c r="AJ2" s="503">
        <f>AND(AJ6&lt;=last_year_vis,isOrgDeclare)</f>
        <v>0</v>
      </c>
      <c r="AK2" s="503">
        <f>AK6&lt;=last_year_vis</f>
        <v>0</v>
      </c>
      <c r="AL2" s="503">
        <f>AND(AL6&lt;=last_year_vis,isOrgDeclare)</f>
        <v>0</v>
      </c>
      <c r="AM2" s="503">
        <f>AND(AM6&lt;=last_year_vis,isOrgDeclare)</f>
        <v>0</v>
      </c>
      <c r="AN2" s="503">
        <f>AN6&lt;=last_year_vis</f>
        <v>0</v>
      </c>
      <c r="AO2" s="503">
        <f>AND(AO6&lt;=last_year_vis,isOrgDeclare)</f>
        <v>0</v>
      </c>
      <c r="AP2" s="503">
        <f>AND(AP6&lt;=last_year_vis,isOrgDeclare)</f>
        <v>0</v>
      </c>
      <c r="AQ2" s="503">
        <f>AQ6&lt;=last_year_vis</f>
        <v>0</v>
      </c>
      <c r="AR2" s="503">
        <f>AND(AR6&lt;=last_year_vis,isOrgDeclare)</f>
        <v>0</v>
      </c>
      <c r="AS2" s="503">
        <f>AND(AS6&lt;=last_year_vis,isOrgDeclare)</f>
        <v>0</v>
      </c>
      <c r="AT2" s="503">
        <f>AT6&lt;=last_year_vis</f>
        <v>0</v>
      </c>
      <c r="AU2" s="503">
        <f>AND(AU6&lt;=last_year_vis,isOrgDeclare)</f>
        <v>0</v>
      </c>
      <c r="AV2" s="503">
        <f>AND(AV6&lt;=last_year_vis,isOrgDeclare)</f>
        <v>0</v>
      </c>
      <c r="AW2" s="503">
        <f>AW6&lt;=last_year_vis</f>
        <v>0</v>
      </c>
      <c r="AX2" s="503">
        <f>AND(AX6&lt;=last_year_vis,isOrgDeclare)</f>
        <v>0</v>
      </c>
      <c r="AY2" s="503">
        <f>AND(AY6&lt;=last_year_vis,isOrgDeclare)</f>
        <v>0</v>
      </c>
      <c r="AZ2" s="503">
        <f>AZ6&lt;=last_year_vis</f>
        <v>0</v>
      </c>
      <c r="BA2" s="503">
        <f>AND(BA6&lt;=last_year_vis,isOrgDeclare)</f>
        <v>0</v>
      </c>
      <c r="BB2" s="503">
        <f>AND(BB6&lt;=last_year_vis,isOrgDeclare)</f>
        <v>0</v>
      </c>
      <c r="BC2" s="503">
        <f>BC6&lt;=last_year_vis</f>
        <v>0</v>
      </c>
      <c r="BD2" s="503">
        <f>AND(BD6&lt;=last_year_vis,isOrgDeclare)</f>
        <v>0</v>
      </c>
      <c r="BE2" s="503">
        <f>AND(BE6&lt;=last_year_vis,isOrgDeclare)</f>
        <v>0</v>
      </c>
      <c r="BF2" s="503">
        <f>BF6&lt;=last_year_vis</f>
        <v>0</v>
      </c>
      <c r="BG2" s="503">
        <f>AND(BG6&lt;=last_year_vis,isOrgDeclare)</f>
        <v>0</v>
      </c>
      <c r="BH2" s="503">
        <f>AND(BH6&lt;=last_year_vis,isOrgDeclare)</f>
        <v>0</v>
      </c>
      <c r="BI2" s="503">
        <f>BI6&lt;=last_year_vis</f>
        <v>0</v>
      </c>
      <c r="BJ2" s="503">
        <f>AND(BJ6&lt;=last_year_vis,isOrgDeclare)</f>
        <v>0</v>
      </c>
      <c r="BK2" s="503">
        <f>AND(BK6&lt;=last_year_vis,isOrgDeclare)</f>
        <v>0</v>
      </c>
      <c r="BL2" s="503">
        <f>BL6&lt;=last_year_vis</f>
        <v>0</v>
      </c>
      <c r="BM2" s="503">
        <f>AND(BM6&lt;=last_year_vis,isOrgDeclare)</f>
        <v>0</v>
      </c>
      <c r="BN2" s="503">
        <f>AND(BN6&lt;=last_year_vis,isOrgDeclare)</f>
        <v>0</v>
      </c>
      <c r="BO2" s="503">
        <f>BO6&lt;=last_year_vis</f>
        <v>0</v>
      </c>
      <c r="BP2" s="503">
        <f>AND(BP6&lt;=last_year_vis,isOrgDeclare)</f>
        <v>0</v>
      </c>
      <c r="BQ2" s="503">
        <f>AND(BQ6&lt;=last_year_vis,isOrgDeclare)</f>
        <v>0</v>
      </c>
      <c r="BR2" s="503">
        <f>BR6&lt;=last_year_vis</f>
        <v>0</v>
      </c>
      <c r="BS2" s="503">
        <f>AND(BS6&lt;=last_year_vis,isOrgDeclare)</f>
        <v>0</v>
      </c>
      <c r="BT2" s="503">
        <f>AND(BT6&lt;=last_year_vis,isOrgDeclare)</f>
        <v>0</v>
      </c>
      <c r="BU2" s="503">
        <f>BU6&lt;=last_year_vis</f>
        <v>0</v>
      </c>
      <c r="BV2" s="503">
        <f>AND(BV6&lt;=last_year_vis,isOrgDeclare)</f>
        <v>0</v>
      </c>
      <c r="BW2" s="503">
        <f>AND(BW6&lt;=last_year_vis,isOrgDeclare)</f>
        <v>0</v>
      </c>
      <c r="BX2" s="503">
        <f>BX6&lt;=last_year_vis</f>
        <v>0</v>
      </c>
      <c r="BY2" s="503">
        <f>AND(BY6&lt;=last_year_vis,isOrgDeclare)</f>
        <v>0</v>
      </c>
      <c r="BZ2" s="503">
        <f>AND(BZ6&lt;=last_year_vis,isOrgDeclare)</f>
        <v>0</v>
      </c>
      <c r="CA2" s="503">
        <f>CA6&lt;=last_year_vis</f>
        <v>0</v>
      </c>
      <c r="CB2" s="503">
        <f>AND(CB6&lt;=last_year_vis,isOrgDeclare)</f>
        <v>0</v>
      </c>
      <c r="CC2" s="503">
        <f>AND(CC6&lt;=last_year_vis,isOrgDeclare)</f>
        <v>0</v>
      </c>
      <c r="CD2" s="503">
        <f>CD6&lt;=last_year_vis</f>
        <v>0</v>
      </c>
      <c r="CE2" s="503">
        <f>AND(CE6&lt;=last_year_vis,isOrgDeclare)</f>
        <v>0</v>
      </c>
      <c r="CF2" s="503">
        <f>AND(CF6&lt;=last_year_vis,isOrgDeclare)</f>
        <v>0</v>
      </c>
      <c r="CG2" s="503">
        <f>CG6&lt;=last_year_vis</f>
        <v>0</v>
      </c>
      <c r="CH2" s="503">
        <f>AND(CH6&lt;=last_year_vis,isOrgDeclare)</f>
        <v>0</v>
      </c>
      <c r="CI2" s="503">
        <f>AND(CI6&lt;=last_year_vis,isOrgDeclare)</f>
        <v>0</v>
      </c>
      <c r="CJ2" s="503">
        <f>CJ6&lt;=last_year_vis</f>
        <v>0</v>
      </c>
      <c r="CK2" s="503">
        <f>AND(CK6&lt;=last_year_vis,isOrgDeclare)</f>
        <v>0</v>
      </c>
      <c r="CL2" s="503">
        <f>AND(CL6&lt;=last_year_vis,isOrgDeclare)</f>
        <v>0</v>
      </c>
      <c r="CM2" s="503">
        <f>CM6&lt;=last_year_vis</f>
        <v>0</v>
      </c>
      <c r="CN2" s="503">
        <f>AND(CN6&lt;=last_year_vis,isOrgDeclare)</f>
        <v>0</v>
      </c>
      <c r="CO2" s="503">
        <f>AND(CO6&lt;=last_year_vis,isOrgDeclare)</f>
        <v>0</v>
      </c>
      <c r="CP2" s="503">
        <f>CP6&lt;=last_year_vis</f>
        <v>0</v>
      </c>
      <c r="CQ2" s="503">
        <f>AND(CQ6&lt;=last_year_vis,isOrgDeclare)</f>
        <v>0</v>
      </c>
      <c r="CR2" s="503">
        <f>AND(CR6&lt;=last_year_vis,isOrgDeclare)</f>
        <v>0</v>
      </c>
      <c r="CS2" s="503">
        <f>CS6&lt;=last_year_vis</f>
        <v>0</v>
      </c>
      <c r="CT2" s="503">
        <f>AND(CT6&lt;=last_year_vis,isOrgDeclare)</f>
        <v>0</v>
      </c>
      <c r="CU2" s="503">
        <f>AND(CU6&lt;=last_year_vis,isOrgDeclare)</f>
        <v>0</v>
      </c>
      <c r="CV2" s="503">
        <f>CV6&lt;=last_year_vis</f>
        <v>0</v>
      </c>
      <c r="CW2" s="503">
        <f>AND(CW6&lt;=last_year_vis,isOrgDeclare)</f>
        <v>0</v>
      </c>
      <c r="CX2" s="503">
        <f>AND(CX6&lt;=last_year_vis,isOrgDeclare)</f>
        <v>0</v>
      </c>
      <c r="CY2" s="503">
        <f>CY6&lt;=last_year_vis</f>
        <v>0</v>
      </c>
      <c r="CZ2" s="503">
        <f>AND(CZ6&lt;=last_year_vis,isOrgDeclare)</f>
        <v>0</v>
      </c>
      <c r="DA2" s="503">
        <f>AND(DA6&lt;=last_year_vis,isOrgDeclare)</f>
        <v>0</v>
      </c>
      <c r="DB2" s="503">
        <f>DB6&lt;=last_year_vis</f>
        <v>0</v>
      </c>
      <c r="DC2" s="503">
        <f>AND(DC6&lt;=last_year_vis,isOrgDeclare)</f>
        <v>0</v>
      </c>
      <c r="DD2" s="503">
        <f>AND(DD6&lt;=last_year_vis,isOrgDeclare)</f>
        <v>0</v>
      </c>
      <c r="DE2" s="503">
        <f>DE6&lt;=last_year_vis</f>
        <v>0</v>
      </c>
      <c r="DF2" s="503">
        <f>AND(DF6&lt;=last_year_vis,isOrgDeclare)</f>
        <v>0</v>
      </c>
      <c r="DG2" s="503">
        <f>AND(DG6&lt;=last_year_vis,isOrgDeclare)</f>
        <v>0</v>
      </c>
      <c r="DH2" s="503">
        <f>DH6&lt;=last_year_vis</f>
        <v>0</v>
      </c>
      <c r="DI2" s="503">
        <f>AND(DI6&lt;=last_year_vis,isOrgDeclare)</f>
        <v>0</v>
      </c>
      <c r="DJ2" s="503">
        <f>AND(DJ6&lt;=last_year_vis,isOrgDeclare)</f>
        <v>0</v>
      </c>
      <c r="DK2" s="503">
        <f>DK6&lt;=last_year_vis</f>
        <v>0</v>
      </c>
      <c r="DL2" s="503">
        <f>AND(DL6&lt;=last_year_vis,isOrgDeclare)</f>
        <v>0</v>
      </c>
      <c r="DM2" s="503">
        <f>AND(DM6&lt;=last_year_vis,isOrgDeclare)</f>
        <v>0</v>
      </c>
      <c r="DN2" s="503">
        <f>DN6&lt;=last_year_vis</f>
        <v>0</v>
      </c>
      <c r="DO2" s="503">
        <f>AND(DO6&lt;=last_year_vis,isOrgDeclare)</f>
        <v>0</v>
      </c>
      <c r="DP2" s="503">
        <f>AND(DP6&lt;=last_year_vis,isOrgDeclare)</f>
        <v>0</v>
      </c>
      <c r="DQ2" s="503">
        <f>DQ6&lt;=last_year_vis</f>
        <v>0</v>
      </c>
      <c r="DR2" s="503">
        <f>AND(DR6&lt;=last_year_vis,isOrgDeclare)</f>
        <v>0</v>
      </c>
      <c r="DS2" s="503">
        <f>AND(DS6&lt;=last_year_vis,isOrgDeclare)</f>
        <v>0</v>
      </c>
      <c r="DT2" s="503">
        <f>DT6&lt;=last_year_vis</f>
        <v>0</v>
      </c>
      <c r="DU2" s="503">
        <f>AND(DU6&lt;=last_year_vis,isOrgDeclare)</f>
        <v>0</v>
      </c>
      <c r="DV2" s="503">
        <f>AND(DV6&lt;=last_year_vis,isOrgDeclare)</f>
        <v>0</v>
      </c>
      <c r="DW2" s="503">
        <f>DW6&lt;=last_year_vis</f>
        <v>0</v>
      </c>
      <c r="DX2" s="503">
        <f>AND(DX6&lt;=last_year_vis,isOrgDeclare)</f>
        <v>0</v>
      </c>
      <c r="DY2" s="503">
        <f>AND(DY6&lt;=last_year_vis,isOrgDeclare)</f>
        <v>0</v>
      </c>
      <c r="DZ2" s="503">
        <f>DZ6&lt;=last_year_vis</f>
        <v>0</v>
      </c>
      <c r="EA2" s="503">
        <f>AND(EA6&lt;=last_year_vis,isOrgDeclare)</f>
        <v>0</v>
      </c>
      <c r="EB2" s="503">
        <f>AND(EB6&lt;=last_year_vis,isOrgDeclare)</f>
        <v>0</v>
      </c>
      <c r="EC2" s="503">
        <f>EC6&lt;=last_year_vis</f>
        <v>0</v>
      </c>
      <c r="ED2" s="503">
        <f>AND(ED6&lt;=last_year_vis,isOrgDeclare)</f>
        <v>0</v>
      </c>
      <c r="EE2" s="503">
        <f>AND(EE6&lt;=last_year_vis,isOrgDeclare)</f>
        <v>0</v>
      </c>
      <c r="EF2" s="503">
        <f>EF6&lt;=last_year_vis</f>
        <v>0</v>
      </c>
      <c r="EG2" s="503">
        <f>AND(EG6&lt;=last_year_vis,isOrgDeclare)</f>
        <v>0</v>
      </c>
      <c r="EH2" s="503">
        <f>AND(EH6&lt;=last_year_vis,isOrgDeclare)</f>
        <v>0</v>
      </c>
      <c r="EI2" s="503">
        <f>EI6&lt;=last_year_vis</f>
        <v>0</v>
      </c>
      <c r="EJ2" s="503">
        <f>AND(EJ6&lt;=last_year_vis,isOrgDeclare)</f>
        <v>0</v>
      </c>
      <c r="EK2" s="503">
        <f>AND(EK6&lt;=last_year_vis,isOrgDeclare)</f>
        <v>0</v>
      </c>
      <c r="EL2" s="503">
        <f>EL6&lt;=last_year_vis</f>
        <v>0</v>
      </c>
      <c r="EM2" s="503">
        <f>AND(EM6&lt;=last_year_vis,isOrgDeclare)</f>
        <v>0</v>
      </c>
      <c r="EN2" s="503">
        <f>AND(EN6&lt;=last_year_vis,isOrgDeclare)</f>
        <v>0</v>
      </c>
      <c r="EO2" s="503">
        <f>EO6&lt;=last_year_vis</f>
        <v>0</v>
      </c>
      <c r="EP2" s="503">
        <f>AND(EP6&lt;=last_year_vis,isOrgDeclare)</f>
        <v>0</v>
      </c>
      <c r="EQ2" s="503">
        <f>AND(EQ6&lt;=last_year_vis,isOrgDeclare)</f>
        <v>0</v>
      </c>
      <c r="ER2" s="503">
        <f>ER6&lt;=last_year_vis</f>
        <v>0</v>
      </c>
      <c r="ES2" s="503">
        <f>AND(ES6&lt;=last_year_vis,isOrgDeclare)</f>
        <v>0</v>
      </c>
      <c r="ET2" s="503">
        <f>AND(ET6&lt;=last_year_vis,isOrgDeclare)</f>
        <v>0</v>
      </c>
      <c r="EU2" s="503">
        <f>EU6&lt;=last_year_vis</f>
        <v>0</v>
      </c>
      <c r="EV2" s="503">
        <f>AND(EV6&lt;=last_year_vis,isOrgDeclare)</f>
        <v>0</v>
      </c>
      <c r="EW2" s="503">
        <f>AND(EW6&lt;=last_year_vis,isOrgDeclare)</f>
        <v>0</v>
      </c>
      <c r="EX2" s="503">
        <f>EX6&lt;=last_year_vis</f>
        <v>0</v>
      </c>
      <c r="EY2" s="503">
        <f>AND(EY6&lt;=last_year_vis,isOrgDeclare)</f>
        <v>0</v>
      </c>
      <c r="EZ2" s="503">
        <f>AND(EZ6&lt;=last_year_vis,isOrgDeclare)</f>
        <v>0</v>
      </c>
      <c r="FA2" s="503">
        <f>FA6&lt;=last_year_vis</f>
        <v>0</v>
      </c>
      <c r="FB2" s="503">
        <f>AND(FB6&lt;=last_year_vis,isOrgDeclare)</f>
        <v>0</v>
      </c>
      <c r="FC2" s="503">
        <f>AND(FC6&lt;=last_year_vis,isOrgDeclare)</f>
        <v>0</v>
      </c>
      <c r="FD2" s="503">
        <f>FD6&lt;=last_year_vis</f>
        <v>0</v>
      </c>
      <c r="FE2" s="503">
        <f>AND(FE6&lt;=last_year_vis,isOrgDeclare)</f>
        <v>0</v>
      </c>
      <c r="FF2" s="503">
        <f>AND(FF6&lt;=last_year_vis,isOrgDeclare)</f>
        <v>0</v>
      </c>
      <c r="FG2" s="503">
        <f>FG6&lt;=last_year_vis</f>
        <v>0</v>
      </c>
      <c r="FH2" s="503">
        <f>AND(FH6&lt;=last_year_vis,isOrgDeclare)</f>
        <v>0</v>
      </c>
      <c r="FI2" s="503">
        <f>AND(FI6&lt;=last_year_vis,isOrgDeclare)</f>
        <v>0</v>
      </c>
      <c r="FJ2" s="503">
        <f>FJ6&lt;=last_year_vis</f>
        <v>0</v>
      </c>
      <c r="FK2" s="503">
        <f>AND(FK6&lt;=last_year_vis,isOrgDeclare)</f>
        <v>0</v>
      </c>
      <c r="FL2" s="503">
        <f>AND(FL6&lt;=last_year_vis,isOrgDeclare)</f>
        <v>0</v>
      </c>
      <c r="FM2" s="503">
        <f>FM6&lt;=last_year_vis</f>
        <v>0</v>
      </c>
      <c r="FN2" s="503">
        <f>AND(FN6&lt;=last_year_vis,isOrgDeclare)</f>
        <v>0</v>
      </c>
      <c r="FO2" s="503">
        <f>AND(FO6&lt;=last_year_vis,isOrgDeclare)</f>
        <v>0</v>
      </c>
      <c r="FP2" s="503">
        <f>FP6&lt;=last_year_vis</f>
        <v>0</v>
      </c>
      <c r="FQ2" s="503">
        <f>AND(FQ6&lt;=last_year_vis,isOrgDeclare)</f>
        <v>0</v>
      </c>
      <c r="FR2" s="503">
        <f>AND(FR6&lt;=last_year_vis,isOrgDeclare)</f>
        <v>0</v>
      </c>
      <c r="FS2" s="503">
        <f>FS6&lt;=last_year_vis</f>
        <v>0</v>
      </c>
      <c r="FT2" s="503">
        <f>AND(FT6&lt;=last_year_vis,isOrgDeclare)</f>
        <v>0</v>
      </c>
      <c r="FU2" s="503">
        <f>AND(FU6&lt;=last_year_vis,isOrgDeclare)</f>
        <v>0</v>
      </c>
      <c r="FV2" s="503">
        <f>FV6&lt;=last_year_vis</f>
        <v>0</v>
      </c>
      <c r="FW2" s="503">
        <f>AND(FW6&lt;=last_year_vis,isOrgDeclare)</f>
        <v>0</v>
      </c>
      <c r="FZ2" s="1024"/>
      <c r="GA2" s="1024"/>
      <c r="GB2" s="1024"/>
      <c r="GC2" s="1037"/>
      <c r="GD2" s="1037"/>
    </row>
    <row customHeight="1" ht="11.25" hidden="1">
      <c r="E3" s="94"/>
      <c r="AG3" s="1328"/>
      <c r="AH3" s="1328"/>
      <c r="AI3" s="1328"/>
      <c r="AJ3" s="1328"/>
      <c r="AK3" s="1328"/>
      <c r="AL3" s="1328"/>
      <c r="AM3" s="1328"/>
      <c r="AN3" s="1328"/>
      <c r="AO3" s="1328"/>
      <c r="AP3" s="1328"/>
      <c r="AQ3" s="1328"/>
      <c r="AR3" s="1328"/>
      <c r="AS3" s="1328"/>
      <c r="AT3" s="1328"/>
      <c r="AU3" s="1328"/>
      <c r="AV3" s="1328"/>
      <c r="AW3" s="1328"/>
      <c r="AX3" s="1328"/>
      <c r="AY3" s="1328"/>
      <c r="AZ3" s="1328"/>
      <c r="BA3" s="1328"/>
      <c r="BB3" s="1328"/>
      <c r="BC3" s="1328"/>
      <c r="BD3" s="1328"/>
      <c r="BE3" s="1328"/>
      <c r="BF3" s="1328"/>
      <c r="BG3" s="1328"/>
      <c r="BH3" s="1328"/>
      <c r="BI3" s="1328"/>
      <c r="BJ3" s="1328"/>
      <c r="BK3" s="1328"/>
      <c r="BL3" s="1328"/>
      <c r="BM3" s="1328"/>
      <c r="BN3" s="1328"/>
      <c r="BO3" s="1328"/>
      <c r="BP3" s="1328"/>
      <c r="BQ3" s="1328"/>
      <c r="BR3" s="1328"/>
      <c r="BS3" s="1328"/>
      <c r="BT3" s="1328"/>
      <c r="BU3" s="1328"/>
      <c r="BV3" s="1328"/>
      <c r="BW3" s="1328"/>
      <c r="BX3" s="1328"/>
      <c r="BY3" s="1328"/>
      <c r="BZ3" s="1328"/>
      <c r="CA3" s="1328"/>
      <c r="CB3" s="1328"/>
      <c r="CC3" s="1328"/>
      <c r="CD3" s="1328"/>
      <c r="CE3" s="1328"/>
      <c r="CF3" s="1328"/>
      <c r="CG3" s="1328"/>
      <c r="CH3" s="1328"/>
      <c r="CI3" s="1328"/>
      <c r="CJ3" s="1328"/>
      <c r="CK3" s="1328"/>
      <c r="CL3" s="1328"/>
      <c r="CM3" s="1328"/>
      <c r="CN3" s="1328"/>
      <c r="CO3" s="1328"/>
      <c r="CP3" s="1328"/>
      <c r="CQ3" s="1328"/>
      <c r="CR3" s="1328"/>
      <c r="CS3" s="1328"/>
      <c r="CT3" s="1328"/>
      <c r="CU3" s="1328"/>
      <c r="CV3" s="1328"/>
      <c r="CW3" s="1328"/>
      <c r="CX3" s="1328"/>
      <c r="CY3" s="1328"/>
      <c r="CZ3" s="1328"/>
      <c r="DA3" s="1328"/>
      <c r="DB3" s="1328"/>
      <c r="DC3" s="1328"/>
      <c r="DD3" s="1328"/>
      <c r="DE3" s="1328"/>
      <c r="DF3" s="1328"/>
      <c r="DG3" s="1328"/>
      <c r="DH3" s="1328"/>
      <c r="DI3" s="1328"/>
      <c r="DJ3" s="1328"/>
      <c r="DK3" s="1328"/>
      <c r="DL3" s="1328"/>
      <c r="DM3" s="1328"/>
      <c r="DN3" s="1328"/>
      <c r="DO3" s="1328"/>
      <c r="DP3" s="1328"/>
      <c r="DQ3" s="1328"/>
      <c r="DR3" s="1328"/>
      <c r="DS3" s="1328"/>
      <c r="DT3" s="1328"/>
      <c r="DU3" s="1328"/>
      <c r="DV3" s="1328"/>
      <c r="DW3" s="1328"/>
      <c r="DX3" s="1328"/>
      <c r="DY3" s="1328"/>
      <c r="DZ3" s="1328"/>
      <c r="EA3" s="1328"/>
      <c r="EB3" s="1328"/>
      <c r="EC3" s="1328"/>
      <c r="ED3" s="1328"/>
      <c r="EE3" s="1328"/>
      <c r="EF3" s="1328"/>
      <c r="EG3" s="1328"/>
      <c r="EH3" s="1328"/>
      <c r="EI3" s="1328"/>
      <c r="EJ3" s="1328"/>
      <c r="EK3" s="1328"/>
      <c r="EL3" s="1328"/>
      <c r="EM3" s="1328"/>
      <c r="EN3" s="1328"/>
      <c r="EO3" s="1328"/>
      <c r="EP3" s="1328"/>
      <c r="EQ3" s="1328"/>
      <c r="ER3" s="1328"/>
      <c r="ES3" s="1328"/>
      <c r="ET3" s="1328"/>
      <c r="EU3" s="1328"/>
      <c r="EV3" s="1328"/>
      <c r="EW3" s="1328"/>
      <c r="EX3" s="1328"/>
      <c r="EY3" s="1328"/>
      <c r="EZ3" s="1328"/>
      <c r="FA3" s="1328"/>
      <c r="FB3" s="1328"/>
      <c r="FC3" s="1328"/>
      <c r="FD3" s="1328"/>
      <c r="FE3" s="1328"/>
      <c r="FF3" s="1328"/>
      <c r="FG3" s="1328"/>
      <c r="FH3" s="1328"/>
      <c r="FI3" s="1328"/>
      <c r="FJ3" s="1328"/>
      <c r="FK3" s="1328"/>
      <c r="FL3" s="1328"/>
      <c r="FM3" s="1328"/>
      <c r="FN3" s="1328"/>
      <c r="FO3" s="1328"/>
      <c r="FP3" s="1328"/>
      <c r="FQ3" s="1328"/>
      <c r="FR3" s="1328"/>
      <c r="FS3" s="1328"/>
      <c r="FT3" s="1328"/>
      <c r="FU3" s="1328"/>
      <c r="FV3" s="1328"/>
      <c r="FW3" s="1328"/>
    </row>
    <row customHeight="1" ht="11.25" hidden="1">
      <c r="E4" s="94"/>
      <c r="AG4" s="1328"/>
      <c r="AH4" s="1328"/>
      <c r="AI4" s="1328"/>
      <c r="AJ4" s="1328"/>
      <c r="AK4" s="1328"/>
      <c r="AL4" s="1328"/>
      <c r="AM4" s="1328"/>
      <c r="AN4" s="1328"/>
      <c r="AO4" s="1328"/>
      <c r="AP4" s="1328"/>
      <c r="AQ4" s="1328"/>
      <c r="AR4" s="1328"/>
      <c r="AS4" s="1328"/>
      <c r="AT4" s="1328"/>
      <c r="AU4" s="1328"/>
      <c r="AV4" s="1328"/>
      <c r="AW4" s="1328"/>
      <c r="AX4" s="1328"/>
      <c r="AY4" s="1328"/>
      <c r="AZ4" s="1328"/>
      <c r="BA4" s="1328"/>
      <c r="BB4" s="1328"/>
      <c r="BC4" s="1328"/>
      <c r="BD4" s="1328"/>
      <c r="BE4" s="1328"/>
      <c r="BF4" s="1328"/>
      <c r="BG4" s="1328"/>
      <c r="BH4" s="1328"/>
      <c r="BI4" s="1328"/>
      <c r="BJ4" s="1328"/>
      <c r="BK4" s="1328"/>
      <c r="BL4" s="1328"/>
      <c r="BM4" s="1328"/>
      <c r="BN4" s="1328"/>
      <c r="BO4" s="1328"/>
      <c r="BP4" s="1328"/>
      <c r="BQ4" s="1328"/>
      <c r="BR4" s="1328"/>
      <c r="BS4" s="1328"/>
      <c r="BT4" s="1328"/>
      <c r="BU4" s="1328"/>
      <c r="BV4" s="1328"/>
      <c r="BW4" s="1328"/>
      <c r="BX4" s="1328"/>
      <c r="BY4" s="1328"/>
      <c r="BZ4" s="1328"/>
      <c r="CA4" s="1328"/>
      <c r="CB4" s="1328"/>
      <c r="CC4" s="1328"/>
      <c r="CD4" s="1328"/>
      <c r="CE4" s="1328"/>
      <c r="CF4" s="1328"/>
      <c r="CG4" s="1328"/>
      <c r="CH4" s="1328"/>
      <c r="CI4" s="1328"/>
      <c r="CJ4" s="1328"/>
      <c r="CK4" s="1328"/>
      <c r="CL4" s="1328"/>
      <c r="CM4" s="1328"/>
      <c r="CN4" s="1328"/>
      <c r="CO4" s="1328"/>
      <c r="CP4" s="1328"/>
      <c r="CQ4" s="1328"/>
      <c r="CR4" s="1328"/>
      <c r="CS4" s="1328"/>
      <c r="CT4" s="1328"/>
      <c r="CU4" s="1328"/>
      <c r="CV4" s="1328"/>
      <c r="CW4" s="1328"/>
      <c r="CX4" s="1328"/>
      <c r="CY4" s="1328"/>
      <c r="CZ4" s="1328"/>
      <c r="DA4" s="1328"/>
      <c r="DB4" s="1328"/>
      <c r="DC4" s="1328"/>
      <c r="DD4" s="1328"/>
      <c r="DE4" s="1328"/>
      <c r="DF4" s="1328"/>
      <c r="DG4" s="1328"/>
      <c r="DH4" s="1328"/>
      <c r="DI4" s="1328"/>
      <c r="DJ4" s="1328"/>
      <c r="DK4" s="1328"/>
      <c r="DL4" s="1328"/>
      <c r="DM4" s="1328"/>
      <c r="DN4" s="1328"/>
      <c r="DO4" s="1328"/>
      <c r="DP4" s="1328"/>
      <c r="DQ4" s="1328"/>
      <c r="DR4" s="1328"/>
      <c r="DS4" s="1328"/>
      <c r="DT4" s="1328"/>
      <c r="DU4" s="1328"/>
      <c r="DV4" s="1328"/>
      <c r="DW4" s="1328"/>
      <c r="DX4" s="1328"/>
      <c r="DY4" s="1328"/>
      <c r="DZ4" s="1328"/>
      <c r="EA4" s="1328"/>
      <c r="EB4" s="1328"/>
      <c r="EC4" s="1328"/>
      <c r="ED4" s="1328"/>
      <c r="EE4" s="1328"/>
      <c r="EF4" s="1328"/>
      <c r="EG4" s="1328"/>
      <c r="EH4" s="1328"/>
      <c r="EI4" s="1328"/>
      <c r="EJ4" s="1328"/>
      <c r="EK4" s="1328"/>
      <c r="EL4" s="1328"/>
      <c r="EM4" s="1328"/>
      <c r="EN4" s="1328"/>
      <c r="EO4" s="1328"/>
      <c r="EP4" s="1328"/>
      <c r="EQ4" s="1328"/>
      <c r="ER4" s="1328"/>
      <c r="ES4" s="1328"/>
      <c r="ET4" s="1328"/>
      <c r="EU4" s="1328"/>
      <c r="EV4" s="1328"/>
      <c r="EW4" s="1328"/>
      <c r="EX4" s="1328"/>
      <c r="EY4" s="1328"/>
      <c r="EZ4" s="1328"/>
      <c r="FA4" s="1328"/>
      <c r="FB4" s="1328"/>
      <c r="FC4" s="1328"/>
      <c r="FD4" s="1328"/>
      <c r="FE4" s="1328"/>
      <c r="FF4" s="1328"/>
      <c r="FG4" s="1328"/>
      <c r="FH4" s="1328"/>
      <c r="FI4" s="1328"/>
      <c r="FJ4" s="1328"/>
      <c r="FK4" s="1328"/>
      <c r="FL4" s="1328"/>
      <c r="FM4" s="1328"/>
      <c r="FN4" s="1328"/>
      <c r="FO4" s="1328"/>
      <c r="FP4" s="1328"/>
      <c r="FQ4" s="1328"/>
      <c r="FR4" s="1328"/>
      <c r="FS4" s="1328"/>
      <c r="FT4" s="1328"/>
      <c r="FU4" s="1328"/>
      <c r="FV4" s="1328"/>
      <c r="FW4" s="1328"/>
    </row>
    <row s="1329" customFormat="1" customHeight="1" ht="11.25" hidden="1">
      <c r="A5" s="94"/>
      <c r="B5" s="846"/>
      <c r="C5" s="94"/>
      <c r="D5" s="94"/>
      <c r="E5" s="637" t="s">
        <v>20</v>
      </c>
      <c r="F5" s="915"/>
      <c r="AA5" s="637">
        <v>3</v>
      </c>
      <c r="AB5" s="699">
        <v>56</v>
      </c>
      <c r="AC5" s="635">
        <v>12.57</v>
      </c>
      <c r="AD5" s="637">
        <v>14.14</v>
      </c>
      <c r="AE5" s="637">
        <v>14.14</v>
      </c>
      <c r="AF5" s="637">
        <v>14.14</v>
      </c>
      <c r="AG5" s="637">
        <v>14.14</v>
      </c>
      <c r="AH5" s="637">
        <v>14.14</v>
      </c>
      <c r="AI5" s="637">
        <v>14.14</v>
      </c>
      <c r="AJ5" s="637">
        <v>14.14</v>
      </c>
      <c r="AK5" s="637">
        <v>14.14</v>
      </c>
      <c r="AL5" s="637">
        <v>14.14</v>
      </c>
      <c r="AM5" s="637">
        <v>14.14</v>
      </c>
      <c r="AN5" s="637">
        <v>14.14</v>
      </c>
      <c r="AO5" s="637">
        <v>14.14</v>
      </c>
      <c r="AP5" s="637">
        <v>14.14</v>
      </c>
      <c r="AQ5" s="637">
        <v>14.14</v>
      </c>
      <c r="AR5" s="637">
        <v>14.14</v>
      </c>
      <c r="AS5" s="637">
        <v>14.14</v>
      </c>
      <c r="AT5" s="637">
        <v>14.14</v>
      </c>
      <c r="AU5" s="637">
        <v>14.14</v>
      </c>
      <c r="AV5" s="637">
        <v>14.14</v>
      </c>
      <c r="AW5" s="637">
        <v>14.14</v>
      </c>
      <c r="AX5" s="637">
        <v>14.14</v>
      </c>
      <c r="AY5" s="637">
        <v>14.14</v>
      </c>
      <c r="AZ5" s="637">
        <v>14.14</v>
      </c>
      <c r="BA5" s="637">
        <v>14.14</v>
      </c>
      <c r="BB5" s="637">
        <v>14.14</v>
      </c>
      <c r="BC5" s="637">
        <v>14.14</v>
      </c>
      <c r="BD5" s="637">
        <v>14.14</v>
      </c>
      <c r="BE5" s="637">
        <v>14.14</v>
      </c>
      <c r="BF5" s="637">
        <v>14.14</v>
      </c>
      <c r="BG5" s="637">
        <v>14.14</v>
      </c>
      <c r="BH5" s="637">
        <v>14.14</v>
      </c>
      <c r="BI5" s="637">
        <v>14.14</v>
      </c>
      <c r="BJ5" s="637">
        <v>14.14</v>
      </c>
      <c r="BK5" s="637">
        <v>14.14</v>
      </c>
      <c r="BL5" s="637">
        <v>14.14</v>
      </c>
      <c r="BM5" s="637">
        <v>14.14</v>
      </c>
      <c r="BN5" s="637">
        <v>14.14</v>
      </c>
      <c r="BO5" s="637">
        <v>14.14</v>
      </c>
      <c r="BP5" s="637">
        <v>14.14</v>
      </c>
      <c r="BQ5" s="637">
        <v>14.14</v>
      </c>
      <c r="BR5" s="637">
        <v>14.14</v>
      </c>
      <c r="BS5" s="637">
        <v>14.14</v>
      </c>
      <c r="BT5" s="637">
        <v>14.14</v>
      </c>
      <c r="BU5" s="637">
        <v>14.14</v>
      </c>
      <c r="BV5" s="637">
        <v>14.14</v>
      </c>
      <c r="BW5" s="637">
        <v>14.14</v>
      </c>
      <c r="BX5" s="637">
        <v>14.14</v>
      </c>
      <c r="BY5" s="637">
        <v>14.14</v>
      </c>
      <c r="BZ5" s="637">
        <v>14.14</v>
      </c>
      <c r="CA5" s="637">
        <v>14.14</v>
      </c>
      <c r="CB5" s="637">
        <v>14.14</v>
      </c>
      <c r="CC5" s="637">
        <v>14.14</v>
      </c>
      <c r="CD5" s="637">
        <v>14.14</v>
      </c>
      <c r="CE5" s="637">
        <v>14.14</v>
      </c>
      <c r="CF5" s="637">
        <v>14.14</v>
      </c>
      <c r="CG5" s="637">
        <v>14.14</v>
      </c>
      <c r="CH5" s="637">
        <v>14.14</v>
      </c>
      <c r="CI5" s="637">
        <v>14.14</v>
      </c>
      <c r="CJ5" s="637">
        <v>14.14</v>
      </c>
      <c r="CK5" s="637">
        <v>14.14</v>
      </c>
      <c r="CL5" s="637">
        <v>14.14</v>
      </c>
      <c r="CM5" s="637">
        <v>14.14</v>
      </c>
      <c r="CN5" s="637">
        <v>14.14</v>
      </c>
      <c r="CO5" s="637">
        <v>14.14</v>
      </c>
      <c r="CP5" s="637">
        <v>14.14</v>
      </c>
      <c r="CQ5" s="637">
        <v>14.14</v>
      </c>
      <c r="CR5" s="637">
        <v>14.14</v>
      </c>
      <c r="CS5" s="637">
        <v>14.14</v>
      </c>
      <c r="CT5" s="637">
        <v>14.14</v>
      </c>
      <c r="CU5" s="637">
        <v>14.14</v>
      </c>
      <c r="CV5" s="637">
        <v>14.14</v>
      </c>
      <c r="CW5" s="637">
        <v>14.14</v>
      </c>
      <c r="CX5" s="637">
        <v>14.14</v>
      </c>
      <c r="CY5" s="637">
        <v>14.14</v>
      </c>
      <c r="CZ5" s="637">
        <v>14.14</v>
      </c>
      <c r="DA5" s="637">
        <v>14.14</v>
      </c>
      <c r="DB5" s="637">
        <v>14.14</v>
      </c>
      <c r="DC5" s="637">
        <v>14.14</v>
      </c>
      <c r="DD5" s="637">
        <v>14.14</v>
      </c>
      <c r="DE5" s="637">
        <v>14.14</v>
      </c>
      <c r="DF5" s="637">
        <v>14.14</v>
      </c>
      <c r="DG5" s="637">
        <v>14.14</v>
      </c>
      <c r="DH5" s="637">
        <v>14.14</v>
      </c>
      <c r="DI5" s="637">
        <v>14.14</v>
      </c>
      <c r="DJ5" s="637">
        <v>14.14</v>
      </c>
      <c r="DK5" s="637">
        <v>14.14</v>
      </c>
      <c r="DL5" s="637">
        <v>14.14</v>
      </c>
      <c r="DM5" s="637">
        <v>14.14</v>
      </c>
      <c r="DN5" s="637">
        <v>14.14</v>
      </c>
      <c r="DO5" s="637">
        <v>14.14</v>
      </c>
      <c r="DP5" s="637">
        <v>14.14</v>
      </c>
      <c r="DQ5" s="637">
        <v>14.14</v>
      </c>
      <c r="DR5" s="637">
        <v>14.14</v>
      </c>
      <c r="DS5" s="637">
        <v>14.14</v>
      </c>
      <c r="DT5" s="637">
        <v>14.14</v>
      </c>
      <c r="DU5" s="637">
        <v>14.14</v>
      </c>
      <c r="DV5" s="637">
        <v>14.14</v>
      </c>
      <c r="DW5" s="637">
        <v>14.14</v>
      </c>
      <c r="DX5" s="637">
        <v>14.14</v>
      </c>
      <c r="DY5" s="637">
        <v>14.14</v>
      </c>
      <c r="DZ5" s="637">
        <v>14.14</v>
      </c>
      <c r="EA5" s="637">
        <v>14.14</v>
      </c>
      <c r="EB5" s="637">
        <v>14.14</v>
      </c>
      <c r="EC5" s="637">
        <v>14.14</v>
      </c>
      <c r="ED5" s="637">
        <v>14.14</v>
      </c>
      <c r="EE5" s="637">
        <v>14.14</v>
      </c>
      <c r="EF5" s="637">
        <v>14.14</v>
      </c>
      <c r="EG5" s="637">
        <v>14.14</v>
      </c>
      <c r="EH5" s="637">
        <v>14.14</v>
      </c>
      <c r="EI5" s="637">
        <v>14.14</v>
      </c>
      <c r="EJ5" s="637">
        <v>14.14</v>
      </c>
      <c r="EK5" s="637">
        <v>14.14</v>
      </c>
      <c r="EL5" s="637">
        <v>14.14</v>
      </c>
      <c r="EM5" s="637">
        <v>14.14</v>
      </c>
      <c r="EN5" s="637">
        <v>14.14</v>
      </c>
      <c r="EO5" s="637">
        <v>14.14</v>
      </c>
      <c r="EP5" s="637">
        <v>14.14</v>
      </c>
      <c r="EQ5" s="637">
        <v>14.14</v>
      </c>
      <c r="ER5" s="637">
        <v>14.14</v>
      </c>
      <c r="ES5" s="637">
        <v>14.14</v>
      </c>
      <c r="ET5" s="637">
        <v>14.14</v>
      </c>
      <c r="EU5" s="637">
        <v>14.14</v>
      </c>
      <c r="EV5" s="637">
        <v>14.14</v>
      </c>
      <c r="EW5" s="637">
        <v>14.14</v>
      </c>
      <c r="EX5" s="637">
        <v>14.14</v>
      </c>
      <c r="EY5" s="637">
        <v>14.14</v>
      </c>
      <c r="EZ5" s="637">
        <v>14.14</v>
      </c>
      <c r="FA5" s="637">
        <v>14.14</v>
      </c>
      <c r="FB5" s="637">
        <v>14.14</v>
      </c>
      <c r="FC5" s="637">
        <v>14.14</v>
      </c>
      <c r="FD5" s="637">
        <v>14.14</v>
      </c>
      <c r="FE5" s="637">
        <v>14.14</v>
      </c>
      <c r="FF5" s="637">
        <v>14.14</v>
      </c>
      <c r="FG5" s="637">
        <v>14.14</v>
      </c>
      <c r="FH5" s="637">
        <v>14.14</v>
      </c>
      <c r="FI5" s="637">
        <v>14.14</v>
      </c>
      <c r="FJ5" s="637">
        <v>14.14</v>
      </c>
      <c r="FK5" s="637">
        <v>14.14</v>
      </c>
      <c r="FL5" s="637">
        <v>14.14</v>
      </c>
      <c r="FM5" s="637">
        <v>14.14</v>
      </c>
      <c r="FN5" s="637">
        <v>14.14</v>
      </c>
      <c r="FO5" s="637">
        <v>14.14</v>
      </c>
      <c r="FP5" s="637">
        <v>14.14</v>
      </c>
      <c r="FQ5" s="637">
        <v>14.14</v>
      </c>
      <c r="FR5" s="637">
        <v>14.14</v>
      </c>
      <c r="FS5" s="637">
        <v>14.14</v>
      </c>
      <c r="FT5" s="637">
        <v>14.14</v>
      </c>
      <c r="FU5" s="637">
        <v>14.14</v>
      </c>
      <c r="FV5" s="637">
        <v>14.14</v>
      </c>
      <c r="FW5" s="637">
        <v>14.14</v>
      </c>
      <c r="FX5" s="637">
        <v>3</v>
      </c>
      <c r="FZ5" s="1023"/>
      <c r="GA5" s="1023"/>
      <c r="GB5" s="1023"/>
    </row>
    <row customHeight="1" ht="11.25" hidden="1">
      <c r="A6" s="94" t="s">
        <v>371</v>
      </c>
      <c r="AD6" s="94" cm="1" t="str">
        <f t="array" ref="AD6:AD6">god</f>
        <v>2026</v>
      </c>
      <c r="AE6" s="94" cm="1" t="str">
        <f t="array" ref="AE6:AE6">god</f>
        <v>2026</v>
      </c>
      <c r="AF6" s="94" cm="1" t="str">
        <f t="array" ref="AF6:AF6">god</f>
        <v>2026</v>
      </c>
      <c r="AG6" s="94">
        <f>god+1</f>
        <v>2027</v>
      </c>
      <c r="AH6" s="94">
        <f>god+1</f>
        <v>2027</v>
      </c>
      <c r="AI6" s="94">
        <f>god+1</f>
        <v>2027</v>
      </c>
      <c r="AJ6" s="94">
        <f>god+2</f>
        <v>2028</v>
      </c>
      <c r="AK6" s="94">
        <f>god+2</f>
        <v>2028</v>
      </c>
      <c r="AL6" s="94">
        <f>god+2</f>
        <v>2028</v>
      </c>
      <c r="AM6" s="94">
        <f>god+3</f>
        <v>2029</v>
      </c>
      <c r="AN6" s="94">
        <f>god+3</f>
        <v>2029</v>
      </c>
      <c r="AO6" s="94">
        <f>god+3</f>
        <v>2029</v>
      </c>
      <c r="AP6" s="94">
        <f>god+4</f>
        <v>2030</v>
      </c>
      <c r="AQ6" s="94">
        <f>god+4</f>
        <v>2030</v>
      </c>
      <c r="AR6" s="94">
        <f>god+4</f>
        <v>2030</v>
      </c>
      <c r="AS6" s="94">
        <f>god+5</f>
        <v>2031</v>
      </c>
      <c r="AT6" s="94">
        <f>god+5</f>
        <v>2031</v>
      </c>
      <c r="AU6" s="94">
        <f>god+5</f>
        <v>2031</v>
      </c>
      <c r="AV6" s="94">
        <f>god+6</f>
        <v>2032</v>
      </c>
      <c r="AW6" s="94">
        <f>god+6</f>
        <v>2032</v>
      </c>
      <c r="AX6" s="94">
        <f>god+6</f>
        <v>2032</v>
      </c>
      <c r="AY6" s="94">
        <f>god+7</f>
        <v>2033</v>
      </c>
      <c r="AZ6" s="94">
        <f>god+7</f>
        <v>2033</v>
      </c>
      <c r="BA6" s="94">
        <f>god+7</f>
        <v>2033</v>
      </c>
      <c r="BB6" s="94">
        <f>god+8</f>
        <v>2034</v>
      </c>
      <c r="BC6" s="94">
        <f>god+8</f>
        <v>2034</v>
      </c>
      <c r="BD6" s="94">
        <f>god+8</f>
        <v>2034</v>
      </c>
      <c r="BE6" s="94">
        <f>god+9</f>
        <v>2035</v>
      </c>
      <c r="BF6" s="94">
        <f>god+9</f>
        <v>2035</v>
      </c>
      <c r="BG6" s="94">
        <f>god+9</f>
        <v>2035</v>
      </c>
      <c r="BH6" s="94">
        <f>god+10</f>
        <v>2036</v>
      </c>
      <c r="BI6" s="94">
        <f>god+10</f>
        <v>2036</v>
      </c>
      <c r="BJ6" s="94">
        <f>god+10</f>
        <v>2036</v>
      </c>
      <c r="BK6" s="94">
        <f>god+11</f>
        <v>2037</v>
      </c>
      <c r="BL6" s="94">
        <f>god+11</f>
        <v>2037</v>
      </c>
      <c r="BM6" s="94">
        <f>god+11</f>
        <v>2037</v>
      </c>
      <c r="BN6" s="94">
        <f>god+12</f>
        <v>2038</v>
      </c>
      <c r="BO6" s="94">
        <f>god+12</f>
        <v>2038</v>
      </c>
      <c r="BP6" s="94">
        <f>god+12</f>
        <v>2038</v>
      </c>
      <c r="BQ6" s="94">
        <f>god+13</f>
        <v>2039</v>
      </c>
      <c r="BR6" s="94">
        <f>god+13</f>
        <v>2039</v>
      </c>
      <c r="BS6" s="94">
        <f>god+13</f>
        <v>2039</v>
      </c>
      <c r="BT6" s="94">
        <f>god+14</f>
        <v>2040</v>
      </c>
      <c r="BU6" s="94">
        <f>god+14</f>
        <v>2040</v>
      </c>
      <c r="BV6" s="94">
        <f>god+14</f>
        <v>2040</v>
      </c>
      <c r="BW6" s="94">
        <f>god+15</f>
        <v>2041</v>
      </c>
      <c r="BX6" s="94">
        <f>god+15</f>
        <v>2041</v>
      </c>
      <c r="BY6" s="94">
        <f>god+15</f>
        <v>2041</v>
      </c>
      <c r="BZ6" s="94">
        <f>god+16</f>
        <v>2042</v>
      </c>
      <c r="CA6" s="94">
        <f>god+16</f>
        <v>2042</v>
      </c>
      <c r="CB6" s="94">
        <f>god+16</f>
        <v>2042</v>
      </c>
      <c r="CC6" s="94">
        <f>god+17</f>
        <v>2043</v>
      </c>
      <c r="CD6" s="94">
        <f>god+17</f>
        <v>2043</v>
      </c>
      <c r="CE6" s="94">
        <f>god+17</f>
        <v>2043</v>
      </c>
      <c r="CF6" s="94">
        <f>god+18</f>
        <v>2044</v>
      </c>
      <c r="CG6" s="94">
        <f>god+18</f>
        <v>2044</v>
      </c>
      <c r="CH6" s="94">
        <f>god+18</f>
        <v>2044</v>
      </c>
      <c r="CI6" s="94">
        <f>god+19</f>
        <v>2045</v>
      </c>
      <c r="CJ6" s="94">
        <f>god+19</f>
        <v>2045</v>
      </c>
      <c r="CK6" s="94">
        <f>god+19</f>
        <v>2045</v>
      </c>
      <c r="CL6" s="94">
        <f>god+20</f>
        <v>2046</v>
      </c>
      <c r="CM6" s="94">
        <f>god+20</f>
        <v>2046</v>
      </c>
      <c r="CN6" s="94">
        <f>god+20</f>
        <v>2046</v>
      </c>
      <c r="CO6" s="94">
        <f>god+21</f>
        <v>2047</v>
      </c>
      <c r="CP6" s="94">
        <f>god+21</f>
        <v>2047</v>
      </c>
      <c r="CQ6" s="94">
        <f>god+21</f>
        <v>2047</v>
      </c>
      <c r="CR6" s="94">
        <f>god+22</f>
        <v>2048</v>
      </c>
      <c r="CS6" s="94">
        <f>god+22</f>
        <v>2048</v>
      </c>
      <c r="CT6" s="94">
        <f>god+22</f>
        <v>2048</v>
      </c>
      <c r="CU6" s="94">
        <f>god+23</f>
        <v>2049</v>
      </c>
      <c r="CV6" s="94">
        <f>god+23</f>
        <v>2049</v>
      </c>
      <c r="CW6" s="94">
        <f>god+23</f>
        <v>2049</v>
      </c>
      <c r="CX6" s="94">
        <f>god+24</f>
        <v>2050</v>
      </c>
      <c r="CY6" s="94">
        <f>god+24</f>
        <v>2050</v>
      </c>
      <c r="CZ6" s="94">
        <f>god+24</f>
        <v>2050</v>
      </c>
      <c r="DA6" s="94">
        <f>god+25</f>
        <v>2051</v>
      </c>
      <c r="DB6" s="94">
        <f>god+25</f>
        <v>2051</v>
      </c>
      <c r="DC6" s="94">
        <f>god+25</f>
        <v>2051</v>
      </c>
      <c r="DD6" s="94">
        <f>god+26</f>
        <v>2052</v>
      </c>
      <c r="DE6" s="94">
        <f>god+26</f>
        <v>2052</v>
      </c>
      <c r="DF6" s="94">
        <f>god+26</f>
        <v>2052</v>
      </c>
      <c r="DG6" s="94">
        <f>god+27</f>
        <v>2053</v>
      </c>
      <c r="DH6" s="94">
        <f>god+27</f>
        <v>2053</v>
      </c>
      <c r="DI6" s="94">
        <f>god+27</f>
        <v>2053</v>
      </c>
      <c r="DJ6" s="94">
        <f>god+28</f>
        <v>2054</v>
      </c>
      <c r="DK6" s="94">
        <f>god+28</f>
        <v>2054</v>
      </c>
      <c r="DL6" s="94">
        <f>god+28</f>
        <v>2054</v>
      </c>
      <c r="DM6" s="94">
        <f>god+29</f>
        <v>2055</v>
      </c>
      <c r="DN6" s="94">
        <f>god+29</f>
        <v>2055</v>
      </c>
      <c r="DO6" s="94">
        <f>god+29</f>
        <v>2055</v>
      </c>
      <c r="DP6" s="94">
        <f>god+30</f>
        <v>2056</v>
      </c>
      <c r="DQ6" s="94">
        <f>god+30</f>
        <v>2056</v>
      </c>
      <c r="DR6" s="94">
        <f>god+30</f>
        <v>2056</v>
      </c>
      <c r="DS6" s="94">
        <f>god+31</f>
        <v>2057</v>
      </c>
      <c r="DT6" s="94">
        <f>god+31</f>
        <v>2057</v>
      </c>
      <c r="DU6" s="94">
        <f>god+31</f>
        <v>2057</v>
      </c>
      <c r="DV6" s="94">
        <f>god+32</f>
        <v>2058</v>
      </c>
      <c r="DW6" s="94">
        <f>god+32</f>
        <v>2058</v>
      </c>
      <c r="DX6" s="94">
        <f>god+32</f>
        <v>2058</v>
      </c>
      <c r="DY6" s="94">
        <f>god+33</f>
        <v>2059</v>
      </c>
      <c r="DZ6" s="94">
        <f>god+33</f>
        <v>2059</v>
      </c>
      <c r="EA6" s="94">
        <f>god+33</f>
        <v>2059</v>
      </c>
      <c r="EB6" s="94">
        <f>god+34</f>
        <v>2060</v>
      </c>
      <c r="EC6" s="94">
        <f>god+34</f>
        <v>2060</v>
      </c>
      <c r="ED6" s="94">
        <f>god+34</f>
        <v>2060</v>
      </c>
      <c r="EE6" s="94">
        <f>god+35</f>
        <v>2061</v>
      </c>
      <c r="EF6" s="94">
        <f>god+35</f>
        <v>2061</v>
      </c>
      <c r="EG6" s="94">
        <f>god+35</f>
        <v>2061</v>
      </c>
      <c r="EH6" s="94">
        <f>god+36</f>
        <v>2062</v>
      </c>
      <c r="EI6" s="94">
        <f>god+36</f>
        <v>2062</v>
      </c>
      <c r="EJ6" s="94">
        <f>god+36</f>
        <v>2062</v>
      </c>
      <c r="EK6" s="94">
        <f>god+37</f>
        <v>2063</v>
      </c>
      <c r="EL6" s="94">
        <f>god+37</f>
        <v>2063</v>
      </c>
      <c r="EM6" s="94">
        <f>god+37</f>
        <v>2063</v>
      </c>
      <c r="EN6" s="94">
        <f>god+38</f>
        <v>2064</v>
      </c>
      <c r="EO6" s="94">
        <f>god+38</f>
        <v>2064</v>
      </c>
      <c r="EP6" s="94">
        <f>god+38</f>
        <v>2064</v>
      </c>
      <c r="EQ6" s="94">
        <f>god+39</f>
        <v>2065</v>
      </c>
      <c r="ER6" s="94">
        <f>god+39</f>
        <v>2065</v>
      </c>
      <c r="ES6" s="94">
        <f>god+39</f>
        <v>2065</v>
      </c>
      <c r="ET6" s="94">
        <f>god+40</f>
        <v>2066</v>
      </c>
      <c r="EU6" s="94">
        <f>god+40</f>
        <v>2066</v>
      </c>
      <c r="EV6" s="94">
        <f>god+40</f>
        <v>2066</v>
      </c>
      <c r="EW6" s="94">
        <f>god+41</f>
        <v>2067</v>
      </c>
      <c r="EX6" s="94">
        <f>god+41</f>
        <v>2067</v>
      </c>
      <c r="EY6" s="94">
        <f>god+41</f>
        <v>2067</v>
      </c>
      <c r="EZ6" s="94">
        <f>god+42</f>
        <v>2068</v>
      </c>
      <c r="FA6" s="94">
        <f>god+42</f>
        <v>2068</v>
      </c>
      <c r="FB6" s="94">
        <f>god+42</f>
        <v>2068</v>
      </c>
      <c r="FC6" s="94">
        <f>god+43</f>
        <v>2069</v>
      </c>
      <c r="FD6" s="94">
        <f>god+43</f>
        <v>2069</v>
      </c>
      <c r="FE6" s="94">
        <f>god+43</f>
        <v>2069</v>
      </c>
      <c r="FF6" s="94">
        <f>god+44</f>
        <v>2070</v>
      </c>
      <c r="FG6" s="94">
        <f>god+44</f>
        <v>2070</v>
      </c>
      <c r="FH6" s="94">
        <f>god+44</f>
        <v>2070</v>
      </c>
      <c r="FI6" s="94">
        <f>god+45</f>
        <v>2071</v>
      </c>
      <c r="FJ6" s="94">
        <f>god+45</f>
        <v>2071</v>
      </c>
      <c r="FK6" s="94">
        <f>god+45</f>
        <v>2071</v>
      </c>
      <c r="FL6" s="94">
        <f>god+46</f>
        <v>2072</v>
      </c>
      <c r="FM6" s="94">
        <f>god+46</f>
        <v>2072</v>
      </c>
      <c r="FN6" s="94">
        <f>god+46</f>
        <v>2072</v>
      </c>
      <c r="FO6" s="94">
        <f>god+47</f>
        <v>2073</v>
      </c>
      <c r="FP6" s="94">
        <f>god+47</f>
        <v>2073</v>
      </c>
      <c r="FQ6" s="94">
        <f>god+47</f>
        <v>2073</v>
      </c>
      <c r="FR6" s="94">
        <f>god+48</f>
        <v>2074</v>
      </c>
      <c r="FS6" s="94">
        <f>god+48</f>
        <v>2074</v>
      </c>
      <c r="FT6" s="94">
        <f>god+48</f>
        <v>2074</v>
      </c>
      <c r="FU6" s="94">
        <f>god+49</f>
        <v>2075</v>
      </c>
      <c r="FV6" s="94">
        <f>god+49</f>
        <v>2075</v>
      </c>
      <c r="FW6" s="94">
        <f>god+49</f>
        <v>2075</v>
      </c>
    </row>
    <row customHeight="1" ht="11.25" hidden="1">
      <c r="A7" s="94" t="s">
        <v>372</v>
      </c>
      <c r="AD7" s="94" cm="1" t="str">
        <f t="array" ref="AD7:AD7">AD26</f>
        <v>Предложение организации</v>
      </c>
      <c r="AE7" s="94" cm="1" t="str">
        <f t="array" ref="AE7:AE7">AE26</f>
        <v>Принято органом регулирования</v>
      </c>
      <c r="AF7" s="94" cm="1" t="str">
        <f t="array" ref="AF7:AF7">AF26</f>
        <v>Отклонение, %</v>
      </c>
      <c r="AG7" s="94" cm="1" t="str">
        <f t="array" ref="AG7:AG7">AG26</f>
        <v>Предложение организации</v>
      </c>
      <c r="AH7" s="94" cm="1" t="str">
        <f t="array" ref="AH7:AH7">AH26</f>
        <v>Принято органом регулирования</v>
      </c>
      <c r="AI7" s="94" cm="1" t="str">
        <f t="array" ref="AI7:AI7">AI26</f>
        <v>Отклонение, %</v>
      </c>
      <c r="AJ7" s="94" cm="1" t="str">
        <f t="array" ref="AJ7:AJ7">AJ26</f>
        <v>Предложение организации</v>
      </c>
      <c r="AK7" s="94" cm="1" t="str">
        <f t="array" ref="AK7:AK7">AK26</f>
        <v>Принято органом регулирования</v>
      </c>
      <c r="AL7" s="94" cm="1" t="str">
        <f t="array" ref="AL7:AL7">AL26</f>
        <v>Отклонение, %</v>
      </c>
      <c r="AM7" s="94" cm="1" t="str">
        <f t="array" ref="AM7:AM7">AM26</f>
        <v>Предложение организации</v>
      </c>
      <c r="AN7" s="94" cm="1" t="str">
        <f t="array" ref="AN7:AN7">AN26</f>
        <v>Принято органом регулирования</v>
      </c>
      <c r="AO7" s="94" cm="1" t="str">
        <f t="array" ref="AO7:AO7">AO26</f>
        <v>Отклонение, %</v>
      </c>
      <c r="AP7" s="94" cm="1" t="str">
        <f t="array" ref="AP7:AP7">AP26</f>
        <v>Предложение организации</v>
      </c>
      <c r="AQ7" s="94" cm="1" t="str">
        <f t="array" ref="AQ7:AQ7">AQ26</f>
        <v>Принято органом регулирования</v>
      </c>
      <c r="AR7" s="94" cm="1" t="str">
        <f t="array" ref="AR7:AR7">AR26</f>
        <v>Отклонение, %</v>
      </c>
      <c r="AS7" s="94" cm="1" t="str">
        <f t="array" ref="AS7:AS7">AS26</f>
        <v>Предложение организации</v>
      </c>
      <c r="AT7" s="94" cm="1" t="str">
        <f t="array" ref="AT7:AT7">AT26</f>
        <v>Принято органом регулирования</v>
      </c>
      <c r="AU7" s="94" cm="1" t="str">
        <f t="array" ref="AU7:AU7">AU26</f>
        <v>Отклонение, %</v>
      </c>
      <c r="AV7" s="94" cm="1" t="str">
        <f t="array" ref="AV7:AV7">AV26</f>
        <v>Предложение организации</v>
      </c>
      <c r="AW7" s="94" cm="1" t="str">
        <f t="array" ref="AW7:AW7">AW26</f>
        <v>Принято органом регулирования</v>
      </c>
      <c r="AX7" s="94" cm="1" t="str">
        <f t="array" ref="AX7:AX7">AX26</f>
        <v>Отклонение, %</v>
      </c>
      <c r="AY7" s="94" cm="1" t="str">
        <f t="array" ref="AY7:AY7">AY26</f>
        <v>Предложение организации</v>
      </c>
      <c r="AZ7" s="94" cm="1" t="str">
        <f t="array" ref="AZ7:AZ7">AZ26</f>
        <v>Принято органом регулирования</v>
      </c>
      <c r="BA7" s="94" cm="1" t="str">
        <f t="array" ref="BA7:BA7">BA26</f>
        <v>Отклонение, %</v>
      </c>
      <c r="BB7" s="94" cm="1" t="str">
        <f t="array" ref="BB7:BB7">BB26</f>
        <v>Предложение организации</v>
      </c>
      <c r="BC7" s="94" cm="1" t="str">
        <f t="array" ref="BC7:BC7">BC26</f>
        <v>Принято органом регулирования</v>
      </c>
      <c r="BD7" s="94" cm="1" t="str">
        <f t="array" ref="BD7:BD7">BD26</f>
        <v>Отклонение, %</v>
      </c>
      <c r="BE7" s="94" cm="1" t="str">
        <f t="array" ref="BE7:BE7">BE26</f>
        <v>Предложение организации</v>
      </c>
      <c r="BF7" s="94" cm="1" t="str">
        <f t="array" ref="BF7:BF7">BF26</f>
        <v>Принято органом регулирования</v>
      </c>
      <c r="BG7" s="94" cm="1" t="str">
        <f t="array" ref="BG7:BG7">BG26</f>
        <v>Отклонение, %</v>
      </c>
      <c r="BH7" s="94" cm="1" t="str">
        <f t="array" ref="BH7:BH7">BH26</f>
        <v>Предложение организации</v>
      </c>
      <c r="BI7" s="94" cm="1" t="str">
        <f t="array" ref="BI7:BI7">BI26</f>
        <v>Принято органом регулирования</v>
      </c>
      <c r="BJ7" s="94" cm="1" t="str">
        <f t="array" ref="BJ7:BJ7">BJ26</f>
        <v>Отклонение, %</v>
      </c>
      <c r="BK7" s="94" cm="1" t="str">
        <f t="array" ref="BK7:BK7">BK26</f>
        <v>Предложение организации</v>
      </c>
      <c r="BL7" s="94" cm="1" t="str">
        <f t="array" ref="BL7:BL7">BL26</f>
        <v>Принято органом регулирования</v>
      </c>
      <c r="BM7" s="94" cm="1" t="str">
        <f t="array" ref="BM7:BM7">BM26</f>
        <v>Отклонение, %</v>
      </c>
      <c r="BN7" s="94" cm="1" t="str">
        <f t="array" ref="BN7:BN7">BN26</f>
        <v>Предложение организации</v>
      </c>
      <c r="BO7" s="94" cm="1" t="str">
        <f t="array" ref="BO7:BO7">BO26</f>
        <v>Принято органом регулирования</v>
      </c>
      <c r="BP7" s="94" cm="1" t="str">
        <f t="array" ref="BP7:BP7">BP26</f>
        <v>Отклонение, %</v>
      </c>
      <c r="BQ7" s="94" cm="1" t="str">
        <f t="array" ref="BQ7:BQ7">BQ26</f>
        <v>Предложение организации</v>
      </c>
      <c r="BR7" s="94" cm="1" t="str">
        <f t="array" ref="BR7:BR7">BR26</f>
        <v>Принято органом регулирования</v>
      </c>
      <c r="BS7" s="94" cm="1" t="str">
        <f t="array" ref="BS7:BS7">BS26</f>
        <v>Отклонение, %</v>
      </c>
      <c r="BT7" s="94" cm="1" t="str">
        <f t="array" ref="BT7:BT7">BT26</f>
        <v>Предложение организации</v>
      </c>
      <c r="BU7" s="94" cm="1" t="str">
        <f t="array" ref="BU7:BU7">BU26</f>
        <v>Принято органом регулирования</v>
      </c>
      <c r="BV7" s="94" cm="1" t="str">
        <f t="array" ref="BV7:BV7">BV26</f>
        <v>Отклонение, %</v>
      </c>
      <c r="BW7" s="94" cm="1" t="str">
        <f t="array" ref="BW7:BW7">BW26</f>
        <v>Предложение организации</v>
      </c>
      <c r="BX7" s="94" cm="1" t="str">
        <f t="array" ref="BX7:BX7">BX26</f>
        <v>Принято органом регулирования</v>
      </c>
      <c r="BY7" s="94" cm="1" t="str">
        <f t="array" ref="BY7:BY7">BY26</f>
        <v>Отклонение, %</v>
      </c>
      <c r="BZ7" s="94" cm="1" t="str">
        <f t="array" ref="BZ7:BZ7">BZ26</f>
        <v>Предложение организации</v>
      </c>
      <c r="CA7" s="94" cm="1" t="str">
        <f t="array" ref="CA7:CA7">CA26</f>
        <v>Принято органом регулирования</v>
      </c>
      <c r="CB7" s="94" cm="1" t="str">
        <f t="array" ref="CB7:CB7">CB26</f>
        <v>Отклонение, %</v>
      </c>
      <c r="CC7" s="94" cm="1" t="str">
        <f t="array" ref="CC7:CC7">CC26</f>
        <v>Предложение организации</v>
      </c>
      <c r="CD7" s="94" cm="1" t="str">
        <f t="array" ref="CD7:CD7">CD26</f>
        <v>Принято органом регулирования</v>
      </c>
      <c r="CE7" s="94" cm="1" t="str">
        <f t="array" ref="CE7:CE7">CE26</f>
        <v>Отклонение, %</v>
      </c>
      <c r="CF7" s="94" cm="1" t="str">
        <f t="array" ref="CF7:CF7">CF26</f>
        <v>Предложение организации</v>
      </c>
      <c r="CG7" s="94" cm="1" t="str">
        <f t="array" ref="CG7:CG7">CG26</f>
        <v>Принято органом регулирования</v>
      </c>
      <c r="CH7" s="94" cm="1" t="str">
        <f t="array" ref="CH7:CH7">CH26</f>
        <v>Отклонение, %</v>
      </c>
      <c r="CI7" s="94" cm="1" t="str">
        <f t="array" ref="CI7:CI7">CI26</f>
        <v>Предложение организации</v>
      </c>
      <c r="CJ7" s="94" cm="1" t="str">
        <f t="array" ref="CJ7:CJ7">CJ26</f>
        <v>Принято органом регулирования</v>
      </c>
      <c r="CK7" s="94" cm="1" t="str">
        <f t="array" ref="CK7:CK7">CK26</f>
        <v>Отклонение, %</v>
      </c>
      <c r="CL7" s="94" cm="1" t="str">
        <f t="array" ref="CL7:CL7">CL26</f>
        <v>Предложение организации</v>
      </c>
      <c r="CM7" s="94" cm="1" t="str">
        <f t="array" ref="CM7:CM7">CM26</f>
        <v>Принято органом регулирования</v>
      </c>
      <c r="CN7" s="94" cm="1" t="str">
        <f t="array" ref="CN7:CN7">CN26</f>
        <v>Отклонение, %</v>
      </c>
      <c r="CO7" s="94" cm="1" t="str">
        <f t="array" ref="CO7:CO7">CO26</f>
        <v>Предложение организации</v>
      </c>
      <c r="CP7" s="94" cm="1" t="str">
        <f t="array" ref="CP7:CP7">CP26</f>
        <v>Принято органом регулирования</v>
      </c>
      <c r="CQ7" s="94" cm="1" t="str">
        <f t="array" ref="CQ7:CQ7">CQ26</f>
        <v>Отклонение, %</v>
      </c>
      <c r="CR7" s="94" cm="1" t="str">
        <f t="array" ref="CR7:CR7">CR26</f>
        <v>Предложение организации</v>
      </c>
      <c r="CS7" s="94" cm="1" t="str">
        <f t="array" ref="CS7:CS7">CS26</f>
        <v>Принято органом регулирования</v>
      </c>
      <c r="CT7" s="94" cm="1" t="str">
        <f t="array" ref="CT7:CT7">CT26</f>
        <v>Отклонение, %</v>
      </c>
      <c r="CU7" s="94" cm="1" t="str">
        <f t="array" ref="CU7:CU7">CU26</f>
        <v>Предложение организации</v>
      </c>
      <c r="CV7" s="94" cm="1" t="str">
        <f t="array" ref="CV7:CV7">CV26</f>
        <v>Принято органом регулирования</v>
      </c>
      <c r="CW7" s="94" cm="1" t="str">
        <f t="array" ref="CW7:CW7">CW26</f>
        <v>Отклонение, %</v>
      </c>
      <c r="CX7" s="94" cm="1" t="str">
        <f t="array" ref="CX7:CX7">CX26</f>
        <v>Предложение организации</v>
      </c>
      <c r="CY7" s="94" cm="1" t="str">
        <f t="array" ref="CY7:CY7">CY26</f>
        <v>Принято органом регулирования</v>
      </c>
      <c r="CZ7" s="94" cm="1" t="str">
        <f t="array" ref="CZ7:CZ7">CZ26</f>
        <v>Отклонение, %</v>
      </c>
      <c r="DA7" s="94" cm="1" t="str">
        <f t="array" ref="DA7:DA7">DA26</f>
        <v>Предложение организации</v>
      </c>
      <c r="DB7" s="94" cm="1" t="str">
        <f t="array" ref="DB7:DB7">DB26</f>
        <v>Принято органом регулирования</v>
      </c>
      <c r="DC7" s="94" cm="1" t="str">
        <f t="array" ref="DC7:DC7">DC26</f>
        <v>Отклонение, %</v>
      </c>
      <c r="DD7" s="94" cm="1" t="str">
        <f t="array" ref="DD7:DD7">DD26</f>
        <v>Предложение организации</v>
      </c>
      <c r="DE7" s="94" cm="1" t="str">
        <f t="array" ref="DE7:DE7">DE26</f>
        <v>Принято органом регулирования</v>
      </c>
      <c r="DF7" s="94" cm="1" t="str">
        <f t="array" ref="DF7:DF7">DF26</f>
        <v>Отклонение, %</v>
      </c>
      <c r="DG7" s="94" cm="1" t="str">
        <f t="array" ref="DG7:DG7">DG26</f>
        <v>Предложение организации</v>
      </c>
      <c r="DH7" s="94" cm="1" t="str">
        <f t="array" ref="DH7:DH7">DH26</f>
        <v>Принято органом регулирования</v>
      </c>
      <c r="DI7" s="94" cm="1" t="str">
        <f t="array" ref="DI7:DI7">DI26</f>
        <v>Отклонение, %</v>
      </c>
      <c r="DJ7" s="94" cm="1" t="str">
        <f t="array" ref="DJ7:DJ7">DJ26</f>
        <v>Предложение организации</v>
      </c>
      <c r="DK7" s="94" cm="1" t="str">
        <f t="array" ref="DK7:DK7">DK26</f>
        <v>Принято органом регулирования</v>
      </c>
      <c r="DL7" s="94" cm="1" t="str">
        <f t="array" ref="DL7:DL7">DL26</f>
        <v>Отклонение, %</v>
      </c>
      <c r="DM7" s="94" cm="1" t="str">
        <f t="array" ref="DM7:DM7">DM26</f>
        <v>Предложение организации</v>
      </c>
      <c r="DN7" s="94" cm="1" t="str">
        <f t="array" ref="DN7:DN7">DN26</f>
        <v>Принято органом регулирования</v>
      </c>
      <c r="DO7" s="94" cm="1" t="str">
        <f t="array" ref="DO7:DO7">DO26</f>
        <v>Отклонение, %</v>
      </c>
      <c r="DP7" s="94" cm="1" t="str">
        <f t="array" ref="DP7:DP7">DP26</f>
        <v>Предложение организации</v>
      </c>
      <c r="DQ7" s="94" cm="1" t="str">
        <f t="array" ref="DQ7:DQ7">DQ26</f>
        <v>Принято органом регулирования</v>
      </c>
      <c r="DR7" s="94" cm="1" t="str">
        <f t="array" ref="DR7:DR7">DR26</f>
        <v>Отклонение, %</v>
      </c>
      <c r="DS7" s="94" cm="1" t="str">
        <f t="array" ref="DS7:DS7">DS26</f>
        <v>Предложение организации</v>
      </c>
      <c r="DT7" s="94" cm="1" t="str">
        <f t="array" ref="DT7:DT7">DT26</f>
        <v>Принято органом регулирования</v>
      </c>
      <c r="DU7" s="94" cm="1" t="str">
        <f t="array" ref="DU7:DU7">DU26</f>
        <v>Отклонение, %</v>
      </c>
      <c r="DV7" s="94" cm="1" t="str">
        <f t="array" ref="DV7:DV7">DV26</f>
        <v>Предложение организации</v>
      </c>
      <c r="DW7" s="94" cm="1" t="str">
        <f t="array" ref="DW7:DW7">DW26</f>
        <v>Принято органом регулирования</v>
      </c>
      <c r="DX7" s="94" cm="1" t="str">
        <f t="array" ref="DX7:DX7">DX26</f>
        <v>Отклонение, %</v>
      </c>
      <c r="DY7" s="94" cm="1" t="str">
        <f t="array" ref="DY7:DY7">DY26</f>
        <v>Предложение организации</v>
      </c>
      <c r="DZ7" s="94" cm="1" t="str">
        <f t="array" ref="DZ7:DZ7">DZ26</f>
        <v>Принято органом регулирования</v>
      </c>
      <c r="EA7" s="94" cm="1" t="str">
        <f t="array" ref="EA7:EA7">EA26</f>
        <v>Отклонение, %</v>
      </c>
      <c r="EB7" s="94" cm="1" t="str">
        <f t="array" ref="EB7:EB7">EB26</f>
        <v>Предложение организации</v>
      </c>
      <c r="EC7" s="94" cm="1" t="str">
        <f t="array" ref="EC7:EC7">EC26</f>
        <v>Принято органом регулирования</v>
      </c>
      <c r="ED7" s="94" cm="1" t="str">
        <f t="array" ref="ED7:ED7">ED26</f>
        <v>Отклонение, %</v>
      </c>
      <c r="EE7" s="94" cm="1" t="str">
        <f t="array" ref="EE7:EE7">EE26</f>
        <v>Предложение организации</v>
      </c>
      <c r="EF7" s="94" cm="1" t="str">
        <f t="array" ref="EF7:EF7">EF26</f>
        <v>Принято органом регулирования</v>
      </c>
      <c r="EG7" s="94" cm="1" t="str">
        <f t="array" ref="EG7:EG7">EG26</f>
        <v>Отклонение, %</v>
      </c>
      <c r="EH7" s="94" cm="1" t="str">
        <f t="array" ref="EH7:EH7">EH26</f>
        <v>Предложение организации</v>
      </c>
      <c r="EI7" s="94" cm="1" t="str">
        <f t="array" ref="EI7:EI7">EI26</f>
        <v>Принято органом регулирования</v>
      </c>
      <c r="EJ7" s="94" cm="1" t="str">
        <f t="array" ref="EJ7:EJ7">EJ26</f>
        <v>Отклонение, %</v>
      </c>
      <c r="EK7" s="94" cm="1" t="str">
        <f t="array" ref="EK7:EK7">EK26</f>
        <v>Предложение организации</v>
      </c>
      <c r="EL7" s="94" cm="1" t="str">
        <f t="array" ref="EL7:EL7">EL26</f>
        <v>Принято органом регулирования</v>
      </c>
      <c r="EM7" s="94" cm="1" t="str">
        <f t="array" ref="EM7:EM7">EM26</f>
        <v>Отклонение, %</v>
      </c>
      <c r="EN7" s="94" cm="1" t="str">
        <f t="array" ref="EN7:EN7">EN26</f>
        <v>Предложение организации</v>
      </c>
      <c r="EO7" s="94" cm="1" t="str">
        <f t="array" ref="EO7:EO7">EO26</f>
        <v>Принято органом регулирования</v>
      </c>
      <c r="EP7" s="94" cm="1" t="str">
        <f t="array" ref="EP7:EP7">EP26</f>
        <v>Отклонение, %</v>
      </c>
      <c r="EQ7" s="94" cm="1" t="str">
        <f t="array" ref="EQ7:EQ7">EQ26</f>
        <v>Предложение организации</v>
      </c>
      <c r="ER7" s="94" cm="1" t="str">
        <f t="array" ref="ER7:ER7">ER26</f>
        <v>Принято органом регулирования</v>
      </c>
      <c r="ES7" s="94" cm="1" t="str">
        <f t="array" ref="ES7:ES7">ES26</f>
        <v>Отклонение, %</v>
      </c>
      <c r="ET7" s="94" cm="1" t="str">
        <f t="array" ref="ET7:ET7">ET26</f>
        <v>Предложение организации</v>
      </c>
      <c r="EU7" s="94" cm="1" t="str">
        <f t="array" ref="EU7:EU7">EU26</f>
        <v>Принято органом регулирования</v>
      </c>
      <c r="EV7" s="94" cm="1" t="str">
        <f t="array" ref="EV7:EV7">EV26</f>
        <v>Отклонение, %</v>
      </c>
      <c r="EW7" s="94" cm="1" t="str">
        <f t="array" ref="EW7:EW7">EW26</f>
        <v>Предложение организации</v>
      </c>
      <c r="EX7" s="94" cm="1" t="str">
        <f t="array" ref="EX7:EX7">EX26</f>
        <v>Принято органом регулирования</v>
      </c>
      <c r="EY7" s="94" cm="1" t="str">
        <f t="array" ref="EY7:EY7">EY26</f>
        <v>Отклонение, %</v>
      </c>
      <c r="EZ7" s="94" cm="1" t="str">
        <f t="array" ref="EZ7:EZ7">EZ26</f>
        <v>Предложение организации</v>
      </c>
      <c r="FA7" s="94" cm="1" t="str">
        <f t="array" ref="FA7:FA7">FA26</f>
        <v>Принято органом регулирования</v>
      </c>
      <c r="FB7" s="94" cm="1" t="str">
        <f t="array" ref="FB7:FB7">FB26</f>
        <v>Отклонение, %</v>
      </c>
      <c r="FC7" s="94" cm="1" t="str">
        <f t="array" ref="FC7:FC7">FC26</f>
        <v>Предложение организации</v>
      </c>
      <c r="FD7" s="94" cm="1" t="str">
        <f t="array" ref="FD7:FD7">FD26</f>
        <v>Принято органом регулирования</v>
      </c>
      <c r="FE7" s="94" cm="1" t="str">
        <f t="array" ref="FE7:FE7">FE26</f>
        <v>Отклонение, %</v>
      </c>
      <c r="FF7" s="94" cm="1" t="str">
        <f t="array" ref="FF7:FF7">FF26</f>
        <v>Предложение организации</v>
      </c>
      <c r="FG7" s="94" cm="1" t="str">
        <f t="array" ref="FG7:FG7">FG26</f>
        <v>Принято органом регулирования</v>
      </c>
      <c r="FH7" s="94" cm="1" t="str">
        <f t="array" ref="FH7:FH7">FH26</f>
        <v>Отклонение, %</v>
      </c>
      <c r="FI7" s="94" cm="1" t="str">
        <f t="array" ref="FI7:FI7">FI26</f>
        <v>Предложение организации</v>
      </c>
      <c r="FJ7" s="94" cm="1" t="str">
        <f t="array" ref="FJ7:FJ7">FJ26</f>
        <v>Принято органом регулирования</v>
      </c>
      <c r="FK7" s="94" cm="1" t="str">
        <f t="array" ref="FK7:FK7">FK26</f>
        <v>Отклонение, %</v>
      </c>
      <c r="FL7" s="94" cm="1" t="str">
        <f t="array" ref="FL7:FL7">FL26</f>
        <v>Предложение организации</v>
      </c>
      <c r="FM7" s="94" cm="1" t="str">
        <f t="array" ref="FM7:FM7">FM26</f>
        <v>Принято органом регулирования</v>
      </c>
      <c r="FN7" s="94" cm="1" t="str">
        <f t="array" ref="FN7:FN7">FN26</f>
        <v>Отклонение, %</v>
      </c>
      <c r="FO7" s="94" cm="1" t="str">
        <f t="array" ref="FO7:FO7">FO26</f>
        <v>Предложение организации</v>
      </c>
      <c r="FP7" s="94" cm="1" t="str">
        <f t="array" ref="FP7:FP7">FP26</f>
        <v>Принято органом регулирования</v>
      </c>
      <c r="FQ7" s="94" cm="1" t="str">
        <f t="array" ref="FQ7:FQ7">FQ26</f>
        <v>Отклонение, %</v>
      </c>
      <c r="FR7" s="94" cm="1" t="str">
        <f t="array" ref="FR7:FR7">FR26</f>
        <v>Предложение организации</v>
      </c>
      <c r="FS7" s="94" cm="1" t="str">
        <f t="array" ref="FS7:FS7">FS26</f>
        <v>Принято органом регулирования</v>
      </c>
      <c r="FT7" s="94" cm="1" t="str">
        <f t="array" ref="FT7:FT7">FT26</f>
        <v>Отклонение, %</v>
      </c>
      <c r="FU7" s="94" cm="1" t="str">
        <f t="array" ref="FU7:FU7">FU26</f>
        <v>Предложение организации</v>
      </c>
      <c r="FV7" s="94" cm="1" t="str">
        <f t="array" ref="FV7:FV7">FV26</f>
        <v>Принято органом регулирования</v>
      </c>
      <c r="FW7" s="94" cm="1" t="str">
        <f t="array" ref="FW7:FW7">FW26</f>
        <v>Отклонение, %</v>
      </c>
    </row>
    <row customHeight="1" ht="11.25" hidden="1">
      <c r="AD8" s="94" t="str">
        <f>AD6&amp;AD7</f>
        <v>2026Предложение организации</v>
      </c>
      <c r="AE8" s="94" t="str">
        <f>AE6&amp;AE7</f>
        <v>2026Принято органом регулирования</v>
      </c>
      <c r="AF8" s="94" t="str">
        <f>AF6&amp;AF7</f>
        <v>2026Отклонение, %</v>
      </c>
      <c r="AG8" s="94" t="str">
        <f>AG6&amp;AG7</f>
        <v>2027Предложение организации</v>
      </c>
      <c r="AH8" s="94" t="str">
        <f>AH6&amp;AH7</f>
        <v>2027Принято органом регулирования</v>
      </c>
      <c r="AI8" s="94" t="str">
        <f>AI6&amp;AI7</f>
        <v>2027Отклонение, %</v>
      </c>
      <c r="AJ8" s="94" t="str">
        <f>AJ6&amp;AJ7</f>
        <v>2028Предложение организации</v>
      </c>
      <c r="AK8" s="94" t="str">
        <f>AK6&amp;AK7</f>
        <v>2028Принято органом регулирования</v>
      </c>
      <c r="AL8" s="94" t="str">
        <f>AL6&amp;AL7</f>
        <v>2028Отклонение, %</v>
      </c>
      <c r="AM8" s="94" t="str">
        <f>AM6&amp;AM7</f>
        <v>2029Предложение организации</v>
      </c>
      <c r="AN8" s="94" t="str">
        <f>AN6&amp;AN7</f>
        <v>2029Принято органом регулирования</v>
      </c>
      <c r="AO8" s="94" t="str">
        <f>AO6&amp;AO7</f>
        <v>2029Отклонение, %</v>
      </c>
      <c r="AP8" s="94" t="str">
        <f>AP6&amp;AP7</f>
        <v>2030Предложение организации</v>
      </c>
      <c r="AQ8" s="94" t="str">
        <f>AQ6&amp;AQ7</f>
        <v>2030Принято органом регулирования</v>
      </c>
      <c r="AR8" s="94" t="str">
        <f>AR6&amp;AR7</f>
        <v>2030Отклонение, %</v>
      </c>
      <c r="AS8" s="94" t="str">
        <f>AS6&amp;AS7</f>
        <v>2031Предложение организации</v>
      </c>
      <c r="AT8" s="94" t="str">
        <f>AT6&amp;AT7</f>
        <v>2031Принято органом регулирования</v>
      </c>
      <c r="AU8" s="94" t="str">
        <f>AU6&amp;AU7</f>
        <v>2031Отклонение, %</v>
      </c>
      <c r="AV8" s="94" t="str">
        <f>AV6&amp;AV7</f>
        <v>2032Предложение организации</v>
      </c>
      <c r="AW8" s="94" t="str">
        <f>AW6&amp;AW7</f>
        <v>2032Принято органом регулирования</v>
      </c>
      <c r="AX8" s="94" t="str">
        <f>AX6&amp;AX7</f>
        <v>2032Отклонение, %</v>
      </c>
      <c r="AY8" s="94" t="str">
        <f>AY6&amp;AY7</f>
        <v>2033Предложение организации</v>
      </c>
      <c r="AZ8" s="94" t="str">
        <f>AZ6&amp;AZ7</f>
        <v>2033Принято органом регулирования</v>
      </c>
      <c r="BA8" s="94" t="str">
        <f>BA6&amp;BA7</f>
        <v>2033Отклонение, %</v>
      </c>
      <c r="BB8" s="94" t="str">
        <f>BB6&amp;BB7</f>
        <v>2034Предложение организации</v>
      </c>
      <c r="BC8" s="94" t="str">
        <f>BC6&amp;BC7</f>
        <v>2034Принято органом регулирования</v>
      </c>
      <c r="BD8" s="94" t="str">
        <f>BD6&amp;BD7</f>
        <v>2034Отклонение, %</v>
      </c>
      <c r="BE8" s="94" t="str">
        <f>BE6&amp;BE7</f>
        <v>2035Предложение организации</v>
      </c>
      <c r="BF8" s="94" t="str">
        <f>BF6&amp;BF7</f>
        <v>2035Принято органом регулирования</v>
      </c>
      <c r="BG8" s="94" t="str">
        <f>BG6&amp;BG7</f>
        <v>2035Отклонение, %</v>
      </c>
      <c r="BH8" s="94" t="str">
        <f>BH6&amp;BH7</f>
        <v>2036Предложение организации</v>
      </c>
      <c r="BI8" s="94" t="str">
        <f>BI6&amp;BI7</f>
        <v>2036Принято органом регулирования</v>
      </c>
      <c r="BJ8" s="94" t="str">
        <f>BJ6&amp;BJ7</f>
        <v>2036Отклонение, %</v>
      </c>
      <c r="BK8" s="94" t="str">
        <f>BK6&amp;BK7</f>
        <v>2037Предложение организации</v>
      </c>
      <c r="BL8" s="94" t="str">
        <f>BL6&amp;BL7</f>
        <v>2037Принято органом регулирования</v>
      </c>
      <c r="BM8" s="94" t="str">
        <f>BM6&amp;BM7</f>
        <v>2037Отклонение, %</v>
      </c>
      <c r="BN8" s="94" t="str">
        <f>BN6&amp;BN7</f>
        <v>2038Предложение организации</v>
      </c>
      <c r="BO8" s="94" t="str">
        <f>BO6&amp;BO7</f>
        <v>2038Принято органом регулирования</v>
      </c>
      <c r="BP8" s="94" t="str">
        <f>BP6&amp;BP7</f>
        <v>2038Отклонение, %</v>
      </c>
      <c r="BQ8" s="94" t="str">
        <f>BQ6&amp;BQ7</f>
        <v>2039Предложение организации</v>
      </c>
      <c r="BR8" s="94" t="str">
        <f>BR6&amp;BR7</f>
        <v>2039Принято органом регулирования</v>
      </c>
      <c r="BS8" s="94" t="str">
        <f>BS6&amp;BS7</f>
        <v>2039Отклонение, %</v>
      </c>
      <c r="BT8" s="94" t="str">
        <f>BT6&amp;BT7</f>
        <v>2040Предложение организации</v>
      </c>
      <c r="BU8" s="94" t="str">
        <f>BU6&amp;BU7</f>
        <v>2040Принято органом регулирования</v>
      </c>
      <c r="BV8" s="94" t="str">
        <f>BV6&amp;BV7</f>
        <v>2040Отклонение, %</v>
      </c>
      <c r="BW8" s="94" t="str">
        <f>BW6&amp;BW7</f>
        <v>2041Предложение организации</v>
      </c>
      <c r="BX8" s="94" t="str">
        <f>BX6&amp;BX7</f>
        <v>2041Принято органом регулирования</v>
      </c>
      <c r="BY8" s="94" t="str">
        <f>BY6&amp;BY7</f>
        <v>2041Отклонение, %</v>
      </c>
      <c r="BZ8" s="94" t="str">
        <f>BZ6&amp;BZ7</f>
        <v>2042Предложение организации</v>
      </c>
      <c r="CA8" s="94" t="str">
        <f>CA6&amp;CA7</f>
        <v>2042Принято органом регулирования</v>
      </c>
      <c r="CB8" s="94" t="str">
        <f>CB6&amp;CB7</f>
        <v>2042Отклонение, %</v>
      </c>
      <c r="CC8" s="94" t="str">
        <f>CC6&amp;CC7</f>
        <v>2043Предложение организации</v>
      </c>
      <c r="CD8" s="94" t="str">
        <f>CD6&amp;CD7</f>
        <v>2043Принято органом регулирования</v>
      </c>
      <c r="CE8" s="94" t="str">
        <f>CE6&amp;CE7</f>
        <v>2043Отклонение, %</v>
      </c>
      <c r="CF8" s="94" t="str">
        <f>CF6&amp;CF7</f>
        <v>2044Предложение организации</v>
      </c>
      <c r="CG8" s="94" t="str">
        <f>CG6&amp;CG7</f>
        <v>2044Принято органом регулирования</v>
      </c>
      <c r="CH8" s="94" t="str">
        <f>CH6&amp;CH7</f>
        <v>2044Отклонение, %</v>
      </c>
      <c r="CI8" s="94" t="str">
        <f>CI6&amp;CI7</f>
        <v>2045Предложение организации</v>
      </c>
      <c r="CJ8" s="94" t="str">
        <f>CJ6&amp;CJ7</f>
        <v>2045Принято органом регулирования</v>
      </c>
      <c r="CK8" s="94" t="str">
        <f>CK6&amp;CK7</f>
        <v>2045Отклонение, %</v>
      </c>
      <c r="CL8" s="94" t="str">
        <f>CL6&amp;CL7</f>
        <v>2046Предложение организации</v>
      </c>
      <c r="CM8" s="94" t="str">
        <f>CM6&amp;CM7</f>
        <v>2046Принято органом регулирования</v>
      </c>
      <c r="CN8" s="94" t="str">
        <f>CN6&amp;CN7</f>
        <v>2046Отклонение, %</v>
      </c>
      <c r="CO8" s="94" t="str">
        <f>CO6&amp;CO7</f>
        <v>2047Предложение организации</v>
      </c>
      <c r="CP8" s="94" t="str">
        <f>CP6&amp;CP7</f>
        <v>2047Принято органом регулирования</v>
      </c>
      <c r="CQ8" s="94" t="str">
        <f>CQ6&amp;CQ7</f>
        <v>2047Отклонение, %</v>
      </c>
      <c r="CR8" s="94" t="str">
        <f>CR6&amp;CR7</f>
        <v>2048Предложение организации</v>
      </c>
      <c r="CS8" s="94" t="str">
        <f>CS6&amp;CS7</f>
        <v>2048Принято органом регулирования</v>
      </c>
      <c r="CT8" s="94" t="str">
        <f>CT6&amp;CT7</f>
        <v>2048Отклонение, %</v>
      </c>
      <c r="CU8" s="94" t="str">
        <f>CU6&amp;CU7</f>
        <v>2049Предложение организации</v>
      </c>
      <c r="CV8" s="94" t="str">
        <f>CV6&amp;CV7</f>
        <v>2049Принято органом регулирования</v>
      </c>
      <c r="CW8" s="94" t="str">
        <f>CW6&amp;CW7</f>
        <v>2049Отклонение, %</v>
      </c>
      <c r="CX8" s="94" t="str">
        <f>CX6&amp;CX7</f>
        <v>2050Предложение организации</v>
      </c>
      <c r="CY8" s="94" t="str">
        <f>CY6&amp;CY7</f>
        <v>2050Принято органом регулирования</v>
      </c>
      <c r="CZ8" s="94" t="str">
        <f>CZ6&amp;CZ7</f>
        <v>2050Отклонение, %</v>
      </c>
      <c r="DA8" s="94" t="str">
        <f>DA6&amp;DA7</f>
        <v>2051Предложение организации</v>
      </c>
      <c r="DB8" s="94" t="str">
        <f>DB6&amp;DB7</f>
        <v>2051Принято органом регулирования</v>
      </c>
      <c r="DC8" s="94" t="str">
        <f>DC6&amp;DC7</f>
        <v>2051Отклонение, %</v>
      </c>
      <c r="DD8" s="94" t="str">
        <f>DD6&amp;DD7</f>
        <v>2052Предложение организации</v>
      </c>
      <c r="DE8" s="94" t="str">
        <f>DE6&amp;DE7</f>
        <v>2052Принято органом регулирования</v>
      </c>
      <c r="DF8" s="94" t="str">
        <f>DF6&amp;DF7</f>
        <v>2052Отклонение, %</v>
      </c>
      <c r="DG8" s="94" t="str">
        <f>DG6&amp;DG7</f>
        <v>2053Предложение организации</v>
      </c>
      <c r="DH8" s="94" t="str">
        <f>DH6&amp;DH7</f>
        <v>2053Принято органом регулирования</v>
      </c>
      <c r="DI8" s="94" t="str">
        <f>DI6&amp;DI7</f>
        <v>2053Отклонение, %</v>
      </c>
      <c r="DJ8" s="94" t="str">
        <f>DJ6&amp;DJ7</f>
        <v>2054Предложение организации</v>
      </c>
      <c r="DK8" s="94" t="str">
        <f>DK6&amp;DK7</f>
        <v>2054Принято органом регулирования</v>
      </c>
      <c r="DL8" s="94" t="str">
        <f>DL6&amp;DL7</f>
        <v>2054Отклонение, %</v>
      </c>
      <c r="DM8" s="94" t="str">
        <f>DM6&amp;DM7</f>
        <v>2055Предложение организации</v>
      </c>
      <c r="DN8" s="94" t="str">
        <f>DN6&amp;DN7</f>
        <v>2055Принято органом регулирования</v>
      </c>
      <c r="DO8" s="94" t="str">
        <f>DO6&amp;DO7</f>
        <v>2055Отклонение, %</v>
      </c>
      <c r="DP8" s="94" t="str">
        <f>DP6&amp;DP7</f>
        <v>2056Предложение организации</v>
      </c>
      <c r="DQ8" s="94" t="str">
        <f>DQ6&amp;DQ7</f>
        <v>2056Принято органом регулирования</v>
      </c>
      <c r="DR8" s="94" t="str">
        <f>DR6&amp;DR7</f>
        <v>2056Отклонение, %</v>
      </c>
      <c r="DS8" s="94" t="str">
        <f>DS6&amp;DS7</f>
        <v>2057Предложение организации</v>
      </c>
      <c r="DT8" s="94" t="str">
        <f>DT6&amp;DT7</f>
        <v>2057Принято органом регулирования</v>
      </c>
      <c r="DU8" s="94" t="str">
        <f>DU6&amp;DU7</f>
        <v>2057Отклонение, %</v>
      </c>
      <c r="DV8" s="94" t="str">
        <f>DV6&amp;DV7</f>
        <v>2058Предложение организации</v>
      </c>
      <c r="DW8" s="94" t="str">
        <f>DW6&amp;DW7</f>
        <v>2058Принято органом регулирования</v>
      </c>
      <c r="DX8" s="94" t="str">
        <f>DX6&amp;DX7</f>
        <v>2058Отклонение, %</v>
      </c>
      <c r="DY8" s="94" t="str">
        <f>DY6&amp;DY7</f>
        <v>2059Предложение организации</v>
      </c>
      <c r="DZ8" s="94" t="str">
        <f>DZ6&amp;DZ7</f>
        <v>2059Принято органом регулирования</v>
      </c>
      <c r="EA8" s="94" t="str">
        <f>EA6&amp;EA7</f>
        <v>2059Отклонение, %</v>
      </c>
      <c r="EB8" s="94" t="str">
        <f>EB6&amp;EB7</f>
        <v>2060Предложение организации</v>
      </c>
      <c r="EC8" s="94" t="str">
        <f>EC6&amp;EC7</f>
        <v>2060Принято органом регулирования</v>
      </c>
      <c r="ED8" s="94" t="str">
        <f>ED6&amp;ED7</f>
        <v>2060Отклонение, %</v>
      </c>
      <c r="EE8" s="94" t="str">
        <f>EE6&amp;EE7</f>
        <v>2061Предложение организации</v>
      </c>
      <c r="EF8" s="94" t="str">
        <f>EF6&amp;EF7</f>
        <v>2061Принято органом регулирования</v>
      </c>
      <c r="EG8" s="94" t="str">
        <f>EG6&amp;EG7</f>
        <v>2061Отклонение, %</v>
      </c>
      <c r="EH8" s="94" t="str">
        <f>EH6&amp;EH7</f>
        <v>2062Предложение организации</v>
      </c>
      <c r="EI8" s="94" t="str">
        <f>EI6&amp;EI7</f>
        <v>2062Принято органом регулирования</v>
      </c>
      <c r="EJ8" s="94" t="str">
        <f>EJ6&amp;EJ7</f>
        <v>2062Отклонение, %</v>
      </c>
      <c r="EK8" s="94" t="str">
        <f>EK6&amp;EK7</f>
        <v>2063Предложение организации</v>
      </c>
      <c r="EL8" s="94" t="str">
        <f>EL6&amp;EL7</f>
        <v>2063Принято органом регулирования</v>
      </c>
      <c r="EM8" s="94" t="str">
        <f>EM6&amp;EM7</f>
        <v>2063Отклонение, %</v>
      </c>
      <c r="EN8" s="94" t="str">
        <f>EN6&amp;EN7</f>
        <v>2064Предложение организации</v>
      </c>
      <c r="EO8" s="94" t="str">
        <f>EO6&amp;EO7</f>
        <v>2064Принято органом регулирования</v>
      </c>
      <c r="EP8" s="94" t="str">
        <f>EP6&amp;EP7</f>
        <v>2064Отклонение, %</v>
      </c>
      <c r="EQ8" s="94" t="str">
        <f>EQ6&amp;EQ7</f>
        <v>2065Предложение организации</v>
      </c>
      <c r="ER8" s="94" t="str">
        <f>ER6&amp;ER7</f>
        <v>2065Принято органом регулирования</v>
      </c>
      <c r="ES8" s="94" t="str">
        <f>ES6&amp;ES7</f>
        <v>2065Отклонение, %</v>
      </c>
      <c r="ET8" s="94" t="str">
        <f>ET6&amp;ET7</f>
        <v>2066Предложение организации</v>
      </c>
      <c r="EU8" s="94" t="str">
        <f>EU6&amp;EU7</f>
        <v>2066Принято органом регулирования</v>
      </c>
      <c r="EV8" s="94" t="str">
        <f>EV6&amp;EV7</f>
        <v>2066Отклонение, %</v>
      </c>
      <c r="EW8" s="94" t="str">
        <f>EW6&amp;EW7</f>
        <v>2067Предложение организации</v>
      </c>
      <c r="EX8" s="94" t="str">
        <f>EX6&amp;EX7</f>
        <v>2067Принято органом регулирования</v>
      </c>
      <c r="EY8" s="94" t="str">
        <f>EY6&amp;EY7</f>
        <v>2067Отклонение, %</v>
      </c>
      <c r="EZ8" s="94" t="str">
        <f>EZ6&amp;EZ7</f>
        <v>2068Предложение организации</v>
      </c>
      <c r="FA8" s="94" t="str">
        <f>FA6&amp;FA7</f>
        <v>2068Принято органом регулирования</v>
      </c>
      <c r="FB8" s="94" t="str">
        <f>FB6&amp;FB7</f>
        <v>2068Отклонение, %</v>
      </c>
      <c r="FC8" s="94" t="str">
        <f>FC6&amp;FC7</f>
        <v>2069Предложение организации</v>
      </c>
      <c r="FD8" s="94" t="str">
        <f>FD6&amp;FD7</f>
        <v>2069Принято органом регулирования</v>
      </c>
      <c r="FE8" s="94" t="str">
        <f>FE6&amp;FE7</f>
        <v>2069Отклонение, %</v>
      </c>
      <c r="FF8" s="94" t="str">
        <f>FF6&amp;FF7</f>
        <v>2070Предложение организации</v>
      </c>
      <c r="FG8" s="94" t="str">
        <f>FG6&amp;FG7</f>
        <v>2070Принято органом регулирования</v>
      </c>
      <c r="FH8" s="94" t="str">
        <f>FH6&amp;FH7</f>
        <v>2070Отклонение, %</v>
      </c>
      <c r="FI8" s="94" t="str">
        <f>FI6&amp;FI7</f>
        <v>2071Предложение организации</v>
      </c>
      <c r="FJ8" s="94" t="str">
        <f>FJ6&amp;FJ7</f>
        <v>2071Принято органом регулирования</v>
      </c>
      <c r="FK8" s="94" t="str">
        <f>FK6&amp;FK7</f>
        <v>2071Отклонение, %</v>
      </c>
      <c r="FL8" s="94" t="str">
        <f>FL6&amp;FL7</f>
        <v>2072Предложение организации</v>
      </c>
      <c r="FM8" s="94" t="str">
        <f>FM6&amp;FM7</f>
        <v>2072Принято органом регулирования</v>
      </c>
      <c r="FN8" s="94" t="str">
        <f>FN6&amp;FN7</f>
        <v>2072Отклонение, %</v>
      </c>
      <c r="FO8" s="94" t="str">
        <f>FO6&amp;FO7</f>
        <v>2073Предложение организации</v>
      </c>
      <c r="FP8" s="94" t="str">
        <f>FP6&amp;FP7</f>
        <v>2073Принято органом регулирования</v>
      </c>
      <c r="FQ8" s="94" t="str">
        <f>FQ6&amp;FQ7</f>
        <v>2073Отклонение, %</v>
      </c>
      <c r="FR8" s="94" t="str">
        <f>FR6&amp;FR7</f>
        <v>2074Предложение организации</v>
      </c>
      <c r="FS8" s="94" t="str">
        <f>FS6&amp;FS7</f>
        <v>2074Принято органом регулирования</v>
      </c>
      <c r="FT8" s="94" t="str">
        <f>FT6&amp;FT7</f>
        <v>2074Отклонение, %</v>
      </c>
      <c r="FU8" s="94" t="str">
        <f>FU6&amp;FU7</f>
        <v>2075Предложение организации</v>
      </c>
      <c r="FV8" s="94" t="str">
        <f>FV6&amp;FV7</f>
        <v>2075Принято органом регулирования</v>
      </c>
      <c r="FW8" s="94" t="str">
        <f>FW6&amp;FW7</f>
        <v>2075Отклонение, %</v>
      </c>
    </row>
    <row s="1330" customFormat="1" customHeight="1" ht="11.25" hidden="1">
      <c r="A9" s="1023" t="s">
        <v>376</v>
      </c>
      <c r="B9" s="1060"/>
      <c r="F9" s="1061"/>
      <c r="AB9" s="1062"/>
      <c r="AC9" s="1021"/>
      <c r="AD9" s="1023" cm="1" t="str">
        <f t="array" ref="AD9:AD9">AD6</f>
        <v>2026</v>
      </c>
      <c r="AE9" s="1023" cm="1" t="str">
        <f t="array" ref="AE9:AE9">AE6</f>
        <v>2026</v>
      </c>
      <c r="AF9" s="1023" cm="1" t="str">
        <f t="array" ref="AF9:AF9">AF6</f>
        <v>2026</v>
      </c>
      <c r="AG9" s="1023" cm="1" t="str">
        <f t="array" ref="AG9:AG9">AG6</f>
        <v>2027</v>
      </c>
      <c r="AH9" s="1023" cm="1" t="str">
        <f t="array" ref="AH9:AH9">AH6</f>
        <v>2027</v>
      </c>
      <c r="AI9" s="1023" cm="1" t="str">
        <f t="array" ref="AI9:AI9">AI6</f>
        <v>2027</v>
      </c>
      <c r="AJ9" s="1023" cm="1" t="str">
        <f t="array" ref="AJ9:AJ9">AJ6</f>
        <v>2028</v>
      </c>
      <c r="AK9" s="1023" cm="1" t="str">
        <f t="array" ref="AK9:AK9">AK6</f>
        <v>2028</v>
      </c>
      <c r="AL9" s="1023" cm="1" t="str">
        <f t="array" ref="AL9:AL9">AL6</f>
        <v>2028</v>
      </c>
      <c r="AM9" s="1023" cm="1" t="str">
        <f t="array" ref="AM9:AM9">AM6</f>
        <v>2029</v>
      </c>
      <c r="AN9" s="1023" cm="1" t="str">
        <f t="array" ref="AN9:AN9">AN6</f>
        <v>2029</v>
      </c>
      <c r="AO9" s="1023" cm="1" t="str">
        <f t="array" ref="AO9:AO9">AO6</f>
        <v>2029</v>
      </c>
      <c r="AP9" s="1023" cm="1" t="str">
        <f t="array" ref="AP9:AP9">AP6</f>
        <v>2030</v>
      </c>
      <c r="AQ9" s="1023" cm="1" t="str">
        <f t="array" ref="AQ9:AQ9">AQ6</f>
        <v>2030</v>
      </c>
      <c r="AR9" s="1023" cm="1" t="str">
        <f t="array" ref="AR9:AR9">AR6</f>
        <v>2030</v>
      </c>
      <c r="AS9" s="1023" cm="1" t="str">
        <f t="array" ref="AS9:AS9">AS6</f>
        <v>2031</v>
      </c>
      <c r="AT9" s="1023" cm="1" t="str">
        <f t="array" ref="AT9:AT9">AT6</f>
        <v>2031</v>
      </c>
      <c r="AU9" s="1023" cm="1" t="str">
        <f t="array" ref="AU9:AU9">AU6</f>
        <v>2031</v>
      </c>
      <c r="AV9" s="1023" cm="1" t="str">
        <f t="array" ref="AV9:AV9">AV6</f>
        <v>2032</v>
      </c>
      <c r="AW9" s="1023" cm="1" t="str">
        <f t="array" ref="AW9:AW9">AW6</f>
        <v>2032</v>
      </c>
      <c r="AX9" s="1023" cm="1" t="str">
        <f t="array" ref="AX9:AX9">AX6</f>
        <v>2032</v>
      </c>
      <c r="AY9" s="1023" cm="1" t="str">
        <f t="array" ref="AY9:AY9">AY6</f>
        <v>2033</v>
      </c>
      <c r="AZ9" s="1023" cm="1" t="str">
        <f t="array" ref="AZ9:AZ9">AZ6</f>
        <v>2033</v>
      </c>
      <c r="BA9" s="1023" cm="1" t="str">
        <f t="array" ref="BA9:BA9">BA6</f>
        <v>2033</v>
      </c>
      <c r="BB9" s="1023" cm="1" t="str">
        <f t="array" ref="BB9:BB9">BB6</f>
        <v>2034</v>
      </c>
      <c r="BC9" s="1023" cm="1" t="str">
        <f t="array" ref="BC9:BC9">BC6</f>
        <v>2034</v>
      </c>
      <c r="BD9" s="1023" cm="1" t="str">
        <f t="array" ref="BD9:BD9">BD6</f>
        <v>2034</v>
      </c>
      <c r="BE9" s="1023" cm="1" t="str">
        <f t="array" ref="BE9:BE9">BE6</f>
        <v>2035</v>
      </c>
      <c r="BF9" s="1023" cm="1" t="str">
        <f t="array" ref="BF9:BF9">BF6</f>
        <v>2035</v>
      </c>
      <c r="BG9" s="1023" cm="1" t="str">
        <f t="array" ref="BG9:BG9">BG6</f>
        <v>2035</v>
      </c>
      <c r="BH9" s="1023" cm="1" t="str">
        <f t="array" ref="BH9:BH9">BH6</f>
        <v>2036</v>
      </c>
      <c r="BI9" s="1023" cm="1" t="str">
        <f t="array" ref="BI9:BI9">BI6</f>
        <v>2036</v>
      </c>
      <c r="BJ9" s="1023" cm="1" t="str">
        <f t="array" ref="BJ9:BJ9">BJ6</f>
        <v>2036</v>
      </c>
      <c r="BK9" s="1023" cm="1" t="str">
        <f t="array" ref="BK9:BK9">BK6</f>
        <v>2037</v>
      </c>
      <c r="BL9" s="1023" cm="1" t="str">
        <f t="array" ref="BL9:BL9">BL6</f>
        <v>2037</v>
      </c>
      <c r="BM9" s="1023" cm="1" t="str">
        <f t="array" ref="BM9:BM9">BM6</f>
        <v>2037</v>
      </c>
      <c r="BN9" s="1023" cm="1" t="str">
        <f t="array" ref="BN9:BN9">BN6</f>
        <v>2038</v>
      </c>
      <c r="BO9" s="1023" cm="1" t="str">
        <f t="array" ref="BO9:BO9">BO6</f>
        <v>2038</v>
      </c>
      <c r="BP9" s="1023" cm="1" t="str">
        <f t="array" ref="BP9:BP9">BP6</f>
        <v>2038</v>
      </c>
      <c r="BQ9" s="1023" cm="1" t="str">
        <f t="array" ref="BQ9:BQ9">BQ6</f>
        <v>2039</v>
      </c>
      <c r="BR9" s="1023" cm="1" t="str">
        <f t="array" ref="BR9:BR9">BR6</f>
        <v>2039</v>
      </c>
      <c r="BS9" s="1023" cm="1" t="str">
        <f t="array" ref="BS9:BS9">BS6</f>
        <v>2039</v>
      </c>
      <c r="BT9" s="1023" cm="1" t="str">
        <f t="array" ref="BT9:BT9">BT6</f>
        <v>2040</v>
      </c>
      <c r="BU9" s="1023" cm="1" t="str">
        <f t="array" ref="BU9:BU9">BU6</f>
        <v>2040</v>
      </c>
      <c r="BV9" s="1023" cm="1" t="str">
        <f t="array" ref="BV9:BV9">BV6</f>
        <v>2040</v>
      </c>
      <c r="BW9" s="1023" cm="1" t="str">
        <f t="array" ref="BW9:BW9">BW6</f>
        <v>2041</v>
      </c>
      <c r="BX9" s="1023" cm="1" t="str">
        <f t="array" ref="BX9:BX9">BX6</f>
        <v>2041</v>
      </c>
      <c r="BY9" s="1023" cm="1" t="str">
        <f t="array" ref="BY9:BY9">BY6</f>
        <v>2041</v>
      </c>
      <c r="BZ9" s="1023" cm="1" t="str">
        <f t="array" ref="BZ9:BZ9">BZ6</f>
        <v>2042</v>
      </c>
      <c r="CA9" s="1023" cm="1" t="str">
        <f t="array" ref="CA9:CA9">CA6</f>
        <v>2042</v>
      </c>
      <c r="CB9" s="1023" cm="1" t="str">
        <f t="array" ref="CB9:CB9">CB6</f>
        <v>2042</v>
      </c>
      <c r="CC9" s="1023" cm="1" t="str">
        <f t="array" ref="CC9:CC9">CC6</f>
        <v>2043</v>
      </c>
      <c r="CD9" s="1023" cm="1" t="str">
        <f t="array" ref="CD9:CD9">CD6</f>
        <v>2043</v>
      </c>
      <c r="CE9" s="1023" cm="1" t="str">
        <f t="array" ref="CE9:CE9">CE6</f>
        <v>2043</v>
      </c>
      <c r="CF9" s="1023" cm="1" t="str">
        <f t="array" ref="CF9:CF9">CF6</f>
        <v>2044</v>
      </c>
      <c r="CG9" s="1023" cm="1" t="str">
        <f t="array" ref="CG9:CG9">CG6</f>
        <v>2044</v>
      </c>
      <c r="CH9" s="1023" cm="1" t="str">
        <f t="array" ref="CH9:CH9">CH6</f>
        <v>2044</v>
      </c>
      <c r="CI9" s="1023" cm="1" t="str">
        <f t="array" ref="CI9:CI9">CI6</f>
        <v>2045</v>
      </c>
      <c r="CJ9" s="1023" cm="1" t="str">
        <f t="array" ref="CJ9:CJ9">CJ6</f>
        <v>2045</v>
      </c>
      <c r="CK9" s="1023" cm="1" t="str">
        <f t="array" ref="CK9:CK9">CK6</f>
        <v>2045</v>
      </c>
      <c r="CL9" s="1023" cm="1" t="str">
        <f t="array" ref="CL9:CL9">CL6</f>
        <v>2046</v>
      </c>
      <c r="CM9" s="1023" cm="1" t="str">
        <f t="array" ref="CM9:CM9">CM6</f>
        <v>2046</v>
      </c>
      <c r="CN9" s="1023" cm="1" t="str">
        <f t="array" ref="CN9:CN9">CN6</f>
        <v>2046</v>
      </c>
      <c r="CO9" s="1023" cm="1" t="str">
        <f t="array" ref="CO9:CO9">CO6</f>
        <v>2047</v>
      </c>
      <c r="CP9" s="1023" cm="1" t="str">
        <f t="array" ref="CP9:CP9">CP6</f>
        <v>2047</v>
      </c>
      <c r="CQ9" s="1023" cm="1" t="str">
        <f t="array" ref="CQ9:CQ9">CQ6</f>
        <v>2047</v>
      </c>
      <c r="CR9" s="1023" cm="1" t="str">
        <f t="array" ref="CR9:CR9">CR6</f>
        <v>2048</v>
      </c>
      <c r="CS9" s="1023" cm="1" t="str">
        <f t="array" ref="CS9:CS9">CS6</f>
        <v>2048</v>
      </c>
      <c r="CT9" s="1023" cm="1" t="str">
        <f t="array" ref="CT9:CT9">CT6</f>
        <v>2048</v>
      </c>
      <c r="CU9" s="1023" cm="1" t="str">
        <f t="array" ref="CU9:CU9">CU6</f>
        <v>2049</v>
      </c>
      <c r="CV9" s="1023" cm="1" t="str">
        <f t="array" ref="CV9:CV9">CV6</f>
        <v>2049</v>
      </c>
      <c r="CW9" s="1023" cm="1" t="str">
        <f t="array" ref="CW9:CW9">CW6</f>
        <v>2049</v>
      </c>
      <c r="CX9" s="1023" cm="1" t="str">
        <f t="array" ref="CX9:CX9">CX6</f>
        <v>2050</v>
      </c>
      <c r="CY9" s="1023" cm="1" t="str">
        <f t="array" ref="CY9:CY9">CY6</f>
        <v>2050</v>
      </c>
      <c r="CZ9" s="1023" cm="1" t="str">
        <f t="array" ref="CZ9:CZ9">CZ6</f>
        <v>2050</v>
      </c>
      <c r="DA9" s="1023" cm="1" t="str">
        <f t="array" ref="DA9:DA9">DA6</f>
        <v>2051</v>
      </c>
      <c r="DB9" s="1023" cm="1" t="str">
        <f t="array" ref="DB9:DB9">DB6</f>
        <v>2051</v>
      </c>
      <c r="DC9" s="1023" cm="1" t="str">
        <f t="array" ref="DC9:DC9">DC6</f>
        <v>2051</v>
      </c>
      <c r="DD9" s="1023" cm="1" t="str">
        <f t="array" ref="DD9:DD9">DD6</f>
        <v>2052</v>
      </c>
      <c r="DE9" s="1023" cm="1" t="str">
        <f t="array" ref="DE9:DE9">DE6</f>
        <v>2052</v>
      </c>
      <c r="DF9" s="1023" cm="1" t="str">
        <f t="array" ref="DF9:DF9">DF6</f>
        <v>2052</v>
      </c>
      <c r="DG9" s="1023" cm="1" t="str">
        <f t="array" ref="DG9:DG9">DG6</f>
        <v>2053</v>
      </c>
      <c r="DH9" s="1023" cm="1" t="str">
        <f t="array" ref="DH9:DH9">DH6</f>
        <v>2053</v>
      </c>
      <c r="DI9" s="1023" cm="1" t="str">
        <f t="array" ref="DI9:DI9">DI6</f>
        <v>2053</v>
      </c>
      <c r="DJ9" s="1023" cm="1" t="str">
        <f t="array" ref="DJ9:DJ9">DJ6</f>
        <v>2054</v>
      </c>
      <c r="DK9" s="1023" cm="1" t="str">
        <f t="array" ref="DK9:DK9">DK6</f>
        <v>2054</v>
      </c>
      <c r="DL9" s="1023" cm="1" t="str">
        <f t="array" ref="DL9:DL9">DL6</f>
        <v>2054</v>
      </c>
      <c r="DM9" s="1023" cm="1" t="str">
        <f t="array" ref="DM9:DM9">DM6</f>
        <v>2055</v>
      </c>
      <c r="DN9" s="1023" cm="1" t="str">
        <f t="array" ref="DN9:DN9">DN6</f>
        <v>2055</v>
      </c>
      <c r="DO9" s="1023" cm="1" t="str">
        <f t="array" ref="DO9:DO9">DO6</f>
        <v>2055</v>
      </c>
      <c r="DP9" s="1023" cm="1" t="str">
        <f t="array" ref="DP9:DP9">DP6</f>
        <v>2056</v>
      </c>
      <c r="DQ9" s="1023" cm="1" t="str">
        <f t="array" ref="DQ9:DQ9">DQ6</f>
        <v>2056</v>
      </c>
      <c r="DR9" s="1023" cm="1" t="str">
        <f t="array" ref="DR9:DR9">DR6</f>
        <v>2056</v>
      </c>
      <c r="DS9" s="1023" cm="1" t="str">
        <f t="array" ref="DS9:DS9">DS6</f>
        <v>2057</v>
      </c>
      <c r="DT9" s="1023" cm="1" t="str">
        <f t="array" ref="DT9:DT9">DT6</f>
        <v>2057</v>
      </c>
      <c r="DU9" s="1023" cm="1" t="str">
        <f t="array" ref="DU9:DU9">DU6</f>
        <v>2057</v>
      </c>
      <c r="DV9" s="1023" cm="1" t="str">
        <f t="array" ref="DV9:DV9">DV6</f>
        <v>2058</v>
      </c>
      <c r="DW9" s="1023" cm="1" t="str">
        <f t="array" ref="DW9:DW9">DW6</f>
        <v>2058</v>
      </c>
      <c r="DX9" s="1023" cm="1" t="str">
        <f t="array" ref="DX9:DX9">DX6</f>
        <v>2058</v>
      </c>
      <c r="DY9" s="1023" cm="1" t="str">
        <f t="array" ref="DY9:DY9">DY6</f>
        <v>2059</v>
      </c>
      <c r="DZ9" s="1023" cm="1" t="str">
        <f t="array" ref="DZ9:DZ9">DZ6</f>
        <v>2059</v>
      </c>
      <c r="EA9" s="1023" cm="1" t="str">
        <f t="array" ref="EA9:EA9">EA6</f>
        <v>2059</v>
      </c>
      <c r="EB9" s="1023" cm="1" t="str">
        <f t="array" ref="EB9:EB9">EB6</f>
        <v>2060</v>
      </c>
      <c r="EC9" s="1023" cm="1" t="str">
        <f t="array" ref="EC9:EC9">EC6</f>
        <v>2060</v>
      </c>
      <c r="ED9" s="1023" cm="1" t="str">
        <f t="array" ref="ED9:ED9">ED6</f>
        <v>2060</v>
      </c>
      <c r="EE9" s="1023" cm="1" t="str">
        <f t="array" ref="EE9:EE9">EE6</f>
        <v>2061</v>
      </c>
      <c r="EF9" s="1023" cm="1" t="str">
        <f t="array" ref="EF9:EF9">EF6</f>
        <v>2061</v>
      </c>
      <c r="EG9" s="1023" cm="1" t="str">
        <f t="array" ref="EG9:EG9">EG6</f>
        <v>2061</v>
      </c>
      <c r="EH9" s="1023" cm="1" t="str">
        <f t="array" ref="EH9:EH9">EH6</f>
        <v>2062</v>
      </c>
      <c r="EI9" s="1023" cm="1" t="str">
        <f t="array" ref="EI9:EI9">EI6</f>
        <v>2062</v>
      </c>
      <c r="EJ9" s="1023" cm="1" t="str">
        <f t="array" ref="EJ9:EJ9">EJ6</f>
        <v>2062</v>
      </c>
      <c r="EK9" s="1023" cm="1" t="str">
        <f t="array" ref="EK9:EK9">EK6</f>
        <v>2063</v>
      </c>
      <c r="EL9" s="1023" cm="1" t="str">
        <f t="array" ref="EL9:EL9">EL6</f>
        <v>2063</v>
      </c>
      <c r="EM9" s="1023" cm="1" t="str">
        <f t="array" ref="EM9:EM9">EM6</f>
        <v>2063</v>
      </c>
      <c r="EN9" s="1023" cm="1" t="str">
        <f t="array" ref="EN9:EN9">EN6</f>
        <v>2064</v>
      </c>
      <c r="EO9" s="1023" cm="1" t="str">
        <f t="array" ref="EO9:EO9">EO6</f>
        <v>2064</v>
      </c>
      <c r="EP9" s="1023" cm="1" t="str">
        <f t="array" ref="EP9:EP9">EP6</f>
        <v>2064</v>
      </c>
      <c r="EQ9" s="1023" cm="1" t="str">
        <f t="array" ref="EQ9:EQ9">EQ6</f>
        <v>2065</v>
      </c>
      <c r="ER9" s="1023" cm="1" t="str">
        <f t="array" ref="ER9:ER9">ER6</f>
        <v>2065</v>
      </c>
      <c r="ES9" s="1023" cm="1" t="str">
        <f t="array" ref="ES9:ES9">ES6</f>
        <v>2065</v>
      </c>
      <c r="ET9" s="1023" cm="1" t="str">
        <f t="array" ref="ET9:ET9">ET6</f>
        <v>2066</v>
      </c>
      <c r="EU9" s="1023" cm="1" t="str">
        <f t="array" ref="EU9:EU9">EU6</f>
        <v>2066</v>
      </c>
      <c r="EV9" s="1023" cm="1" t="str">
        <f t="array" ref="EV9:EV9">EV6</f>
        <v>2066</v>
      </c>
      <c r="EW9" s="1023" cm="1" t="str">
        <f t="array" ref="EW9:EW9">EW6</f>
        <v>2067</v>
      </c>
      <c r="EX9" s="1023" cm="1" t="str">
        <f t="array" ref="EX9:EX9">EX6</f>
        <v>2067</v>
      </c>
      <c r="EY9" s="1023" cm="1" t="str">
        <f t="array" ref="EY9:EY9">EY6</f>
        <v>2067</v>
      </c>
      <c r="EZ9" s="1023" cm="1" t="str">
        <f t="array" ref="EZ9:EZ9">EZ6</f>
        <v>2068</v>
      </c>
      <c r="FA9" s="1023" cm="1" t="str">
        <f t="array" ref="FA9:FA9">FA6</f>
        <v>2068</v>
      </c>
      <c r="FB9" s="1023" cm="1" t="str">
        <f t="array" ref="FB9:FB9">FB6</f>
        <v>2068</v>
      </c>
      <c r="FC9" s="1023" cm="1" t="str">
        <f t="array" ref="FC9:FC9">FC6</f>
        <v>2069</v>
      </c>
      <c r="FD9" s="1023" cm="1" t="str">
        <f t="array" ref="FD9:FD9">FD6</f>
        <v>2069</v>
      </c>
      <c r="FE9" s="1023" cm="1" t="str">
        <f t="array" ref="FE9:FE9">FE6</f>
        <v>2069</v>
      </c>
      <c r="FF9" s="1023" cm="1" t="str">
        <f t="array" ref="FF9:FF9">FF6</f>
        <v>2070</v>
      </c>
      <c r="FG9" s="1023" cm="1" t="str">
        <f t="array" ref="FG9:FG9">FG6</f>
        <v>2070</v>
      </c>
      <c r="FH9" s="1023" cm="1" t="str">
        <f t="array" ref="FH9:FH9">FH6</f>
        <v>2070</v>
      </c>
      <c r="FI9" s="1023" cm="1" t="str">
        <f t="array" ref="FI9:FI9">FI6</f>
        <v>2071</v>
      </c>
      <c r="FJ9" s="1023" cm="1" t="str">
        <f t="array" ref="FJ9:FJ9">FJ6</f>
        <v>2071</v>
      </c>
      <c r="FK9" s="1023" cm="1" t="str">
        <f t="array" ref="FK9:FK9">FK6</f>
        <v>2071</v>
      </c>
      <c r="FL9" s="1023" cm="1" t="str">
        <f t="array" ref="FL9:FL9">FL6</f>
        <v>2072</v>
      </c>
      <c r="FM9" s="1023" cm="1" t="str">
        <f t="array" ref="FM9:FM9">FM6</f>
        <v>2072</v>
      </c>
      <c r="FN9" s="1023" cm="1" t="str">
        <f t="array" ref="FN9:FN9">FN6</f>
        <v>2072</v>
      </c>
      <c r="FO9" s="1023" cm="1" t="str">
        <f t="array" ref="FO9:FO9">FO6</f>
        <v>2073</v>
      </c>
      <c r="FP9" s="1023" cm="1" t="str">
        <f t="array" ref="FP9:FP9">FP6</f>
        <v>2073</v>
      </c>
      <c r="FQ9" s="1023" cm="1" t="str">
        <f t="array" ref="FQ9:FQ9">FQ6</f>
        <v>2073</v>
      </c>
      <c r="FR9" s="1023" cm="1" t="str">
        <f t="array" ref="FR9:FR9">FR6</f>
        <v>2074</v>
      </c>
      <c r="FS9" s="1023" cm="1" t="str">
        <f t="array" ref="FS9:FS9">FS6</f>
        <v>2074</v>
      </c>
      <c r="FT9" s="1023" cm="1" t="str">
        <f t="array" ref="FT9:FT9">FT6</f>
        <v>2074</v>
      </c>
      <c r="FU9" s="1023" cm="1" t="str">
        <f t="array" ref="FU9:FU9">FU6</f>
        <v>2075</v>
      </c>
      <c r="FV9" s="1023" cm="1" t="str">
        <f t="array" ref="FV9:FV9">FV6</f>
        <v>2075</v>
      </c>
      <c r="FW9" s="1023" cm="1" t="str">
        <f t="array" ref="FW9:FW9">FW6</f>
        <v>2075</v>
      </c>
      <c r="GC9" s="637"/>
      <c r="GD9" s="637"/>
    </row>
    <row s="1330" customFormat="1" customHeight="1" ht="11.25" hidden="1">
      <c r="A10" s="1023" t="s">
        <v>377</v>
      </c>
      <c r="B10" s="1060"/>
      <c r="F10" s="1061"/>
      <c r="AB10" s="1062"/>
      <c r="AC10" s="1021"/>
      <c r="AD10" s="1023" cm="1" t="str">
        <f t="array" ref="AD10:AD10">AD26</f>
        <v>Предложение организации</v>
      </c>
      <c r="AE10" s="1023" cm="1" t="str">
        <f t="array" ref="AE10:AE10">AE26</f>
        <v>Принято органом регулирования</v>
      </c>
      <c r="AF10" s="1023" cm="1" t="str">
        <f t="array" ref="AF10:AF10">AF26</f>
        <v>Отклонение, %</v>
      </c>
      <c r="AG10" s="1023" cm="1" t="str">
        <f t="array" ref="AG10:AG10">AG26</f>
        <v>Предложение организации</v>
      </c>
      <c r="AH10" s="1023" cm="1" t="str">
        <f t="array" ref="AH10:AH10">AH26</f>
        <v>Принято органом регулирования</v>
      </c>
      <c r="AI10" s="1023" cm="1" t="str">
        <f t="array" ref="AI10:AI10">AI26</f>
        <v>Отклонение, %</v>
      </c>
      <c r="AJ10" s="1023" cm="1" t="str">
        <f t="array" ref="AJ10:AJ10">AJ26</f>
        <v>Предложение организации</v>
      </c>
      <c r="AK10" s="1023" cm="1" t="str">
        <f t="array" ref="AK10:AK10">AK26</f>
        <v>Принято органом регулирования</v>
      </c>
      <c r="AL10" s="1023" cm="1" t="str">
        <f t="array" ref="AL10:AL10">AL26</f>
        <v>Отклонение, %</v>
      </c>
      <c r="AM10" s="1023" cm="1" t="str">
        <f t="array" ref="AM10:AM10">AM26</f>
        <v>Предложение организации</v>
      </c>
      <c r="AN10" s="1023" cm="1" t="str">
        <f t="array" ref="AN10:AN10">AN26</f>
        <v>Принято органом регулирования</v>
      </c>
      <c r="AO10" s="1023" cm="1" t="str">
        <f t="array" ref="AO10:AO10">AO26</f>
        <v>Отклонение, %</v>
      </c>
      <c r="AP10" s="1023" cm="1" t="str">
        <f t="array" ref="AP10:AP10">AP26</f>
        <v>Предложение организации</v>
      </c>
      <c r="AQ10" s="1023" cm="1" t="str">
        <f t="array" ref="AQ10:AQ10">AQ26</f>
        <v>Принято органом регулирования</v>
      </c>
      <c r="AR10" s="1023" cm="1" t="str">
        <f t="array" ref="AR10:AR10">AR26</f>
        <v>Отклонение, %</v>
      </c>
      <c r="AS10" s="1023" cm="1" t="str">
        <f t="array" ref="AS10:AS10">AS26</f>
        <v>Предложение организации</v>
      </c>
      <c r="AT10" s="1023" cm="1" t="str">
        <f t="array" ref="AT10:AT10">AT26</f>
        <v>Принято органом регулирования</v>
      </c>
      <c r="AU10" s="1023" cm="1" t="str">
        <f t="array" ref="AU10:AU10">AU26</f>
        <v>Отклонение, %</v>
      </c>
      <c r="AV10" s="1023" cm="1" t="str">
        <f t="array" ref="AV10:AV10">AV26</f>
        <v>Предложение организации</v>
      </c>
      <c r="AW10" s="1023" cm="1" t="str">
        <f t="array" ref="AW10:AW10">AW26</f>
        <v>Принято органом регулирования</v>
      </c>
      <c r="AX10" s="1023" cm="1" t="str">
        <f t="array" ref="AX10:AX10">AX26</f>
        <v>Отклонение, %</v>
      </c>
      <c r="AY10" s="1023" cm="1" t="str">
        <f t="array" ref="AY10:AY10">AY26</f>
        <v>Предложение организации</v>
      </c>
      <c r="AZ10" s="1023" cm="1" t="str">
        <f t="array" ref="AZ10:AZ10">AZ26</f>
        <v>Принято органом регулирования</v>
      </c>
      <c r="BA10" s="1023" cm="1" t="str">
        <f t="array" ref="BA10:BA10">BA26</f>
        <v>Отклонение, %</v>
      </c>
      <c r="BB10" s="1023" cm="1" t="str">
        <f t="array" ref="BB10:BB10">BB26</f>
        <v>Предложение организации</v>
      </c>
      <c r="BC10" s="1023" cm="1" t="str">
        <f t="array" ref="BC10:BC10">BC26</f>
        <v>Принято органом регулирования</v>
      </c>
      <c r="BD10" s="1023" cm="1" t="str">
        <f t="array" ref="BD10:BD10">BD26</f>
        <v>Отклонение, %</v>
      </c>
      <c r="BE10" s="1023" cm="1" t="str">
        <f t="array" ref="BE10:BE10">BE26</f>
        <v>Предложение организации</v>
      </c>
      <c r="BF10" s="1023" cm="1" t="str">
        <f t="array" ref="BF10:BF10">BF26</f>
        <v>Принято органом регулирования</v>
      </c>
      <c r="BG10" s="1023" cm="1" t="str">
        <f t="array" ref="BG10:BG10">BG26</f>
        <v>Отклонение, %</v>
      </c>
      <c r="BH10" s="1023" cm="1" t="str">
        <f t="array" ref="BH10:BH10">BH26</f>
        <v>Предложение организации</v>
      </c>
      <c r="BI10" s="1023" cm="1" t="str">
        <f t="array" ref="BI10:BI10">BI26</f>
        <v>Принято органом регулирования</v>
      </c>
      <c r="BJ10" s="1023" cm="1" t="str">
        <f t="array" ref="BJ10:BJ10">BJ26</f>
        <v>Отклонение, %</v>
      </c>
      <c r="BK10" s="1023" cm="1" t="str">
        <f t="array" ref="BK10:BK10">BK26</f>
        <v>Предложение организации</v>
      </c>
      <c r="BL10" s="1023" cm="1" t="str">
        <f t="array" ref="BL10:BL10">BL26</f>
        <v>Принято органом регулирования</v>
      </c>
      <c r="BM10" s="1023" cm="1" t="str">
        <f t="array" ref="BM10:BM10">BM26</f>
        <v>Отклонение, %</v>
      </c>
      <c r="BN10" s="1023" cm="1" t="str">
        <f t="array" ref="BN10:BN10">BN26</f>
        <v>Предложение организации</v>
      </c>
      <c r="BO10" s="1023" cm="1" t="str">
        <f t="array" ref="BO10:BO10">BO26</f>
        <v>Принято органом регулирования</v>
      </c>
      <c r="BP10" s="1023" cm="1" t="str">
        <f t="array" ref="BP10:BP10">BP26</f>
        <v>Отклонение, %</v>
      </c>
      <c r="BQ10" s="1023" cm="1" t="str">
        <f t="array" ref="BQ10:BQ10">BQ26</f>
        <v>Предложение организации</v>
      </c>
      <c r="BR10" s="1023" cm="1" t="str">
        <f t="array" ref="BR10:BR10">BR26</f>
        <v>Принято органом регулирования</v>
      </c>
      <c r="BS10" s="1023" cm="1" t="str">
        <f t="array" ref="BS10:BS10">BS26</f>
        <v>Отклонение, %</v>
      </c>
      <c r="BT10" s="1023" cm="1" t="str">
        <f t="array" ref="BT10:BT10">BT26</f>
        <v>Предложение организации</v>
      </c>
      <c r="BU10" s="1023" cm="1" t="str">
        <f t="array" ref="BU10:BU10">BU26</f>
        <v>Принято органом регулирования</v>
      </c>
      <c r="BV10" s="1023" cm="1" t="str">
        <f t="array" ref="BV10:BV10">BV26</f>
        <v>Отклонение, %</v>
      </c>
      <c r="BW10" s="1023" cm="1" t="str">
        <f t="array" ref="BW10:BW10">BW26</f>
        <v>Предложение организации</v>
      </c>
      <c r="BX10" s="1023" cm="1" t="str">
        <f t="array" ref="BX10:BX10">BX26</f>
        <v>Принято органом регулирования</v>
      </c>
      <c r="BY10" s="1023" cm="1" t="str">
        <f t="array" ref="BY10:BY10">BY26</f>
        <v>Отклонение, %</v>
      </c>
      <c r="BZ10" s="1023" cm="1" t="str">
        <f t="array" ref="BZ10:BZ10">BZ26</f>
        <v>Предложение организации</v>
      </c>
      <c r="CA10" s="1023" cm="1" t="str">
        <f t="array" ref="CA10:CA10">CA26</f>
        <v>Принято органом регулирования</v>
      </c>
      <c r="CB10" s="1023" cm="1" t="str">
        <f t="array" ref="CB10:CB10">CB26</f>
        <v>Отклонение, %</v>
      </c>
      <c r="CC10" s="1023" cm="1" t="str">
        <f t="array" ref="CC10:CC10">CC26</f>
        <v>Предложение организации</v>
      </c>
      <c r="CD10" s="1023" cm="1" t="str">
        <f t="array" ref="CD10:CD10">CD26</f>
        <v>Принято органом регулирования</v>
      </c>
      <c r="CE10" s="1023" cm="1" t="str">
        <f t="array" ref="CE10:CE10">CE26</f>
        <v>Отклонение, %</v>
      </c>
      <c r="CF10" s="1023" cm="1" t="str">
        <f t="array" ref="CF10:CF10">CF26</f>
        <v>Предложение организации</v>
      </c>
      <c r="CG10" s="1023" cm="1" t="str">
        <f t="array" ref="CG10:CG10">CG26</f>
        <v>Принято органом регулирования</v>
      </c>
      <c r="CH10" s="1023" cm="1" t="str">
        <f t="array" ref="CH10:CH10">CH26</f>
        <v>Отклонение, %</v>
      </c>
      <c r="CI10" s="1023" cm="1" t="str">
        <f t="array" ref="CI10:CI10">CI26</f>
        <v>Предложение организации</v>
      </c>
      <c r="CJ10" s="1023" cm="1" t="str">
        <f t="array" ref="CJ10:CJ10">CJ26</f>
        <v>Принято органом регулирования</v>
      </c>
      <c r="CK10" s="1023" cm="1" t="str">
        <f t="array" ref="CK10:CK10">CK26</f>
        <v>Отклонение, %</v>
      </c>
      <c r="CL10" s="1023" cm="1" t="str">
        <f t="array" ref="CL10:CL10">CL26</f>
        <v>Предложение организации</v>
      </c>
      <c r="CM10" s="1023" cm="1" t="str">
        <f t="array" ref="CM10:CM10">CM26</f>
        <v>Принято органом регулирования</v>
      </c>
      <c r="CN10" s="1023" cm="1" t="str">
        <f t="array" ref="CN10:CN10">CN26</f>
        <v>Отклонение, %</v>
      </c>
      <c r="CO10" s="1023" cm="1" t="str">
        <f t="array" ref="CO10:CO10">CO26</f>
        <v>Предложение организации</v>
      </c>
      <c r="CP10" s="1023" cm="1" t="str">
        <f t="array" ref="CP10:CP10">CP26</f>
        <v>Принято органом регулирования</v>
      </c>
      <c r="CQ10" s="1023" cm="1" t="str">
        <f t="array" ref="CQ10:CQ10">CQ26</f>
        <v>Отклонение, %</v>
      </c>
      <c r="CR10" s="1023" cm="1" t="str">
        <f t="array" ref="CR10:CR10">CR26</f>
        <v>Предложение организации</v>
      </c>
      <c r="CS10" s="1023" cm="1" t="str">
        <f t="array" ref="CS10:CS10">CS26</f>
        <v>Принято органом регулирования</v>
      </c>
      <c r="CT10" s="1023" cm="1" t="str">
        <f t="array" ref="CT10:CT10">CT26</f>
        <v>Отклонение, %</v>
      </c>
      <c r="CU10" s="1023" cm="1" t="str">
        <f t="array" ref="CU10:CU10">CU26</f>
        <v>Предложение организации</v>
      </c>
      <c r="CV10" s="1023" cm="1" t="str">
        <f t="array" ref="CV10:CV10">CV26</f>
        <v>Принято органом регулирования</v>
      </c>
      <c r="CW10" s="1023" cm="1" t="str">
        <f t="array" ref="CW10:CW10">CW26</f>
        <v>Отклонение, %</v>
      </c>
      <c r="CX10" s="1023" cm="1" t="str">
        <f t="array" ref="CX10:CX10">CX26</f>
        <v>Предложение организации</v>
      </c>
      <c r="CY10" s="1023" cm="1" t="str">
        <f t="array" ref="CY10:CY10">CY26</f>
        <v>Принято органом регулирования</v>
      </c>
      <c r="CZ10" s="1023" cm="1" t="str">
        <f t="array" ref="CZ10:CZ10">CZ26</f>
        <v>Отклонение, %</v>
      </c>
      <c r="DA10" s="1023" cm="1" t="str">
        <f t="array" ref="DA10:DA10">DA26</f>
        <v>Предложение организации</v>
      </c>
      <c r="DB10" s="1023" cm="1" t="str">
        <f t="array" ref="DB10:DB10">DB26</f>
        <v>Принято органом регулирования</v>
      </c>
      <c r="DC10" s="1023" cm="1" t="str">
        <f t="array" ref="DC10:DC10">DC26</f>
        <v>Отклонение, %</v>
      </c>
      <c r="DD10" s="1023" cm="1" t="str">
        <f t="array" ref="DD10:DD10">DD26</f>
        <v>Предложение организации</v>
      </c>
      <c r="DE10" s="1023" cm="1" t="str">
        <f t="array" ref="DE10:DE10">DE26</f>
        <v>Принято органом регулирования</v>
      </c>
      <c r="DF10" s="1023" cm="1" t="str">
        <f t="array" ref="DF10:DF10">DF26</f>
        <v>Отклонение, %</v>
      </c>
      <c r="DG10" s="1023" cm="1" t="str">
        <f t="array" ref="DG10:DG10">DG26</f>
        <v>Предложение организации</v>
      </c>
      <c r="DH10" s="1023" cm="1" t="str">
        <f t="array" ref="DH10:DH10">DH26</f>
        <v>Принято органом регулирования</v>
      </c>
      <c r="DI10" s="1023" cm="1" t="str">
        <f t="array" ref="DI10:DI10">DI26</f>
        <v>Отклонение, %</v>
      </c>
      <c r="DJ10" s="1023" cm="1" t="str">
        <f t="array" ref="DJ10:DJ10">DJ26</f>
        <v>Предложение организации</v>
      </c>
      <c r="DK10" s="1023" cm="1" t="str">
        <f t="array" ref="DK10:DK10">DK26</f>
        <v>Принято органом регулирования</v>
      </c>
      <c r="DL10" s="1023" cm="1" t="str">
        <f t="array" ref="DL10:DL10">DL26</f>
        <v>Отклонение, %</v>
      </c>
      <c r="DM10" s="1023" cm="1" t="str">
        <f t="array" ref="DM10:DM10">DM26</f>
        <v>Предложение организации</v>
      </c>
      <c r="DN10" s="1023" cm="1" t="str">
        <f t="array" ref="DN10:DN10">DN26</f>
        <v>Принято органом регулирования</v>
      </c>
      <c r="DO10" s="1023" cm="1" t="str">
        <f t="array" ref="DO10:DO10">DO26</f>
        <v>Отклонение, %</v>
      </c>
      <c r="DP10" s="1023" cm="1" t="str">
        <f t="array" ref="DP10:DP10">DP26</f>
        <v>Предложение организации</v>
      </c>
      <c r="DQ10" s="1023" cm="1" t="str">
        <f t="array" ref="DQ10:DQ10">DQ26</f>
        <v>Принято органом регулирования</v>
      </c>
      <c r="DR10" s="1023" cm="1" t="str">
        <f t="array" ref="DR10:DR10">DR26</f>
        <v>Отклонение, %</v>
      </c>
      <c r="DS10" s="1023" cm="1" t="str">
        <f t="array" ref="DS10:DS10">DS26</f>
        <v>Предложение организации</v>
      </c>
      <c r="DT10" s="1023" cm="1" t="str">
        <f t="array" ref="DT10:DT10">DT26</f>
        <v>Принято органом регулирования</v>
      </c>
      <c r="DU10" s="1023" cm="1" t="str">
        <f t="array" ref="DU10:DU10">DU26</f>
        <v>Отклонение, %</v>
      </c>
      <c r="DV10" s="1023" cm="1" t="str">
        <f t="array" ref="DV10:DV10">DV26</f>
        <v>Предложение организации</v>
      </c>
      <c r="DW10" s="1023" cm="1" t="str">
        <f t="array" ref="DW10:DW10">DW26</f>
        <v>Принято органом регулирования</v>
      </c>
      <c r="DX10" s="1023" cm="1" t="str">
        <f t="array" ref="DX10:DX10">DX26</f>
        <v>Отклонение, %</v>
      </c>
      <c r="DY10" s="1023" cm="1" t="str">
        <f t="array" ref="DY10:DY10">DY26</f>
        <v>Предложение организации</v>
      </c>
      <c r="DZ10" s="1023" cm="1" t="str">
        <f t="array" ref="DZ10:DZ10">DZ26</f>
        <v>Принято органом регулирования</v>
      </c>
      <c r="EA10" s="1023" cm="1" t="str">
        <f t="array" ref="EA10:EA10">EA26</f>
        <v>Отклонение, %</v>
      </c>
      <c r="EB10" s="1023" cm="1" t="str">
        <f t="array" ref="EB10:EB10">EB26</f>
        <v>Предложение организации</v>
      </c>
      <c r="EC10" s="1023" cm="1" t="str">
        <f t="array" ref="EC10:EC10">EC26</f>
        <v>Принято органом регулирования</v>
      </c>
      <c r="ED10" s="1023" cm="1" t="str">
        <f t="array" ref="ED10:ED10">ED26</f>
        <v>Отклонение, %</v>
      </c>
      <c r="EE10" s="1023" cm="1" t="str">
        <f t="array" ref="EE10:EE10">EE26</f>
        <v>Предложение организации</v>
      </c>
      <c r="EF10" s="1023" cm="1" t="str">
        <f t="array" ref="EF10:EF10">EF26</f>
        <v>Принято органом регулирования</v>
      </c>
      <c r="EG10" s="1023" cm="1" t="str">
        <f t="array" ref="EG10:EG10">EG26</f>
        <v>Отклонение, %</v>
      </c>
      <c r="EH10" s="1023" cm="1" t="str">
        <f t="array" ref="EH10:EH10">EH26</f>
        <v>Предложение организации</v>
      </c>
      <c r="EI10" s="1023" cm="1" t="str">
        <f t="array" ref="EI10:EI10">EI26</f>
        <v>Принято органом регулирования</v>
      </c>
      <c r="EJ10" s="1023" cm="1" t="str">
        <f t="array" ref="EJ10:EJ10">EJ26</f>
        <v>Отклонение, %</v>
      </c>
      <c r="EK10" s="1023" cm="1" t="str">
        <f t="array" ref="EK10:EK10">EK26</f>
        <v>Предложение организации</v>
      </c>
      <c r="EL10" s="1023" cm="1" t="str">
        <f t="array" ref="EL10:EL10">EL26</f>
        <v>Принято органом регулирования</v>
      </c>
      <c r="EM10" s="1023" cm="1" t="str">
        <f t="array" ref="EM10:EM10">EM26</f>
        <v>Отклонение, %</v>
      </c>
      <c r="EN10" s="1023" cm="1" t="str">
        <f t="array" ref="EN10:EN10">EN26</f>
        <v>Предложение организации</v>
      </c>
      <c r="EO10" s="1023" cm="1" t="str">
        <f t="array" ref="EO10:EO10">EO26</f>
        <v>Принято органом регулирования</v>
      </c>
      <c r="EP10" s="1023" cm="1" t="str">
        <f t="array" ref="EP10:EP10">EP26</f>
        <v>Отклонение, %</v>
      </c>
      <c r="EQ10" s="1023" cm="1" t="str">
        <f t="array" ref="EQ10:EQ10">EQ26</f>
        <v>Предложение организации</v>
      </c>
      <c r="ER10" s="1023" cm="1" t="str">
        <f t="array" ref="ER10:ER10">ER26</f>
        <v>Принято органом регулирования</v>
      </c>
      <c r="ES10" s="1023" cm="1" t="str">
        <f t="array" ref="ES10:ES10">ES26</f>
        <v>Отклонение, %</v>
      </c>
      <c r="ET10" s="1023" cm="1" t="str">
        <f t="array" ref="ET10:ET10">ET26</f>
        <v>Предложение организации</v>
      </c>
      <c r="EU10" s="1023" cm="1" t="str">
        <f t="array" ref="EU10:EU10">EU26</f>
        <v>Принято органом регулирования</v>
      </c>
      <c r="EV10" s="1023" cm="1" t="str">
        <f t="array" ref="EV10:EV10">EV26</f>
        <v>Отклонение, %</v>
      </c>
      <c r="EW10" s="1023" cm="1" t="str">
        <f t="array" ref="EW10:EW10">EW26</f>
        <v>Предложение организации</v>
      </c>
      <c r="EX10" s="1023" cm="1" t="str">
        <f t="array" ref="EX10:EX10">EX26</f>
        <v>Принято органом регулирования</v>
      </c>
      <c r="EY10" s="1023" cm="1" t="str">
        <f t="array" ref="EY10:EY10">EY26</f>
        <v>Отклонение, %</v>
      </c>
      <c r="EZ10" s="1023" cm="1" t="str">
        <f t="array" ref="EZ10:EZ10">EZ26</f>
        <v>Предложение организации</v>
      </c>
      <c r="FA10" s="1023" cm="1" t="str">
        <f t="array" ref="FA10:FA10">FA26</f>
        <v>Принято органом регулирования</v>
      </c>
      <c r="FB10" s="1023" cm="1" t="str">
        <f t="array" ref="FB10:FB10">FB26</f>
        <v>Отклонение, %</v>
      </c>
      <c r="FC10" s="1023" cm="1" t="str">
        <f t="array" ref="FC10:FC10">FC26</f>
        <v>Предложение организации</v>
      </c>
      <c r="FD10" s="1023" cm="1" t="str">
        <f t="array" ref="FD10:FD10">FD26</f>
        <v>Принято органом регулирования</v>
      </c>
      <c r="FE10" s="1023" cm="1" t="str">
        <f t="array" ref="FE10:FE10">FE26</f>
        <v>Отклонение, %</v>
      </c>
      <c r="FF10" s="1023" cm="1" t="str">
        <f t="array" ref="FF10:FF10">FF26</f>
        <v>Предложение организации</v>
      </c>
      <c r="FG10" s="1023" cm="1" t="str">
        <f t="array" ref="FG10:FG10">FG26</f>
        <v>Принято органом регулирования</v>
      </c>
      <c r="FH10" s="1023" cm="1" t="str">
        <f t="array" ref="FH10:FH10">FH26</f>
        <v>Отклонение, %</v>
      </c>
      <c r="FI10" s="1023" cm="1" t="str">
        <f t="array" ref="FI10:FI10">FI26</f>
        <v>Предложение организации</v>
      </c>
      <c r="FJ10" s="1023" cm="1" t="str">
        <f t="array" ref="FJ10:FJ10">FJ26</f>
        <v>Принято органом регулирования</v>
      </c>
      <c r="FK10" s="1023" cm="1" t="str">
        <f t="array" ref="FK10:FK10">FK26</f>
        <v>Отклонение, %</v>
      </c>
      <c r="FL10" s="1023" cm="1" t="str">
        <f t="array" ref="FL10:FL10">FL26</f>
        <v>Предложение организации</v>
      </c>
      <c r="FM10" s="1023" cm="1" t="str">
        <f t="array" ref="FM10:FM10">FM26</f>
        <v>Принято органом регулирования</v>
      </c>
      <c r="FN10" s="1023" cm="1" t="str">
        <f t="array" ref="FN10:FN10">FN26</f>
        <v>Отклонение, %</v>
      </c>
      <c r="FO10" s="1023" cm="1" t="str">
        <f t="array" ref="FO10:FO10">FO26</f>
        <v>Предложение организации</v>
      </c>
      <c r="FP10" s="1023" cm="1" t="str">
        <f t="array" ref="FP10:FP10">FP26</f>
        <v>Принято органом регулирования</v>
      </c>
      <c r="FQ10" s="1023" cm="1" t="str">
        <f t="array" ref="FQ10:FQ10">FQ26</f>
        <v>Отклонение, %</v>
      </c>
      <c r="FR10" s="1023" cm="1" t="str">
        <f t="array" ref="FR10:FR10">FR26</f>
        <v>Предложение организации</v>
      </c>
      <c r="FS10" s="1023" cm="1" t="str">
        <f t="array" ref="FS10:FS10">FS26</f>
        <v>Принято органом регулирования</v>
      </c>
      <c r="FT10" s="1023" cm="1" t="str">
        <f t="array" ref="FT10:FT10">FT26</f>
        <v>Отклонение, %</v>
      </c>
      <c r="FU10" s="1023" cm="1" t="str">
        <f t="array" ref="FU10:FU10">FU26</f>
        <v>Предложение организации</v>
      </c>
      <c r="FV10" s="1023" cm="1" t="str">
        <f t="array" ref="FV10:FV10">FV26</f>
        <v>Принято органом регулирования</v>
      </c>
      <c r="FW10" s="1023" cm="1" t="str">
        <f t="array" ref="FW10:FW10">FW26</f>
        <v>Отклонение, %</v>
      </c>
      <c r="GC10" s="637"/>
      <c r="GD10" s="637"/>
    </row>
    <row s="1330" customFormat="1" customHeight="1" ht="11.25" hidden="1">
      <c r="A11" s="1023" t="s">
        <v>350</v>
      </c>
      <c r="B11" s="1060"/>
      <c r="F11" s="1061"/>
      <c r="AB11" s="1062" t="s">
        <v>338</v>
      </c>
      <c r="AC11" s="1021"/>
      <c r="AG11" s="1330"/>
      <c r="AH11" s="1330"/>
      <c r="AI11" s="1330"/>
      <c r="AJ11" s="1330"/>
      <c r="AK11" s="1330"/>
      <c r="AL11" s="1330"/>
      <c r="AM11" s="1330"/>
      <c r="AN11" s="1330"/>
      <c r="AO11" s="1330"/>
      <c r="AP11" s="1330"/>
      <c r="AQ11" s="1330"/>
      <c r="AR11" s="1330"/>
      <c r="AS11" s="1330"/>
      <c r="AT11" s="1330"/>
      <c r="AU11" s="1330"/>
      <c r="AV11" s="1330"/>
      <c r="AW11" s="1330"/>
      <c r="AX11" s="1330"/>
      <c r="AY11" s="1330"/>
      <c r="AZ11" s="1330"/>
      <c r="BA11" s="1330"/>
      <c r="BB11" s="1330"/>
      <c r="BC11" s="1330"/>
      <c r="BD11" s="1330"/>
      <c r="BE11" s="1330"/>
      <c r="BF11" s="1330"/>
      <c r="BG11" s="1330"/>
      <c r="BH11" s="1330"/>
      <c r="BI11" s="1330"/>
      <c r="BJ11" s="1330"/>
      <c r="BK11" s="1330"/>
      <c r="BL11" s="1330"/>
      <c r="BM11" s="1330"/>
      <c r="BN11" s="1330"/>
      <c r="BO11" s="1330"/>
      <c r="BP11" s="1330"/>
      <c r="BQ11" s="1330"/>
      <c r="BR11" s="1330"/>
      <c r="BS11" s="1330"/>
      <c r="BT11" s="1330"/>
      <c r="BU11" s="1330"/>
      <c r="BV11" s="1330"/>
      <c r="BW11" s="1330"/>
      <c r="BX11" s="1330"/>
      <c r="BY11" s="1330"/>
      <c r="BZ11" s="1330"/>
      <c r="CA11" s="1330"/>
      <c r="CB11" s="1330"/>
      <c r="CC11" s="1330"/>
      <c r="CD11" s="1330"/>
      <c r="CE11" s="1330"/>
      <c r="CF11" s="1330"/>
      <c r="CG11" s="1330"/>
      <c r="CH11" s="1330"/>
      <c r="CI11" s="1330"/>
      <c r="CJ11" s="1330"/>
      <c r="CK11" s="1330"/>
      <c r="CL11" s="1330"/>
      <c r="CM11" s="1330"/>
      <c r="CN11" s="1330"/>
      <c r="CO11" s="1330"/>
      <c r="CP11" s="1330"/>
      <c r="CQ11" s="1330"/>
      <c r="CR11" s="1330"/>
      <c r="CS11" s="1330"/>
      <c r="CT11" s="1330"/>
      <c r="CU11" s="1330"/>
      <c r="CV11" s="1330"/>
      <c r="CW11" s="1330"/>
      <c r="CX11" s="1330"/>
      <c r="CY11" s="1330"/>
      <c r="CZ11" s="1330"/>
      <c r="DA11" s="1330"/>
      <c r="DB11" s="1330"/>
      <c r="DC11" s="1330"/>
      <c r="DD11" s="1330"/>
      <c r="DE11" s="1330"/>
      <c r="DF11" s="1330"/>
      <c r="DG11" s="1330"/>
      <c r="DH11" s="1330"/>
      <c r="DI11" s="1330"/>
      <c r="DJ11" s="1330"/>
      <c r="DK11" s="1330"/>
      <c r="DL11" s="1330"/>
      <c r="DM11" s="1330"/>
      <c r="DN11" s="1330"/>
      <c r="DO11" s="1330"/>
      <c r="DP11" s="1330"/>
      <c r="DQ11" s="1330"/>
      <c r="DR11" s="1330"/>
      <c r="DS11" s="1330"/>
      <c r="DT11" s="1330"/>
      <c r="DU11" s="1330"/>
      <c r="DV11" s="1330"/>
      <c r="DW11" s="1330"/>
      <c r="DX11" s="1330"/>
      <c r="DY11" s="1330"/>
      <c r="DZ11" s="1330"/>
      <c r="EA11" s="1330"/>
      <c r="EB11" s="1330"/>
      <c r="EC11" s="1330"/>
      <c r="ED11" s="1330"/>
      <c r="EE11" s="1330"/>
      <c r="EF11" s="1330"/>
      <c r="EG11" s="1330"/>
      <c r="EH11" s="1330"/>
      <c r="EI11" s="1330"/>
      <c r="EJ11" s="1330"/>
      <c r="EK11" s="1330"/>
      <c r="EL11" s="1330"/>
      <c r="EM11" s="1330"/>
      <c r="EN11" s="1330"/>
      <c r="EO11" s="1330"/>
      <c r="EP11" s="1330"/>
      <c r="EQ11" s="1330"/>
      <c r="ER11" s="1330"/>
      <c r="ES11" s="1330"/>
      <c r="ET11" s="1330"/>
      <c r="EU11" s="1330"/>
      <c r="EV11" s="1330"/>
      <c r="EW11" s="1330"/>
      <c r="EX11" s="1330"/>
      <c r="EY11" s="1330"/>
      <c r="EZ11" s="1330"/>
      <c r="FA11" s="1330"/>
      <c r="FB11" s="1330"/>
      <c r="FC11" s="1330"/>
      <c r="FD11" s="1330"/>
      <c r="FE11" s="1330"/>
      <c r="FF11" s="1330"/>
      <c r="FG11" s="1330"/>
      <c r="FH11" s="1330"/>
      <c r="FI11" s="1330"/>
      <c r="FJ11" s="1330"/>
      <c r="FK11" s="1330"/>
      <c r="FL11" s="1330"/>
      <c r="FM11" s="1330"/>
      <c r="FN11" s="1330"/>
      <c r="FO11" s="1330"/>
      <c r="FP11" s="1330"/>
      <c r="FQ11" s="1330"/>
      <c r="FR11" s="1330"/>
      <c r="FS11" s="1330"/>
      <c r="FT11" s="1330"/>
      <c r="FU11" s="1330"/>
      <c r="FV11" s="1330"/>
      <c r="FW11" s="1330"/>
      <c r="GC11" s="637"/>
      <c r="GD11" s="637"/>
    </row>
    <row customHeight="1" ht="11.25" hidden="1">
      <c r="AG12" s="1328"/>
      <c r="AH12" s="1328"/>
      <c r="AI12" s="1328"/>
      <c r="AJ12" s="1328"/>
      <c r="AK12" s="1328"/>
      <c r="AL12" s="1328"/>
      <c r="AM12" s="1328"/>
      <c r="AN12" s="1328"/>
      <c r="AO12" s="1328"/>
      <c r="AP12" s="1328"/>
      <c r="AQ12" s="1328"/>
      <c r="AR12" s="1328"/>
      <c r="AS12" s="1328"/>
      <c r="AT12" s="1328"/>
      <c r="AU12" s="1328"/>
      <c r="AV12" s="1328"/>
      <c r="AW12" s="1328"/>
      <c r="AX12" s="1328"/>
      <c r="AY12" s="1328"/>
      <c r="AZ12" s="1328"/>
      <c r="BA12" s="1328"/>
      <c r="BB12" s="1328"/>
      <c r="BC12" s="1328"/>
      <c r="BD12" s="1328"/>
      <c r="BE12" s="1328"/>
      <c r="BF12" s="1328"/>
      <c r="BG12" s="1328"/>
      <c r="BH12" s="1328"/>
      <c r="BI12" s="1328"/>
      <c r="BJ12" s="1328"/>
      <c r="BK12" s="1328"/>
      <c r="BL12" s="1328"/>
      <c r="BM12" s="1328"/>
      <c r="BN12" s="1328"/>
      <c r="BO12" s="1328"/>
      <c r="BP12" s="1328"/>
      <c r="BQ12" s="1328"/>
      <c r="BR12" s="1328"/>
      <c r="BS12" s="1328"/>
      <c r="BT12" s="1328"/>
      <c r="BU12" s="1328"/>
      <c r="BV12" s="1328"/>
      <c r="BW12" s="1328"/>
      <c r="BX12" s="1328"/>
      <c r="BY12" s="1328"/>
      <c r="BZ12" s="1328"/>
      <c r="CA12" s="1328"/>
      <c r="CB12" s="1328"/>
      <c r="CC12" s="1328"/>
      <c r="CD12" s="1328"/>
      <c r="CE12" s="1328"/>
      <c r="CF12" s="1328"/>
      <c r="CG12" s="1328"/>
      <c r="CH12" s="1328"/>
      <c r="CI12" s="1328"/>
      <c r="CJ12" s="1328"/>
      <c r="CK12" s="1328"/>
      <c r="CL12" s="1328"/>
      <c r="CM12" s="1328"/>
      <c r="CN12" s="1328"/>
      <c r="CO12" s="1328"/>
      <c r="CP12" s="1328"/>
      <c r="CQ12" s="1328"/>
      <c r="CR12" s="1328"/>
      <c r="CS12" s="1328"/>
      <c r="CT12" s="1328"/>
      <c r="CU12" s="1328"/>
      <c r="CV12" s="1328"/>
      <c r="CW12" s="1328"/>
      <c r="CX12" s="1328"/>
      <c r="CY12" s="1328"/>
      <c r="CZ12" s="1328"/>
      <c r="DA12" s="1328"/>
      <c r="DB12" s="1328"/>
      <c r="DC12" s="1328"/>
      <c r="DD12" s="1328"/>
      <c r="DE12" s="1328"/>
      <c r="DF12" s="1328"/>
      <c r="DG12" s="1328"/>
      <c r="DH12" s="1328"/>
      <c r="DI12" s="1328"/>
      <c r="DJ12" s="1328"/>
      <c r="DK12" s="1328"/>
      <c r="DL12" s="1328"/>
      <c r="DM12" s="1328"/>
      <c r="DN12" s="1328"/>
      <c r="DO12" s="1328"/>
      <c r="DP12" s="1328"/>
      <c r="DQ12" s="1328"/>
      <c r="DR12" s="1328"/>
      <c r="DS12" s="1328"/>
      <c r="DT12" s="1328"/>
      <c r="DU12" s="1328"/>
      <c r="DV12" s="1328"/>
      <c r="DW12" s="1328"/>
      <c r="DX12" s="1328"/>
      <c r="DY12" s="1328"/>
      <c r="DZ12" s="1328"/>
      <c r="EA12" s="1328"/>
      <c r="EB12" s="1328"/>
      <c r="EC12" s="1328"/>
      <c r="ED12" s="1328"/>
      <c r="EE12" s="1328"/>
      <c r="EF12" s="1328"/>
      <c r="EG12" s="1328"/>
      <c r="EH12" s="1328"/>
      <c r="EI12" s="1328"/>
      <c r="EJ12" s="1328"/>
      <c r="EK12" s="1328"/>
      <c r="EL12" s="1328"/>
      <c r="EM12" s="1328"/>
      <c r="EN12" s="1328"/>
      <c r="EO12" s="1328"/>
      <c r="EP12" s="1328"/>
      <c r="EQ12" s="1328"/>
      <c r="ER12" s="1328"/>
      <c r="ES12" s="1328"/>
      <c r="ET12" s="1328"/>
      <c r="EU12" s="1328"/>
      <c r="EV12" s="1328"/>
      <c r="EW12" s="1328"/>
      <c r="EX12" s="1328"/>
      <c r="EY12" s="1328"/>
      <c r="EZ12" s="1328"/>
      <c r="FA12" s="1328"/>
      <c r="FB12" s="1328"/>
      <c r="FC12" s="1328"/>
      <c r="FD12" s="1328"/>
      <c r="FE12" s="1328"/>
      <c r="FF12" s="1328"/>
      <c r="FG12" s="1328"/>
      <c r="FH12" s="1328"/>
      <c r="FI12" s="1328"/>
      <c r="FJ12" s="1328"/>
      <c r="FK12" s="1328"/>
      <c r="FL12" s="1328"/>
      <c r="FM12" s="1328"/>
      <c r="FN12" s="1328"/>
      <c r="FO12" s="1328"/>
      <c r="FP12" s="1328"/>
      <c r="FQ12" s="1328"/>
      <c r="FR12" s="1328"/>
      <c r="FS12" s="1328"/>
      <c r="FT12" s="1328"/>
      <c r="FU12" s="1328"/>
      <c r="FV12" s="1328"/>
      <c r="FW12" s="1328"/>
    </row>
    <row customHeight="1" ht="11.25" hidden="1">
      <c r="AG13" s="1328"/>
      <c r="AH13" s="1328"/>
      <c r="AI13" s="1328"/>
      <c r="AJ13" s="1328"/>
      <c r="AK13" s="1328"/>
      <c r="AL13" s="1328"/>
      <c r="AM13" s="1328"/>
      <c r="AN13" s="1328"/>
      <c r="AO13" s="1328"/>
      <c r="AP13" s="1328"/>
      <c r="AQ13" s="1328"/>
      <c r="AR13" s="1328"/>
      <c r="AS13" s="1328"/>
      <c r="AT13" s="1328"/>
      <c r="AU13" s="1328"/>
      <c r="AV13" s="1328"/>
      <c r="AW13" s="1328"/>
      <c r="AX13" s="1328"/>
      <c r="AY13" s="1328"/>
      <c r="AZ13" s="1328"/>
      <c r="BA13" s="1328"/>
      <c r="BB13" s="1328"/>
      <c r="BC13" s="1328"/>
      <c r="BD13" s="1328"/>
      <c r="BE13" s="1328"/>
      <c r="BF13" s="1328"/>
      <c r="BG13" s="1328"/>
      <c r="BH13" s="1328"/>
      <c r="BI13" s="1328"/>
      <c r="BJ13" s="1328"/>
      <c r="BK13" s="1328"/>
      <c r="BL13" s="1328"/>
      <c r="BM13" s="1328"/>
      <c r="BN13" s="1328"/>
      <c r="BO13" s="1328"/>
      <c r="BP13" s="1328"/>
      <c r="BQ13" s="1328"/>
      <c r="BR13" s="1328"/>
      <c r="BS13" s="1328"/>
      <c r="BT13" s="1328"/>
      <c r="BU13" s="1328"/>
      <c r="BV13" s="1328"/>
      <c r="BW13" s="1328"/>
      <c r="BX13" s="1328"/>
      <c r="BY13" s="1328"/>
      <c r="BZ13" s="1328"/>
      <c r="CA13" s="1328"/>
      <c r="CB13" s="1328"/>
      <c r="CC13" s="1328"/>
      <c r="CD13" s="1328"/>
      <c r="CE13" s="1328"/>
      <c r="CF13" s="1328"/>
      <c r="CG13" s="1328"/>
      <c r="CH13" s="1328"/>
      <c r="CI13" s="1328"/>
      <c r="CJ13" s="1328"/>
      <c r="CK13" s="1328"/>
      <c r="CL13" s="1328"/>
      <c r="CM13" s="1328"/>
      <c r="CN13" s="1328"/>
      <c r="CO13" s="1328"/>
      <c r="CP13" s="1328"/>
      <c r="CQ13" s="1328"/>
      <c r="CR13" s="1328"/>
      <c r="CS13" s="1328"/>
      <c r="CT13" s="1328"/>
      <c r="CU13" s="1328"/>
      <c r="CV13" s="1328"/>
      <c r="CW13" s="1328"/>
      <c r="CX13" s="1328"/>
      <c r="CY13" s="1328"/>
      <c r="CZ13" s="1328"/>
      <c r="DA13" s="1328"/>
      <c r="DB13" s="1328"/>
      <c r="DC13" s="1328"/>
      <c r="DD13" s="1328"/>
      <c r="DE13" s="1328"/>
      <c r="DF13" s="1328"/>
      <c r="DG13" s="1328"/>
      <c r="DH13" s="1328"/>
      <c r="DI13" s="1328"/>
      <c r="DJ13" s="1328"/>
      <c r="DK13" s="1328"/>
      <c r="DL13" s="1328"/>
      <c r="DM13" s="1328"/>
      <c r="DN13" s="1328"/>
      <c r="DO13" s="1328"/>
      <c r="DP13" s="1328"/>
      <c r="DQ13" s="1328"/>
      <c r="DR13" s="1328"/>
      <c r="DS13" s="1328"/>
      <c r="DT13" s="1328"/>
      <c r="DU13" s="1328"/>
      <c r="DV13" s="1328"/>
      <c r="DW13" s="1328"/>
      <c r="DX13" s="1328"/>
      <c r="DY13" s="1328"/>
      <c r="DZ13" s="1328"/>
      <c r="EA13" s="1328"/>
      <c r="EB13" s="1328"/>
      <c r="EC13" s="1328"/>
      <c r="ED13" s="1328"/>
      <c r="EE13" s="1328"/>
      <c r="EF13" s="1328"/>
      <c r="EG13" s="1328"/>
      <c r="EH13" s="1328"/>
      <c r="EI13" s="1328"/>
      <c r="EJ13" s="1328"/>
      <c r="EK13" s="1328"/>
      <c r="EL13" s="1328"/>
      <c r="EM13" s="1328"/>
      <c r="EN13" s="1328"/>
      <c r="EO13" s="1328"/>
      <c r="EP13" s="1328"/>
      <c r="EQ13" s="1328"/>
      <c r="ER13" s="1328"/>
      <c r="ES13" s="1328"/>
      <c r="ET13" s="1328"/>
      <c r="EU13" s="1328"/>
      <c r="EV13" s="1328"/>
      <c r="EW13" s="1328"/>
      <c r="EX13" s="1328"/>
      <c r="EY13" s="1328"/>
      <c r="EZ13" s="1328"/>
      <c r="FA13" s="1328"/>
      <c r="FB13" s="1328"/>
      <c r="FC13" s="1328"/>
      <c r="FD13" s="1328"/>
      <c r="FE13" s="1328"/>
      <c r="FF13" s="1328"/>
      <c r="FG13" s="1328"/>
      <c r="FH13" s="1328"/>
      <c r="FI13" s="1328"/>
      <c r="FJ13" s="1328"/>
      <c r="FK13" s="1328"/>
      <c r="FL13" s="1328"/>
      <c r="FM13" s="1328"/>
      <c r="FN13" s="1328"/>
      <c r="FO13" s="1328"/>
      <c r="FP13" s="1328"/>
      <c r="FQ13" s="1328"/>
      <c r="FR13" s="1328"/>
      <c r="FS13" s="1328"/>
      <c r="FT13" s="1328"/>
      <c r="FU13" s="1328"/>
      <c r="FV13" s="1328"/>
      <c r="FW13" s="1328"/>
    </row>
    <row customHeight="1" ht="11.25" hidden="1">
      <c r="AG14" s="1328"/>
      <c r="AH14" s="1328"/>
      <c r="AI14" s="1328"/>
      <c r="AJ14" s="1328"/>
      <c r="AK14" s="1328"/>
      <c r="AL14" s="1328"/>
      <c r="AM14" s="1328"/>
      <c r="AN14" s="1328"/>
      <c r="AO14" s="1328"/>
      <c r="AP14" s="1328"/>
      <c r="AQ14" s="1328"/>
      <c r="AR14" s="1328"/>
      <c r="AS14" s="1328"/>
      <c r="AT14" s="1328"/>
      <c r="AU14" s="1328"/>
      <c r="AV14" s="1328"/>
      <c r="AW14" s="1328"/>
      <c r="AX14" s="1328"/>
      <c r="AY14" s="1328"/>
      <c r="AZ14" s="1328"/>
      <c r="BA14" s="1328"/>
      <c r="BB14" s="1328"/>
      <c r="BC14" s="1328"/>
      <c r="BD14" s="1328"/>
      <c r="BE14" s="1328"/>
      <c r="BF14" s="1328"/>
      <c r="BG14" s="1328"/>
      <c r="BH14" s="1328"/>
      <c r="BI14" s="1328"/>
      <c r="BJ14" s="1328"/>
      <c r="BK14" s="1328"/>
      <c r="BL14" s="1328"/>
      <c r="BM14" s="1328"/>
      <c r="BN14" s="1328"/>
      <c r="BO14" s="1328"/>
      <c r="BP14" s="1328"/>
      <c r="BQ14" s="1328"/>
      <c r="BR14" s="1328"/>
      <c r="BS14" s="1328"/>
      <c r="BT14" s="1328"/>
      <c r="BU14" s="1328"/>
      <c r="BV14" s="1328"/>
      <c r="BW14" s="1328"/>
      <c r="BX14" s="1328"/>
      <c r="BY14" s="1328"/>
      <c r="BZ14" s="1328"/>
      <c r="CA14" s="1328"/>
      <c r="CB14" s="1328"/>
      <c r="CC14" s="1328"/>
      <c r="CD14" s="1328"/>
      <c r="CE14" s="1328"/>
      <c r="CF14" s="1328"/>
      <c r="CG14" s="1328"/>
      <c r="CH14" s="1328"/>
      <c r="CI14" s="1328"/>
      <c r="CJ14" s="1328"/>
      <c r="CK14" s="1328"/>
      <c r="CL14" s="1328"/>
      <c r="CM14" s="1328"/>
      <c r="CN14" s="1328"/>
      <c r="CO14" s="1328"/>
      <c r="CP14" s="1328"/>
      <c r="CQ14" s="1328"/>
      <c r="CR14" s="1328"/>
      <c r="CS14" s="1328"/>
      <c r="CT14" s="1328"/>
      <c r="CU14" s="1328"/>
      <c r="CV14" s="1328"/>
      <c r="CW14" s="1328"/>
      <c r="CX14" s="1328"/>
      <c r="CY14" s="1328"/>
      <c r="CZ14" s="1328"/>
      <c r="DA14" s="1328"/>
      <c r="DB14" s="1328"/>
      <c r="DC14" s="1328"/>
      <c r="DD14" s="1328"/>
      <c r="DE14" s="1328"/>
      <c r="DF14" s="1328"/>
      <c r="DG14" s="1328"/>
      <c r="DH14" s="1328"/>
      <c r="DI14" s="1328"/>
      <c r="DJ14" s="1328"/>
      <c r="DK14" s="1328"/>
      <c r="DL14" s="1328"/>
      <c r="DM14" s="1328"/>
      <c r="DN14" s="1328"/>
      <c r="DO14" s="1328"/>
      <c r="DP14" s="1328"/>
      <c r="DQ14" s="1328"/>
      <c r="DR14" s="1328"/>
      <c r="DS14" s="1328"/>
      <c r="DT14" s="1328"/>
      <c r="DU14" s="1328"/>
      <c r="DV14" s="1328"/>
      <c r="DW14" s="1328"/>
      <c r="DX14" s="1328"/>
      <c r="DY14" s="1328"/>
      <c r="DZ14" s="1328"/>
      <c r="EA14" s="1328"/>
      <c r="EB14" s="1328"/>
      <c r="EC14" s="1328"/>
      <c r="ED14" s="1328"/>
      <c r="EE14" s="1328"/>
      <c r="EF14" s="1328"/>
      <c r="EG14" s="1328"/>
      <c r="EH14" s="1328"/>
      <c r="EI14" s="1328"/>
      <c r="EJ14" s="1328"/>
      <c r="EK14" s="1328"/>
      <c r="EL14" s="1328"/>
      <c r="EM14" s="1328"/>
      <c r="EN14" s="1328"/>
      <c r="EO14" s="1328"/>
      <c r="EP14" s="1328"/>
      <c r="EQ14" s="1328"/>
      <c r="ER14" s="1328"/>
      <c r="ES14" s="1328"/>
      <c r="ET14" s="1328"/>
      <c r="EU14" s="1328"/>
      <c r="EV14" s="1328"/>
      <c r="EW14" s="1328"/>
      <c r="EX14" s="1328"/>
      <c r="EY14" s="1328"/>
      <c r="EZ14" s="1328"/>
      <c r="FA14" s="1328"/>
      <c r="FB14" s="1328"/>
      <c r="FC14" s="1328"/>
      <c r="FD14" s="1328"/>
      <c r="FE14" s="1328"/>
      <c r="FF14" s="1328"/>
      <c r="FG14" s="1328"/>
      <c r="FH14" s="1328"/>
      <c r="FI14" s="1328"/>
      <c r="FJ14" s="1328"/>
      <c r="FK14" s="1328"/>
      <c r="FL14" s="1328"/>
      <c r="FM14" s="1328"/>
      <c r="FN14" s="1328"/>
      <c r="FO14" s="1328"/>
      <c r="FP14" s="1328"/>
      <c r="FQ14" s="1328"/>
      <c r="FR14" s="1328"/>
      <c r="FS14" s="1328"/>
      <c r="FT14" s="1328"/>
      <c r="FU14" s="1328"/>
      <c r="FV14" s="1328"/>
      <c r="FW14" s="1328"/>
    </row>
    <row customHeight="1" ht="11.25" hidden="1">
      <c r="AG15" s="1328"/>
      <c r="AH15" s="1328"/>
      <c r="AI15" s="1328"/>
      <c r="AJ15" s="1328"/>
      <c r="AK15" s="1328"/>
      <c r="AL15" s="1328"/>
      <c r="AM15" s="1328"/>
      <c r="AN15" s="1328"/>
      <c r="AO15" s="1328"/>
      <c r="AP15" s="1328"/>
      <c r="AQ15" s="1328"/>
      <c r="AR15" s="1328"/>
      <c r="AS15" s="1328"/>
      <c r="AT15" s="1328"/>
      <c r="AU15" s="1328"/>
      <c r="AV15" s="1328"/>
      <c r="AW15" s="1328"/>
      <c r="AX15" s="1328"/>
      <c r="AY15" s="1328"/>
      <c r="AZ15" s="1328"/>
      <c r="BA15" s="1328"/>
      <c r="BB15" s="1328"/>
      <c r="BC15" s="1328"/>
      <c r="BD15" s="1328"/>
      <c r="BE15" s="1328"/>
      <c r="BF15" s="1328"/>
      <c r="BG15" s="1328"/>
      <c r="BH15" s="1328"/>
      <c r="BI15" s="1328"/>
      <c r="BJ15" s="1328"/>
      <c r="BK15" s="1328"/>
      <c r="BL15" s="1328"/>
      <c r="BM15" s="1328"/>
      <c r="BN15" s="1328"/>
      <c r="BO15" s="1328"/>
      <c r="BP15" s="1328"/>
      <c r="BQ15" s="1328"/>
      <c r="BR15" s="1328"/>
      <c r="BS15" s="1328"/>
      <c r="BT15" s="1328"/>
      <c r="BU15" s="1328"/>
      <c r="BV15" s="1328"/>
      <c r="BW15" s="1328"/>
      <c r="BX15" s="1328"/>
      <c r="BY15" s="1328"/>
      <c r="BZ15" s="1328"/>
      <c r="CA15" s="1328"/>
      <c r="CB15" s="1328"/>
      <c r="CC15" s="1328"/>
      <c r="CD15" s="1328"/>
      <c r="CE15" s="1328"/>
      <c r="CF15" s="1328"/>
      <c r="CG15" s="1328"/>
      <c r="CH15" s="1328"/>
      <c r="CI15" s="1328"/>
      <c r="CJ15" s="1328"/>
      <c r="CK15" s="1328"/>
      <c r="CL15" s="1328"/>
      <c r="CM15" s="1328"/>
      <c r="CN15" s="1328"/>
      <c r="CO15" s="1328"/>
      <c r="CP15" s="1328"/>
      <c r="CQ15" s="1328"/>
      <c r="CR15" s="1328"/>
      <c r="CS15" s="1328"/>
      <c r="CT15" s="1328"/>
      <c r="CU15" s="1328"/>
      <c r="CV15" s="1328"/>
      <c r="CW15" s="1328"/>
      <c r="CX15" s="1328"/>
      <c r="CY15" s="1328"/>
      <c r="CZ15" s="1328"/>
      <c r="DA15" s="1328"/>
      <c r="DB15" s="1328"/>
      <c r="DC15" s="1328"/>
      <c r="DD15" s="1328"/>
      <c r="DE15" s="1328"/>
      <c r="DF15" s="1328"/>
      <c r="DG15" s="1328"/>
      <c r="DH15" s="1328"/>
      <c r="DI15" s="1328"/>
      <c r="DJ15" s="1328"/>
      <c r="DK15" s="1328"/>
      <c r="DL15" s="1328"/>
      <c r="DM15" s="1328"/>
      <c r="DN15" s="1328"/>
      <c r="DO15" s="1328"/>
      <c r="DP15" s="1328"/>
      <c r="DQ15" s="1328"/>
      <c r="DR15" s="1328"/>
      <c r="DS15" s="1328"/>
      <c r="DT15" s="1328"/>
      <c r="DU15" s="1328"/>
      <c r="DV15" s="1328"/>
      <c r="DW15" s="1328"/>
      <c r="DX15" s="1328"/>
      <c r="DY15" s="1328"/>
      <c r="DZ15" s="1328"/>
      <c r="EA15" s="1328"/>
      <c r="EB15" s="1328"/>
      <c r="EC15" s="1328"/>
      <c r="ED15" s="1328"/>
      <c r="EE15" s="1328"/>
      <c r="EF15" s="1328"/>
      <c r="EG15" s="1328"/>
      <c r="EH15" s="1328"/>
      <c r="EI15" s="1328"/>
      <c r="EJ15" s="1328"/>
      <c r="EK15" s="1328"/>
      <c r="EL15" s="1328"/>
      <c r="EM15" s="1328"/>
      <c r="EN15" s="1328"/>
      <c r="EO15" s="1328"/>
      <c r="EP15" s="1328"/>
      <c r="EQ15" s="1328"/>
      <c r="ER15" s="1328"/>
      <c r="ES15" s="1328"/>
      <c r="ET15" s="1328"/>
      <c r="EU15" s="1328"/>
      <c r="EV15" s="1328"/>
      <c r="EW15" s="1328"/>
      <c r="EX15" s="1328"/>
      <c r="EY15" s="1328"/>
      <c r="EZ15" s="1328"/>
      <c r="FA15" s="1328"/>
      <c r="FB15" s="1328"/>
      <c r="FC15" s="1328"/>
      <c r="FD15" s="1328"/>
      <c r="FE15" s="1328"/>
      <c r="FF15" s="1328"/>
      <c r="FG15" s="1328"/>
      <c r="FH15" s="1328"/>
      <c r="FI15" s="1328"/>
      <c r="FJ15" s="1328"/>
      <c r="FK15" s="1328"/>
      <c r="FL15" s="1328"/>
      <c r="FM15" s="1328"/>
      <c r="FN15" s="1328"/>
      <c r="FO15" s="1328"/>
      <c r="FP15" s="1328"/>
      <c r="FQ15" s="1328"/>
      <c r="FR15" s="1328"/>
      <c r="FS15" s="1328"/>
      <c r="FT15" s="1328"/>
      <c r="FU15" s="1328"/>
      <c r="FV15" s="1328"/>
      <c r="FW15" s="1328"/>
    </row>
    <row customHeight="1" ht="11.25" hidden="1">
      <c r="AG16" s="1328"/>
      <c r="AH16" s="1328"/>
      <c r="AI16" s="1328"/>
      <c r="AJ16" s="1328"/>
      <c r="AK16" s="1328"/>
      <c r="AL16" s="1328"/>
      <c r="AM16" s="1328"/>
      <c r="AN16" s="1328"/>
      <c r="AO16" s="1328"/>
      <c r="AP16" s="1328"/>
      <c r="AQ16" s="1328"/>
      <c r="AR16" s="1328"/>
      <c r="AS16" s="1328"/>
      <c r="AT16" s="1328"/>
      <c r="AU16" s="1328"/>
      <c r="AV16" s="1328"/>
      <c r="AW16" s="1328"/>
      <c r="AX16" s="1328"/>
      <c r="AY16" s="1328"/>
      <c r="AZ16" s="1328"/>
      <c r="BA16" s="1328"/>
      <c r="BB16" s="1328"/>
      <c r="BC16" s="1328"/>
      <c r="BD16" s="1328"/>
      <c r="BE16" s="1328"/>
      <c r="BF16" s="1328"/>
      <c r="BG16" s="1328"/>
      <c r="BH16" s="1328"/>
      <c r="BI16" s="1328"/>
      <c r="BJ16" s="1328"/>
      <c r="BK16" s="1328"/>
      <c r="BL16" s="1328"/>
      <c r="BM16" s="1328"/>
      <c r="BN16" s="1328"/>
      <c r="BO16" s="1328"/>
      <c r="BP16" s="1328"/>
      <c r="BQ16" s="1328"/>
      <c r="BR16" s="1328"/>
      <c r="BS16" s="1328"/>
      <c r="BT16" s="1328"/>
      <c r="BU16" s="1328"/>
      <c r="BV16" s="1328"/>
      <c r="BW16" s="1328"/>
      <c r="BX16" s="1328"/>
      <c r="BY16" s="1328"/>
      <c r="BZ16" s="1328"/>
      <c r="CA16" s="1328"/>
      <c r="CB16" s="1328"/>
      <c r="CC16" s="1328"/>
      <c r="CD16" s="1328"/>
      <c r="CE16" s="1328"/>
      <c r="CF16" s="1328"/>
      <c r="CG16" s="1328"/>
      <c r="CH16" s="1328"/>
      <c r="CI16" s="1328"/>
      <c r="CJ16" s="1328"/>
      <c r="CK16" s="1328"/>
      <c r="CL16" s="1328"/>
      <c r="CM16" s="1328"/>
      <c r="CN16" s="1328"/>
      <c r="CO16" s="1328"/>
      <c r="CP16" s="1328"/>
      <c r="CQ16" s="1328"/>
      <c r="CR16" s="1328"/>
      <c r="CS16" s="1328"/>
      <c r="CT16" s="1328"/>
      <c r="CU16" s="1328"/>
      <c r="CV16" s="1328"/>
      <c r="CW16" s="1328"/>
      <c r="CX16" s="1328"/>
      <c r="CY16" s="1328"/>
      <c r="CZ16" s="1328"/>
      <c r="DA16" s="1328"/>
      <c r="DB16" s="1328"/>
      <c r="DC16" s="1328"/>
      <c r="DD16" s="1328"/>
      <c r="DE16" s="1328"/>
      <c r="DF16" s="1328"/>
      <c r="DG16" s="1328"/>
      <c r="DH16" s="1328"/>
      <c r="DI16" s="1328"/>
      <c r="DJ16" s="1328"/>
      <c r="DK16" s="1328"/>
      <c r="DL16" s="1328"/>
      <c r="DM16" s="1328"/>
      <c r="DN16" s="1328"/>
      <c r="DO16" s="1328"/>
      <c r="DP16" s="1328"/>
      <c r="DQ16" s="1328"/>
      <c r="DR16" s="1328"/>
      <c r="DS16" s="1328"/>
      <c r="DT16" s="1328"/>
      <c r="DU16" s="1328"/>
      <c r="DV16" s="1328"/>
      <c r="DW16" s="1328"/>
      <c r="DX16" s="1328"/>
      <c r="DY16" s="1328"/>
      <c r="DZ16" s="1328"/>
      <c r="EA16" s="1328"/>
      <c r="EB16" s="1328"/>
      <c r="EC16" s="1328"/>
      <c r="ED16" s="1328"/>
      <c r="EE16" s="1328"/>
      <c r="EF16" s="1328"/>
      <c r="EG16" s="1328"/>
      <c r="EH16" s="1328"/>
      <c r="EI16" s="1328"/>
      <c r="EJ16" s="1328"/>
      <c r="EK16" s="1328"/>
      <c r="EL16" s="1328"/>
      <c r="EM16" s="1328"/>
      <c r="EN16" s="1328"/>
      <c r="EO16" s="1328"/>
      <c r="EP16" s="1328"/>
      <c r="EQ16" s="1328"/>
      <c r="ER16" s="1328"/>
      <c r="ES16" s="1328"/>
      <c r="ET16" s="1328"/>
      <c r="EU16" s="1328"/>
      <c r="EV16" s="1328"/>
      <c r="EW16" s="1328"/>
      <c r="EX16" s="1328"/>
      <c r="EY16" s="1328"/>
      <c r="EZ16" s="1328"/>
      <c r="FA16" s="1328"/>
      <c r="FB16" s="1328"/>
      <c r="FC16" s="1328"/>
      <c r="FD16" s="1328"/>
      <c r="FE16" s="1328"/>
      <c r="FF16" s="1328"/>
      <c r="FG16" s="1328"/>
      <c r="FH16" s="1328"/>
      <c r="FI16" s="1328"/>
      <c r="FJ16" s="1328"/>
      <c r="FK16" s="1328"/>
      <c r="FL16" s="1328"/>
      <c r="FM16" s="1328"/>
      <c r="FN16" s="1328"/>
      <c r="FO16" s="1328"/>
      <c r="FP16" s="1328"/>
      <c r="FQ16" s="1328"/>
      <c r="FR16" s="1328"/>
      <c r="FS16" s="1328"/>
      <c r="FT16" s="1328"/>
      <c r="FU16" s="1328"/>
      <c r="FV16" s="1328"/>
      <c r="FW16" s="1328"/>
    </row>
    <row customHeight="1" ht="11.25" hidden="1">
      <c r="AG17" s="1328"/>
      <c r="AH17" s="1328"/>
      <c r="AI17" s="1328"/>
      <c r="AJ17" s="1328"/>
      <c r="AK17" s="1328"/>
      <c r="AL17" s="1328"/>
      <c r="AM17" s="1328"/>
      <c r="AN17" s="1328"/>
      <c r="AO17" s="1328"/>
      <c r="AP17" s="1328"/>
      <c r="AQ17" s="1328"/>
      <c r="AR17" s="1328"/>
      <c r="AS17" s="1328"/>
      <c r="AT17" s="1328"/>
      <c r="AU17" s="1328"/>
      <c r="AV17" s="1328"/>
      <c r="AW17" s="1328"/>
      <c r="AX17" s="1328"/>
      <c r="AY17" s="1328"/>
      <c r="AZ17" s="1328"/>
      <c r="BA17" s="1328"/>
      <c r="BB17" s="1328"/>
      <c r="BC17" s="1328"/>
      <c r="BD17" s="1328"/>
      <c r="BE17" s="1328"/>
      <c r="BF17" s="1328"/>
      <c r="BG17" s="1328"/>
      <c r="BH17" s="1328"/>
      <c r="BI17" s="1328"/>
      <c r="BJ17" s="1328"/>
      <c r="BK17" s="1328"/>
      <c r="BL17" s="1328"/>
      <c r="BM17" s="1328"/>
      <c r="BN17" s="1328"/>
      <c r="BO17" s="1328"/>
      <c r="BP17" s="1328"/>
      <c r="BQ17" s="1328"/>
      <c r="BR17" s="1328"/>
      <c r="BS17" s="1328"/>
      <c r="BT17" s="1328"/>
      <c r="BU17" s="1328"/>
      <c r="BV17" s="1328"/>
      <c r="BW17" s="1328"/>
      <c r="BX17" s="1328"/>
      <c r="BY17" s="1328"/>
      <c r="BZ17" s="1328"/>
      <c r="CA17" s="1328"/>
      <c r="CB17" s="1328"/>
      <c r="CC17" s="1328"/>
      <c r="CD17" s="1328"/>
      <c r="CE17" s="1328"/>
      <c r="CF17" s="1328"/>
      <c r="CG17" s="1328"/>
      <c r="CH17" s="1328"/>
      <c r="CI17" s="1328"/>
      <c r="CJ17" s="1328"/>
      <c r="CK17" s="1328"/>
      <c r="CL17" s="1328"/>
      <c r="CM17" s="1328"/>
      <c r="CN17" s="1328"/>
      <c r="CO17" s="1328"/>
      <c r="CP17" s="1328"/>
      <c r="CQ17" s="1328"/>
      <c r="CR17" s="1328"/>
      <c r="CS17" s="1328"/>
      <c r="CT17" s="1328"/>
      <c r="CU17" s="1328"/>
      <c r="CV17" s="1328"/>
      <c r="CW17" s="1328"/>
      <c r="CX17" s="1328"/>
      <c r="CY17" s="1328"/>
      <c r="CZ17" s="1328"/>
      <c r="DA17" s="1328"/>
      <c r="DB17" s="1328"/>
      <c r="DC17" s="1328"/>
      <c r="DD17" s="1328"/>
      <c r="DE17" s="1328"/>
      <c r="DF17" s="1328"/>
      <c r="DG17" s="1328"/>
      <c r="DH17" s="1328"/>
      <c r="DI17" s="1328"/>
      <c r="DJ17" s="1328"/>
      <c r="DK17" s="1328"/>
      <c r="DL17" s="1328"/>
      <c r="DM17" s="1328"/>
      <c r="DN17" s="1328"/>
      <c r="DO17" s="1328"/>
      <c r="DP17" s="1328"/>
      <c r="DQ17" s="1328"/>
      <c r="DR17" s="1328"/>
      <c r="DS17" s="1328"/>
      <c r="DT17" s="1328"/>
      <c r="DU17" s="1328"/>
      <c r="DV17" s="1328"/>
      <c r="DW17" s="1328"/>
      <c r="DX17" s="1328"/>
      <c r="DY17" s="1328"/>
      <c r="DZ17" s="1328"/>
      <c r="EA17" s="1328"/>
      <c r="EB17" s="1328"/>
      <c r="EC17" s="1328"/>
      <c r="ED17" s="1328"/>
      <c r="EE17" s="1328"/>
      <c r="EF17" s="1328"/>
      <c r="EG17" s="1328"/>
      <c r="EH17" s="1328"/>
      <c r="EI17" s="1328"/>
      <c r="EJ17" s="1328"/>
      <c r="EK17" s="1328"/>
      <c r="EL17" s="1328"/>
      <c r="EM17" s="1328"/>
      <c r="EN17" s="1328"/>
      <c r="EO17" s="1328"/>
      <c r="EP17" s="1328"/>
      <c r="EQ17" s="1328"/>
      <c r="ER17" s="1328"/>
      <c r="ES17" s="1328"/>
      <c r="ET17" s="1328"/>
      <c r="EU17" s="1328"/>
      <c r="EV17" s="1328"/>
      <c r="EW17" s="1328"/>
      <c r="EX17" s="1328"/>
      <c r="EY17" s="1328"/>
      <c r="EZ17" s="1328"/>
      <c r="FA17" s="1328"/>
      <c r="FB17" s="1328"/>
      <c r="FC17" s="1328"/>
      <c r="FD17" s="1328"/>
      <c r="FE17" s="1328"/>
      <c r="FF17" s="1328"/>
      <c r="FG17" s="1328"/>
      <c r="FH17" s="1328"/>
      <c r="FI17" s="1328"/>
      <c r="FJ17" s="1328"/>
      <c r="FK17" s="1328"/>
      <c r="FL17" s="1328"/>
      <c r="FM17" s="1328"/>
      <c r="FN17" s="1328"/>
      <c r="FO17" s="1328"/>
      <c r="FP17" s="1328"/>
      <c r="FQ17" s="1328"/>
      <c r="FR17" s="1328"/>
      <c r="FS17" s="1328"/>
      <c r="FT17" s="1328"/>
      <c r="FU17" s="1328"/>
      <c r="FV17" s="1328"/>
      <c r="FW17" s="1328"/>
    </row>
    <row customHeight="1" ht="11.25" hidden="1">
      <c r="A18" s="94" t="s">
        <v>379</v>
      </c>
      <c r="AB18" s="203" t="s">
        <v>380</v>
      </c>
      <c r="AG18" s="1328"/>
      <c r="AH18" s="1328"/>
      <c r="AI18" s="1328"/>
      <c r="AJ18" s="1328"/>
      <c r="AK18" s="1328"/>
      <c r="AL18" s="1328"/>
      <c r="AM18" s="1328"/>
      <c r="AN18" s="1328"/>
      <c r="AO18" s="1328"/>
      <c r="AP18" s="1328"/>
      <c r="AQ18" s="1328"/>
      <c r="AR18" s="1328"/>
      <c r="AS18" s="1328"/>
      <c r="AT18" s="1328"/>
      <c r="AU18" s="1328"/>
      <c r="AV18" s="1328"/>
      <c r="AW18" s="1328"/>
      <c r="AX18" s="1328"/>
      <c r="AY18" s="1328"/>
      <c r="AZ18" s="1328"/>
      <c r="BA18" s="1328"/>
      <c r="BB18" s="1328"/>
      <c r="BC18" s="1328"/>
      <c r="BD18" s="1328"/>
      <c r="BE18" s="1328"/>
      <c r="BF18" s="1328"/>
      <c r="BG18" s="1328"/>
      <c r="BH18" s="1328"/>
      <c r="BI18" s="1328"/>
      <c r="BJ18" s="1328"/>
      <c r="BK18" s="1328"/>
      <c r="BL18" s="1328"/>
      <c r="BM18" s="1328"/>
      <c r="BN18" s="1328"/>
      <c r="BO18" s="1328"/>
      <c r="BP18" s="1328"/>
      <c r="BQ18" s="1328"/>
      <c r="BR18" s="1328"/>
      <c r="BS18" s="1328"/>
      <c r="BT18" s="1328"/>
      <c r="BU18" s="1328"/>
      <c r="BV18" s="1328"/>
      <c r="BW18" s="1328"/>
      <c r="BX18" s="1328"/>
      <c r="BY18" s="1328"/>
      <c r="BZ18" s="1328"/>
      <c r="CA18" s="1328"/>
      <c r="CB18" s="1328"/>
      <c r="CC18" s="1328"/>
      <c r="CD18" s="1328"/>
      <c r="CE18" s="1328"/>
      <c r="CF18" s="1328"/>
      <c r="CG18" s="1328"/>
      <c r="CH18" s="1328"/>
      <c r="CI18" s="1328"/>
      <c r="CJ18" s="1328"/>
      <c r="CK18" s="1328"/>
      <c r="CL18" s="1328"/>
      <c r="CM18" s="1328"/>
      <c r="CN18" s="1328"/>
      <c r="CO18" s="1328"/>
      <c r="CP18" s="1328"/>
      <c r="CQ18" s="1328"/>
      <c r="CR18" s="1328"/>
      <c r="CS18" s="1328"/>
      <c r="CT18" s="1328"/>
      <c r="CU18" s="1328"/>
      <c r="CV18" s="1328"/>
      <c r="CW18" s="1328"/>
      <c r="CX18" s="1328"/>
      <c r="CY18" s="1328"/>
      <c r="CZ18" s="1328"/>
      <c r="DA18" s="1328"/>
      <c r="DB18" s="1328"/>
      <c r="DC18" s="1328"/>
      <c r="DD18" s="1328"/>
      <c r="DE18" s="1328"/>
      <c r="DF18" s="1328"/>
      <c r="DG18" s="1328"/>
      <c r="DH18" s="1328"/>
      <c r="DI18" s="1328"/>
      <c r="DJ18" s="1328"/>
      <c r="DK18" s="1328"/>
      <c r="DL18" s="1328"/>
      <c r="DM18" s="1328"/>
      <c r="DN18" s="1328"/>
      <c r="DO18" s="1328"/>
      <c r="DP18" s="1328"/>
      <c r="DQ18" s="1328"/>
      <c r="DR18" s="1328"/>
      <c r="DS18" s="1328"/>
      <c r="DT18" s="1328"/>
      <c r="DU18" s="1328"/>
      <c r="DV18" s="1328"/>
      <c r="DW18" s="1328"/>
      <c r="DX18" s="1328"/>
      <c r="DY18" s="1328"/>
      <c r="DZ18" s="1328"/>
      <c r="EA18" s="1328"/>
      <c r="EB18" s="1328"/>
      <c r="EC18" s="1328"/>
      <c r="ED18" s="1328"/>
      <c r="EE18" s="1328"/>
      <c r="EF18" s="1328"/>
      <c r="EG18" s="1328"/>
      <c r="EH18" s="1328"/>
      <c r="EI18" s="1328"/>
      <c r="EJ18" s="1328"/>
      <c r="EK18" s="1328"/>
      <c r="EL18" s="1328"/>
      <c r="EM18" s="1328"/>
      <c r="EN18" s="1328"/>
      <c r="EO18" s="1328"/>
      <c r="EP18" s="1328"/>
      <c r="EQ18" s="1328"/>
      <c r="ER18" s="1328"/>
      <c r="ES18" s="1328"/>
      <c r="ET18" s="1328"/>
      <c r="EU18" s="1328"/>
      <c r="EV18" s="1328"/>
      <c r="EW18" s="1328"/>
      <c r="EX18" s="1328"/>
      <c r="EY18" s="1328"/>
      <c r="EZ18" s="1328"/>
      <c r="FA18" s="1328"/>
      <c r="FB18" s="1328"/>
      <c r="FC18" s="1328"/>
      <c r="FD18" s="1328"/>
      <c r="FE18" s="1328"/>
      <c r="FF18" s="1328"/>
      <c r="FG18" s="1328"/>
      <c r="FH18" s="1328"/>
      <c r="FI18" s="1328"/>
      <c r="FJ18" s="1328"/>
      <c r="FK18" s="1328"/>
      <c r="FL18" s="1328"/>
      <c r="FM18" s="1328"/>
      <c r="FN18" s="1328"/>
      <c r="FO18" s="1328"/>
      <c r="FP18" s="1328"/>
      <c r="FQ18" s="1328"/>
      <c r="FR18" s="1328"/>
      <c r="FS18" s="1328"/>
      <c r="FT18" s="1328"/>
      <c r="FU18" s="1328"/>
      <c r="FV18" s="1328"/>
      <c r="FW18" s="1328"/>
    </row>
    <row customHeight="1" ht="11.25" hidden="1">
      <c r="AG19" s="1328"/>
      <c r="AH19" s="1328"/>
      <c r="AI19" s="1328"/>
      <c r="AJ19" s="1328"/>
      <c r="AK19" s="1328"/>
      <c r="AL19" s="1328"/>
      <c r="AM19" s="1328"/>
      <c r="AN19" s="1328"/>
      <c r="AO19" s="1328"/>
      <c r="AP19" s="1328"/>
      <c r="AQ19" s="1328"/>
      <c r="AR19" s="1328"/>
      <c r="AS19" s="1328"/>
      <c r="AT19" s="1328"/>
      <c r="AU19" s="1328"/>
      <c r="AV19" s="1328"/>
      <c r="AW19" s="1328"/>
      <c r="AX19" s="1328"/>
      <c r="AY19" s="1328"/>
      <c r="AZ19" s="1328"/>
      <c r="BA19" s="1328"/>
      <c r="BB19" s="1328"/>
      <c r="BC19" s="1328"/>
      <c r="BD19" s="1328"/>
      <c r="BE19" s="1328"/>
      <c r="BF19" s="1328"/>
      <c r="BG19" s="1328"/>
      <c r="BH19" s="1328"/>
      <c r="BI19" s="1328"/>
      <c r="BJ19" s="1328"/>
      <c r="BK19" s="1328"/>
      <c r="BL19" s="1328"/>
      <c r="BM19" s="1328"/>
      <c r="BN19" s="1328"/>
      <c r="BO19" s="1328"/>
      <c r="BP19" s="1328"/>
      <c r="BQ19" s="1328"/>
      <c r="BR19" s="1328"/>
      <c r="BS19" s="1328"/>
      <c r="BT19" s="1328"/>
      <c r="BU19" s="1328"/>
      <c r="BV19" s="1328"/>
      <c r="BW19" s="1328"/>
      <c r="BX19" s="1328"/>
      <c r="BY19" s="1328"/>
      <c r="BZ19" s="1328"/>
      <c r="CA19" s="1328"/>
      <c r="CB19" s="1328"/>
      <c r="CC19" s="1328"/>
      <c r="CD19" s="1328"/>
      <c r="CE19" s="1328"/>
      <c r="CF19" s="1328"/>
      <c r="CG19" s="1328"/>
      <c r="CH19" s="1328"/>
      <c r="CI19" s="1328"/>
      <c r="CJ19" s="1328"/>
      <c r="CK19" s="1328"/>
      <c r="CL19" s="1328"/>
      <c r="CM19" s="1328"/>
      <c r="CN19" s="1328"/>
      <c r="CO19" s="1328"/>
      <c r="CP19" s="1328"/>
      <c r="CQ19" s="1328"/>
      <c r="CR19" s="1328"/>
      <c r="CS19" s="1328"/>
      <c r="CT19" s="1328"/>
      <c r="CU19" s="1328"/>
      <c r="CV19" s="1328"/>
      <c r="CW19" s="1328"/>
      <c r="CX19" s="1328"/>
      <c r="CY19" s="1328"/>
      <c r="CZ19" s="1328"/>
      <c r="DA19" s="1328"/>
      <c r="DB19" s="1328"/>
      <c r="DC19" s="1328"/>
      <c r="DD19" s="1328"/>
      <c r="DE19" s="1328"/>
      <c r="DF19" s="1328"/>
      <c r="DG19" s="1328"/>
      <c r="DH19" s="1328"/>
      <c r="DI19" s="1328"/>
      <c r="DJ19" s="1328"/>
      <c r="DK19" s="1328"/>
      <c r="DL19" s="1328"/>
      <c r="DM19" s="1328"/>
      <c r="DN19" s="1328"/>
      <c r="DO19" s="1328"/>
      <c r="DP19" s="1328"/>
      <c r="DQ19" s="1328"/>
      <c r="DR19" s="1328"/>
      <c r="DS19" s="1328"/>
      <c r="DT19" s="1328"/>
      <c r="DU19" s="1328"/>
      <c r="DV19" s="1328"/>
      <c r="DW19" s="1328"/>
      <c r="DX19" s="1328"/>
      <c r="DY19" s="1328"/>
      <c r="DZ19" s="1328"/>
      <c r="EA19" s="1328"/>
      <c r="EB19" s="1328"/>
      <c r="EC19" s="1328"/>
      <c r="ED19" s="1328"/>
      <c r="EE19" s="1328"/>
      <c r="EF19" s="1328"/>
      <c r="EG19" s="1328"/>
      <c r="EH19" s="1328"/>
      <c r="EI19" s="1328"/>
      <c r="EJ19" s="1328"/>
      <c r="EK19" s="1328"/>
      <c r="EL19" s="1328"/>
      <c r="EM19" s="1328"/>
      <c r="EN19" s="1328"/>
      <c r="EO19" s="1328"/>
      <c r="EP19" s="1328"/>
      <c r="EQ19" s="1328"/>
      <c r="ER19" s="1328"/>
      <c r="ES19" s="1328"/>
      <c r="ET19" s="1328"/>
      <c r="EU19" s="1328"/>
      <c r="EV19" s="1328"/>
      <c r="EW19" s="1328"/>
      <c r="EX19" s="1328"/>
      <c r="EY19" s="1328"/>
      <c r="EZ19" s="1328"/>
      <c r="FA19" s="1328"/>
      <c r="FB19" s="1328"/>
      <c r="FC19" s="1328"/>
      <c r="FD19" s="1328"/>
      <c r="FE19" s="1328"/>
      <c r="FF19" s="1328"/>
      <c r="FG19" s="1328"/>
      <c r="FH19" s="1328"/>
      <c r="FI19" s="1328"/>
      <c r="FJ19" s="1328"/>
      <c r="FK19" s="1328"/>
      <c r="FL19" s="1328"/>
      <c r="FM19" s="1328"/>
      <c r="FN19" s="1328"/>
      <c r="FO19" s="1328"/>
      <c r="FP19" s="1328"/>
      <c r="FQ19" s="1328"/>
      <c r="FR19" s="1328"/>
      <c r="FS19" s="1328"/>
      <c r="FT19" s="1328"/>
      <c r="FU19" s="1328"/>
      <c r="FV19" s="1328"/>
      <c r="FW19" s="1328"/>
    </row>
    <row customHeight="1" ht="11.25" hidden="1">
      <c r="AG20" s="1328"/>
      <c r="AH20" s="1328"/>
      <c r="AI20" s="1328"/>
      <c r="AJ20" s="1328"/>
      <c r="AK20" s="1328"/>
      <c r="AL20" s="1328"/>
      <c r="AM20" s="1328"/>
      <c r="AN20" s="1328"/>
      <c r="AO20" s="1328"/>
      <c r="AP20" s="1328"/>
      <c r="AQ20" s="1328"/>
      <c r="AR20" s="1328"/>
      <c r="AS20" s="1328"/>
      <c r="AT20" s="1328"/>
      <c r="AU20" s="1328"/>
      <c r="AV20" s="1328"/>
      <c r="AW20" s="1328"/>
      <c r="AX20" s="1328"/>
      <c r="AY20" s="1328"/>
      <c r="AZ20" s="1328"/>
      <c r="BA20" s="1328"/>
      <c r="BB20" s="1328"/>
      <c r="BC20" s="1328"/>
      <c r="BD20" s="1328"/>
      <c r="BE20" s="1328"/>
      <c r="BF20" s="1328"/>
      <c r="BG20" s="1328"/>
      <c r="BH20" s="1328"/>
      <c r="BI20" s="1328"/>
      <c r="BJ20" s="1328"/>
      <c r="BK20" s="1328"/>
      <c r="BL20" s="1328"/>
      <c r="BM20" s="1328"/>
      <c r="BN20" s="1328"/>
      <c r="BO20" s="1328"/>
      <c r="BP20" s="1328"/>
      <c r="BQ20" s="1328"/>
      <c r="BR20" s="1328"/>
      <c r="BS20" s="1328"/>
      <c r="BT20" s="1328"/>
      <c r="BU20" s="1328"/>
      <c r="BV20" s="1328"/>
      <c r="BW20" s="1328"/>
      <c r="BX20" s="1328"/>
      <c r="BY20" s="1328"/>
      <c r="BZ20" s="1328"/>
      <c r="CA20" s="1328"/>
      <c r="CB20" s="1328"/>
      <c r="CC20" s="1328"/>
      <c r="CD20" s="1328"/>
      <c r="CE20" s="1328"/>
      <c r="CF20" s="1328"/>
      <c r="CG20" s="1328"/>
      <c r="CH20" s="1328"/>
      <c r="CI20" s="1328"/>
      <c r="CJ20" s="1328"/>
      <c r="CK20" s="1328"/>
      <c r="CL20" s="1328"/>
      <c r="CM20" s="1328"/>
      <c r="CN20" s="1328"/>
      <c r="CO20" s="1328"/>
      <c r="CP20" s="1328"/>
      <c r="CQ20" s="1328"/>
      <c r="CR20" s="1328"/>
      <c r="CS20" s="1328"/>
      <c r="CT20" s="1328"/>
      <c r="CU20" s="1328"/>
      <c r="CV20" s="1328"/>
      <c r="CW20" s="1328"/>
      <c r="CX20" s="1328"/>
      <c r="CY20" s="1328"/>
      <c r="CZ20" s="1328"/>
      <c r="DA20" s="1328"/>
      <c r="DB20" s="1328"/>
      <c r="DC20" s="1328"/>
      <c r="DD20" s="1328"/>
      <c r="DE20" s="1328"/>
      <c r="DF20" s="1328"/>
      <c r="DG20" s="1328"/>
      <c r="DH20" s="1328"/>
      <c r="DI20" s="1328"/>
      <c r="DJ20" s="1328"/>
      <c r="DK20" s="1328"/>
      <c r="DL20" s="1328"/>
      <c r="DM20" s="1328"/>
      <c r="DN20" s="1328"/>
      <c r="DO20" s="1328"/>
      <c r="DP20" s="1328"/>
      <c r="DQ20" s="1328"/>
      <c r="DR20" s="1328"/>
      <c r="DS20" s="1328"/>
      <c r="DT20" s="1328"/>
      <c r="DU20" s="1328"/>
      <c r="DV20" s="1328"/>
      <c r="DW20" s="1328"/>
      <c r="DX20" s="1328"/>
      <c r="DY20" s="1328"/>
      <c r="DZ20" s="1328"/>
      <c r="EA20" s="1328"/>
      <c r="EB20" s="1328"/>
      <c r="EC20" s="1328"/>
      <c r="ED20" s="1328"/>
      <c r="EE20" s="1328"/>
      <c r="EF20" s="1328"/>
      <c r="EG20" s="1328"/>
      <c r="EH20" s="1328"/>
      <c r="EI20" s="1328"/>
      <c r="EJ20" s="1328"/>
      <c r="EK20" s="1328"/>
      <c r="EL20" s="1328"/>
      <c r="EM20" s="1328"/>
      <c r="EN20" s="1328"/>
      <c r="EO20" s="1328"/>
      <c r="EP20" s="1328"/>
      <c r="EQ20" s="1328"/>
      <c r="ER20" s="1328"/>
      <c r="ES20" s="1328"/>
      <c r="ET20" s="1328"/>
      <c r="EU20" s="1328"/>
      <c r="EV20" s="1328"/>
      <c r="EW20" s="1328"/>
      <c r="EX20" s="1328"/>
      <c r="EY20" s="1328"/>
      <c r="EZ20" s="1328"/>
      <c r="FA20" s="1328"/>
      <c r="FB20" s="1328"/>
      <c r="FC20" s="1328"/>
      <c r="FD20" s="1328"/>
      <c r="FE20" s="1328"/>
      <c r="FF20" s="1328"/>
      <c r="FG20" s="1328"/>
      <c r="FH20" s="1328"/>
      <c r="FI20" s="1328"/>
      <c r="FJ20" s="1328"/>
      <c r="FK20" s="1328"/>
      <c r="FL20" s="1328"/>
      <c r="FM20" s="1328"/>
      <c r="FN20" s="1328"/>
      <c r="FO20" s="1328"/>
      <c r="FP20" s="1328"/>
      <c r="FQ20" s="1328"/>
      <c r="FR20" s="1328"/>
      <c r="FS20" s="1328"/>
      <c r="FT20" s="1328"/>
      <c r="FU20" s="1328"/>
      <c r="FV20" s="1328"/>
      <c r="FW20" s="1328"/>
    </row>
    <row customHeight="1" ht="14.625">
      <c r="E21" s="637">
        <v>15</v>
      </c>
      <c r="AA21" s="663"/>
      <c r="AB21" s="363" cm="1" t="str">
        <f t="array" ref="AB21:AB21">tpl_title</f>
        <v>Кемеровская область / 2026 / ОАО «СКЭК» (ИНН:4205153492, КПП:420501001) / ДПР: 2024-2028</v>
      </c>
      <c r="AG21" s="1328"/>
      <c r="AH21" s="1328"/>
      <c r="AI21" s="1328"/>
      <c r="AJ21" s="1328"/>
      <c r="AK21" s="1328"/>
      <c r="AL21" s="1328"/>
      <c r="AM21" s="1328"/>
      <c r="AN21" s="1328"/>
      <c r="AO21" s="1328"/>
      <c r="AP21" s="1328"/>
      <c r="AQ21" s="1328"/>
      <c r="AR21" s="1328"/>
      <c r="AS21" s="1328"/>
      <c r="AT21" s="1328"/>
      <c r="AU21" s="1328"/>
      <c r="AV21" s="1328"/>
      <c r="AW21" s="1328"/>
      <c r="AX21" s="1328"/>
      <c r="AY21" s="1328"/>
      <c r="AZ21" s="1328"/>
      <c r="BA21" s="1328"/>
      <c r="BB21" s="1328"/>
      <c r="BC21" s="1328"/>
      <c r="BD21" s="1328"/>
      <c r="BE21" s="1328"/>
      <c r="BF21" s="1328"/>
      <c r="BG21" s="1328"/>
      <c r="BH21" s="1328"/>
      <c r="BI21" s="1328"/>
      <c r="BJ21" s="1328"/>
      <c r="BK21" s="1328"/>
      <c r="BL21" s="1328"/>
      <c r="BM21" s="1328"/>
      <c r="BN21" s="1328"/>
      <c r="BO21" s="1328"/>
      <c r="BP21" s="1328"/>
      <c r="BQ21" s="1328"/>
      <c r="BR21" s="1328"/>
      <c r="BS21" s="1328"/>
      <c r="BT21" s="1328"/>
      <c r="BU21" s="1328"/>
      <c r="BV21" s="1328"/>
      <c r="BW21" s="1328"/>
      <c r="BX21" s="1328"/>
      <c r="BY21" s="1328"/>
      <c r="BZ21" s="1328"/>
      <c r="CA21" s="1328"/>
      <c r="CB21" s="1328"/>
      <c r="CC21" s="1328"/>
      <c r="CD21" s="1328"/>
      <c r="CE21" s="1328"/>
      <c r="CF21" s="1328"/>
      <c r="CG21" s="1328"/>
      <c r="CH21" s="1328"/>
      <c r="CI21" s="1328"/>
      <c r="CJ21" s="1328"/>
      <c r="CK21" s="1328"/>
      <c r="CL21" s="1328"/>
      <c r="CM21" s="1328"/>
      <c r="CN21" s="1328"/>
      <c r="CO21" s="1328"/>
      <c r="CP21" s="1328"/>
      <c r="CQ21" s="1328"/>
      <c r="CR21" s="1328"/>
      <c r="CS21" s="1328"/>
      <c r="CT21" s="1328"/>
      <c r="CU21" s="1328"/>
      <c r="CV21" s="1328"/>
      <c r="CW21" s="1328"/>
      <c r="CX21" s="1328"/>
      <c r="CY21" s="1328"/>
      <c r="CZ21" s="1328"/>
      <c r="DA21" s="1328"/>
      <c r="DB21" s="1328"/>
      <c r="DC21" s="1328"/>
      <c r="DD21" s="1328"/>
      <c r="DE21" s="1328"/>
      <c r="DF21" s="1328"/>
      <c r="DG21" s="1328"/>
      <c r="DH21" s="1328"/>
      <c r="DI21" s="1328"/>
      <c r="DJ21" s="1328"/>
      <c r="DK21" s="1328"/>
      <c r="DL21" s="1328"/>
      <c r="DM21" s="1328"/>
      <c r="DN21" s="1328"/>
      <c r="DO21" s="1328"/>
      <c r="DP21" s="1328"/>
      <c r="DQ21" s="1328"/>
      <c r="DR21" s="1328"/>
      <c r="DS21" s="1328"/>
      <c r="DT21" s="1328"/>
      <c r="DU21" s="1328"/>
      <c r="DV21" s="1328"/>
      <c r="DW21" s="1328"/>
      <c r="DX21" s="1328"/>
      <c r="DY21" s="1328"/>
      <c r="DZ21" s="1328"/>
      <c r="EA21" s="1328"/>
      <c r="EB21" s="1328"/>
      <c r="EC21" s="1328"/>
      <c r="ED21" s="1328"/>
      <c r="EE21" s="1328"/>
      <c r="EF21" s="1328"/>
      <c r="EG21" s="1328"/>
      <c r="EH21" s="1328"/>
      <c r="EI21" s="1328"/>
      <c r="EJ21" s="1328"/>
      <c r="EK21" s="1328"/>
      <c r="EL21" s="1328"/>
      <c r="EM21" s="1328"/>
      <c r="EN21" s="1328"/>
      <c r="EO21" s="1328"/>
      <c r="EP21" s="1328"/>
      <c r="EQ21" s="1328"/>
      <c r="ER21" s="1328"/>
      <c r="ES21" s="1328"/>
      <c r="ET21" s="1328"/>
      <c r="EU21" s="1328"/>
      <c r="EV21" s="1328"/>
      <c r="EW21" s="1328"/>
      <c r="EX21" s="1328"/>
      <c r="EY21" s="1328"/>
      <c r="EZ21" s="1328"/>
      <c r="FA21" s="1328"/>
      <c r="FB21" s="1328"/>
      <c r="FC21" s="1328"/>
      <c r="FD21" s="1328"/>
      <c r="FE21" s="1328"/>
      <c r="FF21" s="1328"/>
      <c r="FG21" s="1328"/>
      <c r="FH21" s="1328"/>
      <c r="FI21" s="1328"/>
      <c r="FJ21" s="1328"/>
      <c r="FK21" s="1328"/>
      <c r="FL21" s="1328"/>
      <c r="FM21" s="1328"/>
      <c r="FN21" s="1328"/>
      <c r="FO21" s="1328"/>
      <c r="FP21" s="1328"/>
      <c r="FQ21" s="1328"/>
      <c r="FR21" s="1328"/>
      <c r="FS21" s="1328"/>
      <c r="FT21" s="1328"/>
      <c r="FU21" s="1328"/>
      <c r="FV21" s="1328"/>
      <c r="FW21" s="1328"/>
    </row>
    <row s="1363" customFormat="1" customHeight="1" ht="23.400000000000002">
      <c r="B22" s="846"/>
      <c r="E22" s="638">
        <v>24</v>
      </c>
      <c r="F22" s="497"/>
      <c r="S22" s="496"/>
      <c r="AB22" s="316" t="s">
        <v>83</v>
      </c>
      <c r="AC22" s="281"/>
      <c r="AD22" s="281"/>
      <c r="AE22" s="281"/>
      <c r="AF22" s="281"/>
      <c r="AG22" s="281"/>
      <c r="AH22" s="281"/>
      <c r="AI22" s="281"/>
      <c r="AJ22" s="281"/>
      <c r="AK22" s="281"/>
      <c r="AL22" s="281"/>
      <c r="AM22" s="281"/>
      <c r="AN22" s="281"/>
      <c r="AO22" s="281"/>
      <c r="AP22" s="281"/>
      <c r="AQ22" s="281"/>
      <c r="AR22" s="281"/>
      <c r="AS22" s="281"/>
      <c r="AT22" s="281"/>
      <c r="AU22" s="281"/>
      <c r="AV22" s="281"/>
      <c r="AW22" s="281"/>
      <c r="AX22" s="281"/>
      <c r="AY22" s="281"/>
      <c r="AZ22" s="281"/>
      <c r="BA22" s="281"/>
      <c r="BB22" s="281"/>
      <c r="BC22" s="281"/>
      <c r="BD22" s="281"/>
      <c r="BE22" s="281"/>
      <c r="BF22" s="281"/>
      <c r="BG22" s="281"/>
      <c r="BH22" s="281"/>
      <c r="BI22" s="281"/>
      <c r="BJ22" s="281"/>
      <c r="BK22" s="281"/>
      <c r="BL22" s="281"/>
      <c r="BM22" s="281"/>
      <c r="BN22" s="281"/>
      <c r="BO22" s="281"/>
      <c r="BP22" s="281"/>
      <c r="BQ22" s="281"/>
      <c r="BR22" s="281"/>
      <c r="BS22" s="281"/>
      <c r="BT22" s="281"/>
      <c r="BU22" s="281"/>
      <c r="BV22" s="281"/>
      <c r="BW22" s="281"/>
      <c r="BX22" s="281"/>
      <c r="BY22" s="281"/>
      <c r="BZ22" s="281"/>
      <c r="CA22" s="281"/>
      <c r="CB22" s="281"/>
      <c r="CC22" s="281"/>
      <c r="CD22" s="281"/>
      <c r="CE22" s="281"/>
      <c r="CF22" s="281"/>
      <c r="CG22" s="281"/>
      <c r="CH22" s="281"/>
      <c r="CI22" s="281"/>
      <c r="CJ22" s="281"/>
      <c r="CK22" s="281"/>
      <c r="CL22" s="281"/>
      <c r="CM22" s="281"/>
      <c r="CN22" s="281"/>
      <c r="CO22" s="281"/>
      <c r="CP22" s="281"/>
      <c r="CQ22" s="281"/>
      <c r="CR22" s="281"/>
      <c r="CS22" s="281"/>
      <c r="CT22" s="281"/>
      <c r="CU22" s="281"/>
      <c r="CV22" s="281"/>
      <c r="CW22" s="281"/>
      <c r="CX22" s="281"/>
      <c r="CY22" s="281"/>
      <c r="CZ22" s="281"/>
      <c r="DA22" s="281"/>
      <c r="DB22" s="281"/>
      <c r="DC22" s="281"/>
      <c r="DD22" s="281"/>
      <c r="DE22" s="281"/>
      <c r="DF22" s="281"/>
      <c r="DG22" s="281"/>
      <c r="DH22" s="281"/>
      <c r="DI22" s="281"/>
      <c r="DJ22" s="281"/>
      <c r="DK22" s="281"/>
      <c r="DL22" s="281"/>
      <c r="DM22" s="281"/>
      <c r="DN22" s="281"/>
      <c r="DO22" s="281"/>
      <c r="DP22" s="281"/>
      <c r="DQ22" s="281"/>
      <c r="DR22" s="281"/>
      <c r="DS22" s="281"/>
      <c r="DT22" s="281"/>
      <c r="DU22" s="281"/>
      <c r="DV22" s="281"/>
      <c r="DW22" s="281"/>
      <c r="DX22" s="281"/>
      <c r="DY22" s="281"/>
      <c r="DZ22" s="281"/>
      <c r="EA22" s="281"/>
      <c r="EB22" s="281"/>
      <c r="EC22" s="281"/>
      <c r="ED22" s="281"/>
      <c r="EE22" s="281"/>
      <c r="EF22" s="281"/>
      <c r="EG22" s="281"/>
      <c r="EH22" s="281"/>
      <c r="EI22" s="281"/>
      <c r="EJ22" s="281"/>
      <c r="EK22" s="281"/>
      <c r="EL22" s="281"/>
      <c r="EM22" s="281"/>
      <c r="EN22" s="281"/>
      <c r="EO22" s="281"/>
      <c r="EP22" s="281"/>
      <c r="EQ22" s="281"/>
      <c r="ER22" s="281"/>
      <c r="ES22" s="281"/>
      <c r="ET22" s="281"/>
      <c r="EU22" s="281"/>
      <c r="EV22" s="281"/>
      <c r="EW22" s="281"/>
      <c r="EX22" s="281"/>
      <c r="EY22" s="281"/>
      <c r="EZ22" s="281"/>
      <c r="FA22" s="281"/>
      <c r="FB22" s="281"/>
      <c r="FC22" s="281"/>
      <c r="FD22" s="281"/>
      <c r="FE22" s="281"/>
      <c r="FF22" s="281"/>
      <c r="FG22" s="281"/>
      <c r="FH22" s="281"/>
      <c r="FI22" s="281"/>
      <c r="FJ22" s="281"/>
      <c r="FK22" s="281"/>
      <c r="FL22" s="281"/>
      <c r="FM22" s="281"/>
      <c r="FN22" s="281"/>
      <c r="FO22" s="281"/>
      <c r="FP22" s="281"/>
      <c r="FQ22" s="281"/>
      <c r="FR22" s="281"/>
      <c r="FS22" s="281"/>
      <c r="FT22" s="281"/>
      <c r="FU22" s="281"/>
      <c r="FV22" s="281"/>
      <c r="FW22" s="281"/>
      <c r="FZ22" s="1026"/>
      <c r="GA22" s="1026"/>
      <c r="GB22" s="1026"/>
      <c r="GC22" s="638"/>
      <c r="GD22" s="638"/>
    </row>
    <row customHeight="1" ht="10.96875">
      <c r="E23" s="637">
        <v>11.25</v>
      </c>
      <c r="AB23" s="140"/>
      <c r="AD23" s="140"/>
      <c r="AG23" s="1328"/>
      <c r="AH23" s="1328"/>
      <c r="AI23" s="1328"/>
      <c r="AJ23" s="1328"/>
      <c r="AK23" s="1328"/>
      <c r="AL23" s="1328"/>
      <c r="AM23" s="1328"/>
      <c r="AN23" s="1328"/>
      <c r="AO23" s="1328"/>
      <c r="AP23" s="1328"/>
      <c r="AQ23" s="1328"/>
      <c r="AR23" s="1328"/>
      <c r="AS23" s="1328"/>
      <c r="AT23" s="1328"/>
      <c r="AU23" s="1328"/>
      <c r="AV23" s="1328"/>
      <c r="AW23" s="1328"/>
      <c r="AX23" s="1328"/>
      <c r="AY23" s="1328"/>
      <c r="AZ23" s="1328"/>
      <c r="BA23" s="1328"/>
      <c r="BB23" s="1328"/>
      <c r="BC23" s="1328"/>
      <c r="BD23" s="1328"/>
      <c r="BE23" s="1328"/>
      <c r="BF23" s="1328"/>
      <c r="BG23" s="1328"/>
      <c r="BH23" s="1328"/>
      <c r="BI23" s="1328"/>
      <c r="BJ23" s="1328"/>
      <c r="BK23" s="1328"/>
      <c r="BL23" s="1328"/>
      <c r="BM23" s="1328"/>
      <c r="BN23" s="1328"/>
      <c r="BO23" s="1328"/>
      <c r="BP23" s="1328"/>
      <c r="BQ23" s="1328"/>
      <c r="BR23" s="1328"/>
      <c r="BS23" s="1328"/>
      <c r="BT23" s="1328"/>
      <c r="BU23" s="1328"/>
      <c r="BV23" s="1328"/>
      <c r="BW23" s="1328"/>
      <c r="BX23" s="1328"/>
      <c r="BY23" s="1328"/>
      <c r="BZ23" s="1328"/>
      <c r="CA23" s="1328"/>
      <c r="CB23" s="1328"/>
      <c r="CC23" s="1328"/>
      <c r="CD23" s="1328"/>
      <c r="CE23" s="1328"/>
      <c r="CF23" s="1328"/>
      <c r="CG23" s="1328"/>
      <c r="CH23" s="1328"/>
      <c r="CI23" s="1328"/>
      <c r="CJ23" s="1328"/>
      <c r="CK23" s="1328"/>
      <c r="CL23" s="1328"/>
      <c r="CM23" s="1328"/>
      <c r="CN23" s="1328"/>
      <c r="CO23" s="1328"/>
      <c r="CP23" s="1328"/>
      <c r="CQ23" s="1328"/>
      <c r="CR23" s="1328"/>
      <c r="CS23" s="1328"/>
      <c r="CT23" s="1328"/>
      <c r="CU23" s="1328"/>
      <c r="CV23" s="1328"/>
      <c r="CW23" s="1328"/>
      <c r="CX23" s="1328"/>
      <c r="CY23" s="1328"/>
      <c r="CZ23" s="1328"/>
      <c r="DA23" s="1328"/>
      <c r="DB23" s="1328"/>
      <c r="DC23" s="1328"/>
      <c r="DD23" s="1328"/>
      <c r="DE23" s="1328"/>
      <c r="DF23" s="1328"/>
      <c r="DG23" s="1328"/>
      <c r="DH23" s="1328"/>
      <c r="DI23" s="1328"/>
      <c r="DJ23" s="1328"/>
      <c r="DK23" s="1328"/>
      <c r="DL23" s="1328"/>
      <c r="DM23" s="1328"/>
      <c r="DN23" s="1328"/>
      <c r="DO23" s="1328"/>
      <c r="DP23" s="1328"/>
      <c r="DQ23" s="1328"/>
      <c r="DR23" s="1328"/>
      <c r="DS23" s="1328"/>
      <c r="DT23" s="1328"/>
      <c r="DU23" s="1328"/>
      <c r="DV23" s="1328"/>
      <c r="DW23" s="1328"/>
      <c r="DX23" s="1328"/>
      <c r="DY23" s="1328"/>
      <c r="DZ23" s="1328"/>
      <c r="EA23" s="1328"/>
      <c r="EB23" s="1328"/>
      <c r="EC23" s="1328"/>
      <c r="ED23" s="1328"/>
      <c r="EE23" s="1328"/>
      <c r="EF23" s="1328"/>
      <c r="EG23" s="1328"/>
      <c r="EH23" s="1328"/>
      <c r="EI23" s="1328"/>
      <c r="EJ23" s="1328"/>
      <c r="EK23" s="1328"/>
      <c r="EL23" s="1328"/>
      <c r="EM23" s="1328"/>
      <c r="EN23" s="1328"/>
      <c r="EO23" s="1328"/>
      <c r="EP23" s="1328"/>
      <c r="EQ23" s="1328"/>
      <c r="ER23" s="1328"/>
      <c r="ES23" s="1328"/>
      <c r="ET23" s="1328"/>
      <c r="EU23" s="1328"/>
      <c r="EV23" s="1328"/>
      <c r="EW23" s="1328"/>
      <c r="EX23" s="1328"/>
      <c r="EY23" s="1328"/>
      <c r="EZ23" s="1328"/>
      <c r="FA23" s="1328"/>
      <c r="FB23" s="1328"/>
      <c r="FC23" s="1328"/>
      <c r="FD23" s="1328"/>
      <c r="FE23" s="1328"/>
      <c r="FF23" s="1328"/>
      <c r="FG23" s="1328"/>
      <c r="FH23" s="1328"/>
      <c r="FI23" s="1328"/>
      <c r="FJ23" s="1328"/>
      <c r="FK23" s="1328"/>
      <c r="FL23" s="1328"/>
      <c r="FM23" s="1328"/>
      <c r="FN23" s="1328"/>
      <c r="FO23" s="1328"/>
      <c r="FP23" s="1328"/>
      <c r="FQ23" s="1328"/>
      <c r="FR23" s="1328"/>
      <c r="FS23" s="1328"/>
      <c r="FT23" s="1328"/>
      <c r="FU23" s="1328"/>
      <c r="FV23" s="1328"/>
      <c r="FW23" s="1328"/>
    </row>
    <row s="1363" customFormat="1" customHeight="1" ht="19.0125">
      <c r="A24" s="1363"/>
      <c r="B24" s="496"/>
      <c r="C24" s="1363"/>
      <c r="D24" s="1363"/>
      <c r="E24" s="638">
        <v>19.5</v>
      </c>
      <c r="F24" s="497"/>
      <c r="G24" s="1363"/>
      <c r="H24" s="1363"/>
      <c r="I24" s="1363"/>
      <c r="J24" s="1363"/>
      <c r="K24" s="1363"/>
      <c r="L24" s="1363"/>
      <c r="M24" s="1363"/>
      <c r="N24" s="1363"/>
      <c r="O24" s="1363"/>
      <c r="P24" s="1363"/>
      <c r="Q24" s="1363"/>
      <c r="R24" s="1363"/>
      <c r="S24" s="1363"/>
      <c r="T24" s="468">
        <f>OR(hasVS,hasVO)</f>
        <v>1</v>
      </c>
      <c r="U24" s="1363"/>
      <c r="V24" s="1363"/>
      <c r="W24" s="1363"/>
      <c r="X24" s="1363"/>
      <c r="Y24" s="1363"/>
      <c r="Z24" s="1363"/>
      <c r="AA24" s="383"/>
      <c r="AB24" s="408" t="s">
        <v>83</v>
      </c>
      <c r="AC24" s="366"/>
      <c r="AD24" s="366"/>
      <c r="AE24" s="366"/>
      <c r="AF24" s="366"/>
      <c r="AG24" s="366"/>
      <c r="AH24" s="366"/>
      <c r="AI24" s="366"/>
      <c r="AJ24" s="366"/>
      <c r="AK24" s="366"/>
      <c r="AL24" s="366"/>
      <c r="AM24" s="366"/>
      <c r="AN24" s="366"/>
      <c r="AO24" s="366"/>
      <c r="AP24" s="366"/>
      <c r="AQ24" s="366"/>
      <c r="AR24" s="366"/>
      <c r="AS24" s="366"/>
      <c r="AT24" s="366"/>
      <c r="AU24" s="366"/>
      <c r="AV24" s="366"/>
      <c r="AW24" s="366"/>
      <c r="AX24" s="366"/>
      <c r="AY24" s="366"/>
      <c r="AZ24" s="366"/>
      <c r="BA24" s="366"/>
      <c r="BB24" s="366"/>
      <c r="BC24" s="366"/>
      <c r="BD24" s="366"/>
      <c r="BE24" s="366"/>
      <c r="BF24" s="366"/>
      <c r="BG24" s="367"/>
      <c r="BH24" s="367"/>
      <c r="BI24" s="367"/>
      <c r="BJ24" s="367"/>
      <c r="BK24" s="367"/>
      <c r="BL24" s="367"/>
      <c r="BM24" s="367"/>
      <c r="BN24" s="367"/>
      <c r="BO24" s="367"/>
      <c r="BP24" s="367"/>
      <c r="BQ24" s="367"/>
      <c r="BR24" s="367"/>
      <c r="BS24" s="367"/>
      <c r="BT24" s="367"/>
      <c r="BU24" s="367"/>
      <c r="BV24" s="367"/>
      <c r="BW24" s="367"/>
      <c r="BX24" s="367"/>
      <c r="BY24" s="367"/>
      <c r="BZ24" s="367"/>
      <c r="CA24" s="367"/>
      <c r="CB24" s="367"/>
      <c r="CC24" s="367"/>
      <c r="CD24" s="367"/>
      <c r="CE24" s="367"/>
      <c r="CF24" s="367"/>
      <c r="CG24" s="367"/>
      <c r="CH24" s="367"/>
      <c r="CI24" s="367"/>
      <c r="CJ24" s="367"/>
      <c r="CK24" s="367"/>
      <c r="CL24" s="367"/>
      <c r="CM24" s="367"/>
      <c r="CN24" s="367"/>
      <c r="CO24" s="367"/>
      <c r="CP24" s="367"/>
      <c r="CQ24" s="367"/>
      <c r="CR24" s="367"/>
      <c r="CS24" s="367"/>
      <c r="CT24" s="367"/>
      <c r="CU24" s="367"/>
      <c r="CV24" s="367"/>
      <c r="CW24" s="367"/>
      <c r="CX24" s="367"/>
      <c r="CY24" s="367"/>
      <c r="CZ24" s="367"/>
      <c r="DA24" s="367"/>
      <c r="DB24" s="367"/>
      <c r="DC24" s="367"/>
      <c r="DD24" s="367"/>
      <c r="DE24" s="367"/>
      <c r="DF24" s="367"/>
      <c r="DG24" s="367"/>
      <c r="DH24" s="367"/>
      <c r="DI24" s="367"/>
      <c r="DJ24" s="367"/>
      <c r="DK24" s="367"/>
      <c r="DL24" s="367"/>
      <c r="DM24" s="367"/>
      <c r="DN24" s="367"/>
      <c r="DO24" s="367"/>
      <c r="DP24" s="367"/>
      <c r="DQ24" s="367"/>
      <c r="DR24" s="367"/>
      <c r="DS24" s="367"/>
      <c r="DT24" s="367"/>
      <c r="DU24" s="367"/>
      <c r="DV24" s="367"/>
      <c r="DW24" s="367"/>
      <c r="DX24" s="367"/>
      <c r="DY24" s="367"/>
      <c r="DZ24" s="367"/>
      <c r="EA24" s="367"/>
      <c r="EB24" s="367"/>
      <c r="EC24" s="367"/>
      <c r="ED24" s="367"/>
      <c r="EE24" s="367"/>
      <c r="EF24" s="367"/>
      <c r="EG24" s="367"/>
      <c r="EH24" s="367"/>
      <c r="EI24" s="367"/>
      <c r="EJ24" s="367"/>
      <c r="EK24" s="367"/>
      <c r="EL24" s="367"/>
      <c r="EM24" s="367"/>
      <c r="EN24" s="367"/>
      <c r="EO24" s="367"/>
      <c r="EP24" s="367"/>
      <c r="EQ24" s="367"/>
      <c r="ER24" s="367"/>
      <c r="ES24" s="367"/>
      <c r="ET24" s="367"/>
      <c r="EU24" s="367"/>
      <c r="EV24" s="367"/>
      <c r="EW24" s="367"/>
      <c r="EX24" s="367"/>
      <c r="EY24" s="367"/>
      <c r="EZ24" s="367"/>
      <c r="FA24" s="367"/>
      <c r="FB24" s="367"/>
      <c r="FC24" s="367"/>
      <c r="FD24" s="367"/>
      <c r="FE24" s="367"/>
      <c r="FF24" s="367"/>
      <c r="FG24" s="367"/>
      <c r="FH24" s="367"/>
      <c r="FI24" s="367"/>
      <c r="FJ24" s="367"/>
      <c r="FK24" s="367"/>
      <c r="FL24" s="367"/>
      <c r="FM24" s="367"/>
      <c r="FN24" s="367"/>
      <c r="FO24" s="367"/>
      <c r="FP24" s="367"/>
      <c r="FQ24" s="367"/>
      <c r="FR24" s="367"/>
      <c r="FS24" s="367"/>
      <c r="FT24" s="367"/>
      <c r="FU24" s="367"/>
      <c r="FV24" s="367"/>
      <c r="FW24" s="367"/>
      <c r="FX24" s="1363"/>
      <c r="FY24" s="1363"/>
      <c r="FZ24" s="1026"/>
      <c r="GA24" s="1026"/>
      <c r="GB24" s="1026"/>
      <c r="GC24" s="638"/>
      <c r="GD24" s="638"/>
    </row>
    <row customHeight="1" ht="10.96875">
      <c r="A25" s="1328"/>
      <c r="B25" s="879"/>
      <c r="C25" s="1328"/>
      <c r="D25" s="1328"/>
      <c r="E25" s="637">
        <v>11.25</v>
      </c>
      <c r="F25" s="1361"/>
      <c r="G25" s="1328"/>
      <c r="H25" s="1328"/>
      <c r="I25" s="1328"/>
      <c r="J25" s="1328"/>
      <c r="K25" s="1328"/>
      <c r="L25" s="1328"/>
      <c r="M25" s="1328"/>
      <c r="N25" s="1328"/>
      <c r="O25" s="1328"/>
      <c r="P25" s="1328"/>
      <c r="Q25" s="1328"/>
      <c r="R25" s="1328"/>
      <c r="S25" s="1328"/>
      <c r="T25" s="468">
        <f>OR(hasVS,hasVO)</f>
        <v>1</v>
      </c>
      <c r="U25" s="1328"/>
      <c r="V25" s="1328"/>
      <c r="W25" s="1328"/>
      <c r="X25" s="1328"/>
      <c r="Y25" s="1328"/>
      <c r="Z25" s="1328"/>
      <c r="AA25" s="1328"/>
      <c r="AB25" s="1540" t="s">
        <v>380</v>
      </c>
      <c r="AC25" s="1540" t="s">
        <v>381</v>
      </c>
      <c r="AD25" s="1609" t="str">
        <f>AD6&amp;" год"</f>
        <v>2026 год</v>
      </c>
      <c r="AE25" s="1610"/>
      <c r="AF25" s="1611"/>
      <c r="AG25" s="1609" t="str">
        <f>AG6&amp;" год"</f>
        <v>2027 год</v>
      </c>
      <c r="AH25" s="1610"/>
      <c r="AI25" s="1611"/>
      <c r="AJ25" s="1609" t="str">
        <f>AJ6&amp;" год"</f>
        <v>2028 год</v>
      </c>
      <c r="AK25" s="1610"/>
      <c r="AL25" s="1611"/>
      <c r="AM25" s="1609" t="str">
        <f>AM6&amp;" год"</f>
        <v>2029 год</v>
      </c>
      <c r="AN25" s="1610"/>
      <c r="AO25" s="1611"/>
      <c r="AP25" s="1609" t="str">
        <f>AP6&amp;" год"</f>
        <v>2030 год</v>
      </c>
      <c r="AQ25" s="1610"/>
      <c r="AR25" s="1611"/>
      <c r="AS25" s="1609" t="str">
        <f>AS6&amp;" год"</f>
        <v>2031 год</v>
      </c>
      <c r="AT25" s="1610"/>
      <c r="AU25" s="1611"/>
      <c r="AV25" s="1609" t="str">
        <f>AV6&amp;" год"</f>
        <v>2032 год</v>
      </c>
      <c r="AW25" s="1610"/>
      <c r="AX25" s="1611"/>
      <c r="AY25" s="1609" t="str">
        <f>AY6&amp;" год"</f>
        <v>2033 год</v>
      </c>
      <c r="AZ25" s="1610"/>
      <c r="BA25" s="1611"/>
      <c r="BB25" s="1609" t="str">
        <f>BB6&amp;" год"</f>
        <v>2034 год</v>
      </c>
      <c r="BC25" s="1610"/>
      <c r="BD25" s="1611"/>
      <c r="BE25" s="1609" t="str">
        <f>BE6&amp;" год"</f>
        <v>2035 год</v>
      </c>
      <c r="BF25" s="1610"/>
      <c r="BG25" s="1611"/>
      <c r="BH25" s="1609" t="str">
        <f>BH6&amp;" год"</f>
        <v>2036 год</v>
      </c>
      <c r="BI25" s="1610"/>
      <c r="BJ25" s="1611"/>
      <c r="BK25" s="1609" t="str">
        <f>BK6&amp;" год"</f>
        <v>2037 год</v>
      </c>
      <c r="BL25" s="1610"/>
      <c r="BM25" s="1611"/>
      <c r="BN25" s="1609" t="str">
        <f>BN6&amp;" год"</f>
        <v>2038 год</v>
      </c>
      <c r="BO25" s="1610"/>
      <c r="BP25" s="1611"/>
      <c r="BQ25" s="1609" t="str">
        <f>BQ6&amp;" год"</f>
        <v>2039 год</v>
      </c>
      <c r="BR25" s="1610"/>
      <c r="BS25" s="1611"/>
      <c r="BT25" s="1609" t="str">
        <f>BT6&amp;" год"</f>
        <v>2040 год</v>
      </c>
      <c r="BU25" s="1610"/>
      <c r="BV25" s="1611"/>
      <c r="BW25" s="1609" t="str">
        <f>BW6&amp;" год"</f>
        <v>2041 год</v>
      </c>
      <c r="BX25" s="1610"/>
      <c r="BY25" s="1611"/>
      <c r="BZ25" s="1609" t="str">
        <f>BZ6&amp;" год"</f>
        <v>2042 год</v>
      </c>
      <c r="CA25" s="1610"/>
      <c r="CB25" s="1611"/>
      <c r="CC25" s="1609" t="str">
        <f>CC6&amp;" год"</f>
        <v>2043 год</v>
      </c>
      <c r="CD25" s="1610"/>
      <c r="CE25" s="1611"/>
      <c r="CF25" s="1609" t="str">
        <f>CF6&amp;" год"</f>
        <v>2044 год</v>
      </c>
      <c r="CG25" s="1610"/>
      <c r="CH25" s="1611"/>
      <c r="CI25" s="1609" t="str">
        <f>CI6&amp;" год"</f>
        <v>2045 год</v>
      </c>
      <c r="CJ25" s="1610"/>
      <c r="CK25" s="1611"/>
      <c r="CL25" s="1609" t="str">
        <f>CL6&amp;" год"</f>
        <v>2046 год</v>
      </c>
      <c r="CM25" s="1610"/>
      <c r="CN25" s="1611"/>
      <c r="CO25" s="1609" t="str">
        <f>CO6&amp;" год"</f>
        <v>2047 год</v>
      </c>
      <c r="CP25" s="1610"/>
      <c r="CQ25" s="1611"/>
      <c r="CR25" s="1609" t="str">
        <f>CR6&amp;" год"</f>
        <v>2048 год</v>
      </c>
      <c r="CS25" s="1610"/>
      <c r="CT25" s="1611"/>
      <c r="CU25" s="1609" t="str">
        <f>CU6&amp;" год"</f>
        <v>2049 год</v>
      </c>
      <c r="CV25" s="1610"/>
      <c r="CW25" s="1611"/>
      <c r="CX25" s="1609" t="str">
        <f>CX6&amp;" год"</f>
        <v>2050 год</v>
      </c>
      <c r="CY25" s="1610"/>
      <c r="CZ25" s="1611"/>
      <c r="DA25" s="1609" t="str">
        <f>DA6&amp;" год"</f>
        <v>2051 год</v>
      </c>
      <c r="DB25" s="1610"/>
      <c r="DC25" s="1611"/>
      <c r="DD25" s="1609" t="str">
        <f>DD6&amp;" год"</f>
        <v>2052 год</v>
      </c>
      <c r="DE25" s="1610"/>
      <c r="DF25" s="1611"/>
      <c r="DG25" s="1609" t="str">
        <f>DG6&amp;" год"</f>
        <v>2053 год</v>
      </c>
      <c r="DH25" s="1610"/>
      <c r="DI25" s="1611"/>
      <c r="DJ25" s="1609" t="str">
        <f>DJ6&amp;" год"</f>
        <v>2054 год</v>
      </c>
      <c r="DK25" s="1610"/>
      <c r="DL25" s="1611"/>
      <c r="DM25" s="1609" t="str">
        <f>DM6&amp;" год"</f>
        <v>2055 год</v>
      </c>
      <c r="DN25" s="1610"/>
      <c r="DO25" s="1611"/>
      <c r="DP25" s="1609" t="str">
        <f>DP6&amp;" год"</f>
        <v>2056 год</v>
      </c>
      <c r="DQ25" s="1610"/>
      <c r="DR25" s="1611"/>
      <c r="DS25" s="1609" t="str">
        <f>DS6&amp;" год"</f>
        <v>2057 год</v>
      </c>
      <c r="DT25" s="1610"/>
      <c r="DU25" s="1611"/>
      <c r="DV25" s="1609" t="str">
        <f>DV6&amp;" год"</f>
        <v>2058 год</v>
      </c>
      <c r="DW25" s="1610"/>
      <c r="DX25" s="1611"/>
      <c r="DY25" s="1609" t="str">
        <f>DY6&amp;" год"</f>
        <v>2059 год</v>
      </c>
      <c r="DZ25" s="1610"/>
      <c r="EA25" s="1611"/>
      <c r="EB25" s="1609" t="str">
        <f>EB6&amp;" год"</f>
        <v>2060 год</v>
      </c>
      <c r="EC25" s="1610"/>
      <c r="ED25" s="1611"/>
      <c r="EE25" s="1609" t="str">
        <f>EE6&amp;" год"</f>
        <v>2061 год</v>
      </c>
      <c r="EF25" s="1610"/>
      <c r="EG25" s="1611"/>
      <c r="EH25" s="1609" t="str">
        <f>EH6&amp;" год"</f>
        <v>2062 год</v>
      </c>
      <c r="EI25" s="1610"/>
      <c r="EJ25" s="1611"/>
      <c r="EK25" s="1609" t="str">
        <f>EK6&amp;" год"</f>
        <v>2063 год</v>
      </c>
      <c r="EL25" s="1610"/>
      <c r="EM25" s="1611"/>
      <c r="EN25" s="1609" t="str">
        <f>EN6&amp;" год"</f>
        <v>2064 год</v>
      </c>
      <c r="EO25" s="1610"/>
      <c r="EP25" s="1611"/>
      <c r="EQ25" s="1609" t="str">
        <f>EQ6&amp;" год"</f>
        <v>2065 год</v>
      </c>
      <c r="ER25" s="1610"/>
      <c r="ES25" s="1611"/>
      <c r="ET25" s="1609" t="str">
        <f>ET6&amp;" год"</f>
        <v>2066 год</v>
      </c>
      <c r="EU25" s="1610"/>
      <c r="EV25" s="1611"/>
      <c r="EW25" s="1609" t="str">
        <f>EW6&amp;" год"</f>
        <v>2067 год</v>
      </c>
      <c r="EX25" s="1610"/>
      <c r="EY25" s="1611"/>
      <c r="EZ25" s="1609" t="str">
        <f>EZ6&amp;" год"</f>
        <v>2068 год</v>
      </c>
      <c r="FA25" s="1610"/>
      <c r="FB25" s="1611"/>
      <c r="FC25" s="1609" t="str">
        <f>FC6&amp;" год"</f>
        <v>2069 год</v>
      </c>
      <c r="FD25" s="1610"/>
      <c r="FE25" s="1611"/>
      <c r="FF25" s="1609" t="str">
        <f>FF6&amp;" год"</f>
        <v>2070 год</v>
      </c>
      <c r="FG25" s="1610"/>
      <c r="FH25" s="1611"/>
      <c r="FI25" s="1609" t="str">
        <f>FI6&amp;" год"</f>
        <v>2071 год</v>
      </c>
      <c r="FJ25" s="1610"/>
      <c r="FK25" s="1611"/>
      <c r="FL25" s="1609" t="str">
        <f>FL6&amp;" год"</f>
        <v>2072 год</v>
      </c>
      <c r="FM25" s="1610"/>
      <c r="FN25" s="1611"/>
      <c r="FO25" s="1609" t="str">
        <f>FO6&amp;" год"</f>
        <v>2073 год</v>
      </c>
      <c r="FP25" s="1610"/>
      <c r="FQ25" s="1611"/>
      <c r="FR25" s="1609" t="str">
        <f>FR6&amp;" год"</f>
        <v>2074 год</v>
      </c>
      <c r="FS25" s="1610"/>
      <c r="FT25" s="1611"/>
      <c r="FU25" s="1609" t="str">
        <f>FU6&amp;" год"</f>
        <v>2075 год</v>
      </c>
      <c r="FV25" s="1610"/>
      <c r="FW25" s="1611"/>
      <c r="FX25" s="1328"/>
      <c r="FY25" s="1328"/>
      <c r="FZ25" s="1330"/>
      <c r="GA25" s="1330"/>
      <c r="GB25" s="1330"/>
      <c r="GC25" s="1329"/>
      <c r="GD25" s="1329"/>
    </row>
    <row customHeight="1" ht="33.39375">
      <c r="A26" s="1328"/>
      <c r="B26" s="879"/>
      <c r="C26" s="1328"/>
      <c r="D26" s="1328"/>
      <c r="E26" s="637">
        <v>34.25</v>
      </c>
      <c r="F26" s="1361"/>
      <c r="G26" s="1328"/>
      <c r="H26" s="1328"/>
      <c r="I26" s="1328"/>
      <c r="J26" s="1328"/>
      <c r="K26" s="1328"/>
      <c r="L26" s="1328"/>
      <c r="M26" s="1328"/>
      <c r="N26" s="1328"/>
      <c r="O26" s="1328"/>
      <c r="P26" s="1328"/>
      <c r="Q26" s="1328"/>
      <c r="R26" s="1328"/>
      <c r="S26" s="1328"/>
      <c r="T26" s="468">
        <f>OR(hasVS,hasVO)</f>
        <v>1</v>
      </c>
      <c r="U26" s="1328"/>
      <c r="V26" s="1328"/>
      <c r="W26" s="1328"/>
      <c r="X26" s="1328"/>
      <c r="Y26" s="1328"/>
      <c r="Z26" s="1328"/>
      <c r="AA26" s="1328"/>
      <c r="AB26" s="1540"/>
      <c r="AC26" s="1540"/>
      <c r="AD26" s="1128" t="s">
        <v>374</v>
      </c>
      <c r="AE26" s="89" t="s">
        <v>373</v>
      </c>
      <c r="AF26" s="89" t="s">
        <v>1852</v>
      </c>
      <c r="AG26" s="1128" t="s">
        <v>374</v>
      </c>
      <c r="AH26" s="89" t="s">
        <v>373</v>
      </c>
      <c r="AI26" s="89" t="s">
        <v>1852</v>
      </c>
      <c r="AJ26" s="1128" t="s">
        <v>374</v>
      </c>
      <c r="AK26" s="89" t="s">
        <v>373</v>
      </c>
      <c r="AL26" s="89" t="s">
        <v>1852</v>
      </c>
      <c r="AM26" s="1128" t="s">
        <v>374</v>
      </c>
      <c r="AN26" s="89" t="s">
        <v>373</v>
      </c>
      <c r="AO26" s="89" t="s">
        <v>1852</v>
      </c>
      <c r="AP26" s="1128" t="s">
        <v>374</v>
      </c>
      <c r="AQ26" s="89" t="s">
        <v>373</v>
      </c>
      <c r="AR26" s="89" t="s">
        <v>1852</v>
      </c>
      <c r="AS26" s="1128" t="s">
        <v>374</v>
      </c>
      <c r="AT26" s="89" t="s">
        <v>373</v>
      </c>
      <c r="AU26" s="89" t="s">
        <v>1852</v>
      </c>
      <c r="AV26" s="1128" t="s">
        <v>374</v>
      </c>
      <c r="AW26" s="89" t="s">
        <v>373</v>
      </c>
      <c r="AX26" s="89" t="s">
        <v>1852</v>
      </c>
      <c r="AY26" s="1128" t="s">
        <v>374</v>
      </c>
      <c r="AZ26" s="89" t="s">
        <v>373</v>
      </c>
      <c r="BA26" s="89" t="s">
        <v>1852</v>
      </c>
      <c r="BB26" s="1128" t="s">
        <v>374</v>
      </c>
      <c r="BC26" s="89" t="s">
        <v>373</v>
      </c>
      <c r="BD26" s="89" t="s">
        <v>1852</v>
      </c>
      <c r="BE26" s="1128" t="s">
        <v>374</v>
      </c>
      <c r="BF26" s="89" t="s">
        <v>373</v>
      </c>
      <c r="BG26" s="89" t="s">
        <v>1852</v>
      </c>
      <c r="BH26" s="1128" t="s">
        <v>374</v>
      </c>
      <c r="BI26" s="89" t="s">
        <v>373</v>
      </c>
      <c r="BJ26" s="89" t="s">
        <v>1852</v>
      </c>
      <c r="BK26" s="1128" t="s">
        <v>374</v>
      </c>
      <c r="BL26" s="89" t="s">
        <v>373</v>
      </c>
      <c r="BM26" s="89" t="s">
        <v>1852</v>
      </c>
      <c r="BN26" s="1128" t="s">
        <v>374</v>
      </c>
      <c r="BO26" s="89" t="s">
        <v>373</v>
      </c>
      <c r="BP26" s="89" t="s">
        <v>1852</v>
      </c>
      <c r="BQ26" s="1128" t="s">
        <v>374</v>
      </c>
      <c r="BR26" s="89" t="s">
        <v>373</v>
      </c>
      <c r="BS26" s="89" t="s">
        <v>1852</v>
      </c>
      <c r="BT26" s="1128" t="s">
        <v>374</v>
      </c>
      <c r="BU26" s="89" t="s">
        <v>373</v>
      </c>
      <c r="BV26" s="89" t="s">
        <v>1852</v>
      </c>
      <c r="BW26" s="1128" t="s">
        <v>374</v>
      </c>
      <c r="BX26" s="89" t="s">
        <v>373</v>
      </c>
      <c r="BY26" s="89" t="s">
        <v>1852</v>
      </c>
      <c r="BZ26" s="1128" t="s">
        <v>374</v>
      </c>
      <c r="CA26" s="89" t="s">
        <v>373</v>
      </c>
      <c r="CB26" s="89" t="s">
        <v>1852</v>
      </c>
      <c r="CC26" s="1128" t="s">
        <v>374</v>
      </c>
      <c r="CD26" s="89" t="s">
        <v>373</v>
      </c>
      <c r="CE26" s="89" t="s">
        <v>1852</v>
      </c>
      <c r="CF26" s="1128" t="s">
        <v>374</v>
      </c>
      <c r="CG26" s="89" t="s">
        <v>373</v>
      </c>
      <c r="CH26" s="89" t="s">
        <v>1852</v>
      </c>
      <c r="CI26" s="1128" t="s">
        <v>374</v>
      </c>
      <c r="CJ26" s="89" t="s">
        <v>373</v>
      </c>
      <c r="CK26" s="89" t="s">
        <v>1852</v>
      </c>
      <c r="CL26" s="1128" t="s">
        <v>374</v>
      </c>
      <c r="CM26" s="89" t="s">
        <v>373</v>
      </c>
      <c r="CN26" s="89" t="s">
        <v>1852</v>
      </c>
      <c r="CO26" s="1128" t="s">
        <v>374</v>
      </c>
      <c r="CP26" s="89" t="s">
        <v>373</v>
      </c>
      <c r="CQ26" s="89" t="s">
        <v>1852</v>
      </c>
      <c r="CR26" s="1128" t="s">
        <v>374</v>
      </c>
      <c r="CS26" s="89" t="s">
        <v>373</v>
      </c>
      <c r="CT26" s="89" t="s">
        <v>1852</v>
      </c>
      <c r="CU26" s="1128" t="s">
        <v>374</v>
      </c>
      <c r="CV26" s="89" t="s">
        <v>373</v>
      </c>
      <c r="CW26" s="89" t="s">
        <v>1852</v>
      </c>
      <c r="CX26" s="1128" t="s">
        <v>374</v>
      </c>
      <c r="CY26" s="89" t="s">
        <v>373</v>
      </c>
      <c r="CZ26" s="89" t="s">
        <v>1852</v>
      </c>
      <c r="DA26" s="1128" t="s">
        <v>374</v>
      </c>
      <c r="DB26" s="89" t="s">
        <v>373</v>
      </c>
      <c r="DC26" s="89" t="s">
        <v>1852</v>
      </c>
      <c r="DD26" s="1128" t="s">
        <v>374</v>
      </c>
      <c r="DE26" s="89" t="s">
        <v>373</v>
      </c>
      <c r="DF26" s="89" t="s">
        <v>1852</v>
      </c>
      <c r="DG26" s="1128" t="s">
        <v>374</v>
      </c>
      <c r="DH26" s="89" t="s">
        <v>373</v>
      </c>
      <c r="DI26" s="89" t="s">
        <v>1852</v>
      </c>
      <c r="DJ26" s="1128" t="s">
        <v>374</v>
      </c>
      <c r="DK26" s="89" t="s">
        <v>373</v>
      </c>
      <c r="DL26" s="89" t="s">
        <v>1852</v>
      </c>
      <c r="DM26" s="1128" t="s">
        <v>374</v>
      </c>
      <c r="DN26" s="89" t="s">
        <v>373</v>
      </c>
      <c r="DO26" s="89" t="s">
        <v>1852</v>
      </c>
      <c r="DP26" s="1128" t="s">
        <v>374</v>
      </c>
      <c r="DQ26" s="89" t="s">
        <v>373</v>
      </c>
      <c r="DR26" s="89" t="s">
        <v>1852</v>
      </c>
      <c r="DS26" s="1128" t="s">
        <v>374</v>
      </c>
      <c r="DT26" s="89" t="s">
        <v>373</v>
      </c>
      <c r="DU26" s="89" t="s">
        <v>1852</v>
      </c>
      <c r="DV26" s="1128" t="s">
        <v>374</v>
      </c>
      <c r="DW26" s="89" t="s">
        <v>373</v>
      </c>
      <c r="DX26" s="89" t="s">
        <v>1852</v>
      </c>
      <c r="DY26" s="1128" t="s">
        <v>374</v>
      </c>
      <c r="DZ26" s="89" t="s">
        <v>373</v>
      </c>
      <c r="EA26" s="89" t="s">
        <v>1852</v>
      </c>
      <c r="EB26" s="1128" t="s">
        <v>374</v>
      </c>
      <c r="EC26" s="89" t="s">
        <v>373</v>
      </c>
      <c r="ED26" s="89" t="s">
        <v>1852</v>
      </c>
      <c r="EE26" s="1128" t="s">
        <v>374</v>
      </c>
      <c r="EF26" s="89" t="s">
        <v>373</v>
      </c>
      <c r="EG26" s="89" t="s">
        <v>1852</v>
      </c>
      <c r="EH26" s="1128" t="s">
        <v>374</v>
      </c>
      <c r="EI26" s="89" t="s">
        <v>373</v>
      </c>
      <c r="EJ26" s="89" t="s">
        <v>1852</v>
      </c>
      <c r="EK26" s="1128" t="s">
        <v>374</v>
      </c>
      <c r="EL26" s="89" t="s">
        <v>373</v>
      </c>
      <c r="EM26" s="89" t="s">
        <v>1852</v>
      </c>
      <c r="EN26" s="1128" t="s">
        <v>374</v>
      </c>
      <c r="EO26" s="89" t="s">
        <v>373</v>
      </c>
      <c r="EP26" s="89" t="s">
        <v>1852</v>
      </c>
      <c r="EQ26" s="1128" t="s">
        <v>374</v>
      </c>
      <c r="ER26" s="89" t="s">
        <v>373</v>
      </c>
      <c r="ES26" s="89" t="s">
        <v>1852</v>
      </c>
      <c r="ET26" s="1128" t="s">
        <v>374</v>
      </c>
      <c r="EU26" s="89" t="s">
        <v>373</v>
      </c>
      <c r="EV26" s="89" t="s">
        <v>1852</v>
      </c>
      <c r="EW26" s="1128" t="s">
        <v>374</v>
      </c>
      <c r="EX26" s="89" t="s">
        <v>373</v>
      </c>
      <c r="EY26" s="89" t="s">
        <v>1852</v>
      </c>
      <c r="EZ26" s="1128" t="s">
        <v>374</v>
      </c>
      <c r="FA26" s="89" t="s">
        <v>373</v>
      </c>
      <c r="FB26" s="89" t="s">
        <v>1852</v>
      </c>
      <c r="FC26" s="1128" t="s">
        <v>374</v>
      </c>
      <c r="FD26" s="89" t="s">
        <v>373</v>
      </c>
      <c r="FE26" s="89" t="s">
        <v>1852</v>
      </c>
      <c r="FF26" s="1128" t="s">
        <v>374</v>
      </c>
      <c r="FG26" s="89" t="s">
        <v>373</v>
      </c>
      <c r="FH26" s="89" t="s">
        <v>1852</v>
      </c>
      <c r="FI26" s="1128" t="s">
        <v>374</v>
      </c>
      <c r="FJ26" s="89" t="s">
        <v>373</v>
      </c>
      <c r="FK26" s="89" t="s">
        <v>1852</v>
      </c>
      <c r="FL26" s="1128" t="s">
        <v>374</v>
      </c>
      <c r="FM26" s="89" t="s">
        <v>373</v>
      </c>
      <c r="FN26" s="89" t="s">
        <v>1852</v>
      </c>
      <c r="FO26" s="1128" t="s">
        <v>374</v>
      </c>
      <c r="FP26" s="89" t="s">
        <v>373</v>
      </c>
      <c r="FQ26" s="89" t="s">
        <v>1852</v>
      </c>
      <c r="FR26" s="1128" t="s">
        <v>374</v>
      </c>
      <c r="FS26" s="89" t="s">
        <v>373</v>
      </c>
      <c r="FT26" s="89" t="s">
        <v>1852</v>
      </c>
      <c r="FU26" s="1128" t="s">
        <v>374</v>
      </c>
      <c r="FV26" s="89" t="s">
        <v>373</v>
      </c>
      <c r="FW26" s="89" t="s">
        <v>1852</v>
      </c>
      <c r="FX26" s="1328"/>
      <c r="FY26" s="1328"/>
      <c r="FZ26" s="1330"/>
      <c r="GA26" s="1330"/>
      <c r="GB26" s="1330"/>
      <c r="GC26" s="1329"/>
      <c r="GD26" s="1329"/>
    </row>
    <row customHeight="1" ht="11.25" hidden="1">
      <c r="A27" s="1328"/>
      <c r="B27" s="879"/>
      <c r="C27" s="1328"/>
      <c r="D27" s="1328"/>
      <c r="E27" s="637">
        <v>0</v>
      </c>
      <c r="F27" s="1361"/>
      <c r="G27" s="1328"/>
      <c r="H27" s="1328"/>
      <c r="I27" s="1328"/>
      <c r="J27" s="1328"/>
      <c r="K27" s="1328"/>
      <c r="L27" s="1328"/>
      <c r="M27" s="1328"/>
      <c r="N27" s="1328"/>
      <c r="O27" s="1328"/>
      <c r="P27" s="1328"/>
      <c r="Q27" s="1328"/>
      <c r="R27" s="1328"/>
      <c r="S27" s="1328"/>
      <c r="T27" s="468">
        <f>OR(hasVS,hasVO)</f>
        <v>1</v>
      </c>
      <c r="U27" s="1328"/>
      <c r="V27" s="1328"/>
      <c r="W27" s="1328"/>
      <c r="X27" s="1328"/>
      <c r="Y27" s="1328"/>
      <c r="Z27" s="1328"/>
      <c r="AA27" s="1328"/>
      <c r="AB27" s="200"/>
      <c r="AC27" s="293"/>
      <c r="AD27" s="139"/>
      <c r="AE27" s="139"/>
      <c r="AF27" s="139"/>
      <c r="AG27" s="139"/>
      <c r="AH27" s="139"/>
      <c r="AI27" s="139"/>
      <c r="AJ27" s="139"/>
      <c r="AK27" s="139"/>
      <c r="AL27" s="139"/>
      <c r="AM27" s="139"/>
      <c r="AN27" s="139"/>
      <c r="AO27" s="139"/>
      <c r="AP27" s="139"/>
      <c r="AQ27" s="139"/>
      <c r="AR27" s="139"/>
      <c r="AS27" s="139"/>
      <c r="AT27" s="139"/>
      <c r="AU27" s="139"/>
      <c r="AV27" s="139"/>
      <c r="AW27" s="139"/>
      <c r="AX27" s="139"/>
      <c r="AY27" s="139"/>
      <c r="AZ27" s="139"/>
      <c r="BA27" s="139"/>
      <c r="BB27" s="139"/>
      <c r="BC27" s="139"/>
      <c r="BD27" s="139"/>
      <c r="BE27" s="139"/>
      <c r="BF27" s="139"/>
      <c r="BG27" s="139"/>
      <c r="BH27" s="139"/>
      <c r="BI27" s="139"/>
      <c r="BJ27" s="139"/>
      <c r="BK27" s="139"/>
      <c r="BL27" s="139"/>
      <c r="BM27" s="139"/>
      <c r="BN27" s="139"/>
      <c r="BO27" s="139"/>
      <c r="BP27" s="139"/>
      <c r="BQ27" s="139"/>
      <c r="BR27" s="139"/>
      <c r="BS27" s="139"/>
      <c r="BT27" s="139"/>
      <c r="BU27" s="139"/>
      <c r="BV27" s="139"/>
      <c r="BW27" s="139"/>
      <c r="BX27" s="139"/>
      <c r="BY27" s="139"/>
      <c r="BZ27" s="139"/>
      <c r="CA27" s="139"/>
      <c r="CB27" s="139"/>
      <c r="CC27" s="139"/>
      <c r="CD27" s="139"/>
      <c r="CE27" s="139"/>
      <c r="CF27" s="139"/>
      <c r="CG27" s="139"/>
      <c r="CH27" s="139"/>
      <c r="CI27" s="139"/>
      <c r="CJ27" s="139"/>
      <c r="CK27" s="139"/>
      <c r="CL27" s="139"/>
      <c r="CM27" s="139"/>
      <c r="CN27" s="139"/>
      <c r="CO27" s="139"/>
      <c r="CP27" s="139"/>
      <c r="CQ27" s="139"/>
      <c r="CR27" s="139"/>
      <c r="CS27" s="139"/>
      <c r="CT27" s="139"/>
      <c r="CU27" s="139"/>
      <c r="CV27" s="139"/>
      <c r="CW27" s="139"/>
      <c r="CX27" s="139"/>
      <c r="CY27" s="139"/>
      <c r="CZ27" s="139"/>
      <c r="DA27" s="139"/>
      <c r="DB27" s="139"/>
      <c r="DC27" s="139"/>
      <c r="DD27" s="139"/>
      <c r="DE27" s="139"/>
      <c r="DF27" s="139"/>
      <c r="DG27" s="139"/>
      <c r="DH27" s="139"/>
      <c r="DI27" s="139"/>
      <c r="DJ27" s="139"/>
      <c r="DK27" s="139"/>
      <c r="DL27" s="139"/>
      <c r="DM27" s="139"/>
      <c r="DN27" s="139"/>
      <c r="DO27" s="139"/>
      <c r="DP27" s="139"/>
      <c r="DQ27" s="139"/>
      <c r="DR27" s="139"/>
      <c r="DS27" s="139"/>
      <c r="DT27" s="139"/>
      <c r="DU27" s="139"/>
      <c r="DV27" s="139"/>
      <c r="DW27" s="139"/>
      <c r="DX27" s="139"/>
      <c r="DY27" s="139"/>
      <c r="DZ27" s="139"/>
      <c r="EA27" s="139"/>
      <c r="EB27" s="139"/>
      <c r="EC27" s="139"/>
      <c r="ED27" s="139"/>
      <c r="EE27" s="139"/>
      <c r="EF27" s="139"/>
      <c r="EG27" s="139"/>
      <c r="EH27" s="139"/>
      <c r="EI27" s="139"/>
      <c r="EJ27" s="139"/>
      <c r="EK27" s="139"/>
      <c r="EL27" s="139"/>
      <c r="EM27" s="139"/>
      <c r="EN27" s="139"/>
      <c r="EO27" s="139"/>
      <c r="EP27" s="139"/>
      <c r="EQ27" s="139"/>
      <c r="ER27" s="139"/>
      <c r="ES27" s="139"/>
      <c r="ET27" s="139"/>
      <c r="EU27" s="139"/>
      <c r="EV27" s="139"/>
      <c r="EW27" s="139"/>
      <c r="EX27" s="139"/>
      <c r="EY27" s="139"/>
      <c r="EZ27" s="139"/>
      <c r="FA27" s="139"/>
      <c r="FB27" s="139"/>
      <c r="FC27" s="139"/>
      <c r="FD27" s="139"/>
      <c r="FE27" s="139"/>
      <c r="FF27" s="139"/>
      <c r="FG27" s="139"/>
      <c r="FH27" s="139"/>
      <c r="FI27" s="139"/>
      <c r="FJ27" s="139"/>
      <c r="FK27" s="139"/>
      <c r="FL27" s="139"/>
      <c r="FM27" s="139"/>
      <c r="FN27" s="139"/>
      <c r="FO27" s="139"/>
      <c r="FP27" s="139"/>
      <c r="FQ27" s="139"/>
      <c r="FR27" s="139"/>
      <c r="FS27" s="139"/>
      <c r="FT27" s="139"/>
      <c r="FU27" s="139"/>
      <c r="FV27" s="139"/>
      <c r="FW27" s="139"/>
      <c r="FX27" s="1328"/>
      <c r="FY27" s="1328"/>
      <c r="FZ27" s="1330"/>
      <c r="GA27" s="1330"/>
      <c r="GB27" s="1330"/>
      <c r="GC27" s="1329"/>
      <c r="GD27" s="1329"/>
    </row>
    <row s="1656" customFormat="1" customHeight="1" ht="11.25" hidden="1">
      <c r="A28" s="502"/>
      <c r="B28" s="933"/>
      <c r="C28" s="502"/>
      <c r="D28" s="502"/>
      <c r="E28" s="873">
        <v>0</v>
      </c>
      <c r="F28" s="754" t="s">
        <v>1853</v>
      </c>
      <c r="G28" s="485"/>
      <c r="H28" s="502"/>
      <c r="I28" s="502"/>
      <c r="J28" s="502"/>
      <c r="K28" s="502"/>
      <c r="L28" s="502"/>
      <c r="M28" s="502"/>
      <c r="N28" s="502"/>
      <c r="O28" s="502"/>
      <c r="P28" s="502"/>
      <c r="Q28" s="485" t="s">
        <v>1854</v>
      </c>
      <c r="R28" s="934" t="s">
        <v>1855</v>
      </c>
      <c r="S28" s="934" t="s">
        <v>278</v>
      </c>
      <c r="T28" s="468"/>
      <c r="U28" s="502"/>
      <c r="V28" s="502"/>
      <c r="W28" s="502"/>
      <c r="X28" s="502"/>
      <c r="Y28" s="502"/>
      <c r="Z28" s="502"/>
      <c r="AA28" s="502"/>
      <c r="AC28" s="96"/>
      <c r="AD28" s="96"/>
      <c r="AE28" s="96"/>
      <c r="AF28" s="96"/>
      <c r="AG28" s="1656"/>
      <c r="AH28" s="1656"/>
      <c r="AI28" s="1656"/>
      <c r="AJ28" s="1656"/>
      <c r="AK28" s="1656"/>
      <c r="AL28" s="1656"/>
      <c r="AM28" s="1656"/>
      <c r="AN28" s="1656"/>
      <c r="AO28" s="1656"/>
      <c r="AP28" s="1656"/>
      <c r="AQ28" s="97"/>
      <c r="AR28" s="1656"/>
      <c r="AS28" s="1656"/>
      <c r="AT28" s="1656"/>
      <c r="AU28" s="1656"/>
      <c r="AV28" s="1656"/>
      <c r="AW28" s="1656"/>
      <c r="AX28" s="1656"/>
      <c r="AY28" s="1656"/>
      <c r="AZ28" s="1656"/>
      <c r="BA28" s="1656"/>
      <c r="BB28" s="1656"/>
      <c r="BC28" s="1656"/>
      <c r="BD28" s="1656"/>
      <c r="BE28" s="1656"/>
      <c r="BF28" s="1656"/>
      <c r="BG28" s="1656"/>
      <c r="BH28" s="1656"/>
      <c r="BI28" s="1656"/>
      <c r="BJ28" s="1656"/>
      <c r="BK28" s="1656"/>
      <c r="BL28" s="1656"/>
      <c r="BM28" s="1656"/>
      <c r="BN28" s="1656"/>
      <c r="BO28" s="1656"/>
      <c r="BP28" s="1656"/>
      <c r="BQ28" s="1656"/>
      <c r="BR28" s="1656"/>
      <c r="BS28" s="1656"/>
      <c r="BT28" s="1656"/>
      <c r="BU28" s="1656"/>
      <c r="BV28" s="1656"/>
      <c r="BW28" s="1656"/>
      <c r="BX28" s="1656"/>
      <c r="BY28" s="1656"/>
      <c r="BZ28" s="1656"/>
      <c r="CA28" s="1656"/>
      <c r="CB28" s="1656"/>
      <c r="CC28" s="1656"/>
      <c r="CD28" s="1656"/>
      <c r="CE28" s="1656"/>
      <c r="CF28" s="1656"/>
      <c r="CG28" s="1656"/>
      <c r="CH28" s="1656"/>
      <c r="CI28" s="1656"/>
      <c r="CJ28" s="1656"/>
      <c r="CK28" s="1656"/>
      <c r="CL28" s="1656"/>
      <c r="CM28" s="1656"/>
      <c r="CN28" s="1656"/>
      <c r="CO28" s="1656"/>
      <c r="CP28" s="1656"/>
      <c r="CQ28" s="1656"/>
      <c r="CR28" s="1656"/>
      <c r="CS28" s="1656"/>
      <c r="CT28" s="1656"/>
      <c r="CU28" s="1656"/>
      <c r="CV28" s="1656"/>
      <c r="CW28" s="1656"/>
      <c r="CX28" s="1656"/>
      <c r="CY28" s="1656"/>
      <c r="CZ28" s="1656"/>
      <c r="DA28" s="1656"/>
      <c r="DB28" s="1656"/>
      <c r="DC28" s="1656"/>
      <c r="DD28" s="1656"/>
      <c r="DE28" s="1656"/>
      <c r="DF28" s="1656"/>
      <c r="DG28" s="1656"/>
      <c r="DH28" s="1656"/>
      <c r="DI28" s="1656"/>
      <c r="DJ28" s="1656"/>
      <c r="DK28" s="1656"/>
      <c r="DL28" s="1656"/>
      <c r="DM28" s="1656"/>
      <c r="DN28" s="1656"/>
      <c r="DO28" s="1656"/>
      <c r="DP28" s="1656"/>
      <c r="DQ28" s="1656"/>
      <c r="DR28" s="1656"/>
      <c r="DS28" s="1656"/>
      <c r="DT28" s="1656"/>
      <c r="DU28" s="1656"/>
      <c r="DV28" s="1656"/>
      <c r="DW28" s="1656"/>
      <c r="DX28" s="1656"/>
      <c r="DY28" s="1656"/>
      <c r="DZ28" s="1656"/>
      <c r="EA28" s="1656"/>
      <c r="EB28" s="1656"/>
      <c r="EC28" s="1656"/>
      <c r="ED28" s="1656"/>
      <c r="EE28" s="1656"/>
      <c r="EF28" s="1656"/>
      <c r="EG28" s="1656"/>
      <c r="EH28" s="1656"/>
      <c r="EI28" s="1656"/>
      <c r="EJ28" s="1656"/>
      <c r="EK28" s="1656"/>
      <c r="EL28" s="1656"/>
      <c r="EM28" s="1656"/>
      <c r="EN28" s="1656"/>
      <c r="EO28" s="1656"/>
      <c r="EP28" s="1656"/>
      <c r="EQ28" s="1656"/>
      <c r="ER28" s="1656"/>
      <c r="ES28" s="1656"/>
      <c r="ET28" s="1656"/>
      <c r="EU28" s="1656"/>
      <c r="EV28" s="1656"/>
      <c r="EW28" s="1656"/>
      <c r="EX28" s="1656"/>
      <c r="EY28" s="1656"/>
      <c r="EZ28" s="1656"/>
      <c r="FA28" s="1656"/>
      <c r="FB28" s="1656"/>
      <c r="FC28" s="1656"/>
      <c r="FD28" s="1656"/>
      <c r="FE28" s="1656"/>
      <c r="FF28" s="1656"/>
      <c r="FG28" s="1656"/>
      <c r="FH28" s="1656"/>
      <c r="FI28" s="1656"/>
      <c r="FJ28" s="1656"/>
      <c r="FK28" s="1656"/>
      <c r="FL28" s="1656"/>
      <c r="FM28" s="1656"/>
      <c r="FN28" s="1656"/>
      <c r="FO28" s="1656"/>
      <c r="FP28" s="1656"/>
      <c r="FQ28" s="1656"/>
      <c r="FR28" s="1656"/>
      <c r="FS28" s="1656"/>
      <c r="FT28" s="1656"/>
      <c r="FU28" s="1656"/>
      <c r="FV28" s="1656"/>
      <c r="FW28" s="1656"/>
      <c r="FZ28" s="1012"/>
      <c r="GA28" s="1012"/>
      <c r="GB28" s="1006"/>
      <c r="GC28" s="629"/>
      <c r="GD28" s="629"/>
    </row>
    <row customHeight="1" ht="14.625" hidden="1">
      <c r="A29" s="496"/>
      <c r="B29" s="879"/>
      <c r="C29" s="496"/>
      <c r="D29" s="496"/>
      <c r="E29" s="847">
        <v>15</v>
      </c>
      <c r="F29" s="497" cm="1" t="str">
        <f t="array" ref="F29:F29">X29</f>
        <v>0</v>
      </c>
      <c r="G29" s="496" cm="1" t="str">
        <f t="array" ref="G29:G29">INDEX('Общие сведения'!$AK$197:$AK$254,MATCH($X29,'Общие сведения'!$Z$197:$Z$254,0))</f>
        <v>0</v>
      </c>
      <c r="H29" s="496"/>
      <c r="I29" s="496"/>
      <c r="J29" s="496"/>
      <c r="K29" s="496"/>
      <c r="L29" s="496"/>
      <c r="M29" s="496"/>
      <c r="N29" s="496"/>
      <c r="O29" s="496"/>
      <c r="P29" s="496"/>
      <c r="Q29" s="496" cm="1" t="str">
        <f t="array" ref="Q29:Q29">INDEX('Общие сведения'!$AE$197:$AE$254,MATCH($X29,'Общие сведения'!$Z$197:$Z$254,0))</f>
        <v>0</v>
      </c>
      <c r="R29" s="487" cm="1" t="str">
        <f t="array" ref="R29:R29">INDEX('Общие сведения'!$AK$197:$AK$254,MATCH($X29,'Общие сведения'!$Z$197:$Z$254,0))</f>
        <v>0</v>
      </c>
      <c r="S29" s="496" cm="1" t="str">
        <f t="array" ref="S29:S29">INDEX('Общие сведения'!$AN$197:$AN$254,MATCH($X29,'Общие сведения'!$Z$197:$Z$254,0))</f>
        <v>false</v>
      </c>
      <c r="T29" s="468">
        <f>X29&gt;0</f>
        <v>0</v>
      </c>
      <c r="U29" s="496"/>
      <c r="V29" s="496" t="s">
        <v>279</v>
      </c>
      <c r="W29" s="496"/>
      <c r="X29" s="1559">
        <v>0</v>
      </c>
      <c r="Y29" s="496"/>
      <c r="Z29" s="1528"/>
      <c r="AA29" s="496"/>
      <c r="AB29" s="1615" t="s">
        <v>22</v>
      </c>
      <c r="AC29" s="1616"/>
      <c r="AD29" s="900" cm="1" t="str">
        <f t="array" ref="AD29:AD29">INDEX('Общие сведения'!$AG$197:$AG$254,MATCH($X29,'Общие сведения'!$Z$197:$Z$254,0))</f>
        <v>Тариф 0 () - </v>
      </c>
      <c r="AE29" s="282"/>
      <c r="AF29" s="282"/>
      <c r="AG29" s="282"/>
      <c r="AH29" s="282"/>
      <c r="AI29" s="282"/>
      <c r="AJ29" s="282"/>
      <c r="AK29" s="282"/>
      <c r="AL29" s="282"/>
      <c r="AM29" s="282"/>
      <c r="AN29" s="282"/>
      <c r="AO29" s="282"/>
      <c r="AP29" s="282"/>
      <c r="AQ29" s="282"/>
      <c r="AR29" s="282"/>
      <c r="AS29" s="282"/>
      <c r="AT29" s="282"/>
      <c r="AU29" s="282"/>
      <c r="AV29" s="282"/>
      <c r="AW29" s="282"/>
      <c r="AX29" s="282"/>
      <c r="AY29" s="282"/>
      <c r="AZ29" s="282"/>
      <c r="BA29" s="282"/>
      <c r="BB29" s="282"/>
      <c r="BC29" s="282"/>
      <c r="BD29" s="282"/>
      <c r="BE29" s="282"/>
      <c r="BF29" s="282"/>
      <c r="BG29" s="282"/>
      <c r="BH29" s="282"/>
      <c r="BI29" s="282"/>
      <c r="BJ29" s="282"/>
      <c r="BK29" s="282"/>
      <c r="BL29" s="282"/>
      <c r="BM29" s="282"/>
      <c r="BN29" s="282"/>
      <c r="BO29" s="282"/>
      <c r="BP29" s="282"/>
      <c r="BQ29" s="282"/>
      <c r="BR29" s="282"/>
      <c r="BS29" s="282"/>
      <c r="BT29" s="282"/>
      <c r="BU29" s="282"/>
      <c r="BV29" s="282"/>
      <c r="BW29" s="282"/>
      <c r="BX29" s="282"/>
      <c r="BY29" s="282"/>
      <c r="BZ29" s="282"/>
      <c r="CA29" s="282"/>
      <c r="CB29" s="282"/>
      <c r="CC29" s="282"/>
      <c r="CD29" s="282"/>
      <c r="CE29" s="282"/>
      <c r="CF29" s="282"/>
      <c r="CG29" s="282"/>
      <c r="CH29" s="282"/>
      <c r="CI29" s="282"/>
      <c r="CJ29" s="282"/>
      <c r="CK29" s="282"/>
      <c r="CL29" s="282"/>
      <c r="CM29" s="282"/>
      <c r="CN29" s="282"/>
      <c r="CO29" s="282"/>
      <c r="CP29" s="282"/>
      <c r="CQ29" s="282"/>
      <c r="CR29" s="282"/>
      <c r="CS29" s="282"/>
      <c r="CT29" s="282"/>
      <c r="CU29" s="282"/>
      <c r="CV29" s="282"/>
      <c r="CW29" s="282"/>
      <c r="CX29" s="282"/>
      <c r="CY29" s="282"/>
      <c r="CZ29" s="282"/>
      <c r="DA29" s="282"/>
      <c r="DB29" s="282"/>
      <c r="DC29" s="282"/>
      <c r="DD29" s="282"/>
      <c r="DE29" s="282"/>
      <c r="DF29" s="282"/>
      <c r="DG29" s="282"/>
      <c r="DH29" s="282"/>
      <c r="DI29" s="282"/>
      <c r="DJ29" s="282"/>
      <c r="DK29" s="282"/>
      <c r="DL29" s="282"/>
      <c r="DM29" s="282"/>
      <c r="DN29" s="282"/>
      <c r="DO29" s="282"/>
      <c r="DP29" s="282"/>
      <c r="DQ29" s="282"/>
      <c r="DR29" s="282"/>
      <c r="DS29" s="282"/>
      <c r="DT29" s="282"/>
      <c r="DU29" s="282"/>
      <c r="DV29" s="282"/>
      <c r="DW29" s="282"/>
      <c r="DX29" s="282"/>
      <c r="DY29" s="282"/>
      <c r="DZ29" s="282"/>
      <c r="EA29" s="282"/>
      <c r="EB29" s="282"/>
      <c r="EC29" s="282"/>
      <c r="ED29" s="282"/>
      <c r="EE29" s="282"/>
      <c r="EF29" s="282"/>
      <c r="EG29" s="282"/>
      <c r="EH29" s="282"/>
      <c r="EI29" s="282"/>
      <c r="EJ29" s="282"/>
      <c r="EK29" s="282"/>
      <c r="EL29" s="282"/>
      <c r="EM29" s="282"/>
      <c r="EN29" s="282"/>
      <c r="EO29" s="282"/>
      <c r="EP29" s="282"/>
      <c r="EQ29" s="282"/>
      <c r="ER29" s="282"/>
      <c r="ES29" s="282"/>
      <c r="ET29" s="282"/>
      <c r="EU29" s="282"/>
      <c r="EV29" s="282"/>
      <c r="EW29" s="282"/>
      <c r="EX29" s="282"/>
      <c r="EY29" s="282"/>
      <c r="EZ29" s="282"/>
      <c r="FA29" s="282"/>
      <c r="FB29" s="282"/>
      <c r="FC29" s="282"/>
      <c r="FD29" s="282"/>
      <c r="FE29" s="282"/>
      <c r="FF29" s="282"/>
      <c r="FG29" s="282"/>
      <c r="FH29" s="282"/>
      <c r="FI29" s="282"/>
      <c r="FJ29" s="282"/>
      <c r="FK29" s="282"/>
      <c r="FL29" s="282"/>
      <c r="FM29" s="282"/>
      <c r="FN29" s="282"/>
      <c r="FO29" s="282"/>
      <c r="FP29" s="282"/>
      <c r="FQ29" s="282"/>
      <c r="FR29" s="282"/>
      <c r="FS29" s="282"/>
      <c r="FT29" s="282"/>
      <c r="FU29" s="282"/>
      <c r="FV29" s="282"/>
      <c r="FW29" s="283"/>
      <c r="FX29" s="1328"/>
      <c r="FY29" s="1328"/>
      <c r="FZ29" s="1330"/>
      <c r="GA29" s="1330"/>
      <c r="GB29" s="1330"/>
      <c r="GC29" s="1329"/>
      <c r="GD29" s="1329"/>
    </row>
    <row customHeight="1" ht="14.625" hidden="1">
      <c r="A30" s="496"/>
      <c r="B30" s="879"/>
      <c r="C30" s="496"/>
      <c r="D30" s="496"/>
      <c r="E30" s="847">
        <v>15</v>
      </c>
      <c r="F30" s="50" cm="1" t="str">
        <f t="array" ref="F30:F30">OFFSET(E30,-1,1)</f>
        <v>0</v>
      </c>
      <c r="G30" s="496"/>
      <c r="H30" s="496"/>
      <c r="I30" s="496"/>
      <c r="J30" s="496"/>
      <c r="K30" s="496"/>
      <c r="L30" s="496"/>
      <c r="M30" s="496"/>
      <c r="N30" s="496"/>
      <c r="O30" s="496"/>
      <c r="P30" s="496"/>
      <c r="Q30" s="496"/>
      <c r="R30" s="487"/>
      <c r="S30" s="487"/>
      <c r="T30" s="468" cm="1" t="str">
        <f t="array" ref="T30:T30">T29</f>
        <v>false</v>
      </c>
      <c r="U30" s="496"/>
      <c r="V30" s="496"/>
      <c r="W30" s="496"/>
      <c r="X30" s="1559"/>
      <c r="Y30" s="496"/>
      <c r="Z30" s="1528"/>
      <c r="AA30" s="496"/>
      <c r="AB30" s="1508" t="str">
        <f>"Вид "&amp;IF(ISERROR(SEARCH("Водоснабжение",AD29)),"сточных вод","воды")</f>
        <v>Вид сточных вод</v>
      </c>
      <c r="AC30" s="1509"/>
      <c r="AD30" s="900" cm="1" t="str">
        <f t="array" ref="AD30:AD30">INDEX('Общие сведения'!$AH$197:$AH$254,MATCH($X29,'Общие сведения'!$Z$197:$Z$254,0))</f>
        <v>0</v>
      </c>
      <c r="AE30" s="284"/>
      <c r="AF30" s="284"/>
      <c r="AG30" s="284"/>
      <c r="AH30" s="284"/>
      <c r="AI30" s="284"/>
      <c r="AJ30" s="284"/>
      <c r="AK30" s="284"/>
      <c r="AL30" s="284"/>
      <c r="AM30" s="284"/>
      <c r="AN30" s="284"/>
      <c r="AO30" s="284"/>
      <c r="AP30" s="284"/>
      <c r="AQ30" s="284"/>
      <c r="AR30" s="284"/>
      <c r="AS30" s="284"/>
      <c r="AT30" s="284"/>
      <c r="AU30" s="284"/>
      <c r="AV30" s="284"/>
      <c r="AW30" s="284"/>
      <c r="AX30" s="284"/>
      <c r="AY30" s="284"/>
      <c r="AZ30" s="284"/>
      <c r="BA30" s="284"/>
      <c r="BB30" s="284"/>
      <c r="BC30" s="284"/>
      <c r="BD30" s="284"/>
      <c r="BE30" s="284"/>
      <c r="BF30" s="284"/>
      <c r="BG30" s="284"/>
      <c r="BH30" s="284"/>
      <c r="BI30" s="284"/>
      <c r="BJ30" s="284"/>
      <c r="BK30" s="284"/>
      <c r="BL30" s="284"/>
      <c r="BM30" s="284"/>
      <c r="BN30" s="284"/>
      <c r="BO30" s="284"/>
      <c r="BP30" s="284"/>
      <c r="BQ30" s="284"/>
      <c r="BR30" s="284"/>
      <c r="BS30" s="284"/>
      <c r="BT30" s="284"/>
      <c r="BU30" s="284"/>
      <c r="BV30" s="284"/>
      <c r="BW30" s="284"/>
      <c r="BX30" s="284"/>
      <c r="BY30" s="284"/>
      <c r="BZ30" s="284"/>
      <c r="CA30" s="284"/>
      <c r="CB30" s="284"/>
      <c r="CC30" s="284"/>
      <c r="CD30" s="284"/>
      <c r="CE30" s="284"/>
      <c r="CF30" s="284"/>
      <c r="CG30" s="284"/>
      <c r="CH30" s="284"/>
      <c r="CI30" s="284"/>
      <c r="CJ30" s="284"/>
      <c r="CK30" s="284"/>
      <c r="CL30" s="284"/>
      <c r="CM30" s="284"/>
      <c r="CN30" s="284"/>
      <c r="CO30" s="284"/>
      <c r="CP30" s="284"/>
      <c r="CQ30" s="284"/>
      <c r="CR30" s="284"/>
      <c r="CS30" s="284"/>
      <c r="CT30" s="284"/>
      <c r="CU30" s="284"/>
      <c r="CV30" s="284"/>
      <c r="CW30" s="284"/>
      <c r="CX30" s="284"/>
      <c r="CY30" s="284"/>
      <c r="CZ30" s="284"/>
      <c r="DA30" s="284"/>
      <c r="DB30" s="284"/>
      <c r="DC30" s="284"/>
      <c r="DD30" s="284"/>
      <c r="DE30" s="284"/>
      <c r="DF30" s="284"/>
      <c r="DG30" s="284"/>
      <c r="DH30" s="284"/>
      <c r="DI30" s="284"/>
      <c r="DJ30" s="284"/>
      <c r="DK30" s="284"/>
      <c r="DL30" s="284"/>
      <c r="DM30" s="284"/>
      <c r="DN30" s="284"/>
      <c r="DO30" s="284"/>
      <c r="DP30" s="284"/>
      <c r="DQ30" s="284"/>
      <c r="DR30" s="284"/>
      <c r="DS30" s="284"/>
      <c r="DT30" s="284"/>
      <c r="DU30" s="284"/>
      <c r="DV30" s="284"/>
      <c r="DW30" s="284"/>
      <c r="DX30" s="284"/>
      <c r="DY30" s="284"/>
      <c r="DZ30" s="284"/>
      <c r="EA30" s="284"/>
      <c r="EB30" s="284"/>
      <c r="EC30" s="284"/>
      <c r="ED30" s="284"/>
      <c r="EE30" s="284"/>
      <c r="EF30" s="284"/>
      <c r="EG30" s="284"/>
      <c r="EH30" s="284"/>
      <c r="EI30" s="284"/>
      <c r="EJ30" s="284"/>
      <c r="EK30" s="284"/>
      <c r="EL30" s="284"/>
      <c r="EM30" s="284"/>
      <c r="EN30" s="284"/>
      <c r="EO30" s="284"/>
      <c r="EP30" s="284"/>
      <c r="EQ30" s="284"/>
      <c r="ER30" s="284"/>
      <c r="ES30" s="284"/>
      <c r="ET30" s="284"/>
      <c r="EU30" s="284"/>
      <c r="EV30" s="284"/>
      <c r="EW30" s="284"/>
      <c r="EX30" s="284"/>
      <c r="EY30" s="284"/>
      <c r="EZ30" s="284"/>
      <c r="FA30" s="284"/>
      <c r="FB30" s="284"/>
      <c r="FC30" s="284"/>
      <c r="FD30" s="284"/>
      <c r="FE30" s="284"/>
      <c r="FF30" s="284"/>
      <c r="FG30" s="284"/>
      <c r="FH30" s="284"/>
      <c r="FI30" s="284"/>
      <c r="FJ30" s="284"/>
      <c r="FK30" s="284"/>
      <c r="FL30" s="284"/>
      <c r="FM30" s="284"/>
      <c r="FN30" s="284"/>
      <c r="FO30" s="284"/>
      <c r="FP30" s="284"/>
      <c r="FQ30" s="284"/>
      <c r="FR30" s="284"/>
      <c r="FS30" s="284"/>
      <c r="FT30" s="284"/>
      <c r="FU30" s="284"/>
      <c r="FV30" s="284"/>
      <c r="FW30" s="285"/>
      <c r="FX30" s="1328"/>
      <c r="FY30" s="1328"/>
      <c r="FZ30" s="1330"/>
      <c r="GA30" s="1330"/>
      <c r="GB30" s="1330"/>
      <c r="GC30" s="1329"/>
      <c r="GD30" s="1329"/>
    </row>
    <row customHeight="1" ht="14.625" hidden="1">
      <c r="A31" s="496"/>
      <c r="B31" s="879"/>
      <c r="C31" s="496"/>
      <c r="D31" s="496"/>
      <c r="E31" s="847">
        <v>15</v>
      </c>
      <c r="F31" s="50" cm="1" t="str">
        <f t="array" ref="F31:F31">OFFSET(E31,-1,1)</f>
        <v>0</v>
      </c>
      <c r="G31" s="496"/>
      <c r="H31" s="496"/>
      <c r="I31" s="496"/>
      <c r="J31" s="496"/>
      <c r="K31" s="496"/>
      <c r="L31" s="496"/>
      <c r="M31" s="496"/>
      <c r="N31" s="496"/>
      <c r="O31" s="496"/>
      <c r="P31" s="496"/>
      <c r="Q31" s="496"/>
      <c r="R31" s="487"/>
      <c r="S31" s="487"/>
      <c r="T31" s="468" cm="1" t="str">
        <f t="array" ref="T31:T31">T30</f>
        <v>false</v>
      </c>
      <c r="U31" s="496"/>
      <c r="V31" s="496"/>
      <c r="W31" s="496"/>
      <c r="X31" s="1559"/>
      <c r="Y31" s="496"/>
      <c r="Z31" s="1528"/>
      <c r="AA31" s="496"/>
      <c r="AB31" s="1508" t="s">
        <v>1856</v>
      </c>
      <c r="AC31" s="1509"/>
      <c r="AD31" s="900" cm="1" t="str">
        <f t="array" ref="AD31:AD31">INDEX('Общие сведения'!$AI$197:$AI$254,MATCH($X29,'Общие сведения'!$Z$197:$Z$254,0))</f>
        <v>0</v>
      </c>
      <c r="AE31" s="284"/>
      <c r="AF31" s="284"/>
      <c r="AG31" s="284"/>
      <c r="AH31" s="284"/>
      <c r="AI31" s="284"/>
      <c r="AJ31" s="284"/>
      <c r="AK31" s="284"/>
      <c r="AL31" s="284"/>
      <c r="AM31" s="284"/>
      <c r="AN31" s="284"/>
      <c r="AO31" s="284"/>
      <c r="AP31" s="284"/>
      <c r="AQ31" s="284"/>
      <c r="AR31" s="284"/>
      <c r="AS31" s="284"/>
      <c r="AT31" s="284"/>
      <c r="AU31" s="284"/>
      <c r="AV31" s="284"/>
      <c r="AW31" s="284"/>
      <c r="AX31" s="284"/>
      <c r="AY31" s="284"/>
      <c r="AZ31" s="284"/>
      <c r="BA31" s="284"/>
      <c r="BB31" s="284"/>
      <c r="BC31" s="284"/>
      <c r="BD31" s="284"/>
      <c r="BE31" s="284"/>
      <c r="BF31" s="284"/>
      <c r="BG31" s="284"/>
      <c r="BH31" s="284"/>
      <c r="BI31" s="284"/>
      <c r="BJ31" s="284"/>
      <c r="BK31" s="284"/>
      <c r="BL31" s="284"/>
      <c r="BM31" s="284"/>
      <c r="BN31" s="284"/>
      <c r="BO31" s="284"/>
      <c r="BP31" s="284"/>
      <c r="BQ31" s="284"/>
      <c r="BR31" s="284"/>
      <c r="BS31" s="284"/>
      <c r="BT31" s="284"/>
      <c r="BU31" s="284"/>
      <c r="BV31" s="284"/>
      <c r="BW31" s="284"/>
      <c r="BX31" s="284"/>
      <c r="BY31" s="284"/>
      <c r="BZ31" s="284"/>
      <c r="CA31" s="284"/>
      <c r="CB31" s="284"/>
      <c r="CC31" s="284"/>
      <c r="CD31" s="284"/>
      <c r="CE31" s="284"/>
      <c r="CF31" s="284"/>
      <c r="CG31" s="284"/>
      <c r="CH31" s="284"/>
      <c r="CI31" s="284"/>
      <c r="CJ31" s="284"/>
      <c r="CK31" s="284"/>
      <c r="CL31" s="284"/>
      <c r="CM31" s="284"/>
      <c r="CN31" s="284"/>
      <c r="CO31" s="284"/>
      <c r="CP31" s="284"/>
      <c r="CQ31" s="284"/>
      <c r="CR31" s="284"/>
      <c r="CS31" s="284"/>
      <c r="CT31" s="284"/>
      <c r="CU31" s="284"/>
      <c r="CV31" s="284"/>
      <c r="CW31" s="284"/>
      <c r="CX31" s="284"/>
      <c r="CY31" s="284"/>
      <c r="CZ31" s="284"/>
      <c r="DA31" s="284"/>
      <c r="DB31" s="284"/>
      <c r="DC31" s="284"/>
      <c r="DD31" s="284"/>
      <c r="DE31" s="284"/>
      <c r="DF31" s="284"/>
      <c r="DG31" s="284"/>
      <c r="DH31" s="284"/>
      <c r="DI31" s="284"/>
      <c r="DJ31" s="284"/>
      <c r="DK31" s="284"/>
      <c r="DL31" s="284"/>
      <c r="DM31" s="284"/>
      <c r="DN31" s="284"/>
      <c r="DO31" s="284"/>
      <c r="DP31" s="284"/>
      <c r="DQ31" s="284"/>
      <c r="DR31" s="284"/>
      <c r="DS31" s="284"/>
      <c r="DT31" s="284"/>
      <c r="DU31" s="284"/>
      <c r="DV31" s="284"/>
      <c r="DW31" s="284"/>
      <c r="DX31" s="284"/>
      <c r="DY31" s="284"/>
      <c r="DZ31" s="284"/>
      <c r="EA31" s="284"/>
      <c r="EB31" s="284"/>
      <c r="EC31" s="284"/>
      <c r="ED31" s="284"/>
      <c r="EE31" s="284"/>
      <c r="EF31" s="284"/>
      <c r="EG31" s="284"/>
      <c r="EH31" s="284"/>
      <c r="EI31" s="284"/>
      <c r="EJ31" s="284"/>
      <c r="EK31" s="284"/>
      <c r="EL31" s="284"/>
      <c r="EM31" s="284"/>
      <c r="EN31" s="284"/>
      <c r="EO31" s="284"/>
      <c r="EP31" s="284"/>
      <c r="EQ31" s="284"/>
      <c r="ER31" s="284"/>
      <c r="ES31" s="284"/>
      <c r="ET31" s="284"/>
      <c r="EU31" s="284"/>
      <c r="EV31" s="284"/>
      <c r="EW31" s="284"/>
      <c r="EX31" s="284"/>
      <c r="EY31" s="284"/>
      <c r="EZ31" s="284"/>
      <c r="FA31" s="284"/>
      <c r="FB31" s="284"/>
      <c r="FC31" s="284"/>
      <c r="FD31" s="284"/>
      <c r="FE31" s="284"/>
      <c r="FF31" s="284"/>
      <c r="FG31" s="284"/>
      <c r="FH31" s="284"/>
      <c r="FI31" s="284"/>
      <c r="FJ31" s="284"/>
      <c r="FK31" s="284"/>
      <c r="FL31" s="284"/>
      <c r="FM31" s="284"/>
      <c r="FN31" s="284"/>
      <c r="FO31" s="284"/>
      <c r="FP31" s="284"/>
      <c r="FQ31" s="284"/>
      <c r="FR31" s="284"/>
      <c r="FS31" s="284"/>
      <c r="FT31" s="284"/>
      <c r="FU31" s="284"/>
      <c r="FV31" s="284"/>
      <c r="FW31" s="285"/>
      <c r="FX31" s="1328"/>
      <c r="FY31" s="1328"/>
      <c r="FZ31" s="1330"/>
      <c r="GA31" s="1330"/>
      <c r="GB31" s="1330"/>
      <c r="GC31" s="1329"/>
      <c r="GD31" s="1329"/>
    </row>
    <row customHeight="1" ht="14.625" hidden="1">
      <c r="A32" s="496"/>
      <c r="B32" s="879"/>
      <c r="C32" s="496"/>
      <c r="D32" s="496"/>
      <c r="E32" s="847">
        <v>15</v>
      </c>
      <c r="F32" s="50" cm="1" t="str">
        <f t="array" ref="F32:F32">OFFSET(E32,-1,1)</f>
        <v>0</v>
      </c>
      <c r="G32" s="496"/>
      <c r="H32" s="496"/>
      <c r="I32" s="496"/>
      <c r="J32" s="496"/>
      <c r="K32" s="496"/>
      <c r="L32" s="496"/>
      <c r="M32" s="496"/>
      <c r="N32" s="496"/>
      <c r="O32" s="496"/>
      <c r="P32" s="496"/>
      <c r="Q32" s="935"/>
      <c r="R32" s="496"/>
      <c r="S32" s="487"/>
      <c r="T32" s="468" cm="1" t="str">
        <f t="array" ref="T32:T32">T31</f>
        <v>false</v>
      </c>
      <c r="U32" s="496"/>
      <c r="V32" s="496"/>
      <c r="W32" s="496"/>
      <c r="X32" s="1559"/>
      <c r="Y32" s="496"/>
      <c r="Z32" s="1528"/>
      <c r="AA32" s="496"/>
      <c r="AB32" s="1508" t="s">
        <v>1857</v>
      </c>
      <c r="AC32" s="1509"/>
      <c r="AD32" s="900" cm="1" t="str">
        <f t="array" ref="AD32:AD32">INDEX('Общие сведения'!$AJ$197:$AJ$254,MATCH($X29,'Общие сведения'!$Z$197:$Z$254,0))</f>
        <v>0</v>
      </c>
      <c r="AE32" s="284"/>
      <c r="AF32" s="284"/>
      <c r="AG32" s="284"/>
      <c r="AH32" s="284"/>
      <c r="AI32" s="284"/>
      <c r="AJ32" s="284"/>
      <c r="AK32" s="284"/>
      <c r="AL32" s="284"/>
      <c r="AM32" s="284"/>
      <c r="AN32" s="284"/>
      <c r="AO32" s="284"/>
      <c r="AP32" s="284"/>
      <c r="AQ32" s="284"/>
      <c r="AR32" s="284"/>
      <c r="AS32" s="284"/>
      <c r="AT32" s="284"/>
      <c r="AU32" s="284"/>
      <c r="AV32" s="284"/>
      <c r="AW32" s="284"/>
      <c r="AX32" s="284"/>
      <c r="AY32" s="284"/>
      <c r="AZ32" s="284"/>
      <c r="BA32" s="284"/>
      <c r="BB32" s="284"/>
      <c r="BC32" s="284"/>
      <c r="BD32" s="284"/>
      <c r="BE32" s="284"/>
      <c r="BF32" s="284"/>
      <c r="BG32" s="284"/>
      <c r="BH32" s="284"/>
      <c r="BI32" s="284"/>
      <c r="BJ32" s="284"/>
      <c r="BK32" s="284"/>
      <c r="BL32" s="284"/>
      <c r="BM32" s="284"/>
      <c r="BN32" s="284"/>
      <c r="BO32" s="284"/>
      <c r="BP32" s="284"/>
      <c r="BQ32" s="284"/>
      <c r="BR32" s="284"/>
      <c r="BS32" s="284"/>
      <c r="BT32" s="284"/>
      <c r="BU32" s="284"/>
      <c r="BV32" s="284"/>
      <c r="BW32" s="284"/>
      <c r="BX32" s="284"/>
      <c r="BY32" s="284"/>
      <c r="BZ32" s="284"/>
      <c r="CA32" s="284"/>
      <c r="CB32" s="284"/>
      <c r="CC32" s="284"/>
      <c r="CD32" s="284"/>
      <c r="CE32" s="284"/>
      <c r="CF32" s="284"/>
      <c r="CG32" s="284"/>
      <c r="CH32" s="284"/>
      <c r="CI32" s="284"/>
      <c r="CJ32" s="284"/>
      <c r="CK32" s="284"/>
      <c r="CL32" s="284"/>
      <c r="CM32" s="284"/>
      <c r="CN32" s="284"/>
      <c r="CO32" s="284"/>
      <c r="CP32" s="284"/>
      <c r="CQ32" s="284"/>
      <c r="CR32" s="284"/>
      <c r="CS32" s="284"/>
      <c r="CT32" s="284"/>
      <c r="CU32" s="284"/>
      <c r="CV32" s="284"/>
      <c r="CW32" s="284"/>
      <c r="CX32" s="284"/>
      <c r="CY32" s="284"/>
      <c r="CZ32" s="284"/>
      <c r="DA32" s="284"/>
      <c r="DB32" s="284"/>
      <c r="DC32" s="284"/>
      <c r="DD32" s="284"/>
      <c r="DE32" s="284"/>
      <c r="DF32" s="284"/>
      <c r="DG32" s="284"/>
      <c r="DH32" s="284"/>
      <c r="DI32" s="284"/>
      <c r="DJ32" s="284"/>
      <c r="DK32" s="284"/>
      <c r="DL32" s="284"/>
      <c r="DM32" s="284"/>
      <c r="DN32" s="284"/>
      <c r="DO32" s="284"/>
      <c r="DP32" s="284"/>
      <c r="DQ32" s="284"/>
      <c r="DR32" s="284"/>
      <c r="DS32" s="284"/>
      <c r="DT32" s="284"/>
      <c r="DU32" s="284"/>
      <c r="DV32" s="284"/>
      <c r="DW32" s="284"/>
      <c r="DX32" s="284"/>
      <c r="DY32" s="284"/>
      <c r="DZ32" s="284"/>
      <c r="EA32" s="284"/>
      <c r="EB32" s="284"/>
      <c r="EC32" s="284"/>
      <c r="ED32" s="284"/>
      <c r="EE32" s="284"/>
      <c r="EF32" s="284"/>
      <c r="EG32" s="284"/>
      <c r="EH32" s="284"/>
      <c r="EI32" s="284"/>
      <c r="EJ32" s="284"/>
      <c r="EK32" s="284"/>
      <c r="EL32" s="284"/>
      <c r="EM32" s="284"/>
      <c r="EN32" s="284"/>
      <c r="EO32" s="284"/>
      <c r="EP32" s="284"/>
      <c r="EQ32" s="284"/>
      <c r="ER32" s="284"/>
      <c r="ES32" s="284"/>
      <c r="ET32" s="284"/>
      <c r="EU32" s="284"/>
      <c r="EV32" s="284"/>
      <c r="EW32" s="284"/>
      <c r="EX32" s="284"/>
      <c r="EY32" s="284"/>
      <c r="EZ32" s="284"/>
      <c r="FA32" s="284"/>
      <c r="FB32" s="284"/>
      <c r="FC32" s="284"/>
      <c r="FD32" s="284"/>
      <c r="FE32" s="284"/>
      <c r="FF32" s="284"/>
      <c r="FG32" s="284"/>
      <c r="FH32" s="284"/>
      <c r="FI32" s="284"/>
      <c r="FJ32" s="284"/>
      <c r="FK32" s="284"/>
      <c r="FL32" s="284"/>
      <c r="FM32" s="284"/>
      <c r="FN32" s="284"/>
      <c r="FO32" s="284"/>
      <c r="FP32" s="284"/>
      <c r="FQ32" s="284"/>
      <c r="FR32" s="284"/>
      <c r="FS32" s="284"/>
      <c r="FT32" s="284"/>
      <c r="FU32" s="284"/>
      <c r="FV32" s="284"/>
      <c r="FW32" s="285"/>
      <c r="FX32" s="1328"/>
      <c r="FY32" s="1328"/>
      <c r="FZ32" s="1330"/>
      <c r="GA32" s="1330"/>
      <c r="GB32" s="1330"/>
      <c r="GC32" s="1329"/>
      <c r="GD32" s="1329"/>
    </row>
    <row customHeight="1" ht="14.625" hidden="1">
      <c r="A33" s="496"/>
      <c r="B33" s="932">
        <f>AND(R29="одноставочный",NOT(S29))</f>
        <v>0</v>
      </c>
      <c r="C33" s="496"/>
      <c r="D33" s="496"/>
      <c r="E33" s="847">
        <v>15</v>
      </c>
      <c r="F33" s="50" cm="1" t="str">
        <f t="array" ref="F33:F33">OFFSET(E33,-1,1)</f>
        <v>0</v>
      </c>
      <c r="G33" s="496"/>
      <c r="H33" s="496"/>
      <c r="I33" s="496"/>
      <c r="J33" s="496"/>
      <c r="K33" s="496"/>
      <c r="L33" s="496"/>
      <c r="M33" s="496"/>
      <c r="N33" s="496"/>
      <c r="O33" s="496"/>
      <c r="P33" s="496"/>
      <c r="Q33" s="496"/>
      <c r="R33" s="496"/>
      <c r="S33" s="496"/>
      <c r="T33" s="468" cm="1" t="str">
        <f t="array" ref="T33:T33">T32</f>
        <v>false</v>
      </c>
      <c r="U33" s="496"/>
      <c r="V33" s="496"/>
      <c r="W33" s="496"/>
      <c r="X33" s="1559"/>
      <c r="Y33" s="496"/>
      <c r="Z33" s="1528"/>
      <c r="AA33" s="496"/>
      <c r="AB33" s="901" t="s">
        <v>1858</v>
      </c>
      <c r="AC33" s="902"/>
      <c r="AD33" s="903"/>
      <c r="AE33" s="903"/>
      <c r="AF33" s="903"/>
      <c r="AG33" s="903"/>
      <c r="AH33" s="903"/>
      <c r="AI33" s="903"/>
      <c r="AJ33" s="903"/>
      <c r="AK33" s="903"/>
      <c r="AL33" s="903"/>
      <c r="AM33" s="903"/>
      <c r="AN33" s="903"/>
      <c r="AO33" s="903"/>
      <c r="AP33" s="903"/>
      <c r="AQ33" s="903"/>
      <c r="AR33" s="903"/>
      <c r="AS33" s="903"/>
      <c r="AT33" s="903"/>
      <c r="AU33" s="903"/>
      <c r="AV33" s="903"/>
      <c r="AW33" s="903"/>
      <c r="AX33" s="903"/>
      <c r="AY33" s="903"/>
      <c r="AZ33" s="903"/>
      <c r="BA33" s="903"/>
      <c r="BB33" s="903"/>
      <c r="BC33" s="903"/>
      <c r="BD33" s="903"/>
      <c r="BE33" s="903"/>
      <c r="BF33" s="903"/>
      <c r="BG33" s="903"/>
      <c r="BH33" s="903"/>
      <c r="BI33" s="903"/>
      <c r="BJ33" s="914"/>
      <c r="BK33" s="903"/>
      <c r="BL33" s="903"/>
      <c r="BM33" s="914"/>
      <c r="BN33" s="903"/>
      <c r="BO33" s="903"/>
      <c r="BP33" s="914"/>
      <c r="BQ33" s="903"/>
      <c r="BR33" s="903"/>
      <c r="BS33" s="914"/>
      <c r="BT33" s="903"/>
      <c r="BU33" s="903"/>
      <c r="BV33" s="914"/>
      <c r="BW33" s="903"/>
      <c r="BX33" s="903"/>
      <c r="BY33" s="914"/>
      <c r="BZ33" s="903"/>
      <c r="CA33" s="903"/>
      <c r="CB33" s="914"/>
      <c r="CC33" s="903"/>
      <c r="CD33" s="903"/>
      <c r="CE33" s="914"/>
      <c r="CF33" s="903"/>
      <c r="CG33" s="903"/>
      <c r="CH33" s="914"/>
      <c r="CI33" s="903"/>
      <c r="CJ33" s="903"/>
      <c r="CK33" s="914"/>
      <c r="CL33" s="903"/>
      <c r="CM33" s="903"/>
      <c r="CN33" s="914"/>
      <c r="CO33" s="903"/>
      <c r="CP33" s="903"/>
      <c r="CQ33" s="914"/>
      <c r="CR33" s="903"/>
      <c r="CS33" s="903"/>
      <c r="CT33" s="914"/>
      <c r="CU33" s="903"/>
      <c r="CV33" s="903"/>
      <c r="CW33" s="914"/>
      <c r="CX33" s="903"/>
      <c r="CY33" s="903"/>
      <c r="CZ33" s="914"/>
      <c r="DA33" s="903"/>
      <c r="DB33" s="903"/>
      <c r="DC33" s="914"/>
      <c r="DD33" s="903"/>
      <c r="DE33" s="903"/>
      <c r="DF33" s="287"/>
      <c r="DG33" s="286"/>
      <c r="DH33" s="286"/>
      <c r="DI33" s="287"/>
      <c r="DJ33" s="286"/>
      <c r="DK33" s="286"/>
      <c r="DL33" s="287"/>
      <c r="DM33" s="286"/>
      <c r="DN33" s="286"/>
      <c r="DO33" s="287"/>
      <c r="DP33" s="286"/>
      <c r="DQ33" s="286"/>
      <c r="DR33" s="287"/>
      <c r="DS33" s="286"/>
      <c r="DT33" s="286"/>
      <c r="DU33" s="287"/>
      <c r="DV33" s="286"/>
      <c r="DW33" s="286"/>
      <c r="DX33" s="287"/>
      <c r="DY33" s="286"/>
      <c r="DZ33" s="286"/>
      <c r="EA33" s="287"/>
      <c r="EB33" s="286"/>
      <c r="EC33" s="286"/>
      <c r="ED33" s="287"/>
      <c r="EE33" s="286"/>
      <c r="EF33" s="286"/>
      <c r="EG33" s="287"/>
      <c r="EH33" s="286"/>
      <c r="EI33" s="286"/>
      <c r="EJ33" s="287"/>
      <c r="EK33" s="286"/>
      <c r="EL33" s="286"/>
      <c r="EM33" s="287"/>
      <c r="EN33" s="286"/>
      <c r="EO33" s="286"/>
      <c r="EP33" s="287"/>
      <c r="EQ33" s="286"/>
      <c r="ER33" s="286"/>
      <c r="ES33" s="287"/>
      <c r="ET33" s="286"/>
      <c r="EU33" s="286"/>
      <c r="EV33" s="287"/>
      <c r="EW33" s="286"/>
      <c r="EX33" s="286"/>
      <c r="EY33" s="287"/>
      <c r="EZ33" s="286"/>
      <c r="FA33" s="286"/>
      <c r="FB33" s="287"/>
      <c r="FC33" s="286"/>
      <c r="FD33" s="286"/>
      <c r="FE33" s="287"/>
      <c r="FF33" s="286"/>
      <c r="FG33" s="286"/>
      <c r="FH33" s="287"/>
      <c r="FI33" s="286"/>
      <c r="FJ33" s="286"/>
      <c r="FK33" s="287"/>
      <c r="FL33" s="286"/>
      <c r="FM33" s="286"/>
      <c r="FN33" s="287"/>
      <c r="FO33" s="286"/>
      <c r="FP33" s="286"/>
      <c r="FQ33" s="287"/>
      <c r="FR33" s="286"/>
      <c r="FS33" s="286"/>
      <c r="FT33" s="287"/>
      <c r="FU33" s="286"/>
      <c r="FV33" s="286"/>
      <c r="FW33" s="287"/>
      <c r="FX33" s="1328"/>
      <c r="FY33" s="1328"/>
      <c r="FZ33" s="1330"/>
      <c r="GA33" s="1330"/>
      <c r="GB33" s="1330"/>
      <c r="GC33" s="1329"/>
      <c r="GD33" s="1329"/>
    </row>
    <row s="288" customFormat="1" customHeight="1" ht="23.887500000000003" hidden="1">
      <c r="A34" s="904"/>
      <c r="B34" s="932" cm="1" t="str">
        <f t="array" ref="B34:B34">B33</f>
        <v>false</v>
      </c>
      <c r="C34" s="904"/>
      <c r="D34" s="904"/>
      <c r="E34" s="905">
        <v>24.5</v>
      </c>
      <c r="F34" s="50" cm="1" t="str">
        <f t="array" ref="F34:F34">OFFSET(E34,-1,1)</f>
        <v>0</v>
      </c>
      <c r="G34" s="496" t="s">
        <v>1859</v>
      </c>
      <c r="H34" s="496" t="s">
        <v>566</v>
      </c>
      <c r="I34" s="496" t="s">
        <v>1860</v>
      </c>
      <c r="J34" s="904"/>
      <c r="K34" s="904"/>
      <c r="L34" s="496"/>
      <c r="M34" s="904"/>
      <c r="N34" s="904"/>
      <c r="O34" s="904"/>
      <c r="P34" s="904"/>
      <c r="Q34" s="904"/>
      <c r="R34" s="904"/>
      <c r="S34" s="496"/>
      <c r="T34" s="468" cm="1" t="str">
        <f t="array" ref="T34:T34">T33</f>
        <v>false</v>
      </c>
      <c r="U34" s="904"/>
      <c r="V34" s="904"/>
      <c r="W34" s="904"/>
      <c r="X34" s="1559"/>
      <c r="Y34" s="904"/>
      <c r="Z34" s="1528"/>
      <c r="AA34" s="904"/>
      <c r="AB34" s="289" t="s">
        <v>1861</v>
      </c>
      <c r="AC34" s="290" t="s">
        <v>1862</v>
      </c>
      <c r="AD34" s="4576">
        <f>IF(AND(method_reg="Метод индексации",god&lt;&gt;first_year),_xlfn.SUMIFS(INDEX('Калькуляция (МИ корр)'!$AJ$25:$BC$606,,MATCH(AD$8,'Калькуляция (МИ корр)'!$AJ$8:$BC$8,0)),'Калькуляция (МИ корр)'!$F$25:$F$606,$F34,'Калькуляция (МИ корр)'!$G$25:$G$606,$G34),IF(method_reg="Метод экономически обоснованных расходов",_xlfn.SUMIFS('Калькуляция (МЭОР)'!$AJ$25:$AJ$367,'Калькуляция (МЭОР)'!$F$25:$F$367,$F34,'Калькуляция (МЭОР)'!$G$25:$G$367,$G34),IF(method_reg="Метод сравнения аналогов",_xlfn.SUMIFS('Калькуляция (МСА)'!$AE$25:$AE$103,'Калькуляция (МСА)'!$F$25:$F$103,$F34,'Калькуляция (МСА)'!$G$25:$G$103,$G34),_xlfn.SUMIFS(INDEX('Калькуляция (МИ)'!$AJ$25:$BC$603,,MATCH(AD$8,'Калькуляция (МИ)'!$AJ$8:$BC$8,0)),'Калькуляция (МИ)'!$F$25:$F$603,$F34,'Калькуляция (МИ)'!$G$25:$G$603,$G34))))</f>
        <v>0</v>
      </c>
      <c r="AE34" s="4576">
        <f>IF(AND(method_reg="Метод индексации",god&lt;&gt;first_year),_xlfn.SUMIFS(INDEX('Калькуляция (МИ корр)'!$AJ$25:$BC$606,,MATCH(AE$8,'Калькуляция (МИ корр)'!$AJ$8:$BC$8,0)),'Калькуляция (МИ корр)'!$F$25:$F$606,$F34,'Калькуляция (МИ корр)'!$G$25:$G$606,$G34),IF(method_reg="Метод экономически обоснованных расходов",_xlfn.SUMIFS('Калькуляция (МЭОР)'!$AK$25:$AK$367,'Калькуляция (МЭОР)'!$F$25:$F$367,$F34,'Калькуляция (МЭОР)'!$G$25:$G$367,$G34),IF(method_reg="Метод сравнения аналогов",_xlfn.SUMIFS('Калькуляция (МСА)'!$AF$25:$AF$103,'Калькуляция (МСА)'!$F$25:$F$103,$F34,'Калькуляция (МСА)'!$G$25:$G$103,$G34),_xlfn.SUMIFS(INDEX('Калькуляция (МИ)'!$AJ$25:$BC$603,,MATCH(AE$8,'Калькуляция (МИ)'!$AJ$8:$BC$8,0)),'Калькуляция (МИ)'!$F$25:$F$603,$F34,'Калькуляция (МИ)'!$G$25:$G$603,$G34))))</f>
        <v>0</v>
      </c>
      <c r="AF34" s="292">
        <f>IF(AD34=0,0,(AE34-AD34)/AD34*100)</f>
        <v>0</v>
      </c>
      <c r="AG34" s="4576">
        <f>IF(AND(method_reg="Метод индексации",god&lt;&gt;first_year),_xlfn.SUMIFS(INDEX('Калькуляция (МИ корр)'!$AJ$25:$BC$606,,MATCH(AG$8,'Калькуляция (МИ корр)'!$AJ$8:$BC$8,0)),'Калькуляция (МИ корр)'!$F$25:$F$606,$F34,'Калькуляция (МИ корр)'!$G$25:$G$606,$G34),IF(method_reg="Метод экономически обоснованных расходов",_xlfn.SUMIFS('Калькуляция (МЭОР)'!$AJ$25:$AJ$367,'Калькуляция (МЭОР)'!$F$25:$F$367,$F34,'Калькуляция (МЭОР)'!$G$25:$G$367,$G34),IF(method_reg="Метод сравнения аналогов",_xlfn.SUMIFS('Калькуляция (МСА)'!$AE$25:$AE$103,'Калькуляция (МСА)'!$F$25:$F$103,$F34,'Калькуляция (МСА)'!$G$25:$G$103,$G34),_xlfn.SUMIFS(INDEX('Калькуляция (МИ)'!$AJ$25:$BC$603,,MATCH(AG$8,'Калькуляция (МИ)'!$AJ$8:$BC$8,0)),'Калькуляция (МИ)'!$F$25:$F$603,$F34,'Калькуляция (МИ)'!$G$25:$G$603,$G34))))</f>
        <v>0</v>
      </c>
      <c r="AH34" s="4576">
        <f>IF(AND(method_reg="Метод индексации",god&lt;&gt;first_year),_xlfn.SUMIFS(INDEX('Калькуляция (МИ корр)'!$AJ$25:$BC$606,,MATCH(AH$8,'Калькуляция (МИ корр)'!$AJ$8:$BC$8,0)),'Калькуляция (МИ корр)'!$F$25:$F$606,$F34,'Калькуляция (МИ корр)'!$G$25:$G$606,$G34),IF(method_reg="Метод экономически обоснованных расходов",_xlfn.SUMIFS('Калькуляция (МЭОР)'!$AK$25:$AK$367,'Калькуляция (МЭОР)'!$F$25:$F$367,$F34,'Калькуляция (МЭОР)'!$G$25:$G$367,$G34),IF(method_reg="Метод сравнения аналогов",_xlfn.SUMIFS('Калькуляция (МСА)'!$AF$25:$AF$103,'Калькуляция (МСА)'!$F$25:$F$103,$F34,'Калькуляция (МСА)'!$G$25:$G$103,$G34),_xlfn.SUMIFS(INDEX('Калькуляция (МИ)'!$AJ$25:$BC$603,,MATCH(AH$8,'Калькуляция (МИ)'!$AJ$8:$BC$8,0)),'Калькуляция (МИ)'!$F$25:$F$603,$F34,'Калькуляция (МИ)'!$G$25:$G$603,$G34))))</f>
        <v>0</v>
      </c>
      <c r="AI34" s="292">
        <f>IF(AG34=0,0,(AH34-AG34)/AG34*100)</f>
        <v>0</v>
      </c>
      <c r="AJ34" s="4576">
        <f>IF(AND(method_reg="Метод индексации",god&lt;&gt;first_year),_xlfn.SUMIFS(INDEX('Калькуляция (МИ корр)'!$AJ$25:$BC$606,,MATCH(AJ$8,'Калькуляция (МИ корр)'!$AJ$8:$BC$8,0)),'Калькуляция (МИ корр)'!$F$25:$F$606,$F34,'Калькуляция (МИ корр)'!$G$25:$G$606,$G34),IF(method_reg="Метод экономически обоснованных расходов",_xlfn.SUMIFS('Калькуляция (МЭОР)'!$AJ$25:$AJ$367,'Калькуляция (МЭОР)'!$F$25:$F$367,$F34,'Калькуляция (МЭОР)'!$G$25:$G$367,$G34),IF(method_reg="Метод сравнения аналогов",_xlfn.SUMIFS('Калькуляция (МСА)'!$AE$25:$AE$103,'Калькуляция (МСА)'!$F$25:$F$103,$F34,'Калькуляция (МСА)'!$G$25:$G$103,$G34),_xlfn.SUMIFS(INDEX('Калькуляция (МИ)'!$AJ$25:$BC$603,,MATCH(AJ$8,'Калькуляция (МИ)'!$AJ$8:$BC$8,0)),'Калькуляция (МИ)'!$F$25:$F$603,$F34,'Калькуляция (МИ)'!$G$25:$G$603,$G34))))</f>
        <v>0</v>
      </c>
      <c r="AK34" s="4576">
        <f>IF(AND(method_reg="Метод индексации",god&lt;&gt;first_year),_xlfn.SUMIFS(INDEX('Калькуляция (МИ корр)'!$AJ$25:$BC$606,,MATCH(AK$8,'Калькуляция (МИ корр)'!$AJ$8:$BC$8,0)),'Калькуляция (МИ корр)'!$F$25:$F$606,$F34,'Калькуляция (МИ корр)'!$G$25:$G$606,$G34),IF(method_reg="Метод экономически обоснованных расходов",_xlfn.SUMIFS('Калькуляция (МЭОР)'!$AK$25:$AK$367,'Калькуляция (МЭОР)'!$F$25:$F$367,$F34,'Калькуляция (МЭОР)'!$G$25:$G$367,$G34),IF(method_reg="Метод сравнения аналогов",_xlfn.SUMIFS('Калькуляция (МСА)'!$AF$25:$AF$103,'Калькуляция (МСА)'!$F$25:$F$103,$F34,'Калькуляция (МСА)'!$G$25:$G$103,$G34),_xlfn.SUMIFS(INDEX('Калькуляция (МИ)'!$AJ$25:$BC$603,,MATCH(AK$8,'Калькуляция (МИ)'!$AJ$8:$BC$8,0)),'Калькуляция (МИ)'!$F$25:$F$603,$F34,'Калькуляция (МИ)'!$G$25:$G$603,$G34))))</f>
        <v>0</v>
      </c>
      <c r="AL34" s="292">
        <f>IF(AJ34=0,0,(AK34-AJ34)/AJ34*100)</f>
        <v>0</v>
      </c>
      <c r="AM34" s="4576">
        <f>IF(AND(method_reg="Метод индексации",god&lt;&gt;first_year),_xlfn.SUMIFS(INDEX('Калькуляция (МИ корр)'!$AJ$25:$BC$606,,MATCH(AM$8,'Калькуляция (МИ корр)'!$AJ$8:$BC$8,0)),'Калькуляция (МИ корр)'!$F$25:$F$606,$F34,'Калькуляция (МИ корр)'!$G$25:$G$606,$G34),IF(method_reg="Метод экономически обоснованных расходов",_xlfn.SUMIFS('Калькуляция (МЭОР)'!$AJ$25:$AJ$367,'Калькуляция (МЭОР)'!$F$25:$F$367,$F34,'Калькуляция (МЭОР)'!$G$25:$G$367,$G34),IF(method_reg="Метод сравнения аналогов",_xlfn.SUMIFS('Калькуляция (МСА)'!$AE$25:$AE$103,'Калькуляция (МСА)'!$F$25:$F$103,$F34,'Калькуляция (МСА)'!$G$25:$G$103,$G34),_xlfn.SUMIFS(INDEX('Калькуляция (МИ)'!$AJ$25:$BC$603,,MATCH(AM$8,'Калькуляция (МИ)'!$AJ$8:$BC$8,0)),'Калькуляция (МИ)'!$F$25:$F$603,$F34,'Калькуляция (МИ)'!$G$25:$G$603,$G34))))</f>
        <v>0</v>
      </c>
      <c r="AN34" s="4576">
        <f>IF(AND(method_reg="Метод индексации",god&lt;&gt;first_year),_xlfn.SUMIFS(INDEX('Калькуляция (МИ корр)'!$AJ$25:$BC$606,,MATCH(AN$8,'Калькуляция (МИ корр)'!$AJ$8:$BC$8,0)),'Калькуляция (МИ корр)'!$F$25:$F$606,$F34,'Калькуляция (МИ корр)'!$G$25:$G$606,$G34),IF(method_reg="Метод экономически обоснованных расходов",_xlfn.SUMIFS('Калькуляция (МЭОР)'!$AK$25:$AK$367,'Калькуляция (МЭОР)'!$F$25:$F$367,$F34,'Калькуляция (МЭОР)'!$G$25:$G$367,$G34),IF(method_reg="Метод сравнения аналогов",_xlfn.SUMIFS('Калькуляция (МСА)'!$AF$25:$AF$103,'Калькуляция (МСА)'!$F$25:$F$103,$F34,'Калькуляция (МСА)'!$G$25:$G$103,$G34),_xlfn.SUMIFS(INDEX('Калькуляция (МИ)'!$AJ$25:$BC$603,,MATCH(AN$8,'Калькуляция (МИ)'!$AJ$8:$BC$8,0)),'Калькуляция (МИ)'!$F$25:$F$603,$F34,'Калькуляция (МИ)'!$G$25:$G$603,$G34))))</f>
        <v>0</v>
      </c>
      <c r="AO34" s="292">
        <f>IF(AM34=0,0,(AN34-AM34)/AM34*100)</f>
        <v>0</v>
      </c>
      <c r="AP34" s="4576">
        <f>IF(AND(method_reg="Метод индексации",god&lt;&gt;first_year),_xlfn.SUMIFS(INDEX('Калькуляция (МИ корр)'!$AJ$25:$BC$606,,MATCH(AP$8,'Калькуляция (МИ корр)'!$AJ$8:$BC$8,0)),'Калькуляция (МИ корр)'!$F$25:$F$606,$F34,'Калькуляция (МИ корр)'!$G$25:$G$606,$G34),IF(method_reg="Метод экономически обоснованных расходов",_xlfn.SUMIFS('Калькуляция (МЭОР)'!$AJ$25:$AJ$367,'Калькуляция (МЭОР)'!$F$25:$F$367,$F34,'Калькуляция (МЭОР)'!$G$25:$G$367,$G34),IF(method_reg="Метод сравнения аналогов",_xlfn.SUMIFS('Калькуляция (МСА)'!$AE$25:$AE$103,'Калькуляция (МСА)'!$F$25:$F$103,$F34,'Калькуляция (МСА)'!$G$25:$G$103,$G34),_xlfn.SUMIFS(INDEX('Калькуляция (МИ)'!$AJ$25:$BC$603,,MATCH(AP$8,'Калькуляция (МИ)'!$AJ$8:$BC$8,0)),'Калькуляция (МИ)'!$F$25:$F$603,$F34,'Калькуляция (МИ)'!$G$25:$G$603,$G34))))</f>
        <v>0</v>
      </c>
      <c r="AQ34" s="4576">
        <f>IF(AND(method_reg="Метод индексации",god&lt;&gt;first_year),_xlfn.SUMIFS(INDEX('Калькуляция (МИ корр)'!$AJ$25:$BC$606,,MATCH(AQ$8,'Калькуляция (МИ корр)'!$AJ$8:$BC$8,0)),'Калькуляция (МИ корр)'!$F$25:$F$606,$F34,'Калькуляция (МИ корр)'!$G$25:$G$606,$G34),IF(method_reg="Метод экономически обоснованных расходов",_xlfn.SUMIFS('Калькуляция (МЭОР)'!$AK$25:$AK$367,'Калькуляция (МЭОР)'!$F$25:$F$367,$F34,'Калькуляция (МЭОР)'!$G$25:$G$367,$G34),IF(method_reg="Метод сравнения аналогов",_xlfn.SUMIFS('Калькуляция (МСА)'!$AF$25:$AF$103,'Калькуляция (МСА)'!$F$25:$F$103,$F34,'Калькуляция (МСА)'!$G$25:$G$103,$G34),_xlfn.SUMIFS(INDEX('Калькуляция (МИ)'!$AJ$25:$BC$603,,MATCH(AQ$8,'Калькуляция (МИ)'!$AJ$8:$BC$8,0)),'Калькуляция (МИ)'!$F$25:$F$603,$F34,'Калькуляция (МИ)'!$G$25:$G$603,$G34))))</f>
        <v>0</v>
      </c>
      <c r="AR34" s="292">
        <f>IF(AP34=0,0,(AQ34-AP34)/AP34*100)</f>
        <v>0</v>
      </c>
      <c r="AS34" s="4576">
        <f>IF(AND(method_reg="Метод индексации",god&lt;&gt;first_year),_xlfn.SUMIFS(INDEX('Калькуляция (МИ корр)'!$AJ$25:$BC$606,,MATCH(AS$8,'Калькуляция (МИ корр)'!$AJ$8:$BC$8,0)),'Калькуляция (МИ корр)'!$F$25:$F$606,$F34,'Калькуляция (МИ корр)'!$G$25:$G$606,$G34),IF(method_reg="Метод экономически обоснованных расходов",_xlfn.SUMIFS('Калькуляция (МЭОР)'!$AJ$25:$AJ$367,'Калькуляция (МЭОР)'!$F$25:$F$367,$F34,'Калькуляция (МЭОР)'!$G$25:$G$367,$G34),IF(method_reg="Метод сравнения аналогов",_xlfn.SUMIFS('Калькуляция (МСА)'!$AE$25:$AE$103,'Калькуляция (МСА)'!$F$25:$F$103,$F34,'Калькуляция (МСА)'!$G$25:$G$103,$G34),_xlfn.SUMIFS(INDEX('Калькуляция (МИ)'!$AJ$25:$BC$603,,MATCH(AS$8,'Калькуляция (МИ)'!$AJ$8:$BC$8,0)),'Калькуляция (МИ)'!$F$25:$F$603,$F34,'Калькуляция (МИ)'!$G$25:$G$603,$G34))))</f>
        <v>0</v>
      </c>
      <c r="AT34" s="4576">
        <f>IF(AND(method_reg="Метод индексации",god&lt;&gt;first_year),_xlfn.SUMIFS(INDEX('Калькуляция (МИ корр)'!$AJ$25:$BC$606,,MATCH(AT$8,'Калькуляция (МИ корр)'!$AJ$8:$BC$8,0)),'Калькуляция (МИ корр)'!$F$25:$F$606,$F34,'Калькуляция (МИ корр)'!$G$25:$G$606,$G34),IF(method_reg="Метод экономически обоснованных расходов",_xlfn.SUMIFS('Калькуляция (МЭОР)'!$AK$25:$AK$367,'Калькуляция (МЭОР)'!$F$25:$F$367,$F34,'Калькуляция (МЭОР)'!$G$25:$G$367,$G34),IF(method_reg="Метод сравнения аналогов",_xlfn.SUMIFS('Калькуляция (МСА)'!$AF$25:$AF$103,'Калькуляция (МСА)'!$F$25:$F$103,$F34,'Калькуляция (МСА)'!$G$25:$G$103,$G34),_xlfn.SUMIFS(INDEX('Калькуляция (МИ)'!$AJ$25:$BC$603,,MATCH(AT$8,'Калькуляция (МИ)'!$AJ$8:$BC$8,0)),'Калькуляция (МИ)'!$F$25:$F$603,$F34,'Калькуляция (МИ)'!$G$25:$G$603,$G34))))</f>
        <v>0</v>
      </c>
      <c r="AU34" s="292">
        <f>IF(AS34=0,0,(AT34-AS34)/AS34*100)</f>
        <v>0</v>
      </c>
      <c r="AV34" s="4576">
        <f>IF(AND(method_reg="Метод индексации",god&lt;&gt;first_year),_xlfn.SUMIFS(INDEX('Калькуляция (МИ корр)'!$AJ$25:$BC$606,,MATCH(AV$8,'Калькуляция (МИ корр)'!$AJ$8:$BC$8,0)),'Калькуляция (МИ корр)'!$F$25:$F$606,$F34,'Калькуляция (МИ корр)'!$G$25:$G$606,$G34),IF(method_reg="Метод экономически обоснованных расходов",_xlfn.SUMIFS('Калькуляция (МЭОР)'!$AJ$25:$AJ$367,'Калькуляция (МЭОР)'!$F$25:$F$367,$F34,'Калькуляция (МЭОР)'!$G$25:$G$367,$G34),IF(method_reg="Метод сравнения аналогов",_xlfn.SUMIFS('Калькуляция (МСА)'!$AE$25:$AE$103,'Калькуляция (МСА)'!$F$25:$F$103,$F34,'Калькуляция (МСА)'!$G$25:$G$103,$G34),_xlfn.SUMIFS(INDEX('Калькуляция (МИ)'!$AJ$25:$BC$603,,MATCH(AV$8,'Калькуляция (МИ)'!$AJ$8:$BC$8,0)),'Калькуляция (МИ)'!$F$25:$F$603,$F34,'Калькуляция (МИ)'!$G$25:$G$603,$G34))))</f>
        <v>0</v>
      </c>
      <c r="AW34" s="4576">
        <f>IF(AND(method_reg="Метод индексации",god&lt;&gt;first_year),_xlfn.SUMIFS(INDEX('Калькуляция (МИ корр)'!$AJ$25:$BC$606,,MATCH(AW$8,'Калькуляция (МИ корр)'!$AJ$8:$BC$8,0)),'Калькуляция (МИ корр)'!$F$25:$F$606,$F34,'Калькуляция (МИ корр)'!$G$25:$G$606,$G34),IF(method_reg="Метод экономически обоснованных расходов",_xlfn.SUMIFS('Калькуляция (МЭОР)'!$AK$25:$AK$367,'Калькуляция (МЭОР)'!$F$25:$F$367,$F34,'Калькуляция (МЭОР)'!$G$25:$G$367,$G34),IF(method_reg="Метод сравнения аналогов",_xlfn.SUMIFS('Калькуляция (МСА)'!$AF$25:$AF$103,'Калькуляция (МСА)'!$F$25:$F$103,$F34,'Калькуляция (МСА)'!$G$25:$G$103,$G34),_xlfn.SUMIFS(INDEX('Калькуляция (МИ)'!$AJ$25:$BC$603,,MATCH(AW$8,'Калькуляция (МИ)'!$AJ$8:$BC$8,0)),'Калькуляция (МИ)'!$F$25:$F$603,$F34,'Калькуляция (МИ)'!$G$25:$G$603,$G34))))</f>
        <v>0</v>
      </c>
      <c r="AX34" s="292">
        <f>IF(AV34=0,0,(AW34-AV34)/AV34*100)</f>
        <v>0</v>
      </c>
      <c r="AY34" s="4576">
        <f>IF(AND(method_reg="Метод индексации",god&lt;&gt;first_year),_xlfn.SUMIFS(INDEX('Калькуляция (МИ корр)'!$AJ$25:$BC$606,,MATCH(AY$8,'Калькуляция (МИ корр)'!$AJ$8:$BC$8,0)),'Калькуляция (МИ корр)'!$F$25:$F$606,$F34,'Калькуляция (МИ корр)'!$G$25:$G$606,$G34),IF(method_reg="Метод экономически обоснованных расходов",_xlfn.SUMIFS('Калькуляция (МЭОР)'!$AJ$25:$AJ$367,'Калькуляция (МЭОР)'!$F$25:$F$367,$F34,'Калькуляция (МЭОР)'!$G$25:$G$367,$G34),IF(method_reg="Метод сравнения аналогов",_xlfn.SUMIFS('Калькуляция (МСА)'!$AE$25:$AE$103,'Калькуляция (МСА)'!$F$25:$F$103,$F34,'Калькуляция (МСА)'!$G$25:$G$103,$G34),_xlfn.SUMIFS(INDEX('Калькуляция (МИ)'!$AJ$25:$BC$603,,MATCH(AY$8,'Калькуляция (МИ)'!$AJ$8:$BC$8,0)),'Калькуляция (МИ)'!$F$25:$F$603,$F34,'Калькуляция (МИ)'!$G$25:$G$603,$G34))))</f>
        <v>0</v>
      </c>
      <c r="AZ34" s="4576">
        <f>IF(AND(method_reg="Метод индексации",god&lt;&gt;first_year),_xlfn.SUMIFS(INDEX('Калькуляция (МИ корр)'!$AJ$25:$BC$606,,MATCH(AZ$8,'Калькуляция (МИ корр)'!$AJ$8:$BC$8,0)),'Калькуляция (МИ корр)'!$F$25:$F$606,$F34,'Калькуляция (МИ корр)'!$G$25:$G$606,$G34),IF(method_reg="Метод экономически обоснованных расходов",_xlfn.SUMIFS('Калькуляция (МЭОР)'!$AK$25:$AK$367,'Калькуляция (МЭОР)'!$F$25:$F$367,$F34,'Калькуляция (МЭОР)'!$G$25:$G$367,$G34),IF(method_reg="Метод сравнения аналогов",_xlfn.SUMIFS('Калькуляция (МСА)'!$AF$25:$AF$103,'Калькуляция (МСА)'!$F$25:$F$103,$F34,'Калькуляция (МСА)'!$G$25:$G$103,$G34),_xlfn.SUMIFS(INDEX('Калькуляция (МИ)'!$AJ$25:$BC$603,,MATCH(AZ$8,'Калькуляция (МИ)'!$AJ$8:$BC$8,0)),'Калькуляция (МИ)'!$F$25:$F$603,$F34,'Калькуляция (МИ)'!$G$25:$G$603,$G34))))</f>
        <v>0</v>
      </c>
      <c r="BA34" s="292">
        <f>IF(AY34=0,0,(AZ34-AY34)/AY34*100)</f>
        <v>0</v>
      </c>
      <c r="BB34" s="4576">
        <f>IF(AND(method_reg="Метод индексации",god&lt;&gt;first_year),_xlfn.SUMIFS(INDEX('Калькуляция (МИ корр)'!$AJ$25:$BC$606,,MATCH(BB$8,'Калькуляция (МИ корр)'!$AJ$8:$BC$8,0)),'Калькуляция (МИ корр)'!$F$25:$F$606,$F34,'Калькуляция (МИ корр)'!$G$25:$G$606,$G34),IF(method_reg="Метод экономически обоснованных расходов",_xlfn.SUMIFS('Калькуляция (МЭОР)'!$AJ$25:$AJ$367,'Калькуляция (МЭОР)'!$F$25:$F$367,$F34,'Калькуляция (МЭОР)'!$G$25:$G$367,$G34),IF(method_reg="Метод сравнения аналогов",_xlfn.SUMIFS('Калькуляция (МСА)'!$AE$25:$AE$103,'Калькуляция (МСА)'!$F$25:$F$103,$F34,'Калькуляция (МСА)'!$G$25:$G$103,$G34),_xlfn.SUMIFS(INDEX('Калькуляция (МИ)'!$AJ$25:$BC$603,,MATCH(BB$8,'Калькуляция (МИ)'!$AJ$8:$BC$8,0)),'Калькуляция (МИ)'!$F$25:$F$603,$F34,'Калькуляция (МИ)'!$G$25:$G$603,$G34))))</f>
        <v>0</v>
      </c>
      <c r="BC34" s="4576">
        <f>IF(AND(method_reg="Метод индексации",god&lt;&gt;first_year),_xlfn.SUMIFS(INDEX('Калькуляция (МИ корр)'!$AJ$25:$BC$606,,MATCH(BC$8,'Калькуляция (МИ корр)'!$AJ$8:$BC$8,0)),'Калькуляция (МИ корр)'!$F$25:$F$606,$F34,'Калькуляция (МИ корр)'!$G$25:$G$606,$G34),IF(method_reg="Метод экономически обоснованных расходов",_xlfn.SUMIFS('Калькуляция (МЭОР)'!$AK$25:$AK$367,'Калькуляция (МЭОР)'!$F$25:$F$367,$F34,'Калькуляция (МЭОР)'!$G$25:$G$367,$G34),IF(method_reg="Метод сравнения аналогов",_xlfn.SUMIFS('Калькуляция (МСА)'!$AF$25:$AF$103,'Калькуляция (МСА)'!$F$25:$F$103,$F34,'Калькуляция (МСА)'!$G$25:$G$103,$G34),_xlfn.SUMIFS(INDEX('Калькуляция (МИ)'!$AJ$25:$BC$603,,MATCH(BC$8,'Калькуляция (МИ)'!$AJ$8:$BC$8,0)),'Калькуляция (МИ)'!$F$25:$F$603,$F34,'Калькуляция (МИ)'!$G$25:$G$603,$G34))))</f>
        <v>0</v>
      </c>
      <c r="BD34" s="292">
        <f>IF(BB34=0,0,(BC34-BB34)/BB34*100)</f>
        <v>0</v>
      </c>
      <c r="BE34" s="4576">
        <f>IF(AND(method_reg="Метод индексации",god&lt;&gt;first_year),_xlfn.SUMIFS(INDEX('Калькуляция (МИ корр)'!$AJ$25:$BC$606,,MATCH(BE$8,'Калькуляция (МИ корр)'!$AJ$8:$BC$8,0)),'Калькуляция (МИ корр)'!$F$25:$F$606,$F34,'Калькуляция (МИ корр)'!$G$25:$G$606,$G34),IF(method_reg="Метод экономически обоснованных расходов",_xlfn.SUMIFS('Калькуляция (МЭОР)'!$AJ$25:$AJ$367,'Калькуляция (МЭОР)'!$F$25:$F$367,$F34,'Калькуляция (МЭОР)'!$G$25:$G$367,$G34),IF(method_reg="Метод сравнения аналогов",_xlfn.SUMIFS('Калькуляция (МСА)'!$AE$25:$AE$103,'Калькуляция (МСА)'!$F$25:$F$103,$F34,'Калькуляция (МСА)'!$G$25:$G$103,$G34),_xlfn.SUMIFS(INDEX('Калькуляция (МИ)'!$AJ$25:$BC$603,,MATCH(BE$8,'Калькуляция (МИ)'!$AJ$8:$BC$8,0)),'Калькуляция (МИ)'!$F$25:$F$603,$F34,'Калькуляция (МИ)'!$G$25:$G$603,$G34))))</f>
        <v>0</v>
      </c>
      <c r="BF34" s="4576">
        <f>IF(AND(method_reg="Метод индексации",god&lt;&gt;first_year),_xlfn.SUMIFS(INDEX('Калькуляция (МИ корр)'!$AJ$25:$BC$606,,MATCH(BF$8,'Калькуляция (МИ корр)'!$AJ$8:$BC$8,0)),'Калькуляция (МИ корр)'!$F$25:$F$606,$F34,'Калькуляция (МИ корр)'!$G$25:$G$606,$G34),IF(method_reg="Метод экономически обоснованных расходов",_xlfn.SUMIFS('Калькуляция (МЭОР)'!$AK$25:$AK$367,'Калькуляция (МЭОР)'!$F$25:$F$367,$F34,'Калькуляция (МЭОР)'!$G$25:$G$367,$G34),IF(method_reg="Метод сравнения аналогов",_xlfn.SUMIFS('Калькуляция (МСА)'!$AF$25:$AF$103,'Калькуляция (МСА)'!$F$25:$F$103,$F34,'Калькуляция (МСА)'!$G$25:$G$103,$G34),_xlfn.SUMIFS(INDEX('Калькуляция (МИ)'!$AJ$25:$BC$603,,MATCH(BF$8,'Калькуляция (МИ)'!$AJ$8:$BC$8,0)),'Калькуляция (МИ)'!$F$25:$F$603,$F34,'Калькуляция (МИ)'!$G$25:$G$603,$G34))))</f>
        <v>0</v>
      </c>
      <c r="BG34" s="292">
        <f>IF(BE34=0,0,(BF34-BE34)/BE34*100)</f>
        <v>0</v>
      </c>
      <c r="BH34" s="4576"/>
      <c r="BI34" s="4576"/>
      <c r="BJ34" s="292">
        <f>IF(BH34=0,0,(BI34-BH34)/BH34*100)</f>
        <v>0</v>
      </c>
      <c r="BK34" s="4576"/>
      <c r="BL34" s="4576"/>
      <c r="BM34" s="292">
        <f>IF(BK34=0,0,(BL34-BK34)/BK34*100)</f>
        <v>0</v>
      </c>
      <c r="BN34" s="4576"/>
      <c r="BO34" s="4576"/>
      <c r="BP34" s="292">
        <f>IF(BN34=0,0,(BO34-BN34)/BN34*100)</f>
        <v>0</v>
      </c>
      <c r="BQ34" s="4576"/>
      <c r="BR34" s="4576"/>
      <c r="BS34" s="292">
        <f>IF(BQ34=0,0,(BR34-BQ34)/BQ34*100)</f>
        <v>0</v>
      </c>
      <c r="BT34" s="4576"/>
      <c r="BU34" s="4576"/>
      <c r="BV34" s="292">
        <f>IF(BT34=0,0,(BU34-BT34)/BT34*100)</f>
        <v>0</v>
      </c>
      <c r="BW34" s="4576"/>
      <c r="BX34" s="4576"/>
      <c r="BY34" s="292">
        <f>IF(BW34=0,0,(BX34-BW34)/BW34*100)</f>
        <v>0</v>
      </c>
      <c r="BZ34" s="4576"/>
      <c r="CA34" s="4576"/>
      <c r="CB34" s="292">
        <f>IF(BZ34=0,0,(CA34-BZ34)/BZ34*100)</f>
        <v>0</v>
      </c>
      <c r="CC34" s="4576"/>
      <c r="CD34" s="4576"/>
      <c r="CE34" s="292">
        <f>IF(CC34=0,0,(CD34-CC34)/CC34*100)</f>
        <v>0</v>
      </c>
      <c r="CF34" s="4576"/>
      <c r="CG34" s="4576"/>
      <c r="CH34" s="292">
        <f>IF(CF34=0,0,(CG34-CF34)/CF34*100)</f>
        <v>0</v>
      </c>
      <c r="CI34" s="4576"/>
      <c r="CJ34" s="4576"/>
      <c r="CK34" s="292">
        <f>IF(CI34=0,0,(CJ34-CI34)/CI34*100)</f>
        <v>0</v>
      </c>
      <c r="CL34" s="4576"/>
      <c r="CM34" s="4576"/>
      <c r="CN34" s="292">
        <f>IF(CL34=0,0,(CM34-CL34)/CL34*100)</f>
        <v>0</v>
      </c>
      <c r="CO34" s="4576"/>
      <c r="CP34" s="4576"/>
      <c r="CQ34" s="292">
        <f>IF(CO34=0,0,(CP34-CO34)/CO34*100)</f>
        <v>0</v>
      </c>
      <c r="CR34" s="4576"/>
      <c r="CS34" s="4576"/>
      <c r="CT34" s="292">
        <f>IF(CR34=0,0,(CS34-CR34)/CR34*100)</f>
        <v>0</v>
      </c>
      <c r="CU34" s="4576"/>
      <c r="CV34" s="4576"/>
      <c r="CW34" s="292">
        <f>IF(CU34=0,0,(CV34-CU34)/CU34*100)</f>
        <v>0</v>
      </c>
      <c r="CX34" s="4576"/>
      <c r="CY34" s="4576"/>
      <c r="CZ34" s="292">
        <f>IF(CX34=0,0,(CY34-CX34)/CX34*100)</f>
        <v>0</v>
      </c>
      <c r="DA34" s="4576"/>
      <c r="DB34" s="4576"/>
      <c r="DC34" s="292">
        <f>IF(DA34=0,0,(DB34-DA34)/DA34*100)</f>
        <v>0</v>
      </c>
      <c r="DD34" s="4576"/>
      <c r="DE34" s="4576"/>
      <c r="DF34" s="292">
        <f>IF(DD34=0,0,(DE34-DD34)/DD34*100)</f>
        <v>0</v>
      </c>
      <c r="DG34" s="4578"/>
      <c r="DH34" s="4578"/>
      <c r="DI34" s="292">
        <f>IF(DG34=0,0,(DH34-DG34)/DG34*100)</f>
        <v>0</v>
      </c>
      <c r="DJ34" s="4578"/>
      <c r="DK34" s="4578"/>
      <c r="DL34" s="292">
        <f>IF(DJ34=0,0,(DK34-DJ34)/DJ34*100)</f>
        <v>0</v>
      </c>
      <c r="DM34" s="4578"/>
      <c r="DN34" s="4578"/>
      <c r="DO34" s="292">
        <f>IF(DM34=0,0,(DN34-DM34)/DM34*100)</f>
        <v>0</v>
      </c>
      <c r="DP34" s="4578"/>
      <c r="DQ34" s="4578"/>
      <c r="DR34" s="292">
        <f>IF(DP34=0,0,(DQ34-DP34)/DP34*100)</f>
        <v>0</v>
      </c>
      <c r="DS34" s="4578"/>
      <c r="DT34" s="4578"/>
      <c r="DU34" s="292">
        <f>IF(DS34=0,0,(DT34-DS34)/DS34*100)</f>
        <v>0</v>
      </c>
      <c r="DV34" s="4578"/>
      <c r="DW34" s="4578"/>
      <c r="DX34" s="292">
        <f>IF(DV34=0,0,(DW34-DV34)/DV34*100)</f>
        <v>0</v>
      </c>
      <c r="DY34" s="4578"/>
      <c r="DZ34" s="4578"/>
      <c r="EA34" s="292">
        <f>IF(DY34=0,0,(DZ34-DY34)/DY34*100)</f>
        <v>0</v>
      </c>
      <c r="EB34" s="4578"/>
      <c r="EC34" s="4578"/>
      <c r="ED34" s="292">
        <f>IF(EB34=0,0,(EC34-EB34)/EB34*100)</f>
        <v>0</v>
      </c>
      <c r="EE34" s="4578"/>
      <c r="EF34" s="4578"/>
      <c r="EG34" s="292">
        <f>IF(EE34=0,0,(EF34-EE34)/EE34*100)</f>
        <v>0</v>
      </c>
      <c r="EH34" s="4578"/>
      <c r="EI34" s="4578"/>
      <c r="EJ34" s="292">
        <f>IF(EH34=0,0,(EI34-EH34)/EH34*100)</f>
        <v>0</v>
      </c>
      <c r="EK34" s="4578"/>
      <c r="EL34" s="4578"/>
      <c r="EM34" s="292">
        <f>IF(EK34=0,0,(EL34-EK34)/EK34*100)</f>
        <v>0</v>
      </c>
      <c r="EN34" s="4578"/>
      <c r="EO34" s="4578"/>
      <c r="EP34" s="292">
        <f>IF(EN34=0,0,(EO34-EN34)/EN34*100)</f>
        <v>0</v>
      </c>
      <c r="EQ34" s="4578"/>
      <c r="ER34" s="4578"/>
      <c r="ES34" s="292">
        <f>IF(EQ34=0,0,(ER34-EQ34)/EQ34*100)</f>
        <v>0</v>
      </c>
      <c r="ET34" s="4578"/>
      <c r="EU34" s="4578"/>
      <c r="EV34" s="292">
        <f>IF(ET34=0,0,(EU34-ET34)/ET34*100)</f>
        <v>0</v>
      </c>
      <c r="EW34" s="4578"/>
      <c r="EX34" s="4578"/>
      <c r="EY34" s="292">
        <f>IF(EW34=0,0,(EX34-EW34)/EW34*100)</f>
        <v>0</v>
      </c>
      <c r="EZ34" s="4578"/>
      <c r="FA34" s="4578"/>
      <c r="FB34" s="292">
        <f>IF(EZ34=0,0,(FA34-EZ34)/EZ34*100)</f>
        <v>0</v>
      </c>
      <c r="FC34" s="4578"/>
      <c r="FD34" s="4578"/>
      <c r="FE34" s="292">
        <f>IF(FC34=0,0,(FD34-FC34)/FC34*100)</f>
        <v>0</v>
      </c>
      <c r="FF34" s="4578"/>
      <c r="FG34" s="4578"/>
      <c r="FH34" s="292">
        <f>IF(FF34=0,0,(FG34-FF34)/FF34*100)</f>
        <v>0</v>
      </c>
      <c r="FI34" s="4578"/>
      <c r="FJ34" s="4578"/>
      <c r="FK34" s="292">
        <f>IF(FI34=0,0,(FJ34-FI34)/FI34*100)</f>
        <v>0</v>
      </c>
      <c r="FL34" s="4578"/>
      <c r="FM34" s="4578"/>
      <c r="FN34" s="292">
        <f>IF(FL34=0,0,(FM34-FL34)/FL34*100)</f>
        <v>0</v>
      </c>
      <c r="FO34" s="4578"/>
      <c r="FP34" s="4578"/>
      <c r="FQ34" s="292">
        <f>IF(FO34=0,0,(FP34-FO34)/FO34*100)</f>
        <v>0</v>
      </c>
      <c r="FR34" s="4578"/>
      <c r="FS34" s="4578"/>
      <c r="FT34" s="292">
        <f>IF(FR34=0,0,(FS34-FR34)/FR34*100)</f>
        <v>0</v>
      </c>
      <c r="FU34" s="4578"/>
      <c r="FV34" s="4578"/>
      <c r="FW34" s="292">
        <f>IF(FU34=0,0,(FV34-FU34)/FU34*100)</f>
        <v>0</v>
      </c>
      <c r="FX34" s="288"/>
      <c r="FY34" s="288"/>
      <c r="FZ34" s="1063" t="s">
        <v>1863</v>
      </c>
      <c r="GA34" s="1063"/>
      <c r="GB34" s="1063"/>
      <c r="GC34" s="1064"/>
      <c r="GD34" s="1064"/>
    </row>
    <row s="288" customFormat="1" customHeight="1" ht="23.887500000000003" hidden="1">
      <c r="A35" s="904"/>
      <c r="B35" s="932" cm="1" t="str">
        <f t="array" ref="B35:B35">B34</f>
        <v>false</v>
      </c>
      <c r="C35" s="904"/>
      <c r="D35" s="904"/>
      <c r="E35" s="905">
        <v>24.5</v>
      </c>
      <c r="F35" s="50" cm="1" t="str">
        <f t="array" ref="F35:F35">OFFSET(E35,-1,1)</f>
        <v>0</v>
      </c>
      <c r="G35" s="496" t="s">
        <v>1864</v>
      </c>
      <c r="H35" s="496" t="s">
        <v>566</v>
      </c>
      <c r="I35" s="496" t="s">
        <v>1865</v>
      </c>
      <c r="J35" s="904"/>
      <c r="K35" s="904"/>
      <c r="L35" s="496"/>
      <c r="M35" s="904"/>
      <c r="N35" s="904"/>
      <c r="O35" s="904"/>
      <c r="P35" s="904"/>
      <c r="Q35" s="904"/>
      <c r="R35" s="904"/>
      <c r="S35" s="496"/>
      <c r="T35" s="468" cm="1" t="str">
        <f t="array" ref="T35:T35">T34</f>
        <v>false</v>
      </c>
      <c r="U35" s="904"/>
      <c r="V35" s="904"/>
      <c r="W35" s="904"/>
      <c r="X35" s="1559"/>
      <c r="Y35" s="904"/>
      <c r="Z35" s="1528"/>
      <c r="AA35" s="904"/>
      <c r="AB35" s="289" t="s">
        <v>1866</v>
      </c>
      <c r="AC35" s="290" t="s">
        <v>1862</v>
      </c>
      <c r="AD35" s="4576">
        <f>IF(AND(method_reg="Метод индексации",god&lt;&gt;first_year),_xlfn.SUMIFS(INDEX('Калькуляция (МИ корр)'!$AJ$25:$BC$606,,MATCH(AD$8,'Калькуляция (МИ корр)'!$AJ$8:$BC$8,0)),'Калькуляция (МИ корр)'!$F$25:$F$606,$F35,'Калькуляция (МИ корр)'!$G$25:$G$606,$G35),IF(method_reg="Метод экономически обоснованных расходов",_xlfn.SUMIFS('Калькуляция (МЭОР)'!$AJ$25:$AJ$367,'Калькуляция (МЭОР)'!$F$25:$F$367,$F35,'Калькуляция (МЭОР)'!$G$25:$G$367,$G35),IF(method_reg="Метод сравнения аналогов",_xlfn.SUMIFS('Калькуляция (МСА)'!$AE$25:$AE$103,'Калькуляция (МСА)'!$F$25:$F$103,$F35,'Калькуляция (МСА)'!$G$25:$G$103,$G35),_xlfn.SUMIFS(INDEX('Калькуляция (МИ)'!$AJ$25:$BC$603,,MATCH(AD$8,'Калькуляция (МИ)'!$AJ$8:$BC$8,0)),'Калькуляция (МИ)'!$F$25:$F$603,$F35,'Калькуляция (МИ)'!$G$25:$G$603,$G35))))</f>
        <v>0</v>
      </c>
      <c r="AE35" s="4576">
        <f>IF(AND(method_reg="Метод индексации",god&lt;&gt;first_year),_xlfn.SUMIFS(INDEX('Калькуляция (МИ корр)'!$AJ$25:$BC$606,,MATCH(AE$8,'Калькуляция (МИ корр)'!$AJ$8:$BC$8,0)),'Калькуляция (МИ корр)'!$F$25:$F$606,$F35,'Калькуляция (МИ корр)'!$G$25:$G$606,$G35),IF(method_reg="Метод экономически обоснованных расходов",_xlfn.SUMIFS('Калькуляция (МЭОР)'!$AK$25:$AK$367,'Калькуляция (МЭОР)'!$F$25:$F$367,$F35,'Калькуляция (МЭОР)'!$G$25:$G$367,$G35),IF(method_reg="Метод сравнения аналогов",_xlfn.SUMIFS('Калькуляция (МСА)'!$AF$25:$AF$103,'Калькуляция (МСА)'!$F$25:$F$103,$F35,'Калькуляция (МСА)'!$G$25:$G$103,$G35),_xlfn.SUMIFS(INDEX('Калькуляция (МИ)'!$AJ$25:$BC$603,,MATCH(AE$8,'Калькуляция (МИ)'!$AJ$8:$BC$8,0)),'Калькуляция (МИ)'!$F$25:$F$603,$F35,'Калькуляция (МИ)'!$G$25:$G$603,$G35))))</f>
        <v>0</v>
      </c>
      <c r="AF35" s="292">
        <f>IF(AD35=0,0,(AE35-AD35)/AD35*100)</f>
        <v>0</v>
      </c>
      <c r="AG35" s="4576">
        <f>IF(AND(method_reg="Метод индексации",god&lt;&gt;first_year),_xlfn.SUMIFS(INDEX('Калькуляция (МИ корр)'!$AJ$25:$BC$606,,MATCH(AG$8,'Калькуляция (МИ корр)'!$AJ$8:$BC$8,0)),'Калькуляция (МИ корр)'!$F$25:$F$606,$F35,'Калькуляция (МИ корр)'!$G$25:$G$606,$G35),IF(method_reg="Метод экономически обоснованных расходов",_xlfn.SUMIFS('Калькуляция (МЭОР)'!$AJ$25:$AJ$367,'Калькуляция (МЭОР)'!$F$25:$F$367,$F35,'Калькуляция (МЭОР)'!$G$25:$G$367,$G35),IF(method_reg="Метод сравнения аналогов",_xlfn.SUMIFS('Калькуляция (МСА)'!$AE$25:$AE$103,'Калькуляция (МСА)'!$F$25:$F$103,$F35,'Калькуляция (МСА)'!$G$25:$G$103,$G35),_xlfn.SUMIFS(INDEX('Калькуляция (МИ)'!$AJ$25:$BC$603,,MATCH(AG$8,'Калькуляция (МИ)'!$AJ$8:$BC$8,0)),'Калькуляция (МИ)'!$F$25:$F$603,$F35,'Калькуляция (МИ)'!$G$25:$G$603,$G35))))</f>
        <v>0</v>
      </c>
      <c r="AH35" s="4576">
        <f>IF(AND(method_reg="Метод индексации",god&lt;&gt;first_year),_xlfn.SUMIFS(INDEX('Калькуляция (МИ корр)'!$AJ$25:$BC$606,,MATCH(AH$8,'Калькуляция (МИ корр)'!$AJ$8:$BC$8,0)),'Калькуляция (МИ корр)'!$F$25:$F$606,$F35,'Калькуляция (МИ корр)'!$G$25:$G$606,$G35),IF(method_reg="Метод экономически обоснованных расходов",_xlfn.SUMIFS('Калькуляция (МЭОР)'!$AK$25:$AK$367,'Калькуляция (МЭОР)'!$F$25:$F$367,$F35,'Калькуляция (МЭОР)'!$G$25:$G$367,$G35),IF(method_reg="Метод сравнения аналогов",_xlfn.SUMIFS('Калькуляция (МСА)'!$AF$25:$AF$103,'Калькуляция (МСА)'!$F$25:$F$103,$F35,'Калькуляция (МСА)'!$G$25:$G$103,$G35),_xlfn.SUMIFS(INDEX('Калькуляция (МИ)'!$AJ$25:$BC$603,,MATCH(AH$8,'Калькуляция (МИ)'!$AJ$8:$BC$8,0)),'Калькуляция (МИ)'!$F$25:$F$603,$F35,'Калькуляция (МИ)'!$G$25:$G$603,$G35))))</f>
        <v>0</v>
      </c>
      <c r="AI35" s="292">
        <f>IF(AG35=0,0,(AH35-AG35)/AG35*100)</f>
        <v>0</v>
      </c>
      <c r="AJ35" s="4576">
        <f>IF(AND(method_reg="Метод индексации",god&lt;&gt;first_year),_xlfn.SUMIFS(INDEX('Калькуляция (МИ корр)'!$AJ$25:$BC$606,,MATCH(AJ$8,'Калькуляция (МИ корр)'!$AJ$8:$BC$8,0)),'Калькуляция (МИ корр)'!$F$25:$F$606,$F35,'Калькуляция (МИ корр)'!$G$25:$G$606,$G35),IF(method_reg="Метод экономически обоснованных расходов",_xlfn.SUMIFS('Калькуляция (МЭОР)'!$AJ$25:$AJ$367,'Калькуляция (МЭОР)'!$F$25:$F$367,$F35,'Калькуляция (МЭОР)'!$G$25:$G$367,$G35),IF(method_reg="Метод сравнения аналогов",_xlfn.SUMIFS('Калькуляция (МСА)'!$AE$25:$AE$103,'Калькуляция (МСА)'!$F$25:$F$103,$F35,'Калькуляция (МСА)'!$G$25:$G$103,$G35),_xlfn.SUMIFS(INDEX('Калькуляция (МИ)'!$AJ$25:$BC$603,,MATCH(AJ$8,'Калькуляция (МИ)'!$AJ$8:$BC$8,0)),'Калькуляция (МИ)'!$F$25:$F$603,$F35,'Калькуляция (МИ)'!$G$25:$G$603,$G35))))</f>
        <v>0</v>
      </c>
      <c r="AK35" s="4576">
        <f>IF(AND(method_reg="Метод индексации",god&lt;&gt;first_year),_xlfn.SUMIFS(INDEX('Калькуляция (МИ корр)'!$AJ$25:$BC$606,,MATCH(AK$8,'Калькуляция (МИ корр)'!$AJ$8:$BC$8,0)),'Калькуляция (МИ корр)'!$F$25:$F$606,$F35,'Калькуляция (МИ корр)'!$G$25:$G$606,$G35),IF(method_reg="Метод экономически обоснованных расходов",_xlfn.SUMIFS('Калькуляция (МЭОР)'!$AK$25:$AK$367,'Калькуляция (МЭОР)'!$F$25:$F$367,$F35,'Калькуляция (МЭОР)'!$G$25:$G$367,$G35),IF(method_reg="Метод сравнения аналогов",_xlfn.SUMIFS('Калькуляция (МСА)'!$AF$25:$AF$103,'Калькуляция (МСА)'!$F$25:$F$103,$F35,'Калькуляция (МСА)'!$G$25:$G$103,$G35),_xlfn.SUMIFS(INDEX('Калькуляция (МИ)'!$AJ$25:$BC$603,,MATCH(AK$8,'Калькуляция (МИ)'!$AJ$8:$BC$8,0)),'Калькуляция (МИ)'!$F$25:$F$603,$F35,'Калькуляция (МИ)'!$G$25:$G$603,$G35))))</f>
        <v>0</v>
      </c>
      <c r="AL35" s="292">
        <f>IF(AJ35=0,0,(AK35-AJ35)/AJ35*100)</f>
        <v>0</v>
      </c>
      <c r="AM35" s="4576">
        <f>IF(AND(method_reg="Метод индексации",god&lt;&gt;first_year),_xlfn.SUMIFS(INDEX('Калькуляция (МИ корр)'!$AJ$25:$BC$606,,MATCH(AM$8,'Калькуляция (МИ корр)'!$AJ$8:$BC$8,0)),'Калькуляция (МИ корр)'!$F$25:$F$606,$F35,'Калькуляция (МИ корр)'!$G$25:$G$606,$G35),IF(method_reg="Метод экономически обоснованных расходов",_xlfn.SUMIFS('Калькуляция (МЭОР)'!$AJ$25:$AJ$367,'Калькуляция (МЭОР)'!$F$25:$F$367,$F35,'Калькуляция (МЭОР)'!$G$25:$G$367,$G35),IF(method_reg="Метод сравнения аналогов",_xlfn.SUMIFS('Калькуляция (МСА)'!$AE$25:$AE$103,'Калькуляция (МСА)'!$F$25:$F$103,$F35,'Калькуляция (МСА)'!$G$25:$G$103,$G35),_xlfn.SUMIFS(INDEX('Калькуляция (МИ)'!$AJ$25:$BC$603,,MATCH(AM$8,'Калькуляция (МИ)'!$AJ$8:$BC$8,0)),'Калькуляция (МИ)'!$F$25:$F$603,$F35,'Калькуляция (МИ)'!$G$25:$G$603,$G35))))</f>
        <v>0</v>
      </c>
      <c r="AN35" s="4576">
        <f>IF(AND(method_reg="Метод индексации",god&lt;&gt;first_year),_xlfn.SUMIFS(INDEX('Калькуляция (МИ корр)'!$AJ$25:$BC$606,,MATCH(AN$8,'Калькуляция (МИ корр)'!$AJ$8:$BC$8,0)),'Калькуляция (МИ корр)'!$F$25:$F$606,$F35,'Калькуляция (МИ корр)'!$G$25:$G$606,$G35),IF(method_reg="Метод экономически обоснованных расходов",_xlfn.SUMIFS('Калькуляция (МЭОР)'!$AK$25:$AK$367,'Калькуляция (МЭОР)'!$F$25:$F$367,$F35,'Калькуляция (МЭОР)'!$G$25:$G$367,$G35),IF(method_reg="Метод сравнения аналогов",_xlfn.SUMIFS('Калькуляция (МСА)'!$AF$25:$AF$103,'Калькуляция (МСА)'!$F$25:$F$103,$F35,'Калькуляция (МСА)'!$G$25:$G$103,$G35),_xlfn.SUMIFS(INDEX('Калькуляция (МИ)'!$AJ$25:$BC$603,,MATCH(AN$8,'Калькуляция (МИ)'!$AJ$8:$BC$8,0)),'Калькуляция (МИ)'!$F$25:$F$603,$F35,'Калькуляция (МИ)'!$G$25:$G$603,$G35))))</f>
        <v>0</v>
      </c>
      <c r="AO35" s="292">
        <f>IF(AM35=0,0,(AN35-AM35)/AM35*100)</f>
        <v>0</v>
      </c>
      <c r="AP35" s="4576">
        <f>IF(AND(method_reg="Метод индексации",god&lt;&gt;first_year),_xlfn.SUMIFS(INDEX('Калькуляция (МИ корр)'!$AJ$25:$BC$606,,MATCH(AP$8,'Калькуляция (МИ корр)'!$AJ$8:$BC$8,0)),'Калькуляция (МИ корр)'!$F$25:$F$606,$F35,'Калькуляция (МИ корр)'!$G$25:$G$606,$G35),IF(method_reg="Метод экономически обоснованных расходов",_xlfn.SUMIFS('Калькуляция (МЭОР)'!$AJ$25:$AJ$367,'Калькуляция (МЭОР)'!$F$25:$F$367,$F35,'Калькуляция (МЭОР)'!$G$25:$G$367,$G35),IF(method_reg="Метод сравнения аналогов",_xlfn.SUMIFS('Калькуляция (МСА)'!$AE$25:$AE$103,'Калькуляция (МСА)'!$F$25:$F$103,$F35,'Калькуляция (МСА)'!$G$25:$G$103,$G35),_xlfn.SUMIFS(INDEX('Калькуляция (МИ)'!$AJ$25:$BC$603,,MATCH(AP$8,'Калькуляция (МИ)'!$AJ$8:$BC$8,0)),'Калькуляция (МИ)'!$F$25:$F$603,$F35,'Калькуляция (МИ)'!$G$25:$G$603,$G35))))</f>
        <v>0</v>
      </c>
      <c r="AQ35" s="4576">
        <f>IF(AND(method_reg="Метод индексации",god&lt;&gt;first_year),_xlfn.SUMIFS(INDEX('Калькуляция (МИ корр)'!$AJ$25:$BC$606,,MATCH(AQ$8,'Калькуляция (МИ корр)'!$AJ$8:$BC$8,0)),'Калькуляция (МИ корр)'!$F$25:$F$606,$F35,'Калькуляция (МИ корр)'!$G$25:$G$606,$G35),IF(method_reg="Метод экономически обоснованных расходов",_xlfn.SUMIFS('Калькуляция (МЭОР)'!$AK$25:$AK$367,'Калькуляция (МЭОР)'!$F$25:$F$367,$F35,'Калькуляция (МЭОР)'!$G$25:$G$367,$G35),IF(method_reg="Метод сравнения аналогов",_xlfn.SUMIFS('Калькуляция (МСА)'!$AF$25:$AF$103,'Калькуляция (МСА)'!$F$25:$F$103,$F35,'Калькуляция (МСА)'!$G$25:$G$103,$G35),_xlfn.SUMIFS(INDEX('Калькуляция (МИ)'!$AJ$25:$BC$603,,MATCH(AQ$8,'Калькуляция (МИ)'!$AJ$8:$BC$8,0)),'Калькуляция (МИ)'!$F$25:$F$603,$F35,'Калькуляция (МИ)'!$G$25:$G$603,$G35))))</f>
        <v>0</v>
      </c>
      <c r="AR35" s="292">
        <f>IF(AP35=0,0,(AQ35-AP35)/AP35*100)</f>
        <v>0</v>
      </c>
      <c r="AS35" s="4576">
        <f>IF(AND(method_reg="Метод индексации",god&lt;&gt;first_year),_xlfn.SUMIFS(INDEX('Калькуляция (МИ корр)'!$AJ$25:$BC$606,,MATCH(AS$8,'Калькуляция (МИ корр)'!$AJ$8:$BC$8,0)),'Калькуляция (МИ корр)'!$F$25:$F$606,$F35,'Калькуляция (МИ корр)'!$G$25:$G$606,$G35),IF(method_reg="Метод экономически обоснованных расходов",_xlfn.SUMIFS('Калькуляция (МЭОР)'!$AJ$25:$AJ$367,'Калькуляция (МЭОР)'!$F$25:$F$367,$F35,'Калькуляция (МЭОР)'!$G$25:$G$367,$G35),IF(method_reg="Метод сравнения аналогов",_xlfn.SUMIFS('Калькуляция (МСА)'!$AE$25:$AE$103,'Калькуляция (МСА)'!$F$25:$F$103,$F35,'Калькуляция (МСА)'!$G$25:$G$103,$G35),_xlfn.SUMIFS(INDEX('Калькуляция (МИ)'!$AJ$25:$BC$603,,MATCH(AS$8,'Калькуляция (МИ)'!$AJ$8:$BC$8,0)),'Калькуляция (МИ)'!$F$25:$F$603,$F35,'Калькуляция (МИ)'!$G$25:$G$603,$G35))))</f>
        <v>0</v>
      </c>
      <c r="AT35" s="4576">
        <f>IF(AND(method_reg="Метод индексации",god&lt;&gt;first_year),_xlfn.SUMIFS(INDEX('Калькуляция (МИ корр)'!$AJ$25:$BC$606,,MATCH(AT$8,'Калькуляция (МИ корр)'!$AJ$8:$BC$8,0)),'Калькуляция (МИ корр)'!$F$25:$F$606,$F35,'Калькуляция (МИ корр)'!$G$25:$G$606,$G35),IF(method_reg="Метод экономически обоснованных расходов",_xlfn.SUMIFS('Калькуляция (МЭОР)'!$AK$25:$AK$367,'Калькуляция (МЭОР)'!$F$25:$F$367,$F35,'Калькуляция (МЭОР)'!$G$25:$G$367,$G35),IF(method_reg="Метод сравнения аналогов",_xlfn.SUMIFS('Калькуляция (МСА)'!$AF$25:$AF$103,'Калькуляция (МСА)'!$F$25:$F$103,$F35,'Калькуляция (МСА)'!$G$25:$G$103,$G35),_xlfn.SUMIFS(INDEX('Калькуляция (МИ)'!$AJ$25:$BC$603,,MATCH(AT$8,'Калькуляция (МИ)'!$AJ$8:$BC$8,0)),'Калькуляция (МИ)'!$F$25:$F$603,$F35,'Калькуляция (МИ)'!$G$25:$G$603,$G35))))</f>
        <v>0</v>
      </c>
      <c r="AU35" s="292">
        <f>IF(AS35=0,0,(AT35-AS35)/AS35*100)</f>
        <v>0</v>
      </c>
      <c r="AV35" s="4576">
        <f>IF(AND(method_reg="Метод индексации",god&lt;&gt;first_year),_xlfn.SUMIFS(INDEX('Калькуляция (МИ корр)'!$AJ$25:$BC$606,,MATCH(AV$8,'Калькуляция (МИ корр)'!$AJ$8:$BC$8,0)),'Калькуляция (МИ корр)'!$F$25:$F$606,$F35,'Калькуляция (МИ корр)'!$G$25:$G$606,$G35),IF(method_reg="Метод экономически обоснованных расходов",_xlfn.SUMIFS('Калькуляция (МЭОР)'!$AJ$25:$AJ$367,'Калькуляция (МЭОР)'!$F$25:$F$367,$F35,'Калькуляция (МЭОР)'!$G$25:$G$367,$G35),IF(method_reg="Метод сравнения аналогов",_xlfn.SUMIFS('Калькуляция (МСА)'!$AE$25:$AE$103,'Калькуляция (МСА)'!$F$25:$F$103,$F35,'Калькуляция (МСА)'!$G$25:$G$103,$G35),_xlfn.SUMIFS(INDEX('Калькуляция (МИ)'!$AJ$25:$BC$603,,MATCH(AV$8,'Калькуляция (МИ)'!$AJ$8:$BC$8,0)),'Калькуляция (МИ)'!$F$25:$F$603,$F35,'Калькуляция (МИ)'!$G$25:$G$603,$G35))))</f>
        <v>0</v>
      </c>
      <c r="AW35" s="4576">
        <f>IF(AND(method_reg="Метод индексации",god&lt;&gt;first_year),_xlfn.SUMIFS(INDEX('Калькуляция (МИ корр)'!$AJ$25:$BC$606,,MATCH(AW$8,'Калькуляция (МИ корр)'!$AJ$8:$BC$8,0)),'Калькуляция (МИ корр)'!$F$25:$F$606,$F35,'Калькуляция (МИ корр)'!$G$25:$G$606,$G35),IF(method_reg="Метод экономически обоснованных расходов",_xlfn.SUMIFS('Калькуляция (МЭОР)'!$AK$25:$AK$367,'Калькуляция (МЭОР)'!$F$25:$F$367,$F35,'Калькуляция (МЭОР)'!$G$25:$G$367,$G35),IF(method_reg="Метод сравнения аналогов",_xlfn.SUMIFS('Калькуляция (МСА)'!$AF$25:$AF$103,'Калькуляция (МСА)'!$F$25:$F$103,$F35,'Калькуляция (МСА)'!$G$25:$G$103,$G35),_xlfn.SUMIFS(INDEX('Калькуляция (МИ)'!$AJ$25:$BC$603,,MATCH(AW$8,'Калькуляция (МИ)'!$AJ$8:$BC$8,0)),'Калькуляция (МИ)'!$F$25:$F$603,$F35,'Калькуляция (МИ)'!$G$25:$G$603,$G35))))</f>
        <v>0</v>
      </c>
      <c r="AX35" s="292">
        <f>IF(AV35=0,0,(AW35-AV35)/AV35*100)</f>
        <v>0</v>
      </c>
      <c r="AY35" s="4576">
        <f>IF(AND(method_reg="Метод индексации",god&lt;&gt;first_year),_xlfn.SUMIFS(INDEX('Калькуляция (МИ корр)'!$AJ$25:$BC$606,,MATCH(AY$8,'Калькуляция (МИ корр)'!$AJ$8:$BC$8,0)),'Калькуляция (МИ корр)'!$F$25:$F$606,$F35,'Калькуляция (МИ корр)'!$G$25:$G$606,$G35),IF(method_reg="Метод экономически обоснованных расходов",_xlfn.SUMIFS('Калькуляция (МЭОР)'!$AJ$25:$AJ$367,'Калькуляция (МЭОР)'!$F$25:$F$367,$F35,'Калькуляция (МЭОР)'!$G$25:$G$367,$G35),IF(method_reg="Метод сравнения аналогов",_xlfn.SUMIFS('Калькуляция (МСА)'!$AE$25:$AE$103,'Калькуляция (МСА)'!$F$25:$F$103,$F35,'Калькуляция (МСА)'!$G$25:$G$103,$G35),_xlfn.SUMIFS(INDEX('Калькуляция (МИ)'!$AJ$25:$BC$603,,MATCH(AY$8,'Калькуляция (МИ)'!$AJ$8:$BC$8,0)),'Калькуляция (МИ)'!$F$25:$F$603,$F35,'Калькуляция (МИ)'!$G$25:$G$603,$G35))))</f>
        <v>0</v>
      </c>
      <c r="AZ35" s="4576">
        <f>IF(AND(method_reg="Метод индексации",god&lt;&gt;first_year),_xlfn.SUMIFS(INDEX('Калькуляция (МИ корр)'!$AJ$25:$BC$606,,MATCH(AZ$8,'Калькуляция (МИ корр)'!$AJ$8:$BC$8,0)),'Калькуляция (МИ корр)'!$F$25:$F$606,$F35,'Калькуляция (МИ корр)'!$G$25:$G$606,$G35),IF(method_reg="Метод экономически обоснованных расходов",_xlfn.SUMIFS('Калькуляция (МЭОР)'!$AK$25:$AK$367,'Калькуляция (МЭОР)'!$F$25:$F$367,$F35,'Калькуляция (МЭОР)'!$G$25:$G$367,$G35),IF(method_reg="Метод сравнения аналогов",_xlfn.SUMIFS('Калькуляция (МСА)'!$AF$25:$AF$103,'Калькуляция (МСА)'!$F$25:$F$103,$F35,'Калькуляция (МСА)'!$G$25:$G$103,$G35),_xlfn.SUMIFS(INDEX('Калькуляция (МИ)'!$AJ$25:$BC$603,,MATCH(AZ$8,'Калькуляция (МИ)'!$AJ$8:$BC$8,0)),'Калькуляция (МИ)'!$F$25:$F$603,$F35,'Калькуляция (МИ)'!$G$25:$G$603,$G35))))</f>
        <v>0</v>
      </c>
      <c r="BA35" s="292">
        <f>IF(AY35=0,0,(AZ35-AY35)/AY35*100)</f>
        <v>0</v>
      </c>
      <c r="BB35" s="4576">
        <f>IF(AND(method_reg="Метод индексации",god&lt;&gt;first_year),_xlfn.SUMIFS(INDEX('Калькуляция (МИ корр)'!$AJ$25:$BC$606,,MATCH(BB$8,'Калькуляция (МИ корр)'!$AJ$8:$BC$8,0)),'Калькуляция (МИ корр)'!$F$25:$F$606,$F35,'Калькуляция (МИ корр)'!$G$25:$G$606,$G35),IF(method_reg="Метод экономически обоснованных расходов",_xlfn.SUMIFS('Калькуляция (МЭОР)'!$AJ$25:$AJ$367,'Калькуляция (МЭОР)'!$F$25:$F$367,$F35,'Калькуляция (МЭОР)'!$G$25:$G$367,$G35),IF(method_reg="Метод сравнения аналогов",_xlfn.SUMIFS('Калькуляция (МСА)'!$AE$25:$AE$103,'Калькуляция (МСА)'!$F$25:$F$103,$F35,'Калькуляция (МСА)'!$G$25:$G$103,$G35),_xlfn.SUMIFS(INDEX('Калькуляция (МИ)'!$AJ$25:$BC$603,,MATCH(BB$8,'Калькуляция (МИ)'!$AJ$8:$BC$8,0)),'Калькуляция (МИ)'!$F$25:$F$603,$F35,'Калькуляция (МИ)'!$G$25:$G$603,$G35))))</f>
        <v>0</v>
      </c>
      <c r="BC35" s="4576">
        <f>IF(AND(method_reg="Метод индексации",god&lt;&gt;first_year),_xlfn.SUMIFS(INDEX('Калькуляция (МИ корр)'!$AJ$25:$BC$606,,MATCH(BC$8,'Калькуляция (МИ корр)'!$AJ$8:$BC$8,0)),'Калькуляция (МИ корр)'!$F$25:$F$606,$F35,'Калькуляция (МИ корр)'!$G$25:$G$606,$G35),IF(method_reg="Метод экономически обоснованных расходов",_xlfn.SUMIFS('Калькуляция (МЭОР)'!$AK$25:$AK$367,'Калькуляция (МЭОР)'!$F$25:$F$367,$F35,'Калькуляция (МЭОР)'!$G$25:$G$367,$G35),IF(method_reg="Метод сравнения аналогов",_xlfn.SUMIFS('Калькуляция (МСА)'!$AF$25:$AF$103,'Калькуляция (МСА)'!$F$25:$F$103,$F35,'Калькуляция (МСА)'!$G$25:$G$103,$G35),_xlfn.SUMIFS(INDEX('Калькуляция (МИ)'!$AJ$25:$BC$603,,MATCH(BC$8,'Калькуляция (МИ)'!$AJ$8:$BC$8,0)),'Калькуляция (МИ)'!$F$25:$F$603,$F35,'Калькуляция (МИ)'!$G$25:$G$603,$G35))))</f>
        <v>0</v>
      </c>
      <c r="BD35" s="292">
        <f>IF(BB35=0,0,(BC35-BB35)/BB35*100)</f>
        <v>0</v>
      </c>
      <c r="BE35" s="4576">
        <f>IF(AND(method_reg="Метод индексации",god&lt;&gt;first_year),_xlfn.SUMIFS(INDEX('Калькуляция (МИ корр)'!$AJ$25:$BC$606,,MATCH(BE$8,'Калькуляция (МИ корр)'!$AJ$8:$BC$8,0)),'Калькуляция (МИ корр)'!$F$25:$F$606,$F35,'Калькуляция (МИ корр)'!$G$25:$G$606,$G35),IF(method_reg="Метод экономически обоснованных расходов",_xlfn.SUMIFS('Калькуляция (МЭОР)'!$AJ$25:$AJ$367,'Калькуляция (МЭОР)'!$F$25:$F$367,$F35,'Калькуляция (МЭОР)'!$G$25:$G$367,$G35),IF(method_reg="Метод сравнения аналогов",_xlfn.SUMIFS('Калькуляция (МСА)'!$AE$25:$AE$103,'Калькуляция (МСА)'!$F$25:$F$103,$F35,'Калькуляция (МСА)'!$G$25:$G$103,$G35),_xlfn.SUMIFS(INDEX('Калькуляция (МИ)'!$AJ$25:$BC$603,,MATCH(BE$8,'Калькуляция (МИ)'!$AJ$8:$BC$8,0)),'Калькуляция (МИ)'!$F$25:$F$603,$F35,'Калькуляция (МИ)'!$G$25:$G$603,$G35))))</f>
        <v>0</v>
      </c>
      <c r="BF35" s="4576">
        <f>IF(AND(method_reg="Метод индексации",god&lt;&gt;first_year),_xlfn.SUMIFS(INDEX('Калькуляция (МИ корр)'!$AJ$25:$BC$606,,MATCH(BF$8,'Калькуляция (МИ корр)'!$AJ$8:$BC$8,0)),'Калькуляция (МИ корр)'!$F$25:$F$606,$F35,'Калькуляция (МИ корр)'!$G$25:$G$606,$G35),IF(method_reg="Метод экономически обоснованных расходов",_xlfn.SUMIFS('Калькуляция (МЭОР)'!$AK$25:$AK$367,'Калькуляция (МЭОР)'!$F$25:$F$367,$F35,'Калькуляция (МЭОР)'!$G$25:$G$367,$G35),IF(method_reg="Метод сравнения аналогов",_xlfn.SUMIFS('Калькуляция (МСА)'!$AF$25:$AF$103,'Калькуляция (МСА)'!$F$25:$F$103,$F35,'Калькуляция (МСА)'!$G$25:$G$103,$G35),_xlfn.SUMIFS(INDEX('Калькуляция (МИ)'!$AJ$25:$BC$603,,MATCH(BF$8,'Калькуляция (МИ)'!$AJ$8:$BC$8,0)),'Калькуляция (МИ)'!$F$25:$F$603,$F35,'Калькуляция (МИ)'!$G$25:$G$603,$G35))))</f>
        <v>0</v>
      </c>
      <c r="BG35" s="292">
        <f>IF(BE35=0,0,(BF35-BE35)/BE35*100)</f>
        <v>0</v>
      </c>
      <c r="BH35" s="4576"/>
      <c r="BI35" s="4576"/>
      <c r="BJ35" s="292">
        <f>IF(BH35=0,0,(BI35-BH35)/BH35*100)</f>
        <v>0</v>
      </c>
      <c r="BK35" s="4576"/>
      <c r="BL35" s="4576"/>
      <c r="BM35" s="292">
        <f>IF(BK35=0,0,(BL35-BK35)/BK35*100)</f>
        <v>0</v>
      </c>
      <c r="BN35" s="4576"/>
      <c r="BO35" s="4576"/>
      <c r="BP35" s="292">
        <f>IF(BN35=0,0,(BO35-BN35)/BN35*100)</f>
        <v>0</v>
      </c>
      <c r="BQ35" s="4576"/>
      <c r="BR35" s="4576"/>
      <c r="BS35" s="292">
        <f>IF(BQ35=0,0,(BR35-BQ35)/BQ35*100)</f>
        <v>0</v>
      </c>
      <c r="BT35" s="4576"/>
      <c r="BU35" s="4576"/>
      <c r="BV35" s="292">
        <f>IF(BT35=0,0,(BU35-BT35)/BT35*100)</f>
        <v>0</v>
      </c>
      <c r="BW35" s="4576"/>
      <c r="BX35" s="4576"/>
      <c r="BY35" s="292">
        <f>IF(BW35=0,0,(BX35-BW35)/BW35*100)</f>
        <v>0</v>
      </c>
      <c r="BZ35" s="4576"/>
      <c r="CA35" s="4576"/>
      <c r="CB35" s="292">
        <f>IF(BZ35=0,0,(CA35-BZ35)/BZ35*100)</f>
        <v>0</v>
      </c>
      <c r="CC35" s="4576"/>
      <c r="CD35" s="4576"/>
      <c r="CE35" s="292">
        <f>IF(CC35=0,0,(CD35-CC35)/CC35*100)</f>
        <v>0</v>
      </c>
      <c r="CF35" s="4576"/>
      <c r="CG35" s="4576"/>
      <c r="CH35" s="292">
        <f>IF(CF35=0,0,(CG35-CF35)/CF35*100)</f>
        <v>0</v>
      </c>
      <c r="CI35" s="4576"/>
      <c r="CJ35" s="4576"/>
      <c r="CK35" s="292">
        <f>IF(CI35=0,0,(CJ35-CI35)/CI35*100)</f>
        <v>0</v>
      </c>
      <c r="CL35" s="4576"/>
      <c r="CM35" s="4576"/>
      <c r="CN35" s="292">
        <f>IF(CL35=0,0,(CM35-CL35)/CL35*100)</f>
        <v>0</v>
      </c>
      <c r="CO35" s="4576"/>
      <c r="CP35" s="4576"/>
      <c r="CQ35" s="292">
        <f>IF(CO35=0,0,(CP35-CO35)/CO35*100)</f>
        <v>0</v>
      </c>
      <c r="CR35" s="4576"/>
      <c r="CS35" s="4576"/>
      <c r="CT35" s="292">
        <f>IF(CR35=0,0,(CS35-CR35)/CR35*100)</f>
        <v>0</v>
      </c>
      <c r="CU35" s="4576"/>
      <c r="CV35" s="4576"/>
      <c r="CW35" s="292">
        <f>IF(CU35=0,0,(CV35-CU35)/CU35*100)</f>
        <v>0</v>
      </c>
      <c r="CX35" s="4576"/>
      <c r="CY35" s="4576"/>
      <c r="CZ35" s="292">
        <f>IF(CX35=0,0,(CY35-CX35)/CX35*100)</f>
        <v>0</v>
      </c>
      <c r="DA35" s="4576"/>
      <c r="DB35" s="4576"/>
      <c r="DC35" s="292">
        <f>IF(DA35=0,0,(DB35-DA35)/DA35*100)</f>
        <v>0</v>
      </c>
      <c r="DD35" s="4576"/>
      <c r="DE35" s="4576"/>
      <c r="DF35" s="292">
        <f>IF(DD35=0,0,(DE35-DD35)/DD35*100)</f>
        <v>0</v>
      </c>
      <c r="DG35" s="4578"/>
      <c r="DH35" s="4578"/>
      <c r="DI35" s="292">
        <f>IF(DG35=0,0,(DH35-DG35)/DG35*100)</f>
        <v>0</v>
      </c>
      <c r="DJ35" s="4578"/>
      <c r="DK35" s="4578"/>
      <c r="DL35" s="292">
        <f>IF(DJ35=0,0,(DK35-DJ35)/DJ35*100)</f>
        <v>0</v>
      </c>
      <c r="DM35" s="4578"/>
      <c r="DN35" s="4578"/>
      <c r="DO35" s="292">
        <f>IF(DM35=0,0,(DN35-DM35)/DM35*100)</f>
        <v>0</v>
      </c>
      <c r="DP35" s="4578"/>
      <c r="DQ35" s="4578"/>
      <c r="DR35" s="292">
        <f>IF(DP35=0,0,(DQ35-DP35)/DP35*100)</f>
        <v>0</v>
      </c>
      <c r="DS35" s="4578"/>
      <c r="DT35" s="4578"/>
      <c r="DU35" s="292">
        <f>IF(DS35=0,0,(DT35-DS35)/DS35*100)</f>
        <v>0</v>
      </c>
      <c r="DV35" s="4578"/>
      <c r="DW35" s="4578"/>
      <c r="DX35" s="292">
        <f>IF(DV35=0,0,(DW35-DV35)/DV35*100)</f>
        <v>0</v>
      </c>
      <c r="DY35" s="4578"/>
      <c r="DZ35" s="4578"/>
      <c r="EA35" s="292">
        <f>IF(DY35=0,0,(DZ35-DY35)/DY35*100)</f>
        <v>0</v>
      </c>
      <c r="EB35" s="4578"/>
      <c r="EC35" s="4578"/>
      <c r="ED35" s="292">
        <f>IF(EB35=0,0,(EC35-EB35)/EB35*100)</f>
        <v>0</v>
      </c>
      <c r="EE35" s="4578"/>
      <c r="EF35" s="4578"/>
      <c r="EG35" s="292">
        <f>IF(EE35=0,0,(EF35-EE35)/EE35*100)</f>
        <v>0</v>
      </c>
      <c r="EH35" s="4578"/>
      <c r="EI35" s="4578"/>
      <c r="EJ35" s="292">
        <f>IF(EH35=0,0,(EI35-EH35)/EH35*100)</f>
        <v>0</v>
      </c>
      <c r="EK35" s="4578"/>
      <c r="EL35" s="4578"/>
      <c r="EM35" s="292">
        <f>IF(EK35=0,0,(EL35-EK35)/EK35*100)</f>
        <v>0</v>
      </c>
      <c r="EN35" s="4578"/>
      <c r="EO35" s="4578"/>
      <c r="EP35" s="292">
        <f>IF(EN35=0,0,(EO35-EN35)/EN35*100)</f>
        <v>0</v>
      </c>
      <c r="EQ35" s="4578"/>
      <c r="ER35" s="4578"/>
      <c r="ES35" s="292">
        <f>IF(EQ35=0,0,(ER35-EQ35)/EQ35*100)</f>
        <v>0</v>
      </c>
      <c r="ET35" s="4578"/>
      <c r="EU35" s="4578"/>
      <c r="EV35" s="292">
        <f>IF(ET35=0,0,(EU35-ET35)/ET35*100)</f>
        <v>0</v>
      </c>
      <c r="EW35" s="4578"/>
      <c r="EX35" s="4578"/>
      <c r="EY35" s="292">
        <f>IF(EW35=0,0,(EX35-EW35)/EW35*100)</f>
        <v>0</v>
      </c>
      <c r="EZ35" s="4578"/>
      <c r="FA35" s="4578"/>
      <c r="FB35" s="292">
        <f>IF(EZ35=0,0,(FA35-EZ35)/EZ35*100)</f>
        <v>0</v>
      </c>
      <c r="FC35" s="4578"/>
      <c r="FD35" s="4578"/>
      <c r="FE35" s="292">
        <f>IF(FC35=0,0,(FD35-FC35)/FC35*100)</f>
        <v>0</v>
      </c>
      <c r="FF35" s="4578"/>
      <c r="FG35" s="4578"/>
      <c r="FH35" s="292">
        <f>IF(FF35=0,0,(FG35-FF35)/FF35*100)</f>
        <v>0</v>
      </c>
      <c r="FI35" s="4578"/>
      <c r="FJ35" s="4578"/>
      <c r="FK35" s="292">
        <f>IF(FI35=0,0,(FJ35-FI35)/FI35*100)</f>
        <v>0</v>
      </c>
      <c r="FL35" s="4578"/>
      <c r="FM35" s="4578"/>
      <c r="FN35" s="292">
        <f>IF(FL35=0,0,(FM35-FL35)/FL35*100)</f>
        <v>0</v>
      </c>
      <c r="FO35" s="4578"/>
      <c r="FP35" s="4578"/>
      <c r="FQ35" s="292">
        <f>IF(FO35=0,0,(FP35-FO35)/FO35*100)</f>
        <v>0</v>
      </c>
      <c r="FR35" s="4578"/>
      <c r="FS35" s="4578"/>
      <c r="FT35" s="292">
        <f>IF(FR35=0,0,(FS35-FR35)/FR35*100)</f>
        <v>0</v>
      </c>
      <c r="FU35" s="4578"/>
      <c r="FV35" s="4578"/>
      <c r="FW35" s="292">
        <f>IF(FU35=0,0,(FV35-FU35)/FU35*100)</f>
        <v>0</v>
      </c>
      <c r="FX35" s="288"/>
      <c r="FY35" s="288"/>
      <c r="FZ35" s="1063" t="s">
        <v>1867</v>
      </c>
      <c r="GA35" s="1063"/>
      <c r="GB35" s="1063"/>
      <c r="GC35" s="1064"/>
      <c r="GD35" s="1064"/>
    </row>
    <row customHeight="1" ht="14.625" hidden="1">
      <c r="A36" s="496"/>
      <c r="B36" s="932" cm="1" t="str">
        <f t="array" ref="B36:B36">B35</f>
        <v>false</v>
      </c>
      <c r="C36" s="496"/>
      <c r="D36" s="496"/>
      <c r="E36" s="847">
        <v>15</v>
      </c>
      <c r="F36" s="50" cm="1" t="str">
        <f t="array" ref="F36:F36">OFFSET(E36,-1,1)</f>
        <v>0</v>
      </c>
      <c r="G36" s="496"/>
      <c r="H36" s="496" t="s">
        <v>570</v>
      </c>
      <c r="I36" s="496" t="s">
        <v>1868</v>
      </c>
      <c r="J36" s="496"/>
      <c r="K36" s="496"/>
      <c r="L36" s="496"/>
      <c r="M36" s="496"/>
      <c r="N36" s="496"/>
      <c r="O36" s="496"/>
      <c r="P36" s="496"/>
      <c r="Q36" s="496"/>
      <c r="R36" s="496"/>
      <c r="S36" s="496"/>
      <c r="T36" s="468" cm="1" t="str">
        <f t="array" ref="T36:T36">T35</f>
        <v>false</v>
      </c>
      <c r="U36" s="496"/>
      <c r="V36" s="496"/>
      <c r="W36" s="496"/>
      <c r="X36" s="1559"/>
      <c r="Y36" s="496"/>
      <c r="Z36" s="1528"/>
      <c r="AA36" s="496"/>
      <c r="AB36" s="1098" t="s">
        <v>1869</v>
      </c>
      <c r="AC36" s="871" t="s">
        <v>561</v>
      </c>
      <c r="AD36" s="1101">
        <f>IF(AD34=0,0,AD35/AD34)*100</f>
        <v>0</v>
      </c>
      <c r="AE36" s="1101">
        <f>IF(AE34=0,0,AE35/AE34)*100</f>
        <v>0</v>
      </c>
      <c r="AF36" s="1102"/>
      <c r="AG36" s="1101">
        <f>IF(AG34=0,0,AG35/AG34)*100</f>
        <v>0</v>
      </c>
      <c r="AH36" s="1101">
        <f>IF(AH34=0,0,AH35/AH34)*100</f>
        <v>0</v>
      </c>
      <c r="AI36" s="1102"/>
      <c r="AJ36" s="1101">
        <f>IF(AJ34=0,0,AJ35/AJ34)*100</f>
        <v>0</v>
      </c>
      <c r="AK36" s="1101">
        <f>IF(AK34=0,0,AK35/AK34)*100</f>
        <v>0</v>
      </c>
      <c r="AL36" s="1102"/>
      <c r="AM36" s="1101">
        <f>IF(AM34=0,0,AM35/AM34)*100</f>
        <v>0</v>
      </c>
      <c r="AN36" s="1101">
        <f>IF(AN34=0,0,AN35/AN34)*100</f>
        <v>0</v>
      </c>
      <c r="AO36" s="1102"/>
      <c r="AP36" s="1101">
        <f>IF(AP34=0,0,AP35/AP34)*100</f>
        <v>0</v>
      </c>
      <c r="AQ36" s="1101">
        <f>IF(AQ34=0,0,AQ35/AQ34)*100</f>
        <v>0</v>
      </c>
      <c r="AR36" s="1102"/>
      <c r="AS36" s="1101">
        <f>IF(AS34=0,0,AS35/AS34)*100</f>
        <v>0</v>
      </c>
      <c r="AT36" s="1101">
        <f>IF(AT34=0,0,AT35/AT34)*100</f>
        <v>0</v>
      </c>
      <c r="AU36" s="1102"/>
      <c r="AV36" s="1101">
        <f>IF(AV34=0,0,AV35/AV34)*100</f>
        <v>0</v>
      </c>
      <c r="AW36" s="1101">
        <f>IF(AW34=0,0,AW35/AW34)*100</f>
        <v>0</v>
      </c>
      <c r="AX36" s="1102"/>
      <c r="AY36" s="1101">
        <f>IF(AY34=0,0,AY35/AY34)*100</f>
        <v>0</v>
      </c>
      <c r="AZ36" s="1101">
        <f>IF(AZ34=0,0,AZ35/AZ34)*100</f>
        <v>0</v>
      </c>
      <c r="BA36" s="1102"/>
      <c r="BB36" s="1101">
        <f>IF(BB34=0,0,BB35/BB34)*100</f>
        <v>0</v>
      </c>
      <c r="BC36" s="1101">
        <f>IF(BC34=0,0,BC35/BC34)*100</f>
        <v>0</v>
      </c>
      <c r="BD36" s="1102"/>
      <c r="BE36" s="1101">
        <f>IF(BE34=0,0,BE35/BE34)*100</f>
        <v>0</v>
      </c>
      <c r="BF36" s="1101">
        <f>IF(BF34=0,0,BF35/BF34)*100</f>
        <v>0</v>
      </c>
      <c r="BG36" s="1102"/>
      <c r="BH36" s="1101">
        <f>IF(BH34=0,0,BH35/BH34)*100</f>
        <v>0</v>
      </c>
      <c r="BI36" s="1101">
        <f>IF(BI34=0,0,BI35/BI34)*100</f>
        <v>0</v>
      </c>
      <c r="BJ36" s="1102"/>
      <c r="BK36" s="1101">
        <f>IF(BK34=0,0,BK35/BK34)*100</f>
        <v>0</v>
      </c>
      <c r="BL36" s="1101">
        <f>IF(BL34=0,0,BL35/BL34)*100</f>
        <v>0</v>
      </c>
      <c r="BM36" s="1102"/>
      <c r="BN36" s="1101">
        <f>IF(BN34=0,0,BN35/BN34)*100</f>
        <v>0</v>
      </c>
      <c r="BO36" s="1101">
        <f>IF(BO34=0,0,BO35/BO34)*100</f>
        <v>0</v>
      </c>
      <c r="BP36" s="1102"/>
      <c r="BQ36" s="1101">
        <f>IF(BQ34=0,0,BQ35/BQ34)*100</f>
        <v>0</v>
      </c>
      <c r="BR36" s="1101">
        <f>IF(BR34=0,0,BR35/BR34)*100</f>
        <v>0</v>
      </c>
      <c r="BS36" s="1102"/>
      <c r="BT36" s="1101">
        <f>IF(BT34=0,0,BT35/BT34)*100</f>
        <v>0</v>
      </c>
      <c r="BU36" s="1101">
        <f>IF(BU34=0,0,BU35/BU34)*100</f>
        <v>0</v>
      </c>
      <c r="BV36" s="1102"/>
      <c r="BW36" s="1101">
        <f>IF(BW34=0,0,BW35/BW34)*100</f>
        <v>0</v>
      </c>
      <c r="BX36" s="1101">
        <f>IF(BX34=0,0,BX35/BX34)*100</f>
        <v>0</v>
      </c>
      <c r="BY36" s="1102"/>
      <c r="BZ36" s="1101">
        <f>IF(BZ34=0,0,BZ35/BZ34)*100</f>
        <v>0</v>
      </c>
      <c r="CA36" s="1101">
        <f>IF(CA34=0,0,CA35/CA34)*100</f>
        <v>0</v>
      </c>
      <c r="CB36" s="1102"/>
      <c r="CC36" s="1101">
        <f>IF(CC34=0,0,CC35/CC34)*100</f>
        <v>0</v>
      </c>
      <c r="CD36" s="1101">
        <f>IF(CD34=0,0,CD35/CD34)*100</f>
        <v>0</v>
      </c>
      <c r="CE36" s="1102"/>
      <c r="CF36" s="1101">
        <f>IF(CF34=0,0,CF35/CF34)*100</f>
        <v>0</v>
      </c>
      <c r="CG36" s="1101">
        <f>IF(CG34=0,0,CG35/CG34)*100</f>
        <v>0</v>
      </c>
      <c r="CH36" s="1102"/>
      <c r="CI36" s="1101">
        <f>IF(CI34=0,0,CI35/CI34)*100</f>
        <v>0</v>
      </c>
      <c r="CJ36" s="1101">
        <f>IF(CJ34=0,0,CJ35/CJ34)*100</f>
        <v>0</v>
      </c>
      <c r="CK36" s="1102"/>
      <c r="CL36" s="1101">
        <f>IF(CL34=0,0,CL35/CL34)*100</f>
        <v>0</v>
      </c>
      <c r="CM36" s="1101">
        <f>IF(CM34=0,0,CM35/CM34)*100</f>
        <v>0</v>
      </c>
      <c r="CN36" s="1102"/>
      <c r="CO36" s="1101">
        <f>IF(CO34=0,0,CO35/CO34)*100</f>
        <v>0</v>
      </c>
      <c r="CP36" s="1101">
        <f>IF(CP34=0,0,CP35/CP34)*100</f>
        <v>0</v>
      </c>
      <c r="CQ36" s="1102"/>
      <c r="CR36" s="1101">
        <f>IF(CR34=0,0,CR35/CR34)*100</f>
        <v>0</v>
      </c>
      <c r="CS36" s="1101">
        <f>IF(CS34=0,0,CS35/CS34)*100</f>
        <v>0</v>
      </c>
      <c r="CT36" s="1102"/>
      <c r="CU36" s="1101">
        <f>IF(CU34=0,0,CU35/CU34)*100</f>
        <v>0</v>
      </c>
      <c r="CV36" s="1101">
        <f>IF(CV34=0,0,CV35/CV34)*100</f>
        <v>0</v>
      </c>
      <c r="CW36" s="1102"/>
      <c r="CX36" s="1101">
        <f>IF(CX34=0,0,CX35/CX34)*100</f>
        <v>0</v>
      </c>
      <c r="CY36" s="1101">
        <f>IF(CY34=0,0,CY35/CY34)*100</f>
        <v>0</v>
      </c>
      <c r="CZ36" s="1102"/>
      <c r="DA36" s="1101">
        <f>IF(DA34=0,0,DA35/DA34)*100</f>
        <v>0</v>
      </c>
      <c r="DB36" s="1101">
        <f>IF(DB34=0,0,DB35/DB34)*100</f>
        <v>0</v>
      </c>
      <c r="DC36" s="1102"/>
      <c r="DD36" s="1101">
        <f>IF(DD34=0,0,DD35/DD34)*100</f>
        <v>0</v>
      </c>
      <c r="DE36" s="1101">
        <f>IF(DE34=0,0,DE35/DE34)*100</f>
        <v>0</v>
      </c>
      <c r="DF36" s="1102"/>
      <c r="DG36" s="1101">
        <f>IF(DG34=0,0,DG35/DG34)*100</f>
        <v>0</v>
      </c>
      <c r="DH36" s="1101">
        <f>IF(DH34=0,0,DH35/DH34)*100</f>
        <v>0</v>
      </c>
      <c r="DI36" s="1102"/>
      <c r="DJ36" s="1101">
        <f>IF(DJ34=0,0,DJ35/DJ34)*100</f>
        <v>0</v>
      </c>
      <c r="DK36" s="1101">
        <f>IF(DK34=0,0,DK35/DK34)*100</f>
        <v>0</v>
      </c>
      <c r="DL36" s="1102"/>
      <c r="DM36" s="1101">
        <f>IF(DM34=0,0,DM35/DM34)*100</f>
        <v>0</v>
      </c>
      <c r="DN36" s="1101">
        <f>IF(DN34=0,0,DN35/DN34)*100</f>
        <v>0</v>
      </c>
      <c r="DO36" s="1102"/>
      <c r="DP36" s="1101">
        <f>IF(DP34=0,0,DP35/DP34)*100</f>
        <v>0</v>
      </c>
      <c r="DQ36" s="1101">
        <f>IF(DQ34=0,0,DQ35/DQ34)*100</f>
        <v>0</v>
      </c>
      <c r="DR36" s="1102"/>
      <c r="DS36" s="1101">
        <f>IF(DS34=0,0,DS35/DS34)*100</f>
        <v>0</v>
      </c>
      <c r="DT36" s="1101">
        <f>IF(DT34=0,0,DT35/DT34)*100</f>
        <v>0</v>
      </c>
      <c r="DU36" s="1102"/>
      <c r="DV36" s="1101">
        <f>IF(DV34=0,0,DV35/DV34)*100</f>
        <v>0</v>
      </c>
      <c r="DW36" s="1101">
        <f>IF(DW34=0,0,DW35/DW34)*100</f>
        <v>0</v>
      </c>
      <c r="DX36" s="1102"/>
      <c r="DY36" s="1101">
        <f>IF(DY34=0,0,DY35/DY34)*100</f>
        <v>0</v>
      </c>
      <c r="DZ36" s="1101">
        <f>IF(DZ34=0,0,DZ35/DZ34)*100</f>
        <v>0</v>
      </c>
      <c r="EA36" s="1102"/>
      <c r="EB36" s="1101">
        <f>IF(EB34=0,0,EB35/EB34)*100</f>
        <v>0</v>
      </c>
      <c r="EC36" s="1101">
        <f>IF(EC34=0,0,EC35/EC34)*100</f>
        <v>0</v>
      </c>
      <c r="ED36" s="1102"/>
      <c r="EE36" s="1101">
        <f>IF(EE34=0,0,EE35/EE34)*100</f>
        <v>0</v>
      </c>
      <c r="EF36" s="1101">
        <f>IF(EF34=0,0,EF35/EF34)*100</f>
        <v>0</v>
      </c>
      <c r="EG36" s="1102"/>
      <c r="EH36" s="1101">
        <f>IF(EH34=0,0,EH35/EH34)*100</f>
        <v>0</v>
      </c>
      <c r="EI36" s="1101">
        <f>IF(EI34=0,0,EI35/EI34)*100</f>
        <v>0</v>
      </c>
      <c r="EJ36" s="1102"/>
      <c r="EK36" s="1101">
        <f>IF(EK34=0,0,EK35/EK34)*100</f>
        <v>0</v>
      </c>
      <c r="EL36" s="1101">
        <f>IF(EL34=0,0,EL35/EL34)*100</f>
        <v>0</v>
      </c>
      <c r="EM36" s="1102"/>
      <c r="EN36" s="1101">
        <f>IF(EN34=0,0,EN35/EN34)*100</f>
        <v>0</v>
      </c>
      <c r="EO36" s="1101">
        <f>IF(EO34=0,0,EO35/EO34)*100</f>
        <v>0</v>
      </c>
      <c r="EP36" s="1102"/>
      <c r="EQ36" s="1101">
        <f>IF(EQ34=0,0,EQ35/EQ34)*100</f>
        <v>0</v>
      </c>
      <c r="ER36" s="1101">
        <f>IF(ER34=0,0,ER35/ER34)*100</f>
        <v>0</v>
      </c>
      <c r="ES36" s="1102"/>
      <c r="ET36" s="1101">
        <f>IF(ET34=0,0,ET35/ET34)*100</f>
        <v>0</v>
      </c>
      <c r="EU36" s="1101">
        <f>IF(EU34=0,0,EU35/EU34)*100</f>
        <v>0</v>
      </c>
      <c r="EV36" s="1102"/>
      <c r="EW36" s="1101">
        <f>IF(EW34=0,0,EW35/EW34)*100</f>
        <v>0</v>
      </c>
      <c r="EX36" s="1101">
        <f>IF(EX34=0,0,EX35/EX34)*100</f>
        <v>0</v>
      </c>
      <c r="EY36" s="1102"/>
      <c r="EZ36" s="1101">
        <f>IF(EZ34=0,0,EZ35/EZ34)*100</f>
        <v>0</v>
      </c>
      <c r="FA36" s="1101">
        <f>IF(FA34=0,0,FA35/FA34)*100</f>
        <v>0</v>
      </c>
      <c r="FB36" s="1102"/>
      <c r="FC36" s="1101">
        <f>IF(FC34=0,0,FC35/FC34)*100</f>
        <v>0</v>
      </c>
      <c r="FD36" s="1101">
        <f>IF(FD34=0,0,FD35/FD34)*100</f>
        <v>0</v>
      </c>
      <c r="FE36" s="1102"/>
      <c r="FF36" s="1101">
        <f>IF(FF34=0,0,FF35/FF34)*100</f>
        <v>0</v>
      </c>
      <c r="FG36" s="1101">
        <f>IF(FG34=0,0,FG35/FG34)*100</f>
        <v>0</v>
      </c>
      <c r="FH36" s="1102"/>
      <c r="FI36" s="1101">
        <f>IF(FI34=0,0,FI35/FI34)*100</f>
        <v>0</v>
      </c>
      <c r="FJ36" s="1101">
        <f>IF(FJ34=0,0,FJ35/FJ34)*100</f>
        <v>0</v>
      </c>
      <c r="FK36" s="1102"/>
      <c r="FL36" s="1101">
        <f>IF(FL34=0,0,FL35/FL34)*100</f>
        <v>0</v>
      </c>
      <c r="FM36" s="1101">
        <f>IF(FM34=0,0,FM35/FM34)*100</f>
        <v>0</v>
      </c>
      <c r="FN36" s="1102"/>
      <c r="FO36" s="1101">
        <f>IF(FO34=0,0,FO35/FO34)*100</f>
        <v>0</v>
      </c>
      <c r="FP36" s="1101">
        <f>IF(FP34=0,0,FP35/FP34)*100</f>
        <v>0</v>
      </c>
      <c r="FQ36" s="1102"/>
      <c r="FR36" s="1101">
        <f>IF(FR34=0,0,FR35/FR34)*100</f>
        <v>0</v>
      </c>
      <c r="FS36" s="1101">
        <f>IF(FS34=0,0,FS35/FS34)*100</f>
        <v>0</v>
      </c>
      <c r="FT36" s="1102"/>
      <c r="FU36" s="1101">
        <f>IF(FU34=0,0,FU35/FU34)*100</f>
        <v>0</v>
      </c>
      <c r="FV36" s="1101">
        <f>IF(FV34=0,0,FV35/FV34)*100</f>
        <v>0</v>
      </c>
      <c r="FW36" s="1102"/>
      <c r="FX36" s="288"/>
      <c r="FY36" s="1328"/>
      <c r="FZ36" s="1063" t="s">
        <v>1870</v>
      </c>
      <c r="GA36" s="1330"/>
      <c r="GB36" s="1330"/>
      <c r="GC36" s="1329"/>
      <c r="GD36" s="1329"/>
    </row>
    <row customHeight="1" ht="14.625" hidden="1">
      <c r="A37" s="496"/>
      <c r="B37" s="932" cm="1" t="str">
        <f t="array" ref="B37:B37">B36</f>
        <v>false</v>
      </c>
      <c r="C37" s="496"/>
      <c r="D37" s="496"/>
      <c r="E37" s="847">
        <v>15</v>
      </c>
      <c r="F37" s="50" cm="1" t="str">
        <f t="array" ref="F37:F37">OFFSET(E37,-1,1)</f>
        <v>0</v>
      </c>
      <c r="G37" s="103" t="s">
        <v>1871</v>
      </c>
      <c r="H37" s="496" t="s">
        <v>573</v>
      </c>
      <c r="I37" s="496" t="s">
        <v>1868</v>
      </c>
      <c r="J37" s="496"/>
      <c r="K37" s="496"/>
      <c r="L37" s="496"/>
      <c r="M37" s="496"/>
      <c r="N37" s="496"/>
      <c r="O37" s="496"/>
      <c r="P37" s="496"/>
      <c r="Q37" s="496"/>
      <c r="R37" s="496"/>
      <c r="S37" s="496"/>
      <c r="T37" s="468" cm="1" t="str">
        <f t="array" ref="T37:T37">T36</f>
        <v>false</v>
      </c>
      <c r="U37" s="496"/>
      <c r="V37" s="496"/>
      <c r="W37" s="496"/>
      <c r="X37" s="1559"/>
      <c r="Y37" s="496"/>
      <c r="Z37" s="1528"/>
      <c r="AA37" s="496"/>
      <c r="AB37" s="1098" t="s">
        <v>1872</v>
      </c>
      <c r="AC37" s="871" t="s">
        <v>657</v>
      </c>
      <c r="AD37" s="4585">
        <f>IF(AND(method_reg="Метод индексации",god&lt;&gt;first_year),_xlfn.SUMIFS(INDEX('Калькуляция (МИ корр)'!$AJ$25:$BC$606,,MATCH(AD$8,'Калькуляция (МИ корр)'!$AJ$8:$BC$8,0)),'Калькуляция (МИ корр)'!$F$25:$F$606,$F37,'Калькуляция (МИ корр)'!$G$25:$G$606,$G37),IF(method_reg="Метод экономически обоснованных расходов",_xlfn.SUMIFS('Калькуляция (МЭОР)'!$AJ$25:$AJ$367,'Калькуляция (МЭОР)'!$F$25:$F$367,$F37,'Калькуляция (МЭОР)'!$G$25:$G$367,$G37),IF(method_reg="Метод сравнения аналогов",_xlfn.SUMIFS('Калькуляция (МСА)'!$AE$25:$AE$103,'Калькуляция (МСА)'!$F$25:$F$103,$F37,'Калькуляция (МСА)'!$G$25:$G$103,$G37),_xlfn.SUMIFS(INDEX('Калькуляция (МИ)'!$AJ$25:$BC$603,,MATCH(AD$8,'Калькуляция (МИ)'!$AJ$8:$BC$8,0)),'Калькуляция (МИ)'!$F$25:$F$603,$F37,'Калькуляция (МИ)'!$G$25:$G$603,$G37))))</f>
        <v>0</v>
      </c>
      <c r="AE37" s="4585">
        <f>IF(AND(method_reg="Метод индексации",god&lt;&gt;first_year),_xlfn.SUMIFS(INDEX('Калькуляция (МИ корр)'!$AJ$25:$BC$606,,MATCH(AE$8,'Калькуляция (МИ корр)'!$AJ$8:$BC$8,0)),'Калькуляция (МИ корр)'!$F$25:$F$606,$F37,'Калькуляция (МИ корр)'!$G$25:$G$606,$G37),IF(method_reg="Метод экономически обоснованных расходов",_xlfn.SUMIFS('Калькуляция (МЭОР)'!$AK$25:$AK$367,'Калькуляция (МЭОР)'!$F$25:$F$367,$F37,'Калькуляция (МЭОР)'!$G$25:$G$367,$G37),IF(method_reg="Метод сравнения аналогов",_xlfn.SUMIFS('Калькуляция (МСА)'!$AF$25:$AF$103,'Калькуляция (МСА)'!$F$25:$F$103,$F37,'Калькуляция (МСА)'!$G$25:$G$103,$G37),_xlfn.SUMIFS(INDEX('Калькуляция (МИ)'!$AJ$25:$BC$603,,MATCH(AE$8,'Калькуляция (МИ)'!$AJ$8:$BC$8,0)),'Калькуляция (МИ)'!$F$25:$F$603,$F37,'Калькуляция (МИ)'!$G$25:$G$603,$G37))))</f>
        <v>0</v>
      </c>
      <c r="AF37" s="1104">
        <f>IF(AD37=0,0,(AE37-AD37)/AD37*100)</f>
        <v>0</v>
      </c>
      <c r="AG37" s="4585">
        <f>IF(AND(method_reg="Метод индексации",god&lt;&gt;first_year),_xlfn.SUMIFS(INDEX('Калькуляция (МИ корр)'!$AJ$25:$BC$606,,MATCH(AG$8,'Калькуляция (МИ корр)'!$AJ$8:$BC$8,0)),'Калькуляция (МИ корр)'!$F$25:$F$606,$F37,'Калькуляция (МИ корр)'!$G$25:$G$606,$G37),IF(method_reg="Метод экономически обоснованных расходов",_xlfn.SUMIFS('Калькуляция (МЭОР)'!$AJ$25:$AJ$367,'Калькуляция (МЭОР)'!$F$25:$F$367,$F37,'Калькуляция (МЭОР)'!$G$25:$G$367,$G37),IF(method_reg="Метод сравнения аналогов",_xlfn.SUMIFS('Калькуляция (МСА)'!$AE$25:$AE$103,'Калькуляция (МСА)'!$F$25:$F$103,$F37,'Калькуляция (МСА)'!$G$25:$G$103,$G37),_xlfn.SUMIFS(INDEX('Калькуляция (МИ)'!$AJ$25:$BC$603,,MATCH(AG$8,'Калькуляция (МИ)'!$AJ$8:$BC$8,0)),'Калькуляция (МИ)'!$F$25:$F$603,$F37,'Калькуляция (МИ)'!$G$25:$G$603,$G37))))</f>
        <v>0</v>
      </c>
      <c r="AH37" s="4585">
        <f>IF(AND(method_reg="Метод индексации",god&lt;&gt;first_year),_xlfn.SUMIFS(INDEX('Калькуляция (МИ корр)'!$AJ$25:$BC$606,,MATCH(AH$8,'Калькуляция (МИ корр)'!$AJ$8:$BC$8,0)),'Калькуляция (МИ корр)'!$F$25:$F$606,$F37,'Калькуляция (МИ корр)'!$G$25:$G$606,$G37),IF(method_reg="Метод экономически обоснованных расходов",_xlfn.SUMIFS('Калькуляция (МЭОР)'!$AK$25:$AK$367,'Калькуляция (МЭОР)'!$F$25:$F$367,$F37,'Калькуляция (МЭОР)'!$G$25:$G$367,$G37),IF(method_reg="Метод сравнения аналогов",_xlfn.SUMIFS('Калькуляция (МСА)'!$AF$25:$AF$103,'Калькуляция (МСА)'!$F$25:$F$103,$F37,'Калькуляция (МСА)'!$G$25:$G$103,$G37),_xlfn.SUMIFS(INDEX('Калькуляция (МИ)'!$AJ$25:$BC$603,,MATCH(AH$8,'Калькуляция (МИ)'!$AJ$8:$BC$8,0)),'Калькуляция (МИ)'!$F$25:$F$603,$F37,'Калькуляция (МИ)'!$G$25:$G$603,$G37))))</f>
        <v>0</v>
      </c>
      <c r="AI37" s="1104">
        <f>IF(AG37=0,0,(AH37-AG37)/AG37*100)</f>
        <v>0</v>
      </c>
      <c r="AJ37" s="4585">
        <f>IF(AND(method_reg="Метод индексации",god&lt;&gt;first_year),_xlfn.SUMIFS(INDEX('Калькуляция (МИ корр)'!$AJ$25:$BC$606,,MATCH(AJ$8,'Калькуляция (МИ корр)'!$AJ$8:$BC$8,0)),'Калькуляция (МИ корр)'!$F$25:$F$606,$F37,'Калькуляция (МИ корр)'!$G$25:$G$606,$G37),IF(method_reg="Метод экономически обоснованных расходов",_xlfn.SUMIFS('Калькуляция (МЭОР)'!$AJ$25:$AJ$367,'Калькуляция (МЭОР)'!$F$25:$F$367,$F37,'Калькуляция (МЭОР)'!$G$25:$G$367,$G37),IF(method_reg="Метод сравнения аналогов",_xlfn.SUMIFS('Калькуляция (МСА)'!$AE$25:$AE$103,'Калькуляция (МСА)'!$F$25:$F$103,$F37,'Калькуляция (МСА)'!$G$25:$G$103,$G37),_xlfn.SUMIFS(INDEX('Калькуляция (МИ)'!$AJ$25:$BC$603,,MATCH(AJ$8,'Калькуляция (МИ)'!$AJ$8:$BC$8,0)),'Калькуляция (МИ)'!$F$25:$F$603,$F37,'Калькуляция (МИ)'!$G$25:$G$603,$G37))))</f>
        <v>0</v>
      </c>
      <c r="AK37" s="4585">
        <f>IF(AND(method_reg="Метод индексации",god&lt;&gt;first_year),_xlfn.SUMIFS(INDEX('Калькуляция (МИ корр)'!$AJ$25:$BC$606,,MATCH(AK$8,'Калькуляция (МИ корр)'!$AJ$8:$BC$8,0)),'Калькуляция (МИ корр)'!$F$25:$F$606,$F37,'Калькуляция (МИ корр)'!$G$25:$G$606,$G37),IF(method_reg="Метод экономически обоснованных расходов",_xlfn.SUMIFS('Калькуляция (МЭОР)'!$AK$25:$AK$367,'Калькуляция (МЭОР)'!$F$25:$F$367,$F37,'Калькуляция (МЭОР)'!$G$25:$G$367,$G37),IF(method_reg="Метод сравнения аналогов",_xlfn.SUMIFS('Калькуляция (МСА)'!$AF$25:$AF$103,'Калькуляция (МСА)'!$F$25:$F$103,$F37,'Калькуляция (МСА)'!$G$25:$G$103,$G37),_xlfn.SUMIFS(INDEX('Калькуляция (МИ)'!$AJ$25:$BC$603,,MATCH(AK$8,'Калькуляция (МИ)'!$AJ$8:$BC$8,0)),'Калькуляция (МИ)'!$F$25:$F$603,$F37,'Калькуляция (МИ)'!$G$25:$G$603,$G37))))</f>
        <v>0</v>
      </c>
      <c r="AL37" s="1104">
        <f>IF(AJ37=0,0,(AK37-AJ37)/AJ37*100)</f>
        <v>0</v>
      </c>
      <c r="AM37" s="4585">
        <f>IF(AND(method_reg="Метод индексации",god&lt;&gt;first_year),_xlfn.SUMIFS(INDEX('Калькуляция (МИ корр)'!$AJ$25:$BC$606,,MATCH(AM$8,'Калькуляция (МИ корр)'!$AJ$8:$BC$8,0)),'Калькуляция (МИ корр)'!$F$25:$F$606,$F37,'Калькуляция (МИ корр)'!$G$25:$G$606,$G37),IF(method_reg="Метод экономически обоснованных расходов",_xlfn.SUMIFS('Калькуляция (МЭОР)'!$AJ$25:$AJ$367,'Калькуляция (МЭОР)'!$F$25:$F$367,$F37,'Калькуляция (МЭОР)'!$G$25:$G$367,$G37),IF(method_reg="Метод сравнения аналогов",_xlfn.SUMIFS('Калькуляция (МСА)'!$AE$25:$AE$103,'Калькуляция (МСА)'!$F$25:$F$103,$F37,'Калькуляция (МСА)'!$G$25:$G$103,$G37),_xlfn.SUMIFS(INDEX('Калькуляция (МИ)'!$AJ$25:$BC$603,,MATCH(AM$8,'Калькуляция (МИ)'!$AJ$8:$BC$8,0)),'Калькуляция (МИ)'!$F$25:$F$603,$F37,'Калькуляция (МИ)'!$G$25:$G$603,$G37))))</f>
        <v>0</v>
      </c>
      <c r="AN37" s="4585">
        <f>IF(AND(method_reg="Метод индексации",god&lt;&gt;first_year),_xlfn.SUMIFS(INDEX('Калькуляция (МИ корр)'!$AJ$25:$BC$606,,MATCH(AN$8,'Калькуляция (МИ корр)'!$AJ$8:$BC$8,0)),'Калькуляция (МИ корр)'!$F$25:$F$606,$F37,'Калькуляция (МИ корр)'!$G$25:$G$606,$G37),IF(method_reg="Метод экономически обоснованных расходов",_xlfn.SUMIFS('Калькуляция (МЭОР)'!$AK$25:$AK$367,'Калькуляция (МЭОР)'!$F$25:$F$367,$F37,'Калькуляция (МЭОР)'!$G$25:$G$367,$G37),IF(method_reg="Метод сравнения аналогов",_xlfn.SUMIFS('Калькуляция (МСА)'!$AF$25:$AF$103,'Калькуляция (МСА)'!$F$25:$F$103,$F37,'Калькуляция (МСА)'!$G$25:$G$103,$G37),_xlfn.SUMIFS(INDEX('Калькуляция (МИ)'!$AJ$25:$BC$603,,MATCH(AN$8,'Калькуляция (МИ)'!$AJ$8:$BC$8,0)),'Калькуляция (МИ)'!$F$25:$F$603,$F37,'Калькуляция (МИ)'!$G$25:$G$603,$G37))))</f>
        <v>0</v>
      </c>
      <c r="AO37" s="1104">
        <f>IF(AM37=0,0,(AN37-AM37)/AM37*100)</f>
        <v>0</v>
      </c>
      <c r="AP37" s="4585">
        <f>IF(AND(method_reg="Метод индексации",god&lt;&gt;first_year),_xlfn.SUMIFS(INDEX('Калькуляция (МИ корр)'!$AJ$25:$BC$606,,MATCH(AP$8,'Калькуляция (МИ корр)'!$AJ$8:$BC$8,0)),'Калькуляция (МИ корр)'!$F$25:$F$606,$F37,'Калькуляция (МИ корр)'!$G$25:$G$606,$G37),IF(method_reg="Метод экономически обоснованных расходов",_xlfn.SUMIFS('Калькуляция (МЭОР)'!$AJ$25:$AJ$367,'Калькуляция (МЭОР)'!$F$25:$F$367,$F37,'Калькуляция (МЭОР)'!$G$25:$G$367,$G37),IF(method_reg="Метод сравнения аналогов",_xlfn.SUMIFS('Калькуляция (МСА)'!$AE$25:$AE$103,'Калькуляция (МСА)'!$F$25:$F$103,$F37,'Калькуляция (МСА)'!$G$25:$G$103,$G37),_xlfn.SUMIFS(INDEX('Калькуляция (МИ)'!$AJ$25:$BC$603,,MATCH(AP$8,'Калькуляция (МИ)'!$AJ$8:$BC$8,0)),'Калькуляция (МИ)'!$F$25:$F$603,$F37,'Калькуляция (МИ)'!$G$25:$G$603,$G37))))</f>
        <v>0</v>
      </c>
      <c r="AQ37" s="4585">
        <f>IF(AND(method_reg="Метод индексации",god&lt;&gt;first_year),_xlfn.SUMIFS(INDEX('Калькуляция (МИ корр)'!$AJ$25:$BC$606,,MATCH(AQ$8,'Калькуляция (МИ корр)'!$AJ$8:$BC$8,0)),'Калькуляция (МИ корр)'!$F$25:$F$606,$F37,'Калькуляция (МИ корр)'!$G$25:$G$606,$G37),IF(method_reg="Метод экономически обоснованных расходов",_xlfn.SUMIFS('Калькуляция (МЭОР)'!$AK$25:$AK$367,'Калькуляция (МЭОР)'!$F$25:$F$367,$F37,'Калькуляция (МЭОР)'!$G$25:$G$367,$G37),IF(method_reg="Метод сравнения аналогов",_xlfn.SUMIFS('Калькуляция (МСА)'!$AF$25:$AF$103,'Калькуляция (МСА)'!$F$25:$F$103,$F37,'Калькуляция (МСА)'!$G$25:$G$103,$G37),_xlfn.SUMIFS(INDEX('Калькуляция (МИ)'!$AJ$25:$BC$603,,MATCH(AQ$8,'Калькуляция (МИ)'!$AJ$8:$BC$8,0)),'Калькуляция (МИ)'!$F$25:$F$603,$F37,'Калькуляция (МИ)'!$G$25:$G$603,$G37))))</f>
        <v>0</v>
      </c>
      <c r="AR37" s="1104">
        <f>IF(AP37=0,0,(AQ37-AP37)/AP37*100)</f>
        <v>0</v>
      </c>
      <c r="AS37" s="4585">
        <f>IF(AND(method_reg="Метод индексации",god&lt;&gt;first_year),_xlfn.SUMIFS(INDEX('Калькуляция (МИ корр)'!$AJ$25:$BC$606,,MATCH(AS$8,'Калькуляция (МИ корр)'!$AJ$8:$BC$8,0)),'Калькуляция (МИ корр)'!$F$25:$F$606,$F37,'Калькуляция (МИ корр)'!$G$25:$G$606,$G37),IF(method_reg="Метод экономически обоснованных расходов",_xlfn.SUMIFS('Калькуляция (МЭОР)'!$AJ$25:$AJ$367,'Калькуляция (МЭОР)'!$F$25:$F$367,$F37,'Калькуляция (МЭОР)'!$G$25:$G$367,$G37),IF(method_reg="Метод сравнения аналогов",_xlfn.SUMIFS('Калькуляция (МСА)'!$AE$25:$AE$103,'Калькуляция (МСА)'!$F$25:$F$103,$F37,'Калькуляция (МСА)'!$G$25:$G$103,$G37),_xlfn.SUMIFS(INDEX('Калькуляция (МИ)'!$AJ$25:$BC$603,,MATCH(AS$8,'Калькуляция (МИ)'!$AJ$8:$BC$8,0)),'Калькуляция (МИ)'!$F$25:$F$603,$F37,'Калькуляция (МИ)'!$G$25:$G$603,$G37))))</f>
        <v>0</v>
      </c>
      <c r="AT37" s="4585">
        <f>IF(AND(method_reg="Метод индексации",god&lt;&gt;first_year),_xlfn.SUMIFS(INDEX('Калькуляция (МИ корр)'!$AJ$25:$BC$606,,MATCH(AT$8,'Калькуляция (МИ корр)'!$AJ$8:$BC$8,0)),'Калькуляция (МИ корр)'!$F$25:$F$606,$F37,'Калькуляция (МИ корр)'!$G$25:$G$606,$G37),IF(method_reg="Метод экономически обоснованных расходов",_xlfn.SUMIFS('Калькуляция (МЭОР)'!$AK$25:$AK$367,'Калькуляция (МЭОР)'!$F$25:$F$367,$F37,'Калькуляция (МЭОР)'!$G$25:$G$367,$G37),IF(method_reg="Метод сравнения аналогов",_xlfn.SUMIFS('Калькуляция (МСА)'!$AF$25:$AF$103,'Калькуляция (МСА)'!$F$25:$F$103,$F37,'Калькуляция (МСА)'!$G$25:$G$103,$G37),_xlfn.SUMIFS(INDEX('Калькуляция (МИ)'!$AJ$25:$BC$603,,MATCH(AT$8,'Калькуляция (МИ)'!$AJ$8:$BC$8,0)),'Калькуляция (МИ)'!$F$25:$F$603,$F37,'Калькуляция (МИ)'!$G$25:$G$603,$G37))))</f>
        <v>0</v>
      </c>
      <c r="AU37" s="1104">
        <f>IF(AS37=0,0,(AT37-AS37)/AS37*100)</f>
        <v>0</v>
      </c>
      <c r="AV37" s="4585">
        <f>IF(AND(method_reg="Метод индексации",god&lt;&gt;first_year),_xlfn.SUMIFS(INDEX('Калькуляция (МИ корр)'!$AJ$25:$BC$606,,MATCH(AV$8,'Калькуляция (МИ корр)'!$AJ$8:$BC$8,0)),'Калькуляция (МИ корр)'!$F$25:$F$606,$F37,'Калькуляция (МИ корр)'!$G$25:$G$606,$G37),IF(method_reg="Метод экономически обоснованных расходов",_xlfn.SUMIFS('Калькуляция (МЭОР)'!$AJ$25:$AJ$367,'Калькуляция (МЭОР)'!$F$25:$F$367,$F37,'Калькуляция (МЭОР)'!$G$25:$G$367,$G37),IF(method_reg="Метод сравнения аналогов",_xlfn.SUMIFS('Калькуляция (МСА)'!$AE$25:$AE$103,'Калькуляция (МСА)'!$F$25:$F$103,$F37,'Калькуляция (МСА)'!$G$25:$G$103,$G37),_xlfn.SUMIFS(INDEX('Калькуляция (МИ)'!$AJ$25:$BC$603,,MATCH(AV$8,'Калькуляция (МИ)'!$AJ$8:$BC$8,0)),'Калькуляция (МИ)'!$F$25:$F$603,$F37,'Калькуляция (МИ)'!$G$25:$G$603,$G37))))</f>
        <v>0</v>
      </c>
      <c r="AW37" s="4585">
        <f>IF(AND(method_reg="Метод индексации",god&lt;&gt;first_year),_xlfn.SUMIFS(INDEX('Калькуляция (МИ корр)'!$AJ$25:$BC$606,,MATCH(AW$8,'Калькуляция (МИ корр)'!$AJ$8:$BC$8,0)),'Калькуляция (МИ корр)'!$F$25:$F$606,$F37,'Калькуляция (МИ корр)'!$G$25:$G$606,$G37),IF(method_reg="Метод экономически обоснованных расходов",_xlfn.SUMIFS('Калькуляция (МЭОР)'!$AK$25:$AK$367,'Калькуляция (МЭОР)'!$F$25:$F$367,$F37,'Калькуляция (МЭОР)'!$G$25:$G$367,$G37),IF(method_reg="Метод сравнения аналогов",_xlfn.SUMIFS('Калькуляция (МСА)'!$AF$25:$AF$103,'Калькуляция (МСА)'!$F$25:$F$103,$F37,'Калькуляция (МСА)'!$G$25:$G$103,$G37),_xlfn.SUMIFS(INDEX('Калькуляция (МИ)'!$AJ$25:$BC$603,,MATCH(AW$8,'Калькуляция (МИ)'!$AJ$8:$BC$8,0)),'Калькуляция (МИ)'!$F$25:$F$603,$F37,'Калькуляция (МИ)'!$G$25:$G$603,$G37))))</f>
        <v>0</v>
      </c>
      <c r="AX37" s="1104">
        <f>IF(AV37=0,0,(AW37-AV37)/AV37*100)</f>
        <v>0</v>
      </c>
      <c r="AY37" s="4585">
        <f>IF(AND(method_reg="Метод индексации",god&lt;&gt;first_year),_xlfn.SUMIFS(INDEX('Калькуляция (МИ корр)'!$AJ$25:$BC$606,,MATCH(AY$8,'Калькуляция (МИ корр)'!$AJ$8:$BC$8,0)),'Калькуляция (МИ корр)'!$F$25:$F$606,$F37,'Калькуляция (МИ корр)'!$G$25:$G$606,$G37),IF(method_reg="Метод экономически обоснованных расходов",_xlfn.SUMIFS('Калькуляция (МЭОР)'!$AJ$25:$AJ$367,'Калькуляция (МЭОР)'!$F$25:$F$367,$F37,'Калькуляция (МЭОР)'!$G$25:$G$367,$G37),IF(method_reg="Метод сравнения аналогов",_xlfn.SUMIFS('Калькуляция (МСА)'!$AE$25:$AE$103,'Калькуляция (МСА)'!$F$25:$F$103,$F37,'Калькуляция (МСА)'!$G$25:$G$103,$G37),_xlfn.SUMIFS(INDEX('Калькуляция (МИ)'!$AJ$25:$BC$603,,MATCH(AY$8,'Калькуляция (МИ)'!$AJ$8:$BC$8,0)),'Калькуляция (МИ)'!$F$25:$F$603,$F37,'Калькуляция (МИ)'!$G$25:$G$603,$G37))))</f>
        <v>0</v>
      </c>
      <c r="AZ37" s="4585">
        <f>IF(AND(method_reg="Метод индексации",god&lt;&gt;first_year),_xlfn.SUMIFS(INDEX('Калькуляция (МИ корр)'!$AJ$25:$BC$606,,MATCH(AZ$8,'Калькуляция (МИ корр)'!$AJ$8:$BC$8,0)),'Калькуляция (МИ корр)'!$F$25:$F$606,$F37,'Калькуляция (МИ корр)'!$G$25:$G$606,$G37),IF(method_reg="Метод экономически обоснованных расходов",_xlfn.SUMIFS('Калькуляция (МЭОР)'!$AK$25:$AK$367,'Калькуляция (МЭОР)'!$F$25:$F$367,$F37,'Калькуляция (МЭОР)'!$G$25:$G$367,$G37),IF(method_reg="Метод сравнения аналогов",_xlfn.SUMIFS('Калькуляция (МСА)'!$AF$25:$AF$103,'Калькуляция (МСА)'!$F$25:$F$103,$F37,'Калькуляция (МСА)'!$G$25:$G$103,$G37),_xlfn.SUMIFS(INDEX('Калькуляция (МИ)'!$AJ$25:$BC$603,,MATCH(AZ$8,'Калькуляция (МИ)'!$AJ$8:$BC$8,0)),'Калькуляция (МИ)'!$F$25:$F$603,$F37,'Калькуляция (МИ)'!$G$25:$G$603,$G37))))</f>
        <v>0</v>
      </c>
      <c r="BA37" s="1104">
        <f>IF(AY37=0,0,(AZ37-AY37)/AY37*100)</f>
        <v>0</v>
      </c>
      <c r="BB37" s="4585">
        <f>IF(AND(method_reg="Метод индексации",god&lt;&gt;first_year),_xlfn.SUMIFS(INDEX('Калькуляция (МИ корр)'!$AJ$25:$BC$606,,MATCH(BB$8,'Калькуляция (МИ корр)'!$AJ$8:$BC$8,0)),'Калькуляция (МИ корр)'!$F$25:$F$606,$F37,'Калькуляция (МИ корр)'!$G$25:$G$606,$G37),IF(method_reg="Метод экономически обоснованных расходов",_xlfn.SUMIFS('Калькуляция (МЭОР)'!$AJ$25:$AJ$367,'Калькуляция (МЭОР)'!$F$25:$F$367,$F37,'Калькуляция (МЭОР)'!$G$25:$G$367,$G37),IF(method_reg="Метод сравнения аналогов",_xlfn.SUMIFS('Калькуляция (МСА)'!$AE$25:$AE$103,'Калькуляция (МСА)'!$F$25:$F$103,$F37,'Калькуляция (МСА)'!$G$25:$G$103,$G37),_xlfn.SUMIFS(INDEX('Калькуляция (МИ)'!$AJ$25:$BC$603,,MATCH(BB$8,'Калькуляция (МИ)'!$AJ$8:$BC$8,0)),'Калькуляция (МИ)'!$F$25:$F$603,$F37,'Калькуляция (МИ)'!$G$25:$G$603,$G37))))</f>
        <v>0</v>
      </c>
      <c r="BC37" s="4585">
        <f>IF(AND(method_reg="Метод индексации",god&lt;&gt;first_year),_xlfn.SUMIFS(INDEX('Калькуляция (МИ корр)'!$AJ$25:$BC$606,,MATCH(BC$8,'Калькуляция (МИ корр)'!$AJ$8:$BC$8,0)),'Калькуляция (МИ корр)'!$F$25:$F$606,$F37,'Калькуляция (МИ корр)'!$G$25:$G$606,$G37),IF(method_reg="Метод экономически обоснованных расходов",_xlfn.SUMIFS('Калькуляция (МЭОР)'!$AK$25:$AK$367,'Калькуляция (МЭОР)'!$F$25:$F$367,$F37,'Калькуляция (МЭОР)'!$G$25:$G$367,$G37),IF(method_reg="Метод сравнения аналогов",_xlfn.SUMIFS('Калькуляция (МСА)'!$AF$25:$AF$103,'Калькуляция (МСА)'!$F$25:$F$103,$F37,'Калькуляция (МСА)'!$G$25:$G$103,$G37),_xlfn.SUMIFS(INDEX('Калькуляция (МИ)'!$AJ$25:$BC$603,,MATCH(BC$8,'Калькуляция (МИ)'!$AJ$8:$BC$8,0)),'Калькуляция (МИ)'!$F$25:$F$603,$F37,'Калькуляция (МИ)'!$G$25:$G$603,$G37))))</f>
        <v>0</v>
      </c>
      <c r="BD37" s="1104">
        <f>IF(BB37=0,0,(BC37-BB37)/BB37*100)</f>
        <v>0</v>
      </c>
      <c r="BE37" s="4585">
        <f>IF(AND(method_reg="Метод индексации",god&lt;&gt;first_year),_xlfn.SUMIFS(INDEX('Калькуляция (МИ корр)'!$AJ$25:$BC$606,,MATCH(BE$8,'Калькуляция (МИ корр)'!$AJ$8:$BC$8,0)),'Калькуляция (МИ корр)'!$F$25:$F$606,$F37,'Калькуляция (МИ корр)'!$G$25:$G$606,$G37),IF(method_reg="Метод экономически обоснованных расходов",_xlfn.SUMIFS('Калькуляция (МЭОР)'!$AJ$25:$AJ$367,'Калькуляция (МЭОР)'!$F$25:$F$367,$F37,'Калькуляция (МЭОР)'!$G$25:$G$367,$G37),IF(method_reg="Метод сравнения аналогов",_xlfn.SUMIFS('Калькуляция (МСА)'!$AE$25:$AE$103,'Калькуляция (МСА)'!$F$25:$F$103,$F37,'Калькуляция (МСА)'!$G$25:$G$103,$G37),_xlfn.SUMIFS(INDEX('Калькуляция (МИ)'!$AJ$25:$BC$603,,MATCH(BE$8,'Калькуляция (МИ)'!$AJ$8:$BC$8,0)),'Калькуляция (МИ)'!$F$25:$F$603,$F37,'Калькуляция (МИ)'!$G$25:$G$603,$G37))))</f>
        <v>0</v>
      </c>
      <c r="BF37" s="4585">
        <f>IF(AND(method_reg="Метод индексации",god&lt;&gt;first_year),_xlfn.SUMIFS(INDEX('Калькуляция (МИ корр)'!$AJ$25:$BC$606,,MATCH(BF$8,'Калькуляция (МИ корр)'!$AJ$8:$BC$8,0)),'Калькуляция (МИ корр)'!$F$25:$F$606,$F37,'Калькуляция (МИ корр)'!$G$25:$G$606,$G37),IF(method_reg="Метод экономически обоснованных расходов",_xlfn.SUMIFS('Калькуляция (МЭОР)'!$AK$25:$AK$367,'Калькуляция (МЭОР)'!$F$25:$F$367,$F37,'Калькуляция (МЭОР)'!$G$25:$G$367,$G37),IF(method_reg="Метод сравнения аналогов",_xlfn.SUMIFS('Калькуляция (МСА)'!$AF$25:$AF$103,'Калькуляция (МСА)'!$F$25:$F$103,$F37,'Калькуляция (МСА)'!$G$25:$G$103,$G37),_xlfn.SUMIFS(INDEX('Калькуляция (МИ)'!$AJ$25:$BC$603,,MATCH(BF$8,'Калькуляция (МИ)'!$AJ$8:$BC$8,0)),'Калькуляция (МИ)'!$F$25:$F$603,$F37,'Калькуляция (МИ)'!$G$25:$G$603,$G37))))</f>
        <v>0</v>
      </c>
      <c r="BG37" s="1104">
        <f>IF(BE37=0,0,(BF37-BE37)/BE37*100)</f>
        <v>0</v>
      </c>
      <c r="BH37" s="4585"/>
      <c r="BI37" s="4585"/>
      <c r="BJ37" s="1104">
        <f>IF(BH37=0,0,(BI37-BH37)/BH37*100)</f>
        <v>0</v>
      </c>
      <c r="BK37" s="4585"/>
      <c r="BL37" s="4585"/>
      <c r="BM37" s="1104">
        <f>IF(BK37=0,0,(BL37-BK37)/BK37*100)</f>
        <v>0</v>
      </c>
      <c r="BN37" s="4585"/>
      <c r="BO37" s="4585"/>
      <c r="BP37" s="1104">
        <f>IF(BN37=0,0,(BO37-BN37)/BN37*100)</f>
        <v>0</v>
      </c>
      <c r="BQ37" s="4585"/>
      <c r="BR37" s="4585"/>
      <c r="BS37" s="1104">
        <f>IF(BQ37=0,0,(BR37-BQ37)/BQ37*100)</f>
        <v>0</v>
      </c>
      <c r="BT37" s="4585"/>
      <c r="BU37" s="4585"/>
      <c r="BV37" s="1104">
        <f>IF(BT37=0,0,(BU37-BT37)/BT37*100)</f>
        <v>0</v>
      </c>
      <c r="BW37" s="4585"/>
      <c r="BX37" s="4585"/>
      <c r="BY37" s="1104">
        <f>IF(BW37=0,0,(BX37-BW37)/BW37*100)</f>
        <v>0</v>
      </c>
      <c r="BZ37" s="4585"/>
      <c r="CA37" s="4585"/>
      <c r="CB37" s="1104">
        <f>IF(BZ37=0,0,(CA37-BZ37)/BZ37*100)</f>
        <v>0</v>
      </c>
      <c r="CC37" s="4585"/>
      <c r="CD37" s="4585"/>
      <c r="CE37" s="1104">
        <f>IF(CC37=0,0,(CD37-CC37)/CC37*100)</f>
        <v>0</v>
      </c>
      <c r="CF37" s="4585"/>
      <c r="CG37" s="4585"/>
      <c r="CH37" s="1104">
        <f>IF(CF37=0,0,(CG37-CF37)/CF37*100)</f>
        <v>0</v>
      </c>
      <c r="CI37" s="4585"/>
      <c r="CJ37" s="4585"/>
      <c r="CK37" s="1104">
        <f>IF(CI37=0,0,(CJ37-CI37)/CI37*100)</f>
        <v>0</v>
      </c>
      <c r="CL37" s="4585"/>
      <c r="CM37" s="4585"/>
      <c r="CN37" s="1104">
        <f>IF(CL37=0,0,(CM37-CL37)/CL37*100)</f>
        <v>0</v>
      </c>
      <c r="CO37" s="4585"/>
      <c r="CP37" s="4585"/>
      <c r="CQ37" s="1104">
        <f>IF(CO37=0,0,(CP37-CO37)/CO37*100)</f>
        <v>0</v>
      </c>
      <c r="CR37" s="4585"/>
      <c r="CS37" s="4585"/>
      <c r="CT37" s="1104">
        <f>IF(CR37=0,0,(CS37-CR37)/CR37*100)</f>
        <v>0</v>
      </c>
      <c r="CU37" s="4585"/>
      <c r="CV37" s="4585"/>
      <c r="CW37" s="1104">
        <f>IF(CU37=0,0,(CV37-CU37)/CU37*100)</f>
        <v>0</v>
      </c>
      <c r="CX37" s="4585"/>
      <c r="CY37" s="4585"/>
      <c r="CZ37" s="1104">
        <f>IF(CX37=0,0,(CY37-CX37)/CX37*100)</f>
        <v>0</v>
      </c>
      <c r="DA37" s="4585"/>
      <c r="DB37" s="4585"/>
      <c r="DC37" s="1104">
        <f>IF(DA37=0,0,(DB37-DA37)/DA37*100)</f>
        <v>0</v>
      </c>
      <c r="DD37" s="4585"/>
      <c r="DE37" s="4585"/>
      <c r="DF37" s="1104">
        <f>IF(DD37=0,0,(DE37-DD37)/DD37*100)</f>
        <v>0</v>
      </c>
      <c r="DG37" s="4585"/>
      <c r="DH37" s="4585"/>
      <c r="DI37" s="1104">
        <f>IF(DG37=0,0,(DH37-DG37)/DG37*100)</f>
        <v>0</v>
      </c>
      <c r="DJ37" s="4585"/>
      <c r="DK37" s="4585"/>
      <c r="DL37" s="1104">
        <f>IF(DJ37=0,0,(DK37-DJ37)/DJ37*100)</f>
        <v>0</v>
      </c>
      <c r="DM37" s="4585"/>
      <c r="DN37" s="4585"/>
      <c r="DO37" s="1104">
        <f>IF(DM37=0,0,(DN37-DM37)/DM37*100)</f>
        <v>0</v>
      </c>
      <c r="DP37" s="4585"/>
      <c r="DQ37" s="4585"/>
      <c r="DR37" s="1104">
        <f>IF(DP37=0,0,(DQ37-DP37)/DP37*100)</f>
        <v>0</v>
      </c>
      <c r="DS37" s="4585"/>
      <c r="DT37" s="4585"/>
      <c r="DU37" s="1104">
        <f>IF(DS37=0,0,(DT37-DS37)/DS37*100)</f>
        <v>0</v>
      </c>
      <c r="DV37" s="4585"/>
      <c r="DW37" s="4585"/>
      <c r="DX37" s="1104">
        <f>IF(DV37=0,0,(DW37-DV37)/DV37*100)</f>
        <v>0</v>
      </c>
      <c r="DY37" s="4585"/>
      <c r="DZ37" s="4585"/>
      <c r="EA37" s="1104">
        <f>IF(DY37=0,0,(DZ37-DY37)/DY37*100)</f>
        <v>0</v>
      </c>
      <c r="EB37" s="4585"/>
      <c r="EC37" s="4585"/>
      <c r="ED37" s="1104">
        <f>IF(EB37=0,0,(EC37-EB37)/EB37*100)</f>
        <v>0</v>
      </c>
      <c r="EE37" s="4585"/>
      <c r="EF37" s="4585"/>
      <c r="EG37" s="1104">
        <f>IF(EE37=0,0,(EF37-EE37)/EE37*100)</f>
        <v>0</v>
      </c>
      <c r="EH37" s="4585"/>
      <c r="EI37" s="4585"/>
      <c r="EJ37" s="1104">
        <f>IF(EH37=0,0,(EI37-EH37)/EH37*100)</f>
        <v>0</v>
      </c>
      <c r="EK37" s="4585"/>
      <c r="EL37" s="4585"/>
      <c r="EM37" s="1104">
        <f>IF(EK37=0,0,(EL37-EK37)/EK37*100)</f>
        <v>0</v>
      </c>
      <c r="EN37" s="4585"/>
      <c r="EO37" s="4585"/>
      <c r="EP37" s="1104">
        <f>IF(EN37=0,0,(EO37-EN37)/EN37*100)</f>
        <v>0</v>
      </c>
      <c r="EQ37" s="4585"/>
      <c r="ER37" s="4585"/>
      <c r="ES37" s="1104">
        <f>IF(EQ37=0,0,(ER37-EQ37)/EQ37*100)</f>
        <v>0</v>
      </c>
      <c r="ET37" s="4585"/>
      <c r="EU37" s="4585"/>
      <c r="EV37" s="1104">
        <f>IF(ET37=0,0,(EU37-ET37)/ET37*100)</f>
        <v>0</v>
      </c>
      <c r="EW37" s="4585"/>
      <c r="EX37" s="4585"/>
      <c r="EY37" s="1104">
        <f>IF(EW37=0,0,(EX37-EW37)/EW37*100)</f>
        <v>0</v>
      </c>
      <c r="EZ37" s="4585"/>
      <c r="FA37" s="4585"/>
      <c r="FB37" s="1104">
        <f>IF(EZ37=0,0,(FA37-EZ37)/EZ37*100)</f>
        <v>0</v>
      </c>
      <c r="FC37" s="4585"/>
      <c r="FD37" s="4585"/>
      <c r="FE37" s="1104">
        <f>IF(FC37=0,0,(FD37-FC37)/FC37*100)</f>
        <v>0</v>
      </c>
      <c r="FF37" s="4585"/>
      <c r="FG37" s="4585"/>
      <c r="FH37" s="1104">
        <f>IF(FF37=0,0,(FG37-FF37)/FF37*100)</f>
        <v>0</v>
      </c>
      <c r="FI37" s="4585"/>
      <c r="FJ37" s="4585"/>
      <c r="FK37" s="1104">
        <f>IF(FI37=0,0,(FJ37-FI37)/FI37*100)</f>
        <v>0</v>
      </c>
      <c r="FL37" s="4585"/>
      <c r="FM37" s="4585"/>
      <c r="FN37" s="1104">
        <f>IF(FL37=0,0,(FM37-FL37)/FL37*100)</f>
        <v>0</v>
      </c>
      <c r="FO37" s="4585"/>
      <c r="FP37" s="4585"/>
      <c r="FQ37" s="1104">
        <f>IF(FO37=0,0,(FP37-FO37)/FO37*100)</f>
        <v>0</v>
      </c>
      <c r="FR37" s="4585"/>
      <c r="FS37" s="4585"/>
      <c r="FT37" s="1104">
        <f>IF(FR37=0,0,(FS37-FR37)/FR37*100)</f>
        <v>0</v>
      </c>
      <c r="FU37" s="4585"/>
      <c r="FV37" s="4585"/>
      <c r="FW37" s="1104">
        <f>IF(FU37=0,0,(FV37-FU37)/FU37*100)</f>
        <v>0</v>
      </c>
      <c r="FX37" s="288"/>
      <c r="FY37" s="1328"/>
      <c r="FZ37" s="1063" t="s">
        <v>1873</v>
      </c>
      <c r="GA37" s="1330"/>
      <c r="GB37" s="1330"/>
      <c r="GC37" s="1329"/>
      <c r="GD37" s="1329"/>
    </row>
    <row s="288" customFormat="1" customHeight="1" ht="23.887500000000003" hidden="1">
      <c r="A38" s="904"/>
      <c r="B38" s="932" cm="1" t="str">
        <f t="array" ref="B38:B38">B37</f>
        <v>false</v>
      </c>
      <c r="C38" s="904"/>
      <c r="D38" s="904"/>
      <c r="E38" s="905">
        <v>24.5</v>
      </c>
      <c r="F38" s="50" cm="1" t="str">
        <f t="array" ref="F38:F38">OFFSET(E38,-1,1)</f>
        <v>0</v>
      </c>
      <c r="G38" s="103" t="s">
        <v>1874</v>
      </c>
      <c r="H38" s="496" t="s">
        <v>566</v>
      </c>
      <c r="I38" s="496" t="s">
        <v>1875</v>
      </c>
      <c r="J38" s="904"/>
      <c r="K38" s="904"/>
      <c r="L38" s="496"/>
      <c r="M38" s="904"/>
      <c r="N38" s="904"/>
      <c r="O38" s="904"/>
      <c r="P38" s="904"/>
      <c r="Q38" s="904"/>
      <c r="R38" s="496"/>
      <c r="S38" s="496"/>
      <c r="T38" s="468" cm="1" t="str">
        <f t="array" ref="T38:T38">T37</f>
        <v>false</v>
      </c>
      <c r="U38" s="904"/>
      <c r="V38" s="904"/>
      <c r="W38" s="904"/>
      <c r="X38" s="1559"/>
      <c r="Y38" s="904"/>
      <c r="Z38" s="1528"/>
      <c r="AA38" s="904"/>
      <c r="AB38" s="289" t="s">
        <v>1876</v>
      </c>
      <c r="AC38" s="290" t="s">
        <v>1862</v>
      </c>
      <c r="AD38" s="4576">
        <f>IF(AND(method_reg="Метод индексации",god&lt;&gt;first_year),_xlfn.SUMIFS(INDEX('Калькуляция (МИ корр)'!$AJ$25:$BC$606,,MATCH(AD$8,'Калькуляция (МИ корр)'!$AJ$8:$BC$8,0)),'Калькуляция (МИ корр)'!$F$25:$F$606,$F38,'Калькуляция (МИ корр)'!$G$25:$G$606,$G38),IF(method_reg="Метод экономически обоснованных расходов",_xlfn.SUMIFS('Калькуляция (МЭОР)'!$AJ$25:$AJ$367,'Калькуляция (МЭОР)'!$F$25:$F$367,$F38,'Калькуляция (МЭОР)'!$G$25:$G$367,$G38),IF(method_reg="Метод сравнения аналогов",_xlfn.SUMIFS('Калькуляция (МСА)'!$AE$25:$AE$103,'Калькуляция (МСА)'!$F$25:$F$103,$F38,'Калькуляция (МСА)'!$G$25:$G$103,$G38),_xlfn.SUMIFS(INDEX('Калькуляция (МИ)'!$AJ$25:$BC$603,,MATCH(AD$8,'Калькуляция (МИ)'!$AJ$8:$BC$8,0)),'Калькуляция (МИ)'!$F$25:$F$603,$F38,'Калькуляция (МИ)'!$G$25:$G$603,$G38))))</f>
        <v>0</v>
      </c>
      <c r="AE38" s="4576">
        <f>IF(AND(method_reg="Метод индексации",god&lt;&gt;first_year),_xlfn.SUMIFS(INDEX('Калькуляция (МИ корр)'!$AJ$25:$BC$606,,MATCH(AE$8,'Калькуляция (МИ корр)'!$AJ$8:$BC$8,0)),'Калькуляция (МИ корр)'!$F$25:$F$606,$F38,'Калькуляция (МИ корр)'!$G$25:$G$606,$G38),IF(method_reg="Метод экономически обоснованных расходов",_xlfn.SUMIFS('Калькуляция (МЭОР)'!$AK$25:$AK$367,'Калькуляция (МЭОР)'!$F$25:$F$367,$F38,'Калькуляция (МЭОР)'!$G$25:$G$367,$G38),IF(method_reg="Метод сравнения аналогов",_xlfn.SUMIFS('Калькуляция (МСА)'!$AF$25:$AF$103,'Калькуляция (МСА)'!$F$25:$F$103,$F38,'Калькуляция (МСА)'!$G$25:$G$103,$G38),_xlfn.SUMIFS(INDEX('Калькуляция (МИ)'!$AJ$25:$BC$603,,MATCH(AE$8,'Калькуляция (МИ)'!$AJ$8:$BC$8,0)),'Калькуляция (МИ)'!$F$25:$F$603,$F38,'Калькуляция (МИ)'!$G$25:$G$603,$G38))))</f>
        <v>0</v>
      </c>
      <c r="AF38" s="292">
        <f>IF(AD38=0,0,(AE38-AD38)/AD38*100)</f>
        <v>0</v>
      </c>
      <c r="AG38" s="4576">
        <f>IF(AND(method_reg="Метод индексации",god&lt;&gt;first_year),_xlfn.SUMIFS(INDEX('Калькуляция (МИ корр)'!$AJ$25:$BC$606,,MATCH(AG$8,'Калькуляция (МИ корр)'!$AJ$8:$BC$8,0)),'Калькуляция (МИ корр)'!$F$25:$F$606,$F38,'Калькуляция (МИ корр)'!$G$25:$G$606,$G38),IF(method_reg="Метод экономически обоснованных расходов",_xlfn.SUMIFS('Калькуляция (МЭОР)'!$AJ$25:$AJ$367,'Калькуляция (МЭОР)'!$F$25:$F$367,$F38,'Калькуляция (МЭОР)'!$G$25:$G$367,$G38),IF(method_reg="Метод сравнения аналогов",_xlfn.SUMIFS('Калькуляция (МСА)'!$AE$25:$AE$103,'Калькуляция (МСА)'!$F$25:$F$103,$F38,'Калькуляция (МСА)'!$G$25:$G$103,$G38),_xlfn.SUMIFS(INDEX('Калькуляция (МИ)'!$AJ$25:$BC$603,,MATCH(AG$8,'Калькуляция (МИ)'!$AJ$8:$BC$8,0)),'Калькуляция (МИ)'!$F$25:$F$603,$F38,'Калькуляция (МИ)'!$G$25:$G$603,$G38))))</f>
        <v>0</v>
      </c>
      <c r="AH38" s="4576">
        <f>IF(AND(method_reg="Метод индексации",god&lt;&gt;first_year),_xlfn.SUMIFS(INDEX('Калькуляция (МИ корр)'!$AJ$25:$BC$606,,MATCH(AH$8,'Калькуляция (МИ корр)'!$AJ$8:$BC$8,0)),'Калькуляция (МИ корр)'!$F$25:$F$606,$F38,'Калькуляция (МИ корр)'!$G$25:$G$606,$G38),IF(method_reg="Метод экономически обоснованных расходов",_xlfn.SUMIFS('Калькуляция (МЭОР)'!$AK$25:$AK$367,'Калькуляция (МЭОР)'!$F$25:$F$367,$F38,'Калькуляция (МЭОР)'!$G$25:$G$367,$G38),IF(method_reg="Метод сравнения аналогов",_xlfn.SUMIFS('Калькуляция (МСА)'!$AF$25:$AF$103,'Калькуляция (МСА)'!$F$25:$F$103,$F38,'Калькуляция (МСА)'!$G$25:$G$103,$G38),_xlfn.SUMIFS(INDEX('Калькуляция (МИ)'!$AJ$25:$BC$603,,MATCH(AH$8,'Калькуляция (МИ)'!$AJ$8:$BC$8,0)),'Калькуляция (МИ)'!$F$25:$F$603,$F38,'Калькуляция (МИ)'!$G$25:$G$603,$G38))))</f>
        <v>0</v>
      </c>
      <c r="AI38" s="292">
        <f>IF(AG38=0,0,(AH38-AG38)/AG38*100)</f>
        <v>0</v>
      </c>
      <c r="AJ38" s="4576">
        <f>IF(AND(method_reg="Метод индексации",god&lt;&gt;first_year),_xlfn.SUMIFS(INDEX('Калькуляция (МИ корр)'!$AJ$25:$BC$606,,MATCH(AJ$8,'Калькуляция (МИ корр)'!$AJ$8:$BC$8,0)),'Калькуляция (МИ корр)'!$F$25:$F$606,$F38,'Калькуляция (МИ корр)'!$G$25:$G$606,$G38),IF(method_reg="Метод экономически обоснованных расходов",_xlfn.SUMIFS('Калькуляция (МЭОР)'!$AJ$25:$AJ$367,'Калькуляция (МЭОР)'!$F$25:$F$367,$F38,'Калькуляция (МЭОР)'!$G$25:$G$367,$G38),IF(method_reg="Метод сравнения аналогов",_xlfn.SUMIFS('Калькуляция (МСА)'!$AE$25:$AE$103,'Калькуляция (МСА)'!$F$25:$F$103,$F38,'Калькуляция (МСА)'!$G$25:$G$103,$G38),_xlfn.SUMIFS(INDEX('Калькуляция (МИ)'!$AJ$25:$BC$603,,MATCH(AJ$8,'Калькуляция (МИ)'!$AJ$8:$BC$8,0)),'Калькуляция (МИ)'!$F$25:$F$603,$F38,'Калькуляция (МИ)'!$G$25:$G$603,$G38))))</f>
        <v>0</v>
      </c>
      <c r="AK38" s="4576">
        <f>IF(AND(method_reg="Метод индексации",god&lt;&gt;first_year),_xlfn.SUMIFS(INDEX('Калькуляция (МИ корр)'!$AJ$25:$BC$606,,MATCH(AK$8,'Калькуляция (МИ корр)'!$AJ$8:$BC$8,0)),'Калькуляция (МИ корр)'!$F$25:$F$606,$F38,'Калькуляция (МИ корр)'!$G$25:$G$606,$G38),IF(method_reg="Метод экономически обоснованных расходов",_xlfn.SUMIFS('Калькуляция (МЭОР)'!$AK$25:$AK$367,'Калькуляция (МЭОР)'!$F$25:$F$367,$F38,'Калькуляция (МЭОР)'!$G$25:$G$367,$G38),IF(method_reg="Метод сравнения аналогов",_xlfn.SUMIFS('Калькуляция (МСА)'!$AF$25:$AF$103,'Калькуляция (МСА)'!$F$25:$F$103,$F38,'Калькуляция (МСА)'!$G$25:$G$103,$G38),_xlfn.SUMIFS(INDEX('Калькуляция (МИ)'!$AJ$25:$BC$603,,MATCH(AK$8,'Калькуляция (МИ)'!$AJ$8:$BC$8,0)),'Калькуляция (МИ)'!$F$25:$F$603,$F38,'Калькуляция (МИ)'!$G$25:$G$603,$G38))))</f>
        <v>0</v>
      </c>
      <c r="AL38" s="292">
        <f>IF(AJ38=0,0,(AK38-AJ38)/AJ38*100)</f>
        <v>0</v>
      </c>
      <c r="AM38" s="4576">
        <f>IF(AND(method_reg="Метод индексации",god&lt;&gt;first_year),_xlfn.SUMIFS(INDEX('Калькуляция (МИ корр)'!$AJ$25:$BC$606,,MATCH(AM$8,'Калькуляция (МИ корр)'!$AJ$8:$BC$8,0)),'Калькуляция (МИ корр)'!$F$25:$F$606,$F38,'Калькуляция (МИ корр)'!$G$25:$G$606,$G38),IF(method_reg="Метод экономически обоснованных расходов",_xlfn.SUMIFS('Калькуляция (МЭОР)'!$AJ$25:$AJ$367,'Калькуляция (МЭОР)'!$F$25:$F$367,$F38,'Калькуляция (МЭОР)'!$G$25:$G$367,$G38),IF(method_reg="Метод сравнения аналогов",_xlfn.SUMIFS('Калькуляция (МСА)'!$AE$25:$AE$103,'Калькуляция (МСА)'!$F$25:$F$103,$F38,'Калькуляция (МСА)'!$G$25:$G$103,$G38),_xlfn.SUMIFS(INDEX('Калькуляция (МИ)'!$AJ$25:$BC$603,,MATCH(AM$8,'Калькуляция (МИ)'!$AJ$8:$BC$8,0)),'Калькуляция (МИ)'!$F$25:$F$603,$F38,'Калькуляция (МИ)'!$G$25:$G$603,$G38))))</f>
        <v>0</v>
      </c>
      <c r="AN38" s="4576">
        <f>IF(AND(method_reg="Метод индексации",god&lt;&gt;first_year),_xlfn.SUMIFS(INDEX('Калькуляция (МИ корр)'!$AJ$25:$BC$606,,MATCH(AN$8,'Калькуляция (МИ корр)'!$AJ$8:$BC$8,0)),'Калькуляция (МИ корр)'!$F$25:$F$606,$F38,'Калькуляция (МИ корр)'!$G$25:$G$606,$G38),IF(method_reg="Метод экономически обоснованных расходов",_xlfn.SUMIFS('Калькуляция (МЭОР)'!$AK$25:$AK$367,'Калькуляция (МЭОР)'!$F$25:$F$367,$F38,'Калькуляция (МЭОР)'!$G$25:$G$367,$G38),IF(method_reg="Метод сравнения аналогов",_xlfn.SUMIFS('Калькуляция (МСА)'!$AF$25:$AF$103,'Калькуляция (МСА)'!$F$25:$F$103,$F38,'Калькуляция (МСА)'!$G$25:$G$103,$G38),_xlfn.SUMIFS(INDEX('Калькуляция (МИ)'!$AJ$25:$BC$603,,MATCH(AN$8,'Калькуляция (МИ)'!$AJ$8:$BC$8,0)),'Калькуляция (МИ)'!$F$25:$F$603,$F38,'Калькуляция (МИ)'!$G$25:$G$603,$G38))))</f>
        <v>0</v>
      </c>
      <c r="AO38" s="292">
        <f>IF(AM38=0,0,(AN38-AM38)/AM38*100)</f>
        <v>0</v>
      </c>
      <c r="AP38" s="4576">
        <f>IF(AND(method_reg="Метод индексации",god&lt;&gt;first_year),_xlfn.SUMIFS(INDEX('Калькуляция (МИ корр)'!$AJ$25:$BC$606,,MATCH(AP$8,'Калькуляция (МИ корр)'!$AJ$8:$BC$8,0)),'Калькуляция (МИ корр)'!$F$25:$F$606,$F38,'Калькуляция (МИ корр)'!$G$25:$G$606,$G38),IF(method_reg="Метод экономически обоснованных расходов",_xlfn.SUMIFS('Калькуляция (МЭОР)'!$AJ$25:$AJ$367,'Калькуляция (МЭОР)'!$F$25:$F$367,$F38,'Калькуляция (МЭОР)'!$G$25:$G$367,$G38),IF(method_reg="Метод сравнения аналогов",_xlfn.SUMIFS('Калькуляция (МСА)'!$AE$25:$AE$103,'Калькуляция (МСА)'!$F$25:$F$103,$F38,'Калькуляция (МСА)'!$G$25:$G$103,$G38),_xlfn.SUMIFS(INDEX('Калькуляция (МИ)'!$AJ$25:$BC$603,,MATCH(AP$8,'Калькуляция (МИ)'!$AJ$8:$BC$8,0)),'Калькуляция (МИ)'!$F$25:$F$603,$F38,'Калькуляция (МИ)'!$G$25:$G$603,$G38))))</f>
        <v>0</v>
      </c>
      <c r="AQ38" s="4576">
        <f>IF(AND(method_reg="Метод индексации",god&lt;&gt;first_year),_xlfn.SUMIFS(INDEX('Калькуляция (МИ корр)'!$AJ$25:$BC$606,,MATCH(AQ$8,'Калькуляция (МИ корр)'!$AJ$8:$BC$8,0)),'Калькуляция (МИ корр)'!$F$25:$F$606,$F38,'Калькуляция (МИ корр)'!$G$25:$G$606,$G38),IF(method_reg="Метод экономически обоснованных расходов",_xlfn.SUMIFS('Калькуляция (МЭОР)'!$AK$25:$AK$367,'Калькуляция (МЭОР)'!$F$25:$F$367,$F38,'Калькуляция (МЭОР)'!$G$25:$G$367,$G38),IF(method_reg="Метод сравнения аналогов",_xlfn.SUMIFS('Калькуляция (МСА)'!$AF$25:$AF$103,'Калькуляция (МСА)'!$F$25:$F$103,$F38,'Калькуляция (МСА)'!$G$25:$G$103,$G38),_xlfn.SUMIFS(INDEX('Калькуляция (МИ)'!$AJ$25:$BC$603,,MATCH(AQ$8,'Калькуляция (МИ)'!$AJ$8:$BC$8,0)),'Калькуляция (МИ)'!$F$25:$F$603,$F38,'Калькуляция (МИ)'!$G$25:$G$603,$G38))))</f>
        <v>0</v>
      </c>
      <c r="AR38" s="292">
        <f>IF(AP38=0,0,(AQ38-AP38)/AP38*100)</f>
        <v>0</v>
      </c>
      <c r="AS38" s="4576">
        <f>IF(AND(method_reg="Метод индексации",god&lt;&gt;first_year),_xlfn.SUMIFS(INDEX('Калькуляция (МИ корр)'!$AJ$25:$BC$606,,MATCH(AS$8,'Калькуляция (МИ корр)'!$AJ$8:$BC$8,0)),'Калькуляция (МИ корр)'!$F$25:$F$606,$F38,'Калькуляция (МИ корр)'!$G$25:$G$606,$G38),IF(method_reg="Метод экономически обоснованных расходов",_xlfn.SUMIFS('Калькуляция (МЭОР)'!$AJ$25:$AJ$367,'Калькуляция (МЭОР)'!$F$25:$F$367,$F38,'Калькуляция (МЭОР)'!$G$25:$G$367,$G38),IF(method_reg="Метод сравнения аналогов",_xlfn.SUMIFS('Калькуляция (МСА)'!$AE$25:$AE$103,'Калькуляция (МСА)'!$F$25:$F$103,$F38,'Калькуляция (МСА)'!$G$25:$G$103,$G38),_xlfn.SUMIFS(INDEX('Калькуляция (МИ)'!$AJ$25:$BC$603,,MATCH(AS$8,'Калькуляция (МИ)'!$AJ$8:$BC$8,0)),'Калькуляция (МИ)'!$F$25:$F$603,$F38,'Калькуляция (МИ)'!$G$25:$G$603,$G38))))</f>
        <v>0</v>
      </c>
      <c r="AT38" s="4576">
        <f>IF(AND(method_reg="Метод индексации",god&lt;&gt;first_year),_xlfn.SUMIFS(INDEX('Калькуляция (МИ корр)'!$AJ$25:$BC$606,,MATCH(AT$8,'Калькуляция (МИ корр)'!$AJ$8:$BC$8,0)),'Калькуляция (МИ корр)'!$F$25:$F$606,$F38,'Калькуляция (МИ корр)'!$G$25:$G$606,$G38),IF(method_reg="Метод экономически обоснованных расходов",_xlfn.SUMIFS('Калькуляция (МЭОР)'!$AK$25:$AK$367,'Калькуляция (МЭОР)'!$F$25:$F$367,$F38,'Калькуляция (МЭОР)'!$G$25:$G$367,$G38),IF(method_reg="Метод сравнения аналогов",_xlfn.SUMIFS('Калькуляция (МСА)'!$AF$25:$AF$103,'Калькуляция (МСА)'!$F$25:$F$103,$F38,'Калькуляция (МСА)'!$G$25:$G$103,$G38),_xlfn.SUMIFS(INDEX('Калькуляция (МИ)'!$AJ$25:$BC$603,,MATCH(AT$8,'Калькуляция (МИ)'!$AJ$8:$BC$8,0)),'Калькуляция (МИ)'!$F$25:$F$603,$F38,'Калькуляция (МИ)'!$G$25:$G$603,$G38))))</f>
        <v>0</v>
      </c>
      <c r="AU38" s="292">
        <f>IF(AS38=0,0,(AT38-AS38)/AS38*100)</f>
        <v>0</v>
      </c>
      <c r="AV38" s="4576">
        <f>IF(AND(method_reg="Метод индексации",god&lt;&gt;first_year),_xlfn.SUMIFS(INDEX('Калькуляция (МИ корр)'!$AJ$25:$BC$606,,MATCH(AV$8,'Калькуляция (МИ корр)'!$AJ$8:$BC$8,0)),'Калькуляция (МИ корр)'!$F$25:$F$606,$F38,'Калькуляция (МИ корр)'!$G$25:$G$606,$G38),IF(method_reg="Метод экономически обоснованных расходов",_xlfn.SUMIFS('Калькуляция (МЭОР)'!$AJ$25:$AJ$367,'Калькуляция (МЭОР)'!$F$25:$F$367,$F38,'Калькуляция (МЭОР)'!$G$25:$G$367,$G38),IF(method_reg="Метод сравнения аналогов",_xlfn.SUMIFS('Калькуляция (МСА)'!$AE$25:$AE$103,'Калькуляция (МСА)'!$F$25:$F$103,$F38,'Калькуляция (МСА)'!$G$25:$G$103,$G38),_xlfn.SUMIFS(INDEX('Калькуляция (МИ)'!$AJ$25:$BC$603,,MATCH(AV$8,'Калькуляция (МИ)'!$AJ$8:$BC$8,0)),'Калькуляция (МИ)'!$F$25:$F$603,$F38,'Калькуляция (МИ)'!$G$25:$G$603,$G38))))</f>
        <v>0</v>
      </c>
      <c r="AW38" s="4576">
        <f>IF(AND(method_reg="Метод индексации",god&lt;&gt;first_year),_xlfn.SUMIFS(INDEX('Калькуляция (МИ корр)'!$AJ$25:$BC$606,,MATCH(AW$8,'Калькуляция (МИ корр)'!$AJ$8:$BC$8,0)),'Калькуляция (МИ корр)'!$F$25:$F$606,$F38,'Калькуляция (МИ корр)'!$G$25:$G$606,$G38),IF(method_reg="Метод экономически обоснованных расходов",_xlfn.SUMIFS('Калькуляция (МЭОР)'!$AK$25:$AK$367,'Калькуляция (МЭОР)'!$F$25:$F$367,$F38,'Калькуляция (МЭОР)'!$G$25:$G$367,$G38),IF(method_reg="Метод сравнения аналогов",_xlfn.SUMIFS('Калькуляция (МСА)'!$AF$25:$AF$103,'Калькуляция (МСА)'!$F$25:$F$103,$F38,'Калькуляция (МСА)'!$G$25:$G$103,$G38),_xlfn.SUMIFS(INDEX('Калькуляция (МИ)'!$AJ$25:$BC$603,,MATCH(AW$8,'Калькуляция (МИ)'!$AJ$8:$BC$8,0)),'Калькуляция (МИ)'!$F$25:$F$603,$F38,'Калькуляция (МИ)'!$G$25:$G$603,$G38))))</f>
        <v>0</v>
      </c>
      <c r="AX38" s="292">
        <f>IF(AV38=0,0,(AW38-AV38)/AV38*100)</f>
        <v>0</v>
      </c>
      <c r="AY38" s="4576">
        <f>IF(AND(method_reg="Метод индексации",god&lt;&gt;first_year),_xlfn.SUMIFS(INDEX('Калькуляция (МИ корр)'!$AJ$25:$BC$606,,MATCH(AY$8,'Калькуляция (МИ корр)'!$AJ$8:$BC$8,0)),'Калькуляция (МИ корр)'!$F$25:$F$606,$F38,'Калькуляция (МИ корр)'!$G$25:$G$606,$G38),IF(method_reg="Метод экономически обоснованных расходов",_xlfn.SUMIFS('Калькуляция (МЭОР)'!$AJ$25:$AJ$367,'Калькуляция (МЭОР)'!$F$25:$F$367,$F38,'Калькуляция (МЭОР)'!$G$25:$G$367,$G38),IF(method_reg="Метод сравнения аналогов",_xlfn.SUMIFS('Калькуляция (МСА)'!$AE$25:$AE$103,'Калькуляция (МСА)'!$F$25:$F$103,$F38,'Калькуляция (МСА)'!$G$25:$G$103,$G38),_xlfn.SUMIFS(INDEX('Калькуляция (МИ)'!$AJ$25:$BC$603,,MATCH(AY$8,'Калькуляция (МИ)'!$AJ$8:$BC$8,0)),'Калькуляция (МИ)'!$F$25:$F$603,$F38,'Калькуляция (МИ)'!$G$25:$G$603,$G38))))</f>
        <v>0</v>
      </c>
      <c r="AZ38" s="4576">
        <f>IF(AND(method_reg="Метод индексации",god&lt;&gt;first_year),_xlfn.SUMIFS(INDEX('Калькуляция (МИ корр)'!$AJ$25:$BC$606,,MATCH(AZ$8,'Калькуляция (МИ корр)'!$AJ$8:$BC$8,0)),'Калькуляция (МИ корр)'!$F$25:$F$606,$F38,'Калькуляция (МИ корр)'!$G$25:$G$606,$G38),IF(method_reg="Метод экономически обоснованных расходов",_xlfn.SUMIFS('Калькуляция (МЭОР)'!$AK$25:$AK$367,'Калькуляция (МЭОР)'!$F$25:$F$367,$F38,'Калькуляция (МЭОР)'!$G$25:$G$367,$G38),IF(method_reg="Метод сравнения аналогов",_xlfn.SUMIFS('Калькуляция (МСА)'!$AF$25:$AF$103,'Калькуляция (МСА)'!$F$25:$F$103,$F38,'Калькуляция (МСА)'!$G$25:$G$103,$G38),_xlfn.SUMIFS(INDEX('Калькуляция (МИ)'!$AJ$25:$BC$603,,MATCH(AZ$8,'Калькуляция (МИ)'!$AJ$8:$BC$8,0)),'Калькуляция (МИ)'!$F$25:$F$603,$F38,'Калькуляция (МИ)'!$G$25:$G$603,$G38))))</f>
        <v>0</v>
      </c>
      <c r="BA38" s="292">
        <f>IF(AY38=0,0,(AZ38-AY38)/AY38*100)</f>
        <v>0</v>
      </c>
      <c r="BB38" s="4576">
        <f>IF(AND(method_reg="Метод индексации",god&lt;&gt;first_year),_xlfn.SUMIFS(INDEX('Калькуляция (МИ корр)'!$AJ$25:$BC$606,,MATCH(BB$8,'Калькуляция (МИ корр)'!$AJ$8:$BC$8,0)),'Калькуляция (МИ корр)'!$F$25:$F$606,$F38,'Калькуляция (МИ корр)'!$G$25:$G$606,$G38),IF(method_reg="Метод экономически обоснованных расходов",_xlfn.SUMIFS('Калькуляция (МЭОР)'!$AJ$25:$AJ$367,'Калькуляция (МЭОР)'!$F$25:$F$367,$F38,'Калькуляция (МЭОР)'!$G$25:$G$367,$G38),IF(method_reg="Метод сравнения аналогов",_xlfn.SUMIFS('Калькуляция (МСА)'!$AE$25:$AE$103,'Калькуляция (МСА)'!$F$25:$F$103,$F38,'Калькуляция (МСА)'!$G$25:$G$103,$G38),_xlfn.SUMIFS(INDEX('Калькуляция (МИ)'!$AJ$25:$BC$603,,MATCH(BB$8,'Калькуляция (МИ)'!$AJ$8:$BC$8,0)),'Калькуляция (МИ)'!$F$25:$F$603,$F38,'Калькуляция (МИ)'!$G$25:$G$603,$G38))))</f>
        <v>0</v>
      </c>
      <c r="BC38" s="4576">
        <f>IF(AND(method_reg="Метод индексации",god&lt;&gt;first_year),_xlfn.SUMIFS(INDEX('Калькуляция (МИ корр)'!$AJ$25:$BC$606,,MATCH(BC$8,'Калькуляция (МИ корр)'!$AJ$8:$BC$8,0)),'Калькуляция (МИ корр)'!$F$25:$F$606,$F38,'Калькуляция (МИ корр)'!$G$25:$G$606,$G38),IF(method_reg="Метод экономически обоснованных расходов",_xlfn.SUMIFS('Калькуляция (МЭОР)'!$AK$25:$AK$367,'Калькуляция (МЭОР)'!$F$25:$F$367,$F38,'Калькуляция (МЭОР)'!$G$25:$G$367,$G38),IF(method_reg="Метод сравнения аналогов",_xlfn.SUMIFS('Калькуляция (МСА)'!$AF$25:$AF$103,'Калькуляция (МСА)'!$F$25:$F$103,$F38,'Калькуляция (МСА)'!$G$25:$G$103,$G38),_xlfn.SUMIFS(INDEX('Калькуляция (МИ)'!$AJ$25:$BC$603,,MATCH(BC$8,'Калькуляция (МИ)'!$AJ$8:$BC$8,0)),'Калькуляция (МИ)'!$F$25:$F$603,$F38,'Калькуляция (МИ)'!$G$25:$G$603,$G38))))</f>
        <v>0</v>
      </c>
      <c r="BD38" s="292">
        <f>IF(BB38=0,0,(BC38-BB38)/BB38*100)</f>
        <v>0</v>
      </c>
      <c r="BE38" s="4576">
        <f>IF(AND(method_reg="Метод индексации",god&lt;&gt;first_year),_xlfn.SUMIFS(INDEX('Калькуляция (МИ корр)'!$AJ$25:$BC$606,,MATCH(BE$8,'Калькуляция (МИ корр)'!$AJ$8:$BC$8,0)),'Калькуляция (МИ корр)'!$F$25:$F$606,$F38,'Калькуляция (МИ корр)'!$G$25:$G$606,$G38),IF(method_reg="Метод экономически обоснованных расходов",_xlfn.SUMIFS('Калькуляция (МЭОР)'!$AJ$25:$AJ$367,'Калькуляция (МЭОР)'!$F$25:$F$367,$F38,'Калькуляция (МЭОР)'!$G$25:$G$367,$G38),IF(method_reg="Метод сравнения аналогов",_xlfn.SUMIFS('Калькуляция (МСА)'!$AE$25:$AE$103,'Калькуляция (МСА)'!$F$25:$F$103,$F38,'Калькуляция (МСА)'!$G$25:$G$103,$G38),_xlfn.SUMIFS(INDEX('Калькуляция (МИ)'!$AJ$25:$BC$603,,MATCH(BE$8,'Калькуляция (МИ)'!$AJ$8:$BC$8,0)),'Калькуляция (МИ)'!$F$25:$F$603,$F38,'Калькуляция (МИ)'!$G$25:$G$603,$G38))))</f>
        <v>0</v>
      </c>
      <c r="BF38" s="4576">
        <f>IF(AND(method_reg="Метод индексации",god&lt;&gt;first_year),_xlfn.SUMIFS(INDEX('Калькуляция (МИ корр)'!$AJ$25:$BC$606,,MATCH(BF$8,'Калькуляция (МИ корр)'!$AJ$8:$BC$8,0)),'Калькуляция (МИ корр)'!$F$25:$F$606,$F38,'Калькуляция (МИ корр)'!$G$25:$G$606,$G38),IF(method_reg="Метод экономически обоснованных расходов",_xlfn.SUMIFS('Калькуляция (МЭОР)'!$AK$25:$AK$367,'Калькуляция (МЭОР)'!$F$25:$F$367,$F38,'Калькуляция (МЭОР)'!$G$25:$G$367,$G38),IF(method_reg="Метод сравнения аналогов",_xlfn.SUMIFS('Калькуляция (МСА)'!$AF$25:$AF$103,'Калькуляция (МСА)'!$F$25:$F$103,$F38,'Калькуляция (МСА)'!$G$25:$G$103,$G38),_xlfn.SUMIFS(INDEX('Калькуляция (МИ)'!$AJ$25:$BC$603,,MATCH(BF$8,'Калькуляция (МИ)'!$AJ$8:$BC$8,0)),'Калькуляция (МИ)'!$F$25:$F$603,$F38,'Калькуляция (МИ)'!$G$25:$G$603,$G38))))</f>
        <v>0</v>
      </c>
      <c r="BG38" s="292">
        <f>IF(BE38=0,0,(BF38-BE38)/BE38*100)</f>
        <v>0</v>
      </c>
      <c r="BH38" s="4576"/>
      <c r="BI38" s="4576"/>
      <c r="BJ38" s="292">
        <f>IF(BH38=0,0,(BI38-BH38)/BH38*100)</f>
        <v>0</v>
      </c>
      <c r="BK38" s="4576"/>
      <c r="BL38" s="4576"/>
      <c r="BM38" s="292">
        <f>IF(BK38=0,0,(BL38-BK38)/BK38*100)</f>
        <v>0</v>
      </c>
      <c r="BN38" s="4576"/>
      <c r="BO38" s="4576"/>
      <c r="BP38" s="292">
        <f>IF(BN38=0,0,(BO38-BN38)/BN38*100)</f>
        <v>0</v>
      </c>
      <c r="BQ38" s="4576"/>
      <c r="BR38" s="4576"/>
      <c r="BS38" s="292">
        <f>IF(BQ38=0,0,(BR38-BQ38)/BQ38*100)</f>
        <v>0</v>
      </c>
      <c r="BT38" s="4576"/>
      <c r="BU38" s="4576"/>
      <c r="BV38" s="292">
        <f>IF(BT38=0,0,(BU38-BT38)/BT38*100)</f>
        <v>0</v>
      </c>
      <c r="BW38" s="4576"/>
      <c r="BX38" s="4576"/>
      <c r="BY38" s="292">
        <f>IF(BW38=0,0,(BX38-BW38)/BW38*100)</f>
        <v>0</v>
      </c>
      <c r="BZ38" s="4576"/>
      <c r="CA38" s="4576"/>
      <c r="CB38" s="292">
        <f>IF(BZ38=0,0,(CA38-BZ38)/BZ38*100)</f>
        <v>0</v>
      </c>
      <c r="CC38" s="4576"/>
      <c r="CD38" s="4576"/>
      <c r="CE38" s="292">
        <f>IF(CC38=0,0,(CD38-CC38)/CC38*100)</f>
        <v>0</v>
      </c>
      <c r="CF38" s="4576"/>
      <c r="CG38" s="4576"/>
      <c r="CH38" s="292">
        <f>IF(CF38=0,0,(CG38-CF38)/CF38*100)</f>
        <v>0</v>
      </c>
      <c r="CI38" s="4576"/>
      <c r="CJ38" s="4576"/>
      <c r="CK38" s="292">
        <f>IF(CI38=0,0,(CJ38-CI38)/CI38*100)</f>
        <v>0</v>
      </c>
      <c r="CL38" s="4576"/>
      <c r="CM38" s="4576"/>
      <c r="CN38" s="292">
        <f>IF(CL38=0,0,(CM38-CL38)/CL38*100)</f>
        <v>0</v>
      </c>
      <c r="CO38" s="4576"/>
      <c r="CP38" s="4576"/>
      <c r="CQ38" s="292">
        <f>IF(CO38=0,0,(CP38-CO38)/CO38*100)</f>
        <v>0</v>
      </c>
      <c r="CR38" s="4576"/>
      <c r="CS38" s="4576"/>
      <c r="CT38" s="292">
        <f>IF(CR38=0,0,(CS38-CR38)/CR38*100)</f>
        <v>0</v>
      </c>
      <c r="CU38" s="4576"/>
      <c r="CV38" s="4576"/>
      <c r="CW38" s="292">
        <f>IF(CU38=0,0,(CV38-CU38)/CU38*100)</f>
        <v>0</v>
      </c>
      <c r="CX38" s="4576"/>
      <c r="CY38" s="4576"/>
      <c r="CZ38" s="292">
        <f>IF(CX38=0,0,(CY38-CX38)/CX38*100)</f>
        <v>0</v>
      </c>
      <c r="DA38" s="4576"/>
      <c r="DB38" s="4576"/>
      <c r="DC38" s="292">
        <f>IF(DA38=0,0,(DB38-DA38)/DA38*100)</f>
        <v>0</v>
      </c>
      <c r="DD38" s="4576"/>
      <c r="DE38" s="4576"/>
      <c r="DF38" s="292">
        <f>IF(DD38=0,0,(DE38-DD38)/DD38*100)</f>
        <v>0</v>
      </c>
      <c r="DG38" s="4576"/>
      <c r="DH38" s="4576"/>
      <c r="DI38" s="292">
        <f>IF(DG38=0,0,(DH38-DG38)/DG38*100)</f>
        <v>0</v>
      </c>
      <c r="DJ38" s="4576"/>
      <c r="DK38" s="4576"/>
      <c r="DL38" s="292">
        <f>IF(DJ38=0,0,(DK38-DJ38)/DJ38*100)</f>
        <v>0</v>
      </c>
      <c r="DM38" s="4576"/>
      <c r="DN38" s="4576"/>
      <c r="DO38" s="292">
        <f>IF(DM38=0,0,(DN38-DM38)/DM38*100)</f>
        <v>0</v>
      </c>
      <c r="DP38" s="4576"/>
      <c r="DQ38" s="4576"/>
      <c r="DR38" s="292">
        <f>IF(DP38=0,0,(DQ38-DP38)/DP38*100)</f>
        <v>0</v>
      </c>
      <c r="DS38" s="4576"/>
      <c r="DT38" s="4576"/>
      <c r="DU38" s="292">
        <f>IF(DS38=0,0,(DT38-DS38)/DS38*100)</f>
        <v>0</v>
      </c>
      <c r="DV38" s="4576"/>
      <c r="DW38" s="4576"/>
      <c r="DX38" s="292">
        <f>IF(DV38=0,0,(DW38-DV38)/DV38*100)</f>
        <v>0</v>
      </c>
      <c r="DY38" s="4576"/>
      <c r="DZ38" s="4576"/>
      <c r="EA38" s="292">
        <f>IF(DY38=0,0,(DZ38-DY38)/DY38*100)</f>
        <v>0</v>
      </c>
      <c r="EB38" s="4576"/>
      <c r="EC38" s="4576"/>
      <c r="ED38" s="292">
        <f>IF(EB38=0,0,(EC38-EB38)/EB38*100)</f>
        <v>0</v>
      </c>
      <c r="EE38" s="4576"/>
      <c r="EF38" s="4576"/>
      <c r="EG38" s="292">
        <f>IF(EE38=0,0,(EF38-EE38)/EE38*100)</f>
        <v>0</v>
      </c>
      <c r="EH38" s="4576"/>
      <c r="EI38" s="4576"/>
      <c r="EJ38" s="292">
        <f>IF(EH38=0,0,(EI38-EH38)/EH38*100)</f>
        <v>0</v>
      </c>
      <c r="EK38" s="4576"/>
      <c r="EL38" s="4576"/>
      <c r="EM38" s="292">
        <f>IF(EK38=0,0,(EL38-EK38)/EK38*100)</f>
        <v>0</v>
      </c>
      <c r="EN38" s="4576"/>
      <c r="EO38" s="4576"/>
      <c r="EP38" s="292">
        <f>IF(EN38=0,0,(EO38-EN38)/EN38*100)</f>
        <v>0</v>
      </c>
      <c r="EQ38" s="4576"/>
      <c r="ER38" s="4576"/>
      <c r="ES38" s="292">
        <f>IF(EQ38=0,0,(ER38-EQ38)/EQ38*100)</f>
        <v>0</v>
      </c>
      <c r="ET38" s="4576"/>
      <c r="EU38" s="4576"/>
      <c r="EV38" s="292">
        <f>IF(ET38=0,0,(EU38-ET38)/ET38*100)</f>
        <v>0</v>
      </c>
      <c r="EW38" s="4576"/>
      <c r="EX38" s="4576"/>
      <c r="EY38" s="292">
        <f>IF(EW38=0,0,(EX38-EW38)/EW38*100)</f>
        <v>0</v>
      </c>
      <c r="EZ38" s="4576"/>
      <c r="FA38" s="4576"/>
      <c r="FB38" s="292">
        <f>IF(EZ38=0,0,(FA38-EZ38)/EZ38*100)</f>
        <v>0</v>
      </c>
      <c r="FC38" s="4576"/>
      <c r="FD38" s="4576"/>
      <c r="FE38" s="292">
        <f>IF(FC38=0,0,(FD38-FC38)/FC38*100)</f>
        <v>0</v>
      </c>
      <c r="FF38" s="4576"/>
      <c r="FG38" s="4576"/>
      <c r="FH38" s="292">
        <f>IF(FF38=0,0,(FG38-FF38)/FF38*100)</f>
        <v>0</v>
      </c>
      <c r="FI38" s="4576"/>
      <c r="FJ38" s="4576"/>
      <c r="FK38" s="292">
        <f>IF(FI38=0,0,(FJ38-FI38)/FI38*100)</f>
        <v>0</v>
      </c>
      <c r="FL38" s="4576"/>
      <c r="FM38" s="4576"/>
      <c r="FN38" s="292">
        <f>IF(FL38=0,0,(FM38-FL38)/FL38*100)</f>
        <v>0</v>
      </c>
      <c r="FO38" s="4576"/>
      <c r="FP38" s="4576"/>
      <c r="FQ38" s="292">
        <f>IF(FO38=0,0,(FP38-FO38)/FO38*100)</f>
        <v>0</v>
      </c>
      <c r="FR38" s="4576"/>
      <c r="FS38" s="4576"/>
      <c r="FT38" s="292">
        <f>IF(FR38=0,0,(FS38-FR38)/FR38*100)</f>
        <v>0</v>
      </c>
      <c r="FU38" s="4576"/>
      <c r="FV38" s="4576"/>
      <c r="FW38" s="292">
        <f>IF(FU38=0,0,(FV38-FU38)/FU38*100)</f>
        <v>0</v>
      </c>
      <c r="FX38" s="288"/>
      <c r="FY38" s="288"/>
      <c r="FZ38" s="1063" t="s">
        <v>1877</v>
      </c>
      <c r="GA38" s="1063"/>
      <c r="GB38" s="1063"/>
      <c r="GC38" s="1064"/>
      <c r="GD38" s="1064"/>
    </row>
    <row s="288" customFormat="1" customHeight="1" ht="23.887500000000003" hidden="1">
      <c r="A39" s="904"/>
      <c r="B39" s="932" cm="1" t="str">
        <f t="array" ref="B39:B39">B38</f>
        <v>false</v>
      </c>
      <c r="C39" s="904"/>
      <c r="D39" s="904"/>
      <c r="E39" s="905">
        <v>24.5</v>
      </c>
      <c r="F39" s="50" cm="1" t="str">
        <f t="array" ref="F39:F39">OFFSET(E39,-1,1)</f>
        <v>0</v>
      </c>
      <c r="G39" s="103" t="s">
        <v>1878</v>
      </c>
      <c r="H39" s="496" t="s">
        <v>566</v>
      </c>
      <c r="I39" s="496" t="s">
        <v>1879</v>
      </c>
      <c r="J39" s="904"/>
      <c r="K39" s="904"/>
      <c r="L39" s="496"/>
      <c r="M39" s="904"/>
      <c r="N39" s="904"/>
      <c r="O39" s="904"/>
      <c r="P39" s="904"/>
      <c r="Q39" s="904"/>
      <c r="R39" s="496"/>
      <c r="S39" s="496"/>
      <c r="T39" s="468" cm="1" t="str">
        <f t="array" ref="T39:T39">T38</f>
        <v>false</v>
      </c>
      <c r="U39" s="904"/>
      <c r="V39" s="904"/>
      <c r="W39" s="904"/>
      <c r="X39" s="1559"/>
      <c r="Y39" s="904"/>
      <c r="Z39" s="1528"/>
      <c r="AA39" s="904"/>
      <c r="AB39" s="1099" t="s">
        <v>1880</v>
      </c>
      <c r="AC39" s="290" t="s">
        <v>1862</v>
      </c>
      <c r="AD39" s="4576">
        <f>IF(AND(method_reg="Метод индексации",god&lt;&gt;first_year),_xlfn.SUMIFS(INDEX('Калькуляция (МИ корр)'!$AJ$25:$BC$606,,MATCH(AD$8,'Калькуляция (МИ корр)'!$AJ$8:$BC$8,0)),'Калькуляция (МИ корр)'!$F$25:$F$606,$F39,'Калькуляция (МИ корр)'!$G$25:$G$606,$G39),IF(method_reg="Метод экономически обоснованных расходов",_xlfn.SUMIFS('Калькуляция (МЭОР)'!$AJ$25:$AJ$367,'Калькуляция (МЭОР)'!$F$25:$F$367,$F39,'Калькуляция (МЭОР)'!$G$25:$G$367,$G39),IF(method_reg="Метод сравнения аналогов",_xlfn.SUMIFS('Калькуляция (МСА)'!$AE$25:$AE$103,'Калькуляция (МСА)'!$F$25:$F$103,$F39,'Калькуляция (МСА)'!$G$25:$G$103,$G39),_xlfn.SUMIFS(INDEX('Калькуляция (МИ)'!$AJ$25:$BC$603,,MATCH(AD$8,'Калькуляция (МИ)'!$AJ$8:$BC$8,0)),'Калькуляция (МИ)'!$F$25:$F$603,$F39,'Калькуляция (МИ)'!$G$25:$G$603,$G39))))</f>
        <v>0</v>
      </c>
      <c r="AE39" s="4576">
        <f>IF(AND(method_reg="Метод индексации",god&lt;&gt;first_year),_xlfn.SUMIFS(INDEX('Калькуляция (МИ корр)'!$AJ$25:$BC$606,,MATCH(AE$8,'Калькуляция (МИ корр)'!$AJ$8:$BC$8,0)),'Калькуляция (МИ корр)'!$F$25:$F$606,$F39,'Калькуляция (МИ корр)'!$G$25:$G$606,$G39),IF(method_reg="Метод экономически обоснованных расходов",_xlfn.SUMIFS('Калькуляция (МЭОР)'!$AK$25:$AK$367,'Калькуляция (МЭОР)'!$F$25:$F$367,$F39,'Калькуляция (МЭОР)'!$G$25:$G$367,$G39),IF(method_reg="Метод сравнения аналогов",_xlfn.SUMIFS('Калькуляция (МСА)'!$AF$25:$AF$103,'Калькуляция (МСА)'!$F$25:$F$103,$F39,'Калькуляция (МСА)'!$G$25:$G$103,$G39),_xlfn.SUMIFS(INDEX('Калькуляция (МИ)'!$AJ$25:$BC$603,,MATCH(AE$8,'Калькуляция (МИ)'!$AJ$8:$BC$8,0)),'Калькуляция (МИ)'!$F$25:$F$603,$F39,'Калькуляция (МИ)'!$G$25:$G$603,$G39))))</f>
        <v>0</v>
      </c>
      <c r="AF39" s="292">
        <f>IF(AD39=0,0,(AE39-AD39)/AD39*100)</f>
        <v>0</v>
      </c>
      <c r="AG39" s="4576">
        <f>IF(AND(method_reg="Метод индексации",god&lt;&gt;first_year),_xlfn.SUMIFS(INDEX('Калькуляция (МИ корр)'!$AJ$25:$BC$606,,MATCH(AG$8,'Калькуляция (МИ корр)'!$AJ$8:$BC$8,0)),'Калькуляция (МИ корр)'!$F$25:$F$606,$F39,'Калькуляция (МИ корр)'!$G$25:$G$606,$G39),IF(method_reg="Метод экономически обоснованных расходов",_xlfn.SUMIFS('Калькуляция (МЭОР)'!$AJ$25:$AJ$367,'Калькуляция (МЭОР)'!$F$25:$F$367,$F39,'Калькуляция (МЭОР)'!$G$25:$G$367,$G39),IF(method_reg="Метод сравнения аналогов",_xlfn.SUMIFS('Калькуляция (МСА)'!$AE$25:$AE$103,'Калькуляция (МСА)'!$F$25:$F$103,$F39,'Калькуляция (МСА)'!$G$25:$G$103,$G39),_xlfn.SUMIFS(INDEX('Калькуляция (МИ)'!$AJ$25:$BC$603,,MATCH(AG$8,'Калькуляция (МИ)'!$AJ$8:$BC$8,0)),'Калькуляция (МИ)'!$F$25:$F$603,$F39,'Калькуляция (МИ)'!$G$25:$G$603,$G39))))</f>
        <v>0</v>
      </c>
      <c r="AH39" s="4576">
        <f>IF(AND(method_reg="Метод индексации",god&lt;&gt;first_year),_xlfn.SUMIFS(INDEX('Калькуляция (МИ корр)'!$AJ$25:$BC$606,,MATCH(AH$8,'Калькуляция (МИ корр)'!$AJ$8:$BC$8,0)),'Калькуляция (МИ корр)'!$F$25:$F$606,$F39,'Калькуляция (МИ корр)'!$G$25:$G$606,$G39),IF(method_reg="Метод экономически обоснованных расходов",_xlfn.SUMIFS('Калькуляция (МЭОР)'!$AK$25:$AK$367,'Калькуляция (МЭОР)'!$F$25:$F$367,$F39,'Калькуляция (МЭОР)'!$G$25:$G$367,$G39),IF(method_reg="Метод сравнения аналогов",_xlfn.SUMIFS('Калькуляция (МСА)'!$AF$25:$AF$103,'Калькуляция (МСА)'!$F$25:$F$103,$F39,'Калькуляция (МСА)'!$G$25:$G$103,$G39),_xlfn.SUMIFS(INDEX('Калькуляция (МИ)'!$AJ$25:$BC$603,,MATCH(AH$8,'Калькуляция (МИ)'!$AJ$8:$BC$8,0)),'Калькуляция (МИ)'!$F$25:$F$603,$F39,'Калькуляция (МИ)'!$G$25:$G$603,$G39))))</f>
        <v>0</v>
      </c>
      <c r="AI39" s="292">
        <f>IF(AG39=0,0,(AH39-AG39)/AG39*100)</f>
        <v>0</v>
      </c>
      <c r="AJ39" s="4576">
        <f>IF(AND(method_reg="Метод индексации",god&lt;&gt;first_year),_xlfn.SUMIFS(INDEX('Калькуляция (МИ корр)'!$AJ$25:$BC$606,,MATCH(AJ$8,'Калькуляция (МИ корр)'!$AJ$8:$BC$8,0)),'Калькуляция (МИ корр)'!$F$25:$F$606,$F39,'Калькуляция (МИ корр)'!$G$25:$G$606,$G39),IF(method_reg="Метод экономически обоснованных расходов",_xlfn.SUMIFS('Калькуляция (МЭОР)'!$AJ$25:$AJ$367,'Калькуляция (МЭОР)'!$F$25:$F$367,$F39,'Калькуляция (МЭОР)'!$G$25:$G$367,$G39),IF(method_reg="Метод сравнения аналогов",_xlfn.SUMIFS('Калькуляция (МСА)'!$AE$25:$AE$103,'Калькуляция (МСА)'!$F$25:$F$103,$F39,'Калькуляция (МСА)'!$G$25:$G$103,$G39),_xlfn.SUMIFS(INDEX('Калькуляция (МИ)'!$AJ$25:$BC$603,,MATCH(AJ$8,'Калькуляция (МИ)'!$AJ$8:$BC$8,0)),'Калькуляция (МИ)'!$F$25:$F$603,$F39,'Калькуляция (МИ)'!$G$25:$G$603,$G39))))</f>
        <v>0</v>
      </c>
      <c r="AK39" s="4576">
        <f>IF(AND(method_reg="Метод индексации",god&lt;&gt;first_year),_xlfn.SUMIFS(INDEX('Калькуляция (МИ корр)'!$AJ$25:$BC$606,,MATCH(AK$8,'Калькуляция (МИ корр)'!$AJ$8:$BC$8,0)),'Калькуляция (МИ корр)'!$F$25:$F$606,$F39,'Калькуляция (МИ корр)'!$G$25:$G$606,$G39),IF(method_reg="Метод экономически обоснованных расходов",_xlfn.SUMIFS('Калькуляция (МЭОР)'!$AK$25:$AK$367,'Калькуляция (МЭОР)'!$F$25:$F$367,$F39,'Калькуляция (МЭОР)'!$G$25:$G$367,$G39),IF(method_reg="Метод сравнения аналогов",_xlfn.SUMIFS('Калькуляция (МСА)'!$AF$25:$AF$103,'Калькуляция (МСА)'!$F$25:$F$103,$F39,'Калькуляция (МСА)'!$G$25:$G$103,$G39),_xlfn.SUMIFS(INDEX('Калькуляция (МИ)'!$AJ$25:$BC$603,,MATCH(AK$8,'Калькуляция (МИ)'!$AJ$8:$BC$8,0)),'Калькуляция (МИ)'!$F$25:$F$603,$F39,'Калькуляция (МИ)'!$G$25:$G$603,$G39))))</f>
        <v>0</v>
      </c>
      <c r="AL39" s="292">
        <f>IF(AJ39=0,0,(AK39-AJ39)/AJ39*100)</f>
        <v>0</v>
      </c>
      <c r="AM39" s="4576">
        <f>IF(AND(method_reg="Метод индексации",god&lt;&gt;first_year),_xlfn.SUMIFS(INDEX('Калькуляция (МИ корр)'!$AJ$25:$BC$606,,MATCH(AM$8,'Калькуляция (МИ корр)'!$AJ$8:$BC$8,0)),'Калькуляция (МИ корр)'!$F$25:$F$606,$F39,'Калькуляция (МИ корр)'!$G$25:$G$606,$G39),IF(method_reg="Метод экономически обоснованных расходов",_xlfn.SUMIFS('Калькуляция (МЭОР)'!$AJ$25:$AJ$367,'Калькуляция (МЭОР)'!$F$25:$F$367,$F39,'Калькуляция (МЭОР)'!$G$25:$G$367,$G39),IF(method_reg="Метод сравнения аналогов",_xlfn.SUMIFS('Калькуляция (МСА)'!$AE$25:$AE$103,'Калькуляция (МСА)'!$F$25:$F$103,$F39,'Калькуляция (МСА)'!$G$25:$G$103,$G39),_xlfn.SUMIFS(INDEX('Калькуляция (МИ)'!$AJ$25:$BC$603,,MATCH(AM$8,'Калькуляция (МИ)'!$AJ$8:$BC$8,0)),'Калькуляция (МИ)'!$F$25:$F$603,$F39,'Калькуляция (МИ)'!$G$25:$G$603,$G39))))</f>
        <v>0</v>
      </c>
      <c r="AN39" s="4576">
        <f>IF(AND(method_reg="Метод индексации",god&lt;&gt;first_year),_xlfn.SUMIFS(INDEX('Калькуляция (МИ корр)'!$AJ$25:$BC$606,,MATCH(AN$8,'Калькуляция (МИ корр)'!$AJ$8:$BC$8,0)),'Калькуляция (МИ корр)'!$F$25:$F$606,$F39,'Калькуляция (МИ корр)'!$G$25:$G$606,$G39),IF(method_reg="Метод экономически обоснованных расходов",_xlfn.SUMIFS('Калькуляция (МЭОР)'!$AK$25:$AK$367,'Калькуляция (МЭОР)'!$F$25:$F$367,$F39,'Калькуляция (МЭОР)'!$G$25:$G$367,$G39),IF(method_reg="Метод сравнения аналогов",_xlfn.SUMIFS('Калькуляция (МСА)'!$AF$25:$AF$103,'Калькуляция (МСА)'!$F$25:$F$103,$F39,'Калькуляция (МСА)'!$G$25:$G$103,$G39),_xlfn.SUMIFS(INDEX('Калькуляция (МИ)'!$AJ$25:$BC$603,,MATCH(AN$8,'Калькуляция (МИ)'!$AJ$8:$BC$8,0)),'Калькуляция (МИ)'!$F$25:$F$603,$F39,'Калькуляция (МИ)'!$G$25:$G$603,$G39))))</f>
        <v>0</v>
      </c>
      <c r="AO39" s="292">
        <f>IF(AM39=0,0,(AN39-AM39)/AM39*100)</f>
        <v>0</v>
      </c>
      <c r="AP39" s="4576">
        <f>IF(AND(method_reg="Метод индексации",god&lt;&gt;first_year),_xlfn.SUMIFS(INDEX('Калькуляция (МИ корр)'!$AJ$25:$BC$606,,MATCH(AP$8,'Калькуляция (МИ корр)'!$AJ$8:$BC$8,0)),'Калькуляция (МИ корр)'!$F$25:$F$606,$F39,'Калькуляция (МИ корр)'!$G$25:$G$606,$G39),IF(method_reg="Метод экономически обоснованных расходов",_xlfn.SUMIFS('Калькуляция (МЭОР)'!$AJ$25:$AJ$367,'Калькуляция (МЭОР)'!$F$25:$F$367,$F39,'Калькуляция (МЭОР)'!$G$25:$G$367,$G39),IF(method_reg="Метод сравнения аналогов",_xlfn.SUMIFS('Калькуляция (МСА)'!$AE$25:$AE$103,'Калькуляция (МСА)'!$F$25:$F$103,$F39,'Калькуляция (МСА)'!$G$25:$G$103,$G39),_xlfn.SUMIFS(INDEX('Калькуляция (МИ)'!$AJ$25:$BC$603,,MATCH(AP$8,'Калькуляция (МИ)'!$AJ$8:$BC$8,0)),'Калькуляция (МИ)'!$F$25:$F$603,$F39,'Калькуляция (МИ)'!$G$25:$G$603,$G39))))</f>
        <v>0</v>
      </c>
      <c r="AQ39" s="4576">
        <f>IF(AND(method_reg="Метод индексации",god&lt;&gt;first_year),_xlfn.SUMIFS(INDEX('Калькуляция (МИ корр)'!$AJ$25:$BC$606,,MATCH(AQ$8,'Калькуляция (МИ корр)'!$AJ$8:$BC$8,0)),'Калькуляция (МИ корр)'!$F$25:$F$606,$F39,'Калькуляция (МИ корр)'!$G$25:$G$606,$G39),IF(method_reg="Метод экономически обоснованных расходов",_xlfn.SUMIFS('Калькуляция (МЭОР)'!$AK$25:$AK$367,'Калькуляция (МЭОР)'!$F$25:$F$367,$F39,'Калькуляция (МЭОР)'!$G$25:$G$367,$G39),IF(method_reg="Метод сравнения аналогов",_xlfn.SUMIFS('Калькуляция (МСА)'!$AF$25:$AF$103,'Калькуляция (МСА)'!$F$25:$F$103,$F39,'Калькуляция (МСА)'!$G$25:$G$103,$G39),_xlfn.SUMIFS(INDEX('Калькуляция (МИ)'!$AJ$25:$BC$603,,MATCH(AQ$8,'Калькуляция (МИ)'!$AJ$8:$BC$8,0)),'Калькуляция (МИ)'!$F$25:$F$603,$F39,'Калькуляция (МИ)'!$G$25:$G$603,$G39))))</f>
        <v>0</v>
      </c>
      <c r="AR39" s="292">
        <f>IF(AP39=0,0,(AQ39-AP39)/AP39*100)</f>
        <v>0</v>
      </c>
      <c r="AS39" s="4576">
        <f>IF(AND(method_reg="Метод индексации",god&lt;&gt;first_year),_xlfn.SUMIFS(INDEX('Калькуляция (МИ корр)'!$AJ$25:$BC$606,,MATCH(AS$8,'Калькуляция (МИ корр)'!$AJ$8:$BC$8,0)),'Калькуляция (МИ корр)'!$F$25:$F$606,$F39,'Калькуляция (МИ корр)'!$G$25:$G$606,$G39),IF(method_reg="Метод экономически обоснованных расходов",_xlfn.SUMIFS('Калькуляция (МЭОР)'!$AJ$25:$AJ$367,'Калькуляция (МЭОР)'!$F$25:$F$367,$F39,'Калькуляция (МЭОР)'!$G$25:$G$367,$G39),IF(method_reg="Метод сравнения аналогов",_xlfn.SUMIFS('Калькуляция (МСА)'!$AE$25:$AE$103,'Калькуляция (МСА)'!$F$25:$F$103,$F39,'Калькуляция (МСА)'!$G$25:$G$103,$G39),_xlfn.SUMIFS(INDEX('Калькуляция (МИ)'!$AJ$25:$BC$603,,MATCH(AS$8,'Калькуляция (МИ)'!$AJ$8:$BC$8,0)),'Калькуляция (МИ)'!$F$25:$F$603,$F39,'Калькуляция (МИ)'!$G$25:$G$603,$G39))))</f>
        <v>0</v>
      </c>
      <c r="AT39" s="4576">
        <f>IF(AND(method_reg="Метод индексации",god&lt;&gt;first_year),_xlfn.SUMIFS(INDEX('Калькуляция (МИ корр)'!$AJ$25:$BC$606,,MATCH(AT$8,'Калькуляция (МИ корр)'!$AJ$8:$BC$8,0)),'Калькуляция (МИ корр)'!$F$25:$F$606,$F39,'Калькуляция (МИ корр)'!$G$25:$G$606,$G39),IF(method_reg="Метод экономически обоснованных расходов",_xlfn.SUMIFS('Калькуляция (МЭОР)'!$AK$25:$AK$367,'Калькуляция (МЭОР)'!$F$25:$F$367,$F39,'Калькуляция (МЭОР)'!$G$25:$G$367,$G39),IF(method_reg="Метод сравнения аналогов",_xlfn.SUMIFS('Калькуляция (МСА)'!$AF$25:$AF$103,'Калькуляция (МСА)'!$F$25:$F$103,$F39,'Калькуляция (МСА)'!$G$25:$G$103,$G39),_xlfn.SUMIFS(INDEX('Калькуляция (МИ)'!$AJ$25:$BC$603,,MATCH(AT$8,'Калькуляция (МИ)'!$AJ$8:$BC$8,0)),'Калькуляция (МИ)'!$F$25:$F$603,$F39,'Калькуляция (МИ)'!$G$25:$G$603,$G39))))</f>
        <v>0</v>
      </c>
      <c r="AU39" s="292">
        <f>IF(AS39=0,0,(AT39-AS39)/AS39*100)</f>
        <v>0</v>
      </c>
      <c r="AV39" s="4576">
        <f>IF(AND(method_reg="Метод индексации",god&lt;&gt;first_year),_xlfn.SUMIFS(INDEX('Калькуляция (МИ корр)'!$AJ$25:$BC$606,,MATCH(AV$8,'Калькуляция (МИ корр)'!$AJ$8:$BC$8,0)),'Калькуляция (МИ корр)'!$F$25:$F$606,$F39,'Калькуляция (МИ корр)'!$G$25:$G$606,$G39),IF(method_reg="Метод экономически обоснованных расходов",_xlfn.SUMIFS('Калькуляция (МЭОР)'!$AJ$25:$AJ$367,'Калькуляция (МЭОР)'!$F$25:$F$367,$F39,'Калькуляция (МЭОР)'!$G$25:$G$367,$G39),IF(method_reg="Метод сравнения аналогов",_xlfn.SUMIFS('Калькуляция (МСА)'!$AE$25:$AE$103,'Калькуляция (МСА)'!$F$25:$F$103,$F39,'Калькуляция (МСА)'!$G$25:$G$103,$G39),_xlfn.SUMIFS(INDEX('Калькуляция (МИ)'!$AJ$25:$BC$603,,MATCH(AV$8,'Калькуляция (МИ)'!$AJ$8:$BC$8,0)),'Калькуляция (МИ)'!$F$25:$F$603,$F39,'Калькуляция (МИ)'!$G$25:$G$603,$G39))))</f>
        <v>0</v>
      </c>
      <c r="AW39" s="4576">
        <f>IF(AND(method_reg="Метод индексации",god&lt;&gt;first_year),_xlfn.SUMIFS(INDEX('Калькуляция (МИ корр)'!$AJ$25:$BC$606,,MATCH(AW$8,'Калькуляция (МИ корр)'!$AJ$8:$BC$8,0)),'Калькуляция (МИ корр)'!$F$25:$F$606,$F39,'Калькуляция (МИ корр)'!$G$25:$G$606,$G39),IF(method_reg="Метод экономически обоснованных расходов",_xlfn.SUMIFS('Калькуляция (МЭОР)'!$AK$25:$AK$367,'Калькуляция (МЭОР)'!$F$25:$F$367,$F39,'Калькуляция (МЭОР)'!$G$25:$G$367,$G39),IF(method_reg="Метод сравнения аналогов",_xlfn.SUMIFS('Калькуляция (МСА)'!$AF$25:$AF$103,'Калькуляция (МСА)'!$F$25:$F$103,$F39,'Калькуляция (МСА)'!$G$25:$G$103,$G39),_xlfn.SUMIFS(INDEX('Калькуляция (МИ)'!$AJ$25:$BC$603,,MATCH(AW$8,'Калькуляция (МИ)'!$AJ$8:$BC$8,0)),'Калькуляция (МИ)'!$F$25:$F$603,$F39,'Калькуляция (МИ)'!$G$25:$G$603,$G39))))</f>
        <v>0</v>
      </c>
      <c r="AX39" s="292">
        <f>IF(AV39=0,0,(AW39-AV39)/AV39*100)</f>
        <v>0</v>
      </c>
      <c r="AY39" s="4576">
        <f>IF(AND(method_reg="Метод индексации",god&lt;&gt;first_year),_xlfn.SUMIFS(INDEX('Калькуляция (МИ корр)'!$AJ$25:$BC$606,,MATCH(AY$8,'Калькуляция (МИ корр)'!$AJ$8:$BC$8,0)),'Калькуляция (МИ корр)'!$F$25:$F$606,$F39,'Калькуляция (МИ корр)'!$G$25:$G$606,$G39),IF(method_reg="Метод экономически обоснованных расходов",_xlfn.SUMIFS('Калькуляция (МЭОР)'!$AJ$25:$AJ$367,'Калькуляция (МЭОР)'!$F$25:$F$367,$F39,'Калькуляция (МЭОР)'!$G$25:$G$367,$G39),IF(method_reg="Метод сравнения аналогов",_xlfn.SUMIFS('Калькуляция (МСА)'!$AE$25:$AE$103,'Калькуляция (МСА)'!$F$25:$F$103,$F39,'Калькуляция (МСА)'!$G$25:$G$103,$G39),_xlfn.SUMIFS(INDEX('Калькуляция (МИ)'!$AJ$25:$BC$603,,MATCH(AY$8,'Калькуляция (МИ)'!$AJ$8:$BC$8,0)),'Калькуляция (МИ)'!$F$25:$F$603,$F39,'Калькуляция (МИ)'!$G$25:$G$603,$G39))))</f>
        <v>0</v>
      </c>
      <c r="AZ39" s="4576">
        <f>IF(AND(method_reg="Метод индексации",god&lt;&gt;first_year),_xlfn.SUMIFS(INDEX('Калькуляция (МИ корр)'!$AJ$25:$BC$606,,MATCH(AZ$8,'Калькуляция (МИ корр)'!$AJ$8:$BC$8,0)),'Калькуляция (МИ корр)'!$F$25:$F$606,$F39,'Калькуляция (МИ корр)'!$G$25:$G$606,$G39),IF(method_reg="Метод экономически обоснованных расходов",_xlfn.SUMIFS('Калькуляция (МЭОР)'!$AK$25:$AK$367,'Калькуляция (МЭОР)'!$F$25:$F$367,$F39,'Калькуляция (МЭОР)'!$G$25:$G$367,$G39),IF(method_reg="Метод сравнения аналогов",_xlfn.SUMIFS('Калькуляция (МСА)'!$AF$25:$AF$103,'Калькуляция (МСА)'!$F$25:$F$103,$F39,'Калькуляция (МСА)'!$G$25:$G$103,$G39),_xlfn.SUMIFS(INDEX('Калькуляция (МИ)'!$AJ$25:$BC$603,,MATCH(AZ$8,'Калькуляция (МИ)'!$AJ$8:$BC$8,0)),'Калькуляция (МИ)'!$F$25:$F$603,$F39,'Калькуляция (МИ)'!$G$25:$G$603,$G39))))</f>
        <v>0</v>
      </c>
      <c r="BA39" s="292">
        <f>IF(AY39=0,0,(AZ39-AY39)/AY39*100)</f>
        <v>0</v>
      </c>
      <c r="BB39" s="4576">
        <f>IF(AND(method_reg="Метод индексации",god&lt;&gt;first_year),_xlfn.SUMIFS(INDEX('Калькуляция (МИ корр)'!$AJ$25:$BC$606,,MATCH(BB$8,'Калькуляция (МИ корр)'!$AJ$8:$BC$8,0)),'Калькуляция (МИ корр)'!$F$25:$F$606,$F39,'Калькуляция (МИ корр)'!$G$25:$G$606,$G39),IF(method_reg="Метод экономически обоснованных расходов",_xlfn.SUMIFS('Калькуляция (МЭОР)'!$AJ$25:$AJ$367,'Калькуляция (МЭОР)'!$F$25:$F$367,$F39,'Калькуляция (МЭОР)'!$G$25:$G$367,$G39),IF(method_reg="Метод сравнения аналогов",_xlfn.SUMIFS('Калькуляция (МСА)'!$AE$25:$AE$103,'Калькуляция (МСА)'!$F$25:$F$103,$F39,'Калькуляция (МСА)'!$G$25:$G$103,$G39),_xlfn.SUMIFS(INDEX('Калькуляция (МИ)'!$AJ$25:$BC$603,,MATCH(BB$8,'Калькуляция (МИ)'!$AJ$8:$BC$8,0)),'Калькуляция (МИ)'!$F$25:$F$603,$F39,'Калькуляция (МИ)'!$G$25:$G$603,$G39))))</f>
        <v>0</v>
      </c>
      <c r="BC39" s="4576">
        <f>IF(AND(method_reg="Метод индексации",god&lt;&gt;first_year),_xlfn.SUMIFS(INDEX('Калькуляция (МИ корр)'!$AJ$25:$BC$606,,MATCH(BC$8,'Калькуляция (МИ корр)'!$AJ$8:$BC$8,0)),'Калькуляция (МИ корр)'!$F$25:$F$606,$F39,'Калькуляция (МИ корр)'!$G$25:$G$606,$G39),IF(method_reg="Метод экономически обоснованных расходов",_xlfn.SUMIFS('Калькуляция (МЭОР)'!$AK$25:$AK$367,'Калькуляция (МЭОР)'!$F$25:$F$367,$F39,'Калькуляция (МЭОР)'!$G$25:$G$367,$G39),IF(method_reg="Метод сравнения аналогов",_xlfn.SUMIFS('Калькуляция (МСА)'!$AF$25:$AF$103,'Калькуляция (МСА)'!$F$25:$F$103,$F39,'Калькуляция (МСА)'!$G$25:$G$103,$G39),_xlfn.SUMIFS(INDEX('Калькуляция (МИ)'!$AJ$25:$BC$603,,MATCH(BC$8,'Калькуляция (МИ)'!$AJ$8:$BC$8,0)),'Калькуляция (МИ)'!$F$25:$F$603,$F39,'Калькуляция (МИ)'!$G$25:$G$603,$G39))))</f>
        <v>0</v>
      </c>
      <c r="BD39" s="292">
        <f>IF(BB39=0,0,(BC39-BB39)/BB39*100)</f>
        <v>0</v>
      </c>
      <c r="BE39" s="4576">
        <f>IF(AND(method_reg="Метод индексации",god&lt;&gt;first_year),_xlfn.SUMIFS(INDEX('Калькуляция (МИ корр)'!$AJ$25:$BC$606,,MATCH(BE$8,'Калькуляция (МИ корр)'!$AJ$8:$BC$8,0)),'Калькуляция (МИ корр)'!$F$25:$F$606,$F39,'Калькуляция (МИ корр)'!$G$25:$G$606,$G39),IF(method_reg="Метод экономически обоснованных расходов",_xlfn.SUMIFS('Калькуляция (МЭОР)'!$AJ$25:$AJ$367,'Калькуляция (МЭОР)'!$F$25:$F$367,$F39,'Калькуляция (МЭОР)'!$G$25:$G$367,$G39),IF(method_reg="Метод сравнения аналогов",_xlfn.SUMIFS('Калькуляция (МСА)'!$AE$25:$AE$103,'Калькуляция (МСА)'!$F$25:$F$103,$F39,'Калькуляция (МСА)'!$G$25:$G$103,$G39),_xlfn.SUMIFS(INDEX('Калькуляция (МИ)'!$AJ$25:$BC$603,,MATCH(BE$8,'Калькуляция (МИ)'!$AJ$8:$BC$8,0)),'Калькуляция (МИ)'!$F$25:$F$603,$F39,'Калькуляция (МИ)'!$G$25:$G$603,$G39))))</f>
        <v>0</v>
      </c>
      <c r="BF39" s="4576">
        <f>IF(AND(method_reg="Метод индексации",god&lt;&gt;first_year),_xlfn.SUMIFS(INDEX('Калькуляция (МИ корр)'!$AJ$25:$BC$606,,MATCH(BF$8,'Калькуляция (МИ корр)'!$AJ$8:$BC$8,0)),'Калькуляция (МИ корр)'!$F$25:$F$606,$F39,'Калькуляция (МИ корр)'!$G$25:$G$606,$G39),IF(method_reg="Метод экономически обоснованных расходов",_xlfn.SUMIFS('Калькуляция (МЭОР)'!$AK$25:$AK$367,'Калькуляция (МЭОР)'!$F$25:$F$367,$F39,'Калькуляция (МЭОР)'!$G$25:$G$367,$G39),IF(method_reg="Метод сравнения аналогов",_xlfn.SUMIFS('Калькуляция (МСА)'!$AF$25:$AF$103,'Калькуляция (МСА)'!$F$25:$F$103,$F39,'Калькуляция (МСА)'!$G$25:$G$103,$G39),_xlfn.SUMIFS(INDEX('Калькуляция (МИ)'!$AJ$25:$BC$603,,MATCH(BF$8,'Калькуляция (МИ)'!$AJ$8:$BC$8,0)),'Калькуляция (МИ)'!$F$25:$F$603,$F39,'Калькуляция (МИ)'!$G$25:$G$603,$G39))))</f>
        <v>0</v>
      </c>
      <c r="BG39" s="292">
        <f>IF(BE39=0,0,(BF39-BE39)/BE39*100)</f>
        <v>0</v>
      </c>
      <c r="BH39" s="4576"/>
      <c r="BI39" s="4576"/>
      <c r="BJ39" s="292">
        <f>IF(BH39=0,0,(BI39-BH39)/BH39*100)</f>
        <v>0</v>
      </c>
      <c r="BK39" s="4576"/>
      <c r="BL39" s="4576"/>
      <c r="BM39" s="292">
        <f>IF(BK39=0,0,(BL39-BK39)/BK39*100)</f>
        <v>0</v>
      </c>
      <c r="BN39" s="4576"/>
      <c r="BO39" s="4576"/>
      <c r="BP39" s="292">
        <f>IF(BN39=0,0,(BO39-BN39)/BN39*100)</f>
        <v>0</v>
      </c>
      <c r="BQ39" s="4576"/>
      <c r="BR39" s="4576"/>
      <c r="BS39" s="292">
        <f>IF(BQ39=0,0,(BR39-BQ39)/BQ39*100)</f>
        <v>0</v>
      </c>
      <c r="BT39" s="4576"/>
      <c r="BU39" s="4576"/>
      <c r="BV39" s="292">
        <f>IF(BT39=0,0,(BU39-BT39)/BT39*100)</f>
        <v>0</v>
      </c>
      <c r="BW39" s="4576"/>
      <c r="BX39" s="4576"/>
      <c r="BY39" s="292">
        <f>IF(BW39=0,0,(BX39-BW39)/BW39*100)</f>
        <v>0</v>
      </c>
      <c r="BZ39" s="4576"/>
      <c r="CA39" s="4576"/>
      <c r="CB39" s="292">
        <f>IF(BZ39=0,0,(CA39-BZ39)/BZ39*100)</f>
        <v>0</v>
      </c>
      <c r="CC39" s="4576"/>
      <c r="CD39" s="4576"/>
      <c r="CE39" s="292">
        <f>IF(CC39=0,0,(CD39-CC39)/CC39*100)</f>
        <v>0</v>
      </c>
      <c r="CF39" s="4576"/>
      <c r="CG39" s="4576"/>
      <c r="CH39" s="292">
        <f>IF(CF39=0,0,(CG39-CF39)/CF39*100)</f>
        <v>0</v>
      </c>
      <c r="CI39" s="4576"/>
      <c r="CJ39" s="4576"/>
      <c r="CK39" s="292">
        <f>IF(CI39=0,0,(CJ39-CI39)/CI39*100)</f>
        <v>0</v>
      </c>
      <c r="CL39" s="4576"/>
      <c r="CM39" s="4576"/>
      <c r="CN39" s="292">
        <f>IF(CL39=0,0,(CM39-CL39)/CL39*100)</f>
        <v>0</v>
      </c>
      <c r="CO39" s="4576"/>
      <c r="CP39" s="4576"/>
      <c r="CQ39" s="292">
        <f>IF(CO39=0,0,(CP39-CO39)/CO39*100)</f>
        <v>0</v>
      </c>
      <c r="CR39" s="4576"/>
      <c r="CS39" s="4576"/>
      <c r="CT39" s="292">
        <f>IF(CR39=0,0,(CS39-CR39)/CR39*100)</f>
        <v>0</v>
      </c>
      <c r="CU39" s="4576"/>
      <c r="CV39" s="4576"/>
      <c r="CW39" s="292">
        <f>IF(CU39=0,0,(CV39-CU39)/CU39*100)</f>
        <v>0</v>
      </c>
      <c r="CX39" s="4576"/>
      <c r="CY39" s="4576"/>
      <c r="CZ39" s="292">
        <f>IF(CX39=0,0,(CY39-CX39)/CX39*100)</f>
        <v>0</v>
      </c>
      <c r="DA39" s="4576"/>
      <c r="DB39" s="4576"/>
      <c r="DC39" s="292">
        <f>IF(DA39=0,0,(DB39-DA39)/DA39*100)</f>
        <v>0</v>
      </c>
      <c r="DD39" s="4576"/>
      <c r="DE39" s="4576"/>
      <c r="DF39" s="292">
        <f>IF(DD39=0,0,(DE39-DD39)/DD39*100)</f>
        <v>0</v>
      </c>
      <c r="DG39" s="4576"/>
      <c r="DH39" s="4576"/>
      <c r="DI39" s="292">
        <f>IF(DG39=0,0,(DH39-DG39)/DG39*100)</f>
        <v>0</v>
      </c>
      <c r="DJ39" s="4576"/>
      <c r="DK39" s="4576"/>
      <c r="DL39" s="292">
        <f>IF(DJ39=0,0,(DK39-DJ39)/DJ39*100)</f>
        <v>0</v>
      </c>
      <c r="DM39" s="4576"/>
      <c r="DN39" s="4576"/>
      <c r="DO39" s="292">
        <f>IF(DM39=0,0,(DN39-DM39)/DM39*100)</f>
        <v>0</v>
      </c>
      <c r="DP39" s="4576"/>
      <c r="DQ39" s="4576"/>
      <c r="DR39" s="292">
        <f>IF(DP39=0,0,(DQ39-DP39)/DP39*100)</f>
        <v>0</v>
      </c>
      <c r="DS39" s="4576"/>
      <c r="DT39" s="4576"/>
      <c r="DU39" s="292">
        <f>IF(DS39=0,0,(DT39-DS39)/DS39*100)</f>
        <v>0</v>
      </c>
      <c r="DV39" s="4576"/>
      <c r="DW39" s="4576"/>
      <c r="DX39" s="292">
        <f>IF(DV39=0,0,(DW39-DV39)/DV39*100)</f>
        <v>0</v>
      </c>
      <c r="DY39" s="4576"/>
      <c r="DZ39" s="4576"/>
      <c r="EA39" s="292">
        <f>IF(DY39=0,0,(DZ39-DY39)/DY39*100)</f>
        <v>0</v>
      </c>
      <c r="EB39" s="4576"/>
      <c r="EC39" s="4576"/>
      <c r="ED39" s="292">
        <f>IF(EB39=0,0,(EC39-EB39)/EB39*100)</f>
        <v>0</v>
      </c>
      <c r="EE39" s="4576"/>
      <c r="EF39" s="4576"/>
      <c r="EG39" s="292">
        <f>IF(EE39=0,0,(EF39-EE39)/EE39*100)</f>
        <v>0</v>
      </c>
      <c r="EH39" s="4576"/>
      <c r="EI39" s="4576"/>
      <c r="EJ39" s="292">
        <f>IF(EH39=0,0,(EI39-EH39)/EH39*100)</f>
        <v>0</v>
      </c>
      <c r="EK39" s="4576"/>
      <c r="EL39" s="4576"/>
      <c r="EM39" s="292">
        <f>IF(EK39=0,0,(EL39-EK39)/EK39*100)</f>
        <v>0</v>
      </c>
      <c r="EN39" s="4576"/>
      <c r="EO39" s="4576"/>
      <c r="EP39" s="292">
        <f>IF(EN39=0,0,(EO39-EN39)/EN39*100)</f>
        <v>0</v>
      </c>
      <c r="EQ39" s="4576"/>
      <c r="ER39" s="4576"/>
      <c r="ES39" s="292">
        <f>IF(EQ39=0,0,(ER39-EQ39)/EQ39*100)</f>
        <v>0</v>
      </c>
      <c r="ET39" s="4576"/>
      <c r="EU39" s="4576"/>
      <c r="EV39" s="292">
        <f>IF(ET39=0,0,(EU39-ET39)/ET39*100)</f>
        <v>0</v>
      </c>
      <c r="EW39" s="4576"/>
      <c r="EX39" s="4576"/>
      <c r="EY39" s="292">
        <f>IF(EW39=0,0,(EX39-EW39)/EW39*100)</f>
        <v>0</v>
      </c>
      <c r="EZ39" s="4576"/>
      <c r="FA39" s="4576"/>
      <c r="FB39" s="292">
        <f>IF(EZ39=0,0,(FA39-EZ39)/EZ39*100)</f>
        <v>0</v>
      </c>
      <c r="FC39" s="4576"/>
      <c r="FD39" s="4576"/>
      <c r="FE39" s="292">
        <f>IF(FC39=0,0,(FD39-FC39)/FC39*100)</f>
        <v>0</v>
      </c>
      <c r="FF39" s="4576"/>
      <c r="FG39" s="4576"/>
      <c r="FH39" s="292">
        <f>IF(FF39=0,0,(FG39-FF39)/FF39*100)</f>
        <v>0</v>
      </c>
      <c r="FI39" s="4576"/>
      <c r="FJ39" s="4576"/>
      <c r="FK39" s="292">
        <f>IF(FI39=0,0,(FJ39-FI39)/FI39*100)</f>
        <v>0</v>
      </c>
      <c r="FL39" s="4576"/>
      <c r="FM39" s="4576"/>
      <c r="FN39" s="292">
        <f>IF(FL39=0,0,(FM39-FL39)/FL39*100)</f>
        <v>0</v>
      </c>
      <c r="FO39" s="4576"/>
      <c r="FP39" s="4576"/>
      <c r="FQ39" s="292">
        <f>IF(FO39=0,0,(FP39-FO39)/FO39*100)</f>
        <v>0</v>
      </c>
      <c r="FR39" s="4576"/>
      <c r="FS39" s="4576"/>
      <c r="FT39" s="292">
        <f>IF(FR39=0,0,(FS39-FR39)/FR39*100)</f>
        <v>0</v>
      </c>
      <c r="FU39" s="4576"/>
      <c r="FV39" s="4576"/>
      <c r="FW39" s="292">
        <f>IF(FU39=0,0,(FV39-FU39)/FU39*100)</f>
        <v>0</v>
      </c>
      <c r="FX39" s="288"/>
      <c r="FY39" s="288"/>
      <c r="FZ39" s="1063" t="s">
        <v>1881</v>
      </c>
      <c r="GA39" s="1063"/>
      <c r="GB39" s="1063"/>
      <c r="GC39" s="1064"/>
      <c r="GD39" s="1064"/>
    </row>
    <row customHeight="1" ht="14.625" hidden="1">
      <c r="A40" s="496"/>
      <c r="B40" s="932" cm="1" t="str">
        <f t="array" ref="B40:B40">B39</f>
        <v>false</v>
      </c>
      <c r="C40" s="496"/>
      <c r="D40" s="496"/>
      <c r="E40" s="847">
        <v>15</v>
      </c>
      <c r="F40" s="50" cm="1" t="str">
        <f t="array" ref="F40:F40">OFFSET(E40,-1,1)</f>
        <v>0</v>
      </c>
      <c r="G40" s="103"/>
      <c r="H40" s="496" t="s">
        <v>570</v>
      </c>
      <c r="I40" s="496" t="s">
        <v>1882</v>
      </c>
      <c r="J40" s="496"/>
      <c r="K40" s="496"/>
      <c r="L40" s="496"/>
      <c r="M40" s="496"/>
      <c r="N40" s="496"/>
      <c r="O40" s="496"/>
      <c r="P40" s="496"/>
      <c r="Q40" s="904"/>
      <c r="R40" s="496"/>
      <c r="S40" s="496"/>
      <c r="T40" s="468" cm="1" t="str">
        <f t="array" ref="T40:T40">T39</f>
        <v>false</v>
      </c>
      <c r="U40" s="496"/>
      <c r="V40" s="496"/>
      <c r="W40" s="496"/>
      <c r="X40" s="1559"/>
      <c r="Y40" s="496"/>
      <c r="Z40" s="1528"/>
      <c r="AA40" s="496"/>
      <c r="AB40" s="1098" t="s">
        <v>1869</v>
      </c>
      <c r="AC40" s="871" t="s">
        <v>561</v>
      </c>
      <c r="AD40" s="1101">
        <f>IF(AD38=0,0,AD39/AD38)*100</f>
        <v>0</v>
      </c>
      <c r="AE40" s="1101">
        <f>IF(AE38=0,0,AE39/AE38)*100</f>
        <v>0</v>
      </c>
      <c r="AF40" s="1102"/>
      <c r="AG40" s="1101">
        <f>IF(AG38=0,0,AG39/AG38)*100</f>
        <v>0</v>
      </c>
      <c r="AH40" s="1101">
        <f>IF(AH38=0,0,AH39/AH38)*100</f>
        <v>0</v>
      </c>
      <c r="AI40" s="1102"/>
      <c r="AJ40" s="1101">
        <f>IF(AJ38=0,0,AJ39/AJ38)*100</f>
        <v>0</v>
      </c>
      <c r="AK40" s="1101">
        <f>IF(AK38=0,0,AK39/AK38)*100</f>
        <v>0</v>
      </c>
      <c r="AL40" s="1102"/>
      <c r="AM40" s="1101">
        <f>IF(AM38=0,0,AM39/AM38)*100</f>
        <v>0</v>
      </c>
      <c r="AN40" s="1101">
        <f>IF(AN38=0,0,AN39/AN38)*100</f>
        <v>0</v>
      </c>
      <c r="AO40" s="1102"/>
      <c r="AP40" s="1101">
        <f>IF(AP38=0,0,AP39/AP38)*100</f>
        <v>0</v>
      </c>
      <c r="AQ40" s="1101">
        <f>IF(AQ38=0,0,AQ39/AQ38)*100</f>
        <v>0</v>
      </c>
      <c r="AR40" s="1102"/>
      <c r="AS40" s="1101">
        <f>IF(AS38=0,0,AS39/AS38)*100</f>
        <v>0</v>
      </c>
      <c r="AT40" s="1101">
        <f>IF(AT38=0,0,AT39/AT38)*100</f>
        <v>0</v>
      </c>
      <c r="AU40" s="1102"/>
      <c r="AV40" s="1101">
        <f>IF(AV38=0,0,AV39/AV38)*100</f>
        <v>0</v>
      </c>
      <c r="AW40" s="1101">
        <f>IF(AW38=0,0,AW39/AW38)*100</f>
        <v>0</v>
      </c>
      <c r="AX40" s="1102"/>
      <c r="AY40" s="1101">
        <f>IF(AY38=0,0,AY39/AY38)*100</f>
        <v>0</v>
      </c>
      <c r="AZ40" s="1101">
        <f>IF(AZ38=0,0,AZ39/AZ38)*100</f>
        <v>0</v>
      </c>
      <c r="BA40" s="1102"/>
      <c r="BB40" s="1101">
        <f>IF(BB38=0,0,BB39/BB38)*100</f>
        <v>0</v>
      </c>
      <c r="BC40" s="1101">
        <f>IF(BC38=0,0,BC39/BC38)*100</f>
        <v>0</v>
      </c>
      <c r="BD40" s="1102"/>
      <c r="BE40" s="1101">
        <f>IF(BE38=0,0,BE39/BE38)*100</f>
        <v>0</v>
      </c>
      <c r="BF40" s="1101">
        <f>IF(BF38=0,0,BF39/BF38)*100</f>
        <v>0</v>
      </c>
      <c r="BG40" s="1102"/>
      <c r="BH40" s="1101">
        <f>IF(BH38=0,0,BH39/BH38)*100</f>
        <v>0</v>
      </c>
      <c r="BI40" s="1101">
        <f>IF(BI38=0,0,BI39/BI38)*100</f>
        <v>0</v>
      </c>
      <c r="BJ40" s="1102"/>
      <c r="BK40" s="1101">
        <f>IF(BK38=0,0,BK39/BK38)*100</f>
        <v>0</v>
      </c>
      <c r="BL40" s="1101">
        <f>IF(BL38=0,0,BL39/BL38)*100</f>
        <v>0</v>
      </c>
      <c r="BM40" s="1102"/>
      <c r="BN40" s="1101">
        <f>IF(BN38=0,0,BN39/BN38)*100</f>
        <v>0</v>
      </c>
      <c r="BO40" s="1101">
        <f>IF(BO38=0,0,BO39/BO38)*100</f>
        <v>0</v>
      </c>
      <c r="BP40" s="1102"/>
      <c r="BQ40" s="1101">
        <f>IF(BQ38=0,0,BQ39/BQ38)*100</f>
        <v>0</v>
      </c>
      <c r="BR40" s="1101">
        <f>IF(BR38=0,0,BR39/BR38)*100</f>
        <v>0</v>
      </c>
      <c r="BS40" s="1102"/>
      <c r="BT40" s="1101">
        <f>IF(BT38=0,0,BT39/BT38)*100</f>
        <v>0</v>
      </c>
      <c r="BU40" s="1101">
        <f>IF(BU38=0,0,BU39/BU38)*100</f>
        <v>0</v>
      </c>
      <c r="BV40" s="1102"/>
      <c r="BW40" s="1101">
        <f>IF(BW38=0,0,BW39/BW38)*100</f>
        <v>0</v>
      </c>
      <c r="BX40" s="1101">
        <f>IF(BX38=0,0,BX39/BX38)*100</f>
        <v>0</v>
      </c>
      <c r="BY40" s="1102"/>
      <c r="BZ40" s="1101">
        <f>IF(BZ38=0,0,BZ39/BZ38)*100</f>
        <v>0</v>
      </c>
      <c r="CA40" s="1101">
        <f>IF(CA38=0,0,CA39/CA38)*100</f>
        <v>0</v>
      </c>
      <c r="CB40" s="1102"/>
      <c r="CC40" s="1101">
        <f>IF(CC38=0,0,CC39/CC38)*100</f>
        <v>0</v>
      </c>
      <c r="CD40" s="1101">
        <f>IF(CD38=0,0,CD39/CD38)*100</f>
        <v>0</v>
      </c>
      <c r="CE40" s="1102"/>
      <c r="CF40" s="1101">
        <f>IF(CF38=0,0,CF39/CF38)*100</f>
        <v>0</v>
      </c>
      <c r="CG40" s="1101">
        <f>IF(CG38=0,0,CG39/CG38)*100</f>
        <v>0</v>
      </c>
      <c r="CH40" s="1102"/>
      <c r="CI40" s="1101">
        <f>IF(CI38=0,0,CI39/CI38)*100</f>
        <v>0</v>
      </c>
      <c r="CJ40" s="1101">
        <f>IF(CJ38=0,0,CJ39/CJ38)*100</f>
        <v>0</v>
      </c>
      <c r="CK40" s="1102"/>
      <c r="CL40" s="1101">
        <f>IF(CL38=0,0,CL39/CL38)*100</f>
        <v>0</v>
      </c>
      <c r="CM40" s="1101">
        <f>IF(CM38=0,0,CM39/CM38)*100</f>
        <v>0</v>
      </c>
      <c r="CN40" s="1102"/>
      <c r="CO40" s="1101">
        <f>IF(CO38=0,0,CO39/CO38)*100</f>
        <v>0</v>
      </c>
      <c r="CP40" s="1101">
        <f>IF(CP38=0,0,CP39/CP38)*100</f>
        <v>0</v>
      </c>
      <c r="CQ40" s="1102"/>
      <c r="CR40" s="1101">
        <f>IF(CR38=0,0,CR39/CR38)*100</f>
        <v>0</v>
      </c>
      <c r="CS40" s="1101">
        <f>IF(CS38=0,0,CS39/CS38)*100</f>
        <v>0</v>
      </c>
      <c r="CT40" s="1102"/>
      <c r="CU40" s="1101">
        <f>IF(CU38=0,0,CU39/CU38)*100</f>
        <v>0</v>
      </c>
      <c r="CV40" s="1101">
        <f>IF(CV38=0,0,CV39/CV38)*100</f>
        <v>0</v>
      </c>
      <c r="CW40" s="1102"/>
      <c r="CX40" s="1101">
        <f>IF(CX38=0,0,CX39/CX38)*100</f>
        <v>0</v>
      </c>
      <c r="CY40" s="1101">
        <f>IF(CY38=0,0,CY39/CY38)*100</f>
        <v>0</v>
      </c>
      <c r="CZ40" s="1102"/>
      <c r="DA40" s="1101">
        <f>IF(DA38=0,0,DA39/DA38)*100</f>
        <v>0</v>
      </c>
      <c r="DB40" s="1101">
        <f>IF(DB38=0,0,DB39/DB38)*100</f>
        <v>0</v>
      </c>
      <c r="DC40" s="1102"/>
      <c r="DD40" s="1101">
        <f>IF(DD38=0,0,DD39/DD38)*100</f>
        <v>0</v>
      </c>
      <c r="DE40" s="1101">
        <f>IF(DE38=0,0,DE39/DE38)*100</f>
        <v>0</v>
      </c>
      <c r="DF40" s="1102"/>
      <c r="DG40" s="1101">
        <f>IF(DG38=0,0,DG39/DG38)*100</f>
        <v>0</v>
      </c>
      <c r="DH40" s="1101">
        <f>IF(DH38=0,0,DH39/DH38)*100</f>
        <v>0</v>
      </c>
      <c r="DI40" s="1102"/>
      <c r="DJ40" s="1101">
        <f>IF(DJ38=0,0,DJ39/DJ38)*100</f>
        <v>0</v>
      </c>
      <c r="DK40" s="1101">
        <f>IF(DK38=0,0,DK39/DK38)*100</f>
        <v>0</v>
      </c>
      <c r="DL40" s="1102"/>
      <c r="DM40" s="1101">
        <f>IF(DM38=0,0,DM39/DM38)*100</f>
        <v>0</v>
      </c>
      <c r="DN40" s="1101">
        <f>IF(DN38=0,0,DN39/DN38)*100</f>
        <v>0</v>
      </c>
      <c r="DO40" s="1102"/>
      <c r="DP40" s="1101">
        <f>IF(DP38=0,0,DP39/DP38)*100</f>
        <v>0</v>
      </c>
      <c r="DQ40" s="1101">
        <f>IF(DQ38=0,0,DQ39/DQ38)*100</f>
        <v>0</v>
      </c>
      <c r="DR40" s="1102"/>
      <c r="DS40" s="1101">
        <f>IF(DS38=0,0,DS39/DS38)*100</f>
        <v>0</v>
      </c>
      <c r="DT40" s="1101">
        <f>IF(DT38=0,0,DT39/DT38)*100</f>
        <v>0</v>
      </c>
      <c r="DU40" s="1102"/>
      <c r="DV40" s="1101">
        <f>IF(DV38=0,0,DV39/DV38)*100</f>
        <v>0</v>
      </c>
      <c r="DW40" s="1101">
        <f>IF(DW38=0,0,DW39/DW38)*100</f>
        <v>0</v>
      </c>
      <c r="DX40" s="1102"/>
      <c r="DY40" s="1101">
        <f>IF(DY38=0,0,DY39/DY38)*100</f>
        <v>0</v>
      </c>
      <c r="DZ40" s="1101">
        <f>IF(DZ38=0,0,DZ39/DZ38)*100</f>
        <v>0</v>
      </c>
      <c r="EA40" s="1102"/>
      <c r="EB40" s="1101">
        <f>IF(EB38=0,0,EB39/EB38)*100</f>
        <v>0</v>
      </c>
      <c r="EC40" s="1101">
        <f>IF(EC38=0,0,EC39/EC38)*100</f>
        <v>0</v>
      </c>
      <c r="ED40" s="1102"/>
      <c r="EE40" s="1101">
        <f>IF(EE38=0,0,EE39/EE38)*100</f>
        <v>0</v>
      </c>
      <c r="EF40" s="1101">
        <f>IF(EF38=0,0,EF39/EF38)*100</f>
        <v>0</v>
      </c>
      <c r="EG40" s="1102"/>
      <c r="EH40" s="1101">
        <f>IF(EH38=0,0,EH39/EH38)*100</f>
        <v>0</v>
      </c>
      <c r="EI40" s="1101">
        <f>IF(EI38=0,0,EI39/EI38)*100</f>
        <v>0</v>
      </c>
      <c r="EJ40" s="1102"/>
      <c r="EK40" s="1101">
        <f>IF(EK38=0,0,EK39/EK38)*100</f>
        <v>0</v>
      </c>
      <c r="EL40" s="1101">
        <f>IF(EL38=0,0,EL39/EL38)*100</f>
        <v>0</v>
      </c>
      <c r="EM40" s="1102"/>
      <c r="EN40" s="1101">
        <f>IF(EN38=0,0,EN39/EN38)*100</f>
        <v>0</v>
      </c>
      <c r="EO40" s="1101">
        <f>IF(EO38=0,0,EO39/EO38)*100</f>
        <v>0</v>
      </c>
      <c r="EP40" s="1102"/>
      <c r="EQ40" s="1101">
        <f>IF(EQ38=0,0,EQ39/EQ38)*100</f>
        <v>0</v>
      </c>
      <c r="ER40" s="1101">
        <f>IF(ER38=0,0,ER39/ER38)*100</f>
        <v>0</v>
      </c>
      <c r="ES40" s="1102"/>
      <c r="ET40" s="1101">
        <f>IF(ET38=0,0,ET39/ET38)*100</f>
        <v>0</v>
      </c>
      <c r="EU40" s="1101">
        <f>IF(EU38=0,0,EU39/EU38)*100</f>
        <v>0</v>
      </c>
      <c r="EV40" s="1102"/>
      <c r="EW40" s="1101">
        <f>IF(EW38=0,0,EW39/EW38)*100</f>
        <v>0</v>
      </c>
      <c r="EX40" s="1101">
        <f>IF(EX38=0,0,EX39/EX38)*100</f>
        <v>0</v>
      </c>
      <c r="EY40" s="1102"/>
      <c r="EZ40" s="1101">
        <f>IF(EZ38=0,0,EZ39/EZ38)*100</f>
        <v>0</v>
      </c>
      <c r="FA40" s="1101">
        <f>IF(FA38=0,0,FA39/FA38)*100</f>
        <v>0</v>
      </c>
      <c r="FB40" s="1102"/>
      <c r="FC40" s="1101">
        <f>IF(FC38=0,0,FC39/FC38)*100</f>
        <v>0</v>
      </c>
      <c r="FD40" s="1101">
        <f>IF(FD38=0,0,FD39/FD38)*100</f>
        <v>0</v>
      </c>
      <c r="FE40" s="1102"/>
      <c r="FF40" s="1101">
        <f>IF(FF38=0,0,FF39/FF38)*100</f>
        <v>0</v>
      </c>
      <c r="FG40" s="1101">
        <f>IF(FG38=0,0,FG39/FG38)*100</f>
        <v>0</v>
      </c>
      <c r="FH40" s="1102"/>
      <c r="FI40" s="1101">
        <f>IF(FI38=0,0,FI39/FI38)*100</f>
        <v>0</v>
      </c>
      <c r="FJ40" s="1101">
        <f>IF(FJ38=0,0,FJ39/FJ38)*100</f>
        <v>0</v>
      </c>
      <c r="FK40" s="1102"/>
      <c r="FL40" s="1101">
        <f>IF(FL38=0,0,FL39/FL38)*100</f>
        <v>0</v>
      </c>
      <c r="FM40" s="1101">
        <f>IF(FM38=0,0,FM39/FM38)*100</f>
        <v>0</v>
      </c>
      <c r="FN40" s="1102"/>
      <c r="FO40" s="1101">
        <f>IF(FO38=0,0,FO39/FO38)*100</f>
        <v>0</v>
      </c>
      <c r="FP40" s="1101">
        <f>IF(FP38=0,0,FP39/FP38)*100</f>
        <v>0</v>
      </c>
      <c r="FQ40" s="1102"/>
      <c r="FR40" s="1101">
        <f>IF(FR38=0,0,FR39/FR38)*100</f>
        <v>0</v>
      </c>
      <c r="FS40" s="1101">
        <f>IF(FS38=0,0,FS39/FS38)*100</f>
        <v>0</v>
      </c>
      <c r="FT40" s="1102"/>
      <c r="FU40" s="1101">
        <f>IF(FU38=0,0,FU39/FU38)*100</f>
        <v>0</v>
      </c>
      <c r="FV40" s="1101">
        <f>IF(FV38=0,0,FV39/FV38)*100</f>
        <v>0</v>
      </c>
      <c r="FW40" s="1102"/>
      <c r="FX40" s="288"/>
      <c r="FY40" s="1328"/>
      <c r="FZ40" s="1063" t="s">
        <v>1883</v>
      </c>
      <c r="GA40" s="1330"/>
      <c r="GB40" s="1330"/>
      <c r="GC40" s="1329"/>
      <c r="GD40" s="1329"/>
    </row>
    <row customHeight="1" ht="14.625" hidden="1">
      <c r="A41" s="496"/>
      <c r="B41" s="932" cm="1" t="str">
        <f t="array" ref="B41:B41">B40</f>
        <v>false</v>
      </c>
      <c r="C41" s="496"/>
      <c r="D41" s="496"/>
      <c r="E41" s="847">
        <v>15</v>
      </c>
      <c r="F41" s="50" cm="1" t="str">
        <f t="array" ref="F41:F41">OFFSET(E41,-1,1)</f>
        <v>0</v>
      </c>
      <c r="G41" s="103" t="s">
        <v>1884</v>
      </c>
      <c r="H41" s="496" t="s">
        <v>573</v>
      </c>
      <c r="I41" s="496" t="s">
        <v>1882</v>
      </c>
      <c r="J41" s="496"/>
      <c r="K41" s="496"/>
      <c r="L41" s="496"/>
      <c r="M41" s="496"/>
      <c r="N41" s="496"/>
      <c r="O41" s="496"/>
      <c r="P41" s="496"/>
      <c r="Q41" s="904"/>
      <c r="R41" s="496"/>
      <c r="S41" s="496"/>
      <c r="T41" s="468" cm="1" t="str">
        <f t="array" ref="T41:T41">T40</f>
        <v>false</v>
      </c>
      <c r="U41" s="496"/>
      <c r="V41" s="496"/>
      <c r="W41" s="496"/>
      <c r="X41" s="1559"/>
      <c r="Y41" s="496"/>
      <c r="Z41" s="1528"/>
      <c r="AA41" s="496"/>
      <c r="AB41" s="907" t="s">
        <v>1885</v>
      </c>
      <c r="AC41" s="871" t="s">
        <v>657</v>
      </c>
      <c r="AD41" s="4585">
        <f>IF(AND(method_reg="Метод индексации",god&lt;&gt;first_year),_xlfn.SUMIFS(INDEX('Калькуляция (МИ корр)'!$AJ$25:$BC$606,,MATCH(AD$8,'Калькуляция (МИ корр)'!$AJ$8:$BC$8,0)),'Калькуляция (МИ корр)'!$F$25:$F$606,$F41,'Калькуляция (МИ корр)'!$G$25:$G$606,$G41),IF(method_reg="Метод экономически обоснованных расходов",_xlfn.SUMIFS('Калькуляция (МЭОР)'!$AJ$25:$AJ$367,'Калькуляция (МЭОР)'!$F$25:$F$367,$F41,'Калькуляция (МЭОР)'!$G$25:$G$367,$G41),IF(method_reg="Метод сравнения аналогов",_xlfn.SUMIFS('Калькуляция (МСА)'!$AE$25:$AE$103,'Калькуляция (МСА)'!$F$25:$F$103,$F41,'Калькуляция (МСА)'!$G$25:$G$103,$G41),_xlfn.SUMIFS(INDEX('Калькуляция (МИ)'!$AJ$25:$BC$603,,MATCH(AD$8,'Калькуляция (МИ)'!$AJ$8:$BC$8,0)),'Калькуляция (МИ)'!$F$25:$F$603,$F41,'Калькуляция (МИ)'!$G$25:$G$603,$G41))))</f>
        <v>0</v>
      </c>
      <c r="AE41" s="4585">
        <f>IF(AND(method_reg="Метод индексации",god&lt;&gt;first_year),_xlfn.SUMIFS(INDEX('Калькуляция (МИ корр)'!$AJ$25:$BC$606,,MATCH(AE$8,'Калькуляция (МИ корр)'!$AJ$8:$BC$8,0)),'Калькуляция (МИ корр)'!$F$25:$F$606,$F41,'Калькуляция (МИ корр)'!$G$25:$G$606,$G41),IF(method_reg="Метод экономически обоснованных расходов",_xlfn.SUMIFS('Калькуляция (МЭОР)'!$AK$25:$AK$367,'Калькуляция (МЭОР)'!$F$25:$F$367,$F41,'Калькуляция (МЭОР)'!$G$25:$G$367,$G41),IF(method_reg="Метод сравнения аналогов",_xlfn.SUMIFS('Калькуляция (МСА)'!$AF$25:$AF$103,'Калькуляция (МСА)'!$F$25:$F$103,$F41,'Калькуляция (МСА)'!$G$25:$G$103,$G41),_xlfn.SUMIFS(INDEX('Калькуляция (МИ)'!$AJ$25:$BC$603,,MATCH(AE$8,'Калькуляция (МИ)'!$AJ$8:$BC$8,0)),'Калькуляция (МИ)'!$F$25:$F$603,$F41,'Калькуляция (МИ)'!$G$25:$G$603,$G41))))</f>
        <v>0</v>
      </c>
      <c r="AF41" s="1104">
        <f>IF(AD41=0,0,(AE41-AD41)/AD41*100)</f>
        <v>0</v>
      </c>
      <c r="AG41" s="4585">
        <f>IF(AND(method_reg="Метод индексации",god&lt;&gt;first_year),_xlfn.SUMIFS(INDEX('Калькуляция (МИ корр)'!$AJ$25:$BC$606,,MATCH(AG$8,'Калькуляция (МИ корр)'!$AJ$8:$BC$8,0)),'Калькуляция (МИ корр)'!$F$25:$F$606,$F41,'Калькуляция (МИ корр)'!$G$25:$G$606,$G41),IF(method_reg="Метод экономически обоснованных расходов",_xlfn.SUMIFS('Калькуляция (МЭОР)'!$AJ$25:$AJ$367,'Калькуляция (МЭОР)'!$F$25:$F$367,$F41,'Калькуляция (МЭОР)'!$G$25:$G$367,$G41),IF(method_reg="Метод сравнения аналогов",_xlfn.SUMIFS('Калькуляция (МСА)'!$AE$25:$AE$103,'Калькуляция (МСА)'!$F$25:$F$103,$F41,'Калькуляция (МСА)'!$G$25:$G$103,$G41),_xlfn.SUMIFS(INDEX('Калькуляция (МИ)'!$AJ$25:$BC$603,,MATCH(AG$8,'Калькуляция (МИ)'!$AJ$8:$BC$8,0)),'Калькуляция (МИ)'!$F$25:$F$603,$F41,'Калькуляция (МИ)'!$G$25:$G$603,$G41))))</f>
        <v>0</v>
      </c>
      <c r="AH41" s="4585">
        <f>IF(AND(method_reg="Метод индексации",god&lt;&gt;first_year),_xlfn.SUMIFS(INDEX('Калькуляция (МИ корр)'!$AJ$25:$BC$606,,MATCH(AH$8,'Калькуляция (МИ корр)'!$AJ$8:$BC$8,0)),'Калькуляция (МИ корр)'!$F$25:$F$606,$F41,'Калькуляция (МИ корр)'!$G$25:$G$606,$G41),IF(method_reg="Метод экономически обоснованных расходов",_xlfn.SUMIFS('Калькуляция (МЭОР)'!$AK$25:$AK$367,'Калькуляция (МЭОР)'!$F$25:$F$367,$F41,'Калькуляция (МЭОР)'!$G$25:$G$367,$G41),IF(method_reg="Метод сравнения аналогов",_xlfn.SUMIFS('Калькуляция (МСА)'!$AF$25:$AF$103,'Калькуляция (МСА)'!$F$25:$F$103,$F41,'Калькуляция (МСА)'!$G$25:$G$103,$G41),_xlfn.SUMIFS(INDEX('Калькуляция (МИ)'!$AJ$25:$BC$603,,MATCH(AH$8,'Калькуляция (МИ)'!$AJ$8:$BC$8,0)),'Калькуляция (МИ)'!$F$25:$F$603,$F41,'Калькуляция (МИ)'!$G$25:$G$603,$G41))))</f>
        <v>0</v>
      </c>
      <c r="AI41" s="1104">
        <f>IF(AG41=0,0,(AH41-AG41)/AG41*100)</f>
        <v>0</v>
      </c>
      <c r="AJ41" s="4585">
        <f>IF(AND(method_reg="Метод индексации",god&lt;&gt;first_year),_xlfn.SUMIFS(INDEX('Калькуляция (МИ корр)'!$AJ$25:$BC$606,,MATCH(AJ$8,'Калькуляция (МИ корр)'!$AJ$8:$BC$8,0)),'Калькуляция (МИ корр)'!$F$25:$F$606,$F41,'Калькуляция (МИ корр)'!$G$25:$G$606,$G41),IF(method_reg="Метод экономически обоснованных расходов",_xlfn.SUMIFS('Калькуляция (МЭОР)'!$AJ$25:$AJ$367,'Калькуляция (МЭОР)'!$F$25:$F$367,$F41,'Калькуляция (МЭОР)'!$G$25:$G$367,$G41),IF(method_reg="Метод сравнения аналогов",_xlfn.SUMIFS('Калькуляция (МСА)'!$AE$25:$AE$103,'Калькуляция (МСА)'!$F$25:$F$103,$F41,'Калькуляция (МСА)'!$G$25:$G$103,$G41),_xlfn.SUMIFS(INDEX('Калькуляция (МИ)'!$AJ$25:$BC$603,,MATCH(AJ$8,'Калькуляция (МИ)'!$AJ$8:$BC$8,0)),'Калькуляция (МИ)'!$F$25:$F$603,$F41,'Калькуляция (МИ)'!$G$25:$G$603,$G41))))</f>
        <v>0</v>
      </c>
      <c r="AK41" s="4585">
        <f>IF(AND(method_reg="Метод индексации",god&lt;&gt;first_year),_xlfn.SUMIFS(INDEX('Калькуляция (МИ корр)'!$AJ$25:$BC$606,,MATCH(AK$8,'Калькуляция (МИ корр)'!$AJ$8:$BC$8,0)),'Калькуляция (МИ корр)'!$F$25:$F$606,$F41,'Калькуляция (МИ корр)'!$G$25:$G$606,$G41),IF(method_reg="Метод экономически обоснованных расходов",_xlfn.SUMIFS('Калькуляция (МЭОР)'!$AK$25:$AK$367,'Калькуляция (МЭОР)'!$F$25:$F$367,$F41,'Калькуляция (МЭОР)'!$G$25:$G$367,$G41),IF(method_reg="Метод сравнения аналогов",_xlfn.SUMIFS('Калькуляция (МСА)'!$AF$25:$AF$103,'Калькуляция (МСА)'!$F$25:$F$103,$F41,'Калькуляция (МСА)'!$G$25:$G$103,$G41),_xlfn.SUMIFS(INDEX('Калькуляция (МИ)'!$AJ$25:$BC$603,,MATCH(AK$8,'Калькуляция (МИ)'!$AJ$8:$BC$8,0)),'Калькуляция (МИ)'!$F$25:$F$603,$F41,'Калькуляция (МИ)'!$G$25:$G$603,$G41))))</f>
        <v>0</v>
      </c>
      <c r="AL41" s="1104">
        <f>IF(AJ41=0,0,(AK41-AJ41)/AJ41*100)</f>
        <v>0</v>
      </c>
      <c r="AM41" s="4585">
        <f>IF(AND(method_reg="Метод индексации",god&lt;&gt;first_year),_xlfn.SUMIFS(INDEX('Калькуляция (МИ корр)'!$AJ$25:$BC$606,,MATCH(AM$8,'Калькуляция (МИ корр)'!$AJ$8:$BC$8,0)),'Калькуляция (МИ корр)'!$F$25:$F$606,$F41,'Калькуляция (МИ корр)'!$G$25:$G$606,$G41),IF(method_reg="Метод экономически обоснованных расходов",_xlfn.SUMIFS('Калькуляция (МЭОР)'!$AJ$25:$AJ$367,'Калькуляция (МЭОР)'!$F$25:$F$367,$F41,'Калькуляция (МЭОР)'!$G$25:$G$367,$G41),IF(method_reg="Метод сравнения аналогов",_xlfn.SUMIFS('Калькуляция (МСА)'!$AE$25:$AE$103,'Калькуляция (МСА)'!$F$25:$F$103,$F41,'Калькуляция (МСА)'!$G$25:$G$103,$G41),_xlfn.SUMIFS(INDEX('Калькуляция (МИ)'!$AJ$25:$BC$603,,MATCH(AM$8,'Калькуляция (МИ)'!$AJ$8:$BC$8,0)),'Калькуляция (МИ)'!$F$25:$F$603,$F41,'Калькуляция (МИ)'!$G$25:$G$603,$G41))))</f>
        <v>0</v>
      </c>
      <c r="AN41" s="4585">
        <f>IF(AND(method_reg="Метод индексации",god&lt;&gt;first_year),_xlfn.SUMIFS(INDEX('Калькуляция (МИ корр)'!$AJ$25:$BC$606,,MATCH(AN$8,'Калькуляция (МИ корр)'!$AJ$8:$BC$8,0)),'Калькуляция (МИ корр)'!$F$25:$F$606,$F41,'Калькуляция (МИ корр)'!$G$25:$G$606,$G41),IF(method_reg="Метод экономически обоснованных расходов",_xlfn.SUMIFS('Калькуляция (МЭОР)'!$AK$25:$AK$367,'Калькуляция (МЭОР)'!$F$25:$F$367,$F41,'Калькуляция (МЭОР)'!$G$25:$G$367,$G41),IF(method_reg="Метод сравнения аналогов",_xlfn.SUMIFS('Калькуляция (МСА)'!$AF$25:$AF$103,'Калькуляция (МСА)'!$F$25:$F$103,$F41,'Калькуляция (МСА)'!$G$25:$G$103,$G41),_xlfn.SUMIFS(INDEX('Калькуляция (МИ)'!$AJ$25:$BC$603,,MATCH(AN$8,'Калькуляция (МИ)'!$AJ$8:$BC$8,0)),'Калькуляция (МИ)'!$F$25:$F$603,$F41,'Калькуляция (МИ)'!$G$25:$G$603,$G41))))</f>
        <v>0</v>
      </c>
      <c r="AO41" s="1104">
        <f>IF(AM41=0,0,(AN41-AM41)/AM41*100)</f>
        <v>0</v>
      </c>
      <c r="AP41" s="4585">
        <f>IF(AND(method_reg="Метод индексации",god&lt;&gt;first_year),_xlfn.SUMIFS(INDEX('Калькуляция (МИ корр)'!$AJ$25:$BC$606,,MATCH(AP$8,'Калькуляция (МИ корр)'!$AJ$8:$BC$8,0)),'Калькуляция (МИ корр)'!$F$25:$F$606,$F41,'Калькуляция (МИ корр)'!$G$25:$G$606,$G41),IF(method_reg="Метод экономически обоснованных расходов",_xlfn.SUMIFS('Калькуляция (МЭОР)'!$AJ$25:$AJ$367,'Калькуляция (МЭОР)'!$F$25:$F$367,$F41,'Калькуляция (МЭОР)'!$G$25:$G$367,$G41),IF(method_reg="Метод сравнения аналогов",_xlfn.SUMIFS('Калькуляция (МСА)'!$AE$25:$AE$103,'Калькуляция (МСА)'!$F$25:$F$103,$F41,'Калькуляция (МСА)'!$G$25:$G$103,$G41),_xlfn.SUMIFS(INDEX('Калькуляция (МИ)'!$AJ$25:$BC$603,,MATCH(AP$8,'Калькуляция (МИ)'!$AJ$8:$BC$8,0)),'Калькуляция (МИ)'!$F$25:$F$603,$F41,'Калькуляция (МИ)'!$G$25:$G$603,$G41))))</f>
        <v>0</v>
      </c>
      <c r="AQ41" s="4585">
        <f>IF(AND(method_reg="Метод индексации",god&lt;&gt;first_year),_xlfn.SUMIFS(INDEX('Калькуляция (МИ корр)'!$AJ$25:$BC$606,,MATCH(AQ$8,'Калькуляция (МИ корр)'!$AJ$8:$BC$8,0)),'Калькуляция (МИ корр)'!$F$25:$F$606,$F41,'Калькуляция (МИ корр)'!$G$25:$G$606,$G41),IF(method_reg="Метод экономически обоснованных расходов",_xlfn.SUMIFS('Калькуляция (МЭОР)'!$AK$25:$AK$367,'Калькуляция (МЭОР)'!$F$25:$F$367,$F41,'Калькуляция (МЭОР)'!$G$25:$G$367,$G41),IF(method_reg="Метод сравнения аналогов",_xlfn.SUMIFS('Калькуляция (МСА)'!$AF$25:$AF$103,'Калькуляция (МСА)'!$F$25:$F$103,$F41,'Калькуляция (МСА)'!$G$25:$G$103,$G41),_xlfn.SUMIFS(INDEX('Калькуляция (МИ)'!$AJ$25:$BC$603,,MATCH(AQ$8,'Калькуляция (МИ)'!$AJ$8:$BC$8,0)),'Калькуляция (МИ)'!$F$25:$F$603,$F41,'Калькуляция (МИ)'!$G$25:$G$603,$G41))))</f>
        <v>0</v>
      </c>
      <c r="AR41" s="1104">
        <f>IF(AP41=0,0,(AQ41-AP41)/AP41*100)</f>
        <v>0</v>
      </c>
      <c r="AS41" s="4585">
        <f>IF(AND(method_reg="Метод индексации",god&lt;&gt;first_year),_xlfn.SUMIFS(INDEX('Калькуляция (МИ корр)'!$AJ$25:$BC$606,,MATCH(AS$8,'Калькуляция (МИ корр)'!$AJ$8:$BC$8,0)),'Калькуляция (МИ корр)'!$F$25:$F$606,$F41,'Калькуляция (МИ корр)'!$G$25:$G$606,$G41),IF(method_reg="Метод экономически обоснованных расходов",_xlfn.SUMIFS('Калькуляция (МЭОР)'!$AJ$25:$AJ$367,'Калькуляция (МЭОР)'!$F$25:$F$367,$F41,'Калькуляция (МЭОР)'!$G$25:$G$367,$G41),IF(method_reg="Метод сравнения аналогов",_xlfn.SUMIFS('Калькуляция (МСА)'!$AE$25:$AE$103,'Калькуляция (МСА)'!$F$25:$F$103,$F41,'Калькуляция (МСА)'!$G$25:$G$103,$G41),_xlfn.SUMIFS(INDEX('Калькуляция (МИ)'!$AJ$25:$BC$603,,MATCH(AS$8,'Калькуляция (МИ)'!$AJ$8:$BC$8,0)),'Калькуляция (МИ)'!$F$25:$F$603,$F41,'Калькуляция (МИ)'!$G$25:$G$603,$G41))))</f>
        <v>0</v>
      </c>
      <c r="AT41" s="4585">
        <f>IF(AND(method_reg="Метод индексации",god&lt;&gt;first_year),_xlfn.SUMIFS(INDEX('Калькуляция (МИ корр)'!$AJ$25:$BC$606,,MATCH(AT$8,'Калькуляция (МИ корр)'!$AJ$8:$BC$8,0)),'Калькуляция (МИ корр)'!$F$25:$F$606,$F41,'Калькуляция (МИ корр)'!$G$25:$G$606,$G41),IF(method_reg="Метод экономически обоснованных расходов",_xlfn.SUMIFS('Калькуляция (МЭОР)'!$AK$25:$AK$367,'Калькуляция (МЭОР)'!$F$25:$F$367,$F41,'Калькуляция (МЭОР)'!$G$25:$G$367,$G41),IF(method_reg="Метод сравнения аналогов",_xlfn.SUMIFS('Калькуляция (МСА)'!$AF$25:$AF$103,'Калькуляция (МСА)'!$F$25:$F$103,$F41,'Калькуляция (МСА)'!$G$25:$G$103,$G41),_xlfn.SUMIFS(INDEX('Калькуляция (МИ)'!$AJ$25:$BC$603,,MATCH(AT$8,'Калькуляция (МИ)'!$AJ$8:$BC$8,0)),'Калькуляция (МИ)'!$F$25:$F$603,$F41,'Калькуляция (МИ)'!$G$25:$G$603,$G41))))</f>
        <v>0</v>
      </c>
      <c r="AU41" s="1104">
        <f>IF(AS41=0,0,(AT41-AS41)/AS41*100)</f>
        <v>0</v>
      </c>
      <c r="AV41" s="4585">
        <f>IF(AND(method_reg="Метод индексации",god&lt;&gt;first_year),_xlfn.SUMIFS(INDEX('Калькуляция (МИ корр)'!$AJ$25:$BC$606,,MATCH(AV$8,'Калькуляция (МИ корр)'!$AJ$8:$BC$8,0)),'Калькуляция (МИ корр)'!$F$25:$F$606,$F41,'Калькуляция (МИ корр)'!$G$25:$G$606,$G41),IF(method_reg="Метод экономически обоснованных расходов",_xlfn.SUMIFS('Калькуляция (МЭОР)'!$AJ$25:$AJ$367,'Калькуляция (МЭОР)'!$F$25:$F$367,$F41,'Калькуляция (МЭОР)'!$G$25:$G$367,$G41),IF(method_reg="Метод сравнения аналогов",_xlfn.SUMIFS('Калькуляция (МСА)'!$AE$25:$AE$103,'Калькуляция (МСА)'!$F$25:$F$103,$F41,'Калькуляция (МСА)'!$G$25:$G$103,$G41),_xlfn.SUMIFS(INDEX('Калькуляция (МИ)'!$AJ$25:$BC$603,,MATCH(AV$8,'Калькуляция (МИ)'!$AJ$8:$BC$8,0)),'Калькуляция (МИ)'!$F$25:$F$603,$F41,'Калькуляция (МИ)'!$G$25:$G$603,$G41))))</f>
        <v>0</v>
      </c>
      <c r="AW41" s="4585">
        <f>IF(AND(method_reg="Метод индексации",god&lt;&gt;first_year),_xlfn.SUMIFS(INDEX('Калькуляция (МИ корр)'!$AJ$25:$BC$606,,MATCH(AW$8,'Калькуляция (МИ корр)'!$AJ$8:$BC$8,0)),'Калькуляция (МИ корр)'!$F$25:$F$606,$F41,'Калькуляция (МИ корр)'!$G$25:$G$606,$G41),IF(method_reg="Метод экономически обоснованных расходов",_xlfn.SUMIFS('Калькуляция (МЭОР)'!$AK$25:$AK$367,'Калькуляция (МЭОР)'!$F$25:$F$367,$F41,'Калькуляция (МЭОР)'!$G$25:$G$367,$G41),IF(method_reg="Метод сравнения аналогов",_xlfn.SUMIFS('Калькуляция (МСА)'!$AF$25:$AF$103,'Калькуляция (МСА)'!$F$25:$F$103,$F41,'Калькуляция (МСА)'!$G$25:$G$103,$G41),_xlfn.SUMIFS(INDEX('Калькуляция (МИ)'!$AJ$25:$BC$603,,MATCH(AW$8,'Калькуляция (МИ)'!$AJ$8:$BC$8,0)),'Калькуляция (МИ)'!$F$25:$F$603,$F41,'Калькуляция (МИ)'!$G$25:$G$603,$G41))))</f>
        <v>0</v>
      </c>
      <c r="AX41" s="1104">
        <f>IF(AV41=0,0,(AW41-AV41)/AV41*100)</f>
        <v>0</v>
      </c>
      <c r="AY41" s="4585">
        <f>IF(AND(method_reg="Метод индексации",god&lt;&gt;first_year),_xlfn.SUMIFS(INDEX('Калькуляция (МИ корр)'!$AJ$25:$BC$606,,MATCH(AY$8,'Калькуляция (МИ корр)'!$AJ$8:$BC$8,0)),'Калькуляция (МИ корр)'!$F$25:$F$606,$F41,'Калькуляция (МИ корр)'!$G$25:$G$606,$G41),IF(method_reg="Метод экономически обоснованных расходов",_xlfn.SUMIFS('Калькуляция (МЭОР)'!$AJ$25:$AJ$367,'Калькуляция (МЭОР)'!$F$25:$F$367,$F41,'Калькуляция (МЭОР)'!$G$25:$G$367,$G41),IF(method_reg="Метод сравнения аналогов",_xlfn.SUMIFS('Калькуляция (МСА)'!$AE$25:$AE$103,'Калькуляция (МСА)'!$F$25:$F$103,$F41,'Калькуляция (МСА)'!$G$25:$G$103,$G41),_xlfn.SUMIFS(INDEX('Калькуляция (МИ)'!$AJ$25:$BC$603,,MATCH(AY$8,'Калькуляция (МИ)'!$AJ$8:$BC$8,0)),'Калькуляция (МИ)'!$F$25:$F$603,$F41,'Калькуляция (МИ)'!$G$25:$G$603,$G41))))</f>
        <v>0</v>
      </c>
      <c r="AZ41" s="4585">
        <f>IF(AND(method_reg="Метод индексации",god&lt;&gt;first_year),_xlfn.SUMIFS(INDEX('Калькуляция (МИ корр)'!$AJ$25:$BC$606,,MATCH(AZ$8,'Калькуляция (МИ корр)'!$AJ$8:$BC$8,0)),'Калькуляция (МИ корр)'!$F$25:$F$606,$F41,'Калькуляция (МИ корр)'!$G$25:$G$606,$G41),IF(method_reg="Метод экономически обоснованных расходов",_xlfn.SUMIFS('Калькуляция (МЭОР)'!$AK$25:$AK$367,'Калькуляция (МЭОР)'!$F$25:$F$367,$F41,'Калькуляция (МЭОР)'!$G$25:$G$367,$G41),IF(method_reg="Метод сравнения аналогов",_xlfn.SUMIFS('Калькуляция (МСА)'!$AF$25:$AF$103,'Калькуляция (МСА)'!$F$25:$F$103,$F41,'Калькуляция (МСА)'!$G$25:$G$103,$G41),_xlfn.SUMIFS(INDEX('Калькуляция (МИ)'!$AJ$25:$BC$603,,MATCH(AZ$8,'Калькуляция (МИ)'!$AJ$8:$BC$8,0)),'Калькуляция (МИ)'!$F$25:$F$603,$F41,'Калькуляция (МИ)'!$G$25:$G$603,$G41))))</f>
        <v>0</v>
      </c>
      <c r="BA41" s="1104">
        <f>IF(AY41=0,0,(AZ41-AY41)/AY41*100)</f>
        <v>0</v>
      </c>
      <c r="BB41" s="4585">
        <f>IF(AND(method_reg="Метод индексации",god&lt;&gt;first_year),_xlfn.SUMIFS(INDEX('Калькуляция (МИ корр)'!$AJ$25:$BC$606,,MATCH(BB$8,'Калькуляция (МИ корр)'!$AJ$8:$BC$8,0)),'Калькуляция (МИ корр)'!$F$25:$F$606,$F41,'Калькуляция (МИ корр)'!$G$25:$G$606,$G41),IF(method_reg="Метод экономически обоснованных расходов",_xlfn.SUMIFS('Калькуляция (МЭОР)'!$AJ$25:$AJ$367,'Калькуляция (МЭОР)'!$F$25:$F$367,$F41,'Калькуляция (МЭОР)'!$G$25:$G$367,$G41),IF(method_reg="Метод сравнения аналогов",_xlfn.SUMIFS('Калькуляция (МСА)'!$AE$25:$AE$103,'Калькуляция (МСА)'!$F$25:$F$103,$F41,'Калькуляция (МСА)'!$G$25:$G$103,$G41),_xlfn.SUMIFS(INDEX('Калькуляция (МИ)'!$AJ$25:$BC$603,,MATCH(BB$8,'Калькуляция (МИ)'!$AJ$8:$BC$8,0)),'Калькуляция (МИ)'!$F$25:$F$603,$F41,'Калькуляция (МИ)'!$G$25:$G$603,$G41))))</f>
        <v>0</v>
      </c>
      <c r="BC41" s="4585">
        <f>IF(AND(method_reg="Метод индексации",god&lt;&gt;first_year),_xlfn.SUMIFS(INDEX('Калькуляция (МИ корр)'!$AJ$25:$BC$606,,MATCH(BC$8,'Калькуляция (МИ корр)'!$AJ$8:$BC$8,0)),'Калькуляция (МИ корр)'!$F$25:$F$606,$F41,'Калькуляция (МИ корр)'!$G$25:$G$606,$G41),IF(method_reg="Метод экономически обоснованных расходов",_xlfn.SUMIFS('Калькуляция (МЭОР)'!$AK$25:$AK$367,'Калькуляция (МЭОР)'!$F$25:$F$367,$F41,'Калькуляция (МЭОР)'!$G$25:$G$367,$G41),IF(method_reg="Метод сравнения аналогов",_xlfn.SUMIFS('Калькуляция (МСА)'!$AF$25:$AF$103,'Калькуляция (МСА)'!$F$25:$F$103,$F41,'Калькуляция (МСА)'!$G$25:$G$103,$G41),_xlfn.SUMIFS(INDEX('Калькуляция (МИ)'!$AJ$25:$BC$603,,MATCH(BC$8,'Калькуляция (МИ)'!$AJ$8:$BC$8,0)),'Калькуляция (МИ)'!$F$25:$F$603,$F41,'Калькуляция (МИ)'!$G$25:$G$603,$G41))))</f>
        <v>0</v>
      </c>
      <c r="BD41" s="1104">
        <f>IF(BB41=0,0,(BC41-BB41)/BB41*100)</f>
        <v>0</v>
      </c>
      <c r="BE41" s="4585">
        <f>IF(AND(method_reg="Метод индексации",god&lt;&gt;first_year),_xlfn.SUMIFS(INDEX('Калькуляция (МИ корр)'!$AJ$25:$BC$606,,MATCH(BE$8,'Калькуляция (МИ корр)'!$AJ$8:$BC$8,0)),'Калькуляция (МИ корр)'!$F$25:$F$606,$F41,'Калькуляция (МИ корр)'!$G$25:$G$606,$G41),IF(method_reg="Метод экономически обоснованных расходов",_xlfn.SUMIFS('Калькуляция (МЭОР)'!$AJ$25:$AJ$367,'Калькуляция (МЭОР)'!$F$25:$F$367,$F41,'Калькуляция (МЭОР)'!$G$25:$G$367,$G41),IF(method_reg="Метод сравнения аналогов",_xlfn.SUMIFS('Калькуляция (МСА)'!$AE$25:$AE$103,'Калькуляция (МСА)'!$F$25:$F$103,$F41,'Калькуляция (МСА)'!$G$25:$G$103,$G41),_xlfn.SUMIFS(INDEX('Калькуляция (МИ)'!$AJ$25:$BC$603,,MATCH(BE$8,'Калькуляция (МИ)'!$AJ$8:$BC$8,0)),'Калькуляция (МИ)'!$F$25:$F$603,$F41,'Калькуляция (МИ)'!$G$25:$G$603,$G41))))</f>
        <v>0</v>
      </c>
      <c r="BF41" s="4585">
        <f>IF(AND(method_reg="Метод индексации",god&lt;&gt;first_year),_xlfn.SUMIFS(INDEX('Калькуляция (МИ корр)'!$AJ$25:$BC$606,,MATCH(BF$8,'Калькуляция (МИ корр)'!$AJ$8:$BC$8,0)),'Калькуляция (МИ корр)'!$F$25:$F$606,$F41,'Калькуляция (МИ корр)'!$G$25:$G$606,$G41),IF(method_reg="Метод экономически обоснованных расходов",_xlfn.SUMIFS('Калькуляция (МЭОР)'!$AK$25:$AK$367,'Калькуляция (МЭОР)'!$F$25:$F$367,$F41,'Калькуляция (МЭОР)'!$G$25:$G$367,$G41),IF(method_reg="Метод сравнения аналогов",_xlfn.SUMIFS('Калькуляция (МСА)'!$AF$25:$AF$103,'Калькуляция (МСА)'!$F$25:$F$103,$F41,'Калькуляция (МСА)'!$G$25:$G$103,$G41),_xlfn.SUMIFS(INDEX('Калькуляция (МИ)'!$AJ$25:$BC$603,,MATCH(BF$8,'Калькуляция (МИ)'!$AJ$8:$BC$8,0)),'Калькуляция (МИ)'!$F$25:$F$603,$F41,'Калькуляция (МИ)'!$G$25:$G$603,$G41))))</f>
        <v>0</v>
      </c>
      <c r="BG41" s="1104">
        <f>IF(BE41=0,0,(BF41-BE41)/BE41*100)</f>
        <v>0</v>
      </c>
      <c r="BH41" s="4585"/>
      <c r="BI41" s="4585"/>
      <c r="BJ41" s="1104">
        <f>IF(BH41=0,0,(BI41-BH41)/BH41*100)</f>
        <v>0</v>
      </c>
      <c r="BK41" s="4585"/>
      <c r="BL41" s="4585"/>
      <c r="BM41" s="1104">
        <f>IF(BK41=0,0,(BL41-BK41)/BK41*100)</f>
        <v>0</v>
      </c>
      <c r="BN41" s="4585"/>
      <c r="BO41" s="4585"/>
      <c r="BP41" s="1104">
        <f>IF(BN41=0,0,(BO41-BN41)/BN41*100)</f>
        <v>0</v>
      </c>
      <c r="BQ41" s="4585"/>
      <c r="BR41" s="4585"/>
      <c r="BS41" s="1104">
        <f>IF(BQ41=0,0,(BR41-BQ41)/BQ41*100)</f>
        <v>0</v>
      </c>
      <c r="BT41" s="4585"/>
      <c r="BU41" s="4585"/>
      <c r="BV41" s="1104">
        <f>IF(BT41=0,0,(BU41-BT41)/BT41*100)</f>
        <v>0</v>
      </c>
      <c r="BW41" s="4585"/>
      <c r="BX41" s="4585"/>
      <c r="BY41" s="1104">
        <f>IF(BW41=0,0,(BX41-BW41)/BW41*100)</f>
        <v>0</v>
      </c>
      <c r="BZ41" s="4585"/>
      <c r="CA41" s="4585"/>
      <c r="CB41" s="1104">
        <f>IF(BZ41=0,0,(CA41-BZ41)/BZ41*100)</f>
        <v>0</v>
      </c>
      <c r="CC41" s="4585"/>
      <c r="CD41" s="4585"/>
      <c r="CE41" s="1104">
        <f>IF(CC41=0,0,(CD41-CC41)/CC41*100)</f>
        <v>0</v>
      </c>
      <c r="CF41" s="4585"/>
      <c r="CG41" s="4585"/>
      <c r="CH41" s="1104">
        <f>IF(CF41=0,0,(CG41-CF41)/CF41*100)</f>
        <v>0</v>
      </c>
      <c r="CI41" s="4585"/>
      <c r="CJ41" s="4585"/>
      <c r="CK41" s="1104">
        <f>IF(CI41=0,0,(CJ41-CI41)/CI41*100)</f>
        <v>0</v>
      </c>
      <c r="CL41" s="4585"/>
      <c r="CM41" s="4585"/>
      <c r="CN41" s="1104">
        <f>IF(CL41=0,0,(CM41-CL41)/CL41*100)</f>
        <v>0</v>
      </c>
      <c r="CO41" s="4585"/>
      <c r="CP41" s="4585"/>
      <c r="CQ41" s="1104">
        <f>IF(CO41=0,0,(CP41-CO41)/CO41*100)</f>
        <v>0</v>
      </c>
      <c r="CR41" s="4585"/>
      <c r="CS41" s="4585"/>
      <c r="CT41" s="1104">
        <f>IF(CR41=0,0,(CS41-CR41)/CR41*100)</f>
        <v>0</v>
      </c>
      <c r="CU41" s="4585"/>
      <c r="CV41" s="4585"/>
      <c r="CW41" s="1104">
        <f>IF(CU41=0,0,(CV41-CU41)/CU41*100)</f>
        <v>0</v>
      </c>
      <c r="CX41" s="4585"/>
      <c r="CY41" s="4585"/>
      <c r="CZ41" s="1104">
        <f>IF(CX41=0,0,(CY41-CX41)/CX41*100)</f>
        <v>0</v>
      </c>
      <c r="DA41" s="4585"/>
      <c r="DB41" s="4585"/>
      <c r="DC41" s="1104">
        <f>IF(DA41=0,0,(DB41-DA41)/DA41*100)</f>
        <v>0</v>
      </c>
      <c r="DD41" s="4585"/>
      <c r="DE41" s="4585"/>
      <c r="DF41" s="1104">
        <f>IF(DD41=0,0,(DE41-DD41)/DD41*100)</f>
        <v>0</v>
      </c>
      <c r="DG41" s="4585"/>
      <c r="DH41" s="4585"/>
      <c r="DI41" s="1104">
        <f>IF(DG41=0,0,(DH41-DG41)/DG41*100)</f>
        <v>0</v>
      </c>
      <c r="DJ41" s="4585"/>
      <c r="DK41" s="4585"/>
      <c r="DL41" s="1104">
        <f>IF(DJ41=0,0,(DK41-DJ41)/DJ41*100)</f>
        <v>0</v>
      </c>
      <c r="DM41" s="4585"/>
      <c r="DN41" s="4585"/>
      <c r="DO41" s="1104">
        <f>IF(DM41=0,0,(DN41-DM41)/DM41*100)</f>
        <v>0</v>
      </c>
      <c r="DP41" s="4585"/>
      <c r="DQ41" s="4585"/>
      <c r="DR41" s="1104">
        <f>IF(DP41=0,0,(DQ41-DP41)/DP41*100)</f>
        <v>0</v>
      </c>
      <c r="DS41" s="4585"/>
      <c r="DT41" s="4585"/>
      <c r="DU41" s="1104">
        <f>IF(DS41=0,0,(DT41-DS41)/DS41*100)</f>
        <v>0</v>
      </c>
      <c r="DV41" s="4585"/>
      <c r="DW41" s="4585"/>
      <c r="DX41" s="1104">
        <f>IF(DV41=0,0,(DW41-DV41)/DV41*100)</f>
        <v>0</v>
      </c>
      <c r="DY41" s="4585"/>
      <c r="DZ41" s="4585"/>
      <c r="EA41" s="1104">
        <f>IF(DY41=0,0,(DZ41-DY41)/DY41*100)</f>
        <v>0</v>
      </c>
      <c r="EB41" s="4585"/>
      <c r="EC41" s="4585"/>
      <c r="ED41" s="1104">
        <f>IF(EB41=0,0,(EC41-EB41)/EB41*100)</f>
        <v>0</v>
      </c>
      <c r="EE41" s="4585"/>
      <c r="EF41" s="4585"/>
      <c r="EG41" s="1104">
        <f>IF(EE41=0,0,(EF41-EE41)/EE41*100)</f>
        <v>0</v>
      </c>
      <c r="EH41" s="4585"/>
      <c r="EI41" s="4585"/>
      <c r="EJ41" s="1104">
        <f>IF(EH41=0,0,(EI41-EH41)/EH41*100)</f>
        <v>0</v>
      </c>
      <c r="EK41" s="4585"/>
      <c r="EL41" s="4585"/>
      <c r="EM41" s="1104">
        <f>IF(EK41=0,0,(EL41-EK41)/EK41*100)</f>
        <v>0</v>
      </c>
      <c r="EN41" s="4585"/>
      <c r="EO41" s="4585"/>
      <c r="EP41" s="1104">
        <f>IF(EN41=0,0,(EO41-EN41)/EN41*100)</f>
        <v>0</v>
      </c>
      <c r="EQ41" s="4585"/>
      <c r="ER41" s="4585"/>
      <c r="ES41" s="1104">
        <f>IF(EQ41=0,0,(ER41-EQ41)/EQ41*100)</f>
        <v>0</v>
      </c>
      <c r="ET41" s="4585"/>
      <c r="EU41" s="4585"/>
      <c r="EV41" s="1104">
        <f>IF(ET41=0,0,(EU41-ET41)/ET41*100)</f>
        <v>0</v>
      </c>
      <c r="EW41" s="4585"/>
      <c r="EX41" s="4585"/>
      <c r="EY41" s="1104">
        <f>IF(EW41=0,0,(EX41-EW41)/EW41*100)</f>
        <v>0</v>
      </c>
      <c r="EZ41" s="4585"/>
      <c r="FA41" s="4585"/>
      <c r="FB41" s="1104">
        <f>IF(EZ41=0,0,(FA41-EZ41)/EZ41*100)</f>
        <v>0</v>
      </c>
      <c r="FC41" s="4585"/>
      <c r="FD41" s="4585"/>
      <c r="FE41" s="1104">
        <f>IF(FC41=0,0,(FD41-FC41)/FC41*100)</f>
        <v>0</v>
      </c>
      <c r="FF41" s="4585"/>
      <c r="FG41" s="4585"/>
      <c r="FH41" s="1104">
        <f>IF(FF41=0,0,(FG41-FF41)/FF41*100)</f>
        <v>0</v>
      </c>
      <c r="FI41" s="4585"/>
      <c r="FJ41" s="4585"/>
      <c r="FK41" s="1104">
        <f>IF(FI41=0,0,(FJ41-FI41)/FI41*100)</f>
        <v>0</v>
      </c>
      <c r="FL41" s="4585"/>
      <c r="FM41" s="4585"/>
      <c r="FN41" s="1104">
        <f>IF(FL41=0,0,(FM41-FL41)/FL41*100)</f>
        <v>0</v>
      </c>
      <c r="FO41" s="4585"/>
      <c r="FP41" s="4585"/>
      <c r="FQ41" s="1104">
        <f>IF(FO41=0,0,(FP41-FO41)/FO41*100)</f>
        <v>0</v>
      </c>
      <c r="FR41" s="4585"/>
      <c r="FS41" s="4585"/>
      <c r="FT41" s="1104">
        <f>IF(FR41=0,0,(FS41-FR41)/FR41*100)</f>
        <v>0</v>
      </c>
      <c r="FU41" s="4585"/>
      <c r="FV41" s="4585"/>
      <c r="FW41" s="1104">
        <f>IF(FU41=0,0,(FV41-FU41)/FU41*100)</f>
        <v>0</v>
      </c>
      <c r="FX41" s="288"/>
      <c r="FY41" s="1328"/>
      <c r="FZ41" s="1063" t="s">
        <v>1886</v>
      </c>
      <c r="GA41" s="1330"/>
      <c r="GB41" s="1330"/>
      <c r="GC41" s="1329"/>
      <c r="GD41" s="1329"/>
    </row>
    <row customHeight="1" ht="18.28125" hidden="1">
      <c r="A42" s="496"/>
      <c r="B42" s="932" cm="1" t="str">
        <f t="array" ref="B42:B42">B41</f>
        <v>false</v>
      </c>
      <c r="C42" s="496"/>
      <c r="D42" s="496"/>
      <c r="E42" s="847">
        <v>18.75</v>
      </c>
      <c r="F42" s="50" cm="1" t="str">
        <f t="array" ref="F42:F42">OFFSET(E42,-1,1)</f>
        <v>0</v>
      </c>
      <c r="G42" s="496"/>
      <c r="H42" s="496" t="s">
        <v>566</v>
      </c>
      <c r="I42" s="496" cm="1" t="str">
        <f t="array" ref="I42:I42">AB42</f>
        <v>0</v>
      </c>
      <c r="J42" s="496"/>
      <c r="K42" s="496"/>
      <c r="L42" s="496"/>
      <c r="M42" s="496"/>
      <c r="N42" s="496"/>
      <c r="O42" s="496"/>
      <c r="P42" s="496"/>
      <c r="Q42" s="904"/>
      <c r="R42" s="496"/>
      <c r="S42" s="496"/>
      <c r="T42" s="468">
        <f>AND(F42&gt;0,Y42&gt;0)</f>
        <v>0</v>
      </c>
      <c r="U42" s="496"/>
      <c r="V42" s="496"/>
      <c r="W42" s="496" t="s">
        <v>173</v>
      </c>
      <c r="X42" s="1559"/>
      <c r="Y42" s="1559">
        <v>0</v>
      </c>
      <c r="Z42" s="1528"/>
      <c r="AA42" s="4589" t="s">
        <v>174</v>
      </c>
      <c r="AB42" s="4590"/>
      <c r="AC42" s="871" t="s">
        <v>1862</v>
      </c>
      <c r="AD42" s="4591"/>
      <c r="AE42" s="4592"/>
      <c r="AF42" s="1102">
        <f>IF(AD42=0,0,(AE42-AD42)/AD42*100)</f>
        <v>0</v>
      </c>
      <c r="AG42" s="4591"/>
      <c r="AH42" s="4592"/>
      <c r="AI42" s="1102">
        <f>IF(AG42=0,0,(AH42-AG42)/AG42*100)</f>
        <v>0</v>
      </c>
      <c r="AJ42" s="4591"/>
      <c r="AK42" s="4592"/>
      <c r="AL42" s="1102">
        <f>IF(AJ42=0,0,(AK42-AJ42)/AJ42*100)</f>
        <v>0</v>
      </c>
      <c r="AM42" s="4591"/>
      <c r="AN42" s="4592"/>
      <c r="AO42" s="1102">
        <f>IF(AM42=0,0,(AN42-AM42)/AM42*100)</f>
        <v>0</v>
      </c>
      <c r="AP42" s="4591"/>
      <c r="AQ42" s="4592"/>
      <c r="AR42" s="1102">
        <f>IF(AP42=0,0,(AQ42-AP42)/AP42*100)</f>
        <v>0</v>
      </c>
      <c r="AS42" s="4591"/>
      <c r="AT42" s="4592"/>
      <c r="AU42" s="1102">
        <f>IF(AS42=0,0,(AT42-AS42)/AS42*100)</f>
        <v>0</v>
      </c>
      <c r="AV42" s="4591"/>
      <c r="AW42" s="4592"/>
      <c r="AX42" s="1102">
        <f>IF(AV42=0,0,(AW42-AV42)/AV42*100)</f>
        <v>0</v>
      </c>
      <c r="AY42" s="4591"/>
      <c r="AZ42" s="4592"/>
      <c r="BA42" s="1102">
        <f>IF(AY42=0,0,(AZ42-AY42)/AY42*100)</f>
        <v>0</v>
      </c>
      <c r="BB42" s="4591"/>
      <c r="BC42" s="4592"/>
      <c r="BD42" s="1102">
        <f>IF(BB42=0,0,(BC42-BB42)/BB42*100)</f>
        <v>0</v>
      </c>
      <c r="BE42" s="4591"/>
      <c r="BF42" s="4592"/>
      <c r="BG42" s="1102">
        <f>IF(BE42=0,0,(BF42-BE42)/BE42*100)</f>
        <v>0</v>
      </c>
      <c r="BH42" s="4591"/>
      <c r="BI42" s="4592"/>
      <c r="BJ42" s="1102">
        <f>IF(BH42=0,0,(BI42-BH42)/BH42*100)</f>
        <v>0</v>
      </c>
      <c r="BK42" s="4591"/>
      <c r="BL42" s="4592"/>
      <c r="BM42" s="1102">
        <f>IF(BK42=0,0,(BL42-BK42)/BK42*100)</f>
        <v>0</v>
      </c>
      <c r="BN42" s="4591"/>
      <c r="BO42" s="4592"/>
      <c r="BP42" s="1102">
        <f>IF(BN42=0,0,(BO42-BN42)/BN42*100)</f>
        <v>0</v>
      </c>
      <c r="BQ42" s="4591"/>
      <c r="BR42" s="4592"/>
      <c r="BS42" s="1102">
        <f>IF(BQ42=0,0,(BR42-BQ42)/BQ42*100)</f>
        <v>0</v>
      </c>
      <c r="BT42" s="4591"/>
      <c r="BU42" s="4592"/>
      <c r="BV42" s="1102">
        <f>IF(BT42=0,0,(BU42-BT42)/BT42*100)</f>
        <v>0</v>
      </c>
      <c r="BW42" s="4591"/>
      <c r="BX42" s="4592"/>
      <c r="BY42" s="1102">
        <f>IF(BW42=0,0,(BX42-BW42)/BW42*100)</f>
        <v>0</v>
      </c>
      <c r="BZ42" s="4591"/>
      <c r="CA42" s="4592"/>
      <c r="CB42" s="1102">
        <f>IF(BZ42=0,0,(CA42-BZ42)/BZ42*100)</f>
        <v>0</v>
      </c>
      <c r="CC42" s="4591"/>
      <c r="CD42" s="4592"/>
      <c r="CE42" s="1102">
        <f>IF(CC42=0,0,(CD42-CC42)/CC42*100)</f>
        <v>0</v>
      </c>
      <c r="CF42" s="4591"/>
      <c r="CG42" s="4592"/>
      <c r="CH42" s="1102">
        <f>IF(CF42=0,0,(CG42-CF42)/CF42*100)</f>
        <v>0</v>
      </c>
      <c r="CI42" s="4591"/>
      <c r="CJ42" s="4592"/>
      <c r="CK42" s="1102">
        <f>IF(CI42=0,0,(CJ42-CI42)/CI42*100)</f>
        <v>0</v>
      </c>
      <c r="CL42" s="4591"/>
      <c r="CM42" s="4592"/>
      <c r="CN42" s="1102">
        <f>IF(CL42=0,0,(CM42-CL42)/CL42*100)</f>
        <v>0</v>
      </c>
      <c r="CO42" s="4591"/>
      <c r="CP42" s="4592"/>
      <c r="CQ42" s="1102">
        <f>IF(CO42=0,0,(CP42-CO42)/CO42*100)</f>
        <v>0</v>
      </c>
      <c r="CR42" s="4591"/>
      <c r="CS42" s="4592"/>
      <c r="CT42" s="1102">
        <f>IF(CR42=0,0,(CS42-CR42)/CR42*100)</f>
        <v>0</v>
      </c>
      <c r="CU42" s="4591"/>
      <c r="CV42" s="4592"/>
      <c r="CW42" s="1102">
        <f>IF(CU42=0,0,(CV42-CU42)/CU42*100)</f>
        <v>0</v>
      </c>
      <c r="CX42" s="4591"/>
      <c r="CY42" s="4592"/>
      <c r="CZ42" s="1102">
        <f>IF(CX42=0,0,(CY42-CX42)/CX42*100)</f>
        <v>0</v>
      </c>
      <c r="DA42" s="4591"/>
      <c r="DB42" s="4592"/>
      <c r="DC42" s="1102">
        <f>IF(DA42=0,0,(DB42-DA42)/DA42*100)</f>
        <v>0</v>
      </c>
      <c r="DD42" s="4591"/>
      <c r="DE42" s="4592"/>
      <c r="DF42" s="1102">
        <f>IF(DD42=0,0,(DE42-DD42)/DD42*100)</f>
        <v>0</v>
      </c>
      <c r="DG42" s="4591"/>
      <c r="DH42" s="4592"/>
      <c r="DI42" s="1102">
        <f>IF(DG42=0,0,(DH42-DG42)/DG42*100)</f>
        <v>0</v>
      </c>
      <c r="DJ42" s="4591"/>
      <c r="DK42" s="4592"/>
      <c r="DL42" s="1102">
        <f>IF(DJ42=0,0,(DK42-DJ42)/DJ42*100)</f>
        <v>0</v>
      </c>
      <c r="DM42" s="4591"/>
      <c r="DN42" s="4592"/>
      <c r="DO42" s="1102">
        <f>IF(DM42=0,0,(DN42-DM42)/DM42*100)</f>
        <v>0</v>
      </c>
      <c r="DP42" s="4591"/>
      <c r="DQ42" s="4592"/>
      <c r="DR42" s="1102">
        <f>IF(DP42=0,0,(DQ42-DP42)/DP42*100)</f>
        <v>0</v>
      </c>
      <c r="DS42" s="4591"/>
      <c r="DT42" s="4592"/>
      <c r="DU42" s="1102">
        <f>IF(DS42=0,0,(DT42-DS42)/DS42*100)</f>
        <v>0</v>
      </c>
      <c r="DV42" s="4591"/>
      <c r="DW42" s="4592"/>
      <c r="DX42" s="1102">
        <f>IF(DV42=0,0,(DW42-DV42)/DV42*100)</f>
        <v>0</v>
      </c>
      <c r="DY42" s="4591"/>
      <c r="DZ42" s="4592"/>
      <c r="EA42" s="1102">
        <f>IF(DY42=0,0,(DZ42-DY42)/DY42*100)</f>
        <v>0</v>
      </c>
      <c r="EB42" s="4591"/>
      <c r="EC42" s="4592"/>
      <c r="ED42" s="1102">
        <f>IF(EB42=0,0,(EC42-EB42)/EB42*100)</f>
        <v>0</v>
      </c>
      <c r="EE42" s="4591"/>
      <c r="EF42" s="4592"/>
      <c r="EG42" s="1102">
        <f>IF(EE42=0,0,(EF42-EE42)/EE42*100)</f>
        <v>0</v>
      </c>
      <c r="EH42" s="4591"/>
      <c r="EI42" s="4592"/>
      <c r="EJ42" s="1102">
        <f>IF(EH42=0,0,(EI42-EH42)/EH42*100)</f>
        <v>0</v>
      </c>
      <c r="EK42" s="4591"/>
      <c r="EL42" s="4592"/>
      <c r="EM42" s="1102">
        <f>IF(EK42=0,0,(EL42-EK42)/EK42*100)</f>
        <v>0</v>
      </c>
      <c r="EN42" s="4591"/>
      <c r="EO42" s="4592"/>
      <c r="EP42" s="1102">
        <f>IF(EN42=0,0,(EO42-EN42)/EN42*100)</f>
        <v>0</v>
      </c>
      <c r="EQ42" s="4591"/>
      <c r="ER42" s="4592"/>
      <c r="ES42" s="1102">
        <f>IF(EQ42=0,0,(ER42-EQ42)/EQ42*100)</f>
        <v>0</v>
      </c>
      <c r="ET42" s="4591"/>
      <c r="EU42" s="4592"/>
      <c r="EV42" s="1102">
        <f>IF(ET42=0,0,(EU42-ET42)/ET42*100)</f>
        <v>0</v>
      </c>
      <c r="EW42" s="4591"/>
      <c r="EX42" s="4592"/>
      <c r="EY42" s="1102">
        <f>IF(EW42=0,0,(EX42-EW42)/EW42*100)</f>
        <v>0</v>
      </c>
      <c r="EZ42" s="4591"/>
      <c r="FA42" s="4592"/>
      <c r="FB42" s="1102">
        <f>IF(EZ42=0,0,(FA42-EZ42)/EZ42*100)</f>
        <v>0</v>
      </c>
      <c r="FC42" s="4591"/>
      <c r="FD42" s="4592"/>
      <c r="FE42" s="1102">
        <f>IF(FC42=0,0,(FD42-FC42)/FC42*100)</f>
        <v>0</v>
      </c>
      <c r="FF42" s="4591"/>
      <c r="FG42" s="4592"/>
      <c r="FH42" s="1102">
        <f>IF(FF42=0,0,(FG42-FF42)/FF42*100)</f>
        <v>0</v>
      </c>
      <c r="FI42" s="4591"/>
      <c r="FJ42" s="4592"/>
      <c r="FK42" s="1102">
        <f>IF(FI42=0,0,(FJ42-FI42)/FI42*100)</f>
        <v>0</v>
      </c>
      <c r="FL42" s="4591"/>
      <c r="FM42" s="4592"/>
      <c r="FN42" s="1102">
        <f>IF(FL42=0,0,(FM42-FL42)/FL42*100)</f>
        <v>0</v>
      </c>
      <c r="FO42" s="4591"/>
      <c r="FP42" s="4592"/>
      <c r="FQ42" s="1102">
        <f>IF(FO42=0,0,(FP42-FO42)/FO42*100)</f>
        <v>0</v>
      </c>
      <c r="FR42" s="4591"/>
      <c r="FS42" s="4592"/>
      <c r="FT42" s="1102">
        <f>IF(FR42=0,0,(FS42-FR42)/FR42*100)</f>
        <v>0</v>
      </c>
      <c r="FU42" s="4591"/>
      <c r="FV42" s="4592"/>
      <c r="FW42" s="1102">
        <f>IF(FU42=0,0,(FV42-FU42)/FU42*100)</f>
        <v>0</v>
      </c>
      <c r="FX42" s="288"/>
      <c r="FY42" s="1328"/>
      <c r="FZ42" s="1063" t="s">
        <v>1887</v>
      </c>
      <c r="GA42" s="1023" t="s">
        <v>1888</v>
      </c>
      <c r="GB42" s="1023" cm="1" t="str">
        <f t="array" ref="GB42:GB42">AB42</f>
        <v>0</v>
      </c>
      <c r="GC42" s="1329"/>
      <c r="GD42" s="637" t="b">
        <v>1</v>
      </c>
    </row>
    <row customHeight="1" ht="18.525" hidden="1">
      <c r="A43" s="496"/>
      <c r="B43" s="932" cm="1" t="str">
        <f t="array" ref="B43:B43">B42</f>
        <v>false</v>
      </c>
      <c r="C43" s="496"/>
      <c r="D43" s="496"/>
      <c r="E43" s="847">
        <v>19</v>
      </c>
      <c r="F43" s="50" cm="1" t="str">
        <f t="array" ref="F43:F43">OFFSET(E43,-1,1)</f>
        <v>0</v>
      </c>
      <c r="G43" s="496"/>
      <c r="H43" s="496"/>
      <c r="I43" s="496"/>
      <c r="J43" s="496"/>
      <c r="K43" s="496"/>
      <c r="L43" s="496"/>
      <c r="M43" s="496"/>
      <c r="N43" s="496"/>
      <c r="O43" s="496"/>
      <c r="P43" s="496"/>
      <c r="Q43" s="904"/>
      <c r="R43" s="496"/>
      <c r="S43" s="496"/>
      <c r="T43" s="468" cm="1" t="str">
        <f t="array" ref="T43:T43">T42</f>
        <v>false</v>
      </c>
      <c r="U43" s="496"/>
      <c r="V43" s="496"/>
      <c r="W43" s="496"/>
      <c r="X43" s="1559"/>
      <c r="Y43" s="1559"/>
      <c r="Z43" s="1528"/>
      <c r="AA43" s="4589"/>
      <c r="AB43" s="4590"/>
      <c r="AC43" s="871" t="s">
        <v>1862</v>
      </c>
      <c r="AD43" s="4591"/>
      <c r="AE43" s="4592"/>
      <c r="AF43" s="1102">
        <f>IF(AD43=0,0,(AE43-AD43)/AD43*100)</f>
        <v>0</v>
      </c>
      <c r="AG43" s="4591"/>
      <c r="AH43" s="4592"/>
      <c r="AI43" s="1102">
        <f>IF(AG43=0,0,(AH43-AG43)/AG43*100)</f>
        <v>0</v>
      </c>
      <c r="AJ43" s="4591"/>
      <c r="AK43" s="4592"/>
      <c r="AL43" s="1102">
        <f>IF(AJ43=0,0,(AK43-AJ43)/AJ43*100)</f>
        <v>0</v>
      </c>
      <c r="AM43" s="4591"/>
      <c r="AN43" s="4592"/>
      <c r="AO43" s="1102">
        <f>IF(AM43=0,0,(AN43-AM43)/AM43*100)</f>
        <v>0</v>
      </c>
      <c r="AP43" s="4591"/>
      <c r="AQ43" s="4592"/>
      <c r="AR43" s="1102">
        <f>IF(AP43=0,0,(AQ43-AP43)/AP43*100)</f>
        <v>0</v>
      </c>
      <c r="AS43" s="4591"/>
      <c r="AT43" s="4592"/>
      <c r="AU43" s="1102">
        <f>IF(AS43=0,0,(AT43-AS43)/AS43*100)</f>
        <v>0</v>
      </c>
      <c r="AV43" s="4591"/>
      <c r="AW43" s="4592"/>
      <c r="AX43" s="1102">
        <f>IF(AV43=0,0,(AW43-AV43)/AV43*100)</f>
        <v>0</v>
      </c>
      <c r="AY43" s="4591"/>
      <c r="AZ43" s="4592"/>
      <c r="BA43" s="1102">
        <f>IF(AY43=0,0,(AZ43-AY43)/AY43*100)</f>
        <v>0</v>
      </c>
      <c r="BB43" s="4591"/>
      <c r="BC43" s="4592"/>
      <c r="BD43" s="1102">
        <f>IF(BB43=0,0,(BC43-BB43)/BB43*100)</f>
        <v>0</v>
      </c>
      <c r="BE43" s="4591"/>
      <c r="BF43" s="4592"/>
      <c r="BG43" s="1102">
        <f>IF(BE43=0,0,(BF43-BE43)/BE43*100)</f>
        <v>0</v>
      </c>
      <c r="BH43" s="4591"/>
      <c r="BI43" s="4592"/>
      <c r="BJ43" s="1102">
        <f>IF(BH43=0,0,(BI43-BH43)/BH43*100)</f>
        <v>0</v>
      </c>
      <c r="BK43" s="4591"/>
      <c r="BL43" s="4592"/>
      <c r="BM43" s="1102">
        <f>IF(BK43=0,0,(BL43-BK43)/BK43*100)</f>
        <v>0</v>
      </c>
      <c r="BN43" s="4591"/>
      <c r="BO43" s="4592"/>
      <c r="BP43" s="1102">
        <f>IF(BN43=0,0,(BO43-BN43)/BN43*100)</f>
        <v>0</v>
      </c>
      <c r="BQ43" s="4591"/>
      <c r="BR43" s="4592"/>
      <c r="BS43" s="1102">
        <f>IF(BQ43=0,0,(BR43-BQ43)/BQ43*100)</f>
        <v>0</v>
      </c>
      <c r="BT43" s="4591"/>
      <c r="BU43" s="4592"/>
      <c r="BV43" s="1102">
        <f>IF(BT43=0,0,(BU43-BT43)/BT43*100)</f>
        <v>0</v>
      </c>
      <c r="BW43" s="4591"/>
      <c r="BX43" s="4592"/>
      <c r="BY43" s="1102">
        <f>IF(BW43=0,0,(BX43-BW43)/BW43*100)</f>
        <v>0</v>
      </c>
      <c r="BZ43" s="4591"/>
      <c r="CA43" s="4592"/>
      <c r="CB43" s="1102">
        <f>IF(BZ43=0,0,(CA43-BZ43)/BZ43*100)</f>
        <v>0</v>
      </c>
      <c r="CC43" s="4591"/>
      <c r="CD43" s="4592"/>
      <c r="CE43" s="1102">
        <f>IF(CC43=0,0,(CD43-CC43)/CC43*100)</f>
        <v>0</v>
      </c>
      <c r="CF43" s="4591"/>
      <c r="CG43" s="4592"/>
      <c r="CH43" s="1102">
        <f>IF(CF43=0,0,(CG43-CF43)/CF43*100)</f>
        <v>0</v>
      </c>
      <c r="CI43" s="4591"/>
      <c r="CJ43" s="4592"/>
      <c r="CK43" s="1102">
        <f>IF(CI43=0,0,(CJ43-CI43)/CI43*100)</f>
        <v>0</v>
      </c>
      <c r="CL43" s="4591"/>
      <c r="CM43" s="4592"/>
      <c r="CN43" s="1102">
        <f>IF(CL43=0,0,(CM43-CL43)/CL43*100)</f>
        <v>0</v>
      </c>
      <c r="CO43" s="4591"/>
      <c r="CP43" s="4592"/>
      <c r="CQ43" s="1102">
        <f>IF(CO43=0,0,(CP43-CO43)/CO43*100)</f>
        <v>0</v>
      </c>
      <c r="CR43" s="4591"/>
      <c r="CS43" s="4592"/>
      <c r="CT43" s="1102">
        <f>IF(CR43=0,0,(CS43-CR43)/CR43*100)</f>
        <v>0</v>
      </c>
      <c r="CU43" s="4591"/>
      <c r="CV43" s="4592"/>
      <c r="CW43" s="1102">
        <f>IF(CU43=0,0,(CV43-CU43)/CU43*100)</f>
        <v>0</v>
      </c>
      <c r="CX43" s="4591"/>
      <c r="CY43" s="4592"/>
      <c r="CZ43" s="1102">
        <f>IF(CX43=0,0,(CY43-CX43)/CX43*100)</f>
        <v>0</v>
      </c>
      <c r="DA43" s="4591"/>
      <c r="DB43" s="4592"/>
      <c r="DC43" s="1102">
        <f>IF(DA43=0,0,(DB43-DA43)/DA43*100)</f>
        <v>0</v>
      </c>
      <c r="DD43" s="4591"/>
      <c r="DE43" s="4592"/>
      <c r="DF43" s="1102">
        <f>IF(DD43=0,0,(DE43-DD43)/DD43*100)</f>
        <v>0</v>
      </c>
      <c r="DG43" s="4591"/>
      <c r="DH43" s="4592"/>
      <c r="DI43" s="1102">
        <f>IF(DG43=0,0,(DH43-DG43)/DG43*100)</f>
        <v>0</v>
      </c>
      <c r="DJ43" s="4591"/>
      <c r="DK43" s="4592"/>
      <c r="DL43" s="1102">
        <f>IF(DJ43=0,0,(DK43-DJ43)/DJ43*100)</f>
        <v>0</v>
      </c>
      <c r="DM43" s="4591"/>
      <c r="DN43" s="4592"/>
      <c r="DO43" s="1102">
        <f>IF(DM43=0,0,(DN43-DM43)/DM43*100)</f>
        <v>0</v>
      </c>
      <c r="DP43" s="4591"/>
      <c r="DQ43" s="4592"/>
      <c r="DR43" s="1102">
        <f>IF(DP43=0,0,(DQ43-DP43)/DP43*100)</f>
        <v>0</v>
      </c>
      <c r="DS43" s="4591"/>
      <c r="DT43" s="4592"/>
      <c r="DU43" s="1102">
        <f>IF(DS43=0,0,(DT43-DS43)/DS43*100)</f>
        <v>0</v>
      </c>
      <c r="DV43" s="4591"/>
      <c r="DW43" s="4592"/>
      <c r="DX43" s="1102">
        <f>IF(DV43=0,0,(DW43-DV43)/DV43*100)</f>
        <v>0</v>
      </c>
      <c r="DY43" s="4591"/>
      <c r="DZ43" s="4592"/>
      <c r="EA43" s="1102">
        <f>IF(DY43=0,0,(DZ43-DY43)/DY43*100)</f>
        <v>0</v>
      </c>
      <c r="EB43" s="4591"/>
      <c r="EC43" s="4592"/>
      <c r="ED43" s="1102">
        <f>IF(EB43=0,0,(EC43-EB43)/EB43*100)</f>
        <v>0</v>
      </c>
      <c r="EE43" s="4591"/>
      <c r="EF43" s="4592"/>
      <c r="EG43" s="1102">
        <f>IF(EE43=0,0,(EF43-EE43)/EE43*100)</f>
        <v>0</v>
      </c>
      <c r="EH43" s="4591"/>
      <c r="EI43" s="4592"/>
      <c r="EJ43" s="1102">
        <f>IF(EH43=0,0,(EI43-EH43)/EH43*100)</f>
        <v>0</v>
      </c>
      <c r="EK43" s="4591"/>
      <c r="EL43" s="4592"/>
      <c r="EM43" s="1102">
        <f>IF(EK43=0,0,(EL43-EK43)/EK43*100)</f>
        <v>0</v>
      </c>
      <c r="EN43" s="4591"/>
      <c r="EO43" s="4592"/>
      <c r="EP43" s="1102">
        <f>IF(EN43=0,0,(EO43-EN43)/EN43*100)</f>
        <v>0</v>
      </c>
      <c r="EQ43" s="4591"/>
      <c r="ER43" s="4592"/>
      <c r="ES43" s="1102">
        <f>IF(EQ43=0,0,(ER43-EQ43)/EQ43*100)</f>
        <v>0</v>
      </c>
      <c r="ET43" s="4591"/>
      <c r="EU43" s="4592"/>
      <c r="EV43" s="1102">
        <f>IF(ET43=0,0,(EU43-ET43)/ET43*100)</f>
        <v>0</v>
      </c>
      <c r="EW43" s="4591"/>
      <c r="EX43" s="4592"/>
      <c r="EY43" s="1102">
        <f>IF(EW43=0,0,(EX43-EW43)/EW43*100)</f>
        <v>0</v>
      </c>
      <c r="EZ43" s="4591"/>
      <c r="FA43" s="4592"/>
      <c r="FB43" s="1102">
        <f>IF(EZ43=0,0,(FA43-EZ43)/EZ43*100)</f>
        <v>0</v>
      </c>
      <c r="FC43" s="4591"/>
      <c r="FD43" s="4592"/>
      <c r="FE43" s="1102">
        <f>IF(FC43=0,0,(FD43-FC43)/FC43*100)</f>
        <v>0</v>
      </c>
      <c r="FF43" s="4591"/>
      <c r="FG43" s="4592"/>
      <c r="FH43" s="1102">
        <f>IF(FF43=0,0,(FG43-FF43)/FF43*100)</f>
        <v>0</v>
      </c>
      <c r="FI43" s="4591"/>
      <c r="FJ43" s="4592"/>
      <c r="FK43" s="1102">
        <f>IF(FI43=0,0,(FJ43-FI43)/FI43*100)</f>
        <v>0</v>
      </c>
      <c r="FL43" s="4591"/>
      <c r="FM43" s="4592"/>
      <c r="FN43" s="1102">
        <f>IF(FL43=0,0,(FM43-FL43)/FL43*100)</f>
        <v>0</v>
      </c>
      <c r="FO43" s="4591"/>
      <c r="FP43" s="4592"/>
      <c r="FQ43" s="1102">
        <f>IF(FO43=0,0,(FP43-FO43)/FO43*100)</f>
        <v>0</v>
      </c>
      <c r="FR43" s="4591"/>
      <c r="FS43" s="4592"/>
      <c r="FT43" s="1102">
        <f>IF(FR43=0,0,(FS43-FR43)/FR43*100)</f>
        <v>0</v>
      </c>
      <c r="FU43" s="4591"/>
      <c r="FV43" s="4592"/>
      <c r="FW43" s="1102">
        <f>IF(FU43=0,0,(FV43-FU43)/FU43*100)</f>
        <v>0</v>
      </c>
      <c r="FZ43" s="1330" t="s">
        <v>1889</v>
      </c>
      <c r="GA43" s="1330" t="s">
        <v>1888</v>
      </c>
      <c r="GB43" s="1330" cm="1" t="str">
        <f t="array" ref="GB43:GB43">GB42</f>
        <v>0</v>
      </c>
    </row>
    <row customHeight="1" ht="14.625" hidden="1">
      <c r="A44" s="496"/>
      <c r="B44" s="932" cm="1" t="str">
        <f t="array" ref="B44:B44">B42</f>
        <v>false</v>
      </c>
      <c r="C44" s="496"/>
      <c r="D44" s="496"/>
      <c r="E44" s="847">
        <v>15</v>
      </c>
      <c r="F44" s="50" cm="1" t="str">
        <f t="array" ref="F44:F44">OFFSET(E44,-1,1)</f>
        <v>0</v>
      </c>
      <c r="G44" s="496"/>
      <c r="H44" s="496" t="s">
        <v>573</v>
      </c>
      <c r="I44" s="496" cm="1" t="str">
        <f t="array" ref="I44:I44">I42</f>
        <v>0</v>
      </c>
      <c r="J44" s="496"/>
      <c r="K44" s="496"/>
      <c r="L44" s="496"/>
      <c r="M44" s="496"/>
      <c r="N44" s="496"/>
      <c r="O44" s="496"/>
      <c r="P44" s="496"/>
      <c r="Q44" s="904"/>
      <c r="R44" s="496"/>
      <c r="S44" s="496"/>
      <c r="T44" s="468" cm="1" t="str">
        <f t="array" ref="T44:T44">T42</f>
        <v>false</v>
      </c>
      <c r="U44" s="496"/>
      <c r="V44" s="496"/>
      <c r="W44" s="496"/>
      <c r="X44" s="1559"/>
      <c r="Y44" s="1559"/>
      <c r="Z44" s="1528"/>
      <c r="AA44" s="1516"/>
      <c r="AB44" s="907" t="s">
        <v>1872</v>
      </c>
      <c r="AC44" s="296" t="s">
        <v>657</v>
      </c>
      <c r="AD44" s="4585"/>
      <c r="AE44" s="4585"/>
      <c r="AF44" s="1104">
        <f>IF(AD44=0,0,(AE44-AD44)/AD44*100)</f>
        <v>0</v>
      </c>
      <c r="AG44" s="4585"/>
      <c r="AH44" s="4585"/>
      <c r="AI44" s="1104">
        <f>IF(AG44=0,0,(AH44-AG44)/AG44*100)</f>
        <v>0</v>
      </c>
      <c r="AJ44" s="4585"/>
      <c r="AK44" s="4585"/>
      <c r="AL44" s="1104">
        <f>IF(AJ44=0,0,(AK44-AJ44)/AJ44*100)</f>
        <v>0</v>
      </c>
      <c r="AM44" s="4585"/>
      <c r="AN44" s="4585"/>
      <c r="AO44" s="1104">
        <f>IF(AM44=0,0,(AN44-AM44)/AM44*100)</f>
        <v>0</v>
      </c>
      <c r="AP44" s="4585"/>
      <c r="AQ44" s="4585"/>
      <c r="AR44" s="1104">
        <f>IF(AP44=0,0,(AQ44-AP44)/AP44*100)</f>
        <v>0</v>
      </c>
      <c r="AS44" s="4585"/>
      <c r="AT44" s="4585"/>
      <c r="AU44" s="1104">
        <f>IF(AS44=0,0,(AT44-AS44)/AS44*100)</f>
        <v>0</v>
      </c>
      <c r="AV44" s="4585"/>
      <c r="AW44" s="4585"/>
      <c r="AX44" s="1104">
        <f>IF(AV44=0,0,(AW44-AV44)/AV44*100)</f>
        <v>0</v>
      </c>
      <c r="AY44" s="4585"/>
      <c r="AZ44" s="4585"/>
      <c r="BA44" s="1104">
        <f>IF(AY44=0,0,(AZ44-AY44)/AY44*100)</f>
        <v>0</v>
      </c>
      <c r="BB44" s="4585"/>
      <c r="BC44" s="4585"/>
      <c r="BD44" s="1104">
        <f>IF(BB44=0,0,(BC44-BB44)/BB44*100)</f>
        <v>0</v>
      </c>
      <c r="BE44" s="4585"/>
      <c r="BF44" s="4585"/>
      <c r="BG44" s="1104">
        <f>IF(BE44=0,0,(BF44-BE44)/BE44*100)</f>
        <v>0</v>
      </c>
      <c r="BH44" s="4585"/>
      <c r="BI44" s="4585"/>
      <c r="BJ44" s="1104">
        <f>IF(BH44=0,0,(BI44-BH44)/BH44*100)</f>
        <v>0</v>
      </c>
      <c r="BK44" s="4585"/>
      <c r="BL44" s="4585"/>
      <c r="BM44" s="1104">
        <f>IF(BK44=0,0,(BL44-BK44)/BK44*100)</f>
        <v>0</v>
      </c>
      <c r="BN44" s="4585"/>
      <c r="BO44" s="4585"/>
      <c r="BP44" s="1104">
        <f>IF(BN44=0,0,(BO44-BN44)/BN44*100)</f>
        <v>0</v>
      </c>
      <c r="BQ44" s="4585"/>
      <c r="BR44" s="4585"/>
      <c r="BS44" s="1104">
        <f>IF(BQ44=0,0,(BR44-BQ44)/BQ44*100)</f>
        <v>0</v>
      </c>
      <c r="BT44" s="4585"/>
      <c r="BU44" s="4585"/>
      <c r="BV44" s="1104">
        <f>IF(BT44=0,0,(BU44-BT44)/BT44*100)</f>
        <v>0</v>
      </c>
      <c r="BW44" s="4585"/>
      <c r="BX44" s="4585"/>
      <c r="BY44" s="1104">
        <f>IF(BW44=0,0,(BX44-BW44)/BW44*100)</f>
        <v>0</v>
      </c>
      <c r="BZ44" s="4585"/>
      <c r="CA44" s="4585"/>
      <c r="CB44" s="1104">
        <f>IF(BZ44=0,0,(CA44-BZ44)/BZ44*100)</f>
        <v>0</v>
      </c>
      <c r="CC44" s="4585"/>
      <c r="CD44" s="4585"/>
      <c r="CE44" s="1104">
        <f>IF(CC44=0,0,(CD44-CC44)/CC44*100)</f>
        <v>0</v>
      </c>
      <c r="CF44" s="4585"/>
      <c r="CG44" s="4585"/>
      <c r="CH44" s="1104">
        <f>IF(CF44=0,0,(CG44-CF44)/CF44*100)</f>
        <v>0</v>
      </c>
      <c r="CI44" s="4585"/>
      <c r="CJ44" s="4585"/>
      <c r="CK44" s="1104">
        <f>IF(CI44=0,0,(CJ44-CI44)/CI44*100)</f>
        <v>0</v>
      </c>
      <c r="CL44" s="4585"/>
      <c r="CM44" s="4585"/>
      <c r="CN44" s="1104">
        <f>IF(CL44=0,0,(CM44-CL44)/CL44*100)</f>
        <v>0</v>
      </c>
      <c r="CO44" s="4585"/>
      <c r="CP44" s="4585"/>
      <c r="CQ44" s="1104">
        <f>IF(CO44=0,0,(CP44-CO44)/CO44*100)</f>
        <v>0</v>
      </c>
      <c r="CR44" s="4585"/>
      <c r="CS44" s="4585"/>
      <c r="CT44" s="1104">
        <f>IF(CR44=0,0,(CS44-CR44)/CR44*100)</f>
        <v>0</v>
      </c>
      <c r="CU44" s="4585"/>
      <c r="CV44" s="4585"/>
      <c r="CW44" s="1104">
        <f>IF(CU44=0,0,(CV44-CU44)/CU44*100)</f>
        <v>0</v>
      </c>
      <c r="CX44" s="4585"/>
      <c r="CY44" s="4585"/>
      <c r="CZ44" s="1104">
        <f>IF(CX44=0,0,(CY44-CX44)/CX44*100)</f>
        <v>0</v>
      </c>
      <c r="DA44" s="4585"/>
      <c r="DB44" s="4585"/>
      <c r="DC44" s="1104">
        <f>IF(DA44=0,0,(DB44-DA44)/DA44*100)</f>
        <v>0</v>
      </c>
      <c r="DD44" s="4585"/>
      <c r="DE44" s="4585"/>
      <c r="DF44" s="1104">
        <f>IF(DD44=0,0,(DE44-DD44)/DD44*100)</f>
        <v>0</v>
      </c>
      <c r="DG44" s="4585"/>
      <c r="DH44" s="4585"/>
      <c r="DI44" s="1104">
        <f>IF(DG44=0,0,(DH44-DG44)/DG44*100)</f>
        <v>0</v>
      </c>
      <c r="DJ44" s="4585"/>
      <c r="DK44" s="4585"/>
      <c r="DL44" s="1104">
        <f>IF(DJ44=0,0,(DK44-DJ44)/DJ44*100)</f>
        <v>0</v>
      </c>
      <c r="DM44" s="4585"/>
      <c r="DN44" s="4585"/>
      <c r="DO44" s="1104">
        <f>IF(DM44=0,0,(DN44-DM44)/DM44*100)</f>
        <v>0</v>
      </c>
      <c r="DP44" s="4585"/>
      <c r="DQ44" s="4585"/>
      <c r="DR44" s="1104">
        <f>IF(DP44=0,0,(DQ44-DP44)/DP44*100)</f>
        <v>0</v>
      </c>
      <c r="DS44" s="4585"/>
      <c r="DT44" s="4585"/>
      <c r="DU44" s="1104">
        <f>IF(DS44=0,0,(DT44-DS44)/DS44*100)</f>
        <v>0</v>
      </c>
      <c r="DV44" s="4585"/>
      <c r="DW44" s="4585"/>
      <c r="DX44" s="1104">
        <f>IF(DV44=0,0,(DW44-DV44)/DV44*100)</f>
        <v>0</v>
      </c>
      <c r="DY44" s="4585"/>
      <c r="DZ44" s="4585"/>
      <c r="EA44" s="1104">
        <f>IF(DY44=0,0,(DZ44-DY44)/DY44*100)</f>
        <v>0</v>
      </c>
      <c r="EB44" s="4585"/>
      <c r="EC44" s="4585"/>
      <c r="ED44" s="1104">
        <f>IF(EB44=0,0,(EC44-EB44)/EB44*100)</f>
        <v>0</v>
      </c>
      <c r="EE44" s="4585"/>
      <c r="EF44" s="4585"/>
      <c r="EG44" s="1104">
        <f>IF(EE44=0,0,(EF44-EE44)/EE44*100)</f>
        <v>0</v>
      </c>
      <c r="EH44" s="4585"/>
      <c r="EI44" s="4585"/>
      <c r="EJ44" s="1104">
        <f>IF(EH44=0,0,(EI44-EH44)/EH44*100)</f>
        <v>0</v>
      </c>
      <c r="EK44" s="4585"/>
      <c r="EL44" s="4585"/>
      <c r="EM44" s="1104">
        <f>IF(EK44=0,0,(EL44-EK44)/EK44*100)</f>
        <v>0</v>
      </c>
      <c r="EN44" s="4585"/>
      <c r="EO44" s="4585"/>
      <c r="EP44" s="1104">
        <f>IF(EN44=0,0,(EO44-EN44)/EN44*100)</f>
        <v>0</v>
      </c>
      <c r="EQ44" s="4585"/>
      <c r="ER44" s="4585"/>
      <c r="ES44" s="1104">
        <f>IF(EQ44=0,0,(ER44-EQ44)/EQ44*100)</f>
        <v>0</v>
      </c>
      <c r="ET44" s="4585"/>
      <c r="EU44" s="4585"/>
      <c r="EV44" s="1104">
        <f>IF(ET44=0,0,(EU44-ET44)/ET44*100)</f>
        <v>0</v>
      </c>
      <c r="EW44" s="4585"/>
      <c r="EX44" s="4585"/>
      <c r="EY44" s="1104">
        <f>IF(EW44=0,0,(EX44-EW44)/EW44*100)</f>
        <v>0</v>
      </c>
      <c r="EZ44" s="4585"/>
      <c r="FA44" s="4585"/>
      <c r="FB44" s="1104">
        <f>IF(EZ44=0,0,(FA44-EZ44)/EZ44*100)</f>
        <v>0</v>
      </c>
      <c r="FC44" s="4585"/>
      <c r="FD44" s="4585"/>
      <c r="FE44" s="1104">
        <f>IF(FC44=0,0,(FD44-FC44)/FC44*100)</f>
        <v>0</v>
      </c>
      <c r="FF44" s="4585"/>
      <c r="FG44" s="4585"/>
      <c r="FH44" s="1104">
        <f>IF(FF44=0,0,(FG44-FF44)/FF44*100)</f>
        <v>0</v>
      </c>
      <c r="FI44" s="4585"/>
      <c r="FJ44" s="4585"/>
      <c r="FK44" s="1104">
        <f>IF(FI44=0,0,(FJ44-FI44)/FI44*100)</f>
        <v>0</v>
      </c>
      <c r="FL44" s="4585"/>
      <c r="FM44" s="4585"/>
      <c r="FN44" s="1104">
        <f>IF(FL44=0,0,(FM44-FL44)/FL44*100)</f>
        <v>0</v>
      </c>
      <c r="FO44" s="4585"/>
      <c r="FP44" s="4585"/>
      <c r="FQ44" s="1104">
        <f>IF(FO44=0,0,(FP44-FO44)/FO44*100)</f>
        <v>0</v>
      </c>
      <c r="FR44" s="4585"/>
      <c r="FS44" s="4585"/>
      <c r="FT44" s="1104">
        <f>IF(FR44=0,0,(FS44-FR44)/FR44*100)</f>
        <v>0</v>
      </c>
      <c r="FU44" s="4585"/>
      <c r="FV44" s="4585"/>
      <c r="FW44" s="1104">
        <f>IF(FU44=0,0,(FV44-FU44)/FU44*100)</f>
        <v>0</v>
      </c>
      <c r="FX44" s="288"/>
      <c r="FY44" s="1328"/>
      <c r="FZ44" s="1063" t="s">
        <v>1890</v>
      </c>
      <c r="GA44" s="1023" t="s">
        <v>1888</v>
      </c>
      <c r="GB44" s="1023" cm="1" t="str">
        <f t="array" ref="GB44:GB44">GB42</f>
        <v>0</v>
      </c>
      <c r="GC44" s="1329"/>
      <c r="GD44" s="1329"/>
    </row>
    <row customHeight="1" ht="14.625" hidden="1">
      <c r="A45" s="496"/>
      <c r="B45" s="932" cm="1" t="str">
        <f t="array" ref="B45:B45">B44</f>
        <v>false</v>
      </c>
      <c r="C45" s="496"/>
      <c r="D45" s="496"/>
      <c r="E45" s="847">
        <v>15</v>
      </c>
      <c r="F45" s="50" cm="1" t="str">
        <f t="array" ref="F45:F45">OFFSET(E45,-1,1)</f>
        <v>0</v>
      </c>
      <c r="G45" s="496"/>
      <c r="H45" s="496"/>
      <c r="I45" s="94" t="s">
        <v>1891</v>
      </c>
      <c r="J45" s="496"/>
      <c r="K45" s="496"/>
      <c r="L45" s="496"/>
      <c r="M45" s="496"/>
      <c r="N45" s="496"/>
      <c r="O45" s="496"/>
      <c r="P45" s="496"/>
      <c r="Q45" s="496"/>
      <c r="R45" s="81"/>
      <c r="S45" s="496"/>
      <c r="T45" s="468">
        <f>F45&gt;0</f>
        <v>0</v>
      </c>
      <c r="U45" s="496"/>
      <c r="V45" s="1328"/>
      <c r="W45" s="764" t="s">
        <v>1892</v>
      </c>
      <c r="X45" s="1559"/>
      <c r="Y45" s="1328"/>
      <c r="Z45" s="1528"/>
      <c r="AA45" s="1328"/>
      <c r="AB45" s="256" t="s">
        <v>177</v>
      </c>
      <c r="AC45" s="260"/>
      <c r="AD45" s="1107"/>
      <c r="AE45" s="1107"/>
      <c r="AF45" s="1107"/>
      <c r="AG45" s="1107"/>
      <c r="AH45" s="1107"/>
      <c r="AI45" s="1107"/>
      <c r="AJ45" s="1107"/>
      <c r="AK45" s="1107"/>
      <c r="AL45" s="1107"/>
      <c r="AM45" s="1107"/>
      <c r="AN45" s="1107"/>
      <c r="AO45" s="1107"/>
      <c r="AP45" s="1107"/>
      <c r="AQ45" s="1107"/>
      <c r="AR45" s="1107"/>
      <c r="AS45" s="1107"/>
      <c r="AT45" s="1107"/>
      <c r="AU45" s="1107"/>
      <c r="AV45" s="1107"/>
      <c r="AW45" s="1107"/>
      <c r="AX45" s="1107"/>
      <c r="AY45" s="1107"/>
      <c r="AZ45" s="1107"/>
      <c r="BA45" s="1107"/>
      <c r="BB45" s="1107"/>
      <c r="BC45" s="1107"/>
      <c r="BD45" s="1107"/>
      <c r="BE45" s="1107"/>
      <c r="BF45" s="1107"/>
      <c r="BG45" s="1107"/>
      <c r="BH45" s="1107"/>
      <c r="BI45" s="1107"/>
      <c r="BJ45" s="1107"/>
      <c r="BK45" s="1107"/>
      <c r="BL45" s="1107"/>
      <c r="BM45" s="1107"/>
      <c r="BN45" s="1107"/>
      <c r="BO45" s="1107"/>
      <c r="BP45" s="1107"/>
      <c r="BQ45" s="1107"/>
      <c r="BR45" s="1107"/>
      <c r="BS45" s="1107"/>
      <c r="BT45" s="1107"/>
      <c r="BU45" s="1107"/>
      <c r="BV45" s="1107"/>
      <c r="BW45" s="1107"/>
      <c r="BX45" s="1107"/>
      <c r="BY45" s="1107"/>
      <c r="BZ45" s="1107"/>
      <c r="CA45" s="1107"/>
      <c r="CB45" s="1107"/>
      <c r="CC45" s="1107"/>
      <c r="CD45" s="1107"/>
      <c r="CE45" s="1107"/>
      <c r="CF45" s="1107"/>
      <c r="CG45" s="1107"/>
      <c r="CH45" s="1107"/>
      <c r="CI45" s="1107"/>
      <c r="CJ45" s="1107"/>
      <c r="CK45" s="1107"/>
      <c r="CL45" s="1107"/>
      <c r="CM45" s="1107"/>
      <c r="CN45" s="1107"/>
      <c r="CO45" s="1107"/>
      <c r="CP45" s="1107"/>
      <c r="CQ45" s="1107"/>
      <c r="CR45" s="1107"/>
      <c r="CS45" s="1107"/>
      <c r="CT45" s="1107"/>
      <c r="CU45" s="1107"/>
      <c r="CV45" s="1107"/>
      <c r="CW45" s="1107"/>
      <c r="CX45" s="1107"/>
      <c r="CY45" s="1107"/>
      <c r="CZ45" s="1107"/>
      <c r="DA45" s="1107"/>
      <c r="DB45" s="1107"/>
      <c r="DC45" s="1107"/>
      <c r="DD45" s="1107"/>
      <c r="DE45" s="1107"/>
      <c r="DF45" s="1107"/>
      <c r="DG45" s="1107"/>
      <c r="DH45" s="1107"/>
      <c r="DI45" s="1107"/>
      <c r="DJ45" s="1107"/>
      <c r="DK45" s="1107"/>
      <c r="DL45" s="1107"/>
      <c r="DM45" s="1107"/>
      <c r="DN45" s="1107"/>
      <c r="DO45" s="1107"/>
      <c r="DP45" s="1107"/>
      <c r="DQ45" s="1107"/>
      <c r="DR45" s="1107"/>
      <c r="DS45" s="1107"/>
      <c r="DT45" s="1107"/>
      <c r="DU45" s="1107"/>
      <c r="DV45" s="1107"/>
      <c r="DW45" s="1107"/>
      <c r="DX45" s="1107"/>
      <c r="DY45" s="1107"/>
      <c r="DZ45" s="1107"/>
      <c r="EA45" s="1107"/>
      <c r="EB45" s="1107"/>
      <c r="EC45" s="1107"/>
      <c r="ED45" s="1107"/>
      <c r="EE45" s="1107"/>
      <c r="EF45" s="1107"/>
      <c r="EG45" s="1107"/>
      <c r="EH45" s="1107"/>
      <c r="EI45" s="1107"/>
      <c r="EJ45" s="1107"/>
      <c r="EK45" s="1107"/>
      <c r="EL45" s="1107"/>
      <c r="EM45" s="1107"/>
      <c r="EN45" s="1107"/>
      <c r="EO45" s="1107"/>
      <c r="EP45" s="1107"/>
      <c r="EQ45" s="1107"/>
      <c r="ER45" s="1107"/>
      <c r="ES45" s="1107"/>
      <c r="ET45" s="1107"/>
      <c r="EU45" s="1107"/>
      <c r="EV45" s="1107"/>
      <c r="EW45" s="1107"/>
      <c r="EX45" s="1107"/>
      <c r="EY45" s="1107"/>
      <c r="EZ45" s="1107"/>
      <c r="FA45" s="1107"/>
      <c r="FB45" s="1107"/>
      <c r="FC45" s="1107"/>
      <c r="FD45" s="1107"/>
      <c r="FE45" s="1107"/>
      <c r="FF45" s="1107"/>
      <c r="FG45" s="1107"/>
      <c r="FH45" s="1107"/>
      <c r="FI45" s="1107"/>
      <c r="FJ45" s="1107"/>
      <c r="FK45" s="1107"/>
      <c r="FL45" s="1107"/>
      <c r="FM45" s="1107"/>
      <c r="FN45" s="1107"/>
      <c r="FO45" s="1107"/>
      <c r="FP45" s="1107"/>
      <c r="FQ45" s="1107"/>
      <c r="FR45" s="1107"/>
      <c r="FS45" s="1107"/>
      <c r="FT45" s="1107"/>
      <c r="FU45" s="1107"/>
      <c r="FV45" s="1107"/>
      <c r="FW45" s="1108"/>
      <c r="FX45" s="1328"/>
      <c r="FY45" s="1328"/>
      <c r="FZ45" s="1063" t="s">
        <v>240</v>
      </c>
      <c r="GA45" s="1330"/>
      <c r="GB45" s="1330"/>
      <c r="GC45" s="637" t="s">
        <v>1888</v>
      </c>
      <c r="GD45" s="1329"/>
    </row>
    <row customHeight="1" ht="14.625" hidden="1">
      <c r="A46" s="496"/>
      <c r="B46" s="932">
        <f>AND(R29="двухставочный",NOT(S29))</f>
        <v>0</v>
      </c>
      <c r="C46" s="496"/>
      <c r="D46" s="496"/>
      <c r="E46" s="847">
        <v>15</v>
      </c>
      <c r="F46" s="50" cm="1" t="str">
        <f t="array" ref="F46:F46">OFFSET(E46,-1,1)</f>
        <v>0</v>
      </c>
      <c r="G46" s="496"/>
      <c r="H46" s="496"/>
      <c r="I46" s="496"/>
      <c r="J46" s="496"/>
      <c r="K46" s="496"/>
      <c r="L46" s="496"/>
      <c r="M46" s="496"/>
      <c r="N46" s="496"/>
      <c r="O46" s="496"/>
      <c r="P46" s="496"/>
      <c r="Q46" s="496"/>
      <c r="R46" s="81"/>
      <c r="S46" s="496"/>
      <c r="T46" s="468" cm="1" t="str">
        <f t="array" ref="T46:T46">T45</f>
        <v>false</v>
      </c>
      <c r="U46" s="496"/>
      <c r="V46" s="496"/>
      <c r="W46" s="496"/>
      <c r="X46" s="1559"/>
      <c r="Y46" s="496"/>
      <c r="Z46" s="1528"/>
      <c r="AA46" s="496"/>
      <c r="AB46" s="901" t="s">
        <v>1893</v>
      </c>
      <c r="AC46" s="902"/>
      <c r="AD46" s="1109"/>
      <c r="AE46" s="1109"/>
      <c r="AF46" s="1109"/>
      <c r="AG46" s="1109"/>
      <c r="AH46" s="1109"/>
      <c r="AI46" s="1109"/>
      <c r="AJ46" s="1109"/>
      <c r="AK46" s="1109"/>
      <c r="AL46" s="1109"/>
      <c r="AM46" s="1109"/>
      <c r="AN46" s="1109"/>
      <c r="AO46" s="1109"/>
      <c r="AP46" s="1109"/>
      <c r="AQ46" s="1109"/>
      <c r="AR46" s="1109"/>
      <c r="AS46" s="1109"/>
      <c r="AT46" s="1109"/>
      <c r="AU46" s="1109"/>
      <c r="AV46" s="1109"/>
      <c r="AW46" s="1109"/>
      <c r="AX46" s="1109"/>
      <c r="AY46" s="1109"/>
      <c r="AZ46" s="1109"/>
      <c r="BA46" s="1109"/>
      <c r="BB46" s="1109"/>
      <c r="BC46" s="1109"/>
      <c r="BD46" s="1109"/>
      <c r="BE46" s="1109"/>
      <c r="BF46" s="1109"/>
      <c r="BG46" s="1109"/>
      <c r="BH46" s="1109"/>
      <c r="BI46" s="1109"/>
      <c r="BJ46" s="1109"/>
      <c r="BK46" s="1109"/>
      <c r="BL46" s="1109"/>
      <c r="BM46" s="1109"/>
      <c r="BN46" s="1109"/>
      <c r="BO46" s="1109"/>
      <c r="BP46" s="1109"/>
      <c r="BQ46" s="1109"/>
      <c r="BR46" s="1109"/>
      <c r="BS46" s="1109"/>
      <c r="BT46" s="1109"/>
      <c r="BU46" s="1109"/>
      <c r="BV46" s="1109"/>
      <c r="BW46" s="1109"/>
      <c r="BX46" s="1109"/>
      <c r="BY46" s="1109"/>
      <c r="BZ46" s="1109"/>
      <c r="CA46" s="1109"/>
      <c r="CB46" s="1109"/>
      <c r="CC46" s="1109"/>
      <c r="CD46" s="1109"/>
      <c r="CE46" s="1109"/>
      <c r="CF46" s="1109"/>
      <c r="CG46" s="1109"/>
      <c r="CH46" s="1109"/>
      <c r="CI46" s="1109"/>
      <c r="CJ46" s="1109"/>
      <c r="CK46" s="1109"/>
      <c r="CL46" s="1109"/>
      <c r="CM46" s="1109"/>
      <c r="CN46" s="1109"/>
      <c r="CO46" s="1109"/>
      <c r="CP46" s="1109"/>
      <c r="CQ46" s="1109"/>
      <c r="CR46" s="1109"/>
      <c r="CS46" s="1109"/>
      <c r="CT46" s="1109"/>
      <c r="CU46" s="1109"/>
      <c r="CV46" s="1109"/>
      <c r="CW46" s="1109"/>
      <c r="CX46" s="1109"/>
      <c r="CY46" s="1109"/>
      <c r="CZ46" s="1109"/>
      <c r="DA46" s="1109"/>
      <c r="DB46" s="1109"/>
      <c r="DC46" s="1109"/>
      <c r="DD46" s="1109"/>
      <c r="DE46" s="1109"/>
      <c r="DF46" s="1109"/>
      <c r="DG46" s="1109"/>
      <c r="DH46" s="1109"/>
      <c r="DI46" s="1109"/>
      <c r="DJ46" s="1109"/>
      <c r="DK46" s="1109"/>
      <c r="DL46" s="1109"/>
      <c r="DM46" s="1109"/>
      <c r="DN46" s="1109"/>
      <c r="DO46" s="1109"/>
      <c r="DP46" s="1109"/>
      <c r="DQ46" s="1109"/>
      <c r="DR46" s="1109"/>
      <c r="DS46" s="1109"/>
      <c r="DT46" s="1109"/>
      <c r="DU46" s="1109"/>
      <c r="DV46" s="1109"/>
      <c r="DW46" s="1109"/>
      <c r="DX46" s="1109"/>
      <c r="DY46" s="1109"/>
      <c r="DZ46" s="1109"/>
      <c r="EA46" s="1109"/>
      <c r="EB46" s="1109"/>
      <c r="EC46" s="1109"/>
      <c r="ED46" s="1109"/>
      <c r="EE46" s="1109"/>
      <c r="EF46" s="1109"/>
      <c r="EG46" s="1109"/>
      <c r="EH46" s="1109"/>
      <c r="EI46" s="1109"/>
      <c r="EJ46" s="1109"/>
      <c r="EK46" s="1109"/>
      <c r="EL46" s="1109"/>
      <c r="EM46" s="1109"/>
      <c r="EN46" s="1109"/>
      <c r="EO46" s="1109"/>
      <c r="EP46" s="1109"/>
      <c r="EQ46" s="1109"/>
      <c r="ER46" s="1109"/>
      <c r="ES46" s="1109"/>
      <c r="ET46" s="1109"/>
      <c r="EU46" s="1109"/>
      <c r="EV46" s="1109"/>
      <c r="EW46" s="1109"/>
      <c r="EX46" s="1109"/>
      <c r="EY46" s="1109"/>
      <c r="EZ46" s="1109"/>
      <c r="FA46" s="1109"/>
      <c r="FB46" s="1109"/>
      <c r="FC46" s="1109"/>
      <c r="FD46" s="1109"/>
      <c r="FE46" s="1109"/>
      <c r="FF46" s="1109"/>
      <c r="FG46" s="1109"/>
      <c r="FH46" s="1109"/>
      <c r="FI46" s="1109"/>
      <c r="FJ46" s="1109"/>
      <c r="FK46" s="1109"/>
      <c r="FL46" s="1109"/>
      <c r="FM46" s="1109"/>
      <c r="FN46" s="1109"/>
      <c r="FO46" s="1109"/>
      <c r="FP46" s="1109"/>
      <c r="FQ46" s="1109"/>
      <c r="FR46" s="1109"/>
      <c r="FS46" s="1109"/>
      <c r="FT46" s="1109"/>
      <c r="FU46" s="1109"/>
      <c r="FV46" s="1109"/>
      <c r="FW46" s="1110"/>
      <c r="FX46" s="1328"/>
      <c r="FY46" s="1328"/>
      <c r="FZ46" s="1063" t="s">
        <v>240</v>
      </c>
      <c r="GA46" s="1330"/>
      <c r="GB46" s="1330"/>
      <c r="GC46" s="1329"/>
      <c r="GD46" s="1329"/>
    </row>
    <row customHeight="1" ht="23.887500000000003" hidden="1">
      <c r="A47" s="496"/>
      <c r="B47" s="932" cm="1" t="str">
        <f t="array" ref="B47:B47">B46</f>
        <v>false</v>
      </c>
      <c r="C47" s="496"/>
      <c r="D47" s="496"/>
      <c r="E47" s="847">
        <v>24.5</v>
      </c>
      <c r="F47" s="50" cm="1" t="str">
        <f t="array" ref="F47:F47">OFFSET(E47,-1,1)</f>
        <v>0</v>
      </c>
      <c r="G47" s="496"/>
      <c r="H47" s="496"/>
      <c r="I47" s="496"/>
      <c r="J47" s="496"/>
      <c r="K47" s="496"/>
      <c r="L47" s="496"/>
      <c r="M47" s="496"/>
      <c r="N47" s="496"/>
      <c r="O47" s="496"/>
      <c r="P47" s="496"/>
      <c r="Q47" s="496"/>
      <c r="R47" s="496"/>
      <c r="S47" s="496"/>
      <c r="T47" s="468" cm="1" t="str">
        <f t="array" ref="T47:T47">T46</f>
        <v>false</v>
      </c>
      <c r="U47" s="496"/>
      <c r="V47" s="496"/>
      <c r="W47" s="496"/>
      <c r="X47" s="1559"/>
      <c r="Y47" s="496"/>
      <c r="Z47" s="1528"/>
      <c r="AA47" s="496"/>
      <c r="AB47" s="289" t="s">
        <v>1894</v>
      </c>
      <c r="AC47" s="910"/>
      <c r="AD47" s="1111"/>
      <c r="AE47" s="1111"/>
      <c r="AF47" s="1111"/>
      <c r="AG47" s="1111"/>
      <c r="AH47" s="1111"/>
      <c r="AI47" s="1111"/>
      <c r="AJ47" s="1111"/>
      <c r="AK47" s="1111"/>
      <c r="AL47" s="1111"/>
      <c r="AM47" s="1111"/>
      <c r="AN47" s="1111"/>
      <c r="AO47" s="1111"/>
      <c r="AP47" s="1111"/>
      <c r="AQ47" s="1111"/>
      <c r="AR47" s="1111"/>
      <c r="AS47" s="1111"/>
      <c r="AT47" s="1111"/>
      <c r="AU47" s="1111"/>
      <c r="AV47" s="1111"/>
      <c r="AW47" s="1111"/>
      <c r="AX47" s="1111"/>
      <c r="AY47" s="1111"/>
      <c r="AZ47" s="1111"/>
      <c r="BA47" s="1111"/>
      <c r="BB47" s="1111"/>
      <c r="BC47" s="1111"/>
      <c r="BD47" s="1111"/>
      <c r="BE47" s="1111"/>
      <c r="BF47" s="1111"/>
      <c r="BG47" s="1111"/>
      <c r="BH47" s="1111"/>
      <c r="BI47" s="1111"/>
      <c r="BJ47" s="1111"/>
      <c r="BK47" s="1111"/>
      <c r="BL47" s="1111"/>
      <c r="BM47" s="1111"/>
      <c r="BN47" s="1111"/>
      <c r="BO47" s="1111"/>
      <c r="BP47" s="1111"/>
      <c r="BQ47" s="1111"/>
      <c r="BR47" s="1111"/>
      <c r="BS47" s="1111"/>
      <c r="BT47" s="1111"/>
      <c r="BU47" s="1111"/>
      <c r="BV47" s="1111"/>
      <c r="BW47" s="1111"/>
      <c r="BX47" s="1111"/>
      <c r="BY47" s="1111"/>
      <c r="BZ47" s="1111"/>
      <c r="CA47" s="1111"/>
      <c r="CB47" s="1111"/>
      <c r="CC47" s="1111"/>
      <c r="CD47" s="1111"/>
      <c r="CE47" s="1111"/>
      <c r="CF47" s="1111"/>
      <c r="CG47" s="1111"/>
      <c r="CH47" s="1111"/>
      <c r="CI47" s="1111"/>
      <c r="CJ47" s="1111"/>
      <c r="CK47" s="1111"/>
      <c r="CL47" s="1111"/>
      <c r="CM47" s="1111"/>
      <c r="CN47" s="1111"/>
      <c r="CO47" s="1111"/>
      <c r="CP47" s="1111"/>
      <c r="CQ47" s="1111"/>
      <c r="CR47" s="1111"/>
      <c r="CS47" s="1111"/>
      <c r="CT47" s="1111"/>
      <c r="CU47" s="1111"/>
      <c r="CV47" s="1111"/>
      <c r="CW47" s="1111"/>
      <c r="CX47" s="1111"/>
      <c r="CY47" s="1111"/>
      <c r="CZ47" s="1111"/>
      <c r="DA47" s="1111"/>
      <c r="DB47" s="1111"/>
      <c r="DC47" s="1111"/>
      <c r="DD47" s="1111"/>
      <c r="DE47" s="1111"/>
      <c r="DF47" s="1111"/>
      <c r="DG47" s="1111"/>
      <c r="DH47" s="1111"/>
      <c r="DI47" s="1111"/>
      <c r="DJ47" s="1111"/>
      <c r="DK47" s="1111"/>
      <c r="DL47" s="1111"/>
      <c r="DM47" s="1111"/>
      <c r="DN47" s="1111"/>
      <c r="DO47" s="1111"/>
      <c r="DP47" s="1111"/>
      <c r="DQ47" s="1111"/>
      <c r="DR47" s="1111"/>
      <c r="DS47" s="1111"/>
      <c r="DT47" s="1111"/>
      <c r="DU47" s="1111"/>
      <c r="DV47" s="1111"/>
      <c r="DW47" s="1111"/>
      <c r="DX47" s="1111"/>
      <c r="DY47" s="1111"/>
      <c r="DZ47" s="1111"/>
      <c r="EA47" s="1111"/>
      <c r="EB47" s="1111"/>
      <c r="EC47" s="1111"/>
      <c r="ED47" s="1111"/>
      <c r="EE47" s="1111"/>
      <c r="EF47" s="1111"/>
      <c r="EG47" s="1111"/>
      <c r="EH47" s="1111"/>
      <c r="EI47" s="1111"/>
      <c r="EJ47" s="1111"/>
      <c r="EK47" s="1111"/>
      <c r="EL47" s="1111"/>
      <c r="EM47" s="1111"/>
      <c r="EN47" s="1111"/>
      <c r="EO47" s="1111"/>
      <c r="EP47" s="1111"/>
      <c r="EQ47" s="1111"/>
      <c r="ER47" s="1111"/>
      <c r="ES47" s="1111"/>
      <c r="ET47" s="1111"/>
      <c r="EU47" s="1111"/>
      <c r="EV47" s="1111"/>
      <c r="EW47" s="1111"/>
      <c r="EX47" s="1111"/>
      <c r="EY47" s="1111"/>
      <c r="EZ47" s="1111"/>
      <c r="FA47" s="1111"/>
      <c r="FB47" s="1111"/>
      <c r="FC47" s="1111"/>
      <c r="FD47" s="1111"/>
      <c r="FE47" s="1111"/>
      <c r="FF47" s="1111"/>
      <c r="FG47" s="1111"/>
      <c r="FH47" s="1111"/>
      <c r="FI47" s="1111"/>
      <c r="FJ47" s="1111"/>
      <c r="FK47" s="1111"/>
      <c r="FL47" s="1111"/>
      <c r="FM47" s="1111"/>
      <c r="FN47" s="1111"/>
      <c r="FO47" s="1111"/>
      <c r="FP47" s="1111"/>
      <c r="FQ47" s="1111"/>
      <c r="FR47" s="1111"/>
      <c r="FS47" s="1111"/>
      <c r="FT47" s="1111"/>
      <c r="FU47" s="1111"/>
      <c r="FV47" s="1111"/>
      <c r="FW47" s="1112"/>
      <c r="FX47" s="1328"/>
      <c r="FY47" s="1328"/>
      <c r="FZ47" s="1063" t="s">
        <v>240</v>
      </c>
      <c r="GA47" s="1330"/>
      <c r="GB47" s="1330"/>
      <c r="GC47" s="1329"/>
      <c r="GD47" s="1329"/>
    </row>
    <row customHeight="1" ht="14.625" hidden="1">
      <c r="A48" s="496"/>
      <c r="B48" s="932" cm="1" t="str">
        <f t="array" ref="B48:B48">B47</f>
        <v>false</v>
      </c>
      <c r="C48" s="496"/>
      <c r="D48" s="496"/>
      <c r="E48" s="847">
        <v>15</v>
      </c>
      <c r="F48" s="50" cm="1" t="str">
        <f t="array" ref="F48:F48">OFFSET(E48,-1,1)</f>
        <v>0</v>
      </c>
      <c r="G48" s="496"/>
      <c r="H48" s="496" t="s">
        <v>1787</v>
      </c>
      <c r="I48" s="496" t="s">
        <v>1860</v>
      </c>
      <c r="J48" s="496"/>
      <c r="K48" s="496"/>
      <c r="L48" s="496"/>
      <c r="M48" s="496"/>
      <c r="N48" s="496"/>
      <c r="O48" s="496"/>
      <c r="P48" s="496"/>
      <c r="Q48" s="496"/>
      <c r="R48" s="496"/>
      <c r="S48" s="496"/>
      <c r="T48" s="468" cm="1" t="str">
        <f t="array" ref="T48:T48">T47</f>
        <v>false</v>
      </c>
      <c r="U48" s="496"/>
      <c r="V48" s="496"/>
      <c r="W48" s="496"/>
      <c r="X48" s="1559"/>
      <c r="Y48" s="496"/>
      <c r="Z48" s="1528"/>
      <c r="AA48" s="496"/>
      <c r="AB48" s="911" t="s">
        <v>1895</v>
      </c>
      <c r="AC48" s="871" t="s">
        <v>1862</v>
      </c>
      <c r="AD48" s="4591">
        <f>IF(AD50=0,0,(AD49*AD50+AD51*AD52*IF(god=2026,9,6))/AD50)</f>
        <v>0</v>
      </c>
      <c r="AE48" s="4591">
        <f>IF(AE50=0,0,(AE49*AE50+AE51*AE52*IF(god=2026,9,6))/AE50)</f>
        <v>0</v>
      </c>
      <c r="AF48" s="1102">
        <f>IF(AD48=0,0,(AE48-AD48)/AD48*100)</f>
        <v>0</v>
      </c>
      <c r="AG48" s="4591">
        <f>IF(AG50=0,0,(AG49*AG50+AG51*AG52*IF(god=2025,9,6))/AG50)</f>
        <v>0</v>
      </c>
      <c r="AH48" s="4591">
        <f>IF(AH50=0,0,(AH49*AH50+AH51*AH52*IF(god=2025,9,6))/AH50)</f>
        <v>0</v>
      </c>
      <c r="AI48" s="1102">
        <f>IF(AG48=0,0,(AH48-AG48)/AG48*100)</f>
        <v>0</v>
      </c>
      <c r="AJ48" s="4591">
        <f>IF(AJ50=0,0,(AJ49*AJ50+AJ51*AJ52*6)/AJ50)</f>
        <v>0</v>
      </c>
      <c r="AK48" s="4591">
        <f>IF(AK50=0,0,(AK49*AK50+AK51*AK52*6)/AK50)</f>
        <v>0</v>
      </c>
      <c r="AL48" s="1102">
        <f>IF(AJ48=0,0,(AK48-AJ48)/AJ48*100)</f>
        <v>0</v>
      </c>
      <c r="AM48" s="4591">
        <f>IF(AM50=0,0,(AM49*AM50+AM51*AM52*6)/AM50)</f>
        <v>0</v>
      </c>
      <c r="AN48" s="4591">
        <f>IF(AN50=0,0,(AN49*AN50+AN51*AN52*6)/AN50)</f>
        <v>0</v>
      </c>
      <c r="AO48" s="1102">
        <f>IF(AM48=0,0,(AN48-AM48)/AM48*100)</f>
        <v>0</v>
      </c>
      <c r="AP48" s="4591">
        <f>IF(AP50=0,0,(AP49*AP50+AP51*AP52*6)/AP50)</f>
        <v>0</v>
      </c>
      <c r="AQ48" s="4591">
        <f>IF(AQ50=0,0,(AQ49*AQ50+AQ51*AQ52*6)/AQ50)</f>
        <v>0</v>
      </c>
      <c r="AR48" s="1102">
        <f>IF(AP48=0,0,(AQ48-AP48)/AP48*100)</f>
        <v>0</v>
      </c>
      <c r="AS48" s="4591">
        <f>IF(AS50=0,0,(AS49*AS50+AS51*AS52*6)/AS50)</f>
        <v>0</v>
      </c>
      <c r="AT48" s="4591">
        <f>IF(AT50=0,0,(AT49*AT50+AT51*AT52*6)/AT50)</f>
        <v>0</v>
      </c>
      <c r="AU48" s="1102">
        <f>IF(AS48=0,0,(AT48-AS48)/AS48*100)</f>
        <v>0</v>
      </c>
      <c r="AV48" s="4591">
        <f>IF(AV50=0,0,(AV49*AV50+AV51*AV52*6)/AV50)</f>
        <v>0</v>
      </c>
      <c r="AW48" s="4591">
        <f>IF(AW50=0,0,(AW49*AW50+AW51*AW52*6)/AW50)</f>
        <v>0</v>
      </c>
      <c r="AX48" s="1102">
        <f>IF(AV48=0,0,(AW48-AV48)/AV48*100)</f>
        <v>0</v>
      </c>
      <c r="AY48" s="4591">
        <f>IF(AY50=0,0,(AY49*AY50+AY51*AY52*6)/AY50)</f>
        <v>0</v>
      </c>
      <c r="AZ48" s="4591">
        <f>IF(AZ50=0,0,(AZ49*AZ50+AZ51*AZ52*6)/AZ50)</f>
        <v>0</v>
      </c>
      <c r="BA48" s="1102">
        <f>IF(AY48=0,0,(AZ48-AY48)/AY48*100)</f>
        <v>0</v>
      </c>
      <c r="BB48" s="4591">
        <f>IF(BB50=0,0,(BB49*BB50+BB51*BB52*6)/BB50)</f>
        <v>0</v>
      </c>
      <c r="BC48" s="4591">
        <f>IF(BC50=0,0,(BC49*BC50+BC51*BC52*6)/BC50)</f>
        <v>0</v>
      </c>
      <c r="BD48" s="1102">
        <f>IF(BB48=0,0,(BC48-BB48)/BB48*100)</f>
        <v>0</v>
      </c>
      <c r="BE48" s="4591">
        <f>IF(BE50=0,0,(BE49*BE50+BE51*BE52*6)/BE50)</f>
        <v>0</v>
      </c>
      <c r="BF48" s="4591">
        <f>IF(BF50=0,0,(BF49*BF50+BF51*BF52*6)/BF50)</f>
        <v>0</v>
      </c>
      <c r="BG48" s="1102">
        <f>IF(BE48=0,0,(BF48-BE48)/BE48*100)</f>
        <v>0</v>
      </c>
      <c r="BH48" s="4591">
        <f>IF(BH50=0,0,(BH49*BH50+BH51*BH52*6)/BH50)</f>
        <v>0</v>
      </c>
      <c r="BI48" s="4591">
        <f>IF(BI50=0,0,(BI49*BI50+BI51*BI52*6)/BI50)</f>
        <v>0</v>
      </c>
      <c r="BJ48" s="1102">
        <f>IF(BH48=0,0,(BI48-BH48)/BH48*100)</f>
        <v>0</v>
      </c>
      <c r="BK48" s="4591">
        <f>IF(BK50=0,0,(BK49*BK50+BK51*BK52*6)/BK50)</f>
        <v>0</v>
      </c>
      <c r="BL48" s="4591">
        <f>IF(BL50=0,0,(BL49*BL50+BL51*BL52*6)/BL50)</f>
        <v>0</v>
      </c>
      <c r="BM48" s="1102">
        <f>IF(BK48=0,0,(BL48-BK48)/BK48*100)</f>
        <v>0</v>
      </c>
      <c r="BN48" s="4591">
        <f>IF(BN50=0,0,(BN49*BN50+BN51*BN52*6)/BN50)</f>
        <v>0</v>
      </c>
      <c r="BO48" s="4591">
        <f>IF(BO50=0,0,(BO49*BO50+BO51*BO52*6)/BO50)</f>
        <v>0</v>
      </c>
      <c r="BP48" s="1102">
        <f>IF(BN48=0,0,(BO48-BN48)/BN48*100)</f>
        <v>0</v>
      </c>
      <c r="BQ48" s="4591">
        <f>IF(BQ50=0,0,(BQ49*BQ50+BQ51*BQ52*6)/BQ50)</f>
        <v>0</v>
      </c>
      <c r="BR48" s="4591">
        <f>IF(BR50=0,0,(BR49*BR50+BR51*BR52*6)/BR50)</f>
        <v>0</v>
      </c>
      <c r="BS48" s="1102">
        <f>IF(BQ48=0,0,(BR48-BQ48)/BQ48*100)</f>
        <v>0</v>
      </c>
      <c r="BT48" s="4591">
        <f>IF(BT50=0,0,(BT49*BT50+BT51*BT52*6)/BT50)</f>
        <v>0</v>
      </c>
      <c r="BU48" s="4591">
        <f>IF(BU50=0,0,(BU49*BU50+BU51*BU52*6)/BU50)</f>
        <v>0</v>
      </c>
      <c r="BV48" s="1102">
        <f>IF(BT48=0,0,(BU48-BT48)/BT48*100)</f>
        <v>0</v>
      </c>
      <c r="BW48" s="4591">
        <f>IF(BW50=0,0,(BW49*BW50+BW51*BW52*6)/BW50)</f>
        <v>0</v>
      </c>
      <c r="BX48" s="4591">
        <f>IF(BX50=0,0,(BX49*BX50+BX51*BX52*6)/BX50)</f>
        <v>0</v>
      </c>
      <c r="BY48" s="1102">
        <f>IF(BW48=0,0,(BX48-BW48)/BW48*100)</f>
        <v>0</v>
      </c>
      <c r="BZ48" s="4591">
        <f>IF(BZ50=0,0,(BZ49*BZ50+BZ51*BZ52*6)/BZ50)</f>
        <v>0</v>
      </c>
      <c r="CA48" s="4591">
        <f>IF(CA50=0,0,(CA49*CA50+CA51*CA52*6)/CA50)</f>
        <v>0</v>
      </c>
      <c r="CB48" s="1102">
        <f>IF(BZ48=0,0,(CA48-BZ48)/BZ48*100)</f>
        <v>0</v>
      </c>
      <c r="CC48" s="4591">
        <f>IF(CC50=0,0,(CC49*CC50+CC51*CC52*6)/CC50)</f>
        <v>0</v>
      </c>
      <c r="CD48" s="4591">
        <f>IF(CD50=0,0,(CD49*CD50+CD51*CD52*6)/CD50)</f>
        <v>0</v>
      </c>
      <c r="CE48" s="1102">
        <f>IF(CC48=0,0,(CD48-CC48)/CC48*100)</f>
        <v>0</v>
      </c>
      <c r="CF48" s="4591">
        <f>IF(CF50=0,0,(CF49*CF50+CF51*CF52*6)/CF50)</f>
        <v>0</v>
      </c>
      <c r="CG48" s="4591">
        <f>IF(CG50=0,0,(CG49*CG50+CG51*CG52*6)/CG50)</f>
        <v>0</v>
      </c>
      <c r="CH48" s="1102">
        <f>IF(CF48=0,0,(CG48-CF48)/CF48*100)</f>
        <v>0</v>
      </c>
      <c r="CI48" s="4591">
        <f>IF(CI50=0,0,(CI49*CI50+CI51*CI52*6)/CI50)</f>
        <v>0</v>
      </c>
      <c r="CJ48" s="4591">
        <f>IF(CJ50=0,0,(CJ49*CJ50+CJ51*CJ52*6)/CJ50)</f>
        <v>0</v>
      </c>
      <c r="CK48" s="1102">
        <f>IF(CI48=0,0,(CJ48-CI48)/CI48*100)</f>
        <v>0</v>
      </c>
      <c r="CL48" s="4591">
        <f>IF(CL50=0,0,(CL49*CL50+CL51*CL52*6)/CL50)</f>
        <v>0</v>
      </c>
      <c r="CM48" s="4591">
        <f>IF(CM50=0,0,(CM49*CM50+CM51*CM52*6)/CM50)</f>
        <v>0</v>
      </c>
      <c r="CN48" s="1102">
        <f>IF(CL48=0,0,(CM48-CL48)/CL48*100)</f>
        <v>0</v>
      </c>
      <c r="CO48" s="4591">
        <f>IF(CO50=0,0,(CO49*CO50+CO51*CO52*6)/CO50)</f>
        <v>0</v>
      </c>
      <c r="CP48" s="4591">
        <f>IF(CP50=0,0,(CP49*CP50+CP51*CP52*6)/CP50)</f>
        <v>0</v>
      </c>
      <c r="CQ48" s="1102">
        <f>IF(CO48=0,0,(CP48-CO48)/CO48*100)</f>
        <v>0</v>
      </c>
      <c r="CR48" s="4591">
        <f>IF(CR50=0,0,(CR49*CR50+CR51*CR52*6)/CR50)</f>
        <v>0</v>
      </c>
      <c r="CS48" s="4591">
        <f>IF(CS50=0,0,(CS49*CS50+CS51*CS52*6)/CS50)</f>
        <v>0</v>
      </c>
      <c r="CT48" s="1102">
        <f>IF(CR48=0,0,(CS48-CR48)/CR48*100)</f>
        <v>0</v>
      </c>
      <c r="CU48" s="4591">
        <f>IF(CU50=0,0,(CU49*CU50+CU51*CU52*6)/CU50)</f>
        <v>0</v>
      </c>
      <c r="CV48" s="4591">
        <f>IF(CV50=0,0,(CV49*CV50+CV51*CV52*6)/CV50)</f>
        <v>0</v>
      </c>
      <c r="CW48" s="1102">
        <f>IF(CU48=0,0,(CV48-CU48)/CU48*100)</f>
        <v>0</v>
      </c>
      <c r="CX48" s="4591">
        <f>IF(CX50=0,0,(CX49*CX50+CX51*CX52*6)/CX50)</f>
        <v>0</v>
      </c>
      <c r="CY48" s="4591">
        <f>IF(CY50=0,0,(CY49*CY50+CY51*CY52*6)/CY50)</f>
        <v>0</v>
      </c>
      <c r="CZ48" s="1102">
        <f>IF(CX48=0,0,(CY48-CX48)/CX48*100)</f>
        <v>0</v>
      </c>
      <c r="DA48" s="4591">
        <f>IF(DA50=0,0,(DA49*DA50+DA51*DA52*6)/DA50)</f>
        <v>0</v>
      </c>
      <c r="DB48" s="4591">
        <f>IF(DB50=0,0,(DB49*DB50+DB51*DB52*6)/DB50)</f>
        <v>0</v>
      </c>
      <c r="DC48" s="1102">
        <f>IF(DA48=0,0,(DB48-DA48)/DA48*100)</f>
        <v>0</v>
      </c>
      <c r="DD48" s="4591">
        <f>IF(DD50=0,0,(DD49*DD50+DD51*DD52*6)/DD50)</f>
        <v>0</v>
      </c>
      <c r="DE48" s="4591">
        <f>IF(DE50=0,0,(DE49*DE50+DE51*DE52*6)/DE50)</f>
        <v>0</v>
      </c>
      <c r="DF48" s="1102">
        <f>IF(DD48=0,0,(DE48-DD48)/DD48*100)</f>
        <v>0</v>
      </c>
      <c r="DG48" s="4591">
        <f>IF(DG50=0,0,(DG49*DG50+DG51*DG52*6)/DG50)</f>
        <v>0</v>
      </c>
      <c r="DH48" s="4591">
        <f>IF(DH50=0,0,(DH49*DH50+DH51*DH52*6)/DH50)</f>
        <v>0</v>
      </c>
      <c r="DI48" s="1102">
        <f>IF(DG48=0,0,(DH48-DG48)/DG48*100)</f>
        <v>0</v>
      </c>
      <c r="DJ48" s="4591">
        <f>IF(DJ50=0,0,(DJ49*DJ50+DJ51*DJ52*6)/DJ50)</f>
        <v>0</v>
      </c>
      <c r="DK48" s="4591">
        <f>IF(DK50=0,0,(DK49*DK50+DK51*DK52*6)/DK50)</f>
        <v>0</v>
      </c>
      <c r="DL48" s="1102">
        <f>IF(DJ48=0,0,(DK48-DJ48)/DJ48*100)</f>
        <v>0</v>
      </c>
      <c r="DM48" s="4591">
        <f>IF(DM50=0,0,(DM49*DM50+DM51*DM52*6)/DM50)</f>
        <v>0</v>
      </c>
      <c r="DN48" s="4591">
        <f>IF(DN50=0,0,(DN49*DN50+DN51*DN52*6)/DN50)</f>
        <v>0</v>
      </c>
      <c r="DO48" s="1102">
        <f>IF(DM48=0,0,(DN48-DM48)/DM48*100)</f>
        <v>0</v>
      </c>
      <c r="DP48" s="4591">
        <f>IF(DP50=0,0,(DP49*DP50+DP51*DP52*6)/DP50)</f>
        <v>0</v>
      </c>
      <c r="DQ48" s="4591">
        <f>IF(DQ50=0,0,(DQ49*DQ50+DQ51*DQ52*6)/DQ50)</f>
        <v>0</v>
      </c>
      <c r="DR48" s="1102">
        <f>IF(DP48=0,0,(DQ48-DP48)/DP48*100)</f>
        <v>0</v>
      </c>
      <c r="DS48" s="4591">
        <f>IF(DS50=0,0,(DS49*DS50+DS51*DS52*6)/DS50)</f>
        <v>0</v>
      </c>
      <c r="DT48" s="4591">
        <f>IF(DT50=0,0,(DT49*DT50+DT51*DT52*6)/DT50)</f>
        <v>0</v>
      </c>
      <c r="DU48" s="1102">
        <f>IF(DS48=0,0,(DT48-DS48)/DS48*100)</f>
        <v>0</v>
      </c>
      <c r="DV48" s="4591">
        <f>IF(DV50=0,0,(DV49*DV50+DV51*DV52*6)/DV50)</f>
        <v>0</v>
      </c>
      <c r="DW48" s="4591">
        <f>IF(DW50=0,0,(DW49*DW50+DW51*DW52*6)/DW50)</f>
        <v>0</v>
      </c>
      <c r="DX48" s="1102">
        <f>IF(DV48=0,0,(DW48-DV48)/DV48*100)</f>
        <v>0</v>
      </c>
      <c r="DY48" s="4591">
        <f>IF(DY50=0,0,(DY49*DY50+DY51*DY52*6)/DY50)</f>
        <v>0</v>
      </c>
      <c r="DZ48" s="4591">
        <f>IF(DZ50=0,0,(DZ49*DZ50+DZ51*DZ52*6)/DZ50)</f>
        <v>0</v>
      </c>
      <c r="EA48" s="1102">
        <f>IF(DY48=0,0,(DZ48-DY48)/DY48*100)</f>
        <v>0</v>
      </c>
      <c r="EB48" s="4591">
        <f>IF(EB50=0,0,(EB49*EB50+EB51*EB52*6)/EB50)</f>
        <v>0</v>
      </c>
      <c r="EC48" s="4591">
        <f>IF(EC50=0,0,(EC49*EC50+EC51*EC52*6)/EC50)</f>
        <v>0</v>
      </c>
      <c r="ED48" s="1102">
        <f>IF(EB48=0,0,(EC48-EB48)/EB48*100)</f>
        <v>0</v>
      </c>
      <c r="EE48" s="4591">
        <f>IF(EE50=0,0,(EE49*EE50+EE51*EE52*6)/EE50)</f>
        <v>0</v>
      </c>
      <c r="EF48" s="4591">
        <f>IF(EF50=0,0,(EF49*EF50+EF51*EF52*6)/EF50)</f>
        <v>0</v>
      </c>
      <c r="EG48" s="1102">
        <f>IF(EE48=0,0,(EF48-EE48)/EE48*100)</f>
        <v>0</v>
      </c>
      <c r="EH48" s="4591">
        <f>IF(EH50=0,0,(EH49*EH50+EH51*EH52*6)/EH50)</f>
        <v>0</v>
      </c>
      <c r="EI48" s="4591">
        <f>IF(EI50=0,0,(EI49*EI50+EI51*EI52*6)/EI50)</f>
        <v>0</v>
      </c>
      <c r="EJ48" s="1102">
        <f>IF(EH48=0,0,(EI48-EH48)/EH48*100)</f>
        <v>0</v>
      </c>
      <c r="EK48" s="4591">
        <f>IF(EK50=0,0,(EK49*EK50+EK51*EK52*6)/EK50)</f>
        <v>0</v>
      </c>
      <c r="EL48" s="4591">
        <f>IF(EL50=0,0,(EL49*EL50+EL51*EL52*6)/EL50)</f>
        <v>0</v>
      </c>
      <c r="EM48" s="1102">
        <f>IF(EK48=0,0,(EL48-EK48)/EK48*100)</f>
        <v>0</v>
      </c>
      <c r="EN48" s="4591">
        <f>IF(EN50=0,0,(EN49*EN50+EN51*EN52*6)/EN50)</f>
        <v>0</v>
      </c>
      <c r="EO48" s="4591">
        <f>IF(EO50=0,0,(EO49*EO50+EO51*EO52*6)/EO50)</f>
        <v>0</v>
      </c>
      <c r="EP48" s="1102">
        <f>IF(EN48=0,0,(EO48-EN48)/EN48*100)</f>
        <v>0</v>
      </c>
      <c r="EQ48" s="4591">
        <f>IF(EQ50=0,0,(EQ49*EQ50+EQ51*EQ52*6)/EQ50)</f>
        <v>0</v>
      </c>
      <c r="ER48" s="4591">
        <f>IF(ER50=0,0,(ER49*ER50+ER51*ER52*6)/ER50)</f>
        <v>0</v>
      </c>
      <c r="ES48" s="1102">
        <f>IF(EQ48=0,0,(ER48-EQ48)/EQ48*100)</f>
        <v>0</v>
      </c>
      <c r="ET48" s="4591">
        <f>IF(ET50=0,0,(ET49*ET50+ET51*ET52*6)/ET50)</f>
        <v>0</v>
      </c>
      <c r="EU48" s="4591">
        <f>IF(EU50=0,0,(EU49*EU50+EU51*EU52*6)/EU50)</f>
        <v>0</v>
      </c>
      <c r="EV48" s="1102">
        <f>IF(ET48=0,0,(EU48-ET48)/ET48*100)</f>
        <v>0</v>
      </c>
      <c r="EW48" s="4591">
        <f>IF(EW50=0,0,(EW49*EW50+EW51*EW52*6)/EW50)</f>
        <v>0</v>
      </c>
      <c r="EX48" s="4591">
        <f>IF(EX50=0,0,(EX49*EX50+EX51*EX52*6)/EX50)</f>
        <v>0</v>
      </c>
      <c r="EY48" s="1102">
        <f>IF(EW48=0,0,(EX48-EW48)/EW48*100)</f>
        <v>0</v>
      </c>
      <c r="EZ48" s="4591">
        <f>IF(EZ50=0,0,(EZ49*EZ50+EZ51*EZ52*6)/EZ50)</f>
        <v>0</v>
      </c>
      <c r="FA48" s="4591">
        <f>IF(FA50=0,0,(FA49*FA50+FA51*FA52*6)/FA50)</f>
        <v>0</v>
      </c>
      <c r="FB48" s="1102">
        <f>IF(EZ48=0,0,(FA48-EZ48)/EZ48*100)</f>
        <v>0</v>
      </c>
      <c r="FC48" s="4591">
        <f>IF(FC50=0,0,(FC49*FC50+FC51*FC52*6)/FC50)</f>
        <v>0</v>
      </c>
      <c r="FD48" s="4591">
        <f>IF(FD50=0,0,(FD49*FD50+FD51*FD52*6)/FD50)</f>
        <v>0</v>
      </c>
      <c r="FE48" s="1102">
        <f>IF(FC48=0,0,(FD48-FC48)/FC48*100)</f>
        <v>0</v>
      </c>
      <c r="FF48" s="4591">
        <f>IF(FF50=0,0,(FF49*FF50+FF51*FF52*6)/FF50)</f>
        <v>0</v>
      </c>
      <c r="FG48" s="4591">
        <f>IF(FG50=0,0,(FG49*FG50+FG51*FG52*6)/FG50)</f>
        <v>0</v>
      </c>
      <c r="FH48" s="1102">
        <f>IF(FF48=0,0,(FG48-FF48)/FF48*100)</f>
        <v>0</v>
      </c>
      <c r="FI48" s="4591">
        <f>IF(FI50=0,0,(FI49*FI50+FI51*FI52*6)/FI50)</f>
        <v>0</v>
      </c>
      <c r="FJ48" s="4591">
        <f>IF(FJ50=0,0,(FJ49*FJ50+FJ51*FJ52*6)/FJ50)</f>
        <v>0</v>
      </c>
      <c r="FK48" s="1102">
        <f>IF(FI48=0,0,(FJ48-FI48)/FI48*100)</f>
        <v>0</v>
      </c>
      <c r="FL48" s="4591">
        <f>IF(FL50=0,0,(FL49*FL50+FL51*FL52*6)/FL50)</f>
        <v>0</v>
      </c>
      <c r="FM48" s="4591">
        <f>IF(FM50=0,0,(FM49*FM50+FM51*FM52*6)/FM50)</f>
        <v>0</v>
      </c>
      <c r="FN48" s="1102">
        <f>IF(FL48=0,0,(FM48-FL48)/FL48*100)</f>
        <v>0</v>
      </c>
      <c r="FO48" s="4591">
        <f>IF(FO50=0,0,(FO49*FO50+FO51*FO52*6)/FO50)</f>
        <v>0</v>
      </c>
      <c r="FP48" s="4591">
        <f>IF(FP50=0,0,(FP49*FP50+FP51*FP52*6)/FP50)</f>
        <v>0</v>
      </c>
      <c r="FQ48" s="1102">
        <f>IF(FO48=0,0,(FP48-FO48)/FO48*100)</f>
        <v>0</v>
      </c>
      <c r="FR48" s="4591">
        <f>IF(FR50=0,0,(FR49*FR50+FR51*FR52*6)/FR50)</f>
        <v>0</v>
      </c>
      <c r="FS48" s="4591">
        <f>IF(FS50=0,0,(FS49*FS50+FS51*FS52*6)/FS50)</f>
        <v>0</v>
      </c>
      <c r="FT48" s="1102">
        <f>IF(FR48=0,0,(FS48-FR48)/FR48*100)</f>
        <v>0</v>
      </c>
      <c r="FU48" s="4591">
        <f>IF(FU50=0,0,(FU49*FU50+FU51*FU52*6)/FU50)</f>
        <v>0</v>
      </c>
      <c r="FV48" s="4591">
        <f>IF(FV50=0,0,(FV49*FV50+FV51*FV52*6)/FV50)</f>
        <v>0</v>
      </c>
      <c r="FW48" s="1102">
        <f>IF(FU48=0,0,(FV48-FU48)/FU48*100)</f>
        <v>0</v>
      </c>
      <c r="FX48" s="1328"/>
      <c r="FY48" s="1328"/>
      <c r="FZ48" s="1063" t="s">
        <v>1896</v>
      </c>
      <c r="GA48" s="1330"/>
      <c r="GB48" s="1330"/>
      <c r="GC48" s="1329"/>
      <c r="GD48" s="1329"/>
    </row>
    <row customHeight="1" ht="14.625" hidden="1">
      <c r="A49" s="496"/>
      <c r="B49" s="932" cm="1" t="str">
        <f t="array" ref="B49:B49">B48</f>
        <v>false</v>
      </c>
      <c r="C49" s="496"/>
      <c r="D49" s="496"/>
      <c r="E49" s="847">
        <v>15</v>
      </c>
      <c r="F49" s="50" cm="1" t="str">
        <f t="array" ref="F49:F49">OFFSET(E49,-1,1)</f>
        <v>0</v>
      </c>
      <c r="G49" s="496"/>
      <c r="H49" s="496" t="s">
        <v>1791</v>
      </c>
      <c r="I49" s="496" t="s">
        <v>1860</v>
      </c>
      <c r="J49" s="496"/>
      <c r="K49" s="496"/>
      <c r="L49" s="496"/>
      <c r="M49" s="496"/>
      <c r="N49" s="496"/>
      <c r="O49" s="496"/>
      <c r="P49" s="496"/>
      <c r="Q49" s="496"/>
      <c r="R49" s="496"/>
      <c r="S49" s="496"/>
      <c r="T49" s="468" cm="1" t="str">
        <f t="array" ref="T49:T49">T48</f>
        <v>false</v>
      </c>
      <c r="U49" s="496"/>
      <c r="V49" s="496"/>
      <c r="W49" s="496"/>
      <c r="X49" s="1559"/>
      <c r="Y49" s="496"/>
      <c r="Z49" s="1528"/>
      <c r="AA49" s="496"/>
      <c r="AB49" s="911" t="str">
        <f>"ставка платы за "&amp;IF(Q29="Водоснабжение","потребление 1 куб.м холодной воды","объем принятых сточных вод")</f>
        <v>ставка платы за объем принятых сточных вод</v>
      </c>
      <c r="AC49" s="871" t="s">
        <v>1862</v>
      </c>
      <c r="AD49" s="4591"/>
      <c r="AE49" s="4591"/>
      <c r="AF49" s="1102">
        <f>IF(AD49=0,0,(AE49-AD49)/AD49*100)</f>
        <v>0</v>
      </c>
      <c r="AG49" s="4591"/>
      <c r="AH49" s="4591"/>
      <c r="AI49" s="1102">
        <f>IF(AG49=0,0,(AH49-AG49)/AG49*100)</f>
        <v>0</v>
      </c>
      <c r="AJ49" s="4591"/>
      <c r="AK49" s="4591"/>
      <c r="AL49" s="1102">
        <f>IF(AJ49=0,0,(AK49-AJ49)/AJ49*100)</f>
        <v>0</v>
      </c>
      <c r="AM49" s="4591"/>
      <c r="AN49" s="4591"/>
      <c r="AO49" s="1102">
        <f>IF(AM49=0,0,(AN49-AM49)/AM49*100)</f>
        <v>0</v>
      </c>
      <c r="AP49" s="4591"/>
      <c r="AQ49" s="4591"/>
      <c r="AR49" s="1102">
        <f>IF(AP49=0,0,(AQ49-AP49)/AP49*100)</f>
        <v>0</v>
      </c>
      <c r="AS49" s="4591"/>
      <c r="AT49" s="4591"/>
      <c r="AU49" s="1102">
        <f>IF(AS49=0,0,(AT49-AS49)/AS49*100)</f>
        <v>0</v>
      </c>
      <c r="AV49" s="4591"/>
      <c r="AW49" s="4591"/>
      <c r="AX49" s="1102">
        <f>IF(AV49=0,0,(AW49-AV49)/AV49*100)</f>
        <v>0</v>
      </c>
      <c r="AY49" s="4591"/>
      <c r="AZ49" s="4591"/>
      <c r="BA49" s="1102">
        <f>IF(AY49=0,0,(AZ49-AY49)/AY49*100)</f>
        <v>0</v>
      </c>
      <c r="BB49" s="4591"/>
      <c r="BC49" s="4591"/>
      <c r="BD49" s="1102">
        <f>IF(BB49=0,0,(BC49-BB49)/BB49*100)</f>
        <v>0</v>
      </c>
      <c r="BE49" s="4591"/>
      <c r="BF49" s="4591"/>
      <c r="BG49" s="1102">
        <f>IF(BE49=0,0,(BF49-BE49)/BE49*100)</f>
        <v>0</v>
      </c>
      <c r="BH49" s="4591"/>
      <c r="BI49" s="4591"/>
      <c r="BJ49" s="1102">
        <f>IF(BH49=0,0,(BI49-BH49)/BH49*100)</f>
        <v>0</v>
      </c>
      <c r="BK49" s="4591"/>
      <c r="BL49" s="4591"/>
      <c r="BM49" s="1102">
        <f>IF(BK49=0,0,(BL49-BK49)/BK49*100)</f>
        <v>0</v>
      </c>
      <c r="BN49" s="4591"/>
      <c r="BO49" s="4591"/>
      <c r="BP49" s="1102">
        <f>IF(BN49=0,0,(BO49-BN49)/BN49*100)</f>
        <v>0</v>
      </c>
      <c r="BQ49" s="4591"/>
      <c r="BR49" s="4591"/>
      <c r="BS49" s="1102">
        <f>IF(BQ49=0,0,(BR49-BQ49)/BQ49*100)</f>
        <v>0</v>
      </c>
      <c r="BT49" s="4591"/>
      <c r="BU49" s="4591"/>
      <c r="BV49" s="1102">
        <f>IF(BT49=0,0,(BU49-BT49)/BT49*100)</f>
        <v>0</v>
      </c>
      <c r="BW49" s="4591"/>
      <c r="BX49" s="4591"/>
      <c r="BY49" s="1102">
        <f>IF(BW49=0,0,(BX49-BW49)/BW49*100)</f>
        <v>0</v>
      </c>
      <c r="BZ49" s="4591"/>
      <c r="CA49" s="4591"/>
      <c r="CB49" s="1102">
        <f>IF(BZ49=0,0,(CA49-BZ49)/BZ49*100)</f>
        <v>0</v>
      </c>
      <c r="CC49" s="4591"/>
      <c r="CD49" s="4591"/>
      <c r="CE49" s="1102">
        <f>IF(CC49=0,0,(CD49-CC49)/CC49*100)</f>
        <v>0</v>
      </c>
      <c r="CF49" s="4591"/>
      <c r="CG49" s="4591"/>
      <c r="CH49" s="1102">
        <f>IF(CF49=0,0,(CG49-CF49)/CF49*100)</f>
        <v>0</v>
      </c>
      <c r="CI49" s="4591"/>
      <c r="CJ49" s="4591"/>
      <c r="CK49" s="1102">
        <f>IF(CI49=0,0,(CJ49-CI49)/CI49*100)</f>
        <v>0</v>
      </c>
      <c r="CL49" s="4591"/>
      <c r="CM49" s="4591"/>
      <c r="CN49" s="1102">
        <f>IF(CL49=0,0,(CM49-CL49)/CL49*100)</f>
        <v>0</v>
      </c>
      <c r="CO49" s="4591"/>
      <c r="CP49" s="4591"/>
      <c r="CQ49" s="1102">
        <f>IF(CO49=0,0,(CP49-CO49)/CO49*100)</f>
        <v>0</v>
      </c>
      <c r="CR49" s="4591"/>
      <c r="CS49" s="4591"/>
      <c r="CT49" s="1102">
        <f>IF(CR49=0,0,(CS49-CR49)/CR49*100)</f>
        <v>0</v>
      </c>
      <c r="CU49" s="4591"/>
      <c r="CV49" s="4591"/>
      <c r="CW49" s="1102">
        <f>IF(CU49=0,0,(CV49-CU49)/CU49*100)</f>
        <v>0</v>
      </c>
      <c r="CX49" s="4591"/>
      <c r="CY49" s="4591"/>
      <c r="CZ49" s="1102">
        <f>IF(CX49=0,0,(CY49-CX49)/CX49*100)</f>
        <v>0</v>
      </c>
      <c r="DA49" s="4591"/>
      <c r="DB49" s="4591"/>
      <c r="DC49" s="1102">
        <f>IF(DA49=0,0,(DB49-DA49)/DA49*100)</f>
        <v>0</v>
      </c>
      <c r="DD49" s="4591"/>
      <c r="DE49" s="4591"/>
      <c r="DF49" s="1102">
        <f>IF(DD49=0,0,(DE49-DD49)/DD49*100)</f>
        <v>0</v>
      </c>
      <c r="DG49" s="4591"/>
      <c r="DH49" s="4591"/>
      <c r="DI49" s="1102">
        <f>IF(DG49=0,0,(DH49-DG49)/DG49*100)</f>
        <v>0</v>
      </c>
      <c r="DJ49" s="4591"/>
      <c r="DK49" s="4591"/>
      <c r="DL49" s="1102">
        <f>IF(DJ49=0,0,(DK49-DJ49)/DJ49*100)</f>
        <v>0</v>
      </c>
      <c r="DM49" s="4591"/>
      <c r="DN49" s="4591"/>
      <c r="DO49" s="1102">
        <f>IF(DM49=0,0,(DN49-DM49)/DM49*100)</f>
        <v>0</v>
      </c>
      <c r="DP49" s="4591"/>
      <c r="DQ49" s="4591"/>
      <c r="DR49" s="1102">
        <f>IF(DP49=0,0,(DQ49-DP49)/DP49*100)</f>
        <v>0</v>
      </c>
      <c r="DS49" s="4591"/>
      <c r="DT49" s="4591"/>
      <c r="DU49" s="1102">
        <f>IF(DS49=0,0,(DT49-DS49)/DS49*100)</f>
        <v>0</v>
      </c>
      <c r="DV49" s="4591"/>
      <c r="DW49" s="4591"/>
      <c r="DX49" s="1102">
        <f>IF(DV49=0,0,(DW49-DV49)/DV49*100)</f>
        <v>0</v>
      </c>
      <c r="DY49" s="4591"/>
      <c r="DZ49" s="4591"/>
      <c r="EA49" s="1102">
        <f>IF(DY49=0,0,(DZ49-DY49)/DY49*100)</f>
        <v>0</v>
      </c>
      <c r="EB49" s="4591"/>
      <c r="EC49" s="4591"/>
      <c r="ED49" s="1102">
        <f>IF(EB49=0,0,(EC49-EB49)/EB49*100)</f>
        <v>0</v>
      </c>
      <c r="EE49" s="4591"/>
      <c r="EF49" s="4591"/>
      <c r="EG49" s="1102">
        <f>IF(EE49=0,0,(EF49-EE49)/EE49*100)</f>
        <v>0</v>
      </c>
      <c r="EH49" s="4591"/>
      <c r="EI49" s="4591"/>
      <c r="EJ49" s="1102">
        <f>IF(EH49=0,0,(EI49-EH49)/EH49*100)</f>
        <v>0</v>
      </c>
      <c r="EK49" s="4591"/>
      <c r="EL49" s="4591"/>
      <c r="EM49" s="1102">
        <f>IF(EK49=0,0,(EL49-EK49)/EK49*100)</f>
        <v>0</v>
      </c>
      <c r="EN49" s="4591"/>
      <c r="EO49" s="4591"/>
      <c r="EP49" s="1102">
        <f>IF(EN49=0,0,(EO49-EN49)/EN49*100)</f>
        <v>0</v>
      </c>
      <c r="EQ49" s="4591"/>
      <c r="ER49" s="4591"/>
      <c r="ES49" s="1102">
        <f>IF(EQ49=0,0,(ER49-EQ49)/EQ49*100)</f>
        <v>0</v>
      </c>
      <c r="ET49" s="4591"/>
      <c r="EU49" s="4591"/>
      <c r="EV49" s="1102">
        <f>IF(ET49=0,0,(EU49-ET49)/ET49*100)</f>
        <v>0</v>
      </c>
      <c r="EW49" s="4591"/>
      <c r="EX49" s="4591"/>
      <c r="EY49" s="1102">
        <f>IF(EW49=0,0,(EX49-EW49)/EW49*100)</f>
        <v>0</v>
      </c>
      <c r="EZ49" s="4591"/>
      <c r="FA49" s="4591"/>
      <c r="FB49" s="1102">
        <f>IF(EZ49=0,0,(FA49-EZ49)/EZ49*100)</f>
        <v>0</v>
      </c>
      <c r="FC49" s="4591"/>
      <c r="FD49" s="4591"/>
      <c r="FE49" s="1102">
        <f>IF(FC49=0,0,(FD49-FC49)/FC49*100)</f>
        <v>0</v>
      </c>
      <c r="FF49" s="4591"/>
      <c r="FG49" s="4591"/>
      <c r="FH49" s="1102">
        <f>IF(FF49=0,0,(FG49-FF49)/FF49*100)</f>
        <v>0</v>
      </c>
      <c r="FI49" s="4591"/>
      <c r="FJ49" s="4591"/>
      <c r="FK49" s="1102">
        <f>IF(FI49=0,0,(FJ49-FI49)/FI49*100)</f>
        <v>0</v>
      </c>
      <c r="FL49" s="4591"/>
      <c r="FM49" s="4591"/>
      <c r="FN49" s="1102">
        <f>IF(FL49=0,0,(FM49-FL49)/FL49*100)</f>
        <v>0</v>
      </c>
      <c r="FO49" s="4591"/>
      <c r="FP49" s="4591"/>
      <c r="FQ49" s="1102">
        <f>IF(FO49=0,0,(FP49-FO49)/FO49*100)</f>
        <v>0</v>
      </c>
      <c r="FR49" s="4591"/>
      <c r="FS49" s="4591"/>
      <c r="FT49" s="1102">
        <f>IF(FR49=0,0,(FS49-FR49)/FR49*100)</f>
        <v>0</v>
      </c>
      <c r="FU49" s="4591"/>
      <c r="FV49" s="4591"/>
      <c r="FW49" s="1102">
        <f>IF(FU49=0,0,(FV49-FU49)/FU49*100)</f>
        <v>0</v>
      </c>
      <c r="FX49" s="1328"/>
      <c r="FY49" s="1328"/>
      <c r="FZ49" s="1063" t="s">
        <v>1897</v>
      </c>
      <c r="GA49" s="1330"/>
      <c r="GB49" s="1330"/>
      <c r="GC49" s="1329"/>
      <c r="GD49" s="1329"/>
    </row>
    <row customHeight="1" ht="14.625" hidden="1">
      <c r="A50" s="496"/>
      <c r="B50" s="932" cm="1" t="str">
        <f t="array" ref="B50:B50">B49</f>
        <v>false</v>
      </c>
      <c r="C50" s="496"/>
      <c r="D50" s="496"/>
      <c r="E50" s="847">
        <v>15</v>
      </c>
      <c r="F50" s="50" cm="1" t="str">
        <f t="array" ref="F50:F50">OFFSET(E50,-1,1)</f>
        <v>0</v>
      </c>
      <c r="G50" s="103" t="s">
        <v>1898</v>
      </c>
      <c r="H50" s="496" t="s">
        <v>1899</v>
      </c>
      <c r="I50" s="496" t="s">
        <v>1860</v>
      </c>
      <c r="J50" s="496"/>
      <c r="K50" s="496"/>
      <c r="L50" s="496"/>
      <c r="M50" s="496"/>
      <c r="N50" s="496"/>
      <c r="O50" s="496"/>
      <c r="P50" s="496"/>
      <c r="Q50" s="496"/>
      <c r="R50" s="496"/>
      <c r="S50" s="496"/>
      <c r="T50" s="468" cm="1" t="str">
        <f t="array" ref="T50:T50">T49</f>
        <v>false</v>
      </c>
      <c r="U50" s="496"/>
      <c r="V50" s="496"/>
      <c r="W50" s="496"/>
      <c r="X50" s="1559"/>
      <c r="Y50" s="496"/>
      <c r="Z50" s="1528"/>
      <c r="AA50" s="496"/>
      <c r="AB50" s="911" t="str">
        <f>"объём "&amp;IF(Q29="Водоснабжение","потребления холодной воды","водоотведения")</f>
        <v>объём водоотведения</v>
      </c>
      <c r="AC50" s="871" t="s">
        <v>657</v>
      </c>
      <c r="AD50" s="4585">
        <f>IF(AND(method_reg="Метод индексации",god&lt;&gt;first_year),_xlfn.SUMIFS(INDEX('Калькуляция (МИ корр)'!$AJ$25:$BC$606,,MATCH(AD$8,'Калькуляция (МИ корр)'!$AJ$8:$BC$8,0)),'Калькуляция (МИ корр)'!$F$25:$F$606,$F50,'Калькуляция (МИ корр)'!$G$25:$G$606,$G50),IF(method_reg="Метод экономически обоснованных расходов",_xlfn.SUMIFS('Калькуляция (МЭОР)'!$AJ$25:$AJ$367,'Калькуляция (МЭОР)'!$F$25:$F$367,$F50,'Калькуляция (МЭОР)'!$G$25:$G$367,$G50),IF(method_reg="Метод сравнения аналогов",_xlfn.SUMIFS('Калькуляция (МСА)'!$AE$25:$AE$103,'Калькуляция (МСА)'!$F$25:$F$103,$F50,'Калькуляция (МСА)'!$G$25:$G$103,$G50),_xlfn.SUMIFS(INDEX('Калькуляция (МИ)'!$AJ$25:$BC$603,,MATCH(AD$8,'Калькуляция (МИ)'!$AJ$8:$BC$8,0)),'Калькуляция (МИ)'!$F$25:$F$603,$F50,'Калькуляция (МИ)'!$G$25:$G$603,$G50))))</f>
        <v>0</v>
      </c>
      <c r="AE50" s="4585">
        <f>IF(AND(method_reg="Метод индексации",god&lt;&gt;first_year),_xlfn.SUMIFS(INDEX('Калькуляция (МИ корр)'!$AJ$25:$BC$606,,MATCH(AE$8,'Калькуляция (МИ корр)'!$AJ$8:$BC$8,0)),'Калькуляция (МИ корр)'!$F$25:$F$606,$F50,'Калькуляция (МИ корр)'!$G$25:$G$606,$G50),IF(method_reg="Метод экономически обоснованных расходов",_xlfn.SUMIFS('Калькуляция (МЭОР)'!$AK$25:$AK$367,'Калькуляция (МЭОР)'!$F$25:$F$367,$F50,'Калькуляция (МЭОР)'!$G$25:$G$367,$G50),IF(method_reg="Метод сравнения аналогов",_xlfn.SUMIFS('Калькуляция (МСА)'!$AF$25:$AF$103,'Калькуляция (МСА)'!$F$25:$F$103,$F50,'Калькуляция (МСА)'!$G$25:$G$103,$G50),_xlfn.SUMIFS(INDEX('Калькуляция (МИ)'!$AJ$25:$BC$603,,MATCH(AE$8,'Калькуляция (МИ)'!$AJ$8:$BC$8,0)),'Калькуляция (МИ)'!$F$25:$F$603,$F50,'Калькуляция (МИ)'!$G$25:$G$603,$G50))))</f>
        <v>0</v>
      </c>
      <c r="AF50" s="1104">
        <f>IF(AD50=0,0,(AE50-AD50)/AD50*100)</f>
        <v>0</v>
      </c>
      <c r="AG50" s="4585">
        <f>IF(AND(method_reg="Метод индексации",god&lt;&gt;first_year),_xlfn.SUMIFS(INDEX('Калькуляция (МИ корр)'!$AJ$25:$BC$606,,MATCH(AG$8,'Калькуляция (МИ корр)'!$AJ$8:$BC$8,0)),'Калькуляция (МИ корр)'!$F$25:$F$606,$F50,'Калькуляция (МИ корр)'!$G$25:$G$606,$G50),IF(method_reg="Метод экономически обоснованных расходов",_xlfn.SUMIFS('Калькуляция (МЭОР)'!$AJ$25:$AJ$367,'Калькуляция (МЭОР)'!$F$25:$F$367,$F50,'Калькуляция (МЭОР)'!$G$25:$G$367,$G50),IF(method_reg="Метод сравнения аналогов",_xlfn.SUMIFS('Калькуляция (МСА)'!$AE$25:$AE$103,'Калькуляция (МСА)'!$F$25:$F$103,$F50,'Калькуляция (МСА)'!$G$25:$G$103,$G50),_xlfn.SUMIFS(INDEX('Калькуляция (МИ)'!$AJ$25:$BC$603,,MATCH(AG$8,'Калькуляция (МИ)'!$AJ$8:$BC$8,0)),'Калькуляция (МИ)'!$F$25:$F$603,$F50,'Калькуляция (МИ)'!$G$25:$G$603,$G50))))</f>
        <v>0</v>
      </c>
      <c r="AH50" s="4585">
        <f>IF(AND(method_reg="Метод индексации",god&lt;&gt;first_year),_xlfn.SUMIFS(INDEX('Калькуляция (МИ корр)'!$AJ$25:$BC$606,,MATCH(AH$8,'Калькуляция (МИ корр)'!$AJ$8:$BC$8,0)),'Калькуляция (МИ корр)'!$F$25:$F$606,$F50,'Калькуляция (МИ корр)'!$G$25:$G$606,$G50),IF(method_reg="Метод экономически обоснованных расходов",_xlfn.SUMIFS('Калькуляция (МЭОР)'!$AK$25:$AK$367,'Калькуляция (МЭОР)'!$F$25:$F$367,$F50,'Калькуляция (МЭОР)'!$G$25:$G$367,$G50),IF(method_reg="Метод сравнения аналогов",_xlfn.SUMIFS('Калькуляция (МСА)'!$AF$25:$AF$103,'Калькуляция (МСА)'!$F$25:$F$103,$F50,'Калькуляция (МСА)'!$G$25:$G$103,$G50),_xlfn.SUMIFS(INDEX('Калькуляция (МИ)'!$AJ$25:$BC$603,,MATCH(AH$8,'Калькуляция (МИ)'!$AJ$8:$BC$8,0)),'Калькуляция (МИ)'!$F$25:$F$603,$F50,'Калькуляция (МИ)'!$G$25:$G$603,$G50))))</f>
        <v>0</v>
      </c>
      <c r="AI50" s="1104">
        <f>IF(AG50=0,0,(AH50-AG50)/AG50*100)</f>
        <v>0</v>
      </c>
      <c r="AJ50" s="4585">
        <f>IF(AND(method_reg="Метод индексации",god&lt;&gt;first_year),_xlfn.SUMIFS(INDEX('Калькуляция (МИ корр)'!$AJ$25:$BC$606,,MATCH(AJ$8,'Калькуляция (МИ корр)'!$AJ$8:$BC$8,0)),'Калькуляция (МИ корр)'!$F$25:$F$606,$F50,'Калькуляция (МИ корр)'!$G$25:$G$606,$G50),IF(method_reg="Метод экономически обоснованных расходов",_xlfn.SUMIFS('Калькуляция (МЭОР)'!$AJ$25:$AJ$367,'Калькуляция (МЭОР)'!$F$25:$F$367,$F50,'Калькуляция (МЭОР)'!$G$25:$G$367,$G50),IF(method_reg="Метод сравнения аналогов",_xlfn.SUMIFS('Калькуляция (МСА)'!$AE$25:$AE$103,'Калькуляция (МСА)'!$F$25:$F$103,$F50,'Калькуляция (МСА)'!$G$25:$G$103,$G50),_xlfn.SUMIFS(INDEX('Калькуляция (МИ)'!$AJ$25:$BC$603,,MATCH(AJ$8,'Калькуляция (МИ)'!$AJ$8:$BC$8,0)),'Калькуляция (МИ)'!$F$25:$F$603,$F50,'Калькуляция (МИ)'!$G$25:$G$603,$G50))))</f>
        <v>0</v>
      </c>
      <c r="AK50" s="4585">
        <f>IF(AND(method_reg="Метод индексации",god&lt;&gt;first_year),_xlfn.SUMIFS(INDEX('Калькуляция (МИ корр)'!$AJ$25:$BC$606,,MATCH(AK$8,'Калькуляция (МИ корр)'!$AJ$8:$BC$8,0)),'Калькуляция (МИ корр)'!$F$25:$F$606,$F50,'Калькуляция (МИ корр)'!$G$25:$G$606,$G50),IF(method_reg="Метод экономически обоснованных расходов",_xlfn.SUMIFS('Калькуляция (МЭОР)'!$AK$25:$AK$367,'Калькуляция (МЭОР)'!$F$25:$F$367,$F50,'Калькуляция (МЭОР)'!$G$25:$G$367,$G50),IF(method_reg="Метод сравнения аналогов",_xlfn.SUMIFS('Калькуляция (МСА)'!$AF$25:$AF$103,'Калькуляция (МСА)'!$F$25:$F$103,$F50,'Калькуляция (МСА)'!$G$25:$G$103,$G50),_xlfn.SUMIFS(INDEX('Калькуляция (МИ)'!$AJ$25:$BC$603,,MATCH(AK$8,'Калькуляция (МИ)'!$AJ$8:$BC$8,0)),'Калькуляция (МИ)'!$F$25:$F$603,$F50,'Калькуляция (МИ)'!$G$25:$G$603,$G50))))</f>
        <v>0</v>
      </c>
      <c r="AL50" s="1104">
        <f>IF(AJ50=0,0,(AK50-AJ50)/AJ50*100)</f>
        <v>0</v>
      </c>
      <c r="AM50" s="4585">
        <f>IF(AND(method_reg="Метод индексации",god&lt;&gt;first_year),_xlfn.SUMIFS(INDEX('Калькуляция (МИ корр)'!$AJ$25:$BC$606,,MATCH(AM$8,'Калькуляция (МИ корр)'!$AJ$8:$BC$8,0)),'Калькуляция (МИ корр)'!$F$25:$F$606,$F50,'Калькуляция (МИ корр)'!$G$25:$G$606,$G50),IF(method_reg="Метод экономически обоснованных расходов",_xlfn.SUMIFS('Калькуляция (МЭОР)'!$AJ$25:$AJ$367,'Калькуляция (МЭОР)'!$F$25:$F$367,$F50,'Калькуляция (МЭОР)'!$G$25:$G$367,$G50),IF(method_reg="Метод сравнения аналогов",_xlfn.SUMIFS('Калькуляция (МСА)'!$AE$25:$AE$103,'Калькуляция (МСА)'!$F$25:$F$103,$F50,'Калькуляция (МСА)'!$G$25:$G$103,$G50),_xlfn.SUMIFS(INDEX('Калькуляция (МИ)'!$AJ$25:$BC$603,,MATCH(AM$8,'Калькуляция (МИ)'!$AJ$8:$BC$8,0)),'Калькуляция (МИ)'!$F$25:$F$603,$F50,'Калькуляция (МИ)'!$G$25:$G$603,$G50))))</f>
        <v>0</v>
      </c>
      <c r="AN50" s="4585">
        <f>IF(AND(method_reg="Метод индексации",god&lt;&gt;first_year),_xlfn.SUMIFS(INDEX('Калькуляция (МИ корр)'!$AJ$25:$BC$606,,MATCH(AN$8,'Калькуляция (МИ корр)'!$AJ$8:$BC$8,0)),'Калькуляция (МИ корр)'!$F$25:$F$606,$F50,'Калькуляция (МИ корр)'!$G$25:$G$606,$G50),IF(method_reg="Метод экономически обоснованных расходов",_xlfn.SUMIFS('Калькуляция (МЭОР)'!$AK$25:$AK$367,'Калькуляция (МЭОР)'!$F$25:$F$367,$F50,'Калькуляция (МЭОР)'!$G$25:$G$367,$G50),IF(method_reg="Метод сравнения аналогов",_xlfn.SUMIFS('Калькуляция (МСА)'!$AF$25:$AF$103,'Калькуляция (МСА)'!$F$25:$F$103,$F50,'Калькуляция (МСА)'!$G$25:$G$103,$G50),_xlfn.SUMIFS(INDEX('Калькуляция (МИ)'!$AJ$25:$BC$603,,MATCH(AN$8,'Калькуляция (МИ)'!$AJ$8:$BC$8,0)),'Калькуляция (МИ)'!$F$25:$F$603,$F50,'Калькуляция (МИ)'!$G$25:$G$603,$G50))))</f>
        <v>0</v>
      </c>
      <c r="AO50" s="1104">
        <f>IF(AM50=0,0,(AN50-AM50)/AM50*100)</f>
        <v>0</v>
      </c>
      <c r="AP50" s="4585">
        <f>IF(AND(method_reg="Метод индексации",god&lt;&gt;first_year),_xlfn.SUMIFS(INDEX('Калькуляция (МИ корр)'!$AJ$25:$BC$606,,MATCH(AP$8,'Калькуляция (МИ корр)'!$AJ$8:$BC$8,0)),'Калькуляция (МИ корр)'!$F$25:$F$606,$F50,'Калькуляция (МИ корр)'!$G$25:$G$606,$G50),IF(method_reg="Метод экономически обоснованных расходов",_xlfn.SUMIFS('Калькуляция (МЭОР)'!$AJ$25:$AJ$367,'Калькуляция (МЭОР)'!$F$25:$F$367,$F50,'Калькуляция (МЭОР)'!$G$25:$G$367,$G50),IF(method_reg="Метод сравнения аналогов",_xlfn.SUMIFS('Калькуляция (МСА)'!$AE$25:$AE$103,'Калькуляция (МСА)'!$F$25:$F$103,$F50,'Калькуляция (МСА)'!$G$25:$G$103,$G50),_xlfn.SUMIFS(INDEX('Калькуляция (МИ)'!$AJ$25:$BC$603,,MATCH(AP$8,'Калькуляция (МИ)'!$AJ$8:$BC$8,0)),'Калькуляция (МИ)'!$F$25:$F$603,$F50,'Калькуляция (МИ)'!$G$25:$G$603,$G50))))</f>
        <v>0</v>
      </c>
      <c r="AQ50" s="4585">
        <f>IF(AND(method_reg="Метод индексации",god&lt;&gt;first_year),_xlfn.SUMIFS(INDEX('Калькуляция (МИ корр)'!$AJ$25:$BC$606,,MATCH(AQ$8,'Калькуляция (МИ корр)'!$AJ$8:$BC$8,0)),'Калькуляция (МИ корр)'!$F$25:$F$606,$F50,'Калькуляция (МИ корр)'!$G$25:$G$606,$G50),IF(method_reg="Метод экономически обоснованных расходов",_xlfn.SUMIFS('Калькуляция (МЭОР)'!$AK$25:$AK$367,'Калькуляция (МЭОР)'!$F$25:$F$367,$F50,'Калькуляция (МЭОР)'!$G$25:$G$367,$G50),IF(method_reg="Метод сравнения аналогов",_xlfn.SUMIFS('Калькуляция (МСА)'!$AF$25:$AF$103,'Калькуляция (МСА)'!$F$25:$F$103,$F50,'Калькуляция (МСА)'!$G$25:$G$103,$G50),_xlfn.SUMIFS(INDEX('Калькуляция (МИ)'!$AJ$25:$BC$603,,MATCH(AQ$8,'Калькуляция (МИ)'!$AJ$8:$BC$8,0)),'Калькуляция (МИ)'!$F$25:$F$603,$F50,'Калькуляция (МИ)'!$G$25:$G$603,$G50))))</f>
        <v>0</v>
      </c>
      <c r="AR50" s="1104">
        <f>IF(AP50=0,0,(AQ50-AP50)/AP50*100)</f>
        <v>0</v>
      </c>
      <c r="AS50" s="4585">
        <f>IF(AND(method_reg="Метод индексации",god&lt;&gt;first_year),_xlfn.SUMIFS(INDEX('Калькуляция (МИ корр)'!$AJ$25:$BC$606,,MATCH(AS$8,'Калькуляция (МИ корр)'!$AJ$8:$BC$8,0)),'Калькуляция (МИ корр)'!$F$25:$F$606,$F50,'Калькуляция (МИ корр)'!$G$25:$G$606,$G50),IF(method_reg="Метод экономически обоснованных расходов",_xlfn.SUMIFS('Калькуляция (МЭОР)'!$AJ$25:$AJ$367,'Калькуляция (МЭОР)'!$F$25:$F$367,$F50,'Калькуляция (МЭОР)'!$G$25:$G$367,$G50),IF(method_reg="Метод сравнения аналогов",_xlfn.SUMIFS('Калькуляция (МСА)'!$AE$25:$AE$103,'Калькуляция (МСА)'!$F$25:$F$103,$F50,'Калькуляция (МСА)'!$G$25:$G$103,$G50),_xlfn.SUMIFS(INDEX('Калькуляция (МИ)'!$AJ$25:$BC$603,,MATCH(AS$8,'Калькуляция (МИ)'!$AJ$8:$BC$8,0)),'Калькуляция (МИ)'!$F$25:$F$603,$F50,'Калькуляция (МИ)'!$G$25:$G$603,$G50))))</f>
        <v>0</v>
      </c>
      <c r="AT50" s="4585">
        <f>IF(AND(method_reg="Метод индексации",god&lt;&gt;first_year),_xlfn.SUMIFS(INDEX('Калькуляция (МИ корр)'!$AJ$25:$BC$606,,MATCH(AT$8,'Калькуляция (МИ корр)'!$AJ$8:$BC$8,0)),'Калькуляция (МИ корр)'!$F$25:$F$606,$F50,'Калькуляция (МИ корр)'!$G$25:$G$606,$G50),IF(method_reg="Метод экономически обоснованных расходов",_xlfn.SUMIFS('Калькуляция (МЭОР)'!$AK$25:$AK$367,'Калькуляция (МЭОР)'!$F$25:$F$367,$F50,'Калькуляция (МЭОР)'!$G$25:$G$367,$G50),IF(method_reg="Метод сравнения аналогов",_xlfn.SUMIFS('Калькуляция (МСА)'!$AF$25:$AF$103,'Калькуляция (МСА)'!$F$25:$F$103,$F50,'Калькуляция (МСА)'!$G$25:$G$103,$G50),_xlfn.SUMIFS(INDEX('Калькуляция (МИ)'!$AJ$25:$BC$603,,MATCH(AT$8,'Калькуляция (МИ)'!$AJ$8:$BC$8,0)),'Калькуляция (МИ)'!$F$25:$F$603,$F50,'Калькуляция (МИ)'!$G$25:$G$603,$G50))))</f>
        <v>0</v>
      </c>
      <c r="AU50" s="1104">
        <f>IF(AS50=0,0,(AT50-AS50)/AS50*100)</f>
        <v>0</v>
      </c>
      <c r="AV50" s="4585">
        <f>IF(AND(method_reg="Метод индексации",god&lt;&gt;first_year),_xlfn.SUMIFS(INDEX('Калькуляция (МИ корр)'!$AJ$25:$BC$606,,MATCH(AV$8,'Калькуляция (МИ корр)'!$AJ$8:$BC$8,0)),'Калькуляция (МИ корр)'!$F$25:$F$606,$F50,'Калькуляция (МИ корр)'!$G$25:$G$606,$G50),IF(method_reg="Метод экономически обоснованных расходов",_xlfn.SUMIFS('Калькуляция (МЭОР)'!$AJ$25:$AJ$367,'Калькуляция (МЭОР)'!$F$25:$F$367,$F50,'Калькуляция (МЭОР)'!$G$25:$G$367,$G50),IF(method_reg="Метод сравнения аналогов",_xlfn.SUMIFS('Калькуляция (МСА)'!$AE$25:$AE$103,'Калькуляция (МСА)'!$F$25:$F$103,$F50,'Калькуляция (МСА)'!$G$25:$G$103,$G50),_xlfn.SUMIFS(INDEX('Калькуляция (МИ)'!$AJ$25:$BC$603,,MATCH(AV$8,'Калькуляция (МИ)'!$AJ$8:$BC$8,0)),'Калькуляция (МИ)'!$F$25:$F$603,$F50,'Калькуляция (МИ)'!$G$25:$G$603,$G50))))</f>
        <v>0</v>
      </c>
      <c r="AW50" s="4585">
        <f>IF(AND(method_reg="Метод индексации",god&lt;&gt;first_year),_xlfn.SUMIFS(INDEX('Калькуляция (МИ корр)'!$AJ$25:$BC$606,,MATCH(AW$8,'Калькуляция (МИ корр)'!$AJ$8:$BC$8,0)),'Калькуляция (МИ корр)'!$F$25:$F$606,$F50,'Калькуляция (МИ корр)'!$G$25:$G$606,$G50),IF(method_reg="Метод экономически обоснованных расходов",_xlfn.SUMIFS('Калькуляция (МЭОР)'!$AK$25:$AK$367,'Калькуляция (МЭОР)'!$F$25:$F$367,$F50,'Калькуляция (МЭОР)'!$G$25:$G$367,$G50),IF(method_reg="Метод сравнения аналогов",_xlfn.SUMIFS('Калькуляция (МСА)'!$AF$25:$AF$103,'Калькуляция (МСА)'!$F$25:$F$103,$F50,'Калькуляция (МСА)'!$G$25:$G$103,$G50),_xlfn.SUMIFS(INDEX('Калькуляция (МИ)'!$AJ$25:$BC$603,,MATCH(AW$8,'Калькуляция (МИ)'!$AJ$8:$BC$8,0)),'Калькуляция (МИ)'!$F$25:$F$603,$F50,'Калькуляция (МИ)'!$G$25:$G$603,$G50))))</f>
        <v>0</v>
      </c>
      <c r="AX50" s="1104">
        <f>IF(AV50=0,0,(AW50-AV50)/AV50*100)</f>
        <v>0</v>
      </c>
      <c r="AY50" s="4585">
        <f>IF(AND(method_reg="Метод индексации",god&lt;&gt;first_year),_xlfn.SUMIFS(INDEX('Калькуляция (МИ корр)'!$AJ$25:$BC$606,,MATCH(AY$8,'Калькуляция (МИ корр)'!$AJ$8:$BC$8,0)),'Калькуляция (МИ корр)'!$F$25:$F$606,$F50,'Калькуляция (МИ корр)'!$G$25:$G$606,$G50),IF(method_reg="Метод экономически обоснованных расходов",_xlfn.SUMIFS('Калькуляция (МЭОР)'!$AJ$25:$AJ$367,'Калькуляция (МЭОР)'!$F$25:$F$367,$F50,'Калькуляция (МЭОР)'!$G$25:$G$367,$G50),IF(method_reg="Метод сравнения аналогов",_xlfn.SUMIFS('Калькуляция (МСА)'!$AE$25:$AE$103,'Калькуляция (МСА)'!$F$25:$F$103,$F50,'Калькуляция (МСА)'!$G$25:$G$103,$G50),_xlfn.SUMIFS(INDEX('Калькуляция (МИ)'!$AJ$25:$BC$603,,MATCH(AY$8,'Калькуляция (МИ)'!$AJ$8:$BC$8,0)),'Калькуляция (МИ)'!$F$25:$F$603,$F50,'Калькуляция (МИ)'!$G$25:$G$603,$G50))))</f>
        <v>0</v>
      </c>
      <c r="AZ50" s="4585">
        <f>IF(AND(method_reg="Метод индексации",god&lt;&gt;first_year),_xlfn.SUMIFS(INDEX('Калькуляция (МИ корр)'!$AJ$25:$BC$606,,MATCH(AZ$8,'Калькуляция (МИ корр)'!$AJ$8:$BC$8,0)),'Калькуляция (МИ корр)'!$F$25:$F$606,$F50,'Калькуляция (МИ корр)'!$G$25:$G$606,$G50),IF(method_reg="Метод экономически обоснованных расходов",_xlfn.SUMIFS('Калькуляция (МЭОР)'!$AK$25:$AK$367,'Калькуляция (МЭОР)'!$F$25:$F$367,$F50,'Калькуляция (МЭОР)'!$G$25:$G$367,$G50),IF(method_reg="Метод сравнения аналогов",_xlfn.SUMIFS('Калькуляция (МСА)'!$AF$25:$AF$103,'Калькуляция (МСА)'!$F$25:$F$103,$F50,'Калькуляция (МСА)'!$G$25:$G$103,$G50),_xlfn.SUMIFS(INDEX('Калькуляция (МИ)'!$AJ$25:$BC$603,,MATCH(AZ$8,'Калькуляция (МИ)'!$AJ$8:$BC$8,0)),'Калькуляция (МИ)'!$F$25:$F$603,$F50,'Калькуляция (МИ)'!$G$25:$G$603,$G50))))</f>
        <v>0</v>
      </c>
      <c r="BA50" s="1104">
        <f>IF(AY50=0,0,(AZ50-AY50)/AY50*100)</f>
        <v>0</v>
      </c>
      <c r="BB50" s="4585">
        <f>IF(AND(method_reg="Метод индексации",god&lt;&gt;first_year),_xlfn.SUMIFS(INDEX('Калькуляция (МИ корр)'!$AJ$25:$BC$606,,MATCH(BB$8,'Калькуляция (МИ корр)'!$AJ$8:$BC$8,0)),'Калькуляция (МИ корр)'!$F$25:$F$606,$F50,'Калькуляция (МИ корр)'!$G$25:$G$606,$G50),IF(method_reg="Метод экономически обоснованных расходов",_xlfn.SUMIFS('Калькуляция (МЭОР)'!$AJ$25:$AJ$367,'Калькуляция (МЭОР)'!$F$25:$F$367,$F50,'Калькуляция (МЭОР)'!$G$25:$G$367,$G50),IF(method_reg="Метод сравнения аналогов",_xlfn.SUMIFS('Калькуляция (МСА)'!$AE$25:$AE$103,'Калькуляция (МСА)'!$F$25:$F$103,$F50,'Калькуляция (МСА)'!$G$25:$G$103,$G50),_xlfn.SUMIFS(INDEX('Калькуляция (МИ)'!$AJ$25:$BC$603,,MATCH(BB$8,'Калькуляция (МИ)'!$AJ$8:$BC$8,0)),'Калькуляция (МИ)'!$F$25:$F$603,$F50,'Калькуляция (МИ)'!$G$25:$G$603,$G50))))</f>
        <v>0</v>
      </c>
      <c r="BC50" s="4585">
        <f>IF(AND(method_reg="Метод индексации",god&lt;&gt;first_year),_xlfn.SUMIFS(INDEX('Калькуляция (МИ корр)'!$AJ$25:$BC$606,,MATCH(BC$8,'Калькуляция (МИ корр)'!$AJ$8:$BC$8,0)),'Калькуляция (МИ корр)'!$F$25:$F$606,$F50,'Калькуляция (МИ корр)'!$G$25:$G$606,$G50),IF(method_reg="Метод экономически обоснованных расходов",_xlfn.SUMIFS('Калькуляция (МЭОР)'!$AK$25:$AK$367,'Калькуляция (МЭОР)'!$F$25:$F$367,$F50,'Калькуляция (МЭОР)'!$G$25:$G$367,$G50),IF(method_reg="Метод сравнения аналогов",_xlfn.SUMIFS('Калькуляция (МСА)'!$AF$25:$AF$103,'Калькуляция (МСА)'!$F$25:$F$103,$F50,'Калькуляция (МСА)'!$G$25:$G$103,$G50),_xlfn.SUMIFS(INDEX('Калькуляция (МИ)'!$AJ$25:$BC$603,,MATCH(BC$8,'Калькуляция (МИ)'!$AJ$8:$BC$8,0)),'Калькуляция (МИ)'!$F$25:$F$603,$F50,'Калькуляция (МИ)'!$G$25:$G$603,$G50))))</f>
        <v>0</v>
      </c>
      <c r="BD50" s="1104">
        <f>IF(BB50=0,0,(BC50-BB50)/BB50*100)</f>
        <v>0</v>
      </c>
      <c r="BE50" s="4585">
        <f>IF(AND(method_reg="Метод индексации",god&lt;&gt;first_year),_xlfn.SUMIFS(INDEX('Калькуляция (МИ корр)'!$AJ$25:$BC$606,,MATCH(BE$8,'Калькуляция (МИ корр)'!$AJ$8:$BC$8,0)),'Калькуляция (МИ корр)'!$F$25:$F$606,$F50,'Калькуляция (МИ корр)'!$G$25:$G$606,$G50),IF(method_reg="Метод экономически обоснованных расходов",_xlfn.SUMIFS('Калькуляция (МЭОР)'!$AJ$25:$AJ$367,'Калькуляция (МЭОР)'!$F$25:$F$367,$F50,'Калькуляция (МЭОР)'!$G$25:$G$367,$G50),IF(method_reg="Метод сравнения аналогов",_xlfn.SUMIFS('Калькуляция (МСА)'!$AE$25:$AE$103,'Калькуляция (МСА)'!$F$25:$F$103,$F50,'Калькуляция (МСА)'!$G$25:$G$103,$G50),_xlfn.SUMIFS(INDEX('Калькуляция (МИ)'!$AJ$25:$BC$603,,MATCH(BE$8,'Калькуляция (МИ)'!$AJ$8:$BC$8,0)),'Калькуляция (МИ)'!$F$25:$F$603,$F50,'Калькуляция (МИ)'!$G$25:$G$603,$G50))))</f>
        <v>0</v>
      </c>
      <c r="BF50" s="4585">
        <f>IF(AND(method_reg="Метод индексации",god&lt;&gt;first_year),_xlfn.SUMIFS(INDEX('Калькуляция (МИ корр)'!$AJ$25:$BC$606,,MATCH(BF$8,'Калькуляция (МИ корр)'!$AJ$8:$BC$8,0)),'Калькуляция (МИ корр)'!$F$25:$F$606,$F50,'Калькуляция (МИ корр)'!$G$25:$G$606,$G50),IF(method_reg="Метод экономически обоснованных расходов",_xlfn.SUMIFS('Калькуляция (МЭОР)'!$AK$25:$AK$367,'Калькуляция (МЭОР)'!$F$25:$F$367,$F50,'Калькуляция (МЭОР)'!$G$25:$G$367,$G50),IF(method_reg="Метод сравнения аналогов",_xlfn.SUMIFS('Калькуляция (МСА)'!$AF$25:$AF$103,'Калькуляция (МСА)'!$F$25:$F$103,$F50,'Калькуляция (МСА)'!$G$25:$G$103,$G50),_xlfn.SUMIFS(INDEX('Калькуляция (МИ)'!$AJ$25:$BC$603,,MATCH(BF$8,'Калькуляция (МИ)'!$AJ$8:$BC$8,0)),'Калькуляция (МИ)'!$F$25:$F$603,$F50,'Калькуляция (МИ)'!$G$25:$G$603,$G50))))</f>
        <v>0</v>
      </c>
      <c r="BG50" s="1104">
        <f>IF(BE50=0,0,(BF50-BE50)/BE50*100)</f>
        <v>0</v>
      </c>
      <c r="BH50" s="4585"/>
      <c r="BI50" s="4585"/>
      <c r="BJ50" s="1104">
        <f>IF(BH50=0,0,(BI50-BH50)/BH50*100)</f>
        <v>0</v>
      </c>
      <c r="BK50" s="4585"/>
      <c r="BL50" s="4585"/>
      <c r="BM50" s="1104">
        <f>IF(BK50=0,0,(BL50-BK50)/BK50*100)</f>
        <v>0</v>
      </c>
      <c r="BN50" s="4585"/>
      <c r="BO50" s="4585"/>
      <c r="BP50" s="1104">
        <f>IF(BN50=0,0,(BO50-BN50)/BN50*100)</f>
        <v>0</v>
      </c>
      <c r="BQ50" s="4585"/>
      <c r="BR50" s="4585"/>
      <c r="BS50" s="1104">
        <f>IF(BQ50=0,0,(BR50-BQ50)/BQ50*100)</f>
        <v>0</v>
      </c>
      <c r="BT50" s="4585"/>
      <c r="BU50" s="4585"/>
      <c r="BV50" s="1104">
        <f>IF(BT50=0,0,(BU50-BT50)/BT50*100)</f>
        <v>0</v>
      </c>
      <c r="BW50" s="4585"/>
      <c r="BX50" s="4585"/>
      <c r="BY50" s="1104">
        <f>IF(BW50=0,0,(BX50-BW50)/BW50*100)</f>
        <v>0</v>
      </c>
      <c r="BZ50" s="4585"/>
      <c r="CA50" s="4585"/>
      <c r="CB50" s="1104">
        <f>IF(BZ50=0,0,(CA50-BZ50)/BZ50*100)</f>
        <v>0</v>
      </c>
      <c r="CC50" s="4585"/>
      <c r="CD50" s="4585"/>
      <c r="CE50" s="1104">
        <f>IF(CC50=0,0,(CD50-CC50)/CC50*100)</f>
        <v>0</v>
      </c>
      <c r="CF50" s="4585"/>
      <c r="CG50" s="4585"/>
      <c r="CH50" s="1104">
        <f>IF(CF50=0,0,(CG50-CF50)/CF50*100)</f>
        <v>0</v>
      </c>
      <c r="CI50" s="4585"/>
      <c r="CJ50" s="4585"/>
      <c r="CK50" s="1104">
        <f>IF(CI50=0,0,(CJ50-CI50)/CI50*100)</f>
        <v>0</v>
      </c>
      <c r="CL50" s="4585"/>
      <c r="CM50" s="4585"/>
      <c r="CN50" s="1104">
        <f>IF(CL50=0,0,(CM50-CL50)/CL50*100)</f>
        <v>0</v>
      </c>
      <c r="CO50" s="4585"/>
      <c r="CP50" s="4585"/>
      <c r="CQ50" s="1104">
        <f>IF(CO50=0,0,(CP50-CO50)/CO50*100)</f>
        <v>0</v>
      </c>
      <c r="CR50" s="4585"/>
      <c r="CS50" s="4585"/>
      <c r="CT50" s="1104">
        <f>IF(CR50=0,0,(CS50-CR50)/CR50*100)</f>
        <v>0</v>
      </c>
      <c r="CU50" s="4585"/>
      <c r="CV50" s="4585"/>
      <c r="CW50" s="1104">
        <f>IF(CU50=0,0,(CV50-CU50)/CU50*100)</f>
        <v>0</v>
      </c>
      <c r="CX50" s="4585"/>
      <c r="CY50" s="4585"/>
      <c r="CZ50" s="1104">
        <f>IF(CX50=0,0,(CY50-CX50)/CX50*100)</f>
        <v>0</v>
      </c>
      <c r="DA50" s="4585"/>
      <c r="DB50" s="4585"/>
      <c r="DC50" s="1104">
        <f>IF(DA50=0,0,(DB50-DA50)/DA50*100)</f>
        <v>0</v>
      </c>
      <c r="DD50" s="4585"/>
      <c r="DE50" s="4585"/>
      <c r="DF50" s="1104">
        <f>IF(DD50=0,0,(DE50-DD50)/DD50*100)</f>
        <v>0</v>
      </c>
      <c r="DG50" s="4585"/>
      <c r="DH50" s="4585"/>
      <c r="DI50" s="1104">
        <f>IF(DG50=0,0,(DH50-DG50)/DG50*100)</f>
        <v>0</v>
      </c>
      <c r="DJ50" s="4585"/>
      <c r="DK50" s="4585"/>
      <c r="DL50" s="1104">
        <f>IF(DJ50=0,0,(DK50-DJ50)/DJ50*100)</f>
        <v>0</v>
      </c>
      <c r="DM50" s="4585"/>
      <c r="DN50" s="4585"/>
      <c r="DO50" s="1104">
        <f>IF(DM50=0,0,(DN50-DM50)/DM50*100)</f>
        <v>0</v>
      </c>
      <c r="DP50" s="4585"/>
      <c r="DQ50" s="4585"/>
      <c r="DR50" s="1104">
        <f>IF(DP50=0,0,(DQ50-DP50)/DP50*100)</f>
        <v>0</v>
      </c>
      <c r="DS50" s="4585"/>
      <c r="DT50" s="4585"/>
      <c r="DU50" s="1104">
        <f>IF(DS50=0,0,(DT50-DS50)/DS50*100)</f>
        <v>0</v>
      </c>
      <c r="DV50" s="4585"/>
      <c r="DW50" s="4585"/>
      <c r="DX50" s="1104">
        <f>IF(DV50=0,0,(DW50-DV50)/DV50*100)</f>
        <v>0</v>
      </c>
      <c r="DY50" s="4585"/>
      <c r="DZ50" s="4585"/>
      <c r="EA50" s="1104">
        <f>IF(DY50=0,0,(DZ50-DY50)/DY50*100)</f>
        <v>0</v>
      </c>
      <c r="EB50" s="4585"/>
      <c r="EC50" s="4585"/>
      <c r="ED50" s="1104">
        <f>IF(EB50=0,0,(EC50-EB50)/EB50*100)</f>
        <v>0</v>
      </c>
      <c r="EE50" s="4585"/>
      <c r="EF50" s="4585"/>
      <c r="EG50" s="1104">
        <f>IF(EE50=0,0,(EF50-EE50)/EE50*100)</f>
        <v>0</v>
      </c>
      <c r="EH50" s="4585"/>
      <c r="EI50" s="4585"/>
      <c r="EJ50" s="1104">
        <f>IF(EH50=0,0,(EI50-EH50)/EH50*100)</f>
        <v>0</v>
      </c>
      <c r="EK50" s="4585"/>
      <c r="EL50" s="4585"/>
      <c r="EM50" s="1104">
        <f>IF(EK50=0,0,(EL50-EK50)/EK50*100)</f>
        <v>0</v>
      </c>
      <c r="EN50" s="4585"/>
      <c r="EO50" s="4585"/>
      <c r="EP50" s="1104">
        <f>IF(EN50=0,0,(EO50-EN50)/EN50*100)</f>
        <v>0</v>
      </c>
      <c r="EQ50" s="4585"/>
      <c r="ER50" s="4585"/>
      <c r="ES50" s="1104">
        <f>IF(EQ50=0,0,(ER50-EQ50)/EQ50*100)</f>
        <v>0</v>
      </c>
      <c r="ET50" s="4585"/>
      <c r="EU50" s="4585"/>
      <c r="EV50" s="1104">
        <f>IF(ET50=0,0,(EU50-ET50)/ET50*100)</f>
        <v>0</v>
      </c>
      <c r="EW50" s="4585"/>
      <c r="EX50" s="4585"/>
      <c r="EY50" s="1104">
        <f>IF(EW50=0,0,(EX50-EW50)/EW50*100)</f>
        <v>0</v>
      </c>
      <c r="EZ50" s="4585"/>
      <c r="FA50" s="4585"/>
      <c r="FB50" s="1104">
        <f>IF(EZ50=0,0,(FA50-EZ50)/EZ50*100)</f>
        <v>0</v>
      </c>
      <c r="FC50" s="4585"/>
      <c r="FD50" s="4585"/>
      <c r="FE50" s="1104">
        <f>IF(FC50=0,0,(FD50-FC50)/FC50*100)</f>
        <v>0</v>
      </c>
      <c r="FF50" s="4585"/>
      <c r="FG50" s="4585"/>
      <c r="FH50" s="1104">
        <f>IF(FF50=0,0,(FG50-FF50)/FF50*100)</f>
        <v>0</v>
      </c>
      <c r="FI50" s="4585"/>
      <c r="FJ50" s="4585"/>
      <c r="FK50" s="1104">
        <f>IF(FI50=0,0,(FJ50-FI50)/FI50*100)</f>
        <v>0</v>
      </c>
      <c r="FL50" s="4585"/>
      <c r="FM50" s="4585"/>
      <c r="FN50" s="1104">
        <f>IF(FL50=0,0,(FM50-FL50)/FL50*100)</f>
        <v>0</v>
      </c>
      <c r="FO50" s="4585"/>
      <c r="FP50" s="4585"/>
      <c r="FQ50" s="1104">
        <f>IF(FO50=0,0,(FP50-FO50)/FO50*100)</f>
        <v>0</v>
      </c>
      <c r="FR50" s="4585"/>
      <c r="FS50" s="4585"/>
      <c r="FT50" s="1104">
        <f>IF(FR50=0,0,(FS50-FR50)/FR50*100)</f>
        <v>0</v>
      </c>
      <c r="FU50" s="4585"/>
      <c r="FV50" s="4585"/>
      <c r="FW50" s="1104">
        <f>IF(FU50=0,0,(FV50-FU50)/FU50*100)</f>
        <v>0</v>
      </c>
      <c r="FX50" s="1328"/>
      <c r="FY50" s="1328"/>
      <c r="FZ50" s="1063" t="s">
        <v>1900</v>
      </c>
      <c r="GA50" s="1330"/>
      <c r="GB50" s="1330"/>
      <c r="GC50" s="1329"/>
      <c r="GD50" s="1329"/>
    </row>
    <row customHeight="1" ht="24.131250000000005" hidden="1">
      <c r="A51" s="496"/>
      <c r="B51" s="932" cm="1" t="str">
        <f t="array" ref="B51:B51">B50</f>
        <v>false</v>
      </c>
      <c r="C51" s="496"/>
      <c r="D51" s="496"/>
      <c r="E51" s="847">
        <v>24.75</v>
      </c>
      <c r="F51" s="50" cm="1" t="str">
        <f t="array" ref="F51:F51">OFFSET(E51,-1,1)</f>
        <v>0</v>
      </c>
      <c r="G51" s="496"/>
      <c r="H51" s="496" t="s">
        <v>1901</v>
      </c>
      <c r="I51" s="496" t="s">
        <v>1860</v>
      </c>
      <c r="J51" s="496"/>
      <c r="K51" s="496"/>
      <c r="L51" s="496"/>
      <c r="M51" s="496"/>
      <c r="N51" s="496"/>
      <c r="O51" s="496"/>
      <c r="P51" s="496"/>
      <c r="Q51" s="496"/>
      <c r="R51" s="496"/>
      <c r="S51" s="496"/>
      <c r="T51" s="468" cm="1" t="str">
        <f t="array" ref="T51:T51">T50</f>
        <v>false</v>
      </c>
      <c r="U51" s="496"/>
      <c r="V51" s="496"/>
      <c r="W51" s="496"/>
      <c r="X51" s="1559"/>
      <c r="Y51" s="496"/>
      <c r="Z51" s="1528"/>
      <c r="AA51" s="496"/>
      <c r="AB51" s="911"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51" s="871" t="s">
        <v>1902</v>
      </c>
      <c r="AD51" s="4591"/>
      <c r="AE51" s="4591"/>
      <c r="AF51" s="1102">
        <f>IF(AD51=0,0,(AE51-AD51)/AD51*100)</f>
        <v>0</v>
      </c>
      <c r="AG51" s="4591"/>
      <c r="AH51" s="4591"/>
      <c r="AI51" s="1102">
        <f>IF(AG51=0,0,(AH51-AG51)/AG51*100)</f>
        <v>0</v>
      </c>
      <c r="AJ51" s="4591"/>
      <c r="AK51" s="4591"/>
      <c r="AL51" s="1102">
        <f>IF(AJ51=0,0,(AK51-AJ51)/AJ51*100)</f>
        <v>0</v>
      </c>
      <c r="AM51" s="4591"/>
      <c r="AN51" s="4591"/>
      <c r="AO51" s="1102">
        <f>IF(AM51=0,0,(AN51-AM51)/AM51*100)</f>
        <v>0</v>
      </c>
      <c r="AP51" s="4591"/>
      <c r="AQ51" s="4591"/>
      <c r="AR51" s="1102">
        <f>IF(AP51=0,0,(AQ51-AP51)/AP51*100)</f>
        <v>0</v>
      </c>
      <c r="AS51" s="4591"/>
      <c r="AT51" s="4591"/>
      <c r="AU51" s="1102">
        <f>IF(AS51=0,0,(AT51-AS51)/AS51*100)</f>
        <v>0</v>
      </c>
      <c r="AV51" s="4591"/>
      <c r="AW51" s="4591"/>
      <c r="AX51" s="1102">
        <f>IF(AV51=0,0,(AW51-AV51)/AV51*100)</f>
        <v>0</v>
      </c>
      <c r="AY51" s="4591"/>
      <c r="AZ51" s="4591"/>
      <c r="BA51" s="1102">
        <f>IF(AY51=0,0,(AZ51-AY51)/AY51*100)</f>
        <v>0</v>
      </c>
      <c r="BB51" s="4591"/>
      <c r="BC51" s="4591"/>
      <c r="BD51" s="1102">
        <f>IF(BB51=0,0,(BC51-BB51)/BB51*100)</f>
        <v>0</v>
      </c>
      <c r="BE51" s="4591"/>
      <c r="BF51" s="4591"/>
      <c r="BG51" s="1102">
        <f>IF(BE51=0,0,(BF51-BE51)/BE51*100)</f>
        <v>0</v>
      </c>
      <c r="BH51" s="4591"/>
      <c r="BI51" s="4591"/>
      <c r="BJ51" s="1102">
        <f>IF(BH51=0,0,(BI51-BH51)/BH51*100)</f>
        <v>0</v>
      </c>
      <c r="BK51" s="4591"/>
      <c r="BL51" s="4591"/>
      <c r="BM51" s="1102">
        <f>IF(BK51=0,0,(BL51-BK51)/BK51*100)</f>
        <v>0</v>
      </c>
      <c r="BN51" s="4591"/>
      <c r="BO51" s="4591"/>
      <c r="BP51" s="1102">
        <f>IF(BN51=0,0,(BO51-BN51)/BN51*100)</f>
        <v>0</v>
      </c>
      <c r="BQ51" s="4591"/>
      <c r="BR51" s="4591"/>
      <c r="BS51" s="1102">
        <f>IF(BQ51=0,0,(BR51-BQ51)/BQ51*100)</f>
        <v>0</v>
      </c>
      <c r="BT51" s="4591"/>
      <c r="BU51" s="4591"/>
      <c r="BV51" s="1102">
        <f>IF(BT51=0,0,(BU51-BT51)/BT51*100)</f>
        <v>0</v>
      </c>
      <c r="BW51" s="4591"/>
      <c r="BX51" s="4591"/>
      <c r="BY51" s="1102">
        <f>IF(BW51=0,0,(BX51-BW51)/BW51*100)</f>
        <v>0</v>
      </c>
      <c r="BZ51" s="4591"/>
      <c r="CA51" s="4591"/>
      <c r="CB51" s="1102">
        <f>IF(BZ51=0,0,(CA51-BZ51)/BZ51*100)</f>
        <v>0</v>
      </c>
      <c r="CC51" s="4591"/>
      <c r="CD51" s="4591"/>
      <c r="CE51" s="1102">
        <f>IF(CC51=0,0,(CD51-CC51)/CC51*100)</f>
        <v>0</v>
      </c>
      <c r="CF51" s="4591"/>
      <c r="CG51" s="4591"/>
      <c r="CH51" s="1102">
        <f>IF(CF51=0,0,(CG51-CF51)/CF51*100)</f>
        <v>0</v>
      </c>
      <c r="CI51" s="4591"/>
      <c r="CJ51" s="4591"/>
      <c r="CK51" s="1102">
        <f>IF(CI51=0,0,(CJ51-CI51)/CI51*100)</f>
        <v>0</v>
      </c>
      <c r="CL51" s="4591"/>
      <c r="CM51" s="4591"/>
      <c r="CN51" s="1102">
        <f>IF(CL51=0,0,(CM51-CL51)/CL51*100)</f>
        <v>0</v>
      </c>
      <c r="CO51" s="4591"/>
      <c r="CP51" s="4591"/>
      <c r="CQ51" s="1102">
        <f>IF(CO51=0,0,(CP51-CO51)/CO51*100)</f>
        <v>0</v>
      </c>
      <c r="CR51" s="4591"/>
      <c r="CS51" s="4591"/>
      <c r="CT51" s="1102">
        <f>IF(CR51=0,0,(CS51-CR51)/CR51*100)</f>
        <v>0</v>
      </c>
      <c r="CU51" s="4591"/>
      <c r="CV51" s="4591"/>
      <c r="CW51" s="1102">
        <f>IF(CU51=0,0,(CV51-CU51)/CU51*100)</f>
        <v>0</v>
      </c>
      <c r="CX51" s="4591"/>
      <c r="CY51" s="4591"/>
      <c r="CZ51" s="1102">
        <f>IF(CX51=0,0,(CY51-CX51)/CX51*100)</f>
        <v>0</v>
      </c>
      <c r="DA51" s="4591"/>
      <c r="DB51" s="4591"/>
      <c r="DC51" s="1102">
        <f>IF(DA51=0,0,(DB51-DA51)/DA51*100)</f>
        <v>0</v>
      </c>
      <c r="DD51" s="4591"/>
      <c r="DE51" s="4591"/>
      <c r="DF51" s="1102">
        <f>IF(DD51=0,0,(DE51-DD51)/DD51*100)</f>
        <v>0</v>
      </c>
      <c r="DG51" s="4591"/>
      <c r="DH51" s="4591"/>
      <c r="DI51" s="1102">
        <f>IF(DG51=0,0,(DH51-DG51)/DG51*100)</f>
        <v>0</v>
      </c>
      <c r="DJ51" s="4591"/>
      <c r="DK51" s="4591"/>
      <c r="DL51" s="1102">
        <f>IF(DJ51=0,0,(DK51-DJ51)/DJ51*100)</f>
        <v>0</v>
      </c>
      <c r="DM51" s="4591"/>
      <c r="DN51" s="4591"/>
      <c r="DO51" s="1102">
        <f>IF(DM51=0,0,(DN51-DM51)/DM51*100)</f>
        <v>0</v>
      </c>
      <c r="DP51" s="4591"/>
      <c r="DQ51" s="4591"/>
      <c r="DR51" s="1102">
        <f>IF(DP51=0,0,(DQ51-DP51)/DP51*100)</f>
        <v>0</v>
      </c>
      <c r="DS51" s="4591"/>
      <c r="DT51" s="4591"/>
      <c r="DU51" s="1102">
        <f>IF(DS51=0,0,(DT51-DS51)/DS51*100)</f>
        <v>0</v>
      </c>
      <c r="DV51" s="4591"/>
      <c r="DW51" s="4591"/>
      <c r="DX51" s="1102">
        <f>IF(DV51=0,0,(DW51-DV51)/DV51*100)</f>
        <v>0</v>
      </c>
      <c r="DY51" s="4591"/>
      <c r="DZ51" s="4591"/>
      <c r="EA51" s="1102">
        <f>IF(DY51=0,0,(DZ51-DY51)/DY51*100)</f>
        <v>0</v>
      </c>
      <c r="EB51" s="4591"/>
      <c r="EC51" s="4591"/>
      <c r="ED51" s="1102">
        <f>IF(EB51=0,0,(EC51-EB51)/EB51*100)</f>
        <v>0</v>
      </c>
      <c r="EE51" s="4591"/>
      <c r="EF51" s="4591"/>
      <c r="EG51" s="1102">
        <f>IF(EE51=0,0,(EF51-EE51)/EE51*100)</f>
        <v>0</v>
      </c>
      <c r="EH51" s="4591"/>
      <c r="EI51" s="4591"/>
      <c r="EJ51" s="1102">
        <f>IF(EH51=0,0,(EI51-EH51)/EH51*100)</f>
        <v>0</v>
      </c>
      <c r="EK51" s="4591"/>
      <c r="EL51" s="4591"/>
      <c r="EM51" s="1102">
        <f>IF(EK51=0,0,(EL51-EK51)/EK51*100)</f>
        <v>0</v>
      </c>
      <c r="EN51" s="4591"/>
      <c r="EO51" s="4591"/>
      <c r="EP51" s="1102">
        <f>IF(EN51=0,0,(EO51-EN51)/EN51*100)</f>
        <v>0</v>
      </c>
      <c r="EQ51" s="4591"/>
      <c r="ER51" s="4591"/>
      <c r="ES51" s="1102">
        <f>IF(EQ51=0,0,(ER51-EQ51)/EQ51*100)</f>
        <v>0</v>
      </c>
      <c r="ET51" s="4591"/>
      <c r="EU51" s="4591"/>
      <c r="EV51" s="1102">
        <f>IF(ET51=0,0,(EU51-ET51)/ET51*100)</f>
        <v>0</v>
      </c>
      <c r="EW51" s="4591"/>
      <c r="EX51" s="4591"/>
      <c r="EY51" s="1102">
        <f>IF(EW51=0,0,(EX51-EW51)/EW51*100)</f>
        <v>0</v>
      </c>
      <c r="EZ51" s="4591"/>
      <c r="FA51" s="4591"/>
      <c r="FB51" s="1102">
        <f>IF(EZ51=0,0,(FA51-EZ51)/EZ51*100)</f>
        <v>0</v>
      </c>
      <c r="FC51" s="4591"/>
      <c r="FD51" s="4591"/>
      <c r="FE51" s="1102">
        <f>IF(FC51=0,0,(FD51-FC51)/FC51*100)</f>
        <v>0</v>
      </c>
      <c r="FF51" s="4591"/>
      <c r="FG51" s="4591"/>
      <c r="FH51" s="1102">
        <f>IF(FF51=0,0,(FG51-FF51)/FF51*100)</f>
        <v>0</v>
      </c>
      <c r="FI51" s="4591"/>
      <c r="FJ51" s="4591"/>
      <c r="FK51" s="1102">
        <f>IF(FI51=0,0,(FJ51-FI51)/FI51*100)</f>
        <v>0</v>
      </c>
      <c r="FL51" s="4591"/>
      <c r="FM51" s="4591"/>
      <c r="FN51" s="1102">
        <f>IF(FL51=0,0,(FM51-FL51)/FL51*100)</f>
        <v>0</v>
      </c>
      <c r="FO51" s="4591"/>
      <c r="FP51" s="4591"/>
      <c r="FQ51" s="1102">
        <f>IF(FO51=0,0,(FP51-FO51)/FO51*100)</f>
        <v>0</v>
      </c>
      <c r="FR51" s="4591"/>
      <c r="FS51" s="4591"/>
      <c r="FT51" s="1102">
        <f>IF(FR51=0,0,(FS51-FR51)/FR51*100)</f>
        <v>0</v>
      </c>
      <c r="FU51" s="4591"/>
      <c r="FV51" s="4591"/>
      <c r="FW51" s="1102">
        <f>IF(FU51=0,0,(FV51-FU51)/FU51*100)</f>
        <v>0</v>
      </c>
      <c r="FX51" s="1328"/>
      <c r="FY51" s="1328"/>
      <c r="FZ51" s="1063" t="s">
        <v>1903</v>
      </c>
      <c r="GA51" s="1330"/>
      <c r="GB51" s="1330"/>
      <c r="GC51" s="1329"/>
      <c r="GD51" s="1329"/>
    </row>
    <row customHeight="1" ht="14.625" hidden="1">
      <c r="A52" s="496"/>
      <c r="B52" s="932" cm="1" t="str">
        <f t="array" ref="B52:B52">B51</f>
        <v>false</v>
      </c>
      <c r="C52" s="496"/>
      <c r="D52" s="496"/>
      <c r="E52" s="847">
        <v>15</v>
      </c>
      <c r="F52" s="50" cm="1" t="str">
        <f t="array" ref="F52:F52">OFFSET(E52,-1,1)</f>
        <v>0</v>
      </c>
      <c r="G52" s="496"/>
      <c r="H52" s="496" t="s">
        <v>1904</v>
      </c>
      <c r="I52" s="496" t="s">
        <v>1860</v>
      </c>
      <c r="J52" s="496"/>
      <c r="K52" s="496"/>
      <c r="L52" s="496"/>
      <c r="M52" s="496"/>
      <c r="N52" s="496"/>
      <c r="O52" s="496"/>
      <c r="P52" s="496"/>
      <c r="Q52" s="496"/>
      <c r="R52" s="496"/>
      <c r="S52" s="496"/>
      <c r="T52" s="468" cm="1" t="str">
        <f t="array" ref="T52:T52">T51</f>
        <v>false</v>
      </c>
      <c r="U52" s="496"/>
      <c r="V52" s="496"/>
      <c r="W52" s="496"/>
      <c r="X52" s="1559"/>
      <c r="Y52" s="496"/>
      <c r="Z52" s="1528"/>
      <c r="AA52" s="496"/>
      <c r="AB52" s="911" t="s">
        <v>1905</v>
      </c>
      <c r="AC52" s="871" t="s">
        <v>1906</v>
      </c>
      <c r="AD52" s="4591"/>
      <c r="AE52" s="4591"/>
      <c r="AF52" s="1102">
        <f>IF(AD52=0,0,(AE52-AD52)/AD52*100)</f>
        <v>0</v>
      </c>
      <c r="AG52" s="4591"/>
      <c r="AH52" s="4591"/>
      <c r="AI52" s="1102">
        <f>IF(AG52=0,0,(AH52-AG52)/AG52*100)</f>
        <v>0</v>
      </c>
      <c r="AJ52" s="4591"/>
      <c r="AK52" s="4591"/>
      <c r="AL52" s="1102">
        <f>IF(AJ52=0,0,(AK52-AJ52)/AJ52*100)</f>
        <v>0</v>
      </c>
      <c r="AM52" s="4591"/>
      <c r="AN52" s="4591"/>
      <c r="AO52" s="1102">
        <f>IF(AM52=0,0,(AN52-AM52)/AM52*100)</f>
        <v>0</v>
      </c>
      <c r="AP52" s="4591"/>
      <c r="AQ52" s="4591"/>
      <c r="AR52" s="1102">
        <f>IF(AP52=0,0,(AQ52-AP52)/AP52*100)</f>
        <v>0</v>
      </c>
      <c r="AS52" s="4591"/>
      <c r="AT52" s="4591"/>
      <c r="AU52" s="1102">
        <f>IF(AS52=0,0,(AT52-AS52)/AS52*100)</f>
        <v>0</v>
      </c>
      <c r="AV52" s="4591"/>
      <c r="AW52" s="4591"/>
      <c r="AX52" s="1102">
        <f>IF(AV52=0,0,(AW52-AV52)/AV52*100)</f>
        <v>0</v>
      </c>
      <c r="AY52" s="4591"/>
      <c r="AZ52" s="4591"/>
      <c r="BA52" s="1102">
        <f>IF(AY52=0,0,(AZ52-AY52)/AY52*100)</f>
        <v>0</v>
      </c>
      <c r="BB52" s="4591"/>
      <c r="BC52" s="4591"/>
      <c r="BD52" s="1102">
        <f>IF(BB52=0,0,(BC52-BB52)/BB52*100)</f>
        <v>0</v>
      </c>
      <c r="BE52" s="4591"/>
      <c r="BF52" s="4591"/>
      <c r="BG52" s="1102">
        <f>IF(BE52=0,0,(BF52-BE52)/BE52*100)</f>
        <v>0</v>
      </c>
      <c r="BH52" s="4591"/>
      <c r="BI52" s="4591"/>
      <c r="BJ52" s="1102">
        <f>IF(BH52=0,0,(BI52-BH52)/BH52*100)</f>
        <v>0</v>
      </c>
      <c r="BK52" s="4591"/>
      <c r="BL52" s="4591"/>
      <c r="BM52" s="1102">
        <f>IF(BK52=0,0,(BL52-BK52)/BK52*100)</f>
        <v>0</v>
      </c>
      <c r="BN52" s="4591"/>
      <c r="BO52" s="4591"/>
      <c r="BP52" s="1102">
        <f>IF(BN52=0,0,(BO52-BN52)/BN52*100)</f>
        <v>0</v>
      </c>
      <c r="BQ52" s="4591"/>
      <c r="BR52" s="4591"/>
      <c r="BS52" s="1102">
        <f>IF(BQ52=0,0,(BR52-BQ52)/BQ52*100)</f>
        <v>0</v>
      </c>
      <c r="BT52" s="4591"/>
      <c r="BU52" s="4591"/>
      <c r="BV52" s="1102">
        <f>IF(BT52=0,0,(BU52-BT52)/BT52*100)</f>
        <v>0</v>
      </c>
      <c r="BW52" s="4591"/>
      <c r="BX52" s="4591"/>
      <c r="BY52" s="1102">
        <f>IF(BW52=0,0,(BX52-BW52)/BW52*100)</f>
        <v>0</v>
      </c>
      <c r="BZ52" s="4591"/>
      <c r="CA52" s="4591"/>
      <c r="CB52" s="1102">
        <f>IF(BZ52=0,0,(CA52-BZ52)/BZ52*100)</f>
        <v>0</v>
      </c>
      <c r="CC52" s="4591"/>
      <c r="CD52" s="4591"/>
      <c r="CE52" s="1102">
        <f>IF(CC52=0,0,(CD52-CC52)/CC52*100)</f>
        <v>0</v>
      </c>
      <c r="CF52" s="4591"/>
      <c r="CG52" s="4591"/>
      <c r="CH52" s="1102">
        <f>IF(CF52=0,0,(CG52-CF52)/CF52*100)</f>
        <v>0</v>
      </c>
      <c r="CI52" s="4591"/>
      <c r="CJ52" s="4591"/>
      <c r="CK52" s="1102">
        <f>IF(CI52=0,0,(CJ52-CI52)/CI52*100)</f>
        <v>0</v>
      </c>
      <c r="CL52" s="4591"/>
      <c r="CM52" s="4591"/>
      <c r="CN52" s="1102">
        <f>IF(CL52=0,0,(CM52-CL52)/CL52*100)</f>
        <v>0</v>
      </c>
      <c r="CO52" s="4591"/>
      <c r="CP52" s="4591"/>
      <c r="CQ52" s="1102">
        <f>IF(CO52=0,0,(CP52-CO52)/CO52*100)</f>
        <v>0</v>
      </c>
      <c r="CR52" s="4591"/>
      <c r="CS52" s="4591"/>
      <c r="CT52" s="1102">
        <f>IF(CR52=0,0,(CS52-CR52)/CR52*100)</f>
        <v>0</v>
      </c>
      <c r="CU52" s="4591"/>
      <c r="CV52" s="4591"/>
      <c r="CW52" s="1102">
        <f>IF(CU52=0,0,(CV52-CU52)/CU52*100)</f>
        <v>0</v>
      </c>
      <c r="CX52" s="4591"/>
      <c r="CY52" s="4591"/>
      <c r="CZ52" s="1102">
        <f>IF(CX52=0,0,(CY52-CX52)/CX52*100)</f>
        <v>0</v>
      </c>
      <c r="DA52" s="4591"/>
      <c r="DB52" s="4591"/>
      <c r="DC52" s="1102">
        <f>IF(DA52=0,0,(DB52-DA52)/DA52*100)</f>
        <v>0</v>
      </c>
      <c r="DD52" s="4591"/>
      <c r="DE52" s="4591"/>
      <c r="DF52" s="1102">
        <f>IF(DD52=0,0,(DE52-DD52)/DD52*100)</f>
        <v>0</v>
      </c>
      <c r="DG52" s="4591"/>
      <c r="DH52" s="4591"/>
      <c r="DI52" s="1102">
        <f>IF(DG52=0,0,(DH52-DG52)/DG52*100)</f>
        <v>0</v>
      </c>
      <c r="DJ52" s="4591"/>
      <c r="DK52" s="4591"/>
      <c r="DL52" s="1102">
        <f>IF(DJ52=0,0,(DK52-DJ52)/DJ52*100)</f>
        <v>0</v>
      </c>
      <c r="DM52" s="4591"/>
      <c r="DN52" s="4591"/>
      <c r="DO52" s="1102">
        <f>IF(DM52=0,0,(DN52-DM52)/DM52*100)</f>
        <v>0</v>
      </c>
      <c r="DP52" s="4591"/>
      <c r="DQ52" s="4591"/>
      <c r="DR52" s="1102">
        <f>IF(DP52=0,0,(DQ52-DP52)/DP52*100)</f>
        <v>0</v>
      </c>
      <c r="DS52" s="4591"/>
      <c r="DT52" s="4591"/>
      <c r="DU52" s="1102">
        <f>IF(DS52=0,0,(DT52-DS52)/DS52*100)</f>
        <v>0</v>
      </c>
      <c r="DV52" s="4591"/>
      <c r="DW52" s="4591"/>
      <c r="DX52" s="1102">
        <f>IF(DV52=0,0,(DW52-DV52)/DV52*100)</f>
        <v>0</v>
      </c>
      <c r="DY52" s="4591"/>
      <c r="DZ52" s="4591"/>
      <c r="EA52" s="1102">
        <f>IF(DY52=0,0,(DZ52-DY52)/DY52*100)</f>
        <v>0</v>
      </c>
      <c r="EB52" s="4591"/>
      <c r="EC52" s="4591"/>
      <c r="ED52" s="1102">
        <f>IF(EB52=0,0,(EC52-EB52)/EB52*100)</f>
        <v>0</v>
      </c>
      <c r="EE52" s="4591"/>
      <c r="EF52" s="4591"/>
      <c r="EG52" s="1102">
        <f>IF(EE52=0,0,(EF52-EE52)/EE52*100)</f>
        <v>0</v>
      </c>
      <c r="EH52" s="4591"/>
      <c r="EI52" s="4591"/>
      <c r="EJ52" s="1102">
        <f>IF(EH52=0,0,(EI52-EH52)/EH52*100)</f>
        <v>0</v>
      </c>
      <c r="EK52" s="4591"/>
      <c r="EL52" s="4591"/>
      <c r="EM52" s="1102">
        <f>IF(EK52=0,0,(EL52-EK52)/EK52*100)</f>
        <v>0</v>
      </c>
      <c r="EN52" s="4591"/>
      <c r="EO52" s="4591"/>
      <c r="EP52" s="1102">
        <f>IF(EN52=0,0,(EO52-EN52)/EN52*100)</f>
        <v>0</v>
      </c>
      <c r="EQ52" s="4591"/>
      <c r="ER52" s="4591"/>
      <c r="ES52" s="1102">
        <f>IF(EQ52=0,0,(ER52-EQ52)/EQ52*100)</f>
        <v>0</v>
      </c>
      <c r="ET52" s="4591"/>
      <c r="EU52" s="4591"/>
      <c r="EV52" s="1102">
        <f>IF(ET52=0,0,(EU52-ET52)/ET52*100)</f>
        <v>0</v>
      </c>
      <c r="EW52" s="4591"/>
      <c r="EX52" s="4591"/>
      <c r="EY52" s="1102">
        <f>IF(EW52=0,0,(EX52-EW52)/EW52*100)</f>
        <v>0</v>
      </c>
      <c r="EZ52" s="4591"/>
      <c r="FA52" s="4591"/>
      <c r="FB52" s="1102">
        <f>IF(EZ52=0,0,(FA52-EZ52)/EZ52*100)</f>
        <v>0</v>
      </c>
      <c r="FC52" s="4591"/>
      <c r="FD52" s="4591"/>
      <c r="FE52" s="1102">
        <f>IF(FC52=0,0,(FD52-FC52)/FC52*100)</f>
        <v>0</v>
      </c>
      <c r="FF52" s="4591"/>
      <c r="FG52" s="4591"/>
      <c r="FH52" s="1102">
        <f>IF(FF52=0,0,(FG52-FF52)/FF52*100)</f>
        <v>0</v>
      </c>
      <c r="FI52" s="4591"/>
      <c r="FJ52" s="4591"/>
      <c r="FK52" s="1102">
        <f>IF(FI52=0,0,(FJ52-FI52)/FI52*100)</f>
        <v>0</v>
      </c>
      <c r="FL52" s="4591"/>
      <c r="FM52" s="4591"/>
      <c r="FN52" s="1102">
        <f>IF(FL52=0,0,(FM52-FL52)/FL52*100)</f>
        <v>0</v>
      </c>
      <c r="FO52" s="4591"/>
      <c r="FP52" s="4591"/>
      <c r="FQ52" s="1102">
        <f>IF(FO52=0,0,(FP52-FO52)/FO52*100)</f>
        <v>0</v>
      </c>
      <c r="FR52" s="4591"/>
      <c r="FS52" s="4591"/>
      <c r="FT52" s="1102">
        <f>IF(FR52=0,0,(FS52-FR52)/FR52*100)</f>
        <v>0</v>
      </c>
      <c r="FU52" s="4591"/>
      <c r="FV52" s="4591"/>
      <c r="FW52" s="1102">
        <f>IF(FU52=0,0,(FV52-FU52)/FU52*100)</f>
        <v>0</v>
      </c>
      <c r="FX52" s="1328"/>
      <c r="FY52" s="1328"/>
      <c r="FZ52" s="1063" t="s">
        <v>1907</v>
      </c>
      <c r="GA52" s="1330"/>
      <c r="GB52" s="1330"/>
      <c r="GC52" s="1329"/>
      <c r="GD52" s="1329"/>
    </row>
    <row customHeight="1" ht="23.887500000000003" hidden="1">
      <c r="A53" s="496"/>
      <c r="B53" s="932" cm="1" t="str">
        <f t="array" ref="B53:B53">B52</f>
        <v>false</v>
      </c>
      <c r="C53" s="496"/>
      <c r="D53" s="496"/>
      <c r="E53" s="847">
        <v>24.5</v>
      </c>
      <c r="F53" s="50" cm="1" t="str">
        <f t="array" ref="F53:F53">OFFSET(E53,-1,1)</f>
        <v>0</v>
      </c>
      <c r="G53" s="496"/>
      <c r="H53" s="496"/>
      <c r="I53" s="496"/>
      <c r="J53" s="496"/>
      <c r="K53" s="496"/>
      <c r="L53" s="496"/>
      <c r="M53" s="496"/>
      <c r="N53" s="496"/>
      <c r="O53" s="496"/>
      <c r="P53" s="496"/>
      <c r="Q53" s="496"/>
      <c r="R53" s="496"/>
      <c r="S53" s="496"/>
      <c r="T53" s="468" cm="1" t="str">
        <f t="array" ref="T53:T53">T52</f>
        <v>false</v>
      </c>
      <c r="U53" s="496"/>
      <c r="V53" s="496"/>
      <c r="W53" s="496"/>
      <c r="X53" s="1559"/>
      <c r="Y53" s="496"/>
      <c r="Z53" s="1528"/>
      <c r="AA53" s="496"/>
      <c r="AB53" s="289" t="s">
        <v>1908</v>
      </c>
      <c r="AC53" s="910"/>
      <c r="AD53" s="1111"/>
      <c r="AE53" s="1111"/>
      <c r="AF53" s="1111"/>
      <c r="AG53" s="1111"/>
      <c r="AH53" s="1111"/>
      <c r="AI53" s="1111"/>
      <c r="AJ53" s="1111"/>
      <c r="AK53" s="1111"/>
      <c r="AL53" s="1111"/>
      <c r="AM53" s="1111"/>
      <c r="AN53" s="1111"/>
      <c r="AO53" s="1111"/>
      <c r="AP53" s="1111"/>
      <c r="AQ53" s="1111"/>
      <c r="AR53" s="1111"/>
      <c r="AS53" s="1111"/>
      <c r="AT53" s="1111"/>
      <c r="AU53" s="1111"/>
      <c r="AV53" s="1111"/>
      <c r="AW53" s="1111"/>
      <c r="AX53" s="1111"/>
      <c r="AY53" s="1111"/>
      <c r="AZ53" s="1111"/>
      <c r="BA53" s="1111"/>
      <c r="BB53" s="1111"/>
      <c r="BC53" s="1111"/>
      <c r="BD53" s="1111"/>
      <c r="BE53" s="1111"/>
      <c r="BF53" s="1111"/>
      <c r="BG53" s="1111"/>
      <c r="BH53" s="1111"/>
      <c r="BI53" s="1111"/>
      <c r="BJ53" s="1111"/>
      <c r="BK53" s="1111"/>
      <c r="BL53" s="1111"/>
      <c r="BM53" s="1111"/>
      <c r="BN53" s="1111"/>
      <c r="BO53" s="1111"/>
      <c r="BP53" s="1111"/>
      <c r="BQ53" s="1111"/>
      <c r="BR53" s="1111"/>
      <c r="BS53" s="1111"/>
      <c r="BT53" s="1111"/>
      <c r="BU53" s="1111"/>
      <c r="BV53" s="1111"/>
      <c r="BW53" s="1111"/>
      <c r="BX53" s="1111"/>
      <c r="BY53" s="1111"/>
      <c r="BZ53" s="1111"/>
      <c r="CA53" s="1111"/>
      <c r="CB53" s="1111"/>
      <c r="CC53" s="1111"/>
      <c r="CD53" s="1111"/>
      <c r="CE53" s="1111"/>
      <c r="CF53" s="1111"/>
      <c r="CG53" s="1111"/>
      <c r="CH53" s="1111"/>
      <c r="CI53" s="1111"/>
      <c r="CJ53" s="1111"/>
      <c r="CK53" s="1111"/>
      <c r="CL53" s="1111"/>
      <c r="CM53" s="1111"/>
      <c r="CN53" s="1111"/>
      <c r="CO53" s="1111"/>
      <c r="CP53" s="1111"/>
      <c r="CQ53" s="1111"/>
      <c r="CR53" s="1111"/>
      <c r="CS53" s="1111"/>
      <c r="CT53" s="1111"/>
      <c r="CU53" s="1111"/>
      <c r="CV53" s="1111"/>
      <c r="CW53" s="1111"/>
      <c r="CX53" s="1111"/>
      <c r="CY53" s="1111"/>
      <c r="CZ53" s="1111"/>
      <c r="DA53" s="1111"/>
      <c r="DB53" s="1111"/>
      <c r="DC53" s="1111"/>
      <c r="DD53" s="1111"/>
      <c r="DE53" s="1111"/>
      <c r="DF53" s="1111"/>
      <c r="DG53" s="1111"/>
      <c r="DH53" s="1111"/>
      <c r="DI53" s="1111"/>
      <c r="DJ53" s="1111"/>
      <c r="DK53" s="1111"/>
      <c r="DL53" s="1111"/>
      <c r="DM53" s="1111"/>
      <c r="DN53" s="1111"/>
      <c r="DO53" s="1111"/>
      <c r="DP53" s="1111"/>
      <c r="DQ53" s="1111"/>
      <c r="DR53" s="1111"/>
      <c r="DS53" s="1111"/>
      <c r="DT53" s="1111"/>
      <c r="DU53" s="1111"/>
      <c r="DV53" s="1111"/>
      <c r="DW53" s="1111"/>
      <c r="DX53" s="1111"/>
      <c r="DY53" s="1111"/>
      <c r="DZ53" s="1111"/>
      <c r="EA53" s="1111"/>
      <c r="EB53" s="1111"/>
      <c r="EC53" s="1111"/>
      <c r="ED53" s="1111"/>
      <c r="EE53" s="1111"/>
      <c r="EF53" s="1111"/>
      <c r="EG53" s="1111"/>
      <c r="EH53" s="1111"/>
      <c r="EI53" s="1111"/>
      <c r="EJ53" s="1111"/>
      <c r="EK53" s="1111"/>
      <c r="EL53" s="1111"/>
      <c r="EM53" s="1111"/>
      <c r="EN53" s="1111"/>
      <c r="EO53" s="1111"/>
      <c r="EP53" s="1111"/>
      <c r="EQ53" s="1111"/>
      <c r="ER53" s="1111"/>
      <c r="ES53" s="1111"/>
      <c r="ET53" s="1111"/>
      <c r="EU53" s="1111"/>
      <c r="EV53" s="1111"/>
      <c r="EW53" s="1111"/>
      <c r="EX53" s="1111"/>
      <c r="EY53" s="1111"/>
      <c r="EZ53" s="1111"/>
      <c r="FA53" s="1111"/>
      <c r="FB53" s="1111"/>
      <c r="FC53" s="1111"/>
      <c r="FD53" s="1111"/>
      <c r="FE53" s="1111"/>
      <c r="FF53" s="1111"/>
      <c r="FG53" s="1111"/>
      <c r="FH53" s="1111"/>
      <c r="FI53" s="1111"/>
      <c r="FJ53" s="1111"/>
      <c r="FK53" s="1111"/>
      <c r="FL53" s="1111"/>
      <c r="FM53" s="1111"/>
      <c r="FN53" s="1111"/>
      <c r="FO53" s="1111"/>
      <c r="FP53" s="1111"/>
      <c r="FQ53" s="1111"/>
      <c r="FR53" s="1111"/>
      <c r="FS53" s="1111"/>
      <c r="FT53" s="1111"/>
      <c r="FU53" s="1111"/>
      <c r="FV53" s="1111"/>
      <c r="FW53" s="1112"/>
      <c r="FX53" s="1328"/>
      <c r="FY53" s="1328"/>
      <c r="FZ53" s="1063"/>
      <c r="GA53" s="1330"/>
      <c r="GB53" s="1330"/>
      <c r="GC53" s="1329"/>
      <c r="GD53" s="1329"/>
    </row>
    <row customHeight="1" ht="14.625" hidden="1">
      <c r="A54" s="496"/>
      <c r="B54" s="932" cm="1" t="str">
        <f t="array" ref="B54:B54">B53</f>
        <v>false</v>
      </c>
      <c r="C54" s="496"/>
      <c r="D54" s="496"/>
      <c r="E54" s="847">
        <v>15</v>
      </c>
      <c r="F54" s="50" cm="1" t="str">
        <f t="array" ref="F54:F54">OFFSET(E54,-1,1)</f>
        <v>0</v>
      </c>
      <c r="G54" s="496"/>
      <c r="H54" s="496" t="s">
        <v>1787</v>
      </c>
      <c r="I54" s="496" t="s">
        <v>1865</v>
      </c>
      <c r="J54" s="496"/>
      <c r="K54" s="496"/>
      <c r="L54" s="496"/>
      <c r="M54" s="496"/>
      <c r="N54" s="496"/>
      <c r="O54" s="496"/>
      <c r="P54" s="496"/>
      <c r="Q54" s="496"/>
      <c r="R54" s="496"/>
      <c r="S54" s="496"/>
      <c r="T54" s="468" cm="1" t="str">
        <f t="array" ref="T54:T54">T53</f>
        <v>false</v>
      </c>
      <c r="U54" s="496"/>
      <c r="V54" s="496"/>
      <c r="W54" s="496"/>
      <c r="X54" s="1559"/>
      <c r="Y54" s="496"/>
      <c r="Z54" s="1528"/>
      <c r="AA54" s="496"/>
      <c r="AB54" s="1100" t="s">
        <v>1895</v>
      </c>
      <c r="AC54" s="871" t="s">
        <v>1862</v>
      </c>
      <c r="AD54" s="4591">
        <f>IF(AD56=0,0,(AD55*AD56+AD57*AD58*IF(god=2026,3,6))/AD56)</f>
        <v>0</v>
      </c>
      <c r="AE54" s="4591">
        <f>IF(AE56=0,0,(AE55*AE56+AE57*AE58*IF(god=2026,3,6))/AE56)</f>
        <v>0</v>
      </c>
      <c r="AF54" s="1102">
        <f>IF(AD54=0,0,(AE54-AD54)/AD54*100)</f>
        <v>0</v>
      </c>
      <c r="AG54" s="4591">
        <f>IF(AG56=0,0,(AG55*AG56+AG57*AG58*IF(god=2025,3,6))/AG56)</f>
        <v>0</v>
      </c>
      <c r="AH54" s="4591">
        <f>IF(AH56=0,0,(AH55*AH56+AH57*AH58*IF(god=2025,3,6))/AH56)</f>
        <v>0</v>
      </c>
      <c r="AI54" s="1102">
        <f>IF(AG54=0,0,(AH54-AG54)/AG54*100)</f>
        <v>0</v>
      </c>
      <c r="AJ54" s="4591">
        <f>IF(AJ56=0,0,(AJ55*AJ56+AJ57*AJ58*6)/AJ56)</f>
        <v>0</v>
      </c>
      <c r="AK54" s="4591">
        <f>IF(AK56=0,0,(AK55*AK56+AK57*AK58*6)/AK56)</f>
        <v>0</v>
      </c>
      <c r="AL54" s="1102">
        <f>IF(AJ54=0,0,(AK54-AJ54)/AJ54*100)</f>
        <v>0</v>
      </c>
      <c r="AM54" s="4591">
        <f>IF(AM56=0,0,(AM55*AM56+AM57*AM58*6)/AM56)</f>
        <v>0</v>
      </c>
      <c r="AN54" s="4591">
        <f>IF(AN56=0,0,(AN55*AN56+AN57*AN58*6)/AN56)</f>
        <v>0</v>
      </c>
      <c r="AO54" s="1102">
        <f>IF(AM54=0,0,(AN54-AM54)/AM54*100)</f>
        <v>0</v>
      </c>
      <c r="AP54" s="4591">
        <f>IF(AP56=0,0,(AP55*AP56+AP57*AP58*6)/AP56)</f>
        <v>0</v>
      </c>
      <c r="AQ54" s="4591">
        <f>IF(AQ56=0,0,(AQ55*AQ56+AQ57*AQ58*6)/AQ56)</f>
        <v>0</v>
      </c>
      <c r="AR54" s="1102">
        <f>IF(AP54=0,0,(AQ54-AP54)/AP54*100)</f>
        <v>0</v>
      </c>
      <c r="AS54" s="4591">
        <f>IF(AS56=0,0,(AS55*AS56+AS57*AS58*6)/AS56)</f>
        <v>0</v>
      </c>
      <c r="AT54" s="4591">
        <f>IF(AT56=0,0,(AT55*AT56+AT57*AT58*6)/AT56)</f>
        <v>0</v>
      </c>
      <c r="AU54" s="1102">
        <f>IF(AS54=0,0,(AT54-AS54)/AS54*100)</f>
        <v>0</v>
      </c>
      <c r="AV54" s="4591">
        <f>IF(AV56=0,0,(AV55*AV56+AV57*AV58*6)/AV56)</f>
        <v>0</v>
      </c>
      <c r="AW54" s="4591">
        <f>IF(AW56=0,0,(AW55*AW56+AW57*AW58*6)/AW56)</f>
        <v>0</v>
      </c>
      <c r="AX54" s="1102">
        <f>IF(AV54=0,0,(AW54-AV54)/AV54*100)</f>
        <v>0</v>
      </c>
      <c r="AY54" s="4591">
        <f>IF(AY56=0,0,(AY55*AY56+AY57*AY58*6)/AY56)</f>
        <v>0</v>
      </c>
      <c r="AZ54" s="4591">
        <f>IF(AZ56=0,0,(AZ55*AZ56+AZ57*AZ58*6)/AZ56)</f>
        <v>0</v>
      </c>
      <c r="BA54" s="1102">
        <f>IF(AY54=0,0,(AZ54-AY54)/AY54*100)</f>
        <v>0</v>
      </c>
      <c r="BB54" s="4591">
        <f>IF(BB56=0,0,(BB55*BB56+BB57*BB58*6)/BB56)</f>
        <v>0</v>
      </c>
      <c r="BC54" s="4591">
        <f>IF(BC56=0,0,(BC55*BC56+BC57*BC58*6)/BC56)</f>
        <v>0</v>
      </c>
      <c r="BD54" s="1102">
        <f>IF(BB54=0,0,(BC54-BB54)/BB54*100)</f>
        <v>0</v>
      </c>
      <c r="BE54" s="4591">
        <f>IF(BE56=0,0,(BE55*BE56+BE57*BE58*6)/BE56)</f>
        <v>0</v>
      </c>
      <c r="BF54" s="4591">
        <f>IF(BF56=0,0,(BF55*BF56+BF57*BF58*6)/BF56)</f>
        <v>0</v>
      </c>
      <c r="BG54" s="1102">
        <f>IF(BE54=0,0,(BF54-BE54)/BE54*100)</f>
        <v>0</v>
      </c>
      <c r="BH54" s="4591">
        <f>IF(BH56=0,0,(BH55*BH56+BH57*BH58*6)/BH56)</f>
        <v>0</v>
      </c>
      <c r="BI54" s="4591">
        <f>IF(BI56=0,0,(BI55*BI56+BI57*BI58*6)/BI56)</f>
        <v>0</v>
      </c>
      <c r="BJ54" s="1102">
        <f>IF(BH54=0,0,(BI54-BH54)/BH54*100)</f>
        <v>0</v>
      </c>
      <c r="BK54" s="4591">
        <f>IF(BK56=0,0,(BK55*BK56+BK57*BK58*6)/BK56)</f>
        <v>0</v>
      </c>
      <c r="BL54" s="4591">
        <f>IF(BL56=0,0,(BL55*BL56+BL57*BL58*6)/BL56)</f>
        <v>0</v>
      </c>
      <c r="BM54" s="1102">
        <f>IF(BK54=0,0,(BL54-BK54)/BK54*100)</f>
        <v>0</v>
      </c>
      <c r="BN54" s="4591">
        <f>IF(BN56=0,0,(BN55*BN56+BN57*BN58*6)/BN56)</f>
        <v>0</v>
      </c>
      <c r="BO54" s="4591">
        <f>IF(BO56=0,0,(BO55*BO56+BO57*BO58*6)/BO56)</f>
        <v>0</v>
      </c>
      <c r="BP54" s="1102">
        <f>IF(BN54=0,0,(BO54-BN54)/BN54*100)</f>
        <v>0</v>
      </c>
      <c r="BQ54" s="4591">
        <f>IF(BQ56=0,0,(BQ55*BQ56+BQ57*BQ58*6)/BQ56)</f>
        <v>0</v>
      </c>
      <c r="BR54" s="4591">
        <f>IF(BR56=0,0,(BR55*BR56+BR57*BR58*6)/BR56)</f>
        <v>0</v>
      </c>
      <c r="BS54" s="1102">
        <f>IF(BQ54=0,0,(BR54-BQ54)/BQ54*100)</f>
        <v>0</v>
      </c>
      <c r="BT54" s="4591">
        <f>IF(BT56=0,0,(BT55*BT56+BT57*BT58*6)/BT56)</f>
        <v>0</v>
      </c>
      <c r="BU54" s="4591">
        <f>IF(BU56=0,0,(BU55*BU56+BU57*BU58*6)/BU56)</f>
        <v>0</v>
      </c>
      <c r="BV54" s="1102">
        <f>IF(BT54=0,0,(BU54-BT54)/BT54*100)</f>
        <v>0</v>
      </c>
      <c r="BW54" s="4591">
        <f>IF(BW56=0,0,(BW55*BW56+BW57*BW58*6)/BW56)</f>
        <v>0</v>
      </c>
      <c r="BX54" s="4591">
        <f>IF(BX56=0,0,(BX55*BX56+BX57*BX58*6)/BX56)</f>
        <v>0</v>
      </c>
      <c r="BY54" s="1102">
        <f>IF(BW54=0,0,(BX54-BW54)/BW54*100)</f>
        <v>0</v>
      </c>
      <c r="BZ54" s="4591">
        <f>IF(BZ56=0,0,(BZ55*BZ56+BZ57*BZ58*6)/BZ56)</f>
        <v>0</v>
      </c>
      <c r="CA54" s="4591">
        <f>IF(CA56=0,0,(CA55*CA56+CA57*CA58*6)/CA56)</f>
        <v>0</v>
      </c>
      <c r="CB54" s="1102">
        <f>IF(BZ54=0,0,(CA54-BZ54)/BZ54*100)</f>
        <v>0</v>
      </c>
      <c r="CC54" s="4591">
        <f>IF(CC56=0,0,(CC55*CC56+CC57*CC58*6)/CC56)</f>
        <v>0</v>
      </c>
      <c r="CD54" s="4591">
        <f>IF(CD56=0,0,(CD55*CD56+CD57*CD58*6)/CD56)</f>
        <v>0</v>
      </c>
      <c r="CE54" s="1102">
        <f>IF(CC54=0,0,(CD54-CC54)/CC54*100)</f>
        <v>0</v>
      </c>
      <c r="CF54" s="4591">
        <f>IF(CF56=0,0,(CF55*CF56+CF57*CF58*6)/CF56)</f>
        <v>0</v>
      </c>
      <c r="CG54" s="4591">
        <f>IF(CG56=0,0,(CG55*CG56+CG57*CG58*6)/CG56)</f>
        <v>0</v>
      </c>
      <c r="CH54" s="1102">
        <f>IF(CF54=0,0,(CG54-CF54)/CF54*100)</f>
        <v>0</v>
      </c>
      <c r="CI54" s="4591">
        <f>IF(CI56=0,0,(CI55*CI56+CI57*CI58*6)/CI56)</f>
        <v>0</v>
      </c>
      <c r="CJ54" s="4591">
        <f>IF(CJ56=0,0,(CJ55*CJ56+CJ57*CJ58*6)/CJ56)</f>
        <v>0</v>
      </c>
      <c r="CK54" s="1102">
        <f>IF(CI54=0,0,(CJ54-CI54)/CI54*100)</f>
        <v>0</v>
      </c>
      <c r="CL54" s="4591">
        <f>IF(CL56=0,0,(CL55*CL56+CL57*CL58*6)/CL56)</f>
        <v>0</v>
      </c>
      <c r="CM54" s="4591">
        <f>IF(CM56=0,0,(CM55*CM56+CM57*CM58*6)/CM56)</f>
        <v>0</v>
      </c>
      <c r="CN54" s="1102">
        <f>IF(CL54=0,0,(CM54-CL54)/CL54*100)</f>
        <v>0</v>
      </c>
      <c r="CO54" s="4591">
        <f>IF(CO56=0,0,(CO55*CO56+CO57*CO58*6)/CO56)</f>
        <v>0</v>
      </c>
      <c r="CP54" s="4591">
        <f>IF(CP56=0,0,(CP55*CP56+CP57*CP58*6)/CP56)</f>
        <v>0</v>
      </c>
      <c r="CQ54" s="1102">
        <f>IF(CO54=0,0,(CP54-CO54)/CO54*100)</f>
        <v>0</v>
      </c>
      <c r="CR54" s="4591">
        <f>IF(CR56=0,0,(CR55*CR56+CR57*CR58*6)/CR56)</f>
        <v>0</v>
      </c>
      <c r="CS54" s="4591">
        <f>IF(CS56=0,0,(CS55*CS56+CS57*CS58*6)/CS56)</f>
        <v>0</v>
      </c>
      <c r="CT54" s="1102">
        <f>IF(CR54=0,0,(CS54-CR54)/CR54*100)</f>
        <v>0</v>
      </c>
      <c r="CU54" s="4591">
        <f>IF(CU56=0,0,(CU55*CU56+CU57*CU58*6)/CU56)</f>
        <v>0</v>
      </c>
      <c r="CV54" s="4591">
        <f>IF(CV56=0,0,(CV55*CV56+CV57*CV58*6)/CV56)</f>
        <v>0</v>
      </c>
      <c r="CW54" s="1102">
        <f>IF(CU54=0,0,(CV54-CU54)/CU54*100)</f>
        <v>0</v>
      </c>
      <c r="CX54" s="4591">
        <f>IF(CX56=0,0,(CX55*CX56+CX57*CX58*6)/CX56)</f>
        <v>0</v>
      </c>
      <c r="CY54" s="4591">
        <f>IF(CY56=0,0,(CY55*CY56+CY57*CY58*6)/CY56)</f>
        <v>0</v>
      </c>
      <c r="CZ54" s="1102">
        <f>IF(CX54=0,0,(CY54-CX54)/CX54*100)</f>
        <v>0</v>
      </c>
      <c r="DA54" s="4591">
        <f>IF(DA56=0,0,(DA55*DA56+DA57*DA58*6)/DA56)</f>
        <v>0</v>
      </c>
      <c r="DB54" s="4591">
        <f>IF(DB56=0,0,(DB55*DB56+DB57*DB58*6)/DB56)</f>
        <v>0</v>
      </c>
      <c r="DC54" s="1102">
        <f>IF(DA54=0,0,(DB54-DA54)/DA54*100)</f>
        <v>0</v>
      </c>
      <c r="DD54" s="4591">
        <f>IF(DD56=0,0,(DD55*DD56+DD57*DD58*6)/DD56)</f>
        <v>0</v>
      </c>
      <c r="DE54" s="4591">
        <f>IF(DE56=0,0,(DE55*DE56+DE57*DE58*6)/DE56)</f>
        <v>0</v>
      </c>
      <c r="DF54" s="1102">
        <f>IF(DD54=0,0,(DE54-DD54)/DD54*100)</f>
        <v>0</v>
      </c>
      <c r="DG54" s="4591">
        <f>IF(DG56=0,0,(DG55*DG56+DG57*DG58*6)/DG56)</f>
        <v>0</v>
      </c>
      <c r="DH54" s="4591">
        <f>IF(DH56=0,0,(DH55*DH56+DH57*DH58*6)/DH56)</f>
        <v>0</v>
      </c>
      <c r="DI54" s="1102">
        <f>IF(DG54=0,0,(DH54-DG54)/DG54*100)</f>
        <v>0</v>
      </c>
      <c r="DJ54" s="4591">
        <f>IF(DJ56=0,0,(DJ55*DJ56+DJ57*DJ58*6)/DJ56)</f>
        <v>0</v>
      </c>
      <c r="DK54" s="4591">
        <f>IF(DK56=0,0,(DK55*DK56+DK57*DK58*6)/DK56)</f>
        <v>0</v>
      </c>
      <c r="DL54" s="1102">
        <f>IF(DJ54=0,0,(DK54-DJ54)/DJ54*100)</f>
        <v>0</v>
      </c>
      <c r="DM54" s="4591">
        <f>IF(DM56=0,0,(DM55*DM56+DM57*DM58*6)/DM56)</f>
        <v>0</v>
      </c>
      <c r="DN54" s="4591">
        <f>IF(DN56=0,0,(DN55*DN56+DN57*DN58*6)/DN56)</f>
        <v>0</v>
      </c>
      <c r="DO54" s="1102">
        <f>IF(DM54=0,0,(DN54-DM54)/DM54*100)</f>
        <v>0</v>
      </c>
      <c r="DP54" s="4591">
        <f>IF(DP56=0,0,(DP55*DP56+DP57*DP58*6)/DP56)</f>
        <v>0</v>
      </c>
      <c r="DQ54" s="4591">
        <f>IF(DQ56=0,0,(DQ55*DQ56+DQ57*DQ58*6)/DQ56)</f>
        <v>0</v>
      </c>
      <c r="DR54" s="1102">
        <f>IF(DP54=0,0,(DQ54-DP54)/DP54*100)</f>
        <v>0</v>
      </c>
      <c r="DS54" s="4591">
        <f>IF(DS56=0,0,(DS55*DS56+DS57*DS58*6)/DS56)</f>
        <v>0</v>
      </c>
      <c r="DT54" s="4591">
        <f>IF(DT56=0,0,(DT55*DT56+DT57*DT58*6)/DT56)</f>
        <v>0</v>
      </c>
      <c r="DU54" s="1102">
        <f>IF(DS54=0,0,(DT54-DS54)/DS54*100)</f>
        <v>0</v>
      </c>
      <c r="DV54" s="4591">
        <f>IF(DV56=0,0,(DV55*DV56+DV57*DV58*6)/DV56)</f>
        <v>0</v>
      </c>
      <c r="DW54" s="4591">
        <f>IF(DW56=0,0,(DW55*DW56+DW57*DW58*6)/DW56)</f>
        <v>0</v>
      </c>
      <c r="DX54" s="1102">
        <f>IF(DV54=0,0,(DW54-DV54)/DV54*100)</f>
        <v>0</v>
      </c>
      <c r="DY54" s="4591">
        <f>IF(DY56=0,0,(DY55*DY56+DY57*DY58*6)/DY56)</f>
        <v>0</v>
      </c>
      <c r="DZ54" s="4591">
        <f>IF(DZ56=0,0,(DZ55*DZ56+DZ57*DZ58*6)/DZ56)</f>
        <v>0</v>
      </c>
      <c r="EA54" s="1102">
        <f>IF(DY54=0,0,(DZ54-DY54)/DY54*100)</f>
        <v>0</v>
      </c>
      <c r="EB54" s="4591">
        <f>IF(EB56=0,0,(EB55*EB56+EB57*EB58*6)/EB56)</f>
        <v>0</v>
      </c>
      <c r="EC54" s="4591">
        <f>IF(EC56=0,0,(EC55*EC56+EC57*EC58*6)/EC56)</f>
        <v>0</v>
      </c>
      <c r="ED54" s="1102">
        <f>IF(EB54=0,0,(EC54-EB54)/EB54*100)</f>
        <v>0</v>
      </c>
      <c r="EE54" s="4591">
        <f>IF(EE56=0,0,(EE55*EE56+EE57*EE58*6)/EE56)</f>
        <v>0</v>
      </c>
      <c r="EF54" s="4591">
        <f>IF(EF56=0,0,(EF55*EF56+EF57*EF58*6)/EF56)</f>
        <v>0</v>
      </c>
      <c r="EG54" s="1102">
        <f>IF(EE54=0,0,(EF54-EE54)/EE54*100)</f>
        <v>0</v>
      </c>
      <c r="EH54" s="4591">
        <f>IF(EH56=0,0,(EH55*EH56+EH57*EH58*6)/EH56)</f>
        <v>0</v>
      </c>
      <c r="EI54" s="4591">
        <f>IF(EI56=0,0,(EI55*EI56+EI57*EI58*6)/EI56)</f>
        <v>0</v>
      </c>
      <c r="EJ54" s="1102">
        <f>IF(EH54=0,0,(EI54-EH54)/EH54*100)</f>
        <v>0</v>
      </c>
      <c r="EK54" s="4591">
        <f>IF(EK56=0,0,(EK55*EK56+EK57*EK58*6)/EK56)</f>
        <v>0</v>
      </c>
      <c r="EL54" s="4591">
        <f>IF(EL56=0,0,(EL55*EL56+EL57*EL58*6)/EL56)</f>
        <v>0</v>
      </c>
      <c r="EM54" s="1102">
        <f>IF(EK54=0,0,(EL54-EK54)/EK54*100)</f>
        <v>0</v>
      </c>
      <c r="EN54" s="4591">
        <f>IF(EN56=0,0,(EN55*EN56+EN57*EN58*6)/EN56)</f>
        <v>0</v>
      </c>
      <c r="EO54" s="4591">
        <f>IF(EO56=0,0,(EO55*EO56+EO57*EO58*6)/EO56)</f>
        <v>0</v>
      </c>
      <c r="EP54" s="1102">
        <f>IF(EN54=0,0,(EO54-EN54)/EN54*100)</f>
        <v>0</v>
      </c>
      <c r="EQ54" s="4591">
        <f>IF(EQ56=0,0,(EQ55*EQ56+EQ57*EQ58*6)/EQ56)</f>
        <v>0</v>
      </c>
      <c r="ER54" s="4591">
        <f>IF(ER56=0,0,(ER55*ER56+ER57*ER58*6)/ER56)</f>
        <v>0</v>
      </c>
      <c r="ES54" s="1102">
        <f>IF(EQ54=0,0,(ER54-EQ54)/EQ54*100)</f>
        <v>0</v>
      </c>
      <c r="ET54" s="4591">
        <f>IF(ET56=0,0,(ET55*ET56+ET57*ET58*6)/ET56)</f>
        <v>0</v>
      </c>
      <c r="EU54" s="4591">
        <f>IF(EU56=0,0,(EU55*EU56+EU57*EU58*6)/EU56)</f>
        <v>0</v>
      </c>
      <c r="EV54" s="1102">
        <f>IF(ET54=0,0,(EU54-ET54)/ET54*100)</f>
        <v>0</v>
      </c>
      <c r="EW54" s="4591">
        <f>IF(EW56=0,0,(EW55*EW56+EW57*EW58*6)/EW56)</f>
        <v>0</v>
      </c>
      <c r="EX54" s="4591">
        <f>IF(EX56=0,0,(EX55*EX56+EX57*EX58*6)/EX56)</f>
        <v>0</v>
      </c>
      <c r="EY54" s="1102">
        <f>IF(EW54=0,0,(EX54-EW54)/EW54*100)</f>
        <v>0</v>
      </c>
      <c r="EZ54" s="4591">
        <f>IF(EZ56=0,0,(EZ55*EZ56+EZ57*EZ58*6)/EZ56)</f>
        <v>0</v>
      </c>
      <c r="FA54" s="4591">
        <f>IF(FA56=0,0,(FA55*FA56+FA57*FA58*6)/FA56)</f>
        <v>0</v>
      </c>
      <c r="FB54" s="1102">
        <f>IF(EZ54=0,0,(FA54-EZ54)/EZ54*100)</f>
        <v>0</v>
      </c>
      <c r="FC54" s="4591">
        <f>IF(FC56=0,0,(FC55*FC56+FC57*FC58*6)/FC56)</f>
        <v>0</v>
      </c>
      <c r="FD54" s="4591">
        <f>IF(FD56=0,0,(FD55*FD56+FD57*FD58*6)/FD56)</f>
        <v>0</v>
      </c>
      <c r="FE54" s="1102">
        <f>IF(FC54=0,0,(FD54-FC54)/FC54*100)</f>
        <v>0</v>
      </c>
      <c r="FF54" s="4591">
        <f>IF(FF56=0,0,(FF55*FF56+FF57*FF58*6)/FF56)</f>
        <v>0</v>
      </c>
      <c r="FG54" s="4591">
        <f>IF(FG56=0,0,(FG55*FG56+FG57*FG58*6)/FG56)</f>
        <v>0</v>
      </c>
      <c r="FH54" s="1102">
        <f>IF(FF54=0,0,(FG54-FF54)/FF54*100)</f>
        <v>0</v>
      </c>
      <c r="FI54" s="4591">
        <f>IF(FI56=0,0,(FI55*FI56+FI57*FI58*6)/FI56)</f>
        <v>0</v>
      </c>
      <c r="FJ54" s="4591">
        <f>IF(FJ56=0,0,(FJ55*FJ56+FJ57*FJ58*6)/FJ56)</f>
        <v>0</v>
      </c>
      <c r="FK54" s="1102">
        <f>IF(FI54=0,0,(FJ54-FI54)/FI54*100)</f>
        <v>0</v>
      </c>
      <c r="FL54" s="4591">
        <f>IF(FL56=0,0,(FL55*FL56+FL57*FL58*6)/FL56)</f>
        <v>0</v>
      </c>
      <c r="FM54" s="4591">
        <f>IF(FM56=0,0,(FM55*FM56+FM57*FM58*6)/FM56)</f>
        <v>0</v>
      </c>
      <c r="FN54" s="1102">
        <f>IF(FL54=0,0,(FM54-FL54)/FL54*100)</f>
        <v>0</v>
      </c>
      <c r="FO54" s="4591">
        <f>IF(FO56=0,0,(FO55*FO56+FO57*FO58*6)/FO56)</f>
        <v>0</v>
      </c>
      <c r="FP54" s="4591">
        <f>IF(FP56=0,0,(FP55*FP56+FP57*FP58*6)/FP56)</f>
        <v>0</v>
      </c>
      <c r="FQ54" s="1102">
        <f>IF(FO54=0,0,(FP54-FO54)/FO54*100)</f>
        <v>0</v>
      </c>
      <c r="FR54" s="4591">
        <f>IF(FR56=0,0,(FR55*FR56+FR57*FR58*6)/FR56)</f>
        <v>0</v>
      </c>
      <c r="FS54" s="4591">
        <f>IF(FS56=0,0,(FS55*FS56+FS57*FS58*6)/FS56)</f>
        <v>0</v>
      </c>
      <c r="FT54" s="1102">
        <f>IF(FR54=0,0,(FS54-FR54)/FR54*100)</f>
        <v>0</v>
      </c>
      <c r="FU54" s="4591">
        <f>IF(FU56=0,0,(FU55*FU56+FU57*FU58*6)/FU56)</f>
        <v>0</v>
      </c>
      <c r="FV54" s="4591">
        <f>IF(FV56=0,0,(FV55*FV56+FV57*FV58*6)/FV56)</f>
        <v>0</v>
      </c>
      <c r="FW54" s="1102">
        <f>IF(FU54=0,0,(FV54-FU54)/FU54*100)</f>
        <v>0</v>
      </c>
      <c r="FX54" s="1328"/>
      <c r="FY54" s="1328"/>
      <c r="FZ54" s="1063" t="s">
        <v>1909</v>
      </c>
      <c r="GA54" s="1330"/>
      <c r="GB54" s="1330"/>
      <c r="GC54" s="1329"/>
      <c r="GD54" s="1329"/>
    </row>
    <row customHeight="1" ht="14.625" hidden="1">
      <c r="A55" s="496"/>
      <c r="B55" s="932" cm="1" t="str">
        <f t="array" ref="B55:B55">B54</f>
        <v>false</v>
      </c>
      <c r="C55" s="496"/>
      <c r="D55" s="496"/>
      <c r="E55" s="847">
        <v>15</v>
      </c>
      <c r="F55" s="50" cm="1" t="str">
        <f t="array" ref="F55:F55">OFFSET(E55,-1,1)</f>
        <v>0</v>
      </c>
      <c r="G55" s="496"/>
      <c r="H55" s="496" t="s">
        <v>1791</v>
      </c>
      <c r="I55" s="496" t="s">
        <v>1865</v>
      </c>
      <c r="J55" s="496"/>
      <c r="K55" s="496"/>
      <c r="L55" s="496"/>
      <c r="M55" s="496"/>
      <c r="N55" s="496"/>
      <c r="O55" s="496"/>
      <c r="P55" s="496"/>
      <c r="Q55" s="496"/>
      <c r="R55" s="496"/>
      <c r="S55" s="496"/>
      <c r="T55" s="468" cm="1" t="str">
        <f t="array" ref="T55:T55">T54</f>
        <v>false</v>
      </c>
      <c r="U55" s="496"/>
      <c r="V55" s="496"/>
      <c r="W55" s="496"/>
      <c r="X55" s="1559"/>
      <c r="Y55" s="496"/>
      <c r="Z55" s="1528"/>
      <c r="AA55" s="496"/>
      <c r="AB55" s="1100" t="str">
        <f>"ставка платы за "&amp;IF(Q29="Водоснабжение","потребление 1 куб.м холодной воды","объем принятых сточных вод")</f>
        <v>ставка платы за объем принятых сточных вод</v>
      </c>
      <c r="AC55" s="871" t="s">
        <v>1862</v>
      </c>
      <c r="AD55" s="4591"/>
      <c r="AE55" s="4591"/>
      <c r="AF55" s="1102">
        <f>IF(AD55=0,0,(AE55-AD55)/AD55*100)</f>
        <v>0</v>
      </c>
      <c r="AG55" s="4591"/>
      <c r="AH55" s="4591"/>
      <c r="AI55" s="1102">
        <f>IF(AG55=0,0,(AH55-AG55)/AG55*100)</f>
        <v>0</v>
      </c>
      <c r="AJ55" s="4591"/>
      <c r="AK55" s="4591"/>
      <c r="AL55" s="1102">
        <f>IF(AJ55=0,0,(AK55-AJ55)/AJ55*100)</f>
        <v>0</v>
      </c>
      <c r="AM55" s="4591"/>
      <c r="AN55" s="4591"/>
      <c r="AO55" s="1102">
        <f>IF(AM55=0,0,(AN55-AM55)/AM55*100)</f>
        <v>0</v>
      </c>
      <c r="AP55" s="4591"/>
      <c r="AQ55" s="4591"/>
      <c r="AR55" s="1102">
        <f>IF(AP55=0,0,(AQ55-AP55)/AP55*100)</f>
        <v>0</v>
      </c>
      <c r="AS55" s="4591"/>
      <c r="AT55" s="4591"/>
      <c r="AU55" s="1102">
        <f>IF(AS55=0,0,(AT55-AS55)/AS55*100)</f>
        <v>0</v>
      </c>
      <c r="AV55" s="4591"/>
      <c r="AW55" s="4591"/>
      <c r="AX55" s="1102">
        <f>IF(AV55=0,0,(AW55-AV55)/AV55*100)</f>
        <v>0</v>
      </c>
      <c r="AY55" s="4591"/>
      <c r="AZ55" s="4591"/>
      <c r="BA55" s="1102">
        <f>IF(AY55=0,0,(AZ55-AY55)/AY55*100)</f>
        <v>0</v>
      </c>
      <c r="BB55" s="4591"/>
      <c r="BC55" s="4591"/>
      <c r="BD55" s="1102">
        <f>IF(BB55=0,0,(BC55-BB55)/BB55*100)</f>
        <v>0</v>
      </c>
      <c r="BE55" s="4591"/>
      <c r="BF55" s="4591"/>
      <c r="BG55" s="1102">
        <f>IF(BE55=0,0,(BF55-BE55)/BE55*100)</f>
        <v>0</v>
      </c>
      <c r="BH55" s="4591"/>
      <c r="BI55" s="4591"/>
      <c r="BJ55" s="1102">
        <f>IF(BH55=0,0,(BI55-BH55)/BH55*100)</f>
        <v>0</v>
      </c>
      <c r="BK55" s="4591"/>
      <c r="BL55" s="4591"/>
      <c r="BM55" s="1102">
        <f>IF(BK55=0,0,(BL55-BK55)/BK55*100)</f>
        <v>0</v>
      </c>
      <c r="BN55" s="4591"/>
      <c r="BO55" s="4591"/>
      <c r="BP55" s="1102">
        <f>IF(BN55=0,0,(BO55-BN55)/BN55*100)</f>
        <v>0</v>
      </c>
      <c r="BQ55" s="4591"/>
      <c r="BR55" s="4591"/>
      <c r="BS55" s="1102">
        <f>IF(BQ55=0,0,(BR55-BQ55)/BQ55*100)</f>
        <v>0</v>
      </c>
      <c r="BT55" s="4591"/>
      <c r="BU55" s="4591"/>
      <c r="BV55" s="1102">
        <f>IF(BT55=0,0,(BU55-BT55)/BT55*100)</f>
        <v>0</v>
      </c>
      <c r="BW55" s="4591"/>
      <c r="BX55" s="4591"/>
      <c r="BY55" s="1102">
        <f>IF(BW55=0,0,(BX55-BW55)/BW55*100)</f>
        <v>0</v>
      </c>
      <c r="BZ55" s="4591"/>
      <c r="CA55" s="4591"/>
      <c r="CB55" s="1102">
        <f>IF(BZ55=0,0,(CA55-BZ55)/BZ55*100)</f>
        <v>0</v>
      </c>
      <c r="CC55" s="4591"/>
      <c r="CD55" s="4591"/>
      <c r="CE55" s="1102">
        <f>IF(CC55=0,0,(CD55-CC55)/CC55*100)</f>
        <v>0</v>
      </c>
      <c r="CF55" s="4591"/>
      <c r="CG55" s="4591"/>
      <c r="CH55" s="1102">
        <f>IF(CF55=0,0,(CG55-CF55)/CF55*100)</f>
        <v>0</v>
      </c>
      <c r="CI55" s="4591"/>
      <c r="CJ55" s="4591"/>
      <c r="CK55" s="1102">
        <f>IF(CI55=0,0,(CJ55-CI55)/CI55*100)</f>
        <v>0</v>
      </c>
      <c r="CL55" s="4591"/>
      <c r="CM55" s="4591"/>
      <c r="CN55" s="1102">
        <f>IF(CL55=0,0,(CM55-CL55)/CL55*100)</f>
        <v>0</v>
      </c>
      <c r="CO55" s="4591"/>
      <c r="CP55" s="4591"/>
      <c r="CQ55" s="1102">
        <f>IF(CO55=0,0,(CP55-CO55)/CO55*100)</f>
        <v>0</v>
      </c>
      <c r="CR55" s="4591"/>
      <c r="CS55" s="4591"/>
      <c r="CT55" s="1102">
        <f>IF(CR55=0,0,(CS55-CR55)/CR55*100)</f>
        <v>0</v>
      </c>
      <c r="CU55" s="4591"/>
      <c r="CV55" s="4591"/>
      <c r="CW55" s="1102">
        <f>IF(CU55=0,0,(CV55-CU55)/CU55*100)</f>
        <v>0</v>
      </c>
      <c r="CX55" s="4591"/>
      <c r="CY55" s="4591"/>
      <c r="CZ55" s="1102">
        <f>IF(CX55=0,0,(CY55-CX55)/CX55*100)</f>
        <v>0</v>
      </c>
      <c r="DA55" s="4591"/>
      <c r="DB55" s="4591"/>
      <c r="DC55" s="1102">
        <f>IF(DA55=0,0,(DB55-DA55)/DA55*100)</f>
        <v>0</v>
      </c>
      <c r="DD55" s="4591"/>
      <c r="DE55" s="4591"/>
      <c r="DF55" s="1102">
        <f>IF(DD55=0,0,(DE55-DD55)/DD55*100)</f>
        <v>0</v>
      </c>
      <c r="DG55" s="4591"/>
      <c r="DH55" s="4591"/>
      <c r="DI55" s="1102">
        <f>IF(DG55=0,0,(DH55-DG55)/DG55*100)</f>
        <v>0</v>
      </c>
      <c r="DJ55" s="4591"/>
      <c r="DK55" s="4591"/>
      <c r="DL55" s="1102">
        <f>IF(DJ55=0,0,(DK55-DJ55)/DJ55*100)</f>
        <v>0</v>
      </c>
      <c r="DM55" s="4591"/>
      <c r="DN55" s="4591"/>
      <c r="DO55" s="1102">
        <f>IF(DM55=0,0,(DN55-DM55)/DM55*100)</f>
        <v>0</v>
      </c>
      <c r="DP55" s="4591"/>
      <c r="DQ55" s="4591"/>
      <c r="DR55" s="1102">
        <f>IF(DP55=0,0,(DQ55-DP55)/DP55*100)</f>
        <v>0</v>
      </c>
      <c r="DS55" s="4591"/>
      <c r="DT55" s="4591"/>
      <c r="DU55" s="1102">
        <f>IF(DS55=0,0,(DT55-DS55)/DS55*100)</f>
        <v>0</v>
      </c>
      <c r="DV55" s="4591"/>
      <c r="DW55" s="4591"/>
      <c r="DX55" s="1102">
        <f>IF(DV55=0,0,(DW55-DV55)/DV55*100)</f>
        <v>0</v>
      </c>
      <c r="DY55" s="4591"/>
      <c r="DZ55" s="4591"/>
      <c r="EA55" s="1102">
        <f>IF(DY55=0,0,(DZ55-DY55)/DY55*100)</f>
        <v>0</v>
      </c>
      <c r="EB55" s="4591"/>
      <c r="EC55" s="4591"/>
      <c r="ED55" s="1102">
        <f>IF(EB55=0,0,(EC55-EB55)/EB55*100)</f>
        <v>0</v>
      </c>
      <c r="EE55" s="4591"/>
      <c r="EF55" s="4591"/>
      <c r="EG55" s="1102">
        <f>IF(EE55=0,0,(EF55-EE55)/EE55*100)</f>
        <v>0</v>
      </c>
      <c r="EH55" s="4591"/>
      <c r="EI55" s="4591"/>
      <c r="EJ55" s="1102">
        <f>IF(EH55=0,0,(EI55-EH55)/EH55*100)</f>
        <v>0</v>
      </c>
      <c r="EK55" s="4591"/>
      <c r="EL55" s="4591"/>
      <c r="EM55" s="1102">
        <f>IF(EK55=0,0,(EL55-EK55)/EK55*100)</f>
        <v>0</v>
      </c>
      <c r="EN55" s="4591"/>
      <c r="EO55" s="4591"/>
      <c r="EP55" s="1102">
        <f>IF(EN55=0,0,(EO55-EN55)/EN55*100)</f>
        <v>0</v>
      </c>
      <c r="EQ55" s="4591"/>
      <c r="ER55" s="4591"/>
      <c r="ES55" s="1102">
        <f>IF(EQ55=0,0,(ER55-EQ55)/EQ55*100)</f>
        <v>0</v>
      </c>
      <c r="ET55" s="4591"/>
      <c r="EU55" s="4591"/>
      <c r="EV55" s="1102">
        <f>IF(ET55=0,0,(EU55-ET55)/ET55*100)</f>
        <v>0</v>
      </c>
      <c r="EW55" s="4591"/>
      <c r="EX55" s="4591"/>
      <c r="EY55" s="1102">
        <f>IF(EW55=0,0,(EX55-EW55)/EW55*100)</f>
        <v>0</v>
      </c>
      <c r="EZ55" s="4591"/>
      <c r="FA55" s="4591"/>
      <c r="FB55" s="1102">
        <f>IF(EZ55=0,0,(FA55-EZ55)/EZ55*100)</f>
        <v>0</v>
      </c>
      <c r="FC55" s="4591"/>
      <c r="FD55" s="4591"/>
      <c r="FE55" s="1102">
        <f>IF(FC55=0,0,(FD55-FC55)/FC55*100)</f>
        <v>0</v>
      </c>
      <c r="FF55" s="4591"/>
      <c r="FG55" s="4591"/>
      <c r="FH55" s="1102">
        <f>IF(FF55=0,0,(FG55-FF55)/FF55*100)</f>
        <v>0</v>
      </c>
      <c r="FI55" s="4591"/>
      <c r="FJ55" s="4591"/>
      <c r="FK55" s="1102">
        <f>IF(FI55=0,0,(FJ55-FI55)/FI55*100)</f>
        <v>0</v>
      </c>
      <c r="FL55" s="4591"/>
      <c r="FM55" s="4591"/>
      <c r="FN55" s="1102">
        <f>IF(FL55=0,0,(FM55-FL55)/FL55*100)</f>
        <v>0</v>
      </c>
      <c r="FO55" s="4591"/>
      <c r="FP55" s="4591"/>
      <c r="FQ55" s="1102">
        <f>IF(FO55=0,0,(FP55-FO55)/FO55*100)</f>
        <v>0</v>
      </c>
      <c r="FR55" s="4591"/>
      <c r="FS55" s="4591"/>
      <c r="FT55" s="1102">
        <f>IF(FR55=0,0,(FS55-FR55)/FR55*100)</f>
        <v>0</v>
      </c>
      <c r="FU55" s="4591"/>
      <c r="FV55" s="4591"/>
      <c r="FW55" s="1102">
        <f>IF(FU55=0,0,(FV55-FU55)/FU55*100)</f>
        <v>0</v>
      </c>
      <c r="FX55" s="1328"/>
      <c r="FY55" s="1328"/>
      <c r="FZ55" s="1063" t="s">
        <v>1910</v>
      </c>
      <c r="GA55" s="1330"/>
      <c r="GB55" s="1330"/>
      <c r="GC55" s="1329"/>
      <c r="GD55" s="1329"/>
    </row>
    <row customHeight="1" ht="14.625" hidden="1">
      <c r="A56" s="496"/>
      <c r="B56" s="932" cm="1" t="str">
        <f t="array" ref="B56:B56">B55</f>
        <v>false</v>
      </c>
      <c r="C56" s="496"/>
      <c r="D56" s="496"/>
      <c r="E56" s="847">
        <v>15</v>
      </c>
      <c r="F56" s="50" cm="1" t="str">
        <f t="array" ref="F56:F56">OFFSET(E56,-1,1)</f>
        <v>0</v>
      </c>
      <c r="G56" s="103" t="s">
        <v>1911</v>
      </c>
      <c r="H56" s="496" t="s">
        <v>1899</v>
      </c>
      <c r="I56" s="496" t="s">
        <v>1865</v>
      </c>
      <c r="J56" s="496"/>
      <c r="K56" s="496"/>
      <c r="L56" s="496"/>
      <c r="M56" s="496"/>
      <c r="N56" s="496"/>
      <c r="O56" s="496"/>
      <c r="P56" s="496"/>
      <c r="Q56" s="496"/>
      <c r="R56" s="496"/>
      <c r="S56" s="496"/>
      <c r="T56" s="468" cm="1" t="str">
        <f t="array" ref="T56:T56">T55</f>
        <v>false</v>
      </c>
      <c r="U56" s="496"/>
      <c r="V56" s="496"/>
      <c r="W56" s="496"/>
      <c r="X56" s="1559"/>
      <c r="Y56" s="496"/>
      <c r="Z56" s="1528"/>
      <c r="AA56" s="496"/>
      <c r="AB56" s="1100" t="str">
        <f>"объём "&amp;IF(Q29="Водоснабжение","потребления холодной воды","водоотведения")</f>
        <v>объём водоотведения</v>
      </c>
      <c r="AC56" s="871" t="s">
        <v>657</v>
      </c>
      <c r="AD56" s="4585">
        <f>IF(AND(method_reg="Метод индексации",god&lt;&gt;first_year),_xlfn.SUMIFS(INDEX('Калькуляция (МИ корр)'!$AJ$25:$BC$606,,MATCH(AD$8,'Калькуляция (МИ корр)'!$AJ$8:$BC$8,0)),'Калькуляция (МИ корр)'!$F$25:$F$606,$F56,'Калькуляция (МИ корр)'!$G$25:$G$606,$G56),IF(method_reg="Метод экономически обоснованных расходов",_xlfn.SUMIFS('Калькуляция (МЭОР)'!$AJ$25:$AJ$367,'Калькуляция (МЭОР)'!$F$25:$F$367,$F56,'Калькуляция (МЭОР)'!$G$25:$G$367,$G56),IF(method_reg="Метод сравнения аналогов",_xlfn.SUMIFS('Калькуляция (МСА)'!$AE$25:$AE$103,'Калькуляция (МСА)'!$F$25:$F$103,$F56,'Калькуляция (МСА)'!$G$25:$G$103,$G56),_xlfn.SUMIFS(INDEX('Калькуляция (МИ)'!$AJ$25:$BC$603,,MATCH(AD$8,'Калькуляция (МИ)'!$AJ$8:$BC$8,0)),'Калькуляция (МИ)'!$F$25:$F$603,$F56,'Калькуляция (МИ)'!$G$25:$G$603,$G56))))</f>
        <v>0</v>
      </c>
      <c r="AE56" s="4585">
        <f>IF(AND(method_reg="Метод индексации",god&lt;&gt;first_year),_xlfn.SUMIFS(INDEX('Калькуляция (МИ корр)'!$AJ$25:$BC$606,,MATCH(AE$8,'Калькуляция (МИ корр)'!$AJ$8:$BC$8,0)),'Калькуляция (МИ корр)'!$F$25:$F$606,$F56,'Калькуляция (МИ корр)'!$G$25:$G$606,$G56),IF(method_reg="Метод экономически обоснованных расходов",_xlfn.SUMIFS('Калькуляция (МЭОР)'!$AK$25:$AK$367,'Калькуляция (МЭОР)'!$F$25:$F$367,$F56,'Калькуляция (МЭОР)'!$G$25:$G$367,$G56),IF(method_reg="Метод сравнения аналогов",_xlfn.SUMIFS('Калькуляция (МСА)'!$AF$25:$AF$103,'Калькуляция (МСА)'!$F$25:$F$103,$F56,'Калькуляция (МСА)'!$G$25:$G$103,$G56),_xlfn.SUMIFS(INDEX('Калькуляция (МИ)'!$AJ$25:$BC$603,,MATCH(AE$8,'Калькуляция (МИ)'!$AJ$8:$BC$8,0)),'Калькуляция (МИ)'!$F$25:$F$603,$F56,'Калькуляция (МИ)'!$G$25:$G$603,$G56))))</f>
        <v>0</v>
      </c>
      <c r="AF56" s="1104">
        <f>IF(AD56=0,0,(AE56-AD56)/AD56*100)</f>
        <v>0</v>
      </c>
      <c r="AG56" s="4585">
        <f>IF(AND(method_reg="Метод индексации",god&lt;&gt;first_year),_xlfn.SUMIFS(INDEX('Калькуляция (МИ корр)'!$AJ$25:$BC$606,,MATCH(AG$8,'Калькуляция (МИ корр)'!$AJ$8:$BC$8,0)),'Калькуляция (МИ корр)'!$F$25:$F$606,$F56,'Калькуляция (МИ корр)'!$G$25:$G$606,$G56),IF(method_reg="Метод экономически обоснованных расходов",_xlfn.SUMIFS('Калькуляция (МЭОР)'!$AJ$25:$AJ$367,'Калькуляция (МЭОР)'!$F$25:$F$367,$F56,'Калькуляция (МЭОР)'!$G$25:$G$367,$G56),IF(method_reg="Метод сравнения аналогов",_xlfn.SUMIFS('Калькуляция (МСА)'!$AE$25:$AE$103,'Калькуляция (МСА)'!$F$25:$F$103,$F56,'Калькуляция (МСА)'!$G$25:$G$103,$G56),_xlfn.SUMIFS(INDEX('Калькуляция (МИ)'!$AJ$25:$BC$603,,MATCH(AG$8,'Калькуляция (МИ)'!$AJ$8:$BC$8,0)),'Калькуляция (МИ)'!$F$25:$F$603,$F56,'Калькуляция (МИ)'!$G$25:$G$603,$G56))))</f>
        <v>0</v>
      </c>
      <c r="AH56" s="4585">
        <f>IF(AND(method_reg="Метод индексации",god&lt;&gt;first_year),_xlfn.SUMIFS(INDEX('Калькуляция (МИ корр)'!$AJ$25:$BC$606,,MATCH(AH$8,'Калькуляция (МИ корр)'!$AJ$8:$BC$8,0)),'Калькуляция (МИ корр)'!$F$25:$F$606,$F56,'Калькуляция (МИ корр)'!$G$25:$G$606,$G56),IF(method_reg="Метод экономически обоснованных расходов",_xlfn.SUMIFS('Калькуляция (МЭОР)'!$AK$25:$AK$367,'Калькуляция (МЭОР)'!$F$25:$F$367,$F56,'Калькуляция (МЭОР)'!$G$25:$G$367,$G56),IF(method_reg="Метод сравнения аналогов",_xlfn.SUMIFS('Калькуляция (МСА)'!$AF$25:$AF$103,'Калькуляция (МСА)'!$F$25:$F$103,$F56,'Калькуляция (МСА)'!$G$25:$G$103,$G56),_xlfn.SUMIFS(INDEX('Калькуляция (МИ)'!$AJ$25:$BC$603,,MATCH(AH$8,'Калькуляция (МИ)'!$AJ$8:$BC$8,0)),'Калькуляция (МИ)'!$F$25:$F$603,$F56,'Калькуляция (МИ)'!$G$25:$G$603,$G56))))</f>
        <v>0</v>
      </c>
      <c r="AI56" s="1104">
        <f>IF(AG56=0,0,(AH56-AG56)/AG56*100)</f>
        <v>0</v>
      </c>
      <c r="AJ56" s="4585">
        <f>IF(AND(method_reg="Метод индексации",god&lt;&gt;first_year),_xlfn.SUMIFS(INDEX('Калькуляция (МИ корр)'!$AJ$25:$BC$606,,MATCH(AJ$8,'Калькуляция (МИ корр)'!$AJ$8:$BC$8,0)),'Калькуляция (МИ корр)'!$F$25:$F$606,$F56,'Калькуляция (МИ корр)'!$G$25:$G$606,$G56),IF(method_reg="Метод экономически обоснованных расходов",_xlfn.SUMIFS('Калькуляция (МЭОР)'!$AJ$25:$AJ$367,'Калькуляция (МЭОР)'!$F$25:$F$367,$F56,'Калькуляция (МЭОР)'!$G$25:$G$367,$G56),IF(method_reg="Метод сравнения аналогов",_xlfn.SUMIFS('Калькуляция (МСА)'!$AE$25:$AE$103,'Калькуляция (МСА)'!$F$25:$F$103,$F56,'Калькуляция (МСА)'!$G$25:$G$103,$G56),_xlfn.SUMIFS(INDEX('Калькуляция (МИ)'!$AJ$25:$BC$603,,MATCH(AJ$8,'Калькуляция (МИ)'!$AJ$8:$BC$8,0)),'Калькуляция (МИ)'!$F$25:$F$603,$F56,'Калькуляция (МИ)'!$G$25:$G$603,$G56))))</f>
        <v>0</v>
      </c>
      <c r="AK56" s="4585">
        <f>IF(AND(method_reg="Метод индексации",god&lt;&gt;first_year),_xlfn.SUMIFS(INDEX('Калькуляция (МИ корр)'!$AJ$25:$BC$606,,MATCH(AK$8,'Калькуляция (МИ корр)'!$AJ$8:$BC$8,0)),'Калькуляция (МИ корр)'!$F$25:$F$606,$F56,'Калькуляция (МИ корр)'!$G$25:$G$606,$G56),IF(method_reg="Метод экономически обоснованных расходов",_xlfn.SUMIFS('Калькуляция (МЭОР)'!$AK$25:$AK$367,'Калькуляция (МЭОР)'!$F$25:$F$367,$F56,'Калькуляция (МЭОР)'!$G$25:$G$367,$G56),IF(method_reg="Метод сравнения аналогов",_xlfn.SUMIFS('Калькуляция (МСА)'!$AF$25:$AF$103,'Калькуляция (МСА)'!$F$25:$F$103,$F56,'Калькуляция (МСА)'!$G$25:$G$103,$G56),_xlfn.SUMIFS(INDEX('Калькуляция (МИ)'!$AJ$25:$BC$603,,MATCH(AK$8,'Калькуляция (МИ)'!$AJ$8:$BC$8,0)),'Калькуляция (МИ)'!$F$25:$F$603,$F56,'Калькуляция (МИ)'!$G$25:$G$603,$G56))))</f>
        <v>0</v>
      </c>
      <c r="AL56" s="1104">
        <f>IF(AJ56=0,0,(AK56-AJ56)/AJ56*100)</f>
        <v>0</v>
      </c>
      <c r="AM56" s="4585">
        <f>IF(AND(method_reg="Метод индексации",god&lt;&gt;first_year),_xlfn.SUMIFS(INDEX('Калькуляция (МИ корр)'!$AJ$25:$BC$606,,MATCH(AM$8,'Калькуляция (МИ корр)'!$AJ$8:$BC$8,0)),'Калькуляция (МИ корр)'!$F$25:$F$606,$F56,'Калькуляция (МИ корр)'!$G$25:$G$606,$G56),IF(method_reg="Метод экономически обоснованных расходов",_xlfn.SUMIFS('Калькуляция (МЭОР)'!$AJ$25:$AJ$367,'Калькуляция (МЭОР)'!$F$25:$F$367,$F56,'Калькуляция (МЭОР)'!$G$25:$G$367,$G56),IF(method_reg="Метод сравнения аналогов",_xlfn.SUMIFS('Калькуляция (МСА)'!$AE$25:$AE$103,'Калькуляция (МСА)'!$F$25:$F$103,$F56,'Калькуляция (МСА)'!$G$25:$G$103,$G56),_xlfn.SUMIFS(INDEX('Калькуляция (МИ)'!$AJ$25:$BC$603,,MATCH(AM$8,'Калькуляция (МИ)'!$AJ$8:$BC$8,0)),'Калькуляция (МИ)'!$F$25:$F$603,$F56,'Калькуляция (МИ)'!$G$25:$G$603,$G56))))</f>
        <v>0</v>
      </c>
      <c r="AN56" s="4585">
        <f>IF(AND(method_reg="Метод индексации",god&lt;&gt;first_year),_xlfn.SUMIFS(INDEX('Калькуляция (МИ корр)'!$AJ$25:$BC$606,,MATCH(AN$8,'Калькуляция (МИ корр)'!$AJ$8:$BC$8,0)),'Калькуляция (МИ корр)'!$F$25:$F$606,$F56,'Калькуляция (МИ корр)'!$G$25:$G$606,$G56),IF(method_reg="Метод экономически обоснованных расходов",_xlfn.SUMIFS('Калькуляция (МЭОР)'!$AK$25:$AK$367,'Калькуляция (МЭОР)'!$F$25:$F$367,$F56,'Калькуляция (МЭОР)'!$G$25:$G$367,$G56),IF(method_reg="Метод сравнения аналогов",_xlfn.SUMIFS('Калькуляция (МСА)'!$AF$25:$AF$103,'Калькуляция (МСА)'!$F$25:$F$103,$F56,'Калькуляция (МСА)'!$G$25:$G$103,$G56),_xlfn.SUMIFS(INDEX('Калькуляция (МИ)'!$AJ$25:$BC$603,,MATCH(AN$8,'Калькуляция (МИ)'!$AJ$8:$BC$8,0)),'Калькуляция (МИ)'!$F$25:$F$603,$F56,'Калькуляция (МИ)'!$G$25:$G$603,$G56))))</f>
        <v>0</v>
      </c>
      <c r="AO56" s="1104">
        <f>IF(AM56=0,0,(AN56-AM56)/AM56*100)</f>
        <v>0</v>
      </c>
      <c r="AP56" s="4585">
        <f>IF(AND(method_reg="Метод индексации",god&lt;&gt;first_year),_xlfn.SUMIFS(INDEX('Калькуляция (МИ корр)'!$AJ$25:$BC$606,,MATCH(AP$8,'Калькуляция (МИ корр)'!$AJ$8:$BC$8,0)),'Калькуляция (МИ корр)'!$F$25:$F$606,$F56,'Калькуляция (МИ корр)'!$G$25:$G$606,$G56),IF(method_reg="Метод экономически обоснованных расходов",_xlfn.SUMIFS('Калькуляция (МЭОР)'!$AJ$25:$AJ$367,'Калькуляция (МЭОР)'!$F$25:$F$367,$F56,'Калькуляция (МЭОР)'!$G$25:$G$367,$G56),IF(method_reg="Метод сравнения аналогов",_xlfn.SUMIFS('Калькуляция (МСА)'!$AE$25:$AE$103,'Калькуляция (МСА)'!$F$25:$F$103,$F56,'Калькуляция (МСА)'!$G$25:$G$103,$G56),_xlfn.SUMIFS(INDEX('Калькуляция (МИ)'!$AJ$25:$BC$603,,MATCH(AP$8,'Калькуляция (МИ)'!$AJ$8:$BC$8,0)),'Калькуляция (МИ)'!$F$25:$F$603,$F56,'Калькуляция (МИ)'!$G$25:$G$603,$G56))))</f>
        <v>0</v>
      </c>
      <c r="AQ56" s="4585">
        <f>IF(AND(method_reg="Метод индексации",god&lt;&gt;first_year),_xlfn.SUMIFS(INDEX('Калькуляция (МИ корр)'!$AJ$25:$BC$606,,MATCH(AQ$8,'Калькуляция (МИ корр)'!$AJ$8:$BC$8,0)),'Калькуляция (МИ корр)'!$F$25:$F$606,$F56,'Калькуляция (МИ корр)'!$G$25:$G$606,$G56),IF(method_reg="Метод экономически обоснованных расходов",_xlfn.SUMIFS('Калькуляция (МЭОР)'!$AK$25:$AK$367,'Калькуляция (МЭОР)'!$F$25:$F$367,$F56,'Калькуляция (МЭОР)'!$G$25:$G$367,$G56),IF(method_reg="Метод сравнения аналогов",_xlfn.SUMIFS('Калькуляция (МСА)'!$AF$25:$AF$103,'Калькуляция (МСА)'!$F$25:$F$103,$F56,'Калькуляция (МСА)'!$G$25:$G$103,$G56),_xlfn.SUMIFS(INDEX('Калькуляция (МИ)'!$AJ$25:$BC$603,,MATCH(AQ$8,'Калькуляция (МИ)'!$AJ$8:$BC$8,0)),'Калькуляция (МИ)'!$F$25:$F$603,$F56,'Калькуляция (МИ)'!$G$25:$G$603,$G56))))</f>
        <v>0</v>
      </c>
      <c r="AR56" s="1104">
        <f>IF(AP56=0,0,(AQ56-AP56)/AP56*100)</f>
        <v>0</v>
      </c>
      <c r="AS56" s="4585">
        <f>IF(AND(method_reg="Метод индексации",god&lt;&gt;first_year),_xlfn.SUMIFS(INDEX('Калькуляция (МИ корр)'!$AJ$25:$BC$606,,MATCH(AS$8,'Калькуляция (МИ корр)'!$AJ$8:$BC$8,0)),'Калькуляция (МИ корр)'!$F$25:$F$606,$F56,'Калькуляция (МИ корр)'!$G$25:$G$606,$G56),IF(method_reg="Метод экономически обоснованных расходов",_xlfn.SUMIFS('Калькуляция (МЭОР)'!$AJ$25:$AJ$367,'Калькуляция (МЭОР)'!$F$25:$F$367,$F56,'Калькуляция (МЭОР)'!$G$25:$G$367,$G56),IF(method_reg="Метод сравнения аналогов",_xlfn.SUMIFS('Калькуляция (МСА)'!$AE$25:$AE$103,'Калькуляция (МСА)'!$F$25:$F$103,$F56,'Калькуляция (МСА)'!$G$25:$G$103,$G56),_xlfn.SUMIFS(INDEX('Калькуляция (МИ)'!$AJ$25:$BC$603,,MATCH(AS$8,'Калькуляция (МИ)'!$AJ$8:$BC$8,0)),'Калькуляция (МИ)'!$F$25:$F$603,$F56,'Калькуляция (МИ)'!$G$25:$G$603,$G56))))</f>
        <v>0</v>
      </c>
      <c r="AT56" s="4585">
        <f>IF(AND(method_reg="Метод индексации",god&lt;&gt;first_year),_xlfn.SUMIFS(INDEX('Калькуляция (МИ корр)'!$AJ$25:$BC$606,,MATCH(AT$8,'Калькуляция (МИ корр)'!$AJ$8:$BC$8,0)),'Калькуляция (МИ корр)'!$F$25:$F$606,$F56,'Калькуляция (МИ корр)'!$G$25:$G$606,$G56),IF(method_reg="Метод экономически обоснованных расходов",_xlfn.SUMIFS('Калькуляция (МЭОР)'!$AK$25:$AK$367,'Калькуляция (МЭОР)'!$F$25:$F$367,$F56,'Калькуляция (МЭОР)'!$G$25:$G$367,$G56),IF(method_reg="Метод сравнения аналогов",_xlfn.SUMIFS('Калькуляция (МСА)'!$AF$25:$AF$103,'Калькуляция (МСА)'!$F$25:$F$103,$F56,'Калькуляция (МСА)'!$G$25:$G$103,$G56),_xlfn.SUMIFS(INDEX('Калькуляция (МИ)'!$AJ$25:$BC$603,,MATCH(AT$8,'Калькуляция (МИ)'!$AJ$8:$BC$8,0)),'Калькуляция (МИ)'!$F$25:$F$603,$F56,'Калькуляция (МИ)'!$G$25:$G$603,$G56))))</f>
        <v>0</v>
      </c>
      <c r="AU56" s="1104">
        <f>IF(AS56=0,0,(AT56-AS56)/AS56*100)</f>
        <v>0</v>
      </c>
      <c r="AV56" s="4585">
        <f>IF(AND(method_reg="Метод индексации",god&lt;&gt;first_year),_xlfn.SUMIFS(INDEX('Калькуляция (МИ корр)'!$AJ$25:$BC$606,,MATCH(AV$8,'Калькуляция (МИ корр)'!$AJ$8:$BC$8,0)),'Калькуляция (МИ корр)'!$F$25:$F$606,$F56,'Калькуляция (МИ корр)'!$G$25:$G$606,$G56),IF(method_reg="Метод экономически обоснованных расходов",_xlfn.SUMIFS('Калькуляция (МЭОР)'!$AJ$25:$AJ$367,'Калькуляция (МЭОР)'!$F$25:$F$367,$F56,'Калькуляция (МЭОР)'!$G$25:$G$367,$G56),IF(method_reg="Метод сравнения аналогов",_xlfn.SUMIFS('Калькуляция (МСА)'!$AE$25:$AE$103,'Калькуляция (МСА)'!$F$25:$F$103,$F56,'Калькуляция (МСА)'!$G$25:$G$103,$G56),_xlfn.SUMIFS(INDEX('Калькуляция (МИ)'!$AJ$25:$BC$603,,MATCH(AV$8,'Калькуляция (МИ)'!$AJ$8:$BC$8,0)),'Калькуляция (МИ)'!$F$25:$F$603,$F56,'Калькуляция (МИ)'!$G$25:$G$603,$G56))))</f>
        <v>0</v>
      </c>
      <c r="AW56" s="4585">
        <f>IF(AND(method_reg="Метод индексации",god&lt;&gt;first_year),_xlfn.SUMIFS(INDEX('Калькуляция (МИ корр)'!$AJ$25:$BC$606,,MATCH(AW$8,'Калькуляция (МИ корр)'!$AJ$8:$BC$8,0)),'Калькуляция (МИ корр)'!$F$25:$F$606,$F56,'Калькуляция (МИ корр)'!$G$25:$G$606,$G56),IF(method_reg="Метод экономически обоснованных расходов",_xlfn.SUMIFS('Калькуляция (МЭОР)'!$AK$25:$AK$367,'Калькуляция (МЭОР)'!$F$25:$F$367,$F56,'Калькуляция (МЭОР)'!$G$25:$G$367,$G56),IF(method_reg="Метод сравнения аналогов",_xlfn.SUMIFS('Калькуляция (МСА)'!$AF$25:$AF$103,'Калькуляция (МСА)'!$F$25:$F$103,$F56,'Калькуляция (МСА)'!$G$25:$G$103,$G56),_xlfn.SUMIFS(INDEX('Калькуляция (МИ)'!$AJ$25:$BC$603,,MATCH(AW$8,'Калькуляция (МИ)'!$AJ$8:$BC$8,0)),'Калькуляция (МИ)'!$F$25:$F$603,$F56,'Калькуляция (МИ)'!$G$25:$G$603,$G56))))</f>
        <v>0</v>
      </c>
      <c r="AX56" s="1104">
        <f>IF(AV56=0,0,(AW56-AV56)/AV56*100)</f>
        <v>0</v>
      </c>
      <c r="AY56" s="4585">
        <f>IF(AND(method_reg="Метод индексации",god&lt;&gt;first_year),_xlfn.SUMIFS(INDEX('Калькуляция (МИ корр)'!$AJ$25:$BC$606,,MATCH(AY$8,'Калькуляция (МИ корр)'!$AJ$8:$BC$8,0)),'Калькуляция (МИ корр)'!$F$25:$F$606,$F56,'Калькуляция (МИ корр)'!$G$25:$G$606,$G56),IF(method_reg="Метод экономически обоснованных расходов",_xlfn.SUMIFS('Калькуляция (МЭОР)'!$AJ$25:$AJ$367,'Калькуляция (МЭОР)'!$F$25:$F$367,$F56,'Калькуляция (МЭОР)'!$G$25:$G$367,$G56),IF(method_reg="Метод сравнения аналогов",_xlfn.SUMIFS('Калькуляция (МСА)'!$AE$25:$AE$103,'Калькуляция (МСА)'!$F$25:$F$103,$F56,'Калькуляция (МСА)'!$G$25:$G$103,$G56),_xlfn.SUMIFS(INDEX('Калькуляция (МИ)'!$AJ$25:$BC$603,,MATCH(AY$8,'Калькуляция (МИ)'!$AJ$8:$BC$8,0)),'Калькуляция (МИ)'!$F$25:$F$603,$F56,'Калькуляция (МИ)'!$G$25:$G$603,$G56))))</f>
        <v>0</v>
      </c>
      <c r="AZ56" s="4585">
        <f>IF(AND(method_reg="Метод индексации",god&lt;&gt;first_year),_xlfn.SUMIFS(INDEX('Калькуляция (МИ корр)'!$AJ$25:$BC$606,,MATCH(AZ$8,'Калькуляция (МИ корр)'!$AJ$8:$BC$8,0)),'Калькуляция (МИ корр)'!$F$25:$F$606,$F56,'Калькуляция (МИ корр)'!$G$25:$G$606,$G56),IF(method_reg="Метод экономически обоснованных расходов",_xlfn.SUMIFS('Калькуляция (МЭОР)'!$AK$25:$AK$367,'Калькуляция (МЭОР)'!$F$25:$F$367,$F56,'Калькуляция (МЭОР)'!$G$25:$G$367,$G56),IF(method_reg="Метод сравнения аналогов",_xlfn.SUMIFS('Калькуляция (МСА)'!$AF$25:$AF$103,'Калькуляция (МСА)'!$F$25:$F$103,$F56,'Калькуляция (МСА)'!$G$25:$G$103,$G56),_xlfn.SUMIFS(INDEX('Калькуляция (МИ)'!$AJ$25:$BC$603,,MATCH(AZ$8,'Калькуляция (МИ)'!$AJ$8:$BC$8,0)),'Калькуляция (МИ)'!$F$25:$F$603,$F56,'Калькуляция (МИ)'!$G$25:$G$603,$G56))))</f>
        <v>0</v>
      </c>
      <c r="BA56" s="1104">
        <f>IF(AY56=0,0,(AZ56-AY56)/AY56*100)</f>
        <v>0</v>
      </c>
      <c r="BB56" s="4585">
        <f>IF(AND(method_reg="Метод индексации",god&lt;&gt;first_year),_xlfn.SUMIFS(INDEX('Калькуляция (МИ корр)'!$AJ$25:$BC$606,,MATCH(BB$8,'Калькуляция (МИ корр)'!$AJ$8:$BC$8,0)),'Калькуляция (МИ корр)'!$F$25:$F$606,$F56,'Калькуляция (МИ корр)'!$G$25:$G$606,$G56),IF(method_reg="Метод экономически обоснованных расходов",_xlfn.SUMIFS('Калькуляция (МЭОР)'!$AJ$25:$AJ$367,'Калькуляция (МЭОР)'!$F$25:$F$367,$F56,'Калькуляция (МЭОР)'!$G$25:$G$367,$G56),IF(method_reg="Метод сравнения аналогов",_xlfn.SUMIFS('Калькуляция (МСА)'!$AE$25:$AE$103,'Калькуляция (МСА)'!$F$25:$F$103,$F56,'Калькуляция (МСА)'!$G$25:$G$103,$G56),_xlfn.SUMIFS(INDEX('Калькуляция (МИ)'!$AJ$25:$BC$603,,MATCH(BB$8,'Калькуляция (МИ)'!$AJ$8:$BC$8,0)),'Калькуляция (МИ)'!$F$25:$F$603,$F56,'Калькуляция (МИ)'!$G$25:$G$603,$G56))))</f>
        <v>0</v>
      </c>
      <c r="BC56" s="4585">
        <f>IF(AND(method_reg="Метод индексации",god&lt;&gt;first_year),_xlfn.SUMIFS(INDEX('Калькуляция (МИ корр)'!$AJ$25:$BC$606,,MATCH(BC$8,'Калькуляция (МИ корр)'!$AJ$8:$BC$8,0)),'Калькуляция (МИ корр)'!$F$25:$F$606,$F56,'Калькуляция (МИ корр)'!$G$25:$G$606,$G56),IF(method_reg="Метод экономически обоснованных расходов",_xlfn.SUMIFS('Калькуляция (МЭОР)'!$AK$25:$AK$367,'Калькуляция (МЭОР)'!$F$25:$F$367,$F56,'Калькуляция (МЭОР)'!$G$25:$G$367,$G56),IF(method_reg="Метод сравнения аналогов",_xlfn.SUMIFS('Калькуляция (МСА)'!$AF$25:$AF$103,'Калькуляция (МСА)'!$F$25:$F$103,$F56,'Калькуляция (МСА)'!$G$25:$G$103,$G56),_xlfn.SUMIFS(INDEX('Калькуляция (МИ)'!$AJ$25:$BC$603,,MATCH(BC$8,'Калькуляция (МИ)'!$AJ$8:$BC$8,0)),'Калькуляция (МИ)'!$F$25:$F$603,$F56,'Калькуляция (МИ)'!$G$25:$G$603,$G56))))</f>
        <v>0</v>
      </c>
      <c r="BD56" s="1104">
        <f>IF(BB56=0,0,(BC56-BB56)/BB56*100)</f>
        <v>0</v>
      </c>
      <c r="BE56" s="4585">
        <f>IF(AND(method_reg="Метод индексации",god&lt;&gt;first_year),_xlfn.SUMIFS(INDEX('Калькуляция (МИ корр)'!$AJ$25:$BC$606,,MATCH(BE$8,'Калькуляция (МИ корр)'!$AJ$8:$BC$8,0)),'Калькуляция (МИ корр)'!$F$25:$F$606,$F56,'Калькуляция (МИ корр)'!$G$25:$G$606,$G56),IF(method_reg="Метод экономически обоснованных расходов",_xlfn.SUMIFS('Калькуляция (МЭОР)'!$AJ$25:$AJ$367,'Калькуляция (МЭОР)'!$F$25:$F$367,$F56,'Калькуляция (МЭОР)'!$G$25:$G$367,$G56),IF(method_reg="Метод сравнения аналогов",_xlfn.SUMIFS('Калькуляция (МСА)'!$AE$25:$AE$103,'Калькуляция (МСА)'!$F$25:$F$103,$F56,'Калькуляция (МСА)'!$G$25:$G$103,$G56),_xlfn.SUMIFS(INDEX('Калькуляция (МИ)'!$AJ$25:$BC$603,,MATCH(BE$8,'Калькуляция (МИ)'!$AJ$8:$BC$8,0)),'Калькуляция (МИ)'!$F$25:$F$603,$F56,'Калькуляция (МИ)'!$G$25:$G$603,$G56))))</f>
        <v>0</v>
      </c>
      <c r="BF56" s="4585">
        <f>IF(AND(method_reg="Метод индексации",god&lt;&gt;first_year),_xlfn.SUMIFS(INDEX('Калькуляция (МИ корр)'!$AJ$25:$BC$606,,MATCH(BF$8,'Калькуляция (МИ корр)'!$AJ$8:$BC$8,0)),'Калькуляция (МИ корр)'!$F$25:$F$606,$F56,'Калькуляция (МИ корр)'!$G$25:$G$606,$G56),IF(method_reg="Метод экономически обоснованных расходов",_xlfn.SUMIFS('Калькуляция (МЭОР)'!$AK$25:$AK$367,'Калькуляция (МЭОР)'!$F$25:$F$367,$F56,'Калькуляция (МЭОР)'!$G$25:$G$367,$G56),IF(method_reg="Метод сравнения аналогов",_xlfn.SUMIFS('Калькуляция (МСА)'!$AF$25:$AF$103,'Калькуляция (МСА)'!$F$25:$F$103,$F56,'Калькуляция (МСА)'!$G$25:$G$103,$G56),_xlfn.SUMIFS(INDEX('Калькуляция (МИ)'!$AJ$25:$BC$603,,MATCH(BF$8,'Калькуляция (МИ)'!$AJ$8:$BC$8,0)),'Калькуляция (МИ)'!$F$25:$F$603,$F56,'Калькуляция (МИ)'!$G$25:$G$603,$G56))))</f>
        <v>0</v>
      </c>
      <c r="BG56" s="1113">
        <f>IF(BE56=0,0,(BF56-BE56)/BE56*100)</f>
        <v>0</v>
      </c>
      <c r="BH56" s="4585"/>
      <c r="BI56" s="4585"/>
      <c r="BJ56" s="1113">
        <f>IF(BH56=0,0,(BI56-BH56)/BH56*100)</f>
        <v>0</v>
      </c>
      <c r="BK56" s="4585"/>
      <c r="BL56" s="4585"/>
      <c r="BM56" s="1113">
        <f>IF(BK56=0,0,(BL56-BK56)/BK56*100)</f>
        <v>0</v>
      </c>
      <c r="BN56" s="4585"/>
      <c r="BO56" s="4585"/>
      <c r="BP56" s="1113">
        <f>IF(BN56=0,0,(BO56-BN56)/BN56*100)</f>
        <v>0</v>
      </c>
      <c r="BQ56" s="4585"/>
      <c r="BR56" s="4585"/>
      <c r="BS56" s="1113">
        <f>IF(BQ56=0,0,(BR56-BQ56)/BQ56*100)</f>
        <v>0</v>
      </c>
      <c r="BT56" s="4585"/>
      <c r="BU56" s="4585"/>
      <c r="BV56" s="1113">
        <f>IF(BT56=0,0,(BU56-BT56)/BT56*100)</f>
        <v>0</v>
      </c>
      <c r="BW56" s="4585"/>
      <c r="BX56" s="4585"/>
      <c r="BY56" s="1113">
        <f>IF(BW56=0,0,(BX56-BW56)/BW56*100)</f>
        <v>0</v>
      </c>
      <c r="BZ56" s="4585"/>
      <c r="CA56" s="4585"/>
      <c r="CB56" s="1113">
        <f>IF(BZ56=0,0,(CA56-BZ56)/BZ56*100)</f>
        <v>0</v>
      </c>
      <c r="CC56" s="4585"/>
      <c r="CD56" s="4585"/>
      <c r="CE56" s="1113">
        <f>IF(CC56=0,0,(CD56-CC56)/CC56*100)</f>
        <v>0</v>
      </c>
      <c r="CF56" s="4585"/>
      <c r="CG56" s="4585"/>
      <c r="CH56" s="1113">
        <f>IF(CF56=0,0,(CG56-CF56)/CF56*100)</f>
        <v>0</v>
      </c>
      <c r="CI56" s="4585"/>
      <c r="CJ56" s="4585"/>
      <c r="CK56" s="1113">
        <f>IF(CI56=0,0,(CJ56-CI56)/CI56*100)</f>
        <v>0</v>
      </c>
      <c r="CL56" s="4585"/>
      <c r="CM56" s="4585"/>
      <c r="CN56" s="1113">
        <f>IF(CL56=0,0,(CM56-CL56)/CL56*100)</f>
        <v>0</v>
      </c>
      <c r="CO56" s="4585"/>
      <c r="CP56" s="4585"/>
      <c r="CQ56" s="1113">
        <f>IF(CO56=0,0,(CP56-CO56)/CO56*100)</f>
        <v>0</v>
      </c>
      <c r="CR56" s="4585"/>
      <c r="CS56" s="4585"/>
      <c r="CT56" s="1113">
        <f>IF(CR56=0,0,(CS56-CR56)/CR56*100)</f>
        <v>0</v>
      </c>
      <c r="CU56" s="4585"/>
      <c r="CV56" s="4585"/>
      <c r="CW56" s="1113">
        <f>IF(CU56=0,0,(CV56-CU56)/CU56*100)</f>
        <v>0</v>
      </c>
      <c r="CX56" s="4585"/>
      <c r="CY56" s="4585"/>
      <c r="CZ56" s="1113">
        <f>IF(CX56=0,0,(CY56-CX56)/CX56*100)</f>
        <v>0</v>
      </c>
      <c r="DA56" s="4585"/>
      <c r="DB56" s="4585"/>
      <c r="DC56" s="1113">
        <f>IF(DA56=0,0,(DB56-DA56)/DA56*100)</f>
        <v>0</v>
      </c>
      <c r="DD56" s="4585"/>
      <c r="DE56" s="4585"/>
      <c r="DF56" s="1113">
        <f>IF(DD56=0,0,(DE56-DD56)/DD56*100)</f>
        <v>0</v>
      </c>
      <c r="DG56" s="4585"/>
      <c r="DH56" s="4585"/>
      <c r="DI56" s="1113">
        <f>IF(DG56=0,0,(DH56-DG56)/DG56*100)</f>
        <v>0</v>
      </c>
      <c r="DJ56" s="4585"/>
      <c r="DK56" s="4585"/>
      <c r="DL56" s="1113">
        <f>IF(DJ56=0,0,(DK56-DJ56)/DJ56*100)</f>
        <v>0</v>
      </c>
      <c r="DM56" s="4585"/>
      <c r="DN56" s="4585"/>
      <c r="DO56" s="1113">
        <f>IF(DM56=0,0,(DN56-DM56)/DM56*100)</f>
        <v>0</v>
      </c>
      <c r="DP56" s="4585"/>
      <c r="DQ56" s="4585"/>
      <c r="DR56" s="1113">
        <f>IF(DP56=0,0,(DQ56-DP56)/DP56*100)</f>
        <v>0</v>
      </c>
      <c r="DS56" s="4585"/>
      <c r="DT56" s="4585"/>
      <c r="DU56" s="1113">
        <f>IF(DS56=0,0,(DT56-DS56)/DS56*100)</f>
        <v>0</v>
      </c>
      <c r="DV56" s="4585"/>
      <c r="DW56" s="4585"/>
      <c r="DX56" s="1113">
        <f>IF(DV56=0,0,(DW56-DV56)/DV56*100)</f>
        <v>0</v>
      </c>
      <c r="DY56" s="4585"/>
      <c r="DZ56" s="4585"/>
      <c r="EA56" s="1113">
        <f>IF(DY56=0,0,(DZ56-DY56)/DY56*100)</f>
        <v>0</v>
      </c>
      <c r="EB56" s="4585"/>
      <c r="EC56" s="4585"/>
      <c r="ED56" s="1113">
        <f>IF(EB56=0,0,(EC56-EB56)/EB56*100)</f>
        <v>0</v>
      </c>
      <c r="EE56" s="4585"/>
      <c r="EF56" s="4585"/>
      <c r="EG56" s="1113">
        <f>IF(EE56=0,0,(EF56-EE56)/EE56*100)</f>
        <v>0</v>
      </c>
      <c r="EH56" s="4585"/>
      <c r="EI56" s="4585"/>
      <c r="EJ56" s="1113">
        <f>IF(EH56=0,0,(EI56-EH56)/EH56*100)</f>
        <v>0</v>
      </c>
      <c r="EK56" s="4585"/>
      <c r="EL56" s="4585"/>
      <c r="EM56" s="1113">
        <f>IF(EK56=0,0,(EL56-EK56)/EK56*100)</f>
        <v>0</v>
      </c>
      <c r="EN56" s="4585"/>
      <c r="EO56" s="4585"/>
      <c r="EP56" s="1113">
        <f>IF(EN56=0,0,(EO56-EN56)/EN56*100)</f>
        <v>0</v>
      </c>
      <c r="EQ56" s="4585"/>
      <c r="ER56" s="4585"/>
      <c r="ES56" s="1113">
        <f>IF(EQ56=0,0,(ER56-EQ56)/EQ56*100)</f>
        <v>0</v>
      </c>
      <c r="ET56" s="4585"/>
      <c r="EU56" s="4585"/>
      <c r="EV56" s="1113">
        <f>IF(ET56=0,0,(EU56-ET56)/ET56*100)</f>
        <v>0</v>
      </c>
      <c r="EW56" s="4585"/>
      <c r="EX56" s="4585"/>
      <c r="EY56" s="1113">
        <f>IF(EW56=0,0,(EX56-EW56)/EW56*100)</f>
        <v>0</v>
      </c>
      <c r="EZ56" s="4585"/>
      <c r="FA56" s="4585"/>
      <c r="FB56" s="1113">
        <f>IF(EZ56=0,0,(FA56-EZ56)/EZ56*100)</f>
        <v>0</v>
      </c>
      <c r="FC56" s="4585"/>
      <c r="FD56" s="4585"/>
      <c r="FE56" s="1113">
        <f>IF(FC56=0,0,(FD56-FC56)/FC56*100)</f>
        <v>0</v>
      </c>
      <c r="FF56" s="4585"/>
      <c r="FG56" s="4585"/>
      <c r="FH56" s="1113">
        <f>IF(FF56=0,0,(FG56-FF56)/FF56*100)</f>
        <v>0</v>
      </c>
      <c r="FI56" s="4585"/>
      <c r="FJ56" s="4585"/>
      <c r="FK56" s="1113">
        <f>IF(FI56=0,0,(FJ56-FI56)/FI56*100)</f>
        <v>0</v>
      </c>
      <c r="FL56" s="4585"/>
      <c r="FM56" s="4585"/>
      <c r="FN56" s="1113">
        <f>IF(FL56=0,0,(FM56-FL56)/FL56*100)</f>
        <v>0</v>
      </c>
      <c r="FO56" s="4585"/>
      <c r="FP56" s="4585"/>
      <c r="FQ56" s="1113">
        <f>IF(FO56=0,0,(FP56-FO56)/FO56*100)</f>
        <v>0</v>
      </c>
      <c r="FR56" s="4585"/>
      <c r="FS56" s="4585"/>
      <c r="FT56" s="1113">
        <f>IF(FR56=0,0,(FS56-FR56)/FR56*100)</f>
        <v>0</v>
      </c>
      <c r="FU56" s="4585"/>
      <c r="FV56" s="4585"/>
      <c r="FW56" s="1113">
        <f>IF(FU56=0,0,(FV56-FU56)/FU56*100)</f>
        <v>0</v>
      </c>
      <c r="FX56" s="1328"/>
      <c r="FY56" s="1328"/>
      <c r="FZ56" s="1063" t="s">
        <v>1912</v>
      </c>
      <c r="GA56" s="1330"/>
      <c r="GB56" s="1330"/>
      <c r="GC56" s="1329"/>
      <c r="GD56" s="1329"/>
    </row>
    <row customHeight="1" ht="21.9375" hidden="1">
      <c r="A57" s="496"/>
      <c r="B57" s="932" cm="1" t="str">
        <f t="array" ref="B57:B57">B56</f>
        <v>false</v>
      </c>
      <c r="C57" s="496"/>
      <c r="D57" s="496"/>
      <c r="E57" s="847">
        <v>22.5</v>
      </c>
      <c r="F57" s="50" cm="1" t="str">
        <f t="array" ref="F57:F57">OFFSET(E57,-1,1)</f>
        <v>0</v>
      </c>
      <c r="G57" s="496"/>
      <c r="H57" s="496" t="s">
        <v>1901</v>
      </c>
      <c r="I57" s="496" t="s">
        <v>1865</v>
      </c>
      <c r="J57" s="496"/>
      <c r="K57" s="496"/>
      <c r="L57" s="496"/>
      <c r="M57" s="496"/>
      <c r="N57" s="496"/>
      <c r="O57" s="496"/>
      <c r="P57" s="496"/>
      <c r="Q57" s="496"/>
      <c r="R57" s="496"/>
      <c r="S57" s="496"/>
      <c r="T57" s="468" cm="1" t="str">
        <f t="array" ref="T57:T57">T56</f>
        <v>false</v>
      </c>
      <c r="U57" s="496"/>
      <c r="V57" s="496"/>
      <c r="W57" s="496"/>
      <c r="X57" s="1559"/>
      <c r="Y57" s="496"/>
      <c r="Z57" s="1528"/>
      <c r="AA57" s="496"/>
      <c r="AB57" s="1100"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57" s="871" t="s">
        <v>1902</v>
      </c>
      <c r="AD57" s="4591"/>
      <c r="AE57" s="4591"/>
      <c r="AF57" s="1102">
        <f>IF(AD57=0,0,(AE57-AD57)/AD57*100)</f>
        <v>0</v>
      </c>
      <c r="AG57" s="4591"/>
      <c r="AH57" s="4591"/>
      <c r="AI57" s="1102">
        <f>IF(AG57=0,0,(AH57-AG57)/AG57*100)</f>
        <v>0</v>
      </c>
      <c r="AJ57" s="4591"/>
      <c r="AK57" s="4591"/>
      <c r="AL57" s="1102">
        <f>IF(AJ57=0,0,(AK57-AJ57)/AJ57*100)</f>
        <v>0</v>
      </c>
      <c r="AM57" s="4591"/>
      <c r="AN57" s="4591"/>
      <c r="AO57" s="1102">
        <f>IF(AM57=0,0,(AN57-AM57)/AM57*100)</f>
        <v>0</v>
      </c>
      <c r="AP57" s="4591"/>
      <c r="AQ57" s="4591"/>
      <c r="AR57" s="1102">
        <f>IF(AP57=0,0,(AQ57-AP57)/AP57*100)</f>
        <v>0</v>
      </c>
      <c r="AS57" s="4591"/>
      <c r="AT57" s="4591"/>
      <c r="AU57" s="1102">
        <f>IF(AS57=0,0,(AT57-AS57)/AS57*100)</f>
        <v>0</v>
      </c>
      <c r="AV57" s="4591"/>
      <c r="AW57" s="4591"/>
      <c r="AX57" s="1102">
        <f>IF(AV57=0,0,(AW57-AV57)/AV57*100)</f>
        <v>0</v>
      </c>
      <c r="AY57" s="4591"/>
      <c r="AZ57" s="4591"/>
      <c r="BA57" s="1102">
        <f>IF(AY57=0,0,(AZ57-AY57)/AY57*100)</f>
        <v>0</v>
      </c>
      <c r="BB57" s="4591"/>
      <c r="BC57" s="4591"/>
      <c r="BD57" s="1102">
        <f>IF(BB57=0,0,(BC57-BB57)/BB57*100)</f>
        <v>0</v>
      </c>
      <c r="BE57" s="4591"/>
      <c r="BF57" s="4591"/>
      <c r="BG57" s="1102">
        <f>IF(BE57=0,0,(BF57-BE57)/BE57*100)</f>
        <v>0</v>
      </c>
      <c r="BH57" s="4591"/>
      <c r="BI57" s="4591"/>
      <c r="BJ57" s="1102">
        <f>IF(BH57=0,0,(BI57-BH57)/BH57*100)</f>
        <v>0</v>
      </c>
      <c r="BK57" s="4591"/>
      <c r="BL57" s="4591"/>
      <c r="BM57" s="1102">
        <f>IF(BK57=0,0,(BL57-BK57)/BK57*100)</f>
        <v>0</v>
      </c>
      <c r="BN57" s="4591"/>
      <c r="BO57" s="4591"/>
      <c r="BP57" s="1102">
        <f>IF(BN57=0,0,(BO57-BN57)/BN57*100)</f>
        <v>0</v>
      </c>
      <c r="BQ57" s="4591"/>
      <c r="BR57" s="4591"/>
      <c r="BS57" s="1102">
        <f>IF(BQ57=0,0,(BR57-BQ57)/BQ57*100)</f>
        <v>0</v>
      </c>
      <c r="BT57" s="4591"/>
      <c r="BU57" s="4591"/>
      <c r="BV57" s="1102">
        <f>IF(BT57=0,0,(BU57-BT57)/BT57*100)</f>
        <v>0</v>
      </c>
      <c r="BW57" s="4591"/>
      <c r="BX57" s="4591"/>
      <c r="BY57" s="1102">
        <f>IF(BW57=0,0,(BX57-BW57)/BW57*100)</f>
        <v>0</v>
      </c>
      <c r="BZ57" s="4591"/>
      <c r="CA57" s="4591"/>
      <c r="CB57" s="1102">
        <f>IF(BZ57=0,0,(CA57-BZ57)/BZ57*100)</f>
        <v>0</v>
      </c>
      <c r="CC57" s="4591"/>
      <c r="CD57" s="4591"/>
      <c r="CE57" s="1102">
        <f>IF(CC57=0,0,(CD57-CC57)/CC57*100)</f>
        <v>0</v>
      </c>
      <c r="CF57" s="4591"/>
      <c r="CG57" s="4591"/>
      <c r="CH57" s="1102">
        <f>IF(CF57=0,0,(CG57-CF57)/CF57*100)</f>
        <v>0</v>
      </c>
      <c r="CI57" s="4591"/>
      <c r="CJ57" s="4591"/>
      <c r="CK57" s="1102">
        <f>IF(CI57=0,0,(CJ57-CI57)/CI57*100)</f>
        <v>0</v>
      </c>
      <c r="CL57" s="4591"/>
      <c r="CM57" s="4591"/>
      <c r="CN57" s="1102">
        <f>IF(CL57=0,0,(CM57-CL57)/CL57*100)</f>
        <v>0</v>
      </c>
      <c r="CO57" s="4591"/>
      <c r="CP57" s="4591"/>
      <c r="CQ57" s="1102">
        <f>IF(CO57=0,0,(CP57-CO57)/CO57*100)</f>
        <v>0</v>
      </c>
      <c r="CR57" s="4591"/>
      <c r="CS57" s="4591"/>
      <c r="CT57" s="1102">
        <f>IF(CR57=0,0,(CS57-CR57)/CR57*100)</f>
        <v>0</v>
      </c>
      <c r="CU57" s="4591"/>
      <c r="CV57" s="4591"/>
      <c r="CW57" s="1102">
        <f>IF(CU57=0,0,(CV57-CU57)/CU57*100)</f>
        <v>0</v>
      </c>
      <c r="CX57" s="4591"/>
      <c r="CY57" s="4591"/>
      <c r="CZ57" s="1102">
        <f>IF(CX57=0,0,(CY57-CX57)/CX57*100)</f>
        <v>0</v>
      </c>
      <c r="DA57" s="4591"/>
      <c r="DB57" s="4591"/>
      <c r="DC57" s="1102">
        <f>IF(DA57=0,0,(DB57-DA57)/DA57*100)</f>
        <v>0</v>
      </c>
      <c r="DD57" s="4591"/>
      <c r="DE57" s="4591"/>
      <c r="DF57" s="1102">
        <f>IF(DD57=0,0,(DE57-DD57)/DD57*100)</f>
        <v>0</v>
      </c>
      <c r="DG57" s="4591"/>
      <c r="DH57" s="4591"/>
      <c r="DI57" s="1102">
        <f>IF(DG57=0,0,(DH57-DG57)/DG57*100)</f>
        <v>0</v>
      </c>
      <c r="DJ57" s="4591"/>
      <c r="DK57" s="4591"/>
      <c r="DL57" s="1102">
        <f>IF(DJ57=0,0,(DK57-DJ57)/DJ57*100)</f>
        <v>0</v>
      </c>
      <c r="DM57" s="4591"/>
      <c r="DN57" s="4591"/>
      <c r="DO57" s="1102">
        <f>IF(DM57=0,0,(DN57-DM57)/DM57*100)</f>
        <v>0</v>
      </c>
      <c r="DP57" s="4591"/>
      <c r="DQ57" s="4591"/>
      <c r="DR57" s="1102">
        <f>IF(DP57=0,0,(DQ57-DP57)/DP57*100)</f>
        <v>0</v>
      </c>
      <c r="DS57" s="4591"/>
      <c r="DT57" s="4591"/>
      <c r="DU57" s="1102">
        <f>IF(DS57=0,0,(DT57-DS57)/DS57*100)</f>
        <v>0</v>
      </c>
      <c r="DV57" s="4591"/>
      <c r="DW57" s="4591"/>
      <c r="DX57" s="1102">
        <f>IF(DV57=0,0,(DW57-DV57)/DV57*100)</f>
        <v>0</v>
      </c>
      <c r="DY57" s="4591"/>
      <c r="DZ57" s="4591"/>
      <c r="EA57" s="1102">
        <f>IF(DY57=0,0,(DZ57-DY57)/DY57*100)</f>
        <v>0</v>
      </c>
      <c r="EB57" s="4591"/>
      <c r="EC57" s="4591"/>
      <c r="ED57" s="1102">
        <f>IF(EB57=0,0,(EC57-EB57)/EB57*100)</f>
        <v>0</v>
      </c>
      <c r="EE57" s="4591"/>
      <c r="EF57" s="4591"/>
      <c r="EG57" s="1102">
        <f>IF(EE57=0,0,(EF57-EE57)/EE57*100)</f>
        <v>0</v>
      </c>
      <c r="EH57" s="4591"/>
      <c r="EI57" s="4591"/>
      <c r="EJ57" s="1102">
        <f>IF(EH57=0,0,(EI57-EH57)/EH57*100)</f>
        <v>0</v>
      </c>
      <c r="EK57" s="4591"/>
      <c r="EL57" s="4591"/>
      <c r="EM57" s="1102">
        <f>IF(EK57=0,0,(EL57-EK57)/EK57*100)</f>
        <v>0</v>
      </c>
      <c r="EN57" s="4591"/>
      <c r="EO57" s="4591"/>
      <c r="EP57" s="1102">
        <f>IF(EN57=0,0,(EO57-EN57)/EN57*100)</f>
        <v>0</v>
      </c>
      <c r="EQ57" s="4591"/>
      <c r="ER57" s="4591"/>
      <c r="ES57" s="1102">
        <f>IF(EQ57=0,0,(ER57-EQ57)/EQ57*100)</f>
        <v>0</v>
      </c>
      <c r="ET57" s="4591"/>
      <c r="EU57" s="4591"/>
      <c r="EV57" s="1102">
        <f>IF(ET57=0,0,(EU57-ET57)/ET57*100)</f>
        <v>0</v>
      </c>
      <c r="EW57" s="4591"/>
      <c r="EX57" s="4591"/>
      <c r="EY57" s="1102">
        <f>IF(EW57=0,0,(EX57-EW57)/EW57*100)</f>
        <v>0</v>
      </c>
      <c r="EZ57" s="4591"/>
      <c r="FA57" s="4591"/>
      <c r="FB57" s="1102">
        <f>IF(EZ57=0,0,(FA57-EZ57)/EZ57*100)</f>
        <v>0</v>
      </c>
      <c r="FC57" s="4591"/>
      <c r="FD57" s="4591"/>
      <c r="FE57" s="1102">
        <f>IF(FC57=0,0,(FD57-FC57)/FC57*100)</f>
        <v>0</v>
      </c>
      <c r="FF57" s="4591"/>
      <c r="FG57" s="4591"/>
      <c r="FH57" s="1102">
        <f>IF(FF57=0,0,(FG57-FF57)/FF57*100)</f>
        <v>0</v>
      </c>
      <c r="FI57" s="4591"/>
      <c r="FJ57" s="4591"/>
      <c r="FK57" s="1102">
        <f>IF(FI57=0,0,(FJ57-FI57)/FI57*100)</f>
        <v>0</v>
      </c>
      <c r="FL57" s="4591"/>
      <c r="FM57" s="4591"/>
      <c r="FN57" s="1102">
        <f>IF(FL57=0,0,(FM57-FL57)/FL57*100)</f>
        <v>0</v>
      </c>
      <c r="FO57" s="4591"/>
      <c r="FP57" s="4591"/>
      <c r="FQ57" s="1102">
        <f>IF(FO57=0,0,(FP57-FO57)/FO57*100)</f>
        <v>0</v>
      </c>
      <c r="FR57" s="4591"/>
      <c r="FS57" s="4591"/>
      <c r="FT57" s="1102">
        <f>IF(FR57=0,0,(FS57-FR57)/FR57*100)</f>
        <v>0</v>
      </c>
      <c r="FU57" s="4591"/>
      <c r="FV57" s="4591"/>
      <c r="FW57" s="1102">
        <f>IF(FU57=0,0,(FV57-FU57)/FU57*100)</f>
        <v>0</v>
      </c>
      <c r="FX57" s="1328"/>
      <c r="FY57" s="1328"/>
      <c r="FZ57" s="1063" t="s">
        <v>1913</v>
      </c>
      <c r="GA57" s="1330"/>
      <c r="GB57" s="1330"/>
      <c r="GC57" s="1329"/>
      <c r="GD57" s="1329"/>
    </row>
    <row customHeight="1" ht="14.625" hidden="1">
      <c r="A58" s="496"/>
      <c r="B58" s="932" cm="1" t="str">
        <f t="array" ref="B58:B58">B57</f>
        <v>false</v>
      </c>
      <c r="C58" s="496"/>
      <c r="D58" s="496"/>
      <c r="E58" s="847">
        <v>15</v>
      </c>
      <c r="F58" s="50" cm="1" t="str">
        <f t="array" ref="F58:F58">OFFSET(E58,-1,1)</f>
        <v>0</v>
      </c>
      <c r="G58" s="496"/>
      <c r="H58" s="496" t="s">
        <v>1904</v>
      </c>
      <c r="I58" s="496" t="s">
        <v>1865</v>
      </c>
      <c r="J58" s="496"/>
      <c r="K58" s="496"/>
      <c r="L58" s="496"/>
      <c r="M58" s="496"/>
      <c r="N58" s="496"/>
      <c r="O58" s="496"/>
      <c r="P58" s="496"/>
      <c r="Q58" s="496"/>
      <c r="R58" s="496"/>
      <c r="S58" s="496"/>
      <c r="T58" s="468" cm="1" t="str">
        <f t="array" ref="T58:T58">T57</f>
        <v>false</v>
      </c>
      <c r="U58" s="496"/>
      <c r="V58" s="496"/>
      <c r="W58" s="496"/>
      <c r="X58" s="1559"/>
      <c r="Y58" s="496"/>
      <c r="Z58" s="1528"/>
      <c r="AA58" s="496"/>
      <c r="AB58" s="1100" t="s">
        <v>1905</v>
      </c>
      <c r="AC58" s="871" t="s">
        <v>1906</v>
      </c>
      <c r="AD58" s="4591"/>
      <c r="AE58" s="4591"/>
      <c r="AF58" s="1102">
        <f>IF(AD58=0,0,(AE58-AD58)/AD58*100)</f>
        <v>0</v>
      </c>
      <c r="AG58" s="4591"/>
      <c r="AH58" s="4591"/>
      <c r="AI58" s="1102">
        <f>IF(AG58=0,0,(AH58-AG58)/AG58*100)</f>
        <v>0</v>
      </c>
      <c r="AJ58" s="4591"/>
      <c r="AK58" s="4591"/>
      <c r="AL58" s="1102">
        <f>IF(AJ58=0,0,(AK58-AJ58)/AJ58*100)</f>
        <v>0</v>
      </c>
      <c r="AM58" s="4591"/>
      <c r="AN58" s="4591"/>
      <c r="AO58" s="1102">
        <f>IF(AM58=0,0,(AN58-AM58)/AM58*100)</f>
        <v>0</v>
      </c>
      <c r="AP58" s="4591"/>
      <c r="AQ58" s="4591"/>
      <c r="AR58" s="1102">
        <f>IF(AP58=0,0,(AQ58-AP58)/AP58*100)</f>
        <v>0</v>
      </c>
      <c r="AS58" s="4591"/>
      <c r="AT58" s="4591"/>
      <c r="AU58" s="1102">
        <f>IF(AS58=0,0,(AT58-AS58)/AS58*100)</f>
        <v>0</v>
      </c>
      <c r="AV58" s="4591"/>
      <c r="AW58" s="4591"/>
      <c r="AX58" s="1102">
        <f>IF(AV58=0,0,(AW58-AV58)/AV58*100)</f>
        <v>0</v>
      </c>
      <c r="AY58" s="4591"/>
      <c r="AZ58" s="4591"/>
      <c r="BA58" s="1102">
        <f>IF(AY58=0,0,(AZ58-AY58)/AY58*100)</f>
        <v>0</v>
      </c>
      <c r="BB58" s="4591"/>
      <c r="BC58" s="4591"/>
      <c r="BD58" s="1102">
        <f>IF(BB58=0,0,(BC58-BB58)/BB58*100)</f>
        <v>0</v>
      </c>
      <c r="BE58" s="4591"/>
      <c r="BF58" s="4591"/>
      <c r="BG58" s="1102">
        <f>IF(BE58=0,0,(BF58-BE58)/BE58*100)</f>
        <v>0</v>
      </c>
      <c r="BH58" s="4591"/>
      <c r="BI58" s="4591"/>
      <c r="BJ58" s="1102">
        <f>IF(BH58=0,0,(BI58-BH58)/BH58*100)</f>
        <v>0</v>
      </c>
      <c r="BK58" s="4591"/>
      <c r="BL58" s="4591"/>
      <c r="BM58" s="1102">
        <f>IF(BK58=0,0,(BL58-BK58)/BK58*100)</f>
        <v>0</v>
      </c>
      <c r="BN58" s="4591"/>
      <c r="BO58" s="4591"/>
      <c r="BP58" s="1102">
        <f>IF(BN58=0,0,(BO58-BN58)/BN58*100)</f>
        <v>0</v>
      </c>
      <c r="BQ58" s="4591"/>
      <c r="BR58" s="4591"/>
      <c r="BS58" s="1102">
        <f>IF(BQ58=0,0,(BR58-BQ58)/BQ58*100)</f>
        <v>0</v>
      </c>
      <c r="BT58" s="4591"/>
      <c r="BU58" s="4591"/>
      <c r="BV58" s="1102">
        <f>IF(BT58=0,0,(BU58-BT58)/BT58*100)</f>
        <v>0</v>
      </c>
      <c r="BW58" s="4591"/>
      <c r="BX58" s="4591"/>
      <c r="BY58" s="1102">
        <f>IF(BW58=0,0,(BX58-BW58)/BW58*100)</f>
        <v>0</v>
      </c>
      <c r="BZ58" s="4591"/>
      <c r="CA58" s="4591"/>
      <c r="CB58" s="1102">
        <f>IF(BZ58=0,0,(CA58-BZ58)/BZ58*100)</f>
        <v>0</v>
      </c>
      <c r="CC58" s="4591"/>
      <c r="CD58" s="4591"/>
      <c r="CE58" s="1102">
        <f>IF(CC58=0,0,(CD58-CC58)/CC58*100)</f>
        <v>0</v>
      </c>
      <c r="CF58" s="4591"/>
      <c r="CG58" s="4591"/>
      <c r="CH58" s="1102">
        <f>IF(CF58=0,0,(CG58-CF58)/CF58*100)</f>
        <v>0</v>
      </c>
      <c r="CI58" s="4591"/>
      <c r="CJ58" s="4591"/>
      <c r="CK58" s="1102">
        <f>IF(CI58=0,0,(CJ58-CI58)/CI58*100)</f>
        <v>0</v>
      </c>
      <c r="CL58" s="4591"/>
      <c r="CM58" s="4591"/>
      <c r="CN58" s="1102">
        <f>IF(CL58=0,0,(CM58-CL58)/CL58*100)</f>
        <v>0</v>
      </c>
      <c r="CO58" s="4591"/>
      <c r="CP58" s="4591"/>
      <c r="CQ58" s="1102">
        <f>IF(CO58=0,0,(CP58-CO58)/CO58*100)</f>
        <v>0</v>
      </c>
      <c r="CR58" s="4591"/>
      <c r="CS58" s="4591"/>
      <c r="CT58" s="1102">
        <f>IF(CR58=0,0,(CS58-CR58)/CR58*100)</f>
        <v>0</v>
      </c>
      <c r="CU58" s="4591"/>
      <c r="CV58" s="4591"/>
      <c r="CW58" s="1102">
        <f>IF(CU58=0,0,(CV58-CU58)/CU58*100)</f>
        <v>0</v>
      </c>
      <c r="CX58" s="4591"/>
      <c r="CY58" s="4591"/>
      <c r="CZ58" s="1102">
        <f>IF(CX58=0,0,(CY58-CX58)/CX58*100)</f>
        <v>0</v>
      </c>
      <c r="DA58" s="4591"/>
      <c r="DB58" s="4591"/>
      <c r="DC58" s="1102">
        <f>IF(DA58=0,0,(DB58-DA58)/DA58*100)</f>
        <v>0</v>
      </c>
      <c r="DD58" s="4591"/>
      <c r="DE58" s="4591"/>
      <c r="DF58" s="1102">
        <f>IF(DD58=0,0,(DE58-DD58)/DD58*100)</f>
        <v>0</v>
      </c>
      <c r="DG58" s="4591"/>
      <c r="DH58" s="4591"/>
      <c r="DI58" s="1102">
        <f>IF(DG58=0,0,(DH58-DG58)/DG58*100)</f>
        <v>0</v>
      </c>
      <c r="DJ58" s="4591"/>
      <c r="DK58" s="4591"/>
      <c r="DL58" s="1102">
        <f>IF(DJ58=0,0,(DK58-DJ58)/DJ58*100)</f>
        <v>0</v>
      </c>
      <c r="DM58" s="4591"/>
      <c r="DN58" s="4591"/>
      <c r="DO58" s="1102">
        <f>IF(DM58=0,0,(DN58-DM58)/DM58*100)</f>
        <v>0</v>
      </c>
      <c r="DP58" s="4591"/>
      <c r="DQ58" s="4591"/>
      <c r="DR58" s="1102">
        <f>IF(DP58=0,0,(DQ58-DP58)/DP58*100)</f>
        <v>0</v>
      </c>
      <c r="DS58" s="4591"/>
      <c r="DT58" s="4591"/>
      <c r="DU58" s="1102">
        <f>IF(DS58=0,0,(DT58-DS58)/DS58*100)</f>
        <v>0</v>
      </c>
      <c r="DV58" s="4591"/>
      <c r="DW58" s="4591"/>
      <c r="DX58" s="1102">
        <f>IF(DV58=0,0,(DW58-DV58)/DV58*100)</f>
        <v>0</v>
      </c>
      <c r="DY58" s="4591"/>
      <c r="DZ58" s="4591"/>
      <c r="EA58" s="1102">
        <f>IF(DY58=0,0,(DZ58-DY58)/DY58*100)</f>
        <v>0</v>
      </c>
      <c r="EB58" s="4591"/>
      <c r="EC58" s="4591"/>
      <c r="ED58" s="1102">
        <f>IF(EB58=0,0,(EC58-EB58)/EB58*100)</f>
        <v>0</v>
      </c>
      <c r="EE58" s="4591"/>
      <c r="EF58" s="4591"/>
      <c r="EG58" s="1102">
        <f>IF(EE58=0,0,(EF58-EE58)/EE58*100)</f>
        <v>0</v>
      </c>
      <c r="EH58" s="4591"/>
      <c r="EI58" s="4591"/>
      <c r="EJ58" s="1102">
        <f>IF(EH58=0,0,(EI58-EH58)/EH58*100)</f>
        <v>0</v>
      </c>
      <c r="EK58" s="4591"/>
      <c r="EL58" s="4591"/>
      <c r="EM58" s="1102">
        <f>IF(EK58=0,0,(EL58-EK58)/EK58*100)</f>
        <v>0</v>
      </c>
      <c r="EN58" s="4591"/>
      <c r="EO58" s="4591"/>
      <c r="EP58" s="1102">
        <f>IF(EN58=0,0,(EO58-EN58)/EN58*100)</f>
        <v>0</v>
      </c>
      <c r="EQ58" s="4591"/>
      <c r="ER58" s="4591"/>
      <c r="ES58" s="1102">
        <f>IF(EQ58=0,0,(ER58-EQ58)/EQ58*100)</f>
        <v>0</v>
      </c>
      <c r="ET58" s="4591"/>
      <c r="EU58" s="4591"/>
      <c r="EV58" s="1102">
        <f>IF(ET58=0,0,(EU58-ET58)/ET58*100)</f>
        <v>0</v>
      </c>
      <c r="EW58" s="4591"/>
      <c r="EX58" s="4591"/>
      <c r="EY58" s="1102">
        <f>IF(EW58=0,0,(EX58-EW58)/EW58*100)</f>
        <v>0</v>
      </c>
      <c r="EZ58" s="4591"/>
      <c r="FA58" s="4591"/>
      <c r="FB58" s="1102">
        <f>IF(EZ58=0,0,(FA58-EZ58)/EZ58*100)</f>
        <v>0</v>
      </c>
      <c r="FC58" s="4591"/>
      <c r="FD58" s="4591"/>
      <c r="FE58" s="1102">
        <f>IF(FC58=0,0,(FD58-FC58)/FC58*100)</f>
        <v>0</v>
      </c>
      <c r="FF58" s="4591"/>
      <c r="FG58" s="4591"/>
      <c r="FH58" s="1102">
        <f>IF(FF58=0,0,(FG58-FF58)/FF58*100)</f>
        <v>0</v>
      </c>
      <c r="FI58" s="4591"/>
      <c r="FJ58" s="4591"/>
      <c r="FK58" s="1102">
        <f>IF(FI58=0,0,(FJ58-FI58)/FI58*100)</f>
        <v>0</v>
      </c>
      <c r="FL58" s="4591"/>
      <c r="FM58" s="4591"/>
      <c r="FN58" s="1102">
        <f>IF(FL58=0,0,(FM58-FL58)/FL58*100)</f>
        <v>0</v>
      </c>
      <c r="FO58" s="4591"/>
      <c r="FP58" s="4591"/>
      <c r="FQ58" s="1102">
        <f>IF(FO58=0,0,(FP58-FO58)/FO58*100)</f>
        <v>0</v>
      </c>
      <c r="FR58" s="4591"/>
      <c r="FS58" s="4591"/>
      <c r="FT58" s="1102">
        <f>IF(FR58=0,0,(FS58-FR58)/FR58*100)</f>
        <v>0</v>
      </c>
      <c r="FU58" s="4591"/>
      <c r="FV58" s="4591"/>
      <c r="FW58" s="1102">
        <f>IF(FU58=0,0,(FV58-FU58)/FU58*100)</f>
        <v>0</v>
      </c>
      <c r="FX58" s="1328"/>
      <c r="FY58" s="1328"/>
      <c r="FZ58" s="1063" t="s">
        <v>1914</v>
      </c>
      <c r="GA58" s="1330"/>
      <c r="GB58" s="1330"/>
      <c r="GC58" s="1329"/>
      <c r="GD58" s="1329"/>
    </row>
    <row customHeight="1" ht="23.887500000000003" hidden="1">
      <c r="A59" s="496"/>
      <c r="B59" s="932" cm="1" t="str">
        <f t="array" ref="B59:B59">B58</f>
        <v>false</v>
      </c>
      <c r="C59" s="496"/>
      <c r="D59" s="496"/>
      <c r="E59" s="847">
        <v>24.5</v>
      </c>
      <c r="F59" s="50" cm="1" t="str">
        <f t="array" ref="F59:F59">OFFSET(E59,-1,1)</f>
        <v>0</v>
      </c>
      <c r="G59" s="496"/>
      <c r="H59" s="496"/>
      <c r="I59" s="496"/>
      <c r="J59" s="496"/>
      <c r="K59" s="496"/>
      <c r="L59" s="496"/>
      <c r="M59" s="496"/>
      <c r="N59" s="496"/>
      <c r="O59" s="496"/>
      <c r="P59" s="496"/>
      <c r="Q59" s="496"/>
      <c r="R59" s="496"/>
      <c r="S59" s="496"/>
      <c r="T59" s="468" cm="1" t="str">
        <f t="array" ref="T59:T59">T58</f>
        <v>false</v>
      </c>
      <c r="U59" s="496"/>
      <c r="V59" s="496"/>
      <c r="W59" s="496"/>
      <c r="X59" s="1559"/>
      <c r="Y59" s="496"/>
      <c r="Z59" s="1528"/>
      <c r="AA59" s="496"/>
      <c r="AB59" s="289" t="s">
        <v>1915</v>
      </c>
      <c r="AC59" s="910"/>
      <c r="AD59" s="1111"/>
      <c r="AE59" s="1111"/>
      <c r="AF59" s="1111"/>
      <c r="AG59" s="1111"/>
      <c r="AH59" s="1111"/>
      <c r="AI59" s="1111"/>
      <c r="AJ59" s="1111"/>
      <c r="AK59" s="1111"/>
      <c r="AL59" s="1111"/>
      <c r="AM59" s="1111"/>
      <c r="AN59" s="1111"/>
      <c r="AO59" s="1111"/>
      <c r="AP59" s="1111"/>
      <c r="AQ59" s="1111"/>
      <c r="AR59" s="1111"/>
      <c r="AS59" s="1111"/>
      <c r="AT59" s="1111"/>
      <c r="AU59" s="1111"/>
      <c r="AV59" s="1111"/>
      <c r="AW59" s="1111"/>
      <c r="AX59" s="1111"/>
      <c r="AY59" s="1111"/>
      <c r="AZ59" s="1111"/>
      <c r="BA59" s="1111"/>
      <c r="BB59" s="1111"/>
      <c r="BC59" s="1111"/>
      <c r="BD59" s="1111"/>
      <c r="BE59" s="1111"/>
      <c r="BF59" s="1111"/>
      <c r="BG59" s="1111"/>
      <c r="BH59" s="1111"/>
      <c r="BI59" s="1111"/>
      <c r="BJ59" s="1111"/>
      <c r="BK59" s="1111"/>
      <c r="BL59" s="1111"/>
      <c r="BM59" s="1111"/>
      <c r="BN59" s="1111"/>
      <c r="BO59" s="1111"/>
      <c r="BP59" s="1111"/>
      <c r="BQ59" s="1111"/>
      <c r="BR59" s="1111"/>
      <c r="BS59" s="1111"/>
      <c r="BT59" s="1111"/>
      <c r="BU59" s="1111"/>
      <c r="BV59" s="1111"/>
      <c r="BW59" s="1111"/>
      <c r="BX59" s="1111"/>
      <c r="BY59" s="1111"/>
      <c r="BZ59" s="1111"/>
      <c r="CA59" s="1111"/>
      <c r="CB59" s="1111"/>
      <c r="CC59" s="1111"/>
      <c r="CD59" s="1111"/>
      <c r="CE59" s="1111"/>
      <c r="CF59" s="1111"/>
      <c r="CG59" s="1111"/>
      <c r="CH59" s="1111"/>
      <c r="CI59" s="1111"/>
      <c r="CJ59" s="1111"/>
      <c r="CK59" s="1111"/>
      <c r="CL59" s="1111"/>
      <c r="CM59" s="1111"/>
      <c r="CN59" s="1111"/>
      <c r="CO59" s="1111"/>
      <c r="CP59" s="1111"/>
      <c r="CQ59" s="1111"/>
      <c r="CR59" s="1111"/>
      <c r="CS59" s="1111"/>
      <c r="CT59" s="1111"/>
      <c r="CU59" s="1111"/>
      <c r="CV59" s="1111"/>
      <c r="CW59" s="1111"/>
      <c r="CX59" s="1111"/>
      <c r="CY59" s="1111"/>
      <c r="CZ59" s="1111"/>
      <c r="DA59" s="1111"/>
      <c r="DB59" s="1111"/>
      <c r="DC59" s="1111"/>
      <c r="DD59" s="1111"/>
      <c r="DE59" s="1111"/>
      <c r="DF59" s="1111"/>
      <c r="DG59" s="1111"/>
      <c r="DH59" s="1111"/>
      <c r="DI59" s="1111"/>
      <c r="DJ59" s="1111"/>
      <c r="DK59" s="1111"/>
      <c r="DL59" s="1111"/>
      <c r="DM59" s="1111"/>
      <c r="DN59" s="1111"/>
      <c r="DO59" s="1111"/>
      <c r="DP59" s="1111"/>
      <c r="DQ59" s="1111"/>
      <c r="DR59" s="1111"/>
      <c r="DS59" s="1111"/>
      <c r="DT59" s="1111"/>
      <c r="DU59" s="1111"/>
      <c r="DV59" s="1111"/>
      <c r="DW59" s="1111"/>
      <c r="DX59" s="1111"/>
      <c r="DY59" s="1111"/>
      <c r="DZ59" s="1111"/>
      <c r="EA59" s="1111"/>
      <c r="EB59" s="1111"/>
      <c r="EC59" s="1111"/>
      <c r="ED59" s="1111"/>
      <c r="EE59" s="1111"/>
      <c r="EF59" s="1111"/>
      <c r="EG59" s="1111"/>
      <c r="EH59" s="1111"/>
      <c r="EI59" s="1111"/>
      <c r="EJ59" s="1111"/>
      <c r="EK59" s="1111"/>
      <c r="EL59" s="1111"/>
      <c r="EM59" s="1111"/>
      <c r="EN59" s="1111"/>
      <c r="EO59" s="1111"/>
      <c r="EP59" s="1111"/>
      <c r="EQ59" s="1111"/>
      <c r="ER59" s="1111"/>
      <c r="ES59" s="1111"/>
      <c r="ET59" s="1111"/>
      <c r="EU59" s="1111"/>
      <c r="EV59" s="1111"/>
      <c r="EW59" s="1111"/>
      <c r="EX59" s="1111"/>
      <c r="EY59" s="1111"/>
      <c r="EZ59" s="1111"/>
      <c r="FA59" s="1111"/>
      <c r="FB59" s="1111"/>
      <c r="FC59" s="1111"/>
      <c r="FD59" s="1111"/>
      <c r="FE59" s="1111"/>
      <c r="FF59" s="1111"/>
      <c r="FG59" s="1111"/>
      <c r="FH59" s="1111"/>
      <c r="FI59" s="1111"/>
      <c r="FJ59" s="1111"/>
      <c r="FK59" s="1111"/>
      <c r="FL59" s="1111"/>
      <c r="FM59" s="1111"/>
      <c r="FN59" s="1111"/>
      <c r="FO59" s="1111"/>
      <c r="FP59" s="1111"/>
      <c r="FQ59" s="1111"/>
      <c r="FR59" s="1111"/>
      <c r="FS59" s="1111"/>
      <c r="FT59" s="1111"/>
      <c r="FU59" s="1111"/>
      <c r="FV59" s="1111"/>
      <c r="FW59" s="1112"/>
      <c r="FX59" s="1328"/>
      <c r="FY59" s="1328"/>
      <c r="FZ59" s="1063"/>
      <c r="GA59" s="1330"/>
      <c r="GB59" s="1330"/>
      <c r="GC59" s="1329"/>
      <c r="GD59" s="1329"/>
    </row>
    <row customHeight="1" ht="14.625" hidden="1">
      <c r="A60" s="496"/>
      <c r="B60" s="932" cm="1" t="str">
        <f t="array" ref="B60:B60">B59</f>
        <v>false</v>
      </c>
      <c r="C60" s="496"/>
      <c r="D60" s="496"/>
      <c r="E60" s="847">
        <v>15</v>
      </c>
      <c r="F60" s="50" cm="1" t="str">
        <f t="array" ref="F60:F60">OFFSET(E60,-1,1)</f>
        <v>0</v>
      </c>
      <c r="G60" s="496"/>
      <c r="H60" s="496" t="s">
        <v>1787</v>
      </c>
      <c r="I60" s="496" t="s">
        <v>1875</v>
      </c>
      <c r="J60" s="496"/>
      <c r="K60" s="496"/>
      <c r="L60" s="496"/>
      <c r="M60" s="496"/>
      <c r="N60" s="496"/>
      <c r="O60" s="496"/>
      <c r="P60" s="496"/>
      <c r="Q60" s="496"/>
      <c r="R60" s="496"/>
      <c r="S60" s="496"/>
      <c r="T60" s="468" cm="1" t="str">
        <f t="array" ref="T60:T60">T59</f>
        <v>false</v>
      </c>
      <c r="U60" s="496"/>
      <c r="V60" s="496"/>
      <c r="W60" s="496"/>
      <c r="X60" s="1559"/>
      <c r="Y60" s="496"/>
      <c r="Z60" s="1528"/>
      <c r="AA60" s="496"/>
      <c r="AB60" s="1100" t="s">
        <v>1895</v>
      </c>
      <c r="AC60" s="871" t="s">
        <v>1862</v>
      </c>
      <c r="AD60" s="4591">
        <f>IF(AD62=0,0,(AD61*AD62+AD63*AD64*IF(god=2026,9,6))/AD62)</f>
        <v>0</v>
      </c>
      <c r="AE60" s="4591">
        <f>IF(AE62=0,0,(AE61*AE62+AE63*AE64*IF(god=2026,9,6))/AE62)</f>
        <v>0</v>
      </c>
      <c r="AF60" s="1102">
        <f>IF(AD60=0,0,(AE60-AD60)/AD60*100)</f>
        <v>0</v>
      </c>
      <c r="AG60" s="4591">
        <f>IF(AG62=0,0,(AG61*AG62+AG63*AG64*IF(god=2025,9,6))/AG62)</f>
        <v>0</v>
      </c>
      <c r="AH60" s="4591">
        <f>IF(AH62=0,0,(AH61*AH62+AH63*AH64*IF(god=2025,9,6))/AH62)</f>
        <v>0</v>
      </c>
      <c r="AI60" s="1102">
        <f>IF(AG60=0,0,(AH60-AG60)/AG60*100)</f>
        <v>0</v>
      </c>
      <c r="AJ60" s="4591">
        <f>IF(AJ62=0,0,(AJ61*AJ62+AJ63*AJ64*6)/AJ62)</f>
        <v>0</v>
      </c>
      <c r="AK60" s="4591">
        <f>IF(AK62=0,0,(AK61*AK62+AK63*AK64*6)/AK62)</f>
        <v>0</v>
      </c>
      <c r="AL60" s="1102">
        <f>IF(AJ60=0,0,(AK60-AJ60)/AJ60*100)</f>
        <v>0</v>
      </c>
      <c r="AM60" s="4591">
        <f>IF(AM62=0,0,(AM61*AM62+AM63*AM64*6)/AM62)</f>
        <v>0</v>
      </c>
      <c r="AN60" s="4591">
        <f>IF(AN62=0,0,(AN61*AN62+AN63*AN64*6)/AN62)</f>
        <v>0</v>
      </c>
      <c r="AO60" s="1102">
        <f>IF(AM60=0,0,(AN60-AM60)/AM60*100)</f>
        <v>0</v>
      </c>
      <c r="AP60" s="4591">
        <f>IF(AP62=0,0,(AP61*AP62+AP63*AP64*6)/AP62)</f>
        <v>0</v>
      </c>
      <c r="AQ60" s="4591">
        <f>IF(AQ62=0,0,(AQ61*AQ62+AQ63*AQ64*6)/AQ62)</f>
        <v>0</v>
      </c>
      <c r="AR60" s="1102">
        <f>IF(AP60=0,0,(AQ60-AP60)/AP60*100)</f>
        <v>0</v>
      </c>
      <c r="AS60" s="4591">
        <f>IF(AS62=0,0,(AS61*AS62+AS63*AS64*6)/AS62)</f>
        <v>0</v>
      </c>
      <c r="AT60" s="4591">
        <f>IF(AT62=0,0,(AT61*AT62+AT63*AT64*6)/AT62)</f>
        <v>0</v>
      </c>
      <c r="AU60" s="1102">
        <f>IF(AS60=0,0,(AT60-AS60)/AS60*100)</f>
        <v>0</v>
      </c>
      <c r="AV60" s="4591">
        <f>IF(AV62=0,0,(AV61*AV62+AV63*AV64*6)/AV62)</f>
        <v>0</v>
      </c>
      <c r="AW60" s="4591">
        <f>IF(AW62=0,0,(AW61*AW62+AW63*AW64*6)/AW62)</f>
        <v>0</v>
      </c>
      <c r="AX60" s="1102">
        <f>IF(AV60=0,0,(AW60-AV60)/AV60*100)</f>
        <v>0</v>
      </c>
      <c r="AY60" s="4591">
        <f>IF(AY62=0,0,(AY61*AY62+AY63*AY64*6)/AY62)</f>
        <v>0</v>
      </c>
      <c r="AZ60" s="4591">
        <f>IF(AZ62=0,0,(AZ61*AZ62+AZ63*AZ64*6)/AZ62)</f>
        <v>0</v>
      </c>
      <c r="BA60" s="1102">
        <f>IF(AY60=0,0,(AZ60-AY60)/AY60*100)</f>
        <v>0</v>
      </c>
      <c r="BB60" s="4591">
        <f>IF(BB62=0,0,(BB61*BB62+BB63*BB64*6)/BB62)</f>
        <v>0</v>
      </c>
      <c r="BC60" s="4591">
        <f>IF(BC62=0,0,(BC61*BC62+BC63*BC64*6)/BC62)</f>
        <v>0</v>
      </c>
      <c r="BD60" s="1102">
        <f>IF(BB60=0,0,(BC60-BB60)/BB60*100)</f>
        <v>0</v>
      </c>
      <c r="BE60" s="4591">
        <f>IF(BE62=0,0,(BE61*BE62+BE63*BE64*6)/BE62)</f>
        <v>0</v>
      </c>
      <c r="BF60" s="4591">
        <f>IF(BF62=0,0,(BF61*BF62+BF63*BF64*6)/BF62)</f>
        <v>0</v>
      </c>
      <c r="BG60" s="1102">
        <f>IF(BE60=0,0,(BF60-BE60)/BE60*100)</f>
        <v>0</v>
      </c>
      <c r="BH60" s="4591">
        <f>IF(BH62=0,0,(BH61*BH62+BH63*BH64*6)/BH62)</f>
        <v>0</v>
      </c>
      <c r="BI60" s="4591">
        <f>IF(BI62=0,0,(BI61*BI62+BI63*BI64*6)/BI62)</f>
        <v>0</v>
      </c>
      <c r="BJ60" s="1102">
        <f>IF(BH60=0,0,(BI60-BH60)/BH60*100)</f>
        <v>0</v>
      </c>
      <c r="BK60" s="4591">
        <f>IF(BK62=0,0,(BK61*BK62+BK63*BK64*6)/BK62)</f>
        <v>0</v>
      </c>
      <c r="BL60" s="4591">
        <f>IF(BL62=0,0,(BL61*BL62+BL63*BL64*6)/BL62)</f>
        <v>0</v>
      </c>
      <c r="BM60" s="1102">
        <f>IF(BK60=0,0,(BL60-BK60)/BK60*100)</f>
        <v>0</v>
      </c>
      <c r="BN60" s="4591">
        <f>IF(BN62=0,0,(BN61*BN62+BN63*BN64*6)/BN62)</f>
        <v>0</v>
      </c>
      <c r="BO60" s="4591">
        <f>IF(BO62=0,0,(BO61*BO62+BO63*BO64*6)/BO62)</f>
        <v>0</v>
      </c>
      <c r="BP60" s="1102">
        <f>IF(BN60=0,0,(BO60-BN60)/BN60*100)</f>
        <v>0</v>
      </c>
      <c r="BQ60" s="4591">
        <f>IF(BQ62=0,0,(BQ61*BQ62+BQ63*BQ64*6)/BQ62)</f>
        <v>0</v>
      </c>
      <c r="BR60" s="4591">
        <f>IF(BR62=0,0,(BR61*BR62+BR63*BR64*6)/BR62)</f>
        <v>0</v>
      </c>
      <c r="BS60" s="1102">
        <f>IF(BQ60=0,0,(BR60-BQ60)/BQ60*100)</f>
        <v>0</v>
      </c>
      <c r="BT60" s="4591">
        <f>IF(BT62=0,0,(BT61*BT62+BT63*BT64*6)/BT62)</f>
        <v>0</v>
      </c>
      <c r="BU60" s="4591">
        <f>IF(BU62=0,0,(BU61*BU62+BU63*BU64*6)/BU62)</f>
        <v>0</v>
      </c>
      <c r="BV60" s="1102">
        <f>IF(BT60=0,0,(BU60-BT60)/BT60*100)</f>
        <v>0</v>
      </c>
      <c r="BW60" s="4591">
        <f>IF(BW62=0,0,(BW61*BW62+BW63*BW64*6)/BW62)</f>
        <v>0</v>
      </c>
      <c r="BX60" s="4591">
        <f>IF(BX62=0,0,(BX61*BX62+BX63*BX64*6)/BX62)</f>
        <v>0</v>
      </c>
      <c r="BY60" s="1102">
        <f>IF(BW60=0,0,(BX60-BW60)/BW60*100)</f>
        <v>0</v>
      </c>
      <c r="BZ60" s="4591">
        <f>IF(BZ62=0,0,(BZ61*BZ62+BZ63*BZ64*6)/BZ62)</f>
        <v>0</v>
      </c>
      <c r="CA60" s="4591">
        <f>IF(CA62=0,0,(CA61*CA62+CA63*CA64*6)/CA62)</f>
        <v>0</v>
      </c>
      <c r="CB60" s="1102">
        <f>IF(BZ60=0,0,(CA60-BZ60)/BZ60*100)</f>
        <v>0</v>
      </c>
      <c r="CC60" s="4591">
        <f>IF(CC62=0,0,(CC61*CC62+CC63*CC64*6)/CC62)</f>
        <v>0</v>
      </c>
      <c r="CD60" s="4591">
        <f>IF(CD62=0,0,(CD61*CD62+CD63*CD64*6)/CD62)</f>
        <v>0</v>
      </c>
      <c r="CE60" s="1102">
        <f>IF(CC60=0,0,(CD60-CC60)/CC60*100)</f>
        <v>0</v>
      </c>
      <c r="CF60" s="4591">
        <f>IF(CF62=0,0,(CF61*CF62+CF63*CF64*6)/CF62)</f>
        <v>0</v>
      </c>
      <c r="CG60" s="4591">
        <f>IF(CG62=0,0,(CG61*CG62+CG63*CG64*6)/CG62)</f>
        <v>0</v>
      </c>
      <c r="CH60" s="1102">
        <f>IF(CF60=0,0,(CG60-CF60)/CF60*100)</f>
        <v>0</v>
      </c>
      <c r="CI60" s="4591">
        <f>IF(CI62=0,0,(CI61*CI62+CI63*CI64*6)/CI62)</f>
        <v>0</v>
      </c>
      <c r="CJ60" s="4591">
        <f>IF(CJ62=0,0,(CJ61*CJ62+CJ63*CJ64*6)/CJ62)</f>
        <v>0</v>
      </c>
      <c r="CK60" s="1102">
        <f>IF(CI60=0,0,(CJ60-CI60)/CI60*100)</f>
        <v>0</v>
      </c>
      <c r="CL60" s="4591">
        <f>IF(CL62=0,0,(CL61*CL62+CL63*CL64*6)/CL62)</f>
        <v>0</v>
      </c>
      <c r="CM60" s="4591">
        <f>IF(CM62=0,0,(CM61*CM62+CM63*CM64*6)/CM62)</f>
        <v>0</v>
      </c>
      <c r="CN60" s="1102">
        <f>IF(CL60=0,0,(CM60-CL60)/CL60*100)</f>
        <v>0</v>
      </c>
      <c r="CO60" s="4591">
        <f>IF(CO62=0,0,(CO61*CO62+CO63*CO64*6)/CO62)</f>
        <v>0</v>
      </c>
      <c r="CP60" s="4591">
        <f>IF(CP62=0,0,(CP61*CP62+CP63*CP64*6)/CP62)</f>
        <v>0</v>
      </c>
      <c r="CQ60" s="1102">
        <f>IF(CO60=0,0,(CP60-CO60)/CO60*100)</f>
        <v>0</v>
      </c>
      <c r="CR60" s="4591">
        <f>IF(CR62=0,0,(CR61*CR62+CR63*CR64*6)/CR62)</f>
        <v>0</v>
      </c>
      <c r="CS60" s="4591">
        <f>IF(CS62=0,0,(CS61*CS62+CS63*CS64*6)/CS62)</f>
        <v>0</v>
      </c>
      <c r="CT60" s="1102">
        <f>IF(CR60=0,0,(CS60-CR60)/CR60*100)</f>
        <v>0</v>
      </c>
      <c r="CU60" s="4591">
        <f>IF(CU62=0,0,(CU61*CU62+CU63*CU64*6)/CU62)</f>
        <v>0</v>
      </c>
      <c r="CV60" s="4591">
        <f>IF(CV62=0,0,(CV61*CV62+CV63*CV64*6)/CV62)</f>
        <v>0</v>
      </c>
      <c r="CW60" s="1102">
        <f>IF(CU60=0,0,(CV60-CU60)/CU60*100)</f>
        <v>0</v>
      </c>
      <c r="CX60" s="4591">
        <f>IF(CX62=0,0,(CX61*CX62+CX63*CX64*6)/CX62)</f>
        <v>0</v>
      </c>
      <c r="CY60" s="4591">
        <f>IF(CY62=0,0,(CY61*CY62+CY63*CY64*6)/CY62)</f>
        <v>0</v>
      </c>
      <c r="CZ60" s="1102">
        <f>IF(CX60=0,0,(CY60-CX60)/CX60*100)</f>
        <v>0</v>
      </c>
      <c r="DA60" s="4591">
        <f>IF(DA62=0,0,(DA61*DA62+DA63*DA64*6)/DA62)</f>
        <v>0</v>
      </c>
      <c r="DB60" s="4591">
        <f>IF(DB62=0,0,(DB61*DB62+DB63*DB64*6)/DB62)</f>
        <v>0</v>
      </c>
      <c r="DC60" s="1102">
        <f>IF(DA60=0,0,(DB60-DA60)/DA60*100)</f>
        <v>0</v>
      </c>
      <c r="DD60" s="4591">
        <f>IF(DD62=0,0,(DD61*DD62+DD63*DD64*6)/DD62)</f>
        <v>0</v>
      </c>
      <c r="DE60" s="4591">
        <f>IF(DE62=0,0,(DE61*DE62+DE63*DE64*6)/DE62)</f>
        <v>0</v>
      </c>
      <c r="DF60" s="1102">
        <f>IF(DD60=0,0,(DE60-DD60)/DD60*100)</f>
        <v>0</v>
      </c>
      <c r="DG60" s="4591">
        <f>IF(DG62=0,0,(DG61*DG62+DG63*DG64*6)/DG62)</f>
        <v>0</v>
      </c>
      <c r="DH60" s="4591">
        <f>IF(DH62=0,0,(DH61*DH62+DH63*DH64*6)/DH62)</f>
        <v>0</v>
      </c>
      <c r="DI60" s="1102">
        <f>IF(DG60=0,0,(DH60-DG60)/DG60*100)</f>
        <v>0</v>
      </c>
      <c r="DJ60" s="4591">
        <f>IF(DJ62=0,0,(DJ61*DJ62+DJ63*DJ64*6)/DJ62)</f>
        <v>0</v>
      </c>
      <c r="DK60" s="4591">
        <f>IF(DK62=0,0,(DK61*DK62+DK63*DK64*6)/DK62)</f>
        <v>0</v>
      </c>
      <c r="DL60" s="1102">
        <f>IF(DJ60=0,0,(DK60-DJ60)/DJ60*100)</f>
        <v>0</v>
      </c>
      <c r="DM60" s="4591">
        <f>IF(DM62=0,0,(DM61*DM62+DM63*DM64*6)/DM62)</f>
        <v>0</v>
      </c>
      <c r="DN60" s="4591">
        <f>IF(DN62=0,0,(DN61*DN62+DN63*DN64*6)/DN62)</f>
        <v>0</v>
      </c>
      <c r="DO60" s="1102">
        <f>IF(DM60=0,0,(DN60-DM60)/DM60*100)</f>
        <v>0</v>
      </c>
      <c r="DP60" s="4591">
        <f>IF(DP62=0,0,(DP61*DP62+DP63*DP64*6)/DP62)</f>
        <v>0</v>
      </c>
      <c r="DQ60" s="4591">
        <f>IF(DQ62=0,0,(DQ61*DQ62+DQ63*DQ64*6)/DQ62)</f>
        <v>0</v>
      </c>
      <c r="DR60" s="1102">
        <f>IF(DP60=0,0,(DQ60-DP60)/DP60*100)</f>
        <v>0</v>
      </c>
      <c r="DS60" s="4591">
        <f>IF(DS62=0,0,(DS61*DS62+DS63*DS64*6)/DS62)</f>
        <v>0</v>
      </c>
      <c r="DT60" s="4591">
        <f>IF(DT62=0,0,(DT61*DT62+DT63*DT64*6)/DT62)</f>
        <v>0</v>
      </c>
      <c r="DU60" s="1102">
        <f>IF(DS60=0,0,(DT60-DS60)/DS60*100)</f>
        <v>0</v>
      </c>
      <c r="DV60" s="4591">
        <f>IF(DV62=0,0,(DV61*DV62+DV63*DV64*6)/DV62)</f>
        <v>0</v>
      </c>
      <c r="DW60" s="4591">
        <f>IF(DW62=0,0,(DW61*DW62+DW63*DW64*6)/DW62)</f>
        <v>0</v>
      </c>
      <c r="DX60" s="1102">
        <f>IF(DV60=0,0,(DW60-DV60)/DV60*100)</f>
        <v>0</v>
      </c>
      <c r="DY60" s="4591">
        <f>IF(DY62=0,0,(DY61*DY62+DY63*DY64*6)/DY62)</f>
        <v>0</v>
      </c>
      <c r="DZ60" s="4591">
        <f>IF(DZ62=0,0,(DZ61*DZ62+DZ63*DZ64*6)/DZ62)</f>
        <v>0</v>
      </c>
      <c r="EA60" s="1102">
        <f>IF(DY60=0,0,(DZ60-DY60)/DY60*100)</f>
        <v>0</v>
      </c>
      <c r="EB60" s="4591">
        <f>IF(EB62=0,0,(EB61*EB62+EB63*EB64*6)/EB62)</f>
        <v>0</v>
      </c>
      <c r="EC60" s="4591">
        <f>IF(EC62=0,0,(EC61*EC62+EC63*EC64*6)/EC62)</f>
        <v>0</v>
      </c>
      <c r="ED60" s="1102">
        <f>IF(EB60=0,0,(EC60-EB60)/EB60*100)</f>
        <v>0</v>
      </c>
      <c r="EE60" s="4591">
        <f>IF(EE62=0,0,(EE61*EE62+EE63*EE64*6)/EE62)</f>
        <v>0</v>
      </c>
      <c r="EF60" s="4591">
        <f>IF(EF62=0,0,(EF61*EF62+EF63*EF64*6)/EF62)</f>
        <v>0</v>
      </c>
      <c r="EG60" s="1102">
        <f>IF(EE60=0,0,(EF60-EE60)/EE60*100)</f>
        <v>0</v>
      </c>
      <c r="EH60" s="4591">
        <f>IF(EH62=0,0,(EH61*EH62+EH63*EH64*6)/EH62)</f>
        <v>0</v>
      </c>
      <c r="EI60" s="4591">
        <f>IF(EI62=0,0,(EI61*EI62+EI63*EI64*6)/EI62)</f>
        <v>0</v>
      </c>
      <c r="EJ60" s="1102">
        <f>IF(EH60=0,0,(EI60-EH60)/EH60*100)</f>
        <v>0</v>
      </c>
      <c r="EK60" s="4591">
        <f>IF(EK62=0,0,(EK61*EK62+EK63*EK64*6)/EK62)</f>
        <v>0</v>
      </c>
      <c r="EL60" s="4591">
        <f>IF(EL62=0,0,(EL61*EL62+EL63*EL64*6)/EL62)</f>
        <v>0</v>
      </c>
      <c r="EM60" s="1102">
        <f>IF(EK60=0,0,(EL60-EK60)/EK60*100)</f>
        <v>0</v>
      </c>
      <c r="EN60" s="4591">
        <f>IF(EN62=0,0,(EN61*EN62+EN63*EN64*6)/EN62)</f>
        <v>0</v>
      </c>
      <c r="EO60" s="4591">
        <f>IF(EO62=0,0,(EO61*EO62+EO63*EO64*6)/EO62)</f>
        <v>0</v>
      </c>
      <c r="EP60" s="1102">
        <f>IF(EN60=0,0,(EO60-EN60)/EN60*100)</f>
        <v>0</v>
      </c>
      <c r="EQ60" s="4591">
        <f>IF(EQ62=0,0,(EQ61*EQ62+EQ63*EQ64*6)/EQ62)</f>
        <v>0</v>
      </c>
      <c r="ER60" s="4591">
        <f>IF(ER62=0,0,(ER61*ER62+ER63*ER64*6)/ER62)</f>
        <v>0</v>
      </c>
      <c r="ES60" s="1102">
        <f>IF(EQ60=0,0,(ER60-EQ60)/EQ60*100)</f>
        <v>0</v>
      </c>
      <c r="ET60" s="4591">
        <f>IF(ET62=0,0,(ET61*ET62+ET63*ET64*6)/ET62)</f>
        <v>0</v>
      </c>
      <c r="EU60" s="4591">
        <f>IF(EU62=0,0,(EU61*EU62+EU63*EU64*6)/EU62)</f>
        <v>0</v>
      </c>
      <c r="EV60" s="1102">
        <f>IF(ET60=0,0,(EU60-ET60)/ET60*100)</f>
        <v>0</v>
      </c>
      <c r="EW60" s="4591">
        <f>IF(EW62=0,0,(EW61*EW62+EW63*EW64*6)/EW62)</f>
        <v>0</v>
      </c>
      <c r="EX60" s="4591">
        <f>IF(EX62=0,0,(EX61*EX62+EX63*EX64*6)/EX62)</f>
        <v>0</v>
      </c>
      <c r="EY60" s="1102">
        <f>IF(EW60=0,0,(EX60-EW60)/EW60*100)</f>
        <v>0</v>
      </c>
      <c r="EZ60" s="4591">
        <f>IF(EZ62=0,0,(EZ61*EZ62+EZ63*EZ64*6)/EZ62)</f>
        <v>0</v>
      </c>
      <c r="FA60" s="4591">
        <f>IF(FA62=0,0,(FA61*FA62+FA63*FA64*6)/FA62)</f>
        <v>0</v>
      </c>
      <c r="FB60" s="1102">
        <f>IF(EZ60=0,0,(FA60-EZ60)/EZ60*100)</f>
        <v>0</v>
      </c>
      <c r="FC60" s="4591">
        <f>IF(FC62=0,0,(FC61*FC62+FC63*FC64*6)/FC62)</f>
        <v>0</v>
      </c>
      <c r="FD60" s="4591">
        <f>IF(FD62=0,0,(FD61*FD62+FD63*FD64*6)/FD62)</f>
        <v>0</v>
      </c>
      <c r="FE60" s="1102">
        <f>IF(FC60=0,0,(FD60-FC60)/FC60*100)</f>
        <v>0</v>
      </c>
      <c r="FF60" s="4591">
        <f>IF(FF62=0,0,(FF61*FF62+FF63*FF64*6)/FF62)</f>
        <v>0</v>
      </c>
      <c r="FG60" s="4591">
        <f>IF(FG62=0,0,(FG61*FG62+FG63*FG64*6)/FG62)</f>
        <v>0</v>
      </c>
      <c r="FH60" s="1102">
        <f>IF(FF60=0,0,(FG60-FF60)/FF60*100)</f>
        <v>0</v>
      </c>
      <c r="FI60" s="4591">
        <f>IF(FI62=0,0,(FI61*FI62+FI63*FI64*6)/FI62)</f>
        <v>0</v>
      </c>
      <c r="FJ60" s="4591">
        <f>IF(FJ62=0,0,(FJ61*FJ62+FJ63*FJ64*6)/FJ62)</f>
        <v>0</v>
      </c>
      <c r="FK60" s="1102">
        <f>IF(FI60=0,0,(FJ60-FI60)/FI60*100)</f>
        <v>0</v>
      </c>
      <c r="FL60" s="4591">
        <f>IF(FL62=0,0,(FL61*FL62+FL63*FL64*6)/FL62)</f>
        <v>0</v>
      </c>
      <c r="FM60" s="4591">
        <f>IF(FM62=0,0,(FM61*FM62+FM63*FM64*6)/FM62)</f>
        <v>0</v>
      </c>
      <c r="FN60" s="1102">
        <f>IF(FL60=0,0,(FM60-FL60)/FL60*100)</f>
        <v>0</v>
      </c>
      <c r="FO60" s="4591">
        <f>IF(FO62=0,0,(FO61*FO62+FO63*FO64*6)/FO62)</f>
        <v>0</v>
      </c>
      <c r="FP60" s="4591">
        <f>IF(FP62=0,0,(FP61*FP62+FP63*FP64*6)/FP62)</f>
        <v>0</v>
      </c>
      <c r="FQ60" s="1102">
        <f>IF(FO60=0,0,(FP60-FO60)/FO60*100)</f>
        <v>0</v>
      </c>
      <c r="FR60" s="4591">
        <f>IF(FR62=0,0,(FR61*FR62+FR63*FR64*6)/FR62)</f>
        <v>0</v>
      </c>
      <c r="FS60" s="4591">
        <f>IF(FS62=0,0,(FS61*FS62+FS63*FS64*6)/FS62)</f>
        <v>0</v>
      </c>
      <c r="FT60" s="1102">
        <f>IF(FR60=0,0,(FS60-FR60)/FR60*100)</f>
        <v>0</v>
      </c>
      <c r="FU60" s="4591">
        <f>IF(FU62=0,0,(FU61*FU62+FU63*FU64*6)/FU62)</f>
        <v>0</v>
      </c>
      <c r="FV60" s="4591">
        <f>IF(FV62=0,0,(FV61*FV62+FV63*FV64*6)/FV62)</f>
        <v>0</v>
      </c>
      <c r="FW60" s="1102">
        <f>IF(FU60=0,0,(FV60-FU60)/FU60*100)</f>
        <v>0</v>
      </c>
      <c r="FX60" s="1328"/>
      <c r="FY60" s="1328"/>
      <c r="FZ60" s="1063" t="s">
        <v>1916</v>
      </c>
      <c r="GA60" s="1330"/>
      <c r="GB60" s="1330"/>
      <c r="GC60" s="1329"/>
      <c r="GD60" s="1329"/>
    </row>
    <row customHeight="1" ht="14.625" hidden="1">
      <c r="A61" s="496"/>
      <c r="B61" s="932" cm="1" t="str">
        <f t="array" ref="B61:B61">B60</f>
        <v>false</v>
      </c>
      <c r="C61" s="496"/>
      <c r="D61" s="496"/>
      <c r="E61" s="847">
        <v>15</v>
      </c>
      <c r="F61" s="50" cm="1" t="str">
        <f t="array" ref="F61:F61">OFFSET(E61,-1,1)</f>
        <v>0</v>
      </c>
      <c r="G61" s="496"/>
      <c r="H61" s="496" t="s">
        <v>1791</v>
      </c>
      <c r="I61" s="496" t="s">
        <v>1875</v>
      </c>
      <c r="J61" s="496"/>
      <c r="K61" s="496"/>
      <c r="L61" s="496"/>
      <c r="M61" s="496"/>
      <c r="N61" s="496"/>
      <c r="O61" s="496"/>
      <c r="P61" s="496"/>
      <c r="Q61" s="496"/>
      <c r="R61" s="496"/>
      <c r="S61" s="496"/>
      <c r="T61" s="468" cm="1" t="str">
        <f t="array" ref="T61:T61">T60</f>
        <v>false</v>
      </c>
      <c r="U61" s="496"/>
      <c r="V61" s="496"/>
      <c r="W61" s="496"/>
      <c r="X61" s="1559"/>
      <c r="Y61" s="496"/>
      <c r="Z61" s="1528"/>
      <c r="AA61" s="496"/>
      <c r="AB61" s="1100" t="str">
        <f>"ставка платы за "&amp;IF(Q29="Водоснабжение","потребление 1 куб.м холодной воды","объем принятых сточных вод")</f>
        <v>ставка платы за объем принятых сточных вод</v>
      </c>
      <c r="AC61" s="871" t="s">
        <v>1862</v>
      </c>
      <c r="AD61" s="4591"/>
      <c r="AE61" s="4591"/>
      <c r="AF61" s="1102">
        <f>IF(AD61=0,0,(AE61-AD61)/AD61*100)</f>
        <v>0</v>
      </c>
      <c r="AG61" s="4591"/>
      <c r="AH61" s="4591"/>
      <c r="AI61" s="1102">
        <f>IF(AG61=0,0,(AH61-AG61)/AG61*100)</f>
        <v>0</v>
      </c>
      <c r="AJ61" s="4591"/>
      <c r="AK61" s="4591"/>
      <c r="AL61" s="1102">
        <f>IF(AJ61=0,0,(AK61-AJ61)/AJ61*100)</f>
        <v>0</v>
      </c>
      <c r="AM61" s="4591"/>
      <c r="AN61" s="4591"/>
      <c r="AO61" s="1102">
        <f>IF(AM61=0,0,(AN61-AM61)/AM61*100)</f>
        <v>0</v>
      </c>
      <c r="AP61" s="4591"/>
      <c r="AQ61" s="4591"/>
      <c r="AR61" s="1102">
        <f>IF(AP61=0,0,(AQ61-AP61)/AP61*100)</f>
        <v>0</v>
      </c>
      <c r="AS61" s="4591"/>
      <c r="AT61" s="4591"/>
      <c r="AU61" s="1102">
        <f>IF(AS61=0,0,(AT61-AS61)/AS61*100)</f>
        <v>0</v>
      </c>
      <c r="AV61" s="4591"/>
      <c r="AW61" s="4591"/>
      <c r="AX61" s="1102">
        <f>IF(AV61=0,0,(AW61-AV61)/AV61*100)</f>
        <v>0</v>
      </c>
      <c r="AY61" s="4591"/>
      <c r="AZ61" s="4591"/>
      <c r="BA61" s="1102">
        <f>IF(AY61=0,0,(AZ61-AY61)/AY61*100)</f>
        <v>0</v>
      </c>
      <c r="BB61" s="4591"/>
      <c r="BC61" s="4591"/>
      <c r="BD61" s="1102">
        <f>IF(BB61=0,0,(BC61-BB61)/BB61*100)</f>
        <v>0</v>
      </c>
      <c r="BE61" s="4591"/>
      <c r="BF61" s="4591"/>
      <c r="BG61" s="1102">
        <f>IF(BE61=0,0,(BF61-BE61)/BE61*100)</f>
        <v>0</v>
      </c>
      <c r="BH61" s="4591"/>
      <c r="BI61" s="4591"/>
      <c r="BJ61" s="1102">
        <f>IF(BH61=0,0,(BI61-BH61)/BH61*100)</f>
        <v>0</v>
      </c>
      <c r="BK61" s="4591"/>
      <c r="BL61" s="4591"/>
      <c r="BM61" s="1102">
        <f>IF(BK61=0,0,(BL61-BK61)/BK61*100)</f>
        <v>0</v>
      </c>
      <c r="BN61" s="4591"/>
      <c r="BO61" s="4591"/>
      <c r="BP61" s="1102">
        <f>IF(BN61=0,0,(BO61-BN61)/BN61*100)</f>
        <v>0</v>
      </c>
      <c r="BQ61" s="4591"/>
      <c r="BR61" s="4591"/>
      <c r="BS61" s="1102">
        <f>IF(BQ61=0,0,(BR61-BQ61)/BQ61*100)</f>
        <v>0</v>
      </c>
      <c r="BT61" s="4591"/>
      <c r="BU61" s="4591"/>
      <c r="BV61" s="1102">
        <f>IF(BT61=0,0,(BU61-BT61)/BT61*100)</f>
        <v>0</v>
      </c>
      <c r="BW61" s="4591"/>
      <c r="BX61" s="4591"/>
      <c r="BY61" s="1102">
        <f>IF(BW61=0,0,(BX61-BW61)/BW61*100)</f>
        <v>0</v>
      </c>
      <c r="BZ61" s="4591"/>
      <c r="CA61" s="4591"/>
      <c r="CB61" s="1102">
        <f>IF(BZ61=0,0,(CA61-BZ61)/BZ61*100)</f>
        <v>0</v>
      </c>
      <c r="CC61" s="4591"/>
      <c r="CD61" s="4591"/>
      <c r="CE61" s="1102">
        <f>IF(CC61=0,0,(CD61-CC61)/CC61*100)</f>
        <v>0</v>
      </c>
      <c r="CF61" s="4591"/>
      <c r="CG61" s="4591"/>
      <c r="CH61" s="1102">
        <f>IF(CF61=0,0,(CG61-CF61)/CF61*100)</f>
        <v>0</v>
      </c>
      <c r="CI61" s="4591"/>
      <c r="CJ61" s="4591"/>
      <c r="CK61" s="1102">
        <f>IF(CI61=0,0,(CJ61-CI61)/CI61*100)</f>
        <v>0</v>
      </c>
      <c r="CL61" s="4591"/>
      <c r="CM61" s="4591"/>
      <c r="CN61" s="1102">
        <f>IF(CL61=0,0,(CM61-CL61)/CL61*100)</f>
        <v>0</v>
      </c>
      <c r="CO61" s="4591"/>
      <c r="CP61" s="4591"/>
      <c r="CQ61" s="1102">
        <f>IF(CO61=0,0,(CP61-CO61)/CO61*100)</f>
        <v>0</v>
      </c>
      <c r="CR61" s="4591"/>
      <c r="CS61" s="4591"/>
      <c r="CT61" s="1102">
        <f>IF(CR61=0,0,(CS61-CR61)/CR61*100)</f>
        <v>0</v>
      </c>
      <c r="CU61" s="4591"/>
      <c r="CV61" s="4591"/>
      <c r="CW61" s="1102">
        <f>IF(CU61=0,0,(CV61-CU61)/CU61*100)</f>
        <v>0</v>
      </c>
      <c r="CX61" s="4591"/>
      <c r="CY61" s="4591"/>
      <c r="CZ61" s="1102">
        <f>IF(CX61=0,0,(CY61-CX61)/CX61*100)</f>
        <v>0</v>
      </c>
      <c r="DA61" s="4591"/>
      <c r="DB61" s="4591"/>
      <c r="DC61" s="1102">
        <f>IF(DA61=0,0,(DB61-DA61)/DA61*100)</f>
        <v>0</v>
      </c>
      <c r="DD61" s="4591"/>
      <c r="DE61" s="4591"/>
      <c r="DF61" s="1102">
        <f>IF(DD61=0,0,(DE61-DD61)/DD61*100)</f>
        <v>0</v>
      </c>
      <c r="DG61" s="4591"/>
      <c r="DH61" s="4591"/>
      <c r="DI61" s="1102">
        <f>IF(DG61=0,0,(DH61-DG61)/DG61*100)</f>
        <v>0</v>
      </c>
      <c r="DJ61" s="4591"/>
      <c r="DK61" s="4591"/>
      <c r="DL61" s="1102">
        <f>IF(DJ61=0,0,(DK61-DJ61)/DJ61*100)</f>
        <v>0</v>
      </c>
      <c r="DM61" s="4591"/>
      <c r="DN61" s="4591"/>
      <c r="DO61" s="1102">
        <f>IF(DM61=0,0,(DN61-DM61)/DM61*100)</f>
        <v>0</v>
      </c>
      <c r="DP61" s="4591"/>
      <c r="DQ61" s="4591"/>
      <c r="DR61" s="1102">
        <f>IF(DP61=0,0,(DQ61-DP61)/DP61*100)</f>
        <v>0</v>
      </c>
      <c r="DS61" s="4591"/>
      <c r="DT61" s="4591"/>
      <c r="DU61" s="1102">
        <f>IF(DS61=0,0,(DT61-DS61)/DS61*100)</f>
        <v>0</v>
      </c>
      <c r="DV61" s="4591"/>
      <c r="DW61" s="4591"/>
      <c r="DX61" s="1102">
        <f>IF(DV61=0,0,(DW61-DV61)/DV61*100)</f>
        <v>0</v>
      </c>
      <c r="DY61" s="4591"/>
      <c r="DZ61" s="4591"/>
      <c r="EA61" s="1102">
        <f>IF(DY61=0,0,(DZ61-DY61)/DY61*100)</f>
        <v>0</v>
      </c>
      <c r="EB61" s="4591"/>
      <c r="EC61" s="4591"/>
      <c r="ED61" s="1102">
        <f>IF(EB61=0,0,(EC61-EB61)/EB61*100)</f>
        <v>0</v>
      </c>
      <c r="EE61" s="4591"/>
      <c r="EF61" s="4591"/>
      <c r="EG61" s="1102">
        <f>IF(EE61=0,0,(EF61-EE61)/EE61*100)</f>
        <v>0</v>
      </c>
      <c r="EH61" s="4591"/>
      <c r="EI61" s="4591"/>
      <c r="EJ61" s="1102">
        <f>IF(EH61=0,0,(EI61-EH61)/EH61*100)</f>
        <v>0</v>
      </c>
      <c r="EK61" s="4591"/>
      <c r="EL61" s="4591"/>
      <c r="EM61" s="1102">
        <f>IF(EK61=0,0,(EL61-EK61)/EK61*100)</f>
        <v>0</v>
      </c>
      <c r="EN61" s="4591"/>
      <c r="EO61" s="4591"/>
      <c r="EP61" s="1102">
        <f>IF(EN61=0,0,(EO61-EN61)/EN61*100)</f>
        <v>0</v>
      </c>
      <c r="EQ61" s="4591"/>
      <c r="ER61" s="4591"/>
      <c r="ES61" s="1102">
        <f>IF(EQ61=0,0,(ER61-EQ61)/EQ61*100)</f>
        <v>0</v>
      </c>
      <c r="ET61" s="4591"/>
      <c r="EU61" s="4591"/>
      <c r="EV61" s="1102">
        <f>IF(ET61=0,0,(EU61-ET61)/ET61*100)</f>
        <v>0</v>
      </c>
      <c r="EW61" s="4591"/>
      <c r="EX61" s="4591"/>
      <c r="EY61" s="1102">
        <f>IF(EW61=0,0,(EX61-EW61)/EW61*100)</f>
        <v>0</v>
      </c>
      <c r="EZ61" s="4591"/>
      <c r="FA61" s="4591"/>
      <c r="FB61" s="1102">
        <f>IF(EZ61=0,0,(FA61-EZ61)/EZ61*100)</f>
        <v>0</v>
      </c>
      <c r="FC61" s="4591"/>
      <c r="FD61" s="4591"/>
      <c r="FE61" s="1102">
        <f>IF(FC61=0,0,(FD61-FC61)/FC61*100)</f>
        <v>0</v>
      </c>
      <c r="FF61" s="4591"/>
      <c r="FG61" s="4591"/>
      <c r="FH61" s="1102">
        <f>IF(FF61=0,0,(FG61-FF61)/FF61*100)</f>
        <v>0</v>
      </c>
      <c r="FI61" s="4591"/>
      <c r="FJ61" s="4591"/>
      <c r="FK61" s="1102">
        <f>IF(FI61=0,0,(FJ61-FI61)/FI61*100)</f>
        <v>0</v>
      </c>
      <c r="FL61" s="4591"/>
      <c r="FM61" s="4591"/>
      <c r="FN61" s="1102">
        <f>IF(FL61=0,0,(FM61-FL61)/FL61*100)</f>
        <v>0</v>
      </c>
      <c r="FO61" s="4591"/>
      <c r="FP61" s="4591"/>
      <c r="FQ61" s="1102">
        <f>IF(FO61=0,0,(FP61-FO61)/FO61*100)</f>
        <v>0</v>
      </c>
      <c r="FR61" s="4591"/>
      <c r="FS61" s="4591"/>
      <c r="FT61" s="1102">
        <f>IF(FR61=0,0,(FS61-FR61)/FR61*100)</f>
        <v>0</v>
      </c>
      <c r="FU61" s="4591"/>
      <c r="FV61" s="4591"/>
      <c r="FW61" s="1102">
        <f>IF(FU61=0,0,(FV61-FU61)/FU61*100)</f>
        <v>0</v>
      </c>
      <c r="FX61" s="1328"/>
      <c r="FY61" s="1328"/>
      <c r="FZ61" s="1063" t="s">
        <v>1917</v>
      </c>
      <c r="GA61" s="1330"/>
      <c r="GB61" s="1330"/>
      <c r="GC61" s="1329"/>
      <c r="GD61" s="1329"/>
    </row>
    <row customHeight="1" ht="14.625" hidden="1">
      <c r="A62" s="496"/>
      <c r="B62" s="932" cm="1" t="str">
        <f t="array" ref="B62:B62">B61</f>
        <v>false</v>
      </c>
      <c r="C62" s="496"/>
      <c r="D62" s="496"/>
      <c r="E62" s="847">
        <v>15</v>
      </c>
      <c r="F62" s="50" cm="1" t="str">
        <f t="array" ref="F62:F62">OFFSET(E62,-1,1)</f>
        <v>0</v>
      </c>
      <c r="G62" s="103" t="s">
        <v>1918</v>
      </c>
      <c r="H62" s="496" t="s">
        <v>1899</v>
      </c>
      <c r="I62" s="496" t="s">
        <v>1875</v>
      </c>
      <c r="J62" s="496"/>
      <c r="K62" s="496"/>
      <c r="L62" s="496"/>
      <c r="M62" s="496"/>
      <c r="N62" s="496"/>
      <c r="O62" s="496"/>
      <c r="P62" s="496"/>
      <c r="Q62" s="496"/>
      <c r="R62" s="496"/>
      <c r="S62" s="496"/>
      <c r="T62" s="468" cm="1" t="str">
        <f t="array" ref="T62:T62">T61</f>
        <v>false</v>
      </c>
      <c r="U62" s="496"/>
      <c r="V62" s="496"/>
      <c r="W62" s="496"/>
      <c r="X62" s="1559"/>
      <c r="Y62" s="496"/>
      <c r="Z62" s="1528"/>
      <c r="AA62" s="496"/>
      <c r="AB62" s="1100" t="str">
        <f>"объём "&amp;IF(Q29="Водоснабжение","потребления холодной воды","водоотведения")</f>
        <v>объём водоотведения</v>
      </c>
      <c r="AC62" s="871" t="s">
        <v>657</v>
      </c>
      <c r="AD62" s="4585">
        <f>IF(AND(method_reg="Метод индексации",god&lt;&gt;first_year),_xlfn.SUMIFS(INDEX('Калькуляция (МИ корр)'!$AJ$25:$BC$606,,MATCH(AD$8,'Калькуляция (МИ корр)'!$AJ$8:$BC$8,0)),'Калькуляция (МИ корр)'!$F$25:$F$606,$F62,'Калькуляция (МИ корр)'!$G$25:$G$606,$G62),IF(method_reg="Метод экономически обоснованных расходов",_xlfn.SUMIFS('Калькуляция (МЭОР)'!$AJ$25:$AJ$367,'Калькуляция (МЭОР)'!$F$25:$F$367,$F62,'Калькуляция (МЭОР)'!$G$25:$G$367,$G62),IF(method_reg="Метод сравнения аналогов",_xlfn.SUMIFS('Калькуляция (МСА)'!$AE$25:$AE$103,'Калькуляция (МСА)'!$F$25:$F$103,$F62,'Калькуляция (МСА)'!$G$25:$G$103,$G62),_xlfn.SUMIFS(INDEX('Калькуляция (МИ)'!$AJ$25:$BC$603,,MATCH(AD$8,'Калькуляция (МИ)'!$AJ$8:$BC$8,0)),'Калькуляция (МИ)'!$F$25:$F$603,$F62,'Калькуляция (МИ)'!$G$25:$G$603,$G62))))</f>
        <v>0</v>
      </c>
      <c r="AE62" s="4585">
        <f>IF(AND(method_reg="Метод индексации",god&lt;&gt;first_year),_xlfn.SUMIFS(INDEX('Калькуляция (МИ корр)'!$AJ$25:$BC$606,,MATCH(AE$8,'Калькуляция (МИ корр)'!$AJ$8:$BC$8,0)),'Калькуляция (МИ корр)'!$F$25:$F$606,$F62,'Калькуляция (МИ корр)'!$G$25:$G$606,$G62),IF(method_reg="Метод экономически обоснованных расходов",_xlfn.SUMIFS('Калькуляция (МЭОР)'!$AK$25:$AK$367,'Калькуляция (МЭОР)'!$F$25:$F$367,$F62,'Калькуляция (МЭОР)'!$G$25:$G$367,$G62),IF(method_reg="Метод сравнения аналогов",_xlfn.SUMIFS('Калькуляция (МСА)'!$AF$25:$AF$103,'Калькуляция (МСА)'!$F$25:$F$103,$F62,'Калькуляция (МСА)'!$G$25:$G$103,$G62),_xlfn.SUMIFS(INDEX('Калькуляция (МИ)'!$AJ$25:$BC$603,,MATCH(AE$8,'Калькуляция (МИ)'!$AJ$8:$BC$8,0)),'Калькуляция (МИ)'!$F$25:$F$603,$F62,'Калькуляция (МИ)'!$G$25:$G$603,$G62))))</f>
        <v>0</v>
      </c>
      <c r="AF62" s="1104">
        <f>IF(AD62=0,0,(AE62-AD62)/AD62*100)</f>
        <v>0</v>
      </c>
      <c r="AG62" s="4585">
        <f>IF(AND(method_reg="Метод индексации",god&lt;&gt;first_year),_xlfn.SUMIFS(INDEX('Калькуляция (МИ корр)'!$AJ$25:$BC$606,,MATCH(AG$8,'Калькуляция (МИ корр)'!$AJ$8:$BC$8,0)),'Калькуляция (МИ корр)'!$F$25:$F$606,$F62,'Калькуляция (МИ корр)'!$G$25:$G$606,$G62),IF(method_reg="Метод экономически обоснованных расходов",_xlfn.SUMIFS('Калькуляция (МЭОР)'!$AJ$25:$AJ$367,'Калькуляция (МЭОР)'!$F$25:$F$367,$F62,'Калькуляция (МЭОР)'!$G$25:$G$367,$G62),IF(method_reg="Метод сравнения аналогов",_xlfn.SUMIFS('Калькуляция (МСА)'!$AE$25:$AE$103,'Калькуляция (МСА)'!$F$25:$F$103,$F62,'Калькуляция (МСА)'!$G$25:$G$103,$G62),_xlfn.SUMIFS(INDEX('Калькуляция (МИ)'!$AJ$25:$BC$603,,MATCH(AG$8,'Калькуляция (МИ)'!$AJ$8:$BC$8,0)),'Калькуляция (МИ)'!$F$25:$F$603,$F62,'Калькуляция (МИ)'!$G$25:$G$603,$G62))))</f>
        <v>0</v>
      </c>
      <c r="AH62" s="4585">
        <f>IF(AND(method_reg="Метод индексации",god&lt;&gt;first_year),_xlfn.SUMIFS(INDEX('Калькуляция (МИ корр)'!$AJ$25:$BC$606,,MATCH(AH$8,'Калькуляция (МИ корр)'!$AJ$8:$BC$8,0)),'Калькуляция (МИ корр)'!$F$25:$F$606,$F62,'Калькуляция (МИ корр)'!$G$25:$G$606,$G62),IF(method_reg="Метод экономически обоснованных расходов",_xlfn.SUMIFS('Калькуляция (МЭОР)'!$AK$25:$AK$367,'Калькуляция (МЭОР)'!$F$25:$F$367,$F62,'Калькуляция (МЭОР)'!$G$25:$G$367,$G62),IF(method_reg="Метод сравнения аналогов",_xlfn.SUMIFS('Калькуляция (МСА)'!$AF$25:$AF$103,'Калькуляция (МСА)'!$F$25:$F$103,$F62,'Калькуляция (МСА)'!$G$25:$G$103,$G62),_xlfn.SUMIFS(INDEX('Калькуляция (МИ)'!$AJ$25:$BC$603,,MATCH(AH$8,'Калькуляция (МИ)'!$AJ$8:$BC$8,0)),'Калькуляция (МИ)'!$F$25:$F$603,$F62,'Калькуляция (МИ)'!$G$25:$G$603,$G62))))</f>
        <v>0</v>
      </c>
      <c r="AI62" s="1104">
        <f>IF(AG62=0,0,(AH62-AG62)/AG62*100)</f>
        <v>0</v>
      </c>
      <c r="AJ62" s="4585">
        <f>IF(AND(method_reg="Метод индексации",god&lt;&gt;first_year),_xlfn.SUMIFS(INDEX('Калькуляция (МИ корр)'!$AJ$25:$BC$606,,MATCH(AJ$8,'Калькуляция (МИ корр)'!$AJ$8:$BC$8,0)),'Калькуляция (МИ корр)'!$F$25:$F$606,$F62,'Калькуляция (МИ корр)'!$G$25:$G$606,$G62),IF(method_reg="Метод экономически обоснованных расходов",_xlfn.SUMIFS('Калькуляция (МЭОР)'!$AJ$25:$AJ$367,'Калькуляция (МЭОР)'!$F$25:$F$367,$F62,'Калькуляция (МЭОР)'!$G$25:$G$367,$G62),IF(method_reg="Метод сравнения аналогов",_xlfn.SUMIFS('Калькуляция (МСА)'!$AE$25:$AE$103,'Калькуляция (МСА)'!$F$25:$F$103,$F62,'Калькуляция (МСА)'!$G$25:$G$103,$G62),_xlfn.SUMIFS(INDEX('Калькуляция (МИ)'!$AJ$25:$BC$603,,MATCH(AJ$8,'Калькуляция (МИ)'!$AJ$8:$BC$8,0)),'Калькуляция (МИ)'!$F$25:$F$603,$F62,'Калькуляция (МИ)'!$G$25:$G$603,$G62))))</f>
        <v>0</v>
      </c>
      <c r="AK62" s="4585">
        <f>IF(AND(method_reg="Метод индексации",god&lt;&gt;first_year),_xlfn.SUMIFS(INDEX('Калькуляция (МИ корр)'!$AJ$25:$BC$606,,MATCH(AK$8,'Калькуляция (МИ корр)'!$AJ$8:$BC$8,0)),'Калькуляция (МИ корр)'!$F$25:$F$606,$F62,'Калькуляция (МИ корр)'!$G$25:$G$606,$G62),IF(method_reg="Метод экономически обоснованных расходов",_xlfn.SUMIFS('Калькуляция (МЭОР)'!$AK$25:$AK$367,'Калькуляция (МЭОР)'!$F$25:$F$367,$F62,'Калькуляция (МЭОР)'!$G$25:$G$367,$G62),IF(method_reg="Метод сравнения аналогов",_xlfn.SUMIFS('Калькуляция (МСА)'!$AF$25:$AF$103,'Калькуляция (МСА)'!$F$25:$F$103,$F62,'Калькуляция (МСА)'!$G$25:$G$103,$G62),_xlfn.SUMIFS(INDEX('Калькуляция (МИ)'!$AJ$25:$BC$603,,MATCH(AK$8,'Калькуляция (МИ)'!$AJ$8:$BC$8,0)),'Калькуляция (МИ)'!$F$25:$F$603,$F62,'Калькуляция (МИ)'!$G$25:$G$603,$G62))))</f>
        <v>0</v>
      </c>
      <c r="AL62" s="1104">
        <f>IF(AJ62=0,0,(AK62-AJ62)/AJ62*100)</f>
        <v>0</v>
      </c>
      <c r="AM62" s="4585">
        <f>IF(AND(method_reg="Метод индексации",god&lt;&gt;first_year),_xlfn.SUMIFS(INDEX('Калькуляция (МИ корр)'!$AJ$25:$BC$606,,MATCH(AM$8,'Калькуляция (МИ корр)'!$AJ$8:$BC$8,0)),'Калькуляция (МИ корр)'!$F$25:$F$606,$F62,'Калькуляция (МИ корр)'!$G$25:$G$606,$G62),IF(method_reg="Метод экономически обоснованных расходов",_xlfn.SUMIFS('Калькуляция (МЭОР)'!$AJ$25:$AJ$367,'Калькуляция (МЭОР)'!$F$25:$F$367,$F62,'Калькуляция (МЭОР)'!$G$25:$G$367,$G62),IF(method_reg="Метод сравнения аналогов",_xlfn.SUMIFS('Калькуляция (МСА)'!$AE$25:$AE$103,'Калькуляция (МСА)'!$F$25:$F$103,$F62,'Калькуляция (МСА)'!$G$25:$G$103,$G62),_xlfn.SUMIFS(INDEX('Калькуляция (МИ)'!$AJ$25:$BC$603,,MATCH(AM$8,'Калькуляция (МИ)'!$AJ$8:$BC$8,0)),'Калькуляция (МИ)'!$F$25:$F$603,$F62,'Калькуляция (МИ)'!$G$25:$G$603,$G62))))</f>
        <v>0</v>
      </c>
      <c r="AN62" s="4585">
        <f>IF(AND(method_reg="Метод индексации",god&lt;&gt;first_year),_xlfn.SUMIFS(INDEX('Калькуляция (МИ корр)'!$AJ$25:$BC$606,,MATCH(AN$8,'Калькуляция (МИ корр)'!$AJ$8:$BC$8,0)),'Калькуляция (МИ корр)'!$F$25:$F$606,$F62,'Калькуляция (МИ корр)'!$G$25:$G$606,$G62),IF(method_reg="Метод экономически обоснованных расходов",_xlfn.SUMIFS('Калькуляция (МЭОР)'!$AK$25:$AK$367,'Калькуляция (МЭОР)'!$F$25:$F$367,$F62,'Калькуляция (МЭОР)'!$G$25:$G$367,$G62),IF(method_reg="Метод сравнения аналогов",_xlfn.SUMIFS('Калькуляция (МСА)'!$AF$25:$AF$103,'Калькуляция (МСА)'!$F$25:$F$103,$F62,'Калькуляция (МСА)'!$G$25:$G$103,$G62),_xlfn.SUMIFS(INDEX('Калькуляция (МИ)'!$AJ$25:$BC$603,,MATCH(AN$8,'Калькуляция (МИ)'!$AJ$8:$BC$8,0)),'Калькуляция (МИ)'!$F$25:$F$603,$F62,'Калькуляция (МИ)'!$G$25:$G$603,$G62))))</f>
        <v>0</v>
      </c>
      <c r="AO62" s="1104">
        <f>IF(AM62=0,0,(AN62-AM62)/AM62*100)</f>
        <v>0</v>
      </c>
      <c r="AP62" s="4585">
        <f>IF(AND(method_reg="Метод индексации",god&lt;&gt;first_year),_xlfn.SUMIFS(INDEX('Калькуляция (МИ корр)'!$AJ$25:$BC$606,,MATCH(AP$8,'Калькуляция (МИ корр)'!$AJ$8:$BC$8,0)),'Калькуляция (МИ корр)'!$F$25:$F$606,$F62,'Калькуляция (МИ корр)'!$G$25:$G$606,$G62),IF(method_reg="Метод экономически обоснованных расходов",_xlfn.SUMIFS('Калькуляция (МЭОР)'!$AJ$25:$AJ$367,'Калькуляция (МЭОР)'!$F$25:$F$367,$F62,'Калькуляция (МЭОР)'!$G$25:$G$367,$G62),IF(method_reg="Метод сравнения аналогов",_xlfn.SUMIFS('Калькуляция (МСА)'!$AE$25:$AE$103,'Калькуляция (МСА)'!$F$25:$F$103,$F62,'Калькуляция (МСА)'!$G$25:$G$103,$G62),_xlfn.SUMIFS(INDEX('Калькуляция (МИ)'!$AJ$25:$BC$603,,MATCH(AP$8,'Калькуляция (МИ)'!$AJ$8:$BC$8,0)),'Калькуляция (МИ)'!$F$25:$F$603,$F62,'Калькуляция (МИ)'!$G$25:$G$603,$G62))))</f>
        <v>0</v>
      </c>
      <c r="AQ62" s="4585">
        <f>IF(AND(method_reg="Метод индексации",god&lt;&gt;first_year),_xlfn.SUMIFS(INDEX('Калькуляция (МИ корр)'!$AJ$25:$BC$606,,MATCH(AQ$8,'Калькуляция (МИ корр)'!$AJ$8:$BC$8,0)),'Калькуляция (МИ корр)'!$F$25:$F$606,$F62,'Калькуляция (МИ корр)'!$G$25:$G$606,$G62),IF(method_reg="Метод экономически обоснованных расходов",_xlfn.SUMIFS('Калькуляция (МЭОР)'!$AK$25:$AK$367,'Калькуляция (МЭОР)'!$F$25:$F$367,$F62,'Калькуляция (МЭОР)'!$G$25:$G$367,$G62),IF(method_reg="Метод сравнения аналогов",_xlfn.SUMIFS('Калькуляция (МСА)'!$AF$25:$AF$103,'Калькуляция (МСА)'!$F$25:$F$103,$F62,'Калькуляция (МСА)'!$G$25:$G$103,$G62),_xlfn.SUMIFS(INDEX('Калькуляция (МИ)'!$AJ$25:$BC$603,,MATCH(AQ$8,'Калькуляция (МИ)'!$AJ$8:$BC$8,0)),'Калькуляция (МИ)'!$F$25:$F$603,$F62,'Калькуляция (МИ)'!$G$25:$G$603,$G62))))</f>
        <v>0</v>
      </c>
      <c r="AR62" s="1104">
        <f>IF(AP62=0,0,(AQ62-AP62)/AP62*100)</f>
        <v>0</v>
      </c>
      <c r="AS62" s="4585">
        <f>IF(AND(method_reg="Метод индексации",god&lt;&gt;first_year),_xlfn.SUMIFS(INDEX('Калькуляция (МИ корр)'!$AJ$25:$BC$606,,MATCH(AS$8,'Калькуляция (МИ корр)'!$AJ$8:$BC$8,0)),'Калькуляция (МИ корр)'!$F$25:$F$606,$F62,'Калькуляция (МИ корр)'!$G$25:$G$606,$G62),IF(method_reg="Метод экономически обоснованных расходов",_xlfn.SUMIFS('Калькуляция (МЭОР)'!$AJ$25:$AJ$367,'Калькуляция (МЭОР)'!$F$25:$F$367,$F62,'Калькуляция (МЭОР)'!$G$25:$G$367,$G62),IF(method_reg="Метод сравнения аналогов",_xlfn.SUMIFS('Калькуляция (МСА)'!$AE$25:$AE$103,'Калькуляция (МСА)'!$F$25:$F$103,$F62,'Калькуляция (МСА)'!$G$25:$G$103,$G62),_xlfn.SUMIFS(INDEX('Калькуляция (МИ)'!$AJ$25:$BC$603,,MATCH(AS$8,'Калькуляция (МИ)'!$AJ$8:$BC$8,0)),'Калькуляция (МИ)'!$F$25:$F$603,$F62,'Калькуляция (МИ)'!$G$25:$G$603,$G62))))</f>
        <v>0</v>
      </c>
      <c r="AT62" s="4585">
        <f>IF(AND(method_reg="Метод индексации",god&lt;&gt;first_year),_xlfn.SUMIFS(INDEX('Калькуляция (МИ корр)'!$AJ$25:$BC$606,,MATCH(AT$8,'Калькуляция (МИ корр)'!$AJ$8:$BC$8,0)),'Калькуляция (МИ корр)'!$F$25:$F$606,$F62,'Калькуляция (МИ корр)'!$G$25:$G$606,$G62),IF(method_reg="Метод экономически обоснованных расходов",_xlfn.SUMIFS('Калькуляция (МЭОР)'!$AK$25:$AK$367,'Калькуляция (МЭОР)'!$F$25:$F$367,$F62,'Калькуляция (МЭОР)'!$G$25:$G$367,$G62),IF(method_reg="Метод сравнения аналогов",_xlfn.SUMIFS('Калькуляция (МСА)'!$AF$25:$AF$103,'Калькуляция (МСА)'!$F$25:$F$103,$F62,'Калькуляция (МСА)'!$G$25:$G$103,$G62),_xlfn.SUMIFS(INDEX('Калькуляция (МИ)'!$AJ$25:$BC$603,,MATCH(AT$8,'Калькуляция (МИ)'!$AJ$8:$BC$8,0)),'Калькуляция (МИ)'!$F$25:$F$603,$F62,'Калькуляция (МИ)'!$G$25:$G$603,$G62))))</f>
        <v>0</v>
      </c>
      <c r="AU62" s="1104">
        <f>IF(AS62=0,0,(AT62-AS62)/AS62*100)</f>
        <v>0</v>
      </c>
      <c r="AV62" s="4585">
        <f>IF(AND(method_reg="Метод индексации",god&lt;&gt;first_year),_xlfn.SUMIFS(INDEX('Калькуляция (МИ корр)'!$AJ$25:$BC$606,,MATCH(AV$8,'Калькуляция (МИ корр)'!$AJ$8:$BC$8,0)),'Калькуляция (МИ корр)'!$F$25:$F$606,$F62,'Калькуляция (МИ корр)'!$G$25:$G$606,$G62),IF(method_reg="Метод экономически обоснованных расходов",_xlfn.SUMIFS('Калькуляция (МЭОР)'!$AJ$25:$AJ$367,'Калькуляция (МЭОР)'!$F$25:$F$367,$F62,'Калькуляция (МЭОР)'!$G$25:$G$367,$G62),IF(method_reg="Метод сравнения аналогов",_xlfn.SUMIFS('Калькуляция (МСА)'!$AE$25:$AE$103,'Калькуляция (МСА)'!$F$25:$F$103,$F62,'Калькуляция (МСА)'!$G$25:$G$103,$G62),_xlfn.SUMIFS(INDEX('Калькуляция (МИ)'!$AJ$25:$BC$603,,MATCH(AV$8,'Калькуляция (МИ)'!$AJ$8:$BC$8,0)),'Калькуляция (МИ)'!$F$25:$F$603,$F62,'Калькуляция (МИ)'!$G$25:$G$603,$G62))))</f>
        <v>0</v>
      </c>
      <c r="AW62" s="4585">
        <f>IF(AND(method_reg="Метод индексации",god&lt;&gt;first_year),_xlfn.SUMIFS(INDEX('Калькуляция (МИ корр)'!$AJ$25:$BC$606,,MATCH(AW$8,'Калькуляция (МИ корр)'!$AJ$8:$BC$8,0)),'Калькуляция (МИ корр)'!$F$25:$F$606,$F62,'Калькуляция (МИ корр)'!$G$25:$G$606,$G62),IF(method_reg="Метод экономически обоснованных расходов",_xlfn.SUMIFS('Калькуляция (МЭОР)'!$AK$25:$AK$367,'Калькуляция (МЭОР)'!$F$25:$F$367,$F62,'Калькуляция (МЭОР)'!$G$25:$G$367,$G62),IF(method_reg="Метод сравнения аналогов",_xlfn.SUMIFS('Калькуляция (МСА)'!$AF$25:$AF$103,'Калькуляция (МСА)'!$F$25:$F$103,$F62,'Калькуляция (МСА)'!$G$25:$G$103,$G62),_xlfn.SUMIFS(INDEX('Калькуляция (МИ)'!$AJ$25:$BC$603,,MATCH(AW$8,'Калькуляция (МИ)'!$AJ$8:$BC$8,0)),'Калькуляция (МИ)'!$F$25:$F$603,$F62,'Калькуляция (МИ)'!$G$25:$G$603,$G62))))</f>
        <v>0</v>
      </c>
      <c r="AX62" s="1104">
        <f>IF(AV62=0,0,(AW62-AV62)/AV62*100)</f>
        <v>0</v>
      </c>
      <c r="AY62" s="4585">
        <f>IF(AND(method_reg="Метод индексации",god&lt;&gt;first_year),_xlfn.SUMIFS(INDEX('Калькуляция (МИ корр)'!$AJ$25:$BC$606,,MATCH(AY$8,'Калькуляция (МИ корр)'!$AJ$8:$BC$8,0)),'Калькуляция (МИ корр)'!$F$25:$F$606,$F62,'Калькуляция (МИ корр)'!$G$25:$G$606,$G62),IF(method_reg="Метод экономически обоснованных расходов",_xlfn.SUMIFS('Калькуляция (МЭОР)'!$AJ$25:$AJ$367,'Калькуляция (МЭОР)'!$F$25:$F$367,$F62,'Калькуляция (МЭОР)'!$G$25:$G$367,$G62),IF(method_reg="Метод сравнения аналогов",_xlfn.SUMIFS('Калькуляция (МСА)'!$AE$25:$AE$103,'Калькуляция (МСА)'!$F$25:$F$103,$F62,'Калькуляция (МСА)'!$G$25:$G$103,$G62),_xlfn.SUMIFS(INDEX('Калькуляция (МИ)'!$AJ$25:$BC$603,,MATCH(AY$8,'Калькуляция (МИ)'!$AJ$8:$BC$8,0)),'Калькуляция (МИ)'!$F$25:$F$603,$F62,'Калькуляция (МИ)'!$G$25:$G$603,$G62))))</f>
        <v>0</v>
      </c>
      <c r="AZ62" s="4585">
        <f>IF(AND(method_reg="Метод индексации",god&lt;&gt;first_year),_xlfn.SUMIFS(INDEX('Калькуляция (МИ корр)'!$AJ$25:$BC$606,,MATCH(AZ$8,'Калькуляция (МИ корр)'!$AJ$8:$BC$8,0)),'Калькуляция (МИ корр)'!$F$25:$F$606,$F62,'Калькуляция (МИ корр)'!$G$25:$G$606,$G62),IF(method_reg="Метод экономически обоснованных расходов",_xlfn.SUMIFS('Калькуляция (МЭОР)'!$AK$25:$AK$367,'Калькуляция (МЭОР)'!$F$25:$F$367,$F62,'Калькуляция (МЭОР)'!$G$25:$G$367,$G62),IF(method_reg="Метод сравнения аналогов",_xlfn.SUMIFS('Калькуляция (МСА)'!$AF$25:$AF$103,'Калькуляция (МСА)'!$F$25:$F$103,$F62,'Калькуляция (МСА)'!$G$25:$G$103,$G62),_xlfn.SUMIFS(INDEX('Калькуляция (МИ)'!$AJ$25:$BC$603,,MATCH(AZ$8,'Калькуляция (МИ)'!$AJ$8:$BC$8,0)),'Калькуляция (МИ)'!$F$25:$F$603,$F62,'Калькуляция (МИ)'!$G$25:$G$603,$G62))))</f>
        <v>0</v>
      </c>
      <c r="BA62" s="1104">
        <f>IF(AY62=0,0,(AZ62-AY62)/AY62*100)</f>
        <v>0</v>
      </c>
      <c r="BB62" s="4585">
        <f>IF(AND(method_reg="Метод индексации",god&lt;&gt;first_year),_xlfn.SUMIFS(INDEX('Калькуляция (МИ корр)'!$AJ$25:$BC$606,,MATCH(BB$8,'Калькуляция (МИ корр)'!$AJ$8:$BC$8,0)),'Калькуляция (МИ корр)'!$F$25:$F$606,$F62,'Калькуляция (МИ корр)'!$G$25:$G$606,$G62),IF(method_reg="Метод экономически обоснованных расходов",_xlfn.SUMIFS('Калькуляция (МЭОР)'!$AJ$25:$AJ$367,'Калькуляция (МЭОР)'!$F$25:$F$367,$F62,'Калькуляция (МЭОР)'!$G$25:$G$367,$G62),IF(method_reg="Метод сравнения аналогов",_xlfn.SUMIFS('Калькуляция (МСА)'!$AE$25:$AE$103,'Калькуляция (МСА)'!$F$25:$F$103,$F62,'Калькуляция (МСА)'!$G$25:$G$103,$G62),_xlfn.SUMIFS(INDEX('Калькуляция (МИ)'!$AJ$25:$BC$603,,MATCH(BB$8,'Калькуляция (МИ)'!$AJ$8:$BC$8,0)),'Калькуляция (МИ)'!$F$25:$F$603,$F62,'Калькуляция (МИ)'!$G$25:$G$603,$G62))))</f>
        <v>0</v>
      </c>
      <c r="BC62" s="4585">
        <f>IF(AND(method_reg="Метод индексации",god&lt;&gt;first_year),_xlfn.SUMIFS(INDEX('Калькуляция (МИ корр)'!$AJ$25:$BC$606,,MATCH(BC$8,'Калькуляция (МИ корр)'!$AJ$8:$BC$8,0)),'Калькуляция (МИ корр)'!$F$25:$F$606,$F62,'Калькуляция (МИ корр)'!$G$25:$G$606,$G62),IF(method_reg="Метод экономически обоснованных расходов",_xlfn.SUMIFS('Калькуляция (МЭОР)'!$AK$25:$AK$367,'Калькуляция (МЭОР)'!$F$25:$F$367,$F62,'Калькуляция (МЭОР)'!$G$25:$G$367,$G62),IF(method_reg="Метод сравнения аналогов",_xlfn.SUMIFS('Калькуляция (МСА)'!$AF$25:$AF$103,'Калькуляция (МСА)'!$F$25:$F$103,$F62,'Калькуляция (МСА)'!$G$25:$G$103,$G62),_xlfn.SUMIFS(INDEX('Калькуляция (МИ)'!$AJ$25:$BC$603,,MATCH(BC$8,'Калькуляция (МИ)'!$AJ$8:$BC$8,0)),'Калькуляция (МИ)'!$F$25:$F$603,$F62,'Калькуляция (МИ)'!$G$25:$G$603,$G62))))</f>
        <v>0</v>
      </c>
      <c r="BD62" s="1104">
        <f>IF(BB62=0,0,(BC62-BB62)/BB62*100)</f>
        <v>0</v>
      </c>
      <c r="BE62" s="4585">
        <f>IF(AND(method_reg="Метод индексации",god&lt;&gt;first_year),_xlfn.SUMIFS(INDEX('Калькуляция (МИ корр)'!$AJ$25:$BC$606,,MATCH(BE$8,'Калькуляция (МИ корр)'!$AJ$8:$BC$8,0)),'Калькуляция (МИ корр)'!$F$25:$F$606,$F62,'Калькуляция (МИ корр)'!$G$25:$G$606,$G62),IF(method_reg="Метод экономически обоснованных расходов",_xlfn.SUMIFS('Калькуляция (МЭОР)'!$AJ$25:$AJ$367,'Калькуляция (МЭОР)'!$F$25:$F$367,$F62,'Калькуляция (МЭОР)'!$G$25:$G$367,$G62),IF(method_reg="Метод сравнения аналогов",_xlfn.SUMIFS('Калькуляция (МСА)'!$AE$25:$AE$103,'Калькуляция (МСА)'!$F$25:$F$103,$F62,'Калькуляция (МСА)'!$G$25:$G$103,$G62),_xlfn.SUMIFS(INDEX('Калькуляция (МИ)'!$AJ$25:$BC$603,,MATCH(BE$8,'Калькуляция (МИ)'!$AJ$8:$BC$8,0)),'Калькуляция (МИ)'!$F$25:$F$603,$F62,'Калькуляция (МИ)'!$G$25:$G$603,$G62))))</f>
        <v>0</v>
      </c>
      <c r="BF62" s="4585">
        <f>IF(AND(method_reg="Метод индексации",god&lt;&gt;first_year),_xlfn.SUMIFS(INDEX('Калькуляция (МИ корр)'!$AJ$25:$BC$606,,MATCH(BF$8,'Калькуляция (МИ корр)'!$AJ$8:$BC$8,0)),'Калькуляция (МИ корр)'!$F$25:$F$606,$F62,'Калькуляция (МИ корр)'!$G$25:$G$606,$G62),IF(method_reg="Метод экономически обоснованных расходов",_xlfn.SUMIFS('Калькуляция (МЭОР)'!$AK$25:$AK$367,'Калькуляция (МЭОР)'!$F$25:$F$367,$F62,'Калькуляция (МЭОР)'!$G$25:$G$367,$G62),IF(method_reg="Метод сравнения аналогов",_xlfn.SUMIFS('Калькуляция (МСА)'!$AF$25:$AF$103,'Калькуляция (МСА)'!$F$25:$F$103,$F62,'Калькуляция (МСА)'!$G$25:$G$103,$G62),_xlfn.SUMIFS(INDEX('Калькуляция (МИ)'!$AJ$25:$BC$603,,MATCH(BF$8,'Калькуляция (МИ)'!$AJ$8:$BC$8,0)),'Калькуляция (МИ)'!$F$25:$F$603,$F62,'Калькуляция (МИ)'!$G$25:$G$603,$G62))))</f>
        <v>0</v>
      </c>
      <c r="BG62" s="1104">
        <f>IF(BE62=0,0,(BF62-BE62)/BE62*100)</f>
        <v>0</v>
      </c>
      <c r="BH62" s="4585"/>
      <c r="BI62" s="4585"/>
      <c r="BJ62" s="1104">
        <f>IF(BH62=0,0,(BI62-BH62)/BH62*100)</f>
        <v>0</v>
      </c>
      <c r="BK62" s="4585"/>
      <c r="BL62" s="4585"/>
      <c r="BM62" s="1104">
        <f>IF(BK62=0,0,(BL62-BK62)/BK62*100)</f>
        <v>0</v>
      </c>
      <c r="BN62" s="4585"/>
      <c r="BO62" s="4585"/>
      <c r="BP62" s="1104">
        <f>IF(BN62=0,0,(BO62-BN62)/BN62*100)</f>
        <v>0</v>
      </c>
      <c r="BQ62" s="4585"/>
      <c r="BR62" s="4585"/>
      <c r="BS62" s="1104">
        <f>IF(BQ62=0,0,(BR62-BQ62)/BQ62*100)</f>
        <v>0</v>
      </c>
      <c r="BT62" s="4585"/>
      <c r="BU62" s="4585"/>
      <c r="BV62" s="1104">
        <f>IF(BT62=0,0,(BU62-BT62)/BT62*100)</f>
        <v>0</v>
      </c>
      <c r="BW62" s="4585"/>
      <c r="BX62" s="4585"/>
      <c r="BY62" s="1104">
        <f>IF(BW62=0,0,(BX62-BW62)/BW62*100)</f>
        <v>0</v>
      </c>
      <c r="BZ62" s="4585"/>
      <c r="CA62" s="4585"/>
      <c r="CB62" s="1104">
        <f>IF(BZ62=0,0,(CA62-BZ62)/BZ62*100)</f>
        <v>0</v>
      </c>
      <c r="CC62" s="4585"/>
      <c r="CD62" s="4585"/>
      <c r="CE62" s="1104">
        <f>IF(CC62=0,0,(CD62-CC62)/CC62*100)</f>
        <v>0</v>
      </c>
      <c r="CF62" s="4585"/>
      <c r="CG62" s="4585"/>
      <c r="CH62" s="1104">
        <f>IF(CF62=0,0,(CG62-CF62)/CF62*100)</f>
        <v>0</v>
      </c>
      <c r="CI62" s="4585"/>
      <c r="CJ62" s="4585"/>
      <c r="CK62" s="1104">
        <f>IF(CI62=0,0,(CJ62-CI62)/CI62*100)</f>
        <v>0</v>
      </c>
      <c r="CL62" s="4585"/>
      <c r="CM62" s="4585"/>
      <c r="CN62" s="1104">
        <f>IF(CL62=0,0,(CM62-CL62)/CL62*100)</f>
        <v>0</v>
      </c>
      <c r="CO62" s="4585"/>
      <c r="CP62" s="4585"/>
      <c r="CQ62" s="1104">
        <f>IF(CO62=0,0,(CP62-CO62)/CO62*100)</f>
        <v>0</v>
      </c>
      <c r="CR62" s="4585"/>
      <c r="CS62" s="4585"/>
      <c r="CT62" s="1104">
        <f>IF(CR62=0,0,(CS62-CR62)/CR62*100)</f>
        <v>0</v>
      </c>
      <c r="CU62" s="4585"/>
      <c r="CV62" s="4585"/>
      <c r="CW62" s="1104">
        <f>IF(CU62=0,0,(CV62-CU62)/CU62*100)</f>
        <v>0</v>
      </c>
      <c r="CX62" s="4585"/>
      <c r="CY62" s="4585"/>
      <c r="CZ62" s="1104">
        <f>IF(CX62=0,0,(CY62-CX62)/CX62*100)</f>
        <v>0</v>
      </c>
      <c r="DA62" s="4585"/>
      <c r="DB62" s="4585"/>
      <c r="DC62" s="1104">
        <f>IF(DA62=0,0,(DB62-DA62)/DA62*100)</f>
        <v>0</v>
      </c>
      <c r="DD62" s="4585"/>
      <c r="DE62" s="4585"/>
      <c r="DF62" s="1104">
        <f>IF(DD62=0,0,(DE62-DD62)/DD62*100)</f>
        <v>0</v>
      </c>
      <c r="DG62" s="4585"/>
      <c r="DH62" s="4585"/>
      <c r="DI62" s="1104">
        <f>IF(DG62=0,0,(DH62-DG62)/DG62*100)</f>
        <v>0</v>
      </c>
      <c r="DJ62" s="4585"/>
      <c r="DK62" s="4585"/>
      <c r="DL62" s="1104">
        <f>IF(DJ62=0,0,(DK62-DJ62)/DJ62*100)</f>
        <v>0</v>
      </c>
      <c r="DM62" s="4585"/>
      <c r="DN62" s="4585"/>
      <c r="DO62" s="1104">
        <f>IF(DM62=0,0,(DN62-DM62)/DM62*100)</f>
        <v>0</v>
      </c>
      <c r="DP62" s="4585"/>
      <c r="DQ62" s="4585"/>
      <c r="DR62" s="1104">
        <f>IF(DP62=0,0,(DQ62-DP62)/DP62*100)</f>
        <v>0</v>
      </c>
      <c r="DS62" s="4585"/>
      <c r="DT62" s="4585"/>
      <c r="DU62" s="1104">
        <f>IF(DS62=0,0,(DT62-DS62)/DS62*100)</f>
        <v>0</v>
      </c>
      <c r="DV62" s="4585"/>
      <c r="DW62" s="4585"/>
      <c r="DX62" s="1104">
        <f>IF(DV62=0,0,(DW62-DV62)/DV62*100)</f>
        <v>0</v>
      </c>
      <c r="DY62" s="4585"/>
      <c r="DZ62" s="4585"/>
      <c r="EA62" s="1104">
        <f>IF(DY62=0,0,(DZ62-DY62)/DY62*100)</f>
        <v>0</v>
      </c>
      <c r="EB62" s="4585"/>
      <c r="EC62" s="4585"/>
      <c r="ED62" s="1104">
        <f>IF(EB62=0,0,(EC62-EB62)/EB62*100)</f>
        <v>0</v>
      </c>
      <c r="EE62" s="4585"/>
      <c r="EF62" s="4585"/>
      <c r="EG62" s="1104">
        <f>IF(EE62=0,0,(EF62-EE62)/EE62*100)</f>
        <v>0</v>
      </c>
      <c r="EH62" s="4585"/>
      <c r="EI62" s="4585"/>
      <c r="EJ62" s="1104">
        <f>IF(EH62=0,0,(EI62-EH62)/EH62*100)</f>
        <v>0</v>
      </c>
      <c r="EK62" s="4585"/>
      <c r="EL62" s="4585"/>
      <c r="EM62" s="1104">
        <f>IF(EK62=0,0,(EL62-EK62)/EK62*100)</f>
        <v>0</v>
      </c>
      <c r="EN62" s="4585"/>
      <c r="EO62" s="4585"/>
      <c r="EP62" s="1104">
        <f>IF(EN62=0,0,(EO62-EN62)/EN62*100)</f>
        <v>0</v>
      </c>
      <c r="EQ62" s="4585"/>
      <c r="ER62" s="4585"/>
      <c r="ES62" s="1104">
        <f>IF(EQ62=0,0,(ER62-EQ62)/EQ62*100)</f>
        <v>0</v>
      </c>
      <c r="ET62" s="4585"/>
      <c r="EU62" s="4585"/>
      <c r="EV62" s="1104">
        <f>IF(ET62=0,0,(EU62-ET62)/ET62*100)</f>
        <v>0</v>
      </c>
      <c r="EW62" s="4585"/>
      <c r="EX62" s="4585"/>
      <c r="EY62" s="1104">
        <f>IF(EW62=0,0,(EX62-EW62)/EW62*100)</f>
        <v>0</v>
      </c>
      <c r="EZ62" s="4585"/>
      <c r="FA62" s="4585"/>
      <c r="FB62" s="1104">
        <f>IF(EZ62=0,0,(FA62-EZ62)/EZ62*100)</f>
        <v>0</v>
      </c>
      <c r="FC62" s="4585"/>
      <c r="FD62" s="4585"/>
      <c r="FE62" s="1104">
        <f>IF(FC62=0,0,(FD62-FC62)/FC62*100)</f>
        <v>0</v>
      </c>
      <c r="FF62" s="4585"/>
      <c r="FG62" s="4585"/>
      <c r="FH62" s="1104">
        <f>IF(FF62=0,0,(FG62-FF62)/FF62*100)</f>
        <v>0</v>
      </c>
      <c r="FI62" s="4585"/>
      <c r="FJ62" s="4585"/>
      <c r="FK62" s="1104">
        <f>IF(FI62=0,0,(FJ62-FI62)/FI62*100)</f>
        <v>0</v>
      </c>
      <c r="FL62" s="4585"/>
      <c r="FM62" s="4585"/>
      <c r="FN62" s="1104">
        <f>IF(FL62=0,0,(FM62-FL62)/FL62*100)</f>
        <v>0</v>
      </c>
      <c r="FO62" s="4585"/>
      <c r="FP62" s="4585"/>
      <c r="FQ62" s="1104">
        <f>IF(FO62=0,0,(FP62-FO62)/FO62*100)</f>
        <v>0</v>
      </c>
      <c r="FR62" s="4585"/>
      <c r="FS62" s="4585"/>
      <c r="FT62" s="1104">
        <f>IF(FR62=0,0,(FS62-FR62)/FR62*100)</f>
        <v>0</v>
      </c>
      <c r="FU62" s="4585"/>
      <c r="FV62" s="4585"/>
      <c r="FW62" s="1104">
        <f>IF(FU62=0,0,(FV62-FU62)/FU62*100)</f>
        <v>0</v>
      </c>
      <c r="FX62" s="1328"/>
      <c r="FY62" s="1328"/>
      <c r="FZ62" s="1063" t="s">
        <v>1919</v>
      </c>
      <c r="GA62" s="1330"/>
      <c r="GB62" s="1330"/>
      <c r="GC62" s="1329"/>
      <c r="GD62" s="1329"/>
    </row>
    <row customHeight="1" ht="21.9375" hidden="1">
      <c r="A63" s="496"/>
      <c r="B63" s="932" cm="1" t="str">
        <f t="array" ref="B63:B63">B62</f>
        <v>false</v>
      </c>
      <c r="C63" s="496"/>
      <c r="D63" s="496"/>
      <c r="E63" s="847">
        <v>22.5</v>
      </c>
      <c r="F63" s="50" cm="1" t="str">
        <f t="array" ref="F63:F63">OFFSET(E63,-1,1)</f>
        <v>0</v>
      </c>
      <c r="G63" s="496"/>
      <c r="H63" s="496" t="s">
        <v>1901</v>
      </c>
      <c r="I63" s="496" t="s">
        <v>1875</v>
      </c>
      <c r="J63" s="496"/>
      <c r="K63" s="496"/>
      <c r="L63" s="496"/>
      <c r="M63" s="496"/>
      <c r="N63" s="496"/>
      <c r="O63" s="496"/>
      <c r="P63" s="496"/>
      <c r="Q63" s="496"/>
      <c r="R63" s="496"/>
      <c r="S63" s="496"/>
      <c r="T63" s="468" cm="1" t="str">
        <f t="array" ref="T63:T63">T62</f>
        <v>false</v>
      </c>
      <c r="U63" s="496"/>
      <c r="V63" s="496"/>
      <c r="W63" s="496"/>
      <c r="X63" s="1559"/>
      <c r="Y63" s="496"/>
      <c r="Z63" s="1528"/>
      <c r="AA63" s="496"/>
      <c r="AB63" s="1100"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63" s="871" t="s">
        <v>1902</v>
      </c>
      <c r="AD63" s="4591"/>
      <c r="AE63" s="4591"/>
      <c r="AF63" s="1102">
        <f>IF(AD63=0,0,(AE63-AD63)/AD63*100)</f>
        <v>0</v>
      </c>
      <c r="AG63" s="4591"/>
      <c r="AH63" s="4591"/>
      <c r="AI63" s="1102">
        <f>IF(AG63=0,0,(AH63-AG63)/AG63*100)</f>
        <v>0</v>
      </c>
      <c r="AJ63" s="4591"/>
      <c r="AK63" s="4591"/>
      <c r="AL63" s="1102">
        <f>IF(AJ63=0,0,(AK63-AJ63)/AJ63*100)</f>
        <v>0</v>
      </c>
      <c r="AM63" s="4591"/>
      <c r="AN63" s="4591"/>
      <c r="AO63" s="1102">
        <f>IF(AM63=0,0,(AN63-AM63)/AM63*100)</f>
        <v>0</v>
      </c>
      <c r="AP63" s="4591"/>
      <c r="AQ63" s="4591"/>
      <c r="AR63" s="1102">
        <f>IF(AP63=0,0,(AQ63-AP63)/AP63*100)</f>
        <v>0</v>
      </c>
      <c r="AS63" s="4591"/>
      <c r="AT63" s="4591"/>
      <c r="AU63" s="1102">
        <f>IF(AS63=0,0,(AT63-AS63)/AS63*100)</f>
        <v>0</v>
      </c>
      <c r="AV63" s="4591"/>
      <c r="AW63" s="4591"/>
      <c r="AX63" s="1102">
        <f>IF(AV63=0,0,(AW63-AV63)/AV63*100)</f>
        <v>0</v>
      </c>
      <c r="AY63" s="4591"/>
      <c r="AZ63" s="4591"/>
      <c r="BA63" s="1102">
        <f>IF(AY63=0,0,(AZ63-AY63)/AY63*100)</f>
        <v>0</v>
      </c>
      <c r="BB63" s="4591"/>
      <c r="BC63" s="4591"/>
      <c r="BD63" s="1102">
        <f>IF(BB63=0,0,(BC63-BB63)/BB63*100)</f>
        <v>0</v>
      </c>
      <c r="BE63" s="4591"/>
      <c r="BF63" s="4591"/>
      <c r="BG63" s="1102">
        <f>IF(BE63=0,0,(BF63-BE63)/BE63*100)</f>
        <v>0</v>
      </c>
      <c r="BH63" s="4591"/>
      <c r="BI63" s="4591"/>
      <c r="BJ63" s="1102">
        <f>IF(BH63=0,0,(BI63-BH63)/BH63*100)</f>
        <v>0</v>
      </c>
      <c r="BK63" s="4591"/>
      <c r="BL63" s="4591"/>
      <c r="BM63" s="1102">
        <f>IF(BK63=0,0,(BL63-BK63)/BK63*100)</f>
        <v>0</v>
      </c>
      <c r="BN63" s="4591"/>
      <c r="BO63" s="4591"/>
      <c r="BP63" s="1102">
        <f>IF(BN63=0,0,(BO63-BN63)/BN63*100)</f>
        <v>0</v>
      </c>
      <c r="BQ63" s="4591"/>
      <c r="BR63" s="4591"/>
      <c r="BS63" s="1102">
        <f>IF(BQ63=0,0,(BR63-BQ63)/BQ63*100)</f>
        <v>0</v>
      </c>
      <c r="BT63" s="4591"/>
      <c r="BU63" s="4591"/>
      <c r="BV63" s="1102">
        <f>IF(BT63=0,0,(BU63-BT63)/BT63*100)</f>
        <v>0</v>
      </c>
      <c r="BW63" s="4591"/>
      <c r="BX63" s="4591"/>
      <c r="BY63" s="1102">
        <f>IF(BW63=0,0,(BX63-BW63)/BW63*100)</f>
        <v>0</v>
      </c>
      <c r="BZ63" s="4591"/>
      <c r="CA63" s="4591"/>
      <c r="CB63" s="1102">
        <f>IF(BZ63=0,0,(CA63-BZ63)/BZ63*100)</f>
        <v>0</v>
      </c>
      <c r="CC63" s="4591"/>
      <c r="CD63" s="4591"/>
      <c r="CE63" s="1102">
        <f>IF(CC63=0,0,(CD63-CC63)/CC63*100)</f>
        <v>0</v>
      </c>
      <c r="CF63" s="4591"/>
      <c r="CG63" s="4591"/>
      <c r="CH63" s="1102">
        <f>IF(CF63=0,0,(CG63-CF63)/CF63*100)</f>
        <v>0</v>
      </c>
      <c r="CI63" s="4591"/>
      <c r="CJ63" s="4591"/>
      <c r="CK63" s="1102">
        <f>IF(CI63=0,0,(CJ63-CI63)/CI63*100)</f>
        <v>0</v>
      </c>
      <c r="CL63" s="4591"/>
      <c r="CM63" s="4591"/>
      <c r="CN63" s="1102">
        <f>IF(CL63=0,0,(CM63-CL63)/CL63*100)</f>
        <v>0</v>
      </c>
      <c r="CO63" s="4591"/>
      <c r="CP63" s="4591"/>
      <c r="CQ63" s="1102">
        <f>IF(CO63=0,0,(CP63-CO63)/CO63*100)</f>
        <v>0</v>
      </c>
      <c r="CR63" s="4591"/>
      <c r="CS63" s="4591"/>
      <c r="CT63" s="1102">
        <f>IF(CR63=0,0,(CS63-CR63)/CR63*100)</f>
        <v>0</v>
      </c>
      <c r="CU63" s="4591"/>
      <c r="CV63" s="4591"/>
      <c r="CW63" s="1102">
        <f>IF(CU63=0,0,(CV63-CU63)/CU63*100)</f>
        <v>0</v>
      </c>
      <c r="CX63" s="4591"/>
      <c r="CY63" s="4591"/>
      <c r="CZ63" s="1102">
        <f>IF(CX63=0,0,(CY63-CX63)/CX63*100)</f>
        <v>0</v>
      </c>
      <c r="DA63" s="4591"/>
      <c r="DB63" s="4591"/>
      <c r="DC63" s="1102">
        <f>IF(DA63=0,0,(DB63-DA63)/DA63*100)</f>
        <v>0</v>
      </c>
      <c r="DD63" s="4591"/>
      <c r="DE63" s="4591"/>
      <c r="DF63" s="1102">
        <f>IF(DD63=0,0,(DE63-DD63)/DD63*100)</f>
        <v>0</v>
      </c>
      <c r="DG63" s="4591"/>
      <c r="DH63" s="4591"/>
      <c r="DI63" s="1102">
        <f>IF(DG63=0,0,(DH63-DG63)/DG63*100)</f>
        <v>0</v>
      </c>
      <c r="DJ63" s="4591"/>
      <c r="DK63" s="4591"/>
      <c r="DL63" s="1102">
        <f>IF(DJ63=0,0,(DK63-DJ63)/DJ63*100)</f>
        <v>0</v>
      </c>
      <c r="DM63" s="4591"/>
      <c r="DN63" s="4591"/>
      <c r="DO63" s="1102">
        <f>IF(DM63=0,0,(DN63-DM63)/DM63*100)</f>
        <v>0</v>
      </c>
      <c r="DP63" s="4591"/>
      <c r="DQ63" s="4591"/>
      <c r="DR63" s="1102">
        <f>IF(DP63=0,0,(DQ63-DP63)/DP63*100)</f>
        <v>0</v>
      </c>
      <c r="DS63" s="4591"/>
      <c r="DT63" s="4591"/>
      <c r="DU63" s="1102">
        <f>IF(DS63=0,0,(DT63-DS63)/DS63*100)</f>
        <v>0</v>
      </c>
      <c r="DV63" s="4591"/>
      <c r="DW63" s="4591"/>
      <c r="DX63" s="1102">
        <f>IF(DV63=0,0,(DW63-DV63)/DV63*100)</f>
        <v>0</v>
      </c>
      <c r="DY63" s="4591"/>
      <c r="DZ63" s="4591"/>
      <c r="EA63" s="1102">
        <f>IF(DY63=0,0,(DZ63-DY63)/DY63*100)</f>
        <v>0</v>
      </c>
      <c r="EB63" s="4591"/>
      <c r="EC63" s="4591"/>
      <c r="ED63" s="1102">
        <f>IF(EB63=0,0,(EC63-EB63)/EB63*100)</f>
        <v>0</v>
      </c>
      <c r="EE63" s="4591"/>
      <c r="EF63" s="4591"/>
      <c r="EG63" s="1102">
        <f>IF(EE63=0,0,(EF63-EE63)/EE63*100)</f>
        <v>0</v>
      </c>
      <c r="EH63" s="4591"/>
      <c r="EI63" s="4591"/>
      <c r="EJ63" s="1102">
        <f>IF(EH63=0,0,(EI63-EH63)/EH63*100)</f>
        <v>0</v>
      </c>
      <c r="EK63" s="4591"/>
      <c r="EL63" s="4591"/>
      <c r="EM63" s="1102">
        <f>IF(EK63=0,0,(EL63-EK63)/EK63*100)</f>
        <v>0</v>
      </c>
      <c r="EN63" s="4591"/>
      <c r="EO63" s="4591"/>
      <c r="EP63" s="1102">
        <f>IF(EN63=0,0,(EO63-EN63)/EN63*100)</f>
        <v>0</v>
      </c>
      <c r="EQ63" s="4591"/>
      <c r="ER63" s="4591"/>
      <c r="ES63" s="1102">
        <f>IF(EQ63=0,0,(ER63-EQ63)/EQ63*100)</f>
        <v>0</v>
      </c>
      <c r="ET63" s="4591"/>
      <c r="EU63" s="4591"/>
      <c r="EV63" s="1102">
        <f>IF(ET63=0,0,(EU63-ET63)/ET63*100)</f>
        <v>0</v>
      </c>
      <c r="EW63" s="4591"/>
      <c r="EX63" s="4591"/>
      <c r="EY63" s="1102">
        <f>IF(EW63=0,0,(EX63-EW63)/EW63*100)</f>
        <v>0</v>
      </c>
      <c r="EZ63" s="4591"/>
      <c r="FA63" s="4591"/>
      <c r="FB63" s="1102">
        <f>IF(EZ63=0,0,(FA63-EZ63)/EZ63*100)</f>
        <v>0</v>
      </c>
      <c r="FC63" s="4591"/>
      <c r="FD63" s="4591"/>
      <c r="FE63" s="1102">
        <f>IF(FC63=0,0,(FD63-FC63)/FC63*100)</f>
        <v>0</v>
      </c>
      <c r="FF63" s="4591"/>
      <c r="FG63" s="4591"/>
      <c r="FH63" s="1102">
        <f>IF(FF63=0,0,(FG63-FF63)/FF63*100)</f>
        <v>0</v>
      </c>
      <c r="FI63" s="4591"/>
      <c r="FJ63" s="4591"/>
      <c r="FK63" s="1102">
        <f>IF(FI63=0,0,(FJ63-FI63)/FI63*100)</f>
        <v>0</v>
      </c>
      <c r="FL63" s="4591"/>
      <c r="FM63" s="4591"/>
      <c r="FN63" s="1102">
        <f>IF(FL63=0,0,(FM63-FL63)/FL63*100)</f>
        <v>0</v>
      </c>
      <c r="FO63" s="4591"/>
      <c r="FP63" s="4591"/>
      <c r="FQ63" s="1102">
        <f>IF(FO63=0,0,(FP63-FO63)/FO63*100)</f>
        <v>0</v>
      </c>
      <c r="FR63" s="4591"/>
      <c r="FS63" s="4591"/>
      <c r="FT63" s="1102">
        <f>IF(FR63=0,0,(FS63-FR63)/FR63*100)</f>
        <v>0</v>
      </c>
      <c r="FU63" s="4591"/>
      <c r="FV63" s="4591"/>
      <c r="FW63" s="1102">
        <f>IF(FU63=0,0,(FV63-FU63)/FU63*100)</f>
        <v>0</v>
      </c>
      <c r="FX63" s="1328"/>
      <c r="FY63" s="1328"/>
      <c r="FZ63" s="1063" t="s">
        <v>1920</v>
      </c>
      <c r="GA63" s="1330"/>
      <c r="GB63" s="1330"/>
      <c r="GC63" s="1329"/>
      <c r="GD63" s="1329"/>
    </row>
    <row customHeight="1" ht="14.625" hidden="1">
      <c r="A64" s="496"/>
      <c r="B64" s="932" cm="1" t="str">
        <f t="array" ref="B64:B64">B63</f>
        <v>false</v>
      </c>
      <c r="C64" s="496"/>
      <c r="D64" s="496"/>
      <c r="E64" s="847">
        <v>15</v>
      </c>
      <c r="F64" s="50" cm="1" t="str">
        <f t="array" ref="F64:F64">OFFSET(E64,-1,1)</f>
        <v>0</v>
      </c>
      <c r="G64" s="496"/>
      <c r="H64" s="496" t="s">
        <v>1904</v>
      </c>
      <c r="I64" s="496" t="s">
        <v>1875</v>
      </c>
      <c r="J64" s="496"/>
      <c r="K64" s="496"/>
      <c r="L64" s="496"/>
      <c r="M64" s="496"/>
      <c r="N64" s="496"/>
      <c r="O64" s="496"/>
      <c r="P64" s="496"/>
      <c r="Q64" s="496"/>
      <c r="R64" s="496"/>
      <c r="S64" s="496"/>
      <c r="T64" s="468" cm="1" t="str">
        <f t="array" ref="T64:T64">T63</f>
        <v>false</v>
      </c>
      <c r="U64" s="496"/>
      <c r="V64" s="496"/>
      <c r="W64" s="496"/>
      <c r="X64" s="1559"/>
      <c r="Y64" s="496"/>
      <c r="Z64" s="1528"/>
      <c r="AA64" s="496"/>
      <c r="AB64" s="1100" t="s">
        <v>1905</v>
      </c>
      <c r="AC64" s="871" t="s">
        <v>1906</v>
      </c>
      <c r="AD64" s="4591"/>
      <c r="AE64" s="4591"/>
      <c r="AF64" s="1102">
        <f>IF(AD64=0,0,(AE64-AD64)/AD64*100)</f>
        <v>0</v>
      </c>
      <c r="AG64" s="4591"/>
      <c r="AH64" s="4591"/>
      <c r="AI64" s="1102">
        <f>IF(AG64=0,0,(AH64-AG64)/AG64*100)</f>
        <v>0</v>
      </c>
      <c r="AJ64" s="4591"/>
      <c r="AK64" s="4591"/>
      <c r="AL64" s="1102">
        <f>IF(AJ64=0,0,(AK64-AJ64)/AJ64*100)</f>
        <v>0</v>
      </c>
      <c r="AM64" s="4591"/>
      <c r="AN64" s="4591"/>
      <c r="AO64" s="1102">
        <f>IF(AM64=0,0,(AN64-AM64)/AM64*100)</f>
        <v>0</v>
      </c>
      <c r="AP64" s="4591"/>
      <c r="AQ64" s="4591"/>
      <c r="AR64" s="1102">
        <f>IF(AP64=0,0,(AQ64-AP64)/AP64*100)</f>
        <v>0</v>
      </c>
      <c r="AS64" s="4591"/>
      <c r="AT64" s="4591"/>
      <c r="AU64" s="1102">
        <f>IF(AS64=0,0,(AT64-AS64)/AS64*100)</f>
        <v>0</v>
      </c>
      <c r="AV64" s="4591"/>
      <c r="AW64" s="4591"/>
      <c r="AX64" s="1102">
        <f>IF(AV64=0,0,(AW64-AV64)/AV64*100)</f>
        <v>0</v>
      </c>
      <c r="AY64" s="4591"/>
      <c r="AZ64" s="4591"/>
      <c r="BA64" s="1102">
        <f>IF(AY64=0,0,(AZ64-AY64)/AY64*100)</f>
        <v>0</v>
      </c>
      <c r="BB64" s="4591"/>
      <c r="BC64" s="4591"/>
      <c r="BD64" s="1102">
        <f>IF(BB64=0,0,(BC64-BB64)/BB64*100)</f>
        <v>0</v>
      </c>
      <c r="BE64" s="4591"/>
      <c r="BF64" s="4591"/>
      <c r="BG64" s="1102">
        <f>IF(BE64=0,0,(BF64-BE64)/BE64*100)</f>
        <v>0</v>
      </c>
      <c r="BH64" s="4591"/>
      <c r="BI64" s="4591"/>
      <c r="BJ64" s="1102">
        <f>IF(BH64=0,0,(BI64-BH64)/BH64*100)</f>
        <v>0</v>
      </c>
      <c r="BK64" s="4591"/>
      <c r="BL64" s="4591"/>
      <c r="BM64" s="1102">
        <f>IF(BK64=0,0,(BL64-BK64)/BK64*100)</f>
        <v>0</v>
      </c>
      <c r="BN64" s="4591"/>
      <c r="BO64" s="4591"/>
      <c r="BP64" s="1102">
        <f>IF(BN64=0,0,(BO64-BN64)/BN64*100)</f>
        <v>0</v>
      </c>
      <c r="BQ64" s="4591"/>
      <c r="BR64" s="4591"/>
      <c r="BS64" s="1102">
        <f>IF(BQ64=0,0,(BR64-BQ64)/BQ64*100)</f>
        <v>0</v>
      </c>
      <c r="BT64" s="4591"/>
      <c r="BU64" s="4591"/>
      <c r="BV64" s="1102">
        <f>IF(BT64=0,0,(BU64-BT64)/BT64*100)</f>
        <v>0</v>
      </c>
      <c r="BW64" s="4591"/>
      <c r="BX64" s="4591"/>
      <c r="BY64" s="1102">
        <f>IF(BW64=0,0,(BX64-BW64)/BW64*100)</f>
        <v>0</v>
      </c>
      <c r="BZ64" s="4591"/>
      <c r="CA64" s="4591"/>
      <c r="CB64" s="1102">
        <f>IF(BZ64=0,0,(CA64-BZ64)/BZ64*100)</f>
        <v>0</v>
      </c>
      <c r="CC64" s="4591"/>
      <c r="CD64" s="4591"/>
      <c r="CE64" s="1102">
        <f>IF(CC64=0,0,(CD64-CC64)/CC64*100)</f>
        <v>0</v>
      </c>
      <c r="CF64" s="4591"/>
      <c r="CG64" s="4591"/>
      <c r="CH64" s="1102">
        <f>IF(CF64=0,0,(CG64-CF64)/CF64*100)</f>
        <v>0</v>
      </c>
      <c r="CI64" s="4591"/>
      <c r="CJ64" s="4591"/>
      <c r="CK64" s="1102">
        <f>IF(CI64=0,0,(CJ64-CI64)/CI64*100)</f>
        <v>0</v>
      </c>
      <c r="CL64" s="4591"/>
      <c r="CM64" s="4591"/>
      <c r="CN64" s="1102">
        <f>IF(CL64=0,0,(CM64-CL64)/CL64*100)</f>
        <v>0</v>
      </c>
      <c r="CO64" s="4591"/>
      <c r="CP64" s="4591"/>
      <c r="CQ64" s="1102">
        <f>IF(CO64=0,0,(CP64-CO64)/CO64*100)</f>
        <v>0</v>
      </c>
      <c r="CR64" s="4591"/>
      <c r="CS64" s="4591"/>
      <c r="CT64" s="1102">
        <f>IF(CR64=0,0,(CS64-CR64)/CR64*100)</f>
        <v>0</v>
      </c>
      <c r="CU64" s="4591"/>
      <c r="CV64" s="4591"/>
      <c r="CW64" s="1102">
        <f>IF(CU64=0,0,(CV64-CU64)/CU64*100)</f>
        <v>0</v>
      </c>
      <c r="CX64" s="4591"/>
      <c r="CY64" s="4591"/>
      <c r="CZ64" s="1102">
        <f>IF(CX64=0,0,(CY64-CX64)/CX64*100)</f>
        <v>0</v>
      </c>
      <c r="DA64" s="4591"/>
      <c r="DB64" s="4591"/>
      <c r="DC64" s="1102">
        <f>IF(DA64=0,0,(DB64-DA64)/DA64*100)</f>
        <v>0</v>
      </c>
      <c r="DD64" s="4591"/>
      <c r="DE64" s="4591"/>
      <c r="DF64" s="1102">
        <f>IF(DD64=0,0,(DE64-DD64)/DD64*100)</f>
        <v>0</v>
      </c>
      <c r="DG64" s="4591"/>
      <c r="DH64" s="4591"/>
      <c r="DI64" s="1102">
        <f>IF(DG64=0,0,(DH64-DG64)/DG64*100)</f>
        <v>0</v>
      </c>
      <c r="DJ64" s="4591"/>
      <c r="DK64" s="4591"/>
      <c r="DL64" s="1102">
        <f>IF(DJ64=0,0,(DK64-DJ64)/DJ64*100)</f>
        <v>0</v>
      </c>
      <c r="DM64" s="4591"/>
      <c r="DN64" s="4591"/>
      <c r="DO64" s="1102">
        <f>IF(DM64=0,0,(DN64-DM64)/DM64*100)</f>
        <v>0</v>
      </c>
      <c r="DP64" s="4591"/>
      <c r="DQ64" s="4591"/>
      <c r="DR64" s="1102">
        <f>IF(DP64=0,0,(DQ64-DP64)/DP64*100)</f>
        <v>0</v>
      </c>
      <c r="DS64" s="4591"/>
      <c r="DT64" s="4591"/>
      <c r="DU64" s="1102">
        <f>IF(DS64=0,0,(DT64-DS64)/DS64*100)</f>
        <v>0</v>
      </c>
      <c r="DV64" s="4591"/>
      <c r="DW64" s="4591"/>
      <c r="DX64" s="1102">
        <f>IF(DV64=0,0,(DW64-DV64)/DV64*100)</f>
        <v>0</v>
      </c>
      <c r="DY64" s="4591"/>
      <c r="DZ64" s="4591"/>
      <c r="EA64" s="1102">
        <f>IF(DY64=0,0,(DZ64-DY64)/DY64*100)</f>
        <v>0</v>
      </c>
      <c r="EB64" s="4591"/>
      <c r="EC64" s="4591"/>
      <c r="ED64" s="1102">
        <f>IF(EB64=0,0,(EC64-EB64)/EB64*100)</f>
        <v>0</v>
      </c>
      <c r="EE64" s="4591"/>
      <c r="EF64" s="4591"/>
      <c r="EG64" s="1102">
        <f>IF(EE64=0,0,(EF64-EE64)/EE64*100)</f>
        <v>0</v>
      </c>
      <c r="EH64" s="4591"/>
      <c r="EI64" s="4591"/>
      <c r="EJ64" s="1102">
        <f>IF(EH64=0,0,(EI64-EH64)/EH64*100)</f>
        <v>0</v>
      </c>
      <c r="EK64" s="4591"/>
      <c r="EL64" s="4591"/>
      <c r="EM64" s="1102">
        <f>IF(EK64=0,0,(EL64-EK64)/EK64*100)</f>
        <v>0</v>
      </c>
      <c r="EN64" s="4591"/>
      <c r="EO64" s="4591"/>
      <c r="EP64" s="1102">
        <f>IF(EN64=0,0,(EO64-EN64)/EN64*100)</f>
        <v>0</v>
      </c>
      <c r="EQ64" s="4591"/>
      <c r="ER64" s="4591"/>
      <c r="ES64" s="1102">
        <f>IF(EQ64=0,0,(ER64-EQ64)/EQ64*100)</f>
        <v>0</v>
      </c>
      <c r="ET64" s="4591"/>
      <c r="EU64" s="4591"/>
      <c r="EV64" s="1102">
        <f>IF(ET64=0,0,(EU64-ET64)/ET64*100)</f>
        <v>0</v>
      </c>
      <c r="EW64" s="4591"/>
      <c r="EX64" s="4591"/>
      <c r="EY64" s="1102">
        <f>IF(EW64=0,0,(EX64-EW64)/EW64*100)</f>
        <v>0</v>
      </c>
      <c r="EZ64" s="4591"/>
      <c r="FA64" s="4591"/>
      <c r="FB64" s="1102">
        <f>IF(EZ64=0,0,(FA64-EZ64)/EZ64*100)</f>
        <v>0</v>
      </c>
      <c r="FC64" s="4591"/>
      <c r="FD64" s="4591"/>
      <c r="FE64" s="1102">
        <f>IF(FC64=0,0,(FD64-FC64)/FC64*100)</f>
        <v>0</v>
      </c>
      <c r="FF64" s="4591"/>
      <c r="FG64" s="4591"/>
      <c r="FH64" s="1102">
        <f>IF(FF64=0,0,(FG64-FF64)/FF64*100)</f>
        <v>0</v>
      </c>
      <c r="FI64" s="4591"/>
      <c r="FJ64" s="4591"/>
      <c r="FK64" s="1102">
        <f>IF(FI64=0,0,(FJ64-FI64)/FI64*100)</f>
        <v>0</v>
      </c>
      <c r="FL64" s="4591"/>
      <c r="FM64" s="4591"/>
      <c r="FN64" s="1102">
        <f>IF(FL64=0,0,(FM64-FL64)/FL64*100)</f>
        <v>0</v>
      </c>
      <c r="FO64" s="4591"/>
      <c r="FP64" s="4591"/>
      <c r="FQ64" s="1102">
        <f>IF(FO64=0,0,(FP64-FO64)/FO64*100)</f>
        <v>0</v>
      </c>
      <c r="FR64" s="4591"/>
      <c r="FS64" s="4591"/>
      <c r="FT64" s="1102">
        <f>IF(FR64=0,0,(FS64-FR64)/FR64*100)</f>
        <v>0</v>
      </c>
      <c r="FU64" s="4591"/>
      <c r="FV64" s="4591"/>
      <c r="FW64" s="1102">
        <f>IF(FU64=0,0,(FV64-FU64)/FU64*100)</f>
        <v>0</v>
      </c>
      <c r="FX64" s="1328"/>
      <c r="FY64" s="1328"/>
      <c r="FZ64" s="1063" t="s">
        <v>1921</v>
      </c>
      <c r="GA64" s="1330"/>
      <c r="GB64" s="1330"/>
      <c r="GC64" s="1329"/>
      <c r="GD64" s="1329"/>
    </row>
    <row customHeight="1" ht="23.887500000000003" hidden="1">
      <c r="A65" s="496"/>
      <c r="B65" s="932" cm="1" t="str">
        <f t="array" ref="B65:B65">B64</f>
        <v>false</v>
      </c>
      <c r="C65" s="496"/>
      <c r="D65" s="496"/>
      <c r="E65" s="847">
        <v>24.5</v>
      </c>
      <c r="F65" s="50" cm="1" t="str">
        <f t="array" ref="F65:F65">OFFSET(E65,-1,1)</f>
        <v>0</v>
      </c>
      <c r="G65" s="496"/>
      <c r="H65" s="496"/>
      <c r="I65" s="496"/>
      <c r="J65" s="496"/>
      <c r="K65" s="496"/>
      <c r="L65" s="496"/>
      <c r="M65" s="496"/>
      <c r="N65" s="496"/>
      <c r="O65" s="496"/>
      <c r="P65" s="496"/>
      <c r="Q65" s="496"/>
      <c r="R65" s="496"/>
      <c r="S65" s="496"/>
      <c r="T65" s="468" cm="1" t="str">
        <f t="array" ref="T65:T65">T64</f>
        <v>false</v>
      </c>
      <c r="U65" s="496"/>
      <c r="V65" s="496"/>
      <c r="W65" s="496"/>
      <c r="X65" s="1559"/>
      <c r="Y65" s="496"/>
      <c r="Z65" s="1528"/>
      <c r="AA65" s="496"/>
      <c r="AB65" s="289" t="s">
        <v>1922</v>
      </c>
      <c r="AC65" s="910"/>
      <c r="AD65" s="1111"/>
      <c r="AE65" s="1111"/>
      <c r="AF65" s="1111"/>
      <c r="AG65" s="1111"/>
      <c r="AH65" s="1111"/>
      <c r="AI65" s="1111"/>
      <c r="AJ65" s="1111"/>
      <c r="AK65" s="1111"/>
      <c r="AL65" s="1111"/>
      <c r="AM65" s="1111"/>
      <c r="AN65" s="1111"/>
      <c r="AO65" s="1111"/>
      <c r="AP65" s="1111"/>
      <c r="AQ65" s="1111"/>
      <c r="AR65" s="1111"/>
      <c r="AS65" s="1111"/>
      <c r="AT65" s="1111"/>
      <c r="AU65" s="1111"/>
      <c r="AV65" s="1111"/>
      <c r="AW65" s="1111"/>
      <c r="AX65" s="1111"/>
      <c r="AY65" s="1111"/>
      <c r="AZ65" s="1111"/>
      <c r="BA65" s="1111"/>
      <c r="BB65" s="1111"/>
      <c r="BC65" s="1111"/>
      <c r="BD65" s="1111"/>
      <c r="BE65" s="1111"/>
      <c r="BF65" s="1111"/>
      <c r="BG65" s="1111"/>
      <c r="BH65" s="1111"/>
      <c r="BI65" s="1111"/>
      <c r="BJ65" s="1111"/>
      <c r="BK65" s="1111"/>
      <c r="BL65" s="1111"/>
      <c r="BM65" s="1111"/>
      <c r="BN65" s="1111"/>
      <c r="BO65" s="1111"/>
      <c r="BP65" s="1111"/>
      <c r="BQ65" s="1111"/>
      <c r="BR65" s="1111"/>
      <c r="BS65" s="1111"/>
      <c r="BT65" s="1111"/>
      <c r="BU65" s="1111"/>
      <c r="BV65" s="1111"/>
      <c r="BW65" s="1111"/>
      <c r="BX65" s="1111"/>
      <c r="BY65" s="1111"/>
      <c r="BZ65" s="1111"/>
      <c r="CA65" s="1111"/>
      <c r="CB65" s="1111"/>
      <c r="CC65" s="1111"/>
      <c r="CD65" s="1111"/>
      <c r="CE65" s="1111"/>
      <c r="CF65" s="1111"/>
      <c r="CG65" s="1111"/>
      <c r="CH65" s="1111"/>
      <c r="CI65" s="1111"/>
      <c r="CJ65" s="1111"/>
      <c r="CK65" s="1111"/>
      <c r="CL65" s="1111"/>
      <c r="CM65" s="1111"/>
      <c r="CN65" s="1111"/>
      <c r="CO65" s="1111"/>
      <c r="CP65" s="1111"/>
      <c r="CQ65" s="1111"/>
      <c r="CR65" s="1111"/>
      <c r="CS65" s="1111"/>
      <c r="CT65" s="1111"/>
      <c r="CU65" s="1111"/>
      <c r="CV65" s="1111"/>
      <c r="CW65" s="1111"/>
      <c r="CX65" s="1111"/>
      <c r="CY65" s="1111"/>
      <c r="CZ65" s="1111"/>
      <c r="DA65" s="1111"/>
      <c r="DB65" s="1111"/>
      <c r="DC65" s="1111"/>
      <c r="DD65" s="1111"/>
      <c r="DE65" s="1111"/>
      <c r="DF65" s="1111"/>
      <c r="DG65" s="1111"/>
      <c r="DH65" s="1111"/>
      <c r="DI65" s="1111"/>
      <c r="DJ65" s="1111"/>
      <c r="DK65" s="1111"/>
      <c r="DL65" s="1111"/>
      <c r="DM65" s="1111"/>
      <c r="DN65" s="1111"/>
      <c r="DO65" s="1111"/>
      <c r="DP65" s="1111"/>
      <c r="DQ65" s="1111"/>
      <c r="DR65" s="1111"/>
      <c r="DS65" s="1111"/>
      <c r="DT65" s="1111"/>
      <c r="DU65" s="1111"/>
      <c r="DV65" s="1111"/>
      <c r="DW65" s="1111"/>
      <c r="DX65" s="1111"/>
      <c r="DY65" s="1111"/>
      <c r="DZ65" s="1111"/>
      <c r="EA65" s="1111"/>
      <c r="EB65" s="1111"/>
      <c r="EC65" s="1111"/>
      <c r="ED65" s="1111"/>
      <c r="EE65" s="1111"/>
      <c r="EF65" s="1111"/>
      <c r="EG65" s="1111"/>
      <c r="EH65" s="1111"/>
      <c r="EI65" s="1111"/>
      <c r="EJ65" s="1111"/>
      <c r="EK65" s="1111"/>
      <c r="EL65" s="1111"/>
      <c r="EM65" s="1111"/>
      <c r="EN65" s="1111"/>
      <c r="EO65" s="1111"/>
      <c r="EP65" s="1111"/>
      <c r="EQ65" s="1111"/>
      <c r="ER65" s="1111"/>
      <c r="ES65" s="1111"/>
      <c r="ET65" s="1111"/>
      <c r="EU65" s="1111"/>
      <c r="EV65" s="1111"/>
      <c r="EW65" s="1111"/>
      <c r="EX65" s="1111"/>
      <c r="EY65" s="1111"/>
      <c r="EZ65" s="1111"/>
      <c r="FA65" s="1111"/>
      <c r="FB65" s="1111"/>
      <c r="FC65" s="1111"/>
      <c r="FD65" s="1111"/>
      <c r="FE65" s="1111"/>
      <c r="FF65" s="1111"/>
      <c r="FG65" s="1111"/>
      <c r="FH65" s="1111"/>
      <c r="FI65" s="1111"/>
      <c r="FJ65" s="1111"/>
      <c r="FK65" s="1111"/>
      <c r="FL65" s="1111"/>
      <c r="FM65" s="1111"/>
      <c r="FN65" s="1111"/>
      <c r="FO65" s="1111"/>
      <c r="FP65" s="1111"/>
      <c r="FQ65" s="1111"/>
      <c r="FR65" s="1111"/>
      <c r="FS65" s="1111"/>
      <c r="FT65" s="1111"/>
      <c r="FU65" s="1111"/>
      <c r="FV65" s="1111"/>
      <c r="FW65" s="1112"/>
      <c r="FX65" s="1328"/>
      <c r="FY65" s="1328"/>
      <c r="FZ65" s="1063"/>
      <c r="GA65" s="1330"/>
      <c r="GB65" s="1330"/>
      <c r="GC65" s="1329"/>
      <c r="GD65" s="1329"/>
    </row>
    <row customHeight="1" ht="14.625" hidden="1">
      <c r="A66" s="496"/>
      <c r="B66" s="932" cm="1" t="str">
        <f t="array" ref="B66:B66">B65</f>
        <v>false</v>
      </c>
      <c r="C66" s="496"/>
      <c r="D66" s="496"/>
      <c r="E66" s="847">
        <v>15</v>
      </c>
      <c r="F66" s="50" cm="1" t="str">
        <f t="array" ref="F66:F66">OFFSET(E66,-1,1)</f>
        <v>0</v>
      </c>
      <c r="G66" s="496"/>
      <c r="H66" s="496" t="s">
        <v>1787</v>
      </c>
      <c r="I66" s="496" t="s">
        <v>1879</v>
      </c>
      <c r="J66" s="496"/>
      <c r="K66" s="496"/>
      <c r="L66" s="496"/>
      <c r="M66" s="496"/>
      <c r="N66" s="496"/>
      <c r="O66" s="496"/>
      <c r="P66" s="496"/>
      <c r="Q66" s="496"/>
      <c r="R66" s="496"/>
      <c r="S66" s="496"/>
      <c r="T66" s="468" cm="1" t="str">
        <f t="array" ref="T66:T66">T65</f>
        <v>false</v>
      </c>
      <c r="U66" s="496"/>
      <c r="V66" s="496"/>
      <c r="W66" s="496"/>
      <c r="X66" s="1559"/>
      <c r="Y66" s="496"/>
      <c r="Z66" s="1528"/>
      <c r="AA66" s="496"/>
      <c r="AB66" s="1100" t="s">
        <v>1895</v>
      </c>
      <c r="AC66" s="871" t="s">
        <v>1862</v>
      </c>
      <c r="AD66" s="4591">
        <f>IF(AD68=0,0,(AD67*AD68+AD69*AD70*IF(god=2026,3,6))/AD68)</f>
        <v>0</v>
      </c>
      <c r="AE66" s="4591">
        <f>IF(AE68=0,0,(AE67*AE68+AE69*AE70*IF(god=2026,3,6))/AE68)</f>
        <v>0</v>
      </c>
      <c r="AF66" s="1102">
        <f>IF(AD66=0,0,(AE66-AD66)/AD66*100)</f>
        <v>0</v>
      </c>
      <c r="AG66" s="4591">
        <f>IF(AG68=0,0,(AG67*AG68+AG69*AG70*IF(god=2025,3,6))/AG68)</f>
        <v>0</v>
      </c>
      <c r="AH66" s="4591">
        <f>IF(AH68=0,0,(AH67*AH68+AH69*AH70*IF(god=2025,3,6))/AH68)</f>
        <v>0</v>
      </c>
      <c r="AI66" s="1102">
        <f>IF(AG66=0,0,(AH66-AG66)/AG66*100)</f>
        <v>0</v>
      </c>
      <c r="AJ66" s="4591">
        <f>IF(AJ68=0,0,(AJ67*AJ68+AJ69*AJ70*6)/AJ68)</f>
        <v>0</v>
      </c>
      <c r="AK66" s="4591">
        <f>IF(AK68=0,0,(AK67*AK68+AK69*AK70*6)/AK68)</f>
        <v>0</v>
      </c>
      <c r="AL66" s="1102">
        <f>IF(AJ66=0,0,(AK66-AJ66)/AJ66*100)</f>
        <v>0</v>
      </c>
      <c r="AM66" s="4591">
        <f>IF(AM68=0,0,(AM67*AM68+AM69*AM70*6)/AM68)</f>
        <v>0</v>
      </c>
      <c r="AN66" s="4591">
        <f>IF(AN68=0,0,(AN67*AN68+AN69*AN70*6)/AN68)</f>
        <v>0</v>
      </c>
      <c r="AO66" s="1102">
        <f>IF(AM66=0,0,(AN66-AM66)/AM66*100)</f>
        <v>0</v>
      </c>
      <c r="AP66" s="4591">
        <f>IF(AP68=0,0,(AP67*AP68+AP69*AP70*6)/AP68)</f>
        <v>0</v>
      </c>
      <c r="AQ66" s="4591">
        <f>IF(AQ68=0,0,(AQ67*AQ68+AQ69*AQ70*6)/AQ68)</f>
        <v>0</v>
      </c>
      <c r="AR66" s="1102">
        <f>IF(AP66=0,0,(AQ66-AP66)/AP66*100)</f>
        <v>0</v>
      </c>
      <c r="AS66" s="4591">
        <f>IF(AS68=0,0,(AS67*AS68+AS69*AS70*6)/AS68)</f>
        <v>0</v>
      </c>
      <c r="AT66" s="4591">
        <f>IF(AT68=0,0,(AT67*AT68+AT69*AT70*6)/AT68)</f>
        <v>0</v>
      </c>
      <c r="AU66" s="1102">
        <f>IF(AS66=0,0,(AT66-AS66)/AS66*100)</f>
        <v>0</v>
      </c>
      <c r="AV66" s="4591">
        <f>IF(AV68=0,0,(AV67*AV68+AV69*AV70*6)/AV68)</f>
        <v>0</v>
      </c>
      <c r="AW66" s="4591">
        <f>IF(AW68=0,0,(AW67*AW68+AW69*AW70*6)/AW68)</f>
        <v>0</v>
      </c>
      <c r="AX66" s="1102">
        <f>IF(AV66=0,0,(AW66-AV66)/AV66*100)</f>
        <v>0</v>
      </c>
      <c r="AY66" s="4591">
        <f>IF(AY68=0,0,(AY67*AY68+AY69*AY70*6)/AY68)</f>
        <v>0</v>
      </c>
      <c r="AZ66" s="4591">
        <f>IF(AZ68=0,0,(AZ67*AZ68+AZ69*AZ70*6)/AZ68)</f>
        <v>0</v>
      </c>
      <c r="BA66" s="1102">
        <f>IF(AY66=0,0,(AZ66-AY66)/AY66*100)</f>
        <v>0</v>
      </c>
      <c r="BB66" s="4591">
        <f>IF(BB68=0,0,(BB67*BB68+BB69*BB70*6)/BB68)</f>
        <v>0</v>
      </c>
      <c r="BC66" s="4591">
        <f>IF(BC68=0,0,(BC67*BC68+BC69*BC70*6)/BC68)</f>
        <v>0</v>
      </c>
      <c r="BD66" s="1102">
        <f>IF(BB66=0,0,(BC66-BB66)/BB66*100)</f>
        <v>0</v>
      </c>
      <c r="BE66" s="4591">
        <f>IF(BE68=0,0,(BE67*BE68+BE69*BE70*6)/BE68)</f>
        <v>0</v>
      </c>
      <c r="BF66" s="4591">
        <f>IF(BF68=0,0,(BF67*BF68+BF69*BF70*6)/BF68)</f>
        <v>0</v>
      </c>
      <c r="BG66" s="1102">
        <f>IF(BE66=0,0,(BF66-BE66)/BE66*100)</f>
        <v>0</v>
      </c>
      <c r="BH66" s="4591">
        <f>IF(BH68=0,0,(BH67*BH68+BH69*BH70*6)/BH68)</f>
        <v>0</v>
      </c>
      <c r="BI66" s="4591">
        <f>IF(BI68=0,0,(BI67*BI68+BI69*BI70*6)/BI68)</f>
        <v>0</v>
      </c>
      <c r="BJ66" s="1102">
        <f>IF(BH66=0,0,(BI66-BH66)/BH66*100)</f>
        <v>0</v>
      </c>
      <c r="BK66" s="4591">
        <f>IF(BK68=0,0,(BK67*BK68+BK69*BK70*6)/BK68)</f>
        <v>0</v>
      </c>
      <c r="BL66" s="4591">
        <f>IF(BL68=0,0,(BL67*BL68+BL69*BL70*6)/BL68)</f>
        <v>0</v>
      </c>
      <c r="BM66" s="1102">
        <f>IF(BK66=0,0,(BL66-BK66)/BK66*100)</f>
        <v>0</v>
      </c>
      <c r="BN66" s="4591">
        <f>IF(BN68=0,0,(BN67*BN68+BN69*BN70*6)/BN68)</f>
        <v>0</v>
      </c>
      <c r="BO66" s="4591">
        <f>IF(BO68=0,0,(BO67*BO68+BO69*BO70*6)/BO68)</f>
        <v>0</v>
      </c>
      <c r="BP66" s="1102">
        <f>IF(BN66=0,0,(BO66-BN66)/BN66*100)</f>
        <v>0</v>
      </c>
      <c r="BQ66" s="4591">
        <f>IF(BQ68=0,0,(BQ67*BQ68+BQ69*BQ70*6)/BQ68)</f>
        <v>0</v>
      </c>
      <c r="BR66" s="4591">
        <f>IF(BR68=0,0,(BR67*BR68+BR69*BR70*6)/BR68)</f>
        <v>0</v>
      </c>
      <c r="BS66" s="1102">
        <f>IF(BQ66=0,0,(BR66-BQ66)/BQ66*100)</f>
        <v>0</v>
      </c>
      <c r="BT66" s="4591">
        <f>IF(BT68=0,0,(BT67*BT68+BT69*BT70*6)/BT68)</f>
        <v>0</v>
      </c>
      <c r="BU66" s="4591">
        <f>IF(BU68=0,0,(BU67*BU68+BU69*BU70*6)/BU68)</f>
        <v>0</v>
      </c>
      <c r="BV66" s="1102">
        <f>IF(BT66=0,0,(BU66-BT66)/BT66*100)</f>
        <v>0</v>
      </c>
      <c r="BW66" s="4591">
        <f>IF(BW68=0,0,(BW67*BW68+BW69*BW70*6)/BW68)</f>
        <v>0</v>
      </c>
      <c r="BX66" s="4591">
        <f>IF(BX68=0,0,(BX67*BX68+BX69*BX70*6)/BX68)</f>
        <v>0</v>
      </c>
      <c r="BY66" s="1102">
        <f>IF(BW66=0,0,(BX66-BW66)/BW66*100)</f>
        <v>0</v>
      </c>
      <c r="BZ66" s="4591">
        <f>IF(BZ68=0,0,(BZ67*BZ68+BZ69*BZ70*6)/BZ68)</f>
        <v>0</v>
      </c>
      <c r="CA66" s="4591">
        <f>IF(CA68=0,0,(CA67*CA68+CA69*CA70*6)/CA68)</f>
        <v>0</v>
      </c>
      <c r="CB66" s="1102">
        <f>IF(BZ66=0,0,(CA66-BZ66)/BZ66*100)</f>
        <v>0</v>
      </c>
      <c r="CC66" s="4591">
        <f>IF(CC68=0,0,(CC67*CC68+CC69*CC70*6)/CC68)</f>
        <v>0</v>
      </c>
      <c r="CD66" s="4591">
        <f>IF(CD68=0,0,(CD67*CD68+CD69*CD70*6)/CD68)</f>
        <v>0</v>
      </c>
      <c r="CE66" s="1102">
        <f>IF(CC66=0,0,(CD66-CC66)/CC66*100)</f>
        <v>0</v>
      </c>
      <c r="CF66" s="4591">
        <f>IF(CF68=0,0,(CF67*CF68+CF69*CF70*6)/CF68)</f>
        <v>0</v>
      </c>
      <c r="CG66" s="4591">
        <f>IF(CG68=0,0,(CG67*CG68+CG69*CG70*6)/CG68)</f>
        <v>0</v>
      </c>
      <c r="CH66" s="1102">
        <f>IF(CF66=0,0,(CG66-CF66)/CF66*100)</f>
        <v>0</v>
      </c>
      <c r="CI66" s="4591">
        <f>IF(CI68=0,0,(CI67*CI68+CI69*CI70*6)/CI68)</f>
        <v>0</v>
      </c>
      <c r="CJ66" s="4591">
        <f>IF(CJ68=0,0,(CJ67*CJ68+CJ69*CJ70*6)/CJ68)</f>
        <v>0</v>
      </c>
      <c r="CK66" s="1102">
        <f>IF(CI66=0,0,(CJ66-CI66)/CI66*100)</f>
        <v>0</v>
      </c>
      <c r="CL66" s="4591">
        <f>IF(CL68=0,0,(CL67*CL68+CL69*CL70*6)/CL68)</f>
        <v>0</v>
      </c>
      <c r="CM66" s="4591">
        <f>IF(CM68=0,0,(CM67*CM68+CM69*CM70*6)/CM68)</f>
        <v>0</v>
      </c>
      <c r="CN66" s="1102">
        <f>IF(CL66=0,0,(CM66-CL66)/CL66*100)</f>
        <v>0</v>
      </c>
      <c r="CO66" s="4591">
        <f>IF(CO68=0,0,(CO67*CO68+CO69*CO70*6)/CO68)</f>
        <v>0</v>
      </c>
      <c r="CP66" s="4591">
        <f>IF(CP68=0,0,(CP67*CP68+CP69*CP70*6)/CP68)</f>
        <v>0</v>
      </c>
      <c r="CQ66" s="1102">
        <f>IF(CO66=0,0,(CP66-CO66)/CO66*100)</f>
        <v>0</v>
      </c>
      <c r="CR66" s="4591">
        <f>IF(CR68=0,0,(CR67*CR68+CR69*CR70*6)/CR68)</f>
        <v>0</v>
      </c>
      <c r="CS66" s="4591">
        <f>IF(CS68=0,0,(CS67*CS68+CS69*CS70*6)/CS68)</f>
        <v>0</v>
      </c>
      <c r="CT66" s="1102">
        <f>IF(CR66=0,0,(CS66-CR66)/CR66*100)</f>
        <v>0</v>
      </c>
      <c r="CU66" s="4591">
        <f>IF(CU68=0,0,(CU67*CU68+CU69*CU70*6)/CU68)</f>
        <v>0</v>
      </c>
      <c r="CV66" s="4591">
        <f>IF(CV68=0,0,(CV67*CV68+CV69*CV70*6)/CV68)</f>
        <v>0</v>
      </c>
      <c r="CW66" s="1102">
        <f>IF(CU66=0,0,(CV66-CU66)/CU66*100)</f>
        <v>0</v>
      </c>
      <c r="CX66" s="4591">
        <f>IF(CX68=0,0,(CX67*CX68+CX69*CX70*6)/CX68)</f>
        <v>0</v>
      </c>
      <c r="CY66" s="4591">
        <f>IF(CY68=0,0,(CY67*CY68+CY69*CY70*6)/CY68)</f>
        <v>0</v>
      </c>
      <c r="CZ66" s="1102">
        <f>IF(CX66=0,0,(CY66-CX66)/CX66*100)</f>
        <v>0</v>
      </c>
      <c r="DA66" s="4591">
        <f>IF(DA68=0,0,(DA67*DA68+DA69*DA70*6)/DA68)</f>
        <v>0</v>
      </c>
      <c r="DB66" s="4591">
        <f>IF(DB68=0,0,(DB67*DB68+DB69*DB70*6)/DB68)</f>
        <v>0</v>
      </c>
      <c r="DC66" s="1102">
        <f>IF(DA66=0,0,(DB66-DA66)/DA66*100)</f>
        <v>0</v>
      </c>
      <c r="DD66" s="4591">
        <f>IF(DD68=0,0,(DD67*DD68+DD69*DD70*6)/DD68)</f>
        <v>0</v>
      </c>
      <c r="DE66" s="4591">
        <f>IF(DE68=0,0,(DE67*DE68+DE69*DE70*6)/DE68)</f>
        <v>0</v>
      </c>
      <c r="DF66" s="1102">
        <f>IF(DD66=0,0,(DE66-DD66)/DD66*100)</f>
        <v>0</v>
      </c>
      <c r="DG66" s="4591">
        <f>IF(DG68=0,0,(DG67*DG68+DG69*DG70*6)/DG68)</f>
        <v>0</v>
      </c>
      <c r="DH66" s="4591">
        <f>IF(DH68=0,0,(DH67*DH68+DH69*DH70*6)/DH68)</f>
        <v>0</v>
      </c>
      <c r="DI66" s="1102">
        <f>IF(DG66=0,0,(DH66-DG66)/DG66*100)</f>
        <v>0</v>
      </c>
      <c r="DJ66" s="4591">
        <f>IF(DJ68=0,0,(DJ67*DJ68+DJ69*DJ70*6)/DJ68)</f>
        <v>0</v>
      </c>
      <c r="DK66" s="4591">
        <f>IF(DK68=0,0,(DK67*DK68+DK69*DK70*6)/DK68)</f>
        <v>0</v>
      </c>
      <c r="DL66" s="1102">
        <f>IF(DJ66=0,0,(DK66-DJ66)/DJ66*100)</f>
        <v>0</v>
      </c>
      <c r="DM66" s="4591">
        <f>IF(DM68=0,0,(DM67*DM68+DM69*DM70*6)/DM68)</f>
        <v>0</v>
      </c>
      <c r="DN66" s="4591">
        <f>IF(DN68=0,0,(DN67*DN68+DN69*DN70*6)/DN68)</f>
        <v>0</v>
      </c>
      <c r="DO66" s="1102">
        <f>IF(DM66=0,0,(DN66-DM66)/DM66*100)</f>
        <v>0</v>
      </c>
      <c r="DP66" s="4591">
        <f>IF(DP68=0,0,(DP67*DP68+DP69*DP70*6)/DP68)</f>
        <v>0</v>
      </c>
      <c r="DQ66" s="4591">
        <f>IF(DQ68=0,0,(DQ67*DQ68+DQ69*DQ70*6)/DQ68)</f>
        <v>0</v>
      </c>
      <c r="DR66" s="1102">
        <f>IF(DP66=0,0,(DQ66-DP66)/DP66*100)</f>
        <v>0</v>
      </c>
      <c r="DS66" s="4591">
        <f>IF(DS68=0,0,(DS67*DS68+DS69*DS70*6)/DS68)</f>
        <v>0</v>
      </c>
      <c r="DT66" s="4591">
        <f>IF(DT68=0,0,(DT67*DT68+DT69*DT70*6)/DT68)</f>
        <v>0</v>
      </c>
      <c r="DU66" s="1102">
        <f>IF(DS66=0,0,(DT66-DS66)/DS66*100)</f>
        <v>0</v>
      </c>
      <c r="DV66" s="4591">
        <f>IF(DV68=0,0,(DV67*DV68+DV69*DV70*6)/DV68)</f>
        <v>0</v>
      </c>
      <c r="DW66" s="4591">
        <f>IF(DW68=0,0,(DW67*DW68+DW69*DW70*6)/DW68)</f>
        <v>0</v>
      </c>
      <c r="DX66" s="1102">
        <f>IF(DV66=0,0,(DW66-DV66)/DV66*100)</f>
        <v>0</v>
      </c>
      <c r="DY66" s="4591">
        <f>IF(DY68=0,0,(DY67*DY68+DY69*DY70*6)/DY68)</f>
        <v>0</v>
      </c>
      <c r="DZ66" s="4591">
        <f>IF(DZ68=0,0,(DZ67*DZ68+DZ69*DZ70*6)/DZ68)</f>
        <v>0</v>
      </c>
      <c r="EA66" s="1102">
        <f>IF(DY66=0,0,(DZ66-DY66)/DY66*100)</f>
        <v>0</v>
      </c>
      <c r="EB66" s="4591">
        <f>IF(EB68=0,0,(EB67*EB68+EB69*EB70*6)/EB68)</f>
        <v>0</v>
      </c>
      <c r="EC66" s="4591">
        <f>IF(EC68=0,0,(EC67*EC68+EC69*EC70*6)/EC68)</f>
        <v>0</v>
      </c>
      <c r="ED66" s="1102">
        <f>IF(EB66=0,0,(EC66-EB66)/EB66*100)</f>
        <v>0</v>
      </c>
      <c r="EE66" s="4591">
        <f>IF(EE68=0,0,(EE67*EE68+EE69*EE70*6)/EE68)</f>
        <v>0</v>
      </c>
      <c r="EF66" s="4591">
        <f>IF(EF68=0,0,(EF67*EF68+EF69*EF70*6)/EF68)</f>
        <v>0</v>
      </c>
      <c r="EG66" s="1102">
        <f>IF(EE66=0,0,(EF66-EE66)/EE66*100)</f>
        <v>0</v>
      </c>
      <c r="EH66" s="4591">
        <f>IF(EH68=0,0,(EH67*EH68+EH69*EH70*6)/EH68)</f>
        <v>0</v>
      </c>
      <c r="EI66" s="4591">
        <f>IF(EI68=0,0,(EI67*EI68+EI69*EI70*6)/EI68)</f>
        <v>0</v>
      </c>
      <c r="EJ66" s="1102">
        <f>IF(EH66=0,0,(EI66-EH66)/EH66*100)</f>
        <v>0</v>
      </c>
      <c r="EK66" s="4591">
        <f>IF(EK68=0,0,(EK67*EK68+EK69*EK70*6)/EK68)</f>
        <v>0</v>
      </c>
      <c r="EL66" s="4591">
        <f>IF(EL68=0,0,(EL67*EL68+EL69*EL70*6)/EL68)</f>
        <v>0</v>
      </c>
      <c r="EM66" s="1102">
        <f>IF(EK66=0,0,(EL66-EK66)/EK66*100)</f>
        <v>0</v>
      </c>
      <c r="EN66" s="4591">
        <f>IF(EN68=0,0,(EN67*EN68+EN69*EN70*6)/EN68)</f>
        <v>0</v>
      </c>
      <c r="EO66" s="4591">
        <f>IF(EO68=0,0,(EO67*EO68+EO69*EO70*6)/EO68)</f>
        <v>0</v>
      </c>
      <c r="EP66" s="1102">
        <f>IF(EN66=0,0,(EO66-EN66)/EN66*100)</f>
        <v>0</v>
      </c>
      <c r="EQ66" s="4591">
        <f>IF(EQ68=0,0,(EQ67*EQ68+EQ69*EQ70*6)/EQ68)</f>
        <v>0</v>
      </c>
      <c r="ER66" s="4591">
        <f>IF(ER68=0,0,(ER67*ER68+ER69*ER70*6)/ER68)</f>
        <v>0</v>
      </c>
      <c r="ES66" s="1102">
        <f>IF(EQ66=0,0,(ER66-EQ66)/EQ66*100)</f>
        <v>0</v>
      </c>
      <c r="ET66" s="4591">
        <f>IF(ET68=0,0,(ET67*ET68+ET69*ET70*6)/ET68)</f>
        <v>0</v>
      </c>
      <c r="EU66" s="4591">
        <f>IF(EU68=0,0,(EU67*EU68+EU69*EU70*6)/EU68)</f>
        <v>0</v>
      </c>
      <c r="EV66" s="1102">
        <f>IF(ET66=0,0,(EU66-ET66)/ET66*100)</f>
        <v>0</v>
      </c>
      <c r="EW66" s="4591">
        <f>IF(EW68=0,0,(EW67*EW68+EW69*EW70*6)/EW68)</f>
        <v>0</v>
      </c>
      <c r="EX66" s="4591">
        <f>IF(EX68=0,0,(EX67*EX68+EX69*EX70*6)/EX68)</f>
        <v>0</v>
      </c>
      <c r="EY66" s="1102">
        <f>IF(EW66=0,0,(EX66-EW66)/EW66*100)</f>
        <v>0</v>
      </c>
      <c r="EZ66" s="4591">
        <f>IF(EZ68=0,0,(EZ67*EZ68+EZ69*EZ70*6)/EZ68)</f>
        <v>0</v>
      </c>
      <c r="FA66" s="4591">
        <f>IF(FA68=0,0,(FA67*FA68+FA69*FA70*6)/FA68)</f>
        <v>0</v>
      </c>
      <c r="FB66" s="1102">
        <f>IF(EZ66=0,0,(FA66-EZ66)/EZ66*100)</f>
        <v>0</v>
      </c>
      <c r="FC66" s="4591">
        <f>IF(FC68=0,0,(FC67*FC68+FC69*FC70*6)/FC68)</f>
        <v>0</v>
      </c>
      <c r="FD66" s="4591">
        <f>IF(FD68=0,0,(FD67*FD68+FD69*FD70*6)/FD68)</f>
        <v>0</v>
      </c>
      <c r="FE66" s="1102">
        <f>IF(FC66=0,0,(FD66-FC66)/FC66*100)</f>
        <v>0</v>
      </c>
      <c r="FF66" s="4591">
        <f>IF(FF68=0,0,(FF67*FF68+FF69*FF70*6)/FF68)</f>
        <v>0</v>
      </c>
      <c r="FG66" s="4591">
        <f>IF(FG68=0,0,(FG67*FG68+FG69*FG70*6)/FG68)</f>
        <v>0</v>
      </c>
      <c r="FH66" s="1102">
        <f>IF(FF66=0,0,(FG66-FF66)/FF66*100)</f>
        <v>0</v>
      </c>
      <c r="FI66" s="4591">
        <f>IF(FI68=0,0,(FI67*FI68+FI69*FI70*6)/FI68)</f>
        <v>0</v>
      </c>
      <c r="FJ66" s="4591">
        <f>IF(FJ68=0,0,(FJ67*FJ68+FJ69*FJ70*6)/FJ68)</f>
        <v>0</v>
      </c>
      <c r="FK66" s="1102">
        <f>IF(FI66=0,0,(FJ66-FI66)/FI66*100)</f>
        <v>0</v>
      </c>
      <c r="FL66" s="4591">
        <f>IF(FL68=0,0,(FL67*FL68+FL69*FL70*6)/FL68)</f>
        <v>0</v>
      </c>
      <c r="FM66" s="4591">
        <f>IF(FM68=0,0,(FM67*FM68+FM69*FM70*6)/FM68)</f>
        <v>0</v>
      </c>
      <c r="FN66" s="1102">
        <f>IF(FL66=0,0,(FM66-FL66)/FL66*100)</f>
        <v>0</v>
      </c>
      <c r="FO66" s="4591">
        <f>IF(FO68=0,0,(FO67*FO68+FO69*FO70*6)/FO68)</f>
        <v>0</v>
      </c>
      <c r="FP66" s="4591">
        <f>IF(FP68=0,0,(FP67*FP68+FP69*FP70*6)/FP68)</f>
        <v>0</v>
      </c>
      <c r="FQ66" s="1102">
        <f>IF(FO66=0,0,(FP66-FO66)/FO66*100)</f>
        <v>0</v>
      </c>
      <c r="FR66" s="4591">
        <f>IF(FR68=0,0,(FR67*FR68+FR69*FR70*6)/FR68)</f>
        <v>0</v>
      </c>
      <c r="FS66" s="4591">
        <f>IF(FS68=0,0,(FS67*FS68+FS69*FS70*6)/FS68)</f>
        <v>0</v>
      </c>
      <c r="FT66" s="1102">
        <f>IF(FR66=0,0,(FS66-FR66)/FR66*100)</f>
        <v>0</v>
      </c>
      <c r="FU66" s="4591">
        <f>IF(FU68=0,0,(FU67*FU68+FU69*FU70*6)/FU68)</f>
        <v>0</v>
      </c>
      <c r="FV66" s="4591">
        <f>IF(FV68=0,0,(FV67*FV68+FV69*FV70*6)/FV68)</f>
        <v>0</v>
      </c>
      <c r="FW66" s="1102">
        <f>IF(FU66=0,0,(FV66-FU66)/FU66*100)</f>
        <v>0</v>
      </c>
      <c r="FX66" s="1328"/>
      <c r="FY66" s="1328"/>
      <c r="FZ66" s="1063" t="s">
        <v>1923</v>
      </c>
      <c r="GA66" s="1330"/>
      <c r="GB66" s="1330"/>
      <c r="GC66" s="1329"/>
      <c r="GD66" s="1329"/>
    </row>
    <row customHeight="1" ht="14.625" hidden="1">
      <c r="A67" s="496"/>
      <c r="B67" s="932" cm="1" t="str">
        <f t="array" ref="B67:B67">B66</f>
        <v>false</v>
      </c>
      <c r="C67" s="496"/>
      <c r="D67" s="496"/>
      <c r="E67" s="847">
        <v>15</v>
      </c>
      <c r="F67" s="50" cm="1" t="str">
        <f t="array" ref="F67:F67">OFFSET(E67,-1,1)</f>
        <v>0</v>
      </c>
      <c r="G67" s="496"/>
      <c r="H67" s="496" t="s">
        <v>1791</v>
      </c>
      <c r="I67" s="496" t="s">
        <v>1879</v>
      </c>
      <c r="J67" s="496"/>
      <c r="K67" s="496"/>
      <c r="L67" s="496"/>
      <c r="M67" s="496"/>
      <c r="N67" s="496"/>
      <c r="O67" s="496"/>
      <c r="P67" s="496"/>
      <c r="Q67" s="496"/>
      <c r="R67" s="496"/>
      <c r="S67" s="496"/>
      <c r="T67" s="468" cm="1" t="str">
        <f t="array" ref="T67:T67">T66</f>
        <v>false</v>
      </c>
      <c r="U67" s="496"/>
      <c r="V67" s="496"/>
      <c r="W67" s="496"/>
      <c r="X67" s="1559"/>
      <c r="Y67" s="496"/>
      <c r="Z67" s="1528"/>
      <c r="AA67" s="496"/>
      <c r="AB67" s="911" t="str">
        <f>"ставка платы за "&amp;IF(Q29="Водоснабжение","потребление 1 куб.м холодной воды","объем принятых сточных вод")</f>
        <v>ставка платы за объем принятых сточных вод</v>
      </c>
      <c r="AC67" s="871" t="s">
        <v>1862</v>
      </c>
      <c r="AD67" s="4591"/>
      <c r="AE67" s="4591"/>
      <c r="AF67" s="1102">
        <f>IF(AD67=0,0,(AE67-AD67)/AD67*100)</f>
        <v>0</v>
      </c>
      <c r="AG67" s="4591"/>
      <c r="AH67" s="4591"/>
      <c r="AI67" s="1102">
        <f>IF(AG67=0,0,(AH67-AG67)/AG67*100)</f>
        <v>0</v>
      </c>
      <c r="AJ67" s="4591"/>
      <c r="AK67" s="4591"/>
      <c r="AL67" s="1102">
        <f>IF(AJ67=0,0,(AK67-AJ67)/AJ67*100)</f>
        <v>0</v>
      </c>
      <c r="AM67" s="4591"/>
      <c r="AN67" s="4591"/>
      <c r="AO67" s="1102">
        <f>IF(AM67=0,0,(AN67-AM67)/AM67*100)</f>
        <v>0</v>
      </c>
      <c r="AP67" s="4591"/>
      <c r="AQ67" s="4591"/>
      <c r="AR67" s="1102">
        <f>IF(AP67=0,0,(AQ67-AP67)/AP67*100)</f>
        <v>0</v>
      </c>
      <c r="AS67" s="4591"/>
      <c r="AT67" s="4591"/>
      <c r="AU67" s="1102">
        <f>IF(AS67=0,0,(AT67-AS67)/AS67*100)</f>
        <v>0</v>
      </c>
      <c r="AV67" s="4591"/>
      <c r="AW67" s="4591"/>
      <c r="AX67" s="1102">
        <f>IF(AV67=0,0,(AW67-AV67)/AV67*100)</f>
        <v>0</v>
      </c>
      <c r="AY67" s="4591"/>
      <c r="AZ67" s="4591"/>
      <c r="BA67" s="1102">
        <f>IF(AY67=0,0,(AZ67-AY67)/AY67*100)</f>
        <v>0</v>
      </c>
      <c r="BB67" s="4591"/>
      <c r="BC67" s="4591"/>
      <c r="BD67" s="1102">
        <f>IF(BB67=0,0,(BC67-BB67)/BB67*100)</f>
        <v>0</v>
      </c>
      <c r="BE67" s="4591"/>
      <c r="BF67" s="4591"/>
      <c r="BG67" s="1102">
        <f>IF(BE67=0,0,(BF67-BE67)/BE67*100)</f>
        <v>0</v>
      </c>
      <c r="BH67" s="4591"/>
      <c r="BI67" s="4591"/>
      <c r="BJ67" s="1102">
        <f>IF(BH67=0,0,(BI67-BH67)/BH67*100)</f>
        <v>0</v>
      </c>
      <c r="BK67" s="4591"/>
      <c r="BL67" s="4591"/>
      <c r="BM67" s="1102">
        <f>IF(BK67=0,0,(BL67-BK67)/BK67*100)</f>
        <v>0</v>
      </c>
      <c r="BN67" s="4591"/>
      <c r="BO67" s="4591"/>
      <c r="BP67" s="1102">
        <f>IF(BN67=0,0,(BO67-BN67)/BN67*100)</f>
        <v>0</v>
      </c>
      <c r="BQ67" s="4591"/>
      <c r="BR67" s="4591"/>
      <c r="BS67" s="1102">
        <f>IF(BQ67=0,0,(BR67-BQ67)/BQ67*100)</f>
        <v>0</v>
      </c>
      <c r="BT67" s="4591"/>
      <c r="BU67" s="4591"/>
      <c r="BV67" s="1102">
        <f>IF(BT67=0,0,(BU67-BT67)/BT67*100)</f>
        <v>0</v>
      </c>
      <c r="BW67" s="4591"/>
      <c r="BX67" s="4591"/>
      <c r="BY67" s="1102">
        <f>IF(BW67=0,0,(BX67-BW67)/BW67*100)</f>
        <v>0</v>
      </c>
      <c r="BZ67" s="4591"/>
      <c r="CA67" s="4591"/>
      <c r="CB67" s="1102">
        <f>IF(BZ67=0,0,(CA67-BZ67)/BZ67*100)</f>
        <v>0</v>
      </c>
      <c r="CC67" s="4591"/>
      <c r="CD67" s="4591"/>
      <c r="CE67" s="1102">
        <f>IF(CC67=0,0,(CD67-CC67)/CC67*100)</f>
        <v>0</v>
      </c>
      <c r="CF67" s="4591"/>
      <c r="CG67" s="4591"/>
      <c r="CH67" s="1102">
        <f>IF(CF67=0,0,(CG67-CF67)/CF67*100)</f>
        <v>0</v>
      </c>
      <c r="CI67" s="4591"/>
      <c r="CJ67" s="4591"/>
      <c r="CK67" s="1102">
        <f>IF(CI67=0,0,(CJ67-CI67)/CI67*100)</f>
        <v>0</v>
      </c>
      <c r="CL67" s="4591"/>
      <c r="CM67" s="4591"/>
      <c r="CN67" s="1102">
        <f>IF(CL67=0,0,(CM67-CL67)/CL67*100)</f>
        <v>0</v>
      </c>
      <c r="CO67" s="4591"/>
      <c r="CP67" s="4591"/>
      <c r="CQ67" s="1102">
        <f>IF(CO67=0,0,(CP67-CO67)/CO67*100)</f>
        <v>0</v>
      </c>
      <c r="CR67" s="4591"/>
      <c r="CS67" s="4591"/>
      <c r="CT67" s="1102">
        <f>IF(CR67=0,0,(CS67-CR67)/CR67*100)</f>
        <v>0</v>
      </c>
      <c r="CU67" s="4591"/>
      <c r="CV67" s="4591"/>
      <c r="CW67" s="1102">
        <f>IF(CU67=0,0,(CV67-CU67)/CU67*100)</f>
        <v>0</v>
      </c>
      <c r="CX67" s="4591"/>
      <c r="CY67" s="4591"/>
      <c r="CZ67" s="1102">
        <f>IF(CX67=0,0,(CY67-CX67)/CX67*100)</f>
        <v>0</v>
      </c>
      <c r="DA67" s="4591"/>
      <c r="DB67" s="4591"/>
      <c r="DC67" s="1102">
        <f>IF(DA67=0,0,(DB67-DA67)/DA67*100)</f>
        <v>0</v>
      </c>
      <c r="DD67" s="4591"/>
      <c r="DE67" s="4591"/>
      <c r="DF67" s="1102">
        <f>IF(DD67=0,0,(DE67-DD67)/DD67*100)</f>
        <v>0</v>
      </c>
      <c r="DG67" s="4591"/>
      <c r="DH67" s="4591"/>
      <c r="DI67" s="1102">
        <f>IF(DG67=0,0,(DH67-DG67)/DG67*100)</f>
        <v>0</v>
      </c>
      <c r="DJ67" s="4591"/>
      <c r="DK67" s="4591"/>
      <c r="DL67" s="1102">
        <f>IF(DJ67=0,0,(DK67-DJ67)/DJ67*100)</f>
        <v>0</v>
      </c>
      <c r="DM67" s="4591"/>
      <c r="DN67" s="4591"/>
      <c r="DO67" s="1102">
        <f>IF(DM67=0,0,(DN67-DM67)/DM67*100)</f>
        <v>0</v>
      </c>
      <c r="DP67" s="4591"/>
      <c r="DQ67" s="4591"/>
      <c r="DR67" s="1102">
        <f>IF(DP67=0,0,(DQ67-DP67)/DP67*100)</f>
        <v>0</v>
      </c>
      <c r="DS67" s="4591"/>
      <c r="DT67" s="4591"/>
      <c r="DU67" s="1102">
        <f>IF(DS67=0,0,(DT67-DS67)/DS67*100)</f>
        <v>0</v>
      </c>
      <c r="DV67" s="4591"/>
      <c r="DW67" s="4591"/>
      <c r="DX67" s="1102">
        <f>IF(DV67=0,0,(DW67-DV67)/DV67*100)</f>
        <v>0</v>
      </c>
      <c r="DY67" s="4591"/>
      <c r="DZ67" s="4591"/>
      <c r="EA67" s="1102">
        <f>IF(DY67=0,0,(DZ67-DY67)/DY67*100)</f>
        <v>0</v>
      </c>
      <c r="EB67" s="4591"/>
      <c r="EC67" s="4591"/>
      <c r="ED67" s="1102">
        <f>IF(EB67=0,0,(EC67-EB67)/EB67*100)</f>
        <v>0</v>
      </c>
      <c r="EE67" s="4591"/>
      <c r="EF67" s="4591"/>
      <c r="EG67" s="1102">
        <f>IF(EE67=0,0,(EF67-EE67)/EE67*100)</f>
        <v>0</v>
      </c>
      <c r="EH67" s="4591"/>
      <c r="EI67" s="4591"/>
      <c r="EJ67" s="1102">
        <f>IF(EH67=0,0,(EI67-EH67)/EH67*100)</f>
        <v>0</v>
      </c>
      <c r="EK67" s="4591"/>
      <c r="EL67" s="4591"/>
      <c r="EM67" s="1102">
        <f>IF(EK67=0,0,(EL67-EK67)/EK67*100)</f>
        <v>0</v>
      </c>
      <c r="EN67" s="4591"/>
      <c r="EO67" s="4591"/>
      <c r="EP67" s="1102">
        <f>IF(EN67=0,0,(EO67-EN67)/EN67*100)</f>
        <v>0</v>
      </c>
      <c r="EQ67" s="4591"/>
      <c r="ER67" s="4591"/>
      <c r="ES67" s="1102">
        <f>IF(EQ67=0,0,(ER67-EQ67)/EQ67*100)</f>
        <v>0</v>
      </c>
      <c r="ET67" s="4591"/>
      <c r="EU67" s="4591"/>
      <c r="EV67" s="1102">
        <f>IF(ET67=0,0,(EU67-ET67)/ET67*100)</f>
        <v>0</v>
      </c>
      <c r="EW67" s="4591"/>
      <c r="EX67" s="4591"/>
      <c r="EY67" s="1102">
        <f>IF(EW67=0,0,(EX67-EW67)/EW67*100)</f>
        <v>0</v>
      </c>
      <c r="EZ67" s="4591"/>
      <c r="FA67" s="4591"/>
      <c r="FB67" s="1102">
        <f>IF(EZ67=0,0,(FA67-EZ67)/EZ67*100)</f>
        <v>0</v>
      </c>
      <c r="FC67" s="4591"/>
      <c r="FD67" s="4591"/>
      <c r="FE67" s="1102">
        <f>IF(FC67=0,0,(FD67-FC67)/FC67*100)</f>
        <v>0</v>
      </c>
      <c r="FF67" s="4591"/>
      <c r="FG67" s="4591"/>
      <c r="FH67" s="1102">
        <f>IF(FF67=0,0,(FG67-FF67)/FF67*100)</f>
        <v>0</v>
      </c>
      <c r="FI67" s="4591"/>
      <c r="FJ67" s="4591"/>
      <c r="FK67" s="1102">
        <f>IF(FI67=0,0,(FJ67-FI67)/FI67*100)</f>
        <v>0</v>
      </c>
      <c r="FL67" s="4591"/>
      <c r="FM67" s="4591"/>
      <c r="FN67" s="1102">
        <f>IF(FL67=0,0,(FM67-FL67)/FL67*100)</f>
        <v>0</v>
      </c>
      <c r="FO67" s="4591"/>
      <c r="FP67" s="4591"/>
      <c r="FQ67" s="1102">
        <f>IF(FO67=0,0,(FP67-FO67)/FO67*100)</f>
        <v>0</v>
      </c>
      <c r="FR67" s="4591"/>
      <c r="FS67" s="4591"/>
      <c r="FT67" s="1102">
        <f>IF(FR67=0,0,(FS67-FR67)/FR67*100)</f>
        <v>0</v>
      </c>
      <c r="FU67" s="4591"/>
      <c r="FV67" s="4591"/>
      <c r="FW67" s="1102">
        <f>IF(FU67=0,0,(FV67-FU67)/FU67*100)</f>
        <v>0</v>
      </c>
      <c r="FX67" s="1328"/>
      <c r="FY67" s="1328"/>
      <c r="FZ67" s="1063" t="s">
        <v>1924</v>
      </c>
      <c r="GA67" s="1330"/>
      <c r="GB67" s="1330"/>
      <c r="GC67" s="1329"/>
      <c r="GD67" s="1329"/>
    </row>
    <row customHeight="1" ht="14.625" hidden="1">
      <c r="A68" s="496"/>
      <c r="B68" s="932" cm="1" t="str">
        <f t="array" ref="B68:B68">B67</f>
        <v>false</v>
      </c>
      <c r="C68" s="496"/>
      <c r="D68" s="496"/>
      <c r="E68" s="847">
        <v>15</v>
      </c>
      <c r="F68" s="50" cm="1" t="str">
        <f t="array" ref="F68:F68">OFFSET(E68,-1,1)</f>
        <v>0</v>
      </c>
      <c r="G68" s="103" t="s">
        <v>1925</v>
      </c>
      <c r="H68" s="496" t="s">
        <v>1899</v>
      </c>
      <c r="I68" s="496" t="s">
        <v>1879</v>
      </c>
      <c r="J68" s="496"/>
      <c r="K68" s="496"/>
      <c r="L68" s="496"/>
      <c r="M68" s="496"/>
      <c r="N68" s="496"/>
      <c r="O68" s="496"/>
      <c r="P68" s="496"/>
      <c r="Q68" s="496"/>
      <c r="R68" s="496"/>
      <c r="S68" s="496"/>
      <c r="T68" s="468" cm="1" t="str">
        <f t="array" ref="T68:T68">T67</f>
        <v>false</v>
      </c>
      <c r="U68" s="496"/>
      <c r="V68" s="496"/>
      <c r="W68" s="496"/>
      <c r="X68" s="1559"/>
      <c r="Y68" s="496"/>
      <c r="Z68" s="1528"/>
      <c r="AA68" s="496"/>
      <c r="AB68" s="911" t="str">
        <f>"объём "&amp;IF(Q29="Водоснабжение","потребления холодной воды","водоотведения")</f>
        <v>объём водоотведения</v>
      </c>
      <c r="AC68" s="871" t="s">
        <v>657</v>
      </c>
      <c r="AD68" s="4585">
        <f>IF(AND(method_reg="Метод индексации",god&lt;&gt;first_year),_xlfn.SUMIFS(INDEX('Калькуляция (МИ корр)'!$AJ$25:$BC$606,,MATCH(AD$8,'Калькуляция (МИ корр)'!$AJ$8:$BC$8,0)),'Калькуляция (МИ корр)'!$F$25:$F$606,$F68,'Калькуляция (МИ корр)'!$G$25:$G$606,$G68),IF(method_reg="Метод экономически обоснованных расходов",_xlfn.SUMIFS('Калькуляция (МЭОР)'!$AJ$25:$AJ$367,'Калькуляция (МЭОР)'!$F$25:$F$367,$F68,'Калькуляция (МЭОР)'!$G$25:$G$367,$G68),IF(method_reg="Метод сравнения аналогов",_xlfn.SUMIFS('Калькуляция (МСА)'!$AE$25:$AE$103,'Калькуляция (МСА)'!$F$25:$F$103,$F68,'Калькуляция (МСА)'!$G$25:$G$103,$G68),_xlfn.SUMIFS(INDEX('Калькуляция (МИ)'!$AJ$25:$BC$603,,MATCH(AD$8,'Калькуляция (МИ)'!$AJ$8:$BC$8,0)),'Калькуляция (МИ)'!$F$25:$F$603,$F68,'Калькуляция (МИ)'!$G$25:$G$603,$G68))))</f>
        <v>0</v>
      </c>
      <c r="AE68" s="4585">
        <f>IF(AND(method_reg="Метод индексации",god&lt;&gt;first_year),_xlfn.SUMIFS(INDEX('Калькуляция (МИ корр)'!$AJ$25:$BC$606,,MATCH(AE$8,'Калькуляция (МИ корр)'!$AJ$8:$BC$8,0)),'Калькуляция (МИ корр)'!$F$25:$F$606,$F68,'Калькуляция (МИ корр)'!$G$25:$G$606,$G68),IF(method_reg="Метод экономически обоснованных расходов",_xlfn.SUMIFS('Калькуляция (МЭОР)'!$AK$25:$AK$367,'Калькуляция (МЭОР)'!$F$25:$F$367,$F68,'Калькуляция (МЭОР)'!$G$25:$G$367,$G68),IF(method_reg="Метод сравнения аналогов",_xlfn.SUMIFS('Калькуляция (МСА)'!$AF$25:$AF$103,'Калькуляция (МСА)'!$F$25:$F$103,$F68,'Калькуляция (МСА)'!$G$25:$G$103,$G68),_xlfn.SUMIFS(INDEX('Калькуляция (МИ)'!$AJ$25:$BC$603,,MATCH(AE$8,'Калькуляция (МИ)'!$AJ$8:$BC$8,0)),'Калькуляция (МИ)'!$F$25:$F$603,$F68,'Калькуляция (МИ)'!$G$25:$G$603,$G68))))</f>
        <v>0</v>
      </c>
      <c r="AF68" s="1104">
        <f>IF(AD68=0,0,(AE68-AD68)/AD68*100)</f>
        <v>0</v>
      </c>
      <c r="AG68" s="4585">
        <f>IF(AND(method_reg="Метод индексации",god&lt;&gt;first_year),_xlfn.SUMIFS(INDEX('Калькуляция (МИ корр)'!$AJ$25:$BC$606,,MATCH(AG$8,'Калькуляция (МИ корр)'!$AJ$8:$BC$8,0)),'Калькуляция (МИ корр)'!$F$25:$F$606,$F68,'Калькуляция (МИ корр)'!$G$25:$G$606,$G68),IF(method_reg="Метод экономически обоснованных расходов",_xlfn.SUMIFS('Калькуляция (МЭОР)'!$AJ$25:$AJ$367,'Калькуляция (МЭОР)'!$F$25:$F$367,$F68,'Калькуляция (МЭОР)'!$G$25:$G$367,$G68),IF(method_reg="Метод сравнения аналогов",_xlfn.SUMIFS('Калькуляция (МСА)'!$AE$25:$AE$103,'Калькуляция (МСА)'!$F$25:$F$103,$F68,'Калькуляция (МСА)'!$G$25:$G$103,$G68),_xlfn.SUMIFS(INDEX('Калькуляция (МИ)'!$AJ$25:$BC$603,,MATCH(AG$8,'Калькуляция (МИ)'!$AJ$8:$BC$8,0)),'Калькуляция (МИ)'!$F$25:$F$603,$F68,'Калькуляция (МИ)'!$G$25:$G$603,$G68))))</f>
        <v>0</v>
      </c>
      <c r="AH68" s="4585">
        <f>IF(AND(method_reg="Метод индексации",god&lt;&gt;first_year),_xlfn.SUMIFS(INDEX('Калькуляция (МИ корр)'!$AJ$25:$BC$606,,MATCH(AH$8,'Калькуляция (МИ корр)'!$AJ$8:$BC$8,0)),'Калькуляция (МИ корр)'!$F$25:$F$606,$F68,'Калькуляция (МИ корр)'!$G$25:$G$606,$G68),IF(method_reg="Метод экономически обоснованных расходов",_xlfn.SUMIFS('Калькуляция (МЭОР)'!$AK$25:$AK$367,'Калькуляция (МЭОР)'!$F$25:$F$367,$F68,'Калькуляция (МЭОР)'!$G$25:$G$367,$G68),IF(method_reg="Метод сравнения аналогов",_xlfn.SUMIFS('Калькуляция (МСА)'!$AF$25:$AF$103,'Калькуляция (МСА)'!$F$25:$F$103,$F68,'Калькуляция (МСА)'!$G$25:$G$103,$G68),_xlfn.SUMIFS(INDEX('Калькуляция (МИ)'!$AJ$25:$BC$603,,MATCH(AH$8,'Калькуляция (МИ)'!$AJ$8:$BC$8,0)),'Калькуляция (МИ)'!$F$25:$F$603,$F68,'Калькуляция (МИ)'!$G$25:$G$603,$G68))))</f>
        <v>0</v>
      </c>
      <c r="AI68" s="1104">
        <f>IF(AG68=0,0,(AH68-AG68)/AG68*100)</f>
        <v>0</v>
      </c>
      <c r="AJ68" s="4585">
        <f>IF(AND(method_reg="Метод индексации",god&lt;&gt;first_year),_xlfn.SUMIFS(INDEX('Калькуляция (МИ корр)'!$AJ$25:$BC$606,,MATCH(AJ$8,'Калькуляция (МИ корр)'!$AJ$8:$BC$8,0)),'Калькуляция (МИ корр)'!$F$25:$F$606,$F68,'Калькуляция (МИ корр)'!$G$25:$G$606,$G68),IF(method_reg="Метод экономически обоснованных расходов",_xlfn.SUMIFS('Калькуляция (МЭОР)'!$AJ$25:$AJ$367,'Калькуляция (МЭОР)'!$F$25:$F$367,$F68,'Калькуляция (МЭОР)'!$G$25:$G$367,$G68),IF(method_reg="Метод сравнения аналогов",_xlfn.SUMIFS('Калькуляция (МСА)'!$AE$25:$AE$103,'Калькуляция (МСА)'!$F$25:$F$103,$F68,'Калькуляция (МСА)'!$G$25:$G$103,$G68),_xlfn.SUMIFS(INDEX('Калькуляция (МИ)'!$AJ$25:$BC$603,,MATCH(AJ$8,'Калькуляция (МИ)'!$AJ$8:$BC$8,0)),'Калькуляция (МИ)'!$F$25:$F$603,$F68,'Калькуляция (МИ)'!$G$25:$G$603,$G68))))</f>
        <v>0</v>
      </c>
      <c r="AK68" s="4585">
        <f>IF(AND(method_reg="Метод индексации",god&lt;&gt;first_year),_xlfn.SUMIFS(INDEX('Калькуляция (МИ корр)'!$AJ$25:$BC$606,,MATCH(AK$8,'Калькуляция (МИ корр)'!$AJ$8:$BC$8,0)),'Калькуляция (МИ корр)'!$F$25:$F$606,$F68,'Калькуляция (МИ корр)'!$G$25:$G$606,$G68),IF(method_reg="Метод экономически обоснованных расходов",_xlfn.SUMIFS('Калькуляция (МЭОР)'!$AK$25:$AK$367,'Калькуляция (МЭОР)'!$F$25:$F$367,$F68,'Калькуляция (МЭОР)'!$G$25:$G$367,$G68),IF(method_reg="Метод сравнения аналогов",_xlfn.SUMIFS('Калькуляция (МСА)'!$AF$25:$AF$103,'Калькуляция (МСА)'!$F$25:$F$103,$F68,'Калькуляция (МСА)'!$G$25:$G$103,$G68),_xlfn.SUMIFS(INDEX('Калькуляция (МИ)'!$AJ$25:$BC$603,,MATCH(AK$8,'Калькуляция (МИ)'!$AJ$8:$BC$8,0)),'Калькуляция (МИ)'!$F$25:$F$603,$F68,'Калькуляция (МИ)'!$G$25:$G$603,$G68))))</f>
        <v>0</v>
      </c>
      <c r="AL68" s="1104">
        <f>IF(AJ68=0,0,(AK68-AJ68)/AJ68*100)</f>
        <v>0</v>
      </c>
      <c r="AM68" s="4585">
        <f>IF(AND(method_reg="Метод индексации",god&lt;&gt;first_year),_xlfn.SUMIFS(INDEX('Калькуляция (МИ корр)'!$AJ$25:$BC$606,,MATCH(AM$8,'Калькуляция (МИ корр)'!$AJ$8:$BC$8,0)),'Калькуляция (МИ корр)'!$F$25:$F$606,$F68,'Калькуляция (МИ корр)'!$G$25:$G$606,$G68),IF(method_reg="Метод экономически обоснованных расходов",_xlfn.SUMIFS('Калькуляция (МЭОР)'!$AJ$25:$AJ$367,'Калькуляция (МЭОР)'!$F$25:$F$367,$F68,'Калькуляция (МЭОР)'!$G$25:$G$367,$G68),IF(method_reg="Метод сравнения аналогов",_xlfn.SUMIFS('Калькуляция (МСА)'!$AE$25:$AE$103,'Калькуляция (МСА)'!$F$25:$F$103,$F68,'Калькуляция (МСА)'!$G$25:$G$103,$G68),_xlfn.SUMIFS(INDEX('Калькуляция (МИ)'!$AJ$25:$BC$603,,MATCH(AM$8,'Калькуляция (МИ)'!$AJ$8:$BC$8,0)),'Калькуляция (МИ)'!$F$25:$F$603,$F68,'Калькуляция (МИ)'!$G$25:$G$603,$G68))))</f>
        <v>0</v>
      </c>
      <c r="AN68" s="4585">
        <f>IF(AND(method_reg="Метод индексации",god&lt;&gt;first_year),_xlfn.SUMIFS(INDEX('Калькуляция (МИ корр)'!$AJ$25:$BC$606,,MATCH(AN$8,'Калькуляция (МИ корр)'!$AJ$8:$BC$8,0)),'Калькуляция (МИ корр)'!$F$25:$F$606,$F68,'Калькуляция (МИ корр)'!$G$25:$G$606,$G68),IF(method_reg="Метод экономически обоснованных расходов",_xlfn.SUMIFS('Калькуляция (МЭОР)'!$AK$25:$AK$367,'Калькуляция (МЭОР)'!$F$25:$F$367,$F68,'Калькуляция (МЭОР)'!$G$25:$G$367,$G68),IF(method_reg="Метод сравнения аналогов",_xlfn.SUMIFS('Калькуляция (МСА)'!$AF$25:$AF$103,'Калькуляция (МСА)'!$F$25:$F$103,$F68,'Калькуляция (МСА)'!$G$25:$G$103,$G68),_xlfn.SUMIFS(INDEX('Калькуляция (МИ)'!$AJ$25:$BC$603,,MATCH(AN$8,'Калькуляция (МИ)'!$AJ$8:$BC$8,0)),'Калькуляция (МИ)'!$F$25:$F$603,$F68,'Калькуляция (МИ)'!$G$25:$G$603,$G68))))</f>
        <v>0</v>
      </c>
      <c r="AO68" s="1104">
        <f>IF(AM68=0,0,(AN68-AM68)/AM68*100)</f>
        <v>0</v>
      </c>
      <c r="AP68" s="4585">
        <f>IF(AND(method_reg="Метод индексации",god&lt;&gt;first_year),_xlfn.SUMIFS(INDEX('Калькуляция (МИ корр)'!$AJ$25:$BC$606,,MATCH(AP$8,'Калькуляция (МИ корр)'!$AJ$8:$BC$8,0)),'Калькуляция (МИ корр)'!$F$25:$F$606,$F68,'Калькуляция (МИ корр)'!$G$25:$G$606,$G68),IF(method_reg="Метод экономически обоснованных расходов",_xlfn.SUMIFS('Калькуляция (МЭОР)'!$AJ$25:$AJ$367,'Калькуляция (МЭОР)'!$F$25:$F$367,$F68,'Калькуляция (МЭОР)'!$G$25:$G$367,$G68),IF(method_reg="Метод сравнения аналогов",_xlfn.SUMIFS('Калькуляция (МСА)'!$AE$25:$AE$103,'Калькуляция (МСА)'!$F$25:$F$103,$F68,'Калькуляция (МСА)'!$G$25:$G$103,$G68),_xlfn.SUMIFS(INDEX('Калькуляция (МИ)'!$AJ$25:$BC$603,,MATCH(AP$8,'Калькуляция (МИ)'!$AJ$8:$BC$8,0)),'Калькуляция (МИ)'!$F$25:$F$603,$F68,'Калькуляция (МИ)'!$G$25:$G$603,$G68))))</f>
        <v>0</v>
      </c>
      <c r="AQ68" s="4585">
        <f>IF(AND(method_reg="Метод индексации",god&lt;&gt;first_year),_xlfn.SUMIFS(INDEX('Калькуляция (МИ корр)'!$AJ$25:$BC$606,,MATCH(AQ$8,'Калькуляция (МИ корр)'!$AJ$8:$BC$8,0)),'Калькуляция (МИ корр)'!$F$25:$F$606,$F68,'Калькуляция (МИ корр)'!$G$25:$G$606,$G68),IF(method_reg="Метод экономически обоснованных расходов",_xlfn.SUMIFS('Калькуляция (МЭОР)'!$AK$25:$AK$367,'Калькуляция (МЭОР)'!$F$25:$F$367,$F68,'Калькуляция (МЭОР)'!$G$25:$G$367,$G68),IF(method_reg="Метод сравнения аналогов",_xlfn.SUMIFS('Калькуляция (МСА)'!$AF$25:$AF$103,'Калькуляция (МСА)'!$F$25:$F$103,$F68,'Калькуляция (МСА)'!$G$25:$G$103,$G68),_xlfn.SUMIFS(INDEX('Калькуляция (МИ)'!$AJ$25:$BC$603,,MATCH(AQ$8,'Калькуляция (МИ)'!$AJ$8:$BC$8,0)),'Калькуляция (МИ)'!$F$25:$F$603,$F68,'Калькуляция (МИ)'!$G$25:$G$603,$G68))))</f>
        <v>0</v>
      </c>
      <c r="AR68" s="1104">
        <f>IF(AP68=0,0,(AQ68-AP68)/AP68*100)</f>
        <v>0</v>
      </c>
      <c r="AS68" s="4585">
        <f>IF(AND(method_reg="Метод индексации",god&lt;&gt;first_year),_xlfn.SUMIFS(INDEX('Калькуляция (МИ корр)'!$AJ$25:$BC$606,,MATCH(AS$8,'Калькуляция (МИ корр)'!$AJ$8:$BC$8,0)),'Калькуляция (МИ корр)'!$F$25:$F$606,$F68,'Калькуляция (МИ корр)'!$G$25:$G$606,$G68),IF(method_reg="Метод экономически обоснованных расходов",_xlfn.SUMIFS('Калькуляция (МЭОР)'!$AJ$25:$AJ$367,'Калькуляция (МЭОР)'!$F$25:$F$367,$F68,'Калькуляция (МЭОР)'!$G$25:$G$367,$G68),IF(method_reg="Метод сравнения аналогов",_xlfn.SUMIFS('Калькуляция (МСА)'!$AE$25:$AE$103,'Калькуляция (МСА)'!$F$25:$F$103,$F68,'Калькуляция (МСА)'!$G$25:$G$103,$G68),_xlfn.SUMIFS(INDEX('Калькуляция (МИ)'!$AJ$25:$BC$603,,MATCH(AS$8,'Калькуляция (МИ)'!$AJ$8:$BC$8,0)),'Калькуляция (МИ)'!$F$25:$F$603,$F68,'Калькуляция (МИ)'!$G$25:$G$603,$G68))))</f>
        <v>0</v>
      </c>
      <c r="AT68" s="4585">
        <f>IF(AND(method_reg="Метод индексации",god&lt;&gt;first_year),_xlfn.SUMIFS(INDEX('Калькуляция (МИ корр)'!$AJ$25:$BC$606,,MATCH(AT$8,'Калькуляция (МИ корр)'!$AJ$8:$BC$8,0)),'Калькуляция (МИ корр)'!$F$25:$F$606,$F68,'Калькуляция (МИ корр)'!$G$25:$G$606,$G68),IF(method_reg="Метод экономически обоснованных расходов",_xlfn.SUMIFS('Калькуляция (МЭОР)'!$AK$25:$AK$367,'Калькуляция (МЭОР)'!$F$25:$F$367,$F68,'Калькуляция (МЭОР)'!$G$25:$G$367,$G68),IF(method_reg="Метод сравнения аналогов",_xlfn.SUMIFS('Калькуляция (МСА)'!$AF$25:$AF$103,'Калькуляция (МСА)'!$F$25:$F$103,$F68,'Калькуляция (МСА)'!$G$25:$G$103,$G68),_xlfn.SUMIFS(INDEX('Калькуляция (МИ)'!$AJ$25:$BC$603,,MATCH(AT$8,'Калькуляция (МИ)'!$AJ$8:$BC$8,0)),'Калькуляция (МИ)'!$F$25:$F$603,$F68,'Калькуляция (МИ)'!$G$25:$G$603,$G68))))</f>
        <v>0</v>
      </c>
      <c r="AU68" s="1104">
        <f>IF(AS68=0,0,(AT68-AS68)/AS68*100)</f>
        <v>0</v>
      </c>
      <c r="AV68" s="4585">
        <f>IF(AND(method_reg="Метод индексации",god&lt;&gt;first_year),_xlfn.SUMIFS(INDEX('Калькуляция (МИ корр)'!$AJ$25:$BC$606,,MATCH(AV$8,'Калькуляция (МИ корр)'!$AJ$8:$BC$8,0)),'Калькуляция (МИ корр)'!$F$25:$F$606,$F68,'Калькуляция (МИ корр)'!$G$25:$G$606,$G68),IF(method_reg="Метод экономически обоснованных расходов",_xlfn.SUMIFS('Калькуляция (МЭОР)'!$AJ$25:$AJ$367,'Калькуляция (МЭОР)'!$F$25:$F$367,$F68,'Калькуляция (МЭОР)'!$G$25:$G$367,$G68),IF(method_reg="Метод сравнения аналогов",_xlfn.SUMIFS('Калькуляция (МСА)'!$AE$25:$AE$103,'Калькуляция (МСА)'!$F$25:$F$103,$F68,'Калькуляция (МСА)'!$G$25:$G$103,$G68),_xlfn.SUMIFS(INDEX('Калькуляция (МИ)'!$AJ$25:$BC$603,,MATCH(AV$8,'Калькуляция (МИ)'!$AJ$8:$BC$8,0)),'Калькуляция (МИ)'!$F$25:$F$603,$F68,'Калькуляция (МИ)'!$G$25:$G$603,$G68))))</f>
        <v>0</v>
      </c>
      <c r="AW68" s="4585">
        <f>IF(AND(method_reg="Метод индексации",god&lt;&gt;first_year),_xlfn.SUMIFS(INDEX('Калькуляция (МИ корр)'!$AJ$25:$BC$606,,MATCH(AW$8,'Калькуляция (МИ корр)'!$AJ$8:$BC$8,0)),'Калькуляция (МИ корр)'!$F$25:$F$606,$F68,'Калькуляция (МИ корр)'!$G$25:$G$606,$G68),IF(method_reg="Метод экономически обоснованных расходов",_xlfn.SUMIFS('Калькуляция (МЭОР)'!$AK$25:$AK$367,'Калькуляция (МЭОР)'!$F$25:$F$367,$F68,'Калькуляция (МЭОР)'!$G$25:$G$367,$G68),IF(method_reg="Метод сравнения аналогов",_xlfn.SUMIFS('Калькуляция (МСА)'!$AF$25:$AF$103,'Калькуляция (МСА)'!$F$25:$F$103,$F68,'Калькуляция (МСА)'!$G$25:$G$103,$G68),_xlfn.SUMIFS(INDEX('Калькуляция (МИ)'!$AJ$25:$BC$603,,MATCH(AW$8,'Калькуляция (МИ)'!$AJ$8:$BC$8,0)),'Калькуляция (МИ)'!$F$25:$F$603,$F68,'Калькуляция (МИ)'!$G$25:$G$603,$G68))))</f>
        <v>0</v>
      </c>
      <c r="AX68" s="1104">
        <f>IF(AV68=0,0,(AW68-AV68)/AV68*100)</f>
        <v>0</v>
      </c>
      <c r="AY68" s="4585">
        <f>IF(AND(method_reg="Метод индексации",god&lt;&gt;first_year),_xlfn.SUMIFS(INDEX('Калькуляция (МИ корр)'!$AJ$25:$BC$606,,MATCH(AY$8,'Калькуляция (МИ корр)'!$AJ$8:$BC$8,0)),'Калькуляция (МИ корр)'!$F$25:$F$606,$F68,'Калькуляция (МИ корр)'!$G$25:$G$606,$G68),IF(method_reg="Метод экономически обоснованных расходов",_xlfn.SUMIFS('Калькуляция (МЭОР)'!$AJ$25:$AJ$367,'Калькуляция (МЭОР)'!$F$25:$F$367,$F68,'Калькуляция (МЭОР)'!$G$25:$G$367,$G68),IF(method_reg="Метод сравнения аналогов",_xlfn.SUMIFS('Калькуляция (МСА)'!$AE$25:$AE$103,'Калькуляция (МСА)'!$F$25:$F$103,$F68,'Калькуляция (МСА)'!$G$25:$G$103,$G68),_xlfn.SUMIFS(INDEX('Калькуляция (МИ)'!$AJ$25:$BC$603,,MATCH(AY$8,'Калькуляция (МИ)'!$AJ$8:$BC$8,0)),'Калькуляция (МИ)'!$F$25:$F$603,$F68,'Калькуляция (МИ)'!$G$25:$G$603,$G68))))</f>
        <v>0</v>
      </c>
      <c r="AZ68" s="4585">
        <f>IF(AND(method_reg="Метод индексации",god&lt;&gt;first_year),_xlfn.SUMIFS(INDEX('Калькуляция (МИ корр)'!$AJ$25:$BC$606,,MATCH(AZ$8,'Калькуляция (МИ корр)'!$AJ$8:$BC$8,0)),'Калькуляция (МИ корр)'!$F$25:$F$606,$F68,'Калькуляция (МИ корр)'!$G$25:$G$606,$G68),IF(method_reg="Метод экономически обоснованных расходов",_xlfn.SUMIFS('Калькуляция (МЭОР)'!$AK$25:$AK$367,'Калькуляция (МЭОР)'!$F$25:$F$367,$F68,'Калькуляция (МЭОР)'!$G$25:$G$367,$G68),IF(method_reg="Метод сравнения аналогов",_xlfn.SUMIFS('Калькуляция (МСА)'!$AF$25:$AF$103,'Калькуляция (МСА)'!$F$25:$F$103,$F68,'Калькуляция (МСА)'!$G$25:$G$103,$G68),_xlfn.SUMIFS(INDEX('Калькуляция (МИ)'!$AJ$25:$BC$603,,MATCH(AZ$8,'Калькуляция (МИ)'!$AJ$8:$BC$8,0)),'Калькуляция (МИ)'!$F$25:$F$603,$F68,'Калькуляция (МИ)'!$G$25:$G$603,$G68))))</f>
        <v>0</v>
      </c>
      <c r="BA68" s="1104">
        <f>IF(AY68=0,0,(AZ68-AY68)/AY68*100)</f>
        <v>0</v>
      </c>
      <c r="BB68" s="4585">
        <f>IF(AND(method_reg="Метод индексации",god&lt;&gt;first_year),_xlfn.SUMIFS(INDEX('Калькуляция (МИ корр)'!$AJ$25:$BC$606,,MATCH(BB$8,'Калькуляция (МИ корр)'!$AJ$8:$BC$8,0)),'Калькуляция (МИ корр)'!$F$25:$F$606,$F68,'Калькуляция (МИ корр)'!$G$25:$G$606,$G68),IF(method_reg="Метод экономически обоснованных расходов",_xlfn.SUMIFS('Калькуляция (МЭОР)'!$AJ$25:$AJ$367,'Калькуляция (МЭОР)'!$F$25:$F$367,$F68,'Калькуляция (МЭОР)'!$G$25:$G$367,$G68),IF(method_reg="Метод сравнения аналогов",_xlfn.SUMIFS('Калькуляция (МСА)'!$AE$25:$AE$103,'Калькуляция (МСА)'!$F$25:$F$103,$F68,'Калькуляция (МСА)'!$G$25:$G$103,$G68),_xlfn.SUMIFS(INDEX('Калькуляция (МИ)'!$AJ$25:$BC$603,,MATCH(BB$8,'Калькуляция (МИ)'!$AJ$8:$BC$8,0)),'Калькуляция (МИ)'!$F$25:$F$603,$F68,'Калькуляция (МИ)'!$G$25:$G$603,$G68))))</f>
        <v>0</v>
      </c>
      <c r="BC68" s="4585">
        <f>IF(AND(method_reg="Метод индексации",god&lt;&gt;first_year),_xlfn.SUMIFS(INDEX('Калькуляция (МИ корр)'!$AJ$25:$BC$606,,MATCH(BC$8,'Калькуляция (МИ корр)'!$AJ$8:$BC$8,0)),'Калькуляция (МИ корр)'!$F$25:$F$606,$F68,'Калькуляция (МИ корр)'!$G$25:$G$606,$G68),IF(method_reg="Метод экономически обоснованных расходов",_xlfn.SUMIFS('Калькуляция (МЭОР)'!$AK$25:$AK$367,'Калькуляция (МЭОР)'!$F$25:$F$367,$F68,'Калькуляция (МЭОР)'!$G$25:$G$367,$G68),IF(method_reg="Метод сравнения аналогов",_xlfn.SUMIFS('Калькуляция (МСА)'!$AF$25:$AF$103,'Калькуляция (МСА)'!$F$25:$F$103,$F68,'Калькуляция (МСА)'!$G$25:$G$103,$G68),_xlfn.SUMIFS(INDEX('Калькуляция (МИ)'!$AJ$25:$BC$603,,MATCH(BC$8,'Калькуляция (МИ)'!$AJ$8:$BC$8,0)),'Калькуляция (МИ)'!$F$25:$F$603,$F68,'Калькуляция (МИ)'!$G$25:$G$603,$G68))))</f>
        <v>0</v>
      </c>
      <c r="BD68" s="1104">
        <f>IF(BB68=0,0,(BC68-BB68)/BB68*100)</f>
        <v>0</v>
      </c>
      <c r="BE68" s="4585">
        <f>IF(AND(method_reg="Метод индексации",god&lt;&gt;first_year),_xlfn.SUMIFS(INDEX('Калькуляция (МИ корр)'!$AJ$25:$BC$606,,MATCH(BE$8,'Калькуляция (МИ корр)'!$AJ$8:$BC$8,0)),'Калькуляция (МИ корр)'!$F$25:$F$606,$F68,'Калькуляция (МИ корр)'!$G$25:$G$606,$G68),IF(method_reg="Метод экономически обоснованных расходов",_xlfn.SUMIFS('Калькуляция (МЭОР)'!$AJ$25:$AJ$367,'Калькуляция (МЭОР)'!$F$25:$F$367,$F68,'Калькуляция (МЭОР)'!$G$25:$G$367,$G68),IF(method_reg="Метод сравнения аналогов",_xlfn.SUMIFS('Калькуляция (МСА)'!$AE$25:$AE$103,'Калькуляция (МСА)'!$F$25:$F$103,$F68,'Калькуляция (МСА)'!$G$25:$G$103,$G68),_xlfn.SUMIFS(INDEX('Калькуляция (МИ)'!$AJ$25:$BC$603,,MATCH(BE$8,'Калькуляция (МИ)'!$AJ$8:$BC$8,0)),'Калькуляция (МИ)'!$F$25:$F$603,$F68,'Калькуляция (МИ)'!$G$25:$G$603,$G68))))</f>
        <v>0</v>
      </c>
      <c r="BF68" s="4585">
        <f>IF(AND(method_reg="Метод индексации",god&lt;&gt;first_year),_xlfn.SUMIFS(INDEX('Калькуляция (МИ корр)'!$AJ$25:$BC$606,,MATCH(BF$8,'Калькуляция (МИ корр)'!$AJ$8:$BC$8,0)),'Калькуляция (МИ корр)'!$F$25:$F$606,$F68,'Калькуляция (МИ корр)'!$G$25:$G$606,$G68),IF(method_reg="Метод экономически обоснованных расходов",_xlfn.SUMIFS('Калькуляция (МЭОР)'!$AK$25:$AK$367,'Калькуляция (МЭОР)'!$F$25:$F$367,$F68,'Калькуляция (МЭОР)'!$G$25:$G$367,$G68),IF(method_reg="Метод сравнения аналогов",_xlfn.SUMIFS('Калькуляция (МСА)'!$AF$25:$AF$103,'Калькуляция (МСА)'!$F$25:$F$103,$F68,'Калькуляция (МСА)'!$G$25:$G$103,$G68),_xlfn.SUMIFS(INDEX('Калькуляция (МИ)'!$AJ$25:$BC$603,,MATCH(BF$8,'Калькуляция (МИ)'!$AJ$8:$BC$8,0)),'Калькуляция (МИ)'!$F$25:$F$603,$F68,'Калькуляция (МИ)'!$G$25:$G$603,$G68))))</f>
        <v>0</v>
      </c>
      <c r="BG68" s="1104">
        <f>IF(BE68=0,0,(BF68-BE68)/BE68*100)</f>
        <v>0</v>
      </c>
      <c r="BH68" s="4585"/>
      <c r="BI68" s="4585"/>
      <c r="BJ68" s="1104">
        <f>IF(BH68=0,0,(BI68-BH68)/BH68*100)</f>
        <v>0</v>
      </c>
      <c r="BK68" s="4585"/>
      <c r="BL68" s="4585"/>
      <c r="BM68" s="1104">
        <f>IF(BK68=0,0,(BL68-BK68)/BK68*100)</f>
        <v>0</v>
      </c>
      <c r="BN68" s="4585"/>
      <c r="BO68" s="4585"/>
      <c r="BP68" s="1104">
        <f>IF(BN68=0,0,(BO68-BN68)/BN68*100)</f>
        <v>0</v>
      </c>
      <c r="BQ68" s="4585"/>
      <c r="BR68" s="4585"/>
      <c r="BS68" s="1104">
        <f>IF(BQ68=0,0,(BR68-BQ68)/BQ68*100)</f>
        <v>0</v>
      </c>
      <c r="BT68" s="4585"/>
      <c r="BU68" s="4585"/>
      <c r="BV68" s="1104">
        <f>IF(BT68=0,0,(BU68-BT68)/BT68*100)</f>
        <v>0</v>
      </c>
      <c r="BW68" s="4585"/>
      <c r="BX68" s="4585"/>
      <c r="BY68" s="1104">
        <f>IF(BW68=0,0,(BX68-BW68)/BW68*100)</f>
        <v>0</v>
      </c>
      <c r="BZ68" s="4585"/>
      <c r="CA68" s="4585"/>
      <c r="CB68" s="1104">
        <f>IF(BZ68=0,0,(CA68-BZ68)/BZ68*100)</f>
        <v>0</v>
      </c>
      <c r="CC68" s="4585"/>
      <c r="CD68" s="4585"/>
      <c r="CE68" s="1104">
        <f>IF(CC68=0,0,(CD68-CC68)/CC68*100)</f>
        <v>0</v>
      </c>
      <c r="CF68" s="4585"/>
      <c r="CG68" s="4585"/>
      <c r="CH68" s="1104">
        <f>IF(CF68=0,0,(CG68-CF68)/CF68*100)</f>
        <v>0</v>
      </c>
      <c r="CI68" s="4585"/>
      <c r="CJ68" s="4585"/>
      <c r="CK68" s="1104">
        <f>IF(CI68=0,0,(CJ68-CI68)/CI68*100)</f>
        <v>0</v>
      </c>
      <c r="CL68" s="4585"/>
      <c r="CM68" s="4585"/>
      <c r="CN68" s="1104">
        <f>IF(CL68=0,0,(CM68-CL68)/CL68*100)</f>
        <v>0</v>
      </c>
      <c r="CO68" s="4585"/>
      <c r="CP68" s="4585"/>
      <c r="CQ68" s="1104">
        <f>IF(CO68=0,0,(CP68-CO68)/CO68*100)</f>
        <v>0</v>
      </c>
      <c r="CR68" s="4585"/>
      <c r="CS68" s="4585"/>
      <c r="CT68" s="1104">
        <f>IF(CR68=0,0,(CS68-CR68)/CR68*100)</f>
        <v>0</v>
      </c>
      <c r="CU68" s="4585"/>
      <c r="CV68" s="4585"/>
      <c r="CW68" s="1104">
        <f>IF(CU68=0,0,(CV68-CU68)/CU68*100)</f>
        <v>0</v>
      </c>
      <c r="CX68" s="4585"/>
      <c r="CY68" s="4585"/>
      <c r="CZ68" s="1104">
        <f>IF(CX68=0,0,(CY68-CX68)/CX68*100)</f>
        <v>0</v>
      </c>
      <c r="DA68" s="4585"/>
      <c r="DB68" s="4585"/>
      <c r="DC68" s="1104">
        <f>IF(DA68=0,0,(DB68-DA68)/DA68*100)</f>
        <v>0</v>
      </c>
      <c r="DD68" s="4585"/>
      <c r="DE68" s="4585"/>
      <c r="DF68" s="1104">
        <f>IF(DD68=0,0,(DE68-DD68)/DD68*100)</f>
        <v>0</v>
      </c>
      <c r="DG68" s="4585"/>
      <c r="DH68" s="4585"/>
      <c r="DI68" s="1104">
        <f>IF(DG68=0,0,(DH68-DG68)/DG68*100)</f>
        <v>0</v>
      </c>
      <c r="DJ68" s="4585"/>
      <c r="DK68" s="4585"/>
      <c r="DL68" s="1104">
        <f>IF(DJ68=0,0,(DK68-DJ68)/DJ68*100)</f>
        <v>0</v>
      </c>
      <c r="DM68" s="4585"/>
      <c r="DN68" s="4585"/>
      <c r="DO68" s="1104">
        <f>IF(DM68=0,0,(DN68-DM68)/DM68*100)</f>
        <v>0</v>
      </c>
      <c r="DP68" s="4585"/>
      <c r="DQ68" s="4585"/>
      <c r="DR68" s="1104">
        <f>IF(DP68=0,0,(DQ68-DP68)/DP68*100)</f>
        <v>0</v>
      </c>
      <c r="DS68" s="4585"/>
      <c r="DT68" s="4585"/>
      <c r="DU68" s="1104">
        <f>IF(DS68=0,0,(DT68-DS68)/DS68*100)</f>
        <v>0</v>
      </c>
      <c r="DV68" s="4585"/>
      <c r="DW68" s="4585"/>
      <c r="DX68" s="1104">
        <f>IF(DV68=0,0,(DW68-DV68)/DV68*100)</f>
        <v>0</v>
      </c>
      <c r="DY68" s="4585"/>
      <c r="DZ68" s="4585"/>
      <c r="EA68" s="1104">
        <f>IF(DY68=0,0,(DZ68-DY68)/DY68*100)</f>
        <v>0</v>
      </c>
      <c r="EB68" s="4585"/>
      <c r="EC68" s="4585"/>
      <c r="ED68" s="1104">
        <f>IF(EB68=0,0,(EC68-EB68)/EB68*100)</f>
        <v>0</v>
      </c>
      <c r="EE68" s="4585"/>
      <c r="EF68" s="4585"/>
      <c r="EG68" s="1104">
        <f>IF(EE68=0,0,(EF68-EE68)/EE68*100)</f>
        <v>0</v>
      </c>
      <c r="EH68" s="4585"/>
      <c r="EI68" s="4585"/>
      <c r="EJ68" s="1104">
        <f>IF(EH68=0,0,(EI68-EH68)/EH68*100)</f>
        <v>0</v>
      </c>
      <c r="EK68" s="4585"/>
      <c r="EL68" s="4585"/>
      <c r="EM68" s="1104">
        <f>IF(EK68=0,0,(EL68-EK68)/EK68*100)</f>
        <v>0</v>
      </c>
      <c r="EN68" s="4585"/>
      <c r="EO68" s="4585"/>
      <c r="EP68" s="1104">
        <f>IF(EN68=0,0,(EO68-EN68)/EN68*100)</f>
        <v>0</v>
      </c>
      <c r="EQ68" s="4585"/>
      <c r="ER68" s="4585"/>
      <c r="ES68" s="1104">
        <f>IF(EQ68=0,0,(ER68-EQ68)/EQ68*100)</f>
        <v>0</v>
      </c>
      <c r="ET68" s="4585"/>
      <c r="EU68" s="4585"/>
      <c r="EV68" s="1104">
        <f>IF(ET68=0,0,(EU68-ET68)/ET68*100)</f>
        <v>0</v>
      </c>
      <c r="EW68" s="4585"/>
      <c r="EX68" s="4585"/>
      <c r="EY68" s="1104">
        <f>IF(EW68=0,0,(EX68-EW68)/EW68*100)</f>
        <v>0</v>
      </c>
      <c r="EZ68" s="4585"/>
      <c r="FA68" s="4585"/>
      <c r="FB68" s="1104">
        <f>IF(EZ68=0,0,(FA68-EZ68)/EZ68*100)</f>
        <v>0</v>
      </c>
      <c r="FC68" s="4585"/>
      <c r="FD68" s="4585"/>
      <c r="FE68" s="1104">
        <f>IF(FC68=0,0,(FD68-FC68)/FC68*100)</f>
        <v>0</v>
      </c>
      <c r="FF68" s="4585"/>
      <c r="FG68" s="4585"/>
      <c r="FH68" s="1104">
        <f>IF(FF68=0,0,(FG68-FF68)/FF68*100)</f>
        <v>0</v>
      </c>
      <c r="FI68" s="4585"/>
      <c r="FJ68" s="4585"/>
      <c r="FK68" s="1104">
        <f>IF(FI68=0,0,(FJ68-FI68)/FI68*100)</f>
        <v>0</v>
      </c>
      <c r="FL68" s="4585"/>
      <c r="FM68" s="4585"/>
      <c r="FN68" s="1104">
        <f>IF(FL68=0,0,(FM68-FL68)/FL68*100)</f>
        <v>0</v>
      </c>
      <c r="FO68" s="4585"/>
      <c r="FP68" s="4585"/>
      <c r="FQ68" s="1104">
        <f>IF(FO68=0,0,(FP68-FO68)/FO68*100)</f>
        <v>0</v>
      </c>
      <c r="FR68" s="4585"/>
      <c r="FS68" s="4585"/>
      <c r="FT68" s="1104">
        <f>IF(FR68=0,0,(FS68-FR68)/FR68*100)</f>
        <v>0</v>
      </c>
      <c r="FU68" s="4585"/>
      <c r="FV68" s="4585"/>
      <c r="FW68" s="1104">
        <f>IF(FU68=0,0,(FV68-FU68)/FU68*100)</f>
        <v>0</v>
      </c>
      <c r="FX68" s="1328"/>
      <c r="FY68" s="1328"/>
      <c r="FZ68" s="1063" t="s">
        <v>1926</v>
      </c>
      <c r="GA68" s="1330"/>
      <c r="GB68" s="1330"/>
      <c r="GC68" s="1329"/>
      <c r="GD68" s="1329"/>
    </row>
    <row customHeight="1" ht="21.9375" hidden="1">
      <c r="A69" s="496"/>
      <c r="B69" s="932" cm="1" t="str">
        <f t="array" ref="B69:B69">B68</f>
        <v>false</v>
      </c>
      <c r="C69" s="496"/>
      <c r="D69" s="496"/>
      <c r="E69" s="847">
        <v>22.5</v>
      </c>
      <c r="F69" s="50" cm="1" t="str">
        <f t="array" ref="F69:F69">OFFSET(E69,-1,1)</f>
        <v>0</v>
      </c>
      <c r="G69" s="496"/>
      <c r="H69" s="496" t="s">
        <v>1901</v>
      </c>
      <c r="I69" s="496" t="s">
        <v>1879</v>
      </c>
      <c r="J69" s="496"/>
      <c r="K69" s="496"/>
      <c r="L69" s="496"/>
      <c r="M69" s="496"/>
      <c r="N69" s="496"/>
      <c r="O69" s="496"/>
      <c r="P69" s="496"/>
      <c r="Q69" s="496"/>
      <c r="R69" s="496"/>
      <c r="S69" s="496"/>
      <c r="T69" s="468" cm="1" t="str">
        <f t="array" ref="T69:T69">T68</f>
        <v>false</v>
      </c>
      <c r="U69" s="496"/>
      <c r="V69" s="496"/>
      <c r="W69" s="496"/>
      <c r="X69" s="1559"/>
      <c r="Y69" s="496"/>
      <c r="Z69" s="1528"/>
      <c r="AA69" s="496"/>
      <c r="AB69" s="911"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69" s="871" t="s">
        <v>1902</v>
      </c>
      <c r="AD69" s="4591"/>
      <c r="AE69" s="4591"/>
      <c r="AF69" s="1102">
        <f>IF(AD69=0,0,(AE69-AD69)/AD69*100)</f>
        <v>0</v>
      </c>
      <c r="AG69" s="4591"/>
      <c r="AH69" s="4591"/>
      <c r="AI69" s="1102">
        <f>IF(AG69=0,0,(AH69-AG69)/AG69*100)</f>
        <v>0</v>
      </c>
      <c r="AJ69" s="4591"/>
      <c r="AK69" s="4591"/>
      <c r="AL69" s="1102">
        <f>IF(AJ69=0,0,(AK69-AJ69)/AJ69*100)</f>
        <v>0</v>
      </c>
      <c r="AM69" s="4591"/>
      <c r="AN69" s="4591"/>
      <c r="AO69" s="1102">
        <f>IF(AM69=0,0,(AN69-AM69)/AM69*100)</f>
        <v>0</v>
      </c>
      <c r="AP69" s="4591"/>
      <c r="AQ69" s="4591"/>
      <c r="AR69" s="1102">
        <f>IF(AP69=0,0,(AQ69-AP69)/AP69*100)</f>
        <v>0</v>
      </c>
      <c r="AS69" s="4591"/>
      <c r="AT69" s="4591"/>
      <c r="AU69" s="1102">
        <f>IF(AS69=0,0,(AT69-AS69)/AS69*100)</f>
        <v>0</v>
      </c>
      <c r="AV69" s="4591"/>
      <c r="AW69" s="4591"/>
      <c r="AX69" s="1102">
        <f>IF(AV69=0,0,(AW69-AV69)/AV69*100)</f>
        <v>0</v>
      </c>
      <c r="AY69" s="4591"/>
      <c r="AZ69" s="4591"/>
      <c r="BA69" s="1102">
        <f>IF(AY69=0,0,(AZ69-AY69)/AY69*100)</f>
        <v>0</v>
      </c>
      <c r="BB69" s="4591"/>
      <c r="BC69" s="4591"/>
      <c r="BD69" s="1102">
        <f>IF(BB69=0,0,(BC69-BB69)/BB69*100)</f>
        <v>0</v>
      </c>
      <c r="BE69" s="4591"/>
      <c r="BF69" s="4591"/>
      <c r="BG69" s="1102">
        <f>IF(BE69=0,0,(BF69-BE69)/BE69*100)</f>
        <v>0</v>
      </c>
      <c r="BH69" s="4591"/>
      <c r="BI69" s="4591"/>
      <c r="BJ69" s="1102">
        <f>IF(BH69=0,0,(BI69-BH69)/BH69*100)</f>
        <v>0</v>
      </c>
      <c r="BK69" s="4591"/>
      <c r="BL69" s="4591"/>
      <c r="BM69" s="1102">
        <f>IF(BK69=0,0,(BL69-BK69)/BK69*100)</f>
        <v>0</v>
      </c>
      <c r="BN69" s="4591"/>
      <c r="BO69" s="4591"/>
      <c r="BP69" s="1102">
        <f>IF(BN69=0,0,(BO69-BN69)/BN69*100)</f>
        <v>0</v>
      </c>
      <c r="BQ69" s="4591"/>
      <c r="BR69" s="4591"/>
      <c r="BS69" s="1102">
        <f>IF(BQ69=0,0,(BR69-BQ69)/BQ69*100)</f>
        <v>0</v>
      </c>
      <c r="BT69" s="4591"/>
      <c r="BU69" s="4591"/>
      <c r="BV69" s="1102">
        <f>IF(BT69=0,0,(BU69-BT69)/BT69*100)</f>
        <v>0</v>
      </c>
      <c r="BW69" s="4591"/>
      <c r="BX69" s="4591"/>
      <c r="BY69" s="1102">
        <f>IF(BW69=0,0,(BX69-BW69)/BW69*100)</f>
        <v>0</v>
      </c>
      <c r="BZ69" s="4591"/>
      <c r="CA69" s="4591"/>
      <c r="CB69" s="1102">
        <f>IF(BZ69=0,0,(CA69-BZ69)/BZ69*100)</f>
        <v>0</v>
      </c>
      <c r="CC69" s="4591"/>
      <c r="CD69" s="4591"/>
      <c r="CE69" s="1102">
        <f>IF(CC69=0,0,(CD69-CC69)/CC69*100)</f>
        <v>0</v>
      </c>
      <c r="CF69" s="4591"/>
      <c r="CG69" s="4591"/>
      <c r="CH69" s="1102">
        <f>IF(CF69=0,0,(CG69-CF69)/CF69*100)</f>
        <v>0</v>
      </c>
      <c r="CI69" s="4591"/>
      <c r="CJ69" s="4591"/>
      <c r="CK69" s="1102">
        <f>IF(CI69=0,0,(CJ69-CI69)/CI69*100)</f>
        <v>0</v>
      </c>
      <c r="CL69" s="4591"/>
      <c r="CM69" s="4591"/>
      <c r="CN69" s="1102">
        <f>IF(CL69=0,0,(CM69-CL69)/CL69*100)</f>
        <v>0</v>
      </c>
      <c r="CO69" s="4591"/>
      <c r="CP69" s="4591"/>
      <c r="CQ69" s="1102">
        <f>IF(CO69=0,0,(CP69-CO69)/CO69*100)</f>
        <v>0</v>
      </c>
      <c r="CR69" s="4591"/>
      <c r="CS69" s="4591"/>
      <c r="CT69" s="1102">
        <f>IF(CR69=0,0,(CS69-CR69)/CR69*100)</f>
        <v>0</v>
      </c>
      <c r="CU69" s="4591"/>
      <c r="CV69" s="4591"/>
      <c r="CW69" s="1102">
        <f>IF(CU69=0,0,(CV69-CU69)/CU69*100)</f>
        <v>0</v>
      </c>
      <c r="CX69" s="4591"/>
      <c r="CY69" s="4591"/>
      <c r="CZ69" s="1102">
        <f>IF(CX69=0,0,(CY69-CX69)/CX69*100)</f>
        <v>0</v>
      </c>
      <c r="DA69" s="4591"/>
      <c r="DB69" s="4591"/>
      <c r="DC69" s="1102">
        <f>IF(DA69=0,0,(DB69-DA69)/DA69*100)</f>
        <v>0</v>
      </c>
      <c r="DD69" s="4591"/>
      <c r="DE69" s="4591"/>
      <c r="DF69" s="1102">
        <f>IF(DD69=0,0,(DE69-DD69)/DD69*100)</f>
        <v>0</v>
      </c>
      <c r="DG69" s="4591"/>
      <c r="DH69" s="4591"/>
      <c r="DI69" s="1102">
        <f>IF(DG69=0,0,(DH69-DG69)/DG69*100)</f>
        <v>0</v>
      </c>
      <c r="DJ69" s="4591"/>
      <c r="DK69" s="4591"/>
      <c r="DL69" s="1102">
        <f>IF(DJ69=0,0,(DK69-DJ69)/DJ69*100)</f>
        <v>0</v>
      </c>
      <c r="DM69" s="4591"/>
      <c r="DN69" s="4591"/>
      <c r="DO69" s="1102">
        <f>IF(DM69=0,0,(DN69-DM69)/DM69*100)</f>
        <v>0</v>
      </c>
      <c r="DP69" s="4591"/>
      <c r="DQ69" s="4591"/>
      <c r="DR69" s="1102">
        <f>IF(DP69=0,0,(DQ69-DP69)/DP69*100)</f>
        <v>0</v>
      </c>
      <c r="DS69" s="4591"/>
      <c r="DT69" s="4591"/>
      <c r="DU69" s="1102">
        <f>IF(DS69=0,0,(DT69-DS69)/DS69*100)</f>
        <v>0</v>
      </c>
      <c r="DV69" s="4591"/>
      <c r="DW69" s="4591"/>
      <c r="DX69" s="1102">
        <f>IF(DV69=0,0,(DW69-DV69)/DV69*100)</f>
        <v>0</v>
      </c>
      <c r="DY69" s="4591"/>
      <c r="DZ69" s="4591"/>
      <c r="EA69" s="1102">
        <f>IF(DY69=0,0,(DZ69-DY69)/DY69*100)</f>
        <v>0</v>
      </c>
      <c r="EB69" s="4591"/>
      <c r="EC69" s="4591"/>
      <c r="ED69" s="1102">
        <f>IF(EB69=0,0,(EC69-EB69)/EB69*100)</f>
        <v>0</v>
      </c>
      <c r="EE69" s="4591"/>
      <c r="EF69" s="4591"/>
      <c r="EG69" s="1102">
        <f>IF(EE69=0,0,(EF69-EE69)/EE69*100)</f>
        <v>0</v>
      </c>
      <c r="EH69" s="4591"/>
      <c r="EI69" s="4591"/>
      <c r="EJ69" s="1102">
        <f>IF(EH69=0,0,(EI69-EH69)/EH69*100)</f>
        <v>0</v>
      </c>
      <c r="EK69" s="4591"/>
      <c r="EL69" s="4591"/>
      <c r="EM69" s="1102">
        <f>IF(EK69=0,0,(EL69-EK69)/EK69*100)</f>
        <v>0</v>
      </c>
      <c r="EN69" s="4591"/>
      <c r="EO69" s="4591"/>
      <c r="EP69" s="1102">
        <f>IF(EN69=0,0,(EO69-EN69)/EN69*100)</f>
        <v>0</v>
      </c>
      <c r="EQ69" s="4591"/>
      <c r="ER69" s="4591"/>
      <c r="ES69" s="1102">
        <f>IF(EQ69=0,0,(ER69-EQ69)/EQ69*100)</f>
        <v>0</v>
      </c>
      <c r="ET69" s="4591"/>
      <c r="EU69" s="4591"/>
      <c r="EV69" s="1102">
        <f>IF(ET69=0,0,(EU69-ET69)/ET69*100)</f>
        <v>0</v>
      </c>
      <c r="EW69" s="4591"/>
      <c r="EX69" s="4591"/>
      <c r="EY69" s="1102">
        <f>IF(EW69=0,0,(EX69-EW69)/EW69*100)</f>
        <v>0</v>
      </c>
      <c r="EZ69" s="4591"/>
      <c r="FA69" s="4591"/>
      <c r="FB69" s="1102">
        <f>IF(EZ69=0,0,(FA69-EZ69)/EZ69*100)</f>
        <v>0</v>
      </c>
      <c r="FC69" s="4591"/>
      <c r="FD69" s="4591"/>
      <c r="FE69" s="1102">
        <f>IF(FC69=0,0,(FD69-FC69)/FC69*100)</f>
        <v>0</v>
      </c>
      <c r="FF69" s="4591"/>
      <c r="FG69" s="4591"/>
      <c r="FH69" s="1102">
        <f>IF(FF69=0,0,(FG69-FF69)/FF69*100)</f>
        <v>0</v>
      </c>
      <c r="FI69" s="4591"/>
      <c r="FJ69" s="4591"/>
      <c r="FK69" s="1102">
        <f>IF(FI69=0,0,(FJ69-FI69)/FI69*100)</f>
        <v>0</v>
      </c>
      <c r="FL69" s="4591"/>
      <c r="FM69" s="4591"/>
      <c r="FN69" s="1102">
        <f>IF(FL69=0,0,(FM69-FL69)/FL69*100)</f>
        <v>0</v>
      </c>
      <c r="FO69" s="4591"/>
      <c r="FP69" s="4591"/>
      <c r="FQ69" s="1102">
        <f>IF(FO69=0,0,(FP69-FO69)/FO69*100)</f>
        <v>0</v>
      </c>
      <c r="FR69" s="4591"/>
      <c r="FS69" s="4591"/>
      <c r="FT69" s="1102">
        <f>IF(FR69=0,0,(FS69-FR69)/FR69*100)</f>
        <v>0</v>
      </c>
      <c r="FU69" s="4591"/>
      <c r="FV69" s="4591"/>
      <c r="FW69" s="1102">
        <f>IF(FU69=0,0,(FV69-FU69)/FU69*100)</f>
        <v>0</v>
      </c>
      <c r="FX69" s="1328"/>
      <c r="FY69" s="1328"/>
      <c r="FZ69" s="1063" t="s">
        <v>1927</v>
      </c>
      <c r="GA69" s="1330"/>
      <c r="GB69" s="1330"/>
      <c r="GC69" s="1329"/>
      <c r="GD69" s="1329"/>
    </row>
    <row customHeight="1" ht="14.625" hidden="1">
      <c r="A70" s="496"/>
      <c r="B70" s="932" cm="1" t="str">
        <f t="array" ref="B70:B70">B69</f>
        <v>false</v>
      </c>
      <c r="C70" s="496"/>
      <c r="D70" s="496"/>
      <c r="E70" s="847">
        <v>15</v>
      </c>
      <c r="F70" s="50" cm="1" t="str">
        <f t="array" ref="F70:F70">OFFSET(E70,-1,1)</f>
        <v>0</v>
      </c>
      <c r="G70" s="496"/>
      <c r="H70" s="496" t="s">
        <v>1904</v>
      </c>
      <c r="I70" s="496" t="s">
        <v>1879</v>
      </c>
      <c r="J70" s="496"/>
      <c r="K70" s="496"/>
      <c r="L70" s="496"/>
      <c r="M70" s="496"/>
      <c r="N70" s="496"/>
      <c r="O70" s="496"/>
      <c r="P70" s="496"/>
      <c r="Q70" s="496"/>
      <c r="R70" s="496"/>
      <c r="S70" s="496"/>
      <c r="T70" s="468" cm="1" t="str">
        <f t="array" ref="T70:T70">T69</f>
        <v>false</v>
      </c>
      <c r="U70" s="496"/>
      <c r="V70" s="496"/>
      <c r="W70" s="496"/>
      <c r="X70" s="1559"/>
      <c r="Y70" s="496"/>
      <c r="Z70" s="1528"/>
      <c r="AA70" s="496"/>
      <c r="AB70" s="911" t="s">
        <v>1905</v>
      </c>
      <c r="AC70" s="871" t="s">
        <v>1906</v>
      </c>
      <c r="AD70" s="4591"/>
      <c r="AE70" s="4591"/>
      <c r="AF70" s="1102">
        <f>IF(AD70=0,0,(AE70-AD70)/AD70*100)</f>
        <v>0</v>
      </c>
      <c r="AG70" s="4591"/>
      <c r="AH70" s="4591"/>
      <c r="AI70" s="1102">
        <f>IF(AG70=0,0,(AH70-AG70)/AG70*100)</f>
        <v>0</v>
      </c>
      <c r="AJ70" s="4591"/>
      <c r="AK70" s="4591"/>
      <c r="AL70" s="1102">
        <f>IF(AJ70=0,0,(AK70-AJ70)/AJ70*100)</f>
        <v>0</v>
      </c>
      <c r="AM70" s="4591"/>
      <c r="AN70" s="4591"/>
      <c r="AO70" s="1102">
        <f>IF(AM70=0,0,(AN70-AM70)/AM70*100)</f>
        <v>0</v>
      </c>
      <c r="AP70" s="4591"/>
      <c r="AQ70" s="4591"/>
      <c r="AR70" s="1102">
        <f>IF(AP70=0,0,(AQ70-AP70)/AP70*100)</f>
        <v>0</v>
      </c>
      <c r="AS70" s="4591"/>
      <c r="AT70" s="4591"/>
      <c r="AU70" s="1102">
        <f>IF(AS70=0,0,(AT70-AS70)/AS70*100)</f>
        <v>0</v>
      </c>
      <c r="AV70" s="4591"/>
      <c r="AW70" s="4591"/>
      <c r="AX70" s="1102">
        <f>IF(AV70=0,0,(AW70-AV70)/AV70*100)</f>
        <v>0</v>
      </c>
      <c r="AY70" s="4591"/>
      <c r="AZ70" s="4591"/>
      <c r="BA70" s="1102">
        <f>IF(AY70=0,0,(AZ70-AY70)/AY70*100)</f>
        <v>0</v>
      </c>
      <c r="BB70" s="4591"/>
      <c r="BC70" s="4591"/>
      <c r="BD70" s="1102">
        <f>IF(BB70=0,0,(BC70-BB70)/BB70*100)</f>
        <v>0</v>
      </c>
      <c r="BE70" s="4591"/>
      <c r="BF70" s="4591"/>
      <c r="BG70" s="1102">
        <f>IF(BE70=0,0,(BF70-BE70)/BE70*100)</f>
        <v>0</v>
      </c>
      <c r="BH70" s="4591"/>
      <c r="BI70" s="4591"/>
      <c r="BJ70" s="1102">
        <f>IF(BH70=0,0,(BI70-BH70)/BH70*100)</f>
        <v>0</v>
      </c>
      <c r="BK70" s="4591"/>
      <c r="BL70" s="4591"/>
      <c r="BM70" s="1102">
        <f>IF(BK70=0,0,(BL70-BK70)/BK70*100)</f>
        <v>0</v>
      </c>
      <c r="BN70" s="4591"/>
      <c r="BO70" s="4591"/>
      <c r="BP70" s="1102">
        <f>IF(BN70=0,0,(BO70-BN70)/BN70*100)</f>
        <v>0</v>
      </c>
      <c r="BQ70" s="4591"/>
      <c r="BR70" s="4591"/>
      <c r="BS70" s="1102">
        <f>IF(BQ70=0,0,(BR70-BQ70)/BQ70*100)</f>
        <v>0</v>
      </c>
      <c r="BT70" s="4591"/>
      <c r="BU70" s="4591"/>
      <c r="BV70" s="1102">
        <f>IF(BT70=0,0,(BU70-BT70)/BT70*100)</f>
        <v>0</v>
      </c>
      <c r="BW70" s="4591"/>
      <c r="BX70" s="4591"/>
      <c r="BY70" s="1102">
        <f>IF(BW70=0,0,(BX70-BW70)/BW70*100)</f>
        <v>0</v>
      </c>
      <c r="BZ70" s="4591"/>
      <c r="CA70" s="4591"/>
      <c r="CB70" s="1102">
        <f>IF(BZ70=0,0,(CA70-BZ70)/BZ70*100)</f>
        <v>0</v>
      </c>
      <c r="CC70" s="4591"/>
      <c r="CD70" s="4591"/>
      <c r="CE70" s="1102">
        <f>IF(CC70=0,0,(CD70-CC70)/CC70*100)</f>
        <v>0</v>
      </c>
      <c r="CF70" s="4591"/>
      <c r="CG70" s="4591"/>
      <c r="CH70" s="1102">
        <f>IF(CF70=0,0,(CG70-CF70)/CF70*100)</f>
        <v>0</v>
      </c>
      <c r="CI70" s="4591"/>
      <c r="CJ70" s="4591"/>
      <c r="CK70" s="1102">
        <f>IF(CI70=0,0,(CJ70-CI70)/CI70*100)</f>
        <v>0</v>
      </c>
      <c r="CL70" s="4591"/>
      <c r="CM70" s="4591"/>
      <c r="CN70" s="1102">
        <f>IF(CL70=0,0,(CM70-CL70)/CL70*100)</f>
        <v>0</v>
      </c>
      <c r="CO70" s="4591"/>
      <c r="CP70" s="4591"/>
      <c r="CQ70" s="1102">
        <f>IF(CO70=0,0,(CP70-CO70)/CO70*100)</f>
        <v>0</v>
      </c>
      <c r="CR70" s="4591"/>
      <c r="CS70" s="4591"/>
      <c r="CT70" s="1102">
        <f>IF(CR70=0,0,(CS70-CR70)/CR70*100)</f>
        <v>0</v>
      </c>
      <c r="CU70" s="4591"/>
      <c r="CV70" s="4591"/>
      <c r="CW70" s="1102">
        <f>IF(CU70=0,0,(CV70-CU70)/CU70*100)</f>
        <v>0</v>
      </c>
      <c r="CX70" s="4591"/>
      <c r="CY70" s="4591"/>
      <c r="CZ70" s="1102">
        <f>IF(CX70=0,0,(CY70-CX70)/CX70*100)</f>
        <v>0</v>
      </c>
      <c r="DA70" s="4591"/>
      <c r="DB70" s="4591"/>
      <c r="DC70" s="1102">
        <f>IF(DA70=0,0,(DB70-DA70)/DA70*100)</f>
        <v>0</v>
      </c>
      <c r="DD70" s="4591"/>
      <c r="DE70" s="4591"/>
      <c r="DF70" s="1102">
        <f>IF(DD70=0,0,(DE70-DD70)/DD70*100)</f>
        <v>0</v>
      </c>
      <c r="DG70" s="4591"/>
      <c r="DH70" s="4591"/>
      <c r="DI70" s="1102">
        <f>IF(DG70=0,0,(DH70-DG70)/DG70*100)</f>
        <v>0</v>
      </c>
      <c r="DJ70" s="4591"/>
      <c r="DK70" s="4591"/>
      <c r="DL70" s="1102">
        <f>IF(DJ70=0,0,(DK70-DJ70)/DJ70*100)</f>
        <v>0</v>
      </c>
      <c r="DM70" s="4591"/>
      <c r="DN70" s="4591"/>
      <c r="DO70" s="1102">
        <f>IF(DM70=0,0,(DN70-DM70)/DM70*100)</f>
        <v>0</v>
      </c>
      <c r="DP70" s="4591"/>
      <c r="DQ70" s="4591"/>
      <c r="DR70" s="1102">
        <f>IF(DP70=0,0,(DQ70-DP70)/DP70*100)</f>
        <v>0</v>
      </c>
      <c r="DS70" s="4591"/>
      <c r="DT70" s="4591"/>
      <c r="DU70" s="1102">
        <f>IF(DS70=0,0,(DT70-DS70)/DS70*100)</f>
        <v>0</v>
      </c>
      <c r="DV70" s="4591"/>
      <c r="DW70" s="4591"/>
      <c r="DX70" s="1102">
        <f>IF(DV70=0,0,(DW70-DV70)/DV70*100)</f>
        <v>0</v>
      </c>
      <c r="DY70" s="4591"/>
      <c r="DZ70" s="4591"/>
      <c r="EA70" s="1102">
        <f>IF(DY70=0,0,(DZ70-DY70)/DY70*100)</f>
        <v>0</v>
      </c>
      <c r="EB70" s="4591"/>
      <c r="EC70" s="4591"/>
      <c r="ED70" s="1102">
        <f>IF(EB70=0,0,(EC70-EB70)/EB70*100)</f>
        <v>0</v>
      </c>
      <c r="EE70" s="4591"/>
      <c r="EF70" s="4591"/>
      <c r="EG70" s="1102">
        <f>IF(EE70=0,0,(EF70-EE70)/EE70*100)</f>
        <v>0</v>
      </c>
      <c r="EH70" s="4591"/>
      <c r="EI70" s="4591"/>
      <c r="EJ70" s="1102">
        <f>IF(EH70=0,0,(EI70-EH70)/EH70*100)</f>
        <v>0</v>
      </c>
      <c r="EK70" s="4591"/>
      <c r="EL70" s="4591"/>
      <c r="EM70" s="1102">
        <f>IF(EK70=0,0,(EL70-EK70)/EK70*100)</f>
        <v>0</v>
      </c>
      <c r="EN70" s="4591"/>
      <c r="EO70" s="4591"/>
      <c r="EP70" s="1102">
        <f>IF(EN70=0,0,(EO70-EN70)/EN70*100)</f>
        <v>0</v>
      </c>
      <c r="EQ70" s="4591"/>
      <c r="ER70" s="4591"/>
      <c r="ES70" s="1102">
        <f>IF(EQ70=0,0,(ER70-EQ70)/EQ70*100)</f>
        <v>0</v>
      </c>
      <c r="ET70" s="4591"/>
      <c r="EU70" s="4591"/>
      <c r="EV70" s="1102">
        <f>IF(ET70=0,0,(EU70-ET70)/ET70*100)</f>
        <v>0</v>
      </c>
      <c r="EW70" s="4591"/>
      <c r="EX70" s="4591"/>
      <c r="EY70" s="1102">
        <f>IF(EW70=0,0,(EX70-EW70)/EW70*100)</f>
        <v>0</v>
      </c>
      <c r="EZ70" s="4591"/>
      <c r="FA70" s="4591"/>
      <c r="FB70" s="1102">
        <f>IF(EZ70=0,0,(FA70-EZ70)/EZ70*100)</f>
        <v>0</v>
      </c>
      <c r="FC70" s="4591"/>
      <c r="FD70" s="4591"/>
      <c r="FE70" s="1102">
        <f>IF(FC70=0,0,(FD70-FC70)/FC70*100)</f>
        <v>0</v>
      </c>
      <c r="FF70" s="4591"/>
      <c r="FG70" s="4591"/>
      <c r="FH70" s="1102">
        <f>IF(FF70=0,0,(FG70-FF70)/FF70*100)</f>
        <v>0</v>
      </c>
      <c r="FI70" s="4591"/>
      <c r="FJ70" s="4591"/>
      <c r="FK70" s="1102">
        <f>IF(FI70=0,0,(FJ70-FI70)/FI70*100)</f>
        <v>0</v>
      </c>
      <c r="FL70" s="4591"/>
      <c r="FM70" s="4591"/>
      <c r="FN70" s="1102">
        <f>IF(FL70=0,0,(FM70-FL70)/FL70*100)</f>
        <v>0</v>
      </c>
      <c r="FO70" s="4591"/>
      <c r="FP70" s="4591"/>
      <c r="FQ70" s="1102">
        <f>IF(FO70=0,0,(FP70-FO70)/FO70*100)</f>
        <v>0</v>
      </c>
      <c r="FR70" s="4591"/>
      <c r="FS70" s="4591"/>
      <c r="FT70" s="1102">
        <f>IF(FR70=0,0,(FS70-FR70)/FR70*100)</f>
        <v>0</v>
      </c>
      <c r="FU70" s="4591"/>
      <c r="FV70" s="4591"/>
      <c r="FW70" s="1102">
        <f>IF(FU70=0,0,(FV70-FU70)/FU70*100)</f>
        <v>0</v>
      </c>
      <c r="FX70" s="1328"/>
      <c r="FY70" s="1328"/>
      <c r="FZ70" s="1063" t="s">
        <v>1928</v>
      </c>
      <c r="GA70" s="1330"/>
      <c r="GB70" s="1330"/>
      <c r="GC70" s="1329"/>
      <c r="GD70" s="1329"/>
    </row>
    <row customHeight="1" ht="18.28125" hidden="1">
      <c r="A71" s="496"/>
      <c r="B71" s="932" cm="1" t="str">
        <f t="array" ref="B71:B71">B70</f>
        <v>false</v>
      </c>
      <c r="C71" s="496"/>
      <c r="D71" s="496"/>
      <c r="E71" s="847">
        <v>18.75</v>
      </c>
      <c r="F71" s="50" cm="1" t="str">
        <f t="array" ref="F71:F71">OFFSET(E71,-1,1)</f>
        <v>0</v>
      </c>
      <c r="G71" s="496"/>
      <c r="H71" s="496"/>
      <c r="I71" s="496"/>
      <c r="J71" s="496"/>
      <c r="K71" s="496"/>
      <c r="L71" s="496"/>
      <c r="M71" s="496"/>
      <c r="N71" s="496"/>
      <c r="O71" s="496"/>
      <c r="P71" s="496"/>
      <c r="Q71" s="496"/>
      <c r="R71" s="496"/>
      <c r="S71" s="496"/>
      <c r="T71" s="468">
        <f>AND(F71&gt;0,Y71&gt;0)</f>
        <v>0</v>
      </c>
      <c r="U71" s="496"/>
      <c r="V71" s="496"/>
      <c r="W71" s="496" t="s">
        <v>173</v>
      </c>
      <c r="X71" s="1559"/>
      <c r="Y71" s="1559">
        <v>0</v>
      </c>
      <c r="Z71" s="1528"/>
      <c r="AA71" s="4589" t="s">
        <v>174</v>
      </c>
      <c r="AB71" s="4590"/>
      <c r="AC71" s="872"/>
      <c r="AD71" s="1114"/>
      <c r="AE71" s="1115"/>
      <c r="AF71" s="1115"/>
      <c r="AG71" s="1114"/>
      <c r="AH71" s="1115"/>
      <c r="AI71" s="1115"/>
      <c r="AJ71" s="1114"/>
      <c r="AK71" s="1115"/>
      <c r="AL71" s="1115"/>
      <c r="AM71" s="1114"/>
      <c r="AN71" s="1115"/>
      <c r="AO71" s="1115"/>
      <c r="AP71" s="1114"/>
      <c r="AQ71" s="1115"/>
      <c r="AR71" s="1115"/>
      <c r="AS71" s="1114"/>
      <c r="AT71" s="1115"/>
      <c r="AU71" s="1115"/>
      <c r="AV71" s="1114"/>
      <c r="AW71" s="1115"/>
      <c r="AX71" s="1115"/>
      <c r="AY71" s="1114"/>
      <c r="AZ71" s="1115"/>
      <c r="BA71" s="1115"/>
      <c r="BB71" s="1114"/>
      <c r="BC71" s="1115"/>
      <c r="BD71" s="1115"/>
      <c r="BE71" s="1114"/>
      <c r="BF71" s="1115"/>
      <c r="BG71" s="1115"/>
      <c r="BH71" s="1114"/>
      <c r="BI71" s="1115"/>
      <c r="BJ71" s="1115"/>
      <c r="BK71" s="1114"/>
      <c r="BL71" s="1115"/>
      <c r="BM71" s="1115"/>
      <c r="BN71" s="1114"/>
      <c r="BO71" s="1115"/>
      <c r="BP71" s="1115"/>
      <c r="BQ71" s="1114"/>
      <c r="BR71" s="1115"/>
      <c r="BS71" s="1115"/>
      <c r="BT71" s="1114"/>
      <c r="BU71" s="1115"/>
      <c r="BV71" s="1115"/>
      <c r="BW71" s="1114"/>
      <c r="BX71" s="1115"/>
      <c r="BY71" s="1115"/>
      <c r="BZ71" s="1114"/>
      <c r="CA71" s="1115"/>
      <c r="CB71" s="1115"/>
      <c r="CC71" s="1114"/>
      <c r="CD71" s="1115"/>
      <c r="CE71" s="1115"/>
      <c r="CF71" s="1114"/>
      <c r="CG71" s="1115"/>
      <c r="CH71" s="1115"/>
      <c r="CI71" s="1114"/>
      <c r="CJ71" s="1115"/>
      <c r="CK71" s="1115"/>
      <c r="CL71" s="1114"/>
      <c r="CM71" s="1115"/>
      <c r="CN71" s="1115"/>
      <c r="CO71" s="1114"/>
      <c r="CP71" s="1115"/>
      <c r="CQ71" s="1115"/>
      <c r="CR71" s="1114"/>
      <c r="CS71" s="1115"/>
      <c r="CT71" s="1115"/>
      <c r="CU71" s="1114"/>
      <c r="CV71" s="1115"/>
      <c r="CW71" s="1115"/>
      <c r="CX71" s="1114"/>
      <c r="CY71" s="1115"/>
      <c r="CZ71" s="1115"/>
      <c r="DA71" s="1114"/>
      <c r="DB71" s="1115"/>
      <c r="DC71" s="1115"/>
      <c r="DD71" s="1114"/>
      <c r="DE71" s="1115"/>
      <c r="DF71" s="1115"/>
      <c r="DG71" s="1114"/>
      <c r="DH71" s="1115"/>
      <c r="DI71" s="1115"/>
      <c r="DJ71" s="1114"/>
      <c r="DK71" s="1115"/>
      <c r="DL71" s="1115"/>
      <c r="DM71" s="1114"/>
      <c r="DN71" s="1115"/>
      <c r="DO71" s="1115"/>
      <c r="DP71" s="1114"/>
      <c r="DQ71" s="1115"/>
      <c r="DR71" s="1115"/>
      <c r="DS71" s="1114"/>
      <c r="DT71" s="1115"/>
      <c r="DU71" s="1115"/>
      <c r="DV71" s="1114"/>
      <c r="DW71" s="1115"/>
      <c r="DX71" s="1115"/>
      <c r="DY71" s="1114"/>
      <c r="DZ71" s="1115"/>
      <c r="EA71" s="1115"/>
      <c r="EB71" s="1114"/>
      <c r="EC71" s="1115"/>
      <c r="ED71" s="1115"/>
      <c r="EE71" s="1114"/>
      <c r="EF71" s="1115"/>
      <c r="EG71" s="1115"/>
      <c r="EH71" s="1114"/>
      <c r="EI71" s="1115"/>
      <c r="EJ71" s="1115"/>
      <c r="EK71" s="1114"/>
      <c r="EL71" s="1115"/>
      <c r="EM71" s="1115"/>
      <c r="EN71" s="1114"/>
      <c r="EO71" s="1115"/>
      <c r="EP71" s="1115"/>
      <c r="EQ71" s="1114"/>
      <c r="ER71" s="1115"/>
      <c r="ES71" s="1115"/>
      <c r="ET71" s="1114"/>
      <c r="EU71" s="1115"/>
      <c r="EV71" s="1115"/>
      <c r="EW71" s="1114"/>
      <c r="EX71" s="1115"/>
      <c r="EY71" s="1115"/>
      <c r="EZ71" s="1114"/>
      <c r="FA71" s="1115"/>
      <c r="FB71" s="1115"/>
      <c r="FC71" s="1114"/>
      <c r="FD71" s="1115"/>
      <c r="FE71" s="1115"/>
      <c r="FF71" s="1114"/>
      <c r="FG71" s="1115"/>
      <c r="FH71" s="1115"/>
      <c r="FI71" s="1114"/>
      <c r="FJ71" s="1115"/>
      <c r="FK71" s="1115"/>
      <c r="FL71" s="1114"/>
      <c r="FM71" s="1115"/>
      <c r="FN71" s="1115"/>
      <c r="FO71" s="1114"/>
      <c r="FP71" s="1115"/>
      <c r="FQ71" s="1115"/>
      <c r="FR71" s="1114"/>
      <c r="FS71" s="1115"/>
      <c r="FT71" s="1115"/>
      <c r="FU71" s="1114"/>
      <c r="FV71" s="1115"/>
      <c r="FW71" s="1116"/>
      <c r="FX71" s="1328"/>
      <c r="FY71" s="1328"/>
      <c r="FZ71" s="1063"/>
      <c r="GA71" s="1330"/>
      <c r="GB71" s="1330"/>
      <c r="GC71" s="1329"/>
      <c r="GD71" s="637" t="b">
        <v>1</v>
      </c>
    </row>
    <row customHeight="1" ht="14.625" hidden="1">
      <c r="A72" s="496"/>
      <c r="B72" s="932" cm="1" t="str">
        <f t="array" ref="B72:B72">B71</f>
        <v>false</v>
      </c>
      <c r="C72" s="496"/>
      <c r="D72" s="496"/>
      <c r="E72" s="847">
        <v>15</v>
      </c>
      <c r="F72" s="50" cm="1" t="str">
        <f t="array" ref="F72:F72">OFFSET(E72,-1,1)</f>
        <v>0</v>
      </c>
      <c r="G72" s="496"/>
      <c r="H72" s="496" t="s">
        <v>1787</v>
      </c>
      <c r="I72" s="496" cm="1" t="str">
        <f t="array" ref="I72:I72">AB71</f>
        <v>0</v>
      </c>
      <c r="J72" s="496"/>
      <c r="K72" s="496"/>
      <c r="L72" s="496"/>
      <c r="M72" s="496"/>
      <c r="N72" s="496"/>
      <c r="O72" s="496"/>
      <c r="P72" s="496"/>
      <c r="Q72" s="496"/>
      <c r="R72" s="496"/>
      <c r="S72" s="496"/>
      <c r="T72" s="468" cm="1" t="str">
        <f t="array" ref="T72:T72">T71</f>
        <v>false</v>
      </c>
      <c r="U72" s="496"/>
      <c r="V72" s="496"/>
      <c r="W72" s="496"/>
      <c r="X72" s="1559"/>
      <c r="Y72" s="1559"/>
      <c r="Z72" s="1528"/>
      <c r="AA72" s="4589"/>
      <c r="AB72" s="911" t="s">
        <v>1895</v>
      </c>
      <c r="AC72" s="871" t="s">
        <v>1862</v>
      </c>
      <c r="AD72" s="4591">
        <f>IF(AD74=0,0,(AD73*AD74+AD75*AD76*IF(god=2026,3,6))/AD74)</f>
        <v>0</v>
      </c>
      <c r="AE72" s="4591">
        <f>IF(AE74=0,0,(AE73*AE74+AE75*AE76*IF(god=2026,3,6))/AE74)</f>
        <v>0</v>
      </c>
      <c r="AF72" s="1102">
        <f>IF(AD72=0,0,(AE72-AD72)/AD72*100)</f>
        <v>0</v>
      </c>
      <c r="AG72" s="4591">
        <f>IF(AG74=0,0,(AG73*AG74+AG75*AG76*IF(god=2025,3,6))/AG74)</f>
        <v>0</v>
      </c>
      <c r="AH72" s="4591">
        <f>IF(AH74=0,0,(AH73*AH74+AH75*AH76*IF(god=2025,3,6))/AH74)</f>
        <v>0</v>
      </c>
      <c r="AI72" s="1102">
        <f>IF(AG72=0,0,(AH72-AG72)/AG72*100)</f>
        <v>0</v>
      </c>
      <c r="AJ72" s="4591">
        <f>IF(AJ74=0,0,(AJ73*AJ74+AJ75*AJ76*6)/AJ74)</f>
        <v>0</v>
      </c>
      <c r="AK72" s="4591">
        <f>IF(AK74=0,0,(AK73*AK74+AK75*AK76*6)/AK74)</f>
        <v>0</v>
      </c>
      <c r="AL72" s="1102">
        <f>IF(AJ72=0,0,(AK72-AJ72)/AJ72*100)</f>
        <v>0</v>
      </c>
      <c r="AM72" s="4591">
        <f>IF(AM74=0,0,(AM73*AM74+AM75*AM76*6)/AM74)</f>
        <v>0</v>
      </c>
      <c r="AN72" s="4591">
        <f>IF(AN74=0,0,(AN73*AN74+AN75*AN76*6)/AN74)</f>
        <v>0</v>
      </c>
      <c r="AO72" s="1102">
        <f>IF(AM72=0,0,(AN72-AM72)/AM72*100)</f>
        <v>0</v>
      </c>
      <c r="AP72" s="4591">
        <f>IF(AP74=0,0,(AP73*AP74+AP75*AP76*6)/AP74)</f>
        <v>0</v>
      </c>
      <c r="AQ72" s="4591">
        <f>IF(AQ74=0,0,(AQ73*AQ74+AQ75*AQ76*6)/AQ74)</f>
        <v>0</v>
      </c>
      <c r="AR72" s="1102">
        <f>IF(AP72=0,0,(AQ72-AP72)/AP72*100)</f>
        <v>0</v>
      </c>
      <c r="AS72" s="4591">
        <f>IF(AS74=0,0,(AS73*AS74+AS75*AS76*6)/AS74)</f>
        <v>0</v>
      </c>
      <c r="AT72" s="4591">
        <f>IF(AT74=0,0,(AT73*AT74+AT75*AT76*6)/AT74)</f>
        <v>0</v>
      </c>
      <c r="AU72" s="1102">
        <f>IF(AS72=0,0,(AT72-AS72)/AS72*100)</f>
        <v>0</v>
      </c>
      <c r="AV72" s="4591">
        <f>IF(AV74=0,0,(AV73*AV74+AV75*AV76*6)/AV74)</f>
        <v>0</v>
      </c>
      <c r="AW72" s="4591">
        <f>IF(AW74=0,0,(AW73*AW74+AW75*AW76*6)/AW74)</f>
        <v>0</v>
      </c>
      <c r="AX72" s="1102">
        <f>IF(AV72=0,0,(AW72-AV72)/AV72*100)</f>
        <v>0</v>
      </c>
      <c r="AY72" s="4591">
        <f>IF(AY74=0,0,(AY73*AY74+AY75*AY76*6)/AY74)</f>
        <v>0</v>
      </c>
      <c r="AZ72" s="4591">
        <f>IF(AZ74=0,0,(AZ73*AZ74+AZ75*AZ76*6)/AZ74)</f>
        <v>0</v>
      </c>
      <c r="BA72" s="1102">
        <f>IF(AY72=0,0,(AZ72-AY72)/AY72*100)</f>
        <v>0</v>
      </c>
      <c r="BB72" s="4591">
        <f>IF(BB74=0,0,(BB73*BB74+BB75*BB76*6)/BB74)</f>
        <v>0</v>
      </c>
      <c r="BC72" s="4591">
        <f>IF(BC74=0,0,(BC73*BC74+BC75*BC76*6)/BC74)</f>
        <v>0</v>
      </c>
      <c r="BD72" s="1102">
        <f>IF(BB72=0,0,(BC72-BB72)/BB72*100)</f>
        <v>0</v>
      </c>
      <c r="BE72" s="4591">
        <f>IF(BE74=0,0,(BE73*BE74+BE75*BE76*6)/BE74)</f>
        <v>0</v>
      </c>
      <c r="BF72" s="4591">
        <f>IF(BF74=0,0,(BF73*BF74+BF75*BF76*6)/BF74)</f>
        <v>0</v>
      </c>
      <c r="BG72" s="1102">
        <f>IF(BE72=0,0,(BF72-BE72)/BE72*100)</f>
        <v>0</v>
      </c>
      <c r="BH72" s="4591">
        <f>IF(BH74=0,0,(BH73*BH74+BH75*BH76*6)/BH74)</f>
        <v>0</v>
      </c>
      <c r="BI72" s="4591">
        <f>IF(BI74=0,0,(BI73*BI74+BI75*BI76*6)/BI74)</f>
        <v>0</v>
      </c>
      <c r="BJ72" s="1102">
        <f>IF(BH72=0,0,(BI72-BH72)/BH72*100)</f>
        <v>0</v>
      </c>
      <c r="BK72" s="4591">
        <f>IF(BK74=0,0,(BK73*BK74+BK75*BK76*6)/BK74)</f>
        <v>0</v>
      </c>
      <c r="BL72" s="4591">
        <f>IF(BL74=0,0,(BL73*BL74+BL75*BL76*6)/BL74)</f>
        <v>0</v>
      </c>
      <c r="BM72" s="1102">
        <f>IF(BK72=0,0,(BL72-BK72)/BK72*100)</f>
        <v>0</v>
      </c>
      <c r="BN72" s="4591">
        <f>IF(BN74=0,0,(BN73*BN74+BN75*BN76*6)/BN74)</f>
        <v>0</v>
      </c>
      <c r="BO72" s="4591">
        <f>IF(BO74=0,0,(BO73*BO74+BO75*BO76*6)/BO74)</f>
        <v>0</v>
      </c>
      <c r="BP72" s="1102">
        <f>IF(BN72=0,0,(BO72-BN72)/BN72*100)</f>
        <v>0</v>
      </c>
      <c r="BQ72" s="4591">
        <f>IF(BQ74=0,0,(BQ73*BQ74+BQ75*BQ76*6)/BQ74)</f>
        <v>0</v>
      </c>
      <c r="BR72" s="4591">
        <f>IF(BR74=0,0,(BR73*BR74+BR75*BR76*6)/BR74)</f>
        <v>0</v>
      </c>
      <c r="BS72" s="1102">
        <f>IF(BQ72=0,0,(BR72-BQ72)/BQ72*100)</f>
        <v>0</v>
      </c>
      <c r="BT72" s="4591">
        <f>IF(BT74=0,0,(BT73*BT74+BT75*BT76*6)/BT74)</f>
        <v>0</v>
      </c>
      <c r="BU72" s="4591">
        <f>IF(BU74=0,0,(BU73*BU74+BU75*BU76*6)/BU74)</f>
        <v>0</v>
      </c>
      <c r="BV72" s="1102">
        <f>IF(BT72=0,0,(BU72-BT72)/BT72*100)</f>
        <v>0</v>
      </c>
      <c r="BW72" s="4591">
        <f>IF(BW74=0,0,(BW73*BW74+BW75*BW76*6)/BW74)</f>
        <v>0</v>
      </c>
      <c r="BX72" s="4591">
        <f>IF(BX74=0,0,(BX73*BX74+BX75*BX76*6)/BX74)</f>
        <v>0</v>
      </c>
      <c r="BY72" s="1102">
        <f>IF(BW72=0,0,(BX72-BW72)/BW72*100)</f>
        <v>0</v>
      </c>
      <c r="BZ72" s="4591">
        <f>IF(BZ74=0,0,(BZ73*BZ74+BZ75*BZ76*6)/BZ74)</f>
        <v>0</v>
      </c>
      <c r="CA72" s="4591">
        <f>IF(CA74=0,0,(CA73*CA74+CA75*CA76*6)/CA74)</f>
        <v>0</v>
      </c>
      <c r="CB72" s="1102">
        <f>IF(BZ72=0,0,(CA72-BZ72)/BZ72*100)</f>
        <v>0</v>
      </c>
      <c r="CC72" s="4591">
        <f>IF(CC74=0,0,(CC73*CC74+CC75*CC76*6)/CC74)</f>
        <v>0</v>
      </c>
      <c r="CD72" s="4591">
        <f>IF(CD74=0,0,(CD73*CD74+CD75*CD76*6)/CD74)</f>
        <v>0</v>
      </c>
      <c r="CE72" s="1102">
        <f>IF(CC72=0,0,(CD72-CC72)/CC72*100)</f>
        <v>0</v>
      </c>
      <c r="CF72" s="4591">
        <f>IF(CF74=0,0,(CF73*CF74+CF75*CF76*6)/CF74)</f>
        <v>0</v>
      </c>
      <c r="CG72" s="4591">
        <f>IF(CG74=0,0,(CG73*CG74+CG75*CG76*6)/CG74)</f>
        <v>0</v>
      </c>
      <c r="CH72" s="1102">
        <f>IF(CF72=0,0,(CG72-CF72)/CF72*100)</f>
        <v>0</v>
      </c>
      <c r="CI72" s="4591">
        <f>IF(CI74=0,0,(CI73*CI74+CI75*CI76*6)/CI74)</f>
        <v>0</v>
      </c>
      <c r="CJ72" s="4591">
        <f>IF(CJ74=0,0,(CJ73*CJ74+CJ75*CJ76*6)/CJ74)</f>
        <v>0</v>
      </c>
      <c r="CK72" s="1102">
        <f>IF(CI72=0,0,(CJ72-CI72)/CI72*100)</f>
        <v>0</v>
      </c>
      <c r="CL72" s="4591">
        <f>IF(CL74=0,0,(CL73*CL74+CL75*CL76*6)/CL74)</f>
        <v>0</v>
      </c>
      <c r="CM72" s="4591">
        <f>IF(CM74=0,0,(CM73*CM74+CM75*CM76*6)/CM74)</f>
        <v>0</v>
      </c>
      <c r="CN72" s="1102">
        <f>IF(CL72=0,0,(CM72-CL72)/CL72*100)</f>
        <v>0</v>
      </c>
      <c r="CO72" s="4591">
        <f>IF(CO74=0,0,(CO73*CO74+CO75*CO76*6)/CO74)</f>
        <v>0</v>
      </c>
      <c r="CP72" s="4591">
        <f>IF(CP74=0,0,(CP73*CP74+CP75*CP76*6)/CP74)</f>
        <v>0</v>
      </c>
      <c r="CQ72" s="1102">
        <f>IF(CO72=0,0,(CP72-CO72)/CO72*100)</f>
        <v>0</v>
      </c>
      <c r="CR72" s="4591">
        <f>IF(CR74=0,0,(CR73*CR74+CR75*CR76*6)/CR74)</f>
        <v>0</v>
      </c>
      <c r="CS72" s="4591">
        <f>IF(CS74=0,0,(CS73*CS74+CS75*CS76*6)/CS74)</f>
        <v>0</v>
      </c>
      <c r="CT72" s="1102">
        <f>IF(CR72=0,0,(CS72-CR72)/CR72*100)</f>
        <v>0</v>
      </c>
      <c r="CU72" s="4591">
        <f>IF(CU74=0,0,(CU73*CU74+CU75*CU76*6)/CU74)</f>
        <v>0</v>
      </c>
      <c r="CV72" s="4591">
        <f>IF(CV74=0,0,(CV73*CV74+CV75*CV76*6)/CV74)</f>
        <v>0</v>
      </c>
      <c r="CW72" s="1102">
        <f>IF(CU72=0,0,(CV72-CU72)/CU72*100)</f>
        <v>0</v>
      </c>
      <c r="CX72" s="4591">
        <f>IF(CX74=0,0,(CX73*CX74+CX75*CX76*6)/CX74)</f>
        <v>0</v>
      </c>
      <c r="CY72" s="4591">
        <f>IF(CY74=0,0,(CY73*CY74+CY75*CY76*6)/CY74)</f>
        <v>0</v>
      </c>
      <c r="CZ72" s="1102">
        <f>IF(CX72=0,0,(CY72-CX72)/CX72*100)</f>
        <v>0</v>
      </c>
      <c r="DA72" s="4591">
        <f>IF(DA74=0,0,(DA73*DA74+DA75*DA76*6)/DA74)</f>
        <v>0</v>
      </c>
      <c r="DB72" s="4591">
        <f>IF(DB74=0,0,(DB73*DB74+DB75*DB76*6)/DB74)</f>
        <v>0</v>
      </c>
      <c r="DC72" s="1102">
        <f>IF(DA72=0,0,(DB72-DA72)/DA72*100)</f>
        <v>0</v>
      </c>
      <c r="DD72" s="4591">
        <f>IF(DD74=0,0,(DD73*DD74+DD75*DD76*6)/DD74)</f>
        <v>0</v>
      </c>
      <c r="DE72" s="4591">
        <f>IF(DE74=0,0,(DE73*DE74+DE75*DE76*6)/DE74)</f>
        <v>0</v>
      </c>
      <c r="DF72" s="1102">
        <f>IF(DD72=0,0,(DE72-DD72)/DD72*100)</f>
        <v>0</v>
      </c>
      <c r="DG72" s="4591">
        <f>IF(DG74=0,0,(DG73*DG74+DG75*DG76*6)/DG74)</f>
        <v>0</v>
      </c>
      <c r="DH72" s="4591">
        <f>IF(DH74=0,0,(DH73*DH74+DH75*DH76*6)/DH74)</f>
        <v>0</v>
      </c>
      <c r="DI72" s="1102">
        <f>IF(DG72=0,0,(DH72-DG72)/DG72*100)</f>
        <v>0</v>
      </c>
      <c r="DJ72" s="4591">
        <f>IF(DJ74=0,0,(DJ73*DJ74+DJ75*DJ76*6)/DJ74)</f>
        <v>0</v>
      </c>
      <c r="DK72" s="4591">
        <f>IF(DK74=0,0,(DK73*DK74+DK75*DK76*6)/DK74)</f>
        <v>0</v>
      </c>
      <c r="DL72" s="1102">
        <f>IF(DJ72=0,0,(DK72-DJ72)/DJ72*100)</f>
        <v>0</v>
      </c>
      <c r="DM72" s="4591">
        <f>IF(DM74=0,0,(DM73*DM74+DM75*DM76*6)/DM74)</f>
        <v>0</v>
      </c>
      <c r="DN72" s="4591">
        <f>IF(DN74=0,0,(DN73*DN74+DN75*DN76*6)/DN74)</f>
        <v>0</v>
      </c>
      <c r="DO72" s="1102">
        <f>IF(DM72=0,0,(DN72-DM72)/DM72*100)</f>
        <v>0</v>
      </c>
      <c r="DP72" s="4591">
        <f>IF(DP74=0,0,(DP73*DP74+DP75*DP76*6)/DP74)</f>
        <v>0</v>
      </c>
      <c r="DQ72" s="4591">
        <f>IF(DQ74=0,0,(DQ73*DQ74+DQ75*DQ76*6)/DQ74)</f>
        <v>0</v>
      </c>
      <c r="DR72" s="1102">
        <f>IF(DP72=0,0,(DQ72-DP72)/DP72*100)</f>
        <v>0</v>
      </c>
      <c r="DS72" s="4591">
        <f>IF(DS74=0,0,(DS73*DS74+DS75*DS76*6)/DS74)</f>
        <v>0</v>
      </c>
      <c r="DT72" s="4591">
        <f>IF(DT74=0,0,(DT73*DT74+DT75*DT76*6)/DT74)</f>
        <v>0</v>
      </c>
      <c r="DU72" s="1102">
        <f>IF(DS72=0,0,(DT72-DS72)/DS72*100)</f>
        <v>0</v>
      </c>
      <c r="DV72" s="4591">
        <f>IF(DV74=0,0,(DV73*DV74+DV75*DV76*6)/DV74)</f>
        <v>0</v>
      </c>
      <c r="DW72" s="4591">
        <f>IF(DW74=0,0,(DW73*DW74+DW75*DW76*6)/DW74)</f>
        <v>0</v>
      </c>
      <c r="DX72" s="1102">
        <f>IF(DV72=0,0,(DW72-DV72)/DV72*100)</f>
        <v>0</v>
      </c>
      <c r="DY72" s="4591">
        <f>IF(DY74=0,0,(DY73*DY74+DY75*DY76*6)/DY74)</f>
        <v>0</v>
      </c>
      <c r="DZ72" s="4591">
        <f>IF(DZ74=0,0,(DZ73*DZ74+DZ75*DZ76*6)/DZ74)</f>
        <v>0</v>
      </c>
      <c r="EA72" s="1102">
        <f>IF(DY72=0,0,(DZ72-DY72)/DY72*100)</f>
        <v>0</v>
      </c>
      <c r="EB72" s="4591">
        <f>IF(EB74=0,0,(EB73*EB74+EB75*EB76*6)/EB74)</f>
        <v>0</v>
      </c>
      <c r="EC72" s="4591">
        <f>IF(EC74=0,0,(EC73*EC74+EC75*EC76*6)/EC74)</f>
        <v>0</v>
      </c>
      <c r="ED72" s="1102">
        <f>IF(EB72=0,0,(EC72-EB72)/EB72*100)</f>
        <v>0</v>
      </c>
      <c r="EE72" s="4591">
        <f>IF(EE74=0,0,(EE73*EE74+EE75*EE76*6)/EE74)</f>
        <v>0</v>
      </c>
      <c r="EF72" s="4591">
        <f>IF(EF74=0,0,(EF73*EF74+EF75*EF76*6)/EF74)</f>
        <v>0</v>
      </c>
      <c r="EG72" s="1102">
        <f>IF(EE72=0,0,(EF72-EE72)/EE72*100)</f>
        <v>0</v>
      </c>
      <c r="EH72" s="4591">
        <f>IF(EH74=0,0,(EH73*EH74+EH75*EH76*6)/EH74)</f>
        <v>0</v>
      </c>
      <c r="EI72" s="4591">
        <f>IF(EI74=0,0,(EI73*EI74+EI75*EI76*6)/EI74)</f>
        <v>0</v>
      </c>
      <c r="EJ72" s="1102">
        <f>IF(EH72=0,0,(EI72-EH72)/EH72*100)</f>
        <v>0</v>
      </c>
      <c r="EK72" s="4591">
        <f>IF(EK74=0,0,(EK73*EK74+EK75*EK76*6)/EK74)</f>
        <v>0</v>
      </c>
      <c r="EL72" s="4591">
        <f>IF(EL74=0,0,(EL73*EL74+EL75*EL76*6)/EL74)</f>
        <v>0</v>
      </c>
      <c r="EM72" s="1102">
        <f>IF(EK72=0,0,(EL72-EK72)/EK72*100)</f>
        <v>0</v>
      </c>
      <c r="EN72" s="4591">
        <f>IF(EN74=0,0,(EN73*EN74+EN75*EN76*6)/EN74)</f>
        <v>0</v>
      </c>
      <c r="EO72" s="4591">
        <f>IF(EO74=0,0,(EO73*EO74+EO75*EO76*6)/EO74)</f>
        <v>0</v>
      </c>
      <c r="EP72" s="1102">
        <f>IF(EN72=0,0,(EO72-EN72)/EN72*100)</f>
        <v>0</v>
      </c>
      <c r="EQ72" s="4591">
        <f>IF(EQ74=0,0,(EQ73*EQ74+EQ75*EQ76*6)/EQ74)</f>
        <v>0</v>
      </c>
      <c r="ER72" s="4591">
        <f>IF(ER74=0,0,(ER73*ER74+ER75*ER76*6)/ER74)</f>
        <v>0</v>
      </c>
      <c r="ES72" s="1102">
        <f>IF(EQ72=0,0,(ER72-EQ72)/EQ72*100)</f>
        <v>0</v>
      </c>
      <c r="ET72" s="4591">
        <f>IF(ET74=0,0,(ET73*ET74+ET75*ET76*6)/ET74)</f>
        <v>0</v>
      </c>
      <c r="EU72" s="4591">
        <f>IF(EU74=0,0,(EU73*EU74+EU75*EU76*6)/EU74)</f>
        <v>0</v>
      </c>
      <c r="EV72" s="1102">
        <f>IF(ET72=0,0,(EU72-ET72)/ET72*100)</f>
        <v>0</v>
      </c>
      <c r="EW72" s="4591">
        <f>IF(EW74=0,0,(EW73*EW74+EW75*EW76*6)/EW74)</f>
        <v>0</v>
      </c>
      <c r="EX72" s="4591">
        <f>IF(EX74=0,0,(EX73*EX74+EX75*EX76*6)/EX74)</f>
        <v>0</v>
      </c>
      <c r="EY72" s="1102">
        <f>IF(EW72=0,0,(EX72-EW72)/EW72*100)</f>
        <v>0</v>
      </c>
      <c r="EZ72" s="4591">
        <f>IF(EZ74=0,0,(EZ73*EZ74+EZ75*EZ76*6)/EZ74)</f>
        <v>0</v>
      </c>
      <c r="FA72" s="4591">
        <f>IF(FA74=0,0,(FA73*FA74+FA75*FA76*6)/FA74)</f>
        <v>0</v>
      </c>
      <c r="FB72" s="1102">
        <f>IF(EZ72=0,0,(FA72-EZ72)/EZ72*100)</f>
        <v>0</v>
      </c>
      <c r="FC72" s="4591">
        <f>IF(FC74=0,0,(FC73*FC74+FC75*FC76*6)/FC74)</f>
        <v>0</v>
      </c>
      <c r="FD72" s="4591">
        <f>IF(FD74=0,0,(FD73*FD74+FD75*FD76*6)/FD74)</f>
        <v>0</v>
      </c>
      <c r="FE72" s="1102">
        <f>IF(FC72=0,0,(FD72-FC72)/FC72*100)</f>
        <v>0</v>
      </c>
      <c r="FF72" s="4591">
        <f>IF(FF74=0,0,(FF73*FF74+FF75*FF76*6)/FF74)</f>
        <v>0</v>
      </c>
      <c r="FG72" s="4591">
        <f>IF(FG74=0,0,(FG73*FG74+FG75*FG76*6)/FG74)</f>
        <v>0</v>
      </c>
      <c r="FH72" s="1102">
        <f>IF(FF72=0,0,(FG72-FF72)/FF72*100)</f>
        <v>0</v>
      </c>
      <c r="FI72" s="4591">
        <f>IF(FI74=0,0,(FI73*FI74+FI75*FI76*6)/FI74)</f>
        <v>0</v>
      </c>
      <c r="FJ72" s="4591">
        <f>IF(FJ74=0,0,(FJ73*FJ74+FJ75*FJ76*6)/FJ74)</f>
        <v>0</v>
      </c>
      <c r="FK72" s="1102">
        <f>IF(FI72=0,0,(FJ72-FI72)/FI72*100)</f>
        <v>0</v>
      </c>
      <c r="FL72" s="4591">
        <f>IF(FL74=0,0,(FL73*FL74+FL75*FL76*6)/FL74)</f>
        <v>0</v>
      </c>
      <c r="FM72" s="4591">
        <f>IF(FM74=0,0,(FM73*FM74+FM75*FM76*6)/FM74)</f>
        <v>0</v>
      </c>
      <c r="FN72" s="1102">
        <f>IF(FL72=0,0,(FM72-FL72)/FL72*100)</f>
        <v>0</v>
      </c>
      <c r="FO72" s="4591">
        <f>IF(FO74=0,0,(FO73*FO74+FO75*FO76*6)/FO74)</f>
        <v>0</v>
      </c>
      <c r="FP72" s="4591">
        <f>IF(FP74=0,0,(FP73*FP74+FP75*FP76*6)/FP74)</f>
        <v>0</v>
      </c>
      <c r="FQ72" s="1102">
        <f>IF(FO72=0,0,(FP72-FO72)/FO72*100)</f>
        <v>0</v>
      </c>
      <c r="FR72" s="4591">
        <f>IF(FR74=0,0,(FR73*FR74+FR75*FR76*6)/FR74)</f>
        <v>0</v>
      </c>
      <c r="FS72" s="4591">
        <f>IF(FS74=0,0,(FS73*FS74+FS75*FS76*6)/FS74)</f>
        <v>0</v>
      </c>
      <c r="FT72" s="1102">
        <f>IF(FR72=0,0,(FS72-FR72)/FR72*100)</f>
        <v>0</v>
      </c>
      <c r="FU72" s="4591">
        <f>IF(FU74=0,0,(FU73*FU74+FU75*FU76*6)/FU74)</f>
        <v>0</v>
      </c>
      <c r="FV72" s="4591">
        <f>IF(FV74=0,0,(FV73*FV74+FV75*FV76*6)/FV74)</f>
        <v>0</v>
      </c>
      <c r="FW72" s="1102">
        <f>IF(FU72=0,0,(FV72-FU72)/FU72*100)</f>
        <v>0</v>
      </c>
      <c r="FX72" s="1328"/>
      <c r="FY72" s="1328"/>
      <c r="FZ72" s="1063" t="s">
        <v>1929</v>
      </c>
      <c r="GA72" s="1023" t="s">
        <v>993</v>
      </c>
      <c r="GB72" s="1065" cm="1" t="str">
        <f t="array" ref="GB72:GB72">AB71</f>
        <v>0</v>
      </c>
      <c r="GC72" s="1329"/>
      <c r="GD72" s="1329"/>
    </row>
    <row customHeight="1" ht="14.625" hidden="1">
      <c r="A73" s="496"/>
      <c r="B73" s="932" cm="1" t="str">
        <f t="array" ref="B73:B73">B72</f>
        <v>false</v>
      </c>
      <c r="C73" s="496"/>
      <c r="D73" s="496"/>
      <c r="E73" s="847">
        <v>15</v>
      </c>
      <c r="F73" s="50" cm="1" t="str">
        <f t="array" ref="F73:F73">OFFSET(E73,-1,1)</f>
        <v>0</v>
      </c>
      <c r="G73" s="496"/>
      <c r="H73" s="496" t="s">
        <v>1791</v>
      </c>
      <c r="I73" s="496" cm="1" t="str">
        <f t="array" ref="I73:I73">I72</f>
        <v>0</v>
      </c>
      <c r="J73" s="496"/>
      <c r="K73" s="496"/>
      <c r="L73" s="496"/>
      <c r="M73" s="496"/>
      <c r="N73" s="496"/>
      <c r="O73" s="496"/>
      <c r="P73" s="496"/>
      <c r="Q73" s="496"/>
      <c r="R73" s="496"/>
      <c r="S73" s="496"/>
      <c r="T73" s="468" cm="1" t="str">
        <f t="array" ref="T73:T73">T72</f>
        <v>false</v>
      </c>
      <c r="U73" s="496"/>
      <c r="V73" s="496"/>
      <c r="W73" s="496"/>
      <c r="X73" s="1559"/>
      <c r="Y73" s="1559"/>
      <c r="Z73" s="1528"/>
      <c r="AA73" s="4589"/>
      <c r="AB73" s="911" t="str">
        <f>"ставка платы за "&amp;IF(Q29="Водоснабжение","потребление 1 куб.м холодной воды","объем принятых сточных вод")</f>
        <v>ставка платы за объем принятых сточных вод</v>
      </c>
      <c r="AC73" s="871" t="s">
        <v>1862</v>
      </c>
      <c r="AD73" s="4591"/>
      <c r="AE73" s="4591"/>
      <c r="AF73" s="1102">
        <f>IF(AD73=0,0,(AE73-AD73)/AD73*100)</f>
        <v>0</v>
      </c>
      <c r="AG73" s="4591"/>
      <c r="AH73" s="4591"/>
      <c r="AI73" s="1102">
        <f>IF(AG73=0,0,(AH73-AG73)/AG73*100)</f>
        <v>0</v>
      </c>
      <c r="AJ73" s="4591"/>
      <c r="AK73" s="4591"/>
      <c r="AL73" s="1102">
        <f>IF(AJ73=0,0,(AK73-AJ73)/AJ73*100)</f>
        <v>0</v>
      </c>
      <c r="AM73" s="4591"/>
      <c r="AN73" s="4591"/>
      <c r="AO73" s="1102">
        <f>IF(AM73=0,0,(AN73-AM73)/AM73*100)</f>
        <v>0</v>
      </c>
      <c r="AP73" s="4591"/>
      <c r="AQ73" s="4591"/>
      <c r="AR73" s="1102">
        <f>IF(AP73=0,0,(AQ73-AP73)/AP73*100)</f>
        <v>0</v>
      </c>
      <c r="AS73" s="4591"/>
      <c r="AT73" s="4591"/>
      <c r="AU73" s="1102">
        <f>IF(AS73=0,0,(AT73-AS73)/AS73*100)</f>
        <v>0</v>
      </c>
      <c r="AV73" s="4591"/>
      <c r="AW73" s="4591"/>
      <c r="AX73" s="1102">
        <f>IF(AV73=0,0,(AW73-AV73)/AV73*100)</f>
        <v>0</v>
      </c>
      <c r="AY73" s="4591"/>
      <c r="AZ73" s="4591"/>
      <c r="BA73" s="1102">
        <f>IF(AY73=0,0,(AZ73-AY73)/AY73*100)</f>
        <v>0</v>
      </c>
      <c r="BB73" s="4591"/>
      <c r="BC73" s="4591"/>
      <c r="BD73" s="1102">
        <f>IF(BB73=0,0,(BC73-BB73)/BB73*100)</f>
        <v>0</v>
      </c>
      <c r="BE73" s="4591"/>
      <c r="BF73" s="4591"/>
      <c r="BG73" s="1102">
        <f>IF(BE73=0,0,(BF73-BE73)/BE73*100)</f>
        <v>0</v>
      </c>
      <c r="BH73" s="4591"/>
      <c r="BI73" s="4591"/>
      <c r="BJ73" s="1102">
        <f>IF(BH73=0,0,(BI73-BH73)/BH73*100)</f>
        <v>0</v>
      </c>
      <c r="BK73" s="4591"/>
      <c r="BL73" s="4591"/>
      <c r="BM73" s="1102">
        <f>IF(BK73=0,0,(BL73-BK73)/BK73*100)</f>
        <v>0</v>
      </c>
      <c r="BN73" s="4591"/>
      <c r="BO73" s="4591"/>
      <c r="BP73" s="1102">
        <f>IF(BN73=0,0,(BO73-BN73)/BN73*100)</f>
        <v>0</v>
      </c>
      <c r="BQ73" s="4591"/>
      <c r="BR73" s="4591"/>
      <c r="BS73" s="1102">
        <f>IF(BQ73=0,0,(BR73-BQ73)/BQ73*100)</f>
        <v>0</v>
      </c>
      <c r="BT73" s="4591"/>
      <c r="BU73" s="4591"/>
      <c r="BV73" s="1102">
        <f>IF(BT73=0,0,(BU73-BT73)/BT73*100)</f>
        <v>0</v>
      </c>
      <c r="BW73" s="4591"/>
      <c r="BX73" s="4591"/>
      <c r="BY73" s="1102">
        <f>IF(BW73=0,0,(BX73-BW73)/BW73*100)</f>
        <v>0</v>
      </c>
      <c r="BZ73" s="4591"/>
      <c r="CA73" s="4591"/>
      <c r="CB73" s="1102">
        <f>IF(BZ73=0,0,(CA73-BZ73)/BZ73*100)</f>
        <v>0</v>
      </c>
      <c r="CC73" s="4591"/>
      <c r="CD73" s="4591"/>
      <c r="CE73" s="1102">
        <f>IF(CC73=0,0,(CD73-CC73)/CC73*100)</f>
        <v>0</v>
      </c>
      <c r="CF73" s="4591"/>
      <c r="CG73" s="4591"/>
      <c r="CH73" s="1102">
        <f>IF(CF73=0,0,(CG73-CF73)/CF73*100)</f>
        <v>0</v>
      </c>
      <c r="CI73" s="4591"/>
      <c r="CJ73" s="4591"/>
      <c r="CK73" s="1102">
        <f>IF(CI73=0,0,(CJ73-CI73)/CI73*100)</f>
        <v>0</v>
      </c>
      <c r="CL73" s="4591"/>
      <c r="CM73" s="4591"/>
      <c r="CN73" s="1102">
        <f>IF(CL73=0,0,(CM73-CL73)/CL73*100)</f>
        <v>0</v>
      </c>
      <c r="CO73" s="4591"/>
      <c r="CP73" s="4591"/>
      <c r="CQ73" s="1102">
        <f>IF(CO73=0,0,(CP73-CO73)/CO73*100)</f>
        <v>0</v>
      </c>
      <c r="CR73" s="4591"/>
      <c r="CS73" s="4591"/>
      <c r="CT73" s="1102">
        <f>IF(CR73=0,0,(CS73-CR73)/CR73*100)</f>
        <v>0</v>
      </c>
      <c r="CU73" s="4591"/>
      <c r="CV73" s="4591"/>
      <c r="CW73" s="1102">
        <f>IF(CU73=0,0,(CV73-CU73)/CU73*100)</f>
        <v>0</v>
      </c>
      <c r="CX73" s="4591"/>
      <c r="CY73" s="4591"/>
      <c r="CZ73" s="1102">
        <f>IF(CX73=0,0,(CY73-CX73)/CX73*100)</f>
        <v>0</v>
      </c>
      <c r="DA73" s="4591"/>
      <c r="DB73" s="4591"/>
      <c r="DC73" s="1102">
        <f>IF(DA73=0,0,(DB73-DA73)/DA73*100)</f>
        <v>0</v>
      </c>
      <c r="DD73" s="4591"/>
      <c r="DE73" s="4591"/>
      <c r="DF73" s="1102">
        <f>IF(DD73=0,0,(DE73-DD73)/DD73*100)</f>
        <v>0</v>
      </c>
      <c r="DG73" s="4591"/>
      <c r="DH73" s="4591"/>
      <c r="DI73" s="1102">
        <f>IF(DG73=0,0,(DH73-DG73)/DG73*100)</f>
        <v>0</v>
      </c>
      <c r="DJ73" s="4591"/>
      <c r="DK73" s="4591"/>
      <c r="DL73" s="1102">
        <f>IF(DJ73=0,0,(DK73-DJ73)/DJ73*100)</f>
        <v>0</v>
      </c>
      <c r="DM73" s="4591"/>
      <c r="DN73" s="4591"/>
      <c r="DO73" s="1102">
        <f>IF(DM73=0,0,(DN73-DM73)/DM73*100)</f>
        <v>0</v>
      </c>
      <c r="DP73" s="4591"/>
      <c r="DQ73" s="4591"/>
      <c r="DR73" s="1102">
        <f>IF(DP73=0,0,(DQ73-DP73)/DP73*100)</f>
        <v>0</v>
      </c>
      <c r="DS73" s="4591"/>
      <c r="DT73" s="4591"/>
      <c r="DU73" s="1102">
        <f>IF(DS73=0,0,(DT73-DS73)/DS73*100)</f>
        <v>0</v>
      </c>
      <c r="DV73" s="4591"/>
      <c r="DW73" s="4591"/>
      <c r="DX73" s="1102">
        <f>IF(DV73=0,0,(DW73-DV73)/DV73*100)</f>
        <v>0</v>
      </c>
      <c r="DY73" s="4591"/>
      <c r="DZ73" s="4591"/>
      <c r="EA73" s="1102">
        <f>IF(DY73=0,0,(DZ73-DY73)/DY73*100)</f>
        <v>0</v>
      </c>
      <c r="EB73" s="4591"/>
      <c r="EC73" s="4591"/>
      <c r="ED73" s="1102">
        <f>IF(EB73=0,0,(EC73-EB73)/EB73*100)</f>
        <v>0</v>
      </c>
      <c r="EE73" s="4591"/>
      <c r="EF73" s="4591"/>
      <c r="EG73" s="1102">
        <f>IF(EE73=0,0,(EF73-EE73)/EE73*100)</f>
        <v>0</v>
      </c>
      <c r="EH73" s="4591"/>
      <c r="EI73" s="4591"/>
      <c r="EJ73" s="1102">
        <f>IF(EH73=0,0,(EI73-EH73)/EH73*100)</f>
        <v>0</v>
      </c>
      <c r="EK73" s="4591"/>
      <c r="EL73" s="4591"/>
      <c r="EM73" s="1102">
        <f>IF(EK73=0,0,(EL73-EK73)/EK73*100)</f>
        <v>0</v>
      </c>
      <c r="EN73" s="4591"/>
      <c r="EO73" s="4591"/>
      <c r="EP73" s="1102">
        <f>IF(EN73=0,0,(EO73-EN73)/EN73*100)</f>
        <v>0</v>
      </c>
      <c r="EQ73" s="4591"/>
      <c r="ER73" s="4591"/>
      <c r="ES73" s="1102">
        <f>IF(EQ73=0,0,(ER73-EQ73)/EQ73*100)</f>
        <v>0</v>
      </c>
      <c r="ET73" s="4591"/>
      <c r="EU73" s="4591"/>
      <c r="EV73" s="1102">
        <f>IF(ET73=0,0,(EU73-ET73)/ET73*100)</f>
        <v>0</v>
      </c>
      <c r="EW73" s="4591"/>
      <c r="EX73" s="4591"/>
      <c r="EY73" s="1102">
        <f>IF(EW73=0,0,(EX73-EW73)/EW73*100)</f>
        <v>0</v>
      </c>
      <c r="EZ73" s="4591"/>
      <c r="FA73" s="4591"/>
      <c r="FB73" s="1102">
        <f>IF(EZ73=0,0,(FA73-EZ73)/EZ73*100)</f>
        <v>0</v>
      </c>
      <c r="FC73" s="4591"/>
      <c r="FD73" s="4591"/>
      <c r="FE73" s="1102">
        <f>IF(FC73=0,0,(FD73-FC73)/FC73*100)</f>
        <v>0</v>
      </c>
      <c r="FF73" s="4591"/>
      <c r="FG73" s="4591"/>
      <c r="FH73" s="1102">
        <f>IF(FF73=0,0,(FG73-FF73)/FF73*100)</f>
        <v>0</v>
      </c>
      <c r="FI73" s="4591"/>
      <c r="FJ73" s="4591"/>
      <c r="FK73" s="1102">
        <f>IF(FI73=0,0,(FJ73-FI73)/FI73*100)</f>
        <v>0</v>
      </c>
      <c r="FL73" s="4591"/>
      <c r="FM73" s="4591"/>
      <c r="FN73" s="1102">
        <f>IF(FL73=0,0,(FM73-FL73)/FL73*100)</f>
        <v>0</v>
      </c>
      <c r="FO73" s="4591"/>
      <c r="FP73" s="4591"/>
      <c r="FQ73" s="1102">
        <f>IF(FO73=0,0,(FP73-FO73)/FO73*100)</f>
        <v>0</v>
      </c>
      <c r="FR73" s="4591"/>
      <c r="FS73" s="4591"/>
      <c r="FT73" s="1102">
        <f>IF(FR73=0,0,(FS73-FR73)/FR73*100)</f>
        <v>0</v>
      </c>
      <c r="FU73" s="4591"/>
      <c r="FV73" s="4591"/>
      <c r="FW73" s="1102">
        <f>IF(FU73=0,0,(FV73-FU73)/FU73*100)</f>
        <v>0</v>
      </c>
      <c r="FX73" s="1328"/>
      <c r="FY73" s="1328"/>
      <c r="FZ73" s="1063" t="s">
        <v>1930</v>
      </c>
      <c r="GA73" s="1023" t="s">
        <v>993</v>
      </c>
      <c r="GB73" s="1023" cm="1" t="str">
        <f t="array" ref="GB73:GB73">GB72</f>
        <v>0</v>
      </c>
      <c r="GC73" s="1329"/>
      <c r="GD73" s="1329"/>
    </row>
    <row customHeight="1" ht="14.625" hidden="1">
      <c r="A74" s="496"/>
      <c r="B74" s="932" cm="1" t="str">
        <f t="array" ref="B74:B74">B73</f>
        <v>false</v>
      </c>
      <c r="C74" s="496"/>
      <c r="D74" s="496"/>
      <c r="E74" s="847">
        <v>15</v>
      </c>
      <c r="F74" s="50" cm="1" t="str">
        <f t="array" ref="F74:F74">OFFSET(E74,-1,1)</f>
        <v>0</v>
      </c>
      <c r="G74" s="496"/>
      <c r="H74" s="496" t="s">
        <v>1899</v>
      </c>
      <c r="I74" s="496" cm="1" t="str">
        <f t="array" ref="I74:I74">I73</f>
        <v>0</v>
      </c>
      <c r="J74" s="496"/>
      <c r="K74" s="496"/>
      <c r="L74" s="496"/>
      <c r="M74" s="496"/>
      <c r="N74" s="496"/>
      <c r="O74" s="496"/>
      <c r="P74" s="496"/>
      <c r="Q74" s="496"/>
      <c r="R74" s="496"/>
      <c r="S74" s="496"/>
      <c r="T74" s="468" cm="1" t="str">
        <f t="array" ref="T74:T74">T73</f>
        <v>false</v>
      </c>
      <c r="U74" s="496"/>
      <c r="V74" s="496"/>
      <c r="W74" s="496"/>
      <c r="X74" s="1559"/>
      <c r="Y74" s="1559"/>
      <c r="Z74" s="1528"/>
      <c r="AA74" s="4589"/>
      <c r="AB74" s="911" t="str">
        <f>"объём "&amp;IF(Q29="Водоснабжение","потребления холодной воды","водоотведения")</f>
        <v>объём водоотведения</v>
      </c>
      <c r="AC74" s="871" t="s">
        <v>657</v>
      </c>
      <c r="AD74" s="4585"/>
      <c r="AE74" s="4585"/>
      <c r="AF74" s="1104">
        <f>IF(AD74=0,0,(AE74-AD74)/AD74*100)</f>
        <v>0</v>
      </c>
      <c r="AG74" s="4585"/>
      <c r="AH74" s="4585"/>
      <c r="AI74" s="1104">
        <f>IF(AG74=0,0,(AH74-AG74)/AG74*100)</f>
        <v>0</v>
      </c>
      <c r="AJ74" s="4585"/>
      <c r="AK74" s="4585"/>
      <c r="AL74" s="1104">
        <f>IF(AJ74=0,0,(AK74-AJ74)/AJ74*100)</f>
        <v>0</v>
      </c>
      <c r="AM74" s="4585"/>
      <c r="AN74" s="4585"/>
      <c r="AO74" s="1104">
        <f>IF(AM74=0,0,(AN74-AM74)/AM74*100)</f>
        <v>0</v>
      </c>
      <c r="AP74" s="4585"/>
      <c r="AQ74" s="4585"/>
      <c r="AR74" s="1104">
        <f>IF(AP74=0,0,(AQ74-AP74)/AP74*100)</f>
        <v>0</v>
      </c>
      <c r="AS74" s="4585"/>
      <c r="AT74" s="4585"/>
      <c r="AU74" s="1104">
        <f>IF(AS74=0,0,(AT74-AS74)/AS74*100)</f>
        <v>0</v>
      </c>
      <c r="AV74" s="4585"/>
      <c r="AW74" s="4585"/>
      <c r="AX74" s="1104">
        <f>IF(AV74=0,0,(AW74-AV74)/AV74*100)</f>
        <v>0</v>
      </c>
      <c r="AY74" s="4585"/>
      <c r="AZ74" s="4585"/>
      <c r="BA74" s="1104">
        <f>IF(AY74=0,0,(AZ74-AY74)/AY74*100)</f>
        <v>0</v>
      </c>
      <c r="BB74" s="4585"/>
      <c r="BC74" s="4585"/>
      <c r="BD74" s="1104">
        <f>IF(BB74=0,0,(BC74-BB74)/BB74*100)</f>
        <v>0</v>
      </c>
      <c r="BE74" s="4585"/>
      <c r="BF74" s="4585"/>
      <c r="BG74" s="1104">
        <f>IF(BE74=0,0,(BF74-BE74)/BE74*100)</f>
        <v>0</v>
      </c>
      <c r="BH74" s="4585"/>
      <c r="BI74" s="4585"/>
      <c r="BJ74" s="1104">
        <f>IF(BH74=0,0,(BI74-BH74)/BH74*100)</f>
        <v>0</v>
      </c>
      <c r="BK74" s="4585"/>
      <c r="BL74" s="4585"/>
      <c r="BM74" s="1104">
        <f>IF(BK74=0,0,(BL74-BK74)/BK74*100)</f>
        <v>0</v>
      </c>
      <c r="BN74" s="4585"/>
      <c r="BO74" s="4585"/>
      <c r="BP74" s="1104">
        <f>IF(BN74=0,0,(BO74-BN74)/BN74*100)</f>
        <v>0</v>
      </c>
      <c r="BQ74" s="4585"/>
      <c r="BR74" s="4585"/>
      <c r="BS74" s="1104">
        <f>IF(BQ74=0,0,(BR74-BQ74)/BQ74*100)</f>
        <v>0</v>
      </c>
      <c r="BT74" s="4585"/>
      <c r="BU74" s="4585"/>
      <c r="BV74" s="1104">
        <f>IF(BT74=0,0,(BU74-BT74)/BT74*100)</f>
        <v>0</v>
      </c>
      <c r="BW74" s="4585"/>
      <c r="BX74" s="4585"/>
      <c r="BY74" s="1104">
        <f>IF(BW74=0,0,(BX74-BW74)/BW74*100)</f>
        <v>0</v>
      </c>
      <c r="BZ74" s="4585"/>
      <c r="CA74" s="4585"/>
      <c r="CB74" s="1104">
        <f>IF(BZ74=0,0,(CA74-BZ74)/BZ74*100)</f>
        <v>0</v>
      </c>
      <c r="CC74" s="4585"/>
      <c r="CD74" s="4585"/>
      <c r="CE74" s="1104">
        <f>IF(CC74=0,0,(CD74-CC74)/CC74*100)</f>
        <v>0</v>
      </c>
      <c r="CF74" s="4585"/>
      <c r="CG74" s="4585"/>
      <c r="CH74" s="1104">
        <f>IF(CF74=0,0,(CG74-CF74)/CF74*100)</f>
        <v>0</v>
      </c>
      <c r="CI74" s="4585"/>
      <c r="CJ74" s="4585"/>
      <c r="CK74" s="1104">
        <f>IF(CI74=0,0,(CJ74-CI74)/CI74*100)</f>
        <v>0</v>
      </c>
      <c r="CL74" s="4585"/>
      <c r="CM74" s="4585"/>
      <c r="CN74" s="1104">
        <f>IF(CL74=0,0,(CM74-CL74)/CL74*100)</f>
        <v>0</v>
      </c>
      <c r="CO74" s="4585"/>
      <c r="CP74" s="4585"/>
      <c r="CQ74" s="1104">
        <f>IF(CO74=0,0,(CP74-CO74)/CO74*100)</f>
        <v>0</v>
      </c>
      <c r="CR74" s="4585"/>
      <c r="CS74" s="4585"/>
      <c r="CT74" s="1104">
        <f>IF(CR74=0,0,(CS74-CR74)/CR74*100)</f>
        <v>0</v>
      </c>
      <c r="CU74" s="4585"/>
      <c r="CV74" s="4585"/>
      <c r="CW74" s="1104">
        <f>IF(CU74=0,0,(CV74-CU74)/CU74*100)</f>
        <v>0</v>
      </c>
      <c r="CX74" s="4585"/>
      <c r="CY74" s="4585"/>
      <c r="CZ74" s="1104">
        <f>IF(CX74=0,0,(CY74-CX74)/CX74*100)</f>
        <v>0</v>
      </c>
      <c r="DA74" s="4585"/>
      <c r="DB74" s="4585"/>
      <c r="DC74" s="1104">
        <f>IF(DA74=0,0,(DB74-DA74)/DA74*100)</f>
        <v>0</v>
      </c>
      <c r="DD74" s="4585"/>
      <c r="DE74" s="4585"/>
      <c r="DF74" s="1104">
        <f>IF(DD74=0,0,(DE74-DD74)/DD74*100)</f>
        <v>0</v>
      </c>
      <c r="DG74" s="4585"/>
      <c r="DH74" s="4585"/>
      <c r="DI74" s="1104">
        <f>IF(DG74=0,0,(DH74-DG74)/DG74*100)</f>
        <v>0</v>
      </c>
      <c r="DJ74" s="4585"/>
      <c r="DK74" s="4585"/>
      <c r="DL74" s="1104">
        <f>IF(DJ74=0,0,(DK74-DJ74)/DJ74*100)</f>
        <v>0</v>
      </c>
      <c r="DM74" s="4585"/>
      <c r="DN74" s="4585"/>
      <c r="DO74" s="1104">
        <f>IF(DM74=0,0,(DN74-DM74)/DM74*100)</f>
        <v>0</v>
      </c>
      <c r="DP74" s="4585"/>
      <c r="DQ74" s="4585"/>
      <c r="DR74" s="1104">
        <f>IF(DP74=0,0,(DQ74-DP74)/DP74*100)</f>
        <v>0</v>
      </c>
      <c r="DS74" s="4585"/>
      <c r="DT74" s="4585"/>
      <c r="DU74" s="1104">
        <f>IF(DS74=0,0,(DT74-DS74)/DS74*100)</f>
        <v>0</v>
      </c>
      <c r="DV74" s="4585"/>
      <c r="DW74" s="4585"/>
      <c r="DX74" s="1104">
        <f>IF(DV74=0,0,(DW74-DV74)/DV74*100)</f>
        <v>0</v>
      </c>
      <c r="DY74" s="4585"/>
      <c r="DZ74" s="4585"/>
      <c r="EA74" s="1104">
        <f>IF(DY74=0,0,(DZ74-DY74)/DY74*100)</f>
        <v>0</v>
      </c>
      <c r="EB74" s="4585"/>
      <c r="EC74" s="4585"/>
      <c r="ED74" s="1104">
        <f>IF(EB74=0,0,(EC74-EB74)/EB74*100)</f>
        <v>0</v>
      </c>
      <c r="EE74" s="4585"/>
      <c r="EF74" s="4585"/>
      <c r="EG74" s="1104">
        <f>IF(EE74=0,0,(EF74-EE74)/EE74*100)</f>
        <v>0</v>
      </c>
      <c r="EH74" s="4585"/>
      <c r="EI74" s="4585"/>
      <c r="EJ74" s="1104">
        <f>IF(EH74=0,0,(EI74-EH74)/EH74*100)</f>
        <v>0</v>
      </c>
      <c r="EK74" s="4585"/>
      <c r="EL74" s="4585"/>
      <c r="EM74" s="1104">
        <f>IF(EK74=0,0,(EL74-EK74)/EK74*100)</f>
        <v>0</v>
      </c>
      <c r="EN74" s="4585"/>
      <c r="EO74" s="4585"/>
      <c r="EP74" s="1104">
        <f>IF(EN74=0,0,(EO74-EN74)/EN74*100)</f>
        <v>0</v>
      </c>
      <c r="EQ74" s="4585"/>
      <c r="ER74" s="4585"/>
      <c r="ES74" s="1104">
        <f>IF(EQ74=0,0,(ER74-EQ74)/EQ74*100)</f>
        <v>0</v>
      </c>
      <c r="ET74" s="4585"/>
      <c r="EU74" s="4585"/>
      <c r="EV74" s="1104">
        <f>IF(ET74=0,0,(EU74-ET74)/ET74*100)</f>
        <v>0</v>
      </c>
      <c r="EW74" s="4585"/>
      <c r="EX74" s="4585"/>
      <c r="EY74" s="1104">
        <f>IF(EW74=0,0,(EX74-EW74)/EW74*100)</f>
        <v>0</v>
      </c>
      <c r="EZ74" s="4585"/>
      <c r="FA74" s="4585"/>
      <c r="FB74" s="1104">
        <f>IF(EZ74=0,0,(FA74-EZ74)/EZ74*100)</f>
        <v>0</v>
      </c>
      <c r="FC74" s="4585"/>
      <c r="FD74" s="4585"/>
      <c r="FE74" s="1104">
        <f>IF(FC74=0,0,(FD74-FC74)/FC74*100)</f>
        <v>0</v>
      </c>
      <c r="FF74" s="4585"/>
      <c r="FG74" s="4585"/>
      <c r="FH74" s="1104">
        <f>IF(FF74=0,0,(FG74-FF74)/FF74*100)</f>
        <v>0</v>
      </c>
      <c r="FI74" s="4585"/>
      <c r="FJ74" s="4585"/>
      <c r="FK74" s="1104">
        <f>IF(FI74=0,0,(FJ74-FI74)/FI74*100)</f>
        <v>0</v>
      </c>
      <c r="FL74" s="4585"/>
      <c r="FM74" s="4585"/>
      <c r="FN74" s="1104">
        <f>IF(FL74=0,0,(FM74-FL74)/FL74*100)</f>
        <v>0</v>
      </c>
      <c r="FO74" s="4585"/>
      <c r="FP74" s="4585"/>
      <c r="FQ74" s="1104">
        <f>IF(FO74=0,0,(FP74-FO74)/FO74*100)</f>
        <v>0</v>
      </c>
      <c r="FR74" s="4585"/>
      <c r="FS74" s="4585"/>
      <c r="FT74" s="1104">
        <f>IF(FR74=0,0,(FS74-FR74)/FR74*100)</f>
        <v>0</v>
      </c>
      <c r="FU74" s="4585"/>
      <c r="FV74" s="4585"/>
      <c r="FW74" s="1104">
        <f>IF(FU74=0,0,(FV74-FU74)/FU74*100)</f>
        <v>0</v>
      </c>
      <c r="FX74" s="1328"/>
      <c r="FY74" s="1328"/>
      <c r="FZ74" s="1063" t="s">
        <v>1931</v>
      </c>
      <c r="GA74" s="1023" t="s">
        <v>993</v>
      </c>
      <c r="GB74" s="1023" cm="1" t="str">
        <f t="array" ref="GB74:GB74">GB73</f>
        <v>0</v>
      </c>
      <c r="GC74" s="1329"/>
      <c r="GD74" s="1329"/>
    </row>
    <row customHeight="1" ht="21.9375" hidden="1">
      <c r="A75" s="496"/>
      <c r="B75" s="932" cm="1" t="str">
        <f t="array" ref="B75:B75">B74</f>
        <v>false</v>
      </c>
      <c r="C75" s="496"/>
      <c r="D75" s="496"/>
      <c r="E75" s="847">
        <v>22.5</v>
      </c>
      <c r="F75" s="50" cm="1" t="str">
        <f t="array" ref="F75:F75">OFFSET(E75,-1,1)</f>
        <v>0</v>
      </c>
      <c r="G75" s="496"/>
      <c r="H75" s="496" t="s">
        <v>1901</v>
      </c>
      <c r="I75" s="496" cm="1" t="str">
        <f t="array" ref="I75:I75">I74</f>
        <v>0</v>
      </c>
      <c r="J75" s="496"/>
      <c r="K75" s="496"/>
      <c r="L75" s="496"/>
      <c r="M75" s="496"/>
      <c r="N75" s="496"/>
      <c r="O75" s="496"/>
      <c r="P75" s="496"/>
      <c r="Q75" s="496"/>
      <c r="R75" s="496"/>
      <c r="S75" s="496"/>
      <c r="T75" s="468" cm="1" t="str">
        <f t="array" ref="T75:T75">T74</f>
        <v>false</v>
      </c>
      <c r="U75" s="496"/>
      <c r="V75" s="496"/>
      <c r="W75" s="496"/>
      <c r="X75" s="1559"/>
      <c r="Y75" s="1559"/>
      <c r="Z75" s="1528"/>
      <c r="AA75" s="4589"/>
      <c r="AB75" s="911"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75" s="871" t="s">
        <v>1902</v>
      </c>
      <c r="AD75" s="4591"/>
      <c r="AE75" s="4591"/>
      <c r="AF75" s="1102">
        <f>IF(AD75=0,0,(AE75-AD75)/AD75*100)</f>
        <v>0</v>
      </c>
      <c r="AG75" s="4591"/>
      <c r="AH75" s="4591"/>
      <c r="AI75" s="1102">
        <f>IF(AG75=0,0,(AH75-AG75)/AG75*100)</f>
        <v>0</v>
      </c>
      <c r="AJ75" s="4591"/>
      <c r="AK75" s="4591"/>
      <c r="AL75" s="1102">
        <f>IF(AJ75=0,0,(AK75-AJ75)/AJ75*100)</f>
        <v>0</v>
      </c>
      <c r="AM75" s="4591"/>
      <c r="AN75" s="4591"/>
      <c r="AO75" s="1102">
        <f>IF(AM75=0,0,(AN75-AM75)/AM75*100)</f>
        <v>0</v>
      </c>
      <c r="AP75" s="4591"/>
      <c r="AQ75" s="4591"/>
      <c r="AR75" s="1102">
        <f>IF(AP75=0,0,(AQ75-AP75)/AP75*100)</f>
        <v>0</v>
      </c>
      <c r="AS75" s="4591"/>
      <c r="AT75" s="4591"/>
      <c r="AU75" s="1102">
        <f>IF(AS75=0,0,(AT75-AS75)/AS75*100)</f>
        <v>0</v>
      </c>
      <c r="AV75" s="4591"/>
      <c r="AW75" s="4591"/>
      <c r="AX75" s="1102">
        <f>IF(AV75=0,0,(AW75-AV75)/AV75*100)</f>
        <v>0</v>
      </c>
      <c r="AY75" s="4591"/>
      <c r="AZ75" s="4591"/>
      <c r="BA75" s="1102">
        <f>IF(AY75=0,0,(AZ75-AY75)/AY75*100)</f>
        <v>0</v>
      </c>
      <c r="BB75" s="4591"/>
      <c r="BC75" s="4591"/>
      <c r="BD75" s="1102">
        <f>IF(BB75=0,0,(BC75-BB75)/BB75*100)</f>
        <v>0</v>
      </c>
      <c r="BE75" s="4591"/>
      <c r="BF75" s="4591"/>
      <c r="BG75" s="1102">
        <f>IF(BE75=0,0,(BF75-BE75)/BE75*100)</f>
        <v>0</v>
      </c>
      <c r="BH75" s="4591"/>
      <c r="BI75" s="4591"/>
      <c r="BJ75" s="1102">
        <f>IF(BH75=0,0,(BI75-BH75)/BH75*100)</f>
        <v>0</v>
      </c>
      <c r="BK75" s="4591"/>
      <c r="BL75" s="4591"/>
      <c r="BM75" s="1102">
        <f>IF(BK75=0,0,(BL75-BK75)/BK75*100)</f>
        <v>0</v>
      </c>
      <c r="BN75" s="4591"/>
      <c r="BO75" s="4591"/>
      <c r="BP75" s="1102">
        <f>IF(BN75=0,0,(BO75-BN75)/BN75*100)</f>
        <v>0</v>
      </c>
      <c r="BQ75" s="4591"/>
      <c r="BR75" s="4591"/>
      <c r="BS75" s="1102">
        <f>IF(BQ75=0,0,(BR75-BQ75)/BQ75*100)</f>
        <v>0</v>
      </c>
      <c r="BT75" s="4591"/>
      <c r="BU75" s="4591"/>
      <c r="BV75" s="1102">
        <f>IF(BT75=0,0,(BU75-BT75)/BT75*100)</f>
        <v>0</v>
      </c>
      <c r="BW75" s="4591"/>
      <c r="BX75" s="4591"/>
      <c r="BY75" s="1102">
        <f>IF(BW75=0,0,(BX75-BW75)/BW75*100)</f>
        <v>0</v>
      </c>
      <c r="BZ75" s="4591"/>
      <c r="CA75" s="4591"/>
      <c r="CB75" s="1102">
        <f>IF(BZ75=0,0,(CA75-BZ75)/BZ75*100)</f>
        <v>0</v>
      </c>
      <c r="CC75" s="4591"/>
      <c r="CD75" s="4591"/>
      <c r="CE75" s="1102">
        <f>IF(CC75=0,0,(CD75-CC75)/CC75*100)</f>
        <v>0</v>
      </c>
      <c r="CF75" s="4591"/>
      <c r="CG75" s="4591"/>
      <c r="CH75" s="1102">
        <f>IF(CF75=0,0,(CG75-CF75)/CF75*100)</f>
        <v>0</v>
      </c>
      <c r="CI75" s="4591"/>
      <c r="CJ75" s="4591"/>
      <c r="CK75" s="1102">
        <f>IF(CI75=0,0,(CJ75-CI75)/CI75*100)</f>
        <v>0</v>
      </c>
      <c r="CL75" s="4591"/>
      <c r="CM75" s="4591"/>
      <c r="CN75" s="1102">
        <f>IF(CL75=0,0,(CM75-CL75)/CL75*100)</f>
        <v>0</v>
      </c>
      <c r="CO75" s="4591"/>
      <c r="CP75" s="4591"/>
      <c r="CQ75" s="1102">
        <f>IF(CO75=0,0,(CP75-CO75)/CO75*100)</f>
        <v>0</v>
      </c>
      <c r="CR75" s="4591"/>
      <c r="CS75" s="4591"/>
      <c r="CT75" s="1102">
        <f>IF(CR75=0,0,(CS75-CR75)/CR75*100)</f>
        <v>0</v>
      </c>
      <c r="CU75" s="4591"/>
      <c r="CV75" s="4591"/>
      <c r="CW75" s="1102">
        <f>IF(CU75=0,0,(CV75-CU75)/CU75*100)</f>
        <v>0</v>
      </c>
      <c r="CX75" s="4591"/>
      <c r="CY75" s="4591"/>
      <c r="CZ75" s="1102">
        <f>IF(CX75=0,0,(CY75-CX75)/CX75*100)</f>
        <v>0</v>
      </c>
      <c r="DA75" s="4591"/>
      <c r="DB75" s="4591"/>
      <c r="DC75" s="1102">
        <f>IF(DA75=0,0,(DB75-DA75)/DA75*100)</f>
        <v>0</v>
      </c>
      <c r="DD75" s="4591"/>
      <c r="DE75" s="4591"/>
      <c r="DF75" s="1102">
        <f>IF(DD75=0,0,(DE75-DD75)/DD75*100)</f>
        <v>0</v>
      </c>
      <c r="DG75" s="4591"/>
      <c r="DH75" s="4591"/>
      <c r="DI75" s="1102">
        <f>IF(DG75=0,0,(DH75-DG75)/DG75*100)</f>
        <v>0</v>
      </c>
      <c r="DJ75" s="4591"/>
      <c r="DK75" s="4591"/>
      <c r="DL75" s="1102">
        <f>IF(DJ75=0,0,(DK75-DJ75)/DJ75*100)</f>
        <v>0</v>
      </c>
      <c r="DM75" s="4591"/>
      <c r="DN75" s="4591"/>
      <c r="DO75" s="1102">
        <f>IF(DM75=0,0,(DN75-DM75)/DM75*100)</f>
        <v>0</v>
      </c>
      <c r="DP75" s="4591"/>
      <c r="DQ75" s="4591"/>
      <c r="DR75" s="1102">
        <f>IF(DP75=0,0,(DQ75-DP75)/DP75*100)</f>
        <v>0</v>
      </c>
      <c r="DS75" s="4591"/>
      <c r="DT75" s="4591"/>
      <c r="DU75" s="1102">
        <f>IF(DS75=0,0,(DT75-DS75)/DS75*100)</f>
        <v>0</v>
      </c>
      <c r="DV75" s="4591"/>
      <c r="DW75" s="4591"/>
      <c r="DX75" s="1102">
        <f>IF(DV75=0,0,(DW75-DV75)/DV75*100)</f>
        <v>0</v>
      </c>
      <c r="DY75" s="4591"/>
      <c r="DZ75" s="4591"/>
      <c r="EA75" s="1102">
        <f>IF(DY75=0,0,(DZ75-DY75)/DY75*100)</f>
        <v>0</v>
      </c>
      <c r="EB75" s="4591"/>
      <c r="EC75" s="4591"/>
      <c r="ED75" s="1102">
        <f>IF(EB75=0,0,(EC75-EB75)/EB75*100)</f>
        <v>0</v>
      </c>
      <c r="EE75" s="4591"/>
      <c r="EF75" s="4591"/>
      <c r="EG75" s="1102">
        <f>IF(EE75=0,0,(EF75-EE75)/EE75*100)</f>
        <v>0</v>
      </c>
      <c r="EH75" s="4591"/>
      <c r="EI75" s="4591"/>
      <c r="EJ75" s="1102">
        <f>IF(EH75=0,0,(EI75-EH75)/EH75*100)</f>
        <v>0</v>
      </c>
      <c r="EK75" s="4591"/>
      <c r="EL75" s="4591"/>
      <c r="EM75" s="1102">
        <f>IF(EK75=0,0,(EL75-EK75)/EK75*100)</f>
        <v>0</v>
      </c>
      <c r="EN75" s="4591"/>
      <c r="EO75" s="4591"/>
      <c r="EP75" s="1102">
        <f>IF(EN75=0,0,(EO75-EN75)/EN75*100)</f>
        <v>0</v>
      </c>
      <c r="EQ75" s="4591"/>
      <c r="ER75" s="4591"/>
      <c r="ES75" s="1102">
        <f>IF(EQ75=0,0,(ER75-EQ75)/EQ75*100)</f>
        <v>0</v>
      </c>
      <c r="ET75" s="4591"/>
      <c r="EU75" s="4591"/>
      <c r="EV75" s="1102">
        <f>IF(ET75=0,0,(EU75-ET75)/ET75*100)</f>
        <v>0</v>
      </c>
      <c r="EW75" s="4591"/>
      <c r="EX75" s="4591"/>
      <c r="EY75" s="1102">
        <f>IF(EW75=0,0,(EX75-EW75)/EW75*100)</f>
        <v>0</v>
      </c>
      <c r="EZ75" s="4591"/>
      <c r="FA75" s="4591"/>
      <c r="FB75" s="1102">
        <f>IF(EZ75=0,0,(FA75-EZ75)/EZ75*100)</f>
        <v>0</v>
      </c>
      <c r="FC75" s="4591"/>
      <c r="FD75" s="4591"/>
      <c r="FE75" s="1102">
        <f>IF(FC75=0,0,(FD75-FC75)/FC75*100)</f>
        <v>0</v>
      </c>
      <c r="FF75" s="4591"/>
      <c r="FG75" s="4591"/>
      <c r="FH75" s="1102">
        <f>IF(FF75=0,0,(FG75-FF75)/FF75*100)</f>
        <v>0</v>
      </c>
      <c r="FI75" s="4591"/>
      <c r="FJ75" s="4591"/>
      <c r="FK75" s="1102">
        <f>IF(FI75=0,0,(FJ75-FI75)/FI75*100)</f>
        <v>0</v>
      </c>
      <c r="FL75" s="4591"/>
      <c r="FM75" s="4591"/>
      <c r="FN75" s="1102">
        <f>IF(FL75=0,0,(FM75-FL75)/FL75*100)</f>
        <v>0</v>
      </c>
      <c r="FO75" s="4591"/>
      <c r="FP75" s="4591"/>
      <c r="FQ75" s="1102">
        <f>IF(FO75=0,0,(FP75-FO75)/FO75*100)</f>
        <v>0</v>
      </c>
      <c r="FR75" s="4591"/>
      <c r="FS75" s="4591"/>
      <c r="FT75" s="1102">
        <f>IF(FR75=0,0,(FS75-FR75)/FR75*100)</f>
        <v>0</v>
      </c>
      <c r="FU75" s="4591"/>
      <c r="FV75" s="4591"/>
      <c r="FW75" s="1102">
        <f>IF(FU75=0,0,(FV75-FU75)/FU75*100)</f>
        <v>0</v>
      </c>
      <c r="FX75" s="1328"/>
      <c r="FY75" s="1328"/>
      <c r="FZ75" s="1063" t="s">
        <v>1932</v>
      </c>
      <c r="GA75" s="1023" t="s">
        <v>993</v>
      </c>
      <c r="GB75" s="1023" cm="1" t="str">
        <f t="array" ref="GB75:GB75">GB74</f>
        <v>0</v>
      </c>
      <c r="GC75" s="1329"/>
      <c r="GD75" s="1329"/>
    </row>
    <row customHeight="1" ht="14.625" hidden="1">
      <c r="A76" s="496"/>
      <c r="B76" s="932" cm="1" t="str">
        <f t="array" ref="B76:B76">B75</f>
        <v>false</v>
      </c>
      <c r="C76" s="496"/>
      <c r="D76" s="496"/>
      <c r="E76" s="847">
        <v>15</v>
      </c>
      <c r="F76" s="50" cm="1" t="str">
        <f t="array" ref="F76:F76">OFFSET(E76,-1,1)</f>
        <v>0</v>
      </c>
      <c r="G76" s="496"/>
      <c r="H76" s="496" t="s">
        <v>1904</v>
      </c>
      <c r="I76" s="496" cm="1" t="str">
        <f t="array" ref="I76:I76">I75</f>
        <v>0</v>
      </c>
      <c r="J76" s="496"/>
      <c r="K76" s="496"/>
      <c r="L76" s="496"/>
      <c r="M76" s="496"/>
      <c r="N76" s="496"/>
      <c r="O76" s="496"/>
      <c r="P76" s="496"/>
      <c r="Q76" s="496"/>
      <c r="R76" s="496"/>
      <c r="S76" s="496"/>
      <c r="T76" s="468" cm="1" t="str">
        <f t="array" ref="T76:T76">T75</f>
        <v>false</v>
      </c>
      <c r="U76" s="496"/>
      <c r="V76" s="496"/>
      <c r="W76" s="496"/>
      <c r="X76" s="1559"/>
      <c r="Y76" s="1559"/>
      <c r="Z76" s="1528"/>
      <c r="AA76" s="4589"/>
      <c r="AB76" s="911" t="s">
        <v>1905</v>
      </c>
      <c r="AC76" s="871" t="s">
        <v>1906</v>
      </c>
      <c r="AD76" s="4591"/>
      <c r="AE76" s="4591"/>
      <c r="AF76" s="1102">
        <f>IF(AD76=0,0,(AE76-AD76)/AD76*100)</f>
        <v>0</v>
      </c>
      <c r="AG76" s="4591"/>
      <c r="AH76" s="4591"/>
      <c r="AI76" s="1102">
        <f>IF(AG76=0,0,(AH76-AG76)/AG76*100)</f>
        <v>0</v>
      </c>
      <c r="AJ76" s="4591"/>
      <c r="AK76" s="4591"/>
      <c r="AL76" s="1102">
        <f>IF(AJ76=0,0,(AK76-AJ76)/AJ76*100)</f>
        <v>0</v>
      </c>
      <c r="AM76" s="4591"/>
      <c r="AN76" s="4591"/>
      <c r="AO76" s="1102">
        <f>IF(AM76=0,0,(AN76-AM76)/AM76*100)</f>
        <v>0</v>
      </c>
      <c r="AP76" s="4591"/>
      <c r="AQ76" s="4591"/>
      <c r="AR76" s="1102">
        <f>IF(AP76=0,0,(AQ76-AP76)/AP76*100)</f>
        <v>0</v>
      </c>
      <c r="AS76" s="4591"/>
      <c r="AT76" s="4591"/>
      <c r="AU76" s="1102">
        <f>IF(AS76=0,0,(AT76-AS76)/AS76*100)</f>
        <v>0</v>
      </c>
      <c r="AV76" s="4591"/>
      <c r="AW76" s="4591"/>
      <c r="AX76" s="1102">
        <f>IF(AV76=0,0,(AW76-AV76)/AV76*100)</f>
        <v>0</v>
      </c>
      <c r="AY76" s="4591"/>
      <c r="AZ76" s="4591"/>
      <c r="BA76" s="1102">
        <f>IF(AY76=0,0,(AZ76-AY76)/AY76*100)</f>
        <v>0</v>
      </c>
      <c r="BB76" s="4591"/>
      <c r="BC76" s="4591"/>
      <c r="BD76" s="1102">
        <f>IF(BB76=0,0,(BC76-BB76)/BB76*100)</f>
        <v>0</v>
      </c>
      <c r="BE76" s="4591"/>
      <c r="BF76" s="4591"/>
      <c r="BG76" s="1102">
        <f>IF(BE76=0,0,(BF76-BE76)/BE76*100)</f>
        <v>0</v>
      </c>
      <c r="BH76" s="4591"/>
      <c r="BI76" s="4591"/>
      <c r="BJ76" s="1102">
        <f>IF(BH76=0,0,(BI76-BH76)/BH76*100)</f>
        <v>0</v>
      </c>
      <c r="BK76" s="4591"/>
      <c r="BL76" s="4591"/>
      <c r="BM76" s="1102">
        <f>IF(BK76=0,0,(BL76-BK76)/BK76*100)</f>
        <v>0</v>
      </c>
      <c r="BN76" s="4591"/>
      <c r="BO76" s="4591"/>
      <c r="BP76" s="1102">
        <f>IF(BN76=0,0,(BO76-BN76)/BN76*100)</f>
        <v>0</v>
      </c>
      <c r="BQ76" s="4591"/>
      <c r="BR76" s="4591"/>
      <c r="BS76" s="1102">
        <f>IF(BQ76=0,0,(BR76-BQ76)/BQ76*100)</f>
        <v>0</v>
      </c>
      <c r="BT76" s="4591"/>
      <c r="BU76" s="4591"/>
      <c r="BV76" s="1102">
        <f>IF(BT76=0,0,(BU76-BT76)/BT76*100)</f>
        <v>0</v>
      </c>
      <c r="BW76" s="4591"/>
      <c r="BX76" s="4591"/>
      <c r="BY76" s="1102">
        <f>IF(BW76=0,0,(BX76-BW76)/BW76*100)</f>
        <v>0</v>
      </c>
      <c r="BZ76" s="4591"/>
      <c r="CA76" s="4591"/>
      <c r="CB76" s="1102">
        <f>IF(BZ76=0,0,(CA76-BZ76)/BZ76*100)</f>
        <v>0</v>
      </c>
      <c r="CC76" s="4591"/>
      <c r="CD76" s="4591"/>
      <c r="CE76" s="1102">
        <f>IF(CC76=0,0,(CD76-CC76)/CC76*100)</f>
        <v>0</v>
      </c>
      <c r="CF76" s="4591"/>
      <c r="CG76" s="4591"/>
      <c r="CH76" s="1102">
        <f>IF(CF76=0,0,(CG76-CF76)/CF76*100)</f>
        <v>0</v>
      </c>
      <c r="CI76" s="4591"/>
      <c r="CJ76" s="4591"/>
      <c r="CK76" s="1102">
        <f>IF(CI76=0,0,(CJ76-CI76)/CI76*100)</f>
        <v>0</v>
      </c>
      <c r="CL76" s="4591"/>
      <c r="CM76" s="4591"/>
      <c r="CN76" s="1102">
        <f>IF(CL76=0,0,(CM76-CL76)/CL76*100)</f>
        <v>0</v>
      </c>
      <c r="CO76" s="4591"/>
      <c r="CP76" s="4591"/>
      <c r="CQ76" s="1102">
        <f>IF(CO76=0,0,(CP76-CO76)/CO76*100)</f>
        <v>0</v>
      </c>
      <c r="CR76" s="4591"/>
      <c r="CS76" s="4591"/>
      <c r="CT76" s="1102">
        <f>IF(CR76=0,0,(CS76-CR76)/CR76*100)</f>
        <v>0</v>
      </c>
      <c r="CU76" s="4591"/>
      <c r="CV76" s="4591"/>
      <c r="CW76" s="1102">
        <f>IF(CU76=0,0,(CV76-CU76)/CU76*100)</f>
        <v>0</v>
      </c>
      <c r="CX76" s="4591"/>
      <c r="CY76" s="4591"/>
      <c r="CZ76" s="1102">
        <f>IF(CX76=0,0,(CY76-CX76)/CX76*100)</f>
        <v>0</v>
      </c>
      <c r="DA76" s="4591"/>
      <c r="DB76" s="4591"/>
      <c r="DC76" s="1102">
        <f>IF(DA76=0,0,(DB76-DA76)/DA76*100)</f>
        <v>0</v>
      </c>
      <c r="DD76" s="4591"/>
      <c r="DE76" s="4591"/>
      <c r="DF76" s="1102">
        <f>IF(DD76=0,0,(DE76-DD76)/DD76*100)</f>
        <v>0</v>
      </c>
      <c r="DG76" s="4591"/>
      <c r="DH76" s="4591"/>
      <c r="DI76" s="1102">
        <f>IF(DG76=0,0,(DH76-DG76)/DG76*100)</f>
        <v>0</v>
      </c>
      <c r="DJ76" s="4591"/>
      <c r="DK76" s="4591"/>
      <c r="DL76" s="1102">
        <f>IF(DJ76=0,0,(DK76-DJ76)/DJ76*100)</f>
        <v>0</v>
      </c>
      <c r="DM76" s="4591"/>
      <c r="DN76" s="4591"/>
      <c r="DO76" s="1102">
        <f>IF(DM76=0,0,(DN76-DM76)/DM76*100)</f>
        <v>0</v>
      </c>
      <c r="DP76" s="4591"/>
      <c r="DQ76" s="4591"/>
      <c r="DR76" s="1102">
        <f>IF(DP76=0,0,(DQ76-DP76)/DP76*100)</f>
        <v>0</v>
      </c>
      <c r="DS76" s="4591"/>
      <c r="DT76" s="4591"/>
      <c r="DU76" s="1102">
        <f>IF(DS76=0,0,(DT76-DS76)/DS76*100)</f>
        <v>0</v>
      </c>
      <c r="DV76" s="4591"/>
      <c r="DW76" s="4591"/>
      <c r="DX76" s="1102">
        <f>IF(DV76=0,0,(DW76-DV76)/DV76*100)</f>
        <v>0</v>
      </c>
      <c r="DY76" s="4591"/>
      <c r="DZ76" s="4591"/>
      <c r="EA76" s="1102">
        <f>IF(DY76=0,0,(DZ76-DY76)/DY76*100)</f>
        <v>0</v>
      </c>
      <c r="EB76" s="4591"/>
      <c r="EC76" s="4591"/>
      <c r="ED76" s="1102">
        <f>IF(EB76=0,0,(EC76-EB76)/EB76*100)</f>
        <v>0</v>
      </c>
      <c r="EE76" s="4591"/>
      <c r="EF76" s="4591"/>
      <c r="EG76" s="1102">
        <f>IF(EE76=0,0,(EF76-EE76)/EE76*100)</f>
        <v>0</v>
      </c>
      <c r="EH76" s="4591"/>
      <c r="EI76" s="4591"/>
      <c r="EJ76" s="1102">
        <f>IF(EH76=0,0,(EI76-EH76)/EH76*100)</f>
        <v>0</v>
      </c>
      <c r="EK76" s="4591"/>
      <c r="EL76" s="4591"/>
      <c r="EM76" s="1102">
        <f>IF(EK76=0,0,(EL76-EK76)/EK76*100)</f>
        <v>0</v>
      </c>
      <c r="EN76" s="4591"/>
      <c r="EO76" s="4591"/>
      <c r="EP76" s="1102">
        <f>IF(EN76=0,0,(EO76-EN76)/EN76*100)</f>
        <v>0</v>
      </c>
      <c r="EQ76" s="4591"/>
      <c r="ER76" s="4591"/>
      <c r="ES76" s="1102">
        <f>IF(EQ76=0,0,(ER76-EQ76)/EQ76*100)</f>
        <v>0</v>
      </c>
      <c r="ET76" s="4591"/>
      <c r="EU76" s="4591"/>
      <c r="EV76" s="1102">
        <f>IF(ET76=0,0,(EU76-ET76)/ET76*100)</f>
        <v>0</v>
      </c>
      <c r="EW76" s="4591"/>
      <c r="EX76" s="4591"/>
      <c r="EY76" s="1102">
        <f>IF(EW76=0,0,(EX76-EW76)/EW76*100)</f>
        <v>0</v>
      </c>
      <c r="EZ76" s="4591"/>
      <c r="FA76" s="4591"/>
      <c r="FB76" s="1102">
        <f>IF(EZ76=0,0,(FA76-EZ76)/EZ76*100)</f>
        <v>0</v>
      </c>
      <c r="FC76" s="4591"/>
      <c r="FD76" s="4591"/>
      <c r="FE76" s="1102">
        <f>IF(FC76=0,0,(FD76-FC76)/FC76*100)</f>
        <v>0</v>
      </c>
      <c r="FF76" s="4591"/>
      <c r="FG76" s="4591"/>
      <c r="FH76" s="1102">
        <f>IF(FF76=0,0,(FG76-FF76)/FF76*100)</f>
        <v>0</v>
      </c>
      <c r="FI76" s="4591"/>
      <c r="FJ76" s="4591"/>
      <c r="FK76" s="1102">
        <f>IF(FI76=0,0,(FJ76-FI76)/FI76*100)</f>
        <v>0</v>
      </c>
      <c r="FL76" s="4591"/>
      <c r="FM76" s="4591"/>
      <c r="FN76" s="1102">
        <f>IF(FL76=0,0,(FM76-FL76)/FL76*100)</f>
        <v>0</v>
      </c>
      <c r="FO76" s="4591"/>
      <c r="FP76" s="4591"/>
      <c r="FQ76" s="1102">
        <f>IF(FO76=0,0,(FP76-FO76)/FO76*100)</f>
        <v>0</v>
      </c>
      <c r="FR76" s="4591"/>
      <c r="FS76" s="4591"/>
      <c r="FT76" s="1102">
        <f>IF(FR76=0,0,(FS76-FR76)/FR76*100)</f>
        <v>0</v>
      </c>
      <c r="FU76" s="4591"/>
      <c r="FV76" s="4591"/>
      <c r="FW76" s="1102">
        <f>IF(FU76=0,0,(FV76-FU76)/FU76*100)</f>
        <v>0</v>
      </c>
      <c r="FX76" s="1328"/>
      <c r="FY76" s="1328"/>
      <c r="FZ76" s="1063" t="s">
        <v>1933</v>
      </c>
      <c r="GA76" s="1023" t="s">
        <v>993</v>
      </c>
      <c r="GB76" s="1023" cm="1" t="str">
        <f t="array" ref="GB76:GB76">GB75</f>
        <v>0</v>
      </c>
      <c r="GC76" s="1329"/>
      <c r="GD76" s="1329"/>
    </row>
    <row customHeight="1" ht="18.525" hidden="1">
      <c r="A77" s="496"/>
      <c r="B77" s="932" cm="1" t="str">
        <f t="array" ref="B77:B77">B76</f>
        <v>false</v>
      </c>
      <c r="C77" s="496"/>
      <c r="D77" s="496"/>
      <c r="E77" s="847">
        <v>19</v>
      </c>
      <c r="F77" s="50" cm="1" t="str">
        <f t="array" ref="F77:F77">OFFSET(E77,-1,1)</f>
        <v>0</v>
      </c>
      <c r="G77" s="496"/>
      <c r="H77" s="496"/>
      <c r="I77" s="496"/>
      <c r="J77" s="496"/>
      <c r="K77" s="496"/>
      <c r="L77" s="496"/>
      <c r="M77" s="496"/>
      <c r="N77" s="496"/>
      <c r="O77" s="496"/>
      <c r="P77" s="496"/>
      <c r="Q77" s="496"/>
      <c r="R77" s="496"/>
      <c r="S77" s="496"/>
      <c r="T77" s="468" cm="1" t="str">
        <f t="array" ref="T77:T77">T76</f>
        <v>false</v>
      </c>
      <c r="U77" s="496"/>
      <c r="V77" s="496"/>
      <c r="W77" s="496"/>
      <c r="X77" s="1559"/>
      <c r="Y77" s="1559"/>
      <c r="Z77" s="1528"/>
      <c r="AA77" s="4589"/>
      <c r="AB77" s="4590"/>
      <c r="AC77" s="872"/>
      <c r="AD77" s="1114"/>
      <c r="AE77" s="1115"/>
      <c r="AF77" s="1115"/>
      <c r="AG77" s="1114"/>
      <c r="AH77" s="1115"/>
      <c r="AI77" s="1115"/>
      <c r="AJ77" s="1114"/>
      <c r="AK77" s="1115"/>
      <c r="AL77" s="1115"/>
      <c r="AM77" s="1114"/>
      <c r="AN77" s="1115"/>
      <c r="AO77" s="1115"/>
      <c r="AP77" s="1114"/>
      <c r="AQ77" s="1115"/>
      <c r="AR77" s="1115"/>
      <c r="AS77" s="1114"/>
      <c r="AT77" s="1115"/>
      <c r="AU77" s="1115"/>
      <c r="AV77" s="1114"/>
      <c r="AW77" s="1115"/>
      <c r="AX77" s="1115"/>
      <c r="AY77" s="1114"/>
      <c r="AZ77" s="1115"/>
      <c r="BA77" s="1115"/>
      <c r="BB77" s="1114"/>
      <c r="BC77" s="1115"/>
      <c r="BD77" s="1115"/>
      <c r="BE77" s="1114"/>
      <c r="BF77" s="1115"/>
      <c r="BG77" s="1115"/>
      <c r="BH77" s="1114"/>
      <c r="BI77" s="1115"/>
      <c r="BJ77" s="1115"/>
      <c r="BK77" s="1114"/>
      <c r="BL77" s="1115"/>
      <c r="BM77" s="1115"/>
      <c r="BN77" s="1114"/>
      <c r="BO77" s="1115"/>
      <c r="BP77" s="1115"/>
      <c r="BQ77" s="1114"/>
      <c r="BR77" s="1115"/>
      <c r="BS77" s="1115"/>
      <c r="BT77" s="1114"/>
      <c r="BU77" s="1115"/>
      <c r="BV77" s="1115"/>
      <c r="BW77" s="1114"/>
      <c r="BX77" s="1115"/>
      <c r="BY77" s="1115"/>
      <c r="BZ77" s="1114"/>
      <c r="CA77" s="1115"/>
      <c r="CB77" s="1115"/>
      <c r="CC77" s="1114"/>
      <c r="CD77" s="1115"/>
      <c r="CE77" s="1115"/>
      <c r="CF77" s="1114"/>
      <c r="CG77" s="1115"/>
      <c r="CH77" s="1115"/>
      <c r="CI77" s="1114"/>
      <c r="CJ77" s="1115"/>
      <c r="CK77" s="1115"/>
      <c r="CL77" s="1114"/>
      <c r="CM77" s="1115"/>
      <c r="CN77" s="1115"/>
      <c r="CO77" s="1114"/>
      <c r="CP77" s="1115"/>
      <c r="CQ77" s="1115"/>
      <c r="CR77" s="1114"/>
      <c r="CS77" s="1115"/>
      <c r="CT77" s="1115"/>
      <c r="CU77" s="1114"/>
      <c r="CV77" s="1115"/>
      <c r="CW77" s="1115"/>
      <c r="CX77" s="1114"/>
      <c r="CY77" s="1115"/>
      <c r="CZ77" s="1115"/>
      <c r="DA77" s="1114"/>
      <c r="DB77" s="1115"/>
      <c r="DC77" s="1115"/>
      <c r="DD77" s="1114"/>
      <c r="DE77" s="1115"/>
      <c r="DF77" s="1115"/>
      <c r="DG77" s="1114"/>
      <c r="DH77" s="1115"/>
      <c r="DI77" s="1115"/>
      <c r="DJ77" s="1114"/>
      <c r="DK77" s="1115"/>
      <c r="DL77" s="1115"/>
      <c r="DM77" s="1114"/>
      <c r="DN77" s="1115"/>
      <c r="DO77" s="1115"/>
      <c r="DP77" s="1114"/>
      <c r="DQ77" s="1115"/>
      <c r="DR77" s="1115"/>
      <c r="DS77" s="1114"/>
      <c r="DT77" s="1115"/>
      <c r="DU77" s="1115"/>
      <c r="DV77" s="1114"/>
      <c r="DW77" s="1115"/>
      <c r="DX77" s="1115"/>
      <c r="DY77" s="1114"/>
      <c r="DZ77" s="1115"/>
      <c r="EA77" s="1115"/>
      <c r="EB77" s="1114"/>
      <c r="EC77" s="1115"/>
      <c r="ED77" s="1115"/>
      <c r="EE77" s="1114"/>
      <c r="EF77" s="1115"/>
      <c r="EG77" s="1115"/>
      <c r="EH77" s="1114"/>
      <c r="EI77" s="1115"/>
      <c r="EJ77" s="1115"/>
      <c r="EK77" s="1114"/>
      <c r="EL77" s="1115"/>
      <c r="EM77" s="1115"/>
      <c r="EN77" s="1114"/>
      <c r="EO77" s="1115"/>
      <c r="EP77" s="1115"/>
      <c r="EQ77" s="1114"/>
      <c r="ER77" s="1115"/>
      <c r="ES77" s="1115"/>
      <c r="ET77" s="1114"/>
      <c r="EU77" s="1115"/>
      <c r="EV77" s="1115"/>
      <c r="EW77" s="1114"/>
      <c r="EX77" s="1115"/>
      <c r="EY77" s="1115"/>
      <c r="EZ77" s="1114"/>
      <c r="FA77" s="1115"/>
      <c r="FB77" s="1115"/>
      <c r="FC77" s="1114"/>
      <c r="FD77" s="1115"/>
      <c r="FE77" s="1115"/>
      <c r="FF77" s="1114"/>
      <c r="FG77" s="1115"/>
      <c r="FH77" s="1115"/>
      <c r="FI77" s="1114"/>
      <c r="FJ77" s="1115"/>
      <c r="FK77" s="1115"/>
      <c r="FL77" s="1114"/>
      <c r="FM77" s="1115"/>
      <c r="FN77" s="1115"/>
      <c r="FO77" s="1114"/>
      <c r="FP77" s="1115"/>
      <c r="FQ77" s="1115"/>
      <c r="FR77" s="1114"/>
      <c r="FS77" s="1115"/>
      <c r="FT77" s="1115"/>
      <c r="FU77" s="1114"/>
      <c r="FV77" s="1115"/>
      <c r="FW77" s="1116"/>
      <c r="GA77" s="1330" t="s">
        <v>240</v>
      </c>
      <c r="GB77" s="1330" cm="1" t="str">
        <f t="array" ref="GB77:GB77">GB76</f>
        <v>0</v>
      </c>
    </row>
    <row customHeight="1" ht="18.525" hidden="1">
      <c r="A78" s="496"/>
      <c r="B78" s="932" cm="1" t="str">
        <f t="array" ref="B78:B78">B77</f>
        <v>false</v>
      </c>
      <c r="C78" s="496"/>
      <c r="D78" s="496"/>
      <c r="E78" s="847">
        <v>19</v>
      </c>
      <c r="F78" s="50" cm="1" t="str">
        <f t="array" ref="F78:F78">OFFSET(E78,-1,1)</f>
        <v>0</v>
      </c>
      <c r="G78" s="496"/>
      <c r="H78" s="496"/>
      <c r="I78" s="496"/>
      <c r="J78" s="496"/>
      <c r="K78" s="496"/>
      <c r="L78" s="496"/>
      <c r="M78" s="496"/>
      <c r="N78" s="496"/>
      <c r="O78" s="496"/>
      <c r="P78" s="496"/>
      <c r="Q78" s="496"/>
      <c r="R78" s="496"/>
      <c r="S78" s="496"/>
      <c r="T78" s="468" cm="1" t="str">
        <f t="array" ref="T78:T78">T77</f>
        <v>false</v>
      </c>
      <c r="U78" s="496"/>
      <c r="V78" s="496"/>
      <c r="W78" s="496"/>
      <c r="X78" s="1559"/>
      <c r="Y78" s="1559"/>
      <c r="Z78" s="1528"/>
      <c r="AA78" s="4589"/>
      <c r="AB78" s="911" t="s">
        <v>1895</v>
      </c>
      <c r="AC78" s="871" t="s">
        <v>1862</v>
      </c>
      <c r="AD78" s="4591"/>
      <c r="AE78" s="4591"/>
      <c r="AF78" s="1102">
        <f>IF(AD78=0,0,(AE78-AD78)/AD78*100)</f>
        <v>0</v>
      </c>
      <c r="AG78" s="4591"/>
      <c r="AH78" s="4591"/>
      <c r="AI78" s="1102">
        <f>IF(AG78=0,0,(AH78-AG78)/AG78*100)</f>
        <v>0</v>
      </c>
      <c r="AJ78" s="4591"/>
      <c r="AK78" s="4591"/>
      <c r="AL78" s="1102">
        <f>IF(AJ78=0,0,(AK78-AJ78)/AJ78*100)</f>
        <v>0</v>
      </c>
      <c r="AM78" s="4591"/>
      <c r="AN78" s="4591"/>
      <c r="AO78" s="1102">
        <f>IF(AM78=0,0,(AN78-AM78)/AM78*100)</f>
        <v>0</v>
      </c>
      <c r="AP78" s="4591"/>
      <c r="AQ78" s="4591"/>
      <c r="AR78" s="1102">
        <f>IF(AP78=0,0,(AQ78-AP78)/AP78*100)</f>
        <v>0</v>
      </c>
      <c r="AS78" s="4591"/>
      <c r="AT78" s="4591"/>
      <c r="AU78" s="1102">
        <f>IF(AS78=0,0,(AT78-AS78)/AS78*100)</f>
        <v>0</v>
      </c>
      <c r="AV78" s="4591"/>
      <c r="AW78" s="4591"/>
      <c r="AX78" s="1102">
        <f>IF(AV78=0,0,(AW78-AV78)/AV78*100)</f>
        <v>0</v>
      </c>
      <c r="AY78" s="4591"/>
      <c r="AZ78" s="4591"/>
      <c r="BA78" s="1102">
        <f>IF(AY78=0,0,(AZ78-AY78)/AY78*100)</f>
        <v>0</v>
      </c>
      <c r="BB78" s="4591"/>
      <c r="BC78" s="4591"/>
      <c r="BD78" s="1102">
        <f>IF(BB78=0,0,(BC78-BB78)/BB78*100)</f>
        <v>0</v>
      </c>
      <c r="BE78" s="4591"/>
      <c r="BF78" s="4591"/>
      <c r="BG78" s="1102">
        <f>IF(BE78=0,0,(BF78-BE78)/BE78*100)</f>
        <v>0</v>
      </c>
      <c r="BH78" s="4591"/>
      <c r="BI78" s="4591"/>
      <c r="BJ78" s="1102">
        <f>IF(BH78=0,0,(BI78-BH78)/BH78*100)</f>
        <v>0</v>
      </c>
      <c r="BK78" s="4591"/>
      <c r="BL78" s="4591"/>
      <c r="BM78" s="1102">
        <f>IF(BK78=0,0,(BL78-BK78)/BK78*100)</f>
        <v>0</v>
      </c>
      <c r="BN78" s="4591"/>
      <c r="BO78" s="4591"/>
      <c r="BP78" s="1102">
        <f>IF(BN78=0,0,(BO78-BN78)/BN78*100)</f>
        <v>0</v>
      </c>
      <c r="BQ78" s="4591"/>
      <c r="BR78" s="4591"/>
      <c r="BS78" s="1102">
        <f>IF(BQ78=0,0,(BR78-BQ78)/BQ78*100)</f>
        <v>0</v>
      </c>
      <c r="BT78" s="4591"/>
      <c r="BU78" s="4591"/>
      <c r="BV78" s="1102">
        <f>IF(BT78=0,0,(BU78-BT78)/BT78*100)</f>
        <v>0</v>
      </c>
      <c r="BW78" s="4591"/>
      <c r="BX78" s="4591"/>
      <c r="BY78" s="1102">
        <f>IF(BW78=0,0,(BX78-BW78)/BW78*100)</f>
        <v>0</v>
      </c>
      <c r="BZ78" s="4591"/>
      <c r="CA78" s="4591"/>
      <c r="CB78" s="1102">
        <f>IF(BZ78=0,0,(CA78-BZ78)/BZ78*100)</f>
        <v>0</v>
      </c>
      <c r="CC78" s="4591"/>
      <c r="CD78" s="4591"/>
      <c r="CE78" s="1102">
        <f>IF(CC78=0,0,(CD78-CC78)/CC78*100)</f>
        <v>0</v>
      </c>
      <c r="CF78" s="4591"/>
      <c r="CG78" s="4591"/>
      <c r="CH78" s="1102">
        <f>IF(CF78=0,0,(CG78-CF78)/CF78*100)</f>
        <v>0</v>
      </c>
      <c r="CI78" s="4591"/>
      <c r="CJ78" s="4591"/>
      <c r="CK78" s="1102">
        <f>IF(CI78=0,0,(CJ78-CI78)/CI78*100)</f>
        <v>0</v>
      </c>
      <c r="CL78" s="4591"/>
      <c r="CM78" s="4591"/>
      <c r="CN78" s="1102">
        <f>IF(CL78=0,0,(CM78-CL78)/CL78*100)</f>
        <v>0</v>
      </c>
      <c r="CO78" s="4591"/>
      <c r="CP78" s="4591"/>
      <c r="CQ78" s="1102">
        <f>IF(CO78=0,0,(CP78-CO78)/CO78*100)</f>
        <v>0</v>
      </c>
      <c r="CR78" s="4591"/>
      <c r="CS78" s="4591"/>
      <c r="CT78" s="1102">
        <f>IF(CR78=0,0,(CS78-CR78)/CR78*100)</f>
        <v>0</v>
      </c>
      <c r="CU78" s="4591"/>
      <c r="CV78" s="4591"/>
      <c r="CW78" s="1102">
        <f>IF(CU78=0,0,(CV78-CU78)/CU78*100)</f>
        <v>0</v>
      </c>
      <c r="CX78" s="4591"/>
      <c r="CY78" s="4591"/>
      <c r="CZ78" s="1102">
        <f>IF(CX78=0,0,(CY78-CX78)/CX78*100)</f>
        <v>0</v>
      </c>
      <c r="DA78" s="4591"/>
      <c r="DB78" s="4591"/>
      <c r="DC78" s="1102">
        <f>IF(DA78=0,0,(DB78-DA78)/DA78*100)</f>
        <v>0</v>
      </c>
      <c r="DD78" s="4591"/>
      <c r="DE78" s="4591"/>
      <c r="DF78" s="1102">
        <f>IF(DD78=0,0,(DE78-DD78)/DD78*100)</f>
        <v>0</v>
      </c>
      <c r="DG78" s="4591"/>
      <c r="DH78" s="4591"/>
      <c r="DI78" s="1102">
        <f>IF(DG78=0,0,(DH78-DG78)/DG78*100)</f>
        <v>0</v>
      </c>
      <c r="DJ78" s="4591"/>
      <c r="DK78" s="4591"/>
      <c r="DL78" s="1102">
        <f>IF(DJ78=0,0,(DK78-DJ78)/DJ78*100)</f>
        <v>0</v>
      </c>
      <c r="DM78" s="4591"/>
      <c r="DN78" s="4591"/>
      <c r="DO78" s="1102">
        <f>IF(DM78=0,0,(DN78-DM78)/DM78*100)</f>
        <v>0</v>
      </c>
      <c r="DP78" s="4591"/>
      <c r="DQ78" s="4591"/>
      <c r="DR78" s="1102">
        <f>IF(DP78=0,0,(DQ78-DP78)/DP78*100)</f>
        <v>0</v>
      </c>
      <c r="DS78" s="4591"/>
      <c r="DT78" s="4591"/>
      <c r="DU78" s="1102">
        <f>IF(DS78=0,0,(DT78-DS78)/DS78*100)</f>
        <v>0</v>
      </c>
      <c r="DV78" s="4591"/>
      <c r="DW78" s="4591"/>
      <c r="DX78" s="1102">
        <f>IF(DV78=0,0,(DW78-DV78)/DV78*100)</f>
        <v>0</v>
      </c>
      <c r="DY78" s="4591"/>
      <c r="DZ78" s="4591"/>
      <c r="EA78" s="1102">
        <f>IF(DY78=0,0,(DZ78-DY78)/DY78*100)</f>
        <v>0</v>
      </c>
      <c r="EB78" s="4591"/>
      <c r="EC78" s="4591"/>
      <c r="ED78" s="1102">
        <f>IF(EB78=0,0,(EC78-EB78)/EB78*100)</f>
        <v>0</v>
      </c>
      <c r="EE78" s="4591"/>
      <c r="EF78" s="4591"/>
      <c r="EG78" s="1102">
        <f>IF(EE78=0,0,(EF78-EE78)/EE78*100)</f>
        <v>0</v>
      </c>
      <c r="EH78" s="4591"/>
      <c r="EI78" s="4591"/>
      <c r="EJ78" s="1102">
        <f>IF(EH78=0,0,(EI78-EH78)/EH78*100)</f>
        <v>0</v>
      </c>
      <c r="EK78" s="4591"/>
      <c r="EL78" s="4591"/>
      <c r="EM78" s="1102">
        <f>IF(EK78=0,0,(EL78-EK78)/EK78*100)</f>
        <v>0</v>
      </c>
      <c r="EN78" s="4591"/>
      <c r="EO78" s="4591"/>
      <c r="EP78" s="1102">
        <f>IF(EN78=0,0,(EO78-EN78)/EN78*100)</f>
        <v>0</v>
      </c>
      <c r="EQ78" s="4591"/>
      <c r="ER78" s="4591"/>
      <c r="ES78" s="1102">
        <f>IF(EQ78=0,0,(ER78-EQ78)/EQ78*100)</f>
        <v>0</v>
      </c>
      <c r="ET78" s="4591"/>
      <c r="EU78" s="4591"/>
      <c r="EV78" s="1102">
        <f>IF(ET78=0,0,(EU78-ET78)/ET78*100)</f>
        <v>0</v>
      </c>
      <c r="EW78" s="4591"/>
      <c r="EX78" s="4591"/>
      <c r="EY78" s="1102">
        <f>IF(EW78=0,0,(EX78-EW78)/EW78*100)</f>
        <v>0</v>
      </c>
      <c r="EZ78" s="4591"/>
      <c r="FA78" s="4591"/>
      <c r="FB78" s="1102">
        <f>IF(EZ78=0,0,(FA78-EZ78)/EZ78*100)</f>
        <v>0</v>
      </c>
      <c r="FC78" s="4591"/>
      <c r="FD78" s="4591"/>
      <c r="FE78" s="1102">
        <f>IF(FC78=0,0,(FD78-FC78)/FC78*100)</f>
        <v>0</v>
      </c>
      <c r="FF78" s="4591"/>
      <c r="FG78" s="4591"/>
      <c r="FH78" s="1102">
        <f>IF(FF78=0,0,(FG78-FF78)/FF78*100)</f>
        <v>0</v>
      </c>
      <c r="FI78" s="4591"/>
      <c r="FJ78" s="4591"/>
      <c r="FK78" s="1102">
        <f>IF(FI78=0,0,(FJ78-FI78)/FI78*100)</f>
        <v>0</v>
      </c>
      <c r="FL78" s="4591"/>
      <c r="FM78" s="4591"/>
      <c r="FN78" s="1102">
        <f>IF(FL78=0,0,(FM78-FL78)/FL78*100)</f>
        <v>0</v>
      </c>
      <c r="FO78" s="4591"/>
      <c r="FP78" s="4591"/>
      <c r="FQ78" s="1102">
        <f>IF(FO78=0,0,(FP78-FO78)/FO78*100)</f>
        <v>0</v>
      </c>
      <c r="FR78" s="4591"/>
      <c r="FS78" s="4591"/>
      <c r="FT78" s="1102">
        <f>IF(FR78=0,0,(FS78-FR78)/FR78*100)</f>
        <v>0</v>
      </c>
      <c r="FU78" s="4591"/>
      <c r="FV78" s="4591"/>
      <c r="FW78" s="1102">
        <f>IF(FU78=0,0,(FV78-FU78)/FU78*100)</f>
        <v>0</v>
      </c>
      <c r="FZ78" s="1330" t="s">
        <v>1934</v>
      </c>
      <c r="GA78" s="1330" t="s">
        <v>993</v>
      </c>
      <c r="GB78" s="1330" cm="1" t="str">
        <f t="array" ref="GB78:GB78">GB77</f>
        <v>0</v>
      </c>
    </row>
    <row customHeight="1" ht="18.525" hidden="1">
      <c r="A79" s="496"/>
      <c r="B79" s="932" cm="1" t="str">
        <f t="array" ref="B79:B79">B78</f>
        <v>false</v>
      </c>
      <c r="C79" s="496"/>
      <c r="D79" s="496"/>
      <c r="E79" s="847">
        <v>19</v>
      </c>
      <c r="F79" s="50" cm="1" t="str">
        <f t="array" ref="F79:F79">OFFSET(E79,-1,1)</f>
        <v>0</v>
      </c>
      <c r="G79" s="496"/>
      <c r="H79" s="496"/>
      <c r="I79" s="496"/>
      <c r="J79" s="496"/>
      <c r="K79" s="496"/>
      <c r="L79" s="496"/>
      <c r="M79" s="496"/>
      <c r="N79" s="496"/>
      <c r="O79" s="496"/>
      <c r="P79" s="496"/>
      <c r="Q79" s="496"/>
      <c r="R79" s="496"/>
      <c r="S79" s="496"/>
      <c r="T79" s="468" cm="1" t="str">
        <f t="array" ref="T79:T79">T78</f>
        <v>false</v>
      </c>
      <c r="U79" s="496"/>
      <c r="V79" s="496"/>
      <c r="W79" s="496"/>
      <c r="X79" s="1559"/>
      <c r="Y79" s="1559"/>
      <c r="Z79" s="1528"/>
      <c r="AA79" s="4589"/>
      <c r="AB79" s="911" t="str">
        <f>"ставка платы за "&amp;IF(Q35="Водоснабжение","потребление 1 куб.м холодной воды","объем принятых сточных вод")</f>
        <v>ставка платы за объем принятых сточных вод</v>
      </c>
      <c r="AC79" s="871" t="s">
        <v>1862</v>
      </c>
      <c r="AD79" s="4591"/>
      <c r="AE79" s="4591"/>
      <c r="AF79" s="1102">
        <f>IF(AD79=0,0,(AE79-AD79)/AD79*100)</f>
        <v>0</v>
      </c>
      <c r="AG79" s="4591"/>
      <c r="AH79" s="4591"/>
      <c r="AI79" s="1102">
        <f>IF(AG79=0,0,(AH79-AG79)/AG79*100)</f>
        <v>0</v>
      </c>
      <c r="AJ79" s="4591"/>
      <c r="AK79" s="4591"/>
      <c r="AL79" s="1102">
        <f>IF(AJ79=0,0,(AK79-AJ79)/AJ79*100)</f>
        <v>0</v>
      </c>
      <c r="AM79" s="4591"/>
      <c r="AN79" s="4591"/>
      <c r="AO79" s="1102">
        <f>IF(AM79=0,0,(AN79-AM79)/AM79*100)</f>
        <v>0</v>
      </c>
      <c r="AP79" s="4591"/>
      <c r="AQ79" s="4591"/>
      <c r="AR79" s="1102">
        <f>IF(AP79=0,0,(AQ79-AP79)/AP79*100)</f>
        <v>0</v>
      </c>
      <c r="AS79" s="4591"/>
      <c r="AT79" s="4591"/>
      <c r="AU79" s="1102">
        <f>IF(AS79=0,0,(AT79-AS79)/AS79*100)</f>
        <v>0</v>
      </c>
      <c r="AV79" s="4591"/>
      <c r="AW79" s="4591"/>
      <c r="AX79" s="1102">
        <f>IF(AV79=0,0,(AW79-AV79)/AV79*100)</f>
        <v>0</v>
      </c>
      <c r="AY79" s="4591"/>
      <c r="AZ79" s="4591"/>
      <c r="BA79" s="1102">
        <f>IF(AY79=0,0,(AZ79-AY79)/AY79*100)</f>
        <v>0</v>
      </c>
      <c r="BB79" s="4591"/>
      <c r="BC79" s="4591"/>
      <c r="BD79" s="1102">
        <f>IF(BB79=0,0,(BC79-BB79)/BB79*100)</f>
        <v>0</v>
      </c>
      <c r="BE79" s="4591"/>
      <c r="BF79" s="4591"/>
      <c r="BG79" s="1102">
        <f>IF(BE79=0,0,(BF79-BE79)/BE79*100)</f>
        <v>0</v>
      </c>
      <c r="BH79" s="4591"/>
      <c r="BI79" s="4591"/>
      <c r="BJ79" s="1102">
        <f>IF(BH79=0,0,(BI79-BH79)/BH79*100)</f>
        <v>0</v>
      </c>
      <c r="BK79" s="4591"/>
      <c r="BL79" s="4591"/>
      <c r="BM79" s="1102">
        <f>IF(BK79=0,0,(BL79-BK79)/BK79*100)</f>
        <v>0</v>
      </c>
      <c r="BN79" s="4591"/>
      <c r="BO79" s="4591"/>
      <c r="BP79" s="1102">
        <f>IF(BN79=0,0,(BO79-BN79)/BN79*100)</f>
        <v>0</v>
      </c>
      <c r="BQ79" s="4591"/>
      <c r="BR79" s="4591"/>
      <c r="BS79" s="1102">
        <f>IF(BQ79=0,0,(BR79-BQ79)/BQ79*100)</f>
        <v>0</v>
      </c>
      <c r="BT79" s="4591"/>
      <c r="BU79" s="4591"/>
      <c r="BV79" s="1102">
        <f>IF(BT79=0,0,(BU79-BT79)/BT79*100)</f>
        <v>0</v>
      </c>
      <c r="BW79" s="4591"/>
      <c r="BX79" s="4591"/>
      <c r="BY79" s="1102">
        <f>IF(BW79=0,0,(BX79-BW79)/BW79*100)</f>
        <v>0</v>
      </c>
      <c r="BZ79" s="4591"/>
      <c r="CA79" s="4591"/>
      <c r="CB79" s="1102">
        <f>IF(BZ79=0,0,(CA79-BZ79)/BZ79*100)</f>
        <v>0</v>
      </c>
      <c r="CC79" s="4591"/>
      <c r="CD79" s="4591"/>
      <c r="CE79" s="1102">
        <f>IF(CC79=0,0,(CD79-CC79)/CC79*100)</f>
        <v>0</v>
      </c>
      <c r="CF79" s="4591"/>
      <c r="CG79" s="4591"/>
      <c r="CH79" s="1102">
        <f>IF(CF79=0,0,(CG79-CF79)/CF79*100)</f>
        <v>0</v>
      </c>
      <c r="CI79" s="4591"/>
      <c r="CJ79" s="4591"/>
      <c r="CK79" s="1102">
        <f>IF(CI79=0,0,(CJ79-CI79)/CI79*100)</f>
        <v>0</v>
      </c>
      <c r="CL79" s="4591"/>
      <c r="CM79" s="4591"/>
      <c r="CN79" s="1102">
        <f>IF(CL79=0,0,(CM79-CL79)/CL79*100)</f>
        <v>0</v>
      </c>
      <c r="CO79" s="4591"/>
      <c r="CP79" s="4591"/>
      <c r="CQ79" s="1102">
        <f>IF(CO79=0,0,(CP79-CO79)/CO79*100)</f>
        <v>0</v>
      </c>
      <c r="CR79" s="4591"/>
      <c r="CS79" s="4591"/>
      <c r="CT79" s="1102">
        <f>IF(CR79=0,0,(CS79-CR79)/CR79*100)</f>
        <v>0</v>
      </c>
      <c r="CU79" s="4591"/>
      <c r="CV79" s="4591"/>
      <c r="CW79" s="1102">
        <f>IF(CU79=0,0,(CV79-CU79)/CU79*100)</f>
        <v>0</v>
      </c>
      <c r="CX79" s="4591"/>
      <c r="CY79" s="4591"/>
      <c r="CZ79" s="1102">
        <f>IF(CX79=0,0,(CY79-CX79)/CX79*100)</f>
        <v>0</v>
      </c>
      <c r="DA79" s="4591"/>
      <c r="DB79" s="4591"/>
      <c r="DC79" s="1102">
        <f>IF(DA79=0,0,(DB79-DA79)/DA79*100)</f>
        <v>0</v>
      </c>
      <c r="DD79" s="4591"/>
      <c r="DE79" s="4591"/>
      <c r="DF79" s="1102">
        <f>IF(DD79=0,0,(DE79-DD79)/DD79*100)</f>
        <v>0</v>
      </c>
      <c r="DG79" s="4591"/>
      <c r="DH79" s="4591"/>
      <c r="DI79" s="1102">
        <f>IF(DG79=0,0,(DH79-DG79)/DG79*100)</f>
        <v>0</v>
      </c>
      <c r="DJ79" s="4591"/>
      <c r="DK79" s="4591"/>
      <c r="DL79" s="1102">
        <f>IF(DJ79=0,0,(DK79-DJ79)/DJ79*100)</f>
        <v>0</v>
      </c>
      <c r="DM79" s="4591"/>
      <c r="DN79" s="4591"/>
      <c r="DO79" s="1102">
        <f>IF(DM79=0,0,(DN79-DM79)/DM79*100)</f>
        <v>0</v>
      </c>
      <c r="DP79" s="4591"/>
      <c r="DQ79" s="4591"/>
      <c r="DR79" s="1102">
        <f>IF(DP79=0,0,(DQ79-DP79)/DP79*100)</f>
        <v>0</v>
      </c>
      <c r="DS79" s="4591"/>
      <c r="DT79" s="4591"/>
      <c r="DU79" s="1102">
        <f>IF(DS79=0,0,(DT79-DS79)/DS79*100)</f>
        <v>0</v>
      </c>
      <c r="DV79" s="4591"/>
      <c r="DW79" s="4591"/>
      <c r="DX79" s="1102">
        <f>IF(DV79=0,0,(DW79-DV79)/DV79*100)</f>
        <v>0</v>
      </c>
      <c r="DY79" s="4591"/>
      <c r="DZ79" s="4591"/>
      <c r="EA79" s="1102">
        <f>IF(DY79=0,0,(DZ79-DY79)/DY79*100)</f>
        <v>0</v>
      </c>
      <c r="EB79" s="4591"/>
      <c r="EC79" s="4591"/>
      <c r="ED79" s="1102">
        <f>IF(EB79=0,0,(EC79-EB79)/EB79*100)</f>
        <v>0</v>
      </c>
      <c r="EE79" s="4591"/>
      <c r="EF79" s="4591"/>
      <c r="EG79" s="1102">
        <f>IF(EE79=0,0,(EF79-EE79)/EE79*100)</f>
        <v>0</v>
      </c>
      <c r="EH79" s="4591"/>
      <c r="EI79" s="4591"/>
      <c r="EJ79" s="1102">
        <f>IF(EH79=0,0,(EI79-EH79)/EH79*100)</f>
        <v>0</v>
      </c>
      <c r="EK79" s="4591"/>
      <c r="EL79" s="4591"/>
      <c r="EM79" s="1102">
        <f>IF(EK79=0,0,(EL79-EK79)/EK79*100)</f>
        <v>0</v>
      </c>
      <c r="EN79" s="4591"/>
      <c r="EO79" s="4591"/>
      <c r="EP79" s="1102">
        <f>IF(EN79=0,0,(EO79-EN79)/EN79*100)</f>
        <v>0</v>
      </c>
      <c r="EQ79" s="4591"/>
      <c r="ER79" s="4591"/>
      <c r="ES79" s="1102">
        <f>IF(EQ79=0,0,(ER79-EQ79)/EQ79*100)</f>
        <v>0</v>
      </c>
      <c r="ET79" s="4591"/>
      <c r="EU79" s="4591"/>
      <c r="EV79" s="1102">
        <f>IF(ET79=0,0,(EU79-ET79)/ET79*100)</f>
        <v>0</v>
      </c>
      <c r="EW79" s="4591"/>
      <c r="EX79" s="4591"/>
      <c r="EY79" s="1102">
        <f>IF(EW79=0,0,(EX79-EW79)/EW79*100)</f>
        <v>0</v>
      </c>
      <c r="EZ79" s="4591"/>
      <c r="FA79" s="4591"/>
      <c r="FB79" s="1102">
        <f>IF(EZ79=0,0,(FA79-EZ79)/EZ79*100)</f>
        <v>0</v>
      </c>
      <c r="FC79" s="4591"/>
      <c r="FD79" s="4591"/>
      <c r="FE79" s="1102">
        <f>IF(FC79=0,0,(FD79-FC79)/FC79*100)</f>
        <v>0</v>
      </c>
      <c r="FF79" s="4591"/>
      <c r="FG79" s="4591"/>
      <c r="FH79" s="1102">
        <f>IF(FF79=0,0,(FG79-FF79)/FF79*100)</f>
        <v>0</v>
      </c>
      <c r="FI79" s="4591"/>
      <c r="FJ79" s="4591"/>
      <c r="FK79" s="1102">
        <f>IF(FI79=0,0,(FJ79-FI79)/FI79*100)</f>
        <v>0</v>
      </c>
      <c r="FL79" s="4591"/>
      <c r="FM79" s="4591"/>
      <c r="FN79" s="1102">
        <f>IF(FL79=0,0,(FM79-FL79)/FL79*100)</f>
        <v>0</v>
      </c>
      <c r="FO79" s="4591"/>
      <c r="FP79" s="4591"/>
      <c r="FQ79" s="1102">
        <f>IF(FO79=0,0,(FP79-FO79)/FO79*100)</f>
        <v>0</v>
      </c>
      <c r="FR79" s="4591"/>
      <c r="FS79" s="4591"/>
      <c r="FT79" s="1102">
        <f>IF(FR79=0,0,(FS79-FR79)/FR79*100)</f>
        <v>0</v>
      </c>
      <c r="FU79" s="4591"/>
      <c r="FV79" s="4591"/>
      <c r="FW79" s="1102">
        <f>IF(FU79=0,0,(FV79-FU79)/FU79*100)</f>
        <v>0</v>
      </c>
      <c r="FZ79" s="1330" t="s">
        <v>1935</v>
      </c>
      <c r="GA79" s="1330" t="s">
        <v>993</v>
      </c>
      <c r="GB79" s="1330" cm="1" t="str">
        <f t="array" ref="GB79:GB79">GB78</f>
        <v>0</v>
      </c>
    </row>
    <row customHeight="1" ht="18.525" hidden="1">
      <c r="A80" s="496"/>
      <c r="B80" s="932" cm="1" t="str">
        <f t="array" ref="B80:B80">B79</f>
        <v>false</v>
      </c>
      <c r="C80" s="496"/>
      <c r="D80" s="496"/>
      <c r="E80" s="847">
        <v>19</v>
      </c>
      <c r="F80" s="50" cm="1" t="str">
        <f t="array" ref="F80:F80">OFFSET(E80,-1,1)</f>
        <v>0</v>
      </c>
      <c r="G80" s="496"/>
      <c r="H80" s="496"/>
      <c r="I80" s="496"/>
      <c r="J80" s="496"/>
      <c r="K80" s="496"/>
      <c r="L80" s="496"/>
      <c r="M80" s="496"/>
      <c r="N80" s="496"/>
      <c r="O80" s="496"/>
      <c r="P80" s="496"/>
      <c r="Q80" s="496"/>
      <c r="R80" s="496"/>
      <c r="S80" s="496"/>
      <c r="T80" s="468" cm="1" t="str">
        <f t="array" ref="T80:T80">T79</f>
        <v>false</v>
      </c>
      <c r="U80" s="496"/>
      <c r="V80" s="496"/>
      <c r="W80" s="496"/>
      <c r="X80" s="1559"/>
      <c r="Y80" s="1559"/>
      <c r="Z80" s="1528"/>
      <c r="AA80" s="4589"/>
      <c r="AB80" s="911" t="str">
        <f>"объём "&amp;IF(Q35="Водоснабжение","потребления холодной воды","водоотведения")</f>
        <v>объём водоотведения</v>
      </c>
      <c r="AC80" s="871" t="s">
        <v>657</v>
      </c>
      <c r="AD80" s="4585"/>
      <c r="AE80" s="4585"/>
      <c r="AF80" s="1104">
        <f>IF(AD80=0,0,(AE80-AD80)/AD80*100)</f>
        <v>0</v>
      </c>
      <c r="AG80" s="4585"/>
      <c r="AH80" s="4585"/>
      <c r="AI80" s="1104">
        <f>IF(AG80=0,0,(AH80-AG80)/AG80*100)</f>
        <v>0</v>
      </c>
      <c r="AJ80" s="4585"/>
      <c r="AK80" s="4585"/>
      <c r="AL80" s="1104">
        <f>IF(AJ80=0,0,(AK80-AJ80)/AJ80*100)</f>
        <v>0</v>
      </c>
      <c r="AM80" s="4585"/>
      <c r="AN80" s="4585"/>
      <c r="AO80" s="1104">
        <f>IF(AM80=0,0,(AN80-AM80)/AM80*100)</f>
        <v>0</v>
      </c>
      <c r="AP80" s="4585"/>
      <c r="AQ80" s="4585"/>
      <c r="AR80" s="1104">
        <f>IF(AP80=0,0,(AQ80-AP80)/AP80*100)</f>
        <v>0</v>
      </c>
      <c r="AS80" s="4585"/>
      <c r="AT80" s="4585"/>
      <c r="AU80" s="1104">
        <f>IF(AS80=0,0,(AT80-AS80)/AS80*100)</f>
        <v>0</v>
      </c>
      <c r="AV80" s="4585"/>
      <c r="AW80" s="4585"/>
      <c r="AX80" s="1104">
        <f>IF(AV80=0,0,(AW80-AV80)/AV80*100)</f>
        <v>0</v>
      </c>
      <c r="AY80" s="4585"/>
      <c r="AZ80" s="4585"/>
      <c r="BA80" s="1104">
        <f>IF(AY80=0,0,(AZ80-AY80)/AY80*100)</f>
        <v>0</v>
      </c>
      <c r="BB80" s="4585"/>
      <c r="BC80" s="4585"/>
      <c r="BD80" s="1104">
        <f>IF(BB80=0,0,(BC80-BB80)/BB80*100)</f>
        <v>0</v>
      </c>
      <c r="BE80" s="4585"/>
      <c r="BF80" s="4585"/>
      <c r="BG80" s="1104">
        <f>IF(BE80=0,0,(BF80-BE80)/BE80*100)</f>
        <v>0</v>
      </c>
      <c r="BH80" s="4585"/>
      <c r="BI80" s="4585"/>
      <c r="BJ80" s="1104">
        <f>IF(BH80=0,0,(BI80-BH80)/BH80*100)</f>
        <v>0</v>
      </c>
      <c r="BK80" s="4585"/>
      <c r="BL80" s="4585"/>
      <c r="BM80" s="1104">
        <f>IF(BK80=0,0,(BL80-BK80)/BK80*100)</f>
        <v>0</v>
      </c>
      <c r="BN80" s="4585"/>
      <c r="BO80" s="4585"/>
      <c r="BP80" s="1104">
        <f>IF(BN80=0,0,(BO80-BN80)/BN80*100)</f>
        <v>0</v>
      </c>
      <c r="BQ80" s="4585"/>
      <c r="BR80" s="4585"/>
      <c r="BS80" s="1104">
        <f>IF(BQ80=0,0,(BR80-BQ80)/BQ80*100)</f>
        <v>0</v>
      </c>
      <c r="BT80" s="4585"/>
      <c r="BU80" s="4585"/>
      <c r="BV80" s="1104">
        <f>IF(BT80=0,0,(BU80-BT80)/BT80*100)</f>
        <v>0</v>
      </c>
      <c r="BW80" s="4585"/>
      <c r="BX80" s="4585"/>
      <c r="BY80" s="1104">
        <f>IF(BW80=0,0,(BX80-BW80)/BW80*100)</f>
        <v>0</v>
      </c>
      <c r="BZ80" s="4585"/>
      <c r="CA80" s="4585"/>
      <c r="CB80" s="1104">
        <f>IF(BZ80=0,0,(CA80-BZ80)/BZ80*100)</f>
        <v>0</v>
      </c>
      <c r="CC80" s="4585"/>
      <c r="CD80" s="4585"/>
      <c r="CE80" s="1104">
        <f>IF(CC80=0,0,(CD80-CC80)/CC80*100)</f>
        <v>0</v>
      </c>
      <c r="CF80" s="4585"/>
      <c r="CG80" s="4585"/>
      <c r="CH80" s="1104">
        <f>IF(CF80=0,0,(CG80-CF80)/CF80*100)</f>
        <v>0</v>
      </c>
      <c r="CI80" s="4585"/>
      <c r="CJ80" s="4585"/>
      <c r="CK80" s="1104">
        <f>IF(CI80=0,0,(CJ80-CI80)/CI80*100)</f>
        <v>0</v>
      </c>
      <c r="CL80" s="4585"/>
      <c r="CM80" s="4585"/>
      <c r="CN80" s="1104">
        <f>IF(CL80=0,0,(CM80-CL80)/CL80*100)</f>
        <v>0</v>
      </c>
      <c r="CO80" s="4585"/>
      <c r="CP80" s="4585"/>
      <c r="CQ80" s="1104">
        <f>IF(CO80=0,0,(CP80-CO80)/CO80*100)</f>
        <v>0</v>
      </c>
      <c r="CR80" s="4585"/>
      <c r="CS80" s="4585"/>
      <c r="CT80" s="1104">
        <f>IF(CR80=0,0,(CS80-CR80)/CR80*100)</f>
        <v>0</v>
      </c>
      <c r="CU80" s="4585"/>
      <c r="CV80" s="4585"/>
      <c r="CW80" s="1104">
        <f>IF(CU80=0,0,(CV80-CU80)/CU80*100)</f>
        <v>0</v>
      </c>
      <c r="CX80" s="4585"/>
      <c r="CY80" s="4585"/>
      <c r="CZ80" s="1104">
        <f>IF(CX80=0,0,(CY80-CX80)/CX80*100)</f>
        <v>0</v>
      </c>
      <c r="DA80" s="4585"/>
      <c r="DB80" s="4585"/>
      <c r="DC80" s="1104">
        <f>IF(DA80=0,0,(DB80-DA80)/DA80*100)</f>
        <v>0</v>
      </c>
      <c r="DD80" s="4585"/>
      <c r="DE80" s="4585"/>
      <c r="DF80" s="1104">
        <f>IF(DD80=0,0,(DE80-DD80)/DD80*100)</f>
        <v>0</v>
      </c>
      <c r="DG80" s="4585"/>
      <c r="DH80" s="4585"/>
      <c r="DI80" s="1104">
        <f>IF(DG80=0,0,(DH80-DG80)/DG80*100)</f>
        <v>0</v>
      </c>
      <c r="DJ80" s="4585"/>
      <c r="DK80" s="4585"/>
      <c r="DL80" s="1104">
        <f>IF(DJ80=0,0,(DK80-DJ80)/DJ80*100)</f>
        <v>0</v>
      </c>
      <c r="DM80" s="4585"/>
      <c r="DN80" s="4585"/>
      <c r="DO80" s="1104">
        <f>IF(DM80=0,0,(DN80-DM80)/DM80*100)</f>
        <v>0</v>
      </c>
      <c r="DP80" s="4585"/>
      <c r="DQ80" s="4585"/>
      <c r="DR80" s="1104">
        <f>IF(DP80=0,0,(DQ80-DP80)/DP80*100)</f>
        <v>0</v>
      </c>
      <c r="DS80" s="4585"/>
      <c r="DT80" s="4585"/>
      <c r="DU80" s="1104">
        <f>IF(DS80=0,0,(DT80-DS80)/DS80*100)</f>
        <v>0</v>
      </c>
      <c r="DV80" s="4585"/>
      <c r="DW80" s="4585"/>
      <c r="DX80" s="1104">
        <f>IF(DV80=0,0,(DW80-DV80)/DV80*100)</f>
        <v>0</v>
      </c>
      <c r="DY80" s="4585"/>
      <c r="DZ80" s="4585"/>
      <c r="EA80" s="1104">
        <f>IF(DY80=0,0,(DZ80-DY80)/DY80*100)</f>
        <v>0</v>
      </c>
      <c r="EB80" s="4585"/>
      <c r="EC80" s="4585"/>
      <c r="ED80" s="1104">
        <f>IF(EB80=0,0,(EC80-EB80)/EB80*100)</f>
        <v>0</v>
      </c>
      <c r="EE80" s="4585"/>
      <c r="EF80" s="4585"/>
      <c r="EG80" s="1104">
        <f>IF(EE80=0,0,(EF80-EE80)/EE80*100)</f>
        <v>0</v>
      </c>
      <c r="EH80" s="4585"/>
      <c r="EI80" s="4585"/>
      <c r="EJ80" s="1104">
        <f>IF(EH80=0,0,(EI80-EH80)/EH80*100)</f>
        <v>0</v>
      </c>
      <c r="EK80" s="4585"/>
      <c r="EL80" s="4585"/>
      <c r="EM80" s="1104">
        <f>IF(EK80=0,0,(EL80-EK80)/EK80*100)</f>
        <v>0</v>
      </c>
      <c r="EN80" s="4585"/>
      <c r="EO80" s="4585"/>
      <c r="EP80" s="1104">
        <f>IF(EN80=0,0,(EO80-EN80)/EN80*100)</f>
        <v>0</v>
      </c>
      <c r="EQ80" s="4585"/>
      <c r="ER80" s="4585"/>
      <c r="ES80" s="1104">
        <f>IF(EQ80=0,0,(ER80-EQ80)/EQ80*100)</f>
        <v>0</v>
      </c>
      <c r="ET80" s="4585"/>
      <c r="EU80" s="4585"/>
      <c r="EV80" s="1104">
        <f>IF(ET80=0,0,(EU80-ET80)/ET80*100)</f>
        <v>0</v>
      </c>
      <c r="EW80" s="4585"/>
      <c r="EX80" s="4585"/>
      <c r="EY80" s="1104">
        <f>IF(EW80=0,0,(EX80-EW80)/EW80*100)</f>
        <v>0</v>
      </c>
      <c r="EZ80" s="4585"/>
      <c r="FA80" s="4585"/>
      <c r="FB80" s="1104">
        <f>IF(EZ80=0,0,(FA80-EZ80)/EZ80*100)</f>
        <v>0</v>
      </c>
      <c r="FC80" s="4585"/>
      <c r="FD80" s="4585"/>
      <c r="FE80" s="1104">
        <f>IF(FC80=0,0,(FD80-FC80)/FC80*100)</f>
        <v>0</v>
      </c>
      <c r="FF80" s="4585"/>
      <c r="FG80" s="4585"/>
      <c r="FH80" s="1104">
        <f>IF(FF80=0,0,(FG80-FF80)/FF80*100)</f>
        <v>0</v>
      </c>
      <c r="FI80" s="4585"/>
      <c r="FJ80" s="4585"/>
      <c r="FK80" s="1104">
        <f>IF(FI80=0,0,(FJ80-FI80)/FI80*100)</f>
        <v>0</v>
      </c>
      <c r="FL80" s="4585"/>
      <c r="FM80" s="4585"/>
      <c r="FN80" s="1104">
        <f>IF(FL80=0,0,(FM80-FL80)/FL80*100)</f>
        <v>0</v>
      </c>
      <c r="FO80" s="4585"/>
      <c r="FP80" s="4585"/>
      <c r="FQ80" s="1104">
        <f>IF(FO80=0,0,(FP80-FO80)/FO80*100)</f>
        <v>0</v>
      </c>
      <c r="FR80" s="4585"/>
      <c r="FS80" s="4585"/>
      <c r="FT80" s="1104">
        <f>IF(FR80=0,0,(FS80-FR80)/FR80*100)</f>
        <v>0</v>
      </c>
      <c r="FU80" s="4585"/>
      <c r="FV80" s="4585"/>
      <c r="FW80" s="1104">
        <f>IF(FU80=0,0,(FV80-FU80)/FU80*100)</f>
        <v>0</v>
      </c>
      <c r="FZ80" s="1330" t="s">
        <v>1936</v>
      </c>
      <c r="GA80" s="1330" t="s">
        <v>993</v>
      </c>
      <c r="GB80" s="1330" cm="1" t="str">
        <f t="array" ref="GB80:GB80">GB79</f>
        <v>0</v>
      </c>
    </row>
    <row customHeight="1" ht="24.75" hidden="1">
      <c r="A81" s="496"/>
      <c r="B81" s="932" cm="1" t="str">
        <f t="array" ref="B81:B81">B80</f>
        <v>false</v>
      </c>
      <c r="C81" s="496"/>
      <c r="D81" s="496"/>
      <c r="E81" s="847">
        <v>19</v>
      </c>
      <c r="F81" s="50" cm="1" t="str">
        <f t="array" ref="F81:F81">OFFSET(E81,-1,1)</f>
        <v>0</v>
      </c>
      <c r="G81" s="496"/>
      <c r="H81" s="496"/>
      <c r="I81" s="496"/>
      <c r="J81" s="496"/>
      <c r="K81" s="496"/>
      <c r="L81" s="496"/>
      <c r="M81" s="496"/>
      <c r="N81" s="496"/>
      <c r="O81" s="496"/>
      <c r="P81" s="496"/>
      <c r="Q81" s="496"/>
      <c r="R81" s="496"/>
      <c r="S81" s="496"/>
      <c r="T81" s="468" cm="1" t="str">
        <f t="array" ref="T81:T81">T80</f>
        <v>false</v>
      </c>
      <c r="U81" s="496"/>
      <c r="V81" s="496"/>
      <c r="W81" s="496"/>
      <c r="X81" s="1559"/>
      <c r="Y81" s="1559"/>
      <c r="Z81" s="1528"/>
      <c r="AA81" s="4589"/>
      <c r="AB81" s="911" t="str">
        <f>"ставка платы за содержание системы "&amp;IF(Q35="Водоснабжение","холодного водоснабжения","водоотведения")</f>
        <v>ставка платы за содержание системы водоотведения</v>
      </c>
      <c r="AC81" s="871" t="s">
        <v>1902</v>
      </c>
      <c r="AD81" s="4591"/>
      <c r="AE81" s="4591"/>
      <c r="AF81" s="1102">
        <f>IF(AD81=0,0,(AE81-AD81)/AD81*100)</f>
        <v>0</v>
      </c>
      <c r="AG81" s="4591"/>
      <c r="AH81" s="4591"/>
      <c r="AI81" s="1102">
        <f>IF(AG81=0,0,(AH81-AG81)/AG81*100)</f>
        <v>0</v>
      </c>
      <c r="AJ81" s="4591"/>
      <c r="AK81" s="4591"/>
      <c r="AL81" s="1102">
        <f>IF(AJ81=0,0,(AK81-AJ81)/AJ81*100)</f>
        <v>0</v>
      </c>
      <c r="AM81" s="4591"/>
      <c r="AN81" s="4591"/>
      <c r="AO81" s="1102">
        <f>IF(AM81=0,0,(AN81-AM81)/AM81*100)</f>
        <v>0</v>
      </c>
      <c r="AP81" s="4591"/>
      <c r="AQ81" s="4591"/>
      <c r="AR81" s="1102">
        <f>IF(AP81=0,0,(AQ81-AP81)/AP81*100)</f>
        <v>0</v>
      </c>
      <c r="AS81" s="4591"/>
      <c r="AT81" s="4591"/>
      <c r="AU81" s="1102">
        <f>IF(AS81=0,0,(AT81-AS81)/AS81*100)</f>
        <v>0</v>
      </c>
      <c r="AV81" s="4591"/>
      <c r="AW81" s="4591"/>
      <c r="AX81" s="1102">
        <f>IF(AV81=0,0,(AW81-AV81)/AV81*100)</f>
        <v>0</v>
      </c>
      <c r="AY81" s="4591"/>
      <c r="AZ81" s="4591"/>
      <c r="BA81" s="1102">
        <f>IF(AY81=0,0,(AZ81-AY81)/AY81*100)</f>
        <v>0</v>
      </c>
      <c r="BB81" s="4591"/>
      <c r="BC81" s="4591"/>
      <c r="BD81" s="1102">
        <f>IF(BB81=0,0,(BC81-BB81)/BB81*100)</f>
        <v>0</v>
      </c>
      <c r="BE81" s="4591"/>
      <c r="BF81" s="4591"/>
      <c r="BG81" s="1102">
        <f>IF(BE81=0,0,(BF81-BE81)/BE81*100)</f>
        <v>0</v>
      </c>
      <c r="BH81" s="4591"/>
      <c r="BI81" s="4591"/>
      <c r="BJ81" s="1102">
        <f>IF(BH81=0,0,(BI81-BH81)/BH81*100)</f>
        <v>0</v>
      </c>
      <c r="BK81" s="4591"/>
      <c r="BL81" s="4591"/>
      <c r="BM81" s="1102">
        <f>IF(BK81=0,0,(BL81-BK81)/BK81*100)</f>
        <v>0</v>
      </c>
      <c r="BN81" s="4591"/>
      <c r="BO81" s="4591"/>
      <c r="BP81" s="1102">
        <f>IF(BN81=0,0,(BO81-BN81)/BN81*100)</f>
        <v>0</v>
      </c>
      <c r="BQ81" s="4591"/>
      <c r="BR81" s="4591"/>
      <c r="BS81" s="1102">
        <f>IF(BQ81=0,0,(BR81-BQ81)/BQ81*100)</f>
        <v>0</v>
      </c>
      <c r="BT81" s="4591"/>
      <c r="BU81" s="4591"/>
      <c r="BV81" s="1102">
        <f>IF(BT81=0,0,(BU81-BT81)/BT81*100)</f>
        <v>0</v>
      </c>
      <c r="BW81" s="4591"/>
      <c r="BX81" s="4591"/>
      <c r="BY81" s="1102">
        <f>IF(BW81=0,0,(BX81-BW81)/BW81*100)</f>
        <v>0</v>
      </c>
      <c r="BZ81" s="4591"/>
      <c r="CA81" s="4591"/>
      <c r="CB81" s="1102">
        <f>IF(BZ81=0,0,(CA81-BZ81)/BZ81*100)</f>
        <v>0</v>
      </c>
      <c r="CC81" s="4591"/>
      <c r="CD81" s="4591"/>
      <c r="CE81" s="1102">
        <f>IF(CC81=0,0,(CD81-CC81)/CC81*100)</f>
        <v>0</v>
      </c>
      <c r="CF81" s="4591"/>
      <c r="CG81" s="4591"/>
      <c r="CH81" s="1102">
        <f>IF(CF81=0,0,(CG81-CF81)/CF81*100)</f>
        <v>0</v>
      </c>
      <c r="CI81" s="4591"/>
      <c r="CJ81" s="4591"/>
      <c r="CK81" s="1102">
        <f>IF(CI81=0,0,(CJ81-CI81)/CI81*100)</f>
        <v>0</v>
      </c>
      <c r="CL81" s="4591"/>
      <c r="CM81" s="4591"/>
      <c r="CN81" s="1102">
        <f>IF(CL81=0,0,(CM81-CL81)/CL81*100)</f>
        <v>0</v>
      </c>
      <c r="CO81" s="4591"/>
      <c r="CP81" s="4591"/>
      <c r="CQ81" s="1102">
        <f>IF(CO81=0,0,(CP81-CO81)/CO81*100)</f>
        <v>0</v>
      </c>
      <c r="CR81" s="4591"/>
      <c r="CS81" s="4591"/>
      <c r="CT81" s="1102">
        <f>IF(CR81=0,0,(CS81-CR81)/CR81*100)</f>
        <v>0</v>
      </c>
      <c r="CU81" s="4591"/>
      <c r="CV81" s="4591"/>
      <c r="CW81" s="1102">
        <f>IF(CU81=0,0,(CV81-CU81)/CU81*100)</f>
        <v>0</v>
      </c>
      <c r="CX81" s="4591"/>
      <c r="CY81" s="4591"/>
      <c r="CZ81" s="1102">
        <f>IF(CX81=0,0,(CY81-CX81)/CX81*100)</f>
        <v>0</v>
      </c>
      <c r="DA81" s="4591"/>
      <c r="DB81" s="4591"/>
      <c r="DC81" s="1102">
        <f>IF(DA81=0,0,(DB81-DA81)/DA81*100)</f>
        <v>0</v>
      </c>
      <c r="DD81" s="4591"/>
      <c r="DE81" s="4591"/>
      <c r="DF81" s="1102">
        <f>IF(DD81=0,0,(DE81-DD81)/DD81*100)</f>
        <v>0</v>
      </c>
      <c r="DG81" s="4591"/>
      <c r="DH81" s="4591"/>
      <c r="DI81" s="1102">
        <f>IF(DG81=0,0,(DH81-DG81)/DG81*100)</f>
        <v>0</v>
      </c>
      <c r="DJ81" s="4591"/>
      <c r="DK81" s="4591"/>
      <c r="DL81" s="1102">
        <f>IF(DJ81=0,0,(DK81-DJ81)/DJ81*100)</f>
        <v>0</v>
      </c>
      <c r="DM81" s="4591"/>
      <c r="DN81" s="4591"/>
      <c r="DO81" s="1102">
        <f>IF(DM81=0,0,(DN81-DM81)/DM81*100)</f>
        <v>0</v>
      </c>
      <c r="DP81" s="4591"/>
      <c r="DQ81" s="4591"/>
      <c r="DR81" s="1102">
        <f>IF(DP81=0,0,(DQ81-DP81)/DP81*100)</f>
        <v>0</v>
      </c>
      <c r="DS81" s="4591"/>
      <c r="DT81" s="4591"/>
      <c r="DU81" s="1102">
        <f>IF(DS81=0,0,(DT81-DS81)/DS81*100)</f>
        <v>0</v>
      </c>
      <c r="DV81" s="4591"/>
      <c r="DW81" s="4591"/>
      <c r="DX81" s="1102">
        <f>IF(DV81=0,0,(DW81-DV81)/DV81*100)</f>
        <v>0</v>
      </c>
      <c r="DY81" s="4591"/>
      <c r="DZ81" s="4591"/>
      <c r="EA81" s="1102">
        <f>IF(DY81=0,0,(DZ81-DY81)/DY81*100)</f>
        <v>0</v>
      </c>
      <c r="EB81" s="4591"/>
      <c r="EC81" s="4591"/>
      <c r="ED81" s="1102">
        <f>IF(EB81=0,0,(EC81-EB81)/EB81*100)</f>
        <v>0</v>
      </c>
      <c r="EE81" s="4591"/>
      <c r="EF81" s="4591"/>
      <c r="EG81" s="1102">
        <f>IF(EE81=0,0,(EF81-EE81)/EE81*100)</f>
        <v>0</v>
      </c>
      <c r="EH81" s="4591"/>
      <c r="EI81" s="4591"/>
      <c r="EJ81" s="1102">
        <f>IF(EH81=0,0,(EI81-EH81)/EH81*100)</f>
        <v>0</v>
      </c>
      <c r="EK81" s="4591"/>
      <c r="EL81" s="4591"/>
      <c r="EM81" s="1102">
        <f>IF(EK81=0,0,(EL81-EK81)/EK81*100)</f>
        <v>0</v>
      </c>
      <c r="EN81" s="4591"/>
      <c r="EO81" s="4591"/>
      <c r="EP81" s="1102">
        <f>IF(EN81=0,0,(EO81-EN81)/EN81*100)</f>
        <v>0</v>
      </c>
      <c r="EQ81" s="4591"/>
      <c r="ER81" s="4591"/>
      <c r="ES81" s="1102">
        <f>IF(EQ81=0,0,(ER81-EQ81)/EQ81*100)</f>
        <v>0</v>
      </c>
      <c r="ET81" s="4591"/>
      <c r="EU81" s="4591"/>
      <c r="EV81" s="1102">
        <f>IF(ET81=0,0,(EU81-ET81)/ET81*100)</f>
        <v>0</v>
      </c>
      <c r="EW81" s="4591"/>
      <c r="EX81" s="4591"/>
      <c r="EY81" s="1102">
        <f>IF(EW81=0,0,(EX81-EW81)/EW81*100)</f>
        <v>0</v>
      </c>
      <c r="EZ81" s="4591"/>
      <c r="FA81" s="4591"/>
      <c r="FB81" s="1102">
        <f>IF(EZ81=0,0,(FA81-EZ81)/EZ81*100)</f>
        <v>0</v>
      </c>
      <c r="FC81" s="4591"/>
      <c r="FD81" s="4591"/>
      <c r="FE81" s="1102">
        <f>IF(FC81=0,0,(FD81-FC81)/FC81*100)</f>
        <v>0</v>
      </c>
      <c r="FF81" s="4591"/>
      <c r="FG81" s="4591"/>
      <c r="FH81" s="1102">
        <f>IF(FF81=0,0,(FG81-FF81)/FF81*100)</f>
        <v>0</v>
      </c>
      <c r="FI81" s="4591"/>
      <c r="FJ81" s="4591"/>
      <c r="FK81" s="1102">
        <f>IF(FI81=0,0,(FJ81-FI81)/FI81*100)</f>
        <v>0</v>
      </c>
      <c r="FL81" s="4591"/>
      <c r="FM81" s="4591"/>
      <c r="FN81" s="1102">
        <f>IF(FL81=0,0,(FM81-FL81)/FL81*100)</f>
        <v>0</v>
      </c>
      <c r="FO81" s="4591"/>
      <c r="FP81" s="4591"/>
      <c r="FQ81" s="1102">
        <f>IF(FO81=0,0,(FP81-FO81)/FO81*100)</f>
        <v>0</v>
      </c>
      <c r="FR81" s="4591"/>
      <c r="FS81" s="4591"/>
      <c r="FT81" s="1102">
        <f>IF(FR81=0,0,(FS81-FR81)/FR81*100)</f>
        <v>0</v>
      </c>
      <c r="FU81" s="4591"/>
      <c r="FV81" s="4591"/>
      <c r="FW81" s="1102">
        <f>IF(FU81=0,0,(FV81-FU81)/FU81*100)</f>
        <v>0</v>
      </c>
      <c r="FZ81" s="1330" t="s">
        <v>1937</v>
      </c>
      <c r="GA81" s="1330" t="s">
        <v>993</v>
      </c>
      <c r="GB81" s="1330" cm="1" t="str">
        <f t="array" ref="GB81:GB81">GB80</f>
        <v>0</v>
      </c>
    </row>
    <row customHeight="1" ht="18.525" hidden="1">
      <c r="A82" s="496"/>
      <c r="B82" s="932" cm="1" t="str">
        <f t="array" ref="B82:B82">B81</f>
        <v>false</v>
      </c>
      <c r="C82" s="496"/>
      <c r="D82" s="496"/>
      <c r="E82" s="847">
        <v>19</v>
      </c>
      <c r="F82" s="50" cm="1" t="str">
        <f t="array" ref="F82:F82">OFFSET(E82,-1,1)</f>
        <v>0</v>
      </c>
      <c r="G82" s="496"/>
      <c r="H82" s="496"/>
      <c r="I82" s="496"/>
      <c r="J82" s="496"/>
      <c r="K82" s="496"/>
      <c r="L82" s="496"/>
      <c r="M82" s="496"/>
      <c r="N82" s="496"/>
      <c r="O82" s="496"/>
      <c r="P82" s="496"/>
      <c r="Q82" s="496"/>
      <c r="R82" s="496"/>
      <c r="S82" s="496"/>
      <c r="T82" s="468" cm="1" t="str">
        <f t="array" ref="T82:T82">T81</f>
        <v>false</v>
      </c>
      <c r="U82" s="496"/>
      <c r="V82" s="496"/>
      <c r="W82" s="496"/>
      <c r="X82" s="1559"/>
      <c r="Y82" s="1559"/>
      <c r="Z82" s="1528"/>
      <c r="AA82" s="4589"/>
      <c r="AB82" s="911" t="s">
        <v>1905</v>
      </c>
      <c r="AC82" s="871" t="s">
        <v>1906</v>
      </c>
      <c r="AD82" s="4591"/>
      <c r="AE82" s="4591"/>
      <c r="AF82" s="1102">
        <f>IF(AD82=0,0,(AE82-AD82)/AD82*100)</f>
        <v>0</v>
      </c>
      <c r="AG82" s="4591"/>
      <c r="AH82" s="4591"/>
      <c r="AI82" s="1102">
        <f>IF(AG82=0,0,(AH82-AG82)/AG82*100)</f>
        <v>0</v>
      </c>
      <c r="AJ82" s="4591"/>
      <c r="AK82" s="4591"/>
      <c r="AL82" s="1102">
        <f>IF(AJ82=0,0,(AK82-AJ82)/AJ82*100)</f>
        <v>0</v>
      </c>
      <c r="AM82" s="4591"/>
      <c r="AN82" s="4591"/>
      <c r="AO82" s="1102">
        <f>IF(AM82=0,0,(AN82-AM82)/AM82*100)</f>
        <v>0</v>
      </c>
      <c r="AP82" s="4591"/>
      <c r="AQ82" s="4591"/>
      <c r="AR82" s="1102">
        <f>IF(AP82=0,0,(AQ82-AP82)/AP82*100)</f>
        <v>0</v>
      </c>
      <c r="AS82" s="4591"/>
      <c r="AT82" s="4591"/>
      <c r="AU82" s="1102">
        <f>IF(AS82=0,0,(AT82-AS82)/AS82*100)</f>
        <v>0</v>
      </c>
      <c r="AV82" s="4591"/>
      <c r="AW82" s="4591"/>
      <c r="AX82" s="1102">
        <f>IF(AV82=0,0,(AW82-AV82)/AV82*100)</f>
        <v>0</v>
      </c>
      <c r="AY82" s="4591"/>
      <c r="AZ82" s="4591"/>
      <c r="BA82" s="1102">
        <f>IF(AY82=0,0,(AZ82-AY82)/AY82*100)</f>
        <v>0</v>
      </c>
      <c r="BB82" s="4591"/>
      <c r="BC82" s="4591"/>
      <c r="BD82" s="1102">
        <f>IF(BB82=0,0,(BC82-BB82)/BB82*100)</f>
        <v>0</v>
      </c>
      <c r="BE82" s="4591"/>
      <c r="BF82" s="4591"/>
      <c r="BG82" s="1102">
        <f>IF(BE82=0,0,(BF82-BE82)/BE82*100)</f>
        <v>0</v>
      </c>
      <c r="BH82" s="4591"/>
      <c r="BI82" s="4591"/>
      <c r="BJ82" s="1102">
        <f>IF(BH82=0,0,(BI82-BH82)/BH82*100)</f>
        <v>0</v>
      </c>
      <c r="BK82" s="4591"/>
      <c r="BL82" s="4591"/>
      <c r="BM82" s="1102">
        <f>IF(BK82=0,0,(BL82-BK82)/BK82*100)</f>
        <v>0</v>
      </c>
      <c r="BN82" s="4591"/>
      <c r="BO82" s="4591"/>
      <c r="BP82" s="1102">
        <f>IF(BN82=0,0,(BO82-BN82)/BN82*100)</f>
        <v>0</v>
      </c>
      <c r="BQ82" s="4591"/>
      <c r="BR82" s="4591"/>
      <c r="BS82" s="1102">
        <f>IF(BQ82=0,0,(BR82-BQ82)/BQ82*100)</f>
        <v>0</v>
      </c>
      <c r="BT82" s="4591"/>
      <c r="BU82" s="4591"/>
      <c r="BV82" s="1102">
        <f>IF(BT82=0,0,(BU82-BT82)/BT82*100)</f>
        <v>0</v>
      </c>
      <c r="BW82" s="4591"/>
      <c r="BX82" s="4591"/>
      <c r="BY82" s="1102">
        <f>IF(BW82=0,0,(BX82-BW82)/BW82*100)</f>
        <v>0</v>
      </c>
      <c r="BZ82" s="4591"/>
      <c r="CA82" s="4591"/>
      <c r="CB82" s="1102">
        <f>IF(BZ82=0,0,(CA82-BZ82)/BZ82*100)</f>
        <v>0</v>
      </c>
      <c r="CC82" s="4591"/>
      <c r="CD82" s="4591"/>
      <c r="CE82" s="1102">
        <f>IF(CC82=0,0,(CD82-CC82)/CC82*100)</f>
        <v>0</v>
      </c>
      <c r="CF82" s="4591"/>
      <c r="CG82" s="4591"/>
      <c r="CH82" s="1102">
        <f>IF(CF82=0,0,(CG82-CF82)/CF82*100)</f>
        <v>0</v>
      </c>
      <c r="CI82" s="4591"/>
      <c r="CJ82" s="4591"/>
      <c r="CK82" s="1102">
        <f>IF(CI82=0,0,(CJ82-CI82)/CI82*100)</f>
        <v>0</v>
      </c>
      <c r="CL82" s="4591"/>
      <c r="CM82" s="4591"/>
      <c r="CN82" s="1102">
        <f>IF(CL82=0,0,(CM82-CL82)/CL82*100)</f>
        <v>0</v>
      </c>
      <c r="CO82" s="4591"/>
      <c r="CP82" s="4591"/>
      <c r="CQ82" s="1102">
        <f>IF(CO82=0,0,(CP82-CO82)/CO82*100)</f>
        <v>0</v>
      </c>
      <c r="CR82" s="4591"/>
      <c r="CS82" s="4591"/>
      <c r="CT82" s="1102">
        <f>IF(CR82=0,0,(CS82-CR82)/CR82*100)</f>
        <v>0</v>
      </c>
      <c r="CU82" s="4591"/>
      <c r="CV82" s="4591"/>
      <c r="CW82" s="1102">
        <f>IF(CU82=0,0,(CV82-CU82)/CU82*100)</f>
        <v>0</v>
      </c>
      <c r="CX82" s="4591"/>
      <c r="CY82" s="4591"/>
      <c r="CZ82" s="1102">
        <f>IF(CX82=0,0,(CY82-CX82)/CX82*100)</f>
        <v>0</v>
      </c>
      <c r="DA82" s="4591"/>
      <c r="DB82" s="4591"/>
      <c r="DC82" s="1102">
        <f>IF(DA82=0,0,(DB82-DA82)/DA82*100)</f>
        <v>0</v>
      </c>
      <c r="DD82" s="4591"/>
      <c r="DE82" s="4591"/>
      <c r="DF82" s="1102">
        <f>IF(DD82=0,0,(DE82-DD82)/DD82*100)</f>
        <v>0</v>
      </c>
      <c r="DG82" s="4591"/>
      <c r="DH82" s="4591"/>
      <c r="DI82" s="1102">
        <f>IF(DG82=0,0,(DH82-DG82)/DG82*100)</f>
        <v>0</v>
      </c>
      <c r="DJ82" s="4591"/>
      <c r="DK82" s="4591"/>
      <c r="DL82" s="1102">
        <f>IF(DJ82=0,0,(DK82-DJ82)/DJ82*100)</f>
        <v>0</v>
      </c>
      <c r="DM82" s="4591"/>
      <c r="DN82" s="4591"/>
      <c r="DO82" s="1102">
        <f>IF(DM82=0,0,(DN82-DM82)/DM82*100)</f>
        <v>0</v>
      </c>
      <c r="DP82" s="4591"/>
      <c r="DQ82" s="4591"/>
      <c r="DR82" s="1102">
        <f>IF(DP82=0,0,(DQ82-DP82)/DP82*100)</f>
        <v>0</v>
      </c>
      <c r="DS82" s="4591"/>
      <c r="DT82" s="4591"/>
      <c r="DU82" s="1102">
        <f>IF(DS82=0,0,(DT82-DS82)/DS82*100)</f>
        <v>0</v>
      </c>
      <c r="DV82" s="4591"/>
      <c r="DW82" s="4591"/>
      <c r="DX82" s="1102">
        <f>IF(DV82=0,0,(DW82-DV82)/DV82*100)</f>
        <v>0</v>
      </c>
      <c r="DY82" s="4591"/>
      <c r="DZ82" s="4591"/>
      <c r="EA82" s="1102">
        <f>IF(DY82=0,0,(DZ82-DY82)/DY82*100)</f>
        <v>0</v>
      </c>
      <c r="EB82" s="4591"/>
      <c r="EC82" s="4591"/>
      <c r="ED82" s="1102">
        <f>IF(EB82=0,0,(EC82-EB82)/EB82*100)</f>
        <v>0</v>
      </c>
      <c r="EE82" s="4591"/>
      <c r="EF82" s="4591"/>
      <c r="EG82" s="1102">
        <f>IF(EE82=0,0,(EF82-EE82)/EE82*100)</f>
        <v>0</v>
      </c>
      <c r="EH82" s="4591"/>
      <c r="EI82" s="4591"/>
      <c r="EJ82" s="1102">
        <f>IF(EH82=0,0,(EI82-EH82)/EH82*100)</f>
        <v>0</v>
      </c>
      <c r="EK82" s="4591"/>
      <c r="EL82" s="4591"/>
      <c r="EM82" s="1102">
        <f>IF(EK82=0,0,(EL82-EK82)/EK82*100)</f>
        <v>0</v>
      </c>
      <c r="EN82" s="4591"/>
      <c r="EO82" s="4591"/>
      <c r="EP82" s="1102">
        <f>IF(EN82=0,0,(EO82-EN82)/EN82*100)</f>
        <v>0</v>
      </c>
      <c r="EQ82" s="4591"/>
      <c r="ER82" s="4591"/>
      <c r="ES82" s="1102">
        <f>IF(EQ82=0,0,(ER82-EQ82)/EQ82*100)</f>
        <v>0</v>
      </c>
      <c r="ET82" s="4591"/>
      <c r="EU82" s="4591"/>
      <c r="EV82" s="1102">
        <f>IF(ET82=0,0,(EU82-ET82)/ET82*100)</f>
        <v>0</v>
      </c>
      <c r="EW82" s="4591"/>
      <c r="EX82" s="4591"/>
      <c r="EY82" s="1102">
        <f>IF(EW82=0,0,(EX82-EW82)/EW82*100)</f>
        <v>0</v>
      </c>
      <c r="EZ82" s="4591"/>
      <c r="FA82" s="4591"/>
      <c r="FB82" s="1102">
        <f>IF(EZ82=0,0,(FA82-EZ82)/EZ82*100)</f>
        <v>0</v>
      </c>
      <c r="FC82" s="4591"/>
      <c r="FD82" s="4591"/>
      <c r="FE82" s="1102">
        <f>IF(FC82=0,0,(FD82-FC82)/FC82*100)</f>
        <v>0</v>
      </c>
      <c r="FF82" s="4591"/>
      <c r="FG82" s="4591"/>
      <c r="FH82" s="1102">
        <f>IF(FF82=0,0,(FG82-FF82)/FF82*100)</f>
        <v>0</v>
      </c>
      <c r="FI82" s="4591"/>
      <c r="FJ82" s="4591"/>
      <c r="FK82" s="1102">
        <f>IF(FI82=0,0,(FJ82-FI82)/FI82*100)</f>
        <v>0</v>
      </c>
      <c r="FL82" s="4591"/>
      <c r="FM82" s="4591"/>
      <c r="FN82" s="1102">
        <f>IF(FL82=0,0,(FM82-FL82)/FL82*100)</f>
        <v>0</v>
      </c>
      <c r="FO82" s="4591"/>
      <c r="FP82" s="4591"/>
      <c r="FQ82" s="1102">
        <f>IF(FO82=0,0,(FP82-FO82)/FO82*100)</f>
        <v>0</v>
      </c>
      <c r="FR82" s="4591"/>
      <c r="FS82" s="4591"/>
      <c r="FT82" s="1102">
        <f>IF(FR82=0,0,(FS82-FR82)/FR82*100)</f>
        <v>0</v>
      </c>
      <c r="FU82" s="4591"/>
      <c r="FV82" s="4591"/>
      <c r="FW82" s="1102">
        <f>IF(FU82=0,0,(FV82-FU82)/FU82*100)</f>
        <v>0</v>
      </c>
      <c r="FZ82" s="1330" t="s">
        <v>1938</v>
      </c>
      <c r="GA82" s="1330" t="s">
        <v>993</v>
      </c>
      <c r="GB82" s="1330" cm="1" t="str">
        <f t="array" ref="GB82:GB82">GB81</f>
        <v>0</v>
      </c>
    </row>
    <row customHeight="1" ht="14.625" hidden="1">
      <c r="A83" s="496"/>
      <c r="B83" s="932" cm="1" t="str">
        <f t="array" ref="B83:B83">B76</f>
        <v>false</v>
      </c>
      <c r="C83" s="496"/>
      <c r="D83" s="496"/>
      <c r="E83" s="847">
        <v>15</v>
      </c>
      <c r="F83" s="50" cm="1" t="str">
        <f t="array" ref="F83:F83">OFFSET(E83,-1,1)</f>
        <v>0</v>
      </c>
      <c r="G83" s="496"/>
      <c r="H83" s="496"/>
      <c r="I83" s="94" t="s">
        <v>1939</v>
      </c>
      <c r="J83" s="496"/>
      <c r="K83" s="496"/>
      <c r="L83" s="496"/>
      <c r="M83" s="496"/>
      <c r="N83" s="496"/>
      <c r="O83" s="496"/>
      <c r="P83" s="496"/>
      <c r="Q83" s="496"/>
      <c r="R83" s="496"/>
      <c r="S83" s="496"/>
      <c r="T83" s="468">
        <f>F83&gt;0</f>
        <v>0</v>
      </c>
      <c r="U83" s="496"/>
      <c r="V83" s="1328"/>
      <c r="W83" s="764" t="s">
        <v>1892</v>
      </c>
      <c r="X83" s="1559"/>
      <c r="Y83" s="1328"/>
      <c r="Z83" s="1528"/>
      <c r="AA83" s="1328"/>
      <c r="AB83" s="256" t="s">
        <v>177</v>
      </c>
      <c r="AC83" s="260"/>
      <c r="AD83" s="1107"/>
      <c r="AE83" s="1107"/>
      <c r="AF83" s="1107"/>
      <c r="AG83" s="1107"/>
      <c r="AH83" s="1107"/>
      <c r="AI83" s="1107"/>
      <c r="AJ83" s="1107"/>
      <c r="AK83" s="1107"/>
      <c r="AL83" s="1107"/>
      <c r="AM83" s="1107"/>
      <c r="AN83" s="1107"/>
      <c r="AO83" s="1107"/>
      <c r="AP83" s="1107"/>
      <c r="AQ83" s="1107"/>
      <c r="AR83" s="1107"/>
      <c r="AS83" s="1107"/>
      <c r="AT83" s="1107"/>
      <c r="AU83" s="1107"/>
      <c r="AV83" s="1107"/>
      <c r="AW83" s="1107"/>
      <c r="AX83" s="1107"/>
      <c r="AY83" s="1107"/>
      <c r="AZ83" s="1107"/>
      <c r="BA83" s="1107"/>
      <c r="BB83" s="1107"/>
      <c r="BC83" s="1107"/>
      <c r="BD83" s="1107"/>
      <c r="BE83" s="1107"/>
      <c r="BF83" s="1107"/>
      <c r="BG83" s="1107"/>
      <c r="BH83" s="1107"/>
      <c r="BI83" s="1107"/>
      <c r="BJ83" s="1107"/>
      <c r="BK83" s="1107"/>
      <c r="BL83" s="1107"/>
      <c r="BM83" s="1107"/>
      <c r="BN83" s="1107"/>
      <c r="BO83" s="1107"/>
      <c r="BP83" s="1107"/>
      <c r="BQ83" s="1107"/>
      <c r="BR83" s="1107"/>
      <c r="BS83" s="1107"/>
      <c r="BT83" s="1107"/>
      <c r="BU83" s="1107"/>
      <c r="BV83" s="1107"/>
      <c r="BW83" s="1107"/>
      <c r="BX83" s="1107"/>
      <c r="BY83" s="1107"/>
      <c r="BZ83" s="1107"/>
      <c r="CA83" s="1107"/>
      <c r="CB83" s="1107"/>
      <c r="CC83" s="1107"/>
      <c r="CD83" s="1107"/>
      <c r="CE83" s="1107"/>
      <c r="CF83" s="1107"/>
      <c r="CG83" s="1107"/>
      <c r="CH83" s="1107"/>
      <c r="CI83" s="1107"/>
      <c r="CJ83" s="1107"/>
      <c r="CK83" s="1107"/>
      <c r="CL83" s="1107"/>
      <c r="CM83" s="1107"/>
      <c r="CN83" s="1107"/>
      <c r="CO83" s="1107"/>
      <c r="CP83" s="1107"/>
      <c r="CQ83" s="1107"/>
      <c r="CR83" s="1107"/>
      <c r="CS83" s="1107"/>
      <c r="CT83" s="1107"/>
      <c r="CU83" s="1107"/>
      <c r="CV83" s="1107"/>
      <c r="CW83" s="1107"/>
      <c r="CX83" s="1107"/>
      <c r="CY83" s="1107"/>
      <c r="CZ83" s="1107"/>
      <c r="DA83" s="1107"/>
      <c r="DB83" s="1107"/>
      <c r="DC83" s="1107"/>
      <c r="DD83" s="1107"/>
      <c r="DE83" s="1107"/>
      <c r="DF83" s="1107"/>
      <c r="DG83" s="1107"/>
      <c r="DH83" s="1107"/>
      <c r="DI83" s="1107"/>
      <c r="DJ83" s="1107"/>
      <c r="DK83" s="1107"/>
      <c r="DL83" s="1107"/>
      <c r="DM83" s="1107"/>
      <c r="DN83" s="1107"/>
      <c r="DO83" s="1107"/>
      <c r="DP83" s="1107"/>
      <c r="DQ83" s="1107"/>
      <c r="DR83" s="1107"/>
      <c r="DS83" s="1107"/>
      <c r="DT83" s="1107"/>
      <c r="DU83" s="1107"/>
      <c r="DV83" s="1107"/>
      <c r="DW83" s="1107"/>
      <c r="DX83" s="1107"/>
      <c r="DY83" s="1107"/>
      <c r="DZ83" s="1107"/>
      <c r="EA83" s="1107"/>
      <c r="EB83" s="1107"/>
      <c r="EC83" s="1107"/>
      <c r="ED83" s="1107"/>
      <c r="EE83" s="1107"/>
      <c r="EF83" s="1107"/>
      <c r="EG83" s="1107"/>
      <c r="EH83" s="1107"/>
      <c r="EI83" s="1107"/>
      <c r="EJ83" s="1107"/>
      <c r="EK83" s="1107"/>
      <c r="EL83" s="1107"/>
      <c r="EM83" s="1107"/>
      <c r="EN83" s="1107"/>
      <c r="EO83" s="1107"/>
      <c r="EP83" s="1107"/>
      <c r="EQ83" s="1107"/>
      <c r="ER83" s="1107"/>
      <c r="ES83" s="1107"/>
      <c r="ET83" s="1107"/>
      <c r="EU83" s="1107"/>
      <c r="EV83" s="1107"/>
      <c r="EW83" s="1107"/>
      <c r="EX83" s="1107"/>
      <c r="EY83" s="1107"/>
      <c r="EZ83" s="1107"/>
      <c r="FA83" s="1107"/>
      <c r="FB83" s="1107"/>
      <c r="FC83" s="1107"/>
      <c r="FD83" s="1107"/>
      <c r="FE83" s="1107"/>
      <c r="FF83" s="1107"/>
      <c r="FG83" s="1107"/>
      <c r="FH83" s="1107"/>
      <c r="FI83" s="1107"/>
      <c r="FJ83" s="1107"/>
      <c r="FK83" s="1107"/>
      <c r="FL83" s="1107"/>
      <c r="FM83" s="1107"/>
      <c r="FN83" s="1107"/>
      <c r="FO83" s="1107"/>
      <c r="FP83" s="1107"/>
      <c r="FQ83" s="1107"/>
      <c r="FR83" s="1107"/>
      <c r="FS83" s="1107"/>
      <c r="FT83" s="1107"/>
      <c r="FU83" s="1107"/>
      <c r="FV83" s="1107"/>
      <c r="FW83" s="1108"/>
      <c r="FX83" s="1328"/>
      <c r="FY83" s="1328"/>
      <c r="FZ83" s="1063" t="s">
        <v>240</v>
      </c>
      <c r="GA83" s="1330"/>
      <c r="GB83" s="1330"/>
      <c r="GC83" s="637" t="s">
        <v>993</v>
      </c>
      <c r="GD83" s="1329"/>
    </row>
    <row s="1656" customFormat="1" customHeight="1" ht="11.25" hidden="1">
      <c r="A84" s="485"/>
      <c r="B84" s="932"/>
      <c r="C84" s="485"/>
      <c r="D84" s="485"/>
      <c r="E84" s="873">
        <v>0</v>
      </c>
      <c r="F84" s="1194" cm="1" t="str">
        <f t="array" ref="F84:F84">OFFSET(E84,-1,1)</f>
        <v>0</v>
      </c>
      <c r="G84" s="485"/>
      <c r="H84" s="485"/>
      <c r="I84" s="485"/>
      <c r="J84" s="485"/>
      <c r="K84" s="485"/>
      <c r="L84" s="485"/>
      <c r="M84" s="485"/>
      <c r="N84" s="485"/>
      <c r="O84" s="485"/>
      <c r="P84" s="485"/>
      <c r="Q84" s="485"/>
      <c r="R84" s="485"/>
      <c r="S84" s="485"/>
      <c r="T84" s="468" t="b">
        <v>0</v>
      </c>
      <c r="U84" s="485"/>
      <c r="V84" s="485"/>
      <c r="W84" s="485"/>
      <c r="X84" s="1559"/>
      <c r="Y84" s="485"/>
      <c r="Z84" s="1528"/>
      <c r="AA84" s="485"/>
      <c r="AB84" s="0"/>
      <c r="AC84" s="485"/>
      <c r="AD84" s="1117"/>
      <c r="AE84" s="1117"/>
      <c r="AF84" s="1117"/>
      <c r="AG84" s="0"/>
      <c r="AH84" s="0"/>
      <c r="AI84" s="0"/>
      <c r="AJ84" s="0"/>
      <c r="AK84" s="0"/>
      <c r="AL84" s="0"/>
      <c r="AM84" s="0"/>
      <c r="AN84" s="0"/>
      <c r="AO84" s="0"/>
      <c r="AP84" s="0"/>
      <c r="AQ84" s="0"/>
      <c r="AR84" s="0"/>
      <c r="AS84" s="0"/>
      <c r="AT84" s="0"/>
      <c r="AU84" s="0"/>
      <c r="AV84" s="0"/>
      <c r="AW84" s="0"/>
      <c r="AX84" s="0"/>
      <c r="AY84" s="0"/>
      <c r="AZ84" s="0"/>
      <c r="BA84" s="0"/>
      <c r="BB84" s="0"/>
      <c r="BC84" s="0"/>
      <c r="BD84" s="0"/>
      <c r="BE84" s="0"/>
      <c r="BF84" s="0"/>
      <c r="BG84" s="0"/>
      <c r="BH84" s="0"/>
      <c r="BI84" s="0"/>
      <c r="BJ84" s="0"/>
      <c r="BK84" s="0"/>
      <c r="BL84" s="0"/>
      <c r="BM84" s="0"/>
      <c r="BN84" s="0"/>
      <c r="BO84" s="0"/>
      <c r="BP84" s="0"/>
      <c r="BQ84" s="0"/>
      <c r="BR84" s="0"/>
      <c r="BS84" s="0"/>
      <c r="BT84" s="0"/>
      <c r="BU84" s="0"/>
      <c r="BV84" s="0"/>
      <c r="BW84" s="0"/>
      <c r="BX84" s="0"/>
      <c r="BY84" s="0"/>
      <c r="BZ84" s="0"/>
      <c r="CA84" s="0"/>
      <c r="CB84" s="0"/>
      <c r="CC84" s="0"/>
      <c r="CD84" s="0"/>
      <c r="CE84" s="0"/>
      <c r="CF84" s="0"/>
      <c r="CG84" s="0"/>
      <c r="CH84" s="0"/>
      <c r="CI84" s="0"/>
      <c r="CJ84" s="0"/>
      <c r="CK84" s="0"/>
      <c r="CL84" s="0"/>
      <c r="CM84" s="0"/>
      <c r="CN84" s="0"/>
      <c r="CO84" s="0"/>
      <c r="CP84" s="0"/>
      <c r="CQ84" s="0"/>
      <c r="CR84" s="0"/>
      <c r="CS84" s="0"/>
      <c r="CT84" s="0"/>
      <c r="CU84" s="0"/>
      <c r="CV84" s="0"/>
      <c r="CW84" s="0"/>
      <c r="CX84" s="0"/>
      <c r="CY84" s="0"/>
      <c r="CZ84" s="0"/>
      <c r="DA84" s="0"/>
      <c r="DB84" s="0"/>
      <c r="DC84" s="0"/>
      <c r="DD84" s="0"/>
      <c r="DE84" s="0"/>
      <c r="DF84" s="0"/>
      <c r="DG84" s="0"/>
      <c r="DH84" s="0"/>
      <c r="DI84" s="0"/>
      <c r="DJ84" s="0"/>
      <c r="DK84" s="0"/>
      <c r="DL84" s="0"/>
      <c r="DM84" s="0"/>
      <c r="DN84" s="0"/>
      <c r="DO84" s="0"/>
      <c r="DP84" s="0"/>
      <c r="DQ84" s="0"/>
      <c r="DR84" s="0"/>
      <c r="DS84" s="0"/>
      <c r="DT84" s="0"/>
      <c r="DU84" s="0"/>
      <c r="DV84" s="0"/>
      <c r="DW84" s="0"/>
      <c r="DX84" s="0"/>
      <c r="DY84" s="0"/>
      <c r="DZ84" s="0"/>
      <c r="EA84" s="0"/>
      <c r="EB84" s="0"/>
      <c r="EC84" s="0"/>
      <c r="ED84" s="0"/>
      <c r="EE84" s="0"/>
      <c r="EF84" s="0"/>
      <c r="EG84" s="0"/>
      <c r="EH84" s="0"/>
      <c r="EI84" s="0"/>
      <c r="EJ84" s="0"/>
      <c r="EK84" s="0"/>
      <c r="EL84" s="0"/>
      <c r="EM84" s="0"/>
      <c r="EN84" s="0"/>
      <c r="EO84" s="0"/>
      <c r="EP84" s="0"/>
      <c r="EQ84" s="0"/>
      <c r="ER84" s="0"/>
      <c r="ES84" s="0"/>
      <c r="ET84" s="0"/>
      <c r="EU84" s="0"/>
      <c r="EV84" s="0"/>
      <c r="EW84" s="0"/>
      <c r="EX84" s="0"/>
      <c r="EY84" s="0"/>
      <c r="EZ84" s="0"/>
      <c r="FA84" s="0"/>
      <c r="FB84" s="0"/>
      <c r="FC84" s="0"/>
      <c r="FD84" s="0"/>
      <c r="FE84" s="0"/>
      <c r="FF84" s="0"/>
      <c r="FG84" s="0"/>
      <c r="FH84" s="0"/>
      <c r="FI84" s="0"/>
      <c r="FJ84" s="0"/>
      <c r="FK84" s="0"/>
      <c r="FL84" s="0"/>
      <c r="FM84" s="0"/>
      <c r="FN84" s="0"/>
      <c r="FO84" s="0"/>
      <c r="FP84" s="0"/>
      <c r="FQ84" s="0"/>
      <c r="FR84" s="0"/>
      <c r="FS84" s="0"/>
      <c r="FT84" s="0"/>
      <c r="FU84" s="0"/>
      <c r="FV84" s="0"/>
      <c r="FW84" s="0"/>
      <c r="FX84" s="1656"/>
      <c r="FY84" s="1656"/>
      <c r="FZ84" s="1063" t="s">
        <v>240</v>
      </c>
      <c r="GA84" s="1027"/>
      <c r="GB84" s="1066"/>
      <c r="GC84" s="692"/>
      <c r="GD84" s="692"/>
    </row>
    <row s="288" customFormat="1" customHeight="1" ht="23.887500000000003" hidden="1">
      <c r="A85" s="904"/>
      <c r="B85" s="932" cm="1" t="str">
        <f t="array" ref="B85:B85">S29</f>
        <v>false</v>
      </c>
      <c r="C85" s="904"/>
      <c r="D85" s="904"/>
      <c r="E85" s="847">
        <v>24.5</v>
      </c>
      <c r="F85" s="50" cm="1" t="str">
        <f t="array" ref="F85:F85">OFFSET(E85,-1,1)</f>
        <v>0</v>
      </c>
      <c r="G85" s="103" t="s">
        <v>1859</v>
      </c>
      <c r="H85" s="496" t="s">
        <v>566</v>
      </c>
      <c r="I85" s="496" t="s">
        <v>1940</v>
      </c>
      <c r="J85" s="904"/>
      <c r="K85" s="904"/>
      <c r="L85" s="904"/>
      <c r="M85" s="904"/>
      <c r="N85" s="904"/>
      <c r="O85" s="904"/>
      <c r="P85" s="904"/>
      <c r="Q85" s="904"/>
      <c r="R85" s="904"/>
      <c r="S85" s="496"/>
      <c r="T85" s="468" cm="1" t="str">
        <f t="array" ref="T85:T85">T83</f>
        <v>false</v>
      </c>
      <c r="U85" s="904"/>
      <c r="V85" s="904"/>
      <c r="W85" s="904"/>
      <c r="X85" s="1559"/>
      <c r="Y85" s="904"/>
      <c r="Z85" s="1528"/>
      <c r="AA85" s="904"/>
      <c r="AB85" s="215" t="s">
        <v>1941</v>
      </c>
      <c r="AC85" s="230" t="s">
        <v>1862</v>
      </c>
      <c r="AD85" s="4611">
        <f>IF(AND(method_reg="Метод индексации",god&lt;&gt;first_year),_xlfn.SUMIFS(INDEX('Калькуляция (МИ корр)'!$AJ$25:$BC$606,,MATCH(AD$8,'Калькуляция (МИ корр)'!$AJ$8:$BC$8,0)),'Калькуляция (МИ корр)'!$F$25:$F$606,$F85,'Калькуляция (МИ корр)'!$G$25:$G$606,$G85),IF(method_reg="Метод экономически обоснованных расходов",_xlfn.SUMIFS('Калькуляция (МЭОР)'!$AJ$25:$AJ$367,'Калькуляция (МЭОР)'!$F$25:$F$367,$F85,'Калькуляция (МЭОР)'!$G$25:$G$367,$G85),IF(method_reg="Метод сравнения аналогов",_xlfn.SUMIFS('Калькуляция (МСА)'!$AE$25:$AE$103,'Калькуляция (МСА)'!$F$25:$F$103,$F85,'Калькуляция (МСА)'!$G$25:$G$103,$G85),_xlfn.SUMIFS(INDEX('Калькуляция (МИ)'!$AJ$25:$BC$603,,MATCH(AD$8,'Калькуляция (МИ)'!$AJ$8:$BC$8,0)),'Калькуляция (МИ)'!$F$25:$F$603,$F85,'Калькуляция (МИ)'!$G$25:$G$603,$G85))))</f>
        <v>0</v>
      </c>
      <c r="AE85" s="4611">
        <f>IF(AND(method_reg="Метод индексации",god&lt;&gt;first_year),_xlfn.SUMIFS(INDEX('Калькуляция (МИ корр)'!$AJ$25:$BC$606,,MATCH(AE$8,'Калькуляция (МИ корр)'!$AJ$8:$BC$8,0)),'Калькуляция (МИ корр)'!$F$25:$F$606,$F85,'Калькуляция (МИ корр)'!$G$25:$G$606,$G85),IF(method_reg="Метод экономически обоснованных расходов",_xlfn.SUMIFS('Калькуляция (МЭОР)'!$AK$25:$AK$367,'Калькуляция (МЭОР)'!$F$25:$F$367,$F85,'Калькуляция (МЭОР)'!$G$25:$G$367,$G85),IF(method_reg="Метод сравнения аналогов",_xlfn.SUMIFS('Калькуляция (МСА)'!$AF$25:$AF$103,'Калькуляция (МСА)'!$F$25:$F$103,$F85,'Калькуляция (МСА)'!$G$25:$G$103,$G85),_xlfn.SUMIFS(INDEX('Калькуляция (МИ)'!$AJ$25:$BC$603,,MATCH(AE$8,'Калькуляция (МИ)'!$AJ$8:$BC$8,0)),'Калькуляция (МИ)'!$F$25:$F$603,$F85,'Калькуляция (МИ)'!$G$25:$G$603,$G85))))</f>
        <v>0</v>
      </c>
      <c r="AF85" s="292">
        <f>IF(AD85=0,0,(AE85-AD85)/AD85*100)</f>
        <v>0</v>
      </c>
      <c r="AG85" s="4611">
        <f>IF(AND(method_reg="Метод индексации",god&lt;&gt;first_year),_xlfn.SUMIFS(INDEX('Калькуляция (МИ корр)'!$AJ$25:$BC$606,,MATCH(AG$8,'Калькуляция (МИ корр)'!$AJ$8:$BC$8,0)),'Калькуляция (МИ корр)'!$F$25:$F$606,$F85,'Калькуляция (МИ корр)'!$G$25:$G$606,$G85),IF(method_reg="Метод экономически обоснованных расходов",_xlfn.SUMIFS('Калькуляция (МЭОР)'!$AJ$25:$AJ$367,'Калькуляция (МЭОР)'!$F$25:$F$367,$F85,'Калькуляция (МЭОР)'!$G$25:$G$367,$G85),IF(method_reg="Метод сравнения аналогов",_xlfn.SUMIFS('Калькуляция (МСА)'!$AE$25:$AE$103,'Калькуляция (МСА)'!$F$25:$F$103,$F85,'Калькуляция (МСА)'!$G$25:$G$103,$G85),_xlfn.SUMIFS(INDEX('Калькуляция (МИ)'!$AJ$25:$BC$603,,MATCH(AG$8,'Калькуляция (МИ)'!$AJ$8:$BC$8,0)),'Калькуляция (МИ)'!$F$25:$F$603,$F85,'Калькуляция (МИ)'!$G$25:$G$603,$G85))))</f>
        <v>0</v>
      </c>
      <c r="AH85" s="4611">
        <f>IF(AND(method_reg="Метод индексации",god&lt;&gt;first_year),_xlfn.SUMIFS(INDEX('Калькуляция (МИ корр)'!$AJ$25:$BC$606,,MATCH(AH$8,'Калькуляция (МИ корр)'!$AJ$8:$BC$8,0)),'Калькуляция (МИ корр)'!$F$25:$F$606,$F85,'Калькуляция (МИ корр)'!$G$25:$G$606,$G85),IF(method_reg="Метод экономически обоснованных расходов",_xlfn.SUMIFS('Калькуляция (МЭОР)'!$AK$25:$AK$367,'Калькуляция (МЭОР)'!$F$25:$F$367,$F85,'Калькуляция (МЭОР)'!$G$25:$G$367,$G85),IF(method_reg="Метод сравнения аналогов",_xlfn.SUMIFS('Калькуляция (МСА)'!$AF$25:$AF$103,'Калькуляция (МСА)'!$F$25:$F$103,$F85,'Калькуляция (МСА)'!$G$25:$G$103,$G85),_xlfn.SUMIFS(INDEX('Калькуляция (МИ)'!$AJ$25:$BC$603,,MATCH(AH$8,'Калькуляция (МИ)'!$AJ$8:$BC$8,0)),'Калькуляция (МИ)'!$F$25:$F$603,$F85,'Калькуляция (МИ)'!$G$25:$G$603,$G85))))</f>
        <v>0</v>
      </c>
      <c r="AI85" s="292">
        <f>IF(AG85=0,0,(AH85-AG85)/AG85*100)</f>
        <v>0</v>
      </c>
      <c r="AJ85" s="4611">
        <f>IF(AND(method_reg="Метод индексации",god&lt;&gt;first_year),_xlfn.SUMIFS(INDEX('Калькуляция (МИ корр)'!$AJ$25:$BC$606,,MATCH(AJ$8,'Калькуляция (МИ корр)'!$AJ$8:$BC$8,0)),'Калькуляция (МИ корр)'!$F$25:$F$606,$F85,'Калькуляция (МИ корр)'!$G$25:$G$606,$G85),IF(method_reg="Метод экономически обоснованных расходов",_xlfn.SUMIFS('Калькуляция (МЭОР)'!$AJ$25:$AJ$367,'Калькуляция (МЭОР)'!$F$25:$F$367,$F85,'Калькуляция (МЭОР)'!$G$25:$G$367,$G85),IF(method_reg="Метод сравнения аналогов",_xlfn.SUMIFS('Калькуляция (МСА)'!$AE$25:$AE$103,'Калькуляция (МСА)'!$F$25:$F$103,$F85,'Калькуляция (МСА)'!$G$25:$G$103,$G85),_xlfn.SUMIFS(INDEX('Калькуляция (МИ)'!$AJ$25:$BC$603,,MATCH(AJ$8,'Калькуляция (МИ)'!$AJ$8:$BC$8,0)),'Калькуляция (МИ)'!$F$25:$F$603,$F85,'Калькуляция (МИ)'!$G$25:$G$603,$G85))))</f>
        <v>0</v>
      </c>
      <c r="AK85" s="4611">
        <f>IF(AND(method_reg="Метод индексации",god&lt;&gt;first_year),_xlfn.SUMIFS(INDEX('Калькуляция (МИ корр)'!$AJ$25:$BC$606,,MATCH(AK$8,'Калькуляция (МИ корр)'!$AJ$8:$BC$8,0)),'Калькуляция (МИ корр)'!$F$25:$F$606,$F85,'Калькуляция (МИ корр)'!$G$25:$G$606,$G85),IF(method_reg="Метод экономически обоснованных расходов",_xlfn.SUMIFS('Калькуляция (МЭОР)'!$AK$25:$AK$367,'Калькуляция (МЭОР)'!$F$25:$F$367,$F85,'Калькуляция (МЭОР)'!$G$25:$G$367,$G85),IF(method_reg="Метод сравнения аналогов",_xlfn.SUMIFS('Калькуляция (МСА)'!$AF$25:$AF$103,'Калькуляция (МСА)'!$F$25:$F$103,$F85,'Калькуляция (МСА)'!$G$25:$G$103,$G85),_xlfn.SUMIFS(INDEX('Калькуляция (МИ)'!$AJ$25:$BC$603,,MATCH(AK$8,'Калькуляция (МИ)'!$AJ$8:$BC$8,0)),'Калькуляция (МИ)'!$F$25:$F$603,$F85,'Калькуляция (МИ)'!$G$25:$G$603,$G85))))</f>
        <v>0</v>
      </c>
      <c r="AL85" s="292">
        <f>IF(AJ85=0,0,(AK85-AJ85)/AJ85*100)</f>
        <v>0</v>
      </c>
      <c r="AM85" s="4611">
        <f>IF(AND(method_reg="Метод индексации",god&lt;&gt;first_year),_xlfn.SUMIFS(INDEX('Калькуляция (МИ корр)'!$AJ$25:$BC$606,,MATCH(AM$8,'Калькуляция (МИ корр)'!$AJ$8:$BC$8,0)),'Калькуляция (МИ корр)'!$F$25:$F$606,$F85,'Калькуляция (МИ корр)'!$G$25:$G$606,$G85),IF(method_reg="Метод экономически обоснованных расходов",_xlfn.SUMIFS('Калькуляция (МЭОР)'!$AJ$25:$AJ$367,'Калькуляция (МЭОР)'!$F$25:$F$367,$F85,'Калькуляция (МЭОР)'!$G$25:$G$367,$G85),IF(method_reg="Метод сравнения аналогов",_xlfn.SUMIFS('Калькуляция (МСА)'!$AE$25:$AE$103,'Калькуляция (МСА)'!$F$25:$F$103,$F85,'Калькуляция (МСА)'!$G$25:$G$103,$G85),_xlfn.SUMIFS(INDEX('Калькуляция (МИ)'!$AJ$25:$BC$603,,MATCH(AM$8,'Калькуляция (МИ)'!$AJ$8:$BC$8,0)),'Калькуляция (МИ)'!$F$25:$F$603,$F85,'Калькуляция (МИ)'!$G$25:$G$603,$G85))))</f>
        <v>0</v>
      </c>
      <c r="AN85" s="4611">
        <f>IF(AND(method_reg="Метод индексации",god&lt;&gt;first_year),_xlfn.SUMIFS(INDEX('Калькуляция (МИ корр)'!$AJ$25:$BC$606,,MATCH(AN$8,'Калькуляция (МИ корр)'!$AJ$8:$BC$8,0)),'Калькуляция (МИ корр)'!$F$25:$F$606,$F85,'Калькуляция (МИ корр)'!$G$25:$G$606,$G85),IF(method_reg="Метод экономически обоснованных расходов",_xlfn.SUMIFS('Калькуляция (МЭОР)'!$AK$25:$AK$367,'Калькуляция (МЭОР)'!$F$25:$F$367,$F85,'Калькуляция (МЭОР)'!$G$25:$G$367,$G85),IF(method_reg="Метод сравнения аналогов",_xlfn.SUMIFS('Калькуляция (МСА)'!$AF$25:$AF$103,'Калькуляция (МСА)'!$F$25:$F$103,$F85,'Калькуляция (МСА)'!$G$25:$G$103,$G85),_xlfn.SUMIFS(INDEX('Калькуляция (МИ)'!$AJ$25:$BC$603,,MATCH(AN$8,'Калькуляция (МИ)'!$AJ$8:$BC$8,0)),'Калькуляция (МИ)'!$F$25:$F$603,$F85,'Калькуляция (МИ)'!$G$25:$G$603,$G85))))</f>
        <v>0</v>
      </c>
      <c r="AO85" s="292">
        <f>IF(AM85=0,0,(AN85-AM85)/AM85*100)</f>
        <v>0</v>
      </c>
      <c r="AP85" s="4611">
        <f>IF(AND(method_reg="Метод индексации",god&lt;&gt;first_year),_xlfn.SUMIFS(INDEX('Калькуляция (МИ корр)'!$AJ$25:$BC$606,,MATCH(AP$8,'Калькуляция (МИ корр)'!$AJ$8:$BC$8,0)),'Калькуляция (МИ корр)'!$F$25:$F$606,$F85,'Калькуляция (МИ корр)'!$G$25:$G$606,$G85),IF(method_reg="Метод экономически обоснованных расходов",_xlfn.SUMIFS('Калькуляция (МЭОР)'!$AJ$25:$AJ$367,'Калькуляция (МЭОР)'!$F$25:$F$367,$F85,'Калькуляция (МЭОР)'!$G$25:$G$367,$G85),IF(method_reg="Метод сравнения аналогов",_xlfn.SUMIFS('Калькуляция (МСА)'!$AE$25:$AE$103,'Калькуляция (МСА)'!$F$25:$F$103,$F85,'Калькуляция (МСА)'!$G$25:$G$103,$G85),_xlfn.SUMIFS(INDEX('Калькуляция (МИ)'!$AJ$25:$BC$603,,MATCH(AP$8,'Калькуляция (МИ)'!$AJ$8:$BC$8,0)),'Калькуляция (МИ)'!$F$25:$F$603,$F85,'Калькуляция (МИ)'!$G$25:$G$603,$G85))))</f>
        <v>0</v>
      </c>
      <c r="AQ85" s="4611">
        <f>IF(AND(method_reg="Метод индексации",god&lt;&gt;first_year),_xlfn.SUMIFS(INDEX('Калькуляция (МИ корр)'!$AJ$25:$BC$606,,MATCH(AQ$8,'Калькуляция (МИ корр)'!$AJ$8:$BC$8,0)),'Калькуляция (МИ корр)'!$F$25:$F$606,$F85,'Калькуляция (МИ корр)'!$G$25:$G$606,$G85),IF(method_reg="Метод экономически обоснованных расходов",_xlfn.SUMIFS('Калькуляция (МЭОР)'!$AK$25:$AK$367,'Калькуляция (МЭОР)'!$F$25:$F$367,$F85,'Калькуляция (МЭОР)'!$G$25:$G$367,$G85),IF(method_reg="Метод сравнения аналогов",_xlfn.SUMIFS('Калькуляция (МСА)'!$AF$25:$AF$103,'Калькуляция (МСА)'!$F$25:$F$103,$F85,'Калькуляция (МСА)'!$G$25:$G$103,$G85),_xlfn.SUMIFS(INDEX('Калькуляция (МИ)'!$AJ$25:$BC$603,,MATCH(AQ$8,'Калькуляция (МИ)'!$AJ$8:$BC$8,0)),'Калькуляция (МИ)'!$F$25:$F$603,$F85,'Калькуляция (МИ)'!$G$25:$G$603,$G85))))</f>
        <v>0</v>
      </c>
      <c r="AR85" s="292">
        <f>IF(AP85=0,0,(AQ85-AP85)/AP85*100)</f>
        <v>0</v>
      </c>
      <c r="AS85" s="4611">
        <f>IF(AND(method_reg="Метод индексации",god&lt;&gt;first_year),_xlfn.SUMIFS(INDEX('Калькуляция (МИ корр)'!$AJ$25:$BC$606,,MATCH(AS$8,'Калькуляция (МИ корр)'!$AJ$8:$BC$8,0)),'Калькуляция (МИ корр)'!$F$25:$F$606,$F85,'Калькуляция (МИ корр)'!$G$25:$G$606,$G85),IF(method_reg="Метод экономически обоснованных расходов",_xlfn.SUMIFS('Калькуляция (МЭОР)'!$AJ$25:$AJ$367,'Калькуляция (МЭОР)'!$F$25:$F$367,$F85,'Калькуляция (МЭОР)'!$G$25:$G$367,$G85),IF(method_reg="Метод сравнения аналогов",_xlfn.SUMIFS('Калькуляция (МСА)'!$AE$25:$AE$103,'Калькуляция (МСА)'!$F$25:$F$103,$F85,'Калькуляция (МСА)'!$G$25:$G$103,$G85),_xlfn.SUMIFS(INDEX('Калькуляция (МИ)'!$AJ$25:$BC$603,,MATCH(AS$8,'Калькуляция (МИ)'!$AJ$8:$BC$8,0)),'Калькуляция (МИ)'!$F$25:$F$603,$F85,'Калькуляция (МИ)'!$G$25:$G$603,$G85))))</f>
        <v>0</v>
      </c>
      <c r="AT85" s="4611">
        <f>IF(AND(method_reg="Метод индексации",god&lt;&gt;first_year),_xlfn.SUMIFS(INDEX('Калькуляция (МИ корр)'!$AJ$25:$BC$606,,MATCH(AT$8,'Калькуляция (МИ корр)'!$AJ$8:$BC$8,0)),'Калькуляция (МИ корр)'!$F$25:$F$606,$F85,'Калькуляция (МИ корр)'!$G$25:$G$606,$G85),IF(method_reg="Метод экономически обоснованных расходов",_xlfn.SUMIFS('Калькуляция (МЭОР)'!$AK$25:$AK$367,'Калькуляция (МЭОР)'!$F$25:$F$367,$F85,'Калькуляция (МЭОР)'!$G$25:$G$367,$G85),IF(method_reg="Метод сравнения аналогов",_xlfn.SUMIFS('Калькуляция (МСА)'!$AF$25:$AF$103,'Калькуляция (МСА)'!$F$25:$F$103,$F85,'Калькуляция (МСА)'!$G$25:$G$103,$G85),_xlfn.SUMIFS(INDEX('Калькуляция (МИ)'!$AJ$25:$BC$603,,MATCH(AT$8,'Калькуляция (МИ)'!$AJ$8:$BC$8,0)),'Калькуляция (МИ)'!$F$25:$F$603,$F85,'Калькуляция (МИ)'!$G$25:$G$603,$G85))))</f>
        <v>0</v>
      </c>
      <c r="AU85" s="292">
        <f>IF(AS85=0,0,(AT85-AS85)/AS85*100)</f>
        <v>0</v>
      </c>
      <c r="AV85" s="4611">
        <f>IF(AND(method_reg="Метод индексации",god&lt;&gt;first_year),_xlfn.SUMIFS(INDEX('Калькуляция (МИ корр)'!$AJ$25:$BC$606,,MATCH(AV$8,'Калькуляция (МИ корр)'!$AJ$8:$BC$8,0)),'Калькуляция (МИ корр)'!$F$25:$F$606,$F85,'Калькуляция (МИ корр)'!$G$25:$G$606,$G85),IF(method_reg="Метод экономически обоснованных расходов",_xlfn.SUMIFS('Калькуляция (МЭОР)'!$AJ$25:$AJ$367,'Калькуляция (МЭОР)'!$F$25:$F$367,$F85,'Калькуляция (МЭОР)'!$G$25:$G$367,$G85),IF(method_reg="Метод сравнения аналогов",_xlfn.SUMIFS('Калькуляция (МСА)'!$AE$25:$AE$103,'Калькуляция (МСА)'!$F$25:$F$103,$F85,'Калькуляция (МСА)'!$G$25:$G$103,$G85),_xlfn.SUMIFS(INDEX('Калькуляция (МИ)'!$AJ$25:$BC$603,,MATCH(AV$8,'Калькуляция (МИ)'!$AJ$8:$BC$8,0)),'Калькуляция (МИ)'!$F$25:$F$603,$F85,'Калькуляция (МИ)'!$G$25:$G$603,$G85))))</f>
        <v>0</v>
      </c>
      <c r="AW85" s="4611">
        <f>IF(AND(method_reg="Метод индексации",god&lt;&gt;first_year),_xlfn.SUMIFS(INDEX('Калькуляция (МИ корр)'!$AJ$25:$BC$606,,MATCH(AW$8,'Калькуляция (МИ корр)'!$AJ$8:$BC$8,0)),'Калькуляция (МИ корр)'!$F$25:$F$606,$F85,'Калькуляция (МИ корр)'!$G$25:$G$606,$G85),IF(method_reg="Метод экономически обоснованных расходов",_xlfn.SUMIFS('Калькуляция (МЭОР)'!$AK$25:$AK$367,'Калькуляция (МЭОР)'!$F$25:$F$367,$F85,'Калькуляция (МЭОР)'!$G$25:$G$367,$G85),IF(method_reg="Метод сравнения аналогов",_xlfn.SUMIFS('Калькуляция (МСА)'!$AF$25:$AF$103,'Калькуляция (МСА)'!$F$25:$F$103,$F85,'Калькуляция (МСА)'!$G$25:$G$103,$G85),_xlfn.SUMIFS(INDEX('Калькуляция (МИ)'!$AJ$25:$BC$603,,MATCH(AW$8,'Калькуляция (МИ)'!$AJ$8:$BC$8,0)),'Калькуляция (МИ)'!$F$25:$F$603,$F85,'Калькуляция (МИ)'!$G$25:$G$603,$G85))))</f>
        <v>0</v>
      </c>
      <c r="AX85" s="292">
        <f>IF(AV85=0,0,(AW85-AV85)/AV85*100)</f>
        <v>0</v>
      </c>
      <c r="AY85" s="4611">
        <f>IF(AND(method_reg="Метод индексации",god&lt;&gt;first_year),_xlfn.SUMIFS(INDEX('Калькуляция (МИ корр)'!$AJ$25:$BC$606,,MATCH(AY$8,'Калькуляция (МИ корр)'!$AJ$8:$BC$8,0)),'Калькуляция (МИ корр)'!$F$25:$F$606,$F85,'Калькуляция (МИ корр)'!$G$25:$G$606,$G85),IF(method_reg="Метод экономически обоснованных расходов",_xlfn.SUMIFS('Калькуляция (МЭОР)'!$AJ$25:$AJ$367,'Калькуляция (МЭОР)'!$F$25:$F$367,$F85,'Калькуляция (МЭОР)'!$G$25:$G$367,$G85),IF(method_reg="Метод сравнения аналогов",_xlfn.SUMIFS('Калькуляция (МСА)'!$AE$25:$AE$103,'Калькуляция (МСА)'!$F$25:$F$103,$F85,'Калькуляция (МСА)'!$G$25:$G$103,$G85),_xlfn.SUMIFS(INDEX('Калькуляция (МИ)'!$AJ$25:$BC$603,,MATCH(AY$8,'Калькуляция (МИ)'!$AJ$8:$BC$8,0)),'Калькуляция (МИ)'!$F$25:$F$603,$F85,'Калькуляция (МИ)'!$G$25:$G$603,$G85))))</f>
        <v>0</v>
      </c>
      <c r="AZ85" s="4611">
        <f>IF(AND(method_reg="Метод индексации",god&lt;&gt;first_year),_xlfn.SUMIFS(INDEX('Калькуляция (МИ корр)'!$AJ$25:$BC$606,,MATCH(AZ$8,'Калькуляция (МИ корр)'!$AJ$8:$BC$8,0)),'Калькуляция (МИ корр)'!$F$25:$F$606,$F85,'Калькуляция (МИ корр)'!$G$25:$G$606,$G85),IF(method_reg="Метод экономически обоснованных расходов",_xlfn.SUMIFS('Калькуляция (МЭОР)'!$AK$25:$AK$367,'Калькуляция (МЭОР)'!$F$25:$F$367,$F85,'Калькуляция (МЭОР)'!$G$25:$G$367,$G85),IF(method_reg="Метод сравнения аналогов",_xlfn.SUMIFS('Калькуляция (МСА)'!$AF$25:$AF$103,'Калькуляция (МСА)'!$F$25:$F$103,$F85,'Калькуляция (МСА)'!$G$25:$G$103,$G85),_xlfn.SUMIFS(INDEX('Калькуляция (МИ)'!$AJ$25:$BC$603,,MATCH(AZ$8,'Калькуляция (МИ)'!$AJ$8:$BC$8,0)),'Калькуляция (МИ)'!$F$25:$F$603,$F85,'Калькуляция (МИ)'!$G$25:$G$603,$G85))))</f>
        <v>0</v>
      </c>
      <c r="BA85" s="292">
        <f>IF(AY85=0,0,(AZ85-AY85)/AY85*100)</f>
        <v>0</v>
      </c>
      <c r="BB85" s="4611">
        <f>IF(AND(method_reg="Метод индексации",god&lt;&gt;first_year),_xlfn.SUMIFS(INDEX('Калькуляция (МИ корр)'!$AJ$25:$BC$606,,MATCH(BB$8,'Калькуляция (МИ корр)'!$AJ$8:$BC$8,0)),'Калькуляция (МИ корр)'!$F$25:$F$606,$F85,'Калькуляция (МИ корр)'!$G$25:$G$606,$G85),IF(method_reg="Метод экономически обоснованных расходов",_xlfn.SUMIFS('Калькуляция (МЭОР)'!$AJ$25:$AJ$367,'Калькуляция (МЭОР)'!$F$25:$F$367,$F85,'Калькуляция (МЭОР)'!$G$25:$G$367,$G85),IF(method_reg="Метод сравнения аналогов",_xlfn.SUMIFS('Калькуляция (МСА)'!$AE$25:$AE$103,'Калькуляция (МСА)'!$F$25:$F$103,$F85,'Калькуляция (МСА)'!$G$25:$G$103,$G85),_xlfn.SUMIFS(INDEX('Калькуляция (МИ)'!$AJ$25:$BC$603,,MATCH(BB$8,'Калькуляция (МИ)'!$AJ$8:$BC$8,0)),'Калькуляция (МИ)'!$F$25:$F$603,$F85,'Калькуляция (МИ)'!$G$25:$G$603,$G85))))</f>
        <v>0</v>
      </c>
      <c r="BC85" s="4611">
        <f>IF(AND(method_reg="Метод индексации",god&lt;&gt;first_year),_xlfn.SUMIFS(INDEX('Калькуляция (МИ корр)'!$AJ$25:$BC$606,,MATCH(BC$8,'Калькуляция (МИ корр)'!$AJ$8:$BC$8,0)),'Калькуляция (МИ корр)'!$F$25:$F$606,$F85,'Калькуляция (МИ корр)'!$G$25:$G$606,$G85),IF(method_reg="Метод экономически обоснованных расходов",_xlfn.SUMIFS('Калькуляция (МЭОР)'!$AK$25:$AK$367,'Калькуляция (МЭОР)'!$F$25:$F$367,$F85,'Калькуляция (МЭОР)'!$G$25:$G$367,$G85),IF(method_reg="Метод сравнения аналогов",_xlfn.SUMIFS('Калькуляция (МСА)'!$AF$25:$AF$103,'Калькуляция (МСА)'!$F$25:$F$103,$F85,'Калькуляция (МСА)'!$G$25:$G$103,$G85),_xlfn.SUMIFS(INDEX('Калькуляция (МИ)'!$AJ$25:$BC$603,,MATCH(BC$8,'Калькуляция (МИ)'!$AJ$8:$BC$8,0)),'Калькуляция (МИ)'!$F$25:$F$603,$F85,'Калькуляция (МИ)'!$G$25:$G$603,$G85))))</f>
        <v>0</v>
      </c>
      <c r="BD85" s="292">
        <f>IF(BB85=0,0,(BC85-BB85)/BB85*100)</f>
        <v>0</v>
      </c>
      <c r="BE85" s="4611">
        <f>IF(AND(method_reg="Метод индексации",god&lt;&gt;first_year),_xlfn.SUMIFS(INDEX('Калькуляция (МИ корр)'!$AJ$25:$BC$606,,MATCH(BE$8,'Калькуляция (МИ корр)'!$AJ$8:$BC$8,0)),'Калькуляция (МИ корр)'!$F$25:$F$606,$F85,'Калькуляция (МИ корр)'!$G$25:$G$606,$G85),IF(method_reg="Метод экономически обоснованных расходов",_xlfn.SUMIFS('Калькуляция (МЭОР)'!$AJ$25:$AJ$367,'Калькуляция (МЭОР)'!$F$25:$F$367,$F85,'Калькуляция (МЭОР)'!$G$25:$G$367,$G85),IF(method_reg="Метод сравнения аналогов",_xlfn.SUMIFS('Калькуляция (МСА)'!$AE$25:$AE$103,'Калькуляция (МСА)'!$F$25:$F$103,$F85,'Калькуляция (МСА)'!$G$25:$G$103,$G85),_xlfn.SUMIFS(INDEX('Калькуляция (МИ)'!$AJ$25:$BC$603,,MATCH(BE$8,'Калькуляция (МИ)'!$AJ$8:$BC$8,0)),'Калькуляция (МИ)'!$F$25:$F$603,$F85,'Калькуляция (МИ)'!$G$25:$G$603,$G85))))</f>
        <v>0</v>
      </c>
      <c r="BF85" s="4611">
        <f>IF(AND(method_reg="Метод индексации",god&lt;&gt;first_year),_xlfn.SUMIFS(INDEX('Калькуляция (МИ корр)'!$AJ$25:$BC$606,,MATCH(BF$8,'Калькуляция (МИ корр)'!$AJ$8:$BC$8,0)),'Калькуляция (МИ корр)'!$F$25:$F$606,$F85,'Калькуляция (МИ корр)'!$G$25:$G$606,$G85),IF(method_reg="Метод экономически обоснованных расходов",_xlfn.SUMIFS('Калькуляция (МЭОР)'!$AK$25:$AK$367,'Калькуляция (МЭОР)'!$F$25:$F$367,$F85,'Калькуляция (МЭОР)'!$G$25:$G$367,$G85),IF(method_reg="Метод сравнения аналогов",_xlfn.SUMIFS('Калькуляция (МСА)'!$AF$25:$AF$103,'Калькуляция (МСА)'!$F$25:$F$103,$F85,'Калькуляция (МСА)'!$G$25:$G$103,$G85),_xlfn.SUMIFS(INDEX('Калькуляция (МИ)'!$AJ$25:$BC$603,,MATCH(BF$8,'Калькуляция (МИ)'!$AJ$8:$BC$8,0)),'Калькуляция (МИ)'!$F$25:$F$603,$F85,'Калькуляция (МИ)'!$G$25:$G$603,$G85))))</f>
        <v>0</v>
      </c>
      <c r="BG85" s="292">
        <f>IF(BE85=0,0,(BF85-BE85)/BE85*100)</f>
        <v>0</v>
      </c>
      <c r="BH85" s="4611"/>
      <c r="BI85" s="4611"/>
      <c r="BJ85" s="292">
        <f>IF(BH85=0,0,(BI85-BH85)/BH85*100)</f>
        <v>0</v>
      </c>
      <c r="BK85" s="4611"/>
      <c r="BL85" s="4611"/>
      <c r="BM85" s="292">
        <f>IF(BK85=0,0,(BL85-BK85)/BK85*100)</f>
        <v>0</v>
      </c>
      <c r="BN85" s="4611"/>
      <c r="BO85" s="4611"/>
      <c r="BP85" s="292">
        <f>IF(BN85=0,0,(BO85-BN85)/BN85*100)</f>
        <v>0</v>
      </c>
      <c r="BQ85" s="4611"/>
      <c r="BR85" s="4611"/>
      <c r="BS85" s="292">
        <f>IF(BQ85=0,0,(BR85-BQ85)/BQ85*100)</f>
        <v>0</v>
      </c>
      <c r="BT85" s="4611"/>
      <c r="BU85" s="4611"/>
      <c r="BV85" s="292">
        <f>IF(BT85=0,0,(BU85-BT85)/BT85*100)</f>
        <v>0</v>
      </c>
      <c r="BW85" s="4611"/>
      <c r="BX85" s="4611"/>
      <c r="BY85" s="292">
        <f>IF(BW85=0,0,(BX85-BW85)/BW85*100)</f>
        <v>0</v>
      </c>
      <c r="BZ85" s="4611"/>
      <c r="CA85" s="4611"/>
      <c r="CB85" s="292">
        <f>IF(BZ85=0,0,(CA85-BZ85)/BZ85*100)</f>
        <v>0</v>
      </c>
      <c r="CC85" s="4611"/>
      <c r="CD85" s="4611"/>
      <c r="CE85" s="292">
        <f>IF(CC85=0,0,(CD85-CC85)/CC85*100)</f>
        <v>0</v>
      </c>
      <c r="CF85" s="4611"/>
      <c r="CG85" s="4611"/>
      <c r="CH85" s="292">
        <f>IF(CF85=0,0,(CG85-CF85)/CF85*100)</f>
        <v>0</v>
      </c>
      <c r="CI85" s="4611"/>
      <c r="CJ85" s="4611"/>
      <c r="CK85" s="292">
        <f>IF(CI85=0,0,(CJ85-CI85)/CI85*100)</f>
        <v>0</v>
      </c>
      <c r="CL85" s="4611"/>
      <c r="CM85" s="4611"/>
      <c r="CN85" s="292">
        <f>IF(CL85=0,0,(CM85-CL85)/CL85*100)</f>
        <v>0</v>
      </c>
      <c r="CO85" s="4611"/>
      <c r="CP85" s="4611"/>
      <c r="CQ85" s="292">
        <f>IF(CO85=0,0,(CP85-CO85)/CO85*100)</f>
        <v>0</v>
      </c>
      <c r="CR85" s="4611"/>
      <c r="CS85" s="4611"/>
      <c r="CT85" s="292">
        <f>IF(CR85=0,0,(CS85-CR85)/CR85*100)</f>
        <v>0</v>
      </c>
      <c r="CU85" s="4611"/>
      <c r="CV85" s="4611"/>
      <c r="CW85" s="292">
        <f>IF(CU85=0,0,(CV85-CU85)/CU85*100)</f>
        <v>0</v>
      </c>
      <c r="CX85" s="4611"/>
      <c r="CY85" s="4611"/>
      <c r="CZ85" s="292">
        <f>IF(CX85=0,0,(CY85-CX85)/CX85*100)</f>
        <v>0</v>
      </c>
      <c r="DA85" s="4611"/>
      <c r="DB85" s="4611"/>
      <c r="DC85" s="292">
        <f>IF(DA85=0,0,(DB85-DA85)/DA85*100)</f>
        <v>0</v>
      </c>
      <c r="DD85" s="4611"/>
      <c r="DE85" s="4611"/>
      <c r="DF85" s="292">
        <f>IF(DD85=0,0,(DE85-DD85)/DD85*100)</f>
        <v>0</v>
      </c>
      <c r="DG85" s="4611"/>
      <c r="DH85" s="4611"/>
      <c r="DI85" s="292">
        <f>IF(DG85=0,0,(DH85-DG85)/DG85*100)</f>
        <v>0</v>
      </c>
      <c r="DJ85" s="4611"/>
      <c r="DK85" s="4611"/>
      <c r="DL85" s="292">
        <f>IF(DJ85=0,0,(DK85-DJ85)/DJ85*100)</f>
        <v>0</v>
      </c>
      <c r="DM85" s="4611"/>
      <c r="DN85" s="4611"/>
      <c r="DO85" s="292">
        <f>IF(DM85=0,0,(DN85-DM85)/DM85*100)</f>
        <v>0</v>
      </c>
      <c r="DP85" s="4611"/>
      <c r="DQ85" s="4611"/>
      <c r="DR85" s="292">
        <f>IF(DP85=0,0,(DQ85-DP85)/DP85*100)</f>
        <v>0</v>
      </c>
      <c r="DS85" s="4611"/>
      <c r="DT85" s="4611"/>
      <c r="DU85" s="292">
        <f>IF(DS85=0,0,(DT85-DS85)/DS85*100)</f>
        <v>0</v>
      </c>
      <c r="DV85" s="4611"/>
      <c r="DW85" s="4611"/>
      <c r="DX85" s="292">
        <f>IF(DV85=0,0,(DW85-DV85)/DV85*100)</f>
        <v>0</v>
      </c>
      <c r="DY85" s="4611"/>
      <c r="DZ85" s="4611"/>
      <c r="EA85" s="292">
        <f>IF(DY85=0,0,(DZ85-DY85)/DY85*100)</f>
        <v>0</v>
      </c>
      <c r="EB85" s="4611"/>
      <c r="EC85" s="4611"/>
      <c r="ED85" s="292">
        <f>IF(EB85=0,0,(EC85-EB85)/EB85*100)</f>
        <v>0</v>
      </c>
      <c r="EE85" s="4611"/>
      <c r="EF85" s="4611"/>
      <c r="EG85" s="292">
        <f>IF(EE85=0,0,(EF85-EE85)/EE85*100)</f>
        <v>0</v>
      </c>
      <c r="EH85" s="4611"/>
      <c r="EI85" s="4611"/>
      <c r="EJ85" s="292">
        <f>IF(EH85=0,0,(EI85-EH85)/EH85*100)</f>
        <v>0</v>
      </c>
      <c r="EK85" s="4611"/>
      <c r="EL85" s="4611"/>
      <c r="EM85" s="292">
        <f>IF(EK85=0,0,(EL85-EK85)/EK85*100)</f>
        <v>0</v>
      </c>
      <c r="EN85" s="4611"/>
      <c r="EO85" s="4611"/>
      <c r="EP85" s="292">
        <f>IF(EN85=0,0,(EO85-EN85)/EN85*100)</f>
        <v>0</v>
      </c>
      <c r="EQ85" s="4611"/>
      <c r="ER85" s="4611"/>
      <c r="ES85" s="292">
        <f>IF(EQ85=0,0,(ER85-EQ85)/EQ85*100)</f>
        <v>0</v>
      </c>
      <c r="ET85" s="4611"/>
      <c r="EU85" s="4611"/>
      <c r="EV85" s="292">
        <f>IF(ET85=0,0,(EU85-ET85)/ET85*100)</f>
        <v>0</v>
      </c>
      <c r="EW85" s="4611"/>
      <c r="EX85" s="4611"/>
      <c r="EY85" s="292">
        <f>IF(EW85=0,0,(EX85-EW85)/EW85*100)</f>
        <v>0</v>
      </c>
      <c r="EZ85" s="4611"/>
      <c r="FA85" s="4611"/>
      <c r="FB85" s="292">
        <f>IF(EZ85=0,0,(FA85-EZ85)/EZ85*100)</f>
        <v>0</v>
      </c>
      <c r="FC85" s="4611"/>
      <c r="FD85" s="4611"/>
      <c r="FE85" s="292">
        <f>IF(FC85=0,0,(FD85-FC85)/FC85*100)</f>
        <v>0</v>
      </c>
      <c r="FF85" s="4611"/>
      <c r="FG85" s="4611"/>
      <c r="FH85" s="292">
        <f>IF(FF85=0,0,(FG85-FF85)/FF85*100)</f>
        <v>0</v>
      </c>
      <c r="FI85" s="4611"/>
      <c r="FJ85" s="4611"/>
      <c r="FK85" s="292">
        <f>IF(FI85=0,0,(FJ85-FI85)/FI85*100)</f>
        <v>0</v>
      </c>
      <c r="FL85" s="4611"/>
      <c r="FM85" s="4611"/>
      <c r="FN85" s="292">
        <f>IF(FL85=0,0,(FM85-FL85)/FL85*100)</f>
        <v>0</v>
      </c>
      <c r="FO85" s="4611"/>
      <c r="FP85" s="4611"/>
      <c r="FQ85" s="292">
        <f>IF(FO85=0,0,(FP85-FO85)/FO85*100)</f>
        <v>0</v>
      </c>
      <c r="FR85" s="4611"/>
      <c r="FS85" s="4611"/>
      <c r="FT85" s="292">
        <f>IF(FR85=0,0,(FS85-FR85)/FR85*100)</f>
        <v>0</v>
      </c>
      <c r="FU85" s="4611"/>
      <c r="FV85" s="4611"/>
      <c r="FW85" s="292">
        <f>IF(FU85=0,0,(FV85-FU85)/FU85*100)</f>
        <v>0</v>
      </c>
      <c r="FX85" s="288"/>
      <c r="FY85" s="288"/>
      <c r="FZ85" s="1063" t="s">
        <v>1942</v>
      </c>
      <c r="GA85" s="1063"/>
      <c r="GB85" s="1063"/>
      <c r="GC85" s="1064"/>
      <c r="GD85" s="1064"/>
    </row>
    <row s="288" customFormat="1" customHeight="1" ht="23.887500000000003" hidden="1">
      <c r="A86" s="904"/>
      <c r="B86" s="932" cm="1" t="str">
        <f t="array" ref="B86:B86">B85</f>
        <v>false</v>
      </c>
      <c r="C86" s="904"/>
      <c r="D86" s="904"/>
      <c r="E86" s="847">
        <v>24.5</v>
      </c>
      <c r="F86" s="50" cm="1" t="str">
        <f t="array" ref="F86:F86">OFFSET(E86,-1,1)</f>
        <v>0</v>
      </c>
      <c r="G86" s="103" t="s">
        <v>1864</v>
      </c>
      <c r="H86" s="496" t="s">
        <v>566</v>
      </c>
      <c r="I86" s="496" t="s">
        <v>1943</v>
      </c>
      <c r="J86" s="904"/>
      <c r="K86" s="904"/>
      <c r="L86" s="904"/>
      <c r="M86" s="904"/>
      <c r="N86" s="904"/>
      <c r="O86" s="904"/>
      <c r="P86" s="904"/>
      <c r="Q86" s="904"/>
      <c r="R86" s="904"/>
      <c r="S86" s="496"/>
      <c r="T86" s="468" cm="1" t="str">
        <f t="array" ref="T86:T86">T85</f>
        <v>false</v>
      </c>
      <c r="U86" s="904"/>
      <c r="V86" s="904"/>
      <c r="W86" s="904"/>
      <c r="X86" s="1559"/>
      <c r="Y86" s="904"/>
      <c r="Z86" s="1528"/>
      <c r="AA86" s="904"/>
      <c r="AB86" s="215" t="s">
        <v>1944</v>
      </c>
      <c r="AC86" s="230" t="s">
        <v>1862</v>
      </c>
      <c r="AD86" s="4611">
        <f>IF(AND(method_reg="Метод индексации",god&lt;&gt;first_year),_xlfn.SUMIFS(INDEX('Калькуляция (МИ корр)'!$AJ$25:$BC$606,,MATCH(AD$8,'Калькуляция (МИ корр)'!$AJ$8:$BC$8,0)),'Калькуляция (МИ корр)'!$F$25:$F$606,$F86,'Калькуляция (МИ корр)'!$G$25:$G$606,$G86),IF(method_reg="Метод экономически обоснованных расходов",_xlfn.SUMIFS('Калькуляция (МЭОР)'!$AJ$25:$AJ$367,'Калькуляция (МЭОР)'!$F$25:$F$367,$F86,'Калькуляция (МЭОР)'!$G$25:$G$367,$G86),IF(method_reg="Метод сравнения аналогов",_xlfn.SUMIFS('Калькуляция (МСА)'!$AE$25:$AE$103,'Калькуляция (МСА)'!$F$25:$F$103,$F86,'Калькуляция (МСА)'!$G$25:$G$103,$G86),_xlfn.SUMIFS(INDEX('Калькуляция (МИ)'!$AJ$25:$BC$603,,MATCH(AD$8,'Калькуляция (МИ)'!$AJ$8:$BC$8,0)),'Калькуляция (МИ)'!$F$25:$F$603,$F86,'Калькуляция (МИ)'!$G$25:$G$603,$G86))))</f>
        <v>0</v>
      </c>
      <c r="AE86" s="4611">
        <f>IF(AND(method_reg="Метод индексации",god&lt;&gt;first_year),_xlfn.SUMIFS(INDEX('Калькуляция (МИ корр)'!$AJ$25:$BC$606,,MATCH(AE$8,'Калькуляция (МИ корр)'!$AJ$8:$BC$8,0)),'Калькуляция (МИ корр)'!$F$25:$F$606,$F86,'Калькуляция (МИ корр)'!$G$25:$G$606,$G86),IF(method_reg="Метод экономически обоснованных расходов",_xlfn.SUMIFS('Калькуляция (МЭОР)'!$AK$25:$AK$367,'Калькуляция (МЭОР)'!$F$25:$F$367,$F86,'Калькуляция (МЭОР)'!$G$25:$G$367,$G86),IF(method_reg="Метод сравнения аналогов",_xlfn.SUMIFS('Калькуляция (МСА)'!$AF$25:$AF$103,'Калькуляция (МСА)'!$F$25:$F$103,$F86,'Калькуляция (МСА)'!$G$25:$G$103,$G86),_xlfn.SUMIFS(INDEX('Калькуляция (МИ)'!$AJ$25:$BC$603,,MATCH(AE$8,'Калькуляция (МИ)'!$AJ$8:$BC$8,0)),'Калькуляция (МИ)'!$F$25:$F$603,$F86,'Калькуляция (МИ)'!$G$25:$G$603,$G86))))</f>
        <v>0</v>
      </c>
      <c r="AF86" s="292">
        <f>IF(AD86=0,0,(AE86-AD86)/AD86*100)</f>
        <v>0</v>
      </c>
      <c r="AG86" s="4611">
        <f>IF(AND(method_reg="Метод индексации",god&lt;&gt;first_year),_xlfn.SUMIFS(INDEX('Калькуляция (МИ корр)'!$AJ$25:$BC$606,,MATCH(AG$8,'Калькуляция (МИ корр)'!$AJ$8:$BC$8,0)),'Калькуляция (МИ корр)'!$F$25:$F$606,$F86,'Калькуляция (МИ корр)'!$G$25:$G$606,$G86),IF(method_reg="Метод экономически обоснованных расходов",_xlfn.SUMIFS('Калькуляция (МЭОР)'!$AJ$25:$AJ$367,'Калькуляция (МЭОР)'!$F$25:$F$367,$F86,'Калькуляция (МЭОР)'!$G$25:$G$367,$G86),IF(method_reg="Метод сравнения аналогов",_xlfn.SUMIFS('Калькуляция (МСА)'!$AE$25:$AE$103,'Калькуляция (МСА)'!$F$25:$F$103,$F86,'Калькуляция (МСА)'!$G$25:$G$103,$G86),_xlfn.SUMIFS(INDEX('Калькуляция (МИ)'!$AJ$25:$BC$603,,MATCH(AG$8,'Калькуляция (МИ)'!$AJ$8:$BC$8,0)),'Калькуляция (МИ)'!$F$25:$F$603,$F86,'Калькуляция (МИ)'!$G$25:$G$603,$G86))))</f>
        <v>0</v>
      </c>
      <c r="AH86" s="4611">
        <f>IF(AND(method_reg="Метод индексации",god&lt;&gt;first_year),_xlfn.SUMIFS(INDEX('Калькуляция (МИ корр)'!$AJ$25:$BC$606,,MATCH(AH$8,'Калькуляция (МИ корр)'!$AJ$8:$BC$8,0)),'Калькуляция (МИ корр)'!$F$25:$F$606,$F86,'Калькуляция (МИ корр)'!$G$25:$G$606,$G86),IF(method_reg="Метод экономически обоснованных расходов",_xlfn.SUMIFS('Калькуляция (МЭОР)'!$AK$25:$AK$367,'Калькуляция (МЭОР)'!$F$25:$F$367,$F86,'Калькуляция (МЭОР)'!$G$25:$G$367,$G86),IF(method_reg="Метод сравнения аналогов",_xlfn.SUMIFS('Калькуляция (МСА)'!$AF$25:$AF$103,'Калькуляция (МСА)'!$F$25:$F$103,$F86,'Калькуляция (МСА)'!$G$25:$G$103,$G86),_xlfn.SUMIFS(INDEX('Калькуляция (МИ)'!$AJ$25:$BC$603,,MATCH(AH$8,'Калькуляция (МИ)'!$AJ$8:$BC$8,0)),'Калькуляция (МИ)'!$F$25:$F$603,$F86,'Калькуляция (МИ)'!$G$25:$G$603,$G86))))</f>
        <v>0</v>
      </c>
      <c r="AI86" s="292">
        <f>IF(AG86=0,0,(AH86-AG86)/AG86*100)</f>
        <v>0</v>
      </c>
      <c r="AJ86" s="4611">
        <f>IF(AND(method_reg="Метод индексации",god&lt;&gt;first_year),_xlfn.SUMIFS(INDEX('Калькуляция (МИ корр)'!$AJ$25:$BC$606,,MATCH(AJ$8,'Калькуляция (МИ корр)'!$AJ$8:$BC$8,0)),'Калькуляция (МИ корр)'!$F$25:$F$606,$F86,'Калькуляция (МИ корр)'!$G$25:$G$606,$G86),IF(method_reg="Метод экономически обоснованных расходов",_xlfn.SUMIFS('Калькуляция (МЭОР)'!$AJ$25:$AJ$367,'Калькуляция (МЭОР)'!$F$25:$F$367,$F86,'Калькуляция (МЭОР)'!$G$25:$G$367,$G86),IF(method_reg="Метод сравнения аналогов",_xlfn.SUMIFS('Калькуляция (МСА)'!$AE$25:$AE$103,'Калькуляция (МСА)'!$F$25:$F$103,$F86,'Калькуляция (МСА)'!$G$25:$G$103,$G86),_xlfn.SUMIFS(INDEX('Калькуляция (МИ)'!$AJ$25:$BC$603,,MATCH(AJ$8,'Калькуляция (МИ)'!$AJ$8:$BC$8,0)),'Калькуляция (МИ)'!$F$25:$F$603,$F86,'Калькуляция (МИ)'!$G$25:$G$603,$G86))))</f>
        <v>0</v>
      </c>
      <c r="AK86" s="4611">
        <f>IF(AND(method_reg="Метод индексации",god&lt;&gt;first_year),_xlfn.SUMIFS(INDEX('Калькуляция (МИ корр)'!$AJ$25:$BC$606,,MATCH(AK$8,'Калькуляция (МИ корр)'!$AJ$8:$BC$8,0)),'Калькуляция (МИ корр)'!$F$25:$F$606,$F86,'Калькуляция (МИ корр)'!$G$25:$G$606,$G86),IF(method_reg="Метод экономически обоснованных расходов",_xlfn.SUMIFS('Калькуляция (МЭОР)'!$AK$25:$AK$367,'Калькуляция (МЭОР)'!$F$25:$F$367,$F86,'Калькуляция (МЭОР)'!$G$25:$G$367,$G86),IF(method_reg="Метод сравнения аналогов",_xlfn.SUMIFS('Калькуляция (МСА)'!$AF$25:$AF$103,'Калькуляция (МСА)'!$F$25:$F$103,$F86,'Калькуляция (МСА)'!$G$25:$G$103,$G86),_xlfn.SUMIFS(INDEX('Калькуляция (МИ)'!$AJ$25:$BC$603,,MATCH(AK$8,'Калькуляция (МИ)'!$AJ$8:$BC$8,0)),'Калькуляция (МИ)'!$F$25:$F$603,$F86,'Калькуляция (МИ)'!$G$25:$G$603,$G86))))</f>
        <v>0</v>
      </c>
      <c r="AL86" s="292">
        <f>IF(AJ86=0,0,(AK86-AJ86)/AJ86*100)</f>
        <v>0</v>
      </c>
      <c r="AM86" s="4611">
        <f>IF(AND(method_reg="Метод индексации",god&lt;&gt;first_year),_xlfn.SUMIFS(INDEX('Калькуляция (МИ корр)'!$AJ$25:$BC$606,,MATCH(AM$8,'Калькуляция (МИ корр)'!$AJ$8:$BC$8,0)),'Калькуляция (МИ корр)'!$F$25:$F$606,$F86,'Калькуляция (МИ корр)'!$G$25:$G$606,$G86),IF(method_reg="Метод экономически обоснованных расходов",_xlfn.SUMIFS('Калькуляция (МЭОР)'!$AJ$25:$AJ$367,'Калькуляция (МЭОР)'!$F$25:$F$367,$F86,'Калькуляция (МЭОР)'!$G$25:$G$367,$G86),IF(method_reg="Метод сравнения аналогов",_xlfn.SUMIFS('Калькуляция (МСА)'!$AE$25:$AE$103,'Калькуляция (МСА)'!$F$25:$F$103,$F86,'Калькуляция (МСА)'!$G$25:$G$103,$G86),_xlfn.SUMIFS(INDEX('Калькуляция (МИ)'!$AJ$25:$BC$603,,MATCH(AM$8,'Калькуляция (МИ)'!$AJ$8:$BC$8,0)),'Калькуляция (МИ)'!$F$25:$F$603,$F86,'Калькуляция (МИ)'!$G$25:$G$603,$G86))))</f>
        <v>0</v>
      </c>
      <c r="AN86" s="4611">
        <f>IF(AND(method_reg="Метод индексации",god&lt;&gt;first_year),_xlfn.SUMIFS(INDEX('Калькуляция (МИ корр)'!$AJ$25:$BC$606,,MATCH(AN$8,'Калькуляция (МИ корр)'!$AJ$8:$BC$8,0)),'Калькуляция (МИ корр)'!$F$25:$F$606,$F86,'Калькуляция (МИ корр)'!$G$25:$G$606,$G86),IF(method_reg="Метод экономически обоснованных расходов",_xlfn.SUMIFS('Калькуляция (МЭОР)'!$AK$25:$AK$367,'Калькуляция (МЭОР)'!$F$25:$F$367,$F86,'Калькуляция (МЭОР)'!$G$25:$G$367,$G86),IF(method_reg="Метод сравнения аналогов",_xlfn.SUMIFS('Калькуляция (МСА)'!$AF$25:$AF$103,'Калькуляция (МСА)'!$F$25:$F$103,$F86,'Калькуляция (МСА)'!$G$25:$G$103,$G86),_xlfn.SUMIFS(INDEX('Калькуляция (МИ)'!$AJ$25:$BC$603,,MATCH(AN$8,'Калькуляция (МИ)'!$AJ$8:$BC$8,0)),'Калькуляция (МИ)'!$F$25:$F$603,$F86,'Калькуляция (МИ)'!$G$25:$G$603,$G86))))</f>
        <v>0</v>
      </c>
      <c r="AO86" s="292">
        <f>IF(AM86=0,0,(AN86-AM86)/AM86*100)</f>
        <v>0</v>
      </c>
      <c r="AP86" s="4611">
        <f>IF(AND(method_reg="Метод индексации",god&lt;&gt;first_year),_xlfn.SUMIFS(INDEX('Калькуляция (МИ корр)'!$AJ$25:$BC$606,,MATCH(AP$8,'Калькуляция (МИ корр)'!$AJ$8:$BC$8,0)),'Калькуляция (МИ корр)'!$F$25:$F$606,$F86,'Калькуляция (МИ корр)'!$G$25:$G$606,$G86),IF(method_reg="Метод экономически обоснованных расходов",_xlfn.SUMIFS('Калькуляция (МЭОР)'!$AJ$25:$AJ$367,'Калькуляция (МЭОР)'!$F$25:$F$367,$F86,'Калькуляция (МЭОР)'!$G$25:$G$367,$G86),IF(method_reg="Метод сравнения аналогов",_xlfn.SUMIFS('Калькуляция (МСА)'!$AE$25:$AE$103,'Калькуляция (МСА)'!$F$25:$F$103,$F86,'Калькуляция (МСА)'!$G$25:$G$103,$G86),_xlfn.SUMIFS(INDEX('Калькуляция (МИ)'!$AJ$25:$BC$603,,MATCH(AP$8,'Калькуляция (МИ)'!$AJ$8:$BC$8,0)),'Калькуляция (МИ)'!$F$25:$F$603,$F86,'Калькуляция (МИ)'!$G$25:$G$603,$G86))))</f>
        <v>0</v>
      </c>
      <c r="AQ86" s="4611">
        <f>IF(AND(method_reg="Метод индексации",god&lt;&gt;first_year),_xlfn.SUMIFS(INDEX('Калькуляция (МИ корр)'!$AJ$25:$BC$606,,MATCH(AQ$8,'Калькуляция (МИ корр)'!$AJ$8:$BC$8,0)),'Калькуляция (МИ корр)'!$F$25:$F$606,$F86,'Калькуляция (МИ корр)'!$G$25:$G$606,$G86),IF(method_reg="Метод экономически обоснованных расходов",_xlfn.SUMIFS('Калькуляция (МЭОР)'!$AK$25:$AK$367,'Калькуляция (МЭОР)'!$F$25:$F$367,$F86,'Калькуляция (МЭОР)'!$G$25:$G$367,$G86),IF(method_reg="Метод сравнения аналогов",_xlfn.SUMIFS('Калькуляция (МСА)'!$AF$25:$AF$103,'Калькуляция (МСА)'!$F$25:$F$103,$F86,'Калькуляция (МСА)'!$G$25:$G$103,$G86),_xlfn.SUMIFS(INDEX('Калькуляция (МИ)'!$AJ$25:$BC$603,,MATCH(AQ$8,'Калькуляция (МИ)'!$AJ$8:$BC$8,0)),'Калькуляция (МИ)'!$F$25:$F$603,$F86,'Калькуляция (МИ)'!$G$25:$G$603,$G86))))</f>
        <v>0</v>
      </c>
      <c r="AR86" s="292">
        <f>IF(AP86=0,0,(AQ86-AP86)/AP86*100)</f>
        <v>0</v>
      </c>
      <c r="AS86" s="4611">
        <f>IF(AND(method_reg="Метод индексации",god&lt;&gt;first_year),_xlfn.SUMIFS(INDEX('Калькуляция (МИ корр)'!$AJ$25:$BC$606,,MATCH(AS$8,'Калькуляция (МИ корр)'!$AJ$8:$BC$8,0)),'Калькуляция (МИ корр)'!$F$25:$F$606,$F86,'Калькуляция (МИ корр)'!$G$25:$G$606,$G86),IF(method_reg="Метод экономически обоснованных расходов",_xlfn.SUMIFS('Калькуляция (МЭОР)'!$AJ$25:$AJ$367,'Калькуляция (МЭОР)'!$F$25:$F$367,$F86,'Калькуляция (МЭОР)'!$G$25:$G$367,$G86),IF(method_reg="Метод сравнения аналогов",_xlfn.SUMIFS('Калькуляция (МСА)'!$AE$25:$AE$103,'Калькуляция (МСА)'!$F$25:$F$103,$F86,'Калькуляция (МСА)'!$G$25:$G$103,$G86),_xlfn.SUMIFS(INDEX('Калькуляция (МИ)'!$AJ$25:$BC$603,,MATCH(AS$8,'Калькуляция (МИ)'!$AJ$8:$BC$8,0)),'Калькуляция (МИ)'!$F$25:$F$603,$F86,'Калькуляция (МИ)'!$G$25:$G$603,$G86))))</f>
        <v>0</v>
      </c>
      <c r="AT86" s="4611">
        <f>IF(AND(method_reg="Метод индексации",god&lt;&gt;first_year),_xlfn.SUMIFS(INDEX('Калькуляция (МИ корр)'!$AJ$25:$BC$606,,MATCH(AT$8,'Калькуляция (МИ корр)'!$AJ$8:$BC$8,0)),'Калькуляция (МИ корр)'!$F$25:$F$606,$F86,'Калькуляция (МИ корр)'!$G$25:$G$606,$G86),IF(method_reg="Метод экономически обоснованных расходов",_xlfn.SUMIFS('Калькуляция (МЭОР)'!$AK$25:$AK$367,'Калькуляция (МЭОР)'!$F$25:$F$367,$F86,'Калькуляция (МЭОР)'!$G$25:$G$367,$G86),IF(method_reg="Метод сравнения аналогов",_xlfn.SUMIFS('Калькуляция (МСА)'!$AF$25:$AF$103,'Калькуляция (МСА)'!$F$25:$F$103,$F86,'Калькуляция (МСА)'!$G$25:$G$103,$G86),_xlfn.SUMIFS(INDEX('Калькуляция (МИ)'!$AJ$25:$BC$603,,MATCH(AT$8,'Калькуляция (МИ)'!$AJ$8:$BC$8,0)),'Калькуляция (МИ)'!$F$25:$F$603,$F86,'Калькуляция (МИ)'!$G$25:$G$603,$G86))))</f>
        <v>0</v>
      </c>
      <c r="AU86" s="292">
        <f>IF(AS86=0,0,(AT86-AS86)/AS86*100)</f>
        <v>0</v>
      </c>
      <c r="AV86" s="4611">
        <f>IF(AND(method_reg="Метод индексации",god&lt;&gt;first_year),_xlfn.SUMIFS(INDEX('Калькуляция (МИ корр)'!$AJ$25:$BC$606,,MATCH(AV$8,'Калькуляция (МИ корр)'!$AJ$8:$BC$8,0)),'Калькуляция (МИ корр)'!$F$25:$F$606,$F86,'Калькуляция (МИ корр)'!$G$25:$G$606,$G86),IF(method_reg="Метод экономически обоснованных расходов",_xlfn.SUMIFS('Калькуляция (МЭОР)'!$AJ$25:$AJ$367,'Калькуляция (МЭОР)'!$F$25:$F$367,$F86,'Калькуляция (МЭОР)'!$G$25:$G$367,$G86),IF(method_reg="Метод сравнения аналогов",_xlfn.SUMIFS('Калькуляция (МСА)'!$AE$25:$AE$103,'Калькуляция (МСА)'!$F$25:$F$103,$F86,'Калькуляция (МСА)'!$G$25:$G$103,$G86),_xlfn.SUMIFS(INDEX('Калькуляция (МИ)'!$AJ$25:$BC$603,,MATCH(AV$8,'Калькуляция (МИ)'!$AJ$8:$BC$8,0)),'Калькуляция (МИ)'!$F$25:$F$603,$F86,'Калькуляция (МИ)'!$G$25:$G$603,$G86))))</f>
        <v>0</v>
      </c>
      <c r="AW86" s="4611">
        <f>IF(AND(method_reg="Метод индексации",god&lt;&gt;first_year),_xlfn.SUMIFS(INDEX('Калькуляция (МИ корр)'!$AJ$25:$BC$606,,MATCH(AW$8,'Калькуляция (МИ корр)'!$AJ$8:$BC$8,0)),'Калькуляция (МИ корр)'!$F$25:$F$606,$F86,'Калькуляция (МИ корр)'!$G$25:$G$606,$G86),IF(method_reg="Метод экономически обоснованных расходов",_xlfn.SUMIFS('Калькуляция (МЭОР)'!$AK$25:$AK$367,'Калькуляция (МЭОР)'!$F$25:$F$367,$F86,'Калькуляция (МЭОР)'!$G$25:$G$367,$G86),IF(method_reg="Метод сравнения аналогов",_xlfn.SUMIFS('Калькуляция (МСА)'!$AF$25:$AF$103,'Калькуляция (МСА)'!$F$25:$F$103,$F86,'Калькуляция (МСА)'!$G$25:$G$103,$G86),_xlfn.SUMIFS(INDEX('Калькуляция (МИ)'!$AJ$25:$BC$603,,MATCH(AW$8,'Калькуляция (МИ)'!$AJ$8:$BC$8,0)),'Калькуляция (МИ)'!$F$25:$F$603,$F86,'Калькуляция (МИ)'!$G$25:$G$603,$G86))))</f>
        <v>0</v>
      </c>
      <c r="AX86" s="292">
        <f>IF(AV86=0,0,(AW86-AV86)/AV86*100)</f>
        <v>0</v>
      </c>
      <c r="AY86" s="4611">
        <f>IF(AND(method_reg="Метод индексации",god&lt;&gt;first_year),_xlfn.SUMIFS(INDEX('Калькуляция (МИ корр)'!$AJ$25:$BC$606,,MATCH(AY$8,'Калькуляция (МИ корр)'!$AJ$8:$BC$8,0)),'Калькуляция (МИ корр)'!$F$25:$F$606,$F86,'Калькуляция (МИ корр)'!$G$25:$G$606,$G86),IF(method_reg="Метод экономически обоснованных расходов",_xlfn.SUMIFS('Калькуляция (МЭОР)'!$AJ$25:$AJ$367,'Калькуляция (МЭОР)'!$F$25:$F$367,$F86,'Калькуляция (МЭОР)'!$G$25:$G$367,$G86),IF(method_reg="Метод сравнения аналогов",_xlfn.SUMIFS('Калькуляция (МСА)'!$AE$25:$AE$103,'Калькуляция (МСА)'!$F$25:$F$103,$F86,'Калькуляция (МСА)'!$G$25:$G$103,$G86),_xlfn.SUMIFS(INDEX('Калькуляция (МИ)'!$AJ$25:$BC$603,,MATCH(AY$8,'Калькуляция (МИ)'!$AJ$8:$BC$8,0)),'Калькуляция (МИ)'!$F$25:$F$603,$F86,'Калькуляция (МИ)'!$G$25:$G$603,$G86))))</f>
        <v>0</v>
      </c>
      <c r="AZ86" s="4611">
        <f>IF(AND(method_reg="Метод индексации",god&lt;&gt;first_year),_xlfn.SUMIFS(INDEX('Калькуляция (МИ корр)'!$AJ$25:$BC$606,,MATCH(AZ$8,'Калькуляция (МИ корр)'!$AJ$8:$BC$8,0)),'Калькуляция (МИ корр)'!$F$25:$F$606,$F86,'Калькуляция (МИ корр)'!$G$25:$G$606,$G86),IF(method_reg="Метод экономически обоснованных расходов",_xlfn.SUMIFS('Калькуляция (МЭОР)'!$AK$25:$AK$367,'Калькуляция (МЭОР)'!$F$25:$F$367,$F86,'Калькуляция (МЭОР)'!$G$25:$G$367,$G86),IF(method_reg="Метод сравнения аналогов",_xlfn.SUMIFS('Калькуляция (МСА)'!$AF$25:$AF$103,'Калькуляция (МСА)'!$F$25:$F$103,$F86,'Калькуляция (МСА)'!$G$25:$G$103,$G86),_xlfn.SUMIFS(INDEX('Калькуляция (МИ)'!$AJ$25:$BC$603,,MATCH(AZ$8,'Калькуляция (МИ)'!$AJ$8:$BC$8,0)),'Калькуляция (МИ)'!$F$25:$F$603,$F86,'Калькуляция (МИ)'!$G$25:$G$603,$G86))))</f>
        <v>0</v>
      </c>
      <c r="BA86" s="292">
        <f>IF(AY86=0,0,(AZ86-AY86)/AY86*100)</f>
        <v>0</v>
      </c>
      <c r="BB86" s="4611">
        <f>IF(AND(method_reg="Метод индексации",god&lt;&gt;first_year),_xlfn.SUMIFS(INDEX('Калькуляция (МИ корр)'!$AJ$25:$BC$606,,MATCH(BB$8,'Калькуляция (МИ корр)'!$AJ$8:$BC$8,0)),'Калькуляция (МИ корр)'!$F$25:$F$606,$F86,'Калькуляция (МИ корр)'!$G$25:$G$606,$G86),IF(method_reg="Метод экономически обоснованных расходов",_xlfn.SUMIFS('Калькуляция (МЭОР)'!$AJ$25:$AJ$367,'Калькуляция (МЭОР)'!$F$25:$F$367,$F86,'Калькуляция (МЭОР)'!$G$25:$G$367,$G86),IF(method_reg="Метод сравнения аналогов",_xlfn.SUMIFS('Калькуляция (МСА)'!$AE$25:$AE$103,'Калькуляция (МСА)'!$F$25:$F$103,$F86,'Калькуляция (МСА)'!$G$25:$G$103,$G86),_xlfn.SUMIFS(INDEX('Калькуляция (МИ)'!$AJ$25:$BC$603,,MATCH(BB$8,'Калькуляция (МИ)'!$AJ$8:$BC$8,0)),'Калькуляция (МИ)'!$F$25:$F$603,$F86,'Калькуляция (МИ)'!$G$25:$G$603,$G86))))</f>
        <v>0</v>
      </c>
      <c r="BC86" s="4611">
        <f>IF(AND(method_reg="Метод индексации",god&lt;&gt;first_year),_xlfn.SUMIFS(INDEX('Калькуляция (МИ корр)'!$AJ$25:$BC$606,,MATCH(BC$8,'Калькуляция (МИ корр)'!$AJ$8:$BC$8,0)),'Калькуляция (МИ корр)'!$F$25:$F$606,$F86,'Калькуляция (МИ корр)'!$G$25:$G$606,$G86),IF(method_reg="Метод экономически обоснованных расходов",_xlfn.SUMIFS('Калькуляция (МЭОР)'!$AK$25:$AK$367,'Калькуляция (МЭОР)'!$F$25:$F$367,$F86,'Калькуляция (МЭОР)'!$G$25:$G$367,$G86),IF(method_reg="Метод сравнения аналогов",_xlfn.SUMIFS('Калькуляция (МСА)'!$AF$25:$AF$103,'Калькуляция (МСА)'!$F$25:$F$103,$F86,'Калькуляция (МСА)'!$G$25:$G$103,$G86),_xlfn.SUMIFS(INDEX('Калькуляция (МИ)'!$AJ$25:$BC$603,,MATCH(BC$8,'Калькуляция (МИ)'!$AJ$8:$BC$8,0)),'Калькуляция (МИ)'!$F$25:$F$603,$F86,'Калькуляция (МИ)'!$G$25:$G$603,$G86))))</f>
        <v>0</v>
      </c>
      <c r="BD86" s="292">
        <f>IF(BB86=0,0,(BC86-BB86)/BB86*100)</f>
        <v>0</v>
      </c>
      <c r="BE86" s="4611">
        <f>IF(AND(method_reg="Метод индексации",god&lt;&gt;first_year),_xlfn.SUMIFS(INDEX('Калькуляция (МИ корр)'!$AJ$25:$BC$606,,MATCH(BE$8,'Калькуляция (МИ корр)'!$AJ$8:$BC$8,0)),'Калькуляция (МИ корр)'!$F$25:$F$606,$F86,'Калькуляция (МИ корр)'!$G$25:$G$606,$G86),IF(method_reg="Метод экономически обоснованных расходов",_xlfn.SUMIFS('Калькуляция (МЭОР)'!$AJ$25:$AJ$367,'Калькуляция (МЭОР)'!$F$25:$F$367,$F86,'Калькуляция (МЭОР)'!$G$25:$G$367,$G86),IF(method_reg="Метод сравнения аналогов",_xlfn.SUMIFS('Калькуляция (МСА)'!$AE$25:$AE$103,'Калькуляция (МСА)'!$F$25:$F$103,$F86,'Калькуляция (МСА)'!$G$25:$G$103,$G86),_xlfn.SUMIFS(INDEX('Калькуляция (МИ)'!$AJ$25:$BC$603,,MATCH(BE$8,'Калькуляция (МИ)'!$AJ$8:$BC$8,0)),'Калькуляция (МИ)'!$F$25:$F$603,$F86,'Калькуляция (МИ)'!$G$25:$G$603,$G86))))</f>
        <v>0</v>
      </c>
      <c r="BF86" s="4611">
        <f>IF(AND(method_reg="Метод индексации",god&lt;&gt;first_year),_xlfn.SUMIFS(INDEX('Калькуляция (МИ корр)'!$AJ$25:$BC$606,,MATCH(BF$8,'Калькуляция (МИ корр)'!$AJ$8:$BC$8,0)),'Калькуляция (МИ корр)'!$F$25:$F$606,$F86,'Калькуляция (МИ корр)'!$G$25:$G$606,$G86),IF(method_reg="Метод экономически обоснованных расходов",_xlfn.SUMIFS('Калькуляция (МЭОР)'!$AK$25:$AK$367,'Калькуляция (МЭОР)'!$F$25:$F$367,$F86,'Калькуляция (МЭОР)'!$G$25:$G$367,$G86),IF(method_reg="Метод сравнения аналогов",_xlfn.SUMIFS('Калькуляция (МСА)'!$AF$25:$AF$103,'Калькуляция (МСА)'!$F$25:$F$103,$F86,'Калькуляция (МСА)'!$G$25:$G$103,$G86),_xlfn.SUMIFS(INDEX('Калькуляция (МИ)'!$AJ$25:$BC$603,,MATCH(BF$8,'Калькуляция (МИ)'!$AJ$8:$BC$8,0)),'Калькуляция (МИ)'!$F$25:$F$603,$F86,'Калькуляция (МИ)'!$G$25:$G$603,$G86))))</f>
        <v>0</v>
      </c>
      <c r="BG86" s="292">
        <f>IF(BE86=0,0,(BF86-BE86)/BE86*100)</f>
        <v>0</v>
      </c>
      <c r="BH86" s="4611"/>
      <c r="BI86" s="4611"/>
      <c r="BJ86" s="292">
        <f>IF(BH86=0,0,(BI86-BH86)/BH86*100)</f>
        <v>0</v>
      </c>
      <c r="BK86" s="4611"/>
      <c r="BL86" s="4611"/>
      <c r="BM86" s="292">
        <f>IF(BK86=0,0,(BL86-BK86)/BK86*100)</f>
        <v>0</v>
      </c>
      <c r="BN86" s="4611"/>
      <c r="BO86" s="4611"/>
      <c r="BP86" s="292">
        <f>IF(BN86=0,0,(BO86-BN86)/BN86*100)</f>
        <v>0</v>
      </c>
      <c r="BQ86" s="4611"/>
      <c r="BR86" s="4611"/>
      <c r="BS86" s="292">
        <f>IF(BQ86=0,0,(BR86-BQ86)/BQ86*100)</f>
        <v>0</v>
      </c>
      <c r="BT86" s="4611"/>
      <c r="BU86" s="4611"/>
      <c r="BV86" s="292">
        <f>IF(BT86=0,0,(BU86-BT86)/BT86*100)</f>
        <v>0</v>
      </c>
      <c r="BW86" s="4611"/>
      <c r="BX86" s="4611"/>
      <c r="BY86" s="292">
        <f>IF(BW86=0,0,(BX86-BW86)/BW86*100)</f>
        <v>0</v>
      </c>
      <c r="BZ86" s="4611"/>
      <c r="CA86" s="4611"/>
      <c r="CB86" s="292">
        <f>IF(BZ86=0,0,(CA86-BZ86)/BZ86*100)</f>
        <v>0</v>
      </c>
      <c r="CC86" s="4611"/>
      <c r="CD86" s="4611"/>
      <c r="CE86" s="292">
        <f>IF(CC86=0,0,(CD86-CC86)/CC86*100)</f>
        <v>0</v>
      </c>
      <c r="CF86" s="4611"/>
      <c r="CG86" s="4611"/>
      <c r="CH86" s="292">
        <f>IF(CF86=0,0,(CG86-CF86)/CF86*100)</f>
        <v>0</v>
      </c>
      <c r="CI86" s="4611"/>
      <c r="CJ86" s="4611"/>
      <c r="CK86" s="292">
        <f>IF(CI86=0,0,(CJ86-CI86)/CI86*100)</f>
        <v>0</v>
      </c>
      <c r="CL86" s="4611"/>
      <c r="CM86" s="4611"/>
      <c r="CN86" s="292">
        <f>IF(CL86=0,0,(CM86-CL86)/CL86*100)</f>
        <v>0</v>
      </c>
      <c r="CO86" s="4611"/>
      <c r="CP86" s="4611"/>
      <c r="CQ86" s="292">
        <f>IF(CO86=0,0,(CP86-CO86)/CO86*100)</f>
        <v>0</v>
      </c>
      <c r="CR86" s="4611"/>
      <c r="CS86" s="4611"/>
      <c r="CT86" s="292">
        <f>IF(CR86=0,0,(CS86-CR86)/CR86*100)</f>
        <v>0</v>
      </c>
      <c r="CU86" s="4611"/>
      <c r="CV86" s="4611"/>
      <c r="CW86" s="292">
        <f>IF(CU86=0,0,(CV86-CU86)/CU86*100)</f>
        <v>0</v>
      </c>
      <c r="CX86" s="4611"/>
      <c r="CY86" s="4611"/>
      <c r="CZ86" s="292">
        <f>IF(CX86=0,0,(CY86-CX86)/CX86*100)</f>
        <v>0</v>
      </c>
      <c r="DA86" s="4611"/>
      <c r="DB86" s="4611"/>
      <c r="DC86" s="292">
        <f>IF(DA86=0,0,(DB86-DA86)/DA86*100)</f>
        <v>0</v>
      </c>
      <c r="DD86" s="4611"/>
      <c r="DE86" s="4611"/>
      <c r="DF86" s="292">
        <f>IF(DD86=0,0,(DE86-DD86)/DD86*100)</f>
        <v>0</v>
      </c>
      <c r="DG86" s="4611"/>
      <c r="DH86" s="4611"/>
      <c r="DI86" s="292">
        <f>IF(DG86=0,0,(DH86-DG86)/DG86*100)</f>
        <v>0</v>
      </c>
      <c r="DJ86" s="4611"/>
      <c r="DK86" s="4611"/>
      <c r="DL86" s="292">
        <f>IF(DJ86=0,0,(DK86-DJ86)/DJ86*100)</f>
        <v>0</v>
      </c>
      <c r="DM86" s="4611"/>
      <c r="DN86" s="4611"/>
      <c r="DO86" s="292">
        <f>IF(DM86=0,0,(DN86-DM86)/DM86*100)</f>
        <v>0</v>
      </c>
      <c r="DP86" s="4611"/>
      <c r="DQ86" s="4611"/>
      <c r="DR86" s="292">
        <f>IF(DP86=0,0,(DQ86-DP86)/DP86*100)</f>
        <v>0</v>
      </c>
      <c r="DS86" s="4611"/>
      <c r="DT86" s="4611"/>
      <c r="DU86" s="292">
        <f>IF(DS86=0,0,(DT86-DS86)/DS86*100)</f>
        <v>0</v>
      </c>
      <c r="DV86" s="4611"/>
      <c r="DW86" s="4611"/>
      <c r="DX86" s="292">
        <f>IF(DV86=0,0,(DW86-DV86)/DV86*100)</f>
        <v>0</v>
      </c>
      <c r="DY86" s="4611"/>
      <c r="DZ86" s="4611"/>
      <c r="EA86" s="292">
        <f>IF(DY86=0,0,(DZ86-DY86)/DY86*100)</f>
        <v>0</v>
      </c>
      <c r="EB86" s="4611"/>
      <c r="EC86" s="4611"/>
      <c r="ED86" s="292">
        <f>IF(EB86=0,0,(EC86-EB86)/EB86*100)</f>
        <v>0</v>
      </c>
      <c r="EE86" s="4611"/>
      <c r="EF86" s="4611"/>
      <c r="EG86" s="292">
        <f>IF(EE86=0,0,(EF86-EE86)/EE86*100)</f>
        <v>0</v>
      </c>
      <c r="EH86" s="4611"/>
      <c r="EI86" s="4611"/>
      <c r="EJ86" s="292">
        <f>IF(EH86=0,0,(EI86-EH86)/EH86*100)</f>
        <v>0</v>
      </c>
      <c r="EK86" s="4611"/>
      <c r="EL86" s="4611"/>
      <c r="EM86" s="292">
        <f>IF(EK86=0,0,(EL86-EK86)/EK86*100)</f>
        <v>0</v>
      </c>
      <c r="EN86" s="4611"/>
      <c r="EO86" s="4611"/>
      <c r="EP86" s="292">
        <f>IF(EN86=0,0,(EO86-EN86)/EN86*100)</f>
        <v>0</v>
      </c>
      <c r="EQ86" s="4611"/>
      <c r="ER86" s="4611"/>
      <c r="ES86" s="292">
        <f>IF(EQ86=0,0,(ER86-EQ86)/EQ86*100)</f>
        <v>0</v>
      </c>
      <c r="ET86" s="4611"/>
      <c r="EU86" s="4611"/>
      <c r="EV86" s="292">
        <f>IF(ET86=0,0,(EU86-ET86)/ET86*100)</f>
        <v>0</v>
      </c>
      <c r="EW86" s="4611"/>
      <c r="EX86" s="4611"/>
      <c r="EY86" s="292">
        <f>IF(EW86=0,0,(EX86-EW86)/EW86*100)</f>
        <v>0</v>
      </c>
      <c r="EZ86" s="4611"/>
      <c r="FA86" s="4611"/>
      <c r="FB86" s="292">
        <f>IF(EZ86=0,0,(FA86-EZ86)/EZ86*100)</f>
        <v>0</v>
      </c>
      <c r="FC86" s="4611"/>
      <c r="FD86" s="4611"/>
      <c r="FE86" s="292">
        <f>IF(FC86=0,0,(FD86-FC86)/FC86*100)</f>
        <v>0</v>
      </c>
      <c r="FF86" s="4611"/>
      <c r="FG86" s="4611"/>
      <c r="FH86" s="292">
        <f>IF(FF86=0,0,(FG86-FF86)/FF86*100)</f>
        <v>0</v>
      </c>
      <c r="FI86" s="4611"/>
      <c r="FJ86" s="4611"/>
      <c r="FK86" s="292">
        <f>IF(FI86=0,0,(FJ86-FI86)/FI86*100)</f>
        <v>0</v>
      </c>
      <c r="FL86" s="4611"/>
      <c r="FM86" s="4611"/>
      <c r="FN86" s="292">
        <f>IF(FL86=0,0,(FM86-FL86)/FL86*100)</f>
        <v>0</v>
      </c>
      <c r="FO86" s="4611"/>
      <c r="FP86" s="4611"/>
      <c r="FQ86" s="292">
        <f>IF(FO86=0,0,(FP86-FO86)/FO86*100)</f>
        <v>0</v>
      </c>
      <c r="FR86" s="4611"/>
      <c r="FS86" s="4611"/>
      <c r="FT86" s="292">
        <f>IF(FR86=0,0,(FS86-FR86)/FR86*100)</f>
        <v>0</v>
      </c>
      <c r="FU86" s="4611"/>
      <c r="FV86" s="4611"/>
      <c r="FW86" s="292">
        <f>IF(FU86=0,0,(FV86-FU86)/FU86*100)</f>
        <v>0</v>
      </c>
      <c r="FX86" s="288"/>
      <c r="FY86" s="288"/>
      <c r="FZ86" s="1063" t="s">
        <v>1945</v>
      </c>
      <c r="GA86" s="1063"/>
      <c r="GB86" s="1063"/>
      <c r="GC86" s="1064"/>
      <c r="GD86" s="1064"/>
    </row>
    <row customHeight="1" ht="14.625" hidden="1">
      <c r="A87" s="496"/>
      <c r="B87" s="932" cm="1" t="str">
        <f t="array" ref="B87:B87">B86</f>
        <v>false</v>
      </c>
      <c r="C87" s="496"/>
      <c r="D87" s="496"/>
      <c r="E87" s="847">
        <v>15</v>
      </c>
      <c r="F87" s="50" cm="1" t="str">
        <f t="array" ref="F87:F87">OFFSET(E87,-1,1)</f>
        <v>0</v>
      </c>
      <c r="G87" s="496"/>
      <c r="H87" s="496" t="s">
        <v>570</v>
      </c>
      <c r="I87" s="496"/>
      <c r="J87" s="496"/>
      <c r="K87" s="496"/>
      <c r="L87" s="496"/>
      <c r="M87" s="496"/>
      <c r="N87" s="496"/>
      <c r="O87" s="496"/>
      <c r="P87" s="496"/>
      <c r="Q87" s="496"/>
      <c r="R87" s="496"/>
      <c r="S87" s="496"/>
      <c r="T87" s="468" cm="1" t="str">
        <f t="array" ref="T87:T87">T86</f>
        <v>false</v>
      </c>
      <c r="U87" s="496"/>
      <c r="V87" s="496"/>
      <c r="W87" s="496"/>
      <c r="X87" s="1559"/>
      <c r="Y87" s="496"/>
      <c r="Z87" s="1528"/>
      <c r="AA87" s="496"/>
      <c r="AB87" s="1097" t="s">
        <v>1946</v>
      </c>
      <c r="AC87" s="773" t="s">
        <v>561</v>
      </c>
      <c r="AD87" s="1101">
        <f>IF(AD85=0,0,AD86/AD85)*100</f>
        <v>0</v>
      </c>
      <c r="AE87" s="1101">
        <f>IF(AE85=0,0,AE86/AE85)*100</f>
        <v>0</v>
      </c>
      <c r="AF87" s="1118"/>
      <c r="AG87" s="1101">
        <f>IF(AG85=0,0,AG86/AG85)*100</f>
        <v>0</v>
      </c>
      <c r="AH87" s="1101">
        <f>IF(AH85=0,0,AH86/AH85)*100</f>
        <v>0</v>
      </c>
      <c r="AI87" s="1118"/>
      <c r="AJ87" s="1101">
        <f>IF(AJ85=0,0,AJ86/AJ85)*100</f>
        <v>0</v>
      </c>
      <c r="AK87" s="1101">
        <f>IF(AK85=0,0,AK86/AK85)*100</f>
        <v>0</v>
      </c>
      <c r="AL87" s="1118"/>
      <c r="AM87" s="1101">
        <f>IF(AM85=0,0,AM86/AM85)*100</f>
        <v>0</v>
      </c>
      <c r="AN87" s="1101">
        <f>IF(AN85=0,0,AN86/AN85)*100</f>
        <v>0</v>
      </c>
      <c r="AO87" s="1118"/>
      <c r="AP87" s="1101">
        <f>IF(AP85=0,0,AP86/AP85)*100</f>
        <v>0</v>
      </c>
      <c r="AQ87" s="1101">
        <f>IF(AQ85=0,0,AQ86/AQ85)*100</f>
        <v>0</v>
      </c>
      <c r="AR87" s="1118"/>
      <c r="AS87" s="1101">
        <f>IF(AS85=0,0,AS86/AS85)*100</f>
        <v>0</v>
      </c>
      <c r="AT87" s="1101">
        <f>IF(AT85=0,0,AT86/AT85)*100</f>
        <v>0</v>
      </c>
      <c r="AU87" s="1118"/>
      <c r="AV87" s="1101">
        <f>IF(AV85=0,0,AV86/AV85)*100</f>
        <v>0</v>
      </c>
      <c r="AW87" s="1101">
        <f>IF(AW85=0,0,AW86/AW85)*100</f>
        <v>0</v>
      </c>
      <c r="AX87" s="1118"/>
      <c r="AY87" s="1101">
        <f>IF(AY85=0,0,AY86/AY85)*100</f>
        <v>0</v>
      </c>
      <c r="AZ87" s="1101">
        <f>IF(AZ85=0,0,AZ86/AZ85)*100</f>
        <v>0</v>
      </c>
      <c r="BA87" s="1118"/>
      <c r="BB87" s="1101">
        <f>IF(BB85=0,0,BB86/BB85)*100</f>
        <v>0</v>
      </c>
      <c r="BC87" s="1101">
        <f>IF(BC85=0,0,BC86/BC85)*100</f>
        <v>0</v>
      </c>
      <c r="BD87" s="1118"/>
      <c r="BE87" s="1101">
        <f>IF(BE85=0,0,BE86/BE85)*100</f>
        <v>0</v>
      </c>
      <c r="BF87" s="1101">
        <f>IF(BF85=0,0,BF86/BF85)*100</f>
        <v>0</v>
      </c>
      <c r="BG87" s="1118"/>
      <c r="BH87" s="1101">
        <f>IF(BH85=0,0,BH86/BH85)*100</f>
        <v>0</v>
      </c>
      <c r="BI87" s="1101">
        <f>IF(BI85=0,0,BI86/BI85)*100</f>
        <v>0</v>
      </c>
      <c r="BJ87" s="1118"/>
      <c r="BK87" s="1101">
        <f>IF(BK85=0,0,BK86/BK85)*100</f>
        <v>0</v>
      </c>
      <c r="BL87" s="1101">
        <f>IF(BL85=0,0,BL86/BL85)*100</f>
        <v>0</v>
      </c>
      <c r="BM87" s="1118"/>
      <c r="BN87" s="1101">
        <f>IF(BN85=0,0,BN86/BN85)*100</f>
        <v>0</v>
      </c>
      <c r="BO87" s="1101">
        <f>IF(BO85=0,0,BO86/BO85)*100</f>
        <v>0</v>
      </c>
      <c r="BP87" s="1118"/>
      <c r="BQ87" s="1101">
        <f>IF(BQ85=0,0,BQ86/BQ85)*100</f>
        <v>0</v>
      </c>
      <c r="BR87" s="1101">
        <f>IF(BR85=0,0,BR86/BR85)*100</f>
        <v>0</v>
      </c>
      <c r="BS87" s="1118"/>
      <c r="BT87" s="1101">
        <f>IF(BT85=0,0,BT86/BT85)*100</f>
        <v>0</v>
      </c>
      <c r="BU87" s="1101">
        <f>IF(BU85=0,0,BU86/BU85)*100</f>
        <v>0</v>
      </c>
      <c r="BV87" s="1118"/>
      <c r="BW87" s="1101">
        <f>IF(BW85=0,0,BW86/BW85)*100</f>
        <v>0</v>
      </c>
      <c r="BX87" s="1101">
        <f>IF(BX85=0,0,BX86/BX85)*100</f>
        <v>0</v>
      </c>
      <c r="BY87" s="1118"/>
      <c r="BZ87" s="1101">
        <f>IF(BZ85=0,0,BZ86/BZ85)*100</f>
        <v>0</v>
      </c>
      <c r="CA87" s="1101">
        <f>IF(CA85=0,0,CA86/CA85)*100</f>
        <v>0</v>
      </c>
      <c r="CB87" s="1118"/>
      <c r="CC87" s="1101">
        <f>IF(CC85=0,0,CC86/CC85)*100</f>
        <v>0</v>
      </c>
      <c r="CD87" s="1101">
        <f>IF(CD85=0,0,CD86/CD85)*100</f>
        <v>0</v>
      </c>
      <c r="CE87" s="1118"/>
      <c r="CF87" s="1101">
        <f>IF(CF85=0,0,CF86/CF85)*100</f>
        <v>0</v>
      </c>
      <c r="CG87" s="1101">
        <f>IF(CG85=0,0,CG86/CG85)*100</f>
        <v>0</v>
      </c>
      <c r="CH87" s="1118"/>
      <c r="CI87" s="1101">
        <f>IF(CI85=0,0,CI86/CI85)*100</f>
        <v>0</v>
      </c>
      <c r="CJ87" s="1101">
        <f>IF(CJ85=0,0,CJ86/CJ85)*100</f>
        <v>0</v>
      </c>
      <c r="CK87" s="1118"/>
      <c r="CL87" s="1101">
        <f>IF(CL85=0,0,CL86/CL85)*100</f>
        <v>0</v>
      </c>
      <c r="CM87" s="1101">
        <f>IF(CM85=0,0,CM86/CM85)*100</f>
        <v>0</v>
      </c>
      <c r="CN87" s="1118"/>
      <c r="CO87" s="1101">
        <f>IF(CO85=0,0,CO86/CO85)*100</f>
        <v>0</v>
      </c>
      <c r="CP87" s="1101">
        <f>IF(CP85=0,0,CP86/CP85)*100</f>
        <v>0</v>
      </c>
      <c r="CQ87" s="1118"/>
      <c r="CR87" s="1101">
        <f>IF(CR85=0,0,CR86/CR85)*100</f>
        <v>0</v>
      </c>
      <c r="CS87" s="1101">
        <f>IF(CS85=0,0,CS86/CS85)*100</f>
        <v>0</v>
      </c>
      <c r="CT87" s="1118"/>
      <c r="CU87" s="1101">
        <f>IF(CU85=0,0,CU86/CU85)*100</f>
        <v>0</v>
      </c>
      <c r="CV87" s="1101">
        <f>IF(CV85=0,0,CV86/CV85)*100</f>
        <v>0</v>
      </c>
      <c r="CW87" s="1118"/>
      <c r="CX87" s="1101">
        <f>IF(CX85=0,0,CX86/CX85)*100</f>
        <v>0</v>
      </c>
      <c r="CY87" s="1101">
        <f>IF(CY85=0,0,CY86/CY85)*100</f>
        <v>0</v>
      </c>
      <c r="CZ87" s="1118"/>
      <c r="DA87" s="1101">
        <f>IF(DA85=0,0,DA86/DA85)*100</f>
        <v>0</v>
      </c>
      <c r="DB87" s="1101">
        <f>IF(DB85=0,0,DB86/DB85)*100</f>
        <v>0</v>
      </c>
      <c r="DC87" s="1118"/>
      <c r="DD87" s="1101">
        <f>IF(DD85=0,0,DD86/DD85)*100</f>
        <v>0</v>
      </c>
      <c r="DE87" s="1101">
        <f>IF(DE85=0,0,DE86/DE85)*100</f>
        <v>0</v>
      </c>
      <c r="DF87" s="1118"/>
      <c r="DG87" s="1101">
        <f>IF(DG85=0,0,DG86/DG85)*100</f>
        <v>0</v>
      </c>
      <c r="DH87" s="1101">
        <f>IF(DH85=0,0,DH86/DH85)*100</f>
        <v>0</v>
      </c>
      <c r="DI87" s="1118"/>
      <c r="DJ87" s="1101">
        <f>IF(DJ85=0,0,DJ86/DJ85)*100</f>
        <v>0</v>
      </c>
      <c r="DK87" s="1101">
        <f>IF(DK85=0,0,DK86/DK85)*100</f>
        <v>0</v>
      </c>
      <c r="DL87" s="1118"/>
      <c r="DM87" s="1101">
        <f>IF(DM85=0,0,DM86/DM85)*100</f>
        <v>0</v>
      </c>
      <c r="DN87" s="1101">
        <f>IF(DN85=0,0,DN86/DN85)*100</f>
        <v>0</v>
      </c>
      <c r="DO87" s="1118"/>
      <c r="DP87" s="1101">
        <f>IF(DP85=0,0,DP86/DP85)*100</f>
        <v>0</v>
      </c>
      <c r="DQ87" s="1101">
        <f>IF(DQ85=0,0,DQ86/DQ85)*100</f>
        <v>0</v>
      </c>
      <c r="DR87" s="1118"/>
      <c r="DS87" s="1101">
        <f>IF(DS85=0,0,DS86/DS85)*100</f>
        <v>0</v>
      </c>
      <c r="DT87" s="1101">
        <f>IF(DT85=0,0,DT86/DT85)*100</f>
        <v>0</v>
      </c>
      <c r="DU87" s="1118"/>
      <c r="DV87" s="1101">
        <f>IF(DV85=0,0,DV86/DV85)*100</f>
        <v>0</v>
      </c>
      <c r="DW87" s="1101">
        <f>IF(DW85=0,0,DW86/DW85)*100</f>
        <v>0</v>
      </c>
      <c r="DX87" s="1118"/>
      <c r="DY87" s="1101">
        <f>IF(DY85=0,0,DY86/DY85)*100</f>
        <v>0</v>
      </c>
      <c r="DZ87" s="1101">
        <f>IF(DZ85=0,0,DZ86/DZ85)*100</f>
        <v>0</v>
      </c>
      <c r="EA87" s="1118"/>
      <c r="EB87" s="1101">
        <f>IF(EB85=0,0,EB86/EB85)*100</f>
        <v>0</v>
      </c>
      <c r="EC87" s="1101">
        <f>IF(EC85=0,0,EC86/EC85)*100</f>
        <v>0</v>
      </c>
      <c r="ED87" s="1118"/>
      <c r="EE87" s="1101">
        <f>IF(EE85=0,0,EE86/EE85)*100</f>
        <v>0</v>
      </c>
      <c r="EF87" s="1101">
        <f>IF(EF85=0,0,EF86/EF85)*100</f>
        <v>0</v>
      </c>
      <c r="EG87" s="1118"/>
      <c r="EH87" s="1101">
        <f>IF(EH85=0,0,EH86/EH85)*100</f>
        <v>0</v>
      </c>
      <c r="EI87" s="1101">
        <f>IF(EI85=0,0,EI86/EI85)*100</f>
        <v>0</v>
      </c>
      <c r="EJ87" s="1118"/>
      <c r="EK87" s="1101">
        <f>IF(EK85=0,0,EK86/EK85)*100</f>
        <v>0</v>
      </c>
      <c r="EL87" s="1101">
        <f>IF(EL85=0,0,EL86/EL85)*100</f>
        <v>0</v>
      </c>
      <c r="EM87" s="1118"/>
      <c r="EN87" s="1101">
        <f>IF(EN85=0,0,EN86/EN85)*100</f>
        <v>0</v>
      </c>
      <c r="EO87" s="1101">
        <f>IF(EO85=0,0,EO86/EO85)*100</f>
        <v>0</v>
      </c>
      <c r="EP87" s="1118"/>
      <c r="EQ87" s="1101">
        <f>IF(EQ85=0,0,EQ86/EQ85)*100</f>
        <v>0</v>
      </c>
      <c r="ER87" s="1101">
        <f>IF(ER85=0,0,ER86/ER85)*100</f>
        <v>0</v>
      </c>
      <c r="ES87" s="1118"/>
      <c r="ET87" s="1101">
        <f>IF(ET85=0,0,ET86/ET85)*100</f>
        <v>0</v>
      </c>
      <c r="EU87" s="1101">
        <f>IF(EU85=0,0,EU86/EU85)*100</f>
        <v>0</v>
      </c>
      <c r="EV87" s="1118"/>
      <c r="EW87" s="1101">
        <f>IF(EW85=0,0,EW86/EW85)*100</f>
        <v>0</v>
      </c>
      <c r="EX87" s="1101">
        <f>IF(EX85=0,0,EX86/EX85)*100</f>
        <v>0</v>
      </c>
      <c r="EY87" s="1118"/>
      <c r="EZ87" s="1101">
        <f>IF(EZ85=0,0,EZ86/EZ85)*100</f>
        <v>0</v>
      </c>
      <c r="FA87" s="1101">
        <f>IF(FA85=0,0,FA86/FA85)*100</f>
        <v>0</v>
      </c>
      <c r="FB87" s="1118"/>
      <c r="FC87" s="1101">
        <f>IF(FC85=0,0,FC86/FC85)*100</f>
        <v>0</v>
      </c>
      <c r="FD87" s="1101">
        <f>IF(FD85=0,0,FD86/FD85)*100</f>
        <v>0</v>
      </c>
      <c r="FE87" s="1118"/>
      <c r="FF87" s="1101">
        <f>IF(FF85=0,0,FF86/FF85)*100</f>
        <v>0</v>
      </c>
      <c r="FG87" s="1101">
        <f>IF(FG85=0,0,FG86/FG85)*100</f>
        <v>0</v>
      </c>
      <c r="FH87" s="1118"/>
      <c r="FI87" s="1101">
        <f>IF(FI85=0,0,FI86/FI85)*100</f>
        <v>0</v>
      </c>
      <c r="FJ87" s="1101">
        <f>IF(FJ85=0,0,FJ86/FJ85)*100</f>
        <v>0</v>
      </c>
      <c r="FK87" s="1118"/>
      <c r="FL87" s="1101">
        <f>IF(FL85=0,0,FL86/FL85)*100</f>
        <v>0</v>
      </c>
      <c r="FM87" s="1101">
        <f>IF(FM85=0,0,FM86/FM85)*100</f>
        <v>0</v>
      </c>
      <c r="FN87" s="1118"/>
      <c r="FO87" s="1101">
        <f>IF(FO85=0,0,FO86/FO85)*100</f>
        <v>0</v>
      </c>
      <c r="FP87" s="1101">
        <f>IF(FP85=0,0,FP86/FP85)*100</f>
        <v>0</v>
      </c>
      <c r="FQ87" s="1118"/>
      <c r="FR87" s="1101">
        <f>IF(FR85=0,0,FR86/FR85)*100</f>
        <v>0</v>
      </c>
      <c r="FS87" s="1101">
        <f>IF(FS85=0,0,FS86/FS85)*100</f>
        <v>0</v>
      </c>
      <c r="FT87" s="1118"/>
      <c r="FU87" s="1101">
        <f>IF(FU85=0,0,FU86/FU85)*100</f>
        <v>0</v>
      </c>
      <c r="FV87" s="1101">
        <f>IF(FV85=0,0,FV86/FV85)*100</f>
        <v>0</v>
      </c>
      <c r="FW87" s="1119"/>
      <c r="FX87" s="288"/>
      <c r="FY87" s="1328"/>
      <c r="FZ87" s="1063" t="s">
        <v>1947</v>
      </c>
      <c r="GA87" s="1330"/>
      <c r="GB87" s="1330"/>
      <c r="GC87" s="1329"/>
      <c r="GD87" s="1329"/>
    </row>
    <row customHeight="1" ht="14.625" hidden="1">
      <c r="A88" s="496"/>
      <c r="B88" s="932" cm="1" t="str">
        <f t="array" ref="B88:B88">B87</f>
        <v>false</v>
      </c>
      <c r="C88" s="496"/>
      <c r="D88" s="496"/>
      <c r="E88" s="847">
        <v>15</v>
      </c>
      <c r="F88" s="50" cm="1" t="str">
        <f t="array" ref="F88:F88">OFFSET(E88,-1,1)</f>
        <v>0</v>
      </c>
      <c r="G88" s="103" t="s">
        <v>1871</v>
      </c>
      <c r="H88" s="496"/>
      <c r="I88" s="496"/>
      <c r="J88" s="496"/>
      <c r="K88" s="496"/>
      <c r="L88" s="496"/>
      <c r="M88" s="496"/>
      <c r="N88" s="496"/>
      <c r="O88" s="496"/>
      <c r="P88" s="496"/>
      <c r="Q88" s="496"/>
      <c r="R88" s="496"/>
      <c r="S88" s="496"/>
      <c r="T88" s="468" cm="1" t="str">
        <f t="array" ref="T88:T88">T87</f>
        <v>false</v>
      </c>
      <c r="U88" s="496"/>
      <c r="V88" s="496"/>
      <c r="W88" s="496"/>
      <c r="X88" s="1559"/>
      <c r="Y88" s="496"/>
      <c r="Z88" s="1528"/>
      <c r="AA88" s="496"/>
      <c r="AB88" s="907" t="s">
        <v>1872</v>
      </c>
      <c r="AC88" s="871" t="s">
        <v>657</v>
      </c>
      <c r="AD88" s="4585">
        <f>IF(AND(method_reg="Метод индексации",god&lt;&gt;first_year),_xlfn.SUMIFS(INDEX('Калькуляция (МИ корр)'!$AJ$25:$BC$606,,MATCH(AD$8,'Калькуляция (МИ корр)'!$AJ$8:$BC$8,0)),'Калькуляция (МИ корр)'!$F$25:$F$606,$F88,'Калькуляция (МИ корр)'!$G$25:$G$606,$G88),IF(method_reg="Метод экономически обоснованных расходов",_xlfn.SUMIFS('Калькуляция (МЭОР)'!$AJ$25:$AJ$367,'Калькуляция (МЭОР)'!$F$25:$F$367,$F88,'Калькуляция (МЭОР)'!$G$25:$G$367,$G88),IF(method_reg="Метод сравнения аналогов",_xlfn.SUMIFS('Калькуляция (МСА)'!$AE$25:$AE$103,'Калькуляция (МСА)'!$F$25:$F$103,$F88,'Калькуляция (МСА)'!$G$25:$G$103,$G88),_xlfn.SUMIFS(INDEX('Калькуляция (МИ)'!$AJ$25:$BC$603,,MATCH(AD$8,'Калькуляция (МИ)'!$AJ$8:$BC$8,0)),'Калькуляция (МИ)'!$F$25:$F$603,$F88,'Калькуляция (МИ)'!$G$25:$G$603,$G88))))</f>
        <v>0</v>
      </c>
      <c r="AE88" s="4585">
        <f>IF(AND(method_reg="Метод индексации",god&lt;&gt;first_year),_xlfn.SUMIFS(INDEX('Калькуляция (МИ корр)'!$AJ$25:$BC$606,,MATCH(AE$8,'Калькуляция (МИ корр)'!$AJ$8:$BC$8,0)),'Калькуляция (МИ корр)'!$F$25:$F$606,$F88,'Калькуляция (МИ корр)'!$G$25:$G$606,$G88),IF(method_reg="Метод экономически обоснованных расходов",_xlfn.SUMIFS('Калькуляция (МЭОР)'!$AK$25:$AK$367,'Калькуляция (МЭОР)'!$F$25:$F$367,$F88,'Калькуляция (МЭОР)'!$G$25:$G$367,$G88),IF(method_reg="Метод сравнения аналогов",_xlfn.SUMIFS('Калькуляция (МСА)'!$AF$25:$AF$103,'Калькуляция (МСА)'!$F$25:$F$103,$F88,'Калькуляция (МСА)'!$G$25:$G$103,$G88),_xlfn.SUMIFS(INDEX('Калькуляция (МИ)'!$AJ$25:$BC$603,,MATCH(AE$8,'Калькуляция (МИ)'!$AJ$8:$BC$8,0)),'Калькуляция (МИ)'!$F$25:$F$603,$F88,'Калькуляция (МИ)'!$G$25:$G$603,$G88))))</f>
        <v>0</v>
      </c>
      <c r="AF88" s="1104">
        <f>IF(AD88=0,0,(AE88-AD88)/AD88*100)</f>
        <v>0</v>
      </c>
      <c r="AG88" s="4585">
        <f>IF(AND(method_reg="Метод индексации",god&lt;&gt;first_year),_xlfn.SUMIFS(INDEX('Калькуляция (МИ корр)'!$AJ$25:$BC$606,,MATCH(AG$8,'Калькуляция (МИ корр)'!$AJ$8:$BC$8,0)),'Калькуляция (МИ корр)'!$F$25:$F$606,$F88,'Калькуляция (МИ корр)'!$G$25:$G$606,$G88),IF(method_reg="Метод экономически обоснованных расходов",_xlfn.SUMIFS('Калькуляция (МЭОР)'!$AJ$25:$AJ$367,'Калькуляция (МЭОР)'!$F$25:$F$367,$F88,'Калькуляция (МЭОР)'!$G$25:$G$367,$G88),IF(method_reg="Метод сравнения аналогов",_xlfn.SUMIFS('Калькуляция (МСА)'!$AE$25:$AE$103,'Калькуляция (МСА)'!$F$25:$F$103,$F88,'Калькуляция (МСА)'!$G$25:$G$103,$G88),_xlfn.SUMIFS(INDEX('Калькуляция (МИ)'!$AJ$25:$BC$603,,MATCH(AG$8,'Калькуляция (МИ)'!$AJ$8:$BC$8,0)),'Калькуляция (МИ)'!$F$25:$F$603,$F88,'Калькуляция (МИ)'!$G$25:$G$603,$G88))))</f>
        <v>0</v>
      </c>
      <c r="AH88" s="4585">
        <f>IF(AND(method_reg="Метод индексации",god&lt;&gt;first_year),_xlfn.SUMIFS(INDEX('Калькуляция (МИ корр)'!$AJ$25:$BC$606,,MATCH(AH$8,'Калькуляция (МИ корр)'!$AJ$8:$BC$8,0)),'Калькуляция (МИ корр)'!$F$25:$F$606,$F88,'Калькуляция (МИ корр)'!$G$25:$G$606,$G88),IF(method_reg="Метод экономически обоснованных расходов",_xlfn.SUMIFS('Калькуляция (МЭОР)'!$AK$25:$AK$367,'Калькуляция (МЭОР)'!$F$25:$F$367,$F88,'Калькуляция (МЭОР)'!$G$25:$G$367,$G88),IF(method_reg="Метод сравнения аналогов",_xlfn.SUMIFS('Калькуляция (МСА)'!$AF$25:$AF$103,'Калькуляция (МСА)'!$F$25:$F$103,$F88,'Калькуляция (МСА)'!$G$25:$G$103,$G88),_xlfn.SUMIFS(INDEX('Калькуляция (МИ)'!$AJ$25:$BC$603,,MATCH(AH$8,'Калькуляция (МИ)'!$AJ$8:$BC$8,0)),'Калькуляция (МИ)'!$F$25:$F$603,$F88,'Калькуляция (МИ)'!$G$25:$G$603,$G88))))</f>
        <v>0</v>
      </c>
      <c r="AI88" s="1104">
        <f>IF(AG88=0,0,(AH88-AG88)/AG88*100)</f>
        <v>0</v>
      </c>
      <c r="AJ88" s="4585">
        <f>IF(AND(method_reg="Метод индексации",god&lt;&gt;first_year),_xlfn.SUMIFS(INDEX('Калькуляция (МИ корр)'!$AJ$25:$BC$606,,MATCH(AJ$8,'Калькуляция (МИ корр)'!$AJ$8:$BC$8,0)),'Калькуляция (МИ корр)'!$F$25:$F$606,$F88,'Калькуляция (МИ корр)'!$G$25:$G$606,$G88),IF(method_reg="Метод экономически обоснованных расходов",_xlfn.SUMIFS('Калькуляция (МЭОР)'!$AJ$25:$AJ$367,'Калькуляция (МЭОР)'!$F$25:$F$367,$F88,'Калькуляция (МЭОР)'!$G$25:$G$367,$G88),IF(method_reg="Метод сравнения аналогов",_xlfn.SUMIFS('Калькуляция (МСА)'!$AE$25:$AE$103,'Калькуляция (МСА)'!$F$25:$F$103,$F88,'Калькуляция (МСА)'!$G$25:$G$103,$G88),_xlfn.SUMIFS(INDEX('Калькуляция (МИ)'!$AJ$25:$BC$603,,MATCH(AJ$8,'Калькуляция (МИ)'!$AJ$8:$BC$8,0)),'Калькуляция (МИ)'!$F$25:$F$603,$F88,'Калькуляция (МИ)'!$G$25:$G$603,$G88))))</f>
        <v>0</v>
      </c>
      <c r="AK88" s="4585">
        <f>IF(AND(method_reg="Метод индексации",god&lt;&gt;first_year),_xlfn.SUMIFS(INDEX('Калькуляция (МИ корр)'!$AJ$25:$BC$606,,MATCH(AK$8,'Калькуляция (МИ корр)'!$AJ$8:$BC$8,0)),'Калькуляция (МИ корр)'!$F$25:$F$606,$F88,'Калькуляция (МИ корр)'!$G$25:$G$606,$G88),IF(method_reg="Метод экономически обоснованных расходов",_xlfn.SUMIFS('Калькуляция (МЭОР)'!$AK$25:$AK$367,'Калькуляция (МЭОР)'!$F$25:$F$367,$F88,'Калькуляция (МЭОР)'!$G$25:$G$367,$G88),IF(method_reg="Метод сравнения аналогов",_xlfn.SUMIFS('Калькуляция (МСА)'!$AF$25:$AF$103,'Калькуляция (МСА)'!$F$25:$F$103,$F88,'Калькуляция (МСА)'!$G$25:$G$103,$G88),_xlfn.SUMIFS(INDEX('Калькуляция (МИ)'!$AJ$25:$BC$603,,MATCH(AK$8,'Калькуляция (МИ)'!$AJ$8:$BC$8,0)),'Калькуляция (МИ)'!$F$25:$F$603,$F88,'Калькуляция (МИ)'!$G$25:$G$603,$G88))))</f>
        <v>0</v>
      </c>
      <c r="AL88" s="1104">
        <f>IF(AJ88=0,0,(AK88-AJ88)/AJ88*100)</f>
        <v>0</v>
      </c>
      <c r="AM88" s="4585">
        <f>IF(AND(method_reg="Метод индексации",god&lt;&gt;first_year),_xlfn.SUMIFS(INDEX('Калькуляция (МИ корр)'!$AJ$25:$BC$606,,MATCH(AM$8,'Калькуляция (МИ корр)'!$AJ$8:$BC$8,0)),'Калькуляция (МИ корр)'!$F$25:$F$606,$F88,'Калькуляция (МИ корр)'!$G$25:$G$606,$G88),IF(method_reg="Метод экономически обоснованных расходов",_xlfn.SUMIFS('Калькуляция (МЭОР)'!$AJ$25:$AJ$367,'Калькуляция (МЭОР)'!$F$25:$F$367,$F88,'Калькуляция (МЭОР)'!$G$25:$G$367,$G88),IF(method_reg="Метод сравнения аналогов",_xlfn.SUMIFS('Калькуляция (МСА)'!$AE$25:$AE$103,'Калькуляция (МСА)'!$F$25:$F$103,$F88,'Калькуляция (МСА)'!$G$25:$G$103,$G88),_xlfn.SUMIFS(INDEX('Калькуляция (МИ)'!$AJ$25:$BC$603,,MATCH(AM$8,'Калькуляция (МИ)'!$AJ$8:$BC$8,0)),'Калькуляция (МИ)'!$F$25:$F$603,$F88,'Калькуляция (МИ)'!$G$25:$G$603,$G88))))</f>
        <v>0</v>
      </c>
      <c r="AN88" s="4585">
        <f>IF(AND(method_reg="Метод индексации",god&lt;&gt;first_year),_xlfn.SUMIFS(INDEX('Калькуляция (МИ корр)'!$AJ$25:$BC$606,,MATCH(AN$8,'Калькуляция (МИ корр)'!$AJ$8:$BC$8,0)),'Калькуляция (МИ корр)'!$F$25:$F$606,$F88,'Калькуляция (МИ корр)'!$G$25:$G$606,$G88),IF(method_reg="Метод экономически обоснованных расходов",_xlfn.SUMIFS('Калькуляция (МЭОР)'!$AK$25:$AK$367,'Калькуляция (МЭОР)'!$F$25:$F$367,$F88,'Калькуляция (МЭОР)'!$G$25:$G$367,$G88),IF(method_reg="Метод сравнения аналогов",_xlfn.SUMIFS('Калькуляция (МСА)'!$AF$25:$AF$103,'Калькуляция (МСА)'!$F$25:$F$103,$F88,'Калькуляция (МСА)'!$G$25:$G$103,$G88),_xlfn.SUMIFS(INDEX('Калькуляция (МИ)'!$AJ$25:$BC$603,,MATCH(AN$8,'Калькуляция (МИ)'!$AJ$8:$BC$8,0)),'Калькуляция (МИ)'!$F$25:$F$603,$F88,'Калькуляция (МИ)'!$G$25:$G$603,$G88))))</f>
        <v>0</v>
      </c>
      <c r="AO88" s="1104">
        <f>IF(AM88=0,0,(AN88-AM88)/AM88*100)</f>
        <v>0</v>
      </c>
      <c r="AP88" s="4585">
        <f>IF(AND(method_reg="Метод индексации",god&lt;&gt;first_year),_xlfn.SUMIFS(INDEX('Калькуляция (МИ корр)'!$AJ$25:$BC$606,,MATCH(AP$8,'Калькуляция (МИ корр)'!$AJ$8:$BC$8,0)),'Калькуляция (МИ корр)'!$F$25:$F$606,$F88,'Калькуляция (МИ корр)'!$G$25:$G$606,$G88),IF(method_reg="Метод экономически обоснованных расходов",_xlfn.SUMIFS('Калькуляция (МЭОР)'!$AJ$25:$AJ$367,'Калькуляция (МЭОР)'!$F$25:$F$367,$F88,'Калькуляция (МЭОР)'!$G$25:$G$367,$G88),IF(method_reg="Метод сравнения аналогов",_xlfn.SUMIFS('Калькуляция (МСА)'!$AE$25:$AE$103,'Калькуляция (МСА)'!$F$25:$F$103,$F88,'Калькуляция (МСА)'!$G$25:$G$103,$G88),_xlfn.SUMIFS(INDEX('Калькуляция (МИ)'!$AJ$25:$BC$603,,MATCH(AP$8,'Калькуляция (МИ)'!$AJ$8:$BC$8,0)),'Калькуляция (МИ)'!$F$25:$F$603,$F88,'Калькуляция (МИ)'!$G$25:$G$603,$G88))))</f>
        <v>0</v>
      </c>
      <c r="AQ88" s="4585">
        <f>IF(AND(method_reg="Метод индексации",god&lt;&gt;first_year),_xlfn.SUMIFS(INDEX('Калькуляция (МИ корр)'!$AJ$25:$BC$606,,MATCH(AQ$8,'Калькуляция (МИ корр)'!$AJ$8:$BC$8,0)),'Калькуляция (МИ корр)'!$F$25:$F$606,$F88,'Калькуляция (МИ корр)'!$G$25:$G$606,$G88),IF(method_reg="Метод экономически обоснованных расходов",_xlfn.SUMIFS('Калькуляция (МЭОР)'!$AK$25:$AK$367,'Калькуляция (МЭОР)'!$F$25:$F$367,$F88,'Калькуляция (МЭОР)'!$G$25:$G$367,$G88),IF(method_reg="Метод сравнения аналогов",_xlfn.SUMIFS('Калькуляция (МСА)'!$AF$25:$AF$103,'Калькуляция (МСА)'!$F$25:$F$103,$F88,'Калькуляция (МСА)'!$G$25:$G$103,$G88),_xlfn.SUMIFS(INDEX('Калькуляция (МИ)'!$AJ$25:$BC$603,,MATCH(AQ$8,'Калькуляция (МИ)'!$AJ$8:$BC$8,0)),'Калькуляция (МИ)'!$F$25:$F$603,$F88,'Калькуляция (МИ)'!$G$25:$G$603,$G88))))</f>
        <v>0</v>
      </c>
      <c r="AR88" s="1104">
        <f>IF(AP88=0,0,(AQ88-AP88)/AP88*100)</f>
        <v>0</v>
      </c>
      <c r="AS88" s="4585">
        <f>IF(AND(method_reg="Метод индексации",god&lt;&gt;first_year),_xlfn.SUMIFS(INDEX('Калькуляция (МИ корр)'!$AJ$25:$BC$606,,MATCH(AS$8,'Калькуляция (МИ корр)'!$AJ$8:$BC$8,0)),'Калькуляция (МИ корр)'!$F$25:$F$606,$F88,'Калькуляция (МИ корр)'!$G$25:$G$606,$G88),IF(method_reg="Метод экономически обоснованных расходов",_xlfn.SUMIFS('Калькуляция (МЭОР)'!$AJ$25:$AJ$367,'Калькуляция (МЭОР)'!$F$25:$F$367,$F88,'Калькуляция (МЭОР)'!$G$25:$G$367,$G88),IF(method_reg="Метод сравнения аналогов",_xlfn.SUMIFS('Калькуляция (МСА)'!$AE$25:$AE$103,'Калькуляция (МСА)'!$F$25:$F$103,$F88,'Калькуляция (МСА)'!$G$25:$G$103,$G88),_xlfn.SUMIFS(INDEX('Калькуляция (МИ)'!$AJ$25:$BC$603,,MATCH(AS$8,'Калькуляция (МИ)'!$AJ$8:$BC$8,0)),'Калькуляция (МИ)'!$F$25:$F$603,$F88,'Калькуляция (МИ)'!$G$25:$G$603,$G88))))</f>
        <v>0</v>
      </c>
      <c r="AT88" s="4585">
        <f>IF(AND(method_reg="Метод индексации",god&lt;&gt;first_year),_xlfn.SUMIFS(INDEX('Калькуляция (МИ корр)'!$AJ$25:$BC$606,,MATCH(AT$8,'Калькуляция (МИ корр)'!$AJ$8:$BC$8,0)),'Калькуляция (МИ корр)'!$F$25:$F$606,$F88,'Калькуляция (МИ корр)'!$G$25:$G$606,$G88),IF(method_reg="Метод экономически обоснованных расходов",_xlfn.SUMIFS('Калькуляция (МЭОР)'!$AK$25:$AK$367,'Калькуляция (МЭОР)'!$F$25:$F$367,$F88,'Калькуляция (МЭОР)'!$G$25:$G$367,$G88),IF(method_reg="Метод сравнения аналогов",_xlfn.SUMIFS('Калькуляция (МСА)'!$AF$25:$AF$103,'Калькуляция (МСА)'!$F$25:$F$103,$F88,'Калькуляция (МСА)'!$G$25:$G$103,$G88),_xlfn.SUMIFS(INDEX('Калькуляция (МИ)'!$AJ$25:$BC$603,,MATCH(AT$8,'Калькуляция (МИ)'!$AJ$8:$BC$8,0)),'Калькуляция (МИ)'!$F$25:$F$603,$F88,'Калькуляция (МИ)'!$G$25:$G$603,$G88))))</f>
        <v>0</v>
      </c>
      <c r="AU88" s="1104">
        <f>IF(AS88=0,0,(AT88-AS88)/AS88*100)</f>
        <v>0</v>
      </c>
      <c r="AV88" s="4585">
        <f>IF(AND(method_reg="Метод индексации",god&lt;&gt;first_year),_xlfn.SUMIFS(INDEX('Калькуляция (МИ корр)'!$AJ$25:$BC$606,,MATCH(AV$8,'Калькуляция (МИ корр)'!$AJ$8:$BC$8,0)),'Калькуляция (МИ корр)'!$F$25:$F$606,$F88,'Калькуляция (МИ корр)'!$G$25:$G$606,$G88),IF(method_reg="Метод экономически обоснованных расходов",_xlfn.SUMIFS('Калькуляция (МЭОР)'!$AJ$25:$AJ$367,'Калькуляция (МЭОР)'!$F$25:$F$367,$F88,'Калькуляция (МЭОР)'!$G$25:$G$367,$G88),IF(method_reg="Метод сравнения аналогов",_xlfn.SUMIFS('Калькуляция (МСА)'!$AE$25:$AE$103,'Калькуляция (МСА)'!$F$25:$F$103,$F88,'Калькуляция (МСА)'!$G$25:$G$103,$G88),_xlfn.SUMIFS(INDEX('Калькуляция (МИ)'!$AJ$25:$BC$603,,MATCH(AV$8,'Калькуляция (МИ)'!$AJ$8:$BC$8,0)),'Калькуляция (МИ)'!$F$25:$F$603,$F88,'Калькуляция (МИ)'!$G$25:$G$603,$G88))))</f>
        <v>0</v>
      </c>
      <c r="AW88" s="4585">
        <f>IF(AND(method_reg="Метод индексации",god&lt;&gt;first_year),_xlfn.SUMIFS(INDEX('Калькуляция (МИ корр)'!$AJ$25:$BC$606,,MATCH(AW$8,'Калькуляция (МИ корр)'!$AJ$8:$BC$8,0)),'Калькуляция (МИ корр)'!$F$25:$F$606,$F88,'Калькуляция (МИ корр)'!$G$25:$G$606,$G88),IF(method_reg="Метод экономически обоснованных расходов",_xlfn.SUMIFS('Калькуляция (МЭОР)'!$AK$25:$AK$367,'Калькуляция (МЭОР)'!$F$25:$F$367,$F88,'Калькуляция (МЭОР)'!$G$25:$G$367,$G88),IF(method_reg="Метод сравнения аналогов",_xlfn.SUMIFS('Калькуляция (МСА)'!$AF$25:$AF$103,'Калькуляция (МСА)'!$F$25:$F$103,$F88,'Калькуляция (МСА)'!$G$25:$G$103,$G88),_xlfn.SUMIFS(INDEX('Калькуляция (МИ)'!$AJ$25:$BC$603,,MATCH(AW$8,'Калькуляция (МИ)'!$AJ$8:$BC$8,0)),'Калькуляция (МИ)'!$F$25:$F$603,$F88,'Калькуляция (МИ)'!$G$25:$G$603,$G88))))</f>
        <v>0</v>
      </c>
      <c r="AX88" s="1104">
        <f>IF(AV88=0,0,(AW88-AV88)/AV88*100)</f>
        <v>0</v>
      </c>
      <c r="AY88" s="4585">
        <f>IF(AND(method_reg="Метод индексации",god&lt;&gt;first_year),_xlfn.SUMIFS(INDEX('Калькуляция (МИ корр)'!$AJ$25:$BC$606,,MATCH(AY$8,'Калькуляция (МИ корр)'!$AJ$8:$BC$8,0)),'Калькуляция (МИ корр)'!$F$25:$F$606,$F88,'Калькуляция (МИ корр)'!$G$25:$G$606,$G88),IF(method_reg="Метод экономически обоснованных расходов",_xlfn.SUMIFS('Калькуляция (МЭОР)'!$AJ$25:$AJ$367,'Калькуляция (МЭОР)'!$F$25:$F$367,$F88,'Калькуляция (МЭОР)'!$G$25:$G$367,$G88),IF(method_reg="Метод сравнения аналогов",_xlfn.SUMIFS('Калькуляция (МСА)'!$AE$25:$AE$103,'Калькуляция (МСА)'!$F$25:$F$103,$F88,'Калькуляция (МСА)'!$G$25:$G$103,$G88),_xlfn.SUMIFS(INDEX('Калькуляция (МИ)'!$AJ$25:$BC$603,,MATCH(AY$8,'Калькуляция (МИ)'!$AJ$8:$BC$8,0)),'Калькуляция (МИ)'!$F$25:$F$603,$F88,'Калькуляция (МИ)'!$G$25:$G$603,$G88))))</f>
        <v>0</v>
      </c>
      <c r="AZ88" s="4585">
        <f>IF(AND(method_reg="Метод индексации",god&lt;&gt;first_year),_xlfn.SUMIFS(INDEX('Калькуляция (МИ корр)'!$AJ$25:$BC$606,,MATCH(AZ$8,'Калькуляция (МИ корр)'!$AJ$8:$BC$8,0)),'Калькуляция (МИ корр)'!$F$25:$F$606,$F88,'Калькуляция (МИ корр)'!$G$25:$G$606,$G88),IF(method_reg="Метод экономически обоснованных расходов",_xlfn.SUMIFS('Калькуляция (МЭОР)'!$AK$25:$AK$367,'Калькуляция (МЭОР)'!$F$25:$F$367,$F88,'Калькуляция (МЭОР)'!$G$25:$G$367,$G88),IF(method_reg="Метод сравнения аналогов",_xlfn.SUMIFS('Калькуляция (МСА)'!$AF$25:$AF$103,'Калькуляция (МСА)'!$F$25:$F$103,$F88,'Калькуляция (МСА)'!$G$25:$G$103,$G88),_xlfn.SUMIFS(INDEX('Калькуляция (МИ)'!$AJ$25:$BC$603,,MATCH(AZ$8,'Калькуляция (МИ)'!$AJ$8:$BC$8,0)),'Калькуляция (МИ)'!$F$25:$F$603,$F88,'Калькуляция (МИ)'!$G$25:$G$603,$G88))))</f>
        <v>0</v>
      </c>
      <c r="BA88" s="1104">
        <f>IF(AY88=0,0,(AZ88-AY88)/AY88*100)</f>
        <v>0</v>
      </c>
      <c r="BB88" s="4585">
        <f>IF(AND(method_reg="Метод индексации",god&lt;&gt;first_year),_xlfn.SUMIFS(INDEX('Калькуляция (МИ корр)'!$AJ$25:$BC$606,,MATCH(BB$8,'Калькуляция (МИ корр)'!$AJ$8:$BC$8,0)),'Калькуляция (МИ корр)'!$F$25:$F$606,$F88,'Калькуляция (МИ корр)'!$G$25:$G$606,$G88),IF(method_reg="Метод экономически обоснованных расходов",_xlfn.SUMIFS('Калькуляция (МЭОР)'!$AJ$25:$AJ$367,'Калькуляция (МЭОР)'!$F$25:$F$367,$F88,'Калькуляция (МЭОР)'!$G$25:$G$367,$G88),IF(method_reg="Метод сравнения аналогов",_xlfn.SUMIFS('Калькуляция (МСА)'!$AE$25:$AE$103,'Калькуляция (МСА)'!$F$25:$F$103,$F88,'Калькуляция (МСА)'!$G$25:$G$103,$G88),_xlfn.SUMIFS(INDEX('Калькуляция (МИ)'!$AJ$25:$BC$603,,MATCH(BB$8,'Калькуляция (МИ)'!$AJ$8:$BC$8,0)),'Калькуляция (МИ)'!$F$25:$F$603,$F88,'Калькуляция (МИ)'!$G$25:$G$603,$G88))))</f>
        <v>0</v>
      </c>
      <c r="BC88" s="4585">
        <f>IF(AND(method_reg="Метод индексации",god&lt;&gt;first_year),_xlfn.SUMIFS(INDEX('Калькуляция (МИ корр)'!$AJ$25:$BC$606,,MATCH(BC$8,'Калькуляция (МИ корр)'!$AJ$8:$BC$8,0)),'Калькуляция (МИ корр)'!$F$25:$F$606,$F88,'Калькуляция (МИ корр)'!$G$25:$G$606,$G88),IF(method_reg="Метод экономически обоснованных расходов",_xlfn.SUMIFS('Калькуляция (МЭОР)'!$AK$25:$AK$367,'Калькуляция (МЭОР)'!$F$25:$F$367,$F88,'Калькуляция (МЭОР)'!$G$25:$G$367,$G88),IF(method_reg="Метод сравнения аналогов",_xlfn.SUMIFS('Калькуляция (МСА)'!$AF$25:$AF$103,'Калькуляция (МСА)'!$F$25:$F$103,$F88,'Калькуляция (МСА)'!$G$25:$G$103,$G88),_xlfn.SUMIFS(INDEX('Калькуляция (МИ)'!$AJ$25:$BC$603,,MATCH(BC$8,'Калькуляция (МИ)'!$AJ$8:$BC$8,0)),'Калькуляция (МИ)'!$F$25:$F$603,$F88,'Калькуляция (МИ)'!$G$25:$G$603,$G88))))</f>
        <v>0</v>
      </c>
      <c r="BD88" s="1104">
        <f>IF(BB88=0,0,(BC88-BB88)/BB88*100)</f>
        <v>0</v>
      </c>
      <c r="BE88" s="4585">
        <f>IF(AND(method_reg="Метод индексации",god&lt;&gt;first_year),_xlfn.SUMIFS(INDEX('Калькуляция (МИ корр)'!$AJ$25:$BC$606,,MATCH(BE$8,'Калькуляция (МИ корр)'!$AJ$8:$BC$8,0)),'Калькуляция (МИ корр)'!$F$25:$F$606,$F88,'Калькуляция (МИ корр)'!$G$25:$G$606,$G88),IF(method_reg="Метод экономически обоснованных расходов",_xlfn.SUMIFS('Калькуляция (МЭОР)'!$AJ$25:$AJ$367,'Калькуляция (МЭОР)'!$F$25:$F$367,$F88,'Калькуляция (МЭОР)'!$G$25:$G$367,$G88),IF(method_reg="Метод сравнения аналогов",_xlfn.SUMIFS('Калькуляция (МСА)'!$AE$25:$AE$103,'Калькуляция (МСА)'!$F$25:$F$103,$F88,'Калькуляция (МСА)'!$G$25:$G$103,$G88),_xlfn.SUMIFS(INDEX('Калькуляция (МИ)'!$AJ$25:$BC$603,,MATCH(BE$8,'Калькуляция (МИ)'!$AJ$8:$BC$8,0)),'Калькуляция (МИ)'!$F$25:$F$603,$F88,'Калькуляция (МИ)'!$G$25:$G$603,$G88))))</f>
        <v>0</v>
      </c>
      <c r="BF88" s="4585">
        <f>IF(AND(method_reg="Метод индексации",god&lt;&gt;first_year),_xlfn.SUMIFS(INDEX('Калькуляция (МИ корр)'!$AJ$25:$BC$606,,MATCH(BF$8,'Калькуляция (МИ корр)'!$AJ$8:$BC$8,0)),'Калькуляция (МИ корр)'!$F$25:$F$606,$F88,'Калькуляция (МИ корр)'!$G$25:$G$606,$G88),IF(method_reg="Метод экономически обоснованных расходов",_xlfn.SUMIFS('Калькуляция (МЭОР)'!$AK$25:$AK$367,'Калькуляция (МЭОР)'!$F$25:$F$367,$F88,'Калькуляция (МЭОР)'!$G$25:$G$367,$G88),IF(method_reg="Метод сравнения аналогов",_xlfn.SUMIFS('Калькуляция (МСА)'!$AF$25:$AF$103,'Калькуляция (МСА)'!$F$25:$F$103,$F88,'Калькуляция (МСА)'!$G$25:$G$103,$G88),_xlfn.SUMIFS(INDEX('Калькуляция (МИ)'!$AJ$25:$BC$603,,MATCH(BF$8,'Калькуляция (МИ)'!$AJ$8:$BC$8,0)),'Калькуляция (МИ)'!$F$25:$F$603,$F88,'Калькуляция (МИ)'!$G$25:$G$603,$G88))))</f>
        <v>0</v>
      </c>
      <c r="BG88" s="1104">
        <f>IF(BE88=0,0,(BF88-BE88)/BE88*100)</f>
        <v>0</v>
      </c>
      <c r="BH88" s="4585"/>
      <c r="BI88" s="4585"/>
      <c r="BJ88" s="1104">
        <f>IF(BH88=0,0,(BI88-BH88)/BH88*100)</f>
        <v>0</v>
      </c>
      <c r="BK88" s="4585"/>
      <c r="BL88" s="4585"/>
      <c r="BM88" s="1104">
        <f>IF(BK88=0,0,(BL88-BK88)/BK88*100)</f>
        <v>0</v>
      </c>
      <c r="BN88" s="4585"/>
      <c r="BO88" s="4585"/>
      <c r="BP88" s="1104">
        <f>IF(BN88=0,0,(BO88-BN88)/BN88*100)</f>
        <v>0</v>
      </c>
      <c r="BQ88" s="4585"/>
      <c r="BR88" s="4585"/>
      <c r="BS88" s="1104">
        <f>IF(BQ88=0,0,(BR88-BQ88)/BQ88*100)</f>
        <v>0</v>
      </c>
      <c r="BT88" s="4585"/>
      <c r="BU88" s="4585"/>
      <c r="BV88" s="1104">
        <f>IF(BT88=0,0,(BU88-BT88)/BT88*100)</f>
        <v>0</v>
      </c>
      <c r="BW88" s="4585"/>
      <c r="BX88" s="4585"/>
      <c r="BY88" s="1104">
        <f>IF(BW88=0,0,(BX88-BW88)/BW88*100)</f>
        <v>0</v>
      </c>
      <c r="BZ88" s="4585"/>
      <c r="CA88" s="4585"/>
      <c r="CB88" s="1104">
        <f>IF(BZ88=0,0,(CA88-BZ88)/BZ88*100)</f>
        <v>0</v>
      </c>
      <c r="CC88" s="4585"/>
      <c r="CD88" s="4585"/>
      <c r="CE88" s="1104">
        <f>IF(CC88=0,0,(CD88-CC88)/CC88*100)</f>
        <v>0</v>
      </c>
      <c r="CF88" s="4585"/>
      <c r="CG88" s="4585"/>
      <c r="CH88" s="1104">
        <f>IF(CF88=0,0,(CG88-CF88)/CF88*100)</f>
        <v>0</v>
      </c>
      <c r="CI88" s="4585"/>
      <c r="CJ88" s="4585"/>
      <c r="CK88" s="1104">
        <f>IF(CI88=0,0,(CJ88-CI88)/CI88*100)</f>
        <v>0</v>
      </c>
      <c r="CL88" s="4585"/>
      <c r="CM88" s="4585"/>
      <c r="CN88" s="1104">
        <f>IF(CL88=0,0,(CM88-CL88)/CL88*100)</f>
        <v>0</v>
      </c>
      <c r="CO88" s="4585"/>
      <c r="CP88" s="4585"/>
      <c r="CQ88" s="1104">
        <f>IF(CO88=0,0,(CP88-CO88)/CO88*100)</f>
        <v>0</v>
      </c>
      <c r="CR88" s="4585"/>
      <c r="CS88" s="4585"/>
      <c r="CT88" s="1104">
        <f>IF(CR88=0,0,(CS88-CR88)/CR88*100)</f>
        <v>0</v>
      </c>
      <c r="CU88" s="4585"/>
      <c r="CV88" s="4585"/>
      <c r="CW88" s="1104">
        <f>IF(CU88=0,0,(CV88-CU88)/CU88*100)</f>
        <v>0</v>
      </c>
      <c r="CX88" s="4585"/>
      <c r="CY88" s="4585"/>
      <c r="CZ88" s="1104">
        <f>IF(CX88=0,0,(CY88-CX88)/CX88*100)</f>
        <v>0</v>
      </c>
      <c r="DA88" s="4585"/>
      <c r="DB88" s="4585"/>
      <c r="DC88" s="1104">
        <f>IF(DA88=0,0,(DB88-DA88)/DA88*100)</f>
        <v>0</v>
      </c>
      <c r="DD88" s="4585"/>
      <c r="DE88" s="4585"/>
      <c r="DF88" s="1104">
        <f>IF(DD88=0,0,(DE88-DD88)/DD88*100)</f>
        <v>0</v>
      </c>
      <c r="DG88" s="4585"/>
      <c r="DH88" s="4585"/>
      <c r="DI88" s="1104">
        <f>IF(DG88=0,0,(DH88-DG88)/DG88*100)</f>
        <v>0</v>
      </c>
      <c r="DJ88" s="4585"/>
      <c r="DK88" s="4585"/>
      <c r="DL88" s="1104">
        <f>IF(DJ88=0,0,(DK88-DJ88)/DJ88*100)</f>
        <v>0</v>
      </c>
      <c r="DM88" s="4585"/>
      <c r="DN88" s="4585"/>
      <c r="DO88" s="1104">
        <f>IF(DM88=0,0,(DN88-DM88)/DM88*100)</f>
        <v>0</v>
      </c>
      <c r="DP88" s="4585"/>
      <c r="DQ88" s="4585"/>
      <c r="DR88" s="1104">
        <f>IF(DP88=0,0,(DQ88-DP88)/DP88*100)</f>
        <v>0</v>
      </c>
      <c r="DS88" s="4585"/>
      <c r="DT88" s="4585"/>
      <c r="DU88" s="1104">
        <f>IF(DS88=0,0,(DT88-DS88)/DS88*100)</f>
        <v>0</v>
      </c>
      <c r="DV88" s="4585"/>
      <c r="DW88" s="4585"/>
      <c r="DX88" s="1104">
        <f>IF(DV88=0,0,(DW88-DV88)/DV88*100)</f>
        <v>0</v>
      </c>
      <c r="DY88" s="4585"/>
      <c r="DZ88" s="4585"/>
      <c r="EA88" s="1104">
        <f>IF(DY88=0,0,(DZ88-DY88)/DY88*100)</f>
        <v>0</v>
      </c>
      <c r="EB88" s="4585"/>
      <c r="EC88" s="4585"/>
      <c r="ED88" s="1104">
        <f>IF(EB88=0,0,(EC88-EB88)/EB88*100)</f>
        <v>0</v>
      </c>
      <c r="EE88" s="4585"/>
      <c r="EF88" s="4585"/>
      <c r="EG88" s="1104">
        <f>IF(EE88=0,0,(EF88-EE88)/EE88*100)</f>
        <v>0</v>
      </c>
      <c r="EH88" s="4585"/>
      <c r="EI88" s="4585"/>
      <c r="EJ88" s="1104">
        <f>IF(EH88=0,0,(EI88-EH88)/EH88*100)</f>
        <v>0</v>
      </c>
      <c r="EK88" s="4585"/>
      <c r="EL88" s="4585"/>
      <c r="EM88" s="1104">
        <f>IF(EK88=0,0,(EL88-EK88)/EK88*100)</f>
        <v>0</v>
      </c>
      <c r="EN88" s="4585"/>
      <c r="EO88" s="4585"/>
      <c r="EP88" s="1104">
        <f>IF(EN88=0,0,(EO88-EN88)/EN88*100)</f>
        <v>0</v>
      </c>
      <c r="EQ88" s="4585"/>
      <c r="ER88" s="4585"/>
      <c r="ES88" s="1104">
        <f>IF(EQ88=0,0,(ER88-EQ88)/EQ88*100)</f>
        <v>0</v>
      </c>
      <c r="ET88" s="4585"/>
      <c r="EU88" s="4585"/>
      <c r="EV88" s="1104">
        <f>IF(ET88=0,0,(EU88-ET88)/ET88*100)</f>
        <v>0</v>
      </c>
      <c r="EW88" s="4585"/>
      <c r="EX88" s="4585"/>
      <c r="EY88" s="1104">
        <f>IF(EW88=0,0,(EX88-EW88)/EW88*100)</f>
        <v>0</v>
      </c>
      <c r="EZ88" s="4585"/>
      <c r="FA88" s="4585"/>
      <c r="FB88" s="1104">
        <f>IF(EZ88=0,0,(FA88-EZ88)/EZ88*100)</f>
        <v>0</v>
      </c>
      <c r="FC88" s="4585"/>
      <c r="FD88" s="4585"/>
      <c r="FE88" s="1104">
        <f>IF(FC88=0,0,(FD88-FC88)/FC88*100)</f>
        <v>0</v>
      </c>
      <c r="FF88" s="4585"/>
      <c r="FG88" s="4585"/>
      <c r="FH88" s="1104">
        <f>IF(FF88=0,0,(FG88-FF88)/FF88*100)</f>
        <v>0</v>
      </c>
      <c r="FI88" s="4585"/>
      <c r="FJ88" s="4585"/>
      <c r="FK88" s="1104">
        <f>IF(FI88=0,0,(FJ88-FI88)/FI88*100)</f>
        <v>0</v>
      </c>
      <c r="FL88" s="4585"/>
      <c r="FM88" s="4585"/>
      <c r="FN88" s="1104">
        <f>IF(FL88=0,0,(FM88-FL88)/FL88*100)</f>
        <v>0</v>
      </c>
      <c r="FO88" s="4585"/>
      <c r="FP88" s="4585"/>
      <c r="FQ88" s="1104">
        <f>IF(FO88=0,0,(FP88-FO88)/FO88*100)</f>
        <v>0</v>
      </c>
      <c r="FR88" s="4585"/>
      <c r="FS88" s="4585"/>
      <c r="FT88" s="1104">
        <f>IF(FR88=0,0,(FS88-FR88)/FR88*100)</f>
        <v>0</v>
      </c>
      <c r="FU88" s="4585"/>
      <c r="FV88" s="4585"/>
      <c r="FW88" s="1104">
        <f>IF(FU88=0,0,(FV88-FU88)/FU88*100)</f>
        <v>0</v>
      </c>
      <c r="FX88" s="288"/>
      <c r="FY88" s="1328"/>
      <c r="FZ88" s="1063" t="s">
        <v>1948</v>
      </c>
      <c r="GA88" s="1330"/>
      <c r="GB88" s="1330"/>
      <c r="GC88" s="1329"/>
      <c r="GD88" s="1329"/>
    </row>
    <row customHeight="1" ht="18.28125" hidden="1">
      <c r="A89" s="496"/>
      <c r="B89" s="932" cm="1" t="str">
        <f t="array" ref="B89:B89">B88</f>
        <v>false</v>
      </c>
      <c r="C89" s="496"/>
      <c r="D89" s="496"/>
      <c r="E89" s="847">
        <v>18.75</v>
      </c>
      <c r="F89" s="50" cm="1" t="str">
        <f t="array" ref="F89:F89">OFFSET(E89,-1,1)</f>
        <v>0</v>
      </c>
      <c r="G89" s="496"/>
      <c r="H89" s="496" t="s">
        <v>566</v>
      </c>
      <c r="I89" s="496" cm="1" t="str">
        <f t="array" ref="I89:I89">AB89</f>
        <v>0</v>
      </c>
      <c r="J89" s="496"/>
      <c r="K89" s="496"/>
      <c r="L89" s="496"/>
      <c r="M89" s="496"/>
      <c r="N89" s="496"/>
      <c r="O89" s="496"/>
      <c r="P89" s="496"/>
      <c r="Q89" s="496"/>
      <c r="R89" s="496"/>
      <c r="S89" s="496"/>
      <c r="T89" s="468">
        <f>AND(F89&gt;0,Y89&gt;0)</f>
        <v>0</v>
      </c>
      <c r="U89" s="496"/>
      <c r="V89" s="496"/>
      <c r="W89" s="496" t="s">
        <v>173</v>
      </c>
      <c r="X89" s="1559"/>
      <c r="Y89" s="496">
        <v>0</v>
      </c>
      <c r="Z89" s="1528"/>
      <c r="AA89" s="668" t="s">
        <v>174</v>
      </c>
      <c r="AB89" s="4615"/>
      <c r="AC89" s="871" t="s">
        <v>1862</v>
      </c>
      <c r="AD89" s="4591"/>
      <c r="AE89" s="4592"/>
      <c r="AF89" s="1102">
        <f>IF(AD89=0,0,(AE89-AD89)/AD89*100)</f>
        <v>0</v>
      </c>
      <c r="AG89" s="4592"/>
      <c r="AH89" s="4592"/>
      <c r="AI89" s="1102">
        <f>IF(AG89=0,0,(AH89-AG89)/AG89*100)</f>
        <v>0</v>
      </c>
      <c r="AJ89" s="4592"/>
      <c r="AK89" s="4592"/>
      <c r="AL89" s="1102">
        <f>IF(AJ89=0,0,(AK89-AJ89)/AJ89*100)</f>
        <v>0</v>
      </c>
      <c r="AM89" s="4592"/>
      <c r="AN89" s="4592"/>
      <c r="AO89" s="1102">
        <f>IF(AM89=0,0,(AN89-AM89)/AM89*100)</f>
        <v>0</v>
      </c>
      <c r="AP89" s="4592"/>
      <c r="AQ89" s="4592"/>
      <c r="AR89" s="1102">
        <f>IF(AP89=0,0,(AQ89-AP89)/AP89*100)</f>
        <v>0</v>
      </c>
      <c r="AS89" s="4592"/>
      <c r="AT89" s="4592"/>
      <c r="AU89" s="1102">
        <f>IF(AS89=0,0,(AT89-AS89)/AS89*100)</f>
        <v>0</v>
      </c>
      <c r="AV89" s="4592"/>
      <c r="AW89" s="4592"/>
      <c r="AX89" s="1102">
        <f>IF(AV89=0,0,(AW89-AV89)/AV89*100)</f>
        <v>0</v>
      </c>
      <c r="AY89" s="4592"/>
      <c r="AZ89" s="4592"/>
      <c r="BA89" s="1102">
        <f>IF(AY89=0,0,(AZ89-AY89)/AY89*100)</f>
        <v>0</v>
      </c>
      <c r="BB89" s="4592"/>
      <c r="BC89" s="4592"/>
      <c r="BD89" s="1102">
        <f>IF(BB89=0,0,(BC89-BB89)/BB89*100)</f>
        <v>0</v>
      </c>
      <c r="BE89" s="4592"/>
      <c r="BF89" s="4592"/>
      <c r="BG89" s="1102">
        <f>IF(BE89=0,0,(BF89-BE89)/BE89*100)</f>
        <v>0</v>
      </c>
      <c r="BH89" s="4592"/>
      <c r="BI89" s="4592"/>
      <c r="BJ89" s="1102">
        <f>IF(BH89=0,0,(BI89-BH89)/BH89*100)</f>
        <v>0</v>
      </c>
      <c r="BK89" s="4592"/>
      <c r="BL89" s="4592"/>
      <c r="BM89" s="1102">
        <f>IF(BK89=0,0,(BL89-BK89)/BK89*100)</f>
        <v>0</v>
      </c>
      <c r="BN89" s="4592"/>
      <c r="BO89" s="4592"/>
      <c r="BP89" s="1102">
        <f>IF(BN89=0,0,(BO89-BN89)/BN89*100)</f>
        <v>0</v>
      </c>
      <c r="BQ89" s="4592"/>
      <c r="BR89" s="4592"/>
      <c r="BS89" s="1102">
        <f>IF(BQ89=0,0,(BR89-BQ89)/BQ89*100)</f>
        <v>0</v>
      </c>
      <c r="BT89" s="4592"/>
      <c r="BU89" s="4592"/>
      <c r="BV89" s="1102">
        <f>IF(BT89=0,0,(BU89-BT89)/BT89*100)</f>
        <v>0</v>
      </c>
      <c r="BW89" s="4592"/>
      <c r="BX89" s="4592"/>
      <c r="BY89" s="1102">
        <f>IF(BW89=0,0,(BX89-BW89)/BW89*100)</f>
        <v>0</v>
      </c>
      <c r="BZ89" s="4592"/>
      <c r="CA89" s="4592"/>
      <c r="CB89" s="1102">
        <f>IF(BZ89=0,0,(CA89-BZ89)/BZ89*100)</f>
        <v>0</v>
      </c>
      <c r="CC89" s="4592"/>
      <c r="CD89" s="4592"/>
      <c r="CE89" s="1102">
        <f>IF(CC89=0,0,(CD89-CC89)/CC89*100)</f>
        <v>0</v>
      </c>
      <c r="CF89" s="4592"/>
      <c r="CG89" s="4592"/>
      <c r="CH89" s="1102">
        <f>IF(CF89=0,0,(CG89-CF89)/CF89*100)</f>
        <v>0</v>
      </c>
      <c r="CI89" s="4592"/>
      <c r="CJ89" s="4592"/>
      <c r="CK89" s="1102">
        <f>IF(CI89=0,0,(CJ89-CI89)/CI89*100)</f>
        <v>0</v>
      </c>
      <c r="CL89" s="4592"/>
      <c r="CM89" s="4592"/>
      <c r="CN89" s="1102">
        <f>IF(CL89=0,0,(CM89-CL89)/CL89*100)</f>
        <v>0</v>
      </c>
      <c r="CO89" s="4592"/>
      <c r="CP89" s="4592"/>
      <c r="CQ89" s="1102">
        <f>IF(CO89=0,0,(CP89-CO89)/CO89*100)</f>
        <v>0</v>
      </c>
      <c r="CR89" s="4592"/>
      <c r="CS89" s="4592"/>
      <c r="CT89" s="1102">
        <f>IF(CR89=0,0,(CS89-CR89)/CR89*100)</f>
        <v>0</v>
      </c>
      <c r="CU89" s="4592"/>
      <c r="CV89" s="4592"/>
      <c r="CW89" s="1102">
        <f>IF(CU89=0,0,(CV89-CU89)/CU89*100)</f>
        <v>0</v>
      </c>
      <c r="CX89" s="4592"/>
      <c r="CY89" s="4592"/>
      <c r="CZ89" s="1102">
        <f>IF(CX89=0,0,(CY89-CX89)/CX89*100)</f>
        <v>0</v>
      </c>
      <c r="DA89" s="4592"/>
      <c r="DB89" s="4592"/>
      <c r="DC89" s="1102">
        <f>IF(DA89=0,0,(DB89-DA89)/DA89*100)</f>
        <v>0</v>
      </c>
      <c r="DD89" s="4592"/>
      <c r="DE89" s="4592"/>
      <c r="DF89" s="1102">
        <f>IF(DD89=0,0,(DE89-DD89)/DD89*100)</f>
        <v>0</v>
      </c>
      <c r="DG89" s="4592"/>
      <c r="DH89" s="4592"/>
      <c r="DI89" s="1102">
        <f>IF(DG89=0,0,(DH89-DG89)/DG89*100)</f>
        <v>0</v>
      </c>
      <c r="DJ89" s="4592"/>
      <c r="DK89" s="4592"/>
      <c r="DL89" s="1102">
        <f>IF(DJ89=0,0,(DK89-DJ89)/DJ89*100)</f>
        <v>0</v>
      </c>
      <c r="DM89" s="4592"/>
      <c r="DN89" s="4592"/>
      <c r="DO89" s="1102">
        <f>IF(DM89=0,0,(DN89-DM89)/DM89*100)</f>
        <v>0</v>
      </c>
      <c r="DP89" s="4592"/>
      <c r="DQ89" s="4592"/>
      <c r="DR89" s="1102">
        <f>IF(DP89=0,0,(DQ89-DP89)/DP89*100)</f>
        <v>0</v>
      </c>
      <c r="DS89" s="4592"/>
      <c r="DT89" s="4592"/>
      <c r="DU89" s="1102">
        <f>IF(DS89=0,0,(DT89-DS89)/DS89*100)</f>
        <v>0</v>
      </c>
      <c r="DV89" s="4592"/>
      <c r="DW89" s="4592"/>
      <c r="DX89" s="1102">
        <f>IF(DV89=0,0,(DW89-DV89)/DV89*100)</f>
        <v>0</v>
      </c>
      <c r="DY89" s="4592"/>
      <c r="DZ89" s="4592"/>
      <c r="EA89" s="1102">
        <f>IF(DY89=0,0,(DZ89-DY89)/DY89*100)</f>
        <v>0</v>
      </c>
      <c r="EB89" s="4592"/>
      <c r="EC89" s="4592"/>
      <c r="ED89" s="1102">
        <f>IF(EB89=0,0,(EC89-EB89)/EB89*100)</f>
        <v>0</v>
      </c>
      <c r="EE89" s="4592"/>
      <c r="EF89" s="4592"/>
      <c r="EG89" s="1102">
        <f>IF(EE89=0,0,(EF89-EE89)/EE89*100)</f>
        <v>0</v>
      </c>
      <c r="EH89" s="4592"/>
      <c r="EI89" s="4592"/>
      <c r="EJ89" s="1102">
        <f>IF(EH89=0,0,(EI89-EH89)/EH89*100)</f>
        <v>0</v>
      </c>
      <c r="EK89" s="4592"/>
      <c r="EL89" s="4592"/>
      <c r="EM89" s="1102">
        <f>IF(EK89=0,0,(EL89-EK89)/EK89*100)</f>
        <v>0</v>
      </c>
      <c r="EN89" s="4592"/>
      <c r="EO89" s="4592"/>
      <c r="EP89" s="1102">
        <f>IF(EN89=0,0,(EO89-EN89)/EN89*100)</f>
        <v>0</v>
      </c>
      <c r="EQ89" s="4592"/>
      <c r="ER89" s="4592"/>
      <c r="ES89" s="1102">
        <f>IF(EQ89=0,0,(ER89-EQ89)/EQ89*100)</f>
        <v>0</v>
      </c>
      <c r="ET89" s="4592"/>
      <c r="EU89" s="4592"/>
      <c r="EV89" s="1102">
        <f>IF(ET89=0,0,(EU89-ET89)/ET89*100)</f>
        <v>0</v>
      </c>
      <c r="EW89" s="4592"/>
      <c r="EX89" s="4592"/>
      <c r="EY89" s="1102">
        <f>IF(EW89=0,0,(EX89-EW89)/EW89*100)</f>
        <v>0</v>
      </c>
      <c r="EZ89" s="4592"/>
      <c r="FA89" s="4592"/>
      <c r="FB89" s="1102">
        <f>IF(EZ89=0,0,(FA89-EZ89)/EZ89*100)</f>
        <v>0</v>
      </c>
      <c r="FC89" s="4592"/>
      <c r="FD89" s="4592"/>
      <c r="FE89" s="1102">
        <f>IF(FC89=0,0,(FD89-FC89)/FC89*100)</f>
        <v>0</v>
      </c>
      <c r="FF89" s="4592"/>
      <c r="FG89" s="4592"/>
      <c r="FH89" s="1102">
        <f>IF(FF89=0,0,(FG89-FF89)/FF89*100)</f>
        <v>0</v>
      </c>
      <c r="FI89" s="4592"/>
      <c r="FJ89" s="4592"/>
      <c r="FK89" s="1102">
        <f>IF(FI89=0,0,(FJ89-FI89)/FI89*100)</f>
        <v>0</v>
      </c>
      <c r="FL89" s="4592"/>
      <c r="FM89" s="4592"/>
      <c r="FN89" s="1102">
        <f>IF(FL89=0,0,(FM89-FL89)/FL89*100)</f>
        <v>0</v>
      </c>
      <c r="FO89" s="4592"/>
      <c r="FP89" s="4592"/>
      <c r="FQ89" s="1102">
        <f>IF(FO89=0,0,(FP89-FO89)/FO89*100)</f>
        <v>0</v>
      </c>
      <c r="FR89" s="4592"/>
      <c r="FS89" s="4592"/>
      <c r="FT89" s="1102">
        <f>IF(FR89=0,0,(FS89-FR89)/FR89*100)</f>
        <v>0</v>
      </c>
      <c r="FU89" s="4592"/>
      <c r="FV89" s="4592"/>
      <c r="FW89" s="1102">
        <f>IF(FU89=0,0,(FV89-FU89)/FU89*100)</f>
        <v>0</v>
      </c>
      <c r="FX89" s="288"/>
      <c r="FY89" s="1328"/>
      <c r="FZ89" s="1063" t="s">
        <v>1949</v>
      </c>
      <c r="GA89" s="1023" t="s">
        <v>1950</v>
      </c>
      <c r="GB89" s="1023" cm="1" t="str">
        <f t="array" ref="GB89:GB89">AB89</f>
        <v>0</v>
      </c>
      <c r="GC89" s="1329"/>
      <c r="GD89" s="637" t="b">
        <v>1</v>
      </c>
    </row>
    <row customHeight="1" ht="14.625" hidden="1">
      <c r="A90" s="1328"/>
      <c r="B90" s="932" cm="1" t="str">
        <f t="array" ref="B90:B90">B89</f>
        <v>false</v>
      </c>
      <c r="C90" s="1328"/>
      <c r="D90" s="496"/>
      <c r="E90" s="847">
        <v>15</v>
      </c>
      <c r="F90" s="50" cm="1" t="str">
        <f t="array" ref="F90:F90">OFFSET(E90,-1,1)</f>
        <v>0</v>
      </c>
      <c r="G90" s="496"/>
      <c r="H90" s="1328"/>
      <c r="I90" s="94" t="s">
        <v>1951</v>
      </c>
      <c r="J90" s="1328"/>
      <c r="K90" s="1328"/>
      <c r="L90" s="1328"/>
      <c r="M90" s="1328"/>
      <c r="N90" s="1328"/>
      <c r="O90" s="1328"/>
      <c r="P90" s="1328"/>
      <c r="Q90" s="1328"/>
      <c r="R90" s="1328"/>
      <c r="S90" s="1328"/>
      <c r="T90" s="468">
        <f>F90&gt;0</f>
        <v>0</v>
      </c>
      <c r="U90" s="1328"/>
      <c r="V90" s="1328"/>
      <c r="W90" s="764" t="s">
        <v>1892</v>
      </c>
      <c r="X90" s="1559"/>
      <c r="Y90" s="1328"/>
      <c r="Z90" s="1528"/>
      <c r="AA90" s="1328"/>
      <c r="AB90" s="256" t="s">
        <v>177</v>
      </c>
      <c r="AC90" s="260"/>
      <c r="AD90" s="258"/>
      <c r="AE90" s="258"/>
      <c r="AF90" s="258"/>
      <c r="AG90" s="258"/>
      <c r="AH90" s="258"/>
      <c r="AI90" s="258"/>
      <c r="AJ90" s="258"/>
      <c r="AK90" s="258"/>
      <c r="AL90" s="258"/>
      <c r="AM90" s="258"/>
      <c r="AN90" s="258"/>
      <c r="AO90" s="258"/>
      <c r="AP90" s="258"/>
      <c r="AQ90" s="258"/>
      <c r="AR90" s="258"/>
      <c r="AS90" s="258"/>
      <c r="AT90" s="258"/>
      <c r="AU90" s="258"/>
      <c r="AV90" s="258"/>
      <c r="AW90" s="258"/>
      <c r="AX90" s="258"/>
      <c r="AY90" s="258"/>
      <c r="AZ90" s="258"/>
      <c r="BA90" s="258"/>
      <c r="BB90" s="258"/>
      <c r="BC90" s="258"/>
      <c r="BD90" s="258"/>
      <c r="BE90" s="258"/>
      <c r="BF90" s="258"/>
      <c r="BG90" s="258"/>
      <c r="BH90" s="258"/>
      <c r="BI90" s="258"/>
      <c r="BJ90" s="258"/>
      <c r="BK90" s="258"/>
      <c r="BL90" s="258"/>
      <c r="BM90" s="258"/>
      <c r="BN90" s="258"/>
      <c r="BO90" s="258"/>
      <c r="BP90" s="258"/>
      <c r="BQ90" s="258"/>
      <c r="BR90" s="258"/>
      <c r="BS90" s="258"/>
      <c r="BT90" s="258"/>
      <c r="BU90" s="258"/>
      <c r="BV90" s="258"/>
      <c r="BW90" s="258"/>
      <c r="BX90" s="258"/>
      <c r="BY90" s="258"/>
      <c r="BZ90" s="258"/>
      <c r="CA90" s="258"/>
      <c r="CB90" s="258"/>
      <c r="CC90" s="258"/>
      <c r="CD90" s="258"/>
      <c r="CE90" s="258"/>
      <c r="CF90" s="258"/>
      <c r="CG90" s="258"/>
      <c r="CH90" s="258"/>
      <c r="CI90" s="258"/>
      <c r="CJ90" s="258"/>
      <c r="CK90" s="258"/>
      <c r="CL90" s="258"/>
      <c r="CM90" s="258"/>
      <c r="CN90" s="258"/>
      <c r="CO90" s="258"/>
      <c r="CP90" s="258"/>
      <c r="CQ90" s="258"/>
      <c r="CR90" s="258"/>
      <c r="CS90" s="258"/>
      <c r="CT90" s="258"/>
      <c r="CU90" s="258"/>
      <c r="CV90" s="258"/>
      <c r="CW90" s="258"/>
      <c r="CX90" s="258"/>
      <c r="CY90" s="258"/>
      <c r="CZ90" s="258"/>
      <c r="DA90" s="258"/>
      <c r="DB90" s="258"/>
      <c r="DC90" s="258"/>
      <c r="DD90" s="258"/>
      <c r="DE90" s="258"/>
      <c r="DF90" s="258"/>
      <c r="DG90" s="258"/>
      <c r="DH90" s="258"/>
      <c r="DI90" s="258"/>
      <c r="DJ90" s="258"/>
      <c r="DK90" s="258"/>
      <c r="DL90" s="258"/>
      <c r="DM90" s="258"/>
      <c r="DN90" s="258"/>
      <c r="DO90" s="258"/>
      <c r="DP90" s="258"/>
      <c r="DQ90" s="258"/>
      <c r="DR90" s="258"/>
      <c r="DS90" s="258"/>
      <c r="DT90" s="258"/>
      <c r="DU90" s="258"/>
      <c r="DV90" s="258"/>
      <c r="DW90" s="258"/>
      <c r="DX90" s="258"/>
      <c r="DY90" s="258"/>
      <c r="DZ90" s="258"/>
      <c r="EA90" s="258"/>
      <c r="EB90" s="258"/>
      <c r="EC90" s="258"/>
      <c r="ED90" s="258"/>
      <c r="EE90" s="258"/>
      <c r="EF90" s="258"/>
      <c r="EG90" s="258"/>
      <c r="EH90" s="258"/>
      <c r="EI90" s="258"/>
      <c r="EJ90" s="258"/>
      <c r="EK90" s="258"/>
      <c r="EL90" s="258"/>
      <c r="EM90" s="258"/>
      <c r="EN90" s="258"/>
      <c r="EO90" s="258"/>
      <c r="EP90" s="258"/>
      <c r="EQ90" s="258"/>
      <c r="ER90" s="258"/>
      <c r="ES90" s="258"/>
      <c r="ET90" s="258"/>
      <c r="EU90" s="258"/>
      <c r="EV90" s="258"/>
      <c r="EW90" s="258"/>
      <c r="EX90" s="258"/>
      <c r="EY90" s="258"/>
      <c r="EZ90" s="258"/>
      <c r="FA90" s="258"/>
      <c r="FB90" s="258"/>
      <c r="FC90" s="258"/>
      <c r="FD90" s="258"/>
      <c r="FE90" s="258"/>
      <c r="FF90" s="258"/>
      <c r="FG90" s="258"/>
      <c r="FH90" s="258"/>
      <c r="FI90" s="258"/>
      <c r="FJ90" s="258"/>
      <c r="FK90" s="258"/>
      <c r="FL90" s="258"/>
      <c r="FM90" s="258"/>
      <c r="FN90" s="258"/>
      <c r="FO90" s="258"/>
      <c r="FP90" s="258"/>
      <c r="FQ90" s="258"/>
      <c r="FR90" s="258"/>
      <c r="FS90" s="258"/>
      <c r="FT90" s="258"/>
      <c r="FU90" s="258"/>
      <c r="FV90" s="258"/>
      <c r="FW90" s="259"/>
      <c r="FX90" s="1328"/>
      <c r="FY90" s="1328"/>
      <c r="FZ90" s="1330"/>
      <c r="GA90" s="1330"/>
      <c r="GB90" s="1330"/>
      <c r="GC90" s="637" t="s">
        <v>1950</v>
      </c>
      <c r="GD90" s="1329"/>
    </row>
    <row customHeight="1" ht="11.2125" hidden="1">
      <c r="A91" s="94"/>
      <c r="B91" s="912"/>
      <c r="C91" s="94"/>
      <c r="D91" s="496"/>
      <c r="E91" s="847">
        <v>11.5</v>
      </c>
      <c r="F91" s="1361"/>
      <c r="G91" s="496"/>
      <c r="H91" s="94"/>
      <c r="I91" s="94"/>
      <c r="J91" s="94"/>
      <c r="K91" s="94"/>
      <c r="L91" s="94"/>
      <c r="M91" s="94"/>
      <c r="N91" s="94"/>
      <c r="O91" s="94"/>
      <c r="P91" s="94"/>
      <c r="Q91" s="94"/>
      <c r="R91" s="94"/>
      <c r="S91" s="94"/>
      <c r="T91" s="468" cm="1" t="str">
        <f t="array" ref="T91:T91">T90</f>
        <v>false</v>
      </c>
      <c r="U91" s="94"/>
      <c r="V91" s="94"/>
      <c r="W91" s="764"/>
      <c r="X91" s="1559"/>
      <c r="Y91" s="94"/>
      <c r="Z91" s="1528"/>
      <c r="AA91" s="94"/>
      <c r="AB91" s="203"/>
      <c r="AC91" s="1189"/>
      <c r="AD91" s="1328"/>
      <c r="AE91" s="1328"/>
      <c r="AF91" s="1328"/>
      <c r="AG91" s="1328"/>
      <c r="AH91" s="1328"/>
      <c r="AI91" s="1328"/>
      <c r="AJ91" s="1328"/>
      <c r="AK91" s="1328"/>
      <c r="AL91" s="1328"/>
      <c r="AM91" s="1328"/>
      <c r="AN91" s="1328"/>
      <c r="AO91" s="1328"/>
      <c r="AP91" s="1328"/>
      <c r="AQ91" s="1328"/>
      <c r="AR91" s="1328"/>
      <c r="AS91" s="1328"/>
      <c r="AT91" s="1328"/>
      <c r="AU91" s="1328"/>
      <c r="AV91" s="1328"/>
      <c r="AW91" s="1328"/>
      <c r="AX91" s="1328"/>
      <c r="AY91" s="1328"/>
      <c r="AZ91" s="1328"/>
      <c r="BA91" s="1328"/>
      <c r="BB91" s="1328"/>
      <c r="BC91" s="1328"/>
      <c r="BD91" s="1328"/>
      <c r="BE91" s="1328"/>
      <c r="BF91" s="1328"/>
      <c r="BG91" s="1328"/>
      <c r="BH91" s="1328"/>
      <c r="BI91" s="1328"/>
      <c r="BJ91" s="1328"/>
      <c r="BK91" s="1328"/>
      <c r="BL91" s="1328"/>
      <c r="BM91" s="1328"/>
      <c r="BN91" s="1328"/>
      <c r="BO91" s="1328"/>
      <c r="BP91" s="1328"/>
      <c r="BQ91" s="1328"/>
      <c r="BR91" s="1328"/>
      <c r="BS91" s="1328"/>
      <c r="BT91" s="1328"/>
      <c r="BU91" s="1328"/>
      <c r="BV91" s="1328"/>
      <c r="BW91" s="1328"/>
      <c r="BX91" s="1328"/>
      <c r="BY91" s="1328"/>
      <c r="BZ91" s="1328"/>
      <c r="CA91" s="1328"/>
      <c r="CB91" s="1328"/>
      <c r="CC91" s="1328"/>
      <c r="CD91" s="1328"/>
      <c r="CE91" s="1328"/>
      <c r="CF91" s="1328"/>
      <c r="CG91" s="1328"/>
      <c r="CH91" s="1328"/>
      <c r="CI91" s="1328"/>
      <c r="CJ91" s="1328"/>
      <c r="CK91" s="1328"/>
      <c r="CL91" s="1328"/>
      <c r="CM91" s="1328"/>
      <c r="CN91" s="1328"/>
      <c r="CO91" s="1328"/>
      <c r="CP91" s="1328"/>
      <c r="CQ91" s="1328"/>
      <c r="CR91" s="1328"/>
      <c r="CS91" s="1328"/>
      <c r="CT91" s="1328"/>
      <c r="CU91" s="1328"/>
      <c r="CV91" s="1328"/>
      <c r="CW91" s="1328"/>
      <c r="CX91" s="1328"/>
      <c r="CY91" s="1328"/>
      <c r="CZ91" s="1328"/>
      <c r="DA91" s="1328"/>
      <c r="DB91" s="1328"/>
      <c r="DC91" s="1328"/>
      <c r="DD91" s="1328"/>
      <c r="DE91" s="1328"/>
      <c r="DF91" s="1328"/>
      <c r="DG91" s="1328"/>
      <c r="DH91" s="1328"/>
      <c r="DI91" s="1328"/>
      <c r="DJ91" s="1328"/>
      <c r="DK91" s="1328"/>
      <c r="DL91" s="1328"/>
      <c r="DM91" s="1328"/>
      <c r="DN91" s="1328"/>
      <c r="DO91" s="1328"/>
      <c r="DP91" s="1328"/>
      <c r="DQ91" s="1328"/>
      <c r="DR91" s="1328"/>
      <c r="DS91" s="1328"/>
      <c r="DT91" s="1328"/>
      <c r="DU91" s="1328"/>
      <c r="DV91" s="1328"/>
      <c r="DW91" s="1328"/>
      <c r="DX91" s="1328"/>
      <c r="DY91" s="1328"/>
      <c r="DZ91" s="1328"/>
      <c r="EA91" s="1328"/>
      <c r="EB91" s="1328"/>
      <c r="EC91" s="1328"/>
      <c r="ED91" s="1328"/>
      <c r="EE91" s="1328"/>
      <c r="EF91" s="1328"/>
      <c r="EG91" s="1328"/>
      <c r="EH91" s="1328"/>
      <c r="EI91" s="1328"/>
      <c r="EJ91" s="1328"/>
      <c r="EK91" s="1328"/>
      <c r="EL91" s="1328"/>
      <c r="EM91" s="1328"/>
      <c r="EN91" s="1328"/>
      <c r="EO91" s="1328"/>
      <c r="EP91" s="1328"/>
      <c r="EQ91" s="1328"/>
      <c r="ER91" s="1328"/>
      <c r="ES91" s="1328"/>
      <c r="ET91" s="1328"/>
      <c r="EU91" s="1328"/>
      <c r="EV91" s="1328"/>
      <c r="EW91" s="1328"/>
      <c r="EX91" s="1328"/>
      <c r="EY91" s="1328"/>
      <c r="EZ91" s="1328"/>
      <c r="FA91" s="1328"/>
      <c r="FB91" s="1328"/>
      <c r="FC91" s="1328"/>
      <c r="FD91" s="1328"/>
      <c r="FE91" s="1328"/>
      <c r="FF91" s="1328"/>
      <c r="FG91" s="1328"/>
      <c r="FH91" s="1328"/>
      <c r="FI91" s="1328"/>
      <c r="FJ91" s="1328"/>
      <c r="FK91" s="1328"/>
      <c r="FL91" s="1328"/>
      <c r="FM91" s="1328"/>
      <c r="FN91" s="1328"/>
      <c r="FO91" s="1328"/>
      <c r="FP91" s="1328"/>
      <c r="FQ91" s="1328"/>
      <c r="FR91" s="1328"/>
      <c r="FS91" s="1328"/>
      <c r="FT91" s="1328"/>
      <c r="FU91" s="1328"/>
      <c r="FV91" s="1328"/>
      <c r="FW91" s="1328"/>
      <c r="FX91" s="1328"/>
      <c r="FY91" s="1328"/>
      <c r="FZ91" s="1014"/>
      <c r="GA91" s="1014"/>
      <c r="GB91" s="1009"/>
      <c r="GC91" s="681"/>
      <c r="GD91" s="681"/>
    </row>
    <row s="1656" customFormat="1" customHeight="1" ht="23.671875">
      <c r="A92" s="496"/>
      <c r="B92" s="879"/>
      <c r="C92" s="496"/>
      <c r="D92" s="496"/>
      <c r="E92" s="847">
        <v>15</v>
      </c>
      <c r="F92" s="497" cm="1" t="str">
        <f t="array" ref="F92:F92">X92</f>
        <v>1</v>
      </c>
      <c r="G92" s="496" cm="1" t="str">
        <f t="array" ref="G92:G92">INDEX('Общие сведения'!$AK$197:$AK$254,MATCH($X92,'Общие сведения'!$Z$197:$Z$254,0))</f>
        <v>одноставочный</v>
      </c>
      <c r="H92" s="496"/>
      <c r="I92" s="496"/>
      <c r="J92" s="496"/>
      <c r="K92" s="496"/>
      <c r="L92" s="496"/>
      <c r="M92" s="496"/>
      <c r="N92" s="496"/>
      <c r="O92" s="496"/>
      <c r="P92" s="496"/>
      <c r="Q92" s="496" cm="1" t="str">
        <f t="array" ref="Q92:Q92">INDEX('Общие сведения'!$AE$197:$AE$254,MATCH($X92,'Общие сведения'!$Z$197:$Z$254,0))</f>
        <v>Водоснабжение</v>
      </c>
      <c r="R92" s="487" cm="1" t="str">
        <f t="array" ref="R92:R92">INDEX('Общие сведения'!$AK$197:$AK$254,MATCH($X92,'Общие сведения'!$Z$197:$Z$254,0))</f>
        <v>одноставочный</v>
      </c>
      <c r="S92" s="496" cm="1" t="str">
        <f t="array" ref="S92:S92">INDEX('Общие сведения'!$AN$197:$AN$254,MATCH($X92,'Общие сведения'!$Z$197:$Z$254,0))</f>
        <v>false</v>
      </c>
      <c r="T92" s="468">
        <f>X92&gt;0</f>
        <v>1</v>
      </c>
      <c r="U92" s="496"/>
      <c r="V92" s="496" cm="1" t="str">
        <f t="array" ref="V92:V92">'Корректировка НВВ'!$AB$78</f>
        <v>Тариф 1 (Водоснабжение) - тариф на питьевую воду (Оказание услуг на территории: город Ленинск-Кузнецкий (ОКТМО: 32719000) - г Ленинск-Кузнецкий, г Полысаево)</v>
      </c>
      <c r="W92" s="496"/>
      <c r="X92" s="1559" t="s">
        <v>290</v>
      </c>
      <c r="Y92" s="496"/>
      <c r="Z92" s="1528"/>
      <c r="AA92" s="496"/>
      <c r="AB92" s="1615" t="s">
        <v>22</v>
      </c>
      <c r="AC92" s="1616"/>
      <c r="AD92" s="900" cm="1" t="str">
        <f t="array" ref="AD92:AD92">'Корректировка НВВ'!$AB$78</f>
        <v>Тариф 1 (Водоснабжение) - тариф на питьевую воду (Оказание услуг на территории: город Ленинск-Кузнецкий (ОКТМО: 32719000) - г Ленинск-Кузнецкий, г Полысаево)</v>
      </c>
      <c r="AE92" s="282"/>
      <c r="AF92" s="282"/>
      <c r="AG92" s="282"/>
      <c r="AH92" s="282"/>
      <c r="AI92" s="282"/>
      <c r="AJ92" s="282"/>
      <c r="AK92" s="282"/>
      <c r="AL92" s="282"/>
      <c r="AM92" s="282"/>
      <c r="AN92" s="282"/>
      <c r="AO92" s="282"/>
      <c r="AP92" s="282"/>
      <c r="AQ92" s="282"/>
      <c r="AR92" s="282"/>
      <c r="AS92" s="282"/>
      <c r="AT92" s="282"/>
      <c r="AU92" s="282"/>
      <c r="AV92" s="282"/>
      <c r="AW92" s="282"/>
      <c r="AX92" s="282"/>
      <c r="AY92" s="282"/>
      <c r="AZ92" s="282"/>
      <c r="BA92" s="282"/>
      <c r="BB92" s="282"/>
      <c r="BC92" s="282"/>
      <c r="BD92" s="282"/>
      <c r="BE92" s="282"/>
      <c r="BF92" s="282"/>
      <c r="BG92" s="282"/>
      <c r="BH92" s="282"/>
      <c r="BI92" s="282"/>
      <c r="BJ92" s="282"/>
      <c r="BK92" s="282"/>
      <c r="BL92" s="282"/>
      <c r="BM92" s="282"/>
      <c r="BN92" s="282"/>
      <c r="BO92" s="282"/>
      <c r="BP92" s="282"/>
      <c r="BQ92" s="282"/>
      <c r="BR92" s="282"/>
      <c r="BS92" s="282"/>
      <c r="BT92" s="282"/>
      <c r="BU92" s="282"/>
      <c r="BV92" s="282"/>
      <c r="BW92" s="282"/>
      <c r="BX92" s="282"/>
      <c r="BY92" s="282"/>
      <c r="BZ92" s="282"/>
      <c r="CA92" s="282"/>
      <c r="CB92" s="282"/>
      <c r="CC92" s="282"/>
      <c r="CD92" s="282"/>
      <c r="CE92" s="282"/>
      <c r="CF92" s="282"/>
      <c r="CG92" s="282"/>
      <c r="CH92" s="282"/>
      <c r="CI92" s="282"/>
      <c r="CJ92" s="282"/>
      <c r="CK92" s="282"/>
      <c r="CL92" s="282"/>
      <c r="CM92" s="282"/>
      <c r="CN92" s="282"/>
      <c r="CO92" s="282"/>
      <c r="CP92" s="282"/>
      <c r="CQ92" s="282"/>
      <c r="CR92" s="282"/>
      <c r="CS92" s="282"/>
      <c r="CT92" s="282"/>
      <c r="CU92" s="282"/>
      <c r="CV92" s="282"/>
      <c r="CW92" s="282"/>
      <c r="CX92" s="282"/>
      <c r="CY92" s="282"/>
      <c r="CZ92" s="282"/>
      <c r="DA92" s="282"/>
      <c r="DB92" s="282"/>
      <c r="DC92" s="282"/>
      <c r="DD92" s="282"/>
      <c r="DE92" s="282"/>
      <c r="DF92" s="282"/>
      <c r="DG92" s="282"/>
      <c r="DH92" s="282"/>
      <c r="DI92" s="282"/>
      <c r="DJ92" s="282"/>
      <c r="DK92" s="282"/>
      <c r="DL92" s="282"/>
      <c r="DM92" s="282"/>
      <c r="DN92" s="282"/>
      <c r="DO92" s="282"/>
      <c r="DP92" s="282"/>
      <c r="DQ92" s="282"/>
      <c r="DR92" s="282"/>
      <c r="DS92" s="282"/>
      <c r="DT92" s="282"/>
      <c r="DU92" s="282"/>
      <c r="DV92" s="282"/>
      <c r="DW92" s="282"/>
      <c r="DX92" s="282"/>
      <c r="DY92" s="282"/>
      <c r="DZ92" s="282"/>
      <c r="EA92" s="282"/>
      <c r="EB92" s="282"/>
      <c r="EC92" s="282"/>
      <c r="ED92" s="282"/>
      <c r="EE92" s="282"/>
      <c r="EF92" s="282"/>
      <c r="EG92" s="282"/>
      <c r="EH92" s="282"/>
      <c r="EI92" s="282"/>
      <c r="EJ92" s="282"/>
      <c r="EK92" s="282"/>
      <c r="EL92" s="282"/>
      <c r="EM92" s="282"/>
      <c r="EN92" s="282"/>
      <c r="EO92" s="282"/>
      <c r="EP92" s="282"/>
      <c r="EQ92" s="282"/>
      <c r="ER92" s="282"/>
      <c r="ES92" s="282"/>
      <c r="ET92" s="282"/>
      <c r="EU92" s="282"/>
      <c r="EV92" s="282"/>
      <c r="EW92" s="282"/>
      <c r="EX92" s="282"/>
      <c r="EY92" s="282"/>
      <c r="EZ92" s="282"/>
      <c r="FA92" s="282"/>
      <c r="FB92" s="282"/>
      <c r="FC92" s="282"/>
      <c r="FD92" s="282"/>
      <c r="FE92" s="282"/>
      <c r="FF92" s="282"/>
      <c r="FG92" s="282"/>
      <c r="FH92" s="282"/>
      <c r="FI92" s="282"/>
      <c r="FJ92" s="282"/>
      <c r="FK92" s="282"/>
      <c r="FL92" s="282"/>
      <c r="FM92" s="282"/>
      <c r="FN92" s="282"/>
      <c r="FO92" s="282"/>
      <c r="FP92" s="282"/>
      <c r="FQ92" s="282"/>
      <c r="FR92" s="282"/>
      <c r="FS92" s="282"/>
      <c r="FT92" s="282"/>
      <c r="FU92" s="282"/>
      <c r="FV92" s="282"/>
      <c r="FW92" s="283"/>
      <c r="FX92" s="1328"/>
      <c r="FY92" s="1328"/>
      <c r="FZ92" s="1330"/>
      <c r="GA92" s="1330"/>
      <c r="GB92" s="1330"/>
      <c r="GC92" s="1329"/>
      <c r="GD92" s="1329"/>
    </row>
    <row s="1656" customFormat="1" customHeight="1" ht="19.171875">
      <c r="A93" s="496"/>
      <c r="B93" s="879"/>
      <c r="C93" s="496"/>
      <c r="D93" s="496"/>
      <c r="E93" s="847">
        <v>15</v>
      </c>
      <c r="F93" s="50" cm="1" t="str">
        <f t="array" ref="F93:F93">OFFSET(E93,-1,1)</f>
        <v>1</v>
      </c>
      <c r="G93" s="496"/>
      <c r="H93" s="496"/>
      <c r="I93" s="496"/>
      <c r="J93" s="496"/>
      <c r="K93" s="496"/>
      <c r="L93" s="496"/>
      <c r="M93" s="496"/>
      <c r="N93" s="496"/>
      <c r="O93" s="496"/>
      <c r="P93" s="496"/>
      <c r="Q93" s="496"/>
      <c r="R93" s="487"/>
      <c r="S93" s="487"/>
      <c r="T93" s="468" cm="1" t="str">
        <f t="array" ref="T93:T93">T92</f>
        <v>true</v>
      </c>
      <c r="U93" s="496"/>
      <c r="V93" s="496"/>
      <c r="W93" s="496"/>
      <c r="X93" s="1559"/>
      <c r="Y93" s="496"/>
      <c r="Z93" s="1528"/>
      <c r="AA93" s="496"/>
      <c r="AB93" s="1508" t="str">
        <f>"Вид "&amp;IF(ISERROR(SEARCH("Водоснабжение",AD92)),"сточных вод","воды")</f>
        <v>Вид воды</v>
      </c>
      <c r="AC93" s="1509"/>
      <c r="AD93" s="900" cm="1" t="str">
        <f t="array" ref="AD93:AD93">INDEX('Общие сведения'!$AH$197:$AH$254,MATCH($X92,'Общие сведения'!$Z$197:$Z$254,0))</f>
        <v>питьевая вода</v>
      </c>
      <c r="AE93" s="284"/>
      <c r="AF93" s="284"/>
      <c r="AG93" s="284"/>
      <c r="AH93" s="284"/>
      <c r="AI93" s="284"/>
      <c r="AJ93" s="284"/>
      <c r="AK93" s="284"/>
      <c r="AL93" s="284"/>
      <c r="AM93" s="284"/>
      <c r="AN93" s="284"/>
      <c r="AO93" s="284"/>
      <c r="AP93" s="284"/>
      <c r="AQ93" s="284"/>
      <c r="AR93" s="284"/>
      <c r="AS93" s="284"/>
      <c r="AT93" s="284"/>
      <c r="AU93" s="284"/>
      <c r="AV93" s="284"/>
      <c r="AW93" s="284"/>
      <c r="AX93" s="284"/>
      <c r="AY93" s="284"/>
      <c r="AZ93" s="284"/>
      <c r="BA93" s="284"/>
      <c r="BB93" s="284"/>
      <c r="BC93" s="284"/>
      <c r="BD93" s="284"/>
      <c r="BE93" s="284"/>
      <c r="BF93" s="284"/>
      <c r="BG93" s="284"/>
      <c r="BH93" s="284"/>
      <c r="BI93" s="284"/>
      <c r="BJ93" s="284"/>
      <c r="BK93" s="284"/>
      <c r="BL93" s="284"/>
      <c r="BM93" s="284"/>
      <c r="BN93" s="284"/>
      <c r="BO93" s="284"/>
      <c r="BP93" s="284"/>
      <c r="BQ93" s="284"/>
      <c r="BR93" s="284"/>
      <c r="BS93" s="284"/>
      <c r="BT93" s="284"/>
      <c r="BU93" s="284"/>
      <c r="BV93" s="284"/>
      <c r="BW93" s="284"/>
      <c r="BX93" s="284"/>
      <c r="BY93" s="284"/>
      <c r="BZ93" s="284"/>
      <c r="CA93" s="284"/>
      <c r="CB93" s="284"/>
      <c r="CC93" s="284"/>
      <c r="CD93" s="284"/>
      <c r="CE93" s="284"/>
      <c r="CF93" s="284"/>
      <c r="CG93" s="284"/>
      <c r="CH93" s="284"/>
      <c r="CI93" s="284"/>
      <c r="CJ93" s="284"/>
      <c r="CK93" s="284"/>
      <c r="CL93" s="284"/>
      <c r="CM93" s="284"/>
      <c r="CN93" s="284"/>
      <c r="CO93" s="284"/>
      <c r="CP93" s="284"/>
      <c r="CQ93" s="284"/>
      <c r="CR93" s="284"/>
      <c r="CS93" s="284"/>
      <c r="CT93" s="284"/>
      <c r="CU93" s="284"/>
      <c r="CV93" s="284"/>
      <c r="CW93" s="284"/>
      <c r="CX93" s="284"/>
      <c r="CY93" s="284"/>
      <c r="CZ93" s="284"/>
      <c r="DA93" s="284"/>
      <c r="DB93" s="284"/>
      <c r="DC93" s="284"/>
      <c r="DD93" s="284"/>
      <c r="DE93" s="284"/>
      <c r="DF93" s="284"/>
      <c r="DG93" s="284"/>
      <c r="DH93" s="284"/>
      <c r="DI93" s="284"/>
      <c r="DJ93" s="284"/>
      <c r="DK93" s="284"/>
      <c r="DL93" s="284"/>
      <c r="DM93" s="284"/>
      <c r="DN93" s="284"/>
      <c r="DO93" s="284"/>
      <c r="DP93" s="284"/>
      <c r="DQ93" s="284"/>
      <c r="DR93" s="284"/>
      <c r="DS93" s="284"/>
      <c r="DT93" s="284"/>
      <c r="DU93" s="284"/>
      <c r="DV93" s="284"/>
      <c r="DW93" s="284"/>
      <c r="DX93" s="284"/>
      <c r="DY93" s="284"/>
      <c r="DZ93" s="284"/>
      <c r="EA93" s="284"/>
      <c r="EB93" s="284"/>
      <c r="EC93" s="284"/>
      <c r="ED93" s="284"/>
      <c r="EE93" s="284"/>
      <c r="EF93" s="284"/>
      <c r="EG93" s="284"/>
      <c r="EH93" s="284"/>
      <c r="EI93" s="284"/>
      <c r="EJ93" s="284"/>
      <c r="EK93" s="284"/>
      <c r="EL93" s="284"/>
      <c r="EM93" s="284"/>
      <c r="EN93" s="284"/>
      <c r="EO93" s="284"/>
      <c r="EP93" s="284"/>
      <c r="EQ93" s="284"/>
      <c r="ER93" s="284"/>
      <c r="ES93" s="284"/>
      <c r="ET93" s="284"/>
      <c r="EU93" s="284"/>
      <c r="EV93" s="284"/>
      <c r="EW93" s="284"/>
      <c r="EX93" s="284"/>
      <c r="EY93" s="284"/>
      <c r="EZ93" s="284"/>
      <c r="FA93" s="284"/>
      <c r="FB93" s="284"/>
      <c r="FC93" s="284"/>
      <c r="FD93" s="284"/>
      <c r="FE93" s="284"/>
      <c r="FF93" s="284"/>
      <c r="FG93" s="284"/>
      <c r="FH93" s="284"/>
      <c r="FI93" s="284"/>
      <c r="FJ93" s="284"/>
      <c r="FK93" s="284"/>
      <c r="FL93" s="284"/>
      <c r="FM93" s="284"/>
      <c r="FN93" s="284"/>
      <c r="FO93" s="284"/>
      <c r="FP93" s="284"/>
      <c r="FQ93" s="284"/>
      <c r="FR93" s="284"/>
      <c r="FS93" s="284"/>
      <c r="FT93" s="284"/>
      <c r="FU93" s="284"/>
      <c r="FV93" s="284"/>
      <c r="FW93" s="285"/>
      <c r="FX93" s="1328"/>
      <c r="FY93" s="1328"/>
      <c r="FZ93" s="1330"/>
      <c r="GA93" s="1330"/>
      <c r="GB93" s="1330"/>
      <c r="GC93" s="1329"/>
      <c r="GD93" s="1329"/>
    </row>
    <row s="1656" customFormat="1" customHeight="1" ht="20.671875">
      <c r="A94" s="496"/>
      <c r="B94" s="879"/>
      <c r="C94" s="496"/>
      <c r="D94" s="496"/>
      <c r="E94" s="847">
        <v>15</v>
      </c>
      <c r="F94" s="50" cm="1" t="str">
        <f t="array" ref="F94:F94">OFFSET(E94,-1,1)</f>
        <v>1</v>
      </c>
      <c r="G94" s="496"/>
      <c r="H94" s="496"/>
      <c r="I94" s="496"/>
      <c r="J94" s="496"/>
      <c r="K94" s="496"/>
      <c r="L94" s="496"/>
      <c r="M94" s="496"/>
      <c r="N94" s="496"/>
      <c r="O94" s="496"/>
      <c r="P94" s="496"/>
      <c r="Q94" s="496"/>
      <c r="R94" s="487"/>
      <c r="S94" s="487"/>
      <c r="T94" s="468" cm="1" t="str">
        <f t="array" ref="T94:T94">T93</f>
        <v>true</v>
      </c>
      <c r="U94" s="496"/>
      <c r="V94" s="496"/>
      <c r="W94" s="496"/>
      <c r="X94" s="1559"/>
      <c r="Y94" s="496"/>
      <c r="Z94" s="1528"/>
      <c r="AA94" s="496"/>
      <c r="AB94" s="1508" t="s">
        <v>1856</v>
      </c>
      <c r="AC94" s="1509"/>
      <c r="AD94" s="900" cm="1" t="str">
        <f t="array" ref="AD94:AD94">INDEX('Общие сведения'!$AI$197:$AI$254,MATCH($X92,'Общие сведения'!$Z$197:$Z$254,0))</f>
        <v>тариф на питьевую воду</v>
      </c>
      <c r="AE94" s="284"/>
      <c r="AF94" s="284"/>
      <c r="AG94" s="284"/>
      <c r="AH94" s="284"/>
      <c r="AI94" s="284"/>
      <c r="AJ94" s="284"/>
      <c r="AK94" s="284"/>
      <c r="AL94" s="284"/>
      <c r="AM94" s="284"/>
      <c r="AN94" s="284"/>
      <c r="AO94" s="284"/>
      <c r="AP94" s="284"/>
      <c r="AQ94" s="284"/>
      <c r="AR94" s="284"/>
      <c r="AS94" s="284"/>
      <c r="AT94" s="284"/>
      <c r="AU94" s="284"/>
      <c r="AV94" s="284"/>
      <c r="AW94" s="284"/>
      <c r="AX94" s="284"/>
      <c r="AY94" s="284"/>
      <c r="AZ94" s="284"/>
      <c r="BA94" s="284"/>
      <c r="BB94" s="284"/>
      <c r="BC94" s="284"/>
      <c r="BD94" s="284"/>
      <c r="BE94" s="284"/>
      <c r="BF94" s="284"/>
      <c r="BG94" s="284"/>
      <c r="BH94" s="284"/>
      <c r="BI94" s="284"/>
      <c r="BJ94" s="284"/>
      <c r="BK94" s="284"/>
      <c r="BL94" s="284"/>
      <c r="BM94" s="284"/>
      <c r="BN94" s="284"/>
      <c r="BO94" s="284"/>
      <c r="BP94" s="284"/>
      <c r="BQ94" s="284"/>
      <c r="BR94" s="284"/>
      <c r="BS94" s="284"/>
      <c r="BT94" s="284"/>
      <c r="BU94" s="284"/>
      <c r="BV94" s="284"/>
      <c r="BW94" s="284"/>
      <c r="BX94" s="284"/>
      <c r="BY94" s="284"/>
      <c r="BZ94" s="284"/>
      <c r="CA94" s="284"/>
      <c r="CB94" s="284"/>
      <c r="CC94" s="284"/>
      <c r="CD94" s="284"/>
      <c r="CE94" s="284"/>
      <c r="CF94" s="284"/>
      <c r="CG94" s="284"/>
      <c r="CH94" s="284"/>
      <c r="CI94" s="284"/>
      <c r="CJ94" s="284"/>
      <c r="CK94" s="284"/>
      <c r="CL94" s="284"/>
      <c r="CM94" s="284"/>
      <c r="CN94" s="284"/>
      <c r="CO94" s="284"/>
      <c r="CP94" s="284"/>
      <c r="CQ94" s="284"/>
      <c r="CR94" s="284"/>
      <c r="CS94" s="284"/>
      <c r="CT94" s="284"/>
      <c r="CU94" s="284"/>
      <c r="CV94" s="284"/>
      <c r="CW94" s="284"/>
      <c r="CX94" s="284"/>
      <c r="CY94" s="284"/>
      <c r="CZ94" s="284"/>
      <c r="DA94" s="284"/>
      <c r="DB94" s="284"/>
      <c r="DC94" s="284"/>
      <c r="DD94" s="284"/>
      <c r="DE94" s="284"/>
      <c r="DF94" s="284"/>
      <c r="DG94" s="284"/>
      <c r="DH94" s="284"/>
      <c r="DI94" s="284"/>
      <c r="DJ94" s="284"/>
      <c r="DK94" s="284"/>
      <c r="DL94" s="284"/>
      <c r="DM94" s="284"/>
      <c r="DN94" s="284"/>
      <c r="DO94" s="284"/>
      <c r="DP94" s="284"/>
      <c r="DQ94" s="284"/>
      <c r="DR94" s="284"/>
      <c r="DS94" s="284"/>
      <c r="DT94" s="284"/>
      <c r="DU94" s="284"/>
      <c r="DV94" s="284"/>
      <c r="DW94" s="284"/>
      <c r="DX94" s="284"/>
      <c r="DY94" s="284"/>
      <c r="DZ94" s="284"/>
      <c r="EA94" s="284"/>
      <c r="EB94" s="284"/>
      <c r="EC94" s="284"/>
      <c r="ED94" s="284"/>
      <c r="EE94" s="284"/>
      <c r="EF94" s="284"/>
      <c r="EG94" s="284"/>
      <c r="EH94" s="284"/>
      <c r="EI94" s="284"/>
      <c r="EJ94" s="284"/>
      <c r="EK94" s="284"/>
      <c r="EL94" s="284"/>
      <c r="EM94" s="284"/>
      <c r="EN94" s="284"/>
      <c r="EO94" s="284"/>
      <c r="EP94" s="284"/>
      <c r="EQ94" s="284"/>
      <c r="ER94" s="284"/>
      <c r="ES94" s="284"/>
      <c r="ET94" s="284"/>
      <c r="EU94" s="284"/>
      <c r="EV94" s="284"/>
      <c r="EW94" s="284"/>
      <c r="EX94" s="284"/>
      <c r="EY94" s="284"/>
      <c r="EZ94" s="284"/>
      <c r="FA94" s="284"/>
      <c r="FB94" s="284"/>
      <c r="FC94" s="284"/>
      <c r="FD94" s="284"/>
      <c r="FE94" s="284"/>
      <c r="FF94" s="284"/>
      <c r="FG94" s="284"/>
      <c r="FH94" s="284"/>
      <c r="FI94" s="284"/>
      <c r="FJ94" s="284"/>
      <c r="FK94" s="284"/>
      <c r="FL94" s="284"/>
      <c r="FM94" s="284"/>
      <c r="FN94" s="284"/>
      <c r="FO94" s="284"/>
      <c r="FP94" s="284"/>
      <c r="FQ94" s="284"/>
      <c r="FR94" s="284"/>
      <c r="FS94" s="284"/>
      <c r="FT94" s="284"/>
      <c r="FU94" s="284"/>
      <c r="FV94" s="284"/>
      <c r="FW94" s="285"/>
      <c r="FX94" s="1328"/>
      <c r="FY94" s="1328"/>
      <c r="FZ94" s="1330"/>
      <c r="GA94" s="1330"/>
      <c r="GB94" s="1330"/>
      <c r="GC94" s="1329"/>
      <c r="GD94" s="1329"/>
    </row>
    <row s="1656" customFormat="1" customHeight="1" ht="25.171875">
      <c r="A95" s="496"/>
      <c r="B95" s="879"/>
      <c r="C95" s="496"/>
      <c r="D95" s="496"/>
      <c r="E95" s="847">
        <v>15</v>
      </c>
      <c r="F95" s="50" cm="1" t="str">
        <f t="array" ref="F95:F95">OFFSET(E95,-1,1)</f>
        <v>1</v>
      </c>
      <c r="G95" s="496"/>
      <c r="H95" s="496"/>
      <c r="I95" s="496"/>
      <c r="J95" s="496"/>
      <c r="K95" s="496"/>
      <c r="L95" s="496"/>
      <c r="M95" s="496"/>
      <c r="N95" s="496"/>
      <c r="O95" s="496"/>
      <c r="P95" s="496"/>
      <c r="Q95" s="935"/>
      <c r="R95" s="496"/>
      <c r="S95" s="487"/>
      <c r="T95" s="468" cm="1" t="str">
        <f t="array" ref="T95:T95">T94</f>
        <v>true</v>
      </c>
      <c r="U95" s="496"/>
      <c r="V95" s="496"/>
      <c r="W95" s="496"/>
      <c r="X95" s="1559"/>
      <c r="Y95" s="496"/>
      <c r="Z95" s="1528"/>
      <c r="AA95" s="496"/>
      <c r="AB95" s="1508" t="s">
        <v>1857</v>
      </c>
      <c r="AC95" s="1509"/>
      <c r="AD95" s="900" cm="1" t="str">
        <f t="array" ref="AD95:AD95">INDEX('Общие сведения'!$AJ$197:$AJ$254,MATCH($X92,'Общие сведения'!$Z$197:$Z$254,0))</f>
        <v>Оказание услуг на территории: город Ленинск-Кузнецкий (ОКТМО: 32719000) - г Ленинск-Кузнецкий, г Полысаево</v>
      </c>
      <c r="AE95" s="284"/>
      <c r="AF95" s="284"/>
      <c r="AG95" s="284"/>
      <c r="AH95" s="284"/>
      <c r="AI95" s="284"/>
      <c r="AJ95" s="284"/>
      <c r="AK95" s="284"/>
      <c r="AL95" s="284"/>
      <c r="AM95" s="284"/>
      <c r="AN95" s="284"/>
      <c r="AO95" s="284"/>
      <c r="AP95" s="284"/>
      <c r="AQ95" s="284"/>
      <c r="AR95" s="284"/>
      <c r="AS95" s="284"/>
      <c r="AT95" s="284"/>
      <c r="AU95" s="284"/>
      <c r="AV95" s="284"/>
      <c r="AW95" s="284"/>
      <c r="AX95" s="284"/>
      <c r="AY95" s="284"/>
      <c r="AZ95" s="284"/>
      <c r="BA95" s="284"/>
      <c r="BB95" s="284"/>
      <c r="BC95" s="284"/>
      <c r="BD95" s="284"/>
      <c r="BE95" s="284"/>
      <c r="BF95" s="284"/>
      <c r="BG95" s="284"/>
      <c r="BH95" s="284"/>
      <c r="BI95" s="284"/>
      <c r="BJ95" s="284"/>
      <c r="BK95" s="284"/>
      <c r="BL95" s="284"/>
      <c r="BM95" s="284"/>
      <c r="BN95" s="284"/>
      <c r="BO95" s="284"/>
      <c r="BP95" s="284"/>
      <c r="BQ95" s="284"/>
      <c r="BR95" s="284"/>
      <c r="BS95" s="284"/>
      <c r="BT95" s="284"/>
      <c r="BU95" s="284"/>
      <c r="BV95" s="284"/>
      <c r="BW95" s="284"/>
      <c r="BX95" s="284"/>
      <c r="BY95" s="284"/>
      <c r="BZ95" s="284"/>
      <c r="CA95" s="284"/>
      <c r="CB95" s="284"/>
      <c r="CC95" s="284"/>
      <c r="CD95" s="284"/>
      <c r="CE95" s="284"/>
      <c r="CF95" s="284"/>
      <c r="CG95" s="284"/>
      <c r="CH95" s="284"/>
      <c r="CI95" s="284"/>
      <c r="CJ95" s="284"/>
      <c r="CK95" s="284"/>
      <c r="CL95" s="284"/>
      <c r="CM95" s="284"/>
      <c r="CN95" s="284"/>
      <c r="CO95" s="284"/>
      <c r="CP95" s="284"/>
      <c r="CQ95" s="284"/>
      <c r="CR95" s="284"/>
      <c r="CS95" s="284"/>
      <c r="CT95" s="284"/>
      <c r="CU95" s="284"/>
      <c r="CV95" s="284"/>
      <c r="CW95" s="284"/>
      <c r="CX95" s="284"/>
      <c r="CY95" s="284"/>
      <c r="CZ95" s="284"/>
      <c r="DA95" s="284"/>
      <c r="DB95" s="284"/>
      <c r="DC95" s="284"/>
      <c r="DD95" s="284"/>
      <c r="DE95" s="284"/>
      <c r="DF95" s="284"/>
      <c r="DG95" s="284"/>
      <c r="DH95" s="284"/>
      <c r="DI95" s="284"/>
      <c r="DJ95" s="284"/>
      <c r="DK95" s="284"/>
      <c r="DL95" s="284"/>
      <c r="DM95" s="284"/>
      <c r="DN95" s="284"/>
      <c r="DO95" s="284"/>
      <c r="DP95" s="284"/>
      <c r="DQ95" s="284"/>
      <c r="DR95" s="284"/>
      <c r="DS95" s="284"/>
      <c r="DT95" s="284"/>
      <c r="DU95" s="284"/>
      <c r="DV95" s="284"/>
      <c r="DW95" s="284"/>
      <c r="DX95" s="284"/>
      <c r="DY95" s="284"/>
      <c r="DZ95" s="284"/>
      <c r="EA95" s="284"/>
      <c r="EB95" s="284"/>
      <c r="EC95" s="284"/>
      <c r="ED95" s="284"/>
      <c r="EE95" s="284"/>
      <c r="EF95" s="284"/>
      <c r="EG95" s="284"/>
      <c r="EH95" s="284"/>
      <c r="EI95" s="284"/>
      <c r="EJ95" s="284"/>
      <c r="EK95" s="284"/>
      <c r="EL95" s="284"/>
      <c r="EM95" s="284"/>
      <c r="EN95" s="284"/>
      <c r="EO95" s="284"/>
      <c r="EP95" s="284"/>
      <c r="EQ95" s="284"/>
      <c r="ER95" s="284"/>
      <c r="ES95" s="284"/>
      <c r="ET95" s="284"/>
      <c r="EU95" s="284"/>
      <c r="EV95" s="284"/>
      <c r="EW95" s="284"/>
      <c r="EX95" s="284"/>
      <c r="EY95" s="284"/>
      <c r="EZ95" s="284"/>
      <c r="FA95" s="284"/>
      <c r="FB95" s="284"/>
      <c r="FC95" s="284"/>
      <c r="FD95" s="284"/>
      <c r="FE95" s="284"/>
      <c r="FF95" s="284"/>
      <c r="FG95" s="284"/>
      <c r="FH95" s="284"/>
      <c r="FI95" s="284"/>
      <c r="FJ95" s="284"/>
      <c r="FK95" s="284"/>
      <c r="FL95" s="284"/>
      <c r="FM95" s="284"/>
      <c r="FN95" s="284"/>
      <c r="FO95" s="284"/>
      <c r="FP95" s="284"/>
      <c r="FQ95" s="284"/>
      <c r="FR95" s="284"/>
      <c r="FS95" s="284"/>
      <c r="FT95" s="284"/>
      <c r="FU95" s="284"/>
      <c r="FV95" s="284"/>
      <c r="FW95" s="285"/>
      <c r="FX95" s="1328"/>
      <c r="FY95" s="1328"/>
      <c r="FZ95" s="1330"/>
      <c r="GA95" s="1330"/>
      <c r="GB95" s="1330"/>
      <c r="GC95" s="1329"/>
      <c r="GD95" s="1329"/>
    </row>
    <row s="1656" customFormat="1" customHeight="1" ht="19.624023437500004">
      <c r="A96" s="496"/>
      <c r="B96" s="932">
        <f>AND(R92="одноставочный",NOT(S92))</f>
        <v>1</v>
      </c>
      <c r="C96" s="496"/>
      <c r="D96" s="496"/>
      <c r="E96" s="847">
        <v>15</v>
      </c>
      <c r="F96" s="50" cm="1" t="str">
        <f t="array" ref="F96:F96">OFFSET(E96,-1,1)</f>
        <v>1</v>
      </c>
      <c r="G96" s="496"/>
      <c r="H96" s="496"/>
      <c r="I96" s="496"/>
      <c r="J96" s="496"/>
      <c r="K96" s="496"/>
      <c r="L96" s="496"/>
      <c r="M96" s="496"/>
      <c r="N96" s="496"/>
      <c r="O96" s="496"/>
      <c r="P96" s="496"/>
      <c r="Q96" s="496"/>
      <c r="R96" s="496"/>
      <c r="S96" s="496"/>
      <c r="T96" s="468" cm="1" t="str">
        <f t="array" ref="T96:T96">T95</f>
        <v>true</v>
      </c>
      <c r="U96" s="496"/>
      <c r="V96" s="496"/>
      <c r="W96" s="496"/>
      <c r="X96" s="1559"/>
      <c r="Y96" s="496"/>
      <c r="Z96" s="1528"/>
      <c r="AA96" s="496"/>
      <c r="AB96" s="901" t="s">
        <v>1858</v>
      </c>
      <c r="AC96" s="902"/>
      <c r="AD96" s="903"/>
      <c r="AE96" s="903"/>
      <c r="AF96" s="903"/>
      <c r="AG96" s="903"/>
      <c r="AH96" s="903"/>
      <c r="AI96" s="903"/>
      <c r="AJ96" s="903"/>
      <c r="AK96" s="903"/>
      <c r="AL96" s="903"/>
      <c r="AM96" s="903"/>
      <c r="AN96" s="903"/>
      <c r="AO96" s="903"/>
      <c r="AP96" s="903"/>
      <c r="AQ96" s="903"/>
      <c r="AR96" s="903"/>
      <c r="AS96" s="903"/>
      <c r="AT96" s="903"/>
      <c r="AU96" s="903"/>
      <c r="AV96" s="903"/>
      <c r="AW96" s="903"/>
      <c r="AX96" s="903"/>
      <c r="AY96" s="903"/>
      <c r="AZ96" s="903"/>
      <c r="BA96" s="903"/>
      <c r="BB96" s="903"/>
      <c r="BC96" s="903"/>
      <c r="BD96" s="903"/>
      <c r="BE96" s="903"/>
      <c r="BF96" s="903"/>
      <c r="BG96" s="903"/>
      <c r="BH96" s="903"/>
      <c r="BI96" s="903"/>
      <c r="BJ96" s="914"/>
      <c r="BK96" s="903"/>
      <c r="BL96" s="903"/>
      <c r="BM96" s="914"/>
      <c r="BN96" s="903"/>
      <c r="BO96" s="903"/>
      <c r="BP96" s="914"/>
      <c r="BQ96" s="903"/>
      <c r="BR96" s="903"/>
      <c r="BS96" s="914"/>
      <c r="BT96" s="903"/>
      <c r="BU96" s="903"/>
      <c r="BV96" s="914"/>
      <c r="BW96" s="903"/>
      <c r="BX96" s="903"/>
      <c r="BY96" s="914"/>
      <c r="BZ96" s="903"/>
      <c r="CA96" s="903"/>
      <c r="CB96" s="914"/>
      <c r="CC96" s="903"/>
      <c r="CD96" s="903"/>
      <c r="CE96" s="914"/>
      <c r="CF96" s="903"/>
      <c r="CG96" s="903"/>
      <c r="CH96" s="914"/>
      <c r="CI96" s="903"/>
      <c r="CJ96" s="903"/>
      <c r="CK96" s="914"/>
      <c r="CL96" s="903"/>
      <c r="CM96" s="903"/>
      <c r="CN96" s="914"/>
      <c r="CO96" s="903"/>
      <c r="CP96" s="903"/>
      <c r="CQ96" s="914"/>
      <c r="CR96" s="903"/>
      <c r="CS96" s="903"/>
      <c r="CT96" s="914"/>
      <c r="CU96" s="903"/>
      <c r="CV96" s="903"/>
      <c r="CW96" s="914"/>
      <c r="CX96" s="903"/>
      <c r="CY96" s="903"/>
      <c r="CZ96" s="914"/>
      <c r="DA96" s="903"/>
      <c r="DB96" s="903"/>
      <c r="DC96" s="914"/>
      <c r="DD96" s="903"/>
      <c r="DE96" s="903"/>
      <c r="DF96" s="287"/>
      <c r="DG96" s="286"/>
      <c r="DH96" s="286"/>
      <c r="DI96" s="287"/>
      <c r="DJ96" s="286"/>
      <c r="DK96" s="286"/>
      <c r="DL96" s="287"/>
      <c r="DM96" s="286"/>
      <c r="DN96" s="286"/>
      <c r="DO96" s="287"/>
      <c r="DP96" s="286"/>
      <c r="DQ96" s="286"/>
      <c r="DR96" s="287"/>
      <c r="DS96" s="286"/>
      <c r="DT96" s="286"/>
      <c r="DU96" s="287"/>
      <c r="DV96" s="286"/>
      <c r="DW96" s="286"/>
      <c r="DX96" s="287"/>
      <c r="DY96" s="286"/>
      <c r="DZ96" s="286"/>
      <c r="EA96" s="287"/>
      <c r="EB96" s="286"/>
      <c r="EC96" s="286"/>
      <c r="ED96" s="287"/>
      <c r="EE96" s="286"/>
      <c r="EF96" s="286"/>
      <c r="EG96" s="287"/>
      <c r="EH96" s="286"/>
      <c r="EI96" s="286"/>
      <c r="EJ96" s="287"/>
      <c r="EK96" s="286"/>
      <c r="EL96" s="286"/>
      <c r="EM96" s="287"/>
      <c r="EN96" s="286"/>
      <c r="EO96" s="286"/>
      <c r="EP96" s="287"/>
      <c r="EQ96" s="286"/>
      <c r="ER96" s="286"/>
      <c r="ES96" s="287"/>
      <c r="ET96" s="286"/>
      <c r="EU96" s="286"/>
      <c r="EV96" s="287"/>
      <c r="EW96" s="286"/>
      <c r="EX96" s="286"/>
      <c r="EY96" s="287"/>
      <c r="EZ96" s="286"/>
      <c r="FA96" s="286"/>
      <c r="FB96" s="287"/>
      <c r="FC96" s="286"/>
      <c r="FD96" s="286"/>
      <c r="FE96" s="287"/>
      <c r="FF96" s="286"/>
      <c r="FG96" s="286"/>
      <c r="FH96" s="287"/>
      <c r="FI96" s="286"/>
      <c r="FJ96" s="286"/>
      <c r="FK96" s="287"/>
      <c r="FL96" s="286"/>
      <c r="FM96" s="286"/>
      <c r="FN96" s="287"/>
      <c r="FO96" s="286"/>
      <c r="FP96" s="286"/>
      <c r="FQ96" s="287"/>
      <c r="FR96" s="286"/>
      <c r="FS96" s="286"/>
      <c r="FT96" s="287"/>
      <c r="FU96" s="286"/>
      <c r="FV96" s="286"/>
      <c r="FW96" s="287"/>
      <c r="FX96" s="1328"/>
      <c r="FY96" s="1328"/>
      <c r="FZ96" s="1330"/>
      <c r="GA96" s="1330"/>
      <c r="GB96" s="1330"/>
      <c r="GC96" s="1329"/>
      <c r="GD96" s="1329"/>
    </row>
    <row s="4619" customFormat="1" customHeight="1" ht="28.921875">
      <c r="A97" s="904"/>
      <c r="B97" s="932" cm="1" t="str">
        <f t="array" ref="B97:B97">B96</f>
        <v>true</v>
      </c>
      <c r="C97" s="904"/>
      <c r="D97" s="904"/>
      <c r="E97" s="905">
        <v>24.5</v>
      </c>
      <c r="F97" s="50" cm="1" t="str">
        <f t="array" ref="F97:F97">OFFSET(E97,-1,1)</f>
        <v>1</v>
      </c>
      <c r="G97" s="496" t="s">
        <v>1859</v>
      </c>
      <c r="H97" s="496" t="s">
        <v>566</v>
      </c>
      <c r="I97" s="496" t="s">
        <v>1860</v>
      </c>
      <c r="J97" s="904"/>
      <c r="K97" s="904"/>
      <c r="L97" s="496"/>
      <c r="M97" s="904"/>
      <c r="N97" s="904"/>
      <c r="O97" s="904"/>
      <c r="P97" s="904"/>
      <c r="Q97" s="904"/>
      <c r="R97" s="904"/>
      <c r="S97" s="496"/>
      <c r="T97" s="468" cm="1" t="str">
        <f t="array" ref="T97:T97">T96</f>
        <v>true</v>
      </c>
      <c r="U97" s="904"/>
      <c r="V97" s="904"/>
      <c r="W97" s="904"/>
      <c r="X97" s="1559"/>
      <c r="Y97" s="904"/>
      <c r="Z97" s="1528"/>
      <c r="AA97" s="904"/>
      <c r="AB97" s="289" t="s">
        <v>1861</v>
      </c>
      <c r="AC97" s="290" t="s">
        <v>1862</v>
      </c>
      <c r="AD97" s="906">
        <f>IF(AND(method_reg="Метод индексации",god&lt;&gt;first_year),_xlfn.SUMIFS(INDEX('Калькуляция (МИ корр)'!$AJ$25:$BC$606,,MATCH(AD$8,'Калькуляция (МИ корр)'!$AJ$8:$BC$8,0)),'Калькуляция (МИ корр)'!$F$25:$F$606,$F97,'Калькуляция (МИ корр)'!$G$25:$G$606,$G97),IF(method_reg="Метод экономически обоснованных расходов",_xlfn.SUMIFS('Калькуляция (МЭОР)'!$AJ$25:$AJ$367,'Калькуляция (МЭОР)'!$F$25:$F$367,$F97,'Калькуляция (МЭОР)'!$G$25:$G$367,$G97),IF(method_reg="Метод сравнения аналогов",_xlfn.SUMIFS('Калькуляция (МСА)'!$AE$25:$AE$103,'Калькуляция (МСА)'!$F$25:$F$103,$F97,'Калькуляция (МСА)'!$G$25:$G$103,$G97),_xlfn.SUMIFS(INDEX('Калькуляция (МИ)'!$AJ$25:$BC$603,,MATCH(AD$8,'Калькуляция (МИ)'!$AJ$8:$BC$8,0)),'Калькуляция (МИ)'!$F$25:$F$603,$F97,'Калькуляция (МИ)'!$G$25:$G$603,$G97))))</f>
        <v>99.9013421891772</v>
      </c>
      <c r="AE97" s="906">
        <f>IF(AND(method_reg="Метод индексации",god&lt;&gt;first_year),_xlfn.SUMIFS(INDEX('Калькуляция (МИ корр)'!$AJ$25:$BC$606,,MATCH(AE$8,'Калькуляция (МИ корр)'!$AJ$8:$BC$8,0)),'Калькуляция (МИ корр)'!$F$25:$F$606,$F97,'Калькуляция (МИ корр)'!$G$25:$G$606,$G97),IF(method_reg="Метод экономически обоснованных расходов",_xlfn.SUMIFS('Калькуляция (МЭОР)'!$AK$25:$AK$367,'Калькуляция (МЭОР)'!$F$25:$F$367,$F97,'Калькуляция (МЭОР)'!$G$25:$G$367,$G97),IF(method_reg="Метод сравнения аналогов",_xlfn.SUMIFS('Калькуляция (МСА)'!$AF$25:$AF$103,'Калькуляция (МСА)'!$F$25:$F$103,$F97,'Калькуляция (МСА)'!$G$25:$G$103,$G97),_xlfn.SUMIFS(INDEX('Калькуляция (МИ)'!$AJ$25:$BC$603,,MATCH(AE$8,'Калькуляция (МИ)'!$AJ$8:$BC$8,0)),'Калькуляция (МИ)'!$F$25:$F$603,$F97,'Калькуляция (МИ)'!$G$25:$G$603,$G97))))</f>
        <v>53.92</v>
      </c>
      <c r="AF97" s="292">
        <f>IF(AD97=0,0,(AE97-AD97)/AD97*100)</f>
        <v>-46.0267511742786</v>
      </c>
      <c r="AG97" s="4576">
        <f>IF(AND(method_reg="Метод индексации",god&lt;&gt;first_year),_xlfn.SUMIFS(INDEX('Калькуляция (МИ корр)'!$AJ$25:$BC$606,,MATCH(AG$8,'Калькуляция (МИ корр)'!$AJ$8:$BC$8,0)),'Калькуляция (МИ корр)'!$F$25:$F$606,$F97,'Калькуляция (МИ корр)'!$G$25:$G$606,$G97),IF(method_reg="Метод экономически обоснованных расходов",_xlfn.SUMIFS('Калькуляция (МЭОР)'!$AJ$25:$AJ$367,'Калькуляция (МЭОР)'!$F$25:$F$367,$F97,'Калькуляция (МЭОР)'!$G$25:$G$367,$G97),IF(method_reg="Метод сравнения аналогов",_xlfn.SUMIFS('Калькуляция (МСА)'!$AE$25:$AE$103,'Калькуляция (МСА)'!$F$25:$F$103,$F97,'Калькуляция (МСА)'!$G$25:$G$103,$G97),_xlfn.SUMIFS(INDEX('Калькуляция (МИ)'!$AJ$25:$BC$603,,MATCH(AG$8,'Калькуляция (МИ)'!$AJ$8:$BC$8,0)),'Калькуляция (МИ)'!$F$25:$F$603,$F97,'Калькуляция (МИ)'!$G$25:$G$603,$G97))))</f>
        <v>0</v>
      </c>
      <c r="AH97" s="4576">
        <f>IF(AND(method_reg="Метод индексации",god&lt;&gt;first_year),_xlfn.SUMIFS(INDEX('Калькуляция (МИ корр)'!$AJ$25:$BC$606,,MATCH(AH$8,'Калькуляция (МИ корр)'!$AJ$8:$BC$8,0)),'Калькуляция (МИ корр)'!$F$25:$F$606,$F97,'Калькуляция (МИ корр)'!$G$25:$G$606,$G97),IF(method_reg="Метод экономически обоснованных расходов",_xlfn.SUMIFS('Калькуляция (МЭОР)'!$AK$25:$AK$367,'Калькуляция (МЭОР)'!$F$25:$F$367,$F97,'Калькуляция (МЭОР)'!$G$25:$G$367,$G97),IF(method_reg="Метод сравнения аналогов",_xlfn.SUMIFS('Калькуляция (МСА)'!$AF$25:$AF$103,'Калькуляция (МСА)'!$F$25:$F$103,$F97,'Калькуляция (МСА)'!$G$25:$G$103,$G97),_xlfn.SUMIFS(INDEX('Калькуляция (МИ)'!$AJ$25:$BC$603,,MATCH(AH$8,'Калькуляция (МИ)'!$AJ$8:$BC$8,0)),'Калькуляция (МИ)'!$F$25:$F$603,$F97,'Калькуляция (МИ)'!$G$25:$G$603,$G97))))</f>
        <v>60.3704563163809</v>
      </c>
      <c r="AI97" s="292">
        <f>IF(AG97=0,0,(AH97-AG97)/AG97*100)</f>
        <v>0</v>
      </c>
      <c r="AJ97" s="4576">
        <f>IF(AND(method_reg="Метод индексации",god&lt;&gt;first_year),_xlfn.SUMIFS(INDEX('Калькуляция (МИ корр)'!$AJ$25:$BC$606,,MATCH(AJ$8,'Калькуляция (МИ корр)'!$AJ$8:$BC$8,0)),'Калькуляция (МИ корр)'!$F$25:$F$606,$F97,'Калькуляция (МИ корр)'!$G$25:$G$606,$G97),IF(method_reg="Метод экономически обоснованных расходов",_xlfn.SUMIFS('Калькуляция (МЭОР)'!$AJ$25:$AJ$367,'Калькуляция (МЭОР)'!$F$25:$F$367,$F97,'Калькуляция (МЭОР)'!$G$25:$G$367,$G97),IF(method_reg="Метод сравнения аналогов",_xlfn.SUMIFS('Калькуляция (МСА)'!$AE$25:$AE$103,'Калькуляция (МСА)'!$F$25:$F$103,$F97,'Калькуляция (МСА)'!$G$25:$G$103,$G97),_xlfn.SUMIFS(INDEX('Калькуляция (МИ)'!$AJ$25:$BC$603,,MATCH(AJ$8,'Калькуляция (МИ)'!$AJ$8:$BC$8,0)),'Калькуляция (МИ)'!$F$25:$F$603,$F97,'Калькуляция (МИ)'!$G$25:$G$603,$G97))))</f>
        <v>0</v>
      </c>
      <c r="AK97" s="4576">
        <f>IF(AND(method_reg="Метод индексации",god&lt;&gt;first_year),_xlfn.SUMIFS(INDEX('Калькуляция (МИ корр)'!$AJ$25:$BC$606,,MATCH(AK$8,'Калькуляция (МИ корр)'!$AJ$8:$BC$8,0)),'Калькуляция (МИ корр)'!$F$25:$F$606,$F97,'Калькуляция (МИ корр)'!$G$25:$G$606,$G97),IF(method_reg="Метод экономически обоснованных расходов",_xlfn.SUMIFS('Калькуляция (МЭОР)'!$AK$25:$AK$367,'Калькуляция (МЭОР)'!$F$25:$F$367,$F97,'Калькуляция (МЭОР)'!$G$25:$G$367,$G97),IF(method_reg="Метод сравнения аналогов",_xlfn.SUMIFS('Калькуляция (МСА)'!$AF$25:$AF$103,'Калькуляция (МСА)'!$F$25:$F$103,$F97,'Калькуляция (МСА)'!$G$25:$G$103,$G97),_xlfn.SUMIFS(INDEX('Калькуляция (МИ)'!$AJ$25:$BC$603,,MATCH(AK$8,'Калькуляция (МИ)'!$AJ$8:$BC$8,0)),'Калькуляция (МИ)'!$F$25:$F$603,$F97,'Калькуляция (МИ)'!$G$25:$G$603,$G97))))</f>
        <v>0</v>
      </c>
      <c r="AL97" s="292">
        <f>IF(AJ97=0,0,(AK97-AJ97)/AJ97*100)</f>
        <v>0</v>
      </c>
      <c r="AM97" s="4576">
        <f>IF(AND(method_reg="Метод индексации",god&lt;&gt;first_year),_xlfn.SUMIFS(INDEX('Калькуляция (МИ корр)'!$AJ$25:$BC$606,,MATCH(AM$8,'Калькуляция (МИ корр)'!$AJ$8:$BC$8,0)),'Калькуляция (МИ корр)'!$F$25:$F$606,$F97,'Калькуляция (МИ корр)'!$G$25:$G$606,$G97),IF(method_reg="Метод экономически обоснованных расходов",_xlfn.SUMIFS('Калькуляция (МЭОР)'!$AJ$25:$AJ$367,'Калькуляция (МЭОР)'!$F$25:$F$367,$F97,'Калькуляция (МЭОР)'!$G$25:$G$367,$G97),IF(method_reg="Метод сравнения аналогов",_xlfn.SUMIFS('Калькуляция (МСА)'!$AE$25:$AE$103,'Калькуляция (МСА)'!$F$25:$F$103,$F97,'Калькуляция (МСА)'!$G$25:$G$103,$G97),_xlfn.SUMIFS(INDEX('Калькуляция (МИ)'!$AJ$25:$BC$603,,MATCH(AM$8,'Калькуляция (МИ)'!$AJ$8:$BC$8,0)),'Калькуляция (МИ)'!$F$25:$F$603,$F97,'Калькуляция (МИ)'!$G$25:$G$603,$G97))))</f>
        <v>0</v>
      </c>
      <c r="AN97" s="4576">
        <f>IF(AND(method_reg="Метод индексации",god&lt;&gt;first_year),_xlfn.SUMIFS(INDEX('Калькуляция (МИ корр)'!$AJ$25:$BC$606,,MATCH(AN$8,'Калькуляция (МИ корр)'!$AJ$8:$BC$8,0)),'Калькуляция (МИ корр)'!$F$25:$F$606,$F97,'Калькуляция (МИ корр)'!$G$25:$G$606,$G97),IF(method_reg="Метод экономически обоснованных расходов",_xlfn.SUMIFS('Калькуляция (МЭОР)'!$AK$25:$AK$367,'Калькуляция (МЭОР)'!$F$25:$F$367,$F97,'Калькуляция (МЭОР)'!$G$25:$G$367,$G97),IF(method_reg="Метод сравнения аналогов",_xlfn.SUMIFS('Калькуляция (МСА)'!$AF$25:$AF$103,'Калькуляция (МСА)'!$F$25:$F$103,$F97,'Калькуляция (МСА)'!$G$25:$G$103,$G97),_xlfn.SUMIFS(INDEX('Калькуляция (МИ)'!$AJ$25:$BC$603,,MATCH(AN$8,'Калькуляция (МИ)'!$AJ$8:$BC$8,0)),'Калькуляция (МИ)'!$F$25:$F$603,$F97,'Калькуляция (МИ)'!$G$25:$G$603,$G97))))</f>
        <v>0</v>
      </c>
      <c r="AO97" s="292">
        <f>IF(AM97=0,0,(AN97-AM97)/AM97*100)</f>
        <v>0</v>
      </c>
      <c r="AP97" s="4576">
        <f>IF(AND(method_reg="Метод индексации",god&lt;&gt;first_year),_xlfn.SUMIFS(INDEX('Калькуляция (МИ корр)'!$AJ$25:$BC$606,,MATCH(AP$8,'Калькуляция (МИ корр)'!$AJ$8:$BC$8,0)),'Калькуляция (МИ корр)'!$F$25:$F$606,$F97,'Калькуляция (МИ корр)'!$G$25:$G$606,$G97),IF(method_reg="Метод экономически обоснованных расходов",_xlfn.SUMIFS('Калькуляция (МЭОР)'!$AJ$25:$AJ$367,'Калькуляция (МЭОР)'!$F$25:$F$367,$F97,'Калькуляция (МЭОР)'!$G$25:$G$367,$G97),IF(method_reg="Метод сравнения аналогов",_xlfn.SUMIFS('Калькуляция (МСА)'!$AE$25:$AE$103,'Калькуляция (МСА)'!$F$25:$F$103,$F97,'Калькуляция (МСА)'!$G$25:$G$103,$G97),_xlfn.SUMIFS(INDEX('Калькуляция (МИ)'!$AJ$25:$BC$603,,MATCH(AP$8,'Калькуляция (МИ)'!$AJ$8:$BC$8,0)),'Калькуляция (МИ)'!$F$25:$F$603,$F97,'Калькуляция (МИ)'!$G$25:$G$603,$G97))))</f>
        <v>0</v>
      </c>
      <c r="AQ97" s="4576">
        <f>IF(AND(method_reg="Метод индексации",god&lt;&gt;first_year),_xlfn.SUMIFS(INDEX('Калькуляция (МИ корр)'!$AJ$25:$BC$606,,MATCH(AQ$8,'Калькуляция (МИ корр)'!$AJ$8:$BC$8,0)),'Калькуляция (МИ корр)'!$F$25:$F$606,$F97,'Калькуляция (МИ корр)'!$G$25:$G$606,$G97),IF(method_reg="Метод экономически обоснованных расходов",_xlfn.SUMIFS('Калькуляция (МЭОР)'!$AK$25:$AK$367,'Калькуляция (МЭОР)'!$F$25:$F$367,$F97,'Калькуляция (МЭОР)'!$G$25:$G$367,$G97),IF(method_reg="Метод сравнения аналогов",_xlfn.SUMIFS('Калькуляция (МСА)'!$AF$25:$AF$103,'Калькуляция (МСА)'!$F$25:$F$103,$F97,'Калькуляция (МСА)'!$G$25:$G$103,$G97),_xlfn.SUMIFS(INDEX('Калькуляция (МИ)'!$AJ$25:$BC$603,,MATCH(AQ$8,'Калькуляция (МИ)'!$AJ$8:$BC$8,0)),'Калькуляция (МИ)'!$F$25:$F$603,$F97,'Калькуляция (МИ)'!$G$25:$G$603,$G97))))</f>
        <v>0</v>
      </c>
      <c r="AR97" s="292">
        <f>IF(AP97=0,0,(AQ97-AP97)/AP97*100)</f>
        <v>0</v>
      </c>
      <c r="AS97" s="4576">
        <f>IF(AND(method_reg="Метод индексации",god&lt;&gt;first_year),_xlfn.SUMIFS(INDEX('Калькуляция (МИ корр)'!$AJ$25:$BC$606,,MATCH(AS$8,'Калькуляция (МИ корр)'!$AJ$8:$BC$8,0)),'Калькуляция (МИ корр)'!$F$25:$F$606,$F97,'Калькуляция (МИ корр)'!$G$25:$G$606,$G97),IF(method_reg="Метод экономически обоснованных расходов",_xlfn.SUMIFS('Калькуляция (МЭОР)'!$AJ$25:$AJ$367,'Калькуляция (МЭОР)'!$F$25:$F$367,$F97,'Калькуляция (МЭОР)'!$G$25:$G$367,$G97),IF(method_reg="Метод сравнения аналогов",_xlfn.SUMIFS('Калькуляция (МСА)'!$AE$25:$AE$103,'Калькуляция (МСА)'!$F$25:$F$103,$F97,'Калькуляция (МСА)'!$G$25:$G$103,$G97),_xlfn.SUMIFS(INDEX('Калькуляция (МИ)'!$AJ$25:$BC$603,,MATCH(AS$8,'Калькуляция (МИ)'!$AJ$8:$BC$8,0)),'Калькуляция (МИ)'!$F$25:$F$603,$F97,'Калькуляция (МИ)'!$G$25:$G$603,$G97))))</f>
        <v>0</v>
      </c>
      <c r="AT97" s="4576">
        <f>IF(AND(method_reg="Метод индексации",god&lt;&gt;first_year),_xlfn.SUMIFS(INDEX('Калькуляция (МИ корр)'!$AJ$25:$BC$606,,MATCH(AT$8,'Калькуляция (МИ корр)'!$AJ$8:$BC$8,0)),'Калькуляция (МИ корр)'!$F$25:$F$606,$F97,'Калькуляция (МИ корр)'!$G$25:$G$606,$G97),IF(method_reg="Метод экономически обоснованных расходов",_xlfn.SUMIFS('Калькуляция (МЭОР)'!$AK$25:$AK$367,'Калькуляция (МЭОР)'!$F$25:$F$367,$F97,'Калькуляция (МЭОР)'!$G$25:$G$367,$G97),IF(method_reg="Метод сравнения аналогов",_xlfn.SUMIFS('Калькуляция (МСА)'!$AF$25:$AF$103,'Калькуляция (МСА)'!$F$25:$F$103,$F97,'Калькуляция (МСА)'!$G$25:$G$103,$G97),_xlfn.SUMIFS(INDEX('Калькуляция (МИ)'!$AJ$25:$BC$603,,MATCH(AT$8,'Калькуляция (МИ)'!$AJ$8:$BC$8,0)),'Калькуляция (МИ)'!$F$25:$F$603,$F97,'Калькуляция (МИ)'!$G$25:$G$603,$G97))))</f>
        <v>0</v>
      </c>
      <c r="AU97" s="292">
        <f>IF(AS97=0,0,(AT97-AS97)/AS97*100)</f>
        <v>0</v>
      </c>
      <c r="AV97" s="4576">
        <f>IF(AND(method_reg="Метод индексации",god&lt;&gt;first_year),_xlfn.SUMIFS(INDEX('Калькуляция (МИ корр)'!$AJ$25:$BC$606,,MATCH(AV$8,'Калькуляция (МИ корр)'!$AJ$8:$BC$8,0)),'Калькуляция (МИ корр)'!$F$25:$F$606,$F97,'Калькуляция (МИ корр)'!$G$25:$G$606,$G97),IF(method_reg="Метод экономически обоснованных расходов",_xlfn.SUMIFS('Калькуляция (МЭОР)'!$AJ$25:$AJ$367,'Калькуляция (МЭОР)'!$F$25:$F$367,$F97,'Калькуляция (МЭОР)'!$G$25:$G$367,$G97),IF(method_reg="Метод сравнения аналогов",_xlfn.SUMIFS('Калькуляция (МСА)'!$AE$25:$AE$103,'Калькуляция (МСА)'!$F$25:$F$103,$F97,'Калькуляция (МСА)'!$G$25:$G$103,$G97),_xlfn.SUMIFS(INDEX('Калькуляция (МИ)'!$AJ$25:$BC$603,,MATCH(AV$8,'Калькуляция (МИ)'!$AJ$8:$BC$8,0)),'Калькуляция (МИ)'!$F$25:$F$603,$F97,'Калькуляция (МИ)'!$G$25:$G$603,$G97))))</f>
        <v>0</v>
      </c>
      <c r="AW97" s="4576">
        <f>IF(AND(method_reg="Метод индексации",god&lt;&gt;first_year),_xlfn.SUMIFS(INDEX('Калькуляция (МИ корр)'!$AJ$25:$BC$606,,MATCH(AW$8,'Калькуляция (МИ корр)'!$AJ$8:$BC$8,0)),'Калькуляция (МИ корр)'!$F$25:$F$606,$F97,'Калькуляция (МИ корр)'!$G$25:$G$606,$G97),IF(method_reg="Метод экономически обоснованных расходов",_xlfn.SUMIFS('Калькуляция (МЭОР)'!$AK$25:$AK$367,'Калькуляция (МЭОР)'!$F$25:$F$367,$F97,'Калькуляция (МЭОР)'!$G$25:$G$367,$G97),IF(method_reg="Метод сравнения аналогов",_xlfn.SUMIFS('Калькуляция (МСА)'!$AF$25:$AF$103,'Калькуляция (МСА)'!$F$25:$F$103,$F97,'Калькуляция (МСА)'!$G$25:$G$103,$G97),_xlfn.SUMIFS(INDEX('Калькуляция (МИ)'!$AJ$25:$BC$603,,MATCH(AW$8,'Калькуляция (МИ)'!$AJ$8:$BC$8,0)),'Калькуляция (МИ)'!$F$25:$F$603,$F97,'Калькуляция (МИ)'!$G$25:$G$603,$G97))))</f>
        <v>0</v>
      </c>
      <c r="AX97" s="292">
        <f>IF(AV97=0,0,(AW97-AV97)/AV97*100)</f>
        <v>0</v>
      </c>
      <c r="AY97" s="4576">
        <f>IF(AND(method_reg="Метод индексации",god&lt;&gt;first_year),_xlfn.SUMIFS(INDEX('Калькуляция (МИ корр)'!$AJ$25:$BC$606,,MATCH(AY$8,'Калькуляция (МИ корр)'!$AJ$8:$BC$8,0)),'Калькуляция (МИ корр)'!$F$25:$F$606,$F97,'Калькуляция (МИ корр)'!$G$25:$G$606,$G97),IF(method_reg="Метод экономически обоснованных расходов",_xlfn.SUMIFS('Калькуляция (МЭОР)'!$AJ$25:$AJ$367,'Калькуляция (МЭОР)'!$F$25:$F$367,$F97,'Калькуляция (МЭОР)'!$G$25:$G$367,$G97),IF(method_reg="Метод сравнения аналогов",_xlfn.SUMIFS('Калькуляция (МСА)'!$AE$25:$AE$103,'Калькуляция (МСА)'!$F$25:$F$103,$F97,'Калькуляция (МСА)'!$G$25:$G$103,$G97),_xlfn.SUMIFS(INDEX('Калькуляция (МИ)'!$AJ$25:$BC$603,,MATCH(AY$8,'Калькуляция (МИ)'!$AJ$8:$BC$8,0)),'Калькуляция (МИ)'!$F$25:$F$603,$F97,'Калькуляция (МИ)'!$G$25:$G$603,$G97))))</f>
        <v>0</v>
      </c>
      <c r="AZ97" s="4576">
        <f>IF(AND(method_reg="Метод индексации",god&lt;&gt;first_year),_xlfn.SUMIFS(INDEX('Калькуляция (МИ корр)'!$AJ$25:$BC$606,,MATCH(AZ$8,'Калькуляция (МИ корр)'!$AJ$8:$BC$8,0)),'Калькуляция (МИ корр)'!$F$25:$F$606,$F97,'Калькуляция (МИ корр)'!$G$25:$G$606,$G97),IF(method_reg="Метод экономически обоснованных расходов",_xlfn.SUMIFS('Калькуляция (МЭОР)'!$AK$25:$AK$367,'Калькуляция (МЭОР)'!$F$25:$F$367,$F97,'Калькуляция (МЭОР)'!$G$25:$G$367,$G97),IF(method_reg="Метод сравнения аналогов",_xlfn.SUMIFS('Калькуляция (МСА)'!$AF$25:$AF$103,'Калькуляция (МСА)'!$F$25:$F$103,$F97,'Калькуляция (МСА)'!$G$25:$G$103,$G97),_xlfn.SUMIFS(INDEX('Калькуляция (МИ)'!$AJ$25:$BC$603,,MATCH(AZ$8,'Калькуляция (МИ)'!$AJ$8:$BC$8,0)),'Калькуляция (МИ)'!$F$25:$F$603,$F97,'Калькуляция (МИ)'!$G$25:$G$603,$G97))))</f>
        <v>0</v>
      </c>
      <c r="BA97" s="292">
        <f>IF(AY97=0,0,(AZ97-AY97)/AY97*100)</f>
        <v>0</v>
      </c>
      <c r="BB97" s="4576">
        <f>IF(AND(method_reg="Метод индексации",god&lt;&gt;first_year),_xlfn.SUMIFS(INDEX('Калькуляция (МИ корр)'!$AJ$25:$BC$606,,MATCH(BB$8,'Калькуляция (МИ корр)'!$AJ$8:$BC$8,0)),'Калькуляция (МИ корр)'!$F$25:$F$606,$F97,'Калькуляция (МИ корр)'!$G$25:$G$606,$G97),IF(method_reg="Метод экономически обоснованных расходов",_xlfn.SUMIFS('Калькуляция (МЭОР)'!$AJ$25:$AJ$367,'Калькуляция (МЭОР)'!$F$25:$F$367,$F97,'Калькуляция (МЭОР)'!$G$25:$G$367,$G97),IF(method_reg="Метод сравнения аналогов",_xlfn.SUMIFS('Калькуляция (МСА)'!$AE$25:$AE$103,'Калькуляция (МСА)'!$F$25:$F$103,$F97,'Калькуляция (МСА)'!$G$25:$G$103,$G97),_xlfn.SUMIFS(INDEX('Калькуляция (МИ)'!$AJ$25:$BC$603,,MATCH(BB$8,'Калькуляция (МИ)'!$AJ$8:$BC$8,0)),'Калькуляция (МИ)'!$F$25:$F$603,$F97,'Калькуляция (МИ)'!$G$25:$G$603,$G97))))</f>
        <v>0</v>
      </c>
      <c r="BC97" s="4576">
        <f>IF(AND(method_reg="Метод индексации",god&lt;&gt;first_year),_xlfn.SUMIFS(INDEX('Калькуляция (МИ корр)'!$AJ$25:$BC$606,,MATCH(BC$8,'Калькуляция (МИ корр)'!$AJ$8:$BC$8,0)),'Калькуляция (МИ корр)'!$F$25:$F$606,$F97,'Калькуляция (МИ корр)'!$G$25:$G$606,$G97),IF(method_reg="Метод экономически обоснованных расходов",_xlfn.SUMIFS('Калькуляция (МЭОР)'!$AK$25:$AK$367,'Калькуляция (МЭОР)'!$F$25:$F$367,$F97,'Калькуляция (МЭОР)'!$G$25:$G$367,$G97),IF(method_reg="Метод сравнения аналогов",_xlfn.SUMIFS('Калькуляция (МСА)'!$AF$25:$AF$103,'Калькуляция (МСА)'!$F$25:$F$103,$F97,'Калькуляция (МСА)'!$G$25:$G$103,$G97),_xlfn.SUMIFS(INDEX('Калькуляция (МИ)'!$AJ$25:$BC$603,,MATCH(BC$8,'Калькуляция (МИ)'!$AJ$8:$BC$8,0)),'Калькуляция (МИ)'!$F$25:$F$603,$F97,'Калькуляция (МИ)'!$G$25:$G$603,$G97))))</f>
        <v>0</v>
      </c>
      <c r="BD97" s="292">
        <f>IF(BB97=0,0,(BC97-BB97)/BB97*100)</f>
        <v>0</v>
      </c>
      <c r="BE97" s="4576">
        <f>IF(AND(method_reg="Метод индексации",god&lt;&gt;first_year),_xlfn.SUMIFS(INDEX('Калькуляция (МИ корр)'!$AJ$25:$BC$606,,MATCH(BE$8,'Калькуляция (МИ корр)'!$AJ$8:$BC$8,0)),'Калькуляция (МИ корр)'!$F$25:$F$606,$F97,'Калькуляция (МИ корр)'!$G$25:$G$606,$G97),IF(method_reg="Метод экономически обоснованных расходов",_xlfn.SUMIFS('Калькуляция (МЭОР)'!$AJ$25:$AJ$367,'Калькуляция (МЭОР)'!$F$25:$F$367,$F97,'Калькуляция (МЭОР)'!$G$25:$G$367,$G97),IF(method_reg="Метод сравнения аналогов",_xlfn.SUMIFS('Калькуляция (МСА)'!$AE$25:$AE$103,'Калькуляция (МСА)'!$F$25:$F$103,$F97,'Калькуляция (МСА)'!$G$25:$G$103,$G97),_xlfn.SUMIFS(INDEX('Калькуляция (МИ)'!$AJ$25:$BC$603,,MATCH(BE$8,'Калькуляция (МИ)'!$AJ$8:$BC$8,0)),'Калькуляция (МИ)'!$F$25:$F$603,$F97,'Калькуляция (МИ)'!$G$25:$G$603,$G97))))</f>
        <v>0</v>
      </c>
      <c r="BF97" s="4576">
        <f>IF(AND(method_reg="Метод индексации",god&lt;&gt;first_year),_xlfn.SUMIFS(INDEX('Калькуляция (МИ корр)'!$AJ$25:$BC$606,,MATCH(BF$8,'Калькуляция (МИ корр)'!$AJ$8:$BC$8,0)),'Калькуляция (МИ корр)'!$F$25:$F$606,$F97,'Калькуляция (МИ корр)'!$G$25:$G$606,$G97),IF(method_reg="Метод экономически обоснованных расходов",_xlfn.SUMIFS('Калькуляция (МЭОР)'!$AK$25:$AK$367,'Калькуляция (МЭОР)'!$F$25:$F$367,$F97,'Калькуляция (МЭОР)'!$G$25:$G$367,$G97),IF(method_reg="Метод сравнения аналогов",_xlfn.SUMIFS('Калькуляция (МСА)'!$AF$25:$AF$103,'Калькуляция (МСА)'!$F$25:$F$103,$F97,'Калькуляция (МСА)'!$G$25:$G$103,$G97),_xlfn.SUMIFS(INDEX('Калькуляция (МИ)'!$AJ$25:$BC$603,,MATCH(BF$8,'Калькуляция (МИ)'!$AJ$8:$BC$8,0)),'Калькуляция (МИ)'!$F$25:$F$603,$F97,'Калькуляция (МИ)'!$G$25:$G$603,$G97))))</f>
        <v>0</v>
      </c>
      <c r="BG97" s="292">
        <f>IF(BE97=0,0,(BF97-BE97)/BE97*100)</f>
        <v>0</v>
      </c>
      <c r="BH97" s="4576"/>
      <c r="BI97" s="4576"/>
      <c r="BJ97" s="292">
        <f>IF(BH97=0,0,(BI97-BH97)/BH97*100)</f>
        <v>0</v>
      </c>
      <c r="BK97" s="4576"/>
      <c r="BL97" s="4576"/>
      <c r="BM97" s="292">
        <f>IF(BK97=0,0,(BL97-BK97)/BK97*100)</f>
        <v>0</v>
      </c>
      <c r="BN97" s="4576"/>
      <c r="BO97" s="4576"/>
      <c r="BP97" s="292">
        <f>IF(BN97=0,0,(BO97-BN97)/BN97*100)</f>
        <v>0</v>
      </c>
      <c r="BQ97" s="4576"/>
      <c r="BR97" s="4576"/>
      <c r="BS97" s="292">
        <f>IF(BQ97=0,0,(BR97-BQ97)/BQ97*100)</f>
        <v>0</v>
      </c>
      <c r="BT97" s="4576"/>
      <c r="BU97" s="4576"/>
      <c r="BV97" s="292">
        <f>IF(BT97=0,0,(BU97-BT97)/BT97*100)</f>
        <v>0</v>
      </c>
      <c r="BW97" s="4576"/>
      <c r="BX97" s="4576"/>
      <c r="BY97" s="292">
        <f>IF(BW97=0,0,(BX97-BW97)/BW97*100)</f>
        <v>0</v>
      </c>
      <c r="BZ97" s="4576"/>
      <c r="CA97" s="4576"/>
      <c r="CB97" s="292">
        <f>IF(BZ97=0,0,(CA97-BZ97)/BZ97*100)</f>
        <v>0</v>
      </c>
      <c r="CC97" s="4576"/>
      <c r="CD97" s="4576"/>
      <c r="CE97" s="292">
        <f>IF(CC97=0,0,(CD97-CC97)/CC97*100)</f>
        <v>0</v>
      </c>
      <c r="CF97" s="4576"/>
      <c r="CG97" s="4576"/>
      <c r="CH97" s="292">
        <f>IF(CF97=0,0,(CG97-CF97)/CF97*100)</f>
        <v>0</v>
      </c>
      <c r="CI97" s="4576"/>
      <c r="CJ97" s="4576"/>
      <c r="CK97" s="292">
        <f>IF(CI97=0,0,(CJ97-CI97)/CI97*100)</f>
        <v>0</v>
      </c>
      <c r="CL97" s="4576"/>
      <c r="CM97" s="4576"/>
      <c r="CN97" s="292">
        <f>IF(CL97=0,0,(CM97-CL97)/CL97*100)</f>
        <v>0</v>
      </c>
      <c r="CO97" s="4576"/>
      <c r="CP97" s="4576"/>
      <c r="CQ97" s="292">
        <f>IF(CO97=0,0,(CP97-CO97)/CO97*100)</f>
        <v>0</v>
      </c>
      <c r="CR97" s="4576"/>
      <c r="CS97" s="4576"/>
      <c r="CT97" s="292">
        <f>IF(CR97=0,0,(CS97-CR97)/CR97*100)</f>
        <v>0</v>
      </c>
      <c r="CU97" s="4576"/>
      <c r="CV97" s="4576"/>
      <c r="CW97" s="292">
        <f>IF(CU97=0,0,(CV97-CU97)/CU97*100)</f>
        <v>0</v>
      </c>
      <c r="CX97" s="4576"/>
      <c r="CY97" s="4576"/>
      <c r="CZ97" s="292">
        <f>IF(CX97=0,0,(CY97-CX97)/CX97*100)</f>
        <v>0</v>
      </c>
      <c r="DA97" s="4576"/>
      <c r="DB97" s="4576"/>
      <c r="DC97" s="292">
        <f>IF(DA97=0,0,(DB97-DA97)/DA97*100)</f>
        <v>0</v>
      </c>
      <c r="DD97" s="4576"/>
      <c r="DE97" s="4576"/>
      <c r="DF97" s="292">
        <f>IF(DD97=0,0,(DE97-DD97)/DD97*100)</f>
        <v>0</v>
      </c>
      <c r="DG97" s="4578"/>
      <c r="DH97" s="4578"/>
      <c r="DI97" s="292">
        <f>IF(DG97=0,0,(DH97-DG97)/DG97*100)</f>
        <v>0</v>
      </c>
      <c r="DJ97" s="4578"/>
      <c r="DK97" s="4578"/>
      <c r="DL97" s="292">
        <f>IF(DJ97=0,0,(DK97-DJ97)/DJ97*100)</f>
        <v>0</v>
      </c>
      <c r="DM97" s="4578"/>
      <c r="DN97" s="4578"/>
      <c r="DO97" s="292">
        <f>IF(DM97=0,0,(DN97-DM97)/DM97*100)</f>
        <v>0</v>
      </c>
      <c r="DP97" s="4578"/>
      <c r="DQ97" s="4578"/>
      <c r="DR97" s="292">
        <f>IF(DP97=0,0,(DQ97-DP97)/DP97*100)</f>
        <v>0</v>
      </c>
      <c r="DS97" s="4578"/>
      <c r="DT97" s="4578"/>
      <c r="DU97" s="292">
        <f>IF(DS97=0,0,(DT97-DS97)/DS97*100)</f>
        <v>0</v>
      </c>
      <c r="DV97" s="4578"/>
      <c r="DW97" s="4578"/>
      <c r="DX97" s="292">
        <f>IF(DV97=0,0,(DW97-DV97)/DV97*100)</f>
        <v>0</v>
      </c>
      <c r="DY97" s="4578"/>
      <c r="DZ97" s="4578"/>
      <c r="EA97" s="292">
        <f>IF(DY97=0,0,(DZ97-DY97)/DY97*100)</f>
        <v>0</v>
      </c>
      <c r="EB97" s="4578"/>
      <c r="EC97" s="4578"/>
      <c r="ED97" s="292">
        <f>IF(EB97=0,0,(EC97-EB97)/EB97*100)</f>
        <v>0</v>
      </c>
      <c r="EE97" s="4578"/>
      <c r="EF97" s="4578"/>
      <c r="EG97" s="292">
        <f>IF(EE97=0,0,(EF97-EE97)/EE97*100)</f>
        <v>0</v>
      </c>
      <c r="EH97" s="4578"/>
      <c r="EI97" s="4578"/>
      <c r="EJ97" s="292">
        <f>IF(EH97=0,0,(EI97-EH97)/EH97*100)</f>
        <v>0</v>
      </c>
      <c r="EK97" s="4578"/>
      <c r="EL97" s="4578"/>
      <c r="EM97" s="292">
        <f>IF(EK97=0,0,(EL97-EK97)/EK97*100)</f>
        <v>0</v>
      </c>
      <c r="EN97" s="4578"/>
      <c r="EO97" s="4578"/>
      <c r="EP97" s="292">
        <f>IF(EN97=0,0,(EO97-EN97)/EN97*100)</f>
        <v>0</v>
      </c>
      <c r="EQ97" s="4578"/>
      <c r="ER97" s="4578"/>
      <c r="ES97" s="292">
        <f>IF(EQ97=0,0,(ER97-EQ97)/EQ97*100)</f>
        <v>0</v>
      </c>
      <c r="ET97" s="4578"/>
      <c r="EU97" s="4578"/>
      <c r="EV97" s="292">
        <f>IF(ET97=0,0,(EU97-ET97)/ET97*100)</f>
        <v>0</v>
      </c>
      <c r="EW97" s="4578"/>
      <c r="EX97" s="4578"/>
      <c r="EY97" s="292">
        <f>IF(EW97=0,0,(EX97-EW97)/EW97*100)</f>
        <v>0</v>
      </c>
      <c r="EZ97" s="4578"/>
      <c r="FA97" s="4578"/>
      <c r="FB97" s="292">
        <f>IF(EZ97=0,0,(FA97-EZ97)/EZ97*100)</f>
        <v>0</v>
      </c>
      <c r="FC97" s="4578"/>
      <c r="FD97" s="4578"/>
      <c r="FE97" s="292">
        <f>IF(FC97=0,0,(FD97-FC97)/FC97*100)</f>
        <v>0</v>
      </c>
      <c r="FF97" s="4578"/>
      <c r="FG97" s="4578"/>
      <c r="FH97" s="292">
        <f>IF(FF97=0,0,(FG97-FF97)/FF97*100)</f>
        <v>0</v>
      </c>
      <c r="FI97" s="4578"/>
      <c r="FJ97" s="4578"/>
      <c r="FK97" s="292">
        <f>IF(FI97=0,0,(FJ97-FI97)/FI97*100)</f>
        <v>0</v>
      </c>
      <c r="FL97" s="4578"/>
      <c r="FM97" s="4578"/>
      <c r="FN97" s="292">
        <f>IF(FL97=0,0,(FM97-FL97)/FL97*100)</f>
        <v>0</v>
      </c>
      <c r="FO97" s="4578"/>
      <c r="FP97" s="4578"/>
      <c r="FQ97" s="292">
        <f>IF(FO97=0,0,(FP97-FO97)/FO97*100)</f>
        <v>0</v>
      </c>
      <c r="FR97" s="4578"/>
      <c r="FS97" s="4578"/>
      <c r="FT97" s="292">
        <f>IF(FR97=0,0,(FS97-FR97)/FR97*100)</f>
        <v>0</v>
      </c>
      <c r="FU97" s="4578"/>
      <c r="FV97" s="4578"/>
      <c r="FW97" s="292">
        <f>IF(FU97=0,0,(FV97-FU97)/FU97*100)</f>
        <v>0</v>
      </c>
      <c r="FX97" s="288"/>
      <c r="FY97" s="288"/>
      <c r="FZ97" s="1063" t="s">
        <v>1863</v>
      </c>
      <c r="GA97" s="1063"/>
      <c r="GB97" s="1063"/>
      <c r="GC97" s="1064"/>
      <c r="GD97" s="1064"/>
    </row>
    <row s="4621" customFormat="1" customHeight="1" ht="33.421875">
      <c r="A98" s="904"/>
      <c r="B98" s="932" cm="1" t="str">
        <f t="array" ref="B98:B98">B97</f>
        <v>true</v>
      </c>
      <c r="C98" s="904"/>
      <c r="D98" s="904"/>
      <c r="E98" s="905">
        <v>24.5</v>
      </c>
      <c r="F98" s="50" cm="1" t="str">
        <f t="array" ref="F98:F98">OFFSET(E98,-1,1)</f>
        <v>1</v>
      </c>
      <c r="G98" s="496" t="s">
        <v>1864</v>
      </c>
      <c r="H98" s="496" t="s">
        <v>566</v>
      </c>
      <c r="I98" s="496" t="s">
        <v>1865</v>
      </c>
      <c r="J98" s="904"/>
      <c r="K98" s="904"/>
      <c r="L98" s="496"/>
      <c r="M98" s="904"/>
      <c r="N98" s="904"/>
      <c r="O98" s="904"/>
      <c r="P98" s="904"/>
      <c r="Q98" s="904"/>
      <c r="R98" s="904"/>
      <c r="S98" s="496"/>
      <c r="T98" s="468" cm="1" t="str">
        <f t="array" ref="T98:T98">T97</f>
        <v>true</v>
      </c>
      <c r="U98" s="904"/>
      <c r="V98" s="904"/>
      <c r="W98" s="904"/>
      <c r="X98" s="1559"/>
      <c r="Y98" s="904"/>
      <c r="Z98" s="1528"/>
      <c r="AA98" s="904"/>
      <c r="AB98" s="289" t="s">
        <v>1866</v>
      </c>
      <c r="AC98" s="290" t="s">
        <v>1862</v>
      </c>
      <c r="AD98" s="906">
        <f>IF(AND(method_reg="Метод индексации",god&lt;&gt;first_year),_xlfn.SUMIFS(INDEX('Калькуляция (МИ корр)'!$AJ$25:$BC$606,,MATCH(AD$8,'Калькуляция (МИ корр)'!$AJ$8:$BC$8,0)),'Калькуляция (МИ корр)'!$F$25:$F$606,$F98,'Калькуляция (МИ корр)'!$G$25:$G$606,$G98),IF(method_reg="Метод экономически обоснованных расходов",_xlfn.SUMIFS('Калькуляция (МЭОР)'!$AJ$25:$AJ$367,'Калькуляция (МЭОР)'!$F$25:$F$367,$F98,'Калькуляция (МЭОР)'!$G$25:$G$367,$G98),IF(method_reg="Метод сравнения аналогов",_xlfn.SUMIFS('Калькуляция (МСА)'!$AE$25:$AE$103,'Калькуляция (МСА)'!$F$25:$F$103,$F98,'Калькуляция (МСА)'!$G$25:$G$103,$G98),_xlfn.SUMIFS(INDEX('Калькуляция (МИ)'!$AJ$25:$BC$603,,MATCH(AD$8,'Калькуляция (МИ)'!$AJ$8:$BC$8,0)),'Калькуляция (МИ)'!$F$25:$F$603,$F98,'Калькуляция (МИ)'!$G$25:$G$603,$G98))))</f>
        <v>99.9013421891771</v>
      </c>
      <c r="AE98" s="906">
        <f>IF(AND(method_reg="Метод индексации",god&lt;&gt;first_year),_xlfn.SUMIFS(INDEX('Калькуляция (МИ корр)'!$AJ$25:$BC$606,,MATCH(AE$8,'Калькуляция (МИ корр)'!$AJ$8:$BC$8,0)),'Калькуляция (МИ корр)'!$F$25:$F$606,$F98,'Калькуляция (МИ корр)'!$G$25:$G$606,$G98),IF(method_reg="Метод экономически обоснованных расходов",_xlfn.SUMIFS('Калькуляция (МЭОР)'!$AK$25:$AK$367,'Калькуляция (МЭОР)'!$F$25:$F$367,$F98,'Калькуляция (МЭОР)'!$G$25:$G$367,$G98),IF(method_reg="Метод сравнения аналогов",_xlfn.SUMIFS('Калькуляция (МСА)'!$AF$25:$AF$103,'Калькуляция (МСА)'!$F$25:$F$103,$F98,'Калькуляция (МСА)'!$G$25:$G$103,$G98),_xlfn.SUMIFS(INDEX('Калькуляция (МИ)'!$AJ$25:$BC$603,,MATCH(AE$8,'Калькуляция (МИ)'!$AJ$8:$BC$8,0)),'Калькуляция (МИ)'!$F$25:$F$603,$F98,'Калькуляция (МИ)'!$G$25:$G$603,$G98))))</f>
        <v>60.3704563163809</v>
      </c>
      <c r="AF98" s="292">
        <f>IF(AD98=0,0,(AE98-AD98)/AD98*100)</f>
        <v>-39.5699246942438</v>
      </c>
      <c r="AG98" s="4576">
        <f>IF(AND(method_reg="Метод индексации",god&lt;&gt;first_year),_xlfn.SUMIFS(INDEX('Калькуляция (МИ корр)'!$AJ$25:$BC$606,,MATCH(AG$8,'Калькуляция (МИ корр)'!$AJ$8:$BC$8,0)),'Калькуляция (МИ корр)'!$F$25:$F$606,$F98,'Калькуляция (МИ корр)'!$G$25:$G$606,$G98),IF(method_reg="Метод экономически обоснованных расходов",_xlfn.SUMIFS('Калькуляция (МЭОР)'!$AJ$25:$AJ$367,'Калькуляция (МЭОР)'!$F$25:$F$367,$F98,'Калькуляция (МЭОР)'!$G$25:$G$367,$G98),IF(method_reg="Метод сравнения аналогов",_xlfn.SUMIFS('Калькуляция (МСА)'!$AE$25:$AE$103,'Калькуляция (МСА)'!$F$25:$F$103,$F98,'Калькуляция (МСА)'!$G$25:$G$103,$G98),_xlfn.SUMIFS(INDEX('Калькуляция (МИ)'!$AJ$25:$BC$603,,MATCH(AG$8,'Калькуляция (МИ)'!$AJ$8:$BC$8,0)),'Калькуляция (МИ)'!$F$25:$F$603,$F98,'Калькуляция (МИ)'!$G$25:$G$603,$G98))))</f>
        <v>0</v>
      </c>
      <c r="AH98" s="4576">
        <f>IF(AND(method_reg="Метод индексации",god&lt;&gt;first_year),_xlfn.SUMIFS(INDEX('Калькуляция (МИ корр)'!$AJ$25:$BC$606,,MATCH(AH$8,'Калькуляция (МИ корр)'!$AJ$8:$BC$8,0)),'Калькуляция (МИ корр)'!$F$25:$F$606,$F98,'Калькуляция (МИ корр)'!$G$25:$G$606,$G98),IF(method_reg="Метод экономически обоснованных расходов",_xlfn.SUMIFS('Калькуляция (МЭОР)'!$AK$25:$AK$367,'Калькуляция (МЭОР)'!$F$25:$F$367,$F98,'Калькуляция (МЭОР)'!$G$25:$G$367,$G98),IF(method_reg="Метод сравнения аналогов",_xlfn.SUMIFS('Калькуляция (МСА)'!$AF$25:$AF$103,'Калькуляция (МСА)'!$F$25:$F$103,$F98,'Калькуляция (МСА)'!$G$25:$G$103,$G98),_xlfn.SUMIFS(INDEX('Калькуляция (МИ)'!$AJ$25:$BC$603,,MATCH(AH$8,'Калькуляция (МИ)'!$AJ$8:$BC$8,0)),'Калькуляция (МИ)'!$F$25:$F$603,$F98,'Калькуляция (МИ)'!$G$25:$G$603,$G98))))</f>
        <v>0</v>
      </c>
      <c r="AI98" s="292">
        <f>IF(AG98=0,0,(AH98-AG98)/AG98*100)</f>
        <v>0</v>
      </c>
      <c r="AJ98" s="4576">
        <f>IF(AND(method_reg="Метод индексации",god&lt;&gt;first_year),_xlfn.SUMIFS(INDEX('Калькуляция (МИ корр)'!$AJ$25:$BC$606,,MATCH(AJ$8,'Калькуляция (МИ корр)'!$AJ$8:$BC$8,0)),'Калькуляция (МИ корр)'!$F$25:$F$606,$F98,'Калькуляция (МИ корр)'!$G$25:$G$606,$G98),IF(method_reg="Метод экономически обоснованных расходов",_xlfn.SUMIFS('Калькуляция (МЭОР)'!$AJ$25:$AJ$367,'Калькуляция (МЭОР)'!$F$25:$F$367,$F98,'Калькуляция (МЭОР)'!$G$25:$G$367,$G98),IF(method_reg="Метод сравнения аналогов",_xlfn.SUMIFS('Калькуляция (МСА)'!$AE$25:$AE$103,'Калькуляция (МСА)'!$F$25:$F$103,$F98,'Калькуляция (МСА)'!$G$25:$G$103,$G98),_xlfn.SUMIFS(INDEX('Калькуляция (МИ)'!$AJ$25:$BC$603,,MATCH(AJ$8,'Калькуляция (МИ)'!$AJ$8:$BC$8,0)),'Калькуляция (МИ)'!$F$25:$F$603,$F98,'Калькуляция (МИ)'!$G$25:$G$603,$G98))))</f>
        <v>0</v>
      </c>
      <c r="AK98" s="4576">
        <f>IF(AND(method_reg="Метод индексации",god&lt;&gt;first_year),_xlfn.SUMIFS(INDEX('Калькуляция (МИ корр)'!$AJ$25:$BC$606,,MATCH(AK$8,'Калькуляция (МИ корр)'!$AJ$8:$BC$8,0)),'Калькуляция (МИ корр)'!$F$25:$F$606,$F98,'Калькуляция (МИ корр)'!$G$25:$G$606,$G98),IF(method_reg="Метод экономически обоснованных расходов",_xlfn.SUMIFS('Калькуляция (МЭОР)'!$AK$25:$AK$367,'Калькуляция (МЭОР)'!$F$25:$F$367,$F98,'Калькуляция (МЭОР)'!$G$25:$G$367,$G98),IF(method_reg="Метод сравнения аналогов",_xlfn.SUMIFS('Калькуляция (МСА)'!$AF$25:$AF$103,'Калькуляция (МСА)'!$F$25:$F$103,$F98,'Калькуляция (МСА)'!$G$25:$G$103,$G98),_xlfn.SUMIFS(INDEX('Калькуляция (МИ)'!$AJ$25:$BC$603,,MATCH(AK$8,'Калькуляция (МИ)'!$AJ$8:$BC$8,0)),'Калькуляция (МИ)'!$F$25:$F$603,$F98,'Калькуляция (МИ)'!$G$25:$G$603,$G98))))</f>
        <v>0</v>
      </c>
      <c r="AL98" s="292">
        <f>IF(AJ98=0,0,(AK98-AJ98)/AJ98*100)</f>
        <v>0</v>
      </c>
      <c r="AM98" s="4576">
        <f>IF(AND(method_reg="Метод индексации",god&lt;&gt;first_year),_xlfn.SUMIFS(INDEX('Калькуляция (МИ корр)'!$AJ$25:$BC$606,,MATCH(AM$8,'Калькуляция (МИ корр)'!$AJ$8:$BC$8,0)),'Калькуляция (МИ корр)'!$F$25:$F$606,$F98,'Калькуляция (МИ корр)'!$G$25:$G$606,$G98),IF(method_reg="Метод экономически обоснованных расходов",_xlfn.SUMIFS('Калькуляция (МЭОР)'!$AJ$25:$AJ$367,'Калькуляция (МЭОР)'!$F$25:$F$367,$F98,'Калькуляция (МЭОР)'!$G$25:$G$367,$G98),IF(method_reg="Метод сравнения аналогов",_xlfn.SUMIFS('Калькуляция (МСА)'!$AE$25:$AE$103,'Калькуляция (МСА)'!$F$25:$F$103,$F98,'Калькуляция (МСА)'!$G$25:$G$103,$G98),_xlfn.SUMIFS(INDEX('Калькуляция (МИ)'!$AJ$25:$BC$603,,MATCH(AM$8,'Калькуляция (МИ)'!$AJ$8:$BC$8,0)),'Калькуляция (МИ)'!$F$25:$F$603,$F98,'Калькуляция (МИ)'!$G$25:$G$603,$G98))))</f>
        <v>0</v>
      </c>
      <c r="AN98" s="4576">
        <f>IF(AND(method_reg="Метод индексации",god&lt;&gt;first_year),_xlfn.SUMIFS(INDEX('Калькуляция (МИ корр)'!$AJ$25:$BC$606,,MATCH(AN$8,'Калькуляция (МИ корр)'!$AJ$8:$BC$8,0)),'Калькуляция (МИ корр)'!$F$25:$F$606,$F98,'Калькуляция (МИ корр)'!$G$25:$G$606,$G98),IF(method_reg="Метод экономически обоснованных расходов",_xlfn.SUMIFS('Калькуляция (МЭОР)'!$AK$25:$AK$367,'Калькуляция (МЭОР)'!$F$25:$F$367,$F98,'Калькуляция (МЭОР)'!$G$25:$G$367,$G98),IF(method_reg="Метод сравнения аналогов",_xlfn.SUMIFS('Калькуляция (МСА)'!$AF$25:$AF$103,'Калькуляция (МСА)'!$F$25:$F$103,$F98,'Калькуляция (МСА)'!$G$25:$G$103,$G98),_xlfn.SUMIFS(INDEX('Калькуляция (МИ)'!$AJ$25:$BC$603,,MATCH(AN$8,'Калькуляция (МИ)'!$AJ$8:$BC$8,0)),'Калькуляция (МИ)'!$F$25:$F$603,$F98,'Калькуляция (МИ)'!$G$25:$G$603,$G98))))</f>
        <v>0</v>
      </c>
      <c r="AO98" s="292">
        <f>IF(AM98=0,0,(AN98-AM98)/AM98*100)</f>
        <v>0</v>
      </c>
      <c r="AP98" s="4576">
        <f>IF(AND(method_reg="Метод индексации",god&lt;&gt;first_year),_xlfn.SUMIFS(INDEX('Калькуляция (МИ корр)'!$AJ$25:$BC$606,,MATCH(AP$8,'Калькуляция (МИ корр)'!$AJ$8:$BC$8,0)),'Калькуляция (МИ корр)'!$F$25:$F$606,$F98,'Калькуляция (МИ корр)'!$G$25:$G$606,$G98),IF(method_reg="Метод экономически обоснованных расходов",_xlfn.SUMIFS('Калькуляция (МЭОР)'!$AJ$25:$AJ$367,'Калькуляция (МЭОР)'!$F$25:$F$367,$F98,'Калькуляция (МЭОР)'!$G$25:$G$367,$G98),IF(method_reg="Метод сравнения аналогов",_xlfn.SUMIFS('Калькуляция (МСА)'!$AE$25:$AE$103,'Калькуляция (МСА)'!$F$25:$F$103,$F98,'Калькуляция (МСА)'!$G$25:$G$103,$G98),_xlfn.SUMIFS(INDEX('Калькуляция (МИ)'!$AJ$25:$BC$603,,MATCH(AP$8,'Калькуляция (МИ)'!$AJ$8:$BC$8,0)),'Калькуляция (МИ)'!$F$25:$F$603,$F98,'Калькуляция (МИ)'!$G$25:$G$603,$G98))))</f>
        <v>0</v>
      </c>
      <c r="AQ98" s="4576">
        <f>IF(AND(method_reg="Метод индексации",god&lt;&gt;first_year),_xlfn.SUMIFS(INDEX('Калькуляция (МИ корр)'!$AJ$25:$BC$606,,MATCH(AQ$8,'Калькуляция (МИ корр)'!$AJ$8:$BC$8,0)),'Калькуляция (МИ корр)'!$F$25:$F$606,$F98,'Калькуляция (МИ корр)'!$G$25:$G$606,$G98),IF(method_reg="Метод экономически обоснованных расходов",_xlfn.SUMIFS('Калькуляция (МЭОР)'!$AK$25:$AK$367,'Калькуляция (МЭОР)'!$F$25:$F$367,$F98,'Калькуляция (МЭОР)'!$G$25:$G$367,$G98),IF(method_reg="Метод сравнения аналогов",_xlfn.SUMIFS('Калькуляция (МСА)'!$AF$25:$AF$103,'Калькуляция (МСА)'!$F$25:$F$103,$F98,'Калькуляция (МСА)'!$G$25:$G$103,$G98),_xlfn.SUMIFS(INDEX('Калькуляция (МИ)'!$AJ$25:$BC$603,,MATCH(AQ$8,'Калькуляция (МИ)'!$AJ$8:$BC$8,0)),'Калькуляция (МИ)'!$F$25:$F$603,$F98,'Калькуляция (МИ)'!$G$25:$G$603,$G98))))</f>
        <v>0</v>
      </c>
      <c r="AR98" s="292">
        <f>IF(AP98=0,0,(AQ98-AP98)/AP98*100)</f>
        <v>0</v>
      </c>
      <c r="AS98" s="4576">
        <f>IF(AND(method_reg="Метод индексации",god&lt;&gt;first_year),_xlfn.SUMIFS(INDEX('Калькуляция (МИ корр)'!$AJ$25:$BC$606,,MATCH(AS$8,'Калькуляция (МИ корр)'!$AJ$8:$BC$8,0)),'Калькуляция (МИ корр)'!$F$25:$F$606,$F98,'Калькуляция (МИ корр)'!$G$25:$G$606,$G98),IF(method_reg="Метод экономически обоснованных расходов",_xlfn.SUMIFS('Калькуляция (МЭОР)'!$AJ$25:$AJ$367,'Калькуляция (МЭОР)'!$F$25:$F$367,$F98,'Калькуляция (МЭОР)'!$G$25:$G$367,$G98),IF(method_reg="Метод сравнения аналогов",_xlfn.SUMIFS('Калькуляция (МСА)'!$AE$25:$AE$103,'Калькуляция (МСА)'!$F$25:$F$103,$F98,'Калькуляция (МСА)'!$G$25:$G$103,$G98),_xlfn.SUMIFS(INDEX('Калькуляция (МИ)'!$AJ$25:$BC$603,,MATCH(AS$8,'Калькуляция (МИ)'!$AJ$8:$BC$8,0)),'Калькуляция (МИ)'!$F$25:$F$603,$F98,'Калькуляция (МИ)'!$G$25:$G$603,$G98))))</f>
        <v>0</v>
      </c>
      <c r="AT98" s="4576">
        <f>IF(AND(method_reg="Метод индексации",god&lt;&gt;first_year),_xlfn.SUMIFS(INDEX('Калькуляция (МИ корр)'!$AJ$25:$BC$606,,MATCH(AT$8,'Калькуляция (МИ корр)'!$AJ$8:$BC$8,0)),'Калькуляция (МИ корр)'!$F$25:$F$606,$F98,'Калькуляция (МИ корр)'!$G$25:$G$606,$G98),IF(method_reg="Метод экономически обоснованных расходов",_xlfn.SUMIFS('Калькуляция (МЭОР)'!$AK$25:$AK$367,'Калькуляция (МЭОР)'!$F$25:$F$367,$F98,'Калькуляция (МЭОР)'!$G$25:$G$367,$G98),IF(method_reg="Метод сравнения аналогов",_xlfn.SUMIFS('Калькуляция (МСА)'!$AF$25:$AF$103,'Калькуляция (МСА)'!$F$25:$F$103,$F98,'Калькуляция (МСА)'!$G$25:$G$103,$G98),_xlfn.SUMIFS(INDEX('Калькуляция (МИ)'!$AJ$25:$BC$603,,MATCH(AT$8,'Калькуляция (МИ)'!$AJ$8:$BC$8,0)),'Калькуляция (МИ)'!$F$25:$F$603,$F98,'Калькуляция (МИ)'!$G$25:$G$603,$G98))))</f>
        <v>0</v>
      </c>
      <c r="AU98" s="292">
        <f>IF(AS98=0,0,(AT98-AS98)/AS98*100)</f>
        <v>0</v>
      </c>
      <c r="AV98" s="4576">
        <f>IF(AND(method_reg="Метод индексации",god&lt;&gt;first_year),_xlfn.SUMIFS(INDEX('Калькуляция (МИ корр)'!$AJ$25:$BC$606,,MATCH(AV$8,'Калькуляция (МИ корр)'!$AJ$8:$BC$8,0)),'Калькуляция (МИ корр)'!$F$25:$F$606,$F98,'Калькуляция (МИ корр)'!$G$25:$G$606,$G98),IF(method_reg="Метод экономически обоснованных расходов",_xlfn.SUMIFS('Калькуляция (МЭОР)'!$AJ$25:$AJ$367,'Калькуляция (МЭОР)'!$F$25:$F$367,$F98,'Калькуляция (МЭОР)'!$G$25:$G$367,$G98),IF(method_reg="Метод сравнения аналогов",_xlfn.SUMIFS('Калькуляция (МСА)'!$AE$25:$AE$103,'Калькуляция (МСА)'!$F$25:$F$103,$F98,'Калькуляция (МСА)'!$G$25:$G$103,$G98),_xlfn.SUMIFS(INDEX('Калькуляция (МИ)'!$AJ$25:$BC$603,,MATCH(AV$8,'Калькуляция (МИ)'!$AJ$8:$BC$8,0)),'Калькуляция (МИ)'!$F$25:$F$603,$F98,'Калькуляция (МИ)'!$G$25:$G$603,$G98))))</f>
        <v>0</v>
      </c>
      <c r="AW98" s="4576">
        <f>IF(AND(method_reg="Метод индексации",god&lt;&gt;first_year),_xlfn.SUMIFS(INDEX('Калькуляция (МИ корр)'!$AJ$25:$BC$606,,MATCH(AW$8,'Калькуляция (МИ корр)'!$AJ$8:$BC$8,0)),'Калькуляция (МИ корр)'!$F$25:$F$606,$F98,'Калькуляция (МИ корр)'!$G$25:$G$606,$G98),IF(method_reg="Метод экономически обоснованных расходов",_xlfn.SUMIFS('Калькуляция (МЭОР)'!$AK$25:$AK$367,'Калькуляция (МЭОР)'!$F$25:$F$367,$F98,'Калькуляция (МЭОР)'!$G$25:$G$367,$G98),IF(method_reg="Метод сравнения аналогов",_xlfn.SUMIFS('Калькуляция (МСА)'!$AF$25:$AF$103,'Калькуляция (МСА)'!$F$25:$F$103,$F98,'Калькуляция (МСА)'!$G$25:$G$103,$G98),_xlfn.SUMIFS(INDEX('Калькуляция (МИ)'!$AJ$25:$BC$603,,MATCH(AW$8,'Калькуляция (МИ)'!$AJ$8:$BC$8,0)),'Калькуляция (МИ)'!$F$25:$F$603,$F98,'Калькуляция (МИ)'!$G$25:$G$603,$G98))))</f>
        <v>0</v>
      </c>
      <c r="AX98" s="292">
        <f>IF(AV98=0,0,(AW98-AV98)/AV98*100)</f>
        <v>0</v>
      </c>
      <c r="AY98" s="4576">
        <f>IF(AND(method_reg="Метод индексации",god&lt;&gt;first_year),_xlfn.SUMIFS(INDEX('Калькуляция (МИ корр)'!$AJ$25:$BC$606,,MATCH(AY$8,'Калькуляция (МИ корр)'!$AJ$8:$BC$8,0)),'Калькуляция (МИ корр)'!$F$25:$F$606,$F98,'Калькуляция (МИ корр)'!$G$25:$G$606,$G98),IF(method_reg="Метод экономически обоснованных расходов",_xlfn.SUMIFS('Калькуляция (МЭОР)'!$AJ$25:$AJ$367,'Калькуляция (МЭОР)'!$F$25:$F$367,$F98,'Калькуляция (МЭОР)'!$G$25:$G$367,$G98),IF(method_reg="Метод сравнения аналогов",_xlfn.SUMIFS('Калькуляция (МСА)'!$AE$25:$AE$103,'Калькуляция (МСА)'!$F$25:$F$103,$F98,'Калькуляция (МСА)'!$G$25:$G$103,$G98),_xlfn.SUMIFS(INDEX('Калькуляция (МИ)'!$AJ$25:$BC$603,,MATCH(AY$8,'Калькуляция (МИ)'!$AJ$8:$BC$8,0)),'Калькуляция (МИ)'!$F$25:$F$603,$F98,'Калькуляция (МИ)'!$G$25:$G$603,$G98))))</f>
        <v>0</v>
      </c>
      <c r="AZ98" s="4576">
        <f>IF(AND(method_reg="Метод индексации",god&lt;&gt;first_year),_xlfn.SUMIFS(INDEX('Калькуляция (МИ корр)'!$AJ$25:$BC$606,,MATCH(AZ$8,'Калькуляция (МИ корр)'!$AJ$8:$BC$8,0)),'Калькуляция (МИ корр)'!$F$25:$F$606,$F98,'Калькуляция (МИ корр)'!$G$25:$G$606,$G98),IF(method_reg="Метод экономически обоснованных расходов",_xlfn.SUMIFS('Калькуляция (МЭОР)'!$AK$25:$AK$367,'Калькуляция (МЭОР)'!$F$25:$F$367,$F98,'Калькуляция (МЭОР)'!$G$25:$G$367,$G98),IF(method_reg="Метод сравнения аналогов",_xlfn.SUMIFS('Калькуляция (МСА)'!$AF$25:$AF$103,'Калькуляция (МСА)'!$F$25:$F$103,$F98,'Калькуляция (МСА)'!$G$25:$G$103,$G98),_xlfn.SUMIFS(INDEX('Калькуляция (МИ)'!$AJ$25:$BC$603,,MATCH(AZ$8,'Калькуляция (МИ)'!$AJ$8:$BC$8,0)),'Калькуляция (МИ)'!$F$25:$F$603,$F98,'Калькуляция (МИ)'!$G$25:$G$603,$G98))))</f>
        <v>0</v>
      </c>
      <c r="BA98" s="292">
        <f>IF(AY98=0,0,(AZ98-AY98)/AY98*100)</f>
        <v>0</v>
      </c>
      <c r="BB98" s="4576">
        <f>IF(AND(method_reg="Метод индексации",god&lt;&gt;first_year),_xlfn.SUMIFS(INDEX('Калькуляция (МИ корр)'!$AJ$25:$BC$606,,MATCH(BB$8,'Калькуляция (МИ корр)'!$AJ$8:$BC$8,0)),'Калькуляция (МИ корр)'!$F$25:$F$606,$F98,'Калькуляция (МИ корр)'!$G$25:$G$606,$G98),IF(method_reg="Метод экономически обоснованных расходов",_xlfn.SUMIFS('Калькуляция (МЭОР)'!$AJ$25:$AJ$367,'Калькуляция (МЭОР)'!$F$25:$F$367,$F98,'Калькуляция (МЭОР)'!$G$25:$G$367,$G98),IF(method_reg="Метод сравнения аналогов",_xlfn.SUMIFS('Калькуляция (МСА)'!$AE$25:$AE$103,'Калькуляция (МСА)'!$F$25:$F$103,$F98,'Калькуляция (МСА)'!$G$25:$G$103,$G98),_xlfn.SUMIFS(INDEX('Калькуляция (МИ)'!$AJ$25:$BC$603,,MATCH(BB$8,'Калькуляция (МИ)'!$AJ$8:$BC$8,0)),'Калькуляция (МИ)'!$F$25:$F$603,$F98,'Калькуляция (МИ)'!$G$25:$G$603,$G98))))</f>
        <v>0</v>
      </c>
      <c r="BC98" s="4576">
        <f>IF(AND(method_reg="Метод индексации",god&lt;&gt;first_year),_xlfn.SUMIFS(INDEX('Калькуляция (МИ корр)'!$AJ$25:$BC$606,,MATCH(BC$8,'Калькуляция (МИ корр)'!$AJ$8:$BC$8,0)),'Калькуляция (МИ корр)'!$F$25:$F$606,$F98,'Калькуляция (МИ корр)'!$G$25:$G$606,$G98),IF(method_reg="Метод экономически обоснованных расходов",_xlfn.SUMIFS('Калькуляция (МЭОР)'!$AK$25:$AK$367,'Калькуляция (МЭОР)'!$F$25:$F$367,$F98,'Калькуляция (МЭОР)'!$G$25:$G$367,$G98),IF(method_reg="Метод сравнения аналогов",_xlfn.SUMIFS('Калькуляция (МСА)'!$AF$25:$AF$103,'Калькуляция (МСА)'!$F$25:$F$103,$F98,'Калькуляция (МСА)'!$G$25:$G$103,$G98),_xlfn.SUMIFS(INDEX('Калькуляция (МИ)'!$AJ$25:$BC$603,,MATCH(BC$8,'Калькуляция (МИ)'!$AJ$8:$BC$8,0)),'Калькуляция (МИ)'!$F$25:$F$603,$F98,'Калькуляция (МИ)'!$G$25:$G$603,$G98))))</f>
        <v>0</v>
      </c>
      <c r="BD98" s="292">
        <f>IF(BB98=0,0,(BC98-BB98)/BB98*100)</f>
        <v>0</v>
      </c>
      <c r="BE98" s="4576">
        <f>IF(AND(method_reg="Метод индексации",god&lt;&gt;first_year),_xlfn.SUMIFS(INDEX('Калькуляция (МИ корр)'!$AJ$25:$BC$606,,MATCH(BE$8,'Калькуляция (МИ корр)'!$AJ$8:$BC$8,0)),'Калькуляция (МИ корр)'!$F$25:$F$606,$F98,'Калькуляция (МИ корр)'!$G$25:$G$606,$G98),IF(method_reg="Метод экономически обоснованных расходов",_xlfn.SUMIFS('Калькуляция (МЭОР)'!$AJ$25:$AJ$367,'Калькуляция (МЭОР)'!$F$25:$F$367,$F98,'Калькуляция (МЭОР)'!$G$25:$G$367,$G98),IF(method_reg="Метод сравнения аналогов",_xlfn.SUMIFS('Калькуляция (МСА)'!$AE$25:$AE$103,'Калькуляция (МСА)'!$F$25:$F$103,$F98,'Калькуляция (МСА)'!$G$25:$G$103,$G98),_xlfn.SUMIFS(INDEX('Калькуляция (МИ)'!$AJ$25:$BC$603,,MATCH(BE$8,'Калькуляция (МИ)'!$AJ$8:$BC$8,0)),'Калькуляция (МИ)'!$F$25:$F$603,$F98,'Калькуляция (МИ)'!$G$25:$G$603,$G98))))</f>
        <v>0</v>
      </c>
      <c r="BF98" s="4576">
        <f>IF(AND(method_reg="Метод индексации",god&lt;&gt;first_year),_xlfn.SUMIFS(INDEX('Калькуляция (МИ корр)'!$AJ$25:$BC$606,,MATCH(BF$8,'Калькуляция (МИ корр)'!$AJ$8:$BC$8,0)),'Калькуляция (МИ корр)'!$F$25:$F$606,$F98,'Калькуляция (МИ корр)'!$G$25:$G$606,$G98),IF(method_reg="Метод экономически обоснованных расходов",_xlfn.SUMIFS('Калькуляция (МЭОР)'!$AK$25:$AK$367,'Калькуляция (МЭОР)'!$F$25:$F$367,$F98,'Калькуляция (МЭОР)'!$G$25:$G$367,$G98),IF(method_reg="Метод сравнения аналогов",_xlfn.SUMIFS('Калькуляция (МСА)'!$AF$25:$AF$103,'Калькуляция (МСА)'!$F$25:$F$103,$F98,'Калькуляция (МСА)'!$G$25:$G$103,$G98),_xlfn.SUMIFS(INDEX('Калькуляция (МИ)'!$AJ$25:$BC$603,,MATCH(BF$8,'Калькуляция (МИ)'!$AJ$8:$BC$8,0)),'Калькуляция (МИ)'!$F$25:$F$603,$F98,'Калькуляция (МИ)'!$G$25:$G$603,$G98))))</f>
        <v>0</v>
      </c>
      <c r="BG98" s="292">
        <f>IF(BE98=0,0,(BF98-BE98)/BE98*100)</f>
        <v>0</v>
      </c>
      <c r="BH98" s="4576"/>
      <c r="BI98" s="4576"/>
      <c r="BJ98" s="292">
        <f>IF(BH98=0,0,(BI98-BH98)/BH98*100)</f>
        <v>0</v>
      </c>
      <c r="BK98" s="4576"/>
      <c r="BL98" s="4576"/>
      <c r="BM98" s="292">
        <f>IF(BK98=0,0,(BL98-BK98)/BK98*100)</f>
        <v>0</v>
      </c>
      <c r="BN98" s="4576"/>
      <c r="BO98" s="4576"/>
      <c r="BP98" s="292">
        <f>IF(BN98=0,0,(BO98-BN98)/BN98*100)</f>
        <v>0</v>
      </c>
      <c r="BQ98" s="4576"/>
      <c r="BR98" s="4576"/>
      <c r="BS98" s="292">
        <f>IF(BQ98=0,0,(BR98-BQ98)/BQ98*100)</f>
        <v>0</v>
      </c>
      <c r="BT98" s="4576"/>
      <c r="BU98" s="4576"/>
      <c r="BV98" s="292">
        <f>IF(BT98=0,0,(BU98-BT98)/BT98*100)</f>
        <v>0</v>
      </c>
      <c r="BW98" s="4576"/>
      <c r="BX98" s="4576"/>
      <c r="BY98" s="292">
        <f>IF(BW98=0,0,(BX98-BW98)/BW98*100)</f>
        <v>0</v>
      </c>
      <c r="BZ98" s="4576"/>
      <c r="CA98" s="4576"/>
      <c r="CB98" s="292">
        <f>IF(BZ98=0,0,(CA98-BZ98)/BZ98*100)</f>
        <v>0</v>
      </c>
      <c r="CC98" s="4576"/>
      <c r="CD98" s="4576"/>
      <c r="CE98" s="292">
        <f>IF(CC98=0,0,(CD98-CC98)/CC98*100)</f>
        <v>0</v>
      </c>
      <c r="CF98" s="4576"/>
      <c r="CG98" s="4576"/>
      <c r="CH98" s="292">
        <f>IF(CF98=0,0,(CG98-CF98)/CF98*100)</f>
        <v>0</v>
      </c>
      <c r="CI98" s="4576"/>
      <c r="CJ98" s="4576"/>
      <c r="CK98" s="292">
        <f>IF(CI98=0,0,(CJ98-CI98)/CI98*100)</f>
        <v>0</v>
      </c>
      <c r="CL98" s="4576"/>
      <c r="CM98" s="4576"/>
      <c r="CN98" s="292">
        <f>IF(CL98=0,0,(CM98-CL98)/CL98*100)</f>
        <v>0</v>
      </c>
      <c r="CO98" s="4576"/>
      <c r="CP98" s="4576"/>
      <c r="CQ98" s="292">
        <f>IF(CO98=0,0,(CP98-CO98)/CO98*100)</f>
        <v>0</v>
      </c>
      <c r="CR98" s="4576"/>
      <c r="CS98" s="4576"/>
      <c r="CT98" s="292">
        <f>IF(CR98=0,0,(CS98-CR98)/CR98*100)</f>
        <v>0</v>
      </c>
      <c r="CU98" s="4576"/>
      <c r="CV98" s="4576"/>
      <c r="CW98" s="292">
        <f>IF(CU98=0,0,(CV98-CU98)/CU98*100)</f>
        <v>0</v>
      </c>
      <c r="CX98" s="4576"/>
      <c r="CY98" s="4576"/>
      <c r="CZ98" s="292">
        <f>IF(CX98=0,0,(CY98-CX98)/CX98*100)</f>
        <v>0</v>
      </c>
      <c r="DA98" s="4576"/>
      <c r="DB98" s="4576"/>
      <c r="DC98" s="292">
        <f>IF(DA98=0,0,(DB98-DA98)/DA98*100)</f>
        <v>0</v>
      </c>
      <c r="DD98" s="4576"/>
      <c r="DE98" s="4576"/>
      <c r="DF98" s="292">
        <f>IF(DD98=0,0,(DE98-DD98)/DD98*100)</f>
        <v>0</v>
      </c>
      <c r="DG98" s="4578"/>
      <c r="DH98" s="4578"/>
      <c r="DI98" s="292">
        <f>IF(DG98=0,0,(DH98-DG98)/DG98*100)</f>
        <v>0</v>
      </c>
      <c r="DJ98" s="4578"/>
      <c r="DK98" s="4578"/>
      <c r="DL98" s="292">
        <f>IF(DJ98=0,0,(DK98-DJ98)/DJ98*100)</f>
        <v>0</v>
      </c>
      <c r="DM98" s="4578"/>
      <c r="DN98" s="4578"/>
      <c r="DO98" s="292">
        <f>IF(DM98=0,0,(DN98-DM98)/DM98*100)</f>
        <v>0</v>
      </c>
      <c r="DP98" s="4578"/>
      <c r="DQ98" s="4578"/>
      <c r="DR98" s="292">
        <f>IF(DP98=0,0,(DQ98-DP98)/DP98*100)</f>
        <v>0</v>
      </c>
      <c r="DS98" s="4578"/>
      <c r="DT98" s="4578"/>
      <c r="DU98" s="292">
        <f>IF(DS98=0,0,(DT98-DS98)/DS98*100)</f>
        <v>0</v>
      </c>
      <c r="DV98" s="4578"/>
      <c r="DW98" s="4578"/>
      <c r="DX98" s="292">
        <f>IF(DV98=0,0,(DW98-DV98)/DV98*100)</f>
        <v>0</v>
      </c>
      <c r="DY98" s="4578"/>
      <c r="DZ98" s="4578"/>
      <c r="EA98" s="292">
        <f>IF(DY98=0,0,(DZ98-DY98)/DY98*100)</f>
        <v>0</v>
      </c>
      <c r="EB98" s="4578"/>
      <c r="EC98" s="4578"/>
      <c r="ED98" s="292">
        <f>IF(EB98=0,0,(EC98-EB98)/EB98*100)</f>
        <v>0</v>
      </c>
      <c r="EE98" s="4578"/>
      <c r="EF98" s="4578"/>
      <c r="EG98" s="292">
        <f>IF(EE98=0,0,(EF98-EE98)/EE98*100)</f>
        <v>0</v>
      </c>
      <c r="EH98" s="4578"/>
      <c r="EI98" s="4578"/>
      <c r="EJ98" s="292">
        <f>IF(EH98=0,0,(EI98-EH98)/EH98*100)</f>
        <v>0</v>
      </c>
      <c r="EK98" s="4578"/>
      <c r="EL98" s="4578"/>
      <c r="EM98" s="292">
        <f>IF(EK98=0,0,(EL98-EK98)/EK98*100)</f>
        <v>0</v>
      </c>
      <c r="EN98" s="4578"/>
      <c r="EO98" s="4578"/>
      <c r="EP98" s="292">
        <f>IF(EN98=0,0,(EO98-EN98)/EN98*100)</f>
        <v>0</v>
      </c>
      <c r="EQ98" s="4578"/>
      <c r="ER98" s="4578"/>
      <c r="ES98" s="292">
        <f>IF(EQ98=0,0,(ER98-EQ98)/EQ98*100)</f>
        <v>0</v>
      </c>
      <c r="ET98" s="4578"/>
      <c r="EU98" s="4578"/>
      <c r="EV98" s="292">
        <f>IF(ET98=0,0,(EU98-ET98)/ET98*100)</f>
        <v>0</v>
      </c>
      <c r="EW98" s="4578"/>
      <c r="EX98" s="4578"/>
      <c r="EY98" s="292">
        <f>IF(EW98=0,0,(EX98-EW98)/EW98*100)</f>
        <v>0</v>
      </c>
      <c r="EZ98" s="4578"/>
      <c r="FA98" s="4578"/>
      <c r="FB98" s="292">
        <f>IF(EZ98=0,0,(FA98-EZ98)/EZ98*100)</f>
        <v>0</v>
      </c>
      <c r="FC98" s="4578"/>
      <c r="FD98" s="4578"/>
      <c r="FE98" s="292">
        <f>IF(FC98=0,0,(FD98-FC98)/FC98*100)</f>
        <v>0</v>
      </c>
      <c r="FF98" s="4578"/>
      <c r="FG98" s="4578"/>
      <c r="FH98" s="292">
        <f>IF(FF98=0,0,(FG98-FF98)/FF98*100)</f>
        <v>0</v>
      </c>
      <c r="FI98" s="4578"/>
      <c r="FJ98" s="4578"/>
      <c r="FK98" s="292">
        <f>IF(FI98=0,0,(FJ98-FI98)/FI98*100)</f>
        <v>0</v>
      </c>
      <c r="FL98" s="4578"/>
      <c r="FM98" s="4578"/>
      <c r="FN98" s="292">
        <f>IF(FL98=0,0,(FM98-FL98)/FL98*100)</f>
        <v>0</v>
      </c>
      <c r="FO98" s="4578"/>
      <c r="FP98" s="4578"/>
      <c r="FQ98" s="292">
        <f>IF(FO98=0,0,(FP98-FO98)/FO98*100)</f>
        <v>0</v>
      </c>
      <c r="FR98" s="4578"/>
      <c r="FS98" s="4578"/>
      <c r="FT98" s="292">
        <f>IF(FR98=0,0,(FS98-FR98)/FR98*100)</f>
        <v>0</v>
      </c>
      <c r="FU98" s="4578"/>
      <c r="FV98" s="4578"/>
      <c r="FW98" s="292">
        <f>IF(FU98=0,0,(FV98-FU98)/FU98*100)</f>
        <v>0</v>
      </c>
      <c r="FX98" s="288"/>
      <c r="FY98" s="288"/>
      <c r="FZ98" s="1063" t="s">
        <v>1867</v>
      </c>
      <c r="GA98" s="1063"/>
      <c r="GB98" s="1063"/>
      <c r="GC98" s="1064"/>
      <c r="GD98" s="1064"/>
    </row>
    <row s="1656" customFormat="1" customHeight="1" ht="23.3740234375">
      <c r="A99" s="496"/>
      <c r="B99" s="932" cm="1" t="str">
        <f t="array" ref="B99:B99">B98</f>
        <v>true</v>
      </c>
      <c r="C99" s="496"/>
      <c r="D99" s="496"/>
      <c r="E99" s="847">
        <v>15</v>
      </c>
      <c r="F99" s="50" cm="1" t="str">
        <f t="array" ref="F99:F99">OFFSET(E99,-1,1)</f>
        <v>1</v>
      </c>
      <c r="G99" s="496"/>
      <c r="H99" s="496" t="s">
        <v>570</v>
      </c>
      <c r="I99" s="496" t="s">
        <v>1868</v>
      </c>
      <c r="J99" s="496"/>
      <c r="K99" s="496"/>
      <c r="L99" s="496"/>
      <c r="M99" s="496"/>
      <c r="N99" s="496"/>
      <c r="O99" s="496"/>
      <c r="P99" s="496"/>
      <c r="Q99" s="496"/>
      <c r="R99" s="496"/>
      <c r="S99" s="496"/>
      <c r="T99" s="468" cm="1" t="str">
        <f t="array" ref="T99:T99">T98</f>
        <v>true</v>
      </c>
      <c r="U99" s="496"/>
      <c r="V99" s="496"/>
      <c r="W99" s="496"/>
      <c r="X99" s="1559"/>
      <c r="Y99" s="496"/>
      <c r="Z99" s="1528"/>
      <c r="AA99" s="496"/>
      <c r="AB99" s="1098" t="s">
        <v>1869</v>
      </c>
      <c r="AC99" s="871" t="s">
        <v>561</v>
      </c>
      <c r="AD99" s="1101">
        <f>IF(AD97=0,0,AD98/AD97)*100</f>
        <v>99.9999999999999</v>
      </c>
      <c r="AE99" s="1101">
        <f>IF(AE97=0,0,AE98/AE97)*100</f>
        <v>111.963012456196</v>
      </c>
      <c r="AF99" s="1102"/>
      <c r="AG99" s="1101">
        <f>IF(AG97=0,0,AG98/AG97)*100</f>
        <v>0</v>
      </c>
      <c r="AH99" s="1101">
        <f>IF(AH97=0,0,AH98/AH97)*100</f>
        <v>0</v>
      </c>
      <c r="AI99" s="1102"/>
      <c r="AJ99" s="1101">
        <f>IF(AJ97=0,0,AJ98/AJ97)*100</f>
        <v>0</v>
      </c>
      <c r="AK99" s="1101">
        <f>IF(AK97=0,0,AK98/AK97)*100</f>
        <v>0</v>
      </c>
      <c r="AL99" s="1102"/>
      <c r="AM99" s="1101">
        <f>IF(AM97=0,0,AM98/AM97)*100</f>
        <v>0</v>
      </c>
      <c r="AN99" s="1101">
        <f>IF(AN97=0,0,AN98/AN97)*100</f>
        <v>0</v>
      </c>
      <c r="AO99" s="1102"/>
      <c r="AP99" s="1101">
        <f>IF(AP97=0,0,AP98/AP97)*100</f>
        <v>0</v>
      </c>
      <c r="AQ99" s="1101">
        <f>IF(AQ97=0,0,AQ98/AQ97)*100</f>
        <v>0</v>
      </c>
      <c r="AR99" s="1102"/>
      <c r="AS99" s="1101">
        <f>IF(AS97=0,0,AS98/AS97)*100</f>
        <v>0</v>
      </c>
      <c r="AT99" s="1101">
        <f>IF(AT97=0,0,AT98/AT97)*100</f>
        <v>0</v>
      </c>
      <c r="AU99" s="1102"/>
      <c r="AV99" s="1101">
        <f>IF(AV97=0,0,AV98/AV97)*100</f>
        <v>0</v>
      </c>
      <c r="AW99" s="1101">
        <f>IF(AW97=0,0,AW98/AW97)*100</f>
        <v>0</v>
      </c>
      <c r="AX99" s="1102"/>
      <c r="AY99" s="1101">
        <f>IF(AY97=0,0,AY98/AY97)*100</f>
        <v>0</v>
      </c>
      <c r="AZ99" s="1101">
        <f>IF(AZ97=0,0,AZ98/AZ97)*100</f>
        <v>0</v>
      </c>
      <c r="BA99" s="1102"/>
      <c r="BB99" s="1101">
        <f>IF(BB97=0,0,BB98/BB97)*100</f>
        <v>0</v>
      </c>
      <c r="BC99" s="1101">
        <f>IF(BC97=0,0,BC98/BC97)*100</f>
        <v>0</v>
      </c>
      <c r="BD99" s="1102"/>
      <c r="BE99" s="1101">
        <f>IF(BE97=0,0,BE98/BE97)*100</f>
        <v>0</v>
      </c>
      <c r="BF99" s="1101">
        <f>IF(BF97=0,0,BF98/BF97)*100</f>
        <v>0</v>
      </c>
      <c r="BG99" s="1102"/>
      <c r="BH99" s="1101">
        <f>IF(BH97=0,0,BH98/BH97)*100</f>
        <v>0</v>
      </c>
      <c r="BI99" s="1101">
        <f>IF(BI97=0,0,BI98/BI97)*100</f>
        <v>0</v>
      </c>
      <c r="BJ99" s="1102"/>
      <c r="BK99" s="1101">
        <f>IF(BK97=0,0,BK98/BK97)*100</f>
        <v>0</v>
      </c>
      <c r="BL99" s="1101">
        <f>IF(BL97=0,0,BL98/BL97)*100</f>
        <v>0</v>
      </c>
      <c r="BM99" s="1102"/>
      <c r="BN99" s="1101">
        <f>IF(BN97=0,0,BN98/BN97)*100</f>
        <v>0</v>
      </c>
      <c r="BO99" s="1101">
        <f>IF(BO97=0,0,BO98/BO97)*100</f>
        <v>0</v>
      </c>
      <c r="BP99" s="1102"/>
      <c r="BQ99" s="1101">
        <f>IF(BQ97=0,0,BQ98/BQ97)*100</f>
        <v>0</v>
      </c>
      <c r="BR99" s="1101">
        <f>IF(BR97=0,0,BR98/BR97)*100</f>
        <v>0</v>
      </c>
      <c r="BS99" s="1102"/>
      <c r="BT99" s="1101">
        <f>IF(BT97=0,0,BT98/BT97)*100</f>
        <v>0</v>
      </c>
      <c r="BU99" s="1101">
        <f>IF(BU97=0,0,BU98/BU97)*100</f>
        <v>0</v>
      </c>
      <c r="BV99" s="1102"/>
      <c r="BW99" s="1101">
        <f>IF(BW97=0,0,BW98/BW97)*100</f>
        <v>0</v>
      </c>
      <c r="BX99" s="1101">
        <f>IF(BX97=0,0,BX98/BX97)*100</f>
        <v>0</v>
      </c>
      <c r="BY99" s="1102"/>
      <c r="BZ99" s="1101">
        <f>IF(BZ97=0,0,BZ98/BZ97)*100</f>
        <v>0</v>
      </c>
      <c r="CA99" s="1101">
        <f>IF(CA97=0,0,CA98/CA97)*100</f>
        <v>0</v>
      </c>
      <c r="CB99" s="1102"/>
      <c r="CC99" s="1101">
        <f>IF(CC97=0,0,CC98/CC97)*100</f>
        <v>0</v>
      </c>
      <c r="CD99" s="1101">
        <f>IF(CD97=0,0,CD98/CD97)*100</f>
        <v>0</v>
      </c>
      <c r="CE99" s="1102"/>
      <c r="CF99" s="1101">
        <f>IF(CF97=0,0,CF98/CF97)*100</f>
        <v>0</v>
      </c>
      <c r="CG99" s="1101">
        <f>IF(CG97=0,0,CG98/CG97)*100</f>
        <v>0</v>
      </c>
      <c r="CH99" s="1102"/>
      <c r="CI99" s="1101">
        <f>IF(CI97=0,0,CI98/CI97)*100</f>
        <v>0</v>
      </c>
      <c r="CJ99" s="1101">
        <f>IF(CJ97=0,0,CJ98/CJ97)*100</f>
        <v>0</v>
      </c>
      <c r="CK99" s="1102"/>
      <c r="CL99" s="1101">
        <f>IF(CL97=0,0,CL98/CL97)*100</f>
        <v>0</v>
      </c>
      <c r="CM99" s="1101">
        <f>IF(CM97=0,0,CM98/CM97)*100</f>
        <v>0</v>
      </c>
      <c r="CN99" s="1102"/>
      <c r="CO99" s="1101">
        <f>IF(CO97=0,0,CO98/CO97)*100</f>
        <v>0</v>
      </c>
      <c r="CP99" s="1101">
        <f>IF(CP97=0,0,CP98/CP97)*100</f>
        <v>0</v>
      </c>
      <c r="CQ99" s="1102"/>
      <c r="CR99" s="1101">
        <f>IF(CR97=0,0,CR98/CR97)*100</f>
        <v>0</v>
      </c>
      <c r="CS99" s="1101">
        <f>IF(CS97=0,0,CS98/CS97)*100</f>
        <v>0</v>
      </c>
      <c r="CT99" s="1102"/>
      <c r="CU99" s="1101">
        <f>IF(CU97=0,0,CU98/CU97)*100</f>
        <v>0</v>
      </c>
      <c r="CV99" s="1101">
        <f>IF(CV97=0,0,CV98/CV97)*100</f>
        <v>0</v>
      </c>
      <c r="CW99" s="1102"/>
      <c r="CX99" s="1101">
        <f>IF(CX97=0,0,CX98/CX97)*100</f>
        <v>0</v>
      </c>
      <c r="CY99" s="1101">
        <f>IF(CY97=0,0,CY98/CY97)*100</f>
        <v>0</v>
      </c>
      <c r="CZ99" s="1102"/>
      <c r="DA99" s="1101">
        <f>IF(DA97=0,0,DA98/DA97)*100</f>
        <v>0</v>
      </c>
      <c r="DB99" s="1101">
        <f>IF(DB97=0,0,DB98/DB97)*100</f>
        <v>0</v>
      </c>
      <c r="DC99" s="1102"/>
      <c r="DD99" s="1101">
        <f>IF(DD97=0,0,DD98/DD97)*100</f>
        <v>0</v>
      </c>
      <c r="DE99" s="1101">
        <f>IF(DE97=0,0,DE98/DE97)*100</f>
        <v>0</v>
      </c>
      <c r="DF99" s="1102"/>
      <c r="DG99" s="1101">
        <f>IF(DG97=0,0,DG98/DG97)*100</f>
        <v>0</v>
      </c>
      <c r="DH99" s="1101">
        <f>IF(DH97=0,0,DH98/DH97)*100</f>
        <v>0</v>
      </c>
      <c r="DI99" s="1102"/>
      <c r="DJ99" s="1101">
        <f>IF(DJ97=0,0,DJ98/DJ97)*100</f>
        <v>0</v>
      </c>
      <c r="DK99" s="1101">
        <f>IF(DK97=0,0,DK98/DK97)*100</f>
        <v>0</v>
      </c>
      <c r="DL99" s="1102"/>
      <c r="DM99" s="1101">
        <f>IF(DM97=0,0,DM98/DM97)*100</f>
        <v>0</v>
      </c>
      <c r="DN99" s="1101">
        <f>IF(DN97=0,0,DN98/DN97)*100</f>
        <v>0</v>
      </c>
      <c r="DO99" s="1102"/>
      <c r="DP99" s="1101">
        <f>IF(DP97=0,0,DP98/DP97)*100</f>
        <v>0</v>
      </c>
      <c r="DQ99" s="1101">
        <f>IF(DQ97=0,0,DQ98/DQ97)*100</f>
        <v>0</v>
      </c>
      <c r="DR99" s="1102"/>
      <c r="DS99" s="1101">
        <f>IF(DS97=0,0,DS98/DS97)*100</f>
        <v>0</v>
      </c>
      <c r="DT99" s="1101">
        <f>IF(DT97=0,0,DT98/DT97)*100</f>
        <v>0</v>
      </c>
      <c r="DU99" s="1102"/>
      <c r="DV99" s="1101">
        <f>IF(DV97=0,0,DV98/DV97)*100</f>
        <v>0</v>
      </c>
      <c r="DW99" s="1101">
        <f>IF(DW97=0,0,DW98/DW97)*100</f>
        <v>0</v>
      </c>
      <c r="DX99" s="1102"/>
      <c r="DY99" s="1101">
        <f>IF(DY97=0,0,DY98/DY97)*100</f>
        <v>0</v>
      </c>
      <c r="DZ99" s="1101">
        <f>IF(DZ97=0,0,DZ98/DZ97)*100</f>
        <v>0</v>
      </c>
      <c r="EA99" s="1102"/>
      <c r="EB99" s="1101">
        <f>IF(EB97=0,0,EB98/EB97)*100</f>
        <v>0</v>
      </c>
      <c r="EC99" s="1101">
        <f>IF(EC97=0,0,EC98/EC97)*100</f>
        <v>0</v>
      </c>
      <c r="ED99" s="1102"/>
      <c r="EE99" s="1101">
        <f>IF(EE97=0,0,EE98/EE97)*100</f>
        <v>0</v>
      </c>
      <c r="EF99" s="1101">
        <f>IF(EF97=0,0,EF98/EF97)*100</f>
        <v>0</v>
      </c>
      <c r="EG99" s="1102"/>
      <c r="EH99" s="1101">
        <f>IF(EH97=0,0,EH98/EH97)*100</f>
        <v>0</v>
      </c>
      <c r="EI99" s="1101">
        <f>IF(EI97=0,0,EI98/EI97)*100</f>
        <v>0</v>
      </c>
      <c r="EJ99" s="1102"/>
      <c r="EK99" s="1101">
        <f>IF(EK97=0,0,EK98/EK97)*100</f>
        <v>0</v>
      </c>
      <c r="EL99" s="1101">
        <f>IF(EL97=0,0,EL98/EL97)*100</f>
        <v>0</v>
      </c>
      <c r="EM99" s="1102"/>
      <c r="EN99" s="1101">
        <f>IF(EN97=0,0,EN98/EN97)*100</f>
        <v>0</v>
      </c>
      <c r="EO99" s="1101">
        <f>IF(EO97=0,0,EO98/EO97)*100</f>
        <v>0</v>
      </c>
      <c r="EP99" s="1102"/>
      <c r="EQ99" s="1101">
        <f>IF(EQ97=0,0,EQ98/EQ97)*100</f>
        <v>0</v>
      </c>
      <c r="ER99" s="1101">
        <f>IF(ER97=0,0,ER98/ER97)*100</f>
        <v>0</v>
      </c>
      <c r="ES99" s="1102"/>
      <c r="ET99" s="1101">
        <f>IF(ET97=0,0,ET98/ET97)*100</f>
        <v>0</v>
      </c>
      <c r="EU99" s="1101">
        <f>IF(EU97=0,0,EU98/EU97)*100</f>
        <v>0</v>
      </c>
      <c r="EV99" s="1102"/>
      <c r="EW99" s="1101">
        <f>IF(EW97=0,0,EW98/EW97)*100</f>
        <v>0</v>
      </c>
      <c r="EX99" s="1101">
        <f>IF(EX97=0,0,EX98/EX97)*100</f>
        <v>0</v>
      </c>
      <c r="EY99" s="1102"/>
      <c r="EZ99" s="1101">
        <f>IF(EZ97=0,0,EZ98/EZ97)*100</f>
        <v>0</v>
      </c>
      <c r="FA99" s="1101">
        <f>IF(FA97=0,0,FA98/FA97)*100</f>
        <v>0</v>
      </c>
      <c r="FB99" s="1102"/>
      <c r="FC99" s="1101">
        <f>IF(FC97=0,0,FC98/FC97)*100</f>
        <v>0</v>
      </c>
      <c r="FD99" s="1101">
        <f>IF(FD97=0,0,FD98/FD97)*100</f>
        <v>0</v>
      </c>
      <c r="FE99" s="1102"/>
      <c r="FF99" s="1101">
        <f>IF(FF97=0,0,FF98/FF97)*100</f>
        <v>0</v>
      </c>
      <c r="FG99" s="1101">
        <f>IF(FG97=0,0,FG98/FG97)*100</f>
        <v>0</v>
      </c>
      <c r="FH99" s="1102"/>
      <c r="FI99" s="1101">
        <f>IF(FI97=0,0,FI98/FI97)*100</f>
        <v>0</v>
      </c>
      <c r="FJ99" s="1101">
        <f>IF(FJ97=0,0,FJ98/FJ97)*100</f>
        <v>0</v>
      </c>
      <c r="FK99" s="1102"/>
      <c r="FL99" s="1101">
        <f>IF(FL97=0,0,FL98/FL97)*100</f>
        <v>0</v>
      </c>
      <c r="FM99" s="1101">
        <f>IF(FM97=0,0,FM98/FM97)*100</f>
        <v>0</v>
      </c>
      <c r="FN99" s="1102"/>
      <c r="FO99" s="1101">
        <f>IF(FO97=0,0,FO98/FO97)*100</f>
        <v>0</v>
      </c>
      <c r="FP99" s="1101">
        <f>IF(FP97=0,0,FP98/FP97)*100</f>
        <v>0</v>
      </c>
      <c r="FQ99" s="1102"/>
      <c r="FR99" s="1101">
        <f>IF(FR97=0,0,FR98/FR97)*100</f>
        <v>0</v>
      </c>
      <c r="FS99" s="1101">
        <f>IF(FS97=0,0,FS98/FS97)*100</f>
        <v>0</v>
      </c>
      <c r="FT99" s="1102"/>
      <c r="FU99" s="1101">
        <f>IF(FU97=0,0,FU98/FU97)*100</f>
        <v>0</v>
      </c>
      <c r="FV99" s="1101">
        <f>IF(FV97=0,0,FV98/FV97)*100</f>
        <v>0</v>
      </c>
      <c r="FW99" s="1102"/>
      <c r="FX99" s="288"/>
      <c r="FY99" s="1328"/>
      <c r="FZ99" s="1063" t="s">
        <v>1870</v>
      </c>
      <c r="GA99" s="1330"/>
      <c r="GB99" s="1330"/>
      <c r="GC99" s="1329"/>
      <c r="GD99" s="1329"/>
    </row>
    <row s="1656" customFormat="1" customHeight="1" ht="21.421875">
      <c r="A100" s="496"/>
      <c r="B100" s="932" cm="1" t="str">
        <f t="array" ref="B100:B100">B99</f>
        <v>true</v>
      </c>
      <c r="C100" s="496"/>
      <c r="D100" s="496"/>
      <c r="E100" s="847">
        <v>15</v>
      </c>
      <c r="F100" s="50" cm="1" t="str">
        <f t="array" ref="F100:F100">OFFSET(E100,-1,1)</f>
        <v>1</v>
      </c>
      <c r="G100" s="103" t="s">
        <v>1871</v>
      </c>
      <c r="H100" s="496" t="s">
        <v>573</v>
      </c>
      <c r="I100" s="496" t="s">
        <v>1868</v>
      </c>
      <c r="J100" s="496"/>
      <c r="K100" s="496"/>
      <c r="L100" s="496"/>
      <c r="M100" s="496"/>
      <c r="N100" s="496"/>
      <c r="O100" s="496"/>
      <c r="P100" s="496"/>
      <c r="Q100" s="496"/>
      <c r="R100" s="496"/>
      <c r="S100" s="496"/>
      <c r="T100" s="468" cm="1" t="str">
        <f t="array" ref="T100:T100">T99</f>
        <v>true</v>
      </c>
      <c r="U100" s="496"/>
      <c r="V100" s="496"/>
      <c r="W100" s="496"/>
      <c r="X100" s="1559"/>
      <c r="Y100" s="496"/>
      <c r="Z100" s="1528"/>
      <c r="AA100" s="496"/>
      <c r="AB100" s="1098" t="s">
        <v>1872</v>
      </c>
      <c r="AC100" s="871" t="s">
        <v>657</v>
      </c>
      <c r="AD100" s="1103">
        <f>IF(AND(method_reg="Метод индексации",god&lt;&gt;first_year),_xlfn.SUMIFS(INDEX('Калькуляция (МИ корр)'!$AJ$25:$BC$606,,MATCH(AD$8,'Калькуляция (МИ корр)'!$AJ$8:$BC$8,0)),'Калькуляция (МИ корр)'!$F$25:$F$606,$F100,'Калькуляция (МИ корр)'!$G$25:$G$606,$G100),IF(method_reg="Метод экономически обоснованных расходов",_xlfn.SUMIFS('Калькуляция (МЭОР)'!$AJ$25:$AJ$367,'Калькуляция (МЭОР)'!$F$25:$F$367,$F100,'Калькуляция (МЭОР)'!$G$25:$G$367,$G100),IF(method_reg="Метод сравнения аналогов",_xlfn.SUMIFS('Калькуляция (МСА)'!$AE$25:$AE$103,'Калькуляция (МСА)'!$F$25:$F$103,$F100,'Калькуляция (МСА)'!$G$25:$G$103,$G100),_xlfn.SUMIFS(INDEX('Калькуляция (МИ)'!$AJ$25:$BC$603,,MATCH(AD$8,'Калькуляция (МИ)'!$AJ$8:$BC$8,0)),'Калькуляция (МИ)'!$F$25:$F$603,$F100,'Калькуляция (МИ)'!$G$25:$G$603,$G100))))</f>
        <v>10839.59791</v>
      </c>
      <c r="AE100" s="1103">
        <f>IF(AND(method_reg="Метод индексации",god&lt;&gt;first_year),_xlfn.SUMIFS(INDEX('Калькуляция (МИ корр)'!$AJ$25:$BC$606,,MATCH(AE$8,'Калькуляция (МИ корр)'!$AJ$8:$BC$8,0)),'Калькуляция (МИ корр)'!$F$25:$F$606,$F100,'Калькуляция (МИ корр)'!$G$25:$G$606,$G100),IF(method_reg="Метод экономически обоснованных расходов",_xlfn.SUMIFS('Калькуляция (МЭОР)'!$AK$25:$AK$367,'Калькуляция (МЭОР)'!$F$25:$F$367,$F100,'Калькуляция (МЭОР)'!$G$25:$G$367,$G100),IF(method_reg="Метод сравнения аналогов",_xlfn.SUMIFS('Калькуляция (МСА)'!$AF$25:$AF$103,'Калькуляция (МСА)'!$F$25:$F$103,$F100,'Калькуляция (МСА)'!$G$25:$G$103,$G100),_xlfn.SUMIFS(INDEX('Калькуляция (МИ)'!$AJ$25:$BC$603,,MATCH(AE$8,'Калькуляция (МИ)'!$AJ$8:$BC$8,0)),'Калькуляция (МИ)'!$F$25:$F$603,$F100,'Калькуляция (МИ)'!$G$25:$G$603,$G100))))</f>
        <v>11287.60815</v>
      </c>
      <c r="AF100" s="1104">
        <f>IF(AD100=0,0,(AE100-AD100)/AD100*100)</f>
        <v>4.13308910274883</v>
      </c>
      <c r="AG100" s="4585">
        <f>IF(AND(method_reg="Метод индексации",god&lt;&gt;first_year),_xlfn.SUMIFS(INDEX('Калькуляция (МИ корр)'!$AJ$25:$BC$606,,MATCH(AG$8,'Калькуляция (МИ корр)'!$AJ$8:$BC$8,0)),'Калькуляция (МИ корр)'!$F$25:$F$606,$F100,'Калькуляция (МИ корр)'!$G$25:$G$606,$G100),IF(method_reg="Метод экономически обоснованных расходов",_xlfn.SUMIFS('Калькуляция (МЭОР)'!$AJ$25:$AJ$367,'Калькуляция (МЭОР)'!$F$25:$F$367,$F100,'Калькуляция (МЭОР)'!$G$25:$G$367,$G100),IF(method_reg="Метод сравнения аналогов",_xlfn.SUMIFS('Калькуляция (МСА)'!$AE$25:$AE$103,'Калькуляция (МСА)'!$F$25:$F$103,$F100,'Калькуляция (МСА)'!$G$25:$G$103,$G100),_xlfn.SUMIFS(INDEX('Калькуляция (МИ)'!$AJ$25:$BC$603,,MATCH(AG$8,'Калькуляция (МИ)'!$AJ$8:$BC$8,0)),'Калькуляция (МИ)'!$F$25:$F$603,$F100,'Калькуляция (МИ)'!$G$25:$G$603,$G100))))</f>
        <v>0</v>
      </c>
      <c r="AH100" s="4585">
        <f>IF(AND(method_reg="Метод индексации",god&lt;&gt;first_year),_xlfn.SUMIFS(INDEX('Калькуляция (МИ корр)'!$AJ$25:$BC$606,,MATCH(AH$8,'Калькуляция (МИ корр)'!$AJ$8:$BC$8,0)),'Калькуляция (МИ корр)'!$F$25:$F$606,$F100,'Калькуляция (МИ корр)'!$G$25:$G$606,$G100),IF(method_reg="Метод экономически обоснованных расходов",_xlfn.SUMIFS('Калькуляция (МЭОР)'!$AK$25:$AK$367,'Калькуляция (МЭОР)'!$F$25:$F$367,$F100,'Калькуляция (МЭОР)'!$G$25:$G$367,$G100),IF(method_reg="Метод сравнения аналогов",_xlfn.SUMIFS('Калькуляция (МСА)'!$AF$25:$AF$103,'Калькуляция (МСА)'!$F$25:$F$103,$F100,'Калькуляция (МСА)'!$G$25:$G$103,$G100),_xlfn.SUMIFS(INDEX('Калькуляция (МИ)'!$AJ$25:$BC$603,,MATCH(AH$8,'Калькуляция (МИ)'!$AJ$8:$BC$8,0)),'Калькуляция (МИ)'!$F$25:$F$603,$F100,'Калькуляция (МИ)'!$G$25:$G$603,$G100))))</f>
        <v>0</v>
      </c>
      <c r="AI100" s="1104">
        <f>IF(AG100=0,0,(AH100-AG100)/AG100*100)</f>
        <v>0</v>
      </c>
      <c r="AJ100" s="4585">
        <f>IF(AND(method_reg="Метод индексации",god&lt;&gt;first_year),_xlfn.SUMIFS(INDEX('Калькуляция (МИ корр)'!$AJ$25:$BC$606,,MATCH(AJ$8,'Калькуляция (МИ корр)'!$AJ$8:$BC$8,0)),'Калькуляция (МИ корр)'!$F$25:$F$606,$F100,'Калькуляция (МИ корр)'!$G$25:$G$606,$G100),IF(method_reg="Метод экономически обоснованных расходов",_xlfn.SUMIFS('Калькуляция (МЭОР)'!$AJ$25:$AJ$367,'Калькуляция (МЭОР)'!$F$25:$F$367,$F100,'Калькуляция (МЭОР)'!$G$25:$G$367,$G100),IF(method_reg="Метод сравнения аналогов",_xlfn.SUMIFS('Калькуляция (МСА)'!$AE$25:$AE$103,'Калькуляция (МСА)'!$F$25:$F$103,$F100,'Калькуляция (МСА)'!$G$25:$G$103,$G100),_xlfn.SUMIFS(INDEX('Калькуляция (МИ)'!$AJ$25:$BC$603,,MATCH(AJ$8,'Калькуляция (МИ)'!$AJ$8:$BC$8,0)),'Калькуляция (МИ)'!$F$25:$F$603,$F100,'Калькуляция (МИ)'!$G$25:$G$603,$G100))))</f>
        <v>0</v>
      </c>
      <c r="AK100" s="4585">
        <f>IF(AND(method_reg="Метод индексации",god&lt;&gt;first_year),_xlfn.SUMIFS(INDEX('Калькуляция (МИ корр)'!$AJ$25:$BC$606,,MATCH(AK$8,'Калькуляция (МИ корр)'!$AJ$8:$BC$8,0)),'Калькуляция (МИ корр)'!$F$25:$F$606,$F100,'Калькуляция (МИ корр)'!$G$25:$G$606,$G100),IF(method_reg="Метод экономически обоснованных расходов",_xlfn.SUMIFS('Калькуляция (МЭОР)'!$AK$25:$AK$367,'Калькуляция (МЭОР)'!$F$25:$F$367,$F100,'Калькуляция (МЭОР)'!$G$25:$G$367,$G100),IF(method_reg="Метод сравнения аналогов",_xlfn.SUMIFS('Калькуляция (МСА)'!$AF$25:$AF$103,'Калькуляция (МСА)'!$F$25:$F$103,$F100,'Калькуляция (МСА)'!$G$25:$G$103,$G100),_xlfn.SUMIFS(INDEX('Калькуляция (МИ)'!$AJ$25:$BC$603,,MATCH(AK$8,'Калькуляция (МИ)'!$AJ$8:$BC$8,0)),'Калькуляция (МИ)'!$F$25:$F$603,$F100,'Калькуляция (МИ)'!$G$25:$G$603,$G100))))</f>
        <v>0</v>
      </c>
      <c r="AL100" s="1104">
        <f>IF(AJ100=0,0,(AK100-AJ100)/AJ100*100)</f>
        <v>0</v>
      </c>
      <c r="AM100" s="4585">
        <f>IF(AND(method_reg="Метод индексации",god&lt;&gt;first_year),_xlfn.SUMIFS(INDEX('Калькуляция (МИ корр)'!$AJ$25:$BC$606,,MATCH(AM$8,'Калькуляция (МИ корр)'!$AJ$8:$BC$8,0)),'Калькуляция (МИ корр)'!$F$25:$F$606,$F100,'Калькуляция (МИ корр)'!$G$25:$G$606,$G100),IF(method_reg="Метод экономически обоснованных расходов",_xlfn.SUMIFS('Калькуляция (МЭОР)'!$AJ$25:$AJ$367,'Калькуляция (МЭОР)'!$F$25:$F$367,$F100,'Калькуляция (МЭОР)'!$G$25:$G$367,$G100),IF(method_reg="Метод сравнения аналогов",_xlfn.SUMIFS('Калькуляция (МСА)'!$AE$25:$AE$103,'Калькуляция (МСА)'!$F$25:$F$103,$F100,'Калькуляция (МСА)'!$G$25:$G$103,$G100),_xlfn.SUMIFS(INDEX('Калькуляция (МИ)'!$AJ$25:$BC$603,,MATCH(AM$8,'Калькуляция (МИ)'!$AJ$8:$BC$8,0)),'Калькуляция (МИ)'!$F$25:$F$603,$F100,'Калькуляция (МИ)'!$G$25:$G$603,$G100))))</f>
        <v>0</v>
      </c>
      <c r="AN100" s="4585">
        <f>IF(AND(method_reg="Метод индексации",god&lt;&gt;first_year),_xlfn.SUMIFS(INDEX('Калькуляция (МИ корр)'!$AJ$25:$BC$606,,MATCH(AN$8,'Калькуляция (МИ корр)'!$AJ$8:$BC$8,0)),'Калькуляция (МИ корр)'!$F$25:$F$606,$F100,'Калькуляция (МИ корр)'!$G$25:$G$606,$G100),IF(method_reg="Метод экономически обоснованных расходов",_xlfn.SUMIFS('Калькуляция (МЭОР)'!$AK$25:$AK$367,'Калькуляция (МЭОР)'!$F$25:$F$367,$F100,'Калькуляция (МЭОР)'!$G$25:$G$367,$G100),IF(method_reg="Метод сравнения аналогов",_xlfn.SUMIFS('Калькуляция (МСА)'!$AF$25:$AF$103,'Калькуляция (МСА)'!$F$25:$F$103,$F100,'Калькуляция (МСА)'!$G$25:$G$103,$G100),_xlfn.SUMIFS(INDEX('Калькуляция (МИ)'!$AJ$25:$BC$603,,MATCH(AN$8,'Калькуляция (МИ)'!$AJ$8:$BC$8,0)),'Калькуляция (МИ)'!$F$25:$F$603,$F100,'Калькуляция (МИ)'!$G$25:$G$603,$G100))))</f>
        <v>0</v>
      </c>
      <c r="AO100" s="1104">
        <f>IF(AM100=0,0,(AN100-AM100)/AM100*100)</f>
        <v>0</v>
      </c>
      <c r="AP100" s="4585">
        <f>IF(AND(method_reg="Метод индексации",god&lt;&gt;first_year),_xlfn.SUMIFS(INDEX('Калькуляция (МИ корр)'!$AJ$25:$BC$606,,MATCH(AP$8,'Калькуляция (МИ корр)'!$AJ$8:$BC$8,0)),'Калькуляция (МИ корр)'!$F$25:$F$606,$F100,'Калькуляция (МИ корр)'!$G$25:$G$606,$G100),IF(method_reg="Метод экономически обоснованных расходов",_xlfn.SUMIFS('Калькуляция (МЭОР)'!$AJ$25:$AJ$367,'Калькуляция (МЭОР)'!$F$25:$F$367,$F100,'Калькуляция (МЭОР)'!$G$25:$G$367,$G100),IF(method_reg="Метод сравнения аналогов",_xlfn.SUMIFS('Калькуляция (МСА)'!$AE$25:$AE$103,'Калькуляция (МСА)'!$F$25:$F$103,$F100,'Калькуляция (МСА)'!$G$25:$G$103,$G100),_xlfn.SUMIFS(INDEX('Калькуляция (МИ)'!$AJ$25:$BC$603,,MATCH(AP$8,'Калькуляция (МИ)'!$AJ$8:$BC$8,0)),'Калькуляция (МИ)'!$F$25:$F$603,$F100,'Калькуляция (МИ)'!$G$25:$G$603,$G100))))</f>
        <v>0</v>
      </c>
      <c r="AQ100" s="4585">
        <f>IF(AND(method_reg="Метод индексации",god&lt;&gt;first_year),_xlfn.SUMIFS(INDEX('Калькуляция (МИ корр)'!$AJ$25:$BC$606,,MATCH(AQ$8,'Калькуляция (МИ корр)'!$AJ$8:$BC$8,0)),'Калькуляция (МИ корр)'!$F$25:$F$606,$F100,'Калькуляция (МИ корр)'!$G$25:$G$606,$G100),IF(method_reg="Метод экономически обоснованных расходов",_xlfn.SUMIFS('Калькуляция (МЭОР)'!$AK$25:$AK$367,'Калькуляция (МЭОР)'!$F$25:$F$367,$F100,'Калькуляция (МЭОР)'!$G$25:$G$367,$G100),IF(method_reg="Метод сравнения аналогов",_xlfn.SUMIFS('Калькуляция (МСА)'!$AF$25:$AF$103,'Калькуляция (МСА)'!$F$25:$F$103,$F100,'Калькуляция (МСА)'!$G$25:$G$103,$G100),_xlfn.SUMIFS(INDEX('Калькуляция (МИ)'!$AJ$25:$BC$603,,MATCH(AQ$8,'Калькуляция (МИ)'!$AJ$8:$BC$8,0)),'Калькуляция (МИ)'!$F$25:$F$603,$F100,'Калькуляция (МИ)'!$G$25:$G$603,$G100))))</f>
        <v>0</v>
      </c>
      <c r="AR100" s="1104">
        <f>IF(AP100=0,0,(AQ100-AP100)/AP100*100)</f>
        <v>0</v>
      </c>
      <c r="AS100" s="4585">
        <f>IF(AND(method_reg="Метод индексации",god&lt;&gt;first_year),_xlfn.SUMIFS(INDEX('Калькуляция (МИ корр)'!$AJ$25:$BC$606,,MATCH(AS$8,'Калькуляция (МИ корр)'!$AJ$8:$BC$8,0)),'Калькуляция (МИ корр)'!$F$25:$F$606,$F100,'Калькуляция (МИ корр)'!$G$25:$G$606,$G100),IF(method_reg="Метод экономически обоснованных расходов",_xlfn.SUMIFS('Калькуляция (МЭОР)'!$AJ$25:$AJ$367,'Калькуляция (МЭОР)'!$F$25:$F$367,$F100,'Калькуляция (МЭОР)'!$G$25:$G$367,$G100),IF(method_reg="Метод сравнения аналогов",_xlfn.SUMIFS('Калькуляция (МСА)'!$AE$25:$AE$103,'Калькуляция (МСА)'!$F$25:$F$103,$F100,'Калькуляция (МСА)'!$G$25:$G$103,$G100),_xlfn.SUMIFS(INDEX('Калькуляция (МИ)'!$AJ$25:$BC$603,,MATCH(AS$8,'Калькуляция (МИ)'!$AJ$8:$BC$8,0)),'Калькуляция (МИ)'!$F$25:$F$603,$F100,'Калькуляция (МИ)'!$G$25:$G$603,$G100))))</f>
        <v>0</v>
      </c>
      <c r="AT100" s="4585">
        <f>IF(AND(method_reg="Метод индексации",god&lt;&gt;first_year),_xlfn.SUMIFS(INDEX('Калькуляция (МИ корр)'!$AJ$25:$BC$606,,MATCH(AT$8,'Калькуляция (МИ корр)'!$AJ$8:$BC$8,0)),'Калькуляция (МИ корр)'!$F$25:$F$606,$F100,'Калькуляция (МИ корр)'!$G$25:$G$606,$G100),IF(method_reg="Метод экономически обоснованных расходов",_xlfn.SUMIFS('Калькуляция (МЭОР)'!$AK$25:$AK$367,'Калькуляция (МЭОР)'!$F$25:$F$367,$F100,'Калькуляция (МЭОР)'!$G$25:$G$367,$G100),IF(method_reg="Метод сравнения аналогов",_xlfn.SUMIFS('Калькуляция (МСА)'!$AF$25:$AF$103,'Калькуляция (МСА)'!$F$25:$F$103,$F100,'Калькуляция (МСА)'!$G$25:$G$103,$G100),_xlfn.SUMIFS(INDEX('Калькуляция (МИ)'!$AJ$25:$BC$603,,MATCH(AT$8,'Калькуляция (МИ)'!$AJ$8:$BC$8,0)),'Калькуляция (МИ)'!$F$25:$F$603,$F100,'Калькуляция (МИ)'!$G$25:$G$603,$G100))))</f>
        <v>0</v>
      </c>
      <c r="AU100" s="1104">
        <f>IF(AS100=0,0,(AT100-AS100)/AS100*100)</f>
        <v>0</v>
      </c>
      <c r="AV100" s="4585">
        <f>IF(AND(method_reg="Метод индексации",god&lt;&gt;first_year),_xlfn.SUMIFS(INDEX('Калькуляция (МИ корр)'!$AJ$25:$BC$606,,MATCH(AV$8,'Калькуляция (МИ корр)'!$AJ$8:$BC$8,0)),'Калькуляция (МИ корр)'!$F$25:$F$606,$F100,'Калькуляция (МИ корр)'!$G$25:$G$606,$G100),IF(method_reg="Метод экономически обоснованных расходов",_xlfn.SUMIFS('Калькуляция (МЭОР)'!$AJ$25:$AJ$367,'Калькуляция (МЭОР)'!$F$25:$F$367,$F100,'Калькуляция (МЭОР)'!$G$25:$G$367,$G100),IF(method_reg="Метод сравнения аналогов",_xlfn.SUMIFS('Калькуляция (МСА)'!$AE$25:$AE$103,'Калькуляция (МСА)'!$F$25:$F$103,$F100,'Калькуляция (МСА)'!$G$25:$G$103,$G100),_xlfn.SUMIFS(INDEX('Калькуляция (МИ)'!$AJ$25:$BC$603,,MATCH(AV$8,'Калькуляция (МИ)'!$AJ$8:$BC$8,0)),'Калькуляция (МИ)'!$F$25:$F$603,$F100,'Калькуляция (МИ)'!$G$25:$G$603,$G100))))</f>
        <v>0</v>
      </c>
      <c r="AW100" s="4585">
        <f>IF(AND(method_reg="Метод индексации",god&lt;&gt;first_year),_xlfn.SUMIFS(INDEX('Калькуляция (МИ корр)'!$AJ$25:$BC$606,,MATCH(AW$8,'Калькуляция (МИ корр)'!$AJ$8:$BC$8,0)),'Калькуляция (МИ корр)'!$F$25:$F$606,$F100,'Калькуляция (МИ корр)'!$G$25:$G$606,$G100),IF(method_reg="Метод экономически обоснованных расходов",_xlfn.SUMIFS('Калькуляция (МЭОР)'!$AK$25:$AK$367,'Калькуляция (МЭОР)'!$F$25:$F$367,$F100,'Калькуляция (МЭОР)'!$G$25:$G$367,$G100),IF(method_reg="Метод сравнения аналогов",_xlfn.SUMIFS('Калькуляция (МСА)'!$AF$25:$AF$103,'Калькуляция (МСА)'!$F$25:$F$103,$F100,'Калькуляция (МСА)'!$G$25:$G$103,$G100),_xlfn.SUMIFS(INDEX('Калькуляция (МИ)'!$AJ$25:$BC$603,,MATCH(AW$8,'Калькуляция (МИ)'!$AJ$8:$BC$8,0)),'Калькуляция (МИ)'!$F$25:$F$603,$F100,'Калькуляция (МИ)'!$G$25:$G$603,$G100))))</f>
        <v>0</v>
      </c>
      <c r="AX100" s="1104">
        <f>IF(AV100=0,0,(AW100-AV100)/AV100*100)</f>
        <v>0</v>
      </c>
      <c r="AY100" s="4585">
        <f>IF(AND(method_reg="Метод индексации",god&lt;&gt;first_year),_xlfn.SUMIFS(INDEX('Калькуляция (МИ корр)'!$AJ$25:$BC$606,,MATCH(AY$8,'Калькуляция (МИ корр)'!$AJ$8:$BC$8,0)),'Калькуляция (МИ корр)'!$F$25:$F$606,$F100,'Калькуляция (МИ корр)'!$G$25:$G$606,$G100),IF(method_reg="Метод экономически обоснованных расходов",_xlfn.SUMIFS('Калькуляция (МЭОР)'!$AJ$25:$AJ$367,'Калькуляция (МЭОР)'!$F$25:$F$367,$F100,'Калькуляция (МЭОР)'!$G$25:$G$367,$G100),IF(method_reg="Метод сравнения аналогов",_xlfn.SUMIFS('Калькуляция (МСА)'!$AE$25:$AE$103,'Калькуляция (МСА)'!$F$25:$F$103,$F100,'Калькуляция (МСА)'!$G$25:$G$103,$G100),_xlfn.SUMIFS(INDEX('Калькуляция (МИ)'!$AJ$25:$BC$603,,MATCH(AY$8,'Калькуляция (МИ)'!$AJ$8:$BC$8,0)),'Калькуляция (МИ)'!$F$25:$F$603,$F100,'Калькуляция (МИ)'!$G$25:$G$603,$G100))))</f>
        <v>0</v>
      </c>
      <c r="AZ100" s="4585">
        <f>IF(AND(method_reg="Метод индексации",god&lt;&gt;first_year),_xlfn.SUMIFS(INDEX('Калькуляция (МИ корр)'!$AJ$25:$BC$606,,MATCH(AZ$8,'Калькуляция (МИ корр)'!$AJ$8:$BC$8,0)),'Калькуляция (МИ корр)'!$F$25:$F$606,$F100,'Калькуляция (МИ корр)'!$G$25:$G$606,$G100),IF(method_reg="Метод экономически обоснованных расходов",_xlfn.SUMIFS('Калькуляция (МЭОР)'!$AK$25:$AK$367,'Калькуляция (МЭОР)'!$F$25:$F$367,$F100,'Калькуляция (МЭОР)'!$G$25:$G$367,$G100),IF(method_reg="Метод сравнения аналогов",_xlfn.SUMIFS('Калькуляция (МСА)'!$AF$25:$AF$103,'Калькуляция (МСА)'!$F$25:$F$103,$F100,'Калькуляция (МСА)'!$G$25:$G$103,$G100),_xlfn.SUMIFS(INDEX('Калькуляция (МИ)'!$AJ$25:$BC$603,,MATCH(AZ$8,'Калькуляция (МИ)'!$AJ$8:$BC$8,0)),'Калькуляция (МИ)'!$F$25:$F$603,$F100,'Калькуляция (МИ)'!$G$25:$G$603,$G100))))</f>
        <v>0</v>
      </c>
      <c r="BA100" s="1104">
        <f>IF(AY100=0,0,(AZ100-AY100)/AY100*100)</f>
        <v>0</v>
      </c>
      <c r="BB100" s="4585">
        <f>IF(AND(method_reg="Метод индексации",god&lt;&gt;first_year),_xlfn.SUMIFS(INDEX('Калькуляция (МИ корр)'!$AJ$25:$BC$606,,MATCH(BB$8,'Калькуляция (МИ корр)'!$AJ$8:$BC$8,0)),'Калькуляция (МИ корр)'!$F$25:$F$606,$F100,'Калькуляция (МИ корр)'!$G$25:$G$606,$G100),IF(method_reg="Метод экономически обоснованных расходов",_xlfn.SUMIFS('Калькуляция (МЭОР)'!$AJ$25:$AJ$367,'Калькуляция (МЭОР)'!$F$25:$F$367,$F100,'Калькуляция (МЭОР)'!$G$25:$G$367,$G100),IF(method_reg="Метод сравнения аналогов",_xlfn.SUMIFS('Калькуляция (МСА)'!$AE$25:$AE$103,'Калькуляция (МСА)'!$F$25:$F$103,$F100,'Калькуляция (МСА)'!$G$25:$G$103,$G100),_xlfn.SUMIFS(INDEX('Калькуляция (МИ)'!$AJ$25:$BC$603,,MATCH(BB$8,'Калькуляция (МИ)'!$AJ$8:$BC$8,0)),'Калькуляция (МИ)'!$F$25:$F$603,$F100,'Калькуляция (МИ)'!$G$25:$G$603,$G100))))</f>
        <v>0</v>
      </c>
      <c r="BC100" s="4585">
        <f>IF(AND(method_reg="Метод индексации",god&lt;&gt;first_year),_xlfn.SUMIFS(INDEX('Калькуляция (МИ корр)'!$AJ$25:$BC$606,,MATCH(BC$8,'Калькуляция (МИ корр)'!$AJ$8:$BC$8,0)),'Калькуляция (МИ корр)'!$F$25:$F$606,$F100,'Калькуляция (МИ корр)'!$G$25:$G$606,$G100),IF(method_reg="Метод экономически обоснованных расходов",_xlfn.SUMIFS('Калькуляция (МЭОР)'!$AK$25:$AK$367,'Калькуляция (МЭОР)'!$F$25:$F$367,$F100,'Калькуляция (МЭОР)'!$G$25:$G$367,$G100),IF(method_reg="Метод сравнения аналогов",_xlfn.SUMIFS('Калькуляция (МСА)'!$AF$25:$AF$103,'Калькуляция (МСА)'!$F$25:$F$103,$F100,'Калькуляция (МСА)'!$G$25:$G$103,$G100),_xlfn.SUMIFS(INDEX('Калькуляция (МИ)'!$AJ$25:$BC$603,,MATCH(BC$8,'Калькуляция (МИ)'!$AJ$8:$BC$8,0)),'Калькуляция (МИ)'!$F$25:$F$603,$F100,'Калькуляция (МИ)'!$G$25:$G$603,$G100))))</f>
        <v>0</v>
      </c>
      <c r="BD100" s="1104">
        <f>IF(BB100=0,0,(BC100-BB100)/BB100*100)</f>
        <v>0</v>
      </c>
      <c r="BE100" s="4585">
        <f>IF(AND(method_reg="Метод индексации",god&lt;&gt;first_year),_xlfn.SUMIFS(INDEX('Калькуляция (МИ корр)'!$AJ$25:$BC$606,,MATCH(BE$8,'Калькуляция (МИ корр)'!$AJ$8:$BC$8,0)),'Калькуляция (МИ корр)'!$F$25:$F$606,$F100,'Калькуляция (МИ корр)'!$G$25:$G$606,$G100),IF(method_reg="Метод экономически обоснованных расходов",_xlfn.SUMIFS('Калькуляция (МЭОР)'!$AJ$25:$AJ$367,'Калькуляция (МЭОР)'!$F$25:$F$367,$F100,'Калькуляция (МЭОР)'!$G$25:$G$367,$G100),IF(method_reg="Метод сравнения аналогов",_xlfn.SUMIFS('Калькуляция (МСА)'!$AE$25:$AE$103,'Калькуляция (МСА)'!$F$25:$F$103,$F100,'Калькуляция (МСА)'!$G$25:$G$103,$G100),_xlfn.SUMIFS(INDEX('Калькуляция (МИ)'!$AJ$25:$BC$603,,MATCH(BE$8,'Калькуляция (МИ)'!$AJ$8:$BC$8,0)),'Калькуляция (МИ)'!$F$25:$F$603,$F100,'Калькуляция (МИ)'!$G$25:$G$603,$G100))))</f>
        <v>0</v>
      </c>
      <c r="BF100" s="4585">
        <f>IF(AND(method_reg="Метод индексации",god&lt;&gt;first_year),_xlfn.SUMIFS(INDEX('Калькуляция (МИ корр)'!$AJ$25:$BC$606,,MATCH(BF$8,'Калькуляция (МИ корр)'!$AJ$8:$BC$8,0)),'Калькуляция (МИ корр)'!$F$25:$F$606,$F100,'Калькуляция (МИ корр)'!$G$25:$G$606,$G100),IF(method_reg="Метод экономически обоснованных расходов",_xlfn.SUMIFS('Калькуляция (МЭОР)'!$AK$25:$AK$367,'Калькуляция (МЭОР)'!$F$25:$F$367,$F100,'Калькуляция (МЭОР)'!$G$25:$G$367,$G100),IF(method_reg="Метод сравнения аналогов",_xlfn.SUMIFS('Калькуляция (МСА)'!$AF$25:$AF$103,'Калькуляция (МСА)'!$F$25:$F$103,$F100,'Калькуляция (МСА)'!$G$25:$G$103,$G100),_xlfn.SUMIFS(INDEX('Калькуляция (МИ)'!$AJ$25:$BC$603,,MATCH(BF$8,'Калькуляция (МИ)'!$AJ$8:$BC$8,0)),'Калькуляция (МИ)'!$F$25:$F$603,$F100,'Калькуляция (МИ)'!$G$25:$G$603,$G100))))</f>
        <v>0</v>
      </c>
      <c r="BG100" s="1104">
        <f>IF(BE100=0,0,(BF100-BE100)/BE100*100)</f>
        <v>0</v>
      </c>
      <c r="BH100" s="4585"/>
      <c r="BI100" s="4585"/>
      <c r="BJ100" s="1104">
        <f>IF(BH100=0,0,(BI100-BH100)/BH100*100)</f>
        <v>0</v>
      </c>
      <c r="BK100" s="4585"/>
      <c r="BL100" s="4585"/>
      <c r="BM100" s="1104">
        <f>IF(BK100=0,0,(BL100-BK100)/BK100*100)</f>
        <v>0</v>
      </c>
      <c r="BN100" s="4585"/>
      <c r="BO100" s="4585"/>
      <c r="BP100" s="1104">
        <f>IF(BN100=0,0,(BO100-BN100)/BN100*100)</f>
        <v>0</v>
      </c>
      <c r="BQ100" s="4585"/>
      <c r="BR100" s="4585"/>
      <c r="BS100" s="1104">
        <f>IF(BQ100=0,0,(BR100-BQ100)/BQ100*100)</f>
        <v>0</v>
      </c>
      <c r="BT100" s="4585"/>
      <c r="BU100" s="4585"/>
      <c r="BV100" s="1104">
        <f>IF(BT100=0,0,(BU100-BT100)/BT100*100)</f>
        <v>0</v>
      </c>
      <c r="BW100" s="4585"/>
      <c r="BX100" s="4585"/>
      <c r="BY100" s="1104">
        <f>IF(BW100=0,0,(BX100-BW100)/BW100*100)</f>
        <v>0</v>
      </c>
      <c r="BZ100" s="4585"/>
      <c r="CA100" s="4585"/>
      <c r="CB100" s="1104">
        <f>IF(BZ100=0,0,(CA100-BZ100)/BZ100*100)</f>
        <v>0</v>
      </c>
      <c r="CC100" s="4585"/>
      <c r="CD100" s="4585"/>
      <c r="CE100" s="1104">
        <f>IF(CC100=0,0,(CD100-CC100)/CC100*100)</f>
        <v>0</v>
      </c>
      <c r="CF100" s="4585"/>
      <c r="CG100" s="4585"/>
      <c r="CH100" s="1104">
        <f>IF(CF100=0,0,(CG100-CF100)/CF100*100)</f>
        <v>0</v>
      </c>
      <c r="CI100" s="4585"/>
      <c r="CJ100" s="4585"/>
      <c r="CK100" s="1104">
        <f>IF(CI100=0,0,(CJ100-CI100)/CI100*100)</f>
        <v>0</v>
      </c>
      <c r="CL100" s="4585"/>
      <c r="CM100" s="4585"/>
      <c r="CN100" s="1104">
        <f>IF(CL100=0,0,(CM100-CL100)/CL100*100)</f>
        <v>0</v>
      </c>
      <c r="CO100" s="4585"/>
      <c r="CP100" s="4585"/>
      <c r="CQ100" s="1104">
        <f>IF(CO100=0,0,(CP100-CO100)/CO100*100)</f>
        <v>0</v>
      </c>
      <c r="CR100" s="4585"/>
      <c r="CS100" s="4585"/>
      <c r="CT100" s="1104">
        <f>IF(CR100=0,0,(CS100-CR100)/CR100*100)</f>
        <v>0</v>
      </c>
      <c r="CU100" s="4585"/>
      <c r="CV100" s="4585"/>
      <c r="CW100" s="1104">
        <f>IF(CU100=0,0,(CV100-CU100)/CU100*100)</f>
        <v>0</v>
      </c>
      <c r="CX100" s="4585"/>
      <c r="CY100" s="4585"/>
      <c r="CZ100" s="1104">
        <f>IF(CX100=0,0,(CY100-CX100)/CX100*100)</f>
        <v>0</v>
      </c>
      <c r="DA100" s="4585"/>
      <c r="DB100" s="4585"/>
      <c r="DC100" s="1104">
        <f>IF(DA100=0,0,(DB100-DA100)/DA100*100)</f>
        <v>0</v>
      </c>
      <c r="DD100" s="4585"/>
      <c r="DE100" s="4585"/>
      <c r="DF100" s="1104">
        <f>IF(DD100=0,0,(DE100-DD100)/DD100*100)</f>
        <v>0</v>
      </c>
      <c r="DG100" s="4585"/>
      <c r="DH100" s="4585"/>
      <c r="DI100" s="1104">
        <f>IF(DG100=0,0,(DH100-DG100)/DG100*100)</f>
        <v>0</v>
      </c>
      <c r="DJ100" s="4585"/>
      <c r="DK100" s="4585"/>
      <c r="DL100" s="1104">
        <f>IF(DJ100=0,0,(DK100-DJ100)/DJ100*100)</f>
        <v>0</v>
      </c>
      <c r="DM100" s="4585"/>
      <c r="DN100" s="4585"/>
      <c r="DO100" s="1104">
        <f>IF(DM100=0,0,(DN100-DM100)/DM100*100)</f>
        <v>0</v>
      </c>
      <c r="DP100" s="4585"/>
      <c r="DQ100" s="4585"/>
      <c r="DR100" s="1104">
        <f>IF(DP100=0,0,(DQ100-DP100)/DP100*100)</f>
        <v>0</v>
      </c>
      <c r="DS100" s="4585"/>
      <c r="DT100" s="4585"/>
      <c r="DU100" s="1104">
        <f>IF(DS100=0,0,(DT100-DS100)/DS100*100)</f>
        <v>0</v>
      </c>
      <c r="DV100" s="4585"/>
      <c r="DW100" s="4585"/>
      <c r="DX100" s="1104">
        <f>IF(DV100=0,0,(DW100-DV100)/DV100*100)</f>
        <v>0</v>
      </c>
      <c r="DY100" s="4585"/>
      <c r="DZ100" s="4585"/>
      <c r="EA100" s="1104">
        <f>IF(DY100=0,0,(DZ100-DY100)/DY100*100)</f>
        <v>0</v>
      </c>
      <c r="EB100" s="4585"/>
      <c r="EC100" s="4585"/>
      <c r="ED100" s="1104">
        <f>IF(EB100=0,0,(EC100-EB100)/EB100*100)</f>
        <v>0</v>
      </c>
      <c r="EE100" s="4585"/>
      <c r="EF100" s="4585"/>
      <c r="EG100" s="1104">
        <f>IF(EE100=0,0,(EF100-EE100)/EE100*100)</f>
        <v>0</v>
      </c>
      <c r="EH100" s="4585"/>
      <c r="EI100" s="4585"/>
      <c r="EJ100" s="1104">
        <f>IF(EH100=0,0,(EI100-EH100)/EH100*100)</f>
        <v>0</v>
      </c>
      <c r="EK100" s="4585"/>
      <c r="EL100" s="4585"/>
      <c r="EM100" s="1104">
        <f>IF(EK100=0,0,(EL100-EK100)/EK100*100)</f>
        <v>0</v>
      </c>
      <c r="EN100" s="4585"/>
      <c r="EO100" s="4585"/>
      <c r="EP100" s="1104">
        <f>IF(EN100=0,0,(EO100-EN100)/EN100*100)</f>
        <v>0</v>
      </c>
      <c r="EQ100" s="4585"/>
      <c r="ER100" s="4585"/>
      <c r="ES100" s="1104">
        <f>IF(EQ100=0,0,(ER100-EQ100)/EQ100*100)</f>
        <v>0</v>
      </c>
      <c r="ET100" s="4585"/>
      <c r="EU100" s="4585"/>
      <c r="EV100" s="1104">
        <f>IF(ET100=0,0,(EU100-ET100)/ET100*100)</f>
        <v>0</v>
      </c>
      <c r="EW100" s="4585"/>
      <c r="EX100" s="4585"/>
      <c r="EY100" s="1104">
        <f>IF(EW100=0,0,(EX100-EW100)/EW100*100)</f>
        <v>0</v>
      </c>
      <c r="EZ100" s="4585"/>
      <c r="FA100" s="4585"/>
      <c r="FB100" s="1104">
        <f>IF(EZ100=0,0,(FA100-EZ100)/EZ100*100)</f>
        <v>0</v>
      </c>
      <c r="FC100" s="4585"/>
      <c r="FD100" s="4585"/>
      <c r="FE100" s="1104">
        <f>IF(FC100=0,0,(FD100-FC100)/FC100*100)</f>
        <v>0</v>
      </c>
      <c r="FF100" s="4585"/>
      <c r="FG100" s="4585"/>
      <c r="FH100" s="1104">
        <f>IF(FF100=0,0,(FG100-FF100)/FF100*100)</f>
        <v>0</v>
      </c>
      <c r="FI100" s="4585"/>
      <c r="FJ100" s="4585"/>
      <c r="FK100" s="1104">
        <f>IF(FI100=0,0,(FJ100-FI100)/FI100*100)</f>
        <v>0</v>
      </c>
      <c r="FL100" s="4585"/>
      <c r="FM100" s="4585"/>
      <c r="FN100" s="1104">
        <f>IF(FL100=0,0,(FM100-FL100)/FL100*100)</f>
        <v>0</v>
      </c>
      <c r="FO100" s="4585"/>
      <c r="FP100" s="4585"/>
      <c r="FQ100" s="1104">
        <f>IF(FO100=0,0,(FP100-FO100)/FO100*100)</f>
        <v>0</v>
      </c>
      <c r="FR100" s="4585"/>
      <c r="FS100" s="4585"/>
      <c r="FT100" s="1104">
        <f>IF(FR100=0,0,(FS100-FR100)/FR100*100)</f>
        <v>0</v>
      </c>
      <c r="FU100" s="4585"/>
      <c r="FV100" s="4585"/>
      <c r="FW100" s="1104">
        <f>IF(FU100=0,0,(FV100-FU100)/FU100*100)</f>
        <v>0</v>
      </c>
      <c r="FX100" s="288"/>
      <c r="FY100" s="1328"/>
      <c r="FZ100" s="1063" t="s">
        <v>1873</v>
      </c>
      <c r="GA100" s="1330"/>
      <c r="GB100" s="1330"/>
      <c r="GC100" s="1329"/>
      <c r="GD100" s="1329"/>
    </row>
    <row s="4623" customFormat="1" customHeight="1" ht="30.8740234375">
      <c r="A101" s="904"/>
      <c r="B101" s="932" cm="1" t="str">
        <f t="array" ref="B101:B101">B100</f>
        <v>true</v>
      </c>
      <c r="C101" s="904"/>
      <c r="D101" s="904"/>
      <c r="E101" s="905">
        <v>24.5</v>
      </c>
      <c r="F101" s="50" cm="1" t="str">
        <f t="array" ref="F101:F101">OFFSET(E101,-1,1)</f>
        <v>1</v>
      </c>
      <c r="G101" s="103" t="s">
        <v>1874</v>
      </c>
      <c r="H101" s="496" t="s">
        <v>566</v>
      </c>
      <c r="I101" s="496" t="s">
        <v>1875</v>
      </c>
      <c r="J101" s="904"/>
      <c r="K101" s="904"/>
      <c r="L101" s="496"/>
      <c r="M101" s="904"/>
      <c r="N101" s="904"/>
      <c r="O101" s="904"/>
      <c r="P101" s="904"/>
      <c r="Q101" s="904"/>
      <c r="R101" s="496"/>
      <c r="S101" s="496"/>
      <c r="T101" s="468" cm="1" t="str">
        <f t="array" ref="T101:T101">T100</f>
        <v>true</v>
      </c>
      <c r="U101" s="904"/>
      <c r="V101" s="904"/>
      <c r="W101" s="904"/>
      <c r="X101" s="1559"/>
      <c r="Y101" s="904"/>
      <c r="Z101" s="1528"/>
      <c r="AA101" s="904"/>
      <c r="AB101" s="289" t="s">
        <v>1876</v>
      </c>
      <c r="AC101" s="290" t="s">
        <v>1862</v>
      </c>
      <c r="AD101" s="906">
        <f>AD97*1.22</f>
        <v>121.879637470796</v>
      </c>
      <c r="AE101" s="906"/>
      <c r="AF101" s="292">
        <f>IF(AD101=0,0,(AE101-AD101)/AD101*100)</f>
        <v>-100</v>
      </c>
      <c r="AG101" s="4576">
        <f>IF(AND(method_reg="Метод индексации",god&lt;&gt;first_year),_xlfn.SUMIFS(INDEX('Калькуляция (МИ корр)'!$AJ$25:$BC$606,,MATCH(AG$8,'Калькуляция (МИ корр)'!$AJ$8:$BC$8,0)),'Калькуляция (МИ корр)'!$F$25:$F$606,$F101,'Калькуляция (МИ корр)'!$G$25:$G$606,$G101),IF(method_reg="Метод экономически обоснованных расходов",_xlfn.SUMIFS('Калькуляция (МЭОР)'!$AJ$25:$AJ$367,'Калькуляция (МЭОР)'!$F$25:$F$367,$F101,'Калькуляция (МЭОР)'!$G$25:$G$367,$G101),IF(method_reg="Метод сравнения аналогов",_xlfn.SUMIFS('Калькуляция (МСА)'!$AE$25:$AE$103,'Калькуляция (МСА)'!$F$25:$F$103,$F101,'Калькуляция (МСА)'!$G$25:$G$103,$G101),_xlfn.SUMIFS(INDEX('Калькуляция (МИ)'!$AJ$25:$BC$603,,MATCH(AG$8,'Калькуляция (МИ)'!$AJ$8:$BC$8,0)),'Калькуляция (МИ)'!$F$25:$F$603,$F101,'Калькуляция (МИ)'!$G$25:$G$603,$G101))))</f>
        <v>0</v>
      </c>
      <c r="AH101" s="4576">
        <f>IF(AND(method_reg="Метод индексации",god&lt;&gt;first_year),_xlfn.SUMIFS(INDEX('Калькуляция (МИ корр)'!$AJ$25:$BC$606,,MATCH(AH$8,'Калькуляция (МИ корр)'!$AJ$8:$BC$8,0)),'Калькуляция (МИ корр)'!$F$25:$F$606,$F101,'Калькуляция (МИ корр)'!$G$25:$G$606,$G101),IF(method_reg="Метод экономически обоснованных расходов",_xlfn.SUMIFS('Калькуляция (МЭОР)'!$AK$25:$AK$367,'Калькуляция (МЭОР)'!$F$25:$F$367,$F101,'Калькуляция (МЭОР)'!$G$25:$G$367,$G101),IF(method_reg="Метод сравнения аналогов",_xlfn.SUMIFS('Калькуляция (МСА)'!$AF$25:$AF$103,'Калькуляция (МСА)'!$F$25:$F$103,$F101,'Калькуляция (МСА)'!$G$25:$G$103,$G101),_xlfn.SUMIFS(INDEX('Калькуляция (МИ)'!$AJ$25:$BC$603,,MATCH(AH$8,'Калькуляция (МИ)'!$AJ$8:$BC$8,0)),'Калькуляция (МИ)'!$F$25:$F$603,$F101,'Калькуляция (МИ)'!$G$25:$G$603,$G101))))</f>
        <v>0</v>
      </c>
      <c r="AI101" s="292">
        <f>IF(AG101=0,0,(AH101-AG101)/AG101*100)</f>
        <v>0</v>
      </c>
      <c r="AJ101" s="4576">
        <f>IF(AND(method_reg="Метод индексации",god&lt;&gt;first_year),_xlfn.SUMIFS(INDEX('Калькуляция (МИ корр)'!$AJ$25:$BC$606,,MATCH(AJ$8,'Калькуляция (МИ корр)'!$AJ$8:$BC$8,0)),'Калькуляция (МИ корр)'!$F$25:$F$606,$F101,'Калькуляция (МИ корр)'!$G$25:$G$606,$G101),IF(method_reg="Метод экономически обоснованных расходов",_xlfn.SUMIFS('Калькуляция (МЭОР)'!$AJ$25:$AJ$367,'Калькуляция (МЭОР)'!$F$25:$F$367,$F101,'Калькуляция (МЭОР)'!$G$25:$G$367,$G101),IF(method_reg="Метод сравнения аналогов",_xlfn.SUMIFS('Калькуляция (МСА)'!$AE$25:$AE$103,'Калькуляция (МСА)'!$F$25:$F$103,$F101,'Калькуляция (МСА)'!$G$25:$G$103,$G101),_xlfn.SUMIFS(INDEX('Калькуляция (МИ)'!$AJ$25:$BC$603,,MATCH(AJ$8,'Калькуляция (МИ)'!$AJ$8:$BC$8,0)),'Калькуляция (МИ)'!$F$25:$F$603,$F101,'Калькуляция (МИ)'!$G$25:$G$603,$G101))))</f>
        <v>0</v>
      </c>
      <c r="AK101" s="4576">
        <f>IF(AND(method_reg="Метод индексации",god&lt;&gt;first_year),_xlfn.SUMIFS(INDEX('Калькуляция (МИ корр)'!$AJ$25:$BC$606,,MATCH(AK$8,'Калькуляция (МИ корр)'!$AJ$8:$BC$8,0)),'Калькуляция (МИ корр)'!$F$25:$F$606,$F101,'Калькуляция (МИ корр)'!$G$25:$G$606,$G101),IF(method_reg="Метод экономически обоснованных расходов",_xlfn.SUMIFS('Калькуляция (МЭОР)'!$AK$25:$AK$367,'Калькуляция (МЭОР)'!$F$25:$F$367,$F101,'Калькуляция (МЭОР)'!$G$25:$G$367,$G101),IF(method_reg="Метод сравнения аналогов",_xlfn.SUMIFS('Калькуляция (МСА)'!$AF$25:$AF$103,'Калькуляция (МСА)'!$F$25:$F$103,$F101,'Калькуляция (МСА)'!$G$25:$G$103,$G101),_xlfn.SUMIFS(INDEX('Калькуляция (МИ)'!$AJ$25:$BC$603,,MATCH(AK$8,'Калькуляция (МИ)'!$AJ$8:$BC$8,0)),'Калькуляция (МИ)'!$F$25:$F$603,$F101,'Калькуляция (МИ)'!$G$25:$G$603,$G101))))</f>
        <v>0</v>
      </c>
      <c r="AL101" s="292">
        <f>IF(AJ101=0,0,(AK101-AJ101)/AJ101*100)</f>
        <v>0</v>
      </c>
      <c r="AM101" s="4576">
        <f>IF(AND(method_reg="Метод индексации",god&lt;&gt;first_year),_xlfn.SUMIFS(INDEX('Калькуляция (МИ корр)'!$AJ$25:$BC$606,,MATCH(AM$8,'Калькуляция (МИ корр)'!$AJ$8:$BC$8,0)),'Калькуляция (МИ корр)'!$F$25:$F$606,$F101,'Калькуляция (МИ корр)'!$G$25:$G$606,$G101),IF(method_reg="Метод экономически обоснованных расходов",_xlfn.SUMIFS('Калькуляция (МЭОР)'!$AJ$25:$AJ$367,'Калькуляция (МЭОР)'!$F$25:$F$367,$F101,'Калькуляция (МЭОР)'!$G$25:$G$367,$G101),IF(method_reg="Метод сравнения аналогов",_xlfn.SUMIFS('Калькуляция (МСА)'!$AE$25:$AE$103,'Калькуляция (МСА)'!$F$25:$F$103,$F101,'Калькуляция (МСА)'!$G$25:$G$103,$G101),_xlfn.SUMIFS(INDEX('Калькуляция (МИ)'!$AJ$25:$BC$603,,MATCH(AM$8,'Калькуляция (МИ)'!$AJ$8:$BC$8,0)),'Калькуляция (МИ)'!$F$25:$F$603,$F101,'Калькуляция (МИ)'!$G$25:$G$603,$G101))))</f>
        <v>0</v>
      </c>
      <c r="AN101" s="4576">
        <f>IF(AND(method_reg="Метод индексации",god&lt;&gt;first_year),_xlfn.SUMIFS(INDEX('Калькуляция (МИ корр)'!$AJ$25:$BC$606,,MATCH(AN$8,'Калькуляция (МИ корр)'!$AJ$8:$BC$8,0)),'Калькуляция (МИ корр)'!$F$25:$F$606,$F101,'Калькуляция (МИ корр)'!$G$25:$G$606,$G101),IF(method_reg="Метод экономически обоснованных расходов",_xlfn.SUMIFS('Калькуляция (МЭОР)'!$AK$25:$AK$367,'Калькуляция (МЭОР)'!$F$25:$F$367,$F101,'Калькуляция (МЭОР)'!$G$25:$G$367,$G101),IF(method_reg="Метод сравнения аналогов",_xlfn.SUMIFS('Калькуляция (МСА)'!$AF$25:$AF$103,'Калькуляция (МСА)'!$F$25:$F$103,$F101,'Калькуляция (МСА)'!$G$25:$G$103,$G101),_xlfn.SUMIFS(INDEX('Калькуляция (МИ)'!$AJ$25:$BC$603,,MATCH(AN$8,'Калькуляция (МИ)'!$AJ$8:$BC$8,0)),'Калькуляция (МИ)'!$F$25:$F$603,$F101,'Калькуляция (МИ)'!$G$25:$G$603,$G101))))</f>
        <v>0</v>
      </c>
      <c r="AO101" s="292">
        <f>IF(AM101=0,0,(AN101-AM101)/AM101*100)</f>
        <v>0</v>
      </c>
      <c r="AP101" s="4576">
        <f>IF(AND(method_reg="Метод индексации",god&lt;&gt;first_year),_xlfn.SUMIFS(INDEX('Калькуляция (МИ корр)'!$AJ$25:$BC$606,,MATCH(AP$8,'Калькуляция (МИ корр)'!$AJ$8:$BC$8,0)),'Калькуляция (МИ корр)'!$F$25:$F$606,$F101,'Калькуляция (МИ корр)'!$G$25:$G$606,$G101),IF(method_reg="Метод экономически обоснованных расходов",_xlfn.SUMIFS('Калькуляция (МЭОР)'!$AJ$25:$AJ$367,'Калькуляция (МЭОР)'!$F$25:$F$367,$F101,'Калькуляция (МЭОР)'!$G$25:$G$367,$G101),IF(method_reg="Метод сравнения аналогов",_xlfn.SUMIFS('Калькуляция (МСА)'!$AE$25:$AE$103,'Калькуляция (МСА)'!$F$25:$F$103,$F101,'Калькуляция (МСА)'!$G$25:$G$103,$G101),_xlfn.SUMIFS(INDEX('Калькуляция (МИ)'!$AJ$25:$BC$603,,MATCH(AP$8,'Калькуляция (МИ)'!$AJ$8:$BC$8,0)),'Калькуляция (МИ)'!$F$25:$F$603,$F101,'Калькуляция (МИ)'!$G$25:$G$603,$G101))))</f>
        <v>0</v>
      </c>
      <c r="AQ101" s="4576">
        <f>IF(AND(method_reg="Метод индексации",god&lt;&gt;first_year),_xlfn.SUMIFS(INDEX('Калькуляция (МИ корр)'!$AJ$25:$BC$606,,MATCH(AQ$8,'Калькуляция (МИ корр)'!$AJ$8:$BC$8,0)),'Калькуляция (МИ корр)'!$F$25:$F$606,$F101,'Калькуляция (МИ корр)'!$G$25:$G$606,$G101),IF(method_reg="Метод экономически обоснованных расходов",_xlfn.SUMIFS('Калькуляция (МЭОР)'!$AK$25:$AK$367,'Калькуляция (МЭОР)'!$F$25:$F$367,$F101,'Калькуляция (МЭОР)'!$G$25:$G$367,$G101),IF(method_reg="Метод сравнения аналогов",_xlfn.SUMIFS('Калькуляция (МСА)'!$AF$25:$AF$103,'Калькуляция (МСА)'!$F$25:$F$103,$F101,'Калькуляция (МСА)'!$G$25:$G$103,$G101),_xlfn.SUMIFS(INDEX('Калькуляция (МИ)'!$AJ$25:$BC$603,,MATCH(AQ$8,'Калькуляция (МИ)'!$AJ$8:$BC$8,0)),'Калькуляция (МИ)'!$F$25:$F$603,$F101,'Калькуляция (МИ)'!$G$25:$G$603,$G101))))</f>
        <v>0</v>
      </c>
      <c r="AR101" s="292">
        <f>IF(AP101=0,0,(AQ101-AP101)/AP101*100)</f>
        <v>0</v>
      </c>
      <c r="AS101" s="4576">
        <f>IF(AND(method_reg="Метод индексации",god&lt;&gt;first_year),_xlfn.SUMIFS(INDEX('Калькуляция (МИ корр)'!$AJ$25:$BC$606,,MATCH(AS$8,'Калькуляция (МИ корр)'!$AJ$8:$BC$8,0)),'Калькуляция (МИ корр)'!$F$25:$F$606,$F101,'Калькуляция (МИ корр)'!$G$25:$G$606,$G101),IF(method_reg="Метод экономически обоснованных расходов",_xlfn.SUMIFS('Калькуляция (МЭОР)'!$AJ$25:$AJ$367,'Калькуляция (МЭОР)'!$F$25:$F$367,$F101,'Калькуляция (МЭОР)'!$G$25:$G$367,$G101),IF(method_reg="Метод сравнения аналогов",_xlfn.SUMIFS('Калькуляция (МСА)'!$AE$25:$AE$103,'Калькуляция (МСА)'!$F$25:$F$103,$F101,'Калькуляция (МСА)'!$G$25:$G$103,$G101),_xlfn.SUMIFS(INDEX('Калькуляция (МИ)'!$AJ$25:$BC$603,,MATCH(AS$8,'Калькуляция (МИ)'!$AJ$8:$BC$8,0)),'Калькуляция (МИ)'!$F$25:$F$603,$F101,'Калькуляция (МИ)'!$G$25:$G$603,$G101))))</f>
        <v>0</v>
      </c>
      <c r="AT101" s="4576">
        <f>IF(AND(method_reg="Метод индексации",god&lt;&gt;first_year),_xlfn.SUMIFS(INDEX('Калькуляция (МИ корр)'!$AJ$25:$BC$606,,MATCH(AT$8,'Калькуляция (МИ корр)'!$AJ$8:$BC$8,0)),'Калькуляция (МИ корр)'!$F$25:$F$606,$F101,'Калькуляция (МИ корр)'!$G$25:$G$606,$G101),IF(method_reg="Метод экономически обоснованных расходов",_xlfn.SUMIFS('Калькуляция (МЭОР)'!$AK$25:$AK$367,'Калькуляция (МЭОР)'!$F$25:$F$367,$F101,'Калькуляция (МЭОР)'!$G$25:$G$367,$G101),IF(method_reg="Метод сравнения аналогов",_xlfn.SUMIFS('Калькуляция (МСА)'!$AF$25:$AF$103,'Калькуляция (МСА)'!$F$25:$F$103,$F101,'Калькуляция (МСА)'!$G$25:$G$103,$G101),_xlfn.SUMIFS(INDEX('Калькуляция (МИ)'!$AJ$25:$BC$603,,MATCH(AT$8,'Калькуляция (МИ)'!$AJ$8:$BC$8,0)),'Калькуляция (МИ)'!$F$25:$F$603,$F101,'Калькуляция (МИ)'!$G$25:$G$603,$G101))))</f>
        <v>0</v>
      </c>
      <c r="AU101" s="292">
        <f>IF(AS101=0,0,(AT101-AS101)/AS101*100)</f>
        <v>0</v>
      </c>
      <c r="AV101" s="4576">
        <f>IF(AND(method_reg="Метод индексации",god&lt;&gt;first_year),_xlfn.SUMIFS(INDEX('Калькуляция (МИ корр)'!$AJ$25:$BC$606,,MATCH(AV$8,'Калькуляция (МИ корр)'!$AJ$8:$BC$8,0)),'Калькуляция (МИ корр)'!$F$25:$F$606,$F101,'Калькуляция (МИ корр)'!$G$25:$G$606,$G101),IF(method_reg="Метод экономически обоснованных расходов",_xlfn.SUMIFS('Калькуляция (МЭОР)'!$AJ$25:$AJ$367,'Калькуляция (МЭОР)'!$F$25:$F$367,$F101,'Калькуляция (МЭОР)'!$G$25:$G$367,$G101),IF(method_reg="Метод сравнения аналогов",_xlfn.SUMIFS('Калькуляция (МСА)'!$AE$25:$AE$103,'Калькуляция (МСА)'!$F$25:$F$103,$F101,'Калькуляция (МСА)'!$G$25:$G$103,$G101),_xlfn.SUMIFS(INDEX('Калькуляция (МИ)'!$AJ$25:$BC$603,,MATCH(AV$8,'Калькуляция (МИ)'!$AJ$8:$BC$8,0)),'Калькуляция (МИ)'!$F$25:$F$603,$F101,'Калькуляция (МИ)'!$G$25:$G$603,$G101))))</f>
        <v>0</v>
      </c>
      <c r="AW101" s="4576">
        <f>IF(AND(method_reg="Метод индексации",god&lt;&gt;first_year),_xlfn.SUMIFS(INDEX('Калькуляция (МИ корр)'!$AJ$25:$BC$606,,MATCH(AW$8,'Калькуляция (МИ корр)'!$AJ$8:$BC$8,0)),'Калькуляция (МИ корр)'!$F$25:$F$606,$F101,'Калькуляция (МИ корр)'!$G$25:$G$606,$G101),IF(method_reg="Метод экономически обоснованных расходов",_xlfn.SUMIFS('Калькуляция (МЭОР)'!$AK$25:$AK$367,'Калькуляция (МЭОР)'!$F$25:$F$367,$F101,'Калькуляция (МЭОР)'!$G$25:$G$367,$G101),IF(method_reg="Метод сравнения аналогов",_xlfn.SUMIFS('Калькуляция (МСА)'!$AF$25:$AF$103,'Калькуляция (МСА)'!$F$25:$F$103,$F101,'Калькуляция (МСА)'!$G$25:$G$103,$G101),_xlfn.SUMIFS(INDEX('Калькуляция (МИ)'!$AJ$25:$BC$603,,MATCH(AW$8,'Калькуляция (МИ)'!$AJ$8:$BC$8,0)),'Калькуляция (МИ)'!$F$25:$F$603,$F101,'Калькуляция (МИ)'!$G$25:$G$603,$G101))))</f>
        <v>0</v>
      </c>
      <c r="AX101" s="292">
        <f>IF(AV101=0,0,(AW101-AV101)/AV101*100)</f>
        <v>0</v>
      </c>
      <c r="AY101" s="4576">
        <f>IF(AND(method_reg="Метод индексации",god&lt;&gt;first_year),_xlfn.SUMIFS(INDEX('Калькуляция (МИ корр)'!$AJ$25:$BC$606,,MATCH(AY$8,'Калькуляция (МИ корр)'!$AJ$8:$BC$8,0)),'Калькуляция (МИ корр)'!$F$25:$F$606,$F101,'Калькуляция (МИ корр)'!$G$25:$G$606,$G101),IF(method_reg="Метод экономически обоснованных расходов",_xlfn.SUMIFS('Калькуляция (МЭОР)'!$AJ$25:$AJ$367,'Калькуляция (МЭОР)'!$F$25:$F$367,$F101,'Калькуляция (МЭОР)'!$G$25:$G$367,$G101),IF(method_reg="Метод сравнения аналогов",_xlfn.SUMIFS('Калькуляция (МСА)'!$AE$25:$AE$103,'Калькуляция (МСА)'!$F$25:$F$103,$F101,'Калькуляция (МСА)'!$G$25:$G$103,$G101),_xlfn.SUMIFS(INDEX('Калькуляция (МИ)'!$AJ$25:$BC$603,,MATCH(AY$8,'Калькуляция (МИ)'!$AJ$8:$BC$8,0)),'Калькуляция (МИ)'!$F$25:$F$603,$F101,'Калькуляция (МИ)'!$G$25:$G$603,$G101))))</f>
        <v>0</v>
      </c>
      <c r="AZ101" s="4576">
        <f>IF(AND(method_reg="Метод индексации",god&lt;&gt;first_year),_xlfn.SUMIFS(INDEX('Калькуляция (МИ корр)'!$AJ$25:$BC$606,,MATCH(AZ$8,'Калькуляция (МИ корр)'!$AJ$8:$BC$8,0)),'Калькуляция (МИ корр)'!$F$25:$F$606,$F101,'Калькуляция (МИ корр)'!$G$25:$G$606,$G101),IF(method_reg="Метод экономически обоснованных расходов",_xlfn.SUMIFS('Калькуляция (МЭОР)'!$AK$25:$AK$367,'Калькуляция (МЭОР)'!$F$25:$F$367,$F101,'Калькуляция (МЭОР)'!$G$25:$G$367,$G101),IF(method_reg="Метод сравнения аналогов",_xlfn.SUMIFS('Калькуляция (МСА)'!$AF$25:$AF$103,'Калькуляция (МСА)'!$F$25:$F$103,$F101,'Калькуляция (МСА)'!$G$25:$G$103,$G101),_xlfn.SUMIFS(INDEX('Калькуляция (МИ)'!$AJ$25:$BC$603,,MATCH(AZ$8,'Калькуляция (МИ)'!$AJ$8:$BC$8,0)),'Калькуляция (МИ)'!$F$25:$F$603,$F101,'Калькуляция (МИ)'!$G$25:$G$603,$G101))))</f>
        <v>0</v>
      </c>
      <c r="BA101" s="292">
        <f>IF(AY101=0,0,(AZ101-AY101)/AY101*100)</f>
        <v>0</v>
      </c>
      <c r="BB101" s="4576">
        <f>IF(AND(method_reg="Метод индексации",god&lt;&gt;first_year),_xlfn.SUMIFS(INDEX('Калькуляция (МИ корр)'!$AJ$25:$BC$606,,MATCH(BB$8,'Калькуляция (МИ корр)'!$AJ$8:$BC$8,0)),'Калькуляция (МИ корр)'!$F$25:$F$606,$F101,'Калькуляция (МИ корр)'!$G$25:$G$606,$G101),IF(method_reg="Метод экономически обоснованных расходов",_xlfn.SUMIFS('Калькуляция (МЭОР)'!$AJ$25:$AJ$367,'Калькуляция (МЭОР)'!$F$25:$F$367,$F101,'Калькуляция (МЭОР)'!$G$25:$G$367,$G101),IF(method_reg="Метод сравнения аналогов",_xlfn.SUMIFS('Калькуляция (МСА)'!$AE$25:$AE$103,'Калькуляция (МСА)'!$F$25:$F$103,$F101,'Калькуляция (МСА)'!$G$25:$G$103,$G101),_xlfn.SUMIFS(INDEX('Калькуляция (МИ)'!$AJ$25:$BC$603,,MATCH(BB$8,'Калькуляция (МИ)'!$AJ$8:$BC$8,0)),'Калькуляция (МИ)'!$F$25:$F$603,$F101,'Калькуляция (МИ)'!$G$25:$G$603,$G101))))</f>
        <v>0</v>
      </c>
      <c r="BC101" s="4576">
        <f>IF(AND(method_reg="Метод индексации",god&lt;&gt;first_year),_xlfn.SUMIFS(INDEX('Калькуляция (МИ корр)'!$AJ$25:$BC$606,,MATCH(BC$8,'Калькуляция (МИ корр)'!$AJ$8:$BC$8,0)),'Калькуляция (МИ корр)'!$F$25:$F$606,$F101,'Калькуляция (МИ корр)'!$G$25:$G$606,$G101),IF(method_reg="Метод экономически обоснованных расходов",_xlfn.SUMIFS('Калькуляция (МЭОР)'!$AK$25:$AK$367,'Калькуляция (МЭОР)'!$F$25:$F$367,$F101,'Калькуляция (МЭОР)'!$G$25:$G$367,$G101),IF(method_reg="Метод сравнения аналогов",_xlfn.SUMIFS('Калькуляция (МСА)'!$AF$25:$AF$103,'Калькуляция (МСА)'!$F$25:$F$103,$F101,'Калькуляция (МСА)'!$G$25:$G$103,$G101),_xlfn.SUMIFS(INDEX('Калькуляция (МИ)'!$AJ$25:$BC$603,,MATCH(BC$8,'Калькуляция (МИ)'!$AJ$8:$BC$8,0)),'Калькуляция (МИ)'!$F$25:$F$603,$F101,'Калькуляция (МИ)'!$G$25:$G$603,$G101))))</f>
        <v>0</v>
      </c>
      <c r="BD101" s="292">
        <f>IF(BB101=0,0,(BC101-BB101)/BB101*100)</f>
        <v>0</v>
      </c>
      <c r="BE101" s="4576">
        <f>IF(AND(method_reg="Метод индексации",god&lt;&gt;first_year),_xlfn.SUMIFS(INDEX('Калькуляция (МИ корр)'!$AJ$25:$BC$606,,MATCH(BE$8,'Калькуляция (МИ корр)'!$AJ$8:$BC$8,0)),'Калькуляция (МИ корр)'!$F$25:$F$606,$F101,'Калькуляция (МИ корр)'!$G$25:$G$606,$G101),IF(method_reg="Метод экономически обоснованных расходов",_xlfn.SUMIFS('Калькуляция (МЭОР)'!$AJ$25:$AJ$367,'Калькуляция (МЭОР)'!$F$25:$F$367,$F101,'Калькуляция (МЭОР)'!$G$25:$G$367,$G101),IF(method_reg="Метод сравнения аналогов",_xlfn.SUMIFS('Калькуляция (МСА)'!$AE$25:$AE$103,'Калькуляция (МСА)'!$F$25:$F$103,$F101,'Калькуляция (МСА)'!$G$25:$G$103,$G101),_xlfn.SUMIFS(INDEX('Калькуляция (МИ)'!$AJ$25:$BC$603,,MATCH(BE$8,'Калькуляция (МИ)'!$AJ$8:$BC$8,0)),'Калькуляция (МИ)'!$F$25:$F$603,$F101,'Калькуляция (МИ)'!$G$25:$G$603,$G101))))</f>
        <v>0</v>
      </c>
      <c r="BF101" s="4576">
        <f>IF(AND(method_reg="Метод индексации",god&lt;&gt;first_year),_xlfn.SUMIFS(INDEX('Калькуляция (МИ корр)'!$AJ$25:$BC$606,,MATCH(BF$8,'Калькуляция (МИ корр)'!$AJ$8:$BC$8,0)),'Калькуляция (МИ корр)'!$F$25:$F$606,$F101,'Калькуляция (МИ корр)'!$G$25:$G$606,$G101),IF(method_reg="Метод экономически обоснованных расходов",_xlfn.SUMIFS('Калькуляция (МЭОР)'!$AK$25:$AK$367,'Калькуляция (МЭОР)'!$F$25:$F$367,$F101,'Калькуляция (МЭОР)'!$G$25:$G$367,$G101),IF(method_reg="Метод сравнения аналогов",_xlfn.SUMIFS('Калькуляция (МСА)'!$AF$25:$AF$103,'Калькуляция (МСА)'!$F$25:$F$103,$F101,'Калькуляция (МСА)'!$G$25:$G$103,$G101),_xlfn.SUMIFS(INDEX('Калькуляция (МИ)'!$AJ$25:$BC$603,,MATCH(BF$8,'Калькуляция (МИ)'!$AJ$8:$BC$8,0)),'Калькуляция (МИ)'!$F$25:$F$603,$F101,'Калькуляция (МИ)'!$G$25:$G$603,$G101))))</f>
        <v>0</v>
      </c>
      <c r="BG101" s="292">
        <f>IF(BE101=0,0,(BF101-BE101)/BE101*100)</f>
        <v>0</v>
      </c>
      <c r="BH101" s="4576"/>
      <c r="BI101" s="4576"/>
      <c r="BJ101" s="292">
        <f>IF(BH101=0,0,(BI101-BH101)/BH101*100)</f>
        <v>0</v>
      </c>
      <c r="BK101" s="4576"/>
      <c r="BL101" s="4576"/>
      <c r="BM101" s="292">
        <f>IF(BK101=0,0,(BL101-BK101)/BK101*100)</f>
        <v>0</v>
      </c>
      <c r="BN101" s="4576"/>
      <c r="BO101" s="4576"/>
      <c r="BP101" s="292">
        <f>IF(BN101=0,0,(BO101-BN101)/BN101*100)</f>
        <v>0</v>
      </c>
      <c r="BQ101" s="4576"/>
      <c r="BR101" s="4576"/>
      <c r="BS101" s="292">
        <f>IF(BQ101=0,0,(BR101-BQ101)/BQ101*100)</f>
        <v>0</v>
      </c>
      <c r="BT101" s="4576"/>
      <c r="BU101" s="4576"/>
      <c r="BV101" s="292">
        <f>IF(BT101=0,0,(BU101-BT101)/BT101*100)</f>
        <v>0</v>
      </c>
      <c r="BW101" s="4576"/>
      <c r="BX101" s="4576"/>
      <c r="BY101" s="292">
        <f>IF(BW101=0,0,(BX101-BW101)/BW101*100)</f>
        <v>0</v>
      </c>
      <c r="BZ101" s="4576"/>
      <c r="CA101" s="4576"/>
      <c r="CB101" s="292">
        <f>IF(BZ101=0,0,(CA101-BZ101)/BZ101*100)</f>
        <v>0</v>
      </c>
      <c r="CC101" s="4576"/>
      <c r="CD101" s="4576"/>
      <c r="CE101" s="292">
        <f>IF(CC101=0,0,(CD101-CC101)/CC101*100)</f>
        <v>0</v>
      </c>
      <c r="CF101" s="4576"/>
      <c r="CG101" s="4576"/>
      <c r="CH101" s="292">
        <f>IF(CF101=0,0,(CG101-CF101)/CF101*100)</f>
        <v>0</v>
      </c>
      <c r="CI101" s="4576"/>
      <c r="CJ101" s="4576"/>
      <c r="CK101" s="292">
        <f>IF(CI101=0,0,(CJ101-CI101)/CI101*100)</f>
        <v>0</v>
      </c>
      <c r="CL101" s="4576"/>
      <c r="CM101" s="4576"/>
      <c r="CN101" s="292">
        <f>IF(CL101=0,0,(CM101-CL101)/CL101*100)</f>
        <v>0</v>
      </c>
      <c r="CO101" s="4576"/>
      <c r="CP101" s="4576"/>
      <c r="CQ101" s="292">
        <f>IF(CO101=0,0,(CP101-CO101)/CO101*100)</f>
        <v>0</v>
      </c>
      <c r="CR101" s="4576"/>
      <c r="CS101" s="4576"/>
      <c r="CT101" s="292">
        <f>IF(CR101=0,0,(CS101-CR101)/CR101*100)</f>
        <v>0</v>
      </c>
      <c r="CU101" s="4576"/>
      <c r="CV101" s="4576"/>
      <c r="CW101" s="292">
        <f>IF(CU101=0,0,(CV101-CU101)/CU101*100)</f>
        <v>0</v>
      </c>
      <c r="CX101" s="4576"/>
      <c r="CY101" s="4576"/>
      <c r="CZ101" s="292">
        <f>IF(CX101=0,0,(CY101-CX101)/CX101*100)</f>
        <v>0</v>
      </c>
      <c r="DA101" s="4576"/>
      <c r="DB101" s="4576"/>
      <c r="DC101" s="292">
        <f>IF(DA101=0,0,(DB101-DA101)/DA101*100)</f>
        <v>0</v>
      </c>
      <c r="DD101" s="4576"/>
      <c r="DE101" s="4576"/>
      <c r="DF101" s="292">
        <f>IF(DD101=0,0,(DE101-DD101)/DD101*100)</f>
        <v>0</v>
      </c>
      <c r="DG101" s="4576"/>
      <c r="DH101" s="4576"/>
      <c r="DI101" s="292">
        <f>IF(DG101=0,0,(DH101-DG101)/DG101*100)</f>
        <v>0</v>
      </c>
      <c r="DJ101" s="4576"/>
      <c r="DK101" s="4576"/>
      <c r="DL101" s="292">
        <f>IF(DJ101=0,0,(DK101-DJ101)/DJ101*100)</f>
        <v>0</v>
      </c>
      <c r="DM101" s="4576"/>
      <c r="DN101" s="4576"/>
      <c r="DO101" s="292">
        <f>IF(DM101=0,0,(DN101-DM101)/DM101*100)</f>
        <v>0</v>
      </c>
      <c r="DP101" s="4576"/>
      <c r="DQ101" s="4576"/>
      <c r="DR101" s="292">
        <f>IF(DP101=0,0,(DQ101-DP101)/DP101*100)</f>
        <v>0</v>
      </c>
      <c r="DS101" s="4576"/>
      <c r="DT101" s="4576"/>
      <c r="DU101" s="292">
        <f>IF(DS101=0,0,(DT101-DS101)/DS101*100)</f>
        <v>0</v>
      </c>
      <c r="DV101" s="4576"/>
      <c r="DW101" s="4576"/>
      <c r="DX101" s="292">
        <f>IF(DV101=0,0,(DW101-DV101)/DV101*100)</f>
        <v>0</v>
      </c>
      <c r="DY101" s="4576"/>
      <c r="DZ101" s="4576"/>
      <c r="EA101" s="292">
        <f>IF(DY101=0,0,(DZ101-DY101)/DY101*100)</f>
        <v>0</v>
      </c>
      <c r="EB101" s="4576"/>
      <c r="EC101" s="4576"/>
      <c r="ED101" s="292">
        <f>IF(EB101=0,0,(EC101-EB101)/EB101*100)</f>
        <v>0</v>
      </c>
      <c r="EE101" s="4576"/>
      <c r="EF101" s="4576"/>
      <c r="EG101" s="292">
        <f>IF(EE101=0,0,(EF101-EE101)/EE101*100)</f>
        <v>0</v>
      </c>
      <c r="EH101" s="4576"/>
      <c r="EI101" s="4576"/>
      <c r="EJ101" s="292">
        <f>IF(EH101=0,0,(EI101-EH101)/EH101*100)</f>
        <v>0</v>
      </c>
      <c r="EK101" s="4576"/>
      <c r="EL101" s="4576"/>
      <c r="EM101" s="292">
        <f>IF(EK101=0,0,(EL101-EK101)/EK101*100)</f>
        <v>0</v>
      </c>
      <c r="EN101" s="4576"/>
      <c r="EO101" s="4576"/>
      <c r="EP101" s="292">
        <f>IF(EN101=0,0,(EO101-EN101)/EN101*100)</f>
        <v>0</v>
      </c>
      <c r="EQ101" s="4576"/>
      <c r="ER101" s="4576"/>
      <c r="ES101" s="292">
        <f>IF(EQ101=0,0,(ER101-EQ101)/EQ101*100)</f>
        <v>0</v>
      </c>
      <c r="ET101" s="4576"/>
      <c r="EU101" s="4576"/>
      <c r="EV101" s="292">
        <f>IF(ET101=0,0,(EU101-ET101)/ET101*100)</f>
        <v>0</v>
      </c>
      <c r="EW101" s="4576"/>
      <c r="EX101" s="4576"/>
      <c r="EY101" s="292">
        <f>IF(EW101=0,0,(EX101-EW101)/EW101*100)</f>
        <v>0</v>
      </c>
      <c r="EZ101" s="4576"/>
      <c r="FA101" s="4576"/>
      <c r="FB101" s="292">
        <f>IF(EZ101=0,0,(FA101-EZ101)/EZ101*100)</f>
        <v>0</v>
      </c>
      <c r="FC101" s="4576"/>
      <c r="FD101" s="4576"/>
      <c r="FE101" s="292">
        <f>IF(FC101=0,0,(FD101-FC101)/FC101*100)</f>
        <v>0</v>
      </c>
      <c r="FF101" s="4576"/>
      <c r="FG101" s="4576"/>
      <c r="FH101" s="292">
        <f>IF(FF101=0,0,(FG101-FF101)/FF101*100)</f>
        <v>0</v>
      </c>
      <c r="FI101" s="4576"/>
      <c r="FJ101" s="4576"/>
      <c r="FK101" s="292">
        <f>IF(FI101=0,0,(FJ101-FI101)/FI101*100)</f>
        <v>0</v>
      </c>
      <c r="FL101" s="4576"/>
      <c r="FM101" s="4576"/>
      <c r="FN101" s="292">
        <f>IF(FL101=0,0,(FM101-FL101)/FL101*100)</f>
        <v>0</v>
      </c>
      <c r="FO101" s="4576"/>
      <c r="FP101" s="4576"/>
      <c r="FQ101" s="292">
        <f>IF(FO101=0,0,(FP101-FO101)/FO101*100)</f>
        <v>0</v>
      </c>
      <c r="FR101" s="4576"/>
      <c r="FS101" s="4576"/>
      <c r="FT101" s="292">
        <f>IF(FR101=0,0,(FS101-FR101)/FR101*100)</f>
        <v>0</v>
      </c>
      <c r="FU101" s="4576"/>
      <c r="FV101" s="4576"/>
      <c r="FW101" s="292">
        <f>IF(FU101=0,0,(FV101-FU101)/FU101*100)</f>
        <v>0</v>
      </c>
      <c r="FX101" s="288"/>
      <c r="FY101" s="288"/>
      <c r="FZ101" s="1063" t="s">
        <v>1877</v>
      </c>
      <c r="GA101" s="1063"/>
      <c r="GB101" s="1063"/>
      <c r="GC101" s="1064"/>
      <c r="GD101" s="1064"/>
    </row>
    <row s="4624" customFormat="1" customHeight="1" ht="27.749023437500004">
      <c r="A102" s="904"/>
      <c r="B102" s="932" cm="1" t="str">
        <f t="array" ref="B102:B102">B101</f>
        <v>true</v>
      </c>
      <c r="C102" s="904"/>
      <c r="D102" s="904"/>
      <c r="E102" s="905">
        <v>24.5</v>
      </c>
      <c r="F102" s="50" cm="1" t="str">
        <f t="array" ref="F102:F102">OFFSET(E102,-1,1)</f>
        <v>1</v>
      </c>
      <c r="G102" s="103" t="s">
        <v>1878</v>
      </c>
      <c r="H102" s="496" t="s">
        <v>566</v>
      </c>
      <c r="I102" s="496" t="s">
        <v>1879</v>
      </c>
      <c r="J102" s="904"/>
      <c r="K102" s="904"/>
      <c r="L102" s="496"/>
      <c r="M102" s="904"/>
      <c r="N102" s="904"/>
      <c r="O102" s="904"/>
      <c r="P102" s="904"/>
      <c r="Q102" s="904"/>
      <c r="R102" s="496"/>
      <c r="S102" s="496"/>
      <c r="T102" s="468" cm="1" t="str">
        <f t="array" ref="T102:T102">T101</f>
        <v>true</v>
      </c>
      <c r="U102" s="904"/>
      <c r="V102" s="904"/>
      <c r="W102" s="904"/>
      <c r="X102" s="1559"/>
      <c r="Y102" s="904"/>
      <c r="Z102" s="1528"/>
      <c r="AA102" s="904"/>
      <c r="AB102" s="1099" t="s">
        <v>1880</v>
      </c>
      <c r="AC102" s="290" t="s">
        <v>1862</v>
      </c>
      <c r="AD102" s="906">
        <f>AD98*1.22</f>
        <v>121.879637470796</v>
      </c>
      <c r="AE102" s="906"/>
      <c r="AF102" s="292">
        <f>IF(AD102=0,0,(AE102-AD102)/AD102*100)</f>
        <v>-100</v>
      </c>
      <c r="AG102" s="4576">
        <f>IF(AND(method_reg="Метод индексации",god&lt;&gt;first_year),_xlfn.SUMIFS(INDEX('Калькуляция (МИ корр)'!$AJ$25:$BC$606,,MATCH(AG$8,'Калькуляция (МИ корр)'!$AJ$8:$BC$8,0)),'Калькуляция (МИ корр)'!$F$25:$F$606,$F102,'Калькуляция (МИ корр)'!$G$25:$G$606,$G102),IF(method_reg="Метод экономически обоснованных расходов",_xlfn.SUMIFS('Калькуляция (МЭОР)'!$AJ$25:$AJ$367,'Калькуляция (МЭОР)'!$F$25:$F$367,$F102,'Калькуляция (МЭОР)'!$G$25:$G$367,$G102),IF(method_reg="Метод сравнения аналогов",_xlfn.SUMIFS('Калькуляция (МСА)'!$AE$25:$AE$103,'Калькуляция (МСА)'!$F$25:$F$103,$F102,'Калькуляция (МСА)'!$G$25:$G$103,$G102),_xlfn.SUMIFS(INDEX('Калькуляция (МИ)'!$AJ$25:$BC$603,,MATCH(AG$8,'Калькуляция (МИ)'!$AJ$8:$BC$8,0)),'Калькуляция (МИ)'!$F$25:$F$603,$F102,'Калькуляция (МИ)'!$G$25:$G$603,$G102))))</f>
        <v>0</v>
      </c>
      <c r="AH102" s="4576">
        <f>IF(AND(method_reg="Метод индексации",god&lt;&gt;first_year),_xlfn.SUMIFS(INDEX('Калькуляция (МИ корр)'!$AJ$25:$BC$606,,MATCH(AH$8,'Калькуляция (МИ корр)'!$AJ$8:$BC$8,0)),'Калькуляция (МИ корр)'!$F$25:$F$606,$F102,'Калькуляция (МИ корр)'!$G$25:$G$606,$G102),IF(method_reg="Метод экономически обоснованных расходов",_xlfn.SUMIFS('Калькуляция (МЭОР)'!$AK$25:$AK$367,'Калькуляция (МЭОР)'!$F$25:$F$367,$F102,'Калькуляция (МЭОР)'!$G$25:$G$367,$G102),IF(method_reg="Метод сравнения аналогов",_xlfn.SUMIFS('Калькуляция (МСА)'!$AF$25:$AF$103,'Калькуляция (МСА)'!$F$25:$F$103,$F102,'Калькуляция (МСА)'!$G$25:$G$103,$G102),_xlfn.SUMIFS(INDEX('Калькуляция (МИ)'!$AJ$25:$BC$603,,MATCH(AH$8,'Калькуляция (МИ)'!$AJ$8:$BC$8,0)),'Калькуляция (МИ)'!$F$25:$F$603,$F102,'Калькуляция (МИ)'!$G$25:$G$603,$G102))))</f>
        <v>0</v>
      </c>
      <c r="AI102" s="292">
        <f>IF(AG102=0,0,(AH102-AG102)/AG102*100)</f>
        <v>0</v>
      </c>
      <c r="AJ102" s="4576">
        <f>IF(AND(method_reg="Метод индексации",god&lt;&gt;first_year),_xlfn.SUMIFS(INDEX('Калькуляция (МИ корр)'!$AJ$25:$BC$606,,MATCH(AJ$8,'Калькуляция (МИ корр)'!$AJ$8:$BC$8,0)),'Калькуляция (МИ корр)'!$F$25:$F$606,$F102,'Калькуляция (МИ корр)'!$G$25:$G$606,$G102),IF(method_reg="Метод экономически обоснованных расходов",_xlfn.SUMIFS('Калькуляция (МЭОР)'!$AJ$25:$AJ$367,'Калькуляция (МЭОР)'!$F$25:$F$367,$F102,'Калькуляция (МЭОР)'!$G$25:$G$367,$G102),IF(method_reg="Метод сравнения аналогов",_xlfn.SUMIFS('Калькуляция (МСА)'!$AE$25:$AE$103,'Калькуляция (МСА)'!$F$25:$F$103,$F102,'Калькуляция (МСА)'!$G$25:$G$103,$G102),_xlfn.SUMIFS(INDEX('Калькуляция (МИ)'!$AJ$25:$BC$603,,MATCH(AJ$8,'Калькуляция (МИ)'!$AJ$8:$BC$8,0)),'Калькуляция (МИ)'!$F$25:$F$603,$F102,'Калькуляция (МИ)'!$G$25:$G$603,$G102))))</f>
        <v>0</v>
      </c>
      <c r="AK102" s="4576">
        <f>IF(AND(method_reg="Метод индексации",god&lt;&gt;first_year),_xlfn.SUMIFS(INDEX('Калькуляция (МИ корр)'!$AJ$25:$BC$606,,MATCH(AK$8,'Калькуляция (МИ корр)'!$AJ$8:$BC$8,0)),'Калькуляция (МИ корр)'!$F$25:$F$606,$F102,'Калькуляция (МИ корр)'!$G$25:$G$606,$G102),IF(method_reg="Метод экономически обоснованных расходов",_xlfn.SUMIFS('Калькуляция (МЭОР)'!$AK$25:$AK$367,'Калькуляция (МЭОР)'!$F$25:$F$367,$F102,'Калькуляция (МЭОР)'!$G$25:$G$367,$G102),IF(method_reg="Метод сравнения аналогов",_xlfn.SUMIFS('Калькуляция (МСА)'!$AF$25:$AF$103,'Калькуляция (МСА)'!$F$25:$F$103,$F102,'Калькуляция (МСА)'!$G$25:$G$103,$G102),_xlfn.SUMIFS(INDEX('Калькуляция (МИ)'!$AJ$25:$BC$603,,MATCH(AK$8,'Калькуляция (МИ)'!$AJ$8:$BC$8,0)),'Калькуляция (МИ)'!$F$25:$F$603,$F102,'Калькуляция (МИ)'!$G$25:$G$603,$G102))))</f>
        <v>0</v>
      </c>
      <c r="AL102" s="292">
        <f>IF(AJ102=0,0,(AK102-AJ102)/AJ102*100)</f>
        <v>0</v>
      </c>
      <c r="AM102" s="4576">
        <f>IF(AND(method_reg="Метод индексации",god&lt;&gt;first_year),_xlfn.SUMIFS(INDEX('Калькуляция (МИ корр)'!$AJ$25:$BC$606,,MATCH(AM$8,'Калькуляция (МИ корр)'!$AJ$8:$BC$8,0)),'Калькуляция (МИ корр)'!$F$25:$F$606,$F102,'Калькуляция (МИ корр)'!$G$25:$G$606,$G102),IF(method_reg="Метод экономически обоснованных расходов",_xlfn.SUMIFS('Калькуляция (МЭОР)'!$AJ$25:$AJ$367,'Калькуляция (МЭОР)'!$F$25:$F$367,$F102,'Калькуляция (МЭОР)'!$G$25:$G$367,$G102),IF(method_reg="Метод сравнения аналогов",_xlfn.SUMIFS('Калькуляция (МСА)'!$AE$25:$AE$103,'Калькуляция (МСА)'!$F$25:$F$103,$F102,'Калькуляция (МСА)'!$G$25:$G$103,$G102),_xlfn.SUMIFS(INDEX('Калькуляция (МИ)'!$AJ$25:$BC$603,,MATCH(AM$8,'Калькуляция (МИ)'!$AJ$8:$BC$8,0)),'Калькуляция (МИ)'!$F$25:$F$603,$F102,'Калькуляция (МИ)'!$G$25:$G$603,$G102))))</f>
        <v>0</v>
      </c>
      <c r="AN102" s="4576">
        <f>IF(AND(method_reg="Метод индексации",god&lt;&gt;first_year),_xlfn.SUMIFS(INDEX('Калькуляция (МИ корр)'!$AJ$25:$BC$606,,MATCH(AN$8,'Калькуляция (МИ корр)'!$AJ$8:$BC$8,0)),'Калькуляция (МИ корр)'!$F$25:$F$606,$F102,'Калькуляция (МИ корр)'!$G$25:$G$606,$G102),IF(method_reg="Метод экономически обоснованных расходов",_xlfn.SUMIFS('Калькуляция (МЭОР)'!$AK$25:$AK$367,'Калькуляция (МЭОР)'!$F$25:$F$367,$F102,'Калькуляция (МЭОР)'!$G$25:$G$367,$G102),IF(method_reg="Метод сравнения аналогов",_xlfn.SUMIFS('Калькуляция (МСА)'!$AF$25:$AF$103,'Калькуляция (МСА)'!$F$25:$F$103,$F102,'Калькуляция (МСА)'!$G$25:$G$103,$G102),_xlfn.SUMIFS(INDEX('Калькуляция (МИ)'!$AJ$25:$BC$603,,MATCH(AN$8,'Калькуляция (МИ)'!$AJ$8:$BC$8,0)),'Калькуляция (МИ)'!$F$25:$F$603,$F102,'Калькуляция (МИ)'!$G$25:$G$603,$G102))))</f>
        <v>0</v>
      </c>
      <c r="AO102" s="292">
        <f>IF(AM102=0,0,(AN102-AM102)/AM102*100)</f>
        <v>0</v>
      </c>
      <c r="AP102" s="4576">
        <f>IF(AND(method_reg="Метод индексации",god&lt;&gt;first_year),_xlfn.SUMIFS(INDEX('Калькуляция (МИ корр)'!$AJ$25:$BC$606,,MATCH(AP$8,'Калькуляция (МИ корр)'!$AJ$8:$BC$8,0)),'Калькуляция (МИ корр)'!$F$25:$F$606,$F102,'Калькуляция (МИ корр)'!$G$25:$G$606,$G102),IF(method_reg="Метод экономически обоснованных расходов",_xlfn.SUMIFS('Калькуляция (МЭОР)'!$AJ$25:$AJ$367,'Калькуляция (МЭОР)'!$F$25:$F$367,$F102,'Калькуляция (МЭОР)'!$G$25:$G$367,$G102),IF(method_reg="Метод сравнения аналогов",_xlfn.SUMIFS('Калькуляция (МСА)'!$AE$25:$AE$103,'Калькуляция (МСА)'!$F$25:$F$103,$F102,'Калькуляция (МСА)'!$G$25:$G$103,$G102),_xlfn.SUMIFS(INDEX('Калькуляция (МИ)'!$AJ$25:$BC$603,,MATCH(AP$8,'Калькуляция (МИ)'!$AJ$8:$BC$8,0)),'Калькуляция (МИ)'!$F$25:$F$603,$F102,'Калькуляция (МИ)'!$G$25:$G$603,$G102))))</f>
        <v>0</v>
      </c>
      <c r="AQ102" s="4576">
        <f>IF(AND(method_reg="Метод индексации",god&lt;&gt;first_year),_xlfn.SUMIFS(INDEX('Калькуляция (МИ корр)'!$AJ$25:$BC$606,,MATCH(AQ$8,'Калькуляция (МИ корр)'!$AJ$8:$BC$8,0)),'Калькуляция (МИ корр)'!$F$25:$F$606,$F102,'Калькуляция (МИ корр)'!$G$25:$G$606,$G102),IF(method_reg="Метод экономически обоснованных расходов",_xlfn.SUMIFS('Калькуляция (МЭОР)'!$AK$25:$AK$367,'Калькуляция (МЭОР)'!$F$25:$F$367,$F102,'Калькуляция (МЭОР)'!$G$25:$G$367,$G102),IF(method_reg="Метод сравнения аналогов",_xlfn.SUMIFS('Калькуляция (МСА)'!$AF$25:$AF$103,'Калькуляция (МСА)'!$F$25:$F$103,$F102,'Калькуляция (МСА)'!$G$25:$G$103,$G102),_xlfn.SUMIFS(INDEX('Калькуляция (МИ)'!$AJ$25:$BC$603,,MATCH(AQ$8,'Калькуляция (МИ)'!$AJ$8:$BC$8,0)),'Калькуляция (МИ)'!$F$25:$F$603,$F102,'Калькуляция (МИ)'!$G$25:$G$603,$G102))))</f>
        <v>0</v>
      </c>
      <c r="AR102" s="292">
        <f>IF(AP102=0,0,(AQ102-AP102)/AP102*100)</f>
        <v>0</v>
      </c>
      <c r="AS102" s="4576">
        <f>IF(AND(method_reg="Метод индексации",god&lt;&gt;first_year),_xlfn.SUMIFS(INDEX('Калькуляция (МИ корр)'!$AJ$25:$BC$606,,MATCH(AS$8,'Калькуляция (МИ корр)'!$AJ$8:$BC$8,0)),'Калькуляция (МИ корр)'!$F$25:$F$606,$F102,'Калькуляция (МИ корр)'!$G$25:$G$606,$G102),IF(method_reg="Метод экономически обоснованных расходов",_xlfn.SUMIFS('Калькуляция (МЭОР)'!$AJ$25:$AJ$367,'Калькуляция (МЭОР)'!$F$25:$F$367,$F102,'Калькуляция (МЭОР)'!$G$25:$G$367,$G102),IF(method_reg="Метод сравнения аналогов",_xlfn.SUMIFS('Калькуляция (МСА)'!$AE$25:$AE$103,'Калькуляция (МСА)'!$F$25:$F$103,$F102,'Калькуляция (МСА)'!$G$25:$G$103,$G102),_xlfn.SUMIFS(INDEX('Калькуляция (МИ)'!$AJ$25:$BC$603,,MATCH(AS$8,'Калькуляция (МИ)'!$AJ$8:$BC$8,0)),'Калькуляция (МИ)'!$F$25:$F$603,$F102,'Калькуляция (МИ)'!$G$25:$G$603,$G102))))</f>
        <v>0</v>
      </c>
      <c r="AT102" s="4576">
        <f>IF(AND(method_reg="Метод индексации",god&lt;&gt;first_year),_xlfn.SUMIFS(INDEX('Калькуляция (МИ корр)'!$AJ$25:$BC$606,,MATCH(AT$8,'Калькуляция (МИ корр)'!$AJ$8:$BC$8,0)),'Калькуляция (МИ корр)'!$F$25:$F$606,$F102,'Калькуляция (МИ корр)'!$G$25:$G$606,$G102),IF(method_reg="Метод экономически обоснованных расходов",_xlfn.SUMIFS('Калькуляция (МЭОР)'!$AK$25:$AK$367,'Калькуляция (МЭОР)'!$F$25:$F$367,$F102,'Калькуляция (МЭОР)'!$G$25:$G$367,$G102),IF(method_reg="Метод сравнения аналогов",_xlfn.SUMIFS('Калькуляция (МСА)'!$AF$25:$AF$103,'Калькуляция (МСА)'!$F$25:$F$103,$F102,'Калькуляция (МСА)'!$G$25:$G$103,$G102),_xlfn.SUMIFS(INDEX('Калькуляция (МИ)'!$AJ$25:$BC$603,,MATCH(AT$8,'Калькуляция (МИ)'!$AJ$8:$BC$8,0)),'Калькуляция (МИ)'!$F$25:$F$603,$F102,'Калькуляция (МИ)'!$G$25:$G$603,$G102))))</f>
        <v>0</v>
      </c>
      <c r="AU102" s="292">
        <f>IF(AS102=0,0,(AT102-AS102)/AS102*100)</f>
        <v>0</v>
      </c>
      <c r="AV102" s="4576">
        <f>IF(AND(method_reg="Метод индексации",god&lt;&gt;first_year),_xlfn.SUMIFS(INDEX('Калькуляция (МИ корр)'!$AJ$25:$BC$606,,MATCH(AV$8,'Калькуляция (МИ корр)'!$AJ$8:$BC$8,0)),'Калькуляция (МИ корр)'!$F$25:$F$606,$F102,'Калькуляция (МИ корр)'!$G$25:$G$606,$G102),IF(method_reg="Метод экономически обоснованных расходов",_xlfn.SUMIFS('Калькуляция (МЭОР)'!$AJ$25:$AJ$367,'Калькуляция (МЭОР)'!$F$25:$F$367,$F102,'Калькуляция (МЭОР)'!$G$25:$G$367,$G102),IF(method_reg="Метод сравнения аналогов",_xlfn.SUMIFS('Калькуляция (МСА)'!$AE$25:$AE$103,'Калькуляция (МСА)'!$F$25:$F$103,$F102,'Калькуляция (МСА)'!$G$25:$G$103,$G102),_xlfn.SUMIFS(INDEX('Калькуляция (МИ)'!$AJ$25:$BC$603,,MATCH(AV$8,'Калькуляция (МИ)'!$AJ$8:$BC$8,0)),'Калькуляция (МИ)'!$F$25:$F$603,$F102,'Калькуляция (МИ)'!$G$25:$G$603,$G102))))</f>
        <v>0</v>
      </c>
      <c r="AW102" s="4576">
        <f>IF(AND(method_reg="Метод индексации",god&lt;&gt;first_year),_xlfn.SUMIFS(INDEX('Калькуляция (МИ корр)'!$AJ$25:$BC$606,,MATCH(AW$8,'Калькуляция (МИ корр)'!$AJ$8:$BC$8,0)),'Калькуляция (МИ корр)'!$F$25:$F$606,$F102,'Калькуляция (МИ корр)'!$G$25:$G$606,$G102),IF(method_reg="Метод экономически обоснованных расходов",_xlfn.SUMIFS('Калькуляция (МЭОР)'!$AK$25:$AK$367,'Калькуляция (МЭОР)'!$F$25:$F$367,$F102,'Калькуляция (МЭОР)'!$G$25:$G$367,$G102),IF(method_reg="Метод сравнения аналогов",_xlfn.SUMIFS('Калькуляция (МСА)'!$AF$25:$AF$103,'Калькуляция (МСА)'!$F$25:$F$103,$F102,'Калькуляция (МСА)'!$G$25:$G$103,$G102),_xlfn.SUMIFS(INDEX('Калькуляция (МИ)'!$AJ$25:$BC$603,,MATCH(AW$8,'Калькуляция (МИ)'!$AJ$8:$BC$8,0)),'Калькуляция (МИ)'!$F$25:$F$603,$F102,'Калькуляция (МИ)'!$G$25:$G$603,$G102))))</f>
        <v>0</v>
      </c>
      <c r="AX102" s="292">
        <f>IF(AV102=0,0,(AW102-AV102)/AV102*100)</f>
        <v>0</v>
      </c>
      <c r="AY102" s="4576">
        <f>IF(AND(method_reg="Метод индексации",god&lt;&gt;first_year),_xlfn.SUMIFS(INDEX('Калькуляция (МИ корр)'!$AJ$25:$BC$606,,MATCH(AY$8,'Калькуляция (МИ корр)'!$AJ$8:$BC$8,0)),'Калькуляция (МИ корр)'!$F$25:$F$606,$F102,'Калькуляция (МИ корр)'!$G$25:$G$606,$G102),IF(method_reg="Метод экономически обоснованных расходов",_xlfn.SUMIFS('Калькуляция (МЭОР)'!$AJ$25:$AJ$367,'Калькуляция (МЭОР)'!$F$25:$F$367,$F102,'Калькуляция (МЭОР)'!$G$25:$G$367,$G102),IF(method_reg="Метод сравнения аналогов",_xlfn.SUMIFS('Калькуляция (МСА)'!$AE$25:$AE$103,'Калькуляция (МСА)'!$F$25:$F$103,$F102,'Калькуляция (МСА)'!$G$25:$G$103,$G102),_xlfn.SUMIFS(INDEX('Калькуляция (МИ)'!$AJ$25:$BC$603,,MATCH(AY$8,'Калькуляция (МИ)'!$AJ$8:$BC$8,0)),'Калькуляция (МИ)'!$F$25:$F$603,$F102,'Калькуляция (МИ)'!$G$25:$G$603,$G102))))</f>
        <v>0</v>
      </c>
      <c r="AZ102" s="4576">
        <f>IF(AND(method_reg="Метод индексации",god&lt;&gt;first_year),_xlfn.SUMIFS(INDEX('Калькуляция (МИ корр)'!$AJ$25:$BC$606,,MATCH(AZ$8,'Калькуляция (МИ корр)'!$AJ$8:$BC$8,0)),'Калькуляция (МИ корр)'!$F$25:$F$606,$F102,'Калькуляция (МИ корр)'!$G$25:$G$606,$G102),IF(method_reg="Метод экономически обоснованных расходов",_xlfn.SUMIFS('Калькуляция (МЭОР)'!$AK$25:$AK$367,'Калькуляция (МЭОР)'!$F$25:$F$367,$F102,'Калькуляция (МЭОР)'!$G$25:$G$367,$G102),IF(method_reg="Метод сравнения аналогов",_xlfn.SUMIFS('Калькуляция (МСА)'!$AF$25:$AF$103,'Калькуляция (МСА)'!$F$25:$F$103,$F102,'Калькуляция (МСА)'!$G$25:$G$103,$G102),_xlfn.SUMIFS(INDEX('Калькуляция (МИ)'!$AJ$25:$BC$603,,MATCH(AZ$8,'Калькуляция (МИ)'!$AJ$8:$BC$8,0)),'Калькуляция (МИ)'!$F$25:$F$603,$F102,'Калькуляция (МИ)'!$G$25:$G$603,$G102))))</f>
        <v>0</v>
      </c>
      <c r="BA102" s="292">
        <f>IF(AY102=0,0,(AZ102-AY102)/AY102*100)</f>
        <v>0</v>
      </c>
      <c r="BB102" s="4576">
        <f>IF(AND(method_reg="Метод индексации",god&lt;&gt;first_year),_xlfn.SUMIFS(INDEX('Калькуляция (МИ корр)'!$AJ$25:$BC$606,,MATCH(BB$8,'Калькуляция (МИ корр)'!$AJ$8:$BC$8,0)),'Калькуляция (МИ корр)'!$F$25:$F$606,$F102,'Калькуляция (МИ корр)'!$G$25:$G$606,$G102),IF(method_reg="Метод экономически обоснованных расходов",_xlfn.SUMIFS('Калькуляция (МЭОР)'!$AJ$25:$AJ$367,'Калькуляция (МЭОР)'!$F$25:$F$367,$F102,'Калькуляция (МЭОР)'!$G$25:$G$367,$G102),IF(method_reg="Метод сравнения аналогов",_xlfn.SUMIFS('Калькуляция (МСА)'!$AE$25:$AE$103,'Калькуляция (МСА)'!$F$25:$F$103,$F102,'Калькуляция (МСА)'!$G$25:$G$103,$G102),_xlfn.SUMIFS(INDEX('Калькуляция (МИ)'!$AJ$25:$BC$603,,MATCH(BB$8,'Калькуляция (МИ)'!$AJ$8:$BC$8,0)),'Калькуляция (МИ)'!$F$25:$F$603,$F102,'Калькуляция (МИ)'!$G$25:$G$603,$G102))))</f>
        <v>0</v>
      </c>
      <c r="BC102" s="4576">
        <f>IF(AND(method_reg="Метод индексации",god&lt;&gt;first_year),_xlfn.SUMIFS(INDEX('Калькуляция (МИ корр)'!$AJ$25:$BC$606,,MATCH(BC$8,'Калькуляция (МИ корр)'!$AJ$8:$BC$8,0)),'Калькуляция (МИ корр)'!$F$25:$F$606,$F102,'Калькуляция (МИ корр)'!$G$25:$G$606,$G102),IF(method_reg="Метод экономически обоснованных расходов",_xlfn.SUMIFS('Калькуляция (МЭОР)'!$AK$25:$AK$367,'Калькуляция (МЭОР)'!$F$25:$F$367,$F102,'Калькуляция (МЭОР)'!$G$25:$G$367,$G102),IF(method_reg="Метод сравнения аналогов",_xlfn.SUMIFS('Калькуляция (МСА)'!$AF$25:$AF$103,'Калькуляция (МСА)'!$F$25:$F$103,$F102,'Калькуляция (МСА)'!$G$25:$G$103,$G102),_xlfn.SUMIFS(INDEX('Калькуляция (МИ)'!$AJ$25:$BC$603,,MATCH(BC$8,'Калькуляция (МИ)'!$AJ$8:$BC$8,0)),'Калькуляция (МИ)'!$F$25:$F$603,$F102,'Калькуляция (МИ)'!$G$25:$G$603,$G102))))</f>
        <v>0</v>
      </c>
      <c r="BD102" s="292">
        <f>IF(BB102=0,0,(BC102-BB102)/BB102*100)</f>
        <v>0</v>
      </c>
      <c r="BE102" s="4576">
        <f>IF(AND(method_reg="Метод индексации",god&lt;&gt;first_year),_xlfn.SUMIFS(INDEX('Калькуляция (МИ корр)'!$AJ$25:$BC$606,,MATCH(BE$8,'Калькуляция (МИ корр)'!$AJ$8:$BC$8,0)),'Калькуляция (МИ корр)'!$F$25:$F$606,$F102,'Калькуляция (МИ корр)'!$G$25:$G$606,$G102),IF(method_reg="Метод экономически обоснованных расходов",_xlfn.SUMIFS('Калькуляция (МЭОР)'!$AJ$25:$AJ$367,'Калькуляция (МЭОР)'!$F$25:$F$367,$F102,'Калькуляция (МЭОР)'!$G$25:$G$367,$G102),IF(method_reg="Метод сравнения аналогов",_xlfn.SUMIFS('Калькуляция (МСА)'!$AE$25:$AE$103,'Калькуляция (МСА)'!$F$25:$F$103,$F102,'Калькуляция (МСА)'!$G$25:$G$103,$G102),_xlfn.SUMIFS(INDEX('Калькуляция (МИ)'!$AJ$25:$BC$603,,MATCH(BE$8,'Калькуляция (МИ)'!$AJ$8:$BC$8,0)),'Калькуляция (МИ)'!$F$25:$F$603,$F102,'Калькуляция (МИ)'!$G$25:$G$603,$G102))))</f>
        <v>0</v>
      </c>
      <c r="BF102" s="4576">
        <f>IF(AND(method_reg="Метод индексации",god&lt;&gt;first_year),_xlfn.SUMIFS(INDEX('Калькуляция (МИ корр)'!$AJ$25:$BC$606,,MATCH(BF$8,'Калькуляция (МИ корр)'!$AJ$8:$BC$8,0)),'Калькуляция (МИ корр)'!$F$25:$F$606,$F102,'Калькуляция (МИ корр)'!$G$25:$G$606,$G102),IF(method_reg="Метод экономически обоснованных расходов",_xlfn.SUMIFS('Калькуляция (МЭОР)'!$AK$25:$AK$367,'Калькуляция (МЭОР)'!$F$25:$F$367,$F102,'Калькуляция (МЭОР)'!$G$25:$G$367,$G102),IF(method_reg="Метод сравнения аналогов",_xlfn.SUMIFS('Калькуляция (МСА)'!$AF$25:$AF$103,'Калькуляция (МСА)'!$F$25:$F$103,$F102,'Калькуляция (МСА)'!$G$25:$G$103,$G102),_xlfn.SUMIFS(INDEX('Калькуляция (МИ)'!$AJ$25:$BC$603,,MATCH(BF$8,'Калькуляция (МИ)'!$AJ$8:$BC$8,0)),'Калькуляция (МИ)'!$F$25:$F$603,$F102,'Калькуляция (МИ)'!$G$25:$G$603,$G102))))</f>
        <v>0</v>
      </c>
      <c r="BG102" s="292">
        <f>IF(BE102=0,0,(BF102-BE102)/BE102*100)</f>
        <v>0</v>
      </c>
      <c r="BH102" s="4576"/>
      <c r="BI102" s="4576"/>
      <c r="BJ102" s="292">
        <f>IF(BH102=0,0,(BI102-BH102)/BH102*100)</f>
        <v>0</v>
      </c>
      <c r="BK102" s="4576"/>
      <c r="BL102" s="4576"/>
      <c r="BM102" s="292">
        <f>IF(BK102=0,0,(BL102-BK102)/BK102*100)</f>
        <v>0</v>
      </c>
      <c r="BN102" s="4576"/>
      <c r="BO102" s="4576"/>
      <c r="BP102" s="292">
        <f>IF(BN102=0,0,(BO102-BN102)/BN102*100)</f>
        <v>0</v>
      </c>
      <c r="BQ102" s="4576"/>
      <c r="BR102" s="4576"/>
      <c r="BS102" s="292">
        <f>IF(BQ102=0,0,(BR102-BQ102)/BQ102*100)</f>
        <v>0</v>
      </c>
      <c r="BT102" s="4576"/>
      <c r="BU102" s="4576"/>
      <c r="BV102" s="292">
        <f>IF(BT102=0,0,(BU102-BT102)/BT102*100)</f>
        <v>0</v>
      </c>
      <c r="BW102" s="4576"/>
      <c r="BX102" s="4576"/>
      <c r="BY102" s="292">
        <f>IF(BW102=0,0,(BX102-BW102)/BW102*100)</f>
        <v>0</v>
      </c>
      <c r="BZ102" s="4576"/>
      <c r="CA102" s="4576"/>
      <c r="CB102" s="292">
        <f>IF(BZ102=0,0,(CA102-BZ102)/BZ102*100)</f>
        <v>0</v>
      </c>
      <c r="CC102" s="4576"/>
      <c r="CD102" s="4576"/>
      <c r="CE102" s="292">
        <f>IF(CC102=0,0,(CD102-CC102)/CC102*100)</f>
        <v>0</v>
      </c>
      <c r="CF102" s="4576"/>
      <c r="CG102" s="4576"/>
      <c r="CH102" s="292">
        <f>IF(CF102=0,0,(CG102-CF102)/CF102*100)</f>
        <v>0</v>
      </c>
      <c r="CI102" s="4576"/>
      <c r="CJ102" s="4576"/>
      <c r="CK102" s="292">
        <f>IF(CI102=0,0,(CJ102-CI102)/CI102*100)</f>
        <v>0</v>
      </c>
      <c r="CL102" s="4576"/>
      <c r="CM102" s="4576"/>
      <c r="CN102" s="292">
        <f>IF(CL102=0,0,(CM102-CL102)/CL102*100)</f>
        <v>0</v>
      </c>
      <c r="CO102" s="4576"/>
      <c r="CP102" s="4576"/>
      <c r="CQ102" s="292">
        <f>IF(CO102=0,0,(CP102-CO102)/CO102*100)</f>
        <v>0</v>
      </c>
      <c r="CR102" s="4576"/>
      <c r="CS102" s="4576"/>
      <c r="CT102" s="292">
        <f>IF(CR102=0,0,(CS102-CR102)/CR102*100)</f>
        <v>0</v>
      </c>
      <c r="CU102" s="4576"/>
      <c r="CV102" s="4576"/>
      <c r="CW102" s="292">
        <f>IF(CU102=0,0,(CV102-CU102)/CU102*100)</f>
        <v>0</v>
      </c>
      <c r="CX102" s="4576"/>
      <c r="CY102" s="4576"/>
      <c r="CZ102" s="292">
        <f>IF(CX102=0,0,(CY102-CX102)/CX102*100)</f>
        <v>0</v>
      </c>
      <c r="DA102" s="4576"/>
      <c r="DB102" s="4576"/>
      <c r="DC102" s="292">
        <f>IF(DA102=0,0,(DB102-DA102)/DA102*100)</f>
        <v>0</v>
      </c>
      <c r="DD102" s="4576"/>
      <c r="DE102" s="4576"/>
      <c r="DF102" s="292">
        <f>IF(DD102=0,0,(DE102-DD102)/DD102*100)</f>
        <v>0</v>
      </c>
      <c r="DG102" s="4576"/>
      <c r="DH102" s="4576"/>
      <c r="DI102" s="292">
        <f>IF(DG102=0,0,(DH102-DG102)/DG102*100)</f>
        <v>0</v>
      </c>
      <c r="DJ102" s="4576"/>
      <c r="DK102" s="4576"/>
      <c r="DL102" s="292">
        <f>IF(DJ102=0,0,(DK102-DJ102)/DJ102*100)</f>
        <v>0</v>
      </c>
      <c r="DM102" s="4576"/>
      <c r="DN102" s="4576"/>
      <c r="DO102" s="292">
        <f>IF(DM102=0,0,(DN102-DM102)/DM102*100)</f>
        <v>0</v>
      </c>
      <c r="DP102" s="4576"/>
      <c r="DQ102" s="4576"/>
      <c r="DR102" s="292">
        <f>IF(DP102=0,0,(DQ102-DP102)/DP102*100)</f>
        <v>0</v>
      </c>
      <c r="DS102" s="4576"/>
      <c r="DT102" s="4576"/>
      <c r="DU102" s="292">
        <f>IF(DS102=0,0,(DT102-DS102)/DS102*100)</f>
        <v>0</v>
      </c>
      <c r="DV102" s="4576"/>
      <c r="DW102" s="4576"/>
      <c r="DX102" s="292">
        <f>IF(DV102=0,0,(DW102-DV102)/DV102*100)</f>
        <v>0</v>
      </c>
      <c r="DY102" s="4576"/>
      <c r="DZ102" s="4576"/>
      <c r="EA102" s="292">
        <f>IF(DY102=0,0,(DZ102-DY102)/DY102*100)</f>
        <v>0</v>
      </c>
      <c r="EB102" s="4576"/>
      <c r="EC102" s="4576"/>
      <c r="ED102" s="292">
        <f>IF(EB102=0,0,(EC102-EB102)/EB102*100)</f>
        <v>0</v>
      </c>
      <c r="EE102" s="4576"/>
      <c r="EF102" s="4576"/>
      <c r="EG102" s="292">
        <f>IF(EE102=0,0,(EF102-EE102)/EE102*100)</f>
        <v>0</v>
      </c>
      <c r="EH102" s="4576"/>
      <c r="EI102" s="4576"/>
      <c r="EJ102" s="292">
        <f>IF(EH102=0,0,(EI102-EH102)/EH102*100)</f>
        <v>0</v>
      </c>
      <c r="EK102" s="4576"/>
      <c r="EL102" s="4576"/>
      <c r="EM102" s="292">
        <f>IF(EK102=0,0,(EL102-EK102)/EK102*100)</f>
        <v>0</v>
      </c>
      <c r="EN102" s="4576"/>
      <c r="EO102" s="4576"/>
      <c r="EP102" s="292">
        <f>IF(EN102=0,0,(EO102-EN102)/EN102*100)</f>
        <v>0</v>
      </c>
      <c r="EQ102" s="4576"/>
      <c r="ER102" s="4576"/>
      <c r="ES102" s="292">
        <f>IF(EQ102=0,0,(ER102-EQ102)/EQ102*100)</f>
        <v>0</v>
      </c>
      <c r="ET102" s="4576"/>
      <c r="EU102" s="4576"/>
      <c r="EV102" s="292">
        <f>IF(ET102=0,0,(EU102-ET102)/ET102*100)</f>
        <v>0</v>
      </c>
      <c r="EW102" s="4576"/>
      <c r="EX102" s="4576"/>
      <c r="EY102" s="292">
        <f>IF(EW102=0,0,(EX102-EW102)/EW102*100)</f>
        <v>0</v>
      </c>
      <c r="EZ102" s="4576"/>
      <c r="FA102" s="4576"/>
      <c r="FB102" s="292">
        <f>IF(EZ102=0,0,(FA102-EZ102)/EZ102*100)</f>
        <v>0</v>
      </c>
      <c r="FC102" s="4576"/>
      <c r="FD102" s="4576"/>
      <c r="FE102" s="292">
        <f>IF(FC102=0,0,(FD102-FC102)/FC102*100)</f>
        <v>0</v>
      </c>
      <c r="FF102" s="4576"/>
      <c r="FG102" s="4576"/>
      <c r="FH102" s="292">
        <f>IF(FF102=0,0,(FG102-FF102)/FF102*100)</f>
        <v>0</v>
      </c>
      <c r="FI102" s="4576"/>
      <c r="FJ102" s="4576"/>
      <c r="FK102" s="292">
        <f>IF(FI102=0,0,(FJ102-FI102)/FI102*100)</f>
        <v>0</v>
      </c>
      <c r="FL102" s="4576"/>
      <c r="FM102" s="4576"/>
      <c r="FN102" s="292">
        <f>IF(FL102=0,0,(FM102-FL102)/FL102*100)</f>
        <v>0</v>
      </c>
      <c r="FO102" s="4576"/>
      <c r="FP102" s="4576"/>
      <c r="FQ102" s="292">
        <f>IF(FO102=0,0,(FP102-FO102)/FO102*100)</f>
        <v>0</v>
      </c>
      <c r="FR102" s="4576"/>
      <c r="FS102" s="4576"/>
      <c r="FT102" s="292">
        <f>IF(FR102=0,0,(FS102-FR102)/FR102*100)</f>
        <v>0</v>
      </c>
      <c r="FU102" s="4576"/>
      <c r="FV102" s="4576"/>
      <c r="FW102" s="292">
        <f>IF(FU102=0,0,(FV102-FU102)/FU102*100)</f>
        <v>0</v>
      </c>
      <c r="FX102" s="288"/>
      <c r="FY102" s="288"/>
      <c r="FZ102" s="1063" t="s">
        <v>1881</v>
      </c>
      <c r="GA102" s="1063"/>
      <c r="GB102" s="1063"/>
      <c r="GC102" s="1064"/>
      <c r="GD102" s="1064"/>
    </row>
    <row s="1656" customFormat="1" customHeight="1" ht="19.921875">
      <c r="A103" s="496"/>
      <c r="B103" s="932" cm="1" t="str">
        <f t="array" ref="B103:B103">B102</f>
        <v>true</v>
      </c>
      <c r="C103" s="496"/>
      <c r="D103" s="496"/>
      <c r="E103" s="847">
        <v>15</v>
      </c>
      <c r="F103" s="50" cm="1" t="str">
        <f t="array" ref="F103:F103">OFFSET(E103,-1,1)</f>
        <v>1</v>
      </c>
      <c r="G103" s="103"/>
      <c r="H103" s="496" t="s">
        <v>570</v>
      </c>
      <c r="I103" s="496" t="s">
        <v>1882</v>
      </c>
      <c r="J103" s="496"/>
      <c r="K103" s="496"/>
      <c r="L103" s="496"/>
      <c r="M103" s="496"/>
      <c r="N103" s="496"/>
      <c r="O103" s="496"/>
      <c r="P103" s="496"/>
      <c r="Q103" s="904"/>
      <c r="R103" s="496"/>
      <c r="S103" s="496"/>
      <c r="T103" s="468" cm="1" t="str">
        <f t="array" ref="T103:T103">T102</f>
        <v>true</v>
      </c>
      <c r="U103" s="496"/>
      <c r="V103" s="496"/>
      <c r="W103" s="496"/>
      <c r="X103" s="1559"/>
      <c r="Y103" s="496"/>
      <c r="Z103" s="1528"/>
      <c r="AA103" s="496"/>
      <c r="AB103" s="1098" t="s">
        <v>1869</v>
      </c>
      <c r="AC103" s="871" t="s">
        <v>561</v>
      </c>
      <c r="AD103" s="1101">
        <f>IF(AD101=0,0,AD102/AD101)*100</f>
        <v>100</v>
      </c>
      <c r="AE103" s="1101">
        <f>IF(AE101=0,0,AE102/AE101)*100</f>
        <v>0</v>
      </c>
      <c r="AF103" s="1102"/>
      <c r="AG103" s="1101">
        <f>IF(AG101=0,0,AG102/AG101)*100</f>
        <v>0</v>
      </c>
      <c r="AH103" s="1101">
        <f>IF(AH101=0,0,AH102/AH101)*100</f>
        <v>0</v>
      </c>
      <c r="AI103" s="1102"/>
      <c r="AJ103" s="1101">
        <f>IF(AJ101=0,0,AJ102/AJ101)*100</f>
        <v>0</v>
      </c>
      <c r="AK103" s="1101">
        <f>IF(AK101=0,0,AK102/AK101)*100</f>
        <v>0</v>
      </c>
      <c r="AL103" s="1102"/>
      <c r="AM103" s="1101">
        <f>IF(AM101=0,0,AM102/AM101)*100</f>
        <v>0</v>
      </c>
      <c r="AN103" s="1101">
        <f>IF(AN101=0,0,AN102/AN101)*100</f>
        <v>0</v>
      </c>
      <c r="AO103" s="1102"/>
      <c r="AP103" s="1101">
        <f>IF(AP101=0,0,AP102/AP101)*100</f>
        <v>0</v>
      </c>
      <c r="AQ103" s="1101">
        <f>IF(AQ101=0,0,AQ102/AQ101)*100</f>
        <v>0</v>
      </c>
      <c r="AR103" s="1102"/>
      <c r="AS103" s="1101">
        <f>IF(AS101=0,0,AS102/AS101)*100</f>
        <v>0</v>
      </c>
      <c r="AT103" s="1101">
        <f>IF(AT101=0,0,AT102/AT101)*100</f>
        <v>0</v>
      </c>
      <c r="AU103" s="1102"/>
      <c r="AV103" s="1101">
        <f>IF(AV101=0,0,AV102/AV101)*100</f>
        <v>0</v>
      </c>
      <c r="AW103" s="1101">
        <f>IF(AW101=0,0,AW102/AW101)*100</f>
        <v>0</v>
      </c>
      <c r="AX103" s="1102"/>
      <c r="AY103" s="1101">
        <f>IF(AY101=0,0,AY102/AY101)*100</f>
        <v>0</v>
      </c>
      <c r="AZ103" s="1101">
        <f>IF(AZ101=0,0,AZ102/AZ101)*100</f>
        <v>0</v>
      </c>
      <c r="BA103" s="1102"/>
      <c r="BB103" s="1101">
        <f>IF(BB101=0,0,BB102/BB101)*100</f>
        <v>0</v>
      </c>
      <c r="BC103" s="1101">
        <f>IF(BC101=0,0,BC102/BC101)*100</f>
        <v>0</v>
      </c>
      <c r="BD103" s="1102"/>
      <c r="BE103" s="1101">
        <f>IF(BE101=0,0,BE102/BE101)*100</f>
        <v>0</v>
      </c>
      <c r="BF103" s="1101">
        <f>IF(BF101=0,0,BF102/BF101)*100</f>
        <v>0</v>
      </c>
      <c r="BG103" s="1102"/>
      <c r="BH103" s="1101">
        <f>IF(BH101=0,0,BH102/BH101)*100</f>
        <v>0</v>
      </c>
      <c r="BI103" s="1101">
        <f>IF(BI101=0,0,BI102/BI101)*100</f>
        <v>0</v>
      </c>
      <c r="BJ103" s="1102"/>
      <c r="BK103" s="1101">
        <f>IF(BK101=0,0,BK102/BK101)*100</f>
        <v>0</v>
      </c>
      <c r="BL103" s="1101">
        <f>IF(BL101=0,0,BL102/BL101)*100</f>
        <v>0</v>
      </c>
      <c r="BM103" s="1102"/>
      <c r="BN103" s="1101">
        <f>IF(BN101=0,0,BN102/BN101)*100</f>
        <v>0</v>
      </c>
      <c r="BO103" s="1101">
        <f>IF(BO101=0,0,BO102/BO101)*100</f>
        <v>0</v>
      </c>
      <c r="BP103" s="1102"/>
      <c r="BQ103" s="1101">
        <f>IF(BQ101=0,0,BQ102/BQ101)*100</f>
        <v>0</v>
      </c>
      <c r="BR103" s="1101">
        <f>IF(BR101=0,0,BR102/BR101)*100</f>
        <v>0</v>
      </c>
      <c r="BS103" s="1102"/>
      <c r="BT103" s="1101">
        <f>IF(BT101=0,0,BT102/BT101)*100</f>
        <v>0</v>
      </c>
      <c r="BU103" s="1101">
        <f>IF(BU101=0,0,BU102/BU101)*100</f>
        <v>0</v>
      </c>
      <c r="BV103" s="1102"/>
      <c r="BW103" s="1101">
        <f>IF(BW101=0,0,BW102/BW101)*100</f>
        <v>0</v>
      </c>
      <c r="BX103" s="1101">
        <f>IF(BX101=0,0,BX102/BX101)*100</f>
        <v>0</v>
      </c>
      <c r="BY103" s="1102"/>
      <c r="BZ103" s="1101">
        <f>IF(BZ101=0,0,BZ102/BZ101)*100</f>
        <v>0</v>
      </c>
      <c r="CA103" s="1101">
        <f>IF(CA101=0,0,CA102/CA101)*100</f>
        <v>0</v>
      </c>
      <c r="CB103" s="1102"/>
      <c r="CC103" s="1101">
        <f>IF(CC101=0,0,CC102/CC101)*100</f>
        <v>0</v>
      </c>
      <c r="CD103" s="1101">
        <f>IF(CD101=0,0,CD102/CD101)*100</f>
        <v>0</v>
      </c>
      <c r="CE103" s="1102"/>
      <c r="CF103" s="1101">
        <f>IF(CF101=0,0,CF102/CF101)*100</f>
        <v>0</v>
      </c>
      <c r="CG103" s="1101">
        <f>IF(CG101=0,0,CG102/CG101)*100</f>
        <v>0</v>
      </c>
      <c r="CH103" s="1102"/>
      <c r="CI103" s="1101">
        <f>IF(CI101=0,0,CI102/CI101)*100</f>
        <v>0</v>
      </c>
      <c r="CJ103" s="1101">
        <f>IF(CJ101=0,0,CJ102/CJ101)*100</f>
        <v>0</v>
      </c>
      <c r="CK103" s="1102"/>
      <c r="CL103" s="1101">
        <f>IF(CL101=0,0,CL102/CL101)*100</f>
        <v>0</v>
      </c>
      <c r="CM103" s="1101">
        <f>IF(CM101=0,0,CM102/CM101)*100</f>
        <v>0</v>
      </c>
      <c r="CN103" s="1102"/>
      <c r="CO103" s="1101">
        <f>IF(CO101=0,0,CO102/CO101)*100</f>
        <v>0</v>
      </c>
      <c r="CP103" s="1101">
        <f>IF(CP101=0,0,CP102/CP101)*100</f>
        <v>0</v>
      </c>
      <c r="CQ103" s="1102"/>
      <c r="CR103" s="1101">
        <f>IF(CR101=0,0,CR102/CR101)*100</f>
        <v>0</v>
      </c>
      <c r="CS103" s="1101">
        <f>IF(CS101=0,0,CS102/CS101)*100</f>
        <v>0</v>
      </c>
      <c r="CT103" s="1102"/>
      <c r="CU103" s="1101">
        <f>IF(CU101=0,0,CU102/CU101)*100</f>
        <v>0</v>
      </c>
      <c r="CV103" s="1101">
        <f>IF(CV101=0,0,CV102/CV101)*100</f>
        <v>0</v>
      </c>
      <c r="CW103" s="1102"/>
      <c r="CX103" s="1101">
        <f>IF(CX101=0,0,CX102/CX101)*100</f>
        <v>0</v>
      </c>
      <c r="CY103" s="1101">
        <f>IF(CY101=0,0,CY102/CY101)*100</f>
        <v>0</v>
      </c>
      <c r="CZ103" s="1102"/>
      <c r="DA103" s="1101">
        <f>IF(DA101=0,0,DA102/DA101)*100</f>
        <v>0</v>
      </c>
      <c r="DB103" s="1101">
        <f>IF(DB101=0,0,DB102/DB101)*100</f>
        <v>0</v>
      </c>
      <c r="DC103" s="1102"/>
      <c r="DD103" s="1101">
        <f>IF(DD101=0,0,DD102/DD101)*100</f>
        <v>0</v>
      </c>
      <c r="DE103" s="1101">
        <f>IF(DE101=0,0,DE102/DE101)*100</f>
        <v>0</v>
      </c>
      <c r="DF103" s="1102"/>
      <c r="DG103" s="1101">
        <f>IF(DG101=0,0,DG102/DG101)*100</f>
        <v>0</v>
      </c>
      <c r="DH103" s="1101">
        <f>IF(DH101=0,0,DH102/DH101)*100</f>
        <v>0</v>
      </c>
      <c r="DI103" s="1102"/>
      <c r="DJ103" s="1101">
        <f>IF(DJ101=0,0,DJ102/DJ101)*100</f>
        <v>0</v>
      </c>
      <c r="DK103" s="1101">
        <f>IF(DK101=0,0,DK102/DK101)*100</f>
        <v>0</v>
      </c>
      <c r="DL103" s="1102"/>
      <c r="DM103" s="1101">
        <f>IF(DM101=0,0,DM102/DM101)*100</f>
        <v>0</v>
      </c>
      <c r="DN103" s="1101">
        <f>IF(DN101=0,0,DN102/DN101)*100</f>
        <v>0</v>
      </c>
      <c r="DO103" s="1102"/>
      <c r="DP103" s="1101">
        <f>IF(DP101=0,0,DP102/DP101)*100</f>
        <v>0</v>
      </c>
      <c r="DQ103" s="1101">
        <f>IF(DQ101=0,0,DQ102/DQ101)*100</f>
        <v>0</v>
      </c>
      <c r="DR103" s="1102"/>
      <c r="DS103" s="1101">
        <f>IF(DS101=0,0,DS102/DS101)*100</f>
        <v>0</v>
      </c>
      <c r="DT103" s="1101">
        <f>IF(DT101=0,0,DT102/DT101)*100</f>
        <v>0</v>
      </c>
      <c r="DU103" s="1102"/>
      <c r="DV103" s="1101">
        <f>IF(DV101=0,0,DV102/DV101)*100</f>
        <v>0</v>
      </c>
      <c r="DW103" s="1101">
        <f>IF(DW101=0,0,DW102/DW101)*100</f>
        <v>0</v>
      </c>
      <c r="DX103" s="1102"/>
      <c r="DY103" s="1101">
        <f>IF(DY101=0,0,DY102/DY101)*100</f>
        <v>0</v>
      </c>
      <c r="DZ103" s="1101">
        <f>IF(DZ101=0,0,DZ102/DZ101)*100</f>
        <v>0</v>
      </c>
      <c r="EA103" s="1102"/>
      <c r="EB103" s="1101">
        <f>IF(EB101=0,0,EB102/EB101)*100</f>
        <v>0</v>
      </c>
      <c r="EC103" s="1101">
        <f>IF(EC101=0,0,EC102/EC101)*100</f>
        <v>0</v>
      </c>
      <c r="ED103" s="1102"/>
      <c r="EE103" s="1101">
        <f>IF(EE101=0,0,EE102/EE101)*100</f>
        <v>0</v>
      </c>
      <c r="EF103" s="1101">
        <f>IF(EF101=0,0,EF102/EF101)*100</f>
        <v>0</v>
      </c>
      <c r="EG103" s="1102"/>
      <c r="EH103" s="1101">
        <f>IF(EH101=0,0,EH102/EH101)*100</f>
        <v>0</v>
      </c>
      <c r="EI103" s="1101">
        <f>IF(EI101=0,0,EI102/EI101)*100</f>
        <v>0</v>
      </c>
      <c r="EJ103" s="1102"/>
      <c r="EK103" s="1101">
        <f>IF(EK101=0,0,EK102/EK101)*100</f>
        <v>0</v>
      </c>
      <c r="EL103" s="1101">
        <f>IF(EL101=0,0,EL102/EL101)*100</f>
        <v>0</v>
      </c>
      <c r="EM103" s="1102"/>
      <c r="EN103" s="1101">
        <f>IF(EN101=0,0,EN102/EN101)*100</f>
        <v>0</v>
      </c>
      <c r="EO103" s="1101">
        <f>IF(EO101=0,0,EO102/EO101)*100</f>
        <v>0</v>
      </c>
      <c r="EP103" s="1102"/>
      <c r="EQ103" s="1101">
        <f>IF(EQ101=0,0,EQ102/EQ101)*100</f>
        <v>0</v>
      </c>
      <c r="ER103" s="1101">
        <f>IF(ER101=0,0,ER102/ER101)*100</f>
        <v>0</v>
      </c>
      <c r="ES103" s="1102"/>
      <c r="ET103" s="1101">
        <f>IF(ET101=0,0,ET102/ET101)*100</f>
        <v>0</v>
      </c>
      <c r="EU103" s="1101">
        <f>IF(EU101=0,0,EU102/EU101)*100</f>
        <v>0</v>
      </c>
      <c r="EV103" s="1102"/>
      <c r="EW103" s="1101">
        <f>IF(EW101=0,0,EW102/EW101)*100</f>
        <v>0</v>
      </c>
      <c r="EX103" s="1101">
        <f>IF(EX101=0,0,EX102/EX101)*100</f>
        <v>0</v>
      </c>
      <c r="EY103" s="1102"/>
      <c r="EZ103" s="1101">
        <f>IF(EZ101=0,0,EZ102/EZ101)*100</f>
        <v>0</v>
      </c>
      <c r="FA103" s="1101">
        <f>IF(FA101=0,0,FA102/FA101)*100</f>
        <v>0</v>
      </c>
      <c r="FB103" s="1102"/>
      <c r="FC103" s="1101">
        <f>IF(FC101=0,0,FC102/FC101)*100</f>
        <v>0</v>
      </c>
      <c r="FD103" s="1101">
        <f>IF(FD101=0,0,FD102/FD101)*100</f>
        <v>0</v>
      </c>
      <c r="FE103" s="1102"/>
      <c r="FF103" s="1101">
        <f>IF(FF101=0,0,FF102/FF101)*100</f>
        <v>0</v>
      </c>
      <c r="FG103" s="1101">
        <f>IF(FG101=0,0,FG102/FG101)*100</f>
        <v>0</v>
      </c>
      <c r="FH103" s="1102"/>
      <c r="FI103" s="1101">
        <f>IF(FI101=0,0,FI102/FI101)*100</f>
        <v>0</v>
      </c>
      <c r="FJ103" s="1101">
        <f>IF(FJ101=0,0,FJ102/FJ101)*100</f>
        <v>0</v>
      </c>
      <c r="FK103" s="1102"/>
      <c r="FL103" s="1101">
        <f>IF(FL101=0,0,FL102/FL101)*100</f>
        <v>0</v>
      </c>
      <c r="FM103" s="1101">
        <f>IF(FM101=0,0,FM102/FM101)*100</f>
        <v>0</v>
      </c>
      <c r="FN103" s="1102"/>
      <c r="FO103" s="1101">
        <f>IF(FO101=0,0,FO102/FO101)*100</f>
        <v>0</v>
      </c>
      <c r="FP103" s="1101">
        <f>IF(FP101=0,0,FP102/FP101)*100</f>
        <v>0</v>
      </c>
      <c r="FQ103" s="1102"/>
      <c r="FR103" s="1101">
        <f>IF(FR101=0,0,FR102/FR101)*100</f>
        <v>0</v>
      </c>
      <c r="FS103" s="1101">
        <f>IF(FS101=0,0,FS102/FS101)*100</f>
        <v>0</v>
      </c>
      <c r="FT103" s="1102"/>
      <c r="FU103" s="1101">
        <f>IF(FU101=0,0,FU102/FU101)*100</f>
        <v>0</v>
      </c>
      <c r="FV103" s="1101">
        <f>IF(FV101=0,0,FV102/FV101)*100</f>
        <v>0</v>
      </c>
      <c r="FW103" s="1102"/>
      <c r="FX103" s="288"/>
      <c r="FY103" s="1328"/>
      <c r="FZ103" s="1063" t="s">
        <v>1883</v>
      </c>
      <c r="GA103" s="1330"/>
      <c r="GB103" s="1330"/>
      <c r="GC103" s="1329"/>
      <c r="GD103" s="1329"/>
    </row>
    <row s="1656" customFormat="1" customHeight="1" ht="24.421875">
      <c r="A104" s="496"/>
      <c r="B104" s="932" cm="1" t="str">
        <f t="array" ref="B104:B104">B103</f>
        <v>true</v>
      </c>
      <c r="C104" s="496"/>
      <c r="D104" s="496"/>
      <c r="E104" s="847">
        <v>15</v>
      </c>
      <c r="F104" s="50" cm="1" t="str">
        <f t="array" ref="F104:F104">OFFSET(E104,-1,1)</f>
        <v>1</v>
      </c>
      <c r="G104" s="103" t="s">
        <v>1884</v>
      </c>
      <c r="H104" s="496" t="s">
        <v>573</v>
      </c>
      <c r="I104" s="496" t="s">
        <v>1882</v>
      </c>
      <c r="J104" s="496"/>
      <c r="K104" s="496"/>
      <c r="L104" s="496"/>
      <c r="M104" s="496"/>
      <c r="N104" s="496"/>
      <c r="O104" s="496"/>
      <c r="P104" s="496"/>
      <c r="Q104" s="904"/>
      <c r="R104" s="496"/>
      <c r="S104" s="496"/>
      <c r="T104" s="468" cm="1" t="str">
        <f t="array" ref="T104:T104">T103</f>
        <v>true</v>
      </c>
      <c r="U104" s="496"/>
      <c r="V104" s="496"/>
      <c r="W104" s="496"/>
      <c r="X104" s="1559"/>
      <c r="Y104" s="496"/>
      <c r="Z104" s="1528"/>
      <c r="AA104" s="496"/>
      <c r="AB104" s="907" t="s">
        <v>1885</v>
      </c>
      <c r="AC104" s="871" t="s">
        <v>657</v>
      </c>
      <c r="AD104" s="1103">
        <f>IF(AND(method_reg="Метод индексации",god&lt;&gt;first_year),_xlfn.SUMIFS(INDEX('Калькуляция (МИ корр)'!$AJ$25:$BC$606,,MATCH(AD$8,'Калькуляция (МИ корр)'!$AJ$8:$BC$8,0)),'Калькуляция (МИ корр)'!$F$25:$F$606,$F104,'Калькуляция (МИ корр)'!$G$25:$G$606,$G104),IF(method_reg="Метод экономически обоснованных расходов",_xlfn.SUMIFS('Калькуляция (МЭОР)'!$AJ$25:$AJ$367,'Калькуляция (МЭОР)'!$F$25:$F$367,$F104,'Калькуляция (МЭОР)'!$G$25:$G$367,$G104),IF(method_reg="Метод сравнения аналогов",_xlfn.SUMIFS('Калькуляция (МСА)'!$AE$25:$AE$103,'Калькуляция (МСА)'!$F$25:$F$103,$F104,'Калькуляция (МСА)'!$G$25:$G$103,$G104),_xlfn.SUMIFS(INDEX('Калькуляция (МИ)'!$AJ$25:$BC$603,,MATCH(AD$8,'Калькуляция (МИ)'!$AJ$8:$BC$8,0)),'Калькуляция (МИ)'!$F$25:$F$603,$F104,'Калькуляция (МИ)'!$G$25:$G$603,$G104))))</f>
        <v>3954.38229</v>
      </c>
      <c r="AE104" s="1103">
        <f>IF(AND(method_reg="Метод индексации",god&lt;&gt;first_year),_xlfn.SUMIFS(INDEX('Калькуляция (МИ корр)'!$AJ$25:$BC$606,,MATCH(AE$8,'Калькуляция (МИ корр)'!$AJ$8:$BC$8,0)),'Калькуляция (МИ корр)'!$F$25:$F$606,$F104,'Калькуляция (МИ корр)'!$G$25:$G$606,$G104),IF(method_reg="Метод экономически обоснованных расходов",_xlfn.SUMIFS('Калькуляция (МЭОР)'!$AK$25:$AK$367,'Калькуляция (МЭОР)'!$F$25:$F$367,$F104,'Калькуляция (МЭОР)'!$G$25:$G$367,$G104),IF(method_reg="Метод сравнения аналогов",_xlfn.SUMIFS('Калькуляция (МСА)'!$AF$25:$AF$103,'Калькуляция (МСА)'!$F$25:$F$103,$F104,'Калькуляция (МСА)'!$G$25:$G$103,$G104),_xlfn.SUMIFS(INDEX('Калькуляция (МИ)'!$AJ$25:$BC$603,,MATCH(AE$8,'Калькуляция (МИ)'!$AJ$8:$BC$8,0)),'Калькуляция (МИ)'!$F$25:$F$603,$F104,'Калькуляция (МИ)'!$G$25:$G$603,$G104))))</f>
        <v>4170.27244</v>
      </c>
      <c r="AF104" s="1104">
        <f>IF(AD104=0,0,(AE104-AD104)/AD104*100)</f>
        <v>5.45951640907232</v>
      </c>
      <c r="AG104" s="4585">
        <f>IF(AND(method_reg="Метод индексации",god&lt;&gt;first_year),_xlfn.SUMIFS(INDEX('Калькуляция (МИ корр)'!$AJ$25:$BC$606,,MATCH(AG$8,'Калькуляция (МИ корр)'!$AJ$8:$BC$8,0)),'Калькуляция (МИ корр)'!$F$25:$F$606,$F104,'Калькуляция (МИ корр)'!$G$25:$G$606,$G104),IF(method_reg="Метод экономически обоснованных расходов",_xlfn.SUMIFS('Калькуляция (МЭОР)'!$AJ$25:$AJ$367,'Калькуляция (МЭОР)'!$F$25:$F$367,$F104,'Калькуляция (МЭОР)'!$G$25:$G$367,$G104),IF(method_reg="Метод сравнения аналогов",_xlfn.SUMIFS('Калькуляция (МСА)'!$AE$25:$AE$103,'Калькуляция (МСА)'!$F$25:$F$103,$F104,'Калькуляция (МСА)'!$G$25:$G$103,$G104),_xlfn.SUMIFS(INDEX('Калькуляция (МИ)'!$AJ$25:$BC$603,,MATCH(AG$8,'Калькуляция (МИ)'!$AJ$8:$BC$8,0)),'Калькуляция (МИ)'!$F$25:$F$603,$F104,'Калькуляция (МИ)'!$G$25:$G$603,$G104))))</f>
        <v>0</v>
      </c>
      <c r="AH104" s="4585">
        <f>IF(AND(method_reg="Метод индексации",god&lt;&gt;first_year),_xlfn.SUMIFS(INDEX('Калькуляция (МИ корр)'!$AJ$25:$BC$606,,MATCH(AH$8,'Калькуляция (МИ корр)'!$AJ$8:$BC$8,0)),'Калькуляция (МИ корр)'!$F$25:$F$606,$F104,'Калькуляция (МИ корр)'!$G$25:$G$606,$G104),IF(method_reg="Метод экономически обоснованных расходов",_xlfn.SUMIFS('Калькуляция (МЭОР)'!$AK$25:$AK$367,'Калькуляция (МЭОР)'!$F$25:$F$367,$F104,'Калькуляция (МЭОР)'!$G$25:$G$367,$G104),IF(method_reg="Метод сравнения аналогов",_xlfn.SUMIFS('Калькуляция (МСА)'!$AF$25:$AF$103,'Калькуляция (МСА)'!$F$25:$F$103,$F104,'Калькуляция (МСА)'!$G$25:$G$103,$G104),_xlfn.SUMIFS(INDEX('Калькуляция (МИ)'!$AJ$25:$BC$603,,MATCH(AH$8,'Калькуляция (МИ)'!$AJ$8:$BC$8,0)),'Калькуляция (МИ)'!$F$25:$F$603,$F104,'Калькуляция (МИ)'!$G$25:$G$603,$G104))))</f>
        <v>0</v>
      </c>
      <c r="AI104" s="1104">
        <f>IF(AG104=0,0,(AH104-AG104)/AG104*100)</f>
        <v>0</v>
      </c>
      <c r="AJ104" s="4585">
        <f>IF(AND(method_reg="Метод индексации",god&lt;&gt;first_year),_xlfn.SUMIFS(INDEX('Калькуляция (МИ корр)'!$AJ$25:$BC$606,,MATCH(AJ$8,'Калькуляция (МИ корр)'!$AJ$8:$BC$8,0)),'Калькуляция (МИ корр)'!$F$25:$F$606,$F104,'Калькуляция (МИ корр)'!$G$25:$G$606,$G104),IF(method_reg="Метод экономически обоснованных расходов",_xlfn.SUMIFS('Калькуляция (МЭОР)'!$AJ$25:$AJ$367,'Калькуляция (МЭОР)'!$F$25:$F$367,$F104,'Калькуляция (МЭОР)'!$G$25:$G$367,$G104),IF(method_reg="Метод сравнения аналогов",_xlfn.SUMIFS('Калькуляция (МСА)'!$AE$25:$AE$103,'Калькуляция (МСА)'!$F$25:$F$103,$F104,'Калькуляция (МСА)'!$G$25:$G$103,$G104),_xlfn.SUMIFS(INDEX('Калькуляция (МИ)'!$AJ$25:$BC$603,,MATCH(AJ$8,'Калькуляция (МИ)'!$AJ$8:$BC$8,0)),'Калькуляция (МИ)'!$F$25:$F$603,$F104,'Калькуляция (МИ)'!$G$25:$G$603,$G104))))</f>
        <v>0</v>
      </c>
      <c r="AK104" s="4585">
        <f>IF(AND(method_reg="Метод индексации",god&lt;&gt;first_year),_xlfn.SUMIFS(INDEX('Калькуляция (МИ корр)'!$AJ$25:$BC$606,,MATCH(AK$8,'Калькуляция (МИ корр)'!$AJ$8:$BC$8,0)),'Калькуляция (МИ корр)'!$F$25:$F$606,$F104,'Калькуляция (МИ корр)'!$G$25:$G$606,$G104),IF(method_reg="Метод экономически обоснованных расходов",_xlfn.SUMIFS('Калькуляция (МЭОР)'!$AK$25:$AK$367,'Калькуляция (МЭОР)'!$F$25:$F$367,$F104,'Калькуляция (МЭОР)'!$G$25:$G$367,$G104),IF(method_reg="Метод сравнения аналогов",_xlfn.SUMIFS('Калькуляция (МСА)'!$AF$25:$AF$103,'Калькуляция (МСА)'!$F$25:$F$103,$F104,'Калькуляция (МСА)'!$G$25:$G$103,$G104),_xlfn.SUMIFS(INDEX('Калькуляция (МИ)'!$AJ$25:$BC$603,,MATCH(AK$8,'Калькуляция (МИ)'!$AJ$8:$BC$8,0)),'Калькуляция (МИ)'!$F$25:$F$603,$F104,'Калькуляция (МИ)'!$G$25:$G$603,$G104))))</f>
        <v>0</v>
      </c>
      <c r="AL104" s="1104">
        <f>IF(AJ104=0,0,(AK104-AJ104)/AJ104*100)</f>
        <v>0</v>
      </c>
      <c r="AM104" s="4585">
        <f>IF(AND(method_reg="Метод индексации",god&lt;&gt;first_year),_xlfn.SUMIFS(INDEX('Калькуляция (МИ корр)'!$AJ$25:$BC$606,,MATCH(AM$8,'Калькуляция (МИ корр)'!$AJ$8:$BC$8,0)),'Калькуляция (МИ корр)'!$F$25:$F$606,$F104,'Калькуляция (МИ корр)'!$G$25:$G$606,$G104),IF(method_reg="Метод экономически обоснованных расходов",_xlfn.SUMIFS('Калькуляция (МЭОР)'!$AJ$25:$AJ$367,'Калькуляция (МЭОР)'!$F$25:$F$367,$F104,'Калькуляция (МЭОР)'!$G$25:$G$367,$G104),IF(method_reg="Метод сравнения аналогов",_xlfn.SUMIFS('Калькуляция (МСА)'!$AE$25:$AE$103,'Калькуляция (МСА)'!$F$25:$F$103,$F104,'Калькуляция (МСА)'!$G$25:$G$103,$G104),_xlfn.SUMIFS(INDEX('Калькуляция (МИ)'!$AJ$25:$BC$603,,MATCH(AM$8,'Калькуляция (МИ)'!$AJ$8:$BC$8,0)),'Калькуляция (МИ)'!$F$25:$F$603,$F104,'Калькуляция (МИ)'!$G$25:$G$603,$G104))))</f>
        <v>0</v>
      </c>
      <c r="AN104" s="4585">
        <f>IF(AND(method_reg="Метод индексации",god&lt;&gt;first_year),_xlfn.SUMIFS(INDEX('Калькуляция (МИ корр)'!$AJ$25:$BC$606,,MATCH(AN$8,'Калькуляция (МИ корр)'!$AJ$8:$BC$8,0)),'Калькуляция (МИ корр)'!$F$25:$F$606,$F104,'Калькуляция (МИ корр)'!$G$25:$G$606,$G104),IF(method_reg="Метод экономически обоснованных расходов",_xlfn.SUMIFS('Калькуляция (МЭОР)'!$AK$25:$AK$367,'Калькуляция (МЭОР)'!$F$25:$F$367,$F104,'Калькуляция (МЭОР)'!$G$25:$G$367,$G104),IF(method_reg="Метод сравнения аналогов",_xlfn.SUMIFS('Калькуляция (МСА)'!$AF$25:$AF$103,'Калькуляция (МСА)'!$F$25:$F$103,$F104,'Калькуляция (МСА)'!$G$25:$G$103,$G104),_xlfn.SUMIFS(INDEX('Калькуляция (МИ)'!$AJ$25:$BC$603,,MATCH(AN$8,'Калькуляция (МИ)'!$AJ$8:$BC$8,0)),'Калькуляция (МИ)'!$F$25:$F$603,$F104,'Калькуляция (МИ)'!$G$25:$G$603,$G104))))</f>
        <v>0</v>
      </c>
      <c r="AO104" s="1104">
        <f>IF(AM104=0,0,(AN104-AM104)/AM104*100)</f>
        <v>0</v>
      </c>
      <c r="AP104" s="4585">
        <f>IF(AND(method_reg="Метод индексации",god&lt;&gt;first_year),_xlfn.SUMIFS(INDEX('Калькуляция (МИ корр)'!$AJ$25:$BC$606,,MATCH(AP$8,'Калькуляция (МИ корр)'!$AJ$8:$BC$8,0)),'Калькуляция (МИ корр)'!$F$25:$F$606,$F104,'Калькуляция (МИ корр)'!$G$25:$G$606,$G104),IF(method_reg="Метод экономически обоснованных расходов",_xlfn.SUMIFS('Калькуляция (МЭОР)'!$AJ$25:$AJ$367,'Калькуляция (МЭОР)'!$F$25:$F$367,$F104,'Калькуляция (МЭОР)'!$G$25:$G$367,$G104),IF(method_reg="Метод сравнения аналогов",_xlfn.SUMIFS('Калькуляция (МСА)'!$AE$25:$AE$103,'Калькуляция (МСА)'!$F$25:$F$103,$F104,'Калькуляция (МСА)'!$G$25:$G$103,$G104),_xlfn.SUMIFS(INDEX('Калькуляция (МИ)'!$AJ$25:$BC$603,,MATCH(AP$8,'Калькуляция (МИ)'!$AJ$8:$BC$8,0)),'Калькуляция (МИ)'!$F$25:$F$603,$F104,'Калькуляция (МИ)'!$G$25:$G$603,$G104))))</f>
        <v>0</v>
      </c>
      <c r="AQ104" s="4585">
        <f>IF(AND(method_reg="Метод индексации",god&lt;&gt;first_year),_xlfn.SUMIFS(INDEX('Калькуляция (МИ корр)'!$AJ$25:$BC$606,,MATCH(AQ$8,'Калькуляция (МИ корр)'!$AJ$8:$BC$8,0)),'Калькуляция (МИ корр)'!$F$25:$F$606,$F104,'Калькуляция (МИ корр)'!$G$25:$G$606,$G104),IF(method_reg="Метод экономически обоснованных расходов",_xlfn.SUMIFS('Калькуляция (МЭОР)'!$AK$25:$AK$367,'Калькуляция (МЭОР)'!$F$25:$F$367,$F104,'Калькуляция (МЭОР)'!$G$25:$G$367,$G104),IF(method_reg="Метод сравнения аналогов",_xlfn.SUMIFS('Калькуляция (МСА)'!$AF$25:$AF$103,'Калькуляция (МСА)'!$F$25:$F$103,$F104,'Калькуляция (МСА)'!$G$25:$G$103,$G104),_xlfn.SUMIFS(INDEX('Калькуляция (МИ)'!$AJ$25:$BC$603,,MATCH(AQ$8,'Калькуляция (МИ)'!$AJ$8:$BC$8,0)),'Калькуляция (МИ)'!$F$25:$F$603,$F104,'Калькуляция (МИ)'!$G$25:$G$603,$G104))))</f>
        <v>0</v>
      </c>
      <c r="AR104" s="1104">
        <f>IF(AP104=0,0,(AQ104-AP104)/AP104*100)</f>
        <v>0</v>
      </c>
      <c r="AS104" s="4585">
        <f>IF(AND(method_reg="Метод индексации",god&lt;&gt;first_year),_xlfn.SUMIFS(INDEX('Калькуляция (МИ корр)'!$AJ$25:$BC$606,,MATCH(AS$8,'Калькуляция (МИ корр)'!$AJ$8:$BC$8,0)),'Калькуляция (МИ корр)'!$F$25:$F$606,$F104,'Калькуляция (МИ корр)'!$G$25:$G$606,$G104),IF(method_reg="Метод экономически обоснованных расходов",_xlfn.SUMIFS('Калькуляция (МЭОР)'!$AJ$25:$AJ$367,'Калькуляция (МЭОР)'!$F$25:$F$367,$F104,'Калькуляция (МЭОР)'!$G$25:$G$367,$G104),IF(method_reg="Метод сравнения аналогов",_xlfn.SUMIFS('Калькуляция (МСА)'!$AE$25:$AE$103,'Калькуляция (МСА)'!$F$25:$F$103,$F104,'Калькуляция (МСА)'!$G$25:$G$103,$G104),_xlfn.SUMIFS(INDEX('Калькуляция (МИ)'!$AJ$25:$BC$603,,MATCH(AS$8,'Калькуляция (МИ)'!$AJ$8:$BC$8,0)),'Калькуляция (МИ)'!$F$25:$F$603,$F104,'Калькуляция (МИ)'!$G$25:$G$603,$G104))))</f>
        <v>0</v>
      </c>
      <c r="AT104" s="4585">
        <f>IF(AND(method_reg="Метод индексации",god&lt;&gt;first_year),_xlfn.SUMIFS(INDEX('Калькуляция (МИ корр)'!$AJ$25:$BC$606,,MATCH(AT$8,'Калькуляция (МИ корр)'!$AJ$8:$BC$8,0)),'Калькуляция (МИ корр)'!$F$25:$F$606,$F104,'Калькуляция (МИ корр)'!$G$25:$G$606,$G104),IF(method_reg="Метод экономически обоснованных расходов",_xlfn.SUMIFS('Калькуляция (МЭОР)'!$AK$25:$AK$367,'Калькуляция (МЭОР)'!$F$25:$F$367,$F104,'Калькуляция (МЭОР)'!$G$25:$G$367,$G104),IF(method_reg="Метод сравнения аналогов",_xlfn.SUMIFS('Калькуляция (МСА)'!$AF$25:$AF$103,'Калькуляция (МСА)'!$F$25:$F$103,$F104,'Калькуляция (МСА)'!$G$25:$G$103,$G104),_xlfn.SUMIFS(INDEX('Калькуляция (МИ)'!$AJ$25:$BC$603,,MATCH(AT$8,'Калькуляция (МИ)'!$AJ$8:$BC$8,0)),'Калькуляция (МИ)'!$F$25:$F$603,$F104,'Калькуляция (МИ)'!$G$25:$G$603,$G104))))</f>
        <v>0</v>
      </c>
      <c r="AU104" s="1104">
        <f>IF(AS104=0,0,(AT104-AS104)/AS104*100)</f>
        <v>0</v>
      </c>
      <c r="AV104" s="4585">
        <f>IF(AND(method_reg="Метод индексации",god&lt;&gt;first_year),_xlfn.SUMIFS(INDEX('Калькуляция (МИ корр)'!$AJ$25:$BC$606,,MATCH(AV$8,'Калькуляция (МИ корр)'!$AJ$8:$BC$8,0)),'Калькуляция (МИ корр)'!$F$25:$F$606,$F104,'Калькуляция (МИ корр)'!$G$25:$G$606,$G104),IF(method_reg="Метод экономически обоснованных расходов",_xlfn.SUMIFS('Калькуляция (МЭОР)'!$AJ$25:$AJ$367,'Калькуляция (МЭОР)'!$F$25:$F$367,$F104,'Калькуляция (МЭОР)'!$G$25:$G$367,$G104),IF(method_reg="Метод сравнения аналогов",_xlfn.SUMIFS('Калькуляция (МСА)'!$AE$25:$AE$103,'Калькуляция (МСА)'!$F$25:$F$103,$F104,'Калькуляция (МСА)'!$G$25:$G$103,$G104),_xlfn.SUMIFS(INDEX('Калькуляция (МИ)'!$AJ$25:$BC$603,,MATCH(AV$8,'Калькуляция (МИ)'!$AJ$8:$BC$8,0)),'Калькуляция (МИ)'!$F$25:$F$603,$F104,'Калькуляция (МИ)'!$G$25:$G$603,$G104))))</f>
        <v>0</v>
      </c>
      <c r="AW104" s="4585">
        <f>IF(AND(method_reg="Метод индексации",god&lt;&gt;first_year),_xlfn.SUMIFS(INDEX('Калькуляция (МИ корр)'!$AJ$25:$BC$606,,MATCH(AW$8,'Калькуляция (МИ корр)'!$AJ$8:$BC$8,0)),'Калькуляция (МИ корр)'!$F$25:$F$606,$F104,'Калькуляция (МИ корр)'!$G$25:$G$606,$G104),IF(method_reg="Метод экономически обоснованных расходов",_xlfn.SUMIFS('Калькуляция (МЭОР)'!$AK$25:$AK$367,'Калькуляция (МЭОР)'!$F$25:$F$367,$F104,'Калькуляция (МЭОР)'!$G$25:$G$367,$G104),IF(method_reg="Метод сравнения аналогов",_xlfn.SUMIFS('Калькуляция (МСА)'!$AF$25:$AF$103,'Калькуляция (МСА)'!$F$25:$F$103,$F104,'Калькуляция (МСА)'!$G$25:$G$103,$G104),_xlfn.SUMIFS(INDEX('Калькуляция (МИ)'!$AJ$25:$BC$603,,MATCH(AW$8,'Калькуляция (МИ)'!$AJ$8:$BC$8,0)),'Калькуляция (МИ)'!$F$25:$F$603,$F104,'Калькуляция (МИ)'!$G$25:$G$603,$G104))))</f>
        <v>0</v>
      </c>
      <c r="AX104" s="1104">
        <f>IF(AV104=0,0,(AW104-AV104)/AV104*100)</f>
        <v>0</v>
      </c>
      <c r="AY104" s="4585">
        <f>IF(AND(method_reg="Метод индексации",god&lt;&gt;first_year),_xlfn.SUMIFS(INDEX('Калькуляция (МИ корр)'!$AJ$25:$BC$606,,MATCH(AY$8,'Калькуляция (МИ корр)'!$AJ$8:$BC$8,0)),'Калькуляция (МИ корр)'!$F$25:$F$606,$F104,'Калькуляция (МИ корр)'!$G$25:$G$606,$G104),IF(method_reg="Метод экономически обоснованных расходов",_xlfn.SUMIFS('Калькуляция (МЭОР)'!$AJ$25:$AJ$367,'Калькуляция (МЭОР)'!$F$25:$F$367,$F104,'Калькуляция (МЭОР)'!$G$25:$G$367,$G104),IF(method_reg="Метод сравнения аналогов",_xlfn.SUMIFS('Калькуляция (МСА)'!$AE$25:$AE$103,'Калькуляция (МСА)'!$F$25:$F$103,$F104,'Калькуляция (МСА)'!$G$25:$G$103,$G104),_xlfn.SUMIFS(INDEX('Калькуляция (МИ)'!$AJ$25:$BC$603,,MATCH(AY$8,'Калькуляция (МИ)'!$AJ$8:$BC$8,0)),'Калькуляция (МИ)'!$F$25:$F$603,$F104,'Калькуляция (МИ)'!$G$25:$G$603,$G104))))</f>
        <v>0</v>
      </c>
      <c r="AZ104" s="4585">
        <f>IF(AND(method_reg="Метод индексации",god&lt;&gt;first_year),_xlfn.SUMIFS(INDEX('Калькуляция (МИ корр)'!$AJ$25:$BC$606,,MATCH(AZ$8,'Калькуляция (МИ корр)'!$AJ$8:$BC$8,0)),'Калькуляция (МИ корр)'!$F$25:$F$606,$F104,'Калькуляция (МИ корр)'!$G$25:$G$606,$G104),IF(method_reg="Метод экономически обоснованных расходов",_xlfn.SUMIFS('Калькуляция (МЭОР)'!$AK$25:$AK$367,'Калькуляция (МЭОР)'!$F$25:$F$367,$F104,'Калькуляция (МЭОР)'!$G$25:$G$367,$G104),IF(method_reg="Метод сравнения аналогов",_xlfn.SUMIFS('Калькуляция (МСА)'!$AF$25:$AF$103,'Калькуляция (МСА)'!$F$25:$F$103,$F104,'Калькуляция (МСА)'!$G$25:$G$103,$G104),_xlfn.SUMIFS(INDEX('Калькуляция (МИ)'!$AJ$25:$BC$603,,MATCH(AZ$8,'Калькуляция (МИ)'!$AJ$8:$BC$8,0)),'Калькуляция (МИ)'!$F$25:$F$603,$F104,'Калькуляция (МИ)'!$G$25:$G$603,$G104))))</f>
        <v>0</v>
      </c>
      <c r="BA104" s="1104">
        <f>IF(AY104=0,0,(AZ104-AY104)/AY104*100)</f>
        <v>0</v>
      </c>
      <c r="BB104" s="4585">
        <f>IF(AND(method_reg="Метод индексации",god&lt;&gt;first_year),_xlfn.SUMIFS(INDEX('Калькуляция (МИ корр)'!$AJ$25:$BC$606,,MATCH(BB$8,'Калькуляция (МИ корр)'!$AJ$8:$BC$8,0)),'Калькуляция (МИ корр)'!$F$25:$F$606,$F104,'Калькуляция (МИ корр)'!$G$25:$G$606,$G104),IF(method_reg="Метод экономически обоснованных расходов",_xlfn.SUMIFS('Калькуляция (МЭОР)'!$AJ$25:$AJ$367,'Калькуляция (МЭОР)'!$F$25:$F$367,$F104,'Калькуляция (МЭОР)'!$G$25:$G$367,$G104),IF(method_reg="Метод сравнения аналогов",_xlfn.SUMIFS('Калькуляция (МСА)'!$AE$25:$AE$103,'Калькуляция (МСА)'!$F$25:$F$103,$F104,'Калькуляция (МСА)'!$G$25:$G$103,$G104),_xlfn.SUMIFS(INDEX('Калькуляция (МИ)'!$AJ$25:$BC$603,,MATCH(BB$8,'Калькуляция (МИ)'!$AJ$8:$BC$8,0)),'Калькуляция (МИ)'!$F$25:$F$603,$F104,'Калькуляция (МИ)'!$G$25:$G$603,$G104))))</f>
        <v>0</v>
      </c>
      <c r="BC104" s="4585">
        <f>IF(AND(method_reg="Метод индексации",god&lt;&gt;first_year),_xlfn.SUMIFS(INDEX('Калькуляция (МИ корр)'!$AJ$25:$BC$606,,MATCH(BC$8,'Калькуляция (МИ корр)'!$AJ$8:$BC$8,0)),'Калькуляция (МИ корр)'!$F$25:$F$606,$F104,'Калькуляция (МИ корр)'!$G$25:$G$606,$G104),IF(method_reg="Метод экономически обоснованных расходов",_xlfn.SUMIFS('Калькуляция (МЭОР)'!$AK$25:$AK$367,'Калькуляция (МЭОР)'!$F$25:$F$367,$F104,'Калькуляция (МЭОР)'!$G$25:$G$367,$G104),IF(method_reg="Метод сравнения аналогов",_xlfn.SUMIFS('Калькуляция (МСА)'!$AF$25:$AF$103,'Калькуляция (МСА)'!$F$25:$F$103,$F104,'Калькуляция (МСА)'!$G$25:$G$103,$G104),_xlfn.SUMIFS(INDEX('Калькуляция (МИ)'!$AJ$25:$BC$603,,MATCH(BC$8,'Калькуляция (МИ)'!$AJ$8:$BC$8,0)),'Калькуляция (МИ)'!$F$25:$F$603,$F104,'Калькуляция (МИ)'!$G$25:$G$603,$G104))))</f>
        <v>0</v>
      </c>
      <c r="BD104" s="1104">
        <f>IF(BB104=0,0,(BC104-BB104)/BB104*100)</f>
        <v>0</v>
      </c>
      <c r="BE104" s="4585">
        <f>IF(AND(method_reg="Метод индексации",god&lt;&gt;first_year),_xlfn.SUMIFS(INDEX('Калькуляция (МИ корр)'!$AJ$25:$BC$606,,MATCH(BE$8,'Калькуляция (МИ корр)'!$AJ$8:$BC$8,0)),'Калькуляция (МИ корр)'!$F$25:$F$606,$F104,'Калькуляция (МИ корр)'!$G$25:$G$606,$G104),IF(method_reg="Метод экономически обоснованных расходов",_xlfn.SUMIFS('Калькуляция (МЭОР)'!$AJ$25:$AJ$367,'Калькуляция (МЭОР)'!$F$25:$F$367,$F104,'Калькуляция (МЭОР)'!$G$25:$G$367,$G104),IF(method_reg="Метод сравнения аналогов",_xlfn.SUMIFS('Калькуляция (МСА)'!$AE$25:$AE$103,'Калькуляция (МСА)'!$F$25:$F$103,$F104,'Калькуляция (МСА)'!$G$25:$G$103,$G104),_xlfn.SUMIFS(INDEX('Калькуляция (МИ)'!$AJ$25:$BC$603,,MATCH(BE$8,'Калькуляция (МИ)'!$AJ$8:$BC$8,0)),'Калькуляция (МИ)'!$F$25:$F$603,$F104,'Калькуляция (МИ)'!$G$25:$G$603,$G104))))</f>
        <v>0</v>
      </c>
      <c r="BF104" s="4585">
        <f>IF(AND(method_reg="Метод индексации",god&lt;&gt;first_year),_xlfn.SUMIFS(INDEX('Калькуляция (МИ корр)'!$AJ$25:$BC$606,,MATCH(BF$8,'Калькуляция (МИ корр)'!$AJ$8:$BC$8,0)),'Калькуляция (МИ корр)'!$F$25:$F$606,$F104,'Калькуляция (МИ корр)'!$G$25:$G$606,$G104),IF(method_reg="Метод экономически обоснованных расходов",_xlfn.SUMIFS('Калькуляция (МЭОР)'!$AK$25:$AK$367,'Калькуляция (МЭОР)'!$F$25:$F$367,$F104,'Калькуляция (МЭОР)'!$G$25:$G$367,$G104),IF(method_reg="Метод сравнения аналогов",_xlfn.SUMIFS('Калькуляция (МСА)'!$AF$25:$AF$103,'Калькуляция (МСА)'!$F$25:$F$103,$F104,'Калькуляция (МСА)'!$G$25:$G$103,$G104),_xlfn.SUMIFS(INDEX('Калькуляция (МИ)'!$AJ$25:$BC$603,,MATCH(BF$8,'Калькуляция (МИ)'!$AJ$8:$BC$8,0)),'Калькуляция (МИ)'!$F$25:$F$603,$F104,'Калькуляция (МИ)'!$G$25:$G$603,$G104))))</f>
        <v>0</v>
      </c>
      <c r="BG104" s="1104">
        <f>IF(BE104=0,0,(BF104-BE104)/BE104*100)</f>
        <v>0</v>
      </c>
      <c r="BH104" s="4585"/>
      <c r="BI104" s="4585"/>
      <c r="BJ104" s="1104">
        <f>IF(BH104=0,0,(BI104-BH104)/BH104*100)</f>
        <v>0</v>
      </c>
      <c r="BK104" s="4585"/>
      <c r="BL104" s="4585"/>
      <c r="BM104" s="1104">
        <f>IF(BK104=0,0,(BL104-BK104)/BK104*100)</f>
        <v>0</v>
      </c>
      <c r="BN104" s="4585"/>
      <c r="BO104" s="4585"/>
      <c r="BP104" s="1104">
        <f>IF(BN104=0,0,(BO104-BN104)/BN104*100)</f>
        <v>0</v>
      </c>
      <c r="BQ104" s="4585"/>
      <c r="BR104" s="4585"/>
      <c r="BS104" s="1104">
        <f>IF(BQ104=0,0,(BR104-BQ104)/BQ104*100)</f>
        <v>0</v>
      </c>
      <c r="BT104" s="4585"/>
      <c r="BU104" s="4585"/>
      <c r="BV104" s="1104">
        <f>IF(BT104=0,0,(BU104-BT104)/BT104*100)</f>
        <v>0</v>
      </c>
      <c r="BW104" s="4585"/>
      <c r="BX104" s="4585"/>
      <c r="BY104" s="1104">
        <f>IF(BW104=0,0,(BX104-BW104)/BW104*100)</f>
        <v>0</v>
      </c>
      <c r="BZ104" s="4585"/>
      <c r="CA104" s="4585"/>
      <c r="CB104" s="1104">
        <f>IF(BZ104=0,0,(CA104-BZ104)/BZ104*100)</f>
        <v>0</v>
      </c>
      <c r="CC104" s="4585"/>
      <c r="CD104" s="4585"/>
      <c r="CE104" s="1104">
        <f>IF(CC104=0,0,(CD104-CC104)/CC104*100)</f>
        <v>0</v>
      </c>
      <c r="CF104" s="4585"/>
      <c r="CG104" s="4585"/>
      <c r="CH104" s="1104">
        <f>IF(CF104=0,0,(CG104-CF104)/CF104*100)</f>
        <v>0</v>
      </c>
      <c r="CI104" s="4585"/>
      <c r="CJ104" s="4585"/>
      <c r="CK104" s="1104">
        <f>IF(CI104=0,0,(CJ104-CI104)/CI104*100)</f>
        <v>0</v>
      </c>
      <c r="CL104" s="4585"/>
      <c r="CM104" s="4585"/>
      <c r="CN104" s="1104">
        <f>IF(CL104=0,0,(CM104-CL104)/CL104*100)</f>
        <v>0</v>
      </c>
      <c r="CO104" s="4585"/>
      <c r="CP104" s="4585"/>
      <c r="CQ104" s="1104">
        <f>IF(CO104=0,0,(CP104-CO104)/CO104*100)</f>
        <v>0</v>
      </c>
      <c r="CR104" s="4585"/>
      <c r="CS104" s="4585"/>
      <c r="CT104" s="1104">
        <f>IF(CR104=0,0,(CS104-CR104)/CR104*100)</f>
        <v>0</v>
      </c>
      <c r="CU104" s="4585"/>
      <c r="CV104" s="4585"/>
      <c r="CW104" s="1104">
        <f>IF(CU104=0,0,(CV104-CU104)/CU104*100)</f>
        <v>0</v>
      </c>
      <c r="CX104" s="4585"/>
      <c r="CY104" s="4585"/>
      <c r="CZ104" s="1104">
        <f>IF(CX104=0,0,(CY104-CX104)/CX104*100)</f>
        <v>0</v>
      </c>
      <c r="DA104" s="4585"/>
      <c r="DB104" s="4585"/>
      <c r="DC104" s="1104">
        <f>IF(DA104=0,0,(DB104-DA104)/DA104*100)</f>
        <v>0</v>
      </c>
      <c r="DD104" s="4585"/>
      <c r="DE104" s="4585"/>
      <c r="DF104" s="1104">
        <f>IF(DD104=0,0,(DE104-DD104)/DD104*100)</f>
        <v>0</v>
      </c>
      <c r="DG104" s="4585"/>
      <c r="DH104" s="4585"/>
      <c r="DI104" s="1104">
        <f>IF(DG104=0,0,(DH104-DG104)/DG104*100)</f>
        <v>0</v>
      </c>
      <c r="DJ104" s="4585"/>
      <c r="DK104" s="4585"/>
      <c r="DL104" s="1104">
        <f>IF(DJ104=0,0,(DK104-DJ104)/DJ104*100)</f>
        <v>0</v>
      </c>
      <c r="DM104" s="4585"/>
      <c r="DN104" s="4585"/>
      <c r="DO104" s="1104">
        <f>IF(DM104=0,0,(DN104-DM104)/DM104*100)</f>
        <v>0</v>
      </c>
      <c r="DP104" s="4585"/>
      <c r="DQ104" s="4585"/>
      <c r="DR104" s="1104">
        <f>IF(DP104=0,0,(DQ104-DP104)/DP104*100)</f>
        <v>0</v>
      </c>
      <c r="DS104" s="4585"/>
      <c r="DT104" s="4585"/>
      <c r="DU104" s="1104">
        <f>IF(DS104=0,0,(DT104-DS104)/DS104*100)</f>
        <v>0</v>
      </c>
      <c r="DV104" s="4585"/>
      <c r="DW104" s="4585"/>
      <c r="DX104" s="1104">
        <f>IF(DV104=0,0,(DW104-DV104)/DV104*100)</f>
        <v>0</v>
      </c>
      <c r="DY104" s="4585"/>
      <c r="DZ104" s="4585"/>
      <c r="EA104" s="1104">
        <f>IF(DY104=0,0,(DZ104-DY104)/DY104*100)</f>
        <v>0</v>
      </c>
      <c r="EB104" s="4585"/>
      <c r="EC104" s="4585"/>
      <c r="ED104" s="1104">
        <f>IF(EB104=0,0,(EC104-EB104)/EB104*100)</f>
        <v>0</v>
      </c>
      <c r="EE104" s="4585"/>
      <c r="EF104" s="4585"/>
      <c r="EG104" s="1104">
        <f>IF(EE104=0,0,(EF104-EE104)/EE104*100)</f>
        <v>0</v>
      </c>
      <c r="EH104" s="4585"/>
      <c r="EI104" s="4585"/>
      <c r="EJ104" s="1104">
        <f>IF(EH104=0,0,(EI104-EH104)/EH104*100)</f>
        <v>0</v>
      </c>
      <c r="EK104" s="4585"/>
      <c r="EL104" s="4585"/>
      <c r="EM104" s="1104">
        <f>IF(EK104=0,0,(EL104-EK104)/EK104*100)</f>
        <v>0</v>
      </c>
      <c r="EN104" s="4585"/>
      <c r="EO104" s="4585"/>
      <c r="EP104" s="1104">
        <f>IF(EN104=0,0,(EO104-EN104)/EN104*100)</f>
        <v>0</v>
      </c>
      <c r="EQ104" s="4585"/>
      <c r="ER104" s="4585"/>
      <c r="ES104" s="1104">
        <f>IF(EQ104=0,0,(ER104-EQ104)/EQ104*100)</f>
        <v>0</v>
      </c>
      <c r="ET104" s="4585"/>
      <c r="EU104" s="4585"/>
      <c r="EV104" s="1104">
        <f>IF(ET104=0,0,(EU104-ET104)/ET104*100)</f>
        <v>0</v>
      </c>
      <c r="EW104" s="4585"/>
      <c r="EX104" s="4585"/>
      <c r="EY104" s="1104">
        <f>IF(EW104=0,0,(EX104-EW104)/EW104*100)</f>
        <v>0</v>
      </c>
      <c r="EZ104" s="4585"/>
      <c r="FA104" s="4585"/>
      <c r="FB104" s="1104">
        <f>IF(EZ104=0,0,(FA104-EZ104)/EZ104*100)</f>
        <v>0</v>
      </c>
      <c r="FC104" s="4585"/>
      <c r="FD104" s="4585"/>
      <c r="FE104" s="1104">
        <f>IF(FC104=0,0,(FD104-FC104)/FC104*100)</f>
        <v>0</v>
      </c>
      <c r="FF104" s="4585"/>
      <c r="FG104" s="4585"/>
      <c r="FH104" s="1104">
        <f>IF(FF104=0,0,(FG104-FF104)/FF104*100)</f>
        <v>0</v>
      </c>
      <c r="FI104" s="4585"/>
      <c r="FJ104" s="4585"/>
      <c r="FK104" s="1104">
        <f>IF(FI104=0,0,(FJ104-FI104)/FI104*100)</f>
        <v>0</v>
      </c>
      <c r="FL104" s="4585"/>
      <c r="FM104" s="4585"/>
      <c r="FN104" s="1104">
        <f>IF(FL104=0,0,(FM104-FL104)/FL104*100)</f>
        <v>0</v>
      </c>
      <c r="FO104" s="4585"/>
      <c r="FP104" s="4585"/>
      <c r="FQ104" s="1104">
        <f>IF(FO104=0,0,(FP104-FO104)/FO104*100)</f>
        <v>0</v>
      </c>
      <c r="FR104" s="4585"/>
      <c r="FS104" s="4585"/>
      <c r="FT104" s="1104">
        <f>IF(FR104=0,0,(FS104-FR104)/FR104*100)</f>
        <v>0</v>
      </c>
      <c r="FU104" s="4585"/>
      <c r="FV104" s="4585"/>
      <c r="FW104" s="1104">
        <f>IF(FU104=0,0,(FV104-FU104)/FU104*100)</f>
        <v>0</v>
      </c>
      <c r="FX104" s="288"/>
      <c r="FY104" s="1328"/>
      <c r="FZ104" s="1063" t="s">
        <v>1886</v>
      </c>
      <c r="GA104" s="1330"/>
      <c r="GB104" s="1330"/>
      <c r="GC104" s="1329"/>
      <c r="GD104" s="1329"/>
    </row>
    <row s="1656" customFormat="1" customHeight="1" ht="18" hidden="1">
      <c r="A105" s="496"/>
      <c r="B105" s="932" cm="1" t="str">
        <f t="array" ref="B105:B105">B104</f>
        <v>true</v>
      </c>
      <c r="C105" s="496"/>
      <c r="D105" s="496"/>
      <c r="E105" s="847">
        <v>18.75</v>
      </c>
      <c r="F105" s="50" cm="1" t="str">
        <f t="array" ref="F105:F105">OFFSET(E105,-1,1)</f>
        <v>1</v>
      </c>
      <c r="G105" s="496"/>
      <c r="H105" s="496" t="s">
        <v>566</v>
      </c>
      <c r="I105" s="496" cm="1" t="str">
        <f t="array" ref="I105:I105">AB105</f>
        <v>0</v>
      </c>
      <c r="J105" s="496"/>
      <c r="K105" s="496"/>
      <c r="L105" s="496"/>
      <c r="M105" s="496"/>
      <c r="N105" s="496"/>
      <c r="O105" s="496"/>
      <c r="P105" s="496"/>
      <c r="Q105" s="904"/>
      <c r="R105" s="496"/>
      <c r="S105" s="496"/>
      <c r="T105" s="468">
        <f>AND(F105&gt;0,Y105&gt;0)</f>
        <v>0</v>
      </c>
      <c r="U105" s="496"/>
      <c r="V105" s="496"/>
      <c r="W105" s="496" t="s">
        <v>173</v>
      </c>
      <c r="X105" s="1559"/>
      <c r="Y105" s="1559">
        <v>0</v>
      </c>
      <c r="Z105" s="1528"/>
      <c r="AA105" s="1516" t="s">
        <v>174</v>
      </c>
      <c r="AB105" s="4590"/>
      <c r="AC105" s="871" t="s">
        <v>1862</v>
      </c>
      <c r="AD105" s="4591"/>
      <c r="AE105" s="4592"/>
      <c r="AF105" s="1102">
        <f>IF(AD105=0,0,(AE105-AD105)/AD105*100)</f>
        <v>0</v>
      </c>
      <c r="AG105" s="4591"/>
      <c r="AH105" s="4592"/>
      <c r="AI105" s="1102">
        <f>IF(AG105=0,0,(AH105-AG105)/AG105*100)</f>
        <v>0</v>
      </c>
      <c r="AJ105" s="4591"/>
      <c r="AK105" s="4592"/>
      <c r="AL105" s="1102">
        <f>IF(AJ105=0,0,(AK105-AJ105)/AJ105*100)</f>
        <v>0</v>
      </c>
      <c r="AM105" s="4591"/>
      <c r="AN105" s="4592"/>
      <c r="AO105" s="1102">
        <f>IF(AM105=0,0,(AN105-AM105)/AM105*100)</f>
        <v>0</v>
      </c>
      <c r="AP105" s="4591"/>
      <c r="AQ105" s="4592"/>
      <c r="AR105" s="1102">
        <f>IF(AP105=0,0,(AQ105-AP105)/AP105*100)</f>
        <v>0</v>
      </c>
      <c r="AS105" s="4591"/>
      <c r="AT105" s="4592"/>
      <c r="AU105" s="1102">
        <f>IF(AS105=0,0,(AT105-AS105)/AS105*100)</f>
        <v>0</v>
      </c>
      <c r="AV105" s="4591"/>
      <c r="AW105" s="4592"/>
      <c r="AX105" s="1102">
        <f>IF(AV105=0,0,(AW105-AV105)/AV105*100)</f>
        <v>0</v>
      </c>
      <c r="AY105" s="4591"/>
      <c r="AZ105" s="4592"/>
      <c r="BA105" s="1102">
        <f>IF(AY105=0,0,(AZ105-AY105)/AY105*100)</f>
        <v>0</v>
      </c>
      <c r="BB105" s="4591"/>
      <c r="BC105" s="4592"/>
      <c r="BD105" s="1102">
        <f>IF(BB105=0,0,(BC105-BB105)/BB105*100)</f>
        <v>0</v>
      </c>
      <c r="BE105" s="4591"/>
      <c r="BF105" s="4592"/>
      <c r="BG105" s="1102">
        <f>IF(BE105=0,0,(BF105-BE105)/BE105*100)</f>
        <v>0</v>
      </c>
      <c r="BH105" s="4591"/>
      <c r="BI105" s="4592"/>
      <c r="BJ105" s="1102">
        <f>IF(BH105=0,0,(BI105-BH105)/BH105*100)</f>
        <v>0</v>
      </c>
      <c r="BK105" s="4591"/>
      <c r="BL105" s="4592"/>
      <c r="BM105" s="1102">
        <f>IF(BK105=0,0,(BL105-BK105)/BK105*100)</f>
        <v>0</v>
      </c>
      <c r="BN105" s="4591"/>
      <c r="BO105" s="4592"/>
      <c r="BP105" s="1102">
        <f>IF(BN105=0,0,(BO105-BN105)/BN105*100)</f>
        <v>0</v>
      </c>
      <c r="BQ105" s="4591"/>
      <c r="BR105" s="4592"/>
      <c r="BS105" s="1102">
        <f>IF(BQ105=0,0,(BR105-BQ105)/BQ105*100)</f>
        <v>0</v>
      </c>
      <c r="BT105" s="4591"/>
      <c r="BU105" s="4592"/>
      <c r="BV105" s="1102">
        <f>IF(BT105=0,0,(BU105-BT105)/BT105*100)</f>
        <v>0</v>
      </c>
      <c r="BW105" s="4591"/>
      <c r="BX105" s="4592"/>
      <c r="BY105" s="1102">
        <f>IF(BW105=0,0,(BX105-BW105)/BW105*100)</f>
        <v>0</v>
      </c>
      <c r="BZ105" s="4591"/>
      <c r="CA105" s="4592"/>
      <c r="CB105" s="1102">
        <f>IF(BZ105=0,0,(CA105-BZ105)/BZ105*100)</f>
        <v>0</v>
      </c>
      <c r="CC105" s="4591"/>
      <c r="CD105" s="4592"/>
      <c r="CE105" s="1102">
        <f>IF(CC105=0,0,(CD105-CC105)/CC105*100)</f>
        <v>0</v>
      </c>
      <c r="CF105" s="4591"/>
      <c r="CG105" s="4592"/>
      <c r="CH105" s="1102">
        <f>IF(CF105=0,0,(CG105-CF105)/CF105*100)</f>
        <v>0</v>
      </c>
      <c r="CI105" s="4591"/>
      <c r="CJ105" s="4592"/>
      <c r="CK105" s="1102">
        <f>IF(CI105=0,0,(CJ105-CI105)/CI105*100)</f>
        <v>0</v>
      </c>
      <c r="CL105" s="4591"/>
      <c r="CM105" s="4592"/>
      <c r="CN105" s="1102">
        <f>IF(CL105=0,0,(CM105-CL105)/CL105*100)</f>
        <v>0</v>
      </c>
      <c r="CO105" s="4591"/>
      <c r="CP105" s="4592"/>
      <c r="CQ105" s="1102">
        <f>IF(CO105=0,0,(CP105-CO105)/CO105*100)</f>
        <v>0</v>
      </c>
      <c r="CR105" s="4591"/>
      <c r="CS105" s="4592"/>
      <c r="CT105" s="1102">
        <f>IF(CR105=0,0,(CS105-CR105)/CR105*100)</f>
        <v>0</v>
      </c>
      <c r="CU105" s="4591"/>
      <c r="CV105" s="4592"/>
      <c r="CW105" s="1102">
        <f>IF(CU105=0,0,(CV105-CU105)/CU105*100)</f>
        <v>0</v>
      </c>
      <c r="CX105" s="4591"/>
      <c r="CY105" s="4592"/>
      <c r="CZ105" s="1102">
        <f>IF(CX105=0,0,(CY105-CX105)/CX105*100)</f>
        <v>0</v>
      </c>
      <c r="DA105" s="4591"/>
      <c r="DB105" s="4592"/>
      <c r="DC105" s="1102">
        <f>IF(DA105=0,0,(DB105-DA105)/DA105*100)</f>
        <v>0</v>
      </c>
      <c r="DD105" s="4591"/>
      <c r="DE105" s="4592"/>
      <c r="DF105" s="1102">
        <f>IF(DD105=0,0,(DE105-DD105)/DD105*100)</f>
        <v>0</v>
      </c>
      <c r="DG105" s="4591"/>
      <c r="DH105" s="4592"/>
      <c r="DI105" s="1102">
        <f>IF(DG105=0,0,(DH105-DG105)/DG105*100)</f>
        <v>0</v>
      </c>
      <c r="DJ105" s="4591"/>
      <c r="DK105" s="4592"/>
      <c r="DL105" s="1102">
        <f>IF(DJ105=0,0,(DK105-DJ105)/DJ105*100)</f>
        <v>0</v>
      </c>
      <c r="DM105" s="4591"/>
      <c r="DN105" s="4592"/>
      <c r="DO105" s="1102">
        <f>IF(DM105=0,0,(DN105-DM105)/DM105*100)</f>
        <v>0</v>
      </c>
      <c r="DP105" s="4591"/>
      <c r="DQ105" s="4592"/>
      <c r="DR105" s="1102">
        <f>IF(DP105=0,0,(DQ105-DP105)/DP105*100)</f>
        <v>0</v>
      </c>
      <c r="DS105" s="4591"/>
      <c r="DT105" s="4592"/>
      <c r="DU105" s="1102">
        <f>IF(DS105=0,0,(DT105-DS105)/DS105*100)</f>
        <v>0</v>
      </c>
      <c r="DV105" s="4591"/>
      <c r="DW105" s="4592"/>
      <c r="DX105" s="1102">
        <f>IF(DV105=0,0,(DW105-DV105)/DV105*100)</f>
        <v>0</v>
      </c>
      <c r="DY105" s="4591"/>
      <c r="DZ105" s="4592"/>
      <c r="EA105" s="1102">
        <f>IF(DY105=0,0,(DZ105-DY105)/DY105*100)</f>
        <v>0</v>
      </c>
      <c r="EB105" s="4591"/>
      <c r="EC105" s="4592"/>
      <c r="ED105" s="1102">
        <f>IF(EB105=0,0,(EC105-EB105)/EB105*100)</f>
        <v>0</v>
      </c>
      <c r="EE105" s="4591"/>
      <c r="EF105" s="4592"/>
      <c r="EG105" s="1102">
        <f>IF(EE105=0,0,(EF105-EE105)/EE105*100)</f>
        <v>0</v>
      </c>
      <c r="EH105" s="4591"/>
      <c r="EI105" s="4592"/>
      <c r="EJ105" s="1102">
        <f>IF(EH105=0,0,(EI105-EH105)/EH105*100)</f>
        <v>0</v>
      </c>
      <c r="EK105" s="4591"/>
      <c r="EL105" s="4592"/>
      <c r="EM105" s="1102">
        <f>IF(EK105=0,0,(EL105-EK105)/EK105*100)</f>
        <v>0</v>
      </c>
      <c r="EN105" s="4591"/>
      <c r="EO105" s="4592"/>
      <c r="EP105" s="1102">
        <f>IF(EN105=0,0,(EO105-EN105)/EN105*100)</f>
        <v>0</v>
      </c>
      <c r="EQ105" s="4591"/>
      <c r="ER105" s="4592"/>
      <c r="ES105" s="1102">
        <f>IF(EQ105=0,0,(ER105-EQ105)/EQ105*100)</f>
        <v>0</v>
      </c>
      <c r="ET105" s="4591"/>
      <c r="EU105" s="4592"/>
      <c r="EV105" s="1102">
        <f>IF(ET105=0,0,(EU105-ET105)/ET105*100)</f>
        <v>0</v>
      </c>
      <c r="EW105" s="4591"/>
      <c r="EX105" s="4592"/>
      <c r="EY105" s="1102">
        <f>IF(EW105=0,0,(EX105-EW105)/EW105*100)</f>
        <v>0</v>
      </c>
      <c r="EZ105" s="4591"/>
      <c r="FA105" s="4592"/>
      <c r="FB105" s="1102">
        <f>IF(EZ105=0,0,(FA105-EZ105)/EZ105*100)</f>
        <v>0</v>
      </c>
      <c r="FC105" s="4591"/>
      <c r="FD105" s="4592"/>
      <c r="FE105" s="1102">
        <f>IF(FC105=0,0,(FD105-FC105)/FC105*100)</f>
        <v>0</v>
      </c>
      <c r="FF105" s="4591"/>
      <c r="FG105" s="4592"/>
      <c r="FH105" s="1102">
        <f>IF(FF105=0,0,(FG105-FF105)/FF105*100)</f>
        <v>0</v>
      </c>
      <c r="FI105" s="4591"/>
      <c r="FJ105" s="4592"/>
      <c r="FK105" s="1102">
        <f>IF(FI105=0,0,(FJ105-FI105)/FI105*100)</f>
        <v>0</v>
      </c>
      <c r="FL105" s="4591"/>
      <c r="FM105" s="4592"/>
      <c r="FN105" s="1102">
        <f>IF(FL105=0,0,(FM105-FL105)/FL105*100)</f>
        <v>0</v>
      </c>
      <c r="FO105" s="4591"/>
      <c r="FP105" s="4592"/>
      <c r="FQ105" s="1102">
        <f>IF(FO105=0,0,(FP105-FO105)/FO105*100)</f>
        <v>0</v>
      </c>
      <c r="FR105" s="4591"/>
      <c r="FS105" s="4592"/>
      <c r="FT105" s="1102">
        <f>IF(FR105=0,0,(FS105-FR105)/FR105*100)</f>
        <v>0</v>
      </c>
      <c r="FU105" s="4591"/>
      <c r="FV105" s="4592"/>
      <c r="FW105" s="1102">
        <f>IF(FU105=0,0,(FV105-FU105)/FU105*100)</f>
        <v>0</v>
      </c>
      <c r="FX105" s="288"/>
      <c r="FY105" s="1328"/>
      <c r="FZ105" s="1063" t="s">
        <v>1887</v>
      </c>
      <c r="GA105" s="1023" t="s">
        <v>1888</v>
      </c>
      <c r="GB105" s="1023" cm="1" t="str">
        <f t="array" ref="GB105:GB105">AB105</f>
        <v>0</v>
      </c>
      <c r="GC105" s="1329"/>
      <c r="GD105" s="637" t="b">
        <v>1</v>
      </c>
    </row>
    <row customHeight="1" ht="18.525" hidden="1">
      <c r="A106" s="496"/>
      <c r="B106" s="932" cm="1" t="str">
        <f t="array" ref="B106:B106">B105</f>
        <v>true</v>
      </c>
      <c r="C106" s="496"/>
      <c r="D106" s="496"/>
      <c r="E106" s="847">
        <v>19</v>
      </c>
      <c r="F106" s="50" cm="1" t="str">
        <f t="array" ref="F106:F106">OFFSET(E106,-1,1)</f>
        <v>1</v>
      </c>
      <c r="G106" s="496"/>
      <c r="H106" s="496"/>
      <c r="I106" s="496"/>
      <c r="J106" s="496"/>
      <c r="K106" s="496"/>
      <c r="L106" s="496"/>
      <c r="M106" s="496"/>
      <c r="N106" s="496"/>
      <c r="O106" s="496"/>
      <c r="P106" s="496"/>
      <c r="Q106" s="904"/>
      <c r="R106" s="496"/>
      <c r="S106" s="496"/>
      <c r="T106" s="468" cm="1" t="str">
        <f t="array" ref="T106:T106">T105</f>
        <v>false</v>
      </c>
      <c r="U106" s="496"/>
      <c r="V106" s="496"/>
      <c r="W106" s="496"/>
      <c r="X106" s="1559"/>
      <c r="Y106" s="1559"/>
      <c r="Z106" s="1528"/>
      <c r="AA106" s="1516"/>
      <c r="AB106" s="4590"/>
      <c r="AC106" s="871" t="s">
        <v>1862</v>
      </c>
      <c r="AD106" s="4591"/>
      <c r="AE106" s="4592"/>
      <c r="AF106" s="1102">
        <f>IF(AD106=0,0,(AE106-AD106)/AD106*100)</f>
        <v>0</v>
      </c>
      <c r="AG106" s="4591"/>
      <c r="AH106" s="4592"/>
      <c r="AI106" s="1102">
        <f>IF(AG106=0,0,(AH106-AG106)/AG106*100)</f>
        <v>0</v>
      </c>
      <c r="AJ106" s="4591"/>
      <c r="AK106" s="4592"/>
      <c r="AL106" s="1102">
        <f>IF(AJ106=0,0,(AK106-AJ106)/AJ106*100)</f>
        <v>0</v>
      </c>
      <c r="AM106" s="4591"/>
      <c r="AN106" s="4592"/>
      <c r="AO106" s="1102">
        <f>IF(AM106=0,0,(AN106-AM106)/AM106*100)</f>
        <v>0</v>
      </c>
      <c r="AP106" s="4591"/>
      <c r="AQ106" s="4592"/>
      <c r="AR106" s="1102">
        <f>IF(AP106=0,0,(AQ106-AP106)/AP106*100)</f>
        <v>0</v>
      </c>
      <c r="AS106" s="4591"/>
      <c r="AT106" s="4592"/>
      <c r="AU106" s="1102">
        <f>IF(AS106=0,0,(AT106-AS106)/AS106*100)</f>
        <v>0</v>
      </c>
      <c r="AV106" s="4591"/>
      <c r="AW106" s="4592"/>
      <c r="AX106" s="1102">
        <f>IF(AV106=0,0,(AW106-AV106)/AV106*100)</f>
        <v>0</v>
      </c>
      <c r="AY106" s="4591"/>
      <c r="AZ106" s="4592"/>
      <c r="BA106" s="1102">
        <f>IF(AY106=0,0,(AZ106-AY106)/AY106*100)</f>
        <v>0</v>
      </c>
      <c r="BB106" s="4591"/>
      <c r="BC106" s="4592"/>
      <c r="BD106" s="1102">
        <f>IF(BB106=0,0,(BC106-BB106)/BB106*100)</f>
        <v>0</v>
      </c>
      <c r="BE106" s="4591"/>
      <c r="BF106" s="4592"/>
      <c r="BG106" s="1102">
        <f>IF(BE106=0,0,(BF106-BE106)/BE106*100)</f>
        <v>0</v>
      </c>
      <c r="BH106" s="4591"/>
      <c r="BI106" s="4592"/>
      <c r="BJ106" s="1102">
        <f>IF(BH106=0,0,(BI106-BH106)/BH106*100)</f>
        <v>0</v>
      </c>
      <c r="BK106" s="4591"/>
      <c r="BL106" s="4592"/>
      <c r="BM106" s="1102">
        <f>IF(BK106=0,0,(BL106-BK106)/BK106*100)</f>
        <v>0</v>
      </c>
      <c r="BN106" s="4591"/>
      <c r="BO106" s="4592"/>
      <c r="BP106" s="1102">
        <f>IF(BN106=0,0,(BO106-BN106)/BN106*100)</f>
        <v>0</v>
      </c>
      <c r="BQ106" s="4591"/>
      <c r="BR106" s="4592"/>
      <c r="BS106" s="1102">
        <f>IF(BQ106=0,0,(BR106-BQ106)/BQ106*100)</f>
        <v>0</v>
      </c>
      <c r="BT106" s="4591"/>
      <c r="BU106" s="4592"/>
      <c r="BV106" s="1102">
        <f>IF(BT106=0,0,(BU106-BT106)/BT106*100)</f>
        <v>0</v>
      </c>
      <c r="BW106" s="4591"/>
      <c r="BX106" s="4592"/>
      <c r="BY106" s="1102">
        <f>IF(BW106=0,0,(BX106-BW106)/BW106*100)</f>
        <v>0</v>
      </c>
      <c r="BZ106" s="4591"/>
      <c r="CA106" s="4592"/>
      <c r="CB106" s="1102">
        <f>IF(BZ106=0,0,(CA106-BZ106)/BZ106*100)</f>
        <v>0</v>
      </c>
      <c r="CC106" s="4591"/>
      <c r="CD106" s="4592"/>
      <c r="CE106" s="1102">
        <f>IF(CC106=0,0,(CD106-CC106)/CC106*100)</f>
        <v>0</v>
      </c>
      <c r="CF106" s="4591"/>
      <c r="CG106" s="4592"/>
      <c r="CH106" s="1102">
        <f>IF(CF106=0,0,(CG106-CF106)/CF106*100)</f>
        <v>0</v>
      </c>
      <c r="CI106" s="4591"/>
      <c r="CJ106" s="4592"/>
      <c r="CK106" s="1102">
        <f>IF(CI106=0,0,(CJ106-CI106)/CI106*100)</f>
        <v>0</v>
      </c>
      <c r="CL106" s="4591"/>
      <c r="CM106" s="4592"/>
      <c r="CN106" s="1102">
        <f>IF(CL106=0,0,(CM106-CL106)/CL106*100)</f>
        <v>0</v>
      </c>
      <c r="CO106" s="4591"/>
      <c r="CP106" s="4592"/>
      <c r="CQ106" s="1102">
        <f>IF(CO106=0,0,(CP106-CO106)/CO106*100)</f>
        <v>0</v>
      </c>
      <c r="CR106" s="4591"/>
      <c r="CS106" s="4592"/>
      <c r="CT106" s="1102">
        <f>IF(CR106=0,0,(CS106-CR106)/CR106*100)</f>
        <v>0</v>
      </c>
      <c r="CU106" s="4591"/>
      <c r="CV106" s="4592"/>
      <c r="CW106" s="1102">
        <f>IF(CU106=0,0,(CV106-CU106)/CU106*100)</f>
        <v>0</v>
      </c>
      <c r="CX106" s="4591"/>
      <c r="CY106" s="4592"/>
      <c r="CZ106" s="1102">
        <f>IF(CX106=0,0,(CY106-CX106)/CX106*100)</f>
        <v>0</v>
      </c>
      <c r="DA106" s="4591"/>
      <c r="DB106" s="4592"/>
      <c r="DC106" s="1102">
        <f>IF(DA106=0,0,(DB106-DA106)/DA106*100)</f>
        <v>0</v>
      </c>
      <c r="DD106" s="4591"/>
      <c r="DE106" s="4592"/>
      <c r="DF106" s="1102">
        <f>IF(DD106=0,0,(DE106-DD106)/DD106*100)</f>
        <v>0</v>
      </c>
      <c r="DG106" s="4591"/>
      <c r="DH106" s="4592"/>
      <c r="DI106" s="1102">
        <f>IF(DG106=0,0,(DH106-DG106)/DG106*100)</f>
        <v>0</v>
      </c>
      <c r="DJ106" s="4591"/>
      <c r="DK106" s="4592"/>
      <c r="DL106" s="1102">
        <f>IF(DJ106=0,0,(DK106-DJ106)/DJ106*100)</f>
        <v>0</v>
      </c>
      <c r="DM106" s="4591"/>
      <c r="DN106" s="4592"/>
      <c r="DO106" s="1102">
        <f>IF(DM106=0,0,(DN106-DM106)/DM106*100)</f>
        <v>0</v>
      </c>
      <c r="DP106" s="4591"/>
      <c r="DQ106" s="4592"/>
      <c r="DR106" s="1102">
        <f>IF(DP106=0,0,(DQ106-DP106)/DP106*100)</f>
        <v>0</v>
      </c>
      <c r="DS106" s="4591"/>
      <c r="DT106" s="4592"/>
      <c r="DU106" s="1102">
        <f>IF(DS106=0,0,(DT106-DS106)/DS106*100)</f>
        <v>0</v>
      </c>
      <c r="DV106" s="4591"/>
      <c r="DW106" s="4592"/>
      <c r="DX106" s="1102">
        <f>IF(DV106=0,0,(DW106-DV106)/DV106*100)</f>
        <v>0</v>
      </c>
      <c r="DY106" s="4591"/>
      <c r="DZ106" s="4592"/>
      <c r="EA106" s="1102">
        <f>IF(DY106=0,0,(DZ106-DY106)/DY106*100)</f>
        <v>0</v>
      </c>
      <c r="EB106" s="4591"/>
      <c r="EC106" s="4592"/>
      <c r="ED106" s="1102">
        <f>IF(EB106=0,0,(EC106-EB106)/EB106*100)</f>
        <v>0</v>
      </c>
      <c r="EE106" s="4591"/>
      <c r="EF106" s="4592"/>
      <c r="EG106" s="1102">
        <f>IF(EE106=0,0,(EF106-EE106)/EE106*100)</f>
        <v>0</v>
      </c>
      <c r="EH106" s="4591"/>
      <c r="EI106" s="4592"/>
      <c r="EJ106" s="1102">
        <f>IF(EH106=0,0,(EI106-EH106)/EH106*100)</f>
        <v>0</v>
      </c>
      <c r="EK106" s="4591"/>
      <c r="EL106" s="4592"/>
      <c r="EM106" s="1102">
        <f>IF(EK106=0,0,(EL106-EK106)/EK106*100)</f>
        <v>0</v>
      </c>
      <c r="EN106" s="4591"/>
      <c r="EO106" s="4592"/>
      <c r="EP106" s="1102">
        <f>IF(EN106=0,0,(EO106-EN106)/EN106*100)</f>
        <v>0</v>
      </c>
      <c r="EQ106" s="4591"/>
      <c r="ER106" s="4592"/>
      <c r="ES106" s="1102">
        <f>IF(EQ106=0,0,(ER106-EQ106)/EQ106*100)</f>
        <v>0</v>
      </c>
      <c r="ET106" s="4591"/>
      <c r="EU106" s="4592"/>
      <c r="EV106" s="1102">
        <f>IF(ET106=0,0,(EU106-ET106)/ET106*100)</f>
        <v>0</v>
      </c>
      <c r="EW106" s="4591"/>
      <c r="EX106" s="4592"/>
      <c r="EY106" s="1102">
        <f>IF(EW106=0,0,(EX106-EW106)/EW106*100)</f>
        <v>0</v>
      </c>
      <c r="EZ106" s="4591"/>
      <c r="FA106" s="4592"/>
      <c r="FB106" s="1102">
        <f>IF(EZ106=0,0,(FA106-EZ106)/EZ106*100)</f>
        <v>0</v>
      </c>
      <c r="FC106" s="4591"/>
      <c r="FD106" s="4592"/>
      <c r="FE106" s="1102">
        <f>IF(FC106=0,0,(FD106-FC106)/FC106*100)</f>
        <v>0</v>
      </c>
      <c r="FF106" s="4591"/>
      <c r="FG106" s="4592"/>
      <c r="FH106" s="1102">
        <f>IF(FF106=0,0,(FG106-FF106)/FF106*100)</f>
        <v>0</v>
      </c>
      <c r="FI106" s="4591"/>
      <c r="FJ106" s="4592"/>
      <c r="FK106" s="1102">
        <f>IF(FI106=0,0,(FJ106-FI106)/FI106*100)</f>
        <v>0</v>
      </c>
      <c r="FL106" s="4591"/>
      <c r="FM106" s="4592"/>
      <c r="FN106" s="1102">
        <f>IF(FL106=0,0,(FM106-FL106)/FL106*100)</f>
        <v>0</v>
      </c>
      <c r="FO106" s="4591"/>
      <c r="FP106" s="4592"/>
      <c r="FQ106" s="1102">
        <f>IF(FO106=0,0,(FP106-FO106)/FO106*100)</f>
        <v>0</v>
      </c>
      <c r="FR106" s="4591"/>
      <c r="FS106" s="4592"/>
      <c r="FT106" s="1102">
        <f>IF(FR106=0,0,(FS106-FR106)/FR106*100)</f>
        <v>0</v>
      </c>
      <c r="FU106" s="4591"/>
      <c r="FV106" s="4592"/>
      <c r="FW106" s="1102">
        <f>IF(FU106=0,0,(FV106-FU106)/FU106*100)</f>
        <v>0</v>
      </c>
      <c r="FZ106" s="1330" t="s">
        <v>1889</v>
      </c>
      <c r="GA106" s="1330" t="s">
        <v>1888</v>
      </c>
      <c r="GB106" s="1330" cm="1" t="str">
        <f t="array" ref="GB106:GB106">GB105</f>
        <v>0</v>
      </c>
    </row>
    <row s="1656" customFormat="1" customHeight="1" ht="14.25" hidden="1">
      <c r="A107" s="496"/>
      <c r="B107" s="932" cm="1" t="str">
        <f t="array" ref="B107:B107">B105</f>
        <v>true</v>
      </c>
      <c r="C107" s="496"/>
      <c r="D107" s="496"/>
      <c r="E107" s="847">
        <v>15</v>
      </c>
      <c r="F107" s="50" cm="1" t="str">
        <f t="array" ref="F107:F107">OFFSET(E107,-1,1)</f>
        <v>1</v>
      </c>
      <c r="G107" s="496"/>
      <c r="H107" s="496" t="s">
        <v>573</v>
      </c>
      <c r="I107" s="496" cm="1" t="str">
        <f t="array" ref="I107:I107">I105</f>
        <v>0</v>
      </c>
      <c r="J107" s="496"/>
      <c r="K107" s="496"/>
      <c r="L107" s="496"/>
      <c r="M107" s="496"/>
      <c r="N107" s="496"/>
      <c r="O107" s="496"/>
      <c r="P107" s="496"/>
      <c r="Q107" s="904"/>
      <c r="R107" s="496"/>
      <c r="S107" s="496"/>
      <c r="T107" s="468" cm="1" t="str">
        <f t="array" ref="T107:T107">T105</f>
        <v>false</v>
      </c>
      <c r="U107" s="496"/>
      <c r="V107" s="496"/>
      <c r="W107" s="496"/>
      <c r="X107" s="1559"/>
      <c r="Y107" s="1559"/>
      <c r="Z107" s="1528"/>
      <c r="AA107" s="1516"/>
      <c r="AB107" s="907" t="s">
        <v>1872</v>
      </c>
      <c r="AC107" s="296" t="s">
        <v>657</v>
      </c>
      <c r="AD107" s="4585"/>
      <c r="AE107" s="4585"/>
      <c r="AF107" s="1104">
        <f>IF(AD107=0,0,(AE107-AD107)/AD107*100)</f>
        <v>0</v>
      </c>
      <c r="AG107" s="4585"/>
      <c r="AH107" s="4585"/>
      <c r="AI107" s="1104">
        <f>IF(AG107=0,0,(AH107-AG107)/AG107*100)</f>
        <v>0</v>
      </c>
      <c r="AJ107" s="4585"/>
      <c r="AK107" s="4585"/>
      <c r="AL107" s="1104">
        <f>IF(AJ107=0,0,(AK107-AJ107)/AJ107*100)</f>
        <v>0</v>
      </c>
      <c r="AM107" s="4585"/>
      <c r="AN107" s="4585"/>
      <c r="AO107" s="1104">
        <f>IF(AM107=0,0,(AN107-AM107)/AM107*100)</f>
        <v>0</v>
      </c>
      <c r="AP107" s="4585"/>
      <c r="AQ107" s="4585"/>
      <c r="AR107" s="1104">
        <f>IF(AP107=0,0,(AQ107-AP107)/AP107*100)</f>
        <v>0</v>
      </c>
      <c r="AS107" s="4585"/>
      <c r="AT107" s="4585"/>
      <c r="AU107" s="1104">
        <f>IF(AS107=0,0,(AT107-AS107)/AS107*100)</f>
        <v>0</v>
      </c>
      <c r="AV107" s="4585"/>
      <c r="AW107" s="4585"/>
      <c r="AX107" s="1104">
        <f>IF(AV107=0,0,(AW107-AV107)/AV107*100)</f>
        <v>0</v>
      </c>
      <c r="AY107" s="4585"/>
      <c r="AZ107" s="4585"/>
      <c r="BA107" s="1104">
        <f>IF(AY107=0,0,(AZ107-AY107)/AY107*100)</f>
        <v>0</v>
      </c>
      <c r="BB107" s="4585"/>
      <c r="BC107" s="4585"/>
      <c r="BD107" s="1104">
        <f>IF(BB107=0,0,(BC107-BB107)/BB107*100)</f>
        <v>0</v>
      </c>
      <c r="BE107" s="4585"/>
      <c r="BF107" s="4585"/>
      <c r="BG107" s="1104">
        <f>IF(BE107=0,0,(BF107-BE107)/BE107*100)</f>
        <v>0</v>
      </c>
      <c r="BH107" s="4585"/>
      <c r="BI107" s="4585"/>
      <c r="BJ107" s="1104">
        <f>IF(BH107=0,0,(BI107-BH107)/BH107*100)</f>
        <v>0</v>
      </c>
      <c r="BK107" s="4585"/>
      <c r="BL107" s="4585"/>
      <c r="BM107" s="1104">
        <f>IF(BK107=0,0,(BL107-BK107)/BK107*100)</f>
        <v>0</v>
      </c>
      <c r="BN107" s="4585"/>
      <c r="BO107" s="4585"/>
      <c r="BP107" s="1104">
        <f>IF(BN107=0,0,(BO107-BN107)/BN107*100)</f>
        <v>0</v>
      </c>
      <c r="BQ107" s="4585"/>
      <c r="BR107" s="4585"/>
      <c r="BS107" s="1104">
        <f>IF(BQ107=0,0,(BR107-BQ107)/BQ107*100)</f>
        <v>0</v>
      </c>
      <c r="BT107" s="4585"/>
      <c r="BU107" s="4585"/>
      <c r="BV107" s="1104">
        <f>IF(BT107=0,0,(BU107-BT107)/BT107*100)</f>
        <v>0</v>
      </c>
      <c r="BW107" s="4585"/>
      <c r="BX107" s="4585"/>
      <c r="BY107" s="1104">
        <f>IF(BW107=0,0,(BX107-BW107)/BW107*100)</f>
        <v>0</v>
      </c>
      <c r="BZ107" s="4585"/>
      <c r="CA107" s="4585"/>
      <c r="CB107" s="1104">
        <f>IF(BZ107=0,0,(CA107-BZ107)/BZ107*100)</f>
        <v>0</v>
      </c>
      <c r="CC107" s="4585"/>
      <c r="CD107" s="4585"/>
      <c r="CE107" s="1104">
        <f>IF(CC107=0,0,(CD107-CC107)/CC107*100)</f>
        <v>0</v>
      </c>
      <c r="CF107" s="4585"/>
      <c r="CG107" s="4585"/>
      <c r="CH107" s="1104">
        <f>IF(CF107=0,0,(CG107-CF107)/CF107*100)</f>
        <v>0</v>
      </c>
      <c r="CI107" s="4585"/>
      <c r="CJ107" s="4585"/>
      <c r="CK107" s="1104">
        <f>IF(CI107=0,0,(CJ107-CI107)/CI107*100)</f>
        <v>0</v>
      </c>
      <c r="CL107" s="4585"/>
      <c r="CM107" s="4585"/>
      <c r="CN107" s="1104">
        <f>IF(CL107=0,0,(CM107-CL107)/CL107*100)</f>
        <v>0</v>
      </c>
      <c r="CO107" s="4585"/>
      <c r="CP107" s="4585"/>
      <c r="CQ107" s="1104">
        <f>IF(CO107=0,0,(CP107-CO107)/CO107*100)</f>
        <v>0</v>
      </c>
      <c r="CR107" s="4585"/>
      <c r="CS107" s="4585"/>
      <c r="CT107" s="1104">
        <f>IF(CR107=0,0,(CS107-CR107)/CR107*100)</f>
        <v>0</v>
      </c>
      <c r="CU107" s="4585"/>
      <c r="CV107" s="4585"/>
      <c r="CW107" s="1104">
        <f>IF(CU107=0,0,(CV107-CU107)/CU107*100)</f>
        <v>0</v>
      </c>
      <c r="CX107" s="4585"/>
      <c r="CY107" s="4585"/>
      <c r="CZ107" s="1104">
        <f>IF(CX107=0,0,(CY107-CX107)/CX107*100)</f>
        <v>0</v>
      </c>
      <c r="DA107" s="4585"/>
      <c r="DB107" s="4585"/>
      <c r="DC107" s="1104">
        <f>IF(DA107=0,0,(DB107-DA107)/DA107*100)</f>
        <v>0</v>
      </c>
      <c r="DD107" s="4585"/>
      <c r="DE107" s="4585"/>
      <c r="DF107" s="1104">
        <f>IF(DD107=0,0,(DE107-DD107)/DD107*100)</f>
        <v>0</v>
      </c>
      <c r="DG107" s="4585"/>
      <c r="DH107" s="4585"/>
      <c r="DI107" s="1104">
        <f>IF(DG107=0,0,(DH107-DG107)/DG107*100)</f>
        <v>0</v>
      </c>
      <c r="DJ107" s="4585"/>
      <c r="DK107" s="4585"/>
      <c r="DL107" s="1104">
        <f>IF(DJ107=0,0,(DK107-DJ107)/DJ107*100)</f>
        <v>0</v>
      </c>
      <c r="DM107" s="4585"/>
      <c r="DN107" s="4585"/>
      <c r="DO107" s="1104">
        <f>IF(DM107=0,0,(DN107-DM107)/DM107*100)</f>
        <v>0</v>
      </c>
      <c r="DP107" s="4585"/>
      <c r="DQ107" s="4585"/>
      <c r="DR107" s="1104">
        <f>IF(DP107=0,0,(DQ107-DP107)/DP107*100)</f>
        <v>0</v>
      </c>
      <c r="DS107" s="4585"/>
      <c r="DT107" s="4585"/>
      <c r="DU107" s="1104">
        <f>IF(DS107=0,0,(DT107-DS107)/DS107*100)</f>
        <v>0</v>
      </c>
      <c r="DV107" s="4585"/>
      <c r="DW107" s="4585"/>
      <c r="DX107" s="1104">
        <f>IF(DV107=0,0,(DW107-DV107)/DV107*100)</f>
        <v>0</v>
      </c>
      <c r="DY107" s="4585"/>
      <c r="DZ107" s="4585"/>
      <c r="EA107" s="1104">
        <f>IF(DY107=0,0,(DZ107-DY107)/DY107*100)</f>
        <v>0</v>
      </c>
      <c r="EB107" s="4585"/>
      <c r="EC107" s="4585"/>
      <c r="ED107" s="1104">
        <f>IF(EB107=0,0,(EC107-EB107)/EB107*100)</f>
        <v>0</v>
      </c>
      <c r="EE107" s="4585"/>
      <c r="EF107" s="4585"/>
      <c r="EG107" s="1104">
        <f>IF(EE107=0,0,(EF107-EE107)/EE107*100)</f>
        <v>0</v>
      </c>
      <c r="EH107" s="4585"/>
      <c r="EI107" s="4585"/>
      <c r="EJ107" s="1104">
        <f>IF(EH107=0,0,(EI107-EH107)/EH107*100)</f>
        <v>0</v>
      </c>
      <c r="EK107" s="4585"/>
      <c r="EL107" s="4585"/>
      <c r="EM107" s="1104">
        <f>IF(EK107=0,0,(EL107-EK107)/EK107*100)</f>
        <v>0</v>
      </c>
      <c r="EN107" s="4585"/>
      <c r="EO107" s="4585"/>
      <c r="EP107" s="1104">
        <f>IF(EN107=0,0,(EO107-EN107)/EN107*100)</f>
        <v>0</v>
      </c>
      <c r="EQ107" s="4585"/>
      <c r="ER107" s="4585"/>
      <c r="ES107" s="1104">
        <f>IF(EQ107=0,0,(ER107-EQ107)/EQ107*100)</f>
        <v>0</v>
      </c>
      <c r="ET107" s="4585"/>
      <c r="EU107" s="4585"/>
      <c r="EV107" s="1104">
        <f>IF(ET107=0,0,(EU107-ET107)/ET107*100)</f>
        <v>0</v>
      </c>
      <c r="EW107" s="4585"/>
      <c r="EX107" s="4585"/>
      <c r="EY107" s="1104">
        <f>IF(EW107=0,0,(EX107-EW107)/EW107*100)</f>
        <v>0</v>
      </c>
      <c r="EZ107" s="4585"/>
      <c r="FA107" s="4585"/>
      <c r="FB107" s="1104">
        <f>IF(EZ107=0,0,(FA107-EZ107)/EZ107*100)</f>
        <v>0</v>
      </c>
      <c r="FC107" s="4585"/>
      <c r="FD107" s="4585"/>
      <c r="FE107" s="1104">
        <f>IF(FC107=0,0,(FD107-FC107)/FC107*100)</f>
        <v>0</v>
      </c>
      <c r="FF107" s="4585"/>
      <c r="FG107" s="4585"/>
      <c r="FH107" s="1104">
        <f>IF(FF107=0,0,(FG107-FF107)/FF107*100)</f>
        <v>0</v>
      </c>
      <c r="FI107" s="4585"/>
      <c r="FJ107" s="4585"/>
      <c r="FK107" s="1104">
        <f>IF(FI107=0,0,(FJ107-FI107)/FI107*100)</f>
        <v>0</v>
      </c>
      <c r="FL107" s="4585"/>
      <c r="FM107" s="4585"/>
      <c r="FN107" s="1104">
        <f>IF(FL107=0,0,(FM107-FL107)/FL107*100)</f>
        <v>0</v>
      </c>
      <c r="FO107" s="4585"/>
      <c r="FP107" s="4585"/>
      <c r="FQ107" s="1104">
        <f>IF(FO107=0,0,(FP107-FO107)/FO107*100)</f>
        <v>0</v>
      </c>
      <c r="FR107" s="4585"/>
      <c r="FS107" s="4585"/>
      <c r="FT107" s="1104">
        <f>IF(FR107=0,0,(FS107-FR107)/FR107*100)</f>
        <v>0</v>
      </c>
      <c r="FU107" s="4585"/>
      <c r="FV107" s="4585"/>
      <c r="FW107" s="1104">
        <f>IF(FU107=0,0,(FV107-FU107)/FU107*100)</f>
        <v>0</v>
      </c>
      <c r="FX107" s="288"/>
      <c r="FY107" s="1328"/>
      <c r="FZ107" s="1063" t="s">
        <v>1890</v>
      </c>
      <c r="GA107" s="1023" t="s">
        <v>1888</v>
      </c>
      <c r="GB107" s="1023" cm="1" t="str">
        <f t="array" ref="GB107:GB107">GB105</f>
        <v>0</v>
      </c>
      <c r="GC107" s="1329"/>
      <c r="GD107" s="1329"/>
    </row>
    <row s="1656" customFormat="1" customHeight="1" ht="33.421875">
      <c r="A108" s="496"/>
      <c r="B108" s="932" cm="1" t="str">
        <f t="array" ref="B108:B108">B107</f>
        <v>true</v>
      </c>
      <c r="C108" s="496"/>
      <c r="D108" s="496"/>
      <c r="E108" s="847">
        <v>18.75</v>
      </c>
      <c r="F108" s="50" cm="1" t="str">
        <f t="array" ref="F108:F108">OFFSET(E108,-1,1)</f>
        <v>1</v>
      </c>
      <c r="G108" s="496"/>
      <c r="H108" s="496" t="s">
        <v>566</v>
      </c>
      <c r="I108" s="496" cm="1" t="str">
        <f t="array" ref="I108:I108">AB108</f>
        <v>г. Ленинск-Кузнецкий, г. Полысаево (кроме потребителей, получающих воду с НФС пос. Демьяновский) (с 01.01. по 30.09.)</v>
      </c>
      <c r="J108" s="496"/>
      <c r="K108" s="496"/>
      <c r="L108" s="496"/>
      <c r="M108" s="496"/>
      <c r="N108" s="496"/>
      <c r="O108" s="496"/>
      <c r="P108" s="496"/>
      <c r="Q108" s="904"/>
      <c r="R108" s="496"/>
      <c r="S108" s="496"/>
      <c r="T108" s="468">
        <f>AND(F108&gt;0,Y108&gt;0)</f>
        <v>1</v>
      </c>
      <c r="U108" s="496"/>
      <c r="V108" s="496"/>
      <c r="W108" s="496"/>
      <c r="X108" s="1559"/>
      <c r="Y108" s="1559" t="s">
        <v>290</v>
      </c>
      <c r="Z108" s="1528"/>
      <c r="AA108" s="1516" t="s">
        <v>174</v>
      </c>
      <c r="AB108" s="908" t="s">
        <v>1952</v>
      </c>
      <c r="AC108" s="871" t="s">
        <v>1862</v>
      </c>
      <c r="AD108" s="1105">
        <v>57.03</v>
      </c>
      <c r="AE108" s="1106">
        <v>57.03</v>
      </c>
      <c r="AF108" s="1102">
        <f>IF(AD108=0,0,(AE108-AD108)/AD108*100)</f>
        <v>0</v>
      </c>
      <c r="AG108" s="4591"/>
      <c r="AH108" s="4592"/>
      <c r="AI108" s="1102">
        <f>IF(AG108=0,0,(AH108-AG108)/AG108*100)</f>
        <v>0</v>
      </c>
      <c r="AJ108" s="4591"/>
      <c r="AK108" s="4592"/>
      <c r="AL108" s="1102">
        <f>IF(AJ108=0,0,(AK108-AJ108)/AJ108*100)</f>
        <v>0</v>
      </c>
      <c r="AM108" s="4591"/>
      <c r="AN108" s="4592"/>
      <c r="AO108" s="1102">
        <f>IF(AM108=0,0,(AN108-AM108)/AM108*100)</f>
        <v>0</v>
      </c>
      <c r="AP108" s="4591"/>
      <c r="AQ108" s="4592"/>
      <c r="AR108" s="1102">
        <f>IF(AP108=0,0,(AQ108-AP108)/AP108*100)</f>
        <v>0</v>
      </c>
      <c r="AS108" s="4591"/>
      <c r="AT108" s="4592"/>
      <c r="AU108" s="1102">
        <f>IF(AS108=0,0,(AT108-AS108)/AS108*100)</f>
        <v>0</v>
      </c>
      <c r="AV108" s="4591"/>
      <c r="AW108" s="4592"/>
      <c r="AX108" s="1102">
        <f>IF(AV108=0,0,(AW108-AV108)/AV108*100)</f>
        <v>0</v>
      </c>
      <c r="AY108" s="4591"/>
      <c r="AZ108" s="4592"/>
      <c r="BA108" s="1102">
        <f>IF(AY108=0,0,(AZ108-AY108)/AY108*100)</f>
        <v>0</v>
      </c>
      <c r="BB108" s="4591"/>
      <c r="BC108" s="4592"/>
      <c r="BD108" s="1102">
        <f>IF(BB108=0,0,(BC108-BB108)/BB108*100)</f>
        <v>0</v>
      </c>
      <c r="BE108" s="4591"/>
      <c r="BF108" s="4592"/>
      <c r="BG108" s="1102">
        <f>IF(BE108=0,0,(BF108-BE108)/BE108*100)</f>
        <v>0</v>
      </c>
      <c r="BH108" s="4591"/>
      <c r="BI108" s="4592"/>
      <c r="BJ108" s="1102">
        <f>IF(BH108=0,0,(BI108-BH108)/BH108*100)</f>
        <v>0</v>
      </c>
      <c r="BK108" s="4591"/>
      <c r="BL108" s="4592"/>
      <c r="BM108" s="1102">
        <f>IF(BK108=0,0,(BL108-BK108)/BK108*100)</f>
        <v>0</v>
      </c>
      <c r="BN108" s="4591"/>
      <c r="BO108" s="4592"/>
      <c r="BP108" s="1102">
        <f>IF(BN108=0,0,(BO108-BN108)/BN108*100)</f>
        <v>0</v>
      </c>
      <c r="BQ108" s="4591"/>
      <c r="BR108" s="4592"/>
      <c r="BS108" s="1102">
        <f>IF(BQ108=0,0,(BR108-BQ108)/BQ108*100)</f>
        <v>0</v>
      </c>
      <c r="BT108" s="4591"/>
      <c r="BU108" s="4592"/>
      <c r="BV108" s="1102">
        <f>IF(BT108=0,0,(BU108-BT108)/BT108*100)</f>
        <v>0</v>
      </c>
      <c r="BW108" s="4591"/>
      <c r="BX108" s="4592"/>
      <c r="BY108" s="1102">
        <f>IF(BW108=0,0,(BX108-BW108)/BW108*100)</f>
        <v>0</v>
      </c>
      <c r="BZ108" s="4591"/>
      <c r="CA108" s="4592"/>
      <c r="CB108" s="1102">
        <f>IF(BZ108=0,0,(CA108-BZ108)/BZ108*100)</f>
        <v>0</v>
      </c>
      <c r="CC108" s="4591"/>
      <c r="CD108" s="4592"/>
      <c r="CE108" s="1102">
        <f>IF(CC108=0,0,(CD108-CC108)/CC108*100)</f>
        <v>0</v>
      </c>
      <c r="CF108" s="4591"/>
      <c r="CG108" s="4592"/>
      <c r="CH108" s="1102">
        <f>IF(CF108=0,0,(CG108-CF108)/CF108*100)</f>
        <v>0</v>
      </c>
      <c r="CI108" s="4591"/>
      <c r="CJ108" s="4592"/>
      <c r="CK108" s="1102">
        <f>IF(CI108=0,0,(CJ108-CI108)/CI108*100)</f>
        <v>0</v>
      </c>
      <c r="CL108" s="4591"/>
      <c r="CM108" s="4592"/>
      <c r="CN108" s="1102">
        <f>IF(CL108=0,0,(CM108-CL108)/CL108*100)</f>
        <v>0</v>
      </c>
      <c r="CO108" s="4591"/>
      <c r="CP108" s="4592"/>
      <c r="CQ108" s="1102">
        <f>IF(CO108=0,0,(CP108-CO108)/CO108*100)</f>
        <v>0</v>
      </c>
      <c r="CR108" s="4591"/>
      <c r="CS108" s="4592"/>
      <c r="CT108" s="1102">
        <f>IF(CR108=0,0,(CS108-CR108)/CR108*100)</f>
        <v>0</v>
      </c>
      <c r="CU108" s="4591"/>
      <c r="CV108" s="4592"/>
      <c r="CW108" s="1102">
        <f>IF(CU108=0,0,(CV108-CU108)/CU108*100)</f>
        <v>0</v>
      </c>
      <c r="CX108" s="4591"/>
      <c r="CY108" s="4592"/>
      <c r="CZ108" s="1102">
        <f>IF(CX108=0,0,(CY108-CX108)/CX108*100)</f>
        <v>0</v>
      </c>
      <c r="DA108" s="4591"/>
      <c r="DB108" s="4592"/>
      <c r="DC108" s="1102">
        <f>IF(DA108=0,0,(DB108-DA108)/DA108*100)</f>
        <v>0</v>
      </c>
      <c r="DD108" s="4591"/>
      <c r="DE108" s="4592"/>
      <c r="DF108" s="1102">
        <f>IF(DD108=0,0,(DE108-DD108)/DD108*100)</f>
        <v>0</v>
      </c>
      <c r="DG108" s="4591"/>
      <c r="DH108" s="4592"/>
      <c r="DI108" s="1102">
        <f>IF(DG108=0,0,(DH108-DG108)/DG108*100)</f>
        <v>0</v>
      </c>
      <c r="DJ108" s="4591"/>
      <c r="DK108" s="4592"/>
      <c r="DL108" s="1102">
        <f>IF(DJ108=0,0,(DK108-DJ108)/DJ108*100)</f>
        <v>0</v>
      </c>
      <c r="DM108" s="4591"/>
      <c r="DN108" s="4592"/>
      <c r="DO108" s="1102">
        <f>IF(DM108=0,0,(DN108-DM108)/DM108*100)</f>
        <v>0</v>
      </c>
      <c r="DP108" s="4591"/>
      <c r="DQ108" s="4592"/>
      <c r="DR108" s="1102">
        <f>IF(DP108=0,0,(DQ108-DP108)/DP108*100)</f>
        <v>0</v>
      </c>
      <c r="DS108" s="4591"/>
      <c r="DT108" s="4592"/>
      <c r="DU108" s="1102">
        <f>IF(DS108=0,0,(DT108-DS108)/DS108*100)</f>
        <v>0</v>
      </c>
      <c r="DV108" s="4591"/>
      <c r="DW108" s="4592"/>
      <c r="DX108" s="1102">
        <f>IF(DV108=0,0,(DW108-DV108)/DV108*100)</f>
        <v>0</v>
      </c>
      <c r="DY108" s="4591"/>
      <c r="DZ108" s="4592"/>
      <c r="EA108" s="1102">
        <f>IF(DY108=0,0,(DZ108-DY108)/DY108*100)</f>
        <v>0</v>
      </c>
      <c r="EB108" s="4591"/>
      <c r="EC108" s="4592"/>
      <c r="ED108" s="1102">
        <f>IF(EB108=0,0,(EC108-EB108)/EB108*100)</f>
        <v>0</v>
      </c>
      <c r="EE108" s="4591"/>
      <c r="EF108" s="4592"/>
      <c r="EG108" s="1102">
        <f>IF(EE108=0,0,(EF108-EE108)/EE108*100)</f>
        <v>0</v>
      </c>
      <c r="EH108" s="4591"/>
      <c r="EI108" s="4592"/>
      <c r="EJ108" s="1102">
        <f>IF(EH108=0,0,(EI108-EH108)/EH108*100)</f>
        <v>0</v>
      </c>
      <c r="EK108" s="4591"/>
      <c r="EL108" s="4592"/>
      <c r="EM108" s="1102">
        <f>IF(EK108=0,0,(EL108-EK108)/EK108*100)</f>
        <v>0</v>
      </c>
      <c r="EN108" s="4591"/>
      <c r="EO108" s="4592"/>
      <c r="EP108" s="1102">
        <f>IF(EN108=0,0,(EO108-EN108)/EN108*100)</f>
        <v>0</v>
      </c>
      <c r="EQ108" s="4591"/>
      <c r="ER108" s="4592"/>
      <c r="ES108" s="1102">
        <f>IF(EQ108=0,0,(ER108-EQ108)/EQ108*100)</f>
        <v>0</v>
      </c>
      <c r="ET108" s="4591"/>
      <c r="EU108" s="4592"/>
      <c r="EV108" s="1102">
        <f>IF(ET108=0,0,(EU108-ET108)/ET108*100)</f>
        <v>0</v>
      </c>
      <c r="EW108" s="4591"/>
      <c r="EX108" s="4592"/>
      <c r="EY108" s="1102">
        <f>IF(EW108=0,0,(EX108-EW108)/EW108*100)</f>
        <v>0</v>
      </c>
      <c r="EZ108" s="4591"/>
      <c r="FA108" s="4592"/>
      <c r="FB108" s="1102">
        <f>IF(EZ108=0,0,(FA108-EZ108)/EZ108*100)</f>
        <v>0</v>
      </c>
      <c r="FC108" s="4591"/>
      <c r="FD108" s="4592"/>
      <c r="FE108" s="1102">
        <f>IF(FC108=0,0,(FD108-FC108)/FC108*100)</f>
        <v>0</v>
      </c>
      <c r="FF108" s="4591"/>
      <c r="FG108" s="4592"/>
      <c r="FH108" s="1102">
        <f>IF(FF108=0,0,(FG108-FF108)/FF108*100)</f>
        <v>0</v>
      </c>
      <c r="FI108" s="4591"/>
      <c r="FJ108" s="4592"/>
      <c r="FK108" s="1102">
        <f>IF(FI108=0,0,(FJ108-FI108)/FI108*100)</f>
        <v>0</v>
      </c>
      <c r="FL108" s="4591"/>
      <c r="FM108" s="4592"/>
      <c r="FN108" s="1102">
        <f>IF(FL108=0,0,(FM108-FL108)/FL108*100)</f>
        <v>0</v>
      </c>
      <c r="FO108" s="4591"/>
      <c r="FP108" s="4592"/>
      <c r="FQ108" s="1102">
        <f>IF(FO108=0,0,(FP108-FO108)/FO108*100)</f>
        <v>0</v>
      </c>
      <c r="FR108" s="4591"/>
      <c r="FS108" s="4592"/>
      <c r="FT108" s="1102">
        <f>IF(FR108=0,0,(FS108-FR108)/FR108*100)</f>
        <v>0</v>
      </c>
      <c r="FU108" s="4591"/>
      <c r="FV108" s="4592"/>
      <c r="FW108" s="1102">
        <f>IF(FU108=0,0,(FV108-FU108)/FU108*100)</f>
        <v>0</v>
      </c>
      <c r="FX108" s="288"/>
      <c r="FY108" s="1328"/>
      <c r="FZ108" s="1063" t="s">
        <v>1887</v>
      </c>
      <c r="GA108" s="1023" t="s">
        <v>1888</v>
      </c>
      <c r="GB108" s="1023" cm="1" t="str">
        <f t="array" ref="GB108:GB108">AB108</f>
        <v>г. Ленинск-Кузнецкий, г. Полысаево (кроме потребителей, получающих воду с НФС пос. Демьяновский) (с 01.01. по 30.09.)</v>
      </c>
      <c r="GC108" s="1329"/>
      <c r="GD108" s="637" t="b">
        <v>1</v>
      </c>
    </row>
    <row customHeight="1" ht="25.2490234375">
      <c r="A109" s="496"/>
      <c r="B109" s="932" cm="1" t="str">
        <f t="array" ref="B109:B109">B108</f>
        <v>true</v>
      </c>
      <c r="C109" s="496"/>
      <c r="D109" s="496"/>
      <c r="E109" s="847">
        <v>19</v>
      </c>
      <c r="F109" s="50" cm="1" t="str">
        <f t="array" ref="F109:F109">OFFSET(E109,-1,1)</f>
        <v>1</v>
      </c>
      <c r="G109" s="496"/>
      <c r="H109" s="496"/>
      <c r="I109" s="496"/>
      <c r="J109" s="496"/>
      <c r="K109" s="496"/>
      <c r="L109" s="496"/>
      <c r="M109" s="496"/>
      <c r="N109" s="496"/>
      <c r="O109" s="496"/>
      <c r="P109" s="496"/>
      <c r="Q109" s="904"/>
      <c r="R109" s="496"/>
      <c r="S109" s="496"/>
      <c r="T109" s="468" cm="1" t="str">
        <f t="array" ref="T109:T109">T108</f>
        <v>true</v>
      </c>
      <c r="U109" s="496"/>
      <c r="V109" s="496"/>
      <c r="W109" s="496"/>
      <c r="X109" s="1559"/>
      <c r="Y109" s="1559"/>
      <c r="Z109" s="1528"/>
      <c r="AA109" s="1516"/>
      <c r="AB109" s="908" t="s">
        <v>1953</v>
      </c>
      <c r="AC109" s="871" t="s">
        <v>1862</v>
      </c>
      <c r="AD109" s="1105"/>
      <c r="AE109" s="1106"/>
      <c r="AF109" s="1102">
        <f>IF(AD109=0,0,(AE109-AD109)/AD109*100)</f>
        <v>0</v>
      </c>
      <c r="AG109" s="4591"/>
      <c r="AH109" s="4592"/>
      <c r="AI109" s="1102">
        <f>IF(AG109=0,0,(AH109-AG109)/AG109*100)</f>
        <v>0</v>
      </c>
      <c r="AJ109" s="4591"/>
      <c r="AK109" s="4592"/>
      <c r="AL109" s="1102">
        <f>IF(AJ109=0,0,(AK109-AJ109)/AJ109*100)</f>
        <v>0</v>
      </c>
      <c r="AM109" s="4591"/>
      <c r="AN109" s="4592"/>
      <c r="AO109" s="1102">
        <f>IF(AM109=0,0,(AN109-AM109)/AM109*100)</f>
        <v>0</v>
      </c>
      <c r="AP109" s="4591"/>
      <c r="AQ109" s="4592"/>
      <c r="AR109" s="1102">
        <f>IF(AP109=0,0,(AQ109-AP109)/AP109*100)</f>
        <v>0</v>
      </c>
      <c r="AS109" s="4591"/>
      <c r="AT109" s="4592"/>
      <c r="AU109" s="1102">
        <f>IF(AS109=0,0,(AT109-AS109)/AS109*100)</f>
        <v>0</v>
      </c>
      <c r="AV109" s="4591"/>
      <c r="AW109" s="4592"/>
      <c r="AX109" s="1102">
        <f>IF(AV109=0,0,(AW109-AV109)/AV109*100)</f>
        <v>0</v>
      </c>
      <c r="AY109" s="4591"/>
      <c r="AZ109" s="4592"/>
      <c r="BA109" s="1102">
        <f>IF(AY109=0,0,(AZ109-AY109)/AY109*100)</f>
        <v>0</v>
      </c>
      <c r="BB109" s="4591"/>
      <c r="BC109" s="4592"/>
      <c r="BD109" s="1102">
        <f>IF(BB109=0,0,(BC109-BB109)/BB109*100)</f>
        <v>0</v>
      </c>
      <c r="BE109" s="4591"/>
      <c r="BF109" s="4592"/>
      <c r="BG109" s="1102">
        <f>IF(BE109=0,0,(BF109-BE109)/BE109*100)</f>
        <v>0</v>
      </c>
      <c r="BH109" s="4591"/>
      <c r="BI109" s="4592"/>
      <c r="BJ109" s="1102">
        <f>IF(BH109=0,0,(BI109-BH109)/BH109*100)</f>
        <v>0</v>
      </c>
      <c r="BK109" s="4591"/>
      <c r="BL109" s="4592"/>
      <c r="BM109" s="1102">
        <f>IF(BK109=0,0,(BL109-BK109)/BK109*100)</f>
        <v>0</v>
      </c>
      <c r="BN109" s="4591"/>
      <c r="BO109" s="4592"/>
      <c r="BP109" s="1102">
        <f>IF(BN109=0,0,(BO109-BN109)/BN109*100)</f>
        <v>0</v>
      </c>
      <c r="BQ109" s="4591"/>
      <c r="BR109" s="4592"/>
      <c r="BS109" s="1102">
        <f>IF(BQ109=0,0,(BR109-BQ109)/BQ109*100)</f>
        <v>0</v>
      </c>
      <c r="BT109" s="4591"/>
      <c r="BU109" s="4592"/>
      <c r="BV109" s="1102">
        <f>IF(BT109=0,0,(BU109-BT109)/BT109*100)</f>
        <v>0</v>
      </c>
      <c r="BW109" s="4591"/>
      <c r="BX109" s="4592"/>
      <c r="BY109" s="1102">
        <f>IF(BW109=0,0,(BX109-BW109)/BW109*100)</f>
        <v>0</v>
      </c>
      <c r="BZ109" s="4591"/>
      <c r="CA109" s="4592"/>
      <c r="CB109" s="1102">
        <f>IF(BZ109=0,0,(CA109-BZ109)/BZ109*100)</f>
        <v>0</v>
      </c>
      <c r="CC109" s="4591"/>
      <c r="CD109" s="4592"/>
      <c r="CE109" s="1102">
        <f>IF(CC109=0,0,(CD109-CC109)/CC109*100)</f>
        <v>0</v>
      </c>
      <c r="CF109" s="4591"/>
      <c r="CG109" s="4592"/>
      <c r="CH109" s="1102">
        <f>IF(CF109=0,0,(CG109-CF109)/CF109*100)</f>
        <v>0</v>
      </c>
      <c r="CI109" s="4591"/>
      <c r="CJ109" s="4592"/>
      <c r="CK109" s="1102">
        <f>IF(CI109=0,0,(CJ109-CI109)/CI109*100)</f>
        <v>0</v>
      </c>
      <c r="CL109" s="4591"/>
      <c r="CM109" s="4592"/>
      <c r="CN109" s="1102">
        <f>IF(CL109=0,0,(CM109-CL109)/CL109*100)</f>
        <v>0</v>
      </c>
      <c r="CO109" s="4591"/>
      <c r="CP109" s="4592"/>
      <c r="CQ109" s="1102">
        <f>IF(CO109=0,0,(CP109-CO109)/CO109*100)</f>
        <v>0</v>
      </c>
      <c r="CR109" s="4591"/>
      <c r="CS109" s="4592"/>
      <c r="CT109" s="1102">
        <f>IF(CR109=0,0,(CS109-CR109)/CR109*100)</f>
        <v>0</v>
      </c>
      <c r="CU109" s="4591"/>
      <c r="CV109" s="4592"/>
      <c r="CW109" s="1102">
        <f>IF(CU109=0,0,(CV109-CU109)/CU109*100)</f>
        <v>0</v>
      </c>
      <c r="CX109" s="4591"/>
      <c r="CY109" s="4592"/>
      <c r="CZ109" s="1102">
        <f>IF(CX109=0,0,(CY109-CX109)/CX109*100)</f>
        <v>0</v>
      </c>
      <c r="DA109" s="4591"/>
      <c r="DB109" s="4592"/>
      <c r="DC109" s="1102">
        <f>IF(DA109=0,0,(DB109-DA109)/DA109*100)</f>
        <v>0</v>
      </c>
      <c r="DD109" s="4591"/>
      <c r="DE109" s="4592"/>
      <c r="DF109" s="1102">
        <f>IF(DD109=0,0,(DE109-DD109)/DD109*100)</f>
        <v>0</v>
      </c>
      <c r="DG109" s="4591"/>
      <c r="DH109" s="4592"/>
      <c r="DI109" s="1102">
        <f>IF(DG109=0,0,(DH109-DG109)/DG109*100)</f>
        <v>0</v>
      </c>
      <c r="DJ109" s="4591"/>
      <c r="DK109" s="4592"/>
      <c r="DL109" s="1102">
        <f>IF(DJ109=0,0,(DK109-DJ109)/DJ109*100)</f>
        <v>0</v>
      </c>
      <c r="DM109" s="4591"/>
      <c r="DN109" s="4592"/>
      <c r="DO109" s="1102">
        <f>IF(DM109=0,0,(DN109-DM109)/DM109*100)</f>
        <v>0</v>
      </c>
      <c r="DP109" s="4591"/>
      <c r="DQ109" s="4592"/>
      <c r="DR109" s="1102">
        <f>IF(DP109=0,0,(DQ109-DP109)/DP109*100)</f>
        <v>0</v>
      </c>
      <c r="DS109" s="4591"/>
      <c r="DT109" s="4592"/>
      <c r="DU109" s="1102">
        <f>IF(DS109=0,0,(DT109-DS109)/DS109*100)</f>
        <v>0</v>
      </c>
      <c r="DV109" s="4591"/>
      <c r="DW109" s="4592"/>
      <c r="DX109" s="1102">
        <f>IF(DV109=0,0,(DW109-DV109)/DV109*100)</f>
        <v>0</v>
      </c>
      <c r="DY109" s="4591"/>
      <c r="DZ109" s="4592"/>
      <c r="EA109" s="1102">
        <f>IF(DY109=0,0,(DZ109-DY109)/DY109*100)</f>
        <v>0</v>
      </c>
      <c r="EB109" s="4591"/>
      <c r="EC109" s="4592"/>
      <c r="ED109" s="1102">
        <f>IF(EB109=0,0,(EC109-EB109)/EB109*100)</f>
        <v>0</v>
      </c>
      <c r="EE109" s="4591"/>
      <c r="EF109" s="4592"/>
      <c r="EG109" s="1102">
        <f>IF(EE109=0,0,(EF109-EE109)/EE109*100)</f>
        <v>0</v>
      </c>
      <c r="EH109" s="4591"/>
      <c r="EI109" s="4592"/>
      <c r="EJ109" s="1102">
        <f>IF(EH109=0,0,(EI109-EH109)/EH109*100)</f>
        <v>0</v>
      </c>
      <c r="EK109" s="4591"/>
      <c r="EL109" s="4592"/>
      <c r="EM109" s="1102">
        <f>IF(EK109=0,0,(EL109-EK109)/EK109*100)</f>
        <v>0</v>
      </c>
      <c r="EN109" s="4591"/>
      <c r="EO109" s="4592"/>
      <c r="EP109" s="1102">
        <f>IF(EN109=0,0,(EO109-EN109)/EN109*100)</f>
        <v>0</v>
      </c>
      <c r="EQ109" s="4591"/>
      <c r="ER109" s="4592"/>
      <c r="ES109" s="1102">
        <f>IF(EQ109=0,0,(ER109-EQ109)/EQ109*100)</f>
        <v>0</v>
      </c>
      <c r="ET109" s="4591"/>
      <c r="EU109" s="4592"/>
      <c r="EV109" s="1102">
        <f>IF(ET109=0,0,(EU109-ET109)/ET109*100)</f>
        <v>0</v>
      </c>
      <c r="EW109" s="4591"/>
      <c r="EX109" s="4592"/>
      <c r="EY109" s="1102">
        <f>IF(EW109=0,0,(EX109-EW109)/EW109*100)</f>
        <v>0</v>
      </c>
      <c r="EZ109" s="4591"/>
      <c r="FA109" s="4592"/>
      <c r="FB109" s="1102">
        <f>IF(EZ109=0,0,(FA109-EZ109)/EZ109*100)</f>
        <v>0</v>
      </c>
      <c r="FC109" s="4591"/>
      <c r="FD109" s="4592"/>
      <c r="FE109" s="1102">
        <f>IF(FC109=0,0,(FD109-FC109)/FC109*100)</f>
        <v>0</v>
      </c>
      <c r="FF109" s="4591"/>
      <c r="FG109" s="4592"/>
      <c r="FH109" s="1102">
        <f>IF(FF109=0,0,(FG109-FF109)/FF109*100)</f>
        <v>0</v>
      </c>
      <c r="FI109" s="4591"/>
      <c r="FJ109" s="4592"/>
      <c r="FK109" s="1102">
        <f>IF(FI109=0,0,(FJ109-FI109)/FI109*100)</f>
        <v>0</v>
      </c>
      <c r="FL109" s="4591"/>
      <c r="FM109" s="4592"/>
      <c r="FN109" s="1102">
        <f>IF(FL109=0,0,(FM109-FL109)/FL109*100)</f>
        <v>0</v>
      </c>
      <c r="FO109" s="4591"/>
      <c r="FP109" s="4592"/>
      <c r="FQ109" s="1102">
        <f>IF(FO109=0,0,(FP109-FO109)/FO109*100)</f>
        <v>0</v>
      </c>
      <c r="FR109" s="4591"/>
      <c r="FS109" s="4592"/>
      <c r="FT109" s="1102">
        <f>IF(FR109=0,0,(FS109-FR109)/FR109*100)</f>
        <v>0</v>
      </c>
      <c r="FU109" s="4591"/>
      <c r="FV109" s="4592"/>
      <c r="FW109" s="1102">
        <f>IF(FU109=0,0,(FV109-FU109)/FU109*100)</f>
        <v>0</v>
      </c>
      <c r="FZ109" s="1330" t="s">
        <v>1889</v>
      </c>
      <c r="GA109" s="1330" t="s">
        <v>1888</v>
      </c>
      <c r="GB109" s="1330" cm="1" t="str">
        <f t="array" ref="GB109:GB109">GB108</f>
        <v>г. Ленинск-Кузнецкий, г. Полысаево (кроме потребителей, получающих воду с НФС пос. Демьяновский) (с 01.01. по 30.09.)</v>
      </c>
    </row>
    <row s="1656" customFormat="1" customHeight="1" ht="25.171875">
      <c r="A110" s="496"/>
      <c r="B110" s="932" cm="1" t="str">
        <f t="array" ref="B110:B110">B108</f>
        <v>true</v>
      </c>
      <c r="C110" s="496"/>
      <c r="D110" s="496"/>
      <c r="E110" s="847">
        <v>15</v>
      </c>
      <c r="F110" s="50" cm="1" t="str">
        <f t="array" ref="F110:F110">OFFSET(E110,-1,1)</f>
        <v>1</v>
      </c>
      <c r="G110" s="496"/>
      <c r="H110" s="496" t="s">
        <v>573</v>
      </c>
      <c r="I110" s="496" cm="1" t="str">
        <f t="array" ref="I110:I110">I108</f>
        <v>г. Ленинск-Кузнецкий, г. Полысаево (кроме потребителей, получающих воду с НФС пос. Демьяновский) (с 01.01. по 30.09.)</v>
      </c>
      <c r="J110" s="496"/>
      <c r="K110" s="496"/>
      <c r="L110" s="496"/>
      <c r="M110" s="496"/>
      <c r="N110" s="496"/>
      <c r="O110" s="496"/>
      <c r="P110" s="496"/>
      <c r="Q110" s="904"/>
      <c r="R110" s="496"/>
      <c r="S110" s="496"/>
      <c r="T110" s="468" cm="1" t="str">
        <f t="array" ref="T110:T110">T108</f>
        <v>true</v>
      </c>
      <c r="U110" s="496"/>
      <c r="V110" s="496"/>
      <c r="W110" s="496"/>
      <c r="X110" s="1559"/>
      <c r="Y110" s="1559"/>
      <c r="Z110" s="1528"/>
      <c r="AA110" s="1516"/>
      <c r="AB110" s="907" t="s">
        <v>1872</v>
      </c>
      <c r="AC110" s="296" t="s">
        <v>657</v>
      </c>
      <c r="AD110" s="1103">
        <f>(3924.66297+942.93446)</f>
        <v>4867.59743</v>
      </c>
      <c r="AE110" s="1103">
        <v>7654.57026</v>
      </c>
      <c r="AF110" s="1104">
        <f>IF(AD110=0,0,(AE110-AD110)/AD110*100)</f>
        <v>57.2556147068226</v>
      </c>
      <c r="AG110" s="4585"/>
      <c r="AH110" s="4585"/>
      <c r="AI110" s="1104">
        <f>IF(AG110=0,0,(AH110-AG110)/AG110*100)</f>
        <v>0</v>
      </c>
      <c r="AJ110" s="4585"/>
      <c r="AK110" s="4585"/>
      <c r="AL110" s="1104">
        <f>IF(AJ110=0,0,(AK110-AJ110)/AJ110*100)</f>
        <v>0</v>
      </c>
      <c r="AM110" s="4585"/>
      <c r="AN110" s="4585"/>
      <c r="AO110" s="1104">
        <f>IF(AM110=0,0,(AN110-AM110)/AM110*100)</f>
        <v>0</v>
      </c>
      <c r="AP110" s="4585"/>
      <c r="AQ110" s="4585"/>
      <c r="AR110" s="1104">
        <f>IF(AP110=0,0,(AQ110-AP110)/AP110*100)</f>
        <v>0</v>
      </c>
      <c r="AS110" s="4585"/>
      <c r="AT110" s="4585"/>
      <c r="AU110" s="1104">
        <f>IF(AS110=0,0,(AT110-AS110)/AS110*100)</f>
        <v>0</v>
      </c>
      <c r="AV110" s="4585"/>
      <c r="AW110" s="4585"/>
      <c r="AX110" s="1104">
        <f>IF(AV110=0,0,(AW110-AV110)/AV110*100)</f>
        <v>0</v>
      </c>
      <c r="AY110" s="4585"/>
      <c r="AZ110" s="4585"/>
      <c r="BA110" s="1104">
        <f>IF(AY110=0,0,(AZ110-AY110)/AY110*100)</f>
        <v>0</v>
      </c>
      <c r="BB110" s="4585"/>
      <c r="BC110" s="4585"/>
      <c r="BD110" s="1104">
        <f>IF(BB110=0,0,(BC110-BB110)/BB110*100)</f>
        <v>0</v>
      </c>
      <c r="BE110" s="4585"/>
      <c r="BF110" s="4585"/>
      <c r="BG110" s="1104">
        <f>IF(BE110=0,0,(BF110-BE110)/BE110*100)</f>
        <v>0</v>
      </c>
      <c r="BH110" s="4585"/>
      <c r="BI110" s="4585"/>
      <c r="BJ110" s="1104">
        <f>IF(BH110=0,0,(BI110-BH110)/BH110*100)</f>
        <v>0</v>
      </c>
      <c r="BK110" s="4585"/>
      <c r="BL110" s="4585"/>
      <c r="BM110" s="1104">
        <f>IF(BK110=0,0,(BL110-BK110)/BK110*100)</f>
        <v>0</v>
      </c>
      <c r="BN110" s="4585"/>
      <c r="BO110" s="4585"/>
      <c r="BP110" s="1104">
        <f>IF(BN110=0,0,(BO110-BN110)/BN110*100)</f>
        <v>0</v>
      </c>
      <c r="BQ110" s="4585"/>
      <c r="BR110" s="4585"/>
      <c r="BS110" s="1104">
        <f>IF(BQ110=0,0,(BR110-BQ110)/BQ110*100)</f>
        <v>0</v>
      </c>
      <c r="BT110" s="4585"/>
      <c r="BU110" s="4585"/>
      <c r="BV110" s="1104">
        <f>IF(BT110=0,0,(BU110-BT110)/BT110*100)</f>
        <v>0</v>
      </c>
      <c r="BW110" s="4585"/>
      <c r="BX110" s="4585"/>
      <c r="BY110" s="1104">
        <f>IF(BW110=0,0,(BX110-BW110)/BW110*100)</f>
        <v>0</v>
      </c>
      <c r="BZ110" s="4585"/>
      <c r="CA110" s="4585"/>
      <c r="CB110" s="1104">
        <f>IF(BZ110=0,0,(CA110-BZ110)/BZ110*100)</f>
        <v>0</v>
      </c>
      <c r="CC110" s="4585"/>
      <c r="CD110" s="4585"/>
      <c r="CE110" s="1104">
        <f>IF(CC110=0,0,(CD110-CC110)/CC110*100)</f>
        <v>0</v>
      </c>
      <c r="CF110" s="4585"/>
      <c r="CG110" s="4585"/>
      <c r="CH110" s="1104">
        <f>IF(CF110=0,0,(CG110-CF110)/CF110*100)</f>
        <v>0</v>
      </c>
      <c r="CI110" s="4585"/>
      <c r="CJ110" s="4585"/>
      <c r="CK110" s="1104">
        <f>IF(CI110=0,0,(CJ110-CI110)/CI110*100)</f>
        <v>0</v>
      </c>
      <c r="CL110" s="4585"/>
      <c r="CM110" s="4585"/>
      <c r="CN110" s="1104">
        <f>IF(CL110=0,0,(CM110-CL110)/CL110*100)</f>
        <v>0</v>
      </c>
      <c r="CO110" s="4585"/>
      <c r="CP110" s="4585"/>
      <c r="CQ110" s="1104">
        <f>IF(CO110=0,0,(CP110-CO110)/CO110*100)</f>
        <v>0</v>
      </c>
      <c r="CR110" s="4585"/>
      <c r="CS110" s="4585"/>
      <c r="CT110" s="1104">
        <f>IF(CR110=0,0,(CS110-CR110)/CR110*100)</f>
        <v>0</v>
      </c>
      <c r="CU110" s="4585"/>
      <c r="CV110" s="4585"/>
      <c r="CW110" s="1104">
        <f>IF(CU110=0,0,(CV110-CU110)/CU110*100)</f>
        <v>0</v>
      </c>
      <c r="CX110" s="4585"/>
      <c r="CY110" s="4585"/>
      <c r="CZ110" s="1104">
        <f>IF(CX110=0,0,(CY110-CX110)/CX110*100)</f>
        <v>0</v>
      </c>
      <c r="DA110" s="4585"/>
      <c r="DB110" s="4585"/>
      <c r="DC110" s="1104">
        <f>IF(DA110=0,0,(DB110-DA110)/DA110*100)</f>
        <v>0</v>
      </c>
      <c r="DD110" s="4585"/>
      <c r="DE110" s="4585"/>
      <c r="DF110" s="1104">
        <f>IF(DD110=0,0,(DE110-DD110)/DD110*100)</f>
        <v>0</v>
      </c>
      <c r="DG110" s="4585"/>
      <c r="DH110" s="4585"/>
      <c r="DI110" s="1104">
        <f>IF(DG110=0,0,(DH110-DG110)/DG110*100)</f>
        <v>0</v>
      </c>
      <c r="DJ110" s="4585"/>
      <c r="DK110" s="4585"/>
      <c r="DL110" s="1104">
        <f>IF(DJ110=0,0,(DK110-DJ110)/DJ110*100)</f>
        <v>0</v>
      </c>
      <c r="DM110" s="4585"/>
      <c r="DN110" s="4585"/>
      <c r="DO110" s="1104">
        <f>IF(DM110=0,0,(DN110-DM110)/DM110*100)</f>
        <v>0</v>
      </c>
      <c r="DP110" s="4585"/>
      <c r="DQ110" s="4585"/>
      <c r="DR110" s="1104">
        <f>IF(DP110=0,0,(DQ110-DP110)/DP110*100)</f>
        <v>0</v>
      </c>
      <c r="DS110" s="4585"/>
      <c r="DT110" s="4585"/>
      <c r="DU110" s="1104">
        <f>IF(DS110=0,0,(DT110-DS110)/DS110*100)</f>
        <v>0</v>
      </c>
      <c r="DV110" s="4585"/>
      <c r="DW110" s="4585"/>
      <c r="DX110" s="1104">
        <f>IF(DV110=0,0,(DW110-DV110)/DV110*100)</f>
        <v>0</v>
      </c>
      <c r="DY110" s="4585"/>
      <c r="DZ110" s="4585"/>
      <c r="EA110" s="1104">
        <f>IF(DY110=0,0,(DZ110-DY110)/DY110*100)</f>
        <v>0</v>
      </c>
      <c r="EB110" s="4585"/>
      <c r="EC110" s="4585"/>
      <c r="ED110" s="1104">
        <f>IF(EB110=0,0,(EC110-EB110)/EB110*100)</f>
        <v>0</v>
      </c>
      <c r="EE110" s="4585"/>
      <c r="EF110" s="4585"/>
      <c r="EG110" s="1104">
        <f>IF(EE110=0,0,(EF110-EE110)/EE110*100)</f>
        <v>0</v>
      </c>
      <c r="EH110" s="4585"/>
      <c r="EI110" s="4585"/>
      <c r="EJ110" s="1104">
        <f>IF(EH110=0,0,(EI110-EH110)/EH110*100)</f>
        <v>0</v>
      </c>
      <c r="EK110" s="4585"/>
      <c r="EL110" s="4585"/>
      <c r="EM110" s="1104">
        <f>IF(EK110=0,0,(EL110-EK110)/EK110*100)</f>
        <v>0</v>
      </c>
      <c r="EN110" s="4585"/>
      <c r="EO110" s="4585"/>
      <c r="EP110" s="1104">
        <f>IF(EN110=0,0,(EO110-EN110)/EN110*100)</f>
        <v>0</v>
      </c>
      <c r="EQ110" s="4585"/>
      <c r="ER110" s="4585"/>
      <c r="ES110" s="1104">
        <f>IF(EQ110=0,0,(ER110-EQ110)/EQ110*100)</f>
        <v>0</v>
      </c>
      <c r="ET110" s="4585"/>
      <c r="EU110" s="4585"/>
      <c r="EV110" s="1104">
        <f>IF(ET110=0,0,(EU110-ET110)/ET110*100)</f>
        <v>0</v>
      </c>
      <c r="EW110" s="4585"/>
      <c r="EX110" s="4585"/>
      <c r="EY110" s="1104">
        <f>IF(EW110=0,0,(EX110-EW110)/EW110*100)</f>
        <v>0</v>
      </c>
      <c r="EZ110" s="4585"/>
      <c r="FA110" s="4585"/>
      <c r="FB110" s="1104">
        <f>IF(EZ110=0,0,(FA110-EZ110)/EZ110*100)</f>
        <v>0</v>
      </c>
      <c r="FC110" s="4585"/>
      <c r="FD110" s="4585"/>
      <c r="FE110" s="1104">
        <f>IF(FC110=0,0,(FD110-FC110)/FC110*100)</f>
        <v>0</v>
      </c>
      <c r="FF110" s="4585"/>
      <c r="FG110" s="4585"/>
      <c r="FH110" s="1104">
        <f>IF(FF110=0,0,(FG110-FF110)/FF110*100)</f>
        <v>0</v>
      </c>
      <c r="FI110" s="4585"/>
      <c r="FJ110" s="4585"/>
      <c r="FK110" s="1104">
        <f>IF(FI110=0,0,(FJ110-FI110)/FI110*100)</f>
        <v>0</v>
      </c>
      <c r="FL110" s="4585"/>
      <c r="FM110" s="4585"/>
      <c r="FN110" s="1104">
        <f>IF(FL110=0,0,(FM110-FL110)/FL110*100)</f>
        <v>0</v>
      </c>
      <c r="FO110" s="4585"/>
      <c r="FP110" s="4585"/>
      <c r="FQ110" s="1104">
        <f>IF(FO110=0,0,(FP110-FO110)/FO110*100)</f>
        <v>0</v>
      </c>
      <c r="FR110" s="4585"/>
      <c r="FS110" s="4585"/>
      <c r="FT110" s="1104">
        <f>IF(FR110=0,0,(FS110-FR110)/FR110*100)</f>
        <v>0</v>
      </c>
      <c r="FU110" s="4585"/>
      <c r="FV110" s="4585"/>
      <c r="FW110" s="1104">
        <f>IF(FU110=0,0,(FV110-FU110)/FU110*100)</f>
        <v>0</v>
      </c>
      <c r="FX110" s="288"/>
      <c r="FY110" s="1328"/>
      <c r="FZ110" s="1063" t="s">
        <v>1890</v>
      </c>
      <c r="GA110" s="1023" t="s">
        <v>1888</v>
      </c>
      <c r="GB110" s="1023" cm="1" t="str">
        <f t="array" ref="GB110:GB110">GB108</f>
        <v>г. Ленинск-Кузнецкий, г. Полысаево (кроме потребителей, получающих воду с НФС пос. Демьяновский) (с 01.01. по 30.09.)</v>
      </c>
      <c r="GC110" s="1329"/>
      <c r="GD110" s="1329"/>
    </row>
    <row s="1656" customFormat="1" customHeight="1" ht="34.921875">
      <c r="A111" s="496"/>
      <c r="B111" s="932" cm="1" t="str">
        <f t="array" ref="B111:B111">B110</f>
        <v>true</v>
      </c>
      <c r="C111" s="496"/>
      <c r="D111" s="496"/>
      <c r="E111" s="847">
        <v>18.75</v>
      </c>
      <c r="F111" s="50" cm="1" t="str">
        <f t="array" ref="F111:F111">OFFSET(E111,-1,1)</f>
        <v>1</v>
      </c>
      <c r="G111" s="496"/>
      <c r="H111" s="496" t="s">
        <v>566</v>
      </c>
      <c r="I111" s="496" cm="1" t="str">
        <f t="array" ref="I111:I111">AB111</f>
        <v>г. Ленинск-Кузнецкий, г. Полысаево (кроме потребителей, получающих воду с НФС пос. Демьяновский) (с 01.10. по 31.12.)</v>
      </c>
      <c r="J111" s="496"/>
      <c r="K111" s="496"/>
      <c r="L111" s="496"/>
      <c r="M111" s="496"/>
      <c r="N111" s="496"/>
      <c r="O111" s="496"/>
      <c r="P111" s="496"/>
      <c r="Q111" s="904"/>
      <c r="R111" s="496"/>
      <c r="S111" s="496"/>
      <c r="T111" s="468">
        <f>AND(F111&gt;0,Y111&gt;0)</f>
        <v>1</v>
      </c>
      <c r="U111" s="496"/>
      <c r="V111" s="496"/>
      <c r="W111" s="496"/>
      <c r="X111" s="1559"/>
      <c r="Y111" s="1559" t="s">
        <v>299</v>
      </c>
      <c r="Z111" s="1528"/>
      <c r="AA111" s="1516" t="s">
        <v>174</v>
      </c>
      <c r="AB111" s="908" t="s">
        <v>1954</v>
      </c>
      <c r="AC111" s="871" t="s">
        <v>1862</v>
      </c>
      <c r="AD111" s="1105">
        <v>155.089</v>
      </c>
      <c r="AE111" s="1106">
        <v>63.87</v>
      </c>
      <c r="AF111" s="1102">
        <f>IF(AD111=0,0,(AE111-AD111)/AD111*100)</f>
        <v>-58.817195287867</v>
      </c>
      <c r="AG111" s="4591"/>
      <c r="AH111" s="4592"/>
      <c r="AI111" s="1102">
        <f>IF(AG111=0,0,(AH111-AG111)/AG111*100)</f>
        <v>0</v>
      </c>
      <c r="AJ111" s="4591"/>
      <c r="AK111" s="4592"/>
      <c r="AL111" s="1102">
        <f>IF(AJ111=0,0,(AK111-AJ111)/AJ111*100)</f>
        <v>0</v>
      </c>
      <c r="AM111" s="4591"/>
      <c r="AN111" s="4592"/>
      <c r="AO111" s="1102">
        <f>IF(AM111=0,0,(AN111-AM111)/AM111*100)</f>
        <v>0</v>
      </c>
      <c r="AP111" s="4591"/>
      <c r="AQ111" s="4592"/>
      <c r="AR111" s="1102">
        <f>IF(AP111=0,0,(AQ111-AP111)/AP111*100)</f>
        <v>0</v>
      </c>
      <c r="AS111" s="4591"/>
      <c r="AT111" s="4592"/>
      <c r="AU111" s="1102">
        <f>IF(AS111=0,0,(AT111-AS111)/AS111*100)</f>
        <v>0</v>
      </c>
      <c r="AV111" s="4591"/>
      <c r="AW111" s="4592"/>
      <c r="AX111" s="1102">
        <f>IF(AV111=0,0,(AW111-AV111)/AV111*100)</f>
        <v>0</v>
      </c>
      <c r="AY111" s="4591"/>
      <c r="AZ111" s="4592"/>
      <c r="BA111" s="1102">
        <f>IF(AY111=0,0,(AZ111-AY111)/AY111*100)</f>
        <v>0</v>
      </c>
      <c r="BB111" s="4591"/>
      <c r="BC111" s="4592"/>
      <c r="BD111" s="1102">
        <f>IF(BB111=0,0,(BC111-BB111)/BB111*100)</f>
        <v>0</v>
      </c>
      <c r="BE111" s="4591"/>
      <c r="BF111" s="4592"/>
      <c r="BG111" s="1102">
        <f>IF(BE111=0,0,(BF111-BE111)/BE111*100)</f>
        <v>0</v>
      </c>
      <c r="BH111" s="4591"/>
      <c r="BI111" s="4592"/>
      <c r="BJ111" s="1102">
        <f>IF(BH111=0,0,(BI111-BH111)/BH111*100)</f>
        <v>0</v>
      </c>
      <c r="BK111" s="4591"/>
      <c r="BL111" s="4592"/>
      <c r="BM111" s="1102">
        <f>IF(BK111=0,0,(BL111-BK111)/BK111*100)</f>
        <v>0</v>
      </c>
      <c r="BN111" s="4591"/>
      <c r="BO111" s="4592"/>
      <c r="BP111" s="1102">
        <f>IF(BN111=0,0,(BO111-BN111)/BN111*100)</f>
        <v>0</v>
      </c>
      <c r="BQ111" s="4591"/>
      <c r="BR111" s="4592"/>
      <c r="BS111" s="1102">
        <f>IF(BQ111=0,0,(BR111-BQ111)/BQ111*100)</f>
        <v>0</v>
      </c>
      <c r="BT111" s="4591"/>
      <c r="BU111" s="4592"/>
      <c r="BV111" s="1102">
        <f>IF(BT111=0,0,(BU111-BT111)/BT111*100)</f>
        <v>0</v>
      </c>
      <c r="BW111" s="4591"/>
      <c r="BX111" s="4592"/>
      <c r="BY111" s="1102">
        <f>IF(BW111=0,0,(BX111-BW111)/BW111*100)</f>
        <v>0</v>
      </c>
      <c r="BZ111" s="4591"/>
      <c r="CA111" s="4592"/>
      <c r="CB111" s="1102">
        <f>IF(BZ111=0,0,(CA111-BZ111)/BZ111*100)</f>
        <v>0</v>
      </c>
      <c r="CC111" s="4591"/>
      <c r="CD111" s="4592"/>
      <c r="CE111" s="1102">
        <f>IF(CC111=0,0,(CD111-CC111)/CC111*100)</f>
        <v>0</v>
      </c>
      <c r="CF111" s="4591"/>
      <c r="CG111" s="4592"/>
      <c r="CH111" s="1102">
        <f>IF(CF111=0,0,(CG111-CF111)/CF111*100)</f>
        <v>0</v>
      </c>
      <c r="CI111" s="4591"/>
      <c r="CJ111" s="4592"/>
      <c r="CK111" s="1102">
        <f>IF(CI111=0,0,(CJ111-CI111)/CI111*100)</f>
        <v>0</v>
      </c>
      <c r="CL111" s="4591"/>
      <c r="CM111" s="4592"/>
      <c r="CN111" s="1102">
        <f>IF(CL111=0,0,(CM111-CL111)/CL111*100)</f>
        <v>0</v>
      </c>
      <c r="CO111" s="4591"/>
      <c r="CP111" s="4592"/>
      <c r="CQ111" s="1102">
        <f>IF(CO111=0,0,(CP111-CO111)/CO111*100)</f>
        <v>0</v>
      </c>
      <c r="CR111" s="4591"/>
      <c r="CS111" s="4592"/>
      <c r="CT111" s="1102">
        <f>IF(CR111=0,0,(CS111-CR111)/CR111*100)</f>
        <v>0</v>
      </c>
      <c r="CU111" s="4591"/>
      <c r="CV111" s="4592"/>
      <c r="CW111" s="1102">
        <f>IF(CU111=0,0,(CV111-CU111)/CU111*100)</f>
        <v>0</v>
      </c>
      <c r="CX111" s="4591"/>
      <c r="CY111" s="4592"/>
      <c r="CZ111" s="1102">
        <f>IF(CX111=0,0,(CY111-CX111)/CX111*100)</f>
        <v>0</v>
      </c>
      <c r="DA111" s="4591"/>
      <c r="DB111" s="4592"/>
      <c r="DC111" s="1102">
        <f>IF(DA111=0,0,(DB111-DA111)/DA111*100)</f>
        <v>0</v>
      </c>
      <c r="DD111" s="4591"/>
      <c r="DE111" s="4592"/>
      <c r="DF111" s="1102">
        <f>IF(DD111=0,0,(DE111-DD111)/DD111*100)</f>
        <v>0</v>
      </c>
      <c r="DG111" s="4591"/>
      <c r="DH111" s="4592"/>
      <c r="DI111" s="1102">
        <f>IF(DG111=0,0,(DH111-DG111)/DG111*100)</f>
        <v>0</v>
      </c>
      <c r="DJ111" s="4591"/>
      <c r="DK111" s="4592"/>
      <c r="DL111" s="1102">
        <f>IF(DJ111=0,0,(DK111-DJ111)/DJ111*100)</f>
        <v>0</v>
      </c>
      <c r="DM111" s="4591"/>
      <c r="DN111" s="4592"/>
      <c r="DO111" s="1102">
        <f>IF(DM111=0,0,(DN111-DM111)/DM111*100)</f>
        <v>0</v>
      </c>
      <c r="DP111" s="4591"/>
      <c r="DQ111" s="4592"/>
      <c r="DR111" s="1102">
        <f>IF(DP111=0,0,(DQ111-DP111)/DP111*100)</f>
        <v>0</v>
      </c>
      <c r="DS111" s="4591"/>
      <c r="DT111" s="4592"/>
      <c r="DU111" s="1102">
        <f>IF(DS111=0,0,(DT111-DS111)/DS111*100)</f>
        <v>0</v>
      </c>
      <c r="DV111" s="4591"/>
      <c r="DW111" s="4592"/>
      <c r="DX111" s="1102">
        <f>IF(DV111=0,0,(DW111-DV111)/DV111*100)</f>
        <v>0</v>
      </c>
      <c r="DY111" s="4591"/>
      <c r="DZ111" s="4592"/>
      <c r="EA111" s="1102">
        <f>IF(DY111=0,0,(DZ111-DY111)/DY111*100)</f>
        <v>0</v>
      </c>
      <c r="EB111" s="4591"/>
      <c r="EC111" s="4592"/>
      <c r="ED111" s="1102">
        <f>IF(EB111=0,0,(EC111-EB111)/EB111*100)</f>
        <v>0</v>
      </c>
      <c r="EE111" s="4591"/>
      <c r="EF111" s="4592"/>
      <c r="EG111" s="1102">
        <f>IF(EE111=0,0,(EF111-EE111)/EE111*100)</f>
        <v>0</v>
      </c>
      <c r="EH111" s="4591"/>
      <c r="EI111" s="4592"/>
      <c r="EJ111" s="1102">
        <f>IF(EH111=0,0,(EI111-EH111)/EH111*100)</f>
        <v>0</v>
      </c>
      <c r="EK111" s="4591"/>
      <c r="EL111" s="4592"/>
      <c r="EM111" s="1102">
        <f>IF(EK111=0,0,(EL111-EK111)/EK111*100)</f>
        <v>0</v>
      </c>
      <c r="EN111" s="4591"/>
      <c r="EO111" s="4592"/>
      <c r="EP111" s="1102">
        <f>IF(EN111=0,0,(EO111-EN111)/EN111*100)</f>
        <v>0</v>
      </c>
      <c r="EQ111" s="4591"/>
      <c r="ER111" s="4592"/>
      <c r="ES111" s="1102">
        <f>IF(EQ111=0,0,(ER111-EQ111)/EQ111*100)</f>
        <v>0</v>
      </c>
      <c r="ET111" s="4591"/>
      <c r="EU111" s="4592"/>
      <c r="EV111" s="1102">
        <f>IF(ET111=0,0,(EU111-ET111)/ET111*100)</f>
        <v>0</v>
      </c>
      <c r="EW111" s="4591"/>
      <c r="EX111" s="4592"/>
      <c r="EY111" s="1102">
        <f>IF(EW111=0,0,(EX111-EW111)/EW111*100)</f>
        <v>0</v>
      </c>
      <c r="EZ111" s="4591"/>
      <c r="FA111" s="4592"/>
      <c r="FB111" s="1102">
        <f>IF(EZ111=0,0,(FA111-EZ111)/EZ111*100)</f>
        <v>0</v>
      </c>
      <c r="FC111" s="4591"/>
      <c r="FD111" s="4592"/>
      <c r="FE111" s="1102">
        <f>IF(FC111=0,0,(FD111-FC111)/FC111*100)</f>
        <v>0</v>
      </c>
      <c r="FF111" s="4591"/>
      <c r="FG111" s="4592"/>
      <c r="FH111" s="1102">
        <f>IF(FF111=0,0,(FG111-FF111)/FF111*100)</f>
        <v>0</v>
      </c>
      <c r="FI111" s="4591"/>
      <c r="FJ111" s="4592"/>
      <c r="FK111" s="1102">
        <f>IF(FI111=0,0,(FJ111-FI111)/FI111*100)</f>
        <v>0</v>
      </c>
      <c r="FL111" s="4591"/>
      <c r="FM111" s="4592"/>
      <c r="FN111" s="1102">
        <f>IF(FL111=0,0,(FM111-FL111)/FL111*100)</f>
        <v>0</v>
      </c>
      <c r="FO111" s="4591"/>
      <c r="FP111" s="4592"/>
      <c r="FQ111" s="1102">
        <f>IF(FO111=0,0,(FP111-FO111)/FO111*100)</f>
        <v>0</v>
      </c>
      <c r="FR111" s="4591"/>
      <c r="FS111" s="4592"/>
      <c r="FT111" s="1102">
        <f>IF(FR111=0,0,(FS111-FR111)/FR111*100)</f>
        <v>0</v>
      </c>
      <c r="FU111" s="4591"/>
      <c r="FV111" s="4592"/>
      <c r="FW111" s="1102">
        <f>IF(FU111=0,0,(FV111-FU111)/FU111*100)</f>
        <v>0</v>
      </c>
      <c r="FX111" s="288"/>
      <c r="FY111" s="1328"/>
      <c r="FZ111" s="1063" t="s">
        <v>1887</v>
      </c>
      <c r="GA111" s="1023" t="s">
        <v>1888</v>
      </c>
      <c r="GB111" s="1023" cm="1" t="str">
        <f t="array" ref="GB111:GB111">AB111</f>
        <v>г. Ленинск-Кузнецкий, г. Полысаево (кроме потребителей, получающих воду с НФС пос. Демьяновский) (с 01.10. по 31.12.)</v>
      </c>
      <c r="GC111" s="1329"/>
      <c r="GD111" s="637" t="b">
        <v>1</v>
      </c>
    </row>
    <row customHeight="1" ht="18.525">
      <c r="A112" s="496"/>
      <c r="B112" s="932" cm="1" t="str">
        <f t="array" ref="B112:B112">B111</f>
        <v>true</v>
      </c>
      <c r="C112" s="496"/>
      <c r="D112" s="496"/>
      <c r="E112" s="847">
        <v>19</v>
      </c>
      <c r="F112" s="50" cm="1" t="str">
        <f t="array" ref="F112:F112">OFFSET(E112,-1,1)</f>
        <v>1</v>
      </c>
      <c r="G112" s="496"/>
      <c r="H112" s="496"/>
      <c r="I112" s="496"/>
      <c r="J112" s="496"/>
      <c r="K112" s="496"/>
      <c r="L112" s="496"/>
      <c r="M112" s="496"/>
      <c r="N112" s="496"/>
      <c r="O112" s="496"/>
      <c r="P112" s="496"/>
      <c r="Q112" s="904"/>
      <c r="R112" s="496"/>
      <c r="S112" s="496"/>
      <c r="T112" s="468" cm="1" t="str">
        <f t="array" ref="T112:T112">T111</f>
        <v>true</v>
      </c>
      <c r="U112" s="496"/>
      <c r="V112" s="496"/>
      <c r="W112" s="496"/>
      <c r="X112" s="1559"/>
      <c r="Y112" s="1559"/>
      <c r="Z112" s="1528"/>
      <c r="AA112" s="1516"/>
      <c r="AB112" s="908" t="s">
        <v>1955</v>
      </c>
      <c r="AC112" s="871" t="s">
        <v>1862</v>
      </c>
      <c r="AD112" s="1105"/>
      <c r="AE112" s="1106"/>
      <c r="AF112" s="1102">
        <f>IF(AD112=0,0,(AE112-AD112)/AD112*100)</f>
        <v>0</v>
      </c>
      <c r="AG112" s="4591"/>
      <c r="AH112" s="4592"/>
      <c r="AI112" s="1102">
        <f>IF(AG112=0,0,(AH112-AG112)/AG112*100)</f>
        <v>0</v>
      </c>
      <c r="AJ112" s="4591"/>
      <c r="AK112" s="4592"/>
      <c r="AL112" s="1102">
        <f>IF(AJ112=0,0,(AK112-AJ112)/AJ112*100)</f>
        <v>0</v>
      </c>
      <c r="AM112" s="4591"/>
      <c r="AN112" s="4592"/>
      <c r="AO112" s="1102">
        <f>IF(AM112=0,0,(AN112-AM112)/AM112*100)</f>
        <v>0</v>
      </c>
      <c r="AP112" s="4591"/>
      <c r="AQ112" s="4592"/>
      <c r="AR112" s="1102">
        <f>IF(AP112=0,0,(AQ112-AP112)/AP112*100)</f>
        <v>0</v>
      </c>
      <c r="AS112" s="4591"/>
      <c r="AT112" s="4592"/>
      <c r="AU112" s="1102">
        <f>IF(AS112=0,0,(AT112-AS112)/AS112*100)</f>
        <v>0</v>
      </c>
      <c r="AV112" s="4591"/>
      <c r="AW112" s="4592"/>
      <c r="AX112" s="1102">
        <f>IF(AV112=0,0,(AW112-AV112)/AV112*100)</f>
        <v>0</v>
      </c>
      <c r="AY112" s="4591"/>
      <c r="AZ112" s="4592"/>
      <c r="BA112" s="1102">
        <f>IF(AY112=0,0,(AZ112-AY112)/AY112*100)</f>
        <v>0</v>
      </c>
      <c r="BB112" s="4591"/>
      <c r="BC112" s="4592"/>
      <c r="BD112" s="1102">
        <f>IF(BB112=0,0,(BC112-BB112)/BB112*100)</f>
        <v>0</v>
      </c>
      <c r="BE112" s="4591"/>
      <c r="BF112" s="4592"/>
      <c r="BG112" s="1102">
        <f>IF(BE112=0,0,(BF112-BE112)/BE112*100)</f>
        <v>0</v>
      </c>
      <c r="BH112" s="4591"/>
      <c r="BI112" s="4592"/>
      <c r="BJ112" s="1102">
        <f>IF(BH112=0,0,(BI112-BH112)/BH112*100)</f>
        <v>0</v>
      </c>
      <c r="BK112" s="4591"/>
      <c r="BL112" s="4592"/>
      <c r="BM112" s="1102">
        <f>IF(BK112=0,0,(BL112-BK112)/BK112*100)</f>
        <v>0</v>
      </c>
      <c r="BN112" s="4591"/>
      <c r="BO112" s="4592"/>
      <c r="BP112" s="1102">
        <f>IF(BN112=0,0,(BO112-BN112)/BN112*100)</f>
        <v>0</v>
      </c>
      <c r="BQ112" s="4591"/>
      <c r="BR112" s="4592"/>
      <c r="BS112" s="1102">
        <f>IF(BQ112=0,0,(BR112-BQ112)/BQ112*100)</f>
        <v>0</v>
      </c>
      <c r="BT112" s="4591"/>
      <c r="BU112" s="4592"/>
      <c r="BV112" s="1102">
        <f>IF(BT112=0,0,(BU112-BT112)/BT112*100)</f>
        <v>0</v>
      </c>
      <c r="BW112" s="4591"/>
      <c r="BX112" s="4592"/>
      <c r="BY112" s="1102">
        <f>IF(BW112=0,0,(BX112-BW112)/BW112*100)</f>
        <v>0</v>
      </c>
      <c r="BZ112" s="4591"/>
      <c r="CA112" s="4592"/>
      <c r="CB112" s="1102">
        <f>IF(BZ112=0,0,(CA112-BZ112)/BZ112*100)</f>
        <v>0</v>
      </c>
      <c r="CC112" s="4591"/>
      <c r="CD112" s="4592"/>
      <c r="CE112" s="1102">
        <f>IF(CC112=0,0,(CD112-CC112)/CC112*100)</f>
        <v>0</v>
      </c>
      <c r="CF112" s="4591"/>
      <c r="CG112" s="4592"/>
      <c r="CH112" s="1102">
        <f>IF(CF112=0,0,(CG112-CF112)/CF112*100)</f>
        <v>0</v>
      </c>
      <c r="CI112" s="4591"/>
      <c r="CJ112" s="4592"/>
      <c r="CK112" s="1102">
        <f>IF(CI112=0,0,(CJ112-CI112)/CI112*100)</f>
        <v>0</v>
      </c>
      <c r="CL112" s="4591"/>
      <c r="CM112" s="4592"/>
      <c r="CN112" s="1102">
        <f>IF(CL112=0,0,(CM112-CL112)/CL112*100)</f>
        <v>0</v>
      </c>
      <c r="CO112" s="4591"/>
      <c r="CP112" s="4592"/>
      <c r="CQ112" s="1102">
        <f>IF(CO112=0,0,(CP112-CO112)/CO112*100)</f>
        <v>0</v>
      </c>
      <c r="CR112" s="4591"/>
      <c r="CS112" s="4592"/>
      <c r="CT112" s="1102">
        <f>IF(CR112=0,0,(CS112-CR112)/CR112*100)</f>
        <v>0</v>
      </c>
      <c r="CU112" s="4591"/>
      <c r="CV112" s="4592"/>
      <c r="CW112" s="1102">
        <f>IF(CU112=0,0,(CV112-CU112)/CU112*100)</f>
        <v>0</v>
      </c>
      <c r="CX112" s="4591"/>
      <c r="CY112" s="4592"/>
      <c r="CZ112" s="1102">
        <f>IF(CX112=0,0,(CY112-CX112)/CX112*100)</f>
        <v>0</v>
      </c>
      <c r="DA112" s="4591"/>
      <c r="DB112" s="4592"/>
      <c r="DC112" s="1102">
        <f>IF(DA112=0,0,(DB112-DA112)/DA112*100)</f>
        <v>0</v>
      </c>
      <c r="DD112" s="4591"/>
      <c r="DE112" s="4592"/>
      <c r="DF112" s="1102">
        <f>IF(DD112=0,0,(DE112-DD112)/DD112*100)</f>
        <v>0</v>
      </c>
      <c r="DG112" s="4591"/>
      <c r="DH112" s="4592"/>
      <c r="DI112" s="1102">
        <f>IF(DG112=0,0,(DH112-DG112)/DG112*100)</f>
        <v>0</v>
      </c>
      <c r="DJ112" s="4591"/>
      <c r="DK112" s="4592"/>
      <c r="DL112" s="1102">
        <f>IF(DJ112=0,0,(DK112-DJ112)/DJ112*100)</f>
        <v>0</v>
      </c>
      <c r="DM112" s="4591"/>
      <c r="DN112" s="4592"/>
      <c r="DO112" s="1102">
        <f>IF(DM112=0,0,(DN112-DM112)/DM112*100)</f>
        <v>0</v>
      </c>
      <c r="DP112" s="4591"/>
      <c r="DQ112" s="4592"/>
      <c r="DR112" s="1102">
        <f>IF(DP112=0,0,(DQ112-DP112)/DP112*100)</f>
        <v>0</v>
      </c>
      <c r="DS112" s="4591"/>
      <c r="DT112" s="4592"/>
      <c r="DU112" s="1102">
        <f>IF(DS112=0,0,(DT112-DS112)/DS112*100)</f>
        <v>0</v>
      </c>
      <c r="DV112" s="4591"/>
      <c r="DW112" s="4592"/>
      <c r="DX112" s="1102">
        <f>IF(DV112=0,0,(DW112-DV112)/DV112*100)</f>
        <v>0</v>
      </c>
      <c r="DY112" s="4591"/>
      <c r="DZ112" s="4592"/>
      <c r="EA112" s="1102">
        <f>IF(DY112=0,0,(DZ112-DY112)/DY112*100)</f>
        <v>0</v>
      </c>
      <c r="EB112" s="4591"/>
      <c r="EC112" s="4592"/>
      <c r="ED112" s="1102">
        <f>IF(EB112=0,0,(EC112-EB112)/EB112*100)</f>
        <v>0</v>
      </c>
      <c r="EE112" s="4591"/>
      <c r="EF112" s="4592"/>
      <c r="EG112" s="1102">
        <f>IF(EE112=0,0,(EF112-EE112)/EE112*100)</f>
        <v>0</v>
      </c>
      <c r="EH112" s="4591"/>
      <c r="EI112" s="4592"/>
      <c r="EJ112" s="1102">
        <f>IF(EH112=0,0,(EI112-EH112)/EH112*100)</f>
        <v>0</v>
      </c>
      <c r="EK112" s="4591"/>
      <c r="EL112" s="4592"/>
      <c r="EM112" s="1102">
        <f>IF(EK112=0,0,(EL112-EK112)/EK112*100)</f>
        <v>0</v>
      </c>
      <c r="EN112" s="4591"/>
      <c r="EO112" s="4592"/>
      <c r="EP112" s="1102">
        <f>IF(EN112=0,0,(EO112-EN112)/EN112*100)</f>
        <v>0</v>
      </c>
      <c r="EQ112" s="4591"/>
      <c r="ER112" s="4592"/>
      <c r="ES112" s="1102">
        <f>IF(EQ112=0,0,(ER112-EQ112)/EQ112*100)</f>
        <v>0</v>
      </c>
      <c r="ET112" s="4591"/>
      <c r="EU112" s="4592"/>
      <c r="EV112" s="1102">
        <f>IF(ET112=0,0,(EU112-ET112)/ET112*100)</f>
        <v>0</v>
      </c>
      <c r="EW112" s="4591"/>
      <c r="EX112" s="4592"/>
      <c r="EY112" s="1102">
        <f>IF(EW112=0,0,(EX112-EW112)/EW112*100)</f>
        <v>0</v>
      </c>
      <c r="EZ112" s="4591"/>
      <c r="FA112" s="4592"/>
      <c r="FB112" s="1102">
        <f>IF(EZ112=0,0,(FA112-EZ112)/EZ112*100)</f>
        <v>0</v>
      </c>
      <c r="FC112" s="4591"/>
      <c r="FD112" s="4592"/>
      <c r="FE112" s="1102">
        <f>IF(FC112=0,0,(FD112-FC112)/FC112*100)</f>
        <v>0</v>
      </c>
      <c r="FF112" s="4591"/>
      <c r="FG112" s="4592"/>
      <c r="FH112" s="1102">
        <f>IF(FF112=0,0,(FG112-FF112)/FF112*100)</f>
        <v>0</v>
      </c>
      <c r="FI112" s="4591"/>
      <c r="FJ112" s="4592"/>
      <c r="FK112" s="1102">
        <f>IF(FI112=0,0,(FJ112-FI112)/FI112*100)</f>
        <v>0</v>
      </c>
      <c r="FL112" s="4591"/>
      <c r="FM112" s="4592"/>
      <c r="FN112" s="1102">
        <f>IF(FL112=0,0,(FM112-FL112)/FL112*100)</f>
        <v>0</v>
      </c>
      <c r="FO112" s="4591"/>
      <c r="FP112" s="4592"/>
      <c r="FQ112" s="1102">
        <f>IF(FO112=0,0,(FP112-FO112)/FO112*100)</f>
        <v>0</v>
      </c>
      <c r="FR112" s="4591"/>
      <c r="FS112" s="4592"/>
      <c r="FT112" s="1102">
        <f>IF(FR112=0,0,(FS112-FR112)/FR112*100)</f>
        <v>0</v>
      </c>
      <c r="FU112" s="4591"/>
      <c r="FV112" s="4592"/>
      <c r="FW112" s="1102">
        <f>IF(FU112=0,0,(FV112-FU112)/FU112*100)</f>
        <v>0</v>
      </c>
      <c r="FZ112" s="1330" t="s">
        <v>1889</v>
      </c>
      <c r="GA112" s="1330" t="s">
        <v>1888</v>
      </c>
      <c r="GB112" s="1330" cm="1" t="str">
        <f t="array" ref="GB112:GB112">GB111</f>
        <v>г. Ленинск-Кузнецкий, г. Полысаево (кроме потребителей, получающих воду с НФС пос. Демьяновский) (с 01.10. по 31.12.)</v>
      </c>
    </row>
    <row s="1656" customFormat="1" customHeight="1" ht="20.671875">
      <c r="A113" s="496"/>
      <c r="B113" s="932" cm="1" t="str">
        <f t="array" ref="B113:B113">B111</f>
        <v>true</v>
      </c>
      <c r="C113" s="496"/>
      <c r="D113" s="496"/>
      <c r="E113" s="847">
        <v>15</v>
      </c>
      <c r="F113" s="50" cm="1" t="str">
        <f t="array" ref="F113:F113">OFFSET(E113,-1,1)</f>
        <v>1</v>
      </c>
      <c r="G113" s="496"/>
      <c r="H113" s="496" t="s">
        <v>573</v>
      </c>
      <c r="I113" s="496" cm="1" t="str">
        <f t="array" ref="I113:I113">I111</f>
        <v>г. Ленинск-Кузнецкий, г. Полысаево (кроме потребителей, получающих воду с НФС пос. Демьяновский) (с 01.10. по 31.12.)</v>
      </c>
      <c r="J113" s="496"/>
      <c r="K113" s="496"/>
      <c r="L113" s="496"/>
      <c r="M113" s="496"/>
      <c r="N113" s="496"/>
      <c r="O113" s="496"/>
      <c r="P113" s="496"/>
      <c r="Q113" s="904"/>
      <c r="R113" s="496"/>
      <c r="S113" s="496"/>
      <c r="T113" s="468" cm="1" t="str">
        <f t="array" ref="T113:T113">T111</f>
        <v>true</v>
      </c>
      <c r="U113" s="496"/>
      <c r="V113" s="496"/>
      <c r="W113" s="496"/>
      <c r="X113" s="1559"/>
      <c r="Y113" s="1559"/>
      <c r="Z113" s="1528"/>
      <c r="AA113" s="1516"/>
      <c r="AB113" s="907" t="s">
        <v>1872</v>
      </c>
      <c r="AC113" s="296" t="s">
        <v>657</v>
      </c>
      <c r="AD113" s="1103" cm="1" t="str">
        <f t="array" ref="AD113:AD113">AD110</f>
        <v>4867.59743</v>
      </c>
      <c r="AE113" s="1103">
        <v>2551.52342</v>
      </c>
      <c r="AF113" s="1104">
        <f>IF(AD113=0,0,(AE113-AD113)/AD113*100)</f>
        <v>-47.5814617643925</v>
      </c>
      <c r="AG113" s="4585"/>
      <c r="AH113" s="4585"/>
      <c r="AI113" s="1104">
        <f>IF(AG113=0,0,(AH113-AG113)/AG113*100)</f>
        <v>0</v>
      </c>
      <c r="AJ113" s="4585"/>
      <c r="AK113" s="4585"/>
      <c r="AL113" s="1104">
        <f>IF(AJ113=0,0,(AK113-AJ113)/AJ113*100)</f>
        <v>0</v>
      </c>
      <c r="AM113" s="4585"/>
      <c r="AN113" s="4585"/>
      <c r="AO113" s="1104">
        <f>IF(AM113=0,0,(AN113-AM113)/AM113*100)</f>
        <v>0</v>
      </c>
      <c r="AP113" s="4585"/>
      <c r="AQ113" s="4585"/>
      <c r="AR113" s="1104">
        <f>IF(AP113=0,0,(AQ113-AP113)/AP113*100)</f>
        <v>0</v>
      </c>
      <c r="AS113" s="4585"/>
      <c r="AT113" s="4585"/>
      <c r="AU113" s="1104">
        <f>IF(AS113=0,0,(AT113-AS113)/AS113*100)</f>
        <v>0</v>
      </c>
      <c r="AV113" s="4585"/>
      <c r="AW113" s="4585"/>
      <c r="AX113" s="1104">
        <f>IF(AV113=0,0,(AW113-AV113)/AV113*100)</f>
        <v>0</v>
      </c>
      <c r="AY113" s="4585"/>
      <c r="AZ113" s="4585"/>
      <c r="BA113" s="1104">
        <f>IF(AY113=0,0,(AZ113-AY113)/AY113*100)</f>
        <v>0</v>
      </c>
      <c r="BB113" s="4585"/>
      <c r="BC113" s="4585"/>
      <c r="BD113" s="1104">
        <f>IF(BB113=0,0,(BC113-BB113)/BB113*100)</f>
        <v>0</v>
      </c>
      <c r="BE113" s="4585"/>
      <c r="BF113" s="4585"/>
      <c r="BG113" s="1104">
        <f>IF(BE113=0,0,(BF113-BE113)/BE113*100)</f>
        <v>0</v>
      </c>
      <c r="BH113" s="4585"/>
      <c r="BI113" s="4585"/>
      <c r="BJ113" s="1104">
        <f>IF(BH113=0,0,(BI113-BH113)/BH113*100)</f>
        <v>0</v>
      </c>
      <c r="BK113" s="4585"/>
      <c r="BL113" s="4585"/>
      <c r="BM113" s="1104">
        <f>IF(BK113=0,0,(BL113-BK113)/BK113*100)</f>
        <v>0</v>
      </c>
      <c r="BN113" s="4585"/>
      <c r="BO113" s="4585"/>
      <c r="BP113" s="1104">
        <f>IF(BN113=0,0,(BO113-BN113)/BN113*100)</f>
        <v>0</v>
      </c>
      <c r="BQ113" s="4585"/>
      <c r="BR113" s="4585"/>
      <c r="BS113" s="1104">
        <f>IF(BQ113=0,0,(BR113-BQ113)/BQ113*100)</f>
        <v>0</v>
      </c>
      <c r="BT113" s="4585"/>
      <c r="BU113" s="4585"/>
      <c r="BV113" s="1104">
        <f>IF(BT113=0,0,(BU113-BT113)/BT113*100)</f>
        <v>0</v>
      </c>
      <c r="BW113" s="4585"/>
      <c r="BX113" s="4585"/>
      <c r="BY113" s="1104">
        <f>IF(BW113=0,0,(BX113-BW113)/BW113*100)</f>
        <v>0</v>
      </c>
      <c r="BZ113" s="4585"/>
      <c r="CA113" s="4585"/>
      <c r="CB113" s="1104">
        <f>IF(BZ113=0,0,(CA113-BZ113)/BZ113*100)</f>
        <v>0</v>
      </c>
      <c r="CC113" s="4585"/>
      <c r="CD113" s="4585"/>
      <c r="CE113" s="1104">
        <f>IF(CC113=0,0,(CD113-CC113)/CC113*100)</f>
        <v>0</v>
      </c>
      <c r="CF113" s="4585"/>
      <c r="CG113" s="4585"/>
      <c r="CH113" s="1104">
        <f>IF(CF113=0,0,(CG113-CF113)/CF113*100)</f>
        <v>0</v>
      </c>
      <c r="CI113" s="4585"/>
      <c r="CJ113" s="4585"/>
      <c r="CK113" s="1104">
        <f>IF(CI113=0,0,(CJ113-CI113)/CI113*100)</f>
        <v>0</v>
      </c>
      <c r="CL113" s="4585"/>
      <c r="CM113" s="4585"/>
      <c r="CN113" s="1104">
        <f>IF(CL113=0,0,(CM113-CL113)/CL113*100)</f>
        <v>0</v>
      </c>
      <c r="CO113" s="4585"/>
      <c r="CP113" s="4585"/>
      <c r="CQ113" s="1104">
        <f>IF(CO113=0,0,(CP113-CO113)/CO113*100)</f>
        <v>0</v>
      </c>
      <c r="CR113" s="4585"/>
      <c r="CS113" s="4585"/>
      <c r="CT113" s="1104">
        <f>IF(CR113=0,0,(CS113-CR113)/CR113*100)</f>
        <v>0</v>
      </c>
      <c r="CU113" s="4585"/>
      <c r="CV113" s="4585"/>
      <c r="CW113" s="1104">
        <f>IF(CU113=0,0,(CV113-CU113)/CU113*100)</f>
        <v>0</v>
      </c>
      <c r="CX113" s="4585"/>
      <c r="CY113" s="4585"/>
      <c r="CZ113" s="1104">
        <f>IF(CX113=0,0,(CY113-CX113)/CX113*100)</f>
        <v>0</v>
      </c>
      <c r="DA113" s="4585"/>
      <c r="DB113" s="4585"/>
      <c r="DC113" s="1104">
        <f>IF(DA113=0,0,(DB113-DA113)/DA113*100)</f>
        <v>0</v>
      </c>
      <c r="DD113" s="4585"/>
      <c r="DE113" s="4585"/>
      <c r="DF113" s="1104">
        <f>IF(DD113=0,0,(DE113-DD113)/DD113*100)</f>
        <v>0</v>
      </c>
      <c r="DG113" s="4585"/>
      <c r="DH113" s="4585"/>
      <c r="DI113" s="1104">
        <f>IF(DG113=0,0,(DH113-DG113)/DG113*100)</f>
        <v>0</v>
      </c>
      <c r="DJ113" s="4585"/>
      <c r="DK113" s="4585"/>
      <c r="DL113" s="1104">
        <f>IF(DJ113=0,0,(DK113-DJ113)/DJ113*100)</f>
        <v>0</v>
      </c>
      <c r="DM113" s="4585"/>
      <c r="DN113" s="4585"/>
      <c r="DO113" s="1104">
        <f>IF(DM113=0,0,(DN113-DM113)/DM113*100)</f>
        <v>0</v>
      </c>
      <c r="DP113" s="4585"/>
      <c r="DQ113" s="4585"/>
      <c r="DR113" s="1104">
        <f>IF(DP113=0,0,(DQ113-DP113)/DP113*100)</f>
        <v>0</v>
      </c>
      <c r="DS113" s="4585"/>
      <c r="DT113" s="4585"/>
      <c r="DU113" s="1104">
        <f>IF(DS113=0,0,(DT113-DS113)/DS113*100)</f>
        <v>0</v>
      </c>
      <c r="DV113" s="4585"/>
      <c r="DW113" s="4585"/>
      <c r="DX113" s="1104">
        <f>IF(DV113=0,0,(DW113-DV113)/DV113*100)</f>
        <v>0</v>
      </c>
      <c r="DY113" s="4585"/>
      <c r="DZ113" s="4585"/>
      <c r="EA113" s="1104">
        <f>IF(DY113=0,0,(DZ113-DY113)/DY113*100)</f>
        <v>0</v>
      </c>
      <c r="EB113" s="4585"/>
      <c r="EC113" s="4585"/>
      <c r="ED113" s="1104">
        <f>IF(EB113=0,0,(EC113-EB113)/EB113*100)</f>
        <v>0</v>
      </c>
      <c r="EE113" s="4585"/>
      <c r="EF113" s="4585"/>
      <c r="EG113" s="1104">
        <f>IF(EE113=0,0,(EF113-EE113)/EE113*100)</f>
        <v>0</v>
      </c>
      <c r="EH113" s="4585"/>
      <c r="EI113" s="4585"/>
      <c r="EJ113" s="1104">
        <f>IF(EH113=0,0,(EI113-EH113)/EH113*100)</f>
        <v>0</v>
      </c>
      <c r="EK113" s="4585"/>
      <c r="EL113" s="4585"/>
      <c r="EM113" s="1104">
        <f>IF(EK113=0,0,(EL113-EK113)/EK113*100)</f>
        <v>0</v>
      </c>
      <c r="EN113" s="4585"/>
      <c r="EO113" s="4585"/>
      <c r="EP113" s="1104">
        <f>IF(EN113=0,0,(EO113-EN113)/EN113*100)</f>
        <v>0</v>
      </c>
      <c r="EQ113" s="4585"/>
      <c r="ER113" s="4585"/>
      <c r="ES113" s="1104">
        <f>IF(EQ113=0,0,(ER113-EQ113)/EQ113*100)</f>
        <v>0</v>
      </c>
      <c r="ET113" s="4585"/>
      <c r="EU113" s="4585"/>
      <c r="EV113" s="1104">
        <f>IF(ET113=0,0,(EU113-ET113)/ET113*100)</f>
        <v>0</v>
      </c>
      <c r="EW113" s="4585"/>
      <c r="EX113" s="4585"/>
      <c r="EY113" s="1104">
        <f>IF(EW113=0,0,(EX113-EW113)/EW113*100)</f>
        <v>0</v>
      </c>
      <c r="EZ113" s="4585"/>
      <c r="FA113" s="4585"/>
      <c r="FB113" s="1104">
        <f>IF(EZ113=0,0,(FA113-EZ113)/EZ113*100)</f>
        <v>0</v>
      </c>
      <c r="FC113" s="4585"/>
      <c r="FD113" s="4585"/>
      <c r="FE113" s="1104">
        <f>IF(FC113=0,0,(FD113-FC113)/FC113*100)</f>
        <v>0</v>
      </c>
      <c r="FF113" s="4585"/>
      <c r="FG113" s="4585"/>
      <c r="FH113" s="1104">
        <f>IF(FF113=0,0,(FG113-FF113)/FF113*100)</f>
        <v>0</v>
      </c>
      <c r="FI113" s="4585"/>
      <c r="FJ113" s="4585"/>
      <c r="FK113" s="1104">
        <f>IF(FI113=0,0,(FJ113-FI113)/FI113*100)</f>
        <v>0</v>
      </c>
      <c r="FL113" s="4585"/>
      <c r="FM113" s="4585"/>
      <c r="FN113" s="1104">
        <f>IF(FL113=0,0,(FM113-FL113)/FL113*100)</f>
        <v>0</v>
      </c>
      <c r="FO113" s="4585"/>
      <c r="FP113" s="4585"/>
      <c r="FQ113" s="1104">
        <f>IF(FO113=0,0,(FP113-FO113)/FO113*100)</f>
        <v>0</v>
      </c>
      <c r="FR113" s="4585"/>
      <c r="FS113" s="4585"/>
      <c r="FT113" s="1104">
        <f>IF(FR113=0,0,(FS113-FR113)/FR113*100)</f>
        <v>0</v>
      </c>
      <c r="FU113" s="4585"/>
      <c r="FV113" s="4585"/>
      <c r="FW113" s="1104">
        <f>IF(FU113=0,0,(FV113-FU113)/FU113*100)</f>
        <v>0</v>
      </c>
      <c r="FX113" s="288"/>
      <c r="FY113" s="1328"/>
      <c r="FZ113" s="1063" t="s">
        <v>1890</v>
      </c>
      <c r="GA113" s="1023" t="s">
        <v>1888</v>
      </c>
      <c r="GB113" s="1023" cm="1" t="str">
        <f t="array" ref="GB113:GB113">GB111</f>
        <v>г. Ленинск-Кузнецкий, г. Полысаево (кроме потребителей, получающих воду с НФС пос. Демьяновский) (с 01.10. по 31.12.)</v>
      </c>
      <c r="GC113" s="1329"/>
      <c r="GD113" s="1329"/>
    </row>
    <row s="1656" customFormat="1" customHeight="1" ht="30.421875">
      <c r="A114" s="496"/>
      <c r="B114" s="932" cm="1" t="str">
        <f t="array" ref="B114:B114">B113</f>
        <v>true</v>
      </c>
      <c r="C114" s="496"/>
      <c r="D114" s="496"/>
      <c r="E114" s="847">
        <v>18.75</v>
      </c>
      <c r="F114" s="50" cm="1" t="str">
        <f t="array" ref="F114:F114">OFFSET(E114,-1,1)</f>
        <v>1</v>
      </c>
      <c r="G114" s="496"/>
      <c r="H114" s="496" t="s">
        <v>566</v>
      </c>
      <c r="I114" s="496" cm="1" t="str">
        <f t="array" ref="I114:I114">AB114</f>
        <v>Иногородние потребители, получающие воду с НФС пос. Демьяновский (с 01.01. по 30.09.)</v>
      </c>
      <c r="J114" s="496"/>
      <c r="K114" s="496"/>
      <c r="L114" s="496"/>
      <c r="M114" s="496"/>
      <c r="N114" s="496"/>
      <c r="O114" s="496"/>
      <c r="P114" s="496"/>
      <c r="Q114" s="904"/>
      <c r="R114" s="496"/>
      <c r="S114" s="496"/>
      <c r="T114" s="468">
        <f>AND(F114&gt;0,Y114&gt;0)</f>
        <v>1</v>
      </c>
      <c r="U114" s="496"/>
      <c r="V114" s="496"/>
      <c r="W114" s="496"/>
      <c r="X114" s="1559"/>
      <c r="Y114" s="1559" t="s">
        <v>234</v>
      </c>
      <c r="Z114" s="1528"/>
      <c r="AA114" s="1516" t="s">
        <v>174</v>
      </c>
      <c r="AB114" s="908" t="s">
        <v>1956</v>
      </c>
      <c r="AC114" s="871" t="s">
        <v>1862</v>
      </c>
      <c r="AD114" s="1105">
        <v>24.53</v>
      </c>
      <c r="AE114" s="1106">
        <v>24.53</v>
      </c>
      <c r="AF114" s="1102">
        <f>IF(AD114=0,0,(AE114-AD114)/AD114*100)</f>
        <v>0</v>
      </c>
      <c r="AG114" s="4591"/>
      <c r="AH114" s="4592"/>
      <c r="AI114" s="1102">
        <f>IF(AG114=0,0,(AH114-AG114)/AG114*100)</f>
        <v>0</v>
      </c>
      <c r="AJ114" s="4591"/>
      <c r="AK114" s="4592"/>
      <c r="AL114" s="1102">
        <f>IF(AJ114=0,0,(AK114-AJ114)/AJ114*100)</f>
        <v>0</v>
      </c>
      <c r="AM114" s="4591"/>
      <c r="AN114" s="4592"/>
      <c r="AO114" s="1102">
        <f>IF(AM114=0,0,(AN114-AM114)/AM114*100)</f>
        <v>0</v>
      </c>
      <c r="AP114" s="4591"/>
      <c r="AQ114" s="4592"/>
      <c r="AR114" s="1102">
        <f>IF(AP114=0,0,(AQ114-AP114)/AP114*100)</f>
        <v>0</v>
      </c>
      <c r="AS114" s="4591"/>
      <c r="AT114" s="4592"/>
      <c r="AU114" s="1102">
        <f>IF(AS114=0,0,(AT114-AS114)/AS114*100)</f>
        <v>0</v>
      </c>
      <c r="AV114" s="4591"/>
      <c r="AW114" s="4592"/>
      <c r="AX114" s="1102">
        <f>IF(AV114=0,0,(AW114-AV114)/AV114*100)</f>
        <v>0</v>
      </c>
      <c r="AY114" s="4591"/>
      <c r="AZ114" s="4592"/>
      <c r="BA114" s="1102">
        <f>IF(AY114=0,0,(AZ114-AY114)/AY114*100)</f>
        <v>0</v>
      </c>
      <c r="BB114" s="4591"/>
      <c r="BC114" s="4592"/>
      <c r="BD114" s="1102">
        <f>IF(BB114=0,0,(BC114-BB114)/BB114*100)</f>
        <v>0</v>
      </c>
      <c r="BE114" s="4591"/>
      <c r="BF114" s="4592"/>
      <c r="BG114" s="1102">
        <f>IF(BE114=0,0,(BF114-BE114)/BE114*100)</f>
        <v>0</v>
      </c>
      <c r="BH114" s="4591"/>
      <c r="BI114" s="4592"/>
      <c r="BJ114" s="1102">
        <f>IF(BH114=0,0,(BI114-BH114)/BH114*100)</f>
        <v>0</v>
      </c>
      <c r="BK114" s="4591"/>
      <c r="BL114" s="4592"/>
      <c r="BM114" s="1102">
        <f>IF(BK114=0,0,(BL114-BK114)/BK114*100)</f>
        <v>0</v>
      </c>
      <c r="BN114" s="4591"/>
      <c r="BO114" s="4592"/>
      <c r="BP114" s="1102">
        <f>IF(BN114=0,0,(BO114-BN114)/BN114*100)</f>
        <v>0</v>
      </c>
      <c r="BQ114" s="4591"/>
      <c r="BR114" s="4592"/>
      <c r="BS114" s="1102">
        <f>IF(BQ114=0,0,(BR114-BQ114)/BQ114*100)</f>
        <v>0</v>
      </c>
      <c r="BT114" s="4591"/>
      <c r="BU114" s="4592"/>
      <c r="BV114" s="1102">
        <f>IF(BT114=0,0,(BU114-BT114)/BT114*100)</f>
        <v>0</v>
      </c>
      <c r="BW114" s="4591"/>
      <c r="BX114" s="4592"/>
      <c r="BY114" s="1102">
        <f>IF(BW114=0,0,(BX114-BW114)/BW114*100)</f>
        <v>0</v>
      </c>
      <c r="BZ114" s="4591"/>
      <c r="CA114" s="4592"/>
      <c r="CB114" s="1102">
        <f>IF(BZ114=0,0,(CA114-BZ114)/BZ114*100)</f>
        <v>0</v>
      </c>
      <c r="CC114" s="4591"/>
      <c r="CD114" s="4592"/>
      <c r="CE114" s="1102">
        <f>IF(CC114=0,0,(CD114-CC114)/CC114*100)</f>
        <v>0</v>
      </c>
      <c r="CF114" s="4591"/>
      <c r="CG114" s="4592"/>
      <c r="CH114" s="1102">
        <f>IF(CF114=0,0,(CG114-CF114)/CF114*100)</f>
        <v>0</v>
      </c>
      <c r="CI114" s="4591"/>
      <c r="CJ114" s="4592"/>
      <c r="CK114" s="1102">
        <f>IF(CI114=0,0,(CJ114-CI114)/CI114*100)</f>
        <v>0</v>
      </c>
      <c r="CL114" s="4591"/>
      <c r="CM114" s="4592"/>
      <c r="CN114" s="1102">
        <f>IF(CL114=0,0,(CM114-CL114)/CL114*100)</f>
        <v>0</v>
      </c>
      <c r="CO114" s="4591"/>
      <c r="CP114" s="4592"/>
      <c r="CQ114" s="1102">
        <f>IF(CO114=0,0,(CP114-CO114)/CO114*100)</f>
        <v>0</v>
      </c>
      <c r="CR114" s="4591"/>
      <c r="CS114" s="4592"/>
      <c r="CT114" s="1102">
        <f>IF(CR114=0,0,(CS114-CR114)/CR114*100)</f>
        <v>0</v>
      </c>
      <c r="CU114" s="4591"/>
      <c r="CV114" s="4592"/>
      <c r="CW114" s="1102">
        <f>IF(CU114=0,0,(CV114-CU114)/CU114*100)</f>
        <v>0</v>
      </c>
      <c r="CX114" s="4591"/>
      <c r="CY114" s="4592"/>
      <c r="CZ114" s="1102">
        <f>IF(CX114=0,0,(CY114-CX114)/CX114*100)</f>
        <v>0</v>
      </c>
      <c r="DA114" s="4591"/>
      <c r="DB114" s="4592"/>
      <c r="DC114" s="1102">
        <f>IF(DA114=0,0,(DB114-DA114)/DA114*100)</f>
        <v>0</v>
      </c>
      <c r="DD114" s="4591"/>
      <c r="DE114" s="4592"/>
      <c r="DF114" s="1102">
        <f>IF(DD114=0,0,(DE114-DD114)/DD114*100)</f>
        <v>0</v>
      </c>
      <c r="DG114" s="4591"/>
      <c r="DH114" s="4592"/>
      <c r="DI114" s="1102">
        <f>IF(DG114=0,0,(DH114-DG114)/DG114*100)</f>
        <v>0</v>
      </c>
      <c r="DJ114" s="4591"/>
      <c r="DK114" s="4592"/>
      <c r="DL114" s="1102">
        <f>IF(DJ114=0,0,(DK114-DJ114)/DJ114*100)</f>
        <v>0</v>
      </c>
      <c r="DM114" s="4591"/>
      <c r="DN114" s="4592"/>
      <c r="DO114" s="1102">
        <f>IF(DM114=0,0,(DN114-DM114)/DM114*100)</f>
        <v>0</v>
      </c>
      <c r="DP114" s="4591"/>
      <c r="DQ114" s="4592"/>
      <c r="DR114" s="1102">
        <f>IF(DP114=0,0,(DQ114-DP114)/DP114*100)</f>
        <v>0</v>
      </c>
      <c r="DS114" s="4591"/>
      <c r="DT114" s="4592"/>
      <c r="DU114" s="1102">
        <f>IF(DS114=0,0,(DT114-DS114)/DS114*100)</f>
        <v>0</v>
      </c>
      <c r="DV114" s="4591"/>
      <c r="DW114" s="4592"/>
      <c r="DX114" s="1102">
        <f>IF(DV114=0,0,(DW114-DV114)/DV114*100)</f>
        <v>0</v>
      </c>
      <c r="DY114" s="4591"/>
      <c r="DZ114" s="4592"/>
      <c r="EA114" s="1102">
        <f>IF(DY114=0,0,(DZ114-DY114)/DY114*100)</f>
        <v>0</v>
      </c>
      <c r="EB114" s="4591"/>
      <c r="EC114" s="4592"/>
      <c r="ED114" s="1102">
        <f>IF(EB114=0,0,(EC114-EB114)/EB114*100)</f>
        <v>0</v>
      </c>
      <c r="EE114" s="4591"/>
      <c r="EF114" s="4592"/>
      <c r="EG114" s="1102">
        <f>IF(EE114=0,0,(EF114-EE114)/EE114*100)</f>
        <v>0</v>
      </c>
      <c r="EH114" s="4591"/>
      <c r="EI114" s="4592"/>
      <c r="EJ114" s="1102">
        <f>IF(EH114=0,0,(EI114-EH114)/EH114*100)</f>
        <v>0</v>
      </c>
      <c r="EK114" s="4591"/>
      <c r="EL114" s="4592"/>
      <c r="EM114" s="1102">
        <f>IF(EK114=0,0,(EL114-EK114)/EK114*100)</f>
        <v>0</v>
      </c>
      <c r="EN114" s="4591"/>
      <c r="EO114" s="4592"/>
      <c r="EP114" s="1102">
        <f>IF(EN114=0,0,(EO114-EN114)/EN114*100)</f>
        <v>0</v>
      </c>
      <c r="EQ114" s="4591"/>
      <c r="ER114" s="4592"/>
      <c r="ES114" s="1102">
        <f>IF(EQ114=0,0,(ER114-EQ114)/EQ114*100)</f>
        <v>0</v>
      </c>
      <c r="ET114" s="4591"/>
      <c r="EU114" s="4592"/>
      <c r="EV114" s="1102">
        <f>IF(ET114=0,0,(EU114-ET114)/ET114*100)</f>
        <v>0</v>
      </c>
      <c r="EW114" s="4591"/>
      <c r="EX114" s="4592"/>
      <c r="EY114" s="1102">
        <f>IF(EW114=0,0,(EX114-EW114)/EW114*100)</f>
        <v>0</v>
      </c>
      <c r="EZ114" s="4591"/>
      <c r="FA114" s="4592"/>
      <c r="FB114" s="1102">
        <f>IF(EZ114=0,0,(FA114-EZ114)/EZ114*100)</f>
        <v>0</v>
      </c>
      <c r="FC114" s="4591"/>
      <c r="FD114" s="4592"/>
      <c r="FE114" s="1102">
        <f>IF(FC114=0,0,(FD114-FC114)/FC114*100)</f>
        <v>0</v>
      </c>
      <c r="FF114" s="4591"/>
      <c r="FG114" s="4592"/>
      <c r="FH114" s="1102">
        <f>IF(FF114=0,0,(FG114-FF114)/FF114*100)</f>
        <v>0</v>
      </c>
      <c r="FI114" s="4591"/>
      <c r="FJ114" s="4592"/>
      <c r="FK114" s="1102">
        <f>IF(FI114=0,0,(FJ114-FI114)/FI114*100)</f>
        <v>0</v>
      </c>
      <c r="FL114" s="4591"/>
      <c r="FM114" s="4592"/>
      <c r="FN114" s="1102">
        <f>IF(FL114=0,0,(FM114-FL114)/FL114*100)</f>
        <v>0</v>
      </c>
      <c r="FO114" s="4591"/>
      <c r="FP114" s="4592"/>
      <c r="FQ114" s="1102">
        <f>IF(FO114=0,0,(FP114-FO114)/FO114*100)</f>
        <v>0</v>
      </c>
      <c r="FR114" s="4591"/>
      <c r="FS114" s="4592"/>
      <c r="FT114" s="1102">
        <f>IF(FR114=0,0,(FS114-FR114)/FR114*100)</f>
        <v>0</v>
      </c>
      <c r="FU114" s="4591"/>
      <c r="FV114" s="4592"/>
      <c r="FW114" s="1102">
        <f>IF(FU114=0,0,(FV114-FU114)/FU114*100)</f>
        <v>0</v>
      </c>
      <c r="FX114" s="288"/>
      <c r="FY114" s="1328"/>
      <c r="FZ114" s="1063" t="s">
        <v>1887</v>
      </c>
      <c r="GA114" s="1023" t="s">
        <v>1888</v>
      </c>
      <c r="GB114" s="1023" cm="1" t="str">
        <f t="array" ref="GB114:GB114">AB114</f>
        <v>Иногородние потребители, получающие воду с НФС пос. Демьяновский (с 01.01. по 30.09.)</v>
      </c>
      <c r="GC114" s="1329"/>
      <c r="GD114" s="637" t="b">
        <v>1</v>
      </c>
    </row>
    <row customHeight="1" ht="18.525">
      <c r="A115" s="496"/>
      <c r="B115" s="932" cm="1" t="str">
        <f t="array" ref="B115:B115">B114</f>
        <v>true</v>
      </c>
      <c r="C115" s="496"/>
      <c r="D115" s="496"/>
      <c r="E115" s="847">
        <v>19</v>
      </c>
      <c r="F115" s="50" cm="1" t="str">
        <f t="array" ref="F115:F115">OFFSET(E115,-1,1)</f>
        <v>1</v>
      </c>
      <c r="G115" s="496"/>
      <c r="H115" s="496"/>
      <c r="I115" s="496"/>
      <c r="J115" s="496"/>
      <c r="K115" s="496"/>
      <c r="L115" s="496"/>
      <c r="M115" s="496"/>
      <c r="N115" s="496"/>
      <c r="O115" s="496"/>
      <c r="P115" s="496"/>
      <c r="Q115" s="904"/>
      <c r="R115" s="496"/>
      <c r="S115" s="496"/>
      <c r="T115" s="468" cm="1" t="str">
        <f t="array" ref="T115:T115">T114</f>
        <v>true</v>
      </c>
      <c r="U115" s="496"/>
      <c r="V115" s="496"/>
      <c r="W115" s="496"/>
      <c r="X115" s="1559"/>
      <c r="Y115" s="1559"/>
      <c r="Z115" s="1528"/>
      <c r="AA115" s="1516"/>
      <c r="AB115" s="908" t="s">
        <v>1953</v>
      </c>
      <c r="AC115" s="871" t="s">
        <v>1862</v>
      </c>
      <c r="AD115" s="1105"/>
      <c r="AE115" s="1106"/>
      <c r="AF115" s="1102">
        <f>IF(AD115=0,0,(AE115-AD115)/AD115*100)</f>
        <v>0</v>
      </c>
      <c r="AG115" s="4591"/>
      <c r="AH115" s="4592"/>
      <c r="AI115" s="1102">
        <f>IF(AG115=0,0,(AH115-AG115)/AG115*100)</f>
        <v>0</v>
      </c>
      <c r="AJ115" s="4591"/>
      <c r="AK115" s="4592"/>
      <c r="AL115" s="1102">
        <f>IF(AJ115=0,0,(AK115-AJ115)/AJ115*100)</f>
        <v>0</v>
      </c>
      <c r="AM115" s="4591"/>
      <c r="AN115" s="4592"/>
      <c r="AO115" s="1102">
        <f>IF(AM115=0,0,(AN115-AM115)/AM115*100)</f>
        <v>0</v>
      </c>
      <c r="AP115" s="4591"/>
      <c r="AQ115" s="4592"/>
      <c r="AR115" s="1102">
        <f>IF(AP115=0,0,(AQ115-AP115)/AP115*100)</f>
        <v>0</v>
      </c>
      <c r="AS115" s="4591"/>
      <c r="AT115" s="4592"/>
      <c r="AU115" s="1102">
        <f>IF(AS115=0,0,(AT115-AS115)/AS115*100)</f>
        <v>0</v>
      </c>
      <c r="AV115" s="4591"/>
      <c r="AW115" s="4592"/>
      <c r="AX115" s="1102">
        <f>IF(AV115=0,0,(AW115-AV115)/AV115*100)</f>
        <v>0</v>
      </c>
      <c r="AY115" s="4591"/>
      <c r="AZ115" s="4592"/>
      <c r="BA115" s="1102">
        <f>IF(AY115=0,0,(AZ115-AY115)/AY115*100)</f>
        <v>0</v>
      </c>
      <c r="BB115" s="4591"/>
      <c r="BC115" s="4592"/>
      <c r="BD115" s="1102">
        <f>IF(BB115=0,0,(BC115-BB115)/BB115*100)</f>
        <v>0</v>
      </c>
      <c r="BE115" s="4591"/>
      <c r="BF115" s="4592"/>
      <c r="BG115" s="1102">
        <f>IF(BE115=0,0,(BF115-BE115)/BE115*100)</f>
        <v>0</v>
      </c>
      <c r="BH115" s="4591"/>
      <c r="BI115" s="4592"/>
      <c r="BJ115" s="1102">
        <f>IF(BH115=0,0,(BI115-BH115)/BH115*100)</f>
        <v>0</v>
      </c>
      <c r="BK115" s="4591"/>
      <c r="BL115" s="4592"/>
      <c r="BM115" s="1102">
        <f>IF(BK115=0,0,(BL115-BK115)/BK115*100)</f>
        <v>0</v>
      </c>
      <c r="BN115" s="4591"/>
      <c r="BO115" s="4592"/>
      <c r="BP115" s="1102">
        <f>IF(BN115=0,0,(BO115-BN115)/BN115*100)</f>
        <v>0</v>
      </c>
      <c r="BQ115" s="4591"/>
      <c r="BR115" s="4592"/>
      <c r="BS115" s="1102">
        <f>IF(BQ115=0,0,(BR115-BQ115)/BQ115*100)</f>
        <v>0</v>
      </c>
      <c r="BT115" s="4591"/>
      <c r="BU115" s="4592"/>
      <c r="BV115" s="1102">
        <f>IF(BT115=0,0,(BU115-BT115)/BT115*100)</f>
        <v>0</v>
      </c>
      <c r="BW115" s="4591"/>
      <c r="BX115" s="4592"/>
      <c r="BY115" s="1102">
        <f>IF(BW115=0,0,(BX115-BW115)/BW115*100)</f>
        <v>0</v>
      </c>
      <c r="BZ115" s="4591"/>
      <c r="CA115" s="4592"/>
      <c r="CB115" s="1102">
        <f>IF(BZ115=0,0,(CA115-BZ115)/BZ115*100)</f>
        <v>0</v>
      </c>
      <c r="CC115" s="4591"/>
      <c r="CD115" s="4592"/>
      <c r="CE115" s="1102">
        <f>IF(CC115=0,0,(CD115-CC115)/CC115*100)</f>
        <v>0</v>
      </c>
      <c r="CF115" s="4591"/>
      <c r="CG115" s="4592"/>
      <c r="CH115" s="1102">
        <f>IF(CF115=0,0,(CG115-CF115)/CF115*100)</f>
        <v>0</v>
      </c>
      <c r="CI115" s="4591"/>
      <c r="CJ115" s="4592"/>
      <c r="CK115" s="1102">
        <f>IF(CI115=0,0,(CJ115-CI115)/CI115*100)</f>
        <v>0</v>
      </c>
      <c r="CL115" s="4591"/>
      <c r="CM115" s="4592"/>
      <c r="CN115" s="1102">
        <f>IF(CL115=0,0,(CM115-CL115)/CL115*100)</f>
        <v>0</v>
      </c>
      <c r="CO115" s="4591"/>
      <c r="CP115" s="4592"/>
      <c r="CQ115" s="1102">
        <f>IF(CO115=0,0,(CP115-CO115)/CO115*100)</f>
        <v>0</v>
      </c>
      <c r="CR115" s="4591"/>
      <c r="CS115" s="4592"/>
      <c r="CT115" s="1102">
        <f>IF(CR115=0,0,(CS115-CR115)/CR115*100)</f>
        <v>0</v>
      </c>
      <c r="CU115" s="4591"/>
      <c r="CV115" s="4592"/>
      <c r="CW115" s="1102">
        <f>IF(CU115=0,0,(CV115-CU115)/CU115*100)</f>
        <v>0</v>
      </c>
      <c r="CX115" s="4591"/>
      <c r="CY115" s="4592"/>
      <c r="CZ115" s="1102">
        <f>IF(CX115=0,0,(CY115-CX115)/CX115*100)</f>
        <v>0</v>
      </c>
      <c r="DA115" s="4591"/>
      <c r="DB115" s="4592"/>
      <c r="DC115" s="1102">
        <f>IF(DA115=0,0,(DB115-DA115)/DA115*100)</f>
        <v>0</v>
      </c>
      <c r="DD115" s="4591"/>
      <c r="DE115" s="4592"/>
      <c r="DF115" s="1102">
        <f>IF(DD115=0,0,(DE115-DD115)/DD115*100)</f>
        <v>0</v>
      </c>
      <c r="DG115" s="4591"/>
      <c r="DH115" s="4592"/>
      <c r="DI115" s="1102">
        <f>IF(DG115=0,0,(DH115-DG115)/DG115*100)</f>
        <v>0</v>
      </c>
      <c r="DJ115" s="4591"/>
      <c r="DK115" s="4592"/>
      <c r="DL115" s="1102">
        <f>IF(DJ115=0,0,(DK115-DJ115)/DJ115*100)</f>
        <v>0</v>
      </c>
      <c r="DM115" s="4591"/>
      <c r="DN115" s="4592"/>
      <c r="DO115" s="1102">
        <f>IF(DM115=0,0,(DN115-DM115)/DM115*100)</f>
        <v>0</v>
      </c>
      <c r="DP115" s="4591"/>
      <c r="DQ115" s="4592"/>
      <c r="DR115" s="1102">
        <f>IF(DP115=0,0,(DQ115-DP115)/DP115*100)</f>
        <v>0</v>
      </c>
      <c r="DS115" s="4591"/>
      <c r="DT115" s="4592"/>
      <c r="DU115" s="1102">
        <f>IF(DS115=0,0,(DT115-DS115)/DS115*100)</f>
        <v>0</v>
      </c>
      <c r="DV115" s="4591"/>
      <c r="DW115" s="4592"/>
      <c r="DX115" s="1102">
        <f>IF(DV115=0,0,(DW115-DV115)/DV115*100)</f>
        <v>0</v>
      </c>
      <c r="DY115" s="4591"/>
      <c r="DZ115" s="4592"/>
      <c r="EA115" s="1102">
        <f>IF(DY115=0,0,(DZ115-DY115)/DY115*100)</f>
        <v>0</v>
      </c>
      <c r="EB115" s="4591"/>
      <c r="EC115" s="4592"/>
      <c r="ED115" s="1102">
        <f>IF(EB115=0,0,(EC115-EB115)/EB115*100)</f>
        <v>0</v>
      </c>
      <c r="EE115" s="4591"/>
      <c r="EF115" s="4592"/>
      <c r="EG115" s="1102">
        <f>IF(EE115=0,0,(EF115-EE115)/EE115*100)</f>
        <v>0</v>
      </c>
      <c r="EH115" s="4591"/>
      <c r="EI115" s="4592"/>
      <c r="EJ115" s="1102">
        <f>IF(EH115=0,0,(EI115-EH115)/EH115*100)</f>
        <v>0</v>
      </c>
      <c r="EK115" s="4591"/>
      <c r="EL115" s="4592"/>
      <c r="EM115" s="1102">
        <f>IF(EK115=0,0,(EL115-EK115)/EK115*100)</f>
        <v>0</v>
      </c>
      <c r="EN115" s="4591"/>
      <c r="EO115" s="4592"/>
      <c r="EP115" s="1102">
        <f>IF(EN115=0,0,(EO115-EN115)/EN115*100)</f>
        <v>0</v>
      </c>
      <c r="EQ115" s="4591"/>
      <c r="ER115" s="4592"/>
      <c r="ES115" s="1102">
        <f>IF(EQ115=0,0,(ER115-EQ115)/EQ115*100)</f>
        <v>0</v>
      </c>
      <c r="ET115" s="4591"/>
      <c r="EU115" s="4592"/>
      <c r="EV115" s="1102">
        <f>IF(ET115=0,0,(EU115-ET115)/ET115*100)</f>
        <v>0</v>
      </c>
      <c r="EW115" s="4591"/>
      <c r="EX115" s="4592"/>
      <c r="EY115" s="1102">
        <f>IF(EW115=0,0,(EX115-EW115)/EW115*100)</f>
        <v>0</v>
      </c>
      <c r="EZ115" s="4591"/>
      <c r="FA115" s="4592"/>
      <c r="FB115" s="1102">
        <f>IF(EZ115=0,0,(FA115-EZ115)/EZ115*100)</f>
        <v>0</v>
      </c>
      <c r="FC115" s="4591"/>
      <c r="FD115" s="4592"/>
      <c r="FE115" s="1102">
        <f>IF(FC115=0,0,(FD115-FC115)/FC115*100)</f>
        <v>0</v>
      </c>
      <c r="FF115" s="4591"/>
      <c r="FG115" s="4592"/>
      <c r="FH115" s="1102">
        <f>IF(FF115=0,0,(FG115-FF115)/FF115*100)</f>
        <v>0</v>
      </c>
      <c r="FI115" s="4591"/>
      <c r="FJ115" s="4592"/>
      <c r="FK115" s="1102">
        <f>IF(FI115=0,0,(FJ115-FI115)/FI115*100)</f>
        <v>0</v>
      </c>
      <c r="FL115" s="4591"/>
      <c r="FM115" s="4592"/>
      <c r="FN115" s="1102">
        <f>IF(FL115=0,0,(FM115-FL115)/FL115*100)</f>
        <v>0</v>
      </c>
      <c r="FO115" s="4591"/>
      <c r="FP115" s="4592"/>
      <c r="FQ115" s="1102">
        <f>IF(FO115=0,0,(FP115-FO115)/FO115*100)</f>
        <v>0</v>
      </c>
      <c r="FR115" s="4591"/>
      <c r="FS115" s="4592"/>
      <c r="FT115" s="1102">
        <f>IF(FR115=0,0,(FS115-FR115)/FR115*100)</f>
        <v>0</v>
      </c>
      <c r="FU115" s="4591"/>
      <c r="FV115" s="4592"/>
      <c r="FW115" s="1102">
        <f>IF(FU115=0,0,(FV115-FU115)/FU115*100)</f>
        <v>0</v>
      </c>
      <c r="FZ115" s="1330" t="s">
        <v>1889</v>
      </c>
      <c r="GA115" s="1330" t="s">
        <v>1888</v>
      </c>
      <c r="GB115" s="1330" cm="1" t="str">
        <f t="array" ref="GB115:GB115">GB114</f>
        <v>Иногородние потребители, получающие воду с НФС пос. Демьяновский (с 01.01. по 30.09.)</v>
      </c>
    </row>
    <row s="1656" customFormat="1" customHeight="1" ht="19.921875">
      <c r="A116" s="496"/>
      <c r="B116" s="932" cm="1" t="str">
        <f t="array" ref="B116:B116">B114</f>
        <v>true</v>
      </c>
      <c r="C116" s="496"/>
      <c r="D116" s="496"/>
      <c r="E116" s="847">
        <v>15</v>
      </c>
      <c r="F116" s="50" cm="1" t="str">
        <f t="array" ref="F116:F116">OFFSET(E116,-1,1)</f>
        <v>1</v>
      </c>
      <c r="G116" s="496"/>
      <c r="H116" s="496" t="s">
        <v>573</v>
      </c>
      <c r="I116" s="496" cm="1" t="str">
        <f t="array" ref="I116:I116">I114</f>
        <v>Иногородние потребители, получающие воду с НФС пос. Демьяновский (с 01.01. по 30.09.)</v>
      </c>
      <c r="J116" s="496"/>
      <c r="K116" s="496"/>
      <c r="L116" s="496"/>
      <c r="M116" s="496"/>
      <c r="N116" s="496"/>
      <c r="O116" s="496"/>
      <c r="P116" s="496"/>
      <c r="Q116" s="904"/>
      <c r="R116" s="496"/>
      <c r="S116" s="496"/>
      <c r="T116" s="468" cm="1" t="str">
        <f t="array" ref="T116:T116">T114</f>
        <v>true</v>
      </c>
      <c r="U116" s="496"/>
      <c r="V116" s="496"/>
      <c r="W116" s="496"/>
      <c r="X116" s="1559"/>
      <c r="Y116" s="1559"/>
      <c r="Z116" s="1528"/>
      <c r="AA116" s="1516"/>
      <c r="AB116" s="907" t="s">
        <v>1872</v>
      </c>
      <c r="AC116" s="296" t="s">
        <v>657</v>
      </c>
      <c r="AD116" s="1103">
        <v>552.20152</v>
      </c>
      <c r="AE116" s="1103">
        <v>811.13586</v>
      </c>
      <c r="AF116" s="1104">
        <f>IF(AD116=0,0,(AE116-AD116)/AD116*100)</f>
        <v>46.8912762137996</v>
      </c>
      <c r="AG116" s="4585"/>
      <c r="AH116" s="4585"/>
      <c r="AI116" s="1104">
        <f>IF(AG116=0,0,(AH116-AG116)/AG116*100)</f>
        <v>0</v>
      </c>
      <c r="AJ116" s="4585"/>
      <c r="AK116" s="4585"/>
      <c r="AL116" s="1104">
        <f>IF(AJ116=0,0,(AK116-AJ116)/AJ116*100)</f>
        <v>0</v>
      </c>
      <c r="AM116" s="4585"/>
      <c r="AN116" s="4585"/>
      <c r="AO116" s="1104">
        <f>IF(AM116=0,0,(AN116-AM116)/AM116*100)</f>
        <v>0</v>
      </c>
      <c r="AP116" s="4585"/>
      <c r="AQ116" s="4585"/>
      <c r="AR116" s="1104">
        <f>IF(AP116=0,0,(AQ116-AP116)/AP116*100)</f>
        <v>0</v>
      </c>
      <c r="AS116" s="4585"/>
      <c r="AT116" s="4585"/>
      <c r="AU116" s="1104">
        <f>IF(AS116=0,0,(AT116-AS116)/AS116*100)</f>
        <v>0</v>
      </c>
      <c r="AV116" s="4585"/>
      <c r="AW116" s="4585"/>
      <c r="AX116" s="1104">
        <f>IF(AV116=0,0,(AW116-AV116)/AV116*100)</f>
        <v>0</v>
      </c>
      <c r="AY116" s="4585"/>
      <c r="AZ116" s="4585"/>
      <c r="BA116" s="1104">
        <f>IF(AY116=0,0,(AZ116-AY116)/AY116*100)</f>
        <v>0</v>
      </c>
      <c r="BB116" s="4585"/>
      <c r="BC116" s="4585"/>
      <c r="BD116" s="1104">
        <f>IF(BB116=0,0,(BC116-BB116)/BB116*100)</f>
        <v>0</v>
      </c>
      <c r="BE116" s="4585"/>
      <c r="BF116" s="4585"/>
      <c r="BG116" s="1104">
        <f>IF(BE116=0,0,(BF116-BE116)/BE116*100)</f>
        <v>0</v>
      </c>
      <c r="BH116" s="4585"/>
      <c r="BI116" s="4585"/>
      <c r="BJ116" s="1104">
        <f>IF(BH116=0,0,(BI116-BH116)/BH116*100)</f>
        <v>0</v>
      </c>
      <c r="BK116" s="4585"/>
      <c r="BL116" s="4585"/>
      <c r="BM116" s="1104">
        <f>IF(BK116=0,0,(BL116-BK116)/BK116*100)</f>
        <v>0</v>
      </c>
      <c r="BN116" s="4585"/>
      <c r="BO116" s="4585"/>
      <c r="BP116" s="1104">
        <f>IF(BN116=0,0,(BO116-BN116)/BN116*100)</f>
        <v>0</v>
      </c>
      <c r="BQ116" s="4585"/>
      <c r="BR116" s="4585"/>
      <c r="BS116" s="1104">
        <f>IF(BQ116=0,0,(BR116-BQ116)/BQ116*100)</f>
        <v>0</v>
      </c>
      <c r="BT116" s="4585"/>
      <c r="BU116" s="4585"/>
      <c r="BV116" s="1104">
        <f>IF(BT116=0,0,(BU116-BT116)/BT116*100)</f>
        <v>0</v>
      </c>
      <c r="BW116" s="4585"/>
      <c r="BX116" s="4585"/>
      <c r="BY116" s="1104">
        <f>IF(BW116=0,0,(BX116-BW116)/BW116*100)</f>
        <v>0</v>
      </c>
      <c r="BZ116" s="4585"/>
      <c r="CA116" s="4585"/>
      <c r="CB116" s="1104">
        <f>IF(BZ116=0,0,(CA116-BZ116)/BZ116*100)</f>
        <v>0</v>
      </c>
      <c r="CC116" s="4585"/>
      <c r="CD116" s="4585"/>
      <c r="CE116" s="1104">
        <f>IF(CC116=0,0,(CD116-CC116)/CC116*100)</f>
        <v>0</v>
      </c>
      <c r="CF116" s="4585"/>
      <c r="CG116" s="4585"/>
      <c r="CH116" s="1104">
        <f>IF(CF116=0,0,(CG116-CF116)/CF116*100)</f>
        <v>0</v>
      </c>
      <c r="CI116" s="4585"/>
      <c r="CJ116" s="4585"/>
      <c r="CK116" s="1104">
        <f>IF(CI116=0,0,(CJ116-CI116)/CI116*100)</f>
        <v>0</v>
      </c>
      <c r="CL116" s="4585"/>
      <c r="CM116" s="4585"/>
      <c r="CN116" s="1104">
        <f>IF(CL116=0,0,(CM116-CL116)/CL116*100)</f>
        <v>0</v>
      </c>
      <c r="CO116" s="4585"/>
      <c r="CP116" s="4585"/>
      <c r="CQ116" s="1104">
        <f>IF(CO116=0,0,(CP116-CO116)/CO116*100)</f>
        <v>0</v>
      </c>
      <c r="CR116" s="4585"/>
      <c r="CS116" s="4585"/>
      <c r="CT116" s="1104">
        <f>IF(CR116=0,0,(CS116-CR116)/CR116*100)</f>
        <v>0</v>
      </c>
      <c r="CU116" s="4585"/>
      <c r="CV116" s="4585"/>
      <c r="CW116" s="1104">
        <f>IF(CU116=0,0,(CV116-CU116)/CU116*100)</f>
        <v>0</v>
      </c>
      <c r="CX116" s="4585"/>
      <c r="CY116" s="4585"/>
      <c r="CZ116" s="1104">
        <f>IF(CX116=0,0,(CY116-CX116)/CX116*100)</f>
        <v>0</v>
      </c>
      <c r="DA116" s="4585"/>
      <c r="DB116" s="4585"/>
      <c r="DC116" s="1104">
        <f>IF(DA116=0,0,(DB116-DA116)/DA116*100)</f>
        <v>0</v>
      </c>
      <c r="DD116" s="4585"/>
      <c r="DE116" s="4585"/>
      <c r="DF116" s="1104">
        <f>IF(DD116=0,0,(DE116-DD116)/DD116*100)</f>
        <v>0</v>
      </c>
      <c r="DG116" s="4585"/>
      <c r="DH116" s="4585"/>
      <c r="DI116" s="1104">
        <f>IF(DG116=0,0,(DH116-DG116)/DG116*100)</f>
        <v>0</v>
      </c>
      <c r="DJ116" s="4585"/>
      <c r="DK116" s="4585"/>
      <c r="DL116" s="1104">
        <f>IF(DJ116=0,0,(DK116-DJ116)/DJ116*100)</f>
        <v>0</v>
      </c>
      <c r="DM116" s="4585"/>
      <c r="DN116" s="4585"/>
      <c r="DO116" s="1104">
        <f>IF(DM116=0,0,(DN116-DM116)/DM116*100)</f>
        <v>0</v>
      </c>
      <c r="DP116" s="4585"/>
      <c r="DQ116" s="4585"/>
      <c r="DR116" s="1104">
        <f>IF(DP116=0,0,(DQ116-DP116)/DP116*100)</f>
        <v>0</v>
      </c>
      <c r="DS116" s="4585"/>
      <c r="DT116" s="4585"/>
      <c r="DU116" s="1104">
        <f>IF(DS116=0,0,(DT116-DS116)/DS116*100)</f>
        <v>0</v>
      </c>
      <c r="DV116" s="4585"/>
      <c r="DW116" s="4585"/>
      <c r="DX116" s="1104">
        <f>IF(DV116=0,0,(DW116-DV116)/DV116*100)</f>
        <v>0</v>
      </c>
      <c r="DY116" s="4585"/>
      <c r="DZ116" s="4585"/>
      <c r="EA116" s="1104">
        <f>IF(DY116=0,0,(DZ116-DY116)/DY116*100)</f>
        <v>0</v>
      </c>
      <c r="EB116" s="4585"/>
      <c r="EC116" s="4585"/>
      <c r="ED116" s="1104">
        <f>IF(EB116=0,0,(EC116-EB116)/EB116*100)</f>
        <v>0</v>
      </c>
      <c r="EE116" s="4585"/>
      <c r="EF116" s="4585"/>
      <c r="EG116" s="1104">
        <f>IF(EE116=0,0,(EF116-EE116)/EE116*100)</f>
        <v>0</v>
      </c>
      <c r="EH116" s="4585"/>
      <c r="EI116" s="4585"/>
      <c r="EJ116" s="1104">
        <f>IF(EH116=0,0,(EI116-EH116)/EH116*100)</f>
        <v>0</v>
      </c>
      <c r="EK116" s="4585"/>
      <c r="EL116" s="4585"/>
      <c r="EM116" s="1104">
        <f>IF(EK116=0,0,(EL116-EK116)/EK116*100)</f>
        <v>0</v>
      </c>
      <c r="EN116" s="4585"/>
      <c r="EO116" s="4585"/>
      <c r="EP116" s="1104">
        <f>IF(EN116=0,0,(EO116-EN116)/EN116*100)</f>
        <v>0</v>
      </c>
      <c r="EQ116" s="4585"/>
      <c r="ER116" s="4585"/>
      <c r="ES116" s="1104">
        <f>IF(EQ116=0,0,(ER116-EQ116)/EQ116*100)</f>
        <v>0</v>
      </c>
      <c r="ET116" s="4585"/>
      <c r="EU116" s="4585"/>
      <c r="EV116" s="1104">
        <f>IF(ET116=0,0,(EU116-ET116)/ET116*100)</f>
        <v>0</v>
      </c>
      <c r="EW116" s="4585"/>
      <c r="EX116" s="4585"/>
      <c r="EY116" s="1104">
        <f>IF(EW116=0,0,(EX116-EW116)/EW116*100)</f>
        <v>0</v>
      </c>
      <c r="EZ116" s="4585"/>
      <c r="FA116" s="4585"/>
      <c r="FB116" s="1104">
        <f>IF(EZ116=0,0,(FA116-EZ116)/EZ116*100)</f>
        <v>0</v>
      </c>
      <c r="FC116" s="4585"/>
      <c r="FD116" s="4585"/>
      <c r="FE116" s="1104">
        <f>IF(FC116=0,0,(FD116-FC116)/FC116*100)</f>
        <v>0</v>
      </c>
      <c r="FF116" s="4585"/>
      <c r="FG116" s="4585"/>
      <c r="FH116" s="1104">
        <f>IF(FF116=0,0,(FG116-FF116)/FF116*100)</f>
        <v>0</v>
      </c>
      <c r="FI116" s="4585"/>
      <c r="FJ116" s="4585"/>
      <c r="FK116" s="1104">
        <f>IF(FI116=0,0,(FJ116-FI116)/FI116*100)</f>
        <v>0</v>
      </c>
      <c r="FL116" s="4585"/>
      <c r="FM116" s="4585"/>
      <c r="FN116" s="1104">
        <f>IF(FL116=0,0,(FM116-FL116)/FL116*100)</f>
        <v>0</v>
      </c>
      <c r="FO116" s="4585"/>
      <c r="FP116" s="4585"/>
      <c r="FQ116" s="1104">
        <f>IF(FO116=0,0,(FP116-FO116)/FO116*100)</f>
        <v>0</v>
      </c>
      <c r="FR116" s="4585"/>
      <c r="FS116" s="4585"/>
      <c r="FT116" s="1104">
        <f>IF(FR116=0,0,(FS116-FR116)/FR116*100)</f>
        <v>0</v>
      </c>
      <c r="FU116" s="4585"/>
      <c r="FV116" s="4585"/>
      <c r="FW116" s="1104">
        <f>IF(FU116=0,0,(FV116-FU116)/FU116*100)</f>
        <v>0</v>
      </c>
      <c r="FX116" s="288"/>
      <c r="FY116" s="1328"/>
      <c r="FZ116" s="1063" t="s">
        <v>1890</v>
      </c>
      <c r="GA116" s="1023" t="s">
        <v>1888</v>
      </c>
      <c r="GB116" s="1023" cm="1" t="str">
        <f t="array" ref="GB116:GB116">GB114</f>
        <v>Иногородние потребители, получающие воду с НФС пос. Демьяновский (с 01.01. по 30.09.)</v>
      </c>
      <c r="GC116" s="1329"/>
      <c r="GD116" s="1329"/>
    </row>
    <row s="1656" customFormat="1" customHeight="1" ht="31.921875">
      <c r="A117" s="496"/>
      <c r="B117" s="932" cm="1" t="str">
        <f t="array" ref="B117:B117">B116</f>
        <v>true</v>
      </c>
      <c r="C117" s="496"/>
      <c r="D117" s="496"/>
      <c r="E117" s="847">
        <v>18.75</v>
      </c>
      <c r="F117" s="50" cm="1" t="str">
        <f t="array" ref="F117:F117">OFFSET(E117,-1,1)</f>
        <v>1</v>
      </c>
      <c r="G117" s="496"/>
      <c r="H117" s="496" t="s">
        <v>566</v>
      </c>
      <c r="I117" s="496" cm="1" t="str">
        <f t="array" ref="I117:I117">AB117</f>
        <v>Иногородние потребители, получающие воду с НФС пос. Демьяновский (с 01.10. по 31.12.)</v>
      </c>
      <c r="J117" s="496"/>
      <c r="K117" s="496"/>
      <c r="L117" s="496"/>
      <c r="M117" s="496"/>
      <c r="N117" s="496"/>
      <c r="O117" s="496"/>
      <c r="P117" s="496"/>
      <c r="Q117" s="904"/>
      <c r="R117" s="496"/>
      <c r="S117" s="496"/>
      <c r="T117" s="468">
        <f>AND(F117&gt;0,Y117&gt;0)</f>
        <v>1</v>
      </c>
      <c r="U117" s="496"/>
      <c r="V117" s="496"/>
      <c r="W117" s="496"/>
      <c r="X117" s="1559"/>
      <c r="Y117" s="1559" t="s">
        <v>451</v>
      </c>
      <c r="Z117" s="1528"/>
      <c r="AA117" s="1516" t="s">
        <v>174</v>
      </c>
      <c r="AB117" s="908" t="s">
        <v>1957</v>
      </c>
      <c r="AC117" s="871" t="s">
        <v>1862</v>
      </c>
      <c r="AD117" s="1105">
        <v>66.707</v>
      </c>
      <c r="AE117" s="1106">
        <v>27.47</v>
      </c>
      <c r="AF117" s="1102">
        <f>IF(AD117=0,0,(AE117-AD117)/AD117*100)</f>
        <v>-58.819913952059</v>
      </c>
      <c r="AG117" s="4591"/>
      <c r="AH117" s="4592"/>
      <c r="AI117" s="1102">
        <f>IF(AG117=0,0,(AH117-AG117)/AG117*100)</f>
        <v>0</v>
      </c>
      <c r="AJ117" s="4591"/>
      <c r="AK117" s="4592"/>
      <c r="AL117" s="1102">
        <f>IF(AJ117=0,0,(AK117-AJ117)/AJ117*100)</f>
        <v>0</v>
      </c>
      <c r="AM117" s="4591"/>
      <c r="AN117" s="4592"/>
      <c r="AO117" s="1102">
        <f>IF(AM117=0,0,(AN117-AM117)/AM117*100)</f>
        <v>0</v>
      </c>
      <c r="AP117" s="4591"/>
      <c r="AQ117" s="4592"/>
      <c r="AR117" s="1102">
        <f>IF(AP117=0,0,(AQ117-AP117)/AP117*100)</f>
        <v>0</v>
      </c>
      <c r="AS117" s="4591"/>
      <c r="AT117" s="4592"/>
      <c r="AU117" s="1102">
        <f>IF(AS117=0,0,(AT117-AS117)/AS117*100)</f>
        <v>0</v>
      </c>
      <c r="AV117" s="4591"/>
      <c r="AW117" s="4592"/>
      <c r="AX117" s="1102">
        <f>IF(AV117=0,0,(AW117-AV117)/AV117*100)</f>
        <v>0</v>
      </c>
      <c r="AY117" s="4591"/>
      <c r="AZ117" s="4592"/>
      <c r="BA117" s="1102">
        <f>IF(AY117=0,0,(AZ117-AY117)/AY117*100)</f>
        <v>0</v>
      </c>
      <c r="BB117" s="4591"/>
      <c r="BC117" s="4592"/>
      <c r="BD117" s="1102">
        <f>IF(BB117=0,0,(BC117-BB117)/BB117*100)</f>
        <v>0</v>
      </c>
      <c r="BE117" s="4591"/>
      <c r="BF117" s="4592"/>
      <c r="BG117" s="1102">
        <f>IF(BE117=0,0,(BF117-BE117)/BE117*100)</f>
        <v>0</v>
      </c>
      <c r="BH117" s="4591"/>
      <c r="BI117" s="4592"/>
      <c r="BJ117" s="1102">
        <f>IF(BH117=0,0,(BI117-BH117)/BH117*100)</f>
        <v>0</v>
      </c>
      <c r="BK117" s="4591"/>
      <c r="BL117" s="4592"/>
      <c r="BM117" s="1102">
        <f>IF(BK117=0,0,(BL117-BK117)/BK117*100)</f>
        <v>0</v>
      </c>
      <c r="BN117" s="4591"/>
      <c r="BO117" s="4592"/>
      <c r="BP117" s="1102">
        <f>IF(BN117=0,0,(BO117-BN117)/BN117*100)</f>
        <v>0</v>
      </c>
      <c r="BQ117" s="4591"/>
      <c r="BR117" s="4592"/>
      <c r="BS117" s="1102">
        <f>IF(BQ117=0,0,(BR117-BQ117)/BQ117*100)</f>
        <v>0</v>
      </c>
      <c r="BT117" s="4591"/>
      <c r="BU117" s="4592"/>
      <c r="BV117" s="1102">
        <f>IF(BT117=0,0,(BU117-BT117)/BT117*100)</f>
        <v>0</v>
      </c>
      <c r="BW117" s="4591"/>
      <c r="BX117" s="4592"/>
      <c r="BY117" s="1102">
        <f>IF(BW117=0,0,(BX117-BW117)/BW117*100)</f>
        <v>0</v>
      </c>
      <c r="BZ117" s="4591"/>
      <c r="CA117" s="4592"/>
      <c r="CB117" s="1102">
        <f>IF(BZ117=0,0,(CA117-BZ117)/BZ117*100)</f>
        <v>0</v>
      </c>
      <c r="CC117" s="4591"/>
      <c r="CD117" s="4592"/>
      <c r="CE117" s="1102">
        <f>IF(CC117=0,0,(CD117-CC117)/CC117*100)</f>
        <v>0</v>
      </c>
      <c r="CF117" s="4591"/>
      <c r="CG117" s="4592"/>
      <c r="CH117" s="1102">
        <f>IF(CF117=0,0,(CG117-CF117)/CF117*100)</f>
        <v>0</v>
      </c>
      <c r="CI117" s="4591"/>
      <c r="CJ117" s="4592"/>
      <c r="CK117" s="1102">
        <f>IF(CI117=0,0,(CJ117-CI117)/CI117*100)</f>
        <v>0</v>
      </c>
      <c r="CL117" s="4591"/>
      <c r="CM117" s="4592"/>
      <c r="CN117" s="1102">
        <f>IF(CL117=0,0,(CM117-CL117)/CL117*100)</f>
        <v>0</v>
      </c>
      <c r="CO117" s="4591"/>
      <c r="CP117" s="4592"/>
      <c r="CQ117" s="1102">
        <f>IF(CO117=0,0,(CP117-CO117)/CO117*100)</f>
        <v>0</v>
      </c>
      <c r="CR117" s="4591"/>
      <c r="CS117" s="4592"/>
      <c r="CT117" s="1102">
        <f>IF(CR117=0,0,(CS117-CR117)/CR117*100)</f>
        <v>0</v>
      </c>
      <c r="CU117" s="4591"/>
      <c r="CV117" s="4592"/>
      <c r="CW117" s="1102">
        <f>IF(CU117=0,0,(CV117-CU117)/CU117*100)</f>
        <v>0</v>
      </c>
      <c r="CX117" s="4591"/>
      <c r="CY117" s="4592"/>
      <c r="CZ117" s="1102">
        <f>IF(CX117=0,0,(CY117-CX117)/CX117*100)</f>
        <v>0</v>
      </c>
      <c r="DA117" s="4591"/>
      <c r="DB117" s="4592"/>
      <c r="DC117" s="1102">
        <f>IF(DA117=0,0,(DB117-DA117)/DA117*100)</f>
        <v>0</v>
      </c>
      <c r="DD117" s="4591"/>
      <c r="DE117" s="4592"/>
      <c r="DF117" s="1102">
        <f>IF(DD117=0,0,(DE117-DD117)/DD117*100)</f>
        <v>0</v>
      </c>
      <c r="DG117" s="4591"/>
      <c r="DH117" s="4592"/>
      <c r="DI117" s="1102">
        <f>IF(DG117=0,0,(DH117-DG117)/DG117*100)</f>
        <v>0</v>
      </c>
      <c r="DJ117" s="4591"/>
      <c r="DK117" s="4592"/>
      <c r="DL117" s="1102">
        <f>IF(DJ117=0,0,(DK117-DJ117)/DJ117*100)</f>
        <v>0</v>
      </c>
      <c r="DM117" s="4591"/>
      <c r="DN117" s="4592"/>
      <c r="DO117" s="1102">
        <f>IF(DM117=0,0,(DN117-DM117)/DM117*100)</f>
        <v>0</v>
      </c>
      <c r="DP117" s="4591"/>
      <c r="DQ117" s="4592"/>
      <c r="DR117" s="1102">
        <f>IF(DP117=0,0,(DQ117-DP117)/DP117*100)</f>
        <v>0</v>
      </c>
      <c r="DS117" s="4591"/>
      <c r="DT117" s="4592"/>
      <c r="DU117" s="1102">
        <f>IF(DS117=0,0,(DT117-DS117)/DS117*100)</f>
        <v>0</v>
      </c>
      <c r="DV117" s="4591"/>
      <c r="DW117" s="4592"/>
      <c r="DX117" s="1102">
        <f>IF(DV117=0,0,(DW117-DV117)/DV117*100)</f>
        <v>0</v>
      </c>
      <c r="DY117" s="4591"/>
      <c r="DZ117" s="4592"/>
      <c r="EA117" s="1102">
        <f>IF(DY117=0,0,(DZ117-DY117)/DY117*100)</f>
        <v>0</v>
      </c>
      <c r="EB117" s="4591"/>
      <c r="EC117" s="4592"/>
      <c r="ED117" s="1102">
        <f>IF(EB117=0,0,(EC117-EB117)/EB117*100)</f>
        <v>0</v>
      </c>
      <c r="EE117" s="4591"/>
      <c r="EF117" s="4592"/>
      <c r="EG117" s="1102">
        <f>IF(EE117=0,0,(EF117-EE117)/EE117*100)</f>
        <v>0</v>
      </c>
      <c r="EH117" s="4591"/>
      <c r="EI117" s="4592"/>
      <c r="EJ117" s="1102">
        <f>IF(EH117=0,0,(EI117-EH117)/EH117*100)</f>
        <v>0</v>
      </c>
      <c r="EK117" s="4591"/>
      <c r="EL117" s="4592"/>
      <c r="EM117" s="1102">
        <f>IF(EK117=0,0,(EL117-EK117)/EK117*100)</f>
        <v>0</v>
      </c>
      <c r="EN117" s="4591"/>
      <c r="EO117" s="4592"/>
      <c r="EP117" s="1102">
        <f>IF(EN117=0,0,(EO117-EN117)/EN117*100)</f>
        <v>0</v>
      </c>
      <c r="EQ117" s="4591"/>
      <c r="ER117" s="4592"/>
      <c r="ES117" s="1102">
        <f>IF(EQ117=0,0,(ER117-EQ117)/EQ117*100)</f>
        <v>0</v>
      </c>
      <c r="ET117" s="4591"/>
      <c r="EU117" s="4592"/>
      <c r="EV117" s="1102">
        <f>IF(ET117=0,0,(EU117-ET117)/ET117*100)</f>
        <v>0</v>
      </c>
      <c r="EW117" s="4591"/>
      <c r="EX117" s="4592"/>
      <c r="EY117" s="1102">
        <f>IF(EW117=0,0,(EX117-EW117)/EW117*100)</f>
        <v>0</v>
      </c>
      <c r="EZ117" s="4591"/>
      <c r="FA117" s="4592"/>
      <c r="FB117" s="1102">
        <f>IF(EZ117=0,0,(FA117-EZ117)/EZ117*100)</f>
        <v>0</v>
      </c>
      <c r="FC117" s="4591"/>
      <c r="FD117" s="4592"/>
      <c r="FE117" s="1102">
        <f>IF(FC117=0,0,(FD117-FC117)/FC117*100)</f>
        <v>0</v>
      </c>
      <c r="FF117" s="4591"/>
      <c r="FG117" s="4592"/>
      <c r="FH117" s="1102">
        <f>IF(FF117=0,0,(FG117-FF117)/FF117*100)</f>
        <v>0</v>
      </c>
      <c r="FI117" s="4591"/>
      <c r="FJ117" s="4592"/>
      <c r="FK117" s="1102">
        <f>IF(FI117=0,0,(FJ117-FI117)/FI117*100)</f>
        <v>0</v>
      </c>
      <c r="FL117" s="4591"/>
      <c r="FM117" s="4592"/>
      <c r="FN117" s="1102">
        <f>IF(FL117=0,0,(FM117-FL117)/FL117*100)</f>
        <v>0</v>
      </c>
      <c r="FO117" s="4591"/>
      <c r="FP117" s="4592"/>
      <c r="FQ117" s="1102">
        <f>IF(FO117=0,0,(FP117-FO117)/FO117*100)</f>
        <v>0</v>
      </c>
      <c r="FR117" s="4591"/>
      <c r="FS117" s="4592"/>
      <c r="FT117" s="1102">
        <f>IF(FR117=0,0,(FS117-FR117)/FR117*100)</f>
        <v>0</v>
      </c>
      <c r="FU117" s="4591"/>
      <c r="FV117" s="4592"/>
      <c r="FW117" s="1102">
        <f>IF(FU117=0,0,(FV117-FU117)/FU117*100)</f>
        <v>0</v>
      </c>
      <c r="FX117" s="288"/>
      <c r="FY117" s="1328"/>
      <c r="FZ117" s="1063" t="s">
        <v>1887</v>
      </c>
      <c r="GA117" s="1023" t="s">
        <v>1888</v>
      </c>
      <c r="GB117" s="1023" cm="1" t="str">
        <f t="array" ref="GB117:GB117">AB117</f>
        <v>Иногородние потребители, получающие воду с НФС пос. Демьяновский (с 01.10. по 31.12.)</v>
      </c>
      <c r="GC117" s="1329"/>
      <c r="GD117" s="637" t="b">
        <v>1</v>
      </c>
    </row>
    <row customHeight="1" ht="18.525">
      <c r="A118" s="496"/>
      <c r="B118" s="932" cm="1" t="str">
        <f t="array" ref="B118:B118">B117</f>
        <v>true</v>
      </c>
      <c r="C118" s="496"/>
      <c r="D118" s="496"/>
      <c r="E118" s="847">
        <v>19</v>
      </c>
      <c r="F118" s="50" cm="1" t="str">
        <f t="array" ref="F118:F118">OFFSET(E118,-1,1)</f>
        <v>1</v>
      </c>
      <c r="G118" s="496"/>
      <c r="H118" s="496"/>
      <c r="I118" s="496"/>
      <c r="J118" s="496"/>
      <c r="K118" s="496"/>
      <c r="L118" s="496"/>
      <c r="M118" s="496"/>
      <c r="N118" s="496"/>
      <c r="O118" s="496"/>
      <c r="P118" s="496"/>
      <c r="Q118" s="904"/>
      <c r="R118" s="496"/>
      <c r="S118" s="496"/>
      <c r="T118" s="468" cm="1" t="str">
        <f t="array" ref="T118:T118">T117</f>
        <v>true</v>
      </c>
      <c r="U118" s="496"/>
      <c r="V118" s="496"/>
      <c r="W118" s="496"/>
      <c r="X118" s="1559"/>
      <c r="Y118" s="1559"/>
      <c r="Z118" s="1528"/>
      <c r="AA118" s="1516"/>
      <c r="AB118" s="908" t="s">
        <v>1955</v>
      </c>
      <c r="AC118" s="871" t="s">
        <v>1862</v>
      </c>
      <c r="AD118" s="1105"/>
      <c r="AE118" s="1106"/>
      <c r="AF118" s="1102">
        <f>IF(AD118=0,0,(AE118-AD118)/AD118*100)</f>
        <v>0</v>
      </c>
      <c r="AG118" s="4591"/>
      <c r="AH118" s="4592"/>
      <c r="AI118" s="1102">
        <f>IF(AG118=0,0,(AH118-AG118)/AG118*100)</f>
        <v>0</v>
      </c>
      <c r="AJ118" s="4591"/>
      <c r="AK118" s="4592"/>
      <c r="AL118" s="1102">
        <f>IF(AJ118=0,0,(AK118-AJ118)/AJ118*100)</f>
        <v>0</v>
      </c>
      <c r="AM118" s="4591"/>
      <c r="AN118" s="4592"/>
      <c r="AO118" s="1102">
        <f>IF(AM118=0,0,(AN118-AM118)/AM118*100)</f>
        <v>0</v>
      </c>
      <c r="AP118" s="4591"/>
      <c r="AQ118" s="4592"/>
      <c r="AR118" s="1102">
        <f>IF(AP118=0,0,(AQ118-AP118)/AP118*100)</f>
        <v>0</v>
      </c>
      <c r="AS118" s="4591"/>
      <c r="AT118" s="4592"/>
      <c r="AU118" s="1102">
        <f>IF(AS118=0,0,(AT118-AS118)/AS118*100)</f>
        <v>0</v>
      </c>
      <c r="AV118" s="4591"/>
      <c r="AW118" s="4592"/>
      <c r="AX118" s="1102">
        <f>IF(AV118=0,0,(AW118-AV118)/AV118*100)</f>
        <v>0</v>
      </c>
      <c r="AY118" s="4591"/>
      <c r="AZ118" s="4592"/>
      <c r="BA118" s="1102">
        <f>IF(AY118=0,0,(AZ118-AY118)/AY118*100)</f>
        <v>0</v>
      </c>
      <c r="BB118" s="4591"/>
      <c r="BC118" s="4592"/>
      <c r="BD118" s="1102">
        <f>IF(BB118=0,0,(BC118-BB118)/BB118*100)</f>
        <v>0</v>
      </c>
      <c r="BE118" s="4591"/>
      <c r="BF118" s="4592"/>
      <c r="BG118" s="1102">
        <f>IF(BE118=0,0,(BF118-BE118)/BE118*100)</f>
        <v>0</v>
      </c>
      <c r="BH118" s="4591"/>
      <c r="BI118" s="4592"/>
      <c r="BJ118" s="1102">
        <f>IF(BH118=0,0,(BI118-BH118)/BH118*100)</f>
        <v>0</v>
      </c>
      <c r="BK118" s="4591"/>
      <c r="BL118" s="4592"/>
      <c r="BM118" s="1102">
        <f>IF(BK118=0,0,(BL118-BK118)/BK118*100)</f>
        <v>0</v>
      </c>
      <c r="BN118" s="4591"/>
      <c r="BO118" s="4592"/>
      <c r="BP118" s="1102">
        <f>IF(BN118=0,0,(BO118-BN118)/BN118*100)</f>
        <v>0</v>
      </c>
      <c r="BQ118" s="4591"/>
      <c r="BR118" s="4592"/>
      <c r="BS118" s="1102">
        <f>IF(BQ118=0,0,(BR118-BQ118)/BQ118*100)</f>
        <v>0</v>
      </c>
      <c r="BT118" s="4591"/>
      <c r="BU118" s="4592"/>
      <c r="BV118" s="1102">
        <f>IF(BT118=0,0,(BU118-BT118)/BT118*100)</f>
        <v>0</v>
      </c>
      <c r="BW118" s="4591"/>
      <c r="BX118" s="4592"/>
      <c r="BY118" s="1102">
        <f>IF(BW118=0,0,(BX118-BW118)/BW118*100)</f>
        <v>0</v>
      </c>
      <c r="BZ118" s="4591"/>
      <c r="CA118" s="4592"/>
      <c r="CB118" s="1102">
        <f>IF(BZ118=0,0,(CA118-BZ118)/BZ118*100)</f>
        <v>0</v>
      </c>
      <c r="CC118" s="4591"/>
      <c r="CD118" s="4592"/>
      <c r="CE118" s="1102">
        <f>IF(CC118=0,0,(CD118-CC118)/CC118*100)</f>
        <v>0</v>
      </c>
      <c r="CF118" s="4591"/>
      <c r="CG118" s="4592"/>
      <c r="CH118" s="1102">
        <f>IF(CF118=0,0,(CG118-CF118)/CF118*100)</f>
        <v>0</v>
      </c>
      <c r="CI118" s="4591"/>
      <c r="CJ118" s="4592"/>
      <c r="CK118" s="1102">
        <f>IF(CI118=0,0,(CJ118-CI118)/CI118*100)</f>
        <v>0</v>
      </c>
      <c r="CL118" s="4591"/>
      <c r="CM118" s="4592"/>
      <c r="CN118" s="1102">
        <f>IF(CL118=0,0,(CM118-CL118)/CL118*100)</f>
        <v>0</v>
      </c>
      <c r="CO118" s="4591"/>
      <c r="CP118" s="4592"/>
      <c r="CQ118" s="1102">
        <f>IF(CO118=0,0,(CP118-CO118)/CO118*100)</f>
        <v>0</v>
      </c>
      <c r="CR118" s="4591"/>
      <c r="CS118" s="4592"/>
      <c r="CT118" s="1102">
        <f>IF(CR118=0,0,(CS118-CR118)/CR118*100)</f>
        <v>0</v>
      </c>
      <c r="CU118" s="4591"/>
      <c r="CV118" s="4592"/>
      <c r="CW118" s="1102">
        <f>IF(CU118=0,0,(CV118-CU118)/CU118*100)</f>
        <v>0</v>
      </c>
      <c r="CX118" s="4591"/>
      <c r="CY118" s="4592"/>
      <c r="CZ118" s="1102">
        <f>IF(CX118=0,0,(CY118-CX118)/CX118*100)</f>
        <v>0</v>
      </c>
      <c r="DA118" s="4591"/>
      <c r="DB118" s="4592"/>
      <c r="DC118" s="1102">
        <f>IF(DA118=0,0,(DB118-DA118)/DA118*100)</f>
        <v>0</v>
      </c>
      <c r="DD118" s="4591"/>
      <c r="DE118" s="4592"/>
      <c r="DF118" s="1102">
        <f>IF(DD118=0,0,(DE118-DD118)/DD118*100)</f>
        <v>0</v>
      </c>
      <c r="DG118" s="4591"/>
      <c r="DH118" s="4592"/>
      <c r="DI118" s="1102">
        <f>IF(DG118=0,0,(DH118-DG118)/DG118*100)</f>
        <v>0</v>
      </c>
      <c r="DJ118" s="4591"/>
      <c r="DK118" s="4592"/>
      <c r="DL118" s="1102">
        <f>IF(DJ118=0,0,(DK118-DJ118)/DJ118*100)</f>
        <v>0</v>
      </c>
      <c r="DM118" s="4591"/>
      <c r="DN118" s="4592"/>
      <c r="DO118" s="1102">
        <f>IF(DM118=0,0,(DN118-DM118)/DM118*100)</f>
        <v>0</v>
      </c>
      <c r="DP118" s="4591"/>
      <c r="DQ118" s="4592"/>
      <c r="DR118" s="1102">
        <f>IF(DP118=0,0,(DQ118-DP118)/DP118*100)</f>
        <v>0</v>
      </c>
      <c r="DS118" s="4591"/>
      <c r="DT118" s="4592"/>
      <c r="DU118" s="1102">
        <f>IF(DS118=0,0,(DT118-DS118)/DS118*100)</f>
        <v>0</v>
      </c>
      <c r="DV118" s="4591"/>
      <c r="DW118" s="4592"/>
      <c r="DX118" s="1102">
        <f>IF(DV118=0,0,(DW118-DV118)/DV118*100)</f>
        <v>0</v>
      </c>
      <c r="DY118" s="4591"/>
      <c r="DZ118" s="4592"/>
      <c r="EA118" s="1102">
        <f>IF(DY118=0,0,(DZ118-DY118)/DY118*100)</f>
        <v>0</v>
      </c>
      <c r="EB118" s="4591"/>
      <c r="EC118" s="4592"/>
      <c r="ED118" s="1102">
        <f>IF(EB118=0,0,(EC118-EB118)/EB118*100)</f>
        <v>0</v>
      </c>
      <c r="EE118" s="4591"/>
      <c r="EF118" s="4592"/>
      <c r="EG118" s="1102">
        <f>IF(EE118=0,0,(EF118-EE118)/EE118*100)</f>
        <v>0</v>
      </c>
      <c r="EH118" s="4591"/>
      <c r="EI118" s="4592"/>
      <c r="EJ118" s="1102">
        <f>IF(EH118=0,0,(EI118-EH118)/EH118*100)</f>
        <v>0</v>
      </c>
      <c r="EK118" s="4591"/>
      <c r="EL118" s="4592"/>
      <c r="EM118" s="1102">
        <f>IF(EK118=0,0,(EL118-EK118)/EK118*100)</f>
        <v>0</v>
      </c>
      <c r="EN118" s="4591"/>
      <c r="EO118" s="4592"/>
      <c r="EP118" s="1102">
        <f>IF(EN118=0,0,(EO118-EN118)/EN118*100)</f>
        <v>0</v>
      </c>
      <c r="EQ118" s="4591"/>
      <c r="ER118" s="4592"/>
      <c r="ES118" s="1102">
        <f>IF(EQ118=0,0,(ER118-EQ118)/EQ118*100)</f>
        <v>0</v>
      </c>
      <c r="ET118" s="4591"/>
      <c r="EU118" s="4592"/>
      <c r="EV118" s="1102">
        <f>IF(ET118=0,0,(EU118-ET118)/ET118*100)</f>
        <v>0</v>
      </c>
      <c r="EW118" s="4591"/>
      <c r="EX118" s="4592"/>
      <c r="EY118" s="1102">
        <f>IF(EW118=0,0,(EX118-EW118)/EW118*100)</f>
        <v>0</v>
      </c>
      <c r="EZ118" s="4591"/>
      <c r="FA118" s="4592"/>
      <c r="FB118" s="1102">
        <f>IF(EZ118=0,0,(FA118-EZ118)/EZ118*100)</f>
        <v>0</v>
      </c>
      <c r="FC118" s="4591"/>
      <c r="FD118" s="4592"/>
      <c r="FE118" s="1102">
        <f>IF(FC118=0,0,(FD118-FC118)/FC118*100)</f>
        <v>0</v>
      </c>
      <c r="FF118" s="4591"/>
      <c r="FG118" s="4592"/>
      <c r="FH118" s="1102">
        <f>IF(FF118=0,0,(FG118-FF118)/FF118*100)</f>
        <v>0</v>
      </c>
      <c r="FI118" s="4591"/>
      <c r="FJ118" s="4592"/>
      <c r="FK118" s="1102">
        <f>IF(FI118=0,0,(FJ118-FI118)/FI118*100)</f>
        <v>0</v>
      </c>
      <c r="FL118" s="4591"/>
      <c r="FM118" s="4592"/>
      <c r="FN118" s="1102">
        <f>IF(FL118=0,0,(FM118-FL118)/FL118*100)</f>
        <v>0</v>
      </c>
      <c r="FO118" s="4591"/>
      <c r="FP118" s="4592"/>
      <c r="FQ118" s="1102">
        <f>IF(FO118=0,0,(FP118-FO118)/FO118*100)</f>
        <v>0</v>
      </c>
      <c r="FR118" s="4591"/>
      <c r="FS118" s="4592"/>
      <c r="FT118" s="1102">
        <f>IF(FR118=0,0,(FS118-FR118)/FR118*100)</f>
        <v>0</v>
      </c>
      <c r="FU118" s="4591"/>
      <c r="FV118" s="4592"/>
      <c r="FW118" s="1102">
        <f>IF(FU118=0,0,(FV118-FU118)/FU118*100)</f>
        <v>0</v>
      </c>
      <c r="FZ118" s="1330" t="s">
        <v>1889</v>
      </c>
      <c r="GA118" s="1330" t="s">
        <v>1888</v>
      </c>
      <c r="GB118" s="1330" cm="1" t="str">
        <f t="array" ref="GB118:GB118">GB117</f>
        <v>Иногородние потребители, получающие воду с НФС пос. Демьяновский (с 01.10. по 31.12.)</v>
      </c>
    </row>
    <row s="1656" customFormat="1" customHeight="1" ht="19.171875">
      <c r="A119" s="496"/>
      <c r="B119" s="932" cm="1" t="str">
        <f t="array" ref="B119:B119">B117</f>
        <v>true</v>
      </c>
      <c r="C119" s="496"/>
      <c r="D119" s="496"/>
      <c r="E119" s="847">
        <v>15</v>
      </c>
      <c r="F119" s="50" cm="1" t="str">
        <f t="array" ref="F119:F119">OFFSET(E119,-1,1)</f>
        <v>1</v>
      </c>
      <c r="G119" s="496"/>
      <c r="H119" s="496" t="s">
        <v>573</v>
      </c>
      <c r="I119" s="496" cm="1" t="str">
        <f t="array" ref="I119:I119">I117</f>
        <v>Иногородние потребители, получающие воду с НФС пос. Демьяновский (с 01.10. по 31.12.)</v>
      </c>
      <c r="J119" s="496"/>
      <c r="K119" s="496"/>
      <c r="L119" s="496"/>
      <c r="M119" s="496"/>
      <c r="N119" s="496"/>
      <c r="O119" s="496"/>
      <c r="P119" s="496"/>
      <c r="Q119" s="904"/>
      <c r="R119" s="496"/>
      <c r="S119" s="496"/>
      <c r="T119" s="468" cm="1" t="str">
        <f t="array" ref="T119:T119">T117</f>
        <v>true</v>
      </c>
      <c r="U119" s="496"/>
      <c r="V119" s="496"/>
      <c r="W119" s="496"/>
      <c r="X119" s="1559"/>
      <c r="Y119" s="1559"/>
      <c r="Z119" s="1528"/>
      <c r="AA119" s="1516"/>
      <c r="AB119" s="907" t="s">
        <v>1872</v>
      </c>
      <c r="AC119" s="296" t="s">
        <v>657</v>
      </c>
      <c r="AD119" s="1103" cm="1" t="str">
        <f t="array" ref="AD119:AD119">AD116</f>
        <v>552.20152</v>
      </c>
      <c r="AE119" s="1103">
        <v>270.37862</v>
      </c>
      <c r="AF119" s="1104">
        <f>IF(AD119=0,0,(AE119-AD119)/AD119*100)</f>
        <v>-51.0362412620668</v>
      </c>
      <c r="AG119" s="4585"/>
      <c r="AH119" s="4585"/>
      <c r="AI119" s="1104">
        <f>IF(AG119=0,0,(AH119-AG119)/AG119*100)</f>
        <v>0</v>
      </c>
      <c r="AJ119" s="4585"/>
      <c r="AK119" s="4585"/>
      <c r="AL119" s="1104">
        <f>IF(AJ119=0,0,(AK119-AJ119)/AJ119*100)</f>
        <v>0</v>
      </c>
      <c r="AM119" s="4585"/>
      <c r="AN119" s="4585"/>
      <c r="AO119" s="1104">
        <f>IF(AM119=0,0,(AN119-AM119)/AM119*100)</f>
        <v>0</v>
      </c>
      <c r="AP119" s="4585"/>
      <c r="AQ119" s="4585"/>
      <c r="AR119" s="1104">
        <f>IF(AP119=0,0,(AQ119-AP119)/AP119*100)</f>
        <v>0</v>
      </c>
      <c r="AS119" s="4585"/>
      <c r="AT119" s="4585"/>
      <c r="AU119" s="1104">
        <f>IF(AS119=0,0,(AT119-AS119)/AS119*100)</f>
        <v>0</v>
      </c>
      <c r="AV119" s="4585"/>
      <c r="AW119" s="4585"/>
      <c r="AX119" s="1104">
        <f>IF(AV119=0,0,(AW119-AV119)/AV119*100)</f>
        <v>0</v>
      </c>
      <c r="AY119" s="4585"/>
      <c r="AZ119" s="4585"/>
      <c r="BA119" s="1104">
        <f>IF(AY119=0,0,(AZ119-AY119)/AY119*100)</f>
        <v>0</v>
      </c>
      <c r="BB119" s="4585"/>
      <c r="BC119" s="4585"/>
      <c r="BD119" s="1104">
        <f>IF(BB119=0,0,(BC119-BB119)/BB119*100)</f>
        <v>0</v>
      </c>
      <c r="BE119" s="4585"/>
      <c r="BF119" s="4585"/>
      <c r="BG119" s="1104">
        <f>IF(BE119=0,0,(BF119-BE119)/BE119*100)</f>
        <v>0</v>
      </c>
      <c r="BH119" s="4585"/>
      <c r="BI119" s="4585"/>
      <c r="BJ119" s="1104">
        <f>IF(BH119=0,0,(BI119-BH119)/BH119*100)</f>
        <v>0</v>
      </c>
      <c r="BK119" s="4585"/>
      <c r="BL119" s="4585"/>
      <c r="BM119" s="1104">
        <f>IF(BK119=0,0,(BL119-BK119)/BK119*100)</f>
        <v>0</v>
      </c>
      <c r="BN119" s="4585"/>
      <c r="BO119" s="4585"/>
      <c r="BP119" s="1104">
        <f>IF(BN119=0,0,(BO119-BN119)/BN119*100)</f>
        <v>0</v>
      </c>
      <c r="BQ119" s="4585"/>
      <c r="BR119" s="4585"/>
      <c r="BS119" s="1104">
        <f>IF(BQ119=0,0,(BR119-BQ119)/BQ119*100)</f>
        <v>0</v>
      </c>
      <c r="BT119" s="4585"/>
      <c r="BU119" s="4585"/>
      <c r="BV119" s="1104">
        <f>IF(BT119=0,0,(BU119-BT119)/BT119*100)</f>
        <v>0</v>
      </c>
      <c r="BW119" s="4585"/>
      <c r="BX119" s="4585"/>
      <c r="BY119" s="1104">
        <f>IF(BW119=0,0,(BX119-BW119)/BW119*100)</f>
        <v>0</v>
      </c>
      <c r="BZ119" s="4585"/>
      <c r="CA119" s="4585"/>
      <c r="CB119" s="1104">
        <f>IF(BZ119=0,0,(CA119-BZ119)/BZ119*100)</f>
        <v>0</v>
      </c>
      <c r="CC119" s="4585"/>
      <c r="CD119" s="4585"/>
      <c r="CE119" s="1104">
        <f>IF(CC119=0,0,(CD119-CC119)/CC119*100)</f>
        <v>0</v>
      </c>
      <c r="CF119" s="4585"/>
      <c r="CG119" s="4585"/>
      <c r="CH119" s="1104">
        <f>IF(CF119=0,0,(CG119-CF119)/CF119*100)</f>
        <v>0</v>
      </c>
      <c r="CI119" s="4585"/>
      <c r="CJ119" s="4585"/>
      <c r="CK119" s="1104">
        <f>IF(CI119=0,0,(CJ119-CI119)/CI119*100)</f>
        <v>0</v>
      </c>
      <c r="CL119" s="4585"/>
      <c r="CM119" s="4585"/>
      <c r="CN119" s="1104">
        <f>IF(CL119=0,0,(CM119-CL119)/CL119*100)</f>
        <v>0</v>
      </c>
      <c r="CO119" s="4585"/>
      <c r="CP119" s="4585"/>
      <c r="CQ119" s="1104">
        <f>IF(CO119=0,0,(CP119-CO119)/CO119*100)</f>
        <v>0</v>
      </c>
      <c r="CR119" s="4585"/>
      <c r="CS119" s="4585"/>
      <c r="CT119" s="1104">
        <f>IF(CR119=0,0,(CS119-CR119)/CR119*100)</f>
        <v>0</v>
      </c>
      <c r="CU119" s="4585"/>
      <c r="CV119" s="4585"/>
      <c r="CW119" s="1104">
        <f>IF(CU119=0,0,(CV119-CU119)/CU119*100)</f>
        <v>0</v>
      </c>
      <c r="CX119" s="4585"/>
      <c r="CY119" s="4585"/>
      <c r="CZ119" s="1104">
        <f>IF(CX119=0,0,(CY119-CX119)/CX119*100)</f>
        <v>0</v>
      </c>
      <c r="DA119" s="4585"/>
      <c r="DB119" s="4585"/>
      <c r="DC119" s="1104">
        <f>IF(DA119=0,0,(DB119-DA119)/DA119*100)</f>
        <v>0</v>
      </c>
      <c r="DD119" s="4585"/>
      <c r="DE119" s="4585"/>
      <c r="DF119" s="1104">
        <f>IF(DD119=0,0,(DE119-DD119)/DD119*100)</f>
        <v>0</v>
      </c>
      <c r="DG119" s="4585"/>
      <c r="DH119" s="4585"/>
      <c r="DI119" s="1104">
        <f>IF(DG119=0,0,(DH119-DG119)/DG119*100)</f>
        <v>0</v>
      </c>
      <c r="DJ119" s="4585"/>
      <c r="DK119" s="4585"/>
      <c r="DL119" s="1104">
        <f>IF(DJ119=0,0,(DK119-DJ119)/DJ119*100)</f>
        <v>0</v>
      </c>
      <c r="DM119" s="4585"/>
      <c r="DN119" s="4585"/>
      <c r="DO119" s="1104">
        <f>IF(DM119=0,0,(DN119-DM119)/DM119*100)</f>
        <v>0</v>
      </c>
      <c r="DP119" s="4585"/>
      <c r="DQ119" s="4585"/>
      <c r="DR119" s="1104">
        <f>IF(DP119=0,0,(DQ119-DP119)/DP119*100)</f>
        <v>0</v>
      </c>
      <c r="DS119" s="4585"/>
      <c r="DT119" s="4585"/>
      <c r="DU119" s="1104">
        <f>IF(DS119=0,0,(DT119-DS119)/DS119*100)</f>
        <v>0</v>
      </c>
      <c r="DV119" s="4585"/>
      <c r="DW119" s="4585"/>
      <c r="DX119" s="1104">
        <f>IF(DV119=0,0,(DW119-DV119)/DV119*100)</f>
        <v>0</v>
      </c>
      <c r="DY119" s="4585"/>
      <c r="DZ119" s="4585"/>
      <c r="EA119" s="1104">
        <f>IF(DY119=0,0,(DZ119-DY119)/DY119*100)</f>
        <v>0</v>
      </c>
      <c r="EB119" s="4585"/>
      <c r="EC119" s="4585"/>
      <c r="ED119" s="1104">
        <f>IF(EB119=0,0,(EC119-EB119)/EB119*100)</f>
        <v>0</v>
      </c>
      <c r="EE119" s="4585"/>
      <c r="EF119" s="4585"/>
      <c r="EG119" s="1104">
        <f>IF(EE119=0,0,(EF119-EE119)/EE119*100)</f>
        <v>0</v>
      </c>
      <c r="EH119" s="4585"/>
      <c r="EI119" s="4585"/>
      <c r="EJ119" s="1104">
        <f>IF(EH119=0,0,(EI119-EH119)/EH119*100)</f>
        <v>0</v>
      </c>
      <c r="EK119" s="4585"/>
      <c r="EL119" s="4585"/>
      <c r="EM119" s="1104">
        <f>IF(EK119=0,0,(EL119-EK119)/EK119*100)</f>
        <v>0</v>
      </c>
      <c r="EN119" s="4585"/>
      <c r="EO119" s="4585"/>
      <c r="EP119" s="1104">
        <f>IF(EN119=0,0,(EO119-EN119)/EN119*100)</f>
        <v>0</v>
      </c>
      <c r="EQ119" s="4585"/>
      <c r="ER119" s="4585"/>
      <c r="ES119" s="1104">
        <f>IF(EQ119=0,0,(ER119-EQ119)/EQ119*100)</f>
        <v>0</v>
      </c>
      <c r="ET119" s="4585"/>
      <c r="EU119" s="4585"/>
      <c r="EV119" s="1104">
        <f>IF(ET119=0,0,(EU119-ET119)/ET119*100)</f>
        <v>0</v>
      </c>
      <c r="EW119" s="4585"/>
      <c r="EX119" s="4585"/>
      <c r="EY119" s="1104">
        <f>IF(EW119=0,0,(EX119-EW119)/EW119*100)</f>
        <v>0</v>
      </c>
      <c r="EZ119" s="4585"/>
      <c r="FA119" s="4585"/>
      <c r="FB119" s="1104">
        <f>IF(EZ119=0,0,(FA119-EZ119)/EZ119*100)</f>
        <v>0</v>
      </c>
      <c r="FC119" s="4585"/>
      <c r="FD119" s="4585"/>
      <c r="FE119" s="1104">
        <f>IF(FC119=0,0,(FD119-FC119)/FC119*100)</f>
        <v>0</v>
      </c>
      <c r="FF119" s="4585"/>
      <c r="FG119" s="4585"/>
      <c r="FH119" s="1104">
        <f>IF(FF119=0,0,(FG119-FF119)/FF119*100)</f>
        <v>0</v>
      </c>
      <c r="FI119" s="4585"/>
      <c r="FJ119" s="4585"/>
      <c r="FK119" s="1104">
        <f>IF(FI119=0,0,(FJ119-FI119)/FI119*100)</f>
        <v>0</v>
      </c>
      <c r="FL119" s="4585"/>
      <c r="FM119" s="4585"/>
      <c r="FN119" s="1104">
        <f>IF(FL119=0,0,(FM119-FL119)/FL119*100)</f>
        <v>0</v>
      </c>
      <c r="FO119" s="4585"/>
      <c r="FP119" s="4585"/>
      <c r="FQ119" s="1104">
        <f>IF(FO119=0,0,(FP119-FO119)/FO119*100)</f>
        <v>0</v>
      </c>
      <c r="FR119" s="4585"/>
      <c r="FS119" s="4585"/>
      <c r="FT119" s="1104">
        <f>IF(FR119=0,0,(FS119-FR119)/FR119*100)</f>
        <v>0</v>
      </c>
      <c r="FU119" s="4585"/>
      <c r="FV119" s="4585"/>
      <c r="FW119" s="1104">
        <f>IF(FU119=0,0,(FV119-FU119)/FU119*100)</f>
        <v>0</v>
      </c>
      <c r="FX119" s="288"/>
      <c r="FY119" s="1328"/>
      <c r="FZ119" s="1063" t="s">
        <v>1890</v>
      </c>
      <c r="GA119" s="1023" t="s">
        <v>1888</v>
      </c>
      <c r="GB119" s="1023" cm="1" t="str">
        <f t="array" ref="GB119:GB119">GB117</f>
        <v>Иногородние потребители, получающие воду с НФС пос. Демьяновский (с 01.10. по 31.12.)</v>
      </c>
      <c r="GC119" s="1329"/>
      <c r="GD119" s="1329"/>
    </row>
    <row s="1656" customFormat="1" customHeight="1" ht="29.671875">
      <c r="A120" s="496"/>
      <c r="B120" s="932" cm="1" t="str">
        <f t="array" ref="B120:B120">B119</f>
        <v>true</v>
      </c>
      <c r="C120" s="496"/>
      <c r="D120" s="496"/>
      <c r="E120" s="847">
        <v>18.75</v>
      </c>
      <c r="F120" s="50" cm="1" t="str">
        <f t="array" ref="F120:F120">OFFSET(E120,-1,1)</f>
        <v>1</v>
      </c>
      <c r="G120" s="496"/>
      <c r="H120" s="496" t="s">
        <v>566</v>
      </c>
      <c r="I120" s="496" cm="1" t="str">
        <f t="array" ref="I120:I120">AB120</f>
        <v>г. Ленинск-Кузнецкий, г. Полысаево, для населения, с НДС (с 01.01. по 30.09.)</v>
      </c>
      <c r="J120" s="496"/>
      <c r="K120" s="496"/>
      <c r="L120" s="496"/>
      <c r="M120" s="496"/>
      <c r="N120" s="496"/>
      <c r="O120" s="496"/>
      <c r="P120" s="496"/>
      <c r="Q120" s="904"/>
      <c r="R120" s="496"/>
      <c r="S120" s="496"/>
      <c r="T120" s="468">
        <f>AND(F120&gt;0,Y120&gt;0)</f>
        <v>1</v>
      </c>
      <c r="U120" s="496"/>
      <c r="V120" s="496"/>
      <c r="W120" s="496"/>
      <c r="X120" s="1559"/>
      <c r="Y120" s="1559" t="s">
        <v>454</v>
      </c>
      <c r="Z120" s="1528"/>
      <c r="AA120" s="1516" t="s">
        <v>174</v>
      </c>
      <c r="AB120" s="908" t="s">
        <v>1958</v>
      </c>
      <c r="AC120" s="871" t="s">
        <v>1862</v>
      </c>
      <c r="AD120" s="1105"/>
      <c r="AE120" s="1106">
        <f>AE108*1.22</f>
        <v>69.5766</v>
      </c>
      <c r="AF120" s="1102">
        <f>IF(AD120=0,0,(AE120-AD120)/AD120*100)</f>
        <v>0</v>
      </c>
      <c r="AG120" s="4591"/>
      <c r="AH120" s="4592"/>
      <c r="AI120" s="1102">
        <f>IF(AG120=0,0,(AH120-AG120)/AG120*100)</f>
        <v>0</v>
      </c>
      <c r="AJ120" s="4591"/>
      <c r="AK120" s="4592"/>
      <c r="AL120" s="1102">
        <f>IF(AJ120=0,0,(AK120-AJ120)/AJ120*100)</f>
        <v>0</v>
      </c>
      <c r="AM120" s="4591"/>
      <c r="AN120" s="4592"/>
      <c r="AO120" s="1102">
        <f>IF(AM120=0,0,(AN120-AM120)/AM120*100)</f>
        <v>0</v>
      </c>
      <c r="AP120" s="4591"/>
      <c r="AQ120" s="4592"/>
      <c r="AR120" s="1102">
        <f>IF(AP120=0,0,(AQ120-AP120)/AP120*100)</f>
        <v>0</v>
      </c>
      <c r="AS120" s="4591"/>
      <c r="AT120" s="4592"/>
      <c r="AU120" s="1102">
        <f>IF(AS120=0,0,(AT120-AS120)/AS120*100)</f>
        <v>0</v>
      </c>
      <c r="AV120" s="4591"/>
      <c r="AW120" s="4592"/>
      <c r="AX120" s="1102">
        <f>IF(AV120=0,0,(AW120-AV120)/AV120*100)</f>
        <v>0</v>
      </c>
      <c r="AY120" s="4591"/>
      <c r="AZ120" s="4592"/>
      <c r="BA120" s="1102">
        <f>IF(AY120=0,0,(AZ120-AY120)/AY120*100)</f>
        <v>0</v>
      </c>
      <c r="BB120" s="4591"/>
      <c r="BC120" s="4592"/>
      <c r="BD120" s="1102">
        <f>IF(BB120=0,0,(BC120-BB120)/BB120*100)</f>
        <v>0</v>
      </c>
      <c r="BE120" s="4591"/>
      <c r="BF120" s="4592"/>
      <c r="BG120" s="1102">
        <f>IF(BE120=0,0,(BF120-BE120)/BE120*100)</f>
        <v>0</v>
      </c>
      <c r="BH120" s="4591"/>
      <c r="BI120" s="4592"/>
      <c r="BJ120" s="1102">
        <f>IF(BH120=0,0,(BI120-BH120)/BH120*100)</f>
        <v>0</v>
      </c>
      <c r="BK120" s="4591"/>
      <c r="BL120" s="4592"/>
      <c r="BM120" s="1102">
        <f>IF(BK120=0,0,(BL120-BK120)/BK120*100)</f>
        <v>0</v>
      </c>
      <c r="BN120" s="4591"/>
      <c r="BO120" s="4592"/>
      <c r="BP120" s="1102">
        <f>IF(BN120=0,0,(BO120-BN120)/BN120*100)</f>
        <v>0</v>
      </c>
      <c r="BQ120" s="4591"/>
      <c r="BR120" s="4592"/>
      <c r="BS120" s="1102">
        <f>IF(BQ120=0,0,(BR120-BQ120)/BQ120*100)</f>
        <v>0</v>
      </c>
      <c r="BT120" s="4591"/>
      <c r="BU120" s="4592"/>
      <c r="BV120" s="1102">
        <f>IF(BT120=0,0,(BU120-BT120)/BT120*100)</f>
        <v>0</v>
      </c>
      <c r="BW120" s="4591"/>
      <c r="BX120" s="4592"/>
      <c r="BY120" s="1102">
        <f>IF(BW120=0,0,(BX120-BW120)/BW120*100)</f>
        <v>0</v>
      </c>
      <c r="BZ120" s="4591"/>
      <c r="CA120" s="4592"/>
      <c r="CB120" s="1102">
        <f>IF(BZ120=0,0,(CA120-BZ120)/BZ120*100)</f>
        <v>0</v>
      </c>
      <c r="CC120" s="4591"/>
      <c r="CD120" s="4592"/>
      <c r="CE120" s="1102">
        <f>IF(CC120=0,0,(CD120-CC120)/CC120*100)</f>
        <v>0</v>
      </c>
      <c r="CF120" s="4591"/>
      <c r="CG120" s="4592"/>
      <c r="CH120" s="1102">
        <f>IF(CF120=0,0,(CG120-CF120)/CF120*100)</f>
        <v>0</v>
      </c>
      <c r="CI120" s="4591"/>
      <c r="CJ120" s="4592"/>
      <c r="CK120" s="1102">
        <f>IF(CI120=0,0,(CJ120-CI120)/CI120*100)</f>
        <v>0</v>
      </c>
      <c r="CL120" s="4591"/>
      <c r="CM120" s="4592"/>
      <c r="CN120" s="1102">
        <f>IF(CL120=0,0,(CM120-CL120)/CL120*100)</f>
        <v>0</v>
      </c>
      <c r="CO120" s="4591"/>
      <c r="CP120" s="4592"/>
      <c r="CQ120" s="1102">
        <f>IF(CO120=0,0,(CP120-CO120)/CO120*100)</f>
        <v>0</v>
      </c>
      <c r="CR120" s="4591"/>
      <c r="CS120" s="4592"/>
      <c r="CT120" s="1102">
        <f>IF(CR120=0,0,(CS120-CR120)/CR120*100)</f>
        <v>0</v>
      </c>
      <c r="CU120" s="4591"/>
      <c r="CV120" s="4592"/>
      <c r="CW120" s="1102">
        <f>IF(CU120=0,0,(CV120-CU120)/CU120*100)</f>
        <v>0</v>
      </c>
      <c r="CX120" s="4591"/>
      <c r="CY120" s="4592"/>
      <c r="CZ120" s="1102">
        <f>IF(CX120=0,0,(CY120-CX120)/CX120*100)</f>
        <v>0</v>
      </c>
      <c r="DA120" s="4591"/>
      <c r="DB120" s="4592"/>
      <c r="DC120" s="1102">
        <f>IF(DA120=0,0,(DB120-DA120)/DA120*100)</f>
        <v>0</v>
      </c>
      <c r="DD120" s="4591"/>
      <c r="DE120" s="4592"/>
      <c r="DF120" s="1102">
        <f>IF(DD120=0,0,(DE120-DD120)/DD120*100)</f>
        <v>0</v>
      </c>
      <c r="DG120" s="4591"/>
      <c r="DH120" s="4592"/>
      <c r="DI120" s="1102">
        <f>IF(DG120=0,0,(DH120-DG120)/DG120*100)</f>
        <v>0</v>
      </c>
      <c r="DJ120" s="4591"/>
      <c r="DK120" s="4592"/>
      <c r="DL120" s="1102">
        <f>IF(DJ120=0,0,(DK120-DJ120)/DJ120*100)</f>
        <v>0</v>
      </c>
      <c r="DM120" s="4591"/>
      <c r="DN120" s="4592"/>
      <c r="DO120" s="1102">
        <f>IF(DM120=0,0,(DN120-DM120)/DM120*100)</f>
        <v>0</v>
      </c>
      <c r="DP120" s="4591"/>
      <c r="DQ120" s="4592"/>
      <c r="DR120" s="1102">
        <f>IF(DP120=0,0,(DQ120-DP120)/DP120*100)</f>
        <v>0</v>
      </c>
      <c r="DS120" s="4591"/>
      <c r="DT120" s="4592"/>
      <c r="DU120" s="1102">
        <f>IF(DS120=0,0,(DT120-DS120)/DS120*100)</f>
        <v>0</v>
      </c>
      <c r="DV120" s="4591"/>
      <c r="DW120" s="4592"/>
      <c r="DX120" s="1102">
        <f>IF(DV120=0,0,(DW120-DV120)/DV120*100)</f>
        <v>0</v>
      </c>
      <c r="DY120" s="4591"/>
      <c r="DZ120" s="4592"/>
      <c r="EA120" s="1102">
        <f>IF(DY120=0,0,(DZ120-DY120)/DY120*100)</f>
        <v>0</v>
      </c>
      <c r="EB120" s="4591"/>
      <c r="EC120" s="4592"/>
      <c r="ED120" s="1102">
        <f>IF(EB120=0,0,(EC120-EB120)/EB120*100)</f>
        <v>0</v>
      </c>
      <c r="EE120" s="4591"/>
      <c r="EF120" s="4592"/>
      <c r="EG120" s="1102">
        <f>IF(EE120=0,0,(EF120-EE120)/EE120*100)</f>
        <v>0</v>
      </c>
      <c r="EH120" s="4591"/>
      <c r="EI120" s="4592"/>
      <c r="EJ120" s="1102">
        <f>IF(EH120=0,0,(EI120-EH120)/EH120*100)</f>
        <v>0</v>
      </c>
      <c r="EK120" s="4591"/>
      <c r="EL120" s="4592"/>
      <c r="EM120" s="1102">
        <f>IF(EK120=0,0,(EL120-EK120)/EK120*100)</f>
        <v>0</v>
      </c>
      <c r="EN120" s="4591"/>
      <c r="EO120" s="4592"/>
      <c r="EP120" s="1102">
        <f>IF(EN120=0,0,(EO120-EN120)/EN120*100)</f>
        <v>0</v>
      </c>
      <c r="EQ120" s="4591"/>
      <c r="ER120" s="4592"/>
      <c r="ES120" s="1102">
        <f>IF(EQ120=0,0,(ER120-EQ120)/EQ120*100)</f>
        <v>0</v>
      </c>
      <c r="ET120" s="4591"/>
      <c r="EU120" s="4592"/>
      <c r="EV120" s="1102">
        <f>IF(ET120=0,0,(EU120-ET120)/ET120*100)</f>
        <v>0</v>
      </c>
      <c r="EW120" s="4591"/>
      <c r="EX120" s="4592"/>
      <c r="EY120" s="1102">
        <f>IF(EW120=0,0,(EX120-EW120)/EW120*100)</f>
        <v>0</v>
      </c>
      <c r="EZ120" s="4591"/>
      <c r="FA120" s="4592"/>
      <c r="FB120" s="1102">
        <f>IF(EZ120=0,0,(FA120-EZ120)/EZ120*100)</f>
        <v>0</v>
      </c>
      <c r="FC120" s="4591"/>
      <c r="FD120" s="4592"/>
      <c r="FE120" s="1102">
        <f>IF(FC120=0,0,(FD120-FC120)/FC120*100)</f>
        <v>0</v>
      </c>
      <c r="FF120" s="4591"/>
      <c r="FG120" s="4592"/>
      <c r="FH120" s="1102">
        <f>IF(FF120=0,0,(FG120-FF120)/FF120*100)</f>
        <v>0</v>
      </c>
      <c r="FI120" s="4591"/>
      <c r="FJ120" s="4592"/>
      <c r="FK120" s="1102">
        <f>IF(FI120=0,0,(FJ120-FI120)/FI120*100)</f>
        <v>0</v>
      </c>
      <c r="FL120" s="4591"/>
      <c r="FM120" s="4592"/>
      <c r="FN120" s="1102">
        <f>IF(FL120=0,0,(FM120-FL120)/FL120*100)</f>
        <v>0</v>
      </c>
      <c r="FO120" s="4591"/>
      <c r="FP120" s="4592"/>
      <c r="FQ120" s="1102">
        <f>IF(FO120=0,0,(FP120-FO120)/FO120*100)</f>
        <v>0</v>
      </c>
      <c r="FR120" s="4591"/>
      <c r="FS120" s="4592"/>
      <c r="FT120" s="1102">
        <f>IF(FR120=0,0,(FS120-FR120)/FR120*100)</f>
        <v>0</v>
      </c>
      <c r="FU120" s="4591"/>
      <c r="FV120" s="4592"/>
      <c r="FW120" s="1102">
        <f>IF(FU120=0,0,(FV120-FU120)/FU120*100)</f>
        <v>0</v>
      </c>
      <c r="FX120" s="288"/>
      <c r="FY120" s="1328"/>
      <c r="FZ120" s="1063" t="s">
        <v>1887</v>
      </c>
      <c r="GA120" s="1023" t="s">
        <v>1888</v>
      </c>
      <c r="GB120" s="1023" cm="1" t="str">
        <f t="array" ref="GB120:GB120">AB120</f>
        <v>г. Ленинск-Кузнецкий, г. Полысаево, для населения, с НДС (с 01.01. по 30.09.)</v>
      </c>
      <c r="GC120" s="1329"/>
      <c r="GD120" s="637" t="b">
        <v>1</v>
      </c>
    </row>
    <row customHeight="1" ht="18.525">
      <c r="A121" s="496"/>
      <c r="B121" s="932" cm="1" t="str">
        <f t="array" ref="B121:B121">B120</f>
        <v>true</v>
      </c>
      <c r="C121" s="496"/>
      <c r="D121" s="496"/>
      <c r="E121" s="847">
        <v>19</v>
      </c>
      <c r="F121" s="50" cm="1" t="str">
        <f t="array" ref="F121:F121">OFFSET(E121,-1,1)</f>
        <v>1</v>
      </c>
      <c r="G121" s="496"/>
      <c r="H121" s="496"/>
      <c r="I121" s="496"/>
      <c r="J121" s="496"/>
      <c r="K121" s="496"/>
      <c r="L121" s="496"/>
      <c r="M121" s="496"/>
      <c r="N121" s="496"/>
      <c r="O121" s="496"/>
      <c r="P121" s="496"/>
      <c r="Q121" s="904"/>
      <c r="R121" s="496"/>
      <c r="S121" s="496"/>
      <c r="T121" s="468" cm="1" t="str">
        <f t="array" ref="T121:T121">T120</f>
        <v>true</v>
      </c>
      <c r="U121" s="496"/>
      <c r="V121" s="496"/>
      <c r="W121" s="496"/>
      <c r="X121" s="1559"/>
      <c r="Y121" s="1559"/>
      <c r="Z121" s="1528"/>
      <c r="AA121" s="1516"/>
      <c r="AB121" s="908" t="s">
        <v>1953</v>
      </c>
      <c r="AC121" s="871" t="s">
        <v>1862</v>
      </c>
      <c r="AD121" s="1105"/>
      <c r="AE121" s="1106"/>
      <c r="AF121" s="1102">
        <f>IF(AD121=0,0,(AE121-AD121)/AD121*100)</f>
        <v>0</v>
      </c>
      <c r="AG121" s="4591"/>
      <c r="AH121" s="4592"/>
      <c r="AI121" s="1102">
        <f>IF(AG121=0,0,(AH121-AG121)/AG121*100)</f>
        <v>0</v>
      </c>
      <c r="AJ121" s="4591"/>
      <c r="AK121" s="4592"/>
      <c r="AL121" s="1102">
        <f>IF(AJ121=0,0,(AK121-AJ121)/AJ121*100)</f>
        <v>0</v>
      </c>
      <c r="AM121" s="4591"/>
      <c r="AN121" s="4592"/>
      <c r="AO121" s="1102">
        <f>IF(AM121=0,0,(AN121-AM121)/AM121*100)</f>
        <v>0</v>
      </c>
      <c r="AP121" s="4591"/>
      <c r="AQ121" s="4592"/>
      <c r="AR121" s="1102">
        <f>IF(AP121=0,0,(AQ121-AP121)/AP121*100)</f>
        <v>0</v>
      </c>
      <c r="AS121" s="4591"/>
      <c r="AT121" s="4592"/>
      <c r="AU121" s="1102">
        <f>IF(AS121=0,0,(AT121-AS121)/AS121*100)</f>
        <v>0</v>
      </c>
      <c r="AV121" s="4591"/>
      <c r="AW121" s="4592"/>
      <c r="AX121" s="1102">
        <f>IF(AV121=0,0,(AW121-AV121)/AV121*100)</f>
        <v>0</v>
      </c>
      <c r="AY121" s="4591"/>
      <c r="AZ121" s="4592"/>
      <c r="BA121" s="1102">
        <f>IF(AY121=0,0,(AZ121-AY121)/AY121*100)</f>
        <v>0</v>
      </c>
      <c r="BB121" s="4591"/>
      <c r="BC121" s="4592"/>
      <c r="BD121" s="1102">
        <f>IF(BB121=0,0,(BC121-BB121)/BB121*100)</f>
        <v>0</v>
      </c>
      <c r="BE121" s="4591"/>
      <c r="BF121" s="4592"/>
      <c r="BG121" s="1102">
        <f>IF(BE121=0,0,(BF121-BE121)/BE121*100)</f>
        <v>0</v>
      </c>
      <c r="BH121" s="4591"/>
      <c r="BI121" s="4592"/>
      <c r="BJ121" s="1102">
        <f>IF(BH121=0,0,(BI121-BH121)/BH121*100)</f>
        <v>0</v>
      </c>
      <c r="BK121" s="4591"/>
      <c r="BL121" s="4592"/>
      <c r="BM121" s="1102">
        <f>IF(BK121=0,0,(BL121-BK121)/BK121*100)</f>
        <v>0</v>
      </c>
      <c r="BN121" s="4591"/>
      <c r="BO121" s="4592"/>
      <c r="BP121" s="1102">
        <f>IF(BN121=0,0,(BO121-BN121)/BN121*100)</f>
        <v>0</v>
      </c>
      <c r="BQ121" s="4591"/>
      <c r="BR121" s="4592"/>
      <c r="BS121" s="1102">
        <f>IF(BQ121=0,0,(BR121-BQ121)/BQ121*100)</f>
        <v>0</v>
      </c>
      <c r="BT121" s="4591"/>
      <c r="BU121" s="4592"/>
      <c r="BV121" s="1102">
        <f>IF(BT121=0,0,(BU121-BT121)/BT121*100)</f>
        <v>0</v>
      </c>
      <c r="BW121" s="4591"/>
      <c r="BX121" s="4592"/>
      <c r="BY121" s="1102">
        <f>IF(BW121=0,0,(BX121-BW121)/BW121*100)</f>
        <v>0</v>
      </c>
      <c r="BZ121" s="4591"/>
      <c r="CA121" s="4592"/>
      <c r="CB121" s="1102">
        <f>IF(BZ121=0,0,(CA121-BZ121)/BZ121*100)</f>
        <v>0</v>
      </c>
      <c r="CC121" s="4591"/>
      <c r="CD121" s="4592"/>
      <c r="CE121" s="1102">
        <f>IF(CC121=0,0,(CD121-CC121)/CC121*100)</f>
        <v>0</v>
      </c>
      <c r="CF121" s="4591"/>
      <c r="CG121" s="4592"/>
      <c r="CH121" s="1102">
        <f>IF(CF121=0,0,(CG121-CF121)/CF121*100)</f>
        <v>0</v>
      </c>
      <c r="CI121" s="4591"/>
      <c r="CJ121" s="4592"/>
      <c r="CK121" s="1102">
        <f>IF(CI121=0,0,(CJ121-CI121)/CI121*100)</f>
        <v>0</v>
      </c>
      <c r="CL121" s="4591"/>
      <c r="CM121" s="4592"/>
      <c r="CN121" s="1102">
        <f>IF(CL121=0,0,(CM121-CL121)/CL121*100)</f>
        <v>0</v>
      </c>
      <c r="CO121" s="4591"/>
      <c r="CP121" s="4592"/>
      <c r="CQ121" s="1102">
        <f>IF(CO121=0,0,(CP121-CO121)/CO121*100)</f>
        <v>0</v>
      </c>
      <c r="CR121" s="4591"/>
      <c r="CS121" s="4592"/>
      <c r="CT121" s="1102">
        <f>IF(CR121=0,0,(CS121-CR121)/CR121*100)</f>
        <v>0</v>
      </c>
      <c r="CU121" s="4591"/>
      <c r="CV121" s="4592"/>
      <c r="CW121" s="1102">
        <f>IF(CU121=0,0,(CV121-CU121)/CU121*100)</f>
        <v>0</v>
      </c>
      <c r="CX121" s="4591"/>
      <c r="CY121" s="4592"/>
      <c r="CZ121" s="1102">
        <f>IF(CX121=0,0,(CY121-CX121)/CX121*100)</f>
        <v>0</v>
      </c>
      <c r="DA121" s="4591"/>
      <c r="DB121" s="4592"/>
      <c r="DC121" s="1102">
        <f>IF(DA121=0,0,(DB121-DA121)/DA121*100)</f>
        <v>0</v>
      </c>
      <c r="DD121" s="4591"/>
      <c r="DE121" s="4592"/>
      <c r="DF121" s="1102">
        <f>IF(DD121=0,0,(DE121-DD121)/DD121*100)</f>
        <v>0</v>
      </c>
      <c r="DG121" s="4591"/>
      <c r="DH121" s="4592"/>
      <c r="DI121" s="1102">
        <f>IF(DG121=0,0,(DH121-DG121)/DG121*100)</f>
        <v>0</v>
      </c>
      <c r="DJ121" s="4591"/>
      <c r="DK121" s="4592"/>
      <c r="DL121" s="1102">
        <f>IF(DJ121=0,0,(DK121-DJ121)/DJ121*100)</f>
        <v>0</v>
      </c>
      <c r="DM121" s="4591"/>
      <c r="DN121" s="4592"/>
      <c r="DO121" s="1102">
        <f>IF(DM121=0,0,(DN121-DM121)/DM121*100)</f>
        <v>0</v>
      </c>
      <c r="DP121" s="4591"/>
      <c r="DQ121" s="4592"/>
      <c r="DR121" s="1102">
        <f>IF(DP121=0,0,(DQ121-DP121)/DP121*100)</f>
        <v>0</v>
      </c>
      <c r="DS121" s="4591"/>
      <c r="DT121" s="4592"/>
      <c r="DU121" s="1102">
        <f>IF(DS121=0,0,(DT121-DS121)/DS121*100)</f>
        <v>0</v>
      </c>
      <c r="DV121" s="4591"/>
      <c r="DW121" s="4592"/>
      <c r="DX121" s="1102">
        <f>IF(DV121=0,0,(DW121-DV121)/DV121*100)</f>
        <v>0</v>
      </c>
      <c r="DY121" s="4591"/>
      <c r="DZ121" s="4592"/>
      <c r="EA121" s="1102">
        <f>IF(DY121=0,0,(DZ121-DY121)/DY121*100)</f>
        <v>0</v>
      </c>
      <c r="EB121" s="4591"/>
      <c r="EC121" s="4592"/>
      <c r="ED121" s="1102">
        <f>IF(EB121=0,0,(EC121-EB121)/EB121*100)</f>
        <v>0</v>
      </c>
      <c r="EE121" s="4591"/>
      <c r="EF121" s="4592"/>
      <c r="EG121" s="1102">
        <f>IF(EE121=0,0,(EF121-EE121)/EE121*100)</f>
        <v>0</v>
      </c>
      <c r="EH121" s="4591"/>
      <c r="EI121" s="4592"/>
      <c r="EJ121" s="1102">
        <f>IF(EH121=0,0,(EI121-EH121)/EH121*100)</f>
        <v>0</v>
      </c>
      <c r="EK121" s="4591"/>
      <c r="EL121" s="4592"/>
      <c r="EM121" s="1102">
        <f>IF(EK121=0,0,(EL121-EK121)/EK121*100)</f>
        <v>0</v>
      </c>
      <c r="EN121" s="4591"/>
      <c r="EO121" s="4592"/>
      <c r="EP121" s="1102">
        <f>IF(EN121=0,0,(EO121-EN121)/EN121*100)</f>
        <v>0</v>
      </c>
      <c r="EQ121" s="4591"/>
      <c r="ER121" s="4592"/>
      <c r="ES121" s="1102">
        <f>IF(EQ121=0,0,(ER121-EQ121)/EQ121*100)</f>
        <v>0</v>
      </c>
      <c r="ET121" s="4591"/>
      <c r="EU121" s="4592"/>
      <c r="EV121" s="1102">
        <f>IF(ET121=0,0,(EU121-ET121)/ET121*100)</f>
        <v>0</v>
      </c>
      <c r="EW121" s="4591"/>
      <c r="EX121" s="4592"/>
      <c r="EY121" s="1102">
        <f>IF(EW121=0,0,(EX121-EW121)/EW121*100)</f>
        <v>0</v>
      </c>
      <c r="EZ121" s="4591"/>
      <c r="FA121" s="4592"/>
      <c r="FB121" s="1102">
        <f>IF(EZ121=0,0,(FA121-EZ121)/EZ121*100)</f>
        <v>0</v>
      </c>
      <c r="FC121" s="4591"/>
      <c r="FD121" s="4592"/>
      <c r="FE121" s="1102">
        <f>IF(FC121=0,0,(FD121-FC121)/FC121*100)</f>
        <v>0</v>
      </c>
      <c r="FF121" s="4591"/>
      <c r="FG121" s="4592"/>
      <c r="FH121" s="1102">
        <f>IF(FF121=0,0,(FG121-FF121)/FF121*100)</f>
        <v>0</v>
      </c>
      <c r="FI121" s="4591"/>
      <c r="FJ121" s="4592"/>
      <c r="FK121" s="1102">
        <f>IF(FI121=0,0,(FJ121-FI121)/FI121*100)</f>
        <v>0</v>
      </c>
      <c r="FL121" s="4591"/>
      <c r="FM121" s="4592"/>
      <c r="FN121" s="1102">
        <f>IF(FL121=0,0,(FM121-FL121)/FL121*100)</f>
        <v>0</v>
      </c>
      <c r="FO121" s="4591"/>
      <c r="FP121" s="4592"/>
      <c r="FQ121" s="1102">
        <f>IF(FO121=0,0,(FP121-FO121)/FO121*100)</f>
        <v>0</v>
      </c>
      <c r="FR121" s="4591"/>
      <c r="FS121" s="4592"/>
      <c r="FT121" s="1102">
        <f>IF(FR121=0,0,(FS121-FR121)/FR121*100)</f>
        <v>0</v>
      </c>
      <c r="FU121" s="4591"/>
      <c r="FV121" s="4592"/>
      <c r="FW121" s="1102">
        <f>IF(FU121=0,0,(FV121-FU121)/FU121*100)</f>
        <v>0</v>
      </c>
      <c r="FZ121" s="1330" t="s">
        <v>1889</v>
      </c>
      <c r="GA121" s="1330" t="s">
        <v>1888</v>
      </c>
      <c r="GB121" s="1330" cm="1" t="str">
        <f t="array" ref="GB121:GB121">GB120</f>
        <v>г. Ленинск-Кузнецкий, г. Полысаево, для населения, с НДС (с 01.01. по 30.09.)</v>
      </c>
    </row>
    <row s="1656" customFormat="1" customHeight="1" ht="22.921875">
      <c r="A122" s="496"/>
      <c r="B122" s="932" cm="1" t="str">
        <f t="array" ref="B122:B122">B120</f>
        <v>true</v>
      </c>
      <c r="C122" s="496"/>
      <c r="D122" s="496"/>
      <c r="E122" s="847">
        <v>15</v>
      </c>
      <c r="F122" s="50" cm="1" t="str">
        <f t="array" ref="F122:F122">OFFSET(E122,-1,1)</f>
        <v>1</v>
      </c>
      <c r="G122" s="496"/>
      <c r="H122" s="496" t="s">
        <v>573</v>
      </c>
      <c r="I122" s="496" cm="1" t="str">
        <f t="array" ref="I122:I122">I120</f>
        <v>г. Ленинск-Кузнецкий, г. Полысаево, для населения, с НДС (с 01.01. по 30.09.)</v>
      </c>
      <c r="J122" s="496"/>
      <c r="K122" s="496"/>
      <c r="L122" s="496"/>
      <c r="M122" s="496"/>
      <c r="N122" s="496"/>
      <c r="O122" s="496"/>
      <c r="P122" s="496"/>
      <c r="Q122" s="904"/>
      <c r="R122" s="496"/>
      <c r="S122" s="496"/>
      <c r="T122" s="468" cm="1" t="str">
        <f t="array" ref="T122:T122">T120</f>
        <v>true</v>
      </c>
      <c r="U122" s="496"/>
      <c r="V122" s="496"/>
      <c r="W122" s="496"/>
      <c r="X122" s="1559"/>
      <c r="Y122" s="1559"/>
      <c r="Z122" s="1528"/>
      <c r="AA122" s="1516"/>
      <c r="AB122" s="907" t="s">
        <v>1872</v>
      </c>
      <c r="AC122" s="296" t="s">
        <v>657</v>
      </c>
      <c r="AD122" s="1103"/>
      <c r="AE122" s="1103">
        <v>3127.70433</v>
      </c>
      <c r="AF122" s="1104">
        <f>IF(AD122=0,0,(AE122-AD122)/AD122*100)</f>
        <v>0</v>
      </c>
      <c r="AG122" s="4585"/>
      <c r="AH122" s="4585"/>
      <c r="AI122" s="1104">
        <f>IF(AG122=0,0,(AH122-AG122)/AG122*100)</f>
        <v>0</v>
      </c>
      <c r="AJ122" s="4585"/>
      <c r="AK122" s="4585"/>
      <c r="AL122" s="1104">
        <f>IF(AJ122=0,0,(AK122-AJ122)/AJ122*100)</f>
        <v>0</v>
      </c>
      <c r="AM122" s="4585"/>
      <c r="AN122" s="4585"/>
      <c r="AO122" s="1104">
        <f>IF(AM122=0,0,(AN122-AM122)/AM122*100)</f>
        <v>0</v>
      </c>
      <c r="AP122" s="4585"/>
      <c r="AQ122" s="4585"/>
      <c r="AR122" s="1104">
        <f>IF(AP122=0,0,(AQ122-AP122)/AP122*100)</f>
        <v>0</v>
      </c>
      <c r="AS122" s="4585"/>
      <c r="AT122" s="4585"/>
      <c r="AU122" s="1104">
        <f>IF(AS122=0,0,(AT122-AS122)/AS122*100)</f>
        <v>0</v>
      </c>
      <c r="AV122" s="4585"/>
      <c r="AW122" s="4585"/>
      <c r="AX122" s="1104">
        <f>IF(AV122=0,0,(AW122-AV122)/AV122*100)</f>
        <v>0</v>
      </c>
      <c r="AY122" s="4585"/>
      <c r="AZ122" s="4585"/>
      <c r="BA122" s="1104">
        <f>IF(AY122=0,0,(AZ122-AY122)/AY122*100)</f>
        <v>0</v>
      </c>
      <c r="BB122" s="4585"/>
      <c r="BC122" s="4585"/>
      <c r="BD122" s="1104">
        <f>IF(BB122=0,0,(BC122-BB122)/BB122*100)</f>
        <v>0</v>
      </c>
      <c r="BE122" s="4585"/>
      <c r="BF122" s="4585"/>
      <c r="BG122" s="1104">
        <f>IF(BE122=0,0,(BF122-BE122)/BE122*100)</f>
        <v>0</v>
      </c>
      <c r="BH122" s="4585"/>
      <c r="BI122" s="4585"/>
      <c r="BJ122" s="1104">
        <f>IF(BH122=0,0,(BI122-BH122)/BH122*100)</f>
        <v>0</v>
      </c>
      <c r="BK122" s="4585"/>
      <c r="BL122" s="4585"/>
      <c r="BM122" s="1104">
        <f>IF(BK122=0,0,(BL122-BK122)/BK122*100)</f>
        <v>0</v>
      </c>
      <c r="BN122" s="4585"/>
      <c r="BO122" s="4585"/>
      <c r="BP122" s="1104">
        <f>IF(BN122=0,0,(BO122-BN122)/BN122*100)</f>
        <v>0</v>
      </c>
      <c r="BQ122" s="4585"/>
      <c r="BR122" s="4585"/>
      <c r="BS122" s="1104">
        <f>IF(BQ122=0,0,(BR122-BQ122)/BQ122*100)</f>
        <v>0</v>
      </c>
      <c r="BT122" s="4585"/>
      <c r="BU122" s="4585"/>
      <c r="BV122" s="1104">
        <f>IF(BT122=0,0,(BU122-BT122)/BT122*100)</f>
        <v>0</v>
      </c>
      <c r="BW122" s="4585"/>
      <c r="BX122" s="4585"/>
      <c r="BY122" s="1104">
        <f>IF(BW122=0,0,(BX122-BW122)/BW122*100)</f>
        <v>0</v>
      </c>
      <c r="BZ122" s="4585"/>
      <c r="CA122" s="4585"/>
      <c r="CB122" s="1104">
        <f>IF(BZ122=0,0,(CA122-BZ122)/BZ122*100)</f>
        <v>0</v>
      </c>
      <c r="CC122" s="4585"/>
      <c r="CD122" s="4585"/>
      <c r="CE122" s="1104">
        <f>IF(CC122=0,0,(CD122-CC122)/CC122*100)</f>
        <v>0</v>
      </c>
      <c r="CF122" s="4585"/>
      <c r="CG122" s="4585"/>
      <c r="CH122" s="1104">
        <f>IF(CF122=0,0,(CG122-CF122)/CF122*100)</f>
        <v>0</v>
      </c>
      <c r="CI122" s="4585"/>
      <c r="CJ122" s="4585"/>
      <c r="CK122" s="1104">
        <f>IF(CI122=0,0,(CJ122-CI122)/CI122*100)</f>
        <v>0</v>
      </c>
      <c r="CL122" s="4585"/>
      <c r="CM122" s="4585"/>
      <c r="CN122" s="1104">
        <f>IF(CL122=0,0,(CM122-CL122)/CL122*100)</f>
        <v>0</v>
      </c>
      <c r="CO122" s="4585"/>
      <c r="CP122" s="4585"/>
      <c r="CQ122" s="1104">
        <f>IF(CO122=0,0,(CP122-CO122)/CO122*100)</f>
        <v>0</v>
      </c>
      <c r="CR122" s="4585"/>
      <c r="CS122" s="4585"/>
      <c r="CT122" s="1104">
        <f>IF(CR122=0,0,(CS122-CR122)/CR122*100)</f>
        <v>0</v>
      </c>
      <c r="CU122" s="4585"/>
      <c r="CV122" s="4585"/>
      <c r="CW122" s="1104">
        <f>IF(CU122=0,0,(CV122-CU122)/CU122*100)</f>
        <v>0</v>
      </c>
      <c r="CX122" s="4585"/>
      <c r="CY122" s="4585"/>
      <c r="CZ122" s="1104">
        <f>IF(CX122=0,0,(CY122-CX122)/CX122*100)</f>
        <v>0</v>
      </c>
      <c r="DA122" s="4585"/>
      <c r="DB122" s="4585"/>
      <c r="DC122" s="1104">
        <f>IF(DA122=0,0,(DB122-DA122)/DA122*100)</f>
        <v>0</v>
      </c>
      <c r="DD122" s="4585"/>
      <c r="DE122" s="4585"/>
      <c r="DF122" s="1104">
        <f>IF(DD122=0,0,(DE122-DD122)/DD122*100)</f>
        <v>0</v>
      </c>
      <c r="DG122" s="4585"/>
      <c r="DH122" s="4585"/>
      <c r="DI122" s="1104">
        <f>IF(DG122=0,0,(DH122-DG122)/DG122*100)</f>
        <v>0</v>
      </c>
      <c r="DJ122" s="4585"/>
      <c r="DK122" s="4585"/>
      <c r="DL122" s="1104">
        <f>IF(DJ122=0,0,(DK122-DJ122)/DJ122*100)</f>
        <v>0</v>
      </c>
      <c r="DM122" s="4585"/>
      <c r="DN122" s="4585"/>
      <c r="DO122" s="1104">
        <f>IF(DM122=0,0,(DN122-DM122)/DM122*100)</f>
        <v>0</v>
      </c>
      <c r="DP122" s="4585"/>
      <c r="DQ122" s="4585"/>
      <c r="DR122" s="1104">
        <f>IF(DP122=0,0,(DQ122-DP122)/DP122*100)</f>
        <v>0</v>
      </c>
      <c r="DS122" s="4585"/>
      <c r="DT122" s="4585"/>
      <c r="DU122" s="1104">
        <f>IF(DS122=0,0,(DT122-DS122)/DS122*100)</f>
        <v>0</v>
      </c>
      <c r="DV122" s="4585"/>
      <c r="DW122" s="4585"/>
      <c r="DX122" s="1104">
        <f>IF(DV122=0,0,(DW122-DV122)/DV122*100)</f>
        <v>0</v>
      </c>
      <c r="DY122" s="4585"/>
      <c r="DZ122" s="4585"/>
      <c r="EA122" s="1104">
        <f>IF(DY122=0,0,(DZ122-DY122)/DY122*100)</f>
        <v>0</v>
      </c>
      <c r="EB122" s="4585"/>
      <c r="EC122" s="4585"/>
      <c r="ED122" s="1104">
        <f>IF(EB122=0,0,(EC122-EB122)/EB122*100)</f>
        <v>0</v>
      </c>
      <c r="EE122" s="4585"/>
      <c r="EF122" s="4585"/>
      <c r="EG122" s="1104">
        <f>IF(EE122=0,0,(EF122-EE122)/EE122*100)</f>
        <v>0</v>
      </c>
      <c r="EH122" s="4585"/>
      <c r="EI122" s="4585"/>
      <c r="EJ122" s="1104">
        <f>IF(EH122=0,0,(EI122-EH122)/EH122*100)</f>
        <v>0</v>
      </c>
      <c r="EK122" s="4585"/>
      <c r="EL122" s="4585"/>
      <c r="EM122" s="1104">
        <f>IF(EK122=0,0,(EL122-EK122)/EK122*100)</f>
        <v>0</v>
      </c>
      <c r="EN122" s="4585"/>
      <c r="EO122" s="4585"/>
      <c r="EP122" s="1104">
        <f>IF(EN122=0,0,(EO122-EN122)/EN122*100)</f>
        <v>0</v>
      </c>
      <c r="EQ122" s="4585"/>
      <c r="ER122" s="4585"/>
      <c r="ES122" s="1104">
        <f>IF(EQ122=0,0,(ER122-EQ122)/EQ122*100)</f>
        <v>0</v>
      </c>
      <c r="ET122" s="4585"/>
      <c r="EU122" s="4585"/>
      <c r="EV122" s="1104">
        <f>IF(ET122=0,0,(EU122-ET122)/ET122*100)</f>
        <v>0</v>
      </c>
      <c r="EW122" s="4585"/>
      <c r="EX122" s="4585"/>
      <c r="EY122" s="1104">
        <f>IF(EW122=0,0,(EX122-EW122)/EW122*100)</f>
        <v>0</v>
      </c>
      <c r="EZ122" s="4585"/>
      <c r="FA122" s="4585"/>
      <c r="FB122" s="1104">
        <f>IF(EZ122=0,0,(FA122-EZ122)/EZ122*100)</f>
        <v>0</v>
      </c>
      <c r="FC122" s="4585"/>
      <c r="FD122" s="4585"/>
      <c r="FE122" s="1104">
        <f>IF(FC122=0,0,(FD122-FC122)/FC122*100)</f>
        <v>0</v>
      </c>
      <c r="FF122" s="4585"/>
      <c r="FG122" s="4585"/>
      <c r="FH122" s="1104">
        <f>IF(FF122=0,0,(FG122-FF122)/FF122*100)</f>
        <v>0</v>
      </c>
      <c r="FI122" s="4585"/>
      <c r="FJ122" s="4585"/>
      <c r="FK122" s="1104">
        <f>IF(FI122=0,0,(FJ122-FI122)/FI122*100)</f>
        <v>0</v>
      </c>
      <c r="FL122" s="4585"/>
      <c r="FM122" s="4585"/>
      <c r="FN122" s="1104">
        <f>IF(FL122=0,0,(FM122-FL122)/FL122*100)</f>
        <v>0</v>
      </c>
      <c r="FO122" s="4585"/>
      <c r="FP122" s="4585"/>
      <c r="FQ122" s="1104">
        <f>IF(FO122=0,0,(FP122-FO122)/FO122*100)</f>
        <v>0</v>
      </c>
      <c r="FR122" s="4585"/>
      <c r="FS122" s="4585"/>
      <c r="FT122" s="1104">
        <f>IF(FR122=0,0,(FS122-FR122)/FR122*100)</f>
        <v>0</v>
      </c>
      <c r="FU122" s="4585"/>
      <c r="FV122" s="4585"/>
      <c r="FW122" s="1104">
        <f>IF(FU122=0,0,(FV122-FU122)/FU122*100)</f>
        <v>0</v>
      </c>
      <c r="FX122" s="288"/>
      <c r="FY122" s="1328"/>
      <c r="FZ122" s="1063" t="s">
        <v>1890</v>
      </c>
      <c r="GA122" s="1023" t="s">
        <v>1888</v>
      </c>
      <c r="GB122" s="1023" cm="1" t="str">
        <f t="array" ref="GB122:GB122">GB120</f>
        <v>г. Ленинск-Кузнецкий, г. Полысаево, для населения, с НДС (с 01.01. по 30.09.)</v>
      </c>
      <c r="GC122" s="1329"/>
      <c r="GD122" s="1329"/>
    </row>
    <row s="1656" customFormat="1" customHeight="1" ht="35.671875">
      <c r="A123" s="496"/>
      <c r="B123" s="932" cm="1" t="str">
        <f t="array" ref="B123:B123">B122</f>
        <v>true</v>
      </c>
      <c r="C123" s="496"/>
      <c r="D123" s="496"/>
      <c r="E123" s="847">
        <v>18.75</v>
      </c>
      <c r="F123" s="50" cm="1" t="str">
        <f t="array" ref="F123:F123">OFFSET(E123,-1,1)</f>
        <v>1</v>
      </c>
      <c r="G123" s="496"/>
      <c r="H123" s="496" t="s">
        <v>566</v>
      </c>
      <c r="I123" s="496" cm="1" t="str">
        <f t="array" ref="I123:I123">AB123</f>
        <v>г. Ленинск-Кузнецкий, г. Полысаево, для населения, с НДС (с 01.10. по 31.12.)</v>
      </c>
      <c r="J123" s="496"/>
      <c r="K123" s="496"/>
      <c r="L123" s="496"/>
      <c r="M123" s="496"/>
      <c r="N123" s="496"/>
      <c r="O123" s="496"/>
      <c r="P123" s="496"/>
      <c r="Q123" s="904"/>
      <c r="R123" s="496"/>
      <c r="S123" s="496"/>
      <c r="T123" s="468">
        <f>AND(F123&gt;0,Y123&gt;0)</f>
        <v>1</v>
      </c>
      <c r="U123" s="496"/>
      <c r="V123" s="496"/>
      <c r="W123" s="496"/>
      <c r="X123" s="1559"/>
      <c r="Y123" s="1559" t="s">
        <v>457</v>
      </c>
      <c r="Z123" s="1528"/>
      <c r="AA123" s="1516" t="s">
        <v>174</v>
      </c>
      <c r="AB123" s="908" t="s">
        <v>1959</v>
      </c>
      <c r="AC123" s="871" t="s">
        <v>1862</v>
      </c>
      <c r="AD123" s="1105"/>
      <c r="AE123" s="1106">
        <f>AE111*1.22</f>
        <v>77.9214</v>
      </c>
      <c r="AF123" s="1102">
        <f>IF(AD123=0,0,(AE123-AD123)/AD123*100)</f>
        <v>0</v>
      </c>
      <c r="AG123" s="4591"/>
      <c r="AH123" s="4592"/>
      <c r="AI123" s="1102">
        <f>IF(AG123=0,0,(AH123-AG123)/AG123*100)</f>
        <v>0</v>
      </c>
      <c r="AJ123" s="4591"/>
      <c r="AK123" s="4592"/>
      <c r="AL123" s="1102">
        <f>IF(AJ123=0,0,(AK123-AJ123)/AJ123*100)</f>
        <v>0</v>
      </c>
      <c r="AM123" s="4591"/>
      <c r="AN123" s="4592"/>
      <c r="AO123" s="1102">
        <f>IF(AM123=0,0,(AN123-AM123)/AM123*100)</f>
        <v>0</v>
      </c>
      <c r="AP123" s="4591"/>
      <c r="AQ123" s="4592"/>
      <c r="AR123" s="1102">
        <f>IF(AP123=0,0,(AQ123-AP123)/AP123*100)</f>
        <v>0</v>
      </c>
      <c r="AS123" s="4591"/>
      <c r="AT123" s="4592"/>
      <c r="AU123" s="1102">
        <f>IF(AS123=0,0,(AT123-AS123)/AS123*100)</f>
        <v>0</v>
      </c>
      <c r="AV123" s="4591"/>
      <c r="AW123" s="4592"/>
      <c r="AX123" s="1102">
        <f>IF(AV123=0,0,(AW123-AV123)/AV123*100)</f>
        <v>0</v>
      </c>
      <c r="AY123" s="4591"/>
      <c r="AZ123" s="4592"/>
      <c r="BA123" s="1102">
        <f>IF(AY123=0,0,(AZ123-AY123)/AY123*100)</f>
        <v>0</v>
      </c>
      <c r="BB123" s="4591"/>
      <c r="BC123" s="4592"/>
      <c r="BD123" s="1102">
        <f>IF(BB123=0,0,(BC123-BB123)/BB123*100)</f>
        <v>0</v>
      </c>
      <c r="BE123" s="4591"/>
      <c r="BF123" s="4592"/>
      <c r="BG123" s="1102">
        <f>IF(BE123=0,0,(BF123-BE123)/BE123*100)</f>
        <v>0</v>
      </c>
      <c r="BH123" s="4591"/>
      <c r="BI123" s="4592"/>
      <c r="BJ123" s="1102">
        <f>IF(BH123=0,0,(BI123-BH123)/BH123*100)</f>
        <v>0</v>
      </c>
      <c r="BK123" s="4591"/>
      <c r="BL123" s="4592"/>
      <c r="BM123" s="1102">
        <f>IF(BK123=0,0,(BL123-BK123)/BK123*100)</f>
        <v>0</v>
      </c>
      <c r="BN123" s="4591"/>
      <c r="BO123" s="4592"/>
      <c r="BP123" s="1102">
        <f>IF(BN123=0,0,(BO123-BN123)/BN123*100)</f>
        <v>0</v>
      </c>
      <c r="BQ123" s="4591"/>
      <c r="BR123" s="4592"/>
      <c r="BS123" s="1102">
        <f>IF(BQ123=0,0,(BR123-BQ123)/BQ123*100)</f>
        <v>0</v>
      </c>
      <c r="BT123" s="4591"/>
      <c r="BU123" s="4592"/>
      <c r="BV123" s="1102">
        <f>IF(BT123=0,0,(BU123-BT123)/BT123*100)</f>
        <v>0</v>
      </c>
      <c r="BW123" s="4591"/>
      <c r="BX123" s="4592"/>
      <c r="BY123" s="1102">
        <f>IF(BW123=0,0,(BX123-BW123)/BW123*100)</f>
        <v>0</v>
      </c>
      <c r="BZ123" s="4591"/>
      <c r="CA123" s="4592"/>
      <c r="CB123" s="1102">
        <f>IF(BZ123=0,0,(CA123-BZ123)/BZ123*100)</f>
        <v>0</v>
      </c>
      <c r="CC123" s="4591"/>
      <c r="CD123" s="4592"/>
      <c r="CE123" s="1102">
        <f>IF(CC123=0,0,(CD123-CC123)/CC123*100)</f>
        <v>0</v>
      </c>
      <c r="CF123" s="4591"/>
      <c r="CG123" s="4592"/>
      <c r="CH123" s="1102">
        <f>IF(CF123=0,0,(CG123-CF123)/CF123*100)</f>
        <v>0</v>
      </c>
      <c r="CI123" s="4591"/>
      <c r="CJ123" s="4592"/>
      <c r="CK123" s="1102">
        <f>IF(CI123=0,0,(CJ123-CI123)/CI123*100)</f>
        <v>0</v>
      </c>
      <c r="CL123" s="4591"/>
      <c r="CM123" s="4592"/>
      <c r="CN123" s="1102">
        <f>IF(CL123=0,0,(CM123-CL123)/CL123*100)</f>
        <v>0</v>
      </c>
      <c r="CO123" s="4591"/>
      <c r="CP123" s="4592"/>
      <c r="CQ123" s="1102">
        <f>IF(CO123=0,0,(CP123-CO123)/CO123*100)</f>
        <v>0</v>
      </c>
      <c r="CR123" s="4591"/>
      <c r="CS123" s="4592"/>
      <c r="CT123" s="1102">
        <f>IF(CR123=0,0,(CS123-CR123)/CR123*100)</f>
        <v>0</v>
      </c>
      <c r="CU123" s="4591"/>
      <c r="CV123" s="4592"/>
      <c r="CW123" s="1102">
        <f>IF(CU123=0,0,(CV123-CU123)/CU123*100)</f>
        <v>0</v>
      </c>
      <c r="CX123" s="4591"/>
      <c r="CY123" s="4592"/>
      <c r="CZ123" s="1102">
        <f>IF(CX123=0,0,(CY123-CX123)/CX123*100)</f>
        <v>0</v>
      </c>
      <c r="DA123" s="4591"/>
      <c r="DB123" s="4592"/>
      <c r="DC123" s="1102">
        <f>IF(DA123=0,0,(DB123-DA123)/DA123*100)</f>
        <v>0</v>
      </c>
      <c r="DD123" s="4591"/>
      <c r="DE123" s="4592"/>
      <c r="DF123" s="1102">
        <f>IF(DD123=0,0,(DE123-DD123)/DD123*100)</f>
        <v>0</v>
      </c>
      <c r="DG123" s="4591"/>
      <c r="DH123" s="4592"/>
      <c r="DI123" s="1102">
        <f>IF(DG123=0,0,(DH123-DG123)/DG123*100)</f>
        <v>0</v>
      </c>
      <c r="DJ123" s="4591"/>
      <c r="DK123" s="4592"/>
      <c r="DL123" s="1102">
        <f>IF(DJ123=0,0,(DK123-DJ123)/DJ123*100)</f>
        <v>0</v>
      </c>
      <c r="DM123" s="4591"/>
      <c r="DN123" s="4592"/>
      <c r="DO123" s="1102">
        <f>IF(DM123=0,0,(DN123-DM123)/DM123*100)</f>
        <v>0</v>
      </c>
      <c r="DP123" s="4591"/>
      <c r="DQ123" s="4592"/>
      <c r="DR123" s="1102">
        <f>IF(DP123=0,0,(DQ123-DP123)/DP123*100)</f>
        <v>0</v>
      </c>
      <c r="DS123" s="4591"/>
      <c r="DT123" s="4592"/>
      <c r="DU123" s="1102">
        <f>IF(DS123=0,0,(DT123-DS123)/DS123*100)</f>
        <v>0</v>
      </c>
      <c r="DV123" s="4591"/>
      <c r="DW123" s="4592"/>
      <c r="DX123" s="1102">
        <f>IF(DV123=0,0,(DW123-DV123)/DV123*100)</f>
        <v>0</v>
      </c>
      <c r="DY123" s="4591"/>
      <c r="DZ123" s="4592"/>
      <c r="EA123" s="1102">
        <f>IF(DY123=0,0,(DZ123-DY123)/DY123*100)</f>
        <v>0</v>
      </c>
      <c r="EB123" s="4591"/>
      <c r="EC123" s="4592"/>
      <c r="ED123" s="1102">
        <f>IF(EB123=0,0,(EC123-EB123)/EB123*100)</f>
        <v>0</v>
      </c>
      <c r="EE123" s="4591"/>
      <c r="EF123" s="4592"/>
      <c r="EG123" s="1102">
        <f>IF(EE123=0,0,(EF123-EE123)/EE123*100)</f>
        <v>0</v>
      </c>
      <c r="EH123" s="4591"/>
      <c r="EI123" s="4592"/>
      <c r="EJ123" s="1102">
        <f>IF(EH123=0,0,(EI123-EH123)/EH123*100)</f>
        <v>0</v>
      </c>
      <c r="EK123" s="4591"/>
      <c r="EL123" s="4592"/>
      <c r="EM123" s="1102">
        <f>IF(EK123=0,0,(EL123-EK123)/EK123*100)</f>
        <v>0</v>
      </c>
      <c r="EN123" s="4591"/>
      <c r="EO123" s="4592"/>
      <c r="EP123" s="1102">
        <f>IF(EN123=0,0,(EO123-EN123)/EN123*100)</f>
        <v>0</v>
      </c>
      <c r="EQ123" s="4591"/>
      <c r="ER123" s="4592"/>
      <c r="ES123" s="1102">
        <f>IF(EQ123=0,0,(ER123-EQ123)/EQ123*100)</f>
        <v>0</v>
      </c>
      <c r="ET123" s="4591"/>
      <c r="EU123" s="4592"/>
      <c r="EV123" s="1102">
        <f>IF(ET123=0,0,(EU123-ET123)/ET123*100)</f>
        <v>0</v>
      </c>
      <c r="EW123" s="4591"/>
      <c r="EX123" s="4592"/>
      <c r="EY123" s="1102">
        <f>IF(EW123=0,0,(EX123-EW123)/EW123*100)</f>
        <v>0</v>
      </c>
      <c r="EZ123" s="4591"/>
      <c r="FA123" s="4592"/>
      <c r="FB123" s="1102">
        <f>IF(EZ123=0,0,(FA123-EZ123)/EZ123*100)</f>
        <v>0</v>
      </c>
      <c r="FC123" s="4591"/>
      <c r="FD123" s="4592"/>
      <c r="FE123" s="1102">
        <f>IF(FC123=0,0,(FD123-FC123)/FC123*100)</f>
        <v>0</v>
      </c>
      <c r="FF123" s="4591"/>
      <c r="FG123" s="4592"/>
      <c r="FH123" s="1102">
        <f>IF(FF123=0,0,(FG123-FF123)/FF123*100)</f>
        <v>0</v>
      </c>
      <c r="FI123" s="4591"/>
      <c r="FJ123" s="4592"/>
      <c r="FK123" s="1102">
        <f>IF(FI123=0,0,(FJ123-FI123)/FI123*100)</f>
        <v>0</v>
      </c>
      <c r="FL123" s="4591"/>
      <c r="FM123" s="4592"/>
      <c r="FN123" s="1102">
        <f>IF(FL123=0,0,(FM123-FL123)/FL123*100)</f>
        <v>0</v>
      </c>
      <c r="FO123" s="4591"/>
      <c r="FP123" s="4592"/>
      <c r="FQ123" s="1102">
        <f>IF(FO123=0,0,(FP123-FO123)/FO123*100)</f>
        <v>0</v>
      </c>
      <c r="FR123" s="4591"/>
      <c r="FS123" s="4592"/>
      <c r="FT123" s="1102">
        <f>IF(FR123=0,0,(FS123-FR123)/FR123*100)</f>
        <v>0</v>
      </c>
      <c r="FU123" s="4591"/>
      <c r="FV123" s="4592"/>
      <c r="FW123" s="1102">
        <f>IF(FU123=0,0,(FV123-FU123)/FU123*100)</f>
        <v>0</v>
      </c>
      <c r="FX123" s="288"/>
      <c r="FY123" s="1328"/>
      <c r="FZ123" s="1063" t="s">
        <v>1887</v>
      </c>
      <c r="GA123" s="1023" t="s">
        <v>1888</v>
      </c>
      <c r="GB123" s="1023" cm="1" t="str">
        <f t="array" ref="GB123:GB123">AB123</f>
        <v>г. Ленинск-Кузнецкий, г. Полысаево, для населения, с НДС (с 01.10. по 31.12.)</v>
      </c>
      <c r="GC123" s="1329"/>
      <c r="GD123" s="637" t="b">
        <v>1</v>
      </c>
    </row>
    <row customHeight="1" ht="18.525">
      <c r="A124" s="496"/>
      <c r="B124" s="932" cm="1" t="str">
        <f t="array" ref="B124:B124">B123</f>
        <v>true</v>
      </c>
      <c r="C124" s="496"/>
      <c r="D124" s="496"/>
      <c r="E124" s="847">
        <v>19</v>
      </c>
      <c r="F124" s="50" cm="1" t="str">
        <f t="array" ref="F124:F124">OFFSET(E124,-1,1)</f>
        <v>1</v>
      </c>
      <c r="G124" s="496"/>
      <c r="H124" s="496"/>
      <c r="I124" s="496"/>
      <c r="J124" s="496"/>
      <c r="K124" s="496"/>
      <c r="L124" s="496"/>
      <c r="M124" s="496"/>
      <c r="N124" s="496"/>
      <c r="O124" s="496"/>
      <c r="P124" s="496"/>
      <c r="Q124" s="904"/>
      <c r="R124" s="496"/>
      <c r="S124" s="496"/>
      <c r="T124" s="468" cm="1" t="str">
        <f t="array" ref="T124:T124">T123</f>
        <v>true</v>
      </c>
      <c r="U124" s="496"/>
      <c r="V124" s="496"/>
      <c r="W124" s="496"/>
      <c r="X124" s="1559"/>
      <c r="Y124" s="1559"/>
      <c r="Z124" s="1528"/>
      <c r="AA124" s="1516"/>
      <c r="AB124" s="908" t="s">
        <v>1955</v>
      </c>
      <c r="AC124" s="871" t="s">
        <v>1862</v>
      </c>
      <c r="AD124" s="1105"/>
      <c r="AE124" s="1106"/>
      <c r="AF124" s="1102">
        <f>IF(AD124=0,0,(AE124-AD124)/AD124*100)</f>
        <v>0</v>
      </c>
      <c r="AG124" s="4591"/>
      <c r="AH124" s="4592"/>
      <c r="AI124" s="1102">
        <f>IF(AG124=0,0,(AH124-AG124)/AG124*100)</f>
        <v>0</v>
      </c>
      <c r="AJ124" s="4591"/>
      <c r="AK124" s="4592"/>
      <c r="AL124" s="1102">
        <f>IF(AJ124=0,0,(AK124-AJ124)/AJ124*100)</f>
        <v>0</v>
      </c>
      <c r="AM124" s="4591"/>
      <c r="AN124" s="4592"/>
      <c r="AO124" s="1102">
        <f>IF(AM124=0,0,(AN124-AM124)/AM124*100)</f>
        <v>0</v>
      </c>
      <c r="AP124" s="4591"/>
      <c r="AQ124" s="4592"/>
      <c r="AR124" s="1102">
        <f>IF(AP124=0,0,(AQ124-AP124)/AP124*100)</f>
        <v>0</v>
      </c>
      <c r="AS124" s="4591"/>
      <c r="AT124" s="4592"/>
      <c r="AU124" s="1102">
        <f>IF(AS124=0,0,(AT124-AS124)/AS124*100)</f>
        <v>0</v>
      </c>
      <c r="AV124" s="4591"/>
      <c r="AW124" s="4592"/>
      <c r="AX124" s="1102">
        <f>IF(AV124=0,0,(AW124-AV124)/AV124*100)</f>
        <v>0</v>
      </c>
      <c r="AY124" s="4591"/>
      <c r="AZ124" s="4592"/>
      <c r="BA124" s="1102">
        <f>IF(AY124=0,0,(AZ124-AY124)/AY124*100)</f>
        <v>0</v>
      </c>
      <c r="BB124" s="4591"/>
      <c r="BC124" s="4592"/>
      <c r="BD124" s="1102">
        <f>IF(BB124=0,0,(BC124-BB124)/BB124*100)</f>
        <v>0</v>
      </c>
      <c r="BE124" s="4591"/>
      <c r="BF124" s="4592"/>
      <c r="BG124" s="1102">
        <f>IF(BE124=0,0,(BF124-BE124)/BE124*100)</f>
        <v>0</v>
      </c>
      <c r="BH124" s="4591"/>
      <c r="BI124" s="4592"/>
      <c r="BJ124" s="1102">
        <f>IF(BH124=0,0,(BI124-BH124)/BH124*100)</f>
        <v>0</v>
      </c>
      <c r="BK124" s="4591"/>
      <c r="BL124" s="4592"/>
      <c r="BM124" s="1102">
        <f>IF(BK124=0,0,(BL124-BK124)/BK124*100)</f>
        <v>0</v>
      </c>
      <c r="BN124" s="4591"/>
      <c r="BO124" s="4592"/>
      <c r="BP124" s="1102">
        <f>IF(BN124=0,0,(BO124-BN124)/BN124*100)</f>
        <v>0</v>
      </c>
      <c r="BQ124" s="4591"/>
      <c r="BR124" s="4592"/>
      <c r="BS124" s="1102">
        <f>IF(BQ124=0,0,(BR124-BQ124)/BQ124*100)</f>
        <v>0</v>
      </c>
      <c r="BT124" s="4591"/>
      <c r="BU124" s="4592"/>
      <c r="BV124" s="1102">
        <f>IF(BT124=0,0,(BU124-BT124)/BT124*100)</f>
        <v>0</v>
      </c>
      <c r="BW124" s="4591"/>
      <c r="BX124" s="4592"/>
      <c r="BY124" s="1102">
        <f>IF(BW124=0,0,(BX124-BW124)/BW124*100)</f>
        <v>0</v>
      </c>
      <c r="BZ124" s="4591"/>
      <c r="CA124" s="4592"/>
      <c r="CB124" s="1102">
        <f>IF(BZ124=0,0,(CA124-BZ124)/BZ124*100)</f>
        <v>0</v>
      </c>
      <c r="CC124" s="4591"/>
      <c r="CD124" s="4592"/>
      <c r="CE124" s="1102">
        <f>IF(CC124=0,0,(CD124-CC124)/CC124*100)</f>
        <v>0</v>
      </c>
      <c r="CF124" s="4591"/>
      <c r="CG124" s="4592"/>
      <c r="CH124" s="1102">
        <f>IF(CF124=0,0,(CG124-CF124)/CF124*100)</f>
        <v>0</v>
      </c>
      <c r="CI124" s="4591"/>
      <c r="CJ124" s="4592"/>
      <c r="CK124" s="1102">
        <f>IF(CI124=0,0,(CJ124-CI124)/CI124*100)</f>
        <v>0</v>
      </c>
      <c r="CL124" s="4591"/>
      <c r="CM124" s="4592"/>
      <c r="CN124" s="1102">
        <f>IF(CL124=0,0,(CM124-CL124)/CL124*100)</f>
        <v>0</v>
      </c>
      <c r="CO124" s="4591"/>
      <c r="CP124" s="4592"/>
      <c r="CQ124" s="1102">
        <f>IF(CO124=0,0,(CP124-CO124)/CO124*100)</f>
        <v>0</v>
      </c>
      <c r="CR124" s="4591"/>
      <c r="CS124" s="4592"/>
      <c r="CT124" s="1102">
        <f>IF(CR124=0,0,(CS124-CR124)/CR124*100)</f>
        <v>0</v>
      </c>
      <c r="CU124" s="4591"/>
      <c r="CV124" s="4592"/>
      <c r="CW124" s="1102">
        <f>IF(CU124=0,0,(CV124-CU124)/CU124*100)</f>
        <v>0</v>
      </c>
      <c r="CX124" s="4591"/>
      <c r="CY124" s="4592"/>
      <c r="CZ124" s="1102">
        <f>IF(CX124=0,0,(CY124-CX124)/CX124*100)</f>
        <v>0</v>
      </c>
      <c r="DA124" s="4591"/>
      <c r="DB124" s="4592"/>
      <c r="DC124" s="1102">
        <f>IF(DA124=0,0,(DB124-DA124)/DA124*100)</f>
        <v>0</v>
      </c>
      <c r="DD124" s="4591"/>
      <c r="DE124" s="4592"/>
      <c r="DF124" s="1102">
        <f>IF(DD124=0,0,(DE124-DD124)/DD124*100)</f>
        <v>0</v>
      </c>
      <c r="DG124" s="4591"/>
      <c r="DH124" s="4592"/>
      <c r="DI124" s="1102">
        <f>IF(DG124=0,0,(DH124-DG124)/DG124*100)</f>
        <v>0</v>
      </c>
      <c r="DJ124" s="4591"/>
      <c r="DK124" s="4592"/>
      <c r="DL124" s="1102">
        <f>IF(DJ124=0,0,(DK124-DJ124)/DJ124*100)</f>
        <v>0</v>
      </c>
      <c r="DM124" s="4591"/>
      <c r="DN124" s="4592"/>
      <c r="DO124" s="1102">
        <f>IF(DM124=0,0,(DN124-DM124)/DM124*100)</f>
        <v>0</v>
      </c>
      <c r="DP124" s="4591"/>
      <c r="DQ124" s="4592"/>
      <c r="DR124" s="1102">
        <f>IF(DP124=0,0,(DQ124-DP124)/DP124*100)</f>
        <v>0</v>
      </c>
      <c r="DS124" s="4591"/>
      <c r="DT124" s="4592"/>
      <c r="DU124" s="1102">
        <f>IF(DS124=0,0,(DT124-DS124)/DS124*100)</f>
        <v>0</v>
      </c>
      <c r="DV124" s="4591"/>
      <c r="DW124" s="4592"/>
      <c r="DX124" s="1102">
        <f>IF(DV124=0,0,(DW124-DV124)/DV124*100)</f>
        <v>0</v>
      </c>
      <c r="DY124" s="4591"/>
      <c r="DZ124" s="4592"/>
      <c r="EA124" s="1102">
        <f>IF(DY124=0,0,(DZ124-DY124)/DY124*100)</f>
        <v>0</v>
      </c>
      <c r="EB124" s="4591"/>
      <c r="EC124" s="4592"/>
      <c r="ED124" s="1102">
        <f>IF(EB124=0,0,(EC124-EB124)/EB124*100)</f>
        <v>0</v>
      </c>
      <c r="EE124" s="4591"/>
      <c r="EF124" s="4592"/>
      <c r="EG124" s="1102">
        <f>IF(EE124=0,0,(EF124-EE124)/EE124*100)</f>
        <v>0</v>
      </c>
      <c r="EH124" s="4591"/>
      <c r="EI124" s="4592"/>
      <c r="EJ124" s="1102">
        <f>IF(EH124=0,0,(EI124-EH124)/EH124*100)</f>
        <v>0</v>
      </c>
      <c r="EK124" s="4591"/>
      <c r="EL124" s="4592"/>
      <c r="EM124" s="1102">
        <f>IF(EK124=0,0,(EL124-EK124)/EK124*100)</f>
        <v>0</v>
      </c>
      <c r="EN124" s="4591"/>
      <c r="EO124" s="4592"/>
      <c r="EP124" s="1102">
        <f>IF(EN124=0,0,(EO124-EN124)/EN124*100)</f>
        <v>0</v>
      </c>
      <c r="EQ124" s="4591"/>
      <c r="ER124" s="4592"/>
      <c r="ES124" s="1102">
        <f>IF(EQ124=0,0,(ER124-EQ124)/EQ124*100)</f>
        <v>0</v>
      </c>
      <c r="ET124" s="4591"/>
      <c r="EU124" s="4592"/>
      <c r="EV124" s="1102">
        <f>IF(ET124=0,0,(EU124-ET124)/ET124*100)</f>
        <v>0</v>
      </c>
      <c r="EW124" s="4591"/>
      <c r="EX124" s="4592"/>
      <c r="EY124" s="1102">
        <f>IF(EW124=0,0,(EX124-EW124)/EW124*100)</f>
        <v>0</v>
      </c>
      <c r="EZ124" s="4591"/>
      <c r="FA124" s="4592"/>
      <c r="FB124" s="1102">
        <f>IF(EZ124=0,0,(FA124-EZ124)/EZ124*100)</f>
        <v>0</v>
      </c>
      <c r="FC124" s="4591"/>
      <c r="FD124" s="4592"/>
      <c r="FE124" s="1102">
        <f>IF(FC124=0,0,(FD124-FC124)/FC124*100)</f>
        <v>0</v>
      </c>
      <c r="FF124" s="4591"/>
      <c r="FG124" s="4592"/>
      <c r="FH124" s="1102">
        <f>IF(FF124=0,0,(FG124-FF124)/FF124*100)</f>
        <v>0</v>
      </c>
      <c r="FI124" s="4591"/>
      <c r="FJ124" s="4592"/>
      <c r="FK124" s="1102">
        <f>IF(FI124=0,0,(FJ124-FI124)/FI124*100)</f>
        <v>0</v>
      </c>
      <c r="FL124" s="4591"/>
      <c r="FM124" s="4592"/>
      <c r="FN124" s="1102">
        <f>IF(FL124=0,0,(FM124-FL124)/FL124*100)</f>
        <v>0</v>
      </c>
      <c r="FO124" s="4591"/>
      <c r="FP124" s="4592"/>
      <c r="FQ124" s="1102">
        <f>IF(FO124=0,0,(FP124-FO124)/FO124*100)</f>
        <v>0</v>
      </c>
      <c r="FR124" s="4591"/>
      <c r="FS124" s="4592"/>
      <c r="FT124" s="1102">
        <f>IF(FR124=0,0,(FS124-FR124)/FR124*100)</f>
        <v>0</v>
      </c>
      <c r="FU124" s="4591"/>
      <c r="FV124" s="4592"/>
      <c r="FW124" s="1102">
        <f>IF(FU124=0,0,(FV124-FU124)/FU124*100)</f>
        <v>0</v>
      </c>
      <c r="FZ124" s="1330" t="s">
        <v>1889</v>
      </c>
      <c r="GA124" s="1330" t="s">
        <v>1888</v>
      </c>
      <c r="GB124" s="1330" cm="1" t="str">
        <f t="array" ref="GB124:GB124">GB123</f>
        <v>г. Ленинск-Кузнецкий, г. Полысаево, для населения, с НДС (с 01.10. по 31.12.)</v>
      </c>
    </row>
    <row s="1656" customFormat="1" customHeight="1" ht="19.921875">
      <c r="A125" s="496"/>
      <c r="B125" s="932" cm="1" t="str">
        <f t="array" ref="B125:B125">B123</f>
        <v>true</v>
      </c>
      <c r="C125" s="496"/>
      <c r="D125" s="496"/>
      <c r="E125" s="847">
        <v>15</v>
      </c>
      <c r="F125" s="50" cm="1" t="str">
        <f t="array" ref="F125:F125">OFFSET(E125,-1,1)</f>
        <v>1</v>
      </c>
      <c r="G125" s="496"/>
      <c r="H125" s="496" t="s">
        <v>573</v>
      </c>
      <c r="I125" s="496" cm="1" t="str">
        <f t="array" ref="I125:I125">I123</f>
        <v>г. Ленинск-Кузнецкий, г. Полысаево, для населения, с НДС (с 01.10. по 31.12.)</v>
      </c>
      <c r="J125" s="496"/>
      <c r="K125" s="496"/>
      <c r="L125" s="496"/>
      <c r="M125" s="496"/>
      <c r="N125" s="496"/>
      <c r="O125" s="496"/>
      <c r="P125" s="496"/>
      <c r="Q125" s="904"/>
      <c r="R125" s="496"/>
      <c r="S125" s="496"/>
      <c r="T125" s="468" cm="1" t="str">
        <f t="array" ref="T125:T125">T123</f>
        <v>true</v>
      </c>
      <c r="U125" s="496"/>
      <c r="V125" s="496"/>
      <c r="W125" s="496"/>
      <c r="X125" s="1559"/>
      <c r="Y125" s="1559"/>
      <c r="Z125" s="1528"/>
      <c r="AA125" s="1516"/>
      <c r="AB125" s="907" t="s">
        <v>1872</v>
      </c>
      <c r="AC125" s="296" t="s">
        <v>657</v>
      </c>
      <c r="AD125" s="1103"/>
      <c r="AE125" s="1103">
        <v>1042.56811</v>
      </c>
      <c r="AF125" s="1104">
        <f>IF(AD125=0,0,(AE125-AD125)/AD125*100)</f>
        <v>0</v>
      </c>
      <c r="AG125" s="4585"/>
      <c r="AH125" s="4585"/>
      <c r="AI125" s="1104">
        <f>IF(AG125=0,0,(AH125-AG125)/AG125*100)</f>
        <v>0</v>
      </c>
      <c r="AJ125" s="4585"/>
      <c r="AK125" s="4585"/>
      <c r="AL125" s="1104">
        <f>IF(AJ125=0,0,(AK125-AJ125)/AJ125*100)</f>
        <v>0</v>
      </c>
      <c r="AM125" s="4585"/>
      <c r="AN125" s="4585"/>
      <c r="AO125" s="1104">
        <f>IF(AM125=0,0,(AN125-AM125)/AM125*100)</f>
        <v>0</v>
      </c>
      <c r="AP125" s="4585"/>
      <c r="AQ125" s="4585"/>
      <c r="AR125" s="1104">
        <f>IF(AP125=0,0,(AQ125-AP125)/AP125*100)</f>
        <v>0</v>
      </c>
      <c r="AS125" s="4585"/>
      <c r="AT125" s="4585"/>
      <c r="AU125" s="1104">
        <f>IF(AS125=0,0,(AT125-AS125)/AS125*100)</f>
        <v>0</v>
      </c>
      <c r="AV125" s="4585"/>
      <c r="AW125" s="4585"/>
      <c r="AX125" s="1104">
        <f>IF(AV125=0,0,(AW125-AV125)/AV125*100)</f>
        <v>0</v>
      </c>
      <c r="AY125" s="4585"/>
      <c r="AZ125" s="4585"/>
      <c r="BA125" s="1104">
        <f>IF(AY125=0,0,(AZ125-AY125)/AY125*100)</f>
        <v>0</v>
      </c>
      <c r="BB125" s="4585"/>
      <c r="BC125" s="4585"/>
      <c r="BD125" s="1104">
        <f>IF(BB125=0,0,(BC125-BB125)/BB125*100)</f>
        <v>0</v>
      </c>
      <c r="BE125" s="4585"/>
      <c r="BF125" s="4585"/>
      <c r="BG125" s="1104">
        <f>IF(BE125=0,0,(BF125-BE125)/BE125*100)</f>
        <v>0</v>
      </c>
      <c r="BH125" s="4585"/>
      <c r="BI125" s="4585"/>
      <c r="BJ125" s="1104">
        <f>IF(BH125=0,0,(BI125-BH125)/BH125*100)</f>
        <v>0</v>
      </c>
      <c r="BK125" s="4585"/>
      <c r="BL125" s="4585"/>
      <c r="BM125" s="1104">
        <f>IF(BK125=0,0,(BL125-BK125)/BK125*100)</f>
        <v>0</v>
      </c>
      <c r="BN125" s="4585"/>
      <c r="BO125" s="4585"/>
      <c r="BP125" s="1104">
        <f>IF(BN125=0,0,(BO125-BN125)/BN125*100)</f>
        <v>0</v>
      </c>
      <c r="BQ125" s="4585"/>
      <c r="BR125" s="4585"/>
      <c r="BS125" s="1104">
        <f>IF(BQ125=0,0,(BR125-BQ125)/BQ125*100)</f>
        <v>0</v>
      </c>
      <c r="BT125" s="4585"/>
      <c r="BU125" s="4585"/>
      <c r="BV125" s="1104">
        <f>IF(BT125=0,0,(BU125-BT125)/BT125*100)</f>
        <v>0</v>
      </c>
      <c r="BW125" s="4585"/>
      <c r="BX125" s="4585"/>
      <c r="BY125" s="1104">
        <f>IF(BW125=0,0,(BX125-BW125)/BW125*100)</f>
        <v>0</v>
      </c>
      <c r="BZ125" s="4585"/>
      <c r="CA125" s="4585"/>
      <c r="CB125" s="1104">
        <f>IF(BZ125=0,0,(CA125-BZ125)/BZ125*100)</f>
        <v>0</v>
      </c>
      <c r="CC125" s="4585"/>
      <c r="CD125" s="4585"/>
      <c r="CE125" s="1104">
        <f>IF(CC125=0,0,(CD125-CC125)/CC125*100)</f>
        <v>0</v>
      </c>
      <c r="CF125" s="4585"/>
      <c r="CG125" s="4585"/>
      <c r="CH125" s="1104">
        <f>IF(CF125=0,0,(CG125-CF125)/CF125*100)</f>
        <v>0</v>
      </c>
      <c r="CI125" s="4585"/>
      <c r="CJ125" s="4585"/>
      <c r="CK125" s="1104">
        <f>IF(CI125=0,0,(CJ125-CI125)/CI125*100)</f>
        <v>0</v>
      </c>
      <c r="CL125" s="4585"/>
      <c r="CM125" s="4585"/>
      <c r="CN125" s="1104">
        <f>IF(CL125=0,0,(CM125-CL125)/CL125*100)</f>
        <v>0</v>
      </c>
      <c r="CO125" s="4585"/>
      <c r="CP125" s="4585"/>
      <c r="CQ125" s="1104">
        <f>IF(CO125=0,0,(CP125-CO125)/CO125*100)</f>
        <v>0</v>
      </c>
      <c r="CR125" s="4585"/>
      <c r="CS125" s="4585"/>
      <c r="CT125" s="1104">
        <f>IF(CR125=0,0,(CS125-CR125)/CR125*100)</f>
        <v>0</v>
      </c>
      <c r="CU125" s="4585"/>
      <c r="CV125" s="4585"/>
      <c r="CW125" s="1104">
        <f>IF(CU125=0,0,(CV125-CU125)/CU125*100)</f>
        <v>0</v>
      </c>
      <c r="CX125" s="4585"/>
      <c r="CY125" s="4585"/>
      <c r="CZ125" s="1104">
        <f>IF(CX125=0,0,(CY125-CX125)/CX125*100)</f>
        <v>0</v>
      </c>
      <c r="DA125" s="4585"/>
      <c r="DB125" s="4585"/>
      <c r="DC125" s="1104">
        <f>IF(DA125=0,0,(DB125-DA125)/DA125*100)</f>
        <v>0</v>
      </c>
      <c r="DD125" s="4585"/>
      <c r="DE125" s="4585"/>
      <c r="DF125" s="1104">
        <f>IF(DD125=0,0,(DE125-DD125)/DD125*100)</f>
        <v>0</v>
      </c>
      <c r="DG125" s="4585"/>
      <c r="DH125" s="4585"/>
      <c r="DI125" s="1104">
        <f>IF(DG125=0,0,(DH125-DG125)/DG125*100)</f>
        <v>0</v>
      </c>
      <c r="DJ125" s="4585"/>
      <c r="DK125" s="4585"/>
      <c r="DL125" s="1104">
        <f>IF(DJ125=0,0,(DK125-DJ125)/DJ125*100)</f>
        <v>0</v>
      </c>
      <c r="DM125" s="4585"/>
      <c r="DN125" s="4585"/>
      <c r="DO125" s="1104">
        <f>IF(DM125=0,0,(DN125-DM125)/DM125*100)</f>
        <v>0</v>
      </c>
      <c r="DP125" s="4585"/>
      <c r="DQ125" s="4585"/>
      <c r="DR125" s="1104">
        <f>IF(DP125=0,0,(DQ125-DP125)/DP125*100)</f>
        <v>0</v>
      </c>
      <c r="DS125" s="4585"/>
      <c r="DT125" s="4585"/>
      <c r="DU125" s="1104">
        <f>IF(DS125=0,0,(DT125-DS125)/DS125*100)</f>
        <v>0</v>
      </c>
      <c r="DV125" s="4585"/>
      <c r="DW125" s="4585"/>
      <c r="DX125" s="1104">
        <f>IF(DV125=0,0,(DW125-DV125)/DV125*100)</f>
        <v>0</v>
      </c>
      <c r="DY125" s="4585"/>
      <c r="DZ125" s="4585"/>
      <c r="EA125" s="1104">
        <f>IF(DY125=0,0,(DZ125-DY125)/DY125*100)</f>
        <v>0</v>
      </c>
      <c r="EB125" s="4585"/>
      <c r="EC125" s="4585"/>
      <c r="ED125" s="1104">
        <f>IF(EB125=0,0,(EC125-EB125)/EB125*100)</f>
        <v>0</v>
      </c>
      <c r="EE125" s="4585"/>
      <c r="EF125" s="4585"/>
      <c r="EG125" s="1104">
        <f>IF(EE125=0,0,(EF125-EE125)/EE125*100)</f>
        <v>0</v>
      </c>
      <c r="EH125" s="4585"/>
      <c r="EI125" s="4585"/>
      <c r="EJ125" s="1104">
        <f>IF(EH125=0,0,(EI125-EH125)/EH125*100)</f>
        <v>0</v>
      </c>
      <c r="EK125" s="4585"/>
      <c r="EL125" s="4585"/>
      <c r="EM125" s="1104">
        <f>IF(EK125=0,0,(EL125-EK125)/EK125*100)</f>
        <v>0</v>
      </c>
      <c r="EN125" s="4585"/>
      <c r="EO125" s="4585"/>
      <c r="EP125" s="1104">
        <f>IF(EN125=0,0,(EO125-EN125)/EN125*100)</f>
        <v>0</v>
      </c>
      <c r="EQ125" s="4585"/>
      <c r="ER125" s="4585"/>
      <c r="ES125" s="1104">
        <f>IF(EQ125=0,0,(ER125-EQ125)/EQ125*100)</f>
        <v>0</v>
      </c>
      <c r="ET125" s="4585"/>
      <c r="EU125" s="4585"/>
      <c r="EV125" s="1104">
        <f>IF(ET125=0,0,(EU125-ET125)/ET125*100)</f>
        <v>0</v>
      </c>
      <c r="EW125" s="4585"/>
      <c r="EX125" s="4585"/>
      <c r="EY125" s="1104">
        <f>IF(EW125=0,0,(EX125-EW125)/EW125*100)</f>
        <v>0</v>
      </c>
      <c r="EZ125" s="4585"/>
      <c r="FA125" s="4585"/>
      <c r="FB125" s="1104">
        <f>IF(EZ125=0,0,(FA125-EZ125)/EZ125*100)</f>
        <v>0</v>
      </c>
      <c r="FC125" s="4585"/>
      <c r="FD125" s="4585"/>
      <c r="FE125" s="1104">
        <f>IF(FC125=0,0,(FD125-FC125)/FC125*100)</f>
        <v>0</v>
      </c>
      <c r="FF125" s="4585"/>
      <c r="FG125" s="4585"/>
      <c r="FH125" s="1104">
        <f>IF(FF125=0,0,(FG125-FF125)/FF125*100)</f>
        <v>0</v>
      </c>
      <c r="FI125" s="4585"/>
      <c r="FJ125" s="4585"/>
      <c r="FK125" s="1104">
        <f>IF(FI125=0,0,(FJ125-FI125)/FI125*100)</f>
        <v>0</v>
      </c>
      <c r="FL125" s="4585"/>
      <c r="FM125" s="4585"/>
      <c r="FN125" s="1104">
        <f>IF(FL125=0,0,(FM125-FL125)/FL125*100)</f>
        <v>0</v>
      </c>
      <c r="FO125" s="4585"/>
      <c r="FP125" s="4585"/>
      <c r="FQ125" s="1104">
        <f>IF(FO125=0,0,(FP125-FO125)/FO125*100)</f>
        <v>0</v>
      </c>
      <c r="FR125" s="4585"/>
      <c r="FS125" s="4585"/>
      <c r="FT125" s="1104">
        <f>IF(FR125=0,0,(FS125-FR125)/FR125*100)</f>
        <v>0</v>
      </c>
      <c r="FU125" s="4585"/>
      <c r="FV125" s="4585"/>
      <c r="FW125" s="1104">
        <f>IF(FU125=0,0,(FV125-FU125)/FU125*100)</f>
        <v>0</v>
      </c>
      <c r="FX125" s="288"/>
      <c r="FY125" s="1328"/>
      <c r="FZ125" s="1063" t="s">
        <v>1890</v>
      </c>
      <c r="GA125" s="1023" t="s">
        <v>1888</v>
      </c>
      <c r="GB125" s="1023" cm="1" t="str">
        <f t="array" ref="GB125:GB125">GB123</f>
        <v>г. Ленинск-Кузнецкий, г. Полысаево, для населения, с НДС (с 01.10. по 31.12.)</v>
      </c>
      <c r="GC125" s="1329"/>
      <c r="GD125" s="1329"/>
    </row>
    <row s="1656" customFormat="1" customHeight="1" ht="38.671875">
      <c r="A126" s="496"/>
      <c r="B126" s="932" cm="1" t="str">
        <f t="array" ref="B126:B126">B125</f>
        <v>true</v>
      </c>
      <c r="C126" s="496"/>
      <c r="D126" s="496"/>
      <c r="E126" s="847">
        <v>18.75</v>
      </c>
      <c r="F126" s="50" cm="1" t="str">
        <f t="array" ref="F126:F126">OFFSET(E126,-1,1)</f>
        <v>1</v>
      </c>
      <c r="G126" s="496"/>
      <c r="H126" s="496" t="s">
        <v>566</v>
      </c>
      <c r="I126" s="496" cm="1" t="str">
        <f t="array" ref="I126:I126">AB126</f>
        <v>Иногородние потребители, получающие воду с НФС пос. Демьяновский (с 01.01. по 30.09.) для населения с НДС</v>
      </c>
      <c r="J126" s="496"/>
      <c r="K126" s="496"/>
      <c r="L126" s="496"/>
      <c r="M126" s="496"/>
      <c r="N126" s="496"/>
      <c r="O126" s="496"/>
      <c r="P126" s="496"/>
      <c r="Q126" s="904"/>
      <c r="R126" s="496"/>
      <c r="S126" s="496"/>
      <c r="T126" s="468">
        <f>AND(F126&gt;0,Y126&gt;0)</f>
        <v>1</v>
      </c>
      <c r="U126" s="496"/>
      <c r="V126" s="496"/>
      <c r="W126" s="496"/>
      <c r="X126" s="1559"/>
      <c r="Y126" s="1559" t="s">
        <v>460</v>
      </c>
      <c r="Z126" s="1528"/>
      <c r="AA126" s="1516" t="s">
        <v>174</v>
      </c>
      <c r="AB126" s="908" t="s">
        <v>1960</v>
      </c>
      <c r="AC126" s="871" t="s">
        <v>1862</v>
      </c>
      <c r="AD126" s="1105"/>
      <c r="AE126" s="1106">
        <f>AE114*1.22</f>
        <v>29.9266</v>
      </c>
      <c r="AF126" s="1102">
        <f>IF(AD126=0,0,(AE126-AD126)/AD126*100)</f>
        <v>0</v>
      </c>
      <c r="AG126" s="4591"/>
      <c r="AH126" s="4592"/>
      <c r="AI126" s="1102">
        <f>IF(AG126=0,0,(AH126-AG126)/AG126*100)</f>
        <v>0</v>
      </c>
      <c r="AJ126" s="4591"/>
      <c r="AK126" s="4592"/>
      <c r="AL126" s="1102">
        <f>IF(AJ126=0,0,(AK126-AJ126)/AJ126*100)</f>
        <v>0</v>
      </c>
      <c r="AM126" s="4591"/>
      <c r="AN126" s="4592"/>
      <c r="AO126" s="1102">
        <f>IF(AM126=0,0,(AN126-AM126)/AM126*100)</f>
        <v>0</v>
      </c>
      <c r="AP126" s="4591"/>
      <c r="AQ126" s="4592"/>
      <c r="AR126" s="1102">
        <f>IF(AP126=0,0,(AQ126-AP126)/AP126*100)</f>
        <v>0</v>
      </c>
      <c r="AS126" s="4591"/>
      <c r="AT126" s="4592"/>
      <c r="AU126" s="1102">
        <f>IF(AS126=0,0,(AT126-AS126)/AS126*100)</f>
        <v>0</v>
      </c>
      <c r="AV126" s="4591"/>
      <c r="AW126" s="4592"/>
      <c r="AX126" s="1102">
        <f>IF(AV126=0,0,(AW126-AV126)/AV126*100)</f>
        <v>0</v>
      </c>
      <c r="AY126" s="4591"/>
      <c r="AZ126" s="4592"/>
      <c r="BA126" s="1102">
        <f>IF(AY126=0,0,(AZ126-AY126)/AY126*100)</f>
        <v>0</v>
      </c>
      <c r="BB126" s="4591"/>
      <c r="BC126" s="4592"/>
      <c r="BD126" s="1102">
        <f>IF(BB126=0,0,(BC126-BB126)/BB126*100)</f>
        <v>0</v>
      </c>
      <c r="BE126" s="4591"/>
      <c r="BF126" s="4592"/>
      <c r="BG126" s="1102">
        <f>IF(BE126=0,0,(BF126-BE126)/BE126*100)</f>
        <v>0</v>
      </c>
      <c r="BH126" s="4591"/>
      <c r="BI126" s="4592"/>
      <c r="BJ126" s="1102">
        <f>IF(BH126=0,0,(BI126-BH126)/BH126*100)</f>
        <v>0</v>
      </c>
      <c r="BK126" s="4591"/>
      <c r="BL126" s="4592"/>
      <c r="BM126" s="1102">
        <f>IF(BK126=0,0,(BL126-BK126)/BK126*100)</f>
        <v>0</v>
      </c>
      <c r="BN126" s="4591"/>
      <c r="BO126" s="4592"/>
      <c r="BP126" s="1102">
        <f>IF(BN126=0,0,(BO126-BN126)/BN126*100)</f>
        <v>0</v>
      </c>
      <c r="BQ126" s="4591"/>
      <c r="BR126" s="4592"/>
      <c r="BS126" s="1102">
        <f>IF(BQ126=0,0,(BR126-BQ126)/BQ126*100)</f>
        <v>0</v>
      </c>
      <c r="BT126" s="4591"/>
      <c r="BU126" s="4592"/>
      <c r="BV126" s="1102">
        <f>IF(BT126=0,0,(BU126-BT126)/BT126*100)</f>
        <v>0</v>
      </c>
      <c r="BW126" s="4591"/>
      <c r="BX126" s="4592"/>
      <c r="BY126" s="1102">
        <f>IF(BW126=0,0,(BX126-BW126)/BW126*100)</f>
        <v>0</v>
      </c>
      <c r="BZ126" s="4591"/>
      <c r="CA126" s="4592"/>
      <c r="CB126" s="1102">
        <f>IF(BZ126=0,0,(CA126-BZ126)/BZ126*100)</f>
        <v>0</v>
      </c>
      <c r="CC126" s="4591"/>
      <c r="CD126" s="4592"/>
      <c r="CE126" s="1102">
        <f>IF(CC126=0,0,(CD126-CC126)/CC126*100)</f>
        <v>0</v>
      </c>
      <c r="CF126" s="4591"/>
      <c r="CG126" s="4592"/>
      <c r="CH126" s="1102">
        <f>IF(CF126=0,0,(CG126-CF126)/CF126*100)</f>
        <v>0</v>
      </c>
      <c r="CI126" s="4591"/>
      <c r="CJ126" s="4592"/>
      <c r="CK126" s="1102">
        <f>IF(CI126=0,0,(CJ126-CI126)/CI126*100)</f>
        <v>0</v>
      </c>
      <c r="CL126" s="4591"/>
      <c r="CM126" s="4592"/>
      <c r="CN126" s="1102">
        <f>IF(CL126=0,0,(CM126-CL126)/CL126*100)</f>
        <v>0</v>
      </c>
      <c r="CO126" s="4591"/>
      <c r="CP126" s="4592"/>
      <c r="CQ126" s="1102">
        <f>IF(CO126=0,0,(CP126-CO126)/CO126*100)</f>
        <v>0</v>
      </c>
      <c r="CR126" s="4591"/>
      <c r="CS126" s="4592"/>
      <c r="CT126" s="1102">
        <f>IF(CR126=0,0,(CS126-CR126)/CR126*100)</f>
        <v>0</v>
      </c>
      <c r="CU126" s="4591"/>
      <c r="CV126" s="4592"/>
      <c r="CW126" s="1102">
        <f>IF(CU126=0,0,(CV126-CU126)/CU126*100)</f>
        <v>0</v>
      </c>
      <c r="CX126" s="4591"/>
      <c r="CY126" s="4592"/>
      <c r="CZ126" s="1102">
        <f>IF(CX126=0,0,(CY126-CX126)/CX126*100)</f>
        <v>0</v>
      </c>
      <c r="DA126" s="4591"/>
      <c r="DB126" s="4592"/>
      <c r="DC126" s="1102">
        <f>IF(DA126=0,0,(DB126-DA126)/DA126*100)</f>
        <v>0</v>
      </c>
      <c r="DD126" s="4591"/>
      <c r="DE126" s="4592"/>
      <c r="DF126" s="1102">
        <f>IF(DD126=0,0,(DE126-DD126)/DD126*100)</f>
        <v>0</v>
      </c>
      <c r="DG126" s="4591"/>
      <c r="DH126" s="4592"/>
      <c r="DI126" s="1102">
        <f>IF(DG126=0,0,(DH126-DG126)/DG126*100)</f>
        <v>0</v>
      </c>
      <c r="DJ126" s="4591"/>
      <c r="DK126" s="4592"/>
      <c r="DL126" s="1102">
        <f>IF(DJ126=0,0,(DK126-DJ126)/DJ126*100)</f>
        <v>0</v>
      </c>
      <c r="DM126" s="4591"/>
      <c r="DN126" s="4592"/>
      <c r="DO126" s="1102">
        <f>IF(DM126=0,0,(DN126-DM126)/DM126*100)</f>
        <v>0</v>
      </c>
      <c r="DP126" s="4591"/>
      <c r="DQ126" s="4592"/>
      <c r="DR126" s="1102">
        <f>IF(DP126=0,0,(DQ126-DP126)/DP126*100)</f>
        <v>0</v>
      </c>
      <c r="DS126" s="4591"/>
      <c r="DT126" s="4592"/>
      <c r="DU126" s="1102">
        <f>IF(DS126=0,0,(DT126-DS126)/DS126*100)</f>
        <v>0</v>
      </c>
      <c r="DV126" s="4591"/>
      <c r="DW126" s="4592"/>
      <c r="DX126" s="1102">
        <f>IF(DV126=0,0,(DW126-DV126)/DV126*100)</f>
        <v>0</v>
      </c>
      <c r="DY126" s="4591"/>
      <c r="DZ126" s="4592"/>
      <c r="EA126" s="1102">
        <f>IF(DY126=0,0,(DZ126-DY126)/DY126*100)</f>
        <v>0</v>
      </c>
      <c r="EB126" s="4591"/>
      <c r="EC126" s="4592"/>
      <c r="ED126" s="1102">
        <f>IF(EB126=0,0,(EC126-EB126)/EB126*100)</f>
        <v>0</v>
      </c>
      <c r="EE126" s="4591"/>
      <c r="EF126" s="4592"/>
      <c r="EG126" s="1102">
        <f>IF(EE126=0,0,(EF126-EE126)/EE126*100)</f>
        <v>0</v>
      </c>
      <c r="EH126" s="4591"/>
      <c r="EI126" s="4592"/>
      <c r="EJ126" s="1102">
        <f>IF(EH126=0,0,(EI126-EH126)/EH126*100)</f>
        <v>0</v>
      </c>
      <c r="EK126" s="4591"/>
      <c r="EL126" s="4592"/>
      <c r="EM126" s="1102">
        <f>IF(EK126=0,0,(EL126-EK126)/EK126*100)</f>
        <v>0</v>
      </c>
      <c r="EN126" s="4591"/>
      <c r="EO126" s="4592"/>
      <c r="EP126" s="1102">
        <f>IF(EN126=0,0,(EO126-EN126)/EN126*100)</f>
        <v>0</v>
      </c>
      <c r="EQ126" s="4591"/>
      <c r="ER126" s="4592"/>
      <c r="ES126" s="1102">
        <f>IF(EQ126=0,0,(ER126-EQ126)/EQ126*100)</f>
        <v>0</v>
      </c>
      <c r="ET126" s="4591"/>
      <c r="EU126" s="4592"/>
      <c r="EV126" s="1102">
        <f>IF(ET126=0,0,(EU126-ET126)/ET126*100)</f>
        <v>0</v>
      </c>
      <c r="EW126" s="4591"/>
      <c r="EX126" s="4592"/>
      <c r="EY126" s="1102">
        <f>IF(EW126=0,0,(EX126-EW126)/EW126*100)</f>
        <v>0</v>
      </c>
      <c r="EZ126" s="4591"/>
      <c r="FA126" s="4592"/>
      <c r="FB126" s="1102">
        <f>IF(EZ126=0,0,(FA126-EZ126)/EZ126*100)</f>
        <v>0</v>
      </c>
      <c r="FC126" s="4591"/>
      <c r="FD126" s="4592"/>
      <c r="FE126" s="1102">
        <f>IF(FC126=0,0,(FD126-FC126)/FC126*100)</f>
        <v>0</v>
      </c>
      <c r="FF126" s="4591"/>
      <c r="FG126" s="4592"/>
      <c r="FH126" s="1102">
        <f>IF(FF126=0,0,(FG126-FF126)/FF126*100)</f>
        <v>0</v>
      </c>
      <c r="FI126" s="4591"/>
      <c r="FJ126" s="4592"/>
      <c r="FK126" s="1102">
        <f>IF(FI126=0,0,(FJ126-FI126)/FI126*100)</f>
        <v>0</v>
      </c>
      <c r="FL126" s="4591"/>
      <c r="FM126" s="4592"/>
      <c r="FN126" s="1102">
        <f>IF(FL126=0,0,(FM126-FL126)/FL126*100)</f>
        <v>0</v>
      </c>
      <c r="FO126" s="4591"/>
      <c r="FP126" s="4592"/>
      <c r="FQ126" s="1102">
        <f>IF(FO126=0,0,(FP126-FO126)/FO126*100)</f>
        <v>0</v>
      </c>
      <c r="FR126" s="4591"/>
      <c r="FS126" s="4592"/>
      <c r="FT126" s="1102">
        <f>IF(FR126=0,0,(FS126-FR126)/FR126*100)</f>
        <v>0</v>
      </c>
      <c r="FU126" s="4591"/>
      <c r="FV126" s="4592"/>
      <c r="FW126" s="1102">
        <f>IF(FU126=0,0,(FV126-FU126)/FU126*100)</f>
        <v>0</v>
      </c>
      <c r="FX126" s="288"/>
      <c r="FY126" s="1328"/>
      <c r="FZ126" s="1063" t="s">
        <v>1887</v>
      </c>
      <c r="GA126" s="1023" t="s">
        <v>1888</v>
      </c>
      <c r="GB126" s="1023" cm="1" t="str">
        <f t="array" ref="GB126:GB126">AB126</f>
        <v>Иногородние потребители, получающие воду с НФС пос. Демьяновский (с 01.01. по 30.09.) для населения с НДС</v>
      </c>
      <c r="GC126" s="1329"/>
      <c r="GD126" s="637" t="b">
        <v>1</v>
      </c>
    </row>
    <row customHeight="1" ht="18.525">
      <c r="A127" s="496"/>
      <c r="B127" s="932" cm="1" t="str">
        <f t="array" ref="B127:B127">B126</f>
        <v>true</v>
      </c>
      <c r="C127" s="496"/>
      <c r="D127" s="496"/>
      <c r="E127" s="847">
        <v>19</v>
      </c>
      <c r="F127" s="50" cm="1" t="str">
        <f t="array" ref="F127:F127">OFFSET(E127,-1,1)</f>
        <v>1</v>
      </c>
      <c r="G127" s="496"/>
      <c r="H127" s="496"/>
      <c r="I127" s="496"/>
      <c r="J127" s="496"/>
      <c r="K127" s="496"/>
      <c r="L127" s="496"/>
      <c r="M127" s="496"/>
      <c r="N127" s="496"/>
      <c r="O127" s="496"/>
      <c r="P127" s="496"/>
      <c r="Q127" s="904"/>
      <c r="R127" s="496"/>
      <c r="S127" s="496"/>
      <c r="T127" s="468" cm="1" t="str">
        <f t="array" ref="T127:T127">T126</f>
        <v>true</v>
      </c>
      <c r="U127" s="496"/>
      <c r="V127" s="496"/>
      <c r="W127" s="496"/>
      <c r="X127" s="1559"/>
      <c r="Y127" s="1559"/>
      <c r="Z127" s="1528"/>
      <c r="AA127" s="1516"/>
      <c r="AB127" s="908" t="s">
        <v>1953</v>
      </c>
      <c r="AC127" s="871" t="s">
        <v>1862</v>
      </c>
      <c r="AD127" s="1105"/>
      <c r="AE127" s="1106"/>
      <c r="AF127" s="1102">
        <f>IF(AD127=0,0,(AE127-AD127)/AD127*100)</f>
        <v>0</v>
      </c>
      <c r="AG127" s="4591"/>
      <c r="AH127" s="4592"/>
      <c r="AI127" s="1102">
        <f>IF(AG127=0,0,(AH127-AG127)/AG127*100)</f>
        <v>0</v>
      </c>
      <c r="AJ127" s="4591"/>
      <c r="AK127" s="4592"/>
      <c r="AL127" s="1102">
        <f>IF(AJ127=0,0,(AK127-AJ127)/AJ127*100)</f>
        <v>0</v>
      </c>
      <c r="AM127" s="4591"/>
      <c r="AN127" s="4592"/>
      <c r="AO127" s="1102">
        <f>IF(AM127=0,0,(AN127-AM127)/AM127*100)</f>
        <v>0</v>
      </c>
      <c r="AP127" s="4591"/>
      <c r="AQ127" s="4592"/>
      <c r="AR127" s="1102">
        <f>IF(AP127=0,0,(AQ127-AP127)/AP127*100)</f>
        <v>0</v>
      </c>
      <c r="AS127" s="4591"/>
      <c r="AT127" s="4592"/>
      <c r="AU127" s="1102">
        <f>IF(AS127=0,0,(AT127-AS127)/AS127*100)</f>
        <v>0</v>
      </c>
      <c r="AV127" s="4591"/>
      <c r="AW127" s="4592"/>
      <c r="AX127" s="1102">
        <f>IF(AV127=0,0,(AW127-AV127)/AV127*100)</f>
        <v>0</v>
      </c>
      <c r="AY127" s="4591"/>
      <c r="AZ127" s="4592"/>
      <c r="BA127" s="1102">
        <f>IF(AY127=0,0,(AZ127-AY127)/AY127*100)</f>
        <v>0</v>
      </c>
      <c r="BB127" s="4591"/>
      <c r="BC127" s="4592"/>
      <c r="BD127" s="1102">
        <f>IF(BB127=0,0,(BC127-BB127)/BB127*100)</f>
        <v>0</v>
      </c>
      <c r="BE127" s="4591"/>
      <c r="BF127" s="4592"/>
      <c r="BG127" s="1102">
        <f>IF(BE127=0,0,(BF127-BE127)/BE127*100)</f>
        <v>0</v>
      </c>
      <c r="BH127" s="4591"/>
      <c r="BI127" s="4592"/>
      <c r="BJ127" s="1102">
        <f>IF(BH127=0,0,(BI127-BH127)/BH127*100)</f>
        <v>0</v>
      </c>
      <c r="BK127" s="4591"/>
      <c r="BL127" s="4592"/>
      <c r="BM127" s="1102">
        <f>IF(BK127=0,0,(BL127-BK127)/BK127*100)</f>
        <v>0</v>
      </c>
      <c r="BN127" s="4591"/>
      <c r="BO127" s="4592"/>
      <c r="BP127" s="1102">
        <f>IF(BN127=0,0,(BO127-BN127)/BN127*100)</f>
        <v>0</v>
      </c>
      <c r="BQ127" s="4591"/>
      <c r="BR127" s="4592"/>
      <c r="BS127" s="1102">
        <f>IF(BQ127=0,0,(BR127-BQ127)/BQ127*100)</f>
        <v>0</v>
      </c>
      <c r="BT127" s="4591"/>
      <c r="BU127" s="4592"/>
      <c r="BV127" s="1102">
        <f>IF(BT127=0,0,(BU127-BT127)/BT127*100)</f>
        <v>0</v>
      </c>
      <c r="BW127" s="4591"/>
      <c r="BX127" s="4592"/>
      <c r="BY127" s="1102">
        <f>IF(BW127=0,0,(BX127-BW127)/BW127*100)</f>
        <v>0</v>
      </c>
      <c r="BZ127" s="4591"/>
      <c r="CA127" s="4592"/>
      <c r="CB127" s="1102">
        <f>IF(BZ127=0,0,(CA127-BZ127)/BZ127*100)</f>
        <v>0</v>
      </c>
      <c r="CC127" s="4591"/>
      <c r="CD127" s="4592"/>
      <c r="CE127" s="1102">
        <f>IF(CC127=0,0,(CD127-CC127)/CC127*100)</f>
        <v>0</v>
      </c>
      <c r="CF127" s="4591"/>
      <c r="CG127" s="4592"/>
      <c r="CH127" s="1102">
        <f>IF(CF127=0,0,(CG127-CF127)/CF127*100)</f>
        <v>0</v>
      </c>
      <c r="CI127" s="4591"/>
      <c r="CJ127" s="4592"/>
      <c r="CK127" s="1102">
        <f>IF(CI127=0,0,(CJ127-CI127)/CI127*100)</f>
        <v>0</v>
      </c>
      <c r="CL127" s="4591"/>
      <c r="CM127" s="4592"/>
      <c r="CN127" s="1102">
        <f>IF(CL127=0,0,(CM127-CL127)/CL127*100)</f>
        <v>0</v>
      </c>
      <c r="CO127" s="4591"/>
      <c r="CP127" s="4592"/>
      <c r="CQ127" s="1102">
        <f>IF(CO127=0,0,(CP127-CO127)/CO127*100)</f>
        <v>0</v>
      </c>
      <c r="CR127" s="4591"/>
      <c r="CS127" s="4592"/>
      <c r="CT127" s="1102">
        <f>IF(CR127=0,0,(CS127-CR127)/CR127*100)</f>
        <v>0</v>
      </c>
      <c r="CU127" s="4591"/>
      <c r="CV127" s="4592"/>
      <c r="CW127" s="1102">
        <f>IF(CU127=0,0,(CV127-CU127)/CU127*100)</f>
        <v>0</v>
      </c>
      <c r="CX127" s="4591"/>
      <c r="CY127" s="4592"/>
      <c r="CZ127" s="1102">
        <f>IF(CX127=0,0,(CY127-CX127)/CX127*100)</f>
        <v>0</v>
      </c>
      <c r="DA127" s="4591"/>
      <c r="DB127" s="4592"/>
      <c r="DC127" s="1102">
        <f>IF(DA127=0,0,(DB127-DA127)/DA127*100)</f>
        <v>0</v>
      </c>
      <c r="DD127" s="4591"/>
      <c r="DE127" s="4592"/>
      <c r="DF127" s="1102">
        <f>IF(DD127=0,0,(DE127-DD127)/DD127*100)</f>
        <v>0</v>
      </c>
      <c r="DG127" s="4591"/>
      <c r="DH127" s="4592"/>
      <c r="DI127" s="1102">
        <f>IF(DG127=0,0,(DH127-DG127)/DG127*100)</f>
        <v>0</v>
      </c>
      <c r="DJ127" s="4591"/>
      <c r="DK127" s="4592"/>
      <c r="DL127" s="1102">
        <f>IF(DJ127=0,0,(DK127-DJ127)/DJ127*100)</f>
        <v>0</v>
      </c>
      <c r="DM127" s="4591"/>
      <c r="DN127" s="4592"/>
      <c r="DO127" s="1102">
        <f>IF(DM127=0,0,(DN127-DM127)/DM127*100)</f>
        <v>0</v>
      </c>
      <c r="DP127" s="4591"/>
      <c r="DQ127" s="4592"/>
      <c r="DR127" s="1102">
        <f>IF(DP127=0,0,(DQ127-DP127)/DP127*100)</f>
        <v>0</v>
      </c>
      <c r="DS127" s="4591"/>
      <c r="DT127" s="4592"/>
      <c r="DU127" s="1102">
        <f>IF(DS127=0,0,(DT127-DS127)/DS127*100)</f>
        <v>0</v>
      </c>
      <c r="DV127" s="4591"/>
      <c r="DW127" s="4592"/>
      <c r="DX127" s="1102">
        <f>IF(DV127=0,0,(DW127-DV127)/DV127*100)</f>
        <v>0</v>
      </c>
      <c r="DY127" s="4591"/>
      <c r="DZ127" s="4592"/>
      <c r="EA127" s="1102">
        <f>IF(DY127=0,0,(DZ127-DY127)/DY127*100)</f>
        <v>0</v>
      </c>
      <c r="EB127" s="4591"/>
      <c r="EC127" s="4592"/>
      <c r="ED127" s="1102">
        <f>IF(EB127=0,0,(EC127-EB127)/EB127*100)</f>
        <v>0</v>
      </c>
      <c r="EE127" s="4591"/>
      <c r="EF127" s="4592"/>
      <c r="EG127" s="1102">
        <f>IF(EE127=0,0,(EF127-EE127)/EE127*100)</f>
        <v>0</v>
      </c>
      <c r="EH127" s="4591"/>
      <c r="EI127" s="4592"/>
      <c r="EJ127" s="1102">
        <f>IF(EH127=0,0,(EI127-EH127)/EH127*100)</f>
        <v>0</v>
      </c>
      <c r="EK127" s="4591"/>
      <c r="EL127" s="4592"/>
      <c r="EM127" s="1102">
        <f>IF(EK127=0,0,(EL127-EK127)/EK127*100)</f>
        <v>0</v>
      </c>
      <c r="EN127" s="4591"/>
      <c r="EO127" s="4592"/>
      <c r="EP127" s="1102">
        <f>IF(EN127=0,0,(EO127-EN127)/EN127*100)</f>
        <v>0</v>
      </c>
      <c r="EQ127" s="4591"/>
      <c r="ER127" s="4592"/>
      <c r="ES127" s="1102">
        <f>IF(EQ127=0,0,(ER127-EQ127)/EQ127*100)</f>
        <v>0</v>
      </c>
      <c r="ET127" s="4591"/>
      <c r="EU127" s="4592"/>
      <c r="EV127" s="1102">
        <f>IF(ET127=0,0,(EU127-ET127)/ET127*100)</f>
        <v>0</v>
      </c>
      <c r="EW127" s="4591"/>
      <c r="EX127" s="4592"/>
      <c r="EY127" s="1102">
        <f>IF(EW127=0,0,(EX127-EW127)/EW127*100)</f>
        <v>0</v>
      </c>
      <c r="EZ127" s="4591"/>
      <c r="FA127" s="4592"/>
      <c r="FB127" s="1102">
        <f>IF(EZ127=0,0,(FA127-EZ127)/EZ127*100)</f>
        <v>0</v>
      </c>
      <c r="FC127" s="4591"/>
      <c r="FD127" s="4592"/>
      <c r="FE127" s="1102">
        <f>IF(FC127=0,0,(FD127-FC127)/FC127*100)</f>
        <v>0</v>
      </c>
      <c r="FF127" s="4591"/>
      <c r="FG127" s="4592"/>
      <c r="FH127" s="1102">
        <f>IF(FF127=0,0,(FG127-FF127)/FF127*100)</f>
        <v>0</v>
      </c>
      <c r="FI127" s="4591"/>
      <c r="FJ127" s="4592"/>
      <c r="FK127" s="1102">
        <f>IF(FI127=0,0,(FJ127-FI127)/FI127*100)</f>
        <v>0</v>
      </c>
      <c r="FL127" s="4591"/>
      <c r="FM127" s="4592"/>
      <c r="FN127" s="1102">
        <f>IF(FL127=0,0,(FM127-FL127)/FL127*100)</f>
        <v>0</v>
      </c>
      <c r="FO127" s="4591"/>
      <c r="FP127" s="4592"/>
      <c r="FQ127" s="1102">
        <f>IF(FO127=0,0,(FP127-FO127)/FO127*100)</f>
        <v>0</v>
      </c>
      <c r="FR127" s="4591"/>
      <c r="FS127" s="4592"/>
      <c r="FT127" s="1102">
        <f>IF(FR127=0,0,(FS127-FR127)/FR127*100)</f>
        <v>0</v>
      </c>
      <c r="FU127" s="4591"/>
      <c r="FV127" s="4592"/>
      <c r="FW127" s="1102">
        <f>IF(FU127=0,0,(FV127-FU127)/FU127*100)</f>
        <v>0</v>
      </c>
      <c r="FZ127" s="1330" t="s">
        <v>1889</v>
      </c>
      <c r="GA127" s="1330" t="s">
        <v>1888</v>
      </c>
      <c r="GB127" s="1330" cm="1" t="str">
        <f t="array" ref="GB127:GB127">GB126</f>
        <v>Иногородние потребители, получающие воду с НФС пос. Демьяновский (с 01.01. по 30.09.) для населения с НДС</v>
      </c>
    </row>
    <row s="1656" customFormat="1" customHeight="1" ht="20.671875">
      <c r="A128" s="496"/>
      <c r="B128" s="932" cm="1" t="str">
        <f t="array" ref="B128:B128">B126</f>
        <v>true</v>
      </c>
      <c r="C128" s="496"/>
      <c r="D128" s="496"/>
      <c r="E128" s="847">
        <v>15</v>
      </c>
      <c r="F128" s="50" cm="1" t="str">
        <f t="array" ref="F128:F128">OFFSET(E128,-1,1)</f>
        <v>1</v>
      </c>
      <c r="G128" s="496"/>
      <c r="H128" s="496" t="s">
        <v>573</v>
      </c>
      <c r="I128" s="496" cm="1" t="str">
        <f t="array" ref="I128:I128">I126</f>
        <v>Иногородние потребители, получающие воду с НФС пос. Демьяновский (с 01.01. по 30.09.) для населения с НДС</v>
      </c>
      <c r="J128" s="496"/>
      <c r="K128" s="496"/>
      <c r="L128" s="496"/>
      <c r="M128" s="496"/>
      <c r="N128" s="496"/>
      <c r="O128" s="496"/>
      <c r="P128" s="496"/>
      <c r="Q128" s="904"/>
      <c r="R128" s="496"/>
      <c r="S128" s="496"/>
      <c r="T128" s="468" cm="1" t="str">
        <f t="array" ref="T128:T128">T126</f>
        <v>true</v>
      </c>
      <c r="U128" s="496"/>
      <c r="V128" s="496"/>
      <c r="W128" s="496"/>
      <c r="X128" s="1559"/>
      <c r="Y128" s="1559"/>
      <c r="Z128" s="1528"/>
      <c r="AA128" s="1516"/>
      <c r="AB128" s="907" t="s">
        <v>1872</v>
      </c>
      <c r="AC128" s="296" t="s">
        <v>657</v>
      </c>
      <c r="AD128" s="1103"/>
      <c r="AE128" s="1103">
        <v>811.13586</v>
      </c>
      <c r="AF128" s="1104">
        <f>IF(AD128=0,0,(AE128-AD128)/AD128*100)</f>
        <v>0</v>
      </c>
      <c r="AG128" s="4585"/>
      <c r="AH128" s="4585"/>
      <c r="AI128" s="1104">
        <f>IF(AG128=0,0,(AH128-AG128)/AG128*100)</f>
        <v>0</v>
      </c>
      <c r="AJ128" s="4585"/>
      <c r="AK128" s="4585"/>
      <c r="AL128" s="1104">
        <f>IF(AJ128=0,0,(AK128-AJ128)/AJ128*100)</f>
        <v>0</v>
      </c>
      <c r="AM128" s="4585"/>
      <c r="AN128" s="4585"/>
      <c r="AO128" s="1104">
        <f>IF(AM128=0,0,(AN128-AM128)/AM128*100)</f>
        <v>0</v>
      </c>
      <c r="AP128" s="4585"/>
      <c r="AQ128" s="4585"/>
      <c r="AR128" s="1104">
        <f>IF(AP128=0,0,(AQ128-AP128)/AP128*100)</f>
        <v>0</v>
      </c>
      <c r="AS128" s="4585"/>
      <c r="AT128" s="4585"/>
      <c r="AU128" s="1104">
        <f>IF(AS128=0,0,(AT128-AS128)/AS128*100)</f>
        <v>0</v>
      </c>
      <c r="AV128" s="4585"/>
      <c r="AW128" s="4585"/>
      <c r="AX128" s="1104">
        <f>IF(AV128=0,0,(AW128-AV128)/AV128*100)</f>
        <v>0</v>
      </c>
      <c r="AY128" s="4585"/>
      <c r="AZ128" s="4585"/>
      <c r="BA128" s="1104">
        <f>IF(AY128=0,0,(AZ128-AY128)/AY128*100)</f>
        <v>0</v>
      </c>
      <c r="BB128" s="4585"/>
      <c r="BC128" s="4585"/>
      <c r="BD128" s="1104">
        <f>IF(BB128=0,0,(BC128-BB128)/BB128*100)</f>
        <v>0</v>
      </c>
      <c r="BE128" s="4585"/>
      <c r="BF128" s="4585"/>
      <c r="BG128" s="1104">
        <f>IF(BE128=0,0,(BF128-BE128)/BE128*100)</f>
        <v>0</v>
      </c>
      <c r="BH128" s="4585"/>
      <c r="BI128" s="4585"/>
      <c r="BJ128" s="1104">
        <f>IF(BH128=0,0,(BI128-BH128)/BH128*100)</f>
        <v>0</v>
      </c>
      <c r="BK128" s="4585"/>
      <c r="BL128" s="4585"/>
      <c r="BM128" s="1104">
        <f>IF(BK128=0,0,(BL128-BK128)/BK128*100)</f>
        <v>0</v>
      </c>
      <c r="BN128" s="4585"/>
      <c r="BO128" s="4585"/>
      <c r="BP128" s="1104">
        <f>IF(BN128=0,0,(BO128-BN128)/BN128*100)</f>
        <v>0</v>
      </c>
      <c r="BQ128" s="4585"/>
      <c r="BR128" s="4585"/>
      <c r="BS128" s="1104">
        <f>IF(BQ128=0,0,(BR128-BQ128)/BQ128*100)</f>
        <v>0</v>
      </c>
      <c r="BT128" s="4585"/>
      <c r="BU128" s="4585"/>
      <c r="BV128" s="1104">
        <f>IF(BT128=0,0,(BU128-BT128)/BT128*100)</f>
        <v>0</v>
      </c>
      <c r="BW128" s="4585"/>
      <c r="BX128" s="4585"/>
      <c r="BY128" s="1104">
        <f>IF(BW128=0,0,(BX128-BW128)/BW128*100)</f>
        <v>0</v>
      </c>
      <c r="BZ128" s="4585"/>
      <c r="CA128" s="4585"/>
      <c r="CB128" s="1104">
        <f>IF(BZ128=0,0,(CA128-BZ128)/BZ128*100)</f>
        <v>0</v>
      </c>
      <c r="CC128" s="4585"/>
      <c r="CD128" s="4585"/>
      <c r="CE128" s="1104">
        <f>IF(CC128=0,0,(CD128-CC128)/CC128*100)</f>
        <v>0</v>
      </c>
      <c r="CF128" s="4585"/>
      <c r="CG128" s="4585"/>
      <c r="CH128" s="1104">
        <f>IF(CF128=0,0,(CG128-CF128)/CF128*100)</f>
        <v>0</v>
      </c>
      <c r="CI128" s="4585"/>
      <c r="CJ128" s="4585"/>
      <c r="CK128" s="1104">
        <f>IF(CI128=0,0,(CJ128-CI128)/CI128*100)</f>
        <v>0</v>
      </c>
      <c r="CL128" s="4585"/>
      <c r="CM128" s="4585"/>
      <c r="CN128" s="1104">
        <f>IF(CL128=0,0,(CM128-CL128)/CL128*100)</f>
        <v>0</v>
      </c>
      <c r="CO128" s="4585"/>
      <c r="CP128" s="4585"/>
      <c r="CQ128" s="1104">
        <f>IF(CO128=0,0,(CP128-CO128)/CO128*100)</f>
        <v>0</v>
      </c>
      <c r="CR128" s="4585"/>
      <c r="CS128" s="4585"/>
      <c r="CT128" s="1104">
        <f>IF(CR128=0,0,(CS128-CR128)/CR128*100)</f>
        <v>0</v>
      </c>
      <c r="CU128" s="4585"/>
      <c r="CV128" s="4585"/>
      <c r="CW128" s="1104">
        <f>IF(CU128=0,0,(CV128-CU128)/CU128*100)</f>
        <v>0</v>
      </c>
      <c r="CX128" s="4585"/>
      <c r="CY128" s="4585"/>
      <c r="CZ128" s="1104">
        <f>IF(CX128=0,0,(CY128-CX128)/CX128*100)</f>
        <v>0</v>
      </c>
      <c r="DA128" s="4585"/>
      <c r="DB128" s="4585"/>
      <c r="DC128" s="1104">
        <f>IF(DA128=0,0,(DB128-DA128)/DA128*100)</f>
        <v>0</v>
      </c>
      <c r="DD128" s="4585"/>
      <c r="DE128" s="4585"/>
      <c r="DF128" s="1104">
        <f>IF(DD128=0,0,(DE128-DD128)/DD128*100)</f>
        <v>0</v>
      </c>
      <c r="DG128" s="4585"/>
      <c r="DH128" s="4585"/>
      <c r="DI128" s="1104">
        <f>IF(DG128=0,0,(DH128-DG128)/DG128*100)</f>
        <v>0</v>
      </c>
      <c r="DJ128" s="4585"/>
      <c r="DK128" s="4585"/>
      <c r="DL128" s="1104">
        <f>IF(DJ128=0,0,(DK128-DJ128)/DJ128*100)</f>
        <v>0</v>
      </c>
      <c r="DM128" s="4585"/>
      <c r="DN128" s="4585"/>
      <c r="DO128" s="1104">
        <f>IF(DM128=0,0,(DN128-DM128)/DM128*100)</f>
        <v>0</v>
      </c>
      <c r="DP128" s="4585"/>
      <c r="DQ128" s="4585"/>
      <c r="DR128" s="1104">
        <f>IF(DP128=0,0,(DQ128-DP128)/DP128*100)</f>
        <v>0</v>
      </c>
      <c r="DS128" s="4585"/>
      <c r="DT128" s="4585"/>
      <c r="DU128" s="1104">
        <f>IF(DS128=0,0,(DT128-DS128)/DS128*100)</f>
        <v>0</v>
      </c>
      <c r="DV128" s="4585"/>
      <c r="DW128" s="4585"/>
      <c r="DX128" s="1104">
        <f>IF(DV128=0,0,(DW128-DV128)/DV128*100)</f>
        <v>0</v>
      </c>
      <c r="DY128" s="4585"/>
      <c r="DZ128" s="4585"/>
      <c r="EA128" s="1104">
        <f>IF(DY128=0,0,(DZ128-DY128)/DY128*100)</f>
        <v>0</v>
      </c>
      <c r="EB128" s="4585"/>
      <c r="EC128" s="4585"/>
      <c r="ED128" s="1104">
        <f>IF(EB128=0,0,(EC128-EB128)/EB128*100)</f>
        <v>0</v>
      </c>
      <c r="EE128" s="4585"/>
      <c r="EF128" s="4585"/>
      <c r="EG128" s="1104">
        <f>IF(EE128=0,0,(EF128-EE128)/EE128*100)</f>
        <v>0</v>
      </c>
      <c r="EH128" s="4585"/>
      <c r="EI128" s="4585"/>
      <c r="EJ128" s="1104">
        <f>IF(EH128=0,0,(EI128-EH128)/EH128*100)</f>
        <v>0</v>
      </c>
      <c r="EK128" s="4585"/>
      <c r="EL128" s="4585"/>
      <c r="EM128" s="1104">
        <f>IF(EK128=0,0,(EL128-EK128)/EK128*100)</f>
        <v>0</v>
      </c>
      <c r="EN128" s="4585"/>
      <c r="EO128" s="4585"/>
      <c r="EP128" s="1104">
        <f>IF(EN128=0,0,(EO128-EN128)/EN128*100)</f>
        <v>0</v>
      </c>
      <c r="EQ128" s="4585"/>
      <c r="ER128" s="4585"/>
      <c r="ES128" s="1104">
        <f>IF(EQ128=0,0,(ER128-EQ128)/EQ128*100)</f>
        <v>0</v>
      </c>
      <c r="ET128" s="4585"/>
      <c r="EU128" s="4585"/>
      <c r="EV128" s="1104">
        <f>IF(ET128=0,0,(EU128-ET128)/ET128*100)</f>
        <v>0</v>
      </c>
      <c r="EW128" s="4585"/>
      <c r="EX128" s="4585"/>
      <c r="EY128" s="1104">
        <f>IF(EW128=0,0,(EX128-EW128)/EW128*100)</f>
        <v>0</v>
      </c>
      <c r="EZ128" s="4585"/>
      <c r="FA128" s="4585"/>
      <c r="FB128" s="1104">
        <f>IF(EZ128=0,0,(FA128-EZ128)/EZ128*100)</f>
        <v>0</v>
      </c>
      <c r="FC128" s="4585"/>
      <c r="FD128" s="4585"/>
      <c r="FE128" s="1104">
        <f>IF(FC128=0,0,(FD128-FC128)/FC128*100)</f>
        <v>0</v>
      </c>
      <c r="FF128" s="4585"/>
      <c r="FG128" s="4585"/>
      <c r="FH128" s="1104">
        <f>IF(FF128=0,0,(FG128-FF128)/FF128*100)</f>
        <v>0</v>
      </c>
      <c r="FI128" s="4585"/>
      <c r="FJ128" s="4585"/>
      <c r="FK128" s="1104">
        <f>IF(FI128=0,0,(FJ128-FI128)/FI128*100)</f>
        <v>0</v>
      </c>
      <c r="FL128" s="4585"/>
      <c r="FM128" s="4585"/>
      <c r="FN128" s="1104">
        <f>IF(FL128=0,0,(FM128-FL128)/FL128*100)</f>
        <v>0</v>
      </c>
      <c r="FO128" s="4585"/>
      <c r="FP128" s="4585"/>
      <c r="FQ128" s="1104">
        <f>IF(FO128=0,0,(FP128-FO128)/FO128*100)</f>
        <v>0</v>
      </c>
      <c r="FR128" s="4585"/>
      <c r="FS128" s="4585"/>
      <c r="FT128" s="1104">
        <f>IF(FR128=0,0,(FS128-FR128)/FR128*100)</f>
        <v>0</v>
      </c>
      <c r="FU128" s="4585"/>
      <c r="FV128" s="4585"/>
      <c r="FW128" s="1104">
        <f>IF(FU128=0,0,(FV128-FU128)/FU128*100)</f>
        <v>0</v>
      </c>
      <c r="FX128" s="288"/>
      <c r="FY128" s="1328"/>
      <c r="FZ128" s="1063" t="s">
        <v>1890</v>
      </c>
      <c r="GA128" s="1023" t="s">
        <v>1888</v>
      </c>
      <c r="GB128" s="1023" cm="1" t="str">
        <f t="array" ref="GB128:GB128">GB126</f>
        <v>Иногородние потребители, получающие воду с НФС пос. Демьяновский (с 01.01. по 30.09.) для населения с НДС</v>
      </c>
      <c r="GC128" s="1329"/>
      <c r="GD128" s="1329"/>
    </row>
    <row s="1656" customFormat="1" customHeight="1" ht="34.921875">
      <c r="A129" s="496"/>
      <c r="B129" s="932" cm="1" t="str">
        <f t="array" ref="B129:B129">B128</f>
        <v>true</v>
      </c>
      <c r="C129" s="496"/>
      <c r="D129" s="496"/>
      <c r="E129" s="847">
        <v>18.75</v>
      </c>
      <c r="F129" s="50" cm="1" t="str">
        <f t="array" ref="F129:F129">OFFSET(E129,-1,1)</f>
        <v>1</v>
      </c>
      <c r="G129" s="496"/>
      <c r="H129" s="496" t="s">
        <v>566</v>
      </c>
      <c r="I129" s="496" cm="1" t="str">
        <f t="array" ref="I129:I129">AB129</f>
        <v>Иногородние потребители, получающие воду с НФС пос. Демьяновский (с 01.10. по 31.12.) для населения с НДС</v>
      </c>
      <c r="J129" s="496"/>
      <c r="K129" s="496"/>
      <c r="L129" s="496"/>
      <c r="M129" s="496"/>
      <c r="N129" s="496"/>
      <c r="O129" s="496"/>
      <c r="P129" s="496"/>
      <c r="Q129" s="904"/>
      <c r="R129" s="496"/>
      <c r="S129" s="496"/>
      <c r="T129" s="468">
        <f>AND(F129&gt;0,Y129&gt;0)</f>
        <v>1</v>
      </c>
      <c r="U129" s="496"/>
      <c r="V129" s="496"/>
      <c r="W129" s="496"/>
      <c r="X129" s="1559"/>
      <c r="Y129" s="1559" t="s">
        <v>463</v>
      </c>
      <c r="Z129" s="1528"/>
      <c r="AA129" s="1516" t="s">
        <v>174</v>
      </c>
      <c r="AB129" s="908" t="s">
        <v>1961</v>
      </c>
      <c r="AC129" s="871" t="s">
        <v>1862</v>
      </c>
      <c r="AD129" s="1105"/>
      <c r="AE129" s="1106">
        <f>AE117*1.22</f>
        <v>33.5134</v>
      </c>
      <c r="AF129" s="1102">
        <f>IF(AD129=0,0,(AE129-AD129)/AD129*100)</f>
        <v>0</v>
      </c>
      <c r="AG129" s="4591"/>
      <c r="AH129" s="4592"/>
      <c r="AI129" s="1102">
        <f>IF(AG129=0,0,(AH129-AG129)/AG129*100)</f>
        <v>0</v>
      </c>
      <c r="AJ129" s="4591"/>
      <c r="AK129" s="4592"/>
      <c r="AL129" s="1102">
        <f>IF(AJ129=0,0,(AK129-AJ129)/AJ129*100)</f>
        <v>0</v>
      </c>
      <c r="AM129" s="4591"/>
      <c r="AN129" s="4592"/>
      <c r="AO129" s="1102">
        <f>IF(AM129=0,0,(AN129-AM129)/AM129*100)</f>
        <v>0</v>
      </c>
      <c r="AP129" s="4591"/>
      <c r="AQ129" s="4592"/>
      <c r="AR129" s="1102">
        <f>IF(AP129=0,0,(AQ129-AP129)/AP129*100)</f>
        <v>0</v>
      </c>
      <c r="AS129" s="4591"/>
      <c r="AT129" s="4592"/>
      <c r="AU129" s="1102">
        <f>IF(AS129=0,0,(AT129-AS129)/AS129*100)</f>
        <v>0</v>
      </c>
      <c r="AV129" s="4591"/>
      <c r="AW129" s="4592"/>
      <c r="AX129" s="1102">
        <f>IF(AV129=0,0,(AW129-AV129)/AV129*100)</f>
        <v>0</v>
      </c>
      <c r="AY129" s="4591"/>
      <c r="AZ129" s="4592"/>
      <c r="BA129" s="1102">
        <f>IF(AY129=0,0,(AZ129-AY129)/AY129*100)</f>
        <v>0</v>
      </c>
      <c r="BB129" s="4591"/>
      <c r="BC129" s="4592"/>
      <c r="BD129" s="1102">
        <f>IF(BB129=0,0,(BC129-BB129)/BB129*100)</f>
        <v>0</v>
      </c>
      <c r="BE129" s="4591"/>
      <c r="BF129" s="4592"/>
      <c r="BG129" s="1102">
        <f>IF(BE129=0,0,(BF129-BE129)/BE129*100)</f>
        <v>0</v>
      </c>
      <c r="BH129" s="4591"/>
      <c r="BI129" s="4592"/>
      <c r="BJ129" s="1102">
        <f>IF(BH129=0,0,(BI129-BH129)/BH129*100)</f>
        <v>0</v>
      </c>
      <c r="BK129" s="4591"/>
      <c r="BL129" s="4592"/>
      <c r="BM129" s="1102">
        <f>IF(BK129=0,0,(BL129-BK129)/BK129*100)</f>
        <v>0</v>
      </c>
      <c r="BN129" s="4591"/>
      <c r="BO129" s="4592"/>
      <c r="BP129" s="1102">
        <f>IF(BN129=0,0,(BO129-BN129)/BN129*100)</f>
        <v>0</v>
      </c>
      <c r="BQ129" s="4591"/>
      <c r="BR129" s="4592"/>
      <c r="BS129" s="1102">
        <f>IF(BQ129=0,0,(BR129-BQ129)/BQ129*100)</f>
        <v>0</v>
      </c>
      <c r="BT129" s="4591"/>
      <c r="BU129" s="4592"/>
      <c r="BV129" s="1102">
        <f>IF(BT129=0,0,(BU129-BT129)/BT129*100)</f>
        <v>0</v>
      </c>
      <c r="BW129" s="4591"/>
      <c r="BX129" s="4592"/>
      <c r="BY129" s="1102">
        <f>IF(BW129=0,0,(BX129-BW129)/BW129*100)</f>
        <v>0</v>
      </c>
      <c r="BZ129" s="4591"/>
      <c r="CA129" s="4592"/>
      <c r="CB129" s="1102">
        <f>IF(BZ129=0,0,(CA129-BZ129)/BZ129*100)</f>
        <v>0</v>
      </c>
      <c r="CC129" s="4591"/>
      <c r="CD129" s="4592"/>
      <c r="CE129" s="1102">
        <f>IF(CC129=0,0,(CD129-CC129)/CC129*100)</f>
        <v>0</v>
      </c>
      <c r="CF129" s="4591"/>
      <c r="CG129" s="4592"/>
      <c r="CH129" s="1102">
        <f>IF(CF129=0,0,(CG129-CF129)/CF129*100)</f>
        <v>0</v>
      </c>
      <c r="CI129" s="4591"/>
      <c r="CJ129" s="4592"/>
      <c r="CK129" s="1102">
        <f>IF(CI129=0,0,(CJ129-CI129)/CI129*100)</f>
        <v>0</v>
      </c>
      <c r="CL129" s="4591"/>
      <c r="CM129" s="4592"/>
      <c r="CN129" s="1102">
        <f>IF(CL129=0,0,(CM129-CL129)/CL129*100)</f>
        <v>0</v>
      </c>
      <c r="CO129" s="4591"/>
      <c r="CP129" s="4592"/>
      <c r="CQ129" s="1102">
        <f>IF(CO129=0,0,(CP129-CO129)/CO129*100)</f>
        <v>0</v>
      </c>
      <c r="CR129" s="4591"/>
      <c r="CS129" s="4592"/>
      <c r="CT129" s="1102">
        <f>IF(CR129=0,0,(CS129-CR129)/CR129*100)</f>
        <v>0</v>
      </c>
      <c r="CU129" s="4591"/>
      <c r="CV129" s="4592"/>
      <c r="CW129" s="1102">
        <f>IF(CU129=0,0,(CV129-CU129)/CU129*100)</f>
        <v>0</v>
      </c>
      <c r="CX129" s="4591"/>
      <c r="CY129" s="4592"/>
      <c r="CZ129" s="1102">
        <f>IF(CX129=0,0,(CY129-CX129)/CX129*100)</f>
        <v>0</v>
      </c>
      <c r="DA129" s="4591"/>
      <c r="DB129" s="4592"/>
      <c r="DC129" s="1102">
        <f>IF(DA129=0,0,(DB129-DA129)/DA129*100)</f>
        <v>0</v>
      </c>
      <c r="DD129" s="4591"/>
      <c r="DE129" s="4592"/>
      <c r="DF129" s="1102">
        <f>IF(DD129=0,0,(DE129-DD129)/DD129*100)</f>
        <v>0</v>
      </c>
      <c r="DG129" s="4591"/>
      <c r="DH129" s="4592"/>
      <c r="DI129" s="1102">
        <f>IF(DG129=0,0,(DH129-DG129)/DG129*100)</f>
        <v>0</v>
      </c>
      <c r="DJ129" s="4591"/>
      <c r="DK129" s="4592"/>
      <c r="DL129" s="1102">
        <f>IF(DJ129=0,0,(DK129-DJ129)/DJ129*100)</f>
        <v>0</v>
      </c>
      <c r="DM129" s="4591"/>
      <c r="DN129" s="4592"/>
      <c r="DO129" s="1102">
        <f>IF(DM129=0,0,(DN129-DM129)/DM129*100)</f>
        <v>0</v>
      </c>
      <c r="DP129" s="4591"/>
      <c r="DQ129" s="4592"/>
      <c r="DR129" s="1102">
        <f>IF(DP129=0,0,(DQ129-DP129)/DP129*100)</f>
        <v>0</v>
      </c>
      <c r="DS129" s="4591"/>
      <c r="DT129" s="4592"/>
      <c r="DU129" s="1102">
        <f>IF(DS129=0,0,(DT129-DS129)/DS129*100)</f>
        <v>0</v>
      </c>
      <c r="DV129" s="4591"/>
      <c r="DW129" s="4592"/>
      <c r="DX129" s="1102">
        <f>IF(DV129=0,0,(DW129-DV129)/DV129*100)</f>
        <v>0</v>
      </c>
      <c r="DY129" s="4591"/>
      <c r="DZ129" s="4592"/>
      <c r="EA129" s="1102">
        <f>IF(DY129=0,0,(DZ129-DY129)/DY129*100)</f>
        <v>0</v>
      </c>
      <c r="EB129" s="4591"/>
      <c r="EC129" s="4592"/>
      <c r="ED129" s="1102">
        <f>IF(EB129=0,0,(EC129-EB129)/EB129*100)</f>
        <v>0</v>
      </c>
      <c r="EE129" s="4591"/>
      <c r="EF129" s="4592"/>
      <c r="EG129" s="1102">
        <f>IF(EE129=0,0,(EF129-EE129)/EE129*100)</f>
        <v>0</v>
      </c>
      <c r="EH129" s="4591"/>
      <c r="EI129" s="4592"/>
      <c r="EJ129" s="1102">
        <f>IF(EH129=0,0,(EI129-EH129)/EH129*100)</f>
        <v>0</v>
      </c>
      <c r="EK129" s="4591"/>
      <c r="EL129" s="4592"/>
      <c r="EM129" s="1102">
        <f>IF(EK129=0,0,(EL129-EK129)/EK129*100)</f>
        <v>0</v>
      </c>
      <c r="EN129" s="4591"/>
      <c r="EO129" s="4592"/>
      <c r="EP129" s="1102">
        <f>IF(EN129=0,0,(EO129-EN129)/EN129*100)</f>
        <v>0</v>
      </c>
      <c r="EQ129" s="4591"/>
      <c r="ER129" s="4592"/>
      <c r="ES129" s="1102">
        <f>IF(EQ129=0,0,(ER129-EQ129)/EQ129*100)</f>
        <v>0</v>
      </c>
      <c r="ET129" s="4591"/>
      <c r="EU129" s="4592"/>
      <c r="EV129" s="1102">
        <f>IF(ET129=0,0,(EU129-ET129)/ET129*100)</f>
        <v>0</v>
      </c>
      <c r="EW129" s="4591"/>
      <c r="EX129" s="4592"/>
      <c r="EY129" s="1102">
        <f>IF(EW129=0,0,(EX129-EW129)/EW129*100)</f>
        <v>0</v>
      </c>
      <c r="EZ129" s="4591"/>
      <c r="FA129" s="4592"/>
      <c r="FB129" s="1102">
        <f>IF(EZ129=0,0,(FA129-EZ129)/EZ129*100)</f>
        <v>0</v>
      </c>
      <c r="FC129" s="4591"/>
      <c r="FD129" s="4592"/>
      <c r="FE129" s="1102">
        <f>IF(FC129=0,0,(FD129-FC129)/FC129*100)</f>
        <v>0</v>
      </c>
      <c r="FF129" s="4591"/>
      <c r="FG129" s="4592"/>
      <c r="FH129" s="1102">
        <f>IF(FF129=0,0,(FG129-FF129)/FF129*100)</f>
        <v>0</v>
      </c>
      <c r="FI129" s="4591"/>
      <c r="FJ129" s="4592"/>
      <c r="FK129" s="1102">
        <f>IF(FI129=0,0,(FJ129-FI129)/FI129*100)</f>
        <v>0</v>
      </c>
      <c r="FL129" s="4591"/>
      <c r="FM129" s="4592"/>
      <c r="FN129" s="1102">
        <f>IF(FL129=0,0,(FM129-FL129)/FL129*100)</f>
        <v>0</v>
      </c>
      <c r="FO129" s="4591"/>
      <c r="FP129" s="4592"/>
      <c r="FQ129" s="1102">
        <f>IF(FO129=0,0,(FP129-FO129)/FO129*100)</f>
        <v>0</v>
      </c>
      <c r="FR129" s="4591"/>
      <c r="FS129" s="4592"/>
      <c r="FT129" s="1102">
        <f>IF(FR129=0,0,(FS129-FR129)/FR129*100)</f>
        <v>0</v>
      </c>
      <c r="FU129" s="4591"/>
      <c r="FV129" s="4592"/>
      <c r="FW129" s="1102">
        <f>IF(FU129=0,0,(FV129-FU129)/FU129*100)</f>
        <v>0</v>
      </c>
      <c r="FX129" s="288"/>
      <c r="FY129" s="1328"/>
      <c r="FZ129" s="1063" t="s">
        <v>1887</v>
      </c>
      <c r="GA129" s="1023" t="s">
        <v>1888</v>
      </c>
      <c r="GB129" s="1023" cm="1" t="str">
        <f t="array" ref="GB129:GB129">AB129</f>
        <v>Иногородние потребители, получающие воду с НФС пос. Демьяновский (с 01.10. по 31.12.) для населения с НДС</v>
      </c>
      <c r="GC129" s="1329"/>
      <c r="GD129" s="637" t="b">
        <v>1</v>
      </c>
    </row>
    <row customHeight="1" ht="18.525">
      <c r="A130" s="496"/>
      <c r="B130" s="932" cm="1" t="str">
        <f t="array" ref="B130:B130">B129</f>
        <v>true</v>
      </c>
      <c r="C130" s="496"/>
      <c r="D130" s="496"/>
      <c r="E130" s="847">
        <v>19</v>
      </c>
      <c r="F130" s="50" cm="1" t="str">
        <f t="array" ref="F130:F130">OFFSET(E130,-1,1)</f>
        <v>1</v>
      </c>
      <c r="G130" s="496"/>
      <c r="H130" s="496"/>
      <c r="I130" s="496"/>
      <c r="J130" s="496"/>
      <c r="K130" s="496"/>
      <c r="L130" s="496"/>
      <c r="M130" s="496"/>
      <c r="N130" s="496"/>
      <c r="O130" s="496"/>
      <c r="P130" s="496"/>
      <c r="Q130" s="904"/>
      <c r="R130" s="496"/>
      <c r="S130" s="496"/>
      <c r="T130" s="468" cm="1" t="str">
        <f t="array" ref="T130:T130">T129</f>
        <v>true</v>
      </c>
      <c r="U130" s="496"/>
      <c r="V130" s="496"/>
      <c r="W130" s="496"/>
      <c r="X130" s="1559"/>
      <c r="Y130" s="1559"/>
      <c r="Z130" s="1528"/>
      <c r="AA130" s="1516"/>
      <c r="AB130" s="908" t="s">
        <v>1962</v>
      </c>
      <c r="AC130" s="871" t="s">
        <v>1862</v>
      </c>
      <c r="AD130" s="1105"/>
      <c r="AE130" s="1106"/>
      <c r="AF130" s="1102">
        <f>IF(AD130=0,0,(AE130-AD130)/AD130*100)</f>
        <v>0</v>
      </c>
      <c r="AG130" s="4591"/>
      <c r="AH130" s="4592"/>
      <c r="AI130" s="1102">
        <f>IF(AG130=0,0,(AH130-AG130)/AG130*100)</f>
        <v>0</v>
      </c>
      <c r="AJ130" s="4591"/>
      <c r="AK130" s="4592"/>
      <c r="AL130" s="1102">
        <f>IF(AJ130=0,0,(AK130-AJ130)/AJ130*100)</f>
        <v>0</v>
      </c>
      <c r="AM130" s="4591"/>
      <c r="AN130" s="4592"/>
      <c r="AO130" s="1102">
        <f>IF(AM130=0,0,(AN130-AM130)/AM130*100)</f>
        <v>0</v>
      </c>
      <c r="AP130" s="4591"/>
      <c r="AQ130" s="4592"/>
      <c r="AR130" s="1102">
        <f>IF(AP130=0,0,(AQ130-AP130)/AP130*100)</f>
        <v>0</v>
      </c>
      <c r="AS130" s="4591"/>
      <c r="AT130" s="4592"/>
      <c r="AU130" s="1102">
        <f>IF(AS130=0,0,(AT130-AS130)/AS130*100)</f>
        <v>0</v>
      </c>
      <c r="AV130" s="4591"/>
      <c r="AW130" s="4592"/>
      <c r="AX130" s="1102">
        <f>IF(AV130=0,0,(AW130-AV130)/AV130*100)</f>
        <v>0</v>
      </c>
      <c r="AY130" s="4591"/>
      <c r="AZ130" s="4592"/>
      <c r="BA130" s="1102">
        <f>IF(AY130=0,0,(AZ130-AY130)/AY130*100)</f>
        <v>0</v>
      </c>
      <c r="BB130" s="4591"/>
      <c r="BC130" s="4592"/>
      <c r="BD130" s="1102">
        <f>IF(BB130=0,0,(BC130-BB130)/BB130*100)</f>
        <v>0</v>
      </c>
      <c r="BE130" s="4591"/>
      <c r="BF130" s="4592"/>
      <c r="BG130" s="1102">
        <f>IF(BE130=0,0,(BF130-BE130)/BE130*100)</f>
        <v>0</v>
      </c>
      <c r="BH130" s="4591"/>
      <c r="BI130" s="4592"/>
      <c r="BJ130" s="1102">
        <f>IF(BH130=0,0,(BI130-BH130)/BH130*100)</f>
        <v>0</v>
      </c>
      <c r="BK130" s="4591"/>
      <c r="BL130" s="4592"/>
      <c r="BM130" s="1102">
        <f>IF(BK130=0,0,(BL130-BK130)/BK130*100)</f>
        <v>0</v>
      </c>
      <c r="BN130" s="4591"/>
      <c r="BO130" s="4592"/>
      <c r="BP130" s="1102">
        <f>IF(BN130=0,0,(BO130-BN130)/BN130*100)</f>
        <v>0</v>
      </c>
      <c r="BQ130" s="4591"/>
      <c r="BR130" s="4592"/>
      <c r="BS130" s="1102">
        <f>IF(BQ130=0,0,(BR130-BQ130)/BQ130*100)</f>
        <v>0</v>
      </c>
      <c r="BT130" s="4591"/>
      <c r="BU130" s="4592"/>
      <c r="BV130" s="1102">
        <f>IF(BT130=0,0,(BU130-BT130)/BT130*100)</f>
        <v>0</v>
      </c>
      <c r="BW130" s="4591"/>
      <c r="BX130" s="4592"/>
      <c r="BY130" s="1102">
        <f>IF(BW130=0,0,(BX130-BW130)/BW130*100)</f>
        <v>0</v>
      </c>
      <c r="BZ130" s="4591"/>
      <c r="CA130" s="4592"/>
      <c r="CB130" s="1102">
        <f>IF(BZ130=0,0,(CA130-BZ130)/BZ130*100)</f>
        <v>0</v>
      </c>
      <c r="CC130" s="4591"/>
      <c r="CD130" s="4592"/>
      <c r="CE130" s="1102">
        <f>IF(CC130=0,0,(CD130-CC130)/CC130*100)</f>
        <v>0</v>
      </c>
      <c r="CF130" s="4591"/>
      <c r="CG130" s="4592"/>
      <c r="CH130" s="1102">
        <f>IF(CF130=0,0,(CG130-CF130)/CF130*100)</f>
        <v>0</v>
      </c>
      <c r="CI130" s="4591"/>
      <c r="CJ130" s="4592"/>
      <c r="CK130" s="1102">
        <f>IF(CI130=0,0,(CJ130-CI130)/CI130*100)</f>
        <v>0</v>
      </c>
      <c r="CL130" s="4591"/>
      <c r="CM130" s="4592"/>
      <c r="CN130" s="1102">
        <f>IF(CL130=0,0,(CM130-CL130)/CL130*100)</f>
        <v>0</v>
      </c>
      <c r="CO130" s="4591"/>
      <c r="CP130" s="4592"/>
      <c r="CQ130" s="1102">
        <f>IF(CO130=0,0,(CP130-CO130)/CO130*100)</f>
        <v>0</v>
      </c>
      <c r="CR130" s="4591"/>
      <c r="CS130" s="4592"/>
      <c r="CT130" s="1102">
        <f>IF(CR130=0,0,(CS130-CR130)/CR130*100)</f>
        <v>0</v>
      </c>
      <c r="CU130" s="4591"/>
      <c r="CV130" s="4592"/>
      <c r="CW130" s="1102">
        <f>IF(CU130=0,0,(CV130-CU130)/CU130*100)</f>
        <v>0</v>
      </c>
      <c r="CX130" s="4591"/>
      <c r="CY130" s="4592"/>
      <c r="CZ130" s="1102">
        <f>IF(CX130=0,0,(CY130-CX130)/CX130*100)</f>
        <v>0</v>
      </c>
      <c r="DA130" s="4591"/>
      <c r="DB130" s="4592"/>
      <c r="DC130" s="1102">
        <f>IF(DA130=0,0,(DB130-DA130)/DA130*100)</f>
        <v>0</v>
      </c>
      <c r="DD130" s="4591"/>
      <c r="DE130" s="4592"/>
      <c r="DF130" s="1102">
        <f>IF(DD130=0,0,(DE130-DD130)/DD130*100)</f>
        <v>0</v>
      </c>
      <c r="DG130" s="4591"/>
      <c r="DH130" s="4592"/>
      <c r="DI130" s="1102">
        <f>IF(DG130=0,0,(DH130-DG130)/DG130*100)</f>
        <v>0</v>
      </c>
      <c r="DJ130" s="4591"/>
      <c r="DK130" s="4592"/>
      <c r="DL130" s="1102">
        <f>IF(DJ130=0,0,(DK130-DJ130)/DJ130*100)</f>
        <v>0</v>
      </c>
      <c r="DM130" s="4591"/>
      <c r="DN130" s="4592"/>
      <c r="DO130" s="1102">
        <f>IF(DM130=0,0,(DN130-DM130)/DM130*100)</f>
        <v>0</v>
      </c>
      <c r="DP130" s="4591"/>
      <c r="DQ130" s="4592"/>
      <c r="DR130" s="1102">
        <f>IF(DP130=0,0,(DQ130-DP130)/DP130*100)</f>
        <v>0</v>
      </c>
      <c r="DS130" s="4591"/>
      <c r="DT130" s="4592"/>
      <c r="DU130" s="1102">
        <f>IF(DS130=0,0,(DT130-DS130)/DS130*100)</f>
        <v>0</v>
      </c>
      <c r="DV130" s="4591"/>
      <c r="DW130" s="4592"/>
      <c r="DX130" s="1102">
        <f>IF(DV130=0,0,(DW130-DV130)/DV130*100)</f>
        <v>0</v>
      </c>
      <c r="DY130" s="4591"/>
      <c r="DZ130" s="4592"/>
      <c r="EA130" s="1102">
        <f>IF(DY130=0,0,(DZ130-DY130)/DY130*100)</f>
        <v>0</v>
      </c>
      <c r="EB130" s="4591"/>
      <c r="EC130" s="4592"/>
      <c r="ED130" s="1102">
        <f>IF(EB130=0,0,(EC130-EB130)/EB130*100)</f>
        <v>0</v>
      </c>
      <c r="EE130" s="4591"/>
      <c r="EF130" s="4592"/>
      <c r="EG130" s="1102">
        <f>IF(EE130=0,0,(EF130-EE130)/EE130*100)</f>
        <v>0</v>
      </c>
      <c r="EH130" s="4591"/>
      <c r="EI130" s="4592"/>
      <c r="EJ130" s="1102">
        <f>IF(EH130=0,0,(EI130-EH130)/EH130*100)</f>
        <v>0</v>
      </c>
      <c r="EK130" s="4591"/>
      <c r="EL130" s="4592"/>
      <c r="EM130" s="1102">
        <f>IF(EK130=0,0,(EL130-EK130)/EK130*100)</f>
        <v>0</v>
      </c>
      <c r="EN130" s="4591"/>
      <c r="EO130" s="4592"/>
      <c r="EP130" s="1102">
        <f>IF(EN130=0,0,(EO130-EN130)/EN130*100)</f>
        <v>0</v>
      </c>
      <c r="EQ130" s="4591"/>
      <c r="ER130" s="4592"/>
      <c r="ES130" s="1102">
        <f>IF(EQ130=0,0,(ER130-EQ130)/EQ130*100)</f>
        <v>0</v>
      </c>
      <c r="ET130" s="4591"/>
      <c r="EU130" s="4592"/>
      <c r="EV130" s="1102">
        <f>IF(ET130=0,0,(EU130-ET130)/ET130*100)</f>
        <v>0</v>
      </c>
      <c r="EW130" s="4591"/>
      <c r="EX130" s="4592"/>
      <c r="EY130" s="1102">
        <f>IF(EW130=0,0,(EX130-EW130)/EW130*100)</f>
        <v>0</v>
      </c>
      <c r="EZ130" s="4591"/>
      <c r="FA130" s="4592"/>
      <c r="FB130" s="1102">
        <f>IF(EZ130=0,0,(FA130-EZ130)/EZ130*100)</f>
        <v>0</v>
      </c>
      <c r="FC130" s="4591"/>
      <c r="FD130" s="4592"/>
      <c r="FE130" s="1102">
        <f>IF(FC130=0,0,(FD130-FC130)/FC130*100)</f>
        <v>0</v>
      </c>
      <c r="FF130" s="4591"/>
      <c r="FG130" s="4592"/>
      <c r="FH130" s="1102">
        <f>IF(FF130=0,0,(FG130-FF130)/FF130*100)</f>
        <v>0</v>
      </c>
      <c r="FI130" s="4591"/>
      <c r="FJ130" s="4592"/>
      <c r="FK130" s="1102">
        <f>IF(FI130=0,0,(FJ130-FI130)/FI130*100)</f>
        <v>0</v>
      </c>
      <c r="FL130" s="4591"/>
      <c r="FM130" s="4592"/>
      <c r="FN130" s="1102">
        <f>IF(FL130=0,0,(FM130-FL130)/FL130*100)</f>
        <v>0</v>
      </c>
      <c r="FO130" s="4591"/>
      <c r="FP130" s="4592"/>
      <c r="FQ130" s="1102">
        <f>IF(FO130=0,0,(FP130-FO130)/FO130*100)</f>
        <v>0</v>
      </c>
      <c r="FR130" s="4591"/>
      <c r="FS130" s="4592"/>
      <c r="FT130" s="1102">
        <f>IF(FR130=0,0,(FS130-FR130)/FR130*100)</f>
        <v>0</v>
      </c>
      <c r="FU130" s="4591"/>
      <c r="FV130" s="4592"/>
      <c r="FW130" s="1102">
        <f>IF(FU130=0,0,(FV130-FU130)/FU130*100)</f>
        <v>0</v>
      </c>
      <c r="FZ130" s="1330" t="s">
        <v>1889</v>
      </c>
      <c r="GA130" s="1330" t="s">
        <v>1888</v>
      </c>
      <c r="GB130" s="1330" cm="1" t="str">
        <f t="array" ref="GB130:GB130">GB129</f>
        <v>Иногородние потребители, получающие воду с НФС пос. Демьяновский (с 01.10. по 31.12.) для населения с НДС</v>
      </c>
    </row>
    <row s="1656" customFormat="1" customHeight="1" ht="17.671875">
      <c r="A131" s="496"/>
      <c r="B131" s="932" cm="1" t="str">
        <f t="array" ref="B131:B131">B129</f>
        <v>true</v>
      </c>
      <c r="C131" s="496"/>
      <c r="D131" s="496"/>
      <c r="E131" s="847">
        <v>15</v>
      </c>
      <c r="F131" s="50" cm="1" t="str">
        <f t="array" ref="F131:F131">OFFSET(E131,-1,1)</f>
        <v>1</v>
      </c>
      <c r="G131" s="496"/>
      <c r="H131" s="496" t="s">
        <v>573</v>
      </c>
      <c r="I131" s="496" cm="1" t="str">
        <f t="array" ref="I131:I131">I129</f>
        <v>Иногородние потребители, получающие воду с НФС пос. Демьяновский (с 01.10. по 31.12.) для населения с НДС</v>
      </c>
      <c r="J131" s="496"/>
      <c r="K131" s="496"/>
      <c r="L131" s="496"/>
      <c r="M131" s="496"/>
      <c r="N131" s="496"/>
      <c r="O131" s="496"/>
      <c r="P131" s="496"/>
      <c r="Q131" s="904"/>
      <c r="R131" s="496"/>
      <c r="S131" s="496"/>
      <c r="T131" s="468" cm="1" t="str">
        <f t="array" ref="T131:T131">T129</f>
        <v>true</v>
      </c>
      <c r="U131" s="496"/>
      <c r="V131" s="496"/>
      <c r="W131" s="496"/>
      <c r="X131" s="1559"/>
      <c r="Y131" s="1559"/>
      <c r="Z131" s="1528"/>
      <c r="AA131" s="1516"/>
      <c r="AB131" s="907" t="s">
        <v>1872</v>
      </c>
      <c r="AC131" s="296" t="s">
        <v>657</v>
      </c>
      <c r="AD131" s="1103"/>
      <c r="AE131" s="1103">
        <v>270.37862</v>
      </c>
      <c r="AF131" s="1104">
        <f>IF(AD131=0,0,(AE131-AD131)/AD131*100)</f>
        <v>0</v>
      </c>
      <c r="AG131" s="4585"/>
      <c r="AH131" s="4585"/>
      <c r="AI131" s="1104">
        <f>IF(AG131=0,0,(AH131-AG131)/AG131*100)</f>
        <v>0</v>
      </c>
      <c r="AJ131" s="4585"/>
      <c r="AK131" s="4585"/>
      <c r="AL131" s="1104">
        <f>IF(AJ131=0,0,(AK131-AJ131)/AJ131*100)</f>
        <v>0</v>
      </c>
      <c r="AM131" s="4585"/>
      <c r="AN131" s="4585"/>
      <c r="AO131" s="1104">
        <f>IF(AM131=0,0,(AN131-AM131)/AM131*100)</f>
        <v>0</v>
      </c>
      <c r="AP131" s="4585"/>
      <c r="AQ131" s="4585"/>
      <c r="AR131" s="1104">
        <f>IF(AP131=0,0,(AQ131-AP131)/AP131*100)</f>
        <v>0</v>
      </c>
      <c r="AS131" s="4585"/>
      <c r="AT131" s="4585"/>
      <c r="AU131" s="1104">
        <f>IF(AS131=0,0,(AT131-AS131)/AS131*100)</f>
        <v>0</v>
      </c>
      <c r="AV131" s="4585"/>
      <c r="AW131" s="4585"/>
      <c r="AX131" s="1104">
        <f>IF(AV131=0,0,(AW131-AV131)/AV131*100)</f>
        <v>0</v>
      </c>
      <c r="AY131" s="4585"/>
      <c r="AZ131" s="4585"/>
      <c r="BA131" s="1104">
        <f>IF(AY131=0,0,(AZ131-AY131)/AY131*100)</f>
        <v>0</v>
      </c>
      <c r="BB131" s="4585"/>
      <c r="BC131" s="4585"/>
      <c r="BD131" s="1104">
        <f>IF(BB131=0,0,(BC131-BB131)/BB131*100)</f>
        <v>0</v>
      </c>
      <c r="BE131" s="4585"/>
      <c r="BF131" s="4585"/>
      <c r="BG131" s="1104">
        <f>IF(BE131=0,0,(BF131-BE131)/BE131*100)</f>
        <v>0</v>
      </c>
      <c r="BH131" s="4585"/>
      <c r="BI131" s="4585"/>
      <c r="BJ131" s="1104">
        <f>IF(BH131=0,0,(BI131-BH131)/BH131*100)</f>
        <v>0</v>
      </c>
      <c r="BK131" s="4585"/>
      <c r="BL131" s="4585"/>
      <c r="BM131" s="1104">
        <f>IF(BK131=0,0,(BL131-BK131)/BK131*100)</f>
        <v>0</v>
      </c>
      <c r="BN131" s="4585"/>
      <c r="BO131" s="4585"/>
      <c r="BP131" s="1104">
        <f>IF(BN131=0,0,(BO131-BN131)/BN131*100)</f>
        <v>0</v>
      </c>
      <c r="BQ131" s="4585"/>
      <c r="BR131" s="4585"/>
      <c r="BS131" s="1104">
        <f>IF(BQ131=0,0,(BR131-BQ131)/BQ131*100)</f>
        <v>0</v>
      </c>
      <c r="BT131" s="4585"/>
      <c r="BU131" s="4585"/>
      <c r="BV131" s="1104">
        <f>IF(BT131=0,0,(BU131-BT131)/BT131*100)</f>
        <v>0</v>
      </c>
      <c r="BW131" s="4585"/>
      <c r="BX131" s="4585"/>
      <c r="BY131" s="1104">
        <f>IF(BW131=0,0,(BX131-BW131)/BW131*100)</f>
        <v>0</v>
      </c>
      <c r="BZ131" s="4585"/>
      <c r="CA131" s="4585"/>
      <c r="CB131" s="1104">
        <f>IF(BZ131=0,0,(CA131-BZ131)/BZ131*100)</f>
        <v>0</v>
      </c>
      <c r="CC131" s="4585"/>
      <c r="CD131" s="4585"/>
      <c r="CE131" s="1104">
        <f>IF(CC131=0,0,(CD131-CC131)/CC131*100)</f>
        <v>0</v>
      </c>
      <c r="CF131" s="4585"/>
      <c r="CG131" s="4585"/>
      <c r="CH131" s="1104">
        <f>IF(CF131=0,0,(CG131-CF131)/CF131*100)</f>
        <v>0</v>
      </c>
      <c r="CI131" s="4585"/>
      <c r="CJ131" s="4585"/>
      <c r="CK131" s="1104">
        <f>IF(CI131=0,0,(CJ131-CI131)/CI131*100)</f>
        <v>0</v>
      </c>
      <c r="CL131" s="4585"/>
      <c r="CM131" s="4585"/>
      <c r="CN131" s="1104">
        <f>IF(CL131=0,0,(CM131-CL131)/CL131*100)</f>
        <v>0</v>
      </c>
      <c r="CO131" s="4585"/>
      <c r="CP131" s="4585"/>
      <c r="CQ131" s="1104">
        <f>IF(CO131=0,0,(CP131-CO131)/CO131*100)</f>
        <v>0</v>
      </c>
      <c r="CR131" s="4585"/>
      <c r="CS131" s="4585"/>
      <c r="CT131" s="1104">
        <f>IF(CR131=0,0,(CS131-CR131)/CR131*100)</f>
        <v>0</v>
      </c>
      <c r="CU131" s="4585"/>
      <c r="CV131" s="4585"/>
      <c r="CW131" s="1104">
        <f>IF(CU131=0,0,(CV131-CU131)/CU131*100)</f>
        <v>0</v>
      </c>
      <c r="CX131" s="4585"/>
      <c r="CY131" s="4585"/>
      <c r="CZ131" s="1104">
        <f>IF(CX131=0,0,(CY131-CX131)/CX131*100)</f>
        <v>0</v>
      </c>
      <c r="DA131" s="4585"/>
      <c r="DB131" s="4585"/>
      <c r="DC131" s="1104">
        <f>IF(DA131=0,0,(DB131-DA131)/DA131*100)</f>
        <v>0</v>
      </c>
      <c r="DD131" s="4585"/>
      <c r="DE131" s="4585"/>
      <c r="DF131" s="1104">
        <f>IF(DD131=0,0,(DE131-DD131)/DD131*100)</f>
        <v>0</v>
      </c>
      <c r="DG131" s="4585"/>
      <c r="DH131" s="4585"/>
      <c r="DI131" s="1104">
        <f>IF(DG131=0,0,(DH131-DG131)/DG131*100)</f>
        <v>0</v>
      </c>
      <c r="DJ131" s="4585"/>
      <c r="DK131" s="4585"/>
      <c r="DL131" s="1104">
        <f>IF(DJ131=0,0,(DK131-DJ131)/DJ131*100)</f>
        <v>0</v>
      </c>
      <c r="DM131" s="4585"/>
      <c r="DN131" s="4585"/>
      <c r="DO131" s="1104">
        <f>IF(DM131=0,0,(DN131-DM131)/DM131*100)</f>
        <v>0</v>
      </c>
      <c r="DP131" s="4585"/>
      <c r="DQ131" s="4585"/>
      <c r="DR131" s="1104">
        <f>IF(DP131=0,0,(DQ131-DP131)/DP131*100)</f>
        <v>0</v>
      </c>
      <c r="DS131" s="4585"/>
      <c r="DT131" s="4585"/>
      <c r="DU131" s="1104">
        <f>IF(DS131=0,0,(DT131-DS131)/DS131*100)</f>
        <v>0</v>
      </c>
      <c r="DV131" s="4585"/>
      <c r="DW131" s="4585"/>
      <c r="DX131" s="1104">
        <f>IF(DV131=0,0,(DW131-DV131)/DV131*100)</f>
        <v>0</v>
      </c>
      <c r="DY131" s="4585"/>
      <c r="DZ131" s="4585"/>
      <c r="EA131" s="1104">
        <f>IF(DY131=0,0,(DZ131-DY131)/DY131*100)</f>
        <v>0</v>
      </c>
      <c r="EB131" s="4585"/>
      <c r="EC131" s="4585"/>
      <c r="ED131" s="1104">
        <f>IF(EB131=0,0,(EC131-EB131)/EB131*100)</f>
        <v>0</v>
      </c>
      <c r="EE131" s="4585"/>
      <c r="EF131" s="4585"/>
      <c r="EG131" s="1104">
        <f>IF(EE131=0,0,(EF131-EE131)/EE131*100)</f>
        <v>0</v>
      </c>
      <c r="EH131" s="4585"/>
      <c r="EI131" s="4585"/>
      <c r="EJ131" s="1104">
        <f>IF(EH131=0,0,(EI131-EH131)/EH131*100)</f>
        <v>0</v>
      </c>
      <c r="EK131" s="4585"/>
      <c r="EL131" s="4585"/>
      <c r="EM131" s="1104">
        <f>IF(EK131=0,0,(EL131-EK131)/EK131*100)</f>
        <v>0</v>
      </c>
      <c r="EN131" s="4585"/>
      <c r="EO131" s="4585"/>
      <c r="EP131" s="1104">
        <f>IF(EN131=0,0,(EO131-EN131)/EN131*100)</f>
        <v>0</v>
      </c>
      <c r="EQ131" s="4585"/>
      <c r="ER131" s="4585"/>
      <c r="ES131" s="1104">
        <f>IF(EQ131=0,0,(ER131-EQ131)/EQ131*100)</f>
        <v>0</v>
      </c>
      <c r="ET131" s="4585"/>
      <c r="EU131" s="4585"/>
      <c r="EV131" s="1104">
        <f>IF(ET131=0,0,(EU131-ET131)/ET131*100)</f>
        <v>0</v>
      </c>
      <c r="EW131" s="4585"/>
      <c r="EX131" s="4585"/>
      <c r="EY131" s="1104">
        <f>IF(EW131=0,0,(EX131-EW131)/EW131*100)</f>
        <v>0</v>
      </c>
      <c r="EZ131" s="4585"/>
      <c r="FA131" s="4585"/>
      <c r="FB131" s="1104">
        <f>IF(EZ131=0,0,(FA131-EZ131)/EZ131*100)</f>
        <v>0</v>
      </c>
      <c r="FC131" s="4585"/>
      <c r="FD131" s="4585"/>
      <c r="FE131" s="1104">
        <f>IF(FC131=0,0,(FD131-FC131)/FC131*100)</f>
        <v>0</v>
      </c>
      <c r="FF131" s="4585"/>
      <c r="FG131" s="4585"/>
      <c r="FH131" s="1104">
        <f>IF(FF131=0,0,(FG131-FF131)/FF131*100)</f>
        <v>0</v>
      </c>
      <c r="FI131" s="4585"/>
      <c r="FJ131" s="4585"/>
      <c r="FK131" s="1104">
        <f>IF(FI131=0,0,(FJ131-FI131)/FI131*100)</f>
        <v>0</v>
      </c>
      <c r="FL131" s="4585"/>
      <c r="FM131" s="4585"/>
      <c r="FN131" s="1104">
        <f>IF(FL131=0,0,(FM131-FL131)/FL131*100)</f>
        <v>0</v>
      </c>
      <c r="FO131" s="4585"/>
      <c r="FP131" s="4585"/>
      <c r="FQ131" s="1104">
        <f>IF(FO131=0,0,(FP131-FO131)/FO131*100)</f>
        <v>0</v>
      </c>
      <c r="FR131" s="4585"/>
      <c r="FS131" s="4585"/>
      <c r="FT131" s="1104">
        <f>IF(FR131=0,0,(FS131-FR131)/FR131*100)</f>
        <v>0</v>
      </c>
      <c r="FU131" s="4585"/>
      <c r="FV131" s="4585"/>
      <c r="FW131" s="1104">
        <f>IF(FU131=0,0,(FV131-FU131)/FU131*100)</f>
        <v>0</v>
      </c>
      <c r="FX131" s="288"/>
      <c r="FY131" s="1328"/>
      <c r="FZ131" s="1063" t="s">
        <v>1890</v>
      </c>
      <c r="GA131" s="1023" t="s">
        <v>1888</v>
      </c>
      <c r="GB131" s="1023" cm="1" t="str">
        <f t="array" ref="GB131:GB131">GB129</f>
        <v>Иногородние потребители, получающие воду с НФС пос. Демьяновский (с 01.10. по 31.12.) для населения с НДС</v>
      </c>
      <c r="GC131" s="1329"/>
      <c r="GD131" s="1329"/>
    </row>
    <row s="1656" customFormat="1" customHeight="1" ht="14.25">
      <c r="A132" s="496"/>
      <c r="B132" s="932" cm="1" t="str">
        <f t="array" ref="B132:B132">B107</f>
        <v>true</v>
      </c>
      <c r="C132" s="496"/>
      <c r="D132" s="496"/>
      <c r="E132" s="847">
        <v>15</v>
      </c>
      <c r="F132" s="50" cm="1" t="str">
        <f t="array" ref="F132:F132">OFFSET(E132,-1,1)</f>
        <v>1</v>
      </c>
      <c r="G132" s="496"/>
      <c r="H132" s="496"/>
      <c r="I132" s="94" t="s">
        <v>1891</v>
      </c>
      <c r="J132" s="496"/>
      <c r="K132" s="496"/>
      <c r="L132" s="496"/>
      <c r="M132" s="496"/>
      <c r="N132" s="496"/>
      <c r="O132" s="496"/>
      <c r="P132" s="496"/>
      <c r="Q132" s="496"/>
      <c r="R132" s="81"/>
      <c r="S132" s="496"/>
      <c r="T132" s="468">
        <f>F132&gt;0</f>
        <v>1</v>
      </c>
      <c r="U132" s="496"/>
      <c r="V132" s="1328"/>
      <c r="W132" s="764" t="s">
        <v>1892</v>
      </c>
      <c r="X132" s="1559"/>
      <c r="Y132" s="1328"/>
      <c r="Z132" s="1528"/>
      <c r="AA132" s="1328"/>
      <c r="AB132" s="256" t="s">
        <v>177</v>
      </c>
      <c r="AC132" s="260"/>
      <c r="AD132" s="1107"/>
      <c r="AE132" s="1107"/>
      <c r="AF132" s="1107"/>
      <c r="AG132" s="1107"/>
      <c r="AH132" s="1107"/>
      <c r="AI132" s="1107"/>
      <c r="AJ132" s="1107"/>
      <c r="AK132" s="1107"/>
      <c r="AL132" s="1107"/>
      <c r="AM132" s="1107"/>
      <c r="AN132" s="1107"/>
      <c r="AO132" s="1107"/>
      <c r="AP132" s="1107"/>
      <c r="AQ132" s="1107"/>
      <c r="AR132" s="1107"/>
      <c r="AS132" s="1107"/>
      <c r="AT132" s="1107"/>
      <c r="AU132" s="1107"/>
      <c r="AV132" s="1107"/>
      <c r="AW132" s="1107"/>
      <c r="AX132" s="1107"/>
      <c r="AY132" s="1107"/>
      <c r="AZ132" s="1107"/>
      <c r="BA132" s="1107"/>
      <c r="BB132" s="1107"/>
      <c r="BC132" s="1107"/>
      <c r="BD132" s="1107"/>
      <c r="BE132" s="1107"/>
      <c r="BF132" s="1107"/>
      <c r="BG132" s="1107"/>
      <c r="BH132" s="1107"/>
      <c r="BI132" s="1107"/>
      <c r="BJ132" s="1107"/>
      <c r="BK132" s="1107"/>
      <c r="BL132" s="1107"/>
      <c r="BM132" s="1107"/>
      <c r="BN132" s="1107"/>
      <c r="BO132" s="1107"/>
      <c r="BP132" s="1107"/>
      <c r="BQ132" s="1107"/>
      <c r="BR132" s="1107"/>
      <c r="BS132" s="1107"/>
      <c r="BT132" s="1107"/>
      <c r="BU132" s="1107"/>
      <c r="BV132" s="1107"/>
      <c r="BW132" s="1107"/>
      <c r="BX132" s="1107"/>
      <c r="BY132" s="1107"/>
      <c r="BZ132" s="1107"/>
      <c r="CA132" s="1107"/>
      <c r="CB132" s="1107"/>
      <c r="CC132" s="1107"/>
      <c r="CD132" s="1107"/>
      <c r="CE132" s="1107"/>
      <c r="CF132" s="1107"/>
      <c r="CG132" s="1107"/>
      <c r="CH132" s="1107"/>
      <c r="CI132" s="1107"/>
      <c r="CJ132" s="1107"/>
      <c r="CK132" s="1107"/>
      <c r="CL132" s="1107"/>
      <c r="CM132" s="1107"/>
      <c r="CN132" s="1107"/>
      <c r="CO132" s="1107"/>
      <c r="CP132" s="1107"/>
      <c r="CQ132" s="1107"/>
      <c r="CR132" s="1107"/>
      <c r="CS132" s="1107"/>
      <c r="CT132" s="1107"/>
      <c r="CU132" s="1107"/>
      <c r="CV132" s="1107"/>
      <c r="CW132" s="1107"/>
      <c r="CX132" s="1107"/>
      <c r="CY132" s="1107"/>
      <c r="CZ132" s="1107"/>
      <c r="DA132" s="1107"/>
      <c r="DB132" s="1107"/>
      <c r="DC132" s="1107"/>
      <c r="DD132" s="1107"/>
      <c r="DE132" s="1107"/>
      <c r="DF132" s="1107"/>
      <c r="DG132" s="1107"/>
      <c r="DH132" s="1107"/>
      <c r="DI132" s="1107"/>
      <c r="DJ132" s="1107"/>
      <c r="DK132" s="1107"/>
      <c r="DL132" s="1107"/>
      <c r="DM132" s="1107"/>
      <c r="DN132" s="1107"/>
      <c r="DO132" s="1107"/>
      <c r="DP132" s="1107"/>
      <c r="DQ132" s="1107"/>
      <c r="DR132" s="1107"/>
      <c r="DS132" s="1107"/>
      <c r="DT132" s="1107"/>
      <c r="DU132" s="1107"/>
      <c r="DV132" s="1107"/>
      <c r="DW132" s="1107"/>
      <c r="DX132" s="1107"/>
      <c r="DY132" s="1107"/>
      <c r="DZ132" s="1107"/>
      <c r="EA132" s="1107"/>
      <c r="EB132" s="1107"/>
      <c r="EC132" s="1107"/>
      <c r="ED132" s="1107"/>
      <c r="EE132" s="1107"/>
      <c r="EF132" s="1107"/>
      <c r="EG132" s="1107"/>
      <c r="EH132" s="1107"/>
      <c r="EI132" s="1107"/>
      <c r="EJ132" s="1107"/>
      <c r="EK132" s="1107"/>
      <c r="EL132" s="1107"/>
      <c r="EM132" s="1107"/>
      <c r="EN132" s="1107"/>
      <c r="EO132" s="1107"/>
      <c r="EP132" s="1107"/>
      <c r="EQ132" s="1107"/>
      <c r="ER132" s="1107"/>
      <c r="ES132" s="1107"/>
      <c r="ET132" s="1107"/>
      <c r="EU132" s="1107"/>
      <c r="EV132" s="1107"/>
      <c r="EW132" s="1107"/>
      <c r="EX132" s="1107"/>
      <c r="EY132" s="1107"/>
      <c r="EZ132" s="1107"/>
      <c r="FA132" s="1107"/>
      <c r="FB132" s="1107"/>
      <c r="FC132" s="1107"/>
      <c r="FD132" s="1107"/>
      <c r="FE132" s="1107"/>
      <c r="FF132" s="1107"/>
      <c r="FG132" s="1107"/>
      <c r="FH132" s="1107"/>
      <c r="FI132" s="1107"/>
      <c r="FJ132" s="1107"/>
      <c r="FK132" s="1107"/>
      <c r="FL132" s="1107"/>
      <c r="FM132" s="1107"/>
      <c r="FN132" s="1107"/>
      <c r="FO132" s="1107"/>
      <c r="FP132" s="1107"/>
      <c r="FQ132" s="1107"/>
      <c r="FR132" s="1107"/>
      <c r="FS132" s="1107"/>
      <c r="FT132" s="1107"/>
      <c r="FU132" s="1107"/>
      <c r="FV132" s="1107"/>
      <c r="FW132" s="1108"/>
      <c r="FX132" s="1328"/>
      <c r="FY132" s="1328"/>
      <c r="FZ132" s="1063" t="s">
        <v>240</v>
      </c>
      <c r="GA132" s="1330"/>
      <c r="GB132" s="1330"/>
      <c r="GC132" s="637" t="s">
        <v>1888</v>
      </c>
      <c r="GD132" s="1329"/>
    </row>
    <row s="1656" customFormat="1" customHeight="1" ht="14.25" hidden="1">
      <c r="A133" s="496"/>
      <c r="B133" s="932">
        <f>AND(R92="двухставочный",NOT(S92))</f>
        <v>0</v>
      </c>
      <c r="C133" s="496"/>
      <c r="D133" s="496"/>
      <c r="E133" s="847">
        <v>15</v>
      </c>
      <c r="F133" s="50" cm="1" t="str">
        <f t="array" ref="F133:F133">OFFSET(E133,-1,1)</f>
        <v>1</v>
      </c>
      <c r="G133" s="496"/>
      <c r="H133" s="496"/>
      <c r="I133" s="496"/>
      <c r="J133" s="496"/>
      <c r="K133" s="496"/>
      <c r="L133" s="496"/>
      <c r="M133" s="496"/>
      <c r="N133" s="496"/>
      <c r="O133" s="496"/>
      <c r="P133" s="496"/>
      <c r="Q133" s="496"/>
      <c r="R133" s="81"/>
      <c r="S133" s="496"/>
      <c r="T133" s="468" cm="1" t="str">
        <f t="array" ref="T133:T133">T132</f>
        <v>true</v>
      </c>
      <c r="U133" s="496"/>
      <c r="V133" s="496"/>
      <c r="W133" s="496"/>
      <c r="X133" s="1559"/>
      <c r="Y133" s="496"/>
      <c r="Z133" s="1528"/>
      <c r="AA133" s="496"/>
      <c r="AB133" s="901" t="s">
        <v>1893</v>
      </c>
      <c r="AC133" s="902"/>
      <c r="AD133" s="1109"/>
      <c r="AE133" s="1109"/>
      <c r="AF133" s="1109"/>
      <c r="AG133" s="1109"/>
      <c r="AH133" s="1109"/>
      <c r="AI133" s="1109"/>
      <c r="AJ133" s="1109"/>
      <c r="AK133" s="1109"/>
      <c r="AL133" s="1109"/>
      <c r="AM133" s="1109"/>
      <c r="AN133" s="1109"/>
      <c r="AO133" s="1109"/>
      <c r="AP133" s="1109"/>
      <c r="AQ133" s="1109"/>
      <c r="AR133" s="1109"/>
      <c r="AS133" s="1109"/>
      <c r="AT133" s="1109"/>
      <c r="AU133" s="1109"/>
      <c r="AV133" s="1109"/>
      <c r="AW133" s="1109"/>
      <c r="AX133" s="1109"/>
      <c r="AY133" s="1109"/>
      <c r="AZ133" s="1109"/>
      <c r="BA133" s="1109"/>
      <c r="BB133" s="1109"/>
      <c r="BC133" s="1109"/>
      <c r="BD133" s="1109"/>
      <c r="BE133" s="1109"/>
      <c r="BF133" s="1109"/>
      <c r="BG133" s="1109"/>
      <c r="BH133" s="1109"/>
      <c r="BI133" s="1109"/>
      <c r="BJ133" s="1109"/>
      <c r="BK133" s="1109"/>
      <c r="BL133" s="1109"/>
      <c r="BM133" s="1109"/>
      <c r="BN133" s="1109"/>
      <c r="BO133" s="1109"/>
      <c r="BP133" s="1109"/>
      <c r="BQ133" s="1109"/>
      <c r="BR133" s="1109"/>
      <c r="BS133" s="1109"/>
      <c r="BT133" s="1109"/>
      <c r="BU133" s="1109"/>
      <c r="BV133" s="1109"/>
      <c r="BW133" s="1109"/>
      <c r="BX133" s="1109"/>
      <c r="BY133" s="1109"/>
      <c r="BZ133" s="1109"/>
      <c r="CA133" s="1109"/>
      <c r="CB133" s="1109"/>
      <c r="CC133" s="1109"/>
      <c r="CD133" s="1109"/>
      <c r="CE133" s="1109"/>
      <c r="CF133" s="1109"/>
      <c r="CG133" s="1109"/>
      <c r="CH133" s="1109"/>
      <c r="CI133" s="1109"/>
      <c r="CJ133" s="1109"/>
      <c r="CK133" s="1109"/>
      <c r="CL133" s="1109"/>
      <c r="CM133" s="1109"/>
      <c r="CN133" s="1109"/>
      <c r="CO133" s="1109"/>
      <c r="CP133" s="1109"/>
      <c r="CQ133" s="1109"/>
      <c r="CR133" s="1109"/>
      <c r="CS133" s="1109"/>
      <c r="CT133" s="1109"/>
      <c r="CU133" s="1109"/>
      <c r="CV133" s="1109"/>
      <c r="CW133" s="1109"/>
      <c r="CX133" s="1109"/>
      <c r="CY133" s="1109"/>
      <c r="CZ133" s="1109"/>
      <c r="DA133" s="1109"/>
      <c r="DB133" s="1109"/>
      <c r="DC133" s="1109"/>
      <c r="DD133" s="1109"/>
      <c r="DE133" s="1109"/>
      <c r="DF133" s="1109"/>
      <c r="DG133" s="1109"/>
      <c r="DH133" s="1109"/>
      <c r="DI133" s="1109"/>
      <c r="DJ133" s="1109"/>
      <c r="DK133" s="1109"/>
      <c r="DL133" s="1109"/>
      <c r="DM133" s="1109"/>
      <c r="DN133" s="1109"/>
      <c r="DO133" s="1109"/>
      <c r="DP133" s="1109"/>
      <c r="DQ133" s="1109"/>
      <c r="DR133" s="1109"/>
      <c r="DS133" s="1109"/>
      <c r="DT133" s="1109"/>
      <c r="DU133" s="1109"/>
      <c r="DV133" s="1109"/>
      <c r="DW133" s="1109"/>
      <c r="DX133" s="1109"/>
      <c r="DY133" s="1109"/>
      <c r="DZ133" s="1109"/>
      <c r="EA133" s="1109"/>
      <c r="EB133" s="1109"/>
      <c r="EC133" s="1109"/>
      <c r="ED133" s="1109"/>
      <c r="EE133" s="1109"/>
      <c r="EF133" s="1109"/>
      <c r="EG133" s="1109"/>
      <c r="EH133" s="1109"/>
      <c r="EI133" s="1109"/>
      <c r="EJ133" s="1109"/>
      <c r="EK133" s="1109"/>
      <c r="EL133" s="1109"/>
      <c r="EM133" s="1109"/>
      <c r="EN133" s="1109"/>
      <c r="EO133" s="1109"/>
      <c r="EP133" s="1109"/>
      <c r="EQ133" s="1109"/>
      <c r="ER133" s="1109"/>
      <c r="ES133" s="1109"/>
      <c r="ET133" s="1109"/>
      <c r="EU133" s="1109"/>
      <c r="EV133" s="1109"/>
      <c r="EW133" s="1109"/>
      <c r="EX133" s="1109"/>
      <c r="EY133" s="1109"/>
      <c r="EZ133" s="1109"/>
      <c r="FA133" s="1109"/>
      <c r="FB133" s="1109"/>
      <c r="FC133" s="1109"/>
      <c r="FD133" s="1109"/>
      <c r="FE133" s="1109"/>
      <c r="FF133" s="1109"/>
      <c r="FG133" s="1109"/>
      <c r="FH133" s="1109"/>
      <c r="FI133" s="1109"/>
      <c r="FJ133" s="1109"/>
      <c r="FK133" s="1109"/>
      <c r="FL133" s="1109"/>
      <c r="FM133" s="1109"/>
      <c r="FN133" s="1109"/>
      <c r="FO133" s="1109"/>
      <c r="FP133" s="1109"/>
      <c r="FQ133" s="1109"/>
      <c r="FR133" s="1109"/>
      <c r="FS133" s="1109"/>
      <c r="FT133" s="1109"/>
      <c r="FU133" s="1109"/>
      <c r="FV133" s="1109"/>
      <c r="FW133" s="1110"/>
      <c r="FX133" s="1328"/>
      <c r="FY133" s="1328"/>
      <c r="FZ133" s="1063" t="s">
        <v>240</v>
      </c>
      <c r="GA133" s="1330"/>
      <c r="GB133" s="1330"/>
      <c r="GC133" s="1329"/>
      <c r="GD133" s="1329"/>
    </row>
    <row s="1656" customFormat="1" customHeight="1" ht="23.25" hidden="1">
      <c r="A134" s="496"/>
      <c r="B134" s="932" cm="1" t="str">
        <f t="array" ref="B134:B134">B133</f>
        <v>false</v>
      </c>
      <c r="C134" s="496"/>
      <c r="D134" s="496"/>
      <c r="E134" s="847">
        <v>24.5</v>
      </c>
      <c r="F134" s="50" cm="1" t="str">
        <f t="array" ref="F134:F134">OFFSET(E134,-1,1)</f>
        <v>1</v>
      </c>
      <c r="G134" s="496"/>
      <c r="H134" s="496"/>
      <c r="I134" s="496"/>
      <c r="J134" s="496"/>
      <c r="K134" s="496"/>
      <c r="L134" s="496"/>
      <c r="M134" s="496"/>
      <c r="N134" s="496"/>
      <c r="O134" s="496"/>
      <c r="P134" s="496"/>
      <c r="Q134" s="496"/>
      <c r="R134" s="496"/>
      <c r="S134" s="496"/>
      <c r="T134" s="468" cm="1" t="str">
        <f t="array" ref="T134:T134">T133</f>
        <v>true</v>
      </c>
      <c r="U134" s="496"/>
      <c r="V134" s="496"/>
      <c r="W134" s="496"/>
      <c r="X134" s="1559"/>
      <c r="Y134" s="496"/>
      <c r="Z134" s="1528"/>
      <c r="AA134" s="496"/>
      <c r="AB134" s="289" t="s">
        <v>1894</v>
      </c>
      <c r="AC134" s="910"/>
      <c r="AD134" s="1111"/>
      <c r="AE134" s="1111"/>
      <c r="AF134" s="1111"/>
      <c r="AG134" s="1111"/>
      <c r="AH134" s="1111"/>
      <c r="AI134" s="1111"/>
      <c r="AJ134" s="1111"/>
      <c r="AK134" s="1111"/>
      <c r="AL134" s="1111"/>
      <c r="AM134" s="1111"/>
      <c r="AN134" s="1111"/>
      <c r="AO134" s="1111"/>
      <c r="AP134" s="1111"/>
      <c r="AQ134" s="1111"/>
      <c r="AR134" s="1111"/>
      <c r="AS134" s="1111"/>
      <c r="AT134" s="1111"/>
      <c r="AU134" s="1111"/>
      <c r="AV134" s="1111"/>
      <c r="AW134" s="1111"/>
      <c r="AX134" s="1111"/>
      <c r="AY134" s="1111"/>
      <c r="AZ134" s="1111"/>
      <c r="BA134" s="1111"/>
      <c r="BB134" s="1111"/>
      <c r="BC134" s="1111"/>
      <c r="BD134" s="1111"/>
      <c r="BE134" s="1111"/>
      <c r="BF134" s="1111"/>
      <c r="BG134" s="1111"/>
      <c r="BH134" s="1111"/>
      <c r="BI134" s="1111"/>
      <c r="BJ134" s="1111"/>
      <c r="BK134" s="1111"/>
      <c r="BL134" s="1111"/>
      <c r="BM134" s="1111"/>
      <c r="BN134" s="1111"/>
      <c r="BO134" s="1111"/>
      <c r="BP134" s="1111"/>
      <c r="BQ134" s="1111"/>
      <c r="BR134" s="1111"/>
      <c r="BS134" s="1111"/>
      <c r="BT134" s="1111"/>
      <c r="BU134" s="1111"/>
      <c r="BV134" s="1111"/>
      <c r="BW134" s="1111"/>
      <c r="BX134" s="1111"/>
      <c r="BY134" s="1111"/>
      <c r="BZ134" s="1111"/>
      <c r="CA134" s="1111"/>
      <c r="CB134" s="1111"/>
      <c r="CC134" s="1111"/>
      <c r="CD134" s="1111"/>
      <c r="CE134" s="1111"/>
      <c r="CF134" s="1111"/>
      <c r="CG134" s="1111"/>
      <c r="CH134" s="1111"/>
      <c r="CI134" s="1111"/>
      <c r="CJ134" s="1111"/>
      <c r="CK134" s="1111"/>
      <c r="CL134" s="1111"/>
      <c r="CM134" s="1111"/>
      <c r="CN134" s="1111"/>
      <c r="CO134" s="1111"/>
      <c r="CP134" s="1111"/>
      <c r="CQ134" s="1111"/>
      <c r="CR134" s="1111"/>
      <c r="CS134" s="1111"/>
      <c r="CT134" s="1111"/>
      <c r="CU134" s="1111"/>
      <c r="CV134" s="1111"/>
      <c r="CW134" s="1111"/>
      <c r="CX134" s="1111"/>
      <c r="CY134" s="1111"/>
      <c r="CZ134" s="1111"/>
      <c r="DA134" s="1111"/>
      <c r="DB134" s="1111"/>
      <c r="DC134" s="1111"/>
      <c r="DD134" s="1111"/>
      <c r="DE134" s="1111"/>
      <c r="DF134" s="1111"/>
      <c r="DG134" s="1111"/>
      <c r="DH134" s="1111"/>
      <c r="DI134" s="1111"/>
      <c r="DJ134" s="1111"/>
      <c r="DK134" s="1111"/>
      <c r="DL134" s="1111"/>
      <c r="DM134" s="1111"/>
      <c r="DN134" s="1111"/>
      <c r="DO134" s="1111"/>
      <c r="DP134" s="1111"/>
      <c r="DQ134" s="1111"/>
      <c r="DR134" s="1111"/>
      <c r="DS134" s="1111"/>
      <c r="DT134" s="1111"/>
      <c r="DU134" s="1111"/>
      <c r="DV134" s="1111"/>
      <c r="DW134" s="1111"/>
      <c r="DX134" s="1111"/>
      <c r="DY134" s="1111"/>
      <c r="DZ134" s="1111"/>
      <c r="EA134" s="1111"/>
      <c r="EB134" s="1111"/>
      <c r="EC134" s="1111"/>
      <c r="ED134" s="1111"/>
      <c r="EE134" s="1111"/>
      <c r="EF134" s="1111"/>
      <c r="EG134" s="1111"/>
      <c r="EH134" s="1111"/>
      <c r="EI134" s="1111"/>
      <c r="EJ134" s="1111"/>
      <c r="EK134" s="1111"/>
      <c r="EL134" s="1111"/>
      <c r="EM134" s="1111"/>
      <c r="EN134" s="1111"/>
      <c r="EO134" s="1111"/>
      <c r="EP134" s="1111"/>
      <c r="EQ134" s="1111"/>
      <c r="ER134" s="1111"/>
      <c r="ES134" s="1111"/>
      <c r="ET134" s="1111"/>
      <c r="EU134" s="1111"/>
      <c r="EV134" s="1111"/>
      <c r="EW134" s="1111"/>
      <c r="EX134" s="1111"/>
      <c r="EY134" s="1111"/>
      <c r="EZ134" s="1111"/>
      <c r="FA134" s="1111"/>
      <c r="FB134" s="1111"/>
      <c r="FC134" s="1111"/>
      <c r="FD134" s="1111"/>
      <c r="FE134" s="1111"/>
      <c r="FF134" s="1111"/>
      <c r="FG134" s="1111"/>
      <c r="FH134" s="1111"/>
      <c r="FI134" s="1111"/>
      <c r="FJ134" s="1111"/>
      <c r="FK134" s="1111"/>
      <c r="FL134" s="1111"/>
      <c r="FM134" s="1111"/>
      <c r="FN134" s="1111"/>
      <c r="FO134" s="1111"/>
      <c r="FP134" s="1111"/>
      <c r="FQ134" s="1111"/>
      <c r="FR134" s="1111"/>
      <c r="FS134" s="1111"/>
      <c r="FT134" s="1111"/>
      <c r="FU134" s="1111"/>
      <c r="FV134" s="1111"/>
      <c r="FW134" s="1112"/>
      <c r="FX134" s="1328"/>
      <c r="FY134" s="1328"/>
      <c r="FZ134" s="1063" t="s">
        <v>240</v>
      </c>
      <c r="GA134" s="1330"/>
      <c r="GB134" s="1330"/>
      <c r="GC134" s="1329"/>
      <c r="GD134" s="1329"/>
    </row>
    <row s="1656" customFormat="1" customHeight="1" ht="14.25" hidden="1">
      <c r="A135" s="496"/>
      <c r="B135" s="932" cm="1" t="str">
        <f t="array" ref="B135:B135">B134</f>
        <v>false</v>
      </c>
      <c r="C135" s="496"/>
      <c r="D135" s="496"/>
      <c r="E135" s="847">
        <v>15</v>
      </c>
      <c r="F135" s="50" cm="1" t="str">
        <f t="array" ref="F135:F135">OFFSET(E135,-1,1)</f>
        <v>1</v>
      </c>
      <c r="G135" s="496"/>
      <c r="H135" s="496" t="s">
        <v>1787</v>
      </c>
      <c r="I135" s="496" t="s">
        <v>1860</v>
      </c>
      <c r="J135" s="496"/>
      <c r="K135" s="496"/>
      <c r="L135" s="496"/>
      <c r="M135" s="496"/>
      <c r="N135" s="496"/>
      <c r="O135" s="496"/>
      <c r="P135" s="496"/>
      <c r="Q135" s="496"/>
      <c r="R135" s="496"/>
      <c r="S135" s="496"/>
      <c r="T135" s="468" cm="1" t="str">
        <f t="array" ref="T135:T135">T134</f>
        <v>true</v>
      </c>
      <c r="U135" s="496"/>
      <c r="V135" s="496"/>
      <c r="W135" s="496"/>
      <c r="X135" s="1559"/>
      <c r="Y135" s="496"/>
      <c r="Z135" s="1528"/>
      <c r="AA135" s="496"/>
      <c r="AB135" s="911" t="s">
        <v>1895</v>
      </c>
      <c r="AC135" s="871" t="s">
        <v>1862</v>
      </c>
      <c r="AD135" s="4591">
        <f>IF(AD137=0,0,(AD136*AD137+AD138*AD139*IF(god=2026,9,6))/AD137)</f>
        <v>0</v>
      </c>
      <c r="AE135" s="4591">
        <f>IF(AE137=0,0,(AE136*AE137+AE138*AE139*IF(god=2026,9,6))/AE137)</f>
        <v>0</v>
      </c>
      <c r="AF135" s="1102">
        <f>IF(AD135=0,0,(AE135-AD135)/AD135*100)</f>
        <v>0</v>
      </c>
      <c r="AG135" s="4591">
        <f>IF(AG137=0,0,(AG136*AG137+AG138*AG139*IF(god=2025,9,6))/AG137)</f>
        <v>0</v>
      </c>
      <c r="AH135" s="4591">
        <f>IF(AH137=0,0,(AH136*AH137+AH138*AH139*IF(god=2025,9,6))/AH137)</f>
        <v>0</v>
      </c>
      <c r="AI135" s="1102">
        <f>IF(AG135=0,0,(AH135-AG135)/AG135*100)</f>
        <v>0</v>
      </c>
      <c r="AJ135" s="4591">
        <f>IF(AJ137=0,0,(AJ136*AJ137+AJ138*AJ139*6)/AJ137)</f>
        <v>0</v>
      </c>
      <c r="AK135" s="4591">
        <f>IF(AK137=0,0,(AK136*AK137+AK138*AK139*6)/AK137)</f>
        <v>0</v>
      </c>
      <c r="AL135" s="1102">
        <f>IF(AJ135=0,0,(AK135-AJ135)/AJ135*100)</f>
        <v>0</v>
      </c>
      <c r="AM135" s="4591">
        <f>IF(AM137=0,0,(AM136*AM137+AM138*AM139*6)/AM137)</f>
        <v>0</v>
      </c>
      <c r="AN135" s="4591">
        <f>IF(AN137=0,0,(AN136*AN137+AN138*AN139*6)/AN137)</f>
        <v>0</v>
      </c>
      <c r="AO135" s="1102">
        <f>IF(AM135=0,0,(AN135-AM135)/AM135*100)</f>
        <v>0</v>
      </c>
      <c r="AP135" s="4591">
        <f>IF(AP137=0,0,(AP136*AP137+AP138*AP139*6)/AP137)</f>
        <v>0</v>
      </c>
      <c r="AQ135" s="4591">
        <f>IF(AQ137=0,0,(AQ136*AQ137+AQ138*AQ139*6)/AQ137)</f>
        <v>0</v>
      </c>
      <c r="AR135" s="1102">
        <f>IF(AP135=0,0,(AQ135-AP135)/AP135*100)</f>
        <v>0</v>
      </c>
      <c r="AS135" s="4591">
        <f>IF(AS137=0,0,(AS136*AS137+AS138*AS139*6)/AS137)</f>
        <v>0</v>
      </c>
      <c r="AT135" s="4591">
        <f>IF(AT137=0,0,(AT136*AT137+AT138*AT139*6)/AT137)</f>
        <v>0</v>
      </c>
      <c r="AU135" s="1102">
        <f>IF(AS135=0,0,(AT135-AS135)/AS135*100)</f>
        <v>0</v>
      </c>
      <c r="AV135" s="4591">
        <f>IF(AV137=0,0,(AV136*AV137+AV138*AV139*6)/AV137)</f>
        <v>0</v>
      </c>
      <c r="AW135" s="4591">
        <f>IF(AW137=0,0,(AW136*AW137+AW138*AW139*6)/AW137)</f>
        <v>0</v>
      </c>
      <c r="AX135" s="1102">
        <f>IF(AV135=0,0,(AW135-AV135)/AV135*100)</f>
        <v>0</v>
      </c>
      <c r="AY135" s="4591">
        <f>IF(AY137=0,0,(AY136*AY137+AY138*AY139*6)/AY137)</f>
        <v>0</v>
      </c>
      <c r="AZ135" s="4591">
        <f>IF(AZ137=0,0,(AZ136*AZ137+AZ138*AZ139*6)/AZ137)</f>
        <v>0</v>
      </c>
      <c r="BA135" s="1102">
        <f>IF(AY135=0,0,(AZ135-AY135)/AY135*100)</f>
        <v>0</v>
      </c>
      <c r="BB135" s="4591">
        <f>IF(BB137=0,0,(BB136*BB137+BB138*BB139*6)/BB137)</f>
        <v>0</v>
      </c>
      <c r="BC135" s="4591">
        <f>IF(BC137=0,0,(BC136*BC137+BC138*BC139*6)/BC137)</f>
        <v>0</v>
      </c>
      <c r="BD135" s="1102">
        <f>IF(BB135=0,0,(BC135-BB135)/BB135*100)</f>
        <v>0</v>
      </c>
      <c r="BE135" s="4591">
        <f>IF(BE137=0,0,(BE136*BE137+BE138*BE139*6)/BE137)</f>
        <v>0</v>
      </c>
      <c r="BF135" s="4591">
        <f>IF(BF137=0,0,(BF136*BF137+BF138*BF139*6)/BF137)</f>
        <v>0</v>
      </c>
      <c r="BG135" s="1102">
        <f>IF(BE135=0,0,(BF135-BE135)/BE135*100)</f>
        <v>0</v>
      </c>
      <c r="BH135" s="4591">
        <f>IF(BH137=0,0,(BH136*BH137+BH138*BH139*6)/BH137)</f>
        <v>0</v>
      </c>
      <c r="BI135" s="4591">
        <f>IF(BI137=0,0,(BI136*BI137+BI138*BI139*6)/BI137)</f>
        <v>0</v>
      </c>
      <c r="BJ135" s="1102">
        <f>IF(BH135=0,0,(BI135-BH135)/BH135*100)</f>
        <v>0</v>
      </c>
      <c r="BK135" s="4591">
        <f>IF(BK137=0,0,(BK136*BK137+BK138*BK139*6)/BK137)</f>
        <v>0</v>
      </c>
      <c r="BL135" s="4591">
        <f>IF(BL137=0,0,(BL136*BL137+BL138*BL139*6)/BL137)</f>
        <v>0</v>
      </c>
      <c r="BM135" s="1102">
        <f>IF(BK135=0,0,(BL135-BK135)/BK135*100)</f>
        <v>0</v>
      </c>
      <c r="BN135" s="4591">
        <f>IF(BN137=0,0,(BN136*BN137+BN138*BN139*6)/BN137)</f>
        <v>0</v>
      </c>
      <c r="BO135" s="4591">
        <f>IF(BO137=0,0,(BO136*BO137+BO138*BO139*6)/BO137)</f>
        <v>0</v>
      </c>
      <c r="BP135" s="1102">
        <f>IF(BN135=0,0,(BO135-BN135)/BN135*100)</f>
        <v>0</v>
      </c>
      <c r="BQ135" s="4591">
        <f>IF(BQ137=0,0,(BQ136*BQ137+BQ138*BQ139*6)/BQ137)</f>
        <v>0</v>
      </c>
      <c r="BR135" s="4591">
        <f>IF(BR137=0,0,(BR136*BR137+BR138*BR139*6)/BR137)</f>
        <v>0</v>
      </c>
      <c r="BS135" s="1102">
        <f>IF(BQ135=0,0,(BR135-BQ135)/BQ135*100)</f>
        <v>0</v>
      </c>
      <c r="BT135" s="4591">
        <f>IF(BT137=0,0,(BT136*BT137+BT138*BT139*6)/BT137)</f>
        <v>0</v>
      </c>
      <c r="BU135" s="4591">
        <f>IF(BU137=0,0,(BU136*BU137+BU138*BU139*6)/BU137)</f>
        <v>0</v>
      </c>
      <c r="BV135" s="1102">
        <f>IF(BT135=0,0,(BU135-BT135)/BT135*100)</f>
        <v>0</v>
      </c>
      <c r="BW135" s="4591">
        <f>IF(BW137=0,0,(BW136*BW137+BW138*BW139*6)/BW137)</f>
        <v>0</v>
      </c>
      <c r="BX135" s="4591">
        <f>IF(BX137=0,0,(BX136*BX137+BX138*BX139*6)/BX137)</f>
        <v>0</v>
      </c>
      <c r="BY135" s="1102">
        <f>IF(BW135=0,0,(BX135-BW135)/BW135*100)</f>
        <v>0</v>
      </c>
      <c r="BZ135" s="4591">
        <f>IF(BZ137=0,0,(BZ136*BZ137+BZ138*BZ139*6)/BZ137)</f>
        <v>0</v>
      </c>
      <c r="CA135" s="4591">
        <f>IF(CA137=0,0,(CA136*CA137+CA138*CA139*6)/CA137)</f>
        <v>0</v>
      </c>
      <c r="CB135" s="1102">
        <f>IF(BZ135=0,0,(CA135-BZ135)/BZ135*100)</f>
        <v>0</v>
      </c>
      <c r="CC135" s="4591">
        <f>IF(CC137=0,0,(CC136*CC137+CC138*CC139*6)/CC137)</f>
        <v>0</v>
      </c>
      <c r="CD135" s="4591">
        <f>IF(CD137=0,0,(CD136*CD137+CD138*CD139*6)/CD137)</f>
        <v>0</v>
      </c>
      <c r="CE135" s="1102">
        <f>IF(CC135=0,0,(CD135-CC135)/CC135*100)</f>
        <v>0</v>
      </c>
      <c r="CF135" s="4591">
        <f>IF(CF137=0,0,(CF136*CF137+CF138*CF139*6)/CF137)</f>
        <v>0</v>
      </c>
      <c r="CG135" s="4591">
        <f>IF(CG137=0,0,(CG136*CG137+CG138*CG139*6)/CG137)</f>
        <v>0</v>
      </c>
      <c r="CH135" s="1102">
        <f>IF(CF135=0,0,(CG135-CF135)/CF135*100)</f>
        <v>0</v>
      </c>
      <c r="CI135" s="4591">
        <f>IF(CI137=0,0,(CI136*CI137+CI138*CI139*6)/CI137)</f>
        <v>0</v>
      </c>
      <c r="CJ135" s="4591">
        <f>IF(CJ137=0,0,(CJ136*CJ137+CJ138*CJ139*6)/CJ137)</f>
        <v>0</v>
      </c>
      <c r="CK135" s="1102">
        <f>IF(CI135=0,0,(CJ135-CI135)/CI135*100)</f>
        <v>0</v>
      </c>
      <c r="CL135" s="4591">
        <f>IF(CL137=0,0,(CL136*CL137+CL138*CL139*6)/CL137)</f>
        <v>0</v>
      </c>
      <c r="CM135" s="4591">
        <f>IF(CM137=0,0,(CM136*CM137+CM138*CM139*6)/CM137)</f>
        <v>0</v>
      </c>
      <c r="CN135" s="1102">
        <f>IF(CL135=0,0,(CM135-CL135)/CL135*100)</f>
        <v>0</v>
      </c>
      <c r="CO135" s="4591">
        <f>IF(CO137=0,0,(CO136*CO137+CO138*CO139*6)/CO137)</f>
        <v>0</v>
      </c>
      <c r="CP135" s="4591">
        <f>IF(CP137=0,0,(CP136*CP137+CP138*CP139*6)/CP137)</f>
        <v>0</v>
      </c>
      <c r="CQ135" s="1102">
        <f>IF(CO135=0,0,(CP135-CO135)/CO135*100)</f>
        <v>0</v>
      </c>
      <c r="CR135" s="4591">
        <f>IF(CR137=0,0,(CR136*CR137+CR138*CR139*6)/CR137)</f>
        <v>0</v>
      </c>
      <c r="CS135" s="4591">
        <f>IF(CS137=0,0,(CS136*CS137+CS138*CS139*6)/CS137)</f>
        <v>0</v>
      </c>
      <c r="CT135" s="1102">
        <f>IF(CR135=0,0,(CS135-CR135)/CR135*100)</f>
        <v>0</v>
      </c>
      <c r="CU135" s="4591">
        <f>IF(CU137=0,0,(CU136*CU137+CU138*CU139*6)/CU137)</f>
        <v>0</v>
      </c>
      <c r="CV135" s="4591">
        <f>IF(CV137=0,0,(CV136*CV137+CV138*CV139*6)/CV137)</f>
        <v>0</v>
      </c>
      <c r="CW135" s="1102">
        <f>IF(CU135=0,0,(CV135-CU135)/CU135*100)</f>
        <v>0</v>
      </c>
      <c r="CX135" s="4591">
        <f>IF(CX137=0,0,(CX136*CX137+CX138*CX139*6)/CX137)</f>
        <v>0</v>
      </c>
      <c r="CY135" s="4591">
        <f>IF(CY137=0,0,(CY136*CY137+CY138*CY139*6)/CY137)</f>
        <v>0</v>
      </c>
      <c r="CZ135" s="1102">
        <f>IF(CX135=0,0,(CY135-CX135)/CX135*100)</f>
        <v>0</v>
      </c>
      <c r="DA135" s="4591">
        <f>IF(DA137=0,0,(DA136*DA137+DA138*DA139*6)/DA137)</f>
        <v>0</v>
      </c>
      <c r="DB135" s="4591">
        <f>IF(DB137=0,0,(DB136*DB137+DB138*DB139*6)/DB137)</f>
        <v>0</v>
      </c>
      <c r="DC135" s="1102">
        <f>IF(DA135=0,0,(DB135-DA135)/DA135*100)</f>
        <v>0</v>
      </c>
      <c r="DD135" s="4591">
        <f>IF(DD137=0,0,(DD136*DD137+DD138*DD139*6)/DD137)</f>
        <v>0</v>
      </c>
      <c r="DE135" s="4591">
        <f>IF(DE137=0,0,(DE136*DE137+DE138*DE139*6)/DE137)</f>
        <v>0</v>
      </c>
      <c r="DF135" s="1102">
        <f>IF(DD135=0,0,(DE135-DD135)/DD135*100)</f>
        <v>0</v>
      </c>
      <c r="DG135" s="4591">
        <f>IF(DG137=0,0,(DG136*DG137+DG138*DG139*6)/DG137)</f>
        <v>0</v>
      </c>
      <c r="DH135" s="4591">
        <f>IF(DH137=0,0,(DH136*DH137+DH138*DH139*6)/DH137)</f>
        <v>0</v>
      </c>
      <c r="DI135" s="1102">
        <f>IF(DG135=0,0,(DH135-DG135)/DG135*100)</f>
        <v>0</v>
      </c>
      <c r="DJ135" s="4591">
        <f>IF(DJ137=0,0,(DJ136*DJ137+DJ138*DJ139*6)/DJ137)</f>
        <v>0</v>
      </c>
      <c r="DK135" s="4591">
        <f>IF(DK137=0,0,(DK136*DK137+DK138*DK139*6)/DK137)</f>
        <v>0</v>
      </c>
      <c r="DL135" s="1102">
        <f>IF(DJ135=0,0,(DK135-DJ135)/DJ135*100)</f>
        <v>0</v>
      </c>
      <c r="DM135" s="4591">
        <f>IF(DM137=0,0,(DM136*DM137+DM138*DM139*6)/DM137)</f>
        <v>0</v>
      </c>
      <c r="DN135" s="4591">
        <f>IF(DN137=0,0,(DN136*DN137+DN138*DN139*6)/DN137)</f>
        <v>0</v>
      </c>
      <c r="DO135" s="1102">
        <f>IF(DM135=0,0,(DN135-DM135)/DM135*100)</f>
        <v>0</v>
      </c>
      <c r="DP135" s="4591">
        <f>IF(DP137=0,0,(DP136*DP137+DP138*DP139*6)/DP137)</f>
        <v>0</v>
      </c>
      <c r="DQ135" s="4591">
        <f>IF(DQ137=0,0,(DQ136*DQ137+DQ138*DQ139*6)/DQ137)</f>
        <v>0</v>
      </c>
      <c r="DR135" s="1102">
        <f>IF(DP135=0,0,(DQ135-DP135)/DP135*100)</f>
        <v>0</v>
      </c>
      <c r="DS135" s="4591">
        <f>IF(DS137=0,0,(DS136*DS137+DS138*DS139*6)/DS137)</f>
        <v>0</v>
      </c>
      <c r="DT135" s="4591">
        <f>IF(DT137=0,0,(DT136*DT137+DT138*DT139*6)/DT137)</f>
        <v>0</v>
      </c>
      <c r="DU135" s="1102">
        <f>IF(DS135=0,0,(DT135-DS135)/DS135*100)</f>
        <v>0</v>
      </c>
      <c r="DV135" s="4591">
        <f>IF(DV137=0,0,(DV136*DV137+DV138*DV139*6)/DV137)</f>
        <v>0</v>
      </c>
      <c r="DW135" s="4591">
        <f>IF(DW137=0,0,(DW136*DW137+DW138*DW139*6)/DW137)</f>
        <v>0</v>
      </c>
      <c r="DX135" s="1102">
        <f>IF(DV135=0,0,(DW135-DV135)/DV135*100)</f>
        <v>0</v>
      </c>
      <c r="DY135" s="4591">
        <f>IF(DY137=0,0,(DY136*DY137+DY138*DY139*6)/DY137)</f>
        <v>0</v>
      </c>
      <c r="DZ135" s="4591">
        <f>IF(DZ137=0,0,(DZ136*DZ137+DZ138*DZ139*6)/DZ137)</f>
        <v>0</v>
      </c>
      <c r="EA135" s="1102">
        <f>IF(DY135=0,0,(DZ135-DY135)/DY135*100)</f>
        <v>0</v>
      </c>
      <c r="EB135" s="4591">
        <f>IF(EB137=0,0,(EB136*EB137+EB138*EB139*6)/EB137)</f>
        <v>0</v>
      </c>
      <c r="EC135" s="4591">
        <f>IF(EC137=0,0,(EC136*EC137+EC138*EC139*6)/EC137)</f>
        <v>0</v>
      </c>
      <c r="ED135" s="1102">
        <f>IF(EB135=0,0,(EC135-EB135)/EB135*100)</f>
        <v>0</v>
      </c>
      <c r="EE135" s="4591">
        <f>IF(EE137=0,0,(EE136*EE137+EE138*EE139*6)/EE137)</f>
        <v>0</v>
      </c>
      <c r="EF135" s="4591">
        <f>IF(EF137=0,0,(EF136*EF137+EF138*EF139*6)/EF137)</f>
        <v>0</v>
      </c>
      <c r="EG135" s="1102">
        <f>IF(EE135=0,0,(EF135-EE135)/EE135*100)</f>
        <v>0</v>
      </c>
      <c r="EH135" s="4591">
        <f>IF(EH137=0,0,(EH136*EH137+EH138*EH139*6)/EH137)</f>
        <v>0</v>
      </c>
      <c r="EI135" s="4591">
        <f>IF(EI137=0,0,(EI136*EI137+EI138*EI139*6)/EI137)</f>
        <v>0</v>
      </c>
      <c r="EJ135" s="1102">
        <f>IF(EH135=0,0,(EI135-EH135)/EH135*100)</f>
        <v>0</v>
      </c>
      <c r="EK135" s="4591">
        <f>IF(EK137=0,0,(EK136*EK137+EK138*EK139*6)/EK137)</f>
        <v>0</v>
      </c>
      <c r="EL135" s="4591">
        <f>IF(EL137=0,0,(EL136*EL137+EL138*EL139*6)/EL137)</f>
        <v>0</v>
      </c>
      <c r="EM135" s="1102">
        <f>IF(EK135=0,0,(EL135-EK135)/EK135*100)</f>
        <v>0</v>
      </c>
      <c r="EN135" s="4591">
        <f>IF(EN137=0,0,(EN136*EN137+EN138*EN139*6)/EN137)</f>
        <v>0</v>
      </c>
      <c r="EO135" s="4591">
        <f>IF(EO137=0,0,(EO136*EO137+EO138*EO139*6)/EO137)</f>
        <v>0</v>
      </c>
      <c r="EP135" s="1102">
        <f>IF(EN135=0,0,(EO135-EN135)/EN135*100)</f>
        <v>0</v>
      </c>
      <c r="EQ135" s="4591">
        <f>IF(EQ137=0,0,(EQ136*EQ137+EQ138*EQ139*6)/EQ137)</f>
        <v>0</v>
      </c>
      <c r="ER135" s="4591">
        <f>IF(ER137=0,0,(ER136*ER137+ER138*ER139*6)/ER137)</f>
        <v>0</v>
      </c>
      <c r="ES135" s="1102">
        <f>IF(EQ135=0,0,(ER135-EQ135)/EQ135*100)</f>
        <v>0</v>
      </c>
      <c r="ET135" s="4591">
        <f>IF(ET137=0,0,(ET136*ET137+ET138*ET139*6)/ET137)</f>
        <v>0</v>
      </c>
      <c r="EU135" s="4591">
        <f>IF(EU137=0,0,(EU136*EU137+EU138*EU139*6)/EU137)</f>
        <v>0</v>
      </c>
      <c r="EV135" s="1102">
        <f>IF(ET135=0,0,(EU135-ET135)/ET135*100)</f>
        <v>0</v>
      </c>
      <c r="EW135" s="4591">
        <f>IF(EW137=0,0,(EW136*EW137+EW138*EW139*6)/EW137)</f>
        <v>0</v>
      </c>
      <c r="EX135" s="4591">
        <f>IF(EX137=0,0,(EX136*EX137+EX138*EX139*6)/EX137)</f>
        <v>0</v>
      </c>
      <c r="EY135" s="1102">
        <f>IF(EW135=0,0,(EX135-EW135)/EW135*100)</f>
        <v>0</v>
      </c>
      <c r="EZ135" s="4591">
        <f>IF(EZ137=0,0,(EZ136*EZ137+EZ138*EZ139*6)/EZ137)</f>
        <v>0</v>
      </c>
      <c r="FA135" s="4591">
        <f>IF(FA137=0,0,(FA136*FA137+FA138*FA139*6)/FA137)</f>
        <v>0</v>
      </c>
      <c r="FB135" s="1102">
        <f>IF(EZ135=0,0,(FA135-EZ135)/EZ135*100)</f>
        <v>0</v>
      </c>
      <c r="FC135" s="4591">
        <f>IF(FC137=0,0,(FC136*FC137+FC138*FC139*6)/FC137)</f>
        <v>0</v>
      </c>
      <c r="FD135" s="4591">
        <f>IF(FD137=0,0,(FD136*FD137+FD138*FD139*6)/FD137)</f>
        <v>0</v>
      </c>
      <c r="FE135" s="1102">
        <f>IF(FC135=0,0,(FD135-FC135)/FC135*100)</f>
        <v>0</v>
      </c>
      <c r="FF135" s="4591">
        <f>IF(FF137=0,0,(FF136*FF137+FF138*FF139*6)/FF137)</f>
        <v>0</v>
      </c>
      <c r="FG135" s="4591">
        <f>IF(FG137=0,0,(FG136*FG137+FG138*FG139*6)/FG137)</f>
        <v>0</v>
      </c>
      <c r="FH135" s="1102">
        <f>IF(FF135=0,0,(FG135-FF135)/FF135*100)</f>
        <v>0</v>
      </c>
      <c r="FI135" s="4591">
        <f>IF(FI137=0,0,(FI136*FI137+FI138*FI139*6)/FI137)</f>
        <v>0</v>
      </c>
      <c r="FJ135" s="4591">
        <f>IF(FJ137=0,0,(FJ136*FJ137+FJ138*FJ139*6)/FJ137)</f>
        <v>0</v>
      </c>
      <c r="FK135" s="1102">
        <f>IF(FI135=0,0,(FJ135-FI135)/FI135*100)</f>
        <v>0</v>
      </c>
      <c r="FL135" s="4591">
        <f>IF(FL137=0,0,(FL136*FL137+FL138*FL139*6)/FL137)</f>
        <v>0</v>
      </c>
      <c r="FM135" s="4591">
        <f>IF(FM137=0,0,(FM136*FM137+FM138*FM139*6)/FM137)</f>
        <v>0</v>
      </c>
      <c r="FN135" s="1102">
        <f>IF(FL135=0,0,(FM135-FL135)/FL135*100)</f>
        <v>0</v>
      </c>
      <c r="FO135" s="4591">
        <f>IF(FO137=0,0,(FO136*FO137+FO138*FO139*6)/FO137)</f>
        <v>0</v>
      </c>
      <c r="FP135" s="4591">
        <f>IF(FP137=0,0,(FP136*FP137+FP138*FP139*6)/FP137)</f>
        <v>0</v>
      </c>
      <c r="FQ135" s="1102">
        <f>IF(FO135=0,0,(FP135-FO135)/FO135*100)</f>
        <v>0</v>
      </c>
      <c r="FR135" s="4591">
        <f>IF(FR137=0,0,(FR136*FR137+FR138*FR139*6)/FR137)</f>
        <v>0</v>
      </c>
      <c r="FS135" s="4591">
        <f>IF(FS137=0,0,(FS136*FS137+FS138*FS139*6)/FS137)</f>
        <v>0</v>
      </c>
      <c r="FT135" s="1102">
        <f>IF(FR135=0,0,(FS135-FR135)/FR135*100)</f>
        <v>0</v>
      </c>
      <c r="FU135" s="4591">
        <f>IF(FU137=0,0,(FU136*FU137+FU138*FU139*6)/FU137)</f>
        <v>0</v>
      </c>
      <c r="FV135" s="4591">
        <f>IF(FV137=0,0,(FV136*FV137+FV138*FV139*6)/FV137)</f>
        <v>0</v>
      </c>
      <c r="FW135" s="1102">
        <f>IF(FU135=0,0,(FV135-FU135)/FU135*100)</f>
        <v>0</v>
      </c>
      <c r="FX135" s="1328"/>
      <c r="FY135" s="1328"/>
      <c r="FZ135" s="1063" t="s">
        <v>1896</v>
      </c>
      <c r="GA135" s="1330"/>
      <c r="GB135" s="1330"/>
      <c r="GC135" s="1329"/>
      <c r="GD135" s="1329"/>
    </row>
    <row s="1656" customFormat="1" customHeight="1" ht="14.25" hidden="1">
      <c r="A136" s="496"/>
      <c r="B136" s="932" cm="1" t="str">
        <f t="array" ref="B136:B136">B135</f>
        <v>false</v>
      </c>
      <c r="C136" s="496"/>
      <c r="D136" s="496"/>
      <c r="E136" s="847">
        <v>15</v>
      </c>
      <c r="F136" s="50" cm="1" t="str">
        <f t="array" ref="F136:F136">OFFSET(E136,-1,1)</f>
        <v>1</v>
      </c>
      <c r="G136" s="496"/>
      <c r="H136" s="496" t="s">
        <v>1791</v>
      </c>
      <c r="I136" s="496" t="s">
        <v>1860</v>
      </c>
      <c r="J136" s="496"/>
      <c r="K136" s="496"/>
      <c r="L136" s="496"/>
      <c r="M136" s="496"/>
      <c r="N136" s="496"/>
      <c r="O136" s="496"/>
      <c r="P136" s="496"/>
      <c r="Q136" s="496"/>
      <c r="R136" s="496"/>
      <c r="S136" s="496"/>
      <c r="T136" s="468" cm="1" t="str">
        <f t="array" ref="T136:T136">T135</f>
        <v>true</v>
      </c>
      <c r="U136" s="496"/>
      <c r="V136" s="496"/>
      <c r="W136" s="496"/>
      <c r="X136" s="1559"/>
      <c r="Y136" s="496"/>
      <c r="Z136" s="1528"/>
      <c r="AA136" s="496"/>
      <c r="AB136" s="911" t="str">
        <f>"ставка платы за "&amp;IF(Q92="Водоснабжение","потребление 1 куб.м холодной воды","объем принятых сточных вод")</f>
        <v>ставка платы за потребление 1 куб.м холодной воды</v>
      </c>
      <c r="AC136" s="871" t="s">
        <v>1862</v>
      </c>
      <c r="AD136" s="4591"/>
      <c r="AE136" s="4591"/>
      <c r="AF136" s="1102">
        <f>IF(AD136=0,0,(AE136-AD136)/AD136*100)</f>
        <v>0</v>
      </c>
      <c r="AG136" s="4591"/>
      <c r="AH136" s="4591"/>
      <c r="AI136" s="1102">
        <f>IF(AG136=0,0,(AH136-AG136)/AG136*100)</f>
        <v>0</v>
      </c>
      <c r="AJ136" s="4591"/>
      <c r="AK136" s="4591"/>
      <c r="AL136" s="1102">
        <f>IF(AJ136=0,0,(AK136-AJ136)/AJ136*100)</f>
        <v>0</v>
      </c>
      <c r="AM136" s="4591"/>
      <c r="AN136" s="4591"/>
      <c r="AO136" s="1102">
        <f>IF(AM136=0,0,(AN136-AM136)/AM136*100)</f>
        <v>0</v>
      </c>
      <c r="AP136" s="4591"/>
      <c r="AQ136" s="4591"/>
      <c r="AR136" s="1102">
        <f>IF(AP136=0,0,(AQ136-AP136)/AP136*100)</f>
        <v>0</v>
      </c>
      <c r="AS136" s="4591"/>
      <c r="AT136" s="4591"/>
      <c r="AU136" s="1102">
        <f>IF(AS136=0,0,(AT136-AS136)/AS136*100)</f>
        <v>0</v>
      </c>
      <c r="AV136" s="4591"/>
      <c r="AW136" s="4591"/>
      <c r="AX136" s="1102">
        <f>IF(AV136=0,0,(AW136-AV136)/AV136*100)</f>
        <v>0</v>
      </c>
      <c r="AY136" s="4591"/>
      <c r="AZ136" s="4591"/>
      <c r="BA136" s="1102">
        <f>IF(AY136=0,0,(AZ136-AY136)/AY136*100)</f>
        <v>0</v>
      </c>
      <c r="BB136" s="4591"/>
      <c r="BC136" s="4591"/>
      <c r="BD136" s="1102">
        <f>IF(BB136=0,0,(BC136-BB136)/BB136*100)</f>
        <v>0</v>
      </c>
      <c r="BE136" s="4591"/>
      <c r="BF136" s="4591"/>
      <c r="BG136" s="1102">
        <f>IF(BE136=0,0,(BF136-BE136)/BE136*100)</f>
        <v>0</v>
      </c>
      <c r="BH136" s="4591"/>
      <c r="BI136" s="4591"/>
      <c r="BJ136" s="1102">
        <f>IF(BH136=0,0,(BI136-BH136)/BH136*100)</f>
        <v>0</v>
      </c>
      <c r="BK136" s="4591"/>
      <c r="BL136" s="4591"/>
      <c r="BM136" s="1102">
        <f>IF(BK136=0,0,(BL136-BK136)/BK136*100)</f>
        <v>0</v>
      </c>
      <c r="BN136" s="4591"/>
      <c r="BO136" s="4591"/>
      <c r="BP136" s="1102">
        <f>IF(BN136=0,0,(BO136-BN136)/BN136*100)</f>
        <v>0</v>
      </c>
      <c r="BQ136" s="4591"/>
      <c r="BR136" s="4591"/>
      <c r="BS136" s="1102">
        <f>IF(BQ136=0,0,(BR136-BQ136)/BQ136*100)</f>
        <v>0</v>
      </c>
      <c r="BT136" s="4591"/>
      <c r="BU136" s="4591"/>
      <c r="BV136" s="1102">
        <f>IF(BT136=0,0,(BU136-BT136)/BT136*100)</f>
        <v>0</v>
      </c>
      <c r="BW136" s="4591"/>
      <c r="BX136" s="4591"/>
      <c r="BY136" s="1102">
        <f>IF(BW136=0,0,(BX136-BW136)/BW136*100)</f>
        <v>0</v>
      </c>
      <c r="BZ136" s="4591"/>
      <c r="CA136" s="4591"/>
      <c r="CB136" s="1102">
        <f>IF(BZ136=0,0,(CA136-BZ136)/BZ136*100)</f>
        <v>0</v>
      </c>
      <c r="CC136" s="4591"/>
      <c r="CD136" s="4591"/>
      <c r="CE136" s="1102">
        <f>IF(CC136=0,0,(CD136-CC136)/CC136*100)</f>
        <v>0</v>
      </c>
      <c r="CF136" s="4591"/>
      <c r="CG136" s="4591"/>
      <c r="CH136" s="1102">
        <f>IF(CF136=0,0,(CG136-CF136)/CF136*100)</f>
        <v>0</v>
      </c>
      <c r="CI136" s="4591"/>
      <c r="CJ136" s="4591"/>
      <c r="CK136" s="1102">
        <f>IF(CI136=0,0,(CJ136-CI136)/CI136*100)</f>
        <v>0</v>
      </c>
      <c r="CL136" s="4591"/>
      <c r="CM136" s="4591"/>
      <c r="CN136" s="1102">
        <f>IF(CL136=0,0,(CM136-CL136)/CL136*100)</f>
        <v>0</v>
      </c>
      <c r="CO136" s="4591"/>
      <c r="CP136" s="4591"/>
      <c r="CQ136" s="1102">
        <f>IF(CO136=0,0,(CP136-CO136)/CO136*100)</f>
        <v>0</v>
      </c>
      <c r="CR136" s="4591"/>
      <c r="CS136" s="4591"/>
      <c r="CT136" s="1102">
        <f>IF(CR136=0,0,(CS136-CR136)/CR136*100)</f>
        <v>0</v>
      </c>
      <c r="CU136" s="4591"/>
      <c r="CV136" s="4591"/>
      <c r="CW136" s="1102">
        <f>IF(CU136=0,0,(CV136-CU136)/CU136*100)</f>
        <v>0</v>
      </c>
      <c r="CX136" s="4591"/>
      <c r="CY136" s="4591"/>
      <c r="CZ136" s="1102">
        <f>IF(CX136=0,0,(CY136-CX136)/CX136*100)</f>
        <v>0</v>
      </c>
      <c r="DA136" s="4591"/>
      <c r="DB136" s="4591"/>
      <c r="DC136" s="1102">
        <f>IF(DA136=0,0,(DB136-DA136)/DA136*100)</f>
        <v>0</v>
      </c>
      <c r="DD136" s="4591"/>
      <c r="DE136" s="4591"/>
      <c r="DF136" s="1102">
        <f>IF(DD136=0,0,(DE136-DD136)/DD136*100)</f>
        <v>0</v>
      </c>
      <c r="DG136" s="4591"/>
      <c r="DH136" s="4591"/>
      <c r="DI136" s="1102">
        <f>IF(DG136=0,0,(DH136-DG136)/DG136*100)</f>
        <v>0</v>
      </c>
      <c r="DJ136" s="4591"/>
      <c r="DK136" s="4591"/>
      <c r="DL136" s="1102">
        <f>IF(DJ136=0,0,(DK136-DJ136)/DJ136*100)</f>
        <v>0</v>
      </c>
      <c r="DM136" s="4591"/>
      <c r="DN136" s="4591"/>
      <c r="DO136" s="1102">
        <f>IF(DM136=0,0,(DN136-DM136)/DM136*100)</f>
        <v>0</v>
      </c>
      <c r="DP136" s="4591"/>
      <c r="DQ136" s="4591"/>
      <c r="DR136" s="1102">
        <f>IF(DP136=0,0,(DQ136-DP136)/DP136*100)</f>
        <v>0</v>
      </c>
      <c r="DS136" s="4591"/>
      <c r="DT136" s="4591"/>
      <c r="DU136" s="1102">
        <f>IF(DS136=0,0,(DT136-DS136)/DS136*100)</f>
        <v>0</v>
      </c>
      <c r="DV136" s="4591"/>
      <c r="DW136" s="4591"/>
      <c r="DX136" s="1102">
        <f>IF(DV136=0,0,(DW136-DV136)/DV136*100)</f>
        <v>0</v>
      </c>
      <c r="DY136" s="4591"/>
      <c r="DZ136" s="4591"/>
      <c r="EA136" s="1102">
        <f>IF(DY136=0,0,(DZ136-DY136)/DY136*100)</f>
        <v>0</v>
      </c>
      <c r="EB136" s="4591"/>
      <c r="EC136" s="4591"/>
      <c r="ED136" s="1102">
        <f>IF(EB136=0,0,(EC136-EB136)/EB136*100)</f>
        <v>0</v>
      </c>
      <c r="EE136" s="4591"/>
      <c r="EF136" s="4591"/>
      <c r="EG136" s="1102">
        <f>IF(EE136=0,0,(EF136-EE136)/EE136*100)</f>
        <v>0</v>
      </c>
      <c r="EH136" s="4591"/>
      <c r="EI136" s="4591"/>
      <c r="EJ136" s="1102">
        <f>IF(EH136=0,0,(EI136-EH136)/EH136*100)</f>
        <v>0</v>
      </c>
      <c r="EK136" s="4591"/>
      <c r="EL136" s="4591"/>
      <c r="EM136" s="1102">
        <f>IF(EK136=0,0,(EL136-EK136)/EK136*100)</f>
        <v>0</v>
      </c>
      <c r="EN136" s="4591"/>
      <c r="EO136" s="4591"/>
      <c r="EP136" s="1102">
        <f>IF(EN136=0,0,(EO136-EN136)/EN136*100)</f>
        <v>0</v>
      </c>
      <c r="EQ136" s="4591"/>
      <c r="ER136" s="4591"/>
      <c r="ES136" s="1102">
        <f>IF(EQ136=0,0,(ER136-EQ136)/EQ136*100)</f>
        <v>0</v>
      </c>
      <c r="ET136" s="4591"/>
      <c r="EU136" s="4591"/>
      <c r="EV136" s="1102">
        <f>IF(ET136=0,0,(EU136-ET136)/ET136*100)</f>
        <v>0</v>
      </c>
      <c r="EW136" s="4591"/>
      <c r="EX136" s="4591"/>
      <c r="EY136" s="1102">
        <f>IF(EW136=0,0,(EX136-EW136)/EW136*100)</f>
        <v>0</v>
      </c>
      <c r="EZ136" s="4591"/>
      <c r="FA136" s="4591"/>
      <c r="FB136" s="1102">
        <f>IF(EZ136=0,0,(FA136-EZ136)/EZ136*100)</f>
        <v>0</v>
      </c>
      <c r="FC136" s="4591"/>
      <c r="FD136" s="4591"/>
      <c r="FE136" s="1102">
        <f>IF(FC136=0,0,(FD136-FC136)/FC136*100)</f>
        <v>0</v>
      </c>
      <c r="FF136" s="4591"/>
      <c r="FG136" s="4591"/>
      <c r="FH136" s="1102">
        <f>IF(FF136=0,0,(FG136-FF136)/FF136*100)</f>
        <v>0</v>
      </c>
      <c r="FI136" s="4591"/>
      <c r="FJ136" s="4591"/>
      <c r="FK136" s="1102">
        <f>IF(FI136=0,0,(FJ136-FI136)/FI136*100)</f>
        <v>0</v>
      </c>
      <c r="FL136" s="4591"/>
      <c r="FM136" s="4591"/>
      <c r="FN136" s="1102">
        <f>IF(FL136=0,0,(FM136-FL136)/FL136*100)</f>
        <v>0</v>
      </c>
      <c r="FO136" s="4591"/>
      <c r="FP136" s="4591"/>
      <c r="FQ136" s="1102">
        <f>IF(FO136=0,0,(FP136-FO136)/FO136*100)</f>
        <v>0</v>
      </c>
      <c r="FR136" s="4591"/>
      <c r="FS136" s="4591"/>
      <c r="FT136" s="1102">
        <f>IF(FR136=0,0,(FS136-FR136)/FR136*100)</f>
        <v>0</v>
      </c>
      <c r="FU136" s="4591"/>
      <c r="FV136" s="4591"/>
      <c r="FW136" s="1102">
        <f>IF(FU136=0,0,(FV136-FU136)/FU136*100)</f>
        <v>0</v>
      </c>
      <c r="FX136" s="1328"/>
      <c r="FY136" s="1328"/>
      <c r="FZ136" s="1063" t="s">
        <v>1897</v>
      </c>
      <c r="GA136" s="1330"/>
      <c r="GB136" s="1330"/>
      <c r="GC136" s="1329"/>
      <c r="GD136" s="1329"/>
    </row>
    <row s="1656" customFormat="1" customHeight="1" ht="14.25" hidden="1">
      <c r="A137" s="496"/>
      <c r="B137" s="932" cm="1" t="str">
        <f t="array" ref="B137:B137">B136</f>
        <v>false</v>
      </c>
      <c r="C137" s="496"/>
      <c r="D137" s="496"/>
      <c r="E137" s="847">
        <v>15</v>
      </c>
      <c r="F137" s="50" cm="1" t="str">
        <f t="array" ref="F137:F137">OFFSET(E137,-1,1)</f>
        <v>1</v>
      </c>
      <c r="G137" s="103" t="s">
        <v>1898</v>
      </c>
      <c r="H137" s="496" t="s">
        <v>1899</v>
      </c>
      <c r="I137" s="496" t="s">
        <v>1860</v>
      </c>
      <c r="J137" s="496"/>
      <c r="K137" s="496"/>
      <c r="L137" s="496"/>
      <c r="M137" s="496"/>
      <c r="N137" s="496"/>
      <c r="O137" s="496"/>
      <c r="P137" s="496"/>
      <c r="Q137" s="496"/>
      <c r="R137" s="496"/>
      <c r="S137" s="496"/>
      <c r="T137" s="468" cm="1" t="str">
        <f t="array" ref="T137:T137">T136</f>
        <v>true</v>
      </c>
      <c r="U137" s="496"/>
      <c r="V137" s="496"/>
      <c r="W137" s="496"/>
      <c r="X137" s="1559"/>
      <c r="Y137" s="496"/>
      <c r="Z137" s="1528"/>
      <c r="AA137" s="496"/>
      <c r="AB137" s="911" t="str">
        <f>"объём "&amp;IF(Q92="Водоснабжение","потребления холодной воды","водоотведения")</f>
        <v>объём потребления холодной воды</v>
      </c>
      <c r="AC137" s="871" t="s">
        <v>657</v>
      </c>
      <c r="AD137" s="4585">
        <f>IF(AND(method_reg="Метод индексации",god&lt;&gt;first_year),_xlfn.SUMIFS(INDEX('Калькуляция (МИ корр)'!$AJ$25:$BC$606,,MATCH(AD$8,'Калькуляция (МИ корр)'!$AJ$8:$BC$8,0)),'Калькуляция (МИ корр)'!$F$25:$F$606,$F137,'Калькуляция (МИ корр)'!$G$25:$G$606,$G137),IF(method_reg="Метод экономически обоснованных расходов",_xlfn.SUMIFS('Калькуляция (МЭОР)'!$AJ$25:$AJ$367,'Калькуляция (МЭОР)'!$F$25:$F$367,$F137,'Калькуляция (МЭОР)'!$G$25:$G$367,$G137),IF(method_reg="Метод сравнения аналогов",_xlfn.SUMIFS('Калькуляция (МСА)'!$AE$25:$AE$103,'Калькуляция (МСА)'!$F$25:$F$103,$F137,'Калькуляция (МСА)'!$G$25:$G$103,$G137),_xlfn.SUMIFS(INDEX('Калькуляция (МИ)'!$AJ$25:$BC$603,,MATCH(AD$8,'Калькуляция (МИ)'!$AJ$8:$BC$8,0)),'Калькуляция (МИ)'!$F$25:$F$603,$F137,'Калькуляция (МИ)'!$G$25:$G$603,$G137))))</f>
        <v>8129.6984325</v>
      </c>
      <c r="AE137" s="4585">
        <f>IF(AND(method_reg="Метод индексации",god&lt;&gt;first_year),_xlfn.SUMIFS(INDEX('Калькуляция (МИ корр)'!$AJ$25:$BC$606,,MATCH(AE$8,'Калькуляция (МИ корр)'!$AJ$8:$BC$8,0)),'Калькуляция (МИ корр)'!$F$25:$F$606,$F137,'Калькуляция (МИ корр)'!$G$25:$G$606,$G137),IF(method_reg="Метод экономически обоснованных расходов",_xlfn.SUMIFS('Калькуляция (МЭОР)'!$AK$25:$AK$367,'Калькуляция (МЭОР)'!$F$25:$F$367,$F137,'Калькуляция (МЭОР)'!$G$25:$G$367,$G137),IF(method_reg="Метод сравнения аналогов",_xlfn.SUMIFS('Калькуляция (МСА)'!$AF$25:$AF$103,'Калькуляция (МСА)'!$F$25:$F$103,$F137,'Калькуляция (МСА)'!$G$25:$G$103,$G137),_xlfn.SUMIFS(INDEX('Калькуляция (МИ)'!$AJ$25:$BC$603,,MATCH(AE$8,'Калькуляция (МИ)'!$AJ$8:$BC$8,0)),'Калькуляция (МИ)'!$F$25:$F$603,$F137,'Калькуляция (МИ)'!$G$25:$G$603,$G137))))</f>
        <v>8465.7061125</v>
      </c>
      <c r="AF137" s="1104">
        <f>IF(AD137=0,0,(AE137-AD137)/AD137*100)</f>
        <v>4.13308910274883</v>
      </c>
      <c r="AG137" s="4585">
        <f>IF(AND(method_reg="Метод индексации",god&lt;&gt;first_year),_xlfn.SUMIFS(INDEX('Калькуляция (МИ корр)'!$AJ$25:$BC$606,,MATCH(AG$8,'Калькуляция (МИ корр)'!$AJ$8:$BC$8,0)),'Калькуляция (МИ корр)'!$F$25:$F$606,$F137,'Калькуляция (МИ корр)'!$G$25:$G$606,$G137),IF(method_reg="Метод экономически обоснованных расходов",_xlfn.SUMIFS('Калькуляция (МЭОР)'!$AJ$25:$AJ$367,'Калькуляция (МЭОР)'!$F$25:$F$367,$F137,'Калькуляция (МЭОР)'!$G$25:$G$367,$G137),IF(method_reg="Метод сравнения аналогов",_xlfn.SUMIFS('Калькуляция (МСА)'!$AE$25:$AE$103,'Калькуляция (МСА)'!$F$25:$F$103,$F137,'Калькуляция (МСА)'!$G$25:$G$103,$G137),_xlfn.SUMIFS(INDEX('Калькуляция (МИ)'!$AJ$25:$BC$603,,MATCH(AG$8,'Калькуляция (МИ)'!$AJ$8:$BC$8,0)),'Калькуляция (МИ)'!$F$25:$F$603,$F137,'Калькуляция (МИ)'!$G$25:$G$603,$G137))))</f>
        <v>0</v>
      </c>
      <c r="AH137" s="4585">
        <f>IF(AND(method_reg="Метод индексации",god&lt;&gt;first_year),_xlfn.SUMIFS(INDEX('Калькуляция (МИ корр)'!$AJ$25:$BC$606,,MATCH(AH$8,'Калькуляция (МИ корр)'!$AJ$8:$BC$8,0)),'Калькуляция (МИ корр)'!$F$25:$F$606,$F137,'Калькуляция (МИ корр)'!$G$25:$G$606,$G137),IF(method_reg="Метод экономически обоснованных расходов",_xlfn.SUMIFS('Калькуляция (МЭОР)'!$AK$25:$AK$367,'Калькуляция (МЭОР)'!$F$25:$F$367,$F137,'Калькуляция (МЭОР)'!$G$25:$G$367,$G137),IF(method_reg="Метод сравнения аналогов",_xlfn.SUMIFS('Калькуляция (МСА)'!$AF$25:$AF$103,'Калькуляция (МСА)'!$F$25:$F$103,$F137,'Калькуляция (МСА)'!$G$25:$G$103,$G137),_xlfn.SUMIFS(INDEX('Калькуляция (МИ)'!$AJ$25:$BC$603,,MATCH(AH$8,'Калькуляция (МИ)'!$AJ$8:$BC$8,0)),'Калькуляция (МИ)'!$F$25:$F$603,$F137,'Калькуляция (МИ)'!$G$25:$G$603,$G137))))</f>
        <v>0</v>
      </c>
      <c r="AI137" s="1104">
        <f>IF(AG137=0,0,(AH137-AG137)/AG137*100)</f>
        <v>0</v>
      </c>
      <c r="AJ137" s="4585">
        <f>IF(AND(method_reg="Метод индексации",god&lt;&gt;first_year),_xlfn.SUMIFS(INDEX('Калькуляция (МИ корр)'!$AJ$25:$BC$606,,MATCH(AJ$8,'Калькуляция (МИ корр)'!$AJ$8:$BC$8,0)),'Калькуляция (МИ корр)'!$F$25:$F$606,$F137,'Калькуляция (МИ корр)'!$G$25:$G$606,$G137),IF(method_reg="Метод экономически обоснованных расходов",_xlfn.SUMIFS('Калькуляция (МЭОР)'!$AJ$25:$AJ$367,'Калькуляция (МЭОР)'!$F$25:$F$367,$F137,'Калькуляция (МЭОР)'!$G$25:$G$367,$G137),IF(method_reg="Метод сравнения аналогов",_xlfn.SUMIFS('Калькуляция (МСА)'!$AE$25:$AE$103,'Калькуляция (МСА)'!$F$25:$F$103,$F137,'Калькуляция (МСА)'!$G$25:$G$103,$G137),_xlfn.SUMIFS(INDEX('Калькуляция (МИ)'!$AJ$25:$BC$603,,MATCH(AJ$8,'Калькуляция (МИ)'!$AJ$8:$BC$8,0)),'Калькуляция (МИ)'!$F$25:$F$603,$F137,'Калькуляция (МИ)'!$G$25:$G$603,$G137))))</f>
        <v>0</v>
      </c>
      <c r="AK137" s="4585">
        <f>IF(AND(method_reg="Метод индексации",god&lt;&gt;first_year),_xlfn.SUMIFS(INDEX('Калькуляция (МИ корр)'!$AJ$25:$BC$606,,MATCH(AK$8,'Калькуляция (МИ корр)'!$AJ$8:$BC$8,0)),'Калькуляция (МИ корр)'!$F$25:$F$606,$F137,'Калькуляция (МИ корр)'!$G$25:$G$606,$G137),IF(method_reg="Метод экономически обоснованных расходов",_xlfn.SUMIFS('Калькуляция (МЭОР)'!$AK$25:$AK$367,'Калькуляция (МЭОР)'!$F$25:$F$367,$F137,'Калькуляция (МЭОР)'!$G$25:$G$367,$G137),IF(method_reg="Метод сравнения аналогов",_xlfn.SUMIFS('Калькуляция (МСА)'!$AF$25:$AF$103,'Калькуляция (МСА)'!$F$25:$F$103,$F137,'Калькуляция (МСА)'!$G$25:$G$103,$G137),_xlfn.SUMIFS(INDEX('Калькуляция (МИ)'!$AJ$25:$BC$603,,MATCH(AK$8,'Калькуляция (МИ)'!$AJ$8:$BC$8,0)),'Калькуляция (МИ)'!$F$25:$F$603,$F137,'Калькуляция (МИ)'!$G$25:$G$603,$G137))))</f>
        <v>0</v>
      </c>
      <c r="AL137" s="1104">
        <f>IF(AJ137=0,0,(AK137-AJ137)/AJ137*100)</f>
        <v>0</v>
      </c>
      <c r="AM137" s="4585">
        <f>IF(AND(method_reg="Метод индексации",god&lt;&gt;first_year),_xlfn.SUMIFS(INDEX('Калькуляция (МИ корр)'!$AJ$25:$BC$606,,MATCH(AM$8,'Калькуляция (МИ корр)'!$AJ$8:$BC$8,0)),'Калькуляция (МИ корр)'!$F$25:$F$606,$F137,'Калькуляция (МИ корр)'!$G$25:$G$606,$G137),IF(method_reg="Метод экономически обоснованных расходов",_xlfn.SUMIFS('Калькуляция (МЭОР)'!$AJ$25:$AJ$367,'Калькуляция (МЭОР)'!$F$25:$F$367,$F137,'Калькуляция (МЭОР)'!$G$25:$G$367,$G137),IF(method_reg="Метод сравнения аналогов",_xlfn.SUMIFS('Калькуляция (МСА)'!$AE$25:$AE$103,'Калькуляция (МСА)'!$F$25:$F$103,$F137,'Калькуляция (МСА)'!$G$25:$G$103,$G137),_xlfn.SUMIFS(INDEX('Калькуляция (МИ)'!$AJ$25:$BC$603,,MATCH(AM$8,'Калькуляция (МИ)'!$AJ$8:$BC$8,0)),'Калькуляция (МИ)'!$F$25:$F$603,$F137,'Калькуляция (МИ)'!$G$25:$G$603,$G137))))</f>
        <v>0</v>
      </c>
      <c r="AN137" s="4585">
        <f>IF(AND(method_reg="Метод индексации",god&lt;&gt;first_year),_xlfn.SUMIFS(INDEX('Калькуляция (МИ корр)'!$AJ$25:$BC$606,,MATCH(AN$8,'Калькуляция (МИ корр)'!$AJ$8:$BC$8,0)),'Калькуляция (МИ корр)'!$F$25:$F$606,$F137,'Калькуляция (МИ корр)'!$G$25:$G$606,$G137),IF(method_reg="Метод экономически обоснованных расходов",_xlfn.SUMIFS('Калькуляция (МЭОР)'!$AK$25:$AK$367,'Калькуляция (МЭОР)'!$F$25:$F$367,$F137,'Калькуляция (МЭОР)'!$G$25:$G$367,$G137),IF(method_reg="Метод сравнения аналогов",_xlfn.SUMIFS('Калькуляция (МСА)'!$AF$25:$AF$103,'Калькуляция (МСА)'!$F$25:$F$103,$F137,'Калькуляция (МСА)'!$G$25:$G$103,$G137),_xlfn.SUMIFS(INDEX('Калькуляция (МИ)'!$AJ$25:$BC$603,,MATCH(AN$8,'Калькуляция (МИ)'!$AJ$8:$BC$8,0)),'Калькуляция (МИ)'!$F$25:$F$603,$F137,'Калькуляция (МИ)'!$G$25:$G$603,$G137))))</f>
        <v>0</v>
      </c>
      <c r="AO137" s="1104">
        <f>IF(AM137=0,0,(AN137-AM137)/AM137*100)</f>
        <v>0</v>
      </c>
      <c r="AP137" s="4585">
        <f>IF(AND(method_reg="Метод индексации",god&lt;&gt;first_year),_xlfn.SUMIFS(INDEX('Калькуляция (МИ корр)'!$AJ$25:$BC$606,,MATCH(AP$8,'Калькуляция (МИ корр)'!$AJ$8:$BC$8,0)),'Калькуляция (МИ корр)'!$F$25:$F$606,$F137,'Калькуляция (МИ корр)'!$G$25:$G$606,$G137),IF(method_reg="Метод экономически обоснованных расходов",_xlfn.SUMIFS('Калькуляция (МЭОР)'!$AJ$25:$AJ$367,'Калькуляция (МЭОР)'!$F$25:$F$367,$F137,'Калькуляция (МЭОР)'!$G$25:$G$367,$G137),IF(method_reg="Метод сравнения аналогов",_xlfn.SUMIFS('Калькуляция (МСА)'!$AE$25:$AE$103,'Калькуляция (МСА)'!$F$25:$F$103,$F137,'Калькуляция (МСА)'!$G$25:$G$103,$G137),_xlfn.SUMIFS(INDEX('Калькуляция (МИ)'!$AJ$25:$BC$603,,MATCH(AP$8,'Калькуляция (МИ)'!$AJ$8:$BC$8,0)),'Калькуляция (МИ)'!$F$25:$F$603,$F137,'Калькуляция (МИ)'!$G$25:$G$603,$G137))))</f>
        <v>0</v>
      </c>
      <c r="AQ137" s="4585">
        <f>IF(AND(method_reg="Метод индексации",god&lt;&gt;first_year),_xlfn.SUMIFS(INDEX('Калькуляция (МИ корр)'!$AJ$25:$BC$606,,MATCH(AQ$8,'Калькуляция (МИ корр)'!$AJ$8:$BC$8,0)),'Калькуляция (МИ корр)'!$F$25:$F$606,$F137,'Калькуляция (МИ корр)'!$G$25:$G$606,$G137),IF(method_reg="Метод экономически обоснованных расходов",_xlfn.SUMIFS('Калькуляция (МЭОР)'!$AK$25:$AK$367,'Калькуляция (МЭОР)'!$F$25:$F$367,$F137,'Калькуляция (МЭОР)'!$G$25:$G$367,$G137),IF(method_reg="Метод сравнения аналогов",_xlfn.SUMIFS('Калькуляция (МСА)'!$AF$25:$AF$103,'Калькуляция (МСА)'!$F$25:$F$103,$F137,'Калькуляция (МСА)'!$G$25:$G$103,$G137),_xlfn.SUMIFS(INDEX('Калькуляция (МИ)'!$AJ$25:$BC$603,,MATCH(AQ$8,'Калькуляция (МИ)'!$AJ$8:$BC$8,0)),'Калькуляция (МИ)'!$F$25:$F$603,$F137,'Калькуляция (МИ)'!$G$25:$G$603,$G137))))</f>
        <v>0</v>
      </c>
      <c r="AR137" s="1104">
        <f>IF(AP137=0,0,(AQ137-AP137)/AP137*100)</f>
        <v>0</v>
      </c>
      <c r="AS137" s="4585">
        <f>IF(AND(method_reg="Метод индексации",god&lt;&gt;first_year),_xlfn.SUMIFS(INDEX('Калькуляция (МИ корр)'!$AJ$25:$BC$606,,MATCH(AS$8,'Калькуляция (МИ корр)'!$AJ$8:$BC$8,0)),'Калькуляция (МИ корр)'!$F$25:$F$606,$F137,'Калькуляция (МИ корр)'!$G$25:$G$606,$G137),IF(method_reg="Метод экономически обоснованных расходов",_xlfn.SUMIFS('Калькуляция (МЭОР)'!$AJ$25:$AJ$367,'Калькуляция (МЭОР)'!$F$25:$F$367,$F137,'Калькуляция (МЭОР)'!$G$25:$G$367,$G137),IF(method_reg="Метод сравнения аналогов",_xlfn.SUMIFS('Калькуляция (МСА)'!$AE$25:$AE$103,'Калькуляция (МСА)'!$F$25:$F$103,$F137,'Калькуляция (МСА)'!$G$25:$G$103,$G137),_xlfn.SUMIFS(INDEX('Калькуляция (МИ)'!$AJ$25:$BC$603,,MATCH(AS$8,'Калькуляция (МИ)'!$AJ$8:$BC$8,0)),'Калькуляция (МИ)'!$F$25:$F$603,$F137,'Калькуляция (МИ)'!$G$25:$G$603,$G137))))</f>
        <v>0</v>
      </c>
      <c r="AT137" s="4585">
        <f>IF(AND(method_reg="Метод индексации",god&lt;&gt;first_year),_xlfn.SUMIFS(INDEX('Калькуляция (МИ корр)'!$AJ$25:$BC$606,,MATCH(AT$8,'Калькуляция (МИ корр)'!$AJ$8:$BC$8,0)),'Калькуляция (МИ корр)'!$F$25:$F$606,$F137,'Калькуляция (МИ корр)'!$G$25:$G$606,$G137),IF(method_reg="Метод экономически обоснованных расходов",_xlfn.SUMIFS('Калькуляция (МЭОР)'!$AK$25:$AK$367,'Калькуляция (МЭОР)'!$F$25:$F$367,$F137,'Калькуляция (МЭОР)'!$G$25:$G$367,$G137),IF(method_reg="Метод сравнения аналогов",_xlfn.SUMIFS('Калькуляция (МСА)'!$AF$25:$AF$103,'Калькуляция (МСА)'!$F$25:$F$103,$F137,'Калькуляция (МСА)'!$G$25:$G$103,$G137),_xlfn.SUMIFS(INDEX('Калькуляция (МИ)'!$AJ$25:$BC$603,,MATCH(AT$8,'Калькуляция (МИ)'!$AJ$8:$BC$8,0)),'Калькуляция (МИ)'!$F$25:$F$603,$F137,'Калькуляция (МИ)'!$G$25:$G$603,$G137))))</f>
        <v>0</v>
      </c>
      <c r="AU137" s="1104">
        <f>IF(AS137=0,0,(AT137-AS137)/AS137*100)</f>
        <v>0</v>
      </c>
      <c r="AV137" s="4585">
        <f>IF(AND(method_reg="Метод индексации",god&lt;&gt;first_year),_xlfn.SUMIFS(INDEX('Калькуляция (МИ корр)'!$AJ$25:$BC$606,,MATCH(AV$8,'Калькуляция (МИ корр)'!$AJ$8:$BC$8,0)),'Калькуляция (МИ корр)'!$F$25:$F$606,$F137,'Калькуляция (МИ корр)'!$G$25:$G$606,$G137),IF(method_reg="Метод экономически обоснованных расходов",_xlfn.SUMIFS('Калькуляция (МЭОР)'!$AJ$25:$AJ$367,'Калькуляция (МЭОР)'!$F$25:$F$367,$F137,'Калькуляция (МЭОР)'!$G$25:$G$367,$G137),IF(method_reg="Метод сравнения аналогов",_xlfn.SUMIFS('Калькуляция (МСА)'!$AE$25:$AE$103,'Калькуляция (МСА)'!$F$25:$F$103,$F137,'Калькуляция (МСА)'!$G$25:$G$103,$G137),_xlfn.SUMIFS(INDEX('Калькуляция (МИ)'!$AJ$25:$BC$603,,MATCH(AV$8,'Калькуляция (МИ)'!$AJ$8:$BC$8,0)),'Калькуляция (МИ)'!$F$25:$F$603,$F137,'Калькуляция (МИ)'!$G$25:$G$603,$G137))))</f>
        <v>0</v>
      </c>
      <c r="AW137" s="4585">
        <f>IF(AND(method_reg="Метод индексации",god&lt;&gt;first_year),_xlfn.SUMIFS(INDEX('Калькуляция (МИ корр)'!$AJ$25:$BC$606,,MATCH(AW$8,'Калькуляция (МИ корр)'!$AJ$8:$BC$8,0)),'Калькуляция (МИ корр)'!$F$25:$F$606,$F137,'Калькуляция (МИ корр)'!$G$25:$G$606,$G137),IF(method_reg="Метод экономически обоснованных расходов",_xlfn.SUMIFS('Калькуляция (МЭОР)'!$AK$25:$AK$367,'Калькуляция (МЭОР)'!$F$25:$F$367,$F137,'Калькуляция (МЭОР)'!$G$25:$G$367,$G137),IF(method_reg="Метод сравнения аналогов",_xlfn.SUMIFS('Калькуляция (МСА)'!$AF$25:$AF$103,'Калькуляция (МСА)'!$F$25:$F$103,$F137,'Калькуляция (МСА)'!$G$25:$G$103,$G137),_xlfn.SUMIFS(INDEX('Калькуляция (МИ)'!$AJ$25:$BC$603,,MATCH(AW$8,'Калькуляция (МИ)'!$AJ$8:$BC$8,0)),'Калькуляция (МИ)'!$F$25:$F$603,$F137,'Калькуляция (МИ)'!$G$25:$G$603,$G137))))</f>
        <v>0</v>
      </c>
      <c r="AX137" s="1104">
        <f>IF(AV137=0,0,(AW137-AV137)/AV137*100)</f>
        <v>0</v>
      </c>
      <c r="AY137" s="4585">
        <f>IF(AND(method_reg="Метод индексации",god&lt;&gt;first_year),_xlfn.SUMIFS(INDEX('Калькуляция (МИ корр)'!$AJ$25:$BC$606,,MATCH(AY$8,'Калькуляция (МИ корр)'!$AJ$8:$BC$8,0)),'Калькуляция (МИ корр)'!$F$25:$F$606,$F137,'Калькуляция (МИ корр)'!$G$25:$G$606,$G137),IF(method_reg="Метод экономически обоснованных расходов",_xlfn.SUMIFS('Калькуляция (МЭОР)'!$AJ$25:$AJ$367,'Калькуляция (МЭОР)'!$F$25:$F$367,$F137,'Калькуляция (МЭОР)'!$G$25:$G$367,$G137),IF(method_reg="Метод сравнения аналогов",_xlfn.SUMIFS('Калькуляция (МСА)'!$AE$25:$AE$103,'Калькуляция (МСА)'!$F$25:$F$103,$F137,'Калькуляция (МСА)'!$G$25:$G$103,$G137),_xlfn.SUMIFS(INDEX('Калькуляция (МИ)'!$AJ$25:$BC$603,,MATCH(AY$8,'Калькуляция (МИ)'!$AJ$8:$BC$8,0)),'Калькуляция (МИ)'!$F$25:$F$603,$F137,'Калькуляция (МИ)'!$G$25:$G$603,$G137))))</f>
        <v>0</v>
      </c>
      <c r="AZ137" s="4585">
        <f>IF(AND(method_reg="Метод индексации",god&lt;&gt;first_year),_xlfn.SUMIFS(INDEX('Калькуляция (МИ корр)'!$AJ$25:$BC$606,,MATCH(AZ$8,'Калькуляция (МИ корр)'!$AJ$8:$BC$8,0)),'Калькуляция (МИ корр)'!$F$25:$F$606,$F137,'Калькуляция (МИ корр)'!$G$25:$G$606,$G137),IF(method_reg="Метод экономически обоснованных расходов",_xlfn.SUMIFS('Калькуляция (МЭОР)'!$AK$25:$AK$367,'Калькуляция (МЭОР)'!$F$25:$F$367,$F137,'Калькуляция (МЭОР)'!$G$25:$G$367,$G137),IF(method_reg="Метод сравнения аналогов",_xlfn.SUMIFS('Калькуляция (МСА)'!$AF$25:$AF$103,'Калькуляция (МСА)'!$F$25:$F$103,$F137,'Калькуляция (МСА)'!$G$25:$G$103,$G137),_xlfn.SUMIFS(INDEX('Калькуляция (МИ)'!$AJ$25:$BC$603,,MATCH(AZ$8,'Калькуляция (МИ)'!$AJ$8:$BC$8,0)),'Калькуляция (МИ)'!$F$25:$F$603,$F137,'Калькуляция (МИ)'!$G$25:$G$603,$G137))))</f>
        <v>0</v>
      </c>
      <c r="BA137" s="1104">
        <f>IF(AY137=0,0,(AZ137-AY137)/AY137*100)</f>
        <v>0</v>
      </c>
      <c r="BB137" s="4585">
        <f>IF(AND(method_reg="Метод индексации",god&lt;&gt;first_year),_xlfn.SUMIFS(INDEX('Калькуляция (МИ корр)'!$AJ$25:$BC$606,,MATCH(BB$8,'Калькуляция (МИ корр)'!$AJ$8:$BC$8,0)),'Калькуляция (МИ корр)'!$F$25:$F$606,$F137,'Калькуляция (МИ корр)'!$G$25:$G$606,$G137),IF(method_reg="Метод экономически обоснованных расходов",_xlfn.SUMIFS('Калькуляция (МЭОР)'!$AJ$25:$AJ$367,'Калькуляция (МЭОР)'!$F$25:$F$367,$F137,'Калькуляция (МЭОР)'!$G$25:$G$367,$G137),IF(method_reg="Метод сравнения аналогов",_xlfn.SUMIFS('Калькуляция (МСА)'!$AE$25:$AE$103,'Калькуляция (МСА)'!$F$25:$F$103,$F137,'Калькуляция (МСА)'!$G$25:$G$103,$G137),_xlfn.SUMIFS(INDEX('Калькуляция (МИ)'!$AJ$25:$BC$603,,MATCH(BB$8,'Калькуляция (МИ)'!$AJ$8:$BC$8,0)),'Калькуляция (МИ)'!$F$25:$F$603,$F137,'Калькуляция (МИ)'!$G$25:$G$603,$G137))))</f>
        <v>0</v>
      </c>
      <c r="BC137" s="4585">
        <f>IF(AND(method_reg="Метод индексации",god&lt;&gt;first_year),_xlfn.SUMIFS(INDEX('Калькуляция (МИ корр)'!$AJ$25:$BC$606,,MATCH(BC$8,'Калькуляция (МИ корр)'!$AJ$8:$BC$8,0)),'Калькуляция (МИ корр)'!$F$25:$F$606,$F137,'Калькуляция (МИ корр)'!$G$25:$G$606,$G137),IF(method_reg="Метод экономически обоснованных расходов",_xlfn.SUMIFS('Калькуляция (МЭОР)'!$AK$25:$AK$367,'Калькуляция (МЭОР)'!$F$25:$F$367,$F137,'Калькуляция (МЭОР)'!$G$25:$G$367,$G137),IF(method_reg="Метод сравнения аналогов",_xlfn.SUMIFS('Калькуляция (МСА)'!$AF$25:$AF$103,'Калькуляция (МСА)'!$F$25:$F$103,$F137,'Калькуляция (МСА)'!$G$25:$G$103,$G137),_xlfn.SUMIFS(INDEX('Калькуляция (МИ)'!$AJ$25:$BC$603,,MATCH(BC$8,'Калькуляция (МИ)'!$AJ$8:$BC$8,0)),'Калькуляция (МИ)'!$F$25:$F$603,$F137,'Калькуляция (МИ)'!$G$25:$G$603,$G137))))</f>
        <v>0</v>
      </c>
      <c r="BD137" s="1104">
        <f>IF(BB137=0,0,(BC137-BB137)/BB137*100)</f>
        <v>0</v>
      </c>
      <c r="BE137" s="4585">
        <f>IF(AND(method_reg="Метод индексации",god&lt;&gt;first_year),_xlfn.SUMIFS(INDEX('Калькуляция (МИ корр)'!$AJ$25:$BC$606,,MATCH(BE$8,'Калькуляция (МИ корр)'!$AJ$8:$BC$8,0)),'Калькуляция (МИ корр)'!$F$25:$F$606,$F137,'Калькуляция (МИ корр)'!$G$25:$G$606,$G137),IF(method_reg="Метод экономически обоснованных расходов",_xlfn.SUMIFS('Калькуляция (МЭОР)'!$AJ$25:$AJ$367,'Калькуляция (МЭОР)'!$F$25:$F$367,$F137,'Калькуляция (МЭОР)'!$G$25:$G$367,$G137),IF(method_reg="Метод сравнения аналогов",_xlfn.SUMIFS('Калькуляция (МСА)'!$AE$25:$AE$103,'Калькуляция (МСА)'!$F$25:$F$103,$F137,'Калькуляция (МСА)'!$G$25:$G$103,$G137),_xlfn.SUMIFS(INDEX('Калькуляция (МИ)'!$AJ$25:$BC$603,,MATCH(BE$8,'Калькуляция (МИ)'!$AJ$8:$BC$8,0)),'Калькуляция (МИ)'!$F$25:$F$603,$F137,'Калькуляция (МИ)'!$G$25:$G$603,$G137))))</f>
        <v>0</v>
      </c>
      <c r="BF137" s="4585">
        <f>IF(AND(method_reg="Метод индексации",god&lt;&gt;first_year),_xlfn.SUMIFS(INDEX('Калькуляция (МИ корр)'!$AJ$25:$BC$606,,MATCH(BF$8,'Калькуляция (МИ корр)'!$AJ$8:$BC$8,0)),'Калькуляция (МИ корр)'!$F$25:$F$606,$F137,'Калькуляция (МИ корр)'!$G$25:$G$606,$G137),IF(method_reg="Метод экономически обоснованных расходов",_xlfn.SUMIFS('Калькуляция (МЭОР)'!$AK$25:$AK$367,'Калькуляция (МЭОР)'!$F$25:$F$367,$F137,'Калькуляция (МЭОР)'!$G$25:$G$367,$G137),IF(method_reg="Метод сравнения аналогов",_xlfn.SUMIFS('Калькуляция (МСА)'!$AF$25:$AF$103,'Калькуляция (МСА)'!$F$25:$F$103,$F137,'Калькуляция (МСА)'!$G$25:$G$103,$G137),_xlfn.SUMIFS(INDEX('Калькуляция (МИ)'!$AJ$25:$BC$603,,MATCH(BF$8,'Калькуляция (МИ)'!$AJ$8:$BC$8,0)),'Калькуляция (МИ)'!$F$25:$F$603,$F137,'Калькуляция (МИ)'!$G$25:$G$603,$G137))))</f>
        <v>0</v>
      </c>
      <c r="BG137" s="1104">
        <f>IF(BE137=0,0,(BF137-BE137)/BE137*100)</f>
        <v>0</v>
      </c>
      <c r="BH137" s="4585"/>
      <c r="BI137" s="4585"/>
      <c r="BJ137" s="1104">
        <f>IF(BH137=0,0,(BI137-BH137)/BH137*100)</f>
        <v>0</v>
      </c>
      <c r="BK137" s="4585"/>
      <c r="BL137" s="4585"/>
      <c r="BM137" s="1104">
        <f>IF(BK137=0,0,(BL137-BK137)/BK137*100)</f>
        <v>0</v>
      </c>
      <c r="BN137" s="4585"/>
      <c r="BO137" s="4585"/>
      <c r="BP137" s="1104">
        <f>IF(BN137=0,0,(BO137-BN137)/BN137*100)</f>
        <v>0</v>
      </c>
      <c r="BQ137" s="4585"/>
      <c r="BR137" s="4585"/>
      <c r="BS137" s="1104">
        <f>IF(BQ137=0,0,(BR137-BQ137)/BQ137*100)</f>
        <v>0</v>
      </c>
      <c r="BT137" s="4585"/>
      <c r="BU137" s="4585"/>
      <c r="BV137" s="1104">
        <f>IF(BT137=0,0,(BU137-BT137)/BT137*100)</f>
        <v>0</v>
      </c>
      <c r="BW137" s="4585"/>
      <c r="BX137" s="4585"/>
      <c r="BY137" s="1104">
        <f>IF(BW137=0,0,(BX137-BW137)/BW137*100)</f>
        <v>0</v>
      </c>
      <c r="BZ137" s="4585"/>
      <c r="CA137" s="4585"/>
      <c r="CB137" s="1104">
        <f>IF(BZ137=0,0,(CA137-BZ137)/BZ137*100)</f>
        <v>0</v>
      </c>
      <c r="CC137" s="4585"/>
      <c r="CD137" s="4585"/>
      <c r="CE137" s="1104">
        <f>IF(CC137=0,0,(CD137-CC137)/CC137*100)</f>
        <v>0</v>
      </c>
      <c r="CF137" s="4585"/>
      <c r="CG137" s="4585"/>
      <c r="CH137" s="1104">
        <f>IF(CF137=0,0,(CG137-CF137)/CF137*100)</f>
        <v>0</v>
      </c>
      <c r="CI137" s="4585"/>
      <c r="CJ137" s="4585"/>
      <c r="CK137" s="1104">
        <f>IF(CI137=0,0,(CJ137-CI137)/CI137*100)</f>
        <v>0</v>
      </c>
      <c r="CL137" s="4585"/>
      <c r="CM137" s="4585"/>
      <c r="CN137" s="1104">
        <f>IF(CL137=0,0,(CM137-CL137)/CL137*100)</f>
        <v>0</v>
      </c>
      <c r="CO137" s="4585"/>
      <c r="CP137" s="4585"/>
      <c r="CQ137" s="1104">
        <f>IF(CO137=0,0,(CP137-CO137)/CO137*100)</f>
        <v>0</v>
      </c>
      <c r="CR137" s="4585"/>
      <c r="CS137" s="4585"/>
      <c r="CT137" s="1104">
        <f>IF(CR137=0,0,(CS137-CR137)/CR137*100)</f>
        <v>0</v>
      </c>
      <c r="CU137" s="4585"/>
      <c r="CV137" s="4585"/>
      <c r="CW137" s="1104">
        <f>IF(CU137=0,0,(CV137-CU137)/CU137*100)</f>
        <v>0</v>
      </c>
      <c r="CX137" s="4585"/>
      <c r="CY137" s="4585"/>
      <c r="CZ137" s="1104">
        <f>IF(CX137=0,0,(CY137-CX137)/CX137*100)</f>
        <v>0</v>
      </c>
      <c r="DA137" s="4585"/>
      <c r="DB137" s="4585"/>
      <c r="DC137" s="1104">
        <f>IF(DA137=0,0,(DB137-DA137)/DA137*100)</f>
        <v>0</v>
      </c>
      <c r="DD137" s="4585"/>
      <c r="DE137" s="4585"/>
      <c r="DF137" s="1104">
        <f>IF(DD137=0,0,(DE137-DD137)/DD137*100)</f>
        <v>0</v>
      </c>
      <c r="DG137" s="4585"/>
      <c r="DH137" s="4585"/>
      <c r="DI137" s="1104">
        <f>IF(DG137=0,0,(DH137-DG137)/DG137*100)</f>
        <v>0</v>
      </c>
      <c r="DJ137" s="4585"/>
      <c r="DK137" s="4585"/>
      <c r="DL137" s="1104">
        <f>IF(DJ137=0,0,(DK137-DJ137)/DJ137*100)</f>
        <v>0</v>
      </c>
      <c r="DM137" s="4585"/>
      <c r="DN137" s="4585"/>
      <c r="DO137" s="1104">
        <f>IF(DM137=0,0,(DN137-DM137)/DM137*100)</f>
        <v>0</v>
      </c>
      <c r="DP137" s="4585"/>
      <c r="DQ137" s="4585"/>
      <c r="DR137" s="1104">
        <f>IF(DP137=0,0,(DQ137-DP137)/DP137*100)</f>
        <v>0</v>
      </c>
      <c r="DS137" s="4585"/>
      <c r="DT137" s="4585"/>
      <c r="DU137" s="1104">
        <f>IF(DS137=0,0,(DT137-DS137)/DS137*100)</f>
        <v>0</v>
      </c>
      <c r="DV137" s="4585"/>
      <c r="DW137" s="4585"/>
      <c r="DX137" s="1104">
        <f>IF(DV137=0,0,(DW137-DV137)/DV137*100)</f>
        <v>0</v>
      </c>
      <c r="DY137" s="4585"/>
      <c r="DZ137" s="4585"/>
      <c r="EA137" s="1104">
        <f>IF(DY137=0,0,(DZ137-DY137)/DY137*100)</f>
        <v>0</v>
      </c>
      <c r="EB137" s="4585"/>
      <c r="EC137" s="4585"/>
      <c r="ED137" s="1104">
        <f>IF(EB137=0,0,(EC137-EB137)/EB137*100)</f>
        <v>0</v>
      </c>
      <c r="EE137" s="4585"/>
      <c r="EF137" s="4585"/>
      <c r="EG137" s="1104">
        <f>IF(EE137=0,0,(EF137-EE137)/EE137*100)</f>
        <v>0</v>
      </c>
      <c r="EH137" s="4585"/>
      <c r="EI137" s="4585"/>
      <c r="EJ137" s="1104">
        <f>IF(EH137=0,0,(EI137-EH137)/EH137*100)</f>
        <v>0</v>
      </c>
      <c r="EK137" s="4585"/>
      <c r="EL137" s="4585"/>
      <c r="EM137" s="1104">
        <f>IF(EK137=0,0,(EL137-EK137)/EK137*100)</f>
        <v>0</v>
      </c>
      <c r="EN137" s="4585"/>
      <c r="EO137" s="4585"/>
      <c r="EP137" s="1104">
        <f>IF(EN137=0,0,(EO137-EN137)/EN137*100)</f>
        <v>0</v>
      </c>
      <c r="EQ137" s="4585"/>
      <c r="ER137" s="4585"/>
      <c r="ES137" s="1104">
        <f>IF(EQ137=0,0,(ER137-EQ137)/EQ137*100)</f>
        <v>0</v>
      </c>
      <c r="ET137" s="4585"/>
      <c r="EU137" s="4585"/>
      <c r="EV137" s="1104">
        <f>IF(ET137=0,0,(EU137-ET137)/ET137*100)</f>
        <v>0</v>
      </c>
      <c r="EW137" s="4585"/>
      <c r="EX137" s="4585"/>
      <c r="EY137" s="1104">
        <f>IF(EW137=0,0,(EX137-EW137)/EW137*100)</f>
        <v>0</v>
      </c>
      <c r="EZ137" s="4585"/>
      <c r="FA137" s="4585"/>
      <c r="FB137" s="1104">
        <f>IF(EZ137=0,0,(FA137-EZ137)/EZ137*100)</f>
        <v>0</v>
      </c>
      <c r="FC137" s="4585"/>
      <c r="FD137" s="4585"/>
      <c r="FE137" s="1104">
        <f>IF(FC137=0,0,(FD137-FC137)/FC137*100)</f>
        <v>0</v>
      </c>
      <c r="FF137" s="4585"/>
      <c r="FG137" s="4585"/>
      <c r="FH137" s="1104">
        <f>IF(FF137=0,0,(FG137-FF137)/FF137*100)</f>
        <v>0</v>
      </c>
      <c r="FI137" s="4585"/>
      <c r="FJ137" s="4585"/>
      <c r="FK137" s="1104">
        <f>IF(FI137=0,0,(FJ137-FI137)/FI137*100)</f>
        <v>0</v>
      </c>
      <c r="FL137" s="4585"/>
      <c r="FM137" s="4585"/>
      <c r="FN137" s="1104">
        <f>IF(FL137=0,0,(FM137-FL137)/FL137*100)</f>
        <v>0</v>
      </c>
      <c r="FO137" s="4585"/>
      <c r="FP137" s="4585"/>
      <c r="FQ137" s="1104">
        <f>IF(FO137=0,0,(FP137-FO137)/FO137*100)</f>
        <v>0</v>
      </c>
      <c r="FR137" s="4585"/>
      <c r="FS137" s="4585"/>
      <c r="FT137" s="1104">
        <f>IF(FR137=0,0,(FS137-FR137)/FR137*100)</f>
        <v>0</v>
      </c>
      <c r="FU137" s="4585"/>
      <c r="FV137" s="4585"/>
      <c r="FW137" s="1104">
        <f>IF(FU137=0,0,(FV137-FU137)/FU137*100)</f>
        <v>0</v>
      </c>
      <c r="FX137" s="1328"/>
      <c r="FY137" s="1328"/>
      <c r="FZ137" s="1063" t="s">
        <v>1900</v>
      </c>
      <c r="GA137" s="1330"/>
      <c r="GB137" s="1330"/>
      <c r="GC137" s="1329"/>
      <c r="GD137" s="1329"/>
    </row>
    <row s="1656" customFormat="1" customHeight="1" ht="24" hidden="1">
      <c r="A138" s="496"/>
      <c r="B138" s="932" cm="1" t="str">
        <f t="array" ref="B138:B138">B137</f>
        <v>false</v>
      </c>
      <c r="C138" s="496"/>
      <c r="D138" s="496"/>
      <c r="E138" s="847">
        <v>24.75</v>
      </c>
      <c r="F138" s="50" cm="1" t="str">
        <f t="array" ref="F138:F138">OFFSET(E138,-1,1)</f>
        <v>1</v>
      </c>
      <c r="G138" s="496"/>
      <c r="H138" s="496" t="s">
        <v>1901</v>
      </c>
      <c r="I138" s="496" t="s">
        <v>1860</v>
      </c>
      <c r="J138" s="496"/>
      <c r="K138" s="496"/>
      <c r="L138" s="496"/>
      <c r="M138" s="496"/>
      <c r="N138" s="496"/>
      <c r="O138" s="496"/>
      <c r="P138" s="496"/>
      <c r="Q138" s="496"/>
      <c r="R138" s="496"/>
      <c r="S138" s="496"/>
      <c r="T138" s="468" cm="1" t="str">
        <f t="array" ref="T138:T138">T137</f>
        <v>true</v>
      </c>
      <c r="U138" s="496"/>
      <c r="V138" s="496"/>
      <c r="W138" s="496"/>
      <c r="X138" s="1559"/>
      <c r="Y138" s="496"/>
      <c r="Z138" s="1528"/>
      <c r="AA138" s="496"/>
      <c r="AB138" s="911"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38" s="871" t="s">
        <v>1902</v>
      </c>
      <c r="AD138" s="4591"/>
      <c r="AE138" s="4591"/>
      <c r="AF138" s="1102">
        <f>IF(AD138=0,0,(AE138-AD138)/AD138*100)</f>
        <v>0</v>
      </c>
      <c r="AG138" s="4591"/>
      <c r="AH138" s="4591"/>
      <c r="AI138" s="1102">
        <f>IF(AG138=0,0,(AH138-AG138)/AG138*100)</f>
        <v>0</v>
      </c>
      <c r="AJ138" s="4591"/>
      <c r="AK138" s="4591"/>
      <c r="AL138" s="1102">
        <f>IF(AJ138=0,0,(AK138-AJ138)/AJ138*100)</f>
        <v>0</v>
      </c>
      <c r="AM138" s="4591"/>
      <c r="AN138" s="4591"/>
      <c r="AO138" s="1102">
        <f>IF(AM138=0,0,(AN138-AM138)/AM138*100)</f>
        <v>0</v>
      </c>
      <c r="AP138" s="4591"/>
      <c r="AQ138" s="4591"/>
      <c r="AR138" s="1102">
        <f>IF(AP138=0,0,(AQ138-AP138)/AP138*100)</f>
        <v>0</v>
      </c>
      <c r="AS138" s="4591"/>
      <c r="AT138" s="4591"/>
      <c r="AU138" s="1102">
        <f>IF(AS138=0,0,(AT138-AS138)/AS138*100)</f>
        <v>0</v>
      </c>
      <c r="AV138" s="4591"/>
      <c r="AW138" s="4591"/>
      <c r="AX138" s="1102">
        <f>IF(AV138=0,0,(AW138-AV138)/AV138*100)</f>
        <v>0</v>
      </c>
      <c r="AY138" s="4591"/>
      <c r="AZ138" s="4591"/>
      <c r="BA138" s="1102">
        <f>IF(AY138=0,0,(AZ138-AY138)/AY138*100)</f>
        <v>0</v>
      </c>
      <c r="BB138" s="4591"/>
      <c r="BC138" s="4591"/>
      <c r="BD138" s="1102">
        <f>IF(BB138=0,0,(BC138-BB138)/BB138*100)</f>
        <v>0</v>
      </c>
      <c r="BE138" s="4591"/>
      <c r="BF138" s="4591"/>
      <c r="BG138" s="1102">
        <f>IF(BE138=0,0,(BF138-BE138)/BE138*100)</f>
        <v>0</v>
      </c>
      <c r="BH138" s="4591"/>
      <c r="BI138" s="4591"/>
      <c r="BJ138" s="1102">
        <f>IF(BH138=0,0,(BI138-BH138)/BH138*100)</f>
        <v>0</v>
      </c>
      <c r="BK138" s="4591"/>
      <c r="BL138" s="4591"/>
      <c r="BM138" s="1102">
        <f>IF(BK138=0,0,(BL138-BK138)/BK138*100)</f>
        <v>0</v>
      </c>
      <c r="BN138" s="4591"/>
      <c r="BO138" s="4591"/>
      <c r="BP138" s="1102">
        <f>IF(BN138=0,0,(BO138-BN138)/BN138*100)</f>
        <v>0</v>
      </c>
      <c r="BQ138" s="4591"/>
      <c r="BR138" s="4591"/>
      <c r="BS138" s="1102">
        <f>IF(BQ138=0,0,(BR138-BQ138)/BQ138*100)</f>
        <v>0</v>
      </c>
      <c r="BT138" s="4591"/>
      <c r="BU138" s="4591"/>
      <c r="BV138" s="1102">
        <f>IF(BT138=0,0,(BU138-BT138)/BT138*100)</f>
        <v>0</v>
      </c>
      <c r="BW138" s="4591"/>
      <c r="BX138" s="4591"/>
      <c r="BY138" s="1102">
        <f>IF(BW138=0,0,(BX138-BW138)/BW138*100)</f>
        <v>0</v>
      </c>
      <c r="BZ138" s="4591"/>
      <c r="CA138" s="4591"/>
      <c r="CB138" s="1102">
        <f>IF(BZ138=0,0,(CA138-BZ138)/BZ138*100)</f>
        <v>0</v>
      </c>
      <c r="CC138" s="4591"/>
      <c r="CD138" s="4591"/>
      <c r="CE138" s="1102">
        <f>IF(CC138=0,0,(CD138-CC138)/CC138*100)</f>
        <v>0</v>
      </c>
      <c r="CF138" s="4591"/>
      <c r="CG138" s="4591"/>
      <c r="CH138" s="1102">
        <f>IF(CF138=0,0,(CG138-CF138)/CF138*100)</f>
        <v>0</v>
      </c>
      <c r="CI138" s="4591"/>
      <c r="CJ138" s="4591"/>
      <c r="CK138" s="1102">
        <f>IF(CI138=0,0,(CJ138-CI138)/CI138*100)</f>
        <v>0</v>
      </c>
      <c r="CL138" s="4591"/>
      <c r="CM138" s="4591"/>
      <c r="CN138" s="1102">
        <f>IF(CL138=0,0,(CM138-CL138)/CL138*100)</f>
        <v>0</v>
      </c>
      <c r="CO138" s="4591"/>
      <c r="CP138" s="4591"/>
      <c r="CQ138" s="1102">
        <f>IF(CO138=0,0,(CP138-CO138)/CO138*100)</f>
        <v>0</v>
      </c>
      <c r="CR138" s="4591"/>
      <c r="CS138" s="4591"/>
      <c r="CT138" s="1102">
        <f>IF(CR138=0,0,(CS138-CR138)/CR138*100)</f>
        <v>0</v>
      </c>
      <c r="CU138" s="4591"/>
      <c r="CV138" s="4591"/>
      <c r="CW138" s="1102">
        <f>IF(CU138=0,0,(CV138-CU138)/CU138*100)</f>
        <v>0</v>
      </c>
      <c r="CX138" s="4591"/>
      <c r="CY138" s="4591"/>
      <c r="CZ138" s="1102">
        <f>IF(CX138=0,0,(CY138-CX138)/CX138*100)</f>
        <v>0</v>
      </c>
      <c r="DA138" s="4591"/>
      <c r="DB138" s="4591"/>
      <c r="DC138" s="1102">
        <f>IF(DA138=0,0,(DB138-DA138)/DA138*100)</f>
        <v>0</v>
      </c>
      <c r="DD138" s="4591"/>
      <c r="DE138" s="4591"/>
      <c r="DF138" s="1102">
        <f>IF(DD138=0,0,(DE138-DD138)/DD138*100)</f>
        <v>0</v>
      </c>
      <c r="DG138" s="4591"/>
      <c r="DH138" s="4591"/>
      <c r="DI138" s="1102">
        <f>IF(DG138=0,0,(DH138-DG138)/DG138*100)</f>
        <v>0</v>
      </c>
      <c r="DJ138" s="4591"/>
      <c r="DK138" s="4591"/>
      <c r="DL138" s="1102">
        <f>IF(DJ138=0,0,(DK138-DJ138)/DJ138*100)</f>
        <v>0</v>
      </c>
      <c r="DM138" s="4591"/>
      <c r="DN138" s="4591"/>
      <c r="DO138" s="1102">
        <f>IF(DM138=0,0,(DN138-DM138)/DM138*100)</f>
        <v>0</v>
      </c>
      <c r="DP138" s="4591"/>
      <c r="DQ138" s="4591"/>
      <c r="DR138" s="1102">
        <f>IF(DP138=0,0,(DQ138-DP138)/DP138*100)</f>
        <v>0</v>
      </c>
      <c r="DS138" s="4591"/>
      <c r="DT138" s="4591"/>
      <c r="DU138" s="1102">
        <f>IF(DS138=0,0,(DT138-DS138)/DS138*100)</f>
        <v>0</v>
      </c>
      <c r="DV138" s="4591"/>
      <c r="DW138" s="4591"/>
      <c r="DX138" s="1102">
        <f>IF(DV138=0,0,(DW138-DV138)/DV138*100)</f>
        <v>0</v>
      </c>
      <c r="DY138" s="4591"/>
      <c r="DZ138" s="4591"/>
      <c r="EA138" s="1102">
        <f>IF(DY138=0,0,(DZ138-DY138)/DY138*100)</f>
        <v>0</v>
      </c>
      <c r="EB138" s="4591"/>
      <c r="EC138" s="4591"/>
      <c r="ED138" s="1102">
        <f>IF(EB138=0,0,(EC138-EB138)/EB138*100)</f>
        <v>0</v>
      </c>
      <c r="EE138" s="4591"/>
      <c r="EF138" s="4591"/>
      <c r="EG138" s="1102">
        <f>IF(EE138=0,0,(EF138-EE138)/EE138*100)</f>
        <v>0</v>
      </c>
      <c r="EH138" s="4591"/>
      <c r="EI138" s="4591"/>
      <c r="EJ138" s="1102">
        <f>IF(EH138=0,0,(EI138-EH138)/EH138*100)</f>
        <v>0</v>
      </c>
      <c r="EK138" s="4591"/>
      <c r="EL138" s="4591"/>
      <c r="EM138" s="1102">
        <f>IF(EK138=0,0,(EL138-EK138)/EK138*100)</f>
        <v>0</v>
      </c>
      <c r="EN138" s="4591"/>
      <c r="EO138" s="4591"/>
      <c r="EP138" s="1102">
        <f>IF(EN138=0,0,(EO138-EN138)/EN138*100)</f>
        <v>0</v>
      </c>
      <c r="EQ138" s="4591"/>
      <c r="ER138" s="4591"/>
      <c r="ES138" s="1102">
        <f>IF(EQ138=0,0,(ER138-EQ138)/EQ138*100)</f>
        <v>0</v>
      </c>
      <c r="ET138" s="4591"/>
      <c r="EU138" s="4591"/>
      <c r="EV138" s="1102">
        <f>IF(ET138=0,0,(EU138-ET138)/ET138*100)</f>
        <v>0</v>
      </c>
      <c r="EW138" s="4591"/>
      <c r="EX138" s="4591"/>
      <c r="EY138" s="1102">
        <f>IF(EW138=0,0,(EX138-EW138)/EW138*100)</f>
        <v>0</v>
      </c>
      <c r="EZ138" s="4591"/>
      <c r="FA138" s="4591"/>
      <c r="FB138" s="1102">
        <f>IF(EZ138=0,0,(FA138-EZ138)/EZ138*100)</f>
        <v>0</v>
      </c>
      <c r="FC138" s="4591"/>
      <c r="FD138" s="4591"/>
      <c r="FE138" s="1102">
        <f>IF(FC138=0,0,(FD138-FC138)/FC138*100)</f>
        <v>0</v>
      </c>
      <c r="FF138" s="4591"/>
      <c r="FG138" s="4591"/>
      <c r="FH138" s="1102">
        <f>IF(FF138=0,0,(FG138-FF138)/FF138*100)</f>
        <v>0</v>
      </c>
      <c r="FI138" s="4591"/>
      <c r="FJ138" s="4591"/>
      <c r="FK138" s="1102">
        <f>IF(FI138=0,0,(FJ138-FI138)/FI138*100)</f>
        <v>0</v>
      </c>
      <c r="FL138" s="4591"/>
      <c r="FM138" s="4591"/>
      <c r="FN138" s="1102">
        <f>IF(FL138=0,0,(FM138-FL138)/FL138*100)</f>
        <v>0</v>
      </c>
      <c r="FO138" s="4591"/>
      <c r="FP138" s="4591"/>
      <c r="FQ138" s="1102">
        <f>IF(FO138=0,0,(FP138-FO138)/FO138*100)</f>
        <v>0</v>
      </c>
      <c r="FR138" s="4591"/>
      <c r="FS138" s="4591"/>
      <c r="FT138" s="1102">
        <f>IF(FR138=0,0,(FS138-FR138)/FR138*100)</f>
        <v>0</v>
      </c>
      <c r="FU138" s="4591"/>
      <c r="FV138" s="4591"/>
      <c r="FW138" s="1102">
        <f>IF(FU138=0,0,(FV138-FU138)/FU138*100)</f>
        <v>0</v>
      </c>
      <c r="FX138" s="1328"/>
      <c r="FY138" s="1328"/>
      <c r="FZ138" s="1063" t="s">
        <v>1903</v>
      </c>
      <c r="GA138" s="1330"/>
      <c r="GB138" s="1330"/>
      <c r="GC138" s="1329"/>
      <c r="GD138" s="1329"/>
    </row>
    <row s="1656" customFormat="1" customHeight="1" ht="14.25" hidden="1">
      <c r="A139" s="496"/>
      <c r="B139" s="932" cm="1" t="str">
        <f t="array" ref="B139:B139">B138</f>
        <v>false</v>
      </c>
      <c r="C139" s="496"/>
      <c r="D139" s="496"/>
      <c r="E139" s="847">
        <v>15</v>
      </c>
      <c r="F139" s="50" cm="1" t="str">
        <f t="array" ref="F139:F139">OFFSET(E139,-1,1)</f>
        <v>1</v>
      </c>
      <c r="G139" s="496"/>
      <c r="H139" s="496" t="s">
        <v>1904</v>
      </c>
      <c r="I139" s="496" t="s">
        <v>1860</v>
      </c>
      <c r="J139" s="496"/>
      <c r="K139" s="496"/>
      <c r="L139" s="496"/>
      <c r="M139" s="496"/>
      <c r="N139" s="496"/>
      <c r="O139" s="496"/>
      <c r="P139" s="496"/>
      <c r="Q139" s="496"/>
      <c r="R139" s="496"/>
      <c r="S139" s="496"/>
      <c r="T139" s="468" cm="1" t="str">
        <f t="array" ref="T139:T139">T138</f>
        <v>true</v>
      </c>
      <c r="U139" s="496"/>
      <c r="V139" s="496"/>
      <c r="W139" s="496"/>
      <c r="X139" s="1559"/>
      <c r="Y139" s="496"/>
      <c r="Z139" s="1528"/>
      <c r="AA139" s="496"/>
      <c r="AB139" s="911" t="s">
        <v>1905</v>
      </c>
      <c r="AC139" s="871" t="s">
        <v>1906</v>
      </c>
      <c r="AD139" s="4591"/>
      <c r="AE139" s="4591"/>
      <c r="AF139" s="1102">
        <f>IF(AD139=0,0,(AE139-AD139)/AD139*100)</f>
        <v>0</v>
      </c>
      <c r="AG139" s="4591"/>
      <c r="AH139" s="4591"/>
      <c r="AI139" s="1102">
        <f>IF(AG139=0,0,(AH139-AG139)/AG139*100)</f>
        <v>0</v>
      </c>
      <c r="AJ139" s="4591"/>
      <c r="AK139" s="4591"/>
      <c r="AL139" s="1102">
        <f>IF(AJ139=0,0,(AK139-AJ139)/AJ139*100)</f>
        <v>0</v>
      </c>
      <c r="AM139" s="4591"/>
      <c r="AN139" s="4591"/>
      <c r="AO139" s="1102">
        <f>IF(AM139=0,0,(AN139-AM139)/AM139*100)</f>
        <v>0</v>
      </c>
      <c r="AP139" s="4591"/>
      <c r="AQ139" s="4591"/>
      <c r="AR139" s="1102">
        <f>IF(AP139=0,0,(AQ139-AP139)/AP139*100)</f>
        <v>0</v>
      </c>
      <c r="AS139" s="4591"/>
      <c r="AT139" s="4591"/>
      <c r="AU139" s="1102">
        <f>IF(AS139=0,0,(AT139-AS139)/AS139*100)</f>
        <v>0</v>
      </c>
      <c r="AV139" s="4591"/>
      <c r="AW139" s="4591"/>
      <c r="AX139" s="1102">
        <f>IF(AV139=0,0,(AW139-AV139)/AV139*100)</f>
        <v>0</v>
      </c>
      <c r="AY139" s="4591"/>
      <c r="AZ139" s="4591"/>
      <c r="BA139" s="1102">
        <f>IF(AY139=0,0,(AZ139-AY139)/AY139*100)</f>
        <v>0</v>
      </c>
      <c r="BB139" s="4591"/>
      <c r="BC139" s="4591"/>
      <c r="BD139" s="1102">
        <f>IF(BB139=0,0,(BC139-BB139)/BB139*100)</f>
        <v>0</v>
      </c>
      <c r="BE139" s="4591"/>
      <c r="BF139" s="4591"/>
      <c r="BG139" s="1102">
        <f>IF(BE139=0,0,(BF139-BE139)/BE139*100)</f>
        <v>0</v>
      </c>
      <c r="BH139" s="4591"/>
      <c r="BI139" s="4591"/>
      <c r="BJ139" s="1102">
        <f>IF(BH139=0,0,(BI139-BH139)/BH139*100)</f>
        <v>0</v>
      </c>
      <c r="BK139" s="4591"/>
      <c r="BL139" s="4591"/>
      <c r="BM139" s="1102">
        <f>IF(BK139=0,0,(BL139-BK139)/BK139*100)</f>
        <v>0</v>
      </c>
      <c r="BN139" s="4591"/>
      <c r="BO139" s="4591"/>
      <c r="BP139" s="1102">
        <f>IF(BN139=0,0,(BO139-BN139)/BN139*100)</f>
        <v>0</v>
      </c>
      <c r="BQ139" s="4591"/>
      <c r="BR139" s="4591"/>
      <c r="BS139" s="1102">
        <f>IF(BQ139=0,0,(BR139-BQ139)/BQ139*100)</f>
        <v>0</v>
      </c>
      <c r="BT139" s="4591"/>
      <c r="BU139" s="4591"/>
      <c r="BV139" s="1102">
        <f>IF(BT139=0,0,(BU139-BT139)/BT139*100)</f>
        <v>0</v>
      </c>
      <c r="BW139" s="4591"/>
      <c r="BX139" s="4591"/>
      <c r="BY139" s="1102">
        <f>IF(BW139=0,0,(BX139-BW139)/BW139*100)</f>
        <v>0</v>
      </c>
      <c r="BZ139" s="4591"/>
      <c r="CA139" s="4591"/>
      <c r="CB139" s="1102">
        <f>IF(BZ139=0,0,(CA139-BZ139)/BZ139*100)</f>
        <v>0</v>
      </c>
      <c r="CC139" s="4591"/>
      <c r="CD139" s="4591"/>
      <c r="CE139" s="1102">
        <f>IF(CC139=0,0,(CD139-CC139)/CC139*100)</f>
        <v>0</v>
      </c>
      <c r="CF139" s="4591"/>
      <c r="CG139" s="4591"/>
      <c r="CH139" s="1102">
        <f>IF(CF139=0,0,(CG139-CF139)/CF139*100)</f>
        <v>0</v>
      </c>
      <c r="CI139" s="4591"/>
      <c r="CJ139" s="4591"/>
      <c r="CK139" s="1102">
        <f>IF(CI139=0,0,(CJ139-CI139)/CI139*100)</f>
        <v>0</v>
      </c>
      <c r="CL139" s="4591"/>
      <c r="CM139" s="4591"/>
      <c r="CN139" s="1102">
        <f>IF(CL139=0,0,(CM139-CL139)/CL139*100)</f>
        <v>0</v>
      </c>
      <c r="CO139" s="4591"/>
      <c r="CP139" s="4591"/>
      <c r="CQ139" s="1102">
        <f>IF(CO139=0,0,(CP139-CO139)/CO139*100)</f>
        <v>0</v>
      </c>
      <c r="CR139" s="4591"/>
      <c r="CS139" s="4591"/>
      <c r="CT139" s="1102">
        <f>IF(CR139=0,0,(CS139-CR139)/CR139*100)</f>
        <v>0</v>
      </c>
      <c r="CU139" s="4591"/>
      <c r="CV139" s="4591"/>
      <c r="CW139" s="1102">
        <f>IF(CU139=0,0,(CV139-CU139)/CU139*100)</f>
        <v>0</v>
      </c>
      <c r="CX139" s="4591"/>
      <c r="CY139" s="4591"/>
      <c r="CZ139" s="1102">
        <f>IF(CX139=0,0,(CY139-CX139)/CX139*100)</f>
        <v>0</v>
      </c>
      <c r="DA139" s="4591"/>
      <c r="DB139" s="4591"/>
      <c r="DC139" s="1102">
        <f>IF(DA139=0,0,(DB139-DA139)/DA139*100)</f>
        <v>0</v>
      </c>
      <c r="DD139" s="4591"/>
      <c r="DE139" s="4591"/>
      <c r="DF139" s="1102">
        <f>IF(DD139=0,0,(DE139-DD139)/DD139*100)</f>
        <v>0</v>
      </c>
      <c r="DG139" s="4591"/>
      <c r="DH139" s="4591"/>
      <c r="DI139" s="1102">
        <f>IF(DG139=0,0,(DH139-DG139)/DG139*100)</f>
        <v>0</v>
      </c>
      <c r="DJ139" s="4591"/>
      <c r="DK139" s="4591"/>
      <c r="DL139" s="1102">
        <f>IF(DJ139=0,0,(DK139-DJ139)/DJ139*100)</f>
        <v>0</v>
      </c>
      <c r="DM139" s="4591"/>
      <c r="DN139" s="4591"/>
      <c r="DO139" s="1102">
        <f>IF(DM139=0,0,(DN139-DM139)/DM139*100)</f>
        <v>0</v>
      </c>
      <c r="DP139" s="4591"/>
      <c r="DQ139" s="4591"/>
      <c r="DR139" s="1102">
        <f>IF(DP139=0,0,(DQ139-DP139)/DP139*100)</f>
        <v>0</v>
      </c>
      <c r="DS139" s="4591"/>
      <c r="DT139" s="4591"/>
      <c r="DU139" s="1102">
        <f>IF(DS139=0,0,(DT139-DS139)/DS139*100)</f>
        <v>0</v>
      </c>
      <c r="DV139" s="4591"/>
      <c r="DW139" s="4591"/>
      <c r="DX139" s="1102">
        <f>IF(DV139=0,0,(DW139-DV139)/DV139*100)</f>
        <v>0</v>
      </c>
      <c r="DY139" s="4591"/>
      <c r="DZ139" s="4591"/>
      <c r="EA139" s="1102">
        <f>IF(DY139=0,0,(DZ139-DY139)/DY139*100)</f>
        <v>0</v>
      </c>
      <c r="EB139" s="4591"/>
      <c r="EC139" s="4591"/>
      <c r="ED139" s="1102">
        <f>IF(EB139=0,0,(EC139-EB139)/EB139*100)</f>
        <v>0</v>
      </c>
      <c r="EE139" s="4591"/>
      <c r="EF139" s="4591"/>
      <c r="EG139" s="1102">
        <f>IF(EE139=0,0,(EF139-EE139)/EE139*100)</f>
        <v>0</v>
      </c>
      <c r="EH139" s="4591"/>
      <c r="EI139" s="4591"/>
      <c r="EJ139" s="1102">
        <f>IF(EH139=0,0,(EI139-EH139)/EH139*100)</f>
        <v>0</v>
      </c>
      <c r="EK139" s="4591"/>
      <c r="EL139" s="4591"/>
      <c r="EM139" s="1102">
        <f>IF(EK139=0,0,(EL139-EK139)/EK139*100)</f>
        <v>0</v>
      </c>
      <c r="EN139" s="4591"/>
      <c r="EO139" s="4591"/>
      <c r="EP139" s="1102">
        <f>IF(EN139=0,0,(EO139-EN139)/EN139*100)</f>
        <v>0</v>
      </c>
      <c r="EQ139" s="4591"/>
      <c r="ER139" s="4591"/>
      <c r="ES139" s="1102">
        <f>IF(EQ139=0,0,(ER139-EQ139)/EQ139*100)</f>
        <v>0</v>
      </c>
      <c r="ET139" s="4591"/>
      <c r="EU139" s="4591"/>
      <c r="EV139" s="1102">
        <f>IF(ET139=0,0,(EU139-ET139)/ET139*100)</f>
        <v>0</v>
      </c>
      <c r="EW139" s="4591"/>
      <c r="EX139" s="4591"/>
      <c r="EY139" s="1102">
        <f>IF(EW139=0,0,(EX139-EW139)/EW139*100)</f>
        <v>0</v>
      </c>
      <c r="EZ139" s="4591"/>
      <c r="FA139" s="4591"/>
      <c r="FB139" s="1102">
        <f>IF(EZ139=0,0,(FA139-EZ139)/EZ139*100)</f>
        <v>0</v>
      </c>
      <c r="FC139" s="4591"/>
      <c r="FD139" s="4591"/>
      <c r="FE139" s="1102">
        <f>IF(FC139=0,0,(FD139-FC139)/FC139*100)</f>
        <v>0</v>
      </c>
      <c r="FF139" s="4591"/>
      <c r="FG139" s="4591"/>
      <c r="FH139" s="1102">
        <f>IF(FF139=0,0,(FG139-FF139)/FF139*100)</f>
        <v>0</v>
      </c>
      <c r="FI139" s="4591"/>
      <c r="FJ139" s="4591"/>
      <c r="FK139" s="1102">
        <f>IF(FI139=0,0,(FJ139-FI139)/FI139*100)</f>
        <v>0</v>
      </c>
      <c r="FL139" s="4591"/>
      <c r="FM139" s="4591"/>
      <c r="FN139" s="1102">
        <f>IF(FL139=0,0,(FM139-FL139)/FL139*100)</f>
        <v>0</v>
      </c>
      <c r="FO139" s="4591"/>
      <c r="FP139" s="4591"/>
      <c r="FQ139" s="1102">
        <f>IF(FO139=0,0,(FP139-FO139)/FO139*100)</f>
        <v>0</v>
      </c>
      <c r="FR139" s="4591"/>
      <c r="FS139" s="4591"/>
      <c r="FT139" s="1102">
        <f>IF(FR139=0,0,(FS139-FR139)/FR139*100)</f>
        <v>0</v>
      </c>
      <c r="FU139" s="4591"/>
      <c r="FV139" s="4591"/>
      <c r="FW139" s="1102">
        <f>IF(FU139=0,0,(FV139-FU139)/FU139*100)</f>
        <v>0</v>
      </c>
      <c r="FX139" s="1328"/>
      <c r="FY139" s="1328"/>
      <c r="FZ139" s="1063" t="s">
        <v>1907</v>
      </c>
      <c r="GA139" s="1330"/>
      <c r="GB139" s="1330"/>
      <c r="GC139" s="1329"/>
      <c r="GD139" s="1329"/>
    </row>
    <row s="1656" customFormat="1" customHeight="1" ht="23.25" hidden="1">
      <c r="A140" s="496"/>
      <c r="B140" s="932" cm="1" t="str">
        <f t="array" ref="B140:B140">B139</f>
        <v>false</v>
      </c>
      <c r="C140" s="496"/>
      <c r="D140" s="496"/>
      <c r="E140" s="847">
        <v>24.5</v>
      </c>
      <c r="F140" s="50" cm="1" t="str">
        <f t="array" ref="F140:F140">OFFSET(E140,-1,1)</f>
        <v>1</v>
      </c>
      <c r="G140" s="496"/>
      <c r="H140" s="496"/>
      <c r="I140" s="496"/>
      <c r="J140" s="496"/>
      <c r="K140" s="496"/>
      <c r="L140" s="496"/>
      <c r="M140" s="496"/>
      <c r="N140" s="496"/>
      <c r="O140" s="496"/>
      <c r="P140" s="496"/>
      <c r="Q140" s="496"/>
      <c r="R140" s="496"/>
      <c r="S140" s="496"/>
      <c r="T140" s="468" cm="1" t="str">
        <f t="array" ref="T140:T140">T139</f>
        <v>true</v>
      </c>
      <c r="U140" s="496"/>
      <c r="V140" s="496"/>
      <c r="W140" s="496"/>
      <c r="X140" s="1559"/>
      <c r="Y140" s="496"/>
      <c r="Z140" s="1528"/>
      <c r="AA140" s="496"/>
      <c r="AB140" s="289" t="s">
        <v>1908</v>
      </c>
      <c r="AC140" s="910"/>
      <c r="AD140" s="1111"/>
      <c r="AE140" s="1111"/>
      <c r="AF140" s="1111"/>
      <c r="AG140" s="1111"/>
      <c r="AH140" s="1111"/>
      <c r="AI140" s="1111"/>
      <c r="AJ140" s="1111"/>
      <c r="AK140" s="1111"/>
      <c r="AL140" s="1111"/>
      <c r="AM140" s="1111"/>
      <c r="AN140" s="1111"/>
      <c r="AO140" s="1111"/>
      <c r="AP140" s="1111"/>
      <c r="AQ140" s="1111"/>
      <c r="AR140" s="1111"/>
      <c r="AS140" s="1111"/>
      <c r="AT140" s="1111"/>
      <c r="AU140" s="1111"/>
      <c r="AV140" s="1111"/>
      <c r="AW140" s="1111"/>
      <c r="AX140" s="1111"/>
      <c r="AY140" s="1111"/>
      <c r="AZ140" s="1111"/>
      <c r="BA140" s="1111"/>
      <c r="BB140" s="1111"/>
      <c r="BC140" s="1111"/>
      <c r="BD140" s="1111"/>
      <c r="BE140" s="1111"/>
      <c r="BF140" s="1111"/>
      <c r="BG140" s="1111"/>
      <c r="BH140" s="1111"/>
      <c r="BI140" s="1111"/>
      <c r="BJ140" s="1111"/>
      <c r="BK140" s="1111"/>
      <c r="BL140" s="1111"/>
      <c r="BM140" s="1111"/>
      <c r="BN140" s="1111"/>
      <c r="BO140" s="1111"/>
      <c r="BP140" s="1111"/>
      <c r="BQ140" s="1111"/>
      <c r="BR140" s="1111"/>
      <c r="BS140" s="1111"/>
      <c r="BT140" s="1111"/>
      <c r="BU140" s="1111"/>
      <c r="BV140" s="1111"/>
      <c r="BW140" s="1111"/>
      <c r="BX140" s="1111"/>
      <c r="BY140" s="1111"/>
      <c r="BZ140" s="1111"/>
      <c r="CA140" s="1111"/>
      <c r="CB140" s="1111"/>
      <c r="CC140" s="1111"/>
      <c r="CD140" s="1111"/>
      <c r="CE140" s="1111"/>
      <c r="CF140" s="1111"/>
      <c r="CG140" s="1111"/>
      <c r="CH140" s="1111"/>
      <c r="CI140" s="1111"/>
      <c r="CJ140" s="1111"/>
      <c r="CK140" s="1111"/>
      <c r="CL140" s="1111"/>
      <c r="CM140" s="1111"/>
      <c r="CN140" s="1111"/>
      <c r="CO140" s="1111"/>
      <c r="CP140" s="1111"/>
      <c r="CQ140" s="1111"/>
      <c r="CR140" s="1111"/>
      <c r="CS140" s="1111"/>
      <c r="CT140" s="1111"/>
      <c r="CU140" s="1111"/>
      <c r="CV140" s="1111"/>
      <c r="CW140" s="1111"/>
      <c r="CX140" s="1111"/>
      <c r="CY140" s="1111"/>
      <c r="CZ140" s="1111"/>
      <c r="DA140" s="1111"/>
      <c r="DB140" s="1111"/>
      <c r="DC140" s="1111"/>
      <c r="DD140" s="1111"/>
      <c r="DE140" s="1111"/>
      <c r="DF140" s="1111"/>
      <c r="DG140" s="1111"/>
      <c r="DH140" s="1111"/>
      <c r="DI140" s="1111"/>
      <c r="DJ140" s="1111"/>
      <c r="DK140" s="1111"/>
      <c r="DL140" s="1111"/>
      <c r="DM140" s="1111"/>
      <c r="DN140" s="1111"/>
      <c r="DO140" s="1111"/>
      <c r="DP140" s="1111"/>
      <c r="DQ140" s="1111"/>
      <c r="DR140" s="1111"/>
      <c r="DS140" s="1111"/>
      <c r="DT140" s="1111"/>
      <c r="DU140" s="1111"/>
      <c r="DV140" s="1111"/>
      <c r="DW140" s="1111"/>
      <c r="DX140" s="1111"/>
      <c r="DY140" s="1111"/>
      <c r="DZ140" s="1111"/>
      <c r="EA140" s="1111"/>
      <c r="EB140" s="1111"/>
      <c r="EC140" s="1111"/>
      <c r="ED140" s="1111"/>
      <c r="EE140" s="1111"/>
      <c r="EF140" s="1111"/>
      <c r="EG140" s="1111"/>
      <c r="EH140" s="1111"/>
      <c r="EI140" s="1111"/>
      <c r="EJ140" s="1111"/>
      <c r="EK140" s="1111"/>
      <c r="EL140" s="1111"/>
      <c r="EM140" s="1111"/>
      <c r="EN140" s="1111"/>
      <c r="EO140" s="1111"/>
      <c r="EP140" s="1111"/>
      <c r="EQ140" s="1111"/>
      <c r="ER140" s="1111"/>
      <c r="ES140" s="1111"/>
      <c r="ET140" s="1111"/>
      <c r="EU140" s="1111"/>
      <c r="EV140" s="1111"/>
      <c r="EW140" s="1111"/>
      <c r="EX140" s="1111"/>
      <c r="EY140" s="1111"/>
      <c r="EZ140" s="1111"/>
      <c r="FA140" s="1111"/>
      <c r="FB140" s="1111"/>
      <c r="FC140" s="1111"/>
      <c r="FD140" s="1111"/>
      <c r="FE140" s="1111"/>
      <c r="FF140" s="1111"/>
      <c r="FG140" s="1111"/>
      <c r="FH140" s="1111"/>
      <c r="FI140" s="1111"/>
      <c r="FJ140" s="1111"/>
      <c r="FK140" s="1111"/>
      <c r="FL140" s="1111"/>
      <c r="FM140" s="1111"/>
      <c r="FN140" s="1111"/>
      <c r="FO140" s="1111"/>
      <c r="FP140" s="1111"/>
      <c r="FQ140" s="1111"/>
      <c r="FR140" s="1111"/>
      <c r="FS140" s="1111"/>
      <c r="FT140" s="1111"/>
      <c r="FU140" s="1111"/>
      <c r="FV140" s="1111"/>
      <c r="FW140" s="1112"/>
      <c r="FX140" s="1328"/>
      <c r="FY140" s="1328"/>
      <c r="FZ140" s="1063"/>
      <c r="GA140" s="1330"/>
      <c r="GB140" s="1330"/>
      <c r="GC140" s="1329"/>
      <c r="GD140" s="1329"/>
    </row>
    <row s="1656" customFormat="1" customHeight="1" ht="14.25" hidden="1">
      <c r="A141" s="496"/>
      <c r="B141" s="932" cm="1" t="str">
        <f t="array" ref="B141:B141">B140</f>
        <v>false</v>
      </c>
      <c r="C141" s="496"/>
      <c r="D141" s="496"/>
      <c r="E141" s="847">
        <v>15</v>
      </c>
      <c r="F141" s="50" cm="1" t="str">
        <f t="array" ref="F141:F141">OFFSET(E141,-1,1)</f>
        <v>1</v>
      </c>
      <c r="G141" s="496"/>
      <c r="H141" s="496" t="s">
        <v>1787</v>
      </c>
      <c r="I141" s="496" t="s">
        <v>1865</v>
      </c>
      <c r="J141" s="496"/>
      <c r="K141" s="496"/>
      <c r="L141" s="496"/>
      <c r="M141" s="496"/>
      <c r="N141" s="496"/>
      <c r="O141" s="496"/>
      <c r="P141" s="496"/>
      <c r="Q141" s="496"/>
      <c r="R141" s="496"/>
      <c r="S141" s="496"/>
      <c r="T141" s="468" cm="1" t="str">
        <f t="array" ref="T141:T141">T140</f>
        <v>true</v>
      </c>
      <c r="U141" s="496"/>
      <c r="V141" s="496"/>
      <c r="W141" s="496"/>
      <c r="X141" s="1559"/>
      <c r="Y141" s="496"/>
      <c r="Z141" s="1528"/>
      <c r="AA141" s="496"/>
      <c r="AB141" s="1100" t="s">
        <v>1895</v>
      </c>
      <c r="AC141" s="871" t="s">
        <v>1862</v>
      </c>
      <c r="AD141" s="4591">
        <f>IF(AD143=0,0,(AD142*AD143+AD144*AD145*IF(god=2026,3,6))/AD143)</f>
        <v>0</v>
      </c>
      <c r="AE141" s="4591">
        <f>IF(AE143=0,0,(AE142*AE143+AE144*AE145*IF(god=2026,3,6))/AE143)</f>
        <v>0</v>
      </c>
      <c r="AF141" s="1102">
        <f>IF(AD141=0,0,(AE141-AD141)/AD141*100)</f>
        <v>0</v>
      </c>
      <c r="AG141" s="4591">
        <f>IF(AG143=0,0,(AG142*AG143+AG144*AG145*IF(god=2025,3,6))/AG143)</f>
        <v>0</v>
      </c>
      <c r="AH141" s="4591">
        <f>IF(AH143=0,0,(AH142*AH143+AH144*AH145*IF(god=2025,3,6))/AH143)</f>
        <v>0</v>
      </c>
      <c r="AI141" s="1102">
        <f>IF(AG141=0,0,(AH141-AG141)/AG141*100)</f>
        <v>0</v>
      </c>
      <c r="AJ141" s="4591">
        <f>IF(AJ143=0,0,(AJ142*AJ143+AJ144*AJ145*6)/AJ143)</f>
        <v>0</v>
      </c>
      <c r="AK141" s="4591">
        <f>IF(AK143=0,0,(AK142*AK143+AK144*AK145*6)/AK143)</f>
        <v>0</v>
      </c>
      <c r="AL141" s="1102">
        <f>IF(AJ141=0,0,(AK141-AJ141)/AJ141*100)</f>
        <v>0</v>
      </c>
      <c r="AM141" s="4591">
        <f>IF(AM143=0,0,(AM142*AM143+AM144*AM145*6)/AM143)</f>
        <v>0</v>
      </c>
      <c r="AN141" s="4591">
        <f>IF(AN143=0,0,(AN142*AN143+AN144*AN145*6)/AN143)</f>
        <v>0</v>
      </c>
      <c r="AO141" s="1102">
        <f>IF(AM141=0,0,(AN141-AM141)/AM141*100)</f>
        <v>0</v>
      </c>
      <c r="AP141" s="4591">
        <f>IF(AP143=0,0,(AP142*AP143+AP144*AP145*6)/AP143)</f>
        <v>0</v>
      </c>
      <c r="AQ141" s="4591">
        <f>IF(AQ143=0,0,(AQ142*AQ143+AQ144*AQ145*6)/AQ143)</f>
        <v>0</v>
      </c>
      <c r="AR141" s="1102">
        <f>IF(AP141=0,0,(AQ141-AP141)/AP141*100)</f>
        <v>0</v>
      </c>
      <c r="AS141" s="4591">
        <f>IF(AS143=0,0,(AS142*AS143+AS144*AS145*6)/AS143)</f>
        <v>0</v>
      </c>
      <c r="AT141" s="4591">
        <f>IF(AT143=0,0,(AT142*AT143+AT144*AT145*6)/AT143)</f>
        <v>0</v>
      </c>
      <c r="AU141" s="1102">
        <f>IF(AS141=0,0,(AT141-AS141)/AS141*100)</f>
        <v>0</v>
      </c>
      <c r="AV141" s="4591">
        <f>IF(AV143=0,0,(AV142*AV143+AV144*AV145*6)/AV143)</f>
        <v>0</v>
      </c>
      <c r="AW141" s="4591">
        <f>IF(AW143=0,0,(AW142*AW143+AW144*AW145*6)/AW143)</f>
        <v>0</v>
      </c>
      <c r="AX141" s="1102">
        <f>IF(AV141=0,0,(AW141-AV141)/AV141*100)</f>
        <v>0</v>
      </c>
      <c r="AY141" s="4591">
        <f>IF(AY143=0,0,(AY142*AY143+AY144*AY145*6)/AY143)</f>
        <v>0</v>
      </c>
      <c r="AZ141" s="4591">
        <f>IF(AZ143=0,0,(AZ142*AZ143+AZ144*AZ145*6)/AZ143)</f>
        <v>0</v>
      </c>
      <c r="BA141" s="1102">
        <f>IF(AY141=0,0,(AZ141-AY141)/AY141*100)</f>
        <v>0</v>
      </c>
      <c r="BB141" s="4591">
        <f>IF(BB143=0,0,(BB142*BB143+BB144*BB145*6)/BB143)</f>
        <v>0</v>
      </c>
      <c r="BC141" s="4591">
        <f>IF(BC143=0,0,(BC142*BC143+BC144*BC145*6)/BC143)</f>
        <v>0</v>
      </c>
      <c r="BD141" s="1102">
        <f>IF(BB141=0,0,(BC141-BB141)/BB141*100)</f>
        <v>0</v>
      </c>
      <c r="BE141" s="4591">
        <f>IF(BE143=0,0,(BE142*BE143+BE144*BE145*6)/BE143)</f>
        <v>0</v>
      </c>
      <c r="BF141" s="4591">
        <f>IF(BF143=0,0,(BF142*BF143+BF144*BF145*6)/BF143)</f>
        <v>0</v>
      </c>
      <c r="BG141" s="1102">
        <f>IF(BE141=0,0,(BF141-BE141)/BE141*100)</f>
        <v>0</v>
      </c>
      <c r="BH141" s="4591">
        <f>IF(BH143=0,0,(BH142*BH143+BH144*BH145*6)/BH143)</f>
        <v>0</v>
      </c>
      <c r="BI141" s="4591">
        <f>IF(BI143=0,0,(BI142*BI143+BI144*BI145*6)/BI143)</f>
        <v>0</v>
      </c>
      <c r="BJ141" s="1102">
        <f>IF(BH141=0,0,(BI141-BH141)/BH141*100)</f>
        <v>0</v>
      </c>
      <c r="BK141" s="4591">
        <f>IF(BK143=0,0,(BK142*BK143+BK144*BK145*6)/BK143)</f>
        <v>0</v>
      </c>
      <c r="BL141" s="4591">
        <f>IF(BL143=0,0,(BL142*BL143+BL144*BL145*6)/BL143)</f>
        <v>0</v>
      </c>
      <c r="BM141" s="1102">
        <f>IF(BK141=0,0,(BL141-BK141)/BK141*100)</f>
        <v>0</v>
      </c>
      <c r="BN141" s="4591">
        <f>IF(BN143=0,0,(BN142*BN143+BN144*BN145*6)/BN143)</f>
        <v>0</v>
      </c>
      <c r="BO141" s="4591">
        <f>IF(BO143=0,0,(BO142*BO143+BO144*BO145*6)/BO143)</f>
        <v>0</v>
      </c>
      <c r="BP141" s="1102">
        <f>IF(BN141=0,0,(BO141-BN141)/BN141*100)</f>
        <v>0</v>
      </c>
      <c r="BQ141" s="4591">
        <f>IF(BQ143=0,0,(BQ142*BQ143+BQ144*BQ145*6)/BQ143)</f>
        <v>0</v>
      </c>
      <c r="BR141" s="4591">
        <f>IF(BR143=0,0,(BR142*BR143+BR144*BR145*6)/BR143)</f>
        <v>0</v>
      </c>
      <c r="BS141" s="1102">
        <f>IF(BQ141=0,0,(BR141-BQ141)/BQ141*100)</f>
        <v>0</v>
      </c>
      <c r="BT141" s="4591">
        <f>IF(BT143=0,0,(BT142*BT143+BT144*BT145*6)/BT143)</f>
        <v>0</v>
      </c>
      <c r="BU141" s="4591">
        <f>IF(BU143=0,0,(BU142*BU143+BU144*BU145*6)/BU143)</f>
        <v>0</v>
      </c>
      <c r="BV141" s="1102">
        <f>IF(BT141=0,0,(BU141-BT141)/BT141*100)</f>
        <v>0</v>
      </c>
      <c r="BW141" s="4591">
        <f>IF(BW143=0,0,(BW142*BW143+BW144*BW145*6)/BW143)</f>
        <v>0</v>
      </c>
      <c r="BX141" s="4591">
        <f>IF(BX143=0,0,(BX142*BX143+BX144*BX145*6)/BX143)</f>
        <v>0</v>
      </c>
      <c r="BY141" s="1102">
        <f>IF(BW141=0,0,(BX141-BW141)/BW141*100)</f>
        <v>0</v>
      </c>
      <c r="BZ141" s="4591">
        <f>IF(BZ143=0,0,(BZ142*BZ143+BZ144*BZ145*6)/BZ143)</f>
        <v>0</v>
      </c>
      <c r="CA141" s="4591">
        <f>IF(CA143=0,0,(CA142*CA143+CA144*CA145*6)/CA143)</f>
        <v>0</v>
      </c>
      <c r="CB141" s="1102">
        <f>IF(BZ141=0,0,(CA141-BZ141)/BZ141*100)</f>
        <v>0</v>
      </c>
      <c r="CC141" s="4591">
        <f>IF(CC143=0,0,(CC142*CC143+CC144*CC145*6)/CC143)</f>
        <v>0</v>
      </c>
      <c r="CD141" s="4591">
        <f>IF(CD143=0,0,(CD142*CD143+CD144*CD145*6)/CD143)</f>
        <v>0</v>
      </c>
      <c r="CE141" s="1102">
        <f>IF(CC141=0,0,(CD141-CC141)/CC141*100)</f>
        <v>0</v>
      </c>
      <c r="CF141" s="4591">
        <f>IF(CF143=0,0,(CF142*CF143+CF144*CF145*6)/CF143)</f>
        <v>0</v>
      </c>
      <c r="CG141" s="4591">
        <f>IF(CG143=0,0,(CG142*CG143+CG144*CG145*6)/CG143)</f>
        <v>0</v>
      </c>
      <c r="CH141" s="1102">
        <f>IF(CF141=0,0,(CG141-CF141)/CF141*100)</f>
        <v>0</v>
      </c>
      <c r="CI141" s="4591">
        <f>IF(CI143=0,0,(CI142*CI143+CI144*CI145*6)/CI143)</f>
        <v>0</v>
      </c>
      <c r="CJ141" s="4591">
        <f>IF(CJ143=0,0,(CJ142*CJ143+CJ144*CJ145*6)/CJ143)</f>
        <v>0</v>
      </c>
      <c r="CK141" s="1102">
        <f>IF(CI141=0,0,(CJ141-CI141)/CI141*100)</f>
        <v>0</v>
      </c>
      <c r="CL141" s="4591">
        <f>IF(CL143=0,0,(CL142*CL143+CL144*CL145*6)/CL143)</f>
        <v>0</v>
      </c>
      <c r="CM141" s="4591">
        <f>IF(CM143=0,0,(CM142*CM143+CM144*CM145*6)/CM143)</f>
        <v>0</v>
      </c>
      <c r="CN141" s="1102">
        <f>IF(CL141=0,0,(CM141-CL141)/CL141*100)</f>
        <v>0</v>
      </c>
      <c r="CO141" s="4591">
        <f>IF(CO143=0,0,(CO142*CO143+CO144*CO145*6)/CO143)</f>
        <v>0</v>
      </c>
      <c r="CP141" s="4591">
        <f>IF(CP143=0,0,(CP142*CP143+CP144*CP145*6)/CP143)</f>
        <v>0</v>
      </c>
      <c r="CQ141" s="1102">
        <f>IF(CO141=0,0,(CP141-CO141)/CO141*100)</f>
        <v>0</v>
      </c>
      <c r="CR141" s="4591">
        <f>IF(CR143=0,0,(CR142*CR143+CR144*CR145*6)/CR143)</f>
        <v>0</v>
      </c>
      <c r="CS141" s="4591">
        <f>IF(CS143=0,0,(CS142*CS143+CS144*CS145*6)/CS143)</f>
        <v>0</v>
      </c>
      <c r="CT141" s="1102">
        <f>IF(CR141=0,0,(CS141-CR141)/CR141*100)</f>
        <v>0</v>
      </c>
      <c r="CU141" s="4591">
        <f>IF(CU143=0,0,(CU142*CU143+CU144*CU145*6)/CU143)</f>
        <v>0</v>
      </c>
      <c r="CV141" s="4591">
        <f>IF(CV143=0,0,(CV142*CV143+CV144*CV145*6)/CV143)</f>
        <v>0</v>
      </c>
      <c r="CW141" s="1102">
        <f>IF(CU141=0,0,(CV141-CU141)/CU141*100)</f>
        <v>0</v>
      </c>
      <c r="CX141" s="4591">
        <f>IF(CX143=0,0,(CX142*CX143+CX144*CX145*6)/CX143)</f>
        <v>0</v>
      </c>
      <c r="CY141" s="4591">
        <f>IF(CY143=0,0,(CY142*CY143+CY144*CY145*6)/CY143)</f>
        <v>0</v>
      </c>
      <c r="CZ141" s="1102">
        <f>IF(CX141=0,0,(CY141-CX141)/CX141*100)</f>
        <v>0</v>
      </c>
      <c r="DA141" s="4591">
        <f>IF(DA143=0,0,(DA142*DA143+DA144*DA145*6)/DA143)</f>
        <v>0</v>
      </c>
      <c r="DB141" s="4591">
        <f>IF(DB143=0,0,(DB142*DB143+DB144*DB145*6)/DB143)</f>
        <v>0</v>
      </c>
      <c r="DC141" s="1102">
        <f>IF(DA141=0,0,(DB141-DA141)/DA141*100)</f>
        <v>0</v>
      </c>
      <c r="DD141" s="4591">
        <f>IF(DD143=0,0,(DD142*DD143+DD144*DD145*6)/DD143)</f>
        <v>0</v>
      </c>
      <c r="DE141" s="4591">
        <f>IF(DE143=0,0,(DE142*DE143+DE144*DE145*6)/DE143)</f>
        <v>0</v>
      </c>
      <c r="DF141" s="1102">
        <f>IF(DD141=0,0,(DE141-DD141)/DD141*100)</f>
        <v>0</v>
      </c>
      <c r="DG141" s="4591">
        <f>IF(DG143=0,0,(DG142*DG143+DG144*DG145*6)/DG143)</f>
        <v>0</v>
      </c>
      <c r="DH141" s="4591">
        <f>IF(DH143=0,0,(DH142*DH143+DH144*DH145*6)/DH143)</f>
        <v>0</v>
      </c>
      <c r="DI141" s="1102">
        <f>IF(DG141=0,0,(DH141-DG141)/DG141*100)</f>
        <v>0</v>
      </c>
      <c r="DJ141" s="4591">
        <f>IF(DJ143=0,0,(DJ142*DJ143+DJ144*DJ145*6)/DJ143)</f>
        <v>0</v>
      </c>
      <c r="DK141" s="4591">
        <f>IF(DK143=0,0,(DK142*DK143+DK144*DK145*6)/DK143)</f>
        <v>0</v>
      </c>
      <c r="DL141" s="1102">
        <f>IF(DJ141=0,0,(DK141-DJ141)/DJ141*100)</f>
        <v>0</v>
      </c>
      <c r="DM141" s="4591">
        <f>IF(DM143=0,0,(DM142*DM143+DM144*DM145*6)/DM143)</f>
        <v>0</v>
      </c>
      <c r="DN141" s="4591">
        <f>IF(DN143=0,0,(DN142*DN143+DN144*DN145*6)/DN143)</f>
        <v>0</v>
      </c>
      <c r="DO141" s="1102">
        <f>IF(DM141=0,0,(DN141-DM141)/DM141*100)</f>
        <v>0</v>
      </c>
      <c r="DP141" s="4591">
        <f>IF(DP143=0,0,(DP142*DP143+DP144*DP145*6)/DP143)</f>
        <v>0</v>
      </c>
      <c r="DQ141" s="4591">
        <f>IF(DQ143=0,0,(DQ142*DQ143+DQ144*DQ145*6)/DQ143)</f>
        <v>0</v>
      </c>
      <c r="DR141" s="1102">
        <f>IF(DP141=0,0,(DQ141-DP141)/DP141*100)</f>
        <v>0</v>
      </c>
      <c r="DS141" s="4591">
        <f>IF(DS143=0,0,(DS142*DS143+DS144*DS145*6)/DS143)</f>
        <v>0</v>
      </c>
      <c r="DT141" s="4591">
        <f>IF(DT143=0,0,(DT142*DT143+DT144*DT145*6)/DT143)</f>
        <v>0</v>
      </c>
      <c r="DU141" s="1102">
        <f>IF(DS141=0,0,(DT141-DS141)/DS141*100)</f>
        <v>0</v>
      </c>
      <c r="DV141" s="4591">
        <f>IF(DV143=0,0,(DV142*DV143+DV144*DV145*6)/DV143)</f>
        <v>0</v>
      </c>
      <c r="DW141" s="4591">
        <f>IF(DW143=0,0,(DW142*DW143+DW144*DW145*6)/DW143)</f>
        <v>0</v>
      </c>
      <c r="DX141" s="1102">
        <f>IF(DV141=0,0,(DW141-DV141)/DV141*100)</f>
        <v>0</v>
      </c>
      <c r="DY141" s="4591">
        <f>IF(DY143=0,0,(DY142*DY143+DY144*DY145*6)/DY143)</f>
        <v>0</v>
      </c>
      <c r="DZ141" s="4591">
        <f>IF(DZ143=0,0,(DZ142*DZ143+DZ144*DZ145*6)/DZ143)</f>
        <v>0</v>
      </c>
      <c r="EA141" s="1102">
        <f>IF(DY141=0,0,(DZ141-DY141)/DY141*100)</f>
        <v>0</v>
      </c>
      <c r="EB141" s="4591">
        <f>IF(EB143=0,0,(EB142*EB143+EB144*EB145*6)/EB143)</f>
        <v>0</v>
      </c>
      <c r="EC141" s="4591">
        <f>IF(EC143=0,0,(EC142*EC143+EC144*EC145*6)/EC143)</f>
        <v>0</v>
      </c>
      <c r="ED141" s="1102">
        <f>IF(EB141=0,0,(EC141-EB141)/EB141*100)</f>
        <v>0</v>
      </c>
      <c r="EE141" s="4591">
        <f>IF(EE143=0,0,(EE142*EE143+EE144*EE145*6)/EE143)</f>
        <v>0</v>
      </c>
      <c r="EF141" s="4591">
        <f>IF(EF143=0,0,(EF142*EF143+EF144*EF145*6)/EF143)</f>
        <v>0</v>
      </c>
      <c r="EG141" s="1102">
        <f>IF(EE141=0,0,(EF141-EE141)/EE141*100)</f>
        <v>0</v>
      </c>
      <c r="EH141" s="4591">
        <f>IF(EH143=0,0,(EH142*EH143+EH144*EH145*6)/EH143)</f>
        <v>0</v>
      </c>
      <c r="EI141" s="4591">
        <f>IF(EI143=0,0,(EI142*EI143+EI144*EI145*6)/EI143)</f>
        <v>0</v>
      </c>
      <c r="EJ141" s="1102">
        <f>IF(EH141=0,0,(EI141-EH141)/EH141*100)</f>
        <v>0</v>
      </c>
      <c r="EK141" s="4591">
        <f>IF(EK143=0,0,(EK142*EK143+EK144*EK145*6)/EK143)</f>
        <v>0</v>
      </c>
      <c r="EL141" s="4591">
        <f>IF(EL143=0,0,(EL142*EL143+EL144*EL145*6)/EL143)</f>
        <v>0</v>
      </c>
      <c r="EM141" s="1102">
        <f>IF(EK141=0,0,(EL141-EK141)/EK141*100)</f>
        <v>0</v>
      </c>
      <c r="EN141" s="4591">
        <f>IF(EN143=0,0,(EN142*EN143+EN144*EN145*6)/EN143)</f>
        <v>0</v>
      </c>
      <c r="EO141" s="4591">
        <f>IF(EO143=0,0,(EO142*EO143+EO144*EO145*6)/EO143)</f>
        <v>0</v>
      </c>
      <c r="EP141" s="1102">
        <f>IF(EN141=0,0,(EO141-EN141)/EN141*100)</f>
        <v>0</v>
      </c>
      <c r="EQ141" s="4591">
        <f>IF(EQ143=0,0,(EQ142*EQ143+EQ144*EQ145*6)/EQ143)</f>
        <v>0</v>
      </c>
      <c r="ER141" s="4591">
        <f>IF(ER143=0,0,(ER142*ER143+ER144*ER145*6)/ER143)</f>
        <v>0</v>
      </c>
      <c r="ES141" s="1102">
        <f>IF(EQ141=0,0,(ER141-EQ141)/EQ141*100)</f>
        <v>0</v>
      </c>
      <c r="ET141" s="4591">
        <f>IF(ET143=0,0,(ET142*ET143+ET144*ET145*6)/ET143)</f>
        <v>0</v>
      </c>
      <c r="EU141" s="4591">
        <f>IF(EU143=0,0,(EU142*EU143+EU144*EU145*6)/EU143)</f>
        <v>0</v>
      </c>
      <c r="EV141" s="1102">
        <f>IF(ET141=0,0,(EU141-ET141)/ET141*100)</f>
        <v>0</v>
      </c>
      <c r="EW141" s="4591">
        <f>IF(EW143=0,0,(EW142*EW143+EW144*EW145*6)/EW143)</f>
        <v>0</v>
      </c>
      <c r="EX141" s="4591">
        <f>IF(EX143=0,0,(EX142*EX143+EX144*EX145*6)/EX143)</f>
        <v>0</v>
      </c>
      <c r="EY141" s="1102">
        <f>IF(EW141=0,0,(EX141-EW141)/EW141*100)</f>
        <v>0</v>
      </c>
      <c r="EZ141" s="4591">
        <f>IF(EZ143=0,0,(EZ142*EZ143+EZ144*EZ145*6)/EZ143)</f>
        <v>0</v>
      </c>
      <c r="FA141" s="4591">
        <f>IF(FA143=0,0,(FA142*FA143+FA144*FA145*6)/FA143)</f>
        <v>0</v>
      </c>
      <c r="FB141" s="1102">
        <f>IF(EZ141=0,0,(FA141-EZ141)/EZ141*100)</f>
        <v>0</v>
      </c>
      <c r="FC141" s="4591">
        <f>IF(FC143=0,0,(FC142*FC143+FC144*FC145*6)/FC143)</f>
        <v>0</v>
      </c>
      <c r="FD141" s="4591">
        <f>IF(FD143=0,0,(FD142*FD143+FD144*FD145*6)/FD143)</f>
        <v>0</v>
      </c>
      <c r="FE141" s="1102">
        <f>IF(FC141=0,0,(FD141-FC141)/FC141*100)</f>
        <v>0</v>
      </c>
      <c r="FF141" s="4591">
        <f>IF(FF143=0,0,(FF142*FF143+FF144*FF145*6)/FF143)</f>
        <v>0</v>
      </c>
      <c r="FG141" s="4591">
        <f>IF(FG143=0,0,(FG142*FG143+FG144*FG145*6)/FG143)</f>
        <v>0</v>
      </c>
      <c r="FH141" s="1102">
        <f>IF(FF141=0,0,(FG141-FF141)/FF141*100)</f>
        <v>0</v>
      </c>
      <c r="FI141" s="4591">
        <f>IF(FI143=0,0,(FI142*FI143+FI144*FI145*6)/FI143)</f>
        <v>0</v>
      </c>
      <c r="FJ141" s="4591">
        <f>IF(FJ143=0,0,(FJ142*FJ143+FJ144*FJ145*6)/FJ143)</f>
        <v>0</v>
      </c>
      <c r="FK141" s="1102">
        <f>IF(FI141=0,0,(FJ141-FI141)/FI141*100)</f>
        <v>0</v>
      </c>
      <c r="FL141" s="4591">
        <f>IF(FL143=0,0,(FL142*FL143+FL144*FL145*6)/FL143)</f>
        <v>0</v>
      </c>
      <c r="FM141" s="4591">
        <f>IF(FM143=0,0,(FM142*FM143+FM144*FM145*6)/FM143)</f>
        <v>0</v>
      </c>
      <c r="FN141" s="1102">
        <f>IF(FL141=0,0,(FM141-FL141)/FL141*100)</f>
        <v>0</v>
      </c>
      <c r="FO141" s="4591">
        <f>IF(FO143=0,0,(FO142*FO143+FO144*FO145*6)/FO143)</f>
        <v>0</v>
      </c>
      <c r="FP141" s="4591">
        <f>IF(FP143=0,0,(FP142*FP143+FP144*FP145*6)/FP143)</f>
        <v>0</v>
      </c>
      <c r="FQ141" s="1102">
        <f>IF(FO141=0,0,(FP141-FO141)/FO141*100)</f>
        <v>0</v>
      </c>
      <c r="FR141" s="4591">
        <f>IF(FR143=0,0,(FR142*FR143+FR144*FR145*6)/FR143)</f>
        <v>0</v>
      </c>
      <c r="FS141" s="4591">
        <f>IF(FS143=0,0,(FS142*FS143+FS144*FS145*6)/FS143)</f>
        <v>0</v>
      </c>
      <c r="FT141" s="1102">
        <f>IF(FR141=0,0,(FS141-FR141)/FR141*100)</f>
        <v>0</v>
      </c>
      <c r="FU141" s="4591">
        <f>IF(FU143=0,0,(FU142*FU143+FU144*FU145*6)/FU143)</f>
        <v>0</v>
      </c>
      <c r="FV141" s="4591">
        <f>IF(FV143=0,0,(FV142*FV143+FV144*FV145*6)/FV143)</f>
        <v>0</v>
      </c>
      <c r="FW141" s="1102">
        <f>IF(FU141=0,0,(FV141-FU141)/FU141*100)</f>
        <v>0</v>
      </c>
      <c r="FX141" s="1328"/>
      <c r="FY141" s="1328"/>
      <c r="FZ141" s="1063" t="s">
        <v>1909</v>
      </c>
      <c r="GA141" s="1330"/>
      <c r="GB141" s="1330"/>
      <c r="GC141" s="1329"/>
      <c r="GD141" s="1329"/>
    </row>
    <row s="1656" customFormat="1" customHeight="1" ht="14.25" hidden="1">
      <c r="A142" s="496"/>
      <c r="B142" s="932" cm="1" t="str">
        <f t="array" ref="B142:B142">B141</f>
        <v>false</v>
      </c>
      <c r="C142" s="496"/>
      <c r="D142" s="496"/>
      <c r="E142" s="847">
        <v>15</v>
      </c>
      <c r="F142" s="50" cm="1" t="str">
        <f t="array" ref="F142:F142">OFFSET(E142,-1,1)</f>
        <v>1</v>
      </c>
      <c r="G142" s="496"/>
      <c r="H142" s="496" t="s">
        <v>1791</v>
      </c>
      <c r="I142" s="496" t="s">
        <v>1865</v>
      </c>
      <c r="J142" s="496"/>
      <c r="K142" s="496"/>
      <c r="L142" s="496"/>
      <c r="M142" s="496"/>
      <c r="N142" s="496"/>
      <c r="O142" s="496"/>
      <c r="P142" s="496"/>
      <c r="Q142" s="496"/>
      <c r="R142" s="496"/>
      <c r="S142" s="496"/>
      <c r="T142" s="468" cm="1" t="str">
        <f t="array" ref="T142:T142">T141</f>
        <v>true</v>
      </c>
      <c r="U142" s="496"/>
      <c r="V142" s="496"/>
      <c r="W142" s="496"/>
      <c r="X142" s="1559"/>
      <c r="Y142" s="496"/>
      <c r="Z142" s="1528"/>
      <c r="AA142" s="496"/>
      <c r="AB142" s="1100" t="str">
        <f>"ставка платы за "&amp;IF(Q92="Водоснабжение","потребление 1 куб.м холодной воды","объем принятых сточных вод")</f>
        <v>ставка платы за потребление 1 куб.м холодной воды</v>
      </c>
      <c r="AC142" s="871" t="s">
        <v>1862</v>
      </c>
      <c r="AD142" s="4591"/>
      <c r="AE142" s="4591"/>
      <c r="AF142" s="1102">
        <f>IF(AD142=0,0,(AE142-AD142)/AD142*100)</f>
        <v>0</v>
      </c>
      <c r="AG142" s="4591"/>
      <c r="AH142" s="4591"/>
      <c r="AI142" s="1102">
        <f>IF(AG142=0,0,(AH142-AG142)/AG142*100)</f>
        <v>0</v>
      </c>
      <c r="AJ142" s="4591"/>
      <c r="AK142" s="4591"/>
      <c r="AL142" s="1102">
        <f>IF(AJ142=0,0,(AK142-AJ142)/AJ142*100)</f>
        <v>0</v>
      </c>
      <c r="AM142" s="4591"/>
      <c r="AN142" s="4591"/>
      <c r="AO142" s="1102">
        <f>IF(AM142=0,0,(AN142-AM142)/AM142*100)</f>
        <v>0</v>
      </c>
      <c r="AP142" s="4591"/>
      <c r="AQ142" s="4591"/>
      <c r="AR142" s="1102">
        <f>IF(AP142=0,0,(AQ142-AP142)/AP142*100)</f>
        <v>0</v>
      </c>
      <c r="AS142" s="4591"/>
      <c r="AT142" s="4591"/>
      <c r="AU142" s="1102">
        <f>IF(AS142=0,0,(AT142-AS142)/AS142*100)</f>
        <v>0</v>
      </c>
      <c r="AV142" s="4591"/>
      <c r="AW142" s="4591"/>
      <c r="AX142" s="1102">
        <f>IF(AV142=0,0,(AW142-AV142)/AV142*100)</f>
        <v>0</v>
      </c>
      <c r="AY142" s="4591"/>
      <c r="AZ142" s="4591"/>
      <c r="BA142" s="1102">
        <f>IF(AY142=0,0,(AZ142-AY142)/AY142*100)</f>
        <v>0</v>
      </c>
      <c r="BB142" s="4591"/>
      <c r="BC142" s="4591"/>
      <c r="BD142" s="1102">
        <f>IF(BB142=0,0,(BC142-BB142)/BB142*100)</f>
        <v>0</v>
      </c>
      <c r="BE142" s="4591"/>
      <c r="BF142" s="4591"/>
      <c r="BG142" s="1102">
        <f>IF(BE142=0,0,(BF142-BE142)/BE142*100)</f>
        <v>0</v>
      </c>
      <c r="BH142" s="4591"/>
      <c r="BI142" s="4591"/>
      <c r="BJ142" s="1102">
        <f>IF(BH142=0,0,(BI142-BH142)/BH142*100)</f>
        <v>0</v>
      </c>
      <c r="BK142" s="4591"/>
      <c r="BL142" s="4591"/>
      <c r="BM142" s="1102">
        <f>IF(BK142=0,0,(BL142-BK142)/BK142*100)</f>
        <v>0</v>
      </c>
      <c r="BN142" s="4591"/>
      <c r="BO142" s="4591"/>
      <c r="BP142" s="1102">
        <f>IF(BN142=0,0,(BO142-BN142)/BN142*100)</f>
        <v>0</v>
      </c>
      <c r="BQ142" s="4591"/>
      <c r="BR142" s="4591"/>
      <c r="BS142" s="1102">
        <f>IF(BQ142=0,0,(BR142-BQ142)/BQ142*100)</f>
        <v>0</v>
      </c>
      <c r="BT142" s="4591"/>
      <c r="BU142" s="4591"/>
      <c r="BV142" s="1102">
        <f>IF(BT142=0,0,(BU142-BT142)/BT142*100)</f>
        <v>0</v>
      </c>
      <c r="BW142" s="4591"/>
      <c r="BX142" s="4591"/>
      <c r="BY142" s="1102">
        <f>IF(BW142=0,0,(BX142-BW142)/BW142*100)</f>
        <v>0</v>
      </c>
      <c r="BZ142" s="4591"/>
      <c r="CA142" s="4591"/>
      <c r="CB142" s="1102">
        <f>IF(BZ142=0,0,(CA142-BZ142)/BZ142*100)</f>
        <v>0</v>
      </c>
      <c r="CC142" s="4591"/>
      <c r="CD142" s="4591"/>
      <c r="CE142" s="1102">
        <f>IF(CC142=0,0,(CD142-CC142)/CC142*100)</f>
        <v>0</v>
      </c>
      <c r="CF142" s="4591"/>
      <c r="CG142" s="4591"/>
      <c r="CH142" s="1102">
        <f>IF(CF142=0,0,(CG142-CF142)/CF142*100)</f>
        <v>0</v>
      </c>
      <c r="CI142" s="4591"/>
      <c r="CJ142" s="4591"/>
      <c r="CK142" s="1102">
        <f>IF(CI142=0,0,(CJ142-CI142)/CI142*100)</f>
        <v>0</v>
      </c>
      <c r="CL142" s="4591"/>
      <c r="CM142" s="4591"/>
      <c r="CN142" s="1102">
        <f>IF(CL142=0,0,(CM142-CL142)/CL142*100)</f>
        <v>0</v>
      </c>
      <c r="CO142" s="4591"/>
      <c r="CP142" s="4591"/>
      <c r="CQ142" s="1102">
        <f>IF(CO142=0,0,(CP142-CO142)/CO142*100)</f>
        <v>0</v>
      </c>
      <c r="CR142" s="4591"/>
      <c r="CS142" s="4591"/>
      <c r="CT142" s="1102">
        <f>IF(CR142=0,0,(CS142-CR142)/CR142*100)</f>
        <v>0</v>
      </c>
      <c r="CU142" s="4591"/>
      <c r="CV142" s="4591"/>
      <c r="CW142" s="1102">
        <f>IF(CU142=0,0,(CV142-CU142)/CU142*100)</f>
        <v>0</v>
      </c>
      <c r="CX142" s="4591"/>
      <c r="CY142" s="4591"/>
      <c r="CZ142" s="1102">
        <f>IF(CX142=0,0,(CY142-CX142)/CX142*100)</f>
        <v>0</v>
      </c>
      <c r="DA142" s="4591"/>
      <c r="DB142" s="4591"/>
      <c r="DC142" s="1102">
        <f>IF(DA142=0,0,(DB142-DA142)/DA142*100)</f>
        <v>0</v>
      </c>
      <c r="DD142" s="4591"/>
      <c r="DE142" s="4591"/>
      <c r="DF142" s="1102">
        <f>IF(DD142=0,0,(DE142-DD142)/DD142*100)</f>
        <v>0</v>
      </c>
      <c r="DG142" s="4591"/>
      <c r="DH142" s="4591"/>
      <c r="DI142" s="1102">
        <f>IF(DG142=0,0,(DH142-DG142)/DG142*100)</f>
        <v>0</v>
      </c>
      <c r="DJ142" s="4591"/>
      <c r="DK142" s="4591"/>
      <c r="DL142" s="1102">
        <f>IF(DJ142=0,0,(DK142-DJ142)/DJ142*100)</f>
        <v>0</v>
      </c>
      <c r="DM142" s="4591"/>
      <c r="DN142" s="4591"/>
      <c r="DO142" s="1102">
        <f>IF(DM142=0,0,(DN142-DM142)/DM142*100)</f>
        <v>0</v>
      </c>
      <c r="DP142" s="4591"/>
      <c r="DQ142" s="4591"/>
      <c r="DR142" s="1102">
        <f>IF(DP142=0,0,(DQ142-DP142)/DP142*100)</f>
        <v>0</v>
      </c>
      <c r="DS142" s="4591"/>
      <c r="DT142" s="4591"/>
      <c r="DU142" s="1102">
        <f>IF(DS142=0,0,(DT142-DS142)/DS142*100)</f>
        <v>0</v>
      </c>
      <c r="DV142" s="4591"/>
      <c r="DW142" s="4591"/>
      <c r="DX142" s="1102">
        <f>IF(DV142=0,0,(DW142-DV142)/DV142*100)</f>
        <v>0</v>
      </c>
      <c r="DY142" s="4591"/>
      <c r="DZ142" s="4591"/>
      <c r="EA142" s="1102">
        <f>IF(DY142=0,0,(DZ142-DY142)/DY142*100)</f>
        <v>0</v>
      </c>
      <c r="EB142" s="4591"/>
      <c r="EC142" s="4591"/>
      <c r="ED142" s="1102">
        <f>IF(EB142=0,0,(EC142-EB142)/EB142*100)</f>
        <v>0</v>
      </c>
      <c r="EE142" s="4591"/>
      <c r="EF142" s="4591"/>
      <c r="EG142" s="1102">
        <f>IF(EE142=0,0,(EF142-EE142)/EE142*100)</f>
        <v>0</v>
      </c>
      <c r="EH142" s="4591"/>
      <c r="EI142" s="4591"/>
      <c r="EJ142" s="1102">
        <f>IF(EH142=0,0,(EI142-EH142)/EH142*100)</f>
        <v>0</v>
      </c>
      <c r="EK142" s="4591"/>
      <c r="EL142" s="4591"/>
      <c r="EM142" s="1102">
        <f>IF(EK142=0,0,(EL142-EK142)/EK142*100)</f>
        <v>0</v>
      </c>
      <c r="EN142" s="4591"/>
      <c r="EO142" s="4591"/>
      <c r="EP142" s="1102">
        <f>IF(EN142=0,0,(EO142-EN142)/EN142*100)</f>
        <v>0</v>
      </c>
      <c r="EQ142" s="4591"/>
      <c r="ER142" s="4591"/>
      <c r="ES142" s="1102">
        <f>IF(EQ142=0,0,(ER142-EQ142)/EQ142*100)</f>
        <v>0</v>
      </c>
      <c r="ET142" s="4591"/>
      <c r="EU142" s="4591"/>
      <c r="EV142" s="1102">
        <f>IF(ET142=0,0,(EU142-ET142)/ET142*100)</f>
        <v>0</v>
      </c>
      <c r="EW142" s="4591"/>
      <c r="EX142" s="4591"/>
      <c r="EY142" s="1102">
        <f>IF(EW142=0,0,(EX142-EW142)/EW142*100)</f>
        <v>0</v>
      </c>
      <c r="EZ142" s="4591"/>
      <c r="FA142" s="4591"/>
      <c r="FB142" s="1102">
        <f>IF(EZ142=0,0,(FA142-EZ142)/EZ142*100)</f>
        <v>0</v>
      </c>
      <c r="FC142" s="4591"/>
      <c r="FD142" s="4591"/>
      <c r="FE142" s="1102">
        <f>IF(FC142=0,0,(FD142-FC142)/FC142*100)</f>
        <v>0</v>
      </c>
      <c r="FF142" s="4591"/>
      <c r="FG142" s="4591"/>
      <c r="FH142" s="1102">
        <f>IF(FF142=0,0,(FG142-FF142)/FF142*100)</f>
        <v>0</v>
      </c>
      <c r="FI142" s="4591"/>
      <c r="FJ142" s="4591"/>
      <c r="FK142" s="1102">
        <f>IF(FI142=0,0,(FJ142-FI142)/FI142*100)</f>
        <v>0</v>
      </c>
      <c r="FL142" s="4591"/>
      <c r="FM142" s="4591"/>
      <c r="FN142" s="1102">
        <f>IF(FL142=0,0,(FM142-FL142)/FL142*100)</f>
        <v>0</v>
      </c>
      <c r="FO142" s="4591"/>
      <c r="FP142" s="4591"/>
      <c r="FQ142" s="1102">
        <f>IF(FO142=0,0,(FP142-FO142)/FO142*100)</f>
        <v>0</v>
      </c>
      <c r="FR142" s="4591"/>
      <c r="FS142" s="4591"/>
      <c r="FT142" s="1102">
        <f>IF(FR142=0,0,(FS142-FR142)/FR142*100)</f>
        <v>0</v>
      </c>
      <c r="FU142" s="4591"/>
      <c r="FV142" s="4591"/>
      <c r="FW142" s="1102">
        <f>IF(FU142=0,0,(FV142-FU142)/FU142*100)</f>
        <v>0</v>
      </c>
      <c r="FX142" s="1328"/>
      <c r="FY142" s="1328"/>
      <c r="FZ142" s="1063" t="s">
        <v>1910</v>
      </c>
      <c r="GA142" s="1330"/>
      <c r="GB142" s="1330"/>
      <c r="GC142" s="1329"/>
      <c r="GD142" s="1329"/>
    </row>
    <row s="1656" customFormat="1" customHeight="1" ht="14.25" hidden="1">
      <c r="A143" s="496"/>
      <c r="B143" s="932" cm="1" t="str">
        <f t="array" ref="B143:B143">B142</f>
        <v>false</v>
      </c>
      <c r="C143" s="496"/>
      <c r="D143" s="496"/>
      <c r="E143" s="847">
        <v>15</v>
      </c>
      <c r="F143" s="50" cm="1" t="str">
        <f t="array" ref="F143:F143">OFFSET(E143,-1,1)</f>
        <v>1</v>
      </c>
      <c r="G143" s="103" t="s">
        <v>1911</v>
      </c>
      <c r="H143" s="496" t="s">
        <v>1899</v>
      </c>
      <c r="I143" s="496" t="s">
        <v>1865</v>
      </c>
      <c r="J143" s="496"/>
      <c r="K143" s="496"/>
      <c r="L143" s="496"/>
      <c r="M143" s="496"/>
      <c r="N143" s="496"/>
      <c r="O143" s="496"/>
      <c r="P143" s="496"/>
      <c r="Q143" s="496"/>
      <c r="R143" s="496"/>
      <c r="S143" s="496"/>
      <c r="T143" s="468" cm="1" t="str">
        <f t="array" ref="T143:T143">T142</f>
        <v>true</v>
      </c>
      <c r="U143" s="496"/>
      <c r="V143" s="496"/>
      <c r="W143" s="496"/>
      <c r="X143" s="1559"/>
      <c r="Y143" s="496"/>
      <c r="Z143" s="1528"/>
      <c r="AA143" s="496"/>
      <c r="AB143" s="1100" t="str">
        <f>"объём "&amp;IF(Q92="Водоснабжение","потребления холодной воды","водоотведения")</f>
        <v>объём потребления холодной воды</v>
      </c>
      <c r="AC143" s="871" t="s">
        <v>657</v>
      </c>
      <c r="AD143" s="4585">
        <f>IF(AND(method_reg="Метод индексации",god&lt;&gt;first_year),_xlfn.SUMIFS(INDEX('Калькуляция (МИ корр)'!$AJ$25:$BC$606,,MATCH(AD$8,'Калькуляция (МИ корр)'!$AJ$8:$BC$8,0)),'Калькуляция (МИ корр)'!$F$25:$F$606,$F143,'Калькуляция (МИ корр)'!$G$25:$G$606,$G143),IF(method_reg="Метод экономически обоснованных расходов",_xlfn.SUMIFS('Калькуляция (МЭОР)'!$AJ$25:$AJ$367,'Калькуляция (МЭОР)'!$F$25:$F$367,$F143,'Калькуляция (МЭОР)'!$G$25:$G$367,$G143),IF(method_reg="Метод сравнения аналогов",_xlfn.SUMIFS('Калькуляция (МСА)'!$AE$25:$AE$103,'Калькуляция (МСА)'!$F$25:$F$103,$F143,'Калькуляция (МСА)'!$G$25:$G$103,$G143),_xlfn.SUMIFS(INDEX('Калькуляция (МИ)'!$AJ$25:$BC$603,,MATCH(AD$8,'Калькуляция (МИ)'!$AJ$8:$BC$8,0)),'Калькуляция (МИ)'!$F$25:$F$603,$F143,'Калькуляция (МИ)'!$G$25:$G$603,$G143))))</f>
        <v>2709.8994775</v>
      </c>
      <c r="AE143" s="4585">
        <f>IF(AND(method_reg="Метод индексации",god&lt;&gt;first_year),_xlfn.SUMIFS(INDEX('Калькуляция (МИ корр)'!$AJ$25:$BC$606,,MATCH(AE$8,'Калькуляция (МИ корр)'!$AJ$8:$BC$8,0)),'Калькуляция (МИ корр)'!$F$25:$F$606,$F143,'Калькуляция (МИ корр)'!$G$25:$G$606,$G143),IF(method_reg="Метод экономически обоснованных расходов",_xlfn.SUMIFS('Калькуляция (МЭОР)'!$AK$25:$AK$367,'Калькуляция (МЭОР)'!$F$25:$F$367,$F143,'Калькуляция (МЭОР)'!$G$25:$G$367,$G143),IF(method_reg="Метод сравнения аналогов",_xlfn.SUMIFS('Калькуляция (МСА)'!$AF$25:$AF$103,'Калькуляция (МСА)'!$F$25:$F$103,$F143,'Калькуляция (МСА)'!$G$25:$G$103,$G143),_xlfn.SUMIFS(INDEX('Калькуляция (МИ)'!$AJ$25:$BC$603,,MATCH(AE$8,'Калькуляция (МИ)'!$AJ$8:$BC$8,0)),'Калькуляция (МИ)'!$F$25:$F$603,$F143,'Калькуляция (МИ)'!$G$25:$G$603,$G143))))</f>
        <v>2821.9020375</v>
      </c>
      <c r="AF143" s="1104">
        <f>IF(AD143=0,0,(AE143-AD143)/AD143*100)</f>
        <v>4.13308910274883</v>
      </c>
      <c r="AG143" s="4585">
        <f>IF(AND(method_reg="Метод индексации",god&lt;&gt;first_year),_xlfn.SUMIFS(INDEX('Калькуляция (МИ корр)'!$AJ$25:$BC$606,,MATCH(AG$8,'Калькуляция (МИ корр)'!$AJ$8:$BC$8,0)),'Калькуляция (МИ корр)'!$F$25:$F$606,$F143,'Калькуляция (МИ корр)'!$G$25:$G$606,$G143),IF(method_reg="Метод экономически обоснованных расходов",_xlfn.SUMIFS('Калькуляция (МЭОР)'!$AJ$25:$AJ$367,'Калькуляция (МЭОР)'!$F$25:$F$367,$F143,'Калькуляция (МЭОР)'!$G$25:$G$367,$G143),IF(method_reg="Метод сравнения аналогов",_xlfn.SUMIFS('Калькуляция (МСА)'!$AE$25:$AE$103,'Калькуляция (МСА)'!$F$25:$F$103,$F143,'Калькуляция (МСА)'!$G$25:$G$103,$G143),_xlfn.SUMIFS(INDEX('Калькуляция (МИ)'!$AJ$25:$BC$603,,MATCH(AG$8,'Калькуляция (МИ)'!$AJ$8:$BC$8,0)),'Калькуляция (МИ)'!$F$25:$F$603,$F143,'Калькуляция (МИ)'!$G$25:$G$603,$G143))))</f>
        <v>0</v>
      </c>
      <c r="AH143" s="4585">
        <f>IF(AND(method_reg="Метод индексации",god&lt;&gt;first_year),_xlfn.SUMIFS(INDEX('Калькуляция (МИ корр)'!$AJ$25:$BC$606,,MATCH(AH$8,'Калькуляция (МИ корр)'!$AJ$8:$BC$8,0)),'Калькуляция (МИ корр)'!$F$25:$F$606,$F143,'Калькуляция (МИ корр)'!$G$25:$G$606,$G143),IF(method_reg="Метод экономически обоснованных расходов",_xlfn.SUMIFS('Калькуляция (МЭОР)'!$AK$25:$AK$367,'Калькуляция (МЭОР)'!$F$25:$F$367,$F143,'Калькуляция (МЭОР)'!$G$25:$G$367,$G143),IF(method_reg="Метод сравнения аналогов",_xlfn.SUMIFS('Калькуляция (МСА)'!$AF$25:$AF$103,'Калькуляция (МСА)'!$F$25:$F$103,$F143,'Калькуляция (МСА)'!$G$25:$G$103,$G143),_xlfn.SUMIFS(INDEX('Калькуляция (МИ)'!$AJ$25:$BC$603,,MATCH(AH$8,'Калькуляция (МИ)'!$AJ$8:$BC$8,0)),'Калькуляция (МИ)'!$F$25:$F$603,$F143,'Калькуляция (МИ)'!$G$25:$G$603,$G143))))</f>
        <v>0</v>
      </c>
      <c r="AI143" s="1104">
        <f>IF(AG143=0,0,(AH143-AG143)/AG143*100)</f>
        <v>0</v>
      </c>
      <c r="AJ143" s="4585">
        <f>IF(AND(method_reg="Метод индексации",god&lt;&gt;first_year),_xlfn.SUMIFS(INDEX('Калькуляция (МИ корр)'!$AJ$25:$BC$606,,MATCH(AJ$8,'Калькуляция (МИ корр)'!$AJ$8:$BC$8,0)),'Калькуляция (МИ корр)'!$F$25:$F$606,$F143,'Калькуляция (МИ корр)'!$G$25:$G$606,$G143),IF(method_reg="Метод экономически обоснованных расходов",_xlfn.SUMIFS('Калькуляция (МЭОР)'!$AJ$25:$AJ$367,'Калькуляция (МЭОР)'!$F$25:$F$367,$F143,'Калькуляция (МЭОР)'!$G$25:$G$367,$G143),IF(method_reg="Метод сравнения аналогов",_xlfn.SUMIFS('Калькуляция (МСА)'!$AE$25:$AE$103,'Калькуляция (МСА)'!$F$25:$F$103,$F143,'Калькуляция (МСА)'!$G$25:$G$103,$G143),_xlfn.SUMIFS(INDEX('Калькуляция (МИ)'!$AJ$25:$BC$603,,MATCH(AJ$8,'Калькуляция (МИ)'!$AJ$8:$BC$8,0)),'Калькуляция (МИ)'!$F$25:$F$603,$F143,'Калькуляция (МИ)'!$G$25:$G$603,$G143))))</f>
        <v>0</v>
      </c>
      <c r="AK143" s="4585">
        <f>IF(AND(method_reg="Метод индексации",god&lt;&gt;first_year),_xlfn.SUMIFS(INDEX('Калькуляция (МИ корр)'!$AJ$25:$BC$606,,MATCH(AK$8,'Калькуляция (МИ корр)'!$AJ$8:$BC$8,0)),'Калькуляция (МИ корр)'!$F$25:$F$606,$F143,'Калькуляция (МИ корр)'!$G$25:$G$606,$G143),IF(method_reg="Метод экономически обоснованных расходов",_xlfn.SUMIFS('Калькуляция (МЭОР)'!$AK$25:$AK$367,'Калькуляция (МЭОР)'!$F$25:$F$367,$F143,'Калькуляция (МЭОР)'!$G$25:$G$367,$G143),IF(method_reg="Метод сравнения аналогов",_xlfn.SUMIFS('Калькуляция (МСА)'!$AF$25:$AF$103,'Калькуляция (МСА)'!$F$25:$F$103,$F143,'Калькуляция (МСА)'!$G$25:$G$103,$G143),_xlfn.SUMIFS(INDEX('Калькуляция (МИ)'!$AJ$25:$BC$603,,MATCH(AK$8,'Калькуляция (МИ)'!$AJ$8:$BC$8,0)),'Калькуляция (МИ)'!$F$25:$F$603,$F143,'Калькуляция (МИ)'!$G$25:$G$603,$G143))))</f>
        <v>0</v>
      </c>
      <c r="AL143" s="1104">
        <f>IF(AJ143=0,0,(AK143-AJ143)/AJ143*100)</f>
        <v>0</v>
      </c>
      <c r="AM143" s="4585">
        <f>IF(AND(method_reg="Метод индексации",god&lt;&gt;first_year),_xlfn.SUMIFS(INDEX('Калькуляция (МИ корр)'!$AJ$25:$BC$606,,MATCH(AM$8,'Калькуляция (МИ корр)'!$AJ$8:$BC$8,0)),'Калькуляция (МИ корр)'!$F$25:$F$606,$F143,'Калькуляция (МИ корр)'!$G$25:$G$606,$G143),IF(method_reg="Метод экономически обоснованных расходов",_xlfn.SUMIFS('Калькуляция (МЭОР)'!$AJ$25:$AJ$367,'Калькуляция (МЭОР)'!$F$25:$F$367,$F143,'Калькуляция (МЭОР)'!$G$25:$G$367,$G143),IF(method_reg="Метод сравнения аналогов",_xlfn.SUMIFS('Калькуляция (МСА)'!$AE$25:$AE$103,'Калькуляция (МСА)'!$F$25:$F$103,$F143,'Калькуляция (МСА)'!$G$25:$G$103,$G143),_xlfn.SUMIFS(INDEX('Калькуляция (МИ)'!$AJ$25:$BC$603,,MATCH(AM$8,'Калькуляция (МИ)'!$AJ$8:$BC$8,0)),'Калькуляция (МИ)'!$F$25:$F$603,$F143,'Калькуляция (МИ)'!$G$25:$G$603,$G143))))</f>
        <v>0</v>
      </c>
      <c r="AN143" s="4585">
        <f>IF(AND(method_reg="Метод индексации",god&lt;&gt;first_year),_xlfn.SUMIFS(INDEX('Калькуляция (МИ корр)'!$AJ$25:$BC$606,,MATCH(AN$8,'Калькуляция (МИ корр)'!$AJ$8:$BC$8,0)),'Калькуляция (МИ корр)'!$F$25:$F$606,$F143,'Калькуляция (МИ корр)'!$G$25:$G$606,$G143),IF(method_reg="Метод экономически обоснованных расходов",_xlfn.SUMIFS('Калькуляция (МЭОР)'!$AK$25:$AK$367,'Калькуляция (МЭОР)'!$F$25:$F$367,$F143,'Калькуляция (МЭОР)'!$G$25:$G$367,$G143),IF(method_reg="Метод сравнения аналогов",_xlfn.SUMIFS('Калькуляция (МСА)'!$AF$25:$AF$103,'Калькуляция (МСА)'!$F$25:$F$103,$F143,'Калькуляция (МСА)'!$G$25:$G$103,$G143),_xlfn.SUMIFS(INDEX('Калькуляция (МИ)'!$AJ$25:$BC$603,,MATCH(AN$8,'Калькуляция (МИ)'!$AJ$8:$BC$8,0)),'Калькуляция (МИ)'!$F$25:$F$603,$F143,'Калькуляция (МИ)'!$G$25:$G$603,$G143))))</f>
        <v>0</v>
      </c>
      <c r="AO143" s="1104">
        <f>IF(AM143=0,0,(AN143-AM143)/AM143*100)</f>
        <v>0</v>
      </c>
      <c r="AP143" s="4585">
        <f>IF(AND(method_reg="Метод индексации",god&lt;&gt;first_year),_xlfn.SUMIFS(INDEX('Калькуляция (МИ корр)'!$AJ$25:$BC$606,,MATCH(AP$8,'Калькуляция (МИ корр)'!$AJ$8:$BC$8,0)),'Калькуляция (МИ корр)'!$F$25:$F$606,$F143,'Калькуляция (МИ корр)'!$G$25:$G$606,$G143),IF(method_reg="Метод экономически обоснованных расходов",_xlfn.SUMIFS('Калькуляция (МЭОР)'!$AJ$25:$AJ$367,'Калькуляция (МЭОР)'!$F$25:$F$367,$F143,'Калькуляция (МЭОР)'!$G$25:$G$367,$G143),IF(method_reg="Метод сравнения аналогов",_xlfn.SUMIFS('Калькуляция (МСА)'!$AE$25:$AE$103,'Калькуляция (МСА)'!$F$25:$F$103,$F143,'Калькуляция (МСА)'!$G$25:$G$103,$G143),_xlfn.SUMIFS(INDEX('Калькуляция (МИ)'!$AJ$25:$BC$603,,MATCH(AP$8,'Калькуляция (МИ)'!$AJ$8:$BC$8,0)),'Калькуляция (МИ)'!$F$25:$F$603,$F143,'Калькуляция (МИ)'!$G$25:$G$603,$G143))))</f>
        <v>0</v>
      </c>
      <c r="AQ143" s="4585">
        <f>IF(AND(method_reg="Метод индексации",god&lt;&gt;first_year),_xlfn.SUMIFS(INDEX('Калькуляция (МИ корр)'!$AJ$25:$BC$606,,MATCH(AQ$8,'Калькуляция (МИ корр)'!$AJ$8:$BC$8,0)),'Калькуляция (МИ корр)'!$F$25:$F$606,$F143,'Калькуляция (МИ корр)'!$G$25:$G$606,$G143),IF(method_reg="Метод экономически обоснованных расходов",_xlfn.SUMIFS('Калькуляция (МЭОР)'!$AK$25:$AK$367,'Калькуляция (МЭОР)'!$F$25:$F$367,$F143,'Калькуляция (МЭОР)'!$G$25:$G$367,$G143),IF(method_reg="Метод сравнения аналогов",_xlfn.SUMIFS('Калькуляция (МСА)'!$AF$25:$AF$103,'Калькуляция (МСА)'!$F$25:$F$103,$F143,'Калькуляция (МСА)'!$G$25:$G$103,$G143),_xlfn.SUMIFS(INDEX('Калькуляция (МИ)'!$AJ$25:$BC$603,,MATCH(AQ$8,'Калькуляция (МИ)'!$AJ$8:$BC$8,0)),'Калькуляция (МИ)'!$F$25:$F$603,$F143,'Калькуляция (МИ)'!$G$25:$G$603,$G143))))</f>
        <v>0</v>
      </c>
      <c r="AR143" s="1104">
        <f>IF(AP143=0,0,(AQ143-AP143)/AP143*100)</f>
        <v>0</v>
      </c>
      <c r="AS143" s="4585">
        <f>IF(AND(method_reg="Метод индексации",god&lt;&gt;first_year),_xlfn.SUMIFS(INDEX('Калькуляция (МИ корр)'!$AJ$25:$BC$606,,MATCH(AS$8,'Калькуляция (МИ корр)'!$AJ$8:$BC$8,0)),'Калькуляция (МИ корр)'!$F$25:$F$606,$F143,'Калькуляция (МИ корр)'!$G$25:$G$606,$G143),IF(method_reg="Метод экономически обоснованных расходов",_xlfn.SUMIFS('Калькуляция (МЭОР)'!$AJ$25:$AJ$367,'Калькуляция (МЭОР)'!$F$25:$F$367,$F143,'Калькуляция (МЭОР)'!$G$25:$G$367,$G143),IF(method_reg="Метод сравнения аналогов",_xlfn.SUMIFS('Калькуляция (МСА)'!$AE$25:$AE$103,'Калькуляция (МСА)'!$F$25:$F$103,$F143,'Калькуляция (МСА)'!$G$25:$G$103,$G143),_xlfn.SUMIFS(INDEX('Калькуляция (МИ)'!$AJ$25:$BC$603,,MATCH(AS$8,'Калькуляция (МИ)'!$AJ$8:$BC$8,0)),'Калькуляция (МИ)'!$F$25:$F$603,$F143,'Калькуляция (МИ)'!$G$25:$G$603,$G143))))</f>
        <v>0</v>
      </c>
      <c r="AT143" s="4585">
        <f>IF(AND(method_reg="Метод индексации",god&lt;&gt;first_year),_xlfn.SUMIFS(INDEX('Калькуляция (МИ корр)'!$AJ$25:$BC$606,,MATCH(AT$8,'Калькуляция (МИ корр)'!$AJ$8:$BC$8,0)),'Калькуляция (МИ корр)'!$F$25:$F$606,$F143,'Калькуляция (МИ корр)'!$G$25:$G$606,$G143),IF(method_reg="Метод экономически обоснованных расходов",_xlfn.SUMIFS('Калькуляция (МЭОР)'!$AK$25:$AK$367,'Калькуляция (МЭОР)'!$F$25:$F$367,$F143,'Калькуляция (МЭОР)'!$G$25:$G$367,$G143),IF(method_reg="Метод сравнения аналогов",_xlfn.SUMIFS('Калькуляция (МСА)'!$AF$25:$AF$103,'Калькуляция (МСА)'!$F$25:$F$103,$F143,'Калькуляция (МСА)'!$G$25:$G$103,$G143),_xlfn.SUMIFS(INDEX('Калькуляция (МИ)'!$AJ$25:$BC$603,,MATCH(AT$8,'Калькуляция (МИ)'!$AJ$8:$BC$8,0)),'Калькуляция (МИ)'!$F$25:$F$603,$F143,'Калькуляция (МИ)'!$G$25:$G$603,$G143))))</f>
        <v>0</v>
      </c>
      <c r="AU143" s="1104">
        <f>IF(AS143=0,0,(AT143-AS143)/AS143*100)</f>
        <v>0</v>
      </c>
      <c r="AV143" s="4585">
        <f>IF(AND(method_reg="Метод индексации",god&lt;&gt;first_year),_xlfn.SUMIFS(INDEX('Калькуляция (МИ корр)'!$AJ$25:$BC$606,,MATCH(AV$8,'Калькуляция (МИ корр)'!$AJ$8:$BC$8,0)),'Калькуляция (МИ корр)'!$F$25:$F$606,$F143,'Калькуляция (МИ корр)'!$G$25:$G$606,$G143),IF(method_reg="Метод экономически обоснованных расходов",_xlfn.SUMIFS('Калькуляция (МЭОР)'!$AJ$25:$AJ$367,'Калькуляция (МЭОР)'!$F$25:$F$367,$F143,'Калькуляция (МЭОР)'!$G$25:$G$367,$G143),IF(method_reg="Метод сравнения аналогов",_xlfn.SUMIFS('Калькуляция (МСА)'!$AE$25:$AE$103,'Калькуляция (МСА)'!$F$25:$F$103,$F143,'Калькуляция (МСА)'!$G$25:$G$103,$G143),_xlfn.SUMIFS(INDEX('Калькуляция (МИ)'!$AJ$25:$BC$603,,MATCH(AV$8,'Калькуляция (МИ)'!$AJ$8:$BC$8,0)),'Калькуляция (МИ)'!$F$25:$F$603,$F143,'Калькуляция (МИ)'!$G$25:$G$603,$G143))))</f>
        <v>0</v>
      </c>
      <c r="AW143" s="4585">
        <f>IF(AND(method_reg="Метод индексации",god&lt;&gt;first_year),_xlfn.SUMIFS(INDEX('Калькуляция (МИ корр)'!$AJ$25:$BC$606,,MATCH(AW$8,'Калькуляция (МИ корр)'!$AJ$8:$BC$8,0)),'Калькуляция (МИ корр)'!$F$25:$F$606,$F143,'Калькуляция (МИ корр)'!$G$25:$G$606,$G143),IF(method_reg="Метод экономически обоснованных расходов",_xlfn.SUMIFS('Калькуляция (МЭОР)'!$AK$25:$AK$367,'Калькуляция (МЭОР)'!$F$25:$F$367,$F143,'Калькуляция (МЭОР)'!$G$25:$G$367,$G143),IF(method_reg="Метод сравнения аналогов",_xlfn.SUMIFS('Калькуляция (МСА)'!$AF$25:$AF$103,'Калькуляция (МСА)'!$F$25:$F$103,$F143,'Калькуляция (МСА)'!$G$25:$G$103,$G143),_xlfn.SUMIFS(INDEX('Калькуляция (МИ)'!$AJ$25:$BC$603,,MATCH(AW$8,'Калькуляция (МИ)'!$AJ$8:$BC$8,0)),'Калькуляция (МИ)'!$F$25:$F$603,$F143,'Калькуляция (МИ)'!$G$25:$G$603,$G143))))</f>
        <v>0</v>
      </c>
      <c r="AX143" s="1104">
        <f>IF(AV143=0,0,(AW143-AV143)/AV143*100)</f>
        <v>0</v>
      </c>
      <c r="AY143" s="4585">
        <f>IF(AND(method_reg="Метод индексации",god&lt;&gt;first_year),_xlfn.SUMIFS(INDEX('Калькуляция (МИ корр)'!$AJ$25:$BC$606,,MATCH(AY$8,'Калькуляция (МИ корр)'!$AJ$8:$BC$8,0)),'Калькуляция (МИ корр)'!$F$25:$F$606,$F143,'Калькуляция (МИ корр)'!$G$25:$G$606,$G143),IF(method_reg="Метод экономически обоснованных расходов",_xlfn.SUMIFS('Калькуляция (МЭОР)'!$AJ$25:$AJ$367,'Калькуляция (МЭОР)'!$F$25:$F$367,$F143,'Калькуляция (МЭОР)'!$G$25:$G$367,$G143),IF(method_reg="Метод сравнения аналогов",_xlfn.SUMIFS('Калькуляция (МСА)'!$AE$25:$AE$103,'Калькуляция (МСА)'!$F$25:$F$103,$F143,'Калькуляция (МСА)'!$G$25:$G$103,$G143),_xlfn.SUMIFS(INDEX('Калькуляция (МИ)'!$AJ$25:$BC$603,,MATCH(AY$8,'Калькуляция (МИ)'!$AJ$8:$BC$8,0)),'Калькуляция (МИ)'!$F$25:$F$603,$F143,'Калькуляция (МИ)'!$G$25:$G$603,$G143))))</f>
        <v>0</v>
      </c>
      <c r="AZ143" s="4585">
        <f>IF(AND(method_reg="Метод индексации",god&lt;&gt;first_year),_xlfn.SUMIFS(INDEX('Калькуляция (МИ корр)'!$AJ$25:$BC$606,,MATCH(AZ$8,'Калькуляция (МИ корр)'!$AJ$8:$BC$8,0)),'Калькуляция (МИ корр)'!$F$25:$F$606,$F143,'Калькуляция (МИ корр)'!$G$25:$G$606,$G143),IF(method_reg="Метод экономически обоснованных расходов",_xlfn.SUMIFS('Калькуляция (МЭОР)'!$AK$25:$AK$367,'Калькуляция (МЭОР)'!$F$25:$F$367,$F143,'Калькуляция (МЭОР)'!$G$25:$G$367,$G143),IF(method_reg="Метод сравнения аналогов",_xlfn.SUMIFS('Калькуляция (МСА)'!$AF$25:$AF$103,'Калькуляция (МСА)'!$F$25:$F$103,$F143,'Калькуляция (МСА)'!$G$25:$G$103,$G143),_xlfn.SUMIFS(INDEX('Калькуляция (МИ)'!$AJ$25:$BC$603,,MATCH(AZ$8,'Калькуляция (МИ)'!$AJ$8:$BC$8,0)),'Калькуляция (МИ)'!$F$25:$F$603,$F143,'Калькуляция (МИ)'!$G$25:$G$603,$G143))))</f>
        <v>0</v>
      </c>
      <c r="BA143" s="1104">
        <f>IF(AY143=0,0,(AZ143-AY143)/AY143*100)</f>
        <v>0</v>
      </c>
      <c r="BB143" s="4585">
        <f>IF(AND(method_reg="Метод индексации",god&lt;&gt;first_year),_xlfn.SUMIFS(INDEX('Калькуляция (МИ корр)'!$AJ$25:$BC$606,,MATCH(BB$8,'Калькуляция (МИ корр)'!$AJ$8:$BC$8,0)),'Калькуляция (МИ корр)'!$F$25:$F$606,$F143,'Калькуляция (МИ корр)'!$G$25:$G$606,$G143),IF(method_reg="Метод экономически обоснованных расходов",_xlfn.SUMIFS('Калькуляция (МЭОР)'!$AJ$25:$AJ$367,'Калькуляция (МЭОР)'!$F$25:$F$367,$F143,'Калькуляция (МЭОР)'!$G$25:$G$367,$G143),IF(method_reg="Метод сравнения аналогов",_xlfn.SUMIFS('Калькуляция (МСА)'!$AE$25:$AE$103,'Калькуляция (МСА)'!$F$25:$F$103,$F143,'Калькуляция (МСА)'!$G$25:$G$103,$G143),_xlfn.SUMIFS(INDEX('Калькуляция (МИ)'!$AJ$25:$BC$603,,MATCH(BB$8,'Калькуляция (МИ)'!$AJ$8:$BC$8,0)),'Калькуляция (МИ)'!$F$25:$F$603,$F143,'Калькуляция (МИ)'!$G$25:$G$603,$G143))))</f>
        <v>0</v>
      </c>
      <c r="BC143" s="4585">
        <f>IF(AND(method_reg="Метод индексации",god&lt;&gt;first_year),_xlfn.SUMIFS(INDEX('Калькуляция (МИ корр)'!$AJ$25:$BC$606,,MATCH(BC$8,'Калькуляция (МИ корр)'!$AJ$8:$BC$8,0)),'Калькуляция (МИ корр)'!$F$25:$F$606,$F143,'Калькуляция (МИ корр)'!$G$25:$G$606,$G143),IF(method_reg="Метод экономически обоснованных расходов",_xlfn.SUMIFS('Калькуляция (МЭОР)'!$AK$25:$AK$367,'Калькуляция (МЭОР)'!$F$25:$F$367,$F143,'Калькуляция (МЭОР)'!$G$25:$G$367,$G143),IF(method_reg="Метод сравнения аналогов",_xlfn.SUMIFS('Калькуляция (МСА)'!$AF$25:$AF$103,'Калькуляция (МСА)'!$F$25:$F$103,$F143,'Калькуляция (МСА)'!$G$25:$G$103,$G143),_xlfn.SUMIFS(INDEX('Калькуляция (МИ)'!$AJ$25:$BC$603,,MATCH(BC$8,'Калькуляция (МИ)'!$AJ$8:$BC$8,0)),'Калькуляция (МИ)'!$F$25:$F$603,$F143,'Калькуляция (МИ)'!$G$25:$G$603,$G143))))</f>
        <v>0</v>
      </c>
      <c r="BD143" s="1104">
        <f>IF(BB143=0,0,(BC143-BB143)/BB143*100)</f>
        <v>0</v>
      </c>
      <c r="BE143" s="4585">
        <f>IF(AND(method_reg="Метод индексации",god&lt;&gt;first_year),_xlfn.SUMIFS(INDEX('Калькуляция (МИ корр)'!$AJ$25:$BC$606,,MATCH(BE$8,'Калькуляция (МИ корр)'!$AJ$8:$BC$8,0)),'Калькуляция (МИ корр)'!$F$25:$F$606,$F143,'Калькуляция (МИ корр)'!$G$25:$G$606,$G143),IF(method_reg="Метод экономически обоснованных расходов",_xlfn.SUMIFS('Калькуляция (МЭОР)'!$AJ$25:$AJ$367,'Калькуляция (МЭОР)'!$F$25:$F$367,$F143,'Калькуляция (МЭОР)'!$G$25:$G$367,$G143),IF(method_reg="Метод сравнения аналогов",_xlfn.SUMIFS('Калькуляция (МСА)'!$AE$25:$AE$103,'Калькуляция (МСА)'!$F$25:$F$103,$F143,'Калькуляция (МСА)'!$G$25:$G$103,$G143),_xlfn.SUMIFS(INDEX('Калькуляция (МИ)'!$AJ$25:$BC$603,,MATCH(BE$8,'Калькуляция (МИ)'!$AJ$8:$BC$8,0)),'Калькуляция (МИ)'!$F$25:$F$603,$F143,'Калькуляция (МИ)'!$G$25:$G$603,$G143))))</f>
        <v>0</v>
      </c>
      <c r="BF143" s="4585">
        <f>IF(AND(method_reg="Метод индексации",god&lt;&gt;first_year),_xlfn.SUMIFS(INDEX('Калькуляция (МИ корр)'!$AJ$25:$BC$606,,MATCH(BF$8,'Калькуляция (МИ корр)'!$AJ$8:$BC$8,0)),'Калькуляция (МИ корр)'!$F$25:$F$606,$F143,'Калькуляция (МИ корр)'!$G$25:$G$606,$G143),IF(method_reg="Метод экономически обоснованных расходов",_xlfn.SUMIFS('Калькуляция (МЭОР)'!$AK$25:$AK$367,'Калькуляция (МЭОР)'!$F$25:$F$367,$F143,'Калькуляция (МЭОР)'!$G$25:$G$367,$G143),IF(method_reg="Метод сравнения аналогов",_xlfn.SUMIFS('Калькуляция (МСА)'!$AF$25:$AF$103,'Калькуляция (МСА)'!$F$25:$F$103,$F143,'Калькуляция (МСА)'!$G$25:$G$103,$G143),_xlfn.SUMIFS(INDEX('Калькуляция (МИ)'!$AJ$25:$BC$603,,MATCH(BF$8,'Калькуляция (МИ)'!$AJ$8:$BC$8,0)),'Калькуляция (МИ)'!$F$25:$F$603,$F143,'Калькуляция (МИ)'!$G$25:$G$603,$G143))))</f>
        <v>0</v>
      </c>
      <c r="BG143" s="1113">
        <f>IF(BE143=0,0,(BF143-BE143)/BE143*100)</f>
        <v>0</v>
      </c>
      <c r="BH143" s="4585"/>
      <c r="BI143" s="4585"/>
      <c r="BJ143" s="1113">
        <f>IF(BH143=0,0,(BI143-BH143)/BH143*100)</f>
        <v>0</v>
      </c>
      <c r="BK143" s="4585"/>
      <c r="BL143" s="4585"/>
      <c r="BM143" s="1113">
        <f>IF(BK143=0,0,(BL143-BK143)/BK143*100)</f>
        <v>0</v>
      </c>
      <c r="BN143" s="4585"/>
      <c r="BO143" s="4585"/>
      <c r="BP143" s="1113">
        <f>IF(BN143=0,0,(BO143-BN143)/BN143*100)</f>
        <v>0</v>
      </c>
      <c r="BQ143" s="4585"/>
      <c r="BR143" s="4585"/>
      <c r="BS143" s="1113">
        <f>IF(BQ143=0,0,(BR143-BQ143)/BQ143*100)</f>
        <v>0</v>
      </c>
      <c r="BT143" s="4585"/>
      <c r="BU143" s="4585"/>
      <c r="BV143" s="1113">
        <f>IF(BT143=0,0,(BU143-BT143)/BT143*100)</f>
        <v>0</v>
      </c>
      <c r="BW143" s="4585"/>
      <c r="BX143" s="4585"/>
      <c r="BY143" s="1113">
        <f>IF(BW143=0,0,(BX143-BW143)/BW143*100)</f>
        <v>0</v>
      </c>
      <c r="BZ143" s="4585"/>
      <c r="CA143" s="4585"/>
      <c r="CB143" s="1113">
        <f>IF(BZ143=0,0,(CA143-BZ143)/BZ143*100)</f>
        <v>0</v>
      </c>
      <c r="CC143" s="4585"/>
      <c r="CD143" s="4585"/>
      <c r="CE143" s="1113">
        <f>IF(CC143=0,0,(CD143-CC143)/CC143*100)</f>
        <v>0</v>
      </c>
      <c r="CF143" s="4585"/>
      <c r="CG143" s="4585"/>
      <c r="CH143" s="1113">
        <f>IF(CF143=0,0,(CG143-CF143)/CF143*100)</f>
        <v>0</v>
      </c>
      <c r="CI143" s="4585"/>
      <c r="CJ143" s="4585"/>
      <c r="CK143" s="1113">
        <f>IF(CI143=0,0,(CJ143-CI143)/CI143*100)</f>
        <v>0</v>
      </c>
      <c r="CL143" s="4585"/>
      <c r="CM143" s="4585"/>
      <c r="CN143" s="1113">
        <f>IF(CL143=0,0,(CM143-CL143)/CL143*100)</f>
        <v>0</v>
      </c>
      <c r="CO143" s="4585"/>
      <c r="CP143" s="4585"/>
      <c r="CQ143" s="1113">
        <f>IF(CO143=0,0,(CP143-CO143)/CO143*100)</f>
        <v>0</v>
      </c>
      <c r="CR143" s="4585"/>
      <c r="CS143" s="4585"/>
      <c r="CT143" s="1113">
        <f>IF(CR143=0,0,(CS143-CR143)/CR143*100)</f>
        <v>0</v>
      </c>
      <c r="CU143" s="4585"/>
      <c r="CV143" s="4585"/>
      <c r="CW143" s="1113">
        <f>IF(CU143=0,0,(CV143-CU143)/CU143*100)</f>
        <v>0</v>
      </c>
      <c r="CX143" s="4585"/>
      <c r="CY143" s="4585"/>
      <c r="CZ143" s="1113">
        <f>IF(CX143=0,0,(CY143-CX143)/CX143*100)</f>
        <v>0</v>
      </c>
      <c r="DA143" s="4585"/>
      <c r="DB143" s="4585"/>
      <c r="DC143" s="1113">
        <f>IF(DA143=0,0,(DB143-DA143)/DA143*100)</f>
        <v>0</v>
      </c>
      <c r="DD143" s="4585"/>
      <c r="DE143" s="4585"/>
      <c r="DF143" s="1113">
        <f>IF(DD143=0,0,(DE143-DD143)/DD143*100)</f>
        <v>0</v>
      </c>
      <c r="DG143" s="4585"/>
      <c r="DH143" s="4585"/>
      <c r="DI143" s="1113">
        <f>IF(DG143=0,0,(DH143-DG143)/DG143*100)</f>
        <v>0</v>
      </c>
      <c r="DJ143" s="4585"/>
      <c r="DK143" s="4585"/>
      <c r="DL143" s="1113">
        <f>IF(DJ143=0,0,(DK143-DJ143)/DJ143*100)</f>
        <v>0</v>
      </c>
      <c r="DM143" s="4585"/>
      <c r="DN143" s="4585"/>
      <c r="DO143" s="1113">
        <f>IF(DM143=0,0,(DN143-DM143)/DM143*100)</f>
        <v>0</v>
      </c>
      <c r="DP143" s="4585"/>
      <c r="DQ143" s="4585"/>
      <c r="DR143" s="1113">
        <f>IF(DP143=0,0,(DQ143-DP143)/DP143*100)</f>
        <v>0</v>
      </c>
      <c r="DS143" s="4585"/>
      <c r="DT143" s="4585"/>
      <c r="DU143" s="1113">
        <f>IF(DS143=0,0,(DT143-DS143)/DS143*100)</f>
        <v>0</v>
      </c>
      <c r="DV143" s="4585"/>
      <c r="DW143" s="4585"/>
      <c r="DX143" s="1113">
        <f>IF(DV143=0,0,(DW143-DV143)/DV143*100)</f>
        <v>0</v>
      </c>
      <c r="DY143" s="4585"/>
      <c r="DZ143" s="4585"/>
      <c r="EA143" s="1113">
        <f>IF(DY143=0,0,(DZ143-DY143)/DY143*100)</f>
        <v>0</v>
      </c>
      <c r="EB143" s="4585"/>
      <c r="EC143" s="4585"/>
      <c r="ED143" s="1113">
        <f>IF(EB143=0,0,(EC143-EB143)/EB143*100)</f>
        <v>0</v>
      </c>
      <c r="EE143" s="4585"/>
      <c r="EF143" s="4585"/>
      <c r="EG143" s="1113">
        <f>IF(EE143=0,0,(EF143-EE143)/EE143*100)</f>
        <v>0</v>
      </c>
      <c r="EH143" s="4585"/>
      <c r="EI143" s="4585"/>
      <c r="EJ143" s="1113">
        <f>IF(EH143=0,0,(EI143-EH143)/EH143*100)</f>
        <v>0</v>
      </c>
      <c r="EK143" s="4585"/>
      <c r="EL143" s="4585"/>
      <c r="EM143" s="1113">
        <f>IF(EK143=0,0,(EL143-EK143)/EK143*100)</f>
        <v>0</v>
      </c>
      <c r="EN143" s="4585"/>
      <c r="EO143" s="4585"/>
      <c r="EP143" s="1113">
        <f>IF(EN143=0,0,(EO143-EN143)/EN143*100)</f>
        <v>0</v>
      </c>
      <c r="EQ143" s="4585"/>
      <c r="ER143" s="4585"/>
      <c r="ES143" s="1113">
        <f>IF(EQ143=0,0,(ER143-EQ143)/EQ143*100)</f>
        <v>0</v>
      </c>
      <c r="ET143" s="4585"/>
      <c r="EU143" s="4585"/>
      <c r="EV143" s="1113">
        <f>IF(ET143=0,0,(EU143-ET143)/ET143*100)</f>
        <v>0</v>
      </c>
      <c r="EW143" s="4585"/>
      <c r="EX143" s="4585"/>
      <c r="EY143" s="1113">
        <f>IF(EW143=0,0,(EX143-EW143)/EW143*100)</f>
        <v>0</v>
      </c>
      <c r="EZ143" s="4585"/>
      <c r="FA143" s="4585"/>
      <c r="FB143" s="1113">
        <f>IF(EZ143=0,0,(FA143-EZ143)/EZ143*100)</f>
        <v>0</v>
      </c>
      <c r="FC143" s="4585"/>
      <c r="FD143" s="4585"/>
      <c r="FE143" s="1113">
        <f>IF(FC143=0,0,(FD143-FC143)/FC143*100)</f>
        <v>0</v>
      </c>
      <c r="FF143" s="4585"/>
      <c r="FG143" s="4585"/>
      <c r="FH143" s="1113">
        <f>IF(FF143=0,0,(FG143-FF143)/FF143*100)</f>
        <v>0</v>
      </c>
      <c r="FI143" s="4585"/>
      <c r="FJ143" s="4585"/>
      <c r="FK143" s="1113">
        <f>IF(FI143=0,0,(FJ143-FI143)/FI143*100)</f>
        <v>0</v>
      </c>
      <c r="FL143" s="4585"/>
      <c r="FM143" s="4585"/>
      <c r="FN143" s="1113">
        <f>IF(FL143=0,0,(FM143-FL143)/FL143*100)</f>
        <v>0</v>
      </c>
      <c r="FO143" s="4585"/>
      <c r="FP143" s="4585"/>
      <c r="FQ143" s="1113">
        <f>IF(FO143=0,0,(FP143-FO143)/FO143*100)</f>
        <v>0</v>
      </c>
      <c r="FR143" s="4585"/>
      <c r="FS143" s="4585"/>
      <c r="FT143" s="1113">
        <f>IF(FR143=0,0,(FS143-FR143)/FR143*100)</f>
        <v>0</v>
      </c>
      <c r="FU143" s="4585"/>
      <c r="FV143" s="4585"/>
      <c r="FW143" s="1113">
        <f>IF(FU143=0,0,(FV143-FU143)/FU143*100)</f>
        <v>0</v>
      </c>
      <c r="FX143" s="1328"/>
      <c r="FY143" s="1328"/>
      <c r="FZ143" s="1063" t="s">
        <v>1912</v>
      </c>
      <c r="GA143" s="1330"/>
      <c r="GB143" s="1330"/>
      <c r="GC143" s="1329"/>
      <c r="GD143" s="1329"/>
    </row>
    <row s="1656" customFormat="1" customHeight="1" ht="21.75" hidden="1">
      <c r="A144" s="496"/>
      <c r="B144" s="932" cm="1" t="str">
        <f t="array" ref="B144:B144">B143</f>
        <v>false</v>
      </c>
      <c r="C144" s="496"/>
      <c r="D144" s="496"/>
      <c r="E144" s="847">
        <v>22.5</v>
      </c>
      <c r="F144" s="50" cm="1" t="str">
        <f t="array" ref="F144:F144">OFFSET(E144,-1,1)</f>
        <v>1</v>
      </c>
      <c r="G144" s="496"/>
      <c r="H144" s="496" t="s">
        <v>1901</v>
      </c>
      <c r="I144" s="496" t="s">
        <v>1865</v>
      </c>
      <c r="J144" s="496"/>
      <c r="K144" s="496"/>
      <c r="L144" s="496"/>
      <c r="M144" s="496"/>
      <c r="N144" s="496"/>
      <c r="O144" s="496"/>
      <c r="P144" s="496"/>
      <c r="Q144" s="496"/>
      <c r="R144" s="496"/>
      <c r="S144" s="496"/>
      <c r="T144" s="468" cm="1" t="str">
        <f t="array" ref="T144:T144">T143</f>
        <v>true</v>
      </c>
      <c r="U144" s="496"/>
      <c r="V144" s="496"/>
      <c r="W144" s="496"/>
      <c r="X144" s="1559"/>
      <c r="Y144" s="496"/>
      <c r="Z144" s="1528"/>
      <c r="AA144" s="496"/>
      <c r="AB144" s="1100"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44" s="871" t="s">
        <v>1902</v>
      </c>
      <c r="AD144" s="4591"/>
      <c r="AE144" s="4591"/>
      <c r="AF144" s="1102">
        <f>IF(AD144=0,0,(AE144-AD144)/AD144*100)</f>
        <v>0</v>
      </c>
      <c r="AG144" s="4591"/>
      <c r="AH144" s="4591"/>
      <c r="AI144" s="1102">
        <f>IF(AG144=0,0,(AH144-AG144)/AG144*100)</f>
        <v>0</v>
      </c>
      <c r="AJ144" s="4591"/>
      <c r="AK144" s="4591"/>
      <c r="AL144" s="1102">
        <f>IF(AJ144=0,0,(AK144-AJ144)/AJ144*100)</f>
        <v>0</v>
      </c>
      <c r="AM144" s="4591"/>
      <c r="AN144" s="4591"/>
      <c r="AO144" s="1102">
        <f>IF(AM144=0,0,(AN144-AM144)/AM144*100)</f>
        <v>0</v>
      </c>
      <c r="AP144" s="4591"/>
      <c r="AQ144" s="4591"/>
      <c r="AR144" s="1102">
        <f>IF(AP144=0,0,(AQ144-AP144)/AP144*100)</f>
        <v>0</v>
      </c>
      <c r="AS144" s="4591"/>
      <c r="AT144" s="4591"/>
      <c r="AU144" s="1102">
        <f>IF(AS144=0,0,(AT144-AS144)/AS144*100)</f>
        <v>0</v>
      </c>
      <c r="AV144" s="4591"/>
      <c r="AW144" s="4591"/>
      <c r="AX144" s="1102">
        <f>IF(AV144=0,0,(AW144-AV144)/AV144*100)</f>
        <v>0</v>
      </c>
      <c r="AY144" s="4591"/>
      <c r="AZ144" s="4591"/>
      <c r="BA144" s="1102">
        <f>IF(AY144=0,0,(AZ144-AY144)/AY144*100)</f>
        <v>0</v>
      </c>
      <c r="BB144" s="4591"/>
      <c r="BC144" s="4591"/>
      <c r="BD144" s="1102">
        <f>IF(BB144=0,0,(BC144-BB144)/BB144*100)</f>
        <v>0</v>
      </c>
      <c r="BE144" s="4591"/>
      <c r="BF144" s="4591"/>
      <c r="BG144" s="1102">
        <f>IF(BE144=0,0,(BF144-BE144)/BE144*100)</f>
        <v>0</v>
      </c>
      <c r="BH144" s="4591"/>
      <c r="BI144" s="4591"/>
      <c r="BJ144" s="1102">
        <f>IF(BH144=0,0,(BI144-BH144)/BH144*100)</f>
        <v>0</v>
      </c>
      <c r="BK144" s="4591"/>
      <c r="BL144" s="4591"/>
      <c r="BM144" s="1102">
        <f>IF(BK144=0,0,(BL144-BK144)/BK144*100)</f>
        <v>0</v>
      </c>
      <c r="BN144" s="4591"/>
      <c r="BO144" s="4591"/>
      <c r="BP144" s="1102">
        <f>IF(BN144=0,0,(BO144-BN144)/BN144*100)</f>
        <v>0</v>
      </c>
      <c r="BQ144" s="4591"/>
      <c r="BR144" s="4591"/>
      <c r="BS144" s="1102">
        <f>IF(BQ144=0,0,(BR144-BQ144)/BQ144*100)</f>
        <v>0</v>
      </c>
      <c r="BT144" s="4591"/>
      <c r="BU144" s="4591"/>
      <c r="BV144" s="1102">
        <f>IF(BT144=0,0,(BU144-BT144)/BT144*100)</f>
        <v>0</v>
      </c>
      <c r="BW144" s="4591"/>
      <c r="BX144" s="4591"/>
      <c r="BY144" s="1102">
        <f>IF(BW144=0,0,(BX144-BW144)/BW144*100)</f>
        <v>0</v>
      </c>
      <c r="BZ144" s="4591"/>
      <c r="CA144" s="4591"/>
      <c r="CB144" s="1102">
        <f>IF(BZ144=0,0,(CA144-BZ144)/BZ144*100)</f>
        <v>0</v>
      </c>
      <c r="CC144" s="4591"/>
      <c r="CD144" s="4591"/>
      <c r="CE144" s="1102">
        <f>IF(CC144=0,0,(CD144-CC144)/CC144*100)</f>
        <v>0</v>
      </c>
      <c r="CF144" s="4591"/>
      <c r="CG144" s="4591"/>
      <c r="CH144" s="1102">
        <f>IF(CF144=0,0,(CG144-CF144)/CF144*100)</f>
        <v>0</v>
      </c>
      <c r="CI144" s="4591"/>
      <c r="CJ144" s="4591"/>
      <c r="CK144" s="1102">
        <f>IF(CI144=0,0,(CJ144-CI144)/CI144*100)</f>
        <v>0</v>
      </c>
      <c r="CL144" s="4591"/>
      <c r="CM144" s="4591"/>
      <c r="CN144" s="1102">
        <f>IF(CL144=0,0,(CM144-CL144)/CL144*100)</f>
        <v>0</v>
      </c>
      <c r="CO144" s="4591"/>
      <c r="CP144" s="4591"/>
      <c r="CQ144" s="1102">
        <f>IF(CO144=0,0,(CP144-CO144)/CO144*100)</f>
        <v>0</v>
      </c>
      <c r="CR144" s="4591"/>
      <c r="CS144" s="4591"/>
      <c r="CT144" s="1102">
        <f>IF(CR144=0,0,(CS144-CR144)/CR144*100)</f>
        <v>0</v>
      </c>
      <c r="CU144" s="4591"/>
      <c r="CV144" s="4591"/>
      <c r="CW144" s="1102">
        <f>IF(CU144=0,0,(CV144-CU144)/CU144*100)</f>
        <v>0</v>
      </c>
      <c r="CX144" s="4591"/>
      <c r="CY144" s="4591"/>
      <c r="CZ144" s="1102">
        <f>IF(CX144=0,0,(CY144-CX144)/CX144*100)</f>
        <v>0</v>
      </c>
      <c r="DA144" s="4591"/>
      <c r="DB144" s="4591"/>
      <c r="DC144" s="1102">
        <f>IF(DA144=0,0,(DB144-DA144)/DA144*100)</f>
        <v>0</v>
      </c>
      <c r="DD144" s="4591"/>
      <c r="DE144" s="4591"/>
      <c r="DF144" s="1102">
        <f>IF(DD144=0,0,(DE144-DD144)/DD144*100)</f>
        <v>0</v>
      </c>
      <c r="DG144" s="4591"/>
      <c r="DH144" s="4591"/>
      <c r="DI144" s="1102">
        <f>IF(DG144=0,0,(DH144-DG144)/DG144*100)</f>
        <v>0</v>
      </c>
      <c r="DJ144" s="4591"/>
      <c r="DK144" s="4591"/>
      <c r="DL144" s="1102">
        <f>IF(DJ144=0,0,(DK144-DJ144)/DJ144*100)</f>
        <v>0</v>
      </c>
      <c r="DM144" s="4591"/>
      <c r="DN144" s="4591"/>
      <c r="DO144" s="1102">
        <f>IF(DM144=0,0,(DN144-DM144)/DM144*100)</f>
        <v>0</v>
      </c>
      <c r="DP144" s="4591"/>
      <c r="DQ144" s="4591"/>
      <c r="DR144" s="1102">
        <f>IF(DP144=0,0,(DQ144-DP144)/DP144*100)</f>
        <v>0</v>
      </c>
      <c r="DS144" s="4591"/>
      <c r="DT144" s="4591"/>
      <c r="DU144" s="1102">
        <f>IF(DS144=0,0,(DT144-DS144)/DS144*100)</f>
        <v>0</v>
      </c>
      <c r="DV144" s="4591"/>
      <c r="DW144" s="4591"/>
      <c r="DX144" s="1102">
        <f>IF(DV144=0,0,(DW144-DV144)/DV144*100)</f>
        <v>0</v>
      </c>
      <c r="DY144" s="4591"/>
      <c r="DZ144" s="4591"/>
      <c r="EA144" s="1102">
        <f>IF(DY144=0,0,(DZ144-DY144)/DY144*100)</f>
        <v>0</v>
      </c>
      <c r="EB144" s="4591"/>
      <c r="EC144" s="4591"/>
      <c r="ED144" s="1102">
        <f>IF(EB144=0,0,(EC144-EB144)/EB144*100)</f>
        <v>0</v>
      </c>
      <c r="EE144" s="4591"/>
      <c r="EF144" s="4591"/>
      <c r="EG144" s="1102">
        <f>IF(EE144=0,0,(EF144-EE144)/EE144*100)</f>
        <v>0</v>
      </c>
      <c r="EH144" s="4591"/>
      <c r="EI144" s="4591"/>
      <c r="EJ144" s="1102">
        <f>IF(EH144=0,0,(EI144-EH144)/EH144*100)</f>
        <v>0</v>
      </c>
      <c r="EK144" s="4591"/>
      <c r="EL144" s="4591"/>
      <c r="EM144" s="1102">
        <f>IF(EK144=0,0,(EL144-EK144)/EK144*100)</f>
        <v>0</v>
      </c>
      <c r="EN144" s="4591"/>
      <c r="EO144" s="4591"/>
      <c r="EP144" s="1102">
        <f>IF(EN144=0,0,(EO144-EN144)/EN144*100)</f>
        <v>0</v>
      </c>
      <c r="EQ144" s="4591"/>
      <c r="ER144" s="4591"/>
      <c r="ES144" s="1102">
        <f>IF(EQ144=0,0,(ER144-EQ144)/EQ144*100)</f>
        <v>0</v>
      </c>
      <c r="ET144" s="4591"/>
      <c r="EU144" s="4591"/>
      <c r="EV144" s="1102">
        <f>IF(ET144=0,0,(EU144-ET144)/ET144*100)</f>
        <v>0</v>
      </c>
      <c r="EW144" s="4591"/>
      <c r="EX144" s="4591"/>
      <c r="EY144" s="1102">
        <f>IF(EW144=0,0,(EX144-EW144)/EW144*100)</f>
        <v>0</v>
      </c>
      <c r="EZ144" s="4591"/>
      <c r="FA144" s="4591"/>
      <c r="FB144" s="1102">
        <f>IF(EZ144=0,0,(FA144-EZ144)/EZ144*100)</f>
        <v>0</v>
      </c>
      <c r="FC144" s="4591"/>
      <c r="FD144" s="4591"/>
      <c r="FE144" s="1102">
        <f>IF(FC144=0,0,(FD144-FC144)/FC144*100)</f>
        <v>0</v>
      </c>
      <c r="FF144" s="4591"/>
      <c r="FG144" s="4591"/>
      <c r="FH144" s="1102">
        <f>IF(FF144=0,0,(FG144-FF144)/FF144*100)</f>
        <v>0</v>
      </c>
      <c r="FI144" s="4591"/>
      <c r="FJ144" s="4591"/>
      <c r="FK144" s="1102">
        <f>IF(FI144=0,0,(FJ144-FI144)/FI144*100)</f>
        <v>0</v>
      </c>
      <c r="FL144" s="4591"/>
      <c r="FM144" s="4591"/>
      <c r="FN144" s="1102">
        <f>IF(FL144=0,0,(FM144-FL144)/FL144*100)</f>
        <v>0</v>
      </c>
      <c r="FO144" s="4591"/>
      <c r="FP144" s="4591"/>
      <c r="FQ144" s="1102">
        <f>IF(FO144=0,0,(FP144-FO144)/FO144*100)</f>
        <v>0</v>
      </c>
      <c r="FR144" s="4591"/>
      <c r="FS144" s="4591"/>
      <c r="FT144" s="1102">
        <f>IF(FR144=0,0,(FS144-FR144)/FR144*100)</f>
        <v>0</v>
      </c>
      <c r="FU144" s="4591"/>
      <c r="FV144" s="4591"/>
      <c r="FW144" s="1102">
        <f>IF(FU144=0,0,(FV144-FU144)/FU144*100)</f>
        <v>0</v>
      </c>
      <c r="FX144" s="1328"/>
      <c r="FY144" s="1328"/>
      <c r="FZ144" s="1063" t="s">
        <v>1913</v>
      </c>
      <c r="GA144" s="1330"/>
      <c r="GB144" s="1330"/>
      <c r="GC144" s="1329"/>
      <c r="GD144" s="1329"/>
    </row>
    <row s="1656" customFormat="1" customHeight="1" ht="14.25" hidden="1">
      <c r="A145" s="496"/>
      <c r="B145" s="932" cm="1" t="str">
        <f t="array" ref="B145:B145">B144</f>
        <v>false</v>
      </c>
      <c r="C145" s="496"/>
      <c r="D145" s="496"/>
      <c r="E145" s="847">
        <v>15</v>
      </c>
      <c r="F145" s="50" cm="1" t="str">
        <f t="array" ref="F145:F145">OFFSET(E145,-1,1)</f>
        <v>1</v>
      </c>
      <c r="G145" s="496"/>
      <c r="H145" s="496" t="s">
        <v>1904</v>
      </c>
      <c r="I145" s="496" t="s">
        <v>1865</v>
      </c>
      <c r="J145" s="496"/>
      <c r="K145" s="496"/>
      <c r="L145" s="496"/>
      <c r="M145" s="496"/>
      <c r="N145" s="496"/>
      <c r="O145" s="496"/>
      <c r="P145" s="496"/>
      <c r="Q145" s="496"/>
      <c r="R145" s="496"/>
      <c r="S145" s="496"/>
      <c r="T145" s="468" cm="1" t="str">
        <f t="array" ref="T145:T145">T144</f>
        <v>true</v>
      </c>
      <c r="U145" s="496"/>
      <c r="V145" s="496"/>
      <c r="W145" s="496"/>
      <c r="X145" s="1559"/>
      <c r="Y145" s="496"/>
      <c r="Z145" s="1528"/>
      <c r="AA145" s="496"/>
      <c r="AB145" s="1100" t="s">
        <v>1905</v>
      </c>
      <c r="AC145" s="871" t="s">
        <v>1906</v>
      </c>
      <c r="AD145" s="4591"/>
      <c r="AE145" s="4591"/>
      <c r="AF145" s="1102">
        <f>IF(AD145=0,0,(AE145-AD145)/AD145*100)</f>
        <v>0</v>
      </c>
      <c r="AG145" s="4591"/>
      <c r="AH145" s="4591"/>
      <c r="AI145" s="1102">
        <f>IF(AG145=0,0,(AH145-AG145)/AG145*100)</f>
        <v>0</v>
      </c>
      <c r="AJ145" s="4591"/>
      <c r="AK145" s="4591"/>
      <c r="AL145" s="1102">
        <f>IF(AJ145=0,0,(AK145-AJ145)/AJ145*100)</f>
        <v>0</v>
      </c>
      <c r="AM145" s="4591"/>
      <c r="AN145" s="4591"/>
      <c r="AO145" s="1102">
        <f>IF(AM145=0,0,(AN145-AM145)/AM145*100)</f>
        <v>0</v>
      </c>
      <c r="AP145" s="4591"/>
      <c r="AQ145" s="4591"/>
      <c r="AR145" s="1102">
        <f>IF(AP145=0,0,(AQ145-AP145)/AP145*100)</f>
        <v>0</v>
      </c>
      <c r="AS145" s="4591"/>
      <c r="AT145" s="4591"/>
      <c r="AU145" s="1102">
        <f>IF(AS145=0,0,(AT145-AS145)/AS145*100)</f>
        <v>0</v>
      </c>
      <c r="AV145" s="4591"/>
      <c r="AW145" s="4591"/>
      <c r="AX145" s="1102">
        <f>IF(AV145=0,0,(AW145-AV145)/AV145*100)</f>
        <v>0</v>
      </c>
      <c r="AY145" s="4591"/>
      <c r="AZ145" s="4591"/>
      <c r="BA145" s="1102">
        <f>IF(AY145=0,0,(AZ145-AY145)/AY145*100)</f>
        <v>0</v>
      </c>
      <c r="BB145" s="4591"/>
      <c r="BC145" s="4591"/>
      <c r="BD145" s="1102">
        <f>IF(BB145=0,0,(BC145-BB145)/BB145*100)</f>
        <v>0</v>
      </c>
      <c r="BE145" s="4591"/>
      <c r="BF145" s="4591"/>
      <c r="BG145" s="1102">
        <f>IF(BE145=0,0,(BF145-BE145)/BE145*100)</f>
        <v>0</v>
      </c>
      <c r="BH145" s="4591"/>
      <c r="BI145" s="4591"/>
      <c r="BJ145" s="1102">
        <f>IF(BH145=0,0,(BI145-BH145)/BH145*100)</f>
        <v>0</v>
      </c>
      <c r="BK145" s="4591"/>
      <c r="BL145" s="4591"/>
      <c r="BM145" s="1102">
        <f>IF(BK145=0,0,(BL145-BK145)/BK145*100)</f>
        <v>0</v>
      </c>
      <c r="BN145" s="4591"/>
      <c r="BO145" s="4591"/>
      <c r="BP145" s="1102">
        <f>IF(BN145=0,0,(BO145-BN145)/BN145*100)</f>
        <v>0</v>
      </c>
      <c r="BQ145" s="4591"/>
      <c r="BR145" s="4591"/>
      <c r="BS145" s="1102">
        <f>IF(BQ145=0,0,(BR145-BQ145)/BQ145*100)</f>
        <v>0</v>
      </c>
      <c r="BT145" s="4591"/>
      <c r="BU145" s="4591"/>
      <c r="BV145" s="1102">
        <f>IF(BT145=0,0,(BU145-BT145)/BT145*100)</f>
        <v>0</v>
      </c>
      <c r="BW145" s="4591"/>
      <c r="BX145" s="4591"/>
      <c r="BY145" s="1102">
        <f>IF(BW145=0,0,(BX145-BW145)/BW145*100)</f>
        <v>0</v>
      </c>
      <c r="BZ145" s="4591"/>
      <c r="CA145" s="4591"/>
      <c r="CB145" s="1102">
        <f>IF(BZ145=0,0,(CA145-BZ145)/BZ145*100)</f>
        <v>0</v>
      </c>
      <c r="CC145" s="4591"/>
      <c r="CD145" s="4591"/>
      <c r="CE145" s="1102">
        <f>IF(CC145=0,0,(CD145-CC145)/CC145*100)</f>
        <v>0</v>
      </c>
      <c r="CF145" s="4591"/>
      <c r="CG145" s="4591"/>
      <c r="CH145" s="1102">
        <f>IF(CF145=0,0,(CG145-CF145)/CF145*100)</f>
        <v>0</v>
      </c>
      <c r="CI145" s="4591"/>
      <c r="CJ145" s="4591"/>
      <c r="CK145" s="1102">
        <f>IF(CI145=0,0,(CJ145-CI145)/CI145*100)</f>
        <v>0</v>
      </c>
      <c r="CL145" s="4591"/>
      <c r="CM145" s="4591"/>
      <c r="CN145" s="1102">
        <f>IF(CL145=0,0,(CM145-CL145)/CL145*100)</f>
        <v>0</v>
      </c>
      <c r="CO145" s="4591"/>
      <c r="CP145" s="4591"/>
      <c r="CQ145" s="1102">
        <f>IF(CO145=0,0,(CP145-CO145)/CO145*100)</f>
        <v>0</v>
      </c>
      <c r="CR145" s="4591"/>
      <c r="CS145" s="4591"/>
      <c r="CT145" s="1102">
        <f>IF(CR145=0,0,(CS145-CR145)/CR145*100)</f>
        <v>0</v>
      </c>
      <c r="CU145" s="4591"/>
      <c r="CV145" s="4591"/>
      <c r="CW145" s="1102">
        <f>IF(CU145=0,0,(CV145-CU145)/CU145*100)</f>
        <v>0</v>
      </c>
      <c r="CX145" s="4591"/>
      <c r="CY145" s="4591"/>
      <c r="CZ145" s="1102">
        <f>IF(CX145=0,0,(CY145-CX145)/CX145*100)</f>
        <v>0</v>
      </c>
      <c r="DA145" s="4591"/>
      <c r="DB145" s="4591"/>
      <c r="DC145" s="1102">
        <f>IF(DA145=0,0,(DB145-DA145)/DA145*100)</f>
        <v>0</v>
      </c>
      <c r="DD145" s="4591"/>
      <c r="DE145" s="4591"/>
      <c r="DF145" s="1102">
        <f>IF(DD145=0,0,(DE145-DD145)/DD145*100)</f>
        <v>0</v>
      </c>
      <c r="DG145" s="4591"/>
      <c r="DH145" s="4591"/>
      <c r="DI145" s="1102">
        <f>IF(DG145=0,0,(DH145-DG145)/DG145*100)</f>
        <v>0</v>
      </c>
      <c r="DJ145" s="4591"/>
      <c r="DK145" s="4591"/>
      <c r="DL145" s="1102">
        <f>IF(DJ145=0,0,(DK145-DJ145)/DJ145*100)</f>
        <v>0</v>
      </c>
      <c r="DM145" s="4591"/>
      <c r="DN145" s="4591"/>
      <c r="DO145" s="1102">
        <f>IF(DM145=0,0,(DN145-DM145)/DM145*100)</f>
        <v>0</v>
      </c>
      <c r="DP145" s="4591"/>
      <c r="DQ145" s="4591"/>
      <c r="DR145" s="1102">
        <f>IF(DP145=0,0,(DQ145-DP145)/DP145*100)</f>
        <v>0</v>
      </c>
      <c r="DS145" s="4591"/>
      <c r="DT145" s="4591"/>
      <c r="DU145" s="1102">
        <f>IF(DS145=0,0,(DT145-DS145)/DS145*100)</f>
        <v>0</v>
      </c>
      <c r="DV145" s="4591"/>
      <c r="DW145" s="4591"/>
      <c r="DX145" s="1102">
        <f>IF(DV145=0,0,(DW145-DV145)/DV145*100)</f>
        <v>0</v>
      </c>
      <c r="DY145" s="4591"/>
      <c r="DZ145" s="4591"/>
      <c r="EA145" s="1102">
        <f>IF(DY145=0,0,(DZ145-DY145)/DY145*100)</f>
        <v>0</v>
      </c>
      <c r="EB145" s="4591"/>
      <c r="EC145" s="4591"/>
      <c r="ED145" s="1102">
        <f>IF(EB145=0,0,(EC145-EB145)/EB145*100)</f>
        <v>0</v>
      </c>
      <c r="EE145" s="4591"/>
      <c r="EF145" s="4591"/>
      <c r="EG145" s="1102">
        <f>IF(EE145=0,0,(EF145-EE145)/EE145*100)</f>
        <v>0</v>
      </c>
      <c r="EH145" s="4591"/>
      <c r="EI145" s="4591"/>
      <c r="EJ145" s="1102">
        <f>IF(EH145=0,0,(EI145-EH145)/EH145*100)</f>
        <v>0</v>
      </c>
      <c r="EK145" s="4591"/>
      <c r="EL145" s="4591"/>
      <c r="EM145" s="1102">
        <f>IF(EK145=0,0,(EL145-EK145)/EK145*100)</f>
        <v>0</v>
      </c>
      <c r="EN145" s="4591"/>
      <c r="EO145" s="4591"/>
      <c r="EP145" s="1102">
        <f>IF(EN145=0,0,(EO145-EN145)/EN145*100)</f>
        <v>0</v>
      </c>
      <c r="EQ145" s="4591"/>
      <c r="ER145" s="4591"/>
      <c r="ES145" s="1102">
        <f>IF(EQ145=0,0,(ER145-EQ145)/EQ145*100)</f>
        <v>0</v>
      </c>
      <c r="ET145" s="4591"/>
      <c r="EU145" s="4591"/>
      <c r="EV145" s="1102">
        <f>IF(ET145=0,0,(EU145-ET145)/ET145*100)</f>
        <v>0</v>
      </c>
      <c r="EW145" s="4591"/>
      <c r="EX145" s="4591"/>
      <c r="EY145" s="1102">
        <f>IF(EW145=0,0,(EX145-EW145)/EW145*100)</f>
        <v>0</v>
      </c>
      <c r="EZ145" s="4591"/>
      <c r="FA145" s="4591"/>
      <c r="FB145" s="1102">
        <f>IF(EZ145=0,0,(FA145-EZ145)/EZ145*100)</f>
        <v>0</v>
      </c>
      <c r="FC145" s="4591"/>
      <c r="FD145" s="4591"/>
      <c r="FE145" s="1102">
        <f>IF(FC145=0,0,(FD145-FC145)/FC145*100)</f>
        <v>0</v>
      </c>
      <c r="FF145" s="4591"/>
      <c r="FG145" s="4591"/>
      <c r="FH145" s="1102">
        <f>IF(FF145=0,0,(FG145-FF145)/FF145*100)</f>
        <v>0</v>
      </c>
      <c r="FI145" s="4591"/>
      <c r="FJ145" s="4591"/>
      <c r="FK145" s="1102">
        <f>IF(FI145=0,0,(FJ145-FI145)/FI145*100)</f>
        <v>0</v>
      </c>
      <c r="FL145" s="4591"/>
      <c r="FM145" s="4591"/>
      <c r="FN145" s="1102">
        <f>IF(FL145=0,0,(FM145-FL145)/FL145*100)</f>
        <v>0</v>
      </c>
      <c r="FO145" s="4591"/>
      <c r="FP145" s="4591"/>
      <c r="FQ145" s="1102">
        <f>IF(FO145=0,0,(FP145-FO145)/FO145*100)</f>
        <v>0</v>
      </c>
      <c r="FR145" s="4591"/>
      <c r="FS145" s="4591"/>
      <c r="FT145" s="1102">
        <f>IF(FR145=0,0,(FS145-FR145)/FR145*100)</f>
        <v>0</v>
      </c>
      <c r="FU145" s="4591"/>
      <c r="FV145" s="4591"/>
      <c r="FW145" s="1102">
        <f>IF(FU145=0,0,(FV145-FU145)/FU145*100)</f>
        <v>0</v>
      </c>
      <c r="FX145" s="1328"/>
      <c r="FY145" s="1328"/>
      <c r="FZ145" s="1063" t="s">
        <v>1914</v>
      </c>
      <c r="GA145" s="1330"/>
      <c r="GB145" s="1330"/>
      <c r="GC145" s="1329"/>
      <c r="GD145" s="1329"/>
    </row>
    <row s="1656" customFormat="1" customHeight="1" ht="23.25" hidden="1">
      <c r="A146" s="496"/>
      <c r="B146" s="932" cm="1" t="str">
        <f t="array" ref="B146:B146">B145</f>
        <v>false</v>
      </c>
      <c r="C146" s="496"/>
      <c r="D146" s="496"/>
      <c r="E146" s="847">
        <v>24.5</v>
      </c>
      <c r="F146" s="50" cm="1" t="str">
        <f t="array" ref="F146:F146">OFFSET(E146,-1,1)</f>
        <v>1</v>
      </c>
      <c r="G146" s="496"/>
      <c r="H146" s="496"/>
      <c r="I146" s="496"/>
      <c r="J146" s="496"/>
      <c r="K146" s="496"/>
      <c r="L146" s="496"/>
      <c r="M146" s="496"/>
      <c r="N146" s="496"/>
      <c r="O146" s="496"/>
      <c r="P146" s="496"/>
      <c r="Q146" s="496"/>
      <c r="R146" s="496"/>
      <c r="S146" s="496"/>
      <c r="T146" s="468" cm="1" t="str">
        <f t="array" ref="T146:T146">T145</f>
        <v>true</v>
      </c>
      <c r="U146" s="496"/>
      <c r="V146" s="496"/>
      <c r="W146" s="496"/>
      <c r="X146" s="1559"/>
      <c r="Y146" s="496"/>
      <c r="Z146" s="1528"/>
      <c r="AA146" s="496"/>
      <c r="AB146" s="289" t="s">
        <v>1915</v>
      </c>
      <c r="AC146" s="910"/>
      <c r="AD146" s="1111"/>
      <c r="AE146" s="1111"/>
      <c r="AF146" s="1111"/>
      <c r="AG146" s="1111"/>
      <c r="AH146" s="1111"/>
      <c r="AI146" s="1111"/>
      <c r="AJ146" s="1111"/>
      <c r="AK146" s="1111"/>
      <c r="AL146" s="1111"/>
      <c r="AM146" s="1111"/>
      <c r="AN146" s="1111"/>
      <c r="AO146" s="1111"/>
      <c r="AP146" s="1111"/>
      <c r="AQ146" s="1111"/>
      <c r="AR146" s="1111"/>
      <c r="AS146" s="1111"/>
      <c r="AT146" s="1111"/>
      <c r="AU146" s="1111"/>
      <c r="AV146" s="1111"/>
      <c r="AW146" s="1111"/>
      <c r="AX146" s="1111"/>
      <c r="AY146" s="1111"/>
      <c r="AZ146" s="1111"/>
      <c r="BA146" s="1111"/>
      <c r="BB146" s="1111"/>
      <c r="BC146" s="1111"/>
      <c r="BD146" s="1111"/>
      <c r="BE146" s="1111"/>
      <c r="BF146" s="1111"/>
      <c r="BG146" s="1111"/>
      <c r="BH146" s="1111"/>
      <c r="BI146" s="1111"/>
      <c r="BJ146" s="1111"/>
      <c r="BK146" s="1111"/>
      <c r="BL146" s="1111"/>
      <c r="BM146" s="1111"/>
      <c r="BN146" s="1111"/>
      <c r="BO146" s="1111"/>
      <c r="BP146" s="1111"/>
      <c r="BQ146" s="1111"/>
      <c r="BR146" s="1111"/>
      <c r="BS146" s="1111"/>
      <c r="BT146" s="1111"/>
      <c r="BU146" s="1111"/>
      <c r="BV146" s="1111"/>
      <c r="BW146" s="1111"/>
      <c r="BX146" s="1111"/>
      <c r="BY146" s="1111"/>
      <c r="BZ146" s="1111"/>
      <c r="CA146" s="1111"/>
      <c r="CB146" s="1111"/>
      <c r="CC146" s="1111"/>
      <c r="CD146" s="1111"/>
      <c r="CE146" s="1111"/>
      <c r="CF146" s="1111"/>
      <c r="CG146" s="1111"/>
      <c r="CH146" s="1111"/>
      <c r="CI146" s="1111"/>
      <c r="CJ146" s="1111"/>
      <c r="CK146" s="1111"/>
      <c r="CL146" s="1111"/>
      <c r="CM146" s="1111"/>
      <c r="CN146" s="1111"/>
      <c r="CO146" s="1111"/>
      <c r="CP146" s="1111"/>
      <c r="CQ146" s="1111"/>
      <c r="CR146" s="1111"/>
      <c r="CS146" s="1111"/>
      <c r="CT146" s="1111"/>
      <c r="CU146" s="1111"/>
      <c r="CV146" s="1111"/>
      <c r="CW146" s="1111"/>
      <c r="CX146" s="1111"/>
      <c r="CY146" s="1111"/>
      <c r="CZ146" s="1111"/>
      <c r="DA146" s="1111"/>
      <c r="DB146" s="1111"/>
      <c r="DC146" s="1111"/>
      <c r="DD146" s="1111"/>
      <c r="DE146" s="1111"/>
      <c r="DF146" s="1111"/>
      <c r="DG146" s="1111"/>
      <c r="DH146" s="1111"/>
      <c r="DI146" s="1111"/>
      <c r="DJ146" s="1111"/>
      <c r="DK146" s="1111"/>
      <c r="DL146" s="1111"/>
      <c r="DM146" s="1111"/>
      <c r="DN146" s="1111"/>
      <c r="DO146" s="1111"/>
      <c r="DP146" s="1111"/>
      <c r="DQ146" s="1111"/>
      <c r="DR146" s="1111"/>
      <c r="DS146" s="1111"/>
      <c r="DT146" s="1111"/>
      <c r="DU146" s="1111"/>
      <c r="DV146" s="1111"/>
      <c r="DW146" s="1111"/>
      <c r="DX146" s="1111"/>
      <c r="DY146" s="1111"/>
      <c r="DZ146" s="1111"/>
      <c r="EA146" s="1111"/>
      <c r="EB146" s="1111"/>
      <c r="EC146" s="1111"/>
      <c r="ED146" s="1111"/>
      <c r="EE146" s="1111"/>
      <c r="EF146" s="1111"/>
      <c r="EG146" s="1111"/>
      <c r="EH146" s="1111"/>
      <c r="EI146" s="1111"/>
      <c r="EJ146" s="1111"/>
      <c r="EK146" s="1111"/>
      <c r="EL146" s="1111"/>
      <c r="EM146" s="1111"/>
      <c r="EN146" s="1111"/>
      <c r="EO146" s="1111"/>
      <c r="EP146" s="1111"/>
      <c r="EQ146" s="1111"/>
      <c r="ER146" s="1111"/>
      <c r="ES146" s="1111"/>
      <c r="ET146" s="1111"/>
      <c r="EU146" s="1111"/>
      <c r="EV146" s="1111"/>
      <c r="EW146" s="1111"/>
      <c r="EX146" s="1111"/>
      <c r="EY146" s="1111"/>
      <c r="EZ146" s="1111"/>
      <c r="FA146" s="1111"/>
      <c r="FB146" s="1111"/>
      <c r="FC146" s="1111"/>
      <c r="FD146" s="1111"/>
      <c r="FE146" s="1111"/>
      <c r="FF146" s="1111"/>
      <c r="FG146" s="1111"/>
      <c r="FH146" s="1111"/>
      <c r="FI146" s="1111"/>
      <c r="FJ146" s="1111"/>
      <c r="FK146" s="1111"/>
      <c r="FL146" s="1111"/>
      <c r="FM146" s="1111"/>
      <c r="FN146" s="1111"/>
      <c r="FO146" s="1111"/>
      <c r="FP146" s="1111"/>
      <c r="FQ146" s="1111"/>
      <c r="FR146" s="1111"/>
      <c r="FS146" s="1111"/>
      <c r="FT146" s="1111"/>
      <c r="FU146" s="1111"/>
      <c r="FV146" s="1111"/>
      <c r="FW146" s="1112"/>
      <c r="FX146" s="1328"/>
      <c r="FY146" s="1328"/>
      <c r="FZ146" s="1063"/>
      <c r="GA146" s="1330"/>
      <c r="GB146" s="1330"/>
      <c r="GC146" s="1329"/>
      <c r="GD146" s="1329"/>
    </row>
    <row s="1656" customFormat="1" customHeight="1" ht="14.25" hidden="1">
      <c r="A147" s="496"/>
      <c r="B147" s="932" cm="1" t="str">
        <f t="array" ref="B147:B147">B146</f>
        <v>false</v>
      </c>
      <c r="C147" s="496"/>
      <c r="D147" s="496"/>
      <c r="E147" s="847">
        <v>15</v>
      </c>
      <c r="F147" s="50" cm="1" t="str">
        <f t="array" ref="F147:F147">OFFSET(E147,-1,1)</f>
        <v>1</v>
      </c>
      <c r="G147" s="496"/>
      <c r="H147" s="496" t="s">
        <v>1787</v>
      </c>
      <c r="I147" s="496" t="s">
        <v>1875</v>
      </c>
      <c r="J147" s="496"/>
      <c r="K147" s="496"/>
      <c r="L147" s="496"/>
      <c r="M147" s="496"/>
      <c r="N147" s="496"/>
      <c r="O147" s="496"/>
      <c r="P147" s="496"/>
      <c r="Q147" s="496"/>
      <c r="R147" s="496"/>
      <c r="S147" s="496"/>
      <c r="T147" s="468" cm="1" t="str">
        <f t="array" ref="T147:T147">T146</f>
        <v>true</v>
      </c>
      <c r="U147" s="496"/>
      <c r="V147" s="496"/>
      <c r="W147" s="496"/>
      <c r="X147" s="1559"/>
      <c r="Y147" s="496"/>
      <c r="Z147" s="1528"/>
      <c r="AA147" s="496"/>
      <c r="AB147" s="1100" t="s">
        <v>1895</v>
      </c>
      <c r="AC147" s="871" t="s">
        <v>1862</v>
      </c>
      <c r="AD147" s="4591">
        <f>IF(AD149=0,0,(AD148*AD149+AD150*AD151*IF(god=2026,9,6))/AD149)</f>
        <v>0</v>
      </c>
      <c r="AE147" s="4591">
        <f>IF(AE149=0,0,(AE148*AE149+AE150*AE151*IF(god=2026,9,6))/AE149)</f>
        <v>0</v>
      </c>
      <c r="AF147" s="1102">
        <f>IF(AD147=0,0,(AE147-AD147)/AD147*100)</f>
        <v>0</v>
      </c>
      <c r="AG147" s="4591">
        <f>IF(AG149=0,0,(AG148*AG149+AG150*AG151*IF(god=2025,9,6))/AG149)</f>
        <v>0</v>
      </c>
      <c r="AH147" s="4591">
        <f>IF(AH149=0,0,(AH148*AH149+AH150*AH151*IF(god=2025,9,6))/AH149)</f>
        <v>0</v>
      </c>
      <c r="AI147" s="1102">
        <f>IF(AG147=0,0,(AH147-AG147)/AG147*100)</f>
        <v>0</v>
      </c>
      <c r="AJ147" s="4591">
        <f>IF(AJ149=0,0,(AJ148*AJ149+AJ150*AJ151*6)/AJ149)</f>
        <v>0</v>
      </c>
      <c r="AK147" s="4591">
        <f>IF(AK149=0,0,(AK148*AK149+AK150*AK151*6)/AK149)</f>
        <v>0</v>
      </c>
      <c r="AL147" s="1102">
        <f>IF(AJ147=0,0,(AK147-AJ147)/AJ147*100)</f>
        <v>0</v>
      </c>
      <c r="AM147" s="4591">
        <f>IF(AM149=0,0,(AM148*AM149+AM150*AM151*6)/AM149)</f>
        <v>0</v>
      </c>
      <c r="AN147" s="4591">
        <f>IF(AN149=0,0,(AN148*AN149+AN150*AN151*6)/AN149)</f>
        <v>0</v>
      </c>
      <c r="AO147" s="1102">
        <f>IF(AM147=0,0,(AN147-AM147)/AM147*100)</f>
        <v>0</v>
      </c>
      <c r="AP147" s="4591">
        <f>IF(AP149=0,0,(AP148*AP149+AP150*AP151*6)/AP149)</f>
        <v>0</v>
      </c>
      <c r="AQ147" s="4591">
        <f>IF(AQ149=0,0,(AQ148*AQ149+AQ150*AQ151*6)/AQ149)</f>
        <v>0</v>
      </c>
      <c r="AR147" s="1102">
        <f>IF(AP147=0,0,(AQ147-AP147)/AP147*100)</f>
        <v>0</v>
      </c>
      <c r="AS147" s="4591">
        <f>IF(AS149=0,0,(AS148*AS149+AS150*AS151*6)/AS149)</f>
        <v>0</v>
      </c>
      <c r="AT147" s="4591">
        <f>IF(AT149=0,0,(AT148*AT149+AT150*AT151*6)/AT149)</f>
        <v>0</v>
      </c>
      <c r="AU147" s="1102">
        <f>IF(AS147=0,0,(AT147-AS147)/AS147*100)</f>
        <v>0</v>
      </c>
      <c r="AV147" s="4591">
        <f>IF(AV149=0,0,(AV148*AV149+AV150*AV151*6)/AV149)</f>
        <v>0</v>
      </c>
      <c r="AW147" s="4591">
        <f>IF(AW149=0,0,(AW148*AW149+AW150*AW151*6)/AW149)</f>
        <v>0</v>
      </c>
      <c r="AX147" s="1102">
        <f>IF(AV147=0,0,(AW147-AV147)/AV147*100)</f>
        <v>0</v>
      </c>
      <c r="AY147" s="4591">
        <f>IF(AY149=0,0,(AY148*AY149+AY150*AY151*6)/AY149)</f>
        <v>0</v>
      </c>
      <c r="AZ147" s="4591">
        <f>IF(AZ149=0,0,(AZ148*AZ149+AZ150*AZ151*6)/AZ149)</f>
        <v>0</v>
      </c>
      <c r="BA147" s="1102">
        <f>IF(AY147=0,0,(AZ147-AY147)/AY147*100)</f>
        <v>0</v>
      </c>
      <c r="BB147" s="4591">
        <f>IF(BB149=0,0,(BB148*BB149+BB150*BB151*6)/BB149)</f>
        <v>0</v>
      </c>
      <c r="BC147" s="4591">
        <f>IF(BC149=0,0,(BC148*BC149+BC150*BC151*6)/BC149)</f>
        <v>0</v>
      </c>
      <c r="BD147" s="1102">
        <f>IF(BB147=0,0,(BC147-BB147)/BB147*100)</f>
        <v>0</v>
      </c>
      <c r="BE147" s="4591">
        <f>IF(BE149=0,0,(BE148*BE149+BE150*BE151*6)/BE149)</f>
        <v>0</v>
      </c>
      <c r="BF147" s="4591">
        <f>IF(BF149=0,0,(BF148*BF149+BF150*BF151*6)/BF149)</f>
        <v>0</v>
      </c>
      <c r="BG147" s="1102">
        <f>IF(BE147=0,0,(BF147-BE147)/BE147*100)</f>
        <v>0</v>
      </c>
      <c r="BH147" s="4591">
        <f>IF(BH149=0,0,(BH148*BH149+BH150*BH151*6)/BH149)</f>
        <v>0</v>
      </c>
      <c r="BI147" s="4591">
        <f>IF(BI149=0,0,(BI148*BI149+BI150*BI151*6)/BI149)</f>
        <v>0</v>
      </c>
      <c r="BJ147" s="1102">
        <f>IF(BH147=0,0,(BI147-BH147)/BH147*100)</f>
        <v>0</v>
      </c>
      <c r="BK147" s="4591">
        <f>IF(BK149=0,0,(BK148*BK149+BK150*BK151*6)/BK149)</f>
        <v>0</v>
      </c>
      <c r="BL147" s="4591">
        <f>IF(BL149=0,0,(BL148*BL149+BL150*BL151*6)/BL149)</f>
        <v>0</v>
      </c>
      <c r="BM147" s="1102">
        <f>IF(BK147=0,0,(BL147-BK147)/BK147*100)</f>
        <v>0</v>
      </c>
      <c r="BN147" s="4591">
        <f>IF(BN149=0,0,(BN148*BN149+BN150*BN151*6)/BN149)</f>
        <v>0</v>
      </c>
      <c r="BO147" s="4591">
        <f>IF(BO149=0,0,(BO148*BO149+BO150*BO151*6)/BO149)</f>
        <v>0</v>
      </c>
      <c r="BP147" s="1102">
        <f>IF(BN147=0,0,(BO147-BN147)/BN147*100)</f>
        <v>0</v>
      </c>
      <c r="BQ147" s="4591">
        <f>IF(BQ149=0,0,(BQ148*BQ149+BQ150*BQ151*6)/BQ149)</f>
        <v>0</v>
      </c>
      <c r="BR147" s="4591">
        <f>IF(BR149=0,0,(BR148*BR149+BR150*BR151*6)/BR149)</f>
        <v>0</v>
      </c>
      <c r="BS147" s="1102">
        <f>IF(BQ147=0,0,(BR147-BQ147)/BQ147*100)</f>
        <v>0</v>
      </c>
      <c r="BT147" s="4591">
        <f>IF(BT149=0,0,(BT148*BT149+BT150*BT151*6)/BT149)</f>
        <v>0</v>
      </c>
      <c r="BU147" s="4591">
        <f>IF(BU149=0,0,(BU148*BU149+BU150*BU151*6)/BU149)</f>
        <v>0</v>
      </c>
      <c r="BV147" s="1102">
        <f>IF(BT147=0,0,(BU147-BT147)/BT147*100)</f>
        <v>0</v>
      </c>
      <c r="BW147" s="4591">
        <f>IF(BW149=0,0,(BW148*BW149+BW150*BW151*6)/BW149)</f>
        <v>0</v>
      </c>
      <c r="BX147" s="4591">
        <f>IF(BX149=0,0,(BX148*BX149+BX150*BX151*6)/BX149)</f>
        <v>0</v>
      </c>
      <c r="BY147" s="1102">
        <f>IF(BW147=0,0,(BX147-BW147)/BW147*100)</f>
        <v>0</v>
      </c>
      <c r="BZ147" s="4591">
        <f>IF(BZ149=0,0,(BZ148*BZ149+BZ150*BZ151*6)/BZ149)</f>
        <v>0</v>
      </c>
      <c r="CA147" s="4591">
        <f>IF(CA149=0,0,(CA148*CA149+CA150*CA151*6)/CA149)</f>
        <v>0</v>
      </c>
      <c r="CB147" s="1102">
        <f>IF(BZ147=0,0,(CA147-BZ147)/BZ147*100)</f>
        <v>0</v>
      </c>
      <c r="CC147" s="4591">
        <f>IF(CC149=0,0,(CC148*CC149+CC150*CC151*6)/CC149)</f>
        <v>0</v>
      </c>
      <c r="CD147" s="4591">
        <f>IF(CD149=0,0,(CD148*CD149+CD150*CD151*6)/CD149)</f>
        <v>0</v>
      </c>
      <c r="CE147" s="1102">
        <f>IF(CC147=0,0,(CD147-CC147)/CC147*100)</f>
        <v>0</v>
      </c>
      <c r="CF147" s="4591">
        <f>IF(CF149=0,0,(CF148*CF149+CF150*CF151*6)/CF149)</f>
        <v>0</v>
      </c>
      <c r="CG147" s="4591">
        <f>IF(CG149=0,0,(CG148*CG149+CG150*CG151*6)/CG149)</f>
        <v>0</v>
      </c>
      <c r="CH147" s="1102">
        <f>IF(CF147=0,0,(CG147-CF147)/CF147*100)</f>
        <v>0</v>
      </c>
      <c r="CI147" s="4591">
        <f>IF(CI149=0,0,(CI148*CI149+CI150*CI151*6)/CI149)</f>
        <v>0</v>
      </c>
      <c r="CJ147" s="4591">
        <f>IF(CJ149=0,0,(CJ148*CJ149+CJ150*CJ151*6)/CJ149)</f>
        <v>0</v>
      </c>
      <c r="CK147" s="1102">
        <f>IF(CI147=0,0,(CJ147-CI147)/CI147*100)</f>
        <v>0</v>
      </c>
      <c r="CL147" s="4591">
        <f>IF(CL149=0,0,(CL148*CL149+CL150*CL151*6)/CL149)</f>
        <v>0</v>
      </c>
      <c r="CM147" s="4591">
        <f>IF(CM149=0,0,(CM148*CM149+CM150*CM151*6)/CM149)</f>
        <v>0</v>
      </c>
      <c r="CN147" s="1102">
        <f>IF(CL147=0,0,(CM147-CL147)/CL147*100)</f>
        <v>0</v>
      </c>
      <c r="CO147" s="4591">
        <f>IF(CO149=0,0,(CO148*CO149+CO150*CO151*6)/CO149)</f>
        <v>0</v>
      </c>
      <c r="CP147" s="4591">
        <f>IF(CP149=0,0,(CP148*CP149+CP150*CP151*6)/CP149)</f>
        <v>0</v>
      </c>
      <c r="CQ147" s="1102">
        <f>IF(CO147=0,0,(CP147-CO147)/CO147*100)</f>
        <v>0</v>
      </c>
      <c r="CR147" s="4591">
        <f>IF(CR149=0,0,(CR148*CR149+CR150*CR151*6)/CR149)</f>
        <v>0</v>
      </c>
      <c r="CS147" s="4591">
        <f>IF(CS149=0,0,(CS148*CS149+CS150*CS151*6)/CS149)</f>
        <v>0</v>
      </c>
      <c r="CT147" s="1102">
        <f>IF(CR147=0,0,(CS147-CR147)/CR147*100)</f>
        <v>0</v>
      </c>
      <c r="CU147" s="4591">
        <f>IF(CU149=0,0,(CU148*CU149+CU150*CU151*6)/CU149)</f>
        <v>0</v>
      </c>
      <c r="CV147" s="4591">
        <f>IF(CV149=0,0,(CV148*CV149+CV150*CV151*6)/CV149)</f>
        <v>0</v>
      </c>
      <c r="CW147" s="1102">
        <f>IF(CU147=0,0,(CV147-CU147)/CU147*100)</f>
        <v>0</v>
      </c>
      <c r="CX147" s="4591">
        <f>IF(CX149=0,0,(CX148*CX149+CX150*CX151*6)/CX149)</f>
        <v>0</v>
      </c>
      <c r="CY147" s="4591">
        <f>IF(CY149=0,0,(CY148*CY149+CY150*CY151*6)/CY149)</f>
        <v>0</v>
      </c>
      <c r="CZ147" s="1102">
        <f>IF(CX147=0,0,(CY147-CX147)/CX147*100)</f>
        <v>0</v>
      </c>
      <c r="DA147" s="4591">
        <f>IF(DA149=0,0,(DA148*DA149+DA150*DA151*6)/DA149)</f>
        <v>0</v>
      </c>
      <c r="DB147" s="4591">
        <f>IF(DB149=0,0,(DB148*DB149+DB150*DB151*6)/DB149)</f>
        <v>0</v>
      </c>
      <c r="DC147" s="1102">
        <f>IF(DA147=0,0,(DB147-DA147)/DA147*100)</f>
        <v>0</v>
      </c>
      <c r="DD147" s="4591">
        <f>IF(DD149=0,0,(DD148*DD149+DD150*DD151*6)/DD149)</f>
        <v>0</v>
      </c>
      <c r="DE147" s="4591">
        <f>IF(DE149=0,0,(DE148*DE149+DE150*DE151*6)/DE149)</f>
        <v>0</v>
      </c>
      <c r="DF147" s="1102">
        <f>IF(DD147=0,0,(DE147-DD147)/DD147*100)</f>
        <v>0</v>
      </c>
      <c r="DG147" s="4591">
        <f>IF(DG149=0,0,(DG148*DG149+DG150*DG151*6)/DG149)</f>
        <v>0</v>
      </c>
      <c r="DH147" s="4591">
        <f>IF(DH149=0,0,(DH148*DH149+DH150*DH151*6)/DH149)</f>
        <v>0</v>
      </c>
      <c r="DI147" s="1102">
        <f>IF(DG147=0,0,(DH147-DG147)/DG147*100)</f>
        <v>0</v>
      </c>
      <c r="DJ147" s="4591">
        <f>IF(DJ149=0,0,(DJ148*DJ149+DJ150*DJ151*6)/DJ149)</f>
        <v>0</v>
      </c>
      <c r="DK147" s="4591">
        <f>IF(DK149=0,0,(DK148*DK149+DK150*DK151*6)/DK149)</f>
        <v>0</v>
      </c>
      <c r="DL147" s="1102">
        <f>IF(DJ147=0,0,(DK147-DJ147)/DJ147*100)</f>
        <v>0</v>
      </c>
      <c r="DM147" s="4591">
        <f>IF(DM149=0,0,(DM148*DM149+DM150*DM151*6)/DM149)</f>
        <v>0</v>
      </c>
      <c r="DN147" s="4591">
        <f>IF(DN149=0,0,(DN148*DN149+DN150*DN151*6)/DN149)</f>
        <v>0</v>
      </c>
      <c r="DO147" s="1102">
        <f>IF(DM147=0,0,(DN147-DM147)/DM147*100)</f>
        <v>0</v>
      </c>
      <c r="DP147" s="4591">
        <f>IF(DP149=0,0,(DP148*DP149+DP150*DP151*6)/DP149)</f>
        <v>0</v>
      </c>
      <c r="DQ147" s="4591">
        <f>IF(DQ149=0,0,(DQ148*DQ149+DQ150*DQ151*6)/DQ149)</f>
        <v>0</v>
      </c>
      <c r="DR147" s="1102">
        <f>IF(DP147=0,0,(DQ147-DP147)/DP147*100)</f>
        <v>0</v>
      </c>
      <c r="DS147" s="4591">
        <f>IF(DS149=0,0,(DS148*DS149+DS150*DS151*6)/DS149)</f>
        <v>0</v>
      </c>
      <c r="DT147" s="4591">
        <f>IF(DT149=0,0,(DT148*DT149+DT150*DT151*6)/DT149)</f>
        <v>0</v>
      </c>
      <c r="DU147" s="1102">
        <f>IF(DS147=0,0,(DT147-DS147)/DS147*100)</f>
        <v>0</v>
      </c>
      <c r="DV147" s="4591">
        <f>IF(DV149=0,0,(DV148*DV149+DV150*DV151*6)/DV149)</f>
        <v>0</v>
      </c>
      <c r="DW147" s="4591">
        <f>IF(DW149=0,0,(DW148*DW149+DW150*DW151*6)/DW149)</f>
        <v>0</v>
      </c>
      <c r="DX147" s="1102">
        <f>IF(DV147=0,0,(DW147-DV147)/DV147*100)</f>
        <v>0</v>
      </c>
      <c r="DY147" s="4591">
        <f>IF(DY149=0,0,(DY148*DY149+DY150*DY151*6)/DY149)</f>
        <v>0</v>
      </c>
      <c r="DZ147" s="4591">
        <f>IF(DZ149=0,0,(DZ148*DZ149+DZ150*DZ151*6)/DZ149)</f>
        <v>0</v>
      </c>
      <c r="EA147" s="1102">
        <f>IF(DY147=0,0,(DZ147-DY147)/DY147*100)</f>
        <v>0</v>
      </c>
      <c r="EB147" s="4591">
        <f>IF(EB149=0,0,(EB148*EB149+EB150*EB151*6)/EB149)</f>
        <v>0</v>
      </c>
      <c r="EC147" s="4591">
        <f>IF(EC149=0,0,(EC148*EC149+EC150*EC151*6)/EC149)</f>
        <v>0</v>
      </c>
      <c r="ED147" s="1102">
        <f>IF(EB147=0,0,(EC147-EB147)/EB147*100)</f>
        <v>0</v>
      </c>
      <c r="EE147" s="4591">
        <f>IF(EE149=0,0,(EE148*EE149+EE150*EE151*6)/EE149)</f>
        <v>0</v>
      </c>
      <c r="EF147" s="4591">
        <f>IF(EF149=0,0,(EF148*EF149+EF150*EF151*6)/EF149)</f>
        <v>0</v>
      </c>
      <c r="EG147" s="1102">
        <f>IF(EE147=0,0,(EF147-EE147)/EE147*100)</f>
        <v>0</v>
      </c>
      <c r="EH147" s="4591">
        <f>IF(EH149=0,0,(EH148*EH149+EH150*EH151*6)/EH149)</f>
        <v>0</v>
      </c>
      <c r="EI147" s="4591">
        <f>IF(EI149=0,0,(EI148*EI149+EI150*EI151*6)/EI149)</f>
        <v>0</v>
      </c>
      <c r="EJ147" s="1102">
        <f>IF(EH147=0,0,(EI147-EH147)/EH147*100)</f>
        <v>0</v>
      </c>
      <c r="EK147" s="4591">
        <f>IF(EK149=0,0,(EK148*EK149+EK150*EK151*6)/EK149)</f>
        <v>0</v>
      </c>
      <c r="EL147" s="4591">
        <f>IF(EL149=0,0,(EL148*EL149+EL150*EL151*6)/EL149)</f>
        <v>0</v>
      </c>
      <c r="EM147" s="1102">
        <f>IF(EK147=0,0,(EL147-EK147)/EK147*100)</f>
        <v>0</v>
      </c>
      <c r="EN147" s="4591">
        <f>IF(EN149=0,0,(EN148*EN149+EN150*EN151*6)/EN149)</f>
        <v>0</v>
      </c>
      <c r="EO147" s="4591">
        <f>IF(EO149=0,0,(EO148*EO149+EO150*EO151*6)/EO149)</f>
        <v>0</v>
      </c>
      <c r="EP147" s="1102">
        <f>IF(EN147=0,0,(EO147-EN147)/EN147*100)</f>
        <v>0</v>
      </c>
      <c r="EQ147" s="4591">
        <f>IF(EQ149=0,0,(EQ148*EQ149+EQ150*EQ151*6)/EQ149)</f>
        <v>0</v>
      </c>
      <c r="ER147" s="4591">
        <f>IF(ER149=0,0,(ER148*ER149+ER150*ER151*6)/ER149)</f>
        <v>0</v>
      </c>
      <c r="ES147" s="1102">
        <f>IF(EQ147=0,0,(ER147-EQ147)/EQ147*100)</f>
        <v>0</v>
      </c>
      <c r="ET147" s="4591">
        <f>IF(ET149=0,0,(ET148*ET149+ET150*ET151*6)/ET149)</f>
        <v>0</v>
      </c>
      <c r="EU147" s="4591">
        <f>IF(EU149=0,0,(EU148*EU149+EU150*EU151*6)/EU149)</f>
        <v>0</v>
      </c>
      <c r="EV147" s="1102">
        <f>IF(ET147=0,0,(EU147-ET147)/ET147*100)</f>
        <v>0</v>
      </c>
      <c r="EW147" s="4591">
        <f>IF(EW149=0,0,(EW148*EW149+EW150*EW151*6)/EW149)</f>
        <v>0</v>
      </c>
      <c r="EX147" s="4591">
        <f>IF(EX149=0,0,(EX148*EX149+EX150*EX151*6)/EX149)</f>
        <v>0</v>
      </c>
      <c r="EY147" s="1102">
        <f>IF(EW147=0,0,(EX147-EW147)/EW147*100)</f>
        <v>0</v>
      </c>
      <c r="EZ147" s="4591">
        <f>IF(EZ149=0,0,(EZ148*EZ149+EZ150*EZ151*6)/EZ149)</f>
        <v>0</v>
      </c>
      <c r="FA147" s="4591">
        <f>IF(FA149=0,0,(FA148*FA149+FA150*FA151*6)/FA149)</f>
        <v>0</v>
      </c>
      <c r="FB147" s="1102">
        <f>IF(EZ147=0,0,(FA147-EZ147)/EZ147*100)</f>
        <v>0</v>
      </c>
      <c r="FC147" s="4591">
        <f>IF(FC149=0,0,(FC148*FC149+FC150*FC151*6)/FC149)</f>
        <v>0</v>
      </c>
      <c r="FD147" s="4591">
        <f>IF(FD149=0,0,(FD148*FD149+FD150*FD151*6)/FD149)</f>
        <v>0</v>
      </c>
      <c r="FE147" s="1102">
        <f>IF(FC147=0,0,(FD147-FC147)/FC147*100)</f>
        <v>0</v>
      </c>
      <c r="FF147" s="4591">
        <f>IF(FF149=0,0,(FF148*FF149+FF150*FF151*6)/FF149)</f>
        <v>0</v>
      </c>
      <c r="FG147" s="4591">
        <f>IF(FG149=0,0,(FG148*FG149+FG150*FG151*6)/FG149)</f>
        <v>0</v>
      </c>
      <c r="FH147" s="1102">
        <f>IF(FF147=0,0,(FG147-FF147)/FF147*100)</f>
        <v>0</v>
      </c>
      <c r="FI147" s="4591">
        <f>IF(FI149=0,0,(FI148*FI149+FI150*FI151*6)/FI149)</f>
        <v>0</v>
      </c>
      <c r="FJ147" s="4591">
        <f>IF(FJ149=0,0,(FJ148*FJ149+FJ150*FJ151*6)/FJ149)</f>
        <v>0</v>
      </c>
      <c r="FK147" s="1102">
        <f>IF(FI147=0,0,(FJ147-FI147)/FI147*100)</f>
        <v>0</v>
      </c>
      <c r="FL147" s="4591">
        <f>IF(FL149=0,0,(FL148*FL149+FL150*FL151*6)/FL149)</f>
        <v>0</v>
      </c>
      <c r="FM147" s="4591">
        <f>IF(FM149=0,0,(FM148*FM149+FM150*FM151*6)/FM149)</f>
        <v>0</v>
      </c>
      <c r="FN147" s="1102">
        <f>IF(FL147=0,0,(FM147-FL147)/FL147*100)</f>
        <v>0</v>
      </c>
      <c r="FO147" s="4591">
        <f>IF(FO149=0,0,(FO148*FO149+FO150*FO151*6)/FO149)</f>
        <v>0</v>
      </c>
      <c r="FP147" s="4591">
        <f>IF(FP149=0,0,(FP148*FP149+FP150*FP151*6)/FP149)</f>
        <v>0</v>
      </c>
      <c r="FQ147" s="1102">
        <f>IF(FO147=0,0,(FP147-FO147)/FO147*100)</f>
        <v>0</v>
      </c>
      <c r="FR147" s="4591">
        <f>IF(FR149=0,0,(FR148*FR149+FR150*FR151*6)/FR149)</f>
        <v>0</v>
      </c>
      <c r="FS147" s="4591">
        <f>IF(FS149=0,0,(FS148*FS149+FS150*FS151*6)/FS149)</f>
        <v>0</v>
      </c>
      <c r="FT147" s="1102">
        <f>IF(FR147=0,0,(FS147-FR147)/FR147*100)</f>
        <v>0</v>
      </c>
      <c r="FU147" s="4591">
        <f>IF(FU149=0,0,(FU148*FU149+FU150*FU151*6)/FU149)</f>
        <v>0</v>
      </c>
      <c r="FV147" s="4591">
        <f>IF(FV149=0,0,(FV148*FV149+FV150*FV151*6)/FV149)</f>
        <v>0</v>
      </c>
      <c r="FW147" s="1102">
        <f>IF(FU147=0,0,(FV147-FU147)/FU147*100)</f>
        <v>0</v>
      </c>
      <c r="FX147" s="1328"/>
      <c r="FY147" s="1328"/>
      <c r="FZ147" s="1063" t="s">
        <v>1916</v>
      </c>
      <c r="GA147" s="1330"/>
      <c r="GB147" s="1330"/>
      <c r="GC147" s="1329"/>
      <c r="GD147" s="1329"/>
    </row>
    <row s="1656" customFormat="1" customHeight="1" ht="14.25" hidden="1">
      <c r="A148" s="496"/>
      <c r="B148" s="932" cm="1" t="str">
        <f t="array" ref="B148:B148">B147</f>
        <v>false</v>
      </c>
      <c r="C148" s="496"/>
      <c r="D148" s="496"/>
      <c r="E148" s="847">
        <v>15</v>
      </c>
      <c r="F148" s="50" cm="1" t="str">
        <f t="array" ref="F148:F148">OFFSET(E148,-1,1)</f>
        <v>1</v>
      </c>
      <c r="G148" s="496"/>
      <c r="H148" s="496" t="s">
        <v>1791</v>
      </c>
      <c r="I148" s="496" t="s">
        <v>1875</v>
      </c>
      <c r="J148" s="496"/>
      <c r="K148" s="496"/>
      <c r="L148" s="496"/>
      <c r="M148" s="496"/>
      <c r="N148" s="496"/>
      <c r="O148" s="496"/>
      <c r="P148" s="496"/>
      <c r="Q148" s="496"/>
      <c r="R148" s="496"/>
      <c r="S148" s="496"/>
      <c r="T148" s="468" cm="1" t="str">
        <f t="array" ref="T148:T148">T147</f>
        <v>true</v>
      </c>
      <c r="U148" s="496"/>
      <c r="V148" s="496"/>
      <c r="W148" s="496"/>
      <c r="X148" s="1559"/>
      <c r="Y148" s="496"/>
      <c r="Z148" s="1528"/>
      <c r="AA148" s="496"/>
      <c r="AB148" s="1100" t="str">
        <f>"ставка платы за "&amp;IF(Q92="Водоснабжение","потребление 1 куб.м холодной воды","объем принятых сточных вод")</f>
        <v>ставка платы за потребление 1 куб.м холодной воды</v>
      </c>
      <c r="AC148" s="871" t="s">
        <v>1862</v>
      </c>
      <c r="AD148" s="4591"/>
      <c r="AE148" s="4591"/>
      <c r="AF148" s="1102">
        <f>IF(AD148=0,0,(AE148-AD148)/AD148*100)</f>
        <v>0</v>
      </c>
      <c r="AG148" s="4591"/>
      <c r="AH148" s="4591"/>
      <c r="AI148" s="1102">
        <f>IF(AG148=0,0,(AH148-AG148)/AG148*100)</f>
        <v>0</v>
      </c>
      <c r="AJ148" s="4591"/>
      <c r="AK148" s="4591"/>
      <c r="AL148" s="1102">
        <f>IF(AJ148=0,0,(AK148-AJ148)/AJ148*100)</f>
        <v>0</v>
      </c>
      <c r="AM148" s="4591"/>
      <c r="AN148" s="4591"/>
      <c r="AO148" s="1102">
        <f>IF(AM148=0,0,(AN148-AM148)/AM148*100)</f>
        <v>0</v>
      </c>
      <c r="AP148" s="4591"/>
      <c r="AQ148" s="4591"/>
      <c r="AR148" s="1102">
        <f>IF(AP148=0,0,(AQ148-AP148)/AP148*100)</f>
        <v>0</v>
      </c>
      <c r="AS148" s="4591"/>
      <c r="AT148" s="4591"/>
      <c r="AU148" s="1102">
        <f>IF(AS148=0,0,(AT148-AS148)/AS148*100)</f>
        <v>0</v>
      </c>
      <c r="AV148" s="4591"/>
      <c r="AW148" s="4591"/>
      <c r="AX148" s="1102">
        <f>IF(AV148=0,0,(AW148-AV148)/AV148*100)</f>
        <v>0</v>
      </c>
      <c r="AY148" s="4591"/>
      <c r="AZ148" s="4591"/>
      <c r="BA148" s="1102">
        <f>IF(AY148=0,0,(AZ148-AY148)/AY148*100)</f>
        <v>0</v>
      </c>
      <c r="BB148" s="4591"/>
      <c r="BC148" s="4591"/>
      <c r="BD148" s="1102">
        <f>IF(BB148=0,0,(BC148-BB148)/BB148*100)</f>
        <v>0</v>
      </c>
      <c r="BE148" s="4591"/>
      <c r="BF148" s="4591"/>
      <c r="BG148" s="1102">
        <f>IF(BE148=0,0,(BF148-BE148)/BE148*100)</f>
        <v>0</v>
      </c>
      <c r="BH148" s="4591"/>
      <c r="BI148" s="4591"/>
      <c r="BJ148" s="1102">
        <f>IF(BH148=0,0,(BI148-BH148)/BH148*100)</f>
        <v>0</v>
      </c>
      <c r="BK148" s="4591"/>
      <c r="BL148" s="4591"/>
      <c r="BM148" s="1102">
        <f>IF(BK148=0,0,(BL148-BK148)/BK148*100)</f>
        <v>0</v>
      </c>
      <c r="BN148" s="4591"/>
      <c r="BO148" s="4591"/>
      <c r="BP148" s="1102">
        <f>IF(BN148=0,0,(BO148-BN148)/BN148*100)</f>
        <v>0</v>
      </c>
      <c r="BQ148" s="4591"/>
      <c r="BR148" s="4591"/>
      <c r="BS148" s="1102">
        <f>IF(BQ148=0,0,(BR148-BQ148)/BQ148*100)</f>
        <v>0</v>
      </c>
      <c r="BT148" s="4591"/>
      <c r="BU148" s="4591"/>
      <c r="BV148" s="1102">
        <f>IF(BT148=0,0,(BU148-BT148)/BT148*100)</f>
        <v>0</v>
      </c>
      <c r="BW148" s="4591"/>
      <c r="BX148" s="4591"/>
      <c r="BY148" s="1102">
        <f>IF(BW148=0,0,(BX148-BW148)/BW148*100)</f>
        <v>0</v>
      </c>
      <c r="BZ148" s="4591"/>
      <c r="CA148" s="4591"/>
      <c r="CB148" s="1102">
        <f>IF(BZ148=0,0,(CA148-BZ148)/BZ148*100)</f>
        <v>0</v>
      </c>
      <c r="CC148" s="4591"/>
      <c r="CD148" s="4591"/>
      <c r="CE148" s="1102">
        <f>IF(CC148=0,0,(CD148-CC148)/CC148*100)</f>
        <v>0</v>
      </c>
      <c r="CF148" s="4591"/>
      <c r="CG148" s="4591"/>
      <c r="CH148" s="1102">
        <f>IF(CF148=0,0,(CG148-CF148)/CF148*100)</f>
        <v>0</v>
      </c>
      <c r="CI148" s="4591"/>
      <c r="CJ148" s="4591"/>
      <c r="CK148" s="1102">
        <f>IF(CI148=0,0,(CJ148-CI148)/CI148*100)</f>
        <v>0</v>
      </c>
      <c r="CL148" s="4591"/>
      <c r="CM148" s="4591"/>
      <c r="CN148" s="1102">
        <f>IF(CL148=0,0,(CM148-CL148)/CL148*100)</f>
        <v>0</v>
      </c>
      <c r="CO148" s="4591"/>
      <c r="CP148" s="4591"/>
      <c r="CQ148" s="1102">
        <f>IF(CO148=0,0,(CP148-CO148)/CO148*100)</f>
        <v>0</v>
      </c>
      <c r="CR148" s="4591"/>
      <c r="CS148" s="4591"/>
      <c r="CT148" s="1102">
        <f>IF(CR148=0,0,(CS148-CR148)/CR148*100)</f>
        <v>0</v>
      </c>
      <c r="CU148" s="4591"/>
      <c r="CV148" s="4591"/>
      <c r="CW148" s="1102">
        <f>IF(CU148=0,0,(CV148-CU148)/CU148*100)</f>
        <v>0</v>
      </c>
      <c r="CX148" s="4591"/>
      <c r="CY148" s="4591"/>
      <c r="CZ148" s="1102">
        <f>IF(CX148=0,0,(CY148-CX148)/CX148*100)</f>
        <v>0</v>
      </c>
      <c r="DA148" s="4591"/>
      <c r="DB148" s="4591"/>
      <c r="DC148" s="1102">
        <f>IF(DA148=0,0,(DB148-DA148)/DA148*100)</f>
        <v>0</v>
      </c>
      <c r="DD148" s="4591"/>
      <c r="DE148" s="4591"/>
      <c r="DF148" s="1102">
        <f>IF(DD148=0,0,(DE148-DD148)/DD148*100)</f>
        <v>0</v>
      </c>
      <c r="DG148" s="4591"/>
      <c r="DH148" s="4591"/>
      <c r="DI148" s="1102">
        <f>IF(DG148=0,0,(DH148-DG148)/DG148*100)</f>
        <v>0</v>
      </c>
      <c r="DJ148" s="4591"/>
      <c r="DK148" s="4591"/>
      <c r="DL148" s="1102">
        <f>IF(DJ148=0,0,(DK148-DJ148)/DJ148*100)</f>
        <v>0</v>
      </c>
      <c r="DM148" s="4591"/>
      <c r="DN148" s="4591"/>
      <c r="DO148" s="1102">
        <f>IF(DM148=0,0,(DN148-DM148)/DM148*100)</f>
        <v>0</v>
      </c>
      <c r="DP148" s="4591"/>
      <c r="DQ148" s="4591"/>
      <c r="DR148" s="1102">
        <f>IF(DP148=0,0,(DQ148-DP148)/DP148*100)</f>
        <v>0</v>
      </c>
      <c r="DS148" s="4591"/>
      <c r="DT148" s="4591"/>
      <c r="DU148" s="1102">
        <f>IF(DS148=0,0,(DT148-DS148)/DS148*100)</f>
        <v>0</v>
      </c>
      <c r="DV148" s="4591"/>
      <c r="DW148" s="4591"/>
      <c r="DX148" s="1102">
        <f>IF(DV148=0,0,(DW148-DV148)/DV148*100)</f>
        <v>0</v>
      </c>
      <c r="DY148" s="4591"/>
      <c r="DZ148" s="4591"/>
      <c r="EA148" s="1102">
        <f>IF(DY148=0,0,(DZ148-DY148)/DY148*100)</f>
        <v>0</v>
      </c>
      <c r="EB148" s="4591"/>
      <c r="EC148" s="4591"/>
      <c r="ED148" s="1102">
        <f>IF(EB148=0,0,(EC148-EB148)/EB148*100)</f>
        <v>0</v>
      </c>
      <c r="EE148" s="4591"/>
      <c r="EF148" s="4591"/>
      <c r="EG148" s="1102">
        <f>IF(EE148=0,0,(EF148-EE148)/EE148*100)</f>
        <v>0</v>
      </c>
      <c r="EH148" s="4591"/>
      <c r="EI148" s="4591"/>
      <c r="EJ148" s="1102">
        <f>IF(EH148=0,0,(EI148-EH148)/EH148*100)</f>
        <v>0</v>
      </c>
      <c r="EK148" s="4591"/>
      <c r="EL148" s="4591"/>
      <c r="EM148" s="1102">
        <f>IF(EK148=0,0,(EL148-EK148)/EK148*100)</f>
        <v>0</v>
      </c>
      <c r="EN148" s="4591"/>
      <c r="EO148" s="4591"/>
      <c r="EP148" s="1102">
        <f>IF(EN148=0,0,(EO148-EN148)/EN148*100)</f>
        <v>0</v>
      </c>
      <c r="EQ148" s="4591"/>
      <c r="ER148" s="4591"/>
      <c r="ES148" s="1102">
        <f>IF(EQ148=0,0,(ER148-EQ148)/EQ148*100)</f>
        <v>0</v>
      </c>
      <c r="ET148" s="4591"/>
      <c r="EU148" s="4591"/>
      <c r="EV148" s="1102">
        <f>IF(ET148=0,0,(EU148-ET148)/ET148*100)</f>
        <v>0</v>
      </c>
      <c r="EW148" s="4591"/>
      <c r="EX148" s="4591"/>
      <c r="EY148" s="1102">
        <f>IF(EW148=0,0,(EX148-EW148)/EW148*100)</f>
        <v>0</v>
      </c>
      <c r="EZ148" s="4591"/>
      <c r="FA148" s="4591"/>
      <c r="FB148" s="1102">
        <f>IF(EZ148=0,0,(FA148-EZ148)/EZ148*100)</f>
        <v>0</v>
      </c>
      <c r="FC148" s="4591"/>
      <c r="FD148" s="4591"/>
      <c r="FE148" s="1102">
        <f>IF(FC148=0,0,(FD148-FC148)/FC148*100)</f>
        <v>0</v>
      </c>
      <c r="FF148" s="4591"/>
      <c r="FG148" s="4591"/>
      <c r="FH148" s="1102">
        <f>IF(FF148=0,0,(FG148-FF148)/FF148*100)</f>
        <v>0</v>
      </c>
      <c r="FI148" s="4591"/>
      <c r="FJ148" s="4591"/>
      <c r="FK148" s="1102">
        <f>IF(FI148=0,0,(FJ148-FI148)/FI148*100)</f>
        <v>0</v>
      </c>
      <c r="FL148" s="4591"/>
      <c r="FM148" s="4591"/>
      <c r="FN148" s="1102">
        <f>IF(FL148=0,0,(FM148-FL148)/FL148*100)</f>
        <v>0</v>
      </c>
      <c r="FO148" s="4591"/>
      <c r="FP148" s="4591"/>
      <c r="FQ148" s="1102">
        <f>IF(FO148=0,0,(FP148-FO148)/FO148*100)</f>
        <v>0</v>
      </c>
      <c r="FR148" s="4591"/>
      <c r="FS148" s="4591"/>
      <c r="FT148" s="1102">
        <f>IF(FR148=0,0,(FS148-FR148)/FR148*100)</f>
        <v>0</v>
      </c>
      <c r="FU148" s="4591"/>
      <c r="FV148" s="4591"/>
      <c r="FW148" s="1102">
        <f>IF(FU148=0,0,(FV148-FU148)/FU148*100)</f>
        <v>0</v>
      </c>
      <c r="FX148" s="1328"/>
      <c r="FY148" s="1328"/>
      <c r="FZ148" s="1063" t="s">
        <v>1917</v>
      </c>
      <c r="GA148" s="1330"/>
      <c r="GB148" s="1330"/>
      <c r="GC148" s="1329"/>
      <c r="GD148" s="1329"/>
    </row>
    <row s="1656" customFormat="1" customHeight="1" ht="14.25" hidden="1">
      <c r="A149" s="496"/>
      <c r="B149" s="932" cm="1" t="str">
        <f t="array" ref="B149:B149">B148</f>
        <v>false</v>
      </c>
      <c r="C149" s="496"/>
      <c r="D149" s="496"/>
      <c r="E149" s="847">
        <v>15</v>
      </c>
      <c r="F149" s="50" cm="1" t="str">
        <f t="array" ref="F149:F149">OFFSET(E149,-1,1)</f>
        <v>1</v>
      </c>
      <c r="G149" s="103" t="s">
        <v>1918</v>
      </c>
      <c r="H149" s="496" t="s">
        <v>1899</v>
      </c>
      <c r="I149" s="496" t="s">
        <v>1875</v>
      </c>
      <c r="J149" s="496"/>
      <c r="K149" s="496"/>
      <c r="L149" s="496"/>
      <c r="M149" s="496"/>
      <c r="N149" s="496"/>
      <c r="O149" s="496"/>
      <c r="P149" s="496"/>
      <c r="Q149" s="496"/>
      <c r="R149" s="496"/>
      <c r="S149" s="496"/>
      <c r="T149" s="468" cm="1" t="str">
        <f t="array" ref="T149:T149">T148</f>
        <v>true</v>
      </c>
      <c r="U149" s="496"/>
      <c r="V149" s="496"/>
      <c r="W149" s="496"/>
      <c r="X149" s="1559"/>
      <c r="Y149" s="496"/>
      <c r="Z149" s="1528"/>
      <c r="AA149" s="496"/>
      <c r="AB149" s="1100" t="str">
        <f>"объём "&amp;IF(Q92="Водоснабжение","потребления холодной воды","водоотведения")</f>
        <v>объём потребления холодной воды</v>
      </c>
      <c r="AC149" s="871" t="s">
        <v>657</v>
      </c>
      <c r="AD149" s="4585">
        <f>IF(AND(method_reg="Метод индексации",god&lt;&gt;first_year),_xlfn.SUMIFS(INDEX('Калькуляция (МИ корр)'!$AJ$25:$BC$606,,MATCH(AD$8,'Калькуляция (МИ корр)'!$AJ$8:$BC$8,0)),'Калькуляция (МИ корр)'!$F$25:$F$606,$F149,'Калькуляция (МИ корр)'!$G$25:$G$606,$G149),IF(method_reg="Метод экономически обоснованных расходов",_xlfn.SUMIFS('Калькуляция (МЭОР)'!$AJ$25:$AJ$367,'Калькуляция (МЭОР)'!$F$25:$F$367,$F149,'Калькуляция (МЭОР)'!$G$25:$G$367,$G149),IF(method_reg="Метод сравнения аналогов",_xlfn.SUMIFS('Калькуляция (МСА)'!$AE$25:$AE$103,'Калькуляция (МСА)'!$F$25:$F$103,$F149,'Калькуляция (МСА)'!$G$25:$G$103,$G149),_xlfn.SUMIFS(INDEX('Калькуляция (МИ)'!$AJ$25:$BC$603,,MATCH(AD$8,'Калькуляция (МИ)'!$AJ$8:$BC$8,0)),'Калькуляция (МИ)'!$F$25:$F$603,$F149,'Калькуляция (МИ)'!$G$25:$G$603,$G149))))</f>
        <v>2965.7867175</v>
      </c>
      <c r="AE149" s="4585">
        <f>IF(AND(method_reg="Метод индексации",god&lt;&gt;first_year),_xlfn.SUMIFS(INDEX('Калькуляция (МИ корр)'!$AJ$25:$BC$606,,MATCH(AE$8,'Калькуляция (МИ корр)'!$AJ$8:$BC$8,0)),'Калькуляция (МИ корр)'!$F$25:$F$606,$F149,'Калькуляция (МИ корр)'!$G$25:$G$606,$G149),IF(method_reg="Метод экономически обоснованных расходов",_xlfn.SUMIFS('Калькуляция (МЭОР)'!$AK$25:$AK$367,'Калькуляция (МЭОР)'!$F$25:$F$367,$F149,'Калькуляция (МЭОР)'!$G$25:$G$367,$G149),IF(method_reg="Метод сравнения аналогов",_xlfn.SUMIFS('Калькуляция (МСА)'!$AF$25:$AF$103,'Калькуляция (МСА)'!$F$25:$F$103,$F149,'Калькуляция (МСА)'!$G$25:$G$103,$G149),_xlfn.SUMIFS(INDEX('Калькуляция (МИ)'!$AJ$25:$BC$603,,MATCH(AE$8,'Калькуляция (МИ)'!$AJ$8:$BC$8,0)),'Калькуляция (МИ)'!$F$25:$F$603,$F149,'Калькуляция (МИ)'!$G$25:$G$603,$G149))))</f>
        <v>3127.70433</v>
      </c>
      <c r="AF149" s="1104">
        <f>IF(AD149=0,0,(AE149-AD149)/AD149*100)</f>
        <v>5.45951640907232</v>
      </c>
      <c r="AG149" s="4585">
        <f>IF(AND(method_reg="Метод индексации",god&lt;&gt;first_year),_xlfn.SUMIFS(INDEX('Калькуляция (МИ корр)'!$AJ$25:$BC$606,,MATCH(AG$8,'Калькуляция (МИ корр)'!$AJ$8:$BC$8,0)),'Калькуляция (МИ корр)'!$F$25:$F$606,$F149,'Калькуляция (МИ корр)'!$G$25:$G$606,$G149),IF(method_reg="Метод экономически обоснованных расходов",_xlfn.SUMIFS('Калькуляция (МЭОР)'!$AJ$25:$AJ$367,'Калькуляция (МЭОР)'!$F$25:$F$367,$F149,'Калькуляция (МЭОР)'!$G$25:$G$367,$G149),IF(method_reg="Метод сравнения аналогов",_xlfn.SUMIFS('Калькуляция (МСА)'!$AE$25:$AE$103,'Калькуляция (МСА)'!$F$25:$F$103,$F149,'Калькуляция (МСА)'!$G$25:$G$103,$G149),_xlfn.SUMIFS(INDEX('Калькуляция (МИ)'!$AJ$25:$BC$603,,MATCH(AG$8,'Калькуляция (МИ)'!$AJ$8:$BC$8,0)),'Калькуляция (МИ)'!$F$25:$F$603,$F149,'Калькуляция (МИ)'!$G$25:$G$603,$G149))))</f>
        <v>0</v>
      </c>
      <c r="AH149" s="4585">
        <f>IF(AND(method_reg="Метод индексации",god&lt;&gt;first_year),_xlfn.SUMIFS(INDEX('Калькуляция (МИ корр)'!$AJ$25:$BC$606,,MATCH(AH$8,'Калькуляция (МИ корр)'!$AJ$8:$BC$8,0)),'Калькуляция (МИ корр)'!$F$25:$F$606,$F149,'Калькуляция (МИ корр)'!$G$25:$G$606,$G149),IF(method_reg="Метод экономически обоснованных расходов",_xlfn.SUMIFS('Калькуляция (МЭОР)'!$AK$25:$AK$367,'Калькуляция (МЭОР)'!$F$25:$F$367,$F149,'Калькуляция (МЭОР)'!$G$25:$G$367,$G149),IF(method_reg="Метод сравнения аналогов",_xlfn.SUMIFS('Калькуляция (МСА)'!$AF$25:$AF$103,'Калькуляция (МСА)'!$F$25:$F$103,$F149,'Калькуляция (МСА)'!$G$25:$G$103,$G149),_xlfn.SUMIFS(INDEX('Калькуляция (МИ)'!$AJ$25:$BC$603,,MATCH(AH$8,'Калькуляция (МИ)'!$AJ$8:$BC$8,0)),'Калькуляция (МИ)'!$F$25:$F$603,$F149,'Калькуляция (МИ)'!$G$25:$G$603,$G149))))</f>
        <v>0</v>
      </c>
      <c r="AI149" s="1104">
        <f>IF(AG149=0,0,(AH149-AG149)/AG149*100)</f>
        <v>0</v>
      </c>
      <c r="AJ149" s="4585">
        <f>IF(AND(method_reg="Метод индексации",god&lt;&gt;first_year),_xlfn.SUMIFS(INDEX('Калькуляция (МИ корр)'!$AJ$25:$BC$606,,MATCH(AJ$8,'Калькуляция (МИ корр)'!$AJ$8:$BC$8,0)),'Калькуляция (МИ корр)'!$F$25:$F$606,$F149,'Калькуляция (МИ корр)'!$G$25:$G$606,$G149),IF(method_reg="Метод экономически обоснованных расходов",_xlfn.SUMIFS('Калькуляция (МЭОР)'!$AJ$25:$AJ$367,'Калькуляция (МЭОР)'!$F$25:$F$367,$F149,'Калькуляция (МЭОР)'!$G$25:$G$367,$G149),IF(method_reg="Метод сравнения аналогов",_xlfn.SUMIFS('Калькуляция (МСА)'!$AE$25:$AE$103,'Калькуляция (МСА)'!$F$25:$F$103,$F149,'Калькуляция (МСА)'!$G$25:$G$103,$G149),_xlfn.SUMIFS(INDEX('Калькуляция (МИ)'!$AJ$25:$BC$603,,MATCH(AJ$8,'Калькуляция (МИ)'!$AJ$8:$BC$8,0)),'Калькуляция (МИ)'!$F$25:$F$603,$F149,'Калькуляция (МИ)'!$G$25:$G$603,$G149))))</f>
        <v>0</v>
      </c>
      <c r="AK149" s="4585">
        <f>IF(AND(method_reg="Метод индексации",god&lt;&gt;first_year),_xlfn.SUMIFS(INDEX('Калькуляция (МИ корр)'!$AJ$25:$BC$606,,MATCH(AK$8,'Калькуляция (МИ корр)'!$AJ$8:$BC$8,0)),'Калькуляция (МИ корр)'!$F$25:$F$606,$F149,'Калькуляция (МИ корр)'!$G$25:$G$606,$G149),IF(method_reg="Метод экономически обоснованных расходов",_xlfn.SUMIFS('Калькуляция (МЭОР)'!$AK$25:$AK$367,'Калькуляция (МЭОР)'!$F$25:$F$367,$F149,'Калькуляция (МЭОР)'!$G$25:$G$367,$G149),IF(method_reg="Метод сравнения аналогов",_xlfn.SUMIFS('Калькуляция (МСА)'!$AF$25:$AF$103,'Калькуляция (МСА)'!$F$25:$F$103,$F149,'Калькуляция (МСА)'!$G$25:$G$103,$G149),_xlfn.SUMIFS(INDEX('Калькуляция (МИ)'!$AJ$25:$BC$603,,MATCH(AK$8,'Калькуляция (МИ)'!$AJ$8:$BC$8,0)),'Калькуляция (МИ)'!$F$25:$F$603,$F149,'Калькуляция (МИ)'!$G$25:$G$603,$G149))))</f>
        <v>0</v>
      </c>
      <c r="AL149" s="1104">
        <f>IF(AJ149=0,0,(AK149-AJ149)/AJ149*100)</f>
        <v>0</v>
      </c>
      <c r="AM149" s="4585">
        <f>IF(AND(method_reg="Метод индексации",god&lt;&gt;first_year),_xlfn.SUMIFS(INDEX('Калькуляция (МИ корр)'!$AJ$25:$BC$606,,MATCH(AM$8,'Калькуляция (МИ корр)'!$AJ$8:$BC$8,0)),'Калькуляция (МИ корр)'!$F$25:$F$606,$F149,'Калькуляция (МИ корр)'!$G$25:$G$606,$G149),IF(method_reg="Метод экономически обоснованных расходов",_xlfn.SUMIFS('Калькуляция (МЭОР)'!$AJ$25:$AJ$367,'Калькуляция (МЭОР)'!$F$25:$F$367,$F149,'Калькуляция (МЭОР)'!$G$25:$G$367,$G149),IF(method_reg="Метод сравнения аналогов",_xlfn.SUMIFS('Калькуляция (МСА)'!$AE$25:$AE$103,'Калькуляция (МСА)'!$F$25:$F$103,$F149,'Калькуляция (МСА)'!$G$25:$G$103,$G149),_xlfn.SUMIFS(INDEX('Калькуляция (МИ)'!$AJ$25:$BC$603,,MATCH(AM$8,'Калькуляция (МИ)'!$AJ$8:$BC$8,0)),'Калькуляция (МИ)'!$F$25:$F$603,$F149,'Калькуляция (МИ)'!$G$25:$G$603,$G149))))</f>
        <v>0</v>
      </c>
      <c r="AN149" s="4585">
        <f>IF(AND(method_reg="Метод индексации",god&lt;&gt;first_year),_xlfn.SUMIFS(INDEX('Калькуляция (МИ корр)'!$AJ$25:$BC$606,,MATCH(AN$8,'Калькуляция (МИ корр)'!$AJ$8:$BC$8,0)),'Калькуляция (МИ корр)'!$F$25:$F$606,$F149,'Калькуляция (МИ корр)'!$G$25:$G$606,$G149),IF(method_reg="Метод экономически обоснованных расходов",_xlfn.SUMIFS('Калькуляция (МЭОР)'!$AK$25:$AK$367,'Калькуляция (МЭОР)'!$F$25:$F$367,$F149,'Калькуляция (МЭОР)'!$G$25:$G$367,$G149),IF(method_reg="Метод сравнения аналогов",_xlfn.SUMIFS('Калькуляция (МСА)'!$AF$25:$AF$103,'Калькуляция (МСА)'!$F$25:$F$103,$F149,'Калькуляция (МСА)'!$G$25:$G$103,$G149),_xlfn.SUMIFS(INDEX('Калькуляция (МИ)'!$AJ$25:$BC$603,,MATCH(AN$8,'Калькуляция (МИ)'!$AJ$8:$BC$8,0)),'Калькуляция (МИ)'!$F$25:$F$603,$F149,'Калькуляция (МИ)'!$G$25:$G$603,$G149))))</f>
        <v>0</v>
      </c>
      <c r="AO149" s="1104">
        <f>IF(AM149=0,0,(AN149-AM149)/AM149*100)</f>
        <v>0</v>
      </c>
      <c r="AP149" s="4585">
        <f>IF(AND(method_reg="Метод индексации",god&lt;&gt;first_year),_xlfn.SUMIFS(INDEX('Калькуляция (МИ корр)'!$AJ$25:$BC$606,,MATCH(AP$8,'Калькуляция (МИ корр)'!$AJ$8:$BC$8,0)),'Калькуляция (МИ корр)'!$F$25:$F$606,$F149,'Калькуляция (МИ корр)'!$G$25:$G$606,$G149),IF(method_reg="Метод экономически обоснованных расходов",_xlfn.SUMIFS('Калькуляция (МЭОР)'!$AJ$25:$AJ$367,'Калькуляция (МЭОР)'!$F$25:$F$367,$F149,'Калькуляция (МЭОР)'!$G$25:$G$367,$G149),IF(method_reg="Метод сравнения аналогов",_xlfn.SUMIFS('Калькуляция (МСА)'!$AE$25:$AE$103,'Калькуляция (МСА)'!$F$25:$F$103,$F149,'Калькуляция (МСА)'!$G$25:$G$103,$G149),_xlfn.SUMIFS(INDEX('Калькуляция (МИ)'!$AJ$25:$BC$603,,MATCH(AP$8,'Калькуляция (МИ)'!$AJ$8:$BC$8,0)),'Калькуляция (МИ)'!$F$25:$F$603,$F149,'Калькуляция (МИ)'!$G$25:$G$603,$G149))))</f>
        <v>0</v>
      </c>
      <c r="AQ149" s="4585">
        <f>IF(AND(method_reg="Метод индексации",god&lt;&gt;first_year),_xlfn.SUMIFS(INDEX('Калькуляция (МИ корр)'!$AJ$25:$BC$606,,MATCH(AQ$8,'Калькуляция (МИ корр)'!$AJ$8:$BC$8,0)),'Калькуляция (МИ корр)'!$F$25:$F$606,$F149,'Калькуляция (МИ корр)'!$G$25:$G$606,$G149),IF(method_reg="Метод экономически обоснованных расходов",_xlfn.SUMIFS('Калькуляция (МЭОР)'!$AK$25:$AK$367,'Калькуляция (МЭОР)'!$F$25:$F$367,$F149,'Калькуляция (МЭОР)'!$G$25:$G$367,$G149),IF(method_reg="Метод сравнения аналогов",_xlfn.SUMIFS('Калькуляция (МСА)'!$AF$25:$AF$103,'Калькуляция (МСА)'!$F$25:$F$103,$F149,'Калькуляция (МСА)'!$G$25:$G$103,$G149),_xlfn.SUMIFS(INDEX('Калькуляция (МИ)'!$AJ$25:$BC$603,,MATCH(AQ$8,'Калькуляция (МИ)'!$AJ$8:$BC$8,0)),'Калькуляция (МИ)'!$F$25:$F$603,$F149,'Калькуляция (МИ)'!$G$25:$G$603,$G149))))</f>
        <v>0</v>
      </c>
      <c r="AR149" s="1104">
        <f>IF(AP149=0,0,(AQ149-AP149)/AP149*100)</f>
        <v>0</v>
      </c>
      <c r="AS149" s="4585">
        <f>IF(AND(method_reg="Метод индексации",god&lt;&gt;first_year),_xlfn.SUMIFS(INDEX('Калькуляция (МИ корр)'!$AJ$25:$BC$606,,MATCH(AS$8,'Калькуляция (МИ корр)'!$AJ$8:$BC$8,0)),'Калькуляция (МИ корр)'!$F$25:$F$606,$F149,'Калькуляция (МИ корр)'!$G$25:$G$606,$G149),IF(method_reg="Метод экономически обоснованных расходов",_xlfn.SUMIFS('Калькуляция (МЭОР)'!$AJ$25:$AJ$367,'Калькуляция (МЭОР)'!$F$25:$F$367,$F149,'Калькуляция (МЭОР)'!$G$25:$G$367,$G149),IF(method_reg="Метод сравнения аналогов",_xlfn.SUMIFS('Калькуляция (МСА)'!$AE$25:$AE$103,'Калькуляция (МСА)'!$F$25:$F$103,$F149,'Калькуляция (МСА)'!$G$25:$G$103,$G149),_xlfn.SUMIFS(INDEX('Калькуляция (МИ)'!$AJ$25:$BC$603,,MATCH(AS$8,'Калькуляция (МИ)'!$AJ$8:$BC$8,0)),'Калькуляция (МИ)'!$F$25:$F$603,$F149,'Калькуляция (МИ)'!$G$25:$G$603,$G149))))</f>
        <v>0</v>
      </c>
      <c r="AT149" s="4585">
        <f>IF(AND(method_reg="Метод индексации",god&lt;&gt;first_year),_xlfn.SUMIFS(INDEX('Калькуляция (МИ корр)'!$AJ$25:$BC$606,,MATCH(AT$8,'Калькуляция (МИ корр)'!$AJ$8:$BC$8,0)),'Калькуляция (МИ корр)'!$F$25:$F$606,$F149,'Калькуляция (МИ корр)'!$G$25:$G$606,$G149),IF(method_reg="Метод экономически обоснованных расходов",_xlfn.SUMIFS('Калькуляция (МЭОР)'!$AK$25:$AK$367,'Калькуляция (МЭОР)'!$F$25:$F$367,$F149,'Калькуляция (МЭОР)'!$G$25:$G$367,$G149),IF(method_reg="Метод сравнения аналогов",_xlfn.SUMIFS('Калькуляция (МСА)'!$AF$25:$AF$103,'Калькуляция (МСА)'!$F$25:$F$103,$F149,'Калькуляция (МСА)'!$G$25:$G$103,$G149),_xlfn.SUMIFS(INDEX('Калькуляция (МИ)'!$AJ$25:$BC$603,,MATCH(AT$8,'Калькуляция (МИ)'!$AJ$8:$BC$8,0)),'Калькуляция (МИ)'!$F$25:$F$603,$F149,'Калькуляция (МИ)'!$G$25:$G$603,$G149))))</f>
        <v>0</v>
      </c>
      <c r="AU149" s="1104">
        <f>IF(AS149=0,0,(AT149-AS149)/AS149*100)</f>
        <v>0</v>
      </c>
      <c r="AV149" s="4585">
        <f>IF(AND(method_reg="Метод индексации",god&lt;&gt;first_year),_xlfn.SUMIFS(INDEX('Калькуляция (МИ корр)'!$AJ$25:$BC$606,,MATCH(AV$8,'Калькуляция (МИ корр)'!$AJ$8:$BC$8,0)),'Калькуляция (МИ корр)'!$F$25:$F$606,$F149,'Калькуляция (МИ корр)'!$G$25:$G$606,$G149),IF(method_reg="Метод экономически обоснованных расходов",_xlfn.SUMIFS('Калькуляция (МЭОР)'!$AJ$25:$AJ$367,'Калькуляция (МЭОР)'!$F$25:$F$367,$F149,'Калькуляция (МЭОР)'!$G$25:$G$367,$G149),IF(method_reg="Метод сравнения аналогов",_xlfn.SUMIFS('Калькуляция (МСА)'!$AE$25:$AE$103,'Калькуляция (МСА)'!$F$25:$F$103,$F149,'Калькуляция (МСА)'!$G$25:$G$103,$G149),_xlfn.SUMIFS(INDEX('Калькуляция (МИ)'!$AJ$25:$BC$603,,MATCH(AV$8,'Калькуляция (МИ)'!$AJ$8:$BC$8,0)),'Калькуляция (МИ)'!$F$25:$F$603,$F149,'Калькуляция (МИ)'!$G$25:$G$603,$G149))))</f>
        <v>0</v>
      </c>
      <c r="AW149" s="4585">
        <f>IF(AND(method_reg="Метод индексации",god&lt;&gt;first_year),_xlfn.SUMIFS(INDEX('Калькуляция (МИ корр)'!$AJ$25:$BC$606,,MATCH(AW$8,'Калькуляция (МИ корр)'!$AJ$8:$BC$8,0)),'Калькуляция (МИ корр)'!$F$25:$F$606,$F149,'Калькуляция (МИ корр)'!$G$25:$G$606,$G149),IF(method_reg="Метод экономически обоснованных расходов",_xlfn.SUMIFS('Калькуляция (МЭОР)'!$AK$25:$AK$367,'Калькуляция (МЭОР)'!$F$25:$F$367,$F149,'Калькуляция (МЭОР)'!$G$25:$G$367,$G149),IF(method_reg="Метод сравнения аналогов",_xlfn.SUMIFS('Калькуляция (МСА)'!$AF$25:$AF$103,'Калькуляция (МСА)'!$F$25:$F$103,$F149,'Калькуляция (МСА)'!$G$25:$G$103,$G149),_xlfn.SUMIFS(INDEX('Калькуляция (МИ)'!$AJ$25:$BC$603,,MATCH(AW$8,'Калькуляция (МИ)'!$AJ$8:$BC$8,0)),'Калькуляция (МИ)'!$F$25:$F$603,$F149,'Калькуляция (МИ)'!$G$25:$G$603,$G149))))</f>
        <v>0</v>
      </c>
      <c r="AX149" s="1104">
        <f>IF(AV149=0,0,(AW149-AV149)/AV149*100)</f>
        <v>0</v>
      </c>
      <c r="AY149" s="4585">
        <f>IF(AND(method_reg="Метод индексации",god&lt;&gt;first_year),_xlfn.SUMIFS(INDEX('Калькуляция (МИ корр)'!$AJ$25:$BC$606,,MATCH(AY$8,'Калькуляция (МИ корр)'!$AJ$8:$BC$8,0)),'Калькуляция (МИ корр)'!$F$25:$F$606,$F149,'Калькуляция (МИ корр)'!$G$25:$G$606,$G149),IF(method_reg="Метод экономически обоснованных расходов",_xlfn.SUMIFS('Калькуляция (МЭОР)'!$AJ$25:$AJ$367,'Калькуляция (МЭОР)'!$F$25:$F$367,$F149,'Калькуляция (МЭОР)'!$G$25:$G$367,$G149),IF(method_reg="Метод сравнения аналогов",_xlfn.SUMIFS('Калькуляция (МСА)'!$AE$25:$AE$103,'Калькуляция (МСА)'!$F$25:$F$103,$F149,'Калькуляция (МСА)'!$G$25:$G$103,$G149),_xlfn.SUMIFS(INDEX('Калькуляция (МИ)'!$AJ$25:$BC$603,,MATCH(AY$8,'Калькуляция (МИ)'!$AJ$8:$BC$8,0)),'Калькуляция (МИ)'!$F$25:$F$603,$F149,'Калькуляция (МИ)'!$G$25:$G$603,$G149))))</f>
        <v>0</v>
      </c>
      <c r="AZ149" s="4585">
        <f>IF(AND(method_reg="Метод индексации",god&lt;&gt;first_year),_xlfn.SUMIFS(INDEX('Калькуляция (МИ корр)'!$AJ$25:$BC$606,,MATCH(AZ$8,'Калькуляция (МИ корр)'!$AJ$8:$BC$8,0)),'Калькуляция (МИ корр)'!$F$25:$F$606,$F149,'Калькуляция (МИ корр)'!$G$25:$G$606,$G149),IF(method_reg="Метод экономически обоснованных расходов",_xlfn.SUMIFS('Калькуляция (МЭОР)'!$AK$25:$AK$367,'Калькуляция (МЭОР)'!$F$25:$F$367,$F149,'Калькуляция (МЭОР)'!$G$25:$G$367,$G149),IF(method_reg="Метод сравнения аналогов",_xlfn.SUMIFS('Калькуляция (МСА)'!$AF$25:$AF$103,'Калькуляция (МСА)'!$F$25:$F$103,$F149,'Калькуляция (МСА)'!$G$25:$G$103,$G149),_xlfn.SUMIFS(INDEX('Калькуляция (МИ)'!$AJ$25:$BC$603,,MATCH(AZ$8,'Калькуляция (МИ)'!$AJ$8:$BC$8,0)),'Калькуляция (МИ)'!$F$25:$F$603,$F149,'Калькуляция (МИ)'!$G$25:$G$603,$G149))))</f>
        <v>0</v>
      </c>
      <c r="BA149" s="1104">
        <f>IF(AY149=0,0,(AZ149-AY149)/AY149*100)</f>
        <v>0</v>
      </c>
      <c r="BB149" s="4585">
        <f>IF(AND(method_reg="Метод индексации",god&lt;&gt;first_year),_xlfn.SUMIFS(INDEX('Калькуляция (МИ корр)'!$AJ$25:$BC$606,,MATCH(BB$8,'Калькуляция (МИ корр)'!$AJ$8:$BC$8,0)),'Калькуляция (МИ корр)'!$F$25:$F$606,$F149,'Калькуляция (МИ корр)'!$G$25:$G$606,$G149),IF(method_reg="Метод экономически обоснованных расходов",_xlfn.SUMIFS('Калькуляция (МЭОР)'!$AJ$25:$AJ$367,'Калькуляция (МЭОР)'!$F$25:$F$367,$F149,'Калькуляция (МЭОР)'!$G$25:$G$367,$G149),IF(method_reg="Метод сравнения аналогов",_xlfn.SUMIFS('Калькуляция (МСА)'!$AE$25:$AE$103,'Калькуляция (МСА)'!$F$25:$F$103,$F149,'Калькуляция (МСА)'!$G$25:$G$103,$G149),_xlfn.SUMIFS(INDEX('Калькуляция (МИ)'!$AJ$25:$BC$603,,MATCH(BB$8,'Калькуляция (МИ)'!$AJ$8:$BC$8,0)),'Калькуляция (МИ)'!$F$25:$F$603,$F149,'Калькуляция (МИ)'!$G$25:$G$603,$G149))))</f>
        <v>0</v>
      </c>
      <c r="BC149" s="4585">
        <f>IF(AND(method_reg="Метод индексации",god&lt;&gt;first_year),_xlfn.SUMIFS(INDEX('Калькуляция (МИ корр)'!$AJ$25:$BC$606,,MATCH(BC$8,'Калькуляция (МИ корр)'!$AJ$8:$BC$8,0)),'Калькуляция (МИ корр)'!$F$25:$F$606,$F149,'Калькуляция (МИ корр)'!$G$25:$G$606,$G149),IF(method_reg="Метод экономически обоснованных расходов",_xlfn.SUMIFS('Калькуляция (МЭОР)'!$AK$25:$AK$367,'Калькуляция (МЭОР)'!$F$25:$F$367,$F149,'Калькуляция (МЭОР)'!$G$25:$G$367,$G149),IF(method_reg="Метод сравнения аналогов",_xlfn.SUMIFS('Калькуляция (МСА)'!$AF$25:$AF$103,'Калькуляция (МСА)'!$F$25:$F$103,$F149,'Калькуляция (МСА)'!$G$25:$G$103,$G149),_xlfn.SUMIFS(INDEX('Калькуляция (МИ)'!$AJ$25:$BC$603,,MATCH(BC$8,'Калькуляция (МИ)'!$AJ$8:$BC$8,0)),'Калькуляция (МИ)'!$F$25:$F$603,$F149,'Калькуляция (МИ)'!$G$25:$G$603,$G149))))</f>
        <v>0</v>
      </c>
      <c r="BD149" s="1104">
        <f>IF(BB149=0,0,(BC149-BB149)/BB149*100)</f>
        <v>0</v>
      </c>
      <c r="BE149" s="4585">
        <f>IF(AND(method_reg="Метод индексации",god&lt;&gt;first_year),_xlfn.SUMIFS(INDEX('Калькуляция (МИ корр)'!$AJ$25:$BC$606,,MATCH(BE$8,'Калькуляция (МИ корр)'!$AJ$8:$BC$8,0)),'Калькуляция (МИ корр)'!$F$25:$F$606,$F149,'Калькуляция (МИ корр)'!$G$25:$G$606,$G149),IF(method_reg="Метод экономически обоснованных расходов",_xlfn.SUMIFS('Калькуляция (МЭОР)'!$AJ$25:$AJ$367,'Калькуляция (МЭОР)'!$F$25:$F$367,$F149,'Калькуляция (МЭОР)'!$G$25:$G$367,$G149),IF(method_reg="Метод сравнения аналогов",_xlfn.SUMIFS('Калькуляция (МСА)'!$AE$25:$AE$103,'Калькуляция (МСА)'!$F$25:$F$103,$F149,'Калькуляция (МСА)'!$G$25:$G$103,$G149),_xlfn.SUMIFS(INDEX('Калькуляция (МИ)'!$AJ$25:$BC$603,,MATCH(BE$8,'Калькуляция (МИ)'!$AJ$8:$BC$8,0)),'Калькуляция (МИ)'!$F$25:$F$603,$F149,'Калькуляция (МИ)'!$G$25:$G$603,$G149))))</f>
        <v>0</v>
      </c>
      <c r="BF149" s="4585">
        <f>IF(AND(method_reg="Метод индексации",god&lt;&gt;first_year),_xlfn.SUMIFS(INDEX('Калькуляция (МИ корр)'!$AJ$25:$BC$606,,MATCH(BF$8,'Калькуляция (МИ корр)'!$AJ$8:$BC$8,0)),'Калькуляция (МИ корр)'!$F$25:$F$606,$F149,'Калькуляция (МИ корр)'!$G$25:$G$606,$G149),IF(method_reg="Метод экономически обоснованных расходов",_xlfn.SUMIFS('Калькуляция (МЭОР)'!$AK$25:$AK$367,'Калькуляция (МЭОР)'!$F$25:$F$367,$F149,'Калькуляция (МЭОР)'!$G$25:$G$367,$G149),IF(method_reg="Метод сравнения аналогов",_xlfn.SUMIFS('Калькуляция (МСА)'!$AF$25:$AF$103,'Калькуляция (МСА)'!$F$25:$F$103,$F149,'Калькуляция (МСА)'!$G$25:$G$103,$G149),_xlfn.SUMIFS(INDEX('Калькуляция (МИ)'!$AJ$25:$BC$603,,MATCH(BF$8,'Калькуляция (МИ)'!$AJ$8:$BC$8,0)),'Калькуляция (МИ)'!$F$25:$F$603,$F149,'Калькуляция (МИ)'!$G$25:$G$603,$G149))))</f>
        <v>0</v>
      </c>
      <c r="BG149" s="1104">
        <f>IF(BE149=0,0,(BF149-BE149)/BE149*100)</f>
        <v>0</v>
      </c>
      <c r="BH149" s="4585"/>
      <c r="BI149" s="4585"/>
      <c r="BJ149" s="1104">
        <f>IF(BH149=0,0,(BI149-BH149)/BH149*100)</f>
        <v>0</v>
      </c>
      <c r="BK149" s="4585"/>
      <c r="BL149" s="4585"/>
      <c r="BM149" s="1104">
        <f>IF(BK149=0,0,(BL149-BK149)/BK149*100)</f>
        <v>0</v>
      </c>
      <c r="BN149" s="4585"/>
      <c r="BO149" s="4585"/>
      <c r="BP149" s="1104">
        <f>IF(BN149=0,0,(BO149-BN149)/BN149*100)</f>
        <v>0</v>
      </c>
      <c r="BQ149" s="4585"/>
      <c r="BR149" s="4585"/>
      <c r="BS149" s="1104">
        <f>IF(BQ149=0,0,(BR149-BQ149)/BQ149*100)</f>
        <v>0</v>
      </c>
      <c r="BT149" s="4585"/>
      <c r="BU149" s="4585"/>
      <c r="BV149" s="1104">
        <f>IF(BT149=0,0,(BU149-BT149)/BT149*100)</f>
        <v>0</v>
      </c>
      <c r="BW149" s="4585"/>
      <c r="BX149" s="4585"/>
      <c r="BY149" s="1104">
        <f>IF(BW149=0,0,(BX149-BW149)/BW149*100)</f>
        <v>0</v>
      </c>
      <c r="BZ149" s="4585"/>
      <c r="CA149" s="4585"/>
      <c r="CB149" s="1104">
        <f>IF(BZ149=0,0,(CA149-BZ149)/BZ149*100)</f>
        <v>0</v>
      </c>
      <c r="CC149" s="4585"/>
      <c r="CD149" s="4585"/>
      <c r="CE149" s="1104">
        <f>IF(CC149=0,0,(CD149-CC149)/CC149*100)</f>
        <v>0</v>
      </c>
      <c r="CF149" s="4585"/>
      <c r="CG149" s="4585"/>
      <c r="CH149" s="1104">
        <f>IF(CF149=0,0,(CG149-CF149)/CF149*100)</f>
        <v>0</v>
      </c>
      <c r="CI149" s="4585"/>
      <c r="CJ149" s="4585"/>
      <c r="CK149" s="1104">
        <f>IF(CI149=0,0,(CJ149-CI149)/CI149*100)</f>
        <v>0</v>
      </c>
      <c r="CL149" s="4585"/>
      <c r="CM149" s="4585"/>
      <c r="CN149" s="1104">
        <f>IF(CL149=0,0,(CM149-CL149)/CL149*100)</f>
        <v>0</v>
      </c>
      <c r="CO149" s="4585"/>
      <c r="CP149" s="4585"/>
      <c r="CQ149" s="1104">
        <f>IF(CO149=0,0,(CP149-CO149)/CO149*100)</f>
        <v>0</v>
      </c>
      <c r="CR149" s="4585"/>
      <c r="CS149" s="4585"/>
      <c r="CT149" s="1104">
        <f>IF(CR149=0,0,(CS149-CR149)/CR149*100)</f>
        <v>0</v>
      </c>
      <c r="CU149" s="4585"/>
      <c r="CV149" s="4585"/>
      <c r="CW149" s="1104">
        <f>IF(CU149=0,0,(CV149-CU149)/CU149*100)</f>
        <v>0</v>
      </c>
      <c r="CX149" s="4585"/>
      <c r="CY149" s="4585"/>
      <c r="CZ149" s="1104">
        <f>IF(CX149=0,0,(CY149-CX149)/CX149*100)</f>
        <v>0</v>
      </c>
      <c r="DA149" s="4585"/>
      <c r="DB149" s="4585"/>
      <c r="DC149" s="1104">
        <f>IF(DA149=0,0,(DB149-DA149)/DA149*100)</f>
        <v>0</v>
      </c>
      <c r="DD149" s="4585"/>
      <c r="DE149" s="4585"/>
      <c r="DF149" s="1104">
        <f>IF(DD149=0,0,(DE149-DD149)/DD149*100)</f>
        <v>0</v>
      </c>
      <c r="DG149" s="4585"/>
      <c r="DH149" s="4585"/>
      <c r="DI149" s="1104">
        <f>IF(DG149=0,0,(DH149-DG149)/DG149*100)</f>
        <v>0</v>
      </c>
      <c r="DJ149" s="4585"/>
      <c r="DK149" s="4585"/>
      <c r="DL149" s="1104">
        <f>IF(DJ149=0,0,(DK149-DJ149)/DJ149*100)</f>
        <v>0</v>
      </c>
      <c r="DM149" s="4585"/>
      <c r="DN149" s="4585"/>
      <c r="DO149" s="1104">
        <f>IF(DM149=0,0,(DN149-DM149)/DM149*100)</f>
        <v>0</v>
      </c>
      <c r="DP149" s="4585"/>
      <c r="DQ149" s="4585"/>
      <c r="DR149" s="1104">
        <f>IF(DP149=0,0,(DQ149-DP149)/DP149*100)</f>
        <v>0</v>
      </c>
      <c r="DS149" s="4585"/>
      <c r="DT149" s="4585"/>
      <c r="DU149" s="1104">
        <f>IF(DS149=0,0,(DT149-DS149)/DS149*100)</f>
        <v>0</v>
      </c>
      <c r="DV149" s="4585"/>
      <c r="DW149" s="4585"/>
      <c r="DX149" s="1104">
        <f>IF(DV149=0,0,(DW149-DV149)/DV149*100)</f>
        <v>0</v>
      </c>
      <c r="DY149" s="4585"/>
      <c r="DZ149" s="4585"/>
      <c r="EA149" s="1104">
        <f>IF(DY149=0,0,(DZ149-DY149)/DY149*100)</f>
        <v>0</v>
      </c>
      <c r="EB149" s="4585"/>
      <c r="EC149" s="4585"/>
      <c r="ED149" s="1104">
        <f>IF(EB149=0,0,(EC149-EB149)/EB149*100)</f>
        <v>0</v>
      </c>
      <c r="EE149" s="4585"/>
      <c r="EF149" s="4585"/>
      <c r="EG149" s="1104">
        <f>IF(EE149=0,0,(EF149-EE149)/EE149*100)</f>
        <v>0</v>
      </c>
      <c r="EH149" s="4585"/>
      <c r="EI149" s="4585"/>
      <c r="EJ149" s="1104">
        <f>IF(EH149=0,0,(EI149-EH149)/EH149*100)</f>
        <v>0</v>
      </c>
      <c r="EK149" s="4585"/>
      <c r="EL149" s="4585"/>
      <c r="EM149" s="1104">
        <f>IF(EK149=0,0,(EL149-EK149)/EK149*100)</f>
        <v>0</v>
      </c>
      <c r="EN149" s="4585"/>
      <c r="EO149" s="4585"/>
      <c r="EP149" s="1104">
        <f>IF(EN149=0,0,(EO149-EN149)/EN149*100)</f>
        <v>0</v>
      </c>
      <c r="EQ149" s="4585"/>
      <c r="ER149" s="4585"/>
      <c r="ES149" s="1104">
        <f>IF(EQ149=0,0,(ER149-EQ149)/EQ149*100)</f>
        <v>0</v>
      </c>
      <c r="ET149" s="4585"/>
      <c r="EU149" s="4585"/>
      <c r="EV149" s="1104">
        <f>IF(ET149=0,0,(EU149-ET149)/ET149*100)</f>
        <v>0</v>
      </c>
      <c r="EW149" s="4585"/>
      <c r="EX149" s="4585"/>
      <c r="EY149" s="1104">
        <f>IF(EW149=0,0,(EX149-EW149)/EW149*100)</f>
        <v>0</v>
      </c>
      <c r="EZ149" s="4585"/>
      <c r="FA149" s="4585"/>
      <c r="FB149" s="1104">
        <f>IF(EZ149=0,0,(FA149-EZ149)/EZ149*100)</f>
        <v>0</v>
      </c>
      <c r="FC149" s="4585"/>
      <c r="FD149" s="4585"/>
      <c r="FE149" s="1104">
        <f>IF(FC149=0,0,(FD149-FC149)/FC149*100)</f>
        <v>0</v>
      </c>
      <c r="FF149" s="4585"/>
      <c r="FG149" s="4585"/>
      <c r="FH149" s="1104">
        <f>IF(FF149=0,0,(FG149-FF149)/FF149*100)</f>
        <v>0</v>
      </c>
      <c r="FI149" s="4585"/>
      <c r="FJ149" s="4585"/>
      <c r="FK149" s="1104">
        <f>IF(FI149=0,0,(FJ149-FI149)/FI149*100)</f>
        <v>0</v>
      </c>
      <c r="FL149" s="4585"/>
      <c r="FM149" s="4585"/>
      <c r="FN149" s="1104">
        <f>IF(FL149=0,0,(FM149-FL149)/FL149*100)</f>
        <v>0</v>
      </c>
      <c r="FO149" s="4585"/>
      <c r="FP149" s="4585"/>
      <c r="FQ149" s="1104">
        <f>IF(FO149=0,0,(FP149-FO149)/FO149*100)</f>
        <v>0</v>
      </c>
      <c r="FR149" s="4585"/>
      <c r="FS149" s="4585"/>
      <c r="FT149" s="1104">
        <f>IF(FR149=0,0,(FS149-FR149)/FR149*100)</f>
        <v>0</v>
      </c>
      <c r="FU149" s="4585"/>
      <c r="FV149" s="4585"/>
      <c r="FW149" s="1104">
        <f>IF(FU149=0,0,(FV149-FU149)/FU149*100)</f>
        <v>0</v>
      </c>
      <c r="FX149" s="1328"/>
      <c r="FY149" s="1328"/>
      <c r="FZ149" s="1063" t="s">
        <v>1919</v>
      </c>
      <c r="GA149" s="1330"/>
      <c r="GB149" s="1330"/>
      <c r="GC149" s="1329"/>
      <c r="GD149" s="1329"/>
    </row>
    <row s="1656" customFormat="1" customHeight="1" ht="21.75" hidden="1">
      <c r="A150" s="496"/>
      <c r="B150" s="932" cm="1" t="str">
        <f t="array" ref="B150:B150">B149</f>
        <v>false</v>
      </c>
      <c r="C150" s="496"/>
      <c r="D150" s="496"/>
      <c r="E150" s="847">
        <v>22.5</v>
      </c>
      <c r="F150" s="50" cm="1" t="str">
        <f t="array" ref="F150:F150">OFFSET(E150,-1,1)</f>
        <v>1</v>
      </c>
      <c r="G150" s="496"/>
      <c r="H150" s="496" t="s">
        <v>1901</v>
      </c>
      <c r="I150" s="496" t="s">
        <v>1875</v>
      </c>
      <c r="J150" s="496"/>
      <c r="K150" s="496"/>
      <c r="L150" s="496"/>
      <c r="M150" s="496"/>
      <c r="N150" s="496"/>
      <c r="O150" s="496"/>
      <c r="P150" s="496"/>
      <c r="Q150" s="496"/>
      <c r="R150" s="496"/>
      <c r="S150" s="496"/>
      <c r="T150" s="468" cm="1" t="str">
        <f t="array" ref="T150:T150">T149</f>
        <v>true</v>
      </c>
      <c r="U150" s="496"/>
      <c r="V150" s="496"/>
      <c r="W150" s="496"/>
      <c r="X150" s="1559"/>
      <c r="Y150" s="496"/>
      <c r="Z150" s="1528"/>
      <c r="AA150" s="496"/>
      <c r="AB150" s="1100"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50" s="871" t="s">
        <v>1902</v>
      </c>
      <c r="AD150" s="4591"/>
      <c r="AE150" s="4591"/>
      <c r="AF150" s="1102">
        <f>IF(AD150=0,0,(AE150-AD150)/AD150*100)</f>
        <v>0</v>
      </c>
      <c r="AG150" s="4591"/>
      <c r="AH150" s="4591"/>
      <c r="AI150" s="1102">
        <f>IF(AG150=0,0,(AH150-AG150)/AG150*100)</f>
        <v>0</v>
      </c>
      <c r="AJ150" s="4591"/>
      <c r="AK150" s="4591"/>
      <c r="AL150" s="1102">
        <f>IF(AJ150=0,0,(AK150-AJ150)/AJ150*100)</f>
        <v>0</v>
      </c>
      <c r="AM150" s="4591"/>
      <c r="AN150" s="4591"/>
      <c r="AO150" s="1102">
        <f>IF(AM150=0,0,(AN150-AM150)/AM150*100)</f>
        <v>0</v>
      </c>
      <c r="AP150" s="4591"/>
      <c r="AQ150" s="4591"/>
      <c r="AR150" s="1102">
        <f>IF(AP150=0,0,(AQ150-AP150)/AP150*100)</f>
        <v>0</v>
      </c>
      <c r="AS150" s="4591"/>
      <c r="AT150" s="4591"/>
      <c r="AU150" s="1102">
        <f>IF(AS150=0,0,(AT150-AS150)/AS150*100)</f>
        <v>0</v>
      </c>
      <c r="AV150" s="4591"/>
      <c r="AW150" s="4591"/>
      <c r="AX150" s="1102">
        <f>IF(AV150=0,0,(AW150-AV150)/AV150*100)</f>
        <v>0</v>
      </c>
      <c r="AY150" s="4591"/>
      <c r="AZ150" s="4591"/>
      <c r="BA150" s="1102">
        <f>IF(AY150=0,0,(AZ150-AY150)/AY150*100)</f>
        <v>0</v>
      </c>
      <c r="BB150" s="4591"/>
      <c r="BC150" s="4591"/>
      <c r="BD150" s="1102">
        <f>IF(BB150=0,0,(BC150-BB150)/BB150*100)</f>
        <v>0</v>
      </c>
      <c r="BE150" s="4591"/>
      <c r="BF150" s="4591"/>
      <c r="BG150" s="1102">
        <f>IF(BE150=0,0,(BF150-BE150)/BE150*100)</f>
        <v>0</v>
      </c>
      <c r="BH150" s="4591"/>
      <c r="BI150" s="4591"/>
      <c r="BJ150" s="1102">
        <f>IF(BH150=0,0,(BI150-BH150)/BH150*100)</f>
        <v>0</v>
      </c>
      <c r="BK150" s="4591"/>
      <c r="BL150" s="4591"/>
      <c r="BM150" s="1102">
        <f>IF(BK150=0,0,(BL150-BK150)/BK150*100)</f>
        <v>0</v>
      </c>
      <c r="BN150" s="4591"/>
      <c r="BO150" s="4591"/>
      <c r="BP150" s="1102">
        <f>IF(BN150=0,0,(BO150-BN150)/BN150*100)</f>
        <v>0</v>
      </c>
      <c r="BQ150" s="4591"/>
      <c r="BR150" s="4591"/>
      <c r="BS150" s="1102">
        <f>IF(BQ150=0,0,(BR150-BQ150)/BQ150*100)</f>
        <v>0</v>
      </c>
      <c r="BT150" s="4591"/>
      <c r="BU150" s="4591"/>
      <c r="BV150" s="1102">
        <f>IF(BT150=0,0,(BU150-BT150)/BT150*100)</f>
        <v>0</v>
      </c>
      <c r="BW150" s="4591"/>
      <c r="BX150" s="4591"/>
      <c r="BY150" s="1102">
        <f>IF(BW150=0,0,(BX150-BW150)/BW150*100)</f>
        <v>0</v>
      </c>
      <c r="BZ150" s="4591"/>
      <c r="CA150" s="4591"/>
      <c r="CB150" s="1102">
        <f>IF(BZ150=0,0,(CA150-BZ150)/BZ150*100)</f>
        <v>0</v>
      </c>
      <c r="CC150" s="4591"/>
      <c r="CD150" s="4591"/>
      <c r="CE150" s="1102">
        <f>IF(CC150=0,0,(CD150-CC150)/CC150*100)</f>
        <v>0</v>
      </c>
      <c r="CF150" s="4591"/>
      <c r="CG150" s="4591"/>
      <c r="CH150" s="1102">
        <f>IF(CF150=0,0,(CG150-CF150)/CF150*100)</f>
        <v>0</v>
      </c>
      <c r="CI150" s="4591"/>
      <c r="CJ150" s="4591"/>
      <c r="CK150" s="1102">
        <f>IF(CI150=0,0,(CJ150-CI150)/CI150*100)</f>
        <v>0</v>
      </c>
      <c r="CL150" s="4591"/>
      <c r="CM150" s="4591"/>
      <c r="CN150" s="1102">
        <f>IF(CL150=0,0,(CM150-CL150)/CL150*100)</f>
        <v>0</v>
      </c>
      <c r="CO150" s="4591"/>
      <c r="CP150" s="4591"/>
      <c r="CQ150" s="1102">
        <f>IF(CO150=0,0,(CP150-CO150)/CO150*100)</f>
        <v>0</v>
      </c>
      <c r="CR150" s="4591"/>
      <c r="CS150" s="4591"/>
      <c r="CT150" s="1102">
        <f>IF(CR150=0,0,(CS150-CR150)/CR150*100)</f>
        <v>0</v>
      </c>
      <c r="CU150" s="4591"/>
      <c r="CV150" s="4591"/>
      <c r="CW150" s="1102">
        <f>IF(CU150=0,0,(CV150-CU150)/CU150*100)</f>
        <v>0</v>
      </c>
      <c r="CX150" s="4591"/>
      <c r="CY150" s="4591"/>
      <c r="CZ150" s="1102">
        <f>IF(CX150=0,0,(CY150-CX150)/CX150*100)</f>
        <v>0</v>
      </c>
      <c r="DA150" s="4591"/>
      <c r="DB150" s="4591"/>
      <c r="DC150" s="1102">
        <f>IF(DA150=0,0,(DB150-DA150)/DA150*100)</f>
        <v>0</v>
      </c>
      <c r="DD150" s="4591"/>
      <c r="DE150" s="4591"/>
      <c r="DF150" s="1102">
        <f>IF(DD150=0,0,(DE150-DD150)/DD150*100)</f>
        <v>0</v>
      </c>
      <c r="DG150" s="4591"/>
      <c r="DH150" s="4591"/>
      <c r="DI150" s="1102">
        <f>IF(DG150=0,0,(DH150-DG150)/DG150*100)</f>
        <v>0</v>
      </c>
      <c r="DJ150" s="4591"/>
      <c r="DK150" s="4591"/>
      <c r="DL150" s="1102">
        <f>IF(DJ150=0,0,(DK150-DJ150)/DJ150*100)</f>
        <v>0</v>
      </c>
      <c r="DM150" s="4591"/>
      <c r="DN150" s="4591"/>
      <c r="DO150" s="1102">
        <f>IF(DM150=0,0,(DN150-DM150)/DM150*100)</f>
        <v>0</v>
      </c>
      <c r="DP150" s="4591"/>
      <c r="DQ150" s="4591"/>
      <c r="DR150" s="1102">
        <f>IF(DP150=0,0,(DQ150-DP150)/DP150*100)</f>
        <v>0</v>
      </c>
      <c r="DS150" s="4591"/>
      <c r="DT150" s="4591"/>
      <c r="DU150" s="1102">
        <f>IF(DS150=0,0,(DT150-DS150)/DS150*100)</f>
        <v>0</v>
      </c>
      <c r="DV150" s="4591"/>
      <c r="DW150" s="4591"/>
      <c r="DX150" s="1102">
        <f>IF(DV150=0,0,(DW150-DV150)/DV150*100)</f>
        <v>0</v>
      </c>
      <c r="DY150" s="4591"/>
      <c r="DZ150" s="4591"/>
      <c r="EA150" s="1102">
        <f>IF(DY150=0,0,(DZ150-DY150)/DY150*100)</f>
        <v>0</v>
      </c>
      <c r="EB150" s="4591"/>
      <c r="EC150" s="4591"/>
      <c r="ED150" s="1102">
        <f>IF(EB150=0,0,(EC150-EB150)/EB150*100)</f>
        <v>0</v>
      </c>
      <c r="EE150" s="4591"/>
      <c r="EF150" s="4591"/>
      <c r="EG150" s="1102">
        <f>IF(EE150=0,0,(EF150-EE150)/EE150*100)</f>
        <v>0</v>
      </c>
      <c r="EH150" s="4591"/>
      <c r="EI150" s="4591"/>
      <c r="EJ150" s="1102">
        <f>IF(EH150=0,0,(EI150-EH150)/EH150*100)</f>
        <v>0</v>
      </c>
      <c r="EK150" s="4591"/>
      <c r="EL150" s="4591"/>
      <c r="EM150" s="1102">
        <f>IF(EK150=0,0,(EL150-EK150)/EK150*100)</f>
        <v>0</v>
      </c>
      <c r="EN150" s="4591"/>
      <c r="EO150" s="4591"/>
      <c r="EP150" s="1102">
        <f>IF(EN150=0,0,(EO150-EN150)/EN150*100)</f>
        <v>0</v>
      </c>
      <c r="EQ150" s="4591"/>
      <c r="ER150" s="4591"/>
      <c r="ES150" s="1102">
        <f>IF(EQ150=0,0,(ER150-EQ150)/EQ150*100)</f>
        <v>0</v>
      </c>
      <c r="ET150" s="4591"/>
      <c r="EU150" s="4591"/>
      <c r="EV150" s="1102">
        <f>IF(ET150=0,0,(EU150-ET150)/ET150*100)</f>
        <v>0</v>
      </c>
      <c r="EW150" s="4591"/>
      <c r="EX150" s="4591"/>
      <c r="EY150" s="1102">
        <f>IF(EW150=0,0,(EX150-EW150)/EW150*100)</f>
        <v>0</v>
      </c>
      <c r="EZ150" s="4591"/>
      <c r="FA150" s="4591"/>
      <c r="FB150" s="1102">
        <f>IF(EZ150=0,0,(FA150-EZ150)/EZ150*100)</f>
        <v>0</v>
      </c>
      <c r="FC150" s="4591"/>
      <c r="FD150" s="4591"/>
      <c r="FE150" s="1102">
        <f>IF(FC150=0,0,(FD150-FC150)/FC150*100)</f>
        <v>0</v>
      </c>
      <c r="FF150" s="4591"/>
      <c r="FG150" s="4591"/>
      <c r="FH150" s="1102">
        <f>IF(FF150=0,0,(FG150-FF150)/FF150*100)</f>
        <v>0</v>
      </c>
      <c r="FI150" s="4591"/>
      <c r="FJ150" s="4591"/>
      <c r="FK150" s="1102">
        <f>IF(FI150=0,0,(FJ150-FI150)/FI150*100)</f>
        <v>0</v>
      </c>
      <c r="FL150" s="4591"/>
      <c r="FM150" s="4591"/>
      <c r="FN150" s="1102">
        <f>IF(FL150=0,0,(FM150-FL150)/FL150*100)</f>
        <v>0</v>
      </c>
      <c r="FO150" s="4591"/>
      <c r="FP150" s="4591"/>
      <c r="FQ150" s="1102">
        <f>IF(FO150=0,0,(FP150-FO150)/FO150*100)</f>
        <v>0</v>
      </c>
      <c r="FR150" s="4591"/>
      <c r="FS150" s="4591"/>
      <c r="FT150" s="1102">
        <f>IF(FR150=0,0,(FS150-FR150)/FR150*100)</f>
        <v>0</v>
      </c>
      <c r="FU150" s="4591"/>
      <c r="FV150" s="4591"/>
      <c r="FW150" s="1102">
        <f>IF(FU150=0,0,(FV150-FU150)/FU150*100)</f>
        <v>0</v>
      </c>
      <c r="FX150" s="1328"/>
      <c r="FY150" s="1328"/>
      <c r="FZ150" s="1063" t="s">
        <v>1920</v>
      </c>
      <c r="GA150" s="1330"/>
      <c r="GB150" s="1330"/>
      <c r="GC150" s="1329"/>
      <c r="GD150" s="1329"/>
    </row>
    <row s="1656" customFormat="1" customHeight="1" ht="14.25" hidden="1">
      <c r="A151" s="496"/>
      <c r="B151" s="932" cm="1" t="str">
        <f t="array" ref="B151:B151">B150</f>
        <v>false</v>
      </c>
      <c r="C151" s="496"/>
      <c r="D151" s="496"/>
      <c r="E151" s="847">
        <v>15</v>
      </c>
      <c r="F151" s="50" cm="1" t="str">
        <f t="array" ref="F151:F151">OFFSET(E151,-1,1)</f>
        <v>1</v>
      </c>
      <c r="G151" s="496"/>
      <c r="H151" s="496" t="s">
        <v>1904</v>
      </c>
      <c r="I151" s="496" t="s">
        <v>1875</v>
      </c>
      <c r="J151" s="496"/>
      <c r="K151" s="496"/>
      <c r="L151" s="496"/>
      <c r="M151" s="496"/>
      <c r="N151" s="496"/>
      <c r="O151" s="496"/>
      <c r="P151" s="496"/>
      <c r="Q151" s="496"/>
      <c r="R151" s="496"/>
      <c r="S151" s="496"/>
      <c r="T151" s="468" cm="1" t="str">
        <f t="array" ref="T151:T151">T150</f>
        <v>true</v>
      </c>
      <c r="U151" s="496"/>
      <c r="V151" s="496"/>
      <c r="W151" s="496"/>
      <c r="X151" s="1559"/>
      <c r="Y151" s="496"/>
      <c r="Z151" s="1528"/>
      <c r="AA151" s="496"/>
      <c r="AB151" s="1100" t="s">
        <v>1905</v>
      </c>
      <c r="AC151" s="871" t="s">
        <v>1906</v>
      </c>
      <c r="AD151" s="4591"/>
      <c r="AE151" s="4591"/>
      <c r="AF151" s="1102">
        <f>IF(AD151=0,0,(AE151-AD151)/AD151*100)</f>
        <v>0</v>
      </c>
      <c r="AG151" s="4591"/>
      <c r="AH151" s="4591"/>
      <c r="AI151" s="1102">
        <f>IF(AG151=0,0,(AH151-AG151)/AG151*100)</f>
        <v>0</v>
      </c>
      <c r="AJ151" s="4591"/>
      <c r="AK151" s="4591"/>
      <c r="AL151" s="1102">
        <f>IF(AJ151=0,0,(AK151-AJ151)/AJ151*100)</f>
        <v>0</v>
      </c>
      <c r="AM151" s="4591"/>
      <c r="AN151" s="4591"/>
      <c r="AO151" s="1102">
        <f>IF(AM151=0,0,(AN151-AM151)/AM151*100)</f>
        <v>0</v>
      </c>
      <c r="AP151" s="4591"/>
      <c r="AQ151" s="4591"/>
      <c r="AR151" s="1102">
        <f>IF(AP151=0,0,(AQ151-AP151)/AP151*100)</f>
        <v>0</v>
      </c>
      <c r="AS151" s="4591"/>
      <c r="AT151" s="4591"/>
      <c r="AU151" s="1102">
        <f>IF(AS151=0,0,(AT151-AS151)/AS151*100)</f>
        <v>0</v>
      </c>
      <c r="AV151" s="4591"/>
      <c r="AW151" s="4591"/>
      <c r="AX151" s="1102">
        <f>IF(AV151=0,0,(AW151-AV151)/AV151*100)</f>
        <v>0</v>
      </c>
      <c r="AY151" s="4591"/>
      <c r="AZ151" s="4591"/>
      <c r="BA151" s="1102">
        <f>IF(AY151=0,0,(AZ151-AY151)/AY151*100)</f>
        <v>0</v>
      </c>
      <c r="BB151" s="4591"/>
      <c r="BC151" s="4591"/>
      <c r="BD151" s="1102">
        <f>IF(BB151=0,0,(BC151-BB151)/BB151*100)</f>
        <v>0</v>
      </c>
      <c r="BE151" s="4591"/>
      <c r="BF151" s="4591"/>
      <c r="BG151" s="1102">
        <f>IF(BE151=0,0,(BF151-BE151)/BE151*100)</f>
        <v>0</v>
      </c>
      <c r="BH151" s="4591"/>
      <c r="BI151" s="4591"/>
      <c r="BJ151" s="1102">
        <f>IF(BH151=0,0,(BI151-BH151)/BH151*100)</f>
        <v>0</v>
      </c>
      <c r="BK151" s="4591"/>
      <c r="BL151" s="4591"/>
      <c r="BM151" s="1102">
        <f>IF(BK151=0,0,(BL151-BK151)/BK151*100)</f>
        <v>0</v>
      </c>
      <c r="BN151" s="4591"/>
      <c r="BO151" s="4591"/>
      <c r="BP151" s="1102">
        <f>IF(BN151=0,0,(BO151-BN151)/BN151*100)</f>
        <v>0</v>
      </c>
      <c r="BQ151" s="4591"/>
      <c r="BR151" s="4591"/>
      <c r="BS151" s="1102">
        <f>IF(BQ151=0,0,(BR151-BQ151)/BQ151*100)</f>
        <v>0</v>
      </c>
      <c r="BT151" s="4591"/>
      <c r="BU151" s="4591"/>
      <c r="BV151" s="1102">
        <f>IF(BT151=0,0,(BU151-BT151)/BT151*100)</f>
        <v>0</v>
      </c>
      <c r="BW151" s="4591"/>
      <c r="BX151" s="4591"/>
      <c r="BY151" s="1102">
        <f>IF(BW151=0,0,(BX151-BW151)/BW151*100)</f>
        <v>0</v>
      </c>
      <c r="BZ151" s="4591"/>
      <c r="CA151" s="4591"/>
      <c r="CB151" s="1102">
        <f>IF(BZ151=0,0,(CA151-BZ151)/BZ151*100)</f>
        <v>0</v>
      </c>
      <c r="CC151" s="4591"/>
      <c r="CD151" s="4591"/>
      <c r="CE151" s="1102">
        <f>IF(CC151=0,0,(CD151-CC151)/CC151*100)</f>
        <v>0</v>
      </c>
      <c r="CF151" s="4591"/>
      <c r="CG151" s="4591"/>
      <c r="CH151" s="1102">
        <f>IF(CF151=0,0,(CG151-CF151)/CF151*100)</f>
        <v>0</v>
      </c>
      <c r="CI151" s="4591"/>
      <c r="CJ151" s="4591"/>
      <c r="CK151" s="1102">
        <f>IF(CI151=0,0,(CJ151-CI151)/CI151*100)</f>
        <v>0</v>
      </c>
      <c r="CL151" s="4591"/>
      <c r="CM151" s="4591"/>
      <c r="CN151" s="1102">
        <f>IF(CL151=0,0,(CM151-CL151)/CL151*100)</f>
        <v>0</v>
      </c>
      <c r="CO151" s="4591"/>
      <c r="CP151" s="4591"/>
      <c r="CQ151" s="1102">
        <f>IF(CO151=0,0,(CP151-CO151)/CO151*100)</f>
        <v>0</v>
      </c>
      <c r="CR151" s="4591"/>
      <c r="CS151" s="4591"/>
      <c r="CT151" s="1102">
        <f>IF(CR151=0,0,(CS151-CR151)/CR151*100)</f>
        <v>0</v>
      </c>
      <c r="CU151" s="4591"/>
      <c r="CV151" s="4591"/>
      <c r="CW151" s="1102">
        <f>IF(CU151=0,0,(CV151-CU151)/CU151*100)</f>
        <v>0</v>
      </c>
      <c r="CX151" s="4591"/>
      <c r="CY151" s="4591"/>
      <c r="CZ151" s="1102">
        <f>IF(CX151=0,0,(CY151-CX151)/CX151*100)</f>
        <v>0</v>
      </c>
      <c r="DA151" s="4591"/>
      <c r="DB151" s="4591"/>
      <c r="DC151" s="1102">
        <f>IF(DA151=0,0,(DB151-DA151)/DA151*100)</f>
        <v>0</v>
      </c>
      <c r="DD151" s="4591"/>
      <c r="DE151" s="4591"/>
      <c r="DF151" s="1102">
        <f>IF(DD151=0,0,(DE151-DD151)/DD151*100)</f>
        <v>0</v>
      </c>
      <c r="DG151" s="4591"/>
      <c r="DH151" s="4591"/>
      <c r="DI151" s="1102">
        <f>IF(DG151=0,0,(DH151-DG151)/DG151*100)</f>
        <v>0</v>
      </c>
      <c r="DJ151" s="4591"/>
      <c r="DK151" s="4591"/>
      <c r="DL151" s="1102">
        <f>IF(DJ151=0,0,(DK151-DJ151)/DJ151*100)</f>
        <v>0</v>
      </c>
      <c r="DM151" s="4591"/>
      <c r="DN151" s="4591"/>
      <c r="DO151" s="1102">
        <f>IF(DM151=0,0,(DN151-DM151)/DM151*100)</f>
        <v>0</v>
      </c>
      <c r="DP151" s="4591"/>
      <c r="DQ151" s="4591"/>
      <c r="DR151" s="1102">
        <f>IF(DP151=0,0,(DQ151-DP151)/DP151*100)</f>
        <v>0</v>
      </c>
      <c r="DS151" s="4591"/>
      <c r="DT151" s="4591"/>
      <c r="DU151" s="1102">
        <f>IF(DS151=0,0,(DT151-DS151)/DS151*100)</f>
        <v>0</v>
      </c>
      <c r="DV151" s="4591"/>
      <c r="DW151" s="4591"/>
      <c r="DX151" s="1102">
        <f>IF(DV151=0,0,(DW151-DV151)/DV151*100)</f>
        <v>0</v>
      </c>
      <c r="DY151" s="4591"/>
      <c r="DZ151" s="4591"/>
      <c r="EA151" s="1102">
        <f>IF(DY151=0,0,(DZ151-DY151)/DY151*100)</f>
        <v>0</v>
      </c>
      <c r="EB151" s="4591"/>
      <c r="EC151" s="4591"/>
      <c r="ED151" s="1102">
        <f>IF(EB151=0,0,(EC151-EB151)/EB151*100)</f>
        <v>0</v>
      </c>
      <c r="EE151" s="4591"/>
      <c r="EF151" s="4591"/>
      <c r="EG151" s="1102">
        <f>IF(EE151=0,0,(EF151-EE151)/EE151*100)</f>
        <v>0</v>
      </c>
      <c r="EH151" s="4591"/>
      <c r="EI151" s="4591"/>
      <c r="EJ151" s="1102">
        <f>IF(EH151=0,0,(EI151-EH151)/EH151*100)</f>
        <v>0</v>
      </c>
      <c r="EK151" s="4591"/>
      <c r="EL151" s="4591"/>
      <c r="EM151" s="1102">
        <f>IF(EK151=0,0,(EL151-EK151)/EK151*100)</f>
        <v>0</v>
      </c>
      <c r="EN151" s="4591"/>
      <c r="EO151" s="4591"/>
      <c r="EP151" s="1102">
        <f>IF(EN151=0,0,(EO151-EN151)/EN151*100)</f>
        <v>0</v>
      </c>
      <c r="EQ151" s="4591"/>
      <c r="ER151" s="4591"/>
      <c r="ES151" s="1102">
        <f>IF(EQ151=0,0,(ER151-EQ151)/EQ151*100)</f>
        <v>0</v>
      </c>
      <c r="ET151" s="4591"/>
      <c r="EU151" s="4591"/>
      <c r="EV151" s="1102">
        <f>IF(ET151=0,0,(EU151-ET151)/ET151*100)</f>
        <v>0</v>
      </c>
      <c r="EW151" s="4591"/>
      <c r="EX151" s="4591"/>
      <c r="EY151" s="1102">
        <f>IF(EW151=0,0,(EX151-EW151)/EW151*100)</f>
        <v>0</v>
      </c>
      <c r="EZ151" s="4591"/>
      <c r="FA151" s="4591"/>
      <c r="FB151" s="1102">
        <f>IF(EZ151=0,0,(FA151-EZ151)/EZ151*100)</f>
        <v>0</v>
      </c>
      <c r="FC151" s="4591"/>
      <c r="FD151" s="4591"/>
      <c r="FE151" s="1102">
        <f>IF(FC151=0,0,(FD151-FC151)/FC151*100)</f>
        <v>0</v>
      </c>
      <c r="FF151" s="4591"/>
      <c r="FG151" s="4591"/>
      <c r="FH151" s="1102">
        <f>IF(FF151=0,0,(FG151-FF151)/FF151*100)</f>
        <v>0</v>
      </c>
      <c r="FI151" s="4591"/>
      <c r="FJ151" s="4591"/>
      <c r="FK151" s="1102">
        <f>IF(FI151=0,0,(FJ151-FI151)/FI151*100)</f>
        <v>0</v>
      </c>
      <c r="FL151" s="4591"/>
      <c r="FM151" s="4591"/>
      <c r="FN151" s="1102">
        <f>IF(FL151=0,0,(FM151-FL151)/FL151*100)</f>
        <v>0</v>
      </c>
      <c r="FO151" s="4591"/>
      <c r="FP151" s="4591"/>
      <c r="FQ151" s="1102">
        <f>IF(FO151=0,0,(FP151-FO151)/FO151*100)</f>
        <v>0</v>
      </c>
      <c r="FR151" s="4591"/>
      <c r="FS151" s="4591"/>
      <c r="FT151" s="1102">
        <f>IF(FR151=0,0,(FS151-FR151)/FR151*100)</f>
        <v>0</v>
      </c>
      <c r="FU151" s="4591"/>
      <c r="FV151" s="4591"/>
      <c r="FW151" s="1102">
        <f>IF(FU151=0,0,(FV151-FU151)/FU151*100)</f>
        <v>0</v>
      </c>
      <c r="FX151" s="1328"/>
      <c r="FY151" s="1328"/>
      <c r="FZ151" s="1063" t="s">
        <v>1921</v>
      </c>
      <c r="GA151" s="1330"/>
      <c r="GB151" s="1330"/>
      <c r="GC151" s="1329"/>
      <c r="GD151" s="1329"/>
    </row>
    <row s="1656" customFormat="1" customHeight="1" ht="23.25" hidden="1">
      <c r="A152" s="496"/>
      <c r="B152" s="932" cm="1" t="str">
        <f t="array" ref="B152:B152">B151</f>
        <v>false</v>
      </c>
      <c r="C152" s="496"/>
      <c r="D152" s="496"/>
      <c r="E152" s="847">
        <v>24.5</v>
      </c>
      <c r="F152" s="50" cm="1" t="str">
        <f t="array" ref="F152:F152">OFFSET(E152,-1,1)</f>
        <v>1</v>
      </c>
      <c r="G152" s="496"/>
      <c r="H152" s="496"/>
      <c r="I152" s="496"/>
      <c r="J152" s="496"/>
      <c r="K152" s="496"/>
      <c r="L152" s="496"/>
      <c r="M152" s="496"/>
      <c r="N152" s="496"/>
      <c r="O152" s="496"/>
      <c r="P152" s="496"/>
      <c r="Q152" s="496"/>
      <c r="R152" s="496"/>
      <c r="S152" s="496"/>
      <c r="T152" s="468" cm="1" t="str">
        <f t="array" ref="T152:T152">T151</f>
        <v>true</v>
      </c>
      <c r="U152" s="496"/>
      <c r="V152" s="496"/>
      <c r="W152" s="496"/>
      <c r="X152" s="1559"/>
      <c r="Y152" s="496"/>
      <c r="Z152" s="1528"/>
      <c r="AA152" s="496"/>
      <c r="AB152" s="289" t="s">
        <v>1922</v>
      </c>
      <c r="AC152" s="910"/>
      <c r="AD152" s="1111"/>
      <c r="AE152" s="1111"/>
      <c r="AF152" s="1111"/>
      <c r="AG152" s="1111"/>
      <c r="AH152" s="1111"/>
      <c r="AI152" s="1111"/>
      <c r="AJ152" s="1111"/>
      <c r="AK152" s="1111"/>
      <c r="AL152" s="1111"/>
      <c r="AM152" s="1111"/>
      <c r="AN152" s="1111"/>
      <c r="AO152" s="1111"/>
      <c r="AP152" s="1111"/>
      <c r="AQ152" s="1111"/>
      <c r="AR152" s="1111"/>
      <c r="AS152" s="1111"/>
      <c r="AT152" s="1111"/>
      <c r="AU152" s="1111"/>
      <c r="AV152" s="1111"/>
      <c r="AW152" s="1111"/>
      <c r="AX152" s="1111"/>
      <c r="AY152" s="1111"/>
      <c r="AZ152" s="1111"/>
      <c r="BA152" s="1111"/>
      <c r="BB152" s="1111"/>
      <c r="BC152" s="1111"/>
      <c r="BD152" s="1111"/>
      <c r="BE152" s="1111"/>
      <c r="BF152" s="1111"/>
      <c r="BG152" s="1111"/>
      <c r="BH152" s="1111"/>
      <c r="BI152" s="1111"/>
      <c r="BJ152" s="1111"/>
      <c r="BK152" s="1111"/>
      <c r="BL152" s="1111"/>
      <c r="BM152" s="1111"/>
      <c r="BN152" s="1111"/>
      <c r="BO152" s="1111"/>
      <c r="BP152" s="1111"/>
      <c r="BQ152" s="1111"/>
      <c r="BR152" s="1111"/>
      <c r="BS152" s="1111"/>
      <c r="BT152" s="1111"/>
      <c r="BU152" s="1111"/>
      <c r="BV152" s="1111"/>
      <c r="BW152" s="1111"/>
      <c r="BX152" s="1111"/>
      <c r="BY152" s="1111"/>
      <c r="BZ152" s="1111"/>
      <c r="CA152" s="1111"/>
      <c r="CB152" s="1111"/>
      <c r="CC152" s="1111"/>
      <c r="CD152" s="1111"/>
      <c r="CE152" s="1111"/>
      <c r="CF152" s="1111"/>
      <c r="CG152" s="1111"/>
      <c r="CH152" s="1111"/>
      <c r="CI152" s="1111"/>
      <c r="CJ152" s="1111"/>
      <c r="CK152" s="1111"/>
      <c r="CL152" s="1111"/>
      <c r="CM152" s="1111"/>
      <c r="CN152" s="1111"/>
      <c r="CO152" s="1111"/>
      <c r="CP152" s="1111"/>
      <c r="CQ152" s="1111"/>
      <c r="CR152" s="1111"/>
      <c r="CS152" s="1111"/>
      <c r="CT152" s="1111"/>
      <c r="CU152" s="1111"/>
      <c r="CV152" s="1111"/>
      <c r="CW152" s="1111"/>
      <c r="CX152" s="1111"/>
      <c r="CY152" s="1111"/>
      <c r="CZ152" s="1111"/>
      <c r="DA152" s="1111"/>
      <c r="DB152" s="1111"/>
      <c r="DC152" s="1111"/>
      <c r="DD152" s="1111"/>
      <c r="DE152" s="1111"/>
      <c r="DF152" s="1111"/>
      <c r="DG152" s="1111"/>
      <c r="DH152" s="1111"/>
      <c r="DI152" s="1111"/>
      <c r="DJ152" s="1111"/>
      <c r="DK152" s="1111"/>
      <c r="DL152" s="1111"/>
      <c r="DM152" s="1111"/>
      <c r="DN152" s="1111"/>
      <c r="DO152" s="1111"/>
      <c r="DP152" s="1111"/>
      <c r="DQ152" s="1111"/>
      <c r="DR152" s="1111"/>
      <c r="DS152" s="1111"/>
      <c r="DT152" s="1111"/>
      <c r="DU152" s="1111"/>
      <c r="DV152" s="1111"/>
      <c r="DW152" s="1111"/>
      <c r="DX152" s="1111"/>
      <c r="DY152" s="1111"/>
      <c r="DZ152" s="1111"/>
      <c r="EA152" s="1111"/>
      <c r="EB152" s="1111"/>
      <c r="EC152" s="1111"/>
      <c r="ED152" s="1111"/>
      <c r="EE152" s="1111"/>
      <c r="EF152" s="1111"/>
      <c r="EG152" s="1111"/>
      <c r="EH152" s="1111"/>
      <c r="EI152" s="1111"/>
      <c r="EJ152" s="1111"/>
      <c r="EK152" s="1111"/>
      <c r="EL152" s="1111"/>
      <c r="EM152" s="1111"/>
      <c r="EN152" s="1111"/>
      <c r="EO152" s="1111"/>
      <c r="EP152" s="1111"/>
      <c r="EQ152" s="1111"/>
      <c r="ER152" s="1111"/>
      <c r="ES152" s="1111"/>
      <c r="ET152" s="1111"/>
      <c r="EU152" s="1111"/>
      <c r="EV152" s="1111"/>
      <c r="EW152" s="1111"/>
      <c r="EX152" s="1111"/>
      <c r="EY152" s="1111"/>
      <c r="EZ152" s="1111"/>
      <c r="FA152" s="1111"/>
      <c r="FB152" s="1111"/>
      <c r="FC152" s="1111"/>
      <c r="FD152" s="1111"/>
      <c r="FE152" s="1111"/>
      <c r="FF152" s="1111"/>
      <c r="FG152" s="1111"/>
      <c r="FH152" s="1111"/>
      <c r="FI152" s="1111"/>
      <c r="FJ152" s="1111"/>
      <c r="FK152" s="1111"/>
      <c r="FL152" s="1111"/>
      <c r="FM152" s="1111"/>
      <c r="FN152" s="1111"/>
      <c r="FO152" s="1111"/>
      <c r="FP152" s="1111"/>
      <c r="FQ152" s="1111"/>
      <c r="FR152" s="1111"/>
      <c r="FS152" s="1111"/>
      <c r="FT152" s="1111"/>
      <c r="FU152" s="1111"/>
      <c r="FV152" s="1111"/>
      <c r="FW152" s="1112"/>
      <c r="FX152" s="1328"/>
      <c r="FY152" s="1328"/>
      <c r="FZ152" s="1063"/>
      <c r="GA152" s="1330"/>
      <c r="GB152" s="1330"/>
      <c r="GC152" s="1329"/>
      <c r="GD152" s="1329"/>
    </row>
    <row s="1656" customFormat="1" customHeight="1" ht="14.25" hidden="1">
      <c r="A153" s="496"/>
      <c r="B153" s="932" cm="1" t="str">
        <f t="array" ref="B153:B153">B152</f>
        <v>false</v>
      </c>
      <c r="C153" s="496"/>
      <c r="D153" s="496"/>
      <c r="E153" s="847">
        <v>15</v>
      </c>
      <c r="F153" s="50" cm="1" t="str">
        <f t="array" ref="F153:F153">OFFSET(E153,-1,1)</f>
        <v>1</v>
      </c>
      <c r="G153" s="496"/>
      <c r="H153" s="496" t="s">
        <v>1787</v>
      </c>
      <c r="I153" s="496" t="s">
        <v>1879</v>
      </c>
      <c r="J153" s="496"/>
      <c r="K153" s="496"/>
      <c r="L153" s="496"/>
      <c r="M153" s="496"/>
      <c r="N153" s="496"/>
      <c r="O153" s="496"/>
      <c r="P153" s="496"/>
      <c r="Q153" s="496"/>
      <c r="R153" s="496"/>
      <c r="S153" s="496"/>
      <c r="T153" s="468" cm="1" t="str">
        <f t="array" ref="T153:T153">T152</f>
        <v>true</v>
      </c>
      <c r="U153" s="496"/>
      <c r="V153" s="496"/>
      <c r="W153" s="496"/>
      <c r="X153" s="1559"/>
      <c r="Y153" s="496"/>
      <c r="Z153" s="1528"/>
      <c r="AA153" s="496"/>
      <c r="AB153" s="1100" t="s">
        <v>1895</v>
      </c>
      <c r="AC153" s="871" t="s">
        <v>1862</v>
      </c>
      <c r="AD153" s="4591">
        <f>IF(AD155=0,0,(AD154*AD155+AD156*AD157*IF(god=2026,3,6))/AD155)</f>
        <v>0</v>
      </c>
      <c r="AE153" s="4591">
        <f>IF(AE155=0,0,(AE154*AE155+AE156*AE157*IF(god=2026,3,6))/AE155)</f>
        <v>0</v>
      </c>
      <c r="AF153" s="1102">
        <f>IF(AD153=0,0,(AE153-AD153)/AD153*100)</f>
        <v>0</v>
      </c>
      <c r="AG153" s="4591">
        <f>IF(AG155=0,0,(AG154*AG155+AG156*AG157*IF(god=2025,3,6))/AG155)</f>
        <v>0</v>
      </c>
      <c r="AH153" s="4591">
        <f>IF(AH155=0,0,(AH154*AH155+AH156*AH157*IF(god=2025,3,6))/AH155)</f>
        <v>0</v>
      </c>
      <c r="AI153" s="1102">
        <f>IF(AG153=0,0,(AH153-AG153)/AG153*100)</f>
        <v>0</v>
      </c>
      <c r="AJ153" s="4591">
        <f>IF(AJ155=0,0,(AJ154*AJ155+AJ156*AJ157*6)/AJ155)</f>
        <v>0</v>
      </c>
      <c r="AK153" s="4591">
        <f>IF(AK155=0,0,(AK154*AK155+AK156*AK157*6)/AK155)</f>
        <v>0</v>
      </c>
      <c r="AL153" s="1102">
        <f>IF(AJ153=0,0,(AK153-AJ153)/AJ153*100)</f>
        <v>0</v>
      </c>
      <c r="AM153" s="4591">
        <f>IF(AM155=0,0,(AM154*AM155+AM156*AM157*6)/AM155)</f>
        <v>0</v>
      </c>
      <c r="AN153" s="4591">
        <f>IF(AN155=0,0,(AN154*AN155+AN156*AN157*6)/AN155)</f>
        <v>0</v>
      </c>
      <c r="AO153" s="1102">
        <f>IF(AM153=0,0,(AN153-AM153)/AM153*100)</f>
        <v>0</v>
      </c>
      <c r="AP153" s="4591">
        <f>IF(AP155=0,0,(AP154*AP155+AP156*AP157*6)/AP155)</f>
        <v>0</v>
      </c>
      <c r="AQ153" s="4591">
        <f>IF(AQ155=0,0,(AQ154*AQ155+AQ156*AQ157*6)/AQ155)</f>
        <v>0</v>
      </c>
      <c r="AR153" s="1102">
        <f>IF(AP153=0,0,(AQ153-AP153)/AP153*100)</f>
        <v>0</v>
      </c>
      <c r="AS153" s="4591">
        <f>IF(AS155=0,0,(AS154*AS155+AS156*AS157*6)/AS155)</f>
        <v>0</v>
      </c>
      <c r="AT153" s="4591">
        <f>IF(AT155=0,0,(AT154*AT155+AT156*AT157*6)/AT155)</f>
        <v>0</v>
      </c>
      <c r="AU153" s="1102">
        <f>IF(AS153=0,0,(AT153-AS153)/AS153*100)</f>
        <v>0</v>
      </c>
      <c r="AV153" s="4591">
        <f>IF(AV155=0,0,(AV154*AV155+AV156*AV157*6)/AV155)</f>
        <v>0</v>
      </c>
      <c r="AW153" s="4591">
        <f>IF(AW155=0,0,(AW154*AW155+AW156*AW157*6)/AW155)</f>
        <v>0</v>
      </c>
      <c r="AX153" s="1102">
        <f>IF(AV153=0,0,(AW153-AV153)/AV153*100)</f>
        <v>0</v>
      </c>
      <c r="AY153" s="4591">
        <f>IF(AY155=0,0,(AY154*AY155+AY156*AY157*6)/AY155)</f>
        <v>0</v>
      </c>
      <c r="AZ153" s="4591">
        <f>IF(AZ155=0,0,(AZ154*AZ155+AZ156*AZ157*6)/AZ155)</f>
        <v>0</v>
      </c>
      <c r="BA153" s="1102">
        <f>IF(AY153=0,0,(AZ153-AY153)/AY153*100)</f>
        <v>0</v>
      </c>
      <c r="BB153" s="4591">
        <f>IF(BB155=0,0,(BB154*BB155+BB156*BB157*6)/BB155)</f>
        <v>0</v>
      </c>
      <c r="BC153" s="4591">
        <f>IF(BC155=0,0,(BC154*BC155+BC156*BC157*6)/BC155)</f>
        <v>0</v>
      </c>
      <c r="BD153" s="1102">
        <f>IF(BB153=0,0,(BC153-BB153)/BB153*100)</f>
        <v>0</v>
      </c>
      <c r="BE153" s="4591">
        <f>IF(BE155=0,0,(BE154*BE155+BE156*BE157*6)/BE155)</f>
        <v>0</v>
      </c>
      <c r="BF153" s="4591">
        <f>IF(BF155=0,0,(BF154*BF155+BF156*BF157*6)/BF155)</f>
        <v>0</v>
      </c>
      <c r="BG153" s="1102">
        <f>IF(BE153=0,0,(BF153-BE153)/BE153*100)</f>
        <v>0</v>
      </c>
      <c r="BH153" s="4591">
        <f>IF(BH155=0,0,(BH154*BH155+BH156*BH157*6)/BH155)</f>
        <v>0</v>
      </c>
      <c r="BI153" s="4591">
        <f>IF(BI155=0,0,(BI154*BI155+BI156*BI157*6)/BI155)</f>
        <v>0</v>
      </c>
      <c r="BJ153" s="1102">
        <f>IF(BH153=0,0,(BI153-BH153)/BH153*100)</f>
        <v>0</v>
      </c>
      <c r="BK153" s="4591">
        <f>IF(BK155=0,0,(BK154*BK155+BK156*BK157*6)/BK155)</f>
        <v>0</v>
      </c>
      <c r="BL153" s="4591">
        <f>IF(BL155=0,0,(BL154*BL155+BL156*BL157*6)/BL155)</f>
        <v>0</v>
      </c>
      <c r="BM153" s="1102">
        <f>IF(BK153=0,0,(BL153-BK153)/BK153*100)</f>
        <v>0</v>
      </c>
      <c r="BN153" s="4591">
        <f>IF(BN155=0,0,(BN154*BN155+BN156*BN157*6)/BN155)</f>
        <v>0</v>
      </c>
      <c r="BO153" s="4591">
        <f>IF(BO155=0,0,(BO154*BO155+BO156*BO157*6)/BO155)</f>
        <v>0</v>
      </c>
      <c r="BP153" s="1102">
        <f>IF(BN153=0,0,(BO153-BN153)/BN153*100)</f>
        <v>0</v>
      </c>
      <c r="BQ153" s="4591">
        <f>IF(BQ155=0,0,(BQ154*BQ155+BQ156*BQ157*6)/BQ155)</f>
        <v>0</v>
      </c>
      <c r="BR153" s="4591">
        <f>IF(BR155=0,0,(BR154*BR155+BR156*BR157*6)/BR155)</f>
        <v>0</v>
      </c>
      <c r="BS153" s="1102">
        <f>IF(BQ153=0,0,(BR153-BQ153)/BQ153*100)</f>
        <v>0</v>
      </c>
      <c r="BT153" s="4591">
        <f>IF(BT155=0,0,(BT154*BT155+BT156*BT157*6)/BT155)</f>
        <v>0</v>
      </c>
      <c r="BU153" s="4591">
        <f>IF(BU155=0,0,(BU154*BU155+BU156*BU157*6)/BU155)</f>
        <v>0</v>
      </c>
      <c r="BV153" s="1102">
        <f>IF(BT153=0,0,(BU153-BT153)/BT153*100)</f>
        <v>0</v>
      </c>
      <c r="BW153" s="4591">
        <f>IF(BW155=0,0,(BW154*BW155+BW156*BW157*6)/BW155)</f>
        <v>0</v>
      </c>
      <c r="BX153" s="4591">
        <f>IF(BX155=0,0,(BX154*BX155+BX156*BX157*6)/BX155)</f>
        <v>0</v>
      </c>
      <c r="BY153" s="1102">
        <f>IF(BW153=0,0,(BX153-BW153)/BW153*100)</f>
        <v>0</v>
      </c>
      <c r="BZ153" s="4591">
        <f>IF(BZ155=0,0,(BZ154*BZ155+BZ156*BZ157*6)/BZ155)</f>
        <v>0</v>
      </c>
      <c r="CA153" s="4591">
        <f>IF(CA155=0,0,(CA154*CA155+CA156*CA157*6)/CA155)</f>
        <v>0</v>
      </c>
      <c r="CB153" s="1102">
        <f>IF(BZ153=0,0,(CA153-BZ153)/BZ153*100)</f>
        <v>0</v>
      </c>
      <c r="CC153" s="4591">
        <f>IF(CC155=0,0,(CC154*CC155+CC156*CC157*6)/CC155)</f>
        <v>0</v>
      </c>
      <c r="CD153" s="4591">
        <f>IF(CD155=0,0,(CD154*CD155+CD156*CD157*6)/CD155)</f>
        <v>0</v>
      </c>
      <c r="CE153" s="1102">
        <f>IF(CC153=0,0,(CD153-CC153)/CC153*100)</f>
        <v>0</v>
      </c>
      <c r="CF153" s="4591">
        <f>IF(CF155=0,0,(CF154*CF155+CF156*CF157*6)/CF155)</f>
        <v>0</v>
      </c>
      <c r="CG153" s="4591">
        <f>IF(CG155=0,0,(CG154*CG155+CG156*CG157*6)/CG155)</f>
        <v>0</v>
      </c>
      <c r="CH153" s="1102">
        <f>IF(CF153=0,0,(CG153-CF153)/CF153*100)</f>
        <v>0</v>
      </c>
      <c r="CI153" s="4591">
        <f>IF(CI155=0,0,(CI154*CI155+CI156*CI157*6)/CI155)</f>
        <v>0</v>
      </c>
      <c r="CJ153" s="4591">
        <f>IF(CJ155=0,0,(CJ154*CJ155+CJ156*CJ157*6)/CJ155)</f>
        <v>0</v>
      </c>
      <c r="CK153" s="1102">
        <f>IF(CI153=0,0,(CJ153-CI153)/CI153*100)</f>
        <v>0</v>
      </c>
      <c r="CL153" s="4591">
        <f>IF(CL155=0,0,(CL154*CL155+CL156*CL157*6)/CL155)</f>
        <v>0</v>
      </c>
      <c r="CM153" s="4591">
        <f>IF(CM155=0,0,(CM154*CM155+CM156*CM157*6)/CM155)</f>
        <v>0</v>
      </c>
      <c r="CN153" s="1102">
        <f>IF(CL153=0,0,(CM153-CL153)/CL153*100)</f>
        <v>0</v>
      </c>
      <c r="CO153" s="4591">
        <f>IF(CO155=0,0,(CO154*CO155+CO156*CO157*6)/CO155)</f>
        <v>0</v>
      </c>
      <c r="CP153" s="4591">
        <f>IF(CP155=0,0,(CP154*CP155+CP156*CP157*6)/CP155)</f>
        <v>0</v>
      </c>
      <c r="CQ153" s="1102">
        <f>IF(CO153=0,0,(CP153-CO153)/CO153*100)</f>
        <v>0</v>
      </c>
      <c r="CR153" s="4591">
        <f>IF(CR155=0,0,(CR154*CR155+CR156*CR157*6)/CR155)</f>
        <v>0</v>
      </c>
      <c r="CS153" s="4591">
        <f>IF(CS155=0,0,(CS154*CS155+CS156*CS157*6)/CS155)</f>
        <v>0</v>
      </c>
      <c r="CT153" s="1102">
        <f>IF(CR153=0,0,(CS153-CR153)/CR153*100)</f>
        <v>0</v>
      </c>
      <c r="CU153" s="4591">
        <f>IF(CU155=0,0,(CU154*CU155+CU156*CU157*6)/CU155)</f>
        <v>0</v>
      </c>
      <c r="CV153" s="4591">
        <f>IF(CV155=0,0,(CV154*CV155+CV156*CV157*6)/CV155)</f>
        <v>0</v>
      </c>
      <c r="CW153" s="1102">
        <f>IF(CU153=0,0,(CV153-CU153)/CU153*100)</f>
        <v>0</v>
      </c>
      <c r="CX153" s="4591">
        <f>IF(CX155=0,0,(CX154*CX155+CX156*CX157*6)/CX155)</f>
        <v>0</v>
      </c>
      <c r="CY153" s="4591">
        <f>IF(CY155=0,0,(CY154*CY155+CY156*CY157*6)/CY155)</f>
        <v>0</v>
      </c>
      <c r="CZ153" s="1102">
        <f>IF(CX153=0,0,(CY153-CX153)/CX153*100)</f>
        <v>0</v>
      </c>
      <c r="DA153" s="4591">
        <f>IF(DA155=0,0,(DA154*DA155+DA156*DA157*6)/DA155)</f>
        <v>0</v>
      </c>
      <c r="DB153" s="4591">
        <f>IF(DB155=0,0,(DB154*DB155+DB156*DB157*6)/DB155)</f>
        <v>0</v>
      </c>
      <c r="DC153" s="1102">
        <f>IF(DA153=0,0,(DB153-DA153)/DA153*100)</f>
        <v>0</v>
      </c>
      <c r="DD153" s="4591">
        <f>IF(DD155=0,0,(DD154*DD155+DD156*DD157*6)/DD155)</f>
        <v>0</v>
      </c>
      <c r="DE153" s="4591">
        <f>IF(DE155=0,0,(DE154*DE155+DE156*DE157*6)/DE155)</f>
        <v>0</v>
      </c>
      <c r="DF153" s="1102">
        <f>IF(DD153=0,0,(DE153-DD153)/DD153*100)</f>
        <v>0</v>
      </c>
      <c r="DG153" s="4591">
        <f>IF(DG155=0,0,(DG154*DG155+DG156*DG157*6)/DG155)</f>
        <v>0</v>
      </c>
      <c r="DH153" s="4591">
        <f>IF(DH155=0,0,(DH154*DH155+DH156*DH157*6)/DH155)</f>
        <v>0</v>
      </c>
      <c r="DI153" s="1102">
        <f>IF(DG153=0,0,(DH153-DG153)/DG153*100)</f>
        <v>0</v>
      </c>
      <c r="DJ153" s="4591">
        <f>IF(DJ155=0,0,(DJ154*DJ155+DJ156*DJ157*6)/DJ155)</f>
        <v>0</v>
      </c>
      <c r="DK153" s="4591">
        <f>IF(DK155=0,0,(DK154*DK155+DK156*DK157*6)/DK155)</f>
        <v>0</v>
      </c>
      <c r="DL153" s="1102">
        <f>IF(DJ153=0,0,(DK153-DJ153)/DJ153*100)</f>
        <v>0</v>
      </c>
      <c r="DM153" s="4591">
        <f>IF(DM155=0,0,(DM154*DM155+DM156*DM157*6)/DM155)</f>
        <v>0</v>
      </c>
      <c r="DN153" s="4591">
        <f>IF(DN155=0,0,(DN154*DN155+DN156*DN157*6)/DN155)</f>
        <v>0</v>
      </c>
      <c r="DO153" s="1102">
        <f>IF(DM153=0,0,(DN153-DM153)/DM153*100)</f>
        <v>0</v>
      </c>
      <c r="DP153" s="4591">
        <f>IF(DP155=0,0,(DP154*DP155+DP156*DP157*6)/DP155)</f>
        <v>0</v>
      </c>
      <c r="DQ153" s="4591">
        <f>IF(DQ155=0,0,(DQ154*DQ155+DQ156*DQ157*6)/DQ155)</f>
        <v>0</v>
      </c>
      <c r="DR153" s="1102">
        <f>IF(DP153=0,0,(DQ153-DP153)/DP153*100)</f>
        <v>0</v>
      </c>
      <c r="DS153" s="4591">
        <f>IF(DS155=0,0,(DS154*DS155+DS156*DS157*6)/DS155)</f>
        <v>0</v>
      </c>
      <c r="DT153" s="4591">
        <f>IF(DT155=0,0,(DT154*DT155+DT156*DT157*6)/DT155)</f>
        <v>0</v>
      </c>
      <c r="DU153" s="1102">
        <f>IF(DS153=0,0,(DT153-DS153)/DS153*100)</f>
        <v>0</v>
      </c>
      <c r="DV153" s="4591">
        <f>IF(DV155=0,0,(DV154*DV155+DV156*DV157*6)/DV155)</f>
        <v>0</v>
      </c>
      <c r="DW153" s="4591">
        <f>IF(DW155=0,0,(DW154*DW155+DW156*DW157*6)/DW155)</f>
        <v>0</v>
      </c>
      <c r="DX153" s="1102">
        <f>IF(DV153=0,0,(DW153-DV153)/DV153*100)</f>
        <v>0</v>
      </c>
      <c r="DY153" s="4591">
        <f>IF(DY155=0,0,(DY154*DY155+DY156*DY157*6)/DY155)</f>
        <v>0</v>
      </c>
      <c r="DZ153" s="4591">
        <f>IF(DZ155=0,0,(DZ154*DZ155+DZ156*DZ157*6)/DZ155)</f>
        <v>0</v>
      </c>
      <c r="EA153" s="1102">
        <f>IF(DY153=0,0,(DZ153-DY153)/DY153*100)</f>
        <v>0</v>
      </c>
      <c r="EB153" s="4591">
        <f>IF(EB155=0,0,(EB154*EB155+EB156*EB157*6)/EB155)</f>
        <v>0</v>
      </c>
      <c r="EC153" s="4591">
        <f>IF(EC155=0,0,(EC154*EC155+EC156*EC157*6)/EC155)</f>
        <v>0</v>
      </c>
      <c r="ED153" s="1102">
        <f>IF(EB153=0,0,(EC153-EB153)/EB153*100)</f>
        <v>0</v>
      </c>
      <c r="EE153" s="4591">
        <f>IF(EE155=0,0,(EE154*EE155+EE156*EE157*6)/EE155)</f>
        <v>0</v>
      </c>
      <c r="EF153" s="4591">
        <f>IF(EF155=0,0,(EF154*EF155+EF156*EF157*6)/EF155)</f>
        <v>0</v>
      </c>
      <c r="EG153" s="1102">
        <f>IF(EE153=0,0,(EF153-EE153)/EE153*100)</f>
        <v>0</v>
      </c>
      <c r="EH153" s="4591">
        <f>IF(EH155=0,0,(EH154*EH155+EH156*EH157*6)/EH155)</f>
        <v>0</v>
      </c>
      <c r="EI153" s="4591">
        <f>IF(EI155=0,0,(EI154*EI155+EI156*EI157*6)/EI155)</f>
        <v>0</v>
      </c>
      <c r="EJ153" s="1102">
        <f>IF(EH153=0,0,(EI153-EH153)/EH153*100)</f>
        <v>0</v>
      </c>
      <c r="EK153" s="4591">
        <f>IF(EK155=0,0,(EK154*EK155+EK156*EK157*6)/EK155)</f>
        <v>0</v>
      </c>
      <c r="EL153" s="4591">
        <f>IF(EL155=0,0,(EL154*EL155+EL156*EL157*6)/EL155)</f>
        <v>0</v>
      </c>
      <c r="EM153" s="1102">
        <f>IF(EK153=0,0,(EL153-EK153)/EK153*100)</f>
        <v>0</v>
      </c>
      <c r="EN153" s="4591">
        <f>IF(EN155=0,0,(EN154*EN155+EN156*EN157*6)/EN155)</f>
        <v>0</v>
      </c>
      <c r="EO153" s="4591">
        <f>IF(EO155=0,0,(EO154*EO155+EO156*EO157*6)/EO155)</f>
        <v>0</v>
      </c>
      <c r="EP153" s="1102">
        <f>IF(EN153=0,0,(EO153-EN153)/EN153*100)</f>
        <v>0</v>
      </c>
      <c r="EQ153" s="4591">
        <f>IF(EQ155=0,0,(EQ154*EQ155+EQ156*EQ157*6)/EQ155)</f>
        <v>0</v>
      </c>
      <c r="ER153" s="4591">
        <f>IF(ER155=0,0,(ER154*ER155+ER156*ER157*6)/ER155)</f>
        <v>0</v>
      </c>
      <c r="ES153" s="1102">
        <f>IF(EQ153=0,0,(ER153-EQ153)/EQ153*100)</f>
        <v>0</v>
      </c>
      <c r="ET153" s="4591">
        <f>IF(ET155=0,0,(ET154*ET155+ET156*ET157*6)/ET155)</f>
        <v>0</v>
      </c>
      <c r="EU153" s="4591">
        <f>IF(EU155=0,0,(EU154*EU155+EU156*EU157*6)/EU155)</f>
        <v>0</v>
      </c>
      <c r="EV153" s="1102">
        <f>IF(ET153=0,0,(EU153-ET153)/ET153*100)</f>
        <v>0</v>
      </c>
      <c r="EW153" s="4591">
        <f>IF(EW155=0,0,(EW154*EW155+EW156*EW157*6)/EW155)</f>
        <v>0</v>
      </c>
      <c r="EX153" s="4591">
        <f>IF(EX155=0,0,(EX154*EX155+EX156*EX157*6)/EX155)</f>
        <v>0</v>
      </c>
      <c r="EY153" s="1102">
        <f>IF(EW153=0,0,(EX153-EW153)/EW153*100)</f>
        <v>0</v>
      </c>
      <c r="EZ153" s="4591">
        <f>IF(EZ155=0,0,(EZ154*EZ155+EZ156*EZ157*6)/EZ155)</f>
        <v>0</v>
      </c>
      <c r="FA153" s="4591">
        <f>IF(FA155=0,0,(FA154*FA155+FA156*FA157*6)/FA155)</f>
        <v>0</v>
      </c>
      <c r="FB153" s="1102">
        <f>IF(EZ153=0,0,(FA153-EZ153)/EZ153*100)</f>
        <v>0</v>
      </c>
      <c r="FC153" s="4591">
        <f>IF(FC155=0,0,(FC154*FC155+FC156*FC157*6)/FC155)</f>
        <v>0</v>
      </c>
      <c r="FD153" s="4591">
        <f>IF(FD155=0,0,(FD154*FD155+FD156*FD157*6)/FD155)</f>
        <v>0</v>
      </c>
      <c r="FE153" s="1102">
        <f>IF(FC153=0,0,(FD153-FC153)/FC153*100)</f>
        <v>0</v>
      </c>
      <c r="FF153" s="4591">
        <f>IF(FF155=0,0,(FF154*FF155+FF156*FF157*6)/FF155)</f>
        <v>0</v>
      </c>
      <c r="FG153" s="4591">
        <f>IF(FG155=0,0,(FG154*FG155+FG156*FG157*6)/FG155)</f>
        <v>0</v>
      </c>
      <c r="FH153" s="1102">
        <f>IF(FF153=0,0,(FG153-FF153)/FF153*100)</f>
        <v>0</v>
      </c>
      <c r="FI153" s="4591">
        <f>IF(FI155=0,0,(FI154*FI155+FI156*FI157*6)/FI155)</f>
        <v>0</v>
      </c>
      <c r="FJ153" s="4591">
        <f>IF(FJ155=0,0,(FJ154*FJ155+FJ156*FJ157*6)/FJ155)</f>
        <v>0</v>
      </c>
      <c r="FK153" s="1102">
        <f>IF(FI153=0,0,(FJ153-FI153)/FI153*100)</f>
        <v>0</v>
      </c>
      <c r="FL153" s="4591">
        <f>IF(FL155=0,0,(FL154*FL155+FL156*FL157*6)/FL155)</f>
        <v>0</v>
      </c>
      <c r="FM153" s="4591">
        <f>IF(FM155=0,0,(FM154*FM155+FM156*FM157*6)/FM155)</f>
        <v>0</v>
      </c>
      <c r="FN153" s="1102">
        <f>IF(FL153=0,0,(FM153-FL153)/FL153*100)</f>
        <v>0</v>
      </c>
      <c r="FO153" s="4591">
        <f>IF(FO155=0,0,(FO154*FO155+FO156*FO157*6)/FO155)</f>
        <v>0</v>
      </c>
      <c r="FP153" s="4591">
        <f>IF(FP155=0,0,(FP154*FP155+FP156*FP157*6)/FP155)</f>
        <v>0</v>
      </c>
      <c r="FQ153" s="1102">
        <f>IF(FO153=0,0,(FP153-FO153)/FO153*100)</f>
        <v>0</v>
      </c>
      <c r="FR153" s="4591">
        <f>IF(FR155=0,0,(FR154*FR155+FR156*FR157*6)/FR155)</f>
        <v>0</v>
      </c>
      <c r="FS153" s="4591">
        <f>IF(FS155=0,0,(FS154*FS155+FS156*FS157*6)/FS155)</f>
        <v>0</v>
      </c>
      <c r="FT153" s="1102">
        <f>IF(FR153=0,0,(FS153-FR153)/FR153*100)</f>
        <v>0</v>
      </c>
      <c r="FU153" s="4591">
        <f>IF(FU155=0,0,(FU154*FU155+FU156*FU157*6)/FU155)</f>
        <v>0</v>
      </c>
      <c r="FV153" s="4591">
        <f>IF(FV155=0,0,(FV154*FV155+FV156*FV157*6)/FV155)</f>
        <v>0</v>
      </c>
      <c r="FW153" s="1102">
        <f>IF(FU153=0,0,(FV153-FU153)/FU153*100)</f>
        <v>0</v>
      </c>
      <c r="FX153" s="1328"/>
      <c r="FY153" s="1328"/>
      <c r="FZ153" s="1063" t="s">
        <v>1923</v>
      </c>
      <c r="GA153" s="1330"/>
      <c r="GB153" s="1330"/>
      <c r="GC153" s="1329"/>
      <c r="GD153" s="1329"/>
    </row>
    <row s="1656" customFormat="1" customHeight="1" ht="14.25" hidden="1">
      <c r="A154" s="496"/>
      <c r="B154" s="932" cm="1" t="str">
        <f t="array" ref="B154:B154">B153</f>
        <v>false</v>
      </c>
      <c r="C154" s="496"/>
      <c r="D154" s="496"/>
      <c r="E154" s="847">
        <v>15</v>
      </c>
      <c r="F154" s="50" cm="1" t="str">
        <f t="array" ref="F154:F154">OFFSET(E154,-1,1)</f>
        <v>1</v>
      </c>
      <c r="G154" s="496"/>
      <c r="H154" s="496" t="s">
        <v>1791</v>
      </c>
      <c r="I154" s="496" t="s">
        <v>1879</v>
      </c>
      <c r="J154" s="496"/>
      <c r="K154" s="496"/>
      <c r="L154" s="496"/>
      <c r="M154" s="496"/>
      <c r="N154" s="496"/>
      <c r="O154" s="496"/>
      <c r="P154" s="496"/>
      <c r="Q154" s="496"/>
      <c r="R154" s="496"/>
      <c r="S154" s="496"/>
      <c r="T154" s="468" cm="1" t="str">
        <f t="array" ref="T154:T154">T153</f>
        <v>true</v>
      </c>
      <c r="U154" s="496"/>
      <c r="V154" s="496"/>
      <c r="W154" s="496"/>
      <c r="X154" s="1559"/>
      <c r="Y154" s="496"/>
      <c r="Z154" s="1528"/>
      <c r="AA154" s="496"/>
      <c r="AB154" s="911" t="str">
        <f>"ставка платы за "&amp;IF(Q92="Водоснабжение","потребление 1 куб.м холодной воды","объем принятых сточных вод")</f>
        <v>ставка платы за потребление 1 куб.м холодной воды</v>
      </c>
      <c r="AC154" s="871" t="s">
        <v>1862</v>
      </c>
      <c r="AD154" s="4591"/>
      <c r="AE154" s="4591"/>
      <c r="AF154" s="1102">
        <f>IF(AD154=0,0,(AE154-AD154)/AD154*100)</f>
        <v>0</v>
      </c>
      <c r="AG154" s="4591"/>
      <c r="AH154" s="4591"/>
      <c r="AI154" s="1102">
        <f>IF(AG154=0,0,(AH154-AG154)/AG154*100)</f>
        <v>0</v>
      </c>
      <c r="AJ154" s="4591"/>
      <c r="AK154" s="4591"/>
      <c r="AL154" s="1102">
        <f>IF(AJ154=0,0,(AK154-AJ154)/AJ154*100)</f>
        <v>0</v>
      </c>
      <c r="AM154" s="4591"/>
      <c r="AN154" s="4591"/>
      <c r="AO154" s="1102">
        <f>IF(AM154=0,0,(AN154-AM154)/AM154*100)</f>
        <v>0</v>
      </c>
      <c r="AP154" s="4591"/>
      <c r="AQ154" s="4591"/>
      <c r="AR154" s="1102">
        <f>IF(AP154=0,0,(AQ154-AP154)/AP154*100)</f>
        <v>0</v>
      </c>
      <c r="AS154" s="4591"/>
      <c r="AT154" s="4591"/>
      <c r="AU154" s="1102">
        <f>IF(AS154=0,0,(AT154-AS154)/AS154*100)</f>
        <v>0</v>
      </c>
      <c r="AV154" s="4591"/>
      <c r="AW154" s="4591"/>
      <c r="AX154" s="1102">
        <f>IF(AV154=0,0,(AW154-AV154)/AV154*100)</f>
        <v>0</v>
      </c>
      <c r="AY154" s="4591"/>
      <c r="AZ154" s="4591"/>
      <c r="BA154" s="1102">
        <f>IF(AY154=0,0,(AZ154-AY154)/AY154*100)</f>
        <v>0</v>
      </c>
      <c r="BB154" s="4591"/>
      <c r="BC154" s="4591"/>
      <c r="BD154" s="1102">
        <f>IF(BB154=0,0,(BC154-BB154)/BB154*100)</f>
        <v>0</v>
      </c>
      <c r="BE154" s="4591"/>
      <c r="BF154" s="4591"/>
      <c r="BG154" s="1102">
        <f>IF(BE154=0,0,(BF154-BE154)/BE154*100)</f>
        <v>0</v>
      </c>
      <c r="BH154" s="4591"/>
      <c r="BI154" s="4591"/>
      <c r="BJ154" s="1102">
        <f>IF(BH154=0,0,(BI154-BH154)/BH154*100)</f>
        <v>0</v>
      </c>
      <c r="BK154" s="4591"/>
      <c r="BL154" s="4591"/>
      <c r="BM154" s="1102">
        <f>IF(BK154=0,0,(BL154-BK154)/BK154*100)</f>
        <v>0</v>
      </c>
      <c r="BN154" s="4591"/>
      <c r="BO154" s="4591"/>
      <c r="BP154" s="1102">
        <f>IF(BN154=0,0,(BO154-BN154)/BN154*100)</f>
        <v>0</v>
      </c>
      <c r="BQ154" s="4591"/>
      <c r="BR154" s="4591"/>
      <c r="BS154" s="1102">
        <f>IF(BQ154=0,0,(BR154-BQ154)/BQ154*100)</f>
        <v>0</v>
      </c>
      <c r="BT154" s="4591"/>
      <c r="BU154" s="4591"/>
      <c r="BV154" s="1102">
        <f>IF(BT154=0,0,(BU154-BT154)/BT154*100)</f>
        <v>0</v>
      </c>
      <c r="BW154" s="4591"/>
      <c r="BX154" s="4591"/>
      <c r="BY154" s="1102">
        <f>IF(BW154=0,0,(BX154-BW154)/BW154*100)</f>
        <v>0</v>
      </c>
      <c r="BZ154" s="4591"/>
      <c r="CA154" s="4591"/>
      <c r="CB154" s="1102">
        <f>IF(BZ154=0,0,(CA154-BZ154)/BZ154*100)</f>
        <v>0</v>
      </c>
      <c r="CC154" s="4591"/>
      <c r="CD154" s="4591"/>
      <c r="CE154" s="1102">
        <f>IF(CC154=0,0,(CD154-CC154)/CC154*100)</f>
        <v>0</v>
      </c>
      <c r="CF154" s="4591"/>
      <c r="CG154" s="4591"/>
      <c r="CH154" s="1102">
        <f>IF(CF154=0,0,(CG154-CF154)/CF154*100)</f>
        <v>0</v>
      </c>
      <c r="CI154" s="4591"/>
      <c r="CJ154" s="4591"/>
      <c r="CK154" s="1102">
        <f>IF(CI154=0,0,(CJ154-CI154)/CI154*100)</f>
        <v>0</v>
      </c>
      <c r="CL154" s="4591"/>
      <c r="CM154" s="4591"/>
      <c r="CN154" s="1102">
        <f>IF(CL154=0,0,(CM154-CL154)/CL154*100)</f>
        <v>0</v>
      </c>
      <c r="CO154" s="4591"/>
      <c r="CP154" s="4591"/>
      <c r="CQ154" s="1102">
        <f>IF(CO154=0,0,(CP154-CO154)/CO154*100)</f>
        <v>0</v>
      </c>
      <c r="CR154" s="4591"/>
      <c r="CS154" s="4591"/>
      <c r="CT154" s="1102">
        <f>IF(CR154=0,0,(CS154-CR154)/CR154*100)</f>
        <v>0</v>
      </c>
      <c r="CU154" s="4591"/>
      <c r="CV154" s="4591"/>
      <c r="CW154" s="1102">
        <f>IF(CU154=0,0,(CV154-CU154)/CU154*100)</f>
        <v>0</v>
      </c>
      <c r="CX154" s="4591"/>
      <c r="CY154" s="4591"/>
      <c r="CZ154" s="1102">
        <f>IF(CX154=0,0,(CY154-CX154)/CX154*100)</f>
        <v>0</v>
      </c>
      <c r="DA154" s="4591"/>
      <c r="DB154" s="4591"/>
      <c r="DC154" s="1102">
        <f>IF(DA154=0,0,(DB154-DA154)/DA154*100)</f>
        <v>0</v>
      </c>
      <c r="DD154" s="4591"/>
      <c r="DE154" s="4591"/>
      <c r="DF154" s="1102">
        <f>IF(DD154=0,0,(DE154-DD154)/DD154*100)</f>
        <v>0</v>
      </c>
      <c r="DG154" s="4591"/>
      <c r="DH154" s="4591"/>
      <c r="DI154" s="1102">
        <f>IF(DG154=0,0,(DH154-DG154)/DG154*100)</f>
        <v>0</v>
      </c>
      <c r="DJ154" s="4591"/>
      <c r="DK154" s="4591"/>
      <c r="DL154" s="1102">
        <f>IF(DJ154=0,0,(DK154-DJ154)/DJ154*100)</f>
        <v>0</v>
      </c>
      <c r="DM154" s="4591"/>
      <c r="DN154" s="4591"/>
      <c r="DO154" s="1102">
        <f>IF(DM154=0,0,(DN154-DM154)/DM154*100)</f>
        <v>0</v>
      </c>
      <c r="DP154" s="4591"/>
      <c r="DQ154" s="4591"/>
      <c r="DR154" s="1102">
        <f>IF(DP154=0,0,(DQ154-DP154)/DP154*100)</f>
        <v>0</v>
      </c>
      <c r="DS154" s="4591"/>
      <c r="DT154" s="4591"/>
      <c r="DU154" s="1102">
        <f>IF(DS154=0,0,(DT154-DS154)/DS154*100)</f>
        <v>0</v>
      </c>
      <c r="DV154" s="4591"/>
      <c r="DW154" s="4591"/>
      <c r="DX154" s="1102">
        <f>IF(DV154=0,0,(DW154-DV154)/DV154*100)</f>
        <v>0</v>
      </c>
      <c r="DY154" s="4591"/>
      <c r="DZ154" s="4591"/>
      <c r="EA154" s="1102">
        <f>IF(DY154=0,0,(DZ154-DY154)/DY154*100)</f>
        <v>0</v>
      </c>
      <c r="EB154" s="4591"/>
      <c r="EC154" s="4591"/>
      <c r="ED154" s="1102">
        <f>IF(EB154=0,0,(EC154-EB154)/EB154*100)</f>
        <v>0</v>
      </c>
      <c r="EE154" s="4591"/>
      <c r="EF154" s="4591"/>
      <c r="EG154" s="1102">
        <f>IF(EE154=0,0,(EF154-EE154)/EE154*100)</f>
        <v>0</v>
      </c>
      <c r="EH154" s="4591"/>
      <c r="EI154" s="4591"/>
      <c r="EJ154" s="1102">
        <f>IF(EH154=0,0,(EI154-EH154)/EH154*100)</f>
        <v>0</v>
      </c>
      <c r="EK154" s="4591"/>
      <c r="EL154" s="4591"/>
      <c r="EM154" s="1102">
        <f>IF(EK154=0,0,(EL154-EK154)/EK154*100)</f>
        <v>0</v>
      </c>
      <c r="EN154" s="4591"/>
      <c r="EO154" s="4591"/>
      <c r="EP154" s="1102">
        <f>IF(EN154=0,0,(EO154-EN154)/EN154*100)</f>
        <v>0</v>
      </c>
      <c r="EQ154" s="4591"/>
      <c r="ER154" s="4591"/>
      <c r="ES154" s="1102">
        <f>IF(EQ154=0,0,(ER154-EQ154)/EQ154*100)</f>
        <v>0</v>
      </c>
      <c r="ET154" s="4591"/>
      <c r="EU154" s="4591"/>
      <c r="EV154" s="1102">
        <f>IF(ET154=0,0,(EU154-ET154)/ET154*100)</f>
        <v>0</v>
      </c>
      <c r="EW154" s="4591"/>
      <c r="EX154" s="4591"/>
      <c r="EY154" s="1102">
        <f>IF(EW154=0,0,(EX154-EW154)/EW154*100)</f>
        <v>0</v>
      </c>
      <c r="EZ154" s="4591"/>
      <c r="FA154" s="4591"/>
      <c r="FB154" s="1102">
        <f>IF(EZ154=0,0,(FA154-EZ154)/EZ154*100)</f>
        <v>0</v>
      </c>
      <c r="FC154" s="4591"/>
      <c r="FD154" s="4591"/>
      <c r="FE154" s="1102">
        <f>IF(FC154=0,0,(FD154-FC154)/FC154*100)</f>
        <v>0</v>
      </c>
      <c r="FF154" s="4591"/>
      <c r="FG154" s="4591"/>
      <c r="FH154" s="1102">
        <f>IF(FF154=0,0,(FG154-FF154)/FF154*100)</f>
        <v>0</v>
      </c>
      <c r="FI154" s="4591"/>
      <c r="FJ154" s="4591"/>
      <c r="FK154" s="1102">
        <f>IF(FI154=0,0,(FJ154-FI154)/FI154*100)</f>
        <v>0</v>
      </c>
      <c r="FL154" s="4591"/>
      <c r="FM154" s="4591"/>
      <c r="FN154" s="1102">
        <f>IF(FL154=0,0,(FM154-FL154)/FL154*100)</f>
        <v>0</v>
      </c>
      <c r="FO154" s="4591"/>
      <c r="FP154" s="4591"/>
      <c r="FQ154" s="1102">
        <f>IF(FO154=0,0,(FP154-FO154)/FO154*100)</f>
        <v>0</v>
      </c>
      <c r="FR154" s="4591"/>
      <c r="FS154" s="4591"/>
      <c r="FT154" s="1102">
        <f>IF(FR154=0,0,(FS154-FR154)/FR154*100)</f>
        <v>0</v>
      </c>
      <c r="FU154" s="4591"/>
      <c r="FV154" s="4591"/>
      <c r="FW154" s="1102">
        <f>IF(FU154=0,0,(FV154-FU154)/FU154*100)</f>
        <v>0</v>
      </c>
      <c r="FX154" s="1328"/>
      <c r="FY154" s="1328"/>
      <c r="FZ154" s="1063" t="s">
        <v>1924</v>
      </c>
      <c r="GA154" s="1330"/>
      <c r="GB154" s="1330"/>
      <c r="GC154" s="1329"/>
      <c r="GD154" s="1329"/>
    </row>
    <row s="1656" customFormat="1" customHeight="1" ht="14.25" hidden="1">
      <c r="A155" s="496"/>
      <c r="B155" s="932" cm="1" t="str">
        <f t="array" ref="B155:B155">B154</f>
        <v>false</v>
      </c>
      <c r="C155" s="496"/>
      <c r="D155" s="496"/>
      <c r="E155" s="847">
        <v>15</v>
      </c>
      <c r="F155" s="50" cm="1" t="str">
        <f t="array" ref="F155:F155">OFFSET(E155,-1,1)</f>
        <v>1</v>
      </c>
      <c r="G155" s="103" t="s">
        <v>1925</v>
      </c>
      <c r="H155" s="496" t="s">
        <v>1899</v>
      </c>
      <c r="I155" s="496" t="s">
        <v>1879</v>
      </c>
      <c r="J155" s="496"/>
      <c r="K155" s="496"/>
      <c r="L155" s="496"/>
      <c r="M155" s="496"/>
      <c r="N155" s="496"/>
      <c r="O155" s="496"/>
      <c r="P155" s="496"/>
      <c r="Q155" s="496"/>
      <c r="R155" s="496"/>
      <c r="S155" s="496"/>
      <c r="T155" s="468" cm="1" t="str">
        <f t="array" ref="T155:T155">T154</f>
        <v>true</v>
      </c>
      <c r="U155" s="496"/>
      <c r="V155" s="496"/>
      <c r="W155" s="496"/>
      <c r="X155" s="1559"/>
      <c r="Y155" s="496"/>
      <c r="Z155" s="1528"/>
      <c r="AA155" s="496"/>
      <c r="AB155" s="911" t="str">
        <f>"объём "&amp;IF(Q92="Водоснабжение","потребления холодной воды","водоотведения")</f>
        <v>объём потребления холодной воды</v>
      </c>
      <c r="AC155" s="871" t="s">
        <v>657</v>
      </c>
      <c r="AD155" s="4585">
        <f>IF(AND(method_reg="Метод индексации",god&lt;&gt;first_year),_xlfn.SUMIFS(INDEX('Калькуляция (МИ корр)'!$AJ$25:$BC$606,,MATCH(AD$8,'Калькуляция (МИ корр)'!$AJ$8:$BC$8,0)),'Калькуляция (МИ корр)'!$F$25:$F$606,$F155,'Калькуляция (МИ корр)'!$G$25:$G$606,$G155),IF(method_reg="Метод экономически обоснованных расходов",_xlfn.SUMIFS('Калькуляция (МЭОР)'!$AJ$25:$AJ$367,'Калькуляция (МЭОР)'!$F$25:$F$367,$F155,'Калькуляция (МЭОР)'!$G$25:$G$367,$G155),IF(method_reg="Метод сравнения аналогов",_xlfn.SUMIFS('Калькуляция (МСА)'!$AE$25:$AE$103,'Калькуляция (МСА)'!$F$25:$F$103,$F155,'Калькуляция (МСА)'!$G$25:$G$103,$G155),_xlfn.SUMIFS(INDEX('Калькуляция (МИ)'!$AJ$25:$BC$603,,MATCH(AD$8,'Калькуляция (МИ)'!$AJ$8:$BC$8,0)),'Калькуляция (МИ)'!$F$25:$F$603,$F155,'Калькуляция (МИ)'!$G$25:$G$603,$G155))))</f>
        <v>988.5955725</v>
      </c>
      <c r="AE155" s="4585">
        <f>IF(AND(method_reg="Метод индексации",god&lt;&gt;first_year),_xlfn.SUMIFS(INDEX('Калькуляция (МИ корр)'!$AJ$25:$BC$606,,MATCH(AE$8,'Калькуляция (МИ корр)'!$AJ$8:$BC$8,0)),'Калькуляция (МИ корр)'!$F$25:$F$606,$F155,'Калькуляция (МИ корр)'!$G$25:$G$606,$G155),IF(method_reg="Метод экономически обоснованных расходов",_xlfn.SUMIFS('Калькуляция (МЭОР)'!$AK$25:$AK$367,'Калькуляция (МЭОР)'!$F$25:$F$367,$F155,'Калькуляция (МЭОР)'!$G$25:$G$367,$G155),IF(method_reg="Метод сравнения аналогов",_xlfn.SUMIFS('Калькуляция (МСА)'!$AF$25:$AF$103,'Калькуляция (МСА)'!$F$25:$F$103,$F155,'Калькуляция (МСА)'!$G$25:$G$103,$G155),_xlfn.SUMIFS(INDEX('Калькуляция (МИ)'!$AJ$25:$BC$603,,MATCH(AE$8,'Калькуляция (МИ)'!$AJ$8:$BC$8,0)),'Калькуляция (МИ)'!$F$25:$F$603,$F155,'Калькуляция (МИ)'!$G$25:$G$603,$G155))))</f>
        <v>1042.56811</v>
      </c>
      <c r="AF155" s="1104">
        <f>IF(AD155=0,0,(AE155-AD155)/AD155*100)</f>
        <v>5.45951640907232</v>
      </c>
      <c r="AG155" s="4585">
        <f>IF(AND(method_reg="Метод индексации",god&lt;&gt;first_year),_xlfn.SUMIFS(INDEX('Калькуляция (МИ корр)'!$AJ$25:$BC$606,,MATCH(AG$8,'Калькуляция (МИ корр)'!$AJ$8:$BC$8,0)),'Калькуляция (МИ корр)'!$F$25:$F$606,$F155,'Калькуляция (МИ корр)'!$G$25:$G$606,$G155),IF(method_reg="Метод экономически обоснованных расходов",_xlfn.SUMIFS('Калькуляция (МЭОР)'!$AJ$25:$AJ$367,'Калькуляция (МЭОР)'!$F$25:$F$367,$F155,'Калькуляция (МЭОР)'!$G$25:$G$367,$G155),IF(method_reg="Метод сравнения аналогов",_xlfn.SUMIFS('Калькуляция (МСА)'!$AE$25:$AE$103,'Калькуляция (МСА)'!$F$25:$F$103,$F155,'Калькуляция (МСА)'!$G$25:$G$103,$G155),_xlfn.SUMIFS(INDEX('Калькуляция (МИ)'!$AJ$25:$BC$603,,MATCH(AG$8,'Калькуляция (МИ)'!$AJ$8:$BC$8,0)),'Калькуляция (МИ)'!$F$25:$F$603,$F155,'Калькуляция (МИ)'!$G$25:$G$603,$G155))))</f>
        <v>0</v>
      </c>
      <c r="AH155" s="4585">
        <f>IF(AND(method_reg="Метод индексации",god&lt;&gt;first_year),_xlfn.SUMIFS(INDEX('Калькуляция (МИ корр)'!$AJ$25:$BC$606,,MATCH(AH$8,'Калькуляция (МИ корр)'!$AJ$8:$BC$8,0)),'Калькуляция (МИ корр)'!$F$25:$F$606,$F155,'Калькуляция (МИ корр)'!$G$25:$G$606,$G155),IF(method_reg="Метод экономически обоснованных расходов",_xlfn.SUMIFS('Калькуляция (МЭОР)'!$AK$25:$AK$367,'Калькуляция (МЭОР)'!$F$25:$F$367,$F155,'Калькуляция (МЭОР)'!$G$25:$G$367,$G155),IF(method_reg="Метод сравнения аналогов",_xlfn.SUMIFS('Калькуляция (МСА)'!$AF$25:$AF$103,'Калькуляция (МСА)'!$F$25:$F$103,$F155,'Калькуляция (МСА)'!$G$25:$G$103,$G155),_xlfn.SUMIFS(INDEX('Калькуляция (МИ)'!$AJ$25:$BC$603,,MATCH(AH$8,'Калькуляция (МИ)'!$AJ$8:$BC$8,0)),'Калькуляция (МИ)'!$F$25:$F$603,$F155,'Калькуляция (МИ)'!$G$25:$G$603,$G155))))</f>
        <v>0</v>
      </c>
      <c r="AI155" s="1104">
        <f>IF(AG155=0,0,(AH155-AG155)/AG155*100)</f>
        <v>0</v>
      </c>
      <c r="AJ155" s="4585">
        <f>IF(AND(method_reg="Метод индексации",god&lt;&gt;first_year),_xlfn.SUMIFS(INDEX('Калькуляция (МИ корр)'!$AJ$25:$BC$606,,MATCH(AJ$8,'Калькуляция (МИ корр)'!$AJ$8:$BC$8,0)),'Калькуляция (МИ корр)'!$F$25:$F$606,$F155,'Калькуляция (МИ корр)'!$G$25:$G$606,$G155),IF(method_reg="Метод экономически обоснованных расходов",_xlfn.SUMIFS('Калькуляция (МЭОР)'!$AJ$25:$AJ$367,'Калькуляция (МЭОР)'!$F$25:$F$367,$F155,'Калькуляция (МЭОР)'!$G$25:$G$367,$G155),IF(method_reg="Метод сравнения аналогов",_xlfn.SUMIFS('Калькуляция (МСА)'!$AE$25:$AE$103,'Калькуляция (МСА)'!$F$25:$F$103,$F155,'Калькуляция (МСА)'!$G$25:$G$103,$G155),_xlfn.SUMIFS(INDEX('Калькуляция (МИ)'!$AJ$25:$BC$603,,MATCH(AJ$8,'Калькуляция (МИ)'!$AJ$8:$BC$8,0)),'Калькуляция (МИ)'!$F$25:$F$603,$F155,'Калькуляция (МИ)'!$G$25:$G$603,$G155))))</f>
        <v>0</v>
      </c>
      <c r="AK155" s="4585">
        <f>IF(AND(method_reg="Метод индексации",god&lt;&gt;first_year),_xlfn.SUMIFS(INDEX('Калькуляция (МИ корр)'!$AJ$25:$BC$606,,MATCH(AK$8,'Калькуляция (МИ корр)'!$AJ$8:$BC$8,0)),'Калькуляция (МИ корр)'!$F$25:$F$606,$F155,'Калькуляция (МИ корр)'!$G$25:$G$606,$G155),IF(method_reg="Метод экономически обоснованных расходов",_xlfn.SUMIFS('Калькуляция (МЭОР)'!$AK$25:$AK$367,'Калькуляция (МЭОР)'!$F$25:$F$367,$F155,'Калькуляция (МЭОР)'!$G$25:$G$367,$G155),IF(method_reg="Метод сравнения аналогов",_xlfn.SUMIFS('Калькуляция (МСА)'!$AF$25:$AF$103,'Калькуляция (МСА)'!$F$25:$F$103,$F155,'Калькуляция (МСА)'!$G$25:$G$103,$G155),_xlfn.SUMIFS(INDEX('Калькуляция (МИ)'!$AJ$25:$BC$603,,MATCH(AK$8,'Калькуляция (МИ)'!$AJ$8:$BC$8,0)),'Калькуляция (МИ)'!$F$25:$F$603,$F155,'Калькуляция (МИ)'!$G$25:$G$603,$G155))))</f>
        <v>0</v>
      </c>
      <c r="AL155" s="1104">
        <f>IF(AJ155=0,0,(AK155-AJ155)/AJ155*100)</f>
        <v>0</v>
      </c>
      <c r="AM155" s="4585">
        <f>IF(AND(method_reg="Метод индексации",god&lt;&gt;first_year),_xlfn.SUMIFS(INDEX('Калькуляция (МИ корр)'!$AJ$25:$BC$606,,MATCH(AM$8,'Калькуляция (МИ корр)'!$AJ$8:$BC$8,0)),'Калькуляция (МИ корр)'!$F$25:$F$606,$F155,'Калькуляция (МИ корр)'!$G$25:$G$606,$G155),IF(method_reg="Метод экономически обоснованных расходов",_xlfn.SUMIFS('Калькуляция (МЭОР)'!$AJ$25:$AJ$367,'Калькуляция (МЭОР)'!$F$25:$F$367,$F155,'Калькуляция (МЭОР)'!$G$25:$G$367,$G155),IF(method_reg="Метод сравнения аналогов",_xlfn.SUMIFS('Калькуляция (МСА)'!$AE$25:$AE$103,'Калькуляция (МСА)'!$F$25:$F$103,$F155,'Калькуляция (МСА)'!$G$25:$G$103,$G155),_xlfn.SUMIFS(INDEX('Калькуляция (МИ)'!$AJ$25:$BC$603,,MATCH(AM$8,'Калькуляция (МИ)'!$AJ$8:$BC$8,0)),'Калькуляция (МИ)'!$F$25:$F$603,$F155,'Калькуляция (МИ)'!$G$25:$G$603,$G155))))</f>
        <v>0</v>
      </c>
      <c r="AN155" s="4585">
        <f>IF(AND(method_reg="Метод индексации",god&lt;&gt;first_year),_xlfn.SUMIFS(INDEX('Калькуляция (МИ корр)'!$AJ$25:$BC$606,,MATCH(AN$8,'Калькуляция (МИ корр)'!$AJ$8:$BC$8,0)),'Калькуляция (МИ корр)'!$F$25:$F$606,$F155,'Калькуляция (МИ корр)'!$G$25:$G$606,$G155),IF(method_reg="Метод экономически обоснованных расходов",_xlfn.SUMIFS('Калькуляция (МЭОР)'!$AK$25:$AK$367,'Калькуляция (МЭОР)'!$F$25:$F$367,$F155,'Калькуляция (МЭОР)'!$G$25:$G$367,$G155),IF(method_reg="Метод сравнения аналогов",_xlfn.SUMIFS('Калькуляция (МСА)'!$AF$25:$AF$103,'Калькуляция (МСА)'!$F$25:$F$103,$F155,'Калькуляция (МСА)'!$G$25:$G$103,$G155),_xlfn.SUMIFS(INDEX('Калькуляция (МИ)'!$AJ$25:$BC$603,,MATCH(AN$8,'Калькуляция (МИ)'!$AJ$8:$BC$8,0)),'Калькуляция (МИ)'!$F$25:$F$603,$F155,'Калькуляция (МИ)'!$G$25:$G$603,$G155))))</f>
        <v>0</v>
      </c>
      <c r="AO155" s="1104">
        <f>IF(AM155=0,0,(AN155-AM155)/AM155*100)</f>
        <v>0</v>
      </c>
      <c r="AP155" s="4585">
        <f>IF(AND(method_reg="Метод индексации",god&lt;&gt;first_year),_xlfn.SUMIFS(INDEX('Калькуляция (МИ корр)'!$AJ$25:$BC$606,,MATCH(AP$8,'Калькуляция (МИ корр)'!$AJ$8:$BC$8,0)),'Калькуляция (МИ корр)'!$F$25:$F$606,$F155,'Калькуляция (МИ корр)'!$G$25:$G$606,$G155),IF(method_reg="Метод экономически обоснованных расходов",_xlfn.SUMIFS('Калькуляция (МЭОР)'!$AJ$25:$AJ$367,'Калькуляция (МЭОР)'!$F$25:$F$367,$F155,'Калькуляция (МЭОР)'!$G$25:$G$367,$G155),IF(method_reg="Метод сравнения аналогов",_xlfn.SUMIFS('Калькуляция (МСА)'!$AE$25:$AE$103,'Калькуляция (МСА)'!$F$25:$F$103,$F155,'Калькуляция (МСА)'!$G$25:$G$103,$G155),_xlfn.SUMIFS(INDEX('Калькуляция (МИ)'!$AJ$25:$BC$603,,MATCH(AP$8,'Калькуляция (МИ)'!$AJ$8:$BC$8,0)),'Калькуляция (МИ)'!$F$25:$F$603,$F155,'Калькуляция (МИ)'!$G$25:$G$603,$G155))))</f>
        <v>0</v>
      </c>
      <c r="AQ155" s="4585">
        <f>IF(AND(method_reg="Метод индексации",god&lt;&gt;first_year),_xlfn.SUMIFS(INDEX('Калькуляция (МИ корр)'!$AJ$25:$BC$606,,MATCH(AQ$8,'Калькуляция (МИ корр)'!$AJ$8:$BC$8,0)),'Калькуляция (МИ корр)'!$F$25:$F$606,$F155,'Калькуляция (МИ корр)'!$G$25:$G$606,$G155),IF(method_reg="Метод экономически обоснованных расходов",_xlfn.SUMIFS('Калькуляция (МЭОР)'!$AK$25:$AK$367,'Калькуляция (МЭОР)'!$F$25:$F$367,$F155,'Калькуляция (МЭОР)'!$G$25:$G$367,$G155),IF(method_reg="Метод сравнения аналогов",_xlfn.SUMIFS('Калькуляция (МСА)'!$AF$25:$AF$103,'Калькуляция (МСА)'!$F$25:$F$103,$F155,'Калькуляция (МСА)'!$G$25:$G$103,$G155),_xlfn.SUMIFS(INDEX('Калькуляция (МИ)'!$AJ$25:$BC$603,,MATCH(AQ$8,'Калькуляция (МИ)'!$AJ$8:$BC$8,0)),'Калькуляция (МИ)'!$F$25:$F$603,$F155,'Калькуляция (МИ)'!$G$25:$G$603,$G155))))</f>
        <v>0</v>
      </c>
      <c r="AR155" s="1104">
        <f>IF(AP155=0,0,(AQ155-AP155)/AP155*100)</f>
        <v>0</v>
      </c>
      <c r="AS155" s="4585">
        <f>IF(AND(method_reg="Метод индексации",god&lt;&gt;first_year),_xlfn.SUMIFS(INDEX('Калькуляция (МИ корр)'!$AJ$25:$BC$606,,MATCH(AS$8,'Калькуляция (МИ корр)'!$AJ$8:$BC$8,0)),'Калькуляция (МИ корр)'!$F$25:$F$606,$F155,'Калькуляция (МИ корр)'!$G$25:$G$606,$G155),IF(method_reg="Метод экономически обоснованных расходов",_xlfn.SUMIFS('Калькуляция (МЭОР)'!$AJ$25:$AJ$367,'Калькуляция (МЭОР)'!$F$25:$F$367,$F155,'Калькуляция (МЭОР)'!$G$25:$G$367,$G155),IF(method_reg="Метод сравнения аналогов",_xlfn.SUMIFS('Калькуляция (МСА)'!$AE$25:$AE$103,'Калькуляция (МСА)'!$F$25:$F$103,$F155,'Калькуляция (МСА)'!$G$25:$G$103,$G155),_xlfn.SUMIFS(INDEX('Калькуляция (МИ)'!$AJ$25:$BC$603,,MATCH(AS$8,'Калькуляция (МИ)'!$AJ$8:$BC$8,0)),'Калькуляция (МИ)'!$F$25:$F$603,$F155,'Калькуляция (МИ)'!$G$25:$G$603,$G155))))</f>
        <v>0</v>
      </c>
      <c r="AT155" s="4585">
        <f>IF(AND(method_reg="Метод индексации",god&lt;&gt;first_year),_xlfn.SUMIFS(INDEX('Калькуляция (МИ корр)'!$AJ$25:$BC$606,,MATCH(AT$8,'Калькуляция (МИ корр)'!$AJ$8:$BC$8,0)),'Калькуляция (МИ корр)'!$F$25:$F$606,$F155,'Калькуляция (МИ корр)'!$G$25:$G$606,$G155),IF(method_reg="Метод экономически обоснованных расходов",_xlfn.SUMIFS('Калькуляция (МЭОР)'!$AK$25:$AK$367,'Калькуляция (МЭОР)'!$F$25:$F$367,$F155,'Калькуляция (МЭОР)'!$G$25:$G$367,$G155),IF(method_reg="Метод сравнения аналогов",_xlfn.SUMIFS('Калькуляция (МСА)'!$AF$25:$AF$103,'Калькуляция (МСА)'!$F$25:$F$103,$F155,'Калькуляция (МСА)'!$G$25:$G$103,$G155),_xlfn.SUMIFS(INDEX('Калькуляция (МИ)'!$AJ$25:$BC$603,,MATCH(AT$8,'Калькуляция (МИ)'!$AJ$8:$BC$8,0)),'Калькуляция (МИ)'!$F$25:$F$603,$F155,'Калькуляция (МИ)'!$G$25:$G$603,$G155))))</f>
        <v>0</v>
      </c>
      <c r="AU155" s="1104">
        <f>IF(AS155=0,0,(AT155-AS155)/AS155*100)</f>
        <v>0</v>
      </c>
      <c r="AV155" s="4585">
        <f>IF(AND(method_reg="Метод индексации",god&lt;&gt;first_year),_xlfn.SUMIFS(INDEX('Калькуляция (МИ корр)'!$AJ$25:$BC$606,,MATCH(AV$8,'Калькуляция (МИ корр)'!$AJ$8:$BC$8,0)),'Калькуляция (МИ корр)'!$F$25:$F$606,$F155,'Калькуляция (МИ корр)'!$G$25:$G$606,$G155),IF(method_reg="Метод экономически обоснованных расходов",_xlfn.SUMIFS('Калькуляция (МЭОР)'!$AJ$25:$AJ$367,'Калькуляция (МЭОР)'!$F$25:$F$367,$F155,'Калькуляция (МЭОР)'!$G$25:$G$367,$G155),IF(method_reg="Метод сравнения аналогов",_xlfn.SUMIFS('Калькуляция (МСА)'!$AE$25:$AE$103,'Калькуляция (МСА)'!$F$25:$F$103,$F155,'Калькуляция (МСА)'!$G$25:$G$103,$G155),_xlfn.SUMIFS(INDEX('Калькуляция (МИ)'!$AJ$25:$BC$603,,MATCH(AV$8,'Калькуляция (МИ)'!$AJ$8:$BC$8,0)),'Калькуляция (МИ)'!$F$25:$F$603,$F155,'Калькуляция (МИ)'!$G$25:$G$603,$G155))))</f>
        <v>0</v>
      </c>
      <c r="AW155" s="4585">
        <f>IF(AND(method_reg="Метод индексации",god&lt;&gt;first_year),_xlfn.SUMIFS(INDEX('Калькуляция (МИ корр)'!$AJ$25:$BC$606,,MATCH(AW$8,'Калькуляция (МИ корр)'!$AJ$8:$BC$8,0)),'Калькуляция (МИ корр)'!$F$25:$F$606,$F155,'Калькуляция (МИ корр)'!$G$25:$G$606,$G155),IF(method_reg="Метод экономически обоснованных расходов",_xlfn.SUMIFS('Калькуляция (МЭОР)'!$AK$25:$AK$367,'Калькуляция (МЭОР)'!$F$25:$F$367,$F155,'Калькуляция (МЭОР)'!$G$25:$G$367,$G155),IF(method_reg="Метод сравнения аналогов",_xlfn.SUMIFS('Калькуляция (МСА)'!$AF$25:$AF$103,'Калькуляция (МСА)'!$F$25:$F$103,$F155,'Калькуляция (МСА)'!$G$25:$G$103,$G155),_xlfn.SUMIFS(INDEX('Калькуляция (МИ)'!$AJ$25:$BC$603,,MATCH(AW$8,'Калькуляция (МИ)'!$AJ$8:$BC$8,0)),'Калькуляция (МИ)'!$F$25:$F$603,$F155,'Калькуляция (МИ)'!$G$25:$G$603,$G155))))</f>
        <v>0</v>
      </c>
      <c r="AX155" s="1104">
        <f>IF(AV155=0,0,(AW155-AV155)/AV155*100)</f>
        <v>0</v>
      </c>
      <c r="AY155" s="4585">
        <f>IF(AND(method_reg="Метод индексации",god&lt;&gt;first_year),_xlfn.SUMIFS(INDEX('Калькуляция (МИ корр)'!$AJ$25:$BC$606,,MATCH(AY$8,'Калькуляция (МИ корр)'!$AJ$8:$BC$8,0)),'Калькуляция (МИ корр)'!$F$25:$F$606,$F155,'Калькуляция (МИ корр)'!$G$25:$G$606,$G155),IF(method_reg="Метод экономически обоснованных расходов",_xlfn.SUMIFS('Калькуляция (МЭОР)'!$AJ$25:$AJ$367,'Калькуляция (МЭОР)'!$F$25:$F$367,$F155,'Калькуляция (МЭОР)'!$G$25:$G$367,$G155),IF(method_reg="Метод сравнения аналогов",_xlfn.SUMIFS('Калькуляция (МСА)'!$AE$25:$AE$103,'Калькуляция (МСА)'!$F$25:$F$103,$F155,'Калькуляция (МСА)'!$G$25:$G$103,$G155),_xlfn.SUMIFS(INDEX('Калькуляция (МИ)'!$AJ$25:$BC$603,,MATCH(AY$8,'Калькуляция (МИ)'!$AJ$8:$BC$8,0)),'Калькуляция (МИ)'!$F$25:$F$603,$F155,'Калькуляция (МИ)'!$G$25:$G$603,$G155))))</f>
        <v>0</v>
      </c>
      <c r="AZ155" s="4585">
        <f>IF(AND(method_reg="Метод индексации",god&lt;&gt;first_year),_xlfn.SUMIFS(INDEX('Калькуляция (МИ корр)'!$AJ$25:$BC$606,,MATCH(AZ$8,'Калькуляция (МИ корр)'!$AJ$8:$BC$8,0)),'Калькуляция (МИ корр)'!$F$25:$F$606,$F155,'Калькуляция (МИ корр)'!$G$25:$G$606,$G155),IF(method_reg="Метод экономически обоснованных расходов",_xlfn.SUMIFS('Калькуляция (МЭОР)'!$AK$25:$AK$367,'Калькуляция (МЭОР)'!$F$25:$F$367,$F155,'Калькуляция (МЭОР)'!$G$25:$G$367,$G155),IF(method_reg="Метод сравнения аналогов",_xlfn.SUMIFS('Калькуляция (МСА)'!$AF$25:$AF$103,'Калькуляция (МСА)'!$F$25:$F$103,$F155,'Калькуляция (МСА)'!$G$25:$G$103,$G155),_xlfn.SUMIFS(INDEX('Калькуляция (МИ)'!$AJ$25:$BC$603,,MATCH(AZ$8,'Калькуляция (МИ)'!$AJ$8:$BC$8,0)),'Калькуляция (МИ)'!$F$25:$F$603,$F155,'Калькуляция (МИ)'!$G$25:$G$603,$G155))))</f>
        <v>0</v>
      </c>
      <c r="BA155" s="1104">
        <f>IF(AY155=0,0,(AZ155-AY155)/AY155*100)</f>
        <v>0</v>
      </c>
      <c r="BB155" s="4585">
        <f>IF(AND(method_reg="Метод индексации",god&lt;&gt;first_year),_xlfn.SUMIFS(INDEX('Калькуляция (МИ корр)'!$AJ$25:$BC$606,,MATCH(BB$8,'Калькуляция (МИ корр)'!$AJ$8:$BC$8,0)),'Калькуляция (МИ корр)'!$F$25:$F$606,$F155,'Калькуляция (МИ корр)'!$G$25:$G$606,$G155),IF(method_reg="Метод экономически обоснованных расходов",_xlfn.SUMIFS('Калькуляция (МЭОР)'!$AJ$25:$AJ$367,'Калькуляция (МЭОР)'!$F$25:$F$367,$F155,'Калькуляция (МЭОР)'!$G$25:$G$367,$G155),IF(method_reg="Метод сравнения аналогов",_xlfn.SUMIFS('Калькуляция (МСА)'!$AE$25:$AE$103,'Калькуляция (МСА)'!$F$25:$F$103,$F155,'Калькуляция (МСА)'!$G$25:$G$103,$G155),_xlfn.SUMIFS(INDEX('Калькуляция (МИ)'!$AJ$25:$BC$603,,MATCH(BB$8,'Калькуляция (МИ)'!$AJ$8:$BC$8,0)),'Калькуляция (МИ)'!$F$25:$F$603,$F155,'Калькуляция (МИ)'!$G$25:$G$603,$G155))))</f>
        <v>0</v>
      </c>
      <c r="BC155" s="4585">
        <f>IF(AND(method_reg="Метод индексации",god&lt;&gt;first_year),_xlfn.SUMIFS(INDEX('Калькуляция (МИ корр)'!$AJ$25:$BC$606,,MATCH(BC$8,'Калькуляция (МИ корр)'!$AJ$8:$BC$8,0)),'Калькуляция (МИ корр)'!$F$25:$F$606,$F155,'Калькуляция (МИ корр)'!$G$25:$G$606,$G155),IF(method_reg="Метод экономически обоснованных расходов",_xlfn.SUMIFS('Калькуляция (МЭОР)'!$AK$25:$AK$367,'Калькуляция (МЭОР)'!$F$25:$F$367,$F155,'Калькуляция (МЭОР)'!$G$25:$G$367,$G155),IF(method_reg="Метод сравнения аналогов",_xlfn.SUMIFS('Калькуляция (МСА)'!$AF$25:$AF$103,'Калькуляция (МСА)'!$F$25:$F$103,$F155,'Калькуляция (МСА)'!$G$25:$G$103,$G155),_xlfn.SUMIFS(INDEX('Калькуляция (МИ)'!$AJ$25:$BC$603,,MATCH(BC$8,'Калькуляция (МИ)'!$AJ$8:$BC$8,0)),'Калькуляция (МИ)'!$F$25:$F$603,$F155,'Калькуляция (МИ)'!$G$25:$G$603,$G155))))</f>
        <v>0</v>
      </c>
      <c r="BD155" s="1104">
        <f>IF(BB155=0,0,(BC155-BB155)/BB155*100)</f>
        <v>0</v>
      </c>
      <c r="BE155" s="4585">
        <f>IF(AND(method_reg="Метод индексации",god&lt;&gt;first_year),_xlfn.SUMIFS(INDEX('Калькуляция (МИ корр)'!$AJ$25:$BC$606,,MATCH(BE$8,'Калькуляция (МИ корр)'!$AJ$8:$BC$8,0)),'Калькуляция (МИ корр)'!$F$25:$F$606,$F155,'Калькуляция (МИ корр)'!$G$25:$G$606,$G155),IF(method_reg="Метод экономически обоснованных расходов",_xlfn.SUMIFS('Калькуляция (МЭОР)'!$AJ$25:$AJ$367,'Калькуляция (МЭОР)'!$F$25:$F$367,$F155,'Калькуляция (МЭОР)'!$G$25:$G$367,$G155),IF(method_reg="Метод сравнения аналогов",_xlfn.SUMIFS('Калькуляция (МСА)'!$AE$25:$AE$103,'Калькуляция (МСА)'!$F$25:$F$103,$F155,'Калькуляция (МСА)'!$G$25:$G$103,$G155),_xlfn.SUMIFS(INDEX('Калькуляция (МИ)'!$AJ$25:$BC$603,,MATCH(BE$8,'Калькуляция (МИ)'!$AJ$8:$BC$8,0)),'Калькуляция (МИ)'!$F$25:$F$603,$F155,'Калькуляция (МИ)'!$G$25:$G$603,$G155))))</f>
        <v>0</v>
      </c>
      <c r="BF155" s="4585">
        <f>IF(AND(method_reg="Метод индексации",god&lt;&gt;first_year),_xlfn.SUMIFS(INDEX('Калькуляция (МИ корр)'!$AJ$25:$BC$606,,MATCH(BF$8,'Калькуляция (МИ корр)'!$AJ$8:$BC$8,0)),'Калькуляция (МИ корр)'!$F$25:$F$606,$F155,'Калькуляция (МИ корр)'!$G$25:$G$606,$G155),IF(method_reg="Метод экономически обоснованных расходов",_xlfn.SUMIFS('Калькуляция (МЭОР)'!$AK$25:$AK$367,'Калькуляция (МЭОР)'!$F$25:$F$367,$F155,'Калькуляция (МЭОР)'!$G$25:$G$367,$G155),IF(method_reg="Метод сравнения аналогов",_xlfn.SUMIFS('Калькуляция (МСА)'!$AF$25:$AF$103,'Калькуляция (МСА)'!$F$25:$F$103,$F155,'Калькуляция (МСА)'!$G$25:$G$103,$G155),_xlfn.SUMIFS(INDEX('Калькуляция (МИ)'!$AJ$25:$BC$603,,MATCH(BF$8,'Калькуляция (МИ)'!$AJ$8:$BC$8,0)),'Калькуляция (МИ)'!$F$25:$F$603,$F155,'Калькуляция (МИ)'!$G$25:$G$603,$G155))))</f>
        <v>0</v>
      </c>
      <c r="BG155" s="1104">
        <f>IF(BE155=0,0,(BF155-BE155)/BE155*100)</f>
        <v>0</v>
      </c>
      <c r="BH155" s="4585"/>
      <c r="BI155" s="4585"/>
      <c r="BJ155" s="1104">
        <f>IF(BH155=0,0,(BI155-BH155)/BH155*100)</f>
        <v>0</v>
      </c>
      <c r="BK155" s="4585"/>
      <c r="BL155" s="4585"/>
      <c r="BM155" s="1104">
        <f>IF(BK155=0,0,(BL155-BK155)/BK155*100)</f>
        <v>0</v>
      </c>
      <c r="BN155" s="4585"/>
      <c r="BO155" s="4585"/>
      <c r="BP155" s="1104">
        <f>IF(BN155=0,0,(BO155-BN155)/BN155*100)</f>
        <v>0</v>
      </c>
      <c r="BQ155" s="4585"/>
      <c r="BR155" s="4585"/>
      <c r="BS155" s="1104">
        <f>IF(BQ155=0,0,(BR155-BQ155)/BQ155*100)</f>
        <v>0</v>
      </c>
      <c r="BT155" s="4585"/>
      <c r="BU155" s="4585"/>
      <c r="BV155" s="1104">
        <f>IF(BT155=0,0,(BU155-BT155)/BT155*100)</f>
        <v>0</v>
      </c>
      <c r="BW155" s="4585"/>
      <c r="BX155" s="4585"/>
      <c r="BY155" s="1104">
        <f>IF(BW155=0,0,(BX155-BW155)/BW155*100)</f>
        <v>0</v>
      </c>
      <c r="BZ155" s="4585"/>
      <c r="CA155" s="4585"/>
      <c r="CB155" s="1104">
        <f>IF(BZ155=0,0,(CA155-BZ155)/BZ155*100)</f>
        <v>0</v>
      </c>
      <c r="CC155" s="4585"/>
      <c r="CD155" s="4585"/>
      <c r="CE155" s="1104">
        <f>IF(CC155=0,0,(CD155-CC155)/CC155*100)</f>
        <v>0</v>
      </c>
      <c r="CF155" s="4585"/>
      <c r="CG155" s="4585"/>
      <c r="CH155" s="1104">
        <f>IF(CF155=0,0,(CG155-CF155)/CF155*100)</f>
        <v>0</v>
      </c>
      <c r="CI155" s="4585"/>
      <c r="CJ155" s="4585"/>
      <c r="CK155" s="1104">
        <f>IF(CI155=0,0,(CJ155-CI155)/CI155*100)</f>
        <v>0</v>
      </c>
      <c r="CL155" s="4585"/>
      <c r="CM155" s="4585"/>
      <c r="CN155" s="1104">
        <f>IF(CL155=0,0,(CM155-CL155)/CL155*100)</f>
        <v>0</v>
      </c>
      <c r="CO155" s="4585"/>
      <c r="CP155" s="4585"/>
      <c r="CQ155" s="1104">
        <f>IF(CO155=0,0,(CP155-CO155)/CO155*100)</f>
        <v>0</v>
      </c>
      <c r="CR155" s="4585"/>
      <c r="CS155" s="4585"/>
      <c r="CT155" s="1104">
        <f>IF(CR155=0,0,(CS155-CR155)/CR155*100)</f>
        <v>0</v>
      </c>
      <c r="CU155" s="4585"/>
      <c r="CV155" s="4585"/>
      <c r="CW155" s="1104">
        <f>IF(CU155=0,0,(CV155-CU155)/CU155*100)</f>
        <v>0</v>
      </c>
      <c r="CX155" s="4585"/>
      <c r="CY155" s="4585"/>
      <c r="CZ155" s="1104">
        <f>IF(CX155=0,0,(CY155-CX155)/CX155*100)</f>
        <v>0</v>
      </c>
      <c r="DA155" s="4585"/>
      <c r="DB155" s="4585"/>
      <c r="DC155" s="1104">
        <f>IF(DA155=0,0,(DB155-DA155)/DA155*100)</f>
        <v>0</v>
      </c>
      <c r="DD155" s="4585"/>
      <c r="DE155" s="4585"/>
      <c r="DF155" s="1104">
        <f>IF(DD155=0,0,(DE155-DD155)/DD155*100)</f>
        <v>0</v>
      </c>
      <c r="DG155" s="4585"/>
      <c r="DH155" s="4585"/>
      <c r="DI155" s="1104">
        <f>IF(DG155=0,0,(DH155-DG155)/DG155*100)</f>
        <v>0</v>
      </c>
      <c r="DJ155" s="4585"/>
      <c r="DK155" s="4585"/>
      <c r="DL155" s="1104">
        <f>IF(DJ155=0,0,(DK155-DJ155)/DJ155*100)</f>
        <v>0</v>
      </c>
      <c r="DM155" s="4585"/>
      <c r="DN155" s="4585"/>
      <c r="DO155" s="1104">
        <f>IF(DM155=0,0,(DN155-DM155)/DM155*100)</f>
        <v>0</v>
      </c>
      <c r="DP155" s="4585"/>
      <c r="DQ155" s="4585"/>
      <c r="DR155" s="1104">
        <f>IF(DP155=0,0,(DQ155-DP155)/DP155*100)</f>
        <v>0</v>
      </c>
      <c r="DS155" s="4585"/>
      <c r="DT155" s="4585"/>
      <c r="DU155" s="1104">
        <f>IF(DS155=0,0,(DT155-DS155)/DS155*100)</f>
        <v>0</v>
      </c>
      <c r="DV155" s="4585"/>
      <c r="DW155" s="4585"/>
      <c r="DX155" s="1104">
        <f>IF(DV155=0,0,(DW155-DV155)/DV155*100)</f>
        <v>0</v>
      </c>
      <c r="DY155" s="4585"/>
      <c r="DZ155" s="4585"/>
      <c r="EA155" s="1104">
        <f>IF(DY155=0,0,(DZ155-DY155)/DY155*100)</f>
        <v>0</v>
      </c>
      <c r="EB155" s="4585"/>
      <c r="EC155" s="4585"/>
      <c r="ED155" s="1104">
        <f>IF(EB155=0,0,(EC155-EB155)/EB155*100)</f>
        <v>0</v>
      </c>
      <c r="EE155" s="4585"/>
      <c r="EF155" s="4585"/>
      <c r="EG155" s="1104">
        <f>IF(EE155=0,0,(EF155-EE155)/EE155*100)</f>
        <v>0</v>
      </c>
      <c r="EH155" s="4585"/>
      <c r="EI155" s="4585"/>
      <c r="EJ155" s="1104">
        <f>IF(EH155=0,0,(EI155-EH155)/EH155*100)</f>
        <v>0</v>
      </c>
      <c r="EK155" s="4585"/>
      <c r="EL155" s="4585"/>
      <c r="EM155" s="1104">
        <f>IF(EK155=0,0,(EL155-EK155)/EK155*100)</f>
        <v>0</v>
      </c>
      <c r="EN155" s="4585"/>
      <c r="EO155" s="4585"/>
      <c r="EP155" s="1104">
        <f>IF(EN155=0,0,(EO155-EN155)/EN155*100)</f>
        <v>0</v>
      </c>
      <c r="EQ155" s="4585"/>
      <c r="ER155" s="4585"/>
      <c r="ES155" s="1104">
        <f>IF(EQ155=0,0,(ER155-EQ155)/EQ155*100)</f>
        <v>0</v>
      </c>
      <c r="ET155" s="4585"/>
      <c r="EU155" s="4585"/>
      <c r="EV155" s="1104">
        <f>IF(ET155=0,0,(EU155-ET155)/ET155*100)</f>
        <v>0</v>
      </c>
      <c r="EW155" s="4585"/>
      <c r="EX155" s="4585"/>
      <c r="EY155" s="1104">
        <f>IF(EW155=0,0,(EX155-EW155)/EW155*100)</f>
        <v>0</v>
      </c>
      <c r="EZ155" s="4585"/>
      <c r="FA155" s="4585"/>
      <c r="FB155" s="1104">
        <f>IF(EZ155=0,0,(FA155-EZ155)/EZ155*100)</f>
        <v>0</v>
      </c>
      <c r="FC155" s="4585"/>
      <c r="FD155" s="4585"/>
      <c r="FE155" s="1104">
        <f>IF(FC155=0,0,(FD155-FC155)/FC155*100)</f>
        <v>0</v>
      </c>
      <c r="FF155" s="4585"/>
      <c r="FG155" s="4585"/>
      <c r="FH155" s="1104">
        <f>IF(FF155=0,0,(FG155-FF155)/FF155*100)</f>
        <v>0</v>
      </c>
      <c r="FI155" s="4585"/>
      <c r="FJ155" s="4585"/>
      <c r="FK155" s="1104">
        <f>IF(FI155=0,0,(FJ155-FI155)/FI155*100)</f>
        <v>0</v>
      </c>
      <c r="FL155" s="4585"/>
      <c r="FM155" s="4585"/>
      <c r="FN155" s="1104">
        <f>IF(FL155=0,0,(FM155-FL155)/FL155*100)</f>
        <v>0</v>
      </c>
      <c r="FO155" s="4585"/>
      <c r="FP155" s="4585"/>
      <c r="FQ155" s="1104">
        <f>IF(FO155=0,0,(FP155-FO155)/FO155*100)</f>
        <v>0</v>
      </c>
      <c r="FR155" s="4585"/>
      <c r="FS155" s="4585"/>
      <c r="FT155" s="1104">
        <f>IF(FR155=0,0,(FS155-FR155)/FR155*100)</f>
        <v>0</v>
      </c>
      <c r="FU155" s="4585"/>
      <c r="FV155" s="4585"/>
      <c r="FW155" s="1104">
        <f>IF(FU155=0,0,(FV155-FU155)/FU155*100)</f>
        <v>0</v>
      </c>
      <c r="FX155" s="1328"/>
      <c r="FY155" s="1328"/>
      <c r="FZ155" s="1063" t="s">
        <v>1926</v>
      </c>
      <c r="GA155" s="1330"/>
      <c r="GB155" s="1330"/>
      <c r="GC155" s="1329"/>
      <c r="GD155" s="1329"/>
    </row>
    <row s="1656" customFormat="1" customHeight="1" ht="21.75" hidden="1">
      <c r="A156" s="496"/>
      <c r="B156" s="932" cm="1" t="str">
        <f t="array" ref="B156:B156">B155</f>
        <v>false</v>
      </c>
      <c r="C156" s="496"/>
      <c r="D156" s="496"/>
      <c r="E156" s="847">
        <v>22.5</v>
      </c>
      <c r="F156" s="50" cm="1" t="str">
        <f t="array" ref="F156:F156">OFFSET(E156,-1,1)</f>
        <v>1</v>
      </c>
      <c r="G156" s="496"/>
      <c r="H156" s="496" t="s">
        <v>1901</v>
      </c>
      <c r="I156" s="496" t="s">
        <v>1879</v>
      </c>
      <c r="J156" s="496"/>
      <c r="K156" s="496"/>
      <c r="L156" s="496"/>
      <c r="M156" s="496"/>
      <c r="N156" s="496"/>
      <c r="O156" s="496"/>
      <c r="P156" s="496"/>
      <c r="Q156" s="496"/>
      <c r="R156" s="496"/>
      <c r="S156" s="496"/>
      <c r="T156" s="468" cm="1" t="str">
        <f t="array" ref="T156:T156">T155</f>
        <v>true</v>
      </c>
      <c r="U156" s="496"/>
      <c r="V156" s="496"/>
      <c r="W156" s="496"/>
      <c r="X156" s="1559"/>
      <c r="Y156" s="496"/>
      <c r="Z156" s="1528"/>
      <c r="AA156" s="496"/>
      <c r="AB156" s="911"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56" s="871" t="s">
        <v>1902</v>
      </c>
      <c r="AD156" s="4591"/>
      <c r="AE156" s="4591"/>
      <c r="AF156" s="1102">
        <f>IF(AD156=0,0,(AE156-AD156)/AD156*100)</f>
        <v>0</v>
      </c>
      <c r="AG156" s="4591"/>
      <c r="AH156" s="4591"/>
      <c r="AI156" s="1102">
        <f>IF(AG156=0,0,(AH156-AG156)/AG156*100)</f>
        <v>0</v>
      </c>
      <c r="AJ156" s="4591"/>
      <c r="AK156" s="4591"/>
      <c r="AL156" s="1102">
        <f>IF(AJ156=0,0,(AK156-AJ156)/AJ156*100)</f>
        <v>0</v>
      </c>
      <c r="AM156" s="4591"/>
      <c r="AN156" s="4591"/>
      <c r="AO156" s="1102">
        <f>IF(AM156=0,0,(AN156-AM156)/AM156*100)</f>
        <v>0</v>
      </c>
      <c r="AP156" s="4591"/>
      <c r="AQ156" s="4591"/>
      <c r="AR156" s="1102">
        <f>IF(AP156=0,0,(AQ156-AP156)/AP156*100)</f>
        <v>0</v>
      </c>
      <c r="AS156" s="4591"/>
      <c r="AT156" s="4591"/>
      <c r="AU156" s="1102">
        <f>IF(AS156=0,0,(AT156-AS156)/AS156*100)</f>
        <v>0</v>
      </c>
      <c r="AV156" s="4591"/>
      <c r="AW156" s="4591"/>
      <c r="AX156" s="1102">
        <f>IF(AV156=0,0,(AW156-AV156)/AV156*100)</f>
        <v>0</v>
      </c>
      <c r="AY156" s="4591"/>
      <c r="AZ156" s="4591"/>
      <c r="BA156" s="1102">
        <f>IF(AY156=0,0,(AZ156-AY156)/AY156*100)</f>
        <v>0</v>
      </c>
      <c r="BB156" s="4591"/>
      <c r="BC156" s="4591"/>
      <c r="BD156" s="1102">
        <f>IF(BB156=0,0,(BC156-BB156)/BB156*100)</f>
        <v>0</v>
      </c>
      <c r="BE156" s="4591"/>
      <c r="BF156" s="4591"/>
      <c r="BG156" s="1102">
        <f>IF(BE156=0,0,(BF156-BE156)/BE156*100)</f>
        <v>0</v>
      </c>
      <c r="BH156" s="4591"/>
      <c r="BI156" s="4591"/>
      <c r="BJ156" s="1102">
        <f>IF(BH156=0,0,(BI156-BH156)/BH156*100)</f>
        <v>0</v>
      </c>
      <c r="BK156" s="4591"/>
      <c r="BL156" s="4591"/>
      <c r="BM156" s="1102">
        <f>IF(BK156=0,0,(BL156-BK156)/BK156*100)</f>
        <v>0</v>
      </c>
      <c r="BN156" s="4591"/>
      <c r="BO156" s="4591"/>
      <c r="BP156" s="1102">
        <f>IF(BN156=0,0,(BO156-BN156)/BN156*100)</f>
        <v>0</v>
      </c>
      <c r="BQ156" s="4591"/>
      <c r="BR156" s="4591"/>
      <c r="BS156" s="1102">
        <f>IF(BQ156=0,0,(BR156-BQ156)/BQ156*100)</f>
        <v>0</v>
      </c>
      <c r="BT156" s="4591"/>
      <c r="BU156" s="4591"/>
      <c r="BV156" s="1102">
        <f>IF(BT156=0,0,(BU156-BT156)/BT156*100)</f>
        <v>0</v>
      </c>
      <c r="BW156" s="4591"/>
      <c r="BX156" s="4591"/>
      <c r="BY156" s="1102">
        <f>IF(BW156=0,0,(BX156-BW156)/BW156*100)</f>
        <v>0</v>
      </c>
      <c r="BZ156" s="4591"/>
      <c r="CA156" s="4591"/>
      <c r="CB156" s="1102">
        <f>IF(BZ156=0,0,(CA156-BZ156)/BZ156*100)</f>
        <v>0</v>
      </c>
      <c r="CC156" s="4591"/>
      <c r="CD156" s="4591"/>
      <c r="CE156" s="1102">
        <f>IF(CC156=0,0,(CD156-CC156)/CC156*100)</f>
        <v>0</v>
      </c>
      <c r="CF156" s="4591"/>
      <c r="CG156" s="4591"/>
      <c r="CH156" s="1102">
        <f>IF(CF156=0,0,(CG156-CF156)/CF156*100)</f>
        <v>0</v>
      </c>
      <c r="CI156" s="4591"/>
      <c r="CJ156" s="4591"/>
      <c r="CK156" s="1102">
        <f>IF(CI156=0,0,(CJ156-CI156)/CI156*100)</f>
        <v>0</v>
      </c>
      <c r="CL156" s="4591"/>
      <c r="CM156" s="4591"/>
      <c r="CN156" s="1102">
        <f>IF(CL156=0,0,(CM156-CL156)/CL156*100)</f>
        <v>0</v>
      </c>
      <c r="CO156" s="4591"/>
      <c r="CP156" s="4591"/>
      <c r="CQ156" s="1102">
        <f>IF(CO156=0,0,(CP156-CO156)/CO156*100)</f>
        <v>0</v>
      </c>
      <c r="CR156" s="4591"/>
      <c r="CS156" s="4591"/>
      <c r="CT156" s="1102">
        <f>IF(CR156=0,0,(CS156-CR156)/CR156*100)</f>
        <v>0</v>
      </c>
      <c r="CU156" s="4591"/>
      <c r="CV156" s="4591"/>
      <c r="CW156" s="1102">
        <f>IF(CU156=0,0,(CV156-CU156)/CU156*100)</f>
        <v>0</v>
      </c>
      <c r="CX156" s="4591"/>
      <c r="CY156" s="4591"/>
      <c r="CZ156" s="1102">
        <f>IF(CX156=0,0,(CY156-CX156)/CX156*100)</f>
        <v>0</v>
      </c>
      <c r="DA156" s="4591"/>
      <c r="DB156" s="4591"/>
      <c r="DC156" s="1102">
        <f>IF(DA156=0,0,(DB156-DA156)/DA156*100)</f>
        <v>0</v>
      </c>
      <c r="DD156" s="4591"/>
      <c r="DE156" s="4591"/>
      <c r="DF156" s="1102">
        <f>IF(DD156=0,0,(DE156-DD156)/DD156*100)</f>
        <v>0</v>
      </c>
      <c r="DG156" s="4591"/>
      <c r="DH156" s="4591"/>
      <c r="DI156" s="1102">
        <f>IF(DG156=0,0,(DH156-DG156)/DG156*100)</f>
        <v>0</v>
      </c>
      <c r="DJ156" s="4591"/>
      <c r="DK156" s="4591"/>
      <c r="DL156" s="1102">
        <f>IF(DJ156=0,0,(DK156-DJ156)/DJ156*100)</f>
        <v>0</v>
      </c>
      <c r="DM156" s="4591"/>
      <c r="DN156" s="4591"/>
      <c r="DO156" s="1102">
        <f>IF(DM156=0,0,(DN156-DM156)/DM156*100)</f>
        <v>0</v>
      </c>
      <c r="DP156" s="4591"/>
      <c r="DQ156" s="4591"/>
      <c r="DR156" s="1102">
        <f>IF(DP156=0,0,(DQ156-DP156)/DP156*100)</f>
        <v>0</v>
      </c>
      <c r="DS156" s="4591"/>
      <c r="DT156" s="4591"/>
      <c r="DU156" s="1102">
        <f>IF(DS156=0,0,(DT156-DS156)/DS156*100)</f>
        <v>0</v>
      </c>
      <c r="DV156" s="4591"/>
      <c r="DW156" s="4591"/>
      <c r="DX156" s="1102">
        <f>IF(DV156=0,0,(DW156-DV156)/DV156*100)</f>
        <v>0</v>
      </c>
      <c r="DY156" s="4591"/>
      <c r="DZ156" s="4591"/>
      <c r="EA156" s="1102">
        <f>IF(DY156=0,0,(DZ156-DY156)/DY156*100)</f>
        <v>0</v>
      </c>
      <c r="EB156" s="4591"/>
      <c r="EC156" s="4591"/>
      <c r="ED156" s="1102">
        <f>IF(EB156=0,0,(EC156-EB156)/EB156*100)</f>
        <v>0</v>
      </c>
      <c r="EE156" s="4591"/>
      <c r="EF156" s="4591"/>
      <c r="EG156" s="1102">
        <f>IF(EE156=0,0,(EF156-EE156)/EE156*100)</f>
        <v>0</v>
      </c>
      <c r="EH156" s="4591"/>
      <c r="EI156" s="4591"/>
      <c r="EJ156" s="1102">
        <f>IF(EH156=0,0,(EI156-EH156)/EH156*100)</f>
        <v>0</v>
      </c>
      <c r="EK156" s="4591"/>
      <c r="EL156" s="4591"/>
      <c r="EM156" s="1102">
        <f>IF(EK156=0,0,(EL156-EK156)/EK156*100)</f>
        <v>0</v>
      </c>
      <c r="EN156" s="4591"/>
      <c r="EO156" s="4591"/>
      <c r="EP156" s="1102">
        <f>IF(EN156=0,0,(EO156-EN156)/EN156*100)</f>
        <v>0</v>
      </c>
      <c r="EQ156" s="4591"/>
      <c r="ER156" s="4591"/>
      <c r="ES156" s="1102">
        <f>IF(EQ156=0,0,(ER156-EQ156)/EQ156*100)</f>
        <v>0</v>
      </c>
      <c r="ET156" s="4591"/>
      <c r="EU156" s="4591"/>
      <c r="EV156" s="1102">
        <f>IF(ET156=0,0,(EU156-ET156)/ET156*100)</f>
        <v>0</v>
      </c>
      <c r="EW156" s="4591"/>
      <c r="EX156" s="4591"/>
      <c r="EY156" s="1102">
        <f>IF(EW156=0,0,(EX156-EW156)/EW156*100)</f>
        <v>0</v>
      </c>
      <c r="EZ156" s="4591"/>
      <c r="FA156" s="4591"/>
      <c r="FB156" s="1102">
        <f>IF(EZ156=0,0,(FA156-EZ156)/EZ156*100)</f>
        <v>0</v>
      </c>
      <c r="FC156" s="4591"/>
      <c r="FD156" s="4591"/>
      <c r="FE156" s="1102">
        <f>IF(FC156=0,0,(FD156-FC156)/FC156*100)</f>
        <v>0</v>
      </c>
      <c r="FF156" s="4591"/>
      <c r="FG156" s="4591"/>
      <c r="FH156" s="1102">
        <f>IF(FF156=0,0,(FG156-FF156)/FF156*100)</f>
        <v>0</v>
      </c>
      <c r="FI156" s="4591"/>
      <c r="FJ156" s="4591"/>
      <c r="FK156" s="1102">
        <f>IF(FI156=0,0,(FJ156-FI156)/FI156*100)</f>
        <v>0</v>
      </c>
      <c r="FL156" s="4591"/>
      <c r="FM156" s="4591"/>
      <c r="FN156" s="1102">
        <f>IF(FL156=0,0,(FM156-FL156)/FL156*100)</f>
        <v>0</v>
      </c>
      <c r="FO156" s="4591"/>
      <c r="FP156" s="4591"/>
      <c r="FQ156" s="1102">
        <f>IF(FO156=0,0,(FP156-FO156)/FO156*100)</f>
        <v>0</v>
      </c>
      <c r="FR156" s="4591"/>
      <c r="FS156" s="4591"/>
      <c r="FT156" s="1102">
        <f>IF(FR156=0,0,(FS156-FR156)/FR156*100)</f>
        <v>0</v>
      </c>
      <c r="FU156" s="4591"/>
      <c r="FV156" s="4591"/>
      <c r="FW156" s="1102">
        <f>IF(FU156=0,0,(FV156-FU156)/FU156*100)</f>
        <v>0</v>
      </c>
      <c r="FX156" s="1328"/>
      <c r="FY156" s="1328"/>
      <c r="FZ156" s="1063" t="s">
        <v>1927</v>
      </c>
      <c r="GA156" s="1330"/>
      <c r="GB156" s="1330"/>
      <c r="GC156" s="1329"/>
      <c r="GD156" s="1329"/>
    </row>
    <row s="1656" customFormat="1" customHeight="1" ht="14.25" hidden="1">
      <c r="A157" s="496"/>
      <c r="B157" s="932" cm="1" t="str">
        <f t="array" ref="B157:B157">B156</f>
        <v>false</v>
      </c>
      <c r="C157" s="496"/>
      <c r="D157" s="496"/>
      <c r="E157" s="847">
        <v>15</v>
      </c>
      <c r="F157" s="50" cm="1" t="str">
        <f t="array" ref="F157:F157">OFFSET(E157,-1,1)</f>
        <v>1</v>
      </c>
      <c r="G157" s="496"/>
      <c r="H157" s="496" t="s">
        <v>1904</v>
      </c>
      <c r="I157" s="496" t="s">
        <v>1879</v>
      </c>
      <c r="J157" s="496"/>
      <c r="K157" s="496"/>
      <c r="L157" s="496"/>
      <c r="M157" s="496"/>
      <c r="N157" s="496"/>
      <c r="O157" s="496"/>
      <c r="P157" s="496"/>
      <c r="Q157" s="496"/>
      <c r="R157" s="496"/>
      <c r="S157" s="496"/>
      <c r="T157" s="468" cm="1" t="str">
        <f t="array" ref="T157:T157">T156</f>
        <v>true</v>
      </c>
      <c r="U157" s="496"/>
      <c r="V157" s="496"/>
      <c r="W157" s="496"/>
      <c r="X157" s="1559"/>
      <c r="Y157" s="496"/>
      <c r="Z157" s="1528"/>
      <c r="AA157" s="496"/>
      <c r="AB157" s="911" t="s">
        <v>1905</v>
      </c>
      <c r="AC157" s="871" t="s">
        <v>1906</v>
      </c>
      <c r="AD157" s="4591"/>
      <c r="AE157" s="4591"/>
      <c r="AF157" s="1102">
        <f>IF(AD157=0,0,(AE157-AD157)/AD157*100)</f>
        <v>0</v>
      </c>
      <c r="AG157" s="4591"/>
      <c r="AH157" s="4591"/>
      <c r="AI157" s="1102">
        <f>IF(AG157=0,0,(AH157-AG157)/AG157*100)</f>
        <v>0</v>
      </c>
      <c r="AJ157" s="4591"/>
      <c r="AK157" s="4591"/>
      <c r="AL157" s="1102">
        <f>IF(AJ157=0,0,(AK157-AJ157)/AJ157*100)</f>
        <v>0</v>
      </c>
      <c r="AM157" s="4591"/>
      <c r="AN157" s="4591"/>
      <c r="AO157" s="1102">
        <f>IF(AM157=0,0,(AN157-AM157)/AM157*100)</f>
        <v>0</v>
      </c>
      <c r="AP157" s="4591"/>
      <c r="AQ157" s="4591"/>
      <c r="AR157" s="1102">
        <f>IF(AP157=0,0,(AQ157-AP157)/AP157*100)</f>
        <v>0</v>
      </c>
      <c r="AS157" s="4591"/>
      <c r="AT157" s="4591"/>
      <c r="AU157" s="1102">
        <f>IF(AS157=0,0,(AT157-AS157)/AS157*100)</f>
        <v>0</v>
      </c>
      <c r="AV157" s="4591"/>
      <c r="AW157" s="4591"/>
      <c r="AX157" s="1102">
        <f>IF(AV157=0,0,(AW157-AV157)/AV157*100)</f>
        <v>0</v>
      </c>
      <c r="AY157" s="4591"/>
      <c r="AZ157" s="4591"/>
      <c r="BA157" s="1102">
        <f>IF(AY157=0,0,(AZ157-AY157)/AY157*100)</f>
        <v>0</v>
      </c>
      <c r="BB157" s="4591"/>
      <c r="BC157" s="4591"/>
      <c r="BD157" s="1102">
        <f>IF(BB157=0,0,(BC157-BB157)/BB157*100)</f>
        <v>0</v>
      </c>
      <c r="BE157" s="4591"/>
      <c r="BF157" s="4591"/>
      <c r="BG157" s="1102">
        <f>IF(BE157=0,0,(BF157-BE157)/BE157*100)</f>
        <v>0</v>
      </c>
      <c r="BH157" s="4591"/>
      <c r="BI157" s="4591"/>
      <c r="BJ157" s="1102">
        <f>IF(BH157=0,0,(BI157-BH157)/BH157*100)</f>
        <v>0</v>
      </c>
      <c r="BK157" s="4591"/>
      <c r="BL157" s="4591"/>
      <c r="BM157" s="1102">
        <f>IF(BK157=0,0,(BL157-BK157)/BK157*100)</f>
        <v>0</v>
      </c>
      <c r="BN157" s="4591"/>
      <c r="BO157" s="4591"/>
      <c r="BP157" s="1102">
        <f>IF(BN157=0,0,(BO157-BN157)/BN157*100)</f>
        <v>0</v>
      </c>
      <c r="BQ157" s="4591"/>
      <c r="BR157" s="4591"/>
      <c r="BS157" s="1102">
        <f>IF(BQ157=0,0,(BR157-BQ157)/BQ157*100)</f>
        <v>0</v>
      </c>
      <c r="BT157" s="4591"/>
      <c r="BU157" s="4591"/>
      <c r="BV157" s="1102">
        <f>IF(BT157=0,0,(BU157-BT157)/BT157*100)</f>
        <v>0</v>
      </c>
      <c r="BW157" s="4591"/>
      <c r="BX157" s="4591"/>
      <c r="BY157" s="1102">
        <f>IF(BW157=0,0,(BX157-BW157)/BW157*100)</f>
        <v>0</v>
      </c>
      <c r="BZ157" s="4591"/>
      <c r="CA157" s="4591"/>
      <c r="CB157" s="1102">
        <f>IF(BZ157=0,0,(CA157-BZ157)/BZ157*100)</f>
        <v>0</v>
      </c>
      <c r="CC157" s="4591"/>
      <c r="CD157" s="4591"/>
      <c r="CE157" s="1102">
        <f>IF(CC157=0,0,(CD157-CC157)/CC157*100)</f>
        <v>0</v>
      </c>
      <c r="CF157" s="4591"/>
      <c r="CG157" s="4591"/>
      <c r="CH157" s="1102">
        <f>IF(CF157=0,0,(CG157-CF157)/CF157*100)</f>
        <v>0</v>
      </c>
      <c r="CI157" s="4591"/>
      <c r="CJ157" s="4591"/>
      <c r="CK157" s="1102">
        <f>IF(CI157=0,0,(CJ157-CI157)/CI157*100)</f>
        <v>0</v>
      </c>
      <c r="CL157" s="4591"/>
      <c r="CM157" s="4591"/>
      <c r="CN157" s="1102">
        <f>IF(CL157=0,0,(CM157-CL157)/CL157*100)</f>
        <v>0</v>
      </c>
      <c r="CO157" s="4591"/>
      <c r="CP157" s="4591"/>
      <c r="CQ157" s="1102">
        <f>IF(CO157=0,0,(CP157-CO157)/CO157*100)</f>
        <v>0</v>
      </c>
      <c r="CR157" s="4591"/>
      <c r="CS157" s="4591"/>
      <c r="CT157" s="1102">
        <f>IF(CR157=0,0,(CS157-CR157)/CR157*100)</f>
        <v>0</v>
      </c>
      <c r="CU157" s="4591"/>
      <c r="CV157" s="4591"/>
      <c r="CW157" s="1102">
        <f>IF(CU157=0,0,(CV157-CU157)/CU157*100)</f>
        <v>0</v>
      </c>
      <c r="CX157" s="4591"/>
      <c r="CY157" s="4591"/>
      <c r="CZ157" s="1102">
        <f>IF(CX157=0,0,(CY157-CX157)/CX157*100)</f>
        <v>0</v>
      </c>
      <c r="DA157" s="4591"/>
      <c r="DB157" s="4591"/>
      <c r="DC157" s="1102">
        <f>IF(DA157=0,0,(DB157-DA157)/DA157*100)</f>
        <v>0</v>
      </c>
      <c r="DD157" s="4591"/>
      <c r="DE157" s="4591"/>
      <c r="DF157" s="1102">
        <f>IF(DD157=0,0,(DE157-DD157)/DD157*100)</f>
        <v>0</v>
      </c>
      <c r="DG157" s="4591"/>
      <c r="DH157" s="4591"/>
      <c r="DI157" s="1102">
        <f>IF(DG157=0,0,(DH157-DG157)/DG157*100)</f>
        <v>0</v>
      </c>
      <c r="DJ157" s="4591"/>
      <c r="DK157" s="4591"/>
      <c r="DL157" s="1102">
        <f>IF(DJ157=0,0,(DK157-DJ157)/DJ157*100)</f>
        <v>0</v>
      </c>
      <c r="DM157" s="4591"/>
      <c r="DN157" s="4591"/>
      <c r="DO157" s="1102">
        <f>IF(DM157=0,0,(DN157-DM157)/DM157*100)</f>
        <v>0</v>
      </c>
      <c r="DP157" s="4591"/>
      <c r="DQ157" s="4591"/>
      <c r="DR157" s="1102">
        <f>IF(DP157=0,0,(DQ157-DP157)/DP157*100)</f>
        <v>0</v>
      </c>
      <c r="DS157" s="4591"/>
      <c r="DT157" s="4591"/>
      <c r="DU157" s="1102">
        <f>IF(DS157=0,0,(DT157-DS157)/DS157*100)</f>
        <v>0</v>
      </c>
      <c r="DV157" s="4591"/>
      <c r="DW157" s="4591"/>
      <c r="DX157" s="1102">
        <f>IF(DV157=0,0,(DW157-DV157)/DV157*100)</f>
        <v>0</v>
      </c>
      <c r="DY157" s="4591"/>
      <c r="DZ157" s="4591"/>
      <c r="EA157" s="1102">
        <f>IF(DY157=0,0,(DZ157-DY157)/DY157*100)</f>
        <v>0</v>
      </c>
      <c r="EB157" s="4591"/>
      <c r="EC157" s="4591"/>
      <c r="ED157" s="1102">
        <f>IF(EB157=0,0,(EC157-EB157)/EB157*100)</f>
        <v>0</v>
      </c>
      <c r="EE157" s="4591"/>
      <c r="EF157" s="4591"/>
      <c r="EG157" s="1102">
        <f>IF(EE157=0,0,(EF157-EE157)/EE157*100)</f>
        <v>0</v>
      </c>
      <c r="EH157" s="4591"/>
      <c r="EI157" s="4591"/>
      <c r="EJ157" s="1102">
        <f>IF(EH157=0,0,(EI157-EH157)/EH157*100)</f>
        <v>0</v>
      </c>
      <c r="EK157" s="4591"/>
      <c r="EL157" s="4591"/>
      <c r="EM157" s="1102">
        <f>IF(EK157=0,0,(EL157-EK157)/EK157*100)</f>
        <v>0</v>
      </c>
      <c r="EN157" s="4591"/>
      <c r="EO157" s="4591"/>
      <c r="EP157" s="1102">
        <f>IF(EN157=0,0,(EO157-EN157)/EN157*100)</f>
        <v>0</v>
      </c>
      <c r="EQ157" s="4591"/>
      <c r="ER157" s="4591"/>
      <c r="ES157" s="1102">
        <f>IF(EQ157=0,0,(ER157-EQ157)/EQ157*100)</f>
        <v>0</v>
      </c>
      <c r="ET157" s="4591"/>
      <c r="EU157" s="4591"/>
      <c r="EV157" s="1102">
        <f>IF(ET157=0,0,(EU157-ET157)/ET157*100)</f>
        <v>0</v>
      </c>
      <c r="EW157" s="4591"/>
      <c r="EX157" s="4591"/>
      <c r="EY157" s="1102">
        <f>IF(EW157=0,0,(EX157-EW157)/EW157*100)</f>
        <v>0</v>
      </c>
      <c r="EZ157" s="4591"/>
      <c r="FA157" s="4591"/>
      <c r="FB157" s="1102">
        <f>IF(EZ157=0,0,(FA157-EZ157)/EZ157*100)</f>
        <v>0</v>
      </c>
      <c r="FC157" s="4591"/>
      <c r="FD157" s="4591"/>
      <c r="FE157" s="1102">
        <f>IF(FC157=0,0,(FD157-FC157)/FC157*100)</f>
        <v>0</v>
      </c>
      <c r="FF157" s="4591"/>
      <c r="FG157" s="4591"/>
      <c r="FH157" s="1102">
        <f>IF(FF157=0,0,(FG157-FF157)/FF157*100)</f>
        <v>0</v>
      </c>
      <c r="FI157" s="4591"/>
      <c r="FJ157" s="4591"/>
      <c r="FK157" s="1102">
        <f>IF(FI157=0,0,(FJ157-FI157)/FI157*100)</f>
        <v>0</v>
      </c>
      <c r="FL157" s="4591"/>
      <c r="FM157" s="4591"/>
      <c r="FN157" s="1102">
        <f>IF(FL157=0,0,(FM157-FL157)/FL157*100)</f>
        <v>0</v>
      </c>
      <c r="FO157" s="4591"/>
      <c r="FP157" s="4591"/>
      <c r="FQ157" s="1102">
        <f>IF(FO157=0,0,(FP157-FO157)/FO157*100)</f>
        <v>0</v>
      </c>
      <c r="FR157" s="4591"/>
      <c r="FS157" s="4591"/>
      <c r="FT157" s="1102">
        <f>IF(FR157=0,0,(FS157-FR157)/FR157*100)</f>
        <v>0</v>
      </c>
      <c r="FU157" s="4591"/>
      <c r="FV157" s="4591"/>
      <c r="FW157" s="1102">
        <f>IF(FU157=0,0,(FV157-FU157)/FU157*100)</f>
        <v>0</v>
      </c>
      <c r="FX157" s="1328"/>
      <c r="FY157" s="1328"/>
      <c r="FZ157" s="1063" t="s">
        <v>1928</v>
      </c>
      <c r="GA157" s="1330"/>
      <c r="GB157" s="1330"/>
      <c r="GC157" s="1329"/>
      <c r="GD157" s="1329"/>
    </row>
    <row s="1656" customFormat="1" customHeight="1" ht="18" hidden="1">
      <c r="A158" s="496"/>
      <c r="B158" s="932" cm="1" t="str">
        <f t="array" ref="B158:B158">B157</f>
        <v>false</v>
      </c>
      <c r="C158" s="496"/>
      <c r="D158" s="496"/>
      <c r="E158" s="847">
        <v>18.75</v>
      </c>
      <c r="F158" s="50" cm="1" t="str">
        <f t="array" ref="F158:F158">OFFSET(E158,-1,1)</f>
        <v>1</v>
      </c>
      <c r="G158" s="496"/>
      <c r="H158" s="496"/>
      <c r="I158" s="496"/>
      <c r="J158" s="496"/>
      <c r="K158" s="496"/>
      <c r="L158" s="496"/>
      <c r="M158" s="496"/>
      <c r="N158" s="496"/>
      <c r="O158" s="496"/>
      <c r="P158" s="496"/>
      <c r="Q158" s="496"/>
      <c r="R158" s="496"/>
      <c r="S158" s="496"/>
      <c r="T158" s="468">
        <f>AND(F158&gt;0,Y158&gt;0)</f>
        <v>0</v>
      </c>
      <c r="U158" s="496"/>
      <c r="V158" s="496"/>
      <c r="W158" s="496" t="s">
        <v>173</v>
      </c>
      <c r="X158" s="1559"/>
      <c r="Y158" s="1559">
        <v>0</v>
      </c>
      <c r="Z158" s="1528"/>
      <c r="AA158" s="1516" t="s">
        <v>174</v>
      </c>
      <c r="AB158" s="4590"/>
      <c r="AC158" s="872"/>
      <c r="AD158" s="1114"/>
      <c r="AE158" s="1115"/>
      <c r="AF158" s="1115"/>
      <c r="AG158" s="1114"/>
      <c r="AH158" s="1115"/>
      <c r="AI158" s="1115"/>
      <c r="AJ158" s="1114"/>
      <c r="AK158" s="1115"/>
      <c r="AL158" s="1115"/>
      <c r="AM158" s="1114"/>
      <c r="AN158" s="1115"/>
      <c r="AO158" s="1115"/>
      <c r="AP158" s="1114"/>
      <c r="AQ158" s="1115"/>
      <c r="AR158" s="1115"/>
      <c r="AS158" s="1114"/>
      <c r="AT158" s="1115"/>
      <c r="AU158" s="1115"/>
      <c r="AV158" s="1114"/>
      <c r="AW158" s="1115"/>
      <c r="AX158" s="1115"/>
      <c r="AY158" s="1114"/>
      <c r="AZ158" s="1115"/>
      <c r="BA158" s="1115"/>
      <c r="BB158" s="1114"/>
      <c r="BC158" s="1115"/>
      <c r="BD158" s="1115"/>
      <c r="BE158" s="1114"/>
      <c r="BF158" s="1115"/>
      <c r="BG158" s="1115"/>
      <c r="BH158" s="1114"/>
      <c r="BI158" s="1115"/>
      <c r="BJ158" s="1115"/>
      <c r="BK158" s="1114"/>
      <c r="BL158" s="1115"/>
      <c r="BM158" s="1115"/>
      <c r="BN158" s="1114"/>
      <c r="BO158" s="1115"/>
      <c r="BP158" s="1115"/>
      <c r="BQ158" s="1114"/>
      <c r="BR158" s="1115"/>
      <c r="BS158" s="1115"/>
      <c r="BT158" s="1114"/>
      <c r="BU158" s="1115"/>
      <c r="BV158" s="1115"/>
      <c r="BW158" s="1114"/>
      <c r="BX158" s="1115"/>
      <c r="BY158" s="1115"/>
      <c r="BZ158" s="1114"/>
      <c r="CA158" s="1115"/>
      <c r="CB158" s="1115"/>
      <c r="CC158" s="1114"/>
      <c r="CD158" s="1115"/>
      <c r="CE158" s="1115"/>
      <c r="CF158" s="1114"/>
      <c r="CG158" s="1115"/>
      <c r="CH158" s="1115"/>
      <c r="CI158" s="1114"/>
      <c r="CJ158" s="1115"/>
      <c r="CK158" s="1115"/>
      <c r="CL158" s="1114"/>
      <c r="CM158" s="1115"/>
      <c r="CN158" s="1115"/>
      <c r="CO158" s="1114"/>
      <c r="CP158" s="1115"/>
      <c r="CQ158" s="1115"/>
      <c r="CR158" s="1114"/>
      <c r="CS158" s="1115"/>
      <c r="CT158" s="1115"/>
      <c r="CU158" s="1114"/>
      <c r="CV158" s="1115"/>
      <c r="CW158" s="1115"/>
      <c r="CX158" s="1114"/>
      <c r="CY158" s="1115"/>
      <c r="CZ158" s="1115"/>
      <c r="DA158" s="1114"/>
      <c r="DB158" s="1115"/>
      <c r="DC158" s="1115"/>
      <c r="DD158" s="1114"/>
      <c r="DE158" s="1115"/>
      <c r="DF158" s="1115"/>
      <c r="DG158" s="1114"/>
      <c r="DH158" s="1115"/>
      <c r="DI158" s="1115"/>
      <c r="DJ158" s="1114"/>
      <c r="DK158" s="1115"/>
      <c r="DL158" s="1115"/>
      <c r="DM158" s="1114"/>
      <c r="DN158" s="1115"/>
      <c r="DO158" s="1115"/>
      <c r="DP158" s="1114"/>
      <c r="DQ158" s="1115"/>
      <c r="DR158" s="1115"/>
      <c r="DS158" s="1114"/>
      <c r="DT158" s="1115"/>
      <c r="DU158" s="1115"/>
      <c r="DV158" s="1114"/>
      <c r="DW158" s="1115"/>
      <c r="DX158" s="1115"/>
      <c r="DY158" s="1114"/>
      <c r="DZ158" s="1115"/>
      <c r="EA158" s="1115"/>
      <c r="EB158" s="1114"/>
      <c r="EC158" s="1115"/>
      <c r="ED158" s="1115"/>
      <c r="EE158" s="1114"/>
      <c r="EF158" s="1115"/>
      <c r="EG158" s="1115"/>
      <c r="EH158" s="1114"/>
      <c r="EI158" s="1115"/>
      <c r="EJ158" s="1115"/>
      <c r="EK158" s="1114"/>
      <c r="EL158" s="1115"/>
      <c r="EM158" s="1115"/>
      <c r="EN158" s="1114"/>
      <c r="EO158" s="1115"/>
      <c r="EP158" s="1115"/>
      <c r="EQ158" s="1114"/>
      <c r="ER158" s="1115"/>
      <c r="ES158" s="1115"/>
      <c r="ET158" s="1114"/>
      <c r="EU158" s="1115"/>
      <c r="EV158" s="1115"/>
      <c r="EW158" s="1114"/>
      <c r="EX158" s="1115"/>
      <c r="EY158" s="1115"/>
      <c r="EZ158" s="1114"/>
      <c r="FA158" s="1115"/>
      <c r="FB158" s="1115"/>
      <c r="FC158" s="1114"/>
      <c r="FD158" s="1115"/>
      <c r="FE158" s="1115"/>
      <c r="FF158" s="1114"/>
      <c r="FG158" s="1115"/>
      <c r="FH158" s="1115"/>
      <c r="FI158" s="1114"/>
      <c r="FJ158" s="1115"/>
      <c r="FK158" s="1115"/>
      <c r="FL158" s="1114"/>
      <c r="FM158" s="1115"/>
      <c r="FN158" s="1115"/>
      <c r="FO158" s="1114"/>
      <c r="FP158" s="1115"/>
      <c r="FQ158" s="1115"/>
      <c r="FR158" s="1114"/>
      <c r="FS158" s="1115"/>
      <c r="FT158" s="1115"/>
      <c r="FU158" s="1114"/>
      <c r="FV158" s="1115"/>
      <c r="FW158" s="1116"/>
      <c r="FX158" s="1328"/>
      <c r="FY158" s="1328"/>
      <c r="FZ158" s="1063"/>
      <c r="GA158" s="1330"/>
      <c r="GB158" s="1330"/>
      <c r="GC158" s="1329"/>
      <c r="GD158" s="637" t="b">
        <v>1</v>
      </c>
    </row>
    <row s="1656" customFormat="1" customHeight="1" ht="14.25" hidden="1">
      <c r="A159" s="496"/>
      <c r="B159" s="932" cm="1" t="str">
        <f t="array" ref="B159:B159">B158</f>
        <v>false</v>
      </c>
      <c r="C159" s="496"/>
      <c r="D159" s="496"/>
      <c r="E159" s="847">
        <v>15</v>
      </c>
      <c r="F159" s="50" cm="1" t="str">
        <f t="array" ref="F159:F159">OFFSET(E159,-1,1)</f>
        <v>1</v>
      </c>
      <c r="G159" s="496"/>
      <c r="H159" s="496" t="s">
        <v>1787</v>
      </c>
      <c r="I159" s="496" cm="1" t="str">
        <f t="array" ref="I159:I159">AB158</f>
        <v>0</v>
      </c>
      <c r="J159" s="496"/>
      <c r="K159" s="496"/>
      <c r="L159" s="496"/>
      <c r="M159" s="496"/>
      <c r="N159" s="496"/>
      <c r="O159" s="496"/>
      <c r="P159" s="496"/>
      <c r="Q159" s="496"/>
      <c r="R159" s="496"/>
      <c r="S159" s="496"/>
      <c r="T159" s="468" cm="1" t="str">
        <f t="array" ref="T159:T159">T158</f>
        <v>false</v>
      </c>
      <c r="U159" s="496"/>
      <c r="V159" s="496"/>
      <c r="W159" s="496"/>
      <c r="X159" s="1559"/>
      <c r="Y159" s="1559"/>
      <c r="Z159" s="1528"/>
      <c r="AA159" s="1516"/>
      <c r="AB159" s="911" t="s">
        <v>1895</v>
      </c>
      <c r="AC159" s="871" t="s">
        <v>1862</v>
      </c>
      <c r="AD159" s="4591">
        <f>IF(AD161=0,0,(AD160*AD161+AD162*AD163*IF(god=2026,3,6))/AD161)</f>
        <v>0</v>
      </c>
      <c r="AE159" s="4591">
        <f>IF(AE161=0,0,(AE160*AE161+AE162*AE163*IF(god=2026,3,6))/AE161)</f>
        <v>0</v>
      </c>
      <c r="AF159" s="1102">
        <f>IF(AD159=0,0,(AE159-AD159)/AD159*100)</f>
        <v>0</v>
      </c>
      <c r="AG159" s="4591">
        <f>IF(AG161=0,0,(AG160*AG161+AG162*AG163*IF(god=2025,3,6))/AG161)</f>
        <v>0</v>
      </c>
      <c r="AH159" s="4591">
        <f>IF(AH161=0,0,(AH160*AH161+AH162*AH163*IF(god=2025,3,6))/AH161)</f>
        <v>0</v>
      </c>
      <c r="AI159" s="1102">
        <f>IF(AG159=0,0,(AH159-AG159)/AG159*100)</f>
        <v>0</v>
      </c>
      <c r="AJ159" s="4591">
        <f>IF(AJ161=0,0,(AJ160*AJ161+AJ162*AJ163*6)/AJ161)</f>
        <v>0</v>
      </c>
      <c r="AK159" s="4591">
        <f>IF(AK161=0,0,(AK160*AK161+AK162*AK163*6)/AK161)</f>
        <v>0</v>
      </c>
      <c r="AL159" s="1102">
        <f>IF(AJ159=0,0,(AK159-AJ159)/AJ159*100)</f>
        <v>0</v>
      </c>
      <c r="AM159" s="4591">
        <f>IF(AM161=0,0,(AM160*AM161+AM162*AM163*6)/AM161)</f>
        <v>0</v>
      </c>
      <c r="AN159" s="4591">
        <f>IF(AN161=0,0,(AN160*AN161+AN162*AN163*6)/AN161)</f>
        <v>0</v>
      </c>
      <c r="AO159" s="1102">
        <f>IF(AM159=0,0,(AN159-AM159)/AM159*100)</f>
        <v>0</v>
      </c>
      <c r="AP159" s="4591">
        <f>IF(AP161=0,0,(AP160*AP161+AP162*AP163*6)/AP161)</f>
        <v>0</v>
      </c>
      <c r="AQ159" s="4591">
        <f>IF(AQ161=0,0,(AQ160*AQ161+AQ162*AQ163*6)/AQ161)</f>
        <v>0</v>
      </c>
      <c r="AR159" s="1102">
        <f>IF(AP159=0,0,(AQ159-AP159)/AP159*100)</f>
        <v>0</v>
      </c>
      <c r="AS159" s="4591">
        <f>IF(AS161=0,0,(AS160*AS161+AS162*AS163*6)/AS161)</f>
        <v>0</v>
      </c>
      <c r="AT159" s="4591">
        <f>IF(AT161=0,0,(AT160*AT161+AT162*AT163*6)/AT161)</f>
        <v>0</v>
      </c>
      <c r="AU159" s="1102">
        <f>IF(AS159=0,0,(AT159-AS159)/AS159*100)</f>
        <v>0</v>
      </c>
      <c r="AV159" s="4591">
        <f>IF(AV161=0,0,(AV160*AV161+AV162*AV163*6)/AV161)</f>
        <v>0</v>
      </c>
      <c r="AW159" s="4591">
        <f>IF(AW161=0,0,(AW160*AW161+AW162*AW163*6)/AW161)</f>
        <v>0</v>
      </c>
      <c r="AX159" s="1102">
        <f>IF(AV159=0,0,(AW159-AV159)/AV159*100)</f>
        <v>0</v>
      </c>
      <c r="AY159" s="4591">
        <f>IF(AY161=0,0,(AY160*AY161+AY162*AY163*6)/AY161)</f>
        <v>0</v>
      </c>
      <c r="AZ159" s="4591">
        <f>IF(AZ161=0,0,(AZ160*AZ161+AZ162*AZ163*6)/AZ161)</f>
        <v>0</v>
      </c>
      <c r="BA159" s="1102">
        <f>IF(AY159=0,0,(AZ159-AY159)/AY159*100)</f>
        <v>0</v>
      </c>
      <c r="BB159" s="4591">
        <f>IF(BB161=0,0,(BB160*BB161+BB162*BB163*6)/BB161)</f>
        <v>0</v>
      </c>
      <c r="BC159" s="4591">
        <f>IF(BC161=0,0,(BC160*BC161+BC162*BC163*6)/BC161)</f>
        <v>0</v>
      </c>
      <c r="BD159" s="1102">
        <f>IF(BB159=0,0,(BC159-BB159)/BB159*100)</f>
        <v>0</v>
      </c>
      <c r="BE159" s="4591">
        <f>IF(BE161=0,0,(BE160*BE161+BE162*BE163*6)/BE161)</f>
        <v>0</v>
      </c>
      <c r="BF159" s="4591">
        <f>IF(BF161=0,0,(BF160*BF161+BF162*BF163*6)/BF161)</f>
        <v>0</v>
      </c>
      <c r="BG159" s="1102">
        <f>IF(BE159=0,0,(BF159-BE159)/BE159*100)</f>
        <v>0</v>
      </c>
      <c r="BH159" s="4591">
        <f>IF(BH161=0,0,(BH160*BH161+BH162*BH163*6)/BH161)</f>
        <v>0</v>
      </c>
      <c r="BI159" s="4591">
        <f>IF(BI161=0,0,(BI160*BI161+BI162*BI163*6)/BI161)</f>
        <v>0</v>
      </c>
      <c r="BJ159" s="1102">
        <f>IF(BH159=0,0,(BI159-BH159)/BH159*100)</f>
        <v>0</v>
      </c>
      <c r="BK159" s="4591">
        <f>IF(BK161=0,0,(BK160*BK161+BK162*BK163*6)/BK161)</f>
        <v>0</v>
      </c>
      <c r="BL159" s="4591">
        <f>IF(BL161=0,0,(BL160*BL161+BL162*BL163*6)/BL161)</f>
        <v>0</v>
      </c>
      <c r="BM159" s="1102">
        <f>IF(BK159=0,0,(BL159-BK159)/BK159*100)</f>
        <v>0</v>
      </c>
      <c r="BN159" s="4591">
        <f>IF(BN161=0,0,(BN160*BN161+BN162*BN163*6)/BN161)</f>
        <v>0</v>
      </c>
      <c r="BO159" s="4591">
        <f>IF(BO161=0,0,(BO160*BO161+BO162*BO163*6)/BO161)</f>
        <v>0</v>
      </c>
      <c r="BP159" s="1102">
        <f>IF(BN159=0,0,(BO159-BN159)/BN159*100)</f>
        <v>0</v>
      </c>
      <c r="BQ159" s="4591">
        <f>IF(BQ161=0,0,(BQ160*BQ161+BQ162*BQ163*6)/BQ161)</f>
        <v>0</v>
      </c>
      <c r="BR159" s="4591">
        <f>IF(BR161=0,0,(BR160*BR161+BR162*BR163*6)/BR161)</f>
        <v>0</v>
      </c>
      <c r="BS159" s="1102">
        <f>IF(BQ159=0,0,(BR159-BQ159)/BQ159*100)</f>
        <v>0</v>
      </c>
      <c r="BT159" s="4591">
        <f>IF(BT161=0,0,(BT160*BT161+BT162*BT163*6)/BT161)</f>
        <v>0</v>
      </c>
      <c r="BU159" s="4591">
        <f>IF(BU161=0,0,(BU160*BU161+BU162*BU163*6)/BU161)</f>
        <v>0</v>
      </c>
      <c r="BV159" s="1102">
        <f>IF(BT159=0,0,(BU159-BT159)/BT159*100)</f>
        <v>0</v>
      </c>
      <c r="BW159" s="4591">
        <f>IF(BW161=0,0,(BW160*BW161+BW162*BW163*6)/BW161)</f>
        <v>0</v>
      </c>
      <c r="BX159" s="4591">
        <f>IF(BX161=0,0,(BX160*BX161+BX162*BX163*6)/BX161)</f>
        <v>0</v>
      </c>
      <c r="BY159" s="1102">
        <f>IF(BW159=0,0,(BX159-BW159)/BW159*100)</f>
        <v>0</v>
      </c>
      <c r="BZ159" s="4591">
        <f>IF(BZ161=0,0,(BZ160*BZ161+BZ162*BZ163*6)/BZ161)</f>
        <v>0</v>
      </c>
      <c r="CA159" s="4591">
        <f>IF(CA161=0,0,(CA160*CA161+CA162*CA163*6)/CA161)</f>
        <v>0</v>
      </c>
      <c r="CB159" s="1102">
        <f>IF(BZ159=0,0,(CA159-BZ159)/BZ159*100)</f>
        <v>0</v>
      </c>
      <c r="CC159" s="4591">
        <f>IF(CC161=0,0,(CC160*CC161+CC162*CC163*6)/CC161)</f>
        <v>0</v>
      </c>
      <c r="CD159" s="4591">
        <f>IF(CD161=0,0,(CD160*CD161+CD162*CD163*6)/CD161)</f>
        <v>0</v>
      </c>
      <c r="CE159" s="1102">
        <f>IF(CC159=0,0,(CD159-CC159)/CC159*100)</f>
        <v>0</v>
      </c>
      <c r="CF159" s="4591">
        <f>IF(CF161=0,0,(CF160*CF161+CF162*CF163*6)/CF161)</f>
        <v>0</v>
      </c>
      <c r="CG159" s="4591">
        <f>IF(CG161=0,0,(CG160*CG161+CG162*CG163*6)/CG161)</f>
        <v>0</v>
      </c>
      <c r="CH159" s="1102">
        <f>IF(CF159=0,0,(CG159-CF159)/CF159*100)</f>
        <v>0</v>
      </c>
      <c r="CI159" s="4591">
        <f>IF(CI161=0,0,(CI160*CI161+CI162*CI163*6)/CI161)</f>
        <v>0</v>
      </c>
      <c r="CJ159" s="4591">
        <f>IF(CJ161=0,0,(CJ160*CJ161+CJ162*CJ163*6)/CJ161)</f>
        <v>0</v>
      </c>
      <c r="CK159" s="1102">
        <f>IF(CI159=0,0,(CJ159-CI159)/CI159*100)</f>
        <v>0</v>
      </c>
      <c r="CL159" s="4591">
        <f>IF(CL161=0,0,(CL160*CL161+CL162*CL163*6)/CL161)</f>
        <v>0</v>
      </c>
      <c r="CM159" s="4591">
        <f>IF(CM161=0,0,(CM160*CM161+CM162*CM163*6)/CM161)</f>
        <v>0</v>
      </c>
      <c r="CN159" s="1102">
        <f>IF(CL159=0,0,(CM159-CL159)/CL159*100)</f>
        <v>0</v>
      </c>
      <c r="CO159" s="4591">
        <f>IF(CO161=0,0,(CO160*CO161+CO162*CO163*6)/CO161)</f>
        <v>0</v>
      </c>
      <c r="CP159" s="4591">
        <f>IF(CP161=0,0,(CP160*CP161+CP162*CP163*6)/CP161)</f>
        <v>0</v>
      </c>
      <c r="CQ159" s="1102">
        <f>IF(CO159=0,0,(CP159-CO159)/CO159*100)</f>
        <v>0</v>
      </c>
      <c r="CR159" s="4591">
        <f>IF(CR161=0,0,(CR160*CR161+CR162*CR163*6)/CR161)</f>
        <v>0</v>
      </c>
      <c r="CS159" s="4591">
        <f>IF(CS161=0,0,(CS160*CS161+CS162*CS163*6)/CS161)</f>
        <v>0</v>
      </c>
      <c r="CT159" s="1102">
        <f>IF(CR159=0,0,(CS159-CR159)/CR159*100)</f>
        <v>0</v>
      </c>
      <c r="CU159" s="4591">
        <f>IF(CU161=0,0,(CU160*CU161+CU162*CU163*6)/CU161)</f>
        <v>0</v>
      </c>
      <c r="CV159" s="4591">
        <f>IF(CV161=0,0,(CV160*CV161+CV162*CV163*6)/CV161)</f>
        <v>0</v>
      </c>
      <c r="CW159" s="1102">
        <f>IF(CU159=0,0,(CV159-CU159)/CU159*100)</f>
        <v>0</v>
      </c>
      <c r="CX159" s="4591">
        <f>IF(CX161=0,0,(CX160*CX161+CX162*CX163*6)/CX161)</f>
        <v>0</v>
      </c>
      <c r="CY159" s="4591">
        <f>IF(CY161=0,0,(CY160*CY161+CY162*CY163*6)/CY161)</f>
        <v>0</v>
      </c>
      <c r="CZ159" s="1102">
        <f>IF(CX159=0,0,(CY159-CX159)/CX159*100)</f>
        <v>0</v>
      </c>
      <c r="DA159" s="4591">
        <f>IF(DA161=0,0,(DA160*DA161+DA162*DA163*6)/DA161)</f>
        <v>0</v>
      </c>
      <c r="DB159" s="4591">
        <f>IF(DB161=0,0,(DB160*DB161+DB162*DB163*6)/DB161)</f>
        <v>0</v>
      </c>
      <c r="DC159" s="1102">
        <f>IF(DA159=0,0,(DB159-DA159)/DA159*100)</f>
        <v>0</v>
      </c>
      <c r="DD159" s="4591">
        <f>IF(DD161=0,0,(DD160*DD161+DD162*DD163*6)/DD161)</f>
        <v>0</v>
      </c>
      <c r="DE159" s="4591">
        <f>IF(DE161=0,0,(DE160*DE161+DE162*DE163*6)/DE161)</f>
        <v>0</v>
      </c>
      <c r="DF159" s="1102">
        <f>IF(DD159=0,0,(DE159-DD159)/DD159*100)</f>
        <v>0</v>
      </c>
      <c r="DG159" s="4591">
        <f>IF(DG161=0,0,(DG160*DG161+DG162*DG163*6)/DG161)</f>
        <v>0</v>
      </c>
      <c r="DH159" s="4591">
        <f>IF(DH161=0,0,(DH160*DH161+DH162*DH163*6)/DH161)</f>
        <v>0</v>
      </c>
      <c r="DI159" s="1102">
        <f>IF(DG159=0,0,(DH159-DG159)/DG159*100)</f>
        <v>0</v>
      </c>
      <c r="DJ159" s="4591">
        <f>IF(DJ161=0,0,(DJ160*DJ161+DJ162*DJ163*6)/DJ161)</f>
        <v>0</v>
      </c>
      <c r="DK159" s="4591">
        <f>IF(DK161=0,0,(DK160*DK161+DK162*DK163*6)/DK161)</f>
        <v>0</v>
      </c>
      <c r="DL159" s="1102">
        <f>IF(DJ159=0,0,(DK159-DJ159)/DJ159*100)</f>
        <v>0</v>
      </c>
      <c r="DM159" s="4591">
        <f>IF(DM161=0,0,(DM160*DM161+DM162*DM163*6)/DM161)</f>
        <v>0</v>
      </c>
      <c r="DN159" s="4591">
        <f>IF(DN161=0,0,(DN160*DN161+DN162*DN163*6)/DN161)</f>
        <v>0</v>
      </c>
      <c r="DO159" s="1102">
        <f>IF(DM159=0,0,(DN159-DM159)/DM159*100)</f>
        <v>0</v>
      </c>
      <c r="DP159" s="4591">
        <f>IF(DP161=0,0,(DP160*DP161+DP162*DP163*6)/DP161)</f>
        <v>0</v>
      </c>
      <c r="DQ159" s="4591">
        <f>IF(DQ161=0,0,(DQ160*DQ161+DQ162*DQ163*6)/DQ161)</f>
        <v>0</v>
      </c>
      <c r="DR159" s="1102">
        <f>IF(DP159=0,0,(DQ159-DP159)/DP159*100)</f>
        <v>0</v>
      </c>
      <c r="DS159" s="4591">
        <f>IF(DS161=0,0,(DS160*DS161+DS162*DS163*6)/DS161)</f>
        <v>0</v>
      </c>
      <c r="DT159" s="4591">
        <f>IF(DT161=0,0,(DT160*DT161+DT162*DT163*6)/DT161)</f>
        <v>0</v>
      </c>
      <c r="DU159" s="1102">
        <f>IF(DS159=0,0,(DT159-DS159)/DS159*100)</f>
        <v>0</v>
      </c>
      <c r="DV159" s="4591">
        <f>IF(DV161=0,0,(DV160*DV161+DV162*DV163*6)/DV161)</f>
        <v>0</v>
      </c>
      <c r="DW159" s="4591">
        <f>IF(DW161=0,0,(DW160*DW161+DW162*DW163*6)/DW161)</f>
        <v>0</v>
      </c>
      <c r="DX159" s="1102">
        <f>IF(DV159=0,0,(DW159-DV159)/DV159*100)</f>
        <v>0</v>
      </c>
      <c r="DY159" s="4591">
        <f>IF(DY161=0,0,(DY160*DY161+DY162*DY163*6)/DY161)</f>
        <v>0</v>
      </c>
      <c r="DZ159" s="4591">
        <f>IF(DZ161=0,0,(DZ160*DZ161+DZ162*DZ163*6)/DZ161)</f>
        <v>0</v>
      </c>
      <c r="EA159" s="1102">
        <f>IF(DY159=0,0,(DZ159-DY159)/DY159*100)</f>
        <v>0</v>
      </c>
      <c r="EB159" s="4591">
        <f>IF(EB161=0,0,(EB160*EB161+EB162*EB163*6)/EB161)</f>
        <v>0</v>
      </c>
      <c r="EC159" s="4591">
        <f>IF(EC161=0,0,(EC160*EC161+EC162*EC163*6)/EC161)</f>
        <v>0</v>
      </c>
      <c r="ED159" s="1102">
        <f>IF(EB159=0,0,(EC159-EB159)/EB159*100)</f>
        <v>0</v>
      </c>
      <c r="EE159" s="4591">
        <f>IF(EE161=0,0,(EE160*EE161+EE162*EE163*6)/EE161)</f>
        <v>0</v>
      </c>
      <c r="EF159" s="4591">
        <f>IF(EF161=0,0,(EF160*EF161+EF162*EF163*6)/EF161)</f>
        <v>0</v>
      </c>
      <c r="EG159" s="1102">
        <f>IF(EE159=0,0,(EF159-EE159)/EE159*100)</f>
        <v>0</v>
      </c>
      <c r="EH159" s="4591">
        <f>IF(EH161=0,0,(EH160*EH161+EH162*EH163*6)/EH161)</f>
        <v>0</v>
      </c>
      <c r="EI159" s="4591">
        <f>IF(EI161=0,0,(EI160*EI161+EI162*EI163*6)/EI161)</f>
        <v>0</v>
      </c>
      <c r="EJ159" s="1102">
        <f>IF(EH159=0,0,(EI159-EH159)/EH159*100)</f>
        <v>0</v>
      </c>
      <c r="EK159" s="4591">
        <f>IF(EK161=0,0,(EK160*EK161+EK162*EK163*6)/EK161)</f>
        <v>0</v>
      </c>
      <c r="EL159" s="4591">
        <f>IF(EL161=0,0,(EL160*EL161+EL162*EL163*6)/EL161)</f>
        <v>0</v>
      </c>
      <c r="EM159" s="1102">
        <f>IF(EK159=0,0,(EL159-EK159)/EK159*100)</f>
        <v>0</v>
      </c>
      <c r="EN159" s="4591">
        <f>IF(EN161=0,0,(EN160*EN161+EN162*EN163*6)/EN161)</f>
        <v>0</v>
      </c>
      <c r="EO159" s="4591">
        <f>IF(EO161=0,0,(EO160*EO161+EO162*EO163*6)/EO161)</f>
        <v>0</v>
      </c>
      <c r="EP159" s="1102">
        <f>IF(EN159=0,0,(EO159-EN159)/EN159*100)</f>
        <v>0</v>
      </c>
      <c r="EQ159" s="4591">
        <f>IF(EQ161=0,0,(EQ160*EQ161+EQ162*EQ163*6)/EQ161)</f>
        <v>0</v>
      </c>
      <c r="ER159" s="4591">
        <f>IF(ER161=0,0,(ER160*ER161+ER162*ER163*6)/ER161)</f>
        <v>0</v>
      </c>
      <c r="ES159" s="1102">
        <f>IF(EQ159=0,0,(ER159-EQ159)/EQ159*100)</f>
        <v>0</v>
      </c>
      <c r="ET159" s="4591">
        <f>IF(ET161=0,0,(ET160*ET161+ET162*ET163*6)/ET161)</f>
        <v>0</v>
      </c>
      <c r="EU159" s="4591">
        <f>IF(EU161=0,0,(EU160*EU161+EU162*EU163*6)/EU161)</f>
        <v>0</v>
      </c>
      <c r="EV159" s="1102">
        <f>IF(ET159=0,0,(EU159-ET159)/ET159*100)</f>
        <v>0</v>
      </c>
      <c r="EW159" s="4591">
        <f>IF(EW161=0,0,(EW160*EW161+EW162*EW163*6)/EW161)</f>
        <v>0</v>
      </c>
      <c r="EX159" s="4591">
        <f>IF(EX161=0,0,(EX160*EX161+EX162*EX163*6)/EX161)</f>
        <v>0</v>
      </c>
      <c r="EY159" s="1102">
        <f>IF(EW159=0,0,(EX159-EW159)/EW159*100)</f>
        <v>0</v>
      </c>
      <c r="EZ159" s="4591">
        <f>IF(EZ161=0,0,(EZ160*EZ161+EZ162*EZ163*6)/EZ161)</f>
        <v>0</v>
      </c>
      <c r="FA159" s="4591">
        <f>IF(FA161=0,0,(FA160*FA161+FA162*FA163*6)/FA161)</f>
        <v>0</v>
      </c>
      <c r="FB159" s="1102">
        <f>IF(EZ159=0,0,(FA159-EZ159)/EZ159*100)</f>
        <v>0</v>
      </c>
      <c r="FC159" s="4591">
        <f>IF(FC161=0,0,(FC160*FC161+FC162*FC163*6)/FC161)</f>
        <v>0</v>
      </c>
      <c r="FD159" s="4591">
        <f>IF(FD161=0,0,(FD160*FD161+FD162*FD163*6)/FD161)</f>
        <v>0</v>
      </c>
      <c r="FE159" s="1102">
        <f>IF(FC159=0,0,(FD159-FC159)/FC159*100)</f>
        <v>0</v>
      </c>
      <c r="FF159" s="4591">
        <f>IF(FF161=0,0,(FF160*FF161+FF162*FF163*6)/FF161)</f>
        <v>0</v>
      </c>
      <c r="FG159" s="4591">
        <f>IF(FG161=0,0,(FG160*FG161+FG162*FG163*6)/FG161)</f>
        <v>0</v>
      </c>
      <c r="FH159" s="1102">
        <f>IF(FF159=0,0,(FG159-FF159)/FF159*100)</f>
        <v>0</v>
      </c>
      <c r="FI159" s="4591">
        <f>IF(FI161=0,0,(FI160*FI161+FI162*FI163*6)/FI161)</f>
        <v>0</v>
      </c>
      <c r="FJ159" s="4591">
        <f>IF(FJ161=0,0,(FJ160*FJ161+FJ162*FJ163*6)/FJ161)</f>
        <v>0</v>
      </c>
      <c r="FK159" s="1102">
        <f>IF(FI159=0,0,(FJ159-FI159)/FI159*100)</f>
        <v>0</v>
      </c>
      <c r="FL159" s="4591">
        <f>IF(FL161=0,0,(FL160*FL161+FL162*FL163*6)/FL161)</f>
        <v>0</v>
      </c>
      <c r="FM159" s="4591">
        <f>IF(FM161=0,0,(FM160*FM161+FM162*FM163*6)/FM161)</f>
        <v>0</v>
      </c>
      <c r="FN159" s="1102">
        <f>IF(FL159=0,0,(FM159-FL159)/FL159*100)</f>
        <v>0</v>
      </c>
      <c r="FO159" s="4591">
        <f>IF(FO161=0,0,(FO160*FO161+FO162*FO163*6)/FO161)</f>
        <v>0</v>
      </c>
      <c r="FP159" s="4591">
        <f>IF(FP161=0,0,(FP160*FP161+FP162*FP163*6)/FP161)</f>
        <v>0</v>
      </c>
      <c r="FQ159" s="1102">
        <f>IF(FO159=0,0,(FP159-FO159)/FO159*100)</f>
        <v>0</v>
      </c>
      <c r="FR159" s="4591">
        <f>IF(FR161=0,0,(FR160*FR161+FR162*FR163*6)/FR161)</f>
        <v>0</v>
      </c>
      <c r="FS159" s="4591">
        <f>IF(FS161=0,0,(FS160*FS161+FS162*FS163*6)/FS161)</f>
        <v>0</v>
      </c>
      <c r="FT159" s="1102">
        <f>IF(FR159=0,0,(FS159-FR159)/FR159*100)</f>
        <v>0</v>
      </c>
      <c r="FU159" s="4591">
        <f>IF(FU161=0,0,(FU160*FU161+FU162*FU163*6)/FU161)</f>
        <v>0</v>
      </c>
      <c r="FV159" s="4591">
        <f>IF(FV161=0,0,(FV160*FV161+FV162*FV163*6)/FV161)</f>
        <v>0</v>
      </c>
      <c r="FW159" s="1102">
        <f>IF(FU159=0,0,(FV159-FU159)/FU159*100)</f>
        <v>0</v>
      </c>
      <c r="FX159" s="1328"/>
      <c r="FY159" s="1328"/>
      <c r="FZ159" s="1063" t="s">
        <v>1929</v>
      </c>
      <c r="GA159" s="1023" t="s">
        <v>993</v>
      </c>
      <c r="GB159" s="1065" cm="1" t="str">
        <f t="array" ref="GB159:GB159">AB158</f>
        <v>0</v>
      </c>
      <c r="GC159" s="1329"/>
      <c r="GD159" s="1329"/>
    </row>
    <row s="1656" customFormat="1" customHeight="1" ht="14.25" hidden="1">
      <c r="A160" s="496"/>
      <c r="B160" s="932" cm="1" t="str">
        <f t="array" ref="B160:B160">B159</f>
        <v>false</v>
      </c>
      <c r="C160" s="496"/>
      <c r="D160" s="496"/>
      <c r="E160" s="847">
        <v>15</v>
      </c>
      <c r="F160" s="50" cm="1" t="str">
        <f t="array" ref="F160:F160">OFFSET(E160,-1,1)</f>
        <v>1</v>
      </c>
      <c r="G160" s="496"/>
      <c r="H160" s="496" t="s">
        <v>1791</v>
      </c>
      <c r="I160" s="496" cm="1" t="str">
        <f t="array" ref="I160:I160">I159</f>
        <v>0</v>
      </c>
      <c r="J160" s="496"/>
      <c r="K160" s="496"/>
      <c r="L160" s="496"/>
      <c r="M160" s="496"/>
      <c r="N160" s="496"/>
      <c r="O160" s="496"/>
      <c r="P160" s="496"/>
      <c r="Q160" s="496"/>
      <c r="R160" s="496"/>
      <c r="S160" s="496"/>
      <c r="T160" s="468" cm="1" t="str">
        <f t="array" ref="T160:T160">T159</f>
        <v>false</v>
      </c>
      <c r="U160" s="496"/>
      <c r="V160" s="496"/>
      <c r="W160" s="496"/>
      <c r="X160" s="1559"/>
      <c r="Y160" s="1559"/>
      <c r="Z160" s="1528"/>
      <c r="AA160" s="1516"/>
      <c r="AB160" s="911" t="str">
        <f>"ставка платы за "&amp;IF(Q92="Водоснабжение","потребление 1 куб.м холодной воды","объем принятых сточных вод")</f>
        <v>ставка платы за потребление 1 куб.м холодной воды</v>
      </c>
      <c r="AC160" s="871" t="s">
        <v>1862</v>
      </c>
      <c r="AD160" s="4591"/>
      <c r="AE160" s="4591"/>
      <c r="AF160" s="1102">
        <f>IF(AD160=0,0,(AE160-AD160)/AD160*100)</f>
        <v>0</v>
      </c>
      <c r="AG160" s="4591"/>
      <c r="AH160" s="4591"/>
      <c r="AI160" s="1102">
        <f>IF(AG160=0,0,(AH160-AG160)/AG160*100)</f>
        <v>0</v>
      </c>
      <c r="AJ160" s="4591"/>
      <c r="AK160" s="4591"/>
      <c r="AL160" s="1102">
        <f>IF(AJ160=0,0,(AK160-AJ160)/AJ160*100)</f>
        <v>0</v>
      </c>
      <c r="AM160" s="4591"/>
      <c r="AN160" s="4591"/>
      <c r="AO160" s="1102">
        <f>IF(AM160=0,0,(AN160-AM160)/AM160*100)</f>
        <v>0</v>
      </c>
      <c r="AP160" s="4591"/>
      <c r="AQ160" s="4591"/>
      <c r="AR160" s="1102">
        <f>IF(AP160=0,0,(AQ160-AP160)/AP160*100)</f>
        <v>0</v>
      </c>
      <c r="AS160" s="4591"/>
      <c r="AT160" s="4591"/>
      <c r="AU160" s="1102">
        <f>IF(AS160=0,0,(AT160-AS160)/AS160*100)</f>
        <v>0</v>
      </c>
      <c r="AV160" s="4591"/>
      <c r="AW160" s="4591"/>
      <c r="AX160" s="1102">
        <f>IF(AV160=0,0,(AW160-AV160)/AV160*100)</f>
        <v>0</v>
      </c>
      <c r="AY160" s="4591"/>
      <c r="AZ160" s="4591"/>
      <c r="BA160" s="1102">
        <f>IF(AY160=0,0,(AZ160-AY160)/AY160*100)</f>
        <v>0</v>
      </c>
      <c r="BB160" s="4591"/>
      <c r="BC160" s="4591"/>
      <c r="BD160" s="1102">
        <f>IF(BB160=0,0,(BC160-BB160)/BB160*100)</f>
        <v>0</v>
      </c>
      <c r="BE160" s="4591"/>
      <c r="BF160" s="4591"/>
      <c r="BG160" s="1102">
        <f>IF(BE160=0,0,(BF160-BE160)/BE160*100)</f>
        <v>0</v>
      </c>
      <c r="BH160" s="4591"/>
      <c r="BI160" s="4591"/>
      <c r="BJ160" s="1102">
        <f>IF(BH160=0,0,(BI160-BH160)/BH160*100)</f>
        <v>0</v>
      </c>
      <c r="BK160" s="4591"/>
      <c r="BL160" s="4591"/>
      <c r="BM160" s="1102">
        <f>IF(BK160=0,0,(BL160-BK160)/BK160*100)</f>
        <v>0</v>
      </c>
      <c r="BN160" s="4591"/>
      <c r="BO160" s="4591"/>
      <c r="BP160" s="1102">
        <f>IF(BN160=0,0,(BO160-BN160)/BN160*100)</f>
        <v>0</v>
      </c>
      <c r="BQ160" s="4591"/>
      <c r="BR160" s="4591"/>
      <c r="BS160" s="1102">
        <f>IF(BQ160=0,0,(BR160-BQ160)/BQ160*100)</f>
        <v>0</v>
      </c>
      <c r="BT160" s="4591"/>
      <c r="BU160" s="4591"/>
      <c r="BV160" s="1102">
        <f>IF(BT160=0,0,(BU160-BT160)/BT160*100)</f>
        <v>0</v>
      </c>
      <c r="BW160" s="4591"/>
      <c r="BX160" s="4591"/>
      <c r="BY160" s="1102">
        <f>IF(BW160=0,0,(BX160-BW160)/BW160*100)</f>
        <v>0</v>
      </c>
      <c r="BZ160" s="4591"/>
      <c r="CA160" s="4591"/>
      <c r="CB160" s="1102">
        <f>IF(BZ160=0,0,(CA160-BZ160)/BZ160*100)</f>
        <v>0</v>
      </c>
      <c r="CC160" s="4591"/>
      <c r="CD160" s="4591"/>
      <c r="CE160" s="1102">
        <f>IF(CC160=0,0,(CD160-CC160)/CC160*100)</f>
        <v>0</v>
      </c>
      <c r="CF160" s="4591"/>
      <c r="CG160" s="4591"/>
      <c r="CH160" s="1102">
        <f>IF(CF160=0,0,(CG160-CF160)/CF160*100)</f>
        <v>0</v>
      </c>
      <c r="CI160" s="4591"/>
      <c r="CJ160" s="4591"/>
      <c r="CK160" s="1102">
        <f>IF(CI160=0,0,(CJ160-CI160)/CI160*100)</f>
        <v>0</v>
      </c>
      <c r="CL160" s="4591"/>
      <c r="CM160" s="4591"/>
      <c r="CN160" s="1102">
        <f>IF(CL160=0,0,(CM160-CL160)/CL160*100)</f>
        <v>0</v>
      </c>
      <c r="CO160" s="4591"/>
      <c r="CP160" s="4591"/>
      <c r="CQ160" s="1102">
        <f>IF(CO160=0,0,(CP160-CO160)/CO160*100)</f>
        <v>0</v>
      </c>
      <c r="CR160" s="4591"/>
      <c r="CS160" s="4591"/>
      <c r="CT160" s="1102">
        <f>IF(CR160=0,0,(CS160-CR160)/CR160*100)</f>
        <v>0</v>
      </c>
      <c r="CU160" s="4591"/>
      <c r="CV160" s="4591"/>
      <c r="CW160" s="1102">
        <f>IF(CU160=0,0,(CV160-CU160)/CU160*100)</f>
        <v>0</v>
      </c>
      <c r="CX160" s="4591"/>
      <c r="CY160" s="4591"/>
      <c r="CZ160" s="1102">
        <f>IF(CX160=0,0,(CY160-CX160)/CX160*100)</f>
        <v>0</v>
      </c>
      <c r="DA160" s="4591"/>
      <c r="DB160" s="4591"/>
      <c r="DC160" s="1102">
        <f>IF(DA160=0,0,(DB160-DA160)/DA160*100)</f>
        <v>0</v>
      </c>
      <c r="DD160" s="4591"/>
      <c r="DE160" s="4591"/>
      <c r="DF160" s="1102">
        <f>IF(DD160=0,0,(DE160-DD160)/DD160*100)</f>
        <v>0</v>
      </c>
      <c r="DG160" s="4591"/>
      <c r="DH160" s="4591"/>
      <c r="DI160" s="1102">
        <f>IF(DG160=0,0,(DH160-DG160)/DG160*100)</f>
        <v>0</v>
      </c>
      <c r="DJ160" s="4591"/>
      <c r="DK160" s="4591"/>
      <c r="DL160" s="1102">
        <f>IF(DJ160=0,0,(DK160-DJ160)/DJ160*100)</f>
        <v>0</v>
      </c>
      <c r="DM160" s="4591"/>
      <c r="DN160" s="4591"/>
      <c r="DO160" s="1102">
        <f>IF(DM160=0,0,(DN160-DM160)/DM160*100)</f>
        <v>0</v>
      </c>
      <c r="DP160" s="4591"/>
      <c r="DQ160" s="4591"/>
      <c r="DR160" s="1102">
        <f>IF(DP160=0,0,(DQ160-DP160)/DP160*100)</f>
        <v>0</v>
      </c>
      <c r="DS160" s="4591"/>
      <c r="DT160" s="4591"/>
      <c r="DU160" s="1102">
        <f>IF(DS160=0,0,(DT160-DS160)/DS160*100)</f>
        <v>0</v>
      </c>
      <c r="DV160" s="4591"/>
      <c r="DW160" s="4591"/>
      <c r="DX160" s="1102">
        <f>IF(DV160=0,0,(DW160-DV160)/DV160*100)</f>
        <v>0</v>
      </c>
      <c r="DY160" s="4591"/>
      <c r="DZ160" s="4591"/>
      <c r="EA160" s="1102">
        <f>IF(DY160=0,0,(DZ160-DY160)/DY160*100)</f>
        <v>0</v>
      </c>
      <c r="EB160" s="4591"/>
      <c r="EC160" s="4591"/>
      <c r="ED160" s="1102">
        <f>IF(EB160=0,0,(EC160-EB160)/EB160*100)</f>
        <v>0</v>
      </c>
      <c r="EE160" s="4591"/>
      <c r="EF160" s="4591"/>
      <c r="EG160" s="1102">
        <f>IF(EE160=0,0,(EF160-EE160)/EE160*100)</f>
        <v>0</v>
      </c>
      <c r="EH160" s="4591"/>
      <c r="EI160" s="4591"/>
      <c r="EJ160" s="1102">
        <f>IF(EH160=0,0,(EI160-EH160)/EH160*100)</f>
        <v>0</v>
      </c>
      <c r="EK160" s="4591"/>
      <c r="EL160" s="4591"/>
      <c r="EM160" s="1102">
        <f>IF(EK160=0,0,(EL160-EK160)/EK160*100)</f>
        <v>0</v>
      </c>
      <c r="EN160" s="4591"/>
      <c r="EO160" s="4591"/>
      <c r="EP160" s="1102">
        <f>IF(EN160=0,0,(EO160-EN160)/EN160*100)</f>
        <v>0</v>
      </c>
      <c r="EQ160" s="4591"/>
      <c r="ER160" s="4591"/>
      <c r="ES160" s="1102">
        <f>IF(EQ160=0,0,(ER160-EQ160)/EQ160*100)</f>
        <v>0</v>
      </c>
      <c r="ET160" s="4591"/>
      <c r="EU160" s="4591"/>
      <c r="EV160" s="1102">
        <f>IF(ET160=0,0,(EU160-ET160)/ET160*100)</f>
        <v>0</v>
      </c>
      <c r="EW160" s="4591"/>
      <c r="EX160" s="4591"/>
      <c r="EY160" s="1102">
        <f>IF(EW160=0,0,(EX160-EW160)/EW160*100)</f>
        <v>0</v>
      </c>
      <c r="EZ160" s="4591"/>
      <c r="FA160" s="4591"/>
      <c r="FB160" s="1102">
        <f>IF(EZ160=0,0,(FA160-EZ160)/EZ160*100)</f>
        <v>0</v>
      </c>
      <c r="FC160" s="4591"/>
      <c r="FD160" s="4591"/>
      <c r="FE160" s="1102">
        <f>IF(FC160=0,0,(FD160-FC160)/FC160*100)</f>
        <v>0</v>
      </c>
      <c r="FF160" s="4591"/>
      <c r="FG160" s="4591"/>
      <c r="FH160" s="1102">
        <f>IF(FF160=0,0,(FG160-FF160)/FF160*100)</f>
        <v>0</v>
      </c>
      <c r="FI160" s="4591"/>
      <c r="FJ160" s="4591"/>
      <c r="FK160" s="1102">
        <f>IF(FI160=0,0,(FJ160-FI160)/FI160*100)</f>
        <v>0</v>
      </c>
      <c r="FL160" s="4591"/>
      <c r="FM160" s="4591"/>
      <c r="FN160" s="1102">
        <f>IF(FL160=0,0,(FM160-FL160)/FL160*100)</f>
        <v>0</v>
      </c>
      <c r="FO160" s="4591"/>
      <c r="FP160" s="4591"/>
      <c r="FQ160" s="1102">
        <f>IF(FO160=0,0,(FP160-FO160)/FO160*100)</f>
        <v>0</v>
      </c>
      <c r="FR160" s="4591"/>
      <c r="FS160" s="4591"/>
      <c r="FT160" s="1102">
        <f>IF(FR160=0,0,(FS160-FR160)/FR160*100)</f>
        <v>0</v>
      </c>
      <c r="FU160" s="4591"/>
      <c r="FV160" s="4591"/>
      <c r="FW160" s="1102">
        <f>IF(FU160=0,0,(FV160-FU160)/FU160*100)</f>
        <v>0</v>
      </c>
      <c r="FX160" s="1328"/>
      <c r="FY160" s="1328"/>
      <c r="FZ160" s="1063" t="s">
        <v>1930</v>
      </c>
      <c r="GA160" s="1023" t="s">
        <v>993</v>
      </c>
      <c r="GB160" s="1023" cm="1" t="str">
        <f t="array" ref="GB160:GB160">GB159</f>
        <v>0</v>
      </c>
      <c r="GC160" s="1329"/>
      <c r="GD160" s="1329"/>
    </row>
    <row s="1656" customFormat="1" customHeight="1" ht="14.25" hidden="1">
      <c r="A161" s="496"/>
      <c r="B161" s="932" cm="1" t="str">
        <f t="array" ref="B161:B161">B160</f>
        <v>false</v>
      </c>
      <c r="C161" s="496"/>
      <c r="D161" s="496"/>
      <c r="E161" s="847">
        <v>15</v>
      </c>
      <c r="F161" s="50" cm="1" t="str">
        <f t="array" ref="F161:F161">OFFSET(E161,-1,1)</f>
        <v>1</v>
      </c>
      <c r="G161" s="496"/>
      <c r="H161" s="496" t="s">
        <v>1899</v>
      </c>
      <c r="I161" s="496" cm="1" t="str">
        <f t="array" ref="I161:I161">I160</f>
        <v>0</v>
      </c>
      <c r="J161" s="496"/>
      <c r="K161" s="496"/>
      <c r="L161" s="496"/>
      <c r="M161" s="496"/>
      <c r="N161" s="496"/>
      <c r="O161" s="496"/>
      <c r="P161" s="496"/>
      <c r="Q161" s="496"/>
      <c r="R161" s="496"/>
      <c r="S161" s="496"/>
      <c r="T161" s="468" cm="1" t="str">
        <f t="array" ref="T161:T161">T160</f>
        <v>false</v>
      </c>
      <c r="U161" s="496"/>
      <c r="V161" s="496"/>
      <c r="W161" s="496"/>
      <c r="X161" s="1559"/>
      <c r="Y161" s="1559"/>
      <c r="Z161" s="1528"/>
      <c r="AA161" s="1516"/>
      <c r="AB161" s="911" t="str">
        <f>"объём "&amp;IF(Q92="Водоснабжение","потребления холодной воды","водоотведения")</f>
        <v>объём потребления холодной воды</v>
      </c>
      <c r="AC161" s="871" t="s">
        <v>657</v>
      </c>
      <c r="AD161" s="4585"/>
      <c r="AE161" s="4585"/>
      <c r="AF161" s="1104">
        <f>IF(AD161=0,0,(AE161-AD161)/AD161*100)</f>
        <v>0</v>
      </c>
      <c r="AG161" s="4585"/>
      <c r="AH161" s="4585"/>
      <c r="AI161" s="1104">
        <f>IF(AG161=0,0,(AH161-AG161)/AG161*100)</f>
        <v>0</v>
      </c>
      <c r="AJ161" s="4585"/>
      <c r="AK161" s="4585"/>
      <c r="AL161" s="1104">
        <f>IF(AJ161=0,0,(AK161-AJ161)/AJ161*100)</f>
        <v>0</v>
      </c>
      <c r="AM161" s="4585"/>
      <c r="AN161" s="4585"/>
      <c r="AO161" s="1104">
        <f>IF(AM161=0,0,(AN161-AM161)/AM161*100)</f>
        <v>0</v>
      </c>
      <c r="AP161" s="4585"/>
      <c r="AQ161" s="4585"/>
      <c r="AR161" s="1104">
        <f>IF(AP161=0,0,(AQ161-AP161)/AP161*100)</f>
        <v>0</v>
      </c>
      <c r="AS161" s="4585"/>
      <c r="AT161" s="4585"/>
      <c r="AU161" s="1104">
        <f>IF(AS161=0,0,(AT161-AS161)/AS161*100)</f>
        <v>0</v>
      </c>
      <c r="AV161" s="4585"/>
      <c r="AW161" s="4585"/>
      <c r="AX161" s="1104">
        <f>IF(AV161=0,0,(AW161-AV161)/AV161*100)</f>
        <v>0</v>
      </c>
      <c r="AY161" s="4585"/>
      <c r="AZ161" s="4585"/>
      <c r="BA161" s="1104">
        <f>IF(AY161=0,0,(AZ161-AY161)/AY161*100)</f>
        <v>0</v>
      </c>
      <c r="BB161" s="4585"/>
      <c r="BC161" s="4585"/>
      <c r="BD161" s="1104">
        <f>IF(BB161=0,0,(BC161-BB161)/BB161*100)</f>
        <v>0</v>
      </c>
      <c r="BE161" s="4585"/>
      <c r="BF161" s="4585"/>
      <c r="BG161" s="1104">
        <f>IF(BE161=0,0,(BF161-BE161)/BE161*100)</f>
        <v>0</v>
      </c>
      <c r="BH161" s="4585"/>
      <c r="BI161" s="4585"/>
      <c r="BJ161" s="1104">
        <f>IF(BH161=0,0,(BI161-BH161)/BH161*100)</f>
        <v>0</v>
      </c>
      <c r="BK161" s="4585"/>
      <c r="BL161" s="4585"/>
      <c r="BM161" s="1104">
        <f>IF(BK161=0,0,(BL161-BK161)/BK161*100)</f>
        <v>0</v>
      </c>
      <c r="BN161" s="4585"/>
      <c r="BO161" s="4585"/>
      <c r="BP161" s="1104">
        <f>IF(BN161=0,0,(BO161-BN161)/BN161*100)</f>
        <v>0</v>
      </c>
      <c r="BQ161" s="4585"/>
      <c r="BR161" s="4585"/>
      <c r="BS161" s="1104">
        <f>IF(BQ161=0,0,(BR161-BQ161)/BQ161*100)</f>
        <v>0</v>
      </c>
      <c r="BT161" s="4585"/>
      <c r="BU161" s="4585"/>
      <c r="BV161" s="1104">
        <f>IF(BT161=0,0,(BU161-BT161)/BT161*100)</f>
        <v>0</v>
      </c>
      <c r="BW161" s="4585"/>
      <c r="BX161" s="4585"/>
      <c r="BY161" s="1104">
        <f>IF(BW161=0,0,(BX161-BW161)/BW161*100)</f>
        <v>0</v>
      </c>
      <c r="BZ161" s="4585"/>
      <c r="CA161" s="4585"/>
      <c r="CB161" s="1104">
        <f>IF(BZ161=0,0,(CA161-BZ161)/BZ161*100)</f>
        <v>0</v>
      </c>
      <c r="CC161" s="4585"/>
      <c r="CD161" s="4585"/>
      <c r="CE161" s="1104">
        <f>IF(CC161=0,0,(CD161-CC161)/CC161*100)</f>
        <v>0</v>
      </c>
      <c r="CF161" s="4585"/>
      <c r="CG161" s="4585"/>
      <c r="CH161" s="1104">
        <f>IF(CF161=0,0,(CG161-CF161)/CF161*100)</f>
        <v>0</v>
      </c>
      <c r="CI161" s="4585"/>
      <c r="CJ161" s="4585"/>
      <c r="CK161" s="1104">
        <f>IF(CI161=0,0,(CJ161-CI161)/CI161*100)</f>
        <v>0</v>
      </c>
      <c r="CL161" s="4585"/>
      <c r="CM161" s="4585"/>
      <c r="CN161" s="1104">
        <f>IF(CL161=0,0,(CM161-CL161)/CL161*100)</f>
        <v>0</v>
      </c>
      <c r="CO161" s="4585"/>
      <c r="CP161" s="4585"/>
      <c r="CQ161" s="1104">
        <f>IF(CO161=0,0,(CP161-CO161)/CO161*100)</f>
        <v>0</v>
      </c>
      <c r="CR161" s="4585"/>
      <c r="CS161" s="4585"/>
      <c r="CT161" s="1104">
        <f>IF(CR161=0,0,(CS161-CR161)/CR161*100)</f>
        <v>0</v>
      </c>
      <c r="CU161" s="4585"/>
      <c r="CV161" s="4585"/>
      <c r="CW161" s="1104">
        <f>IF(CU161=0,0,(CV161-CU161)/CU161*100)</f>
        <v>0</v>
      </c>
      <c r="CX161" s="4585"/>
      <c r="CY161" s="4585"/>
      <c r="CZ161" s="1104">
        <f>IF(CX161=0,0,(CY161-CX161)/CX161*100)</f>
        <v>0</v>
      </c>
      <c r="DA161" s="4585"/>
      <c r="DB161" s="4585"/>
      <c r="DC161" s="1104">
        <f>IF(DA161=0,0,(DB161-DA161)/DA161*100)</f>
        <v>0</v>
      </c>
      <c r="DD161" s="4585"/>
      <c r="DE161" s="4585"/>
      <c r="DF161" s="1104">
        <f>IF(DD161=0,0,(DE161-DD161)/DD161*100)</f>
        <v>0</v>
      </c>
      <c r="DG161" s="4585"/>
      <c r="DH161" s="4585"/>
      <c r="DI161" s="1104">
        <f>IF(DG161=0,0,(DH161-DG161)/DG161*100)</f>
        <v>0</v>
      </c>
      <c r="DJ161" s="4585"/>
      <c r="DK161" s="4585"/>
      <c r="DL161" s="1104">
        <f>IF(DJ161=0,0,(DK161-DJ161)/DJ161*100)</f>
        <v>0</v>
      </c>
      <c r="DM161" s="4585"/>
      <c r="DN161" s="4585"/>
      <c r="DO161" s="1104">
        <f>IF(DM161=0,0,(DN161-DM161)/DM161*100)</f>
        <v>0</v>
      </c>
      <c r="DP161" s="4585"/>
      <c r="DQ161" s="4585"/>
      <c r="DR161" s="1104">
        <f>IF(DP161=0,0,(DQ161-DP161)/DP161*100)</f>
        <v>0</v>
      </c>
      <c r="DS161" s="4585"/>
      <c r="DT161" s="4585"/>
      <c r="DU161" s="1104">
        <f>IF(DS161=0,0,(DT161-DS161)/DS161*100)</f>
        <v>0</v>
      </c>
      <c r="DV161" s="4585"/>
      <c r="DW161" s="4585"/>
      <c r="DX161" s="1104">
        <f>IF(DV161=0,0,(DW161-DV161)/DV161*100)</f>
        <v>0</v>
      </c>
      <c r="DY161" s="4585"/>
      <c r="DZ161" s="4585"/>
      <c r="EA161" s="1104">
        <f>IF(DY161=0,0,(DZ161-DY161)/DY161*100)</f>
        <v>0</v>
      </c>
      <c r="EB161" s="4585"/>
      <c r="EC161" s="4585"/>
      <c r="ED161" s="1104">
        <f>IF(EB161=0,0,(EC161-EB161)/EB161*100)</f>
        <v>0</v>
      </c>
      <c r="EE161" s="4585"/>
      <c r="EF161" s="4585"/>
      <c r="EG161" s="1104">
        <f>IF(EE161=0,0,(EF161-EE161)/EE161*100)</f>
        <v>0</v>
      </c>
      <c r="EH161" s="4585"/>
      <c r="EI161" s="4585"/>
      <c r="EJ161" s="1104">
        <f>IF(EH161=0,0,(EI161-EH161)/EH161*100)</f>
        <v>0</v>
      </c>
      <c r="EK161" s="4585"/>
      <c r="EL161" s="4585"/>
      <c r="EM161" s="1104">
        <f>IF(EK161=0,0,(EL161-EK161)/EK161*100)</f>
        <v>0</v>
      </c>
      <c r="EN161" s="4585"/>
      <c r="EO161" s="4585"/>
      <c r="EP161" s="1104">
        <f>IF(EN161=0,0,(EO161-EN161)/EN161*100)</f>
        <v>0</v>
      </c>
      <c r="EQ161" s="4585"/>
      <c r="ER161" s="4585"/>
      <c r="ES161" s="1104">
        <f>IF(EQ161=0,0,(ER161-EQ161)/EQ161*100)</f>
        <v>0</v>
      </c>
      <c r="ET161" s="4585"/>
      <c r="EU161" s="4585"/>
      <c r="EV161" s="1104">
        <f>IF(ET161=0,0,(EU161-ET161)/ET161*100)</f>
        <v>0</v>
      </c>
      <c r="EW161" s="4585"/>
      <c r="EX161" s="4585"/>
      <c r="EY161" s="1104">
        <f>IF(EW161=0,0,(EX161-EW161)/EW161*100)</f>
        <v>0</v>
      </c>
      <c r="EZ161" s="4585"/>
      <c r="FA161" s="4585"/>
      <c r="FB161" s="1104">
        <f>IF(EZ161=0,0,(FA161-EZ161)/EZ161*100)</f>
        <v>0</v>
      </c>
      <c r="FC161" s="4585"/>
      <c r="FD161" s="4585"/>
      <c r="FE161" s="1104">
        <f>IF(FC161=0,0,(FD161-FC161)/FC161*100)</f>
        <v>0</v>
      </c>
      <c r="FF161" s="4585"/>
      <c r="FG161" s="4585"/>
      <c r="FH161" s="1104">
        <f>IF(FF161=0,0,(FG161-FF161)/FF161*100)</f>
        <v>0</v>
      </c>
      <c r="FI161" s="4585"/>
      <c r="FJ161" s="4585"/>
      <c r="FK161" s="1104">
        <f>IF(FI161=0,0,(FJ161-FI161)/FI161*100)</f>
        <v>0</v>
      </c>
      <c r="FL161" s="4585"/>
      <c r="FM161" s="4585"/>
      <c r="FN161" s="1104">
        <f>IF(FL161=0,0,(FM161-FL161)/FL161*100)</f>
        <v>0</v>
      </c>
      <c r="FO161" s="4585"/>
      <c r="FP161" s="4585"/>
      <c r="FQ161" s="1104">
        <f>IF(FO161=0,0,(FP161-FO161)/FO161*100)</f>
        <v>0</v>
      </c>
      <c r="FR161" s="4585"/>
      <c r="FS161" s="4585"/>
      <c r="FT161" s="1104">
        <f>IF(FR161=0,0,(FS161-FR161)/FR161*100)</f>
        <v>0</v>
      </c>
      <c r="FU161" s="4585"/>
      <c r="FV161" s="4585"/>
      <c r="FW161" s="1104">
        <f>IF(FU161=0,0,(FV161-FU161)/FU161*100)</f>
        <v>0</v>
      </c>
      <c r="FX161" s="1328"/>
      <c r="FY161" s="1328"/>
      <c r="FZ161" s="1063" t="s">
        <v>1931</v>
      </c>
      <c r="GA161" s="1023" t="s">
        <v>993</v>
      </c>
      <c r="GB161" s="1023" cm="1" t="str">
        <f t="array" ref="GB161:GB161">GB160</f>
        <v>0</v>
      </c>
      <c r="GC161" s="1329"/>
      <c r="GD161" s="1329"/>
    </row>
    <row s="1656" customFormat="1" customHeight="1" ht="21.75" hidden="1">
      <c r="A162" s="496"/>
      <c r="B162" s="932" cm="1" t="str">
        <f t="array" ref="B162:B162">B161</f>
        <v>false</v>
      </c>
      <c r="C162" s="496"/>
      <c r="D162" s="496"/>
      <c r="E162" s="847">
        <v>22.5</v>
      </c>
      <c r="F162" s="50" cm="1" t="str">
        <f t="array" ref="F162:F162">OFFSET(E162,-1,1)</f>
        <v>1</v>
      </c>
      <c r="G162" s="496"/>
      <c r="H162" s="496" t="s">
        <v>1901</v>
      </c>
      <c r="I162" s="496" cm="1" t="str">
        <f t="array" ref="I162:I162">I161</f>
        <v>0</v>
      </c>
      <c r="J162" s="496"/>
      <c r="K162" s="496"/>
      <c r="L162" s="496"/>
      <c r="M162" s="496"/>
      <c r="N162" s="496"/>
      <c r="O162" s="496"/>
      <c r="P162" s="496"/>
      <c r="Q162" s="496"/>
      <c r="R162" s="496"/>
      <c r="S162" s="496"/>
      <c r="T162" s="468" cm="1" t="str">
        <f t="array" ref="T162:T162">T161</f>
        <v>false</v>
      </c>
      <c r="U162" s="496"/>
      <c r="V162" s="496"/>
      <c r="W162" s="496"/>
      <c r="X162" s="1559"/>
      <c r="Y162" s="1559"/>
      <c r="Z162" s="1528"/>
      <c r="AA162" s="1516"/>
      <c r="AB162" s="911"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62" s="871" t="s">
        <v>1902</v>
      </c>
      <c r="AD162" s="4591"/>
      <c r="AE162" s="4591"/>
      <c r="AF162" s="1102">
        <f>IF(AD162=0,0,(AE162-AD162)/AD162*100)</f>
        <v>0</v>
      </c>
      <c r="AG162" s="4591"/>
      <c r="AH162" s="4591"/>
      <c r="AI162" s="1102">
        <f>IF(AG162=0,0,(AH162-AG162)/AG162*100)</f>
        <v>0</v>
      </c>
      <c r="AJ162" s="4591"/>
      <c r="AK162" s="4591"/>
      <c r="AL162" s="1102">
        <f>IF(AJ162=0,0,(AK162-AJ162)/AJ162*100)</f>
        <v>0</v>
      </c>
      <c r="AM162" s="4591"/>
      <c r="AN162" s="4591"/>
      <c r="AO162" s="1102">
        <f>IF(AM162=0,0,(AN162-AM162)/AM162*100)</f>
        <v>0</v>
      </c>
      <c r="AP162" s="4591"/>
      <c r="AQ162" s="4591"/>
      <c r="AR162" s="1102">
        <f>IF(AP162=0,0,(AQ162-AP162)/AP162*100)</f>
        <v>0</v>
      </c>
      <c r="AS162" s="4591"/>
      <c r="AT162" s="4591"/>
      <c r="AU162" s="1102">
        <f>IF(AS162=0,0,(AT162-AS162)/AS162*100)</f>
        <v>0</v>
      </c>
      <c r="AV162" s="4591"/>
      <c r="AW162" s="4591"/>
      <c r="AX162" s="1102">
        <f>IF(AV162=0,0,(AW162-AV162)/AV162*100)</f>
        <v>0</v>
      </c>
      <c r="AY162" s="4591"/>
      <c r="AZ162" s="4591"/>
      <c r="BA162" s="1102">
        <f>IF(AY162=0,0,(AZ162-AY162)/AY162*100)</f>
        <v>0</v>
      </c>
      <c r="BB162" s="4591"/>
      <c r="BC162" s="4591"/>
      <c r="BD162" s="1102">
        <f>IF(BB162=0,0,(BC162-BB162)/BB162*100)</f>
        <v>0</v>
      </c>
      <c r="BE162" s="4591"/>
      <c r="BF162" s="4591"/>
      <c r="BG162" s="1102">
        <f>IF(BE162=0,0,(BF162-BE162)/BE162*100)</f>
        <v>0</v>
      </c>
      <c r="BH162" s="4591"/>
      <c r="BI162" s="4591"/>
      <c r="BJ162" s="1102">
        <f>IF(BH162=0,0,(BI162-BH162)/BH162*100)</f>
        <v>0</v>
      </c>
      <c r="BK162" s="4591"/>
      <c r="BL162" s="4591"/>
      <c r="BM162" s="1102">
        <f>IF(BK162=0,0,(BL162-BK162)/BK162*100)</f>
        <v>0</v>
      </c>
      <c r="BN162" s="4591"/>
      <c r="BO162" s="4591"/>
      <c r="BP162" s="1102">
        <f>IF(BN162=0,0,(BO162-BN162)/BN162*100)</f>
        <v>0</v>
      </c>
      <c r="BQ162" s="4591"/>
      <c r="BR162" s="4591"/>
      <c r="BS162" s="1102">
        <f>IF(BQ162=0,0,(BR162-BQ162)/BQ162*100)</f>
        <v>0</v>
      </c>
      <c r="BT162" s="4591"/>
      <c r="BU162" s="4591"/>
      <c r="BV162" s="1102">
        <f>IF(BT162=0,0,(BU162-BT162)/BT162*100)</f>
        <v>0</v>
      </c>
      <c r="BW162" s="4591"/>
      <c r="BX162" s="4591"/>
      <c r="BY162" s="1102">
        <f>IF(BW162=0,0,(BX162-BW162)/BW162*100)</f>
        <v>0</v>
      </c>
      <c r="BZ162" s="4591"/>
      <c r="CA162" s="4591"/>
      <c r="CB162" s="1102">
        <f>IF(BZ162=0,0,(CA162-BZ162)/BZ162*100)</f>
        <v>0</v>
      </c>
      <c r="CC162" s="4591"/>
      <c r="CD162" s="4591"/>
      <c r="CE162" s="1102">
        <f>IF(CC162=0,0,(CD162-CC162)/CC162*100)</f>
        <v>0</v>
      </c>
      <c r="CF162" s="4591"/>
      <c r="CG162" s="4591"/>
      <c r="CH162" s="1102">
        <f>IF(CF162=0,0,(CG162-CF162)/CF162*100)</f>
        <v>0</v>
      </c>
      <c r="CI162" s="4591"/>
      <c r="CJ162" s="4591"/>
      <c r="CK162" s="1102">
        <f>IF(CI162=0,0,(CJ162-CI162)/CI162*100)</f>
        <v>0</v>
      </c>
      <c r="CL162" s="4591"/>
      <c r="CM162" s="4591"/>
      <c r="CN162" s="1102">
        <f>IF(CL162=0,0,(CM162-CL162)/CL162*100)</f>
        <v>0</v>
      </c>
      <c r="CO162" s="4591"/>
      <c r="CP162" s="4591"/>
      <c r="CQ162" s="1102">
        <f>IF(CO162=0,0,(CP162-CO162)/CO162*100)</f>
        <v>0</v>
      </c>
      <c r="CR162" s="4591"/>
      <c r="CS162" s="4591"/>
      <c r="CT162" s="1102">
        <f>IF(CR162=0,0,(CS162-CR162)/CR162*100)</f>
        <v>0</v>
      </c>
      <c r="CU162" s="4591"/>
      <c r="CV162" s="4591"/>
      <c r="CW162" s="1102">
        <f>IF(CU162=0,0,(CV162-CU162)/CU162*100)</f>
        <v>0</v>
      </c>
      <c r="CX162" s="4591"/>
      <c r="CY162" s="4591"/>
      <c r="CZ162" s="1102">
        <f>IF(CX162=0,0,(CY162-CX162)/CX162*100)</f>
        <v>0</v>
      </c>
      <c r="DA162" s="4591"/>
      <c r="DB162" s="4591"/>
      <c r="DC162" s="1102">
        <f>IF(DA162=0,0,(DB162-DA162)/DA162*100)</f>
        <v>0</v>
      </c>
      <c r="DD162" s="4591"/>
      <c r="DE162" s="4591"/>
      <c r="DF162" s="1102">
        <f>IF(DD162=0,0,(DE162-DD162)/DD162*100)</f>
        <v>0</v>
      </c>
      <c r="DG162" s="4591"/>
      <c r="DH162" s="4591"/>
      <c r="DI162" s="1102">
        <f>IF(DG162=0,0,(DH162-DG162)/DG162*100)</f>
        <v>0</v>
      </c>
      <c r="DJ162" s="4591"/>
      <c r="DK162" s="4591"/>
      <c r="DL162" s="1102">
        <f>IF(DJ162=0,0,(DK162-DJ162)/DJ162*100)</f>
        <v>0</v>
      </c>
      <c r="DM162" s="4591"/>
      <c r="DN162" s="4591"/>
      <c r="DO162" s="1102">
        <f>IF(DM162=0,0,(DN162-DM162)/DM162*100)</f>
        <v>0</v>
      </c>
      <c r="DP162" s="4591"/>
      <c r="DQ162" s="4591"/>
      <c r="DR162" s="1102">
        <f>IF(DP162=0,0,(DQ162-DP162)/DP162*100)</f>
        <v>0</v>
      </c>
      <c r="DS162" s="4591"/>
      <c r="DT162" s="4591"/>
      <c r="DU162" s="1102">
        <f>IF(DS162=0,0,(DT162-DS162)/DS162*100)</f>
        <v>0</v>
      </c>
      <c r="DV162" s="4591"/>
      <c r="DW162" s="4591"/>
      <c r="DX162" s="1102">
        <f>IF(DV162=0,0,(DW162-DV162)/DV162*100)</f>
        <v>0</v>
      </c>
      <c r="DY162" s="4591"/>
      <c r="DZ162" s="4591"/>
      <c r="EA162" s="1102">
        <f>IF(DY162=0,0,(DZ162-DY162)/DY162*100)</f>
        <v>0</v>
      </c>
      <c r="EB162" s="4591"/>
      <c r="EC162" s="4591"/>
      <c r="ED162" s="1102">
        <f>IF(EB162=0,0,(EC162-EB162)/EB162*100)</f>
        <v>0</v>
      </c>
      <c r="EE162" s="4591"/>
      <c r="EF162" s="4591"/>
      <c r="EG162" s="1102">
        <f>IF(EE162=0,0,(EF162-EE162)/EE162*100)</f>
        <v>0</v>
      </c>
      <c r="EH162" s="4591"/>
      <c r="EI162" s="4591"/>
      <c r="EJ162" s="1102">
        <f>IF(EH162=0,0,(EI162-EH162)/EH162*100)</f>
        <v>0</v>
      </c>
      <c r="EK162" s="4591"/>
      <c r="EL162" s="4591"/>
      <c r="EM162" s="1102">
        <f>IF(EK162=0,0,(EL162-EK162)/EK162*100)</f>
        <v>0</v>
      </c>
      <c r="EN162" s="4591"/>
      <c r="EO162" s="4591"/>
      <c r="EP162" s="1102">
        <f>IF(EN162=0,0,(EO162-EN162)/EN162*100)</f>
        <v>0</v>
      </c>
      <c r="EQ162" s="4591"/>
      <c r="ER162" s="4591"/>
      <c r="ES162" s="1102">
        <f>IF(EQ162=0,0,(ER162-EQ162)/EQ162*100)</f>
        <v>0</v>
      </c>
      <c r="ET162" s="4591"/>
      <c r="EU162" s="4591"/>
      <c r="EV162" s="1102">
        <f>IF(ET162=0,0,(EU162-ET162)/ET162*100)</f>
        <v>0</v>
      </c>
      <c r="EW162" s="4591"/>
      <c r="EX162" s="4591"/>
      <c r="EY162" s="1102">
        <f>IF(EW162=0,0,(EX162-EW162)/EW162*100)</f>
        <v>0</v>
      </c>
      <c r="EZ162" s="4591"/>
      <c r="FA162" s="4591"/>
      <c r="FB162" s="1102">
        <f>IF(EZ162=0,0,(FA162-EZ162)/EZ162*100)</f>
        <v>0</v>
      </c>
      <c r="FC162" s="4591"/>
      <c r="FD162" s="4591"/>
      <c r="FE162" s="1102">
        <f>IF(FC162=0,0,(FD162-FC162)/FC162*100)</f>
        <v>0</v>
      </c>
      <c r="FF162" s="4591"/>
      <c r="FG162" s="4591"/>
      <c r="FH162" s="1102">
        <f>IF(FF162=0,0,(FG162-FF162)/FF162*100)</f>
        <v>0</v>
      </c>
      <c r="FI162" s="4591"/>
      <c r="FJ162" s="4591"/>
      <c r="FK162" s="1102">
        <f>IF(FI162=0,0,(FJ162-FI162)/FI162*100)</f>
        <v>0</v>
      </c>
      <c r="FL162" s="4591"/>
      <c r="FM162" s="4591"/>
      <c r="FN162" s="1102">
        <f>IF(FL162=0,0,(FM162-FL162)/FL162*100)</f>
        <v>0</v>
      </c>
      <c r="FO162" s="4591"/>
      <c r="FP162" s="4591"/>
      <c r="FQ162" s="1102">
        <f>IF(FO162=0,0,(FP162-FO162)/FO162*100)</f>
        <v>0</v>
      </c>
      <c r="FR162" s="4591"/>
      <c r="FS162" s="4591"/>
      <c r="FT162" s="1102">
        <f>IF(FR162=0,0,(FS162-FR162)/FR162*100)</f>
        <v>0</v>
      </c>
      <c r="FU162" s="4591"/>
      <c r="FV162" s="4591"/>
      <c r="FW162" s="1102">
        <f>IF(FU162=0,0,(FV162-FU162)/FU162*100)</f>
        <v>0</v>
      </c>
      <c r="FX162" s="1328"/>
      <c r="FY162" s="1328"/>
      <c r="FZ162" s="1063" t="s">
        <v>1932</v>
      </c>
      <c r="GA162" s="1023" t="s">
        <v>993</v>
      </c>
      <c r="GB162" s="1023" cm="1" t="str">
        <f t="array" ref="GB162:GB162">GB161</f>
        <v>0</v>
      </c>
      <c r="GC162" s="1329"/>
      <c r="GD162" s="1329"/>
    </row>
    <row s="1656" customFormat="1" customHeight="1" ht="14.25" hidden="1">
      <c r="A163" s="496"/>
      <c r="B163" s="932" cm="1" t="str">
        <f t="array" ref="B163:B163">B162</f>
        <v>false</v>
      </c>
      <c r="C163" s="496"/>
      <c r="D163" s="496"/>
      <c r="E163" s="847">
        <v>15</v>
      </c>
      <c r="F163" s="50" cm="1" t="str">
        <f t="array" ref="F163:F163">OFFSET(E163,-1,1)</f>
        <v>1</v>
      </c>
      <c r="G163" s="496"/>
      <c r="H163" s="496" t="s">
        <v>1904</v>
      </c>
      <c r="I163" s="496" cm="1" t="str">
        <f t="array" ref="I163:I163">I162</f>
        <v>0</v>
      </c>
      <c r="J163" s="496"/>
      <c r="K163" s="496"/>
      <c r="L163" s="496"/>
      <c r="M163" s="496"/>
      <c r="N163" s="496"/>
      <c r="O163" s="496"/>
      <c r="P163" s="496"/>
      <c r="Q163" s="496"/>
      <c r="R163" s="496"/>
      <c r="S163" s="496"/>
      <c r="T163" s="468" cm="1" t="str">
        <f t="array" ref="T163:T163">T162</f>
        <v>false</v>
      </c>
      <c r="U163" s="496"/>
      <c r="V163" s="496"/>
      <c r="W163" s="496"/>
      <c r="X163" s="1559"/>
      <c r="Y163" s="1559"/>
      <c r="Z163" s="1528"/>
      <c r="AA163" s="1516"/>
      <c r="AB163" s="911" t="s">
        <v>1905</v>
      </c>
      <c r="AC163" s="871" t="s">
        <v>1906</v>
      </c>
      <c r="AD163" s="4591"/>
      <c r="AE163" s="4591"/>
      <c r="AF163" s="1102">
        <f>IF(AD163=0,0,(AE163-AD163)/AD163*100)</f>
        <v>0</v>
      </c>
      <c r="AG163" s="4591"/>
      <c r="AH163" s="4591"/>
      <c r="AI163" s="1102">
        <f>IF(AG163=0,0,(AH163-AG163)/AG163*100)</f>
        <v>0</v>
      </c>
      <c r="AJ163" s="4591"/>
      <c r="AK163" s="4591"/>
      <c r="AL163" s="1102">
        <f>IF(AJ163=0,0,(AK163-AJ163)/AJ163*100)</f>
        <v>0</v>
      </c>
      <c r="AM163" s="4591"/>
      <c r="AN163" s="4591"/>
      <c r="AO163" s="1102">
        <f>IF(AM163=0,0,(AN163-AM163)/AM163*100)</f>
        <v>0</v>
      </c>
      <c r="AP163" s="4591"/>
      <c r="AQ163" s="4591"/>
      <c r="AR163" s="1102">
        <f>IF(AP163=0,0,(AQ163-AP163)/AP163*100)</f>
        <v>0</v>
      </c>
      <c r="AS163" s="4591"/>
      <c r="AT163" s="4591"/>
      <c r="AU163" s="1102">
        <f>IF(AS163=0,0,(AT163-AS163)/AS163*100)</f>
        <v>0</v>
      </c>
      <c r="AV163" s="4591"/>
      <c r="AW163" s="4591"/>
      <c r="AX163" s="1102">
        <f>IF(AV163=0,0,(AW163-AV163)/AV163*100)</f>
        <v>0</v>
      </c>
      <c r="AY163" s="4591"/>
      <c r="AZ163" s="4591"/>
      <c r="BA163" s="1102">
        <f>IF(AY163=0,0,(AZ163-AY163)/AY163*100)</f>
        <v>0</v>
      </c>
      <c r="BB163" s="4591"/>
      <c r="BC163" s="4591"/>
      <c r="BD163" s="1102">
        <f>IF(BB163=0,0,(BC163-BB163)/BB163*100)</f>
        <v>0</v>
      </c>
      <c r="BE163" s="4591"/>
      <c r="BF163" s="4591"/>
      <c r="BG163" s="1102">
        <f>IF(BE163=0,0,(BF163-BE163)/BE163*100)</f>
        <v>0</v>
      </c>
      <c r="BH163" s="4591"/>
      <c r="BI163" s="4591"/>
      <c r="BJ163" s="1102">
        <f>IF(BH163=0,0,(BI163-BH163)/BH163*100)</f>
        <v>0</v>
      </c>
      <c r="BK163" s="4591"/>
      <c r="BL163" s="4591"/>
      <c r="BM163" s="1102">
        <f>IF(BK163=0,0,(BL163-BK163)/BK163*100)</f>
        <v>0</v>
      </c>
      <c r="BN163" s="4591"/>
      <c r="BO163" s="4591"/>
      <c r="BP163" s="1102">
        <f>IF(BN163=0,0,(BO163-BN163)/BN163*100)</f>
        <v>0</v>
      </c>
      <c r="BQ163" s="4591"/>
      <c r="BR163" s="4591"/>
      <c r="BS163" s="1102">
        <f>IF(BQ163=0,0,(BR163-BQ163)/BQ163*100)</f>
        <v>0</v>
      </c>
      <c r="BT163" s="4591"/>
      <c r="BU163" s="4591"/>
      <c r="BV163" s="1102">
        <f>IF(BT163=0,0,(BU163-BT163)/BT163*100)</f>
        <v>0</v>
      </c>
      <c r="BW163" s="4591"/>
      <c r="BX163" s="4591"/>
      <c r="BY163" s="1102">
        <f>IF(BW163=0,0,(BX163-BW163)/BW163*100)</f>
        <v>0</v>
      </c>
      <c r="BZ163" s="4591"/>
      <c r="CA163" s="4591"/>
      <c r="CB163" s="1102">
        <f>IF(BZ163=0,0,(CA163-BZ163)/BZ163*100)</f>
        <v>0</v>
      </c>
      <c r="CC163" s="4591"/>
      <c r="CD163" s="4591"/>
      <c r="CE163" s="1102">
        <f>IF(CC163=0,0,(CD163-CC163)/CC163*100)</f>
        <v>0</v>
      </c>
      <c r="CF163" s="4591"/>
      <c r="CG163" s="4591"/>
      <c r="CH163" s="1102">
        <f>IF(CF163=0,0,(CG163-CF163)/CF163*100)</f>
        <v>0</v>
      </c>
      <c r="CI163" s="4591"/>
      <c r="CJ163" s="4591"/>
      <c r="CK163" s="1102">
        <f>IF(CI163=0,0,(CJ163-CI163)/CI163*100)</f>
        <v>0</v>
      </c>
      <c r="CL163" s="4591"/>
      <c r="CM163" s="4591"/>
      <c r="CN163" s="1102">
        <f>IF(CL163=0,0,(CM163-CL163)/CL163*100)</f>
        <v>0</v>
      </c>
      <c r="CO163" s="4591"/>
      <c r="CP163" s="4591"/>
      <c r="CQ163" s="1102">
        <f>IF(CO163=0,0,(CP163-CO163)/CO163*100)</f>
        <v>0</v>
      </c>
      <c r="CR163" s="4591"/>
      <c r="CS163" s="4591"/>
      <c r="CT163" s="1102">
        <f>IF(CR163=0,0,(CS163-CR163)/CR163*100)</f>
        <v>0</v>
      </c>
      <c r="CU163" s="4591"/>
      <c r="CV163" s="4591"/>
      <c r="CW163" s="1102">
        <f>IF(CU163=0,0,(CV163-CU163)/CU163*100)</f>
        <v>0</v>
      </c>
      <c r="CX163" s="4591"/>
      <c r="CY163" s="4591"/>
      <c r="CZ163" s="1102">
        <f>IF(CX163=0,0,(CY163-CX163)/CX163*100)</f>
        <v>0</v>
      </c>
      <c r="DA163" s="4591"/>
      <c r="DB163" s="4591"/>
      <c r="DC163" s="1102">
        <f>IF(DA163=0,0,(DB163-DA163)/DA163*100)</f>
        <v>0</v>
      </c>
      <c r="DD163" s="4591"/>
      <c r="DE163" s="4591"/>
      <c r="DF163" s="1102">
        <f>IF(DD163=0,0,(DE163-DD163)/DD163*100)</f>
        <v>0</v>
      </c>
      <c r="DG163" s="4591"/>
      <c r="DH163" s="4591"/>
      <c r="DI163" s="1102">
        <f>IF(DG163=0,0,(DH163-DG163)/DG163*100)</f>
        <v>0</v>
      </c>
      <c r="DJ163" s="4591"/>
      <c r="DK163" s="4591"/>
      <c r="DL163" s="1102">
        <f>IF(DJ163=0,0,(DK163-DJ163)/DJ163*100)</f>
        <v>0</v>
      </c>
      <c r="DM163" s="4591"/>
      <c r="DN163" s="4591"/>
      <c r="DO163" s="1102">
        <f>IF(DM163=0,0,(DN163-DM163)/DM163*100)</f>
        <v>0</v>
      </c>
      <c r="DP163" s="4591"/>
      <c r="DQ163" s="4591"/>
      <c r="DR163" s="1102">
        <f>IF(DP163=0,0,(DQ163-DP163)/DP163*100)</f>
        <v>0</v>
      </c>
      <c r="DS163" s="4591"/>
      <c r="DT163" s="4591"/>
      <c r="DU163" s="1102">
        <f>IF(DS163=0,0,(DT163-DS163)/DS163*100)</f>
        <v>0</v>
      </c>
      <c r="DV163" s="4591"/>
      <c r="DW163" s="4591"/>
      <c r="DX163" s="1102">
        <f>IF(DV163=0,0,(DW163-DV163)/DV163*100)</f>
        <v>0</v>
      </c>
      <c r="DY163" s="4591"/>
      <c r="DZ163" s="4591"/>
      <c r="EA163" s="1102">
        <f>IF(DY163=0,0,(DZ163-DY163)/DY163*100)</f>
        <v>0</v>
      </c>
      <c r="EB163" s="4591"/>
      <c r="EC163" s="4591"/>
      <c r="ED163" s="1102">
        <f>IF(EB163=0,0,(EC163-EB163)/EB163*100)</f>
        <v>0</v>
      </c>
      <c r="EE163" s="4591"/>
      <c r="EF163" s="4591"/>
      <c r="EG163" s="1102">
        <f>IF(EE163=0,0,(EF163-EE163)/EE163*100)</f>
        <v>0</v>
      </c>
      <c r="EH163" s="4591"/>
      <c r="EI163" s="4591"/>
      <c r="EJ163" s="1102">
        <f>IF(EH163=0,0,(EI163-EH163)/EH163*100)</f>
        <v>0</v>
      </c>
      <c r="EK163" s="4591"/>
      <c r="EL163" s="4591"/>
      <c r="EM163" s="1102">
        <f>IF(EK163=0,0,(EL163-EK163)/EK163*100)</f>
        <v>0</v>
      </c>
      <c r="EN163" s="4591"/>
      <c r="EO163" s="4591"/>
      <c r="EP163" s="1102">
        <f>IF(EN163=0,0,(EO163-EN163)/EN163*100)</f>
        <v>0</v>
      </c>
      <c r="EQ163" s="4591"/>
      <c r="ER163" s="4591"/>
      <c r="ES163" s="1102">
        <f>IF(EQ163=0,0,(ER163-EQ163)/EQ163*100)</f>
        <v>0</v>
      </c>
      <c r="ET163" s="4591"/>
      <c r="EU163" s="4591"/>
      <c r="EV163" s="1102">
        <f>IF(ET163=0,0,(EU163-ET163)/ET163*100)</f>
        <v>0</v>
      </c>
      <c r="EW163" s="4591"/>
      <c r="EX163" s="4591"/>
      <c r="EY163" s="1102">
        <f>IF(EW163=0,0,(EX163-EW163)/EW163*100)</f>
        <v>0</v>
      </c>
      <c r="EZ163" s="4591"/>
      <c r="FA163" s="4591"/>
      <c r="FB163" s="1102">
        <f>IF(EZ163=0,0,(FA163-EZ163)/EZ163*100)</f>
        <v>0</v>
      </c>
      <c r="FC163" s="4591"/>
      <c r="FD163" s="4591"/>
      <c r="FE163" s="1102">
        <f>IF(FC163=0,0,(FD163-FC163)/FC163*100)</f>
        <v>0</v>
      </c>
      <c r="FF163" s="4591"/>
      <c r="FG163" s="4591"/>
      <c r="FH163" s="1102">
        <f>IF(FF163=0,0,(FG163-FF163)/FF163*100)</f>
        <v>0</v>
      </c>
      <c r="FI163" s="4591"/>
      <c r="FJ163" s="4591"/>
      <c r="FK163" s="1102">
        <f>IF(FI163=0,0,(FJ163-FI163)/FI163*100)</f>
        <v>0</v>
      </c>
      <c r="FL163" s="4591"/>
      <c r="FM163" s="4591"/>
      <c r="FN163" s="1102">
        <f>IF(FL163=0,0,(FM163-FL163)/FL163*100)</f>
        <v>0</v>
      </c>
      <c r="FO163" s="4591"/>
      <c r="FP163" s="4591"/>
      <c r="FQ163" s="1102">
        <f>IF(FO163=0,0,(FP163-FO163)/FO163*100)</f>
        <v>0</v>
      </c>
      <c r="FR163" s="4591"/>
      <c r="FS163" s="4591"/>
      <c r="FT163" s="1102">
        <f>IF(FR163=0,0,(FS163-FR163)/FR163*100)</f>
        <v>0</v>
      </c>
      <c r="FU163" s="4591"/>
      <c r="FV163" s="4591"/>
      <c r="FW163" s="1102">
        <f>IF(FU163=0,0,(FV163-FU163)/FU163*100)</f>
        <v>0</v>
      </c>
      <c r="FX163" s="1328"/>
      <c r="FY163" s="1328"/>
      <c r="FZ163" s="1063" t="s">
        <v>1933</v>
      </c>
      <c r="GA163" s="1023" t="s">
        <v>993</v>
      </c>
      <c r="GB163" s="1023" cm="1" t="str">
        <f t="array" ref="GB163:GB163">GB162</f>
        <v>0</v>
      </c>
      <c r="GC163" s="1329"/>
      <c r="GD163" s="1329"/>
    </row>
    <row customHeight="1" ht="18.525" hidden="1">
      <c r="A164" s="496"/>
      <c r="B164" s="932" cm="1" t="str">
        <f t="array" ref="B164:B164">B163</f>
        <v>false</v>
      </c>
      <c r="C164" s="496"/>
      <c r="D164" s="496"/>
      <c r="E164" s="847">
        <v>19</v>
      </c>
      <c r="F164" s="50" cm="1" t="str">
        <f t="array" ref="F164:F164">OFFSET(E164,-1,1)</f>
        <v>1</v>
      </c>
      <c r="G164" s="496"/>
      <c r="H164" s="496"/>
      <c r="I164" s="496"/>
      <c r="J164" s="496"/>
      <c r="K164" s="496"/>
      <c r="L164" s="496"/>
      <c r="M164" s="496"/>
      <c r="N164" s="496"/>
      <c r="O164" s="496"/>
      <c r="P164" s="496"/>
      <c r="Q164" s="496"/>
      <c r="R164" s="496"/>
      <c r="S164" s="496"/>
      <c r="T164" s="468" cm="1" t="str">
        <f t="array" ref="T164:T164">T163</f>
        <v>false</v>
      </c>
      <c r="U164" s="496"/>
      <c r="V164" s="496"/>
      <c r="W164" s="496"/>
      <c r="X164" s="1559"/>
      <c r="Y164" s="1559"/>
      <c r="Z164" s="1528"/>
      <c r="AA164" s="1516"/>
      <c r="AB164" s="4590"/>
      <c r="AC164" s="872"/>
      <c r="AD164" s="1114"/>
      <c r="AE164" s="1115"/>
      <c r="AF164" s="1115"/>
      <c r="AG164" s="1114"/>
      <c r="AH164" s="1115"/>
      <c r="AI164" s="1115"/>
      <c r="AJ164" s="1114"/>
      <c r="AK164" s="1115"/>
      <c r="AL164" s="1115"/>
      <c r="AM164" s="1114"/>
      <c r="AN164" s="1115"/>
      <c r="AO164" s="1115"/>
      <c r="AP164" s="1114"/>
      <c r="AQ164" s="1115"/>
      <c r="AR164" s="1115"/>
      <c r="AS164" s="1114"/>
      <c r="AT164" s="1115"/>
      <c r="AU164" s="1115"/>
      <c r="AV164" s="1114"/>
      <c r="AW164" s="1115"/>
      <c r="AX164" s="1115"/>
      <c r="AY164" s="1114"/>
      <c r="AZ164" s="1115"/>
      <c r="BA164" s="1115"/>
      <c r="BB164" s="1114"/>
      <c r="BC164" s="1115"/>
      <c r="BD164" s="1115"/>
      <c r="BE164" s="1114"/>
      <c r="BF164" s="1115"/>
      <c r="BG164" s="1115"/>
      <c r="BH164" s="1114"/>
      <c r="BI164" s="1115"/>
      <c r="BJ164" s="1115"/>
      <c r="BK164" s="1114"/>
      <c r="BL164" s="1115"/>
      <c r="BM164" s="1115"/>
      <c r="BN164" s="1114"/>
      <c r="BO164" s="1115"/>
      <c r="BP164" s="1115"/>
      <c r="BQ164" s="1114"/>
      <c r="BR164" s="1115"/>
      <c r="BS164" s="1115"/>
      <c r="BT164" s="1114"/>
      <c r="BU164" s="1115"/>
      <c r="BV164" s="1115"/>
      <c r="BW164" s="1114"/>
      <c r="BX164" s="1115"/>
      <c r="BY164" s="1115"/>
      <c r="BZ164" s="1114"/>
      <c r="CA164" s="1115"/>
      <c r="CB164" s="1115"/>
      <c r="CC164" s="1114"/>
      <c r="CD164" s="1115"/>
      <c r="CE164" s="1115"/>
      <c r="CF164" s="1114"/>
      <c r="CG164" s="1115"/>
      <c r="CH164" s="1115"/>
      <c r="CI164" s="1114"/>
      <c r="CJ164" s="1115"/>
      <c r="CK164" s="1115"/>
      <c r="CL164" s="1114"/>
      <c r="CM164" s="1115"/>
      <c r="CN164" s="1115"/>
      <c r="CO164" s="1114"/>
      <c r="CP164" s="1115"/>
      <c r="CQ164" s="1115"/>
      <c r="CR164" s="1114"/>
      <c r="CS164" s="1115"/>
      <c r="CT164" s="1115"/>
      <c r="CU164" s="1114"/>
      <c r="CV164" s="1115"/>
      <c r="CW164" s="1115"/>
      <c r="CX164" s="1114"/>
      <c r="CY164" s="1115"/>
      <c r="CZ164" s="1115"/>
      <c r="DA164" s="1114"/>
      <c r="DB164" s="1115"/>
      <c r="DC164" s="1115"/>
      <c r="DD164" s="1114"/>
      <c r="DE164" s="1115"/>
      <c r="DF164" s="1115"/>
      <c r="DG164" s="1114"/>
      <c r="DH164" s="1115"/>
      <c r="DI164" s="1115"/>
      <c r="DJ164" s="1114"/>
      <c r="DK164" s="1115"/>
      <c r="DL164" s="1115"/>
      <c r="DM164" s="1114"/>
      <c r="DN164" s="1115"/>
      <c r="DO164" s="1115"/>
      <c r="DP164" s="1114"/>
      <c r="DQ164" s="1115"/>
      <c r="DR164" s="1115"/>
      <c r="DS164" s="1114"/>
      <c r="DT164" s="1115"/>
      <c r="DU164" s="1115"/>
      <c r="DV164" s="1114"/>
      <c r="DW164" s="1115"/>
      <c r="DX164" s="1115"/>
      <c r="DY164" s="1114"/>
      <c r="DZ164" s="1115"/>
      <c r="EA164" s="1115"/>
      <c r="EB164" s="1114"/>
      <c r="EC164" s="1115"/>
      <c r="ED164" s="1115"/>
      <c r="EE164" s="1114"/>
      <c r="EF164" s="1115"/>
      <c r="EG164" s="1115"/>
      <c r="EH164" s="1114"/>
      <c r="EI164" s="1115"/>
      <c r="EJ164" s="1115"/>
      <c r="EK164" s="1114"/>
      <c r="EL164" s="1115"/>
      <c r="EM164" s="1115"/>
      <c r="EN164" s="1114"/>
      <c r="EO164" s="1115"/>
      <c r="EP164" s="1115"/>
      <c r="EQ164" s="1114"/>
      <c r="ER164" s="1115"/>
      <c r="ES164" s="1115"/>
      <c r="ET164" s="1114"/>
      <c r="EU164" s="1115"/>
      <c r="EV164" s="1115"/>
      <c r="EW164" s="1114"/>
      <c r="EX164" s="1115"/>
      <c r="EY164" s="1115"/>
      <c r="EZ164" s="1114"/>
      <c r="FA164" s="1115"/>
      <c r="FB164" s="1115"/>
      <c r="FC164" s="1114"/>
      <c r="FD164" s="1115"/>
      <c r="FE164" s="1115"/>
      <c r="FF164" s="1114"/>
      <c r="FG164" s="1115"/>
      <c r="FH164" s="1115"/>
      <c r="FI164" s="1114"/>
      <c r="FJ164" s="1115"/>
      <c r="FK164" s="1115"/>
      <c r="FL164" s="1114"/>
      <c r="FM164" s="1115"/>
      <c r="FN164" s="1115"/>
      <c r="FO164" s="1114"/>
      <c r="FP164" s="1115"/>
      <c r="FQ164" s="1115"/>
      <c r="FR164" s="1114"/>
      <c r="FS164" s="1115"/>
      <c r="FT164" s="1115"/>
      <c r="FU164" s="1114"/>
      <c r="FV164" s="1115"/>
      <c r="FW164" s="1116"/>
      <c r="GA164" s="1330" t="s">
        <v>240</v>
      </c>
      <c r="GB164" s="1330" cm="1" t="str">
        <f t="array" ref="GB164:GB164">GB163</f>
        <v>0</v>
      </c>
    </row>
    <row customHeight="1" ht="18.525" hidden="1">
      <c r="A165" s="496"/>
      <c r="B165" s="932" cm="1" t="str">
        <f t="array" ref="B165:B165">B164</f>
        <v>false</v>
      </c>
      <c r="C165" s="496"/>
      <c r="D165" s="496"/>
      <c r="E165" s="847">
        <v>19</v>
      </c>
      <c r="F165" s="50" cm="1" t="str">
        <f t="array" ref="F165:F165">OFFSET(E165,-1,1)</f>
        <v>1</v>
      </c>
      <c r="G165" s="496"/>
      <c r="H165" s="496"/>
      <c r="I165" s="496"/>
      <c r="J165" s="496"/>
      <c r="K165" s="496"/>
      <c r="L165" s="496"/>
      <c r="M165" s="496"/>
      <c r="N165" s="496"/>
      <c r="O165" s="496"/>
      <c r="P165" s="496"/>
      <c r="Q165" s="496"/>
      <c r="R165" s="496"/>
      <c r="S165" s="496"/>
      <c r="T165" s="468" cm="1" t="str">
        <f t="array" ref="T165:T165">T164</f>
        <v>false</v>
      </c>
      <c r="U165" s="496"/>
      <c r="V165" s="496"/>
      <c r="W165" s="496"/>
      <c r="X165" s="1559"/>
      <c r="Y165" s="1559"/>
      <c r="Z165" s="1528"/>
      <c r="AA165" s="1516"/>
      <c r="AB165" s="911" t="s">
        <v>1895</v>
      </c>
      <c r="AC165" s="871" t="s">
        <v>1862</v>
      </c>
      <c r="AD165" s="4591"/>
      <c r="AE165" s="4591"/>
      <c r="AF165" s="1102">
        <f>IF(AD165=0,0,(AE165-AD165)/AD165*100)</f>
        <v>0</v>
      </c>
      <c r="AG165" s="4591"/>
      <c r="AH165" s="4591"/>
      <c r="AI165" s="1102">
        <f>IF(AG165=0,0,(AH165-AG165)/AG165*100)</f>
        <v>0</v>
      </c>
      <c r="AJ165" s="4591"/>
      <c r="AK165" s="4591"/>
      <c r="AL165" s="1102">
        <f>IF(AJ165=0,0,(AK165-AJ165)/AJ165*100)</f>
        <v>0</v>
      </c>
      <c r="AM165" s="4591"/>
      <c r="AN165" s="4591"/>
      <c r="AO165" s="1102">
        <f>IF(AM165=0,0,(AN165-AM165)/AM165*100)</f>
        <v>0</v>
      </c>
      <c r="AP165" s="4591"/>
      <c r="AQ165" s="4591"/>
      <c r="AR165" s="1102">
        <f>IF(AP165=0,0,(AQ165-AP165)/AP165*100)</f>
        <v>0</v>
      </c>
      <c r="AS165" s="4591"/>
      <c r="AT165" s="4591"/>
      <c r="AU165" s="1102">
        <f>IF(AS165=0,0,(AT165-AS165)/AS165*100)</f>
        <v>0</v>
      </c>
      <c r="AV165" s="4591"/>
      <c r="AW165" s="4591"/>
      <c r="AX165" s="1102">
        <f>IF(AV165=0,0,(AW165-AV165)/AV165*100)</f>
        <v>0</v>
      </c>
      <c r="AY165" s="4591"/>
      <c r="AZ165" s="4591"/>
      <c r="BA165" s="1102">
        <f>IF(AY165=0,0,(AZ165-AY165)/AY165*100)</f>
        <v>0</v>
      </c>
      <c r="BB165" s="4591"/>
      <c r="BC165" s="4591"/>
      <c r="BD165" s="1102">
        <f>IF(BB165=0,0,(BC165-BB165)/BB165*100)</f>
        <v>0</v>
      </c>
      <c r="BE165" s="4591"/>
      <c r="BF165" s="4591"/>
      <c r="BG165" s="1102">
        <f>IF(BE165=0,0,(BF165-BE165)/BE165*100)</f>
        <v>0</v>
      </c>
      <c r="BH165" s="4591"/>
      <c r="BI165" s="4591"/>
      <c r="BJ165" s="1102">
        <f>IF(BH165=0,0,(BI165-BH165)/BH165*100)</f>
        <v>0</v>
      </c>
      <c r="BK165" s="4591"/>
      <c r="BL165" s="4591"/>
      <c r="BM165" s="1102">
        <f>IF(BK165=0,0,(BL165-BK165)/BK165*100)</f>
        <v>0</v>
      </c>
      <c r="BN165" s="4591"/>
      <c r="BO165" s="4591"/>
      <c r="BP165" s="1102">
        <f>IF(BN165=0,0,(BO165-BN165)/BN165*100)</f>
        <v>0</v>
      </c>
      <c r="BQ165" s="4591"/>
      <c r="BR165" s="4591"/>
      <c r="BS165" s="1102">
        <f>IF(BQ165=0,0,(BR165-BQ165)/BQ165*100)</f>
        <v>0</v>
      </c>
      <c r="BT165" s="4591"/>
      <c r="BU165" s="4591"/>
      <c r="BV165" s="1102">
        <f>IF(BT165=0,0,(BU165-BT165)/BT165*100)</f>
        <v>0</v>
      </c>
      <c r="BW165" s="4591"/>
      <c r="BX165" s="4591"/>
      <c r="BY165" s="1102">
        <f>IF(BW165=0,0,(BX165-BW165)/BW165*100)</f>
        <v>0</v>
      </c>
      <c r="BZ165" s="4591"/>
      <c r="CA165" s="4591"/>
      <c r="CB165" s="1102">
        <f>IF(BZ165=0,0,(CA165-BZ165)/BZ165*100)</f>
        <v>0</v>
      </c>
      <c r="CC165" s="4591"/>
      <c r="CD165" s="4591"/>
      <c r="CE165" s="1102">
        <f>IF(CC165=0,0,(CD165-CC165)/CC165*100)</f>
        <v>0</v>
      </c>
      <c r="CF165" s="4591"/>
      <c r="CG165" s="4591"/>
      <c r="CH165" s="1102">
        <f>IF(CF165=0,0,(CG165-CF165)/CF165*100)</f>
        <v>0</v>
      </c>
      <c r="CI165" s="4591"/>
      <c r="CJ165" s="4591"/>
      <c r="CK165" s="1102">
        <f>IF(CI165=0,0,(CJ165-CI165)/CI165*100)</f>
        <v>0</v>
      </c>
      <c r="CL165" s="4591"/>
      <c r="CM165" s="4591"/>
      <c r="CN165" s="1102">
        <f>IF(CL165=0,0,(CM165-CL165)/CL165*100)</f>
        <v>0</v>
      </c>
      <c r="CO165" s="4591"/>
      <c r="CP165" s="4591"/>
      <c r="CQ165" s="1102">
        <f>IF(CO165=0,0,(CP165-CO165)/CO165*100)</f>
        <v>0</v>
      </c>
      <c r="CR165" s="4591"/>
      <c r="CS165" s="4591"/>
      <c r="CT165" s="1102">
        <f>IF(CR165=0,0,(CS165-CR165)/CR165*100)</f>
        <v>0</v>
      </c>
      <c r="CU165" s="4591"/>
      <c r="CV165" s="4591"/>
      <c r="CW165" s="1102">
        <f>IF(CU165=0,0,(CV165-CU165)/CU165*100)</f>
        <v>0</v>
      </c>
      <c r="CX165" s="4591"/>
      <c r="CY165" s="4591"/>
      <c r="CZ165" s="1102">
        <f>IF(CX165=0,0,(CY165-CX165)/CX165*100)</f>
        <v>0</v>
      </c>
      <c r="DA165" s="4591"/>
      <c r="DB165" s="4591"/>
      <c r="DC165" s="1102">
        <f>IF(DA165=0,0,(DB165-DA165)/DA165*100)</f>
        <v>0</v>
      </c>
      <c r="DD165" s="4591"/>
      <c r="DE165" s="4591"/>
      <c r="DF165" s="1102">
        <f>IF(DD165=0,0,(DE165-DD165)/DD165*100)</f>
        <v>0</v>
      </c>
      <c r="DG165" s="4591"/>
      <c r="DH165" s="4591"/>
      <c r="DI165" s="1102">
        <f>IF(DG165=0,0,(DH165-DG165)/DG165*100)</f>
        <v>0</v>
      </c>
      <c r="DJ165" s="4591"/>
      <c r="DK165" s="4591"/>
      <c r="DL165" s="1102">
        <f>IF(DJ165=0,0,(DK165-DJ165)/DJ165*100)</f>
        <v>0</v>
      </c>
      <c r="DM165" s="4591"/>
      <c r="DN165" s="4591"/>
      <c r="DO165" s="1102">
        <f>IF(DM165=0,0,(DN165-DM165)/DM165*100)</f>
        <v>0</v>
      </c>
      <c r="DP165" s="4591"/>
      <c r="DQ165" s="4591"/>
      <c r="DR165" s="1102">
        <f>IF(DP165=0,0,(DQ165-DP165)/DP165*100)</f>
        <v>0</v>
      </c>
      <c r="DS165" s="4591"/>
      <c r="DT165" s="4591"/>
      <c r="DU165" s="1102">
        <f>IF(DS165=0,0,(DT165-DS165)/DS165*100)</f>
        <v>0</v>
      </c>
      <c r="DV165" s="4591"/>
      <c r="DW165" s="4591"/>
      <c r="DX165" s="1102">
        <f>IF(DV165=0,0,(DW165-DV165)/DV165*100)</f>
        <v>0</v>
      </c>
      <c r="DY165" s="4591"/>
      <c r="DZ165" s="4591"/>
      <c r="EA165" s="1102">
        <f>IF(DY165=0,0,(DZ165-DY165)/DY165*100)</f>
        <v>0</v>
      </c>
      <c r="EB165" s="4591"/>
      <c r="EC165" s="4591"/>
      <c r="ED165" s="1102">
        <f>IF(EB165=0,0,(EC165-EB165)/EB165*100)</f>
        <v>0</v>
      </c>
      <c r="EE165" s="4591"/>
      <c r="EF165" s="4591"/>
      <c r="EG165" s="1102">
        <f>IF(EE165=0,0,(EF165-EE165)/EE165*100)</f>
        <v>0</v>
      </c>
      <c r="EH165" s="4591"/>
      <c r="EI165" s="4591"/>
      <c r="EJ165" s="1102">
        <f>IF(EH165=0,0,(EI165-EH165)/EH165*100)</f>
        <v>0</v>
      </c>
      <c r="EK165" s="4591"/>
      <c r="EL165" s="4591"/>
      <c r="EM165" s="1102">
        <f>IF(EK165=0,0,(EL165-EK165)/EK165*100)</f>
        <v>0</v>
      </c>
      <c r="EN165" s="4591"/>
      <c r="EO165" s="4591"/>
      <c r="EP165" s="1102">
        <f>IF(EN165=0,0,(EO165-EN165)/EN165*100)</f>
        <v>0</v>
      </c>
      <c r="EQ165" s="4591"/>
      <c r="ER165" s="4591"/>
      <c r="ES165" s="1102">
        <f>IF(EQ165=0,0,(ER165-EQ165)/EQ165*100)</f>
        <v>0</v>
      </c>
      <c r="ET165" s="4591"/>
      <c r="EU165" s="4591"/>
      <c r="EV165" s="1102">
        <f>IF(ET165=0,0,(EU165-ET165)/ET165*100)</f>
        <v>0</v>
      </c>
      <c r="EW165" s="4591"/>
      <c r="EX165" s="4591"/>
      <c r="EY165" s="1102">
        <f>IF(EW165=0,0,(EX165-EW165)/EW165*100)</f>
        <v>0</v>
      </c>
      <c r="EZ165" s="4591"/>
      <c r="FA165" s="4591"/>
      <c r="FB165" s="1102">
        <f>IF(EZ165=0,0,(FA165-EZ165)/EZ165*100)</f>
        <v>0</v>
      </c>
      <c r="FC165" s="4591"/>
      <c r="FD165" s="4591"/>
      <c r="FE165" s="1102">
        <f>IF(FC165=0,0,(FD165-FC165)/FC165*100)</f>
        <v>0</v>
      </c>
      <c r="FF165" s="4591"/>
      <c r="FG165" s="4591"/>
      <c r="FH165" s="1102">
        <f>IF(FF165=0,0,(FG165-FF165)/FF165*100)</f>
        <v>0</v>
      </c>
      <c r="FI165" s="4591"/>
      <c r="FJ165" s="4591"/>
      <c r="FK165" s="1102">
        <f>IF(FI165=0,0,(FJ165-FI165)/FI165*100)</f>
        <v>0</v>
      </c>
      <c r="FL165" s="4591"/>
      <c r="FM165" s="4591"/>
      <c r="FN165" s="1102">
        <f>IF(FL165=0,0,(FM165-FL165)/FL165*100)</f>
        <v>0</v>
      </c>
      <c r="FO165" s="4591"/>
      <c r="FP165" s="4591"/>
      <c r="FQ165" s="1102">
        <f>IF(FO165=0,0,(FP165-FO165)/FO165*100)</f>
        <v>0</v>
      </c>
      <c r="FR165" s="4591"/>
      <c r="FS165" s="4591"/>
      <c r="FT165" s="1102">
        <f>IF(FR165=0,0,(FS165-FR165)/FR165*100)</f>
        <v>0</v>
      </c>
      <c r="FU165" s="4591"/>
      <c r="FV165" s="4591"/>
      <c r="FW165" s="1102">
        <f>IF(FU165=0,0,(FV165-FU165)/FU165*100)</f>
        <v>0</v>
      </c>
      <c r="FZ165" s="1330" t="s">
        <v>1934</v>
      </c>
      <c r="GA165" s="1330" t="s">
        <v>993</v>
      </c>
      <c r="GB165" s="1330" cm="1" t="str">
        <f t="array" ref="GB165:GB165">GB164</f>
        <v>0</v>
      </c>
    </row>
    <row customHeight="1" ht="18.525" hidden="1">
      <c r="A166" s="496"/>
      <c r="B166" s="932" cm="1" t="str">
        <f t="array" ref="B166:B166">B165</f>
        <v>false</v>
      </c>
      <c r="C166" s="496"/>
      <c r="D166" s="496"/>
      <c r="E166" s="847">
        <v>19</v>
      </c>
      <c r="F166" s="50" cm="1" t="str">
        <f t="array" ref="F166:F166">OFFSET(E166,-1,1)</f>
        <v>1</v>
      </c>
      <c r="G166" s="496"/>
      <c r="H166" s="496"/>
      <c r="I166" s="496"/>
      <c r="J166" s="496"/>
      <c r="K166" s="496"/>
      <c r="L166" s="496"/>
      <c r="M166" s="496"/>
      <c r="N166" s="496"/>
      <c r="O166" s="496"/>
      <c r="P166" s="496"/>
      <c r="Q166" s="496"/>
      <c r="R166" s="496"/>
      <c r="S166" s="496"/>
      <c r="T166" s="468" cm="1" t="str">
        <f t="array" ref="T166:T166">T165</f>
        <v>false</v>
      </c>
      <c r="U166" s="496"/>
      <c r="V166" s="496"/>
      <c r="W166" s="496"/>
      <c r="X166" s="1559"/>
      <c r="Y166" s="1559"/>
      <c r="Z166" s="1528"/>
      <c r="AA166" s="1516"/>
      <c r="AB166" s="911" t="str">
        <f>"ставка платы за "&amp;IF(Q98="Водоснабжение","потребление 1 куб.м холодной воды","объем принятых сточных вод")</f>
        <v>ставка платы за объем принятых сточных вод</v>
      </c>
      <c r="AC166" s="871" t="s">
        <v>1862</v>
      </c>
      <c r="AD166" s="4591"/>
      <c r="AE166" s="4591"/>
      <c r="AF166" s="1102">
        <f>IF(AD166=0,0,(AE166-AD166)/AD166*100)</f>
        <v>0</v>
      </c>
      <c r="AG166" s="4591"/>
      <c r="AH166" s="4591"/>
      <c r="AI166" s="1102">
        <f>IF(AG166=0,0,(AH166-AG166)/AG166*100)</f>
        <v>0</v>
      </c>
      <c r="AJ166" s="4591"/>
      <c r="AK166" s="4591"/>
      <c r="AL166" s="1102">
        <f>IF(AJ166=0,0,(AK166-AJ166)/AJ166*100)</f>
        <v>0</v>
      </c>
      <c r="AM166" s="4591"/>
      <c r="AN166" s="4591"/>
      <c r="AO166" s="1102">
        <f>IF(AM166=0,0,(AN166-AM166)/AM166*100)</f>
        <v>0</v>
      </c>
      <c r="AP166" s="4591"/>
      <c r="AQ166" s="4591"/>
      <c r="AR166" s="1102">
        <f>IF(AP166=0,0,(AQ166-AP166)/AP166*100)</f>
        <v>0</v>
      </c>
      <c r="AS166" s="4591"/>
      <c r="AT166" s="4591"/>
      <c r="AU166" s="1102">
        <f>IF(AS166=0,0,(AT166-AS166)/AS166*100)</f>
        <v>0</v>
      </c>
      <c r="AV166" s="4591"/>
      <c r="AW166" s="4591"/>
      <c r="AX166" s="1102">
        <f>IF(AV166=0,0,(AW166-AV166)/AV166*100)</f>
        <v>0</v>
      </c>
      <c r="AY166" s="4591"/>
      <c r="AZ166" s="4591"/>
      <c r="BA166" s="1102">
        <f>IF(AY166=0,0,(AZ166-AY166)/AY166*100)</f>
        <v>0</v>
      </c>
      <c r="BB166" s="4591"/>
      <c r="BC166" s="4591"/>
      <c r="BD166" s="1102">
        <f>IF(BB166=0,0,(BC166-BB166)/BB166*100)</f>
        <v>0</v>
      </c>
      <c r="BE166" s="4591"/>
      <c r="BF166" s="4591"/>
      <c r="BG166" s="1102">
        <f>IF(BE166=0,0,(BF166-BE166)/BE166*100)</f>
        <v>0</v>
      </c>
      <c r="BH166" s="4591"/>
      <c r="BI166" s="4591"/>
      <c r="BJ166" s="1102">
        <f>IF(BH166=0,0,(BI166-BH166)/BH166*100)</f>
        <v>0</v>
      </c>
      <c r="BK166" s="4591"/>
      <c r="BL166" s="4591"/>
      <c r="BM166" s="1102">
        <f>IF(BK166=0,0,(BL166-BK166)/BK166*100)</f>
        <v>0</v>
      </c>
      <c r="BN166" s="4591"/>
      <c r="BO166" s="4591"/>
      <c r="BP166" s="1102">
        <f>IF(BN166=0,0,(BO166-BN166)/BN166*100)</f>
        <v>0</v>
      </c>
      <c r="BQ166" s="4591"/>
      <c r="BR166" s="4591"/>
      <c r="BS166" s="1102">
        <f>IF(BQ166=0,0,(BR166-BQ166)/BQ166*100)</f>
        <v>0</v>
      </c>
      <c r="BT166" s="4591"/>
      <c r="BU166" s="4591"/>
      <c r="BV166" s="1102">
        <f>IF(BT166=0,0,(BU166-BT166)/BT166*100)</f>
        <v>0</v>
      </c>
      <c r="BW166" s="4591"/>
      <c r="BX166" s="4591"/>
      <c r="BY166" s="1102">
        <f>IF(BW166=0,0,(BX166-BW166)/BW166*100)</f>
        <v>0</v>
      </c>
      <c r="BZ166" s="4591"/>
      <c r="CA166" s="4591"/>
      <c r="CB166" s="1102">
        <f>IF(BZ166=0,0,(CA166-BZ166)/BZ166*100)</f>
        <v>0</v>
      </c>
      <c r="CC166" s="4591"/>
      <c r="CD166" s="4591"/>
      <c r="CE166" s="1102">
        <f>IF(CC166=0,0,(CD166-CC166)/CC166*100)</f>
        <v>0</v>
      </c>
      <c r="CF166" s="4591"/>
      <c r="CG166" s="4591"/>
      <c r="CH166" s="1102">
        <f>IF(CF166=0,0,(CG166-CF166)/CF166*100)</f>
        <v>0</v>
      </c>
      <c r="CI166" s="4591"/>
      <c r="CJ166" s="4591"/>
      <c r="CK166" s="1102">
        <f>IF(CI166=0,0,(CJ166-CI166)/CI166*100)</f>
        <v>0</v>
      </c>
      <c r="CL166" s="4591"/>
      <c r="CM166" s="4591"/>
      <c r="CN166" s="1102">
        <f>IF(CL166=0,0,(CM166-CL166)/CL166*100)</f>
        <v>0</v>
      </c>
      <c r="CO166" s="4591"/>
      <c r="CP166" s="4591"/>
      <c r="CQ166" s="1102">
        <f>IF(CO166=0,0,(CP166-CO166)/CO166*100)</f>
        <v>0</v>
      </c>
      <c r="CR166" s="4591"/>
      <c r="CS166" s="4591"/>
      <c r="CT166" s="1102">
        <f>IF(CR166=0,0,(CS166-CR166)/CR166*100)</f>
        <v>0</v>
      </c>
      <c r="CU166" s="4591"/>
      <c r="CV166" s="4591"/>
      <c r="CW166" s="1102">
        <f>IF(CU166=0,0,(CV166-CU166)/CU166*100)</f>
        <v>0</v>
      </c>
      <c r="CX166" s="4591"/>
      <c r="CY166" s="4591"/>
      <c r="CZ166" s="1102">
        <f>IF(CX166=0,0,(CY166-CX166)/CX166*100)</f>
        <v>0</v>
      </c>
      <c r="DA166" s="4591"/>
      <c r="DB166" s="4591"/>
      <c r="DC166" s="1102">
        <f>IF(DA166=0,0,(DB166-DA166)/DA166*100)</f>
        <v>0</v>
      </c>
      <c r="DD166" s="4591"/>
      <c r="DE166" s="4591"/>
      <c r="DF166" s="1102">
        <f>IF(DD166=0,0,(DE166-DD166)/DD166*100)</f>
        <v>0</v>
      </c>
      <c r="DG166" s="4591"/>
      <c r="DH166" s="4591"/>
      <c r="DI166" s="1102">
        <f>IF(DG166=0,0,(DH166-DG166)/DG166*100)</f>
        <v>0</v>
      </c>
      <c r="DJ166" s="4591"/>
      <c r="DK166" s="4591"/>
      <c r="DL166" s="1102">
        <f>IF(DJ166=0,0,(DK166-DJ166)/DJ166*100)</f>
        <v>0</v>
      </c>
      <c r="DM166" s="4591"/>
      <c r="DN166" s="4591"/>
      <c r="DO166" s="1102">
        <f>IF(DM166=0,0,(DN166-DM166)/DM166*100)</f>
        <v>0</v>
      </c>
      <c r="DP166" s="4591"/>
      <c r="DQ166" s="4591"/>
      <c r="DR166" s="1102">
        <f>IF(DP166=0,0,(DQ166-DP166)/DP166*100)</f>
        <v>0</v>
      </c>
      <c r="DS166" s="4591"/>
      <c r="DT166" s="4591"/>
      <c r="DU166" s="1102">
        <f>IF(DS166=0,0,(DT166-DS166)/DS166*100)</f>
        <v>0</v>
      </c>
      <c r="DV166" s="4591"/>
      <c r="DW166" s="4591"/>
      <c r="DX166" s="1102">
        <f>IF(DV166=0,0,(DW166-DV166)/DV166*100)</f>
        <v>0</v>
      </c>
      <c r="DY166" s="4591"/>
      <c r="DZ166" s="4591"/>
      <c r="EA166" s="1102">
        <f>IF(DY166=0,0,(DZ166-DY166)/DY166*100)</f>
        <v>0</v>
      </c>
      <c r="EB166" s="4591"/>
      <c r="EC166" s="4591"/>
      <c r="ED166" s="1102">
        <f>IF(EB166=0,0,(EC166-EB166)/EB166*100)</f>
        <v>0</v>
      </c>
      <c r="EE166" s="4591"/>
      <c r="EF166" s="4591"/>
      <c r="EG166" s="1102">
        <f>IF(EE166=0,0,(EF166-EE166)/EE166*100)</f>
        <v>0</v>
      </c>
      <c r="EH166" s="4591"/>
      <c r="EI166" s="4591"/>
      <c r="EJ166" s="1102">
        <f>IF(EH166=0,0,(EI166-EH166)/EH166*100)</f>
        <v>0</v>
      </c>
      <c r="EK166" s="4591"/>
      <c r="EL166" s="4591"/>
      <c r="EM166" s="1102">
        <f>IF(EK166=0,0,(EL166-EK166)/EK166*100)</f>
        <v>0</v>
      </c>
      <c r="EN166" s="4591"/>
      <c r="EO166" s="4591"/>
      <c r="EP166" s="1102">
        <f>IF(EN166=0,0,(EO166-EN166)/EN166*100)</f>
        <v>0</v>
      </c>
      <c r="EQ166" s="4591"/>
      <c r="ER166" s="4591"/>
      <c r="ES166" s="1102">
        <f>IF(EQ166=0,0,(ER166-EQ166)/EQ166*100)</f>
        <v>0</v>
      </c>
      <c r="ET166" s="4591"/>
      <c r="EU166" s="4591"/>
      <c r="EV166" s="1102">
        <f>IF(ET166=0,0,(EU166-ET166)/ET166*100)</f>
        <v>0</v>
      </c>
      <c r="EW166" s="4591"/>
      <c r="EX166" s="4591"/>
      <c r="EY166" s="1102">
        <f>IF(EW166=0,0,(EX166-EW166)/EW166*100)</f>
        <v>0</v>
      </c>
      <c r="EZ166" s="4591"/>
      <c r="FA166" s="4591"/>
      <c r="FB166" s="1102">
        <f>IF(EZ166=0,0,(FA166-EZ166)/EZ166*100)</f>
        <v>0</v>
      </c>
      <c r="FC166" s="4591"/>
      <c r="FD166" s="4591"/>
      <c r="FE166" s="1102">
        <f>IF(FC166=0,0,(FD166-FC166)/FC166*100)</f>
        <v>0</v>
      </c>
      <c r="FF166" s="4591"/>
      <c r="FG166" s="4591"/>
      <c r="FH166" s="1102">
        <f>IF(FF166=0,0,(FG166-FF166)/FF166*100)</f>
        <v>0</v>
      </c>
      <c r="FI166" s="4591"/>
      <c r="FJ166" s="4591"/>
      <c r="FK166" s="1102">
        <f>IF(FI166=0,0,(FJ166-FI166)/FI166*100)</f>
        <v>0</v>
      </c>
      <c r="FL166" s="4591"/>
      <c r="FM166" s="4591"/>
      <c r="FN166" s="1102">
        <f>IF(FL166=0,0,(FM166-FL166)/FL166*100)</f>
        <v>0</v>
      </c>
      <c r="FO166" s="4591"/>
      <c r="FP166" s="4591"/>
      <c r="FQ166" s="1102">
        <f>IF(FO166=0,0,(FP166-FO166)/FO166*100)</f>
        <v>0</v>
      </c>
      <c r="FR166" s="4591"/>
      <c r="FS166" s="4591"/>
      <c r="FT166" s="1102">
        <f>IF(FR166=0,0,(FS166-FR166)/FR166*100)</f>
        <v>0</v>
      </c>
      <c r="FU166" s="4591"/>
      <c r="FV166" s="4591"/>
      <c r="FW166" s="1102">
        <f>IF(FU166=0,0,(FV166-FU166)/FU166*100)</f>
        <v>0</v>
      </c>
      <c r="FZ166" s="1330" t="s">
        <v>1935</v>
      </c>
      <c r="GA166" s="1330" t="s">
        <v>993</v>
      </c>
      <c r="GB166" s="1330" cm="1" t="str">
        <f t="array" ref="GB166:GB166">GB165</f>
        <v>0</v>
      </c>
    </row>
    <row customHeight="1" ht="18.525" hidden="1">
      <c r="A167" s="496"/>
      <c r="B167" s="932" cm="1" t="str">
        <f t="array" ref="B167:B167">B166</f>
        <v>false</v>
      </c>
      <c r="C167" s="496"/>
      <c r="D167" s="496"/>
      <c r="E167" s="847">
        <v>19</v>
      </c>
      <c r="F167" s="50" cm="1" t="str">
        <f t="array" ref="F167:F167">OFFSET(E167,-1,1)</f>
        <v>1</v>
      </c>
      <c r="G167" s="496"/>
      <c r="H167" s="496"/>
      <c r="I167" s="496"/>
      <c r="J167" s="496"/>
      <c r="K167" s="496"/>
      <c r="L167" s="496"/>
      <c r="M167" s="496"/>
      <c r="N167" s="496"/>
      <c r="O167" s="496"/>
      <c r="P167" s="496"/>
      <c r="Q167" s="496"/>
      <c r="R167" s="496"/>
      <c r="S167" s="496"/>
      <c r="T167" s="468" cm="1" t="str">
        <f t="array" ref="T167:T167">T166</f>
        <v>false</v>
      </c>
      <c r="U167" s="496"/>
      <c r="V167" s="496"/>
      <c r="W167" s="496"/>
      <c r="X167" s="1559"/>
      <c r="Y167" s="1559"/>
      <c r="Z167" s="1528"/>
      <c r="AA167" s="1516"/>
      <c r="AB167" s="911" t="str">
        <f>"объём "&amp;IF(Q98="Водоснабжение","потребления холодной воды","водоотведения")</f>
        <v>объём водоотведения</v>
      </c>
      <c r="AC167" s="871" t="s">
        <v>657</v>
      </c>
      <c r="AD167" s="4585"/>
      <c r="AE167" s="4585"/>
      <c r="AF167" s="1104">
        <f>IF(AD167=0,0,(AE167-AD167)/AD167*100)</f>
        <v>0</v>
      </c>
      <c r="AG167" s="4585"/>
      <c r="AH167" s="4585"/>
      <c r="AI167" s="1104">
        <f>IF(AG167=0,0,(AH167-AG167)/AG167*100)</f>
        <v>0</v>
      </c>
      <c r="AJ167" s="4585"/>
      <c r="AK167" s="4585"/>
      <c r="AL167" s="1104">
        <f>IF(AJ167=0,0,(AK167-AJ167)/AJ167*100)</f>
        <v>0</v>
      </c>
      <c r="AM167" s="4585"/>
      <c r="AN167" s="4585"/>
      <c r="AO167" s="1104">
        <f>IF(AM167=0,0,(AN167-AM167)/AM167*100)</f>
        <v>0</v>
      </c>
      <c r="AP167" s="4585"/>
      <c r="AQ167" s="4585"/>
      <c r="AR167" s="1104">
        <f>IF(AP167=0,0,(AQ167-AP167)/AP167*100)</f>
        <v>0</v>
      </c>
      <c r="AS167" s="4585"/>
      <c r="AT167" s="4585"/>
      <c r="AU167" s="1104">
        <f>IF(AS167=0,0,(AT167-AS167)/AS167*100)</f>
        <v>0</v>
      </c>
      <c r="AV167" s="4585"/>
      <c r="AW167" s="4585"/>
      <c r="AX167" s="1104">
        <f>IF(AV167=0,0,(AW167-AV167)/AV167*100)</f>
        <v>0</v>
      </c>
      <c r="AY167" s="4585"/>
      <c r="AZ167" s="4585"/>
      <c r="BA167" s="1104">
        <f>IF(AY167=0,0,(AZ167-AY167)/AY167*100)</f>
        <v>0</v>
      </c>
      <c r="BB167" s="4585"/>
      <c r="BC167" s="4585"/>
      <c r="BD167" s="1104">
        <f>IF(BB167=0,0,(BC167-BB167)/BB167*100)</f>
        <v>0</v>
      </c>
      <c r="BE167" s="4585"/>
      <c r="BF167" s="4585"/>
      <c r="BG167" s="1104">
        <f>IF(BE167=0,0,(BF167-BE167)/BE167*100)</f>
        <v>0</v>
      </c>
      <c r="BH167" s="4585"/>
      <c r="BI167" s="4585"/>
      <c r="BJ167" s="1104">
        <f>IF(BH167=0,0,(BI167-BH167)/BH167*100)</f>
        <v>0</v>
      </c>
      <c r="BK167" s="4585"/>
      <c r="BL167" s="4585"/>
      <c r="BM167" s="1104">
        <f>IF(BK167=0,0,(BL167-BK167)/BK167*100)</f>
        <v>0</v>
      </c>
      <c r="BN167" s="4585"/>
      <c r="BO167" s="4585"/>
      <c r="BP167" s="1104">
        <f>IF(BN167=0,0,(BO167-BN167)/BN167*100)</f>
        <v>0</v>
      </c>
      <c r="BQ167" s="4585"/>
      <c r="BR167" s="4585"/>
      <c r="BS167" s="1104">
        <f>IF(BQ167=0,0,(BR167-BQ167)/BQ167*100)</f>
        <v>0</v>
      </c>
      <c r="BT167" s="4585"/>
      <c r="BU167" s="4585"/>
      <c r="BV167" s="1104">
        <f>IF(BT167=0,0,(BU167-BT167)/BT167*100)</f>
        <v>0</v>
      </c>
      <c r="BW167" s="4585"/>
      <c r="BX167" s="4585"/>
      <c r="BY167" s="1104">
        <f>IF(BW167=0,0,(BX167-BW167)/BW167*100)</f>
        <v>0</v>
      </c>
      <c r="BZ167" s="4585"/>
      <c r="CA167" s="4585"/>
      <c r="CB167" s="1104">
        <f>IF(BZ167=0,0,(CA167-BZ167)/BZ167*100)</f>
        <v>0</v>
      </c>
      <c r="CC167" s="4585"/>
      <c r="CD167" s="4585"/>
      <c r="CE167" s="1104">
        <f>IF(CC167=0,0,(CD167-CC167)/CC167*100)</f>
        <v>0</v>
      </c>
      <c r="CF167" s="4585"/>
      <c r="CG167" s="4585"/>
      <c r="CH167" s="1104">
        <f>IF(CF167=0,0,(CG167-CF167)/CF167*100)</f>
        <v>0</v>
      </c>
      <c r="CI167" s="4585"/>
      <c r="CJ167" s="4585"/>
      <c r="CK167" s="1104">
        <f>IF(CI167=0,0,(CJ167-CI167)/CI167*100)</f>
        <v>0</v>
      </c>
      <c r="CL167" s="4585"/>
      <c r="CM167" s="4585"/>
      <c r="CN167" s="1104">
        <f>IF(CL167=0,0,(CM167-CL167)/CL167*100)</f>
        <v>0</v>
      </c>
      <c r="CO167" s="4585"/>
      <c r="CP167" s="4585"/>
      <c r="CQ167" s="1104">
        <f>IF(CO167=0,0,(CP167-CO167)/CO167*100)</f>
        <v>0</v>
      </c>
      <c r="CR167" s="4585"/>
      <c r="CS167" s="4585"/>
      <c r="CT167" s="1104">
        <f>IF(CR167=0,0,(CS167-CR167)/CR167*100)</f>
        <v>0</v>
      </c>
      <c r="CU167" s="4585"/>
      <c r="CV167" s="4585"/>
      <c r="CW167" s="1104">
        <f>IF(CU167=0,0,(CV167-CU167)/CU167*100)</f>
        <v>0</v>
      </c>
      <c r="CX167" s="4585"/>
      <c r="CY167" s="4585"/>
      <c r="CZ167" s="1104">
        <f>IF(CX167=0,0,(CY167-CX167)/CX167*100)</f>
        <v>0</v>
      </c>
      <c r="DA167" s="4585"/>
      <c r="DB167" s="4585"/>
      <c r="DC167" s="1104">
        <f>IF(DA167=0,0,(DB167-DA167)/DA167*100)</f>
        <v>0</v>
      </c>
      <c r="DD167" s="4585"/>
      <c r="DE167" s="4585"/>
      <c r="DF167" s="1104">
        <f>IF(DD167=0,0,(DE167-DD167)/DD167*100)</f>
        <v>0</v>
      </c>
      <c r="DG167" s="4585"/>
      <c r="DH167" s="4585"/>
      <c r="DI167" s="1104">
        <f>IF(DG167=0,0,(DH167-DG167)/DG167*100)</f>
        <v>0</v>
      </c>
      <c r="DJ167" s="4585"/>
      <c r="DK167" s="4585"/>
      <c r="DL167" s="1104">
        <f>IF(DJ167=0,0,(DK167-DJ167)/DJ167*100)</f>
        <v>0</v>
      </c>
      <c r="DM167" s="4585"/>
      <c r="DN167" s="4585"/>
      <c r="DO167" s="1104">
        <f>IF(DM167=0,0,(DN167-DM167)/DM167*100)</f>
        <v>0</v>
      </c>
      <c r="DP167" s="4585"/>
      <c r="DQ167" s="4585"/>
      <c r="DR167" s="1104">
        <f>IF(DP167=0,0,(DQ167-DP167)/DP167*100)</f>
        <v>0</v>
      </c>
      <c r="DS167" s="4585"/>
      <c r="DT167" s="4585"/>
      <c r="DU167" s="1104">
        <f>IF(DS167=0,0,(DT167-DS167)/DS167*100)</f>
        <v>0</v>
      </c>
      <c r="DV167" s="4585"/>
      <c r="DW167" s="4585"/>
      <c r="DX167" s="1104">
        <f>IF(DV167=0,0,(DW167-DV167)/DV167*100)</f>
        <v>0</v>
      </c>
      <c r="DY167" s="4585"/>
      <c r="DZ167" s="4585"/>
      <c r="EA167" s="1104">
        <f>IF(DY167=0,0,(DZ167-DY167)/DY167*100)</f>
        <v>0</v>
      </c>
      <c r="EB167" s="4585"/>
      <c r="EC167" s="4585"/>
      <c r="ED167" s="1104">
        <f>IF(EB167=0,0,(EC167-EB167)/EB167*100)</f>
        <v>0</v>
      </c>
      <c r="EE167" s="4585"/>
      <c r="EF167" s="4585"/>
      <c r="EG167" s="1104">
        <f>IF(EE167=0,0,(EF167-EE167)/EE167*100)</f>
        <v>0</v>
      </c>
      <c r="EH167" s="4585"/>
      <c r="EI167" s="4585"/>
      <c r="EJ167" s="1104">
        <f>IF(EH167=0,0,(EI167-EH167)/EH167*100)</f>
        <v>0</v>
      </c>
      <c r="EK167" s="4585"/>
      <c r="EL167" s="4585"/>
      <c r="EM167" s="1104">
        <f>IF(EK167=0,0,(EL167-EK167)/EK167*100)</f>
        <v>0</v>
      </c>
      <c r="EN167" s="4585"/>
      <c r="EO167" s="4585"/>
      <c r="EP167" s="1104">
        <f>IF(EN167=0,0,(EO167-EN167)/EN167*100)</f>
        <v>0</v>
      </c>
      <c r="EQ167" s="4585"/>
      <c r="ER167" s="4585"/>
      <c r="ES167" s="1104">
        <f>IF(EQ167=0,0,(ER167-EQ167)/EQ167*100)</f>
        <v>0</v>
      </c>
      <c r="ET167" s="4585"/>
      <c r="EU167" s="4585"/>
      <c r="EV167" s="1104">
        <f>IF(ET167=0,0,(EU167-ET167)/ET167*100)</f>
        <v>0</v>
      </c>
      <c r="EW167" s="4585"/>
      <c r="EX167" s="4585"/>
      <c r="EY167" s="1104">
        <f>IF(EW167=0,0,(EX167-EW167)/EW167*100)</f>
        <v>0</v>
      </c>
      <c r="EZ167" s="4585"/>
      <c r="FA167" s="4585"/>
      <c r="FB167" s="1104">
        <f>IF(EZ167=0,0,(FA167-EZ167)/EZ167*100)</f>
        <v>0</v>
      </c>
      <c r="FC167" s="4585"/>
      <c r="FD167" s="4585"/>
      <c r="FE167" s="1104">
        <f>IF(FC167=0,0,(FD167-FC167)/FC167*100)</f>
        <v>0</v>
      </c>
      <c r="FF167" s="4585"/>
      <c r="FG167" s="4585"/>
      <c r="FH167" s="1104">
        <f>IF(FF167=0,0,(FG167-FF167)/FF167*100)</f>
        <v>0</v>
      </c>
      <c r="FI167" s="4585"/>
      <c r="FJ167" s="4585"/>
      <c r="FK167" s="1104">
        <f>IF(FI167=0,0,(FJ167-FI167)/FI167*100)</f>
        <v>0</v>
      </c>
      <c r="FL167" s="4585"/>
      <c r="FM167" s="4585"/>
      <c r="FN167" s="1104">
        <f>IF(FL167=0,0,(FM167-FL167)/FL167*100)</f>
        <v>0</v>
      </c>
      <c r="FO167" s="4585"/>
      <c r="FP167" s="4585"/>
      <c r="FQ167" s="1104">
        <f>IF(FO167=0,0,(FP167-FO167)/FO167*100)</f>
        <v>0</v>
      </c>
      <c r="FR167" s="4585"/>
      <c r="FS167" s="4585"/>
      <c r="FT167" s="1104">
        <f>IF(FR167=0,0,(FS167-FR167)/FR167*100)</f>
        <v>0</v>
      </c>
      <c r="FU167" s="4585"/>
      <c r="FV167" s="4585"/>
      <c r="FW167" s="1104">
        <f>IF(FU167=0,0,(FV167-FU167)/FU167*100)</f>
        <v>0</v>
      </c>
      <c r="FZ167" s="1330" t="s">
        <v>1936</v>
      </c>
      <c r="GA167" s="1330" t="s">
        <v>993</v>
      </c>
      <c r="GB167" s="1330" cm="1" t="str">
        <f t="array" ref="GB167:GB167">GB166</f>
        <v>0</v>
      </c>
    </row>
    <row customHeight="1" ht="24.75" hidden="1">
      <c r="A168" s="496"/>
      <c r="B168" s="932" cm="1" t="str">
        <f t="array" ref="B168:B168">B167</f>
        <v>false</v>
      </c>
      <c r="C168" s="496"/>
      <c r="D168" s="496"/>
      <c r="E168" s="847">
        <v>19</v>
      </c>
      <c r="F168" s="50" cm="1" t="str">
        <f t="array" ref="F168:F168">OFFSET(E168,-1,1)</f>
        <v>1</v>
      </c>
      <c r="G168" s="496"/>
      <c r="H168" s="496"/>
      <c r="I168" s="496"/>
      <c r="J168" s="496"/>
      <c r="K168" s="496"/>
      <c r="L168" s="496"/>
      <c r="M168" s="496"/>
      <c r="N168" s="496"/>
      <c r="O168" s="496"/>
      <c r="P168" s="496"/>
      <c r="Q168" s="496"/>
      <c r="R168" s="496"/>
      <c r="S168" s="496"/>
      <c r="T168" s="468" cm="1" t="str">
        <f t="array" ref="T168:T168">T167</f>
        <v>false</v>
      </c>
      <c r="U168" s="496"/>
      <c r="V168" s="496"/>
      <c r="W168" s="496"/>
      <c r="X168" s="1559"/>
      <c r="Y168" s="1559"/>
      <c r="Z168" s="1528"/>
      <c r="AA168" s="1516"/>
      <c r="AB168" s="911" t="str">
        <f>"ставка платы за содержание системы "&amp;IF(Q98="Водоснабжение","холодного водоснабжения","водоотведения")</f>
        <v>ставка платы за содержание системы водоотведения</v>
      </c>
      <c r="AC168" s="871" t="s">
        <v>1902</v>
      </c>
      <c r="AD168" s="4591"/>
      <c r="AE168" s="4591"/>
      <c r="AF168" s="1102">
        <f>IF(AD168=0,0,(AE168-AD168)/AD168*100)</f>
        <v>0</v>
      </c>
      <c r="AG168" s="4591"/>
      <c r="AH168" s="4591"/>
      <c r="AI168" s="1102">
        <f>IF(AG168=0,0,(AH168-AG168)/AG168*100)</f>
        <v>0</v>
      </c>
      <c r="AJ168" s="4591"/>
      <c r="AK168" s="4591"/>
      <c r="AL168" s="1102">
        <f>IF(AJ168=0,0,(AK168-AJ168)/AJ168*100)</f>
        <v>0</v>
      </c>
      <c r="AM168" s="4591"/>
      <c r="AN168" s="4591"/>
      <c r="AO168" s="1102">
        <f>IF(AM168=0,0,(AN168-AM168)/AM168*100)</f>
        <v>0</v>
      </c>
      <c r="AP168" s="4591"/>
      <c r="AQ168" s="4591"/>
      <c r="AR168" s="1102">
        <f>IF(AP168=0,0,(AQ168-AP168)/AP168*100)</f>
        <v>0</v>
      </c>
      <c r="AS168" s="4591"/>
      <c r="AT168" s="4591"/>
      <c r="AU168" s="1102">
        <f>IF(AS168=0,0,(AT168-AS168)/AS168*100)</f>
        <v>0</v>
      </c>
      <c r="AV168" s="4591"/>
      <c r="AW168" s="4591"/>
      <c r="AX168" s="1102">
        <f>IF(AV168=0,0,(AW168-AV168)/AV168*100)</f>
        <v>0</v>
      </c>
      <c r="AY168" s="4591"/>
      <c r="AZ168" s="4591"/>
      <c r="BA168" s="1102">
        <f>IF(AY168=0,0,(AZ168-AY168)/AY168*100)</f>
        <v>0</v>
      </c>
      <c r="BB168" s="4591"/>
      <c r="BC168" s="4591"/>
      <c r="BD168" s="1102">
        <f>IF(BB168=0,0,(BC168-BB168)/BB168*100)</f>
        <v>0</v>
      </c>
      <c r="BE168" s="4591"/>
      <c r="BF168" s="4591"/>
      <c r="BG168" s="1102">
        <f>IF(BE168=0,0,(BF168-BE168)/BE168*100)</f>
        <v>0</v>
      </c>
      <c r="BH168" s="4591"/>
      <c r="BI168" s="4591"/>
      <c r="BJ168" s="1102">
        <f>IF(BH168=0,0,(BI168-BH168)/BH168*100)</f>
        <v>0</v>
      </c>
      <c r="BK168" s="4591"/>
      <c r="BL168" s="4591"/>
      <c r="BM168" s="1102">
        <f>IF(BK168=0,0,(BL168-BK168)/BK168*100)</f>
        <v>0</v>
      </c>
      <c r="BN168" s="4591"/>
      <c r="BO168" s="4591"/>
      <c r="BP168" s="1102">
        <f>IF(BN168=0,0,(BO168-BN168)/BN168*100)</f>
        <v>0</v>
      </c>
      <c r="BQ168" s="4591"/>
      <c r="BR168" s="4591"/>
      <c r="BS168" s="1102">
        <f>IF(BQ168=0,0,(BR168-BQ168)/BQ168*100)</f>
        <v>0</v>
      </c>
      <c r="BT168" s="4591"/>
      <c r="BU168" s="4591"/>
      <c r="BV168" s="1102">
        <f>IF(BT168=0,0,(BU168-BT168)/BT168*100)</f>
        <v>0</v>
      </c>
      <c r="BW168" s="4591"/>
      <c r="BX168" s="4591"/>
      <c r="BY168" s="1102">
        <f>IF(BW168=0,0,(BX168-BW168)/BW168*100)</f>
        <v>0</v>
      </c>
      <c r="BZ168" s="4591"/>
      <c r="CA168" s="4591"/>
      <c r="CB168" s="1102">
        <f>IF(BZ168=0,0,(CA168-BZ168)/BZ168*100)</f>
        <v>0</v>
      </c>
      <c r="CC168" s="4591"/>
      <c r="CD168" s="4591"/>
      <c r="CE168" s="1102">
        <f>IF(CC168=0,0,(CD168-CC168)/CC168*100)</f>
        <v>0</v>
      </c>
      <c r="CF168" s="4591"/>
      <c r="CG168" s="4591"/>
      <c r="CH168" s="1102">
        <f>IF(CF168=0,0,(CG168-CF168)/CF168*100)</f>
        <v>0</v>
      </c>
      <c r="CI168" s="4591"/>
      <c r="CJ168" s="4591"/>
      <c r="CK168" s="1102">
        <f>IF(CI168=0,0,(CJ168-CI168)/CI168*100)</f>
        <v>0</v>
      </c>
      <c r="CL168" s="4591"/>
      <c r="CM168" s="4591"/>
      <c r="CN168" s="1102">
        <f>IF(CL168=0,0,(CM168-CL168)/CL168*100)</f>
        <v>0</v>
      </c>
      <c r="CO168" s="4591"/>
      <c r="CP168" s="4591"/>
      <c r="CQ168" s="1102">
        <f>IF(CO168=0,0,(CP168-CO168)/CO168*100)</f>
        <v>0</v>
      </c>
      <c r="CR168" s="4591"/>
      <c r="CS168" s="4591"/>
      <c r="CT168" s="1102">
        <f>IF(CR168=0,0,(CS168-CR168)/CR168*100)</f>
        <v>0</v>
      </c>
      <c r="CU168" s="4591"/>
      <c r="CV168" s="4591"/>
      <c r="CW168" s="1102">
        <f>IF(CU168=0,0,(CV168-CU168)/CU168*100)</f>
        <v>0</v>
      </c>
      <c r="CX168" s="4591"/>
      <c r="CY168" s="4591"/>
      <c r="CZ168" s="1102">
        <f>IF(CX168=0,0,(CY168-CX168)/CX168*100)</f>
        <v>0</v>
      </c>
      <c r="DA168" s="4591"/>
      <c r="DB168" s="4591"/>
      <c r="DC168" s="1102">
        <f>IF(DA168=0,0,(DB168-DA168)/DA168*100)</f>
        <v>0</v>
      </c>
      <c r="DD168" s="4591"/>
      <c r="DE168" s="4591"/>
      <c r="DF168" s="1102">
        <f>IF(DD168=0,0,(DE168-DD168)/DD168*100)</f>
        <v>0</v>
      </c>
      <c r="DG168" s="4591"/>
      <c r="DH168" s="4591"/>
      <c r="DI168" s="1102">
        <f>IF(DG168=0,0,(DH168-DG168)/DG168*100)</f>
        <v>0</v>
      </c>
      <c r="DJ168" s="4591"/>
      <c r="DK168" s="4591"/>
      <c r="DL168" s="1102">
        <f>IF(DJ168=0,0,(DK168-DJ168)/DJ168*100)</f>
        <v>0</v>
      </c>
      <c r="DM168" s="4591"/>
      <c r="DN168" s="4591"/>
      <c r="DO168" s="1102">
        <f>IF(DM168=0,0,(DN168-DM168)/DM168*100)</f>
        <v>0</v>
      </c>
      <c r="DP168" s="4591"/>
      <c r="DQ168" s="4591"/>
      <c r="DR168" s="1102">
        <f>IF(DP168=0,0,(DQ168-DP168)/DP168*100)</f>
        <v>0</v>
      </c>
      <c r="DS168" s="4591"/>
      <c r="DT168" s="4591"/>
      <c r="DU168" s="1102">
        <f>IF(DS168=0,0,(DT168-DS168)/DS168*100)</f>
        <v>0</v>
      </c>
      <c r="DV168" s="4591"/>
      <c r="DW168" s="4591"/>
      <c r="DX168" s="1102">
        <f>IF(DV168=0,0,(DW168-DV168)/DV168*100)</f>
        <v>0</v>
      </c>
      <c r="DY168" s="4591"/>
      <c r="DZ168" s="4591"/>
      <c r="EA168" s="1102">
        <f>IF(DY168=0,0,(DZ168-DY168)/DY168*100)</f>
        <v>0</v>
      </c>
      <c r="EB168" s="4591"/>
      <c r="EC168" s="4591"/>
      <c r="ED168" s="1102">
        <f>IF(EB168=0,0,(EC168-EB168)/EB168*100)</f>
        <v>0</v>
      </c>
      <c r="EE168" s="4591"/>
      <c r="EF168" s="4591"/>
      <c r="EG168" s="1102">
        <f>IF(EE168=0,0,(EF168-EE168)/EE168*100)</f>
        <v>0</v>
      </c>
      <c r="EH168" s="4591"/>
      <c r="EI168" s="4591"/>
      <c r="EJ168" s="1102">
        <f>IF(EH168=0,0,(EI168-EH168)/EH168*100)</f>
        <v>0</v>
      </c>
      <c r="EK168" s="4591"/>
      <c r="EL168" s="4591"/>
      <c r="EM168" s="1102">
        <f>IF(EK168=0,0,(EL168-EK168)/EK168*100)</f>
        <v>0</v>
      </c>
      <c r="EN168" s="4591"/>
      <c r="EO168" s="4591"/>
      <c r="EP168" s="1102">
        <f>IF(EN168=0,0,(EO168-EN168)/EN168*100)</f>
        <v>0</v>
      </c>
      <c r="EQ168" s="4591"/>
      <c r="ER168" s="4591"/>
      <c r="ES168" s="1102">
        <f>IF(EQ168=0,0,(ER168-EQ168)/EQ168*100)</f>
        <v>0</v>
      </c>
      <c r="ET168" s="4591"/>
      <c r="EU168" s="4591"/>
      <c r="EV168" s="1102">
        <f>IF(ET168=0,0,(EU168-ET168)/ET168*100)</f>
        <v>0</v>
      </c>
      <c r="EW168" s="4591"/>
      <c r="EX168" s="4591"/>
      <c r="EY168" s="1102">
        <f>IF(EW168=0,0,(EX168-EW168)/EW168*100)</f>
        <v>0</v>
      </c>
      <c r="EZ168" s="4591"/>
      <c r="FA168" s="4591"/>
      <c r="FB168" s="1102">
        <f>IF(EZ168=0,0,(FA168-EZ168)/EZ168*100)</f>
        <v>0</v>
      </c>
      <c r="FC168" s="4591"/>
      <c r="FD168" s="4591"/>
      <c r="FE168" s="1102">
        <f>IF(FC168=0,0,(FD168-FC168)/FC168*100)</f>
        <v>0</v>
      </c>
      <c r="FF168" s="4591"/>
      <c r="FG168" s="4591"/>
      <c r="FH168" s="1102">
        <f>IF(FF168=0,0,(FG168-FF168)/FF168*100)</f>
        <v>0</v>
      </c>
      <c r="FI168" s="4591"/>
      <c r="FJ168" s="4591"/>
      <c r="FK168" s="1102">
        <f>IF(FI168=0,0,(FJ168-FI168)/FI168*100)</f>
        <v>0</v>
      </c>
      <c r="FL168" s="4591"/>
      <c r="FM168" s="4591"/>
      <c r="FN168" s="1102">
        <f>IF(FL168=0,0,(FM168-FL168)/FL168*100)</f>
        <v>0</v>
      </c>
      <c r="FO168" s="4591"/>
      <c r="FP168" s="4591"/>
      <c r="FQ168" s="1102">
        <f>IF(FO168=0,0,(FP168-FO168)/FO168*100)</f>
        <v>0</v>
      </c>
      <c r="FR168" s="4591"/>
      <c r="FS168" s="4591"/>
      <c r="FT168" s="1102">
        <f>IF(FR168=0,0,(FS168-FR168)/FR168*100)</f>
        <v>0</v>
      </c>
      <c r="FU168" s="4591"/>
      <c r="FV168" s="4591"/>
      <c r="FW168" s="1102">
        <f>IF(FU168=0,0,(FV168-FU168)/FU168*100)</f>
        <v>0</v>
      </c>
      <c r="FZ168" s="1330" t="s">
        <v>1937</v>
      </c>
      <c r="GA168" s="1330" t="s">
        <v>993</v>
      </c>
      <c r="GB168" s="1330" cm="1" t="str">
        <f t="array" ref="GB168:GB168">GB167</f>
        <v>0</v>
      </c>
    </row>
    <row customHeight="1" ht="18.525" hidden="1">
      <c r="A169" s="496"/>
      <c r="B169" s="932" cm="1" t="str">
        <f t="array" ref="B169:B169">B168</f>
        <v>false</v>
      </c>
      <c r="C169" s="496"/>
      <c r="D169" s="496"/>
      <c r="E169" s="847">
        <v>19</v>
      </c>
      <c r="F169" s="50" cm="1" t="str">
        <f t="array" ref="F169:F169">OFFSET(E169,-1,1)</f>
        <v>1</v>
      </c>
      <c r="G169" s="496"/>
      <c r="H169" s="496"/>
      <c r="I169" s="496"/>
      <c r="J169" s="496"/>
      <c r="K169" s="496"/>
      <c r="L169" s="496"/>
      <c r="M169" s="496"/>
      <c r="N169" s="496"/>
      <c r="O169" s="496"/>
      <c r="P169" s="496"/>
      <c r="Q169" s="496"/>
      <c r="R169" s="496"/>
      <c r="S169" s="496"/>
      <c r="T169" s="468" cm="1" t="str">
        <f t="array" ref="T169:T169">T168</f>
        <v>false</v>
      </c>
      <c r="U169" s="496"/>
      <c r="V169" s="496"/>
      <c r="W169" s="496"/>
      <c r="X169" s="1559"/>
      <c r="Y169" s="1559"/>
      <c r="Z169" s="1528"/>
      <c r="AA169" s="1516"/>
      <c r="AB169" s="911" t="s">
        <v>1905</v>
      </c>
      <c r="AC169" s="871" t="s">
        <v>1906</v>
      </c>
      <c r="AD169" s="4591"/>
      <c r="AE169" s="4591"/>
      <c r="AF169" s="1102">
        <f>IF(AD169=0,0,(AE169-AD169)/AD169*100)</f>
        <v>0</v>
      </c>
      <c r="AG169" s="4591"/>
      <c r="AH169" s="4591"/>
      <c r="AI169" s="1102">
        <f>IF(AG169=0,0,(AH169-AG169)/AG169*100)</f>
        <v>0</v>
      </c>
      <c r="AJ169" s="4591"/>
      <c r="AK169" s="4591"/>
      <c r="AL169" s="1102">
        <f>IF(AJ169=0,0,(AK169-AJ169)/AJ169*100)</f>
        <v>0</v>
      </c>
      <c r="AM169" s="4591"/>
      <c r="AN169" s="4591"/>
      <c r="AO169" s="1102">
        <f>IF(AM169=0,0,(AN169-AM169)/AM169*100)</f>
        <v>0</v>
      </c>
      <c r="AP169" s="4591"/>
      <c r="AQ169" s="4591"/>
      <c r="AR169" s="1102">
        <f>IF(AP169=0,0,(AQ169-AP169)/AP169*100)</f>
        <v>0</v>
      </c>
      <c r="AS169" s="4591"/>
      <c r="AT169" s="4591"/>
      <c r="AU169" s="1102">
        <f>IF(AS169=0,0,(AT169-AS169)/AS169*100)</f>
        <v>0</v>
      </c>
      <c r="AV169" s="4591"/>
      <c r="AW169" s="4591"/>
      <c r="AX169" s="1102">
        <f>IF(AV169=0,0,(AW169-AV169)/AV169*100)</f>
        <v>0</v>
      </c>
      <c r="AY169" s="4591"/>
      <c r="AZ169" s="4591"/>
      <c r="BA169" s="1102">
        <f>IF(AY169=0,0,(AZ169-AY169)/AY169*100)</f>
        <v>0</v>
      </c>
      <c r="BB169" s="4591"/>
      <c r="BC169" s="4591"/>
      <c r="BD169" s="1102">
        <f>IF(BB169=0,0,(BC169-BB169)/BB169*100)</f>
        <v>0</v>
      </c>
      <c r="BE169" s="4591"/>
      <c r="BF169" s="4591"/>
      <c r="BG169" s="1102">
        <f>IF(BE169=0,0,(BF169-BE169)/BE169*100)</f>
        <v>0</v>
      </c>
      <c r="BH169" s="4591"/>
      <c r="BI169" s="4591"/>
      <c r="BJ169" s="1102">
        <f>IF(BH169=0,0,(BI169-BH169)/BH169*100)</f>
        <v>0</v>
      </c>
      <c r="BK169" s="4591"/>
      <c r="BL169" s="4591"/>
      <c r="BM169" s="1102">
        <f>IF(BK169=0,0,(BL169-BK169)/BK169*100)</f>
        <v>0</v>
      </c>
      <c r="BN169" s="4591"/>
      <c r="BO169" s="4591"/>
      <c r="BP169" s="1102">
        <f>IF(BN169=0,0,(BO169-BN169)/BN169*100)</f>
        <v>0</v>
      </c>
      <c r="BQ169" s="4591"/>
      <c r="BR169" s="4591"/>
      <c r="BS169" s="1102">
        <f>IF(BQ169=0,0,(BR169-BQ169)/BQ169*100)</f>
        <v>0</v>
      </c>
      <c r="BT169" s="4591"/>
      <c r="BU169" s="4591"/>
      <c r="BV169" s="1102">
        <f>IF(BT169=0,0,(BU169-BT169)/BT169*100)</f>
        <v>0</v>
      </c>
      <c r="BW169" s="4591"/>
      <c r="BX169" s="4591"/>
      <c r="BY169" s="1102">
        <f>IF(BW169=0,0,(BX169-BW169)/BW169*100)</f>
        <v>0</v>
      </c>
      <c r="BZ169" s="4591"/>
      <c r="CA169" s="4591"/>
      <c r="CB169" s="1102">
        <f>IF(BZ169=0,0,(CA169-BZ169)/BZ169*100)</f>
        <v>0</v>
      </c>
      <c r="CC169" s="4591"/>
      <c r="CD169" s="4591"/>
      <c r="CE169" s="1102">
        <f>IF(CC169=0,0,(CD169-CC169)/CC169*100)</f>
        <v>0</v>
      </c>
      <c r="CF169" s="4591"/>
      <c r="CG169" s="4591"/>
      <c r="CH169" s="1102">
        <f>IF(CF169=0,0,(CG169-CF169)/CF169*100)</f>
        <v>0</v>
      </c>
      <c r="CI169" s="4591"/>
      <c r="CJ169" s="4591"/>
      <c r="CK169" s="1102">
        <f>IF(CI169=0,0,(CJ169-CI169)/CI169*100)</f>
        <v>0</v>
      </c>
      <c r="CL169" s="4591"/>
      <c r="CM169" s="4591"/>
      <c r="CN169" s="1102">
        <f>IF(CL169=0,0,(CM169-CL169)/CL169*100)</f>
        <v>0</v>
      </c>
      <c r="CO169" s="4591"/>
      <c r="CP169" s="4591"/>
      <c r="CQ169" s="1102">
        <f>IF(CO169=0,0,(CP169-CO169)/CO169*100)</f>
        <v>0</v>
      </c>
      <c r="CR169" s="4591"/>
      <c r="CS169" s="4591"/>
      <c r="CT169" s="1102">
        <f>IF(CR169=0,0,(CS169-CR169)/CR169*100)</f>
        <v>0</v>
      </c>
      <c r="CU169" s="4591"/>
      <c r="CV169" s="4591"/>
      <c r="CW169" s="1102">
        <f>IF(CU169=0,0,(CV169-CU169)/CU169*100)</f>
        <v>0</v>
      </c>
      <c r="CX169" s="4591"/>
      <c r="CY169" s="4591"/>
      <c r="CZ169" s="1102">
        <f>IF(CX169=0,0,(CY169-CX169)/CX169*100)</f>
        <v>0</v>
      </c>
      <c r="DA169" s="4591"/>
      <c r="DB169" s="4591"/>
      <c r="DC169" s="1102">
        <f>IF(DA169=0,0,(DB169-DA169)/DA169*100)</f>
        <v>0</v>
      </c>
      <c r="DD169" s="4591"/>
      <c r="DE169" s="4591"/>
      <c r="DF169" s="1102">
        <f>IF(DD169=0,0,(DE169-DD169)/DD169*100)</f>
        <v>0</v>
      </c>
      <c r="DG169" s="4591"/>
      <c r="DH169" s="4591"/>
      <c r="DI169" s="1102">
        <f>IF(DG169=0,0,(DH169-DG169)/DG169*100)</f>
        <v>0</v>
      </c>
      <c r="DJ169" s="4591"/>
      <c r="DK169" s="4591"/>
      <c r="DL169" s="1102">
        <f>IF(DJ169=0,0,(DK169-DJ169)/DJ169*100)</f>
        <v>0</v>
      </c>
      <c r="DM169" s="4591"/>
      <c r="DN169" s="4591"/>
      <c r="DO169" s="1102">
        <f>IF(DM169=0,0,(DN169-DM169)/DM169*100)</f>
        <v>0</v>
      </c>
      <c r="DP169" s="4591"/>
      <c r="DQ169" s="4591"/>
      <c r="DR169" s="1102">
        <f>IF(DP169=0,0,(DQ169-DP169)/DP169*100)</f>
        <v>0</v>
      </c>
      <c r="DS169" s="4591"/>
      <c r="DT169" s="4591"/>
      <c r="DU169" s="1102">
        <f>IF(DS169=0,0,(DT169-DS169)/DS169*100)</f>
        <v>0</v>
      </c>
      <c r="DV169" s="4591"/>
      <c r="DW169" s="4591"/>
      <c r="DX169" s="1102">
        <f>IF(DV169=0,0,(DW169-DV169)/DV169*100)</f>
        <v>0</v>
      </c>
      <c r="DY169" s="4591"/>
      <c r="DZ169" s="4591"/>
      <c r="EA169" s="1102">
        <f>IF(DY169=0,0,(DZ169-DY169)/DY169*100)</f>
        <v>0</v>
      </c>
      <c r="EB169" s="4591"/>
      <c r="EC169" s="4591"/>
      <c r="ED169" s="1102">
        <f>IF(EB169=0,0,(EC169-EB169)/EB169*100)</f>
        <v>0</v>
      </c>
      <c r="EE169" s="4591"/>
      <c r="EF169" s="4591"/>
      <c r="EG169" s="1102">
        <f>IF(EE169=0,0,(EF169-EE169)/EE169*100)</f>
        <v>0</v>
      </c>
      <c r="EH169" s="4591"/>
      <c r="EI169" s="4591"/>
      <c r="EJ169" s="1102">
        <f>IF(EH169=0,0,(EI169-EH169)/EH169*100)</f>
        <v>0</v>
      </c>
      <c r="EK169" s="4591"/>
      <c r="EL169" s="4591"/>
      <c r="EM169" s="1102">
        <f>IF(EK169=0,0,(EL169-EK169)/EK169*100)</f>
        <v>0</v>
      </c>
      <c r="EN169" s="4591"/>
      <c r="EO169" s="4591"/>
      <c r="EP169" s="1102">
        <f>IF(EN169=0,0,(EO169-EN169)/EN169*100)</f>
        <v>0</v>
      </c>
      <c r="EQ169" s="4591"/>
      <c r="ER169" s="4591"/>
      <c r="ES169" s="1102">
        <f>IF(EQ169=0,0,(ER169-EQ169)/EQ169*100)</f>
        <v>0</v>
      </c>
      <c r="ET169" s="4591"/>
      <c r="EU169" s="4591"/>
      <c r="EV169" s="1102">
        <f>IF(ET169=0,0,(EU169-ET169)/ET169*100)</f>
        <v>0</v>
      </c>
      <c r="EW169" s="4591"/>
      <c r="EX169" s="4591"/>
      <c r="EY169" s="1102">
        <f>IF(EW169=0,0,(EX169-EW169)/EW169*100)</f>
        <v>0</v>
      </c>
      <c r="EZ169" s="4591"/>
      <c r="FA169" s="4591"/>
      <c r="FB169" s="1102">
        <f>IF(EZ169=0,0,(FA169-EZ169)/EZ169*100)</f>
        <v>0</v>
      </c>
      <c r="FC169" s="4591"/>
      <c r="FD169" s="4591"/>
      <c r="FE169" s="1102">
        <f>IF(FC169=0,0,(FD169-FC169)/FC169*100)</f>
        <v>0</v>
      </c>
      <c r="FF169" s="4591"/>
      <c r="FG169" s="4591"/>
      <c r="FH169" s="1102">
        <f>IF(FF169=0,0,(FG169-FF169)/FF169*100)</f>
        <v>0</v>
      </c>
      <c r="FI169" s="4591"/>
      <c r="FJ169" s="4591"/>
      <c r="FK169" s="1102">
        <f>IF(FI169=0,0,(FJ169-FI169)/FI169*100)</f>
        <v>0</v>
      </c>
      <c r="FL169" s="4591"/>
      <c r="FM169" s="4591"/>
      <c r="FN169" s="1102">
        <f>IF(FL169=0,0,(FM169-FL169)/FL169*100)</f>
        <v>0</v>
      </c>
      <c r="FO169" s="4591"/>
      <c r="FP169" s="4591"/>
      <c r="FQ169" s="1102">
        <f>IF(FO169=0,0,(FP169-FO169)/FO169*100)</f>
        <v>0</v>
      </c>
      <c r="FR169" s="4591"/>
      <c r="FS169" s="4591"/>
      <c r="FT169" s="1102">
        <f>IF(FR169=0,0,(FS169-FR169)/FR169*100)</f>
        <v>0</v>
      </c>
      <c r="FU169" s="4591"/>
      <c r="FV169" s="4591"/>
      <c r="FW169" s="1102">
        <f>IF(FU169=0,0,(FV169-FU169)/FU169*100)</f>
        <v>0</v>
      </c>
      <c r="FZ169" s="1330" t="s">
        <v>1938</v>
      </c>
      <c r="GA169" s="1330" t="s">
        <v>993</v>
      </c>
      <c r="GB169" s="1330" cm="1" t="str">
        <f t="array" ref="GB169:GB169">GB168</f>
        <v>0</v>
      </c>
    </row>
    <row s="1656" customFormat="1" customHeight="1" ht="14.25" hidden="1">
      <c r="A170" s="496"/>
      <c r="B170" s="932" cm="1" t="str">
        <f t="array" ref="B170:B170">B163</f>
        <v>false</v>
      </c>
      <c r="C170" s="496"/>
      <c r="D170" s="496"/>
      <c r="E170" s="847">
        <v>15</v>
      </c>
      <c r="F170" s="50" cm="1" t="str">
        <f t="array" ref="F170:F170">OFFSET(E170,-1,1)</f>
        <v>1</v>
      </c>
      <c r="G170" s="496"/>
      <c r="H170" s="496"/>
      <c r="I170" s="94" t="s">
        <v>1939</v>
      </c>
      <c r="J170" s="496"/>
      <c r="K170" s="496"/>
      <c r="L170" s="496"/>
      <c r="M170" s="496"/>
      <c r="N170" s="496"/>
      <c r="O170" s="496"/>
      <c r="P170" s="496"/>
      <c r="Q170" s="496"/>
      <c r="R170" s="496"/>
      <c r="S170" s="496"/>
      <c r="T170" s="468">
        <f>F170&gt;0</f>
        <v>1</v>
      </c>
      <c r="U170" s="496"/>
      <c r="V170" s="1328"/>
      <c r="W170" s="764" t="s">
        <v>1892</v>
      </c>
      <c r="X170" s="1559"/>
      <c r="Y170" s="1328"/>
      <c r="Z170" s="1528"/>
      <c r="AA170" s="1328"/>
      <c r="AB170" s="256" t="s">
        <v>177</v>
      </c>
      <c r="AC170" s="260"/>
      <c r="AD170" s="1107"/>
      <c r="AE170" s="1107"/>
      <c r="AF170" s="1107"/>
      <c r="AG170" s="1107"/>
      <c r="AH170" s="1107"/>
      <c r="AI170" s="1107"/>
      <c r="AJ170" s="1107"/>
      <c r="AK170" s="1107"/>
      <c r="AL170" s="1107"/>
      <c r="AM170" s="1107"/>
      <c r="AN170" s="1107"/>
      <c r="AO170" s="1107"/>
      <c r="AP170" s="1107"/>
      <c r="AQ170" s="1107"/>
      <c r="AR170" s="1107"/>
      <c r="AS170" s="1107"/>
      <c r="AT170" s="1107"/>
      <c r="AU170" s="1107"/>
      <c r="AV170" s="1107"/>
      <c r="AW170" s="1107"/>
      <c r="AX170" s="1107"/>
      <c r="AY170" s="1107"/>
      <c r="AZ170" s="1107"/>
      <c r="BA170" s="1107"/>
      <c r="BB170" s="1107"/>
      <c r="BC170" s="1107"/>
      <c r="BD170" s="1107"/>
      <c r="BE170" s="1107"/>
      <c r="BF170" s="1107"/>
      <c r="BG170" s="1107"/>
      <c r="BH170" s="1107"/>
      <c r="BI170" s="1107"/>
      <c r="BJ170" s="1107"/>
      <c r="BK170" s="1107"/>
      <c r="BL170" s="1107"/>
      <c r="BM170" s="1107"/>
      <c r="BN170" s="1107"/>
      <c r="BO170" s="1107"/>
      <c r="BP170" s="1107"/>
      <c r="BQ170" s="1107"/>
      <c r="BR170" s="1107"/>
      <c r="BS170" s="1107"/>
      <c r="BT170" s="1107"/>
      <c r="BU170" s="1107"/>
      <c r="BV170" s="1107"/>
      <c r="BW170" s="1107"/>
      <c r="BX170" s="1107"/>
      <c r="BY170" s="1107"/>
      <c r="BZ170" s="1107"/>
      <c r="CA170" s="1107"/>
      <c r="CB170" s="1107"/>
      <c r="CC170" s="1107"/>
      <c r="CD170" s="1107"/>
      <c r="CE170" s="1107"/>
      <c r="CF170" s="1107"/>
      <c r="CG170" s="1107"/>
      <c r="CH170" s="1107"/>
      <c r="CI170" s="1107"/>
      <c r="CJ170" s="1107"/>
      <c r="CK170" s="1107"/>
      <c r="CL170" s="1107"/>
      <c r="CM170" s="1107"/>
      <c r="CN170" s="1107"/>
      <c r="CO170" s="1107"/>
      <c r="CP170" s="1107"/>
      <c r="CQ170" s="1107"/>
      <c r="CR170" s="1107"/>
      <c r="CS170" s="1107"/>
      <c r="CT170" s="1107"/>
      <c r="CU170" s="1107"/>
      <c r="CV170" s="1107"/>
      <c r="CW170" s="1107"/>
      <c r="CX170" s="1107"/>
      <c r="CY170" s="1107"/>
      <c r="CZ170" s="1107"/>
      <c r="DA170" s="1107"/>
      <c r="DB170" s="1107"/>
      <c r="DC170" s="1107"/>
      <c r="DD170" s="1107"/>
      <c r="DE170" s="1107"/>
      <c r="DF170" s="1107"/>
      <c r="DG170" s="1107"/>
      <c r="DH170" s="1107"/>
      <c r="DI170" s="1107"/>
      <c r="DJ170" s="1107"/>
      <c r="DK170" s="1107"/>
      <c r="DL170" s="1107"/>
      <c r="DM170" s="1107"/>
      <c r="DN170" s="1107"/>
      <c r="DO170" s="1107"/>
      <c r="DP170" s="1107"/>
      <c r="DQ170" s="1107"/>
      <c r="DR170" s="1107"/>
      <c r="DS170" s="1107"/>
      <c r="DT170" s="1107"/>
      <c r="DU170" s="1107"/>
      <c r="DV170" s="1107"/>
      <c r="DW170" s="1107"/>
      <c r="DX170" s="1107"/>
      <c r="DY170" s="1107"/>
      <c r="DZ170" s="1107"/>
      <c r="EA170" s="1107"/>
      <c r="EB170" s="1107"/>
      <c r="EC170" s="1107"/>
      <c r="ED170" s="1107"/>
      <c r="EE170" s="1107"/>
      <c r="EF170" s="1107"/>
      <c r="EG170" s="1107"/>
      <c r="EH170" s="1107"/>
      <c r="EI170" s="1107"/>
      <c r="EJ170" s="1107"/>
      <c r="EK170" s="1107"/>
      <c r="EL170" s="1107"/>
      <c r="EM170" s="1107"/>
      <c r="EN170" s="1107"/>
      <c r="EO170" s="1107"/>
      <c r="EP170" s="1107"/>
      <c r="EQ170" s="1107"/>
      <c r="ER170" s="1107"/>
      <c r="ES170" s="1107"/>
      <c r="ET170" s="1107"/>
      <c r="EU170" s="1107"/>
      <c r="EV170" s="1107"/>
      <c r="EW170" s="1107"/>
      <c r="EX170" s="1107"/>
      <c r="EY170" s="1107"/>
      <c r="EZ170" s="1107"/>
      <c r="FA170" s="1107"/>
      <c r="FB170" s="1107"/>
      <c r="FC170" s="1107"/>
      <c r="FD170" s="1107"/>
      <c r="FE170" s="1107"/>
      <c r="FF170" s="1107"/>
      <c r="FG170" s="1107"/>
      <c r="FH170" s="1107"/>
      <c r="FI170" s="1107"/>
      <c r="FJ170" s="1107"/>
      <c r="FK170" s="1107"/>
      <c r="FL170" s="1107"/>
      <c r="FM170" s="1107"/>
      <c r="FN170" s="1107"/>
      <c r="FO170" s="1107"/>
      <c r="FP170" s="1107"/>
      <c r="FQ170" s="1107"/>
      <c r="FR170" s="1107"/>
      <c r="FS170" s="1107"/>
      <c r="FT170" s="1107"/>
      <c r="FU170" s="1107"/>
      <c r="FV170" s="1107"/>
      <c r="FW170" s="1108"/>
      <c r="FX170" s="1328"/>
      <c r="FY170" s="1328"/>
      <c r="FZ170" s="1063" t="s">
        <v>240</v>
      </c>
      <c r="GA170" s="1330"/>
      <c r="GB170" s="1330"/>
      <c r="GC170" s="637" t="s">
        <v>993</v>
      </c>
      <c r="GD170" s="1329"/>
    </row>
    <row s="1656" customFormat="1" customHeight="1" ht="11.25" hidden="1">
      <c r="A171" s="485"/>
      <c r="B171" s="932"/>
      <c r="C171" s="485"/>
      <c r="D171" s="485"/>
      <c r="E171" s="873">
        <v>0</v>
      </c>
      <c r="F171" s="1194" cm="1" t="str">
        <f t="array" ref="F171:F171">OFFSET(E171,-1,1)</f>
        <v>1</v>
      </c>
      <c r="G171" s="485"/>
      <c r="H171" s="485"/>
      <c r="I171" s="485"/>
      <c r="J171" s="485"/>
      <c r="K171" s="485"/>
      <c r="L171" s="485"/>
      <c r="M171" s="485"/>
      <c r="N171" s="485"/>
      <c r="O171" s="485"/>
      <c r="P171" s="485"/>
      <c r="Q171" s="485"/>
      <c r="R171" s="485"/>
      <c r="S171" s="485"/>
      <c r="T171" s="468" t="b">
        <v>0</v>
      </c>
      <c r="U171" s="485"/>
      <c r="V171" s="485"/>
      <c r="W171" s="485"/>
      <c r="X171" s="1559"/>
      <c r="Y171" s="485"/>
      <c r="Z171" s="1528"/>
      <c r="AA171" s="485"/>
      <c r="AB171" s="0"/>
      <c r="AC171" s="485"/>
      <c r="AD171" s="1117"/>
      <c r="AE171" s="1117"/>
      <c r="AF171" s="1117"/>
      <c r="AG171" s="0"/>
      <c r="AH171" s="0"/>
      <c r="AI171" s="0"/>
      <c r="AJ171" s="0"/>
      <c r="AK171" s="0"/>
      <c r="AL171" s="0"/>
      <c r="AM171" s="0"/>
      <c r="AN171" s="0"/>
      <c r="AO171" s="0"/>
      <c r="AP171" s="0"/>
      <c r="AQ171" s="0"/>
      <c r="AR171" s="0"/>
      <c r="AS171" s="0"/>
      <c r="AT171" s="0"/>
      <c r="AU171" s="0"/>
      <c r="AV171" s="0"/>
      <c r="AW171" s="0"/>
      <c r="AX171" s="0"/>
      <c r="AY171" s="0"/>
      <c r="AZ171" s="0"/>
      <c r="BA171" s="0"/>
      <c r="BB171" s="0"/>
      <c r="BC171" s="0"/>
      <c r="BD171" s="0"/>
      <c r="BE171" s="0"/>
      <c r="BF171" s="0"/>
      <c r="BG171" s="0"/>
      <c r="BH171" s="0"/>
      <c r="BI171" s="0"/>
      <c r="BJ171" s="0"/>
      <c r="BK171" s="0"/>
      <c r="BL171" s="0"/>
      <c r="BM171" s="0"/>
      <c r="BN171" s="0"/>
      <c r="BO171" s="0"/>
      <c r="BP171" s="0"/>
      <c r="BQ171" s="0"/>
      <c r="BR171" s="0"/>
      <c r="BS171" s="0"/>
      <c r="BT171" s="0"/>
      <c r="BU171" s="0"/>
      <c r="BV171" s="0"/>
      <c r="BW171" s="0"/>
      <c r="BX171" s="0"/>
      <c r="BY171" s="0"/>
      <c r="BZ171" s="0"/>
      <c r="CA171" s="0"/>
      <c r="CB171" s="0"/>
      <c r="CC171" s="0"/>
      <c r="CD171" s="0"/>
      <c r="CE171" s="0"/>
      <c r="CF171" s="0"/>
      <c r="CG171" s="0"/>
      <c r="CH171" s="0"/>
      <c r="CI171" s="0"/>
      <c r="CJ171" s="0"/>
      <c r="CK171" s="0"/>
      <c r="CL171" s="0"/>
      <c r="CM171" s="0"/>
      <c r="CN171" s="0"/>
      <c r="CO171" s="0"/>
      <c r="CP171" s="0"/>
      <c r="CQ171" s="0"/>
      <c r="CR171" s="0"/>
      <c r="CS171" s="0"/>
      <c r="CT171" s="0"/>
      <c r="CU171" s="0"/>
      <c r="CV171" s="0"/>
      <c r="CW171" s="0"/>
      <c r="CX171" s="0"/>
      <c r="CY171" s="0"/>
      <c r="CZ171" s="0"/>
      <c r="DA171" s="0"/>
      <c r="DB171" s="0"/>
      <c r="DC171" s="0"/>
      <c r="DD171" s="0"/>
      <c r="DE171" s="0"/>
      <c r="DF171" s="0"/>
      <c r="DG171" s="0"/>
      <c r="DH171" s="0"/>
      <c r="DI171" s="0"/>
      <c r="DJ171" s="0"/>
      <c r="DK171" s="0"/>
      <c r="DL171" s="0"/>
      <c r="DM171" s="0"/>
      <c r="DN171" s="0"/>
      <c r="DO171" s="0"/>
      <c r="DP171" s="0"/>
      <c r="DQ171" s="0"/>
      <c r="DR171" s="0"/>
      <c r="DS171" s="0"/>
      <c r="DT171" s="0"/>
      <c r="DU171" s="0"/>
      <c r="DV171" s="0"/>
      <c r="DW171" s="0"/>
      <c r="DX171" s="0"/>
      <c r="DY171" s="0"/>
      <c r="DZ171" s="0"/>
      <c r="EA171" s="0"/>
      <c r="EB171" s="0"/>
      <c r="EC171" s="0"/>
      <c r="ED171" s="0"/>
      <c r="EE171" s="0"/>
      <c r="EF171" s="0"/>
      <c r="EG171" s="0"/>
      <c r="EH171" s="0"/>
      <c r="EI171" s="0"/>
      <c r="EJ171" s="0"/>
      <c r="EK171" s="0"/>
      <c r="EL171" s="0"/>
      <c r="EM171" s="0"/>
      <c r="EN171" s="0"/>
      <c r="EO171" s="0"/>
      <c r="EP171" s="0"/>
      <c r="EQ171" s="0"/>
      <c r="ER171" s="0"/>
      <c r="ES171" s="0"/>
      <c r="ET171" s="0"/>
      <c r="EU171" s="0"/>
      <c r="EV171" s="0"/>
      <c r="EW171" s="0"/>
      <c r="EX171" s="0"/>
      <c r="EY171" s="0"/>
      <c r="EZ171" s="0"/>
      <c r="FA171" s="0"/>
      <c r="FB171" s="0"/>
      <c r="FC171" s="0"/>
      <c r="FD171" s="0"/>
      <c r="FE171" s="0"/>
      <c r="FF171" s="0"/>
      <c r="FG171" s="0"/>
      <c r="FH171" s="0"/>
      <c r="FI171" s="0"/>
      <c r="FJ171" s="0"/>
      <c r="FK171" s="0"/>
      <c r="FL171" s="0"/>
      <c r="FM171" s="0"/>
      <c r="FN171" s="0"/>
      <c r="FO171" s="0"/>
      <c r="FP171" s="0"/>
      <c r="FQ171" s="0"/>
      <c r="FR171" s="0"/>
      <c r="FS171" s="0"/>
      <c r="FT171" s="0"/>
      <c r="FU171" s="0"/>
      <c r="FV171" s="0"/>
      <c r="FW171" s="0"/>
      <c r="FX171" s="1656"/>
      <c r="FY171" s="1656"/>
      <c r="FZ171" s="1063" t="s">
        <v>240</v>
      </c>
      <c r="GA171" s="1027"/>
      <c r="GB171" s="1066"/>
      <c r="GC171" s="692"/>
      <c r="GD171" s="692"/>
    </row>
    <row s="4932" customFormat="1" customHeight="1" ht="23.25" hidden="1">
      <c r="A172" s="904"/>
      <c r="B172" s="932" cm="1" t="str">
        <f t="array" ref="B172:B172">S92</f>
        <v>false</v>
      </c>
      <c r="C172" s="904"/>
      <c r="D172" s="904"/>
      <c r="E172" s="847">
        <v>24.5</v>
      </c>
      <c r="F172" s="50" cm="1" t="str">
        <f t="array" ref="F172:F172">OFFSET(E172,-1,1)</f>
        <v>1</v>
      </c>
      <c r="G172" s="103" t="s">
        <v>1859</v>
      </c>
      <c r="H172" s="496" t="s">
        <v>566</v>
      </c>
      <c r="I172" s="496" t="s">
        <v>1940</v>
      </c>
      <c r="J172" s="904"/>
      <c r="K172" s="904"/>
      <c r="L172" s="904"/>
      <c r="M172" s="904"/>
      <c r="N172" s="904"/>
      <c r="O172" s="904"/>
      <c r="P172" s="904"/>
      <c r="Q172" s="904"/>
      <c r="R172" s="904"/>
      <c r="S172" s="496"/>
      <c r="T172" s="468" cm="1" t="str">
        <f t="array" ref="T172:T172">T170</f>
        <v>true</v>
      </c>
      <c r="U172" s="904"/>
      <c r="V172" s="904"/>
      <c r="W172" s="904"/>
      <c r="X172" s="1559"/>
      <c r="Y172" s="904"/>
      <c r="Z172" s="1528"/>
      <c r="AA172" s="904"/>
      <c r="AB172" s="215" t="s">
        <v>1941</v>
      </c>
      <c r="AC172" s="230" t="s">
        <v>1862</v>
      </c>
      <c r="AD172" s="4611">
        <f>IF(AND(method_reg="Метод индексации",god&lt;&gt;first_year),_xlfn.SUMIFS(INDEX('Калькуляция (МИ корр)'!$AJ$25:$BC$606,,MATCH(AD$8,'Калькуляция (МИ корр)'!$AJ$8:$BC$8,0)),'Калькуляция (МИ корр)'!$F$25:$F$606,$F172,'Калькуляция (МИ корр)'!$G$25:$G$606,$G172),IF(method_reg="Метод экономически обоснованных расходов",_xlfn.SUMIFS('Калькуляция (МЭОР)'!$AJ$25:$AJ$367,'Калькуляция (МЭОР)'!$F$25:$F$367,$F172,'Калькуляция (МЭОР)'!$G$25:$G$367,$G172),IF(method_reg="Метод сравнения аналогов",_xlfn.SUMIFS('Калькуляция (МСА)'!$AE$25:$AE$103,'Калькуляция (МСА)'!$F$25:$F$103,$F172,'Калькуляция (МСА)'!$G$25:$G$103,$G172),_xlfn.SUMIFS(INDEX('Калькуляция (МИ)'!$AJ$25:$BC$603,,MATCH(AD$8,'Калькуляция (МИ)'!$AJ$8:$BC$8,0)),'Калькуляция (МИ)'!$F$25:$F$603,$F172,'Калькуляция (МИ)'!$G$25:$G$603,$G172))))</f>
        <v>99.9013421891772</v>
      </c>
      <c r="AE172" s="4611">
        <f>IF(AND(method_reg="Метод индексации",god&lt;&gt;first_year),_xlfn.SUMIFS(INDEX('Калькуляция (МИ корр)'!$AJ$25:$BC$606,,MATCH(AE$8,'Калькуляция (МИ корр)'!$AJ$8:$BC$8,0)),'Калькуляция (МИ корр)'!$F$25:$F$606,$F172,'Калькуляция (МИ корр)'!$G$25:$G$606,$G172),IF(method_reg="Метод экономически обоснованных расходов",_xlfn.SUMIFS('Калькуляция (МЭОР)'!$AK$25:$AK$367,'Калькуляция (МЭОР)'!$F$25:$F$367,$F172,'Калькуляция (МЭОР)'!$G$25:$G$367,$G172),IF(method_reg="Метод сравнения аналогов",_xlfn.SUMIFS('Калькуляция (МСА)'!$AF$25:$AF$103,'Калькуляция (МСА)'!$F$25:$F$103,$F172,'Калькуляция (МСА)'!$G$25:$G$103,$G172),_xlfn.SUMIFS(INDEX('Калькуляция (МИ)'!$AJ$25:$BC$603,,MATCH(AE$8,'Калькуляция (МИ)'!$AJ$8:$BC$8,0)),'Калькуляция (МИ)'!$F$25:$F$603,$F172,'Калькуляция (МИ)'!$G$25:$G$603,$G172))))</f>
        <v>53.92</v>
      </c>
      <c r="AF172" s="292">
        <f>IF(AD172=0,0,(AE172-AD172)/AD172*100)</f>
        <v>-46.0267511742786</v>
      </c>
      <c r="AG172" s="4611">
        <f>IF(AND(method_reg="Метод индексации",god&lt;&gt;first_year),_xlfn.SUMIFS(INDEX('Калькуляция (МИ корр)'!$AJ$25:$BC$606,,MATCH(AG$8,'Калькуляция (МИ корр)'!$AJ$8:$BC$8,0)),'Калькуляция (МИ корр)'!$F$25:$F$606,$F172,'Калькуляция (МИ корр)'!$G$25:$G$606,$G172),IF(method_reg="Метод экономически обоснованных расходов",_xlfn.SUMIFS('Калькуляция (МЭОР)'!$AJ$25:$AJ$367,'Калькуляция (МЭОР)'!$F$25:$F$367,$F172,'Калькуляция (МЭОР)'!$G$25:$G$367,$G172),IF(method_reg="Метод сравнения аналогов",_xlfn.SUMIFS('Калькуляция (МСА)'!$AE$25:$AE$103,'Калькуляция (МСА)'!$F$25:$F$103,$F172,'Калькуляция (МСА)'!$G$25:$G$103,$G172),_xlfn.SUMIFS(INDEX('Калькуляция (МИ)'!$AJ$25:$BC$603,,MATCH(AG$8,'Калькуляция (МИ)'!$AJ$8:$BC$8,0)),'Калькуляция (МИ)'!$F$25:$F$603,$F172,'Калькуляция (МИ)'!$G$25:$G$603,$G172))))</f>
        <v>0</v>
      </c>
      <c r="AH172" s="4611">
        <f>IF(AND(method_reg="Метод индексации",god&lt;&gt;first_year),_xlfn.SUMIFS(INDEX('Калькуляция (МИ корр)'!$AJ$25:$BC$606,,MATCH(AH$8,'Калькуляция (МИ корр)'!$AJ$8:$BC$8,0)),'Калькуляция (МИ корр)'!$F$25:$F$606,$F172,'Калькуляция (МИ корр)'!$G$25:$G$606,$G172),IF(method_reg="Метод экономически обоснованных расходов",_xlfn.SUMIFS('Калькуляция (МЭОР)'!$AK$25:$AK$367,'Калькуляция (МЭОР)'!$F$25:$F$367,$F172,'Калькуляция (МЭОР)'!$G$25:$G$367,$G172),IF(method_reg="Метод сравнения аналогов",_xlfn.SUMIFS('Калькуляция (МСА)'!$AF$25:$AF$103,'Калькуляция (МСА)'!$F$25:$F$103,$F172,'Калькуляция (МСА)'!$G$25:$G$103,$G172),_xlfn.SUMIFS(INDEX('Калькуляция (МИ)'!$AJ$25:$BC$603,,MATCH(AH$8,'Калькуляция (МИ)'!$AJ$8:$BC$8,0)),'Калькуляция (МИ)'!$F$25:$F$603,$F172,'Калькуляция (МИ)'!$G$25:$G$603,$G172))))</f>
        <v>60.3704563163809</v>
      </c>
      <c r="AI172" s="292">
        <f>IF(AG172=0,0,(AH172-AG172)/AG172*100)</f>
        <v>0</v>
      </c>
      <c r="AJ172" s="4611">
        <f>IF(AND(method_reg="Метод индексации",god&lt;&gt;first_year),_xlfn.SUMIFS(INDEX('Калькуляция (МИ корр)'!$AJ$25:$BC$606,,MATCH(AJ$8,'Калькуляция (МИ корр)'!$AJ$8:$BC$8,0)),'Калькуляция (МИ корр)'!$F$25:$F$606,$F172,'Калькуляция (МИ корр)'!$G$25:$G$606,$G172),IF(method_reg="Метод экономически обоснованных расходов",_xlfn.SUMIFS('Калькуляция (МЭОР)'!$AJ$25:$AJ$367,'Калькуляция (МЭОР)'!$F$25:$F$367,$F172,'Калькуляция (МЭОР)'!$G$25:$G$367,$G172),IF(method_reg="Метод сравнения аналогов",_xlfn.SUMIFS('Калькуляция (МСА)'!$AE$25:$AE$103,'Калькуляция (МСА)'!$F$25:$F$103,$F172,'Калькуляция (МСА)'!$G$25:$G$103,$G172),_xlfn.SUMIFS(INDEX('Калькуляция (МИ)'!$AJ$25:$BC$603,,MATCH(AJ$8,'Калькуляция (МИ)'!$AJ$8:$BC$8,0)),'Калькуляция (МИ)'!$F$25:$F$603,$F172,'Калькуляция (МИ)'!$G$25:$G$603,$G172))))</f>
        <v>0</v>
      </c>
      <c r="AK172" s="4611">
        <f>IF(AND(method_reg="Метод индексации",god&lt;&gt;first_year),_xlfn.SUMIFS(INDEX('Калькуляция (МИ корр)'!$AJ$25:$BC$606,,MATCH(AK$8,'Калькуляция (МИ корр)'!$AJ$8:$BC$8,0)),'Калькуляция (МИ корр)'!$F$25:$F$606,$F172,'Калькуляция (МИ корр)'!$G$25:$G$606,$G172),IF(method_reg="Метод экономически обоснованных расходов",_xlfn.SUMIFS('Калькуляция (МЭОР)'!$AK$25:$AK$367,'Калькуляция (МЭОР)'!$F$25:$F$367,$F172,'Калькуляция (МЭОР)'!$G$25:$G$367,$G172),IF(method_reg="Метод сравнения аналогов",_xlfn.SUMIFS('Калькуляция (МСА)'!$AF$25:$AF$103,'Калькуляция (МСА)'!$F$25:$F$103,$F172,'Калькуляция (МСА)'!$G$25:$G$103,$G172),_xlfn.SUMIFS(INDEX('Калькуляция (МИ)'!$AJ$25:$BC$603,,MATCH(AK$8,'Калькуляция (МИ)'!$AJ$8:$BC$8,0)),'Калькуляция (МИ)'!$F$25:$F$603,$F172,'Калькуляция (МИ)'!$G$25:$G$603,$G172))))</f>
        <v>0</v>
      </c>
      <c r="AL172" s="292">
        <f>IF(AJ172=0,0,(AK172-AJ172)/AJ172*100)</f>
        <v>0</v>
      </c>
      <c r="AM172" s="4611">
        <f>IF(AND(method_reg="Метод индексации",god&lt;&gt;first_year),_xlfn.SUMIFS(INDEX('Калькуляция (МИ корр)'!$AJ$25:$BC$606,,MATCH(AM$8,'Калькуляция (МИ корр)'!$AJ$8:$BC$8,0)),'Калькуляция (МИ корр)'!$F$25:$F$606,$F172,'Калькуляция (МИ корр)'!$G$25:$G$606,$G172),IF(method_reg="Метод экономически обоснованных расходов",_xlfn.SUMIFS('Калькуляция (МЭОР)'!$AJ$25:$AJ$367,'Калькуляция (МЭОР)'!$F$25:$F$367,$F172,'Калькуляция (МЭОР)'!$G$25:$G$367,$G172),IF(method_reg="Метод сравнения аналогов",_xlfn.SUMIFS('Калькуляция (МСА)'!$AE$25:$AE$103,'Калькуляция (МСА)'!$F$25:$F$103,$F172,'Калькуляция (МСА)'!$G$25:$G$103,$G172),_xlfn.SUMIFS(INDEX('Калькуляция (МИ)'!$AJ$25:$BC$603,,MATCH(AM$8,'Калькуляция (МИ)'!$AJ$8:$BC$8,0)),'Калькуляция (МИ)'!$F$25:$F$603,$F172,'Калькуляция (МИ)'!$G$25:$G$603,$G172))))</f>
        <v>0</v>
      </c>
      <c r="AN172" s="4611">
        <f>IF(AND(method_reg="Метод индексации",god&lt;&gt;first_year),_xlfn.SUMIFS(INDEX('Калькуляция (МИ корр)'!$AJ$25:$BC$606,,MATCH(AN$8,'Калькуляция (МИ корр)'!$AJ$8:$BC$8,0)),'Калькуляция (МИ корр)'!$F$25:$F$606,$F172,'Калькуляция (МИ корр)'!$G$25:$G$606,$G172),IF(method_reg="Метод экономически обоснованных расходов",_xlfn.SUMIFS('Калькуляция (МЭОР)'!$AK$25:$AK$367,'Калькуляция (МЭОР)'!$F$25:$F$367,$F172,'Калькуляция (МЭОР)'!$G$25:$G$367,$G172),IF(method_reg="Метод сравнения аналогов",_xlfn.SUMIFS('Калькуляция (МСА)'!$AF$25:$AF$103,'Калькуляция (МСА)'!$F$25:$F$103,$F172,'Калькуляция (МСА)'!$G$25:$G$103,$G172),_xlfn.SUMIFS(INDEX('Калькуляция (МИ)'!$AJ$25:$BC$603,,MATCH(AN$8,'Калькуляция (МИ)'!$AJ$8:$BC$8,0)),'Калькуляция (МИ)'!$F$25:$F$603,$F172,'Калькуляция (МИ)'!$G$25:$G$603,$G172))))</f>
        <v>0</v>
      </c>
      <c r="AO172" s="292">
        <f>IF(AM172=0,0,(AN172-AM172)/AM172*100)</f>
        <v>0</v>
      </c>
      <c r="AP172" s="4611">
        <f>IF(AND(method_reg="Метод индексации",god&lt;&gt;first_year),_xlfn.SUMIFS(INDEX('Калькуляция (МИ корр)'!$AJ$25:$BC$606,,MATCH(AP$8,'Калькуляция (МИ корр)'!$AJ$8:$BC$8,0)),'Калькуляция (МИ корр)'!$F$25:$F$606,$F172,'Калькуляция (МИ корр)'!$G$25:$G$606,$G172),IF(method_reg="Метод экономически обоснованных расходов",_xlfn.SUMIFS('Калькуляция (МЭОР)'!$AJ$25:$AJ$367,'Калькуляция (МЭОР)'!$F$25:$F$367,$F172,'Калькуляция (МЭОР)'!$G$25:$G$367,$G172),IF(method_reg="Метод сравнения аналогов",_xlfn.SUMIFS('Калькуляция (МСА)'!$AE$25:$AE$103,'Калькуляция (МСА)'!$F$25:$F$103,$F172,'Калькуляция (МСА)'!$G$25:$G$103,$G172),_xlfn.SUMIFS(INDEX('Калькуляция (МИ)'!$AJ$25:$BC$603,,MATCH(AP$8,'Калькуляция (МИ)'!$AJ$8:$BC$8,0)),'Калькуляция (МИ)'!$F$25:$F$603,$F172,'Калькуляция (МИ)'!$G$25:$G$603,$G172))))</f>
        <v>0</v>
      </c>
      <c r="AQ172" s="4611">
        <f>IF(AND(method_reg="Метод индексации",god&lt;&gt;first_year),_xlfn.SUMIFS(INDEX('Калькуляция (МИ корр)'!$AJ$25:$BC$606,,MATCH(AQ$8,'Калькуляция (МИ корр)'!$AJ$8:$BC$8,0)),'Калькуляция (МИ корр)'!$F$25:$F$606,$F172,'Калькуляция (МИ корр)'!$G$25:$G$606,$G172),IF(method_reg="Метод экономически обоснованных расходов",_xlfn.SUMIFS('Калькуляция (МЭОР)'!$AK$25:$AK$367,'Калькуляция (МЭОР)'!$F$25:$F$367,$F172,'Калькуляция (МЭОР)'!$G$25:$G$367,$G172),IF(method_reg="Метод сравнения аналогов",_xlfn.SUMIFS('Калькуляция (МСА)'!$AF$25:$AF$103,'Калькуляция (МСА)'!$F$25:$F$103,$F172,'Калькуляция (МСА)'!$G$25:$G$103,$G172),_xlfn.SUMIFS(INDEX('Калькуляция (МИ)'!$AJ$25:$BC$603,,MATCH(AQ$8,'Калькуляция (МИ)'!$AJ$8:$BC$8,0)),'Калькуляция (МИ)'!$F$25:$F$603,$F172,'Калькуляция (МИ)'!$G$25:$G$603,$G172))))</f>
        <v>0</v>
      </c>
      <c r="AR172" s="292">
        <f>IF(AP172=0,0,(AQ172-AP172)/AP172*100)</f>
        <v>0</v>
      </c>
      <c r="AS172" s="4611">
        <f>IF(AND(method_reg="Метод индексации",god&lt;&gt;first_year),_xlfn.SUMIFS(INDEX('Калькуляция (МИ корр)'!$AJ$25:$BC$606,,MATCH(AS$8,'Калькуляция (МИ корр)'!$AJ$8:$BC$8,0)),'Калькуляция (МИ корр)'!$F$25:$F$606,$F172,'Калькуляция (МИ корр)'!$G$25:$G$606,$G172),IF(method_reg="Метод экономически обоснованных расходов",_xlfn.SUMIFS('Калькуляция (МЭОР)'!$AJ$25:$AJ$367,'Калькуляция (МЭОР)'!$F$25:$F$367,$F172,'Калькуляция (МЭОР)'!$G$25:$G$367,$G172),IF(method_reg="Метод сравнения аналогов",_xlfn.SUMIFS('Калькуляция (МСА)'!$AE$25:$AE$103,'Калькуляция (МСА)'!$F$25:$F$103,$F172,'Калькуляция (МСА)'!$G$25:$G$103,$G172),_xlfn.SUMIFS(INDEX('Калькуляция (МИ)'!$AJ$25:$BC$603,,MATCH(AS$8,'Калькуляция (МИ)'!$AJ$8:$BC$8,0)),'Калькуляция (МИ)'!$F$25:$F$603,$F172,'Калькуляция (МИ)'!$G$25:$G$603,$G172))))</f>
        <v>0</v>
      </c>
      <c r="AT172" s="4611">
        <f>IF(AND(method_reg="Метод индексации",god&lt;&gt;first_year),_xlfn.SUMIFS(INDEX('Калькуляция (МИ корр)'!$AJ$25:$BC$606,,MATCH(AT$8,'Калькуляция (МИ корр)'!$AJ$8:$BC$8,0)),'Калькуляция (МИ корр)'!$F$25:$F$606,$F172,'Калькуляция (МИ корр)'!$G$25:$G$606,$G172),IF(method_reg="Метод экономически обоснованных расходов",_xlfn.SUMIFS('Калькуляция (МЭОР)'!$AK$25:$AK$367,'Калькуляция (МЭОР)'!$F$25:$F$367,$F172,'Калькуляция (МЭОР)'!$G$25:$G$367,$G172),IF(method_reg="Метод сравнения аналогов",_xlfn.SUMIFS('Калькуляция (МСА)'!$AF$25:$AF$103,'Калькуляция (МСА)'!$F$25:$F$103,$F172,'Калькуляция (МСА)'!$G$25:$G$103,$G172),_xlfn.SUMIFS(INDEX('Калькуляция (МИ)'!$AJ$25:$BC$603,,MATCH(AT$8,'Калькуляция (МИ)'!$AJ$8:$BC$8,0)),'Калькуляция (МИ)'!$F$25:$F$603,$F172,'Калькуляция (МИ)'!$G$25:$G$603,$G172))))</f>
        <v>0</v>
      </c>
      <c r="AU172" s="292">
        <f>IF(AS172=0,0,(AT172-AS172)/AS172*100)</f>
        <v>0</v>
      </c>
      <c r="AV172" s="4611">
        <f>IF(AND(method_reg="Метод индексации",god&lt;&gt;first_year),_xlfn.SUMIFS(INDEX('Калькуляция (МИ корр)'!$AJ$25:$BC$606,,MATCH(AV$8,'Калькуляция (МИ корр)'!$AJ$8:$BC$8,0)),'Калькуляция (МИ корр)'!$F$25:$F$606,$F172,'Калькуляция (МИ корр)'!$G$25:$G$606,$G172),IF(method_reg="Метод экономически обоснованных расходов",_xlfn.SUMIFS('Калькуляция (МЭОР)'!$AJ$25:$AJ$367,'Калькуляция (МЭОР)'!$F$25:$F$367,$F172,'Калькуляция (МЭОР)'!$G$25:$G$367,$G172),IF(method_reg="Метод сравнения аналогов",_xlfn.SUMIFS('Калькуляция (МСА)'!$AE$25:$AE$103,'Калькуляция (МСА)'!$F$25:$F$103,$F172,'Калькуляция (МСА)'!$G$25:$G$103,$G172),_xlfn.SUMIFS(INDEX('Калькуляция (МИ)'!$AJ$25:$BC$603,,MATCH(AV$8,'Калькуляция (МИ)'!$AJ$8:$BC$8,0)),'Калькуляция (МИ)'!$F$25:$F$603,$F172,'Калькуляция (МИ)'!$G$25:$G$603,$G172))))</f>
        <v>0</v>
      </c>
      <c r="AW172" s="4611">
        <f>IF(AND(method_reg="Метод индексации",god&lt;&gt;first_year),_xlfn.SUMIFS(INDEX('Калькуляция (МИ корр)'!$AJ$25:$BC$606,,MATCH(AW$8,'Калькуляция (МИ корр)'!$AJ$8:$BC$8,0)),'Калькуляция (МИ корр)'!$F$25:$F$606,$F172,'Калькуляция (МИ корр)'!$G$25:$G$606,$G172),IF(method_reg="Метод экономически обоснованных расходов",_xlfn.SUMIFS('Калькуляция (МЭОР)'!$AK$25:$AK$367,'Калькуляция (МЭОР)'!$F$25:$F$367,$F172,'Калькуляция (МЭОР)'!$G$25:$G$367,$G172),IF(method_reg="Метод сравнения аналогов",_xlfn.SUMIFS('Калькуляция (МСА)'!$AF$25:$AF$103,'Калькуляция (МСА)'!$F$25:$F$103,$F172,'Калькуляция (МСА)'!$G$25:$G$103,$G172),_xlfn.SUMIFS(INDEX('Калькуляция (МИ)'!$AJ$25:$BC$603,,MATCH(AW$8,'Калькуляция (МИ)'!$AJ$8:$BC$8,0)),'Калькуляция (МИ)'!$F$25:$F$603,$F172,'Калькуляция (МИ)'!$G$25:$G$603,$G172))))</f>
        <v>0</v>
      </c>
      <c r="AX172" s="292">
        <f>IF(AV172=0,0,(AW172-AV172)/AV172*100)</f>
        <v>0</v>
      </c>
      <c r="AY172" s="4611">
        <f>IF(AND(method_reg="Метод индексации",god&lt;&gt;first_year),_xlfn.SUMIFS(INDEX('Калькуляция (МИ корр)'!$AJ$25:$BC$606,,MATCH(AY$8,'Калькуляция (МИ корр)'!$AJ$8:$BC$8,0)),'Калькуляция (МИ корр)'!$F$25:$F$606,$F172,'Калькуляция (МИ корр)'!$G$25:$G$606,$G172),IF(method_reg="Метод экономически обоснованных расходов",_xlfn.SUMIFS('Калькуляция (МЭОР)'!$AJ$25:$AJ$367,'Калькуляция (МЭОР)'!$F$25:$F$367,$F172,'Калькуляция (МЭОР)'!$G$25:$G$367,$G172),IF(method_reg="Метод сравнения аналогов",_xlfn.SUMIFS('Калькуляция (МСА)'!$AE$25:$AE$103,'Калькуляция (МСА)'!$F$25:$F$103,$F172,'Калькуляция (МСА)'!$G$25:$G$103,$G172),_xlfn.SUMIFS(INDEX('Калькуляция (МИ)'!$AJ$25:$BC$603,,MATCH(AY$8,'Калькуляция (МИ)'!$AJ$8:$BC$8,0)),'Калькуляция (МИ)'!$F$25:$F$603,$F172,'Калькуляция (МИ)'!$G$25:$G$603,$G172))))</f>
        <v>0</v>
      </c>
      <c r="AZ172" s="4611">
        <f>IF(AND(method_reg="Метод индексации",god&lt;&gt;first_year),_xlfn.SUMIFS(INDEX('Калькуляция (МИ корр)'!$AJ$25:$BC$606,,MATCH(AZ$8,'Калькуляция (МИ корр)'!$AJ$8:$BC$8,0)),'Калькуляция (МИ корр)'!$F$25:$F$606,$F172,'Калькуляция (МИ корр)'!$G$25:$G$606,$G172),IF(method_reg="Метод экономически обоснованных расходов",_xlfn.SUMIFS('Калькуляция (МЭОР)'!$AK$25:$AK$367,'Калькуляция (МЭОР)'!$F$25:$F$367,$F172,'Калькуляция (МЭОР)'!$G$25:$G$367,$G172),IF(method_reg="Метод сравнения аналогов",_xlfn.SUMIFS('Калькуляция (МСА)'!$AF$25:$AF$103,'Калькуляция (МСА)'!$F$25:$F$103,$F172,'Калькуляция (МСА)'!$G$25:$G$103,$G172),_xlfn.SUMIFS(INDEX('Калькуляция (МИ)'!$AJ$25:$BC$603,,MATCH(AZ$8,'Калькуляция (МИ)'!$AJ$8:$BC$8,0)),'Калькуляция (МИ)'!$F$25:$F$603,$F172,'Калькуляция (МИ)'!$G$25:$G$603,$G172))))</f>
        <v>0</v>
      </c>
      <c r="BA172" s="292">
        <f>IF(AY172=0,0,(AZ172-AY172)/AY172*100)</f>
        <v>0</v>
      </c>
      <c r="BB172" s="4611">
        <f>IF(AND(method_reg="Метод индексации",god&lt;&gt;first_year),_xlfn.SUMIFS(INDEX('Калькуляция (МИ корр)'!$AJ$25:$BC$606,,MATCH(BB$8,'Калькуляция (МИ корр)'!$AJ$8:$BC$8,0)),'Калькуляция (МИ корр)'!$F$25:$F$606,$F172,'Калькуляция (МИ корр)'!$G$25:$G$606,$G172),IF(method_reg="Метод экономически обоснованных расходов",_xlfn.SUMIFS('Калькуляция (МЭОР)'!$AJ$25:$AJ$367,'Калькуляция (МЭОР)'!$F$25:$F$367,$F172,'Калькуляция (МЭОР)'!$G$25:$G$367,$G172),IF(method_reg="Метод сравнения аналогов",_xlfn.SUMIFS('Калькуляция (МСА)'!$AE$25:$AE$103,'Калькуляция (МСА)'!$F$25:$F$103,$F172,'Калькуляция (МСА)'!$G$25:$G$103,$G172),_xlfn.SUMIFS(INDEX('Калькуляция (МИ)'!$AJ$25:$BC$603,,MATCH(BB$8,'Калькуляция (МИ)'!$AJ$8:$BC$8,0)),'Калькуляция (МИ)'!$F$25:$F$603,$F172,'Калькуляция (МИ)'!$G$25:$G$603,$G172))))</f>
        <v>0</v>
      </c>
      <c r="BC172" s="4611">
        <f>IF(AND(method_reg="Метод индексации",god&lt;&gt;first_year),_xlfn.SUMIFS(INDEX('Калькуляция (МИ корр)'!$AJ$25:$BC$606,,MATCH(BC$8,'Калькуляция (МИ корр)'!$AJ$8:$BC$8,0)),'Калькуляция (МИ корр)'!$F$25:$F$606,$F172,'Калькуляция (МИ корр)'!$G$25:$G$606,$G172),IF(method_reg="Метод экономически обоснованных расходов",_xlfn.SUMIFS('Калькуляция (МЭОР)'!$AK$25:$AK$367,'Калькуляция (МЭОР)'!$F$25:$F$367,$F172,'Калькуляция (МЭОР)'!$G$25:$G$367,$G172),IF(method_reg="Метод сравнения аналогов",_xlfn.SUMIFS('Калькуляция (МСА)'!$AF$25:$AF$103,'Калькуляция (МСА)'!$F$25:$F$103,$F172,'Калькуляция (МСА)'!$G$25:$G$103,$G172),_xlfn.SUMIFS(INDEX('Калькуляция (МИ)'!$AJ$25:$BC$603,,MATCH(BC$8,'Калькуляция (МИ)'!$AJ$8:$BC$8,0)),'Калькуляция (МИ)'!$F$25:$F$603,$F172,'Калькуляция (МИ)'!$G$25:$G$603,$G172))))</f>
        <v>0</v>
      </c>
      <c r="BD172" s="292">
        <f>IF(BB172=0,0,(BC172-BB172)/BB172*100)</f>
        <v>0</v>
      </c>
      <c r="BE172" s="4611">
        <f>IF(AND(method_reg="Метод индексации",god&lt;&gt;first_year),_xlfn.SUMIFS(INDEX('Калькуляция (МИ корр)'!$AJ$25:$BC$606,,MATCH(BE$8,'Калькуляция (МИ корр)'!$AJ$8:$BC$8,0)),'Калькуляция (МИ корр)'!$F$25:$F$606,$F172,'Калькуляция (МИ корр)'!$G$25:$G$606,$G172),IF(method_reg="Метод экономически обоснованных расходов",_xlfn.SUMIFS('Калькуляция (МЭОР)'!$AJ$25:$AJ$367,'Калькуляция (МЭОР)'!$F$25:$F$367,$F172,'Калькуляция (МЭОР)'!$G$25:$G$367,$G172),IF(method_reg="Метод сравнения аналогов",_xlfn.SUMIFS('Калькуляция (МСА)'!$AE$25:$AE$103,'Калькуляция (МСА)'!$F$25:$F$103,$F172,'Калькуляция (МСА)'!$G$25:$G$103,$G172),_xlfn.SUMIFS(INDEX('Калькуляция (МИ)'!$AJ$25:$BC$603,,MATCH(BE$8,'Калькуляция (МИ)'!$AJ$8:$BC$8,0)),'Калькуляция (МИ)'!$F$25:$F$603,$F172,'Калькуляция (МИ)'!$G$25:$G$603,$G172))))</f>
        <v>0</v>
      </c>
      <c r="BF172" s="4611">
        <f>IF(AND(method_reg="Метод индексации",god&lt;&gt;first_year),_xlfn.SUMIFS(INDEX('Калькуляция (МИ корр)'!$AJ$25:$BC$606,,MATCH(BF$8,'Калькуляция (МИ корр)'!$AJ$8:$BC$8,0)),'Калькуляция (МИ корр)'!$F$25:$F$606,$F172,'Калькуляция (МИ корр)'!$G$25:$G$606,$G172),IF(method_reg="Метод экономически обоснованных расходов",_xlfn.SUMIFS('Калькуляция (МЭОР)'!$AK$25:$AK$367,'Калькуляция (МЭОР)'!$F$25:$F$367,$F172,'Калькуляция (МЭОР)'!$G$25:$G$367,$G172),IF(method_reg="Метод сравнения аналогов",_xlfn.SUMIFS('Калькуляция (МСА)'!$AF$25:$AF$103,'Калькуляция (МСА)'!$F$25:$F$103,$F172,'Калькуляция (МСА)'!$G$25:$G$103,$G172),_xlfn.SUMIFS(INDEX('Калькуляция (МИ)'!$AJ$25:$BC$603,,MATCH(BF$8,'Калькуляция (МИ)'!$AJ$8:$BC$8,0)),'Калькуляция (МИ)'!$F$25:$F$603,$F172,'Калькуляция (МИ)'!$G$25:$G$603,$G172))))</f>
        <v>0</v>
      </c>
      <c r="BG172" s="292">
        <f>IF(BE172=0,0,(BF172-BE172)/BE172*100)</f>
        <v>0</v>
      </c>
      <c r="BH172" s="4611"/>
      <c r="BI172" s="4611"/>
      <c r="BJ172" s="292">
        <f>IF(BH172=0,0,(BI172-BH172)/BH172*100)</f>
        <v>0</v>
      </c>
      <c r="BK172" s="4611"/>
      <c r="BL172" s="4611"/>
      <c r="BM172" s="292">
        <f>IF(BK172=0,0,(BL172-BK172)/BK172*100)</f>
        <v>0</v>
      </c>
      <c r="BN172" s="4611"/>
      <c r="BO172" s="4611"/>
      <c r="BP172" s="292">
        <f>IF(BN172=0,0,(BO172-BN172)/BN172*100)</f>
        <v>0</v>
      </c>
      <c r="BQ172" s="4611"/>
      <c r="BR172" s="4611"/>
      <c r="BS172" s="292">
        <f>IF(BQ172=0,0,(BR172-BQ172)/BQ172*100)</f>
        <v>0</v>
      </c>
      <c r="BT172" s="4611"/>
      <c r="BU172" s="4611"/>
      <c r="BV172" s="292">
        <f>IF(BT172=0,0,(BU172-BT172)/BT172*100)</f>
        <v>0</v>
      </c>
      <c r="BW172" s="4611"/>
      <c r="BX172" s="4611"/>
      <c r="BY172" s="292">
        <f>IF(BW172=0,0,(BX172-BW172)/BW172*100)</f>
        <v>0</v>
      </c>
      <c r="BZ172" s="4611"/>
      <c r="CA172" s="4611"/>
      <c r="CB172" s="292">
        <f>IF(BZ172=0,0,(CA172-BZ172)/BZ172*100)</f>
        <v>0</v>
      </c>
      <c r="CC172" s="4611"/>
      <c r="CD172" s="4611"/>
      <c r="CE172" s="292">
        <f>IF(CC172=0,0,(CD172-CC172)/CC172*100)</f>
        <v>0</v>
      </c>
      <c r="CF172" s="4611"/>
      <c r="CG172" s="4611"/>
      <c r="CH172" s="292">
        <f>IF(CF172=0,0,(CG172-CF172)/CF172*100)</f>
        <v>0</v>
      </c>
      <c r="CI172" s="4611"/>
      <c r="CJ172" s="4611"/>
      <c r="CK172" s="292">
        <f>IF(CI172=0,0,(CJ172-CI172)/CI172*100)</f>
        <v>0</v>
      </c>
      <c r="CL172" s="4611"/>
      <c r="CM172" s="4611"/>
      <c r="CN172" s="292">
        <f>IF(CL172=0,0,(CM172-CL172)/CL172*100)</f>
        <v>0</v>
      </c>
      <c r="CO172" s="4611"/>
      <c r="CP172" s="4611"/>
      <c r="CQ172" s="292">
        <f>IF(CO172=0,0,(CP172-CO172)/CO172*100)</f>
        <v>0</v>
      </c>
      <c r="CR172" s="4611"/>
      <c r="CS172" s="4611"/>
      <c r="CT172" s="292">
        <f>IF(CR172=0,0,(CS172-CR172)/CR172*100)</f>
        <v>0</v>
      </c>
      <c r="CU172" s="4611"/>
      <c r="CV172" s="4611"/>
      <c r="CW172" s="292">
        <f>IF(CU172=0,0,(CV172-CU172)/CU172*100)</f>
        <v>0</v>
      </c>
      <c r="CX172" s="4611"/>
      <c r="CY172" s="4611"/>
      <c r="CZ172" s="292">
        <f>IF(CX172=0,0,(CY172-CX172)/CX172*100)</f>
        <v>0</v>
      </c>
      <c r="DA172" s="4611"/>
      <c r="DB172" s="4611"/>
      <c r="DC172" s="292">
        <f>IF(DA172=0,0,(DB172-DA172)/DA172*100)</f>
        <v>0</v>
      </c>
      <c r="DD172" s="4611"/>
      <c r="DE172" s="4611"/>
      <c r="DF172" s="292">
        <f>IF(DD172=0,0,(DE172-DD172)/DD172*100)</f>
        <v>0</v>
      </c>
      <c r="DG172" s="4611"/>
      <c r="DH172" s="4611"/>
      <c r="DI172" s="292">
        <f>IF(DG172=0,0,(DH172-DG172)/DG172*100)</f>
        <v>0</v>
      </c>
      <c r="DJ172" s="4611"/>
      <c r="DK172" s="4611"/>
      <c r="DL172" s="292">
        <f>IF(DJ172=0,0,(DK172-DJ172)/DJ172*100)</f>
        <v>0</v>
      </c>
      <c r="DM172" s="4611"/>
      <c r="DN172" s="4611"/>
      <c r="DO172" s="292">
        <f>IF(DM172=0,0,(DN172-DM172)/DM172*100)</f>
        <v>0</v>
      </c>
      <c r="DP172" s="4611"/>
      <c r="DQ172" s="4611"/>
      <c r="DR172" s="292">
        <f>IF(DP172=0,0,(DQ172-DP172)/DP172*100)</f>
        <v>0</v>
      </c>
      <c r="DS172" s="4611"/>
      <c r="DT172" s="4611"/>
      <c r="DU172" s="292">
        <f>IF(DS172=0,0,(DT172-DS172)/DS172*100)</f>
        <v>0</v>
      </c>
      <c r="DV172" s="4611"/>
      <c r="DW172" s="4611"/>
      <c r="DX172" s="292">
        <f>IF(DV172=0,0,(DW172-DV172)/DV172*100)</f>
        <v>0</v>
      </c>
      <c r="DY172" s="4611"/>
      <c r="DZ172" s="4611"/>
      <c r="EA172" s="292">
        <f>IF(DY172=0,0,(DZ172-DY172)/DY172*100)</f>
        <v>0</v>
      </c>
      <c r="EB172" s="4611"/>
      <c r="EC172" s="4611"/>
      <c r="ED172" s="292">
        <f>IF(EB172=0,0,(EC172-EB172)/EB172*100)</f>
        <v>0</v>
      </c>
      <c r="EE172" s="4611"/>
      <c r="EF172" s="4611"/>
      <c r="EG172" s="292">
        <f>IF(EE172=0,0,(EF172-EE172)/EE172*100)</f>
        <v>0</v>
      </c>
      <c r="EH172" s="4611"/>
      <c r="EI172" s="4611"/>
      <c r="EJ172" s="292">
        <f>IF(EH172=0,0,(EI172-EH172)/EH172*100)</f>
        <v>0</v>
      </c>
      <c r="EK172" s="4611"/>
      <c r="EL172" s="4611"/>
      <c r="EM172" s="292">
        <f>IF(EK172=0,0,(EL172-EK172)/EK172*100)</f>
        <v>0</v>
      </c>
      <c r="EN172" s="4611"/>
      <c r="EO172" s="4611"/>
      <c r="EP172" s="292">
        <f>IF(EN172=0,0,(EO172-EN172)/EN172*100)</f>
        <v>0</v>
      </c>
      <c r="EQ172" s="4611"/>
      <c r="ER172" s="4611"/>
      <c r="ES172" s="292">
        <f>IF(EQ172=0,0,(ER172-EQ172)/EQ172*100)</f>
        <v>0</v>
      </c>
      <c r="ET172" s="4611"/>
      <c r="EU172" s="4611"/>
      <c r="EV172" s="292">
        <f>IF(ET172=0,0,(EU172-ET172)/ET172*100)</f>
        <v>0</v>
      </c>
      <c r="EW172" s="4611"/>
      <c r="EX172" s="4611"/>
      <c r="EY172" s="292">
        <f>IF(EW172=0,0,(EX172-EW172)/EW172*100)</f>
        <v>0</v>
      </c>
      <c r="EZ172" s="4611"/>
      <c r="FA172" s="4611"/>
      <c r="FB172" s="292">
        <f>IF(EZ172=0,0,(FA172-EZ172)/EZ172*100)</f>
        <v>0</v>
      </c>
      <c r="FC172" s="4611"/>
      <c r="FD172" s="4611"/>
      <c r="FE172" s="292">
        <f>IF(FC172=0,0,(FD172-FC172)/FC172*100)</f>
        <v>0</v>
      </c>
      <c r="FF172" s="4611"/>
      <c r="FG172" s="4611"/>
      <c r="FH172" s="292">
        <f>IF(FF172=0,0,(FG172-FF172)/FF172*100)</f>
        <v>0</v>
      </c>
      <c r="FI172" s="4611"/>
      <c r="FJ172" s="4611"/>
      <c r="FK172" s="292">
        <f>IF(FI172=0,0,(FJ172-FI172)/FI172*100)</f>
        <v>0</v>
      </c>
      <c r="FL172" s="4611"/>
      <c r="FM172" s="4611"/>
      <c r="FN172" s="292">
        <f>IF(FL172=0,0,(FM172-FL172)/FL172*100)</f>
        <v>0</v>
      </c>
      <c r="FO172" s="4611"/>
      <c r="FP172" s="4611"/>
      <c r="FQ172" s="292">
        <f>IF(FO172=0,0,(FP172-FO172)/FO172*100)</f>
        <v>0</v>
      </c>
      <c r="FR172" s="4611"/>
      <c r="FS172" s="4611"/>
      <c r="FT172" s="292">
        <f>IF(FR172=0,0,(FS172-FR172)/FR172*100)</f>
        <v>0</v>
      </c>
      <c r="FU172" s="4611"/>
      <c r="FV172" s="4611"/>
      <c r="FW172" s="292">
        <f>IF(FU172=0,0,(FV172-FU172)/FU172*100)</f>
        <v>0</v>
      </c>
      <c r="FX172" s="288"/>
      <c r="FY172" s="288"/>
      <c r="FZ172" s="1063" t="s">
        <v>1942</v>
      </c>
      <c r="GA172" s="1063"/>
      <c r="GB172" s="1063"/>
      <c r="GC172" s="1064"/>
      <c r="GD172" s="1064"/>
    </row>
    <row s="4933" customFormat="1" customHeight="1" ht="23.25" hidden="1">
      <c r="A173" s="904"/>
      <c r="B173" s="932" cm="1" t="str">
        <f t="array" ref="B173:B173">B172</f>
        <v>false</v>
      </c>
      <c r="C173" s="904"/>
      <c r="D173" s="904"/>
      <c r="E173" s="847">
        <v>24.5</v>
      </c>
      <c r="F173" s="50" cm="1" t="str">
        <f t="array" ref="F173:F173">OFFSET(E173,-1,1)</f>
        <v>1</v>
      </c>
      <c r="G173" s="103" t="s">
        <v>1864</v>
      </c>
      <c r="H173" s="496" t="s">
        <v>566</v>
      </c>
      <c r="I173" s="496" t="s">
        <v>1943</v>
      </c>
      <c r="J173" s="904"/>
      <c r="K173" s="904"/>
      <c r="L173" s="904"/>
      <c r="M173" s="904"/>
      <c r="N173" s="904"/>
      <c r="O173" s="904"/>
      <c r="P173" s="904"/>
      <c r="Q173" s="904"/>
      <c r="R173" s="904"/>
      <c r="S173" s="496"/>
      <c r="T173" s="468" cm="1" t="str">
        <f t="array" ref="T173:T173">T172</f>
        <v>true</v>
      </c>
      <c r="U173" s="904"/>
      <c r="V173" s="904"/>
      <c r="W173" s="904"/>
      <c r="X173" s="1559"/>
      <c r="Y173" s="904"/>
      <c r="Z173" s="1528"/>
      <c r="AA173" s="904"/>
      <c r="AB173" s="215" t="s">
        <v>1944</v>
      </c>
      <c r="AC173" s="230" t="s">
        <v>1862</v>
      </c>
      <c r="AD173" s="4611">
        <f>IF(AND(method_reg="Метод индексации",god&lt;&gt;first_year),_xlfn.SUMIFS(INDEX('Калькуляция (МИ корр)'!$AJ$25:$BC$606,,MATCH(AD$8,'Калькуляция (МИ корр)'!$AJ$8:$BC$8,0)),'Калькуляция (МИ корр)'!$F$25:$F$606,$F173,'Калькуляция (МИ корр)'!$G$25:$G$606,$G173),IF(method_reg="Метод экономически обоснованных расходов",_xlfn.SUMIFS('Калькуляция (МЭОР)'!$AJ$25:$AJ$367,'Калькуляция (МЭОР)'!$F$25:$F$367,$F173,'Калькуляция (МЭОР)'!$G$25:$G$367,$G173),IF(method_reg="Метод сравнения аналогов",_xlfn.SUMIFS('Калькуляция (МСА)'!$AE$25:$AE$103,'Калькуляция (МСА)'!$F$25:$F$103,$F173,'Калькуляция (МСА)'!$G$25:$G$103,$G173),_xlfn.SUMIFS(INDEX('Калькуляция (МИ)'!$AJ$25:$BC$603,,MATCH(AD$8,'Калькуляция (МИ)'!$AJ$8:$BC$8,0)),'Калькуляция (МИ)'!$F$25:$F$603,$F173,'Калькуляция (МИ)'!$G$25:$G$603,$G173))))</f>
        <v>99.9013421891771</v>
      </c>
      <c r="AE173" s="4611">
        <f>IF(AND(method_reg="Метод индексации",god&lt;&gt;first_year),_xlfn.SUMIFS(INDEX('Калькуляция (МИ корр)'!$AJ$25:$BC$606,,MATCH(AE$8,'Калькуляция (МИ корр)'!$AJ$8:$BC$8,0)),'Калькуляция (МИ корр)'!$F$25:$F$606,$F173,'Калькуляция (МИ корр)'!$G$25:$G$606,$G173),IF(method_reg="Метод экономически обоснованных расходов",_xlfn.SUMIFS('Калькуляция (МЭОР)'!$AK$25:$AK$367,'Калькуляция (МЭОР)'!$F$25:$F$367,$F173,'Калькуляция (МЭОР)'!$G$25:$G$367,$G173),IF(method_reg="Метод сравнения аналогов",_xlfn.SUMIFS('Калькуляция (МСА)'!$AF$25:$AF$103,'Калькуляция (МСА)'!$F$25:$F$103,$F173,'Калькуляция (МСА)'!$G$25:$G$103,$G173),_xlfn.SUMIFS(INDEX('Калькуляция (МИ)'!$AJ$25:$BC$603,,MATCH(AE$8,'Калькуляция (МИ)'!$AJ$8:$BC$8,0)),'Калькуляция (МИ)'!$F$25:$F$603,$F173,'Калькуляция (МИ)'!$G$25:$G$603,$G173))))</f>
        <v>60.3704563163809</v>
      </c>
      <c r="AF173" s="292">
        <f>IF(AD173=0,0,(AE173-AD173)/AD173*100)</f>
        <v>-39.5699246942438</v>
      </c>
      <c r="AG173" s="4611">
        <f>IF(AND(method_reg="Метод индексации",god&lt;&gt;first_year),_xlfn.SUMIFS(INDEX('Калькуляция (МИ корр)'!$AJ$25:$BC$606,,MATCH(AG$8,'Калькуляция (МИ корр)'!$AJ$8:$BC$8,0)),'Калькуляция (МИ корр)'!$F$25:$F$606,$F173,'Калькуляция (МИ корр)'!$G$25:$G$606,$G173),IF(method_reg="Метод экономически обоснованных расходов",_xlfn.SUMIFS('Калькуляция (МЭОР)'!$AJ$25:$AJ$367,'Калькуляция (МЭОР)'!$F$25:$F$367,$F173,'Калькуляция (МЭОР)'!$G$25:$G$367,$G173),IF(method_reg="Метод сравнения аналогов",_xlfn.SUMIFS('Калькуляция (МСА)'!$AE$25:$AE$103,'Калькуляция (МСА)'!$F$25:$F$103,$F173,'Калькуляция (МСА)'!$G$25:$G$103,$G173),_xlfn.SUMIFS(INDEX('Калькуляция (МИ)'!$AJ$25:$BC$603,,MATCH(AG$8,'Калькуляция (МИ)'!$AJ$8:$BC$8,0)),'Калькуляция (МИ)'!$F$25:$F$603,$F173,'Калькуляция (МИ)'!$G$25:$G$603,$G173))))</f>
        <v>0</v>
      </c>
      <c r="AH173" s="4611">
        <f>IF(AND(method_reg="Метод индексации",god&lt;&gt;first_year),_xlfn.SUMIFS(INDEX('Калькуляция (МИ корр)'!$AJ$25:$BC$606,,MATCH(AH$8,'Калькуляция (МИ корр)'!$AJ$8:$BC$8,0)),'Калькуляция (МИ корр)'!$F$25:$F$606,$F173,'Калькуляция (МИ корр)'!$G$25:$G$606,$G173),IF(method_reg="Метод экономически обоснованных расходов",_xlfn.SUMIFS('Калькуляция (МЭОР)'!$AK$25:$AK$367,'Калькуляция (МЭОР)'!$F$25:$F$367,$F173,'Калькуляция (МЭОР)'!$G$25:$G$367,$G173),IF(method_reg="Метод сравнения аналогов",_xlfn.SUMIFS('Калькуляция (МСА)'!$AF$25:$AF$103,'Калькуляция (МСА)'!$F$25:$F$103,$F173,'Калькуляция (МСА)'!$G$25:$G$103,$G173),_xlfn.SUMIFS(INDEX('Калькуляция (МИ)'!$AJ$25:$BC$603,,MATCH(AH$8,'Калькуляция (МИ)'!$AJ$8:$BC$8,0)),'Калькуляция (МИ)'!$F$25:$F$603,$F173,'Калькуляция (МИ)'!$G$25:$G$603,$G173))))</f>
        <v>0</v>
      </c>
      <c r="AI173" s="292">
        <f>IF(AG173=0,0,(AH173-AG173)/AG173*100)</f>
        <v>0</v>
      </c>
      <c r="AJ173" s="4611">
        <f>IF(AND(method_reg="Метод индексации",god&lt;&gt;first_year),_xlfn.SUMIFS(INDEX('Калькуляция (МИ корр)'!$AJ$25:$BC$606,,MATCH(AJ$8,'Калькуляция (МИ корр)'!$AJ$8:$BC$8,0)),'Калькуляция (МИ корр)'!$F$25:$F$606,$F173,'Калькуляция (МИ корр)'!$G$25:$G$606,$G173),IF(method_reg="Метод экономически обоснованных расходов",_xlfn.SUMIFS('Калькуляция (МЭОР)'!$AJ$25:$AJ$367,'Калькуляция (МЭОР)'!$F$25:$F$367,$F173,'Калькуляция (МЭОР)'!$G$25:$G$367,$G173),IF(method_reg="Метод сравнения аналогов",_xlfn.SUMIFS('Калькуляция (МСА)'!$AE$25:$AE$103,'Калькуляция (МСА)'!$F$25:$F$103,$F173,'Калькуляция (МСА)'!$G$25:$G$103,$G173),_xlfn.SUMIFS(INDEX('Калькуляция (МИ)'!$AJ$25:$BC$603,,MATCH(AJ$8,'Калькуляция (МИ)'!$AJ$8:$BC$8,0)),'Калькуляция (МИ)'!$F$25:$F$603,$F173,'Калькуляция (МИ)'!$G$25:$G$603,$G173))))</f>
        <v>0</v>
      </c>
      <c r="AK173" s="4611">
        <f>IF(AND(method_reg="Метод индексации",god&lt;&gt;first_year),_xlfn.SUMIFS(INDEX('Калькуляция (МИ корр)'!$AJ$25:$BC$606,,MATCH(AK$8,'Калькуляция (МИ корр)'!$AJ$8:$BC$8,0)),'Калькуляция (МИ корр)'!$F$25:$F$606,$F173,'Калькуляция (МИ корр)'!$G$25:$G$606,$G173),IF(method_reg="Метод экономически обоснованных расходов",_xlfn.SUMIFS('Калькуляция (МЭОР)'!$AK$25:$AK$367,'Калькуляция (МЭОР)'!$F$25:$F$367,$F173,'Калькуляция (МЭОР)'!$G$25:$G$367,$G173),IF(method_reg="Метод сравнения аналогов",_xlfn.SUMIFS('Калькуляция (МСА)'!$AF$25:$AF$103,'Калькуляция (МСА)'!$F$25:$F$103,$F173,'Калькуляция (МСА)'!$G$25:$G$103,$G173),_xlfn.SUMIFS(INDEX('Калькуляция (МИ)'!$AJ$25:$BC$603,,MATCH(AK$8,'Калькуляция (МИ)'!$AJ$8:$BC$8,0)),'Калькуляция (МИ)'!$F$25:$F$603,$F173,'Калькуляция (МИ)'!$G$25:$G$603,$G173))))</f>
        <v>0</v>
      </c>
      <c r="AL173" s="292">
        <f>IF(AJ173=0,0,(AK173-AJ173)/AJ173*100)</f>
        <v>0</v>
      </c>
      <c r="AM173" s="4611">
        <f>IF(AND(method_reg="Метод индексации",god&lt;&gt;first_year),_xlfn.SUMIFS(INDEX('Калькуляция (МИ корр)'!$AJ$25:$BC$606,,MATCH(AM$8,'Калькуляция (МИ корр)'!$AJ$8:$BC$8,0)),'Калькуляция (МИ корр)'!$F$25:$F$606,$F173,'Калькуляция (МИ корр)'!$G$25:$G$606,$G173),IF(method_reg="Метод экономически обоснованных расходов",_xlfn.SUMIFS('Калькуляция (МЭОР)'!$AJ$25:$AJ$367,'Калькуляция (МЭОР)'!$F$25:$F$367,$F173,'Калькуляция (МЭОР)'!$G$25:$G$367,$G173),IF(method_reg="Метод сравнения аналогов",_xlfn.SUMIFS('Калькуляция (МСА)'!$AE$25:$AE$103,'Калькуляция (МСА)'!$F$25:$F$103,$F173,'Калькуляция (МСА)'!$G$25:$G$103,$G173),_xlfn.SUMIFS(INDEX('Калькуляция (МИ)'!$AJ$25:$BC$603,,MATCH(AM$8,'Калькуляция (МИ)'!$AJ$8:$BC$8,0)),'Калькуляция (МИ)'!$F$25:$F$603,$F173,'Калькуляция (МИ)'!$G$25:$G$603,$G173))))</f>
        <v>0</v>
      </c>
      <c r="AN173" s="4611">
        <f>IF(AND(method_reg="Метод индексации",god&lt;&gt;first_year),_xlfn.SUMIFS(INDEX('Калькуляция (МИ корр)'!$AJ$25:$BC$606,,MATCH(AN$8,'Калькуляция (МИ корр)'!$AJ$8:$BC$8,0)),'Калькуляция (МИ корр)'!$F$25:$F$606,$F173,'Калькуляция (МИ корр)'!$G$25:$G$606,$G173),IF(method_reg="Метод экономически обоснованных расходов",_xlfn.SUMIFS('Калькуляция (МЭОР)'!$AK$25:$AK$367,'Калькуляция (МЭОР)'!$F$25:$F$367,$F173,'Калькуляция (МЭОР)'!$G$25:$G$367,$G173),IF(method_reg="Метод сравнения аналогов",_xlfn.SUMIFS('Калькуляция (МСА)'!$AF$25:$AF$103,'Калькуляция (МСА)'!$F$25:$F$103,$F173,'Калькуляция (МСА)'!$G$25:$G$103,$G173),_xlfn.SUMIFS(INDEX('Калькуляция (МИ)'!$AJ$25:$BC$603,,MATCH(AN$8,'Калькуляция (МИ)'!$AJ$8:$BC$8,0)),'Калькуляция (МИ)'!$F$25:$F$603,$F173,'Калькуляция (МИ)'!$G$25:$G$603,$G173))))</f>
        <v>0</v>
      </c>
      <c r="AO173" s="292">
        <f>IF(AM173=0,0,(AN173-AM173)/AM173*100)</f>
        <v>0</v>
      </c>
      <c r="AP173" s="4611">
        <f>IF(AND(method_reg="Метод индексации",god&lt;&gt;first_year),_xlfn.SUMIFS(INDEX('Калькуляция (МИ корр)'!$AJ$25:$BC$606,,MATCH(AP$8,'Калькуляция (МИ корр)'!$AJ$8:$BC$8,0)),'Калькуляция (МИ корр)'!$F$25:$F$606,$F173,'Калькуляция (МИ корр)'!$G$25:$G$606,$G173),IF(method_reg="Метод экономически обоснованных расходов",_xlfn.SUMIFS('Калькуляция (МЭОР)'!$AJ$25:$AJ$367,'Калькуляция (МЭОР)'!$F$25:$F$367,$F173,'Калькуляция (МЭОР)'!$G$25:$G$367,$G173),IF(method_reg="Метод сравнения аналогов",_xlfn.SUMIFS('Калькуляция (МСА)'!$AE$25:$AE$103,'Калькуляция (МСА)'!$F$25:$F$103,$F173,'Калькуляция (МСА)'!$G$25:$G$103,$G173),_xlfn.SUMIFS(INDEX('Калькуляция (МИ)'!$AJ$25:$BC$603,,MATCH(AP$8,'Калькуляция (МИ)'!$AJ$8:$BC$8,0)),'Калькуляция (МИ)'!$F$25:$F$603,$F173,'Калькуляция (МИ)'!$G$25:$G$603,$G173))))</f>
        <v>0</v>
      </c>
      <c r="AQ173" s="4611">
        <f>IF(AND(method_reg="Метод индексации",god&lt;&gt;first_year),_xlfn.SUMIFS(INDEX('Калькуляция (МИ корр)'!$AJ$25:$BC$606,,MATCH(AQ$8,'Калькуляция (МИ корр)'!$AJ$8:$BC$8,0)),'Калькуляция (МИ корр)'!$F$25:$F$606,$F173,'Калькуляция (МИ корр)'!$G$25:$G$606,$G173),IF(method_reg="Метод экономически обоснованных расходов",_xlfn.SUMIFS('Калькуляция (МЭОР)'!$AK$25:$AK$367,'Калькуляция (МЭОР)'!$F$25:$F$367,$F173,'Калькуляция (МЭОР)'!$G$25:$G$367,$G173),IF(method_reg="Метод сравнения аналогов",_xlfn.SUMIFS('Калькуляция (МСА)'!$AF$25:$AF$103,'Калькуляция (МСА)'!$F$25:$F$103,$F173,'Калькуляция (МСА)'!$G$25:$G$103,$G173),_xlfn.SUMIFS(INDEX('Калькуляция (МИ)'!$AJ$25:$BC$603,,MATCH(AQ$8,'Калькуляция (МИ)'!$AJ$8:$BC$8,0)),'Калькуляция (МИ)'!$F$25:$F$603,$F173,'Калькуляция (МИ)'!$G$25:$G$603,$G173))))</f>
        <v>0</v>
      </c>
      <c r="AR173" s="292">
        <f>IF(AP173=0,0,(AQ173-AP173)/AP173*100)</f>
        <v>0</v>
      </c>
      <c r="AS173" s="4611">
        <f>IF(AND(method_reg="Метод индексации",god&lt;&gt;first_year),_xlfn.SUMIFS(INDEX('Калькуляция (МИ корр)'!$AJ$25:$BC$606,,MATCH(AS$8,'Калькуляция (МИ корр)'!$AJ$8:$BC$8,0)),'Калькуляция (МИ корр)'!$F$25:$F$606,$F173,'Калькуляция (МИ корр)'!$G$25:$G$606,$G173),IF(method_reg="Метод экономически обоснованных расходов",_xlfn.SUMIFS('Калькуляция (МЭОР)'!$AJ$25:$AJ$367,'Калькуляция (МЭОР)'!$F$25:$F$367,$F173,'Калькуляция (МЭОР)'!$G$25:$G$367,$G173),IF(method_reg="Метод сравнения аналогов",_xlfn.SUMIFS('Калькуляция (МСА)'!$AE$25:$AE$103,'Калькуляция (МСА)'!$F$25:$F$103,$F173,'Калькуляция (МСА)'!$G$25:$G$103,$G173),_xlfn.SUMIFS(INDEX('Калькуляция (МИ)'!$AJ$25:$BC$603,,MATCH(AS$8,'Калькуляция (МИ)'!$AJ$8:$BC$8,0)),'Калькуляция (МИ)'!$F$25:$F$603,$F173,'Калькуляция (МИ)'!$G$25:$G$603,$G173))))</f>
        <v>0</v>
      </c>
      <c r="AT173" s="4611">
        <f>IF(AND(method_reg="Метод индексации",god&lt;&gt;first_year),_xlfn.SUMIFS(INDEX('Калькуляция (МИ корр)'!$AJ$25:$BC$606,,MATCH(AT$8,'Калькуляция (МИ корр)'!$AJ$8:$BC$8,0)),'Калькуляция (МИ корр)'!$F$25:$F$606,$F173,'Калькуляция (МИ корр)'!$G$25:$G$606,$G173),IF(method_reg="Метод экономически обоснованных расходов",_xlfn.SUMIFS('Калькуляция (МЭОР)'!$AK$25:$AK$367,'Калькуляция (МЭОР)'!$F$25:$F$367,$F173,'Калькуляция (МЭОР)'!$G$25:$G$367,$G173),IF(method_reg="Метод сравнения аналогов",_xlfn.SUMIFS('Калькуляция (МСА)'!$AF$25:$AF$103,'Калькуляция (МСА)'!$F$25:$F$103,$F173,'Калькуляция (МСА)'!$G$25:$G$103,$G173),_xlfn.SUMIFS(INDEX('Калькуляция (МИ)'!$AJ$25:$BC$603,,MATCH(AT$8,'Калькуляция (МИ)'!$AJ$8:$BC$8,0)),'Калькуляция (МИ)'!$F$25:$F$603,$F173,'Калькуляция (МИ)'!$G$25:$G$603,$G173))))</f>
        <v>0</v>
      </c>
      <c r="AU173" s="292">
        <f>IF(AS173=0,0,(AT173-AS173)/AS173*100)</f>
        <v>0</v>
      </c>
      <c r="AV173" s="4611">
        <f>IF(AND(method_reg="Метод индексации",god&lt;&gt;first_year),_xlfn.SUMIFS(INDEX('Калькуляция (МИ корр)'!$AJ$25:$BC$606,,MATCH(AV$8,'Калькуляция (МИ корр)'!$AJ$8:$BC$8,0)),'Калькуляция (МИ корр)'!$F$25:$F$606,$F173,'Калькуляция (МИ корр)'!$G$25:$G$606,$G173),IF(method_reg="Метод экономически обоснованных расходов",_xlfn.SUMIFS('Калькуляция (МЭОР)'!$AJ$25:$AJ$367,'Калькуляция (МЭОР)'!$F$25:$F$367,$F173,'Калькуляция (МЭОР)'!$G$25:$G$367,$G173),IF(method_reg="Метод сравнения аналогов",_xlfn.SUMIFS('Калькуляция (МСА)'!$AE$25:$AE$103,'Калькуляция (МСА)'!$F$25:$F$103,$F173,'Калькуляция (МСА)'!$G$25:$G$103,$G173),_xlfn.SUMIFS(INDEX('Калькуляция (МИ)'!$AJ$25:$BC$603,,MATCH(AV$8,'Калькуляция (МИ)'!$AJ$8:$BC$8,0)),'Калькуляция (МИ)'!$F$25:$F$603,$F173,'Калькуляция (МИ)'!$G$25:$G$603,$G173))))</f>
        <v>0</v>
      </c>
      <c r="AW173" s="4611">
        <f>IF(AND(method_reg="Метод индексации",god&lt;&gt;first_year),_xlfn.SUMIFS(INDEX('Калькуляция (МИ корр)'!$AJ$25:$BC$606,,MATCH(AW$8,'Калькуляция (МИ корр)'!$AJ$8:$BC$8,0)),'Калькуляция (МИ корр)'!$F$25:$F$606,$F173,'Калькуляция (МИ корр)'!$G$25:$G$606,$G173),IF(method_reg="Метод экономически обоснованных расходов",_xlfn.SUMIFS('Калькуляция (МЭОР)'!$AK$25:$AK$367,'Калькуляция (МЭОР)'!$F$25:$F$367,$F173,'Калькуляция (МЭОР)'!$G$25:$G$367,$G173),IF(method_reg="Метод сравнения аналогов",_xlfn.SUMIFS('Калькуляция (МСА)'!$AF$25:$AF$103,'Калькуляция (МСА)'!$F$25:$F$103,$F173,'Калькуляция (МСА)'!$G$25:$G$103,$G173),_xlfn.SUMIFS(INDEX('Калькуляция (МИ)'!$AJ$25:$BC$603,,MATCH(AW$8,'Калькуляция (МИ)'!$AJ$8:$BC$8,0)),'Калькуляция (МИ)'!$F$25:$F$603,$F173,'Калькуляция (МИ)'!$G$25:$G$603,$G173))))</f>
        <v>0</v>
      </c>
      <c r="AX173" s="292">
        <f>IF(AV173=0,0,(AW173-AV173)/AV173*100)</f>
        <v>0</v>
      </c>
      <c r="AY173" s="4611">
        <f>IF(AND(method_reg="Метод индексации",god&lt;&gt;first_year),_xlfn.SUMIFS(INDEX('Калькуляция (МИ корр)'!$AJ$25:$BC$606,,MATCH(AY$8,'Калькуляция (МИ корр)'!$AJ$8:$BC$8,0)),'Калькуляция (МИ корр)'!$F$25:$F$606,$F173,'Калькуляция (МИ корр)'!$G$25:$G$606,$G173),IF(method_reg="Метод экономически обоснованных расходов",_xlfn.SUMIFS('Калькуляция (МЭОР)'!$AJ$25:$AJ$367,'Калькуляция (МЭОР)'!$F$25:$F$367,$F173,'Калькуляция (МЭОР)'!$G$25:$G$367,$G173),IF(method_reg="Метод сравнения аналогов",_xlfn.SUMIFS('Калькуляция (МСА)'!$AE$25:$AE$103,'Калькуляция (МСА)'!$F$25:$F$103,$F173,'Калькуляция (МСА)'!$G$25:$G$103,$G173),_xlfn.SUMIFS(INDEX('Калькуляция (МИ)'!$AJ$25:$BC$603,,MATCH(AY$8,'Калькуляция (МИ)'!$AJ$8:$BC$8,0)),'Калькуляция (МИ)'!$F$25:$F$603,$F173,'Калькуляция (МИ)'!$G$25:$G$603,$G173))))</f>
        <v>0</v>
      </c>
      <c r="AZ173" s="4611">
        <f>IF(AND(method_reg="Метод индексации",god&lt;&gt;first_year),_xlfn.SUMIFS(INDEX('Калькуляция (МИ корр)'!$AJ$25:$BC$606,,MATCH(AZ$8,'Калькуляция (МИ корр)'!$AJ$8:$BC$8,0)),'Калькуляция (МИ корр)'!$F$25:$F$606,$F173,'Калькуляция (МИ корр)'!$G$25:$G$606,$G173),IF(method_reg="Метод экономически обоснованных расходов",_xlfn.SUMIFS('Калькуляция (МЭОР)'!$AK$25:$AK$367,'Калькуляция (МЭОР)'!$F$25:$F$367,$F173,'Калькуляция (МЭОР)'!$G$25:$G$367,$G173),IF(method_reg="Метод сравнения аналогов",_xlfn.SUMIFS('Калькуляция (МСА)'!$AF$25:$AF$103,'Калькуляция (МСА)'!$F$25:$F$103,$F173,'Калькуляция (МСА)'!$G$25:$G$103,$G173),_xlfn.SUMIFS(INDEX('Калькуляция (МИ)'!$AJ$25:$BC$603,,MATCH(AZ$8,'Калькуляция (МИ)'!$AJ$8:$BC$8,0)),'Калькуляция (МИ)'!$F$25:$F$603,$F173,'Калькуляция (МИ)'!$G$25:$G$603,$G173))))</f>
        <v>0</v>
      </c>
      <c r="BA173" s="292">
        <f>IF(AY173=0,0,(AZ173-AY173)/AY173*100)</f>
        <v>0</v>
      </c>
      <c r="BB173" s="4611">
        <f>IF(AND(method_reg="Метод индексации",god&lt;&gt;first_year),_xlfn.SUMIFS(INDEX('Калькуляция (МИ корр)'!$AJ$25:$BC$606,,MATCH(BB$8,'Калькуляция (МИ корр)'!$AJ$8:$BC$8,0)),'Калькуляция (МИ корр)'!$F$25:$F$606,$F173,'Калькуляция (МИ корр)'!$G$25:$G$606,$G173),IF(method_reg="Метод экономически обоснованных расходов",_xlfn.SUMIFS('Калькуляция (МЭОР)'!$AJ$25:$AJ$367,'Калькуляция (МЭОР)'!$F$25:$F$367,$F173,'Калькуляция (МЭОР)'!$G$25:$G$367,$G173),IF(method_reg="Метод сравнения аналогов",_xlfn.SUMIFS('Калькуляция (МСА)'!$AE$25:$AE$103,'Калькуляция (МСА)'!$F$25:$F$103,$F173,'Калькуляция (МСА)'!$G$25:$G$103,$G173),_xlfn.SUMIFS(INDEX('Калькуляция (МИ)'!$AJ$25:$BC$603,,MATCH(BB$8,'Калькуляция (МИ)'!$AJ$8:$BC$8,0)),'Калькуляция (МИ)'!$F$25:$F$603,$F173,'Калькуляция (МИ)'!$G$25:$G$603,$G173))))</f>
        <v>0</v>
      </c>
      <c r="BC173" s="4611">
        <f>IF(AND(method_reg="Метод индексации",god&lt;&gt;first_year),_xlfn.SUMIFS(INDEX('Калькуляция (МИ корр)'!$AJ$25:$BC$606,,MATCH(BC$8,'Калькуляция (МИ корр)'!$AJ$8:$BC$8,0)),'Калькуляция (МИ корр)'!$F$25:$F$606,$F173,'Калькуляция (МИ корр)'!$G$25:$G$606,$G173),IF(method_reg="Метод экономически обоснованных расходов",_xlfn.SUMIFS('Калькуляция (МЭОР)'!$AK$25:$AK$367,'Калькуляция (МЭОР)'!$F$25:$F$367,$F173,'Калькуляция (МЭОР)'!$G$25:$G$367,$G173),IF(method_reg="Метод сравнения аналогов",_xlfn.SUMIFS('Калькуляция (МСА)'!$AF$25:$AF$103,'Калькуляция (МСА)'!$F$25:$F$103,$F173,'Калькуляция (МСА)'!$G$25:$G$103,$G173),_xlfn.SUMIFS(INDEX('Калькуляция (МИ)'!$AJ$25:$BC$603,,MATCH(BC$8,'Калькуляция (МИ)'!$AJ$8:$BC$8,0)),'Калькуляция (МИ)'!$F$25:$F$603,$F173,'Калькуляция (МИ)'!$G$25:$G$603,$G173))))</f>
        <v>0</v>
      </c>
      <c r="BD173" s="292">
        <f>IF(BB173=0,0,(BC173-BB173)/BB173*100)</f>
        <v>0</v>
      </c>
      <c r="BE173" s="4611">
        <f>IF(AND(method_reg="Метод индексации",god&lt;&gt;first_year),_xlfn.SUMIFS(INDEX('Калькуляция (МИ корр)'!$AJ$25:$BC$606,,MATCH(BE$8,'Калькуляция (МИ корр)'!$AJ$8:$BC$8,0)),'Калькуляция (МИ корр)'!$F$25:$F$606,$F173,'Калькуляция (МИ корр)'!$G$25:$G$606,$G173),IF(method_reg="Метод экономически обоснованных расходов",_xlfn.SUMIFS('Калькуляция (МЭОР)'!$AJ$25:$AJ$367,'Калькуляция (МЭОР)'!$F$25:$F$367,$F173,'Калькуляция (МЭОР)'!$G$25:$G$367,$G173),IF(method_reg="Метод сравнения аналогов",_xlfn.SUMIFS('Калькуляция (МСА)'!$AE$25:$AE$103,'Калькуляция (МСА)'!$F$25:$F$103,$F173,'Калькуляция (МСА)'!$G$25:$G$103,$G173),_xlfn.SUMIFS(INDEX('Калькуляция (МИ)'!$AJ$25:$BC$603,,MATCH(BE$8,'Калькуляция (МИ)'!$AJ$8:$BC$8,0)),'Калькуляция (МИ)'!$F$25:$F$603,$F173,'Калькуляция (МИ)'!$G$25:$G$603,$G173))))</f>
        <v>0</v>
      </c>
      <c r="BF173" s="4611">
        <f>IF(AND(method_reg="Метод индексации",god&lt;&gt;first_year),_xlfn.SUMIFS(INDEX('Калькуляция (МИ корр)'!$AJ$25:$BC$606,,MATCH(BF$8,'Калькуляция (МИ корр)'!$AJ$8:$BC$8,0)),'Калькуляция (МИ корр)'!$F$25:$F$606,$F173,'Калькуляция (МИ корр)'!$G$25:$G$606,$G173),IF(method_reg="Метод экономически обоснованных расходов",_xlfn.SUMIFS('Калькуляция (МЭОР)'!$AK$25:$AK$367,'Калькуляция (МЭОР)'!$F$25:$F$367,$F173,'Калькуляция (МЭОР)'!$G$25:$G$367,$G173),IF(method_reg="Метод сравнения аналогов",_xlfn.SUMIFS('Калькуляция (МСА)'!$AF$25:$AF$103,'Калькуляция (МСА)'!$F$25:$F$103,$F173,'Калькуляция (МСА)'!$G$25:$G$103,$G173),_xlfn.SUMIFS(INDEX('Калькуляция (МИ)'!$AJ$25:$BC$603,,MATCH(BF$8,'Калькуляция (МИ)'!$AJ$8:$BC$8,0)),'Калькуляция (МИ)'!$F$25:$F$603,$F173,'Калькуляция (МИ)'!$G$25:$G$603,$G173))))</f>
        <v>0</v>
      </c>
      <c r="BG173" s="292">
        <f>IF(BE173=0,0,(BF173-BE173)/BE173*100)</f>
        <v>0</v>
      </c>
      <c r="BH173" s="4611"/>
      <c r="BI173" s="4611"/>
      <c r="BJ173" s="292">
        <f>IF(BH173=0,0,(BI173-BH173)/BH173*100)</f>
        <v>0</v>
      </c>
      <c r="BK173" s="4611"/>
      <c r="BL173" s="4611"/>
      <c r="BM173" s="292">
        <f>IF(BK173=0,0,(BL173-BK173)/BK173*100)</f>
        <v>0</v>
      </c>
      <c r="BN173" s="4611"/>
      <c r="BO173" s="4611"/>
      <c r="BP173" s="292">
        <f>IF(BN173=0,0,(BO173-BN173)/BN173*100)</f>
        <v>0</v>
      </c>
      <c r="BQ173" s="4611"/>
      <c r="BR173" s="4611"/>
      <c r="BS173" s="292">
        <f>IF(BQ173=0,0,(BR173-BQ173)/BQ173*100)</f>
        <v>0</v>
      </c>
      <c r="BT173" s="4611"/>
      <c r="BU173" s="4611"/>
      <c r="BV173" s="292">
        <f>IF(BT173=0,0,(BU173-BT173)/BT173*100)</f>
        <v>0</v>
      </c>
      <c r="BW173" s="4611"/>
      <c r="BX173" s="4611"/>
      <c r="BY173" s="292">
        <f>IF(BW173=0,0,(BX173-BW173)/BW173*100)</f>
        <v>0</v>
      </c>
      <c r="BZ173" s="4611"/>
      <c r="CA173" s="4611"/>
      <c r="CB173" s="292">
        <f>IF(BZ173=0,0,(CA173-BZ173)/BZ173*100)</f>
        <v>0</v>
      </c>
      <c r="CC173" s="4611"/>
      <c r="CD173" s="4611"/>
      <c r="CE173" s="292">
        <f>IF(CC173=0,0,(CD173-CC173)/CC173*100)</f>
        <v>0</v>
      </c>
      <c r="CF173" s="4611"/>
      <c r="CG173" s="4611"/>
      <c r="CH173" s="292">
        <f>IF(CF173=0,0,(CG173-CF173)/CF173*100)</f>
        <v>0</v>
      </c>
      <c r="CI173" s="4611"/>
      <c r="CJ173" s="4611"/>
      <c r="CK173" s="292">
        <f>IF(CI173=0,0,(CJ173-CI173)/CI173*100)</f>
        <v>0</v>
      </c>
      <c r="CL173" s="4611"/>
      <c r="CM173" s="4611"/>
      <c r="CN173" s="292">
        <f>IF(CL173=0,0,(CM173-CL173)/CL173*100)</f>
        <v>0</v>
      </c>
      <c r="CO173" s="4611"/>
      <c r="CP173" s="4611"/>
      <c r="CQ173" s="292">
        <f>IF(CO173=0,0,(CP173-CO173)/CO173*100)</f>
        <v>0</v>
      </c>
      <c r="CR173" s="4611"/>
      <c r="CS173" s="4611"/>
      <c r="CT173" s="292">
        <f>IF(CR173=0,0,(CS173-CR173)/CR173*100)</f>
        <v>0</v>
      </c>
      <c r="CU173" s="4611"/>
      <c r="CV173" s="4611"/>
      <c r="CW173" s="292">
        <f>IF(CU173=0,0,(CV173-CU173)/CU173*100)</f>
        <v>0</v>
      </c>
      <c r="CX173" s="4611"/>
      <c r="CY173" s="4611"/>
      <c r="CZ173" s="292">
        <f>IF(CX173=0,0,(CY173-CX173)/CX173*100)</f>
        <v>0</v>
      </c>
      <c r="DA173" s="4611"/>
      <c r="DB173" s="4611"/>
      <c r="DC173" s="292">
        <f>IF(DA173=0,0,(DB173-DA173)/DA173*100)</f>
        <v>0</v>
      </c>
      <c r="DD173" s="4611"/>
      <c r="DE173" s="4611"/>
      <c r="DF173" s="292">
        <f>IF(DD173=0,0,(DE173-DD173)/DD173*100)</f>
        <v>0</v>
      </c>
      <c r="DG173" s="4611"/>
      <c r="DH173" s="4611"/>
      <c r="DI173" s="292">
        <f>IF(DG173=0,0,(DH173-DG173)/DG173*100)</f>
        <v>0</v>
      </c>
      <c r="DJ173" s="4611"/>
      <c r="DK173" s="4611"/>
      <c r="DL173" s="292">
        <f>IF(DJ173=0,0,(DK173-DJ173)/DJ173*100)</f>
        <v>0</v>
      </c>
      <c r="DM173" s="4611"/>
      <c r="DN173" s="4611"/>
      <c r="DO173" s="292">
        <f>IF(DM173=0,0,(DN173-DM173)/DM173*100)</f>
        <v>0</v>
      </c>
      <c r="DP173" s="4611"/>
      <c r="DQ173" s="4611"/>
      <c r="DR173" s="292">
        <f>IF(DP173=0,0,(DQ173-DP173)/DP173*100)</f>
        <v>0</v>
      </c>
      <c r="DS173" s="4611"/>
      <c r="DT173" s="4611"/>
      <c r="DU173" s="292">
        <f>IF(DS173=0,0,(DT173-DS173)/DS173*100)</f>
        <v>0</v>
      </c>
      <c r="DV173" s="4611"/>
      <c r="DW173" s="4611"/>
      <c r="DX173" s="292">
        <f>IF(DV173=0,0,(DW173-DV173)/DV173*100)</f>
        <v>0</v>
      </c>
      <c r="DY173" s="4611"/>
      <c r="DZ173" s="4611"/>
      <c r="EA173" s="292">
        <f>IF(DY173=0,0,(DZ173-DY173)/DY173*100)</f>
        <v>0</v>
      </c>
      <c r="EB173" s="4611"/>
      <c r="EC173" s="4611"/>
      <c r="ED173" s="292">
        <f>IF(EB173=0,0,(EC173-EB173)/EB173*100)</f>
        <v>0</v>
      </c>
      <c r="EE173" s="4611"/>
      <c r="EF173" s="4611"/>
      <c r="EG173" s="292">
        <f>IF(EE173=0,0,(EF173-EE173)/EE173*100)</f>
        <v>0</v>
      </c>
      <c r="EH173" s="4611"/>
      <c r="EI173" s="4611"/>
      <c r="EJ173" s="292">
        <f>IF(EH173=0,0,(EI173-EH173)/EH173*100)</f>
        <v>0</v>
      </c>
      <c r="EK173" s="4611"/>
      <c r="EL173" s="4611"/>
      <c r="EM173" s="292">
        <f>IF(EK173=0,0,(EL173-EK173)/EK173*100)</f>
        <v>0</v>
      </c>
      <c r="EN173" s="4611"/>
      <c r="EO173" s="4611"/>
      <c r="EP173" s="292">
        <f>IF(EN173=0,0,(EO173-EN173)/EN173*100)</f>
        <v>0</v>
      </c>
      <c r="EQ173" s="4611"/>
      <c r="ER173" s="4611"/>
      <c r="ES173" s="292">
        <f>IF(EQ173=0,0,(ER173-EQ173)/EQ173*100)</f>
        <v>0</v>
      </c>
      <c r="ET173" s="4611"/>
      <c r="EU173" s="4611"/>
      <c r="EV173" s="292">
        <f>IF(ET173=0,0,(EU173-ET173)/ET173*100)</f>
        <v>0</v>
      </c>
      <c r="EW173" s="4611"/>
      <c r="EX173" s="4611"/>
      <c r="EY173" s="292">
        <f>IF(EW173=0,0,(EX173-EW173)/EW173*100)</f>
        <v>0</v>
      </c>
      <c r="EZ173" s="4611"/>
      <c r="FA173" s="4611"/>
      <c r="FB173" s="292">
        <f>IF(EZ173=0,0,(FA173-EZ173)/EZ173*100)</f>
        <v>0</v>
      </c>
      <c r="FC173" s="4611"/>
      <c r="FD173" s="4611"/>
      <c r="FE173" s="292">
        <f>IF(FC173=0,0,(FD173-FC173)/FC173*100)</f>
        <v>0</v>
      </c>
      <c r="FF173" s="4611"/>
      <c r="FG173" s="4611"/>
      <c r="FH173" s="292">
        <f>IF(FF173=0,0,(FG173-FF173)/FF173*100)</f>
        <v>0</v>
      </c>
      <c r="FI173" s="4611"/>
      <c r="FJ173" s="4611"/>
      <c r="FK173" s="292">
        <f>IF(FI173=0,0,(FJ173-FI173)/FI173*100)</f>
        <v>0</v>
      </c>
      <c r="FL173" s="4611"/>
      <c r="FM173" s="4611"/>
      <c r="FN173" s="292">
        <f>IF(FL173=0,0,(FM173-FL173)/FL173*100)</f>
        <v>0</v>
      </c>
      <c r="FO173" s="4611"/>
      <c r="FP173" s="4611"/>
      <c r="FQ173" s="292">
        <f>IF(FO173=0,0,(FP173-FO173)/FO173*100)</f>
        <v>0</v>
      </c>
      <c r="FR173" s="4611"/>
      <c r="FS173" s="4611"/>
      <c r="FT173" s="292">
        <f>IF(FR173=0,0,(FS173-FR173)/FR173*100)</f>
        <v>0</v>
      </c>
      <c r="FU173" s="4611"/>
      <c r="FV173" s="4611"/>
      <c r="FW173" s="292">
        <f>IF(FU173=0,0,(FV173-FU173)/FU173*100)</f>
        <v>0</v>
      </c>
      <c r="FX173" s="288"/>
      <c r="FY173" s="288"/>
      <c r="FZ173" s="1063" t="s">
        <v>1945</v>
      </c>
      <c r="GA173" s="1063"/>
      <c r="GB173" s="1063"/>
      <c r="GC173" s="1064"/>
      <c r="GD173" s="1064"/>
    </row>
    <row s="1656" customFormat="1" customHeight="1" ht="14.25" hidden="1">
      <c r="A174" s="496"/>
      <c r="B174" s="932" cm="1" t="str">
        <f t="array" ref="B174:B174">B173</f>
        <v>false</v>
      </c>
      <c r="C174" s="496"/>
      <c r="D174" s="496"/>
      <c r="E174" s="847">
        <v>15</v>
      </c>
      <c r="F174" s="50" cm="1" t="str">
        <f t="array" ref="F174:F174">OFFSET(E174,-1,1)</f>
        <v>1</v>
      </c>
      <c r="G174" s="496"/>
      <c r="H174" s="496" t="s">
        <v>570</v>
      </c>
      <c r="I174" s="496"/>
      <c r="J174" s="496"/>
      <c r="K174" s="496"/>
      <c r="L174" s="496"/>
      <c r="M174" s="496"/>
      <c r="N174" s="496"/>
      <c r="O174" s="496"/>
      <c r="P174" s="496"/>
      <c r="Q174" s="496"/>
      <c r="R174" s="496"/>
      <c r="S174" s="496"/>
      <c r="T174" s="468" cm="1" t="str">
        <f t="array" ref="T174:T174">T173</f>
        <v>true</v>
      </c>
      <c r="U174" s="496"/>
      <c r="V174" s="496"/>
      <c r="W174" s="496"/>
      <c r="X174" s="1559"/>
      <c r="Y174" s="496"/>
      <c r="Z174" s="1528"/>
      <c r="AA174" s="496"/>
      <c r="AB174" s="1097" t="s">
        <v>1946</v>
      </c>
      <c r="AC174" s="773" t="s">
        <v>561</v>
      </c>
      <c r="AD174" s="1101">
        <f>IF(AD172=0,0,AD173/AD172)*100</f>
        <v>99.9999999999999</v>
      </c>
      <c r="AE174" s="1101">
        <f>IF(AE172=0,0,AE173/AE172)*100</f>
        <v>111.963012456196</v>
      </c>
      <c r="AF174" s="1118"/>
      <c r="AG174" s="1101">
        <f>IF(AG172=0,0,AG173/AG172)*100</f>
        <v>0</v>
      </c>
      <c r="AH174" s="1101">
        <f>IF(AH172=0,0,AH173/AH172)*100</f>
        <v>0</v>
      </c>
      <c r="AI174" s="1118"/>
      <c r="AJ174" s="1101">
        <f>IF(AJ172=0,0,AJ173/AJ172)*100</f>
        <v>0</v>
      </c>
      <c r="AK174" s="1101">
        <f>IF(AK172=0,0,AK173/AK172)*100</f>
        <v>0</v>
      </c>
      <c r="AL174" s="1118"/>
      <c r="AM174" s="1101">
        <f>IF(AM172=0,0,AM173/AM172)*100</f>
        <v>0</v>
      </c>
      <c r="AN174" s="1101">
        <f>IF(AN172=0,0,AN173/AN172)*100</f>
        <v>0</v>
      </c>
      <c r="AO174" s="1118"/>
      <c r="AP174" s="1101">
        <f>IF(AP172=0,0,AP173/AP172)*100</f>
        <v>0</v>
      </c>
      <c r="AQ174" s="1101">
        <f>IF(AQ172=0,0,AQ173/AQ172)*100</f>
        <v>0</v>
      </c>
      <c r="AR174" s="1118"/>
      <c r="AS174" s="1101">
        <f>IF(AS172=0,0,AS173/AS172)*100</f>
        <v>0</v>
      </c>
      <c r="AT174" s="1101">
        <f>IF(AT172=0,0,AT173/AT172)*100</f>
        <v>0</v>
      </c>
      <c r="AU174" s="1118"/>
      <c r="AV174" s="1101">
        <f>IF(AV172=0,0,AV173/AV172)*100</f>
        <v>0</v>
      </c>
      <c r="AW174" s="1101">
        <f>IF(AW172=0,0,AW173/AW172)*100</f>
        <v>0</v>
      </c>
      <c r="AX174" s="1118"/>
      <c r="AY174" s="1101">
        <f>IF(AY172=0,0,AY173/AY172)*100</f>
        <v>0</v>
      </c>
      <c r="AZ174" s="1101">
        <f>IF(AZ172=0,0,AZ173/AZ172)*100</f>
        <v>0</v>
      </c>
      <c r="BA174" s="1118"/>
      <c r="BB174" s="1101">
        <f>IF(BB172=0,0,BB173/BB172)*100</f>
        <v>0</v>
      </c>
      <c r="BC174" s="1101">
        <f>IF(BC172=0,0,BC173/BC172)*100</f>
        <v>0</v>
      </c>
      <c r="BD174" s="1118"/>
      <c r="BE174" s="1101">
        <f>IF(BE172=0,0,BE173/BE172)*100</f>
        <v>0</v>
      </c>
      <c r="BF174" s="1101">
        <f>IF(BF172=0,0,BF173/BF172)*100</f>
        <v>0</v>
      </c>
      <c r="BG174" s="1118"/>
      <c r="BH174" s="1101">
        <f>IF(BH172=0,0,BH173/BH172)*100</f>
        <v>0</v>
      </c>
      <c r="BI174" s="1101">
        <f>IF(BI172=0,0,BI173/BI172)*100</f>
        <v>0</v>
      </c>
      <c r="BJ174" s="1118"/>
      <c r="BK174" s="1101">
        <f>IF(BK172=0,0,BK173/BK172)*100</f>
        <v>0</v>
      </c>
      <c r="BL174" s="1101">
        <f>IF(BL172=0,0,BL173/BL172)*100</f>
        <v>0</v>
      </c>
      <c r="BM174" s="1118"/>
      <c r="BN174" s="1101">
        <f>IF(BN172=0,0,BN173/BN172)*100</f>
        <v>0</v>
      </c>
      <c r="BO174" s="1101">
        <f>IF(BO172=0,0,BO173/BO172)*100</f>
        <v>0</v>
      </c>
      <c r="BP174" s="1118"/>
      <c r="BQ174" s="1101">
        <f>IF(BQ172=0,0,BQ173/BQ172)*100</f>
        <v>0</v>
      </c>
      <c r="BR174" s="1101">
        <f>IF(BR172=0,0,BR173/BR172)*100</f>
        <v>0</v>
      </c>
      <c r="BS174" s="1118"/>
      <c r="BT174" s="1101">
        <f>IF(BT172=0,0,BT173/BT172)*100</f>
        <v>0</v>
      </c>
      <c r="BU174" s="1101">
        <f>IF(BU172=0,0,BU173/BU172)*100</f>
        <v>0</v>
      </c>
      <c r="BV174" s="1118"/>
      <c r="BW174" s="1101">
        <f>IF(BW172=0,0,BW173/BW172)*100</f>
        <v>0</v>
      </c>
      <c r="BX174" s="1101">
        <f>IF(BX172=0,0,BX173/BX172)*100</f>
        <v>0</v>
      </c>
      <c r="BY174" s="1118"/>
      <c r="BZ174" s="1101">
        <f>IF(BZ172=0,0,BZ173/BZ172)*100</f>
        <v>0</v>
      </c>
      <c r="CA174" s="1101">
        <f>IF(CA172=0,0,CA173/CA172)*100</f>
        <v>0</v>
      </c>
      <c r="CB174" s="1118"/>
      <c r="CC174" s="1101">
        <f>IF(CC172=0,0,CC173/CC172)*100</f>
        <v>0</v>
      </c>
      <c r="CD174" s="1101">
        <f>IF(CD172=0,0,CD173/CD172)*100</f>
        <v>0</v>
      </c>
      <c r="CE174" s="1118"/>
      <c r="CF174" s="1101">
        <f>IF(CF172=0,0,CF173/CF172)*100</f>
        <v>0</v>
      </c>
      <c r="CG174" s="1101">
        <f>IF(CG172=0,0,CG173/CG172)*100</f>
        <v>0</v>
      </c>
      <c r="CH174" s="1118"/>
      <c r="CI174" s="1101">
        <f>IF(CI172=0,0,CI173/CI172)*100</f>
        <v>0</v>
      </c>
      <c r="CJ174" s="1101">
        <f>IF(CJ172=0,0,CJ173/CJ172)*100</f>
        <v>0</v>
      </c>
      <c r="CK174" s="1118"/>
      <c r="CL174" s="1101">
        <f>IF(CL172=0,0,CL173/CL172)*100</f>
        <v>0</v>
      </c>
      <c r="CM174" s="1101">
        <f>IF(CM172=0,0,CM173/CM172)*100</f>
        <v>0</v>
      </c>
      <c r="CN174" s="1118"/>
      <c r="CO174" s="1101">
        <f>IF(CO172=0,0,CO173/CO172)*100</f>
        <v>0</v>
      </c>
      <c r="CP174" s="1101">
        <f>IF(CP172=0,0,CP173/CP172)*100</f>
        <v>0</v>
      </c>
      <c r="CQ174" s="1118"/>
      <c r="CR174" s="1101">
        <f>IF(CR172=0,0,CR173/CR172)*100</f>
        <v>0</v>
      </c>
      <c r="CS174" s="1101">
        <f>IF(CS172=0,0,CS173/CS172)*100</f>
        <v>0</v>
      </c>
      <c r="CT174" s="1118"/>
      <c r="CU174" s="1101">
        <f>IF(CU172=0,0,CU173/CU172)*100</f>
        <v>0</v>
      </c>
      <c r="CV174" s="1101">
        <f>IF(CV172=0,0,CV173/CV172)*100</f>
        <v>0</v>
      </c>
      <c r="CW174" s="1118"/>
      <c r="CX174" s="1101">
        <f>IF(CX172=0,0,CX173/CX172)*100</f>
        <v>0</v>
      </c>
      <c r="CY174" s="1101">
        <f>IF(CY172=0,0,CY173/CY172)*100</f>
        <v>0</v>
      </c>
      <c r="CZ174" s="1118"/>
      <c r="DA174" s="1101">
        <f>IF(DA172=0,0,DA173/DA172)*100</f>
        <v>0</v>
      </c>
      <c r="DB174" s="1101">
        <f>IF(DB172=0,0,DB173/DB172)*100</f>
        <v>0</v>
      </c>
      <c r="DC174" s="1118"/>
      <c r="DD174" s="1101">
        <f>IF(DD172=0,0,DD173/DD172)*100</f>
        <v>0</v>
      </c>
      <c r="DE174" s="1101">
        <f>IF(DE172=0,0,DE173/DE172)*100</f>
        <v>0</v>
      </c>
      <c r="DF174" s="1118"/>
      <c r="DG174" s="1101">
        <f>IF(DG172=0,0,DG173/DG172)*100</f>
        <v>0</v>
      </c>
      <c r="DH174" s="1101">
        <f>IF(DH172=0,0,DH173/DH172)*100</f>
        <v>0</v>
      </c>
      <c r="DI174" s="1118"/>
      <c r="DJ174" s="1101">
        <f>IF(DJ172=0,0,DJ173/DJ172)*100</f>
        <v>0</v>
      </c>
      <c r="DK174" s="1101">
        <f>IF(DK172=0,0,DK173/DK172)*100</f>
        <v>0</v>
      </c>
      <c r="DL174" s="1118"/>
      <c r="DM174" s="1101">
        <f>IF(DM172=0,0,DM173/DM172)*100</f>
        <v>0</v>
      </c>
      <c r="DN174" s="1101">
        <f>IF(DN172=0,0,DN173/DN172)*100</f>
        <v>0</v>
      </c>
      <c r="DO174" s="1118"/>
      <c r="DP174" s="1101">
        <f>IF(DP172=0,0,DP173/DP172)*100</f>
        <v>0</v>
      </c>
      <c r="DQ174" s="1101">
        <f>IF(DQ172=0,0,DQ173/DQ172)*100</f>
        <v>0</v>
      </c>
      <c r="DR174" s="1118"/>
      <c r="DS174" s="1101">
        <f>IF(DS172=0,0,DS173/DS172)*100</f>
        <v>0</v>
      </c>
      <c r="DT174" s="1101">
        <f>IF(DT172=0,0,DT173/DT172)*100</f>
        <v>0</v>
      </c>
      <c r="DU174" s="1118"/>
      <c r="DV174" s="1101">
        <f>IF(DV172=0,0,DV173/DV172)*100</f>
        <v>0</v>
      </c>
      <c r="DW174" s="1101">
        <f>IF(DW172=0,0,DW173/DW172)*100</f>
        <v>0</v>
      </c>
      <c r="DX174" s="1118"/>
      <c r="DY174" s="1101">
        <f>IF(DY172=0,0,DY173/DY172)*100</f>
        <v>0</v>
      </c>
      <c r="DZ174" s="1101">
        <f>IF(DZ172=0,0,DZ173/DZ172)*100</f>
        <v>0</v>
      </c>
      <c r="EA174" s="1118"/>
      <c r="EB174" s="1101">
        <f>IF(EB172=0,0,EB173/EB172)*100</f>
        <v>0</v>
      </c>
      <c r="EC174" s="1101">
        <f>IF(EC172=0,0,EC173/EC172)*100</f>
        <v>0</v>
      </c>
      <c r="ED174" s="1118"/>
      <c r="EE174" s="1101">
        <f>IF(EE172=0,0,EE173/EE172)*100</f>
        <v>0</v>
      </c>
      <c r="EF174" s="1101">
        <f>IF(EF172=0,0,EF173/EF172)*100</f>
        <v>0</v>
      </c>
      <c r="EG174" s="1118"/>
      <c r="EH174" s="1101">
        <f>IF(EH172=0,0,EH173/EH172)*100</f>
        <v>0</v>
      </c>
      <c r="EI174" s="1101">
        <f>IF(EI172=0,0,EI173/EI172)*100</f>
        <v>0</v>
      </c>
      <c r="EJ174" s="1118"/>
      <c r="EK174" s="1101">
        <f>IF(EK172=0,0,EK173/EK172)*100</f>
        <v>0</v>
      </c>
      <c r="EL174" s="1101">
        <f>IF(EL172=0,0,EL173/EL172)*100</f>
        <v>0</v>
      </c>
      <c r="EM174" s="1118"/>
      <c r="EN174" s="1101">
        <f>IF(EN172=0,0,EN173/EN172)*100</f>
        <v>0</v>
      </c>
      <c r="EO174" s="1101">
        <f>IF(EO172=0,0,EO173/EO172)*100</f>
        <v>0</v>
      </c>
      <c r="EP174" s="1118"/>
      <c r="EQ174" s="1101">
        <f>IF(EQ172=0,0,EQ173/EQ172)*100</f>
        <v>0</v>
      </c>
      <c r="ER174" s="1101">
        <f>IF(ER172=0,0,ER173/ER172)*100</f>
        <v>0</v>
      </c>
      <c r="ES174" s="1118"/>
      <c r="ET174" s="1101">
        <f>IF(ET172=0,0,ET173/ET172)*100</f>
        <v>0</v>
      </c>
      <c r="EU174" s="1101">
        <f>IF(EU172=0,0,EU173/EU172)*100</f>
        <v>0</v>
      </c>
      <c r="EV174" s="1118"/>
      <c r="EW174" s="1101">
        <f>IF(EW172=0,0,EW173/EW172)*100</f>
        <v>0</v>
      </c>
      <c r="EX174" s="1101">
        <f>IF(EX172=0,0,EX173/EX172)*100</f>
        <v>0</v>
      </c>
      <c r="EY174" s="1118"/>
      <c r="EZ174" s="1101">
        <f>IF(EZ172=0,0,EZ173/EZ172)*100</f>
        <v>0</v>
      </c>
      <c r="FA174" s="1101">
        <f>IF(FA172=0,0,FA173/FA172)*100</f>
        <v>0</v>
      </c>
      <c r="FB174" s="1118"/>
      <c r="FC174" s="1101">
        <f>IF(FC172=0,0,FC173/FC172)*100</f>
        <v>0</v>
      </c>
      <c r="FD174" s="1101">
        <f>IF(FD172=0,0,FD173/FD172)*100</f>
        <v>0</v>
      </c>
      <c r="FE174" s="1118"/>
      <c r="FF174" s="1101">
        <f>IF(FF172=0,0,FF173/FF172)*100</f>
        <v>0</v>
      </c>
      <c r="FG174" s="1101">
        <f>IF(FG172=0,0,FG173/FG172)*100</f>
        <v>0</v>
      </c>
      <c r="FH174" s="1118"/>
      <c r="FI174" s="1101">
        <f>IF(FI172=0,0,FI173/FI172)*100</f>
        <v>0</v>
      </c>
      <c r="FJ174" s="1101">
        <f>IF(FJ172=0,0,FJ173/FJ172)*100</f>
        <v>0</v>
      </c>
      <c r="FK174" s="1118"/>
      <c r="FL174" s="1101">
        <f>IF(FL172=0,0,FL173/FL172)*100</f>
        <v>0</v>
      </c>
      <c r="FM174" s="1101">
        <f>IF(FM172=0,0,FM173/FM172)*100</f>
        <v>0</v>
      </c>
      <c r="FN174" s="1118"/>
      <c r="FO174" s="1101">
        <f>IF(FO172=0,0,FO173/FO172)*100</f>
        <v>0</v>
      </c>
      <c r="FP174" s="1101">
        <f>IF(FP172=0,0,FP173/FP172)*100</f>
        <v>0</v>
      </c>
      <c r="FQ174" s="1118"/>
      <c r="FR174" s="1101">
        <f>IF(FR172=0,0,FR173/FR172)*100</f>
        <v>0</v>
      </c>
      <c r="FS174" s="1101">
        <f>IF(FS172=0,0,FS173/FS172)*100</f>
        <v>0</v>
      </c>
      <c r="FT174" s="1118"/>
      <c r="FU174" s="1101">
        <f>IF(FU172=0,0,FU173/FU172)*100</f>
        <v>0</v>
      </c>
      <c r="FV174" s="1101">
        <f>IF(FV172=0,0,FV173/FV172)*100</f>
        <v>0</v>
      </c>
      <c r="FW174" s="1119"/>
      <c r="FX174" s="288"/>
      <c r="FY174" s="1328"/>
      <c r="FZ174" s="1063" t="s">
        <v>1947</v>
      </c>
      <c r="GA174" s="1330"/>
      <c r="GB174" s="1330"/>
      <c r="GC174" s="1329"/>
      <c r="GD174" s="1329"/>
    </row>
    <row s="1656" customFormat="1" customHeight="1" ht="14.25" hidden="1">
      <c r="A175" s="496"/>
      <c r="B175" s="932" cm="1" t="str">
        <f t="array" ref="B175:B175">B174</f>
        <v>false</v>
      </c>
      <c r="C175" s="496"/>
      <c r="D175" s="496"/>
      <c r="E175" s="847">
        <v>15</v>
      </c>
      <c r="F175" s="50" cm="1" t="str">
        <f t="array" ref="F175:F175">OFFSET(E175,-1,1)</f>
        <v>1</v>
      </c>
      <c r="G175" s="103" t="s">
        <v>1871</v>
      </c>
      <c r="H175" s="496"/>
      <c r="I175" s="496"/>
      <c r="J175" s="496"/>
      <c r="K175" s="496"/>
      <c r="L175" s="496"/>
      <c r="M175" s="496"/>
      <c r="N175" s="496"/>
      <c r="O175" s="496"/>
      <c r="P175" s="496"/>
      <c r="Q175" s="496"/>
      <c r="R175" s="496"/>
      <c r="S175" s="496"/>
      <c r="T175" s="468" cm="1" t="str">
        <f t="array" ref="T175:T175">T174</f>
        <v>true</v>
      </c>
      <c r="U175" s="496"/>
      <c r="V175" s="496"/>
      <c r="W175" s="496"/>
      <c r="X175" s="1559"/>
      <c r="Y175" s="496"/>
      <c r="Z175" s="1528"/>
      <c r="AA175" s="496"/>
      <c r="AB175" s="907" t="s">
        <v>1872</v>
      </c>
      <c r="AC175" s="871" t="s">
        <v>657</v>
      </c>
      <c r="AD175" s="4585">
        <f>IF(AND(method_reg="Метод индексации",god&lt;&gt;first_year),_xlfn.SUMIFS(INDEX('Калькуляция (МИ корр)'!$AJ$25:$BC$606,,MATCH(AD$8,'Калькуляция (МИ корр)'!$AJ$8:$BC$8,0)),'Калькуляция (МИ корр)'!$F$25:$F$606,$F175,'Калькуляция (МИ корр)'!$G$25:$G$606,$G175),IF(method_reg="Метод экономически обоснованных расходов",_xlfn.SUMIFS('Калькуляция (МЭОР)'!$AJ$25:$AJ$367,'Калькуляция (МЭОР)'!$F$25:$F$367,$F175,'Калькуляция (МЭОР)'!$G$25:$G$367,$G175),IF(method_reg="Метод сравнения аналогов",_xlfn.SUMIFS('Калькуляция (МСА)'!$AE$25:$AE$103,'Калькуляция (МСА)'!$F$25:$F$103,$F175,'Калькуляция (МСА)'!$G$25:$G$103,$G175),_xlfn.SUMIFS(INDEX('Калькуляция (МИ)'!$AJ$25:$BC$603,,MATCH(AD$8,'Калькуляция (МИ)'!$AJ$8:$BC$8,0)),'Калькуляция (МИ)'!$F$25:$F$603,$F175,'Калькуляция (МИ)'!$G$25:$G$603,$G175))))</f>
        <v>10839.59791</v>
      </c>
      <c r="AE175" s="4585">
        <f>IF(AND(method_reg="Метод индексации",god&lt;&gt;first_year),_xlfn.SUMIFS(INDEX('Калькуляция (МИ корр)'!$AJ$25:$BC$606,,MATCH(AE$8,'Калькуляция (МИ корр)'!$AJ$8:$BC$8,0)),'Калькуляция (МИ корр)'!$F$25:$F$606,$F175,'Калькуляция (МИ корр)'!$G$25:$G$606,$G175),IF(method_reg="Метод экономически обоснованных расходов",_xlfn.SUMIFS('Калькуляция (МЭОР)'!$AK$25:$AK$367,'Калькуляция (МЭОР)'!$F$25:$F$367,$F175,'Калькуляция (МЭОР)'!$G$25:$G$367,$G175),IF(method_reg="Метод сравнения аналогов",_xlfn.SUMIFS('Калькуляция (МСА)'!$AF$25:$AF$103,'Калькуляция (МСА)'!$F$25:$F$103,$F175,'Калькуляция (МСА)'!$G$25:$G$103,$G175),_xlfn.SUMIFS(INDEX('Калькуляция (МИ)'!$AJ$25:$BC$603,,MATCH(AE$8,'Калькуляция (МИ)'!$AJ$8:$BC$8,0)),'Калькуляция (МИ)'!$F$25:$F$603,$F175,'Калькуляция (МИ)'!$G$25:$G$603,$G175))))</f>
        <v>11287.60815</v>
      </c>
      <c r="AF175" s="1104">
        <f>IF(AD175=0,0,(AE175-AD175)/AD175*100)</f>
        <v>4.13308910274883</v>
      </c>
      <c r="AG175" s="4585">
        <f>IF(AND(method_reg="Метод индексации",god&lt;&gt;first_year),_xlfn.SUMIFS(INDEX('Калькуляция (МИ корр)'!$AJ$25:$BC$606,,MATCH(AG$8,'Калькуляция (МИ корр)'!$AJ$8:$BC$8,0)),'Калькуляция (МИ корр)'!$F$25:$F$606,$F175,'Калькуляция (МИ корр)'!$G$25:$G$606,$G175),IF(method_reg="Метод экономически обоснованных расходов",_xlfn.SUMIFS('Калькуляция (МЭОР)'!$AJ$25:$AJ$367,'Калькуляция (МЭОР)'!$F$25:$F$367,$F175,'Калькуляция (МЭОР)'!$G$25:$G$367,$G175),IF(method_reg="Метод сравнения аналогов",_xlfn.SUMIFS('Калькуляция (МСА)'!$AE$25:$AE$103,'Калькуляция (МСА)'!$F$25:$F$103,$F175,'Калькуляция (МСА)'!$G$25:$G$103,$G175),_xlfn.SUMIFS(INDEX('Калькуляция (МИ)'!$AJ$25:$BC$603,,MATCH(AG$8,'Калькуляция (МИ)'!$AJ$8:$BC$8,0)),'Калькуляция (МИ)'!$F$25:$F$603,$F175,'Калькуляция (МИ)'!$G$25:$G$603,$G175))))</f>
        <v>0</v>
      </c>
      <c r="AH175" s="4585">
        <f>IF(AND(method_reg="Метод индексации",god&lt;&gt;first_year),_xlfn.SUMIFS(INDEX('Калькуляция (МИ корр)'!$AJ$25:$BC$606,,MATCH(AH$8,'Калькуляция (МИ корр)'!$AJ$8:$BC$8,0)),'Калькуляция (МИ корр)'!$F$25:$F$606,$F175,'Калькуляция (МИ корр)'!$G$25:$G$606,$G175),IF(method_reg="Метод экономически обоснованных расходов",_xlfn.SUMIFS('Калькуляция (МЭОР)'!$AK$25:$AK$367,'Калькуляция (МЭОР)'!$F$25:$F$367,$F175,'Калькуляция (МЭОР)'!$G$25:$G$367,$G175),IF(method_reg="Метод сравнения аналогов",_xlfn.SUMIFS('Калькуляция (МСА)'!$AF$25:$AF$103,'Калькуляция (МСА)'!$F$25:$F$103,$F175,'Калькуляция (МСА)'!$G$25:$G$103,$G175),_xlfn.SUMIFS(INDEX('Калькуляция (МИ)'!$AJ$25:$BC$603,,MATCH(AH$8,'Калькуляция (МИ)'!$AJ$8:$BC$8,0)),'Калькуляция (МИ)'!$F$25:$F$603,$F175,'Калькуляция (МИ)'!$G$25:$G$603,$G175))))</f>
        <v>0</v>
      </c>
      <c r="AI175" s="1104">
        <f>IF(AG175=0,0,(AH175-AG175)/AG175*100)</f>
        <v>0</v>
      </c>
      <c r="AJ175" s="4585">
        <f>IF(AND(method_reg="Метод индексации",god&lt;&gt;first_year),_xlfn.SUMIFS(INDEX('Калькуляция (МИ корр)'!$AJ$25:$BC$606,,MATCH(AJ$8,'Калькуляция (МИ корр)'!$AJ$8:$BC$8,0)),'Калькуляция (МИ корр)'!$F$25:$F$606,$F175,'Калькуляция (МИ корр)'!$G$25:$G$606,$G175),IF(method_reg="Метод экономически обоснованных расходов",_xlfn.SUMIFS('Калькуляция (МЭОР)'!$AJ$25:$AJ$367,'Калькуляция (МЭОР)'!$F$25:$F$367,$F175,'Калькуляция (МЭОР)'!$G$25:$G$367,$G175),IF(method_reg="Метод сравнения аналогов",_xlfn.SUMIFS('Калькуляция (МСА)'!$AE$25:$AE$103,'Калькуляция (МСА)'!$F$25:$F$103,$F175,'Калькуляция (МСА)'!$G$25:$G$103,$G175),_xlfn.SUMIFS(INDEX('Калькуляция (МИ)'!$AJ$25:$BC$603,,MATCH(AJ$8,'Калькуляция (МИ)'!$AJ$8:$BC$8,0)),'Калькуляция (МИ)'!$F$25:$F$603,$F175,'Калькуляция (МИ)'!$G$25:$G$603,$G175))))</f>
        <v>0</v>
      </c>
      <c r="AK175" s="4585">
        <f>IF(AND(method_reg="Метод индексации",god&lt;&gt;first_year),_xlfn.SUMIFS(INDEX('Калькуляция (МИ корр)'!$AJ$25:$BC$606,,MATCH(AK$8,'Калькуляция (МИ корр)'!$AJ$8:$BC$8,0)),'Калькуляция (МИ корр)'!$F$25:$F$606,$F175,'Калькуляция (МИ корр)'!$G$25:$G$606,$G175),IF(method_reg="Метод экономически обоснованных расходов",_xlfn.SUMIFS('Калькуляция (МЭОР)'!$AK$25:$AK$367,'Калькуляция (МЭОР)'!$F$25:$F$367,$F175,'Калькуляция (МЭОР)'!$G$25:$G$367,$G175),IF(method_reg="Метод сравнения аналогов",_xlfn.SUMIFS('Калькуляция (МСА)'!$AF$25:$AF$103,'Калькуляция (МСА)'!$F$25:$F$103,$F175,'Калькуляция (МСА)'!$G$25:$G$103,$G175),_xlfn.SUMIFS(INDEX('Калькуляция (МИ)'!$AJ$25:$BC$603,,MATCH(AK$8,'Калькуляция (МИ)'!$AJ$8:$BC$8,0)),'Калькуляция (МИ)'!$F$25:$F$603,$F175,'Калькуляция (МИ)'!$G$25:$G$603,$G175))))</f>
        <v>0</v>
      </c>
      <c r="AL175" s="1104">
        <f>IF(AJ175=0,0,(AK175-AJ175)/AJ175*100)</f>
        <v>0</v>
      </c>
      <c r="AM175" s="4585">
        <f>IF(AND(method_reg="Метод индексации",god&lt;&gt;first_year),_xlfn.SUMIFS(INDEX('Калькуляция (МИ корр)'!$AJ$25:$BC$606,,MATCH(AM$8,'Калькуляция (МИ корр)'!$AJ$8:$BC$8,0)),'Калькуляция (МИ корр)'!$F$25:$F$606,$F175,'Калькуляция (МИ корр)'!$G$25:$G$606,$G175),IF(method_reg="Метод экономически обоснованных расходов",_xlfn.SUMIFS('Калькуляция (МЭОР)'!$AJ$25:$AJ$367,'Калькуляция (МЭОР)'!$F$25:$F$367,$F175,'Калькуляция (МЭОР)'!$G$25:$G$367,$G175),IF(method_reg="Метод сравнения аналогов",_xlfn.SUMIFS('Калькуляция (МСА)'!$AE$25:$AE$103,'Калькуляция (МСА)'!$F$25:$F$103,$F175,'Калькуляция (МСА)'!$G$25:$G$103,$G175),_xlfn.SUMIFS(INDEX('Калькуляция (МИ)'!$AJ$25:$BC$603,,MATCH(AM$8,'Калькуляция (МИ)'!$AJ$8:$BC$8,0)),'Калькуляция (МИ)'!$F$25:$F$603,$F175,'Калькуляция (МИ)'!$G$25:$G$603,$G175))))</f>
        <v>0</v>
      </c>
      <c r="AN175" s="4585">
        <f>IF(AND(method_reg="Метод индексации",god&lt;&gt;first_year),_xlfn.SUMIFS(INDEX('Калькуляция (МИ корр)'!$AJ$25:$BC$606,,MATCH(AN$8,'Калькуляция (МИ корр)'!$AJ$8:$BC$8,0)),'Калькуляция (МИ корр)'!$F$25:$F$606,$F175,'Калькуляция (МИ корр)'!$G$25:$G$606,$G175),IF(method_reg="Метод экономически обоснованных расходов",_xlfn.SUMIFS('Калькуляция (МЭОР)'!$AK$25:$AK$367,'Калькуляция (МЭОР)'!$F$25:$F$367,$F175,'Калькуляция (МЭОР)'!$G$25:$G$367,$G175),IF(method_reg="Метод сравнения аналогов",_xlfn.SUMIFS('Калькуляция (МСА)'!$AF$25:$AF$103,'Калькуляция (МСА)'!$F$25:$F$103,$F175,'Калькуляция (МСА)'!$G$25:$G$103,$G175),_xlfn.SUMIFS(INDEX('Калькуляция (МИ)'!$AJ$25:$BC$603,,MATCH(AN$8,'Калькуляция (МИ)'!$AJ$8:$BC$8,0)),'Калькуляция (МИ)'!$F$25:$F$603,$F175,'Калькуляция (МИ)'!$G$25:$G$603,$G175))))</f>
        <v>0</v>
      </c>
      <c r="AO175" s="1104">
        <f>IF(AM175=0,0,(AN175-AM175)/AM175*100)</f>
        <v>0</v>
      </c>
      <c r="AP175" s="4585">
        <f>IF(AND(method_reg="Метод индексации",god&lt;&gt;first_year),_xlfn.SUMIFS(INDEX('Калькуляция (МИ корр)'!$AJ$25:$BC$606,,MATCH(AP$8,'Калькуляция (МИ корр)'!$AJ$8:$BC$8,0)),'Калькуляция (МИ корр)'!$F$25:$F$606,$F175,'Калькуляция (МИ корр)'!$G$25:$G$606,$G175),IF(method_reg="Метод экономически обоснованных расходов",_xlfn.SUMIFS('Калькуляция (МЭОР)'!$AJ$25:$AJ$367,'Калькуляция (МЭОР)'!$F$25:$F$367,$F175,'Калькуляция (МЭОР)'!$G$25:$G$367,$G175),IF(method_reg="Метод сравнения аналогов",_xlfn.SUMIFS('Калькуляция (МСА)'!$AE$25:$AE$103,'Калькуляция (МСА)'!$F$25:$F$103,$F175,'Калькуляция (МСА)'!$G$25:$G$103,$G175),_xlfn.SUMIFS(INDEX('Калькуляция (МИ)'!$AJ$25:$BC$603,,MATCH(AP$8,'Калькуляция (МИ)'!$AJ$8:$BC$8,0)),'Калькуляция (МИ)'!$F$25:$F$603,$F175,'Калькуляция (МИ)'!$G$25:$G$603,$G175))))</f>
        <v>0</v>
      </c>
      <c r="AQ175" s="4585">
        <f>IF(AND(method_reg="Метод индексации",god&lt;&gt;first_year),_xlfn.SUMIFS(INDEX('Калькуляция (МИ корр)'!$AJ$25:$BC$606,,MATCH(AQ$8,'Калькуляция (МИ корр)'!$AJ$8:$BC$8,0)),'Калькуляция (МИ корр)'!$F$25:$F$606,$F175,'Калькуляция (МИ корр)'!$G$25:$G$606,$G175),IF(method_reg="Метод экономически обоснованных расходов",_xlfn.SUMIFS('Калькуляция (МЭОР)'!$AK$25:$AK$367,'Калькуляция (МЭОР)'!$F$25:$F$367,$F175,'Калькуляция (МЭОР)'!$G$25:$G$367,$G175),IF(method_reg="Метод сравнения аналогов",_xlfn.SUMIFS('Калькуляция (МСА)'!$AF$25:$AF$103,'Калькуляция (МСА)'!$F$25:$F$103,$F175,'Калькуляция (МСА)'!$G$25:$G$103,$G175),_xlfn.SUMIFS(INDEX('Калькуляция (МИ)'!$AJ$25:$BC$603,,MATCH(AQ$8,'Калькуляция (МИ)'!$AJ$8:$BC$8,0)),'Калькуляция (МИ)'!$F$25:$F$603,$F175,'Калькуляция (МИ)'!$G$25:$G$603,$G175))))</f>
        <v>0</v>
      </c>
      <c r="AR175" s="1104">
        <f>IF(AP175=0,0,(AQ175-AP175)/AP175*100)</f>
        <v>0</v>
      </c>
      <c r="AS175" s="4585">
        <f>IF(AND(method_reg="Метод индексации",god&lt;&gt;first_year),_xlfn.SUMIFS(INDEX('Калькуляция (МИ корр)'!$AJ$25:$BC$606,,MATCH(AS$8,'Калькуляция (МИ корр)'!$AJ$8:$BC$8,0)),'Калькуляция (МИ корр)'!$F$25:$F$606,$F175,'Калькуляция (МИ корр)'!$G$25:$G$606,$G175),IF(method_reg="Метод экономически обоснованных расходов",_xlfn.SUMIFS('Калькуляция (МЭОР)'!$AJ$25:$AJ$367,'Калькуляция (МЭОР)'!$F$25:$F$367,$F175,'Калькуляция (МЭОР)'!$G$25:$G$367,$G175),IF(method_reg="Метод сравнения аналогов",_xlfn.SUMIFS('Калькуляция (МСА)'!$AE$25:$AE$103,'Калькуляция (МСА)'!$F$25:$F$103,$F175,'Калькуляция (МСА)'!$G$25:$G$103,$G175),_xlfn.SUMIFS(INDEX('Калькуляция (МИ)'!$AJ$25:$BC$603,,MATCH(AS$8,'Калькуляция (МИ)'!$AJ$8:$BC$8,0)),'Калькуляция (МИ)'!$F$25:$F$603,$F175,'Калькуляция (МИ)'!$G$25:$G$603,$G175))))</f>
        <v>0</v>
      </c>
      <c r="AT175" s="4585">
        <f>IF(AND(method_reg="Метод индексации",god&lt;&gt;first_year),_xlfn.SUMIFS(INDEX('Калькуляция (МИ корр)'!$AJ$25:$BC$606,,MATCH(AT$8,'Калькуляция (МИ корр)'!$AJ$8:$BC$8,0)),'Калькуляция (МИ корр)'!$F$25:$F$606,$F175,'Калькуляция (МИ корр)'!$G$25:$G$606,$G175),IF(method_reg="Метод экономически обоснованных расходов",_xlfn.SUMIFS('Калькуляция (МЭОР)'!$AK$25:$AK$367,'Калькуляция (МЭОР)'!$F$25:$F$367,$F175,'Калькуляция (МЭОР)'!$G$25:$G$367,$G175),IF(method_reg="Метод сравнения аналогов",_xlfn.SUMIFS('Калькуляция (МСА)'!$AF$25:$AF$103,'Калькуляция (МСА)'!$F$25:$F$103,$F175,'Калькуляция (МСА)'!$G$25:$G$103,$G175),_xlfn.SUMIFS(INDEX('Калькуляция (МИ)'!$AJ$25:$BC$603,,MATCH(AT$8,'Калькуляция (МИ)'!$AJ$8:$BC$8,0)),'Калькуляция (МИ)'!$F$25:$F$603,$F175,'Калькуляция (МИ)'!$G$25:$G$603,$G175))))</f>
        <v>0</v>
      </c>
      <c r="AU175" s="1104">
        <f>IF(AS175=0,0,(AT175-AS175)/AS175*100)</f>
        <v>0</v>
      </c>
      <c r="AV175" s="4585">
        <f>IF(AND(method_reg="Метод индексации",god&lt;&gt;first_year),_xlfn.SUMIFS(INDEX('Калькуляция (МИ корр)'!$AJ$25:$BC$606,,MATCH(AV$8,'Калькуляция (МИ корр)'!$AJ$8:$BC$8,0)),'Калькуляция (МИ корр)'!$F$25:$F$606,$F175,'Калькуляция (МИ корр)'!$G$25:$G$606,$G175),IF(method_reg="Метод экономически обоснованных расходов",_xlfn.SUMIFS('Калькуляция (МЭОР)'!$AJ$25:$AJ$367,'Калькуляция (МЭОР)'!$F$25:$F$367,$F175,'Калькуляция (МЭОР)'!$G$25:$G$367,$G175),IF(method_reg="Метод сравнения аналогов",_xlfn.SUMIFS('Калькуляция (МСА)'!$AE$25:$AE$103,'Калькуляция (МСА)'!$F$25:$F$103,$F175,'Калькуляция (МСА)'!$G$25:$G$103,$G175),_xlfn.SUMIFS(INDEX('Калькуляция (МИ)'!$AJ$25:$BC$603,,MATCH(AV$8,'Калькуляция (МИ)'!$AJ$8:$BC$8,0)),'Калькуляция (МИ)'!$F$25:$F$603,$F175,'Калькуляция (МИ)'!$G$25:$G$603,$G175))))</f>
        <v>0</v>
      </c>
      <c r="AW175" s="4585">
        <f>IF(AND(method_reg="Метод индексации",god&lt;&gt;first_year),_xlfn.SUMIFS(INDEX('Калькуляция (МИ корр)'!$AJ$25:$BC$606,,MATCH(AW$8,'Калькуляция (МИ корр)'!$AJ$8:$BC$8,0)),'Калькуляция (МИ корр)'!$F$25:$F$606,$F175,'Калькуляция (МИ корр)'!$G$25:$G$606,$G175),IF(method_reg="Метод экономически обоснованных расходов",_xlfn.SUMIFS('Калькуляция (МЭОР)'!$AK$25:$AK$367,'Калькуляция (МЭОР)'!$F$25:$F$367,$F175,'Калькуляция (МЭОР)'!$G$25:$G$367,$G175),IF(method_reg="Метод сравнения аналогов",_xlfn.SUMIFS('Калькуляция (МСА)'!$AF$25:$AF$103,'Калькуляция (МСА)'!$F$25:$F$103,$F175,'Калькуляция (МСА)'!$G$25:$G$103,$G175),_xlfn.SUMIFS(INDEX('Калькуляция (МИ)'!$AJ$25:$BC$603,,MATCH(AW$8,'Калькуляция (МИ)'!$AJ$8:$BC$8,0)),'Калькуляция (МИ)'!$F$25:$F$603,$F175,'Калькуляция (МИ)'!$G$25:$G$603,$G175))))</f>
        <v>0</v>
      </c>
      <c r="AX175" s="1104">
        <f>IF(AV175=0,0,(AW175-AV175)/AV175*100)</f>
        <v>0</v>
      </c>
      <c r="AY175" s="4585">
        <f>IF(AND(method_reg="Метод индексации",god&lt;&gt;first_year),_xlfn.SUMIFS(INDEX('Калькуляция (МИ корр)'!$AJ$25:$BC$606,,MATCH(AY$8,'Калькуляция (МИ корр)'!$AJ$8:$BC$8,0)),'Калькуляция (МИ корр)'!$F$25:$F$606,$F175,'Калькуляция (МИ корр)'!$G$25:$G$606,$G175),IF(method_reg="Метод экономически обоснованных расходов",_xlfn.SUMIFS('Калькуляция (МЭОР)'!$AJ$25:$AJ$367,'Калькуляция (МЭОР)'!$F$25:$F$367,$F175,'Калькуляция (МЭОР)'!$G$25:$G$367,$G175),IF(method_reg="Метод сравнения аналогов",_xlfn.SUMIFS('Калькуляция (МСА)'!$AE$25:$AE$103,'Калькуляция (МСА)'!$F$25:$F$103,$F175,'Калькуляция (МСА)'!$G$25:$G$103,$G175),_xlfn.SUMIFS(INDEX('Калькуляция (МИ)'!$AJ$25:$BC$603,,MATCH(AY$8,'Калькуляция (МИ)'!$AJ$8:$BC$8,0)),'Калькуляция (МИ)'!$F$25:$F$603,$F175,'Калькуляция (МИ)'!$G$25:$G$603,$G175))))</f>
        <v>0</v>
      </c>
      <c r="AZ175" s="4585">
        <f>IF(AND(method_reg="Метод индексации",god&lt;&gt;first_year),_xlfn.SUMIFS(INDEX('Калькуляция (МИ корр)'!$AJ$25:$BC$606,,MATCH(AZ$8,'Калькуляция (МИ корр)'!$AJ$8:$BC$8,0)),'Калькуляция (МИ корр)'!$F$25:$F$606,$F175,'Калькуляция (МИ корр)'!$G$25:$G$606,$G175),IF(method_reg="Метод экономически обоснованных расходов",_xlfn.SUMIFS('Калькуляция (МЭОР)'!$AK$25:$AK$367,'Калькуляция (МЭОР)'!$F$25:$F$367,$F175,'Калькуляция (МЭОР)'!$G$25:$G$367,$G175),IF(method_reg="Метод сравнения аналогов",_xlfn.SUMIFS('Калькуляция (МСА)'!$AF$25:$AF$103,'Калькуляция (МСА)'!$F$25:$F$103,$F175,'Калькуляция (МСА)'!$G$25:$G$103,$G175),_xlfn.SUMIFS(INDEX('Калькуляция (МИ)'!$AJ$25:$BC$603,,MATCH(AZ$8,'Калькуляция (МИ)'!$AJ$8:$BC$8,0)),'Калькуляция (МИ)'!$F$25:$F$603,$F175,'Калькуляция (МИ)'!$G$25:$G$603,$G175))))</f>
        <v>0</v>
      </c>
      <c r="BA175" s="1104">
        <f>IF(AY175=0,0,(AZ175-AY175)/AY175*100)</f>
        <v>0</v>
      </c>
      <c r="BB175" s="4585">
        <f>IF(AND(method_reg="Метод индексации",god&lt;&gt;first_year),_xlfn.SUMIFS(INDEX('Калькуляция (МИ корр)'!$AJ$25:$BC$606,,MATCH(BB$8,'Калькуляция (МИ корр)'!$AJ$8:$BC$8,0)),'Калькуляция (МИ корр)'!$F$25:$F$606,$F175,'Калькуляция (МИ корр)'!$G$25:$G$606,$G175),IF(method_reg="Метод экономически обоснованных расходов",_xlfn.SUMIFS('Калькуляция (МЭОР)'!$AJ$25:$AJ$367,'Калькуляция (МЭОР)'!$F$25:$F$367,$F175,'Калькуляция (МЭОР)'!$G$25:$G$367,$G175),IF(method_reg="Метод сравнения аналогов",_xlfn.SUMIFS('Калькуляция (МСА)'!$AE$25:$AE$103,'Калькуляция (МСА)'!$F$25:$F$103,$F175,'Калькуляция (МСА)'!$G$25:$G$103,$G175),_xlfn.SUMIFS(INDEX('Калькуляция (МИ)'!$AJ$25:$BC$603,,MATCH(BB$8,'Калькуляция (МИ)'!$AJ$8:$BC$8,0)),'Калькуляция (МИ)'!$F$25:$F$603,$F175,'Калькуляция (МИ)'!$G$25:$G$603,$G175))))</f>
        <v>0</v>
      </c>
      <c r="BC175" s="4585">
        <f>IF(AND(method_reg="Метод индексации",god&lt;&gt;first_year),_xlfn.SUMIFS(INDEX('Калькуляция (МИ корр)'!$AJ$25:$BC$606,,MATCH(BC$8,'Калькуляция (МИ корр)'!$AJ$8:$BC$8,0)),'Калькуляция (МИ корр)'!$F$25:$F$606,$F175,'Калькуляция (МИ корр)'!$G$25:$G$606,$G175),IF(method_reg="Метод экономически обоснованных расходов",_xlfn.SUMIFS('Калькуляция (МЭОР)'!$AK$25:$AK$367,'Калькуляция (МЭОР)'!$F$25:$F$367,$F175,'Калькуляция (МЭОР)'!$G$25:$G$367,$G175),IF(method_reg="Метод сравнения аналогов",_xlfn.SUMIFS('Калькуляция (МСА)'!$AF$25:$AF$103,'Калькуляция (МСА)'!$F$25:$F$103,$F175,'Калькуляция (МСА)'!$G$25:$G$103,$G175),_xlfn.SUMIFS(INDEX('Калькуляция (МИ)'!$AJ$25:$BC$603,,MATCH(BC$8,'Калькуляция (МИ)'!$AJ$8:$BC$8,0)),'Калькуляция (МИ)'!$F$25:$F$603,$F175,'Калькуляция (МИ)'!$G$25:$G$603,$G175))))</f>
        <v>0</v>
      </c>
      <c r="BD175" s="1104">
        <f>IF(BB175=0,0,(BC175-BB175)/BB175*100)</f>
        <v>0</v>
      </c>
      <c r="BE175" s="4585">
        <f>IF(AND(method_reg="Метод индексации",god&lt;&gt;first_year),_xlfn.SUMIFS(INDEX('Калькуляция (МИ корр)'!$AJ$25:$BC$606,,MATCH(BE$8,'Калькуляция (МИ корр)'!$AJ$8:$BC$8,0)),'Калькуляция (МИ корр)'!$F$25:$F$606,$F175,'Калькуляция (МИ корр)'!$G$25:$G$606,$G175),IF(method_reg="Метод экономически обоснованных расходов",_xlfn.SUMIFS('Калькуляция (МЭОР)'!$AJ$25:$AJ$367,'Калькуляция (МЭОР)'!$F$25:$F$367,$F175,'Калькуляция (МЭОР)'!$G$25:$G$367,$G175),IF(method_reg="Метод сравнения аналогов",_xlfn.SUMIFS('Калькуляция (МСА)'!$AE$25:$AE$103,'Калькуляция (МСА)'!$F$25:$F$103,$F175,'Калькуляция (МСА)'!$G$25:$G$103,$G175),_xlfn.SUMIFS(INDEX('Калькуляция (МИ)'!$AJ$25:$BC$603,,MATCH(BE$8,'Калькуляция (МИ)'!$AJ$8:$BC$8,0)),'Калькуляция (МИ)'!$F$25:$F$603,$F175,'Калькуляция (МИ)'!$G$25:$G$603,$G175))))</f>
        <v>0</v>
      </c>
      <c r="BF175" s="4585">
        <f>IF(AND(method_reg="Метод индексации",god&lt;&gt;first_year),_xlfn.SUMIFS(INDEX('Калькуляция (МИ корр)'!$AJ$25:$BC$606,,MATCH(BF$8,'Калькуляция (МИ корр)'!$AJ$8:$BC$8,0)),'Калькуляция (МИ корр)'!$F$25:$F$606,$F175,'Калькуляция (МИ корр)'!$G$25:$G$606,$G175),IF(method_reg="Метод экономически обоснованных расходов",_xlfn.SUMIFS('Калькуляция (МЭОР)'!$AK$25:$AK$367,'Калькуляция (МЭОР)'!$F$25:$F$367,$F175,'Калькуляция (МЭОР)'!$G$25:$G$367,$G175),IF(method_reg="Метод сравнения аналогов",_xlfn.SUMIFS('Калькуляция (МСА)'!$AF$25:$AF$103,'Калькуляция (МСА)'!$F$25:$F$103,$F175,'Калькуляция (МСА)'!$G$25:$G$103,$G175),_xlfn.SUMIFS(INDEX('Калькуляция (МИ)'!$AJ$25:$BC$603,,MATCH(BF$8,'Калькуляция (МИ)'!$AJ$8:$BC$8,0)),'Калькуляция (МИ)'!$F$25:$F$603,$F175,'Калькуляция (МИ)'!$G$25:$G$603,$G175))))</f>
        <v>0</v>
      </c>
      <c r="BG175" s="1104">
        <f>IF(BE175=0,0,(BF175-BE175)/BE175*100)</f>
        <v>0</v>
      </c>
      <c r="BH175" s="4585"/>
      <c r="BI175" s="4585"/>
      <c r="BJ175" s="1104">
        <f>IF(BH175=0,0,(BI175-BH175)/BH175*100)</f>
        <v>0</v>
      </c>
      <c r="BK175" s="4585"/>
      <c r="BL175" s="4585"/>
      <c r="BM175" s="1104">
        <f>IF(BK175=0,0,(BL175-BK175)/BK175*100)</f>
        <v>0</v>
      </c>
      <c r="BN175" s="4585"/>
      <c r="BO175" s="4585"/>
      <c r="BP175" s="1104">
        <f>IF(BN175=0,0,(BO175-BN175)/BN175*100)</f>
        <v>0</v>
      </c>
      <c r="BQ175" s="4585"/>
      <c r="BR175" s="4585"/>
      <c r="BS175" s="1104">
        <f>IF(BQ175=0,0,(BR175-BQ175)/BQ175*100)</f>
        <v>0</v>
      </c>
      <c r="BT175" s="4585"/>
      <c r="BU175" s="4585"/>
      <c r="BV175" s="1104">
        <f>IF(BT175=0,0,(BU175-BT175)/BT175*100)</f>
        <v>0</v>
      </c>
      <c r="BW175" s="4585"/>
      <c r="BX175" s="4585"/>
      <c r="BY175" s="1104">
        <f>IF(BW175=0,0,(BX175-BW175)/BW175*100)</f>
        <v>0</v>
      </c>
      <c r="BZ175" s="4585"/>
      <c r="CA175" s="4585"/>
      <c r="CB175" s="1104">
        <f>IF(BZ175=0,0,(CA175-BZ175)/BZ175*100)</f>
        <v>0</v>
      </c>
      <c r="CC175" s="4585"/>
      <c r="CD175" s="4585"/>
      <c r="CE175" s="1104">
        <f>IF(CC175=0,0,(CD175-CC175)/CC175*100)</f>
        <v>0</v>
      </c>
      <c r="CF175" s="4585"/>
      <c r="CG175" s="4585"/>
      <c r="CH175" s="1104">
        <f>IF(CF175=0,0,(CG175-CF175)/CF175*100)</f>
        <v>0</v>
      </c>
      <c r="CI175" s="4585"/>
      <c r="CJ175" s="4585"/>
      <c r="CK175" s="1104">
        <f>IF(CI175=0,0,(CJ175-CI175)/CI175*100)</f>
        <v>0</v>
      </c>
      <c r="CL175" s="4585"/>
      <c r="CM175" s="4585"/>
      <c r="CN175" s="1104">
        <f>IF(CL175=0,0,(CM175-CL175)/CL175*100)</f>
        <v>0</v>
      </c>
      <c r="CO175" s="4585"/>
      <c r="CP175" s="4585"/>
      <c r="CQ175" s="1104">
        <f>IF(CO175=0,0,(CP175-CO175)/CO175*100)</f>
        <v>0</v>
      </c>
      <c r="CR175" s="4585"/>
      <c r="CS175" s="4585"/>
      <c r="CT175" s="1104">
        <f>IF(CR175=0,0,(CS175-CR175)/CR175*100)</f>
        <v>0</v>
      </c>
      <c r="CU175" s="4585"/>
      <c r="CV175" s="4585"/>
      <c r="CW175" s="1104">
        <f>IF(CU175=0,0,(CV175-CU175)/CU175*100)</f>
        <v>0</v>
      </c>
      <c r="CX175" s="4585"/>
      <c r="CY175" s="4585"/>
      <c r="CZ175" s="1104">
        <f>IF(CX175=0,0,(CY175-CX175)/CX175*100)</f>
        <v>0</v>
      </c>
      <c r="DA175" s="4585"/>
      <c r="DB175" s="4585"/>
      <c r="DC175" s="1104">
        <f>IF(DA175=0,0,(DB175-DA175)/DA175*100)</f>
        <v>0</v>
      </c>
      <c r="DD175" s="4585"/>
      <c r="DE175" s="4585"/>
      <c r="DF175" s="1104">
        <f>IF(DD175=0,0,(DE175-DD175)/DD175*100)</f>
        <v>0</v>
      </c>
      <c r="DG175" s="4585"/>
      <c r="DH175" s="4585"/>
      <c r="DI175" s="1104">
        <f>IF(DG175=0,0,(DH175-DG175)/DG175*100)</f>
        <v>0</v>
      </c>
      <c r="DJ175" s="4585"/>
      <c r="DK175" s="4585"/>
      <c r="DL175" s="1104">
        <f>IF(DJ175=0,0,(DK175-DJ175)/DJ175*100)</f>
        <v>0</v>
      </c>
      <c r="DM175" s="4585"/>
      <c r="DN175" s="4585"/>
      <c r="DO175" s="1104">
        <f>IF(DM175=0,0,(DN175-DM175)/DM175*100)</f>
        <v>0</v>
      </c>
      <c r="DP175" s="4585"/>
      <c r="DQ175" s="4585"/>
      <c r="DR175" s="1104">
        <f>IF(DP175=0,0,(DQ175-DP175)/DP175*100)</f>
        <v>0</v>
      </c>
      <c r="DS175" s="4585"/>
      <c r="DT175" s="4585"/>
      <c r="DU175" s="1104">
        <f>IF(DS175=0,0,(DT175-DS175)/DS175*100)</f>
        <v>0</v>
      </c>
      <c r="DV175" s="4585"/>
      <c r="DW175" s="4585"/>
      <c r="DX175" s="1104">
        <f>IF(DV175=0,0,(DW175-DV175)/DV175*100)</f>
        <v>0</v>
      </c>
      <c r="DY175" s="4585"/>
      <c r="DZ175" s="4585"/>
      <c r="EA175" s="1104">
        <f>IF(DY175=0,0,(DZ175-DY175)/DY175*100)</f>
        <v>0</v>
      </c>
      <c r="EB175" s="4585"/>
      <c r="EC175" s="4585"/>
      <c r="ED175" s="1104">
        <f>IF(EB175=0,0,(EC175-EB175)/EB175*100)</f>
        <v>0</v>
      </c>
      <c r="EE175" s="4585"/>
      <c r="EF175" s="4585"/>
      <c r="EG175" s="1104">
        <f>IF(EE175=0,0,(EF175-EE175)/EE175*100)</f>
        <v>0</v>
      </c>
      <c r="EH175" s="4585"/>
      <c r="EI175" s="4585"/>
      <c r="EJ175" s="1104">
        <f>IF(EH175=0,0,(EI175-EH175)/EH175*100)</f>
        <v>0</v>
      </c>
      <c r="EK175" s="4585"/>
      <c r="EL175" s="4585"/>
      <c r="EM175" s="1104">
        <f>IF(EK175=0,0,(EL175-EK175)/EK175*100)</f>
        <v>0</v>
      </c>
      <c r="EN175" s="4585"/>
      <c r="EO175" s="4585"/>
      <c r="EP175" s="1104">
        <f>IF(EN175=0,0,(EO175-EN175)/EN175*100)</f>
        <v>0</v>
      </c>
      <c r="EQ175" s="4585"/>
      <c r="ER175" s="4585"/>
      <c r="ES175" s="1104">
        <f>IF(EQ175=0,0,(ER175-EQ175)/EQ175*100)</f>
        <v>0</v>
      </c>
      <c r="ET175" s="4585"/>
      <c r="EU175" s="4585"/>
      <c r="EV175" s="1104">
        <f>IF(ET175=0,0,(EU175-ET175)/ET175*100)</f>
        <v>0</v>
      </c>
      <c r="EW175" s="4585"/>
      <c r="EX175" s="4585"/>
      <c r="EY175" s="1104">
        <f>IF(EW175=0,0,(EX175-EW175)/EW175*100)</f>
        <v>0</v>
      </c>
      <c r="EZ175" s="4585"/>
      <c r="FA175" s="4585"/>
      <c r="FB175" s="1104">
        <f>IF(EZ175=0,0,(FA175-EZ175)/EZ175*100)</f>
        <v>0</v>
      </c>
      <c r="FC175" s="4585"/>
      <c r="FD175" s="4585"/>
      <c r="FE175" s="1104">
        <f>IF(FC175=0,0,(FD175-FC175)/FC175*100)</f>
        <v>0</v>
      </c>
      <c r="FF175" s="4585"/>
      <c r="FG175" s="4585"/>
      <c r="FH175" s="1104">
        <f>IF(FF175=0,0,(FG175-FF175)/FF175*100)</f>
        <v>0</v>
      </c>
      <c r="FI175" s="4585"/>
      <c r="FJ175" s="4585"/>
      <c r="FK175" s="1104">
        <f>IF(FI175=0,0,(FJ175-FI175)/FI175*100)</f>
        <v>0</v>
      </c>
      <c r="FL175" s="4585"/>
      <c r="FM175" s="4585"/>
      <c r="FN175" s="1104">
        <f>IF(FL175=0,0,(FM175-FL175)/FL175*100)</f>
        <v>0</v>
      </c>
      <c r="FO175" s="4585"/>
      <c r="FP175" s="4585"/>
      <c r="FQ175" s="1104">
        <f>IF(FO175=0,0,(FP175-FO175)/FO175*100)</f>
        <v>0</v>
      </c>
      <c r="FR175" s="4585"/>
      <c r="FS175" s="4585"/>
      <c r="FT175" s="1104">
        <f>IF(FR175=0,0,(FS175-FR175)/FR175*100)</f>
        <v>0</v>
      </c>
      <c r="FU175" s="4585"/>
      <c r="FV175" s="4585"/>
      <c r="FW175" s="1104">
        <f>IF(FU175=0,0,(FV175-FU175)/FU175*100)</f>
        <v>0</v>
      </c>
      <c r="FX175" s="288"/>
      <c r="FY175" s="1328"/>
      <c r="FZ175" s="1063" t="s">
        <v>1948</v>
      </c>
      <c r="GA175" s="1330"/>
      <c r="GB175" s="1330"/>
      <c r="GC175" s="1329"/>
      <c r="GD175" s="1329"/>
    </row>
    <row s="1656" customFormat="1" customHeight="1" ht="18" hidden="1">
      <c r="A176" s="496"/>
      <c r="B176" s="932" cm="1" t="str">
        <f t="array" ref="B176:B176">B175</f>
        <v>false</v>
      </c>
      <c r="C176" s="496"/>
      <c r="D176" s="496"/>
      <c r="E176" s="847">
        <v>18.75</v>
      </c>
      <c r="F176" s="50" cm="1" t="str">
        <f t="array" ref="F176:F176">OFFSET(E176,-1,1)</f>
        <v>1</v>
      </c>
      <c r="G176" s="496"/>
      <c r="H176" s="496" t="s">
        <v>566</v>
      </c>
      <c r="I176" s="496" cm="1" t="str">
        <f t="array" ref="I176:I176">AB176</f>
        <v>0</v>
      </c>
      <c r="J176" s="496"/>
      <c r="K176" s="496"/>
      <c r="L176" s="496"/>
      <c r="M176" s="496"/>
      <c r="N176" s="496"/>
      <c r="O176" s="496"/>
      <c r="P176" s="496"/>
      <c r="Q176" s="496"/>
      <c r="R176" s="496"/>
      <c r="S176" s="496"/>
      <c r="T176" s="468">
        <f>AND(F176&gt;0,Y176&gt;0)</f>
        <v>0</v>
      </c>
      <c r="U176" s="496"/>
      <c r="V176" s="496"/>
      <c r="W176" s="496" t="s">
        <v>173</v>
      </c>
      <c r="X176" s="1559"/>
      <c r="Y176" s="496">
        <v>0</v>
      </c>
      <c r="Z176" s="1528"/>
      <c r="AA176" s="668" t="s">
        <v>174</v>
      </c>
      <c r="AB176" s="4615"/>
      <c r="AC176" s="871" t="s">
        <v>1862</v>
      </c>
      <c r="AD176" s="4591"/>
      <c r="AE176" s="4592"/>
      <c r="AF176" s="1102">
        <f>IF(AD176=0,0,(AE176-AD176)/AD176*100)</f>
        <v>0</v>
      </c>
      <c r="AG176" s="4592"/>
      <c r="AH176" s="4592"/>
      <c r="AI176" s="1102">
        <f>IF(AG176=0,0,(AH176-AG176)/AG176*100)</f>
        <v>0</v>
      </c>
      <c r="AJ176" s="4592"/>
      <c r="AK176" s="4592"/>
      <c r="AL176" s="1102">
        <f>IF(AJ176=0,0,(AK176-AJ176)/AJ176*100)</f>
        <v>0</v>
      </c>
      <c r="AM176" s="4592"/>
      <c r="AN176" s="4592"/>
      <c r="AO176" s="1102">
        <f>IF(AM176=0,0,(AN176-AM176)/AM176*100)</f>
        <v>0</v>
      </c>
      <c r="AP176" s="4592"/>
      <c r="AQ176" s="4592"/>
      <c r="AR176" s="1102">
        <f>IF(AP176=0,0,(AQ176-AP176)/AP176*100)</f>
        <v>0</v>
      </c>
      <c r="AS176" s="4592"/>
      <c r="AT176" s="4592"/>
      <c r="AU176" s="1102">
        <f>IF(AS176=0,0,(AT176-AS176)/AS176*100)</f>
        <v>0</v>
      </c>
      <c r="AV176" s="4592"/>
      <c r="AW176" s="4592"/>
      <c r="AX176" s="1102">
        <f>IF(AV176=0,0,(AW176-AV176)/AV176*100)</f>
        <v>0</v>
      </c>
      <c r="AY176" s="4592"/>
      <c r="AZ176" s="4592"/>
      <c r="BA176" s="1102">
        <f>IF(AY176=0,0,(AZ176-AY176)/AY176*100)</f>
        <v>0</v>
      </c>
      <c r="BB176" s="4592"/>
      <c r="BC176" s="4592"/>
      <c r="BD176" s="1102">
        <f>IF(BB176=0,0,(BC176-BB176)/BB176*100)</f>
        <v>0</v>
      </c>
      <c r="BE176" s="4592"/>
      <c r="BF176" s="4592"/>
      <c r="BG176" s="1102">
        <f>IF(BE176=0,0,(BF176-BE176)/BE176*100)</f>
        <v>0</v>
      </c>
      <c r="BH176" s="4592"/>
      <c r="BI176" s="4592"/>
      <c r="BJ176" s="1102">
        <f>IF(BH176=0,0,(BI176-BH176)/BH176*100)</f>
        <v>0</v>
      </c>
      <c r="BK176" s="4592"/>
      <c r="BL176" s="4592"/>
      <c r="BM176" s="1102">
        <f>IF(BK176=0,0,(BL176-BK176)/BK176*100)</f>
        <v>0</v>
      </c>
      <c r="BN176" s="4592"/>
      <c r="BO176" s="4592"/>
      <c r="BP176" s="1102">
        <f>IF(BN176=0,0,(BO176-BN176)/BN176*100)</f>
        <v>0</v>
      </c>
      <c r="BQ176" s="4592"/>
      <c r="BR176" s="4592"/>
      <c r="BS176" s="1102">
        <f>IF(BQ176=0,0,(BR176-BQ176)/BQ176*100)</f>
        <v>0</v>
      </c>
      <c r="BT176" s="4592"/>
      <c r="BU176" s="4592"/>
      <c r="BV176" s="1102">
        <f>IF(BT176=0,0,(BU176-BT176)/BT176*100)</f>
        <v>0</v>
      </c>
      <c r="BW176" s="4592"/>
      <c r="BX176" s="4592"/>
      <c r="BY176" s="1102">
        <f>IF(BW176=0,0,(BX176-BW176)/BW176*100)</f>
        <v>0</v>
      </c>
      <c r="BZ176" s="4592"/>
      <c r="CA176" s="4592"/>
      <c r="CB176" s="1102">
        <f>IF(BZ176=0,0,(CA176-BZ176)/BZ176*100)</f>
        <v>0</v>
      </c>
      <c r="CC176" s="4592"/>
      <c r="CD176" s="4592"/>
      <c r="CE176" s="1102">
        <f>IF(CC176=0,0,(CD176-CC176)/CC176*100)</f>
        <v>0</v>
      </c>
      <c r="CF176" s="4592"/>
      <c r="CG176" s="4592"/>
      <c r="CH176" s="1102">
        <f>IF(CF176=0,0,(CG176-CF176)/CF176*100)</f>
        <v>0</v>
      </c>
      <c r="CI176" s="4592"/>
      <c r="CJ176" s="4592"/>
      <c r="CK176" s="1102">
        <f>IF(CI176=0,0,(CJ176-CI176)/CI176*100)</f>
        <v>0</v>
      </c>
      <c r="CL176" s="4592"/>
      <c r="CM176" s="4592"/>
      <c r="CN176" s="1102">
        <f>IF(CL176=0,0,(CM176-CL176)/CL176*100)</f>
        <v>0</v>
      </c>
      <c r="CO176" s="4592"/>
      <c r="CP176" s="4592"/>
      <c r="CQ176" s="1102">
        <f>IF(CO176=0,0,(CP176-CO176)/CO176*100)</f>
        <v>0</v>
      </c>
      <c r="CR176" s="4592"/>
      <c r="CS176" s="4592"/>
      <c r="CT176" s="1102">
        <f>IF(CR176=0,0,(CS176-CR176)/CR176*100)</f>
        <v>0</v>
      </c>
      <c r="CU176" s="4592"/>
      <c r="CV176" s="4592"/>
      <c r="CW176" s="1102">
        <f>IF(CU176=0,0,(CV176-CU176)/CU176*100)</f>
        <v>0</v>
      </c>
      <c r="CX176" s="4592"/>
      <c r="CY176" s="4592"/>
      <c r="CZ176" s="1102">
        <f>IF(CX176=0,0,(CY176-CX176)/CX176*100)</f>
        <v>0</v>
      </c>
      <c r="DA176" s="4592"/>
      <c r="DB176" s="4592"/>
      <c r="DC176" s="1102">
        <f>IF(DA176=0,0,(DB176-DA176)/DA176*100)</f>
        <v>0</v>
      </c>
      <c r="DD176" s="4592"/>
      <c r="DE176" s="4592"/>
      <c r="DF176" s="1102">
        <f>IF(DD176=0,0,(DE176-DD176)/DD176*100)</f>
        <v>0</v>
      </c>
      <c r="DG176" s="4592"/>
      <c r="DH176" s="4592"/>
      <c r="DI176" s="1102">
        <f>IF(DG176=0,0,(DH176-DG176)/DG176*100)</f>
        <v>0</v>
      </c>
      <c r="DJ176" s="4592"/>
      <c r="DK176" s="4592"/>
      <c r="DL176" s="1102">
        <f>IF(DJ176=0,0,(DK176-DJ176)/DJ176*100)</f>
        <v>0</v>
      </c>
      <c r="DM176" s="4592"/>
      <c r="DN176" s="4592"/>
      <c r="DO176" s="1102">
        <f>IF(DM176=0,0,(DN176-DM176)/DM176*100)</f>
        <v>0</v>
      </c>
      <c r="DP176" s="4592"/>
      <c r="DQ176" s="4592"/>
      <c r="DR176" s="1102">
        <f>IF(DP176=0,0,(DQ176-DP176)/DP176*100)</f>
        <v>0</v>
      </c>
      <c r="DS176" s="4592"/>
      <c r="DT176" s="4592"/>
      <c r="DU176" s="1102">
        <f>IF(DS176=0,0,(DT176-DS176)/DS176*100)</f>
        <v>0</v>
      </c>
      <c r="DV176" s="4592"/>
      <c r="DW176" s="4592"/>
      <c r="DX176" s="1102">
        <f>IF(DV176=0,0,(DW176-DV176)/DV176*100)</f>
        <v>0</v>
      </c>
      <c r="DY176" s="4592"/>
      <c r="DZ176" s="4592"/>
      <c r="EA176" s="1102">
        <f>IF(DY176=0,0,(DZ176-DY176)/DY176*100)</f>
        <v>0</v>
      </c>
      <c r="EB176" s="4592"/>
      <c r="EC176" s="4592"/>
      <c r="ED176" s="1102">
        <f>IF(EB176=0,0,(EC176-EB176)/EB176*100)</f>
        <v>0</v>
      </c>
      <c r="EE176" s="4592"/>
      <c r="EF176" s="4592"/>
      <c r="EG176" s="1102">
        <f>IF(EE176=0,0,(EF176-EE176)/EE176*100)</f>
        <v>0</v>
      </c>
      <c r="EH176" s="4592"/>
      <c r="EI176" s="4592"/>
      <c r="EJ176" s="1102">
        <f>IF(EH176=0,0,(EI176-EH176)/EH176*100)</f>
        <v>0</v>
      </c>
      <c r="EK176" s="4592"/>
      <c r="EL176" s="4592"/>
      <c r="EM176" s="1102">
        <f>IF(EK176=0,0,(EL176-EK176)/EK176*100)</f>
        <v>0</v>
      </c>
      <c r="EN176" s="4592"/>
      <c r="EO176" s="4592"/>
      <c r="EP176" s="1102">
        <f>IF(EN176=0,0,(EO176-EN176)/EN176*100)</f>
        <v>0</v>
      </c>
      <c r="EQ176" s="4592"/>
      <c r="ER176" s="4592"/>
      <c r="ES176" s="1102">
        <f>IF(EQ176=0,0,(ER176-EQ176)/EQ176*100)</f>
        <v>0</v>
      </c>
      <c r="ET176" s="4592"/>
      <c r="EU176" s="4592"/>
      <c r="EV176" s="1102">
        <f>IF(ET176=0,0,(EU176-ET176)/ET176*100)</f>
        <v>0</v>
      </c>
      <c r="EW176" s="4592"/>
      <c r="EX176" s="4592"/>
      <c r="EY176" s="1102">
        <f>IF(EW176=0,0,(EX176-EW176)/EW176*100)</f>
        <v>0</v>
      </c>
      <c r="EZ176" s="4592"/>
      <c r="FA176" s="4592"/>
      <c r="FB176" s="1102">
        <f>IF(EZ176=0,0,(FA176-EZ176)/EZ176*100)</f>
        <v>0</v>
      </c>
      <c r="FC176" s="4592"/>
      <c r="FD176" s="4592"/>
      <c r="FE176" s="1102">
        <f>IF(FC176=0,0,(FD176-FC176)/FC176*100)</f>
        <v>0</v>
      </c>
      <c r="FF176" s="4592"/>
      <c r="FG176" s="4592"/>
      <c r="FH176" s="1102">
        <f>IF(FF176=0,0,(FG176-FF176)/FF176*100)</f>
        <v>0</v>
      </c>
      <c r="FI176" s="4592"/>
      <c r="FJ176" s="4592"/>
      <c r="FK176" s="1102">
        <f>IF(FI176=0,0,(FJ176-FI176)/FI176*100)</f>
        <v>0</v>
      </c>
      <c r="FL176" s="4592"/>
      <c r="FM176" s="4592"/>
      <c r="FN176" s="1102">
        <f>IF(FL176=0,0,(FM176-FL176)/FL176*100)</f>
        <v>0</v>
      </c>
      <c r="FO176" s="4592"/>
      <c r="FP176" s="4592"/>
      <c r="FQ176" s="1102">
        <f>IF(FO176=0,0,(FP176-FO176)/FO176*100)</f>
        <v>0</v>
      </c>
      <c r="FR176" s="4592"/>
      <c r="FS176" s="4592"/>
      <c r="FT176" s="1102">
        <f>IF(FR176=0,0,(FS176-FR176)/FR176*100)</f>
        <v>0</v>
      </c>
      <c r="FU176" s="4592"/>
      <c r="FV176" s="4592"/>
      <c r="FW176" s="1102">
        <f>IF(FU176=0,0,(FV176-FU176)/FU176*100)</f>
        <v>0</v>
      </c>
      <c r="FX176" s="288"/>
      <c r="FY176" s="1328"/>
      <c r="FZ176" s="1063" t="s">
        <v>1949</v>
      </c>
      <c r="GA176" s="1023" t="s">
        <v>1950</v>
      </c>
      <c r="GB176" s="1023" cm="1" t="str">
        <f t="array" ref="GB176:GB176">AB176</f>
        <v>0</v>
      </c>
      <c r="GC176" s="1329"/>
      <c r="GD176" s="637" t="b">
        <v>1</v>
      </c>
    </row>
    <row s="1656" customFormat="1" customHeight="1" ht="14.25" hidden="1">
      <c r="A177" s="1328"/>
      <c r="B177" s="932" cm="1" t="str">
        <f t="array" ref="B177:B177">B176</f>
        <v>false</v>
      </c>
      <c r="C177" s="1328"/>
      <c r="D177" s="496"/>
      <c r="E177" s="847">
        <v>15</v>
      </c>
      <c r="F177" s="50" cm="1" t="str">
        <f t="array" ref="F177:F177">OFFSET(E177,-1,1)</f>
        <v>1</v>
      </c>
      <c r="G177" s="496"/>
      <c r="H177" s="1328"/>
      <c r="I177" s="94" t="s">
        <v>1951</v>
      </c>
      <c r="J177" s="1328"/>
      <c r="K177" s="1328"/>
      <c r="L177" s="1328"/>
      <c r="M177" s="1328"/>
      <c r="N177" s="1328"/>
      <c r="O177" s="1328"/>
      <c r="P177" s="1328"/>
      <c r="Q177" s="1328"/>
      <c r="R177" s="1328"/>
      <c r="S177" s="1328"/>
      <c r="T177" s="468">
        <f>F177&gt;0</f>
        <v>1</v>
      </c>
      <c r="U177" s="1328"/>
      <c r="V177" s="1328"/>
      <c r="W177" s="764" t="s">
        <v>1892</v>
      </c>
      <c r="X177" s="1559"/>
      <c r="Y177" s="1328"/>
      <c r="Z177" s="1528"/>
      <c r="AA177" s="1328"/>
      <c r="AB177" s="256" t="s">
        <v>177</v>
      </c>
      <c r="AC177" s="260"/>
      <c r="AD177" s="258"/>
      <c r="AE177" s="258"/>
      <c r="AF177" s="258"/>
      <c r="AG177" s="258"/>
      <c r="AH177" s="258"/>
      <c r="AI177" s="258"/>
      <c r="AJ177" s="258"/>
      <c r="AK177" s="258"/>
      <c r="AL177" s="258"/>
      <c r="AM177" s="258"/>
      <c r="AN177" s="258"/>
      <c r="AO177" s="258"/>
      <c r="AP177" s="258"/>
      <c r="AQ177" s="258"/>
      <c r="AR177" s="258"/>
      <c r="AS177" s="258"/>
      <c r="AT177" s="258"/>
      <c r="AU177" s="258"/>
      <c r="AV177" s="258"/>
      <c r="AW177" s="258"/>
      <c r="AX177" s="258"/>
      <c r="AY177" s="258"/>
      <c r="AZ177" s="258"/>
      <c r="BA177" s="258"/>
      <c r="BB177" s="258"/>
      <c r="BC177" s="258"/>
      <c r="BD177" s="258"/>
      <c r="BE177" s="258"/>
      <c r="BF177" s="258"/>
      <c r="BG177" s="258"/>
      <c r="BH177" s="258"/>
      <c r="BI177" s="258"/>
      <c r="BJ177" s="258"/>
      <c r="BK177" s="258"/>
      <c r="BL177" s="258"/>
      <c r="BM177" s="258"/>
      <c r="BN177" s="258"/>
      <c r="BO177" s="258"/>
      <c r="BP177" s="258"/>
      <c r="BQ177" s="258"/>
      <c r="BR177" s="258"/>
      <c r="BS177" s="258"/>
      <c r="BT177" s="258"/>
      <c r="BU177" s="258"/>
      <c r="BV177" s="258"/>
      <c r="BW177" s="258"/>
      <c r="BX177" s="258"/>
      <c r="BY177" s="258"/>
      <c r="BZ177" s="258"/>
      <c r="CA177" s="258"/>
      <c r="CB177" s="258"/>
      <c r="CC177" s="258"/>
      <c r="CD177" s="258"/>
      <c r="CE177" s="258"/>
      <c r="CF177" s="258"/>
      <c r="CG177" s="258"/>
      <c r="CH177" s="258"/>
      <c r="CI177" s="258"/>
      <c r="CJ177" s="258"/>
      <c r="CK177" s="258"/>
      <c r="CL177" s="258"/>
      <c r="CM177" s="258"/>
      <c r="CN177" s="258"/>
      <c r="CO177" s="258"/>
      <c r="CP177" s="258"/>
      <c r="CQ177" s="258"/>
      <c r="CR177" s="258"/>
      <c r="CS177" s="258"/>
      <c r="CT177" s="258"/>
      <c r="CU177" s="258"/>
      <c r="CV177" s="258"/>
      <c r="CW177" s="258"/>
      <c r="CX177" s="258"/>
      <c r="CY177" s="258"/>
      <c r="CZ177" s="258"/>
      <c r="DA177" s="258"/>
      <c r="DB177" s="258"/>
      <c r="DC177" s="258"/>
      <c r="DD177" s="258"/>
      <c r="DE177" s="258"/>
      <c r="DF177" s="258"/>
      <c r="DG177" s="258"/>
      <c r="DH177" s="258"/>
      <c r="DI177" s="258"/>
      <c r="DJ177" s="258"/>
      <c r="DK177" s="258"/>
      <c r="DL177" s="258"/>
      <c r="DM177" s="258"/>
      <c r="DN177" s="258"/>
      <c r="DO177" s="258"/>
      <c r="DP177" s="258"/>
      <c r="DQ177" s="258"/>
      <c r="DR177" s="258"/>
      <c r="DS177" s="258"/>
      <c r="DT177" s="258"/>
      <c r="DU177" s="258"/>
      <c r="DV177" s="258"/>
      <c r="DW177" s="258"/>
      <c r="DX177" s="258"/>
      <c r="DY177" s="258"/>
      <c r="DZ177" s="258"/>
      <c r="EA177" s="258"/>
      <c r="EB177" s="258"/>
      <c r="EC177" s="258"/>
      <c r="ED177" s="258"/>
      <c r="EE177" s="258"/>
      <c r="EF177" s="258"/>
      <c r="EG177" s="258"/>
      <c r="EH177" s="258"/>
      <c r="EI177" s="258"/>
      <c r="EJ177" s="258"/>
      <c r="EK177" s="258"/>
      <c r="EL177" s="258"/>
      <c r="EM177" s="258"/>
      <c r="EN177" s="258"/>
      <c r="EO177" s="258"/>
      <c r="EP177" s="258"/>
      <c r="EQ177" s="258"/>
      <c r="ER177" s="258"/>
      <c r="ES177" s="258"/>
      <c r="ET177" s="258"/>
      <c r="EU177" s="258"/>
      <c r="EV177" s="258"/>
      <c r="EW177" s="258"/>
      <c r="EX177" s="258"/>
      <c r="EY177" s="258"/>
      <c r="EZ177" s="258"/>
      <c r="FA177" s="258"/>
      <c r="FB177" s="258"/>
      <c r="FC177" s="258"/>
      <c r="FD177" s="258"/>
      <c r="FE177" s="258"/>
      <c r="FF177" s="258"/>
      <c r="FG177" s="258"/>
      <c r="FH177" s="258"/>
      <c r="FI177" s="258"/>
      <c r="FJ177" s="258"/>
      <c r="FK177" s="258"/>
      <c r="FL177" s="258"/>
      <c r="FM177" s="258"/>
      <c r="FN177" s="258"/>
      <c r="FO177" s="258"/>
      <c r="FP177" s="258"/>
      <c r="FQ177" s="258"/>
      <c r="FR177" s="258"/>
      <c r="FS177" s="258"/>
      <c r="FT177" s="258"/>
      <c r="FU177" s="258"/>
      <c r="FV177" s="258"/>
      <c r="FW177" s="259"/>
      <c r="FX177" s="1328"/>
      <c r="FY177" s="1328"/>
      <c r="FZ177" s="1330"/>
      <c r="GA177" s="1330"/>
      <c r="GB177" s="1330"/>
      <c r="GC177" s="637" t="s">
        <v>1950</v>
      </c>
      <c r="GD177" s="1329"/>
    </row>
    <row s="1656" customFormat="1" customHeight="1" ht="10.5">
      <c r="A178" s="94"/>
      <c r="B178" s="912"/>
      <c r="C178" s="94"/>
      <c r="D178" s="496"/>
      <c r="E178" s="847">
        <v>11.5</v>
      </c>
      <c r="F178" s="1361"/>
      <c r="G178" s="496"/>
      <c r="H178" s="94"/>
      <c r="I178" s="94"/>
      <c r="J178" s="94"/>
      <c r="K178" s="94"/>
      <c r="L178" s="94"/>
      <c r="M178" s="94"/>
      <c r="N178" s="94"/>
      <c r="O178" s="94"/>
      <c r="P178" s="94"/>
      <c r="Q178" s="94"/>
      <c r="R178" s="94"/>
      <c r="S178" s="94"/>
      <c r="T178" s="468" cm="1" t="str">
        <f t="array" ref="T178:T178">T177</f>
        <v>true</v>
      </c>
      <c r="U178" s="94"/>
      <c r="V178" s="94"/>
      <c r="W178" s="764"/>
      <c r="X178" s="1559"/>
      <c r="Y178" s="94"/>
      <c r="Z178" s="1528"/>
      <c r="AA178" s="94"/>
      <c r="AB178" s="203"/>
      <c r="AC178" s="1189"/>
      <c r="AD178" s="1328"/>
      <c r="AE178" s="1328"/>
      <c r="AF178" s="1328"/>
      <c r="AG178" s="1328"/>
      <c r="AH178" s="1328"/>
      <c r="AI178" s="1328"/>
      <c r="AJ178" s="1328"/>
      <c r="AK178" s="1328"/>
      <c r="AL178" s="1328"/>
      <c r="AM178" s="1328"/>
      <c r="AN178" s="1328"/>
      <c r="AO178" s="1328"/>
      <c r="AP178" s="1328"/>
      <c r="AQ178" s="1328"/>
      <c r="AR178" s="1328"/>
      <c r="AS178" s="1328"/>
      <c r="AT178" s="1328"/>
      <c r="AU178" s="1328"/>
      <c r="AV178" s="1328"/>
      <c r="AW178" s="1328"/>
      <c r="AX178" s="1328"/>
      <c r="AY178" s="1328"/>
      <c r="AZ178" s="1328"/>
      <c r="BA178" s="1328"/>
      <c r="BB178" s="1328"/>
      <c r="BC178" s="1328"/>
      <c r="BD178" s="1328"/>
      <c r="BE178" s="1328"/>
      <c r="BF178" s="1328"/>
      <c r="BG178" s="1328"/>
      <c r="BH178" s="1328"/>
      <c r="BI178" s="1328"/>
      <c r="BJ178" s="1328"/>
      <c r="BK178" s="1328"/>
      <c r="BL178" s="1328"/>
      <c r="BM178" s="1328"/>
      <c r="BN178" s="1328"/>
      <c r="BO178" s="1328"/>
      <c r="BP178" s="1328"/>
      <c r="BQ178" s="1328"/>
      <c r="BR178" s="1328"/>
      <c r="BS178" s="1328"/>
      <c r="BT178" s="1328"/>
      <c r="BU178" s="1328"/>
      <c r="BV178" s="1328"/>
      <c r="BW178" s="1328"/>
      <c r="BX178" s="1328"/>
      <c r="BY178" s="1328"/>
      <c r="BZ178" s="1328"/>
      <c r="CA178" s="1328"/>
      <c r="CB178" s="1328"/>
      <c r="CC178" s="1328"/>
      <c r="CD178" s="1328"/>
      <c r="CE178" s="1328"/>
      <c r="CF178" s="1328"/>
      <c r="CG178" s="1328"/>
      <c r="CH178" s="1328"/>
      <c r="CI178" s="1328"/>
      <c r="CJ178" s="1328"/>
      <c r="CK178" s="1328"/>
      <c r="CL178" s="1328"/>
      <c r="CM178" s="1328"/>
      <c r="CN178" s="1328"/>
      <c r="CO178" s="1328"/>
      <c r="CP178" s="1328"/>
      <c r="CQ178" s="1328"/>
      <c r="CR178" s="1328"/>
      <c r="CS178" s="1328"/>
      <c r="CT178" s="1328"/>
      <c r="CU178" s="1328"/>
      <c r="CV178" s="1328"/>
      <c r="CW178" s="1328"/>
      <c r="CX178" s="1328"/>
      <c r="CY178" s="1328"/>
      <c r="CZ178" s="1328"/>
      <c r="DA178" s="1328"/>
      <c r="DB178" s="1328"/>
      <c r="DC178" s="1328"/>
      <c r="DD178" s="1328"/>
      <c r="DE178" s="1328"/>
      <c r="DF178" s="1328"/>
      <c r="DG178" s="1328"/>
      <c r="DH178" s="1328"/>
      <c r="DI178" s="1328"/>
      <c r="DJ178" s="1328"/>
      <c r="DK178" s="1328"/>
      <c r="DL178" s="1328"/>
      <c r="DM178" s="1328"/>
      <c r="DN178" s="1328"/>
      <c r="DO178" s="1328"/>
      <c r="DP178" s="1328"/>
      <c r="DQ178" s="1328"/>
      <c r="DR178" s="1328"/>
      <c r="DS178" s="1328"/>
      <c r="DT178" s="1328"/>
      <c r="DU178" s="1328"/>
      <c r="DV178" s="1328"/>
      <c r="DW178" s="1328"/>
      <c r="DX178" s="1328"/>
      <c r="DY178" s="1328"/>
      <c r="DZ178" s="1328"/>
      <c r="EA178" s="1328"/>
      <c r="EB178" s="1328"/>
      <c r="EC178" s="1328"/>
      <c r="ED178" s="1328"/>
      <c r="EE178" s="1328"/>
      <c r="EF178" s="1328"/>
      <c r="EG178" s="1328"/>
      <c r="EH178" s="1328"/>
      <c r="EI178" s="1328"/>
      <c r="EJ178" s="1328"/>
      <c r="EK178" s="1328"/>
      <c r="EL178" s="1328"/>
      <c r="EM178" s="1328"/>
      <c r="EN178" s="1328"/>
      <c r="EO178" s="1328"/>
      <c r="EP178" s="1328"/>
      <c r="EQ178" s="1328"/>
      <c r="ER178" s="1328"/>
      <c r="ES178" s="1328"/>
      <c r="ET178" s="1328"/>
      <c r="EU178" s="1328"/>
      <c r="EV178" s="1328"/>
      <c r="EW178" s="1328"/>
      <c r="EX178" s="1328"/>
      <c r="EY178" s="1328"/>
      <c r="EZ178" s="1328"/>
      <c r="FA178" s="1328"/>
      <c r="FB178" s="1328"/>
      <c r="FC178" s="1328"/>
      <c r="FD178" s="1328"/>
      <c r="FE178" s="1328"/>
      <c r="FF178" s="1328"/>
      <c r="FG178" s="1328"/>
      <c r="FH178" s="1328"/>
      <c r="FI178" s="1328"/>
      <c r="FJ178" s="1328"/>
      <c r="FK178" s="1328"/>
      <c r="FL178" s="1328"/>
      <c r="FM178" s="1328"/>
      <c r="FN178" s="1328"/>
      <c r="FO178" s="1328"/>
      <c r="FP178" s="1328"/>
      <c r="FQ178" s="1328"/>
      <c r="FR178" s="1328"/>
      <c r="FS178" s="1328"/>
      <c r="FT178" s="1328"/>
      <c r="FU178" s="1328"/>
      <c r="FV178" s="1328"/>
      <c r="FW178" s="1328"/>
      <c r="FX178" s="1328"/>
      <c r="FY178" s="1328"/>
      <c r="FZ178" s="1014"/>
      <c r="GA178" s="1014"/>
      <c r="GB178" s="1009"/>
      <c r="GC178" s="681"/>
      <c r="GD178" s="681"/>
    </row>
    <row s="1656" customFormat="1" customHeight="1" ht="20.671875">
      <c r="A179" s="496"/>
      <c r="B179" s="879"/>
      <c r="C179" s="496"/>
      <c r="D179" s="496"/>
      <c r="E179" s="847">
        <v>15</v>
      </c>
      <c r="F179" s="497" cm="1" t="str">
        <f t="array" ref="F179:F179">X179</f>
        <v>2</v>
      </c>
      <c r="G179" s="496" cm="1" t="str">
        <f t="array" ref="G179:G179">INDEX('Общие сведения'!$AK$197:$AK$254,MATCH($X179,'Общие сведения'!$Z$197:$Z$254,0))</f>
        <v>одноставочный</v>
      </c>
      <c r="H179" s="496"/>
      <c r="I179" s="496"/>
      <c r="J179" s="496"/>
      <c r="K179" s="496"/>
      <c r="L179" s="496"/>
      <c r="M179" s="496"/>
      <c r="N179" s="496"/>
      <c r="O179" s="496"/>
      <c r="P179" s="496"/>
      <c r="Q179" s="496" cm="1" t="str">
        <f t="array" ref="Q179:Q179">INDEX('Общие сведения'!$AE$197:$AE$254,MATCH($X179,'Общие сведения'!$Z$197:$Z$254,0))</f>
        <v>Водоотведение</v>
      </c>
      <c r="R179" s="487" cm="1" t="str">
        <f t="array" ref="R179:R179">INDEX('Общие сведения'!$AK$197:$AK$254,MATCH($X179,'Общие сведения'!$Z$197:$Z$254,0))</f>
        <v>одноставочный</v>
      </c>
      <c r="S179" s="496" cm="1" t="str">
        <f t="array" ref="S179:S179">INDEX('Общие сведения'!$AN$197:$AN$254,MATCH($X179,'Общие сведения'!$Z$197:$Z$254,0))</f>
        <v>false</v>
      </c>
      <c r="T179" s="468">
        <f>X179&gt;0</f>
        <v>1</v>
      </c>
      <c r="U179" s="496"/>
      <c r="V179" s="496" cm="1" t="str">
        <f t="array" ref="V179:V179">'Корректировка НВВ'!$AB$129</f>
        <v>Тариф 2 (Водоотведение) - тариф на водоотведение (Оказание услуг на территории: город Ленинск-Кузнецкий (ОКТМО: 32719000) - г Ленинск-Кузнецкий)</v>
      </c>
      <c r="W179" s="496"/>
      <c r="X179" s="1559" t="s">
        <v>299</v>
      </c>
      <c r="Y179" s="496"/>
      <c r="Z179" s="1528"/>
      <c r="AA179" s="496"/>
      <c r="AB179" s="1615" t="s">
        <v>22</v>
      </c>
      <c r="AC179" s="1616"/>
      <c r="AD179" s="900" cm="1" t="str">
        <f t="array" ref="AD179:AD179">'Корректировка НВВ'!$AB$129</f>
        <v>Тариф 2 (Водоотведение) - тариф на водоотведение (Оказание услуг на территории: город Ленинск-Кузнецкий (ОКТМО: 32719000) - г Ленинск-Кузнецкий)</v>
      </c>
      <c r="AE179" s="282"/>
      <c r="AF179" s="282"/>
      <c r="AG179" s="282"/>
      <c r="AH179" s="282"/>
      <c r="AI179" s="282"/>
      <c r="AJ179" s="282"/>
      <c r="AK179" s="282"/>
      <c r="AL179" s="282"/>
      <c r="AM179" s="282"/>
      <c r="AN179" s="282"/>
      <c r="AO179" s="282"/>
      <c r="AP179" s="282"/>
      <c r="AQ179" s="282"/>
      <c r="AR179" s="282"/>
      <c r="AS179" s="282"/>
      <c r="AT179" s="282"/>
      <c r="AU179" s="282"/>
      <c r="AV179" s="282"/>
      <c r="AW179" s="282"/>
      <c r="AX179" s="282"/>
      <c r="AY179" s="282"/>
      <c r="AZ179" s="282"/>
      <c r="BA179" s="282"/>
      <c r="BB179" s="282"/>
      <c r="BC179" s="282"/>
      <c r="BD179" s="282"/>
      <c r="BE179" s="282"/>
      <c r="BF179" s="282"/>
      <c r="BG179" s="282"/>
      <c r="BH179" s="282"/>
      <c r="BI179" s="282"/>
      <c r="BJ179" s="282"/>
      <c r="BK179" s="282"/>
      <c r="BL179" s="282"/>
      <c r="BM179" s="282"/>
      <c r="BN179" s="282"/>
      <c r="BO179" s="282"/>
      <c r="BP179" s="282"/>
      <c r="BQ179" s="282"/>
      <c r="BR179" s="282"/>
      <c r="BS179" s="282"/>
      <c r="BT179" s="282"/>
      <c r="BU179" s="282"/>
      <c r="BV179" s="282"/>
      <c r="BW179" s="282"/>
      <c r="BX179" s="282"/>
      <c r="BY179" s="282"/>
      <c r="BZ179" s="282"/>
      <c r="CA179" s="282"/>
      <c r="CB179" s="282"/>
      <c r="CC179" s="282"/>
      <c r="CD179" s="282"/>
      <c r="CE179" s="282"/>
      <c r="CF179" s="282"/>
      <c r="CG179" s="282"/>
      <c r="CH179" s="282"/>
      <c r="CI179" s="282"/>
      <c r="CJ179" s="282"/>
      <c r="CK179" s="282"/>
      <c r="CL179" s="282"/>
      <c r="CM179" s="282"/>
      <c r="CN179" s="282"/>
      <c r="CO179" s="282"/>
      <c r="CP179" s="282"/>
      <c r="CQ179" s="282"/>
      <c r="CR179" s="282"/>
      <c r="CS179" s="282"/>
      <c r="CT179" s="282"/>
      <c r="CU179" s="282"/>
      <c r="CV179" s="282"/>
      <c r="CW179" s="282"/>
      <c r="CX179" s="282"/>
      <c r="CY179" s="282"/>
      <c r="CZ179" s="282"/>
      <c r="DA179" s="282"/>
      <c r="DB179" s="282"/>
      <c r="DC179" s="282"/>
      <c r="DD179" s="282"/>
      <c r="DE179" s="282"/>
      <c r="DF179" s="282"/>
      <c r="DG179" s="282"/>
      <c r="DH179" s="282"/>
      <c r="DI179" s="282"/>
      <c r="DJ179" s="282"/>
      <c r="DK179" s="282"/>
      <c r="DL179" s="282"/>
      <c r="DM179" s="282"/>
      <c r="DN179" s="282"/>
      <c r="DO179" s="282"/>
      <c r="DP179" s="282"/>
      <c r="DQ179" s="282"/>
      <c r="DR179" s="282"/>
      <c r="DS179" s="282"/>
      <c r="DT179" s="282"/>
      <c r="DU179" s="282"/>
      <c r="DV179" s="282"/>
      <c r="DW179" s="282"/>
      <c r="DX179" s="282"/>
      <c r="DY179" s="282"/>
      <c r="DZ179" s="282"/>
      <c r="EA179" s="282"/>
      <c r="EB179" s="282"/>
      <c r="EC179" s="282"/>
      <c r="ED179" s="282"/>
      <c r="EE179" s="282"/>
      <c r="EF179" s="282"/>
      <c r="EG179" s="282"/>
      <c r="EH179" s="282"/>
      <c r="EI179" s="282"/>
      <c r="EJ179" s="282"/>
      <c r="EK179" s="282"/>
      <c r="EL179" s="282"/>
      <c r="EM179" s="282"/>
      <c r="EN179" s="282"/>
      <c r="EO179" s="282"/>
      <c r="EP179" s="282"/>
      <c r="EQ179" s="282"/>
      <c r="ER179" s="282"/>
      <c r="ES179" s="282"/>
      <c r="ET179" s="282"/>
      <c r="EU179" s="282"/>
      <c r="EV179" s="282"/>
      <c r="EW179" s="282"/>
      <c r="EX179" s="282"/>
      <c r="EY179" s="282"/>
      <c r="EZ179" s="282"/>
      <c r="FA179" s="282"/>
      <c r="FB179" s="282"/>
      <c r="FC179" s="282"/>
      <c r="FD179" s="282"/>
      <c r="FE179" s="282"/>
      <c r="FF179" s="282"/>
      <c r="FG179" s="282"/>
      <c r="FH179" s="282"/>
      <c r="FI179" s="282"/>
      <c r="FJ179" s="282"/>
      <c r="FK179" s="282"/>
      <c r="FL179" s="282"/>
      <c r="FM179" s="282"/>
      <c r="FN179" s="282"/>
      <c r="FO179" s="282"/>
      <c r="FP179" s="282"/>
      <c r="FQ179" s="282"/>
      <c r="FR179" s="282"/>
      <c r="FS179" s="282"/>
      <c r="FT179" s="282"/>
      <c r="FU179" s="282"/>
      <c r="FV179" s="282"/>
      <c r="FW179" s="283"/>
      <c r="FX179" s="1328"/>
      <c r="FY179" s="1328"/>
      <c r="FZ179" s="1330"/>
      <c r="GA179" s="1330"/>
      <c r="GB179" s="1330"/>
      <c r="GC179" s="1329"/>
      <c r="GD179" s="1329"/>
    </row>
    <row s="1656" customFormat="1" customHeight="1" ht="20.671875">
      <c r="A180" s="496"/>
      <c r="B180" s="879"/>
      <c r="C180" s="496"/>
      <c r="D180" s="496"/>
      <c r="E180" s="847">
        <v>15</v>
      </c>
      <c r="F180" s="50" cm="1" t="str">
        <f t="array" ref="F180:F180">OFFSET(E180,-1,1)</f>
        <v>2</v>
      </c>
      <c r="G180" s="496"/>
      <c r="H180" s="496"/>
      <c r="I180" s="496"/>
      <c r="J180" s="496"/>
      <c r="K180" s="496"/>
      <c r="L180" s="496"/>
      <c r="M180" s="496"/>
      <c r="N180" s="496"/>
      <c r="O180" s="496"/>
      <c r="P180" s="496"/>
      <c r="Q180" s="496"/>
      <c r="R180" s="487"/>
      <c r="S180" s="487"/>
      <c r="T180" s="468" cm="1" t="str">
        <f t="array" ref="T180:T180">T179</f>
        <v>true</v>
      </c>
      <c r="U180" s="496"/>
      <c r="V180" s="496"/>
      <c r="W180" s="496"/>
      <c r="X180" s="1559"/>
      <c r="Y180" s="496"/>
      <c r="Z180" s="1528"/>
      <c r="AA180" s="496"/>
      <c r="AB180" s="1508" t="str">
        <f>"Вид "&amp;IF(ISERROR(SEARCH("Водоснабжение",AD179)),"сточных вод","воды")</f>
        <v>Вид сточных вод</v>
      </c>
      <c r="AC180" s="1509"/>
      <c r="AD180" s="900" cm="1" t="str">
        <f t="array" ref="AD180:AD180">INDEX('Общие сведения'!$AH$197:$AH$254,MATCH($X179,'Общие сведения'!$Z$197:$Z$254,0))</f>
        <v>без дифференциации</v>
      </c>
      <c r="AE180" s="284"/>
      <c r="AF180" s="284"/>
      <c r="AG180" s="284"/>
      <c r="AH180" s="284"/>
      <c r="AI180" s="284"/>
      <c r="AJ180" s="284"/>
      <c r="AK180" s="284"/>
      <c r="AL180" s="284"/>
      <c r="AM180" s="284"/>
      <c r="AN180" s="284"/>
      <c r="AO180" s="284"/>
      <c r="AP180" s="284"/>
      <c r="AQ180" s="284"/>
      <c r="AR180" s="284"/>
      <c r="AS180" s="284"/>
      <c r="AT180" s="284"/>
      <c r="AU180" s="284"/>
      <c r="AV180" s="284"/>
      <c r="AW180" s="284"/>
      <c r="AX180" s="284"/>
      <c r="AY180" s="284"/>
      <c r="AZ180" s="284"/>
      <c r="BA180" s="284"/>
      <c r="BB180" s="284"/>
      <c r="BC180" s="284"/>
      <c r="BD180" s="284"/>
      <c r="BE180" s="284"/>
      <c r="BF180" s="284"/>
      <c r="BG180" s="284"/>
      <c r="BH180" s="284"/>
      <c r="BI180" s="284"/>
      <c r="BJ180" s="284"/>
      <c r="BK180" s="284"/>
      <c r="BL180" s="284"/>
      <c r="BM180" s="284"/>
      <c r="BN180" s="284"/>
      <c r="BO180" s="284"/>
      <c r="BP180" s="284"/>
      <c r="BQ180" s="284"/>
      <c r="BR180" s="284"/>
      <c r="BS180" s="284"/>
      <c r="BT180" s="284"/>
      <c r="BU180" s="284"/>
      <c r="BV180" s="284"/>
      <c r="BW180" s="284"/>
      <c r="BX180" s="284"/>
      <c r="BY180" s="284"/>
      <c r="BZ180" s="284"/>
      <c r="CA180" s="284"/>
      <c r="CB180" s="284"/>
      <c r="CC180" s="284"/>
      <c r="CD180" s="284"/>
      <c r="CE180" s="284"/>
      <c r="CF180" s="284"/>
      <c r="CG180" s="284"/>
      <c r="CH180" s="284"/>
      <c r="CI180" s="284"/>
      <c r="CJ180" s="284"/>
      <c r="CK180" s="284"/>
      <c r="CL180" s="284"/>
      <c r="CM180" s="284"/>
      <c r="CN180" s="284"/>
      <c r="CO180" s="284"/>
      <c r="CP180" s="284"/>
      <c r="CQ180" s="284"/>
      <c r="CR180" s="284"/>
      <c r="CS180" s="284"/>
      <c r="CT180" s="284"/>
      <c r="CU180" s="284"/>
      <c r="CV180" s="284"/>
      <c r="CW180" s="284"/>
      <c r="CX180" s="284"/>
      <c r="CY180" s="284"/>
      <c r="CZ180" s="284"/>
      <c r="DA180" s="284"/>
      <c r="DB180" s="284"/>
      <c r="DC180" s="284"/>
      <c r="DD180" s="284"/>
      <c r="DE180" s="284"/>
      <c r="DF180" s="284"/>
      <c r="DG180" s="284"/>
      <c r="DH180" s="284"/>
      <c r="DI180" s="284"/>
      <c r="DJ180" s="284"/>
      <c r="DK180" s="284"/>
      <c r="DL180" s="284"/>
      <c r="DM180" s="284"/>
      <c r="DN180" s="284"/>
      <c r="DO180" s="284"/>
      <c r="DP180" s="284"/>
      <c r="DQ180" s="284"/>
      <c r="DR180" s="284"/>
      <c r="DS180" s="284"/>
      <c r="DT180" s="284"/>
      <c r="DU180" s="284"/>
      <c r="DV180" s="284"/>
      <c r="DW180" s="284"/>
      <c r="DX180" s="284"/>
      <c r="DY180" s="284"/>
      <c r="DZ180" s="284"/>
      <c r="EA180" s="284"/>
      <c r="EB180" s="284"/>
      <c r="EC180" s="284"/>
      <c r="ED180" s="284"/>
      <c r="EE180" s="284"/>
      <c r="EF180" s="284"/>
      <c r="EG180" s="284"/>
      <c r="EH180" s="284"/>
      <c r="EI180" s="284"/>
      <c r="EJ180" s="284"/>
      <c r="EK180" s="284"/>
      <c r="EL180" s="284"/>
      <c r="EM180" s="284"/>
      <c r="EN180" s="284"/>
      <c r="EO180" s="284"/>
      <c r="EP180" s="284"/>
      <c r="EQ180" s="284"/>
      <c r="ER180" s="284"/>
      <c r="ES180" s="284"/>
      <c r="ET180" s="284"/>
      <c r="EU180" s="284"/>
      <c r="EV180" s="284"/>
      <c r="EW180" s="284"/>
      <c r="EX180" s="284"/>
      <c r="EY180" s="284"/>
      <c r="EZ180" s="284"/>
      <c r="FA180" s="284"/>
      <c r="FB180" s="284"/>
      <c r="FC180" s="284"/>
      <c r="FD180" s="284"/>
      <c r="FE180" s="284"/>
      <c r="FF180" s="284"/>
      <c r="FG180" s="284"/>
      <c r="FH180" s="284"/>
      <c r="FI180" s="284"/>
      <c r="FJ180" s="284"/>
      <c r="FK180" s="284"/>
      <c r="FL180" s="284"/>
      <c r="FM180" s="284"/>
      <c r="FN180" s="284"/>
      <c r="FO180" s="284"/>
      <c r="FP180" s="284"/>
      <c r="FQ180" s="284"/>
      <c r="FR180" s="284"/>
      <c r="FS180" s="284"/>
      <c r="FT180" s="284"/>
      <c r="FU180" s="284"/>
      <c r="FV180" s="284"/>
      <c r="FW180" s="285"/>
      <c r="FX180" s="1328"/>
      <c r="FY180" s="1328"/>
      <c r="FZ180" s="1330"/>
      <c r="GA180" s="1330"/>
      <c r="GB180" s="1330"/>
      <c r="GC180" s="1329"/>
      <c r="GD180" s="1329"/>
    </row>
    <row s="1656" customFormat="1" customHeight="1" ht="25.171875">
      <c r="A181" s="496"/>
      <c r="B181" s="879"/>
      <c r="C181" s="496"/>
      <c r="D181" s="496"/>
      <c r="E181" s="847">
        <v>15</v>
      </c>
      <c r="F181" s="50" cm="1" t="str">
        <f t="array" ref="F181:F181">OFFSET(E181,-1,1)</f>
        <v>2</v>
      </c>
      <c r="G181" s="496"/>
      <c r="H181" s="496"/>
      <c r="I181" s="496"/>
      <c r="J181" s="496"/>
      <c r="K181" s="496"/>
      <c r="L181" s="496"/>
      <c r="M181" s="496"/>
      <c r="N181" s="496"/>
      <c r="O181" s="496"/>
      <c r="P181" s="496"/>
      <c r="Q181" s="496"/>
      <c r="R181" s="487"/>
      <c r="S181" s="487"/>
      <c r="T181" s="468" cm="1" t="str">
        <f t="array" ref="T181:T181">T180</f>
        <v>true</v>
      </c>
      <c r="U181" s="496"/>
      <c r="V181" s="496"/>
      <c r="W181" s="496"/>
      <c r="X181" s="1559"/>
      <c r="Y181" s="496"/>
      <c r="Z181" s="1528"/>
      <c r="AA181" s="496"/>
      <c r="AB181" s="1508" t="s">
        <v>1856</v>
      </c>
      <c r="AC181" s="1509"/>
      <c r="AD181" s="900" cm="1" t="str">
        <f t="array" ref="AD181:AD181">INDEX('Общие сведения'!$AI$197:$AI$254,MATCH($X179,'Общие сведения'!$Z$197:$Z$254,0))</f>
        <v>тариф на водоотведение</v>
      </c>
      <c r="AE181" s="284"/>
      <c r="AF181" s="284"/>
      <c r="AG181" s="284"/>
      <c r="AH181" s="284"/>
      <c r="AI181" s="284"/>
      <c r="AJ181" s="284"/>
      <c r="AK181" s="284"/>
      <c r="AL181" s="284"/>
      <c r="AM181" s="284"/>
      <c r="AN181" s="284"/>
      <c r="AO181" s="284"/>
      <c r="AP181" s="284"/>
      <c r="AQ181" s="284"/>
      <c r="AR181" s="284"/>
      <c r="AS181" s="284"/>
      <c r="AT181" s="284"/>
      <c r="AU181" s="284"/>
      <c r="AV181" s="284"/>
      <c r="AW181" s="284"/>
      <c r="AX181" s="284"/>
      <c r="AY181" s="284"/>
      <c r="AZ181" s="284"/>
      <c r="BA181" s="284"/>
      <c r="BB181" s="284"/>
      <c r="BC181" s="284"/>
      <c r="BD181" s="284"/>
      <c r="BE181" s="284"/>
      <c r="BF181" s="284"/>
      <c r="BG181" s="284"/>
      <c r="BH181" s="284"/>
      <c r="BI181" s="284"/>
      <c r="BJ181" s="284"/>
      <c r="BK181" s="284"/>
      <c r="BL181" s="284"/>
      <c r="BM181" s="284"/>
      <c r="BN181" s="284"/>
      <c r="BO181" s="284"/>
      <c r="BP181" s="284"/>
      <c r="BQ181" s="284"/>
      <c r="BR181" s="284"/>
      <c r="BS181" s="284"/>
      <c r="BT181" s="284"/>
      <c r="BU181" s="284"/>
      <c r="BV181" s="284"/>
      <c r="BW181" s="284"/>
      <c r="BX181" s="284"/>
      <c r="BY181" s="284"/>
      <c r="BZ181" s="284"/>
      <c r="CA181" s="284"/>
      <c r="CB181" s="284"/>
      <c r="CC181" s="284"/>
      <c r="CD181" s="284"/>
      <c r="CE181" s="284"/>
      <c r="CF181" s="284"/>
      <c r="CG181" s="284"/>
      <c r="CH181" s="284"/>
      <c r="CI181" s="284"/>
      <c r="CJ181" s="284"/>
      <c r="CK181" s="284"/>
      <c r="CL181" s="284"/>
      <c r="CM181" s="284"/>
      <c r="CN181" s="284"/>
      <c r="CO181" s="284"/>
      <c r="CP181" s="284"/>
      <c r="CQ181" s="284"/>
      <c r="CR181" s="284"/>
      <c r="CS181" s="284"/>
      <c r="CT181" s="284"/>
      <c r="CU181" s="284"/>
      <c r="CV181" s="284"/>
      <c r="CW181" s="284"/>
      <c r="CX181" s="284"/>
      <c r="CY181" s="284"/>
      <c r="CZ181" s="284"/>
      <c r="DA181" s="284"/>
      <c r="DB181" s="284"/>
      <c r="DC181" s="284"/>
      <c r="DD181" s="284"/>
      <c r="DE181" s="284"/>
      <c r="DF181" s="284"/>
      <c r="DG181" s="284"/>
      <c r="DH181" s="284"/>
      <c r="DI181" s="284"/>
      <c r="DJ181" s="284"/>
      <c r="DK181" s="284"/>
      <c r="DL181" s="284"/>
      <c r="DM181" s="284"/>
      <c r="DN181" s="284"/>
      <c r="DO181" s="284"/>
      <c r="DP181" s="284"/>
      <c r="DQ181" s="284"/>
      <c r="DR181" s="284"/>
      <c r="DS181" s="284"/>
      <c r="DT181" s="284"/>
      <c r="DU181" s="284"/>
      <c r="DV181" s="284"/>
      <c r="DW181" s="284"/>
      <c r="DX181" s="284"/>
      <c r="DY181" s="284"/>
      <c r="DZ181" s="284"/>
      <c r="EA181" s="284"/>
      <c r="EB181" s="284"/>
      <c r="EC181" s="284"/>
      <c r="ED181" s="284"/>
      <c r="EE181" s="284"/>
      <c r="EF181" s="284"/>
      <c r="EG181" s="284"/>
      <c r="EH181" s="284"/>
      <c r="EI181" s="284"/>
      <c r="EJ181" s="284"/>
      <c r="EK181" s="284"/>
      <c r="EL181" s="284"/>
      <c r="EM181" s="284"/>
      <c r="EN181" s="284"/>
      <c r="EO181" s="284"/>
      <c r="EP181" s="284"/>
      <c r="EQ181" s="284"/>
      <c r="ER181" s="284"/>
      <c r="ES181" s="284"/>
      <c r="ET181" s="284"/>
      <c r="EU181" s="284"/>
      <c r="EV181" s="284"/>
      <c r="EW181" s="284"/>
      <c r="EX181" s="284"/>
      <c r="EY181" s="284"/>
      <c r="EZ181" s="284"/>
      <c r="FA181" s="284"/>
      <c r="FB181" s="284"/>
      <c r="FC181" s="284"/>
      <c r="FD181" s="284"/>
      <c r="FE181" s="284"/>
      <c r="FF181" s="284"/>
      <c r="FG181" s="284"/>
      <c r="FH181" s="284"/>
      <c r="FI181" s="284"/>
      <c r="FJ181" s="284"/>
      <c r="FK181" s="284"/>
      <c r="FL181" s="284"/>
      <c r="FM181" s="284"/>
      <c r="FN181" s="284"/>
      <c r="FO181" s="284"/>
      <c r="FP181" s="284"/>
      <c r="FQ181" s="284"/>
      <c r="FR181" s="284"/>
      <c r="FS181" s="284"/>
      <c r="FT181" s="284"/>
      <c r="FU181" s="284"/>
      <c r="FV181" s="284"/>
      <c r="FW181" s="285"/>
      <c r="FX181" s="1328"/>
      <c r="FY181" s="1328"/>
      <c r="FZ181" s="1330"/>
      <c r="GA181" s="1330"/>
      <c r="GB181" s="1330"/>
      <c r="GC181" s="1329"/>
      <c r="GD181" s="1329"/>
    </row>
    <row s="1656" customFormat="1" customHeight="1" ht="20.671875">
      <c r="A182" s="496"/>
      <c r="B182" s="879"/>
      <c r="C182" s="496"/>
      <c r="D182" s="496"/>
      <c r="E182" s="847">
        <v>15</v>
      </c>
      <c r="F182" s="50" cm="1" t="str">
        <f t="array" ref="F182:F182">OFFSET(E182,-1,1)</f>
        <v>2</v>
      </c>
      <c r="G182" s="496"/>
      <c r="H182" s="496"/>
      <c r="I182" s="496"/>
      <c r="J182" s="496"/>
      <c r="K182" s="496"/>
      <c r="L182" s="496"/>
      <c r="M182" s="496"/>
      <c r="N182" s="496"/>
      <c r="O182" s="496"/>
      <c r="P182" s="496"/>
      <c r="Q182" s="935"/>
      <c r="R182" s="496"/>
      <c r="S182" s="487"/>
      <c r="T182" s="468" cm="1" t="str">
        <f t="array" ref="T182:T182">T181</f>
        <v>true</v>
      </c>
      <c r="U182" s="496"/>
      <c r="V182" s="496"/>
      <c r="W182" s="496"/>
      <c r="X182" s="1559"/>
      <c r="Y182" s="496"/>
      <c r="Z182" s="1528"/>
      <c r="AA182" s="496"/>
      <c r="AB182" s="1508" t="s">
        <v>1857</v>
      </c>
      <c r="AC182" s="1509"/>
      <c r="AD182" s="900" cm="1" t="str">
        <f t="array" ref="AD182:AD182">INDEX('Общие сведения'!$AJ$197:$AJ$254,MATCH($X179,'Общие сведения'!$Z$197:$Z$254,0))</f>
        <v>Оказание услуг на территории: город Ленинск-Кузнецкий (ОКТМО: 32719000) - г Ленинск-Кузнецкий</v>
      </c>
      <c r="AE182" s="284"/>
      <c r="AF182" s="284"/>
      <c r="AG182" s="284"/>
      <c r="AH182" s="284"/>
      <c r="AI182" s="284"/>
      <c r="AJ182" s="284"/>
      <c r="AK182" s="284"/>
      <c r="AL182" s="284"/>
      <c r="AM182" s="284"/>
      <c r="AN182" s="284"/>
      <c r="AO182" s="284"/>
      <c r="AP182" s="284"/>
      <c r="AQ182" s="284"/>
      <c r="AR182" s="284"/>
      <c r="AS182" s="284"/>
      <c r="AT182" s="284"/>
      <c r="AU182" s="284"/>
      <c r="AV182" s="284"/>
      <c r="AW182" s="284"/>
      <c r="AX182" s="284"/>
      <c r="AY182" s="284"/>
      <c r="AZ182" s="284"/>
      <c r="BA182" s="284"/>
      <c r="BB182" s="284"/>
      <c r="BC182" s="284"/>
      <c r="BD182" s="284"/>
      <c r="BE182" s="284"/>
      <c r="BF182" s="284"/>
      <c r="BG182" s="284"/>
      <c r="BH182" s="284"/>
      <c r="BI182" s="284"/>
      <c r="BJ182" s="284"/>
      <c r="BK182" s="284"/>
      <c r="BL182" s="284"/>
      <c r="BM182" s="284"/>
      <c r="BN182" s="284"/>
      <c r="BO182" s="284"/>
      <c r="BP182" s="284"/>
      <c r="BQ182" s="284"/>
      <c r="BR182" s="284"/>
      <c r="BS182" s="284"/>
      <c r="BT182" s="284"/>
      <c r="BU182" s="284"/>
      <c r="BV182" s="284"/>
      <c r="BW182" s="284"/>
      <c r="BX182" s="284"/>
      <c r="BY182" s="284"/>
      <c r="BZ182" s="284"/>
      <c r="CA182" s="284"/>
      <c r="CB182" s="284"/>
      <c r="CC182" s="284"/>
      <c r="CD182" s="284"/>
      <c r="CE182" s="284"/>
      <c r="CF182" s="284"/>
      <c r="CG182" s="284"/>
      <c r="CH182" s="284"/>
      <c r="CI182" s="284"/>
      <c r="CJ182" s="284"/>
      <c r="CK182" s="284"/>
      <c r="CL182" s="284"/>
      <c r="CM182" s="284"/>
      <c r="CN182" s="284"/>
      <c r="CO182" s="284"/>
      <c r="CP182" s="284"/>
      <c r="CQ182" s="284"/>
      <c r="CR182" s="284"/>
      <c r="CS182" s="284"/>
      <c r="CT182" s="284"/>
      <c r="CU182" s="284"/>
      <c r="CV182" s="284"/>
      <c r="CW182" s="284"/>
      <c r="CX182" s="284"/>
      <c r="CY182" s="284"/>
      <c r="CZ182" s="284"/>
      <c r="DA182" s="284"/>
      <c r="DB182" s="284"/>
      <c r="DC182" s="284"/>
      <c r="DD182" s="284"/>
      <c r="DE182" s="284"/>
      <c r="DF182" s="284"/>
      <c r="DG182" s="284"/>
      <c r="DH182" s="284"/>
      <c r="DI182" s="284"/>
      <c r="DJ182" s="284"/>
      <c r="DK182" s="284"/>
      <c r="DL182" s="284"/>
      <c r="DM182" s="284"/>
      <c r="DN182" s="284"/>
      <c r="DO182" s="284"/>
      <c r="DP182" s="284"/>
      <c r="DQ182" s="284"/>
      <c r="DR182" s="284"/>
      <c r="DS182" s="284"/>
      <c r="DT182" s="284"/>
      <c r="DU182" s="284"/>
      <c r="DV182" s="284"/>
      <c r="DW182" s="284"/>
      <c r="DX182" s="284"/>
      <c r="DY182" s="284"/>
      <c r="DZ182" s="284"/>
      <c r="EA182" s="284"/>
      <c r="EB182" s="284"/>
      <c r="EC182" s="284"/>
      <c r="ED182" s="284"/>
      <c r="EE182" s="284"/>
      <c r="EF182" s="284"/>
      <c r="EG182" s="284"/>
      <c r="EH182" s="284"/>
      <c r="EI182" s="284"/>
      <c r="EJ182" s="284"/>
      <c r="EK182" s="284"/>
      <c r="EL182" s="284"/>
      <c r="EM182" s="284"/>
      <c r="EN182" s="284"/>
      <c r="EO182" s="284"/>
      <c r="EP182" s="284"/>
      <c r="EQ182" s="284"/>
      <c r="ER182" s="284"/>
      <c r="ES182" s="284"/>
      <c r="ET182" s="284"/>
      <c r="EU182" s="284"/>
      <c r="EV182" s="284"/>
      <c r="EW182" s="284"/>
      <c r="EX182" s="284"/>
      <c r="EY182" s="284"/>
      <c r="EZ182" s="284"/>
      <c r="FA182" s="284"/>
      <c r="FB182" s="284"/>
      <c r="FC182" s="284"/>
      <c r="FD182" s="284"/>
      <c r="FE182" s="284"/>
      <c r="FF182" s="284"/>
      <c r="FG182" s="284"/>
      <c r="FH182" s="284"/>
      <c r="FI182" s="284"/>
      <c r="FJ182" s="284"/>
      <c r="FK182" s="284"/>
      <c r="FL182" s="284"/>
      <c r="FM182" s="284"/>
      <c r="FN182" s="284"/>
      <c r="FO182" s="284"/>
      <c r="FP182" s="284"/>
      <c r="FQ182" s="284"/>
      <c r="FR182" s="284"/>
      <c r="FS182" s="284"/>
      <c r="FT182" s="284"/>
      <c r="FU182" s="284"/>
      <c r="FV182" s="284"/>
      <c r="FW182" s="285"/>
      <c r="FX182" s="1328"/>
      <c r="FY182" s="1328"/>
      <c r="FZ182" s="1330"/>
      <c r="GA182" s="1330"/>
      <c r="GB182" s="1330"/>
      <c r="GC182" s="1329"/>
      <c r="GD182" s="1329"/>
    </row>
    <row s="1656" customFormat="1" customHeight="1" ht="19.921875">
      <c r="A183" s="496"/>
      <c r="B183" s="932">
        <f>AND(R179="одноставочный",NOT(S179))</f>
        <v>1</v>
      </c>
      <c r="C183" s="496"/>
      <c r="D183" s="496"/>
      <c r="E183" s="847">
        <v>15</v>
      </c>
      <c r="F183" s="50" cm="1" t="str">
        <f t="array" ref="F183:F183">OFFSET(E183,-1,1)</f>
        <v>2</v>
      </c>
      <c r="G183" s="496"/>
      <c r="H183" s="496"/>
      <c r="I183" s="496"/>
      <c r="J183" s="496"/>
      <c r="K183" s="496"/>
      <c r="L183" s="496"/>
      <c r="M183" s="496"/>
      <c r="N183" s="496"/>
      <c r="O183" s="496"/>
      <c r="P183" s="496"/>
      <c r="Q183" s="496"/>
      <c r="R183" s="496"/>
      <c r="S183" s="496"/>
      <c r="T183" s="468" cm="1" t="str">
        <f t="array" ref="T183:T183">T182</f>
        <v>true</v>
      </c>
      <c r="U183" s="496"/>
      <c r="V183" s="496"/>
      <c r="W183" s="496"/>
      <c r="X183" s="1559"/>
      <c r="Y183" s="496"/>
      <c r="Z183" s="1528"/>
      <c r="AA183" s="496"/>
      <c r="AB183" s="901" t="s">
        <v>1858</v>
      </c>
      <c r="AC183" s="902"/>
      <c r="AD183" s="903"/>
      <c r="AE183" s="903"/>
      <c r="AF183" s="903"/>
      <c r="AG183" s="903"/>
      <c r="AH183" s="903"/>
      <c r="AI183" s="903"/>
      <c r="AJ183" s="903"/>
      <c r="AK183" s="903"/>
      <c r="AL183" s="903"/>
      <c r="AM183" s="903"/>
      <c r="AN183" s="903"/>
      <c r="AO183" s="903"/>
      <c r="AP183" s="903"/>
      <c r="AQ183" s="903"/>
      <c r="AR183" s="903"/>
      <c r="AS183" s="903"/>
      <c r="AT183" s="903"/>
      <c r="AU183" s="903"/>
      <c r="AV183" s="903"/>
      <c r="AW183" s="903"/>
      <c r="AX183" s="903"/>
      <c r="AY183" s="903"/>
      <c r="AZ183" s="903"/>
      <c r="BA183" s="903"/>
      <c r="BB183" s="903"/>
      <c r="BC183" s="903"/>
      <c r="BD183" s="903"/>
      <c r="BE183" s="903"/>
      <c r="BF183" s="903"/>
      <c r="BG183" s="903"/>
      <c r="BH183" s="903"/>
      <c r="BI183" s="903"/>
      <c r="BJ183" s="914"/>
      <c r="BK183" s="903"/>
      <c r="BL183" s="903"/>
      <c r="BM183" s="914"/>
      <c r="BN183" s="903"/>
      <c r="BO183" s="903"/>
      <c r="BP183" s="914"/>
      <c r="BQ183" s="903"/>
      <c r="BR183" s="903"/>
      <c r="BS183" s="914"/>
      <c r="BT183" s="903"/>
      <c r="BU183" s="903"/>
      <c r="BV183" s="914"/>
      <c r="BW183" s="903"/>
      <c r="BX183" s="903"/>
      <c r="BY183" s="914"/>
      <c r="BZ183" s="903"/>
      <c r="CA183" s="903"/>
      <c r="CB183" s="914"/>
      <c r="CC183" s="903"/>
      <c r="CD183" s="903"/>
      <c r="CE183" s="914"/>
      <c r="CF183" s="903"/>
      <c r="CG183" s="903"/>
      <c r="CH183" s="914"/>
      <c r="CI183" s="903"/>
      <c r="CJ183" s="903"/>
      <c r="CK183" s="914"/>
      <c r="CL183" s="903"/>
      <c r="CM183" s="903"/>
      <c r="CN183" s="914"/>
      <c r="CO183" s="903"/>
      <c r="CP183" s="903"/>
      <c r="CQ183" s="914"/>
      <c r="CR183" s="903"/>
      <c r="CS183" s="903"/>
      <c r="CT183" s="914"/>
      <c r="CU183" s="903"/>
      <c r="CV183" s="903"/>
      <c r="CW183" s="914"/>
      <c r="CX183" s="903"/>
      <c r="CY183" s="903"/>
      <c r="CZ183" s="914"/>
      <c r="DA183" s="903"/>
      <c r="DB183" s="903"/>
      <c r="DC183" s="914"/>
      <c r="DD183" s="903"/>
      <c r="DE183" s="903"/>
      <c r="DF183" s="287"/>
      <c r="DG183" s="286"/>
      <c r="DH183" s="286"/>
      <c r="DI183" s="287"/>
      <c r="DJ183" s="286"/>
      <c r="DK183" s="286"/>
      <c r="DL183" s="287"/>
      <c r="DM183" s="286"/>
      <c r="DN183" s="286"/>
      <c r="DO183" s="287"/>
      <c r="DP183" s="286"/>
      <c r="DQ183" s="286"/>
      <c r="DR183" s="287"/>
      <c r="DS183" s="286"/>
      <c r="DT183" s="286"/>
      <c r="DU183" s="287"/>
      <c r="DV183" s="286"/>
      <c r="DW183" s="286"/>
      <c r="DX183" s="287"/>
      <c r="DY183" s="286"/>
      <c r="DZ183" s="286"/>
      <c r="EA183" s="287"/>
      <c r="EB183" s="286"/>
      <c r="EC183" s="286"/>
      <c r="ED183" s="287"/>
      <c r="EE183" s="286"/>
      <c r="EF183" s="286"/>
      <c r="EG183" s="287"/>
      <c r="EH183" s="286"/>
      <c r="EI183" s="286"/>
      <c r="EJ183" s="287"/>
      <c r="EK183" s="286"/>
      <c r="EL183" s="286"/>
      <c r="EM183" s="287"/>
      <c r="EN183" s="286"/>
      <c r="EO183" s="286"/>
      <c r="EP183" s="287"/>
      <c r="EQ183" s="286"/>
      <c r="ER183" s="286"/>
      <c r="ES183" s="287"/>
      <c r="ET183" s="286"/>
      <c r="EU183" s="286"/>
      <c r="EV183" s="287"/>
      <c r="EW183" s="286"/>
      <c r="EX183" s="286"/>
      <c r="EY183" s="287"/>
      <c r="EZ183" s="286"/>
      <c r="FA183" s="286"/>
      <c r="FB183" s="287"/>
      <c r="FC183" s="286"/>
      <c r="FD183" s="286"/>
      <c r="FE183" s="287"/>
      <c r="FF183" s="286"/>
      <c r="FG183" s="286"/>
      <c r="FH183" s="287"/>
      <c r="FI183" s="286"/>
      <c r="FJ183" s="286"/>
      <c r="FK183" s="287"/>
      <c r="FL183" s="286"/>
      <c r="FM183" s="286"/>
      <c r="FN183" s="287"/>
      <c r="FO183" s="286"/>
      <c r="FP183" s="286"/>
      <c r="FQ183" s="287"/>
      <c r="FR183" s="286"/>
      <c r="FS183" s="286"/>
      <c r="FT183" s="287"/>
      <c r="FU183" s="286"/>
      <c r="FV183" s="286"/>
      <c r="FW183" s="287"/>
      <c r="FX183" s="1328"/>
      <c r="FY183" s="1328"/>
      <c r="FZ183" s="1330"/>
      <c r="GA183" s="1330"/>
      <c r="GB183" s="1330"/>
      <c r="GC183" s="1329"/>
      <c r="GD183" s="1329"/>
    </row>
    <row s="5086" customFormat="1" customHeight="1" ht="26.671875">
      <c r="A184" s="904"/>
      <c r="B184" s="932" cm="1" t="str">
        <f t="array" ref="B184:B184">B183</f>
        <v>true</v>
      </c>
      <c r="C184" s="904"/>
      <c r="D184" s="904"/>
      <c r="E184" s="905">
        <v>24.5</v>
      </c>
      <c r="F184" s="50" cm="1" t="str">
        <f t="array" ref="F184:F184">OFFSET(E184,-1,1)</f>
        <v>2</v>
      </c>
      <c r="G184" s="496" t="s">
        <v>1859</v>
      </c>
      <c r="H184" s="496" t="s">
        <v>566</v>
      </c>
      <c r="I184" s="496" t="s">
        <v>1860</v>
      </c>
      <c r="J184" s="904"/>
      <c r="K184" s="904"/>
      <c r="L184" s="496"/>
      <c r="M184" s="904"/>
      <c r="N184" s="904"/>
      <c r="O184" s="904"/>
      <c r="P184" s="904"/>
      <c r="Q184" s="904"/>
      <c r="R184" s="904"/>
      <c r="S184" s="496"/>
      <c r="T184" s="468" cm="1" t="str">
        <f t="array" ref="T184:T184">T183</f>
        <v>true</v>
      </c>
      <c r="U184" s="904"/>
      <c r="V184" s="904"/>
      <c r="W184" s="904"/>
      <c r="X184" s="1559"/>
      <c r="Y184" s="904"/>
      <c r="Z184" s="1528"/>
      <c r="AA184" s="904"/>
      <c r="AB184" s="289" t="s">
        <v>1861</v>
      </c>
      <c r="AC184" s="290" t="s">
        <v>1862</v>
      </c>
      <c r="AD184" s="906">
        <f>IF(AND(method_reg="Метод индексации",god&lt;&gt;first_year),_xlfn.SUMIFS(INDEX('Калькуляция (МИ корр)'!$AJ$25:$BC$606,,MATCH(AD$8,'Калькуляция (МИ корр)'!$AJ$8:$BC$8,0)),'Калькуляция (МИ корр)'!$F$25:$F$606,$F184,'Калькуляция (МИ корр)'!$G$25:$G$606,$G184),IF(method_reg="Метод экономически обоснованных расходов",_xlfn.SUMIFS('Калькуляция (МЭОР)'!$AJ$25:$AJ$367,'Калькуляция (МЭОР)'!$F$25:$F$367,$F184,'Калькуляция (МЭОР)'!$G$25:$G$367,$G184),IF(method_reg="Метод сравнения аналогов",_xlfn.SUMIFS('Калькуляция (МСА)'!$AE$25:$AE$103,'Калькуляция (МСА)'!$F$25:$F$103,$F184,'Калькуляция (МСА)'!$G$25:$G$103,$G184),_xlfn.SUMIFS(INDEX('Калькуляция (МИ)'!$AJ$25:$BC$603,,MATCH(AD$8,'Калькуляция (МИ)'!$AJ$8:$BC$8,0)),'Калькуляция (МИ)'!$F$25:$F$603,$F184,'Калькуляция (МИ)'!$G$25:$G$603,$G184))))</f>
        <v>68.7509459590162</v>
      </c>
      <c r="AE184" s="906">
        <f>IF(AND(method_reg="Метод индексации",god&lt;&gt;first_year),_xlfn.SUMIFS(INDEX('Калькуляция (МИ корр)'!$AJ$25:$BC$606,,MATCH(AE$8,'Калькуляция (МИ корр)'!$AJ$8:$BC$8,0)),'Калькуляция (МИ корр)'!$F$25:$F$606,$F184,'Калькуляция (МИ корр)'!$G$25:$G$606,$G184),IF(method_reg="Метод экономически обоснованных расходов",_xlfn.SUMIFS('Калькуляция (МЭОР)'!$AK$25:$AK$367,'Калькуляция (МЭОР)'!$F$25:$F$367,$F184,'Калькуляция (МЭОР)'!$G$25:$G$367,$G184),IF(method_reg="Метод сравнения аналогов",_xlfn.SUMIFS('Калькуляция (МСА)'!$AF$25:$AF$103,'Калькуляция (МСА)'!$F$25:$F$103,$F184,'Калькуляция (МСА)'!$G$25:$G$103,$G184),_xlfn.SUMIFS(INDEX('Калькуляция (МИ)'!$AJ$25:$BC$603,,MATCH(AE$8,'Калькуляция (МИ)'!$AJ$8:$BC$8,0)),'Калькуляция (МИ)'!$F$25:$F$603,$F184,'Калькуляция (МИ)'!$G$25:$G$603,$G184))))</f>
        <v>45.43</v>
      </c>
      <c r="AF184" s="292">
        <f>IF(AD184=0,0,(AE184-AD184)/AD184*100)</f>
        <v>-33.9209092088977</v>
      </c>
      <c r="AG184" s="4576">
        <f>IF(AND(method_reg="Метод индексации",god&lt;&gt;first_year),_xlfn.SUMIFS(INDEX('Калькуляция (МИ корр)'!$AJ$25:$BC$606,,MATCH(AG$8,'Калькуляция (МИ корр)'!$AJ$8:$BC$8,0)),'Калькуляция (МИ корр)'!$F$25:$F$606,$F184,'Калькуляция (МИ корр)'!$G$25:$G$606,$G184),IF(method_reg="Метод экономически обоснованных расходов",_xlfn.SUMIFS('Калькуляция (МЭОР)'!$AJ$25:$AJ$367,'Калькуляция (МЭОР)'!$F$25:$F$367,$F184,'Калькуляция (МЭОР)'!$G$25:$G$367,$G184),IF(method_reg="Метод сравнения аналогов",_xlfn.SUMIFS('Калькуляция (МСА)'!$AE$25:$AE$103,'Калькуляция (МСА)'!$F$25:$F$103,$F184,'Калькуляция (МСА)'!$G$25:$G$103,$G184),_xlfn.SUMIFS(INDEX('Калькуляция (МИ)'!$AJ$25:$BC$603,,MATCH(AG$8,'Калькуляция (МИ)'!$AJ$8:$BC$8,0)),'Калькуляция (МИ)'!$F$25:$F$603,$F184,'Калькуляция (МИ)'!$G$25:$G$603,$G184))))</f>
        <v>0</v>
      </c>
      <c r="AH184" s="4576">
        <f>IF(AND(method_reg="Метод индексации",god&lt;&gt;first_year),_xlfn.SUMIFS(INDEX('Калькуляция (МИ корр)'!$AJ$25:$BC$606,,MATCH(AH$8,'Калькуляция (МИ корр)'!$AJ$8:$BC$8,0)),'Калькуляция (МИ корр)'!$F$25:$F$606,$F184,'Калькуляция (МИ корр)'!$G$25:$G$606,$G184),IF(method_reg="Метод экономически обоснованных расходов",_xlfn.SUMIFS('Калькуляция (МЭОР)'!$AK$25:$AK$367,'Калькуляция (МЭОР)'!$F$25:$F$367,$F184,'Калькуляция (МЭОР)'!$G$25:$G$367,$G184),IF(method_reg="Метод сравнения аналогов",_xlfn.SUMIFS('Калькуляция (МСА)'!$AF$25:$AF$103,'Калькуляция (МСА)'!$F$25:$F$103,$F184,'Калькуляция (МСА)'!$G$25:$G$103,$G184),_xlfn.SUMIFS(INDEX('Калькуляция (МИ)'!$AJ$25:$BC$603,,MATCH(AH$8,'Калькуляция (МИ)'!$AJ$8:$BC$8,0)),'Калькуляция (МИ)'!$F$25:$F$603,$F184,'Калькуляция (МИ)'!$G$25:$G$603,$G184))))</f>
        <v>50.8799995500676</v>
      </c>
      <c r="AI184" s="292">
        <f>IF(AG184=0,0,(AH184-AG184)/AG184*100)</f>
        <v>0</v>
      </c>
      <c r="AJ184" s="4576">
        <f>IF(AND(method_reg="Метод индексации",god&lt;&gt;first_year),_xlfn.SUMIFS(INDEX('Калькуляция (МИ корр)'!$AJ$25:$BC$606,,MATCH(AJ$8,'Калькуляция (МИ корр)'!$AJ$8:$BC$8,0)),'Калькуляция (МИ корр)'!$F$25:$F$606,$F184,'Калькуляция (МИ корр)'!$G$25:$G$606,$G184),IF(method_reg="Метод экономически обоснованных расходов",_xlfn.SUMIFS('Калькуляция (МЭОР)'!$AJ$25:$AJ$367,'Калькуляция (МЭОР)'!$F$25:$F$367,$F184,'Калькуляция (МЭОР)'!$G$25:$G$367,$G184),IF(method_reg="Метод сравнения аналогов",_xlfn.SUMIFS('Калькуляция (МСА)'!$AE$25:$AE$103,'Калькуляция (МСА)'!$F$25:$F$103,$F184,'Калькуляция (МСА)'!$G$25:$G$103,$G184),_xlfn.SUMIFS(INDEX('Калькуляция (МИ)'!$AJ$25:$BC$603,,MATCH(AJ$8,'Калькуляция (МИ)'!$AJ$8:$BC$8,0)),'Калькуляция (МИ)'!$F$25:$F$603,$F184,'Калькуляция (МИ)'!$G$25:$G$603,$G184))))</f>
        <v>0</v>
      </c>
      <c r="AK184" s="4576">
        <f>IF(AND(method_reg="Метод индексации",god&lt;&gt;first_year),_xlfn.SUMIFS(INDEX('Калькуляция (МИ корр)'!$AJ$25:$BC$606,,MATCH(AK$8,'Калькуляция (МИ корр)'!$AJ$8:$BC$8,0)),'Калькуляция (МИ корр)'!$F$25:$F$606,$F184,'Калькуляция (МИ корр)'!$G$25:$G$606,$G184),IF(method_reg="Метод экономически обоснованных расходов",_xlfn.SUMIFS('Калькуляция (МЭОР)'!$AK$25:$AK$367,'Калькуляция (МЭОР)'!$F$25:$F$367,$F184,'Калькуляция (МЭОР)'!$G$25:$G$367,$G184),IF(method_reg="Метод сравнения аналогов",_xlfn.SUMIFS('Калькуляция (МСА)'!$AF$25:$AF$103,'Калькуляция (МСА)'!$F$25:$F$103,$F184,'Калькуляция (МСА)'!$G$25:$G$103,$G184),_xlfn.SUMIFS(INDEX('Калькуляция (МИ)'!$AJ$25:$BC$603,,MATCH(AK$8,'Калькуляция (МИ)'!$AJ$8:$BC$8,0)),'Калькуляция (МИ)'!$F$25:$F$603,$F184,'Калькуляция (МИ)'!$G$25:$G$603,$G184))))</f>
        <v>0</v>
      </c>
      <c r="AL184" s="292">
        <f>IF(AJ184=0,0,(AK184-AJ184)/AJ184*100)</f>
        <v>0</v>
      </c>
      <c r="AM184" s="4576">
        <f>IF(AND(method_reg="Метод индексации",god&lt;&gt;first_year),_xlfn.SUMIFS(INDEX('Калькуляция (МИ корр)'!$AJ$25:$BC$606,,MATCH(AM$8,'Калькуляция (МИ корр)'!$AJ$8:$BC$8,0)),'Калькуляция (МИ корр)'!$F$25:$F$606,$F184,'Калькуляция (МИ корр)'!$G$25:$G$606,$G184),IF(method_reg="Метод экономически обоснованных расходов",_xlfn.SUMIFS('Калькуляция (МЭОР)'!$AJ$25:$AJ$367,'Калькуляция (МЭОР)'!$F$25:$F$367,$F184,'Калькуляция (МЭОР)'!$G$25:$G$367,$G184),IF(method_reg="Метод сравнения аналогов",_xlfn.SUMIFS('Калькуляция (МСА)'!$AE$25:$AE$103,'Калькуляция (МСА)'!$F$25:$F$103,$F184,'Калькуляция (МСА)'!$G$25:$G$103,$G184),_xlfn.SUMIFS(INDEX('Калькуляция (МИ)'!$AJ$25:$BC$603,,MATCH(AM$8,'Калькуляция (МИ)'!$AJ$8:$BC$8,0)),'Калькуляция (МИ)'!$F$25:$F$603,$F184,'Калькуляция (МИ)'!$G$25:$G$603,$G184))))</f>
        <v>0</v>
      </c>
      <c r="AN184" s="4576">
        <f>IF(AND(method_reg="Метод индексации",god&lt;&gt;first_year),_xlfn.SUMIFS(INDEX('Калькуляция (МИ корр)'!$AJ$25:$BC$606,,MATCH(AN$8,'Калькуляция (МИ корр)'!$AJ$8:$BC$8,0)),'Калькуляция (МИ корр)'!$F$25:$F$606,$F184,'Калькуляция (МИ корр)'!$G$25:$G$606,$G184),IF(method_reg="Метод экономически обоснованных расходов",_xlfn.SUMIFS('Калькуляция (МЭОР)'!$AK$25:$AK$367,'Калькуляция (МЭОР)'!$F$25:$F$367,$F184,'Калькуляция (МЭОР)'!$G$25:$G$367,$G184),IF(method_reg="Метод сравнения аналогов",_xlfn.SUMIFS('Калькуляция (МСА)'!$AF$25:$AF$103,'Калькуляция (МСА)'!$F$25:$F$103,$F184,'Калькуляция (МСА)'!$G$25:$G$103,$G184),_xlfn.SUMIFS(INDEX('Калькуляция (МИ)'!$AJ$25:$BC$603,,MATCH(AN$8,'Калькуляция (МИ)'!$AJ$8:$BC$8,0)),'Калькуляция (МИ)'!$F$25:$F$603,$F184,'Калькуляция (МИ)'!$G$25:$G$603,$G184))))</f>
        <v>0</v>
      </c>
      <c r="AO184" s="292">
        <f>IF(AM184=0,0,(AN184-AM184)/AM184*100)</f>
        <v>0</v>
      </c>
      <c r="AP184" s="4576">
        <f>IF(AND(method_reg="Метод индексации",god&lt;&gt;first_year),_xlfn.SUMIFS(INDEX('Калькуляция (МИ корр)'!$AJ$25:$BC$606,,MATCH(AP$8,'Калькуляция (МИ корр)'!$AJ$8:$BC$8,0)),'Калькуляция (МИ корр)'!$F$25:$F$606,$F184,'Калькуляция (МИ корр)'!$G$25:$G$606,$G184),IF(method_reg="Метод экономически обоснованных расходов",_xlfn.SUMIFS('Калькуляция (МЭОР)'!$AJ$25:$AJ$367,'Калькуляция (МЭОР)'!$F$25:$F$367,$F184,'Калькуляция (МЭОР)'!$G$25:$G$367,$G184),IF(method_reg="Метод сравнения аналогов",_xlfn.SUMIFS('Калькуляция (МСА)'!$AE$25:$AE$103,'Калькуляция (МСА)'!$F$25:$F$103,$F184,'Калькуляция (МСА)'!$G$25:$G$103,$G184),_xlfn.SUMIFS(INDEX('Калькуляция (МИ)'!$AJ$25:$BC$603,,MATCH(AP$8,'Калькуляция (МИ)'!$AJ$8:$BC$8,0)),'Калькуляция (МИ)'!$F$25:$F$603,$F184,'Калькуляция (МИ)'!$G$25:$G$603,$G184))))</f>
        <v>0</v>
      </c>
      <c r="AQ184" s="4576">
        <f>IF(AND(method_reg="Метод индексации",god&lt;&gt;first_year),_xlfn.SUMIFS(INDEX('Калькуляция (МИ корр)'!$AJ$25:$BC$606,,MATCH(AQ$8,'Калькуляция (МИ корр)'!$AJ$8:$BC$8,0)),'Калькуляция (МИ корр)'!$F$25:$F$606,$F184,'Калькуляция (МИ корр)'!$G$25:$G$606,$G184),IF(method_reg="Метод экономически обоснованных расходов",_xlfn.SUMIFS('Калькуляция (МЭОР)'!$AK$25:$AK$367,'Калькуляция (МЭОР)'!$F$25:$F$367,$F184,'Калькуляция (МЭОР)'!$G$25:$G$367,$G184),IF(method_reg="Метод сравнения аналогов",_xlfn.SUMIFS('Калькуляция (МСА)'!$AF$25:$AF$103,'Калькуляция (МСА)'!$F$25:$F$103,$F184,'Калькуляция (МСА)'!$G$25:$G$103,$G184),_xlfn.SUMIFS(INDEX('Калькуляция (МИ)'!$AJ$25:$BC$603,,MATCH(AQ$8,'Калькуляция (МИ)'!$AJ$8:$BC$8,0)),'Калькуляция (МИ)'!$F$25:$F$603,$F184,'Калькуляция (МИ)'!$G$25:$G$603,$G184))))</f>
        <v>0</v>
      </c>
      <c r="AR184" s="292">
        <f>IF(AP184=0,0,(AQ184-AP184)/AP184*100)</f>
        <v>0</v>
      </c>
      <c r="AS184" s="4576">
        <f>IF(AND(method_reg="Метод индексации",god&lt;&gt;first_year),_xlfn.SUMIFS(INDEX('Калькуляция (МИ корр)'!$AJ$25:$BC$606,,MATCH(AS$8,'Калькуляция (МИ корр)'!$AJ$8:$BC$8,0)),'Калькуляция (МИ корр)'!$F$25:$F$606,$F184,'Калькуляция (МИ корр)'!$G$25:$G$606,$G184),IF(method_reg="Метод экономически обоснованных расходов",_xlfn.SUMIFS('Калькуляция (МЭОР)'!$AJ$25:$AJ$367,'Калькуляция (МЭОР)'!$F$25:$F$367,$F184,'Калькуляция (МЭОР)'!$G$25:$G$367,$G184),IF(method_reg="Метод сравнения аналогов",_xlfn.SUMIFS('Калькуляция (МСА)'!$AE$25:$AE$103,'Калькуляция (МСА)'!$F$25:$F$103,$F184,'Калькуляция (МСА)'!$G$25:$G$103,$G184),_xlfn.SUMIFS(INDEX('Калькуляция (МИ)'!$AJ$25:$BC$603,,MATCH(AS$8,'Калькуляция (МИ)'!$AJ$8:$BC$8,0)),'Калькуляция (МИ)'!$F$25:$F$603,$F184,'Калькуляция (МИ)'!$G$25:$G$603,$G184))))</f>
        <v>0</v>
      </c>
      <c r="AT184" s="4576">
        <f>IF(AND(method_reg="Метод индексации",god&lt;&gt;first_year),_xlfn.SUMIFS(INDEX('Калькуляция (МИ корр)'!$AJ$25:$BC$606,,MATCH(AT$8,'Калькуляция (МИ корр)'!$AJ$8:$BC$8,0)),'Калькуляция (МИ корр)'!$F$25:$F$606,$F184,'Калькуляция (МИ корр)'!$G$25:$G$606,$G184),IF(method_reg="Метод экономически обоснованных расходов",_xlfn.SUMIFS('Калькуляция (МЭОР)'!$AK$25:$AK$367,'Калькуляция (МЭОР)'!$F$25:$F$367,$F184,'Калькуляция (МЭОР)'!$G$25:$G$367,$G184),IF(method_reg="Метод сравнения аналогов",_xlfn.SUMIFS('Калькуляция (МСА)'!$AF$25:$AF$103,'Калькуляция (МСА)'!$F$25:$F$103,$F184,'Калькуляция (МСА)'!$G$25:$G$103,$G184),_xlfn.SUMIFS(INDEX('Калькуляция (МИ)'!$AJ$25:$BC$603,,MATCH(AT$8,'Калькуляция (МИ)'!$AJ$8:$BC$8,0)),'Калькуляция (МИ)'!$F$25:$F$603,$F184,'Калькуляция (МИ)'!$G$25:$G$603,$G184))))</f>
        <v>0</v>
      </c>
      <c r="AU184" s="292">
        <f>IF(AS184=0,0,(AT184-AS184)/AS184*100)</f>
        <v>0</v>
      </c>
      <c r="AV184" s="4576">
        <f>IF(AND(method_reg="Метод индексации",god&lt;&gt;first_year),_xlfn.SUMIFS(INDEX('Калькуляция (МИ корр)'!$AJ$25:$BC$606,,MATCH(AV$8,'Калькуляция (МИ корр)'!$AJ$8:$BC$8,0)),'Калькуляция (МИ корр)'!$F$25:$F$606,$F184,'Калькуляция (МИ корр)'!$G$25:$G$606,$G184),IF(method_reg="Метод экономически обоснованных расходов",_xlfn.SUMIFS('Калькуляция (МЭОР)'!$AJ$25:$AJ$367,'Калькуляция (МЭОР)'!$F$25:$F$367,$F184,'Калькуляция (МЭОР)'!$G$25:$G$367,$G184),IF(method_reg="Метод сравнения аналогов",_xlfn.SUMIFS('Калькуляция (МСА)'!$AE$25:$AE$103,'Калькуляция (МСА)'!$F$25:$F$103,$F184,'Калькуляция (МСА)'!$G$25:$G$103,$G184),_xlfn.SUMIFS(INDEX('Калькуляция (МИ)'!$AJ$25:$BC$603,,MATCH(AV$8,'Калькуляция (МИ)'!$AJ$8:$BC$8,0)),'Калькуляция (МИ)'!$F$25:$F$603,$F184,'Калькуляция (МИ)'!$G$25:$G$603,$G184))))</f>
        <v>0</v>
      </c>
      <c r="AW184" s="4576">
        <f>IF(AND(method_reg="Метод индексации",god&lt;&gt;first_year),_xlfn.SUMIFS(INDEX('Калькуляция (МИ корр)'!$AJ$25:$BC$606,,MATCH(AW$8,'Калькуляция (МИ корр)'!$AJ$8:$BC$8,0)),'Калькуляция (МИ корр)'!$F$25:$F$606,$F184,'Калькуляция (МИ корр)'!$G$25:$G$606,$G184),IF(method_reg="Метод экономически обоснованных расходов",_xlfn.SUMIFS('Калькуляция (МЭОР)'!$AK$25:$AK$367,'Калькуляция (МЭОР)'!$F$25:$F$367,$F184,'Калькуляция (МЭОР)'!$G$25:$G$367,$G184),IF(method_reg="Метод сравнения аналогов",_xlfn.SUMIFS('Калькуляция (МСА)'!$AF$25:$AF$103,'Калькуляция (МСА)'!$F$25:$F$103,$F184,'Калькуляция (МСА)'!$G$25:$G$103,$G184),_xlfn.SUMIFS(INDEX('Калькуляция (МИ)'!$AJ$25:$BC$603,,MATCH(AW$8,'Калькуляция (МИ)'!$AJ$8:$BC$8,0)),'Калькуляция (МИ)'!$F$25:$F$603,$F184,'Калькуляция (МИ)'!$G$25:$G$603,$G184))))</f>
        <v>0</v>
      </c>
      <c r="AX184" s="292">
        <f>IF(AV184=0,0,(AW184-AV184)/AV184*100)</f>
        <v>0</v>
      </c>
      <c r="AY184" s="4576">
        <f>IF(AND(method_reg="Метод индексации",god&lt;&gt;first_year),_xlfn.SUMIFS(INDEX('Калькуляция (МИ корр)'!$AJ$25:$BC$606,,MATCH(AY$8,'Калькуляция (МИ корр)'!$AJ$8:$BC$8,0)),'Калькуляция (МИ корр)'!$F$25:$F$606,$F184,'Калькуляция (МИ корр)'!$G$25:$G$606,$G184),IF(method_reg="Метод экономически обоснованных расходов",_xlfn.SUMIFS('Калькуляция (МЭОР)'!$AJ$25:$AJ$367,'Калькуляция (МЭОР)'!$F$25:$F$367,$F184,'Калькуляция (МЭОР)'!$G$25:$G$367,$G184),IF(method_reg="Метод сравнения аналогов",_xlfn.SUMIFS('Калькуляция (МСА)'!$AE$25:$AE$103,'Калькуляция (МСА)'!$F$25:$F$103,$F184,'Калькуляция (МСА)'!$G$25:$G$103,$G184),_xlfn.SUMIFS(INDEX('Калькуляция (МИ)'!$AJ$25:$BC$603,,MATCH(AY$8,'Калькуляция (МИ)'!$AJ$8:$BC$8,0)),'Калькуляция (МИ)'!$F$25:$F$603,$F184,'Калькуляция (МИ)'!$G$25:$G$603,$G184))))</f>
        <v>0</v>
      </c>
      <c r="AZ184" s="4576">
        <f>IF(AND(method_reg="Метод индексации",god&lt;&gt;first_year),_xlfn.SUMIFS(INDEX('Калькуляция (МИ корр)'!$AJ$25:$BC$606,,MATCH(AZ$8,'Калькуляция (МИ корр)'!$AJ$8:$BC$8,0)),'Калькуляция (МИ корр)'!$F$25:$F$606,$F184,'Калькуляция (МИ корр)'!$G$25:$G$606,$G184),IF(method_reg="Метод экономически обоснованных расходов",_xlfn.SUMIFS('Калькуляция (МЭОР)'!$AK$25:$AK$367,'Калькуляция (МЭОР)'!$F$25:$F$367,$F184,'Калькуляция (МЭОР)'!$G$25:$G$367,$G184),IF(method_reg="Метод сравнения аналогов",_xlfn.SUMIFS('Калькуляция (МСА)'!$AF$25:$AF$103,'Калькуляция (МСА)'!$F$25:$F$103,$F184,'Калькуляция (МСА)'!$G$25:$G$103,$G184),_xlfn.SUMIFS(INDEX('Калькуляция (МИ)'!$AJ$25:$BC$603,,MATCH(AZ$8,'Калькуляция (МИ)'!$AJ$8:$BC$8,0)),'Калькуляция (МИ)'!$F$25:$F$603,$F184,'Калькуляция (МИ)'!$G$25:$G$603,$G184))))</f>
        <v>0</v>
      </c>
      <c r="BA184" s="292">
        <f>IF(AY184=0,0,(AZ184-AY184)/AY184*100)</f>
        <v>0</v>
      </c>
      <c r="BB184" s="4576">
        <f>IF(AND(method_reg="Метод индексации",god&lt;&gt;first_year),_xlfn.SUMIFS(INDEX('Калькуляция (МИ корр)'!$AJ$25:$BC$606,,MATCH(BB$8,'Калькуляция (МИ корр)'!$AJ$8:$BC$8,0)),'Калькуляция (МИ корр)'!$F$25:$F$606,$F184,'Калькуляция (МИ корр)'!$G$25:$G$606,$G184),IF(method_reg="Метод экономически обоснованных расходов",_xlfn.SUMIFS('Калькуляция (МЭОР)'!$AJ$25:$AJ$367,'Калькуляция (МЭОР)'!$F$25:$F$367,$F184,'Калькуляция (МЭОР)'!$G$25:$G$367,$G184),IF(method_reg="Метод сравнения аналогов",_xlfn.SUMIFS('Калькуляция (МСА)'!$AE$25:$AE$103,'Калькуляция (МСА)'!$F$25:$F$103,$F184,'Калькуляция (МСА)'!$G$25:$G$103,$G184),_xlfn.SUMIFS(INDEX('Калькуляция (МИ)'!$AJ$25:$BC$603,,MATCH(BB$8,'Калькуляция (МИ)'!$AJ$8:$BC$8,0)),'Калькуляция (МИ)'!$F$25:$F$603,$F184,'Калькуляция (МИ)'!$G$25:$G$603,$G184))))</f>
        <v>0</v>
      </c>
      <c r="BC184" s="4576">
        <f>IF(AND(method_reg="Метод индексации",god&lt;&gt;first_year),_xlfn.SUMIFS(INDEX('Калькуляция (МИ корр)'!$AJ$25:$BC$606,,MATCH(BC$8,'Калькуляция (МИ корр)'!$AJ$8:$BC$8,0)),'Калькуляция (МИ корр)'!$F$25:$F$606,$F184,'Калькуляция (МИ корр)'!$G$25:$G$606,$G184),IF(method_reg="Метод экономически обоснованных расходов",_xlfn.SUMIFS('Калькуляция (МЭОР)'!$AK$25:$AK$367,'Калькуляция (МЭОР)'!$F$25:$F$367,$F184,'Калькуляция (МЭОР)'!$G$25:$G$367,$G184),IF(method_reg="Метод сравнения аналогов",_xlfn.SUMIFS('Калькуляция (МСА)'!$AF$25:$AF$103,'Калькуляция (МСА)'!$F$25:$F$103,$F184,'Калькуляция (МСА)'!$G$25:$G$103,$G184),_xlfn.SUMIFS(INDEX('Калькуляция (МИ)'!$AJ$25:$BC$603,,MATCH(BC$8,'Калькуляция (МИ)'!$AJ$8:$BC$8,0)),'Калькуляция (МИ)'!$F$25:$F$603,$F184,'Калькуляция (МИ)'!$G$25:$G$603,$G184))))</f>
        <v>0</v>
      </c>
      <c r="BD184" s="292">
        <f>IF(BB184=0,0,(BC184-BB184)/BB184*100)</f>
        <v>0</v>
      </c>
      <c r="BE184" s="4576">
        <f>IF(AND(method_reg="Метод индексации",god&lt;&gt;first_year),_xlfn.SUMIFS(INDEX('Калькуляция (МИ корр)'!$AJ$25:$BC$606,,MATCH(BE$8,'Калькуляция (МИ корр)'!$AJ$8:$BC$8,0)),'Калькуляция (МИ корр)'!$F$25:$F$606,$F184,'Калькуляция (МИ корр)'!$G$25:$G$606,$G184),IF(method_reg="Метод экономически обоснованных расходов",_xlfn.SUMIFS('Калькуляция (МЭОР)'!$AJ$25:$AJ$367,'Калькуляция (МЭОР)'!$F$25:$F$367,$F184,'Калькуляция (МЭОР)'!$G$25:$G$367,$G184),IF(method_reg="Метод сравнения аналогов",_xlfn.SUMIFS('Калькуляция (МСА)'!$AE$25:$AE$103,'Калькуляция (МСА)'!$F$25:$F$103,$F184,'Калькуляция (МСА)'!$G$25:$G$103,$G184),_xlfn.SUMIFS(INDEX('Калькуляция (МИ)'!$AJ$25:$BC$603,,MATCH(BE$8,'Калькуляция (МИ)'!$AJ$8:$BC$8,0)),'Калькуляция (МИ)'!$F$25:$F$603,$F184,'Калькуляция (МИ)'!$G$25:$G$603,$G184))))</f>
        <v>0</v>
      </c>
      <c r="BF184" s="4576">
        <f>IF(AND(method_reg="Метод индексации",god&lt;&gt;first_year),_xlfn.SUMIFS(INDEX('Калькуляция (МИ корр)'!$AJ$25:$BC$606,,MATCH(BF$8,'Калькуляция (МИ корр)'!$AJ$8:$BC$8,0)),'Калькуляция (МИ корр)'!$F$25:$F$606,$F184,'Калькуляция (МИ корр)'!$G$25:$G$606,$G184),IF(method_reg="Метод экономически обоснованных расходов",_xlfn.SUMIFS('Калькуляция (МЭОР)'!$AK$25:$AK$367,'Калькуляция (МЭОР)'!$F$25:$F$367,$F184,'Калькуляция (МЭОР)'!$G$25:$G$367,$G184),IF(method_reg="Метод сравнения аналогов",_xlfn.SUMIFS('Калькуляция (МСА)'!$AF$25:$AF$103,'Калькуляция (МСА)'!$F$25:$F$103,$F184,'Калькуляция (МСА)'!$G$25:$G$103,$G184),_xlfn.SUMIFS(INDEX('Калькуляция (МИ)'!$AJ$25:$BC$603,,MATCH(BF$8,'Калькуляция (МИ)'!$AJ$8:$BC$8,0)),'Калькуляция (МИ)'!$F$25:$F$603,$F184,'Калькуляция (МИ)'!$G$25:$G$603,$G184))))</f>
        <v>0</v>
      </c>
      <c r="BG184" s="292">
        <f>IF(BE184=0,0,(BF184-BE184)/BE184*100)</f>
        <v>0</v>
      </c>
      <c r="BH184" s="4576"/>
      <c r="BI184" s="4576"/>
      <c r="BJ184" s="292">
        <f>IF(BH184=0,0,(BI184-BH184)/BH184*100)</f>
        <v>0</v>
      </c>
      <c r="BK184" s="4576"/>
      <c r="BL184" s="4576"/>
      <c r="BM184" s="292">
        <f>IF(BK184=0,0,(BL184-BK184)/BK184*100)</f>
        <v>0</v>
      </c>
      <c r="BN184" s="4576"/>
      <c r="BO184" s="4576"/>
      <c r="BP184" s="292">
        <f>IF(BN184=0,0,(BO184-BN184)/BN184*100)</f>
        <v>0</v>
      </c>
      <c r="BQ184" s="4576"/>
      <c r="BR184" s="4576"/>
      <c r="BS184" s="292">
        <f>IF(BQ184=0,0,(BR184-BQ184)/BQ184*100)</f>
        <v>0</v>
      </c>
      <c r="BT184" s="4576"/>
      <c r="BU184" s="4576"/>
      <c r="BV184" s="292">
        <f>IF(BT184=0,0,(BU184-BT184)/BT184*100)</f>
        <v>0</v>
      </c>
      <c r="BW184" s="4576"/>
      <c r="BX184" s="4576"/>
      <c r="BY184" s="292">
        <f>IF(BW184=0,0,(BX184-BW184)/BW184*100)</f>
        <v>0</v>
      </c>
      <c r="BZ184" s="4576"/>
      <c r="CA184" s="4576"/>
      <c r="CB184" s="292">
        <f>IF(BZ184=0,0,(CA184-BZ184)/BZ184*100)</f>
        <v>0</v>
      </c>
      <c r="CC184" s="4576"/>
      <c r="CD184" s="4576"/>
      <c r="CE184" s="292">
        <f>IF(CC184=0,0,(CD184-CC184)/CC184*100)</f>
        <v>0</v>
      </c>
      <c r="CF184" s="4576"/>
      <c r="CG184" s="4576"/>
      <c r="CH184" s="292">
        <f>IF(CF184=0,0,(CG184-CF184)/CF184*100)</f>
        <v>0</v>
      </c>
      <c r="CI184" s="4576"/>
      <c r="CJ184" s="4576"/>
      <c r="CK184" s="292">
        <f>IF(CI184=0,0,(CJ184-CI184)/CI184*100)</f>
        <v>0</v>
      </c>
      <c r="CL184" s="4576"/>
      <c r="CM184" s="4576"/>
      <c r="CN184" s="292">
        <f>IF(CL184=0,0,(CM184-CL184)/CL184*100)</f>
        <v>0</v>
      </c>
      <c r="CO184" s="4576"/>
      <c r="CP184" s="4576"/>
      <c r="CQ184" s="292">
        <f>IF(CO184=0,0,(CP184-CO184)/CO184*100)</f>
        <v>0</v>
      </c>
      <c r="CR184" s="4576"/>
      <c r="CS184" s="4576"/>
      <c r="CT184" s="292">
        <f>IF(CR184=0,0,(CS184-CR184)/CR184*100)</f>
        <v>0</v>
      </c>
      <c r="CU184" s="4576"/>
      <c r="CV184" s="4576"/>
      <c r="CW184" s="292">
        <f>IF(CU184=0,0,(CV184-CU184)/CU184*100)</f>
        <v>0</v>
      </c>
      <c r="CX184" s="4576"/>
      <c r="CY184" s="4576"/>
      <c r="CZ184" s="292">
        <f>IF(CX184=0,0,(CY184-CX184)/CX184*100)</f>
        <v>0</v>
      </c>
      <c r="DA184" s="4576"/>
      <c r="DB184" s="4576"/>
      <c r="DC184" s="292">
        <f>IF(DA184=0,0,(DB184-DA184)/DA184*100)</f>
        <v>0</v>
      </c>
      <c r="DD184" s="4576"/>
      <c r="DE184" s="4576"/>
      <c r="DF184" s="292">
        <f>IF(DD184=0,0,(DE184-DD184)/DD184*100)</f>
        <v>0</v>
      </c>
      <c r="DG184" s="4578"/>
      <c r="DH184" s="4578"/>
      <c r="DI184" s="292">
        <f>IF(DG184=0,0,(DH184-DG184)/DG184*100)</f>
        <v>0</v>
      </c>
      <c r="DJ184" s="4578"/>
      <c r="DK184" s="4578"/>
      <c r="DL184" s="292">
        <f>IF(DJ184=0,0,(DK184-DJ184)/DJ184*100)</f>
        <v>0</v>
      </c>
      <c r="DM184" s="4578"/>
      <c r="DN184" s="4578"/>
      <c r="DO184" s="292">
        <f>IF(DM184=0,0,(DN184-DM184)/DM184*100)</f>
        <v>0</v>
      </c>
      <c r="DP184" s="4578"/>
      <c r="DQ184" s="4578"/>
      <c r="DR184" s="292">
        <f>IF(DP184=0,0,(DQ184-DP184)/DP184*100)</f>
        <v>0</v>
      </c>
      <c r="DS184" s="4578"/>
      <c r="DT184" s="4578"/>
      <c r="DU184" s="292">
        <f>IF(DS184=0,0,(DT184-DS184)/DS184*100)</f>
        <v>0</v>
      </c>
      <c r="DV184" s="4578"/>
      <c r="DW184" s="4578"/>
      <c r="DX184" s="292">
        <f>IF(DV184=0,0,(DW184-DV184)/DV184*100)</f>
        <v>0</v>
      </c>
      <c r="DY184" s="4578"/>
      <c r="DZ184" s="4578"/>
      <c r="EA184" s="292">
        <f>IF(DY184=0,0,(DZ184-DY184)/DY184*100)</f>
        <v>0</v>
      </c>
      <c r="EB184" s="4578"/>
      <c r="EC184" s="4578"/>
      <c r="ED184" s="292">
        <f>IF(EB184=0,0,(EC184-EB184)/EB184*100)</f>
        <v>0</v>
      </c>
      <c r="EE184" s="4578"/>
      <c r="EF184" s="4578"/>
      <c r="EG184" s="292">
        <f>IF(EE184=0,0,(EF184-EE184)/EE184*100)</f>
        <v>0</v>
      </c>
      <c r="EH184" s="4578"/>
      <c r="EI184" s="4578"/>
      <c r="EJ184" s="292">
        <f>IF(EH184=0,0,(EI184-EH184)/EH184*100)</f>
        <v>0</v>
      </c>
      <c r="EK184" s="4578"/>
      <c r="EL184" s="4578"/>
      <c r="EM184" s="292">
        <f>IF(EK184=0,0,(EL184-EK184)/EK184*100)</f>
        <v>0</v>
      </c>
      <c r="EN184" s="4578"/>
      <c r="EO184" s="4578"/>
      <c r="EP184" s="292">
        <f>IF(EN184=0,0,(EO184-EN184)/EN184*100)</f>
        <v>0</v>
      </c>
      <c r="EQ184" s="4578"/>
      <c r="ER184" s="4578"/>
      <c r="ES184" s="292">
        <f>IF(EQ184=0,0,(ER184-EQ184)/EQ184*100)</f>
        <v>0</v>
      </c>
      <c r="ET184" s="4578"/>
      <c r="EU184" s="4578"/>
      <c r="EV184" s="292">
        <f>IF(ET184=0,0,(EU184-ET184)/ET184*100)</f>
        <v>0</v>
      </c>
      <c r="EW184" s="4578"/>
      <c r="EX184" s="4578"/>
      <c r="EY184" s="292">
        <f>IF(EW184=0,0,(EX184-EW184)/EW184*100)</f>
        <v>0</v>
      </c>
      <c r="EZ184" s="4578"/>
      <c r="FA184" s="4578"/>
      <c r="FB184" s="292">
        <f>IF(EZ184=0,0,(FA184-EZ184)/EZ184*100)</f>
        <v>0</v>
      </c>
      <c r="FC184" s="4578"/>
      <c r="FD184" s="4578"/>
      <c r="FE184" s="292">
        <f>IF(FC184=0,0,(FD184-FC184)/FC184*100)</f>
        <v>0</v>
      </c>
      <c r="FF184" s="4578"/>
      <c r="FG184" s="4578"/>
      <c r="FH184" s="292">
        <f>IF(FF184=0,0,(FG184-FF184)/FF184*100)</f>
        <v>0</v>
      </c>
      <c r="FI184" s="4578"/>
      <c r="FJ184" s="4578"/>
      <c r="FK184" s="292">
        <f>IF(FI184=0,0,(FJ184-FI184)/FI184*100)</f>
        <v>0</v>
      </c>
      <c r="FL184" s="4578"/>
      <c r="FM184" s="4578"/>
      <c r="FN184" s="292">
        <f>IF(FL184=0,0,(FM184-FL184)/FL184*100)</f>
        <v>0</v>
      </c>
      <c r="FO184" s="4578"/>
      <c r="FP184" s="4578"/>
      <c r="FQ184" s="292">
        <f>IF(FO184=0,0,(FP184-FO184)/FO184*100)</f>
        <v>0</v>
      </c>
      <c r="FR184" s="4578"/>
      <c r="FS184" s="4578"/>
      <c r="FT184" s="292">
        <f>IF(FR184=0,0,(FS184-FR184)/FR184*100)</f>
        <v>0</v>
      </c>
      <c r="FU184" s="4578"/>
      <c r="FV184" s="4578"/>
      <c r="FW184" s="292">
        <f>IF(FU184=0,0,(FV184-FU184)/FU184*100)</f>
        <v>0</v>
      </c>
      <c r="FX184" s="288"/>
      <c r="FY184" s="288"/>
      <c r="FZ184" s="1063" t="s">
        <v>1863</v>
      </c>
      <c r="GA184" s="1063"/>
      <c r="GB184" s="1063"/>
      <c r="GC184" s="1064"/>
      <c r="GD184" s="1064"/>
    </row>
    <row s="5087" customFormat="1" customHeight="1" ht="31.171875">
      <c r="A185" s="904"/>
      <c r="B185" s="932" cm="1" t="str">
        <f t="array" ref="B185:B185">B184</f>
        <v>true</v>
      </c>
      <c r="C185" s="904"/>
      <c r="D185" s="904"/>
      <c r="E185" s="905">
        <v>24.5</v>
      </c>
      <c r="F185" s="50" cm="1" t="str">
        <f t="array" ref="F185:F185">OFFSET(E185,-1,1)</f>
        <v>2</v>
      </c>
      <c r="G185" s="496" t="s">
        <v>1864</v>
      </c>
      <c r="H185" s="496" t="s">
        <v>566</v>
      </c>
      <c r="I185" s="496" t="s">
        <v>1865</v>
      </c>
      <c r="J185" s="904"/>
      <c r="K185" s="904"/>
      <c r="L185" s="496"/>
      <c r="M185" s="904"/>
      <c r="N185" s="904"/>
      <c r="O185" s="904"/>
      <c r="P185" s="904"/>
      <c r="Q185" s="904"/>
      <c r="R185" s="904"/>
      <c r="S185" s="496"/>
      <c r="T185" s="468" cm="1" t="str">
        <f t="array" ref="T185:T185">T184</f>
        <v>true</v>
      </c>
      <c r="U185" s="904"/>
      <c r="V185" s="904"/>
      <c r="W185" s="904"/>
      <c r="X185" s="1559"/>
      <c r="Y185" s="904"/>
      <c r="Z185" s="1528"/>
      <c r="AA185" s="904"/>
      <c r="AB185" s="289" t="s">
        <v>1866</v>
      </c>
      <c r="AC185" s="290" t="s">
        <v>1862</v>
      </c>
      <c r="AD185" s="906">
        <f>IF(AND(method_reg="Метод индексации",god&lt;&gt;first_year),_xlfn.SUMIFS(INDEX('Калькуляция (МИ корр)'!$AJ$25:$BC$606,,MATCH(AD$8,'Калькуляция (МИ корр)'!$AJ$8:$BC$8,0)),'Калькуляция (МИ корр)'!$F$25:$F$606,$F185,'Калькуляция (МИ корр)'!$G$25:$G$606,$G185),IF(method_reg="Метод экономически обоснованных расходов",_xlfn.SUMIFS('Калькуляция (МЭОР)'!$AJ$25:$AJ$367,'Калькуляция (МЭОР)'!$F$25:$F$367,$F185,'Калькуляция (МЭОР)'!$G$25:$G$367,$G185),IF(method_reg="Метод сравнения аналогов",_xlfn.SUMIFS('Калькуляция (МСА)'!$AE$25:$AE$103,'Калькуляция (МСА)'!$F$25:$F$103,$F185,'Калькуляция (МСА)'!$G$25:$G$103,$G185),_xlfn.SUMIFS(INDEX('Калькуляция (МИ)'!$AJ$25:$BC$603,,MATCH(AD$8,'Калькуляция (МИ)'!$AJ$8:$BC$8,0)),'Калькуляция (МИ)'!$F$25:$F$603,$F185,'Калькуляция (МИ)'!$G$25:$G$603,$G185))))</f>
        <v>68.7509459590162</v>
      </c>
      <c r="AE185" s="906">
        <f>IF(AND(method_reg="Метод индексации",god&lt;&gt;first_year),_xlfn.SUMIFS(INDEX('Калькуляция (МИ корр)'!$AJ$25:$BC$606,,MATCH(AE$8,'Калькуляция (МИ корр)'!$AJ$8:$BC$8,0)),'Калькуляция (МИ корр)'!$F$25:$F$606,$F185,'Калькуляция (МИ корр)'!$G$25:$G$606,$G185),IF(method_reg="Метод экономически обоснованных расходов",_xlfn.SUMIFS('Калькуляция (МЭОР)'!$AK$25:$AK$367,'Калькуляция (МЭОР)'!$F$25:$F$367,$F185,'Калькуляция (МЭОР)'!$G$25:$G$367,$G185),IF(method_reg="Метод сравнения аналогов",_xlfn.SUMIFS('Калькуляция (МСА)'!$AF$25:$AF$103,'Калькуляция (МСА)'!$F$25:$F$103,$F185,'Калькуляция (МСА)'!$G$25:$G$103,$G185),_xlfn.SUMIFS(INDEX('Калькуляция (МИ)'!$AJ$25:$BC$603,,MATCH(AE$8,'Калькуляция (МИ)'!$AJ$8:$BC$8,0)),'Калькуляция (МИ)'!$F$25:$F$603,$F185,'Калькуляция (МИ)'!$G$25:$G$603,$G185))))</f>
        <v>50.8799995500676</v>
      </c>
      <c r="AF185" s="292">
        <f>IF(AD185=0,0,(AE185-AD185)/AD185*100)</f>
        <v>-25.9937462091094</v>
      </c>
      <c r="AG185" s="4576">
        <f>IF(AND(method_reg="Метод индексации",god&lt;&gt;first_year),_xlfn.SUMIFS(INDEX('Калькуляция (МИ корр)'!$AJ$25:$BC$606,,MATCH(AG$8,'Калькуляция (МИ корр)'!$AJ$8:$BC$8,0)),'Калькуляция (МИ корр)'!$F$25:$F$606,$F185,'Калькуляция (МИ корр)'!$G$25:$G$606,$G185),IF(method_reg="Метод экономически обоснованных расходов",_xlfn.SUMIFS('Калькуляция (МЭОР)'!$AJ$25:$AJ$367,'Калькуляция (МЭОР)'!$F$25:$F$367,$F185,'Калькуляция (МЭОР)'!$G$25:$G$367,$G185),IF(method_reg="Метод сравнения аналогов",_xlfn.SUMIFS('Калькуляция (МСА)'!$AE$25:$AE$103,'Калькуляция (МСА)'!$F$25:$F$103,$F185,'Калькуляция (МСА)'!$G$25:$G$103,$G185),_xlfn.SUMIFS(INDEX('Калькуляция (МИ)'!$AJ$25:$BC$603,,MATCH(AG$8,'Калькуляция (МИ)'!$AJ$8:$BC$8,0)),'Калькуляция (МИ)'!$F$25:$F$603,$F185,'Калькуляция (МИ)'!$G$25:$G$603,$G185))))</f>
        <v>0</v>
      </c>
      <c r="AH185" s="4576">
        <f>IF(AND(method_reg="Метод индексации",god&lt;&gt;first_year),_xlfn.SUMIFS(INDEX('Калькуляция (МИ корр)'!$AJ$25:$BC$606,,MATCH(AH$8,'Калькуляция (МИ корр)'!$AJ$8:$BC$8,0)),'Калькуляция (МИ корр)'!$F$25:$F$606,$F185,'Калькуляция (МИ корр)'!$G$25:$G$606,$G185),IF(method_reg="Метод экономически обоснованных расходов",_xlfn.SUMIFS('Калькуляция (МЭОР)'!$AK$25:$AK$367,'Калькуляция (МЭОР)'!$F$25:$F$367,$F185,'Калькуляция (МЭОР)'!$G$25:$G$367,$G185),IF(method_reg="Метод сравнения аналогов",_xlfn.SUMIFS('Калькуляция (МСА)'!$AF$25:$AF$103,'Калькуляция (МСА)'!$F$25:$F$103,$F185,'Калькуляция (МСА)'!$G$25:$G$103,$G185),_xlfn.SUMIFS(INDEX('Калькуляция (МИ)'!$AJ$25:$BC$603,,MATCH(AH$8,'Калькуляция (МИ)'!$AJ$8:$BC$8,0)),'Калькуляция (МИ)'!$F$25:$F$603,$F185,'Калькуляция (МИ)'!$G$25:$G$603,$G185))))</f>
        <v>0</v>
      </c>
      <c r="AI185" s="292">
        <f>IF(AG185=0,0,(AH185-AG185)/AG185*100)</f>
        <v>0</v>
      </c>
      <c r="AJ185" s="4576">
        <f>IF(AND(method_reg="Метод индексации",god&lt;&gt;first_year),_xlfn.SUMIFS(INDEX('Калькуляция (МИ корр)'!$AJ$25:$BC$606,,MATCH(AJ$8,'Калькуляция (МИ корр)'!$AJ$8:$BC$8,0)),'Калькуляция (МИ корр)'!$F$25:$F$606,$F185,'Калькуляция (МИ корр)'!$G$25:$G$606,$G185),IF(method_reg="Метод экономически обоснованных расходов",_xlfn.SUMIFS('Калькуляция (МЭОР)'!$AJ$25:$AJ$367,'Калькуляция (МЭОР)'!$F$25:$F$367,$F185,'Калькуляция (МЭОР)'!$G$25:$G$367,$G185),IF(method_reg="Метод сравнения аналогов",_xlfn.SUMIFS('Калькуляция (МСА)'!$AE$25:$AE$103,'Калькуляция (МСА)'!$F$25:$F$103,$F185,'Калькуляция (МСА)'!$G$25:$G$103,$G185),_xlfn.SUMIFS(INDEX('Калькуляция (МИ)'!$AJ$25:$BC$603,,MATCH(AJ$8,'Калькуляция (МИ)'!$AJ$8:$BC$8,0)),'Калькуляция (МИ)'!$F$25:$F$603,$F185,'Калькуляция (МИ)'!$G$25:$G$603,$G185))))</f>
        <v>0</v>
      </c>
      <c r="AK185" s="4576">
        <f>IF(AND(method_reg="Метод индексации",god&lt;&gt;first_year),_xlfn.SUMIFS(INDEX('Калькуляция (МИ корр)'!$AJ$25:$BC$606,,MATCH(AK$8,'Калькуляция (МИ корр)'!$AJ$8:$BC$8,0)),'Калькуляция (МИ корр)'!$F$25:$F$606,$F185,'Калькуляция (МИ корр)'!$G$25:$G$606,$G185),IF(method_reg="Метод экономически обоснованных расходов",_xlfn.SUMIFS('Калькуляция (МЭОР)'!$AK$25:$AK$367,'Калькуляция (МЭОР)'!$F$25:$F$367,$F185,'Калькуляция (МЭОР)'!$G$25:$G$367,$G185),IF(method_reg="Метод сравнения аналогов",_xlfn.SUMIFS('Калькуляция (МСА)'!$AF$25:$AF$103,'Калькуляция (МСА)'!$F$25:$F$103,$F185,'Калькуляция (МСА)'!$G$25:$G$103,$G185),_xlfn.SUMIFS(INDEX('Калькуляция (МИ)'!$AJ$25:$BC$603,,MATCH(AK$8,'Калькуляция (МИ)'!$AJ$8:$BC$8,0)),'Калькуляция (МИ)'!$F$25:$F$603,$F185,'Калькуляция (МИ)'!$G$25:$G$603,$G185))))</f>
        <v>0</v>
      </c>
      <c r="AL185" s="292">
        <f>IF(AJ185=0,0,(AK185-AJ185)/AJ185*100)</f>
        <v>0</v>
      </c>
      <c r="AM185" s="4576">
        <f>IF(AND(method_reg="Метод индексации",god&lt;&gt;first_year),_xlfn.SUMIFS(INDEX('Калькуляция (МИ корр)'!$AJ$25:$BC$606,,MATCH(AM$8,'Калькуляция (МИ корр)'!$AJ$8:$BC$8,0)),'Калькуляция (МИ корр)'!$F$25:$F$606,$F185,'Калькуляция (МИ корр)'!$G$25:$G$606,$G185),IF(method_reg="Метод экономически обоснованных расходов",_xlfn.SUMIFS('Калькуляция (МЭОР)'!$AJ$25:$AJ$367,'Калькуляция (МЭОР)'!$F$25:$F$367,$F185,'Калькуляция (МЭОР)'!$G$25:$G$367,$G185),IF(method_reg="Метод сравнения аналогов",_xlfn.SUMIFS('Калькуляция (МСА)'!$AE$25:$AE$103,'Калькуляция (МСА)'!$F$25:$F$103,$F185,'Калькуляция (МСА)'!$G$25:$G$103,$G185),_xlfn.SUMIFS(INDEX('Калькуляция (МИ)'!$AJ$25:$BC$603,,MATCH(AM$8,'Калькуляция (МИ)'!$AJ$8:$BC$8,0)),'Калькуляция (МИ)'!$F$25:$F$603,$F185,'Калькуляция (МИ)'!$G$25:$G$603,$G185))))</f>
        <v>0</v>
      </c>
      <c r="AN185" s="4576">
        <f>IF(AND(method_reg="Метод индексации",god&lt;&gt;first_year),_xlfn.SUMIFS(INDEX('Калькуляция (МИ корр)'!$AJ$25:$BC$606,,MATCH(AN$8,'Калькуляция (МИ корр)'!$AJ$8:$BC$8,0)),'Калькуляция (МИ корр)'!$F$25:$F$606,$F185,'Калькуляция (МИ корр)'!$G$25:$G$606,$G185),IF(method_reg="Метод экономически обоснованных расходов",_xlfn.SUMIFS('Калькуляция (МЭОР)'!$AK$25:$AK$367,'Калькуляция (МЭОР)'!$F$25:$F$367,$F185,'Калькуляция (МЭОР)'!$G$25:$G$367,$G185),IF(method_reg="Метод сравнения аналогов",_xlfn.SUMIFS('Калькуляция (МСА)'!$AF$25:$AF$103,'Калькуляция (МСА)'!$F$25:$F$103,$F185,'Калькуляция (МСА)'!$G$25:$G$103,$G185),_xlfn.SUMIFS(INDEX('Калькуляция (МИ)'!$AJ$25:$BC$603,,MATCH(AN$8,'Калькуляция (МИ)'!$AJ$8:$BC$8,0)),'Калькуляция (МИ)'!$F$25:$F$603,$F185,'Калькуляция (МИ)'!$G$25:$G$603,$G185))))</f>
        <v>0</v>
      </c>
      <c r="AO185" s="292">
        <f>IF(AM185=0,0,(AN185-AM185)/AM185*100)</f>
        <v>0</v>
      </c>
      <c r="AP185" s="4576">
        <f>IF(AND(method_reg="Метод индексации",god&lt;&gt;first_year),_xlfn.SUMIFS(INDEX('Калькуляция (МИ корр)'!$AJ$25:$BC$606,,MATCH(AP$8,'Калькуляция (МИ корр)'!$AJ$8:$BC$8,0)),'Калькуляция (МИ корр)'!$F$25:$F$606,$F185,'Калькуляция (МИ корр)'!$G$25:$G$606,$G185),IF(method_reg="Метод экономически обоснованных расходов",_xlfn.SUMIFS('Калькуляция (МЭОР)'!$AJ$25:$AJ$367,'Калькуляция (МЭОР)'!$F$25:$F$367,$F185,'Калькуляция (МЭОР)'!$G$25:$G$367,$G185),IF(method_reg="Метод сравнения аналогов",_xlfn.SUMIFS('Калькуляция (МСА)'!$AE$25:$AE$103,'Калькуляция (МСА)'!$F$25:$F$103,$F185,'Калькуляция (МСА)'!$G$25:$G$103,$G185),_xlfn.SUMIFS(INDEX('Калькуляция (МИ)'!$AJ$25:$BC$603,,MATCH(AP$8,'Калькуляция (МИ)'!$AJ$8:$BC$8,0)),'Калькуляция (МИ)'!$F$25:$F$603,$F185,'Калькуляция (МИ)'!$G$25:$G$603,$G185))))</f>
        <v>0</v>
      </c>
      <c r="AQ185" s="4576">
        <f>IF(AND(method_reg="Метод индексации",god&lt;&gt;first_year),_xlfn.SUMIFS(INDEX('Калькуляция (МИ корр)'!$AJ$25:$BC$606,,MATCH(AQ$8,'Калькуляция (МИ корр)'!$AJ$8:$BC$8,0)),'Калькуляция (МИ корр)'!$F$25:$F$606,$F185,'Калькуляция (МИ корр)'!$G$25:$G$606,$G185),IF(method_reg="Метод экономически обоснованных расходов",_xlfn.SUMIFS('Калькуляция (МЭОР)'!$AK$25:$AK$367,'Калькуляция (МЭОР)'!$F$25:$F$367,$F185,'Калькуляция (МЭОР)'!$G$25:$G$367,$G185),IF(method_reg="Метод сравнения аналогов",_xlfn.SUMIFS('Калькуляция (МСА)'!$AF$25:$AF$103,'Калькуляция (МСА)'!$F$25:$F$103,$F185,'Калькуляция (МСА)'!$G$25:$G$103,$G185),_xlfn.SUMIFS(INDEX('Калькуляция (МИ)'!$AJ$25:$BC$603,,MATCH(AQ$8,'Калькуляция (МИ)'!$AJ$8:$BC$8,0)),'Калькуляция (МИ)'!$F$25:$F$603,$F185,'Калькуляция (МИ)'!$G$25:$G$603,$G185))))</f>
        <v>0</v>
      </c>
      <c r="AR185" s="292">
        <f>IF(AP185=0,0,(AQ185-AP185)/AP185*100)</f>
        <v>0</v>
      </c>
      <c r="AS185" s="4576">
        <f>IF(AND(method_reg="Метод индексации",god&lt;&gt;first_year),_xlfn.SUMIFS(INDEX('Калькуляция (МИ корр)'!$AJ$25:$BC$606,,MATCH(AS$8,'Калькуляция (МИ корр)'!$AJ$8:$BC$8,0)),'Калькуляция (МИ корр)'!$F$25:$F$606,$F185,'Калькуляция (МИ корр)'!$G$25:$G$606,$G185),IF(method_reg="Метод экономически обоснованных расходов",_xlfn.SUMIFS('Калькуляция (МЭОР)'!$AJ$25:$AJ$367,'Калькуляция (МЭОР)'!$F$25:$F$367,$F185,'Калькуляция (МЭОР)'!$G$25:$G$367,$G185),IF(method_reg="Метод сравнения аналогов",_xlfn.SUMIFS('Калькуляция (МСА)'!$AE$25:$AE$103,'Калькуляция (МСА)'!$F$25:$F$103,$F185,'Калькуляция (МСА)'!$G$25:$G$103,$G185),_xlfn.SUMIFS(INDEX('Калькуляция (МИ)'!$AJ$25:$BC$603,,MATCH(AS$8,'Калькуляция (МИ)'!$AJ$8:$BC$8,0)),'Калькуляция (МИ)'!$F$25:$F$603,$F185,'Калькуляция (МИ)'!$G$25:$G$603,$G185))))</f>
        <v>0</v>
      </c>
      <c r="AT185" s="4576">
        <f>IF(AND(method_reg="Метод индексации",god&lt;&gt;first_year),_xlfn.SUMIFS(INDEX('Калькуляция (МИ корр)'!$AJ$25:$BC$606,,MATCH(AT$8,'Калькуляция (МИ корр)'!$AJ$8:$BC$8,0)),'Калькуляция (МИ корр)'!$F$25:$F$606,$F185,'Калькуляция (МИ корр)'!$G$25:$G$606,$G185),IF(method_reg="Метод экономически обоснованных расходов",_xlfn.SUMIFS('Калькуляция (МЭОР)'!$AK$25:$AK$367,'Калькуляция (МЭОР)'!$F$25:$F$367,$F185,'Калькуляция (МЭОР)'!$G$25:$G$367,$G185),IF(method_reg="Метод сравнения аналогов",_xlfn.SUMIFS('Калькуляция (МСА)'!$AF$25:$AF$103,'Калькуляция (МСА)'!$F$25:$F$103,$F185,'Калькуляция (МСА)'!$G$25:$G$103,$G185),_xlfn.SUMIFS(INDEX('Калькуляция (МИ)'!$AJ$25:$BC$603,,MATCH(AT$8,'Калькуляция (МИ)'!$AJ$8:$BC$8,0)),'Калькуляция (МИ)'!$F$25:$F$603,$F185,'Калькуляция (МИ)'!$G$25:$G$603,$G185))))</f>
        <v>0</v>
      </c>
      <c r="AU185" s="292">
        <f>IF(AS185=0,0,(AT185-AS185)/AS185*100)</f>
        <v>0</v>
      </c>
      <c r="AV185" s="4576">
        <f>IF(AND(method_reg="Метод индексации",god&lt;&gt;first_year),_xlfn.SUMIFS(INDEX('Калькуляция (МИ корр)'!$AJ$25:$BC$606,,MATCH(AV$8,'Калькуляция (МИ корр)'!$AJ$8:$BC$8,0)),'Калькуляция (МИ корр)'!$F$25:$F$606,$F185,'Калькуляция (МИ корр)'!$G$25:$G$606,$G185),IF(method_reg="Метод экономически обоснованных расходов",_xlfn.SUMIFS('Калькуляция (МЭОР)'!$AJ$25:$AJ$367,'Калькуляция (МЭОР)'!$F$25:$F$367,$F185,'Калькуляция (МЭОР)'!$G$25:$G$367,$G185),IF(method_reg="Метод сравнения аналогов",_xlfn.SUMIFS('Калькуляция (МСА)'!$AE$25:$AE$103,'Калькуляция (МСА)'!$F$25:$F$103,$F185,'Калькуляция (МСА)'!$G$25:$G$103,$G185),_xlfn.SUMIFS(INDEX('Калькуляция (МИ)'!$AJ$25:$BC$603,,MATCH(AV$8,'Калькуляция (МИ)'!$AJ$8:$BC$8,0)),'Калькуляция (МИ)'!$F$25:$F$603,$F185,'Калькуляция (МИ)'!$G$25:$G$603,$G185))))</f>
        <v>0</v>
      </c>
      <c r="AW185" s="4576">
        <f>IF(AND(method_reg="Метод индексации",god&lt;&gt;first_year),_xlfn.SUMIFS(INDEX('Калькуляция (МИ корр)'!$AJ$25:$BC$606,,MATCH(AW$8,'Калькуляция (МИ корр)'!$AJ$8:$BC$8,0)),'Калькуляция (МИ корр)'!$F$25:$F$606,$F185,'Калькуляция (МИ корр)'!$G$25:$G$606,$G185),IF(method_reg="Метод экономически обоснованных расходов",_xlfn.SUMIFS('Калькуляция (МЭОР)'!$AK$25:$AK$367,'Калькуляция (МЭОР)'!$F$25:$F$367,$F185,'Калькуляция (МЭОР)'!$G$25:$G$367,$G185),IF(method_reg="Метод сравнения аналогов",_xlfn.SUMIFS('Калькуляция (МСА)'!$AF$25:$AF$103,'Калькуляция (МСА)'!$F$25:$F$103,$F185,'Калькуляция (МСА)'!$G$25:$G$103,$G185),_xlfn.SUMIFS(INDEX('Калькуляция (МИ)'!$AJ$25:$BC$603,,MATCH(AW$8,'Калькуляция (МИ)'!$AJ$8:$BC$8,0)),'Калькуляция (МИ)'!$F$25:$F$603,$F185,'Калькуляция (МИ)'!$G$25:$G$603,$G185))))</f>
        <v>0</v>
      </c>
      <c r="AX185" s="292">
        <f>IF(AV185=0,0,(AW185-AV185)/AV185*100)</f>
        <v>0</v>
      </c>
      <c r="AY185" s="4576">
        <f>IF(AND(method_reg="Метод индексации",god&lt;&gt;first_year),_xlfn.SUMIFS(INDEX('Калькуляция (МИ корр)'!$AJ$25:$BC$606,,MATCH(AY$8,'Калькуляция (МИ корр)'!$AJ$8:$BC$8,0)),'Калькуляция (МИ корр)'!$F$25:$F$606,$F185,'Калькуляция (МИ корр)'!$G$25:$G$606,$G185),IF(method_reg="Метод экономически обоснованных расходов",_xlfn.SUMIFS('Калькуляция (МЭОР)'!$AJ$25:$AJ$367,'Калькуляция (МЭОР)'!$F$25:$F$367,$F185,'Калькуляция (МЭОР)'!$G$25:$G$367,$G185),IF(method_reg="Метод сравнения аналогов",_xlfn.SUMIFS('Калькуляция (МСА)'!$AE$25:$AE$103,'Калькуляция (МСА)'!$F$25:$F$103,$F185,'Калькуляция (МСА)'!$G$25:$G$103,$G185),_xlfn.SUMIFS(INDEX('Калькуляция (МИ)'!$AJ$25:$BC$603,,MATCH(AY$8,'Калькуляция (МИ)'!$AJ$8:$BC$8,0)),'Калькуляция (МИ)'!$F$25:$F$603,$F185,'Калькуляция (МИ)'!$G$25:$G$603,$G185))))</f>
        <v>0</v>
      </c>
      <c r="AZ185" s="4576">
        <f>IF(AND(method_reg="Метод индексации",god&lt;&gt;first_year),_xlfn.SUMIFS(INDEX('Калькуляция (МИ корр)'!$AJ$25:$BC$606,,MATCH(AZ$8,'Калькуляция (МИ корр)'!$AJ$8:$BC$8,0)),'Калькуляция (МИ корр)'!$F$25:$F$606,$F185,'Калькуляция (МИ корр)'!$G$25:$G$606,$G185),IF(method_reg="Метод экономически обоснованных расходов",_xlfn.SUMIFS('Калькуляция (МЭОР)'!$AK$25:$AK$367,'Калькуляция (МЭОР)'!$F$25:$F$367,$F185,'Калькуляция (МЭОР)'!$G$25:$G$367,$G185),IF(method_reg="Метод сравнения аналогов",_xlfn.SUMIFS('Калькуляция (МСА)'!$AF$25:$AF$103,'Калькуляция (МСА)'!$F$25:$F$103,$F185,'Калькуляция (МСА)'!$G$25:$G$103,$G185),_xlfn.SUMIFS(INDEX('Калькуляция (МИ)'!$AJ$25:$BC$603,,MATCH(AZ$8,'Калькуляция (МИ)'!$AJ$8:$BC$8,0)),'Калькуляция (МИ)'!$F$25:$F$603,$F185,'Калькуляция (МИ)'!$G$25:$G$603,$G185))))</f>
        <v>0</v>
      </c>
      <c r="BA185" s="292">
        <f>IF(AY185=0,0,(AZ185-AY185)/AY185*100)</f>
        <v>0</v>
      </c>
      <c r="BB185" s="4576">
        <f>IF(AND(method_reg="Метод индексации",god&lt;&gt;first_year),_xlfn.SUMIFS(INDEX('Калькуляция (МИ корр)'!$AJ$25:$BC$606,,MATCH(BB$8,'Калькуляция (МИ корр)'!$AJ$8:$BC$8,0)),'Калькуляция (МИ корр)'!$F$25:$F$606,$F185,'Калькуляция (МИ корр)'!$G$25:$G$606,$G185),IF(method_reg="Метод экономически обоснованных расходов",_xlfn.SUMIFS('Калькуляция (МЭОР)'!$AJ$25:$AJ$367,'Калькуляция (МЭОР)'!$F$25:$F$367,$F185,'Калькуляция (МЭОР)'!$G$25:$G$367,$G185),IF(method_reg="Метод сравнения аналогов",_xlfn.SUMIFS('Калькуляция (МСА)'!$AE$25:$AE$103,'Калькуляция (МСА)'!$F$25:$F$103,$F185,'Калькуляция (МСА)'!$G$25:$G$103,$G185),_xlfn.SUMIFS(INDEX('Калькуляция (МИ)'!$AJ$25:$BC$603,,MATCH(BB$8,'Калькуляция (МИ)'!$AJ$8:$BC$8,0)),'Калькуляция (МИ)'!$F$25:$F$603,$F185,'Калькуляция (МИ)'!$G$25:$G$603,$G185))))</f>
        <v>0</v>
      </c>
      <c r="BC185" s="4576">
        <f>IF(AND(method_reg="Метод индексации",god&lt;&gt;first_year),_xlfn.SUMIFS(INDEX('Калькуляция (МИ корр)'!$AJ$25:$BC$606,,MATCH(BC$8,'Калькуляция (МИ корр)'!$AJ$8:$BC$8,0)),'Калькуляция (МИ корр)'!$F$25:$F$606,$F185,'Калькуляция (МИ корр)'!$G$25:$G$606,$G185),IF(method_reg="Метод экономически обоснованных расходов",_xlfn.SUMIFS('Калькуляция (МЭОР)'!$AK$25:$AK$367,'Калькуляция (МЭОР)'!$F$25:$F$367,$F185,'Калькуляция (МЭОР)'!$G$25:$G$367,$G185),IF(method_reg="Метод сравнения аналогов",_xlfn.SUMIFS('Калькуляция (МСА)'!$AF$25:$AF$103,'Калькуляция (МСА)'!$F$25:$F$103,$F185,'Калькуляция (МСА)'!$G$25:$G$103,$G185),_xlfn.SUMIFS(INDEX('Калькуляция (МИ)'!$AJ$25:$BC$603,,MATCH(BC$8,'Калькуляция (МИ)'!$AJ$8:$BC$8,0)),'Калькуляция (МИ)'!$F$25:$F$603,$F185,'Калькуляция (МИ)'!$G$25:$G$603,$G185))))</f>
        <v>0</v>
      </c>
      <c r="BD185" s="292">
        <f>IF(BB185=0,0,(BC185-BB185)/BB185*100)</f>
        <v>0</v>
      </c>
      <c r="BE185" s="4576">
        <f>IF(AND(method_reg="Метод индексации",god&lt;&gt;first_year),_xlfn.SUMIFS(INDEX('Калькуляция (МИ корр)'!$AJ$25:$BC$606,,MATCH(BE$8,'Калькуляция (МИ корр)'!$AJ$8:$BC$8,0)),'Калькуляция (МИ корр)'!$F$25:$F$606,$F185,'Калькуляция (МИ корр)'!$G$25:$G$606,$G185),IF(method_reg="Метод экономически обоснованных расходов",_xlfn.SUMIFS('Калькуляция (МЭОР)'!$AJ$25:$AJ$367,'Калькуляция (МЭОР)'!$F$25:$F$367,$F185,'Калькуляция (МЭОР)'!$G$25:$G$367,$G185),IF(method_reg="Метод сравнения аналогов",_xlfn.SUMIFS('Калькуляция (МСА)'!$AE$25:$AE$103,'Калькуляция (МСА)'!$F$25:$F$103,$F185,'Калькуляция (МСА)'!$G$25:$G$103,$G185),_xlfn.SUMIFS(INDEX('Калькуляция (МИ)'!$AJ$25:$BC$603,,MATCH(BE$8,'Калькуляция (МИ)'!$AJ$8:$BC$8,0)),'Калькуляция (МИ)'!$F$25:$F$603,$F185,'Калькуляция (МИ)'!$G$25:$G$603,$G185))))</f>
        <v>0</v>
      </c>
      <c r="BF185" s="4576">
        <f>IF(AND(method_reg="Метод индексации",god&lt;&gt;first_year),_xlfn.SUMIFS(INDEX('Калькуляция (МИ корр)'!$AJ$25:$BC$606,,MATCH(BF$8,'Калькуляция (МИ корр)'!$AJ$8:$BC$8,0)),'Калькуляция (МИ корр)'!$F$25:$F$606,$F185,'Калькуляция (МИ корр)'!$G$25:$G$606,$G185),IF(method_reg="Метод экономически обоснованных расходов",_xlfn.SUMIFS('Калькуляция (МЭОР)'!$AK$25:$AK$367,'Калькуляция (МЭОР)'!$F$25:$F$367,$F185,'Калькуляция (МЭОР)'!$G$25:$G$367,$G185),IF(method_reg="Метод сравнения аналогов",_xlfn.SUMIFS('Калькуляция (МСА)'!$AF$25:$AF$103,'Калькуляция (МСА)'!$F$25:$F$103,$F185,'Калькуляция (МСА)'!$G$25:$G$103,$G185),_xlfn.SUMIFS(INDEX('Калькуляция (МИ)'!$AJ$25:$BC$603,,MATCH(BF$8,'Калькуляция (МИ)'!$AJ$8:$BC$8,0)),'Калькуляция (МИ)'!$F$25:$F$603,$F185,'Калькуляция (МИ)'!$G$25:$G$603,$G185))))</f>
        <v>0</v>
      </c>
      <c r="BG185" s="292">
        <f>IF(BE185=0,0,(BF185-BE185)/BE185*100)</f>
        <v>0</v>
      </c>
      <c r="BH185" s="4576"/>
      <c r="BI185" s="4576"/>
      <c r="BJ185" s="292">
        <f>IF(BH185=0,0,(BI185-BH185)/BH185*100)</f>
        <v>0</v>
      </c>
      <c r="BK185" s="4576"/>
      <c r="BL185" s="4576"/>
      <c r="BM185" s="292">
        <f>IF(BK185=0,0,(BL185-BK185)/BK185*100)</f>
        <v>0</v>
      </c>
      <c r="BN185" s="4576"/>
      <c r="BO185" s="4576"/>
      <c r="BP185" s="292">
        <f>IF(BN185=0,0,(BO185-BN185)/BN185*100)</f>
        <v>0</v>
      </c>
      <c r="BQ185" s="4576"/>
      <c r="BR185" s="4576"/>
      <c r="BS185" s="292">
        <f>IF(BQ185=0,0,(BR185-BQ185)/BQ185*100)</f>
        <v>0</v>
      </c>
      <c r="BT185" s="4576"/>
      <c r="BU185" s="4576"/>
      <c r="BV185" s="292">
        <f>IF(BT185=0,0,(BU185-BT185)/BT185*100)</f>
        <v>0</v>
      </c>
      <c r="BW185" s="4576"/>
      <c r="BX185" s="4576"/>
      <c r="BY185" s="292">
        <f>IF(BW185=0,0,(BX185-BW185)/BW185*100)</f>
        <v>0</v>
      </c>
      <c r="BZ185" s="4576"/>
      <c r="CA185" s="4576"/>
      <c r="CB185" s="292">
        <f>IF(BZ185=0,0,(CA185-BZ185)/BZ185*100)</f>
        <v>0</v>
      </c>
      <c r="CC185" s="4576"/>
      <c r="CD185" s="4576"/>
      <c r="CE185" s="292">
        <f>IF(CC185=0,0,(CD185-CC185)/CC185*100)</f>
        <v>0</v>
      </c>
      <c r="CF185" s="4576"/>
      <c r="CG185" s="4576"/>
      <c r="CH185" s="292">
        <f>IF(CF185=0,0,(CG185-CF185)/CF185*100)</f>
        <v>0</v>
      </c>
      <c r="CI185" s="4576"/>
      <c r="CJ185" s="4576"/>
      <c r="CK185" s="292">
        <f>IF(CI185=0,0,(CJ185-CI185)/CI185*100)</f>
        <v>0</v>
      </c>
      <c r="CL185" s="4576"/>
      <c r="CM185" s="4576"/>
      <c r="CN185" s="292">
        <f>IF(CL185=0,0,(CM185-CL185)/CL185*100)</f>
        <v>0</v>
      </c>
      <c r="CO185" s="4576"/>
      <c r="CP185" s="4576"/>
      <c r="CQ185" s="292">
        <f>IF(CO185=0,0,(CP185-CO185)/CO185*100)</f>
        <v>0</v>
      </c>
      <c r="CR185" s="4576"/>
      <c r="CS185" s="4576"/>
      <c r="CT185" s="292">
        <f>IF(CR185=0,0,(CS185-CR185)/CR185*100)</f>
        <v>0</v>
      </c>
      <c r="CU185" s="4576"/>
      <c r="CV185" s="4576"/>
      <c r="CW185" s="292">
        <f>IF(CU185=0,0,(CV185-CU185)/CU185*100)</f>
        <v>0</v>
      </c>
      <c r="CX185" s="4576"/>
      <c r="CY185" s="4576"/>
      <c r="CZ185" s="292">
        <f>IF(CX185=0,0,(CY185-CX185)/CX185*100)</f>
        <v>0</v>
      </c>
      <c r="DA185" s="4576"/>
      <c r="DB185" s="4576"/>
      <c r="DC185" s="292">
        <f>IF(DA185=0,0,(DB185-DA185)/DA185*100)</f>
        <v>0</v>
      </c>
      <c r="DD185" s="4576"/>
      <c r="DE185" s="4576"/>
      <c r="DF185" s="292">
        <f>IF(DD185=0,0,(DE185-DD185)/DD185*100)</f>
        <v>0</v>
      </c>
      <c r="DG185" s="4578"/>
      <c r="DH185" s="4578"/>
      <c r="DI185" s="292">
        <f>IF(DG185=0,0,(DH185-DG185)/DG185*100)</f>
        <v>0</v>
      </c>
      <c r="DJ185" s="4578"/>
      <c r="DK185" s="4578"/>
      <c r="DL185" s="292">
        <f>IF(DJ185=0,0,(DK185-DJ185)/DJ185*100)</f>
        <v>0</v>
      </c>
      <c r="DM185" s="4578"/>
      <c r="DN185" s="4578"/>
      <c r="DO185" s="292">
        <f>IF(DM185=0,0,(DN185-DM185)/DM185*100)</f>
        <v>0</v>
      </c>
      <c r="DP185" s="4578"/>
      <c r="DQ185" s="4578"/>
      <c r="DR185" s="292">
        <f>IF(DP185=0,0,(DQ185-DP185)/DP185*100)</f>
        <v>0</v>
      </c>
      <c r="DS185" s="4578"/>
      <c r="DT185" s="4578"/>
      <c r="DU185" s="292">
        <f>IF(DS185=0,0,(DT185-DS185)/DS185*100)</f>
        <v>0</v>
      </c>
      <c r="DV185" s="4578"/>
      <c r="DW185" s="4578"/>
      <c r="DX185" s="292">
        <f>IF(DV185=0,0,(DW185-DV185)/DV185*100)</f>
        <v>0</v>
      </c>
      <c r="DY185" s="4578"/>
      <c r="DZ185" s="4578"/>
      <c r="EA185" s="292">
        <f>IF(DY185=0,0,(DZ185-DY185)/DY185*100)</f>
        <v>0</v>
      </c>
      <c r="EB185" s="4578"/>
      <c r="EC185" s="4578"/>
      <c r="ED185" s="292">
        <f>IF(EB185=0,0,(EC185-EB185)/EB185*100)</f>
        <v>0</v>
      </c>
      <c r="EE185" s="4578"/>
      <c r="EF185" s="4578"/>
      <c r="EG185" s="292">
        <f>IF(EE185=0,0,(EF185-EE185)/EE185*100)</f>
        <v>0</v>
      </c>
      <c r="EH185" s="4578"/>
      <c r="EI185" s="4578"/>
      <c r="EJ185" s="292">
        <f>IF(EH185=0,0,(EI185-EH185)/EH185*100)</f>
        <v>0</v>
      </c>
      <c r="EK185" s="4578"/>
      <c r="EL185" s="4578"/>
      <c r="EM185" s="292">
        <f>IF(EK185=0,0,(EL185-EK185)/EK185*100)</f>
        <v>0</v>
      </c>
      <c r="EN185" s="4578"/>
      <c r="EO185" s="4578"/>
      <c r="EP185" s="292">
        <f>IF(EN185=0,0,(EO185-EN185)/EN185*100)</f>
        <v>0</v>
      </c>
      <c r="EQ185" s="4578"/>
      <c r="ER185" s="4578"/>
      <c r="ES185" s="292">
        <f>IF(EQ185=0,0,(ER185-EQ185)/EQ185*100)</f>
        <v>0</v>
      </c>
      <c r="ET185" s="4578"/>
      <c r="EU185" s="4578"/>
      <c r="EV185" s="292">
        <f>IF(ET185=0,0,(EU185-ET185)/ET185*100)</f>
        <v>0</v>
      </c>
      <c r="EW185" s="4578"/>
      <c r="EX185" s="4578"/>
      <c r="EY185" s="292">
        <f>IF(EW185=0,0,(EX185-EW185)/EW185*100)</f>
        <v>0</v>
      </c>
      <c r="EZ185" s="4578"/>
      <c r="FA185" s="4578"/>
      <c r="FB185" s="292">
        <f>IF(EZ185=0,0,(FA185-EZ185)/EZ185*100)</f>
        <v>0</v>
      </c>
      <c r="FC185" s="4578"/>
      <c r="FD185" s="4578"/>
      <c r="FE185" s="292">
        <f>IF(FC185=0,0,(FD185-FC185)/FC185*100)</f>
        <v>0</v>
      </c>
      <c r="FF185" s="4578"/>
      <c r="FG185" s="4578"/>
      <c r="FH185" s="292">
        <f>IF(FF185=0,0,(FG185-FF185)/FF185*100)</f>
        <v>0</v>
      </c>
      <c r="FI185" s="4578"/>
      <c r="FJ185" s="4578"/>
      <c r="FK185" s="292">
        <f>IF(FI185=0,0,(FJ185-FI185)/FI185*100)</f>
        <v>0</v>
      </c>
      <c r="FL185" s="4578"/>
      <c r="FM185" s="4578"/>
      <c r="FN185" s="292">
        <f>IF(FL185=0,0,(FM185-FL185)/FL185*100)</f>
        <v>0</v>
      </c>
      <c r="FO185" s="4578"/>
      <c r="FP185" s="4578"/>
      <c r="FQ185" s="292">
        <f>IF(FO185=0,0,(FP185-FO185)/FO185*100)</f>
        <v>0</v>
      </c>
      <c r="FR185" s="4578"/>
      <c r="FS185" s="4578"/>
      <c r="FT185" s="292">
        <f>IF(FR185=0,0,(FS185-FR185)/FR185*100)</f>
        <v>0</v>
      </c>
      <c r="FU185" s="4578"/>
      <c r="FV185" s="4578"/>
      <c r="FW185" s="292">
        <f>IF(FU185=0,0,(FV185-FU185)/FU185*100)</f>
        <v>0</v>
      </c>
      <c r="FX185" s="288"/>
      <c r="FY185" s="288"/>
      <c r="FZ185" s="1063" t="s">
        <v>1867</v>
      </c>
      <c r="GA185" s="1063"/>
      <c r="GB185" s="1063"/>
      <c r="GC185" s="1064"/>
      <c r="GD185" s="1064"/>
    </row>
    <row s="1656" customFormat="1" customHeight="1" ht="17.671875">
      <c r="A186" s="496"/>
      <c r="B186" s="932" cm="1" t="str">
        <f t="array" ref="B186:B186">B185</f>
        <v>true</v>
      </c>
      <c r="C186" s="496"/>
      <c r="D186" s="496"/>
      <c r="E186" s="847">
        <v>15</v>
      </c>
      <c r="F186" s="50" cm="1" t="str">
        <f t="array" ref="F186:F186">OFFSET(E186,-1,1)</f>
        <v>2</v>
      </c>
      <c r="G186" s="496"/>
      <c r="H186" s="496" t="s">
        <v>570</v>
      </c>
      <c r="I186" s="496" t="s">
        <v>1868</v>
      </c>
      <c r="J186" s="496"/>
      <c r="K186" s="496"/>
      <c r="L186" s="496"/>
      <c r="M186" s="496"/>
      <c r="N186" s="496"/>
      <c r="O186" s="496"/>
      <c r="P186" s="496"/>
      <c r="Q186" s="496"/>
      <c r="R186" s="496"/>
      <c r="S186" s="496"/>
      <c r="T186" s="468" cm="1" t="str">
        <f t="array" ref="T186:T186">T185</f>
        <v>true</v>
      </c>
      <c r="U186" s="496"/>
      <c r="V186" s="496"/>
      <c r="W186" s="496"/>
      <c r="X186" s="1559"/>
      <c r="Y186" s="496"/>
      <c r="Z186" s="1528"/>
      <c r="AA186" s="496"/>
      <c r="AB186" s="1098" t="s">
        <v>1869</v>
      </c>
      <c r="AC186" s="871" t="s">
        <v>561</v>
      </c>
      <c r="AD186" s="1101">
        <f>IF(AD184=0,0,AD185/AD184)*100</f>
        <v>100</v>
      </c>
      <c r="AE186" s="1101">
        <f>IF(AE184=0,0,AE185/AE184)*100</f>
        <v>111.996477107787</v>
      </c>
      <c r="AF186" s="1102"/>
      <c r="AG186" s="1101">
        <f>IF(AG184=0,0,AG185/AG184)*100</f>
        <v>0</v>
      </c>
      <c r="AH186" s="1101">
        <f>IF(AH184=0,0,AH185/AH184)*100</f>
        <v>0</v>
      </c>
      <c r="AI186" s="1102"/>
      <c r="AJ186" s="1101">
        <f>IF(AJ184=0,0,AJ185/AJ184)*100</f>
        <v>0</v>
      </c>
      <c r="AK186" s="1101">
        <f>IF(AK184=0,0,AK185/AK184)*100</f>
        <v>0</v>
      </c>
      <c r="AL186" s="1102"/>
      <c r="AM186" s="1101">
        <f>IF(AM184=0,0,AM185/AM184)*100</f>
        <v>0</v>
      </c>
      <c r="AN186" s="1101">
        <f>IF(AN184=0,0,AN185/AN184)*100</f>
        <v>0</v>
      </c>
      <c r="AO186" s="1102"/>
      <c r="AP186" s="1101">
        <f>IF(AP184=0,0,AP185/AP184)*100</f>
        <v>0</v>
      </c>
      <c r="AQ186" s="1101">
        <f>IF(AQ184=0,0,AQ185/AQ184)*100</f>
        <v>0</v>
      </c>
      <c r="AR186" s="1102"/>
      <c r="AS186" s="1101">
        <f>IF(AS184=0,0,AS185/AS184)*100</f>
        <v>0</v>
      </c>
      <c r="AT186" s="1101">
        <f>IF(AT184=0,0,AT185/AT184)*100</f>
        <v>0</v>
      </c>
      <c r="AU186" s="1102"/>
      <c r="AV186" s="1101">
        <f>IF(AV184=0,0,AV185/AV184)*100</f>
        <v>0</v>
      </c>
      <c r="AW186" s="1101">
        <f>IF(AW184=0,0,AW185/AW184)*100</f>
        <v>0</v>
      </c>
      <c r="AX186" s="1102"/>
      <c r="AY186" s="1101">
        <f>IF(AY184=0,0,AY185/AY184)*100</f>
        <v>0</v>
      </c>
      <c r="AZ186" s="1101">
        <f>IF(AZ184=0,0,AZ185/AZ184)*100</f>
        <v>0</v>
      </c>
      <c r="BA186" s="1102"/>
      <c r="BB186" s="1101">
        <f>IF(BB184=0,0,BB185/BB184)*100</f>
        <v>0</v>
      </c>
      <c r="BC186" s="1101">
        <f>IF(BC184=0,0,BC185/BC184)*100</f>
        <v>0</v>
      </c>
      <c r="BD186" s="1102"/>
      <c r="BE186" s="1101">
        <f>IF(BE184=0,0,BE185/BE184)*100</f>
        <v>0</v>
      </c>
      <c r="BF186" s="1101">
        <f>IF(BF184=0,0,BF185/BF184)*100</f>
        <v>0</v>
      </c>
      <c r="BG186" s="1102"/>
      <c r="BH186" s="1101">
        <f>IF(BH184=0,0,BH185/BH184)*100</f>
        <v>0</v>
      </c>
      <c r="BI186" s="1101">
        <f>IF(BI184=0,0,BI185/BI184)*100</f>
        <v>0</v>
      </c>
      <c r="BJ186" s="1102"/>
      <c r="BK186" s="1101">
        <f>IF(BK184=0,0,BK185/BK184)*100</f>
        <v>0</v>
      </c>
      <c r="BL186" s="1101">
        <f>IF(BL184=0,0,BL185/BL184)*100</f>
        <v>0</v>
      </c>
      <c r="BM186" s="1102"/>
      <c r="BN186" s="1101">
        <f>IF(BN184=0,0,BN185/BN184)*100</f>
        <v>0</v>
      </c>
      <c r="BO186" s="1101">
        <f>IF(BO184=0,0,BO185/BO184)*100</f>
        <v>0</v>
      </c>
      <c r="BP186" s="1102"/>
      <c r="BQ186" s="1101">
        <f>IF(BQ184=0,0,BQ185/BQ184)*100</f>
        <v>0</v>
      </c>
      <c r="BR186" s="1101">
        <f>IF(BR184=0,0,BR185/BR184)*100</f>
        <v>0</v>
      </c>
      <c r="BS186" s="1102"/>
      <c r="BT186" s="1101">
        <f>IF(BT184=0,0,BT185/BT184)*100</f>
        <v>0</v>
      </c>
      <c r="BU186" s="1101">
        <f>IF(BU184=0,0,BU185/BU184)*100</f>
        <v>0</v>
      </c>
      <c r="BV186" s="1102"/>
      <c r="BW186" s="1101">
        <f>IF(BW184=0,0,BW185/BW184)*100</f>
        <v>0</v>
      </c>
      <c r="BX186" s="1101">
        <f>IF(BX184=0,0,BX185/BX184)*100</f>
        <v>0</v>
      </c>
      <c r="BY186" s="1102"/>
      <c r="BZ186" s="1101">
        <f>IF(BZ184=0,0,BZ185/BZ184)*100</f>
        <v>0</v>
      </c>
      <c r="CA186" s="1101">
        <f>IF(CA184=0,0,CA185/CA184)*100</f>
        <v>0</v>
      </c>
      <c r="CB186" s="1102"/>
      <c r="CC186" s="1101">
        <f>IF(CC184=0,0,CC185/CC184)*100</f>
        <v>0</v>
      </c>
      <c r="CD186" s="1101">
        <f>IF(CD184=0,0,CD185/CD184)*100</f>
        <v>0</v>
      </c>
      <c r="CE186" s="1102"/>
      <c r="CF186" s="1101">
        <f>IF(CF184=0,0,CF185/CF184)*100</f>
        <v>0</v>
      </c>
      <c r="CG186" s="1101">
        <f>IF(CG184=0,0,CG185/CG184)*100</f>
        <v>0</v>
      </c>
      <c r="CH186" s="1102"/>
      <c r="CI186" s="1101">
        <f>IF(CI184=0,0,CI185/CI184)*100</f>
        <v>0</v>
      </c>
      <c r="CJ186" s="1101">
        <f>IF(CJ184=0,0,CJ185/CJ184)*100</f>
        <v>0</v>
      </c>
      <c r="CK186" s="1102"/>
      <c r="CL186" s="1101">
        <f>IF(CL184=0,0,CL185/CL184)*100</f>
        <v>0</v>
      </c>
      <c r="CM186" s="1101">
        <f>IF(CM184=0,0,CM185/CM184)*100</f>
        <v>0</v>
      </c>
      <c r="CN186" s="1102"/>
      <c r="CO186" s="1101">
        <f>IF(CO184=0,0,CO185/CO184)*100</f>
        <v>0</v>
      </c>
      <c r="CP186" s="1101">
        <f>IF(CP184=0,0,CP185/CP184)*100</f>
        <v>0</v>
      </c>
      <c r="CQ186" s="1102"/>
      <c r="CR186" s="1101">
        <f>IF(CR184=0,0,CR185/CR184)*100</f>
        <v>0</v>
      </c>
      <c r="CS186" s="1101">
        <f>IF(CS184=0,0,CS185/CS184)*100</f>
        <v>0</v>
      </c>
      <c r="CT186" s="1102"/>
      <c r="CU186" s="1101">
        <f>IF(CU184=0,0,CU185/CU184)*100</f>
        <v>0</v>
      </c>
      <c r="CV186" s="1101">
        <f>IF(CV184=0,0,CV185/CV184)*100</f>
        <v>0</v>
      </c>
      <c r="CW186" s="1102"/>
      <c r="CX186" s="1101">
        <f>IF(CX184=0,0,CX185/CX184)*100</f>
        <v>0</v>
      </c>
      <c r="CY186" s="1101">
        <f>IF(CY184=0,0,CY185/CY184)*100</f>
        <v>0</v>
      </c>
      <c r="CZ186" s="1102"/>
      <c r="DA186" s="1101">
        <f>IF(DA184=0,0,DA185/DA184)*100</f>
        <v>0</v>
      </c>
      <c r="DB186" s="1101">
        <f>IF(DB184=0,0,DB185/DB184)*100</f>
        <v>0</v>
      </c>
      <c r="DC186" s="1102"/>
      <c r="DD186" s="1101">
        <f>IF(DD184=0,0,DD185/DD184)*100</f>
        <v>0</v>
      </c>
      <c r="DE186" s="1101">
        <f>IF(DE184=0,0,DE185/DE184)*100</f>
        <v>0</v>
      </c>
      <c r="DF186" s="1102"/>
      <c r="DG186" s="1101">
        <f>IF(DG184=0,0,DG185/DG184)*100</f>
        <v>0</v>
      </c>
      <c r="DH186" s="1101">
        <f>IF(DH184=0,0,DH185/DH184)*100</f>
        <v>0</v>
      </c>
      <c r="DI186" s="1102"/>
      <c r="DJ186" s="1101">
        <f>IF(DJ184=0,0,DJ185/DJ184)*100</f>
        <v>0</v>
      </c>
      <c r="DK186" s="1101">
        <f>IF(DK184=0,0,DK185/DK184)*100</f>
        <v>0</v>
      </c>
      <c r="DL186" s="1102"/>
      <c r="DM186" s="1101">
        <f>IF(DM184=0,0,DM185/DM184)*100</f>
        <v>0</v>
      </c>
      <c r="DN186" s="1101">
        <f>IF(DN184=0,0,DN185/DN184)*100</f>
        <v>0</v>
      </c>
      <c r="DO186" s="1102"/>
      <c r="DP186" s="1101">
        <f>IF(DP184=0,0,DP185/DP184)*100</f>
        <v>0</v>
      </c>
      <c r="DQ186" s="1101">
        <f>IF(DQ184=0,0,DQ185/DQ184)*100</f>
        <v>0</v>
      </c>
      <c r="DR186" s="1102"/>
      <c r="DS186" s="1101">
        <f>IF(DS184=0,0,DS185/DS184)*100</f>
        <v>0</v>
      </c>
      <c r="DT186" s="1101">
        <f>IF(DT184=0,0,DT185/DT184)*100</f>
        <v>0</v>
      </c>
      <c r="DU186" s="1102"/>
      <c r="DV186" s="1101">
        <f>IF(DV184=0,0,DV185/DV184)*100</f>
        <v>0</v>
      </c>
      <c r="DW186" s="1101">
        <f>IF(DW184=0,0,DW185/DW184)*100</f>
        <v>0</v>
      </c>
      <c r="DX186" s="1102"/>
      <c r="DY186" s="1101">
        <f>IF(DY184=0,0,DY185/DY184)*100</f>
        <v>0</v>
      </c>
      <c r="DZ186" s="1101">
        <f>IF(DZ184=0,0,DZ185/DZ184)*100</f>
        <v>0</v>
      </c>
      <c r="EA186" s="1102"/>
      <c r="EB186" s="1101">
        <f>IF(EB184=0,0,EB185/EB184)*100</f>
        <v>0</v>
      </c>
      <c r="EC186" s="1101">
        <f>IF(EC184=0,0,EC185/EC184)*100</f>
        <v>0</v>
      </c>
      <c r="ED186" s="1102"/>
      <c r="EE186" s="1101">
        <f>IF(EE184=0,0,EE185/EE184)*100</f>
        <v>0</v>
      </c>
      <c r="EF186" s="1101">
        <f>IF(EF184=0,0,EF185/EF184)*100</f>
        <v>0</v>
      </c>
      <c r="EG186" s="1102"/>
      <c r="EH186" s="1101">
        <f>IF(EH184=0,0,EH185/EH184)*100</f>
        <v>0</v>
      </c>
      <c r="EI186" s="1101">
        <f>IF(EI184=0,0,EI185/EI184)*100</f>
        <v>0</v>
      </c>
      <c r="EJ186" s="1102"/>
      <c r="EK186" s="1101">
        <f>IF(EK184=0,0,EK185/EK184)*100</f>
        <v>0</v>
      </c>
      <c r="EL186" s="1101">
        <f>IF(EL184=0,0,EL185/EL184)*100</f>
        <v>0</v>
      </c>
      <c r="EM186" s="1102"/>
      <c r="EN186" s="1101">
        <f>IF(EN184=0,0,EN185/EN184)*100</f>
        <v>0</v>
      </c>
      <c r="EO186" s="1101">
        <f>IF(EO184=0,0,EO185/EO184)*100</f>
        <v>0</v>
      </c>
      <c r="EP186" s="1102"/>
      <c r="EQ186" s="1101">
        <f>IF(EQ184=0,0,EQ185/EQ184)*100</f>
        <v>0</v>
      </c>
      <c r="ER186" s="1101">
        <f>IF(ER184=0,0,ER185/ER184)*100</f>
        <v>0</v>
      </c>
      <c r="ES186" s="1102"/>
      <c r="ET186" s="1101">
        <f>IF(ET184=0,0,ET185/ET184)*100</f>
        <v>0</v>
      </c>
      <c r="EU186" s="1101">
        <f>IF(EU184=0,0,EU185/EU184)*100</f>
        <v>0</v>
      </c>
      <c r="EV186" s="1102"/>
      <c r="EW186" s="1101">
        <f>IF(EW184=0,0,EW185/EW184)*100</f>
        <v>0</v>
      </c>
      <c r="EX186" s="1101">
        <f>IF(EX184=0,0,EX185/EX184)*100</f>
        <v>0</v>
      </c>
      <c r="EY186" s="1102"/>
      <c r="EZ186" s="1101">
        <f>IF(EZ184=0,0,EZ185/EZ184)*100</f>
        <v>0</v>
      </c>
      <c r="FA186" s="1101">
        <f>IF(FA184=0,0,FA185/FA184)*100</f>
        <v>0</v>
      </c>
      <c r="FB186" s="1102"/>
      <c r="FC186" s="1101">
        <f>IF(FC184=0,0,FC185/FC184)*100</f>
        <v>0</v>
      </c>
      <c r="FD186" s="1101">
        <f>IF(FD184=0,0,FD185/FD184)*100</f>
        <v>0</v>
      </c>
      <c r="FE186" s="1102"/>
      <c r="FF186" s="1101">
        <f>IF(FF184=0,0,FF185/FF184)*100</f>
        <v>0</v>
      </c>
      <c r="FG186" s="1101">
        <f>IF(FG184=0,0,FG185/FG184)*100</f>
        <v>0</v>
      </c>
      <c r="FH186" s="1102"/>
      <c r="FI186" s="1101">
        <f>IF(FI184=0,0,FI185/FI184)*100</f>
        <v>0</v>
      </c>
      <c r="FJ186" s="1101">
        <f>IF(FJ184=0,0,FJ185/FJ184)*100</f>
        <v>0</v>
      </c>
      <c r="FK186" s="1102"/>
      <c r="FL186" s="1101">
        <f>IF(FL184=0,0,FL185/FL184)*100</f>
        <v>0</v>
      </c>
      <c r="FM186" s="1101">
        <f>IF(FM184=0,0,FM185/FM184)*100</f>
        <v>0</v>
      </c>
      <c r="FN186" s="1102"/>
      <c r="FO186" s="1101">
        <f>IF(FO184=0,0,FO185/FO184)*100</f>
        <v>0</v>
      </c>
      <c r="FP186" s="1101">
        <f>IF(FP184=0,0,FP185/FP184)*100</f>
        <v>0</v>
      </c>
      <c r="FQ186" s="1102"/>
      <c r="FR186" s="1101">
        <f>IF(FR184=0,0,FR185/FR184)*100</f>
        <v>0</v>
      </c>
      <c r="FS186" s="1101">
        <f>IF(FS184=0,0,FS185/FS184)*100</f>
        <v>0</v>
      </c>
      <c r="FT186" s="1102"/>
      <c r="FU186" s="1101">
        <f>IF(FU184=0,0,FU185/FU184)*100</f>
        <v>0</v>
      </c>
      <c r="FV186" s="1101">
        <f>IF(FV184=0,0,FV185/FV184)*100</f>
        <v>0</v>
      </c>
      <c r="FW186" s="1102"/>
      <c r="FX186" s="288"/>
      <c r="FY186" s="1328"/>
      <c r="FZ186" s="1063" t="s">
        <v>1870</v>
      </c>
      <c r="GA186" s="1330"/>
      <c r="GB186" s="1330"/>
      <c r="GC186" s="1329"/>
      <c r="GD186" s="1329"/>
    </row>
    <row s="1656" customFormat="1" customHeight="1" ht="19.921875">
      <c r="A187" s="496"/>
      <c r="B187" s="932" cm="1" t="str">
        <f t="array" ref="B187:B187">B186</f>
        <v>true</v>
      </c>
      <c r="C187" s="496"/>
      <c r="D187" s="496"/>
      <c r="E187" s="847">
        <v>15</v>
      </c>
      <c r="F187" s="50" cm="1" t="str">
        <f t="array" ref="F187:F187">OFFSET(E187,-1,1)</f>
        <v>2</v>
      </c>
      <c r="G187" s="103" t="s">
        <v>1871</v>
      </c>
      <c r="H187" s="496" t="s">
        <v>573</v>
      </c>
      <c r="I187" s="496" t="s">
        <v>1868</v>
      </c>
      <c r="J187" s="496"/>
      <c r="K187" s="496"/>
      <c r="L187" s="496"/>
      <c r="M187" s="496"/>
      <c r="N187" s="496"/>
      <c r="O187" s="496"/>
      <c r="P187" s="496"/>
      <c r="Q187" s="496"/>
      <c r="R187" s="496"/>
      <c r="S187" s="496"/>
      <c r="T187" s="468" cm="1" t="str">
        <f t="array" ref="T187:T187">T186</f>
        <v>true</v>
      </c>
      <c r="U187" s="496"/>
      <c r="V187" s="496"/>
      <c r="W187" s="496"/>
      <c r="X187" s="1559"/>
      <c r="Y187" s="496"/>
      <c r="Z187" s="1528"/>
      <c r="AA187" s="496"/>
      <c r="AB187" s="1098" t="s">
        <v>1872</v>
      </c>
      <c r="AC187" s="871" t="s">
        <v>657</v>
      </c>
      <c r="AD187" s="1103">
        <f>IF(AND(method_reg="Метод индексации",god&lt;&gt;first_year),_xlfn.SUMIFS(INDEX('Калькуляция (МИ корр)'!$AJ$25:$BC$606,,MATCH(AD$8,'Калькуляция (МИ корр)'!$AJ$8:$BC$8,0)),'Калькуляция (МИ корр)'!$F$25:$F$606,$F187,'Калькуляция (МИ корр)'!$G$25:$G$606,$G187),IF(method_reg="Метод экономически обоснованных расходов",_xlfn.SUMIFS('Калькуляция (МЭОР)'!$AJ$25:$AJ$367,'Калькуляция (МЭОР)'!$F$25:$F$367,$F187,'Калькуляция (МЭОР)'!$G$25:$G$367,$G187),IF(method_reg="Метод сравнения аналогов",_xlfn.SUMIFS('Калькуляция (МСА)'!$AE$25:$AE$103,'Калькуляция (МСА)'!$F$25:$F$103,$F187,'Калькуляция (МСА)'!$G$25:$G$103,$G187),_xlfn.SUMIFS(INDEX('Калькуляция (МИ)'!$AJ$25:$BC$603,,MATCH(AD$8,'Калькуляция (МИ)'!$AJ$8:$BC$8,0)),'Калькуляция (МИ)'!$F$25:$F$603,$F187,'Калькуляция (МИ)'!$G$25:$G$603,$G187))))</f>
        <v>4766.327</v>
      </c>
      <c r="AE187" s="1103">
        <f>IF(AND(method_reg="Метод индексации",god&lt;&gt;first_year),_xlfn.SUMIFS(INDEX('Калькуляция (МИ корр)'!$AJ$25:$BC$606,,MATCH(AE$8,'Калькуляция (МИ корр)'!$AJ$8:$BC$8,0)),'Калькуляция (МИ корр)'!$F$25:$F$606,$F187,'Калькуляция (МИ корр)'!$G$25:$G$606,$G187),IF(method_reg="Метод экономически обоснованных расходов",_xlfn.SUMIFS('Калькуляция (МЭОР)'!$AK$25:$AK$367,'Калькуляция (МЭОР)'!$F$25:$F$367,$F187,'Калькуляция (МЭОР)'!$G$25:$G$367,$G187),IF(method_reg="Метод сравнения аналогов",_xlfn.SUMIFS('Калькуляция (МСА)'!$AF$25:$AF$103,'Калькуляция (МСА)'!$F$25:$F$103,$F187,'Калькуляция (МСА)'!$G$25:$G$103,$G187),_xlfn.SUMIFS(INDEX('Калькуляция (МИ)'!$AJ$25:$BC$603,,MATCH(AE$8,'Калькуляция (МИ)'!$AJ$8:$BC$8,0)),'Калькуляция (МИ)'!$F$25:$F$603,$F187,'Калькуляция (МИ)'!$G$25:$G$603,$G187))))</f>
        <v>4589.80103</v>
      </c>
      <c r="AF187" s="1104">
        <f>IF(AD187=0,0,(AE187-AD187)/AD187*100)</f>
        <v>-3.7036059422696</v>
      </c>
      <c r="AG187" s="4585">
        <f>IF(AND(method_reg="Метод индексации",god&lt;&gt;first_year),_xlfn.SUMIFS(INDEX('Калькуляция (МИ корр)'!$AJ$25:$BC$606,,MATCH(AG$8,'Калькуляция (МИ корр)'!$AJ$8:$BC$8,0)),'Калькуляция (МИ корр)'!$F$25:$F$606,$F187,'Калькуляция (МИ корр)'!$G$25:$G$606,$G187),IF(method_reg="Метод экономически обоснованных расходов",_xlfn.SUMIFS('Калькуляция (МЭОР)'!$AJ$25:$AJ$367,'Калькуляция (МЭОР)'!$F$25:$F$367,$F187,'Калькуляция (МЭОР)'!$G$25:$G$367,$G187),IF(method_reg="Метод сравнения аналогов",_xlfn.SUMIFS('Калькуляция (МСА)'!$AE$25:$AE$103,'Калькуляция (МСА)'!$F$25:$F$103,$F187,'Калькуляция (МСА)'!$G$25:$G$103,$G187),_xlfn.SUMIFS(INDEX('Калькуляция (МИ)'!$AJ$25:$BC$603,,MATCH(AG$8,'Калькуляция (МИ)'!$AJ$8:$BC$8,0)),'Калькуляция (МИ)'!$F$25:$F$603,$F187,'Калькуляция (МИ)'!$G$25:$G$603,$G187))))</f>
        <v>0</v>
      </c>
      <c r="AH187" s="4585">
        <f>IF(AND(method_reg="Метод индексации",god&lt;&gt;first_year),_xlfn.SUMIFS(INDEX('Калькуляция (МИ корр)'!$AJ$25:$BC$606,,MATCH(AH$8,'Калькуляция (МИ корр)'!$AJ$8:$BC$8,0)),'Калькуляция (МИ корр)'!$F$25:$F$606,$F187,'Калькуляция (МИ корр)'!$G$25:$G$606,$G187),IF(method_reg="Метод экономически обоснованных расходов",_xlfn.SUMIFS('Калькуляция (МЭОР)'!$AK$25:$AK$367,'Калькуляция (МЭОР)'!$F$25:$F$367,$F187,'Калькуляция (МЭОР)'!$G$25:$G$367,$G187),IF(method_reg="Метод сравнения аналогов",_xlfn.SUMIFS('Калькуляция (МСА)'!$AF$25:$AF$103,'Калькуляция (МСА)'!$F$25:$F$103,$F187,'Калькуляция (МСА)'!$G$25:$G$103,$G187),_xlfn.SUMIFS(INDEX('Калькуляция (МИ)'!$AJ$25:$BC$603,,MATCH(AH$8,'Калькуляция (МИ)'!$AJ$8:$BC$8,0)),'Калькуляция (МИ)'!$F$25:$F$603,$F187,'Калькуляция (МИ)'!$G$25:$G$603,$G187))))</f>
        <v>0</v>
      </c>
      <c r="AI187" s="1104">
        <f>IF(AG187=0,0,(AH187-AG187)/AG187*100)</f>
        <v>0</v>
      </c>
      <c r="AJ187" s="4585">
        <f>IF(AND(method_reg="Метод индексации",god&lt;&gt;first_year),_xlfn.SUMIFS(INDEX('Калькуляция (МИ корр)'!$AJ$25:$BC$606,,MATCH(AJ$8,'Калькуляция (МИ корр)'!$AJ$8:$BC$8,0)),'Калькуляция (МИ корр)'!$F$25:$F$606,$F187,'Калькуляция (МИ корр)'!$G$25:$G$606,$G187),IF(method_reg="Метод экономически обоснованных расходов",_xlfn.SUMIFS('Калькуляция (МЭОР)'!$AJ$25:$AJ$367,'Калькуляция (МЭОР)'!$F$25:$F$367,$F187,'Калькуляция (МЭОР)'!$G$25:$G$367,$G187),IF(method_reg="Метод сравнения аналогов",_xlfn.SUMIFS('Калькуляция (МСА)'!$AE$25:$AE$103,'Калькуляция (МСА)'!$F$25:$F$103,$F187,'Калькуляция (МСА)'!$G$25:$G$103,$G187),_xlfn.SUMIFS(INDEX('Калькуляция (МИ)'!$AJ$25:$BC$603,,MATCH(AJ$8,'Калькуляция (МИ)'!$AJ$8:$BC$8,0)),'Калькуляция (МИ)'!$F$25:$F$603,$F187,'Калькуляция (МИ)'!$G$25:$G$603,$G187))))</f>
        <v>0</v>
      </c>
      <c r="AK187" s="4585">
        <f>IF(AND(method_reg="Метод индексации",god&lt;&gt;first_year),_xlfn.SUMIFS(INDEX('Калькуляция (МИ корр)'!$AJ$25:$BC$606,,MATCH(AK$8,'Калькуляция (МИ корр)'!$AJ$8:$BC$8,0)),'Калькуляция (МИ корр)'!$F$25:$F$606,$F187,'Калькуляция (МИ корр)'!$G$25:$G$606,$G187),IF(method_reg="Метод экономически обоснованных расходов",_xlfn.SUMIFS('Калькуляция (МЭОР)'!$AK$25:$AK$367,'Калькуляция (МЭОР)'!$F$25:$F$367,$F187,'Калькуляция (МЭОР)'!$G$25:$G$367,$G187),IF(method_reg="Метод сравнения аналогов",_xlfn.SUMIFS('Калькуляция (МСА)'!$AF$25:$AF$103,'Калькуляция (МСА)'!$F$25:$F$103,$F187,'Калькуляция (МСА)'!$G$25:$G$103,$G187),_xlfn.SUMIFS(INDEX('Калькуляция (МИ)'!$AJ$25:$BC$603,,MATCH(AK$8,'Калькуляция (МИ)'!$AJ$8:$BC$8,0)),'Калькуляция (МИ)'!$F$25:$F$603,$F187,'Калькуляция (МИ)'!$G$25:$G$603,$G187))))</f>
        <v>0</v>
      </c>
      <c r="AL187" s="1104">
        <f>IF(AJ187=0,0,(AK187-AJ187)/AJ187*100)</f>
        <v>0</v>
      </c>
      <c r="AM187" s="4585">
        <f>IF(AND(method_reg="Метод индексации",god&lt;&gt;first_year),_xlfn.SUMIFS(INDEX('Калькуляция (МИ корр)'!$AJ$25:$BC$606,,MATCH(AM$8,'Калькуляция (МИ корр)'!$AJ$8:$BC$8,0)),'Калькуляция (МИ корр)'!$F$25:$F$606,$F187,'Калькуляция (МИ корр)'!$G$25:$G$606,$G187),IF(method_reg="Метод экономически обоснованных расходов",_xlfn.SUMIFS('Калькуляция (МЭОР)'!$AJ$25:$AJ$367,'Калькуляция (МЭОР)'!$F$25:$F$367,$F187,'Калькуляция (МЭОР)'!$G$25:$G$367,$G187),IF(method_reg="Метод сравнения аналогов",_xlfn.SUMIFS('Калькуляция (МСА)'!$AE$25:$AE$103,'Калькуляция (МСА)'!$F$25:$F$103,$F187,'Калькуляция (МСА)'!$G$25:$G$103,$G187),_xlfn.SUMIFS(INDEX('Калькуляция (МИ)'!$AJ$25:$BC$603,,MATCH(AM$8,'Калькуляция (МИ)'!$AJ$8:$BC$8,0)),'Калькуляция (МИ)'!$F$25:$F$603,$F187,'Калькуляция (МИ)'!$G$25:$G$603,$G187))))</f>
        <v>0</v>
      </c>
      <c r="AN187" s="4585">
        <f>IF(AND(method_reg="Метод индексации",god&lt;&gt;first_year),_xlfn.SUMIFS(INDEX('Калькуляция (МИ корр)'!$AJ$25:$BC$606,,MATCH(AN$8,'Калькуляция (МИ корр)'!$AJ$8:$BC$8,0)),'Калькуляция (МИ корр)'!$F$25:$F$606,$F187,'Калькуляция (МИ корр)'!$G$25:$G$606,$G187),IF(method_reg="Метод экономически обоснованных расходов",_xlfn.SUMIFS('Калькуляция (МЭОР)'!$AK$25:$AK$367,'Калькуляция (МЭОР)'!$F$25:$F$367,$F187,'Калькуляция (МЭОР)'!$G$25:$G$367,$G187),IF(method_reg="Метод сравнения аналогов",_xlfn.SUMIFS('Калькуляция (МСА)'!$AF$25:$AF$103,'Калькуляция (МСА)'!$F$25:$F$103,$F187,'Калькуляция (МСА)'!$G$25:$G$103,$G187),_xlfn.SUMIFS(INDEX('Калькуляция (МИ)'!$AJ$25:$BC$603,,MATCH(AN$8,'Калькуляция (МИ)'!$AJ$8:$BC$8,0)),'Калькуляция (МИ)'!$F$25:$F$603,$F187,'Калькуляция (МИ)'!$G$25:$G$603,$G187))))</f>
        <v>0</v>
      </c>
      <c r="AO187" s="1104">
        <f>IF(AM187=0,0,(AN187-AM187)/AM187*100)</f>
        <v>0</v>
      </c>
      <c r="AP187" s="4585">
        <f>IF(AND(method_reg="Метод индексации",god&lt;&gt;first_year),_xlfn.SUMIFS(INDEX('Калькуляция (МИ корр)'!$AJ$25:$BC$606,,MATCH(AP$8,'Калькуляция (МИ корр)'!$AJ$8:$BC$8,0)),'Калькуляция (МИ корр)'!$F$25:$F$606,$F187,'Калькуляция (МИ корр)'!$G$25:$G$606,$G187),IF(method_reg="Метод экономически обоснованных расходов",_xlfn.SUMIFS('Калькуляция (МЭОР)'!$AJ$25:$AJ$367,'Калькуляция (МЭОР)'!$F$25:$F$367,$F187,'Калькуляция (МЭОР)'!$G$25:$G$367,$G187),IF(method_reg="Метод сравнения аналогов",_xlfn.SUMIFS('Калькуляция (МСА)'!$AE$25:$AE$103,'Калькуляция (МСА)'!$F$25:$F$103,$F187,'Калькуляция (МСА)'!$G$25:$G$103,$G187),_xlfn.SUMIFS(INDEX('Калькуляция (МИ)'!$AJ$25:$BC$603,,MATCH(AP$8,'Калькуляция (МИ)'!$AJ$8:$BC$8,0)),'Калькуляция (МИ)'!$F$25:$F$603,$F187,'Калькуляция (МИ)'!$G$25:$G$603,$G187))))</f>
        <v>0</v>
      </c>
      <c r="AQ187" s="4585">
        <f>IF(AND(method_reg="Метод индексации",god&lt;&gt;first_year),_xlfn.SUMIFS(INDEX('Калькуляция (МИ корр)'!$AJ$25:$BC$606,,MATCH(AQ$8,'Калькуляция (МИ корр)'!$AJ$8:$BC$8,0)),'Калькуляция (МИ корр)'!$F$25:$F$606,$F187,'Калькуляция (МИ корр)'!$G$25:$G$606,$G187),IF(method_reg="Метод экономически обоснованных расходов",_xlfn.SUMIFS('Калькуляция (МЭОР)'!$AK$25:$AK$367,'Калькуляция (МЭОР)'!$F$25:$F$367,$F187,'Калькуляция (МЭОР)'!$G$25:$G$367,$G187),IF(method_reg="Метод сравнения аналогов",_xlfn.SUMIFS('Калькуляция (МСА)'!$AF$25:$AF$103,'Калькуляция (МСА)'!$F$25:$F$103,$F187,'Калькуляция (МСА)'!$G$25:$G$103,$G187),_xlfn.SUMIFS(INDEX('Калькуляция (МИ)'!$AJ$25:$BC$603,,MATCH(AQ$8,'Калькуляция (МИ)'!$AJ$8:$BC$8,0)),'Калькуляция (МИ)'!$F$25:$F$603,$F187,'Калькуляция (МИ)'!$G$25:$G$603,$G187))))</f>
        <v>0</v>
      </c>
      <c r="AR187" s="1104">
        <f>IF(AP187=0,0,(AQ187-AP187)/AP187*100)</f>
        <v>0</v>
      </c>
      <c r="AS187" s="4585">
        <f>IF(AND(method_reg="Метод индексации",god&lt;&gt;first_year),_xlfn.SUMIFS(INDEX('Калькуляция (МИ корр)'!$AJ$25:$BC$606,,MATCH(AS$8,'Калькуляция (МИ корр)'!$AJ$8:$BC$8,0)),'Калькуляция (МИ корр)'!$F$25:$F$606,$F187,'Калькуляция (МИ корр)'!$G$25:$G$606,$G187),IF(method_reg="Метод экономически обоснованных расходов",_xlfn.SUMIFS('Калькуляция (МЭОР)'!$AJ$25:$AJ$367,'Калькуляция (МЭОР)'!$F$25:$F$367,$F187,'Калькуляция (МЭОР)'!$G$25:$G$367,$G187),IF(method_reg="Метод сравнения аналогов",_xlfn.SUMIFS('Калькуляция (МСА)'!$AE$25:$AE$103,'Калькуляция (МСА)'!$F$25:$F$103,$F187,'Калькуляция (МСА)'!$G$25:$G$103,$G187),_xlfn.SUMIFS(INDEX('Калькуляция (МИ)'!$AJ$25:$BC$603,,MATCH(AS$8,'Калькуляция (МИ)'!$AJ$8:$BC$8,0)),'Калькуляция (МИ)'!$F$25:$F$603,$F187,'Калькуляция (МИ)'!$G$25:$G$603,$G187))))</f>
        <v>0</v>
      </c>
      <c r="AT187" s="4585">
        <f>IF(AND(method_reg="Метод индексации",god&lt;&gt;first_year),_xlfn.SUMIFS(INDEX('Калькуляция (МИ корр)'!$AJ$25:$BC$606,,MATCH(AT$8,'Калькуляция (МИ корр)'!$AJ$8:$BC$8,0)),'Калькуляция (МИ корр)'!$F$25:$F$606,$F187,'Калькуляция (МИ корр)'!$G$25:$G$606,$G187),IF(method_reg="Метод экономически обоснованных расходов",_xlfn.SUMIFS('Калькуляция (МЭОР)'!$AK$25:$AK$367,'Калькуляция (МЭОР)'!$F$25:$F$367,$F187,'Калькуляция (МЭОР)'!$G$25:$G$367,$G187),IF(method_reg="Метод сравнения аналогов",_xlfn.SUMIFS('Калькуляция (МСА)'!$AF$25:$AF$103,'Калькуляция (МСА)'!$F$25:$F$103,$F187,'Калькуляция (МСА)'!$G$25:$G$103,$G187),_xlfn.SUMIFS(INDEX('Калькуляция (МИ)'!$AJ$25:$BC$603,,MATCH(AT$8,'Калькуляция (МИ)'!$AJ$8:$BC$8,0)),'Калькуляция (МИ)'!$F$25:$F$603,$F187,'Калькуляция (МИ)'!$G$25:$G$603,$G187))))</f>
        <v>0</v>
      </c>
      <c r="AU187" s="1104">
        <f>IF(AS187=0,0,(AT187-AS187)/AS187*100)</f>
        <v>0</v>
      </c>
      <c r="AV187" s="4585">
        <f>IF(AND(method_reg="Метод индексации",god&lt;&gt;first_year),_xlfn.SUMIFS(INDEX('Калькуляция (МИ корр)'!$AJ$25:$BC$606,,MATCH(AV$8,'Калькуляция (МИ корр)'!$AJ$8:$BC$8,0)),'Калькуляция (МИ корр)'!$F$25:$F$606,$F187,'Калькуляция (МИ корр)'!$G$25:$G$606,$G187),IF(method_reg="Метод экономически обоснованных расходов",_xlfn.SUMIFS('Калькуляция (МЭОР)'!$AJ$25:$AJ$367,'Калькуляция (МЭОР)'!$F$25:$F$367,$F187,'Калькуляция (МЭОР)'!$G$25:$G$367,$G187),IF(method_reg="Метод сравнения аналогов",_xlfn.SUMIFS('Калькуляция (МСА)'!$AE$25:$AE$103,'Калькуляция (МСА)'!$F$25:$F$103,$F187,'Калькуляция (МСА)'!$G$25:$G$103,$G187),_xlfn.SUMIFS(INDEX('Калькуляция (МИ)'!$AJ$25:$BC$603,,MATCH(AV$8,'Калькуляция (МИ)'!$AJ$8:$BC$8,0)),'Калькуляция (МИ)'!$F$25:$F$603,$F187,'Калькуляция (МИ)'!$G$25:$G$603,$G187))))</f>
        <v>0</v>
      </c>
      <c r="AW187" s="4585">
        <f>IF(AND(method_reg="Метод индексации",god&lt;&gt;first_year),_xlfn.SUMIFS(INDEX('Калькуляция (МИ корр)'!$AJ$25:$BC$606,,MATCH(AW$8,'Калькуляция (МИ корр)'!$AJ$8:$BC$8,0)),'Калькуляция (МИ корр)'!$F$25:$F$606,$F187,'Калькуляция (МИ корр)'!$G$25:$G$606,$G187),IF(method_reg="Метод экономически обоснованных расходов",_xlfn.SUMIFS('Калькуляция (МЭОР)'!$AK$25:$AK$367,'Калькуляция (МЭОР)'!$F$25:$F$367,$F187,'Калькуляция (МЭОР)'!$G$25:$G$367,$G187),IF(method_reg="Метод сравнения аналогов",_xlfn.SUMIFS('Калькуляция (МСА)'!$AF$25:$AF$103,'Калькуляция (МСА)'!$F$25:$F$103,$F187,'Калькуляция (МСА)'!$G$25:$G$103,$G187),_xlfn.SUMIFS(INDEX('Калькуляция (МИ)'!$AJ$25:$BC$603,,MATCH(AW$8,'Калькуляция (МИ)'!$AJ$8:$BC$8,0)),'Калькуляция (МИ)'!$F$25:$F$603,$F187,'Калькуляция (МИ)'!$G$25:$G$603,$G187))))</f>
        <v>0</v>
      </c>
      <c r="AX187" s="1104">
        <f>IF(AV187=0,0,(AW187-AV187)/AV187*100)</f>
        <v>0</v>
      </c>
      <c r="AY187" s="4585">
        <f>IF(AND(method_reg="Метод индексации",god&lt;&gt;first_year),_xlfn.SUMIFS(INDEX('Калькуляция (МИ корр)'!$AJ$25:$BC$606,,MATCH(AY$8,'Калькуляция (МИ корр)'!$AJ$8:$BC$8,0)),'Калькуляция (МИ корр)'!$F$25:$F$606,$F187,'Калькуляция (МИ корр)'!$G$25:$G$606,$G187),IF(method_reg="Метод экономически обоснованных расходов",_xlfn.SUMIFS('Калькуляция (МЭОР)'!$AJ$25:$AJ$367,'Калькуляция (МЭОР)'!$F$25:$F$367,$F187,'Калькуляция (МЭОР)'!$G$25:$G$367,$G187),IF(method_reg="Метод сравнения аналогов",_xlfn.SUMIFS('Калькуляция (МСА)'!$AE$25:$AE$103,'Калькуляция (МСА)'!$F$25:$F$103,$F187,'Калькуляция (МСА)'!$G$25:$G$103,$G187),_xlfn.SUMIFS(INDEX('Калькуляция (МИ)'!$AJ$25:$BC$603,,MATCH(AY$8,'Калькуляция (МИ)'!$AJ$8:$BC$8,0)),'Калькуляция (МИ)'!$F$25:$F$603,$F187,'Калькуляция (МИ)'!$G$25:$G$603,$G187))))</f>
        <v>0</v>
      </c>
      <c r="AZ187" s="4585">
        <f>IF(AND(method_reg="Метод индексации",god&lt;&gt;first_year),_xlfn.SUMIFS(INDEX('Калькуляция (МИ корр)'!$AJ$25:$BC$606,,MATCH(AZ$8,'Калькуляция (МИ корр)'!$AJ$8:$BC$8,0)),'Калькуляция (МИ корр)'!$F$25:$F$606,$F187,'Калькуляция (МИ корр)'!$G$25:$G$606,$G187),IF(method_reg="Метод экономически обоснованных расходов",_xlfn.SUMIFS('Калькуляция (МЭОР)'!$AK$25:$AK$367,'Калькуляция (МЭОР)'!$F$25:$F$367,$F187,'Калькуляция (МЭОР)'!$G$25:$G$367,$G187),IF(method_reg="Метод сравнения аналогов",_xlfn.SUMIFS('Калькуляция (МСА)'!$AF$25:$AF$103,'Калькуляция (МСА)'!$F$25:$F$103,$F187,'Калькуляция (МСА)'!$G$25:$G$103,$G187),_xlfn.SUMIFS(INDEX('Калькуляция (МИ)'!$AJ$25:$BC$603,,MATCH(AZ$8,'Калькуляция (МИ)'!$AJ$8:$BC$8,0)),'Калькуляция (МИ)'!$F$25:$F$603,$F187,'Калькуляция (МИ)'!$G$25:$G$603,$G187))))</f>
        <v>0</v>
      </c>
      <c r="BA187" s="1104">
        <f>IF(AY187=0,0,(AZ187-AY187)/AY187*100)</f>
        <v>0</v>
      </c>
      <c r="BB187" s="4585">
        <f>IF(AND(method_reg="Метод индексации",god&lt;&gt;first_year),_xlfn.SUMIFS(INDEX('Калькуляция (МИ корр)'!$AJ$25:$BC$606,,MATCH(BB$8,'Калькуляция (МИ корр)'!$AJ$8:$BC$8,0)),'Калькуляция (МИ корр)'!$F$25:$F$606,$F187,'Калькуляция (МИ корр)'!$G$25:$G$606,$G187),IF(method_reg="Метод экономически обоснованных расходов",_xlfn.SUMIFS('Калькуляция (МЭОР)'!$AJ$25:$AJ$367,'Калькуляция (МЭОР)'!$F$25:$F$367,$F187,'Калькуляция (МЭОР)'!$G$25:$G$367,$G187),IF(method_reg="Метод сравнения аналогов",_xlfn.SUMIFS('Калькуляция (МСА)'!$AE$25:$AE$103,'Калькуляция (МСА)'!$F$25:$F$103,$F187,'Калькуляция (МСА)'!$G$25:$G$103,$G187),_xlfn.SUMIFS(INDEX('Калькуляция (МИ)'!$AJ$25:$BC$603,,MATCH(BB$8,'Калькуляция (МИ)'!$AJ$8:$BC$8,0)),'Калькуляция (МИ)'!$F$25:$F$603,$F187,'Калькуляция (МИ)'!$G$25:$G$603,$G187))))</f>
        <v>0</v>
      </c>
      <c r="BC187" s="4585">
        <f>IF(AND(method_reg="Метод индексации",god&lt;&gt;first_year),_xlfn.SUMIFS(INDEX('Калькуляция (МИ корр)'!$AJ$25:$BC$606,,MATCH(BC$8,'Калькуляция (МИ корр)'!$AJ$8:$BC$8,0)),'Калькуляция (МИ корр)'!$F$25:$F$606,$F187,'Калькуляция (МИ корр)'!$G$25:$G$606,$G187),IF(method_reg="Метод экономически обоснованных расходов",_xlfn.SUMIFS('Калькуляция (МЭОР)'!$AK$25:$AK$367,'Калькуляция (МЭОР)'!$F$25:$F$367,$F187,'Калькуляция (МЭОР)'!$G$25:$G$367,$G187),IF(method_reg="Метод сравнения аналогов",_xlfn.SUMIFS('Калькуляция (МСА)'!$AF$25:$AF$103,'Калькуляция (МСА)'!$F$25:$F$103,$F187,'Калькуляция (МСА)'!$G$25:$G$103,$G187),_xlfn.SUMIFS(INDEX('Калькуляция (МИ)'!$AJ$25:$BC$603,,MATCH(BC$8,'Калькуляция (МИ)'!$AJ$8:$BC$8,0)),'Калькуляция (МИ)'!$F$25:$F$603,$F187,'Калькуляция (МИ)'!$G$25:$G$603,$G187))))</f>
        <v>0</v>
      </c>
      <c r="BD187" s="1104">
        <f>IF(BB187=0,0,(BC187-BB187)/BB187*100)</f>
        <v>0</v>
      </c>
      <c r="BE187" s="4585">
        <f>IF(AND(method_reg="Метод индексации",god&lt;&gt;first_year),_xlfn.SUMIFS(INDEX('Калькуляция (МИ корр)'!$AJ$25:$BC$606,,MATCH(BE$8,'Калькуляция (МИ корр)'!$AJ$8:$BC$8,0)),'Калькуляция (МИ корр)'!$F$25:$F$606,$F187,'Калькуляция (МИ корр)'!$G$25:$G$606,$G187),IF(method_reg="Метод экономически обоснованных расходов",_xlfn.SUMIFS('Калькуляция (МЭОР)'!$AJ$25:$AJ$367,'Калькуляция (МЭОР)'!$F$25:$F$367,$F187,'Калькуляция (МЭОР)'!$G$25:$G$367,$G187),IF(method_reg="Метод сравнения аналогов",_xlfn.SUMIFS('Калькуляция (МСА)'!$AE$25:$AE$103,'Калькуляция (МСА)'!$F$25:$F$103,$F187,'Калькуляция (МСА)'!$G$25:$G$103,$G187),_xlfn.SUMIFS(INDEX('Калькуляция (МИ)'!$AJ$25:$BC$603,,MATCH(BE$8,'Калькуляция (МИ)'!$AJ$8:$BC$8,0)),'Калькуляция (МИ)'!$F$25:$F$603,$F187,'Калькуляция (МИ)'!$G$25:$G$603,$G187))))</f>
        <v>0</v>
      </c>
      <c r="BF187" s="4585">
        <f>IF(AND(method_reg="Метод индексации",god&lt;&gt;first_year),_xlfn.SUMIFS(INDEX('Калькуляция (МИ корр)'!$AJ$25:$BC$606,,MATCH(BF$8,'Калькуляция (МИ корр)'!$AJ$8:$BC$8,0)),'Калькуляция (МИ корр)'!$F$25:$F$606,$F187,'Калькуляция (МИ корр)'!$G$25:$G$606,$G187),IF(method_reg="Метод экономически обоснованных расходов",_xlfn.SUMIFS('Калькуляция (МЭОР)'!$AK$25:$AK$367,'Калькуляция (МЭОР)'!$F$25:$F$367,$F187,'Калькуляция (МЭОР)'!$G$25:$G$367,$G187),IF(method_reg="Метод сравнения аналогов",_xlfn.SUMIFS('Калькуляция (МСА)'!$AF$25:$AF$103,'Калькуляция (МСА)'!$F$25:$F$103,$F187,'Калькуляция (МСА)'!$G$25:$G$103,$G187),_xlfn.SUMIFS(INDEX('Калькуляция (МИ)'!$AJ$25:$BC$603,,MATCH(BF$8,'Калькуляция (МИ)'!$AJ$8:$BC$8,0)),'Калькуляция (МИ)'!$F$25:$F$603,$F187,'Калькуляция (МИ)'!$G$25:$G$603,$G187))))</f>
        <v>0</v>
      </c>
      <c r="BG187" s="1104">
        <f>IF(BE187=0,0,(BF187-BE187)/BE187*100)</f>
        <v>0</v>
      </c>
      <c r="BH187" s="4585"/>
      <c r="BI187" s="4585"/>
      <c r="BJ187" s="1104">
        <f>IF(BH187=0,0,(BI187-BH187)/BH187*100)</f>
        <v>0</v>
      </c>
      <c r="BK187" s="4585"/>
      <c r="BL187" s="4585"/>
      <c r="BM187" s="1104">
        <f>IF(BK187=0,0,(BL187-BK187)/BK187*100)</f>
        <v>0</v>
      </c>
      <c r="BN187" s="4585"/>
      <c r="BO187" s="4585"/>
      <c r="BP187" s="1104">
        <f>IF(BN187=0,0,(BO187-BN187)/BN187*100)</f>
        <v>0</v>
      </c>
      <c r="BQ187" s="4585"/>
      <c r="BR187" s="4585"/>
      <c r="BS187" s="1104">
        <f>IF(BQ187=0,0,(BR187-BQ187)/BQ187*100)</f>
        <v>0</v>
      </c>
      <c r="BT187" s="4585"/>
      <c r="BU187" s="4585"/>
      <c r="BV187" s="1104">
        <f>IF(BT187=0,0,(BU187-BT187)/BT187*100)</f>
        <v>0</v>
      </c>
      <c r="BW187" s="4585"/>
      <c r="BX187" s="4585"/>
      <c r="BY187" s="1104">
        <f>IF(BW187=0,0,(BX187-BW187)/BW187*100)</f>
        <v>0</v>
      </c>
      <c r="BZ187" s="4585"/>
      <c r="CA187" s="4585"/>
      <c r="CB187" s="1104">
        <f>IF(BZ187=0,0,(CA187-BZ187)/BZ187*100)</f>
        <v>0</v>
      </c>
      <c r="CC187" s="4585"/>
      <c r="CD187" s="4585"/>
      <c r="CE187" s="1104">
        <f>IF(CC187=0,0,(CD187-CC187)/CC187*100)</f>
        <v>0</v>
      </c>
      <c r="CF187" s="4585"/>
      <c r="CG187" s="4585"/>
      <c r="CH187" s="1104">
        <f>IF(CF187=0,0,(CG187-CF187)/CF187*100)</f>
        <v>0</v>
      </c>
      <c r="CI187" s="4585"/>
      <c r="CJ187" s="4585"/>
      <c r="CK187" s="1104">
        <f>IF(CI187=0,0,(CJ187-CI187)/CI187*100)</f>
        <v>0</v>
      </c>
      <c r="CL187" s="4585"/>
      <c r="CM187" s="4585"/>
      <c r="CN187" s="1104">
        <f>IF(CL187=0,0,(CM187-CL187)/CL187*100)</f>
        <v>0</v>
      </c>
      <c r="CO187" s="4585"/>
      <c r="CP187" s="4585"/>
      <c r="CQ187" s="1104">
        <f>IF(CO187=0,0,(CP187-CO187)/CO187*100)</f>
        <v>0</v>
      </c>
      <c r="CR187" s="4585"/>
      <c r="CS187" s="4585"/>
      <c r="CT187" s="1104">
        <f>IF(CR187=0,0,(CS187-CR187)/CR187*100)</f>
        <v>0</v>
      </c>
      <c r="CU187" s="4585"/>
      <c r="CV187" s="4585"/>
      <c r="CW187" s="1104">
        <f>IF(CU187=0,0,(CV187-CU187)/CU187*100)</f>
        <v>0</v>
      </c>
      <c r="CX187" s="4585"/>
      <c r="CY187" s="4585"/>
      <c r="CZ187" s="1104">
        <f>IF(CX187=0,0,(CY187-CX187)/CX187*100)</f>
        <v>0</v>
      </c>
      <c r="DA187" s="4585"/>
      <c r="DB187" s="4585"/>
      <c r="DC187" s="1104">
        <f>IF(DA187=0,0,(DB187-DA187)/DA187*100)</f>
        <v>0</v>
      </c>
      <c r="DD187" s="4585"/>
      <c r="DE187" s="4585"/>
      <c r="DF187" s="1104">
        <f>IF(DD187=0,0,(DE187-DD187)/DD187*100)</f>
        <v>0</v>
      </c>
      <c r="DG187" s="4585"/>
      <c r="DH187" s="4585"/>
      <c r="DI187" s="1104">
        <f>IF(DG187=0,0,(DH187-DG187)/DG187*100)</f>
        <v>0</v>
      </c>
      <c r="DJ187" s="4585"/>
      <c r="DK187" s="4585"/>
      <c r="DL187" s="1104">
        <f>IF(DJ187=0,0,(DK187-DJ187)/DJ187*100)</f>
        <v>0</v>
      </c>
      <c r="DM187" s="4585"/>
      <c r="DN187" s="4585"/>
      <c r="DO187" s="1104">
        <f>IF(DM187=0,0,(DN187-DM187)/DM187*100)</f>
        <v>0</v>
      </c>
      <c r="DP187" s="4585"/>
      <c r="DQ187" s="4585"/>
      <c r="DR187" s="1104">
        <f>IF(DP187=0,0,(DQ187-DP187)/DP187*100)</f>
        <v>0</v>
      </c>
      <c r="DS187" s="4585"/>
      <c r="DT187" s="4585"/>
      <c r="DU187" s="1104">
        <f>IF(DS187=0,0,(DT187-DS187)/DS187*100)</f>
        <v>0</v>
      </c>
      <c r="DV187" s="4585"/>
      <c r="DW187" s="4585"/>
      <c r="DX187" s="1104">
        <f>IF(DV187=0,0,(DW187-DV187)/DV187*100)</f>
        <v>0</v>
      </c>
      <c r="DY187" s="4585"/>
      <c r="DZ187" s="4585"/>
      <c r="EA187" s="1104">
        <f>IF(DY187=0,0,(DZ187-DY187)/DY187*100)</f>
        <v>0</v>
      </c>
      <c r="EB187" s="4585"/>
      <c r="EC187" s="4585"/>
      <c r="ED187" s="1104">
        <f>IF(EB187=0,0,(EC187-EB187)/EB187*100)</f>
        <v>0</v>
      </c>
      <c r="EE187" s="4585"/>
      <c r="EF187" s="4585"/>
      <c r="EG187" s="1104">
        <f>IF(EE187=0,0,(EF187-EE187)/EE187*100)</f>
        <v>0</v>
      </c>
      <c r="EH187" s="4585"/>
      <c r="EI187" s="4585"/>
      <c r="EJ187" s="1104">
        <f>IF(EH187=0,0,(EI187-EH187)/EH187*100)</f>
        <v>0</v>
      </c>
      <c r="EK187" s="4585"/>
      <c r="EL187" s="4585"/>
      <c r="EM187" s="1104">
        <f>IF(EK187=0,0,(EL187-EK187)/EK187*100)</f>
        <v>0</v>
      </c>
      <c r="EN187" s="4585"/>
      <c r="EO187" s="4585"/>
      <c r="EP187" s="1104">
        <f>IF(EN187=0,0,(EO187-EN187)/EN187*100)</f>
        <v>0</v>
      </c>
      <c r="EQ187" s="4585"/>
      <c r="ER187" s="4585"/>
      <c r="ES187" s="1104">
        <f>IF(EQ187=0,0,(ER187-EQ187)/EQ187*100)</f>
        <v>0</v>
      </c>
      <c r="ET187" s="4585"/>
      <c r="EU187" s="4585"/>
      <c r="EV187" s="1104">
        <f>IF(ET187=0,0,(EU187-ET187)/ET187*100)</f>
        <v>0</v>
      </c>
      <c r="EW187" s="4585"/>
      <c r="EX187" s="4585"/>
      <c r="EY187" s="1104">
        <f>IF(EW187=0,0,(EX187-EW187)/EW187*100)</f>
        <v>0</v>
      </c>
      <c r="EZ187" s="4585"/>
      <c r="FA187" s="4585"/>
      <c r="FB187" s="1104">
        <f>IF(EZ187=0,0,(FA187-EZ187)/EZ187*100)</f>
        <v>0</v>
      </c>
      <c r="FC187" s="4585"/>
      <c r="FD187" s="4585"/>
      <c r="FE187" s="1104">
        <f>IF(FC187=0,0,(FD187-FC187)/FC187*100)</f>
        <v>0</v>
      </c>
      <c r="FF187" s="4585"/>
      <c r="FG187" s="4585"/>
      <c r="FH187" s="1104">
        <f>IF(FF187=0,0,(FG187-FF187)/FF187*100)</f>
        <v>0</v>
      </c>
      <c r="FI187" s="4585"/>
      <c r="FJ187" s="4585"/>
      <c r="FK187" s="1104">
        <f>IF(FI187=0,0,(FJ187-FI187)/FI187*100)</f>
        <v>0</v>
      </c>
      <c r="FL187" s="4585"/>
      <c r="FM187" s="4585"/>
      <c r="FN187" s="1104">
        <f>IF(FL187=0,0,(FM187-FL187)/FL187*100)</f>
        <v>0</v>
      </c>
      <c r="FO187" s="4585"/>
      <c r="FP187" s="4585"/>
      <c r="FQ187" s="1104">
        <f>IF(FO187=0,0,(FP187-FO187)/FO187*100)</f>
        <v>0</v>
      </c>
      <c r="FR187" s="4585"/>
      <c r="FS187" s="4585"/>
      <c r="FT187" s="1104">
        <f>IF(FR187=0,0,(FS187-FR187)/FR187*100)</f>
        <v>0</v>
      </c>
      <c r="FU187" s="4585"/>
      <c r="FV187" s="4585"/>
      <c r="FW187" s="1104">
        <f>IF(FU187=0,0,(FV187-FU187)/FU187*100)</f>
        <v>0</v>
      </c>
      <c r="FX187" s="288"/>
      <c r="FY187" s="1328"/>
      <c r="FZ187" s="1063" t="s">
        <v>1873</v>
      </c>
      <c r="GA187" s="1330"/>
      <c r="GB187" s="1330"/>
      <c r="GC187" s="1329"/>
      <c r="GD187" s="1329"/>
    </row>
    <row s="5088" customFormat="1" customHeight="1" ht="26.671875">
      <c r="A188" s="904"/>
      <c r="B188" s="932" cm="1" t="str">
        <f t="array" ref="B188:B188">B187</f>
        <v>true</v>
      </c>
      <c r="C188" s="904"/>
      <c r="D188" s="904"/>
      <c r="E188" s="905">
        <v>24.5</v>
      </c>
      <c r="F188" s="50" cm="1" t="str">
        <f t="array" ref="F188:F188">OFFSET(E188,-1,1)</f>
        <v>2</v>
      </c>
      <c r="G188" s="103" t="s">
        <v>1874</v>
      </c>
      <c r="H188" s="496" t="s">
        <v>566</v>
      </c>
      <c r="I188" s="496" t="s">
        <v>1875</v>
      </c>
      <c r="J188" s="904"/>
      <c r="K188" s="904"/>
      <c r="L188" s="496"/>
      <c r="M188" s="904"/>
      <c r="N188" s="904"/>
      <c r="O188" s="904"/>
      <c r="P188" s="904"/>
      <c r="Q188" s="904"/>
      <c r="R188" s="496"/>
      <c r="S188" s="496"/>
      <c r="T188" s="468" cm="1" t="str">
        <f t="array" ref="T188:T188">T187</f>
        <v>true</v>
      </c>
      <c r="U188" s="904"/>
      <c r="V188" s="904"/>
      <c r="W188" s="904"/>
      <c r="X188" s="1559"/>
      <c r="Y188" s="904"/>
      <c r="Z188" s="1528"/>
      <c r="AA188" s="904"/>
      <c r="AB188" s="289" t="s">
        <v>1876</v>
      </c>
      <c r="AC188" s="290" t="s">
        <v>1862</v>
      </c>
      <c r="AD188" s="906">
        <f>AD184*1.22</f>
        <v>83.8761540699998</v>
      </c>
      <c r="AE188" s="906">
        <f>AE184*1.22</f>
        <v>55.4246</v>
      </c>
      <c r="AF188" s="292">
        <f>IF(AD188=0,0,(AE188-AD188)/AD188*100)</f>
        <v>-33.9209092088977</v>
      </c>
      <c r="AG188" s="4576">
        <f>IF(AND(method_reg="Метод индексации",god&lt;&gt;first_year),_xlfn.SUMIFS(INDEX('Калькуляция (МИ корр)'!$AJ$25:$BC$606,,MATCH(AG$8,'Калькуляция (МИ корр)'!$AJ$8:$BC$8,0)),'Калькуляция (МИ корр)'!$F$25:$F$606,$F188,'Калькуляция (МИ корр)'!$G$25:$G$606,$G188),IF(method_reg="Метод экономически обоснованных расходов",_xlfn.SUMIFS('Калькуляция (МЭОР)'!$AJ$25:$AJ$367,'Калькуляция (МЭОР)'!$F$25:$F$367,$F188,'Калькуляция (МЭОР)'!$G$25:$G$367,$G188),IF(method_reg="Метод сравнения аналогов",_xlfn.SUMIFS('Калькуляция (МСА)'!$AE$25:$AE$103,'Калькуляция (МСА)'!$F$25:$F$103,$F188,'Калькуляция (МСА)'!$G$25:$G$103,$G188),_xlfn.SUMIFS(INDEX('Калькуляция (МИ)'!$AJ$25:$BC$603,,MATCH(AG$8,'Калькуляция (МИ)'!$AJ$8:$BC$8,0)),'Калькуляция (МИ)'!$F$25:$F$603,$F188,'Калькуляция (МИ)'!$G$25:$G$603,$G188))))</f>
        <v>0</v>
      </c>
      <c r="AH188" s="4576">
        <f>IF(AND(method_reg="Метод индексации",god&lt;&gt;first_year),_xlfn.SUMIFS(INDEX('Калькуляция (МИ корр)'!$AJ$25:$BC$606,,MATCH(AH$8,'Калькуляция (МИ корр)'!$AJ$8:$BC$8,0)),'Калькуляция (МИ корр)'!$F$25:$F$606,$F188,'Калькуляция (МИ корр)'!$G$25:$G$606,$G188),IF(method_reg="Метод экономически обоснованных расходов",_xlfn.SUMIFS('Калькуляция (МЭОР)'!$AK$25:$AK$367,'Калькуляция (МЭОР)'!$F$25:$F$367,$F188,'Калькуляция (МЭОР)'!$G$25:$G$367,$G188),IF(method_reg="Метод сравнения аналогов",_xlfn.SUMIFS('Калькуляция (МСА)'!$AF$25:$AF$103,'Калькуляция (МСА)'!$F$25:$F$103,$F188,'Калькуляция (МСА)'!$G$25:$G$103,$G188),_xlfn.SUMIFS(INDEX('Калькуляция (МИ)'!$AJ$25:$BC$603,,MATCH(AH$8,'Калькуляция (МИ)'!$AJ$8:$BC$8,0)),'Калькуляция (МИ)'!$F$25:$F$603,$F188,'Калькуляция (МИ)'!$G$25:$G$603,$G188))))</f>
        <v>0</v>
      </c>
      <c r="AI188" s="292">
        <f>IF(AG188=0,0,(AH188-AG188)/AG188*100)</f>
        <v>0</v>
      </c>
      <c r="AJ188" s="4576">
        <f>IF(AND(method_reg="Метод индексации",god&lt;&gt;first_year),_xlfn.SUMIFS(INDEX('Калькуляция (МИ корр)'!$AJ$25:$BC$606,,MATCH(AJ$8,'Калькуляция (МИ корр)'!$AJ$8:$BC$8,0)),'Калькуляция (МИ корр)'!$F$25:$F$606,$F188,'Калькуляция (МИ корр)'!$G$25:$G$606,$G188),IF(method_reg="Метод экономически обоснованных расходов",_xlfn.SUMIFS('Калькуляция (МЭОР)'!$AJ$25:$AJ$367,'Калькуляция (МЭОР)'!$F$25:$F$367,$F188,'Калькуляция (МЭОР)'!$G$25:$G$367,$G188),IF(method_reg="Метод сравнения аналогов",_xlfn.SUMIFS('Калькуляция (МСА)'!$AE$25:$AE$103,'Калькуляция (МСА)'!$F$25:$F$103,$F188,'Калькуляция (МСА)'!$G$25:$G$103,$G188),_xlfn.SUMIFS(INDEX('Калькуляция (МИ)'!$AJ$25:$BC$603,,MATCH(AJ$8,'Калькуляция (МИ)'!$AJ$8:$BC$8,0)),'Калькуляция (МИ)'!$F$25:$F$603,$F188,'Калькуляция (МИ)'!$G$25:$G$603,$G188))))</f>
        <v>0</v>
      </c>
      <c r="AK188" s="4576">
        <f>IF(AND(method_reg="Метод индексации",god&lt;&gt;first_year),_xlfn.SUMIFS(INDEX('Калькуляция (МИ корр)'!$AJ$25:$BC$606,,MATCH(AK$8,'Калькуляция (МИ корр)'!$AJ$8:$BC$8,0)),'Калькуляция (МИ корр)'!$F$25:$F$606,$F188,'Калькуляция (МИ корр)'!$G$25:$G$606,$G188),IF(method_reg="Метод экономически обоснованных расходов",_xlfn.SUMIFS('Калькуляция (МЭОР)'!$AK$25:$AK$367,'Калькуляция (МЭОР)'!$F$25:$F$367,$F188,'Калькуляция (МЭОР)'!$G$25:$G$367,$G188),IF(method_reg="Метод сравнения аналогов",_xlfn.SUMIFS('Калькуляция (МСА)'!$AF$25:$AF$103,'Калькуляция (МСА)'!$F$25:$F$103,$F188,'Калькуляция (МСА)'!$G$25:$G$103,$G188),_xlfn.SUMIFS(INDEX('Калькуляция (МИ)'!$AJ$25:$BC$603,,MATCH(AK$8,'Калькуляция (МИ)'!$AJ$8:$BC$8,0)),'Калькуляция (МИ)'!$F$25:$F$603,$F188,'Калькуляция (МИ)'!$G$25:$G$603,$G188))))</f>
        <v>0</v>
      </c>
      <c r="AL188" s="292">
        <f>IF(AJ188=0,0,(AK188-AJ188)/AJ188*100)</f>
        <v>0</v>
      </c>
      <c r="AM188" s="4576">
        <f>IF(AND(method_reg="Метод индексации",god&lt;&gt;first_year),_xlfn.SUMIFS(INDEX('Калькуляция (МИ корр)'!$AJ$25:$BC$606,,MATCH(AM$8,'Калькуляция (МИ корр)'!$AJ$8:$BC$8,0)),'Калькуляция (МИ корр)'!$F$25:$F$606,$F188,'Калькуляция (МИ корр)'!$G$25:$G$606,$G188),IF(method_reg="Метод экономически обоснованных расходов",_xlfn.SUMIFS('Калькуляция (МЭОР)'!$AJ$25:$AJ$367,'Калькуляция (МЭОР)'!$F$25:$F$367,$F188,'Калькуляция (МЭОР)'!$G$25:$G$367,$G188),IF(method_reg="Метод сравнения аналогов",_xlfn.SUMIFS('Калькуляция (МСА)'!$AE$25:$AE$103,'Калькуляция (МСА)'!$F$25:$F$103,$F188,'Калькуляция (МСА)'!$G$25:$G$103,$G188),_xlfn.SUMIFS(INDEX('Калькуляция (МИ)'!$AJ$25:$BC$603,,MATCH(AM$8,'Калькуляция (МИ)'!$AJ$8:$BC$8,0)),'Калькуляция (МИ)'!$F$25:$F$603,$F188,'Калькуляция (МИ)'!$G$25:$G$603,$G188))))</f>
        <v>0</v>
      </c>
      <c r="AN188" s="4576">
        <f>IF(AND(method_reg="Метод индексации",god&lt;&gt;first_year),_xlfn.SUMIFS(INDEX('Калькуляция (МИ корр)'!$AJ$25:$BC$606,,MATCH(AN$8,'Калькуляция (МИ корр)'!$AJ$8:$BC$8,0)),'Калькуляция (МИ корр)'!$F$25:$F$606,$F188,'Калькуляция (МИ корр)'!$G$25:$G$606,$G188),IF(method_reg="Метод экономически обоснованных расходов",_xlfn.SUMIFS('Калькуляция (МЭОР)'!$AK$25:$AK$367,'Калькуляция (МЭОР)'!$F$25:$F$367,$F188,'Калькуляция (МЭОР)'!$G$25:$G$367,$G188),IF(method_reg="Метод сравнения аналогов",_xlfn.SUMIFS('Калькуляция (МСА)'!$AF$25:$AF$103,'Калькуляция (МСА)'!$F$25:$F$103,$F188,'Калькуляция (МСА)'!$G$25:$G$103,$G188),_xlfn.SUMIFS(INDEX('Калькуляция (МИ)'!$AJ$25:$BC$603,,MATCH(AN$8,'Калькуляция (МИ)'!$AJ$8:$BC$8,0)),'Калькуляция (МИ)'!$F$25:$F$603,$F188,'Калькуляция (МИ)'!$G$25:$G$603,$G188))))</f>
        <v>0</v>
      </c>
      <c r="AO188" s="292">
        <f>IF(AM188=0,0,(AN188-AM188)/AM188*100)</f>
        <v>0</v>
      </c>
      <c r="AP188" s="4576">
        <f>IF(AND(method_reg="Метод индексации",god&lt;&gt;first_year),_xlfn.SUMIFS(INDEX('Калькуляция (МИ корр)'!$AJ$25:$BC$606,,MATCH(AP$8,'Калькуляция (МИ корр)'!$AJ$8:$BC$8,0)),'Калькуляция (МИ корр)'!$F$25:$F$606,$F188,'Калькуляция (МИ корр)'!$G$25:$G$606,$G188),IF(method_reg="Метод экономически обоснованных расходов",_xlfn.SUMIFS('Калькуляция (МЭОР)'!$AJ$25:$AJ$367,'Калькуляция (МЭОР)'!$F$25:$F$367,$F188,'Калькуляция (МЭОР)'!$G$25:$G$367,$G188),IF(method_reg="Метод сравнения аналогов",_xlfn.SUMIFS('Калькуляция (МСА)'!$AE$25:$AE$103,'Калькуляция (МСА)'!$F$25:$F$103,$F188,'Калькуляция (МСА)'!$G$25:$G$103,$G188),_xlfn.SUMIFS(INDEX('Калькуляция (МИ)'!$AJ$25:$BC$603,,MATCH(AP$8,'Калькуляция (МИ)'!$AJ$8:$BC$8,0)),'Калькуляция (МИ)'!$F$25:$F$603,$F188,'Калькуляция (МИ)'!$G$25:$G$603,$G188))))</f>
        <v>0</v>
      </c>
      <c r="AQ188" s="4576">
        <f>IF(AND(method_reg="Метод индексации",god&lt;&gt;first_year),_xlfn.SUMIFS(INDEX('Калькуляция (МИ корр)'!$AJ$25:$BC$606,,MATCH(AQ$8,'Калькуляция (МИ корр)'!$AJ$8:$BC$8,0)),'Калькуляция (МИ корр)'!$F$25:$F$606,$F188,'Калькуляция (МИ корр)'!$G$25:$G$606,$G188),IF(method_reg="Метод экономически обоснованных расходов",_xlfn.SUMIFS('Калькуляция (МЭОР)'!$AK$25:$AK$367,'Калькуляция (МЭОР)'!$F$25:$F$367,$F188,'Калькуляция (МЭОР)'!$G$25:$G$367,$G188),IF(method_reg="Метод сравнения аналогов",_xlfn.SUMIFS('Калькуляция (МСА)'!$AF$25:$AF$103,'Калькуляция (МСА)'!$F$25:$F$103,$F188,'Калькуляция (МСА)'!$G$25:$G$103,$G188),_xlfn.SUMIFS(INDEX('Калькуляция (МИ)'!$AJ$25:$BC$603,,MATCH(AQ$8,'Калькуляция (МИ)'!$AJ$8:$BC$8,0)),'Калькуляция (МИ)'!$F$25:$F$603,$F188,'Калькуляция (МИ)'!$G$25:$G$603,$G188))))</f>
        <v>0</v>
      </c>
      <c r="AR188" s="292">
        <f>IF(AP188=0,0,(AQ188-AP188)/AP188*100)</f>
        <v>0</v>
      </c>
      <c r="AS188" s="4576">
        <f>IF(AND(method_reg="Метод индексации",god&lt;&gt;first_year),_xlfn.SUMIFS(INDEX('Калькуляция (МИ корр)'!$AJ$25:$BC$606,,MATCH(AS$8,'Калькуляция (МИ корр)'!$AJ$8:$BC$8,0)),'Калькуляция (МИ корр)'!$F$25:$F$606,$F188,'Калькуляция (МИ корр)'!$G$25:$G$606,$G188),IF(method_reg="Метод экономически обоснованных расходов",_xlfn.SUMIFS('Калькуляция (МЭОР)'!$AJ$25:$AJ$367,'Калькуляция (МЭОР)'!$F$25:$F$367,$F188,'Калькуляция (МЭОР)'!$G$25:$G$367,$G188),IF(method_reg="Метод сравнения аналогов",_xlfn.SUMIFS('Калькуляция (МСА)'!$AE$25:$AE$103,'Калькуляция (МСА)'!$F$25:$F$103,$F188,'Калькуляция (МСА)'!$G$25:$G$103,$G188),_xlfn.SUMIFS(INDEX('Калькуляция (МИ)'!$AJ$25:$BC$603,,MATCH(AS$8,'Калькуляция (МИ)'!$AJ$8:$BC$8,0)),'Калькуляция (МИ)'!$F$25:$F$603,$F188,'Калькуляция (МИ)'!$G$25:$G$603,$G188))))</f>
        <v>0</v>
      </c>
      <c r="AT188" s="4576">
        <f>IF(AND(method_reg="Метод индексации",god&lt;&gt;first_year),_xlfn.SUMIFS(INDEX('Калькуляция (МИ корр)'!$AJ$25:$BC$606,,MATCH(AT$8,'Калькуляция (МИ корр)'!$AJ$8:$BC$8,0)),'Калькуляция (МИ корр)'!$F$25:$F$606,$F188,'Калькуляция (МИ корр)'!$G$25:$G$606,$G188),IF(method_reg="Метод экономически обоснованных расходов",_xlfn.SUMIFS('Калькуляция (МЭОР)'!$AK$25:$AK$367,'Калькуляция (МЭОР)'!$F$25:$F$367,$F188,'Калькуляция (МЭОР)'!$G$25:$G$367,$G188),IF(method_reg="Метод сравнения аналогов",_xlfn.SUMIFS('Калькуляция (МСА)'!$AF$25:$AF$103,'Калькуляция (МСА)'!$F$25:$F$103,$F188,'Калькуляция (МСА)'!$G$25:$G$103,$G188),_xlfn.SUMIFS(INDEX('Калькуляция (МИ)'!$AJ$25:$BC$603,,MATCH(AT$8,'Калькуляция (МИ)'!$AJ$8:$BC$8,0)),'Калькуляция (МИ)'!$F$25:$F$603,$F188,'Калькуляция (МИ)'!$G$25:$G$603,$G188))))</f>
        <v>0</v>
      </c>
      <c r="AU188" s="292">
        <f>IF(AS188=0,0,(AT188-AS188)/AS188*100)</f>
        <v>0</v>
      </c>
      <c r="AV188" s="4576">
        <f>IF(AND(method_reg="Метод индексации",god&lt;&gt;first_year),_xlfn.SUMIFS(INDEX('Калькуляция (МИ корр)'!$AJ$25:$BC$606,,MATCH(AV$8,'Калькуляция (МИ корр)'!$AJ$8:$BC$8,0)),'Калькуляция (МИ корр)'!$F$25:$F$606,$F188,'Калькуляция (МИ корр)'!$G$25:$G$606,$G188),IF(method_reg="Метод экономически обоснованных расходов",_xlfn.SUMIFS('Калькуляция (МЭОР)'!$AJ$25:$AJ$367,'Калькуляция (МЭОР)'!$F$25:$F$367,$F188,'Калькуляция (МЭОР)'!$G$25:$G$367,$G188),IF(method_reg="Метод сравнения аналогов",_xlfn.SUMIFS('Калькуляция (МСА)'!$AE$25:$AE$103,'Калькуляция (МСА)'!$F$25:$F$103,$F188,'Калькуляция (МСА)'!$G$25:$G$103,$G188),_xlfn.SUMIFS(INDEX('Калькуляция (МИ)'!$AJ$25:$BC$603,,MATCH(AV$8,'Калькуляция (МИ)'!$AJ$8:$BC$8,0)),'Калькуляция (МИ)'!$F$25:$F$603,$F188,'Калькуляция (МИ)'!$G$25:$G$603,$G188))))</f>
        <v>0</v>
      </c>
      <c r="AW188" s="4576">
        <f>IF(AND(method_reg="Метод индексации",god&lt;&gt;first_year),_xlfn.SUMIFS(INDEX('Калькуляция (МИ корр)'!$AJ$25:$BC$606,,MATCH(AW$8,'Калькуляция (МИ корр)'!$AJ$8:$BC$8,0)),'Калькуляция (МИ корр)'!$F$25:$F$606,$F188,'Калькуляция (МИ корр)'!$G$25:$G$606,$G188),IF(method_reg="Метод экономически обоснованных расходов",_xlfn.SUMIFS('Калькуляция (МЭОР)'!$AK$25:$AK$367,'Калькуляция (МЭОР)'!$F$25:$F$367,$F188,'Калькуляция (МЭОР)'!$G$25:$G$367,$G188),IF(method_reg="Метод сравнения аналогов",_xlfn.SUMIFS('Калькуляция (МСА)'!$AF$25:$AF$103,'Калькуляция (МСА)'!$F$25:$F$103,$F188,'Калькуляция (МСА)'!$G$25:$G$103,$G188),_xlfn.SUMIFS(INDEX('Калькуляция (МИ)'!$AJ$25:$BC$603,,MATCH(AW$8,'Калькуляция (МИ)'!$AJ$8:$BC$8,0)),'Калькуляция (МИ)'!$F$25:$F$603,$F188,'Калькуляция (МИ)'!$G$25:$G$603,$G188))))</f>
        <v>0</v>
      </c>
      <c r="AX188" s="292">
        <f>IF(AV188=0,0,(AW188-AV188)/AV188*100)</f>
        <v>0</v>
      </c>
      <c r="AY188" s="4576">
        <f>IF(AND(method_reg="Метод индексации",god&lt;&gt;first_year),_xlfn.SUMIFS(INDEX('Калькуляция (МИ корр)'!$AJ$25:$BC$606,,MATCH(AY$8,'Калькуляция (МИ корр)'!$AJ$8:$BC$8,0)),'Калькуляция (МИ корр)'!$F$25:$F$606,$F188,'Калькуляция (МИ корр)'!$G$25:$G$606,$G188),IF(method_reg="Метод экономически обоснованных расходов",_xlfn.SUMIFS('Калькуляция (МЭОР)'!$AJ$25:$AJ$367,'Калькуляция (МЭОР)'!$F$25:$F$367,$F188,'Калькуляция (МЭОР)'!$G$25:$G$367,$G188),IF(method_reg="Метод сравнения аналогов",_xlfn.SUMIFS('Калькуляция (МСА)'!$AE$25:$AE$103,'Калькуляция (МСА)'!$F$25:$F$103,$F188,'Калькуляция (МСА)'!$G$25:$G$103,$G188),_xlfn.SUMIFS(INDEX('Калькуляция (МИ)'!$AJ$25:$BC$603,,MATCH(AY$8,'Калькуляция (МИ)'!$AJ$8:$BC$8,0)),'Калькуляция (МИ)'!$F$25:$F$603,$F188,'Калькуляция (МИ)'!$G$25:$G$603,$G188))))</f>
        <v>0</v>
      </c>
      <c r="AZ188" s="4576">
        <f>IF(AND(method_reg="Метод индексации",god&lt;&gt;first_year),_xlfn.SUMIFS(INDEX('Калькуляция (МИ корр)'!$AJ$25:$BC$606,,MATCH(AZ$8,'Калькуляция (МИ корр)'!$AJ$8:$BC$8,0)),'Калькуляция (МИ корр)'!$F$25:$F$606,$F188,'Калькуляция (МИ корр)'!$G$25:$G$606,$G188),IF(method_reg="Метод экономически обоснованных расходов",_xlfn.SUMIFS('Калькуляция (МЭОР)'!$AK$25:$AK$367,'Калькуляция (МЭОР)'!$F$25:$F$367,$F188,'Калькуляция (МЭОР)'!$G$25:$G$367,$G188),IF(method_reg="Метод сравнения аналогов",_xlfn.SUMIFS('Калькуляция (МСА)'!$AF$25:$AF$103,'Калькуляция (МСА)'!$F$25:$F$103,$F188,'Калькуляция (МСА)'!$G$25:$G$103,$G188),_xlfn.SUMIFS(INDEX('Калькуляция (МИ)'!$AJ$25:$BC$603,,MATCH(AZ$8,'Калькуляция (МИ)'!$AJ$8:$BC$8,0)),'Калькуляция (МИ)'!$F$25:$F$603,$F188,'Калькуляция (МИ)'!$G$25:$G$603,$G188))))</f>
        <v>0</v>
      </c>
      <c r="BA188" s="292">
        <f>IF(AY188=0,0,(AZ188-AY188)/AY188*100)</f>
        <v>0</v>
      </c>
      <c r="BB188" s="4576">
        <f>IF(AND(method_reg="Метод индексации",god&lt;&gt;first_year),_xlfn.SUMIFS(INDEX('Калькуляция (МИ корр)'!$AJ$25:$BC$606,,MATCH(BB$8,'Калькуляция (МИ корр)'!$AJ$8:$BC$8,0)),'Калькуляция (МИ корр)'!$F$25:$F$606,$F188,'Калькуляция (МИ корр)'!$G$25:$G$606,$G188),IF(method_reg="Метод экономически обоснованных расходов",_xlfn.SUMIFS('Калькуляция (МЭОР)'!$AJ$25:$AJ$367,'Калькуляция (МЭОР)'!$F$25:$F$367,$F188,'Калькуляция (МЭОР)'!$G$25:$G$367,$G188),IF(method_reg="Метод сравнения аналогов",_xlfn.SUMIFS('Калькуляция (МСА)'!$AE$25:$AE$103,'Калькуляция (МСА)'!$F$25:$F$103,$F188,'Калькуляция (МСА)'!$G$25:$G$103,$G188),_xlfn.SUMIFS(INDEX('Калькуляция (МИ)'!$AJ$25:$BC$603,,MATCH(BB$8,'Калькуляция (МИ)'!$AJ$8:$BC$8,0)),'Калькуляция (МИ)'!$F$25:$F$603,$F188,'Калькуляция (МИ)'!$G$25:$G$603,$G188))))</f>
        <v>0</v>
      </c>
      <c r="BC188" s="4576">
        <f>IF(AND(method_reg="Метод индексации",god&lt;&gt;first_year),_xlfn.SUMIFS(INDEX('Калькуляция (МИ корр)'!$AJ$25:$BC$606,,MATCH(BC$8,'Калькуляция (МИ корр)'!$AJ$8:$BC$8,0)),'Калькуляция (МИ корр)'!$F$25:$F$606,$F188,'Калькуляция (МИ корр)'!$G$25:$G$606,$G188),IF(method_reg="Метод экономически обоснованных расходов",_xlfn.SUMIFS('Калькуляция (МЭОР)'!$AK$25:$AK$367,'Калькуляция (МЭОР)'!$F$25:$F$367,$F188,'Калькуляция (МЭОР)'!$G$25:$G$367,$G188),IF(method_reg="Метод сравнения аналогов",_xlfn.SUMIFS('Калькуляция (МСА)'!$AF$25:$AF$103,'Калькуляция (МСА)'!$F$25:$F$103,$F188,'Калькуляция (МСА)'!$G$25:$G$103,$G188),_xlfn.SUMIFS(INDEX('Калькуляция (МИ)'!$AJ$25:$BC$603,,MATCH(BC$8,'Калькуляция (МИ)'!$AJ$8:$BC$8,0)),'Калькуляция (МИ)'!$F$25:$F$603,$F188,'Калькуляция (МИ)'!$G$25:$G$603,$G188))))</f>
        <v>0</v>
      </c>
      <c r="BD188" s="292">
        <f>IF(BB188=0,0,(BC188-BB188)/BB188*100)</f>
        <v>0</v>
      </c>
      <c r="BE188" s="4576">
        <f>IF(AND(method_reg="Метод индексации",god&lt;&gt;first_year),_xlfn.SUMIFS(INDEX('Калькуляция (МИ корр)'!$AJ$25:$BC$606,,MATCH(BE$8,'Калькуляция (МИ корр)'!$AJ$8:$BC$8,0)),'Калькуляция (МИ корр)'!$F$25:$F$606,$F188,'Калькуляция (МИ корр)'!$G$25:$G$606,$G188),IF(method_reg="Метод экономически обоснованных расходов",_xlfn.SUMIFS('Калькуляция (МЭОР)'!$AJ$25:$AJ$367,'Калькуляция (МЭОР)'!$F$25:$F$367,$F188,'Калькуляция (МЭОР)'!$G$25:$G$367,$G188),IF(method_reg="Метод сравнения аналогов",_xlfn.SUMIFS('Калькуляция (МСА)'!$AE$25:$AE$103,'Калькуляция (МСА)'!$F$25:$F$103,$F188,'Калькуляция (МСА)'!$G$25:$G$103,$G188),_xlfn.SUMIFS(INDEX('Калькуляция (МИ)'!$AJ$25:$BC$603,,MATCH(BE$8,'Калькуляция (МИ)'!$AJ$8:$BC$8,0)),'Калькуляция (МИ)'!$F$25:$F$603,$F188,'Калькуляция (МИ)'!$G$25:$G$603,$G188))))</f>
        <v>0</v>
      </c>
      <c r="BF188" s="4576">
        <f>IF(AND(method_reg="Метод индексации",god&lt;&gt;first_year),_xlfn.SUMIFS(INDEX('Калькуляция (МИ корр)'!$AJ$25:$BC$606,,MATCH(BF$8,'Калькуляция (МИ корр)'!$AJ$8:$BC$8,0)),'Калькуляция (МИ корр)'!$F$25:$F$606,$F188,'Калькуляция (МИ корр)'!$G$25:$G$606,$G188),IF(method_reg="Метод экономически обоснованных расходов",_xlfn.SUMIFS('Калькуляция (МЭОР)'!$AK$25:$AK$367,'Калькуляция (МЭОР)'!$F$25:$F$367,$F188,'Калькуляция (МЭОР)'!$G$25:$G$367,$G188),IF(method_reg="Метод сравнения аналогов",_xlfn.SUMIFS('Калькуляция (МСА)'!$AF$25:$AF$103,'Калькуляция (МСА)'!$F$25:$F$103,$F188,'Калькуляция (МСА)'!$G$25:$G$103,$G188),_xlfn.SUMIFS(INDEX('Калькуляция (МИ)'!$AJ$25:$BC$603,,MATCH(BF$8,'Калькуляция (МИ)'!$AJ$8:$BC$8,0)),'Калькуляция (МИ)'!$F$25:$F$603,$F188,'Калькуляция (МИ)'!$G$25:$G$603,$G188))))</f>
        <v>0</v>
      </c>
      <c r="BG188" s="292">
        <f>IF(BE188=0,0,(BF188-BE188)/BE188*100)</f>
        <v>0</v>
      </c>
      <c r="BH188" s="4576"/>
      <c r="BI188" s="4576"/>
      <c r="BJ188" s="292">
        <f>IF(BH188=0,0,(BI188-BH188)/BH188*100)</f>
        <v>0</v>
      </c>
      <c r="BK188" s="4576"/>
      <c r="BL188" s="4576"/>
      <c r="BM188" s="292">
        <f>IF(BK188=0,0,(BL188-BK188)/BK188*100)</f>
        <v>0</v>
      </c>
      <c r="BN188" s="4576"/>
      <c r="BO188" s="4576"/>
      <c r="BP188" s="292">
        <f>IF(BN188=0,0,(BO188-BN188)/BN188*100)</f>
        <v>0</v>
      </c>
      <c r="BQ188" s="4576"/>
      <c r="BR188" s="4576"/>
      <c r="BS188" s="292">
        <f>IF(BQ188=0,0,(BR188-BQ188)/BQ188*100)</f>
        <v>0</v>
      </c>
      <c r="BT188" s="4576"/>
      <c r="BU188" s="4576"/>
      <c r="BV188" s="292">
        <f>IF(BT188=0,0,(BU188-BT188)/BT188*100)</f>
        <v>0</v>
      </c>
      <c r="BW188" s="4576"/>
      <c r="BX188" s="4576"/>
      <c r="BY188" s="292">
        <f>IF(BW188=0,0,(BX188-BW188)/BW188*100)</f>
        <v>0</v>
      </c>
      <c r="BZ188" s="4576"/>
      <c r="CA188" s="4576"/>
      <c r="CB188" s="292">
        <f>IF(BZ188=0,0,(CA188-BZ188)/BZ188*100)</f>
        <v>0</v>
      </c>
      <c r="CC188" s="4576"/>
      <c r="CD188" s="4576"/>
      <c r="CE188" s="292">
        <f>IF(CC188=0,0,(CD188-CC188)/CC188*100)</f>
        <v>0</v>
      </c>
      <c r="CF188" s="4576"/>
      <c r="CG188" s="4576"/>
      <c r="CH188" s="292">
        <f>IF(CF188=0,0,(CG188-CF188)/CF188*100)</f>
        <v>0</v>
      </c>
      <c r="CI188" s="4576"/>
      <c r="CJ188" s="4576"/>
      <c r="CK188" s="292">
        <f>IF(CI188=0,0,(CJ188-CI188)/CI188*100)</f>
        <v>0</v>
      </c>
      <c r="CL188" s="4576"/>
      <c r="CM188" s="4576"/>
      <c r="CN188" s="292">
        <f>IF(CL188=0,0,(CM188-CL188)/CL188*100)</f>
        <v>0</v>
      </c>
      <c r="CO188" s="4576"/>
      <c r="CP188" s="4576"/>
      <c r="CQ188" s="292">
        <f>IF(CO188=0,0,(CP188-CO188)/CO188*100)</f>
        <v>0</v>
      </c>
      <c r="CR188" s="4576"/>
      <c r="CS188" s="4576"/>
      <c r="CT188" s="292">
        <f>IF(CR188=0,0,(CS188-CR188)/CR188*100)</f>
        <v>0</v>
      </c>
      <c r="CU188" s="4576"/>
      <c r="CV188" s="4576"/>
      <c r="CW188" s="292">
        <f>IF(CU188=0,0,(CV188-CU188)/CU188*100)</f>
        <v>0</v>
      </c>
      <c r="CX188" s="4576"/>
      <c r="CY188" s="4576"/>
      <c r="CZ188" s="292">
        <f>IF(CX188=0,0,(CY188-CX188)/CX188*100)</f>
        <v>0</v>
      </c>
      <c r="DA188" s="4576"/>
      <c r="DB188" s="4576"/>
      <c r="DC188" s="292">
        <f>IF(DA188=0,0,(DB188-DA188)/DA188*100)</f>
        <v>0</v>
      </c>
      <c r="DD188" s="4576"/>
      <c r="DE188" s="4576"/>
      <c r="DF188" s="292">
        <f>IF(DD188=0,0,(DE188-DD188)/DD188*100)</f>
        <v>0</v>
      </c>
      <c r="DG188" s="4576"/>
      <c r="DH188" s="4576"/>
      <c r="DI188" s="292">
        <f>IF(DG188=0,0,(DH188-DG188)/DG188*100)</f>
        <v>0</v>
      </c>
      <c r="DJ188" s="4576"/>
      <c r="DK188" s="4576"/>
      <c r="DL188" s="292">
        <f>IF(DJ188=0,0,(DK188-DJ188)/DJ188*100)</f>
        <v>0</v>
      </c>
      <c r="DM188" s="4576"/>
      <c r="DN188" s="4576"/>
      <c r="DO188" s="292">
        <f>IF(DM188=0,0,(DN188-DM188)/DM188*100)</f>
        <v>0</v>
      </c>
      <c r="DP188" s="4576"/>
      <c r="DQ188" s="4576"/>
      <c r="DR188" s="292">
        <f>IF(DP188=0,0,(DQ188-DP188)/DP188*100)</f>
        <v>0</v>
      </c>
      <c r="DS188" s="4576"/>
      <c r="DT188" s="4576"/>
      <c r="DU188" s="292">
        <f>IF(DS188=0,0,(DT188-DS188)/DS188*100)</f>
        <v>0</v>
      </c>
      <c r="DV188" s="4576"/>
      <c r="DW188" s="4576"/>
      <c r="DX188" s="292">
        <f>IF(DV188=0,0,(DW188-DV188)/DV188*100)</f>
        <v>0</v>
      </c>
      <c r="DY188" s="4576"/>
      <c r="DZ188" s="4576"/>
      <c r="EA188" s="292">
        <f>IF(DY188=0,0,(DZ188-DY188)/DY188*100)</f>
        <v>0</v>
      </c>
      <c r="EB188" s="4576"/>
      <c r="EC188" s="4576"/>
      <c r="ED188" s="292">
        <f>IF(EB188=0,0,(EC188-EB188)/EB188*100)</f>
        <v>0</v>
      </c>
      <c r="EE188" s="4576"/>
      <c r="EF188" s="4576"/>
      <c r="EG188" s="292">
        <f>IF(EE188=0,0,(EF188-EE188)/EE188*100)</f>
        <v>0</v>
      </c>
      <c r="EH188" s="4576"/>
      <c r="EI188" s="4576"/>
      <c r="EJ188" s="292">
        <f>IF(EH188=0,0,(EI188-EH188)/EH188*100)</f>
        <v>0</v>
      </c>
      <c r="EK188" s="4576"/>
      <c r="EL188" s="4576"/>
      <c r="EM188" s="292">
        <f>IF(EK188=0,0,(EL188-EK188)/EK188*100)</f>
        <v>0</v>
      </c>
      <c r="EN188" s="4576"/>
      <c r="EO188" s="4576"/>
      <c r="EP188" s="292">
        <f>IF(EN188=0,0,(EO188-EN188)/EN188*100)</f>
        <v>0</v>
      </c>
      <c r="EQ188" s="4576"/>
      <c r="ER188" s="4576"/>
      <c r="ES188" s="292">
        <f>IF(EQ188=0,0,(ER188-EQ188)/EQ188*100)</f>
        <v>0</v>
      </c>
      <c r="ET188" s="4576"/>
      <c r="EU188" s="4576"/>
      <c r="EV188" s="292">
        <f>IF(ET188=0,0,(EU188-ET188)/ET188*100)</f>
        <v>0</v>
      </c>
      <c r="EW188" s="4576"/>
      <c r="EX188" s="4576"/>
      <c r="EY188" s="292">
        <f>IF(EW188=0,0,(EX188-EW188)/EW188*100)</f>
        <v>0</v>
      </c>
      <c r="EZ188" s="4576"/>
      <c r="FA188" s="4576"/>
      <c r="FB188" s="292">
        <f>IF(EZ188=0,0,(FA188-EZ188)/EZ188*100)</f>
        <v>0</v>
      </c>
      <c r="FC188" s="4576"/>
      <c r="FD188" s="4576"/>
      <c r="FE188" s="292">
        <f>IF(FC188=0,0,(FD188-FC188)/FC188*100)</f>
        <v>0</v>
      </c>
      <c r="FF188" s="4576"/>
      <c r="FG188" s="4576"/>
      <c r="FH188" s="292">
        <f>IF(FF188=0,0,(FG188-FF188)/FF188*100)</f>
        <v>0</v>
      </c>
      <c r="FI188" s="4576"/>
      <c r="FJ188" s="4576"/>
      <c r="FK188" s="292">
        <f>IF(FI188=0,0,(FJ188-FI188)/FI188*100)</f>
        <v>0</v>
      </c>
      <c r="FL188" s="4576"/>
      <c r="FM188" s="4576"/>
      <c r="FN188" s="292">
        <f>IF(FL188=0,0,(FM188-FL188)/FL188*100)</f>
        <v>0</v>
      </c>
      <c r="FO188" s="4576"/>
      <c r="FP188" s="4576"/>
      <c r="FQ188" s="292">
        <f>IF(FO188=0,0,(FP188-FO188)/FO188*100)</f>
        <v>0</v>
      </c>
      <c r="FR188" s="4576"/>
      <c r="FS188" s="4576"/>
      <c r="FT188" s="292">
        <f>IF(FR188=0,0,(FS188-FR188)/FR188*100)</f>
        <v>0</v>
      </c>
      <c r="FU188" s="4576"/>
      <c r="FV188" s="4576"/>
      <c r="FW188" s="292">
        <f>IF(FU188=0,0,(FV188-FU188)/FU188*100)</f>
        <v>0</v>
      </c>
      <c r="FX188" s="288"/>
      <c r="FY188" s="288"/>
      <c r="FZ188" s="1063" t="s">
        <v>1877</v>
      </c>
      <c r="GA188" s="1063"/>
      <c r="GB188" s="1063"/>
      <c r="GC188" s="1064"/>
      <c r="GD188" s="1064"/>
    </row>
    <row s="5089" customFormat="1" customHeight="1" ht="27.421875">
      <c r="A189" s="904"/>
      <c r="B189" s="932" cm="1" t="str">
        <f t="array" ref="B189:B189">B188</f>
        <v>true</v>
      </c>
      <c r="C189" s="904"/>
      <c r="D189" s="904"/>
      <c r="E189" s="905">
        <v>24.5</v>
      </c>
      <c r="F189" s="50" cm="1" t="str">
        <f t="array" ref="F189:F189">OFFSET(E189,-1,1)</f>
        <v>2</v>
      </c>
      <c r="G189" s="103" t="s">
        <v>1878</v>
      </c>
      <c r="H189" s="496" t="s">
        <v>566</v>
      </c>
      <c r="I189" s="496" t="s">
        <v>1879</v>
      </c>
      <c r="J189" s="904"/>
      <c r="K189" s="904"/>
      <c r="L189" s="496"/>
      <c r="M189" s="904"/>
      <c r="N189" s="904"/>
      <c r="O189" s="904"/>
      <c r="P189" s="904"/>
      <c r="Q189" s="904"/>
      <c r="R189" s="496"/>
      <c r="S189" s="496"/>
      <c r="T189" s="468" cm="1" t="str">
        <f t="array" ref="T189:T189">T188</f>
        <v>true</v>
      </c>
      <c r="U189" s="904"/>
      <c r="V189" s="904"/>
      <c r="W189" s="904"/>
      <c r="X189" s="1559"/>
      <c r="Y189" s="904"/>
      <c r="Z189" s="1528"/>
      <c r="AA189" s="904"/>
      <c r="AB189" s="1099" t="s">
        <v>1880</v>
      </c>
      <c r="AC189" s="290" t="s">
        <v>1862</v>
      </c>
      <c r="AD189" s="906">
        <f>AD185*1.22</f>
        <v>83.8761540699998</v>
      </c>
      <c r="AE189" s="906">
        <f>AE185*1.22</f>
        <v>62.0735994510825</v>
      </c>
      <c r="AF189" s="292">
        <f>IF(AD189=0,0,(AE189-AD189)/AD189*100)</f>
        <v>-25.9937462091094</v>
      </c>
      <c r="AG189" s="4576">
        <f>IF(AND(method_reg="Метод индексации",god&lt;&gt;first_year),_xlfn.SUMIFS(INDEX('Калькуляция (МИ корр)'!$AJ$25:$BC$606,,MATCH(AG$8,'Калькуляция (МИ корр)'!$AJ$8:$BC$8,0)),'Калькуляция (МИ корр)'!$F$25:$F$606,$F189,'Калькуляция (МИ корр)'!$G$25:$G$606,$G189),IF(method_reg="Метод экономически обоснованных расходов",_xlfn.SUMIFS('Калькуляция (МЭОР)'!$AJ$25:$AJ$367,'Калькуляция (МЭОР)'!$F$25:$F$367,$F189,'Калькуляция (МЭОР)'!$G$25:$G$367,$G189),IF(method_reg="Метод сравнения аналогов",_xlfn.SUMIFS('Калькуляция (МСА)'!$AE$25:$AE$103,'Калькуляция (МСА)'!$F$25:$F$103,$F189,'Калькуляция (МСА)'!$G$25:$G$103,$G189),_xlfn.SUMIFS(INDEX('Калькуляция (МИ)'!$AJ$25:$BC$603,,MATCH(AG$8,'Калькуляция (МИ)'!$AJ$8:$BC$8,0)),'Калькуляция (МИ)'!$F$25:$F$603,$F189,'Калькуляция (МИ)'!$G$25:$G$603,$G189))))</f>
        <v>0</v>
      </c>
      <c r="AH189" s="4576">
        <f>IF(AND(method_reg="Метод индексации",god&lt;&gt;first_year),_xlfn.SUMIFS(INDEX('Калькуляция (МИ корр)'!$AJ$25:$BC$606,,MATCH(AH$8,'Калькуляция (МИ корр)'!$AJ$8:$BC$8,0)),'Калькуляция (МИ корр)'!$F$25:$F$606,$F189,'Калькуляция (МИ корр)'!$G$25:$G$606,$G189),IF(method_reg="Метод экономически обоснованных расходов",_xlfn.SUMIFS('Калькуляция (МЭОР)'!$AK$25:$AK$367,'Калькуляция (МЭОР)'!$F$25:$F$367,$F189,'Калькуляция (МЭОР)'!$G$25:$G$367,$G189),IF(method_reg="Метод сравнения аналогов",_xlfn.SUMIFS('Калькуляция (МСА)'!$AF$25:$AF$103,'Калькуляция (МСА)'!$F$25:$F$103,$F189,'Калькуляция (МСА)'!$G$25:$G$103,$G189),_xlfn.SUMIFS(INDEX('Калькуляция (МИ)'!$AJ$25:$BC$603,,MATCH(AH$8,'Калькуляция (МИ)'!$AJ$8:$BC$8,0)),'Калькуляция (МИ)'!$F$25:$F$603,$F189,'Калькуляция (МИ)'!$G$25:$G$603,$G189))))</f>
        <v>0</v>
      </c>
      <c r="AI189" s="292">
        <f>IF(AG189=0,0,(AH189-AG189)/AG189*100)</f>
        <v>0</v>
      </c>
      <c r="AJ189" s="4576">
        <f>IF(AND(method_reg="Метод индексации",god&lt;&gt;first_year),_xlfn.SUMIFS(INDEX('Калькуляция (МИ корр)'!$AJ$25:$BC$606,,MATCH(AJ$8,'Калькуляция (МИ корр)'!$AJ$8:$BC$8,0)),'Калькуляция (МИ корр)'!$F$25:$F$606,$F189,'Калькуляция (МИ корр)'!$G$25:$G$606,$G189),IF(method_reg="Метод экономически обоснованных расходов",_xlfn.SUMIFS('Калькуляция (МЭОР)'!$AJ$25:$AJ$367,'Калькуляция (МЭОР)'!$F$25:$F$367,$F189,'Калькуляция (МЭОР)'!$G$25:$G$367,$G189),IF(method_reg="Метод сравнения аналогов",_xlfn.SUMIFS('Калькуляция (МСА)'!$AE$25:$AE$103,'Калькуляция (МСА)'!$F$25:$F$103,$F189,'Калькуляция (МСА)'!$G$25:$G$103,$G189),_xlfn.SUMIFS(INDEX('Калькуляция (МИ)'!$AJ$25:$BC$603,,MATCH(AJ$8,'Калькуляция (МИ)'!$AJ$8:$BC$8,0)),'Калькуляция (МИ)'!$F$25:$F$603,$F189,'Калькуляция (МИ)'!$G$25:$G$603,$G189))))</f>
        <v>0</v>
      </c>
      <c r="AK189" s="4576">
        <f>IF(AND(method_reg="Метод индексации",god&lt;&gt;first_year),_xlfn.SUMIFS(INDEX('Калькуляция (МИ корр)'!$AJ$25:$BC$606,,MATCH(AK$8,'Калькуляция (МИ корр)'!$AJ$8:$BC$8,0)),'Калькуляция (МИ корр)'!$F$25:$F$606,$F189,'Калькуляция (МИ корр)'!$G$25:$G$606,$G189),IF(method_reg="Метод экономически обоснованных расходов",_xlfn.SUMIFS('Калькуляция (МЭОР)'!$AK$25:$AK$367,'Калькуляция (МЭОР)'!$F$25:$F$367,$F189,'Калькуляция (МЭОР)'!$G$25:$G$367,$G189),IF(method_reg="Метод сравнения аналогов",_xlfn.SUMIFS('Калькуляция (МСА)'!$AF$25:$AF$103,'Калькуляция (МСА)'!$F$25:$F$103,$F189,'Калькуляция (МСА)'!$G$25:$G$103,$G189),_xlfn.SUMIFS(INDEX('Калькуляция (МИ)'!$AJ$25:$BC$603,,MATCH(AK$8,'Калькуляция (МИ)'!$AJ$8:$BC$8,0)),'Калькуляция (МИ)'!$F$25:$F$603,$F189,'Калькуляция (МИ)'!$G$25:$G$603,$G189))))</f>
        <v>0</v>
      </c>
      <c r="AL189" s="292">
        <f>IF(AJ189=0,0,(AK189-AJ189)/AJ189*100)</f>
        <v>0</v>
      </c>
      <c r="AM189" s="4576">
        <f>IF(AND(method_reg="Метод индексации",god&lt;&gt;first_year),_xlfn.SUMIFS(INDEX('Калькуляция (МИ корр)'!$AJ$25:$BC$606,,MATCH(AM$8,'Калькуляция (МИ корр)'!$AJ$8:$BC$8,0)),'Калькуляция (МИ корр)'!$F$25:$F$606,$F189,'Калькуляция (МИ корр)'!$G$25:$G$606,$G189),IF(method_reg="Метод экономически обоснованных расходов",_xlfn.SUMIFS('Калькуляция (МЭОР)'!$AJ$25:$AJ$367,'Калькуляция (МЭОР)'!$F$25:$F$367,$F189,'Калькуляция (МЭОР)'!$G$25:$G$367,$G189),IF(method_reg="Метод сравнения аналогов",_xlfn.SUMIFS('Калькуляция (МСА)'!$AE$25:$AE$103,'Калькуляция (МСА)'!$F$25:$F$103,$F189,'Калькуляция (МСА)'!$G$25:$G$103,$G189),_xlfn.SUMIFS(INDEX('Калькуляция (МИ)'!$AJ$25:$BC$603,,MATCH(AM$8,'Калькуляция (МИ)'!$AJ$8:$BC$8,0)),'Калькуляция (МИ)'!$F$25:$F$603,$F189,'Калькуляция (МИ)'!$G$25:$G$603,$G189))))</f>
        <v>0</v>
      </c>
      <c r="AN189" s="4576">
        <f>IF(AND(method_reg="Метод индексации",god&lt;&gt;first_year),_xlfn.SUMIFS(INDEX('Калькуляция (МИ корр)'!$AJ$25:$BC$606,,MATCH(AN$8,'Калькуляция (МИ корр)'!$AJ$8:$BC$8,0)),'Калькуляция (МИ корр)'!$F$25:$F$606,$F189,'Калькуляция (МИ корр)'!$G$25:$G$606,$G189),IF(method_reg="Метод экономически обоснованных расходов",_xlfn.SUMIFS('Калькуляция (МЭОР)'!$AK$25:$AK$367,'Калькуляция (МЭОР)'!$F$25:$F$367,$F189,'Калькуляция (МЭОР)'!$G$25:$G$367,$G189),IF(method_reg="Метод сравнения аналогов",_xlfn.SUMIFS('Калькуляция (МСА)'!$AF$25:$AF$103,'Калькуляция (МСА)'!$F$25:$F$103,$F189,'Калькуляция (МСА)'!$G$25:$G$103,$G189),_xlfn.SUMIFS(INDEX('Калькуляция (МИ)'!$AJ$25:$BC$603,,MATCH(AN$8,'Калькуляция (МИ)'!$AJ$8:$BC$8,0)),'Калькуляция (МИ)'!$F$25:$F$603,$F189,'Калькуляция (МИ)'!$G$25:$G$603,$G189))))</f>
        <v>0</v>
      </c>
      <c r="AO189" s="292">
        <f>IF(AM189=0,0,(AN189-AM189)/AM189*100)</f>
        <v>0</v>
      </c>
      <c r="AP189" s="4576">
        <f>IF(AND(method_reg="Метод индексации",god&lt;&gt;first_year),_xlfn.SUMIFS(INDEX('Калькуляция (МИ корр)'!$AJ$25:$BC$606,,MATCH(AP$8,'Калькуляция (МИ корр)'!$AJ$8:$BC$8,0)),'Калькуляция (МИ корр)'!$F$25:$F$606,$F189,'Калькуляция (МИ корр)'!$G$25:$G$606,$G189),IF(method_reg="Метод экономически обоснованных расходов",_xlfn.SUMIFS('Калькуляция (МЭОР)'!$AJ$25:$AJ$367,'Калькуляция (МЭОР)'!$F$25:$F$367,$F189,'Калькуляция (МЭОР)'!$G$25:$G$367,$G189),IF(method_reg="Метод сравнения аналогов",_xlfn.SUMIFS('Калькуляция (МСА)'!$AE$25:$AE$103,'Калькуляция (МСА)'!$F$25:$F$103,$F189,'Калькуляция (МСА)'!$G$25:$G$103,$G189),_xlfn.SUMIFS(INDEX('Калькуляция (МИ)'!$AJ$25:$BC$603,,MATCH(AP$8,'Калькуляция (МИ)'!$AJ$8:$BC$8,0)),'Калькуляция (МИ)'!$F$25:$F$603,$F189,'Калькуляция (МИ)'!$G$25:$G$603,$G189))))</f>
        <v>0</v>
      </c>
      <c r="AQ189" s="4576">
        <f>IF(AND(method_reg="Метод индексации",god&lt;&gt;first_year),_xlfn.SUMIFS(INDEX('Калькуляция (МИ корр)'!$AJ$25:$BC$606,,MATCH(AQ$8,'Калькуляция (МИ корр)'!$AJ$8:$BC$8,0)),'Калькуляция (МИ корр)'!$F$25:$F$606,$F189,'Калькуляция (МИ корр)'!$G$25:$G$606,$G189),IF(method_reg="Метод экономически обоснованных расходов",_xlfn.SUMIFS('Калькуляция (МЭОР)'!$AK$25:$AK$367,'Калькуляция (МЭОР)'!$F$25:$F$367,$F189,'Калькуляция (МЭОР)'!$G$25:$G$367,$G189),IF(method_reg="Метод сравнения аналогов",_xlfn.SUMIFS('Калькуляция (МСА)'!$AF$25:$AF$103,'Калькуляция (МСА)'!$F$25:$F$103,$F189,'Калькуляция (МСА)'!$G$25:$G$103,$G189),_xlfn.SUMIFS(INDEX('Калькуляция (МИ)'!$AJ$25:$BC$603,,MATCH(AQ$8,'Калькуляция (МИ)'!$AJ$8:$BC$8,0)),'Калькуляция (МИ)'!$F$25:$F$603,$F189,'Калькуляция (МИ)'!$G$25:$G$603,$G189))))</f>
        <v>0</v>
      </c>
      <c r="AR189" s="292">
        <f>IF(AP189=0,0,(AQ189-AP189)/AP189*100)</f>
        <v>0</v>
      </c>
      <c r="AS189" s="4576">
        <f>IF(AND(method_reg="Метод индексации",god&lt;&gt;first_year),_xlfn.SUMIFS(INDEX('Калькуляция (МИ корр)'!$AJ$25:$BC$606,,MATCH(AS$8,'Калькуляция (МИ корр)'!$AJ$8:$BC$8,0)),'Калькуляция (МИ корр)'!$F$25:$F$606,$F189,'Калькуляция (МИ корр)'!$G$25:$G$606,$G189),IF(method_reg="Метод экономически обоснованных расходов",_xlfn.SUMIFS('Калькуляция (МЭОР)'!$AJ$25:$AJ$367,'Калькуляция (МЭОР)'!$F$25:$F$367,$F189,'Калькуляция (МЭОР)'!$G$25:$G$367,$G189),IF(method_reg="Метод сравнения аналогов",_xlfn.SUMIFS('Калькуляция (МСА)'!$AE$25:$AE$103,'Калькуляция (МСА)'!$F$25:$F$103,$F189,'Калькуляция (МСА)'!$G$25:$G$103,$G189),_xlfn.SUMIFS(INDEX('Калькуляция (МИ)'!$AJ$25:$BC$603,,MATCH(AS$8,'Калькуляция (МИ)'!$AJ$8:$BC$8,0)),'Калькуляция (МИ)'!$F$25:$F$603,$F189,'Калькуляция (МИ)'!$G$25:$G$603,$G189))))</f>
        <v>0</v>
      </c>
      <c r="AT189" s="4576">
        <f>IF(AND(method_reg="Метод индексации",god&lt;&gt;first_year),_xlfn.SUMIFS(INDEX('Калькуляция (МИ корр)'!$AJ$25:$BC$606,,MATCH(AT$8,'Калькуляция (МИ корр)'!$AJ$8:$BC$8,0)),'Калькуляция (МИ корр)'!$F$25:$F$606,$F189,'Калькуляция (МИ корр)'!$G$25:$G$606,$G189),IF(method_reg="Метод экономически обоснованных расходов",_xlfn.SUMIFS('Калькуляция (МЭОР)'!$AK$25:$AK$367,'Калькуляция (МЭОР)'!$F$25:$F$367,$F189,'Калькуляция (МЭОР)'!$G$25:$G$367,$G189),IF(method_reg="Метод сравнения аналогов",_xlfn.SUMIFS('Калькуляция (МСА)'!$AF$25:$AF$103,'Калькуляция (МСА)'!$F$25:$F$103,$F189,'Калькуляция (МСА)'!$G$25:$G$103,$G189),_xlfn.SUMIFS(INDEX('Калькуляция (МИ)'!$AJ$25:$BC$603,,MATCH(AT$8,'Калькуляция (МИ)'!$AJ$8:$BC$8,0)),'Калькуляция (МИ)'!$F$25:$F$603,$F189,'Калькуляция (МИ)'!$G$25:$G$603,$G189))))</f>
        <v>0</v>
      </c>
      <c r="AU189" s="292">
        <f>IF(AS189=0,0,(AT189-AS189)/AS189*100)</f>
        <v>0</v>
      </c>
      <c r="AV189" s="4576">
        <f>IF(AND(method_reg="Метод индексации",god&lt;&gt;first_year),_xlfn.SUMIFS(INDEX('Калькуляция (МИ корр)'!$AJ$25:$BC$606,,MATCH(AV$8,'Калькуляция (МИ корр)'!$AJ$8:$BC$8,0)),'Калькуляция (МИ корр)'!$F$25:$F$606,$F189,'Калькуляция (МИ корр)'!$G$25:$G$606,$G189),IF(method_reg="Метод экономически обоснованных расходов",_xlfn.SUMIFS('Калькуляция (МЭОР)'!$AJ$25:$AJ$367,'Калькуляция (МЭОР)'!$F$25:$F$367,$F189,'Калькуляция (МЭОР)'!$G$25:$G$367,$G189),IF(method_reg="Метод сравнения аналогов",_xlfn.SUMIFS('Калькуляция (МСА)'!$AE$25:$AE$103,'Калькуляция (МСА)'!$F$25:$F$103,$F189,'Калькуляция (МСА)'!$G$25:$G$103,$G189),_xlfn.SUMIFS(INDEX('Калькуляция (МИ)'!$AJ$25:$BC$603,,MATCH(AV$8,'Калькуляция (МИ)'!$AJ$8:$BC$8,0)),'Калькуляция (МИ)'!$F$25:$F$603,$F189,'Калькуляция (МИ)'!$G$25:$G$603,$G189))))</f>
        <v>0</v>
      </c>
      <c r="AW189" s="4576">
        <f>IF(AND(method_reg="Метод индексации",god&lt;&gt;first_year),_xlfn.SUMIFS(INDEX('Калькуляция (МИ корр)'!$AJ$25:$BC$606,,MATCH(AW$8,'Калькуляция (МИ корр)'!$AJ$8:$BC$8,0)),'Калькуляция (МИ корр)'!$F$25:$F$606,$F189,'Калькуляция (МИ корр)'!$G$25:$G$606,$G189),IF(method_reg="Метод экономически обоснованных расходов",_xlfn.SUMIFS('Калькуляция (МЭОР)'!$AK$25:$AK$367,'Калькуляция (МЭОР)'!$F$25:$F$367,$F189,'Калькуляция (МЭОР)'!$G$25:$G$367,$G189),IF(method_reg="Метод сравнения аналогов",_xlfn.SUMIFS('Калькуляция (МСА)'!$AF$25:$AF$103,'Калькуляция (МСА)'!$F$25:$F$103,$F189,'Калькуляция (МСА)'!$G$25:$G$103,$G189),_xlfn.SUMIFS(INDEX('Калькуляция (МИ)'!$AJ$25:$BC$603,,MATCH(AW$8,'Калькуляция (МИ)'!$AJ$8:$BC$8,0)),'Калькуляция (МИ)'!$F$25:$F$603,$F189,'Калькуляция (МИ)'!$G$25:$G$603,$G189))))</f>
        <v>0</v>
      </c>
      <c r="AX189" s="292">
        <f>IF(AV189=0,0,(AW189-AV189)/AV189*100)</f>
        <v>0</v>
      </c>
      <c r="AY189" s="4576">
        <f>IF(AND(method_reg="Метод индексации",god&lt;&gt;first_year),_xlfn.SUMIFS(INDEX('Калькуляция (МИ корр)'!$AJ$25:$BC$606,,MATCH(AY$8,'Калькуляция (МИ корр)'!$AJ$8:$BC$8,0)),'Калькуляция (МИ корр)'!$F$25:$F$606,$F189,'Калькуляция (МИ корр)'!$G$25:$G$606,$G189),IF(method_reg="Метод экономически обоснованных расходов",_xlfn.SUMIFS('Калькуляция (МЭОР)'!$AJ$25:$AJ$367,'Калькуляция (МЭОР)'!$F$25:$F$367,$F189,'Калькуляция (МЭОР)'!$G$25:$G$367,$G189),IF(method_reg="Метод сравнения аналогов",_xlfn.SUMIFS('Калькуляция (МСА)'!$AE$25:$AE$103,'Калькуляция (МСА)'!$F$25:$F$103,$F189,'Калькуляция (МСА)'!$G$25:$G$103,$G189),_xlfn.SUMIFS(INDEX('Калькуляция (МИ)'!$AJ$25:$BC$603,,MATCH(AY$8,'Калькуляция (МИ)'!$AJ$8:$BC$8,0)),'Калькуляция (МИ)'!$F$25:$F$603,$F189,'Калькуляция (МИ)'!$G$25:$G$603,$G189))))</f>
        <v>0</v>
      </c>
      <c r="AZ189" s="4576">
        <f>IF(AND(method_reg="Метод индексации",god&lt;&gt;first_year),_xlfn.SUMIFS(INDEX('Калькуляция (МИ корр)'!$AJ$25:$BC$606,,MATCH(AZ$8,'Калькуляция (МИ корр)'!$AJ$8:$BC$8,0)),'Калькуляция (МИ корр)'!$F$25:$F$606,$F189,'Калькуляция (МИ корр)'!$G$25:$G$606,$G189),IF(method_reg="Метод экономически обоснованных расходов",_xlfn.SUMIFS('Калькуляция (МЭОР)'!$AK$25:$AK$367,'Калькуляция (МЭОР)'!$F$25:$F$367,$F189,'Калькуляция (МЭОР)'!$G$25:$G$367,$G189),IF(method_reg="Метод сравнения аналогов",_xlfn.SUMIFS('Калькуляция (МСА)'!$AF$25:$AF$103,'Калькуляция (МСА)'!$F$25:$F$103,$F189,'Калькуляция (МСА)'!$G$25:$G$103,$G189),_xlfn.SUMIFS(INDEX('Калькуляция (МИ)'!$AJ$25:$BC$603,,MATCH(AZ$8,'Калькуляция (МИ)'!$AJ$8:$BC$8,0)),'Калькуляция (МИ)'!$F$25:$F$603,$F189,'Калькуляция (МИ)'!$G$25:$G$603,$G189))))</f>
        <v>0</v>
      </c>
      <c r="BA189" s="292">
        <f>IF(AY189=0,0,(AZ189-AY189)/AY189*100)</f>
        <v>0</v>
      </c>
      <c r="BB189" s="4576">
        <f>IF(AND(method_reg="Метод индексации",god&lt;&gt;first_year),_xlfn.SUMIFS(INDEX('Калькуляция (МИ корр)'!$AJ$25:$BC$606,,MATCH(BB$8,'Калькуляция (МИ корр)'!$AJ$8:$BC$8,0)),'Калькуляция (МИ корр)'!$F$25:$F$606,$F189,'Калькуляция (МИ корр)'!$G$25:$G$606,$G189),IF(method_reg="Метод экономически обоснованных расходов",_xlfn.SUMIFS('Калькуляция (МЭОР)'!$AJ$25:$AJ$367,'Калькуляция (МЭОР)'!$F$25:$F$367,$F189,'Калькуляция (МЭОР)'!$G$25:$G$367,$G189),IF(method_reg="Метод сравнения аналогов",_xlfn.SUMIFS('Калькуляция (МСА)'!$AE$25:$AE$103,'Калькуляция (МСА)'!$F$25:$F$103,$F189,'Калькуляция (МСА)'!$G$25:$G$103,$G189),_xlfn.SUMIFS(INDEX('Калькуляция (МИ)'!$AJ$25:$BC$603,,MATCH(BB$8,'Калькуляция (МИ)'!$AJ$8:$BC$8,0)),'Калькуляция (МИ)'!$F$25:$F$603,$F189,'Калькуляция (МИ)'!$G$25:$G$603,$G189))))</f>
        <v>0</v>
      </c>
      <c r="BC189" s="4576">
        <f>IF(AND(method_reg="Метод индексации",god&lt;&gt;first_year),_xlfn.SUMIFS(INDEX('Калькуляция (МИ корр)'!$AJ$25:$BC$606,,MATCH(BC$8,'Калькуляция (МИ корр)'!$AJ$8:$BC$8,0)),'Калькуляция (МИ корр)'!$F$25:$F$606,$F189,'Калькуляция (МИ корр)'!$G$25:$G$606,$G189),IF(method_reg="Метод экономически обоснованных расходов",_xlfn.SUMIFS('Калькуляция (МЭОР)'!$AK$25:$AK$367,'Калькуляция (МЭОР)'!$F$25:$F$367,$F189,'Калькуляция (МЭОР)'!$G$25:$G$367,$G189),IF(method_reg="Метод сравнения аналогов",_xlfn.SUMIFS('Калькуляция (МСА)'!$AF$25:$AF$103,'Калькуляция (МСА)'!$F$25:$F$103,$F189,'Калькуляция (МСА)'!$G$25:$G$103,$G189),_xlfn.SUMIFS(INDEX('Калькуляция (МИ)'!$AJ$25:$BC$603,,MATCH(BC$8,'Калькуляция (МИ)'!$AJ$8:$BC$8,0)),'Калькуляция (МИ)'!$F$25:$F$603,$F189,'Калькуляция (МИ)'!$G$25:$G$603,$G189))))</f>
        <v>0</v>
      </c>
      <c r="BD189" s="292">
        <f>IF(BB189=0,0,(BC189-BB189)/BB189*100)</f>
        <v>0</v>
      </c>
      <c r="BE189" s="4576">
        <f>IF(AND(method_reg="Метод индексации",god&lt;&gt;first_year),_xlfn.SUMIFS(INDEX('Калькуляция (МИ корр)'!$AJ$25:$BC$606,,MATCH(BE$8,'Калькуляция (МИ корр)'!$AJ$8:$BC$8,0)),'Калькуляция (МИ корр)'!$F$25:$F$606,$F189,'Калькуляция (МИ корр)'!$G$25:$G$606,$G189),IF(method_reg="Метод экономически обоснованных расходов",_xlfn.SUMIFS('Калькуляция (МЭОР)'!$AJ$25:$AJ$367,'Калькуляция (МЭОР)'!$F$25:$F$367,$F189,'Калькуляция (МЭОР)'!$G$25:$G$367,$G189),IF(method_reg="Метод сравнения аналогов",_xlfn.SUMIFS('Калькуляция (МСА)'!$AE$25:$AE$103,'Калькуляция (МСА)'!$F$25:$F$103,$F189,'Калькуляция (МСА)'!$G$25:$G$103,$G189),_xlfn.SUMIFS(INDEX('Калькуляция (МИ)'!$AJ$25:$BC$603,,MATCH(BE$8,'Калькуляция (МИ)'!$AJ$8:$BC$8,0)),'Калькуляция (МИ)'!$F$25:$F$603,$F189,'Калькуляция (МИ)'!$G$25:$G$603,$G189))))</f>
        <v>0</v>
      </c>
      <c r="BF189" s="4576">
        <f>IF(AND(method_reg="Метод индексации",god&lt;&gt;first_year),_xlfn.SUMIFS(INDEX('Калькуляция (МИ корр)'!$AJ$25:$BC$606,,MATCH(BF$8,'Калькуляция (МИ корр)'!$AJ$8:$BC$8,0)),'Калькуляция (МИ корр)'!$F$25:$F$606,$F189,'Калькуляция (МИ корр)'!$G$25:$G$606,$G189),IF(method_reg="Метод экономически обоснованных расходов",_xlfn.SUMIFS('Калькуляция (МЭОР)'!$AK$25:$AK$367,'Калькуляция (МЭОР)'!$F$25:$F$367,$F189,'Калькуляция (МЭОР)'!$G$25:$G$367,$G189),IF(method_reg="Метод сравнения аналогов",_xlfn.SUMIFS('Калькуляция (МСА)'!$AF$25:$AF$103,'Калькуляция (МСА)'!$F$25:$F$103,$F189,'Калькуляция (МСА)'!$G$25:$G$103,$G189),_xlfn.SUMIFS(INDEX('Калькуляция (МИ)'!$AJ$25:$BC$603,,MATCH(BF$8,'Калькуляция (МИ)'!$AJ$8:$BC$8,0)),'Калькуляция (МИ)'!$F$25:$F$603,$F189,'Калькуляция (МИ)'!$G$25:$G$603,$G189))))</f>
        <v>0</v>
      </c>
      <c r="BG189" s="292">
        <f>IF(BE189=0,0,(BF189-BE189)/BE189*100)</f>
        <v>0</v>
      </c>
      <c r="BH189" s="4576"/>
      <c r="BI189" s="4576"/>
      <c r="BJ189" s="292">
        <f>IF(BH189=0,0,(BI189-BH189)/BH189*100)</f>
        <v>0</v>
      </c>
      <c r="BK189" s="4576"/>
      <c r="BL189" s="4576"/>
      <c r="BM189" s="292">
        <f>IF(BK189=0,0,(BL189-BK189)/BK189*100)</f>
        <v>0</v>
      </c>
      <c r="BN189" s="4576"/>
      <c r="BO189" s="4576"/>
      <c r="BP189" s="292">
        <f>IF(BN189=0,0,(BO189-BN189)/BN189*100)</f>
        <v>0</v>
      </c>
      <c r="BQ189" s="4576"/>
      <c r="BR189" s="4576"/>
      <c r="BS189" s="292">
        <f>IF(BQ189=0,0,(BR189-BQ189)/BQ189*100)</f>
        <v>0</v>
      </c>
      <c r="BT189" s="4576"/>
      <c r="BU189" s="4576"/>
      <c r="BV189" s="292">
        <f>IF(BT189=0,0,(BU189-BT189)/BT189*100)</f>
        <v>0</v>
      </c>
      <c r="BW189" s="4576"/>
      <c r="BX189" s="4576"/>
      <c r="BY189" s="292">
        <f>IF(BW189=0,0,(BX189-BW189)/BW189*100)</f>
        <v>0</v>
      </c>
      <c r="BZ189" s="4576"/>
      <c r="CA189" s="4576"/>
      <c r="CB189" s="292">
        <f>IF(BZ189=0,0,(CA189-BZ189)/BZ189*100)</f>
        <v>0</v>
      </c>
      <c r="CC189" s="4576"/>
      <c r="CD189" s="4576"/>
      <c r="CE189" s="292">
        <f>IF(CC189=0,0,(CD189-CC189)/CC189*100)</f>
        <v>0</v>
      </c>
      <c r="CF189" s="4576"/>
      <c r="CG189" s="4576"/>
      <c r="CH189" s="292">
        <f>IF(CF189=0,0,(CG189-CF189)/CF189*100)</f>
        <v>0</v>
      </c>
      <c r="CI189" s="4576"/>
      <c r="CJ189" s="4576"/>
      <c r="CK189" s="292">
        <f>IF(CI189=0,0,(CJ189-CI189)/CI189*100)</f>
        <v>0</v>
      </c>
      <c r="CL189" s="4576"/>
      <c r="CM189" s="4576"/>
      <c r="CN189" s="292">
        <f>IF(CL189=0,0,(CM189-CL189)/CL189*100)</f>
        <v>0</v>
      </c>
      <c r="CO189" s="4576"/>
      <c r="CP189" s="4576"/>
      <c r="CQ189" s="292">
        <f>IF(CO189=0,0,(CP189-CO189)/CO189*100)</f>
        <v>0</v>
      </c>
      <c r="CR189" s="4576"/>
      <c r="CS189" s="4576"/>
      <c r="CT189" s="292">
        <f>IF(CR189=0,0,(CS189-CR189)/CR189*100)</f>
        <v>0</v>
      </c>
      <c r="CU189" s="4576"/>
      <c r="CV189" s="4576"/>
      <c r="CW189" s="292">
        <f>IF(CU189=0,0,(CV189-CU189)/CU189*100)</f>
        <v>0</v>
      </c>
      <c r="CX189" s="4576"/>
      <c r="CY189" s="4576"/>
      <c r="CZ189" s="292">
        <f>IF(CX189=0,0,(CY189-CX189)/CX189*100)</f>
        <v>0</v>
      </c>
      <c r="DA189" s="4576"/>
      <c r="DB189" s="4576"/>
      <c r="DC189" s="292">
        <f>IF(DA189=0,0,(DB189-DA189)/DA189*100)</f>
        <v>0</v>
      </c>
      <c r="DD189" s="4576"/>
      <c r="DE189" s="4576"/>
      <c r="DF189" s="292">
        <f>IF(DD189=0,0,(DE189-DD189)/DD189*100)</f>
        <v>0</v>
      </c>
      <c r="DG189" s="4576"/>
      <c r="DH189" s="4576"/>
      <c r="DI189" s="292">
        <f>IF(DG189=0,0,(DH189-DG189)/DG189*100)</f>
        <v>0</v>
      </c>
      <c r="DJ189" s="4576"/>
      <c r="DK189" s="4576"/>
      <c r="DL189" s="292">
        <f>IF(DJ189=0,0,(DK189-DJ189)/DJ189*100)</f>
        <v>0</v>
      </c>
      <c r="DM189" s="4576"/>
      <c r="DN189" s="4576"/>
      <c r="DO189" s="292">
        <f>IF(DM189=0,0,(DN189-DM189)/DM189*100)</f>
        <v>0</v>
      </c>
      <c r="DP189" s="4576"/>
      <c r="DQ189" s="4576"/>
      <c r="DR189" s="292">
        <f>IF(DP189=0,0,(DQ189-DP189)/DP189*100)</f>
        <v>0</v>
      </c>
      <c r="DS189" s="4576"/>
      <c r="DT189" s="4576"/>
      <c r="DU189" s="292">
        <f>IF(DS189=0,0,(DT189-DS189)/DS189*100)</f>
        <v>0</v>
      </c>
      <c r="DV189" s="4576"/>
      <c r="DW189" s="4576"/>
      <c r="DX189" s="292">
        <f>IF(DV189=0,0,(DW189-DV189)/DV189*100)</f>
        <v>0</v>
      </c>
      <c r="DY189" s="4576"/>
      <c r="DZ189" s="4576"/>
      <c r="EA189" s="292">
        <f>IF(DY189=0,0,(DZ189-DY189)/DY189*100)</f>
        <v>0</v>
      </c>
      <c r="EB189" s="4576"/>
      <c r="EC189" s="4576"/>
      <c r="ED189" s="292">
        <f>IF(EB189=0,0,(EC189-EB189)/EB189*100)</f>
        <v>0</v>
      </c>
      <c r="EE189" s="4576"/>
      <c r="EF189" s="4576"/>
      <c r="EG189" s="292">
        <f>IF(EE189=0,0,(EF189-EE189)/EE189*100)</f>
        <v>0</v>
      </c>
      <c r="EH189" s="4576"/>
      <c r="EI189" s="4576"/>
      <c r="EJ189" s="292">
        <f>IF(EH189=0,0,(EI189-EH189)/EH189*100)</f>
        <v>0</v>
      </c>
      <c r="EK189" s="4576"/>
      <c r="EL189" s="4576"/>
      <c r="EM189" s="292">
        <f>IF(EK189=0,0,(EL189-EK189)/EK189*100)</f>
        <v>0</v>
      </c>
      <c r="EN189" s="4576"/>
      <c r="EO189" s="4576"/>
      <c r="EP189" s="292">
        <f>IF(EN189=0,0,(EO189-EN189)/EN189*100)</f>
        <v>0</v>
      </c>
      <c r="EQ189" s="4576"/>
      <c r="ER189" s="4576"/>
      <c r="ES189" s="292">
        <f>IF(EQ189=0,0,(ER189-EQ189)/EQ189*100)</f>
        <v>0</v>
      </c>
      <c r="ET189" s="4576"/>
      <c r="EU189" s="4576"/>
      <c r="EV189" s="292">
        <f>IF(ET189=0,0,(EU189-ET189)/ET189*100)</f>
        <v>0</v>
      </c>
      <c r="EW189" s="4576"/>
      <c r="EX189" s="4576"/>
      <c r="EY189" s="292">
        <f>IF(EW189=0,0,(EX189-EW189)/EW189*100)</f>
        <v>0</v>
      </c>
      <c r="EZ189" s="4576"/>
      <c r="FA189" s="4576"/>
      <c r="FB189" s="292">
        <f>IF(EZ189=0,0,(FA189-EZ189)/EZ189*100)</f>
        <v>0</v>
      </c>
      <c r="FC189" s="4576"/>
      <c r="FD189" s="4576"/>
      <c r="FE189" s="292">
        <f>IF(FC189=0,0,(FD189-FC189)/FC189*100)</f>
        <v>0</v>
      </c>
      <c r="FF189" s="4576"/>
      <c r="FG189" s="4576"/>
      <c r="FH189" s="292">
        <f>IF(FF189=0,0,(FG189-FF189)/FF189*100)</f>
        <v>0</v>
      </c>
      <c r="FI189" s="4576"/>
      <c r="FJ189" s="4576"/>
      <c r="FK189" s="292">
        <f>IF(FI189=0,0,(FJ189-FI189)/FI189*100)</f>
        <v>0</v>
      </c>
      <c r="FL189" s="4576"/>
      <c r="FM189" s="4576"/>
      <c r="FN189" s="292">
        <f>IF(FL189=0,0,(FM189-FL189)/FL189*100)</f>
        <v>0</v>
      </c>
      <c r="FO189" s="4576"/>
      <c r="FP189" s="4576"/>
      <c r="FQ189" s="292">
        <f>IF(FO189=0,0,(FP189-FO189)/FO189*100)</f>
        <v>0</v>
      </c>
      <c r="FR189" s="4576"/>
      <c r="FS189" s="4576"/>
      <c r="FT189" s="292">
        <f>IF(FR189=0,0,(FS189-FR189)/FR189*100)</f>
        <v>0</v>
      </c>
      <c r="FU189" s="4576"/>
      <c r="FV189" s="4576"/>
      <c r="FW189" s="292">
        <f>IF(FU189=0,0,(FV189-FU189)/FU189*100)</f>
        <v>0</v>
      </c>
      <c r="FX189" s="288"/>
      <c r="FY189" s="288"/>
      <c r="FZ189" s="1063" t="s">
        <v>1881</v>
      </c>
      <c r="GA189" s="1063"/>
      <c r="GB189" s="1063"/>
      <c r="GC189" s="1064"/>
      <c r="GD189" s="1064"/>
    </row>
    <row s="1656" customFormat="1" customHeight="1" ht="17.671875">
      <c r="A190" s="496"/>
      <c r="B190" s="932" cm="1" t="str">
        <f t="array" ref="B190:B190">B189</f>
        <v>true</v>
      </c>
      <c r="C190" s="496"/>
      <c r="D190" s="496"/>
      <c r="E190" s="847">
        <v>15</v>
      </c>
      <c r="F190" s="50" cm="1" t="str">
        <f t="array" ref="F190:F190">OFFSET(E190,-1,1)</f>
        <v>2</v>
      </c>
      <c r="G190" s="103"/>
      <c r="H190" s="496" t="s">
        <v>570</v>
      </c>
      <c r="I190" s="496" t="s">
        <v>1882</v>
      </c>
      <c r="J190" s="496"/>
      <c r="K190" s="496"/>
      <c r="L190" s="496"/>
      <c r="M190" s="496"/>
      <c r="N190" s="496"/>
      <c r="O190" s="496"/>
      <c r="P190" s="496"/>
      <c r="Q190" s="904"/>
      <c r="R190" s="496"/>
      <c r="S190" s="496"/>
      <c r="T190" s="468" cm="1" t="str">
        <f t="array" ref="T190:T190">T189</f>
        <v>true</v>
      </c>
      <c r="U190" s="496"/>
      <c r="V190" s="496"/>
      <c r="W190" s="496"/>
      <c r="X190" s="1559"/>
      <c r="Y190" s="496"/>
      <c r="Z190" s="1528"/>
      <c r="AA190" s="496"/>
      <c r="AB190" s="1098" t="s">
        <v>1869</v>
      </c>
      <c r="AC190" s="871" t="s">
        <v>561</v>
      </c>
      <c r="AD190" s="1101">
        <f>IF(AD188=0,0,AD189/AD188)*100</f>
        <v>100</v>
      </c>
      <c r="AE190" s="1101">
        <f>IF(AE188=0,0,AE189/AE188)*100</f>
        <v>111.996477107787</v>
      </c>
      <c r="AF190" s="1102"/>
      <c r="AG190" s="1101">
        <f>IF(AG188=0,0,AG189/AG188)*100</f>
        <v>0</v>
      </c>
      <c r="AH190" s="1101">
        <f>IF(AH188=0,0,AH189/AH188)*100</f>
        <v>0</v>
      </c>
      <c r="AI190" s="1102"/>
      <c r="AJ190" s="1101">
        <f>IF(AJ188=0,0,AJ189/AJ188)*100</f>
        <v>0</v>
      </c>
      <c r="AK190" s="1101">
        <f>IF(AK188=0,0,AK189/AK188)*100</f>
        <v>0</v>
      </c>
      <c r="AL190" s="1102"/>
      <c r="AM190" s="1101">
        <f>IF(AM188=0,0,AM189/AM188)*100</f>
        <v>0</v>
      </c>
      <c r="AN190" s="1101">
        <f>IF(AN188=0,0,AN189/AN188)*100</f>
        <v>0</v>
      </c>
      <c r="AO190" s="1102"/>
      <c r="AP190" s="1101">
        <f>IF(AP188=0,0,AP189/AP188)*100</f>
        <v>0</v>
      </c>
      <c r="AQ190" s="1101">
        <f>IF(AQ188=0,0,AQ189/AQ188)*100</f>
        <v>0</v>
      </c>
      <c r="AR190" s="1102"/>
      <c r="AS190" s="1101">
        <f>IF(AS188=0,0,AS189/AS188)*100</f>
        <v>0</v>
      </c>
      <c r="AT190" s="1101">
        <f>IF(AT188=0,0,AT189/AT188)*100</f>
        <v>0</v>
      </c>
      <c r="AU190" s="1102"/>
      <c r="AV190" s="1101">
        <f>IF(AV188=0,0,AV189/AV188)*100</f>
        <v>0</v>
      </c>
      <c r="AW190" s="1101">
        <f>IF(AW188=0,0,AW189/AW188)*100</f>
        <v>0</v>
      </c>
      <c r="AX190" s="1102"/>
      <c r="AY190" s="1101">
        <f>IF(AY188=0,0,AY189/AY188)*100</f>
        <v>0</v>
      </c>
      <c r="AZ190" s="1101">
        <f>IF(AZ188=0,0,AZ189/AZ188)*100</f>
        <v>0</v>
      </c>
      <c r="BA190" s="1102"/>
      <c r="BB190" s="1101">
        <f>IF(BB188=0,0,BB189/BB188)*100</f>
        <v>0</v>
      </c>
      <c r="BC190" s="1101">
        <f>IF(BC188=0,0,BC189/BC188)*100</f>
        <v>0</v>
      </c>
      <c r="BD190" s="1102"/>
      <c r="BE190" s="1101">
        <f>IF(BE188=0,0,BE189/BE188)*100</f>
        <v>0</v>
      </c>
      <c r="BF190" s="1101">
        <f>IF(BF188=0,0,BF189/BF188)*100</f>
        <v>0</v>
      </c>
      <c r="BG190" s="1102"/>
      <c r="BH190" s="1101">
        <f>IF(BH188=0,0,BH189/BH188)*100</f>
        <v>0</v>
      </c>
      <c r="BI190" s="1101">
        <f>IF(BI188=0,0,BI189/BI188)*100</f>
        <v>0</v>
      </c>
      <c r="BJ190" s="1102"/>
      <c r="BK190" s="1101">
        <f>IF(BK188=0,0,BK189/BK188)*100</f>
        <v>0</v>
      </c>
      <c r="BL190" s="1101">
        <f>IF(BL188=0,0,BL189/BL188)*100</f>
        <v>0</v>
      </c>
      <c r="BM190" s="1102"/>
      <c r="BN190" s="1101">
        <f>IF(BN188=0,0,BN189/BN188)*100</f>
        <v>0</v>
      </c>
      <c r="BO190" s="1101">
        <f>IF(BO188=0,0,BO189/BO188)*100</f>
        <v>0</v>
      </c>
      <c r="BP190" s="1102"/>
      <c r="BQ190" s="1101">
        <f>IF(BQ188=0,0,BQ189/BQ188)*100</f>
        <v>0</v>
      </c>
      <c r="BR190" s="1101">
        <f>IF(BR188=0,0,BR189/BR188)*100</f>
        <v>0</v>
      </c>
      <c r="BS190" s="1102"/>
      <c r="BT190" s="1101">
        <f>IF(BT188=0,0,BT189/BT188)*100</f>
        <v>0</v>
      </c>
      <c r="BU190" s="1101">
        <f>IF(BU188=0,0,BU189/BU188)*100</f>
        <v>0</v>
      </c>
      <c r="BV190" s="1102"/>
      <c r="BW190" s="1101">
        <f>IF(BW188=0,0,BW189/BW188)*100</f>
        <v>0</v>
      </c>
      <c r="BX190" s="1101">
        <f>IF(BX188=0,0,BX189/BX188)*100</f>
        <v>0</v>
      </c>
      <c r="BY190" s="1102"/>
      <c r="BZ190" s="1101">
        <f>IF(BZ188=0,0,BZ189/BZ188)*100</f>
        <v>0</v>
      </c>
      <c r="CA190" s="1101">
        <f>IF(CA188=0,0,CA189/CA188)*100</f>
        <v>0</v>
      </c>
      <c r="CB190" s="1102"/>
      <c r="CC190" s="1101">
        <f>IF(CC188=0,0,CC189/CC188)*100</f>
        <v>0</v>
      </c>
      <c r="CD190" s="1101">
        <f>IF(CD188=0,0,CD189/CD188)*100</f>
        <v>0</v>
      </c>
      <c r="CE190" s="1102"/>
      <c r="CF190" s="1101">
        <f>IF(CF188=0,0,CF189/CF188)*100</f>
        <v>0</v>
      </c>
      <c r="CG190" s="1101">
        <f>IF(CG188=0,0,CG189/CG188)*100</f>
        <v>0</v>
      </c>
      <c r="CH190" s="1102"/>
      <c r="CI190" s="1101">
        <f>IF(CI188=0,0,CI189/CI188)*100</f>
        <v>0</v>
      </c>
      <c r="CJ190" s="1101">
        <f>IF(CJ188=0,0,CJ189/CJ188)*100</f>
        <v>0</v>
      </c>
      <c r="CK190" s="1102"/>
      <c r="CL190" s="1101">
        <f>IF(CL188=0,0,CL189/CL188)*100</f>
        <v>0</v>
      </c>
      <c r="CM190" s="1101">
        <f>IF(CM188=0,0,CM189/CM188)*100</f>
        <v>0</v>
      </c>
      <c r="CN190" s="1102"/>
      <c r="CO190" s="1101">
        <f>IF(CO188=0,0,CO189/CO188)*100</f>
        <v>0</v>
      </c>
      <c r="CP190" s="1101">
        <f>IF(CP188=0,0,CP189/CP188)*100</f>
        <v>0</v>
      </c>
      <c r="CQ190" s="1102"/>
      <c r="CR190" s="1101">
        <f>IF(CR188=0,0,CR189/CR188)*100</f>
        <v>0</v>
      </c>
      <c r="CS190" s="1101">
        <f>IF(CS188=0,0,CS189/CS188)*100</f>
        <v>0</v>
      </c>
      <c r="CT190" s="1102"/>
      <c r="CU190" s="1101">
        <f>IF(CU188=0,0,CU189/CU188)*100</f>
        <v>0</v>
      </c>
      <c r="CV190" s="1101">
        <f>IF(CV188=0,0,CV189/CV188)*100</f>
        <v>0</v>
      </c>
      <c r="CW190" s="1102"/>
      <c r="CX190" s="1101">
        <f>IF(CX188=0,0,CX189/CX188)*100</f>
        <v>0</v>
      </c>
      <c r="CY190" s="1101">
        <f>IF(CY188=0,0,CY189/CY188)*100</f>
        <v>0</v>
      </c>
      <c r="CZ190" s="1102"/>
      <c r="DA190" s="1101">
        <f>IF(DA188=0,0,DA189/DA188)*100</f>
        <v>0</v>
      </c>
      <c r="DB190" s="1101">
        <f>IF(DB188=0,0,DB189/DB188)*100</f>
        <v>0</v>
      </c>
      <c r="DC190" s="1102"/>
      <c r="DD190" s="1101">
        <f>IF(DD188=0,0,DD189/DD188)*100</f>
        <v>0</v>
      </c>
      <c r="DE190" s="1101">
        <f>IF(DE188=0,0,DE189/DE188)*100</f>
        <v>0</v>
      </c>
      <c r="DF190" s="1102"/>
      <c r="DG190" s="1101">
        <f>IF(DG188=0,0,DG189/DG188)*100</f>
        <v>0</v>
      </c>
      <c r="DH190" s="1101">
        <f>IF(DH188=0,0,DH189/DH188)*100</f>
        <v>0</v>
      </c>
      <c r="DI190" s="1102"/>
      <c r="DJ190" s="1101">
        <f>IF(DJ188=0,0,DJ189/DJ188)*100</f>
        <v>0</v>
      </c>
      <c r="DK190" s="1101">
        <f>IF(DK188=0,0,DK189/DK188)*100</f>
        <v>0</v>
      </c>
      <c r="DL190" s="1102"/>
      <c r="DM190" s="1101">
        <f>IF(DM188=0,0,DM189/DM188)*100</f>
        <v>0</v>
      </c>
      <c r="DN190" s="1101">
        <f>IF(DN188=0,0,DN189/DN188)*100</f>
        <v>0</v>
      </c>
      <c r="DO190" s="1102"/>
      <c r="DP190" s="1101">
        <f>IF(DP188=0,0,DP189/DP188)*100</f>
        <v>0</v>
      </c>
      <c r="DQ190" s="1101">
        <f>IF(DQ188=0,0,DQ189/DQ188)*100</f>
        <v>0</v>
      </c>
      <c r="DR190" s="1102"/>
      <c r="DS190" s="1101">
        <f>IF(DS188=0,0,DS189/DS188)*100</f>
        <v>0</v>
      </c>
      <c r="DT190" s="1101">
        <f>IF(DT188=0,0,DT189/DT188)*100</f>
        <v>0</v>
      </c>
      <c r="DU190" s="1102"/>
      <c r="DV190" s="1101">
        <f>IF(DV188=0,0,DV189/DV188)*100</f>
        <v>0</v>
      </c>
      <c r="DW190" s="1101">
        <f>IF(DW188=0,0,DW189/DW188)*100</f>
        <v>0</v>
      </c>
      <c r="DX190" s="1102"/>
      <c r="DY190" s="1101">
        <f>IF(DY188=0,0,DY189/DY188)*100</f>
        <v>0</v>
      </c>
      <c r="DZ190" s="1101">
        <f>IF(DZ188=0,0,DZ189/DZ188)*100</f>
        <v>0</v>
      </c>
      <c r="EA190" s="1102"/>
      <c r="EB190" s="1101">
        <f>IF(EB188=0,0,EB189/EB188)*100</f>
        <v>0</v>
      </c>
      <c r="EC190" s="1101">
        <f>IF(EC188=0,0,EC189/EC188)*100</f>
        <v>0</v>
      </c>
      <c r="ED190" s="1102"/>
      <c r="EE190" s="1101">
        <f>IF(EE188=0,0,EE189/EE188)*100</f>
        <v>0</v>
      </c>
      <c r="EF190" s="1101">
        <f>IF(EF188=0,0,EF189/EF188)*100</f>
        <v>0</v>
      </c>
      <c r="EG190" s="1102"/>
      <c r="EH190" s="1101">
        <f>IF(EH188=0,0,EH189/EH188)*100</f>
        <v>0</v>
      </c>
      <c r="EI190" s="1101">
        <f>IF(EI188=0,0,EI189/EI188)*100</f>
        <v>0</v>
      </c>
      <c r="EJ190" s="1102"/>
      <c r="EK190" s="1101">
        <f>IF(EK188=0,0,EK189/EK188)*100</f>
        <v>0</v>
      </c>
      <c r="EL190" s="1101">
        <f>IF(EL188=0,0,EL189/EL188)*100</f>
        <v>0</v>
      </c>
      <c r="EM190" s="1102"/>
      <c r="EN190" s="1101">
        <f>IF(EN188=0,0,EN189/EN188)*100</f>
        <v>0</v>
      </c>
      <c r="EO190" s="1101">
        <f>IF(EO188=0,0,EO189/EO188)*100</f>
        <v>0</v>
      </c>
      <c r="EP190" s="1102"/>
      <c r="EQ190" s="1101">
        <f>IF(EQ188=0,0,EQ189/EQ188)*100</f>
        <v>0</v>
      </c>
      <c r="ER190" s="1101">
        <f>IF(ER188=0,0,ER189/ER188)*100</f>
        <v>0</v>
      </c>
      <c r="ES190" s="1102"/>
      <c r="ET190" s="1101">
        <f>IF(ET188=0,0,ET189/ET188)*100</f>
        <v>0</v>
      </c>
      <c r="EU190" s="1101">
        <f>IF(EU188=0,0,EU189/EU188)*100</f>
        <v>0</v>
      </c>
      <c r="EV190" s="1102"/>
      <c r="EW190" s="1101">
        <f>IF(EW188=0,0,EW189/EW188)*100</f>
        <v>0</v>
      </c>
      <c r="EX190" s="1101">
        <f>IF(EX188=0,0,EX189/EX188)*100</f>
        <v>0</v>
      </c>
      <c r="EY190" s="1102"/>
      <c r="EZ190" s="1101">
        <f>IF(EZ188=0,0,EZ189/EZ188)*100</f>
        <v>0</v>
      </c>
      <c r="FA190" s="1101">
        <f>IF(FA188=0,0,FA189/FA188)*100</f>
        <v>0</v>
      </c>
      <c r="FB190" s="1102"/>
      <c r="FC190" s="1101">
        <f>IF(FC188=0,0,FC189/FC188)*100</f>
        <v>0</v>
      </c>
      <c r="FD190" s="1101">
        <f>IF(FD188=0,0,FD189/FD188)*100</f>
        <v>0</v>
      </c>
      <c r="FE190" s="1102"/>
      <c r="FF190" s="1101">
        <f>IF(FF188=0,0,FF189/FF188)*100</f>
        <v>0</v>
      </c>
      <c r="FG190" s="1101">
        <f>IF(FG188=0,0,FG189/FG188)*100</f>
        <v>0</v>
      </c>
      <c r="FH190" s="1102"/>
      <c r="FI190" s="1101">
        <f>IF(FI188=0,0,FI189/FI188)*100</f>
        <v>0</v>
      </c>
      <c r="FJ190" s="1101">
        <f>IF(FJ188=0,0,FJ189/FJ188)*100</f>
        <v>0</v>
      </c>
      <c r="FK190" s="1102"/>
      <c r="FL190" s="1101">
        <f>IF(FL188=0,0,FL189/FL188)*100</f>
        <v>0</v>
      </c>
      <c r="FM190" s="1101">
        <f>IF(FM188=0,0,FM189/FM188)*100</f>
        <v>0</v>
      </c>
      <c r="FN190" s="1102"/>
      <c r="FO190" s="1101">
        <f>IF(FO188=0,0,FO189/FO188)*100</f>
        <v>0</v>
      </c>
      <c r="FP190" s="1101">
        <f>IF(FP188=0,0,FP189/FP188)*100</f>
        <v>0</v>
      </c>
      <c r="FQ190" s="1102"/>
      <c r="FR190" s="1101">
        <f>IF(FR188=0,0,FR189/FR188)*100</f>
        <v>0</v>
      </c>
      <c r="FS190" s="1101">
        <f>IF(FS188=0,0,FS189/FS188)*100</f>
        <v>0</v>
      </c>
      <c r="FT190" s="1102"/>
      <c r="FU190" s="1101">
        <f>IF(FU188=0,0,FU189/FU188)*100</f>
        <v>0</v>
      </c>
      <c r="FV190" s="1101">
        <f>IF(FV188=0,0,FV189/FV188)*100</f>
        <v>0</v>
      </c>
      <c r="FW190" s="1102"/>
      <c r="FX190" s="288"/>
      <c r="FY190" s="1328"/>
      <c r="FZ190" s="1063" t="s">
        <v>1883</v>
      </c>
      <c r="GA190" s="1330"/>
      <c r="GB190" s="1330"/>
      <c r="GC190" s="1329"/>
      <c r="GD190" s="1329"/>
    </row>
    <row s="1656" customFormat="1" customHeight="1" ht="21.421875">
      <c r="A191" s="496"/>
      <c r="B191" s="932" cm="1" t="str">
        <f t="array" ref="B191:B191">B190</f>
        <v>true</v>
      </c>
      <c r="C191" s="496"/>
      <c r="D191" s="496"/>
      <c r="E191" s="847">
        <v>15</v>
      </c>
      <c r="F191" s="50" cm="1" t="str">
        <f t="array" ref="F191:F191">OFFSET(E191,-1,1)</f>
        <v>2</v>
      </c>
      <c r="G191" s="103" t="s">
        <v>1884</v>
      </c>
      <c r="H191" s="496" t="s">
        <v>573</v>
      </c>
      <c r="I191" s="496" t="s">
        <v>1882</v>
      </c>
      <c r="J191" s="496"/>
      <c r="K191" s="496"/>
      <c r="L191" s="496"/>
      <c r="M191" s="496"/>
      <c r="N191" s="496"/>
      <c r="O191" s="496"/>
      <c r="P191" s="496"/>
      <c r="Q191" s="904"/>
      <c r="R191" s="496"/>
      <c r="S191" s="496"/>
      <c r="T191" s="468" cm="1" t="str">
        <f t="array" ref="T191:T191">T190</f>
        <v>true</v>
      </c>
      <c r="U191" s="496"/>
      <c r="V191" s="496"/>
      <c r="W191" s="496"/>
      <c r="X191" s="1559"/>
      <c r="Y191" s="496"/>
      <c r="Z191" s="1528"/>
      <c r="AA191" s="496"/>
      <c r="AB191" s="907" t="s">
        <v>1885</v>
      </c>
      <c r="AC191" s="871" t="s">
        <v>657</v>
      </c>
      <c r="AD191" s="1103">
        <f>IF(AND(method_reg="Метод индексации",god&lt;&gt;first_year),_xlfn.SUMIFS(INDEX('Калькуляция (МИ корр)'!$AJ$25:$BC$606,,MATCH(AD$8,'Калькуляция (МИ корр)'!$AJ$8:$BC$8,0)),'Калькуляция (МИ корр)'!$F$25:$F$606,$F191,'Калькуляция (МИ корр)'!$G$25:$G$606,$G191),IF(method_reg="Метод экономически обоснованных расходов",_xlfn.SUMIFS('Калькуляция (МЭОР)'!$AJ$25:$AJ$367,'Калькуляция (МЭОР)'!$F$25:$F$367,$F191,'Калькуляция (МЭОР)'!$G$25:$G$367,$G191),IF(method_reg="Метод сравнения аналогов",_xlfn.SUMIFS('Калькуляция (МСА)'!$AE$25:$AE$103,'Калькуляция (МСА)'!$F$25:$F$103,$F191,'Калькуляция (МСА)'!$G$25:$G$103,$G191),_xlfn.SUMIFS(INDEX('Калькуляция (МИ)'!$AJ$25:$BC$603,,MATCH(AD$8,'Калькуляция (МИ)'!$AJ$8:$BC$8,0)),'Калькуляция (МИ)'!$F$25:$F$603,$F191,'Калькуляция (МИ)'!$G$25:$G$603,$G191))))</f>
        <v>2961.398</v>
      </c>
      <c r="AE191" s="1103">
        <f>IF(AND(method_reg="Метод индексации",god&lt;&gt;first_year),_xlfn.SUMIFS(INDEX('Калькуляция (МИ корр)'!$AJ$25:$BC$606,,MATCH(AE$8,'Калькуляция (МИ корр)'!$AJ$8:$BC$8,0)),'Калькуляция (МИ корр)'!$F$25:$F$606,$F191,'Калькуляция (МИ корр)'!$G$25:$G$606,$G191),IF(method_reg="Метод экономически обоснованных расходов",_xlfn.SUMIFS('Калькуляция (МЭОР)'!$AK$25:$AK$367,'Калькуляция (МЭОР)'!$F$25:$F$367,$F191,'Калькуляция (МЭОР)'!$G$25:$G$367,$G191),IF(method_reg="Метод сравнения аналогов",_xlfn.SUMIFS('Калькуляция (МСА)'!$AF$25:$AF$103,'Калькуляция (МСА)'!$F$25:$F$103,$F191,'Калькуляция (МСА)'!$G$25:$G$103,$G191),_xlfn.SUMIFS(INDEX('Калькуляция (МИ)'!$AJ$25:$BC$603,,MATCH(AE$8,'Калькуляция (МИ)'!$AJ$8:$BC$8,0)),'Калькуляция (МИ)'!$F$25:$F$603,$F191,'Калькуляция (МИ)'!$G$25:$G$603,$G191))))</f>
        <v>2824.07561</v>
      </c>
      <c r="AF191" s="1104">
        <f>IF(AD191=0,0,(AE191-AD191)/AD191*100)</f>
        <v>-4.63707985215092</v>
      </c>
      <c r="AG191" s="4585">
        <f>IF(AND(method_reg="Метод индексации",god&lt;&gt;first_year),_xlfn.SUMIFS(INDEX('Калькуляция (МИ корр)'!$AJ$25:$BC$606,,MATCH(AG$8,'Калькуляция (МИ корр)'!$AJ$8:$BC$8,0)),'Калькуляция (МИ корр)'!$F$25:$F$606,$F191,'Калькуляция (МИ корр)'!$G$25:$G$606,$G191),IF(method_reg="Метод экономически обоснованных расходов",_xlfn.SUMIFS('Калькуляция (МЭОР)'!$AJ$25:$AJ$367,'Калькуляция (МЭОР)'!$F$25:$F$367,$F191,'Калькуляция (МЭОР)'!$G$25:$G$367,$G191),IF(method_reg="Метод сравнения аналогов",_xlfn.SUMIFS('Калькуляция (МСА)'!$AE$25:$AE$103,'Калькуляция (МСА)'!$F$25:$F$103,$F191,'Калькуляция (МСА)'!$G$25:$G$103,$G191),_xlfn.SUMIFS(INDEX('Калькуляция (МИ)'!$AJ$25:$BC$603,,MATCH(AG$8,'Калькуляция (МИ)'!$AJ$8:$BC$8,0)),'Калькуляция (МИ)'!$F$25:$F$603,$F191,'Калькуляция (МИ)'!$G$25:$G$603,$G191))))</f>
        <v>0</v>
      </c>
      <c r="AH191" s="4585">
        <f>IF(AND(method_reg="Метод индексации",god&lt;&gt;first_year),_xlfn.SUMIFS(INDEX('Калькуляция (МИ корр)'!$AJ$25:$BC$606,,MATCH(AH$8,'Калькуляция (МИ корр)'!$AJ$8:$BC$8,0)),'Калькуляция (МИ корр)'!$F$25:$F$606,$F191,'Калькуляция (МИ корр)'!$G$25:$G$606,$G191),IF(method_reg="Метод экономически обоснованных расходов",_xlfn.SUMIFS('Калькуляция (МЭОР)'!$AK$25:$AK$367,'Калькуляция (МЭОР)'!$F$25:$F$367,$F191,'Калькуляция (МЭОР)'!$G$25:$G$367,$G191),IF(method_reg="Метод сравнения аналогов",_xlfn.SUMIFS('Калькуляция (МСА)'!$AF$25:$AF$103,'Калькуляция (МСА)'!$F$25:$F$103,$F191,'Калькуляция (МСА)'!$G$25:$G$103,$G191),_xlfn.SUMIFS(INDEX('Калькуляция (МИ)'!$AJ$25:$BC$603,,MATCH(AH$8,'Калькуляция (МИ)'!$AJ$8:$BC$8,0)),'Калькуляция (МИ)'!$F$25:$F$603,$F191,'Калькуляция (МИ)'!$G$25:$G$603,$G191))))</f>
        <v>0</v>
      </c>
      <c r="AI191" s="1104">
        <f>IF(AG191=0,0,(AH191-AG191)/AG191*100)</f>
        <v>0</v>
      </c>
      <c r="AJ191" s="4585">
        <f>IF(AND(method_reg="Метод индексации",god&lt;&gt;first_year),_xlfn.SUMIFS(INDEX('Калькуляция (МИ корр)'!$AJ$25:$BC$606,,MATCH(AJ$8,'Калькуляция (МИ корр)'!$AJ$8:$BC$8,0)),'Калькуляция (МИ корр)'!$F$25:$F$606,$F191,'Калькуляция (МИ корр)'!$G$25:$G$606,$G191),IF(method_reg="Метод экономически обоснованных расходов",_xlfn.SUMIFS('Калькуляция (МЭОР)'!$AJ$25:$AJ$367,'Калькуляция (МЭОР)'!$F$25:$F$367,$F191,'Калькуляция (МЭОР)'!$G$25:$G$367,$G191),IF(method_reg="Метод сравнения аналогов",_xlfn.SUMIFS('Калькуляция (МСА)'!$AE$25:$AE$103,'Калькуляция (МСА)'!$F$25:$F$103,$F191,'Калькуляция (МСА)'!$G$25:$G$103,$G191),_xlfn.SUMIFS(INDEX('Калькуляция (МИ)'!$AJ$25:$BC$603,,MATCH(AJ$8,'Калькуляция (МИ)'!$AJ$8:$BC$8,0)),'Калькуляция (МИ)'!$F$25:$F$603,$F191,'Калькуляция (МИ)'!$G$25:$G$603,$G191))))</f>
        <v>0</v>
      </c>
      <c r="AK191" s="4585">
        <f>IF(AND(method_reg="Метод индексации",god&lt;&gt;first_year),_xlfn.SUMIFS(INDEX('Калькуляция (МИ корр)'!$AJ$25:$BC$606,,MATCH(AK$8,'Калькуляция (МИ корр)'!$AJ$8:$BC$8,0)),'Калькуляция (МИ корр)'!$F$25:$F$606,$F191,'Калькуляция (МИ корр)'!$G$25:$G$606,$G191),IF(method_reg="Метод экономически обоснованных расходов",_xlfn.SUMIFS('Калькуляция (МЭОР)'!$AK$25:$AK$367,'Калькуляция (МЭОР)'!$F$25:$F$367,$F191,'Калькуляция (МЭОР)'!$G$25:$G$367,$G191),IF(method_reg="Метод сравнения аналогов",_xlfn.SUMIFS('Калькуляция (МСА)'!$AF$25:$AF$103,'Калькуляция (МСА)'!$F$25:$F$103,$F191,'Калькуляция (МСА)'!$G$25:$G$103,$G191),_xlfn.SUMIFS(INDEX('Калькуляция (МИ)'!$AJ$25:$BC$603,,MATCH(AK$8,'Калькуляция (МИ)'!$AJ$8:$BC$8,0)),'Калькуляция (МИ)'!$F$25:$F$603,$F191,'Калькуляция (МИ)'!$G$25:$G$603,$G191))))</f>
        <v>0</v>
      </c>
      <c r="AL191" s="1104">
        <f>IF(AJ191=0,0,(AK191-AJ191)/AJ191*100)</f>
        <v>0</v>
      </c>
      <c r="AM191" s="4585">
        <f>IF(AND(method_reg="Метод индексации",god&lt;&gt;first_year),_xlfn.SUMIFS(INDEX('Калькуляция (МИ корр)'!$AJ$25:$BC$606,,MATCH(AM$8,'Калькуляция (МИ корр)'!$AJ$8:$BC$8,0)),'Калькуляция (МИ корр)'!$F$25:$F$606,$F191,'Калькуляция (МИ корр)'!$G$25:$G$606,$G191),IF(method_reg="Метод экономически обоснованных расходов",_xlfn.SUMIFS('Калькуляция (МЭОР)'!$AJ$25:$AJ$367,'Калькуляция (МЭОР)'!$F$25:$F$367,$F191,'Калькуляция (МЭОР)'!$G$25:$G$367,$G191),IF(method_reg="Метод сравнения аналогов",_xlfn.SUMIFS('Калькуляция (МСА)'!$AE$25:$AE$103,'Калькуляция (МСА)'!$F$25:$F$103,$F191,'Калькуляция (МСА)'!$G$25:$G$103,$G191),_xlfn.SUMIFS(INDEX('Калькуляция (МИ)'!$AJ$25:$BC$603,,MATCH(AM$8,'Калькуляция (МИ)'!$AJ$8:$BC$8,0)),'Калькуляция (МИ)'!$F$25:$F$603,$F191,'Калькуляция (МИ)'!$G$25:$G$603,$G191))))</f>
        <v>0</v>
      </c>
      <c r="AN191" s="4585">
        <f>IF(AND(method_reg="Метод индексации",god&lt;&gt;first_year),_xlfn.SUMIFS(INDEX('Калькуляция (МИ корр)'!$AJ$25:$BC$606,,MATCH(AN$8,'Калькуляция (МИ корр)'!$AJ$8:$BC$8,0)),'Калькуляция (МИ корр)'!$F$25:$F$606,$F191,'Калькуляция (МИ корр)'!$G$25:$G$606,$G191),IF(method_reg="Метод экономически обоснованных расходов",_xlfn.SUMIFS('Калькуляция (МЭОР)'!$AK$25:$AK$367,'Калькуляция (МЭОР)'!$F$25:$F$367,$F191,'Калькуляция (МЭОР)'!$G$25:$G$367,$G191),IF(method_reg="Метод сравнения аналогов",_xlfn.SUMIFS('Калькуляция (МСА)'!$AF$25:$AF$103,'Калькуляция (МСА)'!$F$25:$F$103,$F191,'Калькуляция (МСА)'!$G$25:$G$103,$G191),_xlfn.SUMIFS(INDEX('Калькуляция (МИ)'!$AJ$25:$BC$603,,MATCH(AN$8,'Калькуляция (МИ)'!$AJ$8:$BC$8,0)),'Калькуляция (МИ)'!$F$25:$F$603,$F191,'Калькуляция (МИ)'!$G$25:$G$603,$G191))))</f>
        <v>0</v>
      </c>
      <c r="AO191" s="1104">
        <f>IF(AM191=0,0,(AN191-AM191)/AM191*100)</f>
        <v>0</v>
      </c>
      <c r="AP191" s="4585">
        <f>IF(AND(method_reg="Метод индексации",god&lt;&gt;first_year),_xlfn.SUMIFS(INDEX('Калькуляция (МИ корр)'!$AJ$25:$BC$606,,MATCH(AP$8,'Калькуляция (МИ корр)'!$AJ$8:$BC$8,0)),'Калькуляция (МИ корр)'!$F$25:$F$606,$F191,'Калькуляция (МИ корр)'!$G$25:$G$606,$G191),IF(method_reg="Метод экономически обоснованных расходов",_xlfn.SUMIFS('Калькуляция (МЭОР)'!$AJ$25:$AJ$367,'Калькуляция (МЭОР)'!$F$25:$F$367,$F191,'Калькуляция (МЭОР)'!$G$25:$G$367,$G191),IF(method_reg="Метод сравнения аналогов",_xlfn.SUMIFS('Калькуляция (МСА)'!$AE$25:$AE$103,'Калькуляция (МСА)'!$F$25:$F$103,$F191,'Калькуляция (МСА)'!$G$25:$G$103,$G191),_xlfn.SUMIFS(INDEX('Калькуляция (МИ)'!$AJ$25:$BC$603,,MATCH(AP$8,'Калькуляция (МИ)'!$AJ$8:$BC$8,0)),'Калькуляция (МИ)'!$F$25:$F$603,$F191,'Калькуляция (МИ)'!$G$25:$G$603,$G191))))</f>
        <v>0</v>
      </c>
      <c r="AQ191" s="4585">
        <f>IF(AND(method_reg="Метод индексации",god&lt;&gt;first_year),_xlfn.SUMIFS(INDEX('Калькуляция (МИ корр)'!$AJ$25:$BC$606,,MATCH(AQ$8,'Калькуляция (МИ корр)'!$AJ$8:$BC$8,0)),'Калькуляция (МИ корр)'!$F$25:$F$606,$F191,'Калькуляция (МИ корр)'!$G$25:$G$606,$G191),IF(method_reg="Метод экономически обоснованных расходов",_xlfn.SUMIFS('Калькуляция (МЭОР)'!$AK$25:$AK$367,'Калькуляция (МЭОР)'!$F$25:$F$367,$F191,'Калькуляция (МЭОР)'!$G$25:$G$367,$G191),IF(method_reg="Метод сравнения аналогов",_xlfn.SUMIFS('Калькуляция (МСА)'!$AF$25:$AF$103,'Калькуляция (МСА)'!$F$25:$F$103,$F191,'Калькуляция (МСА)'!$G$25:$G$103,$G191),_xlfn.SUMIFS(INDEX('Калькуляция (МИ)'!$AJ$25:$BC$603,,MATCH(AQ$8,'Калькуляция (МИ)'!$AJ$8:$BC$8,0)),'Калькуляция (МИ)'!$F$25:$F$603,$F191,'Калькуляция (МИ)'!$G$25:$G$603,$G191))))</f>
        <v>0</v>
      </c>
      <c r="AR191" s="1104">
        <f>IF(AP191=0,0,(AQ191-AP191)/AP191*100)</f>
        <v>0</v>
      </c>
      <c r="AS191" s="4585">
        <f>IF(AND(method_reg="Метод индексации",god&lt;&gt;first_year),_xlfn.SUMIFS(INDEX('Калькуляция (МИ корр)'!$AJ$25:$BC$606,,MATCH(AS$8,'Калькуляция (МИ корр)'!$AJ$8:$BC$8,0)),'Калькуляция (МИ корр)'!$F$25:$F$606,$F191,'Калькуляция (МИ корр)'!$G$25:$G$606,$G191),IF(method_reg="Метод экономически обоснованных расходов",_xlfn.SUMIFS('Калькуляция (МЭОР)'!$AJ$25:$AJ$367,'Калькуляция (МЭОР)'!$F$25:$F$367,$F191,'Калькуляция (МЭОР)'!$G$25:$G$367,$G191),IF(method_reg="Метод сравнения аналогов",_xlfn.SUMIFS('Калькуляция (МСА)'!$AE$25:$AE$103,'Калькуляция (МСА)'!$F$25:$F$103,$F191,'Калькуляция (МСА)'!$G$25:$G$103,$G191),_xlfn.SUMIFS(INDEX('Калькуляция (МИ)'!$AJ$25:$BC$603,,MATCH(AS$8,'Калькуляция (МИ)'!$AJ$8:$BC$8,0)),'Калькуляция (МИ)'!$F$25:$F$603,$F191,'Калькуляция (МИ)'!$G$25:$G$603,$G191))))</f>
        <v>0</v>
      </c>
      <c r="AT191" s="4585">
        <f>IF(AND(method_reg="Метод индексации",god&lt;&gt;first_year),_xlfn.SUMIFS(INDEX('Калькуляция (МИ корр)'!$AJ$25:$BC$606,,MATCH(AT$8,'Калькуляция (МИ корр)'!$AJ$8:$BC$8,0)),'Калькуляция (МИ корр)'!$F$25:$F$606,$F191,'Калькуляция (МИ корр)'!$G$25:$G$606,$G191),IF(method_reg="Метод экономически обоснованных расходов",_xlfn.SUMIFS('Калькуляция (МЭОР)'!$AK$25:$AK$367,'Калькуляция (МЭОР)'!$F$25:$F$367,$F191,'Калькуляция (МЭОР)'!$G$25:$G$367,$G191),IF(method_reg="Метод сравнения аналогов",_xlfn.SUMIFS('Калькуляция (МСА)'!$AF$25:$AF$103,'Калькуляция (МСА)'!$F$25:$F$103,$F191,'Калькуляция (МСА)'!$G$25:$G$103,$G191),_xlfn.SUMIFS(INDEX('Калькуляция (МИ)'!$AJ$25:$BC$603,,MATCH(AT$8,'Калькуляция (МИ)'!$AJ$8:$BC$8,0)),'Калькуляция (МИ)'!$F$25:$F$603,$F191,'Калькуляция (МИ)'!$G$25:$G$603,$G191))))</f>
        <v>0</v>
      </c>
      <c r="AU191" s="1104">
        <f>IF(AS191=0,0,(AT191-AS191)/AS191*100)</f>
        <v>0</v>
      </c>
      <c r="AV191" s="4585">
        <f>IF(AND(method_reg="Метод индексации",god&lt;&gt;first_year),_xlfn.SUMIFS(INDEX('Калькуляция (МИ корр)'!$AJ$25:$BC$606,,MATCH(AV$8,'Калькуляция (МИ корр)'!$AJ$8:$BC$8,0)),'Калькуляция (МИ корр)'!$F$25:$F$606,$F191,'Калькуляция (МИ корр)'!$G$25:$G$606,$G191),IF(method_reg="Метод экономически обоснованных расходов",_xlfn.SUMIFS('Калькуляция (МЭОР)'!$AJ$25:$AJ$367,'Калькуляция (МЭОР)'!$F$25:$F$367,$F191,'Калькуляция (МЭОР)'!$G$25:$G$367,$G191),IF(method_reg="Метод сравнения аналогов",_xlfn.SUMIFS('Калькуляция (МСА)'!$AE$25:$AE$103,'Калькуляция (МСА)'!$F$25:$F$103,$F191,'Калькуляция (МСА)'!$G$25:$G$103,$G191),_xlfn.SUMIFS(INDEX('Калькуляция (МИ)'!$AJ$25:$BC$603,,MATCH(AV$8,'Калькуляция (МИ)'!$AJ$8:$BC$8,0)),'Калькуляция (МИ)'!$F$25:$F$603,$F191,'Калькуляция (МИ)'!$G$25:$G$603,$G191))))</f>
        <v>0</v>
      </c>
      <c r="AW191" s="4585">
        <f>IF(AND(method_reg="Метод индексации",god&lt;&gt;first_year),_xlfn.SUMIFS(INDEX('Калькуляция (МИ корр)'!$AJ$25:$BC$606,,MATCH(AW$8,'Калькуляция (МИ корр)'!$AJ$8:$BC$8,0)),'Калькуляция (МИ корр)'!$F$25:$F$606,$F191,'Калькуляция (МИ корр)'!$G$25:$G$606,$G191),IF(method_reg="Метод экономически обоснованных расходов",_xlfn.SUMIFS('Калькуляция (МЭОР)'!$AK$25:$AK$367,'Калькуляция (МЭОР)'!$F$25:$F$367,$F191,'Калькуляция (МЭОР)'!$G$25:$G$367,$G191),IF(method_reg="Метод сравнения аналогов",_xlfn.SUMIFS('Калькуляция (МСА)'!$AF$25:$AF$103,'Калькуляция (МСА)'!$F$25:$F$103,$F191,'Калькуляция (МСА)'!$G$25:$G$103,$G191),_xlfn.SUMIFS(INDEX('Калькуляция (МИ)'!$AJ$25:$BC$603,,MATCH(AW$8,'Калькуляция (МИ)'!$AJ$8:$BC$8,0)),'Калькуляция (МИ)'!$F$25:$F$603,$F191,'Калькуляция (МИ)'!$G$25:$G$603,$G191))))</f>
        <v>0</v>
      </c>
      <c r="AX191" s="1104">
        <f>IF(AV191=0,0,(AW191-AV191)/AV191*100)</f>
        <v>0</v>
      </c>
      <c r="AY191" s="4585">
        <f>IF(AND(method_reg="Метод индексации",god&lt;&gt;first_year),_xlfn.SUMIFS(INDEX('Калькуляция (МИ корр)'!$AJ$25:$BC$606,,MATCH(AY$8,'Калькуляция (МИ корр)'!$AJ$8:$BC$8,0)),'Калькуляция (МИ корр)'!$F$25:$F$606,$F191,'Калькуляция (МИ корр)'!$G$25:$G$606,$G191),IF(method_reg="Метод экономически обоснованных расходов",_xlfn.SUMIFS('Калькуляция (МЭОР)'!$AJ$25:$AJ$367,'Калькуляция (МЭОР)'!$F$25:$F$367,$F191,'Калькуляция (МЭОР)'!$G$25:$G$367,$G191),IF(method_reg="Метод сравнения аналогов",_xlfn.SUMIFS('Калькуляция (МСА)'!$AE$25:$AE$103,'Калькуляция (МСА)'!$F$25:$F$103,$F191,'Калькуляция (МСА)'!$G$25:$G$103,$G191),_xlfn.SUMIFS(INDEX('Калькуляция (МИ)'!$AJ$25:$BC$603,,MATCH(AY$8,'Калькуляция (МИ)'!$AJ$8:$BC$8,0)),'Калькуляция (МИ)'!$F$25:$F$603,$F191,'Калькуляция (МИ)'!$G$25:$G$603,$G191))))</f>
        <v>0</v>
      </c>
      <c r="AZ191" s="4585">
        <f>IF(AND(method_reg="Метод индексации",god&lt;&gt;first_year),_xlfn.SUMIFS(INDEX('Калькуляция (МИ корр)'!$AJ$25:$BC$606,,MATCH(AZ$8,'Калькуляция (МИ корр)'!$AJ$8:$BC$8,0)),'Калькуляция (МИ корр)'!$F$25:$F$606,$F191,'Калькуляция (МИ корр)'!$G$25:$G$606,$G191),IF(method_reg="Метод экономически обоснованных расходов",_xlfn.SUMIFS('Калькуляция (МЭОР)'!$AK$25:$AK$367,'Калькуляция (МЭОР)'!$F$25:$F$367,$F191,'Калькуляция (МЭОР)'!$G$25:$G$367,$G191),IF(method_reg="Метод сравнения аналогов",_xlfn.SUMIFS('Калькуляция (МСА)'!$AF$25:$AF$103,'Калькуляция (МСА)'!$F$25:$F$103,$F191,'Калькуляция (МСА)'!$G$25:$G$103,$G191),_xlfn.SUMIFS(INDEX('Калькуляция (МИ)'!$AJ$25:$BC$603,,MATCH(AZ$8,'Калькуляция (МИ)'!$AJ$8:$BC$8,0)),'Калькуляция (МИ)'!$F$25:$F$603,$F191,'Калькуляция (МИ)'!$G$25:$G$603,$G191))))</f>
        <v>0</v>
      </c>
      <c r="BA191" s="1104">
        <f>IF(AY191=0,0,(AZ191-AY191)/AY191*100)</f>
        <v>0</v>
      </c>
      <c r="BB191" s="4585">
        <f>IF(AND(method_reg="Метод индексации",god&lt;&gt;first_year),_xlfn.SUMIFS(INDEX('Калькуляция (МИ корр)'!$AJ$25:$BC$606,,MATCH(BB$8,'Калькуляция (МИ корр)'!$AJ$8:$BC$8,0)),'Калькуляция (МИ корр)'!$F$25:$F$606,$F191,'Калькуляция (МИ корр)'!$G$25:$G$606,$G191),IF(method_reg="Метод экономически обоснованных расходов",_xlfn.SUMIFS('Калькуляция (МЭОР)'!$AJ$25:$AJ$367,'Калькуляция (МЭОР)'!$F$25:$F$367,$F191,'Калькуляция (МЭОР)'!$G$25:$G$367,$G191),IF(method_reg="Метод сравнения аналогов",_xlfn.SUMIFS('Калькуляция (МСА)'!$AE$25:$AE$103,'Калькуляция (МСА)'!$F$25:$F$103,$F191,'Калькуляция (МСА)'!$G$25:$G$103,$G191),_xlfn.SUMIFS(INDEX('Калькуляция (МИ)'!$AJ$25:$BC$603,,MATCH(BB$8,'Калькуляция (МИ)'!$AJ$8:$BC$8,0)),'Калькуляция (МИ)'!$F$25:$F$603,$F191,'Калькуляция (МИ)'!$G$25:$G$603,$G191))))</f>
        <v>0</v>
      </c>
      <c r="BC191" s="4585">
        <f>IF(AND(method_reg="Метод индексации",god&lt;&gt;first_year),_xlfn.SUMIFS(INDEX('Калькуляция (МИ корр)'!$AJ$25:$BC$606,,MATCH(BC$8,'Калькуляция (МИ корр)'!$AJ$8:$BC$8,0)),'Калькуляция (МИ корр)'!$F$25:$F$606,$F191,'Калькуляция (МИ корр)'!$G$25:$G$606,$G191),IF(method_reg="Метод экономически обоснованных расходов",_xlfn.SUMIFS('Калькуляция (МЭОР)'!$AK$25:$AK$367,'Калькуляция (МЭОР)'!$F$25:$F$367,$F191,'Калькуляция (МЭОР)'!$G$25:$G$367,$G191),IF(method_reg="Метод сравнения аналогов",_xlfn.SUMIFS('Калькуляция (МСА)'!$AF$25:$AF$103,'Калькуляция (МСА)'!$F$25:$F$103,$F191,'Калькуляция (МСА)'!$G$25:$G$103,$G191),_xlfn.SUMIFS(INDEX('Калькуляция (МИ)'!$AJ$25:$BC$603,,MATCH(BC$8,'Калькуляция (МИ)'!$AJ$8:$BC$8,0)),'Калькуляция (МИ)'!$F$25:$F$603,$F191,'Калькуляция (МИ)'!$G$25:$G$603,$G191))))</f>
        <v>0</v>
      </c>
      <c r="BD191" s="1104">
        <f>IF(BB191=0,0,(BC191-BB191)/BB191*100)</f>
        <v>0</v>
      </c>
      <c r="BE191" s="4585">
        <f>IF(AND(method_reg="Метод индексации",god&lt;&gt;first_year),_xlfn.SUMIFS(INDEX('Калькуляция (МИ корр)'!$AJ$25:$BC$606,,MATCH(BE$8,'Калькуляция (МИ корр)'!$AJ$8:$BC$8,0)),'Калькуляция (МИ корр)'!$F$25:$F$606,$F191,'Калькуляция (МИ корр)'!$G$25:$G$606,$G191),IF(method_reg="Метод экономически обоснованных расходов",_xlfn.SUMIFS('Калькуляция (МЭОР)'!$AJ$25:$AJ$367,'Калькуляция (МЭОР)'!$F$25:$F$367,$F191,'Калькуляция (МЭОР)'!$G$25:$G$367,$G191),IF(method_reg="Метод сравнения аналогов",_xlfn.SUMIFS('Калькуляция (МСА)'!$AE$25:$AE$103,'Калькуляция (МСА)'!$F$25:$F$103,$F191,'Калькуляция (МСА)'!$G$25:$G$103,$G191),_xlfn.SUMIFS(INDEX('Калькуляция (МИ)'!$AJ$25:$BC$603,,MATCH(BE$8,'Калькуляция (МИ)'!$AJ$8:$BC$8,0)),'Калькуляция (МИ)'!$F$25:$F$603,$F191,'Калькуляция (МИ)'!$G$25:$G$603,$G191))))</f>
        <v>0</v>
      </c>
      <c r="BF191" s="4585">
        <f>IF(AND(method_reg="Метод индексации",god&lt;&gt;first_year),_xlfn.SUMIFS(INDEX('Калькуляция (МИ корр)'!$AJ$25:$BC$606,,MATCH(BF$8,'Калькуляция (МИ корр)'!$AJ$8:$BC$8,0)),'Калькуляция (МИ корр)'!$F$25:$F$606,$F191,'Калькуляция (МИ корр)'!$G$25:$G$606,$G191),IF(method_reg="Метод экономически обоснованных расходов",_xlfn.SUMIFS('Калькуляция (МЭОР)'!$AK$25:$AK$367,'Калькуляция (МЭОР)'!$F$25:$F$367,$F191,'Калькуляция (МЭОР)'!$G$25:$G$367,$G191),IF(method_reg="Метод сравнения аналогов",_xlfn.SUMIFS('Калькуляция (МСА)'!$AF$25:$AF$103,'Калькуляция (МСА)'!$F$25:$F$103,$F191,'Калькуляция (МСА)'!$G$25:$G$103,$G191),_xlfn.SUMIFS(INDEX('Калькуляция (МИ)'!$AJ$25:$BC$603,,MATCH(BF$8,'Калькуляция (МИ)'!$AJ$8:$BC$8,0)),'Калькуляция (МИ)'!$F$25:$F$603,$F191,'Калькуляция (МИ)'!$G$25:$G$603,$G191))))</f>
        <v>0</v>
      </c>
      <c r="BG191" s="1104">
        <f>IF(BE191=0,0,(BF191-BE191)/BE191*100)</f>
        <v>0</v>
      </c>
      <c r="BH191" s="4585"/>
      <c r="BI191" s="4585"/>
      <c r="BJ191" s="1104">
        <f>IF(BH191=0,0,(BI191-BH191)/BH191*100)</f>
        <v>0</v>
      </c>
      <c r="BK191" s="4585"/>
      <c r="BL191" s="4585"/>
      <c r="BM191" s="1104">
        <f>IF(BK191=0,0,(BL191-BK191)/BK191*100)</f>
        <v>0</v>
      </c>
      <c r="BN191" s="4585"/>
      <c r="BO191" s="4585"/>
      <c r="BP191" s="1104">
        <f>IF(BN191=0,0,(BO191-BN191)/BN191*100)</f>
        <v>0</v>
      </c>
      <c r="BQ191" s="4585"/>
      <c r="BR191" s="4585"/>
      <c r="BS191" s="1104">
        <f>IF(BQ191=0,0,(BR191-BQ191)/BQ191*100)</f>
        <v>0</v>
      </c>
      <c r="BT191" s="4585"/>
      <c r="BU191" s="4585"/>
      <c r="BV191" s="1104">
        <f>IF(BT191=0,0,(BU191-BT191)/BT191*100)</f>
        <v>0</v>
      </c>
      <c r="BW191" s="4585"/>
      <c r="BX191" s="4585"/>
      <c r="BY191" s="1104">
        <f>IF(BW191=0,0,(BX191-BW191)/BW191*100)</f>
        <v>0</v>
      </c>
      <c r="BZ191" s="4585"/>
      <c r="CA191" s="4585"/>
      <c r="CB191" s="1104">
        <f>IF(BZ191=0,0,(CA191-BZ191)/BZ191*100)</f>
        <v>0</v>
      </c>
      <c r="CC191" s="4585"/>
      <c r="CD191" s="4585"/>
      <c r="CE191" s="1104">
        <f>IF(CC191=0,0,(CD191-CC191)/CC191*100)</f>
        <v>0</v>
      </c>
      <c r="CF191" s="4585"/>
      <c r="CG191" s="4585"/>
      <c r="CH191" s="1104">
        <f>IF(CF191=0,0,(CG191-CF191)/CF191*100)</f>
        <v>0</v>
      </c>
      <c r="CI191" s="4585"/>
      <c r="CJ191" s="4585"/>
      <c r="CK191" s="1104">
        <f>IF(CI191=0,0,(CJ191-CI191)/CI191*100)</f>
        <v>0</v>
      </c>
      <c r="CL191" s="4585"/>
      <c r="CM191" s="4585"/>
      <c r="CN191" s="1104">
        <f>IF(CL191=0,0,(CM191-CL191)/CL191*100)</f>
        <v>0</v>
      </c>
      <c r="CO191" s="4585"/>
      <c r="CP191" s="4585"/>
      <c r="CQ191" s="1104">
        <f>IF(CO191=0,0,(CP191-CO191)/CO191*100)</f>
        <v>0</v>
      </c>
      <c r="CR191" s="4585"/>
      <c r="CS191" s="4585"/>
      <c r="CT191" s="1104">
        <f>IF(CR191=0,0,(CS191-CR191)/CR191*100)</f>
        <v>0</v>
      </c>
      <c r="CU191" s="4585"/>
      <c r="CV191" s="4585"/>
      <c r="CW191" s="1104">
        <f>IF(CU191=0,0,(CV191-CU191)/CU191*100)</f>
        <v>0</v>
      </c>
      <c r="CX191" s="4585"/>
      <c r="CY191" s="4585"/>
      <c r="CZ191" s="1104">
        <f>IF(CX191=0,0,(CY191-CX191)/CX191*100)</f>
        <v>0</v>
      </c>
      <c r="DA191" s="4585"/>
      <c r="DB191" s="4585"/>
      <c r="DC191" s="1104">
        <f>IF(DA191=0,0,(DB191-DA191)/DA191*100)</f>
        <v>0</v>
      </c>
      <c r="DD191" s="4585"/>
      <c r="DE191" s="4585"/>
      <c r="DF191" s="1104">
        <f>IF(DD191=0,0,(DE191-DD191)/DD191*100)</f>
        <v>0</v>
      </c>
      <c r="DG191" s="4585"/>
      <c r="DH191" s="4585"/>
      <c r="DI191" s="1104">
        <f>IF(DG191=0,0,(DH191-DG191)/DG191*100)</f>
        <v>0</v>
      </c>
      <c r="DJ191" s="4585"/>
      <c r="DK191" s="4585"/>
      <c r="DL191" s="1104">
        <f>IF(DJ191=0,0,(DK191-DJ191)/DJ191*100)</f>
        <v>0</v>
      </c>
      <c r="DM191" s="4585"/>
      <c r="DN191" s="4585"/>
      <c r="DO191" s="1104">
        <f>IF(DM191=0,0,(DN191-DM191)/DM191*100)</f>
        <v>0</v>
      </c>
      <c r="DP191" s="4585"/>
      <c r="DQ191" s="4585"/>
      <c r="DR191" s="1104">
        <f>IF(DP191=0,0,(DQ191-DP191)/DP191*100)</f>
        <v>0</v>
      </c>
      <c r="DS191" s="4585"/>
      <c r="DT191" s="4585"/>
      <c r="DU191" s="1104">
        <f>IF(DS191=0,0,(DT191-DS191)/DS191*100)</f>
        <v>0</v>
      </c>
      <c r="DV191" s="4585"/>
      <c r="DW191" s="4585"/>
      <c r="DX191" s="1104">
        <f>IF(DV191=0,0,(DW191-DV191)/DV191*100)</f>
        <v>0</v>
      </c>
      <c r="DY191" s="4585"/>
      <c r="DZ191" s="4585"/>
      <c r="EA191" s="1104">
        <f>IF(DY191=0,0,(DZ191-DY191)/DY191*100)</f>
        <v>0</v>
      </c>
      <c r="EB191" s="4585"/>
      <c r="EC191" s="4585"/>
      <c r="ED191" s="1104">
        <f>IF(EB191=0,0,(EC191-EB191)/EB191*100)</f>
        <v>0</v>
      </c>
      <c r="EE191" s="4585"/>
      <c r="EF191" s="4585"/>
      <c r="EG191" s="1104">
        <f>IF(EE191=0,0,(EF191-EE191)/EE191*100)</f>
        <v>0</v>
      </c>
      <c r="EH191" s="4585"/>
      <c r="EI191" s="4585"/>
      <c r="EJ191" s="1104">
        <f>IF(EH191=0,0,(EI191-EH191)/EH191*100)</f>
        <v>0</v>
      </c>
      <c r="EK191" s="4585"/>
      <c r="EL191" s="4585"/>
      <c r="EM191" s="1104">
        <f>IF(EK191=0,0,(EL191-EK191)/EK191*100)</f>
        <v>0</v>
      </c>
      <c r="EN191" s="4585"/>
      <c r="EO191" s="4585"/>
      <c r="EP191" s="1104">
        <f>IF(EN191=0,0,(EO191-EN191)/EN191*100)</f>
        <v>0</v>
      </c>
      <c r="EQ191" s="4585"/>
      <c r="ER191" s="4585"/>
      <c r="ES191" s="1104">
        <f>IF(EQ191=0,0,(ER191-EQ191)/EQ191*100)</f>
        <v>0</v>
      </c>
      <c r="ET191" s="4585"/>
      <c r="EU191" s="4585"/>
      <c r="EV191" s="1104">
        <f>IF(ET191=0,0,(EU191-ET191)/ET191*100)</f>
        <v>0</v>
      </c>
      <c r="EW191" s="4585"/>
      <c r="EX191" s="4585"/>
      <c r="EY191" s="1104">
        <f>IF(EW191=0,0,(EX191-EW191)/EW191*100)</f>
        <v>0</v>
      </c>
      <c r="EZ191" s="4585"/>
      <c r="FA191" s="4585"/>
      <c r="FB191" s="1104">
        <f>IF(EZ191=0,0,(FA191-EZ191)/EZ191*100)</f>
        <v>0</v>
      </c>
      <c r="FC191" s="4585"/>
      <c r="FD191" s="4585"/>
      <c r="FE191" s="1104">
        <f>IF(FC191=0,0,(FD191-FC191)/FC191*100)</f>
        <v>0</v>
      </c>
      <c r="FF191" s="4585"/>
      <c r="FG191" s="4585"/>
      <c r="FH191" s="1104">
        <f>IF(FF191=0,0,(FG191-FF191)/FF191*100)</f>
        <v>0</v>
      </c>
      <c r="FI191" s="4585"/>
      <c r="FJ191" s="4585"/>
      <c r="FK191" s="1104">
        <f>IF(FI191=0,0,(FJ191-FI191)/FI191*100)</f>
        <v>0</v>
      </c>
      <c r="FL191" s="4585"/>
      <c r="FM191" s="4585"/>
      <c r="FN191" s="1104">
        <f>IF(FL191=0,0,(FM191-FL191)/FL191*100)</f>
        <v>0</v>
      </c>
      <c r="FO191" s="4585"/>
      <c r="FP191" s="4585"/>
      <c r="FQ191" s="1104">
        <f>IF(FO191=0,0,(FP191-FO191)/FO191*100)</f>
        <v>0</v>
      </c>
      <c r="FR191" s="4585"/>
      <c r="FS191" s="4585"/>
      <c r="FT191" s="1104">
        <f>IF(FR191=0,0,(FS191-FR191)/FR191*100)</f>
        <v>0</v>
      </c>
      <c r="FU191" s="4585"/>
      <c r="FV191" s="4585"/>
      <c r="FW191" s="1104">
        <f>IF(FU191=0,0,(FV191-FU191)/FU191*100)</f>
        <v>0</v>
      </c>
      <c r="FX191" s="288"/>
      <c r="FY191" s="1328"/>
      <c r="FZ191" s="1063" t="s">
        <v>1886</v>
      </c>
      <c r="GA191" s="1330"/>
      <c r="GB191" s="1330"/>
      <c r="GC191" s="1329"/>
      <c r="GD191" s="1329"/>
    </row>
    <row s="1656" customFormat="1" customHeight="1" ht="18" hidden="1">
      <c r="A192" s="496"/>
      <c r="B192" s="932" cm="1" t="str">
        <f t="array" ref="B192:B192">B191</f>
        <v>true</v>
      </c>
      <c r="C192" s="496"/>
      <c r="D192" s="496"/>
      <c r="E192" s="847">
        <v>18.75</v>
      </c>
      <c r="F192" s="50" cm="1" t="str">
        <f t="array" ref="F192:F192">OFFSET(E192,-1,1)</f>
        <v>2</v>
      </c>
      <c r="G192" s="496"/>
      <c r="H192" s="496" t="s">
        <v>566</v>
      </c>
      <c r="I192" s="496" cm="1" t="str">
        <f t="array" ref="I192:I192">AB192</f>
        <v>0</v>
      </c>
      <c r="J192" s="496"/>
      <c r="K192" s="496"/>
      <c r="L192" s="496"/>
      <c r="M192" s="496"/>
      <c r="N192" s="496"/>
      <c r="O192" s="496"/>
      <c r="P192" s="496"/>
      <c r="Q192" s="904"/>
      <c r="R192" s="496"/>
      <c r="S192" s="496"/>
      <c r="T192" s="468">
        <f>AND(F192&gt;0,Y192&gt;0)</f>
        <v>0</v>
      </c>
      <c r="U192" s="496"/>
      <c r="V192" s="496"/>
      <c r="W192" s="496" t="s">
        <v>173</v>
      </c>
      <c r="X192" s="1559"/>
      <c r="Y192" s="1559">
        <v>0</v>
      </c>
      <c r="Z192" s="1528"/>
      <c r="AA192" s="1516" t="s">
        <v>174</v>
      </c>
      <c r="AB192" s="4590"/>
      <c r="AC192" s="871" t="s">
        <v>1862</v>
      </c>
      <c r="AD192" s="4591"/>
      <c r="AE192" s="4592"/>
      <c r="AF192" s="1102">
        <f>IF(AD192=0,0,(AE192-AD192)/AD192*100)</f>
        <v>0</v>
      </c>
      <c r="AG192" s="4591"/>
      <c r="AH192" s="4592"/>
      <c r="AI192" s="1102">
        <f>IF(AG192=0,0,(AH192-AG192)/AG192*100)</f>
        <v>0</v>
      </c>
      <c r="AJ192" s="4591"/>
      <c r="AK192" s="4592"/>
      <c r="AL192" s="1102">
        <f>IF(AJ192=0,0,(AK192-AJ192)/AJ192*100)</f>
        <v>0</v>
      </c>
      <c r="AM192" s="4591"/>
      <c r="AN192" s="4592"/>
      <c r="AO192" s="1102">
        <f>IF(AM192=0,0,(AN192-AM192)/AM192*100)</f>
        <v>0</v>
      </c>
      <c r="AP192" s="4591"/>
      <c r="AQ192" s="4592"/>
      <c r="AR192" s="1102">
        <f>IF(AP192=0,0,(AQ192-AP192)/AP192*100)</f>
        <v>0</v>
      </c>
      <c r="AS192" s="4591"/>
      <c r="AT192" s="4592"/>
      <c r="AU192" s="1102">
        <f>IF(AS192=0,0,(AT192-AS192)/AS192*100)</f>
        <v>0</v>
      </c>
      <c r="AV192" s="4591"/>
      <c r="AW192" s="4592"/>
      <c r="AX192" s="1102">
        <f>IF(AV192=0,0,(AW192-AV192)/AV192*100)</f>
        <v>0</v>
      </c>
      <c r="AY192" s="4591"/>
      <c r="AZ192" s="4592"/>
      <c r="BA192" s="1102">
        <f>IF(AY192=0,0,(AZ192-AY192)/AY192*100)</f>
        <v>0</v>
      </c>
      <c r="BB192" s="4591"/>
      <c r="BC192" s="4592"/>
      <c r="BD192" s="1102">
        <f>IF(BB192=0,0,(BC192-BB192)/BB192*100)</f>
        <v>0</v>
      </c>
      <c r="BE192" s="4591"/>
      <c r="BF192" s="4592"/>
      <c r="BG192" s="1102">
        <f>IF(BE192=0,0,(BF192-BE192)/BE192*100)</f>
        <v>0</v>
      </c>
      <c r="BH192" s="4591"/>
      <c r="BI192" s="4592"/>
      <c r="BJ192" s="1102">
        <f>IF(BH192=0,0,(BI192-BH192)/BH192*100)</f>
        <v>0</v>
      </c>
      <c r="BK192" s="4591"/>
      <c r="BL192" s="4592"/>
      <c r="BM192" s="1102">
        <f>IF(BK192=0,0,(BL192-BK192)/BK192*100)</f>
        <v>0</v>
      </c>
      <c r="BN192" s="4591"/>
      <c r="BO192" s="4592"/>
      <c r="BP192" s="1102">
        <f>IF(BN192=0,0,(BO192-BN192)/BN192*100)</f>
        <v>0</v>
      </c>
      <c r="BQ192" s="4591"/>
      <c r="BR192" s="4592"/>
      <c r="BS192" s="1102">
        <f>IF(BQ192=0,0,(BR192-BQ192)/BQ192*100)</f>
        <v>0</v>
      </c>
      <c r="BT192" s="4591"/>
      <c r="BU192" s="4592"/>
      <c r="BV192" s="1102">
        <f>IF(BT192=0,0,(BU192-BT192)/BT192*100)</f>
        <v>0</v>
      </c>
      <c r="BW192" s="4591"/>
      <c r="BX192" s="4592"/>
      <c r="BY192" s="1102">
        <f>IF(BW192=0,0,(BX192-BW192)/BW192*100)</f>
        <v>0</v>
      </c>
      <c r="BZ192" s="4591"/>
      <c r="CA192" s="4592"/>
      <c r="CB192" s="1102">
        <f>IF(BZ192=0,0,(CA192-BZ192)/BZ192*100)</f>
        <v>0</v>
      </c>
      <c r="CC192" s="4591"/>
      <c r="CD192" s="4592"/>
      <c r="CE192" s="1102">
        <f>IF(CC192=0,0,(CD192-CC192)/CC192*100)</f>
        <v>0</v>
      </c>
      <c r="CF192" s="4591"/>
      <c r="CG192" s="4592"/>
      <c r="CH192" s="1102">
        <f>IF(CF192=0,0,(CG192-CF192)/CF192*100)</f>
        <v>0</v>
      </c>
      <c r="CI192" s="4591"/>
      <c r="CJ192" s="4592"/>
      <c r="CK192" s="1102">
        <f>IF(CI192=0,0,(CJ192-CI192)/CI192*100)</f>
        <v>0</v>
      </c>
      <c r="CL192" s="4591"/>
      <c r="CM192" s="4592"/>
      <c r="CN192" s="1102">
        <f>IF(CL192=0,0,(CM192-CL192)/CL192*100)</f>
        <v>0</v>
      </c>
      <c r="CO192" s="4591"/>
      <c r="CP192" s="4592"/>
      <c r="CQ192" s="1102">
        <f>IF(CO192=0,0,(CP192-CO192)/CO192*100)</f>
        <v>0</v>
      </c>
      <c r="CR192" s="4591"/>
      <c r="CS192" s="4592"/>
      <c r="CT192" s="1102">
        <f>IF(CR192=0,0,(CS192-CR192)/CR192*100)</f>
        <v>0</v>
      </c>
      <c r="CU192" s="4591"/>
      <c r="CV192" s="4592"/>
      <c r="CW192" s="1102">
        <f>IF(CU192=0,0,(CV192-CU192)/CU192*100)</f>
        <v>0</v>
      </c>
      <c r="CX192" s="4591"/>
      <c r="CY192" s="4592"/>
      <c r="CZ192" s="1102">
        <f>IF(CX192=0,0,(CY192-CX192)/CX192*100)</f>
        <v>0</v>
      </c>
      <c r="DA192" s="4591"/>
      <c r="DB192" s="4592"/>
      <c r="DC192" s="1102">
        <f>IF(DA192=0,0,(DB192-DA192)/DA192*100)</f>
        <v>0</v>
      </c>
      <c r="DD192" s="4591"/>
      <c r="DE192" s="4592"/>
      <c r="DF192" s="1102">
        <f>IF(DD192=0,0,(DE192-DD192)/DD192*100)</f>
        <v>0</v>
      </c>
      <c r="DG192" s="4591"/>
      <c r="DH192" s="4592"/>
      <c r="DI192" s="1102">
        <f>IF(DG192=0,0,(DH192-DG192)/DG192*100)</f>
        <v>0</v>
      </c>
      <c r="DJ192" s="4591"/>
      <c r="DK192" s="4592"/>
      <c r="DL192" s="1102">
        <f>IF(DJ192=0,0,(DK192-DJ192)/DJ192*100)</f>
        <v>0</v>
      </c>
      <c r="DM192" s="4591"/>
      <c r="DN192" s="4592"/>
      <c r="DO192" s="1102">
        <f>IF(DM192=0,0,(DN192-DM192)/DM192*100)</f>
        <v>0</v>
      </c>
      <c r="DP192" s="4591"/>
      <c r="DQ192" s="4592"/>
      <c r="DR192" s="1102">
        <f>IF(DP192=0,0,(DQ192-DP192)/DP192*100)</f>
        <v>0</v>
      </c>
      <c r="DS192" s="4591"/>
      <c r="DT192" s="4592"/>
      <c r="DU192" s="1102">
        <f>IF(DS192=0,0,(DT192-DS192)/DS192*100)</f>
        <v>0</v>
      </c>
      <c r="DV192" s="4591"/>
      <c r="DW192" s="4592"/>
      <c r="DX192" s="1102">
        <f>IF(DV192=0,0,(DW192-DV192)/DV192*100)</f>
        <v>0</v>
      </c>
      <c r="DY192" s="4591"/>
      <c r="DZ192" s="4592"/>
      <c r="EA192" s="1102">
        <f>IF(DY192=0,0,(DZ192-DY192)/DY192*100)</f>
        <v>0</v>
      </c>
      <c r="EB192" s="4591"/>
      <c r="EC192" s="4592"/>
      <c r="ED192" s="1102">
        <f>IF(EB192=0,0,(EC192-EB192)/EB192*100)</f>
        <v>0</v>
      </c>
      <c r="EE192" s="4591"/>
      <c r="EF192" s="4592"/>
      <c r="EG192" s="1102">
        <f>IF(EE192=0,0,(EF192-EE192)/EE192*100)</f>
        <v>0</v>
      </c>
      <c r="EH192" s="4591"/>
      <c r="EI192" s="4592"/>
      <c r="EJ192" s="1102">
        <f>IF(EH192=0,0,(EI192-EH192)/EH192*100)</f>
        <v>0</v>
      </c>
      <c r="EK192" s="4591"/>
      <c r="EL192" s="4592"/>
      <c r="EM192" s="1102">
        <f>IF(EK192=0,0,(EL192-EK192)/EK192*100)</f>
        <v>0</v>
      </c>
      <c r="EN192" s="4591"/>
      <c r="EO192" s="4592"/>
      <c r="EP192" s="1102">
        <f>IF(EN192=0,0,(EO192-EN192)/EN192*100)</f>
        <v>0</v>
      </c>
      <c r="EQ192" s="4591"/>
      <c r="ER192" s="4592"/>
      <c r="ES192" s="1102">
        <f>IF(EQ192=0,0,(ER192-EQ192)/EQ192*100)</f>
        <v>0</v>
      </c>
      <c r="ET192" s="4591"/>
      <c r="EU192" s="4592"/>
      <c r="EV192" s="1102">
        <f>IF(ET192=0,0,(EU192-ET192)/ET192*100)</f>
        <v>0</v>
      </c>
      <c r="EW192" s="4591"/>
      <c r="EX192" s="4592"/>
      <c r="EY192" s="1102">
        <f>IF(EW192=0,0,(EX192-EW192)/EW192*100)</f>
        <v>0</v>
      </c>
      <c r="EZ192" s="4591"/>
      <c r="FA192" s="4592"/>
      <c r="FB192" s="1102">
        <f>IF(EZ192=0,0,(FA192-EZ192)/EZ192*100)</f>
        <v>0</v>
      </c>
      <c r="FC192" s="4591"/>
      <c r="FD192" s="4592"/>
      <c r="FE192" s="1102">
        <f>IF(FC192=0,0,(FD192-FC192)/FC192*100)</f>
        <v>0</v>
      </c>
      <c r="FF192" s="4591"/>
      <c r="FG192" s="4592"/>
      <c r="FH192" s="1102">
        <f>IF(FF192=0,0,(FG192-FF192)/FF192*100)</f>
        <v>0</v>
      </c>
      <c r="FI192" s="4591"/>
      <c r="FJ192" s="4592"/>
      <c r="FK192" s="1102">
        <f>IF(FI192=0,0,(FJ192-FI192)/FI192*100)</f>
        <v>0</v>
      </c>
      <c r="FL192" s="4591"/>
      <c r="FM192" s="4592"/>
      <c r="FN192" s="1102">
        <f>IF(FL192=0,0,(FM192-FL192)/FL192*100)</f>
        <v>0</v>
      </c>
      <c r="FO192" s="4591"/>
      <c r="FP192" s="4592"/>
      <c r="FQ192" s="1102">
        <f>IF(FO192=0,0,(FP192-FO192)/FO192*100)</f>
        <v>0</v>
      </c>
      <c r="FR192" s="4591"/>
      <c r="FS192" s="4592"/>
      <c r="FT192" s="1102">
        <f>IF(FR192=0,0,(FS192-FR192)/FR192*100)</f>
        <v>0</v>
      </c>
      <c r="FU192" s="4591"/>
      <c r="FV192" s="4592"/>
      <c r="FW192" s="1102">
        <f>IF(FU192=0,0,(FV192-FU192)/FU192*100)</f>
        <v>0</v>
      </c>
      <c r="FX192" s="288"/>
      <c r="FY192" s="1328"/>
      <c r="FZ192" s="1063" t="s">
        <v>1887</v>
      </c>
      <c r="GA192" s="1023" t="s">
        <v>1888</v>
      </c>
      <c r="GB192" s="1023" cm="1" t="str">
        <f t="array" ref="GB192:GB192">AB192</f>
        <v>0</v>
      </c>
      <c r="GC192" s="1329"/>
      <c r="GD192" s="637" t="b">
        <v>1</v>
      </c>
    </row>
    <row customHeight="1" ht="18.525" hidden="1">
      <c r="A193" s="496"/>
      <c r="B193" s="932" cm="1" t="str">
        <f t="array" ref="B193:B193">B192</f>
        <v>true</v>
      </c>
      <c r="C193" s="496"/>
      <c r="D193" s="496"/>
      <c r="E193" s="847">
        <v>19</v>
      </c>
      <c r="F193" s="50" cm="1" t="str">
        <f t="array" ref="F193:F193">OFFSET(E193,-1,1)</f>
        <v>2</v>
      </c>
      <c r="G193" s="496"/>
      <c r="H193" s="496"/>
      <c r="I193" s="496"/>
      <c r="J193" s="496"/>
      <c r="K193" s="496"/>
      <c r="L193" s="496"/>
      <c r="M193" s="496"/>
      <c r="N193" s="496"/>
      <c r="O193" s="496"/>
      <c r="P193" s="496"/>
      <c r="Q193" s="904"/>
      <c r="R193" s="496"/>
      <c r="S193" s="496"/>
      <c r="T193" s="468" cm="1" t="str">
        <f t="array" ref="T193:T193">T192</f>
        <v>false</v>
      </c>
      <c r="U193" s="496"/>
      <c r="V193" s="496"/>
      <c r="W193" s="496"/>
      <c r="X193" s="1559"/>
      <c r="Y193" s="1559"/>
      <c r="Z193" s="1528"/>
      <c r="AA193" s="1516"/>
      <c r="AB193" s="4590"/>
      <c r="AC193" s="871" t="s">
        <v>1862</v>
      </c>
      <c r="AD193" s="4591"/>
      <c r="AE193" s="4592"/>
      <c r="AF193" s="1102">
        <f>IF(AD193=0,0,(AE193-AD193)/AD193*100)</f>
        <v>0</v>
      </c>
      <c r="AG193" s="4591"/>
      <c r="AH193" s="4592"/>
      <c r="AI193" s="1102">
        <f>IF(AG193=0,0,(AH193-AG193)/AG193*100)</f>
        <v>0</v>
      </c>
      <c r="AJ193" s="4591"/>
      <c r="AK193" s="4592"/>
      <c r="AL193" s="1102">
        <f>IF(AJ193=0,0,(AK193-AJ193)/AJ193*100)</f>
        <v>0</v>
      </c>
      <c r="AM193" s="4591"/>
      <c r="AN193" s="4592"/>
      <c r="AO193" s="1102">
        <f>IF(AM193=0,0,(AN193-AM193)/AM193*100)</f>
        <v>0</v>
      </c>
      <c r="AP193" s="4591"/>
      <c r="AQ193" s="4592"/>
      <c r="AR193" s="1102">
        <f>IF(AP193=0,0,(AQ193-AP193)/AP193*100)</f>
        <v>0</v>
      </c>
      <c r="AS193" s="4591"/>
      <c r="AT193" s="4592"/>
      <c r="AU193" s="1102">
        <f>IF(AS193=0,0,(AT193-AS193)/AS193*100)</f>
        <v>0</v>
      </c>
      <c r="AV193" s="4591"/>
      <c r="AW193" s="4592"/>
      <c r="AX193" s="1102">
        <f>IF(AV193=0,0,(AW193-AV193)/AV193*100)</f>
        <v>0</v>
      </c>
      <c r="AY193" s="4591"/>
      <c r="AZ193" s="4592"/>
      <c r="BA193" s="1102">
        <f>IF(AY193=0,0,(AZ193-AY193)/AY193*100)</f>
        <v>0</v>
      </c>
      <c r="BB193" s="4591"/>
      <c r="BC193" s="4592"/>
      <c r="BD193" s="1102">
        <f>IF(BB193=0,0,(BC193-BB193)/BB193*100)</f>
        <v>0</v>
      </c>
      <c r="BE193" s="4591"/>
      <c r="BF193" s="4592"/>
      <c r="BG193" s="1102">
        <f>IF(BE193=0,0,(BF193-BE193)/BE193*100)</f>
        <v>0</v>
      </c>
      <c r="BH193" s="4591"/>
      <c r="BI193" s="4592"/>
      <c r="BJ193" s="1102">
        <f>IF(BH193=0,0,(BI193-BH193)/BH193*100)</f>
        <v>0</v>
      </c>
      <c r="BK193" s="4591"/>
      <c r="BL193" s="4592"/>
      <c r="BM193" s="1102">
        <f>IF(BK193=0,0,(BL193-BK193)/BK193*100)</f>
        <v>0</v>
      </c>
      <c r="BN193" s="4591"/>
      <c r="BO193" s="4592"/>
      <c r="BP193" s="1102">
        <f>IF(BN193=0,0,(BO193-BN193)/BN193*100)</f>
        <v>0</v>
      </c>
      <c r="BQ193" s="4591"/>
      <c r="BR193" s="4592"/>
      <c r="BS193" s="1102">
        <f>IF(BQ193=0,0,(BR193-BQ193)/BQ193*100)</f>
        <v>0</v>
      </c>
      <c r="BT193" s="4591"/>
      <c r="BU193" s="4592"/>
      <c r="BV193" s="1102">
        <f>IF(BT193=0,0,(BU193-BT193)/BT193*100)</f>
        <v>0</v>
      </c>
      <c r="BW193" s="4591"/>
      <c r="BX193" s="4592"/>
      <c r="BY193" s="1102">
        <f>IF(BW193=0,0,(BX193-BW193)/BW193*100)</f>
        <v>0</v>
      </c>
      <c r="BZ193" s="4591"/>
      <c r="CA193" s="4592"/>
      <c r="CB193" s="1102">
        <f>IF(BZ193=0,0,(CA193-BZ193)/BZ193*100)</f>
        <v>0</v>
      </c>
      <c r="CC193" s="4591"/>
      <c r="CD193" s="4592"/>
      <c r="CE193" s="1102">
        <f>IF(CC193=0,0,(CD193-CC193)/CC193*100)</f>
        <v>0</v>
      </c>
      <c r="CF193" s="4591"/>
      <c r="CG193" s="4592"/>
      <c r="CH193" s="1102">
        <f>IF(CF193=0,0,(CG193-CF193)/CF193*100)</f>
        <v>0</v>
      </c>
      <c r="CI193" s="4591"/>
      <c r="CJ193" s="4592"/>
      <c r="CK193" s="1102">
        <f>IF(CI193=0,0,(CJ193-CI193)/CI193*100)</f>
        <v>0</v>
      </c>
      <c r="CL193" s="4591"/>
      <c r="CM193" s="4592"/>
      <c r="CN193" s="1102">
        <f>IF(CL193=0,0,(CM193-CL193)/CL193*100)</f>
        <v>0</v>
      </c>
      <c r="CO193" s="4591"/>
      <c r="CP193" s="4592"/>
      <c r="CQ193" s="1102">
        <f>IF(CO193=0,0,(CP193-CO193)/CO193*100)</f>
        <v>0</v>
      </c>
      <c r="CR193" s="4591"/>
      <c r="CS193" s="4592"/>
      <c r="CT193" s="1102">
        <f>IF(CR193=0,0,(CS193-CR193)/CR193*100)</f>
        <v>0</v>
      </c>
      <c r="CU193" s="4591"/>
      <c r="CV193" s="4592"/>
      <c r="CW193" s="1102">
        <f>IF(CU193=0,0,(CV193-CU193)/CU193*100)</f>
        <v>0</v>
      </c>
      <c r="CX193" s="4591"/>
      <c r="CY193" s="4592"/>
      <c r="CZ193" s="1102">
        <f>IF(CX193=0,0,(CY193-CX193)/CX193*100)</f>
        <v>0</v>
      </c>
      <c r="DA193" s="4591"/>
      <c r="DB193" s="4592"/>
      <c r="DC193" s="1102">
        <f>IF(DA193=0,0,(DB193-DA193)/DA193*100)</f>
        <v>0</v>
      </c>
      <c r="DD193" s="4591"/>
      <c r="DE193" s="4592"/>
      <c r="DF193" s="1102">
        <f>IF(DD193=0,0,(DE193-DD193)/DD193*100)</f>
        <v>0</v>
      </c>
      <c r="DG193" s="4591"/>
      <c r="DH193" s="4592"/>
      <c r="DI193" s="1102">
        <f>IF(DG193=0,0,(DH193-DG193)/DG193*100)</f>
        <v>0</v>
      </c>
      <c r="DJ193" s="4591"/>
      <c r="DK193" s="4592"/>
      <c r="DL193" s="1102">
        <f>IF(DJ193=0,0,(DK193-DJ193)/DJ193*100)</f>
        <v>0</v>
      </c>
      <c r="DM193" s="4591"/>
      <c r="DN193" s="4592"/>
      <c r="DO193" s="1102">
        <f>IF(DM193=0,0,(DN193-DM193)/DM193*100)</f>
        <v>0</v>
      </c>
      <c r="DP193" s="4591"/>
      <c r="DQ193" s="4592"/>
      <c r="DR193" s="1102">
        <f>IF(DP193=0,0,(DQ193-DP193)/DP193*100)</f>
        <v>0</v>
      </c>
      <c r="DS193" s="4591"/>
      <c r="DT193" s="4592"/>
      <c r="DU193" s="1102">
        <f>IF(DS193=0,0,(DT193-DS193)/DS193*100)</f>
        <v>0</v>
      </c>
      <c r="DV193" s="4591"/>
      <c r="DW193" s="4592"/>
      <c r="DX193" s="1102">
        <f>IF(DV193=0,0,(DW193-DV193)/DV193*100)</f>
        <v>0</v>
      </c>
      <c r="DY193" s="4591"/>
      <c r="DZ193" s="4592"/>
      <c r="EA193" s="1102">
        <f>IF(DY193=0,0,(DZ193-DY193)/DY193*100)</f>
        <v>0</v>
      </c>
      <c r="EB193" s="4591"/>
      <c r="EC193" s="4592"/>
      <c r="ED193" s="1102">
        <f>IF(EB193=0,0,(EC193-EB193)/EB193*100)</f>
        <v>0</v>
      </c>
      <c r="EE193" s="4591"/>
      <c r="EF193" s="4592"/>
      <c r="EG193" s="1102">
        <f>IF(EE193=0,0,(EF193-EE193)/EE193*100)</f>
        <v>0</v>
      </c>
      <c r="EH193" s="4591"/>
      <c r="EI193" s="4592"/>
      <c r="EJ193" s="1102">
        <f>IF(EH193=0,0,(EI193-EH193)/EH193*100)</f>
        <v>0</v>
      </c>
      <c r="EK193" s="4591"/>
      <c r="EL193" s="4592"/>
      <c r="EM193" s="1102">
        <f>IF(EK193=0,0,(EL193-EK193)/EK193*100)</f>
        <v>0</v>
      </c>
      <c r="EN193" s="4591"/>
      <c r="EO193" s="4592"/>
      <c r="EP193" s="1102">
        <f>IF(EN193=0,0,(EO193-EN193)/EN193*100)</f>
        <v>0</v>
      </c>
      <c r="EQ193" s="4591"/>
      <c r="ER193" s="4592"/>
      <c r="ES193" s="1102">
        <f>IF(EQ193=0,0,(ER193-EQ193)/EQ193*100)</f>
        <v>0</v>
      </c>
      <c r="ET193" s="4591"/>
      <c r="EU193" s="4592"/>
      <c r="EV193" s="1102">
        <f>IF(ET193=0,0,(EU193-ET193)/ET193*100)</f>
        <v>0</v>
      </c>
      <c r="EW193" s="4591"/>
      <c r="EX193" s="4592"/>
      <c r="EY193" s="1102">
        <f>IF(EW193=0,0,(EX193-EW193)/EW193*100)</f>
        <v>0</v>
      </c>
      <c r="EZ193" s="4591"/>
      <c r="FA193" s="4592"/>
      <c r="FB193" s="1102">
        <f>IF(EZ193=0,0,(FA193-EZ193)/EZ193*100)</f>
        <v>0</v>
      </c>
      <c r="FC193" s="4591"/>
      <c r="FD193" s="4592"/>
      <c r="FE193" s="1102">
        <f>IF(FC193=0,0,(FD193-FC193)/FC193*100)</f>
        <v>0</v>
      </c>
      <c r="FF193" s="4591"/>
      <c r="FG193" s="4592"/>
      <c r="FH193" s="1102">
        <f>IF(FF193=0,0,(FG193-FF193)/FF193*100)</f>
        <v>0</v>
      </c>
      <c r="FI193" s="4591"/>
      <c r="FJ193" s="4592"/>
      <c r="FK193" s="1102">
        <f>IF(FI193=0,0,(FJ193-FI193)/FI193*100)</f>
        <v>0</v>
      </c>
      <c r="FL193" s="4591"/>
      <c r="FM193" s="4592"/>
      <c r="FN193" s="1102">
        <f>IF(FL193=0,0,(FM193-FL193)/FL193*100)</f>
        <v>0</v>
      </c>
      <c r="FO193" s="4591"/>
      <c r="FP193" s="4592"/>
      <c r="FQ193" s="1102">
        <f>IF(FO193=0,0,(FP193-FO193)/FO193*100)</f>
        <v>0</v>
      </c>
      <c r="FR193" s="4591"/>
      <c r="FS193" s="4592"/>
      <c r="FT193" s="1102">
        <f>IF(FR193=0,0,(FS193-FR193)/FR193*100)</f>
        <v>0</v>
      </c>
      <c r="FU193" s="4591"/>
      <c r="FV193" s="4592"/>
      <c r="FW193" s="1102">
        <f>IF(FU193=0,0,(FV193-FU193)/FU193*100)</f>
        <v>0</v>
      </c>
      <c r="FZ193" s="1330" t="s">
        <v>1889</v>
      </c>
      <c r="GA193" s="1330" t="s">
        <v>1888</v>
      </c>
      <c r="GB193" s="1330" cm="1" t="str">
        <f t="array" ref="GB193:GB193">GB192</f>
        <v>0</v>
      </c>
    </row>
    <row s="1656" customFormat="1" customHeight="1" ht="14.25" hidden="1">
      <c r="A194" s="496"/>
      <c r="B194" s="932" cm="1" t="str">
        <f t="array" ref="B194:B194">B192</f>
        <v>true</v>
      </c>
      <c r="C194" s="496"/>
      <c r="D194" s="496"/>
      <c r="E194" s="847">
        <v>15</v>
      </c>
      <c r="F194" s="50" cm="1" t="str">
        <f t="array" ref="F194:F194">OFFSET(E194,-1,1)</f>
        <v>2</v>
      </c>
      <c r="G194" s="496"/>
      <c r="H194" s="496" t="s">
        <v>573</v>
      </c>
      <c r="I194" s="496" cm="1" t="str">
        <f t="array" ref="I194:I194">I192</f>
        <v>0</v>
      </c>
      <c r="J194" s="496"/>
      <c r="K194" s="496"/>
      <c r="L194" s="496"/>
      <c r="M194" s="496"/>
      <c r="N194" s="496"/>
      <c r="O194" s="496"/>
      <c r="P194" s="496"/>
      <c r="Q194" s="904"/>
      <c r="R194" s="496"/>
      <c r="S194" s="496"/>
      <c r="T194" s="468" cm="1" t="str">
        <f t="array" ref="T194:T194">T192</f>
        <v>false</v>
      </c>
      <c r="U194" s="496"/>
      <c r="V194" s="496"/>
      <c r="W194" s="496"/>
      <c r="X194" s="1559"/>
      <c r="Y194" s="1559"/>
      <c r="Z194" s="1528"/>
      <c r="AA194" s="1516"/>
      <c r="AB194" s="907" t="s">
        <v>1872</v>
      </c>
      <c r="AC194" s="296" t="s">
        <v>657</v>
      </c>
      <c r="AD194" s="4585"/>
      <c r="AE194" s="4585"/>
      <c r="AF194" s="1104">
        <f>IF(AD194=0,0,(AE194-AD194)/AD194*100)</f>
        <v>0</v>
      </c>
      <c r="AG194" s="4585"/>
      <c r="AH194" s="4585"/>
      <c r="AI194" s="1104">
        <f>IF(AG194=0,0,(AH194-AG194)/AG194*100)</f>
        <v>0</v>
      </c>
      <c r="AJ194" s="4585"/>
      <c r="AK194" s="4585"/>
      <c r="AL194" s="1104">
        <f>IF(AJ194=0,0,(AK194-AJ194)/AJ194*100)</f>
        <v>0</v>
      </c>
      <c r="AM194" s="4585"/>
      <c r="AN194" s="4585"/>
      <c r="AO194" s="1104">
        <f>IF(AM194=0,0,(AN194-AM194)/AM194*100)</f>
        <v>0</v>
      </c>
      <c r="AP194" s="4585"/>
      <c r="AQ194" s="4585"/>
      <c r="AR194" s="1104">
        <f>IF(AP194=0,0,(AQ194-AP194)/AP194*100)</f>
        <v>0</v>
      </c>
      <c r="AS194" s="4585"/>
      <c r="AT194" s="4585"/>
      <c r="AU194" s="1104">
        <f>IF(AS194=0,0,(AT194-AS194)/AS194*100)</f>
        <v>0</v>
      </c>
      <c r="AV194" s="4585"/>
      <c r="AW194" s="4585"/>
      <c r="AX194" s="1104">
        <f>IF(AV194=0,0,(AW194-AV194)/AV194*100)</f>
        <v>0</v>
      </c>
      <c r="AY194" s="4585"/>
      <c r="AZ194" s="4585"/>
      <c r="BA194" s="1104">
        <f>IF(AY194=0,0,(AZ194-AY194)/AY194*100)</f>
        <v>0</v>
      </c>
      <c r="BB194" s="4585"/>
      <c r="BC194" s="4585"/>
      <c r="BD194" s="1104">
        <f>IF(BB194=0,0,(BC194-BB194)/BB194*100)</f>
        <v>0</v>
      </c>
      <c r="BE194" s="4585"/>
      <c r="BF194" s="4585"/>
      <c r="BG194" s="1104">
        <f>IF(BE194=0,0,(BF194-BE194)/BE194*100)</f>
        <v>0</v>
      </c>
      <c r="BH194" s="4585"/>
      <c r="BI194" s="4585"/>
      <c r="BJ194" s="1104">
        <f>IF(BH194=0,0,(BI194-BH194)/BH194*100)</f>
        <v>0</v>
      </c>
      <c r="BK194" s="4585"/>
      <c r="BL194" s="4585"/>
      <c r="BM194" s="1104">
        <f>IF(BK194=0,0,(BL194-BK194)/BK194*100)</f>
        <v>0</v>
      </c>
      <c r="BN194" s="4585"/>
      <c r="BO194" s="4585"/>
      <c r="BP194" s="1104">
        <f>IF(BN194=0,0,(BO194-BN194)/BN194*100)</f>
        <v>0</v>
      </c>
      <c r="BQ194" s="4585"/>
      <c r="BR194" s="4585"/>
      <c r="BS194" s="1104">
        <f>IF(BQ194=0,0,(BR194-BQ194)/BQ194*100)</f>
        <v>0</v>
      </c>
      <c r="BT194" s="4585"/>
      <c r="BU194" s="4585"/>
      <c r="BV194" s="1104">
        <f>IF(BT194=0,0,(BU194-BT194)/BT194*100)</f>
        <v>0</v>
      </c>
      <c r="BW194" s="4585"/>
      <c r="BX194" s="4585"/>
      <c r="BY194" s="1104">
        <f>IF(BW194=0,0,(BX194-BW194)/BW194*100)</f>
        <v>0</v>
      </c>
      <c r="BZ194" s="4585"/>
      <c r="CA194" s="4585"/>
      <c r="CB194" s="1104">
        <f>IF(BZ194=0,0,(CA194-BZ194)/BZ194*100)</f>
        <v>0</v>
      </c>
      <c r="CC194" s="4585"/>
      <c r="CD194" s="4585"/>
      <c r="CE194" s="1104">
        <f>IF(CC194=0,0,(CD194-CC194)/CC194*100)</f>
        <v>0</v>
      </c>
      <c r="CF194" s="4585"/>
      <c r="CG194" s="4585"/>
      <c r="CH194" s="1104">
        <f>IF(CF194=0,0,(CG194-CF194)/CF194*100)</f>
        <v>0</v>
      </c>
      <c r="CI194" s="4585"/>
      <c r="CJ194" s="4585"/>
      <c r="CK194" s="1104">
        <f>IF(CI194=0,0,(CJ194-CI194)/CI194*100)</f>
        <v>0</v>
      </c>
      <c r="CL194" s="4585"/>
      <c r="CM194" s="4585"/>
      <c r="CN194" s="1104">
        <f>IF(CL194=0,0,(CM194-CL194)/CL194*100)</f>
        <v>0</v>
      </c>
      <c r="CO194" s="4585"/>
      <c r="CP194" s="4585"/>
      <c r="CQ194" s="1104">
        <f>IF(CO194=0,0,(CP194-CO194)/CO194*100)</f>
        <v>0</v>
      </c>
      <c r="CR194" s="4585"/>
      <c r="CS194" s="4585"/>
      <c r="CT194" s="1104">
        <f>IF(CR194=0,0,(CS194-CR194)/CR194*100)</f>
        <v>0</v>
      </c>
      <c r="CU194" s="4585"/>
      <c r="CV194" s="4585"/>
      <c r="CW194" s="1104">
        <f>IF(CU194=0,0,(CV194-CU194)/CU194*100)</f>
        <v>0</v>
      </c>
      <c r="CX194" s="4585"/>
      <c r="CY194" s="4585"/>
      <c r="CZ194" s="1104">
        <f>IF(CX194=0,0,(CY194-CX194)/CX194*100)</f>
        <v>0</v>
      </c>
      <c r="DA194" s="4585"/>
      <c r="DB194" s="4585"/>
      <c r="DC194" s="1104">
        <f>IF(DA194=0,0,(DB194-DA194)/DA194*100)</f>
        <v>0</v>
      </c>
      <c r="DD194" s="4585"/>
      <c r="DE194" s="4585"/>
      <c r="DF194" s="1104">
        <f>IF(DD194=0,0,(DE194-DD194)/DD194*100)</f>
        <v>0</v>
      </c>
      <c r="DG194" s="4585"/>
      <c r="DH194" s="4585"/>
      <c r="DI194" s="1104">
        <f>IF(DG194=0,0,(DH194-DG194)/DG194*100)</f>
        <v>0</v>
      </c>
      <c r="DJ194" s="4585"/>
      <c r="DK194" s="4585"/>
      <c r="DL194" s="1104">
        <f>IF(DJ194=0,0,(DK194-DJ194)/DJ194*100)</f>
        <v>0</v>
      </c>
      <c r="DM194" s="4585"/>
      <c r="DN194" s="4585"/>
      <c r="DO194" s="1104">
        <f>IF(DM194=0,0,(DN194-DM194)/DM194*100)</f>
        <v>0</v>
      </c>
      <c r="DP194" s="4585"/>
      <c r="DQ194" s="4585"/>
      <c r="DR194" s="1104">
        <f>IF(DP194=0,0,(DQ194-DP194)/DP194*100)</f>
        <v>0</v>
      </c>
      <c r="DS194" s="4585"/>
      <c r="DT194" s="4585"/>
      <c r="DU194" s="1104">
        <f>IF(DS194=0,0,(DT194-DS194)/DS194*100)</f>
        <v>0</v>
      </c>
      <c r="DV194" s="4585"/>
      <c r="DW194" s="4585"/>
      <c r="DX194" s="1104">
        <f>IF(DV194=0,0,(DW194-DV194)/DV194*100)</f>
        <v>0</v>
      </c>
      <c r="DY194" s="4585"/>
      <c r="DZ194" s="4585"/>
      <c r="EA194" s="1104">
        <f>IF(DY194=0,0,(DZ194-DY194)/DY194*100)</f>
        <v>0</v>
      </c>
      <c r="EB194" s="4585"/>
      <c r="EC194" s="4585"/>
      <c r="ED194" s="1104">
        <f>IF(EB194=0,0,(EC194-EB194)/EB194*100)</f>
        <v>0</v>
      </c>
      <c r="EE194" s="4585"/>
      <c r="EF194" s="4585"/>
      <c r="EG194" s="1104">
        <f>IF(EE194=0,0,(EF194-EE194)/EE194*100)</f>
        <v>0</v>
      </c>
      <c r="EH194" s="4585"/>
      <c r="EI194" s="4585"/>
      <c r="EJ194" s="1104">
        <f>IF(EH194=0,0,(EI194-EH194)/EH194*100)</f>
        <v>0</v>
      </c>
      <c r="EK194" s="4585"/>
      <c r="EL194" s="4585"/>
      <c r="EM194" s="1104">
        <f>IF(EK194=0,0,(EL194-EK194)/EK194*100)</f>
        <v>0</v>
      </c>
      <c r="EN194" s="4585"/>
      <c r="EO194" s="4585"/>
      <c r="EP194" s="1104">
        <f>IF(EN194=0,0,(EO194-EN194)/EN194*100)</f>
        <v>0</v>
      </c>
      <c r="EQ194" s="4585"/>
      <c r="ER194" s="4585"/>
      <c r="ES194" s="1104">
        <f>IF(EQ194=0,0,(ER194-EQ194)/EQ194*100)</f>
        <v>0</v>
      </c>
      <c r="ET194" s="4585"/>
      <c r="EU194" s="4585"/>
      <c r="EV194" s="1104">
        <f>IF(ET194=0,0,(EU194-ET194)/ET194*100)</f>
        <v>0</v>
      </c>
      <c r="EW194" s="4585"/>
      <c r="EX194" s="4585"/>
      <c r="EY194" s="1104">
        <f>IF(EW194=0,0,(EX194-EW194)/EW194*100)</f>
        <v>0</v>
      </c>
      <c r="EZ194" s="4585"/>
      <c r="FA194" s="4585"/>
      <c r="FB194" s="1104">
        <f>IF(EZ194=0,0,(FA194-EZ194)/EZ194*100)</f>
        <v>0</v>
      </c>
      <c r="FC194" s="4585"/>
      <c r="FD194" s="4585"/>
      <c r="FE194" s="1104">
        <f>IF(FC194=0,0,(FD194-FC194)/FC194*100)</f>
        <v>0</v>
      </c>
      <c r="FF194" s="4585"/>
      <c r="FG194" s="4585"/>
      <c r="FH194" s="1104">
        <f>IF(FF194=0,0,(FG194-FF194)/FF194*100)</f>
        <v>0</v>
      </c>
      <c r="FI194" s="4585"/>
      <c r="FJ194" s="4585"/>
      <c r="FK194" s="1104">
        <f>IF(FI194=0,0,(FJ194-FI194)/FI194*100)</f>
        <v>0</v>
      </c>
      <c r="FL194" s="4585"/>
      <c r="FM194" s="4585"/>
      <c r="FN194" s="1104">
        <f>IF(FL194=0,0,(FM194-FL194)/FL194*100)</f>
        <v>0</v>
      </c>
      <c r="FO194" s="4585"/>
      <c r="FP194" s="4585"/>
      <c r="FQ194" s="1104">
        <f>IF(FO194=0,0,(FP194-FO194)/FO194*100)</f>
        <v>0</v>
      </c>
      <c r="FR194" s="4585"/>
      <c r="FS194" s="4585"/>
      <c r="FT194" s="1104">
        <f>IF(FR194=0,0,(FS194-FR194)/FR194*100)</f>
        <v>0</v>
      </c>
      <c r="FU194" s="4585"/>
      <c r="FV194" s="4585"/>
      <c r="FW194" s="1104">
        <f>IF(FU194=0,0,(FV194-FU194)/FU194*100)</f>
        <v>0</v>
      </c>
      <c r="FX194" s="288"/>
      <c r="FY194" s="1328"/>
      <c r="FZ194" s="1063" t="s">
        <v>1890</v>
      </c>
      <c r="GA194" s="1023" t="s">
        <v>1888</v>
      </c>
      <c r="GB194" s="1023" cm="1" t="str">
        <f t="array" ref="GB194:GB194">GB192</f>
        <v>0</v>
      </c>
      <c r="GC194" s="1329"/>
      <c r="GD194" s="1329"/>
    </row>
    <row s="1656" customFormat="1" customHeight="1" ht="14.25">
      <c r="A195" s="496"/>
      <c r="B195" s="932" cm="1" t="str">
        <f t="array" ref="B195:B195">B194</f>
        <v>true</v>
      </c>
      <c r="C195" s="496"/>
      <c r="D195" s="496"/>
      <c r="E195" s="847">
        <v>15</v>
      </c>
      <c r="F195" s="50" cm="1" t="str">
        <f t="array" ref="F195:F195">OFFSET(E195,-1,1)</f>
        <v>2</v>
      </c>
      <c r="G195" s="496"/>
      <c r="H195" s="496"/>
      <c r="I195" s="94" t="s">
        <v>1891</v>
      </c>
      <c r="J195" s="496"/>
      <c r="K195" s="496"/>
      <c r="L195" s="496"/>
      <c r="M195" s="496"/>
      <c r="N195" s="496"/>
      <c r="O195" s="496"/>
      <c r="P195" s="496"/>
      <c r="Q195" s="496"/>
      <c r="R195" s="81"/>
      <c r="S195" s="496"/>
      <c r="T195" s="468">
        <f>F195&gt;0</f>
        <v>1</v>
      </c>
      <c r="U195" s="496"/>
      <c r="V195" s="1328"/>
      <c r="W195" s="764" t="s">
        <v>1892</v>
      </c>
      <c r="X195" s="1559"/>
      <c r="Y195" s="1328"/>
      <c r="Z195" s="1528"/>
      <c r="AA195" s="1328"/>
      <c r="AB195" s="256" t="s">
        <v>177</v>
      </c>
      <c r="AC195" s="260"/>
      <c r="AD195" s="1107"/>
      <c r="AE195" s="1107"/>
      <c r="AF195" s="1107"/>
      <c r="AG195" s="1107"/>
      <c r="AH195" s="1107"/>
      <c r="AI195" s="1107"/>
      <c r="AJ195" s="1107"/>
      <c r="AK195" s="1107"/>
      <c r="AL195" s="1107"/>
      <c r="AM195" s="1107"/>
      <c r="AN195" s="1107"/>
      <c r="AO195" s="1107"/>
      <c r="AP195" s="1107"/>
      <c r="AQ195" s="1107"/>
      <c r="AR195" s="1107"/>
      <c r="AS195" s="1107"/>
      <c r="AT195" s="1107"/>
      <c r="AU195" s="1107"/>
      <c r="AV195" s="1107"/>
      <c r="AW195" s="1107"/>
      <c r="AX195" s="1107"/>
      <c r="AY195" s="1107"/>
      <c r="AZ195" s="1107"/>
      <c r="BA195" s="1107"/>
      <c r="BB195" s="1107"/>
      <c r="BC195" s="1107"/>
      <c r="BD195" s="1107"/>
      <c r="BE195" s="1107"/>
      <c r="BF195" s="1107"/>
      <c r="BG195" s="1107"/>
      <c r="BH195" s="1107"/>
      <c r="BI195" s="1107"/>
      <c r="BJ195" s="1107"/>
      <c r="BK195" s="1107"/>
      <c r="BL195" s="1107"/>
      <c r="BM195" s="1107"/>
      <c r="BN195" s="1107"/>
      <c r="BO195" s="1107"/>
      <c r="BP195" s="1107"/>
      <c r="BQ195" s="1107"/>
      <c r="BR195" s="1107"/>
      <c r="BS195" s="1107"/>
      <c r="BT195" s="1107"/>
      <c r="BU195" s="1107"/>
      <c r="BV195" s="1107"/>
      <c r="BW195" s="1107"/>
      <c r="BX195" s="1107"/>
      <c r="BY195" s="1107"/>
      <c r="BZ195" s="1107"/>
      <c r="CA195" s="1107"/>
      <c r="CB195" s="1107"/>
      <c r="CC195" s="1107"/>
      <c r="CD195" s="1107"/>
      <c r="CE195" s="1107"/>
      <c r="CF195" s="1107"/>
      <c r="CG195" s="1107"/>
      <c r="CH195" s="1107"/>
      <c r="CI195" s="1107"/>
      <c r="CJ195" s="1107"/>
      <c r="CK195" s="1107"/>
      <c r="CL195" s="1107"/>
      <c r="CM195" s="1107"/>
      <c r="CN195" s="1107"/>
      <c r="CO195" s="1107"/>
      <c r="CP195" s="1107"/>
      <c r="CQ195" s="1107"/>
      <c r="CR195" s="1107"/>
      <c r="CS195" s="1107"/>
      <c r="CT195" s="1107"/>
      <c r="CU195" s="1107"/>
      <c r="CV195" s="1107"/>
      <c r="CW195" s="1107"/>
      <c r="CX195" s="1107"/>
      <c r="CY195" s="1107"/>
      <c r="CZ195" s="1107"/>
      <c r="DA195" s="1107"/>
      <c r="DB195" s="1107"/>
      <c r="DC195" s="1107"/>
      <c r="DD195" s="1107"/>
      <c r="DE195" s="1107"/>
      <c r="DF195" s="1107"/>
      <c r="DG195" s="1107"/>
      <c r="DH195" s="1107"/>
      <c r="DI195" s="1107"/>
      <c r="DJ195" s="1107"/>
      <c r="DK195" s="1107"/>
      <c r="DL195" s="1107"/>
      <c r="DM195" s="1107"/>
      <c r="DN195" s="1107"/>
      <c r="DO195" s="1107"/>
      <c r="DP195" s="1107"/>
      <c r="DQ195" s="1107"/>
      <c r="DR195" s="1107"/>
      <c r="DS195" s="1107"/>
      <c r="DT195" s="1107"/>
      <c r="DU195" s="1107"/>
      <c r="DV195" s="1107"/>
      <c r="DW195" s="1107"/>
      <c r="DX195" s="1107"/>
      <c r="DY195" s="1107"/>
      <c r="DZ195" s="1107"/>
      <c r="EA195" s="1107"/>
      <c r="EB195" s="1107"/>
      <c r="EC195" s="1107"/>
      <c r="ED195" s="1107"/>
      <c r="EE195" s="1107"/>
      <c r="EF195" s="1107"/>
      <c r="EG195" s="1107"/>
      <c r="EH195" s="1107"/>
      <c r="EI195" s="1107"/>
      <c r="EJ195" s="1107"/>
      <c r="EK195" s="1107"/>
      <c r="EL195" s="1107"/>
      <c r="EM195" s="1107"/>
      <c r="EN195" s="1107"/>
      <c r="EO195" s="1107"/>
      <c r="EP195" s="1107"/>
      <c r="EQ195" s="1107"/>
      <c r="ER195" s="1107"/>
      <c r="ES195" s="1107"/>
      <c r="ET195" s="1107"/>
      <c r="EU195" s="1107"/>
      <c r="EV195" s="1107"/>
      <c r="EW195" s="1107"/>
      <c r="EX195" s="1107"/>
      <c r="EY195" s="1107"/>
      <c r="EZ195" s="1107"/>
      <c r="FA195" s="1107"/>
      <c r="FB195" s="1107"/>
      <c r="FC195" s="1107"/>
      <c r="FD195" s="1107"/>
      <c r="FE195" s="1107"/>
      <c r="FF195" s="1107"/>
      <c r="FG195" s="1107"/>
      <c r="FH195" s="1107"/>
      <c r="FI195" s="1107"/>
      <c r="FJ195" s="1107"/>
      <c r="FK195" s="1107"/>
      <c r="FL195" s="1107"/>
      <c r="FM195" s="1107"/>
      <c r="FN195" s="1107"/>
      <c r="FO195" s="1107"/>
      <c r="FP195" s="1107"/>
      <c r="FQ195" s="1107"/>
      <c r="FR195" s="1107"/>
      <c r="FS195" s="1107"/>
      <c r="FT195" s="1107"/>
      <c r="FU195" s="1107"/>
      <c r="FV195" s="1107"/>
      <c r="FW195" s="1108"/>
      <c r="FX195" s="1328"/>
      <c r="FY195" s="1328"/>
      <c r="FZ195" s="1063" t="s">
        <v>240</v>
      </c>
      <c r="GA195" s="1330"/>
      <c r="GB195" s="1330"/>
      <c r="GC195" s="637" t="s">
        <v>1888</v>
      </c>
      <c r="GD195" s="1329"/>
    </row>
    <row s="1656" customFormat="1" customHeight="1" ht="14.25" hidden="1">
      <c r="A196" s="496"/>
      <c r="B196" s="932">
        <f>AND(R179="двухставочный",NOT(S179))</f>
        <v>0</v>
      </c>
      <c r="C196" s="496"/>
      <c r="D196" s="496"/>
      <c r="E196" s="847">
        <v>15</v>
      </c>
      <c r="F196" s="50" cm="1" t="str">
        <f t="array" ref="F196:F196">OFFSET(E196,-1,1)</f>
        <v>2</v>
      </c>
      <c r="G196" s="496"/>
      <c r="H196" s="496"/>
      <c r="I196" s="496"/>
      <c r="J196" s="496"/>
      <c r="K196" s="496"/>
      <c r="L196" s="496"/>
      <c r="M196" s="496"/>
      <c r="N196" s="496"/>
      <c r="O196" s="496"/>
      <c r="P196" s="496"/>
      <c r="Q196" s="496"/>
      <c r="R196" s="81"/>
      <c r="S196" s="496"/>
      <c r="T196" s="468" cm="1" t="str">
        <f t="array" ref="T196:T196">T195</f>
        <v>true</v>
      </c>
      <c r="U196" s="496"/>
      <c r="V196" s="496"/>
      <c r="W196" s="496"/>
      <c r="X196" s="1559"/>
      <c r="Y196" s="496"/>
      <c r="Z196" s="1528"/>
      <c r="AA196" s="496"/>
      <c r="AB196" s="901" t="s">
        <v>1893</v>
      </c>
      <c r="AC196" s="902"/>
      <c r="AD196" s="1109"/>
      <c r="AE196" s="1109"/>
      <c r="AF196" s="1109"/>
      <c r="AG196" s="1109"/>
      <c r="AH196" s="1109"/>
      <c r="AI196" s="1109"/>
      <c r="AJ196" s="1109"/>
      <c r="AK196" s="1109"/>
      <c r="AL196" s="1109"/>
      <c r="AM196" s="1109"/>
      <c r="AN196" s="1109"/>
      <c r="AO196" s="1109"/>
      <c r="AP196" s="1109"/>
      <c r="AQ196" s="1109"/>
      <c r="AR196" s="1109"/>
      <c r="AS196" s="1109"/>
      <c r="AT196" s="1109"/>
      <c r="AU196" s="1109"/>
      <c r="AV196" s="1109"/>
      <c r="AW196" s="1109"/>
      <c r="AX196" s="1109"/>
      <c r="AY196" s="1109"/>
      <c r="AZ196" s="1109"/>
      <c r="BA196" s="1109"/>
      <c r="BB196" s="1109"/>
      <c r="BC196" s="1109"/>
      <c r="BD196" s="1109"/>
      <c r="BE196" s="1109"/>
      <c r="BF196" s="1109"/>
      <c r="BG196" s="1109"/>
      <c r="BH196" s="1109"/>
      <c r="BI196" s="1109"/>
      <c r="BJ196" s="1109"/>
      <c r="BK196" s="1109"/>
      <c r="BL196" s="1109"/>
      <c r="BM196" s="1109"/>
      <c r="BN196" s="1109"/>
      <c r="BO196" s="1109"/>
      <c r="BP196" s="1109"/>
      <c r="BQ196" s="1109"/>
      <c r="BR196" s="1109"/>
      <c r="BS196" s="1109"/>
      <c r="BT196" s="1109"/>
      <c r="BU196" s="1109"/>
      <c r="BV196" s="1109"/>
      <c r="BW196" s="1109"/>
      <c r="BX196" s="1109"/>
      <c r="BY196" s="1109"/>
      <c r="BZ196" s="1109"/>
      <c r="CA196" s="1109"/>
      <c r="CB196" s="1109"/>
      <c r="CC196" s="1109"/>
      <c r="CD196" s="1109"/>
      <c r="CE196" s="1109"/>
      <c r="CF196" s="1109"/>
      <c r="CG196" s="1109"/>
      <c r="CH196" s="1109"/>
      <c r="CI196" s="1109"/>
      <c r="CJ196" s="1109"/>
      <c r="CK196" s="1109"/>
      <c r="CL196" s="1109"/>
      <c r="CM196" s="1109"/>
      <c r="CN196" s="1109"/>
      <c r="CO196" s="1109"/>
      <c r="CP196" s="1109"/>
      <c r="CQ196" s="1109"/>
      <c r="CR196" s="1109"/>
      <c r="CS196" s="1109"/>
      <c r="CT196" s="1109"/>
      <c r="CU196" s="1109"/>
      <c r="CV196" s="1109"/>
      <c r="CW196" s="1109"/>
      <c r="CX196" s="1109"/>
      <c r="CY196" s="1109"/>
      <c r="CZ196" s="1109"/>
      <c r="DA196" s="1109"/>
      <c r="DB196" s="1109"/>
      <c r="DC196" s="1109"/>
      <c r="DD196" s="1109"/>
      <c r="DE196" s="1109"/>
      <c r="DF196" s="1109"/>
      <c r="DG196" s="1109"/>
      <c r="DH196" s="1109"/>
      <c r="DI196" s="1109"/>
      <c r="DJ196" s="1109"/>
      <c r="DK196" s="1109"/>
      <c r="DL196" s="1109"/>
      <c r="DM196" s="1109"/>
      <c r="DN196" s="1109"/>
      <c r="DO196" s="1109"/>
      <c r="DP196" s="1109"/>
      <c r="DQ196" s="1109"/>
      <c r="DR196" s="1109"/>
      <c r="DS196" s="1109"/>
      <c r="DT196" s="1109"/>
      <c r="DU196" s="1109"/>
      <c r="DV196" s="1109"/>
      <c r="DW196" s="1109"/>
      <c r="DX196" s="1109"/>
      <c r="DY196" s="1109"/>
      <c r="DZ196" s="1109"/>
      <c r="EA196" s="1109"/>
      <c r="EB196" s="1109"/>
      <c r="EC196" s="1109"/>
      <c r="ED196" s="1109"/>
      <c r="EE196" s="1109"/>
      <c r="EF196" s="1109"/>
      <c r="EG196" s="1109"/>
      <c r="EH196" s="1109"/>
      <c r="EI196" s="1109"/>
      <c r="EJ196" s="1109"/>
      <c r="EK196" s="1109"/>
      <c r="EL196" s="1109"/>
      <c r="EM196" s="1109"/>
      <c r="EN196" s="1109"/>
      <c r="EO196" s="1109"/>
      <c r="EP196" s="1109"/>
      <c r="EQ196" s="1109"/>
      <c r="ER196" s="1109"/>
      <c r="ES196" s="1109"/>
      <c r="ET196" s="1109"/>
      <c r="EU196" s="1109"/>
      <c r="EV196" s="1109"/>
      <c r="EW196" s="1109"/>
      <c r="EX196" s="1109"/>
      <c r="EY196" s="1109"/>
      <c r="EZ196" s="1109"/>
      <c r="FA196" s="1109"/>
      <c r="FB196" s="1109"/>
      <c r="FC196" s="1109"/>
      <c r="FD196" s="1109"/>
      <c r="FE196" s="1109"/>
      <c r="FF196" s="1109"/>
      <c r="FG196" s="1109"/>
      <c r="FH196" s="1109"/>
      <c r="FI196" s="1109"/>
      <c r="FJ196" s="1109"/>
      <c r="FK196" s="1109"/>
      <c r="FL196" s="1109"/>
      <c r="FM196" s="1109"/>
      <c r="FN196" s="1109"/>
      <c r="FO196" s="1109"/>
      <c r="FP196" s="1109"/>
      <c r="FQ196" s="1109"/>
      <c r="FR196" s="1109"/>
      <c r="FS196" s="1109"/>
      <c r="FT196" s="1109"/>
      <c r="FU196" s="1109"/>
      <c r="FV196" s="1109"/>
      <c r="FW196" s="1110"/>
      <c r="FX196" s="1328"/>
      <c r="FY196" s="1328"/>
      <c r="FZ196" s="1063" t="s">
        <v>240</v>
      </c>
      <c r="GA196" s="1330"/>
      <c r="GB196" s="1330"/>
      <c r="GC196" s="1329"/>
      <c r="GD196" s="1329"/>
    </row>
    <row s="1656" customFormat="1" customHeight="1" ht="23.25" hidden="1">
      <c r="A197" s="496"/>
      <c r="B197" s="932" cm="1" t="str">
        <f t="array" ref="B197:B197">B196</f>
        <v>false</v>
      </c>
      <c r="C197" s="496"/>
      <c r="D197" s="496"/>
      <c r="E197" s="847">
        <v>24.5</v>
      </c>
      <c r="F197" s="50" cm="1" t="str">
        <f t="array" ref="F197:F197">OFFSET(E197,-1,1)</f>
        <v>2</v>
      </c>
      <c r="G197" s="496"/>
      <c r="H197" s="496"/>
      <c r="I197" s="496"/>
      <c r="J197" s="496"/>
      <c r="K197" s="496"/>
      <c r="L197" s="496"/>
      <c r="M197" s="496"/>
      <c r="N197" s="496"/>
      <c r="O197" s="496"/>
      <c r="P197" s="496"/>
      <c r="Q197" s="496"/>
      <c r="R197" s="496"/>
      <c r="S197" s="496"/>
      <c r="T197" s="468" cm="1" t="str">
        <f t="array" ref="T197:T197">T196</f>
        <v>true</v>
      </c>
      <c r="U197" s="496"/>
      <c r="V197" s="496"/>
      <c r="W197" s="496"/>
      <c r="X197" s="1559"/>
      <c r="Y197" s="496"/>
      <c r="Z197" s="1528"/>
      <c r="AA197" s="496"/>
      <c r="AB197" s="289" t="s">
        <v>1894</v>
      </c>
      <c r="AC197" s="910"/>
      <c r="AD197" s="1111"/>
      <c r="AE197" s="1111"/>
      <c r="AF197" s="1111"/>
      <c r="AG197" s="1111"/>
      <c r="AH197" s="1111"/>
      <c r="AI197" s="1111"/>
      <c r="AJ197" s="1111"/>
      <c r="AK197" s="1111"/>
      <c r="AL197" s="1111"/>
      <c r="AM197" s="1111"/>
      <c r="AN197" s="1111"/>
      <c r="AO197" s="1111"/>
      <c r="AP197" s="1111"/>
      <c r="AQ197" s="1111"/>
      <c r="AR197" s="1111"/>
      <c r="AS197" s="1111"/>
      <c r="AT197" s="1111"/>
      <c r="AU197" s="1111"/>
      <c r="AV197" s="1111"/>
      <c r="AW197" s="1111"/>
      <c r="AX197" s="1111"/>
      <c r="AY197" s="1111"/>
      <c r="AZ197" s="1111"/>
      <c r="BA197" s="1111"/>
      <c r="BB197" s="1111"/>
      <c r="BC197" s="1111"/>
      <c r="BD197" s="1111"/>
      <c r="BE197" s="1111"/>
      <c r="BF197" s="1111"/>
      <c r="BG197" s="1111"/>
      <c r="BH197" s="1111"/>
      <c r="BI197" s="1111"/>
      <c r="BJ197" s="1111"/>
      <c r="BK197" s="1111"/>
      <c r="BL197" s="1111"/>
      <c r="BM197" s="1111"/>
      <c r="BN197" s="1111"/>
      <c r="BO197" s="1111"/>
      <c r="BP197" s="1111"/>
      <c r="BQ197" s="1111"/>
      <c r="BR197" s="1111"/>
      <c r="BS197" s="1111"/>
      <c r="BT197" s="1111"/>
      <c r="BU197" s="1111"/>
      <c r="BV197" s="1111"/>
      <c r="BW197" s="1111"/>
      <c r="BX197" s="1111"/>
      <c r="BY197" s="1111"/>
      <c r="BZ197" s="1111"/>
      <c r="CA197" s="1111"/>
      <c r="CB197" s="1111"/>
      <c r="CC197" s="1111"/>
      <c r="CD197" s="1111"/>
      <c r="CE197" s="1111"/>
      <c r="CF197" s="1111"/>
      <c r="CG197" s="1111"/>
      <c r="CH197" s="1111"/>
      <c r="CI197" s="1111"/>
      <c r="CJ197" s="1111"/>
      <c r="CK197" s="1111"/>
      <c r="CL197" s="1111"/>
      <c r="CM197" s="1111"/>
      <c r="CN197" s="1111"/>
      <c r="CO197" s="1111"/>
      <c r="CP197" s="1111"/>
      <c r="CQ197" s="1111"/>
      <c r="CR197" s="1111"/>
      <c r="CS197" s="1111"/>
      <c r="CT197" s="1111"/>
      <c r="CU197" s="1111"/>
      <c r="CV197" s="1111"/>
      <c r="CW197" s="1111"/>
      <c r="CX197" s="1111"/>
      <c r="CY197" s="1111"/>
      <c r="CZ197" s="1111"/>
      <c r="DA197" s="1111"/>
      <c r="DB197" s="1111"/>
      <c r="DC197" s="1111"/>
      <c r="DD197" s="1111"/>
      <c r="DE197" s="1111"/>
      <c r="DF197" s="1111"/>
      <c r="DG197" s="1111"/>
      <c r="DH197" s="1111"/>
      <c r="DI197" s="1111"/>
      <c r="DJ197" s="1111"/>
      <c r="DK197" s="1111"/>
      <c r="DL197" s="1111"/>
      <c r="DM197" s="1111"/>
      <c r="DN197" s="1111"/>
      <c r="DO197" s="1111"/>
      <c r="DP197" s="1111"/>
      <c r="DQ197" s="1111"/>
      <c r="DR197" s="1111"/>
      <c r="DS197" s="1111"/>
      <c r="DT197" s="1111"/>
      <c r="DU197" s="1111"/>
      <c r="DV197" s="1111"/>
      <c r="DW197" s="1111"/>
      <c r="DX197" s="1111"/>
      <c r="DY197" s="1111"/>
      <c r="DZ197" s="1111"/>
      <c r="EA197" s="1111"/>
      <c r="EB197" s="1111"/>
      <c r="EC197" s="1111"/>
      <c r="ED197" s="1111"/>
      <c r="EE197" s="1111"/>
      <c r="EF197" s="1111"/>
      <c r="EG197" s="1111"/>
      <c r="EH197" s="1111"/>
      <c r="EI197" s="1111"/>
      <c r="EJ197" s="1111"/>
      <c r="EK197" s="1111"/>
      <c r="EL197" s="1111"/>
      <c r="EM197" s="1111"/>
      <c r="EN197" s="1111"/>
      <c r="EO197" s="1111"/>
      <c r="EP197" s="1111"/>
      <c r="EQ197" s="1111"/>
      <c r="ER197" s="1111"/>
      <c r="ES197" s="1111"/>
      <c r="ET197" s="1111"/>
      <c r="EU197" s="1111"/>
      <c r="EV197" s="1111"/>
      <c r="EW197" s="1111"/>
      <c r="EX197" s="1111"/>
      <c r="EY197" s="1111"/>
      <c r="EZ197" s="1111"/>
      <c r="FA197" s="1111"/>
      <c r="FB197" s="1111"/>
      <c r="FC197" s="1111"/>
      <c r="FD197" s="1111"/>
      <c r="FE197" s="1111"/>
      <c r="FF197" s="1111"/>
      <c r="FG197" s="1111"/>
      <c r="FH197" s="1111"/>
      <c r="FI197" s="1111"/>
      <c r="FJ197" s="1111"/>
      <c r="FK197" s="1111"/>
      <c r="FL197" s="1111"/>
      <c r="FM197" s="1111"/>
      <c r="FN197" s="1111"/>
      <c r="FO197" s="1111"/>
      <c r="FP197" s="1111"/>
      <c r="FQ197" s="1111"/>
      <c r="FR197" s="1111"/>
      <c r="FS197" s="1111"/>
      <c r="FT197" s="1111"/>
      <c r="FU197" s="1111"/>
      <c r="FV197" s="1111"/>
      <c r="FW197" s="1112"/>
      <c r="FX197" s="1328"/>
      <c r="FY197" s="1328"/>
      <c r="FZ197" s="1063" t="s">
        <v>240</v>
      </c>
      <c r="GA197" s="1330"/>
      <c r="GB197" s="1330"/>
      <c r="GC197" s="1329"/>
      <c r="GD197" s="1329"/>
    </row>
    <row s="1656" customFormat="1" customHeight="1" ht="14.25" hidden="1">
      <c r="A198" s="496"/>
      <c r="B198" s="932" cm="1" t="str">
        <f t="array" ref="B198:B198">B197</f>
        <v>false</v>
      </c>
      <c r="C198" s="496"/>
      <c r="D198" s="496"/>
      <c r="E198" s="847">
        <v>15</v>
      </c>
      <c r="F198" s="50" cm="1" t="str">
        <f t="array" ref="F198:F198">OFFSET(E198,-1,1)</f>
        <v>2</v>
      </c>
      <c r="G198" s="496"/>
      <c r="H198" s="496" t="s">
        <v>1787</v>
      </c>
      <c r="I198" s="496" t="s">
        <v>1860</v>
      </c>
      <c r="J198" s="496"/>
      <c r="K198" s="496"/>
      <c r="L198" s="496"/>
      <c r="M198" s="496"/>
      <c r="N198" s="496"/>
      <c r="O198" s="496"/>
      <c r="P198" s="496"/>
      <c r="Q198" s="496"/>
      <c r="R198" s="496"/>
      <c r="S198" s="496"/>
      <c r="T198" s="468" cm="1" t="str">
        <f t="array" ref="T198:T198">T197</f>
        <v>true</v>
      </c>
      <c r="U198" s="496"/>
      <c r="V198" s="496"/>
      <c r="W198" s="496"/>
      <c r="X198" s="1559"/>
      <c r="Y198" s="496"/>
      <c r="Z198" s="1528"/>
      <c r="AA198" s="496"/>
      <c r="AB198" s="911" t="s">
        <v>1895</v>
      </c>
      <c r="AC198" s="871" t="s">
        <v>1862</v>
      </c>
      <c r="AD198" s="4591">
        <f>IF(AD200=0,0,(AD199*AD200+AD201*AD202*IF(god=2026,9,6))/AD200)</f>
        <v>0</v>
      </c>
      <c r="AE198" s="4591">
        <f>IF(AE200=0,0,(AE199*AE200+AE201*AE202*IF(god=2026,9,6))/AE200)</f>
        <v>0</v>
      </c>
      <c r="AF198" s="1102">
        <f>IF(AD198=0,0,(AE198-AD198)/AD198*100)</f>
        <v>0</v>
      </c>
      <c r="AG198" s="4591">
        <f>IF(AG200=0,0,(AG199*AG200+AG201*AG202*IF(god=2025,9,6))/AG200)</f>
        <v>0</v>
      </c>
      <c r="AH198" s="4591">
        <f>IF(AH200=0,0,(AH199*AH200+AH201*AH202*IF(god=2025,9,6))/AH200)</f>
        <v>0</v>
      </c>
      <c r="AI198" s="1102">
        <f>IF(AG198=0,0,(AH198-AG198)/AG198*100)</f>
        <v>0</v>
      </c>
      <c r="AJ198" s="4591">
        <f>IF(AJ200=0,0,(AJ199*AJ200+AJ201*AJ202*6)/AJ200)</f>
        <v>0</v>
      </c>
      <c r="AK198" s="4591">
        <f>IF(AK200=0,0,(AK199*AK200+AK201*AK202*6)/AK200)</f>
        <v>0</v>
      </c>
      <c r="AL198" s="1102">
        <f>IF(AJ198=0,0,(AK198-AJ198)/AJ198*100)</f>
        <v>0</v>
      </c>
      <c r="AM198" s="4591">
        <f>IF(AM200=0,0,(AM199*AM200+AM201*AM202*6)/AM200)</f>
        <v>0</v>
      </c>
      <c r="AN198" s="4591">
        <f>IF(AN200=0,0,(AN199*AN200+AN201*AN202*6)/AN200)</f>
        <v>0</v>
      </c>
      <c r="AO198" s="1102">
        <f>IF(AM198=0,0,(AN198-AM198)/AM198*100)</f>
        <v>0</v>
      </c>
      <c r="AP198" s="4591">
        <f>IF(AP200=0,0,(AP199*AP200+AP201*AP202*6)/AP200)</f>
        <v>0</v>
      </c>
      <c r="AQ198" s="4591">
        <f>IF(AQ200=0,0,(AQ199*AQ200+AQ201*AQ202*6)/AQ200)</f>
        <v>0</v>
      </c>
      <c r="AR198" s="1102">
        <f>IF(AP198=0,0,(AQ198-AP198)/AP198*100)</f>
        <v>0</v>
      </c>
      <c r="AS198" s="4591">
        <f>IF(AS200=0,0,(AS199*AS200+AS201*AS202*6)/AS200)</f>
        <v>0</v>
      </c>
      <c r="AT198" s="4591">
        <f>IF(AT200=0,0,(AT199*AT200+AT201*AT202*6)/AT200)</f>
        <v>0</v>
      </c>
      <c r="AU198" s="1102">
        <f>IF(AS198=0,0,(AT198-AS198)/AS198*100)</f>
        <v>0</v>
      </c>
      <c r="AV198" s="4591">
        <f>IF(AV200=0,0,(AV199*AV200+AV201*AV202*6)/AV200)</f>
        <v>0</v>
      </c>
      <c r="AW198" s="4591">
        <f>IF(AW200=0,0,(AW199*AW200+AW201*AW202*6)/AW200)</f>
        <v>0</v>
      </c>
      <c r="AX198" s="1102">
        <f>IF(AV198=0,0,(AW198-AV198)/AV198*100)</f>
        <v>0</v>
      </c>
      <c r="AY198" s="4591">
        <f>IF(AY200=0,0,(AY199*AY200+AY201*AY202*6)/AY200)</f>
        <v>0</v>
      </c>
      <c r="AZ198" s="4591">
        <f>IF(AZ200=0,0,(AZ199*AZ200+AZ201*AZ202*6)/AZ200)</f>
        <v>0</v>
      </c>
      <c r="BA198" s="1102">
        <f>IF(AY198=0,0,(AZ198-AY198)/AY198*100)</f>
        <v>0</v>
      </c>
      <c r="BB198" s="4591">
        <f>IF(BB200=0,0,(BB199*BB200+BB201*BB202*6)/BB200)</f>
        <v>0</v>
      </c>
      <c r="BC198" s="4591">
        <f>IF(BC200=0,0,(BC199*BC200+BC201*BC202*6)/BC200)</f>
        <v>0</v>
      </c>
      <c r="BD198" s="1102">
        <f>IF(BB198=0,0,(BC198-BB198)/BB198*100)</f>
        <v>0</v>
      </c>
      <c r="BE198" s="4591">
        <f>IF(BE200=0,0,(BE199*BE200+BE201*BE202*6)/BE200)</f>
        <v>0</v>
      </c>
      <c r="BF198" s="4591">
        <f>IF(BF200=0,0,(BF199*BF200+BF201*BF202*6)/BF200)</f>
        <v>0</v>
      </c>
      <c r="BG198" s="1102">
        <f>IF(BE198=0,0,(BF198-BE198)/BE198*100)</f>
        <v>0</v>
      </c>
      <c r="BH198" s="4591">
        <f>IF(BH200=0,0,(BH199*BH200+BH201*BH202*6)/BH200)</f>
        <v>0</v>
      </c>
      <c r="BI198" s="4591">
        <f>IF(BI200=0,0,(BI199*BI200+BI201*BI202*6)/BI200)</f>
        <v>0</v>
      </c>
      <c r="BJ198" s="1102">
        <f>IF(BH198=0,0,(BI198-BH198)/BH198*100)</f>
        <v>0</v>
      </c>
      <c r="BK198" s="4591">
        <f>IF(BK200=0,0,(BK199*BK200+BK201*BK202*6)/BK200)</f>
        <v>0</v>
      </c>
      <c r="BL198" s="4591">
        <f>IF(BL200=0,0,(BL199*BL200+BL201*BL202*6)/BL200)</f>
        <v>0</v>
      </c>
      <c r="BM198" s="1102">
        <f>IF(BK198=0,0,(BL198-BK198)/BK198*100)</f>
        <v>0</v>
      </c>
      <c r="BN198" s="4591">
        <f>IF(BN200=0,0,(BN199*BN200+BN201*BN202*6)/BN200)</f>
        <v>0</v>
      </c>
      <c r="BO198" s="4591">
        <f>IF(BO200=0,0,(BO199*BO200+BO201*BO202*6)/BO200)</f>
        <v>0</v>
      </c>
      <c r="BP198" s="1102">
        <f>IF(BN198=0,0,(BO198-BN198)/BN198*100)</f>
        <v>0</v>
      </c>
      <c r="BQ198" s="4591">
        <f>IF(BQ200=0,0,(BQ199*BQ200+BQ201*BQ202*6)/BQ200)</f>
        <v>0</v>
      </c>
      <c r="BR198" s="4591">
        <f>IF(BR200=0,0,(BR199*BR200+BR201*BR202*6)/BR200)</f>
        <v>0</v>
      </c>
      <c r="BS198" s="1102">
        <f>IF(BQ198=0,0,(BR198-BQ198)/BQ198*100)</f>
        <v>0</v>
      </c>
      <c r="BT198" s="4591">
        <f>IF(BT200=0,0,(BT199*BT200+BT201*BT202*6)/BT200)</f>
        <v>0</v>
      </c>
      <c r="BU198" s="4591">
        <f>IF(BU200=0,0,(BU199*BU200+BU201*BU202*6)/BU200)</f>
        <v>0</v>
      </c>
      <c r="BV198" s="1102">
        <f>IF(BT198=0,0,(BU198-BT198)/BT198*100)</f>
        <v>0</v>
      </c>
      <c r="BW198" s="4591">
        <f>IF(BW200=0,0,(BW199*BW200+BW201*BW202*6)/BW200)</f>
        <v>0</v>
      </c>
      <c r="BX198" s="4591">
        <f>IF(BX200=0,0,(BX199*BX200+BX201*BX202*6)/BX200)</f>
        <v>0</v>
      </c>
      <c r="BY198" s="1102">
        <f>IF(BW198=0,0,(BX198-BW198)/BW198*100)</f>
        <v>0</v>
      </c>
      <c r="BZ198" s="4591">
        <f>IF(BZ200=0,0,(BZ199*BZ200+BZ201*BZ202*6)/BZ200)</f>
        <v>0</v>
      </c>
      <c r="CA198" s="4591">
        <f>IF(CA200=0,0,(CA199*CA200+CA201*CA202*6)/CA200)</f>
        <v>0</v>
      </c>
      <c r="CB198" s="1102">
        <f>IF(BZ198=0,0,(CA198-BZ198)/BZ198*100)</f>
        <v>0</v>
      </c>
      <c r="CC198" s="4591">
        <f>IF(CC200=0,0,(CC199*CC200+CC201*CC202*6)/CC200)</f>
        <v>0</v>
      </c>
      <c r="CD198" s="4591">
        <f>IF(CD200=0,0,(CD199*CD200+CD201*CD202*6)/CD200)</f>
        <v>0</v>
      </c>
      <c r="CE198" s="1102">
        <f>IF(CC198=0,0,(CD198-CC198)/CC198*100)</f>
        <v>0</v>
      </c>
      <c r="CF198" s="4591">
        <f>IF(CF200=0,0,(CF199*CF200+CF201*CF202*6)/CF200)</f>
        <v>0</v>
      </c>
      <c r="CG198" s="4591">
        <f>IF(CG200=0,0,(CG199*CG200+CG201*CG202*6)/CG200)</f>
        <v>0</v>
      </c>
      <c r="CH198" s="1102">
        <f>IF(CF198=0,0,(CG198-CF198)/CF198*100)</f>
        <v>0</v>
      </c>
      <c r="CI198" s="4591">
        <f>IF(CI200=0,0,(CI199*CI200+CI201*CI202*6)/CI200)</f>
        <v>0</v>
      </c>
      <c r="CJ198" s="4591">
        <f>IF(CJ200=0,0,(CJ199*CJ200+CJ201*CJ202*6)/CJ200)</f>
        <v>0</v>
      </c>
      <c r="CK198" s="1102">
        <f>IF(CI198=0,0,(CJ198-CI198)/CI198*100)</f>
        <v>0</v>
      </c>
      <c r="CL198" s="4591">
        <f>IF(CL200=0,0,(CL199*CL200+CL201*CL202*6)/CL200)</f>
        <v>0</v>
      </c>
      <c r="CM198" s="4591">
        <f>IF(CM200=0,0,(CM199*CM200+CM201*CM202*6)/CM200)</f>
        <v>0</v>
      </c>
      <c r="CN198" s="1102">
        <f>IF(CL198=0,0,(CM198-CL198)/CL198*100)</f>
        <v>0</v>
      </c>
      <c r="CO198" s="4591">
        <f>IF(CO200=0,0,(CO199*CO200+CO201*CO202*6)/CO200)</f>
        <v>0</v>
      </c>
      <c r="CP198" s="4591">
        <f>IF(CP200=0,0,(CP199*CP200+CP201*CP202*6)/CP200)</f>
        <v>0</v>
      </c>
      <c r="CQ198" s="1102">
        <f>IF(CO198=0,0,(CP198-CO198)/CO198*100)</f>
        <v>0</v>
      </c>
      <c r="CR198" s="4591">
        <f>IF(CR200=0,0,(CR199*CR200+CR201*CR202*6)/CR200)</f>
        <v>0</v>
      </c>
      <c r="CS198" s="4591">
        <f>IF(CS200=0,0,(CS199*CS200+CS201*CS202*6)/CS200)</f>
        <v>0</v>
      </c>
      <c r="CT198" s="1102">
        <f>IF(CR198=0,0,(CS198-CR198)/CR198*100)</f>
        <v>0</v>
      </c>
      <c r="CU198" s="4591">
        <f>IF(CU200=0,0,(CU199*CU200+CU201*CU202*6)/CU200)</f>
        <v>0</v>
      </c>
      <c r="CV198" s="4591">
        <f>IF(CV200=0,0,(CV199*CV200+CV201*CV202*6)/CV200)</f>
        <v>0</v>
      </c>
      <c r="CW198" s="1102">
        <f>IF(CU198=0,0,(CV198-CU198)/CU198*100)</f>
        <v>0</v>
      </c>
      <c r="CX198" s="4591">
        <f>IF(CX200=0,0,(CX199*CX200+CX201*CX202*6)/CX200)</f>
        <v>0</v>
      </c>
      <c r="CY198" s="4591">
        <f>IF(CY200=0,0,(CY199*CY200+CY201*CY202*6)/CY200)</f>
        <v>0</v>
      </c>
      <c r="CZ198" s="1102">
        <f>IF(CX198=0,0,(CY198-CX198)/CX198*100)</f>
        <v>0</v>
      </c>
      <c r="DA198" s="4591">
        <f>IF(DA200=0,0,(DA199*DA200+DA201*DA202*6)/DA200)</f>
        <v>0</v>
      </c>
      <c r="DB198" s="4591">
        <f>IF(DB200=0,0,(DB199*DB200+DB201*DB202*6)/DB200)</f>
        <v>0</v>
      </c>
      <c r="DC198" s="1102">
        <f>IF(DA198=0,0,(DB198-DA198)/DA198*100)</f>
        <v>0</v>
      </c>
      <c r="DD198" s="4591">
        <f>IF(DD200=0,0,(DD199*DD200+DD201*DD202*6)/DD200)</f>
        <v>0</v>
      </c>
      <c r="DE198" s="4591">
        <f>IF(DE200=0,0,(DE199*DE200+DE201*DE202*6)/DE200)</f>
        <v>0</v>
      </c>
      <c r="DF198" s="1102">
        <f>IF(DD198=0,0,(DE198-DD198)/DD198*100)</f>
        <v>0</v>
      </c>
      <c r="DG198" s="4591">
        <f>IF(DG200=0,0,(DG199*DG200+DG201*DG202*6)/DG200)</f>
        <v>0</v>
      </c>
      <c r="DH198" s="4591">
        <f>IF(DH200=0,0,(DH199*DH200+DH201*DH202*6)/DH200)</f>
        <v>0</v>
      </c>
      <c r="DI198" s="1102">
        <f>IF(DG198=0,0,(DH198-DG198)/DG198*100)</f>
        <v>0</v>
      </c>
      <c r="DJ198" s="4591">
        <f>IF(DJ200=0,0,(DJ199*DJ200+DJ201*DJ202*6)/DJ200)</f>
        <v>0</v>
      </c>
      <c r="DK198" s="4591">
        <f>IF(DK200=0,0,(DK199*DK200+DK201*DK202*6)/DK200)</f>
        <v>0</v>
      </c>
      <c r="DL198" s="1102">
        <f>IF(DJ198=0,0,(DK198-DJ198)/DJ198*100)</f>
        <v>0</v>
      </c>
      <c r="DM198" s="4591">
        <f>IF(DM200=0,0,(DM199*DM200+DM201*DM202*6)/DM200)</f>
        <v>0</v>
      </c>
      <c r="DN198" s="4591">
        <f>IF(DN200=0,0,(DN199*DN200+DN201*DN202*6)/DN200)</f>
        <v>0</v>
      </c>
      <c r="DO198" s="1102">
        <f>IF(DM198=0,0,(DN198-DM198)/DM198*100)</f>
        <v>0</v>
      </c>
      <c r="DP198" s="4591">
        <f>IF(DP200=0,0,(DP199*DP200+DP201*DP202*6)/DP200)</f>
        <v>0</v>
      </c>
      <c r="DQ198" s="4591">
        <f>IF(DQ200=0,0,(DQ199*DQ200+DQ201*DQ202*6)/DQ200)</f>
        <v>0</v>
      </c>
      <c r="DR198" s="1102">
        <f>IF(DP198=0,0,(DQ198-DP198)/DP198*100)</f>
        <v>0</v>
      </c>
      <c r="DS198" s="4591">
        <f>IF(DS200=0,0,(DS199*DS200+DS201*DS202*6)/DS200)</f>
        <v>0</v>
      </c>
      <c r="DT198" s="4591">
        <f>IF(DT200=0,0,(DT199*DT200+DT201*DT202*6)/DT200)</f>
        <v>0</v>
      </c>
      <c r="DU198" s="1102">
        <f>IF(DS198=0,0,(DT198-DS198)/DS198*100)</f>
        <v>0</v>
      </c>
      <c r="DV198" s="4591">
        <f>IF(DV200=0,0,(DV199*DV200+DV201*DV202*6)/DV200)</f>
        <v>0</v>
      </c>
      <c r="DW198" s="4591">
        <f>IF(DW200=0,0,(DW199*DW200+DW201*DW202*6)/DW200)</f>
        <v>0</v>
      </c>
      <c r="DX198" s="1102">
        <f>IF(DV198=0,0,(DW198-DV198)/DV198*100)</f>
        <v>0</v>
      </c>
      <c r="DY198" s="4591">
        <f>IF(DY200=0,0,(DY199*DY200+DY201*DY202*6)/DY200)</f>
        <v>0</v>
      </c>
      <c r="DZ198" s="4591">
        <f>IF(DZ200=0,0,(DZ199*DZ200+DZ201*DZ202*6)/DZ200)</f>
        <v>0</v>
      </c>
      <c r="EA198" s="1102">
        <f>IF(DY198=0,0,(DZ198-DY198)/DY198*100)</f>
        <v>0</v>
      </c>
      <c r="EB198" s="4591">
        <f>IF(EB200=0,0,(EB199*EB200+EB201*EB202*6)/EB200)</f>
        <v>0</v>
      </c>
      <c r="EC198" s="4591">
        <f>IF(EC200=0,0,(EC199*EC200+EC201*EC202*6)/EC200)</f>
        <v>0</v>
      </c>
      <c r="ED198" s="1102">
        <f>IF(EB198=0,0,(EC198-EB198)/EB198*100)</f>
        <v>0</v>
      </c>
      <c r="EE198" s="4591">
        <f>IF(EE200=0,0,(EE199*EE200+EE201*EE202*6)/EE200)</f>
        <v>0</v>
      </c>
      <c r="EF198" s="4591">
        <f>IF(EF200=0,0,(EF199*EF200+EF201*EF202*6)/EF200)</f>
        <v>0</v>
      </c>
      <c r="EG198" s="1102">
        <f>IF(EE198=0,0,(EF198-EE198)/EE198*100)</f>
        <v>0</v>
      </c>
      <c r="EH198" s="4591">
        <f>IF(EH200=0,0,(EH199*EH200+EH201*EH202*6)/EH200)</f>
        <v>0</v>
      </c>
      <c r="EI198" s="4591">
        <f>IF(EI200=0,0,(EI199*EI200+EI201*EI202*6)/EI200)</f>
        <v>0</v>
      </c>
      <c r="EJ198" s="1102">
        <f>IF(EH198=0,0,(EI198-EH198)/EH198*100)</f>
        <v>0</v>
      </c>
      <c r="EK198" s="4591">
        <f>IF(EK200=0,0,(EK199*EK200+EK201*EK202*6)/EK200)</f>
        <v>0</v>
      </c>
      <c r="EL198" s="4591">
        <f>IF(EL200=0,0,(EL199*EL200+EL201*EL202*6)/EL200)</f>
        <v>0</v>
      </c>
      <c r="EM198" s="1102">
        <f>IF(EK198=0,0,(EL198-EK198)/EK198*100)</f>
        <v>0</v>
      </c>
      <c r="EN198" s="4591">
        <f>IF(EN200=0,0,(EN199*EN200+EN201*EN202*6)/EN200)</f>
        <v>0</v>
      </c>
      <c r="EO198" s="4591">
        <f>IF(EO200=0,0,(EO199*EO200+EO201*EO202*6)/EO200)</f>
        <v>0</v>
      </c>
      <c r="EP198" s="1102">
        <f>IF(EN198=0,0,(EO198-EN198)/EN198*100)</f>
        <v>0</v>
      </c>
      <c r="EQ198" s="4591">
        <f>IF(EQ200=0,0,(EQ199*EQ200+EQ201*EQ202*6)/EQ200)</f>
        <v>0</v>
      </c>
      <c r="ER198" s="4591">
        <f>IF(ER200=0,0,(ER199*ER200+ER201*ER202*6)/ER200)</f>
        <v>0</v>
      </c>
      <c r="ES198" s="1102">
        <f>IF(EQ198=0,0,(ER198-EQ198)/EQ198*100)</f>
        <v>0</v>
      </c>
      <c r="ET198" s="4591">
        <f>IF(ET200=0,0,(ET199*ET200+ET201*ET202*6)/ET200)</f>
        <v>0</v>
      </c>
      <c r="EU198" s="4591">
        <f>IF(EU200=0,0,(EU199*EU200+EU201*EU202*6)/EU200)</f>
        <v>0</v>
      </c>
      <c r="EV198" s="1102">
        <f>IF(ET198=0,0,(EU198-ET198)/ET198*100)</f>
        <v>0</v>
      </c>
      <c r="EW198" s="4591">
        <f>IF(EW200=0,0,(EW199*EW200+EW201*EW202*6)/EW200)</f>
        <v>0</v>
      </c>
      <c r="EX198" s="4591">
        <f>IF(EX200=0,0,(EX199*EX200+EX201*EX202*6)/EX200)</f>
        <v>0</v>
      </c>
      <c r="EY198" s="1102">
        <f>IF(EW198=0,0,(EX198-EW198)/EW198*100)</f>
        <v>0</v>
      </c>
      <c r="EZ198" s="4591">
        <f>IF(EZ200=0,0,(EZ199*EZ200+EZ201*EZ202*6)/EZ200)</f>
        <v>0</v>
      </c>
      <c r="FA198" s="4591">
        <f>IF(FA200=0,0,(FA199*FA200+FA201*FA202*6)/FA200)</f>
        <v>0</v>
      </c>
      <c r="FB198" s="1102">
        <f>IF(EZ198=0,0,(FA198-EZ198)/EZ198*100)</f>
        <v>0</v>
      </c>
      <c r="FC198" s="4591">
        <f>IF(FC200=0,0,(FC199*FC200+FC201*FC202*6)/FC200)</f>
        <v>0</v>
      </c>
      <c r="FD198" s="4591">
        <f>IF(FD200=0,0,(FD199*FD200+FD201*FD202*6)/FD200)</f>
        <v>0</v>
      </c>
      <c r="FE198" s="1102">
        <f>IF(FC198=0,0,(FD198-FC198)/FC198*100)</f>
        <v>0</v>
      </c>
      <c r="FF198" s="4591">
        <f>IF(FF200=0,0,(FF199*FF200+FF201*FF202*6)/FF200)</f>
        <v>0</v>
      </c>
      <c r="FG198" s="4591">
        <f>IF(FG200=0,0,(FG199*FG200+FG201*FG202*6)/FG200)</f>
        <v>0</v>
      </c>
      <c r="FH198" s="1102">
        <f>IF(FF198=0,0,(FG198-FF198)/FF198*100)</f>
        <v>0</v>
      </c>
      <c r="FI198" s="4591">
        <f>IF(FI200=0,0,(FI199*FI200+FI201*FI202*6)/FI200)</f>
        <v>0</v>
      </c>
      <c r="FJ198" s="4591">
        <f>IF(FJ200=0,0,(FJ199*FJ200+FJ201*FJ202*6)/FJ200)</f>
        <v>0</v>
      </c>
      <c r="FK198" s="1102">
        <f>IF(FI198=0,0,(FJ198-FI198)/FI198*100)</f>
        <v>0</v>
      </c>
      <c r="FL198" s="4591">
        <f>IF(FL200=0,0,(FL199*FL200+FL201*FL202*6)/FL200)</f>
        <v>0</v>
      </c>
      <c r="FM198" s="4591">
        <f>IF(FM200=0,0,(FM199*FM200+FM201*FM202*6)/FM200)</f>
        <v>0</v>
      </c>
      <c r="FN198" s="1102">
        <f>IF(FL198=0,0,(FM198-FL198)/FL198*100)</f>
        <v>0</v>
      </c>
      <c r="FO198" s="4591">
        <f>IF(FO200=0,0,(FO199*FO200+FO201*FO202*6)/FO200)</f>
        <v>0</v>
      </c>
      <c r="FP198" s="4591">
        <f>IF(FP200=0,0,(FP199*FP200+FP201*FP202*6)/FP200)</f>
        <v>0</v>
      </c>
      <c r="FQ198" s="1102">
        <f>IF(FO198=0,0,(FP198-FO198)/FO198*100)</f>
        <v>0</v>
      </c>
      <c r="FR198" s="4591">
        <f>IF(FR200=0,0,(FR199*FR200+FR201*FR202*6)/FR200)</f>
        <v>0</v>
      </c>
      <c r="FS198" s="4591">
        <f>IF(FS200=0,0,(FS199*FS200+FS201*FS202*6)/FS200)</f>
        <v>0</v>
      </c>
      <c r="FT198" s="1102">
        <f>IF(FR198=0,0,(FS198-FR198)/FR198*100)</f>
        <v>0</v>
      </c>
      <c r="FU198" s="4591">
        <f>IF(FU200=0,0,(FU199*FU200+FU201*FU202*6)/FU200)</f>
        <v>0</v>
      </c>
      <c r="FV198" s="4591">
        <f>IF(FV200=0,0,(FV199*FV200+FV201*FV202*6)/FV200)</f>
        <v>0</v>
      </c>
      <c r="FW198" s="1102">
        <f>IF(FU198=0,0,(FV198-FU198)/FU198*100)</f>
        <v>0</v>
      </c>
      <c r="FX198" s="1328"/>
      <c r="FY198" s="1328"/>
      <c r="FZ198" s="1063" t="s">
        <v>1896</v>
      </c>
      <c r="GA198" s="1330"/>
      <c r="GB198" s="1330"/>
      <c r="GC198" s="1329"/>
      <c r="GD198" s="1329"/>
    </row>
    <row s="1656" customFormat="1" customHeight="1" ht="14.25" hidden="1">
      <c r="A199" s="496"/>
      <c r="B199" s="932" cm="1" t="str">
        <f t="array" ref="B199:B199">B198</f>
        <v>false</v>
      </c>
      <c r="C199" s="496"/>
      <c r="D199" s="496"/>
      <c r="E199" s="847">
        <v>15</v>
      </c>
      <c r="F199" s="50" cm="1" t="str">
        <f t="array" ref="F199:F199">OFFSET(E199,-1,1)</f>
        <v>2</v>
      </c>
      <c r="G199" s="496"/>
      <c r="H199" s="496" t="s">
        <v>1791</v>
      </c>
      <c r="I199" s="496" t="s">
        <v>1860</v>
      </c>
      <c r="J199" s="496"/>
      <c r="K199" s="496"/>
      <c r="L199" s="496"/>
      <c r="M199" s="496"/>
      <c r="N199" s="496"/>
      <c r="O199" s="496"/>
      <c r="P199" s="496"/>
      <c r="Q199" s="496"/>
      <c r="R199" s="496"/>
      <c r="S199" s="496"/>
      <c r="T199" s="468" cm="1" t="str">
        <f t="array" ref="T199:T199">T198</f>
        <v>true</v>
      </c>
      <c r="U199" s="496"/>
      <c r="V199" s="496"/>
      <c r="W199" s="496"/>
      <c r="X199" s="1559"/>
      <c r="Y199" s="496"/>
      <c r="Z199" s="1528"/>
      <c r="AA199" s="496"/>
      <c r="AB199" s="911" t="str">
        <f>"ставка платы за "&amp;IF(Q179="Водоснабжение","потребление 1 куб.м холодной воды","объем принятых сточных вод")</f>
        <v>ставка платы за объем принятых сточных вод</v>
      </c>
      <c r="AC199" s="871" t="s">
        <v>1862</v>
      </c>
      <c r="AD199" s="4591"/>
      <c r="AE199" s="4591"/>
      <c r="AF199" s="1102">
        <f>IF(AD199=0,0,(AE199-AD199)/AD199*100)</f>
        <v>0</v>
      </c>
      <c r="AG199" s="4591"/>
      <c r="AH199" s="4591"/>
      <c r="AI199" s="1102">
        <f>IF(AG199=0,0,(AH199-AG199)/AG199*100)</f>
        <v>0</v>
      </c>
      <c r="AJ199" s="4591"/>
      <c r="AK199" s="4591"/>
      <c r="AL199" s="1102">
        <f>IF(AJ199=0,0,(AK199-AJ199)/AJ199*100)</f>
        <v>0</v>
      </c>
      <c r="AM199" s="4591"/>
      <c r="AN199" s="4591"/>
      <c r="AO199" s="1102">
        <f>IF(AM199=0,0,(AN199-AM199)/AM199*100)</f>
        <v>0</v>
      </c>
      <c r="AP199" s="4591"/>
      <c r="AQ199" s="4591"/>
      <c r="AR199" s="1102">
        <f>IF(AP199=0,0,(AQ199-AP199)/AP199*100)</f>
        <v>0</v>
      </c>
      <c r="AS199" s="4591"/>
      <c r="AT199" s="4591"/>
      <c r="AU199" s="1102">
        <f>IF(AS199=0,0,(AT199-AS199)/AS199*100)</f>
        <v>0</v>
      </c>
      <c r="AV199" s="4591"/>
      <c r="AW199" s="4591"/>
      <c r="AX199" s="1102">
        <f>IF(AV199=0,0,(AW199-AV199)/AV199*100)</f>
        <v>0</v>
      </c>
      <c r="AY199" s="4591"/>
      <c r="AZ199" s="4591"/>
      <c r="BA199" s="1102">
        <f>IF(AY199=0,0,(AZ199-AY199)/AY199*100)</f>
        <v>0</v>
      </c>
      <c r="BB199" s="4591"/>
      <c r="BC199" s="4591"/>
      <c r="BD199" s="1102">
        <f>IF(BB199=0,0,(BC199-BB199)/BB199*100)</f>
        <v>0</v>
      </c>
      <c r="BE199" s="4591"/>
      <c r="BF199" s="4591"/>
      <c r="BG199" s="1102">
        <f>IF(BE199=0,0,(BF199-BE199)/BE199*100)</f>
        <v>0</v>
      </c>
      <c r="BH199" s="4591"/>
      <c r="BI199" s="4591"/>
      <c r="BJ199" s="1102">
        <f>IF(BH199=0,0,(BI199-BH199)/BH199*100)</f>
        <v>0</v>
      </c>
      <c r="BK199" s="4591"/>
      <c r="BL199" s="4591"/>
      <c r="BM199" s="1102">
        <f>IF(BK199=0,0,(BL199-BK199)/BK199*100)</f>
        <v>0</v>
      </c>
      <c r="BN199" s="4591"/>
      <c r="BO199" s="4591"/>
      <c r="BP199" s="1102">
        <f>IF(BN199=0,0,(BO199-BN199)/BN199*100)</f>
        <v>0</v>
      </c>
      <c r="BQ199" s="4591"/>
      <c r="BR199" s="4591"/>
      <c r="BS199" s="1102">
        <f>IF(BQ199=0,0,(BR199-BQ199)/BQ199*100)</f>
        <v>0</v>
      </c>
      <c r="BT199" s="4591"/>
      <c r="BU199" s="4591"/>
      <c r="BV199" s="1102">
        <f>IF(BT199=0,0,(BU199-BT199)/BT199*100)</f>
        <v>0</v>
      </c>
      <c r="BW199" s="4591"/>
      <c r="BX199" s="4591"/>
      <c r="BY199" s="1102">
        <f>IF(BW199=0,0,(BX199-BW199)/BW199*100)</f>
        <v>0</v>
      </c>
      <c r="BZ199" s="4591"/>
      <c r="CA199" s="4591"/>
      <c r="CB199" s="1102">
        <f>IF(BZ199=0,0,(CA199-BZ199)/BZ199*100)</f>
        <v>0</v>
      </c>
      <c r="CC199" s="4591"/>
      <c r="CD199" s="4591"/>
      <c r="CE199" s="1102">
        <f>IF(CC199=0,0,(CD199-CC199)/CC199*100)</f>
        <v>0</v>
      </c>
      <c r="CF199" s="4591"/>
      <c r="CG199" s="4591"/>
      <c r="CH199" s="1102">
        <f>IF(CF199=0,0,(CG199-CF199)/CF199*100)</f>
        <v>0</v>
      </c>
      <c r="CI199" s="4591"/>
      <c r="CJ199" s="4591"/>
      <c r="CK199" s="1102">
        <f>IF(CI199=0,0,(CJ199-CI199)/CI199*100)</f>
        <v>0</v>
      </c>
      <c r="CL199" s="4591"/>
      <c r="CM199" s="4591"/>
      <c r="CN199" s="1102">
        <f>IF(CL199=0,0,(CM199-CL199)/CL199*100)</f>
        <v>0</v>
      </c>
      <c r="CO199" s="4591"/>
      <c r="CP199" s="4591"/>
      <c r="CQ199" s="1102">
        <f>IF(CO199=0,0,(CP199-CO199)/CO199*100)</f>
        <v>0</v>
      </c>
      <c r="CR199" s="4591"/>
      <c r="CS199" s="4591"/>
      <c r="CT199" s="1102">
        <f>IF(CR199=0,0,(CS199-CR199)/CR199*100)</f>
        <v>0</v>
      </c>
      <c r="CU199" s="4591"/>
      <c r="CV199" s="4591"/>
      <c r="CW199" s="1102">
        <f>IF(CU199=0,0,(CV199-CU199)/CU199*100)</f>
        <v>0</v>
      </c>
      <c r="CX199" s="4591"/>
      <c r="CY199" s="4591"/>
      <c r="CZ199" s="1102">
        <f>IF(CX199=0,0,(CY199-CX199)/CX199*100)</f>
        <v>0</v>
      </c>
      <c r="DA199" s="4591"/>
      <c r="DB199" s="4591"/>
      <c r="DC199" s="1102">
        <f>IF(DA199=0,0,(DB199-DA199)/DA199*100)</f>
        <v>0</v>
      </c>
      <c r="DD199" s="4591"/>
      <c r="DE199" s="4591"/>
      <c r="DF199" s="1102">
        <f>IF(DD199=0,0,(DE199-DD199)/DD199*100)</f>
        <v>0</v>
      </c>
      <c r="DG199" s="4591"/>
      <c r="DH199" s="4591"/>
      <c r="DI199" s="1102">
        <f>IF(DG199=0,0,(DH199-DG199)/DG199*100)</f>
        <v>0</v>
      </c>
      <c r="DJ199" s="4591"/>
      <c r="DK199" s="4591"/>
      <c r="DL199" s="1102">
        <f>IF(DJ199=0,0,(DK199-DJ199)/DJ199*100)</f>
        <v>0</v>
      </c>
      <c r="DM199" s="4591"/>
      <c r="DN199" s="4591"/>
      <c r="DO199" s="1102">
        <f>IF(DM199=0,0,(DN199-DM199)/DM199*100)</f>
        <v>0</v>
      </c>
      <c r="DP199" s="4591"/>
      <c r="DQ199" s="4591"/>
      <c r="DR199" s="1102">
        <f>IF(DP199=0,0,(DQ199-DP199)/DP199*100)</f>
        <v>0</v>
      </c>
      <c r="DS199" s="4591"/>
      <c r="DT199" s="4591"/>
      <c r="DU199" s="1102">
        <f>IF(DS199=0,0,(DT199-DS199)/DS199*100)</f>
        <v>0</v>
      </c>
      <c r="DV199" s="4591"/>
      <c r="DW199" s="4591"/>
      <c r="DX199" s="1102">
        <f>IF(DV199=0,0,(DW199-DV199)/DV199*100)</f>
        <v>0</v>
      </c>
      <c r="DY199" s="4591"/>
      <c r="DZ199" s="4591"/>
      <c r="EA199" s="1102">
        <f>IF(DY199=0,0,(DZ199-DY199)/DY199*100)</f>
        <v>0</v>
      </c>
      <c r="EB199" s="4591"/>
      <c r="EC199" s="4591"/>
      <c r="ED199" s="1102">
        <f>IF(EB199=0,0,(EC199-EB199)/EB199*100)</f>
        <v>0</v>
      </c>
      <c r="EE199" s="4591"/>
      <c r="EF199" s="4591"/>
      <c r="EG199" s="1102">
        <f>IF(EE199=0,0,(EF199-EE199)/EE199*100)</f>
        <v>0</v>
      </c>
      <c r="EH199" s="4591"/>
      <c r="EI199" s="4591"/>
      <c r="EJ199" s="1102">
        <f>IF(EH199=0,0,(EI199-EH199)/EH199*100)</f>
        <v>0</v>
      </c>
      <c r="EK199" s="4591"/>
      <c r="EL199" s="4591"/>
      <c r="EM199" s="1102">
        <f>IF(EK199=0,0,(EL199-EK199)/EK199*100)</f>
        <v>0</v>
      </c>
      <c r="EN199" s="4591"/>
      <c r="EO199" s="4591"/>
      <c r="EP199" s="1102">
        <f>IF(EN199=0,0,(EO199-EN199)/EN199*100)</f>
        <v>0</v>
      </c>
      <c r="EQ199" s="4591"/>
      <c r="ER199" s="4591"/>
      <c r="ES199" s="1102">
        <f>IF(EQ199=0,0,(ER199-EQ199)/EQ199*100)</f>
        <v>0</v>
      </c>
      <c r="ET199" s="4591"/>
      <c r="EU199" s="4591"/>
      <c r="EV199" s="1102">
        <f>IF(ET199=0,0,(EU199-ET199)/ET199*100)</f>
        <v>0</v>
      </c>
      <c r="EW199" s="4591"/>
      <c r="EX199" s="4591"/>
      <c r="EY199" s="1102">
        <f>IF(EW199=0,0,(EX199-EW199)/EW199*100)</f>
        <v>0</v>
      </c>
      <c r="EZ199" s="4591"/>
      <c r="FA199" s="4591"/>
      <c r="FB199" s="1102">
        <f>IF(EZ199=0,0,(FA199-EZ199)/EZ199*100)</f>
        <v>0</v>
      </c>
      <c r="FC199" s="4591"/>
      <c r="FD199" s="4591"/>
      <c r="FE199" s="1102">
        <f>IF(FC199=0,0,(FD199-FC199)/FC199*100)</f>
        <v>0</v>
      </c>
      <c r="FF199" s="4591"/>
      <c r="FG199" s="4591"/>
      <c r="FH199" s="1102">
        <f>IF(FF199=0,0,(FG199-FF199)/FF199*100)</f>
        <v>0</v>
      </c>
      <c r="FI199" s="4591"/>
      <c r="FJ199" s="4591"/>
      <c r="FK199" s="1102">
        <f>IF(FI199=0,0,(FJ199-FI199)/FI199*100)</f>
        <v>0</v>
      </c>
      <c r="FL199" s="4591"/>
      <c r="FM199" s="4591"/>
      <c r="FN199" s="1102">
        <f>IF(FL199=0,0,(FM199-FL199)/FL199*100)</f>
        <v>0</v>
      </c>
      <c r="FO199" s="4591"/>
      <c r="FP199" s="4591"/>
      <c r="FQ199" s="1102">
        <f>IF(FO199=0,0,(FP199-FO199)/FO199*100)</f>
        <v>0</v>
      </c>
      <c r="FR199" s="4591"/>
      <c r="FS199" s="4591"/>
      <c r="FT199" s="1102">
        <f>IF(FR199=0,0,(FS199-FR199)/FR199*100)</f>
        <v>0</v>
      </c>
      <c r="FU199" s="4591"/>
      <c r="FV199" s="4591"/>
      <c r="FW199" s="1102">
        <f>IF(FU199=0,0,(FV199-FU199)/FU199*100)</f>
        <v>0</v>
      </c>
      <c r="FX199" s="1328"/>
      <c r="FY199" s="1328"/>
      <c r="FZ199" s="1063" t="s">
        <v>1897</v>
      </c>
      <c r="GA199" s="1330"/>
      <c r="GB199" s="1330"/>
      <c r="GC199" s="1329"/>
      <c r="GD199" s="1329"/>
    </row>
    <row s="1656" customFormat="1" customHeight="1" ht="14.25" hidden="1">
      <c r="A200" s="496"/>
      <c r="B200" s="932" cm="1" t="str">
        <f t="array" ref="B200:B200">B199</f>
        <v>false</v>
      </c>
      <c r="C200" s="496"/>
      <c r="D200" s="496"/>
      <c r="E200" s="847">
        <v>15</v>
      </c>
      <c r="F200" s="50" cm="1" t="str">
        <f t="array" ref="F200:F200">OFFSET(E200,-1,1)</f>
        <v>2</v>
      </c>
      <c r="G200" s="103" t="s">
        <v>1898</v>
      </c>
      <c r="H200" s="496" t="s">
        <v>1899</v>
      </c>
      <c r="I200" s="496" t="s">
        <v>1860</v>
      </c>
      <c r="J200" s="496"/>
      <c r="K200" s="496"/>
      <c r="L200" s="496"/>
      <c r="M200" s="496"/>
      <c r="N200" s="496"/>
      <c r="O200" s="496"/>
      <c r="P200" s="496"/>
      <c r="Q200" s="496"/>
      <c r="R200" s="496"/>
      <c r="S200" s="496"/>
      <c r="T200" s="468" cm="1" t="str">
        <f t="array" ref="T200:T200">T199</f>
        <v>true</v>
      </c>
      <c r="U200" s="496"/>
      <c r="V200" s="496"/>
      <c r="W200" s="496"/>
      <c r="X200" s="1559"/>
      <c r="Y200" s="496"/>
      <c r="Z200" s="1528"/>
      <c r="AA200" s="496"/>
      <c r="AB200" s="911" t="str">
        <f>"объём "&amp;IF(Q179="Водоснабжение","потребления холодной воды","водоотведения")</f>
        <v>объём водоотведения</v>
      </c>
      <c r="AC200" s="871" t="s">
        <v>657</v>
      </c>
      <c r="AD200" s="4585">
        <f>IF(AND(method_reg="Метод индексации",god&lt;&gt;first_year),_xlfn.SUMIFS(INDEX('Калькуляция (МИ корр)'!$AJ$25:$BC$606,,MATCH(AD$8,'Калькуляция (МИ корр)'!$AJ$8:$BC$8,0)),'Калькуляция (МИ корр)'!$F$25:$F$606,$F200,'Калькуляция (МИ корр)'!$G$25:$G$606,$G200),IF(method_reg="Метод экономически обоснованных расходов",_xlfn.SUMIFS('Калькуляция (МЭОР)'!$AJ$25:$AJ$367,'Калькуляция (МЭОР)'!$F$25:$F$367,$F200,'Калькуляция (МЭОР)'!$G$25:$G$367,$G200),IF(method_reg="Метод сравнения аналогов",_xlfn.SUMIFS('Калькуляция (МСА)'!$AE$25:$AE$103,'Калькуляция (МСА)'!$F$25:$F$103,$F200,'Калькуляция (МСА)'!$G$25:$G$103,$G200),_xlfn.SUMIFS(INDEX('Калькуляция (МИ)'!$AJ$25:$BC$603,,MATCH(AD$8,'Калькуляция (МИ)'!$AJ$8:$BC$8,0)),'Калькуляция (МИ)'!$F$25:$F$603,$F200,'Калькуляция (МИ)'!$G$25:$G$603,$G200))))</f>
        <v>3574.74525</v>
      </c>
      <c r="AE200" s="4585">
        <f>IF(AND(method_reg="Метод индексации",god&lt;&gt;first_year),_xlfn.SUMIFS(INDEX('Калькуляция (МИ корр)'!$AJ$25:$BC$606,,MATCH(AE$8,'Калькуляция (МИ корр)'!$AJ$8:$BC$8,0)),'Калькуляция (МИ корр)'!$F$25:$F$606,$F200,'Калькуляция (МИ корр)'!$G$25:$G$606,$G200),IF(method_reg="Метод экономически обоснованных расходов",_xlfn.SUMIFS('Калькуляция (МЭОР)'!$AK$25:$AK$367,'Калькуляция (МЭОР)'!$F$25:$F$367,$F200,'Калькуляция (МЭОР)'!$G$25:$G$367,$G200),IF(method_reg="Метод сравнения аналогов",_xlfn.SUMIFS('Калькуляция (МСА)'!$AF$25:$AF$103,'Калькуляция (МСА)'!$F$25:$F$103,$F200,'Калькуляция (МСА)'!$G$25:$G$103,$G200),_xlfn.SUMIFS(INDEX('Калькуляция (МИ)'!$AJ$25:$BC$603,,MATCH(AE$8,'Калькуляция (МИ)'!$AJ$8:$BC$8,0)),'Калькуляция (МИ)'!$F$25:$F$603,$F200,'Калькуляция (МИ)'!$G$25:$G$603,$G200))))</f>
        <v>3442.3507725</v>
      </c>
      <c r="AF200" s="1104">
        <f>IF(AD200=0,0,(AE200-AD200)/AD200*100)</f>
        <v>-3.70360594226959</v>
      </c>
      <c r="AG200" s="4585">
        <f>IF(AND(method_reg="Метод индексации",god&lt;&gt;first_year),_xlfn.SUMIFS(INDEX('Калькуляция (МИ корр)'!$AJ$25:$BC$606,,MATCH(AG$8,'Калькуляция (МИ корр)'!$AJ$8:$BC$8,0)),'Калькуляция (МИ корр)'!$F$25:$F$606,$F200,'Калькуляция (МИ корр)'!$G$25:$G$606,$G200),IF(method_reg="Метод экономически обоснованных расходов",_xlfn.SUMIFS('Калькуляция (МЭОР)'!$AJ$25:$AJ$367,'Калькуляция (МЭОР)'!$F$25:$F$367,$F200,'Калькуляция (МЭОР)'!$G$25:$G$367,$G200),IF(method_reg="Метод сравнения аналогов",_xlfn.SUMIFS('Калькуляция (МСА)'!$AE$25:$AE$103,'Калькуляция (МСА)'!$F$25:$F$103,$F200,'Калькуляция (МСА)'!$G$25:$G$103,$G200),_xlfn.SUMIFS(INDEX('Калькуляция (МИ)'!$AJ$25:$BC$603,,MATCH(AG$8,'Калькуляция (МИ)'!$AJ$8:$BC$8,0)),'Калькуляция (МИ)'!$F$25:$F$603,$F200,'Калькуляция (МИ)'!$G$25:$G$603,$G200))))</f>
        <v>0</v>
      </c>
      <c r="AH200" s="4585">
        <f>IF(AND(method_reg="Метод индексации",god&lt;&gt;first_year),_xlfn.SUMIFS(INDEX('Калькуляция (МИ корр)'!$AJ$25:$BC$606,,MATCH(AH$8,'Калькуляция (МИ корр)'!$AJ$8:$BC$8,0)),'Калькуляция (МИ корр)'!$F$25:$F$606,$F200,'Калькуляция (МИ корр)'!$G$25:$G$606,$G200),IF(method_reg="Метод экономически обоснованных расходов",_xlfn.SUMIFS('Калькуляция (МЭОР)'!$AK$25:$AK$367,'Калькуляция (МЭОР)'!$F$25:$F$367,$F200,'Калькуляция (МЭОР)'!$G$25:$G$367,$G200),IF(method_reg="Метод сравнения аналогов",_xlfn.SUMIFS('Калькуляция (МСА)'!$AF$25:$AF$103,'Калькуляция (МСА)'!$F$25:$F$103,$F200,'Калькуляция (МСА)'!$G$25:$G$103,$G200),_xlfn.SUMIFS(INDEX('Калькуляция (МИ)'!$AJ$25:$BC$603,,MATCH(AH$8,'Калькуляция (МИ)'!$AJ$8:$BC$8,0)),'Калькуляция (МИ)'!$F$25:$F$603,$F200,'Калькуляция (МИ)'!$G$25:$G$603,$G200))))</f>
        <v>0</v>
      </c>
      <c r="AI200" s="1104">
        <f>IF(AG200=0,0,(AH200-AG200)/AG200*100)</f>
        <v>0</v>
      </c>
      <c r="AJ200" s="4585">
        <f>IF(AND(method_reg="Метод индексации",god&lt;&gt;first_year),_xlfn.SUMIFS(INDEX('Калькуляция (МИ корр)'!$AJ$25:$BC$606,,MATCH(AJ$8,'Калькуляция (МИ корр)'!$AJ$8:$BC$8,0)),'Калькуляция (МИ корр)'!$F$25:$F$606,$F200,'Калькуляция (МИ корр)'!$G$25:$G$606,$G200),IF(method_reg="Метод экономически обоснованных расходов",_xlfn.SUMIFS('Калькуляция (МЭОР)'!$AJ$25:$AJ$367,'Калькуляция (МЭОР)'!$F$25:$F$367,$F200,'Калькуляция (МЭОР)'!$G$25:$G$367,$G200),IF(method_reg="Метод сравнения аналогов",_xlfn.SUMIFS('Калькуляция (МСА)'!$AE$25:$AE$103,'Калькуляция (МСА)'!$F$25:$F$103,$F200,'Калькуляция (МСА)'!$G$25:$G$103,$G200),_xlfn.SUMIFS(INDEX('Калькуляция (МИ)'!$AJ$25:$BC$603,,MATCH(AJ$8,'Калькуляция (МИ)'!$AJ$8:$BC$8,0)),'Калькуляция (МИ)'!$F$25:$F$603,$F200,'Калькуляция (МИ)'!$G$25:$G$603,$G200))))</f>
        <v>0</v>
      </c>
      <c r="AK200" s="4585">
        <f>IF(AND(method_reg="Метод индексации",god&lt;&gt;first_year),_xlfn.SUMIFS(INDEX('Калькуляция (МИ корр)'!$AJ$25:$BC$606,,MATCH(AK$8,'Калькуляция (МИ корр)'!$AJ$8:$BC$8,0)),'Калькуляция (МИ корр)'!$F$25:$F$606,$F200,'Калькуляция (МИ корр)'!$G$25:$G$606,$G200),IF(method_reg="Метод экономически обоснованных расходов",_xlfn.SUMIFS('Калькуляция (МЭОР)'!$AK$25:$AK$367,'Калькуляция (МЭОР)'!$F$25:$F$367,$F200,'Калькуляция (МЭОР)'!$G$25:$G$367,$G200),IF(method_reg="Метод сравнения аналогов",_xlfn.SUMIFS('Калькуляция (МСА)'!$AF$25:$AF$103,'Калькуляция (МСА)'!$F$25:$F$103,$F200,'Калькуляция (МСА)'!$G$25:$G$103,$G200),_xlfn.SUMIFS(INDEX('Калькуляция (МИ)'!$AJ$25:$BC$603,,MATCH(AK$8,'Калькуляция (МИ)'!$AJ$8:$BC$8,0)),'Калькуляция (МИ)'!$F$25:$F$603,$F200,'Калькуляция (МИ)'!$G$25:$G$603,$G200))))</f>
        <v>0</v>
      </c>
      <c r="AL200" s="1104">
        <f>IF(AJ200=0,0,(AK200-AJ200)/AJ200*100)</f>
        <v>0</v>
      </c>
      <c r="AM200" s="4585">
        <f>IF(AND(method_reg="Метод индексации",god&lt;&gt;first_year),_xlfn.SUMIFS(INDEX('Калькуляция (МИ корр)'!$AJ$25:$BC$606,,MATCH(AM$8,'Калькуляция (МИ корр)'!$AJ$8:$BC$8,0)),'Калькуляция (МИ корр)'!$F$25:$F$606,$F200,'Калькуляция (МИ корр)'!$G$25:$G$606,$G200),IF(method_reg="Метод экономически обоснованных расходов",_xlfn.SUMIFS('Калькуляция (МЭОР)'!$AJ$25:$AJ$367,'Калькуляция (МЭОР)'!$F$25:$F$367,$F200,'Калькуляция (МЭОР)'!$G$25:$G$367,$G200),IF(method_reg="Метод сравнения аналогов",_xlfn.SUMIFS('Калькуляция (МСА)'!$AE$25:$AE$103,'Калькуляция (МСА)'!$F$25:$F$103,$F200,'Калькуляция (МСА)'!$G$25:$G$103,$G200),_xlfn.SUMIFS(INDEX('Калькуляция (МИ)'!$AJ$25:$BC$603,,MATCH(AM$8,'Калькуляция (МИ)'!$AJ$8:$BC$8,0)),'Калькуляция (МИ)'!$F$25:$F$603,$F200,'Калькуляция (МИ)'!$G$25:$G$603,$G200))))</f>
        <v>0</v>
      </c>
      <c r="AN200" s="4585">
        <f>IF(AND(method_reg="Метод индексации",god&lt;&gt;first_year),_xlfn.SUMIFS(INDEX('Калькуляция (МИ корр)'!$AJ$25:$BC$606,,MATCH(AN$8,'Калькуляция (МИ корр)'!$AJ$8:$BC$8,0)),'Калькуляция (МИ корр)'!$F$25:$F$606,$F200,'Калькуляция (МИ корр)'!$G$25:$G$606,$G200),IF(method_reg="Метод экономически обоснованных расходов",_xlfn.SUMIFS('Калькуляция (МЭОР)'!$AK$25:$AK$367,'Калькуляция (МЭОР)'!$F$25:$F$367,$F200,'Калькуляция (МЭОР)'!$G$25:$G$367,$G200),IF(method_reg="Метод сравнения аналогов",_xlfn.SUMIFS('Калькуляция (МСА)'!$AF$25:$AF$103,'Калькуляция (МСА)'!$F$25:$F$103,$F200,'Калькуляция (МСА)'!$G$25:$G$103,$G200),_xlfn.SUMIFS(INDEX('Калькуляция (МИ)'!$AJ$25:$BC$603,,MATCH(AN$8,'Калькуляция (МИ)'!$AJ$8:$BC$8,0)),'Калькуляция (МИ)'!$F$25:$F$603,$F200,'Калькуляция (МИ)'!$G$25:$G$603,$G200))))</f>
        <v>0</v>
      </c>
      <c r="AO200" s="1104">
        <f>IF(AM200=0,0,(AN200-AM200)/AM200*100)</f>
        <v>0</v>
      </c>
      <c r="AP200" s="4585">
        <f>IF(AND(method_reg="Метод индексации",god&lt;&gt;first_year),_xlfn.SUMIFS(INDEX('Калькуляция (МИ корр)'!$AJ$25:$BC$606,,MATCH(AP$8,'Калькуляция (МИ корр)'!$AJ$8:$BC$8,0)),'Калькуляция (МИ корр)'!$F$25:$F$606,$F200,'Калькуляция (МИ корр)'!$G$25:$G$606,$G200),IF(method_reg="Метод экономически обоснованных расходов",_xlfn.SUMIFS('Калькуляция (МЭОР)'!$AJ$25:$AJ$367,'Калькуляция (МЭОР)'!$F$25:$F$367,$F200,'Калькуляция (МЭОР)'!$G$25:$G$367,$G200),IF(method_reg="Метод сравнения аналогов",_xlfn.SUMIFS('Калькуляция (МСА)'!$AE$25:$AE$103,'Калькуляция (МСА)'!$F$25:$F$103,$F200,'Калькуляция (МСА)'!$G$25:$G$103,$G200),_xlfn.SUMIFS(INDEX('Калькуляция (МИ)'!$AJ$25:$BC$603,,MATCH(AP$8,'Калькуляция (МИ)'!$AJ$8:$BC$8,0)),'Калькуляция (МИ)'!$F$25:$F$603,$F200,'Калькуляция (МИ)'!$G$25:$G$603,$G200))))</f>
        <v>0</v>
      </c>
      <c r="AQ200" s="4585">
        <f>IF(AND(method_reg="Метод индексации",god&lt;&gt;first_year),_xlfn.SUMIFS(INDEX('Калькуляция (МИ корр)'!$AJ$25:$BC$606,,MATCH(AQ$8,'Калькуляция (МИ корр)'!$AJ$8:$BC$8,0)),'Калькуляция (МИ корр)'!$F$25:$F$606,$F200,'Калькуляция (МИ корр)'!$G$25:$G$606,$G200),IF(method_reg="Метод экономически обоснованных расходов",_xlfn.SUMIFS('Калькуляция (МЭОР)'!$AK$25:$AK$367,'Калькуляция (МЭОР)'!$F$25:$F$367,$F200,'Калькуляция (МЭОР)'!$G$25:$G$367,$G200),IF(method_reg="Метод сравнения аналогов",_xlfn.SUMIFS('Калькуляция (МСА)'!$AF$25:$AF$103,'Калькуляция (МСА)'!$F$25:$F$103,$F200,'Калькуляция (МСА)'!$G$25:$G$103,$G200),_xlfn.SUMIFS(INDEX('Калькуляция (МИ)'!$AJ$25:$BC$603,,MATCH(AQ$8,'Калькуляция (МИ)'!$AJ$8:$BC$8,0)),'Калькуляция (МИ)'!$F$25:$F$603,$F200,'Калькуляция (МИ)'!$G$25:$G$603,$G200))))</f>
        <v>0</v>
      </c>
      <c r="AR200" s="1104">
        <f>IF(AP200=0,0,(AQ200-AP200)/AP200*100)</f>
        <v>0</v>
      </c>
      <c r="AS200" s="4585">
        <f>IF(AND(method_reg="Метод индексации",god&lt;&gt;first_year),_xlfn.SUMIFS(INDEX('Калькуляция (МИ корр)'!$AJ$25:$BC$606,,MATCH(AS$8,'Калькуляция (МИ корр)'!$AJ$8:$BC$8,0)),'Калькуляция (МИ корр)'!$F$25:$F$606,$F200,'Калькуляция (МИ корр)'!$G$25:$G$606,$G200),IF(method_reg="Метод экономически обоснованных расходов",_xlfn.SUMIFS('Калькуляция (МЭОР)'!$AJ$25:$AJ$367,'Калькуляция (МЭОР)'!$F$25:$F$367,$F200,'Калькуляция (МЭОР)'!$G$25:$G$367,$G200),IF(method_reg="Метод сравнения аналогов",_xlfn.SUMIFS('Калькуляция (МСА)'!$AE$25:$AE$103,'Калькуляция (МСА)'!$F$25:$F$103,$F200,'Калькуляция (МСА)'!$G$25:$G$103,$G200),_xlfn.SUMIFS(INDEX('Калькуляция (МИ)'!$AJ$25:$BC$603,,MATCH(AS$8,'Калькуляция (МИ)'!$AJ$8:$BC$8,0)),'Калькуляция (МИ)'!$F$25:$F$603,$F200,'Калькуляция (МИ)'!$G$25:$G$603,$G200))))</f>
        <v>0</v>
      </c>
      <c r="AT200" s="4585">
        <f>IF(AND(method_reg="Метод индексации",god&lt;&gt;first_year),_xlfn.SUMIFS(INDEX('Калькуляция (МИ корр)'!$AJ$25:$BC$606,,MATCH(AT$8,'Калькуляция (МИ корр)'!$AJ$8:$BC$8,0)),'Калькуляция (МИ корр)'!$F$25:$F$606,$F200,'Калькуляция (МИ корр)'!$G$25:$G$606,$G200),IF(method_reg="Метод экономически обоснованных расходов",_xlfn.SUMIFS('Калькуляция (МЭОР)'!$AK$25:$AK$367,'Калькуляция (МЭОР)'!$F$25:$F$367,$F200,'Калькуляция (МЭОР)'!$G$25:$G$367,$G200),IF(method_reg="Метод сравнения аналогов",_xlfn.SUMIFS('Калькуляция (МСА)'!$AF$25:$AF$103,'Калькуляция (МСА)'!$F$25:$F$103,$F200,'Калькуляция (МСА)'!$G$25:$G$103,$G200),_xlfn.SUMIFS(INDEX('Калькуляция (МИ)'!$AJ$25:$BC$603,,MATCH(AT$8,'Калькуляция (МИ)'!$AJ$8:$BC$8,0)),'Калькуляция (МИ)'!$F$25:$F$603,$F200,'Калькуляция (МИ)'!$G$25:$G$603,$G200))))</f>
        <v>0</v>
      </c>
      <c r="AU200" s="1104">
        <f>IF(AS200=0,0,(AT200-AS200)/AS200*100)</f>
        <v>0</v>
      </c>
      <c r="AV200" s="4585">
        <f>IF(AND(method_reg="Метод индексации",god&lt;&gt;first_year),_xlfn.SUMIFS(INDEX('Калькуляция (МИ корр)'!$AJ$25:$BC$606,,MATCH(AV$8,'Калькуляция (МИ корр)'!$AJ$8:$BC$8,0)),'Калькуляция (МИ корр)'!$F$25:$F$606,$F200,'Калькуляция (МИ корр)'!$G$25:$G$606,$G200),IF(method_reg="Метод экономически обоснованных расходов",_xlfn.SUMIFS('Калькуляция (МЭОР)'!$AJ$25:$AJ$367,'Калькуляция (МЭОР)'!$F$25:$F$367,$F200,'Калькуляция (МЭОР)'!$G$25:$G$367,$G200),IF(method_reg="Метод сравнения аналогов",_xlfn.SUMIFS('Калькуляция (МСА)'!$AE$25:$AE$103,'Калькуляция (МСА)'!$F$25:$F$103,$F200,'Калькуляция (МСА)'!$G$25:$G$103,$G200),_xlfn.SUMIFS(INDEX('Калькуляция (МИ)'!$AJ$25:$BC$603,,MATCH(AV$8,'Калькуляция (МИ)'!$AJ$8:$BC$8,0)),'Калькуляция (МИ)'!$F$25:$F$603,$F200,'Калькуляция (МИ)'!$G$25:$G$603,$G200))))</f>
        <v>0</v>
      </c>
      <c r="AW200" s="4585">
        <f>IF(AND(method_reg="Метод индексации",god&lt;&gt;first_year),_xlfn.SUMIFS(INDEX('Калькуляция (МИ корр)'!$AJ$25:$BC$606,,MATCH(AW$8,'Калькуляция (МИ корр)'!$AJ$8:$BC$8,0)),'Калькуляция (МИ корр)'!$F$25:$F$606,$F200,'Калькуляция (МИ корр)'!$G$25:$G$606,$G200),IF(method_reg="Метод экономически обоснованных расходов",_xlfn.SUMIFS('Калькуляция (МЭОР)'!$AK$25:$AK$367,'Калькуляция (МЭОР)'!$F$25:$F$367,$F200,'Калькуляция (МЭОР)'!$G$25:$G$367,$G200),IF(method_reg="Метод сравнения аналогов",_xlfn.SUMIFS('Калькуляция (МСА)'!$AF$25:$AF$103,'Калькуляция (МСА)'!$F$25:$F$103,$F200,'Калькуляция (МСА)'!$G$25:$G$103,$G200),_xlfn.SUMIFS(INDEX('Калькуляция (МИ)'!$AJ$25:$BC$603,,MATCH(AW$8,'Калькуляция (МИ)'!$AJ$8:$BC$8,0)),'Калькуляция (МИ)'!$F$25:$F$603,$F200,'Калькуляция (МИ)'!$G$25:$G$603,$G200))))</f>
        <v>0</v>
      </c>
      <c r="AX200" s="1104">
        <f>IF(AV200=0,0,(AW200-AV200)/AV200*100)</f>
        <v>0</v>
      </c>
      <c r="AY200" s="4585">
        <f>IF(AND(method_reg="Метод индексации",god&lt;&gt;first_year),_xlfn.SUMIFS(INDEX('Калькуляция (МИ корр)'!$AJ$25:$BC$606,,MATCH(AY$8,'Калькуляция (МИ корр)'!$AJ$8:$BC$8,0)),'Калькуляция (МИ корр)'!$F$25:$F$606,$F200,'Калькуляция (МИ корр)'!$G$25:$G$606,$G200),IF(method_reg="Метод экономически обоснованных расходов",_xlfn.SUMIFS('Калькуляция (МЭОР)'!$AJ$25:$AJ$367,'Калькуляция (МЭОР)'!$F$25:$F$367,$F200,'Калькуляция (МЭОР)'!$G$25:$G$367,$G200),IF(method_reg="Метод сравнения аналогов",_xlfn.SUMIFS('Калькуляция (МСА)'!$AE$25:$AE$103,'Калькуляция (МСА)'!$F$25:$F$103,$F200,'Калькуляция (МСА)'!$G$25:$G$103,$G200),_xlfn.SUMIFS(INDEX('Калькуляция (МИ)'!$AJ$25:$BC$603,,MATCH(AY$8,'Калькуляция (МИ)'!$AJ$8:$BC$8,0)),'Калькуляция (МИ)'!$F$25:$F$603,$F200,'Калькуляция (МИ)'!$G$25:$G$603,$G200))))</f>
        <v>0</v>
      </c>
      <c r="AZ200" s="4585">
        <f>IF(AND(method_reg="Метод индексации",god&lt;&gt;first_year),_xlfn.SUMIFS(INDEX('Калькуляция (МИ корр)'!$AJ$25:$BC$606,,MATCH(AZ$8,'Калькуляция (МИ корр)'!$AJ$8:$BC$8,0)),'Калькуляция (МИ корр)'!$F$25:$F$606,$F200,'Калькуляция (МИ корр)'!$G$25:$G$606,$G200),IF(method_reg="Метод экономически обоснованных расходов",_xlfn.SUMIFS('Калькуляция (МЭОР)'!$AK$25:$AK$367,'Калькуляция (МЭОР)'!$F$25:$F$367,$F200,'Калькуляция (МЭОР)'!$G$25:$G$367,$G200),IF(method_reg="Метод сравнения аналогов",_xlfn.SUMIFS('Калькуляция (МСА)'!$AF$25:$AF$103,'Калькуляция (МСА)'!$F$25:$F$103,$F200,'Калькуляция (МСА)'!$G$25:$G$103,$G200),_xlfn.SUMIFS(INDEX('Калькуляция (МИ)'!$AJ$25:$BC$603,,MATCH(AZ$8,'Калькуляция (МИ)'!$AJ$8:$BC$8,0)),'Калькуляция (МИ)'!$F$25:$F$603,$F200,'Калькуляция (МИ)'!$G$25:$G$603,$G200))))</f>
        <v>0</v>
      </c>
      <c r="BA200" s="1104">
        <f>IF(AY200=0,0,(AZ200-AY200)/AY200*100)</f>
        <v>0</v>
      </c>
      <c r="BB200" s="4585">
        <f>IF(AND(method_reg="Метод индексации",god&lt;&gt;first_year),_xlfn.SUMIFS(INDEX('Калькуляция (МИ корр)'!$AJ$25:$BC$606,,MATCH(BB$8,'Калькуляция (МИ корр)'!$AJ$8:$BC$8,0)),'Калькуляция (МИ корр)'!$F$25:$F$606,$F200,'Калькуляция (МИ корр)'!$G$25:$G$606,$G200),IF(method_reg="Метод экономически обоснованных расходов",_xlfn.SUMIFS('Калькуляция (МЭОР)'!$AJ$25:$AJ$367,'Калькуляция (МЭОР)'!$F$25:$F$367,$F200,'Калькуляция (МЭОР)'!$G$25:$G$367,$G200),IF(method_reg="Метод сравнения аналогов",_xlfn.SUMIFS('Калькуляция (МСА)'!$AE$25:$AE$103,'Калькуляция (МСА)'!$F$25:$F$103,$F200,'Калькуляция (МСА)'!$G$25:$G$103,$G200),_xlfn.SUMIFS(INDEX('Калькуляция (МИ)'!$AJ$25:$BC$603,,MATCH(BB$8,'Калькуляция (МИ)'!$AJ$8:$BC$8,0)),'Калькуляция (МИ)'!$F$25:$F$603,$F200,'Калькуляция (МИ)'!$G$25:$G$603,$G200))))</f>
        <v>0</v>
      </c>
      <c r="BC200" s="4585">
        <f>IF(AND(method_reg="Метод индексации",god&lt;&gt;first_year),_xlfn.SUMIFS(INDEX('Калькуляция (МИ корр)'!$AJ$25:$BC$606,,MATCH(BC$8,'Калькуляция (МИ корр)'!$AJ$8:$BC$8,0)),'Калькуляция (МИ корр)'!$F$25:$F$606,$F200,'Калькуляция (МИ корр)'!$G$25:$G$606,$G200),IF(method_reg="Метод экономически обоснованных расходов",_xlfn.SUMIFS('Калькуляция (МЭОР)'!$AK$25:$AK$367,'Калькуляция (МЭОР)'!$F$25:$F$367,$F200,'Калькуляция (МЭОР)'!$G$25:$G$367,$G200),IF(method_reg="Метод сравнения аналогов",_xlfn.SUMIFS('Калькуляция (МСА)'!$AF$25:$AF$103,'Калькуляция (МСА)'!$F$25:$F$103,$F200,'Калькуляция (МСА)'!$G$25:$G$103,$G200),_xlfn.SUMIFS(INDEX('Калькуляция (МИ)'!$AJ$25:$BC$603,,MATCH(BC$8,'Калькуляция (МИ)'!$AJ$8:$BC$8,0)),'Калькуляция (МИ)'!$F$25:$F$603,$F200,'Калькуляция (МИ)'!$G$25:$G$603,$G200))))</f>
        <v>0</v>
      </c>
      <c r="BD200" s="1104">
        <f>IF(BB200=0,0,(BC200-BB200)/BB200*100)</f>
        <v>0</v>
      </c>
      <c r="BE200" s="4585">
        <f>IF(AND(method_reg="Метод индексации",god&lt;&gt;first_year),_xlfn.SUMIFS(INDEX('Калькуляция (МИ корр)'!$AJ$25:$BC$606,,MATCH(BE$8,'Калькуляция (МИ корр)'!$AJ$8:$BC$8,0)),'Калькуляция (МИ корр)'!$F$25:$F$606,$F200,'Калькуляция (МИ корр)'!$G$25:$G$606,$G200),IF(method_reg="Метод экономически обоснованных расходов",_xlfn.SUMIFS('Калькуляция (МЭОР)'!$AJ$25:$AJ$367,'Калькуляция (МЭОР)'!$F$25:$F$367,$F200,'Калькуляция (МЭОР)'!$G$25:$G$367,$G200),IF(method_reg="Метод сравнения аналогов",_xlfn.SUMIFS('Калькуляция (МСА)'!$AE$25:$AE$103,'Калькуляция (МСА)'!$F$25:$F$103,$F200,'Калькуляция (МСА)'!$G$25:$G$103,$G200),_xlfn.SUMIFS(INDEX('Калькуляция (МИ)'!$AJ$25:$BC$603,,MATCH(BE$8,'Калькуляция (МИ)'!$AJ$8:$BC$8,0)),'Калькуляция (МИ)'!$F$25:$F$603,$F200,'Калькуляция (МИ)'!$G$25:$G$603,$G200))))</f>
        <v>0</v>
      </c>
      <c r="BF200" s="4585">
        <f>IF(AND(method_reg="Метод индексации",god&lt;&gt;first_year),_xlfn.SUMIFS(INDEX('Калькуляция (МИ корр)'!$AJ$25:$BC$606,,MATCH(BF$8,'Калькуляция (МИ корр)'!$AJ$8:$BC$8,0)),'Калькуляция (МИ корр)'!$F$25:$F$606,$F200,'Калькуляция (МИ корр)'!$G$25:$G$606,$G200),IF(method_reg="Метод экономически обоснованных расходов",_xlfn.SUMIFS('Калькуляция (МЭОР)'!$AK$25:$AK$367,'Калькуляция (МЭОР)'!$F$25:$F$367,$F200,'Калькуляция (МЭОР)'!$G$25:$G$367,$G200),IF(method_reg="Метод сравнения аналогов",_xlfn.SUMIFS('Калькуляция (МСА)'!$AF$25:$AF$103,'Калькуляция (МСА)'!$F$25:$F$103,$F200,'Калькуляция (МСА)'!$G$25:$G$103,$G200),_xlfn.SUMIFS(INDEX('Калькуляция (МИ)'!$AJ$25:$BC$603,,MATCH(BF$8,'Калькуляция (МИ)'!$AJ$8:$BC$8,0)),'Калькуляция (МИ)'!$F$25:$F$603,$F200,'Калькуляция (МИ)'!$G$25:$G$603,$G200))))</f>
        <v>0</v>
      </c>
      <c r="BG200" s="1104">
        <f>IF(BE200=0,0,(BF200-BE200)/BE200*100)</f>
        <v>0</v>
      </c>
      <c r="BH200" s="4585"/>
      <c r="BI200" s="4585"/>
      <c r="BJ200" s="1104">
        <f>IF(BH200=0,0,(BI200-BH200)/BH200*100)</f>
        <v>0</v>
      </c>
      <c r="BK200" s="4585"/>
      <c r="BL200" s="4585"/>
      <c r="BM200" s="1104">
        <f>IF(BK200=0,0,(BL200-BK200)/BK200*100)</f>
        <v>0</v>
      </c>
      <c r="BN200" s="4585"/>
      <c r="BO200" s="4585"/>
      <c r="BP200" s="1104">
        <f>IF(BN200=0,0,(BO200-BN200)/BN200*100)</f>
        <v>0</v>
      </c>
      <c r="BQ200" s="4585"/>
      <c r="BR200" s="4585"/>
      <c r="BS200" s="1104">
        <f>IF(BQ200=0,0,(BR200-BQ200)/BQ200*100)</f>
        <v>0</v>
      </c>
      <c r="BT200" s="4585"/>
      <c r="BU200" s="4585"/>
      <c r="BV200" s="1104">
        <f>IF(BT200=0,0,(BU200-BT200)/BT200*100)</f>
        <v>0</v>
      </c>
      <c r="BW200" s="4585"/>
      <c r="BX200" s="4585"/>
      <c r="BY200" s="1104">
        <f>IF(BW200=0,0,(BX200-BW200)/BW200*100)</f>
        <v>0</v>
      </c>
      <c r="BZ200" s="4585"/>
      <c r="CA200" s="4585"/>
      <c r="CB200" s="1104">
        <f>IF(BZ200=0,0,(CA200-BZ200)/BZ200*100)</f>
        <v>0</v>
      </c>
      <c r="CC200" s="4585"/>
      <c r="CD200" s="4585"/>
      <c r="CE200" s="1104">
        <f>IF(CC200=0,0,(CD200-CC200)/CC200*100)</f>
        <v>0</v>
      </c>
      <c r="CF200" s="4585"/>
      <c r="CG200" s="4585"/>
      <c r="CH200" s="1104">
        <f>IF(CF200=0,0,(CG200-CF200)/CF200*100)</f>
        <v>0</v>
      </c>
      <c r="CI200" s="4585"/>
      <c r="CJ200" s="4585"/>
      <c r="CK200" s="1104">
        <f>IF(CI200=0,0,(CJ200-CI200)/CI200*100)</f>
        <v>0</v>
      </c>
      <c r="CL200" s="4585"/>
      <c r="CM200" s="4585"/>
      <c r="CN200" s="1104">
        <f>IF(CL200=0,0,(CM200-CL200)/CL200*100)</f>
        <v>0</v>
      </c>
      <c r="CO200" s="4585"/>
      <c r="CP200" s="4585"/>
      <c r="CQ200" s="1104">
        <f>IF(CO200=0,0,(CP200-CO200)/CO200*100)</f>
        <v>0</v>
      </c>
      <c r="CR200" s="4585"/>
      <c r="CS200" s="4585"/>
      <c r="CT200" s="1104">
        <f>IF(CR200=0,0,(CS200-CR200)/CR200*100)</f>
        <v>0</v>
      </c>
      <c r="CU200" s="4585"/>
      <c r="CV200" s="4585"/>
      <c r="CW200" s="1104">
        <f>IF(CU200=0,0,(CV200-CU200)/CU200*100)</f>
        <v>0</v>
      </c>
      <c r="CX200" s="4585"/>
      <c r="CY200" s="4585"/>
      <c r="CZ200" s="1104">
        <f>IF(CX200=0,0,(CY200-CX200)/CX200*100)</f>
        <v>0</v>
      </c>
      <c r="DA200" s="4585"/>
      <c r="DB200" s="4585"/>
      <c r="DC200" s="1104">
        <f>IF(DA200=0,0,(DB200-DA200)/DA200*100)</f>
        <v>0</v>
      </c>
      <c r="DD200" s="4585"/>
      <c r="DE200" s="4585"/>
      <c r="DF200" s="1104">
        <f>IF(DD200=0,0,(DE200-DD200)/DD200*100)</f>
        <v>0</v>
      </c>
      <c r="DG200" s="4585"/>
      <c r="DH200" s="4585"/>
      <c r="DI200" s="1104">
        <f>IF(DG200=0,0,(DH200-DG200)/DG200*100)</f>
        <v>0</v>
      </c>
      <c r="DJ200" s="4585"/>
      <c r="DK200" s="4585"/>
      <c r="DL200" s="1104">
        <f>IF(DJ200=0,0,(DK200-DJ200)/DJ200*100)</f>
        <v>0</v>
      </c>
      <c r="DM200" s="4585"/>
      <c r="DN200" s="4585"/>
      <c r="DO200" s="1104">
        <f>IF(DM200=0,0,(DN200-DM200)/DM200*100)</f>
        <v>0</v>
      </c>
      <c r="DP200" s="4585"/>
      <c r="DQ200" s="4585"/>
      <c r="DR200" s="1104">
        <f>IF(DP200=0,0,(DQ200-DP200)/DP200*100)</f>
        <v>0</v>
      </c>
      <c r="DS200" s="4585"/>
      <c r="DT200" s="4585"/>
      <c r="DU200" s="1104">
        <f>IF(DS200=0,0,(DT200-DS200)/DS200*100)</f>
        <v>0</v>
      </c>
      <c r="DV200" s="4585"/>
      <c r="DW200" s="4585"/>
      <c r="DX200" s="1104">
        <f>IF(DV200=0,0,(DW200-DV200)/DV200*100)</f>
        <v>0</v>
      </c>
      <c r="DY200" s="4585"/>
      <c r="DZ200" s="4585"/>
      <c r="EA200" s="1104">
        <f>IF(DY200=0,0,(DZ200-DY200)/DY200*100)</f>
        <v>0</v>
      </c>
      <c r="EB200" s="4585"/>
      <c r="EC200" s="4585"/>
      <c r="ED200" s="1104">
        <f>IF(EB200=0,0,(EC200-EB200)/EB200*100)</f>
        <v>0</v>
      </c>
      <c r="EE200" s="4585"/>
      <c r="EF200" s="4585"/>
      <c r="EG200" s="1104">
        <f>IF(EE200=0,0,(EF200-EE200)/EE200*100)</f>
        <v>0</v>
      </c>
      <c r="EH200" s="4585"/>
      <c r="EI200" s="4585"/>
      <c r="EJ200" s="1104">
        <f>IF(EH200=0,0,(EI200-EH200)/EH200*100)</f>
        <v>0</v>
      </c>
      <c r="EK200" s="4585"/>
      <c r="EL200" s="4585"/>
      <c r="EM200" s="1104">
        <f>IF(EK200=0,0,(EL200-EK200)/EK200*100)</f>
        <v>0</v>
      </c>
      <c r="EN200" s="4585"/>
      <c r="EO200" s="4585"/>
      <c r="EP200" s="1104">
        <f>IF(EN200=0,0,(EO200-EN200)/EN200*100)</f>
        <v>0</v>
      </c>
      <c r="EQ200" s="4585"/>
      <c r="ER200" s="4585"/>
      <c r="ES200" s="1104">
        <f>IF(EQ200=0,0,(ER200-EQ200)/EQ200*100)</f>
        <v>0</v>
      </c>
      <c r="ET200" s="4585"/>
      <c r="EU200" s="4585"/>
      <c r="EV200" s="1104">
        <f>IF(ET200=0,0,(EU200-ET200)/ET200*100)</f>
        <v>0</v>
      </c>
      <c r="EW200" s="4585"/>
      <c r="EX200" s="4585"/>
      <c r="EY200" s="1104">
        <f>IF(EW200=0,0,(EX200-EW200)/EW200*100)</f>
        <v>0</v>
      </c>
      <c r="EZ200" s="4585"/>
      <c r="FA200" s="4585"/>
      <c r="FB200" s="1104">
        <f>IF(EZ200=0,0,(FA200-EZ200)/EZ200*100)</f>
        <v>0</v>
      </c>
      <c r="FC200" s="4585"/>
      <c r="FD200" s="4585"/>
      <c r="FE200" s="1104">
        <f>IF(FC200=0,0,(FD200-FC200)/FC200*100)</f>
        <v>0</v>
      </c>
      <c r="FF200" s="4585"/>
      <c r="FG200" s="4585"/>
      <c r="FH200" s="1104">
        <f>IF(FF200=0,0,(FG200-FF200)/FF200*100)</f>
        <v>0</v>
      </c>
      <c r="FI200" s="4585"/>
      <c r="FJ200" s="4585"/>
      <c r="FK200" s="1104">
        <f>IF(FI200=0,0,(FJ200-FI200)/FI200*100)</f>
        <v>0</v>
      </c>
      <c r="FL200" s="4585"/>
      <c r="FM200" s="4585"/>
      <c r="FN200" s="1104">
        <f>IF(FL200=0,0,(FM200-FL200)/FL200*100)</f>
        <v>0</v>
      </c>
      <c r="FO200" s="4585"/>
      <c r="FP200" s="4585"/>
      <c r="FQ200" s="1104">
        <f>IF(FO200=0,0,(FP200-FO200)/FO200*100)</f>
        <v>0</v>
      </c>
      <c r="FR200" s="4585"/>
      <c r="FS200" s="4585"/>
      <c r="FT200" s="1104">
        <f>IF(FR200=0,0,(FS200-FR200)/FR200*100)</f>
        <v>0</v>
      </c>
      <c r="FU200" s="4585"/>
      <c r="FV200" s="4585"/>
      <c r="FW200" s="1104">
        <f>IF(FU200=0,0,(FV200-FU200)/FU200*100)</f>
        <v>0</v>
      </c>
      <c r="FX200" s="1328"/>
      <c r="FY200" s="1328"/>
      <c r="FZ200" s="1063" t="s">
        <v>1900</v>
      </c>
      <c r="GA200" s="1330"/>
      <c r="GB200" s="1330"/>
      <c r="GC200" s="1329"/>
      <c r="GD200" s="1329"/>
    </row>
    <row s="1656" customFormat="1" customHeight="1" ht="24" hidden="1">
      <c r="A201" s="496"/>
      <c r="B201" s="932" cm="1" t="str">
        <f t="array" ref="B201:B201">B200</f>
        <v>false</v>
      </c>
      <c r="C201" s="496"/>
      <c r="D201" s="496"/>
      <c r="E201" s="847">
        <v>24.75</v>
      </c>
      <c r="F201" s="50" cm="1" t="str">
        <f t="array" ref="F201:F201">OFFSET(E201,-1,1)</f>
        <v>2</v>
      </c>
      <c r="G201" s="496"/>
      <c r="H201" s="496" t="s">
        <v>1901</v>
      </c>
      <c r="I201" s="496" t="s">
        <v>1860</v>
      </c>
      <c r="J201" s="496"/>
      <c r="K201" s="496"/>
      <c r="L201" s="496"/>
      <c r="M201" s="496"/>
      <c r="N201" s="496"/>
      <c r="O201" s="496"/>
      <c r="P201" s="496"/>
      <c r="Q201" s="496"/>
      <c r="R201" s="496"/>
      <c r="S201" s="496"/>
      <c r="T201" s="468" cm="1" t="str">
        <f t="array" ref="T201:T201">T200</f>
        <v>true</v>
      </c>
      <c r="U201" s="496"/>
      <c r="V201" s="496"/>
      <c r="W201" s="496"/>
      <c r="X201" s="1559"/>
      <c r="Y201" s="496"/>
      <c r="Z201" s="1528"/>
      <c r="AA201" s="496"/>
      <c r="AB201" s="911" t="str">
        <f>"ставка платы за содержание системы "&amp;IF(Q179="Водоснабжение","холодного водоснабжения","водоотведения")</f>
        <v>ставка платы за содержание системы водоотведения</v>
      </c>
      <c r="AC201" s="871" t="s">
        <v>1902</v>
      </c>
      <c r="AD201" s="4591"/>
      <c r="AE201" s="4591"/>
      <c r="AF201" s="1102">
        <f>IF(AD201=0,0,(AE201-AD201)/AD201*100)</f>
        <v>0</v>
      </c>
      <c r="AG201" s="4591"/>
      <c r="AH201" s="4591"/>
      <c r="AI201" s="1102">
        <f>IF(AG201=0,0,(AH201-AG201)/AG201*100)</f>
        <v>0</v>
      </c>
      <c r="AJ201" s="4591"/>
      <c r="AK201" s="4591"/>
      <c r="AL201" s="1102">
        <f>IF(AJ201=0,0,(AK201-AJ201)/AJ201*100)</f>
        <v>0</v>
      </c>
      <c r="AM201" s="4591"/>
      <c r="AN201" s="4591"/>
      <c r="AO201" s="1102">
        <f>IF(AM201=0,0,(AN201-AM201)/AM201*100)</f>
        <v>0</v>
      </c>
      <c r="AP201" s="4591"/>
      <c r="AQ201" s="4591"/>
      <c r="AR201" s="1102">
        <f>IF(AP201=0,0,(AQ201-AP201)/AP201*100)</f>
        <v>0</v>
      </c>
      <c r="AS201" s="4591"/>
      <c r="AT201" s="4591"/>
      <c r="AU201" s="1102">
        <f>IF(AS201=0,0,(AT201-AS201)/AS201*100)</f>
        <v>0</v>
      </c>
      <c r="AV201" s="4591"/>
      <c r="AW201" s="4591"/>
      <c r="AX201" s="1102">
        <f>IF(AV201=0,0,(AW201-AV201)/AV201*100)</f>
        <v>0</v>
      </c>
      <c r="AY201" s="4591"/>
      <c r="AZ201" s="4591"/>
      <c r="BA201" s="1102">
        <f>IF(AY201=0,0,(AZ201-AY201)/AY201*100)</f>
        <v>0</v>
      </c>
      <c r="BB201" s="4591"/>
      <c r="BC201" s="4591"/>
      <c r="BD201" s="1102">
        <f>IF(BB201=0,0,(BC201-BB201)/BB201*100)</f>
        <v>0</v>
      </c>
      <c r="BE201" s="4591"/>
      <c r="BF201" s="4591"/>
      <c r="BG201" s="1102">
        <f>IF(BE201=0,0,(BF201-BE201)/BE201*100)</f>
        <v>0</v>
      </c>
      <c r="BH201" s="4591"/>
      <c r="BI201" s="4591"/>
      <c r="BJ201" s="1102">
        <f>IF(BH201=0,0,(BI201-BH201)/BH201*100)</f>
        <v>0</v>
      </c>
      <c r="BK201" s="4591"/>
      <c r="BL201" s="4591"/>
      <c r="BM201" s="1102">
        <f>IF(BK201=0,0,(BL201-BK201)/BK201*100)</f>
        <v>0</v>
      </c>
      <c r="BN201" s="4591"/>
      <c r="BO201" s="4591"/>
      <c r="BP201" s="1102">
        <f>IF(BN201=0,0,(BO201-BN201)/BN201*100)</f>
        <v>0</v>
      </c>
      <c r="BQ201" s="4591"/>
      <c r="BR201" s="4591"/>
      <c r="BS201" s="1102">
        <f>IF(BQ201=0,0,(BR201-BQ201)/BQ201*100)</f>
        <v>0</v>
      </c>
      <c r="BT201" s="4591"/>
      <c r="BU201" s="4591"/>
      <c r="BV201" s="1102">
        <f>IF(BT201=0,0,(BU201-BT201)/BT201*100)</f>
        <v>0</v>
      </c>
      <c r="BW201" s="4591"/>
      <c r="BX201" s="4591"/>
      <c r="BY201" s="1102">
        <f>IF(BW201=0,0,(BX201-BW201)/BW201*100)</f>
        <v>0</v>
      </c>
      <c r="BZ201" s="4591"/>
      <c r="CA201" s="4591"/>
      <c r="CB201" s="1102">
        <f>IF(BZ201=0,0,(CA201-BZ201)/BZ201*100)</f>
        <v>0</v>
      </c>
      <c r="CC201" s="4591"/>
      <c r="CD201" s="4591"/>
      <c r="CE201" s="1102">
        <f>IF(CC201=0,0,(CD201-CC201)/CC201*100)</f>
        <v>0</v>
      </c>
      <c r="CF201" s="4591"/>
      <c r="CG201" s="4591"/>
      <c r="CH201" s="1102">
        <f>IF(CF201=0,0,(CG201-CF201)/CF201*100)</f>
        <v>0</v>
      </c>
      <c r="CI201" s="4591"/>
      <c r="CJ201" s="4591"/>
      <c r="CK201" s="1102">
        <f>IF(CI201=0,0,(CJ201-CI201)/CI201*100)</f>
        <v>0</v>
      </c>
      <c r="CL201" s="4591"/>
      <c r="CM201" s="4591"/>
      <c r="CN201" s="1102">
        <f>IF(CL201=0,0,(CM201-CL201)/CL201*100)</f>
        <v>0</v>
      </c>
      <c r="CO201" s="4591"/>
      <c r="CP201" s="4591"/>
      <c r="CQ201" s="1102">
        <f>IF(CO201=0,0,(CP201-CO201)/CO201*100)</f>
        <v>0</v>
      </c>
      <c r="CR201" s="4591"/>
      <c r="CS201" s="4591"/>
      <c r="CT201" s="1102">
        <f>IF(CR201=0,0,(CS201-CR201)/CR201*100)</f>
        <v>0</v>
      </c>
      <c r="CU201" s="4591"/>
      <c r="CV201" s="4591"/>
      <c r="CW201" s="1102">
        <f>IF(CU201=0,0,(CV201-CU201)/CU201*100)</f>
        <v>0</v>
      </c>
      <c r="CX201" s="4591"/>
      <c r="CY201" s="4591"/>
      <c r="CZ201" s="1102">
        <f>IF(CX201=0,0,(CY201-CX201)/CX201*100)</f>
        <v>0</v>
      </c>
      <c r="DA201" s="4591"/>
      <c r="DB201" s="4591"/>
      <c r="DC201" s="1102">
        <f>IF(DA201=0,0,(DB201-DA201)/DA201*100)</f>
        <v>0</v>
      </c>
      <c r="DD201" s="4591"/>
      <c r="DE201" s="4591"/>
      <c r="DF201" s="1102">
        <f>IF(DD201=0,0,(DE201-DD201)/DD201*100)</f>
        <v>0</v>
      </c>
      <c r="DG201" s="4591"/>
      <c r="DH201" s="4591"/>
      <c r="DI201" s="1102">
        <f>IF(DG201=0,0,(DH201-DG201)/DG201*100)</f>
        <v>0</v>
      </c>
      <c r="DJ201" s="4591"/>
      <c r="DK201" s="4591"/>
      <c r="DL201" s="1102">
        <f>IF(DJ201=0,0,(DK201-DJ201)/DJ201*100)</f>
        <v>0</v>
      </c>
      <c r="DM201" s="4591"/>
      <c r="DN201" s="4591"/>
      <c r="DO201" s="1102">
        <f>IF(DM201=0,0,(DN201-DM201)/DM201*100)</f>
        <v>0</v>
      </c>
      <c r="DP201" s="4591"/>
      <c r="DQ201" s="4591"/>
      <c r="DR201" s="1102">
        <f>IF(DP201=0,0,(DQ201-DP201)/DP201*100)</f>
        <v>0</v>
      </c>
      <c r="DS201" s="4591"/>
      <c r="DT201" s="4591"/>
      <c r="DU201" s="1102">
        <f>IF(DS201=0,0,(DT201-DS201)/DS201*100)</f>
        <v>0</v>
      </c>
      <c r="DV201" s="4591"/>
      <c r="DW201" s="4591"/>
      <c r="DX201" s="1102">
        <f>IF(DV201=0,0,(DW201-DV201)/DV201*100)</f>
        <v>0</v>
      </c>
      <c r="DY201" s="4591"/>
      <c r="DZ201" s="4591"/>
      <c r="EA201" s="1102">
        <f>IF(DY201=0,0,(DZ201-DY201)/DY201*100)</f>
        <v>0</v>
      </c>
      <c r="EB201" s="4591"/>
      <c r="EC201" s="4591"/>
      <c r="ED201" s="1102">
        <f>IF(EB201=0,0,(EC201-EB201)/EB201*100)</f>
        <v>0</v>
      </c>
      <c r="EE201" s="4591"/>
      <c r="EF201" s="4591"/>
      <c r="EG201" s="1102">
        <f>IF(EE201=0,0,(EF201-EE201)/EE201*100)</f>
        <v>0</v>
      </c>
      <c r="EH201" s="4591"/>
      <c r="EI201" s="4591"/>
      <c r="EJ201" s="1102">
        <f>IF(EH201=0,0,(EI201-EH201)/EH201*100)</f>
        <v>0</v>
      </c>
      <c r="EK201" s="4591"/>
      <c r="EL201" s="4591"/>
      <c r="EM201" s="1102">
        <f>IF(EK201=0,0,(EL201-EK201)/EK201*100)</f>
        <v>0</v>
      </c>
      <c r="EN201" s="4591"/>
      <c r="EO201" s="4591"/>
      <c r="EP201" s="1102">
        <f>IF(EN201=0,0,(EO201-EN201)/EN201*100)</f>
        <v>0</v>
      </c>
      <c r="EQ201" s="4591"/>
      <c r="ER201" s="4591"/>
      <c r="ES201" s="1102">
        <f>IF(EQ201=0,0,(ER201-EQ201)/EQ201*100)</f>
        <v>0</v>
      </c>
      <c r="ET201" s="4591"/>
      <c r="EU201" s="4591"/>
      <c r="EV201" s="1102">
        <f>IF(ET201=0,0,(EU201-ET201)/ET201*100)</f>
        <v>0</v>
      </c>
      <c r="EW201" s="4591"/>
      <c r="EX201" s="4591"/>
      <c r="EY201" s="1102">
        <f>IF(EW201=0,0,(EX201-EW201)/EW201*100)</f>
        <v>0</v>
      </c>
      <c r="EZ201" s="4591"/>
      <c r="FA201" s="4591"/>
      <c r="FB201" s="1102">
        <f>IF(EZ201=0,0,(FA201-EZ201)/EZ201*100)</f>
        <v>0</v>
      </c>
      <c r="FC201" s="4591"/>
      <c r="FD201" s="4591"/>
      <c r="FE201" s="1102">
        <f>IF(FC201=0,0,(FD201-FC201)/FC201*100)</f>
        <v>0</v>
      </c>
      <c r="FF201" s="4591"/>
      <c r="FG201" s="4591"/>
      <c r="FH201" s="1102">
        <f>IF(FF201=0,0,(FG201-FF201)/FF201*100)</f>
        <v>0</v>
      </c>
      <c r="FI201" s="4591"/>
      <c r="FJ201" s="4591"/>
      <c r="FK201" s="1102">
        <f>IF(FI201=0,0,(FJ201-FI201)/FI201*100)</f>
        <v>0</v>
      </c>
      <c r="FL201" s="4591"/>
      <c r="FM201" s="4591"/>
      <c r="FN201" s="1102">
        <f>IF(FL201=0,0,(FM201-FL201)/FL201*100)</f>
        <v>0</v>
      </c>
      <c r="FO201" s="4591"/>
      <c r="FP201" s="4591"/>
      <c r="FQ201" s="1102">
        <f>IF(FO201=0,0,(FP201-FO201)/FO201*100)</f>
        <v>0</v>
      </c>
      <c r="FR201" s="4591"/>
      <c r="FS201" s="4591"/>
      <c r="FT201" s="1102">
        <f>IF(FR201=0,0,(FS201-FR201)/FR201*100)</f>
        <v>0</v>
      </c>
      <c r="FU201" s="4591"/>
      <c r="FV201" s="4591"/>
      <c r="FW201" s="1102">
        <f>IF(FU201=0,0,(FV201-FU201)/FU201*100)</f>
        <v>0</v>
      </c>
      <c r="FX201" s="1328"/>
      <c r="FY201" s="1328"/>
      <c r="FZ201" s="1063" t="s">
        <v>1903</v>
      </c>
      <c r="GA201" s="1330"/>
      <c r="GB201" s="1330"/>
      <c r="GC201" s="1329"/>
      <c r="GD201" s="1329"/>
    </row>
    <row s="1656" customFormat="1" customHeight="1" ht="14.25" hidden="1">
      <c r="A202" s="496"/>
      <c r="B202" s="932" cm="1" t="str">
        <f t="array" ref="B202:B202">B201</f>
        <v>false</v>
      </c>
      <c r="C202" s="496"/>
      <c r="D202" s="496"/>
      <c r="E202" s="847">
        <v>15</v>
      </c>
      <c r="F202" s="50" cm="1" t="str">
        <f t="array" ref="F202:F202">OFFSET(E202,-1,1)</f>
        <v>2</v>
      </c>
      <c r="G202" s="496"/>
      <c r="H202" s="496" t="s">
        <v>1904</v>
      </c>
      <c r="I202" s="496" t="s">
        <v>1860</v>
      </c>
      <c r="J202" s="496"/>
      <c r="K202" s="496"/>
      <c r="L202" s="496"/>
      <c r="M202" s="496"/>
      <c r="N202" s="496"/>
      <c r="O202" s="496"/>
      <c r="P202" s="496"/>
      <c r="Q202" s="496"/>
      <c r="R202" s="496"/>
      <c r="S202" s="496"/>
      <c r="T202" s="468" cm="1" t="str">
        <f t="array" ref="T202:T202">T201</f>
        <v>true</v>
      </c>
      <c r="U202" s="496"/>
      <c r="V202" s="496"/>
      <c r="W202" s="496"/>
      <c r="X202" s="1559"/>
      <c r="Y202" s="496"/>
      <c r="Z202" s="1528"/>
      <c r="AA202" s="496"/>
      <c r="AB202" s="911" t="s">
        <v>1905</v>
      </c>
      <c r="AC202" s="871" t="s">
        <v>1906</v>
      </c>
      <c r="AD202" s="4591"/>
      <c r="AE202" s="4591"/>
      <c r="AF202" s="1102">
        <f>IF(AD202=0,0,(AE202-AD202)/AD202*100)</f>
        <v>0</v>
      </c>
      <c r="AG202" s="4591"/>
      <c r="AH202" s="4591"/>
      <c r="AI202" s="1102">
        <f>IF(AG202=0,0,(AH202-AG202)/AG202*100)</f>
        <v>0</v>
      </c>
      <c r="AJ202" s="4591"/>
      <c r="AK202" s="4591"/>
      <c r="AL202" s="1102">
        <f>IF(AJ202=0,0,(AK202-AJ202)/AJ202*100)</f>
        <v>0</v>
      </c>
      <c r="AM202" s="4591"/>
      <c r="AN202" s="4591"/>
      <c r="AO202" s="1102">
        <f>IF(AM202=0,0,(AN202-AM202)/AM202*100)</f>
        <v>0</v>
      </c>
      <c r="AP202" s="4591"/>
      <c r="AQ202" s="4591"/>
      <c r="AR202" s="1102">
        <f>IF(AP202=0,0,(AQ202-AP202)/AP202*100)</f>
        <v>0</v>
      </c>
      <c r="AS202" s="4591"/>
      <c r="AT202" s="4591"/>
      <c r="AU202" s="1102">
        <f>IF(AS202=0,0,(AT202-AS202)/AS202*100)</f>
        <v>0</v>
      </c>
      <c r="AV202" s="4591"/>
      <c r="AW202" s="4591"/>
      <c r="AX202" s="1102">
        <f>IF(AV202=0,0,(AW202-AV202)/AV202*100)</f>
        <v>0</v>
      </c>
      <c r="AY202" s="4591"/>
      <c r="AZ202" s="4591"/>
      <c r="BA202" s="1102">
        <f>IF(AY202=0,0,(AZ202-AY202)/AY202*100)</f>
        <v>0</v>
      </c>
      <c r="BB202" s="4591"/>
      <c r="BC202" s="4591"/>
      <c r="BD202" s="1102">
        <f>IF(BB202=0,0,(BC202-BB202)/BB202*100)</f>
        <v>0</v>
      </c>
      <c r="BE202" s="4591"/>
      <c r="BF202" s="4591"/>
      <c r="BG202" s="1102">
        <f>IF(BE202=0,0,(BF202-BE202)/BE202*100)</f>
        <v>0</v>
      </c>
      <c r="BH202" s="4591"/>
      <c r="BI202" s="4591"/>
      <c r="BJ202" s="1102">
        <f>IF(BH202=0,0,(BI202-BH202)/BH202*100)</f>
        <v>0</v>
      </c>
      <c r="BK202" s="4591"/>
      <c r="BL202" s="4591"/>
      <c r="BM202" s="1102">
        <f>IF(BK202=0,0,(BL202-BK202)/BK202*100)</f>
        <v>0</v>
      </c>
      <c r="BN202" s="4591"/>
      <c r="BO202" s="4591"/>
      <c r="BP202" s="1102">
        <f>IF(BN202=0,0,(BO202-BN202)/BN202*100)</f>
        <v>0</v>
      </c>
      <c r="BQ202" s="4591"/>
      <c r="BR202" s="4591"/>
      <c r="BS202" s="1102">
        <f>IF(BQ202=0,0,(BR202-BQ202)/BQ202*100)</f>
        <v>0</v>
      </c>
      <c r="BT202" s="4591"/>
      <c r="BU202" s="4591"/>
      <c r="BV202" s="1102">
        <f>IF(BT202=0,0,(BU202-BT202)/BT202*100)</f>
        <v>0</v>
      </c>
      <c r="BW202" s="4591"/>
      <c r="BX202" s="4591"/>
      <c r="BY202" s="1102">
        <f>IF(BW202=0,0,(BX202-BW202)/BW202*100)</f>
        <v>0</v>
      </c>
      <c r="BZ202" s="4591"/>
      <c r="CA202" s="4591"/>
      <c r="CB202" s="1102">
        <f>IF(BZ202=0,0,(CA202-BZ202)/BZ202*100)</f>
        <v>0</v>
      </c>
      <c r="CC202" s="4591"/>
      <c r="CD202" s="4591"/>
      <c r="CE202" s="1102">
        <f>IF(CC202=0,0,(CD202-CC202)/CC202*100)</f>
        <v>0</v>
      </c>
      <c r="CF202" s="4591"/>
      <c r="CG202" s="4591"/>
      <c r="CH202" s="1102">
        <f>IF(CF202=0,0,(CG202-CF202)/CF202*100)</f>
        <v>0</v>
      </c>
      <c r="CI202" s="4591"/>
      <c r="CJ202" s="4591"/>
      <c r="CK202" s="1102">
        <f>IF(CI202=0,0,(CJ202-CI202)/CI202*100)</f>
        <v>0</v>
      </c>
      <c r="CL202" s="4591"/>
      <c r="CM202" s="4591"/>
      <c r="CN202" s="1102">
        <f>IF(CL202=0,0,(CM202-CL202)/CL202*100)</f>
        <v>0</v>
      </c>
      <c r="CO202" s="4591"/>
      <c r="CP202" s="4591"/>
      <c r="CQ202" s="1102">
        <f>IF(CO202=0,0,(CP202-CO202)/CO202*100)</f>
        <v>0</v>
      </c>
      <c r="CR202" s="4591"/>
      <c r="CS202" s="4591"/>
      <c r="CT202" s="1102">
        <f>IF(CR202=0,0,(CS202-CR202)/CR202*100)</f>
        <v>0</v>
      </c>
      <c r="CU202" s="4591"/>
      <c r="CV202" s="4591"/>
      <c r="CW202" s="1102">
        <f>IF(CU202=0,0,(CV202-CU202)/CU202*100)</f>
        <v>0</v>
      </c>
      <c r="CX202" s="4591"/>
      <c r="CY202" s="4591"/>
      <c r="CZ202" s="1102">
        <f>IF(CX202=0,0,(CY202-CX202)/CX202*100)</f>
        <v>0</v>
      </c>
      <c r="DA202" s="4591"/>
      <c r="DB202" s="4591"/>
      <c r="DC202" s="1102">
        <f>IF(DA202=0,0,(DB202-DA202)/DA202*100)</f>
        <v>0</v>
      </c>
      <c r="DD202" s="4591"/>
      <c r="DE202" s="4591"/>
      <c r="DF202" s="1102">
        <f>IF(DD202=0,0,(DE202-DD202)/DD202*100)</f>
        <v>0</v>
      </c>
      <c r="DG202" s="4591"/>
      <c r="DH202" s="4591"/>
      <c r="DI202" s="1102">
        <f>IF(DG202=0,0,(DH202-DG202)/DG202*100)</f>
        <v>0</v>
      </c>
      <c r="DJ202" s="4591"/>
      <c r="DK202" s="4591"/>
      <c r="DL202" s="1102">
        <f>IF(DJ202=0,0,(DK202-DJ202)/DJ202*100)</f>
        <v>0</v>
      </c>
      <c r="DM202" s="4591"/>
      <c r="DN202" s="4591"/>
      <c r="DO202" s="1102">
        <f>IF(DM202=0,0,(DN202-DM202)/DM202*100)</f>
        <v>0</v>
      </c>
      <c r="DP202" s="4591"/>
      <c r="DQ202" s="4591"/>
      <c r="DR202" s="1102">
        <f>IF(DP202=0,0,(DQ202-DP202)/DP202*100)</f>
        <v>0</v>
      </c>
      <c r="DS202" s="4591"/>
      <c r="DT202" s="4591"/>
      <c r="DU202" s="1102">
        <f>IF(DS202=0,0,(DT202-DS202)/DS202*100)</f>
        <v>0</v>
      </c>
      <c r="DV202" s="4591"/>
      <c r="DW202" s="4591"/>
      <c r="DX202" s="1102">
        <f>IF(DV202=0,0,(DW202-DV202)/DV202*100)</f>
        <v>0</v>
      </c>
      <c r="DY202" s="4591"/>
      <c r="DZ202" s="4591"/>
      <c r="EA202" s="1102">
        <f>IF(DY202=0,0,(DZ202-DY202)/DY202*100)</f>
        <v>0</v>
      </c>
      <c r="EB202" s="4591"/>
      <c r="EC202" s="4591"/>
      <c r="ED202" s="1102">
        <f>IF(EB202=0,0,(EC202-EB202)/EB202*100)</f>
        <v>0</v>
      </c>
      <c r="EE202" s="4591"/>
      <c r="EF202" s="4591"/>
      <c r="EG202" s="1102">
        <f>IF(EE202=0,0,(EF202-EE202)/EE202*100)</f>
        <v>0</v>
      </c>
      <c r="EH202" s="4591"/>
      <c r="EI202" s="4591"/>
      <c r="EJ202" s="1102">
        <f>IF(EH202=0,0,(EI202-EH202)/EH202*100)</f>
        <v>0</v>
      </c>
      <c r="EK202" s="4591"/>
      <c r="EL202" s="4591"/>
      <c r="EM202" s="1102">
        <f>IF(EK202=0,0,(EL202-EK202)/EK202*100)</f>
        <v>0</v>
      </c>
      <c r="EN202" s="4591"/>
      <c r="EO202" s="4591"/>
      <c r="EP202" s="1102">
        <f>IF(EN202=0,0,(EO202-EN202)/EN202*100)</f>
        <v>0</v>
      </c>
      <c r="EQ202" s="4591"/>
      <c r="ER202" s="4591"/>
      <c r="ES202" s="1102">
        <f>IF(EQ202=0,0,(ER202-EQ202)/EQ202*100)</f>
        <v>0</v>
      </c>
      <c r="ET202" s="4591"/>
      <c r="EU202" s="4591"/>
      <c r="EV202" s="1102">
        <f>IF(ET202=0,0,(EU202-ET202)/ET202*100)</f>
        <v>0</v>
      </c>
      <c r="EW202" s="4591"/>
      <c r="EX202" s="4591"/>
      <c r="EY202" s="1102">
        <f>IF(EW202=0,0,(EX202-EW202)/EW202*100)</f>
        <v>0</v>
      </c>
      <c r="EZ202" s="4591"/>
      <c r="FA202" s="4591"/>
      <c r="FB202" s="1102">
        <f>IF(EZ202=0,0,(FA202-EZ202)/EZ202*100)</f>
        <v>0</v>
      </c>
      <c r="FC202" s="4591"/>
      <c r="FD202" s="4591"/>
      <c r="FE202" s="1102">
        <f>IF(FC202=0,0,(FD202-FC202)/FC202*100)</f>
        <v>0</v>
      </c>
      <c r="FF202" s="4591"/>
      <c r="FG202" s="4591"/>
      <c r="FH202" s="1102">
        <f>IF(FF202=0,0,(FG202-FF202)/FF202*100)</f>
        <v>0</v>
      </c>
      <c r="FI202" s="4591"/>
      <c r="FJ202" s="4591"/>
      <c r="FK202" s="1102">
        <f>IF(FI202=0,0,(FJ202-FI202)/FI202*100)</f>
        <v>0</v>
      </c>
      <c r="FL202" s="4591"/>
      <c r="FM202" s="4591"/>
      <c r="FN202" s="1102">
        <f>IF(FL202=0,0,(FM202-FL202)/FL202*100)</f>
        <v>0</v>
      </c>
      <c r="FO202" s="4591"/>
      <c r="FP202" s="4591"/>
      <c r="FQ202" s="1102">
        <f>IF(FO202=0,0,(FP202-FO202)/FO202*100)</f>
        <v>0</v>
      </c>
      <c r="FR202" s="4591"/>
      <c r="FS202" s="4591"/>
      <c r="FT202" s="1102">
        <f>IF(FR202=0,0,(FS202-FR202)/FR202*100)</f>
        <v>0</v>
      </c>
      <c r="FU202" s="4591"/>
      <c r="FV202" s="4591"/>
      <c r="FW202" s="1102">
        <f>IF(FU202=0,0,(FV202-FU202)/FU202*100)</f>
        <v>0</v>
      </c>
      <c r="FX202" s="1328"/>
      <c r="FY202" s="1328"/>
      <c r="FZ202" s="1063" t="s">
        <v>1907</v>
      </c>
      <c r="GA202" s="1330"/>
      <c r="GB202" s="1330"/>
      <c r="GC202" s="1329"/>
      <c r="GD202" s="1329"/>
    </row>
    <row s="1656" customFormat="1" customHeight="1" ht="23.25" hidden="1">
      <c r="A203" s="496"/>
      <c r="B203" s="932" cm="1" t="str">
        <f t="array" ref="B203:B203">B202</f>
        <v>false</v>
      </c>
      <c r="C203" s="496"/>
      <c r="D203" s="496"/>
      <c r="E203" s="847">
        <v>24.5</v>
      </c>
      <c r="F203" s="50" cm="1" t="str">
        <f t="array" ref="F203:F203">OFFSET(E203,-1,1)</f>
        <v>2</v>
      </c>
      <c r="G203" s="496"/>
      <c r="H203" s="496"/>
      <c r="I203" s="496"/>
      <c r="J203" s="496"/>
      <c r="K203" s="496"/>
      <c r="L203" s="496"/>
      <c r="M203" s="496"/>
      <c r="N203" s="496"/>
      <c r="O203" s="496"/>
      <c r="P203" s="496"/>
      <c r="Q203" s="496"/>
      <c r="R203" s="496"/>
      <c r="S203" s="496"/>
      <c r="T203" s="468" cm="1" t="str">
        <f t="array" ref="T203:T203">T202</f>
        <v>true</v>
      </c>
      <c r="U203" s="496"/>
      <c r="V203" s="496"/>
      <c r="W203" s="496"/>
      <c r="X203" s="1559"/>
      <c r="Y203" s="496"/>
      <c r="Z203" s="1528"/>
      <c r="AA203" s="496"/>
      <c r="AB203" s="289" t="s">
        <v>1908</v>
      </c>
      <c r="AC203" s="910"/>
      <c r="AD203" s="1111"/>
      <c r="AE203" s="1111"/>
      <c r="AF203" s="1111"/>
      <c r="AG203" s="1111"/>
      <c r="AH203" s="1111"/>
      <c r="AI203" s="1111"/>
      <c r="AJ203" s="1111"/>
      <c r="AK203" s="1111"/>
      <c r="AL203" s="1111"/>
      <c r="AM203" s="1111"/>
      <c r="AN203" s="1111"/>
      <c r="AO203" s="1111"/>
      <c r="AP203" s="1111"/>
      <c r="AQ203" s="1111"/>
      <c r="AR203" s="1111"/>
      <c r="AS203" s="1111"/>
      <c r="AT203" s="1111"/>
      <c r="AU203" s="1111"/>
      <c r="AV203" s="1111"/>
      <c r="AW203" s="1111"/>
      <c r="AX203" s="1111"/>
      <c r="AY203" s="1111"/>
      <c r="AZ203" s="1111"/>
      <c r="BA203" s="1111"/>
      <c r="BB203" s="1111"/>
      <c r="BC203" s="1111"/>
      <c r="BD203" s="1111"/>
      <c r="BE203" s="1111"/>
      <c r="BF203" s="1111"/>
      <c r="BG203" s="1111"/>
      <c r="BH203" s="1111"/>
      <c r="BI203" s="1111"/>
      <c r="BJ203" s="1111"/>
      <c r="BK203" s="1111"/>
      <c r="BL203" s="1111"/>
      <c r="BM203" s="1111"/>
      <c r="BN203" s="1111"/>
      <c r="BO203" s="1111"/>
      <c r="BP203" s="1111"/>
      <c r="BQ203" s="1111"/>
      <c r="BR203" s="1111"/>
      <c r="BS203" s="1111"/>
      <c r="BT203" s="1111"/>
      <c r="BU203" s="1111"/>
      <c r="BV203" s="1111"/>
      <c r="BW203" s="1111"/>
      <c r="BX203" s="1111"/>
      <c r="BY203" s="1111"/>
      <c r="BZ203" s="1111"/>
      <c r="CA203" s="1111"/>
      <c r="CB203" s="1111"/>
      <c r="CC203" s="1111"/>
      <c r="CD203" s="1111"/>
      <c r="CE203" s="1111"/>
      <c r="CF203" s="1111"/>
      <c r="CG203" s="1111"/>
      <c r="CH203" s="1111"/>
      <c r="CI203" s="1111"/>
      <c r="CJ203" s="1111"/>
      <c r="CK203" s="1111"/>
      <c r="CL203" s="1111"/>
      <c r="CM203" s="1111"/>
      <c r="CN203" s="1111"/>
      <c r="CO203" s="1111"/>
      <c r="CP203" s="1111"/>
      <c r="CQ203" s="1111"/>
      <c r="CR203" s="1111"/>
      <c r="CS203" s="1111"/>
      <c r="CT203" s="1111"/>
      <c r="CU203" s="1111"/>
      <c r="CV203" s="1111"/>
      <c r="CW203" s="1111"/>
      <c r="CX203" s="1111"/>
      <c r="CY203" s="1111"/>
      <c r="CZ203" s="1111"/>
      <c r="DA203" s="1111"/>
      <c r="DB203" s="1111"/>
      <c r="DC203" s="1111"/>
      <c r="DD203" s="1111"/>
      <c r="DE203" s="1111"/>
      <c r="DF203" s="1111"/>
      <c r="DG203" s="1111"/>
      <c r="DH203" s="1111"/>
      <c r="DI203" s="1111"/>
      <c r="DJ203" s="1111"/>
      <c r="DK203" s="1111"/>
      <c r="DL203" s="1111"/>
      <c r="DM203" s="1111"/>
      <c r="DN203" s="1111"/>
      <c r="DO203" s="1111"/>
      <c r="DP203" s="1111"/>
      <c r="DQ203" s="1111"/>
      <c r="DR203" s="1111"/>
      <c r="DS203" s="1111"/>
      <c r="DT203" s="1111"/>
      <c r="DU203" s="1111"/>
      <c r="DV203" s="1111"/>
      <c r="DW203" s="1111"/>
      <c r="DX203" s="1111"/>
      <c r="DY203" s="1111"/>
      <c r="DZ203" s="1111"/>
      <c r="EA203" s="1111"/>
      <c r="EB203" s="1111"/>
      <c r="EC203" s="1111"/>
      <c r="ED203" s="1111"/>
      <c r="EE203" s="1111"/>
      <c r="EF203" s="1111"/>
      <c r="EG203" s="1111"/>
      <c r="EH203" s="1111"/>
      <c r="EI203" s="1111"/>
      <c r="EJ203" s="1111"/>
      <c r="EK203" s="1111"/>
      <c r="EL203" s="1111"/>
      <c r="EM203" s="1111"/>
      <c r="EN203" s="1111"/>
      <c r="EO203" s="1111"/>
      <c r="EP203" s="1111"/>
      <c r="EQ203" s="1111"/>
      <c r="ER203" s="1111"/>
      <c r="ES203" s="1111"/>
      <c r="ET203" s="1111"/>
      <c r="EU203" s="1111"/>
      <c r="EV203" s="1111"/>
      <c r="EW203" s="1111"/>
      <c r="EX203" s="1111"/>
      <c r="EY203" s="1111"/>
      <c r="EZ203" s="1111"/>
      <c r="FA203" s="1111"/>
      <c r="FB203" s="1111"/>
      <c r="FC203" s="1111"/>
      <c r="FD203" s="1111"/>
      <c r="FE203" s="1111"/>
      <c r="FF203" s="1111"/>
      <c r="FG203" s="1111"/>
      <c r="FH203" s="1111"/>
      <c r="FI203" s="1111"/>
      <c r="FJ203" s="1111"/>
      <c r="FK203" s="1111"/>
      <c r="FL203" s="1111"/>
      <c r="FM203" s="1111"/>
      <c r="FN203" s="1111"/>
      <c r="FO203" s="1111"/>
      <c r="FP203" s="1111"/>
      <c r="FQ203" s="1111"/>
      <c r="FR203" s="1111"/>
      <c r="FS203" s="1111"/>
      <c r="FT203" s="1111"/>
      <c r="FU203" s="1111"/>
      <c r="FV203" s="1111"/>
      <c r="FW203" s="1112"/>
      <c r="FX203" s="1328"/>
      <c r="FY203" s="1328"/>
      <c r="FZ203" s="1063"/>
      <c r="GA203" s="1330"/>
      <c r="GB203" s="1330"/>
      <c r="GC203" s="1329"/>
      <c r="GD203" s="1329"/>
    </row>
    <row s="1656" customFormat="1" customHeight="1" ht="14.25" hidden="1">
      <c r="A204" s="496"/>
      <c r="B204" s="932" cm="1" t="str">
        <f t="array" ref="B204:B204">B203</f>
        <v>false</v>
      </c>
      <c r="C204" s="496"/>
      <c r="D204" s="496"/>
      <c r="E204" s="847">
        <v>15</v>
      </c>
      <c r="F204" s="50" cm="1" t="str">
        <f t="array" ref="F204:F204">OFFSET(E204,-1,1)</f>
        <v>2</v>
      </c>
      <c r="G204" s="496"/>
      <c r="H204" s="496" t="s">
        <v>1787</v>
      </c>
      <c r="I204" s="496" t="s">
        <v>1865</v>
      </c>
      <c r="J204" s="496"/>
      <c r="K204" s="496"/>
      <c r="L204" s="496"/>
      <c r="M204" s="496"/>
      <c r="N204" s="496"/>
      <c r="O204" s="496"/>
      <c r="P204" s="496"/>
      <c r="Q204" s="496"/>
      <c r="R204" s="496"/>
      <c r="S204" s="496"/>
      <c r="T204" s="468" cm="1" t="str">
        <f t="array" ref="T204:T204">T203</f>
        <v>true</v>
      </c>
      <c r="U204" s="496"/>
      <c r="V204" s="496"/>
      <c r="W204" s="496"/>
      <c r="X204" s="1559"/>
      <c r="Y204" s="496"/>
      <c r="Z204" s="1528"/>
      <c r="AA204" s="496"/>
      <c r="AB204" s="1100" t="s">
        <v>1895</v>
      </c>
      <c r="AC204" s="871" t="s">
        <v>1862</v>
      </c>
      <c r="AD204" s="4591">
        <f>IF(AD206=0,0,(AD205*AD206+AD207*AD208*IF(god=2026,3,6))/AD206)</f>
        <v>0</v>
      </c>
      <c r="AE204" s="4591">
        <f>IF(AE206=0,0,(AE205*AE206+AE207*AE208*IF(god=2026,3,6))/AE206)</f>
        <v>0</v>
      </c>
      <c r="AF204" s="1102">
        <f>IF(AD204=0,0,(AE204-AD204)/AD204*100)</f>
        <v>0</v>
      </c>
      <c r="AG204" s="4591">
        <f>IF(AG206=0,0,(AG205*AG206+AG207*AG208*IF(god=2025,3,6))/AG206)</f>
        <v>0</v>
      </c>
      <c r="AH204" s="4591">
        <f>IF(AH206=0,0,(AH205*AH206+AH207*AH208*IF(god=2025,3,6))/AH206)</f>
        <v>0</v>
      </c>
      <c r="AI204" s="1102">
        <f>IF(AG204=0,0,(AH204-AG204)/AG204*100)</f>
        <v>0</v>
      </c>
      <c r="AJ204" s="4591">
        <f>IF(AJ206=0,0,(AJ205*AJ206+AJ207*AJ208*6)/AJ206)</f>
        <v>0</v>
      </c>
      <c r="AK204" s="4591">
        <f>IF(AK206=0,0,(AK205*AK206+AK207*AK208*6)/AK206)</f>
        <v>0</v>
      </c>
      <c r="AL204" s="1102">
        <f>IF(AJ204=0,0,(AK204-AJ204)/AJ204*100)</f>
        <v>0</v>
      </c>
      <c r="AM204" s="4591">
        <f>IF(AM206=0,0,(AM205*AM206+AM207*AM208*6)/AM206)</f>
        <v>0</v>
      </c>
      <c r="AN204" s="4591">
        <f>IF(AN206=0,0,(AN205*AN206+AN207*AN208*6)/AN206)</f>
        <v>0</v>
      </c>
      <c r="AO204" s="1102">
        <f>IF(AM204=0,0,(AN204-AM204)/AM204*100)</f>
        <v>0</v>
      </c>
      <c r="AP204" s="4591">
        <f>IF(AP206=0,0,(AP205*AP206+AP207*AP208*6)/AP206)</f>
        <v>0</v>
      </c>
      <c r="AQ204" s="4591">
        <f>IF(AQ206=0,0,(AQ205*AQ206+AQ207*AQ208*6)/AQ206)</f>
        <v>0</v>
      </c>
      <c r="AR204" s="1102">
        <f>IF(AP204=0,0,(AQ204-AP204)/AP204*100)</f>
        <v>0</v>
      </c>
      <c r="AS204" s="4591">
        <f>IF(AS206=0,0,(AS205*AS206+AS207*AS208*6)/AS206)</f>
        <v>0</v>
      </c>
      <c r="AT204" s="4591">
        <f>IF(AT206=0,0,(AT205*AT206+AT207*AT208*6)/AT206)</f>
        <v>0</v>
      </c>
      <c r="AU204" s="1102">
        <f>IF(AS204=0,0,(AT204-AS204)/AS204*100)</f>
        <v>0</v>
      </c>
      <c r="AV204" s="4591">
        <f>IF(AV206=0,0,(AV205*AV206+AV207*AV208*6)/AV206)</f>
        <v>0</v>
      </c>
      <c r="AW204" s="4591">
        <f>IF(AW206=0,0,(AW205*AW206+AW207*AW208*6)/AW206)</f>
        <v>0</v>
      </c>
      <c r="AX204" s="1102">
        <f>IF(AV204=0,0,(AW204-AV204)/AV204*100)</f>
        <v>0</v>
      </c>
      <c r="AY204" s="4591">
        <f>IF(AY206=0,0,(AY205*AY206+AY207*AY208*6)/AY206)</f>
        <v>0</v>
      </c>
      <c r="AZ204" s="4591">
        <f>IF(AZ206=0,0,(AZ205*AZ206+AZ207*AZ208*6)/AZ206)</f>
        <v>0</v>
      </c>
      <c r="BA204" s="1102">
        <f>IF(AY204=0,0,(AZ204-AY204)/AY204*100)</f>
        <v>0</v>
      </c>
      <c r="BB204" s="4591">
        <f>IF(BB206=0,0,(BB205*BB206+BB207*BB208*6)/BB206)</f>
        <v>0</v>
      </c>
      <c r="BC204" s="4591">
        <f>IF(BC206=0,0,(BC205*BC206+BC207*BC208*6)/BC206)</f>
        <v>0</v>
      </c>
      <c r="BD204" s="1102">
        <f>IF(BB204=0,0,(BC204-BB204)/BB204*100)</f>
        <v>0</v>
      </c>
      <c r="BE204" s="4591">
        <f>IF(BE206=0,0,(BE205*BE206+BE207*BE208*6)/BE206)</f>
        <v>0</v>
      </c>
      <c r="BF204" s="4591">
        <f>IF(BF206=0,0,(BF205*BF206+BF207*BF208*6)/BF206)</f>
        <v>0</v>
      </c>
      <c r="BG204" s="1102">
        <f>IF(BE204=0,0,(BF204-BE204)/BE204*100)</f>
        <v>0</v>
      </c>
      <c r="BH204" s="4591">
        <f>IF(BH206=0,0,(BH205*BH206+BH207*BH208*6)/BH206)</f>
        <v>0</v>
      </c>
      <c r="BI204" s="4591">
        <f>IF(BI206=0,0,(BI205*BI206+BI207*BI208*6)/BI206)</f>
        <v>0</v>
      </c>
      <c r="BJ204" s="1102">
        <f>IF(BH204=0,0,(BI204-BH204)/BH204*100)</f>
        <v>0</v>
      </c>
      <c r="BK204" s="4591">
        <f>IF(BK206=0,0,(BK205*BK206+BK207*BK208*6)/BK206)</f>
        <v>0</v>
      </c>
      <c r="BL204" s="4591">
        <f>IF(BL206=0,0,(BL205*BL206+BL207*BL208*6)/BL206)</f>
        <v>0</v>
      </c>
      <c r="BM204" s="1102">
        <f>IF(BK204=0,0,(BL204-BK204)/BK204*100)</f>
        <v>0</v>
      </c>
      <c r="BN204" s="4591">
        <f>IF(BN206=0,0,(BN205*BN206+BN207*BN208*6)/BN206)</f>
        <v>0</v>
      </c>
      <c r="BO204" s="4591">
        <f>IF(BO206=0,0,(BO205*BO206+BO207*BO208*6)/BO206)</f>
        <v>0</v>
      </c>
      <c r="BP204" s="1102">
        <f>IF(BN204=0,0,(BO204-BN204)/BN204*100)</f>
        <v>0</v>
      </c>
      <c r="BQ204" s="4591">
        <f>IF(BQ206=0,0,(BQ205*BQ206+BQ207*BQ208*6)/BQ206)</f>
        <v>0</v>
      </c>
      <c r="BR204" s="4591">
        <f>IF(BR206=0,0,(BR205*BR206+BR207*BR208*6)/BR206)</f>
        <v>0</v>
      </c>
      <c r="BS204" s="1102">
        <f>IF(BQ204=0,0,(BR204-BQ204)/BQ204*100)</f>
        <v>0</v>
      </c>
      <c r="BT204" s="4591">
        <f>IF(BT206=0,0,(BT205*BT206+BT207*BT208*6)/BT206)</f>
        <v>0</v>
      </c>
      <c r="BU204" s="4591">
        <f>IF(BU206=0,0,(BU205*BU206+BU207*BU208*6)/BU206)</f>
        <v>0</v>
      </c>
      <c r="BV204" s="1102">
        <f>IF(BT204=0,0,(BU204-BT204)/BT204*100)</f>
        <v>0</v>
      </c>
      <c r="BW204" s="4591">
        <f>IF(BW206=0,0,(BW205*BW206+BW207*BW208*6)/BW206)</f>
        <v>0</v>
      </c>
      <c r="BX204" s="4591">
        <f>IF(BX206=0,0,(BX205*BX206+BX207*BX208*6)/BX206)</f>
        <v>0</v>
      </c>
      <c r="BY204" s="1102">
        <f>IF(BW204=0,0,(BX204-BW204)/BW204*100)</f>
        <v>0</v>
      </c>
      <c r="BZ204" s="4591">
        <f>IF(BZ206=0,0,(BZ205*BZ206+BZ207*BZ208*6)/BZ206)</f>
        <v>0</v>
      </c>
      <c r="CA204" s="4591">
        <f>IF(CA206=0,0,(CA205*CA206+CA207*CA208*6)/CA206)</f>
        <v>0</v>
      </c>
      <c r="CB204" s="1102">
        <f>IF(BZ204=0,0,(CA204-BZ204)/BZ204*100)</f>
        <v>0</v>
      </c>
      <c r="CC204" s="4591">
        <f>IF(CC206=0,0,(CC205*CC206+CC207*CC208*6)/CC206)</f>
        <v>0</v>
      </c>
      <c r="CD204" s="4591">
        <f>IF(CD206=0,0,(CD205*CD206+CD207*CD208*6)/CD206)</f>
        <v>0</v>
      </c>
      <c r="CE204" s="1102">
        <f>IF(CC204=0,0,(CD204-CC204)/CC204*100)</f>
        <v>0</v>
      </c>
      <c r="CF204" s="4591">
        <f>IF(CF206=0,0,(CF205*CF206+CF207*CF208*6)/CF206)</f>
        <v>0</v>
      </c>
      <c r="CG204" s="4591">
        <f>IF(CG206=0,0,(CG205*CG206+CG207*CG208*6)/CG206)</f>
        <v>0</v>
      </c>
      <c r="CH204" s="1102">
        <f>IF(CF204=0,0,(CG204-CF204)/CF204*100)</f>
        <v>0</v>
      </c>
      <c r="CI204" s="4591">
        <f>IF(CI206=0,0,(CI205*CI206+CI207*CI208*6)/CI206)</f>
        <v>0</v>
      </c>
      <c r="CJ204" s="4591">
        <f>IF(CJ206=0,0,(CJ205*CJ206+CJ207*CJ208*6)/CJ206)</f>
        <v>0</v>
      </c>
      <c r="CK204" s="1102">
        <f>IF(CI204=0,0,(CJ204-CI204)/CI204*100)</f>
        <v>0</v>
      </c>
      <c r="CL204" s="4591">
        <f>IF(CL206=0,0,(CL205*CL206+CL207*CL208*6)/CL206)</f>
        <v>0</v>
      </c>
      <c r="CM204" s="4591">
        <f>IF(CM206=0,0,(CM205*CM206+CM207*CM208*6)/CM206)</f>
        <v>0</v>
      </c>
      <c r="CN204" s="1102">
        <f>IF(CL204=0,0,(CM204-CL204)/CL204*100)</f>
        <v>0</v>
      </c>
      <c r="CO204" s="4591">
        <f>IF(CO206=0,0,(CO205*CO206+CO207*CO208*6)/CO206)</f>
        <v>0</v>
      </c>
      <c r="CP204" s="4591">
        <f>IF(CP206=0,0,(CP205*CP206+CP207*CP208*6)/CP206)</f>
        <v>0</v>
      </c>
      <c r="CQ204" s="1102">
        <f>IF(CO204=0,0,(CP204-CO204)/CO204*100)</f>
        <v>0</v>
      </c>
      <c r="CR204" s="4591">
        <f>IF(CR206=0,0,(CR205*CR206+CR207*CR208*6)/CR206)</f>
        <v>0</v>
      </c>
      <c r="CS204" s="4591">
        <f>IF(CS206=0,0,(CS205*CS206+CS207*CS208*6)/CS206)</f>
        <v>0</v>
      </c>
      <c r="CT204" s="1102">
        <f>IF(CR204=0,0,(CS204-CR204)/CR204*100)</f>
        <v>0</v>
      </c>
      <c r="CU204" s="4591">
        <f>IF(CU206=0,0,(CU205*CU206+CU207*CU208*6)/CU206)</f>
        <v>0</v>
      </c>
      <c r="CV204" s="4591">
        <f>IF(CV206=0,0,(CV205*CV206+CV207*CV208*6)/CV206)</f>
        <v>0</v>
      </c>
      <c r="CW204" s="1102">
        <f>IF(CU204=0,0,(CV204-CU204)/CU204*100)</f>
        <v>0</v>
      </c>
      <c r="CX204" s="4591">
        <f>IF(CX206=0,0,(CX205*CX206+CX207*CX208*6)/CX206)</f>
        <v>0</v>
      </c>
      <c r="CY204" s="4591">
        <f>IF(CY206=0,0,(CY205*CY206+CY207*CY208*6)/CY206)</f>
        <v>0</v>
      </c>
      <c r="CZ204" s="1102">
        <f>IF(CX204=0,0,(CY204-CX204)/CX204*100)</f>
        <v>0</v>
      </c>
      <c r="DA204" s="4591">
        <f>IF(DA206=0,0,(DA205*DA206+DA207*DA208*6)/DA206)</f>
        <v>0</v>
      </c>
      <c r="DB204" s="4591">
        <f>IF(DB206=0,0,(DB205*DB206+DB207*DB208*6)/DB206)</f>
        <v>0</v>
      </c>
      <c r="DC204" s="1102">
        <f>IF(DA204=0,0,(DB204-DA204)/DA204*100)</f>
        <v>0</v>
      </c>
      <c r="DD204" s="4591">
        <f>IF(DD206=0,0,(DD205*DD206+DD207*DD208*6)/DD206)</f>
        <v>0</v>
      </c>
      <c r="DE204" s="4591">
        <f>IF(DE206=0,0,(DE205*DE206+DE207*DE208*6)/DE206)</f>
        <v>0</v>
      </c>
      <c r="DF204" s="1102">
        <f>IF(DD204=0,0,(DE204-DD204)/DD204*100)</f>
        <v>0</v>
      </c>
      <c r="DG204" s="4591">
        <f>IF(DG206=0,0,(DG205*DG206+DG207*DG208*6)/DG206)</f>
        <v>0</v>
      </c>
      <c r="DH204" s="4591">
        <f>IF(DH206=0,0,(DH205*DH206+DH207*DH208*6)/DH206)</f>
        <v>0</v>
      </c>
      <c r="DI204" s="1102">
        <f>IF(DG204=0,0,(DH204-DG204)/DG204*100)</f>
        <v>0</v>
      </c>
      <c r="DJ204" s="4591">
        <f>IF(DJ206=0,0,(DJ205*DJ206+DJ207*DJ208*6)/DJ206)</f>
        <v>0</v>
      </c>
      <c r="DK204" s="4591">
        <f>IF(DK206=0,0,(DK205*DK206+DK207*DK208*6)/DK206)</f>
        <v>0</v>
      </c>
      <c r="DL204" s="1102">
        <f>IF(DJ204=0,0,(DK204-DJ204)/DJ204*100)</f>
        <v>0</v>
      </c>
      <c r="DM204" s="4591">
        <f>IF(DM206=0,0,(DM205*DM206+DM207*DM208*6)/DM206)</f>
        <v>0</v>
      </c>
      <c r="DN204" s="4591">
        <f>IF(DN206=0,0,(DN205*DN206+DN207*DN208*6)/DN206)</f>
        <v>0</v>
      </c>
      <c r="DO204" s="1102">
        <f>IF(DM204=0,0,(DN204-DM204)/DM204*100)</f>
        <v>0</v>
      </c>
      <c r="DP204" s="4591">
        <f>IF(DP206=0,0,(DP205*DP206+DP207*DP208*6)/DP206)</f>
        <v>0</v>
      </c>
      <c r="DQ204" s="4591">
        <f>IF(DQ206=0,0,(DQ205*DQ206+DQ207*DQ208*6)/DQ206)</f>
        <v>0</v>
      </c>
      <c r="DR204" s="1102">
        <f>IF(DP204=0,0,(DQ204-DP204)/DP204*100)</f>
        <v>0</v>
      </c>
      <c r="DS204" s="4591">
        <f>IF(DS206=0,0,(DS205*DS206+DS207*DS208*6)/DS206)</f>
        <v>0</v>
      </c>
      <c r="DT204" s="4591">
        <f>IF(DT206=0,0,(DT205*DT206+DT207*DT208*6)/DT206)</f>
        <v>0</v>
      </c>
      <c r="DU204" s="1102">
        <f>IF(DS204=0,0,(DT204-DS204)/DS204*100)</f>
        <v>0</v>
      </c>
      <c r="DV204" s="4591">
        <f>IF(DV206=0,0,(DV205*DV206+DV207*DV208*6)/DV206)</f>
        <v>0</v>
      </c>
      <c r="DW204" s="4591">
        <f>IF(DW206=0,0,(DW205*DW206+DW207*DW208*6)/DW206)</f>
        <v>0</v>
      </c>
      <c r="DX204" s="1102">
        <f>IF(DV204=0,0,(DW204-DV204)/DV204*100)</f>
        <v>0</v>
      </c>
      <c r="DY204" s="4591">
        <f>IF(DY206=0,0,(DY205*DY206+DY207*DY208*6)/DY206)</f>
        <v>0</v>
      </c>
      <c r="DZ204" s="4591">
        <f>IF(DZ206=0,0,(DZ205*DZ206+DZ207*DZ208*6)/DZ206)</f>
        <v>0</v>
      </c>
      <c r="EA204" s="1102">
        <f>IF(DY204=0,0,(DZ204-DY204)/DY204*100)</f>
        <v>0</v>
      </c>
      <c r="EB204" s="4591">
        <f>IF(EB206=0,0,(EB205*EB206+EB207*EB208*6)/EB206)</f>
        <v>0</v>
      </c>
      <c r="EC204" s="4591">
        <f>IF(EC206=0,0,(EC205*EC206+EC207*EC208*6)/EC206)</f>
        <v>0</v>
      </c>
      <c r="ED204" s="1102">
        <f>IF(EB204=0,0,(EC204-EB204)/EB204*100)</f>
        <v>0</v>
      </c>
      <c r="EE204" s="4591">
        <f>IF(EE206=0,0,(EE205*EE206+EE207*EE208*6)/EE206)</f>
        <v>0</v>
      </c>
      <c r="EF204" s="4591">
        <f>IF(EF206=0,0,(EF205*EF206+EF207*EF208*6)/EF206)</f>
        <v>0</v>
      </c>
      <c r="EG204" s="1102">
        <f>IF(EE204=0,0,(EF204-EE204)/EE204*100)</f>
        <v>0</v>
      </c>
      <c r="EH204" s="4591">
        <f>IF(EH206=0,0,(EH205*EH206+EH207*EH208*6)/EH206)</f>
        <v>0</v>
      </c>
      <c r="EI204" s="4591">
        <f>IF(EI206=0,0,(EI205*EI206+EI207*EI208*6)/EI206)</f>
        <v>0</v>
      </c>
      <c r="EJ204" s="1102">
        <f>IF(EH204=0,0,(EI204-EH204)/EH204*100)</f>
        <v>0</v>
      </c>
      <c r="EK204" s="4591">
        <f>IF(EK206=0,0,(EK205*EK206+EK207*EK208*6)/EK206)</f>
        <v>0</v>
      </c>
      <c r="EL204" s="4591">
        <f>IF(EL206=0,0,(EL205*EL206+EL207*EL208*6)/EL206)</f>
        <v>0</v>
      </c>
      <c r="EM204" s="1102">
        <f>IF(EK204=0,0,(EL204-EK204)/EK204*100)</f>
        <v>0</v>
      </c>
      <c r="EN204" s="4591">
        <f>IF(EN206=0,0,(EN205*EN206+EN207*EN208*6)/EN206)</f>
        <v>0</v>
      </c>
      <c r="EO204" s="4591">
        <f>IF(EO206=0,0,(EO205*EO206+EO207*EO208*6)/EO206)</f>
        <v>0</v>
      </c>
      <c r="EP204" s="1102">
        <f>IF(EN204=0,0,(EO204-EN204)/EN204*100)</f>
        <v>0</v>
      </c>
      <c r="EQ204" s="4591">
        <f>IF(EQ206=0,0,(EQ205*EQ206+EQ207*EQ208*6)/EQ206)</f>
        <v>0</v>
      </c>
      <c r="ER204" s="4591">
        <f>IF(ER206=0,0,(ER205*ER206+ER207*ER208*6)/ER206)</f>
        <v>0</v>
      </c>
      <c r="ES204" s="1102">
        <f>IF(EQ204=0,0,(ER204-EQ204)/EQ204*100)</f>
        <v>0</v>
      </c>
      <c r="ET204" s="4591">
        <f>IF(ET206=0,0,(ET205*ET206+ET207*ET208*6)/ET206)</f>
        <v>0</v>
      </c>
      <c r="EU204" s="4591">
        <f>IF(EU206=0,0,(EU205*EU206+EU207*EU208*6)/EU206)</f>
        <v>0</v>
      </c>
      <c r="EV204" s="1102">
        <f>IF(ET204=0,0,(EU204-ET204)/ET204*100)</f>
        <v>0</v>
      </c>
      <c r="EW204" s="4591">
        <f>IF(EW206=0,0,(EW205*EW206+EW207*EW208*6)/EW206)</f>
        <v>0</v>
      </c>
      <c r="EX204" s="4591">
        <f>IF(EX206=0,0,(EX205*EX206+EX207*EX208*6)/EX206)</f>
        <v>0</v>
      </c>
      <c r="EY204" s="1102">
        <f>IF(EW204=0,0,(EX204-EW204)/EW204*100)</f>
        <v>0</v>
      </c>
      <c r="EZ204" s="4591">
        <f>IF(EZ206=0,0,(EZ205*EZ206+EZ207*EZ208*6)/EZ206)</f>
        <v>0</v>
      </c>
      <c r="FA204" s="4591">
        <f>IF(FA206=0,0,(FA205*FA206+FA207*FA208*6)/FA206)</f>
        <v>0</v>
      </c>
      <c r="FB204" s="1102">
        <f>IF(EZ204=0,0,(FA204-EZ204)/EZ204*100)</f>
        <v>0</v>
      </c>
      <c r="FC204" s="4591">
        <f>IF(FC206=0,0,(FC205*FC206+FC207*FC208*6)/FC206)</f>
        <v>0</v>
      </c>
      <c r="FD204" s="4591">
        <f>IF(FD206=0,0,(FD205*FD206+FD207*FD208*6)/FD206)</f>
        <v>0</v>
      </c>
      <c r="FE204" s="1102">
        <f>IF(FC204=0,0,(FD204-FC204)/FC204*100)</f>
        <v>0</v>
      </c>
      <c r="FF204" s="4591">
        <f>IF(FF206=0,0,(FF205*FF206+FF207*FF208*6)/FF206)</f>
        <v>0</v>
      </c>
      <c r="FG204" s="4591">
        <f>IF(FG206=0,0,(FG205*FG206+FG207*FG208*6)/FG206)</f>
        <v>0</v>
      </c>
      <c r="FH204" s="1102">
        <f>IF(FF204=0,0,(FG204-FF204)/FF204*100)</f>
        <v>0</v>
      </c>
      <c r="FI204" s="4591">
        <f>IF(FI206=0,0,(FI205*FI206+FI207*FI208*6)/FI206)</f>
        <v>0</v>
      </c>
      <c r="FJ204" s="4591">
        <f>IF(FJ206=0,0,(FJ205*FJ206+FJ207*FJ208*6)/FJ206)</f>
        <v>0</v>
      </c>
      <c r="FK204" s="1102">
        <f>IF(FI204=0,0,(FJ204-FI204)/FI204*100)</f>
        <v>0</v>
      </c>
      <c r="FL204" s="4591">
        <f>IF(FL206=0,0,(FL205*FL206+FL207*FL208*6)/FL206)</f>
        <v>0</v>
      </c>
      <c r="FM204" s="4591">
        <f>IF(FM206=0,0,(FM205*FM206+FM207*FM208*6)/FM206)</f>
        <v>0</v>
      </c>
      <c r="FN204" s="1102">
        <f>IF(FL204=0,0,(FM204-FL204)/FL204*100)</f>
        <v>0</v>
      </c>
      <c r="FO204" s="4591">
        <f>IF(FO206=0,0,(FO205*FO206+FO207*FO208*6)/FO206)</f>
        <v>0</v>
      </c>
      <c r="FP204" s="4591">
        <f>IF(FP206=0,0,(FP205*FP206+FP207*FP208*6)/FP206)</f>
        <v>0</v>
      </c>
      <c r="FQ204" s="1102">
        <f>IF(FO204=0,0,(FP204-FO204)/FO204*100)</f>
        <v>0</v>
      </c>
      <c r="FR204" s="4591">
        <f>IF(FR206=0,0,(FR205*FR206+FR207*FR208*6)/FR206)</f>
        <v>0</v>
      </c>
      <c r="FS204" s="4591">
        <f>IF(FS206=0,0,(FS205*FS206+FS207*FS208*6)/FS206)</f>
        <v>0</v>
      </c>
      <c r="FT204" s="1102">
        <f>IF(FR204=0,0,(FS204-FR204)/FR204*100)</f>
        <v>0</v>
      </c>
      <c r="FU204" s="4591">
        <f>IF(FU206=0,0,(FU205*FU206+FU207*FU208*6)/FU206)</f>
        <v>0</v>
      </c>
      <c r="FV204" s="4591">
        <f>IF(FV206=0,0,(FV205*FV206+FV207*FV208*6)/FV206)</f>
        <v>0</v>
      </c>
      <c r="FW204" s="1102">
        <f>IF(FU204=0,0,(FV204-FU204)/FU204*100)</f>
        <v>0</v>
      </c>
      <c r="FX204" s="1328"/>
      <c r="FY204" s="1328"/>
      <c r="FZ204" s="1063" t="s">
        <v>1909</v>
      </c>
      <c r="GA204" s="1330"/>
      <c r="GB204" s="1330"/>
      <c r="GC204" s="1329"/>
      <c r="GD204" s="1329"/>
    </row>
    <row s="1656" customFormat="1" customHeight="1" ht="14.25" hidden="1">
      <c r="A205" s="496"/>
      <c r="B205" s="932" cm="1" t="str">
        <f t="array" ref="B205:B205">B204</f>
        <v>false</v>
      </c>
      <c r="C205" s="496"/>
      <c r="D205" s="496"/>
      <c r="E205" s="847">
        <v>15</v>
      </c>
      <c r="F205" s="50" cm="1" t="str">
        <f t="array" ref="F205:F205">OFFSET(E205,-1,1)</f>
        <v>2</v>
      </c>
      <c r="G205" s="496"/>
      <c r="H205" s="496" t="s">
        <v>1791</v>
      </c>
      <c r="I205" s="496" t="s">
        <v>1865</v>
      </c>
      <c r="J205" s="496"/>
      <c r="K205" s="496"/>
      <c r="L205" s="496"/>
      <c r="M205" s="496"/>
      <c r="N205" s="496"/>
      <c r="O205" s="496"/>
      <c r="P205" s="496"/>
      <c r="Q205" s="496"/>
      <c r="R205" s="496"/>
      <c r="S205" s="496"/>
      <c r="T205" s="468" cm="1" t="str">
        <f t="array" ref="T205:T205">T204</f>
        <v>true</v>
      </c>
      <c r="U205" s="496"/>
      <c r="V205" s="496"/>
      <c r="W205" s="496"/>
      <c r="X205" s="1559"/>
      <c r="Y205" s="496"/>
      <c r="Z205" s="1528"/>
      <c r="AA205" s="496"/>
      <c r="AB205" s="1100" t="str">
        <f>"ставка платы за "&amp;IF(Q179="Водоснабжение","потребление 1 куб.м холодной воды","объем принятых сточных вод")</f>
        <v>ставка платы за объем принятых сточных вод</v>
      </c>
      <c r="AC205" s="871" t="s">
        <v>1862</v>
      </c>
      <c r="AD205" s="4591"/>
      <c r="AE205" s="4591"/>
      <c r="AF205" s="1102">
        <f>IF(AD205=0,0,(AE205-AD205)/AD205*100)</f>
        <v>0</v>
      </c>
      <c r="AG205" s="4591"/>
      <c r="AH205" s="4591"/>
      <c r="AI205" s="1102">
        <f>IF(AG205=0,0,(AH205-AG205)/AG205*100)</f>
        <v>0</v>
      </c>
      <c r="AJ205" s="4591"/>
      <c r="AK205" s="4591"/>
      <c r="AL205" s="1102">
        <f>IF(AJ205=0,0,(AK205-AJ205)/AJ205*100)</f>
        <v>0</v>
      </c>
      <c r="AM205" s="4591"/>
      <c r="AN205" s="4591"/>
      <c r="AO205" s="1102">
        <f>IF(AM205=0,0,(AN205-AM205)/AM205*100)</f>
        <v>0</v>
      </c>
      <c r="AP205" s="4591"/>
      <c r="AQ205" s="4591"/>
      <c r="AR205" s="1102">
        <f>IF(AP205=0,0,(AQ205-AP205)/AP205*100)</f>
        <v>0</v>
      </c>
      <c r="AS205" s="4591"/>
      <c r="AT205" s="4591"/>
      <c r="AU205" s="1102">
        <f>IF(AS205=0,0,(AT205-AS205)/AS205*100)</f>
        <v>0</v>
      </c>
      <c r="AV205" s="4591"/>
      <c r="AW205" s="4591"/>
      <c r="AX205" s="1102">
        <f>IF(AV205=0,0,(AW205-AV205)/AV205*100)</f>
        <v>0</v>
      </c>
      <c r="AY205" s="4591"/>
      <c r="AZ205" s="4591"/>
      <c r="BA205" s="1102">
        <f>IF(AY205=0,0,(AZ205-AY205)/AY205*100)</f>
        <v>0</v>
      </c>
      <c r="BB205" s="4591"/>
      <c r="BC205" s="4591"/>
      <c r="BD205" s="1102">
        <f>IF(BB205=0,0,(BC205-BB205)/BB205*100)</f>
        <v>0</v>
      </c>
      <c r="BE205" s="4591"/>
      <c r="BF205" s="4591"/>
      <c r="BG205" s="1102">
        <f>IF(BE205=0,0,(BF205-BE205)/BE205*100)</f>
        <v>0</v>
      </c>
      <c r="BH205" s="4591"/>
      <c r="BI205" s="4591"/>
      <c r="BJ205" s="1102">
        <f>IF(BH205=0,0,(BI205-BH205)/BH205*100)</f>
        <v>0</v>
      </c>
      <c r="BK205" s="4591"/>
      <c r="BL205" s="4591"/>
      <c r="BM205" s="1102">
        <f>IF(BK205=0,0,(BL205-BK205)/BK205*100)</f>
        <v>0</v>
      </c>
      <c r="BN205" s="4591"/>
      <c r="BO205" s="4591"/>
      <c r="BP205" s="1102">
        <f>IF(BN205=0,0,(BO205-BN205)/BN205*100)</f>
        <v>0</v>
      </c>
      <c r="BQ205" s="4591"/>
      <c r="BR205" s="4591"/>
      <c r="BS205" s="1102">
        <f>IF(BQ205=0,0,(BR205-BQ205)/BQ205*100)</f>
        <v>0</v>
      </c>
      <c r="BT205" s="4591"/>
      <c r="BU205" s="4591"/>
      <c r="BV205" s="1102">
        <f>IF(BT205=0,0,(BU205-BT205)/BT205*100)</f>
        <v>0</v>
      </c>
      <c r="BW205" s="4591"/>
      <c r="BX205" s="4591"/>
      <c r="BY205" s="1102">
        <f>IF(BW205=0,0,(BX205-BW205)/BW205*100)</f>
        <v>0</v>
      </c>
      <c r="BZ205" s="4591"/>
      <c r="CA205" s="4591"/>
      <c r="CB205" s="1102">
        <f>IF(BZ205=0,0,(CA205-BZ205)/BZ205*100)</f>
        <v>0</v>
      </c>
      <c r="CC205" s="4591"/>
      <c r="CD205" s="4591"/>
      <c r="CE205" s="1102">
        <f>IF(CC205=0,0,(CD205-CC205)/CC205*100)</f>
        <v>0</v>
      </c>
      <c r="CF205" s="4591"/>
      <c r="CG205" s="4591"/>
      <c r="CH205" s="1102">
        <f>IF(CF205=0,0,(CG205-CF205)/CF205*100)</f>
        <v>0</v>
      </c>
      <c r="CI205" s="4591"/>
      <c r="CJ205" s="4591"/>
      <c r="CK205" s="1102">
        <f>IF(CI205=0,0,(CJ205-CI205)/CI205*100)</f>
        <v>0</v>
      </c>
      <c r="CL205" s="4591"/>
      <c r="CM205" s="4591"/>
      <c r="CN205" s="1102">
        <f>IF(CL205=0,0,(CM205-CL205)/CL205*100)</f>
        <v>0</v>
      </c>
      <c r="CO205" s="4591"/>
      <c r="CP205" s="4591"/>
      <c r="CQ205" s="1102">
        <f>IF(CO205=0,0,(CP205-CO205)/CO205*100)</f>
        <v>0</v>
      </c>
      <c r="CR205" s="4591"/>
      <c r="CS205" s="4591"/>
      <c r="CT205" s="1102">
        <f>IF(CR205=0,0,(CS205-CR205)/CR205*100)</f>
        <v>0</v>
      </c>
      <c r="CU205" s="4591"/>
      <c r="CV205" s="4591"/>
      <c r="CW205" s="1102">
        <f>IF(CU205=0,0,(CV205-CU205)/CU205*100)</f>
        <v>0</v>
      </c>
      <c r="CX205" s="4591"/>
      <c r="CY205" s="4591"/>
      <c r="CZ205" s="1102">
        <f>IF(CX205=0,0,(CY205-CX205)/CX205*100)</f>
        <v>0</v>
      </c>
      <c r="DA205" s="4591"/>
      <c r="DB205" s="4591"/>
      <c r="DC205" s="1102">
        <f>IF(DA205=0,0,(DB205-DA205)/DA205*100)</f>
        <v>0</v>
      </c>
      <c r="DD205" s="4591"/>
      <c r="DE205" s="4591"/>
      <c r="DF205" s="1102">
        <f>IF(DD205=0,0,(DE205-DD205)/DD205*100)</f>
        <v>0</v>
      </c>
      <c r="DG205" s="4591"/>
      <c r="DH205" s="4591"/>
      <c r="DI205" s="1102">
        <f>IF(DG205=0,0,(DH205-DG205)/DG205*100)</f>
        <v>0</v>
      </c>
      <c r="DJ205" s="4591"/>
      <c r="DK205" s="4591"/>
      <c r="DL205" s="1102">
        <f>IF(DJ205=0,0,(DK205-DJ205)/DJ205*100)</f>
        <v>0</v>
      </c>
      <c r="DM205" s="4591"/>
      <c r="DN205" s="4591"/>
      <c r="DO205" s="1102">
        <f>IF(DM205=0,0,(DN205-DM205)/DM205*100)</f>
        <v>0</v>
      </c>
      <c r="DP205" s="4591"/>
      <c r="DQ205" s="4591"/>
      <c r="DR205" s="1102">
        <f>IF(DP205=0,0,(DQ205-DP205)/DP205*100)</f>
        <v>0</v>
      </c>
      <c r="DS205" s="4591"/>
      <c r="DT205" s="4591"/>
      <c r="DU205" s="1102">
        <f>IF(DS205=0,0,(DT205-DS205)/DS205*100)</f>
        <v>0</v>
      </c>
      <c r="DV205" s="4591"/>
      <c r="DW205" s="4591"/>
      <c r="DX205" s="1102">
        <f>IF(DV205=0,0,(DW205-DV205)/DV205*100)</f>
        <v>0</v>
      </c>
      <c r="DY205" s="4591"/>
      <c r="DZ205" s="4591"/>
      <c r="EA205" s="1102">
        <f>IF(DY205=0,0,(DZ205-DY205)/DY205*100)</f>
        <v>0</v>
      </c>
      <c r="EB205" s="4591"/>
      <c r="EC205" s="4591"/>
      <c r="ED205" s="1102">
        <f>IF(EB205=0,0,(EC205-EB205)/EB205*100)</f>
        <v>0</v>
      </c>
      <c r="EE205" s="4591"/>
      <c r="EF205" s="4591"/>
      <c r="EG205" s="1102">
        <f>IF(EE205=0,0,(EF205-EE205)/EE205*100)</f>
        <v>0</v>
      </c>
      <c r="EH205" s="4591"/>
      <c r="EI205" s="4591"/>
      <c r="EJ205" s="1102">
        <f>IF(EH205=0,0,(EI205-EH205)/EH205*100)</f>
        <v>0</v>
      </c>
      <c r="EK205" s="4591"/>
      <c r="EL205" s="4591"/>
      <c r="EM205" s="1102">
        <f>IF(EK205=0,0,(EL205-EK205)/EK205*100)</f>
        <v>0</v>
      </c>
      <c r="EN205" s="4591"/>
      <c r="EO205" s="4591"/>
      <c r="EP205" s="1102">
        <f>IF(EN205=0,0,(EO205-EN205)/EN205*100)</f>
        <v>0</v>
      </c>
      <c r="EQ205" s="4591"/>
      <c r="ER205" s="4591"/>
      <c r="ES205" s="1102">
        <f>IF(EQ205=0,0,(ER205-EQ205)/EQ205*100)</f>
        <v>0</v>
      </c>
      <c r="ET205" s="4591"/>
      <c r="EU205" s="4591"/>
      <c r="EV205" s="1102">
        <f>IF(ET205=0,0,(EU205-ET205)/ET205*100)</f>
        <v>0</v>
      </c>
      <c r="EW205" s="4591"/>
      <c r="EX205" s="4591"/>
      <c r="EY205" s="1102">
        <f>IF(EW205=0,0,(EX205-EW205)/EW205*100)</f>
        <v>0</v>
      </c>
      <c r="EZ205" s="4591"/>
      <c r="FA205" s="4591"/>
      <c r="FB205" s="1102">
        <f>IF(EZ205=0,0,(FA205-EZ205)/EZ205*100)</f>
        <v>0</v>
      </c>
      <c r="FC205" s="4591"/>
      <c r="FD205" s="4591"/>
      <c r="FE205" s="1102">
        <f>IF(FC205=0,0,(FD205-FC205)/FC205*100)</f>
        <v>0</v>
      </c>
      <c r="FF205" s="4591"/>
      <c r="FG205" s="4591"/>
      <c r="FH205" s="1102">
        <f>IF(FF205=0,0,(FG205-FF205)/FF205*100)</f>
        <v>0</v>
      </c>
      <c r="FI205" s="4591"/>
      <c r="FJ205" s="4591"/>
      <c r="FK205" s="1102">
        <f>IF(FI205=0,0,(FJ205-FI205)/FI205*100)</f>
        <v>0</v>
      </c>
      <c r="FL205" s="4591"/>
      <c r="FM205" s="4591"/>
      <c r="FN205" s="1102">
        <f>IF(FL205=0,0,(FM205-FL205)/FL205*100)</f>
        <v>0</v>
      </c>
      <c r="FO205" s="4591"/>
      <c r="FP205" s="4591"/>
      <c r="FQ205" s="1102">
        <f>IF(FO205=0,0,(FP205-FO205)/FO205*100)</f>
        <v>0</v>
      </c>
      <c r="FR205" s="4591"/>
      <c r="FS205" s="4591"/>
      <c r="FT205" s="1102">
        <f>IF(FR205=0,0,(FS205-FR205)/FR205*100)</f>
        <v>0</v>
      </c>
      <c r="FU205" s="4591"/>
      <c r="FV205" s="4591"/>
      <c r="FW205" s="1102">
        <f>IF(FU205=0,0,(FV205-FU205)/FU205*100)</f>
        <v>0</v>
      </c>
      <c r="FX205" s="1328"/>
      <c r="FY205" s="1328"/>
      <c r="FZ205" s="1063" t="s">
        <v>1910</v>
      </c>
      <c r="GA205" s="1330"/>
      <c r="GB205" s="1330"/>
      <c r="GC205" s="1329"/>
      <c r="GD205" s="1329"/>
    </row>
    <row s="1656" customFormat="1" customHeight="1" ht="14.25" hidden="1">
      <c r="A206" s="496"/>
      <c r="B206" s="932" cm="1" t="str">
        <f t="array" ref="B206:B206">B205</f>
        <v>false</v>
      </c>
      <c r="C206" s="496"/>
      <c r="D206" s="496"/>
      <c r="E206" s="847">
        <v>15</v>
      </c>
      <c r="F206" s="50" cm="1" t="str">
        <f t="array" ref="F206:F206">OFFSET(E206,-1,1)</f>
        <v>2</v>
      </c>
      <c r="G206" s="103" t="s">
        <v>1911</v>
      </c>
      <c r="H206" s="496" t="s">
        <v>1899</v>
      </c>
      <c r="I206" s="496" t="s">
        <v>1865</v>
      </c>
      <c r="J206" s="496"/>
      <c r="K206" s="496"/>
      <c r="L206" s="496"/>
      <c r="M206" s="496"/>
      <c r="N206" s="496"/>
      <c r="O206" s="496"/>
      <c r="P206" s="496"/>
      <c r="Q206" s="496"/>
      <c r="R206" s="496"/>
      <c r="S206" s="496"/>
      <c r="T206" s="468" cm="1" t="str">
        <f t="array" ref="T206:T206">T205</f>
        <v>true</v>
      </c>
      <c r="U206" s="496"/>
      <c r="V206" s="496"/>
      <c r="W206" s="496"/>
      <c r="X206" s="1559"/>
      <c r="Y206" s="496"/>
      <c r="Z206" s="1528"/>
      <c r="AA206" s="496"/>
      <c r="AB206" s="1100" t="str">
        <f>"объём "&amp;IF(Q179="Водоснабжение","потребления холодной воды","водоотведения")</f>
        <v>объём водоотведения</v>
      </c>
      <c r="AC206" s="871" t="s">
        <v>657</v>
      </c>
      <c r="AD206" s="4585">
        <f>IF(AND(method_reg="Метод индексации",god&lt;&gt;first_year),_xlfn.SUMIFS(INDEX('Калькуляция (МИ корр)'!$AJ$25:$BC$606,,MATCH(AD$8,'Калькуляция (МИ корр)'!$AJ$8:$BC$8,0)),'Калькуляция (МИ корр)'!$F$25:$F$606,$F206,'Калькуляция (МИ корр)'!$G$25:$G$606,$G206),IF(method_reg="Метод экономически обоснованных расходов",_xlfn.SUMIFS('Калькуляция (МЭОР)'!$AJ$25:$AJ$367,'Калькуляция (МЭОР)'!$F$25:$F$367,$F206,'Калькуляция (МЭОР)'!$G$25:$G$367,$G206),IF(method_reg="Метод сравнения аналогов",_xlfn.SUMIFS('Калькуляция (МСА)'!$AE$25:$AE$103,'Калькуляция (МСА)'!$F$25:$F$103,$F206,'Калькуляция (МСА)'!$G$25:$G$103,$G206),_xlfn.SUMIFS(INDEX('Калькуляция (МИ)'!$AJ$25:$BC$603,,MATCH(AD$8,'Калькуляция (МИ)'!$AJ$8:$BC$8,0)),'Калькуляция (МИ)'!$F$25:$F$603,$F206,'Калькуляция (МИ)'!$G$25:$G$603,$G206))))</f>
        <v>1191.58175</v>
      </c>
      <c r="AE206" s="4585">
        <f>IF(AND(method_reg="Метод индексации",god&lt;&gt;first_year),_xlfn.SUMIFS(INDEX('Калькуляция (МИ корр)'!$AJ$25:$BC$606,,MATCH(AE$8,'Калькуляция (МИ корр)'!$AJ$8:$BC$8,0)),'Калькуляция (МИ корр)'!$F$25:$F$606,$F206,'Калькуляция (МИ корр)'!$G$25:$G$606,$G206),IF(method_reg="Метод экономически обоснованных расходов",_xlfn.SUMIFS('Калькуляция (МЭОР)'!$AK$25:$AK$367,'Калькуляция (МЭОР)'!$F$25:$F$367,$F206,'Калькуляция (МЭОР)'!$G$25:$G$367,$G206),IF(method_reg="Метод сравнения аналогов",_xlfn.SUMIFS('Калькуляция (МСА)'!$AF$25:$AF$103,'Калькуляция (МСА)'!$F$25:$F$103,$F206,'Калькуляция (МСА)'!$G$25:$G$103,$G206),_xlfn.SUMIFS(INDEX('Калькуляция (МИ)'!$AJ$25:$BC$603,,MATCH(AE$8,'Калькуляция (МИ)'!$AJ$8:$BC$8,0)),'Калькуляция (МИ)'!$F$25:$F$603,$F206,'Калькуляция (МИ)'!$G$25:$G$603,$G206))))</f>
        <v>1147.4502575</v>
      </c>
      <c r="AF206" s="1104">
        <f>IF(AD206=0,0,(AE206-AD206)/AD206*100)</f>
        <v>-3.7036059422696</v>
      </c>
      <c r="AG206" s="4585">
        <f>IF(AND(method_reg="Метод индексации",god&lt;&gt;first_year),_xlfn.SUMIFS(INDEX('Калькуляция (МИ корр)'!$AJ$25:$BC$606,,MATCH(AG$8,'Калькуляция (МИ корр)'!$AJ$8:$BC$8,0)),'Калькуляция (МИ корр)'!$F$25:$F$606,$F206,'Калькуляция (МИ корр)'!$G$25:$G$606,$G206),IF(method_reg="Метод экономически обоснованных расходов",_xlfn.SUMIFS('Калькуляция (МЭОР)'!$AJ$25:$AJ$367,'Калькуляция (МЭОР)'!$F$25:$F$367,$F206,'Калькуляция (МЭОР)'!$G$25:$G$367,$G206),IF(method_reg="Метод сравнения аналогов",_xlfn.SUMIFS('Калькуляция (МСА)'!$AE$25:$AE$103,'Калькуляция (МСА)'!$F$25:$F$103,$F206,'Калькуляция (МСА)'!$G$25:$G$103,$G206),_xlfn.SUMIFS(INDEX('Калькуляция (МИ)'!$AJ$25:$BC$603,,MATCH(AG$8,'Калькуляция (МИ)'!$AJ$8:$BC$8,0)),'Калькуляция (МИ)'!$F$25:$F$603,$F206,'Калькуляция (МИ)'!$G$25:$G$603,$G206))))</f>
        <v>0</v>
      </c>
      <c r="AH206" s="4585">
        <f>IF(AND(method_reg="Метод индексации",god&lt;&gt;first_year),_xlfn.SUMIFS(INDEX('Калькуляция (МИ корр)'!$AJ$25:$BC$606,,MATCH(AH$8,'Калькуляция (МИ корр)'!$AJ$8:$BC$8,0)),'Калькуляция (МИ корр)'!$F$25:$F$606,$F206,'Калькуляция (МИ корр)'!$G$25:$G$606,$G206),IF(method_reg="Метод экономически обоснованных расходов",_xlfn.SUMIFS('Калькуляция (МЭОР)'!$AK$25:$AK$367,'Калькуляция (МЭОР)'!$F$25:$F$367,$F206,'Калькуляция (МЭОР)'!$G$25:$G$367,$G206),IF(method_reg="Метод сравнения аналогов",_xlfn.SUMIFS('Калькуляция (МСА)'!$AF$25:$AF$103,'Калькуляция (МСА)'!$F$25:$F$103,$F206,'Калькуляция (МСА)'!$G$25:$G$103,$G206),_xlfn.SUMIFS(INDEX('Калькуляция (МИ)'!$AJ$25:$BC$603,,MATCH(AH$8,'Калькуляция (МИ)'!$AJ$8:$BC$8,0)),'Калькуляция (МИ)'!$F$25:$F$603,$F206,'Калькуляция (МИ)'!$G$25:$G$603,$G206))))</f>
        <v>0</v>
      </c>
      <c r="AI206" s="1104">
        <f>IF(AG206=0,0,(AH206-AG206)/AG206*100)</f>
        <v>0</v>
      </c>
      <c r="AJ206" s="4585">
        <f>IF(AND(method_reg="Метод индексации",god&lt;&gt;first_year),_xlfn.SUMIFS(INDEX('Калькуляция (МИ корр)'!$AJ$25:$BC$606,,MATCH(AJ$8,'Калькуляция (МИ корр)'!$AJ$8:$BC$8,0)),'Калькуляция (МИ корр)'!$F$25:$F$606,$F206,'Калькуляция (МИ корр)'!$G$25:$G$606,$G206),IF(method_reg="Метод экономически обоснованных расходов",_xlfn.SUMIFS('Калькуляция (МЭОР)'!$AJ$25:$AJ$367,'Калькуляция (МЭОР)'!$F$25:$F$367,$F206,'Калькуляция (МЭОР)'!$G$25:$G$367,$G206),IF(method_reg="Метод сравнения аналогов",_xlfn.SUMIFS('Калькуляция (МСА)'!$AE$25:$AE$103,'Калькуляция (МСА)'!$F$25:$F$103,$F206,'Калькуляция (МСА)'!$G$25:$G$103,$G206),_xlfn.SUMIFS(INDEX('Калькуляция (МИ)'!$AJ$25:$BC$603,,MATCH(AJ$8,'Калькуляция (МИ)'!$AJ$8:$BC$8,0)),'Калькуляция (МИ)'!$F$25:$F$603,$F206,'Калькуляция (МИ)'!$G$25:$G$603,$G206))))</f>
        <v>0</v>
      </c>
      <c r="AK206" s="4585">
        <f>IF(AND(method_reg="Метод индексации",god&lt;&gt;first_year),_xlfn.SUMIFS(INDEX('Калькуляция (МИ корр)'!$AJ$25:$BC$606,,MATCH(AK$8,'Калькуляция (МИ корр)'!$AJ$8:$BC$8,0)),'Калькуляция (МИ корр)'!$F$25:$F$606,$F206,'Калькуляция (МИ корр)'!$G$25:$G$606,$G206),IF(method_reg="Метод экономически обоснованных расходов",_xlfn.SUMIFS('Калькуляция (МЭОР)'!$AK$25:$AK$367,'Калькуляция (МЭОР)'!$F$25:$F$367,$F206,'Калькуляция (МЭОР)'!$G$25:$G$367,$G206),IF(method_reg="Метод сравнения аналогов",_xlfn.SUMIFS('Калькуляция (МСА)'!$AF$25:$AF$103,'Калькуляция (МСА)'!$F$25:$F$103,$F206,'Калькуляция (МСА)'!$G$25:$G$103,$G206),_xlfn.SUMIFS(INDEX('Калькуляция (МИ)'!$AJ$25:$BC$603,,MATCH(AK$8,'Калькуляция (МИ)'!$AJ$8:$BC$8,0)),'Калькуляция (МИ)'!$F$25:$F$603,$F206,'Калькуляция (МИ)'!$G$25:$G$603,$G206))))</f>
        <v>0</v>
      </c>
      <c r="AL206" s="1104">
        <f>IF(AJ206=0,0,(AK206-AJ206)/AJ206*100)</f>
        <v>0</v>
      </c>
      <c r="AM206" s="4585">
        <f>IF(AND(method_reg="Метод индексации",god&lt;&gt;first_year),_xlfn.SUMIFS(INDEX('Калькуляция (МИ корр)'!$AJ$25:$BC$606,,MATCH(AM$8,'Калькуляция (МИ корр)'!$AJ$8:$BC$8,0)),'Калькуляция (МИ корр)'!$F$25:$F$606,$F206,'Калькуляция (МИ корр)'!$G$25:$G$606,$G206),IF(method_reg="Метод экономически обоснованных расходов",_xlfn.SUMIFS('Калькуляция (МЭОР)'!$AJ$25:$AJ$367,'Калькуляция (МЭОР)'!$F$25:$F$367,$F206,'Калькуляция (МЭОР)'!$G$25:$G$367,$G206),IF(method_reg="Метод сравнения аналогов",_xlfn.SUMIFS('Калькуляция (МСА)'!$AE$25:$AE$103,'Калькуляция (МСА)'!$F$25:$F$103,$F206,'Калькуляция (МСА)'!$G$25:$G$103,$G206),_xlfn.SUMIFS(INDEX('Калькуляция (МИ)'!$AJ$25:$BC$603,,MATCH(AM$8,'Калькуляция (МИ)'!$AJ$8:$BC$8,0)),'Калькуляция (МИ)'!$F$25:$F$603,$F206,'Калькуляция (МИ)'!$G$25:$G$603,$G206))))</f>
        <v>0</v>
      </c>
      <c r="AN206" s="4585">
        <f>IF(AND(method_reg="Метод индексации",god&lt;&gt;first_year),_xlfn.SUMIFS(INDEX('Калькуляция (МИ корр)'!$AJ$25:$BC$606,,MATCH(AN$8,'Калькуляция (МИ корр)'!$AJ$8:$BC$8,0)),'Калькуляция (МИ корр)'!$F$25:$F$606,$F206,'Калькуляция (МИ корр)'!$G$25:$G$606,$G206),IF(method_reg="Метод экономически обоснованных расходов",_xlfn.SUMIFS('Калькуляция (МЭОР)'!$AK$25:$AK$367,'Калькуляция (МЭОР)'!$F$25:$F$367,$F206,'Калькуляция (МЭОР)'!$G$25:$G$367,$G206),IF(method_reg="Метод сравнения аналогов",_xlfn.SUMIFS('Калькуляция (МСА)'!$AF$25:$AF$103,'Калькуляция (МСА)'!$F$25:$F$103,$F206,'Калькуляция (МСА)'!$G$25:$G$103,$G206),_xlfn.SUMIFS(INDEX('Калькуляция (МИ)'!$AJ$25:$BC$603,,MATCH(AN$8,'Калькуляция (МИ)'!$AJ$8:$BC$8,0)),'Калькуляция (МИ)'!$F$25:$F$603,$F206,'Калькуляция (МИ)'!$G$25:$G$603,$G206))))</f>
        <v>0</v>
      </c>
      <c r="AO206" s="1104">
        <f>IF(AM206=0,0,(AN206-AM206)/AM206*100)</f>
        <v>0</v>
      </c>
      <c r="AP206" s="4585">
        <f>IF(AND(method_reg="Метод индексации",god&lt;&gt;first_year),_xlfn.SUMIFS(INDEX('Калькуляция (МИ корр)'!$AJ$25:$BC$606,,MATCH(AP$8,'Калькуляция (МИ корр)'!$AJ$8:$BC$8,0)),'Калькуляция (МИ корр)'!$F$25:$F$606,$F206,'Калькуляция (МИ корр)'!$G$25:$G$606,$G206),IF(method_reg="Метод экономически обоснованных расходов",_xlfn.SUMIFS('Калькуляция (МЭОР)'!$AJ$25:$AJ$367,'Калькуляция (МЭОР)'!$F$25:$F$367,$F206,'Калькуляция (МЭОР)'!$G$25:$G$367,$G206),IF(method_reg="Метод сравнения аналогов",_xlfn.SUMIFS('Калькуляция (МСА)'!$AE$25:$AE$103,'Калькуляция (МСА)'!$F$25:$F$103,$F206,'Калькуляция (МСА)'!$G$25:$G$103,$G206),_xlfn.SUMIFS(INDEX('Калькуляция (МИ)'!$AJ$25:$BC$603,,MATCH(AP$8,'Калькуляция (МИ)'!$AJ$8:$BC$8,0)),'Калькуляция (МИ)'!$F$25:$F$603,$F206,'Калькуляция (МИ)'!$G$25:$G$603,$G206))))</f>
        <v>0</v>
      </c>
      <c r="AQ206" s="4585">
        <f>IF(AND(method_reg="Метод индексации",god&lt;&gt;first_year),_xlfn.SUMIFS(INDEX('Калькуляция (МИ корр)'!$AJ$25:$BC$606,,MATCH(AQ$8,'Калькуляция (МИ корр)'!$AJ$8:$BC$8,0)),'Калькуляция (МИ корр)'!$F$25:$F$606,$F206,'Калькуляция (МИ корр)'!$G$25:$G$606,$G206),IF(method_reg="Метод экономически обоснованных расходов",_xlfn.SUMIFS('Калькуляция (МЭОР)'!$AK$25:$AK$367,'Калькуляция (МЭОР)'!$F$25:$F$367,$F206,'Калькуляция (МЭОР)'!$G$25:$G$367,$G206),IF(method_reg="Метод сравнения аналогов",_xlfn.SUMIFS('Калькуляция (МСА)'!$AF$25:$AF$103,'Калькуляция (МСА)'!$F$25:$F$103,$F206,'Калькуляция (МСА)'!$G$25:$G$103,$G206),_xlfn.SUMIFS(INDEX('Калькуляция (МИ)'!$AJ$25:$BC$603,,MATCH(AQ$8,'Калькуляция (МИ)'!$AJ$8:$BC$8,0)),'Калькуляция (МИ)'!$F$25:$F$603,$F206,'Калькуляция (МИ)'!$G$25:$G$603,$G206))))</f>
        <v>0</v>
      </c>
      <c r="AR206" s="1104">
        <f>IF(AP206=0,0,(AQ206-AP206)/AP206*100)</f>
        <v>0</v>
      </c>
      <c r="AS206" s="4585">
        <f>IF(AND(method_reg="Метод индексации",god&lt;&gt;first_year),_xlfn.SUMIFS(INDEX('Калькуляция (МИ корр)'!$AJ$25:$BC$606,,MATCH(AS$8,'Калькуляция (МИ корр)'!$AJ$8:$BC$8,0)),'Калькуляция (МИ корр)'!$F$25:$F$606,$F206,'Калькуляция (МИ корр)'!$G$25:$G$606,$G206),IF(method_reg="Метод экономически обоснованных расходов",_xlfn.SUMIFS('Калькуляция (МЭОР)'!$AJ$25:$AJ$367,'Калькуляция (МЭОР)'!$F$25:$F$367,$F206,'Калькуляция (МЭОР)'!$G$25:$G$367,$G206),IF(method_reg="Метод сравнения аналогов",_xlfn.SUMIFS('Калькуляция (МСА)'!$AE$25:$AE$103,'Калькуляция (МСА)'!$F$25:$F$103,$F206,'Калькуляция (МСА)'!$G$25:$G$103,$G206),_xlfn.SUMIFS(INDEX('Калькуляция (МИ)'!$AJ$25:$BC$603,,MATCH(AS$8,'Калькуляция (МИ)'!$AJ$8:$BC$8,0)),'Калькуляция (МИ)'!$F$25:$F$603,$F206,'Калькуляция (МИ)'!$G$25:$G$603,$G206))))</f>
        <v>0</v>
      </c>
      <c r="AT206" s="4585">
        <f>IF(AND(method_reg="Метод индексации",god&lt;&gt;first_year),_xlfn.SUMIFS(INDEX('Калькуляция (МИ корр)'!$AJ$25:$BC$606,,MATCH(AT$8,'Калькуляция (МИ корр)'!$AJ$8:$BC$8,0)),'Калькуляция (МИ корр)'!$F$25:$F$606,$F206,'Калькуляция (МИ корр)'!$G$25:$G$606,$G206),IF(method_reg="Метод экономически обоснованных расходов",_xlfn.SUMIFS('Калькуляция (МЭОР)'!$AK$25:$AK$367,'Калькуляция (МЭОР)'!$F$25:$F$367,$F206,'Калькуляция (МЭОР)'!$G$25:$G$367,$G206),IF(method_reg="Метод сравнения аналогов",_xlfn.SUMIFS('Калькуляция (МСА)'!$AF$25:$AF$103,'Калькуляция (МСА)'!$F$25:$F$103,$F206,'Калькуляция (МСА)'!$G$25:$G$103,$G206),_xlfn.SUMIFS(INDEX('Калькуляция (МИ)'!$AJ$25:$BC$603,,MATCH(AT$8,'Калькуляция (МИ)'!$AJ$8:$BC$8,0)),'Калькуляция (МИ)'!$F$25:$F$603,$F206,'Калькуляция (МИ)'!$G$25:$G$603,$G206))))</f>
        <v>0</v>
      </c>
      <c r="AU206" s="1104">
        <f>IF(AS206=0,0,(AT206-AS206)/AS206*100)</f>
        <v>0</v>
      </c>
      <c r="AV206" s="4585">
        <f>IF(AND(method_reg="Метод индексации",god&lt;&gt;first_year),_xlfn.SUMIFS(INDEX('Калькуляция (МИ корр)'!$AJ$25:$BC$606,,MATCH(AV$8,'Калькуляция (МИ корр)'!$AJ$8:$BC$8,0)),'Калькуляция (МИ корр)'!$F$25:$F$606,$F206,'Калькуляция (МИ корр)'!$G$25:$G$606,$G206),IF(method_reg="Метод экономически обоснованных расходов",_xlfn.SUMIFS('Калькуляция (МЭОР)'!$AJ$25:$AJ$367,'Калькуляция (МЭОР)'!$F$25:$F$367,$F206,'Калькуляция (МЭОР)'!$G$25:$G$367,$G206),IF(method_reg="Метод сравнения аналогов",_xlfn.SUMIFS('Калькуляция (МСА)'!$AE$25:$AE$103,'Калькуляция (МСА)'!$F$25:$F$103,$F206,'Калькуляция (МСА)'!$G$25:$G$103,$G206),_xlfn.SUMIFS(INDEX('Калькуляция (МИ)'!$AJ$25:$BC$603,,MATCH(AV$8,'Калькуляция (МИ)'!$AJ$8:$BC$8,0)),'Калькуляция (МИ)'!$F$25:$F$603,$F206,'Калькуляция (МИ)'!$G$25:$G$603,$G206))))</f>
        <v>0</v>
      </c>
      <c r="AW206" s="4585">
        <f>IF(AND(method_reg="Метод индексации",god&lt;&gt;first_year),_xlfn.SUMIFS(INDEX('Калькуляция (МИ корр)'!$AJ$25:$BC$606,,MATCH(AW$8,'Калькуляция (МИ корр)'!$AJ$8:$BC$8,0)),'Калькуляция (МИ корр)'!$F$25:$F$606,$F206,'Калькуляция (МИ корр)'!$G$25:$G$606,$G206),IF(method_reg="Метод экономически обоснованных расходов",_xlfn.SUMIFS('Калькуляция (МЭОР)'!$AK$25:$AK$367,'Калькуляция (МЭОР)'!$F$25:$F$367,$F206,'Калькуляция (МЭОР)'!$G$25:$G$367,$G206),IF(method_reg="Метод сравнения аналогов",_xlfn.SUMIFS('Калькуляция (МСА)'!$AF$25:$AF$103,'Калькуляция (МСА)'!$F$25:$F$103,$F206,'Калькуляция (МСА)'!$G$25:$G$103,$G206),_xlfn.SUMIFS(INDEX('Калькуляция (МИ)'!$AJ$25:$BC$603,,MATCH(AW$8,'Калькуляция (МИ)'!$AJ$8:$BC$8,0)),'Калькуляция (МИ)'!$F$25:$F$603,$F206,'Калькуляция (МИ)'!$G$25:$G$603,$G206))))</f>
        <v>0</v>
      </c>
      <c r="AX206" s="1104">
        <f>IF(AV206=0,0,(AW206-AV206)/AV206*100)</f>
        <v>0</v>
      </c>
      <c r="AY206" s="4585">
        <f>IF(AND(method_reg="Метод индексации",god&lt;&gt;first_year),_xlfn.SUMIFS(INDEX('Калькуляция (МИ корр)'!$AJ$25:$BC$606,,MATCH(AY$8,'Калькуляция (МИ корр)'!$AJ$8:$BC$8,0)),'Калькуляция (МИ корр)'!$F$25:$F$606,$F206,'Калькуляция (МИ корр)'!$G$25:$G$606,$G206),IF(method_reg="Метод экономически обоснованных расходов",_xlfn.SUMIFS('Калькуляция (МЭОР)'!$AJ$25:$AJ$367,'Калькуляция (МЭОР)'!$F$25:$F$367,$F206,'Калькуляция (МЭОР)'!$G$25:$G$367,$G206),IF(method_reg="Метод сравнения аналогов",_xlfn.SUMIFS('Калькуляция (МСА)'!$AE$25:$AE$103,'Калькуляция (МСА)'!$F$25:$F$103,$F206,'Калькуляция (МСА)'!$G$25:$G$103,$G206),_xlfn.SUMIFS(INDEX('Калькуляция (МИ)'!$AJ$25:$BC$603,,MATCH(AY$8,'Калькуляция (МИ)'!$AJ$8:$BC$8,0)),'Калькуляция (МИ)'!$F$25:$F$603,$F206,'Калькуляция (МИ)'!$G$25:$G$603,$G206))))</f>
        <v>0</v>
      </c>
      <c r="AZ206" s="4585">
        <f>IF(AND(method_reg="Метод индексации",god&lt;&gt;first_year),_xlfn.SUMIFS(INDEX('Калькуляция (МИ корр)'!$AJ$25:$BC$606,,MATCH(AZ$8,'Калькуляция (МИ корр)'!$AJ$8:$BC$8,0)),'Калькуляция (МИ корр)'!$F$25:$F$606,$F206,'Калькуляция (МИ корр)'!$G$25:$G$606,$G206),IF(method_reg="Метод экономически обоснованных расходов",_xlfn.SUMIFS('Калькуляция (МЭОР)'!$AK$25:$AK$367,'Калькуляция (МЭОР)'!$F$25:$F$367,$F206,'Калькуляция (МЭОР)'!$G$25:$G$367,$G206),IF(method_reg="Метод сравнения аналогов",_xlfn.SUMIFS('Калькуляция (МСА)'!$AF$25:$AF$103,'Калькуляция (МСА)'!$F$25:$F$103,$F206,'Калькуляция (МСА)'!$G$25:$G$103,$G206),_xlfn.SUMIFS(INDEX('Калькуляция (МИ)'!$AJ$25:$BC$603,,MATCH(AZ$8,'Калькуляция (МИ)'!$AJ$8:$BC$8,0)),'Калькуляция (МИ)'!$F$25:$F$603,$F206,'Калькуляция (МИ)'!$G$25:$G$603,$G206))))</f>
        <v>0</v>
      </c>
      <c r="BA206" s="1104">
        <f>IF(AY206=0,0,(AZ206-AY206)/AY206*100)</f>
        <v>0</v>
      </c>
      <c r="BB206" s="4585">
        <f>IF(AND(method_reg="Метод индексации",god&lt;&gt;first_year),_xlfn.SUMIFS(INDEX('Калькуляция (МИ корр)'!$AJ$25:$BC$606,,MATCH(BB$8,'Калькуляция (МИ корр)'!$AJ$8:$BC$8,0)),'Калькуляция (МИ корр)'!$F$25:$F$606,$F206,'Калькуляция (МИ корр)'!$G$25:$G$606,$G206),IF(method_reg="Метод экономически обоснованных расходов",_xlfn.SUMIFS('Калькуляция (МЭОР)'!$AJ$25:$AJ$367,'Калькуляция (МЭОР)'!$F$25:$F$367,$F206,'Калькуляция (МЭОР)'!$G$25:$G$367,$G206),IF(method_reg="Метод сравнения аналогов",_xlfn.SUMIFS('Калькуляция (МСА)'!$AE$25:$AE$103,'Калькуляция (МСА)'!$F$25:$F$103,$F206,'Калькуляция (МСА)'!$G$25:$G$103,$G206),_xlfn.SUMIFS(INDEX('Калькуляция (МИ)'!$AJ$25:$BC$603,,MATCH(BB$8,'Калькуляция (МИ)'!$AJ$8:$BC$8,0)),'Калькуляция (МИ)'!$F$25:$F$603,$F206,'Калькуляция (МИ)'!$G$25:$G$603,$G206))))</f>
        <v>0</v>
      </c>
      <c r="BC206" s="4585">
        <f>IF(AND(method_reg="Метод индексации",god&lt;&gt;first_year),_xlfn.SUMIFS(INDEX('Калькуляция (МИ корр)'!$AJ$25:$BC$606,,MATCH(BC$8,'Калькуляция (МИ корр)'!$AJ$8:$BC$8,0)),'Калькуляция (МИ корр)'!$F$25:$F$606,$F206,'Калькуляция (МИ корр)'!$G$25:$G$606,$G206),IF(method_reg="Метод экономически обоснованных расходов",_xlfn.SUMIFS('Калькуляция (МЭОР)'!$AK$25:$AK$367,'Калькуляция (МЭОР)'!$F$25:$F$367,$F206,'Калькуляция (МЭОР)'!$G$25:$G$367,$G206),IF(method_reg="Метод сравнения аналогов",_xlfn.SUMIFS('Калькуляция (МСА)'!$AF$25:$AF$103,'Калькуляция (МСА)'!$F$25:$F$103,$F206,'Калькуляция (МСА)'!$G$25:$G$103,$G206),_xlfn.SUMIFS(INDEX('Калькуляция (МИ)'!$AJ$25:$BC$603,,MATCH(BC$8,'Калькуляция (МИ)'!$AJ$8:$BC$8,0)),'Калькуляция (МИ)'!$F$25:$F$603,$F206,'Калькуляция (МИ)'!$G$25:$G$603,$G206))))</f>
        <v>0</v>
      </c>
      <c r="BD206" s="1104">
        <f>IF(BB206=0,0,(BC206-BB206)/BB206*100)</f>
        <v>0</v>
      </c>
      <c r="BE206" s="4585">
        <f>IF(AND(method_reg="Метод индексации",god&lt;&gt;first_year),_xlfn.SUMIFS(INDEX('Калькуляция (МИ корр)'!$AJ$25:$BC$606,,MATCH(BE$8,'Калькуляция (МИ корр)'!$AJ$8:$BC$8,0)),'Калькуляция (МИ корр)'!$F$25:$F$606,$F206,'Калькуляция (МИ корр)'!$G$25:$G$606,$G206),IF(method_reg="Метод экономически обоснованных расходов",_xlfn.SUMIFS('Калькуляция (МЭОР)'!$AJ$25:$AJ$367,'Калькуляция (МЭОР)'!$F$25:$F$367,$F206,'Калькуляция (МЭОР)'!$G$25:$G$367,$G206),IF(method_reg="Метод сравнения аналогов",_xlfn.SUMIFS('Калькуляция (МСА)'!$AE$25:$AE$103,'Калькуляция (МСА)'!$F$25:$F$103,$F206,'Калькуляция (МСА)'!$G$25:$G$103,$G206),_xlfn.SUMIFS(INDEX('Калькуляция (МИ)'!$AJ$25:$BC$603,,MATCH(BE$8,'Калькуляция (МИ)'!$AJ$8:$BC$8,0)),'Калькуляция (МИ)'!$F$25:$F$603,$F206,'Калькуляция (МИ)'!$G$25:$G$603,$G206))))</f>
        <v>0</v>
      </c>
      <c r="BF206" s="4585">
        <f>IF(AND(method_reg="Метод индексации",god&lt;&gt;first_year),_xlfn.SUMIFS(INDEX('Калькуляция (МИ корр)'!$AJ$25:$BC$606,,MATCH(BF$8,'Калькуляция (МИ корр)'!$AJ$8:$BC$8,0)),'Калькуляция (МИ корр)'!$F$25:$F$606,$F206,'Калькуляция (МИ корр)'!$G$25:$G$606,$G206),IF(method_reg="Метод экономически обоснованных расходов",_xlfn.SUMIFS('Калькуляция (МЭОР)'!$AK$25:$AK$367,'Калькуляция (МЭОР)'!$F$25:$F$367,$F206,'Калькуляция (МЭОР)'!$G$25:$G$367,$G206),IF(method_reg="Метод сравнения аналогов",_xlfn.SUMIFS('Калькуляция (МСА)'!$AF$25:$AF$103,'Калькуляция (МСА)'!$F$25:$F$103,$F206,'Калькуляция (МСА)'!$G$25:$G$103,$G206),_xlfn.SUMIFS(INDEX('Калькуляция (МИ)'!$AJ$25:$BC$603,,MATCH(BF$8,'Калькуляция (МИ)'!$AJ$8:$BC$8,0)),'Калькуляция (МИ)'!$F$25:$F$603,$F206,'Калькуляция (МИ)'!$G$25:$G$603,$G206))))</f>
        <v>0</v>
      </c>
      <c r="BG206" s="1113">
        <f>IF(BE206=0,0,(BF206-BE206)/BE206*100)</f>
        <v>0</v>
      </c>
      <c r="BH206" s="4585"/>
      <c r="BI206" s="4585"/>
      <c r="BJ206" s="1113">
        <f>IF(BH206=0,0,(BI206-BH206)/BH206*100)</f>
        <v>0</v>
      </c>
      <c r="BK206" s="4585"/>
      <c r="BL206" s="4585"/>
      <c r="BM206" s="1113">
        <f>IF(BK206=0,0,(BL206-BK206)/BK206*100)</f>
        <v>0</v>
      </c>
      <c r="BN206" s="4585"/>
      <c r="BO206" s="4585"/>
      <c r="BP206" s="1113">
        <f>IF(BN206=0,0,(BO206-BN206)/BN206*100)</f>
        <v>0</v>
      </c>
      <c r="BQ206" s="4585"/>
      <c r="BR206" s="4585"/>
      <c r="BS206" s="1113">
        <f>IF(BQ206=0,0,(BR206-BQ206)/BQ206*100)</f>
        <v>0</v>
      </c>
      <c r="BT206" s="4585"/>
      <c r="BU206" s="4585"/>
      <c r="BV206" s="1113">
        <f>IF(BT206=0,0,(BU206-BT206)/BT206*100)</f>
        <v>0</v>
      </c>
      <c r="BW206" s="4585"/>
      <c r="BX206" s="4585"/>
      <c r="BY206" s="1113">
        <f>IF(BW206=0,0,(BX206-BW206)/BW206*100)</f>
        <v>0</v>
      </c>
      <c r="BZ206" s="4585"/>
      <c r="CA206" s="4585"/>
      <c r="CB206" s="1113">
        <f>IF(BZ206=0,0,(CA206-BZ206)/BZ206*100)</f>
        <v>0</v>
      </c>
      <c r="CC206" s="4585"/>
      <c r="CD206" s="4585"/>
      <c r="CE206" s="1113">
        <f>IF(CC206=0,0,(CD206-CC206)/CC206*100)</f>
        <v>0</v>
      </c>
      <c r="CF206" s="4585"/>
      <c r="CG206" s="4585"/>
      <c r="CH206" s="1113">
        <f>IF(CF206=0,0,(CG206-CF206)/CF206*100)</f>
        <v>0</v>
      </c>
      <c r="CI206" s="4585"/>
      <c r="CJ206" s="4585"/>
      <c r="CK206" s="1113">
        <f>IF(CI206=0,0,(CJ206-CI206)/CI206*100)</f>
        <v>0</v>
      </c>
      <c r="CL206" s="4585"/>
      <c r="CM206" s="4585"/>
      <c r="CN206" s="1113">
        <f>IF(CL206=0,0,(CM206-CL206)/CL206*100)</f>
        <v>0</v>
      </c>
      <c r="CO206" s="4585"/>
      <c r="CP206" s="4585"/>
      <c r="CQ206" s="1113">
        <f>IF(CO206=0,0,(CP206-CO206)/CO206*100)</f>
        <v>0</v>
      </c>
      <c r="CR206" s="4585"/>
      <c r="CS206" s="4585"/>
      <c r="CT206" s="1113">
        <f>IF(CR206=0,0,(CS206-CR206)/CR206*100)</f>
        <v>0</v>
      </c>
      <c r="CU206" s="4585"/>
      <c r="CV206" s="4585"/>
      <c r="CW206" s="1113">
        <f>IF(CU206=0,0,(CV206-CU206)/CU206*100)</f>
        <v>0</v>
      </c>
      <c r="CX206" s="4585"/>
      <c r="CY206" s="4585"/>
      <c r="CZ206" s="1113">
        <f>IF(CX206=0,0,(CY206-CX206)/CX206*100)</f>
        <v>0</v>
      </c>
      <c r="DA206" s="4585"/>
      <c r="DB206" s="4585"/>
      <c r="DC206" s="1113">
        <f>IF(DA206=0,0,(DB206-DA206)/DA206*100)</f>
        <v>0</v>
      </c>
      <c r="DD206" s="4585"/>
      <c r="DE206" s="4585"/>
      <c r="DF206" s="1113">
        <f>IF(DD206=0,0,(DE206-DD206)/DD206*100)</f>
        <v>0</v>
      </c>
      <c r="DG206" s="4585"/>
      <c r="DH206" s="4585"/>
      <c r="DI206" s="1113">
        <f>IF(DG206=0,0,(DH206-DG206)/DG206*100)</f>
        <v>0</v>
      </c>
      <c r="DJ206" s="4585"/>
      <c r="DK206" s="4585"/>
      <c r="DL206" s="1113">
        <f>IF(DJ206=0,0,(DK206-DJ206)/DJ206*100)</f>
        <v>0</v>
      </c>
      <c r="DM206" s="4585"/>
      <c r="DN206" s="4585"/>
      <c r="DO206" s="1113">
        <f>IF(DM206=0,0,(DN206-DM206)/DM206*100)</f>
        <v>0</v>
      </c>
      <c r="DP206" s="4585"/>
      <c r="DQ206" s="4585"/>
      <c r="DR206" s="1113">
        <f>IF(DP206=0,0,(DQ206-DP206)/DP206*100)</f>
        <v>0</v>
      </c>
      <c r="DS206" s="4585"/>
      <c r="DT206" s="4585"/>
      <c r="DU206" s="1113">
        <f>IF(DS206=0,0,(DT206-DS206)/DS206*100)</f>
        <v>0</v>
      </c>
      <c r="DV206" s="4585"/>
      <c r="DW206" s="4585"/>
      <c r="DX206" s="1113">
        <f>IF(DV206=0,0,(DW206-DV206)/DV206*100)</f>
        <v>0</v>
      </c>
      <c r="DY206" s="4585"/>
      <c r="DZ206" s="4585"/>
      <c r="EA206" s="1113">
        <f>IF(DY206=0,0,(DZ206-DY206)/DY206*100)</f>
        <v>0</v>
      </c>
      <c r="EB206" s="4585"/>
      <c r="EC206" s="4585"/>
      <c r="ED206" s="1113">
        <f>IF(EB206=0,0,(EC206-EB206)/EB206*100)</f>
        <v>0</v>
      </c>
      <c r="EE206" s="4585"/>
      <c r="EF206" s="4585"/>
      <c r="EG206" s="1113">
        <f>IF(EE206=0,0,(EF206-EE206)/EE206*100)</f>
        <v>0</v>
      </c>
      <c r="EH206" s="4585"/>
      <c r="EI206" s="4585"/>
      <c r="EJ206" s="1113">
        <f>IF(EH206=0,0,(EI206-EH206)/EH206*100)</f>
        <v>0</v>
      </c>
      <c r="EK206" s="4585"/>
      <c r="EL206" s="4585"/>
      <c r="EM206" s="1113">
        <f>IF(EK206=0,0,(EL206-EK206)/EK206*100)</f>
        <v>0</v>
      </c>
      <c r="EN206" s="4585"/>
      <c r="EO206" s="4585"/>
      <c r="EP206" s="1113">
        <f>IF(EN206=0,0,(EO206-EN206)/EN206*100)</f>
        <v>0</v>
      </c>
      <c r="EQ206" s="4585"/>
      <c r="ER206" s="4585"/>
      <c r="ES206" s="1113">
        <f>IF(EQ206=0,0,(ER206-EQ206)/EQ206*100)</f>
        <v>0</v>
      </c>
      <c r="ET206" s="4585"/>
      <c r="EU206" s="4585"/>
      <c r="EV206" s="1113">
        <f>IF(ET206=0,0,(EU206-ET206)/ET206*100)</f>
        <v>0</v>
      </c>
      <c r="EW206" s="4585"/>
      <c r="EX206" s="4585"/>
      <c r="EY206" s="1113">
        <f>IF(EW206=0,0,(EX206-EW206)/EW206*100)</f>
        <v>0</v>
      </c>
      <c r="EZ206" s="4585"/>
      <c r="FA206" s="4585"/>
      <c r="FB206" s="1113">
        <f>IF(EZ206=0,0,(FA206-EZ206)/EZ206*100)</f>
        <v>0</v>
      </c>
      <c r="FC206" s="4585"/>
      <c r="FD206" s="4585"/>
      <c r="FE206" s="1113">
        <f>IF(FC206=0,0,(FD206-FC206)/FC206*100)</f>
        <v>0</v>
      </c>
      <c r="FF206" s="4585"/>
      <c r="FG206" s="4585"/>
      <c r="FH206" s="1113">
        <f>IF(FF206=0,0,(FG206-FF206)/FF206*100)</f>
        <v>0</v>
      </c>
      <c r="FI206" s="4585"/>
      <c r="FJ206" s="4585"/>
      <c r="FK206" s="1113">
        <f>IF(FI206=0,0,(FJ206-FI206)/FI206*100)</f>
        <v>0</v>
      </c>
      <c r="FL206" s="4585"/>
      <c r="FM206" s="4585"/>
      <c r="FN206" s="1113">
        <f>IF(FL206=0,0,(FM206-FL206)/FL206*100)</f>
        <v>0</v>
      </c>
      <c r="FO206" s="4585"/>
      <c r="FP206" s="4585"/>
      <c r="FQ206" s="1113">
        <f>IF(FO206=0,0,(FP206-FO206)/FO206*100)</f>
        <v>0</v>
      </c>
      <c r="FR206" s="4585"/>
      <c r="FS206" s="4585"/>
      <c r="FT206" s="1113">
        <f>IF(FR206=0,0,(FS206-FR206)/FR206*100)</f>
        <v>0</v>
      </c>
      <c r="FU206" s="4585"/>
      <c r="FV206" s="4585"/>
      <c r="FW206" s="1113">
        <f>IF(FU206=0,0,(FV206-FU206)/FU206*100)</f>
        <v>0</v>
      </c>
      <c r="FX206" s="1328"/>
      <c r="FY206" s="1328"/>
      <c r="FZ206" s="1063" t="s">
        <v>1912</v>
      </c>
      <c r="GA206" s="1330"/>
      <c r="GB206" s="1330"/>
      <c r="GC206" s="1329"/>
      <c r="GD206" s="1329"/>
    </row>
    <row s="1656" customFormat="1" customHeight="1" ht="21.75" hidden="1">
      <c r="A207" s="496"/>
      <c r="B207" s="932" cm="1" t="str">
        <f t="array" ref="B207:B207">B206</f>
        <v>false</v>
      </c>
      <c r="C207" s="496"/>
      <c r="D207" s="496"/>
      <c r="E207" s="847">
        <v>22.5</v>
      </c>
      <c r="F207" s="50" cm="1" t="str">
        <f t="array" ref="F207:F207">OFFSET(E207,-1,1)</f>
        <v>2</v>
      </c>
      <c r="G207" s="496"/>
      <c r="H207" s="496" t="s">
        <v>1901</v>
      </c>
      <c r="I207" s="496" t="s">
        <v>1865</v>
      </c>
      <c r="J207" s="496"/>
      <c r="K207" s="496"/>
      <c r="L207" s="496"/>
      <c r="M207" s="496"/>
      <c r="N207" s="496"/>
      <c r="O207" s="496"/>
      <c r="P207" s="496"/>
      <c r="Q207" s="496"/>
      <c r="R207" s="496"/>
      <c r="S207" s="496"/>
      <c r="T207" s="468" cm="1" t="str">
        <f t="array" ref="T207:T207">T206</f>
        <v>true</v>
      </c>
      <c r="U207" s="496"/>
      <c r="V207" s="496"/>
      <c r="W207" s="496"/>
      <c r="X207" s="1559"/>
      <c r="Y207" s="496"/>
      <c r="Z207" s="1528"/>
      <c r="AA207" s="496"/>
      <c r="AB207" s="1100" t="str">
        <f>"ставка платы за содержание системы "&amp;IF(Q179="Водоснабжение","холодного водоснабжения","водоотведения")</f>
        <v>ставка платы за содержание системы водоотведения</v>
      </c>
      <c r="AC207" s="871" t="s">
        <v>1902</v>
      </c>
      <c r="AD207" s="4591"/>
      <c r="AE207" s="4591"/>
      <c r="AF207" s="1102">
        <f>IF(AD207=0,0,(AE207-AD207)/AD207*100)</f>
        <v>0</v>
      </c>
      <c r="AG207" s="4591"/>
      <c r="AH207" s="4591"/>
      <c r="AI207" s="1102">
        <f>IF(AG207=0,0,(AH207-AG207)/AG207*100)</f>
        <v>0</v>
      </c>
      <c r="AJ207" s="4591"/>
      <c r="AK207" s="4591"/>
      <c r="AL207" s="1102">
        <f>IF(AJ207=0,0,(AK207-AJ207)/AJ207*100)</f>
        <v>0</v>
      </c>
      <c r="AM207" s="4591"/>
      <c r="AN207" s="4591"/>
      <c r="AO207" s="1102">
        <f>IF(AM207=0,0,(AN207-AM207)/AM207*100)</f>
        <v>0</v>
      </c>
      <c r="AP207" s="4591"/>
      <c r="AQ207" s="4591"/>
      <c r="AR207" s="1102">
        <f>IF(AP207=0,0,(AQ207-AP207)/AP207*100)</f>
        <v>0</v>
      </c>
      <c r="AS207" s="4591"/>
      <c r="AT207" s="4591"/>
      <c r="AU207" s="1102">
        <f>IF(AS207=0,0,(AT207-AS207)/AS207*100)</f>
        <v>0</v>
      </c>
      <c r="AV207" s="4591"/>
      <c r="AW207" s="4591"/>
      <c r="AX207" s="1102">
        <f>IF(AV207=0,0,(AW207-AV207)/AV207*100)</f>
        <v>0</v>
      </c>
      <c r="AY207" s="4591"/>
      <c r="AZ207" s="4591"/>
      <c r="BA207" s="1102">
        <f>IF(AY207=0,0,(AZ207-AY207)/AY207*100)</f>
        <v>0</v>
      </c>
      <c r="BB207" s="4591"/>
      <c r="BC207" s="4591"/>
      <c r="BD207" s="1102">
        <f>IF(BB207=0,0,(BC207-BB207)/BB207*100)</f>
        <v>0</v>
      </c>
      <c r="BE207" s="4591"/>
      <c r="BF207" s="4591"/>
      <c r="BG207" s="1102">
        <f>IF(BE207=0,0,(BF207-BE207)/BE207*100)</f>
        <v>0</v>
      </c>
      <c r="BH207" s="4591"/>
      <c r="BI207" s="4591"/>
      <c r="BJ207" s="1102">
        <f>IF(BH207=0,0,(BI207-BH207)/BH207*100)</f>
        <v>0</v>
      </c>
      <c r="BK207" s="4591"/>
      <c r="BL207" s="4591"/>
      <c r="BM207" s="1102">
        <f>IF(BK207=0,0,(BL207-BK207)/BK207*100)</f>
        <v>0</v>
      </c>
      <c r="BN207" s="4591"/>
      <c r="BO207" s="4591"/>
      <c r="BP207" s="1102">
        <f>IF(BN207=0,0,(BO207-BN207)/BN207*100)</f>
        <v>0</v>
      </c>
      <c r="BQ207" s="4591"/>
      <c r="BR207" s="4591"/>
      <c r="BS207" s="1102">
        <f>IF(BQ207=0,0,(BR207-BQ207)/BQ207*100)</f>
        <v>0</v>
      </c>
      <c r="BT207" s="4591"/>
      <c r="BU207" s="4591"/>
      <c r="BV207" s="1102">
        <f>IF(BT207=0,0,(BU207-BT207)/BT207*100)</f>
        <v>0</v>
      </c>
      <c r="BW207" s="4591"/>
      <c r="BX207" s="4591"/>
      <c r="BY207" s="1102">
        <f>IF(BW207=0,0,(BX207-BW207)/BW207*100)</f>
        <v>0</v>
      </c>
      <c r="BZ207" s="4591"/>
      <c r="CA207" s="4591"/>
      <c r="CB207" s="1102">
        <f>IF(BZ207=0,0,(CA207-BZ207)/BZ207*100)</f>
        <v>0</v>
      </c>
      <c r="CC207" s="4591"/>
      <c r="CD207" s="4591"/>
      <c r="CE207" s="1102">
        <f>IF(CC207=0,0,(CD207-CC207)/CC207*100)</f>
        <v>0</v>
      </c>
      <c r="CF207" s="4591"/>
      <c r="CG207" s="4591"/>
      <c r="CH207" s="1102">
        <f>IF(CF207=0,0,(CG207-CF207)/CF207*100)</f>
        <v>0</v>
      </c>
      <c r="CI207" s="4591"/>
      <c r="CJ207" s="4591"/>
      <c r="CK207" s="1102">
        <f>IF(CI207=0,0,(CJ207-CI207)/CI207*100)</f>
        <v>0</v>
      </c>
      <c r="CL207" s="4591"/>
      <c r="CM207" s="4591"/>
      <c r="CN207" s="1102">
        <f>IF(CL207=0,0,(CM207-CL207)/CL207*100)</f>
        <v>0</v>
      </c>
      <c r="CO207" s="4591"/>
      <c r="CP207" s="4591"/>
      <c r="CQ207" s="1102">
        <f>IF(CO207=0,0,(CP207-CO207)/CO207*100)</f>
        <v>0</v>
      </c>
      <c r="CR207" s="4591"/>
      <c r="CS207" s="4591"/>
      <c r="CT207" s="1102">
        <f>IF(CR207=0,0,(CS207-CR207)/CR207*100)</f>
        <v>0</v>
      </c>
      <c r="CU207" s="4591"/>
      <c r="CV207" s="4591"/>
      <c r="CW207" s="1102">
        <f>IF(CU207=0,0,(CV207-CU207)/CU207*100)</f>
        <v>0</v>
      </c>
      <c r="CX207" s="4591"/>
      <c r="CY207" s="4591"/>
      <c r="CZ207" s="1102">
        <f>IF(CX207=0,0,(CY207-CX207)/CX207*100)</f>
        <v>0</v>
      </c>
      <c r="DA207" s="4591"/>
      <c r="DB207" s="4591"/>
      <c r="DC207" s="1102">
        <f>IF(DA207=0,0,(DB207-DA207)/DA207*100)</f>
        <v>0</v>
      </c>
      <c r="DD207" s="4591"/>
      <c r="DE207" s="4591"/>
      <c r="DF207" s="1102">
        <f>IF(DD207=0,0,(DE207-DD207)/DD207*100)</f>
        <v>0</v>
      </c>
      <c r="DG207" s="4591"/>
      <c r="DH207" s="4591"/>
      <c r="DI207" s="1102">
        <f>IF(DG207=0,0,(DH207-DG207)/DG207*100)</f>
        <v>0</v>
      </c>
      <c r="DJ207" s="4591"/>
      <c r="DK207" s="4591"/>
      <c r="DL207" s="1102">
        <f>IF(DJ207=0,0,(DK207-DJ207)/DJ207*100)</f>
        <v>0</v>
      </c>
      <c r="DM207" s="4591"/>
      <c r="DN207" s="4591"/>
      <c r="DO207" s="1102">
        <f>IF(DM207=0,0,(DN207-DM207)/DM207*100)</f>
        <v>0</v>
      </c>
      <c r="DP207" s="4591"/>
      <c r="DQ207" s="4591"/>
      <c r="DR207" s="1102">
        <f>IF(DP207=0,0,(DQ207-DP207)/DP207*100)</f>
        <v>0</v>
      </c>
      <c r="DS207" s="4591"/>
      <c r="DT207" s="4591"/>
      <c r="DU207" s="1102">
        <f>IF(DS207=0,0,(DT207-DS207)/DS207*100)</f>
        <v>0</v>
      </c>
      <c r="DV207" s="4591"/>
      <c r="DW207" s="4591"/>
      <c r="DX207" s="1102">
        <f>IF(DV207=0,0,(DW207-DV207)/DV207*100)</f>
        <v>0</v>
      </c>
      <c r="DY207" s="4591"/>
      <c r="DZ207" s="4591"/>
      <c r="EA207" s="1102">
        <f>IF(DY207=0,0,(DZ207-DY207)/DY207*100)</f>
        <v>0</v>
      </c>
      <c r="EB207" s="4591"/>
      <c r="EC207" s="4591"/>
      <c r="ED207" s="1102">
        <f>IF(EB207=0,0,(EC207-EB207)/EB207*100)</f>
        <v>0</v>
      </c>
      <c r="EE207" s="4591"/>
      <c r="EF207" s="4591"/>
      <c r="EG207" s="1102">
        <f>IF(EE207=0,0,(EF207-EE207)/EE207*100)</f>
        <v>0</v>
      </c>
      <c r="EH207" s="4591"/>
      <c r="EI207" s="4591"/>
      <c r="EJ207" s="1102">
        <f>IF(EH207=0,0,(EI207-EH207)/EH207*100)</f>
        <v>0</v>
      </c>
      <c r="EK207" s="4591"/>
      <c r="EL207" s="4591"/>
      <c r="EM207" s="1102">
        <f>IF(EK207=0,0,(EL207-EK207)/EK207*100)</f>
        <v>0</v>
      </c>
      <c r="EN207" s="4591"/>
      <c r="EO207" s="4591"/>
      <c r="EP207" s="1102">
        <f>IF(EN207=0,0,(EO207-EN207)/EN207*100)</f>
        <v>0</v>
      </c>
      <c r="EQ207" s="4591"/>
      <c r="ER207" s="4591"/>
      <c r="ES207" s="1102">
        <f>IF(EQ207=0,0,(ER207-EQ207)/EQ207*100)</f>
        <v>0</v>
      </c>
      <c r="ET207" s="4591"/>
      <c r="EU207" s="4591"/>
      <c r="EV207" s="1102">
        <f>IF(ET207=0,0,(EU207-ET207)/ET207*100)</f>
        <v>0</v>
      </c>
      <c r="EW207" s="4591"/>
      <c r="EX207" s="4591"/>
      <c r="EY207" s="1102">
        <f>IF(EW207=0,0,(EX207-EW207)/EW207*100)</f>
        <v>0</v>
      </c>
      <c r="EZ207" s="4591"/>
      <c r="FA207" s="4591"/>
      <c r="FB207" s="1102">
        <f>IF(EZ207=0,0,(FA207-EZ207)/EZ207*100)</f>
        <v>0</v>
      </c>
      <c r="FC207" s="4591"/>
      <c r="FD207" s="4591"/>
      <c r="FE207" s="1102">
        <f>IF(FC207=0,0,(FD207-FC207)/FC207*100)</f>
        <v>0</v>
      </c>
      <c r="FF207" s="4591"/>
      <c r="FG207" s="4591"/>
      <c r="FH207" s="1102">
        <f>IF(FF207=0,0,(FG207-FF207)/FF207*100)</f>
        <v>0</v>
      </c>
      <c r="FI207" s="4591"/>
      <c r="FJ207" s="4591"/>
      <c r="FK207" s="1102">
        <f>IF(FI207=0,0,(FJ207-FI207)/FI207*100)</f>
        <v>0</v>
      </c>
      <c r="FL207" s="4591"/>
      <c r="FM207" s="4591"/>
      <c r="FN207" s="1102">
        <f>IF(FL207=0,0,(FM207-FL207)/FL207*100)</f>
        <v>0</v>
      </c>
      <c r="FO207" s="4591"/>
      <c r="FP207" s="4591"/>
      <c r="FQ207" s="1102">
        <f>IF(FO207=0,0,(FP207-FO207)/FO207*100)</f>
        <v>0</v>
      </c>
      <c r="FR207" s="4591"/>
      <c r="FS207" s="4591"/>
      <c r="FT207" s="1102">
        <f>IF(FR207=0,0,(FS207-FR207)/FR207*100)</f>
        <v>0</v>
      </c>
      <c r="FU207" s="4591"/>
      <c r="FV207" s="4591"/>
      <c r="FW207" s="1102">
        <f>IF(FU207=0,0,(FV207-FU207)/FU207*100)</f>
        <v>0</v>
      </c>
      <c r="FX207" s="1328"/>
      <c r="FY207" s="1328"/>
      <c r="FZ207" s="1063" t="s">
        <v>1913</v>
      </c>
      <c r="GA207" s="1330"/>
      <c r="GB207" s="1330"/>
      <c r="GC207" s="1329"/>
      <c r="GD207" s="1329"/>
    </row>
    <row s="1656" customFormat="1" customHeight="1" ht="14.25" hidden="1">
      <c r="A208" s="496"/>
      <c r="B208" s="932" cm="1" t="str">
        <f t="array" ref="B208:B208">B207</f>
        <v>false</v>
      </c>
      <c r="C208" s="496"/>
      <c r="D208" s="496"/>
      <c r="E208" s="847">
        <v>15</v>
      </c>
      <c r="F208" s="50" cm="1" t="str">
        <f t="array" ref="F208:F208">OFFSET(E208,-1,1)</f>
        <v>2</v>
      </c>
      <c r="G208" s="496"/>
      <c r="H208" s="496" t="s">
        <v>1904</v>
      </c>
      <c r="I208" s="496" t="s">
        <v>1865</v>
      </c>
      <c r="J208" s="496"/>
      <c r="K208" s="496"/>
      <c r="L208" s="496"/>
      <c r="M208" s="496"/>
      <c r="N208" s="496"/>
      <c r="O208" s="496"/>
      <c r="P208" s="496"/>
      <c r="Q208" s="496"/>
      <c r="R208" s="496"/>
      <c r="S208" s="496"/>
      <c r="T208" s="468" cm="1" t="str">
        <f t="array" ref="T208:T208">T207</f>
        <v>true</v>
      </c>
      <c r="U208" s="496"/>
      <c r="V208" s="496"/>
      <c r="W208" s="496"/>
      <c r="X208" s="1559"/>
      <c r="Y208" s="496"/>
      <c r="Z208" s="1528"/>
      <c r="AA208" s="496"/>
      <c r="AB208" s="1100" t="s">
        <v>1905</v>
      </c>
      <c r="AC208" s="871" t="s">
        <v>1906</v>
      </c>
      <c r="AD208" s="4591"/>
      <c r="AE208" s="4591"/>
      <c r="AF208" s="1102">
        <f>IF(AD208=0,0,(AE208-AD208)/AD208*100)</f>
        <v>0</v>
      </c>
      <c r="AG208" s="4591"/>
      <c r="AH208" s="4591"/>
      <c r="AI208" s="1102">
        <f>IF(AG208=0,0,(AH208-AG208)/AG208*100)</f>
        <v>0</v>
      </c>
      <c r="AJ208" s="4591"/>
      <c r="AK208" s="4591"/>
      <c r="AL208" s="1102">
        <f>IF(AJ208=0,0,(AK208-AJ208)/AJ208*100)</f>
        <v>0</v>
      </c>
      <c r="AM208" s="4591"/>
      <c r="AN208" s="4591"/>
      <c r="AO208" s="1102">
        <f>IF(AM208=0,0,(AN208-AM208)/AM208*100)</f>
        <v>0</v>
      </c>
      <c r="AP208" s="4591"/>
      <c r="AQ208" s="4591"/>
      <c r="AR208" s="1102">
        <f>IF(AP208=0,0,(AQ208-AP208)/AP208*100)</f>
        <v>0</v>
      </c>
      <c r="AS208" s="4591"/>
      <c r="AT208" s="4591"/>
      <c r="AU208" s="1102">
        <f>IF(AS208=0,0,(AT208-AS208)/AS208*100)</f>
        <v>0</v>
      </c>
      <c r="AV208" s="4591"/>
      <c r="AW208" s="4591"/>
      <c r="AX208" s="1102">
        <f>IF(AV208=0,0,(AW208-AV208)/AV208*100)</f>
        <v>0</v>
      </c>
      <c r="AY208" s="4591"/>
      <c r="AZ208" s="4591"/>
      <c r="BA208" s="1102">
        <f>IF(AY208=0,0,(AZ208-AY208)/AY208*100)</f>
        <v>0</v>
      </c>
      <c r="BB208" s="4591"/>
      <c r="BC208" s="4591"/>
      <c r="BD208" s="1102">
        <f>IF(BB208=0,0,(BC208-BB208)/BB208*100)</f>
        <v>0</v>
      </c>
      <c r="BE208" s="4591"/>
      <c r="BF208" s="4591"/>
      <c r="BG208" s="1102">
        <f>IF(BE208=0,0,(BF208-BE208)/BE208*100)</f>
        <v>0</v>
      </c>
      <c r="BH208" s="4591"/>
      <c r="BI208" s="4591"/>
      <c r="BJ208" s="1102">
        <f>IF(BH208=0,0,(BI208-BH208)/BH208*100)</f>
        <v>0</v>
      </c>
      <c r="BK208" s="4591"/>
      <c r="BL208" s="4591"/>
      <c r="BM208" s="1102">
        <f>IF(BK208=0,0,(BL208-BK208)/BK208*100)</f>
        <v>0</v>
      </c>
      <c r="BN208" s="4591"/>
      <c r="BO208" s="4591"/>
      <c r="BP208" s="1102">
        <f>IF(BN208=0,0,(BO208-BN208)/BN208*100)</f>
        <v>0</v>
      </c>
      <c r="BQ208" s="4591"/>
      <c r="BR208" s="4591"/>
      <c r="BS208" s="1102">
        <f>IF(BQ208=0,0,(BR208-BQ208)/BQ208*100)</f>
        <v>0</v>
      </c>
      <c r="BT208" s="4591"/>
      <c r="BU208" s="4591"/>
      <c r="BV208" s="1102">
        <f>IF(BT208=0,0,(BU208-BT208)/BT208*100)</f>
        <v>0</v>
      </c>
      <c r="BW208" s="4591"/>
      <c r="BX208" s="4591"/>
      <c r="BY208" s="1102">
        <f>IF(BW208=0,0,(BX208-BW208)/BW208*100)</f>
        <v>0</v>
      </c>
      <c r="BZ208" s="4591"/>
      <c r="CA208" s="4591"/>
      <c r="CB208" s="1102">
        <f>IF(BZ208=0,0,(CA208-BZ208)/BZ208*100)</f>
        <v>0</v>
      </c>
      <c r="CC208" s="4591"/>
      <c r="CD208" s="4591"/>
      <c r="CE208" s="1102">
        <f>IF(CC208=0,0,(CD208-CC208)/CC208*100)</f>
        <v>0</v>
      </c>
      <c r="CF208" s="4591"/>
      <c r="CG208" s="4591"/>
      <c r="CH208" s="1102">
        <f>IF(CF208=0,0,(CG208-CF208)/CF208*100)</f>
        <v>0</v>
      </c>
      <c r="CI208" s="4591"/>
      <c r="CJ208" s="4591"/>
      <c r="CK208" s="1102">
        <f>IF(CI208=0,0,(CJ208-CI208)/CI208*100)</f>
        <v>0</v>
      </c>
      <c r="CL208" s="4591"/>
      <c r="CM208" s="4591"/>
      <c r="CN208" s="1102">
        <f>IF(CL208=0,0,(CM208-CL208)/CL208*100)</f>
        <v>0</v>
      </c>
      <c r="CO208" s="4591"/>
      <c r="CP208" s="4591"/>
      <c r="CQ208" s="1102">
        <f>IF(CO208=0,0,(CP208-CO208)/CO208*100)</f>
        <v>0</v>
      </c>
      <c r="CR208" s="4591"/>
      <c r="CS208" s="4591"/>
      <c r="CT208" s="1102">
        <f>IF(CR208=0,0,(CS208-CR208)/CR208*100)</f>
        <v>0</v>
      </c>
      <c r="CU208" s="4591"/>
      <c r="CV208" s="4591"/>
      <c r="CW208" s="1102">
        <f>IF(CU208=0,0,(CV208-CU208)/CU208*100)</f>
        <v>0</v>
      </c>
      <c r="CX208" s="4591"/>
      <c r="CY208" s="4591"/>
      <c r="CZ208" s="1102">
        <f>IF(CX208=0,0,(CY208-CX208)/CX208*100)</f>
        <v>0</v>
      </c>
      <c r="DA208" s="4591"/>
      <c r="DB208" s="4591"/>
      <c r="DC208" s="1102">
        <f>IF(DA208=0,0,(DB208-DA208)/DA208*100)</f>
        <v>0</v>
      </c>
      <c r="DD208" s="4591"/>
      <c r="DE208" s="4591"/>
      <c r="DF208" s="1102">
        <f>IF(DD208=0,0,(DE208-DD208)/DD208*100)</f>
        <v>0</v>
      </c>
      <c r="DG208" s="4591"/>
      <c r="DH208" s="4591"/>
      <c r="DI208" s="1102">
        <f>IF(DG208=0,0,(DH208-DG208)/DG208*100)</f>
        <v>0</v>
      </c>
      <c r="DJ208" s="4591"/>
      <c r="DK208" s="4591"/>
      <c r="DL208" s="1102">
        <f>IF(DJ208=0,0,(DK208-DJ208)/DJ208*100)</f>
        <v>0</v>
      </c>
      <c r="DM208" s="4591"/>
      <c r="DN208" s="4591"/>
      <c r="DO208" s="1102">
        <f>IF(DM208=0,0,(DN208-DM208)/DM208*100)</f>
        <v>0</v>
      </c>
      <c r="DP208" s="4591"/>
      <c r="DQ208" s="4591"/>
      <c r="DR208" s="1102">
        <f>IF(DP208=0,0,(DQ208-DP208)/DP208*100)</f>
        <v>0</v>
      </c>
      <c r="DS208" s="4591"/>
      <c r="DT208" s="4591"/>
      <c r="DU208" s="1102">
        <f>IF(DS208=0,0,(DT208-DS208)/DS208*100)</f>
        <v>0</v>
      </c>
      <c r="DV208" s="4591"/>
      <c r="DW208" s="4591"/>
      <c r="DX208" s="1102">
        <f>IF(DV208=0,0,(DW208-DV208)/DV208*100)</f>
        <v>0</v>
      </c>
      <c r="DY208" s="4591"/>
      <c r="DZ208" s="4591"/>
      <c r="EA208" s="1102">
        <f>IF(DY208=0,0,(DZ208-DY208)/DY208*100)</f>
        <v>0</v>
      </c>
      <c r="EB208" s="4591"/>
      <c r="EC208" s="4591"/>
      <c r="ED208" s="1102">
        <f>IF(EB208=0,0,(EC208-EB208)/EB208*100)</f>
        <v>0</v>
      </c>
      <c r="EE208" s="4591"/>
      <c r="EF208" s="4591"/>
      <c r="EG208" s="1102">
        <f>IF(EE208=0,0,(EF208-EE208)/EE208*100)</f>
        <v>0</v>
      </c>
      <c r="EH208" s="4591"/>
      <c r="EI208" s="4591"/>
      <c r="EJ208" s="1102">
        <f>IF(EH208=0,0,(EI208-EH208)/EH208*100)</f>
        <v>0</v>
      </c>
      <c r="EK208" s="4591"/>
      <c r="EL208" s="4591"/>
      <c r="EM208" s="1102">
        <f>IF(EK208=0,0,(EL208-EK208)/EK208*100)</f>
        <v>0</v>
      </c>
      <c r="EN208" s="4591"/>
      <c r="EO208" s="4591"/>
      <c r="EP208" s="1102">
        <f>IF(EN208=0,0,(EO208-EN208)/EN208*100)</f>
        <v>0</v>
      </c>
      <c r="EQ208" s="4591"/>
      <c r="ER208" s="4591"/>
      <c r="ES208" s="1102">
        <f>IF(EQ208=0,0,(ER208-EQ208)/EQ208*100)</f>
        <v>0</v>
      </c>
      <c r="ET208" s="4591"/>
      <c r="EU208" s="4591"/>
      <c r="EV208" s="1102">
        <f>IF(ET208=0,0,(EU208-ET208)/ET208*100)</f>
        <v>0</v>
      </c>
      <c r="EW208" s="4591"/>
      <c r="EX208" s="4591"/>
      <c r="EY208" s="1102">
        <f>IF(EW208=0,0,(EX208-EW208)/EW208*100)</f>
        <v>0</v>
      </c>
      <c r="EZ208" s="4591"/>
      <c r="FA208" s="4591"/>
      <c r="FB208" s="1102">
        <f>IF(EZ208=0,0,(FA208-EZ208)/EZ208*100)</f>
        <v>0</v>
      </c>
      <c r="FC208" s="4591"/>
      <c r="FD208" s="4591"/>
      <c r="FE208" s="1102">
        <f>IF(FC208=0,0,(FD208-FC208)/FC208*100)</f>
        <v>0</v>
      </c>
      <c r="FF208" s="4591"/>
      <c r="FG208" s="4591"/>
      <c r="FH208" s="1102">
        <f>IF(FF208=0,0,(FG208-FF208)/FF208*100)</f>
        <v>0</v>
      </c>
      <c r="FI208" s="4591"/>
      <c r="FJ208" s="4591"/>
      <c r="FK208" s="1102">
        <f>IF(FI208=0,0,(FJ208-FI208)/FI208*100)</f>
        <v>0</v>
      </c>
      <c r="FL208" s="4591"/>
      <c r="FM208" s="4591"/>
      <c r="FN208" s="1102">
        <f>IF(FL208=0,0,(FM208-FL208)/FL208*100)</f>
        <v>0</v>
      </c>
      <c r="FO208" s="4591"/>
      <c r="FP208" s="4591"/>
      <c r="FQ208" s="1102">
        <f>IF(FO208=0,0,(FP208-FO208)/FO208*100)</f>
        <v>0</v>
      </c>
      <c r="FR208" s="4591"/>
      <c r="FS208" s="4591"/>
      <c r="FT208" s="1102">
        <f>IF(FR208=0,0,(FS208-FR208)/FR208*100)</f>
        <v>0</v>
      </c>
      <c r="FU208" s="4591"/>
      <c r="FV208" s="4591"/>
      <c r="FW208" s="1102">
        <f>IF(FU208=0,0,(FV208-FU208)/FU208*100)</f>
        <v>0</v>
      </c>
      <c r="FX208" s="1328"/>
      <c r="FY208" s="1328"/>
      <c r="FZ208" s="1063" t="s">
        <v>1914</v>
      </c>
      <c r="GA208" s="1330"/>
      <c r="GB208" s="1330"/>
      <c r="GC208" s="1329"/>
      <c r="GD208" s="1329"/>
    </row>
    <row s="1656" customFormat="1" customHeight="1" ht="23.25" hidden="1">
      <c r="A209" s="496"/>
      <c r="B209" s="932" cm="1" t="str">
        <f t="array" ref="B209:B209">B208</f>
        <v>false</v>
      </c>
      <c r="C209" s="496"/>
      <c r="D209" s="496"/>
      <c r="E209" s="847">
        <v>24.5</v>
      </c>
      <c r="F209" s="50" cm="1" t="str">
        <f t="array" ref="F209:F209">OFFSET(E209,-1,1)</f>
        <v>2</v>
      </c>
      <c r="G209" s="496"/>
      <c r="H209" s="496"/>
      <c r="I209" s="496"/>
      <c r="J209" s="496"/>
      <c r="K209" s="496"/>
      <c r="L209" s="496"/>
      <c r="M209" s="496"/>
      <c r="N209" s="496"/>
      <c r="O209" s="496"/>
      <c r="P209" s="496"/>
      <c r="Q209" s="496"/>
      <c r="R209" s="496"/>
      <c r="S209" s="496"/>
      <c r="T209" s="468" cm="1" t="str">
        <f t="array" ref="T209:T209">T208</f>
        <v>true</v>
      </c>
      <c r="U209" s="496"/>
      <c r="V209" s="496"/>
      <c r="W209" s="496"/>
      <c r="X209" s="1559"/>
      <c r="Y209" s="496"/>
      <c r="Z209" s="1528"/>
      <c r="AA209" s="496"/>
      <c r="AB209" s="289" t="s">
        <v>1915</v>
      </c>
      <c r="AC209" s="910"/>
      <c r="AD209" s="1111"/>
      <c r="AE209" s="1111"/>
      <c r="AF209" s="1111"/>
      <c r="AG209" s="1111"/>
      <c r="AH209" s="1111"/>
      <c r="AI209" s="1111"/>
      <c r="AJ209" s="1111"/>
      <c r="AK209" s="1111"/>
      <c r="AL209" s="1111"/>
      <c r="AM209" s="1111"/>
      <c r="AN209" s="1111"/>
      <c r="AO209" s="1111"/>
      <c r="AP209" s="1111"/>
      <c r="AQ209" s="1111"/>
      <c r="AR209" s="1111"/>
      <c r="AS209" s="1111"/>
      <c r="AT209" s="1111"/>
      <c r="AU209" s="1111"/>
      <c r="AV209" s="1111"/>
      <c r="AW209" s="1111"/>
      <c r="AX209" s="1111"/>
      <c r="AY209" s="1111"/>
      <c r="AZ209" s="1111"/>
      <c r="BA209" s="1111"/>
      <c r="BB209" s="1111"/>
      <c r="BC209" s="1111"/>
      <c r="BD209" s="1111"/>
      <c r="BE209" s="1111"/>
      <c r="BF209" s="1111"/>
      <c r="BG209" s="1111"/>
      <c r="BH209" s="1111"/>
      <c r="BI209" s="1111"/>
      <c r="BJ209" s="1111"/>
      <c r="BK209" s="1111"/>
      <c r="BL209" s="1111"/>
      <c r="BM209" s="1111"/>
      <c r="BN209" s="1111"/>
      <c r="BO209" s="1111"/>
      <c r="BP209" s="1111"/>
      <c r="BQ209" s="1111"/>
      <c r="BR209" s="1111"/>
      <c r="BS209" s="1111"/>
      <c r="BT209" s="1111"/>
      <c r="BU209" s="1111"/>
      <c r="BV209" s="1111"/>
      <c r="BW209" s="1111"/>
      <c r="BX209" s="1111"/>
      <c r="BY209" s="1111"/>
      <c r="BZ209" s="1111"/>
      <c r="CA209" s="1111"/>
      <c r="CB209" s="1111"/>
      <c r="CC209" s="1111"/>
      <c r="CD209" s="1111"/>
      <c r="CE209" s="1111"/>
      <c r="CF209" s="1111"/>
      <c r="CG209" s="1111"/>
      <c r="CH209" s="1111"/>
      <c r="CI209" s="1111"/>
      <c r="CJ209" s="1111"/>
      <c r="CK209" s="1111"/>
      <c r="CL209" s="1111"/>
      <c r="CM209" s="1111"/>
      <c r="CN209" s="1111"/>
      <c r="CO209" s="1111"/>
      <c r="CP209" s="1111"/>
      <c r="CQ209" s="1111"/>
      <c r="CR209" s="1111"/>
      <c r="CS209" s="1111"/>
      <c r="CT209" s="1111"/>
      <c r="CU209" s="1111"/>
      <c r="CV209" s="1111"/>
      <c r="CW209" s="1111"/>
      <c r="CX209" s="1111"/>
      <c r="CY209" s="1111"/>
      <c r="CZ209" s="1111"/>
      <c r="DA209" s="1111"/>
      <c r="DB209" s="1111"/>
      <c r="DC209" s="1111"/>
      <c r="DD209" s="1111"/>
      <c r="DE209" s="1111"/>
      <c r="DF209" s="1111"/>
      <c r="DG209" s="1111"/>
      <c r="DH209" s="1111"/>
      <c r="DI209" s="1111"/>
      <c r="DJ209" s="1111"/>
      <c r="DK209" s="1111"/>
      <c r="DL209" s="1111"/>
      <c r="DM209" s="1111"/>
      <c r="DN209" s="1111"/>
      <c r="DO209" s="1111"/>
      <c r="DP209" s="1111"/>
      <c r="DQ209" s="1111"/>
      <c r="DR209" s="1111"/>
      <c r="DS209" s="1111"/>
      <c r="DT209" s="1111"/>
      <c r="DU209" s="1111"/>
      <c r="DV209" s="1111"/>
      <c r="DW209" s="1111"/>
      <c r="DX209" s="1111"/>
      <c r="DY209" s="1111"/>
      <c r="DZ209" s="1111"/>
      <c r="EA209" s="1111"/>
      <c r="EB209" s="1111"/>
      <c r="EC209" s="1111"/>
      <c r="ED209" s="1111"/>
      <c r="EE209" s="1111"/>
      <c r="EF209" s="1111"/>
      <c r="EG209" s="1111"/>
      <c r="EH209" s="1111"/>
      <c r="EI209" s="1111"/>
      <c r="EJ209" s="1111"/>
      <c r="EK209" s="1111"/>
      <c r="EL209" s="1111"/>
      <c r="EM209" s="1111"/>
      <c r="EN209" s="1111"/>
      <c r="EO209" s="1111"/>
      <c r="EP209" s="1111"/>
      <c r="EQ209" s="1111"/>
      <c r="ER209" s="1111"/>
      <c r="ES209" s="1111"/>
      <c r="ET209" s="1111"/>
      <c r="EU209" s="1111"/>
      <c r="EV209" s="1111"/>
      <c r="EW209" s="1111"/>
      <c r="EX209" s="1111"/>
      <c r="EY209" s="1111"/>
      <c r="EZ209" s="1111"/>
      <c r="FA209" s="1111"/>
      <c r="FB209" s="1111"/>
      <c r="FC209" s="1111"/>
      <c r="FD209" s="1111"/>
      <c r="FE209" s="1111"/>
      <c r="FF209" s="1111"/>
      <c r="FG209" s="1111"/>
      <c r="FH209" s="1111"/>
      <c r="FI209" s="1111"/>
      <c r="FJ209" s="1111"/>
      <c r="FK209" s="1111"/>
      <c r="FL209" s="1111"/>
      <c r="FM209" s="1111"/>
      <c r="FN209" s="1111"/>
      <c r="FO209" s="1111"/>
      <c r="FP209" s="1111"/>
      <c r="FQ209" s="1111"/>
      <c r="FR209" s="1111"/>
      <c r="FS209" s="1111"/>
      <c r="FT209" s="1111"/>
      <c r="FU209" s="1111"/>
      <c r="FV209" s="1111"/>
      <c r="FW209" s="1112"/>
      <c r="FX209" s="1328"/>
      <c r="FY209" s="1328"/>
      <c r="FZ209" s="1063"/>
      <c r="GA209" s="1330"/>
      <c r="GB209" s="1330"/>
      <c r="GC209" s="1329"/>
      <c r="GD209" s="1329"/>
    </row>
    <row s="1656" customFormat="1" customHeight="1" ht="14.25" hidden="1">
      <c r="A210" s="496"/>
      <c r="B210" s="932" cm="1" t="str">
        <f t="array" ref="B210:B210">B209</f>
        <v>false</v>
      </c>
      <c r="C210" s="496"/>
      <c r="D210" s="496"/>
      <c r="E210" s="847">
        <v>15</v>
      </c>
      <c r="F210" s="50" cm="1" t="str">
        <f t="array" ref="F210:F210">OFFSET(E210,-1,1)</f>
        <v>2</v>
      </c>
      <c r="G210" s="496"/>
      <c r="H210" s="496" t="s">
        <v>1787</v>
      </c>
      <c r="I210" s="496" t="s">
        <v>1875</v>
      </c>
      <c r="J210" s="496"/>
      <c r="K210" s="496"/>
      <c r="L210" s="496"/>
      <c r="M210" s="496"/>
      <c r="N210" s="496"/>
      <c r="O210" s="496"/>
      <c r="P210" s="496"/>
      <c r="Q210" s="496"/>
      <c r="R210" s="496"/>
      <c r="S210" s="496"/>
      <c r="T210" s="468" cm="1" t="str">
        <f t="array" ref="T210:T210">T209</f>
        <v>true</v>
      </c>
      <c r="U210" s="496"/>
      <c r="V210" s="496"/>
      <c r="W210" s="496"/>
      <c r="X210" s="1559"/>
      <c r="Y210" s="496"/>
      <c r="Z210" s="1528"/>
      <c r="AA210" s="496"/>
      <c r="AB210" s="1100" t="s">
        <v>1895</v>
      </c>
      <c r="AC210" s="871" t="s">
        <v>1862</v>
      </c>
      <c r="AD210" s="4591">
        <f>IF(AD212=0,0,(AD211*AD212+AD213*AD214*IF(god=2026,9,6))/AD212)</f>
        <v>0</v>
      </c>
      <c r="AE210" s="4591">
        <f>IF(AE212=0,0,(AE211*AE212+AE213*AE214*IF(god=2026,9,6))/AE212)</f>
        <v>0</v>
      </c>
      <c r="AF210" s="1102">
        <f>IF(AD210=0,0,(AE210-AD210)/AD210*100)</f>
        <v>0</v>
      </c>
      <c r="AG210" s="4591">
        <f>IF(AG212=0,0,(AG211*AG212+AG213*AG214*IF(god=2025,9,6))/AG212)</f>
        <v>0</v>
      </c>
      <c r="AH210" s="4591">
        <f>IF(AH212=0,0,(AH211*AH212+AH213*AH214*IF(god=2025,9,6))/AH212)</f>
        <v>0</v>
      </c>
      <c r="AI210" s="1102">
        <f>IF(AG210=0,0,(AH210-AG210)/AG210*100)</f>
        <v>0</v>
      </c>
      <c r="AJ210" s="4591">
        <f>IF(AJ212=0,0,(AJ211*AJ212+AJ213*AJ214*6)/AJ212)</f>
        <v>0</v>
      </c>
      <c r="AK210" s="4591">
        <f>IF(AK212=0,0,(AK211*AK212+AK213*AK214*6)/AK212)</f>
        <v>0</v>
      </c>
      <c r="AL210" s="1102">
        <f>IF(AJ210=0,0,(AK210-AJ210)/AJ210*100)</f>
        <v>0</v>
      </c>
      <c r="AM210" s="4591">
        <f>IF(AM212=0,0,(AM211*AM212+AM213*AM214*6)/AM212)</f>
        <v>0</v>
      </c>
      <c r="AN210" s="4591">
        <f>IF(AN212=0,0,(AN211*AN212+AN213*AN214*6)/AN212)</f>
        <v>0</v>
      </c>
      <c r="AO210" s="1102">
        <f>IF(AM210=0,0,(AN210-AM210)/AM210*100)</f>
        <v>0</v>
      </c>
      <c r="AP210" s="4591">
        <f>IF(AP212=0,0,(AP211*AP212+AP213*AP214*6)/AP212)</f>
        <v>0</v>
      </c>
      <c r="AQ210" s="4591">
        <f>IF(AQ212=0,0,(AQ211*AQ212+AQ213*AQ214*6)/AQ212)</f>
        <v>0</v>
      </c>
      <c r="AR210" s="1102">
        <f>IF(AP210=0,0,(AQ210-AP210)/AP210*100)</f>
        <v>0</v>
      </c>
      <c r="AS210" s="4591">
        <f>IF(AS212=0,0,(AS211*AS212+AS213*AS214*6)/AS212)</f>
        <v>0</v>
      </c>
      <c r="AT210" s="4591">
        <f>IF(AT212=0,0,(AT211*AT212+AT213*AT214*6)/AT212)</f>
        <v>0</v>
      </c>
      <c r="AU210" s="1102">
        <f>IF(AS210=0,0,(AT210-AS210)/AS210*100)</f>
        <v>0</v>
      </c>
      <c r="AV210" s="4591">
        <f>IF(AV212=0,0,(AV211*AV212+AV213*AV214*6)/AV212)</f>
        <v>0</v>
      </c>
      <c r="AW210" s="4591">
        <f>IF(AW212=0,0,(AW211*AW212+AW213*AW214*6)/AW212)</f>
        <v>0</v>
      </c>
      <c r="AX210" s="1102">
        <f>IF(AV210=0,0,(AW210-AV210)/AV210*100)</f>
        <v>0</v>
      </c>
      <c r="AY210" s="4591">
        <f>IF(AY212=0,0,(AY211*AY212+AY213*AY214*6)/AY212)</f>
        <v>0</v>
      </c>
      <c r="AZ210" s="4591">
        <f>IF(AZ212=0,0,(AZ211*AZ212+AZ213*AZ214*6)/AZ212)</f>
        <v>0</v>
      </c>
      <c r="BA210" s="1102">
        <f>IF(AY210=0,0,(AZ210-AY210)/AY210*100)</f>
        <v>0</v>
      </c>
      <c r="BB210" s="4591">
        <f>IF(BB212=0,0,(BB211*BB212+BB213*BB214*6)/BB212)</f>
        <v>0</v>
      </c>
      <c r="BC210" s="4591">
        <f>IF(BC212=0,0,(BC211*BC212+BC213*BC214*6)/BC212)</f>
        <v>0</v>
      </c>
      <c r="BD210" s="1102">
        <f>IF(BB210=0,0,(BC210-BB210)/BB210*100)</f>
        <v>0</v>
      </c>
      <c r="BE210" s="4591">
        <f>IF(BE212=0,0,(BE211*BE212+BE213*BE214*6)/BE212)</f>
        <v>0</v>
      </c>
      <c r="BF210" s="4591">
        <f>IF(BF212=0,0,(BF211*BF212+BF213*BF214*6)/BF212)</f>
        <v>0</v>
      </c>
      <c r="BG210" s="1102">
        <f>IF(BE210=0,0,(BF210-BE210)/BE210*100)</f>
        <v>0</v>
      </c>
      <c r="BH210" s="4591">
        <f>IF(BH212=0,0,(BH211*BH212+BH213*BH214*6)/BH212)</f>
        <v>0</v>
      </c>
      <c r="BI210" s="4591">
        <f>IF(BI212=0,0,(BI211*BI212+BI213*BI214*6)/BI212)</f>
        <v>0</v>
      </c>
      <c r="BJ210" s="1102">
        <f>IF(BH210=0,0,(BI210-BH210)/BH210*100)</f>
        <v>0</v>
      </c>
      <c r="BK210" s="4591">
        <f>IF(BK212=0,0,(BK211*BK212+BK213*BK214*6)/BK212)</f>
        <v>0</v>
      </c>
      <c r="BL210" s="4591">
        <f>IF(BL212=0,0,(BL211*BL212+BL213*BL214*6)/BL212)</f>
        <v>0</v>
      </c>
      <c r="BM210" s="1102">
        <f>IF(BK210=0,0,(BL210-BK210)/BK210*100)</f>
        <v>0</v>
      </c>
      <c r="BN210" s="4591">
        <f>IF(BN212=0,0,(BN211*BN212+BN213*BN214*6)/BN212)</f>
        <v>0</v>
      </c>
      <c r="BO210" s="4591">
        <f>IF(BO212=0,0,(BO211*BO212+BO213*BO214*6)/BO212)</f>
        <v>0</v>
      </c>
      <c r="BP210" s="1102">
        <f>IF(BN210=0,0,(BO210-BN210)/BN210*100)</f>
        <v>0</v>
      </c>
      <c r="BQ210" s="4591">
        <f>IF(BQ212=0,0,(BQ211*BQ212+BQ213*BQ214*6)/BQ212)</f>
        <v>0</v>
      </c>
      <c r="BR210" s="4591">
        <f>IF(BR212=0,0,(BR211*BR212+BR213*BR214*6)/BR212)</f>
        <v>0</v>
      </c>
      <c r="BS210" s="1102">
        <f>IF(BQ210=0,0,(BR210-BQ210)/BQ210*100)</f>
        <v>0</v>
      </c>
      <c r="BT210" s="4591">
        <f>IF(BT212=0,0,(BT211*BT212+BT213*BT214*6)/BT212)</f>
        <v>0</v>
      </c>
      <c r="BU210" s="4591">
        <f>IF(BU212=0,0,(BU211*BU212+BU213*BU214*6)/BU212)</f>
        <v>0</v>
      </c>
      <c r="BV210" s="1102">
        <f>IF(BT210=0,0,(BU210-BT210)/BT210*100)</f>
        <v>0</v>
      </c>
      <c r="BW210" s="4591">
        <f>IF(BW212=0,0,(BW211*BW212+BW213*BW214*6)/BW212)</f>
        <v>0</v>
      </c>
      <c r="BX210" s="4591">
        <f>IF(BX212=0,0,(BX211*BX212+BX213*BX214*6)/BX212)</f>
        <v>0</v>
      </c>
      <c r="BY210" s="1102">
        <f>IF(BW210=0,0,(BX210-BW210)/BW210*100)</f>
        <v>0</v>
      </c>
      <c r="BZ210" s="4591">
        <f>IF(BZ212=0,0,(BZ211*BZ212+BZ213*BZ214*6)/BZ212)</f>
        <v>0</v>
      </c>
      <c r="CA210" s="4591">
        <f>IF(CA212=0,0,(CA211*CA212+CA213*CA214*6)/CA212)</f>
        <v>0</v>
      </c>
      <c r="CB210" s="1102">
        <f>IF(BZ210=0,0,(CA210-BZ210)/BZ210*100)</f>
        <v>0</v>
      </c>
      <c r="CC210" s="4591">
        <f>IF(CC212=0,0,(CC211*CC212+CC213*CC214*6)/CC212)</f>
        <v>0</v>
      </c>
      <c r="CD210" s="4591">
        <f>IF(CD212=0,0,(CD211*CD212+CD213*CD214*6)/CD212)</f>
        <v>0</v>
      </c>
      <c r="CE210" s="1102">
        <f>IF(CC210=0,0,(CD210-CC210)/CC210*100)</f>
        <v>0</v>
      </c>
      <c r="CF210" s="4591">
        <f>IF(CF212=0,0,(CF211*CF212+CF213*CF214*6)/CF212)</f>
        <v>0</v>
      </c>
      <c r="CG210" s="4591">
        <f>IF(CG212=0,0,(CG211*CG212+CG213*CG214*6)/CG212)</f>
        <v>0</v>
      </c>
      <c r="CH210" s="1102">
        <f>IF(CF210=0,0,(CG210-CF210)/CF210*100)</f>
        <v>0</v>
      </c>
      <c r="CI210" s="4591">
        <f>IF(CI212=0,0,(CI211*CI212+CI213*CI214*6)/CI212)</f>
        <v>0</v>
      </c>
      <c r="CJ210" s="4591">
        <f>IF(CJ212=0,0,(CJ211*CJ212+CJ213*CJ214*6)/CJ212)</f>
        <v>0</v>
      </c>
      <c r="CK210" s="1102">
        <f>IF(CI210=0,0,(CJ210-CI210)/CI210*100)</f>
        <v>0</v>
      </c>
      <c r="CL210" s="4591">
        <f>IF(CL212=0,0,(CL211*CL212+CL213*CL214*6)/CL212)</f>
        <v>0</v>
      </c>
      <c r="CM210" s="4591">
        <f>IF(CM212=0,0,(CM211*CM212+CM213*CM214*6)/CM212)</f>
        <v>0</v>
      </c>
      <c r="CN210" s="1102">
        <f>IF(CL210=0,0,(CM210-CL210)/CL210*100)</f>
        <v>0</v>
      </c>
      <c r="CO210" s="4591">
        <f>IF(CO212=0,0,(CO211*CO212+CO213*CO214*6)/CO212)</f>
        <v>0</v>
      </c>
      <c r="CP210" s="4591">
        <f>IF(CP212=0,0,(CP211*CP212+CP213*CP214*6)/CP212)</f>
        <v>0</v>
      </c>
      <c r="CQ210" s="1102">
        <f>IF(CO210=0,0,(CP210-CO210)/CO210*100)</f>
        <v>0</v>
      </c>
      <c r="CR210" s="4591">
        <f>IF(CR212=0,0,(CR211*CR212+CR213*CR214*6)/CR212)</f>
        <v>0</v>
      </c>
      <c r="CS210" s="4591">
        <f>IF(CS212=0,0,(CS211*CS212+CS213*CS214*6)/CS212)</f>
        <v>0</v>
      </c>
      <c r="CT210" s="1102">
        <f>IF(CR210=0,0,(CS210-CR210)/CR210*100)</f>
        <v>0</v>
      </c>
      <c r="CU210" s="4591">
        <f>IF(CU212=0,0,(CU211*CU212+CU213*CU214*6)/CU212)</f>
        <v>0</v>
      </c>
      <c r="CV210" s="4591">
        <f>IF(CV212=0,0,(CV211*CV212+CV213*CV214*6)/CV212)</f>
        <v>0</v>
      </c>
      <c r="CW210" s="1102">
        <f>IF(CU210=0,0,(CV210-CU210)/CU210*100)</f>
        <v>0</v>
      </c>
      <c r="CX210" s="4591">
        <f>IF(CX212=0,0,(CX211*CX212+CX213*CX214*6)/CX212)</f>
        <v>0</v>
      </c>
      <c r="CY210" s="4591">
        <f>IF(CY212=0,0,(CY211*CY212+CY213*CY214*6)/CY212)</f>
        <v>0</v>
      </c>
      <c r="CZ210" s="1102">
        <f>IF(CX210=0,0,(CY210-CX210)/CX210*100)</f>
        <v>0</v>
      </c>
      <c r="DA210" s="4591">
        <f>IF(DA212=0,0,(DA211*DA212+DA213*DA214*6)/DA212)</f>
        <v>0</v>
      </c>
      <c r="DB210" s="4591">
        <f>IF(DB212=0,0,(DB211*DB212+DB213*DB214*6)/DB212)</f>
        <v>0</v>
      </c>
      <c r="DC210" s="1102">
        <f>IF(DA210=0,0,(DB210-DA210)/DA210*100)</f>
        <v>0</v>
      </c>
      <c r="DD210" s="4591">
        <f>IF(DD212=0,0,(DD211*DD212+DD213*DD214*6)/DD212)</f>
        <v>0</v>
      </c>
      <c r="DE210" s="4591">
        <f>IF(DE212=0,0,(DE211*DE212+DE213*DE214*6)/DE212)</f>
        <v>0</v>
      </c>
      <c r="DF210" s="1102">
        <f>IF(DD210=0,0,(DE210-DD210)/DD210*100)</f>
        <v>0</v>
      </c>
      <c r="DG210" s="4591">
        <f>IF(DG212=0,0,(DG211*DG212+DG213*DG214*6)/DG212)</f>
        <v>0</v>
      </c>
      <c r="DH210" s="4591">
        <f>IF(DH212=0,0,(DH211*DH212+DH213*DH214*6)/DH212)</f>
        <v>0</v>
      </c>
      <c r="DI210" s="1102">
        <f>IF(DG210=0,0,(DH210-DG210)/DG210*100)</f>
        <v>0</v>
      </c>
      <c r="DJ210" s="4591">
        <f>IF(DJ212=0,0,(DJ211*DJ212+DJ213*DJ214*6)/DJ212)</f>
        <v>0</v>
      </c>
      <c r="DK210" s="4591">
        <f>IF(DK212=0,0,(DK211*DK212+DK213*DK214*6)/DK212)</f>
        <v>0</v>
      </c>
      <c r="DL210" s="1102">
        <f>IF(DJ210=0,0,(DK210-DJ210)/DJ210*100)</f>
        <v>0</v>
      </c>
      <c r="DM210" s="4591">
        <f>IF(DM212=0,0,(DM211*DM212+DM213*DM214*6)/DM212)</f>
        <v>0</v>
      </c>
      <c r="DN210" s="4591">
        <f>IF(DN212=0,0,(DN211*DN212+DN213*DN214*6)/DN212)</f>
        <v>0</v>
      </c>
      <c r="DO210" s="1102">
        <f>IF(DM210=0,0,(DN210-DM210)/DM210*100)</f>
        <v>0</v>
      </c>
      <c r="DP210" s="4591">
        <f>IF(DP212=0,0,(DP211*DP212+DP213*DP214*6)/DP212)</f>
        <v>0</v>
      </c>
      <c r="DQ210" s="4591">
        <f>IF(DQ212=0,0,(DQ211*DQ212+DQ213*DQ214*6)/DQ212)</f>
        <v>0</v>
      </c>
      <c r="DR210" s="1102">
        <f>IF(DP210=0,0,(DQ210-DP210)/DP210*100)</f>
        <v>0</v>
      </c>
      <c r="DS210" s="4591">
        <f>IF(DS212=0,0,(DS211*DS212+DS213*DS214*6)/DS212)</f>
        <v>0</v>
      </c>
      <c r="DT210" s="4591">
        <f>IF(DT212=0,0,(DT211*DT212+DT213*DT214*6)/DT212)</f>
        <v>0</v>
      </c>
      <c r="DU210" s="1102">
        <f>IF(DS210=0,0,(DT210-DS210)/DS210*100)</f>
        <v>0</v>
      </c>
      <c r="DV210" s="4591">
        <f>IF(DV212=0,0,(DV211*DV212+DV213*DV214*6)/DV212)</f>
        <v>0</v>
      </c>
      <c r="DW210" s="4591">
        <f>IF(DW212=0,0,(DW211*DW212+DW213*DW214*6)/DW212)</f>
        <v>0</v>
      </c>
      <c r="DX210" s="1102">
        <f>IF(DV210=0,0,(DW210-DV210)/DV210*100)</f>
        <v>0</v>
      </c>
      <c r="DY210" s="4591">
        <f>IF(DY212=0,0,(DY211*DY212+DY213*DY214*6)/DY212)</f>
        <v>0</v>
      </c>
      <c r="DZ210" s="4591">
        <f>IF(DZ212=0,0,(DZ211*DZ212+DZ213*DZ214*6)/DZ212)</f>
        <v>0</v>
      </c>
      <c r="EA210" s="1102">
        <f>IF(DY210=0,0,(DZ210-DY210)/DY210*100)</f>
        <v>0</v>
      </c>
      <c r="EB210" s="4591">
        <f>IF(EB212=0,0,(EB211*EB212+EB213*EB214*6)/EB212)</f>
        <v>0</v>
      </c>
      <c r="EC210" s="4591">
        <f>IF(EC212=0,0,(EC211*EC212+EC213*EC214*6)/EC212)</f>
        <v>0</v>
      </c>
      <c r="ED210" s="1102">
        <f>IF(EB210=0,0,(EC210-EB210)/EB210*100)</f>
        <v>0</v>
      </c>
      <c r="EE210" s="4591">
        <f>IF(EE212=0,0,(EE211*EE212+EE213*EE214*6)/EE212)</f>
        <v>0</v>
      </c>
      <c r="EF210" s="4591">
        <f>IF(EF212=0,0,(EF211*EF212+EF213*EF214*6)/EF212)</f>
        <v>0</v>
      </c>
      <c r="EG210" s="1102">
        <f>IF(EE210=0,0,(EF210-EE210)/EE210*100)</f>
        <v>0</v>
      </c>
      <c r="EH210" s="4591">
        <f>IF(EH212=0,0,(EH211*EH212+EH213*EH214*6)/EH212)</f>
        <v>0</v>
      </c>
      <c r="EI210" s="4591">
        <f>IF(EI212=0,0,(EI211*EI212+EI213*EI214*6)/EI212)</f>
        <v>0</v>
      </c>
      <c r="EJ210" s="1102">
        <f>IF(EH210=0,0,(EI210-EH210)/EH210*100)</f>
        <v>0</v>
      </c>
      <c r="EK210" s="4591">
        <f>IF(EK212=0,0,(EK211*EK212+EK213*EK214*6)/EK212)</f>
        <v>0</v>
      </c>
      <c r="EL210" s="4591">
        <f>IF(EL212=0,0,(EL211*EL212+EL213*EL214*6)/EL212)</f>
        <v>0</v>
      </c>
      <c r="EM210" s="1102">
        <f>IF(EK210=0,0,(EL210-EK210)/EK210*100)</f>
        <v>0</v>
      </c>
      <c r="EN210" s="4591">
        <f>IF(EN212=0,0,(EN211*EN212+EN213*EN214*6)/EN212)</f>
        <v>0</v>
      </c>
      <c r="EO210" s="4591">
        <f>IF(EO212=0,0,(EO211*EO212+EO213*EO214*6)/EO212)</f>
        <v>0</v>
      </c>
      <c r="EP210" s="1102">
        <f>IF(EN210=0,0,(EO210-EN210)/EN210*100)</f>
        <v>0</v>
      </c>
      <c r="EQ210" s="4591">
        <f>IF(EQ212=0,0,(EQ211*EQ212+EQ213*EQ214*6)/EQ212)</f>
        <v>0</v>
      </c>
      <c r="ER210" s="4591">
        <f>IF(ER212=0,0,(ER211*ER212+ER213*ER214*6)/ER212)</f>
        <v>0</v>
      </c>
      <c r="ES210" s="1102">
        <f>IF(EQ210=0,0,(ER210-EQ210)/EQ210*100)</f>
        <v>0</v>
      </c>
      <c r="ET210" s="4591">
        <f>IF(ET212=0,0,(ET211*ET212+ET213*ET214*6)/ET212)</f>
        <v>0</v>
      </c>
      <c r="EU210" s="4591">
        <f>IF(EU212=0,0,(EU211*EU212+EU213*EU214*6)/EU212)</f>
        <v>0</v>
      </c>
      <c r="EV210" s="1102">
        <f>IF(ET210=0,0,(EU210-ET210)/ET210*100)</f>
        <v>0</v>
      </c>
      <c r="EW210" s="4591">
        <f>IF(EW212=0,0,(EW211*EW212+EW213*EW214*6)/EW212)</f>
        <v>0</v>
      </c>
      <c r="EX210" s="4591">
        <f>IF(EX212=0,0,(EX211*EX212+EX213*EX214*6)/EX212)</f>
        <v>0</v>
      </c>
      <c r="EY210" s="1102">
        <f>IF(EW210=0,0,(EX210-EW210)/EW210*100)</f>
        <v>0</v>
      </c>
      <c r="EZ210" s="4591">
        <f>IF(EZ212=0,0,(EZ211*EZ212+EZ213*EZ214*6)/EZ212)</f>
        <v>0</v>
      </c>
      <c r="FA210" s="4591">
        <f>IF(FA212=0,0,(FA211*FA212+FA213*FA214*6)/FA212)</f>
        <v>0</v>
      </c>
      <c r="FB210" s="1102">
        <f>IF(EZ210=0,0,(FA210-EZ210)/EZ210*100)</f>
        <v>0</v>
      </c>
      <c r="FC210" s="4591">
        <f>IF(FC212=0,0,(FC211*FC212+FC213*FC214*6)/FC212)</f>
        <v>0</v>
      </c>
      <c r="FD210" s="4591">
        <f>IF(FD212=0,0,(FD211*FD212+FD213*FD214*6)/FD212)</f>
        <v>0</v>
      </c>
      <c r="FE210" s="1102">
        <f>IF(FC210=0,0,(FD210-FC210)/FC210*100)</f>
        <v>0</v>
      </c>
      <c r="FF210" s="4591">
        <f>IF(FF212=0,0,(FF211*FF212+FF213*FF214*6)/FF212)</f>
        <v>0</v>
      </c>
      <c r="FG210" s="4591">
        <f>IF(FG212=0,0,(FG211*FG212+FG213*FG214*6)/FG212)</f>
        <v>0</v>
      </c>
      <c r="FH210" s="1102">
        <f>IF(FF210=0,0,(FG210-FF210)/FF210*100)</f>
        <v>0</v>
      </c>
      <c r="FI210" s="4591">
        <f>IF(FI212=0,0,(FI211*FI212+FI213*FI214*6)/FI212)</f>
        <v>0</v>
      </c>
      <c r="FJ210" s="4591">
        <f>IF(FJ212=0,0,(FJ211*FJ212+FJ213*FJ214*6)/FJ212)</f>
        <v>0</v>
      </c>
      <c r="FK210" s="1102">
        <f>IF(FI210=0,0,(FJ210-FI210)/FI210*100)</f>
        <v>0</v>
      </c>
      <c r="FL210" s="4591">
        <f>IF(FL212=0,0,(FL211*FL212+FL213*FL214*6)/FL212)</f>
        <v>0</v>
      </c>
      <c r="FM210" s="4591">
        <f>IF(FM212=0,0,(FM211*FM212+FM213*FM214*6)/FM212)</f>
        <v>0</v>
      </c>
      <c r="FN210" s="1102">
        <f>IF(FL210=0,0,(FM210-FL210)/FL210*100)</f>
        <v>0</v>
      </c>
      <c r="FO210" s="4591">
        <f>IF(FO212=0,0,(FO211*FO212+FO213*FO214*6)/FO212)</f>
        <v>0</v>
      </c>
      <c r="FP210" s="4591">
        <f>IF(FP212=0,0,(FP211*FP212+FP213*FP214*6)/FP212)</f>
        <v>0</v>
      </c>
      <c r="FQ210" s="1102">
        <f>IF(FO210=0,0,(FP210-FO210)/FO210*100)</f>
        <v>0</v>
      </c>
      <c r="FR210" s="4591">
        <f>IF(FR212=0,0,(FR211*FR212+FR213*FR214*6)/FR212)</f>
        <v>0</v>
      </c>
      <c r="FS210" s="4591">
        <f>IF(FS212=0,0,(FS211*FS212+FS213*FS214*6)/FS212)</f>
        <v>0</v>
      </c>
      <c r="FT210" s="1102">
        <f>IF(FR210=0,0,(FS210-FR210)/FR210*100)</f>
        <v>0</v>
      </c>
      <c r="FU210" s="4591">
        <f>IF(FU212=0,0,(FU211*FU212+FU213*FU214*6)/FU212)</f>
        <v>0</v>
      </c>
      <c r="FV210" s="4591">
        <f>IF(FV212=0,0,(FV211*FV212+FV213*FV214*6)/FV212)</f>
        <v>0</v>
      </c>
      <c r="FW210" s="1102">
        <f>IF(FU210=0,0,(FV210-FU210)/FU210*100)</f>
        <v>0</v>
      </c>
      <c r="FX210" s="1328"/>
      <c r="FY210" s="1328"/>
      <c r="FZ210" s="1063" t="s">
        <v>1916</v>
      </c>
      <c r="GA210" s="1330"/>
      <c r="GB210" s="1330"/>
      <c r="GC210" s="1329"/>
      <c r="GD210" s="1329"/>
    </row>
    <row s="1656" customFormat="1" customHeight="1" ht="14.25" hidden="1">
      <c r="A211" s="496"/>
      <c r="B211" s="932" cm="1" t="str">
        <f t="array" ref="B211:B211">B210</f>
        <v>false</v>
      </c>
      <c r="C211" s="496"/>
      <c r="D211" s="496"/>
      <c r="E211" s="847">
        <v>15</v>
      </c>
      <c r="F211" s="50" cm="1" t="str">
        <f t="array" ref="F211:F211">OFFSET(E211,-1,1)</f>
        <v>2</v>
      </c>
      <c r="G211" s="496"/>
      <c r="H211" s="496" t="s">
        <v>1791</v>
      </c>
      <c r="I211" s="496" t="s">
        <v>1875</v>
      </c>
      <c r="J211" s="496"/>
      <c r="K211" s="496"/>
      <c r="L211" s="496"/>
      <c r="M211" s="496"/>
      <c r="N211" s="496"/>
      <c r="O211" s="496"/>
      <c r="P211" s="496"/>
      <c r="Q211" s="496"/>
      <c r="R211" s="496"/>
      <c r="S211" s="496"/>
      <c r="T211" s="468" cm="1" t="str">
        <f t="array" ref="T211:T211">T210</f>
        <v>true</v>
      </c>
      <c r="U211" s="496"/>
      <c r="V211" s="496"/>
      <c r="W211" s="496"/>
      <c r="X211" s="1559"/>
      <c r="Y211" s="496"/>
      <c r="Z211" s="1528"/>
      <c r="AA211" s="496"/>
      <c r="AB211" s="1100" t="str">
        <f>"ставка платы за "&amp;IF(Q179="Водоснабжение","потребление 1 куб.м холодной воды","объем принятых сточных вод")</f>
        <v>ставка платы за объем принятых сточных вод</v>
      </c>
      <c r="AC211" s="871" t="s">
        <v>1862</v>
      </c>
      <c r="AD211" s="4591"/>
      <c r="AE211" s="4591"/>
      <c r="AF211" s="1102">
        <f>IF(AD211=0,0,(AE211-AD211)/AD211*100)</f>
        <v>0</v>
      </c>
      <c r="AG211" s="4591"/>
      <c r="AH211" s="4591"/>
      <c r="AI211" s="1102">
        <f>IF(AG211=0,0,(AH211-AG211)/AG211*100)</f>
        <v>0</v>
      </c>
      <c r="AJ211" s="4591"/>
      <c r="AK211" s="4591"/>
      <c r="AL211" s="1102">
        <f>IF(AJ211=0,0,(AK211-AJ211)/AJ211*100)</f>
        <v>0</v>
      </c>
      <c r="AM211" s="4591"/>
      <c r="AN211" s="4591"/>
      <c r="AO211" s="1102">
        <f>IF(AM211=0,0,(AN211-AM211)/AM211*100)</f>
        <v>0</v>
      </c>
      <c r="AP211" s="4591"/>
      <c r="AQ211" s="4591"/>
      <c r="AR211" s="1102">
        <f>IF(AP211=0,0,(AQ211-AP211)/AP211*100)</f>
        <v>0</v>
      </c>
      <c r="AS211" s="4591"/>
      <c r="AT211" s="4591"/>
      <c r="AU211" s="1102">
        <f>IF(AS211=0,0,(AT211-AS211)/AS211*100)</f>
        <v>0</v>
      </c>
      <c r="AV211" s="4591"/>
      <c r="AW211" s="4591"/>
      <c r="AX211" s="1102">
        <f>IF(AV211=0,0,(AW211-AV211)/AV211*100)</f>
        <v>0</v>
      </c>
      <c r="AY211" s="4591"/>
      <c r="AZ211" s="4591"/>
      <c r="BA211" s="1102">
        <f>IF(AY211=0,0,(AZ211-AY211)/AY211*100)</f>
        <v>0</v>
      </c>
      <c r="BB211" s="4591"/>
      <c r="BC211" s="4591"/>
      <c r="BD211" s="1102">
        <f>IF(BB211=0,0,(BC211-BB211)/BB211*100)</f>
        <v>0</v>
      </c>
      <c r="BE211" s="4591"/>
      <c r="BF211" s="4591"/>
      <c r="BG211" s="1102">
        <f>IF(BE211=0,0,(BF211-BE211)/BE211*100)</f>
        <v>0</v>
      </c>
      <c r="BH211" s="4591"/>
      <c r="BI211" s="4591"/>
      <c r="BJ211" s="1102">
        <f>IF(BH211=0,0,(BI211-BH211)/BH211*100)</f>
        <v>0</v>
      </c>
      <c r="BK211" s="4591"/>
      <c r="BL211" s="4591"/>
      <c r="BM211" s="1102">
        <f>IF(BK211=0,0,(BL211-BK211)/BK211*100)</f>
        <v>0</v>
      </c>
      <c r="BN211" s="4591"/>
      <c r="BO211" s="4591"/>
      <c r="BP211" s="1102">
        <f>IF(BN211=0,0,(BO211-BN211)/BN211*100)</f>
        <v>0</v>
      </c>
      <c r="BQ211" s="4591"/>
      <c r="BR211" s="4591"/>
      <c r="BS211" s="1102">
        <f>IF(BQ211=0,0,(BR211-BQ211)/BQ211*100)</f>
        <v>0</v>
      </c>
      <c r="BT211" s="4591"/>
      <c r="BU211" s="4591"/>
      <c r="BV211" s="1102">
        <f>IF(BT211=0,0,(BU211-BT211)/BT211*100)</f>
        <v>0</v>
      </c>
      <c r="BW211" s="4591"/>
      <c r="BX211" s="4591"/>
      <c r="BY211" s="1102">
        <f>IF(BW211=0,0,(BX211-BW211)/BW211*100)</f>
        <v>0</v>
      </c>
      <c r="BZ211" s="4591"/>
      <c r="CA211" s="4591"/>
      <c r="CB211" s="1102">
        <f>IF(BZ211=0,0,(CA211-BZ211)/BZ211*100)</f>
        <v>0</v>
      </c>
      <c r="CC211" s="4591"/>
      <c r="CD211" s="4591"/>
      <c r="CE211" s="1102">
        <f>IF(CC211=0,0,(CD211-CC211)/CC211*100)</f>
        <v>0</v>
      </c>
      <c r="CF211" s="4591"/>
      <c r="CG211" s="4591"/>
      <c r="CH211" s="1102">
        <f>IF(CF211=0,0,(CG211-CF211)/CF211*100)</f>
        <v>0</v>
      </c>
      <c r="CI211" s="4591"/>
      <c r="CJ211" s="4591"/>
      <c r="CK211" s="1102">
        <f>IF(CI211=0,0,(CJ211-CI211)/CI211*100)</f>
        <v>0</v>
      </c>
      <c r="CL211" s="4591"/>
      <c r="CM211" s="4591"/>
      <c r="CN211" s="1102">
        <f>IF(CL211=0,0,(CM211-CL211)/CL211*100)</f>
        <v>0</v>
      </c>
      <c r="CO211" s="4591"/>
      <c r="CP211" s="4591"/>
      <c r="CQ211" s="1102">
        <f>IF(CO211=0,0,(CP211-CO211)/CO211*100)</f>
        <v>0</v>
      </c>
      <c r="CR211" s="4591"/>
      <c r="CS211" s="4591"/>
      <c r="CT211" s="1102">
        <f>IF(CR211=0,0,(CS211-CR211)/CR211*100)</f>
        <v>0</v>
      </c>
      <c r="CU211" s="4591"/>
      <c r="CV211" s="4591"/>
      <c r="CW211" s="1102">
        <f>IF(CU211=0,0,(CV211-CU211)/CU211*100)</f>
        <v>0</v>
      </c>
      <c r="CX211" s="4591"/>
      <c r="CY211" s="4591"/>
      <c r="CZ211" s="1102">
        <f>IF(CX211=0,0,(CY211-CX211)/CX211*100)</f>
        <v>0</v>
      </c>
      <c r="DA211" s="4591"/>
      <c r="DB211" s="4591"/>
      <c r="DC211" s="1102">
        <f>IF(DA211=0,0,(DB211-DA211)/DA211*100)</f>
        <v>0</v>
      </c>
      <c r="DD211" s="4591"/>
      <c r="DE211" s="4591"/>
      <c r="DF211" s="1102">
        <f>IF(DD211=0,0,(DE211-DD211)/DD211*100)</f>
        <v>0</v>
      </c>
      <c r="DG211" s="4591"/>
      <c r="DH211" s="4591"/>
      <c r="DI211" s="1102">
        <f>IF(DG211=0,0,(DH211-DG211)/DG211*100)</f>
        <v>0</v>
      </c>
      <c r="DJ211" s="4591"/>
      <c r="DK211" s="4591"/>
      <c r="DL211" s="1102">
        <f>IF(DJ211=0,0,(DK211-DJ211)/DJ211*100)</f>
        <v>0</v>
      </c>
      <c r="DM211" s="4591"/>
      <c r="DN211" s="4591"/>
      <c r="DO211" s="1102">
        <f>IF(DM211=0,0,(DN211-DM211)/DM211*100)</f>
        <v>0</v>
      </c>
      <c r="DP211" s="4591"/>
      <c r="DQ211" s="4591"/>
      <c r="DR211" s="1102">
        <f>IF(DP211=0,0,(DQ211-DP211)/DP211*100)</f>
        <v>0</v>
      </c>
      <c r="DS211" s="4591"/>
      <c r="DT211" s="4591"/>
      <c r="DU211" s="1102">
        <f>IF(DS211=0,0,(DT211-DS211)/DS211*100)</f>
        <v>0</v>
      </c>
      <c r="DV211" s="4591"/>
      <c r="DW211" s="4591"/>
      <c r="DX211" s="1102">
        <f>IF(DV211=0,0,(DW211-DV211)/DV211*100)</f>
        <v>0</v>
      </c>
      <c r="DY211" s="4591"/>
      <c r="DZ211" s="4591"/>
      <c r="EA211" s="1102">
        <f>IF(DY211=0,0,(DZ211-DY211)/DY211*100)</f>
        <v>0</v>
      </c>
      <c r="EB211" s="4591"/>
      <c r="EC211" s="4591"/>
      <c r="ED211" s="1102">
        <f>IF(EB211=0,0,(EC211-EB211)/EB211*100)</f>
        <v>0</v>
      </c>
      <c r="EE211" s="4591"/>
      <c r="EF211" s="4591"/>
      <c r="EG211" s="1102">
        <f>IF(EE211=0,0,(EF211-EE211)/EE211*100)</f>
        <v>0</v>
      </c>
      <c r="EH211" s="4591"/>
      <c r="EI211" s="4591"/>
      <c r="EJ211" s="1102">
        <f>IF(EH211=0,0,(EI211-EH211)/EH211*100)</f>
        <v>0</v>
      </c>
      <c r="EK211" s="4591"/>
      <c r="EL211" s="4591"/>
      <c r="EM211" s="1102">
        <f>IF(EK211=0,0,(EL211-EK211)/EK211*100)</f>
        <v>0</v>
      </c>
      <c r="EN211" s="4591"/>
      <c r="EO211" s="4591"/>
      <c r="EP211" s="1102">
        <f>IF(EN211=0,0,(EO211-EN211)/EN211*100)</f>
        <v>0</v>
      </c>
      <c r="EQ211" s="4591"/>
      <c r="ER211" s="4591"/>
      <c r="ES211" s="1102">
        <f>IF(EQ211=0,0,(ER211-EQ211)/EQ211*100)</f>
        <v>0</v>
      </c>
      <c r="ET211" s="4591"/>
      <c r="EU211" s="4591"/>
      <c r="EV211" s="1102">
        <f>IF(ET211=0,0,(EU211-ET211)/ET211*100)</f>
        <v>0</v>
      </c>
      <c r="EW211" s="4591"/>
      <c r="EX211" s="4591"/>
      <c r="EY211" s="1102">
        <f>IF(EW211=0,0,(EX211-EW211)/EW211*100)</f>
        <v>0</v>
      </c>
      <c r="EZ211" s="4591"/>
      <c r="FA211" s="4591"/>
      <c r="FB211" s="1102">
        <f>IF(EZ211=0,0,(FA211-EZ211)/EZ211*100)</f>
        <v>0</v>
      </c>
      <c r="FC211" s="4591"/>
      <c r="FD211" s="4591"/>
      <c r="FE211" s="1102">
        <f>IF(FC211=0,0,(FD211-FC211)/FC211*100)</f>
        <v>0</v>
      </c>
      <c r="FF211" s="4591"/>
      <c r="FG211" s="4591"/>
      <c r="FH211" s="1102">
        <f>IF(FF211=0,0,(FG211-FF211)/FF211*100)</f>
        <v>0</v>
      </c>
      <c r="FI211" s="4591"/>
      <c r="FJ211" s="4591"/>
      <c r="FK211" s="1102">
        <f>IF(FI211=0,0,(FJ211-FI211)/FI211*100)</f>
        <v>0</v>
      </c>
      <c r="FL211" s="4591"/>
      <c r="FM211" s="4591"/>
      <c r="FN211" s="1102">
        <f>IF(FL211=0,0,(FM211-FL211)/FL211*100)</f>
        <v>0</v>
      </c>
      <c r="FO211" s="4591"/>
      <c r="FP211" s="4591"/>
      <c r="FQ211" s="1102">
        <f>IF(FO211=0,0,(FP211-FO211)/FO211*100)</f>
        <v>0</v>
      </c>
      <c r="FR211" s="4591"/>
      <c r="FS211" s="4591"/>
      <c r="FT211" s="1102">
        <f>IF(FR211=0,0,(FS211-FR211)/FR211*100)</f>
        <v>0</v>
      </c>
      <c r="FU211" s="4591"/>
      <c r="FV211" s="4591"/>
      <c r="FW211" s="1102">
        <f>IF(FU211=0,0,(FV211-FU211)/FU211*100)</f>
        <v>0</v>
      </c>
      <c r="FX211" s="1328"/>
      <c r="FY211" s="1328"/>
      <c r="FZ211" s="1063" t="s">
        <v>1917</v>
      </c>
      <c r="GA211" s="1330"/>
      <c r="GB211" s="1330"/>
      <c r="GC211" s="1329"/>
      <c r="GD211" s="1329"/>
    </row>
    <row s="1656" customFormat="1" customHeight="1" ht="14.25" hidden="1">
      <c r="A212" s="496"/>
      <c r="B212" s="932" cm="1" t="str">
        <f t="array" ref="B212:B212">B211</f>
        <v>false</v>
      </c>
      <c r="C212" s="496"/>
      <c r="D212" s="496"/>
      <c r="E212" s="847">
        <v>15</v>
      </c>
      <c r="F212" s="50" cm="1" t="str">
        <f t="array" ref="F212:F212">OFFSET(E212,-1,1)</f>
        <v>2</v>
      </c>
      <c r="G212" s="103" t="s">
        <v>1918</v>
      </c>
      <c r="H212" s="496" t="s">
        <v>1899</v>
      </c>
      <c r="I212" s="496" t="s">
        <v>1875</v>
      </c>
      <c r="J212" s="496"/>
      <c r="K212" s="496"/>
      <c r="L212" s="496"/>
      <c r="M212" s="496"/>
      <c r="N212" s="496"/>
      <c r="O212" s="496"/>
      <c r="P212" s="496"/>
      <c r="Q212" s="496"/>
      <c r="R212" s="496"/>
      <c r="S212" s="496"/>
      <c r="T212" s="468" cm="1" t="str">
        <f t="array" ref="T212:T212">T211</f>
        <v>true</v>
      </c>
      <c r="U212" s="496"/>
      <c r="V212" s="496"/>
      <c r="W212" s="496"/>
      <c r="X212" s="1559"/>
      <c r="Y212" s="496"/>
      <c r="Z212" s="1528"/>
      <c r="AA212" s="496"/>
      <c r="AB212" s="1100" t="str">
        <f>"объём "&amp;IF(Q179="Водоснабжение","потребления холодной воды","водоотведения")</f>
        <v>объём водоотведения</v>
      </c>
      <c r="AC212" s="871" t="s">
        <v>657</v>
      </c>
      <c r="AD212" s="4585">
        <f>IF(AND(method_reg="Метод индексации",god&lt;&gt;first_year),_xlfn.SUMIFS(INDEX('Калькуляция (МИ корр)'!$AJ$25:$BC$606,,MATCH(AD$8,'Калькуляция (МИ корр)'!$AJ$8:$BC$8,0)),'Калькуляция (МИ корр)'!$F$25:$F$606,$F212,'Калькуляция (МИ корр)'!$G$25:$G$606,$G212),IF(method_reg="Метод экономически обоснованных расходов",_xlfn.SUMIFS('Калькуляция (МЭОР)'!$AJ$25:$AJ$367,'Калькуляция (МЭОР)'!$F$25:$F$367,$F212,'Калькуляция (МЭОР)'!$G$25:$G$367,$G212),IF(method_reg="Метод сравнения аналогов",_xlfn.SUMIFS('Калькуляция (МСА)'!$AE$25:$AE$103,'Калькуляция (МСА)'!$F$25:$F$103,$F212,'Калькуляция (МСА)'!$G$25:$G$103,$G212),_xlfn.SUMIFS(INDEX('Калькуляция (МИ)'!$AJ$25:$BC$603,,MATCH(AD$8,'Калькуляция (МИ)'!$AJ$8:$BC$8,0)),'Калькуляция (МИ)'!$F$25:$F$603,$F212,'Калькуляция (МИ)'!$G$25:$G$603,$G212))))</f>
        <v>2221.0485</v>
      </c>
      <c r="AE212" s="4585">
        <f>IF(AND(method_reg="Метод индексации",god&lt;&gt;first_year),_xlfn.SUMIFS(INDEX('Калькуляция (МИ корр)'!$AJ$25:$BC$606,,MATCH(AE$8,'Калькуляция (МИ корр)'!$AJ$8:$BC$8,0)),'Калькуляция (МИ корр)'!$F$25:$F$606,$F212,'Калькуляция (МИ корр)'!$G$25:$G$606,$G212),IF(method_reg="Метод экономически обоснованных расходов",_xlfn.SUMIFS('Калькуляция (МЭОР)'!$AK$25:$AK$367,'Калькуляция (МЭОР)'!$F$25:$F$367,$F212,'Калькуляция (МЭОР)'!$G$25:$G$367,$G212),IF(method_reg="Метод сравнения аналогов",_xlfn.SUMIFS('Калькуляция (МСА)'!$AF$25:$AF$103,'Калькуляция (МСА)'!$F$25:$F$103,$F212,'Калькуляция (МСА)'!$G$25:$G$103,$G212),_xlfn.SUMIFS(INDEX('Калькуляция (МИ)'!$AJ$25:$BC$603,,MATCH(AE$8,'Калькуляция (МИ)'!$AJ$8:$BC$8,0)),'Калькуляция (МИ)'!$F$25:$F$603,$F212,'Калькуляция (МИ)'!$G$25:$G$603,$G212))))</f>
        <v>2118.0567075</v>
      </c>
      <c r="AF212" s="1104">
        <f>IF(AD212=0,0,(AE212-AD212)/AD212*100)</f>
        <v>-4.63707985215091</v>
      </c>
      <c r="AG212" s="4585">
        <f>IF(AND(method_reg="Метод индексации",god&lt;&gt;first_year),_xlfn.SUMIFS(INDEX('Калькуляция (МИ корр)'!$AJ$25:$BC$606,,MATCH(AG$8,'Калькуляция (МИ корр)'!$AJ$8:$BC$8,0)),'Калькуляция (МИ корр)'!$F$25:$F$606,$F212,'Калькуляция (МИ корр)'!$G$25:$G$606,$G212),IF(method_reg="Метод экономически обоснованных расходов",_xlfn.SUMIFS('Калькуляция (МЭОР)'!$AJ$25:$AJ$367,'Калькуляция (МЭОР)'!$F$25:$F$367,$F212,'Калькуляция (МЭОР)'!$G$25:$G$367,$G212),IF(method_reg="Метод сравнения аналогов",_xlfn.SUMIFS('Калькуляция (МСА)'!$AE$25:$AE$103,'Калькуляция (МСА)'!$F$25:$F$103,$F212,'Калькуляция (МСА)'!$G$25:$G$103,$G212),_xlfn.SUMIFS(INDEX('Калькуляция (МИ)'!$AJ$25:$BC$603,,MATCH(AG$8,'Калькуляция (МИ)'!$AJ$8:$BC$8,0)),'Калькуляция (МИ)'!$F$25:$F$603,$F212,'Калькуляция (МИ)'!$G$25:$G$603,$G212))))</f>
        <v>0</v>
      </c>
      <c r="AH212" s="4585">
        <f>IF(AND(method_reg="Метод индексации",god&lt;&gt;first_year),_xlfn.SUMIFS(INDEX('Калькуляция (МИ корр)'!$AJ$25:$BC$606,,MATCH(AH$8,'Калькуляция (МИ корр)'!$AJ$8:$BC$8,0)),'Калькуляция (МИ корр)'!$F$25:$F$606,$F212,'Калькуляция (МИ корр)'!$G$25:$G$606,$G212),IF(method_reg="Метод экономически обоснованных расходов",_xlfn.SUMIFS('Калькуляция (МЭОР)'!$AK$25:$AK$367,'Калькуляция (МЭОР)'!$F$25:$F$367,$F212,'Калькуляция (МЭОР)'!$G$25:$G$367,$G212),IF(method_reg="Метод сравнения аналогов",_xlfn.SUMIFS('Калькуляция (МСА)'!$AF$25:$AF$103,'Калькуляция (МСА)'!$F$25:$F$103,$F212,'Калькуляция (МСА)'!$G$25:$G$103,$G212),_xlfn.SUMIFS(INDEX('Калькуляция (МИ)'!$AJ$25:$BC$603,,MATCH(AH$8,'Калькуляция (МИ)'!$AJ$8:$BC$8,0)),'Калькуляция (МИ)'!$F$25:$F$603,$F212,'Калькуляция (МИ)'!$G$25:$G$603,$G212))))</f>
        <v>0</v>
      </c>
      <c r="AI212" s="1104">
        <f>IF(AG212=0,0,(AH212-AG212)/AG212*100)</f>
        <v>0</v>
      </c>
      <c r="AJ212" s="4585">
        <f>IF(AND(method_reg="Метод индексации",god&lt;&gt;first_year),_xlfn.SUMIFS(INDEX('Калькуляция (МИ корр)'!$AJ$25:$BC$606,,MATCH(AJ$8,'Калькуляция (МИ корр)'!$AJ$8:$BC$8,0)),'Калькуляция (МИ корр)'!$F$25:$F$606,$F212,'Калькуляция (МИ корр)'!$G$25:$G$606,$G212),IF(method_reg="Метод экономически обоснованных расходов",_xlfn.SUMIFS('Калькуляция (МЭОР)'!$AJ$25:$AJ$367,'Калькуляция (МЭОР)'!$F$25:$F$367,$F212,'Калькуляция (МЭОР)'!$G$25:$G$367,$G212),IF(method_reg="Метод сравнения аналогов",_xlfn.SUMIFS('Калькуляция (МСА)'!$AE$25:$AE$103,'Калькуляция (МСА)'!$F$25:$F$103,$F212,'Калькуляция (МСА)'!$G$25:$G$103,$G212),_xlfn.SUMIFS(INDEX('Калькуляция (МИ)'!$AJ$25:$BC$603,,MATCH(AJ$8,'Калькуляция (МИ)'!$AJ$8:$BC$8,0)),'Калькуляция (МИ)'!$F$25:$F$603,$F212,'Калькуляция (МИ)'!$G$25:$G$603,$G212))))</f>
        <v>0</v>
      </c>
      <c r="AK212" s="4585">
        <f>IF(AND(method_reg="Метод индексации",god&lt;&gt;first_year),_xlfn.SUMIFS(INDEX('Калькуляция (МИ корр)'!$AJ$25:$BC$606,,MATCH(AK$8,'Калькуляция (МИ корр)'!$AJ$8:$BC$8,0)),'Калькуляция (МИ корр)'!$F$25:$F$606,$F212,'Калькуляция (МИ корр)'!$G$25:$G$606,$G212),IF(method_reg="Метод экономически обоснованных расходов",_xlfn.SUMIFS('Калькуляция (МЭОР)'!$AK$25:$AK$367,'Калькуляция (МЭОР)'!$F$25:$F$367,$F212,'Калькуляция (МЭОР)'!$G$25:$G$367,$G212),IF(method_reg="Метод сравнения аналогов",_xlfn.SUMIFS('Калькуляция (МСА)'!$AF$25:$AF$103,'Калькуляция (МСА)'!$F$25:$F$103,$F212,'Калькуляция (МСА)'!$G$25:$G$103,$G212),_xlfn.SUMIFS(INDEX('Калькуляция (МИ)'!$AJ$25:$BC$603,,MATCH(AK$8,'Калькуляция (МИ)'!$AJ$8:$BC$8,0)),'Калькуляция (МИ)'!$F$25:$F$603,$F212,'Калькуляция (МИ)'!$G$25:$G$603,$G212))))</f>
        <v>0</v>
      </c>
      <c r="AL212" s="1104">
        <f>IF(AJ212=0,0,(AK212-AJ212)/AJ212*100)</f>
        <v>0</v>
      </c>
      <c r="AM212" s="4585">
        <f>IF(AND(method_reg="Метод индексации",god&lt;&gt;first_year),_xlfn.SUMIFS(INDEX('Калькуляция (МИ корр)'!$AJ$25:$BC$606,,MATCH(AM$8,'Калькуляция (МИ корр)'!$AJ$8:$BC$8,0)),'Калькуляция (МИ корр)'!$F$25:$F$606,$F212,'Калькуляция (МИ корр)'!$G$25:$G$606,$G212),IF(method_reg="Метод экономически обоснованных расходов",_xlfn.SUMIFS('Калькуляция (МЭОР)'!$AJ$25:$AJ$367,'Калькуляция (МЭОР)'!$F$25:$F$367,$F212,'Калькуляция (МЭОР)'!$G$25:$G$367,$G212),IF(method_reg="Метод сравнения аналогов",_xlfn.SUMIFS('Калькуляция (МСА)'!$AE$25:$AE$103,'Калькуляция (МСА)'!$F$25:$F$103,$F212,'Калькуляция (МСА)'!$G$25:$G$103,$G212),_xlfn.SUMIFS(INDEX('Калькуляция (МИ)'!$AJ$25:$BC$603,,MATCH(AM$8,'Калькуляция (МИ)'!$AJ$8:$BC$8,0)),'Калькуляция (МИ)'!$F$25:$F$603,$F212,'Калькуляция (МИ)'!$G$25:$G$603,$G212))))</f>
        <v>0</v>
      </c>
      <c r="AN212" s="4585">
        <f>IF(AND(method_reg="Метод индексации",god&lt;&gt;first_year),_xlfn.SUMIFS(INDEX('Калькуляция (МИ корр)'!$AJ$25:$BC$606,,MATCH(AN$8,'Калькуляция (МИ корр)'!$AJ$8:$BC$8,0)),'Калькуляция (МИ корр)'!$F$25:$F$606,$F212,'Калькуляция (МИ корр)'!$G$25:$G$606,$G212),IF(method_reg="Метод экономически обоснованных расходов",_xlfn.SUMIFS('Калькуляция (МЭОР)'!$AK$25:$AK$367,'Калькуляция (МЭОР)'!$F$25:$F$367,$F212,'Калькуляция (МЭОР)'!$G$25:$G$367,$G212),IF(method_reg="Метод сравнения аналогов",_xlfn.SUMIFS('Калькуляция (МСА)'!$AF$25:$AF$103,'Калькуляция (МСА)'!$F$25:$F$103,$F212,'Калькуляция (МСА)'!$G$25:$G$103,$G212),_xlfn.SUMIFS(INDEX('Калькуляция (МИ)'!$AJ$25:$BC$603,,MATCH(AN$8,'Калькуляция (МИ)'!$AJ$8:$BC$8,0)),'Калькуляция (МИ)'!$F$25:$F$603,$F212,'Калькуляция (МИ)'!$G$25:$G$603,$G212))))</f>
        <v>0</v>
      </c>
      <c r="AO212" s="1104">
        <f>IF(AM212=0,0,(AN212-AM212)/AM212*100)</f>
        <v>0</v>
      </c>
      <c r="AP212" s="4585">
        <f>IF(AND(method_reg="Метод индексации",god&lt;&gt;first_year),_xlfn.SUMIFS(INDEX('Калькуляция (МИ корр)'!$AJ$25:$BC$606,,MATCH(AP$8,'Калькуляция (МИ корр)'!$AJ$8:$BC$8,0)),'Калькуляция (МИ корр)'!$F$25:$F$606,$F212,'Калькуляция (МИ корр)'!$G$25:$G$606,$G212),IF(method_reg="Метод экономически обоснованных расходов",_xlfn.SUMIFS('Калькуляция (МЭОР)'!$AJ$25:$AJ$367,'Калькуляция (МЭОР)'!$F$25:$F$367,$F212,'Калькуляция (МЭОР)'!$G$25:$G$367,$G212),IF(method_reg="Метод сравнения аналогов",_xlfn.SUMIFS('Калькуляция (МСА)'!$AE$25:$AE$103,'Калькуляция (МСА)'!$F$25:$F$103,$F212,'Калькуляция (МСА)'!$G$25:$G$103,$G212),_xlfn.SUMIFS(INDEX('Калькуляция (МИ)'!$AJ$25:$BC$603,,MATCH(AP$8,'Калькуляция (МИ)'!$AJ$8:$BC$8,0)),'Калькуляция (МИ)'!$F$25:$F$603,$F212,'Калькуляция (МИ)'!$G$25:$G$603,$G212))))</f>
        <v>0</v>
      </c>
      <c r="AQ212" s="4585">
        <f>IF(AND(method_reg="Метод индексации",god&lt;&gt;first_year),_xlfn.SUMIFS(INDEX('Калькуляция (МИ корр)'!$AJ$25:$BC$606,,MATCH(AQ$8,'Калькуляция (МИ корр)'!$AJ$8:$BC$8,0)),'Калькуляция (МИ корр)'!$F$25:$F$606,$F212,'Калькуляция (МИ корр)'!$G$25:$G$606,$G212),IF(method_reg="Метод экономически обоснованных расходов",_xlfn.SUMIFS('Калькуляция (МЭОР)'!$AK$25:$AK$367,'Калькуляция (МЭОР)'!$F$25:$F$367,$F212,'Калькуляция (МЭОР)'!$G$25:$G$367,$G212),IF(method_reg="Метод сравнения аналогов",_xlfn.SUMIFS('Калькуляция (МСА)'!$AF$25:$AF$103,'Калькуляция (МСА)'!$F$25:$F$103,$F212,'Калькуляция (МСА)'!$G$25:$G$103,$G212),_xlfn.SUMIFS(INDEX('Калькуляция (МИ)'!$AJ$25:$BC$603,,MATCH(AQ$8,'Калькуляция (МИ)'!$AJ$8:$BC$8,0)),'Калькуляция (МИ)'!$F$25:$F$603,$F212,'Калькуляция (МИ)'!$G$25:$G$603,$G212))))</f>
        <v>0</v>
      </c>
      <c r="AR212" s="1104">
        <f>IF(AP212=0,0,(AQ212-AP212)/AP212*100)</f>
        <v>0</v>
      </c>
      <c r="AS212" s="4585">
        <f>IF(AND(method_reg="Метод индексации",god&lt;&gt;first_year),_xlfn.SUMIFS(INDEX('Калькуляция (МИ корр)'!$AJ$25:$BC$606,,MATCH(AS$8,'Калькуляция (МИ корр)'!$AJ$8:$BC$8,0)),'Калькуляция (МИ корр)'!$F$25:$F$606,$F212,'Калькуляция (МИ корр)'!$G$25:$G$606,$G212),IF(method_reg="Метод экономически обоснованных расходов",_xlfn.SUMIFS('Калькуляция (МЭОР)'!$AJ$25:$AJ$367,'Калькуляция (МЭОР)'!$F$25:$F$367,$F212,'Калькуляция (МЭОР)'!$G$25:$G$367,$G212),IF(method_reg="Метод сравнения аналогов",_xlfn.SUMIFS('Калькуляция (МСА)'!$AE$25:$AE$103,'Калькуляция (МСА)'!$F$25:$F$103,$F212,'Калькуляция (МСА)'!$G$25:$G$103,$G212),_xlfn.SUMIFS(INDEX('Калькуляция (МИ)'!$AJ$25:$BC$603,,MATCH(AS$8,'Калькуляция (МИ)'!$AJ$8:$BC$8,0)),'Калькуляция (МИ)'!$F$25:$F$603,$F212,'Калькуляция (МИ)'!$G$25:$G$603,$G212))))</f>
        <v>0</v>
      </c>
      <c r="AT212" s="4585">
        <f>IF(AND(method_reg="Метод индексации",god&lt;&gt;first_year),_xlfn.SUMIFS(INDEX('Калькуляция (МИ корр)'!$AJ$25:$BC$606,,MATCH(AT$8,'Калькуляция (МИ корр)'!$AJ$8:$BC$8,0)),'Калькуляция (МИ корр)'!$F$25:$F$606,$F212,'Калькуляция (МИ корр)'!$G$25:$G$606,$G212),IF(method_reg="Метод экономически обоснованных расходов",_xlfn.SUMIFS('Калькуляция (МЭОР)'!$AK$25:$AK$367,'Калькуляция (МЭОР)'!$F$25:$F$367,$F212,'Калькуляция (МЭОР)'!$G$25:$G$367,$G212),IF(method_reg="Метод сравнения аналогов",_xlfn.SUMIFS('Калькуляция (МСА)'!$AF$25:$AF$103,'Калькуляция (МСА)'!$F$25:$F$103,$F212,'Калькуляция (МСА)'!$G$25:$G$103,$G212),_xlfn.SUMIFS(INDEX('Калькуляция (МИ)'!$AJ$25:$BC$603,,MATCH(AT$8,'Калькуляция (МИ)'!$AJ$8:$BC$8,0)),'Калькуляция (МИ)'!$F$25:$F$603,$F212,'Калькуляция (МИ)'!$G$25:$G$603,$G212))))</f>
        <v>0</v>
      </c>
      <c r="AU212" s="1104">
        <f>IF(AS212=0,0,(AT212-AS212)/AS212*100)</f>
        <v>0</v>
      </c>
      <c r="AV212" s="4585">
        <f>IF(AND(method_reg="Метод индексации",god&lt;&gt;first_year),_xlfn.SUMIFS(INDEX('Калькуляция (МИ корр)'!$AJ$25:$BC$606,,MATCH(AV$8,'Калькуляция (МИ корр)'!$AJ$8:$BC$8,0)),'Калькуляция (МИ корр)'!$F$25:$F$606,$F212,'Калькуляция (МИ корр)'!$G$25:$G$606,$G212),IF(method_reg="Метод экономически обоснованных расходов",_xlfn.SUMIFS('Калькуляция (МЭОР)'!$AJ$25:$AJ$367,'Калькуляция (МЭОР)'!$F$25:$F$367,$F212,'Калькуляция (МЭОР)'!$G$25:$G$367,$G212),IF(method_reg="Метод сравнения аналогов",_xlfn.SUMIFS('Калькуляция (МСА)'!$AE$25:$AE$103,'Калькуляция (МСА)'!$F$25:$F$103,$F212,'Калькуляция (МСА)'!$G$25:$G$103,$G212),_xlfn.SUMIFS(INDEX('Калькуляция (МИ)'!$AJ$25:$BC$603,,MATCH(AV$8,'Калькуляция (МИ)'!$AJ$8:$BC$8,0)),'Калькуляция (МИ)'!$F$25:$F$603,$F212,'Калькуляция (МИ)'!$G$25:$G$603,$G212))))</f>
        <v>0</v>
      </c>
      <c r="AW212" s="4585">
        <f>IF(AND(method_reg="Метод индексации",god&lt;&gt;first_year),_xlfn.SUMIFS(INDEX('Калькуляция (МИ корр)'!$AJ$25:$BC$606,,MATCH(AW$8,'Калькуляция (МИ корр)'!$AJ$8:$BC$8,0)),'Калькуляция (МИ корр)'!$F$25:$F$606,$F212,'Калькуляция (МИ корр)'!$G$25:$G$606,$G212),IF(method_reg="Метод экономически обоснованных расходов",_xlfn.SUMIFS('Калькуляция (МЭОР)'!$AK$25:$AK$367,'Калькуляция (МЭОР)'!$F$25:$F$367,$F212,'Калькуляция (МЭОР)'!$G$25:$G$367,$G212),IF(method_reg="Метод сравнения аналогов",_xlfn.SUMIFS('Калькуляция (МСА)'!$AF$25:$AF$103,'Калькуляция (МСА)'!$F$25:$F$103,$F212,'Калькуляция (МСА)'!$G$25:$G$103,$G212),_xlfn.SUMIFS(INDEX('Калькуляция (МИ)'!$AJ$25:$BC$603,,MATCH(AW$8,'Калькуляция (МИ)'!$AJ$8:$BC$8,0)),'Калькуляция (МИ)'!$F$25:$F$603,$F212,'Калькуляция (МИ)'!$G$25:$G$603,$G212))))</f>
        <v>0</v>
      </c>
      <c r="AX212" s="1104">
        <f>IF(AV212=0,0,(AW212-AV212)/AV212*100)</f>
        <v>0</v>
      </c>
      <c r="AY212" s="4585">
        <f>IF(AND(method_reg="Метод индексации",god&lt;&gt;first_year),_xlfn.SUMIFS(INDEX('Калькуляция (МИ корр)'!$AJ$25:$BC$606,,MATCH(AY$8,'Калькуляция (МИ корр)'!$AJ$8:$BC$8,0)),'Калькуляция (МИ корр)'!$F$25:$F$606,$F212,'Калькуляция (МИ корр)'!$G$25:$G$606,$G212),IF(method_reg="Метод экономически обоснованных расходов",_xlfn.SUMIFS('Калькуляция (МЭОР)'!$AJ$25:$AJ$367,'Калькуляция (МЭОР)'!$F$25:$F$367,$F212,'Калькуляция (МЭОР)'!$G$25:$G$367,$G212),IF(method_reg="Метод сравнения аналогов",_xlfn.SUMIFS('Калькуляция (МСА)'!$AE$25:$AE$103,'Калькуляция (МСА)'!$F$25:$F$103,$F212,'Калькуляция (МСА)'!$G$25:$G$103,$G212),_xlfn.SUMIFS(INDEX('Калькуляция (МИ)'!$AJ$25:$BC$603,,MATCH(AY$8,'Калькуляция (МИ)'!$AJ$8:$BC$8,0)),'Калькуляция (МИ)'!$F$25:$F$603,$F212,'Калькуляция (МИ)'!$G$25:$G$603,$G212))))</f>
        <v>0</v>
      </c>
      <c r="AZ212" s="4585">
        <f>IF(AND(method_reg="Метод индексации",god&lt;&gt;first_year),_xlfn.SUMIFS(INDEX('Калькуляция (МИ корр)'!$AJ$25:$BC$606,,MATCH(AZ$8,'Калькуляция (МИ корр)'!$AJ$8:$BC$8,0)),'Калькуляция (МИ корр)'!$F$25:$F$606,$F212,'Калькуляция (МИ корр)'!$G$25:$G$606,$G212),IF(method_reg="Метод экономически обоснованных расходов",_xlfn.SUMIFS('Калькуляция (МЭОР)'!$AK$25:$AK$367,'Калькуляция (МЭОР)'!$F$25:$F$367,$F212,'Калькуляция (МЭОР)'!$G$25:$G$367,$G212),IF(method_reg="Метод сравнения аналогов",_xlfn.SUMIFS('Калькуляция (МСА)'!$AF$25:$AF$103,'Калькуляция (МСА)'!$F$25:$F$103,$F212,'Калькуляция (МСА)'!$G$25:$G$103,$G212),_xlfn.SUMIFS(INDEX('Калькуляция (МИ)'!$AJ$25:$BC$603,,MATCH(AZ$8,'Калькуляция (МИ)'!$AJ$8:$BC$8,0)),'Калькуляция (МИ)'!$F$25:$F$603,$F212,'Калькуляция (МИ)'!$G$25:$G$603,$G212))))</f>
        <v>0</v>
      </c>
      <c r="BA212" s="1104">
        <f>IF(AY212=0,0,(AZ212-AY212)/AY212*100)</f>
        <v>0</v>
      </c>
      <c r="BB212" s="4585">
        <f>IF(AND(method_reg="Метод индексации",god&lt;&gt;first_year),_xlfn.SUMIFS(INDEX('Калькуляция (МИ корр)'!$AJ$25:$BC$606,,MATCH(BB$8,'Калькуляция (МИ корр)'!$AJ$8:$BC$8,0)),'Калькуляция (МИ корр)'!$F$25:$F$606,$F212,'Калькуляция (МИ корр)'!$G$25:$G$606,$G212),IF(method_reg="Метод экономически обоснованных расходов",_xlfn.SUMIFS('Калькуляция (МЭОР)'!$AJ$25:$AJ$367,'Калькуляция (МЭОР)'!$F$25:$F$367,$F212,'Калькуляция (МЭОР)'!$G$25:$G$367,$G212),IF(method_reg="Метод сравнения аналогов",_xlfn.SUMIFS('Калькуляция (МСА)'!$AE$25:$AE$103,'Калькуляция (МСА)'!$F$25:$F$103,$F212,'Калькуляция (МСА)'!$G$25:$G$103,$G212),_xlfn.SUMIFS(INDEX('Калькуляция (МИ)'!$AJ$25:$BC$603,,MATCH(BB$8,'Калькуляция (МИ)'!$AJ$8:$BC$8,0)),'Калькуляция (МИ)'!$F$25:$F$603,$F212,'Калькуляция (МИ)'!$G$25:$G$603,$G212))))</f>
        <v>0</v>
      </c>
      <c r="BC212" s="4585">
        <f>IF(AND(method_reg="Метод индексации",god&lt;&gt;first_year),_xlfn.SUMIFS(INDEX('Калькуляция (МИ корр)'!$AJ$25:$BC$606,,MATCH(BC$8,'Калькуляция (МИ корр)'!$AJ$8:$BC$8,0)),'Калькуляция (МИ корр)'!$F$25:$F$606,$F212,'Калькуляция (МИ корр)'!$G$25:$G$606,$G212),IF(method_reg="Метод экономически обоснованных расходов",_xlfn.SUMIFS('Калькуляция (МЭОР)'!$AK$25:$AK$367,'Калькуляция (МЭОР)'!$F$25:$F$367,$F212,'Калькуляция (МЭОР)'!$G$25:$G$367,$G212),IF(method_reg="Метод сравнения аналогов",_xlfn.SUMIFS('Калькуляция (МСА)'!$AF$25:$AF$103,'Калькуляция (МСА)'!$F$25:$F$103,$F212,'Калькуляция (МСА)'!$G$25:$G$103,$G212),_xlfn.SUMIFS(INDEX('Калькуляция (МИ)'!$AJ$25:$BC$603,,MATCH(BC$8,'Калькуляция (МИ)'!$AJ$8:$BC$8,0)),'Калькуляция (МИ)'!$F$25:$F$603,$F212,'Калькуляция (МИ)'!$G$25:$G$603,$G212))))</f>
        <v>0</v>
      </c>
      <c r="BD212" s="1104">
        <f>IF(BB212=0,0,(BC212-BB212)/BB212*100)</f>
        <v>0</v>
      </c>
      <c r="BE212" s="4585">
        <f>IF(AND(method_reg="Метод индексации",god&lt;&gt;first_year),_xlfn.SUMIFS(INDEX('Калькуляция (МИ корр)'!$AJ$25:$BC$606,,MATCH(BE$8,'Калькуляция (МИ корр)'!$AJ$8:$BC$8,0)),'Калькуляция (МИ корр)'!$F$25:$F$606,$F212,'Калькуляция (МИ корр)'!$G$25:$G$606,$G212),IF(method_reg="Метод экономически обоснованных расходов",_xlfn.SUMIFS('Калькуляция (МЭОР)'!$AJ$25:$AJ$367,'Калькуляция (МЭОР)'!$F$25:$F$367,$F212,'Калькуляция (МЭОР)'!$G$25:$G$367,$G212),IF(method_reg="Метод сравнения аналогов",_xlfn.SUMIFS('Калькуляция (МСА)'!$AE$25:$AE$103,'Калькуляция (МСА)'!$F$25:$F$103,$F212,'Калькуляция (МСА)'!$G$25:$G$103,$G212),_xlfn.SUMIFS(INDEX('Калькуляция (МИ)'!$AJ$25:$BC$603,,MATCH(BE$8,'Калькуляция (МИ)'!$AJ$8:$BC$8,0)),'Калькуляция (МИ)'!$F$25:$F$603,$F212,'Калькуляция (МИ)'!$G$25:$G$603,$G212))))</f>
        <v>0</v>
      </c>
      <c r="BF212" s="4585">
        <f>IF(AND(method_reg="Метод индексации",god&lt;&gt;first_year),_xlfn.SUMIFS(INDEX('Калькуляция (МИ корр)'!$AJ$25:$BC$606,,MATCH(BF$8,'Калькуляция (МИ корр)'!$AJ$8:$BC$8,0)),'Калькуляция (МИ корр)'!$F$25:$F$606,$F212,'Калькуляция (МИ корр)'!$G$25:$G$606,$G212),IF(method_reg="Метод экономически обоснованных расходов",_xlfn.SUMIFS('Калькуляция (МЭОР)'!$AK$25:$AK$367,'Калькуляция (МЭОР)'!$F$25:$F$367,$F212,'Калькуляция (МЭОР)'!$G$25:$G$367,$G212),IF(method_reg="Метод сравнения аналогов",_xlfn.SUMIFS('Калькуляция (МСА)'!$AF$25:$AF$103,'Калькуляция (МСА)'!$F$25:$F$103,$F212,'Калькуляция (МСА)'!$G$25:$G$103,$G212),_xlfn.SUMIFS(INDEX('Калькуляция (МИ)'!$AJ$25:$BC$603,,MATCH(BF$8,'Калькуляция (МИ)'!$AJ$8:$BC$8,0)),'Калькуляция (МИ)'!$F$25:$F$603,$F212,'Калькуляция (МИ)'!$G$25:$G$603,$G212))))</f>
        <v>0</v>
      </c>
      <c r="BG212" s="1104">
        <f>IF(BE212=0,0,(BF212-BE212)/BE212*100)</f>
        <v>0</v>
      </c>
      <c r="BH212" s="4585"/>
      <c r="BI212" s="4585"/>
      <c r="BJ212" s="1104">
        <f>IF(BH212=0,0,(BI212-BH212)/BH212*100)</f>
        <v>0</v>
      </c>
      <c r="BK212" s="4585"/>
      <c r="BL212" s="4585"/>
      <c r="BM212" s="1104">
        <f>IF(BK212=0,0,(BL212-BK212)/BK212*100)</f>
        <v>0</v>
      </c>
      <c r="BN212" s="4585"/>
      <c r="BO212" s="4585"/>
      <c r="BP212" s="1104">
        <f>IF(BN212=0,0,(BO212-BN212)/BN212*100)</f>
        <v>0</v>
      </c>
      <c r="BQ212" s="4585"/>
      <c r="BR212" s="4585"/>
      <c r="BS212" s="1104">
        <f>IF(BQ212=0,0,(BR212-BQ212)/BQ212*100)</f>
        <v>0</v>
      </c>
      <c r="BT212" s="4585"/>
      <c r="BU212" s="4585"/>
      <c r="BV212" s="1104">
        <f>IF(BT212=0,0,(BU212-BT212)/BT212*100)</f>
        <v>0</v>
      </c>
      <c r="BW212" s="4585"/>
      <c r="BX212" s="4585"/>
      <c r="BY212" s="1104">
        <f>IF(BW212=0,0,(BX212-BW212)/BW212*100)</f>
        <v>0</v>
      </c>
      <c r="BZ212" s="4585"/>
      <c r="CA212" s="4585"/>
      <c r="CB212" s="1104">
        <f>IF(BZ212=0,0,(CA212-BZ212)/BZ212*100)</f>
        <v>0</v>
      </c>
      <c r="CC212" s="4585"/>
      <c r="CD212" s="4585"/>
      <c r="CE212" s="1104">
        <f>IF(CC212=0,0,(CD212-CC212)/CC212*100)</f>
        <v>0</v>
      </c>
      <c r="CF212" s="4585"/>
      <c r="CG212" s="4585"/>
      <c r="CH212" s="1104">
        <f>IF(CF212=0,0,(CG212-CF212)/CF212*100)</f>
        <v>0</v>
      </c>
      <c r="CI212" s="4585"/>
      <c r="CJ212" s="4585"/>
      <c r="CK212" s="1104">
        <f>IF(CI212=0,0,(CJ212-CI212)/CI212*100)</f>
        <v>0</v>
      </c>
      <c r="CL212" s="4585"/>
      <c r="CM212" s="4585"/>
      <c r="CN212" s="1104">
        <f>IF(CL212=0,0,(CM212-CL212)/CL212*100)</f>
        <v>0</v>
      </c>
      <c r="CO212" s="4585"/>
      <c r="CP212" s="4585"/>
      <c r="CQ212" s="1104">
        <f>IF(CO212=0,0,(CP212-CO212)/CO212*100)</f>
        <v>0</v>
      </c>
      <c r="CR212" s="4585"/>
      <c r="CS212" s="4585"/>
      <c r="CT212" s="1104">
        <f>IF(CR212=0,0,(CS212-CR212)/CR212*100)</f>
        <v>0</v>
      </c>
      <c r="CU212" s="4585"/>
      <c r="CV212" s="4585"/>
      <c r="CW212" s="1104">
        <f>IF(CU212=0,0,(CV212-CU212)/CU212*100)</f>
        <v>0</v>
      </c>
      <c r="CX212" s="4585"/>
      <c r="CY212" s="4585"/>
      <c r="CZ212" s="1104">
        <f>IF(CX212=0,0,(CY212-CX212)/CX212*100)</f>
        <v>0</v>
      </c>
      <c r="DA212" s="4585"/>
      <c r="DB212" s="4585"/>
      <c r="DC212" s="1104">
        <f>IF(DA212=0,0,(DB212-DA212)/DA212*100)</f>
        <v>0</v>
      </c>
      <c r="DD212" s="4585"/>
      <c r="DE212" s="4585"/>
      <c r="DF212" s="1104">
        <f>IF(DD212=0,0,(DE212-DD212)/DD212*100)</f>
        <v>0</v>
      </c>
      <c r="DG212" s="4585"/>
      <c r="DH212" s="4585"/>
      <c r="DI212" s="1104">
        <f>IF(DG212=0,0,(DH212-DG212)/DG212*100)</f>
        <v>0</v>
      </c>
      <c r="DJ212" s="4585"/>
      <c r="DK212" s="4585"/>
      <c r="DL212" s="1104">
        <f>IF(DJ212=0,0,(DK212-DJ212)/DJ212*100)</f>
        <v>0</v>
      </c>
      <c r="DM212" s="4585"/>
      <c r="DN212" s="4585"/>
      <c r="DO212" s="1104">
        <f>IF(DM212=0,0,(DN212-DM212)/DM212*100)</f>
        <v>0</v>
      </c>
      <c r="DP212" s="4585"/>
      <c r="DQ212" s="4585"/>
      <c r="DR212" s="1104">
        <f>IF(DP212=0,0,(DQ212-DP212)/DP212*100)</f>
        <v>0</v>
      </c>
      <c r="DS212" s="4585"/>
      <c r="DT212" s="4585"/>
      <c r="DU212" s="1104">
        <f>IF(DS212=0,0,(DT212-DS212)/DS212*100)</f>
        <v>0</v>
      </c>
      <c r="DV212" s="4585"/>
      <c r="DW212" s="4585"/>
      <c r="DX212" s="1104">
        <f>IF(DV212=0,0,(DW212-DV212)/DV212*100)</f>
        <v>0</v>
      </c>
      <c r="DY212" s="4585"/>
      <c r="DZ212" s="4585"/>
      <c r="EA212" s="1104">
        <f>IF(DY212=0,0,(DZ212-DY212)/DY212*100)</f>
        <v>0</v>
      </c>
      <c r="EB212" s="4585"/>
      <c r="EC212" s="4585"/>
      <c r="ED212" s="1104">
        <f>IF(EB212=0,0,(EC212-EB212)/EB212*100)</f>
        <v>0</v>
      </c>
      <c r="EE212" s="4585"/>
      <c r="EF212" s="4585"/>
      <c r="EG212" s="1104">
        <f>IF(EE212=0,0,(EF212-EE212)/EE212*100)</f>
        <v>0</v>
      </c>
      <c r="EH212" s="4585"/>
      <c r="EI212" s="4585"/>
      <c r="EJ212" s="1104">
        <f>IF(EH212=0,0,(EI212-EH212)/EH212*100)</f>
        <v>0</v>
      </c>
      <c r="EK212" s="4585"/>
      <c r="EL212" s="4585"/>
      <c r="EM212" s="1104">
        <f>IF(EK212=0,0,(EL212-EK212)/EK212*100)</f>
        <v>0</v>
      </c>
      <c r="EN212" s="4585"/>
      <c r="EO212" s="4585"/>
      <c r="EP212" s="1104">
        <f>IF(EN212=0,0,(EO212-EN212)/EN212*100)</f>
        <v>0</v>
      </c>
      <c r="EQ212" s="4585"/>
      <c r="ER212" s="4585"/>
      <c r="ES212" s="1104">
        <f>IF(EQ212=0,0,(ER212-EQ212)/EQ212*100)</f>
        <v>0</v>
      </c>
      <c r="ET212" s="4585"/>
      <c r="EU212" s="4585"/>
      <c r="EV212" s="1104">
        <f>IF(ET212=0,0,(EU212-ET212)/ET212*100)</f>
        <v>0</v>
      </c>
      <c r="EW212" s="4585"/>
      <c r="EX212" s="4585"/>
      <c r="EY212" s="1104">
        <f>IF(EW212=0,0,(EX212-EW212)/EW212*100)</f>
        <v>0</v>
      </c>
      <c r="EZ212" s="4585"/>
      <c r="FA212" s="4585"/>
      <c r="FB212" s="1104">
        <f>IF(EZ212=0,0,(FA212-EZ212)/EZ212*100)</f>
        <v>0</v>
      </c>
      <c r="FC212" s="4585"/>
      <c r="FD212" s="4585"/>
      <c r="FE212" s="1104">
        <f>IF(FC212=0,0,(FD212-FC212)/FC212*100)</f>
        <v>0</v>
      </c>
      <c r="FF212" s="4585"/>
      <c r="FG212" s="4585"/>
      <c r="FH212" s="1104">
        <f>IF(FF212=0,0,(FG212-FF212)/FF212*100)</f>
        <v>0</v>
      </c>
      <c r="FI212" s="4585"/>
      <c r="FJ212" s="4585"/>
      <c r="FK212" s="1104">
        <f>IF(FI212=0,0,(FJ212-FI212)/FI212*100)</f>
        <v>0</v>
      </c>
      <c r="FL212" s="4585"/>
      <c r="FM212" s="4585"/>
      <c r="FN212" s="1104">
        <f>IF(FL212=0,0,(FM212-FL212)/FL212*100)</f>
        <v>0</v>
      </c>
      <c r="FO212" s="4585"/>
      <c r="FP212" s="4585"/>
      <c r="FQ212" s="1104">
        <f>IF(FO212=0,0,(FP212-FO212)/FO212*100)</f>
        <v>0</v>
      </c>
      <c r="FR212" s="4585"/>
      <c r="FS212" s="4585"/>
      <c r="FT212" s="1104">
        <f>IF(FR212=0,0,(FS212-FR212)/FR212*100)</f>
        <v>0</v>
      </c>
      <c r="FU212" s="4585"/>
      <c r="FV212" s="4585"/>
      <c r="FW212" s="1104">
        <f>IF(FU212=0,0,(FV212-FU212)/FU212*100)</f>
        <v>0</v>
      </c>
      <c r="FX212" s="1328"/>
      <c r="FY212" s="1328"/>
      <c r="FZ212" s="1063" t="s">
        <v>1919</v>
      </c>
      <c r="GA212" s="1330"/>
      <c r="GB212" s="1330"/>
      <c r="GC212" s="1329"/>
      <c r="GD212" s="1329"/>
    </row>
    <row s="1656" customFormat="1" customHeight="1" ht="21.75" hidden="1">
      <c r="A213" s="496"/>
      <c r="B213" s="932" cm="1" t="str">
        <f t="array" ref="B213:B213">B212</f>
        <v>false</v>
      </c>
      <c r="C213" s="496"/>
      <c r="D213" s="496"/>
      <c r="E213" s="847">
        <v>22.5</v>
      </c>
      <c r="F213" s="50" cm="1" t="str">
        <f t="array" ref="F213:F213">OFFSET(E213,-1,1)</f>
        <v>2</v>
      </c>
      <c r="G213" s="496"/>
      <c r="H213" s="496" t="s">
        <v>1901</v>
      </c>
      <c r="I213" s="496" t="s">
        <v>1875</v>
      </c>
      <c r="J213" s="496"/>
      <c r="K213" s="496"/>
      <c r="L213" s="496"/>
      <c r="M213" s="496"/>
      <c r="N213" s="496"/>
      <c r="O213" s="496"/>
      <c r="P213" s="496"/>
      <c r="Q213" s="496"/>
      <c r="R213" s="496"/>
      <c r="S213" s="496"/>
      <c r="T213" s="468" cm="1" t="str">
        <f t="array" ref="T213:T213">T212</f>
        <v>true</v>
      </c>
      <c r="U213" s="496"/>
      <c r="V213" s="496"/>
      <c r="W213" s="496"/>
      <c r="X213" s="1559"/>
      <c r="Y213" s="496"/>
      <c r="Z213" s="1528"/>
      <c r="AA213" s="496"/>
      <c r="AB213" s="1100" t="str">
        <f>"ставка платы за содержание системы "&amp;IF(Q179="Водоснабжение","холодного водоснабжения","водоотведения")</f>
        <v>ставка платы за содержание системы водоотведения</v>
      </c>
      <c r="AC213" s="871" t="s">
        <v>1902</v>
      </c>
      <c r="AD213" s="4591"/>
      <c r="AE213" s="4591"/>
      <c r="AF213" s="1102">
        <f>IF(AD213=0,0,(AE213-AD213)/AD213*100)</f>
        <v>0</v>
      </c>
      <c r="AG213" s="4591"/>
      <c r="AH213" s="4591"/>
      <c r="AI213" s="1102">
        <f>IF(AG213=0,0,(AH213-AG213)/AG213*100)</f>
        <v>0</v>
      </c>
      <c r="AJ213" s="4591"/>
      <c r="AK213" s="4591"/>
      <c r="AL213" s="1102">
        <f>IF(AJ213=0,0,(AK213-AJ213)/AJ213*100)</f>
        <v>0</v>
      </c>
      <c r="AM213" s="4591"/>
      <c r="AN213" s="4591"/>
      <c r="AO213" s="1102">
        <f>IF(AM213=0,0,(AN213-AM213)/AM213*100)</f>
        <v>0</v>
      </c>
      <c r="AP213" s="4591"/>
      <c r="AQ213" s="4591"/>
      <c r="AR213" s="1102">
        <f>IF(AP213=0,0,(AQ213-AP213)/AP213*100)</f>
        <v>0</v>
      </c>
      <c r="AS213" s="4591"/>
      <c r="AT213" s="4591"/>
      <c r="AU213" s="1102">
        <f>IF(AS213=0,0,(AT213-AS213)/AS213*100)</f>
        <v>0</v>
      </c>
      <c r="AV213" s="4591"/>
      <c r="AW213" s="4591"/>
      <c r="AX213" s="1102">
        <f>IF(AV213=0,0,(AW213-AV213)/AV213*100)</f>
        <v>0</v>
      </c>
      <c r="AY213" s="4591"/>
      <c r="AZ213" s="4591"/>
      <c r="BA213" s="1102">
        <f>IF(AY213=0,0,(AZ213-AY213)/AY213*100)</f>
        <v>0</v>
      </c>
      <c r="BB213" s="4591"/>
      <c r="BC213" s="4591"/>
      <c r="BD213" s="1102">
        <f>IF(BB213=0,0,(BC213-BB213)/BB213*100)</f>
        <v>0</v>
      </c>
      <c r="BE213" s="4591"/>
      <c r="BF213" s="4591"/>
      <c r="BG213" s="1102">
        <f>IF(BE213=0,0,(BF213-BE213)/BE213*100)</f>
        <v>0</v>
      </c>
      <c r="BH213" s="4591"/>
      <c r="BI213" s="4591"/>
      <c r="BJ213" s="1102">
        <f>IF(BH213=0,0,(BI213-BH213)/BH213*100)</f>
        <v>0</v>
      </c>
      <c r="BK213" s="4591"/>
      <c r="BL213" s="4591"/>
      <c r="BM213" s="1102">
        <f>IF(BK213=0,0,(BL213-BK213)/BK213*100)</f>
        <v>0</v>
      </c>
      <c r="BN213" s="4591"/>
      <c r="BO213" s="4591"/>
      <c r="BP213" s="1102">
        <f>IF(BN213=0,0,(BO213-BN213)/BN213*100)</f>
        <v>0</v>
      </c>
      <c r="BQ213" s="4591"/>
      <c r="BR213" s="4591"/>
      <c r="BS213" s="1102">
        <f>IF(BQ213=0,0,(BR213-BQ213)/BQ213*100)</f>
        <v>0</v>
      </c>
      <c r="BT213" s="4591"/>
      <c r="BU213" s="4591"/>
      <c r="BV213" s="1102">
        <f>IF(BT213=0,0,(BU213-BT213)/BT213*100)</f>
        <v>0</v>
      </c>
      <c r="BW213" s="4591"/>
      <c r="BX213" s="4591"/>
      <c r="BY213" s="1102">
        <f>IF(BW213=0,0,(BX213-BW213)/BW213*100)</f>
        <v>0</v>
      </c>
      <c r="BZ213" s="4591"/>
      <c r="CA213" s="4591"/>
      <c r="CB213" s="1102">
        <f>IF(BZ213=0,0,(CA213-BZ213)/BZ213*100)</f>
        <v>0</v>
      </c>
      <c r="CC213" s="4591"/>
      <c r="CD213" s="4591"/>
      <c r="CE213" s="1102">
        <f>IF(CC213=0,0,(CD213-CC213)/CC213*100)</f>
        <v>0</v>
      </c>
      <c r="CF213" s="4591"/>
      <c r="CG213" s="4591"/>
      <c r="CH213" s="1102">
        <f>IF(CF213=0,0,(CG213-CF213)/CF213*100)</f>
        <v>0</v>
      </c>
      <c r="CI213" s="4591"/>
      <c r="CJ213" s="4591"/>
      <c r="CK213" s="1102">
        <f>IF(CI213=0,0,(CJ213-CI213)/CI213*100)</f>
        <v>0</v>
      </c>
      <c r="CL213" s="4591"/>
      <c r="CM213" s="4591"/>
      <c r="CN213" s="1102">
        <f>IF(CL213=0,0,(CM213-CL213)/CL213*100)</f>
        <v>0</v>
      </c>
      <c r="CO213" s="4591"/>
      <c r="CP213" s="4591"/>
      <c r="CQ213" s="1102">
        <f>IF(CO213=0,0,(CP213-CO213)/CO213*100)</f>
        <v>0</v>
      </c>
      <c r="CR213" s="4591"/>
      <c r="CS213" s="4591"/>
      <c r="CT213" s="1102">
        <f>IF(CR213=0,0,(CS213-CR213)/CR213*100)</f>
        <v>0</v>
      </c>
      <c r="CU213" s="4591"/>
      <c r="CV213" s="4591"/>
      <c r="CW213" s="1102">
        <f>IF(CU213=0,0,(CV213-CU213)/CU213*100)</f>
        <v>0</v>
      </c>
      <c r="CX213" s="4591"/>
      <c r="CY213" s="4591"/>
      <c r="CZ213" s="1102">
        <f>IF(CX213=0,0,(CY213-CX213)/CX213*100)</f>
        <v>0</v>
      </c>
      <c r="DA213" s="4591"/>
      <c r="DB213" s="4591"/>
      <c r="DC213" s="1102">
        <f>IF(DA213=0,0,(DB213-DA213)/DA213*100)</f>
        <v>0</v>
      </c>
      <c r="DD213" s="4591"/>
      <c r="DE213" s="4591"/>
      <c r="DF213" s="1102">
        <f>IF(DD213=0,0,(DE213-DD213)/DD213*100)</f>
        <v>0</v>
      </c>
      <c r="DG213" s="4591"/>
      <c r="DH213" s="4591"/>
      <c r="DI213" s="1102">
        <f>IF(DG213=0,0,(DH213-DG213)/DG213*100)</f>
        <v>0</v>
      </c>
      <c r="DJ213" s="4591"/>
      <c r="DK213" s="4591"/>
      <c r="DL213" s="1102">
        <f>IF(DJ213=0,0,(DK213-DJ213)/DJ213*100)</f>
        <v>0</v>
      </c>
      <c r="DM213" s="4591"/>
      <c r="DN213" s="4591"/>
      <c r="DO213" s="1102">
        <f>IF(DM213=0,0,(DN213-DM213)/DM213*100)</f>
        <v>0</v>
      </c>
      <c r="DP213" s="4591"/>
      <c r="DQ213" s="4591"/>
      <c r="DR213" s="1102">
        <f>IF(DP213=0,0,(DQ213-DP213)/DP213*100)</f>
        <v>0</v>
      </c>
      <c r="DS213" s="4591"/>
      <c r="DT213" s="4591"/>
      <c r="DU213" s="1102">
        <f>IF(DS213=0,0,(DT213-DS213)/DS213*100)</f>
        <v>0</v>
      </c>
      <c r="DV213" s="4591"/>
      <c r="DW213" s="4591"/>
      <c r="DX213" s="1102">
        <f>IF(DV213=0,0,(DW213-DV213)/DV213*100)</f>
        <v>0</v>
      </c>
      <c r="DY213" s="4591"/>
      <c r="DZ213" s="4591"/>
      <c r="EA213" s="1102">
        <f>IF(DY213=0,0,(DZ213-DY213)/DY213*100)</f>
        <v>0</v>
      </c>
      <c r="EB213" s="4591"/>
      <c r="EC213" s="4591"/>
      <c r="ED213" s="1102">
        <f>IF(EB213=0,0,(EC213-EB213)/EB213*100)</f>
        <v>0</v>
      </c>
      <c r="EE213" s="4591"/>
      <c r="EF213" s="4591"/>
      <c r="EG213" s="1102">
        <f>IF(EE213=0,0,(EF213-EE213)/EE213*100)</f>
        <v>0</v>
      </c>
      <c r="EH213" s="4591"/>
      <c r="EI213" s="4591"/>
      <c r="EJ213" s="1102">
        <f>IF(EH213=0,0,(EI213-EH213)/EH213*100)</f>
        <v>0</v>
      </c>
      <c r="EK213" s="4591"/>
      <c r="EL213" s="4591"/>
      <c r="EM213" s="1102">
        <f>IF(EK213=0,0,(EL213-EK213)/EK213*100)</f>
        <v>0</v>
      </c>
      <c r="EN213" s="4591"/>
      <c r="EO213" s="4591"/>
      <c r="EP213" s="1102">
        <f>IF(EN213=0,0,(EO213-EN213)/EN213*100)</f>
        <v>0</v>
      </c>
      <c r="EQ213" s="4591"/>
      <c r="ER213" s="4591"/>
      <c r="ES213" s="1102">
        <f>IF(EQ213=0,0,(ER213-EQ213)/EQ213*100)</f>
        <v>0</v>
      </c>
      <c r="ET213" s="4591"/>
      <c r="EU213" s="4591"/>
      <c r="EV213" s="1102">
        <f>IF(ET213=0,0,(EU213-ET213)/ET213*100)</f>
        <v>0</v>
      </c>
      <c r="EW213" s="4591"/>
      <c r="EX213" s="4591"/>
      <c r="EY213" s="1102">
        <f>IF(EW213=0,0,(EX213-EW213)/EW213*100)</f>
        <v>0</v>
      </c>
      <c r="EZ213" s="4591"/>
      <c r="FA213" s="4591"/>
      <c r="FB213" s="1102">
        <f>IF(EZ213=0,0,(FA213-EZ213)/EZ213*100)</f>
        <v>0</v>
      </c>
      <c r="FC213" s="4591"/>
      <c r="FD213" s="4591"/>
      <c r="FE213" s="1102">
        <f>IF(FC213=0,0,(FD213-FC213)/FC213*100)</f>
        <v>0</v>
      </c>
      <c r="FF213" s="4591"/>
      <c r="FG213" s="4591"/>
      <c r="FH213" s="1102">
        <f>IF(FF213=0,0,(FG213-FF213)/FF213*100)</f>
        <v>0</v>
      </c>
      <c r="FI213" s="4591"/>
      <c r="FJ213" s="4591"/>
      <c r="FK213" s="1102">
        <f>IF(FI213=0,0,(FJ213-FI213)/FI213*100)</f>
        <v>0</v>
      </c>
      <c r="FL213" s="4591"/>
      <c r="FM213" s="4591"/>
      <c r="FN213" s="1102">
        <f>IF(FL213=0,0,(FM213-FL213)/FL213*100)</f>
        <v>0</v>
      </c>
      <c r="FO213" s="4591"/>
      <c r="FP213" s="4591"/>
      <c r="FQ213" s="1102">
        <f>IF(FO213=0,0,(FP213-FO213)/FO213*100)</f>
        <v>0</v>
      </c>
      <c r="FR213" s="4591"/>
      <c r="FS213" s="4591"/>
      <c r="FT213" s="1102">
        <f>IF(FR213=0,0,(FS213-FR213)/FR213*100)</f>
        <v>0</v>
      </c>
      <c r="FU213" s="4591"/>
      <c r="FV213" s="4591"/>
      <c r="FW213" s="1102">
        <f>IF(FU213=0,0,(FV213-FU213)/FU213*100)</f>
        <v>0</v>
      </c>
      <c r="FX213" s="1328"/>
      <c r="FY213" s="1328"/>
      <c r="FZ213" s="1063" t="s">
        <v>1920</v>
      </c>
      <c r="GA213" s="1330"/>
      <c r="GB213" s="1330"/>
      <c r="GC213" s="1329"/>
      <c r="GD213" s="1329"/>
    </row>
    <row s="1656" customFormat="1" customHeight="1" ht="14.25" hidden="1">
      <c r="A214" s="496"/>
      <c r="B214" s="932" cm="1" t="str">
        <f t="array" ref="B214:B214">B213</f>
        <v>false</v>
      </c>
      <c r="C214" s="496"/>
      <c r="D214" s="496"/>
      <c r="E214" s="847">
        <v>15</v>
      </c>
      <c r="F214" s="50" cm="1" t="str">
        <f t="array" ref="F214:F214">OFFSET(E214,-1,1)</f>
        <v>2</v>
      </c>
      <c r="G214" s="496"/>
      <c r="H214" s="496" t="s">
        <v>1904</v>
      </c>
      <c r="I214" s="496" t="s">
        <v>1875</v>
      </c>
      <c r="J214" s="496"/>
      <c r="K214" s="496"/>
      <c r="L214" s="496"/>
      <c r="M214" s="496"/>
      <c r="N214" s="496"/>
      <c r="O214" s="496"/>
      <c r="P214" s="496"/>
      <c r="Q214" s="496"/>
      <c r="R214" s="496"/>
      <c r="S214" s="496"/>
      <c r="T214" s="468" cm="1" t="str">
        <f t="array" ref="T214:T214">T213</f>
        <v>true</v>
      </c>
      <c r="U214" s="496"/>
      <c r="V214" s="496"/>
      <c r="W214" s="496"/>
      <c r="X214" s="1559"/>
      <c r="Y214" s="496"/>
      <c r="Z214" s="1528"/>
      <c r="AA214" s="496"/>
      <c r="AB214" s="1100" t="s">
        <v>1905</v>
      </c>
      <c r="AC214" s="871" t="s">
        <v>1906</v>
      </c>
      <c r="AD214" s="4591"/>
      <c r="AE214" s="4591"/>
      <c r="AF214" s="1102">
        <f>IF(AD214=0,0,(AE214-AD214)/AD214*100)</f>
        <v>0</v>
      </c>
      <c r="AG214" s="4591"/>
      <c r="AH214" s="4591"/>
      <c r="AI214" s="1102">
        <f>IF(AG214=0,0,(AH214-AG214)/AG214*100)</f>
        <v>0</v>
      </c>
      <c r="AJ214" s="4591"/>
      <c r="AK214" s="4591"/>
      <c r="AL214" s="1102">
        <f>IF(AJ214=0,0,(AK214-AJ214)/AJ214*100)</f>
        <v>0</v>
      </c>
      <c r="AM214" s="4591"/>
      <c r="AN214" s="4591"/>
      <c r="AO214" s="1102">
        <f>IF(AM214=0,0,(AN214-AM214)/AM214*100)</f>
        <v>0</v>
      </c>
      <c r="AP214" s="4591"/>
      <c r="AQ214" s="4591"/>
      <c r="AR214" s="1102">
        <f>IF(AP214=0,0,(AQ214-AP214)/AP214*100)</f>
        <v>0</v>
      </c>
      <c r="AS214" s="4591"/>
      <c r="AT214" s="4591"/>
      <c r="AU214" s="1102">
        <f>IF(AS214=0,0,(AT214-AS214)/AS214*100)</f>
        <v>0</v>
      </c>
      <c r="AV214" s="4591"/>
      <c r="AW214" s="4591"/>
      <c r="AX214" s="1102">
        <f>IF(AV214=0,0,(AW214-AV214)/AV214*100)</f>
        <v>0</v>
      </c>
      <c r="AY214" s="4591"/>
      <c r="AZ214" s="4591"/>
      <c r="BA214" s="1102">
        <f>IF(AY214=0,0,(AZ214-AY214)/AY214*100)</f>
        <v>0</v>
      </c>
      <c r="BB214" s="4591"/>
      <c r="BC214" s="4591"/>
      <c r="BD214" s="1102">
        <f>IF(BB214=0,0,(BC214-BB214)/BB214*100)</f>
        <v>0</v>
      </c>
      <c r="BE214" s="4591"/>
      <c r="BF214" s="4591"/>
      <c r="BG214" s="1102">
        <f>IF(BE214=0,0,(BF214-BE214)/BE214*100)</f>
        <v>0</v>
      </c>
      <c r="BH214" s="4591"/>
      <c r="BI214" s="4591"/>
      <c r="BJ214" s="1102">
        <f>IF(BH214=0,0,(BI214-BH214)/BH214*100)</f>
        <v>0</v>
      </c>
      <c r="BK214" s="4591"/>
      <c r="BL214" s="4591"/>
      <c r="BM214" s="1102">
        <f>IF(BK214=0,0,(BL214-BK214)/BK214*100)</f>
        <v>0</v>
      </c>
      <c r="BN214" s="4591"/>
      <c r="BO214" s="4591"/>
      <c r="BP214" s="1102">
        <f>IF(BN214=0,0,(BO214-BN214)/BN214*100)</f>
        <v>0</v>
      </c>
      <c r="BQ214" s="4591"/>
      <c r="BR214" s="4591"/>
      <c r="BS214" s="1102">
        <f>IF(BQ214=0,0,(BR214-BQ214)/BQ214*100)</f>
        <v>0</v>
      </c>
      <c r="BT214" s="4591"/>
      <c r="BU214" s="4591"/>
      <c r="BV214" s="1102">
        <f>IF(BT214=0,0,(BU214-BT214)/BT214*100)</f>
        <v>0</v>
      </c>
      <c r="BW214" s="4591"/>
      <c r="BX214" s="4591"/>
      <c r="BY214" s="1102">
        <f>IF(BW214=0,0,(BX214-BW214)/BW214*100)</f>
        <v>0</v>
      </c>
      <c r="BZ214" s="4591"/>
      <c r="CA214" s="4591"/>
      <c r="CB214" s="1102">
        <f>IF(BZ214=0,0,(CA214-BZ214)/BZ214*100)</f>
        <v>0</v>
      </c>
      <c r="CC214" s="4591"/>
      <c r="CD214" s="4591"/>
      <c r="CE214" s="1102">
        <f>IF(CC214=0,0,(CD214-CC214)/CC214*100)</f>
        <v>0</v>
      </c>
      <c r="CF214" s="4591"/>
      <c r="CG214" s="4591"/>
      <c r="CH214" s="1102">
        <f>IF(CF214=0,0,(CG214-CF214)/CF214*100)</f>
        <v>0</v>
      </c>
      <c r="CI214" s="4591"/>
      <c r="CJ214" s="4591"/>
      <c r="CK214" s="1102">
        <f>IF(CI214=0,0,(CJ214-CI214)/CI214*100)</f>
        <v>0</v>
      </c>
      <c r="CL214" s="4591"/>
      <c r="CM214" s="4591"/>
      <c r="CN214" s="1102">
        <f>IF(CL214=0,0,(CM214-CL214)/CL214*100)</f>
        <v>0</v>
      </c>
      <c r="CO214" s="4591"/>
      <c r="CP214" s="4591"/>
      <c r="CQ214" s="1102">
        <f>IF(CO214=0,0,(CP214-CO214)/CO214*100)</f>
        <v>0</v>
      </c>
      <c r="CR214" s="4591"/>
      <c r="CS214" s="4591"/>
      <c r="CT214" s="1102">
        <f>IF(CR214=0,0,(CS214-CR214)/CR214*100)</f>
        <v>0</v>
      </c>
      <c r="CU214" s="4591"/>
      <c r="CV214" s="4591"/>
      <c r="CW214" s="1102">
        <f>IF(CU214=0,0,(CV214-CU214)/CU214*100)</f>
        <v>0</v>
      </c>
      <c r="CX214" s="4591"/>
      <c r="CY214" s="4591"/>
      <c r="CZ214" s="1102">
        <f>IF(CX214=0,0,(CY214-CX214)/CX214*100)</f>
        <v>0</v>
      </c>
      <c r="DA214" s="4591"/>
      <c r="DB214" s="4591"/>
      <c r="DC214" s="1102">
        <f>IF(DA214=0,0,(DB214-DA214)/DA214*100)</f>
        <v>0</v>
      </c>
      <c r="DD214" s="4591"/>
      <c r="DE214" s="4591"/>
      <c r="DF214" s="1102">
        <f>IF(DD214=0,0,(DE214-DD214)/DD214*100)</f>
        <v>0</v>
      </c>
      <c r="DG214" s="4591"/>
      <c r="DH214" s="4591"/>
      <c r="DI214" s="1102">
        <f>IF(DG214=0,0,(DH214-DG214)/DG214*100)</f>
        <v>0</v>
      </c>
      <c r="DJ214" s="4591"/>
      <c r="DK214" s="4591"/>
      <c r="DL214" s="1102">
        <f>IF(DJ214=0,0,(DK214-DJ214)/DJ214*100)</f>
        <v>0</v>
      </c>
      <c r="DM214" s="4591"/>
      <c r="DN214" s="4591"/>
      <c r="DO214" s="1102">
        <f>IF(DM214=0,0,(DN214-DM214)/DM214*100)</f>
        <v>0</v>
      </c>
      <c r="DP214" s="4591"/>
      <c r="DQ214" s="4591"/>
      <c r="DR214" s="1102">
        <f>IF(DP214=0,0,(DQ214-DP214)/DP214*100)</f>
        <v>0</v>
      </c>
      <c r="DS214" s="4591"/>
      <c r="DT214" s="4591"/>
      <c r="DU214" s="1102">
        <f>IF(DS214=0,0,(DT214-DS214)/DS214*100)</f>
        <v>0</v>
      </c>
      <c r="DV214" s="4591"/>
      <c r="DW214" s="4591"/>
      <c r="DX214" s="1102">
        <f>IF(DV214=0,0,(DW214-DV214)/DV214*100)</f>
        <v>0</v>
      </c>
      <c r="DY214" s="4591"/>
      <c r="DZ214" s="4591"/>
      <c r="EA214" s="1102">
        <f>IF(DY214=0,0,(DZ214-DY214)/DY214*100)</f>
        <v>0</v>
      </c>
      <c r="EB214" s="4591"/>
      <c r="EC214" s="4591"/>
      <c r="ED214" s="1102">
        <f>IF(EB214=0,0,(EC214-EB214)/EB214*100)</f>
        <v>0</v>
      </c>
      <c r="EE214" s="4591"/>
      <c r="EF214" s="4591"/>
      <c r="EG214" s="1102">
        <f>IF(EE214=0,0,(EF214-EE214)/EE214*100)</f>
        <v>0</v>
      </c>
      <c r="EH214" s="4591"/>
      <c r="EI214" s="4591"/>
      <c r="EJ214" s="1102">
        <f>IF(EH214=0,0,(EI214-EH214)/EH214*100)</f>
        <v>0</v>
      </c>
      <c r="EK214" s="4591"/>
      <c r="EL214" s="4591"/>
      <c r="EM214" s="1102">
        <f>IF(EK214=0,0,(EL214-EK214)/EK214*100)</f>
        <v>0</v>
      </c>
      <c r="EN214" s="4591"/>
      <c r="EO214" s="4591"/>
      <c r="EP214" s="1102">
        <f>IF(EN214=0,0,(EO214-EN214)/EN214*100)</f>
        <v>0</v>
      </c>
      <c r="EQ214" s="4591"/>
      <c r="ER214" s="4591"/>
      <c r="ES214" s="1102">
        <f>IF(EQ214=0,0,(ER214-EQ214)/EQ214*100)</f>
        <v>0</v>
      </c>
      <c r="ET214" s="4591"/>
      <c r="EU214" s="4591"/>
      <c r="EV214" s="1102">
        <f>IF(ET214=0,0,(EU214-ET214)/ET214*100)</f>
        <v>0</v>
      </c>
      <c r="EW214" s="4591"/>
      <c r="EX214" s="4591"/>
      <c r="EY214" s="1102">
        <f>IF(EW214=0,0,(EX214-EW214)/EW214*100)</f>
        <v>0</v>
      </c>
      <c r="EZ214" s="4591"/>
      <c r="FA214" s="4591"/>
      <c r="FB214" s="1102">
        <f>IF(EZ214=0,0,(FA214-EZ214)/EZ214*100)</f>
        <v>0</v>
      </c>
      <c r="FC214" s="4591"/>
      <c r="FD214" s="4591"/>
      <c r="FE214" s="1102">
        <f>IF(FC214=0,0,(FD214-FC214)/FC214*100)</f>
        <v>0</v>
      </c>
      <c r="FF214" s="4591"/>
      <c r="FG214" s="4591"/>
      <c r="FH214" s="1102">
        <f>IF(FF214=0,0,(FG214-FF214)/FF214*100)</f>
        <v>0</v>
      </c>
      <c r="FI214" s="4591"/>
      <c r="FJ214" s="4591"/>
      <c r="FK214" s="1102">
        <f>IF(FI214=0,0,(FJ214-FI214)/FI214*100)</f>
        <v>0</v>
      </c>
      <c r="FL214" s="4591"/>
      <c r="FM214" s="4591"/>
      <c r="FN214" s="1102">
        <f>IF(FL214=0,0,(FM214-FL214)/FL214*100)</f>
        <v>0</v>
      </c>
      <c r="FO214" s="4591"/>
      <c r="FP214" s="4591"/>
      <c r="FQ214" s="1102">
        <f>IF(FO214=0,0,(FP214-FO214)/FO214*100)</f>
        <v>0</v>
      </c>
      <c r="FR214" s="4591"/>
      <c r="FS214" s="4591"/>
      <c r="FT214" s="1102">
        <f>IF(FR214=0,0,(FS214-FR214)/FR214*100)</f>
        <v>0</v>
      </c>
      <c r="FU214" s="4591"/>
      <c r="FV214" s="4591"/>
      <c r="FW214" s="1102">
        <f>IF(FU214=0,0,(FV214-FU214)/FU214*100)</f>
        <v>0</v>
      </c>
      <c r="FX214" s="1328"/>
      <c r="FY214" s="1328"/>
      <c r="FZ214" s="1063" t="s">
        <v>1921</v>
      </c>
      <c r="GA214" s="1330"/>
      <c r="GB214" s="1330"/>
      <c r="GC214" s="1329"/>
      <c r="GD214" s="1329"/>
    </row>
    <row s="1656" customFormat="1" customHeight="1" ht="23.25" hidden="1">
      <c r="A215" s="496"/>
      <c r="B215" s="932" cm="1" t="str">
        <f t="array" ref="B215:B215">B214</f>
        <v>false</v>
      </c>
      <c r="C215" s="496"/>
      <c r="D215" s="496"/>
      <c r="E215" s="847">
        <v>24.5</v>
      </c>
      <c r="F215" s="50" cm="1" t="str">
        <f t="array" ref="F215:F215">OFFSET(E215,-1,1)</f>
        <v>2</v>
      </c>
      <c r="G215" s="496"/>
      <c r="H215" s="496"/>
      <c r="I215" s="496"/>
      <c r="J215" s="496"/>
      <c r="K215" s="496"/>
      <c r="L215" s="496"/>
      <c r="M215" s="496"/>
      <c r="N215" s="496"/>
      <c r="O215" s="496"/>
      <c r="P215" s="496"/>
      <c r="Q215" s="496"/>
      <c r="R215" s="496"/>
      <c r="S215" s="496"/>
      <c r="T215" s="468" cm="1" t="str">
        <f t="array" ref="T215:T215">T214</f>
        <v>true</v>
      </c>
      <c r="U215" s="496"/>
      <c r="V215" s="496"/>
      <c r="W215" s="496"/>
      <c r="X215" s="1559"/>
      <c r="Y215" s="496"/>
      <c r="Z215" s="1528"/>
      <c r="AA215" s="496"/>
      <c r="AB215" s="289" t="s">
        <v>1922</v>
      </c>
      <c r="AC215" s="910"/>
      <c r="AD215" s="1111"/>
      <c r="AE215" s="1111"/>
      <c r="AF215" s="1111"/>
      <c r="AG215" s="1111"/>
      <c r="AH215" s="1111"/>
      <c r="AI215" s="1111"/>
      <c r="AJ215" s="1111"/>
      <c r="AK215" s="1111"/>
      <c r="AL215" s="1111"/>
      <c r="AM215" s="1111"/>
      <c r="AN215" s="1111"/>
      <c r="AO215" s="1111"/>
      <c r="AP215" s="1111"/>
      <c r="AQ215" s="1111"/>
      <c r="AR215" s="1111"/>
      <c r="AS215" s="1111"/>
      <c r="AT215" s="1111"/>
      <c r="AU215" s="1111"/>
      <c r="AV215" s="1111"/>
      <c r="AW215" s="1111"/>
      <c r="AX215" s="1111"/>
      <c r="AY215" s="1111"/>
      <c r="AZ215" s="1111"/>
      <c r="BA215" s="1111"/>
      <c r="BB215" s="1111"/>
      <c r="BC215" s="1111"/>
      <c r="BD215" s="1111"/>
      <c r="BE215" s="1111"/>
      <c r="BF215" s="1111"/>
      <c r="BG215" s="1111"/>
      <c r="BH215" s="1111"/>
      <c r="BI215" s="1111"/>
      <c r="BJ215" s="1111"/>
      <c r="BK215" s="1111"/>
      <c r="BL215" s="1111"/>
      <c r="BM215" s="1111"/>
      <c r="BN215" s="1111"/>
      <c r="BO215" s="1111"/>
      <c r="BP215" s="1111"/>
      <c r="BQ215" s="1111"/>
      <c r="BR215" s="1111"/>
      <c r="BS215" s="1111"/>
      <c r="BT215" s="1111"/>
      <c r="BU215" s="1111"/>
      <c r="BV215" s="1111"/>
      <c r="BW215" s="1111"/>
      <c r="BX215" s="1111"/>
      <c r="BY215" s="1111"/>
      <c r="BZ215" s="1111"/>
      <c r="CA215" s="1111"/>
      <c r="CB215" s="1111"/>
      <c r="CC215" s="1111"/>
      <c r="CD215" s="1111"/>
      <c r="CE215" s="1111"/>
      <c r="CF215" s="1111"/>
      <c r="CG215" s="1111"/>
      <c r="CH215" s="1111"/>
      <c r="CI215" s="1111"/>
      <c r="CJ215" s="1111"/>
      <c r="CK215" s="1111"/>
      <c r="CL215" s="1111"/>
      <c r="CM215" s="1111"/>
      <c r="CN215" s="1111"/>
      <c r="CO215" s="1111"/>
      <c r="CP215" s="1111"/>
      <c r="CQ215" s="1111"/>
      <c r="CR215" s="1111"/>
      <c r="CS215" s="1111"/>
      <c r="CT215" s="1111"/>
      <c r="CU215" s="1111"/>
      <c r="CV215" s="1111"/>
      <c r="CW215" s="1111"/>
      <c r="CX215" s="1111"/>
      <c r="CY215" s="1111"/>
      <c r="CZ215" s="1111"/>
      <c r="DA215" s="1111"/>
      <c r="DB215" s="1111"/>
      <c r="DC215" s="1111"/>
      <c r="DD215" s="1111"/>
      <c r="DE215" s="1111"/>
      <c r="DF215" s="1111"/>
      <c r="DG215" s="1111"/>
      <c r="DH215" s="1111"/>
      <c r="DI215" s="1111"/>
      <c r="DJ215" s="1111"/>
      <c r="DK215" s="1111"/>
      <c r="DL215" s="1111"/>
      <c r="DM215" s="1111"/>
      <c r="DN215" s="1111"/>
      <c r="DO215" s="1111"/>
      <c r="DP215" s="1111"/>
      <c r="DQ215" s="1111"/>
      <c r="DR215" s="1111"/>
      <c r="DS215" s="1111"/>
      <c r="DT215" s="1111"/>
      <c r="DU215" s="1111"/>
      <c r="DV215" s="1111"/>
      <c r="DW215" s="1111"/>
      <c r="DX215" s="1111"/>
      <c r="DY215" s="1111"/>
      <c r="DZ215" s="1111"/>
      <c r="EA215" s="1111"/>
      <c r="EB215" s="1111"/>
      <c r="EC215" s="1111"/>
      <c r="ED215" s="1111"/>
      <c r="EE215" s="1111"/>
      <c r="EF215" s="1111"/>
      <c r="EG215" s="1111"/>
      <c r="EH215" s="1111"/>
      <c r="EI215" s="1111"/>
      <c r="EJ215" s="1111"/>
      <c r="EK215" s="1111"/>
      <c r="EL215" s="1111"/>
      <c r="EM215" s="1111"/>
      <c r="EN215" s="1111"/>
      <c r="EO215" s="1111"/>
      <c r="EP215" s="1111"/>
      <c r="EQ215" s="1111"/>
      <c r="ER215" s="1111"/>
      <c r="ES215" s="1111"/>
      <c r="ET215" s="1111"/>
      <c r="EU215" s="1111"/>
      <c r="EV215" s="1111"/>
      <c r="EW215" s="1111"/>
      <c r="EX215" s="1111"/>
      <c r="EY215" s="1111"/>
      <c r="EZ215" s="1111"/>
      <c r="FA215" s="1111"/>
      <c r="FB215" s="1111"/>
      <c r="FC215" s="1111"/>
      <c r="FD215" s="1111"/>
      <c r="FE215" s="1111"/>
      <c r="FF215" s="1111"/>
      <c r="FG215" s="1111"/>
      <c r="FH215" s="1111"/>
      <c r="FI215" s="1111"/>
      <c r="FJ215" s="1111"/>
      <c r="FK215" s="1111"/>
      <c r="FL215" s="1111"/>
      <c r="FM215" s="1111"/>
      <c r="FN215" s="1111"/>
      <c r="FO215" s="1111"/>
      <c r="FP215" s="1111"/>
      <c r="FQ215" s="1111"/>
      <c r="FR215" s="1111"/>
      <c r="FS215" s="1111"/>
      <c r="FT215" s="1111"/>
      <c r="FU215" s="1111"/>
      <c r="FV215" s="1111"/>
      <c r="FW215" s="1112"/>
      <c r="FX215" s="1328"/>
      <c r="FY215" s="1328"/>
      <c r="FZ215" s="1063"/>
      <c r="GA215" s="1330"/>
      <c r="GB215" s="1330"/>
      <c r="GC215" s="1329"/>
      <c r="GD215" s="1329"/>
    </row>
    <row s="1656" customFormat="1" customHeight="1" ht="14.25" hidden="1">
      <c r="A216" s="496"/>
      <c r="B216" s="932" cm="1" t="str">
        <f t="array" ref="B216:B216">B215</f>
        <v>false</v>
      </c>
      <c r="C216" s="496"/>
      <c r="D216" s="496"/>
      <c r="E216" s="847">
        <v>15</v>
      </c>
      <c r="F216" s="50" cm="1" t="str">
        <f t="array" ref="F216:F216">OFFSET(E216,-1,1)</f>
        <v>2</v>
      </c>
      <c r="G216" s="496"/>
      <c r="H216" s="496" t="s">
        <v>1787</v>
      </c>
      <c r="I216" s="496" t="s">
        <v>1879</v>
      </c>
      <c r="J216" s="496"/>
      <c r="K216" s="496"/>
      <c r="L216" s="496"/>
      <c r="M216" s="496"/>
      <c r="N216" s="496"/>
      <c r="O216" s="496"/>
      <c r="P216" s="496"/>
      <c r="Q216" s="496"/>
      <c r="R216" s="496"/>
      <c r="S216" s="496"/>
      <c r="T216" s="468" cm="1" t="str">
        <f t="array" ref="T216:T216">T215</f>
        <v>true</v>
      </c>
      <c r="U216" s="496"/>
      <c r="V216" s="496"/>
      <c r="W216" s="496"/>
      <c r="X216" s="1559"/>
      <c r="Y216" s="496"/>
      <c r="Z216" s="1528"/>
      <c r="AA216" s="496"/>
      <c r="AB216" s="1100" t="s">
        <v>1895</v>
      </c>
      <c r="AC216" s="871" t="s">
        <v>1862</v>
      </c>
      <c r="AD216" s="4591">
        <f>IF(AD218=0,0,(AD217*AD218+AD219*AD220*IF(god=2026,3,6))/AD218)</f>
        <v>0</v>
      </c>
      <c r="AE216" s="4591">
        <f>IF(AE218=0,0,(AE217*AE218+AE219*AE220*IF(god=2026,3,6))/AE218)</f>
        <v>0</v>
      </c>
      <c r="AF216" s="1102">
        <f>IF(AD216=0,0,(AE216-AD216)/AD216*100)</f>
        <v>0</v>
      </c>
      <c r="AG216" s="4591">
        <f>IF(AG218=0,0,(AG217*AG218+AG219*AG220*IF(god=2025,3,6))/AG218)</f>
        <v>0</v>
      </c>
      <c r="AH216" s="4591">
        <f>IF(AH218=0,0,(AH217*AH218+AH219*AH220*IF(god=2025,3,6))/AH218)</f>
        <v>0</v>
      </c>
      <c r="AI216" s="1102">
        <f>IF(AG216=0,0,(AH216-AG216)/AG216*100)</f>
        <v>0</v>
      </c>
      <c r="AJ216" s="4591">
        <f>IF(AJ218=0,0,(AJ217*AJ218+AJ219*AJ220*6)/AJ218)</f>
        <v>0</v>
      </c>
      <c r="AK216" s="4591">
        <f>IF(AK218=0,0,(AK217*AK218+AK219*AK220*6)/AK218)</f>
        <v>0</v>
      </c>
      <c r="AL216" s="1102">
        <f>IF(AJ216=0,0,(AK216-AJ216)/AJ216*100)</f>
        <v>0</v>
      </c>
      <c r="AM216" s="4591">
        <f>IF(AM218=0,0,(AM217*AM218+AM219*AM220*6)/AM218)</f>
        <v>0</v>
      </c>
      <c r="AN216" s="4591">
        <f>IF(AN218=0,0,(AN217*AN218+AN219*AN220*6)/AN218)</f>
        <v>0</v>
      </c>
      <c r="AO216" s="1102">
        <f>IF(AM216=0,0,(AN216-AM216)/AM216*100)</f>
        <v>0</v>
      </c>
      <c r="AP216" s="4591">
        <f>IF(AP218=0,0,(AP217*AP218+AP219*AP220*6)/AP218)</f>
        <v>0</v>
      </c>
      <c r="AQ216" s="4591">
        <f>IF(AQ218=0,0,(AQ217*AQ218+AQ219*AQ220*6)/AQ218)</f>
        <v>0</v>
      </c>
      <c r="AR216" s="1102">
        <f>IF(AP216=0,0,(AQ216-AP216)/AP216*100)</f>
        <v>0</v>
      </c>
      <c r="AS216" s="4591">
        <f>IF(AS218=0,0,(AS217*AS218+AS219*AS220*6)/AS218)</f>
        <v>0</v>
      </c>
      <c r="AT216" s="4591">
        <f>IF(AT218=0,0,(AT217*AT218+AT219*AT220*6)/AT218)</f>
        <v>0</v>
      </c>
      <c r="AU216" s="1102">
        <f>IF(AS216=0,0,(AT216-AS216)/AS216*100)</f>
        <v>0</v>
      </c>
      <c r="AV216" s="4591">
        <f>IF(AV218=0,0,(AV217*AV218+AV219*AV220*6)/AV218)</f>
        <v>0</v>
      </c>
      <c r="AW216" s="4591">
        <f>IF(AW218=0,0,(AW217*AW218+AW219*AW220*6)/AW218)</f>
        <v>0</v>
      </c>
      <c r="AX216" s="1102">
        <f>IF(AV216=0,0,(AW216-AV216)/AV216*100)</f>
        <v>0</v>
      </c>
      <c r="AY216" s="4591">
        <f>IF(AY218=0,0,(AY217*AY218+AY219*AY220*6)/AY218)</f>
        <v>0</v>
      </c>
      <c r="AZ216" s="4591">
        <f>IF(AZ218=0,0,(AZ217*AZ218+AZ219*AZ220*6)/AZ218)</f>
        <v>0</v>
      </c>
      <c r="BA216" s="1102">
        <f>IF(AY216=0,0,(AZ216-AY216)/AY216*100)</f>
        <v>0</v>
      </c>
      <c r="BB216" s="4591">
        <f>IF(BB218=0,0,(BB217*BB218+BB219*BB220*6)/BB218)</f>
        <v>0</v>
      </c>
      <c r="BC216" s="4591">
        <f>IF(BC218=0,0,(BC217*BC218+BC219*BC220*6)/BC218)</f>
        <v>0</v>
      </c>
      <c r="BD216" s="1102">
        <f>IF(BB216=0,0,(BC216-BB216)/BB216*100)</f>
        <v>0</v>
      </c>
      <c r="BE216" s="4591">
        <f>IF(BE218=0,0,(BE217*BE218+BE219*BE220*6)/BE218)</f>
        <v>0</v>
      </c>
      <c r="BF216" s="4591">
        <f>IF(BF218=0,0,(BF217*BF218+BF219*BF220*6)/BF218)</f>
        <v>0</v>
      </c>
      <c r="BG216" s="1102">
        <f>IF(BE216=0,0,(BF216-BE216)/BE216*100)</f>
        <v>0</v>
      </c>
      <c r="BH216" s="4591">
        <f>IF(BH218=0,0,(BH217*BH218+BH219*BH220*6)/BH218)</f>
        <v>0</v>
      </c>
      <c r="BI216" s="4591">
        <f>IF(BI218=0,0,(BI217*BI218+BI219*BI220*6)/BI218)</f>
        <v>0</v>
      </c>
      <c r="BJ216" s="1102">
        <f>IF(BH216=0,0,(BI216-BH216)/BH216*100)</f>
        <v>0</v>
      </c>
      <c r="BK216" s="4591">
        <f>IF(BK218=0,0,(BK217*BK218+BK219*BK220*6)/BK218)</f>
        <v>0</v>
      </c>
      <c r="BL216" s="4591">
        <f>IF(BL218=0,0,(BL217*BL218+BL219*BL220*6)/BL218)</f>
        <v>0</v>
      </c>
      <c r="BM216" s="1102">
        <f>IF(BK216=0,0,(BL216-BK216)/BK216*100)</f>
        <v>0</v>
      </c>
      <c r="BN216" s="4591">
        <f>IF(BN218=0,0,(BN217*BN218+BN219*BN220*6)/BN218)</f>
        <v>0</v>
      </c>
      <c r="BO216" s="4591">
        <f>IF(BO218=0,0,(BO217*BO218+BO219*BO220*6)/BO218)</f>
        <v>0</v>
      </c>
      <c r="BP216" s="1102">
        <f>IF(BN216=0,0,(BO216-BN216)/BN216*100)</f>
        <v>0</v>
      </c>
      <c r="BQ216" s="4591">
        <f>IF(BQ218=0,0,(BQ217*BQ218+BQ219*BQ220*6)/BQ218)</f>
        <v>0</v>
      </c>
      <c r="BR216" s="4591">
        <f>IF(BR218=0,0,(BR217*BR218+BR219*BR220*6)/BR218)</f>
        <v>0</v>
      </c>
      <c r="BS216" s="1102">
        <f>IF(BQ216=0,0,(BR216-BQ216)/BQ216*100)</f>
        <v>0</v>
      </c>
      <c r="BT216" s="4591">
        <f>IF(BT218=0,0,(BT217*BT218+BT219*BT220*6)/BT218)</f>
        <v>0</v>
      </c>
      <c r="BU216" s="4591">
        <f>IF(BU218=0,0,(BU217*BU218+BU219*BU220*6)/BU218)</f>
        <v>0</v>
      </c>
      <c r="BV216" s="1102">
        <f>IF(BT216=0,0,(BU216-BT216)/BT216*100)</f>
        <v>0</v>
      </c>
      <c r="BW216" s="4591">
        <f>IF(BW218=0,0,(BW217*BW218+BW219*BW220*6)/BW218)</f>
        <v>0</v>
      </c>
      <c r="BX216" s="4591">
        <f>IF(BX218=0,0,(BX217*BX218+BX219*BX220*6)/BX218)</f>
        <v>0</v>
      </c>
      <c r="BY216" s="1102">
        <f>IF(BW216=0,0,(BX216-BW216)/BW216*100)</f>
        <v>0</v>
      </c>
      <c r="BZ216" s="4591">
        <f>IF(BZ218=0,0,(BZ217*BZ218+BZ219*BZ220*6)/BZ218)</f>
        <v>0</v>
      </c>
      <c r="CA216" s="4591">
        <f>IF(CA218=0,0,(CA217*CA218+CA219*CA220*6)/CA218)</f>
        <v>0</v>
      </c>
      <c r="CB216" s="1102">
        <f>IF(BZ216=0,0,(CA216-BZ216)/BZ216*100)</f>
        <v>0</v>
      </c>
      <c r="CC216" s="4591">
        <f>IF(CC218=0,0,(CC217*CC218+CC219*CC220*6)/CC218)</f>
        <v>0</v>
      </c>
      <c r="CD216" s="4591">
        <f>IF(CD218=0,0,(CD217*CD218+CD219*CD220*6)/CD218)</f>
        <v>0</v>
      </c>
      <c r="CE216" s="1102">
        <f>IF(CC216=0,0,(CD216-CC216)/CC216*100)</f>
        <v>0</v>
      </c>
      <c r="CF216" s="4591">
        <f>IF(CF218=0,0,(CF217*CF218+CF219*CF220*6)/CF218)</f>
        <v>0</v>
      </c>
      <c r="CG216" s="4591">
        <f>IF(CG218=0,0,(CG217*CG218+CG219*CG220*6)/CG218)</f>
        <v>0</v>
      </c>
      <c r="CH216" s="1102">
        <f>IF(CF216=0,0,(CG216-CF216)/CF216*100)</f>
        <v>0</v>
      </c>
      <c r="CI216" s="4591">
        <f>IF(CI218=0,0,(CI217*CI218+CI219*CI220*6)/CI218)</f>
        <v>0</v>
      </c>
      <c r="CJ216" s="4591">
        <f>IF(CJ218=0,0,(CJ217*CJ218+CJ219*CJ220*6)/CJ218)</f>
        <v>0</v>
      </c>
      <c r="CK216" s="1102">
        <f>IF(CI216=0,0,(CJ216-CI216)/CI216*100)</f>
        <v>0</v>
      </c>
      <c r="CL216" s="4591">
        <f>IF(CL218=0,0,(CL217*CL218+CL219*CL220*6)/CL218)</f>
        <v>0</v>
      </c>
      <c r="CM216" s="4591">
        <f>IF(CM218=0,0,(CM217*CM218+CM219*CM220*6)/CM218)</f>
        <v>0</v>
      </c>
      <c r="CN216" s="1102">
        <f>IF(CL216=0,0,(CM216-CL216)/CL216*100)</f>
        <v>0</v>
      </c>
      <c r="CO216" s="4591">
        <f>IF(CO218=0,0,(CO217*CO218+CO219*CO220*6)/CO218)</f>
        <v>0</v>
      </c>
      <c r="CP216" s="4591">
        <f>IF(CP218=0,0,(CP217*CP218+CP219*CP220*6)/CP218)</f>
        <v>0</v>
      </c>
      <c r="CQ216" s="1102">
        <f>IF(CO216=0,0,(CP216-CO216)/CO216*100)</f>
        <v>0</v>
      </c>
      <c r="CR216" s="4591">
        <f>IF(CR218=0,0,(CR217*CR218+CR219*CR220*6)/CR218)</f>
        <v>0</v>
      </c>
      <c r="CS216" s="4591">
        <f>IF(CS218=0,0,(CS217*CS218+CS219*CS220*6)/CS218)</f>
        <v>0</v>
      </c>
      <c r="CT216" s="1102">
        <f>IF(CR216=0,0,(CS216-CR216)/CR216*100)</f>
        <v>0</v>
      </c>
      <c r="CU216" s="4591">
        <f>IF(CU218=0,0,(CU217*CU218+CU219*CU220*6)/CU218)</f>
        <v>0</v>
      </c>
      <c r="CV216" s="4591">
        <f>IF(CV218=0,0,(CV217*CV218+CV219*CV220*6)/CV218)</f>
        <v>0</v>
      </c>
      <c r="CW216" s="1102">
        <f>IF(CU216=0,0,(CV216-CU216)/CU216*100)</f>
        <v>0</v>
      </c>
      <c r="CX216" s="4591">
        <f>IF(CX218=0,0,(CX217*CX218+CX219*CX220*6)/CX218)</f>
        <v>0</v>
      </c>
      <c r="CY216" s="4591">
        <f>IF(CY218=0,0,(CY217*CY218+CY219*CY220*6)/CY218)</f>
        <v>0</v>
      </c>
      <c r="CZ216" s="1102">
        <f>IF(CX216=0,0,(CY216-CX216)/CX216*100)</f>
        <v>0</v>
      </c>
      <c r="DA216" s="4591">
        <f>IF(DA218=0,0,(DA217*DA218+DA219*DA220*6)/DA218)</f>
        <v>0</v>
      </c>
      <c r="DB216" s="4591">
        <f>IF(DB218=0,0,(DB217*DB218+DB219*DB220*6)/DB218)</f>
        <v>0</v>
      </c>
      <c r="DC216" s="1102">
        <f>IF(DA216=0,0,(DB216-DA216)/DA216*100)</f>
        <v>0</v>
      </c>
      <c r="DD216" s="4591">
        <f>IF(DD218=0,0,(DD217*DD218+DD219*DD220*6)/DD218)</f>
        <v>0</v>
      </c>
      <c r="DE216" s="4591">
        <f>IF(DE218=0,0,(DE217*DE218+DE219*DE220*6)/DE218)</f>
        <v>0</v>
      </c>
      <c r="DF216" s="1102">
        <f>IF(DD216=0,0,(DE216-DD216)/DD216*100)</f>
        <v>0</v>
      </c>
      <c r="DG216" s="4591">
        <f>IF(DG218=0,0,(DG217*DG218+DG219*DG220*6)/DG218)</f>
        <v>0</v>
      </c>
      <c r="DH216" s="4591">
        <f>IF(DH218=0,0,(DH217*DH218+DH219*DH220*6)/DH218)</f>
        <v>0</v>
      </c>
      <c r="DI216" s="1102">
        <f>IF(DG216=0,0,(DH216-DG216)/DG216*100)</f>
        <v>0</v>
      </c>
      <c r="DJ216" s="4591">
        <f>IF(DJ218=0,0,(DJ217*DJ218+DJ219*DJ220*6)/DJ218)</f>
        <v>0</v>
      </c>
      <c r="DK216" s="4591">
        <f>IF(DK218=0,0,(DK217*DK218+DK219*DK220*6)/DK218)</f>
        <v>0</v>
      </c>
      <c r="DL216" s="1102">
        <f>IF(DJ216=0,0,(DK216-DJ216)/DJ216*100)</f>
        <v>0</v>
      </c>
      <c r="DM216" s="4591">
        <f>IF(DM218=0,0,(DM217*DM218+DM219*DM220*6)/DM218)</f>
        <v>0</v>
      </c>
      <c r="DN216" s="4591">
        <f>IF(DN218=0,0,(DN217*DN218+DN219*DN220*6)/DN218)</f>
        <v>0</v>
      </c>
      <c r="DO216" s="1102">
        <f>IF(DM216=0,0,(DN216-DM216)/DM216*100)</f>
        <v>0</v>
      </c>
      <c r="DP216" s="4591">
        <f>IF(DP218=0,0,(DP217*DP218+DP219*DP220*6)/DP218)</f>
        <v>0</v>
      </c>
      <c r="DQ216" s="4591">
        <f>IF(DQ218=0,0,(DQ217*DQ218+DQ219*DQ220*6)/DQ218)</f>
        <v>0</v>
      </c>
      <c r="DR216" s="1102">
        <f>IF(DP216=0,0,(DQ216-DP216)/DP216*100)</f>
        <v>0</v>
      </c>
      <c r="DS216" s="4591">
        <f>IF(DS218=0,0,(DS217*DS218+DS219*DS220*6)/DS218)</f>
        <v>0</v>
      </c>
      <c r="DT216" s="4591">
        <f>IF(DT218=0,0,(DT217*DT218+DT219*DT220*6)/DT218)</f>
        <v>0</v>
      </c>
      <c r="DU216" s="1102">
        <f>IF(DS216=0,0,(DT216-DS216)/DS216*100)</f>
        <v>0</v>
      </c>
      <c r="DV216" s="4591">
        <f>IF(DV218=0,0,(DV217*DV218+DV219*DV220*6)/DV218)</f>
        <v>0</v>
      </c>
      <c r="DW216" s="4591">
        <f>IF(DW218=0,0,(DW217*DW218+DW219*DW220*6)/DW218)</f>
        <v>0</v>
      </c>
      <c r="DX216" s="1102">
        <f>IF(DV216=0,0,(DW216-DV216)/DV216*100)</f>
        <v>0</v>
      </c>
      <c r="DY216" s="4591">
        <f>IF(DY218=0,0,(DY217*DY218+DY219*DY220*6)/DY218)</f>
        <v>0</v>
      </c>
      <c r="DZ216" s="4591">
        <f>IF(DZ218=0,0,(DZ217*DZ218+DZ219*DZ220*6)/DZ218)</f>
        <v>0</v>
      </c>
      <c r="EA216" s="1102">
        <f>IF(DY216=0,0,(DZ216-DY216)/DY216*100)</f>
        <v>0</v>
      </c>
      <c r="EB216" s="4591">
        <f>IF(EB218=0,0,(EB217*EB218+EB219*EB220*6)/EB218)</f>
        <v>0</v>
      </c>
      <c r="EC216" s="4591">
        <f>IF(EC218=0,0,(EC217*EC218+EC219*EC220*6)/EC218)</f>
        <v>0</v>
      </c>
      <c r="ED216" s="1102">
        <f>IF(EB216=0,0,(EC216-EB216)/EB216*100)</f>
        <v>0</v>
      </c>
      <c r="EE216" s="4591">
        <f>IF(EE218=0,0,(EE217*EE218+EE219*EE220*6)/EE218)</f>
        <v>0</v>
      </c>
      <c r="EF216" s="4591">
        <f>IF(EF218=0,0,(EF217*EF218+EF219*EF220*6)/EF218)</f>
        <v>0</v>
      </c>
      <c r="EG216" s="1102">
        <f>IF(EE216=0,0,(EF216-EE216)/EE216*100)</f>
        <v>0</v>
      </c>
      <c r="EH216" s="4591">
        <f>IF(EH218=0,0,(EH217*EH218+EH219*EH220*6)/EH218)</f>
        <v>0</v>
      </c>
      <c r="EI216" s="4591">
        <f>IF(EI218=0,0,(EI217*EI218+EI219*EI220*6)/EI218)</f>
        <v>0</v>
      </c>
      <c r="EJ216" s="1102">
        <f>IF(EH216=0,0,(EI216-EH216)/EH216*100)</f>
        <v>0</v>
      </c>
      <c r="EK216" s="4591">
        <f>IF(EK218=0,0,(EK217*EK218+EK219*EK220*6)/EK218)</f>
        <v>0</v>
      </c>
      <c r="EL216" s="4591">
        <f>IF(EL218=0,0,(EL217*EL218+EL219*EL220*6)/EL218)</f>
        <v>0</v>
      </c>
      <c r="EM216" s="1102">
        <f>IF(EK216=0,0,(EL216-EK216)/EK216*100)</f>
        <v>0</v>
      </c>
      <c r="EN216" s="4591">
        <f>IF(EN218=0,0,(EN217*EN218+EN219*EN220*6)/EN218)</f>
        <v>0</v>
      </c>
      <c r="EO216" s="4591">
        <f>IF(EO218=0,0,(EO217*EO218+EO219*EO220*6)/EO218)</f>
        <v>0</v>
      </c>
      <c r="EP216" s="1102">
        <f>IF(EN216=0,0,(EO216-EN216)/EN216*100)</f>
        <v>0</v>
      </c>
      <c r="EQ216" s="4591">
        <f>IF(EQ218=0,0,(EQ217*EQ218+EQ219*EQ220*6)/EQ218)</f>
        <v>0</v>
      </c>
      <c r="ER216" s="4591">
        <f>IF(ER218=0,0,(ER217*ER218+ER219*ER220*6)/ER218)</f>
        <v>0</v>
      </c>
      <c r="ES216" s="1102">
        <f>IF(EQ216=0,0,(ER216-EQ216)/EQ216*100)</f>
        <v>0</v>
      </c>
      <c r="ET216" s="4591">
        <f>IF(ET218=0,0,(ET217*ET218+ET219*ET220*6)/ET218)</f>
        <v>0</v>
      </c>
      <c r="EU216" s="4591">
        <f>IF(EU218=0,0,(EU217*EU218+EU219*EU220*6)/EU218)</f>
        <v>0</v>
      </c>
      <c r="EV216" s="1102">
        <f>IF(ET216=0,0,(EU216-ET216)/ET216*100)</f>
        <v>0</v>
      </c>
      <c r="EW216" s="4591">
        <f>IF(EW218=0,0,(EW217*EW218+EW219*EW220*6)/EW218)</f>
        <v>0</v>
      </c>
      <c r="EX216" s="4591">
        <f>IF(EX218=0,0,(EX217*EX218+EX219*EX220*6)/EX218)</f>
        <v>0</v>
      </c>
      <c r="EY216" s="1102">
        <f>IF(EW216=0,0,(EX216-EW216)/EW216*100)</f>
        <v>0</v>
      </c>
      <c r="EZ216" s="4591">
        <f>IF(EZ218=0,0,(EZ217*EZ218+EZ219*EZ220*6)/EZ218)</f>
        <v>0</v>
      </c>
      <c r="FA216" s="4591">
        <f>IF(FA218=0,0,(FA217*FA218+FA219*FA220*6)/FA218)</f>
        <v>0</v>
      </c>
      <c r="FB216" s="1102">
        <f>IF(EZ216=0,0,(FA216-EZ216)/EZ216*100)</f>
        <v>0</v>
      </c>
      <c r="FC216" s="4591">
        <f>IF(FC218=0,0,(FC217*FC218+FC219*FC220*6)/FC218)</f>
        <v>0</v>
      </c>
      <c r="FD216" s="4591">
        <f>IF(FD218=0,0,(FD217*FD218+FD219*FD220*6)/FD218)</f>
        <v>0</v>
      </c>
      <c r="FE216" s="1102">
        <f>IF(FC216=0,0,(FD216-FC216)/FC216*100)</f>
        <v>0</v>
      </c>
      <c r="FF216" s="4591">
        <f>IF(FF218=0,0,(FF217*FF218+FF219*FF220*6)/FF218)</f>
        <v>0</v>
      </c>
      <c r="FG216" s="4591">
        <f>IF(FG218=0,0,(FG217*FG218+FG219*FG220*6)/FG218)</f>
        <v>0</v>
      </c>
      <c r="FH216" s="1102">
        <f>IF(FF216=0,0,(FG216-FF216)/FF216*100)</f>
        <v>0</v>
      </c>
      <c r="FI216" s="4591">
        <f>IF(FI218=0,0,(FI217*FI218+FI219*FI220*6)/FI218)</f>
        <v>0</v>
      </c>
      <c r="FJ216" s="4591">
        <f>IF(FJ218=0,0,(FJ217*FJ218+FJ219*FJ220*6)/FJ218)</f>
        <v>0</v>
      </c>
      <c r="FK216" s="1102">
        <f>IF(FI216=0,0,(FJ216-FI216)/FI216*100)</f>
        <v>0</v>
      </c>
      <c r="FL216" s="4591">
        <f>IF(FL218=0,0,(FL217*FL218+FL219*FL220*6)/FL218)</f>
        <v>0</v>
      </c>
      <c r="FM216" s="4591">
        <f>IF(FM218=0,0,(FM217*FM218+FM219*FM220*6)/FM218)</f>
        <v>0</v>
      </c>
      <c r="FN216" s="1102">
        <f>IF(FL216=0,0,(FM216-FL216)/FL216*100)</f>
        <v>0</v>
      </c>
      <c r="FO216" s="4591">
        <f>IF(FO218=0,0,(FO217*FO218+FO219*FO220*6)/FO218)</f>
        <v>0</v>
      </c>
      <c r="FP216" s="4591">
        <f>IF(FP218=0,0,(FP217*FP218+FP219*FP220*6)/FP218)</f>
        <v>0</v>
      </c>
      <c r="FQ216" s="1102">
        <f>IF(FO216=0,0,(FP216-FO216)/FO216*100)</f>
        <v>0</v>
      </c>
      <c r="FR216" s="4591">
        <f>IF(FR218=0,0,(FR217*FR218+FR219*FR220*6)/FR218)</f>
        <v>0</v>
      </c>
      <c r="FS216" s="4591">
        <f>IF(FS218=0,0,(FS217*FS218+FS219*FS220*6)/FS218)</f>
        <v>0</v>
      </c>
      <c r="FT216" s="1102">
        <f>IF(FR216=0,0,(FS216-FR216)/FR216*100)</f>
        <v>0</v>
      </c>
      <c r="FU216" s="4591">
        <f>IF(FU218=0,0,(FU217*FU218+FU219*FU220*6)/FU218)</f>
        <v>0</v>
      </c>
      <c r="FV216" s="4591">
        <f>IF(FV218=0,0,(FV217*FV218+FV219*FV220*6)/FV218)</f>
        <v>0</v>
      </c>
      <c r="FW216" s="1102">
        <f>IF(FU216=0,0,(FV216-FU216)/FU216*100)</f>
        <v>0</v>
      </c>
      <c r="FX216" s="1328"/>
      <c r="FY216" s="1328"/>
      <c r="FZ216" s="1063" t="s">
        <v>1923</v>
      </c>
      <c r="GA216" s="1330"/>
      <c r="GB216" s="1330"/>
      <c r="GC216" s="1329"/>
      <c r="GD216" s="1329"/>
    </row>
    <row s="1656" customFormat="1" customHeight="1" ht="14.25" hidden="1">
      <c r="A217" s="496"/>
      <c r="B217" s="932" cm="1" t="str">
        <f t="array" ref="B217:B217">B216</f>
        <v>false</v>
      </c>
      <c r="C217" s="496"/>
      <c r="D217" s="496"/>
      <c r="E217" s="847">
        <v>15</v>
      </c>
      <c r="F217" s="50" cm="1" t="str">
        <f t="array" ref="F217:F217">OFFSET(E217,-1,1)</f>
        <v>2</v>
      </c>
      <c r="G217" s="496"/>
      <c r="H217" s="496" t="s">
        <v>1791</v>
      </c>
      <c r="I217" s="496" t="s">
        <v>1879</v>
      </c>
      <c r="J217" s="496"/>
      <c r="K217" s="496"/>
      <c r="L217" s="496"/>
      <c r="M217" s="496"/>
      <c r="N217" s="496"/>
      <c r="O217" s="496"/>
      <c r="P217" s="496"/>
      <c r="Q217" s="496"/>
      <c r="R217" s="496"/>
      <c r="S217" s="496"/>
      <c r="T217" s="468" cm="1" t="str">
        <f t="array" ref="T217:T217">T216</f>
        <v>true</v>
      </c>
      <c r="U217" s="496"/>
      <c r="V217" s="496"/>
      <c r="W217" s="496"/>
      <c r="X217" s="1559"/>
      <c r="Y217" s="496"/>
      <c r="Z217" s="1528"/>
      <c r="AA217" s="496"/>
      <c r="AB217" s="911" t="str">
        <f>"ставка платы за "&amp;IF(Q179="Водоснабжение","потребление 1 куб.м холодной воды","объем принятых сточных вод")</f>
        <v>ставка платы за объем принятых сточных вод</v>
      </c>
      <c r="AC217" s="871" t="s">
        <v>1862</v>
      </c>
      <c r="AD217" s="4591"/>
      <c r="AE217" s="4591"/>
      <c r="AF217" s="1102">
        <f>IF(AD217=0,0,(AE217-AD217)/AD217*100)</f>
        <v>0</v>
      </c>
      <c r="AG217" s="4591"/>
      <c r="AH217" s="4591"/>
      <c r="AI217" s="1102">
        <f>IF(AG217=0,0,(AH217-AG217)/AG217*100)</f>
        <v>0</v>
      </c>
      <c r="AJ217" s="4591"/>
      <c r="AK217" s="4591"/>
      <c r="AL217" s="1102">
        <f>IF(AJ217=0,0,(AK217-AJ217)/AJ217*100)</f>
        <v>0</v>
      </c>
      <c r="AM217" s="4591"/>
      <c r="AN217" s="4591"/>
      <c r="AO217" s="1102">
        <f>IF(AM217=0,0,(AN217-AM217)/AM217*100)</f>
        <v>0</v>
      </c>
      <c r="AP217" s="4591"/>
      <c r="AQ217" s="4591"/>
      <c r="AR217" s="1102">
        <f>IF(AP217=0,0,(AQ217-AP217)/AP217*100)</f>
        <v>0</v>
      </c>
      <c r="AS217" s="4591"/>
      <c r="AT217" s="4591"/>
      <c r="AU217" s="1102">
        <f>IF(AS217=0,0,(AT217-AS217)/AS217*100)</f>
        <v>0</v>
      </c>
      <c r="AV217" s="4591"/>
      <c r="AW217" s="4591"/>
      <c r="AX217" s="1102">
        <f>IF(AV217=0,0,(AW217-AV217)/AV217*100)</f>
        <v>0</v>
      </c>
      <c r="AY217" s="4591"/>
      <c r="AZ217" s="4591"/>
      <c r="BA217" s="1102">
        <f>IF(AY217=0,0,(AZ217-AY217)/AY217*100)</f>
        <v>0</v>
      </c>
      <c r="BB217" s="4591"/>
      <c r="BC217" s="4591"/>
      <c r="BD217" s="1102">
        <f>IF(BB217=0,0,(BC217-BB217)/BB217*100)</f>
        <v>0</v>
      </c>
      <c r="BE217" s="4591"/>
      <c r="BF217" s="4591"/>
      <c r="BG217" s="1102">
        <f>IF(BE217=0,0,(BF217-BE217)/BE217*100)</f>
        <v>0</v>
      </c>
      <c r="BH217" s="4591"/>
      <c r="BI217" s="4591"/>
      <c r="BJ217" s="1102">
        <f>IF(BH217=0,0,(BI217-BH217)/BH217*100)</f>
        <v>0</v>
      </c>
      <c r="BK217" s="4591"/>
      <c r="BL217" s="4591"/>
      <c r="BM217" s="1102">
        <f>IF(BK217=0,0,(BL217-BK217)/BK217*100)</f>
        <v>0</v>
      </c>
      <c r="BN217" s="4591"/>
      <c r="BO217" s="4591"/>
      <c r="BP217" s="1102">
        <f>IF(BN217=0,0,(BO217-BN217)/BN217*100)</f>
        <v>0</v>
      </c>
      <c r="BQ217" s="4591"/>
      <c r="BR217" s="4591"/>
      <c r="BS217" s="1102">
        <f>IF(BQ217=0,0,(BR217-BQ217)/BQ217*100)</f>
        <v>0</v>
      </c>
      <c r="BT217" s="4591"/>
      <c r="BU217" s="4591"/>
      <c r="BV217" s="1102">
        <f>IF(BT217=0,0,(BU217-BT217)/BT217*100)</f>
        <v>0</v>
      </c>
      <c r="BW217" s="4591"/>
      <c r="BX217" s="4591"/>
      <c r="BY217" s="1102">
        <f>IF(BW217=0,0,(BX217-BW217)/BW217*100)</f>
        <v>0</v>
      </c>
      <c r="BZ217" s="4591"/>
      <c r="CA217" s="4591"/>
      <c r="CB217" s="1102">
        <f>IF(BZ217=0,0,(CA217-BZ217)/BZ217*100)</f>
        <v>0</v>
      </c>
      <c r="CC217" s="4591"/>
      <c r="CD217" s="4591"/>
      <c r="CE217" s="1102">
        <f>IF(CC217=0,0,(CD217-CC217)/CC217*100)</f>
        <v>0</v>
      </c>
      <c r="CF217" s="4591"/>
      <c r="CG217" s="4591"/>
      <c r="CH217" s="1102">
        <f>IF(CF217=0,0,(CG217-CF217)/CF217*100)</f>
        <v>0</v>
      </c>
      <c r="CI217" s="4591"/>
      <c r="CJ217" s="4591"/>
      <c r="CK217" s="1102">
        <f>IF(CI217=0,0,(CJ217-CI217)/CI217*100)</f>
        <v>0</v>
      </c>
      <c r="CL217" s="4591"/>
      <c r="CM217" s="4591"/>
      <c r="CN217" s="1102">
        <f>IF(CL217=0,0,(CM217-CL217)/CL217*100)</f>
        <v>0</v>
      </c>
      <c r="CO217" s="4591"/>
      <c r="CP217" s="4591"/>
      <c r="CQ217" s="1102">
        <f>IF(CO217=0,0,(CP217-CO217)/CO217*100)</f>
        <v>0</v>
      </c>
      <c r="CR217" s="4591"/>
      <c r="CS217" s="4591"/>
      <c r="CT217" s="1102">
        <f>IF(CR217=0,0,(CS217-CR217)/CR217*100)</f>
        <v>0</v>
      </c>
      <c r="CU217" s="4591"/>
      <c r="CV217" s="4591"/>
      <c r="CW217" s="1102">
        <f>IF(CU217=0,0,(CV217-CU217)/CU217*100)</f>
        <v>0</v>
      </c>
      <c r="CX217" s="4591"/>
      <c r="CY217" s="4591"/>
      <c r="CZ217" s="1102">
        <f>IF(CX217=0,0,(CY217-CX217)/CX217*100)</f>
        <v>0</v>
      </c>
      <c r="DA217" s="4591"/>
      <c r="DB217" s="4591"/>
      <c r="DC217" s="1102">
        <f>IF(DA217=0,0,(DB217-DA217)/DA217*100)</f>
        <v>0</v>
      </c>
      <c r="DD217" s="4591"/>
      <c r="DE217" s="4591"/>
      <c r="DF217" s="1102">
        <f>IF(DD217=0,0,(DE217-DD217)/DD217*100)</f>
        <v>0</v>
      </c>
      <c r="DG217" s="4591"/>
      <c r="DH217" s="4591"/>
      <c r="DI217" s="1102">
        <f>IF(DG217=0,0,(DH217-DG217)/DG217*100)</f>
        <v>0</v>
      </c>
      <c r="DJ217" s="4591"/>
      <c r="DK217" s="4591"/>
      <c r="DL217" s="1102">
        <f>IF(DJ217=0,0,(DK217-DJ217)/DJ217*100)</f>
        <v>0</v>
      </c>
      <c r="DM217" s="4591"/>
      <c r="DN217" s="4591"/>
      <c r="DO217" s="1102">
        <f>IF(DM217=0,0,(DN217-DM217)/DM217*100)</f>
        <v>0</v>
      </c>
      <c r="DP217" s="4591"/>
      <c r="DQ217" s="4591"/>
      <c r="DR217" s="1102">
        <f>IF(DP217=0,0,(DQ217-DP217)/DP217*100)</f>
        <v>0</v>
      </c>
      <c r="DS217" s="4591"/>
      <c r="DT217" s="4591"/>
      <c r="DU217" s="1102">
        <f>IF(DS217=0,0,(DT217-DS217)/DS217*100)</f>
        <v>0</v>
      </c>
      <c r="DV217" s="4591"/>
      <c r="DW217" s="4591"/>
      <c r="DX217" s="1102">
        <f>IF(DV217=0,0,(DW217-DV217)/DV217*100)</f>
        <v>0</v>
      </c>
      <c r="DY217" s="4591"/>
      <c r="DZ217" s="4591"/>
      <c r="EA217" s="1102">
        <f>IF(DY217=0,0,(DZ217-DY217)/DY217*100)</f>
        <v>0</v>
      </c>
      <c r="EB217" s="4591"/>
      <c r="EC217" s="4591"/>
      <c r="ED217" s="1102">
        <f>IF(EB217=0,0,(EC217-EB217)/EB217*100)</f>
        <v>0</v>
      </c>
      <c r="EE217" s="4591"/>
      <c r="EF217" s="4591"/>
      <c r="EG217" s="1102">
        <f>IF(EE217=0,0,(EF217-EE217)/EE217*100)</f>
        <v>0</v>
      </c>
      <c r="EH217" s="4591"/>
      <c r="EI217" s="4591"/>
      <c r="EJ217" s="1102">
        <f>IF(EH217=0,0,(EI217-EH217)/EH217*100)</f>
        <v>0</v>
      </c>
      <c r="EK217" s="4591"/>
      <c r="EL217" s="4591"/>
      <c r="EM217" s="1102">
        <f>IF(EK217=0,0,(EL217-EK217)/EK217*100)</f>
        <v>0</v>
      </c>
      <c r="EN217" s="4591"/>
      <c r="EO217" s="4591"/>
      <c r="EP217" s="1102">
        <f>IF(EN217=0,0,(EO217-EN217)/EN217*100)</f>
        <v>0</v>
      </c>
      <c r="EQ217" s="4591"/>
      <c r="ER217" s="4591"/>
      <c r="ES217" s="1102">
        <f>IF(EQ217=0,0,(ER217-EQ217)/EQ217*100)</f>
        <v>0</v>
      </c>
      <c r="ET217" s="4591"/>
      <c r="EU217" s="4591"/>
      <c r="EV217" s="1102">
        <f>IF(ET217=0,0,(EU217-ET217)/ET217*100)</f>
        <v>0</v>
      </c>
      <c r="EW217" s="4591"/>
      <c r="EX217" s="4591"/>
      <c r="EY217" s="1102">
        <f>IF(EW217=0,0,(EX217-EW217)/EW217*100)</f>
        <v>0</v>
      </c>
      <c r="EZ217" s="4591"/>
      <c r="FA217" s="4591"/>
      <c r="FB217" s="1102">
        <f>IF(EZ217=0,0,(FA217-EZ217)/EZ217*100)</f>
        <v>0</v>
      </c>
      <c r="FC217" s="4591"/>
      <c r="FD217" s="4591"/>
      <c r="FE217" s="1102">
        <f>IF(FC217=0,0,(FD217-FC217)/FC217*100)</f>
        <v>0</v>
      </c>
      <c r="FF217" s="4591"/>
      <c r="FG217" s="4591"/>
      <c r="FH217" s="1102">
        <f>IF(FF217=0,0,(FG217-FF217)/FF217*100)</f>
        <v>0</v>
      </c>
      <c r="FI217" s="4591"/>
      <c r="FJ217" s="4591"/>
      <c r="FK217" s="1102">
        <f>IF(FI217=0,0,(FJ217-FI217)/FI217*100)</f>
        <v>0</v>
      </c>
      <c r="FL217" s="4591"/>
      <c r="FM217" s="4591"/>
      <c r="FN217" s="1102">
        <f>IF(FL217=0,0,(FM217-FL217)/FL217*100)</f>
        <v>0</v>
      </c>
      <c r="FO217" s="4591"/>
      <c r="FP217" s="4591"/>
      <c r="FQ217" s="1102">
        <f>IF(FO217=0,0,(FP217-FO217)/FO217*100)</f>
        <v>0</v>
      </c>
      <c r="FR217" s="4591"/>
      <c r="FS217" s="4591"/>
      <c r="FT217" s="1102">
        <f>IF(FR217=0,0,(FS217-FR217)/FR217*100)</f>
        <v>0</v>
      </c>
      <c r="FU217" s="4591"/>
      <c r="FV217" s="4591"/>
      <c r="FW217" s="1102">
        <f>IF(FU217=0,0,(FV217-FU217)/FU217*100)</f>
        <v>0</v>
      </c>
      <c r="FX217" s="1328"/>
      <c r="FY217" s="1328"/>
      <c r="FZ217" s="1063" t="s">
        <v>1924</v>
      </c>
      <c r="GA217" s="1330"/>
      <c r="GB217" s="1330"/>
      <c r="GC217" s="1329"/>
      <c r="GD217" s="1329"/>
    </row>
    <row s="1656" customFormat="1" customHeight="1" ht="14.25" hidden="1">
      <c r="A218" s="496"/>
      <c r="B218" s="932" cm="1" t="str">
        <f t="array" ref="B218:B218">B217</f>
        <v>false</v>
      </c>
      <c r="C218" s="496"/>
      <c r="D218" s="496"/>
      <c r="E218" s="847">
        <v>15</v>
      </c>
      <c r="F218" s="50" cm="1" t="str">
        <f t="array" ref="F218:F218">OFFSET(E218,-1,1)</f>
        <v>2</v>
      </c>
      <c r="G218" s="103" t="s">
        <v>1925</v>
      </c>
      <c r="H218" s="496" t="s">
        <v>1899</v>
      </c>
      <c r="I218" s="496" t="s">
        <v>1879</v>
      </c>
      <c r="J218" s="496"/>
      <c r="K218" s="496"/>
      <c r="L218" s="496"/>
      <c r="M218" s="496"/>
      <c r="N218" s="496"/>
      <c r="O218" s="496"/>
      <c r="P218" s="496"/>
      <c r="Q218" s="496"/>
      <c r="R218" s="496"/>
      <c r="S218" s="496"/>
      <c r="T218" s="468" cm="1" t="str">
        <f t="array" ref="T218:T218">T217</f>
        <v>true</v>
      </c>
      <c r="U218" s="496"/>
      <c r="V218" s="496"/>
      <c r="W218" s="496"/>
      <c r="X218" s="1559"/>
      <c r="Y218" s="496"/>
      <c r="Z218" s="1528"/>
      <c r="AA218" s="496"/>
      <c r="AB218" s="911" t="str">
        <f>"объём "&amp;IF(Q179="Водоснабжение","потребления холодной воды","водоотведения")</f>
        <v>объём водоотведения</v>
      </c>
      <c r="AC218" s="871" t="s">
        <v>657</v>
      </c>
      <c r="AD218" s="4585">
        <f>IF(AND(method_reg="Метод индексации",god&lt;&gt;first_year),_xlfn.SUMIFS(INDEX('Калькуляция (МИ корр)'!$AJ$25:$BC$606,,MATCH(AD$8,'Калькуляция (МИ корр)'!$AJ$8:$BC$8,0)),'Калькуляция (МИ корр)'!$F$25:$F$606,$F218,'Калькуляция (МИ корр)'!$G$25:$G$606,$G218),IF(method_reg="Метод экономически обоснованных расходов",_xlfn.SUMIFS('Калькуляция (МЭОР)'!$AJ$25:$AJ$367,'Калькуляция (МЭОР)'!$F$25:$F$367,$F218,'Калькуляция (МЭОР)'!$G$25:$G$367,$G218),IF(method_reg="Метод сравнения аналогов",_xlfn.SUMIFS('Калькуляция (МСА)'!$AE$25:$AE$103,'Калькуляция (МСА)'!$F$25:$F$103,$F218,'Калькуляция (МСА)'!$G$25:$G$103,$G218),_xlfn.SUMIFS(INDEX('Калькуляция (МИ)'!$AJ$25:$BC$603,,MATCH(AD$8,'Калькуляция (МИ)'!$AJ$8:$BC$8,0)),'Калькуляция (МИ)'!$F$25:$F$603,$F218,'Калькуляция (МИ)'!$G$25:$G$603,$G218))))</f>
        <v>740.3495</v>
      </c>
      <c r="AE218" s="4585">
        <f>IF(AND(method_reg="Метод индексации",god&lt;&gt;first_year),_xlfn.SUMIFS(INDEX('Калькуляция (МИ корр)'!$AJ$25:$BC$606,,MATCH(AE$8,'Калькуляция (МИ корр)'!$AJ$8:$BC$8,0)),'Калькуляция (МИ корр)'!$F$25:$F$606,$F218,'Калькуляция (МИ корр)'!$G$25:$G$606,$G218),IF(method_reg="Метод экономически обоснованных расходов",_xlfn.SUMIFS('Калькуляция (МЭОР)'!$AK$25:$AK$367,'Калькуляция (МЭОР)'!$F$25:$F$367,$F218,'Калькуляция (МЭОР)'!$G$25:$G$367,$G218),IF(method_reg="Метод сравнения аналогов",_xlfn.SUMIFS('Калькуляция (МСА)'!$AF$25:$AF$103,'Калькуляция (МСА)'!$F$25:$F$103,$F218,'Калькуляция (МСА)'!$G$25:$G$103,$G218),_xlfn.SUMIFS(INDEX('Калькуляция (МИ)'!$AJ$25:$BC$603,,MATCH(AE$8,'Калькуляция (МИ)'!$AJ$8:$BC$8,0)),'Калькуляция (МИ)'!$F$25:$F$603,$F218,'Калькуляция (МИ)'!$G$25:$G$603,$G218))))</f>
        <v>706.0189025</v>
      </c>
      <c r="AF218" s="1104">
        <f>IF(AD218=0,0,(AE218-AD218)/AD218*100)</f>
        <v>-4.63707985215092</v>
      </c>
      <c r="AG218" s="4585">
        <f>IF(AND(method_reg="Метод индексации",god&lt;&gt;first_year),_xlfn.SUMIFS(INDEX('Калькуляция (МИ корр)'!$AJ$25:$BC$606,,MATCH(AG$8,'Калькуляция (МИ корр)'!$AJ$8:$BC$8,0)),'Калькуляция (МИ корр)'!$F$25:$F$606,$F218,'Калькуляция (МИ корр)'!$G$25:$G$606,$G218),IF(method_reg="Метод экономически обоснованных расходов",_xlfn.SUMIFS('Калькуляция (МЭОР)'!$AJ$25:$AJ$367,'Калькуляция (МЭОР)'!$F$25:$F$367,$F218,'Калькуляция (МЭОР)'!$G$25:$G$367,$G218),IF(method_reg="Метод сравнения аналогов",_xlfn.SUMIFS('Калькуляция (МСА)'!$AE$25:$AE$103,'Калькуляция (МСА)'!$F$25:$F$103,$F218,'Калькуляция (МСА)'!$G$25:$G$103,$G218),_xlfn.SUMIFS(INDEX('Калькуляция (МИ)'!$AJ$25:$BC$603,,MATCH(AG$8,'Калькуляция (МИ)'!$AJ$8:$BC$8,0)),'Калькуляция (МИ)'!$F$25:$F$603,$F218,'Калькуляция (МИ)'!$G$25:$G$603,$G218))))</f>
        <v>0</v>
      </c>
      <c r="AH218" s="4585">
        <f>IF(AND(method_reg="Метод индексации",god&lt;&gt;first_year),_xlfn.SUMIFS(INDEX('Калькуляция (МИ корр)'!$AJ$25:$BC$606,,MATCH(AH$8,'Калькуляция (МИ корр)'!$AJ$8:$BC$8,0)),'Калькуляция (МИ корр)'!$F$25:$F$606,$F218,'Калькуляция (МИ корр)'!$G$25:$G$606,$G218),IF(method_reg="Метод экономически обоснованных расходов",_xlfn.SUMIFS('Калькуляция (МЭОР)'!$AK$25:$AK$367,'Калькуляция (МЭОР)'!$F$25:$F$367,$F218,'Калькуляция (МЭОР)'!$G$25:$G$367,$G218),IF(method_reg="Метод сравнения аналогов",_xlfn.SUMIFS('Калькуляция (МСА)'!$AF$25:$AF$103,'Калькуляция (МСА)'!$F$25:$F$103,$F218,'Калькуляция (МСА)'!$G$25:$G$103,$G218),_xlfn.SUMIFS(INDEX('Калькуляция (МИ)'!$AJ$25:$BC$603,,MATCH(AH$8,'Калькуляция (МИ)'!$AJ$8:$BC$8,0)),'Калькуляция (МИ)'!$F$25:$F$603,$F218,'Калькуляция (МИ)'!$G$25:$G$603,$G218))))</f>
        <v>0</v>
      </c>
      <c r="AI218" s="1104">
        <f>IF(AG218=0,0,(AH218-AG218)/AG218*100)</f>
        <v>0</v>
      </c>
      <c r="AJ218" s="4585">
        <f>IF(AND(method_reg="Метод индексации",god&lt;&gt;first_year),_xlfn.SUMIFS(INDEX('Калькуляция (МИ корр)'!$AJ$25:$BC$606,,MATCH(AJ$8,'Калькуляция (МИ корр)'!$AJ$8:$BC$8,0)),'Калькуляция (МИ корр)'!$F$25:$F$606,$F218,'Калькуляция (МИ корр)'!$G$25:$G$606,$G218),IF(method_reg="Метод экономически обоснованных расходов",_xlfn.SUMIFS('Калькуляция (МЭОР)'!$AJ$25:$AJ$367,'Калькуляция (МЭОР)'!$F$25:$F$367,$F218,'Калькуляция (МЭОР)'!$G$25:$G$367,$G218),IF(method_reg="Метод сравнения аналогов",_xlfn.SUMIFS('Калькуляция (МСА)'!$AE$25:$AE$103,'Калькуляция (МСА)'!$F$25:$F$103,$F218,'Калькуляция (МСА)'!$G$25:$G$103,$G218),_xlfn.SUMIFS(INDEX('Калькуляция (МИ)'!$AJ$25:$BC$603,,MATCH(AJ$8,'Калькуляция (МИ)'!$AJ$8:$BC$8,0)),'Калькуляция (МИ)'!$F$25:$F$603,$F218,'Калькуляция (МИ)'!$G$25:$G$603,$G218))))</f>
        <v>0</v>
      </c>
      <c r="AK218" s="4585">
        <f>IF(AND(method_reg="Метод индексации",god&lt;&gt;first_year),_xlfn.SUMIFS(INDEX('Калькуляция (МИ корр)'!$AJ$25:$BC$606,,MATCH(AK$8,'Калькуляция (МИ корр)'!$AJ$8:$BC$8,0)),'Калькуляция (МИ корр)'!$F$25:$F$606,$F218,'Калькуляция (МИ корр)'!$G$25:$G$606,$G218),IF(method_reg="Метод экономически обоснованных расходов",_xlfn.SUMIFS('Калькуляция (МЭОР)'!$AK$25:$AK$367,'Калькуляция (МЭОР)'!$F$25:$F$367,$F218,'Калькуляция (МЭОР)'!$G$25:$G$367,$G218),IF(method_reg="Метод сравнения аналогов",_xlfn.SUMIFS('Калькуляция (МСА)'!$AF$25:$AF$103,'Калькуляция (МСА)'!$F$25:$F$103,$F218,'Калькуляция (МСА)'!$G$25:$G$103,$G218),_xlfn.SUMIFS(INDEX('Калькуляция (МИ)'!$AJ$25:$BC$603,,MATCH(AK$8,'Калькуляция (МИ)'!$AJ$8:$BC$8,0)),'Калькуляция (МИ)'!$F$25:$F$603,$F218,'Калькуляция (МИ)'!$G$25:$G$603,$G218))))</f>
        <v>0</v>
      </c>
      <c r="AL218" s="1104">
        <f>IF(AJ218=0,0,(AK218-AJ218)/AJ218*100)</f>
        <v>0</v>
      </c>
      <c r="AM218" s="4585">
        <f>IF(AND(method_reg="Метод индексации",god&lt;&gt;first_year),_xlfn.SUMIFS(INDEX('Калькуляция (МИ корр)'!$AJ$25:$BC$606,,MATCH(AM$8,'Калькуляция (МИ корр)'!$AJ$8:$BC$8,0)),'Калькуляция (МИ корр)'!$F$25:$F$606,$F218,'Калькуляция (МИ корр)'!$G$25:$G$606,$G218),IF(method_reg="Метод экономически обоснованных расходов",_xlfn.SUMIFS('Калькуляция (МЭОР)'!$AJ$25:$AJ$367,'Калькуляция (МЭОР)'!$F$25:$F$367,$F218,'Калькуляция (МЭОР)'!$G$25:$G$367,$G218),IF(method_reg="Метод сравнения аналогов",_xlfn.SUMIFS('Калькуляция (МСА)'!$AE$25:$AE$103,'Калькуляция (МСА)'!$F$25:$F$103,$F218,'Калькуляция (МСА)'!$G$25:$G$103,$G218),_xlfn.SUMIFS(INDEX('Калькуляция (МИ)'!$AJ$25:$BC$603,,MATCH(AM$8,'Калькуляция (МИ)'!$AJ$8:$BC$8,0)),'Калькуляция (МИ)'!$F$25:$F$603,$F218,'Калькуляция (МИ)'!$G$25:$G$603,$G218))))</f>
        <v>0</v>
      </c>
      <c r="AN218" s="4585">
        <f>IF(AND(method_reg="Метод индексации",god&lt;&gt;first_year),_xlfn.SUMIFS(INDEX('Калькуляция (МИ корр)'!$AJ$25:$BC$606,,MATCH(AN$8,'Калькуляция (МИ корр)'!$AJ$8:$BC$8,0)),'Калькуляция (МИ корр)'!$F$25:$F$606,$F218,'Калькуляция (МИ корр)'!$G$25:$G$606,$G218),IF(method_reg="Метод экономически обоснованных расходов",_xlfn.SUMIFS('Калькуляция (МЭОР)'!$AK$25:$AK$367,'Калькуляция (МЭОР)'!$F$25:$F$367,$F218,'Калькуляция (МЭОР)'!$G$25:$G$367,$G218),IF(method_reg="Метод сравнения аналогов",_xlfn.SUMIFS('Калькуляция (МСА)'!$AF$25:$AF$103,'Калькуляция (МСА)'!$F$25:$F$103,$F218,'Калькуляция (МСА)'!$G$25:$G$103,$G218),_xlfn.SUMIFS(INDEX('Калькуляция (МИ)'!$AJ$25:$BC$603,,MATCH(AN$8,'Калькуляция (МИ)'!$AJ$8:$BC$8,0)),'Калькуляция (МИ)'!$F$25:$F$603,$F218,'Калькуляция (МИ)'!$G$25:$G$603,$G218))))</f>
        <v>0</v>
      </c>
      <c r="AO218" s="1104">
        <f>IF(AM218=0,0,(AN218-AM218)/AM218*100)</f>
        <v>0</v>
      </c>
      <c r="AP218" s="4585">
        <f>IF(AND(method_reg="Метод индексации",god&lt;&gt;first_year),_xlfn.SUMIFS(INDEX('Калькуляция (МИ корр)'!$AJ$25:$BC$606,,MATCH(AP$8,'Калькуляция (МИ корр)'!$AJ$8:$BC$8,0)),'Калькуляция (МИ корр)'!$F$25:$F$606,$F218,'Калькуляция (МИ корр)'!$G$25:$G$606,$G218),IF(method_reg="Метод экономически обоснованных расходов",_xlfn.SUMIFS('Калькуляция (МЭОР)'!$AJ$25:$AJ$367,'Калькуляция (МЭОР)'!$F$25:$F$367,$F218,'Калькуляция (МЭОР)'!$G$25:$G$367,$G218),IF(method_reg="Метод сравнения аналогов",_xlfn.SUMIFS('Калькуляция (МСА)'!$AE$25:$AE$103,'Калькуляция (МСА)'!$F$25:$F$103,$F218,'Калькуляция (МСА)'!$G$25:$G$103,$G218),_xlfn.SUMIFS(INDEX('Калькуляция (МИ)'!$AJ$25:$BC$603,,MATCH(AP$8,'Калькуляция (МИ)'!$AJ$8:$BC$8,0)),'Калькуляция (МИ)'!$F$25:$F$603,$F218,'Калькуляция (МИ)'!$G$25:$G$603,$G218))))</f>
        <v>0</v>
      </c>
      <c r="AQ218" s="4585">
        <f>IF(AND(method_reg="Метод индексации",god&lt;&gt;first_year),_xlfn.SUMIFS(INDEX('Калькуляция (МИ корр)'!$AJ$25:$BC$606,,MATCH(AQ$8,'Калькуляция (МИ корр)'!$AJ$8:$BC$8,0)),'Калькуляция (МИ корр)'!$F$25:$F$606,$F218,'Калькуляция (МИ корр)'!$G$25:$G$606,$G218),IF(method_reg="Метод экономически обоснованных расходов",_xlfn.SUMIFS('Калькуляция (МЭОР)'!$AK$25:$AK$367,'Калькуляция (МЭОР)'!$F$25:$F$367,$F218,'Калькуляция (МЭОР)'!$G$25:$G$367,$G218),IF(method_reg="Метод сравнения аналогов",_xlfn.SUMIFS('Калькуляция (МСА)'!$AF$25:$AF$103,'Калькуляция (МСА)'!$F$25:$F$103,$F218,'Калькуляция (МСА)'!$G$25:$G$103,$G218),_xlfn.SUMIFS(INDEX('Калькуляция (МИ)'!$AJ$25:$BC$603,,MATCH(AQ$8,'Калькуляция (МИ)'!$AJ$8:$BC$8,0)),'Калькуляция (МИ)'!$F$25:$F$603,$F218,'Калькуляция (МИ)'!$G$25:$G$603,$G218))))</f>
        <v>0</v>
      </c>
      <c r="AR218" s="1104">
        <f>IF(AP218=0,0,(AQ218-AP218)/AP218*100)</f>
        <v>0</v>
      </c>
      <c r="AS218" s="4585">
        <f>IF(AND(method_reg="Метод индексации",god&lt;&gt;first_year),_xlfn.SUMIFS(INDEX('Калькуляция (МИ корр)'!$AJ$25:$BC$606,,MATCH(AS$8,'Калькуляция (МИ корр)'!$AJ$8:$BC$8,0)),'Калькуляция (МИ корр)'!$F$25:$F$606,$F218,'Калькуляция (МИ корр)'!$G$25:$G$606,$G218),IF(method_reg="Метод экономически обоснованных расходов",_xlfn.SUMIFS('Калькуляция (МЭОР)'!$AJ$25:$AJ$367,'Калькуляция (МЭОР)'!$F$25:$F$367,$F218,'Калькуляция (МЭОР)'!$G$25:$G$367,$G218),IF(method_reg="Метод сравнения аналогов",_xlfn.SUMIFS('Калькуляция (МСА)'!$AE$25:$AE$103,'Калькуляция (МСА)'!$F$25:$F$103,$F218,'Калькуляция (МСА)'!$G$25:$G$103,$G218),_xlfn.SUMIFS(INDEX('Калькуляция (МИ)'!$AJ$25:$BC$603,,MATCH(AS$8,'Калькуляция (МИ)'!$AJ$8:$BC$8,0)),'Калькуляция (МИ)'!$F$25:$F$603,$F218,'Калькуляция (МИ)'!$G$25:$G$603,$G218))))</f>
        <v>0</v>
      </c>
      <c r="AT218" s="4585">
        <f>IF(AND(method_reg="Метод индексации",god&lt;&gt;first_year),_xlfn.SUMIFS(INDEX('Калькуляция (МИ корр)'!$AJ$25:$BC$606,,MATCH(AT$8,'Калькуляция (МИ корр)'!$AJ$8:$BC$8,0)),'Калькуляция (МИ корр)'!$F$25:$F$606,$F218,'Калькуляция (МИ корр)'!$G$25:$G$606,$G218),IF(method_reg="Метод экономически обоснованных расходов",_xlfn.SUMIFS('Калькуляция (МЭОР)'!$AK$25:$AK$367,'Калькуляция (МЭОР)'!$F$25:$F$367,$F218,'Калькуляция (МЭОР)'!$G$25:$G$367,$G218),IF(method_reg="Метод сравнения аналогов",_xlfn.SUMIFS('Калькуляция (МСА)'!$AF$25:$AF$103,'Калькуляция (МСА)'!$F$25:$F$103,$F218,'Калькуляция (МСА)'!$G$25:$G$103,$G218),_xlfn.SUMIFS(INDEX('Калькуляция (МИ)'!$AJ$25:$BC$603,,MATCH(AT$8,'Калькуляция (МИ)'!$AJ$8:$BC$8,0)),'Калькуляция (МИ)'!$F$25:$F$603,$F218,'Калькуляция (МИ)'!$G$25:$G$603,$G218))))</f>
        <v>0</v>
      </c>
      <c r="AU218" s="1104">
        <f>IF(AS218=0,0,(AT218-AS218)/AS218*100)</f>
        <v>0</v>
      </c>
      <c r="AV218" s="4585">
        <f>IF(AND(method_reg="Метод индексации",god&lt;&gt;first_year),_xlfn.SUMIFS(INDEX('Калькуляция (МИ корр)'!$AJ$25:$BC$606,,MATCH(AV$8,'Калькуляция (МИ корр)'!$AJ$8:$BC$8,0)),'Калькуляция (МИ корр)'!$F$25:$F$606,$F218,'Калькуляция (МИ корр)'!$G$25:$G$606,$G218),IF(method_reg="Метод экономически обоснованных расходов",_xlfn.SUMIFS('Калькуляция (МЭОР)'!$AJ$25:$AJ$367,'Калькуляция (МЭОР)'!$F$25:$F$367,$F218,'Калькуляция (МЭОР)'!$G$25:$G$367,$G218),IF(method_reg="Метод сравнения аналогов",_xlfn.SUMIFS('Калькуляция (МСА)'!$AE$25:$AE$103,'Калькуляция (МСА)'!$F$25:$F$103,$F218,'Калькуляция (МСА)'!$G$25:$G$103,$G218),_xlfn.SUMIFS(INDEX('Калькуляция (МИ)'!$AJ$25:$BC$603,,MATCH(AV$8,'Калькуляция (МИ)'!$AJ$8:$BC$8,0)),'Калькуляция (МИ)'!$F$25:$F$603,$F218,'Калькуляция (МИ)'!$G$25:$G$603,$G218))))</f>
        <v>0</v>
      </c>
      <c r="AW218" s="4585">
        <f>IF(AND(method_reg="Метод индексации",god&lt;&gt;first_year),_xlfn.SUMIFS(INDEX('Калькуляция (МИ корр)'!$AJ$25:$BC$606,,MATCH(AW$8,'Калькуляция (МИ корр)'!$AJ$8:$BC$8,0)),'Калькуляция (МИ корр)'!$F$25:$F$606,$F218,'Калькуляция (МИ корр)'!$G$25:$G$606,$G218),IF(method_reg="Метод экономически обоснованных расходов",_xlfn.SUMIFS('Калькуляция (МЭОР)'!$AK$25:$AK$367,'Калькуляция (МЭОР)'!$F$25:$F$367,$F218,'Калькуляция (МЭОР)'!$G$25:$G$367,$G218),IF(method_reg="Метод сравнения аналогов",_xlfn.SUMIFS('Калькуляция (МСА)'!$AF$25:$AF$103,'Калькуляция (МСА)'!$F$25:$F$103,$F218,'Калькуляция (МСА)'!$G$25:$G$103,$G218),_xlfn.SUMIFS(INDEX('Калькуляция (МИ)'!$AJ$25:$BC$603,,MATCH(AW$8,'Калькуляция (МИ)'!$AJ$8:$BC$8,0)),'Калькуляция (МИ)'!$F$25:$F$603,$F218,'Калькуляция (МИ)'!$G$25:$G$603,$G218))))</f>
        <v>0</v>
      </c>
      <c r="AX218" s="1104">
        <f>IF(AV218=0,0,(AW218-AV218)/AV218*100)</f>
        <v>0</v>
      </c>
      <c r="AY218" s="4585">
        <f>IF(AND(method_reg="Метод индексации",god&lt;&gt;first_year),_xlfn.SUMIFS(INDEX('Калькуляция (МИ корр)'!$AJ$25:$BC$606,,MATCH(AY$8,'Калькуляция (МИ корр)'!$AJ$8:$BC$8,0)),'Калькуляция (МИ корр)'!$F$25:$F$606,$F218,'Калькуляция (МИ корр)'!$G$25:$G$606,$G218),IF(method_reg="Метод экономически обоснованных расходов",_xlfn.SUMIFS('Калькуляция (МЭОР)'!$AJ$25:$AJ$367,'Калькуляция (МЭОР)'!$F$25:$F$367,$F218,'Калькуляция (МЭОР)'!$G$25:$G$367,$G218),IF(method_reg="Метод сравнения аналогов",_xlfn.SUMIFS('Калькуляция (МСА)'!$AE$25:$AE$103,'Калькуляция (МСА)'!$F$25:$F$103,$F218,'Калькуляция (МСА)'!$G$25:$G$103,$G218),_xlfn.SUMIFS(INDEX('Калькуляция (МИ)'!$AJ$25:$BC$603,,MATCH(AY$8,'Калькуляция (МИ)'!$AJ$8:$BC$8,0)),'Калькуляция (МИ)'!$F$25:$F$603,$F218,'Калькуляция (МИ)'!$G$25:$G$603,$G218))))</f>
        <v>0</v>
      </c>
      <c r="AZ218" s="4585">
        <f>IF(AND(method_reg="Метод индексации",god&lt;&gt;first_year),_xlfn.SUMIFS(INDEX('Калькуляция (МИ корр)'!$AJ$25:$BC$606,,MATCH(AZ$8,'Калькуляция (МИ корр)'!$AJ$8:$BC$8,0)),'Калькуляция (МИ корр)'!$F$25:$F$606,$F218,'Калькуляция (МИ корр)'!$G$25:$G$606,$G218),IF(method_reg="Метод экономически обоснованных расходов",_xlfn.SUMIFS('Калькуляция (МЭОР)'!$AK$25:$AK$367,'Калькуляция (МЭОР)'!$F$25:$F$367,$F218,'Калькуляция (МЭОР)'!$G$25:$G$367,$G218),IF(method_reg="Метод сравнения аналогов",_xlfn.SUMIFS('Калькуляция (МСА)'!$AF$25:$AF$103,'Калькуляция (МСА)'!$F$25:$F$103,$F218,'Калькуляция (МСА)'!$G$25:$G$103,$G218),_xlfn.SUMIFS(INDEX('Калькуляция (МИ)'!$AJ$25:$BC$603,,MATCH(AZ$8,'Калькуляция (МИ)'!$AJ$8:$BC$8,0)),'Калькуляция (МИ)'!$F$25:$F$603,$F218,'Калькуляция (МИ)'!$G$25:$G$603,$G218))))</f>
        <v>0</v>
      </c>
      <c r="BA218" s="1104">
        <f>IF(AY218=0,0,(AZ218-AY218)/AY218*100)</f>
        <v>0</v>
      </c>
      <c r="BB218" s="4585">
        <f>IF(AND(method_reg="Метод индексации",god&lt;&gt;first_year),_xlfn.SUMIFS(INDEX('Калькуляция (МИ корр)'!$AJ$25:$BC$606,,MATCH(BB$8,'Калькуляция (МИ корр)'!$AJ$8:$BC$8,0)),'Калькуляция (МИ корр)'!$F$25:$F$606,$F218,'Калькуляция (МИ корр)'!$G$25:$G$606,$G218),IF(method_reg="Метод экономически обоснованных расходов",_xlfn.SUMIFS('Калькуляция (МЭОР)'!$AJ$25:$AJ$367,'Калькуляция (МЭОР)'!$F$25:$F$367,$F218,'Калькуляция (МЭОР)'!$G$25:$G$367,$G218),IF(method_reg="Метод сравнения аналогов",_xlfn.SUMIFS('Калькуляция (МСА)'!$AE$25:$AE$103,'Калькуляция (МСА)'!$F$25:$F$103,$F218,'Калькуляция (МСА)'!$G$25:$G$103,$G218),_xlfn.SUMIFS(INDEX('Калькуляция (МИ)'!$AJ$25:$BC$603,,MATCH(BB$8,'Калькуляция (МИ)'!$AJ$8:$BC$8,0)),'Калькуляция (МИ)'!$F$25:$F$603,$F218,'Калькуляция (МИ)'!$G$25:$G$603,$G218))))</f>
        <v>0</v>
      </c>
      <c r="BC218" s="4585">
        <f>IF(AND(method_reg="Метод индексации",god&lt;&gt;first_year),_xlfn.SUMIFS(INDEX('Калькуляция (МИ корр)'!$AJ$25:$BC$606,,MATCH(BC$8,'Калькуляция (МИ корр)'!$AJ$8:$BC$8,0)),'Калькуляция (МИ корр)'!$F$25:$F$606,$F218,'Калькуляция (МИ корр)'!$G$25:$G$606,$G218),IF(method_reg="Метод экономически обоснованных расходов",_xlfn.SUMIFS('Калькуляция (МЭОР)'!$AK$25:$AK$367,'Калькуляция (МЭОР)'!$F$25:$F$367,$F218,'Калькуляция (МЭОР)'!$G$25:$G$367,$G218),IF(method_reg="Метод сравнения аналогов",_xlfn.SUMIFS('Калькуляция (МСА)'!$AF$25:$AF$103,'Калькуляция (МСА)'!$F$25:$F$103,$F218,'Калькуляция (МСА)'!$G$25:$G$103,$G218),_xlfn.SUMIFS(INDEX('Калькуляция (МИ)'!$AJ$25:$BC$603,,MATCH(BC$8,'Калькуляция (МИ)'!$AJ$8:$BC$8,0)),'Калькуляция (МИ)'!$F$25:$F$603,$F218,'Калькуляция (МИ)'!$G$25:$G$603,$G218))))</f>
        <v>0</v>
      </c>
      <c r="BD218" s="1104">
        <f>IF(BB218=0,0,(BC218-BB218)/BB218*100)</f>
        <v>0</v>
      </c>
      <c r="BE218" s="4585">
        <f>IF(AND(method_reg="Метод индексации",god&lt;&gt;first_year),_xlfn.SUMIFS(INDEX('Калькуляция (МИ корр)'!$AJ$25:$BC$606,,MATCH(BE$8,'Калькуляция (МИ корр)'!$AJ$8:$BC$8,0)),'Калькуляция (МИ корр)'!$F$25:$F$606,$F218,'Калькуляция (МИ корр)'!$G$25:$G$606,$G218),IF(method_reg="Метод экономически обоснованных расходов",_xlfn.SUMIFS('Калькуляция (МЭОР)'!$AJ$25:$AJ$367,'Калькуляция (МЭОР)'!$F$25:$F$367,$F218,'Калькуляция (МЭОР)'!$G$25:$G$367,$G218),IF(method_reg="Метод сравнения аналогов",_xlfn.SUMIFS('Калькуляция (МСА)'!$AE$25:$AE$103,'Калькуляция (МСА)'!$F$25:$F$103,$F218,'Калькуляция (МСА)'!$G$25:$G$103,$G218),_xlfn.SUMIFS(INDEX('Калькуляция (МИ)'!$AJ$25:$BC$603,,MATCH(BE$8,'Калькуляция (МИ)'!$AJ$8:$BC$8,0)),'Калькуляция (МИ)'!$F$25:$F$603,$F218,'Калькуляция (МИ)'!$G$25:$G$603,$G218))))</f>
        <v>0</v>
      </c>
      <c r="BF218" s="4585">
        <f>IF(AND(method_reg="Метод индексации",god&lt;&gt;first_year),_xlfn.SUMIFS(INDEX('Калькуляция (МИ корр)'!$AJ$25:$BC$606,,MATCH(BF$8,'Калькуляция (МИ корр)'!$AJ$8:$BC$8,0)),'Калькуляция (МИ корр)'!$F$25:$F$606,$F218,'Калькуляция (МИ корр)'!$G$25:$G$606,$G218),IF(method_reg="Метод экономически обоснованных расходов",_xlfn.SUMIFS('Калькуляция (МЭОР)'!$AK$25:$AK$367,'Калькуляция (МЭОР)'!$F$25:$F$367,$F218,'Калькуляция (МЭОР)'!$G$25:$G$367,$G218),IF(method_reg="Метод сравнения аналогов",_xlfn.SUMIFS('Калькуляция (МСА)'!$AF$25:$AF$103,'Калькуляция (МСА)'!$F$25:$F$103,$F218,'Калькуляция (МСА)'!$G$25:$G$103,$G218),_xlfn.SUMIFS(INDEX('Калькуляция (МИ)'!$AJ$25:$BC$603,,MATCH(BF$8,'Калькуляция (МИ)'!$AJ$8:$BC$8,0)),'Калькуляция (МИ)'!$F$25:$F$603,$F218,'Калькуляция (МИ)'!$G$25:$G$603,$G218))))</f>
        <v>0</v>
      </c>
      <c r="BG218" s="1104">
        <f>IF(BE218=0,0,(BF218-BE218)/BE218*100)</f>
        <v>0</v>
      </c>
      <c r="BH218" s="4585"/>
      <c r="BI218" s="4585"/>
      <c r="BJ218" s="1104">
        <f>IF(BH218=0,0,(BI218-BH218)/BH218*100)</f>
        <v>0</v>
      </c>
      <c r="BK218" s="4585"/>
      <c r="BL218" s="4585"/>
      <c r="BM218" s="1104">
        <f>IF(BK218=0,0,(BL218-BK218)/BK218*100)</f>
        <v>0</v>
      </c>
      <c r="BN218" s="4585"/>
      <c r="BO218" s="4585"/>
      <c r="BP218" s="1104">
        <f>IF(BN218=0,0,(BO218-BN218)/BN218*100)</f>
        <v>0</v>
      </c>
      <c r="BQ218" s="4585"/>
      <c r="BR218" s="4585"/>
      <c r="BS218" s="1104">
        <f>IF(BQ218=0,0,(BR218-BQ218)/BQ218*100)</f>
        <v>0</v>
      </c>
      <c r="BT218" s="4585"/>
      <c r="BU218" s="4585"/>
      <c r="BV218" s="1104">
        <f>IF(BT218=0,0,(BU218-BT218)/BT218*100)</f>
        <v>0</v>
      </c>
      <c r="BW218" s="4585"/>
      <c r="BX218" s="4585"/>
      <c r="BY218" s="1104">
        <f>IF(BW218=0,0,(BX218-BW218)/BW218*100)</f>
        <v>0</v>
      </c>
      <c r="BZ218" s="4585"/>
      <c r="CA218" s="4585"/>
      <c r="CB218" s="1104">
        <f>IF(BZ218=0,0,(CA218-BZ218)/BZ218*100)</f>
        <v>0</v>
      </c>
      <c r="CC218" s="4585"/>
      <c r="CD218" s="4585"/>
      <c r="CE218" s="1104">
        <f>IF(CC218=0,0,(CD218-CC218)/CC218*100)</f>
        <v>0</v>
      </c>
      <c r="CF218" s="4585"/>
      <c r="CG218" s="4585"/>
      <c r="CH218" s="1104">
        <f>IF(CF218=0,0,(CG218-CF218)/CF218*100)</f>
        <v>0</v>
      </c>
      <c r="CI218" s="4585"/>
      <c r="CJ218" s="4585"/>
      <c r="CK218" s="1104">
        <f>IF(CI218=0,0,(CJ218-CI218)/CI218*100)</f>
        <v>0</v>
      </c>
      <c r="CL218" s="4585"/>
      <c r="CM218" s="4585"/>
      <c r="CN218" s="1104">
        <f>IF(CL218=0,0,(CM218-CL218)/CL218*100)</f>
        <v>0</v>
      </c>
      <c r="CO218" s="4585"/>
      <c r="CP218" s="4585"/>
      <c r="CQ218" s="1104">
        <f>IF(CO218=0,0,(CP218-CO218)/CO218*100)</f>
        <v>0</v>
      </c>
      <c r="CR218" s="4585"/>
      <c r="CS218" s="4585"/>
      <c r="CT218" s="1104">
        <f>IF(CR218=0,0,(CS218-CR218)/CR218*100)</f>
        <v>0</v>
      </c>
      <c r="CU218" s="4585"/>
      <c r="CV218" s="4585"/>
      <c r="CW218" s="1104">
        <f>IF(CU218=0,0,(CV218-CU218)/CU218*100)</f>
        <v>0</v>
      </c>
      <c r="CX218" s="4585"/>
      <c r="CY218" s="4585"/>
      <c r="CZ218" s="1104">
        <f>IF(CX218=0,0,(CY218-CX218)/CX218*100)</f>
        <v>0</v>
      </c>
      <c r="DA218" s="4585"/>
      <c r="DB218" s="4585"/>
      <c r="DC218" s="1104">
        <f>IF(DA218=0,0,(DB218-DA218)/DA218*100)</f>
        <v>0</v>
      </c>
      <c r="DD218" s="4585"/>
      <c r="DE218" s="4585"/>
      <c r="DF218" s="1104">
        <f>IF(DD218=0,0,(DE218-DD218)/DD218*100)</f>
        <v>0</v>
      </c>
      <c r="DG218" s="4585"/>
      <c r="DH218" s="4585"/>
      <c r="DI218" s="1104">
        <f>IF(DG218=0,0,(DH218-DG218)/DG218*100)</f>
        <v>0</v>
      </c>
      <c r="DJ218" s="4585"/>
      <c r="DK218" s="4585"/>
      <c r="DL218" s="1104">
        <f>IF(DJ218=0,0,(DK218-DJ218)/DJ218*100)</f>
        <v>0</v>
      </c>
      <c r="DM218" s="4585"/>
      <c r="DN218" s="4585"/>
      <c r="DO218" s="1104">
        <f>IF(DM218=0,0,(DN218-DM218)/DM218*100)</f>
        <v>0</v>
      </c>
      <c r="DP218" s="4585"/>
      <c r="DQ218" s="4585"/>
      <c r="DR218" s="1104">
        <f>IF(DP218=0,0,(DQ218-DP218)/DP218*100)</f>
        <v>0</v>
      </c>
      <c r="DS218" s="4585"/>
      <c r="DT218" s="4585"/>
      <c r="DU218" s="1104">
        <f>IF(DS218=0,0,(DT218-DS218)/DS218*100)</f>
        <v>0</v>
      </c>
      <c r="DV218" s="4585"/>
      <c r="DW218" s="4585"/>
      <c r="DX218" s="1104">
        <f>IF(DV218=0,0,(DW218-DV218)/DV218*100)</f>
        <v>0</v>
      </c>
      <c r="DY218" s="4585"/>
      <c r="DZ218" s="4585"/>
      <c r="EA218" s="1104">
        <f>IF(DY218=0,0,(DZ218-DY218)/DY218*100)</f>
        <v>0</v>
      </c>
      <c r="EB218" s="4585"/>
      <c r="EC218" s="4585"/>
      <c r="ED218" s="1104">
        <f>IF(EB218=0,0,(EC218-EB218)/EB218*100)</f>
        <v>0</v>
      </c>
      <c r="EE218" s="4585"/>
      <c r="EF218" s="4585"/>
      <c r="EG218" s="1104">
        <f>IF(EE218=0,0,(EF218-EE218)/EE218*100)</f>
        <v>0</v>
      </c>
      <c r="EH218" s="4585"/>
      <c r="EI218" s="4585"/>
      <c r="EJ218" s="1104">
        <f>IF(EH218=0,0,(EI218-EH218)/EH218*100)</f>
        <v>0</v>
      </c>
      <c r="EK218" s="4585"/>
      <c r="EL218" s="4585"/>
      <c r="EM218" s="1104">
        <f>IF(EK218=0,0,(EL218-EK218)/EK218*100)</f>
        <v>0</v>
      </c>
      <c r="EN218" s="4585"/>
      <c r="EO218" s="4585"/>
      <c r="EP218" s="1104">
        <f>IF(EN218=0,0,(EO218-EN218)/EN218*100)</f>
        <v>0</v>
      </c>
      <c r="EQ218" s="4585"/>
      <c r="ER218" s="4585"/>
      <c r="ES218" s="1104">
        <f>IF(EQ218=0,0,(ER218-EQ218)/EQ218*100)</f>
        <v>0</v>
      </c>
      <c r="ET218" s="4585"/>
      <c r="EU218" s="4585"/>
      <c r="EV218" s="1104">
        <f>IF(ET218=0,0,(EU218-ET218)/ET218*100)</f>
        <v>0</v>
      </c>
      <c r="EW218" s="4585"/>
      <c r="EX218" s="4585"/>
      <c r="EY218" s="1104">
        <f>IF(EW218=0,0,(EX218-EW218)/EW218*100)</f>
        <v>0</v>
      </c>
      <c r="EZ218" s="4585"/>
      <c r="FA218" s="4585"/>
      <c r="FB218" s="1104">
        <f>IF(EZ218=0,0,(FA218-EZ218)/EZ218*100)</f>
        <v>0</v>
      </c>
      <c r="FC218" s="4585"/>
      <c r="FD218" s="4585"/>
      <c r="FE218" s="1104">
        <f>IF(FC218=0,0,(FD218-FC218)/FC218*100)</f>
        <v>0</v>
      </c>
      <c r="FF218" s="4585"/>
      <c r="FG218" s="4585"/>
      <c r="FH218" s="1104">
        <f>IF(FF218=0,0,(FG218-FF218)/FF218*100)</f>
        <v>0</v>
      </c>
      <c r="FI218" s="4585"/>
      <c r="FJ218" s="4585"/>
      <c r="FK218" s="1104">
        <f>IF(FI218=0,0,(FJ218-FI218)/FI218*100)</f>
        <v>0</v>
      </c>
      <c r="FL218" s="4585"/>
      <c r="FM218" s="4585"/>
      <c r="FN218" s="1104">
        <f>IF(FL218=0,0,(FM218-FL218)/FL218*100)</f>
        <v>0</v>
      </c>
      <c r="FO218" s="4585"/>
      <c r="FP218" s="4585"/>
      <c r="FQ218" s="1104">
        <f>IF(FO218=0,0,(FP218-FO218)/FO218*100)</f>
        <v>0</v>
      </c>
      <c r="FR218" s="4585"/>
      <c r="FS218" s="4585"/>
      <c r="FT218" s="1104">
        <f>IF(FR218=0,0,(FS218-FR218)/FR218*100)</f>
        <v>0</v>
      </c>
      <c r="FU218" s="4585"/>
      <c r="FV218" s="4585"/>
      <c r="FW218" s="1104">
        <f>IF(FU218=0,0,(FV218-FU218)/FU218*100)</f>
        <v>0</v>
      </c>
      <c r="FX218" s="1328"/>
      <c r="FY218" s="1328"/>
      <c r="FZ218" s="1063" t="s">
        <v>1926</v>
      </c>
      <c r="GA218" s="1330"/>
      <c r="GB218" s="1330"/>
      <c r="GC218" s="1329"/>
      <c r="GD218" s="1329"/>
    </row>
    <row s="1656" customFormat="1" customHeight="1" ht="21.75" hidden="1">
      <c r="A219" s="496"/>
      <c r="B219" s="932" cm="1" t="str">
        <f t="array" ref="B219:B219">B218</f>
        <v>false</v>
      </c>
      <c r="C219" s="496"/>
      <c r="D219" s="496"/>
      <c r="E219" s="847">
        <v>22.5</v>
      </c>
      <c r="F219" s="50" cm="1" t="str">
        <f t="array" ref="F219:F219">OFFSET(E219,-1,1)</f>
        <v>2</v>
      </c>
      <c r="G219" s="496"/>
      <c r="H219" s="496" t="s">
        <v>1901</v>
      </c>
      <c r="I219" s="496" t="s">
        <v>1879</v>
      </c>
      <c r="J219" s="496"/>
      <c r="K219" s="496"/>
      <c r="L219" s="496"/>
      <c r="M219" s="496"/>
      <c r="N219" s="496"/>
      <c r="O219" s="496"/>
      <c r="P219" s="496"/>
      <c r="Q219" s="496"/>
      <c r="R219" s="496"/>
      <c r="S219" s="496"/>
      <c r="T219" s="468" cm="1" t="str">
        <f t="array" ref="T219:T219">T218</f>
        <v>true</v>
      </c>
      <c r="U219" s="496"/>
      <c r="V219" s="496"/>
      <c r="W219" s="496"/>
      <c r="X219" s="1559"/>
      <c r="Y219" s="496"/>
      <c r="Z219" s="1528"/>
      <c r="AA219" s="496"/>
      <c r="AB219" s="911" t="str">
        <f>"ставка платы за содержание системы "&amp;IF(Q179="Водоснабжение","холодного водоснабжения","водоотведения")</f>
        <v>ставка платы за содержание системы водоотведения</v>
      </c>
      <c r="AC219" s="871" t="s">
        <v>1902</v>
      </c>
      <c r="AD219" s="4591"/>
      <c r="AE219" s="4591"/>
      <c r="AF219" s="1102">
        <f>IF(AD219=0,0,(AE219-AD219)/AD219*100)</f>
        <v>0</v>
      </c>
      <c r="AG219" s="4591"/>
      <c r="AH219" s="4591"/>
      <c r="AI219" s="1102">
        <f>IF(AG219=0,0,(AH219-AG219)/AG219*100)</f>
        <v>0</v>
      </c>
      <c r="AJ219" s="4591"/>
      <c r="AK219" s="4591"/>
      <c r="AL219" s="1102">
        <f>IF(AJ219=0,0,(AK219-AJ219)/AJ219*100)</f>
        <v>0</v>
      </c>
      <c r="AM219" s="4591"/>
      <c r="AN219" s="4591"/>
      <c r="AO219" s="1102">
        <f>IF(AM219=0,0,(AN219-AM219)/AM219*100)</f>
        <v>0</v>
      </c>
      <c r="AP219" s="4591"/>
      <c r="AQ219" s="4591"/>
      <c r="AR219" s="1102">
        <f>IF(AP219=0,0,(AQ219-AP219)/AP219*100)</f>
        <v>0</v>
      </c>
      <c r="AS219" s="4591"/>
      <c r="AT219" s="4591"/>
      <c r="AU219" s="1102">
        <f>IF(AS219=0,0,(AT219-AS219)/AS219*100)</f>
        <v>0</v>
      </c>
      <c r="AV219" s="4591"/>
      <c r="AW219" s="4591"/>
      <c r="AX219" s="1102">
        <f>IF(AV219=0,0,(AW219-AV219)/AV219*100)</f>
        <v>0</v>
      </c>
      <c r="AY219" s="4591"/>
      <c r="AZ219" s="4591"/>
      <c r="BA219" s="1102">
        <f>IF(AY219=0,0,(AZ219-AY219)/AY219*100)</f>
        <v>0</v>
      </c>
      <c r="BB219" s="4591"/>
      <c r="BC219" s="4591"/>
      <c r="BD219" s="1102">
        <f>IF(BB219=0,0,(BC219-BB219)/BB219*100)</f>
        <v>0</v>
      </c>
      <c r="BE219" s="4591"/>
      <c r="BF219" s="4591"/>
      <c r="BG219" s="1102">
        <f>IF(BE219=0,0,(BF219-BE219)/BE219*100)</f>
        <v>0</v>
      </c>
      <c r="BH219" s="4591"/>
      <c r="BI219" s="4591"/>
      <c r="BJ219" s="1102">
        <f>IF(BH219=0,0,(BI219-BH219)/BH219*100)</f>
        <v>0</v>
      </c>
      <c r="BK219" s="4591"/>
      <c r="BL219" s="4591"/>
      <c r="BM219" s="1102">
        <f>IF(BK219=0,0,(BL219-BK219)/BK219*100)</f>
        <v>0</v>
      </c>
      <c r="BN219" s="4591"/>
      <c r="BO219" s="4591"/>
      <c r="BP219" s="1102">
        <f>IF(BN219=0,0,(BO219-BN219)/BN219*100)</f>
        <v>0</v>
      </c>
      <c r="BQ219" s="4591"/>
      <c r="BR219" s="4591"/>
      <c r="BS219" s="1102">
        <f>IF(BQ219=0,0,(BR219-BQ219)/BQ219*100)</f>
        <v>0</v>
      </c>
      <c r="BT219" s="4591"/>
      <c r="BU219" s="4591"/>
      <c r="BV219" s="1102">
        <f>IF(BT219=0,0,(BU219-BT219)/BT219*100)</f>
        <v>0</v>
      </c>
      <c r="BW219" s="4591"/>
      <c r="BX219" s="4591"/>
      <c r="BY219" s="1102">
        <f>IF(BW219=0,0,(BX219-BW219)/BW219*100)</f>
        <v>0</v>
      </c>
      <c r="BZ219" s="4591"/>
      <c r="CA219" s="4591"/>
      <c r="CB219" s="1102">
        <f>IF(BZ219=0,0,(CA219-BZ219)/BZ219*100)</f>
        <v>0</v>
      </c>
      <c r="CC219" s="4591"/>
      <c r="CD219" s="4591"/>
      <c r="CE219" s="1102">
        <f>IF(CC219=0,0,(CD219-CC219)/CC219*100)</f>
        <v>0</v>
      </c>
      <c r="CF219" s="4591"/>
      <c r="CG219" s="4591"/>
      <c r="CH219" s="1102">
        <f>IF(CF219=0,0,(CG219-CF219)/CF219*100)</f>
        <v>0</v>
      </c>
      <c r="CI219" s="4591"/>
      <c r="CJ219" s="4591"/>
      <c r="CK219" s="1102">
        <f>IF(CI219=0,0,(CJ219-CI219)/CI219*100)</f>
        <v>0</v>
      </c>
      <c r="CL219" s="4591"/>
      <c r="CM219" s="4591"/>
      <c r="CN219" s="1102">
        <f>IF(CL219=0,0,(CM219-CL219)/CL219*100)</f>
        <v>0</v>
      </c>
      <c r="CO219" s="4591"/>
      <c r="CP219" s="4591"/>
      <c r="CQ219" s="1102">
        <f>IF(CO219=0,0,(CP219-CO219)/CO219*100)</f>
        <v>0</v>
      </c>
      <c r="CR219" s="4591"/>
      <c r="CS219" s="4591"/>
      <c r="CT219" s="1102">
        <f>IF(CR219=0,0,(CS219-CR219)/CR219*100)</f>
        <v>0</v>
      </c>
      <c r="CU219" s="4591"/>
      <c r="CV219" s="4591"/>
      <c r="CW219" s="1102">
        <f>IF(CU219=0,0,(CV219-CU219)/CU219*100)</f>
        <v>0</v>
      </c>
      <c r="CX219" s="4591"/>
      <c r="CY219" s="4591"/>
      <c r="CZ219" s="1102">
        <f>IF(CX219=0,0,(CY219-CX219)/CX219*100)</f>
        <v>0</v>
      </c>
      <c r="DA219" s="4591"/>
      <c r="DB219" s="4591"/>
      <c r="DC219" s="1102">
        <f>IF(DA219=0,0,(DB219-DA219)/DA219*100)</f>
        <v>0</v>
      </c>
      <c r="DD219" s="4591"/>
      <c r="DE219" s="4591"/>
      <c r="DF219" s="1102">
        <f>IF(DD219=0,0,(DE219-DD219)/DD219*100)</f>
        <v>0</v>
      </c>
      <c r="DG219" s="4591"/>
      <c r="DH219" s="4591"/>
      <c r="DI219" s="1102">
        <f>IF(DG219=0,0,(DH219-DG219)/DG219*100)</f>
        <v>0</v>
      </c>
      <c r="DJ219" s="4591"/>
      <c r="DK219" s="4591"/>
      <c r="DL219" s="1102">
        <f>IF(DJ219=0,0,(DK219-DJ219)/DJ219*100)</f>
        <v>0</v>
      </c>
      <c r="DM219" s="4591"/>
      <c r="DN219" s="4591"/>
      <c r="DO219" s="1102">
        <f>IF(DM219=0,0,(DN219-DM219)/DM219*100)</f>
        <v>0</v>
      </c>
      <c r="DP219" s="4591"/>
      <c r="DQ219" s="4591"/>
      <c r="DR219" s="1102">
        <f>IF(DP219=0,0,(DQ219-DP219)/DP219*100)</f>
        <v>0</v>
      </c>
      <c r="DS219" s="4591"/>
      <c r="DT219" s="4591"/>
      <c r="DU219" s="1102">
        <f>IF(DS219=0,0,(DT219-DS219)/DS219*100)</f>
        <v>0</v>
      </c>
      <c r="DV219" s="4591"/>
      <c r="DW219" s="4591"/>
      <c r="DX219" s="1102">
        <f>IF(DV219=0,0,(DW219-DV219)/DV219*100)</f>
        <v>0</v>
      </c>
      <c r="DY219" s="4591"/>
      <c r="DZ219" s="4591"/>
      <c r="EA219" s="1102">
        <f>IF(DY219=0,0,(DZ219-DY219)/DY219*100)</f>
        <v>0</v>
      </c>
      <c r="EB219" s="4591"/>
      <c r="EC219" s="4591"/>
      <c r="ED219" s="1102">
        <f>IF(EB219=0,0,(EC219-EB219)/EB219*100)</f>
        <v>0</v>
      </c>
      <c r="EE219" s="4591"/>
      <c r="EF219" s="4591"/>
      <c r="EG219" s="1102">
        <f>IF(EE219=0,0,(EF219-EE219)/EE219*100)</f>
        <v>0</v>
      </c>
      <c r="EH219" s="4591"/>
      <c r="EI219" s="4591"/>
      <c r="EJ219" s="1102">
        <f>IF(EH219=0,0,(EI219-EH219)/EH219*100)</f>
        <v>0</v>
      </c>
      <c r="EK219" s="4591"/>
      <c r="EL219" s="4591"/>
      <c r="EM219" s="1102">
        <f>IF(EK219=0,0,(EL219-EK219)/EK219*100)</f>
        <v>0</v>
      </c>
      <c r="EN219" s="4591"/>
      <c r="EO219" s="4591"/>
      <c r="EP219" s="1102">
        <f>IF(EN219=0,0,(EO219-EN219)/EN219*100)</f>
        <v>0</v>
      </c>
      <c r="EQ219" s="4591"/>
      <c r="ER219" s="4591"/>
      <c r="ES219" s="1102">
        <f>IF(EQ219=0,0,(ER219-EQ219)/EQ219*100)</f>
        <v>0</v>
      </c>
      <c r="ET219" s="4591"/>
      <c r="EU219" s="4591"/>
      <c r="EV219" s="1102">
        <f>IF(ET219=0,0,(EU219-ET219)/ET219*100)</f>
        <v>0</v>
      </c>
      <c r="EW219" s="4591"/>
      <c r="EX219" s="4591"/>
      <c r="EY219" s="1102">
        <f>IF(EW219=0,0,(EX219-EW219)/EW219*100)</f>
        <v>0</v>
      </c>
      <c r="EZ219" s="4591"/>
      <c r="FA219" s="4591"/>
      <c r="FB219" s="1102">
        <f>IF(EZ219=0,0,(FA219-EZ219)/EZ219*100)</f>
        <v>0</v>
      </c>
      <c r="FC219" s="4591"/>
      <c r="FD219" s="4591"/>
      <c r="FE219" s="1102">
        <f>IF(FC219=0,0,(FD219-FC219)/FC219*100)</f>
        <v>0</v>
      </c>
      <c r="FF219" s="4591"/>
      <c r="FG219" s="4591"/>
      <c r="FH219" s="1102">
        <f>IF(FF219=0,0,(FG219-FF219)/FF219*100)</f>
        <v>0</v>
      </c>
      <c r="FI219" s="4591"/>
      <c r="FJ219" s="4591"/>
      <c r="FK219" s="1102">
        <f>IF(FI219=0,0,(FJ219-FI219)/FI219*100)</f>
        <v>0</v>
      </c>
      <c r="FL219" s="4591"/>
      <c r="FM219" s="4591"/>
      <c r="FN219" s="1102">
        <f>IF(FL219=0,0,(FM219-FL219)/FL219*100)</f>
        <v>0</v>
      </c>
      <c r="FO219" s="4591"/>
      <c r="FP219" s="4591"/>
      <c r="FQ219" s="1102">
        <f>IF(FO219=0,0,(FP219-FO219)/FO219*100)</f>
        <v>0</v>
      </c>
      <c r="FR219" s="4591"/>
      <c r="FS219" s="4591"/>
      <c r="FT219" s="1102">
        <f>IF(FR219=0,0,(FS219-FR219)/FR219*100)</f>
        <v>0</v>
      </c>
      <c r="FU219" s="4591"/>
      <c r="FV219" s="4591"/>
      <c r="FW219" s="1102">
        <f>IF(FU219=0,0,(FV219-FU219)/FU219*100)</f>
        <v>0</v>
      </c>
      <c r="FX219" s="1328"/>
      <c r="FY219" s="1328"/>
      <c r="FZ219" s="1063" t="s">
        <v>1927</v>
      </c>
      <c r="GA219" s="1330"/>
      <c r="GB219" s="1330"/>
      <c r="GC219" s="1329"/>
      <c r="GD219" s="1329"/>
    </row>
    <row s="1656" customFormat="1" customHeight="1" ht="14.25" hidden="1">
      <c r="A220" s="496"/>
      <c r="B220" s="932" cm="1" t="str">
        <f t="array" ref="B220:B220">B219</f>
        <v>false</v>
      </c>
      <c r="C220" s="496"/>
      <c r="D220" s="496"/>
      <c r="E220" s="847">
        <v>15</v>
      </c>
      <c r="F220" s="50" cm="1" t="str">
        <f t="array" ref="F220:F220">OFFSET(E220,-1,1)</f>
        <v>2</v>
      </c>
      <c r="G220" s="496"/>
      <c r="H220" s="496" t="s">
        <v>1904</v>
      </c>
      <c r="I220" s="496" t="s">
        <v>1879</v>
      </c>
      <c r="J220" s="496"/>
      <c r="K220" s="496"/>
      <c r="L220" s="496"/>
      <c r="M220" s="496"/>
      <c r="N220" s="496"/>
      <c r="O220" s="496"/>
      <c r="P220" s="496"/>
      <c r="Q220" s="496"/>
      <c r="R220" s="496"/>
      <c r="S220" s="496"/>
      <c r="T220" s="468" cm="1" t="str">
        <f t="array" ref="T220:T220">T219</f>
        <v>true</v>
      </c>
      <c r="U220" s="496"/>
      <c r="V220" s="496"/>
      <c r="W220" s="496"/>
      <c r="X220" s="1559"/>
      <c r="Y220" s="496"/>
      <c r="Z220" s="1528"/>
      <c r="AA220" s="496"/>
      <c r="AB220" s="911" t="s">
        <v>1905</v>
      </c>
      <c r="AC220" s="871" t="s">
        <v>1906</v>
      </c>
      <c r="AD220" s="4591"/>
      <c r="AE220" s="4591"/>
      <c r="AF220" s="1102">
        <f>IF(AD220=0,0,(AE220-AD220)/AD220*100)</f>
        <v>0</v>
      </c>
      <c r="AG220" s="4591"/>
      <c r="AH220" s="4591"/>
      <c r="AI220" s="1102">
        <f>IF(AG220=0,0,(AH220-AG220)/AG220*100)</f>
        <v>0</v>
      </c>
      <c r="AJ220" s="4591"/>
      <c r="AK220" s="4591"/>
      <c r="AL220" s="1102">
        <f>IF(AJ220=0,0,(AK220-AJ220)/AJ220*100)</f>
        <v>0</v>
      </c>
      <c r="AM220" s="4591"/>
      <c r="AN220" s="4591"/>
      <c r="AO220" s="1102">
        <f>IF(AM220=0,0,(AN220-AM220)/AM220*100)</f>
        <v>0</v>
      </c>
      <c r="AP220" s="4591"/>
      <c r="AQ220" s="4591"/>
      <c r="AR220" s="1102">
        <f>IF(AP220=0,0,(AQ220-AP220)/AP220*100)</f>
        <v>0</v>
      </c>
      <c r="AS220" s="4591"/>
      <c r="AT220" s="4591"/>
      <c r="AU220" s="1102">
        <f>IF(AS220=0,0,(AT220-AS220)/AS220*100)</f>
        <v>0</v>
      </c>
      <c r="AV220" s="4591"/>
      <c r="AW220" s="4591"/>
      <c r="AX220" s="1102">
        <f>IF(AV220=0,0,(AW220-AV220)/AV220*100)</f>
        <v>0</v>
      </c>
      <c r="AY220" s="4591"/>
      <c r="AZ220" s="4591"/>
      <c r="BA220" s="1102">
        <f>IF(AY220=0,0,(AZ220-AY220)/AY220*100)</f>
        <v>0</v>
      </c>
      <c r="BB220" s="4591"/>
      <c r="BC220" s="4591"/>
      <c r="BD220" s="1102">
        <f>IF(BB220=0,0,(BC220-BB220)/BB220*100)</f>
        <v>0</v>
      </c>
      <c r="BE220" s="4591"/>
      <c r="BF220" s="4591"/>
      <c r="BG220" s="1102">
        <f>IF(BE220=0,0,(BF220-BE220)/BE220*100)</f>
        <v>0</v>
      </c>
      <c r="BH220" s="4591"/>
      <c r="BI220" s="4591"/>
      <c r="BJ220" s="1102">
        <f>IF(BH220=0,0,(BI220-BH220)/BH220*100)</f>
        <v>0</v>
      </c>
      <c r="BK220" s="4591"/>
      <c r="BL220" s="4591"/>
      <c r="BM220" s="1102">
        <f>IF(BK220=0,0,(BL220-BK220)/BK220*100)</f>
        <v>0</v>
      </c>
      <c r="BN220" s="4591"/>
      <c r="BO220" s="4591"/>
      <c r="BP220" s="1102">
        <f>IF(BN220=0,0,(BO220-BN220)/BN220*100)</f>
        <v>0</v>
      </c>
      <c r="BQ220" s="4591"/>
      <c r="BR220" s="4591"/>
      <c r="BS220" s="1102">
        <f>IF(BQ220=0,0,(BR220-BQ220)/BQ220*100)</f>
        <v>0</v>
      </c>
      <c r="BT220" s="4591"/>
      <c r="BU220" s="4591"/>
      <c r="BV220" s="1102">
        <f>IF(BT220=0,0,(BU220-BT220)/BT220*100)</f>
        <v>0</v>
      </c>
      <c r="BW220" s="4591"/>
      <c r="BX220" s="4591"/>
      <c r="BY220" s="1102">
        <f>IF(BW220=0,0,(BX220-BW220)/BW220*100)</f>
        <v>0</v>
      </c>
      <c r="BZ220" s="4591"/>
      <c r="CA220" s="4591"/>
      <c r="CB220" s="1102">
        <f>IF(BZ220=0,0,(CA220-BZ220)/BZ220*100)</f>
        <v>0</v>
      </c>
      <c r="CC220" s="4591"/>
      <c r="CD220" s="4591"/>
      <c r="CE220" s="1102">
        <f>IF(CC220=0,0,(CD220-CC220)/CC220*100)</f>
        <v>0</v>
      </c>
      <c r="CF220" s="4591"/>
      <c r="CG220" s="4591"/>
      <c r="CH220" s="1102">
        <f>IF(CF220=0,0,(CG220-CF220)/CF220*100)</f>
        <v>0</v>
      </c>
      <c r="CI220" s="4591"/>
      <c r="CJ220" s="4591"/>
      <c r="CK220" s="1102">
        <f>IF(CI220=0,0,(CJ220-CI220)/CI220*100)</f>
        <v>0</v>
      </c>
      <c r="CL220" s="4591"/>
      <c r="CM220" s="4591"/>
      <c r="CN220" s="1102">
        <f>IF(CL220=0,0,(CM220-CL220)/CL220*100)</f>
        <v>0</v>
      </c>
      <c r="CO220" s="4591"/>
      <c r="CP220" s="4591"/>
      <c r="CQ220" s="1102">
        <f>IF(CO220=0,0,(CP220-CO220)/CO220*100)</f>
        <v>0</v>
      </c>
      <c r="CR220" s="4591"/>
      <c r="CS220" s="4591"/>
      <c r="CT220" s="1102">
        <f>IF(CR220=0,0,(CS220-CR220)/CR220*100)</f>
        <v>0</v>
      </c>
      <c r="CU220" s="4591"/>
      <c r="CV220" s="4591"/>
      <c r="CW220" s="1102">
        <f>IF(CU220=0,0,(CV220-CU220)/CU220*100)</f>
        <v>0</v>
      </c>
      <c r="CX220" s="4591"/>
      <c r="CY220" s="4591"/>
      <c r="CZ220" s="1102">
        <f>IF(CX220=0,0,(CY220-CX220)/CX220*100)</f>
        <v>0</v>
      </c>
      <c r="DA220" s="4591"/>
      <c r="DB220" s="4591"/>
      <c r="DC220" s="1102">
        <f>IF(DA220=0,0,(DB220-DA220)/DA220*100)</f>
        <v>0</v>
      </c>
      <c r="DD220" s="4591"/>
      <c r="DE220" s="4591"/>
      <c r="DF220" s="1102">
        <f>IF(DD220=0,0,(DE220-DD220)/DD220*100)</f>
        <v>0</v>
      </c>
      <c r="DG220" s="4591"/>
      <c r="DH220" s="4591"/>
      <c r="DI220" s="1102">
        <f>IF(DG220=0,0,(DH220-DG220)/DG220*100)</f>
        <v>0</v>
      </c>
      <c r="DJ220" s="4591"/>
      <c r="DK220" s="4591"/>
      <c r="DL220" s="1102">
        <f>IF(DJ220=0,0,(DK220-DJ220)/DJ220*100)</f>
        <v>0</v>
      </c>
      <c r="DM220" s="4591"/>
      <c r="DN220" s="4591"/>
      <c r="DO220" s="1102">
        <f>IF(DM220=0,0,(DN220-DM220)/DM220*100)</f>
        <v>0</v>
      </c>
      <c r="DP220" s="4591"/>
      <c r="DQ220" s="4591"/>
      <c r="DR220" s="1102">
        <f>IF(DP220=0,0,(DQ220-DP220)/DP220*100)</f>
        <v>0</v>
      </c>
      <c r="DS220" s="4591"/>
      <c r="DT220" s="4591"/>
      <c r="DU220" s="1102">
        <f>IF(DS220=0,0,(DT220-DS220)/DS220*100)</f>
        <v>0</v>
      </c>
      <c r="DV220" s="4591"/>
      <c r="DW220" s="4591"/>
      <c r="DX220" s="1102">
        <f>IF(DV220=0,0,(DW220-DV220)/DV220*100)</f>
        <v>0</v>
      </c>
      <c r="DY220" s="4591"/>
      <c r="DZ220" s="4591"/>
      <c r="EA220" s="1102">
        <f>IF(DY220=0,0,(DZ220-DY220)/DY220*100)</f>
        <v>0</v>
      </c>
      <c r="EB220" s="4591"/>
      <c r="EC220" s="4591"/>
      <c r="ED220" s="1102">
        <f>IF(EB220=0,0,(EC220-EB220)/EB220*100)</f>
        <v>0</v>
      </c>
      <c r="EE220" s="4591"/>
      <c r="EF220" s="4591"/>
      <c r="EG220" s="1102">
        <f>IF(EE220=0,0,(EF220-EE220)/EE220*100)</f>
        <v>0</v>
      </c>
      <c r="EH220" s="4591"/>
      <c r="EI220" s="4591"/>
      <c r="EJ220" s="1102">
        <f>IF(EH220=0,0,(EI220-EH220)/EH220*100)</f>
        <v>0</v>
      </c>
      <c r="EK220" s="4591"/>
      <c r="EL220" s="4591"/>
      <c r="EM220" s="1102">
        <f>IF(EK220=0,0,(EL220-EK220)/EK220*100)</f>
        <v>0</v>
      </c>
      <c r="EN220" s="4591"/>
      <c r="EO220" s="4591"/>
      <c r="EP220" s="1102">
        <f>IF(EN220=0,0,(EO220-EN220)/EN220*100)</f>
        <v>0</v>
      </c>
      <c r="EQ220" s="4591"/>
      <c r="ER220" s="4591"/>
      <c r="ES220" s="1102">
        <f>IF(EQ220=0,0,(ER220-EQ220)/EQ220*100)</f>
        <v>0</v>
      </c>
      <c r="ET220" s="4591"/>
      <c r="EU220" s="4591"/>
      <c r="EV220" s="1102">
        <f>IF(ET220=0,0,(EU220-ET220)/ET220*100)</f>
        <v>0</v>
      </c>
      <c r="EW220" s="4591"/>
      <c r="EX220" s="4591"/>
      <c r="EY220" s="1102">
        <f>IF(EW220=0,0,(EX220-EW220)/EW220*100)</f>
        <v>0</v>
      </c>
      <c r="EZ220" s="4591"/>
      <c r="FA220" s="4591"/>
      <c r="FB220" s="1102">
        <f>IF(EZ220=0,0,(FA220-EZ220)/EZ220*100)</f>
        <v>0</v>
      </c>
      <c r="FC220" s="4591"/>
      <c r="FD220" s="4591"/>
      <c r="FE220" s="1102">
        <f>IF(FC220=0,0,(FD220-FC220)/FC220*100)</f>
        <v>0</v>
      </c>
      <c r="FF220" s="4591"/>
      <c r="FG220" s="4591"/>
      <c r="FH220" s="1102">
        <f>IF(FF220=0,0,(FG220-FF220)/FF220*100)</f>
        <v>0</v>
      </c>
      <c r="FI220" s="4591"/>
      <c r="FJ220" s="4591"/>
      <c r="FK220" s="1102">
        <f>IF(FI220=0,0,(FJ220-FI220)/FI220*100)</f>
        <v>0</v>
      </c>
      <c r="FL220" s="4591"/>
      <c r="FM220" s="4591"/>
      <c r="FN220" s="1102">
        <f>IF(FL220=0,0,(FM220-FL220)/FL220*100)</f>
        <v>0</v>
      </c>
      <c r="FO220" s="4591"/>
      <c r="FP220" s="4591"/>
      <c r="FQ220" s="1102">
        <f>IF(FO220=0,0,(FP220-FO220)/FO220*100)</f>
        <v>0</v>
      </c>
      <c r="FR220" s="4591"/>
      <c r="FS220" s="4591"/>
      <c r="FT220" s="1102">
        <f>IF(FR220=0,0,(FS220-FR220)/FR220*100)</f>
        <v>0</v>
      </c>
      <c r="FU220" s="4591"/>
      <c r="FV220" s="4591"/>
      <c r="FW220" s="1102">
        <f>IF(FU220=0,0,(FV220-FU220)/FU220*100)</f>
        <v>0</v>
      </c>
      <c r="FX220" s="1328"/>
      <c r="FY220" s="1328"/>
      <c r="FZ220" s="1063" t="s">
        <v>1928</v>
      </c>
      <c r="GA220" s="1330"/>
      <c r="GB220" s="1330"/>
      <c r="GC220" s="1329"/>
      <c r="GD220" s="1329"/>
    </row>
    <row s="1656" customFormat="1" customHeight="1" ht="18" hidden="1">
      <c r="A221" s="496"/>
      <c r="B221" s="932" cm="1" t="str">
        <f t="array" ref="B221:B221">B220</f>
        <v>false</v>
      </c>
      <c r="C221" s="496"/>
      <c r="D221" s="496"/>
      <c r="E221" s="847">
        <v>18.75</v>
      </c>
      <c r="F221" s="50" cm="1" t="str">
        <f t="array" ref="F221:F221">OFFSET(E221,-1,1)</f>
        <v>2</v>
      </c>
      <c r="G221" s="496"/>
      <c r="H221" s="496"/>
      <c r="I221" s="496"/>
      <c r="J221" s="496"/>
      <c r="K221" s="496"/>
      <c r="L221" s="496"/>
      <c r="M221" s="496"/>
      <c r="N221" s="496"/>
      <c r="O221" s="496"/>
      <c r="P221" s="496"/>
      <c r="Q221" s="496"/>
      <c r="R221" s="496"/>
      <c r="S221" s="496"/>
      <c r="T221" s="468">
        <f>AND(F221&gt;0,Y221&gt;0)</f>
        <v>0</v>
      </c>
      <c r="U221" s="496"/>
      <c r="V221" s="496"/>
      <c r="W221" s="496" t="s">
        <v>173</v>
      </c>
      <c r="X221" s="1559"/>
      <c r="Y221" s="1559">
        <v>0</v>
      </c>
      <c r="Z221" s="1528"/>
      <c r="AA221" s="1516" t="s">
        <v>174</v>
      </c>
      <c r="AB221" s="4590"/>
      <c r="AC221" s="872"/>
      <c r="AD221" s="1114"/>
      <c r="AE221" s="1115"/>
      <c r="AF221" s="1115"/>
      <c r="AG221" s="1114"/>
      <c r="AH221" s="1115"/>
      <c r="AI221" s="1115"/>
      <c r="AJ221" s="1114"/>
      <c r="AK221" s="1115"/>
      <c r="AL221" s="1115"/>
      <c r="AM221" s="1114"/>
      <c r="AN221" s="1115"/>
      <c r="AO221" s="1115"/>
      <c r="AP221" s="1114"/>
      <c r="AQ221" s="1115"/>
      <c r="AR221" s="1115"/>
      <c r="AS221" s="1114"/>
      <c r="AT221" s="1115"/>
      <c r="AU221" s="1115"/>
      <c r="AV221" s="1114"/>
      <c r="AW221" s="1115"/>
      <c r="AX221" s="1115"/>
      <c r="AY221" s="1114"/>
      <c r="AZ221" s="1115"/>
      <c r="BA221" s="1115"/>
      <c r="BB221" s="1114"/>
      <c r="BC221" s="1115"/>
      <c r="BD221" s="1115"/>
      <c r="BE221" s="1114"/>
      <c r="BF221" s="1115"/>
      <c r="BG221" s="1115"/>
      <c r="BH221" s="1114"/>
      <c r="BI221" s="1115"/>
      <c r="BJ221" s="1115"/>
      <c r="BK221" s="1114"/>
      <c r="BL221" s="1115"/>
      <c r="BM221" s="1115"/>
      <c r="BN221" s="1114"/>
      <c r="BO221" s="1115"/>
      <c r="BP221" s="1115"/>
      <c r="BQ221" s="1114"/>
      <c r="BR221" s="1115"/>
      <c r="BS221" s="1115"/>
      <c r="BT221" s="1114"/>
      <c r="BU221" s="1115"/>
      <c r="BV221" s="1115"/>
      <c r="BW221" s="1114"/>
      <c r="BX221" s="1115"/>
      <c r="BY221" s="1115"/>
      <c r="BZ221" s="1114"/>
      <c r="CA221" s="1115"/>
      <c r="CB221" s="1115"/>
      <c r="CC221" s="1114"/>
      <c r="CD221" s="1115"/>
      <c r="CE221" s="1115"/>
      <c r="CF221" s="1114"/>
      <c r="CG221" s="1115"/>
      <c r="CH221" s="1115"/>
      <c r="CI221" s="1114"/>
      <c r="CJ221" s="1115"/>
      <c r="CK221" s="1115"/>
      <c r="CL221" s="1114"/>
      <c r="CM221" s="1115"/>
      <c r="CN221" s="1115"/>
      <c r="CO221" s="1114"/>
      <c r="CP221" s="1115"/>
      <c r="CQ221" s="1115"/>
      <c r="CR221" s="1114"/>
      <c r="CS221" s="1115"/>
      <c r="CT221" s="1115"/>
      <c r="CU221" s="1114"/>
      <c r="CV221" s="1115"/>
      <c r="CW221" s="1115"/>
      <c r="CX221" s="1114"/>
      <c r="CY221" s="1115"/>
      <c r="CZ221" s="1115"/>
      <c r="DA221" s="1114"/>
      <c r="DB221" s="1115"/>
      <c r="DC221" s="1115"/>
      <c r="DD221" s="1114"/>
      <c r="DE221" s="1115"/>
      <c r="DF221" s="1115"/>
      <c r="DG221" s="1114"/>
      <c r="DH221" s="1115"/>
      <c r="DI221" s="1115"/>
      <c r="DJ221" s="1114"/>
      <c r="DK221" s="1115"/>
      <c r="DL221" s="1115"/>
      <c r="DM221" s="1114"/>
      <c r="DN221" s="1115"/>
      <c r="DO221" s="1115"/>
      <c r="DP221" s="1114"/>
      <c r="DQ221" s="1115"/>
      <c r="DR221" s="1115"/>
      <c r="DS221" s="1114"/>
      <c r="DT221" s="1115"/>
      <c r="DU221" s="1115"/>
      <c r="DV221" s="1114"/>
      <c r="DW221" s="1115"/>
      <c r="DX221" s="1115"/>
      <c r="DY221" s="1114"/>
      <c r="DZ221" s="1115"/>
      <c r="EA221" s="1115"/>
      <c r="EB221" s="1114"/>
      <c r="EC221" s="1115"/>
      <c r="ED221" s="1115"/>
      <c r="EE221" s="1114"/>
      <c r="EF221" s="1115"/>
      <c r="EG221" s="1115"/>
      <c r="EH221" s="1114"/>
      <c r="EI221" s="1115"/>
      <c r="EJ221" s="1115"/>
      <c r="EK221" s="1114"/>
      <c r="EL221" s="1115"/>
      <c r="EM221" s="1115"/>
      <c r="EN221" s="1114"/>
      <c r="EO221" s="1115"/>
      <c r="EP221" s="1115"/>
      <c r="EQ221" s="1114"/>
      <c r="ER221" s="1115"/>
      <c r="ES221" s="1115"/>
      <c r="ET221" s="1114"/>
      <c r="EU221" s="1115"/>
      <c r="EV221" s="1115"/>
      <c r="EW221" s="1114"/>
      <c r="EX221" s="1115"/>
      <c r="EY221" s="1115"/>
      <c r="EZ221" s="1114"/>
      <c r="FA221" s="1115"/>
      <c r="FB221" s="1115"/>
      <c r="FC221" s="1114"/>
      <c r="FD221" s="1115"/>
      <c r="FE221" s="1115"/>
      <c r="FF221" s="1114"/>
      <c r="FG221" s="1115"/>
      <c r="FH221" s="1115"/>
      <c r="FI221" s="1114"/>
      <c r="FJ221" s="1115"/>
      <c r="FK221" s="1115"/>
      <c r="FL221" s="1114"/>
      <c r="FM221" s="1115"/>
      <c r="FN221" s="1115"/>
      <c r="FO221" s="1114"/>
      <c r="FP221" s="1115"/>
      <c r="FQ221" s="1115"/>
      <c r="FR221" s="1114"/>
      <c r="FS221" s="1115"/>
      <c r="FT221" s="1115"/>
      <c r="FU221" s="1114"/>
      <c r="FV221" s="1115"/>
      <c r="FW221" s="1116"/>
      <c r="FX221" s="1328"/>
      <c r="FY221" s="1328"/>
      <c r="FZ221" s="1063"/>
      <c r="GA221" s="1330"/>
      <c r="GB221" s="1330"/>
      <c r="GC221" s="1329"/>
      <c r="GD221" s="637" t="b">
        <v>1</v>
      </c>
    </row>
    <row s="1656" customFormat="1" customHeight="1" ht="14.25" hidden="1">
      <c r="A222" s="496"/>
      <c r="B222" s="932" cm="1" t="str">
        <f t="array" ref="B222:B222">B221</f>
        <v>false</v>
      </c>
      <c r="C222" s="496"/>
      <c r="D222" s="496"/>
      <c r="E222" s="847">
        <v>15</v>
      </c>
      <c r="F222" s="50" cm="1" t="str">
        <f t="array" ref="F222:F222">OFFSET(E222,-1,1)</f>
        <v>2</v>
      </c>
      <c r="G222" s="496"/>
      <c r="H222" s="496" t="s">
        <v>1787</v>
      </c>
      <c r="I222" s="496" cm="1" t="str">
        <f t="array" ref="I222:I222">AB221</f>
        <v>0</v>
      </c>
      <c r="J222" s="496"/>
      <c r="K222" s="496"/>
      <c r="L222" s="496"/>
      <c r="M222" s="496"/>
      <c r="N222" s="496"/>
      <c r="O222" s="496"/>
      <c r="P222" s="496"/>
      <c r="Q222" s="496"/>
      <c r="R222" s="496"/>
      <c r="S222" s="496"/>
      <c r="T222" s="468" cm="1" t="str">
        <f t="array" ref="T222:T222">T221</f>
        <v>false</v>
      </c>
      <c r="U222" s="496"/>
      <c r="V222" s="496"/>
      <c r="W222" s="496"/>
      <c r="X222" s="1559"/>
      <c r="Y222" s="1559"/>
      <c r="Z222" s="1528"/>
      <c r="AA222" s="1516"/>
      <c r="AB222" s="911" t="s">
        <v>1895</v>
      </c>
      <c r="AC222" s="871" t="s">
        <v>1862</v>
      </c>
      <c r="AD222" s="4591">
        <f>IF(AD224=0,0,(AD223*AD224+AD225*AD226*IF(god=2026,3,6))/AD224)</f>
        <v>0</v>
      </c>
      <c r="AE222" s="4591">
        <f>IF(AE224=0,0,(AE223*AE224+AE225*AE226*IF(god=2026,3,6))/AE224)</f>
        <v>0</v>
      </c>
      <c r="AF222" s="1102">
        <f>IF(AD222=0,0,(AE222-AD222)/AD222*100)</f>
        <v>0</v>
      </c>
      <c r="AG222" s="4591">
        <f>IF(AG224=0,0,(AG223*AG224+AG225*AG226*IF(god=2025,3,6))/AG224)</f>
        <v>0</v>
      </c>
      <c r="AH222" s="4591">
        <f>IF(AH224=0,0,(AH223*AH224+AH225*AH226*IF(god=2025,3,6))/AH224)</f>
        <v>0</v>
      </c>
      <c r="AI222" s="1102">
        <f>IF(AG222=0,0,(AH222-AG222)/AG222*100)</f>
        <v>0</v>
      </c>
      <c r="AJ222" s="4591">
        <f>IF(AJ224=0,0,(AJ223*AJ224+AJ225*AJ226*6)/AJ224)</f>
        <v>0</v>
      </c>
      <c r="AK222" s="4591">
        <f>IF(AK224=0,0,(AK223*AK224+AK225*AK226*6)/AK224)</f>
        <v>0</v>
      </c>
      <c r="AL222" s="1102">
        <f>IF(AJ222=0,0,(AK222-AJ222)/AJ222*100)</f>
        <v>0</v>
      </c>
      <c r="AM222" s="4591">
        <f>IF(AM224=0,0,(AM223*AM224+AM225*AM226*6)/AM224)</f>
        <v>0</v>
      </c>
      <c r="AN222" s="4591">
        <f>IF(AN224=0,0,(AN223*AN224+AN225*AN226*6)/AN224)</f>
        <v>0</v>
      </c>
      <c r="AO222" s="1102">
        <f>IF(AM222=0,0,(AN222-AM222)/AM222*100)</f>
        <v>0</v>
      </c>
      <c r="AP222" s="4591">
        <f>IF(AP224=0,0,(AP223*AP224+AP225*AP226*6)/AP224)</f>
        <v>0</v>
      </c>
      <c r="AQ222" s="4591">
        <f>IF(AQ224=0,0,(AQ223*AQ224+AQ225*AQ226*6)/AQ224)</f>
        <v>0</v>
      </c>
      <c r="AR222" s="1102">
        <f>IF(AP222=0,0,(AQ222-AP222)/AP222*100)</f>
        <v>0</v>
      </c>
      <c r="AS222" s="4591">
        <f>IF(AS224=0,0,(AS223*AS224+AS225*AS226*6)/AS224)</f>
        <v>0</v>
      </c>
      <c r="AT222" s="4591">
        <f>IF(AT224=0,0,(AT223*AT224+AT225*AT226*6)/AT224)</f>
        <v>0</v>
      </c>
      <c r="AU222" s="1102">
        <f>IF(AS222=0,0,(AT222-AS222)/AS222*100)</f>
        <v>0</v>
      </c>
      <c r="AV222" s="4591">
        <f>IF(AV224=0,0,(AV223*AV224+AV225*AV226*6)/AV224)</f>
        <v>0</v>
      </c>
      <c r="AW222" s="4591">
        <f>IF(AW224=0,0,(AW223*AW224+AW225*AW226*6)/AW224)</f>
        <v>0</v>
      </c>
      <c r="AX222" s="1102">
        <f>IF(AV222=0,0,(AW222-AV222)/AV222*100)</f>
        <v>0</v>
      </c>
      <c r="AY222" s="4591">
        <f>IF(AY224=0,0,(AY223*AY224+AY225*AY226*6)/AY224)</f>
        <v>0</v>
      </c>
      <c r="AZ222" s="4591">
        <f>IF(AZ224=0,0,(AZ223*AZ224+AZ225*AZ226*6)/AZ224)</f>
        <v>0</v>
      </c>
      <c r="BA222" s="1102">
        <f>IF(AY222=0,0,(AZ222-AY222)/AY222*100)</f>
        <v>0</v>
      </c>
      <c r="BB222" s="4591">
        <f>IF(BB224=0,0,(BB223*BB224+BB225*BB226*6)/BB224)</f>
        <v>0</v>
      </c>
      <c r="BC222" s="4591">
        <f>IF(BC224=0,0,(BC223*BC224+BC225*BC226*6)/BC224)</f>
        <v>0</v>
      </c>
      <c r="BD222" s="1102">
        <f>IF(BB222=0,0,(BC222-BB222)/BB222*100)</f>
        <v>0</v>
      </c>
      <c r="BE222" s="4591">
        <f>IF(BE224=0,0,(BE223*BE224+BE225*BE226*6)/BE224)</f>
        <v>0</v>
      </c>
      <c r="BF222" s="4591">
        <f>IF(BF224=0,0,(BF223*BF224+BF225*BF226*6)/BF224)</f>
        <v>0</v>
      </c>
      <c r="BG222" s="1102">
        <f>IF(BE222=0,0,(BF222-BE222)/BE222*100)</f>
        <v>0</v>
      </c>
      <c r="BH222" s="4591">
        <f>IF(BH224=0,0,(BH223*BH224+BH225*BH226*6)/BH224)</f>
        <v>0</v>
      </c>
      <c r="BI222" s="4591">
        <f>IF(BI224=0,0,(BI223*BI224+BI225*BI226*6)/BI224)</f>
        <v>0</v>
      </c>
      <c r="BJ222" s="1102">
        <f>IF(BH222=0,0,(BI222-BH222)/BH222*100)</f>
        <v>0</v>
      </c>
      <c r="BK222" s="4591">
        <f>IF(BK224=0,0,(BK223*BK224+BK225*BK226*6)/BK224)</f>
        <v>0</v>
      </c>
      <c r="BL222" s="4591">
        <f>IF(BL224=0,0,(BL223*BL224+BL225*BL226*6)/BL224)</f>
        <v>0</v>
      </c>
      <c r="BM222" s="1102">
        <f>IF(BK222=0,0,(BL222-BK222)/BK222*100)</f>
        <v>0</v>
      </c>
      <c r="BN222" s="4591">
        <f>IF(BN224=0,0,(BN223*BN224+BN225*BN226*6)/BN224)</f>
        <v>0</v>
      </c>
      <c r="BO222" s="4591">
        <f>IF(BO224=0,0,(BO223*BO224+BO225*BO226*6)/BO224)</f>
        <v>0</v>
      </c>
      <c r="BP222" s="1102">
        <f>IF(BN222=0,0,(BO222-BN222)/BN222*100)</f>
        <v>0</v>
      </c>
      <c r="BQ222" s="4591">
        <f>IF(BQ224=0,0,(BQ223*BQ224+BQ225*BQ226*6)/BQ224)</f>
        <v>0</v>
      </c>
      <c r="BR222" s="4591">
        <f>IF(BR224=0,0,(BR223*BR224+BR225*BR226*6)/BR224)</f>
        <v>0</v>
      </c>
      <c r="BS222" s="1102">
        <f>IF(BQ222=0,0,(BR222-BQ222)/BQ222*100)</f>
        <v>0</v>
      </c>
      <c r="BT222" s="4591">
        <f>IF(BT224=0,0,(BT223*BT224+BT225*BT226*6)/BT224)</f>
        <v>0</v>
      </c>
      <c r="BU222" s="4591">
        <f>IF(BU224=0,0,(BU223*BU224+BU225*BU226*6)/BU224)</f>
        <v>0</v>
      </c>
      <c r="BV222" s="1102">
        <f>IF(BT222=0,0,(BU222-BT222)/BT222*100)</f>
        <v>0</v>
      </c>
      <c r="BW222" s="4591">
        <f>IF(BW224=0,0,(BW223*BW224+BW225*BW226*6)/BW224)</f>
        <v>0</v>
      </c>
      <c r="BX222" s="4591">
        <f>IF(BX224=0,0,(BX223*BX224+BX225*BX226*6)/BX224)</f>
        <v>0</v>
      </c>
      <c r="BY222" s="1102">
        <f>IF(BW222=0,0,(BX222-BW222)/BW222*100)</f>
        <v>0</v>
      </c>
      <c r="BZ222" s="4591">
        <f>IF(BZ224=0,0,(BZ223*BZ224+BZ225*BZ226*6)/BZ224)</f>
        <v>0</v>
      </c>
      <c r="CA222" s="4591">
        <f>IF(CA224=0,0,(CA223*CA224+CA225*CA226*6)/CA224)</f>
        <v>0</v>
      </c>
      <c r="CB222" s="1102">
        <f>IF(BZ222=0,0,(CA222-BZ222)/BZ222*100)</f>
        <v>0</v>
      </c>
      <c r="CC222" s="4591">
        <f>IF(CC224=0,0,(CC223*CC224+CC225*CC226*6)/CC224)</f>
        <v>0</v>
      </c>
      <c r="CD222" s="4591">
        <f>IF(CD224=0,0,(CD223*CD224+CD225*CD226*6)/CD224)</f>
        <v>0</v>
      </c>
      <c r="CE222" s="1102">
        <f>IF(CC222=0,0,(CD222-CC222)/CC222*100)</f>
        <v>0</v>
      </c>
      <c r="CF222" s="4591">
        <f>IF(CF224=0,0,(CF223*CF224+CF225*CF226*6)/CF224)</f>
        <v>0</v>
      </c>
      <c r="CG222" s="4591">
        <f>IF(CG224=0,0,(CG223*CG224+CG225*CG226*6)/CG224)</f>
        <v>0</v>
      </c>
      <c r="CH222" s="1102">
        <f>IF(CF222=0,0,(CG222-CF222)/CF222*100)</f>
        <v>0</v>
      </c>
      <c r="CI222" s="4591">
        <f>IF(CI224=0,0,(CI223*CI224+CI225*CI226*6)/CI224)</f>
        <v>0</v>
      </c>
      <c r="CJ222" s="4591">
        <f>IF(CJ224=0,0,(CJ223*CJ224+CJ225*CJ226*6)/CJ224)</f>
        <v>0</v>
      </c>
      <c r="CK222" s="1102">
        <f>IF(CI222=0,0,(CJ222-CI222)/CI222*100)</f>
        <v>0</v>
      </c>
      <c r="CL222" s="4591">
        <f>IF(CL224=0,0,(CL223*CL224+CL225*CL226*6)/CL224)</f>
        <v>0</v>
      </c>
      <c r="CM222" s="4591">
        <f>IF(CM224=0,0,(CM223*CM224+CM225*CM226*6)/CM224)</f>
        <v>0</v>
      </c>
      <c r="CN222" s="1102">
        <f>IF(CL222=0,0,(CM222-CL222)/CL222*100)</f>
        <v>0</v>
      </c>
      <c r="CO222" s="4591">
        <f>IF(CO224=0,0,(CO223*CO224+CO225*CO226*6)/CO224)</f>
        <v>0</v>
      </c>
      <c r="CP222" s="4591">
        <f>IF(CP224=0,0,(CP223*CP224+CP225*CP226*6)/CP224)</f>
        <v>0</v>
      </c>
      <c r="CQ222" s="1102">
        <f>IF(CO222=0,0,(CP222-CO222)/CO222*100)</f>
        <v>0</v>
      </c>
      <c r="CR222" s="4591">
        <f>IF(CR224=0,0,(CR223*CR224+CR225*CR226*6)/CR224)</f>
        <v>0</v>
      </c>
      <c r="CS222" s="4591">
        <f>IF(CS224=0,0,(CS223*CS224+CS225*CS226*6)/CS224)</f>
        <v>0</v>
      </c>
      <c r="CT222" s="1102">
        <f>IF(CR222=0,0,(CS222-CR222)/CR222*100)</f>
        <v>0</v>
      </c>
      <c r="CU222" s="4591">
        <f>IF(CU224=0,0,(CU223*CU224+CU225*CU226*6)/CU224)</f>
        <v>0</v>
      </c>
      <c r="CV222" s="4591">
        <f>IF(CV224=0,0,(CV223*CV224+CV225*CV226*6)/CV224)</f>
        <v>0</v>
      </c>
      <c r="CW222" s="1102">
        <f>IF(CU222=0,0,(CV222-CU222)/CU222*100)</f>
        <v>0</v>
      </c>
      <c r="CX222" s="4591">
        <f>IF(CX224=0,0,(CX223*CX224+CX225*CX226*6)/CX224)</f>
        <v>0</v>
      </c>
      <c r="CY222" s="4591">
        <f>IF(CY224=0,0,(CY223*CY224+CY225*CY226*6)/CY224)</f>
        <v>0</v>
      </c>
      <c r="CZ222" s="1102">
        <f>IF(CX222=0,0,(CY222-CX222)/CX222*100)</f>
        <v>0</v>
      </c>
      <c r="DA222" s="4591">
        <f>IF(DA224=0,0,(DA223*DA224+DA225*DA226*6)/DA224)</f>
        <v>0</v>
      </c>
      <c r="DB222" s="4591">
        <f>IF(DB224=0,0,(DB223*DB224+DB225*DB226*6)/DB224)</f>
        <v>0</v>
      </c>
      <c r="DC222" s="1102">
        <f>IF(DA222=0,0,(DB222-DA222)/DA222*100)</f>
        <v>0</v>
      </c>
      <c r="DD222" s="4591">
        <f>IF(DD224=0,0,(DD223*DD224+DD225*DD226*6)/DD224)</f>
        <v>0</v>
      </c>
      <c r="DE222" s="4591">
        <f>IF(DE224=0,0,(DE223*DE224+DE225*DE226*6)/DE224)</f>
        <v>0</v>
      </c>
      <c r="DF222" s="1102">
        <f>IF(DD222=0,0,(DE222-DD222)/DD222*100)</f>
        <v>0</v>
      </c>
      <c r="DG222" s="4591">
        <f>IF(DG224=0,0,(DG223*DG224+DG225*DG226*6)/DG224)</f>
        <v>0</v>
      </c>
      <c r="DH222" s="4591">
        <f>IF(DH224=0,0,(DH223*DH224+DH225*DH226*6)/DH224)</f>
        <v>0</v>
      </c>
      <c r="DI222" s="1102">
        <f>IF(DG222=0,0,(DH222-DG222)/DG222*100)</f>
        <v>0</v>
      </c>
      <c r="DJ222" s="4591">
        <f>IF(DJ224=0,0,(DJ223*DJ224+DJ225*DJ226*6)/DJ224)</f>
        <v>0</v>
      </c>
      <c r="DK222" s="4591">
        <f>IF(DK224=0,0,(DK223*DK224+DK225*DK226*6)/DK224)</f>
        <v>0</v>
      </c>
      <c r="DL222" s="1102">
        <f>IF(DJ222=0,0,(DK222-DJ222)/DJ222*100)</f>
        <v>0</v>
      </c>
      <c r="DM222" s="4591">
        <f>IF(DM224=0,0,(DM223*DM224+DM225*DM226*6)/DM224)</f>
        <v>0</v>
      </c>
      <c r="DN222" s="4591">
        <f>IF(DN224=0,0,(DN223*DN224+DN225*DN226*6)/DN224)</f>
        <v>0</v>
      </c>
      <c r="DO222" s="1102">
        <f>IF(DM222=0,0,(DN222-DM222)/DM222*100)</f>
        <v>0</v>
      </c>
      <c r="DP222" s="4591">
        <f>IF(DP224=0,0,(DP223*DP224+DP225*DP226*6)/DP224)</f>
        <v>0</v>
      </c>
      <c r="DQ222" s="4591">
        <f>IF(DQ224=0,0,(DQ223*DQ224+DQ225*DQ226*6)/DQ224)</f>
        <v>0</v>
      </c>
      <c r="DR222" s="1102">
        <f>IF(DP222=0,0,(DQ222-DP222)/DP222*100)</f>
        <v>0</v>
      </c>
      <c r="DS222" s="4591">
        <f>IF(DS224=0,0,(DS223*DS224+DS225*DS226*6)/DS224)</f>
        <v>0</v>
      </c>
      <c r="DT222" s="4591">
        <f>IF(DT224=0,0,(DT223*DT224+DT225*DT226*6)/DT224)</f>
        <v>0</v>
      </c>
      <c r="DU222" s="1102">
        <f>IF(DS222=0,0,(DT222-DS222)/DS222*100)</f>
        <v>0</v>
      </c>
      <c r="DV222" s="4591">
        <f>IF(DV224=0,0,(DV223*DV224+DV225*DV226*6)/DV224)</f>
        <v>0</v>
      </c>
      <c r="DW222" s="4591">
        <f>IF(DW224=0,0,(DW223*DW224+DW225*DW226*6)/DW224)</f>
        <v>0</v>
      </c>
      <c r="DX222" s="1102">
        <f>IF(DV222=0,0,(DW222-DV222)/DV222*100)</f>
        <v>0</v>
      </c>
      <c r="DY222" s="4591">
        <f>IF(DY224=0,0,(DY223*DY224+DY225*DY226*6)/DY224)</f>
        <v>0</v>
      </c>
      <c r="DZ222" s="4591">
        <f>IF(DZ224=0,0,(DZ223*DZ224+DZ225*DZ226*6)/DZ224)</f>
        <v>0</v>
      </c>
      <c r="EA222" s="1102">
        <f>IF(DY222=0,0,(DZ222-DY222)/DY222*100)</f>
        <v>0</v>
      </c>
      <c r="EB222" s="4591">
        <f>IF(EB224=0,0,(EB223*EB224+EB225*EB226*6)/EB224)</f>
        <v>0</v>
      </c>
      <c r="EC222" s="4591">
        <f>IF(EC224=0,0,(EC223*EC224+EC225*EC226*6)/EC224)</f>
        <v>0</v>
      </c>
      <c r="ED222" s="1102">
        <f>IF(EB222=0,0,(EC222-EB222)/EB222*100)</f>
        <v>0</v>
      </c>
      <c r="EE222" s="4591">
        <f>IF(EE224=0,0,(EE223*EE224+EE225*EE226*6)/EE224)</f>
        <v>0</v>
      </c>
      <c r="EF222" s="4591">
        <f>IF(EF224=0,0,(EF223*EF224+EF225*EF226*6)/EF224)</f>
        <v>0</v>
      </c>
      <c r="EG222" s="1102">
        <f>IF(EE222=0,0,(EF222-EE222)/EE222*100)</f>
        <v>0</v>
      </c>
      <c r="EH222" s="4591">
        <f>IF(EH224=0,0,(EH223*EH224+EH225*EH226*6)/EH224)</f>
        <v>0</v>
      </c>
      <c r="EI222" s="4591">
        <f>IF(EI224=0,0,(EI223*EI224+EI225*EI226*6)/EI224)</f>
        <v>0</v>
      </c>
      <c r="EJ222" s="1102">
        <f>IF(EH222=0,0,(EI222-EH222)/EH222*100)</f>
        <v>0</v>
      </c>
      <c r="EK222" s="4591">
        <f>IF(EK224=0,0,(EK223*EK224+EK225*EK226*6)/EK224)</f>
        <v>0</v>
      </c>
      <c r="EL222" s="4591">
        <f>IF(EL224=0,0,(EL223*EL224+EL225*EL226*6)/EL224)</f>
        <v>0</v>
      </c>
      <c r="EM222" s="1102">
        <f>IF(EK222=0,0,(EL222-EK222)/EK222*100)</f>
        <v>0</v>
      </c>
      <c r="EN222" s="4591">
        <f>IF(EN224=0,0,(EN223*EN224+EN225*EN226*6)/EN224)</f>
        <v>0</v>
      </c>
      <c r="EO222" s="4591">
        <f>IF(EO224=0,0,(EO223*EO224+EO225*EO226*6)/EO224)</f>
        <v>0</v>
      </c>
      <c r="EP222" s="1102">
        <f>IF(EN222=0,0,(EO222-EN222)/EN222*100)</f>
        <v>0</v>
      </c>
      <c r="EQ222" s="4591">
        <f>IF(EQ224=0,0,(EQ223*EQ224+EQ225*EQ226*6)/EQ224)</f>
        <v>0</v>
      </c>
      <c r="ER222" s="4591">
        <f>IF(ER224=0,0,(ER223*ER224+ER225*ER226*6)/ER224)</f>
        <v>0</v>
      </c>
      <c r="ES222" s="1102">
        <f>IF(EQ222=0,0,(ER222-EQ222)/EQ222*100)</f>
        <v>0</v>
      </c>
      <c r="ET222" s="4591">
        <f>IF(ET224=0,0,(ET223*ET224+ET225*ET226*6)/ET224)</f>
        <v>0</v>
      </c>
      <c r="EU222" s="4591">
        <f>IF(EU224=0,0,(EU223*EU224+EU225*EU226*6)/EU224)</f>
        <v>0</v>
      </c>
      <c r="EV222" s="1102">
        <f>IF(ET222=0,0,(EU222-ET222)/ET222*100)</f>
        <v>0</v>
      </c>
      <c r="EW222" s="4591">
        <f>IF(EW224=0,0,(EW223*EW224+EW225*EW226*6)/EW224)</f>
        <v>0</v>
      </c>
      <c r="EX222" s="4591">
        <f>IF(EX224=0,0,(EX223*EX224+EX225*EX226*6)/EX224)</f>
        <v>0</v>
      </c>
      <c r="EY222" s="1102">
        <f>IF(EW222=0,0,(EX222-EW222)/EW222*100)</f>
        <v>0</v>
      </c>
      <c r="EZ222" s="4591">
        <f>IF(EZ224=0,0,(EZ223*EZ224+EZ225*EZ226*6)/EZ224)</f>
        <v>0</v>
      </c>
      <c r="FA222" s="4591">
        <f>IF(FA224=0,0,(FA223*FA224+FA225*FA226*6)/FA224)</f>
        <v>0</v>
      </c>
      <c r="FB222" s="1102">
        <f>IF(EZ222=0,0,(FA222-EZ222)/EZ222*100)</f>
        <v>0</v>
      </c>
      <c r="FC222" s="4591">
        <f>IF(FC224=0,0,(FC223*FC224+FC225*FC226*6)/FC224)</f>
        <v>0</v>
      </c>
      <c r="FD222" s="4591">
        <f>IF(FD224=0,0,(FD223*FD224+FD225*FD226*6)/FD224)</f>
        <v>0</v>
      </c>
      <c r="FE222" s="1102">
        <f>IF(FC222=0,0,(FD222-FC222)/FC222*100)</f>
        <v>0</v>
      </c>
      <c r="FF222" s="4591">
        <f>IF(FF224=0,0,(FF223*FF224+FF225*FF226*6)/FF224)</f>
        <v>0</v>
      </c>
      <c r="FG222" s="4591">
        <f>IF(FG224=0,0,(FG223*FG224+FG225*FG226*6)/FG224)</f>
        <v>0</v>
      </c>
      <c r="FH222" s="1102">
        <f>IF(FF222=0,0,(FG222-FF222)/FF222*100)</f>
        <v>0</v>
      </c>
      <c r="FI222" s="4591">
        <f>IF(FI224=0,0,(FI223*FI224+FI225*FI226*6)/FI224)</f>
        <v>0</v>
      </c>
      <c r="FJ222" s="4591">
        <f>IF(FJ224=0,0,(FJ223*FJ224+FJ225*FJ226*6)/FJ224)</f>
        <v>0</v>
      </c>
      <c r="FK222" s="1102">
        <f>IF(FI222=0,0,(FJ222-FI222)/FI222*100)</f>
        <v>0</v>
      </c>
      <c r="FL222" s="4591">
        <f>IF(FL224=0,0,(FL223*FL224+FL225*FL226*6)/FL224)</f>
        <v>0</v>
      </c>
      <c r="FM222" s="4591">
        <f>IF(FM224=0,0,(FM223*FM224+FM225*FM226*6)/FM224)</f>
        <v>0</v>
      </c>
      <c r="FN222" s="1102">
        <f>IF(FL222=0,0,(FM222-FL222)/FL222*100)</f>
        <v>0</v>
      </c>
      <c r="FO222" s="4591">
        <f>IF(FO224=0,0,(FO223*FO224+FO225*FO226*6)/FO224)</f>
        <v>0</v>
      </c>
      <c r="FP222" s="4591">
        <f>IF(FP224=0,0,(FP223*FP224+FP225*FP226*6)/FP224)</f>
        <v>0</v>
      </c>
      <c r="FQ222" s="1102">
        <f>IF(FO222=0,0,(FP222-FO222)/FO222*100)</f>
        <v>0</v>
      </c>
      <c r="FR222" s="4591">
        <f>IF(FR224=0,0,(FR223*FR224+FR225*FR226*6)/FR224)</f>
        <v>0</v>
      </c>
      <c r="FS222" s="4591">
        <f>IF(FS224=0,0,(FS223*FS224+FS225*FS226*6)/FS224)</f>
        <v>0</v>
      </c>
      <c r="FT222" s="1102">
        <f>IF(FR222=0,0,(FS222-FR222)/FR222*100)</f>
        <v>0</v>
      </c>
      <c r="FU222" s="4591">
        <f>IF(FU224=0,0,(FU223*FU224+FU225*FU226*6)/FU224)</f>
        <v>0</v>
      </c>
      <c r="FV222" s="4591">
        <f>IF(FV224=0,0,(FV223*FV224+FV225*FV226*6)/FV224)</f>
        <v>0</v>
      </c>
      <c r="FW222" s="1102">
        <f>IF(FU222=0,0,(FV222-FU222)/FU222*100)</f>
        <v>0</v>
      </c>
      <c r="FX222" s="1328"/>
      <c r="FY222" s="1328"/>
      <c r="FZ222" s="1063" t="s">
        <v>1929</v>
      </c>
      <c r="GA222" s="1023" t="s">
        <v>993</v>
      </c>
      <c r="GB222" s="1065" cm="1" t="str">
        <f t="array" ref="GB222:GB222">AB221</f>
        <v>0</v>
      </c>
      <c r="GC222" s="1329"/>
      <c r="GD222" s="1329"/>
    </row>
    <row s="1656" customFormat="1" customHeight="1" ht="14.25" hidden="1">
      <c r="A223" s="496"/>
      <c r="B223" s="932" cm="1" t="str">
        <f t="array" ref="B223:B223">B222</f>
        <v>false</v>
      </c>
      <c r="C223" s="496"/>
      <c r="D223" s="496"/>
      <c r="E223" s="847">
        <v>15</v>
      </c>
      <c r="F223" s="50" cm="1" t="str">
        <f t="array" ref="F223:F223">OFFSET(E223,-1,1)</f>
        <v>2</v>
      </c>
      <c r="G223" s="496"/>
      <c r="H223" s="496" t="s">
        <v>1791</v>
      </c>
      <c r="I223" s="496" cm="1" t="str">
        <f t="array" ref="I223:I223">I222</f>
        <v>0</v>
      </c>
      <c r="J223" s="496"/>
      <c r="K223" s="496"/>
      <c r="L223" s="496"/>
      <c r="M223" s="496"/>
      <c r="N223" s="496"/>
      <c r="O223" s="496"/>
      <c r="P223" s="496"/>
      <c r="Q223" s="496"/>
      <c r="R223" s="496"/>
      <c r="S223" s="496"/>
      <c r="T223" s="468" cm="1" t="str">
        <f t="array" ref="T223:T223">T222</f>
        <v>false</v>
      </c>
      <c r="U223" s="496"/>
      <c r="V223" s="496"/>
      <c r="W223" s="496"/>
      <c r="X223" s="1559"/>
      <c r="Y223" s="1559"/>
      <c r="Z223" s="1528"/>
      <c r="AA223" s="1516"/>
      <c r="AB223" s="911" t="str">
        <f>"ставка платы за "&amp;IF(Q179="Водоснабжение","потребление 1 куб.м холодной воды","объем принятых сточных вод")</f>
        <v>ставка платы за объем принятых сточных вод</v>
      </c>
      <c r="AC223" s="871" t="s">
        <v>1862</v>
      </c>
      <c r="AD223" s="4591"/>
      <c r="AE223" s="4591"/>
      <c r="AF223" s="1102">
        <f>IF(AD223=0,0,(AE223-AD223)/AD223*100)</f>
        <v>0</v>
      </c>
      <c r="AG223" s="4591"/>
      <c r="AH223" s="4591"/>
      <c r="AI223" s="1102">
        <f>IF(AG223=0,0,(AH223-AG223)/AG223*100)</f>
        <v>0</v>
      </c>
      <c r="AJ223" s="4591"/>
      <c r="AK223" s="4591"/>
      <c r="AL223" s="1102">
        <f>IF(AJ223=0,0,(AK223-AJ223)/AJ223*100)</f>
        <v>0</v>
      </c>
      <c r="AM223" s="4591"/>
      <c r="AN223" s="4591"/>
      <c r="AO223" s="1102">
        <f>IF(AM223=0,0,(AN223-AM223)/AM223*100)</f>
        <v>0</v>
      </c>
      <c r="AP223" s="4591"/>
      <c r="AQ223" s="4591"/>
      <c r="AR223" s="1102">
        <f>IF(AP223=0,0,(AQ223-AP223)/AP223*100)</f>
        <v>0</v>
      </c>
      <c r="AS223" s="4591"/>
      <c r="AT223" s="4591"/>
      <c r="AU223" s="1102">
        <f>IF(AS223=0,0,(AT223-AS223)/AS223*100)</f>
        <v>0</v>
      </c>
      <c r="AV223" s="4591"/>
      <c r="AW223" s="4591"/>
      <c r="AX223" s="1102">
        <f>IF(AV223=0,0,(AW223-AV223)/AV223*100)</f>
        <v>0</v>
      </c>
      <c r="AY223" s="4591"/>
      <c r="AZ223" s="4591"/>
      <c r="BA223" s="1102">
        <f>IF(AY223=0,0,(AZ223-AY223)/AY223*100)</f>
        <v>0</v>
      </c>
      <c r="BB223" s="4591"/>
      <c r="BC223" s="4591"/>
      <c r="BD223" s="1102">
        <f>IF(BB223=0,0,(BC223-BB223)/BB223*100)</f>
        <v>0</v>
      </c>
      <c r="BE223" s="4591"/>
      <c r="BF223" s="4591"/>
      <c r="BG223" s="1102">
        <f>IF(BE223=0,0,(BF223-BE223)/BE223*100)</f>
        <v>0</v>
      </c>
      <c r="BH223" s="4591"/>
      <c r="BI223" s="4591"/>
      <c r="BJ223" s="1102">
        <f>IF(BH223=0,0,(BI223-BH223)/BH223*100)</f>
        <v>0</v>
      </c>
      <c r="BK223" s="4591"/>
      <c r="BL223" s="4591"/>
      <c r="BM223" s="1102">
        <f>IF(BK223=0,0,(BL223-BK223)/BK223*100)</f>
        <v>0</v>
      </c>
      <c r="BN223" s="4591"/>
      <c r="BO223" s="4591"/>
      <c r="BP223" s="1102">
        <f>IF(BN223=0,0,(BO223-BN223)/BN223*100)</f>
        <v>0</v>
      </c>
      <c r="BQ223" s="4591"/>
      <c r="BR223" s="4591"/>
      <c r="BS223" s="1102">
        <f>IF(BQ223=0,0,(BR223-BQ223)/BQ223*100)</f>
        <v>0</v>
      </c>
      <c r="BT223" s="4591"/>
      <c r="BU223" s="4591"/>
      <c r="BV223" s="1102">
        <f>IF(BT223=0,0,(BU223-BT223)/BT223*100)</f>
        <v>0</v>
      </c>
      <c r="BW223" s="4591"/>
      <c r="BX223" s="4591"/>
      <c r="BY223" s="1102">
        <f>IF(BW223=0,0,(BX223-BW223)/BW223*100)</f>
        <v>0</v>
      </c>
      <c r="BZ223" s="4591"/>
      <c r="CA223" s="4591"/>
      <c r="CB223" s="1102">
        <f>IF(BZ223=0,0,(CA223-BZ223)/BZ223*100)</f>
        <v>0</v>
      </c>
      <c r="CC223" s="4591"/>
      <c r="CD223" s="4591"/>
      <c r="CE223" s="1102">
        <f>IF(CC223=0,0,(CD223-CC223)/CC223*100)</f>
        <v>0</v>
      </c>
      <c r="CF223" s="4591"/>
      <c r="CG223" s="4591"/>
      <c r="CH223" s="1102">
        <f>IF(CF223=0,0,(CG223-CF223)/CF223*100)</f>
        <v>0</v>
      </c>
      <c r="CI223" s="4591"/>
      <c r="CJ223" s="4591"/>
      <c r="CK223" s="1102">
        <f>IF(CI223=0,0,(CJ223-CI223)/CI223*100)</f>
        <v>0</v>
      </c>
      <c r="CL223" s="4591"/>
      <c r="CM223" s="4591"/>
      <c r="CN223" s="1102">
        <f>IF(CL223=0,0,(CM223-CL223)/CL223*100)</f>
        <v>0</v>
      </c>
      <c r="CO223" s="4591"/>
      <c r="CP223" s="4591"/>
      <c r="CQ223" s="1102">
        <f>IF(CO223=0,0,(CP223-CO223)/CO223*100)</f>
        <v>0</v>
      </c>
      <c r="CR223" s="4591"/>
      <c r="CS223" s="4591"/>
      <c r="CT223" s="1102">
        <f>IF(CR223=0,0,(CS223-CR223)/CR223*100)</f>
        <v>0</v>
      </c>
      <c r="CU223" s="4591"/>
      <c r="CV223" s="4591"/>
      <c r="CW223" s="1102">
        <f>IF(CU223=0,0,(CV223-CU223)/CU223*100)</f>
        <v>0</v>
      </c>
      <c r="CX223" s="4591"/>
      <c r="CY223" s="4591"/>
      <c r="CZ223" s="1102">
        <f>IF(CX223=0,0,(CY223-CX223)/CX223*100)</f>
        <v>0</v>
      </c>
      <c r="DA223" s="4591"/>
      <c r="DB223" s="4591"/>
      <c r="DC223" s="1102">
        <f>IF(DA223=0,0,(DB223-DA223)/DA223*100)</f>
        <v>0</v>
      </c>
      <c r="DD223" s="4591"/>
      <c r="DE223" s="4591"/>
      <c r="DF223" s="1102">
        <f>IF(DD223=0,0,(DE223-DD223)/DD223*100)</f>
        <v>0</v>
      </c>
      <c r="DG223" s="4591"/>
      <c r="DH223" s="4591"/>
      <c r="DI223" s="1102">
        <f>IF(DG223=0,0,(DH223-DG223)/DG223*100)</f>
        <v>0</v>
      </c>
      <c r="DJ223" s="4591"/>
      <c r="DK223" s="4591"/>
      <c r="DL223" s="1102">
        <f>IF(DJ223=0,0,(DK223-DJ223)/DJ223*100)</f>
        <v>0</v>
      </c>
      <c r="DM223" s="4591"/>
      <c r="DN223" s="4591"/>
      <c r="DO223" s="1102">
        <f>IF(DM223=0,0,(DN223-DM223)/DM223*100)</f>
        <v>0</v>
      </c>
      <c r="DP223" s="4591"/>
      <c r="DQ223" s="4591"/>
      <c r="DR223" s="1102">
        <f>IF(DP223=0,0,(DQ223-DP223)/DP223*100)</f>
        <v>0</v>
      </c>
      <c r="DS223" s="4591"/>
      <c r="DT223" s="4591"/>
      <c r="DU223" s="1102">
        <f>IF(DS223=0,0,(DT223-DS223)/DS223*100)</f>
        <v>0</v>
      </c>
      <c r="DV223" s="4591"/>
      <c r="DW223" s="4591"/>
      <c r="DX223" s="1102">
        <f>IF(DV223=0,0,(DW223-DV223)/DV223*100)</f>
        <v>0</v>
      </c>
      <c r="DY223" s="4591"/>
      <c r="DZ223" s="4591"/>
      <c r="EA223" s="1102">
        <f>IF(DY223=0,0,(DZ223-DY223)/DY223*100)</f>
        <v>0</v>
      </c>
      <c r="EB223" s="4591"/>
      <c r="EC223" s="4591"/>
      <c r="ED223" s="1102">
        <f>IF(EB223=0,0,(EC223-EB223)/EB223*100)</f>
        <v>0</v>
      </c>
      <c r="EE223" s="4591"/>
      <c r="EF223" s="4591"/>
      <c r="EG223" s="1102">
        <f>IF(EE223=0,0,(EF223-EE223)/EE223*100)</f>
        <v>0</v>
      </c>
      <c r="EH223" s="4591"/>
      <c r="EI223" s="4591"/>
      <c r="EJ223" s="1102">
        <f>IF(EH223=0,0,(EI223-EH223)/EH223*100)</f>
        <v>0</v>
      </c>
      <c r="EK223" s="4591"/>
      <c r="EL223" s="4591"/>
      <c r="EM223" s="1102">
        <f>IF(EK223=0,0,(EL223-EK223)/EK223*100)</f>
        <v>0</v>
      </c>
      <c r="EN223" s="4591"/>
      <c r="EO223" s="4591"/>
      <c r="EP223" s="1102">
        <f>IF(EN223=0,0,(EO223-EN223)/EN223*100)</f>
        <v>0</v>
      </c>
      <c r="EQ223" s="4591"/>
      <c r="ER223" s="4591"/>
      <c r="ES223" s="1102">
        <f>IF(EQ223=0,0,(ER223-EQ223)/EQ223*100)</f>
        <v>0</v>
      </c>
      <c r="ET223" s="4591"/>
      <c r="EU223" s="4591"/>
      <c r="EV223" s="1102">
        <f>IF(ET223=0,0,(EU223-ET223)/ET223*100)</f>
        <v>0</v>
      </c>
      <c r="EW223" s="4591"/>
      <c r="EX223" s="4591"/>
      <c r="EY223" s="1102">
        <f>IF(EW223=0,0,(EX223-EW223)/EW223*100)</f>
        <v>0</v>
      </c>
      <c r="EZ223" s="4591"/>
      <c r="FA223" s="4591"/>
      <c r="FB223" s="1102">
        <f>IF(EZ223=0,0,(FA223-EZ223)/EZ223*100)</f>
        <v>0</v>
      </c>
      <c r="FC223" s="4591"/>
      <c r="FD223" s="4591"/>
      <c r="FE223" s="1102">
        <f>IF(FC223=0,0,(FD223-FC223)/FC223*100)</f>
        <v>0</v>
      </c>
      <c r="FF223" s="4591"/>
      <c r="FG223" s="4591"/>
      <c r="FH223" s="1102">
        <f>IF(FF223=0,0,(FG223-FF223)/FF223*100)</f>
        <v>0</v>
      </c>
      <c r="FI223" s="4591"/>
      <c r="FJ223" s="4591"/>
      <c r="FK223" s="1102">
        <f>IF(FI223=0,0,(FJ223-FI223)/FI223*100)</f>
        <v>0</v>
      </c>
      <c r="FL223" s="4591"/>
      <c r="FM223" s="4591"/>
      <c r="FN223" s="1102">
        <f>IF(FL223=0,0,(FM223-FL223)/FL223*100)</f>
        <v>0</v>
      </c>
      <c r="FO223" s="4591"/>
      <c r="FP223" s="4591"/>
      <c r="FQ223" s="1102">
        <f>IF(FO223=0,0,(FP223-FO223)/FO223*100)</f>
        <v>0</v>
      </c>
      <c r="FR223" s="4591"/>
      <c r="FS223" s="4591"/>
      <c r="FT223" s="1102">
        <f>IF(FR223=0,0,(FS223-FR223)/FR223*100)</f>
        <v>0</v>
      </c>
      <c r="FU223" s="4591"/>
      <c r="FV223" s="4591"/>
      <c r="FW223" s="1102">
        <f>IF(FU223=0,0,(FV223-FU223)/FU223*100)</f>
        <v>0</v>
      </c>
      <c r="FX223" s="1328"/>
      <c r="FY223" s="1328"/>
      <c r="FZ223" s="1063" t="s">
        <v>1930</v>
      </c>
      <c r="GA223" s="1023" t="s">
        <v>993</v>
      </c>
      <c r="GB223" s="1023" cm="1" t="str">
        <f t="array" ref="GB223:GB223">GB222</f>
        <v>0</v>
      </c>
      <c r="GC223" s="1329"/>
      <c r="GD223" s="1329"/>
    </row>
    <row s="1656" customFormat="1" customHeight="1" ht="14.25" hidden="1">
      <c r="A224" s="496"/>
      <c r="B224" s="932" cm="1" t="str">
        <f t="array" ref="B224:B224">B223</f>
        <v>false</v>
      </c>
      <c r="C224" s="496"/>
      <c r="D224" s="496"/>
      <c r="E224" s="847">
        <v>15</v>
      </c>
      <c r="F224" s="50" cm="1" t="str">
        <f t="array" ref="F224:F224">OFFSET(E224,-1,1)</f>
        <v>2</v>
      </c>
      <c r="G224" s="496"/>
      <c r="H224" s="496" t="s">
        <v>1899</v>
      </c>
      <c r="I224" s="496" cm="1" t="str">
        <f t="array" ref="I224:I224">I223</f>
        <v>0</v>
      </c>
      <c r="J224" s="496"/>
      <c r="K224" s="496"/>
      <c r="L224" s="496"/>
      <c r="M224" s="496"/>
      <c r="N224" s="496"/>
      <c r="O224" s="496"/>
      <c r="P224" s="496"/>
      <c r="Q224" s="496"/>
      <c r="R224" s="496"/>
      <c r="S224" s="496"/>
      <c r="T224" s="468" cm="1" t="str">
        <f t="array" ref="T224:T224">T223</f>
        <v>false</v>
      </c>
      <c r="U224" s="496"/>
      <c r="V224" s="496"/>
      <c r="W224" s="496"/>
      <c r="X224" s="1559"/>
      <c r="Y224" s="1559"/>
      <c r="Z224" s="1528"/>
      <c r="AA224" s="1516"/>
      <c r="AB224" s="911" t="str">
        <f>"объём "&amp;IF(Q179="Водоснабжение","потребления холодной воды","водоотведения")</f>
        <v>объём водоотведения</v>
      </c>
      <c r="AC224" s="871" t="s">
        <v>657</v>
      </c>
      <c r="AD224" s="4585"/>
      <c r="AE224" s="4585"/>
      <c r="AF224" s="1104">
        <f>IF(AD224=0,0,(AE224-AD224)/AD224*100)</f>
        <v>0</v>
      </c>
      <c r="AG224" s="4585"/>
      <c r="AH224" s="4585"/>
      <c r="AI224" s="1104">
        <f>IF(AG224=0,0,(AH224-AG224)/AG224*100)</f>
        <v>0</v>
      </c>
      <c r="AJ224" s="4585"/>
      <c r="AK224" s="4585"/>
      <c r="AL224" s="1104">
        <f>IF(AJ224=0,0,(AK224-AJ224)/AJ224*100)</f>
        <v>0</v>
      </c>
      <c r="AM224" s="4585"/>
      <c r="AN224" s="4585"/>
      <c r="AO224" s="1104">
        <f>IF(AM224=0,0,(AN224-AM224)/AM224*100)</f>
        <v>0</v>
      </c>
      <c r="AP224" s="4585"/>
      <c r="AQ224" s="4585"/>
      <c r="AR224" s="1104">
        <f>IF(AP224=0,0,(AQ224-AP224)/AP224*100)</f>
        <v>0</v>
      </c>
      <c r="AS224" s="4585"/>
      <c r="AT224" s="4585"/>
      <c r="AU224" s="1104">
        <f>IF(AS224=0,0,(AT224-AS224)/AS224*100)</f>
        <v>0</v>
      </c>
      <c r="AV224" s="4585"/>
      <c r="AW224" s="4585"/>
      <c r="AX224" s="1104">
        <f>IF(AV224=0,0,(AW224-AV224)/AV224*100)</f>
        <v>0</v>
      </c>
      <c r="AY224" s="4585"/>
      <c r="AZ224" s="4585"/>
      <c r="BA224" s="1104">
        <f>IF(AY224=0,0,(AZ224-AY224)/AY224*100)</f>
        <v>0</v>
      </c>
      <c r="BB224" s="4585"/>
      <c r="BC224" s="4585"/>
      <c r="BD224" s="1104">
        <f>IF(BB224=0,0,(BC224-BB224)/BB224*100)</f>
        <v>0</v>
      </c>
      <c r="BE224" s="4585"/>
      <c r="BF224" s="4585"/>
      <c r="BG224" s="1104">
        <f>IF(BE224=0,0,(BF224-BE224)/BE224*100)</f>
        <v>0</v>
      </c>
      <c r="BH224" s="4585"/>
      <c r="BI224" s="4585"/>
      <c r="BJ224" s="1104">
        <f>IF(BH224=0,0,(BI224-BH224)/BH224*100)</f>
        <v>0</v>
      </c>
      <c r="BK224" s="4585"/>
      <c r="BL224" s="4585"/>
      <c r="BM224" s="1104">
        <f>IF(BK224=0,0,(BL224-BK224)/BK224*100)</f>
        <v>0</v>
      </c>
      <c r="BN224" s="4585"/>
      <c r="BO224" s="4585"/>
      <c r="BP224" s="1104">
        <f>IF(BN224=0,0,(BO224-BN224)/BN224*100)</f>
        <v>0</v>
      </c>
      <c r="BQ224" s="4585"/>
      <c r="BR224" s="4585"/>
      <c r="BS224" s="1104">
        <f>IF(BQ224=0,0,(BR224-BQ224)/BQ224*100)</f>
        <v>0</v>
      </c>
      <c r="BT224" s="4585"/>
      <c r="BU224" s="4585"/>
      <c r="BV224" s="1104">
        <f>IF(BT224=0,0,(BU224-BT224)/BT224*100)</f>
        <v>0</v>
      </c>
      <c r="BW224" s="4585"/>
      <c r="BX224" s="4585"/>
      <c r="BY224" s="1104">
        <f>IF(BW224=0,0,(BX224-BW224)/BW224*100)</f>
        <v>0</v>
      </c>
      <c r="BZ224" s="4585"/>
      <c r="CA224" s="4585"/>
      <c r="CB224" s="1104">
        <f>IF(BZ224=0,0,(CA224-BZ224)/BZ224*100)</f>
        <v>0</v>
      </c>
      <c r="CC224" s="4585"/>
      <c r="CD224" s="4585"/>
      <c r="CE224" s="1104">
        <f>IF(CC224=0,0,(CD224-CC224)/CC224*100)</f>
        <v>0</v>
      </c>
      <c r="CF224" s="4585"/>
      <c r="CG224" s="4585"/>
      <c r="CH224" s="1104">
        <f>IF(CF224=0,0,(CG224-CF224)/CF224*100)</f>
        <v>0</v>
      </c>
      <c r="CI224" s="4585"/>
      <c r="CJ224" s="4585"/>
      <c r="CK224" s="1104">
        <f>IF(CI224=0,0,(CJ224-CI224)/CI224*100)</f>
        <v>0</v>
      </c>
      <c r="CL224" s="4585"/>
      <c r="CM224" s="4585"/>
      <c r="CN224" s="1104">
        <f>IF(CL224=0,0,(CM224-CL224)/CL224*100)</f>
        <v>0</v>
      </c>
      <c r="CO224" s="4585"/>
      <c r="CP224" s="4585"/>
      <c r="CQ224" s="1104">
        <f>IF(CO224=0,0,(CP224-CO224)/CO224*100)</f>
        <v>0</v>
      </c>
      <c r="CR224" s="4585"/>
      <c r="CS224" s="4585"/>
      <c r="CT224" s="1104">
        <f>IF(CR224=0,0,(CS224-CR224)/CR224*100)</f>
        <v>0</v>
      </c>
      <c r="CU224" s="4585"/>
      <c r="CV224" s="4585"/>
      <c r="CW224" s="1104">
        <f>IF(CU224=0,0,(CV224-CU224)/CU224*100)</f>
        <v>0</v>
      </c>
      <c r="CX224" s="4585"/>
      <c r="CY224" s="4585"/>
      <c r="CZ224" s="1104">
        <f>IF(CX224=0,0,(CY224-CX224)/CX224*100)</f>
        <v>0</v>
      </c>
      <c r="DA224" s="4585"/>
      <c r="DB224" s="4585"/>
      <c r="DC224" s="1104">
        <f>IF(DA224=0,0,(DB224-DA224)/DA224*100)</f>
        <v>0</v>
      </c>
      <c r="DD224" s="4585"/>
      <c r="DE224" s="4585"/>
      <c r="DF224" s="1104">
        <f>IF(DD224=0,0,(DE224-DD224)/DD224*100)</f>
        <v>0</v>
      </c>
      <c r="DG224" s="4585"/>
      <c r="DH224" s="4585"/>
      <c r="DI224" s="1104">
        <f>IF(DG224=0,0,(DH224-DG224)/DG224*100)</f>
        <v>0</v>
      </c>
      <c r="DJ224" s="4585"/>
      <c r="DK224" s="4585"/>
      <c r="DL224" s="1104">
        <f>IF(DJ224=0,0,(DK224-DJ224)/DJ224*100)</f>
        <v>0</v>
      </c>
      <c r="DM224" s="4585"/>
      <c r="DN224" s="4585"/>
      <c r="DO224" s="1104">
        <f>IF(DM224=0,0,(DN224-DM224)/DM224*100)</f>
        <v>0</v>
      </c>
      <c r="DP224" s="4585"/>
      <c r="DQ224" s="4585"/>
      <c r="DR224" s="1104">
        <f>IF(DP224=0,0,(DQ224-DP224)/DP224*100)</f>
        <v>0</v>
      </c>
      <c r="DS224" s="4585"/>
      <c r="DT224" s="4585"/>
      <c r="DU224" s="1104">
        <f>IF(DS224=0,0,(DT224-DS224)/DS224*100)</f>
        <v>0</v>
      </c>
      <c r="DV224" s="4585"/>
      <c r="DW224" s="4585"/>
      <c r="DX224" s="1104">
        <f>IF(DV224=0,0,(DW224-DV224)/DV224*100)</f>
        <v>0</v>
      </c>
      <c r="DY224" s="4585"/>
      <c r="DZ224" s="4585"/>
      <c r="EA224" s="1104">
        <f>IF(DY224=0,0,(DZ224-DY224)/DY224*100)</f>
        <v>0</v>
      </c>
      <c r="EB224" s="4585"/>
      <c r="EC224" s="4585"/>
      <c r="ED224" s="1104">
        <f>IF(EB224=0,0,(EC224-EB224)/EB224*100)</f>
        <v>0</v>
      </c>
      <c r="EE224" s="4585"/>
      <c r="EF224" s="4585"/>
      <c r="EG224" s="1104">
        <f>IF(EE224=0,0,(EF224-EE224)/EE224*100)</f>
        <v>0</v>
      </c>
      <c r="EH224" s="4585"/>
      <c r="EI224" s="4585"/>
      <c r="EJ224" s="1104">
        <f>IF(EH224=0,0,(EI224-EH224)/EH224*100)</f>
        <v>0</v>
      </c>
      <c r="EK224" s="4585"/>
      <c r="EL224" s="4585"/>
      <c r="EM224" s="1104">
        <f>IF(EK224=0,0,(EL224-EK224)/EK224*100)</f>
        <v>0</v>
      </c>
      <c r="EN224" s="4585"/>
      <c r="EO224" s="4585"/>
      <c r="EP224" s="1104">
        <f>IF(EN224=0,0,(EO224-EN224)/EN224*100)</f>
        <v>0</v>
      </c>
      <c r="EQ224" s="4585"/>
      <c r="ER224" s="4585"/>
      <c r="ES224" s="1104">
        <f>IF(EQ224=0,0,(ER224-EQ224)/EQ224*100)</f>
        <v>0</v>
      </c>
      <c r="ET224" s="4585"/>
      <c r="EU224" s="4585"/>
      <c r="EV224" s="1104">
        <f>IF(ET224=0,0,(EU224-ET224)/ET224*100)</f>
        <v>0</v>
      </c>
      <c r="EW224" s="4585"/>
      <c r="EX224" s="4585"/>
      <c r="EY224" s="1104">
        <f>IF(EW224=0,0,(EX224-EW224)/EW224*100)</f>
        <v>0</v>
      </c>
      <c r="EZ224" s="4585"/>
      <c r="FA224" s="4585"/>
      <c r="FB224" s="1104">
        <f>IF(EZ224=0,0,(FA224-EZ224)/EZ224*100)</f>
        <v>0</v>
      </c>
      <c r="FC224" s="4585"/>
      <c r="FD224" s="4585"/>
      <c r="FE224" s="1104">
        <f>IF(FC224=0,0,(FD224-FC224)/FC224*100)</f>
        <v>0</v>
      </c>
      <c r="FF224" s="4585"/>
      <c r="FG224" s="4585"/>
      <c r="FH224" s="1104">
        <f>IF(FF224=0,0,(FG224-FF224)/FF224*100)</f>
        <v>0</v>
      </c>
      <c r="FI224" s="4585"/>
      <c r="FJ224" s="4585"/>
      <c r="FK224" s="1104">
        <f>IF(FI224=0,0,(FJ224-FI224)/FI224*100)</f>
        <v>0</v>
      </c>
      <c r="FL224" s="4585"/>
      <c r="FM224" s="4585"/>
      <c r="FN224" s="1104">
        <f>IF(FL224=0,0,(FM224-FL224)/FL224*100)</f>
        <v>0</v>
      </c>
      <c r="FO224" s="4585"/>
      <c r="FP224" s="4585"/>
      <c r="FQ224" s="1104">
        <f>IF(FO224=0,0,(FP224-FO224)/FO224*100)</f>
        <v>0</v>
      </c>
      <c r="FR224" s="4585"/>
      <c r="FS224" s="4585"/>
      <c r="FT224" s="1104">
        <f>IF(FR224=0,0,(FS224-FR224)/FR224*100)</f>
        <v>0</v>
      </c>
      <c r="FU224" s="4585"/>
      <c r="FV224" s="4585"/>
      <c r="FW224" s="1104">
        <f>IF(FU224=0,0,(FV224-FU224)/FU224*100)</f>
        <v>0</v>
      </c>
      <c r="FX224" s="1328"/>
      <c r="FY224" s="1328"/>
      <c r="FZ224" s="1063" t="s">
        <v>1931</v>
      </c>
      <c r="GA224" s="1023" t="s">
        <v>993</v>
      </c>
      <c r="GB224" s="1023" cm="1" t="str">
        <f t="array" ref="GB224:GB224">GB223</f>
        <v>0</v>
      </c>
      <c r="GC224" s="1329"/>
      <c r="GD224" s="1329"/>
    </row>
    <row s="1656" customFormat="1" customHeight="1" ht="21.75" hidden="1">
      <c r="A225" s="496"/>
      <c r="B225" s="932" cm="1" t="str">
        <f t="array" ref="B225:B225">B224</f>
        <v>false</v>
      </c>
      <c r="C225" s="496"/>
      <c r="D225" s="496"/>
      <c r="E225" s="847">
        <v>22.5</v>
      </c>
      <c r="F225" s="50" cm="1" t="str">
        <f t="array" ref="F225:F225">OFFSET(E225,-1,1)</f>
        <v>2</v>
      </c>
      <c r="G225" s="496"/>
      <c r="H225" s="496" t="s">
        <v>1901</v>
      </c>
      <c r="I225" s="496" cm="1" t="str">
        <f t="array" ref="I225:I225">I224</f>
        <v>0</v>
      </c>
      <c r="J225" s="496"/>
      <c r="K225" s="496"/>
      <c r="L225" s="496"/>
      <c r="M225" s="496"/>
      <c r="N225" s="496"/>
      <c r="O225" s="496"/>
      <c r="P225" s="496"/>
      <c r="Q225" s="496"/>
      <c r="R225" s="496"/>
      <c r="S225" s="496"/>
      <c r="T225" s="468" cm="1" t="str">
        <f t="array" ref="T225:T225">T224</f>
        <v>false</v>
      </c>
      <c r="U225" s="496"/>
      <c r="V225" s="496"/>
      <c r="W225" s="496"/>
      <c r="X225" s="1559"/>
      <c r="Y225" s="1559"/>
      <c r="Z225" s="1528"/>
      <c r="AA225" s="1516"/>
      <c r="AB225" s="911" t="str">
        <f>"ставка платы за содержание системы "&amp;IF(Q179="Водоснабжение","холодного водоснабжения","водоотведения")</f>
        <v>ставка платы за содержание системы водоотведения</v>
      </c>
      <c r="AC225" s="871" t="s">
        <v>1902</v>
      </c>
      <c r="AD225" s="4591"/>
      <c r="AE225" s="4591"/>
      <c r="AF225" s="1102">
        <f>IF(AD225=0,0,(AE225-AD225)/AD225*100)</f>
        <v>0</v>
      </c>
      <c r="AG225" s="4591"/>
      <c r="AH225" s="4591"/>
      <c r="AI225" s="1102">
        <f>IF(AG225=0,0,(AH225-AG225)/AG225*100)</f>
        <v>0</v>
      </c>
      <c r="AJ225" s="4591"/>
      <c r="AK225" s="4591"/>
      <c r="AL225" s="1102">
        <f>IF(AJ225=0,0,(AK225-AJ225)/AJ225*100)</f>
        <v>0</v>
      </c>
      <c r="AM225" s="4591"/>
      <c r="AN225" s="4591"/>
      <c r="AO225" s="1102">
        <f>IF(AM225=0,0,(AN225-AM225)/AM225*100)</f>
        <v>0</v>
      </c>
      <c r="AP225" s="4591"/>
      <c r="AQ225" s="4591"/>
      <c r="AR225" s="1102">
        <f>IF(AP225=0,0,(AQ225-AP225)/AP225*100)</f>
        <v>0</v>
      </c>
      <c r="AS225" s="4591"/>
      <c r="AT225" s="4591"/>
      <c r="AU225" s="1102">
        <f>IF(AS225=0,0,(AT225-AS225)/AS225*100)</f>
        <v>0</v>
      </c>
      <c r="AV225" s="4591"/>
      <c r="AW225" s="4591"/>
      <c r="AX225" s="1102">
        <f>IF(AV225=0,0,(AW225-AV225)/AV225*100)</f>
        <v>0</v>
      </c>
      <c r="AY225" s="4591"/>
      <c r="AZ225" s="4591"/>
      <c r="BA225" s="1102">
        <f>IF(AY225=0,0,(AZ225-AY225)/AY225*100)</f>
        <v>0</v>
      </c>
      <c r="BB225" s="4591"/>
      <c r="BC225" s="4591"/>
      <c r="BD225" s="1102">
        <f>IF(BB225=0,0,(BC225-BB225)/BB225*100)</f>
        <v>0</v>
      </c>
      <c r="BE225" s="4591"/>
      <c r="BF225" s="4591"/>
      <c r="BG225" s="1102">
        <f>IF(BE225=0,0,(BF225-BE225)/BE225*100)</f>
        <v>0</v>
      </c>
      <c r="BH225" s="4591"/>
      <c r="BI225" s="4591"/>
      <c r="BJ225" s="1102">
        <f>IF(BH225=0,0,(BI225-BH225)/BH225*100)</f>
        <v>0</v>
      </c>
      <c r="BK225" s="4591"/>
      <c r="BL225" s="4591"/>
      <c r="BM225" s="1102">
        <f>IF(BK225=0,0,(BL225-BK225)/BK225*100)</f>
        <v>0</v>
      </c>
      <c r="BN225" s="4591"/>
      <c r="BO225" s="4591"/>
      <c r="BP225" s="1102">
        <f>IF(BN225=0,0,(BO225-BN225)/BN225*100)</f>
        <v>0</v>
      </c>
      <c r="BQ225" s="4591"/>
      <c r="BR225" s="4591"/>
      <c r="BS225" s="1102">
        <f>IF(BQ225=0,0,(BR225-BQ225)/BQ225*100)</f>
        <v>0</v>
      </c>
      <c r="BT225" s="4591"/>
      <c r="BU225" s="4591"/>
      <c r="BV225" s="1102">
        <f>IF(BT225=0,0,(BU225-BT225)/BT225*100)</f>
        <v>0</v>
      </c>
      <c r="BW225" s="4591"/>
      <c r="BX225" s="4591"/>
      <c r="BY225" s="1102">
        <f>IF(BW225=0,0,(BX225-BW225)/BW225*100)</f>
        <v>0</v>
      </c>
      <c r="BZ225" s="4591"/>
      <c r="CA225" s="4591"/>
      <c r="CB225" s="1102">
        <f>IF(BZ225=0,0,(CA225-BZ225)/BZ225*100)</f>
        <v>0</v>
      </c>
      <c r="CC225" s="4591"/>
      <c r="CD225" s="4591"/>
      <c r="CE225" s="1102">
        <f>IF(CC225=0,0,(CD225-CC225)/CC225*100)</f>
        <v>0</v>
      </c>
      <c r="CF225" s="4591"/>
      <c r="CG225" s="4591"/>
      <c r="CH225" s="1102">
        <f>IF(CF225=0,0,(CG225-CF225)/CF225*100)</f>
        <v>0</v>
      </c>
      <c r="CI225" s="4591"/>
      <c r="CJ225" s="4591"/>
      <c r="CK225" s="1102">
        <f>IF(CI225=0,0,(CJ225-CI225)/CI225*100)</f>
        <v>0</v>
      </c>
      <c r="CL225" s="4591"/>
      <c r="CM225" s="4591"/>
      <c r="CN225" s="1102">
        <f>IF(CL225=0,0,(CM225-CL225)/CL225*100)</f>
        <v>0</v>
      </c>
      <c r="CO225" s="4591"/>
      <c r="CP225" s="4591"/>
      <c r="CQ225" s="1102">
        <f>IF(CO225=0,0,(CP225-CO225)/CO225*100)</f>
        <v>0</v>
      </c>
      <c r="CR225" s="4591"/>
      <c r="CS225" s="4591"/>
      <c r="CT225" s="1102">
        <f>IF(CR225=0,0,(CS225-CR225)/CR225*100)</f>
        <v>0</v>
      </c>
      <c r="CU225" s="4591"/>
      <c r="CV225" s="4591"/>
      <c r="CW225" s="1102">
        <f>IF(CU225=0,0,(CV225-CU225)/CU225*100)</f>
        <v>0</v>
      </c>
      <c r="CX225" s="4591"/>
      <c r="CY225" s="4591"/>
      <c r="CZ225" s="1102">
        <f>IF(CX225=0,0,(CY225-CX225)/CX225*100)</f>
        <v>0</v>
      </c>
      <c r="DA225" s="4591"/>
      <c r="DB225" s="4591"/>
      <c r="DC225" s="1102">
        <f>IF(DA225=0,0,(DB225-DA225)/DA225*100)</f>
        <v>0</v>
      </c>
      <c r="DD225" s="4591"/>
      <c r="DE225" s="4591"/>
      <c r="DF225" s="1102">
        <f>IF(DD225=0,0,(DE225-DD225)/DD225*100)</f>
        <v>0</v>
      </c>
      <c r="DG225" s="4591"/>
      <c r="DH225" s="4591"/>
      <c r="DI225" s="1102">
        <f>IF(DG225=0,0,(DH225-DG225)/DG225*100)</f>
        <v>0</v>
      </c>
      <c r="DJ225" s="4591"/>
      <c r="DK225" s="4591"/>
      <c r="DL225" s="1102">
        <f>IF(DJ225=0,0,(DK225-DJ225)/DJ225*100)</f>
        <v>0</v>
      </c>
      <c r="DM225" s="4591"/>
      <c r="DN225" s="4591"/>
      <c r="DO225" s="1102">
        <f>IF(DM225=0,0,(DN225-DM225)/DM225*100)</f>
        <v>0</v>
      </c>
      <c r="DP225" s="4591"/>
      <c r="DQ225" s="4591"/>
      <c r="DR225" s="1102">
        <f>IF(DP225=0,0,(DQ225-DP225)/DP225*100)</f>
        <v>0</v>
      </c>
      <c r="DS225" s="4591"/>
      <c r="DT225" s="4591"/>
      <c r="DU225" s="1102">
        <f>IF(DS225=0,0,(DT225-DS225)/DS225*100)</f>
        <v>0</v>
      </c>
      <c r="DV225" s="4591"/>
      <c r="DW225" s="4591"/>
      <c r="DX225" s="1102">
        <f>IF(DV225=0,0,(DW225-DV225)/DV225*100)</f>
        <v>0</v>
      </c>
      <c r="DY225" s="4591"/>
      <c r="DZ225" s="4591"/>
      <c r="EA225" s="1102">
        <f>IF(DY225=0,0,(DZ225-DY225)/DY225*100)</f>
        <v>0</v>
      </c>
      <c r="EB225" s="4591"/>
      <c r="EC225" s="4591"/>
      <c r="ED225" s="1102">
        <f>IF(EB225=0,0,(EC225-EB225)/EB225*100)</f>
        <v>0</v>
      </c>
      <c r="EE225" s="4591"/>
      <c r="EF225" s="4591"/>
      <c r="EG225" s="1102">
        <f>IF(EE225=0,0,(EF225-EE225)/EE225*100)</f>
        <v>0</v>
      </c>
      <c r="EH225" s="4591"/>
      <c r="EI225" s="4591"/>
      <c r="EJ225" s="1102">
        <f>IF(EH225=0,0,(EI225-EH225)/EH225*100)</f>
        <v>0</v>
      </c>
      <c r="EK225" s="4591"/>
      <c r="EL225" s="4591"/>
      <c r="EM225" s="1102">
        <f>IF(EK225=0,0,(EL225-EK225)/EK225*100)</f>
        <v>0</v>
      </c>
      <c r="EN225" s="4591"/>
      <c r="EO225" s="4591"/>
      <c r="EP225" s="1102">
        <f>IF(EN225=0,0,(EO225-EN225)/EN225*100)</f>
        <v>0</v>
      </c>
      <c r="EQ225" s="4591"/>
      <c r="ER225" s="4591"/>
      <c r="ES225" s="1102">
        <f>IF(EQ225=0,0,(ER225-EQ225)/EQ225*100)</f>
        <v>0</v>
      </c>
      <c r="ET225" s="4591"/>
      <c r="EU225" s="4591"/>
      <c r="EV225" s="1102">
        <f>IF(ET225=0,0,(EU225-ET225)/ET225*100)</f>
        <v>0</v>
      </c>
      <c r="EW225" s="4591"/>
      <c r="EX225" s="4591"/>
      <c r="EY225" s="1102">
        <f>IF(EW225=0,0,(EX225-EW225)/EW225*100)</f>
        <v>0</v>
      </c>
      <c r="EZ225" s="4591"/>
      <c r="FA225" s="4591"/>
      <c r="FB225" s="1102">
        <f>IF(EZ225=0,0,(FA225-EZ225)/EZ225*100)</f>
        <v>0</v>
      </c>
      <c r="FC225" s="4591"/>
      <c r="FD225" s="4591"/>
      <c r="FE225" s="1102">
        <f>IF(FC225=0,0,(FD225-FC225)/FC225*100)</f>
        <v>0</v>
      </c>
      <c r="FF225" s="4591"/>
      <c r="FG225" s="4591"/>
      <c r="FH225" s="1102">
        <f>IF(FF225=0,0,(FG225-FF225)/FF225*100)</f>
        <v>0</v>
      </c>
      <c r="FI225" s="4591"/>
      <c r="FJ225" s="4591"/>
      <c r="FK225" s="1102">
        <f>IF(FI225=0,0,(FJ225-FI225)/FI225*100)</f>
        <v>0</v>
      </c>
      <c r="FL225" s="4591"/>
      <c r="FM225" s="4591"/>
      <c r="FN225" s="1102">
        <f>IF(FL225=0,0,(FM225-FL225)/FL225*100)</f>
        <v>0</v>
      </c>
      <c r="FO225" s="4591"/>
      <c r="FP225" s="4591"/>
      <c r="FQ225" s="1102">
        <f>IF(FO225=0,0,(FP225-FO225)/FO225*100)</f>
        <v>0</v>
      </c>
      <c r="FR225" s="4591"/>
      <c r="FS225" s="4591"/>
      <c r="FT225" s="1102">
        <f>IF(FR225=0,0,(FS225-FR225)/FR225*100)</f>
        <v>0</v>
      </c>
      <c r="FU225" s="4591"/>
      <c r="FV225" s="4591"/>
      <c r="FW225" s="1102">
        <f>IF(FU225=0,0,(FV225-FU225)/FU225*100)</f>
        <v>0</v>
      </c>
      <c r="FX225" s="1328"/>
      <c r="FY225" s="1328"/>
      <c r="FZ225" s="1063" t="s">
        <v>1932</v>
      </c>
      <c r="GA225" s="1023" t="s">
        <v>993</v>
      </c>
      <c r="GB225" s="1023" cm="1" t="str">
        <f t="array" ref="GB225:GB225">GB224</f>
        <v>0</v>
      </c>
      <c r="GC225" s="1329"/>
      <c r="GD225" s="1329"/>
    </row>
    <row s="1656" customFormat="1" customHeight="1" ht="14.25" hidden="1">
      <c r="A226" s="496"/>
      <c r="B226" s="932" cm="1" t="str">
        <f t="array" ref="B226:B226">B225</f>
        <v>false</v>
      </c>
      <c r="C226" s="496"/>
      <c r="D226" s="496"/>
      <c r="E226" s="847">
        <v>15</v>
      </c>
      <c r="F226" s="50" cm="1" t="str">
        <f t="array" ref="F226:F226">OFFSET(E226,-1,1)</f>
        <v>2</v>
      </c>
      <c r="G226" s="496"/>
      <c r="H226" s="496" t="s">
        <v>1904</v>
      </c>
      <c r="I226" s="496" cm="1" t="str">
        <f t="array" ref="I226:I226">I225</f>
        <v>0</v>
      </c>
      <c r="J226" s="496"/>
      <c r="K226" s="496"/>
      <c r="L226" s="496"/>
      <c r="M226" s="496"/>
      <c r="N226" s="496"/>
      <c r="O226" s="496"/>
      <c r="P226" s="496"/>
      <c r="Q226" s="496"/>
      <c r="R226" s="496"/>
      <c r="S226" s="496"/>
      <c r="T226" s="468" cm="1" t="str">
        <f t="array" ref="T226:T226">T225</f>
        <v>false</v>
      </c>
      <c r="U226" s="496"/>
      <c r="V226" s="496"/>
      <c r="W226" s="496"/>
      <c r="X226" s="1559"/>
      <c r="Y226" s="1559"/>
      <c r="Z226" s="1528"/>
      <c r="AA226" s="1516"/>
      <c r="AB226" s="911" t="s">
        <v>1905</v>
      </c>
      <c r="AC226" s="871" t="s">
        <v>1906</v>
      </c>
      <c r="AD226" s="4591"/>
      <c r="AE226" s="4591"/>
      <c r="AF226" s="1102">
        <f>IF(AD226=0,0,(AE226-AD226)/AD226*100)</f>
        <v>0</v>
      </c>
      <c r="AG226" s="4591"/>
      <c r="AH226" s="4591"/>
      <c r="AI226" s="1102">
        <f>IF(AG226=0,0,(AH226-AG226)/AG226*100)</f>
        <v>0</v>
      </c>
      <c r="AJ226" s="4591"/>
      <c r="AK226" s="4591"/>
      <c r="AL226" s="1102">
        <f>IF(AJ226=0,0,(AK226-AJ226)/AJ226*100)</f>
        <v>0</v>
      </c>
      <c r="AM226" s="4591"/>
      <c r="AN226" s="4591"/>
      <c r="AO226" s="1102">
        <f>IF(AM226=0,0,(AN226-AM226)/AM226*100)</f>
        <v>0</v>
      </c>
      <c r="AP226" s="4591"/>
      <c r="AQ226" s="4591"/>
      <c r="AR226" s="1102">
        <f>IF(AP226=0,0,(AQ226-AP226)/AP226*100)</f>
        <v>0</v>
      </c>
      <c r="AS226" s="4591"/>
      <c r="AT226" s="4591"/>
      <c r="AU226" s="1102">
        <f>IF(AS226=0,0,(AT226-AS226)/AS226*100)</f>
        <v>0</v>
      </c>
      <c r="AV226" s="4591"/>
      <c r="AW226" s="4591"/>
      <c r="AX226" s="1102">
        <f>IF(AV226=0,0,(AW226-AV226)/AV226*100)</f>
        <v>0</v>
      </c>
      <c r="AY226" s="4591"/>
      <c r="AZ226" s="4591"/>
      <c r="BA226" s="1102">
        <f>IF(AY226=0,0,(AZ226-AY226)/AY226*100)</f>
        <v>0</v>
      </c>
      <c r="BB226" s="4591"/>
      <c r="BC226" s="4591"/>
      <c r="BD226" s="1102">
        <f>IF(BB226=0,0,(BC226-BB226)/BB226*100)</f>
        <v>0</v>
      </c>
      <c r="BE226" s="4591"/>
      <c r="BF226" s="4591"/>
      <c r="BG226" s="1102">
        <f>IF(BE226=0,0,(BF226-BE226)/BE226*100)</f>
        <v>0</v>
      </c>
      <c r="BH226" s="4591"/>
      <c r="BI226" s="4591"/>
      <c r="BJ226" s="1102">
        <f>IF(BH226=0,0,(BI226-BH226)/BH226*100)</f>
        <v>0</v>
      </c>
      <c r="BK226" s="4591"/>
      <c r="BL226" s="4591"/>
      <c r="BM226" s="1102">
        <f>IF(BK226=0,0,(BL226-BK226)/BK226*100)</f>
        <v>0</v>
      </c>
      <c r="BN226" s="4591"/>
      <c r="BO226" s="4591"/>
      <c r="BP226" s="1102">
        <f>IF(BN226=0,0,(BO226-BN226)/BN226*100)</f>
        <v>0</v>
      </c>
      <c r="BQ226" s="4591"/>
      <c r="BR226" s="4591"/>
      <c r="BS226" s="1102">
        <f>IF(BQ226=0,0,(BR226-BQ226)/BQ226*100)</f>
        <v>0</v>
      </c>
      <c r="BT226" s="4591"/>
      <c r="BU226" s="4591"/>
      <c r="BV226" s="1102">
        <f>IF(BT226=0,0,(BU226-BT226)/BT226*100)</f>
        <v>0</v>
      </c>
      <c r="BW226" s="4591"/>
      <c r="BX226" s="4591"/>
      <c r="BY226" s="1102">
        <f>IF(BW226=0,0,(BX226-BW226)/BW226*100)</f>
        <v>0</v>
      </c>
      <c r="BZ226" s="4591"/>
      <c r="CA226" s="4591"/>
      <c r="CB226" s="1102">
        <f>IF(BZ226=0,0,(CA226-BZ226)/BZ226*100)</f>
        <v>0</v>
      </c>
      <c r="CC226" s="4591"/>
      <c r="CD226" s="4591"/>
      <c r="CE226" s="1102">
        <f>IF(CC226=0,0,(CD226-CC226)/CC226*100)</f>
        <v>0</v>
      </c>
      <c r="CF226" s="4591"/>
      <c r="CG226" s="4591"/>
      <c r="CH226" s="1102">
        <f>IF(CF226=0,0,(CG226-CF226)/CF226*100)</f>
        <v>0</v>
      </c>
      <c r="CI226" s="4591"/>
      <c r="CJ226" s="4591"/>
      <c r="CK226" s="1102">
        <f>IF(CI226=0,0,(CJ226-CI226)/CI226*100)</f>
        <v>0</v>
      </c>
      <c r="CL226" s="4591"/>
      <c r="CM226" s="4591"/>
      <c r="CN226" s="1102">
        <f>IF(CL226=0,0,(CM226-CL226)/CL226*100)</f>
        <v>0</v>
      </c>
      <c r="CO226" s="4591"/>
      <c r="CP226" s="4591"/>
      <c r="CQ226" s="1102">
        <f>IF(CO226=0,0,(CP226-CO226)/CO226*100)</f>
        <v>0</v>
      </c>
      <c r="CR226" s="4591"/>
      <c r="CS226" s="4591"/>
      <c r="CT226" s="1102">
        <f>IF(CR226=0,0,(CS226-CR226)/CR226*100)</f>
        <v>0</v>
      </c>
      <c r="CU226" s="4591"/>
      <c r="CV226" s="4591"/>
      <c r="CW226" s="1102">
        <f>IF(CU226=0,0,(CV226-CU226)/CU226*100)</f>
        <v>0</v>
      </c>
      <c r="CX226" s="4591"/>
      <c r="CY226" s="4591"/>
      <c r="CZ226" s="1102">
        <f>IF(CX226=0,0,(CY226-CX226)/CX226*100)</f>
        <v>0</v>
      </c>
      <c r="DA226" s="4591"/>
      <c r="DB226" s="4591"/>
      <c r="DC226" s="1102">
        <f>IF(DA226=0,0,(DB226-DA226)/DA226*100)</f>
        <v>0</v>
      </c>
      <c r="DD226" s="4591"/>
      <c r="DE226" s="4591"/>
      <c r="DF226" s="1102">
        <f>IF(DD226=0,0,(DE226-DD226)/DD226*100)</f>
        <v>0</v>
      </c>
      <c r="DG226" s="4591"/>
      <c r="DH226" s="4591"/>
      <c r="DI226" s="1102">
        <f>IF(DG226=0,0,(DH226-DG226)/DG226*100)</f>
        <v>0</v>
      </c>
      <c r="DJ226" s="4591"/>
      <c r="DK226" s="4591"/>
      <c r="DL226" s="1102">
        <f>IF(DJ226=0,0,(DK226-DJ226)/DJ226*100)</f>
        <v>0</v>
      </c>
      <c r="DM226" s="4591"/>
      <c r="DN226" s="4591"/>
      <c r="DO226" s="1102">
        <f>IF(DM226=0,0,(DN226-DM226)/DM226*100)</f>
        <v>0</v>
      </c>
      <c r="DP226" s="4591"/>
      <c r="DQ226" s="4591"/>
      <c r="DR226" s="1102">
        <f>IF(DP226=0,0,(DQ226-DP226)/DP226*100)</f>
        <v>0</v>
      </c>
      <c r="DS226" s="4591"/>
      <c r="DT226" s="4591"/>
      <c r="DU226" s="1102">
        <f>IF(DS226=0,0,(DT226-DS226)/DS226*100)</f>
        <v>0</v>
      </c>
      <c r="DV226" s="4591"/>
      <c r="DW226" s="4591"/>
      <c r="DX226" s="1102">
        <f>IF(DV226=0,0,(DW226-DV226)/DV226*100)</f>
        <v>0</v>
      </c>
      <c r="DY226" s="4591"/>
      <c r="DZ226" s="4591"/>
      <c r="EA226" s="1102">
        <f>IF(DY226=0,0,(DZ226-DY226)/DY226*100)</f>
        <v>0</v>
      </c>
      <c r="EB226" s="4591"/>
      <c r="EC226" s="4591"/>
      <c r="ED226" s="1102">
        <f>IF(EB226=0,0,(EC226-EB226)/EB226*100)</f>
        <v>0</v>
      </c>
      <c r="EE226" s="4591"/>
      <c r="EF226" s="4591"/>
      <c r="EG226" s="1102">
        <f>IF(EE226=0,0,(EF226-EE226)/EE226*100)</f>
        <v>0</v>
      </c>
      <c r="EH226" s="4591"/>
      <c r="EI226" s="4591"/>
      <c r="EJ226" s="1102">
        <f>IF(EH226=0,0,(EI226-EH226)/EH226*100)</f>
        <v>0</v>
      </c>
      <c r="EK226" s="4591"/>
      <c r="EL226" s="4591"/>
      <c r="EM226" s="1102">
        <f>IF(EK226=0,0,(EL226-EK226)/EK226*100)</f>
        <v>0</v>
      </c>
      <c r="EN226" s="4591"/>
      <c r="EO226" s="4591"/>
      <c r="EP226" s="1102">
        <f>IF(EN226=0,0,(EO226-EN226)/EN226*100)</f>
        <v>0</v>
      </c>
      <c r="EQ226" s="4591"/>
      <c r="ER226" s="4591"/>
      <c r="ES226" s="1102">
        <f>IF(EQ226=0,0,(ER226-EQ226)/EQ226*100)</f>
        <v>0</v>
      </c>
      <c r="ET226" s="4591"/>
      <c r="EU226" s="4591"/>
      <c r="EV226" s="1102">
        <f>IF(ET226=0,0,(EU226-ET226)/ET226*100)</f>
        <v>0</v>
      </c>
      <c r="EW226" s="4591"/>
      <c r="EX226" s="4591"/>
      <c r="EY226" s="1102">
        <f>IF(EW226=0,0,(EX226-EW226)/EW226*100)</f>
        <v>0</v>
      </c>
      <c r="EZ226" s="4591"/>
      <c r="FA226" s="4591"/>
      <c r="FB226" s="1102">
        <f>IF(EZ226=0,0,(FA226-EZ226)/EZ226*100)</f>
        <v>0</v>
      </c>
      <c r="FC226" s="4591"/>
      <c r="FD226" s="4591"/>
      <c r="FE226" s="1102">
        <f>IF(FC226=0,0,(FD226-FC226)/FC226*100)</f>
        <v>0</v>
      </c>
      <c r="FF226" s="4591"/>
      <c r="FG226" s="4591"/>
      <c r="FH226" s="1102">
        <f>IF(FF226=0,0,(FG226-FF226)/FF226*100)</f>
        <v>0</v>
      </c>
      <c r="FI226" s="4591"/>
      <c r="FJ226" s="4591"/>
      <c r="FK226" s="1102">
        <f>IF(FI226=0,0,(FJ226-FI226)/FI226*100)</f>
        <v>0</v>
      </c>
      <c r="FL226" s="4591"/>
      <c r="FM226" s="4591"/>
      <c r="FN226" s="1102">
        <f>IF(FL226=0,0,(FM226-FL226)/FL226*100)</f>
        <v>0</v>
      </c>
      <c r="FO226" s="4591"/>
      <c r="FP226" s="4591"/>
      <c r="FQ226" s="1102">
        <f>IF(FO226=0,0,(FP226-FO226)/FO226*100)</f>
        <v>0</v>
      </c>
      <c r="FR226" s="4591"/>
      <c r="FS226" s="4591"/>
      <c r="FT226" s="1102">
        <f>IF(FR226=0,0,(FS226-FR226)/FR226*100)</f>
        <v>0</v>
      </c>
      <c r="FU226" s="4591"/>
      <c r="FV226" s="4591"/>
      <c r="FW226" s="1102">
        <f>IF(FU226=0,0,(FV226-FU226)/FU226*100)</f>
        <v>0</v>
      </c>
      <c r="FX226" s="1328"/>
      <c r="FY226" s="1328"/>
      <c r="FZ226" s="1063" t="s">
        <v>1933</v>
      </c>
      <c r="GA226" s="1023" t="s">
        <v>993</v>
      </c>
      <c r="GB226" s="1023" cm="1" t="str">
        <f t="array" ref="GB226:GB226">GB225</f>
        <v>0</v>
      </c>
      <c r="GC226" s="1329"/>
      <c r="GD226" s="1329"/>
    </row>
    <row customHeight="1" ht="18.525" hidden="1">
      <c r="A227" s="496"/>
      <c r="B227" s="932" cm="1" t="str">
        <f t="array" ref="B227:B227">B226</f>
        <v>false</v>
      </c>
      <c r="C227" s="496"/>
      <c r="D227" s="496"/>
      <c r="E227" s="847">
        <v>19</v>
      </c>
      <c r="F227" s="50" cm="1" t="str">
        <f t="array" ref="F227:F227">OFFSET(E227,-1,1)</f>
        <v>2</v>
      </c>
      <c r="G227" s="496"/>
      <c r="H227" s="496"/>
      <c r="I227" s="496"/>
      <c r="J227" s="496"/>
      <c r="K227" s="496"/>
      <c r="L227" s="496"/>
      <c r="M227" s="496"/>
      <c r="N227" s="496"/>
      <c r="O227" s="496"/>
      <c r="P227" s="496"/>
      <c r="Q227" s="496"/>
      <c r="R227" s="496"/>
      <c r="S227" s="496"/>
      <c r="T227" s="468" cm="1" t="str">
        <f t="array" ref="T227:T227">T226</f>
        <v>false</v>
      </c>
      <c r="U227" s="496"/>
      <c r="V227" s="496"/>
      <c r="W227" s="496"/>
      <c r="X227" s="1559"/>
      <c r="Y227" s="1559"/>
      <c r="Z227" s="1528"/>
      <c r="AA227" s="1516"/>
      <c r="AB227" s="4590"/>
      <c r="AC227" s="872"/>
      <c r="AD227" s="1114"/>
      <c r="AE227" s="1115"/>
      <c r="AF227" s="1115"/>
      <c r="AG227" s="1114"/>
      <c r="AH227" s="1115"/>
      <c r="AI227" s="1115"/>
      <c r="AJ227" s="1114"/>
      <c r="AK227" s="1115"/>
      <c r="AL227" s="1115"/>
      <c r="AM227" s="1114"/>
      <c r="AN227" s="1115"/>
      <c r="AO227" s="1115"/>
      <c r="AP227" s="1114"/>
      <c r="AQ227" s="1115"/>
      <c r="AR227" s="1115"/>
      <c r="AS227" s="1114"/>
      <c r="AT227" s="1115"/>
      <c r="AU227" s="1115"/>
      <c r="AV227" s="1114"/>
      <c r="AW227" s="1115"/>
      <c r="AX227" s="1115"/>
      <c r="AY227" s="1114"/>
      <c r="AZ227" s="1115"/>
      <c r="BA227" s="1115"/>
      <c r="BB227" s="1114"/>
      <c r="BC227" s="1115"/>
      <c r="BD227" s="1115"/>
      <c r="BE227" s="1114"/>
      <c r="BF227" s="1115"/>
      <c r="BG227" s="1115"/>
      <c r="BH227" s="1114"/>
      <c r="BI227" s="1115"/>
      <c r="BJ227" s="1115"/>
      <c r="BK227" s="1114"/>
      <c r="BL227" s="1115"/>
      <c r="BM227" s="1115"/>
      <c r="BN227" s="1114"/>
      <c r="BO227" s="1115"/>
      <c r="BP227" s="1115"/>
      <c r="BQ227" s="1114"/>
      <c r="BR227" s="1115"/>
      <c r="BS227" s="1115"/>
      <c r="BT227" s="1114"/>
      <c r="BU227" s="1115"/>
      <c r="BV227" s="1115"/>
      <c r="BW227" s="1114"/>
      <c r="BX227" s="1115"/>
      <c r="BY227" s="1115"/>
      <c r="BZ227" s="1114"/>
      <c r="CA227" s="1115"/>
      <c r="CB227" s="1115"/>
      <c r="CC227" s="1114"/>
      <c r="CD227" s="1115"/>
      <c r="CE227" s="1115"/>
      <c r="CF227" s="1114"/>
      <c r="CG227" s="1115"/>
      <c r="CH227" s="1115"/>
      <c r="CI227" s="1114"/>
      <c r="CJ227" s="1115"/>
      <c r="CK227" s="1115"/>
      <c r="CL227" s="1114"/>
      <c r="CM227" s="1115"/>
      <c r="CN227" s="1115"/>
      <c r="CO227" s="1114"/>
      <c r="CP227" s="1115"/>
      <c r="CQ227" s="1115"/>
      <c r="CR227" s="1114"/>
      <c r="CS227" s="1115"/>
      <c r="CT227" s="1115"/>
      <c r="CU227" s="1114"/>
      <c r="CV227" s="1115"/>
      <c r="CW227" s="1115"/>
      <c r="CX227" s="1114"/>
      <c r="CY227" s="1115"/>
      <c r="CZ227" s="1115"/>
      <c r="DA227" s="1114"/>
      <c r="DB227" s="1115"/>
      <c r="DC227" s="1115"/>
      <c r="DD227" s="1114"/>
      <c r="DE227" s="1115"/>
      <c r="DF227" s="1115"/>
      <c r="DG227" s="1114"/>
      <c r="DH227" s="1115"/>
      <c r="DI227" s="1115"/>
      <c r="DJ227" s="1114"/>
      <c r="DK227" s="1115"/>
      <c r="DL227" s="1115"/>
      <c r="DM227" s="1114"/>
      <c r="DN227" s="1115"/>
      <c r="DO227" s="1115"/>
      <c r="DP227" s="1114"/>
      <c r="DQ227" s="1115"/>
      <c r="DR227" s="1115"/>
      <c r="DS227" s="1114"/>
      <c r="DT227" s="1115"/>
      <c r="DU227" s="1115"/>
      <c r="DV227" s="1114"/>
      <c r="DW227" s="1115"/>
      <c r="DX227" s="1115"/>
      <c r="DY227" s="1114"/>
      <c r="DZ227" s="1115"/>
      <c r="EA227" s="1115"/>
      <c r="EB227" s="1114"/>
      <c r="EC227" s="1115"/>
      <c r="ED227" s="1115"/>
      <c r="EE227" s="1114"/>
      <c r="EF227" s="1115"/>
      <c r="EG227" s="1115"/>
      <c r="EH227" s="1114"/>
      <c r="EI227" s="1115"/>
      <c r="EJ227" s="1115"/>
      <c r="EK227" s="1114"/>
      <c r="EL227" s="1115"/>
      <c r="EM227" s="1115"/>
      <c r="EN227" s="1114"/>
      <c r="EO227" s="1115"/>
      <c r="EP227" s="1115"/>
      <c r="EQ227" s="1114"/>
      <c r="ER227" s="1115"/>
      <c r="ES227" s="1115"/>
      <c r="ET227" s="1114"/>
      <c r="EU227" s="1115"/>
      <c r="EV227" s="1115"/>
      <c r="EW227" s="1114"/>
      <c r="EX227" s="1115"/>
      <c r="EY227" s="1115"/>
      <c r="EZ227" s="1114"/>
      <c r="FA227" s="1115"/>
      <c r="FB227" s="1115"/>
      <c r="FC227" s="1114"/>
      <c r="FD227" s="1115"/>
      <c r="FE227" s="1115"/>
      <c r="FF227" s="1114"/>
      <c r="FG227" s="1115"/>
      <c r="FH227" s="1115"/>
      <c r="FI227" s="1114"/>
      <c r="FJ227" s="1115"/>
      <c r="FK227" s="1115"/>
      <c r="FL227" s="1114"/>
      <c r="FM227" s="1115"/>
      <c r="FN227" s="1115"/>
      <c r="FO227" s="1114"/>
      <c r="FP227" s="1115"/>
      <c r="FQ227" s="1115"/>
      <c r="FR227" s="1114"/>
      <c r="FS227" s="1115"/>
      <c r="FT227" s="1115"/>
      <c r="FU227" s="1114"/>
      <c r="FV227" s="1115"/>
      <c r="FW227" s="1116"/>
      <c r="GA227" s="1330" t="s">
        <v>240</v>
      </c>
      <c r="GB227" s="1330" cm="1" t="str">
        <f t="array" ref="GB227:GB227">GB226</f>
        <v>0</v>
      </c>
    </row>
    <row customHeight="1" ht="18.525" hidden="1">
      <c r="A228" s="496"/>
      <c r="B228" s="932" cm="1" t="str">
        <f t="array" ref="B228:B228">B227</f>
        <v>false</v>
      </c>
      <c r="C228" s="496"/>
      <c r="D228" s="496"/>
      <c r="E228" s="847">
        <v>19</v>
      </c>
      <c r="F228" s="50" cm="1" t="str">
        <f t="array" ref="F228:F228">OFFSET(E228,-1,1)</f>
        <v>2</v>
      </c>
      <c r="G228" s="496"/>
      <c r="H228" s="496"/>
      <c r="I228" s="496"/>
      <c r="J228" s="496"/>
      <c r="K228" s="496"/>
      <c r="L228" s="496"/>
      <c r="M228" s="496"/>
      <c r="N228" s="496"/>
      <c r="O228" s="496"/>
      <c r="P228" s="496"/>
      <c r="Q228" s="496"/>
      <c r="R228" s="496"/>
      <c r="S228" s="496"/>
      <c r="T228" s="468" cm="1" t="str">
        <f t="array" ref="T228:T228">T227</f>
        <v>false</v>
      </c>
      <c r="U228" s="496"/>
      <c r="V228" s="496"/>
      <c r="W228" s="496"/>
      <c r="X228" s="1559"/>
      <c r="Y228" s="1559"/>
      <c r="Z228" s="1528"/>
      <c r="AA228" s="1516"/>
      <c r="AB228" s="911" t="s">
        <v>1895</v>
      </c>
      <c r="AC228" s="871" t="s">
        <v>1862</v>
      </c>
      <c r="AD228" s="4591"/>
      <c r="AE228" s="4591"/>
      <c r="AF228" s="1102">
        <f>IF(AD228=0,0,(AE228-AD228)/AD228*100)</f>
        <v>0</v>
      </c>
      <c r="AG228" s="4591"/>
      <c r="AH228" s="4591"/>
      <c r="AI228" s="1102">
        <f>IF(AG228=0,0,(AH228-AG228)/AG228*100)</f>
        <v>0</v>
      </c>
      <c r="AJ228" s="4591"/>
      <c r="AK228" s="4591"/>
      <c r="AL228" s="1102">
        <f>IF(AJ228=0,0,(AK228-AJ228)/AJ228*100)</f>
        <v>0</v>
      </c>
      <c r="AM228" s="4591"/>
      <c r="AN228" s="4591"/>
      <c r="AO228" s="1102">
        <f>IF(AM228=0,0,(AN228-AM228)/AM228*100)</f>
        <v>0</v>
      </c>
      <c r="AP228" s="4591"/>
      <c r="AQ228" s="4591"/>
      <c r="AR228" s="1102">
        <f>IF(AP228=0,0,(AQ228-AP228)/AP228*100)</f>
        <v>0</v>
      </c>
      <c r="AS228" s="4591"/>
      <c r="AT228" s="4591"/>
      <c r="AU228" s="1102">
        <f>IF(AS228=0,0,(AT228-AS228)/AS228*100)</f>
        <v>0</v>
      </c>
      <c r="AV228" s="4591"/>
      <c r="AW228" s="4591"/>
      <c r="AX228" s="1102">
        <f>IF(AV228=0,0,(AW228-AV228)/AV228*100)</f>
        <v>0</v>
      </c>
      <c r="AY228" s="4591"/>
      <c r="AZ228" s="4591"/>
      <c r="BA228" s="1102">
        <f>IF(AY228=0,0,(AZ228-AY228)/AY228*100)</f>
        <v>0</v>
      </c>
      <c r="BB228" s="4591"/>
      <c r="BC228" s="4591"/>
      <c r="BD228" s="1102">
        <f>IF(BB228=0,0,(BC228-BB228)/BB228*100)</f>
        <v>0</v>
      </c>
      <c r="BE228" s="4591"/>
      <c r="BF228" s="4591"/>
      <c r="BG228" s="1102">
        <f>IF(BE228=0,0,(BF228-BE228)/BE228*100)</f>
        <v>0</v>
      </c>
      <c r="BH228" s="4591"/>
      <c r="BI228" s="4591"/>
      <c r="BJ228" s="1102">
        <f>IF(BH228=0,0,(BI228-BH228)/BH228*100)</f>
        <v>0</v>
      </c>
      <c r="BK228" s="4591"/>
      <c r="BL228" s="4591"/>
      <c r="BM228" s="1102">
        <f>IF(BK228=0,0,(BL228-BK228)/BK228*100)</f>
        <v>0</v>
      </c>
      <c r="BN228" s="4591"/>
      <c r="BO228" s="4591"/>
      <c r="BP228" s="1102">
        <f>IF(BN228=0,0,(BO228-BN228)/BN228*100)</f>
        <v>0</v>
      </c>
      <c r="BQ228" s="4591"/>
      <c r="BR228" s="4591"/>
      <c r="BS228" s="1102">
        <f>IF(BQ228=0,0,(BR228-BQ228)/BQ228*100)</f>
        <v>0</v>
      </c>
      <c r="BT228" s="4591"/>
      <c r="BU228" s="4591"/>
      <c r="BV228" s="1102">
        <f>IF(BT228=0,0,(BU228-BT228)/BT228*100)</f>
        <v>0</v>
      </c>
      <c r="BW228" s="4591"/>
      <c r="BX228" s="4591"/>
      <c r="BY228" s="1102">
        <f>IF(BW228=0,0,(BX228-BW228)/BW228*100)</f>
        <v>0</v>
      </c>
      <c r="BZ228" s="4591"/>
      <c r="CA228" s="4591"/>
      <c r="CB228" s="1102">
        <f>IF(BZ228=0,0,(CA228-BZ228)/BZ228*100)</f>
        <v>0</v>
      </c>
      <c r="CC228" s="4591"/>
      <c r="CD228" s="4591"/>
      <c r="CE228" s="1102">
        <f>IF(CC228=0,0,(CD228-CC228)/CC228*100)</f>
        <v>0</v>
      </c>
      <c r="CF228" s="4591"/>
      <c r="CG228" s="4591"/>
      <c r="CH228" s="1102">
        <f>IF(CF228=0,0,(CG228-CF228)/CF228*100)</f>
        <v>0</v>
      </c>
      <c r="CI228" s="4591"/>
      <c r="CJ228" s="4591"/>
      <c r="CK228" s="1102">
        <f>IF(CI228=0,0,(CJ228-CI228)/CI228*100)</f>
        <v>0</v>
      </c>
      <c r="CL228" s="4591"/>
      <c r="CM228" s="4591"/>
      <c r="CN228" s="1102">
        <f>IF(CL228=0,0,(CM228-CL228)/CL228*100)</f>
        <v>0</v>
      </c>
      <c r="CO228" s="4591"/>
      <c r="CP228" s="4591"/>
      <c r="CQ228" s="1102">
        <f>IF(CO228=0,0,(CP228-CO228)/CO228*100)</f>
        <v>0</v>
      </c>
      <c r="CR228" s="4591"/>
      <c r="CS228" s="4591"/>
      <c r="CT228" s="1102">
        <f>IF(CR228=0,0,(CS228-CR228)/CR228*100)</f>
        <v>0</v>
      </c>
      <c r="CU228" s="4591"/>
      <c r="CV228" s="4591"/>
      <c r="CW228" s="1102">
        <f>IF(CU228=0,0,(CV228-CU228)/CU228*100)</f>
        <v>0</v>
      </c>
      <c r="CX228" s="4591"/>
      <c r="CY228" s="4591"/>
      <c r="CZ228" s="1102">
        <f>IF(CX228=0,0,(CY228-CX228)/CX228*100)</f>
        <v>0</v>
      </c>
      <c r="DA228" s="4591"/>
      <c r="DB228" s="4591"/>
      <c r="DC228" s="1102">
        <f>IF(DA228=0,0,(DB228-DA228)/DA228*100)</f>
        <v>0</v>
      </c>
      <c r="DD228" s="4591"/>
      <c r="DE228" s="4591"/>
      <c r="DF228" s="1102">
        <f>IF(DD228=0,0,(DE228-DD228)/DD228*100)</f>
        <v>0</v>
      </c>
      <c r="DG228" s="4591"/>
      <c r="DH228" s="4591"/>
      <c r="DI228" s="1102">
        <f>IF(DG228=0,0,(DH228-DG228)/DG228*100)</f>
        <v>0</v>
      </c>
      <c r="DJ228" s="4591"/>
      <c r="DK228" s="4591"/>
      <c r="DL228" s="1102">
        <f>IF(DJ228=0,0,(DK228-DJ228)/DJ228*100)</f>
        <v>0</v>
      </c>
      <c r="DM228" s="4591"/>
      <c r="DN228" s="4591"/>
      <c r="DO228" s="1102">
        <f>IF(DM228=0,0,(DN228-DM228)/DM228*100)</f>
        <v>0</v>
      </c>
      <c r="DP228" s="4591"/>
      <c r="DQ228" s="4591"/>
      <c r="DR228" s="1102">
        <f>IF(DP228=0,0,(DQ228-DP228)/DP228*100)</f>
        <v>0</v>
      </c>
      <c r="DS228" s="4591"/>
      <c r="DT228" s="4591"/>
      <c r="DU228" s="1102">
        <f>IF(DS228=0,0,(DT228-DS228)/DS228*100)</f>
        <v>0</v>
      </c>
      <c r="DV228" s="4591"/>
      <c r="DW228" s="4591"/>
      <c r="DX228" s="1102">
        <f>IF(DV228=0,0,(DW228-DV228)/DV228*100)</f>
        <v>0</v>
      </c>
      <c r="DY228" s="4591"/>
      <c r="DZ228" s="4591"/>
      <c r="EA228" s="1102">
        <f>IF(DY228=0,0,(DZ228-DY228)/DY228*100)</f>
        <v>0</v>
      </c>
      <c r="EB228" s="4591"/>
      <c r="EC228" s="4591"/>
      <c r="ED228" s="1102">
        <f>IF(EB228=0,0,(EC228-EB228)/EB228*100)</f>
        <v>0</v>
      </c>
      <c r="EE228" s="4591"/>
      <c r="EF228" s="4591"/>
      <c r="EG228" s="1102">
        <f>IF(EE228=0,0,(EF228-EE228)/EE228*100)</f>
        <v>0</v>
      </c>
      <c r="EH228" s="4591"/>
      <c r="EI228" s="4591"/>
      <c r="EJ228" s="1102">
        <f>IF(EH228=0,0,(EI228-EH228)/EH228*100)</f>
        <v>0</v>
      </c>
      <c r="EK228" s="4591"/>
      <c r="EL228" s="4591"/>
      <c r="EM228" s="1102">
        <f>IF(EK228=0,0,(EL228-EK228)/EK228*100)</f>
        <v>0</v>
      </c>
      <c r="EN228" s="4591"/>
      <c r="EO228" s="4591"/>
      <c r="EP228" s="1102">
        <f>IF(EN228=0,0,(EO228-EN228)/EN228*100)</f>
        <v>0</v>
      </c>
      <c r="EQ228" s="4591"/>
      <c r="ER228" s="4591"/>
      <c r="ES228" s="1102">
        <f>IF(EQ228=0,0,(ER228-EQ228)/EQ228*100)</f>
        <v>0</v>
      </c>
      <c r="ET228" s="4591"/>
      <c r="EU228" s="4591"/>
      <c r="EV228" s="1102">
        <f>IF(ET228=0,0,(EU228-ET228)/ET228*100)</f>
        <v>0</v>
      </c>
      <c r="EW228" s="4591"/>
      <c r="EX228" s="4591"/>
      <c r="EY228" s="1102">
        <f>IF(EW228=0,0,(EX228-EW228)/EW228*100)</f>
        <v>0</v>
      </c>
      <c r="EZ228" s="4591"/>
      <c r="FA228" s="4591"/>
      <c r="FB228" s="1102">
        <f>IF(EZ228=0,0,(FA228-EZ228)/EZ228*100)</f>
        <v>0</v>
      </c>
      <c r="FC228" s="4591"/>
      <c r="FD228" s="4591"/>
      <c r="FE228" s="1102">
        <f>IF(FC228=0,0,(FD228-FC228)/FC228*100)</f>
        <v>0</v>
      </c>
      <c r="FF228" s="4591"/>
      <c r="FG228" s="4591"/>
      <c r="FH228" s="1102">
        <f>IF(FF228=0,0,(FG228-FF228)/FF228*100)</f>
        <v>0</v>
      </c>
      <c r="FI228" s="4591"/>
      <c r="FJ228" s="4591"/>
      <c r="FK228" s="1102">
        <f>IF(FI228=0,0,(FJ228-FI228)/FI228*100)</f>
        <v>0</v>
      </c>
      <c r="FL228" s="4591"/>
      <c r="FM228" s="4591"/>
      <c r="FN228" s="1102">
        <f>IF(FL228=0,0,(FM228-FL228)/FL228*100)</f>
        <v>0</v>
      </c>
      <c r="FO228" s="4591"/>
      <c r="FP228" s="4591"/>
      <c r="FQ228" s="1102">
        <f>IF(FO228=0,0,(FP228-FO228)/FO228*100)</f>
        <v>0</v>
      </c>
      <c r="FR228" s="4591"/>
      <c r="FS228" s="4591"/>
      <c r="FT228" s="1102">
        <f>IF(FR228=0,0,(FS228-FR228)/FR228*100)</f>
        <v>0</v>
      </c>
      <c r="FU228" s="4591"/>
      <c r="FV228" s="4591"/>
      <c r="FW228" s="1102">
        <f>IF(FU228=0,0,(FV228-FU228)/FU228*100)</f>
        <v>0</v>
      </c>
      <c r="FZ228" s="1330" t="s">
        <v>1934</v>
      </c>
      <c r="GA228" s="1330" t="s">
        <v>993</v>
      </c>
      <c r="GB228" s="1330" cm="1" t="str">
        <f t="array" ref="GB228:GB228">GB227</f>
        <v>0</v>
      </c>
    </row>
    <row customHeight="1" ht="18.525" hidden="1">
      <c r="A229" s="496"/>
      <c r="B229" s="932" cm="1" t="str">
        <f t="array" ref="B229:B229">B228</f>
        <v>false</v>
      </c>
      <c r="C229" s="496"/>
      <c r="D229" s="496"/>
      <c r="E229" s="847">
        <v>19</v>
      </c>
      <c r="F229" s="50" cm="1" t="str">
        <f t="array" ref="F229:F229">OFFSET(E229,-1,1)</f>
        <v>2</v>
      </c>
      <c r="G229" s="496"/>
      <c r="H229" s="496"/>
      <c r="I229" s="496"/>
      <c r="J229" s="496"/>
      <c r="K229" s="496"/>
      <c r="L229" s="496"/>
      <c r="M229" s="496"/>
      <c r="N229" s="496"/>
      <c r="O229" s="496"/>
      <c r="P229" s="496"/>
      <c r="Q229" s="496"/>
      <c r="R229" s="496"/>
      <c r="S229" s="496"/>
      <c r="T229" s="468" cm="1" t="str">
        <f t="array" ref="T229:T229">T228</f>
        <v>false</v>
      </c>
      <c r="U229" s="496"/>
      <c r="V229" s="496"/>
      <c r="W229" s="496"/>
      <c r="X229" s="1559"/>
      <c r="Y229" s="1559"/>
      <c r="Z229" s="1528"/>
      <c r="AA229" s="1516"/>
      <c r="AB229" s="911" t="str">
        <f>"ставка платы за "&amp;IF(Q185="Водоснабжение","потребление 1 куб.м холодной воды","объем принятых сточных вод")</f>
        <v>ставка платы за объем принятых сточных вод</v>
      </c>
      <c r="AC229" s="871" t="s">
        <v>1862</v>
      </c>
      <c r="AD229" s="4591"/>
      <c r="AE229" s="4591"/>
      <c r="AF229" s="1102">
        <f>IF(AD229=0,0,(AE229-AD229)/AD229*100)</f>
        <v>0</v>
      </c>
      <c r="AG229" s="4591"/>
      <c r="AH229" s="4591"/>
      <c r="AI229" s="1102">
        <f>IF(AG229=0,0,(AH229-AG229)/AG229*100)</f>
        <v>0</v>
      </c>
      <c r="AJ229" s="4591"/>
      <c r="AK229" s="4591"/>
      <c r="AL229" s="1102">
        <f>IF(AJ229=0,0,(AK229-AJ229)/AJ229*100)</f>
        <v>0</v>
      </c>
      <c r="AM229" s="4591"/>
      <c r="AN229" s="4591"/>
      <c r="AO229" s="1102">
        <f>IF(AM229=0,0,(AN229-AM229)/AM229*100)</f>
        <v>0</v>
      </c>
      <c r="AP229" s="4591"/>
      <c r="AQ229" s="4591"/>
      <c r="AR229" s="1102">
        <f>IF(AP229=0,0,(AQ229-AP229)/AP229*100)</f>
        <v>0</v>
      </c>
      <c r="AS229" s="4591"/>
      <c r="AT229" s="4591"/>
      <c r="AU229" s="1102">
        <f>IF(AS229=0,0,(AT229-AS229)/AS229*100)</f>
        <v>0</v>
      </c>
      <c r="AV229" s="4591"/>
      <c r="AW229" s="4591"/>
      <c r="AX229" s="1102">
        <f>IF(AV229=0,0,(AW229-AV229)/AV229*100)</f>
        <v>0</v>
      </c>
      <c r="AY229" s="4591"/>
      <c r="AZ229" s="4591"/>
      <c r="BA229" s="1102">
        <f>IF(AY229=0,0,(AZ229-AY229)/AY229*100)</f>
        <v>0</v>
      </c>
      <c r="BB229" s="4591"/>
      <c r="BC229" s="4591"/>
      <c r="BD229" s="1102">
        <f>IF(BB229=0,0,(BC229-BB229)/BB229*100)</f>
        <v>0</v>
      </c>
      <c r="BE229" s="4591"/>
      <c r="BF229" s="4591"/>
      <c r="BG229" s="1102">
        <f>IF(BE229=0,0,(BF229-BE229)/BE229*100)</f>
        <v>0</v>
      </c>
      <c r="BH229" s="4591"/>
      <c r="BI229" s="4591"/>
      <c r="BJ229" s="1102">
        <f>IF(BH229=0,0,(BI229-BH229)/BH229*100)</f>
        <v>0</v>
      </c>
      <c r="BK229" s="4591"/>
      <c r="BL229" s="4591"/>
      <c r="BM229" s="1102">
        <f>IF(BK229=0,0,(BL229-BK229)/BK229*100)</f>
        <v>0</v>
      </c>
      <c r="BN229" s="4591"/>
      <c r="BO229" s="4591"/>
      <c r="BP229" s="1102">
        <f>IF(BN229=0,0,(BO229-BN229)/BN229*100)</f>
        <v>0</v>
      </c>
      <c r="BQ229" s="4591"/>
      <c r="BR229" s="4591"/>
      <c r="BS229" s="1102">
        <f>IF(BQ229=0,0,(BR229-BQ229)/BQ229*100)</f>
        <v>0</v>
      </c>
      <c r="BT229" s="4591"/>
      <c r="BU229" s="4591"/>
      <c r="BV229" s="1102">
        <f>IF(BT229=0,0,(BU229-BT229)/BT229*100)</f>
        <v>0</v>
      </c>
      <c r="BW229" s="4591"/>
      <c r="BX229" s="4591"/>
      <c r="BY229" s="1102">
        <f>IF(BW229=0,0,(BX229-BW229)/BW229*100)</f>
        <v>0</v>
      </c>
      <c r="BZ229" s="4591"/>
      <c r="CA229" s="4591"/>
      <c r="CB229" s="1102">
        <f>IF(BZ229=0,0,(CA229-BZ229)/BZ229*100)</f>
        <v>0</v>
      </c>
      <c r="CC229" s="4591"/>
      <c r="CD229" s="4591"/>
      <c r="CE229" s="1102">
        <f>IF(CC229=0,0,(CD229-CC229)/CC229*100)</f>
        <v>0</v>
      </c>
      <c r="CF229" s="4591"/>
      <c r="CG229" s="4591"/>
      <c r="CH229" s="1102">
        <f>IF(CF229=0,0,(CG229-CF229)/CF229*100)</f>
        <v>0</v>
      </c>
      <c r="CI229" s="4591"/>
      <c r="CJ229" s="4591"/>
      <c r="CK229" s="1102">
        <f>IF(CI229=0,0,(CJ229-CI229)/CI229*100)</f>
        <v>0</v>
      </c>
      <c r="CL229" s="4591"/>
      <c r="CM229" s="4591"/>
      <c r="CN229" s="1102">
        <f>IF(CL229=0,0,(CM229-CL229)/CL229*100)</f>
        <v>0</v>
      </c>
      <c r="CO229" s="4591"/>
      <c r="CP229" s="4591"/>
      <c r="CQ229" s="1102">
        <f>IF(CO229=0,0,(CP229-CO229)/CO229*100)</f>
        <v>0</v>
      </c>
      <c r="CR229" s="4591"/>
      <c r="CS229" s="4591"/>
      <c r="CT229" s="1102">
        <f>IF(CR229=0,0,(CS229-CR229)/CR229*100)</f>
        <v>0</v>
      </c>
      <c r="CU229" s="4591"/>
      <c r="CV229" s="4591"/>
      <c r="CW229" s="1102">
        <f>IF(CU229=0,0,(CV229-CU229)/CU229*100)</f>
        <v>0</v>
      </c>
      <c r="CX229" s="4591"/>
      <c r="CY229" s="4591"/>
      <c r="CZ229" s="1102">
        <f>IF(CX229=0,0,(CY229-CX229)/CX229*100)</f>
        <v>0</v>
      </c>
      <c r="DA229" s="4591"/>
      <c r="DB229" s="4591"/>
      <c r="DC229" s="1102">
        <f>IF(DA229=0,0,(DB229-DA229)/DA229*100)</f>
        <v>0</v>
      </c>
      <c r="DD229" s="4591"/>
      <c r="DE229" s="4591"/>
      <c r="DF229" s="1102">
        <f>IF(DD229=0,0,(DE229-DD229)/DD229*100)</f>
        <v>0</v>
      </c>
      <c r="DG229" s="4591"/>
      <c r="DH229" s="4591"/>
      <c r="DI229" s="1102">
        <f>IF(DG229=0,0,(DH229-DG229)/DG229*100)</f>
        <v>0</v>
      </c>
      <c r="DJ229" s="4591"/>
      <c r="DK229" s="4591"/>
      <c r="DL229" s="1102">
        <f>IF(DJ229=0,0,(DK229-DJ229)/DJ229*100)</f>
        <v>0</v>
      </c>
      <c r="DM229" s="4591"/>
      <c r="DN229" s="4591"/>
      <c r="DO229" s="1102">
        <f>IF(DM229=0,0,(DN229-DM229)/DM229*100)</f>
        <v>0</v>
      </c>
      <c r="DP229" s="4591"/>
      <c r="DQ229" s="4591"/>
      <c r="DR229" s="1102">
        <f>IF(DP229=0,0,(DQ229-DP229)/DP229*100)</f>
        <v>0</v>
      </c>
      <c r="DS229" s="4591"/>
      <c r="DT229" s="4591"/>
      <c r="DU229" s="1102">
        <f>IF(DS229=0,0,(DT229-DS229)/DS229*100)</f>
        <v>0</v>
      </c>
      <c r="DV229" s="4591"/>
      <c r="DW229" s="4591"/>
      <c r="DX229" s="1102">
        <f>IF(DV229=0,0,(DW229-DV229)/DV229*100)</f>
        <v>0</v>
      </c>
      <c r="DY229" s="4591"/>
      <c r="DZ229" s="4591"/>
      <c r="EA229" s="1102">
        <f>IF(DY229=0,0,(DZ229-DY229)/DY229*100)</f>
        <v>0</v>
      </c>
      <c r="EB229" s="4591"/>
      <c r="EC229" s="4591"/>
      <c r="ED229" s="1102">
        <f>IF(EB229=0,0,(EC229-EB229)/EB229*100)</f>
        <v>0</v>
      </c>
      <c r="EE229" s="4591"/>
      <c r="EF229" s="4591"/>
      <c r="EG229" s="1102">
        <f>IF(EE229=0,0,(EF229-EE229)/EE229*100)</f>
        <v>0</v>
      </c>
      <c r="EH229" s="4591"/>
      <c r="EI229" s="4591"/>
      <c r="EJ229" s="1102">
        <f>IF(EH229=0,0,(EI229-EH229)/EH229*100)</f>
        <v>0</v>
      </c>
      <c r="EK229" s="4591"/>
      <c r="EL229" s="4591"/>
      <c r="EM229" s="1102">
        <f>IF(EK229=0,0,(EL229-EK229)/EK229*100)</f>
        <v>0</v>
      </c>
      <c r="EN229" s="4591"/>
      <c r="EO229" s="4591"/>
      <c r="EP229" s="1102">
        <f>IF(EN229=0,0,(EO229-EN229)/EN229*100)</f>
        <v>0</v>
      </c>
      <c r="EQ229" s="4591"/>
      <c r="ER229" s="4591"/>
      <c r="ES229" s="1102">
        <f>IF(EQ229=0,0,(ER229-EQ229)/EQ229*100)</f>
        <v>0</v>
      </c>
      <c r="ET229" s="4591"/>
      <c r="EU229" s="4591"/>
      <c r="EV229" s="1102">
        <f>IF(ET229=0,0,(EU229-ET229)/ET229*100)</f>
        <v>0</v>
      </c>
      <c r="EW229" s="4591"/>
      <c r="EX229" s="4591"/>
      <c r="EY229" s="1102">
        <f>IF(EW229=0,0,(EX229-EW229)/EW229*100)</f>
        <v>0</v>
      </c>
      <c r="EZ229" s="4591"/>
      <c r="FA229" s="4591"/>
      <c r="FB229" s="1102">
        <f>IF(EZ229=0,0,(FA229-EZ229)/EZ229*100)</f>
        <v>0</v>
      </c>
      <c r="FC229" s="4591"/>
      <c r="FD229" s="4591"/>
      <c r="FE229" s="1102">
        <f>IF(FC229=0,0,(FD229-FC229)/FC229*100)</f>
        <v>0</v>
      </c>
      <c r="FF229" s="4591"/>
      <c r="FG229" s="4591"/>
      <c r="FH229" s="1102">
        <f>IF(FF229=0,0,(FG229-FF229)/FF229*100)</f>
        <v>0</v>
      </c>
      <c r="FI229" s="4591"/>
      <c r="FJ229" s="4591"/>
      <c r="FK229" s="1102">
        <f>IF(FI229=0,0,(FJ229-FI229)/FI229*100)</f>
        <v>0</v>
      </c>
      <c r="FL229" s="4591"/>
      <c r="FM229" s="4591"/>
      <c r="FN229" s="1102">
        <f>IF(FL229=0,0,(FM229-FL229)/FL229*100)</f>
        <v>0</v>
      </c>
      <c r="FO229" s="4591"/>
      <c r="FP229" s="4591"/>
      <c r="FQ229" s="1102">
        <f>IF(FO229=0,0,(FP229-FO229)/FO229*100)</f>
        <v>0</v>
      </c>
      <c r="FR229" s="4591"/>
      <c r="FS229" s="4591"/>
      <c r="FT229" s="1102">
        <f>IF(FR229=0,0,(FS229-FR229)/FR229*100)</f>
        <v>0</v>
      </c>
      <c r="FU229" s="4591"/>
      <c r="FV229" s="4591"/>
      <c r="FW229" s="1102">
        <f>IF(FU229=0,0,(FV229-FU229)/FU229*100)</f>
        <v>0</v>
      </c>
      <c r="FZ229" s="1330" t="s">
        <v>1935</v>
      </c>
      <c r="GA229" s="1330" t="s">
        <v>993</v>
      </c>
      <c r="GB229" s="1330" cm="1" t="str">
        <f t="array" ref="GB229:GB229">GB228</f>
        <v>0</v>
      </c>
    </row>
    <row customHeight="1" ht="18.525" hidden="1">
      <c r="A230" s="496"/>
      <c r="B230" s="932" cm="1" t="str">
        <f t="array" ref="B230:B230">B229</f>
        <v>false</v>
      </c>
      <c r="C230" s="496"/>
      <c r="D230" s="496"/>
      <c r="E230" s="847">
        <v>19</v>
      </c>
      <c r="F230" s="50" cm="1" t="str">
        <f t="array" ref="F230:F230">OFFSET(E230,-1,1)</f>
        <v>2</v>
      </c>
      <c r="G230" s="496"/>
      <c r="H230" s="496"/>
      <c r="I230" s="496"/>
      <c r="J230" s="496"/>
      <c r="K230" s="496"/>
      <c r="L230" s="496"/>
      <c r="M230" s="496"/>
      <c r="N230" s="496"/>
      <c r="O230" s="496"/>
      <c r="P230" s="496"/>
      <c r="Q230" s="496"/>
      <c r="R230" s="496"/>
      <c r="S230" s="496"/>
      <c r="T230" s="468" cm="1" t="str">
        <f t="array" ref="T230:T230">T229</f>
        <v>false</v>
      </c>
      <c r="U230" s="496"/>
      <c r="V230" s="496"/>
      <c r="W230" s="496"/>
      <c r="X230" s="1559"/>
      <c r="Y230" s="1559"/>
      <c r="Z230" s="1528"/>
      <c r="AA230" s="1516"/>
      <c r="AB230" s="911" t="str">
        <f>"объём "&amp;IF(Q185="Водоснабжение","потребления холодной воды","водоотведения")</f>
        <v>объём водоотведения</v>
      </c>
      <c r="AC230" s="871" t="s">
        <v>657</v>
      </c>
      <c r="AD230" s="4585"/>
      <c r="AE230" s="4585"/>
      <c r="AF230" s="1104">
        <f>IF(AD230=0,0,(AE230-AD230)/AD230*100)</f>
        <v>0</v>
      </c>
      <c r="AG230" s="4585"/>
      <c r="AH230" s="4585"/>
      <c r="AI230" s="1104">
        <f>IF(AG230=0,0,(AH230-AG230)/AG230*100)</f>
        <v>0</v>
      </c>
      <c r="AJ230" s="4585"/>
      <c r="AK230" s="4585"/>
      <c r="AL230" s="1104">
        <f>IF(AJ230=0,0,(AK230-AJ230)/AJ230*100)</f>
        <v>0</v>
      </c>
      <c r="AM230" s="4585"/>
      <c r="AN230" s="4585"/>
      <c r="AO230" s="1104">
        <f>IF(AM230=0,0,(AN230-AM230)/AM230*100)</f>
        <v>0</v>
      </c>
      <c r="AP230" s="4585"/>
      <c r="AQ230" s="4585"/>
      <c r="AR230" s="1104">
        <f>IF(AP230=0,0,(AQ230-AP230)/AP230*100)</f>
        <v>0</v>
      </c>
      <c r="AS230" s="4585"/>
      <c r="AT230" s="4585"/>
      <c r="AU230" s="1104">
        <f>IF(AS230=0,0,(AT230-AS230)/AS230*100)</f>
        <v>0</v>
      </c>
      <c r="AV230" s="4585"/>
      <c r="AW230" s="4585"/>
      <c r="AX230" s="1104">
        <f>IF(AV230=0,0,(AW230-AV230)/AV230*100)</f>
        <v>0</v>
      </c>
      <c r="AY230" s="4585"/>
      <c r="AZ230" s="4585"/>
      <c r="BA230" s="1104">
        <f>IF(AY230=0,0,(AZ230-AY230)/AY230*100)</f>
        <v>0</v>
      </c>
      <c r="BB230" s="4585"/>
      <c r="BC230" s="4585"/>
      <c r="BD230" s="1104">
        <f>IF(BB230=0,0,(BC230-BB230)/BB230*100)</f>
        <v>0</v>
      </c>
      <c r="BE230" s="4585"/>
      <c r="BF230" s="4585"/>
      <c r="BG230" s="1104">
        <f>IF(BE230=0,0,(BF230-BE230)/BE230*100)</f>
        <v>0</v>
      </c>
      <c r="BH230" s="4585"/>
      <c r="BI230" s="4585"/>
      <c r="BJ230" s="1104">
        <f>IF(BH230=0,0,(BI230-BH230)/BH230*100)</f>
        <v>0</v>
      </c>
      <c r="BK230" s="4585"/>
      <c r="BL230" s="4585"/>
      <c r="BM230" s="1104">
        <f>IF(BK230=0,0,(BL230-BK230)/BK230*100)</f>
        <v>0</v>
      </c>
      <c r="BN230" s="4585"/>
      <c r="BO230" s="4585"/>
      <c r="BP230" s="1104">
        <f>IF(BN230=0,0,(BO230-BN230)/BN230*100)</f>
        <v>0</v>
      </c>
      <c r="BQ230" s="4585"/>
      <c r="BR230" s="4585"/>
      <c r="BS230" s="1104">
        <f>IF(BQ230=0,0,(BR230-BQ230)/BQ230*100)</f>
        <v>0</v>
      </c>
      <c r="BT230" s="4585"/>
      <c r="BU230" s="4585"/>
      <c r="BV230" s="1104">
        <f>IF(BT230=0,0,(BU230-BT230)/BT230*100)</f>
        <v>0</v>
      </c>
      <c r="BW230" s="4585"/>
      <c r="BX230" s="4585"/>
      <c r="BY230" s="1104">
        <f>IF(BW230=0,0,(BX230-BW230)/BW230*100)</f>
        <v>0</v>
      </c>
      <c r="BZ230" s="4585"/>
      <c r="CA230" s="4585"/>
      <c r="CB230" s="1104">
        <f>IF(BZ230=0,0,(CA230-BZ230)/BZ230*100)</f>
        <v>0</v>
      </c>
      <c r="CC230" s="4585"/>
      <c r="CD230" s="4585"/>
      <c r="CE230" s="1104">
        <f>IF(CC230=0,0,(CD230-CC230)/CC230*100)</f>
        <v>0</v>
      </c>
      <c r="CF230" s="4585"/>
      <c r="CG230" s="4585"/>
      <c r="CH230" s="1104">
        <f>IF(CF230=0,0,(CG230-CF230)/CF230*100)</f>
        <v>0</v>
      </c>
      <c r="CI230" s="4585"/>
      <c r="CJ230" s="4585"/>
      <c r="CK230" s="1104">
        <f>IF(CI230=0,0,(CJ230-CI230)/CI230*100)</f>
        <v>0</v>
      </c>
      <c r="CL230" s="4585"/>
      <c r="CM230" s="4585"/>
      <c r="CN230" s="1104">
        <f>IF(CL230=0,0,(CM230-CL230)/CL230*100)</f>
        <v>0</v>
      </c>
      <c r="CO230" s="4585"/>
      <c r="CP230" s="4585"/>
      <c r="CQ230" s="1104">
        <f>IF(CO230=0,0,(CP230-CO230)/CO230*100)</f>
        <v>0</v>
      </c>
      <c r="CR230" s="4585"/>
      <c r="CS230" s="4585"/>
      <c r="CT230" s="1104">
        <f>IF(CR230=0,0,(CS230-CR230)/CR230*100)</f>
        <v>0</v>
      </c>
      <c r="CU230" s="4585"/>
      <c r="CV230" s="4585"/>
      <c r="CW230" s="1104">
        <f>IF(CU230=0,0,(CV230-CU230)/CU230*100)</f>
        <v>0</v>
      </c>
      <c r="CX230" s="4585"/>
      <c r="CY230" s="4585"/>
      <c r="CZ230" s="1104">
        <f>IF(CX230=0,0,(CY230-CX230)/CX230*100)</f>
        <v>0</v>
      </c>
      <c r="DA230" s="4585"/>
      <c r="DB230" s="4585"/>
      <c r="DC230" s="1104">
        <f>IF(DA230=0,0,(DB230-DA230)/DA230*100)</f>
        <v>0</v>
      </c>
      <c r="DD230" s="4585"/>
      <c r="DE230" s="4585"/>
      <c r="DF230" s="1104">
        <f>IF(DD230=0,0,(DE230-DD230)/DD230*100)</f>
        <v>0</v>
      </c>
      <c r="DG230" s="4585"/>
      <c r="DH230" s="4585"/>
      <c r="DI230" s="1104">
        <f>IF(DG230=0,0,(DH230-DG230)/DG230*100)</f>
        <v>0</v>
      </c>
      <c r="DJ230" s="4585"/>
      <c r="DK230" s="4585"/>
      <c r="DL230" s="1104">
        <f>IF(DJ230=0,0,(DK230-DJ230)/DJ230*100)</f>
        <v>0</v>
      </c>
      <c r="DM230" s="4585"/>
      <c r="DN230" s="4585"/>
      <c r="DO230" s="1104">
        <f>IF(DM230=0,0,(DN230-DM230)/DM230*100)</f>
        <v>0</v>
      </c>
      <c r="DP230" s="4585"/>
      <c r="DQ230" s="4585"/>
      <c r="DR230" s="1104">
        <f>IF(DP230=0,0,(DQ230-DP230)/DP230*100)</f>
        <v>0</v>
      </c>
      <c r="DS230" s="4585"/>
      <c r="DT230" s="4585"/>
      <c r="DU230" s="1104">
        <f>IF(DS230=0,0,(DT230-DS230)/DS230*100)</f>
        <v>0</v>
      </c>
      <c r="DV230" s="4585"/>
      <c r="DW230" s="4585"/>
      <c r="DX230" s="1104">
        <f>IF(DV230=0,0,(DW230-DV230)/DV230*100)</f>
        <v>0</v>
      </c>
      <c r="DY230" s="4585"/>
      <c r="DZ230" s="4585"/>
      <c r="EA230" s="1104">
        <f>IF(DY230=0,0,(DZ230-DY230)/DY230*100)</f>
        <v>0</v>
      </c>
      <c r="EB230" s="4585"/>
      <c r="EC230" s="4585"/>
      <c r="ED230" s="1104">
        <f>IF(EB230=0,0,(EC230-EB230)/EB230*100)</f>
        <v>0</v>
      </c>
      <c r="EE230" s="4585"/>
      <c r="EF230" s="4585"/>
      <c r="EG230" s="1104">
        <f>IF(EE230=0,0,(EF230-EE230)/EE230*100)</f>
        <v>0</v>
      </c>
      <c r="EH230" s="4585"/>
      <c r="EI230" s="4585"/>
      <c r="EJ230" s="1104">
        <f>IF(EH230=0,0,(EI230-EH230)/EH230*100)</f>
        <v>0</v>
      </c>
      <c r="EK230" s="4585"/>
      <c r="EL230" s="4585"/>
      <c r="EM230" s="1104">
        <f>IF(EK230=0,0,(EL230-EK230)/EK230*100)</f>
        <v>0</v>
      </c>
      <c r="EN230" s="4585"/>
      <c r="EO230" s="4585"/>
      <c r="EP230" s="1104">
        <f>IF(EN230=0,0,(EO230-EN230)/EN230*100)</f>
        <v>0</v>
      </c>
      <c r="EQ230" s="4585"/>
      <c r="ER230" s="4585"/>
      <c r="ES230" s="1104">
        <f>IF(EQ230=0,0,(ER230-EQ230)/EQ230*100)</f>
        <v>0</v>
      </c>
      <c r="ET230" s="4585"/>
      <c r="EU230" s="4585"/>
      <c r="EV230" s="1104">
        <f>IF(ET230=0,0,(EU230-ET230)/ET230*100)</f>
        <v>0</v>
      </c>
      <c r="EW230" s="4585"/>
      <c r="EX230" s="4585"/>
      <c r="EY230" s="1104">
        <f>IF(EW230=0,0,(EX230-EW230)/EW230*100)</f>
        <v>0</v>
      </c>
      <c r="EZ230" s="4585"/>
      <c r="FA230" s="4585"/>
      <c r="FB230" s="1104">
        <f>IF(EZ230=0,0,(FA230-EZ230)/EZ230*100)</f>
        <v>0</v>
      </c>
      <c r="FC230" s="4585"/>
      <c r="FD230" s="4585"/>
      <c r="FE230" s="1104">
        <f>IF(FC230=0,0,(FD230-FC230)/FC230*100)</f>
        <v>0</v>
      </c>
      <c r="FF230" s="4585"/>
      <c r="FG230" s="4585"/>
      <c r="FH230" s="1104">
        <f>IF(FF230=0,0,(FG230-FF230)/FF230*100)</f>
        <v>0</v>
      </c>
      <c r="FI230" s="4585"/>
      <c r="FJ230" s="4585"/>
      <c r="FK230" s="1104">
        <f>IF(FI230=0,0,(FJ230-FI230)/FI230*100)</f>
        <v>0</v>
      </c>
      <c r="FL230" s="4585"/>
      <c r="FM230" s="4585"/>
      <c r="FN230" s="1104">
        <f>IF(FL230=0,0,(FM230-FL230)/FL230*100)</f>
        <v>0</v>
      </c>
      <c r="FO230" s="4585"/>
      <c r="FP230" s="4585"/>
      <c r="FQ230" s="1104">
        <f>IF(FO230=0,0,(FP230-FO230)/FO230*100)</f>
        <v>0</v>
      </c>
      <c r="FR230" s="4585"/>
      <c r="FS230" s="4585"/>
      <c r="FT230" s="1104">
        <f>IF(FR230=0,0,(FS230-FR230)/FR230*100)</f>
        <v>0</v>
      </c>
      <c r="FU230" s="4585"/>
      <c r="FV230" s="4585"/>
      <c r="FW230" s="1104">
        <f>IF(FU230=0,0,(FV230-FU230)/FU230*100)</f>
        <v>0</v>
      </c>
      <c r="FZ230" s="1330" t="s">
        <v>1936</v>
      </c>
      <c r="GA230" s="1330" t="s">
        <v>993</v>
      </c>
      <c r="GB230" s="1330" cm="1" t="str">
        <f t="array" ref="GB230:GB230">GB229</f>
        <v>0</v>
      </c>
    </row>
    <row customHeight="1" ht="24.75" hidden="1">
      <c r="A231" s="496"/>
      <c r="B231" s="932" cm="1" t="str">
        <f t="array" ref="B231:B231">B230</f>
        <v>false</v>
      </c>
      <c r="C231" s="496"/>
      <c r="D231" s="496"/>
      <c r="E231" s="847">
        <v>19</v>
      </c>
      <c r="F231" s="50" cm="1" t="str">
        <f t="array" ref="F231:F231">OFFSET(E231,-1,1)</f>
        <v>2</v>
      </c>
      <c r="G231" s="496"/>
      <c r="H231" s="496"/>
      <c r="I231" s="496"/>
      <c r="J231" s="496"/>
      <c r="K231" s="496"/>
      <c r="L231" s="496"/>
      <c r="M231" s="496"/>
      <c r="N231" s="496"/>
      <c r="O231" s="496"/>
      <c r="P231" s="496"/>
      <c r="Q231" s="496"/>
      <c r="R231" s="496"/>
      <c r="S231" s="496"/>
      <c r="T231" s="468" cm="1" t="str">
        <f t="array" ref="T231:T231">T230</f>
        <v>false</v>
      </c>
      <c r="U231" s="496"/>
      <c r="V231" s="496"/>
      <c r="W231" s="496"/>
      <c r="X231" s="1559"/>
      <c r="Y231" s="1559"/>
      <c r="Z231" s="1528"/>
      <c r="AA231" s="1516"/>
      <c r="AB231" s="911" t="str">
        <f>"ставка платы за содержание системы "&amp;IF(Q185="Водоснабжение","холодного водоснабжения","водоотведения")</f>
        <v>ставка платы за содержание системы водоотведения</v>
      </c>
      <c r="AC231" s="871" t="s">
        <v>1902</v>
      </c>
      <c r="AD231" s="4591"/>
      <c r="AE231" s="4591"/>
      <c r="AF231" s="1102">
        <f>IF(AD231=0,0,(AE231-AD231)/AD231*100)</f>
        <v>0</v>
      </c>
      <c r="AG231" s="4591"/>
      <c r="AH231" s="4591"/>
      <c r="AI231" s="1102">
        <f>IF(AG231=0,0,(AH231-AG231)/AG231*100)</f>
        <v>0</v>
      </c>
      <c r="AJ231" s="4591"/>
      <c r="AK231" s="4591"/>
      <c r="AL231" s="1102">
        <f>IF(AJ231=0,0,(AK231-AJ231)/AJ231*100)</f>
        <v>0</v>
      </c>
      <c r="AM231" s="4591"/>
      <c r="AN231" s="4591"/>
      <c r="AO231" s="1102">
        <f>IF(AM231=0,0,(AN231-AM231)/AM231*100)</f>
        <v>0</v>
      </c>
      <c r="AP231" s="4591"/>
      <c r="AQ231" s="4591"/>
      <c r="AR231" s="1102">
        <f>IF(AP231=0,0,(AQ231-AP231)/AP231*100)</f>
        <v>0</v>
      </c>
      <c r="AS231" s="4591"/>
      <c r="AT231" s="4591"/>
      <c r="AU231" s="1102">
        <f>IF(AS231=0,0,(AT231-AS231)/AS231*100)</f>
        <v>0</v>
      </c>
      <c r="AV231" s="4591"/>
      <c r="AW231" s="4591"/>
      <c r="AX231" s="1102">
        <f>IF(AV231=0,0,(AW231-AV231)/AV231*100)</f>
        <v>0</v>
      </c>
      <c r="AY231" s="4591"/>
      <c r="AZ231" s="4591"/>
      <c r="BA231" s="1102">
        <f>IF(AY231=0,0,(AZ231-AY231)/AY231*100)</f>
        <v>0</v>
      </c>
      <c r="BB231" s="4591"/>
      <c r="BC231" s="4591"/>
      <c r="BD231" s="1102">
        <f>IF(BB231=0,0,(BC231-BB231)/BB231*100)</f>
        <v>0</v>
      </c>
      <c r="BE231" s="4591"/>
      <c r="BF231" s="4591"/>
      <c r="BG231" s="1102">
        <f>IF(BE231=0,0,(BF231-BE231)/BE231*100)</f>
        <v>0</v>
      </c>
      <c r="BH231" s="4591"/>
      <c r="BI231" s="4591"/>
      <c r="BJ231" s="1102">
        <f>IF(BH231=0,0,(BI231-BH231)/BH231*100)</f>
        <v>0</v>
      </c>
      <c r="BK231" s="4591"/>
      <c r="BL231" s="4591"/>
      <c r="BM231" s="1102">
        <f>IF(BK231=0,0,(BL231-BK231)/BK231*100)</f>
        <v>0</v>
      </c>
      <c r="BN231" s="4591"/>
      <c r="BO231" s="4591"/>
      <c r="BP231" s="1102">
        <f>IF(BN231=0,0,(BO231-BN231)/BN231*100)</f>
        <v>0</v>
      </c>
      <c r="BQ231" s="4591"/>
      <c r="BR231" s="4591"/>
      <c r="BS231" s="1102">
        <f>IF(BQ231=0,0,(BR231-BQ231)/BQ231*100)</f>
        <v>0</v>
      </c>
      <c r="BT231" s="4591"/>
      <c r="BU231" s="4591"/>
      <c r="BV231" s="1102">
        <f>IF(BT231=0,0,(BU231-BT231)/BT231*100)</f>
        <v>0</v>
      </c>
      <c r="BW231" s="4591"/>
      <c r="BX231" s="4591"/>
      <c r="BY231" s="1102">
        <f>IF(BW231=0,0,(BX231-BW231)/BW231*100)</f>
        <v>0</v>
      </c>
      <c r="BZ231" s="4591"/>
      <c r="CA231" s="4591"/>
      <c r="CB231" s="1102">
        <f>IF(BZ231=0,0,(CA231-BZ231)/BZ231*100)</f>
        <v>0</v>
      </c>
      <c r="CC231" s="4591"/>
      <c r="CD231" s="4591"/>
      <c r="CE231" s="1102">
        <f>IF(CC231=0,0,(CD231-CC231)/CC231*100)</f>
        <v>0</v>
      </c>
      <c r="CF231" s="4591"/>
      <c r="CG231" s="4591"/>
      <c r="CH231" s="1102">
        <f>IF(CF231=0,0,(CG231-CF231)/CF231*100)</f>
        <v>0</v>
      </c>
      <c r="CI231" s="4591"/>
      <c r="CJ231" s="4591"/>
      <c r="CK231" s="1102">
        <f>IF(CI231=0,0,(CJ231-CI231)/CI231*100)</f>
        <v>0</v>
      </c>
      <c r="CL231" s="4591"/>
      <c r="CM231" s="4591"/>
      <c r="CN231" s="1102">
        <f>IF(CL231=0,0,(CM231-CL231)/CL231*100)</f>
        <v>0</v>
      </c>
      <c r="CO231" s="4591"/>
      <c r="CP231" s="4591"/>
      <c r="CQ231" s="1102">
        <f>IF(CO231=0,0,(CP231-CO231)/CO231*100)</f>
        <v>0</v>
      </c>
      <c r="CR231" s="4591"/>
      <c r="CS231" s="4591"/>
      <c r="CT231" s="1102">
        <f>IF(CR231=0,0,(CS231-CR231)/CR231*100)</f>
        <v>0</v>
      </c>
      <c r="CU231" s="4591"/>
      <c r="CV231" s="4591"/>
      <c r="CW231" s="1102">
        <f>IF(CU231=0,0,(CV231-CU231)/CU231*100)</f>
        <v>0</v>
      </c>
      <c r="CX231" s="4591"/>
      <c r="CY231" s="4591"/>
      <c r="CZ231" s="1102">
        <f>IF(CX231=0,0,(CY231-CX231)/CX231*100)</f>
        <v>0</v>
      </c>
      <c r="DA231" s="4591"/>
      <c r="DB231" s="4591"/>
      <c r="DC231" s="1102">
        <f>IF(DA231=0,0,(DB231-DA231)/DA231*100)</f>
        <v>0</v>
      </c>
      <c r="DD231" s="4591"/>
      <c r="DE231" s="4591"/>
      <c r="DF231" s="1102">
        <f>IF(DD231=0,0,(DE231-DD231)/DD231*100)</f>
        <v>0</v>
      </c>
      <c r="DG231" s="4591"/>
      <c r="DH231" s="4591"/>
      <c r="DI231" s="1102">
        <f>IF(DG231=0,0,(DH231-DG231)/DG231*100)</f>
        <v>0</v>
      </c>
      <c r="DJ231" s="4591"/>
      <c r="DK231" s="4591"/>
      <c r="DL231" s="1102">
        <f>IF(DJ231=0,0,(DK231-DJ231)/DJ231*100)</f>
        <v>0</v>
      </c>
      <c r="DM231" s="4591"/>
      <c r="DN231" s="4591"/>
      <c r="DO231" s="1102">
        <f>IF(DM231=0,0,(DN231-DM231)/DM231*100)</f>
        <v>0</v>
      </c>
      <c r="DP231" s="4591"/>
      <c r="DQ231" s="4591"/>
      <c r="DR231" s="1102">
        <f>IF(DP231=0,0,(DQ231-DP231)/DP231*100)</f>
        <v>0</v>
      </c>
      <c r="DS231" s="4591"/>
      <c r="DT231" s="4591"/>
      <c r="DU231" s="1102">
        <f>IF(DS231=0,0,(DT231-DS231)/DS231*100)</f>
        <v>0</v>
      </c>
      <c r="DV231" s="4591"/>
      <c r="DW231" s="4591"/>
      <c r="DX231" s="1102">
        <f>IF(DV231=0,0,(DW231-DV231)/DV231*100)</f>
        <v>0</v>
      </c>
      <c r="DY231" s="4591"/>
      <c r="DZ231" s="4591"/>
      <c r="EA231" s="1102">
        <f>IF(DY231=0,0,(DZ231-DY231)/DY231*100)</f>
        <v>0</v>
      </c>
      <c r="EB231" s="4591"/>
      <c r="EC231" s="4591"/>
      <c r="ED231" s="1102">
        <f>IF(EB231=0,0,(EC231-EB231)/EB231*100)</f>
        <v>0</v>
      </c>
      <c r="EE231" s="4591"/>
      <c r="EF231" s="4591"/>
      <c r="EG231" s="1102">
        <f>IF(EE231=0,0,(EF231-EE231)/EE231*100)</f>
        <v>0</v>
      </c>
      <c r="EH231" s="4591"/>
      <c r="EI231" s="4591"/>
      <c r="EJ231" s="1102">
        <f>IF(EH231=0,0,(EI231-EH231)/EH231*100)</f>
        <v>0</v>
      </c>
      <c r="EK231" s="4591"/>
      <c r="EL231" s="4591"/>
      <c r="EM231" s="1102">
        <f>IF(EK231=0,0,(EL231-EK231)/EK231*100)</f>
        <v>0</v>
      </c>
      <c r="EN231" s="4591"/>
      <c r="EO231" s="4591"/>
      <c r="EP231" s="1102">
        <f>IF(EN231=0,0,(EO231-EN231)/EN231*100)</f>
        <v>0</v>
      </c>
      <c r="EQ231" s="4591"/>
      <c r="ER231" s="4591"/>
      <c r="ES231" s="1102">
        <f>IF(EQ231=0,0,(ER231-EQ231)/EQ231*100)</f>
        <v>0</v>
      </c>
      <c r="ET231" s="4591"/>
      <c r="EU231" s="4591"/>
      <c r="EV231" s="1102">
        <f>IF(ET231=0,0,(EU231-ET231)/ET231*100)</f>
        <v>0</v>
      </c>
      <c r="EW231" s="4591"/>
      <c r="EX231" s="4591"/>
      <c r="EY231" s="1102">
        <f>IF(EW231=0,0,(EX231-EW231)/EW231*100)</f>
        <v>0</v>
      </c>
      <c r="EZ231" s="4591"/>
      <c r="FA231" s="4591"/>
      <c r="FB231" s="1102">
        <f>IF(EZ231=0,0,(FA231-EZ231)/EZ231*100)</f>
        <v>0</v>
      </c>
      <c r="FC231" s="4591"/>
      <c r="FD231" s="4591"/>
      <c r="FE231" s="1102">
        <f>IF(FC231=0,0,(FD231-FC231)/FC231*100)</f>
        <v>0</v>
      </c>
      <c r="FF231" s="4591"/>
      <c r="FG231" s="4591"/>
      <c r="FH231" s="1102">
        <f>IF(FF231=0,0,(FG231-FF231)/FF231*100)</f>
        <v>0</v>
      </c>
      <c r="FI231" s="4591"/>
      <c r="FJ231" s="4591"/>
      <c r="FK231" s="1102">
        <f>IF(FI231=0,0,(FJ231-FI231)/FI231*100)</f>
        <v>0</v>
      </c>
      <c r="FL231" s="4591"/>
      <c r="FM231" s="4591"/>
      <c r="FN231" s="1102">
        <f>IF(FL231=0,0,(FM231-FL231)/FL231*100)</f>
        <v>0</v>
      </c>
      <c r="FO231" s="4591"/>
      <c r="FP231" s="4591"/>
      <c r="FQ231" s="1102">
        <f>IF(FO231=0,0,(FP231-FO231)/FO231*100)</f>
        <v>0</v>
      </c>
      <c r="FR231" s="4591"/>
      <c r="FS231" s="4591"/>
      <c r="FT231" s="1102">
        <f>IF(FR231=0,0,(FS231-FR231)/FR231*100)</f>
        <v>0</v>
      </c>
      <c r="FU231" s="4591"/>
      <c r="FV231" s="4591"/>
      <c r="FW231" s="1102">
        <f>IF(FU231=0,0,(FV231-FU231)/FU231*100)</f>
        <v>0</v>
      </c>
      <c r="FZ231" s="1330" t="s">
        <v>1937</v>
      </c>
      <c r="GA231" s="1330" t="s">
        <v>993</v>
      </c>
      <c r="GB231" s="1330" cm="1" t="str">
        <f t="array" ref="GB231:GB231">GB230</f>
        <v>0</v>
      </c>
    </row>
    <row customHeight="1" ht="18.525" hidden="1">
      <c r="A232" s="496"/>
      <c r="B232" s="932" cm="1" t="str">
        <f t="array" ref="B232:B232">B231</f>
        <v>false</v>
      </c>
      <c r="C232" s="496"/>
      <c r="D232" s="496"/>
      <c r="E232" s="847">
        <v>19</v>
      </c>
      <c r="F232" s="50" cm="1" t="str">
        <f t="array" ref="F232:F232">OFFSET(E232,-1,1)</f>
        <v>2</v>
      </c>
      <c r="G232" s="496"/>
      <c r="H232" s="496"/>
      <c r="I232" s="496"/>
      <c r="J232" s="496"/>
      <c r="K232" s="496"/>
      <c r="L232" s="496"/>
      <c r="M232" s="496"/>
      <c r="N232" s="496"/>
      <c r="O232" s="496"/>
      <c r="P232" s="496"/>
      <c r="Q232" s="496"/>
      <c r="R232" s="496"/>
      <c r="S232" s="496"/>
      <c r="T232" s="468" cm="1" t="str">
        <f t="array" ref="T232:T232">T231</f>
        <v>false</v>
      </c>
      <c r="U232" s="496"/>
      <c r="V232" s="496"/>
      <c r="W232" s="496"/>
      <c r="X232" s="1559"/>
      <c r="Y232" s="1559"/>
      <c r="Z232" s="1528"/>
      <c r="AA232" s="1516"/>
      <c r="AB232" s="911" t="s">
        <v>1905</v>
      </c>
      <c r="AC232" s="871" t="s">
        <v>1906</v>
      </c>
      <c r="AD232" s="4591"/>
      <c r="AE232" s="4591"/>
      <c r="AF232" s="1102">
        <f>IF(AD232=0,0,(AE232-AD232)/AD232*100)</f>
        <v>0</v>
      </c>
      <c r="AG232" s="4591"/>
      <c r="AH232" s="4591"/>
      <c r="AI232" s="1102">
        <f>IF(AG232=0,0,(AH232-AG232)/AG232*100)</f>
        <v>0</v>
      </c>
      <c r="AJ232" s="4591"/>
      <c r="AK232" s="4591"/>
      <c r="AL232" s="1102">
        <f>IF(AJ232=0,0,(AK232-AJ232)/AJ232*100)</f>
        <v>0</v>
      </c>
      <c r="AM232" s="4591"/>
      <c r="AN232" s="4591"/>
      <c r="AO232" s="1102">
        <f>IF(AM232=0,0,(AN232-AM232)/AM232*100)</f>
        <v>0</v>
      </c>
      <c r="AP232" s="4591"/>
      <c r="AQ232" s="4591"/>
      <c r="AR232" s="1102">
        <f>IF(AP232=0,0,(AQ232-AP232)/AP232*100)</f>
        <v>0</v>
      </c>
      <c r="AS232" s="4591"/>
      <c r="AT232" s="4591"/>
      <c r="AU232" s="1102">
        <f>IF(AS232=0,0,(AT232-AS232)/AS232*100)</f>
        <v>0</v>
      </c>
      <c r="AV232" s="4591"/>
      <c r="AW232" s="4591"/>
      <c r="AX232" s="1102">
        <f>IF(AV232=0,0,(AW232-AV232)/AV232*100)</f>
        <v>0</v>
      </c>
      <c r="AY232" s="4591"/>
      <c r="AZ232" s="4591"/>
      <c r="BA232" s="1102">
        <f>IF(AY232=0,0,(AZ232-AY232)/AY232*100)</f>
        <v>0</v>
      </c>
      <c r="BB232" s="4591"/>
      <c r="BC232" s="4591"/>
      <c r="BD232" s="1102">
        <f>IF(BB232=0,0,(BC232-BB232)/BB232*100)</f>
        <v>0</v>
      </c>
      <c r="BE232" s="4591"/>
      <c r="BF232" s="4591"/>
      <c r="BG232" s="1102">
        <f>IF(BE232=0,0,(BF232-BE232)/BE232*100)</f>
        <v>0</v>
      </c>
      <c r="BH232" s="4591"/>
      <c r="BI232" s="4591"/>
      <c r="BJ232" s="1102">
        <f>IF(BH232=0,0,(BI232-BH232)/BH232*100)</f>
        <v>0</v>
      </c>
      <c r="BK232" s="4591"/>
      <c r="BL232" s="4591"/>
      <c r="BM232" s="1102">
        <f>IF(BK232=0,0,(BL232-BK232)/BK232*100)</f>
        <v>0</v>
      </c>
      <c r="BN232" s="4591"/>
      <c r="BO232" s="4591"/>
      <c r="BP232" s="1102">
        <f>IF(BN232=0,0,(BO232-BN232)/BN232*100)</f>
        <v>0</v>
      </c>
      <c r="BQ232" s="4591"/>
      <c r="BR232" s="4591"/>
      <c r="BS232" s="1102">
        <f>IF(BQ232=0,0,(BR232-BQ232)/BQ232*100)</f>
        <v>0</v>
      </c>
      <c r="BT232" s="4591"/>
      <c r="BU232" s="4591"/>
      <c r="BV232" s="1102">
        <f>IF(BT232=0,0,(BU232-BT232)/BT232*100)</f>
        <v>0</v>
      </c>
      <c r="BW232" s="4591"/>
      <c r="BX232" s="4591"/>
      <c r="BY232" s="1102">
        <f>IF(BW232=0,0,(BX232-BW232)/BW232*100)</f>
        <v>0</v>
      </c>
      <c r="BZ232" s="4591"/>
      <c r="CA232" s="4591"/>
      <c r="CB232" s="1102">
        <f>IF(BZ232=0,0,(CA232-BZ232)/BZ232*100)</f>
        <v>0</v>
      </c>
      <c r="CC232" s="4591"/>
      <c r="CD232" s="4591"/>
      <c r="CE232" s="1102">
        <f>IF(CC232=0,0,(CD232-CC232)/CC232*100)</f>
        <v>0</v>
      </c>
      <c r="CF232" s="4591"/>
      <c r="CG232" s="4591"/>
      <c r="CH232" s="1102">
        <f>IF(CF232=0,0,(CG232-CF232)/CF232*100)</f>
        <v>0</v>
      </c>
      <c r="CI232" s="4591"/>
      <c r="CJ232" s="4591"/>
      <c r="CK232" s="1102">
        <f>IF(CI232=0,0,(CJ232-CI232)/CI232*100)</f>
        <v>0</v>
      </c>
      <c r="CL232" s="4591"/>
      <c r="CM232" s="4591"/>
      <c r="CN232" s="1102">
        <f>IF(CL232=0,0,(CM232-CL232)/CL232*100)</f>
        <v>0</v>
      </c>
      <c r="CO232" s="4591"/>
      <c r="CP232" s="4591"/>
      <c r="CQ232" s="1102">
        <f>IF(CO232=0,0,(CP232-CO232)/CO232*100)</f>
        <v>0</v>
      </c>
      <c r="CR232" s="4591"/>
      <c r="CS232" s="4591"/>
      <c r="CT232" s="1102">
        <f>IF(CR232=0,0,(CS232-CR232)/CR232*100)</f>
        <v>0</v>
      </c>
      <c r="CU232" s="4591"/>
      <c r="CV232" s="4591"/>
      <c r="CW232" s="1102">
        <f>IF(CU232=0,0,(CV232-CU232)/CU232*100)</f>
        <v>0</v>
      </c>
      <c r="CX232" s="4591"/>
      <c r="CY232" s="4591"/>
      <c r="CZ232" s="1102">
        <f>IF(CX232=0,0,(CY232-CX232)/CX232*100)</f>
        <v>0</v>
      </c>
      <c r="DA232" s="4591"/>
      <c r="DB232" s="4591"/>
      <c r="DC232" s="1102">
        <f>IF(DA232=0,0,(DB232-DA232)/DA232*100)</f>
        <v>0</v>
      </c>
      <c r="DD232" s="4591"/>
      <c r="DE232" s="4591"/>
      <c r="DF232" s="1102">
        <f>IF(DD232=0,0,(DE232-DD232)/DD232*100)</f>
        <v>0</v>
      </c>
      <c r="DG232" s="4591"/>
      <c r="DH232" s="4591"/>
      <c r="DI232" s="1102">
        <f>IF(DG232=0,0,(DH232-DG232)/DG232*100)</f>
        <v>0</v>
      </c>
      <c r="DJ232" s="4591"/>
      <c r="DK232" s="4591"/>
      <c r="DL232" s="1102">
        <f>IF(DJ232=0,0,(DK232-DJ232)/DJ232*100)</f>
        <v>0</v>
      </c>
      <c r="DM232" s="4591"/>
      <c r="DN232" s="4591"/>
      <c r="DO232" s="1102">
        <f>IF(DM232=0,0,(DN232-DM232)/DM232*100)</f>
        <v>0</v>
      </c>
      <c r="DP232" s="4591"/>
      <c r="DQ232" s="4591"/>
      <c r="DR232" s="1102">
        <f>IF(DP232=0,0,(DQ232-DP232)/DP232*100)</f>
        <v>0</v>
      </c>
      <c r="DS232" s="4591"/>
      <c r="DT232" s="4591"/>
      <c r="DU232" s="1102">
        <f>IF(DS232=0,0,(DT232-DS232)/DS232*100)</f>
        <v>0</v>
      </c>
      <c r="DV232" s="4591"/>
      <c r="DW232" s="4591"/>
      <c r="DX232" s="1102">
        <f>IF(DV232=0,0,(DW232-DV232)/DV232*100)</f>
        <v>0</v>
      </c>
      <c r="DY232" s="4591"/>
      <c r="DZ232" s="4591"/>
      <c r="EA232" s="1102">
        <f>IF(DY232=0,0,(DZ232-DY232)/DY232*100)</f>
        <v>0</v>
      </c>
      <c r="EB232" s="4591"/>
      <c r="EC232" s="4591"/>
      <c r="ED232" s="1102">
        <f>IF(EB232=0,0,(EC232-EB232)/EB232*100)</f>
        <v>0</v>
      </c>
      <c r="EE232" s="4591"/>
      <c r="EF232" s="4591"/>
      <c r="EG232" s="1102">
        <f>IF(EE232=0,0,(EF232-EE232)/EE232*100)</f>
        <v>0</v>
      </c>
      <c r="EH232" s="4591"/>
      <c r="EI232" s="4591"/>
      <c r="EJ232" s="1102">
        <f>IF(EH232=0,0,(EI232-EH232)/EH232*100)</f>
        <v>0</v>
      </c>
      <c r="EK232" s="4591"/>
      <c r="EL232" s="4591"/>
      <c r="EM232" s="1102">
        <f>IF(EK232=0,0,(EL232-EK232)/EK232*100)</f>
        <v>0</v>
      </c>
      <c r="EN232" s="4591"/>
      <c r="EO232" s="4591"/>
      <c r="EP232" s="1102">
        <f>IF(EN232=0,0,(EO232-EN232)/EN232*100)</f>
        <v>0</v>
      </c>
      <c r="EQ232" s="4591"/>
      <c r="ER232" s="4591"/>
      <c r="ES232" s="1102">
        <f>IF(EQ232=0,0,(ER232-EQ232)/EQ232*100)</f>
        <v>0</v>
      </c>
      <c r="ET232" s="4591"/>
      <c r="EU232" s="4591"/>
      <c r="EV232" s="1102">
        <f>IF(ET232=0,0,(EU232-ET232)/ET232*100)</f>
        <v>0</v>
      </c>
      <c r="EW232" s="4591"/>
      <c r="EX232" s="4591"/>
      <c r="EY232" s="1102">
        <f>IF(EW232=0,0,(EX232-EW232)/EW232*100)</f>
        <v>0</v>
      </c>
      <c r="EZ232" s="4591"/>
      <c r="FA232" s="4591"/>
      <c r="FB232" s="1102">
        <f>IF(EZ232=0,0,(FA232-EZ232)/EZ232*100)</f>
        <v>0</v>
      </c>
      <c r="FC232" s="4591"/>
      <c r="FD232" s="4591"/>
      <c r="FE232" s="1102">
        <f>IF(FC232=0,0,(FD232-FC232)/FC232*100)</f>
        <v>0</v>
      </c>
      <c r="FF232" s="4591"/>
      <c r="FG232" s="4591"/>
      <c r="FH232" s="1102">
        <f>IF(FF232=0,0,(FG232-FF232)/FF232*100)</f>
        <v>0</v>
      </c>
      <c r="FI232" s="4591"/>
      <c r="FJ232" s="4591"/>
      <c r="FK232" s="1102">
        <f>IF(FI232=0,0,(FJ232-FI232)/FI232*100)</f>
        <v>0</v>
      </c>
      <c r="FL232" s="4591"/>
      <c r="FM232" s="4591"/>
      <c r="FN232" s="1102">
        <f>IF(FL232=0,0,(FM232-FL232)/FL232*100)</f>
        <v>0</v>
      </c>
      <c r="FO232" s="4591"/>
      <c r="FP232" s="4591"/>
      <c r="FQ232" s="1102">
        <f>IF(FO232=0,0,(FP232-FO232)/FO232*100)</f>
        <v>0</v>
      </c>
      <c r="FR232" s="4591"/>
      <c r="FS232" s="4591"/>
      <c r="FT232" s="1102">
        <f>IF(FR232=0,0,(FS232-FR232)/FR232*100)</f>
        <v>0</v>
      </c>
      <c r="FU232" s="4591"/>
      <c r="FV232" s="4591"/>
      <c r="FW232" s="1102">
        <f>IF(FU232=0,0,(FV232-FU232)/FU232*100)</f>
        <v>0</v>
      </c>
      <c r="FZ232" s="1330" t="s">
        <v>1938</v>
      </c>
      <c r="GA232" s="1330" t="s">
        <v>993</v>
      </c>
      <c r="GB232" s="1330" cm="1" t="str">
        <f t="array" ref="GB232:GB232">GB231</f>
        <v>0</v>
      </c>
    </row>
    <row s="1656" customFormat="1" customHeight="1" ht="14.25" hidden="1">
      <c r="A233" s="496"/>
      <c r="B233" s="932" cm="1" t="str">
        <f t="array" ref="B233:B233">B226</f>
        <v>false</v>
      </c>
      <c r="C233" s="496"/>
      <c r="D233" s="496"/>
      <c r="E233" s="847">
        <v>15</v>
      </c>
      <c r="F233" s="50" cm="1" t="str">
        <f t="array" ref="F233:F233">OFFSET(E233,-1,1)</f>
        <v>2</v>
      </c>
      <c r="G233" s="496"/>
      <c r="H233" s="496"/>
      <c r="I233" s="94" t="s">
        <v>1939</v>
      </c>
      <c r="J233" s="496"/>
      <c r="K233" s="496"/>
      <c r="L233" s="496"/>
      <c r="M233" s="496"/>
      <c r="N233" s="496"/>
      <c r="O233" s="496"/>
      <c r="P233" s="496"/>
      <c r="Q233" s="496"/>
      <c r="R233" s="496"/>
      <c r="S233" s="496"/>
      <c r="T233" s="468">
        <f>F233&gt;0</f>
        <v>1</v>
      </c>
      <c r="U233" s="496"/>
      <c r="V233" s="1328"/>
      <c r="W233" s="764" t="s">
        <v>1892</v>
      </c>
      <c r="X233" s="1559"/>
      <c r="Y233" s="1328"/>
      <c r="Z233" s="1528"/>
      <c r="AA233" s="1328"/>
      <c r="AB233" s="256" t="s">
        <v>177</v>
      </c>
      <c r="AC233" s="260"/>
      <c r="AD233" s="1107"/>
      <c r="AE233" s="1107"/>
      <c r="AF233" s="1107"/>
      <c r="AG233" s="1107"/>
      <c r="AH233" s="1107"/>
      <c r="AI233" s="1107"/>
      <c r="AJ233" s="1107"/>
      <c r="AK233" s="1107"/>
      <c r="AL233" s="1107"/>
      <c r="AM233" s="1107"/>
      <c r="AN233" s="1107"/>
      <c r="AO233" s="1107"/>
      <c r="AP233" s="1107"/>
      <c r="AQ233" s="1107"/>
      <c r="AR233" s="1107"/>
      <c r="AS233" s="1107"/>
      <c r="AT233" s="1107"/>
      <c r="AU233" s="1107"/>
      <c r="AV233" s="1107"/>
      <c r="AW233" s="1107"/>
      <c r="AX233" s="1107"/>
      <c r="AY233" s="1107"/>
      <c r="AZ233" s="1107"/>
      <c r="BA233" s="1107"/>
      <c r="BB233" s="1107"/>
      <c r="BC233" s="1107"/>
      <c r="BD233" s="1107"/>
      <c r="BE233" s="1107"/>
      <c r="BF233" s="1107"/>
      <c r="BG233" s="1107"/>
      <c r="BH233" s="1107"/>
      <c r="BI233" s="1107"/>
      <c r="BJ233" s="1107"/>
      <c r="BK233" s="1107"/>
      <c r="BL233" s="1107"/>
      <c r="BM233" s="1107"/>
      <c r="BN233" s="1107"/>
      <c r="BO233" s="1107"/>
      <c r="BP233" s="1107"/>
      <c r="BQ233" s="1107"/>
      <c r="BR233" s="1107"/>
      <c r="BS233" s="1107"/>
      <c r="BT233" s="1107"/>
      <c r="BU233" s="1107"/>
      <c r="BV233" s="1107"/>
      <c r="BW233" s="1107"/>
      <c r="BX233" s="1107"/>
      <c r="BY233" s="1107"/>
      <c r="BZ233" s="1107"/>
      <c r="CA233" s="1107"/>
      <c r="CB233" s="1107"/>
      <c r="CC233" s="1107"/>
      <c r="CD233" s="1107"/>
      <c r="CE233" s="1107"/>
      <c r="CF233" s="1107"/>
      <c r="CG233" s="1107"/>
      <c r="CH233" s="1107"/>
      <c r="CI233" s="1107"/>
      <c r="CJ233" s="1107"/>
      <c r="CK233" s="1107"/>
      <c r="CL233" s="1107"/>
      <c r="CM233" s="1107"/>
      <c r="CN233" s="1107"/>
      <c r="CO233" s="1107"/>
      <c r="CP233" s="1107"/>
      <c r="CQ233" s="1107"/>
      <c r="CR233" s="1107"/>
      <c r="CS233" s="1107"/>
      <c r="CT233" s="1107"/>
      <c r="CU233" s="1107"/>
      <c r="CV233" s="1107"/>
      <c r="CW233" s="1107"/>
      <c r="CX233" s="1107"/>
      <c r="CY233" s="1107"/>
      <c r="CZ233" s="1107"/>
      <c r="DA233" s="1107"/>
      <c r="DB233" s="1107"/>
      <c r="DC233" s="1107"/>
      <c r="DD233" s="1107"/>
      <c r="DE233" s="1107"/>
      <c r="DF233" s="1107"/>
      <c r="DG233" s="1107"/>
      <c r="DH233" s="1107"/>
      <c r="DI233" s="1107"/>
      <c r="DJ233" s="1107"/>
      <c r="DK233" s="1107"/>
      <c r="DL233" s="1107"/>
      <c r="DM233" s="1107"/>
      <c r="DN233" s="1107"/>
      <c r="DO233" s="1107"/>
      <c r="DP233" s="1107"/>
      <c r="DQ233" s="1107"/>
      <c r="DR233" s="1107"/>
      <c r="DS233" s="1107"/>
      <c r="DT233" s="1107"/>
      <c r="DU233" s="1107"/>
      <c r="DV233" s="1107"/>
      <c r="DW233" s="1107"/>
      <c r="DX233" s="1107"/>
      <c r="DY233" s="1107"/>
      <c r="DZ233" s="1107"/>
      <c r="EA233" s="1107"/>
      <c r="EB233" s="1107"/>
      <c r="EC233" s="1107"/>
      <c r="ED233" s="1107"/>
      <c r="EE233" s="1107"/>
      <c r="EF233" s="1107"/>
      <c r="EG233" s="1107"/>
      <c r="EH233" s="1107"/>
      <c r="EI233" s="1107"/>
      <c r="EJ233" s="1107"/>
      <c r="EK233" s="1107"/>
      <c r="EL233" s="1107"/>
      <c r="EM233" s="1107"/>
      <c r="EN233" s="1107"/>
      <c r="EO233" s="1107"/>
      <c r="EP233" s="1107"/>
      <c r="EQ233" s="1107"/>
      <c r="ER233" s="1107"/>
      <c r="ES233" s="1107"/>
      <c r="ET233" s="1107"/>
      <c r="EU233" s="1107"/>
      <c r="EV233" s="1107"/>
      <c r="EW233" s="1107"/>
      <c r="EX233" s="1107"/>
      <c r="EY233" s="1107"/>
      <c r="EZ233" s="1107"/>
      <c r="FA233" s="1107"/>
      <c r="FB233" s="1107"/>
      <c r="FC233" s="1107"/>
      <c r="FD233" s="1107"/>
      <c r="FE233" s="1107"/>
      <c r="FF233" s="1107"/>
      <c r="FG233" s="1107"/>
      <c r="FH233" s="1107"/>
      <c r="FI233" s="1107"/>
      <c r="FJ233" s="1107"/>
      <c r="FK233" s="1107"/>
      <c r="FL233" s="1107"/>
      <c r="FM233" s="1107"/>
      <c r="FN233" s="1107"/>
      <c r="FO233" s="1107"/>
      <c r="FP233" s="1107"/>
      <c r="FQ233" s="1107"/>
      <c r="FR233" s="1107"/>
      <c r="FS233" s="1107"/>
      <c r="FT233" s="1107"/>
      <c r="FU233" s="1107"/>
      <c r="FV233" s="1107"/>
      <c r="FW233" s="1108"/>
      <c r="FX233" s="1328"/>
      <c r="FY233" s="1328"/>
      <c r="FZ233" s="1063" t="s">
        <v>240</v>
      </c>
      <c r="GA233" s="1330"/>
      <c r="GB233" s="1330"/>
      <c r="GC233" s="637" t="s">
        <v>993</v>
      </c>
      <c r="GD233" s="1329"/>
    </row>
    <row s="1656" customFormat="1" customHeight="1" ht="11.25" hidden="1">
      <c r="A234" s="485"/>
      <c r="B234" s="932"/>
      <c r="C234" s="485"/>
      <c r="D234" s="485"/>
      <c r="E234" s="873">
        <v>0</v>
      </c>
      <c r="F234" s="1194" cm="1" t="str">
        <f t="array" ref="F234:F234">OFFSET(E234,-1,1)</f>
        <v>2</v>
      </c>
      <c r="G234" s="485"/>
      <c r="H234" s="485"/>
      <c r="I234" s="485"/>
      <c r="J234" s="485"/>
      <c r="K234" s="485"/>
      <c r="L234" s="485"/>
      <c r="M234" s="485"/>
      <c r="N234" s="485"/>
      <c r="O234" s="485"/>
      <c r="P234" s="485"/>
      <c r="Q234" s="485"/>
      <c r="R234" s="485"/>
      <c r="S234" s="485"/>
      <c r="T234" s="468" t="b">
        <v>0</v>
      </c>
      <c r="U234" s="485"/>
      <c r="V234" s="485"/>
      <c r="W234" s="485"/>
      <c r="X234" s="1559"/>
      <c r="Y234" s="485"/>
      <c r="Z234" s="1528"/>
      <c r="AA234" s="485"/>
      <c r="AB234" s="0"/>
      <c r="AC234" s="485"/>
      <c r="AD234" s="1117"/>
      <c r="AE234" s="1117"/>
      <c r="AF234" s="1117"/>
      <c r="AG234" s="0"/>
      <c r="AH234" s="0"/>
      <c r="AI234" s="0"/>
      <c r="AJ234" s="0"/>
      <c r="AK234" s="0"/>
      <c r="AL234" s="0"/>
      <c r="AM234" s="0"/>
      <c r="AN234" s="0"/>
      <c r="AO234" s="0"/>
      <c r="AP234" s="0"/>
      <c r="AQ234" s="0"/>
      <c r="AR234" s="0"/>
      <c r="AS234" s="0"/>
      <c r="AT234" s="0"/>
      <c r="AU234" s="0"/>
      <c r="AV234" s="0"/>
      <c r="AW234" s="0"/>
      <c r="AX234" s="0"/>
      <c r="AY234" s="0"/>
      <c r="AZ234" s="0"/>
      <c r="BA234" s="0"/>
      <c r="BB234" s="0"/>
      <c r="BC234" s="0"/>
      <c r="BD234" s="0"/>
      <c r="BE234" s="0"/>
      <c r="BF234" s="0"/>
      <c r="BG234" s="0"/>
      <c r="BH234" s="0"/>
      <c r="BI234" s="0"/>
      <c r="BJ234" s="0"/>
      <c r="BK234" s="0"/>
      <c r="BL234" s="0"/>
      <c r="BM234" s="0"/>
      <c r="BN234" s="0"/>
      <c r="BO234" s="0"/>
      <c r="BP234" s="0"/>
      <c r="BQ234" s="0"/>
      <c r="BR234" s="0"/>
      <c r="BS234" s="0"/>
      <c r="BT234" s="0"/>
      <c r="BU234" s="0"/>
      <c r="BV234" s="0"/>
      <c r="BW234" s="0"/>
      <c r="BX234" s="0"/>
      <c r="BY234" s="0"/>
      <c r="BZ234" s="0"/>
      <c r="CA234" s="0"/>
      <c r="CB234" s="0"/>
      <c r="CC234" s="0"/>
      <c r="CD234" s="0"/>
      <c r="CE234" s="0"/>
      <c r="CF234" s="0"/>
      <c r="CG234" s="0"/>
      <c r="CH234" s="0"/>
      <c r="CI234" s="0"/>
      <c r="CJ234" s="0"/>
      <c r="CK234" s="0"/>
      <c r="CL234" s="0"/>
      <c r="CM234" s="0"/>
      <c r="CN234" s="0"/>
      <c r="CO234" s="0"/>
      <c r="CP234" s="0"/>
      <c r="CQ234" s="0"/>
      <c r="CR234" s="0"/>
      <c r="CS234" s="0"/>
      <c r="CT234" s="0"/>
      <c r="CU234" s="0"/>
      <c r="CV234" s="0"/>
      <c r="CW234" s="0"/>
      <c r="CX234" s="0"/>
      <c r="CY234" s="0"/>
      <c r="CZ234" s="0"/>
      <c r="DA234" s="0"/>
      <c r="DB234" s="0"/>
      <c r="DC234" s="0"/>
      <c r="DD234" s="0"/>
      <c r="DE234" s="0"/>
      <c r="DF234" s="0"/>
      <c r="DG234" s="0"/>
      <c r="DH234" s="0"/>
      <c r="DI234" s="0"/>
      <c r="DJ234" s="0"/>
      <c r="DK234" s="0"/>
      <c r="DL234" s="0"/>
      <c r="DM234" s="0"/>
      <c r="DN234" s="0"/>
      <c r="DO234" s="0"/>
      <c r="DP234" s="0"/>
      <c r="DQ234" s="0"/>
      <c r="DR234" s="0"/>
      <c r="DS234" s="0"/>
      <c r="DT234" s="0"/>
      <c r="DU234" s="0"/>
      <c r="DV234" s="0"/>
      <c r="DW234" s="0"/>
      <c r="DX234" s="0"/>
      <c r="DY234" s="0"/>
      <c r="DZ234" s="0"/>
      <c r="EA234" s="0"/>
      <c r="EB234" s="0"/>
      <c r="EC234" s="0"/>
      <c r="ED234" s="0"/>
      <c r="EE234" s="0"/>
      <c r="EF234" s="0"/>
      <c r="EG234" s="0"/>
      <c r="EH234" s="0"/>
      <c r="EI234" s="0"/>
      <c r="EJ234" s="0"/>
      <c r="EK234" s="0"/>
      <c r="EL234" s="0"/>
      <c r="EM234" s="0"/>
      <c r="EN234" s="0"/>
      <c r="EO234" s="0"/>
      <c r="EP234" s="0"/>
      <c r="EQ234" s="0"/>
      <c r="ER234" s="0"/>
      <c r="ES234" s="0"/>
      <c r="ET234" s="0"/>
      <c r="EU234" s="0"/>
      <c r="EV234" s="0"/>
      <c r="EW234" s="0"/>
      <c r="EX234" s="0"/>
      <c r="EY234" s="0"/>
      <c r="EZ234" s="0"/>
      <c r="FA234" s="0"/>
      <c r="FB234" s="0"/>
      <c r="FC234" s="0"/>
      <c r="FD234" s="0"/>
      <c r="FE234" s="0"/>
      <c r="FF234" s="0"/>
      <c r="FG234" s="0"/>
      <c r="FH234" s="0"/>
      <c r="FI234" s="0"/>
      <c r="FJ234" s="0"/>
      <c r="FK234" s="0"/>
      <c r="FL234" s="0"/>
      <c r="FM234" s="0"/>
      <c r="FN234" s="0"/>
      <c r="FO234" s="0"/>
      <c r="FP234" s="0"/>
      <c r="FQ234" s="0"/>
      <c r="FR234" s="0"/>
      <c r="FS234" s="0"/>
      <c r="FT234" s="0"/>
      <c r="FU234" s="0"/>
      <c r="FV234" s="0"/>
      <c r="FW234" s="0"/>
      <c r="FX234" s="1656"/>
      <c r="FY234" s="1656"/>
      <c r="FZ234" s="1063" t="s">
        <v>240</v>
      </c>
      <c r="GA234" s="1027"/>
      <c r="GB234" s="1066"/>
      <c r="GC234" s="692"/>
      <c r="GD234" s="692"/>
    </row>
    <row s="5394" customFormat="1" customHeight="1" ht="23.25" hidden="1">
      <c r="A235" s="904"/>
      <c r="B235" s="932" cm="1" t="str">
        <f t="array" ref="B235:B235">S179</f>
        <v>false</v>
      </c>
      <c r="C235" s="904"/>
      <c r="D235" s="904"/>
      <c r="E235" s="847">
        <v>24.5</v>
      </c>
      <c r="F235" s="50" cm="1" t="str">
        <f t="array" ref="F235:F235">OFFSET(E235,-1,1)</f>
        <v>2</v>
      </c>
      <c r="G235" s="103" t="s">
        <v>1859</v>
      </c>
      <c r="H235" s="496" t="s">
        <v>566</v>
      </c>
      <c r="I235" s="496" t="s">
        <v>1940</v>
      </c>
      <c r="J235" s="904"/>
      <c r="K235" s="904"/>
      <c r="L235" s="904"/>
      <c r="M235" s="904"/>
      <c r="N235" s="904"/>
      <c r="O235" s="904"/>
      <c r="P235" s="904"/>
      <c r="Q235" s="904"/>
      <c r="R235" s="904"/>
      <c r="S235" s="496"/>
      <c r="T235" s="468" cm="1" t="str">
        <f t="array" ref="T235:T235">T233</f>
        <v>true</v>
      </c>
      <c r="U235" s="904"/>
      <c r="V235" s="904"/>
      <c r="W235" s="904"/>
      <c r="X235" s="1559"/>
      <c r="Y235" s="904"/>
      <c r="Z235" s="1528"/>
      <c r="AA235" s="904"/>
      <c r="AB235" s="215" t="s">
        <v>1941</v>
      </c>
      <c r="AC235" s="230" t="s">
        <v>1862</v>
      </c>
      <c r="AD235" s="4611">
        <f>IF(AND(method_reg="Метод индексации",god&lt;&gt;first_year),_xlfn.SUMIFS(INDEX('Калькуляция (МИ корр)'!$AJ$25:$BC$606,,MATCH(AD$8,'Калькуляция (МИ корр)'!$AJ$8:$BC$8,0)),'Калькуляция (МИ корр)'!$F$25:$F$606,$F235,'Калькуляция (МИ корр)'!$G$25:$G$606,$G235),IF(method_reg="Метод экономически обоснованных расходов",_xlfn.SUMIFS('Калькуляция (МЭОР)'!$AJ$25:$AJ$367,'Калькуляция (МЭОР)'!$F$25:$F$367,$F235,'Калькуляция (МЭОР)'!$G$25:$G$367,$G235),IF(method_reg="Метод сравнения аналогов",_xlfn.SUMIFS('Калькуляция (МСА)'!$AE$25:$AE$103,'Калькуляция (МСА)'!$F$25:$F$103,$F235,'Калькуляция (МСА)'!$G$25:$G$103,$G235),_xlfn.SUMIFS(INDEX('Калькуляция (МИ)'!$AJ$25:$BC$603,,MATCH(AD$8,'Калькуляция (МИ)'!$AJ$8:$BC$8,0)),'Калькуляция (МИ)'!$F$25:$F$603,$F235,'Калькуляция (МИ)'!$G$25:$G$603,$G235))))</f>
        <v>68.7509459590162</v>
      </c>
      <c r="AE235" s="4611">
        <f>IF(AND(method_reg="Метод индексации",god&lt;&gt;first_year),_xlfn.SUMIFS(INDEX('Калькуляция (МИ корр)'!$AJ$25:$BC$606,,MATCH(AE$8,'Калькуляция (МИ корр)'!$AJ$8:$BC$8,0)),'Калькуляция (МИ корр)'!$F$25:$F$606,$F235,'Калькуляция (МИ корр)'!$G$25:$G$606,$G235),IF(method_reg="Метод экономически обоснованных расходов",_xlfn.SUMIFS('Калькуляция (МЭОР)'!$AK$25:$AK$367,'Калькуляция (МЭОР)'!$F$25:$F$367,$F235,'Калькуляция (МЭОР)'!$G$25:$G$367,$G235),IF(method_reg="Метод сравнения аналогов",_xlfn.SUMIFS('Калькуляция (МСА)'!$AF$25:$AF$103,'Калькуляция (МСА)'!$F$25:$F$103,$F235,'Калькуляция (МСА)'!$G$25:$G$103,$G235),_xlfn.SUMIFS(INDEX('Калькуляция (МИ)'!$AJ$25:$BC$603,,MATCH(AE$8,'Калькуляция (МИ)'!$AJ$8:$BC$8,0)),'Калькуляция (МИ)'!$F$25:$F$603,$F235,'Калькуляция (МИ)'!$G$25:$G$603,$G235))))</f>
        <v>45.43</v>
      </c>
      <c r="AF235" s="292">
        <f>IF(AD235=0,0,(AE235-AD235)/AD235*100)</f>
        <v>-33.9209092088977</v>
      </c>
      <c r="AG235" s="4611">
        <f>IF(AND(method_reg="Метод индексации",god&lt;&gt;first_year),_xlfn.SUMIFS(INDEX('Калькуляция (МИ корр)'!$AJ$25:$BC$606,,MATCH(AG$8,'Калькуляция (МИ корр)'!$AJ$8:$BC$8,0)),'Калькуляция (МИ корр)'!$F$25:$F$606,$F235,'Калькуляция (МИ корр)'!$G$25:$G$606,$G235),IF(method_reg="Метод экономически обоснованных расходов",_xlfn.SUMIFS('Калькуляция (МЭОР)'!$AJ$25:$AJ$367,'Калькуляция (МЭОР)'!$F$25:$F$367,$F235,'Калькуляция (МЭОР)'!$G$25:$G$367,$G235),IF(method_reg="Метод сравнения аналогов",_xlfn.SUMIFS('Калькуляция (МСА)'!$AE$25:$AE$103,'Калькуляция (МСА)'!$F$25:$F$103,$F235,'Калькуляция (МСА)'!$G$25:$G$103,$G235),_xlfn.SUMIFS(INDEX('Калькуляция (МИ)'!$AJ$25:$BC$603,,MATCH(AG$8,'Калькуляция (МИ)'!$AJ$8:$BC$8,0)),'Калькуляция (МИ)'!$F$25:$F$603,$F235,'Калькуляция (МИ)'!$G$25:$G$603,$G235))))</f>
        <v>0</v>
      </c>
      <c r="AH235" s="4611">
        <f>IF(AND(method_reg="Метод индексации",god&lt;&gt;first_year),_xlfn.SUMIFS(INDEX('Калькуляция (МИ корр)'!$AJ$25:$BC$606,,MATCH(AH$8,'Калькуляция (МИ корр)'!$AJ$8:$BC$8,0)),'Калькуляция (МИ корр)'!$F$25:$F$606,$F235,'Калькуляция (МИ корр)'!$G$25:$G$606,$G235),IF(method_reg="Метод экономически обоснованных расходов",_xlfn.SUMIFS('Калькуляция (МЭОР)'!$AK$25:$AK$367,'Калькуляция (МЭОР)'!$F$25:$F$367,$F235,'Калькуляция (МЭОР)'!$G$25:$G$367,$G235),IF(method_reg="Метод сравнения аналогов",_xlfn.SUMIFS('Калькуляция (МСА)'!$AF$25:$AF$103,'Калькуляция (МСА)'!$F$25:$F$103,$F235,'Калькуляция (МСА)'!$G$25:$G$103,$G235),_xlfn.SUMIFS(INDEX('Калькуляция (МИ)'!$AJ$25:$BC$603,,MATCH(AH$8,'Калькуляция (МИ)'!$AJ$8:$BC$8,0)),'Калькуляция (МИ)'!$F$25:$F$603,$F235,'Калькуляция (МИ)'!$G$25:$G$603,$G235))))</f>
        <v>50.8799995500676</v>
      </c>
      <c r="AI235" s="292">
        <f>IF(AG235=0,0,(AH235-AG235)/AG235*100)</f>
        <v>0</v>
      </c>
      <c r="AJ235" s="4611">
        <f>IF(AND(method_reg="Метод индексации",god&lt;&gt;first_year),_xlfn.SUMIFS(INDEX('Калькуляция (МИ корр)'!$AJ$25:$BC$606,,MATCH(AJ$8,'Калькуляция (МИ корр)'!$AJ$8:$BC$8,0)),'Калькуляция (МИ корр)'!$F$25:$F$606,$F235,'Калькуляция (МИ корр)'!$G$25:$G$606,$G235),IF(method_reg="Метод экономически обоснованных расходов",_xlfn.SUMIFS('Калькуляция (МЭОР)'!$AJ$25:$AJ$367,'Калькуляция (МЭОР)'!$F$25:$F$367,$F235,'Калькуляция (МЭОР)'!$G$25:$G$367,$G235),IF(method_reg="Метод сравнения аналогов",_xlfn.SUMIFS('Калькуляция (МСА)'!$AE$25:$AE$103,'Калькуляция (МСА)'!$F$25:$F$103,$F235,'Калькуляция (МСА)'!$G$25:$G$103,$G235),_xlfn.SUMIFS(INDEX('Калькуляция (МИ)'!$AJ$25:$BC$603,,MATCH(AJ$8,'Калькуляция (МИ)'!$AJ$8:$BC$8,0)),'Калькуляция (МИ)'!$F$25:$F$603,$F235,'Калькуляция (МИ)'!$G$25:$G$603,$G235))))</f>
        <v>0</v>
      </c>
      <c r="AK235" s="4611">
        <f>IF(AND(method_reg="Метод индексации",god&lt;&gt;first_year),_xlfn.SUMIFS(INDEX('Калькуляция (МИ корр)'!$AJ$25:$BC$606,,MATCH(AK$8,'Калькуляция (МИ корр)'!$AJ$8:$BC$8,0)),'Калькуляция (МИ корр)'!$F$25:$F$606,$F235,'Калькуляция (МИ корр)'!$G$25:$G$606,$G235),IF(method_reg="Метод экономически обоснованных расходов",_xlfn.SUMIFS('Калькуляция (МЭОР)'!$AK$25:$AK$367,'Калькуляция (МЭОР)'!$F$25:$F$367,$F235,'Калькуляция (МЭОР)'!$G$25:$G$367,$G235),IF(method_reg="Метод сравнения аналогов",_xlfn.SUMIFS('Калькуляция (МСА)'!$AF$25:$AF$103,'Калькуляция (МСА)'!$F$25:$F$103,$F235,'Калькуляция (МСА)'!$G$25:$G$103,$G235),_xlfn.SUMIFS(INDEX('Калькуляция (МИ)'!$AJ$25:$BC$603,,MATCH(AK$8,'Калькуляция (МИ)'!$AJ$8:$BC$8,0)),'Калькуляция (МИ)'!$F$25:$F$603,$F235,'Калькуляция (МИ)'!$G$25:$G$603,$G235))))</f>
        <v>0</v>
      </c>
      <c r="AL235" s="292">
        <f>IF(AJ235=0,0,(AK235-AJ235)/AJ235*100)</f>
        <v>0</v>
      </c>
      <c r="AM235" s="4611">
        <f>IF(AND(method_reg="Метод индексации",god&lt;&gt;first_year),_xlfn.SUMIFS(INDEX('Калькуляция (МИ корр)'!$AJ$25:$BC$606,,MATCH(AM$8,'Калькуляция (МИ корр)'!$AJ$8:$BC$8,0)),'Калькуляция (МИ корр)'!$F$25:$F$606,$F235,'Калькуляция (МИ корр)'!$G$25:$G$606,$G235),IF(method_reg="Метод экономически обоснованных расходов",_xlfn.SUMIFS('Калькуляция (МЭОР)'!$AJ$25:$AJ$367,'Калькуляция (МЭОР)'!$F$25:$F$367,$F235,'Калькуляция (МЭОР)'!$G$25:$G$367,$G235),IF(method_reg="Метод сравнения аналогов",_xlfn.SUMIFS('Калькуляция (МСА)'!$AE$25:$AE$103,'Калькуляция (МСА)'!$F$25:$F$103,$F235,'Калькуляция (МСА)'!$G$25:$G$103,$G235),_xlfn.SUMIFS(INDEX('Калькуляция (МИ)'!$AJ$25:$BC$603,,MATCH(AM$8,'Калькуляция (МИ)'!$AJ$8:$BC$8,0)),'Калькуляция (МИ)'!$F$25:$F$603,$F235,'Калькуляция (МИ)'!$G$25:$G$603,$G235))))</f>
        <v>0</v>
      </c>
      <c r="AN235" s="4611">
        <f>IF(AND(method_reg="Метод индексации",god&lt;&gt;first_year),_xlfn.SUMIFS(INDEX('Калькуляция (МИ корр)'!$AJ$25:$BC$606,,MATCH(AN$8,'Калькуляция (МИ корр)'!$AJ$8:$BC$8,0)),'Калькуляция (МИ корр)'!$F$25:$F$606,$F235,'Калькуляция (МИ корр)'!$G$25:$G$606,$G235),IF(method_reg="Метод экономически обоснованных расходов",_xlfn.SUMIFS('Калькуляция (МЭОР)'!$AK$25:$AK$367,'Калькуляция (МЭОР)'!$F$25:$F$367,$F235,'Калькуляция (МЭОР)'!$G$25:$G$367,$G235),IF(method_reg="Метод сравнения аналогов",_xlfn.SUMIFS('Калькуляция (МСА)'!$AF$25:$AF$103,'Калькуляция (МСА)'!$F$25:$F$103,$F235,'Калькуляция (МСА)'!$G$25:$G$103,$G235),_xlfn.SUMIFS(INDEX('Калькуляция (МИ)'!$AJ$25:$BC$603,,MATCH(AN$8,'Калькуляция (МИ)'!$AJ$8:$BC$8,0)),'Калькуляция (МИ)'!$F$25:$F$603,$F235,'Калькуляция (МИ)'!$G$25:$G$603,$G235))))</f>
        <v>0</v>
      </c>
      <c r="AO235" s="292">
        <f>IF(AM235=0,0,(AN235-AM235)/AM235*100)</f>
        <v>0</v>
      </c>
      <c r="AP235" s="4611">
        <f>IF(AND(method_reg="Метод индексации",god&lt;&gt;first_year),_xlfn.SUMIFS(INDEX('Калькуляция (МИ корр)'!$AJ$25:$BC$606,,MATCH(AP$8,'Калькуляция (МИ корр)'!$AJ$8:$BC$8,0)),'Калькуляция (МИ корр)'!$F$25:$F$606,$F235,'Калькуляция (МИ корр)'!$G$25:$G$606,$G235),IF(method_reg="Метод экономически обоснованных расходов",_xlfn.SUMIFS('Калькуляция (МЭОР)'!$AJ$25:$AJ$367,'Калькуляция (МЭОР)'!$F$25:$F$367,$F235,'Калькуляция (МЭОР)'!$G$25:$G$367,$G235),IF(method_reg="Метод сравнения аналогов",_xlfn.SUMIFS('Калькуляция (МСА)'!$AE$25:$AE$103,'Калькуляция (МСА)'!$F$25:$F$103,$F235,'Калькуляция (МСА)'!$G$25:$G$103,$G235),_xlfn.SUMIFS(INDEX('Калькуляция (МИ)'!$AJ$25:$BC$603,,MATCH(AP$8,'Калькуляция (МИ)'!$AJ$8:$BC$8,0)),'Калькуляция (МИ)'!$F$25:$F$603,$F235,'Калькуляция (МИ)'!$G$25:$G$603,$G235))))</f>
        <v>0</v>
      </c>
      <c r="AQ235" s="4611">
        <f>IF(AND(method_reg="Метод индексации",god&lt;&gt;first_year),_xlfn.SUMIFS(INDEX('Калькуляция (МИ корр)'!$AJ$25:$BC$606,,MATCH(AQ$8,'Калькуляция (МИ корр)'!$AJ$8:$BC$8,0)),'Калькуляция (МИ корр)'!$F$25:$F$606,$F235,'Калькуляция (МИ корр)'!$G$25:$G$606,$G235),IF(method_reg="Метод экономически обоснованных расходов",_xlfn.SUMIFS('Калькуляция (МЭОР)'!$AK$25:$AK$367,'Калькуляция (МЭОР)'!$F$25:$F$367,$F235,'Калькуляция (МЭОР)'!$G$25:$G$367,$G235),IF(method_reg="Метод сравнения аналогов",_xlfn.SUMIFS('Калькуляция (МСА)'!$AF$25:$AF$103,'Калькуляция (МСА)'!$F$25:$F$103,$F235,'Калькуляция (МСА)'!$G$25:$G$103,$G235),_xlfn.SUMIFS(INDEX('Калькуляция (МИ)'!$AJ$25:$BC$603,,MATCH(AQ$8,'Калькуляция (МИ)'!$AJ$8:$BC$8,0)),'Калькуляция (МИ)'!$F$25:$F$603,$F235,'Калькуляция (МИ)'!$G$25:$G$603,$G235))))</f>
        <v>0</v>
      </c>
      <c r="AR235" s="292">
        <f>IF(AP235=0,0,(AQ235-AP235)/AP235*100)</f>
        <v>0</v>
      </c>
      <c r="AS235" s="4611">
        <f>IF(AND(method_reg="Метод индексации",god&lt;&gt;first_year),_xlfn.SUMIFS(INDEX('Калькуляция (МИ корр)'!$AJ$25:$BC$606,,MATCH(AS$8,'Калькуляция (МИ корр)'!$AJ$8:$BC$8,0)),'Калькуляция (МИ корр)'!$F$25:$F$606,$F235,'Калькуляция (МИ корр)'!$G$25:$G$606,$G235),IF(method_reg="Метод экономически обоснованных расходов",_xlfn.SUMIFS('Калькуляция (МЭОР)'!$AJ$25:$AJ$367,'Калькуляция (МЭОР)'!$F$25:$F$367,$F235,'Калькуляция (МЭОР)'!$G$25:$G$367,$G235),IF(method_reg="Метод сравнения аналогов",_xlfn.SUMIFS('Калькуляция (МСА)'!$AE$25:$AE$103,'Калькуляция (МСА)'!$F$25:$F$103,$F235,'Калькуляция (МСА)'!$G$25:$G$103,$G235),_xlfn.SUMIFS(INDEX('Калькуляция (МИ)'!$AJ$25:$BC$603,,MATCH(AS$8,'Калькуляция (МИ)'!$AJ$8:$BC$8,0)),'Калькуляция (МИ)'!$F$25:$F$603,$F235,'Калькуляция (МИ)'!$G$25:$G$603,$G235))))</f>
        <v>0</v>
      </c>
      <c r="AT235" s="4611">
        <f>IF(AND(method_reg="Метод индексации",god&lt;&gt;first_year),_xlfn.SUMIFS(INDEX('Калькуляция (МИ корр)'!$AJ$25:$BC$606,,MATCH(AT$8,'Калькуляция (МИ корр)'!$AJ$8:$BC$8,0)),'Калькуляция (МИ корр)'!$F$25:$F$606,$F235,'Калькуляция (МИ корр)'!$G$25:$G$606,$G235),IF(method_reg="Метод экономически обоснованных расходов",_xlfn.SUMIFS('Калькуляция (МЭОР)'!$AK$25:$AK$367,'Калькуляция (МЭОР)'!$F$25:$F$367,$F235,'Калькуляция (МЭОР)'!$G$25:$G$367,$G235),IF(method_reg="Метод сравнения аналогов",_xlfn.SUMIFS('Калькуляция (МСА)'!$AF$25:$AF$103,'Калькуляция (МСА)'!$F$25:$F$103,$F235,'Калькуляция (МСА)'!$G$25:$G$103,$G235),_xlfn.SUMIFS(INDEX('Калькуляция (МИ)'!$AJ$25:$BC$603,,MATCH(AT$8,'Калькуляция (МИ)'!$AJ$8:$BC$8,0)),'Калькуляция (МИ)'!$F$25:$F$603,$F235,'Калькуляция (МИ)'!$G$25:$G$603,$G235))))</f>
        <v>0</v>
      </c>
      <c r="AU235" s="292">
        <f>IF(AS235=0,0,(AT235-AS235)/AS235*100)</f>
        <v>0</v>
      </c>
      <c r="AV235" s="4611">
        <f>IF(AND(method_reg="Метод индексации",god&lt;&gt;first_year),_xlfn.SUMIFS(INDEX('Калькуляция (МИ корр)'!$AJ$25:$BC$606,,MATCH(AV$8,'Калькуляция (МИ корр)'!$AJ$8:$BC$8,0)),'Калькуляция (МИ корр)'!$F$25:$F$606,$F235,'Калькуляция (МИ корр)'!$G$25:$G$606,$G235),IF(method_reg="Метод экономически обоснованных расходов",_xlfn.SUMIFS('Калькуляция (МЭОР)'!$AJ$25:$AJ$367,'Калькуляция (МЭОР)'!$F$25:$F$367,$F235,'Калькуляция (МЭОР)'!$G$25:$G$367,$G235),IF(method_reg="Метод сравнения аналогов",_xlfn.SUMIFS('Калькуляция (МСА)'!$AE$25:$AE$103,'Калькуляция (МСА)'!$F$25:$F$103,$F235,'Калькуляция (МСА)'!$G$25:$G$103,$G235),_xlfn.SUMIFS(INDEX('Калькуляция (МИ)'!$AJ$25:$BC$603,,MATCH(AV$8,'Калькуляция (МИ)'!$AJ$8:$BC$8,0)),'Калькуляция (МИ)'!$F$25:$F$603,$F235,'Калькуляция (МИ)'!$G$25:$G$603,$G235))))</f>
        <v>0</v>
      </c>
      <c r="AW235" s="4611">
        <f>IF(AND(method_reg="Метод индексации",god&lt;&gt;first_year),_xlfn.SUMIFS(INDEX('Калькуляция (МИ корр)'!$AJ$25:$BC$606,,MATCH(AW$8,'Калькуляция (МИ корр)'!$AJ$8:$BC$8,0)),'Калькуляция (МИ корр)'!$F$25:$F$606,$F235,'Калькуляция (МИ корр)'!$G$25:$G$606,$G235),IF(method_reg="Метод экономически обоснованных расходов",_xlfn.SUMIFS('Калькуляция (МЭОР)'!$AK$25:$AK$367,'Калькуляция (МЭОР)'!$F$25:$F$367,$F235,'Калькуляция (МЭОР)'!$G$25:$G$367,$G235),IF(method_reg="Метод сравнения аналогов",_xlfn.SUMIFS('Калькуляция (МСА)'!$AF$25:$AF$103,'Калькуляция (МСА)'!$F$25:$F$103,$F235,'Калькуляция (МСА)'!$G$25:$G$103,$G235),_xlfn.SUMIFS(INDEX('Калькуляция (МИ)'!$AJ$25:$BC$603,,MATCH(AW$8,'Калькуляция (МИ)'!$AJ$8:$BC$8,0)),'Калькуляция (МИ)'!$F$25:$F$603,$F235,'Калькуляция (МИ)'!$G$25:$G$603,$G235))))</f>
        <v>0</v>
      </c>
      <c r="AX235" s="292">
        <f>IF(AV235=0,0,(AW235-AV235)/AV235*100)</f>
        <v>0</v>
      </c>
      <c r="AY235" s="4611">
        <f>IF(AND(method_reg="Метод индексации",god&lt;&gt;first_year),_xlfn.SUMIFS(INDEX('Калькуляция (МИ корр)'!$AJ$25:$BC$606,,MATCH(AY$8,'Калькуляция (МИ корр)'!$AJ$8:$BC$8,0)),'Калькуляция (МИ корр)'!$F$25:$F$606,$F235,'Калькуляция (МИ корр)'!$G$25:$G$606,$G235),IF(method_reg="Метод экономически обоснованных расходов",_xlfn.SUMIFS('Калькуляция (МЭОР)'!$AJ$25:$AJ$367,'Калькуляция (МЭОР)'!$F$25:$F$367,$F235,'Калькуляция (МЭОР)'!$G$25:$G$367,$G235),IF(method_reg="Метод сравнения аналогов",_xlfn.SUMIFS('Калькуляция (МСА)'!$AE$25:$AE$103,'Калькуляция (МСА)'!$F$25:$F$103,$F235,'Калькуляция (МСА)'!$G$25:$G$103,$G235),_xlfn.SUMIFS(INDEX('Калькуляция (МИ)'!$AJ$25:$BC$603,,MATCH(AY$8,'Калькуляция (МИ)'!$AJ$8:$BC$8,0)),'Калькуляция (МИ)'!$F$25:$F$603,$F235,'Калькуляция (МИ)'!$G$25:$G$603,$G235))))</f>
        <v>0</v>
      </c>
      <c r="AZ235" s="4611">
        <f>IF(AND(method_reg="Метод индексации",god&lt;&gt;first_year),_xlfn.SUMIFS(INDEX('Калькуляция (МИ корр)'!$AJ$25:$BC$606,,MATCH(AZ$8,'Калькуляция (МИ корр)'!$AJ$8:$BC$8,0)),'Калькуляция (МИ корр)'!$F$25:$F$606,$F235,'Калькуляция (МИ корр)'!$G$25:$G$606,$G235),IF(method_reg="Метод экономически обоснованных расходов",_xlfn.SUMIFS('Калькуляция (МЭОР)'!$AK$25:$AK$367,'Калькуляция (МЭОР)'!$F$25:$F$367,$F235,'Калькуляция (МЭОР)'!$G$25:$G$367,$G235),IF(method_reg="Метод сравнения аналогов",_xlfn.SUMIFS('Калькуляция (МСА)'!$AF$25:$AF$103,'Калькуляция (МСА)'!$F$25:$F$103,$F235,'Калькуляция (МСА)'!$G$25:$G$103,$G235),_xlfn.SUMIFS(INDEX('Калькуляция (МИ)'!$AJ$25:$BC$603,,MATCH(AZ$8,'Калькуляция (МИ)'!$AJ$8:$BC$8,0)),'Калькуляция (МИ)'!$F$25:$F$603,$F235,'Калькуляция (МИ)'!$G$25:$G$603,$G235))))</f>
        <v>0</v>
      </c>
      <c r="BA235" s="292">
        <f>IF(AY235=0,0,(AZ235-AY235)/AY235*100)</f>
        <v>0</v>
      </c>
      <c r="BB235" s="4611">
        <f>IF(AND(method_reg="Метод индексации",god&lt;&gt;first_year),_xlfn.SUMIFS(INDEX('Калькуляция (МИ корр)'!$AJ$25:$BC$606,,MATCH(BB$8,'Калькуляция (МИ корр)'!$AJ$8:$BC$8,0)),'Калькуляция (МИ корр)'!$F$25:$F$606,$F235,'Калькуляция (МИ корр)'!$G$25:$G$606,$G235),IF(method_reg="Метод экономически обоснованных расходов",_xlfn.SUMIFS('Калькуляция (МЭОР)'!$AJ$25:$AJ$367,'Калькуляция (МЭОР)'!$F$25:$F$367,$F235,'Калькуляция (МЭОР)'!$G$25:$G$367,$G235),IF(method_reg="Метод сравнения аналогов",_xlfn.SUMIFS('Калькуляция (МСА)'!$AE$25:$AE$103,'Калькуляция (МСА)'!$F$25:$F$103,$F235,'Калькуляция (МСА)'!$G$25:$G$103,$G235),_xlfn.SUMIFS(INDEX('Калькуляция (МИ)'!$AJ$25:$BC$603,,MATCH(BB$8,'Калькуляция (МИ)'!$AJ$8:$BC$8,0)),'Калькуляция (МИ)'!$F$25:$F$603,$F235,'Калькуляция (МИ)'!$G$25:$G$603,$G235))))</f>
        <v>0</v>
      </c>
      <c r="BC235" s="4611">
        <f>IF(AND(method_reg="Метод индексации",god&lt;&gt;first_year),_xlfn.SUMIFS(INDEX('Калькуляция (МИ корр)'!$AJ$25:$BC$606,,MATCH(BC$8,'Калькуляция (МИ корр)'!$AJ$8:$BC$8,0)),'Калькуляция (МИ корр)'!$F$25:$F$606,$F235,'Калькуляция (МИ корр)'!$G$25:$G$606,$G235),IF(method_reg="Метод экономически обоснованных расходов",_xlfn.SUMIFS('Калькуляция (МЭОР)'!$AK$25:$AK$367,'Калькуляция (МЭОР)'!$F$25:$F$367,$F235,'Калькуляция (МЭОР)'!$G$25:$G$367,$G235),IF(method_reg="Метод сравнения аналогов",_xlfn.SUMIFS('Калькуляция (МСА)'!$AF$25:$AF$103,'Калькуляция (МСА)'!$F$25:$F$103,$F235,'Калькуляция (МСА)'!$G$25:$G$103,$G235),_xlfn.SUMIFS(INDEX('Калькуляция (МИ)'!$AJ$25:$BC$603,,MATCH(BC$8,'Калькуляция (МИ)'!$AJ$8:$BC$8,0)),'Калькуляция (МИ)'!$F$25:$F$603,$F235,'Калькуляция (МИ)'!$G$25:$G$603,$G235))))</f>
        <v>0</v>
      </c>
      <c r="BD235" s="292">
        <f>IF(BB235=0,0,(BC235-BB235)/BB235*100)</f>
        <v>0</v>
      </c>
      <c r="BE235" s="4611">
        <f>IF(AND(method_reg="Метод индексации",god&lt;&gt;first_year),_xlfn.SUMIFS(INDEX('Калькуляция (МИ корр)'!$AJ$25:$BC$606,,MATCH(BE$8,'Калькуляция (МИ корр)'!$AJ$8:$BC$8,0)),'Калькуляция (МИ корр)'!$F$25:$F$606,$F235,'Калькуляция (МИ корр)'!$G$25:$G$606,$G235),IF(method_reg="Метод экономически обоснованных расходов",_xlfn.SUMIFS('Калькуляция (МЭОР)'!$AJ$25:$AJ$367,'Калькуляция (МЭОР)'!$F$25:$F$367,$F235,'Калькуляция (МЭОР)'!$G$25:$G$367,$G235),IF(method_reg="Метод сравнения аналогов",_xlfn.SUMIFS('Калькуляция (МСА)'!$AE$25:$AE$103,'Калькуляция (МСА)'!$F$25:$F$103,$F235,'Калькуляция (МСА)'!$G$25:$G$103,$G235),_xlfn.SUMIFS(INDEX('Калькуляция (МИ)'!$AJ$25:$BC$603,,MATCH(BE$8,'Калькуляция (МИ)'!$AJ$8:$BC$8,0)),'Калькуляция (МИ)'!$F$25:$F$603,$F235,'Калькуляция (МИ)'!$G$25:$G$603,$G235))))</f>
        <v>0</v>
      </c>
      <c r="BF235" s="4611">
        <f>IF(AND(method_reg="Метод индексации",god&lt;&gt;first_year),_xlfn.SUMIFS(INDEX('Калькуляция (МИ корр)'!$AJ$25:$BC$606,,MATCH(BF$8,'Калькуляция (МИ корр)'!$AJ$8:$BC$8,0)),'Калькуляция (МИ корр)'!$F$25:$F$606,$F235,'Калькуляция (МИ корр)'!$G$25:$G$606,$G235),IF(method_reg="Метод экономически обоснованных расходов",_xlfn.SUMIFS('Калькуляция (МЭОР)'!$AK$25:$AK$367,'Калькуляция (МЭОР)'!$F$25:$F$367,$F235,'Калькуляция (МЭОР)'!$G$25:$G$367,$G235),IF(method_reg="Метод сравнения аналогов",_xlfn.SUMIFS('Калькуляция (МСА)'!$AF$25:$AF$103,'Калькуляция (МСА)'!$F$25:$F$103,$F235,'Калькуляция (МСА)'!$G$25:$G$103,$G235),_xlfn.SUMIFS(INDEX('Калькуляция (МИ)'!$AJ$25:$BC$603,,MATCH(BF$8,'Калькуляция (МИ)'!$AJ$8:$BC$8,0)),'Калькуляция (МИ)'!$F$25:$F$603,$F235,'Калькуляция (МИ)'!$G$25:$G$603,$G235))))</f>
        <v>0</v>
      </c>
      <c r="BG235" s="292">
        <f>IF(BE235=0,0,(BF235-BE235)/BE235*100)</f>
        <v>0</v>
      </c>
      <c r="BH235" s="4611"/>
      <c r="BI235" s="4611"/>
      <c r="BJ235" s="292">
        <f>IF(BH235=0,0,(BI235-BH235)/BH235*100)</f>
        <v>0</v>
      </c>
      <c r="BK235" s="4611"/>
      <c r="BL235" s="4611"/>
      <c r="BM235" s="292">
        <f>IF(BK235=0,0,(BL235-BK235)/BK235*100)</f>
        <v>0</v>
      </c>
      <c r="BN235" s="4611"/>
      <c r="BO235" s="4611"/>
      <c r="BP235" s="292">
        <f>IF(BN235=0,0,(BO235-BN235)/BN235*100)</f>
        <v>0</v>
      </c>
      <c r="BQ235" s="4611"/>
      <c r="BR235" s="4611"/>
      <c r="BS235" s="292">
        <f>IF(BQ235=0,0,(BR235-BQ235)/BQ235*100)</f>
        <v>0</v>
      </c>
      <c r="BT235" s="4611"/>
      <c r="BU235" s="4611"/>
      <c r="BV235" s="292">
        <f>IF(BT235=0,0,(BU235-BT235)/BT235*100)</f>
        <v>0</v>
      </c>
      <c r="BW235" s="4611"/>
      <c r="BX235" s="4611"/>
      <c r="BY235" s="292">
        <f>IF(BW235=0,0,(BX235-BW235)/BW235*100)</f>
        <v>0</v>
      </c>
      <c r="BZ235" s="4611"/>
      <c r="CA235" s="4611"/>
      <c r="CB235" s="292">
        <f>IF(BZ235=0,0,(CA235-BZ235)/BZ235*100)</f>
        <v>0</v>
      </c>
      <c r="CC235" s="4611"/>
      <c r="CD235" s="4611"/>
      <c r="CE235" s="292">
        <f>IF(CC235=0,0,(CD235-CC235)/CC235*100)</f>
        <v>0</v>
      </c>
      <c r="CF235" s="4611"/>
      <c r="CG235" s="4611"/>
      <c r="CH235" s="292">
        <f>IF(CF235=0,0,(CG235-CF235)/CF235*100)</f>
        <v>0</v>
      </c>
      <c r="CI235" s="4611"/>
      <c r="CJ235" s="4611"/>
      <c r="CK235" s="292">
        <f>IF(CI235=0,0,(CJ235-CI235)/CI235*100)</f>
        <v>0</v>
      </c>
      <c r="CL235" s="4611"/>
      <c r="CM235" s="4611"/>
      <c r="CN235" s="292">
        <f>IF(CL235=0,0,(CM235-CL235)/CL235*100)</f>
        <v>0</v>
      </c>
      <c r="CO235" s="4611"/>
      <c r="CP235" s="4611"/>
      <c r="CQ235" s="292">
        <f>IF(CO235=0,0,(CP235-CO235)/CO235*100)</f>
        <v>0</v>
      </c>
      <c r="CR235" s="4611"/>
      <c r="CS235" s="4611"/>
      <c r="CT235" s="292">
        <f>IF(CR235=0,0,(CS235-CR235)/CR235*100)</f>
        <v>0</v>
      </c>
      <c r="CU235" s="4611"/>
      <c r="CV235" s="4611"/>
      <c r="CW235" s="292">
        <f>IF(CU235=0,0,(CV235-CU235)/CU235*100)</f>
        <v>0</v>
      </c>
      <c r="CX235" s="4611"/>
      <c r="CY235" s="4611"/>
      <c r="CZ235" s="292">
        <f>IF(CX235=0,0,(CY235-CX235)/CX235*100)</f>
        <v>0</v>
      </c>
      <c r="DA235" s="4611"/>
      <c r="DB235" s="4611"/>
      <c r="DC235" s="292">
        <f>IF(DA235=0,0,(DB235-DA235)/DA235*100)</f>
        <v>0</v>
      </c>
      <c r="DD235" s="4611"/>
      <c r="DE235" s="4611"/>
      <c r="DF235" s="292">
        <f>IF(DD235=0,0,(DE235-DD235)/DD235*100)</f>
        <v>0</v>
      </c>
      <c r="DG235" s="4611"/>
      <c r="DH235" s="4611"/>
      <c r="DI235" s="292">
        <f>IF(DG235=0,0,(DH235-DG235)/DG235*100)</f>
        <v>0</v>
      </c>
      <c r="DJ235" s="4611"/>
      <c r="DK235" s="4611"/>
      <c r="DL235" s="292">
        <f>IF(DJ235=0,0,(DK235-DJ235)/DJ235*100)</f>
        <v>0</v>
      </c>
      <c r="DM235" s="4611"/>
      <c r="DN235" s="4611"/>
      <c r="DO235" s="292">
        <f>IF(DM235=0,0,(DN235-DM235)/DM235*100)</f>
        <v>0</v>
      </c>
      <c r="DP235" s="4611"/>
      <c r="DQ235" s="4611"/>
      <c r="DR235" s="292">
        <f>IF(DP235=0,0,(DQ235-DP235)/DP235*100)</f>
        <v>0</v>
      </c>
      <c r="DS235" s="4611"/>
      <c r="DT235" s="4611"/>
      <c r="DU235" s="292">
        <f>IF(DS235=0,0,(DT235-DS235)/DS235*100)</f>
        <v>0</v>
      </c>
      <c r="DV235" s="4611"/>
      <c r="DW235" s="4611"/>
      <c r="DX235" s="292">
        <f>IF(DV235=0,0,(DW235-DV235)/DV235*100)</f>
        <v>0</v>
      </c>
      <c r="DY235" s="4611"/>
      <c r="DZ235" s="4611"/>
      <c r="EA235" s="292">
        <f>IF(DY235=0,0,(DZ235-DY235)/DY235*100)</f>
        <v>0</v>
      </c>
      <c r="EB235" s="4611"/>
      <c r="EC235" s="4611"/>
      <c r="ED235" s="292">
        <f>IF(EB235=0,0,(EC235-EB235)/EB235*100)</f>
        <v>0</v>
      </c>
      <c r="EE235" s="4611"/>
      <c r="EF235" s="4611"/>
      <c r="EG235" s="292">
        <f>IF(EE235=0,0,(EF235-EE235)/EE235*100)</f>
        <v>0</v>
      </c>
      <c r="EH235" s="4611"/>
      <c r="EI235" s="4611"/>
      <c r="EJ235" s="292">
        <f>IF(EH235=0,0,(EI235-EH235)/EH235*100)</f>
        <v>0</v>
      </c>
      <c r="EK235" s="4611"/>
      <c r="EL235" s="4611"/>
      <c r="EM235" s="292">
        <f>IF(EK235=0,0,(EL235-EK235)/EK235*100)</f>
        <v>0</v>
      </c>
      <c r="EN235" s="4611"/>
      <c r="EO235" s="4611"/>
      <c r="EP235" s="292">
        <f>IF(EN235=0,0,(EO235-EN235)/EN235*100)</f>
        <v>0</v>
      </c>
      <c r="EQ235" s="4611"/>
      <c r="ER235" s="4611"/>
      <c r="ES235" s="292">
        <f>IF(EQ235=0,0,(ER235-EQ235)/EQ235*100)</f>
        <v>0</v>
      </c>
      <c r="ET235" s="4611"/>
      <c r="EU235" s="4611"/>
      <c r="EV235" s="292">
        <f>IF(ET235=0,0,(EU235-ET235)/ET235*100)</f>
        <v>0</v>
      </c>
      <c r="EW235" s="4611"/>
      <c r="EX235" s="4611"/>
      <c r="EY235" s="292">
        <f>IF(EW235=0,0,(EX235-EW235)/EW235*100)</f>
        <v>0</v>
      </c>
      <c r="EZ235" s="4611"/>
      <c r="FA235" s="4611"/>
      <c r="FB235" s="292">
        <f>IF(EZ235=0,0,(FA235-EZ235)/EZ235*100)</f>
        <v>0</v>
      </c>
      <c r="FC235" s="4611"/>
      <c r="FD235" s="4611"/>
      <c r="FE235" s="292">
        <f>IF(FC235=0,0,(FD235-FC235)/FC235*100)</f>
        <v>0</v>
      </c>
      <c r="FF235" s="4611"/>
      <c r="FG235" s="4611"/>
      <c r="FH235" s="292">
        <f>IF(FF235=0,0,(FG235-FF235)/FF235*100)</f>
        <v>0</v>
      </c>
      <c r="FI235" s="4611"/>
      <c r="FJ235" s="4611"/>
      <c r="FK235" s="292">
        <f>IF(FI235=0,0,(FJ235-FI235)/FI235*100)</f>
        <v>0</v>
      </c>
      <c r="FL235" s="4611"/>
      <c r="FM235" s="4611"/>
      <c r="FN235" s="292">
        <f>IF(FL235=0,0,(FM235-FL235)/FL235*100)</f>
        <v>0</v>
      </c>
      <c r="FO235" s="4611"/>
      <c r="FP235" s="4611"/>
      <c r="FQ235" s="292">
        <f>IF(FO235=0,0,(FP235-FO235)/FO235*100)</f>
        <v>0</v>
      </c>
      <c r="FR235" s="4611"/>
      <c r="FS235" s="4611"/>
      <c r="FT235" s="292">
        <f>IF(FR235=0,0,(FS235-FR235)/FR235*100)</f>
        <v>0</v>
      </c>
      <c r="FU235" s="4611"/>
      <c r="FV235" s="4611"/>
      <c r="FW235" s="292">
        <f>IF(FU235=0,0,(FV235-FU235)/FU235*100)</f>
        <v>0</v>
      </c>
      <c r="FX235" s="288"/>
      <c r="FY235" s="288"/>
      <c r="FZ235" s="1063" t="s">
        <v>1942</v>
      </c>
      <c r="GA235" s="1063"/>
      <c r="GB235" s="1063"/>
      <c r="GC235" s="1064"/>
      <c r="GD235" s="1064"/>
    </row>
    <row s="5395" customFormat="1" customHeight="1" ht="23.25" hidden="1">
      <c r="A236" s="904"/>
      <c r="B236" s="932" cm="1" t="str">
        <f t="array" ref="B236:B236">B235</f>
        <v>false</v>
      </c>
      <c r="C236" s="904"/>
      <c r="D236" s="904"/>
      <c r="E236" s="847">
        <v>24.5</v>
      </c>
      <c r="F236" s="50" cm="1" t="str">
        <f t="array" ref="F236:F236">OFFSET(E236,-1,1)</f>
        <v>2</v>
      </c>
      <c r="G236" s="103" t="s">
        <v>1864</v>
      </c>
      <c r="H236" s="496" t="s">
        <v>566</v>
      </c>
      <c r="I236" s="496" t="s">
        <v>1943</v>
      </c>
      <c r="J236" s="904"/>
      <c r="K236" s="904"/>
      <c r="L236" s="904"/>
      <c r="M236" s="904"/>
      <c r="N236" s="904"/>
      <c r="O236" s="904"/>
      <c r="P236" s="904"/>
      <c r="Q236" s="904"/>
      <c r="R236" s="904"/>
      <c r="S236" s="496"/>
      <c r="T236" s="468" cm="1" t="str">
        <f t="array" ref="T236:T236">T235</f>
        <v>true</v>
      </c>
      <c r="U236" s="904"/>
      <c r="V236" s="904"/>
      <c r="W236" s="904"/>
      <c r="X236" s="1559"/>
      <c r="Y236" s="904"/>
      <c r="Z236" s="1528"/>
      <c r="AA236" s="904"/>
      <c r="AB236" s="215" t="s">
        <v>1944</v>
      </c>
      <c r="AC236" s="230" t="s">
        <v>1862</v>
      </c>
      <c r="AD236" s="4611">
        <f>IF(AND(method_reg="Метод индексации",god&lt;&gt;first_year),_xlfn.SUMIFS(INDEX('Калькуляция (МИ корр)'!$AJ$25:$BC$606,,MATCH(AD$8,'Калькуляция (МИ корр)'!$AJ$8:$BC$8,0)),'Калькуляция (МИ корр)'!$F$25:$F$606,$F236,'Калькуляция (МИ корр)'!$G$25:$G$606,$G236),IF(method_reg="Метод экономически обоснованных расходов",_xlfn.SUMIFS('Калькуляция (МЭОР)'!$AJ$25:$AJ$367,'Калькуляция (МЭОР)'!$F$25:$F$367,$F236,'Калькуляция (МЭОР)'!$G$25:$G$367,$G236),IF(method_reg="Метод сравнения аналогов",_xlfn.SUMIFS('Калькуляция (МСА)'!$AE$25:$AE$103,'Калькуляция (МСА)'!$F$25:$F$103,$F236,'Калькуляция (МСА)'!$G$25:$G$103,$G236),_xlfn.SUMIFS(INDEX('Калькуляция (МИ)'!$AJ$25:$BC$603,,MATCH(AD$8,'Калькуляция (МИ)'!$AJ$8:$BC$8,0)),'Калькуляция (МИ)'!$F$25:$F$603,$F236,'Калькуляция (МИ)'!$G$25:$G$603,$G236))))</f>
        <v>68.7509459590162</v>
      </c>
      <c r="AE236" s="4611">
        <f>IF(AND(method_reg="Метод индексации",god&lt;&gt;first_year),_xlfn.SUMIFS(INDEX('Калькуляция (МИ корр)'!$AJ$25:$BC$606,,MATCH(AE$8,'Калькуляция (МИ корр)'!$AJ$8:$BC$8,0)),'Калькуляция (МИ корр)'!$F$25:$F$606,$F236,'Калькуляция (МИ корр)'!$G$25:$G$606,$G236),IF(method_reg="Метод экономически обоснованных расходов",_xlfn.SUMIFS('Калькуляция (МЭОР)'!$AK$25:$AK$367,'Калькуляция (МЭОР)'!$F$25:$F$367,$F236,'Калькуляция (МЭОР)'!$G$25:$G$367,$G236),IF(method_reg="Метод сравнения аналогов",_xlfn.SUMIFS('Калькуляция (МСА)'!$AF$25:$AF$103,'Калькуляция (МСА)'!$F$25:$F$103,$F236,'Калькуляция (МСА)'!$G$25:$G$103,$G236),_xlfn.SUMIFS(INDEX('Калькуляция (МИ)'!$AJ$25:$BC$603,,MATCH(AE$8,'Калькуляция (МИ)'!$AJ$8:$BC$8,0)),'Калькуляция (МИ)'!$F$25:$F$603,$F236,'Калькуляция (МИ)'!$G$25:$G$603,$G236))))</f>
        <v>50.8799995500676</v>
      </c>
      <c r="AF236" s="292">
        <f>IF(AD236=0,0,(AE236-AD236)/AD236*100)</f>
        <v>-25.9937462091094</v>
      </c>
      <c r="AG236" s="4611">
        <f>IF(AND(method_reg="Метод индексации",god&lt;&gt;first_year),_xlfn.SUMIFS(INDEX('Калькуляция (МИ корр)'!$AJ$25:$BC$606,,MATCH(AG$8,'Калькуляция (МИ корр)'!$AJ$8:$BC$8,0)),'Калькуляция (МИ корр)'!$F$25:$F$606,$F236,'Калькуляция (МИ корр)'!$G$25:$G$606,$G236),IF(method_reg="Метод экономически обоснованных расходов",_xlfn.SUMIFS('Калькуляция (МЭОР)'!$AJ$25:$AJ$367,'Калькуляция (МЭОР)'!$F$25:$F$367,$F236,'Калькуляция (МЭОР)'!$G$25:$G$367,$G236),IF(method_reg="Метод сравнения аналогов",_xlfn.SUMIFS('Калькуляция (МСА)'!$AE$25:$AE$103,'Калькуляция (МСА)'!$F$25:$F$103,$F236,'Калькуляция (МСА)'!$G$25:$G$103,$G236),_xlfn.SUMIFS(INDEX('Калькуляция (МИ)'!$AJ$25:$BC$603,,MATCH(AG$8,'Калькуляция (МИ)'!$AJ$8:$BC$8,0)),'Калькуляция (МИ)'!$F$25:$F$603,$F236,'Калькуляция (МИ)'!$G$25:$G$603,$G236))))</f>
        <v>0</v>
      </c>
      <c r="AH236" s="4611">
        <f>IF(AND(method_reg="Метод индексации",god&lt;&gt;first_year),_xlfn.SUMIFS(INDEX('Калькуляция (МИ корр)'!$AJ$25:$BC$606,,MATCH(AH$8,'Калькуляция (МИ корр)'!$AJ$8:$BC$8,0)),'Калькуляция (МИ корр)'!$F$25:$F$606,$F236,'Калькуляция (МИ корр)'!$G$25:$G$606,$G236),IF(method_reg="Метод экономически обоснованных расходов",_xlfn.SUMIFS('Калькуляция (МЭОР)'!$AK$25:$AK$367,'Калькуляция (МЭОР)'!$F$25:$F$367,$F236,'Калькуляция (МЭОР)'!$G$25:$G$367,$G236),IF(method_reg="Метод сравнения аналогов",_xlfn.SUMIFS('Калькуляция (МСА)'!$AF$25:$AF$103,'Калькуляция (МСА)'!$F$25:$F$103,$F236,'Калькуляция (МСА)'!$G$25:$G$103,$G236),_xlfn.SUMIFS(INDEX('Калькуляция (МИ)'!$AJ$25:$BC$603,,MATCH(AH$8,'Калькуляция (МИ)'!$AJ$8:$BC$8,0)),'Калькуляция (МИ)'!$F$25:$F$603,$F236,'Калькуляция (МИ)'!$G$25:$G$603,$G236))))</f>
        <v>0</v>
      </c>
      <c r="AI236" s="292">
        <f>IF(AG236=0,0,(AH236-AG236)/AG236*100)</f>
        <v>0</v>
      </c>
      <c r="AJ236" s="4611">
        <f>IF(AND(method_reg="Метод индексации",god&lt;&gt;first_year),_xlfn.SUMIFS(INDEX('Калькуляция (МИ корр)'!$AJ$25:$BC$606,,MATCH(AJ$8,'Калькуляция (МИ корр)'!$AJ$8:$BC$8,0)),'Калькуляция (МИ корр)'!$F$25:$F$606,$F236,'Калькуляция (МИ корр)'!$G$25:$G$606,$G236),IF(method_reg="Метод экономически обоснованных расходов",_xlfn.SUMIFS('Калькуляция (МЭОР)'!$AJ$25:$AJ$367,'Калькуляция (МЭОР)'!$F$25:$F$367,$F236,'Калькуляция (МЭОР)'!$G$25:$G$367,$G236),IF(method_reg="Метод сравнения аналогов",_xlfn.SUMIFS('Калькуляция (МСА)'!$AE$25:$AE$103,'Калькуляция (МСА)'!$F$25:$F$103,$F236,'Калькуляция (МСА)'!$G$25:$G$103,$G236),_xlfn.SUMIFS(INDEX('Калькуляция (МИ)'!$AJ$25:$BC$603,,MATCH(AJ$8,'Калькуляция (МИ)'!$AJ$8:$BC$8,0)),'Калькуляция (МИ)'!$F$25:$F$603,$F236,'Калькуляция (МИ)'!$G$25:$G$603,$G236))))</f>
        <v>0</v>
      </c>
      <c r="AK236" s="4611">
        <f>IF(AND(method_reg="Метод индексации",god&lt;&gt;first_year),_xlfn.SUMIFS(INDEX('Калькуляция (МИ корр)'!$AJ$25:$BC$606,,MATCH(AK$8,'Калькуляция (МИ корр)'!$AJ$8:$BC$8,0)),'Калькуляция (МИ корр)'!$F$25:$F$606,$F236,'Калькуляция (МИ корр)'!$G$25:$G$606,$G236),IF(method_reg="Метод экономически обоснованных расходов",_xlfn.SUMIFS('Калькуляция (МЭОР)'!$AK$25:$AK$367,'Калькуляция (МЭОР)'!$F$25:$F$367,$F236,'Калькуляция (МЭОР)'!$G$25:$G$367,$G236),IF(method_reg="Метод сравнения аналогов",_xlfn.SUMIFS('Калькуляция (МСА)'!$AF$25:$AF$103,'Калькуляция (МСА)'!$F$25:$F$103,$F236,'Калькуляция (МСА)'!$G$25:$G$103,$G236),_xlfn.SUMIFS(INDEX('Калькуляция (МИ)'!$AJ$25:$BC$603,,MATCH(AK$8,'Калькуляция (МИ)'!$AJ$8:$BC$8,0)),'Калькуляция (МИ)'!$F$25:$F$603,$F236,'Калькуляция (МИ)'!$G$25:$G$603,$G236))))</f>
        <v>0</v>
      </c>
      <c r="AL236" s="292">
        <f>IF(AJ236=0,0,(AK236-AJ236)/AJ236*100)</f>
        <v>0</v>
      </c>
      <c r="AM236" s="4611">
        <f>IF(AND(method_reg="Метод индексации",god&lt;&gt;first_year),_xlfn.SUMIFS(INDEX('Калькуляция (МИ корр)'!$AJ$25:$BC$606,,MATCH(AM$8,'Калькуляция (МИ корр)'!$AJ$8:$BC$8,0)),'Калькуляция (МИ корр)'!$F$25:$F$606,$F236,'Калькуляция (МИ корр)'!$G$25:$G$606,$G236),IF(method_reg="Метод экономически обоснованных расходов",_xlfn.SUMIFS('Калькуляция (МЭОР)'!$AJ$25:$AJ$367,'Калькуляция (МЭОР)'!$F$25:$F$367,$F236,'Калькуляция (МЭОР)'!$G$25:$G$367,$G236),IF(method_reg="Метод сравнения аналогов",_xlfn.SUMIFS('Калькуляция (МСА)'!$AE$25:$AE$103,'Калькуляция (МСА)'!$F$25:$F$103,$F236,'Калькуляция (МСА)'!$G$25:$G$103,$G236),_xlfn.SUMIFS(INDEX('Калькуляция (МИ)'!$AJ$25:$BC$603,,MATCH(AM$8,'Калькуляция (МИ)'!$AJ$8:$BC$8,0)),'Калькуляция (МИ)'!$F$25:$F$603,$F236,'Калькуляция (МИ)'!$G$25:$G$603,$G236))))</f>
        <v>0</v>
      </c>
      <c r="AN236" s="4611">
        <f>IF(AND(method_reg="Метод индексации",god&lt;&gt;first_year),_xlfn.SUMIFS(INDEX('Калькуляция (МИ корр)'!$AJ$25:$BC$606,,MATCH(AN$8,'Калькуляция (МИ корр)'!$AJ$8:$BC$8,0)),'Калькуляция (МИ корр)'!$F$25:$F$606,$F236,'Калькуляция (МИ корр)'!$G$25:$G$606,$G236),IF(method_reg="Метод экономически обоснованных расходов",_xlfn.SUMIFS('Калькуляция (МЭОР)'!$AK$25:$AK$367,'Калькуляция (МЭОР)'!$F$25:$F$367,$F236,'Калькуляция (МЭОР)'!$G$25:$G$367,$G236),IF(method_reg="Метод сравнения аналогов",_xlfn.SUMIFS('Калькуляция (МСА)'!$AF$25:$AF$103,'Калькуляция (МСА)'!$F$25:$F$103,$F236,'Калькуляция (МСА)'!$G$25:$G$103,$G236),_xlfn.SUMIFS(INDEX('Калькуляция (МИ)'!$AJ$25:$BC$603,,MATCH(AN$8,'Калькуляция (МИ)'!$AJ$8:$BC$8,0)),'Калькуляция (МИ)'!$F$25:$F$603,$F236,'Калькуляция (МИ)'!$G$25:$G$603,$G236))))</f>
        <v>0</v>
      </c>
      <c r="AO236" s="292">
        <f>IF(AM236=0,0,(AN236-AM236)/AM236*100)</f>
        <v>0</v>
      </c>
      <c r="AP236" s="4611">
        <f>IF(AND(method_reg="Метод индексации",god&lt;&gt;first_year),_xlfn.SUMIFS(INDEX('Калькуляция (МИ корр)'!$AJ$25:$BC$606,,MATCH(AP$8,'Калькуляция (МИ корр)'!$AJ$8:$BC$8,0)),'Калькуляция (МИ корр)'!$F$25:$F$606,$F236,'Калькуляция (МИ корр)'!$G$25:$G$606,$G236),IF(method_reg="Метод экономически обоснованных расходов",_xlfn.SUMIFS('Калькуляция (МЭОР)'!$AJ$25:$AJ$367,'Калькуляция (МЭОР)'!$F$25:$F$367,$F236,'Калькуляция (МЭОР)'!$G$25:$G$367,$G236),IF(method_reg="Метод сравнения аналогов",_xlfn.SUMIFS('Калькуляция (МСА)'!$AE$25:$AE$103,'Калькуляция (МСА)'!$F$25:$F$103,$F236,'Калькуляция (МСА)'!$G$25:$G$103,$G236),_xlfn.SUMIFS(INDEX('Калькуляция (МИ)'!$AJ$25:$BC$603,,MATCH(AP$8,'Калькуляция (МИ)'!$AJ$8:$BC$8,0)),'Калькуляция (МИ)'!$F$25:$F$603,$F236,'Калькуляция (МИ)'!$G$25:$G$603,$G236))))</f>
        <v>0</v>
      </c>
      <c r="AQ236" s="4611">
        <f>IF(AND(method_reg="Метод индексации",god&lt;&gt;first_year),_xlfn.SUMIFS(INDEX('Калькуляция (МИ корр)'!$AJ$25:$BC$606,,MATCH(AQ$8,'Калькуляция (МИ корр)'!$AJ$8:$BC$8,0)),'Калькуляция (МИ корр)'!$F$25:$F$606,$F236,'Калькуляция (МИ корр)'!$G$25:$G$606,$G236),IF(method_reg="Метод экономически обоснованных расходов",_xlfn.SUMIFS('Калькуляция (МЭОР)'!$AK$25:$AK$367,'Калькуляция (МЭОР)'!$F$25:$F$367,$F236,'Калькуляция (МЭОР)'!$G$25:$G$367,$G236),IF(method_reg="Метод сравнения аналогов",_xlfn.SUMIFS('Калькуляция (МСА)'!$AF$25:$AF$103,'Калькуляция (МСА)'!$F$25:$F$103,$F236,'Калькуляция (МСА)'!$G$25:$G$103,$G236),_xlfn.SUMIFS(INDEX('Калькуляция (МИ)'!$AJ$25:$BC$603,,MATCH(AQ$8,'Калькуляция (МИ)'!$AJ$8:$BC$8,0)),'Калькуляция (МИ)'!$F$25:$F$603,$F236,'Калькуляция (МИ)'!$G$25:$G$603,$G236))))</f>
        <v>0</v>
      </c>
      <c r="AR236" s="292">
        <f>IF(AP236=0,0,(AQ236-AP236)/AP236*100)</f>
        <v>0</v>
      </c>
      <c r="AS236" s="4611">
        <f>IF(AND(method_reg="Метод индексации",god&lt;&gt;first_year),_xlfn.SUMIFS(INDEX('Калькуляция (МИ корр)'!$AJ$25:$BC$606,,MATCH(AS$8,'Калькуляция (МИ корр)'!$AJ$8:$BC$8,0)),'Калькуляция (МИ корр)'!$F$25:$F$606,$F236,'Калькуляция (МИ корр)'!$G$25:$G$606,$G236),IF(method_reg="Метод экономически обоснованных расходов",_xlfn.SUMIFS('Калькуляция (МЭОР)'!$AJ$25:$AJ$367,'Калькуляция (МЭОР)'!$F$25:$F$367,$F236,'Калькуляция (МЭОР)'!$G$25:$G$367,$G236),IF(method_reg="Метод сравнения аналогов",_xlfn.SUMIFS('Калькуляция (МСА)'!$AE$25:$AE$103,'Калькуляция (МСА)'!$F$25:$F$103,$F236,'Калькуляция (МСА)'!$G$25:$G$103,$G236),_xlfn.SUMIFS(INDEX('Калькуляция (МИ)'!$AJ$25:$BC$603,,MATCH(AS$8,'Калькуляция (МИ)'!$AJ$8:$BC$8,0)),'Калькуляция (МИ)'!$F$25:$F$603,$F236,'Калькуляция (МИ)'!$G$25:$G$603,$G236))))</f>
        <v>0</v>
      </c>
      <c r="AT236" s="4611">
        <f>IF(AND(method_reg="Метод индексации",god&lt;&gt;first_year),_xlfn.SUMIFS(INDEX('Калькуляция (МИ корр)'!$AJ$25:$BC$606,,MATCH(AT$8,'Калькуляция (МИ корр)'!$AJ$8:$BC$8,0)),'Калькуляция (МИ корр)'!$F$25:$F$606,$F236,'Калькуляция (МИ корр)'!$G$25:$G$606,$G236),IF(method_reg="Метод экономически обоснованных расходов",_xlfn.SUMIFS('Калькуляция (МЭОР)'!$AK$25:$AK$367,'Калькуляция (МЭОР)'!$F$25:$F$367,$F236,'Калькуляция (МЭОР)'!$G$25:$G$367,$G236),IF(method_reg="Метод сравнения аналогов",_xlfn.SUMIFS('Калькуляция (МСА)'!$AF$25:$AF$103,'Калькуляция (МСА)'!$F$25:$F$103,$F236,'Калькуляция (МСА)'!$G$25:$G$103,$G236),_xlfn.SUMIFS(INDEX('Калькуляция (МИ)'!$AJ$25:$BC$603,,MATCH(AT$8,'Калькуляция (МИ)'!$AJ$8:$BC$8,0)),'Калькуляция (МИ)'!$F$25:$F$603,$F236,'Калькуляция (МИ)'!$G$25:$G$603,$G236))))</f>
        <v>0</v>
      </c>
      <c r="AU236" s="292">
        <f>IF(AS236=0,0,(AT236-AS236)/AS236*100)</f>
        <v>0</v>
      </c>
      <c r="AV236" s="4611">
        <f>IF(AND(method_reg="Метод индексации",god&lt;&gt;first_year),_xlfn.SUMIFS(INDEX('Калькуляция (МИ корр)'!$AJ$25:$BC$606,,MATCH(AV$8,'Калькуляция (МИ корр)'!$AJ$8:$BC$8,0)),'Калькуляция (МИ корр)'!$F$25:$F$606,$F236,'Калькуляция (МИ корр)'!$G$25:$G$606,$G236),IF(method_reg="Метод экономически обоснованных расходов",_xlfn.SUMIFS('Калькуляция (МЭОР)'!$AJ$25:$AJ$367,'Калькуляция (МЭОР)'!$F$25:$F$367,$F236,'Калькуляция (МЭОР)'!$G$25:$G$367,$G236),IF(method_reg="Метод сравнения аналогов",_xlfn.SUMIFS('Калькуляция (МСА)'!$AE$25:$AE$103,'Калькуляция (МСА)'!$F$25:$F$103,$F236,'Калькуляция (МСА)'!$G$25:$G$103,$G236),_xlfn.SUMIFS(INDEX('Калькуляция (МИ)'!$AJ$25:$BC$603,,MATCH(AV$8,'Калькуляция (МИ)'!$AJ$8:$BC$8,0)),'Калькуляция (МИ)'!$F$25:$F$603,$F236,'Калькуляция (МИ)'!$G$25:$G$603,$G236))))</f>
        <v>0</v>
      </c>
      <c r="AW236" s="4611">
        <f>IF(AND(method_reg="Метод индексации",god&lt;&gt;first_year),_xlfn.SUMIFS(INDEX('Калькуляция (МИ корр)'!$AJ$25:$BC$606,,MATCH(AW$8,'Калькуляция (МИ корр)'!$AJ$8:$BC$8,0)),'Калькуляция (МИ корр)'!$F$25:$F$606,$F236,'Калькуляция (МИ корр)'!$G$25:$G$606,$G236),IF(method_reg="Метод экономически обоснованных расходов",_xlfn.SUMIFS('Калькуляция (МЭОР)'!$AK$25:$AK$367,'Калькуляция (МЭОР)'!$F$25:$F$367,$F236,'Калькуляция (МЭОР)'!$G$25:$G$367,$G236),IF(method_reg="Метод сравнения аналогов",_xlfn.SUMIFS('Калькуляция (МСА)'!$AF$25:$AF$103,'Калькуляция (МСА)'!$F$25:$F$103,$F236,'Калькуляция (МСА)'!$G$25:$G$103,$G236),_xlfn.SUMIFS(INDEX('Калькуляция (МИ)'!$AJ$25:$BC$603,,MATCH(AW$8,'Калькуляция (МИ)'!$AJ$8:$BC$8,0)),'Калькуляция (МИ)'!$F$25:$F$603,$F236,'Калькуляция (МИ)'!$G$25:$G$603,$G236))))</f>
        <v>0</v>
      </c>
      <c r="AX236" s="292">
        <f>IF(AV236=0,0,(AW236-AV236)/AV236*100)</f>
        <v>0</v>
      </c>
      <c r="AY236" s="4611">
        <f>IF(AND(method_reg="Метод индексации",god&lt;&gt;first_year),_xlfn.SUMIFS(INDEX('Калькуляция (МИ корр)'!$AJ$25:$BC$606,,MATCH(AY$8,'Калькуляция (МИ корр)'!$AJ$8:$BC$8,0)),'Калькуляция (МИ корр)'!$F$25:$F$606,$F236,'Калькуляция (МИ корр)'!$G$25:$G$606,$G236),IF(method_reg="Метод экономически обоснованных расходов",_xlfn.SUMIFS('Калькуляция (МЭОР)'!$AJ$25:$AJ$367,'Калькуляция (МЭОР)'!$F$25:$F$367,$F236,'Калькуляция (МЭОР)'!$G$25:$G$367,$G236),IF(method_reg="Метод сравнения аналогов",_xlfn.SUMIFS('Калькуляция (МСА)'!$AE$25:$AE$103,'Калькуляция (МСА)'!$F$25:$F$103,$F236,'Калькуляция (МСА)'!$G$25:$G$103,$G236),_xlfn.SUMIFS(INDEX('Калькуляция (МИ)'!$AJ$25:$BC$603,,MATCH(AY$8,'Калькуляция (МИ)'!$AJ$8:$BC$8,0)),'Калькуляция (МИ)'!$F$25:$F$603,$F236,'Калькуляция (МИ)'!$G$25:$G$603,$G236))))</f>
        <v>0</v>
      </c>
      <c r="AZ236" s="4611">
        <f>IF(AND(method_reg="Метод индексации",god&lt;&gt;first_year),_xlfn.SUMIFS(INDEX('Калькуляция (МИ корр)'!$AJ$25:$BC$606,,MATCH(AZ$8,'Калькуляция (МИ корр)'!$AJ$8:$BC$8,0)),'Калькуляция (МИ корр)'!$F$25:$F$606,$F236,'Калькуляция (МИ корр)'!$G$25:$G$606,$G236),IF(method_reg="Метод экономически обоснованных расходов",_xlfn.SUMIFS('Калькуляция (МЭОР)'!$AK$25:$AK$367,'Калькуляция (МЭОР)'!$F$25:$F$367,$F236,'Калькуляция (МЭОР)'!$G$25:$G$367,$G236),IF(method_reg="Метод сравнения аналогов",_xlfn.SUMIFS('Калькуляция (МСА)'!$AF$25:$AF$103,'Калькуляция (МСА)'!$F$25:$F$103,$F236,'Калькуляция (МСА)'!$G$25:$G$103,$G236),_xlfn.SUMIFS(INDEX('Калькуляция (МИ)'!$AJ$25:$BC$603,,MATCH(AZ$8,'Калькуляция (МИ)'!$AJ$8:$BC$8,0)),'Калькуляция (МИ)'!$F$25:$F$603,$F236,'Калькуляция (МИ)'!$G$25:$G$603,$G236))))</f>
        <v>0</v>
      </c>
      <c r="BA236" s="292">
        <f>IF(AY236=0,0,(AZ236-AY236)/AY236*100)</f>
        <v>0</v>
      </c>
      <c r="BB236" s="4611">
        <f>IF(AND(method_reg="Метод индексации",god&lt;&gt;first_year),_xlfn.SUMIFS(INDEX('Калькуляция (МИ корр)'!$AJ$25:$BC$606,,MATCH(BB$8,'Калькуляция (МИ корр)'!$AJ$8:$BC$8,0)),'Калькуляция (МИ корр)'!$F$25:$F$606,$F236,'Калькуляция (МИ корр)'!$G$25:$G$606,$G236),IF(method_reg="Метод экономически обоснованных расходов",_xlfn.SUMIFS('Калькуляция (МЭОР)'!$AJ$25:$AJ$367,'Калькуляция (МЭОР)'!$F$25:$F$367,$F236,'Калькуляция (МЭОР)'!$G$25:$G$367,$G236),IF(method_reg="Метод сравнения аналогов",_xlfn.SUMIFS('Калькуляция (МСА)'!$AE$25:$AE$103,'Калькуляция (МСА)'!$F$25:$F$103,$F236,'Калькуляция (МСА)'!$G$25:$G$103,$G236),_xlfn.SUMIFS(INDEX('Калькуляция (МИ)'!$AJ$25:$BC$603,,MATCH(BB$8,'Калькуляция (МИ)'!$AJ$8:$BC$8,0)),'Калькуляция (МИ)'!$F$25:$F$603,$F236,'Калькуляция (МИ)'!$G$25:$G$603,$G236))))</f>
        <v>0</v>
      </c>
      <c r="BC236" s="4611">
        <f>IF(AND(method_reg="Метод индексации",god&lt;&gt;first_year),_xlfn.SUMIFS(INDEX('Калькуляция (МИ корр)'!$AJ$25:$BC$606,,MATCH(BC$8,'Калькуляция (МИ корр)'!$AJ$8:$BC$8,0)),'Калькуляция (МИ корр)'!$F$25:$F$606,$F236,'Калькуляция (МИ корр)'!$G$25:$G$606,$G236),IF(method_reg="Метод экономически обоснованных расходов",_xlfn.SUMIFS('Калькуляция (МЭОР)'!$AK$25:$AK$367,'Калькуляция (МЭОР)'!$F$25:$F$367,$F236,'Калькуляция (МЭОР)'!$G$25:$G$367,$G236),IF(method_reg="Метод сравнения аналогов",_xlfn.SUMIFS('Калькуляция (МСА)'!$AF$25:$AF$103,'Калькуляция (МСА)'!$F$25:$F$103,$F236,'Калькуляция (МСА)'!$G$25:$G$103,$G236),_xlfn.SUMIFS(INDEX('Калькуляция (МИ)'!$AJ$25:$BC$603,,MATCH(BC$8,'Калькуляция (МИ)'!$AJ$8:$BC$8,0)),'Калькуляция (МИ)'!$F$25:$F$603,$F236,'Калькуляция (МИ)'!$G$25:$G$603,$G236))))</f>
        <v>0</v>
      </c>
      <c r="BD236" s="292">
        <f>IF(BB236=0,0,(BC236-BB236)/BB236*100)</f>
        <v>0</v>
      </c>
      <c r="BE236" s="4611">
        <f>IF(AND(method_reg="Метод индексации",god&lt;&gt;first_year),_xlfn.SUMIFS(INDEX('Калькуляция (МИ корр)'!$AJ$25:$BC$606,,MATCH(BE$8,'Калькуляция (МИ корр)'!$AJ$8:$BC$8,0)),'Калькуляция (МИ корр)'!$F$25:$F$606,$F236,'Калькуляция (МИ корр)'!$G$25:$G$606,$G236),IF(method_reg="Метод экономически обоснованных расходов",_xlfn.SUMIFS('Калькуляция (МЭОР)'!$AJ$25:$AJ$367,'Калькуляция (МЭОР)'!$F$25:$F$367,$F236,'Калькуляция (МЭОР)'!$G$25:$G$367,$G236),IF(method_reg="Метод сравнения аналогов",_xlfn.SUMIFS('Калькуляция (МСА)'!$AE$25:$AE$103,'Калькуляция (МСА)'!$F$25:$F$103,$F236,'Калькуляция (МСА)'!$G$25:$G$103,$G236),_xlfn.SUMIFS(INDEX('Калькуляция (МИ)'!$AJ$25:$BC$603,,MATCH(BE$8,'Калькуляция (МИ)'!$AJ$8:$BC$8,0)),'Калькуляция (МИ)'!$F$25:$F$603,$F236,'Калькуляция (МИ)'!$G$25:$G$603,$G236))))</f>
        <v>0</v>
      </c>
      <c r="BF236" s="4611">
        <f>IF(AND(method_reg="Метод индексации",god&lt;&gt;first_year),_xlfn.SUMIFS(INDEX('Калькуляция (МИ корр)'!$AJ$25:$BC$606,,MATCH(BF$8,'Калькуляция (МИ корр)'!$AJ$8:$BC$8,0)),'Калькуляция (МИ корр)'!$F$25:$F$606,$F236,'Калькуляция (МИ корр)'!$G$25:$G$606,$G236),IF(method_reg="Метод экономически обоснованных расходов",_xlfn.SUMIFS('Калькуляция (МЭОР)'!$AK$25:$AK$367,'Калькуляция (МЭОР)'!$F$25:$F$367,$F236,'Калькуляция (МЭОР)'!$G$25:$G$367,$G236),IF(method_reg="Метод сравнения аналогов",_xlfn.SUMIFS('Калькуляция (МСА)'!$AF$25:$AF$103,'Калькуляция (МСА)'!$F$25:$F$103,$F236,'Калькуляция (МСА)'!$G$25:$G$103,$G236),_xlfn.SUMIFS(INDEX('Калькуляция (МИ)'!$AJ$25:$BC$603,,MATCH(BF$8,'Калькуляция (МИ)'!$AJ$8:$BC$8,0)),'Калькуляция (МИ)'!$F$25:$F$603,$F236,'Калькуляция (МИ)'!$G$25:$G$603,$G236))))</f>
        <v>0</v>
      </c>
      <c r="BG236" s="292">
        <f>IF(BE236=0,0,(BF236-BE236)/BE236*100)</f>
        <v>0</v>
      </c>
      <c r="BH236" s="4611"/>
      <c r="BI236" s="4611"/>
      <c r="BJ236" s="292">
        <f>IF(BH236=0,0,(BI236-BH236)/BH236*100)</f>
        <v>0</v>
      </c>
      <c r="BK236" s="4611"/>
      <c r="BL236" s="4611"/>
      <c r="BM236" s="292">
        <f>IF(BK236=0,0,(BL236-BK236)/BK236*100)</f>
        <v>0</v>
      </c>
      <c r="BN236" s="4611"/>
      <c r="BO236" s="4611"/>
      <c r="BP236" s="292">
        <f>IF(BN236=0,0,(BO236-BN236)/BN236*100)</f>
        <v>0</v>
      </c>
      <c r="BQ236" s="4611"/>
      <c r="BR236" s="4611"/>
      <c r="BS236" s="292">
        <f>IF(BQ236=0,0,(BR236-BQ236)/BQ236*100)</f>
        <v>0</v>
      </c>
      <c r="BT236" s="4611"/>
      <c r="BU236" s="4611"/>
      <c r="BV236" s="292">
        <f>IF(BT236=0,0,(BU236-BT236)/BT236*100)</f>
        <v>0</v>
      </c>
      <c r="BW236" s="4611"/>
      <c r="BX236" s="4611"/>
      <c r="BY236" s="292">
        <f>IF(BW236=0,0,(BX236-BW236)/BW236*100)</f>
        <v>0</v>
      </c>
      <c r="BZ236" s="4611"/>
      <c r="CA236" s="4611"/>
      <c r="CB236" s="292">
        <f>IF(BZ236=0,0,(CA236-BZ236)/BZ236*100)</f>
        <v>0</v>
      </c>
      <c r="CC236" s="4611"/>
      <c r="CD236" s="4611"/>
      <c r="CE236" s="292">
        <f>IF(CC236=0,0,(CD236-CC236)/CC236*100)</f>
        <v>0</v>
      </c>
      <c r="CF236" s="4611"/>
      <c r="CG236" s="4611"/>
      <c r="CH236" s="292">
        <f>IF(CF236=0,0,(CG236-CF236)/CF236*100)</f>
        <v>0</v>
      </c>
      <c r="CI236" s="4611"/>
      <c r="CJ236" s="4611"/>
      <c r="CK236" s="292">
        <f>IF(CI236=0,0,(CJ236-CI236)/CI236*100)</f>
        <v>0</v>
      </c>
      <c r="CL236" s="4611"/>
      <c r="CM236" s="4611"/>
      <c r="CN236" s="292">
        <f>IF(CL236=0,0,(CM236-CL236)/CL236*100)</f>
        <v>0</v>
      </c>
      <c r="CO236" s="4611"/>
      <c r="CP236" s="4611"/>
      <c r="CQ236" s="292">
        <f>IF(CO236=0,0,(CP236-CO236)/CO236*100)</f>
        <v>0</v>
      </c>
      <c r="CR236" s="4611"/>
      <c r="CS236" s="4611"/>
      <c r="CT236" s="292">
        <f>IF(CR236=0,0,(CS236-CR236)/CR236*100)</f>
        <v>0</v>
      </c>
      <c r="CU236" s="4611"/>
      <c r="CV236" s="4611"/>
      <c r="CW236" s="292">
        <f>IF(CU236=0,0,(CV236-CU236)/CU236*100)</f>
        <v>0</v>
      </c>
      <c r="CX236" s="4611"/>
      <c r="CY236" s="4611"/>
      <c r="CZ236" s="292">
        <f>IF(CX236=0,0,(CY236-CX236)/CX236*100)</f>
        <v>0</v>
      </c>
      <c r="DA236" s="4611"/>
      <c r="DB236" s="4611"/>
      <c r="DC236" s="292">
        <f>IF(DA236=0,0,(DB236-DA236)/DA236*100)</f>
        <v>0</v>
      </c>
      <c r="DD236" s="4611"/>
      <c r="DE236" s="4611"/>
      <c r="DF236" s="292">
        <f>IF(DD236=0,0,(DE236-DD236)/DD236*100)</f>
        <v>0</v>
      </c>
      <c r="DG236" s="4611"/>
      <c r="DH236" s="4611"/>
      <c r="DI236" s="292">
        <f>IF(DG236=0,0,(DH236-DG236)/DG236*100)</f>
        <v>0</v>
      </c>
      <c r="DJ236" s="4611"/>
      <c r="DK236" s="4611"/>
      <c r="DL236" s="292">
        <f>IF(DJ236=0,0,(DK236-DJ236)/DJ236*100)</f>
        <v>0</v>
      </c>
      <c r="DM236" s="4611"/>
      <c r="DN236" s="4611"/>
      <c r="DO236" s="292">
        <f>IF(DM236=0,0,(DN236-DM236)/DM236*100)</f>
        <v>0</v>
      </c>
      <c r="DP236" s="4611"/>
      <c r="DQ236" s="4611"/>
      <c r="DR236" s="292">
        <f>IF(DP236=0,0,(DQ236-DP236)/DP236*100)</f>
        <v>0</v>
      </c>
      <c r="DS236" s="4611"/>
      <c r="DT236" s="4611"/>
      <c r="DU236" s="292">
        <f>IF(DS236=0,0,(DT236-DS236)/DS236*100)</f>
        <v>0</v>
      </c>
      <c r="DV236" s="4611"/>
      <c r="DW236" s="4611"/>
      <c r="DX236" s="292">
        <f>IF(DV236=0,0,(DW236-DV236)/DV236*100)</f>
        <v>0</v>
      </c>
      <c r="DY236" s="4611"/>
      <c r="DZ236" s="4611"/>
      <c r="EA236" s="292">
        <f>IF(DY236=0,0,(DZ236-DY236)/DY236*100)</f>
        <v>0</v>
      </c>
      <c r="EB236" s="4611"/>
      <c r="EC236" s="4611"/>
      <c r="ED236" s="292">
        <f>IF(EB236=0,0,(EC236-EB236)/EB236*100)</f>
        <v>0</v>
      </c>
      <c r="EE236" s="4611"/>
      <c r="EF236" s="4611"/>
      <c r="EG236" s="292">
        <f>IF(EE236=0,0,(EF236-EE236)/EE236*100)</f>
        <v>0</v>
      </c>
      <c r="EH236" s="4611"/>
      <c r="EI236" s="4611"/>
      <c r="EJ236" s="292">
        <f>IF(EH236=0,0,(EI236-EH236)/EH236*100)</f>
        <v>0</v>
      </c>
      <c r="EK236" s="4611"/>
      <c r="EL236" s="4611"/>
      <c r="EM236" s="292">
        <f>IF(EK236=0,0,(EL236-EK236)/EK236*100)</f>
        <v>0</v>
      </c>
      <c r="EN236" s="4611"/>
      <c r="EO236" s="4611"/>
      <c r="EP236" s="292">
        <f>IF(EN236=0,0,(EO236-EN236)/EN236*100)</f>
        <v>0</v>
      </c>
      <c r="EQ236" s="4611"/>
      <c r="ER236" s="4611"/>
      <c r="ES236" s="292">
        <f>IF(EQ236=0,0,(ER236-EQ236)/EQ236*100)</f>
        <v>0</v>
      </c>
      <c r="ET236" s="4611"/>
      <c r="EU236" s="4611"/>
      <c r="EV236" s="292">
        <f>IF(ET236=0,0,(EU236-ET236)/ET236*100)</f>
        <v>0</v>
      </c>
      <c r="EW236" s="4611"/>
      <c r="EX236" s="4611"/>
      <c r="EY236" s="292">
        <f>IF(EW236=0,0,(EX236-EW236)/EW236*100)</f>
        <v>0</v>
      </c>
      <c r="EZ236" s="4611"/>
      <c r="FA236" s="4611"/>
      <c r="FB236" s="292">
        <f>IF(EZ236=0,0,(FA236-EZ236)/EZ236*100)</f>
        <v>0</v>
      </c>
      <c r="FC236" s="4611"/>
      <c r="FD236" s="4611"/>
      <c r="FE236" s="292">
        <f>IF(FC236=0,0,(FD236-FC236)/FC236*100)</f>
        <v>0</v>
      </c>
      <c r="FF236" s="4611"/>
      <c r="FG236" s="4611"/>
      <c r="FH236" s="292">
        <f>IF(FF236=0,0,(FG236-FF236)/FF236*100)</f>
        <v>0</v>
      </c>
      <c r="FI236" s="4611"/>
      <c r="FJ236" s="4611"/>
      <c r="FK236" s="292">
        <f>IF(FI236=0,0,(FJ236-FI236)/FI236*100)</f>
        <v>0</v>
      </c>
      <c r="FL236" s="4611"/>
      <c r="FM236" s="4611"/>
      <c r="FN236" s="292">
        <f>IF(FL236=0,0,(FM236-FL236)/FL236*100)</f>
        <v>0</v>
      </c>
      <c r="FO236" s="4611"/>
      <c r="FP236" s="4611"/>
      <c r="FQ236" s="292">
        <f>IF(FO236=0,0,(FP236-FO236)/FO236*100)</f>
        <v>0</v>
      </c>
      <c r="FR236" s="4611"/>
      <c r="FS236" s="4611"/>
      <c r="FT236" s="292">
        <f>IF(FR236=0,0,(FS236-FR236)/FR236*100)</f>
        <v>0</v>
      </c>
      <c r="FU236" s="4611"/>
      <c r="FV236" s="4611"/>
      <c r="FW236" s="292">
        <f>IF(FU236=0,0,(FV236-FU236)/FU236*100)</f>
        <v>0</v>
      </c>
      <c r="FX236" s="288"/>
      <c r="FY236" s="288"/>
      <c r="FZ236" s="1063" t="s">
        <v>1945</v>
      </c>
      <c r="GA236" s="1063"/>
      <c r="GB236" s="1063"/>
      <c r="GC236" s="1064"/>
      <c r="GD236" s="1064"/>
    </row>
    <row s="1656" customFormat="1" customHeight="1" ht="14.25" hidden="1">
      <c r="A237" s="496"/>
      <c r="B237" s="932" cm="1" t="str">
        <f t="array" ref="B237:B237">B236</f>
        <v>false</v>
      </c>
      <c r="C237" s="496"/>
      <c r="D237" s="496"/>
      <c r="E237" s="847">
        <v>15</v>
      </c>
      <c r="F237" s="50" cm="1" t="str">
        <f t="array" ref="F237:F237">OFFSET(E237,-1,1)</f>
        <v>2</v>
      </c>
      <c r="G237" s="496"/>
      <c r="H237" s="496" t="s">
        <v>570</v>
      </c>
      <c r="I237" s="496"/>
      <c r="J237" s="496"/>
      <c r="K237" s="496"/>
      <c r="L237" s="496"/>
      <c r="M237" s="496"/>
      <c r="N237" s="496"/>
      <c r="O237" s="496"/>
      <c r="P237" s="496"/>
      <c r="Q237" s="496"/>
      <c r="R237" s="496"/>
      <c r="S237" s="496"/>
      <c r="T237" s="468" cm="1" t="str">
        <f t="array" ref="T237:T237">T236</f>
        <v>true</v>
      </c>
      <c r="U237" s="496"/>
      <c r="V237" s="496"/>
      <c r="W237" s="496"/>
      <c r="X237" s="1559"/>
      <c r="Y237" s="496"/>
      <c r="Z237" s="1528"/>
      <c r="AA237" s="496"/>
      <c r="AB237" s="1097" t="s">
        <v>1946</v>
      </c>
      <c r="AC237" s="773" t="s">
        <v>561</v>
      </c>
      <c r="AD237" s="1101">
        <f>IF(AD235=0,0,AD236/AD235)*100</f>
        <v>100</v>
      </c>
      <c r="AE237" s="1101">
        <f>IF(AE235=0,0,AE236/AE235)*100</f>
        <v>111.996477107787</v>
      </c>
      <c r="AF237" s="1118"/>
      <c r="AG237" s="1101">
        <f>IF(AG235=0,0,AG236/AG235)*100</f>
        <v>0</v>
      </c>
      <c r="AH237" s="1101">
        <f>IF(AH235=0,0,AH236/AH235)*100</f>
        <v>0</v>
      </c>
      <c r="AI237" s="1118"/>
      <c r="AJ237" s="1101">
        <f>IF(AJ235=0,0,AJ236/AJ235)*100</f>
        <v>0</v>
      </c>
      <c r="AK237" s="1101">
        <f>IF(AK235=0,0,AK236/AK235)*100</f>
        <v>0</v>
      </c>
      <c r="AL237" s="1118"/>
      <c r="AM237" s="1101">
        <f>IF(AM235=0,0,AM236/AM235)*100</f>
        <v>0</v>
      </c>
      <c r="AN237" s="1101">
        <f>IF(AN235=0,0,AN236/AN235)*100</f>
        <v>0</v>
      </c>
      <c r="AO237" s="1118"/>
      <c r="AP237" s="1101">
        <f>IF(AP235=0,0,AP236/AP235)*100</f>
        <v>0</v>
      </c>
      <c r="AQ237" s="1101">
        <f>IF(AQ235=0,0,AQ236/AQ235)*100</f>
        <v>0</v>
      </c>
      <c r="AR237" s="1118"/>
      <c r="AS237" s="1101">
        <f>IF(AS235=0,0,AS236/AS235)*100</f>
        <v>0</v>
      </c>
      <c r="AT237" s="1101">
        <f>IF(AT235=0,0,AT236/AT235)*100</f>
        <v>0</v>
      </c>
      <c r="AU237" s="1118"/>
      <c r="AV237" s="1101">
        <f>IF(AV235=0,0,AV236/AV235)*100</f>
        <v>0</v>
      </c>
      <c r="AW237" s="1101">
        <f>IF(AW235=0,0,AW236/AW235)*100</f>
        <v>0</v>
      </c>
      <c r="AX237" s="1118"/>
      <c r="AY237" s="1101">
        <f>IF(AY235=0,0,AY236/AY235)*100</f>
        <v>0</v>
      </c>
      <c r="AZ237" s="1101">
        <f>IF(AZ235=0,0,AZ236/AZ235)*100</f>
        <v>0</v>
      </c>
      <c r="BA237" s="1118"/>
      <c r="BB237" s="1101">
        <f>IF(BB235=0,0,BB236/BB235)*100</f>
        <v>0</v>
      </c>
      <c r="BC237" s="1101">
        <f>IF(BC235=0,0,BC236/BC235)*100</f>
        <v>0</v>
      </c>
      <c r="BD237" s="1118"/>
      <c r="BE237" s="1101">
        <f>IF(BE235=0,0,BE236/BE235)*100</f>
        <v>0</v>
      </c>
      <c r="BF237" s="1101">
        <f>IF(BF235=0,0,BF236/BF235)*100</f>
        <v>0</v>
      </c>
      <c r="BG237" s="1118"/>
      <c r="BH237" s="1101">
        <f>IF(BH235=0,0,BH236/BH235)*100</f>
        <v>0</v>
      </c>
      <c r="BI237" s="1101">
        <f>IF(BI235=0,0,BI236/BI235)*100</f>
        <v>0</v>
      </c>
      <c r="BJ237" s="1118"/>
      <c r="BK237" s="1101">
        <f>IF(BK235=0,0,BK236/BK235)*100</f>
        <v>0</v>
      </c>
      <c r="BL237" s="1101">
        <f>IF(BL235=0,0,BL236/BL235)*100</f>
        <v>0</v>
      </c>
      <c r="BM237" s="1118"/>
      <c r="BN237" s="1101">
        <f>IF(BN235=0,0,BN236/BN235)*100</f>
        <v>0</v>
      </c>
      <c r="BO237" s="1101">
        <f>IF(BO235=0,0,BO236/BO235)*100</f>
        <v>0</v>
      </c>
      <c r="BP237" s="1118"/>
      <c r="BQ237" s="1101">
        <f>IF(BQ235=0,0,BQ236/BQ235)*100</f>
        <v>0</v>
      </c>
      <c r="BR237" s="1101">
        <f>IF(BR235=0,0,BR236/BR235)*100</f>
        <v>0</v>
      </c>
      <c r="BS237" s="1118"/>
      <c r="BT237" s="1101">
        <f>IF(BT235=0,0,BT236/BT235)*100</f>
        <v>0</v>
      </c>
      <c r="BU237" s="1101">
        <f>IF(BU235=0,0,BU236/BU235)*100</f>
        <v>0</v>
      </c>
      <c r="BV237" s="1118"/>
      <c r="BW237" s="1101">
        <f>IF(BW235=0,0,BW236/BW235)*100</f>
        <v>0</v>
      </c>
      <c r="BX237" s="1101">
        <f>IF(BX235=0,0,BX236/BX235)*100</f>
        <v>0</v>
      </c>
      <c r="BY237" s="1118"/>
      <c r="BZ237" s="1101">
        <f>IF(BZ235=0,0,BZ236/BZ235)*100</f>
        <v>0</v>
      </c>
      <c r="CA237" s="1101">
        <f>IF(CA235=0,0,CA236/CA235)*100</f>
        <v>0</v>
      </c>
      <c r="CB237" s="1118"/>
      <c r="CC237" s="1101">
        <f>IF(CC235=0,0,CC236/CC235)*100</f>
        <v>0</v>
      </c>
      <c r="CD237" s="1101">
        <f>IF(CD235=0,0,CD236/CD235)*100</f>
        <v>0</v>
      </c>
      <c r="CE237" s="1118"/>
      <c r="CF237" s="1101">
        <f>IF(CF235=0,0,CF236/CF235)*100</f>
        <v>0</v>
      </c>
      <c r="CG237" s="1101">
        <f>IF(CG235=0,0,CG236/CG235)*100</f>
        <v>0</v>
      </c>
      <c r="CH237" s="1118"/>
      <c r="CI237" s="1101">
        <f>IF(CI235=0,0,CI236/CI235)*100</f>
        <v>0</v>
      </c>
      <c r="CJ237" s="1101">
        <f>IF(CJ235=0,0,CJ236/CJ235)*100</f>
        <v>0</v>
      </c>
      <c r="CK237" s="1118"/>
      <c r="CL237" s="1101">
        <f>IF(CL235=0,0,CL236/CL235)*100</f>
        <v>0</v>
      </c>
      <c r="CM237" s="1101">
        <f>IF(CM235=0,0,CM236/CM235)*100</f>
        <v>0</v>
      </c>
      <c r="CN237" s="1118"/>
      <c r="CO237" s="1101">
        <f>IF(CO235=0,0,CO236/CO235)*100</f>
        <v>0</v>
      </c>
      <c r="CP237" s="1101">
        <f>IF(CP235=0,0,CP236/CP235)*100</f>
        <v>0</v>
      </c>
      <c r="CQ237" s="1118"/>
      <c r="CR237" s="1101">
        <f>IF(CR235=0,0,CR236/CR235)*100</f>
        <v>0</v>
      </c>
      <c r="CS237" s="1101">
        <f>IF(CS235=0,0,CS236/CS235)*100</f>
        <v>0</v>
      </c>
      <c r="CT237" s="1118"/>
      <c r="CU237" s="1101">
        <f>IF(CU235=0,0,CU236/CU235)*100</f>
        <v>0</v>
      </c>
      <c r="CV237" s="1101">
        <f>IF(CV235=0,0,CV236/CV235)*100</f>
        <v>0</v>
      </c>
      <c r="CW237" s="1118"/>
      <c r="CX237" s="1101">
        <f>IF(CX235=0,0,CX236/CX235)*100</f>
        <v>0</v>
      </c>
      <c r="CY237" s="1101">
        <f>IF(CY235=0,0,CY236/CY235)*100</f>
        <v>0</v>
      </c>
      <c r="CZ237" s="1118"/>
      <c r="DA237" s="1101">
        <f>IF(DA235=0,0,DA236/DA235)*100</f>
        <v>0</v>
      </c>
      <c r="DB237" s="1101">
        <f>IF(DB235=0,0,DB236/DB235)*100</f>
        <v>0</v>
      </c>
      <c r="DC237" s="1118"/>
      <c r="DD237" s="1101">
        <f>IF(DD235=0,0,DD236/DD235)*100</f>
        <v>0</v>
      </c>
      <c r="DE237" s="1101">
        <f>IF(DE235=0,0,DE236/DE235)*100</f>
        <v>0</v>
      </c>
      <c r="DF237" s="1118"/>
      <c r="DG237" s="1101">
        <f>IF(DG235=0,0,DG236/DG235)*100</f>
        <v>0</v>
      </c>
      <c r="DH237" s="1101">
        <f>IF(DH235=0,0,DH236/DH235)*100</f>
        <v>0</v>
      </c>
      <c r="DI237" s="1118"/>
      <c r="DJ237" s="1101">
        <f>IF(DJ235=0,0,DJ236/DJ235)*100</f>
        <v>0</v>
      </c>
      <c r="DK237" s="1101">
        <f>IF(DK235=0,0,DK236/DK235)*100</f>
        <v>0</v>
      </c>
      <c r="DL237" s="1118"/>
      <c r="DM237" s="1101">
        <f>IF(DM235=0,0,DM236/DM235)*100</f>
        <v>0</v>
      </c>
      <c r="DN237" s="1101">
        <f>IF(DN235=0,0,DN236/DN235)*100</f>
        <v>0</v>
      </c>
      <c r="DO237" s="1118"/>
      <c r="DP237" s="1101">
        <f>IF(DP235=0,0,DP236/DP235)*100</f>
        <v>0</v>
      </c>
      <c r="DQ237" s="1101">
        <f>IF(DQ235=0,0,DQ236/DQ235)*100</f>
        <v>0</v>
      </c>
      <c r="DR237" s="1118"/>
      <c r="DS237" s="1101">
        <f>IF(DS235=0,0,DS236/DS235)*100</f>
        <v>0</v>
      </c>
      <c r="DT237" s="1101">
        <f>IF(DT235=0,0,DT236/DT235)*100</f>
        <v>0</v>
      </c>
      <c r="DU237" s="1118"/>
      <c r="DV237" s="1101">
        <f>IF(DV235=0,0,DV236/DV235)*100</f>
        <v>0</v>
      </c>
      <c r="DW237" s="1101">
        <f>IF(DW235=0,0,DW236/DW235)*100</f>
        <v>0</v>
      </c>
      <c r="DX237" s="1118"/>
      <c r="DY237" s="1101">
        <f>IF(DY235=0,0,DY236/DY235)*100</f>
        <v>0</v>
      </c>
      <c r="DZ237" s="1101">
        <f>IF(DZ235=0,0,DZ236/DZ235)*100</f>
        <v>0</v>
      </c>
      <c r="EA237" s="1118"/>
      <c r="EB237" s="1101">
        <f>IF(EB235=0,0,EB236/EB235)*100</f>
        <v>0</v>
      </c>
      <c r="EC237" s="1101">
        <f>IF(EC235=0,0,EC236/EC235)*100</f>
        <v>0</v>
      </c>
      <c r="ED237" s="1118"/>
      <c r="EE237" s="1101">
        <f>IF(EE235=0,0,EE236/EE235)*100</f>
        <v>0</v>
      </c>
      <c r="EF237" s="1101">
        <f>IF(EF235=0,0,EF236/EF235)*100</f>
        <v>0</v>
      </c>
      <c r="EG237" s="1118"/>
      <c r="EH237" s="1101">
        <f>IF(EH235=0,0,EH236/EH235)*100</f>
        <v>0</v>
      </c>
      <c r="EI237" s="1101">
        <f>IF(EI235=0,0,EI236/EI235)*100</f>
        <v>0</v>
      </c>
      <c r="EJ237" s="1118"/>
      <c r="EK237" s="1101">
        <f>IF(EK235=0,0,EK236/EK235)*100</f>
        <v>0</v>
      </c>
      <c r="EL237" s="1101">
        <f>IF(EL235=0,0,EL236/EL235)*100</f>
        <v>0</v>
      </c>
      <c r="EM237" s="1118"/>
      <c r="EN237" s="1101">
        <f>IF(EN235=0,0,EN236/EN235)*100</f>
        <v>0</v>
      </c>
      <c r="EO237" s="1101">
        <f>IF(EO235=0,0,EO236/EO235)*100</f>
        <v>0</v>
      </c>
      <c r="EP237" s="1118"/>
      <c r="EQ237" s="1101">
        <f>IF(EQ235=0,0,EQ236/EQ235)*100</f>
        <v>0</v>
      </c>
      <c r="ER237" s="1101">
        <f>IF(ER235=0,0,ER236/ER235)*100</f>
        <v>0</v>
      </c>
      <c r="ES237" s="1118"/>
      <c r="ET237" s="1101">
        <f>IF(ET235=0,0,ET236/ET235)*100</f>
        <v>0</v>
      </c>
      <c r="EU237" s="1101">
        <f>IF(EU235=0,0,EU236/EU235)*100</f>
        <v>0</v>
      </c>
      <c r="EV237" s="1118"/>
      <c r="EW237" s="1101">
        <f>IF(EW235=0,0,EW236/EW235)*100</f>
        <v>0</v>
      </c>
      <c r="EX237" s="1101">
        <f>IF(EX235=0,0,EX236/EX235)*100</f>
        <v>0</v>
      </c>
      <c r="EY237" s="1118"/>
      <c r="EZ237" s="1101">
        <f>IF(EZ235=0,0,EZ236/EZ235)*100</f>
        <v>0</v>
      </c>
      <c r="FA237" s="1101">
        <f>IF(FA235=0,0,FA236/FA235)*100</f>
        <v>0</v>
      </c>
      <c r="FB237" s="1118"/>
      <c r="FC237" s="1101">
        <f>IF(FC235=0,0,FC236/FC235)*100</f>
        <v>0</v>
      </c>
      <c r="FD237" s="1101">
        <f>IF(FD235=0,0,FD236/FD235)*100</f>
        <v>0</v>
      </c>
      <c r="FE237" s="1118"/>
      <c r="FF237" s="1101">
        <f>IF(FF235=0,0,FF236/FF235)*100</f>
        <v>0</v>
      </c>
      <c r="FG237" s="1101">
        <f>IF(FG235=0,0,FG236/FG235)*100</f>
        <v>0</v>
      </c>
      <c r="FH237" s="1118"/>
      <c r="FI237" s="1101">
        <f>IF(FI235=0,0,FI236/FI235)*100</f>
        <v>0</v>
      </c>
      <c r="FJ237" s="1101">
        <f>IF(FJ235=0,0,FJ236/FJ235)*100</f>
        <v>0</v>
      </c>
      <c r="FK237" s="1118"/>
      <c r="FL237" s="1101">
        <f>IF(FL235=0,0,FL236/FL235)*100</f>
        <v>0</v>
      </c>
      <c r="FM237" s="1101">
        <f>IF(FM235=0,0,FM236/FM235)*100</f>
        <v>0</v>
      </c>
      <c r="FN237" s="1118"/>
      <c r="FO237" s="1101">
        <f>IF(FO235=0,0,FO236/FO235)*100</f>
        <v>0</v>
      </c>
      <c r="FP237" s="1101">
        <f>IF(FP235=0,0,FP236/FP235)*100</f>
        <v>0</v>
      </c>
      <c r="FQ237" s="1118"/>
      <c r="FR237" s="1101">
        <f>IF(FR235=0,0,FR236/FR235)*100</f>
        <v>0</v>
      </c>
      <c r="FS237" s="1101">
        <f>IF(FS235=0,0,FS236/FS235)*100</f>
        <v>0</v>
      </c>
      <c r="FT237" s="1118"/>
      <c r="FU237" s="1101">
        <f>IF(FU235=0,0,FU236/FU235)*100</f>
        <v>0</v>
      </c>
      <c r="FV237" s="1101">
        <f>IF(FV235=0,0,FV236/FV235)*100</f>
        <v>0</v>
      </c>
      <c r="FW237" s="1119"/>
      <c r="FX237" s="288"/>
      <c r="FY237" s="1328"/>
      <c r="FZ237" s="1063" t="s">
        <v>1947</v>
      </c>
      <c r="GA237" s="1330"/>
      <c r="GB237" s="1330"/>
      <c r="GC237" s="1329"/>
      <c r="GD237" s="1329"/>
    </row>
    <row s="1656" customFormat="1" customHeight="1" ht="14.25" hidden="1">
      <c r="A238" s="496"/>
      <c r="B238" s="932" cm="1" t="str">
        <f t="array" ref="B238:B238">B237</f>
        <v>false</v>
      </c>
      <c r="C238" s="496"/>
      <c r="D238" s="496"/>
      <c r="E238" s="847">
        <v>15</v>
      </c>
      <c r="F238" s="50" cm="1" t="str">
        <f t="array" ref="F238:F238">OFFSET(E238,-1,1)</f>
        <v>2</v>
      </c>
      <c r="G238" s="103" t="s">
        <v>1871</v>
      </c>
      <c r="H238" s="496"/>
      <c r="I238" s="496"/>
      <c r="J238" s="496"/>
      <c r="K238" s="496"/>
      <c r="L238" s="496"/>
      <c r="M238" s="496"/>
      <c r="N238" s="496"/>
      <c r="O238" s="496"/>
      <c r="P238" s="496"/>
      <c r="Q238" s="496"/>
      <c r="R238" s="496"/>
      <c r="S238" s="496"/>
      <c r="T238" s="468" cm="1" t="str">
        <f t="array" ref="T238:T238">T237</f>
        <v>true</v>
      </c>
      <c r="U238" s="496"/>
      <c r="V238" s="496"/>
      <c r="W238" s="496"/>
      <c r="X238" s="1559"/>
      <c r="Y238" s="496"/>
      <c r="Z238" s="1528"/>
      <c r="AA238" s="496"/>
      <c r="AB238" s="907" t="s">
        <v>1872</v>
      </c>
      <c r="AC238" s="871" t="s">
        <v>657</v>
      </c>
      <c r="AD238" s="4585">
        <f>IF(AND(method_reg="Метод индексации",god&lt;&gt;first_year),_xlfn.SUMIFS(INDEX('Калькуляция (МИ корр)'!$AJ$25:$BC$606,,MATCH(AD$8,'Калькуляция (МИ корр)'!$AJ$8:$BC$8,0)),'Калькуляция (МИ корр)'!$F$25:$F$606,$F238,'Калькуляция (МИ корр)'!$G$25:$G$606,$G238),IF(method_reg="Метод экономически обоснованных расходов",_xlfn.SUMIFS('Калькуляция (МЭОР)'!$AJ$25:$AJ$367,'Калькуляция (МЭОР)'!$F$25:$F$367,$F238,'Калькуляция (МЭОР)'!$G$25:$G$367,$G238),IF(method_reg="Метод сравнения аналогов",_xlfn.SUMIFS('Калькуляция (МСА)'!$AE$25:$AE$103,'Калькуляция (МСА)'!$F$25:$F$103,$F238,'Калькуляция (МСА)'!$G$25:$G$103,$G238),_xlfn.SUMIFS(INDEX('Калькуляция (МИ)'!$AJ$25:$BC$603,,MATCH(AD$8,'Калькуляция (МИ)'!$AJ$8:$BC$8,0)),'Калькуляция (МИ)'!$F$25:$F$603,$F238,'Калькуляция (МИ)'!$G$25:$G$603,$G238))))</f>
        <v>4766.327</v>
      </c>
      <c r="AE238" s="4585">
        <f>IF(AND(method_reg="Метод индексации",god&lt;&gt;first_year),_xlfn.SUMIFS(INDEX('Калькуляция (МИ корр)'!$AJ$25:$BC$606,,MATCH(AE$8,'Калькуляция (МИ корр)'!$AJ$8:$BC$8,0)),'Калькуляция (МИ корр)'!$F$25:$F$606,$F238,'Калькуляция (МИ корр)'!$G$25:$G$606,$G238),IF(method_reg="Метод экономически обоснованных расходов",_xlfn.SUMIFS('Калькуляция (МЭОР)'!$AK$25:$AK$367,'Калькуляция (МЭОР)'!$F$25:$F$367,$F238,'Калькуляция (МЭОР)'!$G$25:$G$367,$G238),IF(method_reg="Метод сравнения аналогов",_xlfn.SUMIFS('Калькуляция (МСА)'!$AF$25:$AF$103,'Калькуляция (МСА)'!$F$25:$F$103,$F238,'Калькуляция (МСА)'!$G$25:$G$103,$G238),_xlfn.SUMIFS(INDEX('Калькуляция (МИ)'!$AJ$25:$BC$603,,MATCH(AE$8,'Калькуляция (МИ)'!$AJ$8:$BC$8,0)),'Калькуляция (МИ)'!$F$25:$F$603,$F238,'Калькуляция (МИ)'!$G$25:$G$603,$G238))))</f>
        <v>4589.80103</v>
      </c>
      <c r="AF238" s="1104">
        <f>IF(AD238=0,0,(AE238-AD238)/AD238*100)</f>
        <v>-3.7036059422696</v>
      </c>
      <c r="AG238" s="4585">
        <f>IF(AND(method_reg="Метод индексации",god&lt;&gt;first_year),_xlfn.SUMIFS(INDEX('Калькуляция (МИ корр)'!$AJ$25:$BC$606,,MATCH(AG$8,'Калькуляция (МИ корр)'!$AJ$8:$BC$8,0)),'Калькуляция (МИ корр)'!$F$25:$F$606,$F238,'Калькуляция (МИ корр)'!$G$25:$G$606,$G238),IF(method_reg="Метод экономически обоснованных расходов",_xlfn.SUMIFS('Калькуляция (МЭОР)'!$AJ$25:$AJ$367,'Калькуляция (МЭОР)'!$F$25:$F$367,$F238,'Калькуляция (МЭОР)'!$G$25:$G$367,$G238),IF(method_reg="Метод сравнения аналогов",_xlfn.SUMIFS('Калькуляция (МСА)'!$AE$25:$AE$103,'Калькуляция (МСА)'!$F$25:$F$103,$F238,'Калькуляция (МСА)'!$G$25:$G$103,$G238),_xlfn.SUMIFS(INDEX('Калькуляция (МИ)'!$AJ$25:$BC$603,,MATCH(AG$8,'Калькуляция (МИ)'!$AJ$8:$BC$8,0)),'Калькуляция (МИ)'!$F$25:$F$603,$F238,'Калькуляция (МИ)'!$G$25:$G$603,$G238))))</f>
        <v>0</v>
      </c>
      <c r="AH238" s="4585">
        <f>IF(AND(method_reg="Метод индексации",god&lt;&gt;first_year),_xlfn.SUMIFS(INDEX('Калькуляция (МИ корр)'!$AJ$25:$BC$606,,MATCH(AH$8,'Калькуляция (МИ корр)'!$AJ$8:$BC$8,0)),'Калькуляция (МИ корр)'!$F$25:$F$606,$F238,'Калькуляция (МИ корр)'!$G$25:$G$606,$G238),IF(method_reg="Метод экономически обоснованных расходов",_xlfn.SUMIFS('Калькуляция (МЭОР)'!$AK$25:$AK$367,'Калькуляция (МЭОР)'!$F$25:$F$367,$F238,'Калькуляция (МЭОР)'!$G$25:$G$367,$G238),IF(method_reg="Метод сравнения аналогов",_xlfn.SUMIFS('Калькуляция (МСА)'!$AF$25:$AF$103,'Калькуляция (МСА)'!$F$25:$F$103,$F238,'Калькуляция (МСА)'!$G$25:$G$103,$G238),_xlfn.SUMIFS(INDEX('Калькуляция (МИ)'!$AJ$25:$BC$603,,MATCH(AH$8,'Калькуляция (МИ)'!$AJ$8:$BC$8,0)),'Калькуляция (МИ)'!$F$25:$F$603,$F238,'Калькуляция (МИ)'!$G$25:$G$603,$G238))))</f>
        <v>0</v>
      </c>
      <c r="AI238" s="1104">
        <f>IF(AG238=0,0,(AH238-AG238)/AG238*100)</f>
        <v>0</v>
      </c>
      <c r="AJ238" s="4585">
        <f>IF(AND(method_reg="Метод индексации",god&lt;&gt;first_year),_xlfn.SUMIFS(INDEX('Калькуляция (МИ корр)'!$AJ$25:$BC$606,,MATCH(AJ$8,'Калькуляция (МИ корр)'!$AJ$8:$BC$8,0)),'Калькуляция (МИ корр)'!$F$25:$F$606,$F238,'Калькуляция (МИ корр)'!$G$25:$G$606,$G238),IF(method_reg="Метод экономически обоснованных расходов",_xlfn.SUMIFS('Калькуляция (МЭОР)'!$AJ$25:$AJ$367,'Калькуляция (МЭОР)'!$F$25:$F$367,$F238,'Калькуляция (МЭОР)'!$G$25:$G$367,$G238),IF(method_reg="Метод сравнения аналогов",_xlfn.SUMIFS('Калькуляция (МСА)'!$AE$25:$AE$103,'Калькуляция (МСА)'!$F$25:$F$103,$F238,'Калькуляция (МСА)'!$G$25:$G$103,$G238),_xlfn.SUMIFS(INDEX('Калькуляция (МИ)'!$AJ$25:$BC$603,,MATCH(AJ$8,'Калькуляция (МИ)'!$AJ$8:$BC$8,0)),'Калькуляция (МИ)'!$F$25:$F$603,$F238,'Калькуляция (МИ)'!$G$25:$G$603,$G238))))</f>
        <v>0</v>
      </c>
      <c r="AK238" s="4585">
        <f>IF(AND(method_reg="Метод индексации",god&lt;&gt;first_year),_xlfn.SUMIFS(INDEX('Калькуляция (МИ корр)'!$AJ$25:$BC$606,,MATCH(AK$8,'Калькуляция (МИ корр)'!$AJ$8:$BC$8,0)),'Калькуляция (МИ корр)'!$F$25:$F$606,$F238,'Калькуляция (МИ корр)'!$G$25:$G$606,$G238),IF(method_reg="Метод экономически обоснованных расходов",_xlfn.SUMIFS('Калькуляция (МЭОР)'!$AK$25:$AK$367,'Калькуляция (МЭОР)'!$F$25:$F$367,$F238,'Калькуляция (МЭОР)'!$G$25:$G$367,$G238),IF(method_reg="Метод сравнения аналогов",_xlfn.SUMIFS('Калькуляция (МСА)'!$AF$25:$AF$103,'Калькуляция (МСА)'!$F$25:$F$103,$F238,'Калькуляция (МСА)'!$G$25:$G$103,$G238),_xlfn.SUMIFS(INDEX('Калькуляция (МИ)'!$AJ$25:$BC$603,,MATCH(AK$8,'Калькуляция (МИ)'!$AJ$8:$BC$8,0)),'Калькуляция (МИ)'!$F$25:$F$603,$F238,'Калькуляция (МИ)'!$G$25:$G$603,$G238))))</f>
        <v>0</v>
      </c>
      <c r="AL238" s="1104">
        <f>IF(AJ238=0,0,(AK238-AJ238)/AJ238*100)</f>
        <v>0</v>
      </c>
      <c r="AM238" s="4585">
        <f>IF(AND(method_reg="Метод индексации",god&lt;&gt;first_year),_xlfn.SUMIFS(INDEX('Калькуляция (МИ корр)'!$AJ$25:$BC$606,,MATCH(AM$8,'Калькуляция (МИ корр)'!$AJ$8:$BC$8,0)),'Калькуляция (МИ корр)'!$F$25:$F$606,$F238,'Калькуляция (МИ корр)'!$G$25:$G$606,$G238),IF(method_reg="Метод экономически обоснованных расходов",_xlfn.SUMIFS('Калькуляция (МЭОР)'!$AJ$25:$AJ$367,'Калькуляция (МЭОР)'!$F$25:$F$367,$F238,'Калькуляция (МЭОР)'!$G$25:$G$367,$G238),IF(method_reg="Метод сравнения аналогов",_xlfn.SUMIFS('Калькуляция (МСА)'!$AE$25:$AE$103,'Калькуляция (МСА)'!$F$25:$F$103,$F238,'Калькуляция (МСА)'!$G$25:$G$103,$G238),_xlfn.SUMIFS(INDEX('Калькуляция (МИ)'!$AJ$25:$BC$603,,MATCH(AM$8,'Калькуляция (МИ)'!$AJ$8:$BC$8,0)),'Калькуляция (МИ)'!$F$25:$F$603,$F238,'Калькуляция (МИ)'!$G$25:$G$603,$G238))))</f>
        <v>0</v>
      </c>
      <c r="AN238" s="4585">
        <f>IF(AND(method_reg="Метод индексации",god&lt;&gt;first_year),_xlfn.SUMIFS(INDEX('Калькуляция (МИ корр)'!$AJ$25:$BC$606,,MATCH(AN$8,'Калькуляция (МИ корр)'!$AJ$8:$BC$8,0)),'Калькуляция (МИ корр)'!$F$25:$F$606,$F238,'Калькуляция (МИ корр)'!$G$25:$G$606,$G238),IF(method_reg="Метод экономически обоснованных расходов",_xlfn.SUMIFS('Калькуляция (МЭОР)'!$AK$25:$AK$367,'Калькуляция (МЭОР)'!$F$25:$F$367,$F238,'Калькуляция (МЭОР)'!$G$25:$G$367,$G238),IF(method_reg="Метод сравнения аналогов",_xlfn.SUMIFS('Калькуляция (МСА)'!$AF$25:$AF$103,'Калькуляция (МСА)'!$F$25:$F$103,$F238,'Калькуляция (МСА)'!$G$25:$G$103,$G238),_xlfn.SUMIFS(INDEX('Калькуляция (МИ)'!$AJ$25:$BC$603,,MATCH(AN$8,'Калькуляция (МИ)'!$AJ$8:$BC$8,0)),'Калькуляция (МИ)'!$F$25:$F$603,$F238,'Калькуляция (МИ)'!$G$25:$G$603,$G238))))</f>
        <v>0</v>
      </c>
      <c r="AO238" s="1104">
        <f>IF(AM238=0,0,(AN238-AM238)/AM238*100)</f>
        <v>0</v>
      </c>
      <c r="AP238" s="4585">
        <f>IF(AND(method_reg="Метод индексации",god&lt;&gt;first_year),_xlfn.SUMIFS(INDEX('Калькуляция (МИ корр)'!$AJ$25:$BC$606,,MATCH(AP$8,'Калькуляция (МИ корр)'!$AJ$8:$BC$8,0)),'Калькуляция (МИ корр)'!$F$25:$F$606,$F238,'Калькуляция (МИ корр)'!$G$25:$G$606,$G238),IF(method_reg="Метод экономически обоснованных расходов",_xlfn.SUMIFS('Калькуляция (МЭОР)'!$AJ$25:$AJ$367,'Калькуляция (МЭОР)'!$F$25:$F$367,$F238,'Калькуляция (МЭОР)'!$G$25:$G$367,$G238),IF(method_reg="Метод сравнения аналогов",_xlfn.SUMIFS('Калькуляция (МСА)'!$AE$25:$AE$103,'Калькуляция (МСА)'!$F$25:$F$103,$F238,'Калькуляция (МСА)'!$G$25:$G$103,$G238),_xlfn.SUMIFS(INDEX('Калькуляция (МИ)'!$AJ$25:$BC$603,,MATCH(AP$8,'Калькуляция (МИ)'!$AJ$8:$BC$8,0)),'Калькуляция (МИ)'!$F$25:$F$603,$F238,'Калькуляция (МИ)'!$G$25:$G$603,$G238))))</f>
        <v>0</v>
      </c>
      <c r="AQ238" s="4585">
        <f>IF(AND(method_reg="Метод индексации",god&lt;&gt;first_year),_xlfn.SUMIFS(INDEX('Калькуляция (МИ корр)'!$AJ$25:$BC$606,,MATCH(AQ$8,'Калькуляция (МИ корр)'!$AJ$8:$BC$8,0)),'Калькуляция (МИ корр)'!$F$25:$F$606,$F238,'Калькуляция (МИ корр)'!$G$25:$G$606,$G238),IF(method_reg="Метод экономически обоснованных расходов",_xlfn.SUMIFS('Калькуляция (МЭОР)'!$AK$25:$AK$367,'Калькуляция (МЭОР)'!$F$25:$F$367,$F238,'Калькуляция (МЭОР)'!$G$25:$G$367,$G238),IF(method_reg="Метод сравнения аналогов",_xlfn.SUMIFS('Калькуляция (МСА)'!$AF$25:$AF$103,'Калькуляция (МСА)'!$F$25:$F$103,$F238,'Калькуляция (МСА)'!$G$25:$G$103,$G238),_xlfn.SUMIFS(INDEX('Калькуляция (МИ)'!$AJ$25:$BC$603,,MATCH(AQ$8,'Калькуляция (МИ)'!$AJ$8:$BC$8,0)),'Калькуляция (МИ)'!$F$25:$F$603,$F238,'Калькуляция (МИ)'!$G$25:$G$603,$G238))))</f>
        <v>0</v>
      </c>
      <c r="AR238" s="1104">
        <f>IF(AP238=0,0,(AQ238-AP238)/AP238*100)</f>
        <v>0</v>
      </c>
      <c r="AS238" s="4585">
        <f>IF(AND(method_reg="Метод индексации",god&lt;&gt;first_year),_xlfn.SUMIFS(INDEX('Калькуляция (МИ корр)'!$AJ$25:$BC$606,,MATCH(AS$8,'Калькуляция (МИ корр)'!$AJ$8:$BC$8,0)),'Калькуляция (МИ корр)'!$F$25:$F$606,$F238,'Калькуляция (МИ корр)'!$G$25:$G$606,$G238),IF(method_reg="Метод экономически обоснованных расходов",_xlfn.SUMIFS('Калькуляция (МЭОР)'!$AJ$25:$AJ$367,'Калькуляция (МЭОР)'!$F$25:$F$367,$F238,'Калькуляция (МЭОР)'!$G$25:$G$367,$G238),IF(method_reg="Метод сравнения аналогов",_xlfn.SUMIFS('Калькуляция (МСА)'!$AE$25:$AE$103,'Калькуляция (МСА)'!$F$25:$F$103,$F238,'Калькуляция (МСА)'!$G$25:$G$103,$G238),_xlfn.SUMIFS(INDEX('Калькуляция (МИ)'!$AJ$25:$BC$603,,MATCH(AS$8,'Калькуляция (МИ)'!$AJ$8:$BC$8,0)),'Калькуляция (МИ)'!$F$25:$F$603,$F238,'Калькуляция (МИ)'!$G$25:$G$603,$G238))))</f>
        <v>0</v>
      </c>
      <c r="AT238" s="4585">
        <f>IF(AND(method_reg="Метод индексации",god&lt;&gt;first_year),_xlfn.SUMIFS(INDEX('Калькуляция (МИ корр)'!$AJ$25:$BC$606,,MATCH(AT$8,'Калькуляция (МИ корр)'!$AJ$8:$BC$8,0)),'Калькуляция (МИ корр)'!$F$25:$F$606,$F238,'Калькуляция (МИ корр)'!$G$25:$G$606,$G238),IF(method_reg="Метод экономически обоснованных расходов",_xlfn.SUMIFS('Калькуляция (МЭОР)'!$AK$25:$AK$367,'Калькуляция (МЭОР)'!$F$25:$F$367,$F238,'Калькуляция (МЭОР)'!$G$25:$G$367,$G238),IF(method_reg="Метод сравнения аналогов",_xlfn.SUMIFS('Калькуляция (МСА)'!$AF$25:$AF$103,'Калькуляция (МСА)'!$F$25:$F$103,$F238,'Калькуляция (МСА)'!$G$25:$G$103,$G238),_xlfn.SUMIFS(INDEX('Калькуляция (МИ)'!$AJ$25:$BC$603,,MATCH(AT$8,'Калькуляция (МИ)'!$AJ$8:$BC$8,0)),'Калькуляция (МИ)'!$F$25:$F$603,$F238,'Калькуляция (МИ)'!$G$25:$G$603,$G238))))</f>
        <v>0</v>
      </c>
      <c r="AU238" s="1104">
        <f>IF(AS238=0,0,(AT238-AS238)/AS238*100)</f>
        <v>0</v>
      </c>
      <c r="AV238" s="4585">
        <f>IF(AND(method_reg="Метод индексации",god&lt;&gt;first_year),_xlfn.SUMIFS(INDEX('Калькуляция (МИ корр)'!$AJ$25:$BC$606,,MATCH(AV$8,'Калькуляция (МИ корр)'!$AJ$8:$BC$8,0)),'Калькуляция (МИ корр)'!$F$25:$F$606,$F238,'Калькуляция (МИ корр)'!$G$25:$G$606,$G238),IF(method_reg="Метод экономически обоснованных расходов",_xlfn.SUMIFS('Калькуляция (МЭОР)'!$AJ$25:$AJ$367,'Калькуляция (МЭОР)'!$F$25:$F$367,$F238,'Калькуляция (МЭОР)'!$G$25:$G$367,$G238),IF(method_reg="Метод сравнения аналогов",_xlfn.SUMIFS('Калькуляция (МСА)'!$AE$25:$AE$103,'Калькуляция (МСА)'!$F$25:$F$103,$F238,'Калькуляция (МСА)'!$G$25:$G$103,$G238),_xlfn.SUMIFS(INDEX('Калькуляция (МИ)'!$AJ$25:$BC$603,,MATCH(AV$8,'Калькуляция (МИ)'!$AJ$8:$BC$8,0)),'Калькуляция (МИ)'!$F$25:$F$603,$F238,'Калькуляция (МИ)'!$G$25:$G$603,$G238))))</f>
        <v>0</v>
      </c>
      <c r="AW238" s="4585">
        <f>IF(AND(method_reg="Метод индексации",god&lt;&gt;first_year),_xlfn.SUMIFS(INDEX('Калькуляция (МИ корр)'!$AJ$25:$BC$606,,MATCH(AW$8,'Калькуляция (МИ корр)'!$AJ$8:$BC$8,0)),'Калькуляция (МИ корр)'!$F$25:$F$606,$F238,'Калькуляция (МИ корр)'!$G$25:$G$606,$G238),IF(method_reg="Метод экономически обоснованных расходов",_xlfn.SUMIFS('Калькуляция (МЭОР)'!$AK$25:$AK$367,'Калькуляция (МЭОР)'!$F$25:$F$367,$F238,'Калькуляция (МЭОР)'!$G$25:$G$367,$G238),IF(method_reg="Метод сравнения аналогов",_xlfn.SUMIFS('Калькуляция (МСА)'!$AF$25:$AF$103,'Калькуляция (МСА)'!$F$25:$F$103,$F238,'Калькуляция (МСА)'!$G$25:$G$103,$G238),_xlfn.SUMIFS(INDEX('Калькуляция (МИ)'!$AJ$25:$BC$603,,MATCH(AW$8,'Калькуляция (МИ)'!$AJ$8:$BC$8,0)),'Калькуляция (МИ)'!$F$25:$F$603,$F238,'Калькуляция (МИ)'!$G$25:$G$603,$G238))))</f>
        <v>0</v>
      </c>
      <c r="AX238" s="1104">
        <f>IF(AV238=0,0,(AW238-AV238)/AV238*100)</f>
        <v>0</v>
      </c>
      <c r="AY238" s="4585">
        <f>IF(AND(method_reg="Метод индексации",god&lt;&gt;first_year),_xlfn.SUMIFS(INDEX('Калькуляция (МИ корр)'!$AJ$25:$BC$606,,MATCH(AY$8,'Калькуляция (МИ корр)'!$AJ$8:$BC$8,0)),'Калькуляция (МИ корр)'!$F$25:$F$606,$F238,'Калькуляция (МИ корр)'!$G$25:$G$606,$G238),IF(method_reg="Метод экономически обоснованных расходов",_xlfn.SUMIFS('Калькуляция (МЭОР)'!$AJ$25:$AJ$367,'Калькуляция (МЭОР)'!$F$25:$F$367,$F238,'Калькуляция (МЭОР)'!$G$25:$G$367,$G238),IF(method_reg="Метод сравнения аналогов",_xlfn.SUMIFS('Калькуляция (МСА)'!$AE$25:$AE$103,'Калькуляция (МСА)'!$F$25:$F$103,$F238,'Калькуляция (МСА)'!$G$25:$G$103,$G238),_xlfn.SUMIFS(INDEX('Калькуляция (МИ)'!$AJ$25:$BC$603,,MATCH(AY$8,'Калькуляция (МИ)'!$AJ$8:$BC$8,0)),'Калькуляция (МИ)'!$F$25:$F$603,$F238,'Калькуляция (МИ)'!$G$25:$G$603,$G238))))</f>
        <v>0</v>
      </c>
      <c r="AZ238" s="4585">
        <f>IF(AND(method_reg="Метод индексации",god&lt;&gt;first_year),_xlfn.SUMIFS(INDEX('Калькуляция (МИ корр)'!$AJ$25:$BC$606,,MATCH(AZ$8,'Калькуляция (МИ корр)'!$AJ$8:$BC$8,0)),'Калькуляция (МИ корр)'!$F$25:$F$606,$F238,'Калькуляция (МИ корр)'!$G$25:$G$606,$G238),IF(method_reg="Метод экономически обоснованных расходов",_xlfn.SUMIFS('Калькуляция (МЭОР)'!$AK$25:$AK$367,'Калькуляция (МЭОР)'!$F$25:$F$367,$F238,'Калькуляция (МЭОР)'!$G$25:$G$367,$G238),IF(method_reg="Метод сравнения аналогов",_xlfn.SUMIFS('Калькуляция (МСА)'!$AF$25:$AF$103,'Калькуляция (МСА)'!$F$25:$F$103,$F238,'Калькуляция (МСА)'!$G$25:$G$103,$G238),_xlfn.SUMIFS(INDEX('Калькуляция (МИ)'!$AJ$25:$BC$603,,MATCH(AZ$8,'Калькуляция (МИ)'!$AJ$8:$BC$8,0)),'Калькуляция (МИ)'!$F$25:$F$603,$F238,'Калькуляция (МИ)'!$G$25:$G$603,$G238))))</f>
        <v>0</v>
      </c>
      <c r="BA238" s="1104">
        <f>IF(AY238=0,0,(AZ238-AY238)/AY238*100)</f>
        <v>0</v>
      </c>
      <c r="BB238" s="4585">
        <f>IF(AND(method_reg="Метод индексации",god&lt;&gt;first_year),_xlfn.SUMIFS(INDEX('Калькуляция (МИ корр)'!$AJ$25:$BC$606,,MATCH(BB$8,'Калькуляция (МИ корр)'!$AJ$8:$BC$8,0)),'Калькуляция (МИ корр)'!$F$25:$F$606,$F238,'Калькуляция (МИ корр)'!$G$25:$G$606,$G238),IF(method_reg="Метод экономически обоснованных расходов",_xlfn.SUMIFS('Калькуляция (МЭОР)'!$AJ$25:$AJ$367,'Калькуляция (МЭОР)'!$F$25:$F$367,$F238,'Калькуляция (МЭОР)'!$G$25:$G$367,$G238),IF(method_reg="Метод сравнения аналогов",_xlfn.SUMIFS('Калькуляция (МСА)'!$AE$25:$AE$103,'Калькуляция (МСА)'!$F$25:$F$103,$F238,'Калькуляция (МСА)'!$G$25:$G$103,$G238),_xlfn.SUMIFS(INDEX('Калькуляция (МИ)'!$AJ$25:$BC$603,,MATCH(BB$8,'Калькуляция (МИ)'!$AJ$8:$BC$8,0)),'Калькуляция (МИ)'!$F$25:$F$603,$F238,'Калькуляция (МИ)'!$G$25:$G$603,$G238))))</f>
        <v>0</v>
      </c>
      <c r="BC238" s="4585">
        <f>IF(AND(method_reg="Метод индексации",god&lt;&gt;first_year),_xlfn.SUMIFS(INDEX('Калькуляция (МИ корр)'!$AJ$25:$BC$606,,MATCH(BC$8,'Калькуляция (МИ корр)'!$AJ$8:$BC$8,0)),'Калькуляция (МИ корр)'!$F$25:$F$606,$F238,'Калькуляция (МИ корр)'!$G$25:$G$606,$G238),IF(method_reg="Метод экономически обоснованных расходов",_xlfn.SUMIFS('Калькуляция (МЭОР)'!$AK$25:$AK$367,'Калькуляция (МЭОР)'!$F$25:$F$367,$F238,'Калькуляция (МЭОР)'!$G$25:$G$367,$G238),IF(method_reg="Метод сравнения аналогов",_xlfn.SUMIFS('Калькуляция (МСА)'!$AF$25:$AF$103,'Калькуляция (МСА)'!$F$25:$F$103,$F238,'Калькуляция (МСА)'!$G$25:$G$103,$G238),_xlfn.SUMIFS(INDEX('Калькуляция (МИ)'!$AJ$25:$BC$603,,MATCH(BC$8,'Калькуляция (МИ)'!$AJ$8:$BC$8,0)),'Калькуляция (МИ)'!$F$25:$F$603,$F238,'Калькуляция (МИ)'!$G$25:$G$603,$G238))))</f>
        <v>0</v>
      </c>
      <c r="BD238" s="1104">
        <f>IF(BB238=0,0,(BC238-BB238)/BB238*100)</f>
        <v>0</v>
      </c>
      <c r="BE238" s="4585">
        <f>IF(AND(method_reg="Метод индексации",god&lt;&gt;first_year),_xlfn.SUMIFS(INDEX('Калькуляция (МИ корр)'!$AJ$25:$BC$606,,MATCH(BE$8,'Калькуляция (МИ корр)'!$AJ$8:$BC$8,0)),'Калькуляция (МИ корр)'!$F$25:$F$606,$F238,'Калькуляция (МИ корр)'!$G$25:$G$606,$G238),IF(method_reg="Метод экономически обоснованных расходов",_xlfn.SUMIFS('Калькуляция (МЭОР)'!$AJ$25:$AJ$367,'Калькуляция (МЭОР)'!$F$25:$F$367,$F238,'Калькуляция (МЭОР)'!$G$25:$G$367,$G238),IF(method_reg="Метод сравнения аналогов",_xlfn.SUMIFS('Калькуляция (МСА)'!$AE$25:$AE$103,'Калькуляция (МСА)'!$F$25:$F$103,$F238,'Калькуляция (МСА)'!$G$25:$G$103,$G238),_xlfn.SUMIFS(INDEX('Калькуляция (МИ)'!$AJ$25:$BC$603,,MATCH(BE$8,'Калькуляция (МИ)'!$AJ$8:$BC$8,0)),'Калькуляция (МИ)'!$F$25:$F$603,$F238,'Калькуляция (МИ)'!$G$25:$G$603,$G238))))</f>
        <v>0</v>
      </c>
      <c r="BF238" s="4585">
        <f>IF(AND(method_reg="Метод индексации",god&lt;&gt;first_year),_xlfn.SUMIFS(INDEX('Калькуляция (МИ корр)'!$AJ$25:$BC$606,,MATCH(BF$8,'Калькуляция (МИ корр)'!$AJ$8:$BC$8,0)),'Калькуляция (МИ корр)'!$F$25:$F$606,$F238,'Калькуляция (МИ корр)'!$G$25:$G$606,$G238),IF(method_reg="Метод экономически обоснованных расходов",_xlfn.SUMIFS('Калькуляция (МЭОР)'!$AK$25:$AK$367,'Калькуляция (МЭОР)'!$F$25:$F$367,$F238,'Калькуляция (МЭОР)'!$G$25:$G$367,$G238),IF(method_reg="Метод сравнения аналогов",_xlfn.SUMIFS('Калькуляция (МСА)'!$AF$25:$AF$103,'Калькуляция (МСА)'!$F$25:$F$103,$F238,'Калькуляция (МСА)'!$G$25:$G$103,$G238),_xlfn.SUMIFS(INDEX('Калькуляция (МИ)'!$AJ$25:$BC$603,,MATCH(BF$8,'Калькуляция (МИ)'!$AJ$8:$BC$8,0)),'Калькуляция (МИ)'!$F$25:$F$603,$F238,'Калькуляция (МИ)'!$G$25:$G$603,$G238))))</f>
        <v>0</v>
      </c>
      <c r="BG238" s="1104">
        <f>IF(BE238=0,0,(BF238-BE238)/BE238*100)</f>
        <v>0</v>
      </c>
      <c r="BH238" s="4585"/>
      <c r="BI238" s="4585"/>
      <c r="BJ238" s="1104">
        <f>IF(BH238=0,0,(BI238-BH238)/BH238*100)</f>
        <v>0</v>
      </c>
      <c r="BK238" s="4585"/>
      <c r="BL238" s="4585"/>
      <c r="BM238" s="1104">
        <f>IF(BK238=0,0,(BL238-BK238)/BK238*100)</f>
        <v>0</v>
      </c>
      <c r="BN238" s="4585"/>
      <c r="BO238" s="4585"/>
      <c r="BP238" s="1104">
        <f>IF(BN238=0,0,(BO238-BN238)/BN238*100)</f>
        <v>0</v>
      </c>
      <c r="BQ238" s="4585"/>
      <c r="BR238" s="4585"/>
      <c r="BS238" s="1104">
        <f>IF(BQ238=0,0,(BR238-BQ238)/BQ238*100)</f>
        <v>0</v>
      </c>
      <c r="BT238" s="4585"/>
      <c r="BU238" s="4585"/>
      <c r="BV238" s="1104">
        <f>IF(BT238=0,0,(BU238-BT238)/BT238*100)</f>
        <v>0</v>
      </c>
      <c r="BW238" s="4585"/>
      <c r="BX238" s="4585"/>
      <c r="BY238" s="1104">
        <f>IF(BW238=0,0,(BX238-BW238)/BW238*100)</f>
        <v>0</v>
      </c>
      <c r="BZ238" s="4585"/>
      <c r="CA238" s="4585"/>
      <c r="CB238" s="1104">
        <f>IF(BZ238=0,0,(CA238-BZ238)/BZ238*100)</f>
        <v>0</v>
      </c>
      <c r="CC238" s="4585"/>
      <c r="CD238" s="4585"/>
      <c r="CE238" s="1104">
        <f>IF(CC238=0,0,(CD238-CC238)/CC238*100)</f>
        <v>0</v>
      </c>
      <c r="CF238" s="4585"/>
      <c r="CG238" s="4585"/>
      <c r="CH238" s="1104">
        <f>IF(CF238=0,0,(CG238-CF238)/CF238*100)</f>
        <v>0</v>
      </c>
      <c r="CI238" s="4585"/>
      <c r="CJ238" s="4585"/>
      <c r="CK238" s="1104">
        <f>IF(CI238=0,0,(CJ238-CI238)/CI238*100)</f>
        <v>0</v>
      </c>
      <c r="CL238" s="4585"/>
      <c r="CM238" s="4585"/>
      <c r="CN238" s="1104">
        <f>IF(CL238=0,0,(CM238-CL238)/CL238*100)</f>
        <v>0</v>
      </c>
      <c r="CO238" s="4585"/>
      <c r="CP238" s="4585"/>
      <c r="CQ238" s="1104">
        <f>IF(CO238=0,0,(CP238-CO238)/CO238*100)</f>
        <v>0</v>
      </c>
      <c r="CR238" s="4585"/>
      <c r="CS238" s="4585"/>
      <c r="CT238" s="1104">
        <f>IF(CR238=0,0,(CS238-CR238)/CR238*100)</f>
        <v>0</v>
      </c>
      <c r="CU238" s="4585"/>
      <c r="CV238" s="4585"/>
      <c r="CW238" s="1104">
        <f>IF(CU238=0,0,(CV238-CU238)/CU238*100)</f>
        <v>0</v>
      </c>
      <c r="CX238" s="4585"/>
      <c r="CY238" s="4585"/>
      <c r="CZ238" s="1104">
        <f>IF(CX238=0,0,(CY238-CX238)/CX238*100)</f>
        <v>0</v>
      </c>
      <c r="DA238" s="4585"/>
      <c r="DB238" s="4585"/>
      <c r="DC238" s="1104">
        <f>IF(DA238=0,0,(DB238-DA238)/DA238*100)</f>
        <v>0</v>
      </c>
      <c r="DD238" s="4585"/>
      <c r="DE238" s="4585"/>
      <c r="DF238" s="1104">
        <f>IF(DD238=0,0,(DE238-DD238)/DD238*100)</f>
        <v>0</v>
      </c>
      <c r="DG238" s="4585"/>
      <c r="DH238" s="4585"/>
      <c r="DI238" s="1104">
        <f>IF(DG238=0,0,(DH238-DG238)/DG238*100)</f>
        <v>0</v>
      </c>
      <c r="DJ238" s="4585"/>
      <c r="DK238" s="4585"/>
      <c r="DL238" s="1104">
        <f>IF(DJ238=0,0,(DK238-DJ238)/DJ238*100)</f>
        <v>0</v>
      </c>
      <c r="DM238" s="4585"/>
      <c r="DN238" s="4585"/>
      <c r="DO238" s="1104">
        <f>IF(DM238=0,0,(DN238-DM238)/DM238*100)</f>
        <v>0</v>
      </c>
      <c r="DP238" s="4585"/>
      <c r="DQ238" s="4585"/>
      <c r="DR238" s="1104">
        <f>IF(DP238=0,0,(DQ238-DP238)/DP238*100)</f>
        <v>0</v>
      </c>
      <c r="DS238" s="4585"/>
      <c r="DT238" s="4585"/>
      <c r="DU238" s="1104">
        <f>IF(DS238=0,0,(DT238-DS238)/DS238*100)</f>
        <v>0</v>
      </c>
      <c r="DV238" s="4585"/>
      <c r="DW238" s="4585"/>
      <c r="DX238" s="1104">
        <f>IF(DV238=0,0,(DW238-DV238)/DV238*100)</f>
        <v>0</v>
      </c>
      <c r="DY238" s="4585"/>
      <c r="DZ238" s="4585"/>
      <c r="EA238" s="1104">
        <f>IF(DY238=0,0,(DZ238-DY238)/DY238*100)</f>
        <v>0</v>
      </c>
      <c r="EB238" s="4585"/>
      <c r="EC238" s="4585"/>
      <c r="ED238" s="1104">
        <f>IF(EB238=0,0,(EC238-EB238)/EB238*100)</f>
        <v>0</v>
      </c>
      <c r="EE238" s="4585"/>
      <c r="EF238" s="4585"/>
      <c r="EG238" s="1104">
        <f>IF(EE238=0,0,(EF238-EE238)/EE238*100)</f>
        <v>0</v>
      </c>
      <c r="EH238" s="4585"/>
      <c r="EI238" s="4585"/>
      <c r="EJ238" s="1104">
        <f>IF(EH238=0,0,(EI238-EH238)/EH238*100)</f>
        <v>0</v>
      </c>
      <c r="EK238" s="4585"/>
      <c r="EL238" s="4585"/>
      <c r="EM238" s="1104">
        <f>IF(EK238=0,0,(EL238-EK238)/EK238*100)</f>
        <v>0</v>
      </c>
      <c r="EN238" s="4585"/>
      <c r="EO238" s="4585"/>
      <c r="EP238" s="1104">
        <f>IF(EN238=0,0,(EO238-EN238)/EN238*100)</f>
        <v>0</v>
      </c>
      <c r="EQ238" s="4585"/>
      <c r="ER238" s="4585"/>
      <c r="ES238" s="1104">
        <f>IF(EQ238=0,0,(ER238-EQ238)/EQ238*100)</f>
        <v>0</v>
      </c>
      <c r="ET238" s="4585"/>
      <c r="EU238" s="4585"/>
      <c r="EV238" s="1104">
        <f>IF(ET238=0,0,(EU238-ET238)/ET238*100)</f>
        <v>0</v>
      </c>
      <c r="EW238" s="4585"/>
      <c r="EX238" s="4585"/>
      <c r="EY238" s="1104">
        <f>IF(EW238=0,0,(EX238-EW238)/EW238*100)</f>
        <v>0</v>
      </c>
      <c r="EZ238" s="4585"/>
      <c r="FA238" s="4585"/>
      <c r="FB238" s="1104">
        <f>IF(EZ238=0,0,(FA238-EZ238)/EZ238*100)</f>
        <v>0</v>
      </c>
      <c r="FC238" s="4585"/>
      <c r="FD238" s="4585"/>
      <c r="FE238" s="1104">
        <f>IF(FC238=0,0,(FD238-FC238)/FC238*100)</f>
        <v>0</v>
      </c>
      <c r="FF238" s="4585"/>
      <c r="FG238" s="4585"/>
      <c r="FH238" s="1104">
        <f>IF(FF238=0,0,(FG238-FF238)/FF238*100)</f>
        <v>0</v>
      </c>
      <c r="FI238" s="4585"/>
      <c r="FJ238" s="4585"/>
      <c r="FK238" s="1104">
        <f>IF(FI238=0,0,(FJ238-FI238)/FI238*100)</f>
        <v>0</v>
      </c>
      <c r="FL238" s="4585"/>
      <c r="FM238" s="4585"/>
      <c r="FN238" s="1104">
        <f>IF(FL238=0,0,(FM238-FL238)/FL238*100)</f>
        <v>0</v>
      </c>
      <c r="FO238" s="4585"/>
      <c r="FP238" s="4585"/>
      <c r="FQ238" s="1104">
        <f>IF(FO238=0,0,(FP238-FO238)/FO238*100)</f>
        <v>0</v>
      </c>
      <c r="FR238" s="4585"/>
      <c r="FS238" s="4585"/>
      <c r="FT238" s="1104">
        <f>IF(FR238=0,0,(FS238-FR238)/FR238*100)</f>
        <v>0</v>
      </c>
      <c r="FU238" s="4585"/>
      <c r="FV238" s="4585"/>
      <c r="FW238" s="1104">
        <f>IF(FU238=0,0,(FV238-FU238)/FU238*100)</f>
        <v>0</v>
      </c>
      <c r="FX238" s="288"/>
      <c r="FY238" s="1328"/>
      <c r="FZ238" s="1063" t="s">
        <v>1948</v>
      </c>
      <c r="GA238" s="1330"/>
      <c r="GB238" s="1330"/>
      <c r="GC238" s="1329"/>
      <c r="GD238" s="1329"/>
    </row>
    <row s="1656" customFormat="1" customHeight="1" ht="18" hidden="1">
      <c r="A239" s="496"/>
      <c r="B239" s="932" cm="1" t="str">
        <f t="array" ref="B239:B239">B238</f>
        <v>false</v>
      </c>
      <c r="C239" s="496"/>
      <c r="D239" s="496"/>
      <c r="E239" s="847">
        <v>18.75</v>
      </c>
      <c r="F239" s="50" cm="1" t="str">
        <f t="array" ref="F239:F239">OFFSET(E239,-1,1)</f>
        <v>2</v>
      </c>
      <c r="G239" s="496"/>
      <c r="H239" s="496" t="s">
        <v>566</v>
      </c>
      <c r="I239" s="496" cm="1" t="str">
        <f t="array" ref="I239:I239">AB239</f>
        <v>0</v>
      </c>
      <c r="J239" s="496"/>
      <c r="K239" s="496"/>
      <c r="L239" s="496"/>
      <c r="M239" s="496"/>
      <c r="N239" s="496"/>
      <c r="O239" s="496"/>
      <c r="P239" s="496"/>
      <c r="Q239" s="496"/>
      <c r="R239" s="496"/>
      <c r="S239" s="496"/>
      <c r="T239" s="468">
        <f>AND(F239&gt;0,Y239&gt;0)</f>
        <v>0</v>
      </c>
      <c r="U239" s="496"/>
      <c r="V239" s="496"/>
      <c r="W239" s="496" t="s">
        <v>173</v>
      </c>
      <c r="X239" s="1559"/>
      <c r="Y239" s="496">
        <v>0</v>
      </c>
      <c r="Z239" s="1528"/>
      <c r="AA239" s="668" t="s">
        <v>174</v>
      </c>
      <c r="AB239" s="4615"/>
      <c r="AC239" s="871" t="s">
        <v>1862</v>
      </c>
      <c r="AD239" s="4591"/>
      <c r="AE239" s="4592"/>
      <c r="AF239" s="1102">
        <f>IF(AD239=0,0,(AE239-AD239)/AD239*100)</f>
        <v>0</v>
      </c>
      <c r="AG239" s="4592"/>
      <c r="AH239" s="4592"/>
      <c r="AI239" s="1102">
        <f>IF(AG239=0,0,(AH239-AG239)/AG239*100)</f>
        <v>0</v>
      </c>
      <c r="AJ239" s="4592"/>
      <c r="AK239" s="4592"/>
      <c r="AL239" s="1102">
        <f>IF(AJ239=0,0,(AK239-AJ239)/AJ239*100)</f>
        <v>0</v>
      </c>
      <c r="AM239" s="4592"/>
      <c r="AN239" s="4592"/>
      <c r="AO239" s="1102">
        <f>IF(AM239=0,0,(AN239-AM239)/AM239*100)</f>
        <v>0</v>
      </c>
      <c r="AP239" s="4592"/>
      <c r="AQ239" s="4592"/>
      <c r="AR239" s="1102">
        <f>IF(AP239=0,0,(AQ239-AP239)/AP239*100)</f>
        <v>0</v>
      </c>
      <c r="AS239" s="4592"/>
      <c r="AT239" s="4592"/>
      <c r="AU239" s="1102">
        <f>IF(AS239=0,0,(AT239-AS239)/AS239*100)</f>
        <v>0</v>
      </c>
      <c r="AV239" s="4592"/>
      <c r="AW239" s="4592"/>
      <c r="AX239" s="1102">
        <f>IF(AV239=0,0,(AW239-AV239)/AV239*100)</f>
        <v>0</v>
      </c>
      <c r="AY239" s="4592"/>
      <c r="AZ239" s="4592"/>
      <c r="BA239" s="1102">
        <f>IF(AY239=0,0,(AZ239-AY239)/AY239*100)</f>
        <v>0</v>
      </c>
      <c r="BB239" s="4592"/>
      <c r="BC239" s="4592"/>
      <c r="BD239" s="1102">
        <f>IF(BB239=0,0,(BC239-BB239)/BB239*100)</f>
        <v>0</v>
      </c>
      <c r="BE239" s="4592"/>
      <c r="BF239" s="4592"/>
      <c r="BG239" s="1102">
        <f>IF(BE239=0,0,(BF239-BE239)/BE239*100)</f>
        <v>0</v>
      </c>
      <c r="BH239" s="4592"/>
      <c r="BI239" s="4592"/>
      <c r="BJ239" s="1102">
        <f>IF(BH239=0,0,(BI239-BH239)/BH239*100)</f>
        <v>0</v>
      </c>
      <c r="BK239" s="4592"/>
      <c r="BL239" s="4592"/>
      <c r="BM239" s="1102">
        <f>IF(BK239=0,0,(BL239-BK239)/BK239*100)</f>
        <v>0</v>
      </c>
      <c r="BN239" s="4592"/>
      <c r="BO239" s="4592"/>
      <c r="BP239" s="1102">
        <f>IF(BN239=0,0,(BO239-BN239)/BN239*100)</f>
        <v>0</v>
      </c>
      <c r="BQ239" s="4592"/>
      <c r="BR239" s="4592"/>
      <c r="BS239" s="1102">
        <f>IF(BQ239=0,0,(BR239-BQ239)/BQ239*100)</f>
        <v>0</v>
      </c>
      <c r="BT239" s="4592"/>
      <c r="BU239" s="4592"/>
      <c r="BV239" s="1102">
        <f>IF(BT239=0,0,(BU239-BT239)/BT239*100)</f>
        <v>0</v>
      </c>
      <c r="BW239" s="4592"/>
      <c r="BX239" s="4592"/>
      <c r="BY239" s="1102">
        <f>IF(BW239=0,0,(BX239-BW239)/BW239*100)</f>
        <v>0</v>
      </c>
      <c r="BZ239" s="4592"/>
      <c r="CA239" s="4592"/>
      <c r="CB239" s="1102">
        <f>IF(BZ239=0,0,(CA239-BZ239)/BZ239*100)</f>
        <v>0</v>
      </c>
      <c r="CC239" s="4592"/>
      <c r="CD239" s="4592"/>
      <c r="CE239" s="1102">
        <f>IF(CC239=0,0,(CD239-CC239)/CC239*100)</f>
        <v>0</v>
      </c>
      <c r="CF239" s="4592"/>
      <c r="CG239" s="4592"/>
      <c r="CH239" s="1102">
        <f>IF(CF239=0,0,(CG239-CF239)/CF239*100)</f>
        <v>0</v>
      </c>
      <c r="CI239" s="4592"/>
      <c r="CJ239" s="4592"/>
      <c r="CK239" s="1102">
        <f>IF(CI239=0,0,(CJ239-CI239)/CI239*100)</f>
        <v>0</v>
      </c>
      <c r="CL239" s="4592"/>
      <c r="CM239" s="4592"/>
      <c r="CN239" s="1102">
        <f>IF(CL239=0,0,(CM239-CL239)/CL239*100)</f>
        <v>0</v>
      </c>
      <c r="CO239" s="4592"/>
      <c r="CP239" s="4592"/>
      <c r="CQ239" s="1102">
        <f>IF(CO239=0,0,(CP239-CO239)/CO239*100)</f>
        <v>0</v>
      </c>
      <c r="CR239" s="4592"/>
      <c r="CS239" s="4592"/>
      <c r="CT239" s="1102">
        <f>IF(CR239=0,0,(CS239-CR239)/CR239*100)</f>
        <v>0</v>
      </c>
      <c r="CU239" s="4592"/>
      <c r="CV239" s="4592"/>
      <c r="CW239" s="1102">
        <f>IF(CU239=0,0,(CV239-CU239)/CU239*100)</f>
        <v>0</v>
      </c>
      <c r="CX239" s="4592"/>
      <c r="CY239" s="4592"/>
      <c r="CZ239" s="1102">
        <f>IF(CX239=0,0,(CY239-CX239)/CX239*100)</f>
        <v>0</v>
      </c>
      <c r="DA239" s="4592"/>
      <c r="DB239" s="4592"/>
      <c r="DC239" s="1102">
        <f>IF(DA239=0,0,(DB239-DA239)/DA239*100)</f>
        <v>0</v>
      </c>
      <c r="DD239" s="4592"/>
      <c r="DE239" s="4592"/>
      <c r="DF239" s="1102">
        <f>IF(DD239=0,0,(DE239-DD239)/DD239*100)</f>
        <v>0</v>
      </c>
      <c r="DG239" s="4592"/>
      <c r="DH239" s="4592"/>
      <c r="DI239" s="1102">
        <f>IF(DG239=0,0,(DH239-DG239)/DG239*100)</f>
        <v>0</v>
      </c>
      <c r="DJ239" s="4592"/>
      <c r="DK239" s="4592"/>
      <c r="DL239" s="1102">
        <f>IF(DJ239=0,0,(DK239-DJ239)/DJ239*100)</f>
        <v>0</v>
      </c>
      <c r="DM239" s="4592"/>
      <c r="DN239" s="4592"/>
      <c r="DO239" s="1102">
        <f>IF(DM239=0,0,(DN239-DM239)/DM239*100)</f>
        <v>0</v>
      </c>
      <c r="DP239" s="4592"/>
      <c r="DQ239" s="4592"/>
      <c r="DR239" s="1102">
        <f>IF(DP239=0,0,(DQ239-DP239)/DP239*100)</f>
        <v>0</v>
      </c>
      <c r="DS239" s="4592"/>
      <c r="DT239" s="4592"/>
      <c r="DU239" s="1102">
        <f>IF(DS239=0,0,(DT239-DS239)/DS239*100)</f>
        <v>0</v>
      </c>
      <c r="DV239" s="4592"/>
      <c r="DW239" s="4592"/>
      <c r="DX239" s="1102">
        <f>IF(DV239=0,0,(DW239-DV239)/DV239*100)</f>
        <v>0</v>
      </c>
      <c r="DY239" s="4592"/>
      <c r="DZ239" s="4592"/>
      <c r="EA239" s="1102">
        <f>IF(DY239=0,0,(DZ239-DY239)/DY239*100)</f>
        <v>0</v>
      </c>
      <c r="EB239" s="4592"/>
      <c r="EC239" s="4592"/>
      <c r="ED239" s="1102">
        <f>IF(EB239=0,0,(EC239-EB239)/EB239*100)</f>
        <v>0</v>
      </c>
      <c r="EE239" s="4592"/>
      <c r="EF239" s="4592"/>
      <c r="EG239" s="1102">
        <f>IF(EE239=0,0,(EF239-EE239)/EE239*100)</f>
        <v>0</v>
      </c>
      <c r="EH239" s="4592"/>
      <c r="EI239" s="4592"/>
      <c r="EJ239" s="1102">
        <f>IF(EH239=0,0,(EI239-EH239)/EH239*100)</f>
        <v>0</v>
      </c>
      <c r="EK239" s="4592"/>
      <c r="EL239" s="4592"/>
      <c r="EM239" s="1102">
        <f>IF(EK239=0,0,(EL239-EK239)/EK239*100)</f>
        <v>0</v>
      </c>
      <c r="EN239" s="4592"/>
      <c r="EO239" s="4592"/>
      <c r="EP239" s="1102">
        <f>IF(EN239=0,0,(EO239-EN239)/EN239*100)</f>
        <v>0</v>
      </c>
      <c r="EQ239" s="4592"/>
      <c r="ER239" s="4592"/>
      <c r="ES239" s="1102">
        <f>IF(EQ239=0,0,(ER239-EQ239)/EQ239*100)</f>
        <v>0</v>
      </c>
      <c r="ET239" s="4592"/>
      <c r="EU239" s="4592"/>
      <c r="EV239" s="1102">
        <f>IF(ET239=0,0,(EU239-ET239)/ET239*100)</f>
        <v>0</v>
      </c>
      <c r="EW239" s="4592"/>
      <c r="EX239" s="4592"/>
      <c r="EY239" s="1102">
        <f>IF(EW239=0,0,(EX239-EW239)/EW239*100)</f>
        <v>0</v>
      </c>
      <c r="EZ239" s="4592"/>
      <c r="FA239" s="4592"/>
      <c r="FB239" s="1102">
        <f>IF(EZ239=0,0,(FA239-EZ239)/EZ239*100)</f>
        <v>0</v>
      </c>
      <c r="FC239" s="4592"/>
      <c r="FD239" s="4592"/>
      <c r="FE239" s="1102">
        <f>IF(FC239=0,0,(FD239-FC239)/FC239*100)</f>
        <v>0</v>
      </c>
      <c r="FF239" s="4592"/>
      <c r="FG239" s="4592"/>
      <c r="FH239" s="1102">
        <f>IF(FF239=0,0,(FG239-FF239)/FF239*100)</f>
        <v>0</v>
      </c>
      <c r="FI239" s="4592"/>
      <c r="FJ239" s="4592"/>
      <c r="FK239" s="1102">
        <f>IF(FI239=0,0,(FJ239-FI239)/FI239*100)</f>
        <v>0</v>
      </c>
      <c r="FL239" s="4592"/>
      <c r="FM239" s="4592"/>
      <c r="FN239" s="1102">
        <f>IF(FL239=0,0,(FM239-FL239)/FL239*100)</f>
        <v>0</v>
      </c>
      <c r="FO239" s="4592"/>
      <c r="FP239" s="4592"/>
      <c r="FQ239" s="1102">
        <f>IF(FO239=0,0,(FP239-FO239)/FO239*100)</f>
        <v>0</v>
      </c>
      <c r="FR239" s="4592"/>
      <c r="FS239" s="4592"/>
      <c r="FT239" s="1102">
        <f>IF(FR239=0,0,(FS239-FR239)/FR239*100)</f>
        <v>0</v>
      </c>
      <c r="FU239" s="4592"/>
      <c r="FV239" s="4592"/>
      <c r="FW239" s="1102">
        <f>IF(FU239=0,0,(FV239-FU239)/FU239*100)</f>
        <v>0</v>
      </c>
      <c r="FX239" s="288"/>
      <c r="FY239" s="1328"/>
      <c r="FZ239" s="1063" t="s">
        <v>1949</v>
      </c>
      <c r="GA239" s="1023" t="s">
        <v>1950</v>
      </c>
      <c r="GB239" s="1023" cm="1" t="str">
        <f t="array" ref="GB239:GB239">AB239</f>
        <v>0</v>
      </c>
      <c r="GC239" s="1329"/>
      <c r="GD239" s="637" t="b">
        <v>1</v>
      </c>
    </row>
    <row s="1656" customFormat="1" customHeight="1" ht="14.25" hidden="1">
      <c r="A240" s="1328"/>
      <c r="B240" s="932" cm="1" t="str">
        <f t="array" ref="B240:B240">B239</f>
        <v>false</v>
      </c>
      <c r="C240" s="1328"/>
      <c r="D240" s="496"/>
      <c r="E240" s="847">
        <v>15</v>
      </c>
      <c r="F240" s="50" cm="1" t="str">
        <f t="array" ref="F240:F240">OFFSET(E240,-1,1)</f>
        <v>2</v>
      </c>
      <c r="G240" s="496"/>
      <c r="H240" s="1328"/>
      <c r="I240" s="94" t="s">
        <v>1951</v>
      </c>
      <c r="J240" s="1328"/>
      <c r="K240" s="1328"/>
      <c r="L240" s="1328"/>
      <c r="M240" s="1328"/>
      <c r="N240" s="1328"/>
      <c r="O240" s="1328"/>
      <c r="P240" s="1328"/>
      <c r="Q240" s="1328"/>
      <c r="R240" s="1328"/>
      <c r="S240" s="1328"/>
      <c r="T240" s="468">
        <f>F240&gt;0</f>
        <v>1</v>
      </c>
      <c r="U240" s="1328"/>
      <c r="V240" s="1328"/>
      <c r="W240" s="764" t="s">
        <v>1892</v>
      </c>
      <c r="X240" s="1559"/>
      <c r="Y240" s="1328"/>
      <c r="Z240" s="1528"/>
      <c r="AA240" s="1328"/>
      <c r="AB240" s="256" t="s">
        <v>177</v>
      </c>
      <c r="AC240" s="260"/>
      <c r="AD240" s="258"/>
      <c r="AE240" s="258"/>
      <c r="AF240" s="258"/>
      <c r="AG240" s="258"/>
      <c r="AH240" s="258"/>
      <c r="AI240" s="258"/>
      <c r="AJ240" s="258"/>
      <c r="AK240" s="258"/>
      <c r="AL240" s="258"/>
      <c r="AM240" s="258"/>
      <c r="AN240" s="258"/>
      <c r="AO240" s="258"/>
      <c r="AP240" s="258"/>
      <c r="AQ240" s="258"/>
      <c r="AR240" s="258"/>
      <c r="AS240" s="258"/>
      <c r="AT240" s="258"/>
      <c r="AU240" s="258"/>
      <c r="AV240" s="258"/>
      <c r="AW240" s="258"/>
      <c r="AX240" s="258"/>
      <c r="AY240" s="258"/>
      <c r="AZ240" s="258"/>
      <c r="BA240" s="258"/>
      <c r="BB240" s="258"/>
      <c r="BC240" s="258"/>
      <c r="BD240" s="258"/>
      <c r="BE240" s="258"/>
      <c r="BF240" s="258"/>
      <c r="BG240" s="258"/>
      <c r="BH240" s="258"/>
      <c r="BI240" s="258"/>
      <c r="BJ240" s="258"/>
      <c r="BK240" s="258"/>
      <c r="BL240" s="258"/>
      <c r="BM240" s="258"/>
      <c r="BN240" s="258"/>
      <c r="BO240" s="258"/>
      <c r="BP240" s="258"/>
      <c r="BQ240" s="258"/>
      <c r="BR240" s="258"/>
      <c r="BS240" s="258"/>
      <c r="BT240" s="258"/>
      <c r="BU240" s="258"/>
      <c r="BV240" s="258"/>
      <c r="BW240" s="258"/>
      <c r="BX240" s="258"/>
      <c r="BY240" s="258"/>
      <c r="BZ240" s="258"/>
      <c r="CA240" s="258"/>
      <c r="CB240" s="258"/>
      <c r="CC240" s="258"/>
      <c r="CD240" s="258"/>
      <c r="CE240" s="258"/>
      <c r="CF240" s="258"/>
      <c r="CG240" s="258"/>
      <c r="CH240" s="258"/>
      <c r="CI240" s="258"/>
      <c r="CJ240" s="258"/>
      <c r="CK240" s="258"/>
      <c r="CL240" s="258"/>
      <c r="CM240" s="258"/>
      <c r="CN240" s="258"/>
      <c r="CO240" s="258"/>
      <c r="CP240" s="258"/>
      <c r="CQ240" s="258"/>
      <c r="CR240" s="258"/>
      <c r="CS240" s="258"/>
      <c r="CT240" s="258"/>
      <c r="CU240" s="258"/>
      <c r="CV240" s="258"/>
      <c r="CW240" s="258"/>
      <c r="CX240" s="258"/>
      <c r="CY240" s="258"/>
      <c r="CZ240" s="258"/>
      <c r="DA240" s="258"/>
      <c r="DB240" s="258"/>
      <c r="DC240" s="258"/>
      <c r="DD240" s="258"/>
      <c r="DE240" s="258"/>
      <c r="DF240" s="258"/>
      <c r="DG240" s="258"/>
      <c r="DH240" s="258"/>
      <c r="DI240" s="258"/>
      <c r="DJ240" s="258"/>
      <c r="DK240" s="258"/>
      <c r="DL240" s="258"/>
      <c r="DM240" s="258"/>
      <c r="DN240" s="258"/>
      <c r="DO240" s="258"/>
      <c r="DP240" s="258"/>
      <c r="DQ240" s="258"/>
      <c r="DR240" s="258"/>
      <c r="DS240" s="258"/>
      <c r="DT240" s="258"/>
      <c r="DU240" s="258"/>
      <c r="DV240" s="258"/>
      <c r="DW240" s="258"/>
      <c r="DX240" s="258"/>
      <c r="DY240" s="258"/>
      <c r="DZ240" s="258"/>
      <c r="EA240" s="258"/>
      <c r="EB240" s="258"/>
      <c r="EC240" s="258"/>
      <c r="ED240" s="258"/>
      <c r="EE240" s="258"/>
      <c r="EF240" s="258"/>
      <c r="EG240" s="258"/>
      <c r="EH240" s="258"/>
      <c r="EI240" s="258"/>
      <c r="EJ240" s="258"/>
      <c r="EK240" s="258"/>
      <c r="EL240" s="258"/>
      <c r="EM240" s="258"/>
      <c r="EN240" s="258"/>
      <c r="EO240" s="258"/>
      <c r="EP240" s="258"/>
      <c r="EQ240" s="258"/>
      <c r="ER240" s="258"/>
      <c r="ES240" s="258"/>
      <c r="ET240" s="258"/>
      <c r="EU240" s="258"/>
      <c r="EV240" s="258"/>
      <c r="EW240" s="258"/>
      <c r="EX240" s="258"/>
      <c r="EY240" s="258"/>
      <c r="EZ240" s="258"/>
      <c r="FA240" s="258"/>
      <c r="FB240" s="258"/>
      <c r="FC240" s="258"/>
      <c r="FD240" s="258"/>
      <c r="FE240" s="258"/>
      <c r="FF240" s="258"/>
      <c r="FG240" s="258"/>
      <c r="FH240" s="258"/>
      <c r="FI240" s="258"/>
      <c r="FJ240" s="258"/>
      <c r="FK240" s="258"/>
      <c r="FL240" s="258"/>
      <c r="FM240" s="258"/>
      <c r="FN240" s="258"/>
      <c r="FO240" s="258"/>
      <c r="FP240" s="258"/>
      <c r="FQ240" s="258"/>
      <c r="FR240" s="258"/>
      <c r="FS240" s="258"/>
      <c r="FT240" s="258"/>
      <c r="FU240" s="258"/>
      <c r="FV240" s="258"/>
      <c r="FW240" s="259"/>
      <c r="FX240" s="1328"/>
      <c r="FY240" s="1328"/>
      <c r="FZ240" s="1330"/>
      <c r="GA240" s="1330"/>
      <c r="GB240" s="1330"/>
      <c r="GC240" s="637" t="s">
        <v>1950</v>
      </c>
      <c r="GD240" s="1329"/>
    </row>
    <row s="1656" customFormat="1" customHeight="1" ht="10.5">
      <c r="A241" s="94"/>
      <c r="B241" s="912"/>
      <c r="C241" s="94"/>
      <c r="D241" s="496"/>
      <c r="E241" s="847">
        <v>11.5</v>
      </c>
      <c r="F241" s="1361"/>
      <c r="G241" s="496"/>
      <c r="H241" s="94"/>
      <c r="I241" s="94"/>
      <c r="J241" s="94"/>
      <c r="K241" s="94"/>
      <c r="L241" s="94"/>
      <c r="M241" s="94"/>
      <c r="N241" s="94"/>
      <c r="O241" s="94"/>
      <c r="P241" s="94"/>
      <c r="Q241" s="94"/>
      <c r="R241" s="94"/>
      <c r="S241" s="94"/>
      <c r="T241" s="468" cm="1" t="str">
        <f t="array" ref="T241:T241">T240</f>
        <v>true</v>
      </c>
      <c r="U241" s="94"/>
      <c r="V241" s="94"/>
      <c r="W241" s="764"/>
      <c r="X241" s="1559"/>
      <c r="Y241" s="94"/>
      <c r="Z241" s="1528"/>
      <c r="AA241" s="94"/>
      <c r="AB241" s="203"/>
      <c r="AC241" s="1189"/>
      <c r="AD241" s="1328"/>
      <c r="AE241" s="1328"/>
      <c r="AF241" s="1328"/>
      <c r="AG241" s="1328"/>
      <c r="AH241" s="1328"/>
      <c r="AI241" s="1328"/>
      <c r="AJ241" s="1328"/>
      <c r="AK241" s="1328"/>
      <c r="AL241" s="1328"/>
      <c r="AM241" s="1328"/>
      <c r="AN241" s="1328"/>
      <c r="AO241" s="1328"/>
      <c r="AP241" s="1328"/>
      <c r="AQ241" s="1328"/>
      <c r="AR241" s="1328"/>
      <c r="AS241" s="1328"/>
      <c r="AT241" s="1328"/>
      <c r="AU241" s="1328"/>
      <c r="AV241" s="1328"/>
      <c r="AW241" s="1328"/>
      <c r="AX241" s="1328"/>
      <c r="AY241" s="1328"/>
      <c r="AZ241" s="1328"/>
      <c r="BA241" s="1328"/>
      <c r="BB241" s="1328"/>
      <c r="BC241" s="1328"/>
      <c r="BD241" s="1328"/>
      <c r="BE241" s="1328"/>
      <c r="BF241" s="1328"/>
      <c r="BG241" s="1328"/>
      <c r="BH241" s="1328"/>
      <c r="BI241" s="1328"/>
      <c r="BJ241" s="1328"/>
      <c r="BK241" s="1328"/>
      <c r="BL241" s="1328"/>
      <c r="BM241" s="1328"/>
      <c r="BN241" s="1328"/>
      <c r="BO241" s="1328"/>
      <c r="BP241" s="1328"/>
      <c r="BQ241" s="1328"/>
      <c r="BR241" s="1328"/>
      <c r="BS241" s="1328"/>
      <c r="BT241" s="1328"/>
      <c r="BU241" s="1328"/>
      <c r="BV241" s="1328"/>
      <c r="BW241" s="1328"/>
      <c r="BX241" s="1328"/>
      <c r="BY241" s="1328"/>
      <c r="BZ241" s="1328"/>
      <c r="CA241" s="1328"/>
      <c r="CB241" s="1328"/>
      <c r="CC241" s="1328"/>
      <c r="CD241" s="1328"/>
      <c r="CE241" s="1328"/>
      <c r="CF241" s="1328"/>
      <c r="CG241" s="1328"/>
      <c r="CH241" s="1328"/>
      <c r="CI241" s="1328"/>
      <c r="CJ241" s="1328"/>
      <c r="CK241" s="1328"/>
      <c r="CL241" s="1328"/>
      <c r="CM241" s="1328"/>
      <c r="CN241" s="1328"/>
      <c r="CO241" s="1328"/>
      <c r="CP241" s="1328"/>
      <c r="CQ241" s="1328"/>
      <c r="CR241" s="1328"/>
      <c r="CS241" s="1328"/>
      <c r="CT241" s="1328"/>
      <c r="CU241" s="1328"/>
      <c r="CV241" s="1328"/>
      <c r="CW241" s="1328"/>
      <c r="CX241" s="1328"/>
      <c r="CY241" s="1328"/>
      <c r="CZ241" s="1328"/>
      <c r="DA241" s="1328"/>
      <c r="DB241" s="1328"/>
      <c r="DC241" s="1328"/>
      <c r="DD241" s="1328"/>
      <c r="DE241" s="1328"/>
      <c r="DF241" s="1328"/>
      <c r="DG241" s="1328"/>
      <c r="DH241" s="1328"/>
      <c r="DI241" s="1328"/>
      <c r="DJ241" s="1328"/>
      <c r="DK241" s="1328"/>
      <c r="DL241" s="1328"/>
      <c r="DM241" s="1328"/>
      <c r="DN241" s="1328"/>
      <c r="DO241" s="1328"/>
      <c r="DP241" s="1328"/>
      <c r="DQ241" s="1328"/>
      <c r="DR241" s="1328"/>
      <c r="DS241" s="1328"/>
      <c r="DT241" s="1328"/>
      <c r="DU241" s="1328"/>
      <c r="DV241" s="1328"/>
      <c r="DW241" s="1328"/>
      <c r="DX241" s="1328"/>
      <c r="DY241" s="1328"/>
      <c r="DZ241" s="1328"/>
      <c r="EA241" s="1328"/>
      <c r="EB241" s="1328"/>
      <c r="EC241" s="1328"/>
      <c r="ED241" s="1328"/>
      <c r="EE241" s="1328"/>
      <c r="EF241" s="1328"/>
      <c r="EG241" s="1328"/>
      <c r="EH241" s="1328"/>
      <c r="EI241" s="1328"/>
      <c r="EJ241" s="1328"/>
      <c r="EK241" s="1328"/>
      <c r="EL241" s="1328"/>
      <c r="EM241" s="1328"/>
      <c r="EN241" s="1328"/>
      <c r="EO241" s="1328"/>
      <c r="EP241" s="1328"/>
      <c r="EQ241" s="1328"/>
      <c r="ER241" s="1328"/>
      <c r="ES241" s="1328"/>
      <c r="ET241" s="1328"/>
      <c r="EU241" s="1328"/>
      <c r="EV241" s="1328"/>
      <c r="EW241" s="1328"/>
      <c r="EX241" s="1328"/>
      <c r="EY241" s="1328"/>
      <c r="EZ241" s="1328"/>
      <c r="FA241" s="1328"/>
      <c r="FB241" s="1328"/>
      <c r="FC241" s="1328"/>
      <c r="FD241" s="1328"/>
      <c r="FE241" s="1328"/>
      <c r="FF241" s="1328"/>
      <c r="FG241" s="1328"/>
      <c r="FH241" s="1328"/>
      <c r="FI241" s="1328"/>
      <c r="FJ241" s="1328"/>
      <c r="FK241" s="1328"/>
      <c r="FL241" s="1328"/>
      <c r="FM241" s="1328"/>
      <c r="FN241" s="1328"/>
      <c r="FO241" s="1328"/>
      <c r="FP241" s="1328"/>
      <c r="FQ241" s="1328"/>
      <c r="FR241" s="1328"/>
      <c r="FS241" s="1328"/>
      <c r="FT241" s="1328"/>
      <c r="FU241" s="1328"/>
      <c r="FV241" s="1328"/>
      <c r="FW241" s="1328"/>
      <c r="FX241" s="1328"/>
      <c r="FY241" s="1328"/>
      <c r="FZ241" s="1014"/>
      <c r="GA241" s="1014"/>
      <c r="GB241" s="1009"/>
      <c r="GC241" s="681"/>
      <c r="GD241" s="681"/>
    </row>
    <row s="1656" customFormat="1" customHeight="1" ht="19.171875">
      <c r="A242" s="496"/>
      <c r="B242" s="879"/>
      <c r="C242" s="496"/>
      <c r="D242" s="496"/>
      <c r="E242" s="847">
        <v>15</v>
      </c>
      <c r="F242" s="497" cm="1" t="str">
        <f t="array" ref="F242:F242">X242</f>
        <v>3</v>
      </c>
      <c r="G242" s="496" cm="1" t="str">
        <f t="array" ref="G242:G242">INDEX('Общие сведения'!$AK$197:$AK$254,MATCH($X242,'Общие сведения'!$Z$197:$Z$254,0))</f>
        <v>одноставочный</v>
      </c>
      <c r="H242" s="496"/>
      <c r="I242" s="496"/>
      <c r="J242" s="496"/>
      <c r="K242" s="496"/>
      <c r="L242" s="496"/>
      <c r="M242" s="496"/>
      <c r="N242" s="496"/>
      <c r="O242" s="496"/>
      <c r="P242" s="496"/>
      <c r="Q242" s="496" cm="1" t="str">
        <f t="array" ref="Q242:Q242">INDEX('Общие сведения'!$AE$197:$AE$254,MATCH($X242,'Общие сведения'!$Z$197:$Z$254,0))</f>
        <v>Водоотведение</v>
      </c>
      <c r="R242" s="487" cm="1" t="str">
        <f t="array" ref="R242:R242">INDEX('Общие сведения'!$AK$197:$AK$254,MATCH($X242,'Общие сведения'!$Z$197:$Z$254,0))</f>
        <v>одноставочный</v>
      </c>
      <c r="S242" s="496" cm="1" t="str">
        <f t="array" ref="S242:S242">INDEX('Общие сведения'!$AN$197:$AN$254,MATCH($X242,'Общие сведения'!$Z$197:$Z$254,0))</f>
        <v>false</v>
      </c>
      <c r="T242" s="468">
        <f>X242&gt;0</f>
        <v>1</v>
      </c>
      <c r="U242" s="496"/>
      <c r="V242" s="496" cm="1" t="str">
        <f t="array" ref="V242:V242">'Корректировка НВВ'!$AB$180</f>
        <v>Тариф 3 (Водоотведение) - тариф на водоотведение (Оказание услуг на территории: город Полысаево (ОКТМО: 32732000) - г Полысаево)</v>
      </c>
      <c r="W242" s="496"/>
      <c r="X242" s="1559" t="s">
        <v>234</v>
      </c>
      <c r="Y242" s="496"/>
      <c r="Z242" s="1528"/>
      <c r="AA242" s="496"/>
      <c r="AB242" s="1615" t="s">
        <v>22</v>
      </c>
      <c r="AC242" s="1616"/>
      <c r="AD242" s="900" cm="1" t="str">
        <f t="array" ref="AD242:AD242">'Корректировка НВВ'!$AB$180</f>
        <v>Тариф 3 (Водоотведение) - тариф на водоотведение (Оказание услуг на территории: город Полысаево (ОКТМО: 32732000) - г Полысаево)</v>
      </c>
      <c r="AE242" s="282"/>
      <c r="AF242" s="282"/>
      <c r="AG242" s="282"/>
      <c r="AH242" s="282"/>
      <c r="AI242" s="282"/>
      <c r="AJ242" s="282"/>
      <c r="AK242" s="282"/>
      <c r="AL242" s="282"/>
      <c r="AM242" s="282"/>
      <c r="AN242" s="282"/>
      <c r="AO242" s="282"/>
      <c r="AP242" s="282"/>
      <c r="AQ242" s="282"/>
      <c r="AR242" s="282"/>
      <c r="AS242" s="282"/>
      <c r="AT242" s="282"/>
      <c r="AU242" s="282"/>
      <c r="AV242" s="282"/>
      <c r="AW242" s="282"/>
      <c r="AX242" s="282"/>
      <c r="AY242" s="282"/>
      <c r="AZ242" s="282"/>
      <c r="BA242" s="282"/>
      <c r="BB242" s="282"/>
      <c r="BC242" s="282"/>
      <c r="BD242" s="282"/>
      <c r="BE242" s="282"/>
      <c r="BF242" s="282"/>
      <c r="BG242" s="282"/>
      <c r="BH242" s="282"/>
      <c r="BI242" s="282"/>
      <c r="BJ242" s="282"/>
      <c r="BK242" s="282"/>
      <c r="BL242" s="282"/>
      <c r="BM242" s="282"/>
      <c r="BN242" s="282"/>
      <c r="BO242" s="282"/>
      <c r="BP242" s="282"/>
      <c r="BQ242" s="282"/>
      <c r="BR242" s="282"/>
      <c r="BS242" s="282"/>
      <c r="BT242" s="282"/>
      <c r="BU242" s="282"/>
      <c r="BV242" s="282"/>
      <c r="BW242" s="282"/>
      <c r="BX242" s="282"/>
      <c r="BY242" s="282"/>
      <c r="BZ242" s="282"/>
      <c r="CA242" s="282"/>
      <c r="CB242" s="282"/>
      <c r="CC242" s="282"/>
      <c r="CD242" s="282"/>
      <c r="CE242" s="282"/>
      <c r="CF242" s="282"/>
      <c r="CG242" s="282"/>
      <c r="CH242" s="282"/>
      <c r="CI242" s="282"/>
      <c r="CJ242" s="282"/>
      <c r="CK242" s="282"/>
      <c r="CL242" s="282"/>
      <c r="CM242" s="282"/>
      <c r="CN242" s="282"/>
      <c r="CO242" s="282"/>
      <c r="CP242" s="282"/>
      <c r="CQ242" s="282"/>
      <c r="CR242" s="282"/>
      <c r="CS242" s="282"/>
      <c r="CT242" s="282"/>
      <c r="CU242" s="282"/>
      <c r="CV242" s="282"/>
      <c r="CW242" s="282"/>
      <c r="CX242" s="282"/>
      <c r="CY242" s="282"/>
      <c r="CZ242" s="282"/>
      <c r="DA242" s="282"/>
      <c r="DB242" s="282"/>
      <c r="DC242" s="282"/>
      <c r="DD242" s="282"/>
      <c r="DE242" s="282"/>
      <c r="DF242" s="282"/>
      <c r="DG242" s="282"/>
      <c r="DH242" s="282"/>
      <c r="DI242" s="282"/>
      <c r="DJ242" s="282"/>
      <c r="DK242" s="282"/>
      <c r="DL242" s="282"/>
      <c r="DM242" s="282"/>
      <c r="DN242" s="282"/>
      <c r="DO242" s="282"/>
      <c r="DP242" s="282"/>
      <c r="DQ242" s="282"/>
      <c r="DR242" s="282"/>
      <c r="DS242" s="282"/>
      <c r="DT242" s="282"/>
      <c r="DU242" s="282"/>
      <c r="DV242" s="282"/>
      <c r="DW242" s="282"/>
      <c r="DX242" s="282"/>
      <c r="DY242" s="282"/>
      <c r="DZ242" s="282"/>
      <c r="EA242" s="282"/>
      <c r="EB242" s="282"/>
      <c r="EC242" s="282"/>
      <c r="ED242" s="282"/>
      <c r="EE242" s="282"/>
      <c r="EF242" s="282"/>
      <c r="EG242" s="282"/>
      <c r="EH242" s="282"/>
      <c r="EI242" s="282"/>
      <c r="EJ242" s="282"/>
      <c r="EK242" s="282"/>
      <c r="EL242" s="282"/>
      <c r="EM242" s="282"/>
      <c r="EN242" s="282"/>
      <c r="EO242" s="282"/>
      <c r="EP242" s="282"/>
      <c r="EQ242" s="282"/>
      <c r="ER242" s="282"/>
      <c r="ES242" s="282"/>
      <c r="ET242" s="282"/>
      <c r="EU242" s="282"/>
      <c r="EV242" s="282"/>
      <c r="EW242" s="282"/>
      <c r="EX242" s="282"/>
      <c r="EY242" s="282"/>
      <c r="EZ242" s="282"/>
      <c r="FA242" s="282"/>
      <c r="FB242" s="282"/>
      <c r="FC242" s="282"/>
      <c r="FD242" s="282"/>
      <c r="FE242" s="282"/>
      <c r="FF242" s="282"/>
      <c r="FG242" s="282"/>
      <c r="FH242" s="282"/>
      <c r="FI242" s="282"/>
      <c r="FJ242" s="282"/>
      <c r="FK242" s="282"/>
      <c r="FL242" s="282"/>
      <c r="FM242" s="282"/>
      <c r="FN242" s="282"/>
      <c r="FO242" s="282"/>
      <c r="FP242" s="282"/>
      <c r="FQ242" s="282"/>
      <c r="FR242" s="282"/>
      <c r="FS242" s="282"/>
      <c r="FT242" s="282"/>
      <c r="FU242" s="282"/>
      <c r="FV242" s="282"/>
      <c r="FW242" s="283"/>
      <c r="FX242" s="1328"/>
      <c r="FY242" s="1328"/>
      <c r="FZ242" s="1330"/>
      <c r="GA242" s="1330"/>
      <c r="GB242" s="1330"/>
      <c r="GC242" s="1329"/>
      <c r="GD242" s="1329"/>
    </row>
    <row s="1656" customFormat="1" customHeight="1" ht="18.421875">
      <c r="A243" s="496"/>
      <c r="B243" s="879"/>
      <c r="C243" s="496"/>
      <c r="D243" s="496"/>
      <c r="E243" s="847">
        <v>15</v>
      </c>
      <c r="F243" s="50" cm="1" t="str">
        <f t="array" ref="F243:F243">OFFSET(E243,-1,1)</f>
        <v>3</v>
      </c>
      <c r="G243" s="496"/>
      <c r="H243" s="496"/>
      <c r="I243" s="496"/>
      <c r="J243" s="496"/>
      <c r="K243" s="496"/>
      <c r="L243" s="496"/>
      <c r="M243" s="496"/>
      <c r="N243" s="496"/>
      <c r="O243" s="496"/>
      <c r="P243" s="496"/>
      <c r="Q243" s="496"/>
      <c r="R243" s="487"/>
      <c r="S243" s="487"/>
      <c r="T243" s="468" cm="1" t="str">
        <f t="array" ref="T243:T243">T242</f>
        <v>true</v>
      </c>
      <c r="U243" s="496"/>
      <c r="V243" s="496"/>
      <c r="W243" s="496"/>
      <c r="X243" s="1559"/>
      <c r="Y243" s="496"/>
      <c r="Z243" s="1528"/>
      <c r="AA243" s="496"/>
      <c r="AB243" s="1508" t="str">
        <f>"Вид "&amp;IF(ISERROR(SEARCH("Водоснабжение",AD242)),"сточных вод","воды")</f>
        <v>Вид сточных вод</v>
      </c>
      <c r="AC243" s="1509"/>
      <c r="AD243" s="900" cm="1" t="str">
        <f t="array" ref="AD243:AD243">INDEX('Общие сведения'!$AH$197:$AH$254,MATCH($X242,'Общие сведения'!$Z$197:$Z$254,0))</f>
        <v>без дифференциации</v>
      </c>
      <c r="AE243" s="284"/>
      <c r="AF243" s="284"/>
      <c r="AG243" s="284"/>
      <c r="AH243" s="284"/>
      <c r="AI243" s="284"/>
      <c r="AJ243" s="284"/>
      <c r="AK243" s="284"/>
      <c r="AL243" s="284"/>
      <c r="AM243" s="284"/>
      <c r="AN243" s="284"/>
      <c r="AO243" s="284"/>
      <c r="AP243" s="284"/>
      <c r="AQ243" s="284"/>
      <c r="AR243" s="284"/>
      <c r="AS243" s="284"/>
      <c r="AT243" s="284"/>
      <c r="AU243" s="284"/>
      <c r="AV243" s="284"/>
      <c r="AW243" s="284"/>
      <c r="AX243" s="284"/>
      <c r="AY243" s="284"/>
      <c r="AZ243" s="284"/>
      <c r="BA243" s="284"/>
      <c r="BB243" s="284"/>
      <c r="BC243" s="284"/>
      <c r="BD243" s="284"/>
      <c r="BE243" s="284"/>
      <c r="BF243" s="284"/>
      <c r="BG243" s="284"/>
      <c r="BH243" s="284"/>
      <c r="BI243" s="284"/>
      <c r="BJ243" s="284"/>
      <c r="BK243" s="284"/>
      <c r="BL243" s="284"/>
      <c r="BM243" s="284"/>
      <c r="BN243" s="284"/>
      <c r="BO243" s="284"/>
      <c r="BP243" s="284"/>
      <c r="BQ243" s="284"/>
      <c r="BR243" s="284"/>
      <c r="BS243" s="284"/>
      <c r="BT243" s="284"/>
      <c r="BU243" s="284"/>
      <c r="BV243" s="284"/>
      <c r="BW243" s="284"/>
      <c r="BX243" s="284"/>
      <c r="BY243" s="284"/>
      <c r="BZ243" s="284"/>
      <c r="CA243" s="284"/>
      <c r="CB243" s="284"/>
      <c r="CC243" s="284"/>
      <c r="CD243" s="284"/>
      <c r="CE243" s="284"/>
      <c r="CF243" s="284"/>
      <c r="CG243" s="284"/>
      <c r="CH243" s="284"/>
      <c r="CI243" s="284"/>
      <c r="CJ243" s="284"/>
      <c r="CK243" s="284"/>
      <c r="CL243" s="284"/>
      <c r="CM243" s="284"/>
      <c r="CN243" s="284"/>
      <c r="CO243" s="284"/>
      <c r="CP243" s="284"/>
      <c r="CQ243" s="284"/>
      <c r="CR243" s="284"/>
      <c r="CS243" s="284"/>
      <c r="CT243" s="284"/>
      <c r="CU243" s="284"/>
      <c r="CV243" s="284"/>
      <c r="CW243" s="284"/>
      <c r="CX243" s="284"/>
      <c r="CY243" s="284"/>
      <c r="CZ243" s="284"/>
      <c r="DA243" s="284"/>
      <c r="DB243" s="284"/>
      <c r="DC243" s="284"/>
      <c r="DD243" s="284"/>
      <c r="DE243" s="284"/>
      <c r="DF243" s="284"/>
      <c r="DG243" s="284"/>
      <c r="DH243" s="284"/>
      <c r="DI243" s="284"/>
      <c r="DJ243" s="284"/>
      <c r="DK243" s="284"/>
      <c r="DL243" s="284"/>
      <c r="DM243" s="284"/>
      <c r="DN243" s="284"/>
      <c r="DO243" s="284"/>
      <c r="DP243" s="284"/>
      <c r="DQ243" s="284"/>
      <c r="DR243" s="284"/>
      <c r="DS243" s="284"/>
      <c r="DT243" s="284"/>
      <c r="DU243" s="284"/>
      <c r="DV243" s="284"/>
      <c r="DW243" s="284"/>
      <c r="DX243" s="284"/>
      <c r="DY243" s="284"/>
      <c r="DZ243" s="284"/>
      <c r="EA243" s="284"/>
      <c r="EB243" s="284"/>
      <c r="EC243" s="284"/>
      <c r="ED243" s="284"/>
      <c r="EE243" s="284"/>
      <c r="EF243" s="284"/>
      <c r="EG243" s="284"/>
      <c r="EH243" s="284"/>
      <c r="EI243" s="284"/>
      <c r="EJ243" s="284"/>
      <c r="EK243" s="284"/>
      <c r="EL243" s="284"/>
      <c r="EM243" s="284"/>
      <c r="EN243" s="284"/>
      <c r="EO243" s="284"/>
      <c r="EP243" s="284"/>
      <c r="EQ243" s="284"/>
      <c r="ER243" s="284"/>
      <c r="ES243" s="284"/>
      <c r="ET243" s="284"/>
      <c r="EU243" s="284"/>
      <c r="EV243" s="284"/>
      <c r="EW243" s="284"/>
      <c r="EX243" s="284"/>
      <c r="EY243" s="284"/>
      <c r="EZ243" s="284"/>
      <c r="FA243" s="284"/>
      <c r="FB243" s="284"/>
      <c r="FC243" s="284"/>
      <c r="FD243" s="284"/>
      <c r="FE243" s="284"/>
      <c r="FF243" s="284"/>
      <c r="FG243" s="284"/>
      <c r="FH243" s="284"/>
      <c r="FI243" s="284"/>
      <c r="FJ243" s="284"/>
      <c r="FK243" s="284"/>
      <c r="FL243" s="284"/>
      <c r="FM243" s="284"/>
      <c r="FN243" s="284"/>
      <c r="FO243" s="284"/>
      <c r="FP243" s="284"/>
      <c r="FQ243" s="284"/>
      <c r="FR243" s="284"/>
      <c r="FS243" s="284"/>
      <c r="FT243" s="284"/>
      <c r="FU243" s="284"/>
      <c r="FV243" s="284"/>
      <c r="FW243" s="285"/>
      <c r="FX243" s="1328"/>
      <c r="FY243" s="1328"/>
      <c r="FZ243" s="1330"/>
      <c r="GA243" s="1330"/>
      <c r="GB243" s="1330"/>
      <c r="GC243" s="1329"/>
      <c r="GD243" s="1329"/>
    </row>
    <row s="1656" customFormat="1" customHeight="1" ht="19.171875">
      <c r="A244" s="496"/>
      <c r="B244" s="879"/>
      <c r="C244" s="496"/>
      <c r="D244" s="496"/>
      <c r="E244" s="847">
        <v>15</v>
      </c>
      <c r="F244" s="50" cm="1" t="str">
        <f t="array" ref="F244:F244">OFFSET(E244,-1,1)</f>
        <v>3</v>
      </c>
      <c r="G244" s="496"/>
      <c r="H244" s="496"/>
      <c r="I244" s="496"/>
      <c r="J244" s="496"/>
      <c r="K244" s="496"/>
      <c r="L244" s="496"/>
      <c r="M244" s="496"/>
      <c r="N244" s="496"/>
      <c r="O244" s="496"/>
      <c r="P244" s="496"/>
      <c r="Q244" s="496"/>
      <c r="R244" s="487"/>
      <c r="S244" s="487"/>
      <c r="T244" s="468" cm="1" t="str">
        <f t="array" ref="T244:T244">T243</f>
        <v>true</v>
      </c>
      <c r="U244" s="496"/>
      <c r="V244" s="496"/>
      <c r="W244" s="496"/>
      <c r="X244" s="1559"/>
      <c r="Y244" s="496"/>
      <c r="Z244" s="1528"/>
      <c r="AA244" s="496"/>
      <c r="AB244" s="1508" t="s">
        <v>1856</v>
      </c>
      <c r="AC244" s="1509"/>
      <c r="AD244" s="900" cm="1" t="str">
        <f t="array" ref="AD244:AD244">INDEX('Общие сведения'!$AI$197:$AI$254,MATCH($X242,'Общие сведения'!$Z$197:$Z$254,0))</f>
        <v>тариф на водоотведение</v>
      </c>
      <c r="AE244" s="284"/>
      <c r="AF244" s="284"/>
      <c r="AG244" s="284"/>
      <c r="AH244" s="284"/>
      <c r="AI244" s="284"/>
      <c r="AJ244" s="284"/>
      <c r="AK244" s="284"/>
      <c r="AL244" s="284"/>
      <c r="AM244" s="284"/>
      <c r="AN244" s="284"/>
      <c r="AO244" s="284"/>
      <c r="AP244" s="284"/>
      <c r="AQ244" s="284"/>
      <c r="AR244" s="284"/>
      <c r="AS244" s="284"/>
      <c r="AT244" s="284"/>
      <c r="AU244" s="284"/>
      <c r="AV244" s="284"/>
      <c r="AW244" s="284"/>
      <c r="AX244" s="284"/>
      <c r="AY244" s="284"/>
      <c r="AZ244" s="284"/>
      <c r="BA244" s="284"/>
      <c r="BB244" s="284"/>
      <c r="BC244" s="284"/>
      <c r="BD244" s="284"/>
      <c r="BE244" s="284"/>
      <c r="BF244" s="284"/>
      <c r="BG244" s="284"/>
      <c r="BH244" s="284"/>
      <c r="BI244" s="284"/>
      <c r="BJ244" s="284"/>
      <c r="BK244" s="284"/>
      <c r="BL244" s="284"/>
      <c r="BM244" s="284"/>
      <c r="BN244" s="284"/>
      <c r="BO244" s="284"/>
      <c r="BP244" s="284"/>
      <c r="BQ244" s="284"/>
      <c r="BR244" s="284"/>
      <c r="BS244" s="284"/>
      <c r="BT244" s="284"/>
      <c r="BU244" s="284"/>
      <c r="BV244" s="284"/>
      <c r="BW244" s="284"/>
      <c r="BX244" s="284"/>
      <c r="BY244" s="284"/>
      <c r="BZ244" s="284"/>
      <c r="CA244" s="284"/>
      <c r="CB244" s="284"/>
      <c r="CC244" s="284"/>
      <c r="CD244" s="284"/>
      <c r="CE244" s="284"/>
      <c r="CF244" s="284"/>
      <c r="CG244" s="284"/>
      <c r="CH244" s="284"/>
      <c r="CI244" s="284"/>
      <c r="CJ244" s="284"/>
      <c r="CK244" s="284"/>
      <c r="CL244" s="284"/>
      <c r="CM244" s="284"/>
      <c r="CN244" s="284"/>
      <c r="CO244" s="284"/>
      <c r="CP244" s="284"/>
      <c r="CQ244" s="284"/>
      <c r="CR244" s="284"/>
      <c r="CS244" s="284"/>
      <c r="CT244" s="284"/>
      <c r="CU244" s="284"/>
      <c r="CV244" s="284"/>
      <c r="CW244" s="284"/>
      <c r="CX244" s="284"/>
      <c r="CY244" s="284"/>
      <c r="CZ244" s="284"/>
      <c r="DA244" s="284"/>
      <c r="DB244" s="284"/>
      <c r="DC244" s="284"/>
      <c r="DD244" s="284"/>
      <c r="DE244" s="284"/>
      <c r="DF244" s="284"/>
      <c r="DG244" s="284"/>
      <c r="DH244" s="284"/>
      <c r="DI244" s="284"/>
      <c r="DJ244" s="284"/>
      <c r="DK244" s="284"/>
      <c r="DL244" s="284"/>
      <c r="DM244" s="284"/>
      <c r="DN244" s="284"/>
      <c r="DO244" s="284"/>
      <c r="DP244" s="284"/>
      <c r="DQ244" s="284"/>
      <c r="DR244" s="284"/>
      <c r="DS244" s="284"/>
      <c r="DT244" s="284"/>
      <c r="DU244" s="284"/>
      <c r="DV244" s="284"/>
      <c r="DW244" s="284"/>
      <c r="DX244" s="284"/>
      <c r="DY244" s="284"/>
      <c r="DZ244" s="284"/>
      <c r="EA244" s="284"/>
      <c r="EB244" s="284"/>
      <c r="EC244" s="284"/>
      <c r="ED244" s="284"/>
      <c r="EE244" s="284"/>
      <c r="EF244" s="284"/>
      <c r="EG244" s="284"/>
      <c r="EH244" s="284"/>
      <c r="EI244" s="284"/>
      <c r="EJ244" s="284"/>
      <c r="EK244" s="284"/>
      <c r="EL244" s="284"/>
      <c r="EM244" s="284"/>
      <c r="EN244" s="284"/>
      <c r="EO244" s="284"/>
      <c r="EP244" s="284"/>
      <c r="EQ244" s="284"/>
      <c r="ER244" s="284"/>
      <c r="ES244" s="284"/>
      <c r="ET244" s="284"/>
      <c r="EU244" s="284"/>
      <c r="EV244" s="284"/>
      <c r="EW244" s="284"/>
      <c r="EX244" s="284"/>
      <c r="EY244" s="284"/>
      <c r="EZ244" s="284"/>
      <c r="FA244" s="284"/>
      <c r="FB244" s="284"/>
      <c r="FC244" s="284"/>
      <c r="FD244" s="284"/>
      <c r="FE244" s="284"/>
      <c r="FF244" s="284"/>
      <c r="FG244" s="284"/>
      <c r="FH244" s="284"/>
      <c r="FI244" s="284"/>
      <c r="FJ244" s="284"/>
      <c r="FK244" s="284"/>
      <c r="FL244" s="284"/>
      <c r="FM244" s="284"/>
      <c r="FN244" s="284"/>
      <c r="FO244" s="284"/>
      <c r="FP244" s="284"/>
      <c r="FQ244" s="284"/>
      <c r="FR244" s="284"/>
      <c r="FS244" s="284"/>
      <c r="FT244" s="284"/>
      <c r="FU244" s="284"/>
      <c r="FV244" s="284"/>
      <c r="FW244" s="285"/>
      <c r="FX244" s="1328"/>
      <c r="FY244" s="1328"/>
      <c r="FZ244" s="1330"/>
      <c r="GA244" s="1330"/>
      <c r="GB244" s="1330"/>
      <c r="GC244" s="1329"/>
      <c r="GD244" s="1329"/>
    </row>
    <row s="1656" customFormat="1" customHeight="1" ht="20.671875">
      <c r="A245" s="496"/>
      <c r="B245" s="879"/>
      <c r="C245" s="496"/>
      <c r="D245" s="496"/>
      <c r="E245" s="847">
        <v>15</v>
      </c>
      <c r="F245" s="50" cm="1" t="str">
        <f t="array" ref="F245:F245">OFFSET(E245,-1,1)</f>
        <v>3</v>
      </c>
      <c r="G245" s="496"/>
      <c r="H245" s="496"/>
      <c r="I245" s="496"/>
      <c r="J245" s="496"/>
      <c r="K245" s="496"/>
      <c r="L245" s="496"/>
      <c r="M245" s="496"/>
      <c r="N245" s="496"/>
      <c r="O245" s="496"/>
      <c r="P245" s="496"/>
      <c r="Q245" s="935"/>
      <c r="R245" s="496"/>
      <c r="S245" s="487"/>
      <c r="T245" s="468" cm="1" t="str">
        <f t="array" ref="T245:T245">T244</f>
        <v>true</v>
      </c>
      <c r="U245" s="496"/>
      <c r="V245" s="496"/>
      <c r="W245" s="496"/>
      <c r="X245" s="1559"/>
      <c r="Y245" s="496"/>
      <c r="Z245" s="1528"/>
      <c r="AA245" s="496"/>
      <c r="AB245" s="1508" t="s">
        <v>1857</v>
      </c>
      <c r="AC245" s="1509"/>
      <c r="AD245" s="900" cm="1" t="str">
        <f t="array" ref="AD245:AD245">INDEX('Общие сведения'!$AJ$197:$AJ$254,MATCH($X242,'Общие сведения'!$Z$197:$Z$254,0))</f>
        <v>Оказание услуг на территории: город Полысаево (ОКТМО: 32732000) - г Полысаево</v>
      </c>
      <c r="AE245" s="284"/>
      <c r="AF245" s="284"/>
      <c r="AG245" s="284"/>
      <c r="AH245" s="284"/>
      <c r="AI245" s="284"/>
      <c r="AJ245" s="284"/>
      <c r="AK245" s="284"/>
      <c r="AL245" s="284"/>
      <c r="AM245" s="284"/>
      <c r="AN245" s="284"/>
      <c r="AO245" s="284"/>
      <c r="AP245" s="284"/>
      <c r="AQ245" s="284"/>
      <c r="AR245" s="284"/>
      <c r="AS245" s="284"/>
      <c r="AT245" s="284"/>
      <c r="AU245" s="284"/>
      <c r="AV245" s="284"/>
      <c r="AW245" s="284"/>
      <c r="AX245" s="284"/>
      <c r="AY245" s="284"/>
      <c r="AZ245" s="284"/>
      <c r="BA245" s="284"/>
      <c r="BB245" s="284"/>
      <c r="BC245" s="284"/>
      <c r="BD245" s="284"/>
      <c r="BE245" s="284"/>
      <c r="BF245" s="284"/>
      <c r="BG245" s="284"/>
      <c r="BH245" s="284"/>
      <c r="BI245" s="284"/>
      <c r="BJ245" s="284"/>
      <c r="BK245" s="284"/>
      <c r="BL245" s="284"/>
      <c r="BM245" s="284"/>
      <c r="BN245" s="284"/>
      <c r="BO245" s="284"/>
      <c r="BP245" s="284"/>
      <c r="BQ245" s="284"/>
      <c r="BR245" s="284"/>
      <c r="BS245" s="284"/>
      <c r="BT245" s="284"/>
      <c r="BU245" s="284"/>
      <c r="BV245" s="284"/>
      <c r="BW245" s="284"/>
      <c r="BX245" s="284"/>
      <c r="BY245" s="284"/>
      <c r="BZ245" s="284"/>
      <c r="CA245" s="284"/>
      <c r="CB245" s="284"/>
      <c r="CC245" s="284"/>
      <c r="CD245" s="284"/>
      <c r="CE245" s="284"/>
      <c r="CF245" s="284"/>
      <c r="CG245" s="284"/>
      <c r="CH245" s="284"/>
      <c r="CI245" s="284"/>
      <c r="CJ245" s="284"/>
      <c r="CK245" s="284"/>
      <c r="CL245" s="284"/>
      <c r="CM245" s="284"/>
      <c r="CN245" s="284"/>
      <c r="CO245" s="284"/>
      <c r="CP245" s="284"/>
      <c r="CQ245" s="284"/>
      <c r="CR245" s="284"/>
      <c r="CS245" s="284"/>
      <c r="CT245" s="284"/>
      <c r="CU245" s="284"/>
      <c r="CV245" s="284"/>
      <c r="CW245" s="284"/>
      <c r="CX245" s="284"/>
      <c r="CY245" s="284"/>
      <c r="CZ245" s="284"/>
      <c r="DA245" s="284"/>
      <c r="DB245" s="284"/>
      <c r="DC245" s="284"/>
      <c r="DD245" s="284"/>
      <c r="DE245" s="284"/>
      <c r="DF245" s="284"/>
      <c r="DG245" s="284"/>
      <c r="DH245" s="284"/>
      <c r="DI245" s="284"/>
      <c r="DJ245" s="284"/>
      <c r="DK245" s="284"/>
      <c r="DL245" s="284"/>
      <c r="DM245" s="284"/>
      <c r="DN245" s="284"/>
      <c r="DO245" s="284"/>
      <c r="DP245" s="284"/>
      <c r="DQ245" s="284"/>
      <c r="DR245" s="284"/>
      <c r="DS245" s="284"/>
      <c r="DT245" s="284"/>
      <c r="DU245" s="284"/>
      <c r="DV245" s="284"/>
      <c r="DW245" s="284"/>
      <c r="DX245" s="284"/>
      <c r="DY245" s="284"/>
      <c r="DZ245" s="284"/>
      <c r="EA245" s="284"/>
      <c r="EB245" s="284"/>
      <c r="EC245" s="284"/>
      <c r="ED245" s="284"/>
      <c r="EE245" s="284"/>
      <c r="EF245" s="284"/>
      <c r="EG245" s="284"/>
      <c r="EH245" s="284"/>
      <c r="EI245" s="284"/>
      <c r="EJ245" s="284"/>
      <c r="EK245" s="284"/>
      <c r="EL245" s="284"/>
      <c r="EM245" s="284"/>
      <c r="EN245" s="284"/>
      <c r="EO245" s="284"/>
      <c r="EP245" s="284"/>
      <c r="EQ245" s="284"/>
      <c r="ER245" s="284"/>
      <c r="ES245" s="284"/>
      <c r="ET245" s="284"/>
      <c r="EU245" s="284"/>
      <c r="EV245" s="284"/>
      <c r="EW245" s="284"/>
      <c r="EX245" s="284"/>
      <c r="EY245" s="284"/>
      <c r="EZ245" s="284"/>
      <c r="FA245" s="284"/>
      <c r="FB245" s="284"/>
      <c r="FC245" s="284"/>
      <c r="FD245" s="284"/>
      <c r="FE245" s="284"/>
      <c r="FF245" s="284"/>
      <c r="FG245" s="284"/>
      <c r="FH245" s="284"/>
      <c r="FI245" s="284"/>
      <c r="FJ245" s="284"/>
      <c r="FK245" s="284"/>
      <c r="FL245" s="284"/>
      <c r="FM245" s="284"/>
      <c r="FN245" s="284"/>
      <c r="FO245" s="284"/>
      <c r="FP245" s="284"/>
      <c r="FQ245" s="284"/>
      <c r="FR245" s="284"/>
      <c r="FS245" s="284"/>
      <c r="FT245" s="284"/>
      <c r="FU245" s="284"/>
      <c r="FV245" s="284"/>
      <c r="FW245" s="285"/>
      <c r="FX245" s="1328"/>
      <c r="FY245" s="1328"/>
      <c r="FZ245" s="1330"/>
      <c r="GA245" s="1330"/>
      <c r="GB245" s="1330"/>
      <c r="GC245" s="1329"/>
      <c r="GD245" s="1329"/>
    </row>
    <row s="1656" customFormat="1" customHeight="1" ht="14.25">
      <c r="A246" s="496"/>
      <c r="B246" s="932">
        <f>AND(R242="одноставочный",NOT(S242))</f>
        <v>1</v>
      </c>
      <c r="C246" s="496"/>
      <c r="D246" s="496"/>
      <c r="E246" s="847">
        <v>15</v>
      </c>
      <c r="F246" s="50" cm="1" t="str">
        <f t="array" ref="F246:F246">OFFSET(E246,-1,1)</f>
        <v>3</v>
      </c>
      <c r="G246" s="496"/>
      <c r="H246" s="496"/>
      <c r="I246" s="496"/>
      <c r="J246" s="496"/>
      <c r="K246" s="496"/>
      <c r="L246" s="496"/>
      <c r="M246" s="496"/>
      <c r="N246" s="496"/>
      <c r="O246" s="496"/>
      <c r="P246" s="496"/>
      <c r="Q246" s="496"/>
      <c r="R246" s="496"/>
      <c r="S246" s="496"/>
      <c r="T246" s="468" cm="1" t="str">
        <f t="array" ref="T246:T246">T245</f>
        <v>true</v>
      </c>
      <c r="U246" s="496"/>
      <c r="V246" s="496"/>
      <c r="W246" s="496"/>
      <c r="X246" s="1559"/>
      <c r="Y246" s="496"/>
      <c r="Z246" s="1528"/>
      <c r="AA246" s="496"/>
      <c r="AB246" s="901" t="s">
        <v>1858</v>
      </c>
      <c r="AC246" s="902"/>
      <c r="AD246" s="903"/>
      <c r="AE246" s="903"/>
      <c r="AF246" s="903"/>
      <c r="AG246" s="903"/>
      <c r="AH246" s="903"/>
      <c r="AI246" s="903"/>
      <c r="AJ246" s="903"/>
      <c r="AK246" s="903"/>
      <c r="AL246" s="903"/>
      <c r="AM246" s="903"/>
      <c r="AN246" s="903"/>
      <c r="AO246" s="903"/>
      <c r="AP246" s="903"/>
      <c r="AQ246" s="903"/>
      <c r="AR246" s="903"/>
      <c r="AS246" s="903"/>
      <c r="AT246" s="903"/>
      <c r="AU246" s="903"/>
      <c r="AV246" s="903"/>
      <c r="AW246" s="903"/>
      <c r="AX246" s="903"/>
      <c r="AY246" s="903"/>
      <c r="AZ246" s="903"/>
      <c r="BA246" s="903"/>
      <c r="BB246" s="903"/>
      <c r="BC246" s="903"/>
      <c r="BD246" s="903"/>
      <c r="BE246" s="903"/>
      <c r="BF246" s="903"/>
      <c r="BG246" s="903"/>
      <c r="BH246" s="903"/>
      <c r="BI246" s="903"/>
      <c r="BJ246" s="914"/>
      <c r="BK246" s="903"/>
      <c r="BL246" s="903"/>
      <c r="BM246" s="914"/>
      <c r="BN246" s="903"/>
      <c r="BO246" s="903"/>
      <c r="BP246" s="914"/>
      <c r="BQ246" s="903"/>
      <c r="BR246" s="903"/>
      <c r="BS246" s="914"/>
      <c r="BT246" s="903"/>
      <c r="BU246" s="903"/>
      <c r="BV246" s="914"/>
      <c r="BW246" s="903"/>
      <c r="BX246" s="903"/>
      <c r="BY246" s="914"/>
      <c r="BZ246" s="903"/>
      <c r="CA246" s="903"/>
      <c r="CB246" s="914"/>
      <c r="CC246" s="903"/>
      <c r="CD246" s="903"/>
      <c r="CE246" s="914"/>
      <c r="CF246" s="903"/>
      <c r="CG246" s="903"/>
      <c r="CH246" s="914"/>
      <c r="CI246" s="903"/>
      <c r="CJ246" s="903"/>
      <c r="CK246" s="914"/>
      <c r="CL246" s="903"/>
      <c r="CM246" s="903"/>
      <c r="CN246" s="914"/>
      <c r="CO246" s="903"/>
      <c r="CP246" s="903"/>
      <c r="CQ246" s="914"/>
      <c r="CR246" s="903"/>
      <c r="CS246" s="903"/>
      <c r="CT246" s="914"/>
      <c r="CU246" s="903"/>
      <c r="CV246" s="903"/>
      <c r="CW246" s="914"/>
      <c r="CX246" s="903"/>
      <c r="CY246" s="903"/>
      <c r="CZ246" s="914"/>
      <c r="DA246" s="903"/>
      <c r="DB246" s="903"/>
      <c r="DC246" s="914"/>
      <c r="DD246" s="903"/>
      <c r="DE246" s="903"/>
      <c r="DF246" s="287"/>
      <c r="DG246" s="286"/>
      <c r="DH246" s="286"/>
      <c r="DI246" s="287"/>
      <c r="DJ246" s="286"/>
      <c r="DK246" s="286"/>
      <c r="DL246" s="287"/>
      <c r="DM246" s="286"/>
      <c r="DN246" s="286"/>
      <c r="DO246" s="287"/>
      <c r="DP246" s="286"/>
      <c r="DQ246" s="286"/>
      <c r="DR246" s="287"/>
      <c r="DS246" s="286"/>
      <c r="DT246" s="286"/>
      <c r="DU246" s="287"/>
      <c r="DV246" s="286"/>
      <c r="DW246" s="286"/>
      <c r="DX246" s="287"/>
      <c r="DY246" s="286"/>
      <c r="DZ246" s="286"/>
      <c r="EA246" s="287"/>
      <c r="EB246" s="286"/>
      <c r="EC246" s="286"/>
      <c r="ED246" s="287"/>
      <c r="EE246" s="286"/>
      <c r="EF246" s="286"/>
      <c r="EG246" s="287"/>
      <c r="EH246" s="286"/>
      <c r="EI246" s="286"/>
      <c r="EJ246" s="287"/>
      <c r="EK246" s="286"/>
      <c r="EL246" s="286"/>
      <c r="EM246" s="287"/>
      <c r="EN246" s="286"/>
      <c r="EO246" s="286"/>
      <c r="EP246" s="287"/>
      <c r="EQ246" s="286"/>
      <c r="ER246" s="286"/>
      <c r="ES246" s="287"/>
      <c r="ET246" s="286"/>
      <c r="EU246" s="286"/>
      <c r="EV246" s="287"/>
      <c r="EW246" s="286"/>
      <c r="EX246" s="286"/>
      <c r="EY246" s="287"/>
      <c r="EZ246" s="286"/>
      <c r="FA246" s="286"/>
      <c r="FB246" s="287"/>
      <c r="FC246" s="286"/>
      <c r="FD246" s="286"/>
      <c r="FE246" s="287"/>
      <c r="FF246" s="286"/>
      <c r="FG246" s="286"/>
      <c r="FH246" s="287"/>
      <c r="FI246" s="286"/>
      <c r="FJ246" s="286"/>
      <c r="FK246" s="287"/>
      <c r="FL246" s="286"/>
      <c r="FM246" s="286"/>
      <c r="FN246" s="287"/>
      <c r="FO246" s="286"/>
      <c r="FP246" s="286"/>
      <c r="FQ246" s="287"/>
      <c r="FR246" s="286"/>
      <c r="FS246" s="286"/>
      <c r="FT246" s="287"/>
      <c r="FU246" s="286"/>
      <c r="FV246" s="286"/>
      <c r="FW246" s="287"/>
      <c r="FX246" s="1328"/>
      <c r="FY246" s="1328"/>
      <c r="FZ246" s="1330"/>
      <c r="GA246" s="1330"/>
      <c r="GB246" s="1330"/>
      <c r="GC246" s="1329"/>
      <c r="GD246" s="1329"/>
    </row>
    <row s="5548" customFormat="1" customHeight="1" ht="27.421875">
      <c r="A247" s="904"/>
      <c r="B247" s="932" cm="1" t="str">
        <f t="array" ref="B247:B247">B246</f>
        <v>true</v>
      </c>
      <c r="C247" s="904"/>
      <c r="D247" s="904"/>
      <c r="E247" s="905">
        <v>24.5</v>
      </c>
      <c r="F247" s="50" cm="1" t="str">
        <f t="array" ref="F247:F247">OFFSET(E247,-1,1)</f>
        <v>3</v>
      </c>
      <c r="G247" s="496" t="s">
        <v>1859</v>
      </c>
      <c r="H247" s="496" t="s">
        <v>566</v>
      </c>
      <c r="I247" s="496" t="s">
        <v>1860</v>
      </c>
      <c r="J247" s="904"/>
      <c r="K247" s="904"/>
      <c r="L247" s="496"/>
      <c r="M247" s="904"/>
      <c r="N247" s="904"/>
      <c r="O247" s="904"/>
      <c r="P247" s="904"/>
      <c r="Q247" s="904"/>
      <c r="R247" s="904"/>
      <c r="S247" s="496"/>
      <c r="T247" s="468" cm="1" t="str">
        <f t="array" ref="T247:T247">T246</f>
        <v>true</v>
      </c>
      <c r="U247" s="904"/>
      <c r="V247" s="904"/>
      <c r="W247" s="904"/>
      <c r="X247" s="1559"/>
      <c r="Y247" s="904"/>
      <c r="Z247" s="1528"/>
      <c r="AA247" s="904"/>
      <c r="AB247" s="289" t="s">
        <v>1861</v>
      </c>
      <c r="AC247" s="290" t="s">
        <v>1862</v>
      </c>
      <c r="AD247" s="906">
        <f>IF(AND(method_reg="Метод индексации",god&lt;&gt;first_year),_xlfn.SUMIFS(INDEX('Калькуляция (МИ корр)'!$AJ$25:$BC$606,,MATCH(AD$8,'Калькуляция (МИ корр)'!$AJ$8:$BC$8,0)),'Калькуляция (МИ корр)'!$F$25:$F$606,$F247,'Калькуляция (МИ корр)'!$G$25:$G$606,$G247),IF(method_reg="Метод экономически обоснованных расходов",_xlfn.SUMIFS('Калькуляция (МЭОР)'!$AJ$25:$AJ$367,'Калькуляция (МЭОР)'!$F$25:$F$367,$F247,'Калькуляция (МЭОР)'!$G$25:$G$367,$G247),IF(method_reg="Метод сравнения аналогов",_xlfn.SUMIFS('Калькуляция (МСА)'!$AE$25:$AE$103,'Калькуляция (МСА)'!$F$25:$F$103,$F247,'Калькуляция (МСА)'!$G$25:$G$103,$G247),_xlfn.SUMIFS(INDEX('Калькуляция (МИ)'!$AJ$25:$BC$603,,MATCH(AD$8,'Калькуляция (МИ)'!$AJ$8:$BC$8,0)),'Калькуляция (МИ)'!$F$25:$F$603,$F247,'Калькуляция (МИ)'!$G$25:$G$603,$G247))))</f>
        <v>160.156684943698</v>
      </c>
      <c r="AE247" s="906">
        <f>IF(AND(method_reg="Метод индексации",god&lt;&gt;first_year),_xlfn.SUMIFS(INDEX('Калькуляция (МИ корр)'!$AJ$25:$BC$606,,MATCH(AE$8,'Калькуляция (МИ корр)'!$AJ$8:$BC$8,0)),'Калькуляция (МИ корр)'!$F$25:$F$606,$F247,'Калькуляция (МИ корр)'!$G$25:$G$606,$G247),IF(method_reg="Метод экономически обоснованных расходов",_xlfn.SUMIFS('Калькуляция (МЭОР)'!$AK$25:$AK$367,'Калькуляция (МЭОР)'!$F$25:$F$367,$F247,'Калькуляция (МЭОР)'!$G$25:$G$367,$G247),IF(method_reg="Метод сравнения аналогов",_xlfn.SUMIFS('Калькуляция (МСА)'!$AF$25:$AF$103,'Калькуляция (МСА)'!$F$25:$F$103,$F247,'Калькуляция (МСА)'!$G$25:$G$103,$G247),_xlfn.SUMIFS(INDEX('Калькуляция (МИ)'!$AJ$25:$BC$603,,MATCH(AE$8,'Калькуляция (МИ)'!$AJ$8:$BC$8,0)),'Калькуляция (МИ)'!$F$25:$F$603,$F247,'Калькуляция (МИ)'!$G$25:$G$603,$G247))))</f>
        <v>54.34</v>
      </c>
      <c r="AF247" s="292">
        <f>IF(AD247=0,0,(AE247-AD247)/AD247*100)</f>
        <v>-66.0707262896314</v>
      </c>
      <c r="AG247" s="4576">
        <f>IF(AND(method_reg="Метод индексации",god&lt;&gt;first_year),_xlfn.SUMIFS(INDEX('Калькуляция (МИ корр)'!$AJ$25:$BC$606,,MATCH(AG$8,'Калькуляция (МИ корр)'!$AJ$8:$BC$8,0)),'Калькуляция (МИ корр)'!$F$25:$F$606,$F247,'Калькуляция (МИ корр)'!$G$25:$G$606,$G247),IF(method_reg="Метод экономически обоснованных расходов",_xlfn.SUMIFS('Калькуляция (МЭОР)'!$AJ$25:$AJ$367,'Калькуляция (МЭОР)'!$F$25:$F$367,$F247,'Калькуляция (МЭОР)'!$G$25:$G$367,$G247),IF(method_reg="Метод сравнения аналогов",_xlfn.SUMIFS('Калькуляция (МСА)'!$AE$25:$AE$103,'Калькуляция (МСА)'!$F$25:$F$103,$F247,'Калькуляция (МСА)'!$G$25:$G$103,$G247),_xlfn.SUMIFS(INDEX('Калькуляция (МИ)'!$AJ$25:$BC$603,,MATCH(AG$8,'Калькуляция (МИ)'!$AJ$8:$BC$8,0)),'Калькуляция (МИ)'!$F$25:$F$603,$F247,'Калькуляция (МИ)'!$G$25:$G$603,$G247))))</f>
        <v>0</v>
      </c>
      <c r="AH247" s="4576">
        <f>IF(AND(method_reg="Метод индексации",god&lt;&gt;first_year),_xlfn.SUMIFS(INDEX('Калькуляция (МИ корр)'!$AJ$25:$BC$606,,MATCH(AH$8,'Калькуляция (МИ корр)'!$AJ$8:$BC$8,0)),'Калькуляция (МИ корр)'!$F$25:$F$606,$F247,'Калькуляция (МИ корр)'!$G$25:$G$606,$G247),IF(method_reg="Метод экономически обоснованных расходов",_xlfn.SUMIFS('Калькуляция (МЭОР)'!$AK$25:$AK$367,'Калькуляция (МЭОР)'!$F$25:$F$367,$F247,'Калькуляция (МЭОР)'!$G$25:$G$367,$G247),IF(method_reg="Метод сравнения аналогов",_xlfn.SUMIFS('Калькуляция (МСА)'!$AF$25:$AF$103,'Калькуляция (МСА)'!$F$25:$F$103,$F247,'Калькуляция (МСА)'!$G$25:$G$103,$G247),_xlfn.SUMIFS(INDEX('Калькуляция (МИ)'!$AJ$25:$BC$603,,MATCH(AH$8,'Калькуляция (МИ)'!$AJ$8:$BC$8,0)),'Калькуляция (МИ)'!$F$25:$F$603,$F247,'Калькуляция (МИ)'!$G$25:$G$603,$G247))))</f>
        <v>60.860062497579</v>
      </c>
      <c r="AI247" s="292">
        <f>IF(AG247=0,0,(AH247-AG247)/AG247*100)</f>
        <v>0</v>
      </c>
      <c r="AJ247" s="4576">
        <f>IF(AND(method_reg="Метод индексации",god&lt;&gt;first_year),_xlfn.SUMIFS(INDEX('Калькуляция (МИ корр)'!$AJ$25:$BC$606,,MATCH(AJ$8,'Калькуляция (МИ корр)'!$AJ$8:$BC$8,0)),'Калькуляция (МИ корр)'!$F$25:$F$606,$F247,'Калькуляция (МИ корр)'!$G$25:$G$606,$G247),IF(method_reg="Метод экономически обоснованных расходов",_xlfn.SUMIFS('Калькуляция (МЭОР)'!$AJ$25:$AJ$367,'Калькуляция (МЭОР)'!$F$25:$F$367,$F247,'Калькуляция (МЭОР)'!$G$25:$G$367,$G247),IF(method_reg="Метод сравнения аналогов",_xlfn.SUMIFS('Калькуляция (МСА)'!$AE$25:$AE$103,'Калькуляция (МСА)'!$F$25:$F$103,$F247,'Калькуляция (МСА)'!$G$25:$G$103,$G247),_xlfn.SUMIFS(INDEX('Калькуляция (МИ)'!$AJ$25:$BC$603,,MATCH(AJ$8,'Калькуляция (МИ)'!$AJ$8:$BC$8,0)),'Калькуляция (МИ)'!$F$25:$F$603,$F247,'Калькуляция (МИ)'!$G$25:$G$603,$G247))))</f>
        <v>0</v>
      </c>
      <c r="AK247" s="4576">
        <f>IF(AND(method_reg="Метод индексации",god&lt;&gt;first_year),_xlfn.SUMIFS(INDEX('Калькуляция (МИ корр)'!$AJ$25:$BC$606,,MATCH(AK$8,'Калькуляция (МИ корр)'!$AJ$8:$BC$8,0)),'Калькуляция (МИ корр)'!$F$25:$F$606,$F247,'Калькуляция (МИ корр)'!$G$25:$G$606,$G247),IF(method_reg="Метод экономически обоснованных расходов",_xlfn.SUMIFS('Калькуляция (МЭОР)'!$AK$25:$AK$367,'Калькуляция (МЭОР)'!$F$25:$F$367,$F247,'Калькуляция (МЭОР)'!$G$25:$G$367,$G247),IF(method_reg="Метод сравнения аналогов",_xlfn.SUMIFS('Калькуляция (МСА)'!$AF$25:$AF$103,'Калькуляция (МСА)'!$F$25:$F$103,$F247,'Калькуляция (МСА)'!$G$25:$G$103,$G247),_xlfn.SUMIFS(INDEX('Калькуляция (МИ)'!$AJ$25:$BC$603,,MATCH(AK$8,'Калькуляция (МИ)'!$AJ$8:$BC$8,0)),'Калькуляция (МИ)'!$F$25:$F$603,$F247,'Калькуляция (МИ)'!$G$25:$G$603,$G247))))</f>
        <v>0</v>
      </c>
      <c r="AL247" s="292">
        <f>IF(AJ247=0,0,(AK247-AJ247)/AJ247*100)</f>
        <v>0</v>
      </c>
      <c r="AM247" s="4576">
        <f>IF(AND(method_reg="Метод индексации",god&lt;&gt;first_year),_xlfn.SUMIFS(INDEX('Калькуляция (МИ корр)'!$AJ$25:$BC$606,,MATCH(AM$8,'Калькуляция (МИ корр)'!$AJ$8:$BC$8,0)),'Калькуляция (МИ корр)'!$F$25:$F$606,$F247,'Калькуляция (МИ корр)'!$G$25:$G$606,$G247),IF(method_reg="Метод экономически обоснованных расходов",_xlfn.SUMIFS('Калькуляция (МЭОР)'!$AJ$25:$AJ$367,'Калькуляция (МЭОР)'!$F$25:$F$367,$F247,'Калькуляция (МЭОР)'!$G$25:$G$367,$G247),IF(method_reg="Метод сравнения аналогов",_xlfn.SUMIFS('Калькуляция (МСА)'!$AE$25:$AE$103,'Калькуляция (МСА)'!$F$25:$F$103,$F247,'Калькуляция (МСА)'!$G$25:$G$103,$G247),_xlfn.SUMIFS(INDEX('Калькуляция (МИ)'!$AJ$25:$BC$603,,MATCH(AM$8,'Калькуляция (МИ)'!$AJ$8:$BC$8,0)),'Калькуляция (МИ)'!$F$25:$F$603,$F247,'Калькуляция (МИ)'!$G$25:$G$603,$G247))))</f>
        <v>0</v>
      </c>
      <c r="AN247" s="4576">
        <f>IF(AND(method_reg="Метод индексации",god&lt;&gt;first_year),_xlfn.SUMIFS(INDEX('Калькуляция (МИ корр)'!$AJ$25:$BC$606,,MATCH(AN$8,'Калькуляция (МИ корр)'!$AJ$8:$BC$8,0)),'Калькуляция (МИ корр)'!$F$25:$F$606,$F247,'Калькуляция (МИ корр)'!$G$25:$G$606,$G247),IF(method_reg="Метод экономически обоснованных расходов",_xlfn.SUMIFS('Калькуляция (МЭОР)'!$AK$25:$AK$367,'Калькуляция (МЭОР)'!$F$25:$F$367,$F247,'Калькуляция (МЭОР)'!$G$25:$G$367,$G247),IF(method_reg="Метод сравнения аналогов",_xlfn.SUMIFS('Калькуляция (МСА)'!$AF$25:$AF$103,'Калькуляция (МСА)'!$F$25:$F$103,$F247,'Калькуляция (МСА)'!$G$25:$G$103,$G247),_xlfn.SUMIFS(INDEX('Калькуляция (МИ)'!$AJ$25:$BC$603,,MATCH(AN$8,'Калькуляция (МИ)'!$AJ$8:$BC$8,0)),'Калькуляция (МИ)'!$F$25:$F$603,$F247,'Калькуляция (МИ)'!$G$25:$G$603,$G247))))</f>
        <v>0</v>
      </c>
      <c r="AO247" s="292">
        <f>IF(AM247=0,0,(AN247-AM247)/AM247*100)</f>
        <v>0</v>
      </c>
      <c r="AP247" s="4576">
        <f>IF(AND(method_reg="Метод индексации",god&lt;&gt;first_year),_xlfn.SUMIFS(INDEX('Калькуляция (МИ корр)'!$AJ$25:$BC$606,,MATCH(AP$8,'Калькуляция (МИ корр)'!$AJ$8:$BC$8,0)),'Калькуляция (МИ корр)'!$F$25:$F$606,$F247,'Калькуляция (МИ корр)'!$G$25:$G$606,$G247),IF(method_reg="Метод экономически обоснованных расходов",_xlfn.SUMIFS('Калькуляция (МЭОР)'!$AJ$25:$AJ$367,'Калькуляция (МЭОР)'!$F$25:$F$367,$F247,'Калькуляция (МЭОР)'!$G$25:$G$367,$G247),IF(method_reg="Метод сравнения аналогов",_xlfn.SUMIFS('Калькуляция (МСА)'!$AE$25:$AE$103,'Калькуляция (МСА)'!$F$25:$F$103,$F247,'Калькуляция (МСА)'!$G$25:$G$103,$G247),_xlfn.SUMIFS(INDEX('Калькуляция (МИ)'!$AJ$25:$BC$603,,MATCH(AP$8,'Калькуляция (МИ)'!$AJ$8:$BC$8,0)),'Калькуляция (МИ)'!$F$25:$F$603,$F247,'Калькуляция (МИ)'!$G$25:$G$603,$G247))))</f>
        <v>0</v>
      </c>
      <c r="AQ247" s="4576">
        <f>IF(AND(method_reg="Метод индексации",god&lt;&gt;first_year),_xlfn.SUMIFS(INDEX('Калькуляция (МИ корр)'!$AJ$25:$BC$606,,MATCH(AQ$8,'Калькуляция (МИ корр)'!$AJ$8:$BC$8,0)),'Калькуляция (МИ корр)'!$F$25:$F$606,$F247,'Калькуляция (МИ корр)'!$G$25:$G$606,$G247),IF(method_reg="Метод экономически обоснованных расходов",_xlfn.SUMIFS('Калькуляция (МЭОР)'!$AK$25:$AK$367,'Калькуляция (МЭОР)'!$F$25:$F$367,$F247,'Калькуляция (МЭОР)'!$G$25:$G$367,$G247),IF(method_reg="Метод сравнения аналогов",_xlfn.SUMIFS('Калькуляция (МСА)'!$AF$25:$AF$103,'Калькуляция (МСА)'!$F$25:$F$103,$F247,'Калькуляция (МСА)'!$G$25:$G$103,$G247),_xlfn.SUMIFS(INDEX('Калькуляция (МИ)'!$AJ$25:$BC$603,,MATCH(AQ$8,'Калькуляция (МИ)'!$AJ$8:$BC$8,0)),'Калькуляция (МИ)'!$F$25:$F$603,$F247,'Калькуляция (МИ)'!$G$25:$G$603,$G247))))</f>
        <v>0</v>
      </c>
      <c r="AR247" s="292">
        <f>IF(AP247=0,0,(AQ247-AP247)/AP247*100)</f>
        <v>0</v>
      </c>
      <c r="AS247" s="4576">
        <f>IF(AND(method_reg="Метод индексации",god&lt;&gt;first_year),_xlfn.SUMIFS(INDEX('Калькуляция (МИ корр)'!$AJ$25:$BC$606,,MATCH(AS$8,'Калькуляция (МИ корр)'!$AJ$8:$BC$8,0)),'Калькуляция (МИ корр)'!$F$25:$F$606,$F247,'Калькуляция (МИ корр)'!$G$25:$G$606,$G247),IF(method_reg="Метод экономически обоснованных расходов",_xlfn.SUMIFS('Калькуляция (МЭОР)'!$AJ$25:$AJ$367,'Калькуляция (МЭОР)'!$F$25:$F$367,$F247,'Калькуляция (МЭОР)'!$G$25:$G$367,$G247),IF(method_reg="Метод сравнения аналогов",_xlfn.SUMIFS('Калькуляция (МСА)'!$AE$25:$AE$103,'Калькуляция (МСА)'!$F$25:$F$103,$F247,'Калькуляция (МСА)'!$G$25:$G$103,$G247),_xlfn.SUMIFS(INDEX('Калькуляция (МИ)'!$AJ$25:$BC$603,,MATCH(AS$8,'Калькуляция (МИ)'!$AJ$8:$BC$8,0)),'Калькуляция (МИ)'!$F$25:$F$603,$F247,'Калькуляция (МИ)'!$G$25:$G$603,$G247))))</f>
        <v>0</v>
      </c>
      <c r="AT247" s="4576">
        <f>IF(AND(method_reg="Метод индексации",god&lt;&gt;first_year),_xlfn.SUMIFS(INDEX('Калькуляция (МИ корр)'!$AJ$25:$BC$606,,MATCH(AT$8,'Калькуляция (МИ корр)'!$AJ$8:$BC$8,0)),'Калькуляция (МИ корр)'!$F$25:$F$606,$F247,'Калькуляция (МИ корр)'!$G$25:$G$606,$G247),IF(method_reg="Метод экономически обоснованных расходов",_xlfn.SUMIFS('Калькуляция (МЭОР)'!$AK$25:$AK$367,'Калькуляция (МЭОР)'!$F$25:$F$367,$F247,'Калькуляция (МЭОР)'!$G$25:$G$367,$G247),IF(method_reg="Метод сравнения аналогов",_xlfn.SUMIFS('Калькуляция (МСА)'!$AF$25:$AF$103,'Калькуляция (МСА)'!$F$25:$F$103,$F247,'Калькуляция (МСА)'!$G$25:$G$103,$G247),_xlfn.SUMIFS(INDEX('Калькуляция (МИ)'!$AJ$25:$BC$603,,MATCH(AT$8,'Калькуляция (МИ)'!$AJ$8:$BC$8,0)),'Калькуляция (МИ)'!$F$25:$F$603,$F247,'Калькуляция (МИ)'!$G$25:$G$603,$G247))))</f>
        <v>0</v>
      </c>
      <c r="AU247" s="292">
        <f>IF(AS247=0,0,(AT247-AS247)/AS247*100)</f>
        <v>0</v>
      </c>
      <c r="AV247" s="4576">
        <f>IF(AND(method_reg="Метод индексации",god&lt;&gt;first_year),_xlfn.SUMIFS(INDEX('Калькуляция (МИ корр)'!$AJ$25:$BC$606,,MATCH(AV$8,'Калькуляция (МИ корр)'!$AJ$8:$BC$8,0)),'Калькуляция (МИ корр)'!$F$25:$F$606,$F247,'Калькуляция (МИ корр)'!$G$25:$G$606,$G247),IF(method_reg="Метод экономически обоснованных расходов",_xlfn.SUMIFS('Калькуляция (МЭОР)'!$AJ$25:$AJ$367,'Калькуляция (МЭОР)'!$F$25:$F$367,$F247,'Калькуляция (МЭОР)'!$G$25:$G$367,$G247),IF(method_reg="Метод сравнения аналогов",_xlfn.SUMIFS('Калькуляция (МСА)'!$AE$25:$AE$103,'Калькуляция (МСА)'!$F$25:$F$103,$F247,'Калькуляция (МСА)'!$G$25:$G$103,$G247),_xlfn.SUMIFS(INDEX('Калькуляция (МИ)'!$AJ$25:$BC$603,,MATCH(AV$8,'Калькуляция (МИ)'!$AJ$8:$BC$8,0)),'Калькуляция (МИ)'!$F$25:$F$603,$F247,'Калькуляция (МИ)'!$G$25:$G$603,$G247))))</f>
        <v>0</v>
      </c>
      <c r="AW247" s="4576">
        <f>IF(AND(method_reg="Метод индексации",god&lt;&gt;first_year),_xlfn.SUMIFS(INDEX('Калькуляция (МИ корр)'!$AJ$25:$BC$606,,MATCH(AW$8,'Калькуляция (МИ корр)'!$AJ$8:$BC$8,0)),'Калькуляция (МИ корр)'!$F$25:$F$606,$F247,'Калькуляция (МИ корр)'!$G$25:$G$606,$G247),IF(method_reg="Метод экономически обоснованных расходов",_xlfn.SUMIFS('Калькуляция (МЭОР)'!$AK$25:$AK$367,'Калькуляция (МЭОР)'!$F$25:$F$367,$F247,'Калькуляция (МЭОР)'!$G$25:$G$367,$G247),IF(method_reg="Метод сравнения аналогов",_xlfn.SUMIFS('Калькуляция (МСА)'!$AF$25:$AF$103,'Калькуляция (МСА)'!$F$25:$F$103,$F247,'Калькуляция (МСА)'!$G$25:$G$103,$G247),_xlfn.SUMIFS(INDEX('Калькуляция (МИ)'!$AJ$25:$BC$603,,MATCH(AW$8,'Калькуляция (МИ)'!$AJ$8:$BC$8,0)),'Калькуляция (МИ)'!$F$25:$F$603,$F247,'Калькуляция (МИ)'!$G$25:$G$603,$G247))))</f>
        <v>0</v>
      </c>
      <c r="AX247" s="292">
        <f>IF(AV247=0,0,(AW247-AV247)/AV247*100)</f>
        <v>0</v>
      </c>
      <c r="AY247" s="4576">
        <f>IF(AND(method_reg="Метод индексации",god&lt;&gt;first_year),_xlfn.SUMIFS(INDEX('Калькуляция (МИ корр)'!$AJ$25:$BC$606,,MATCH(AY$8,'Калькуляция (МИ корр)'!$AJ$8:$BC$8,0)),'Калькуляция (МИ корр)'!$F$25:$F$606,$F247,'Калькуляция (МИ корр)'!$G$25:$G$606,$G247),IF(method_reg="Метод экономически обоснованных расходов",_xlfn.SUMIFS('Калькуляция (МЭОР)'!$AJ$25:$AJ$367,'Калькуляция (МЭОР)'!$F$25:$F$367,$F247,'Калькуляция (МЭОР)'!$G$25:$G$367,$G247),IF(method_reg="Метод сравнения аналогов",_xlfn.SUMIFS('Калькуляция (МСА)'!$AE$25:$AE$103,'Калькуляция (МСА)'!$F$25:$F$103,$F247,'Калькуляция (МСА)'!$G$25:$G$103,$G247),_xlfn.SUMIFS(INDEX('Калькуляция (МИ)'!$AJ$25:$BC$603,,MATCH(AY$8,'Калькуляция (МИ)'!$AJ$8:$BC$8,0)),'Калькуляция (МИ)'!$F$25:$F$603,$F247,'Калькуляция (МИ)'!$G$25:$G$603,$G247))))</f>
        <v>0</v>
      </c>
      <c r="AZ247" s="4576">
        <f>IF(AND(method_reg="Метод индексации",god&lt;&gt;first_year),_xlfn.SUMIFS(INDEX('Калькуляция (МИ корр)'!$AJ$25:$BC$606,,MATCH(AZ$8,'Калькуляция (МИ корр)'!$AJ$8:$BC$8,0)),'Калькуляция (МИ корр)'!$F$25:$F$606,$F247,'Калькуляция (МИ корр)'!$G$25:$G$606,$G247),IF(method_reg="Метод экономически обоснованных расходов",_xlfn.SUMIFS('Калькуляция (МЭОР)'!$AK$25:$AK$367,'Калькуляция (МЭОР)'!$F$25:$F$367,$F247,'Калькуляция (МЭОР)'!$G$25:$G$367,$G247),IF(method_reg="Метод сравнения аналогов",_xlfn.SUMIFS('Калькуляция (МСА)'!$AF$25:$AF$103,'Калькуляция (МСА)'!$F$25:$F$103,$F247,'Калькуляция (МСА)'!$G$25:$G$103,$G247),_xlfn.SUMIFS(INDEX('Калькуляция (МИ)'!$AJ$25:$BC$603,,MATCH(AZ$8,'Калькуляция (МИ)'!$AJ$8:$BC$8,0)),'Калькуляция (МИ)'!$F$25:$F$603,$F247,'Калькуляция (МИ)'!$G$25:$G$603,$G247))))</f>
        <v>0</v>
      </c>
      <c r="BA247" s="292">
        <f>IF(AY247=0,0,(AZ247-AY247)/AY247*100)</f>
        <v>0</v>
      </c>
      <c r="BB247" s="4576">
        <f>IF(AND(method_reg="Метод индексации",god&lt;&gt;first_year),_xlfn.SUMIFS(INDEX('Калькуляция (МИ корр)'!$AJ$25:$BC$606,,MATCH(BB$8,'Калькуляция (МИ корр)'!$AJ$8:$BC$8,0)),'Калькуляция (МИ корр)'!$F$25:$F$606,$F247,'Калькуляция (МИ корр)'!$G$25:$G$606,$G247),IF(method_reg="Метод экономически обоснованных расходов",_xlfn.SUMIFS('Калькуляция (МЭОР)'!$AJ$25:$AJ$367,'Калькуляция (МЭОР)'!$F$25:$F$367,$F247,'Калькуляция (МЭОР)'!$G$25:$G$367,$G247),IF(method_reg="Метод сравнения аналогов",_xlfn.SUMIFS('Калькуляция (МСА)'!$AE$25:$AE$103,'Калькуляция (МСА)'!$F$25:$F$103,$F247,'Калькуляция (МСА)'!$G$25:$G$103,$G247),_xlfn.SUMIFS(INDEX('Калькуляция (МИ)'!$AJ$25:$BC$603,,MATCH(BB$8,'Калькуляция (МИ)'!$AJ$8:$BC$8,0)),'Калькуляция (МИ)'!$F$25:$F$603,$F247,'Калькуляция (МИ)'!$G$25:$G$603,$G247))))</f>
        <v>0</v>
      </c>
      <c r="BC247" s="4576">
        <f>IF(AND(method_reg="Метод индексации",god&lt;&gt;first_year),_xlfn.SUMIFS(INDEX('Калькуляция (МИ корр)'!$AJ$25:$BC$606,,MATCH(BC$8,'Калькуляция (МИ корр)'!$AJ$8:$BC$8,0)),'Калькуляция (МИ корр)'!$F$25:$F$606,$F247,'Калькуляция (МИ корр)'!$G$25:$G$606,$G247),IF(method_reg="Метод экономически обоснованных расходов",_xlfn.SUMIFS('Калькуляция (МЭОР)'!$AK$25:$AK$367,'Калькуляция (МЭОР)'!$F$25:$F$367,$F247,'Калькуляция (МЭОР)'!$G$25:$G$367,$G247),IF(method_reg="Метод сравнения аналогов",_xlfn.SUMIFS('Калькуляция (МСА)'!$AF$25:$AF$103,'Калькуляция (МСА)'!$F$25:$F$103,$F247,'Калькуляция (МСА)'!$G$25:$G$103,$G247),_xlfn.SUMIFS(INDEX('Калькуляция (МИ)'!$AJ$25:$BC$603,,MATCH(BC$8,'Калькуляция (МИ)'!$AJ$8:$BC$8,0)),'Калькуляция (МИ)'!$F$25:$F$603,$F247,'Калькуляция (МИ)'!$G$25:$G$603,$G247))))</f>
        <v>0</v>
      </c>
      <c r="BD247" s="292">
        <f>IF(BB247=0,0,(BC247-BB247)/BB247*100)</f>
        <v>0</v>
      </c>
      <c r="BE247" s="4576">
        <f>IF(AND(method_reg="Метод индексации",god&lt;&gt;first_year),_xlfn.SUMIFS(INDEX('Калькуляция (МИ корр)'!$AJ$25:$BC$606,,MATCH(BE$8,'Калькуляция (МИ корр)'!$AJ$8:$BC$8,0)),'Калькуляция (МИ корр)'!$F$25:$F$606,$F247,'Калькуляция (МИ корр)'!$G$25:$G$606,$G247),IF(method_reg="Метод экономически обоснованных расходов",_xlfn.SUMIFS('Калькуляция (МЭОР)'!$AJ$25:$AJ$367,'Калькуляция (МЭОР)'!$F$25:$F$367,$F247,'Калькуляция (МЭОР)'!$G$25:$G$367,$G247),IF(method_reg="Метод сравнения аналогов",_xlfn.SUMIFS('Калькуляция (МСА)'!$AE$25:$AE$103,'Калькуляция (МСА)'!$F$25:$F$103,$F247,'Калькуляция (МСА)'!$G$25:$G$103,$G247),_xlfn.SUMIFS(INDEX('Калькуляция (МИ)'!$AJ$25:$BC$603,,MATCH(BE$8,'Калькуляция (МИ)'!$AJ$8:$BC$8,0)),'Калькуляция (МИ)'!$F$25:$F$603,$F247,'Калькуляция (МИ)'!$G$25:$G$603,$G247))))</f>
        <v>0</v>
      </c>
      <c r="BF247" s="4576">
        <f>IF(AND(method_reg="Метод индексации",god&lt;&gt;first_year),_xlfn.SUMIFS(INDEX('Калькуляция (МИ корр)'!$AJ$25:$BC$606,,MATCH(BF$8,'Калькуляция (МИ корр)'!$AJ$8:$BC$8,0)),'Калькуляция (МИ корр)'!$F$25:$F$606,$F247,'Калькуляция (МИ корр)'!$G$25:$G$606,$G247),IF(method_reg="Метод экономически обоснованных расходов",_xlfn.SUMIFS('Калькуляция (МЭОР)'!$AK$25:$AK$367,'Калькуляция (МЭОР)'!$F$25:$F$367,$F247,'Калькуляция (МЭОР)'!$G$25:$G$367,$G247),IF(method_reg="Метод сравнения аналогов",_xlfn.SUMIFS('Калькуляция (МСА)'!$AF$25:$AF$103,'Калькуляция (МСА)'!$F$25:$F$103,$F247,'Калькуляция (МСА)'!$G$25:$G$103,$G247),_xlfn.SUMIFS(INDEX('Калькуляция (МИ)'!$AJ$25:$BC$603,,MATCH(BF$8,'Калькуляция (МИ)'!$AJ$8:$BC$8,0)),'Калькуляция (МИ)'!$F$25:$F$603,$F247,'Калькуляция (МИ)'!$G$25:$G$603,$G247))))</f>
        <v>0</v>
      </c>
      <c r="BG247" s="292">
        <f>IF(BE247=0,0,(BF247-BE247)/BE247*100)</f>
        <v>0</v>
      </c>
      <c r="BH247" s="4576"/>
      <c r="BI247" s="4576"/>
      <c r="BJ247" s="292">
        <f>IF(BH247=0,0,(BI247-BH247)/BH247*100)</f>
        <v>0</v>
      </c>
      <c r="BK247" s="4576"/>
      <c r="BL247" s="4576"/>
      <c r="BM247" s="292">
        <f>IF(BK247=0,0,(BL247-BK247)/BK247*100)</f>
        <v>0</v>
      </c>
      <c r="BN247" s="4576"/>
      <c r="BO247" s="4576"/>
      <c r="BP247" s="292">
        <f>IF(BN247=0,0,(BO247-BN247)/BN247*100)</f>
        <v>0</v>
      </c>
      <c r="BQ247" s="4576"/>
      <c r="BR247" s="4576"/>
      <c r="BS247" s="292">
        <f>IF(BQ247=0,0,(BR247-BQ247)/BQ247*100)</f>
        <v>0</v>
      </c>
      <c r="BT247" s="4576"/>
      <c r="BU247" s="4576"/>
      <c r="BV247" s="292">
        <f>IF(BT247=0,0,(BU247-BT247)/BT247*100)</f>
        <v>0</v>
      </c>
      <c r="BW247" s="4576"/>
      <c r="BX247" s="4576"/>
      <c r="BY247" s="292">
        <f>IF(BW247=0,0,(BX247-BW247)/BW247*100)</f>
        <v>0</v>
      </c>
      <c r="BZ247" s="4576"/>
      <c r="CA247" s="4576"/>
      <c r="CB247" s="292">
        <f>IF(BZ247=0,0,(CA247-BZ247)/BZ247*100)</f>
        <v>0</v>
      </c>
      <c r="CC247" s="4576"/>
      <c r="CD247" s="4576"/>
      <c r="CE247" s="292">
        <f>IF(CC247=0,0,(CD247-CC247)/CC247*100)</f>
        <v>0</v>
      </c>
      <c r="CF247" s="4576"/>
      <c r="CG247" s="4576"/>
      <c r="CH247" s="292">
        <f>IF(CF247=0,0,(CG247-CF247)/CF247*100)</f>
        <v>0</v>
      </c>
      <c r="CI247" s="4576"/>
      <c r="CJ247" s="4576"/>
      <c r="CK247" s="292">
        <f>IF(CI247=0,0,(CJ247-CI247)/CI247*100)</f>
        <v>0</v>
      </c>
      <c r="CL247" s="4576"/>
      <c r="CM247" s="4576"/>
      <c r="CN247" s="292">
        <f>IF(CL247=0,0,(CM247-CL247)/CL247*100)</f>
        <v>0</v>
      </c>
      <c r="CO247" s="4576"/>
      <c r="CP247" s="4576"/>
      <c r="CQ247" s="292">
        <f>IF(CO247=0,0,(CP247-CO247)/CO247*100)</f>
        <v>0</v>
      </c>
      <c r="CR247" s="4576"/>
      <c r="CS247" s="4576"/>
      <c r="CT247" s="292">
        <f>IF(CR247=0,0,(CS247-CR247)/CR247*100)</f>
        <v>0</v>
      </c>
      <c r="CU247" s="4576"/>
      <c r="CV247" s="4576"/>
      <c r="CW247" s="292">
        <f>IF(CU247=0,0,(CV247-CU247)/CU247*100)</f>
        <v>0</v>
      </c>
      <c r="CX247" s="4576"/>
      <c r="CY247" s="4576"/>
      <c r="CZ247" s="292">
        <f>IF(CX247=0,0,(CY247-CX247)/CX247*100)</f>
        <v>0</v>
      </c>
      <c r="DA247" s="4576"/>
      <c r="DB247" s="4576"/>
      <c r="DC247" s="292">
        <f>IF(DA247=0,0,(DB247-DA247)/DA247*100)</f>
        <v>0</v>
      </c>
      <c r="DD247" s="4576"/>
      <c r="DE247" s="4576"/>
      <c r="DF247" s="292">
        <f>IF(DD247=0,0,(DE247-DD247)/DD247*100)</f>
        <v>0</v>
      </c>
      <c r="DG247" s="4578"/>
      <c r="DH247" s="4578"/>
      <c r="DI247" s="292">
        <f>IF(DG247=0,0,(DH247-DG247)/DG247*100)</f>
        <v>0</v>
      </c>
      <c r="DJ247" s="4578"/>
      <c r="DK247" s="4578"/>
      <c r="DL247" s="292">
        <f>IF(DJ247=0,0,(DK247-DJ247)/DJ247*100)</f>
        <v>0</v>
      </c>
      <c r="DM247" s="4578"/>
      <c r="DN247" s="4578"/>
      <c r="DO247" s="292">
        <f>IF(DM247=0,0,(DN247-DM247)/DM247*100)</f>
        <v>0</v>
      </c>
      <c r="DP247" s="4578"/>
      <c r="DQ247" s="4578"/>
      <c r="DR247" s="292">
        <f>IF(DP247=0,0,(DQ247-DP247)/DP247*100)</f>
        <v>0</v>
      </c>
      <c r="DS247" s="4578"/>
      <c r="DT247" s="4578"/>
      <c r="DU247" s="292">
        <f>IF(DS247=0,0,(DT247-DS247)/DS247*100)</f>
        <v>0</v>
      </c>
      <c r="DV247" s="4578"/>
      <c r="DW247" s="4578"/>
      <c r="DX247" s="292">
        <f>IF(DV247=0,0,(DW247-DV247)/DV247*100)</f>
        <v>0</v>
      </c>
      <c r="DY247" s="4578"/>
      <c r="DZ247" s="4578"/>
      <c r="EA247" s="292">
        <f>IF(DY247=0,0,(DZ247-DY247)/DY247*100)</f>
        <v>0</v>
      </c>
      <c r="EB247" s="4578"/>
      <c r="EC247" s="4578"/>
      <c r="ED247" s="292">
        <f>IF(EB247=0,0,(EC247-EB247)/EB247*100)</f>
        <v>0</v>
      </c>
      <c r="EE247" s="4578"/>
      <c r="EF247" s="4578"/>
      <c r="EG247" s="292">
        <f>IF(EE247=0,0,(EF247-EE247)/EE247*100)</f>
        <v>0</v>
      </c>
      <c r="EH247" s="4578"/>
      <c r="EI247" s="4578"/>
      <c r="EJ247" s="292">
        <f>IF(EH247=0,0,(EI247-EH247)/EH247*100)</f>
        <v>0</v>
      </c>
      <c r="EK247" s="4578"/>
      <c r="EL247" s="4578"/>
      <c r="EM247" s="292">
        <f>IF(EK247=0,0,(EL247-EK247)/EK247*100)</f>
        <v>0</v>
      </c>
      <c r="EN247" s="4578"/>
      <c r="EO247" s="4578"/>
      <c r="EP247" s="292">
        <f>IF(EN247=0,0,(EO247-EN247)/EN247*100)</f>
        <v>0</v>
      </c>
      <c r="EQ247" s="4578"/>
      <c r="ER247" s="4578"/>
      <c r="ES247" s="292">
        <f>IF(EQ247=0,0,(ER247-EQ247)/EQ247*100)</f>
        <v>0</v>
      </c>
      <c r="ET247" s="4578"/>
      <c r="EU247" s="4578"/>
      <c r="EV247" s="292">
        <f>IF(ET247=0,0,(EU247-ET247)/ET247*100)</f>
        <v>0</v>
      </c>
      <c r="EW247" s="4578"/>
      <c r="EX247" s="4578"/>
      <c r="EY247" s="292">
        <f>IF(EW247=0,0,(EX247-EW247)/EW247*100)</f>
        <v>0</v>
      </c>
      <c r="EZ247" s="4578"/>
      <c r="FA247" s="4578"/>
      <c r="FB247" s="292">
        <f>IF(EZ247=0,0,(FA247-EZ247)/EZ247*100)</f>
        <v>0</v>
      </c>
      <c r="FC247" s="4578"/>
      <c r="FD247" s="4578"/>
      <c r="FE247" s="292">
        <f>IF(FC247=0,0,(FD247-FC247)/FC247*100)</f>
        <v>0</v>
      </c>
      <c r="FF247" s="4578"/>
      <c r="FG247" s="4578"/>
      <c r="FH247" s="292">
        <f>IF(FF247=0,0,(FG247-FF247)/FF247*100)</f>
        <v>0</v>
      </c>
      <c r="FI247" s="4578"/>
      <c r="FJ247" s="4578"/>
      <c r="FK247" s="292">
        <f>IF(FI247=0,0,(FJ247-FI247)/FI247*100)</f>
        <v>0</v>
      </c>
      <c r="FL247" s="4578"/>
      <c r="FM247" s="4578"/>
      <c r="FN247" s="292">
        <f>IF(FL247=0,0,(FM247-FL247)/FL247*100)</f>
        <v>0</v>
      </c>
      <c r="FO247" s="4578"/>
      <c r="FP247" s="4578"/>
      <c r="FQ247" s="292">
        <f>IF(FO247=0,0,(FP247-FO247)/FO247*100)</f>
        <v>0</v>
      </c>
      <c r="FR247" s="4578"/>
      <c r="FS247" s="4578"/>
      <c r="FT247" s="292">
        <f>IF(FR247=0,0,(FS247-FR247)/FR247*100)</f>
        <v>0</v>
      </c>
      <c r="FU247" s="4578"/>
      <c r="FV247" s="4578"/>
      <c r="FW247" s="292">
        <f>IF(FU247=0,0,(FV247-FU247)/FU247*100)</f>
        <v>0</v>
      </c>
      <c r="FX247" s="288"/>
      <c r="FY247" s="288"/>
      <c r="FZ247" s="1063" t="s">
        <v>1863</v>
      </c>
      <c r="GA247" s="1063"/>
      <c r="GB247" s="1063"/>
      <c r="GC247" s="1064"/>
      <c r="GD247" s="1064"/>
    </row>
    <row s="5549" customFormat="1" customHeight="1" ht="27.421875">
      <c r="A248" s="904"/>
      <c r="B248" s="932" cm="1" t="str">
        <f t="array" ref="B248:B248">B247</f>
        <v>true</v>
      </c>
      <c r="C248" s="904"/>
      <c r="D248" s="904"/>
      <c r="E248" s="905">
        <v>24.5</v>
      </c>
      <c r="F248" s="50" cm="1" t="str">
        <f t="array" ref="F248:F248">OFFSET(E248,-1,1)</f>
        <v>3</v>
      </c>
      <c r="G248" s="496" t="s">
        <v>1864</v>
      </c>
      <c r="H248" s="496" t="s">
        <v>566</v>
      </c>
      <c r="I248" s="496" t="s">
        <v>1865</v>
      </c>
      <c r="J248" s="904"/>
      <c r="K248" s="904"/>
      <c r="L248" s="496"/>
      <c r="M248" s="904"/>
      <c r="N248" s="904"/>
      <c r="O248" s="904"/>
      <c r="P248" s="904"/>
      <c r="Q248" s="904"/>
      <c r="R248" s="904"/>
      <c r="S248" s="496"/>
      <c r="T248" s="468" cm="1" t="str">
        <f t="array" ref="T248:T248">T247</f>
        <v>true</v>
      </c>
      <c r="U248" s="904"/>
      <c r="V248" s="904"/>
      <c r="W248" s="904"/>
      <c r="X248" s="1559"/>
      <c r="Y248" s="904"/>
      <c r="Z248" s="1528"/>
      <c r="AA248" s="904"/>
      <c r="AB248" s="289" t="s">
        <v>1866</v>
      </c>
      <c r="AC248" s="290" t="s">
        <v>1862</v>
      </c>
      <c r="AD248" s="906">
        <f>IF(AND(method_reg="Метод индексации",god&lt;&gt;first_year),_xlfn.SUMIFS(INDEX('Калькуляция (МИ корр)'!$AJ$25:$BC$606,,MATCH(AD$8,'Калькуляция (МИ корр)'!$AJ$8:$BC$8,0)),'Калькуляция (МИ корр)'!$F$25:$F$606,$F248,'Калькуляция (МИ корр)'!$G$25:$G$606,$G248),IF(method_reg="Метод экономически обоснованных расходов",_xlfn.SUMIFS('Калькуляция (МЭОР)'!$AJ$25:$AJ$367,'Калькуляция (МЭОР)'!$F$25:$F$367,$F248,'Калькуляция (МЭОР)'!$G$25:$G$367,$G248),IF(method_reg="Метод сравнения аналогов",_xlfn.SUMIFS('Калькуляция (МСА)'!$AE$25:$AE$103,'Калькуляция (МСА)'!$F$25:$F$103,$F248,'Калькуляция (МСА)'!$G$25:$G$103,$G248),_xlfn.SUMIFS(INDEX('Калькуляция (МИ)'!$AJ$25:$BC$603,,MATCH(AD$8,'Калькуляция (МИ)'!$AJ$8:$BC$8,0)),'Калькуляция (МИ)'!$F$25:$F$603,$F248,'Калькуляция (МИ)'!$G$25:$G$603,$G248))))</f>
        <v>160.156684943698</v>
      </c>
      <c r="AE248" s="906">
        <f>IF(AND(method_reg="Метод индексации",god&lt;&gt;first_year),_xlfn.SUMIFS(INDEX('Калькуляция (МИ корр)'!$AJ$25:$BC$606,,MATCH(AE$8,'Калькуляция (МИ корр)'!$AJ$8:$BC$8,0)),'Калькуляция (МИ корр)'!$F$25:$F$606,$F248,'Калькуляция (МИ корр)'!$G$25:$G$606,$G248),IF(method_reg="Метод экономически обоснованных расходов",_xlfn.SUMIFS('Калькуляция (МЭОР)'!$AK$25:$AK$367,'Калькуляция (МЭОР)'!$F$25:$F$367,$F248,'Калькуляция (МЭОР)'!$G$25:$G$367,$G248),IF(method_reg="Метод сравнения аналогов",_xlfn.SUMIFS('Калькуляция (МСА)'!$AF$25:$AF$103,'Калькуляция (МСА)'!$F$25:$F$103,$F248,'Калькуляция (МСА)'!$G$25:$G$103,$G248),_xlfn.SUMIFS(INDEX('Калькуляция (МИ)'!$AJ$25:$BC$603,,MATCH(AE$8,'Калькуляция (МИ)'!$AJ$8:$BC$8,0)),'Калькуляция (МИ)'!$F$25:$F$603,$F248,'Калькуляция (МИ)'!$G$25:$G$603,$G248))))</f>
        <v>60.860062497579</v>
      </c>
      <c r="AF248" s="292">
        <f>IF(AD248=0,0,(AE248-AD248)/AD248*100)</f>
        <v>-61.9996739324531</v>
      </c>
      <c r="AG248" s="4576">
        <f>IF(AND(method_reg="Метод индексации",god&lt;&gt;first_year),_xlfn.SUMIFS(INDEX('Калькуляция (МИ корр)'!$AJ$25:$BC$606,,MATCH(AG$8,'Калькуляция (МИ корр)'!$AJ$8:$BC$8,0)),'Калькуляция (МИ корр)'!$F$25:$F$606,$F248,'Калькуляция (МИ корр)'!$G$25:$G$606,$G248),IF(method_reg="Метод экономически обоснованных расходов",_xlfn.SUMIFS('Калькуляция (МЭОР)'!$AJ$25:$AJ$367,'Калькуляция (МЭОР)'!$F$25:$F$367,$F248,'Калькуляция (МЭОР)'!$G$25:$G$367,$G248),IF(method_reg="Метод сравнения аналогов",_xlfn.SUMIFS('Калькуляция (МСА)'!$AE$25:$AE$103,'Калькуляция (МСА)'!$F$25:$F$103,$F248,'Калькуляция (МСА)'!$G$25:$G$103,$G248),_xlfn.SUMIFS(INDEX('Калькуляция (МИ)'!$AJ$25:$BC$603,,MATCH(AG$8,'Калькуляция (МИ)'!$AJ$8:$BC$8,0)),'Калькуляция (МИ)'!$F$25:$F$603,$F248,'Калькуляция (МИ)'!$G$25:$G$603,$G248))))</f>
        <v>0</v>
      </c>
      <c r="AH248" s="4576">
        <f>IF(AND(method_reg="Метод индексации",god&lt;&gt;first_year),_xlfn.SUMIFS(INDEX('Калькуляция (МИ корр)'!$AJ$25:$BC$606,,MATCH(AH$8,'Калькуляция (МИ корр)'!$AJ$8:$BC$8,0)),'Калькуляция (МИ корр)'!$F$25:$F$606,$F248,'Калькуляция (МИ корр)'!$G$25:$G$606,$G248),IF(method_reg="Метод экономически обоснованных расходов",_xlfn.SUMIFS('Калькуляция (МЭОР)'!$AK$25:$AK$367,'Калькуляция (МЭОР)'!$F$25:$F$367,$F248,'Калькуляция (МЭОР)'!$G$25:$G$367,$G248),IF(method_reg="Метод сравнения аналогов",_xlfn.SUMIFS('Калькуляция (МСА)'!$AF$25:$AF$103,'Калькуляция (МСА)'!$F$25:$F$103,$F248,'Калькуляция (МСА)'!$G$25:$G$103,$G248),_xlfn.SUMIFS(INDEX('Калькуляция (МИ)'!$AJ$25:$BC$603,,MATCH(AH$8,'Калькуляция (МИ)'!$AJ$8:$BC$8,0)),'Калькуляция (МИ)'!$F$25:$F$603,$F248,'Калькуляция (МИ)'!$G$25:$G$603,$G248))))</f>
        <v>0</v>
      </c>
      <c r="AI248" s="292">
        <f>IF(AG248=0,0,(AH248-AG248)/AG248*100)</f>
        <v>0</v>
      </c>
      <c r="AJ248" s="4576">
        <f>IF(AND(method_reg="Метод индексации",god&lt;&gt;first_year),_xlfn.SUMIFS(INDEX('Калькуляция (МИ корр)'!$AJ$25:$BC$606,,MATCH(AJ$8,'Калькуляция (МИ корр)'!$AJ$8:$BC$8,0)),'Калькуляция (МИ корр)'!$F$25:$F$606,$F248,'Калькуляция (МИ корр)'!$G$25:$G$606,$G248),IF(method_reg="Метод экономически обоснованных расходов",_xlfn.SUMIFS('Калькуляция (МЭОР)'!$AJ$25:$AJ$367,'Калькуляция (МЭОР)'!$F$25:$F$367,$F248,'Калькуляция (МЭОР)'!$G$25:$G$367,$G248),IF(method_reg="Метод сравнения аналогов",_xlfn.SUMIFS('Калькуляция (МСА)'!$AE$25:$AE$103,'Калькуляция (МСА)'!$F$25:$F$103,$F248,'Калькуляция (МСА)'!$G$25:$G$103,$G248),_xlfn.SUMIFS(INDEX('Калькуляция (МИ)'!$AJ$25:$BC$603,,MATCH(AJ$8,'Калькуляция (МИ)'!$AJ$8:$BC$8,0)),'Калькуляция (МИ)'!$F$25:$F$603,$F248,'Калькуляция (МИ)'!$G$25:$G$603,$G248))))</f>
        <v>0</v>
      </c>
      <c r="AK248" s="4576">
        <f>IF(AND(method_reg="Метод индексации",god&lt;&gt;first_year),_xlfn.SUMIFS(INDEX('Калькуляция (МИ корр)'!$AJ$25:$BC$606,,MATCH(AK$8,'Калькуляция (МИ корр)'!$AJ$8:$BC$8,0)),'Калькуляция (МИ корр)'!$F$25:$F$606,$F248,'Калькуляция (МИ корр)'!$G$25:$G$606,$G248),IF(method_reg="Метод экономически обоснованных расходов",_xlfn.SUMIFS('Калькуляция (МЭОР)'!$AK$25:$AK$367,'Калькуляция (МЭОР)'!$F$25:$F$367,$F248,'Калькуляция (МЭОР)'!$G$25:$G$367,$G248),IF(method_reg="Метод сравнения аналогов",_xlfn.SUMIFS('Калькуляция (МСА)'!$AF$25:$AF$103,'Калькуляция (МСА)'!$F$25:$F$103,$F248,'Калькуляция (МСА)'!$G$25:$G$103,$G248),_xlfn.SUMIFS(INDEX('Калькуляция (МИ)'!$AJ$25:$BC$603,,MATCH(AK$8,'Калькуляция (МИ)'!$AJ$8:$BC$8,0)),'Калькуляция (МИ)'!$F$25:$F$603,$F248,'Калькуляция (МИ)'!$G$25:$G$603,$G248))))</f>
        <v>0</v>
      </c>
      <c r="AL248" s="292">
        <f>IF(AJ248=0,0,(AK248-AJ248)/AJ248*100)</f>
        <v>0</v>
      </c>
      <c r="AM248" s="4576">
        <f>IF(AND(method_reg="Метод индексации",god&lt;&gt;first_year),_xlfn.SUMIFS(INDEX('Калькуляция (МИ корр)'!$AJ$25:$BC$606,,MATCH(AM$8,'Калькуляция (МИ корр)'!$AJ$8:$BC$8,0)),'Калькуляция (МИ корр)'!$F$25:$F$606,$F248,'Калькуляция (МИ корр)'!$G$25:$G$606,$G248),IF(method_reg="Метод экономически обоснованных расходов",_xlfn.SUMIFS('Калькуляция (МЭОР)'!$AJ$25:$AJ$367,'Калькуляция (МЭОР)'!$F$25:$F$367,$F248,'Калькуляция (МЭОР)'!$G$25:$G$367,$G248),IF(method_reg="Метод сравнения аналогов",_xlfn.SUMIFS('Калькуляция (МСА)'!$AE$25:$AE$103,'Калькуляция (МСА)'!$F$25:$F$103,$F248,'Калькуляция (МСА)'!$G$25:$G$103,$G248),_xlfn.SUMIFS(INDEX('Калькуляция (МИ)'!$AJ$25:$BC$603,,MATCH(AM$8,'Калькуляция (МИ)'!$AJ$8:$BC$8,0)),'Калькуляция (МИ)'!$F$25:$F$603,$F248,'Калькуляция (МИ)'!$G$25:$G$603,$G248))))</f>
        <v>0</v>
      </c>
      <c r="AN248" s="4576">
        <f>IF(AND(method_reg="Метод индексации",god&lt;&gt;first_year),_xlfn.SUMIFS(INDEX('Калькуляция (МИ корр)'!$AJ$25:$BC$606,,MATCH(AN$8,'Калькуляция (МИ корр)'!$AJ$8:$BC$8,0)),'Калькуляция (МИ корр)'!$F$25:$F$606,$F248,'Калькуляция (МИ корр)'!$G$25:$G$606,$G248),IF(method_reg="Метод экономически обоснованных расходов",_xlfn.SUMIFS('Калькуляция (МЭОР)'!$AK$25:$AK$367,'Калькуляция (МЭОР)'!$F$25:$F$367,$F248,'Калькуляция (МЭОР)'!$G$25:$G$367,$G248),IF(method_reg="Метод сравнения аналогов",_xlfn.SUMIFS('Калькуляция (МСА)'!$AF$25:$AF$103,'Калькуляция (МСА)'!$F$25:$F$103,$F248,'Калькуляция (МСА)'!$G$25:$G$103,$G248),_xlfn.SUMIFS(INDEX('Калькуляция (МИ)'!$AJ$25:$BC$603,,MATCH(AN$8,'Калькуляция (МИ)'!$AJ$8:$BC$8,0)),'Калькуляция (МИ)'!$F$25:$F$603,$F248,'Калькуляция (МИ)'!$G$25:$G$603,$G248))))</f>
        <v>0</v>
      </c>
      <c r="AO248" s="292">
        <f>IF(AM248=0,0,(AN248-AM248)/AM248*100)</f>
        <v>0</v>
      </c>
      <c r="AP248" s="4576">
        <f>IF(AND(method_reg="Метод индексации",god&lt;&gt;first_year),_xlfn.SUMIFS(INDEX('Калькуляция (МИ корр)'!$AJ$25:$BC$606,,MATCH(AP$8,'Калькуляция (МИ корр)'!$AJ$8:$BC$8,0)),'Калькуляция (МИ корр)'!$F$25:$F$606,$F248,'Калькуляция (МИ корр)'!$G$25:$G$606,$G248),IF(method_reg="Метод экономически обоснованных расходов",_xlfn.SUMIFS('Калькуляция (МЭОР)'!$AJ$25:$AJ$367,'Калькуляция (МЭОР)'!$F$25:$F$367,$F248,'Калькуляция (МЭОР)'!$G$25:$G$367,$G248),IF(method_reg="Метод сравнения аналогов",_xlfn.SUMIFS('Калькуляция (МСА)'!$AE$25:$AE$103,'Калькуляция (МСА)'!$F$25:$F$103,$F248,'Калькуляция (МСА)'!$G$25:$G$103,$G248),_xlfn.SUMIFS(INDEX('Калькуляция (МИ)'!$AJ$25:$BC$603,,MATCH(AP$8,'Калькуляция (МИ)'!$AJ$8:$BC$8,0)),'Калькуляция (МИ)'!$F$25:$F$603,$F248,'Калькуляция (МИ)'!$G$25:$G$603,$G248))))</f>
        <v>0</v>
      </c>
      <c r="AQ248" s="4576">
        <f>IF(AND(method_reg="Метод индексации",god&lt;&gt;first_year),_xlfn.SUMIFS(INDEX('Калькуляция (МИ корр)'!$AJ$25:$BC$606,,MATCH(AQ$8,'Калькуляция (МИ корр)'!$AJ$8:$BC$8,0)),'Калькуляция (МИ корр)'!$F$25:$F$606,$F248,'Калькуляция (МИ корр)'!$G$25:$G$606,$G248),IF(method_reg="Метод экономически обоснованных расходов",_xlfn.SUMIFS('Калькуляция (МЭОР)'!$AK$25:$AK$367,'Калькуляция (МЭОР)'!$F$25:$F$367,$F248,'Калькуляция (МЭОР)'!$G$25:$G$367,$G248),IF(method_reg="Метод сравнения аналогов",_xlfn.SUMIFS('Калькуляция (МСА)'!$AF$25:$AF$103,'Калькуляция (МСА)'!$F$25:$F$103,$F248,'Калькуляция (МСА)'!$G$25:$G$103,$G248),_xlfn.SUMIFS(INDEX('Калькуляция (МИ)'!$AJ$25:$BC$603,,MATCH(AQ$8,'Калькуляция (МИ)'!$AJ$8:$BC$8,0)),'Калькуляция (МИ)'!$F$25:$F$603,$F248,'Калькуляция (МИ)'!$G$25:$G$603,$G248))))</f>
        <v>0</v>
      </c>
      <c r="AR248" s="292">
        <f>IF(AP248=0,0,(AQ248-AP248)/AP248*100)</f>
        <v>0</v>
      </c>
      <c r="AS248" s="4576">
        <f>IF(AND(method_reg="Метод индексации",god&lt;&gt;first_year),_xlfn.SUMIFS(INDEX('Калькуляция (МИ корр)'!$AJ$25:$BC$606,,MATCH(AS$8,'Калькуляция (МИ корр)'!$AJ$8:$BC$8,0)),'Калькуляция (МИ корр)'!$F$25:$F$606,$F248,'Калькуляция (МИ корр)'!$G$25:$G$606,$G248),IF(method_reg="Метод экономически обоснованных расходов",_xlfn.SUMIFS('Калькуляция (МЭОР)'!$AJ$25:$AJ$367,'Калькуляция (МЭОР)'!$F$25:$F$367,$F248,'Калькуляция (МЭОР)'!$G$25:$G$367,$G248),IF(method_reg="Метод сравнения аналогов",_xlfn.SUMIFS('Калькуляция (МСА)'!$AE$25:$AE$103,'Калькуляция (МСА)'!$F$25:$F$103,$F248,'Калькуляция (МСА)'!$G$25:$G$103,$G248),_xlfn.SUMIFS(INDEX('Калькуляция (МИ)'!$AJ$25:$BC$603,,MATCH(AS$8,'Калькуляция (МИ)'!$AJ$8:$BC$8,0)),'Калькуляция (МИ)'!$F$25:$F$603,$F248,'Калькуляция (МИ)'!$G$25:$G$603,$G248))))</f>
        <v>0</v>
      </c>
      <c r="AT248" s="4576">
        <f>IF(AND(method_reg="Метод индексации",god&lt;&gt;first_year),_xlfn.SUMIFS(INDEX('Калькуляция (МИ корр)'!$AJ$25:$BC$606,,MATCH(AT$8,'Калькуляция (МИ корр)'!$AJ$8:$BC$8,0)),'Калькуляция (МИ корр)'!$F$25:$F$606,$F248,'Калькуляция (МИ корр)'!$G$25:$G$606,$G248),IF(method_reg="Метод экономически обоснованных расходов",_xlfn.SUMIFS('Калькуляция (МЭОР)'!$AK$25:$AK$367,'Калькуляция (МЭОР)'!$F$25:$F$367,$F248,'Калькуляция (МЭОР)'!$G$25:$G$367,$G248),IF(method_reg="Метод сравнения аналогов",_xlfn.SUMIFS('Калькуляция (МСА)'!$AF$25:$AF$103,'Калькуляция (МСА)'!$F$25:$F$103,$F248,'Калькуляция (МСА)'!$G$25:$G$103,$G248),_xlfn.SUMIFS(INDEX('Калькуляция (МИ)'!$AJ$25:$BC$603,,MATCH(AT$8,'Калькуляция (МИ)'!$AJ$8:$BC$8,0)),'Калькуляция (МИ)'!$F$25:$F$603,$F248,'Калькуляция (МИ)'!$G$25:$G$603,$G248))))</f>
        <v>0</v>
      </c>
      <c r="AU248" s="292">
        <f>IF(AS248=0,0,(AT248-AS248)/AS248*100)</f>
        <v>0</v>
      </c>
      <c r="AV248" s="4576">
        <f>IF(AND(method_reg="Метод индексации",god&lt;&gt;first_year),_xlfn.SUMIFS(INDEX('Калькуляция (МИ корр)'!$AJ$25:$BC$606,,MATCH(AV$8,'Калькуляция (МИ корр)'!$AJ$8:$BC$8,0)),'Калькуляция (МИ корр)'!$F$25:$F$606,$F248,'Калькуляция (МИ корр)'!$G$25:$G$606,$G248),IF(method_reg="Метод экономически обоснованных расходов",_xlfn.SUMIFS('Калькуляция (МЭОР)'!$AJ$25:$AJ$367,'Калькуляция (МЭОР)'!$F$25:$F$367,$F248,'Калькуляция (МЭОР)'!$G$25:$G$367,$G248),IF(method_reg="Метод сравнения аналогов",_xlfn.SUMIFS('Калькуляция (МСА)'!$AE$25:$AE$103,'Калькуляция (МСА)'!$F$25:$F$103,$F248,'Калькуляция (МСА)'!$G$25:$G$103,$G248),_xlfn.SUMIFS(INDEX('Калькуляция (МИ)'!$AJ$25:$BC$603,,MATCH(AV$8,'Калькуляция (МИ)'!$AJ$8:$BC$8,0)),'Калькуляция (МИ)'!$F$25:$F$603,$F248,'Калькуляция (МИ)'!$G$25:$G$603,$G248))))</f>
        <v>0</v>
      </c>
      <c r="AW248" s="4576">
        <f>IF(AND(method_reg="Метод индексации",god&lt;&gt;first_year),_xlfn.SUMIFS(INDEX('Калькуляция (МИ корр)'!$AJ$25:$BC$606,,MATCH(AW$8,'Калькуляция (МИ корр)'!$AJ$8:$BC$8,0)),'Калькуляция (МИ корр)'!$F$25:$F$606,$F248,'Калькуляция (МИ корр)'!$G$25:$G$606,$G248),IF(method_reg="Метод экономически обоснованных расходов",_xlfn.SUMIFS('Калькуляция (МЭОР)'!$AK$25:$AK$367,'Калькуляция (МЭОР)'!$F$25:$F$367,$F248,'Калькуляция (МЭОР)'!$G$25:$G$367,$G248),IF(method_reg="Метод сравнения аналогов",_xlfn.SUMIFS('Калькуляция (МСА)'!$AF$25:$AF$103,'Калькуляция (МСА)'!$F$25:$F$103,$F248,'Калькуляция (МСА)'!$G$25:$G$103,$G248),_xlfn.SUMIFS(INDEX('Калькуляция (МИ)'!$AJ$25:$BC$603,,MATCH(AW$8,'Калькуляция (МИ)'!$AJ$8:$BC$8,0)),'Калькуляция (МИ)'!$F$25:$F$603,$F248,'Калькуляция (МИ)'!$G$25:$G$603,$G248))))</f>
        <v>0</v>
      </c>
      <c r="AX248" s="292">
        <f>IF(AV248=0,0,(AW248-AV248)/AV248*100)</f>
        <v>0</v>
      </c>
      <c r="AY248" s="4576">
        <f>IF(AND(method_reg="Метод индексации",god&lt;&gt;first_year),_xlfn.SUMIFS(INDEX('Калькуляция (МИ корр)'!$AJ$25:$BC$606,,MATCH(AY$8,'Калькуляция (МИ корр)'!$AJ$8:$BC$8,0)),'Калькуляция (МИ корр)'!$F$25:$F$606,$F248,'Калькуляция (МИ корр)'!$G$25:$G$606,$G248),IF(method_reg="Метод экономически обоснованных расходов",_xlfn.SUMIFS('Калькуляция (МЭОР)'!$AJ$25:$AJ$367,'Калькуляция (МЭОР)'!$F$25:$F$367,$F248,'Калькуляция (МЭОР)'!$G$25:$G$367,$G248),IF(method_reg="Метод сравнения аналогов",_xlfn.SUMIFS('Калькуляция (МСА)'!$AE$25:$AE$103,'Калькуляция (МСА)'!$F$25:$F$103,$F248,'Калькуляция (МСА)'!$G$25:$G$103,$G248),_xlfn.SUMIFS(INDEX('Калькуляция (МИ)'!$AJ$25:$BC$603,,MATCH(AY$8,'Калькуляция (МИ)'!$AJ$8:$BC$8,0)),'Калькуляция (МИ)'!$F$25:$F$603,$F248,'Калькуляция (МИ)'!$G$25:$G$603,$G248))))</f>
        <v>0</v>
      </c>
      <c r="AZ248" s="4576">
        <f>IF(AND(method_reg="Метод индексации",god&lt;&gt;first_year),_xlfn.SUMIFS(INDEX('Калькуляция (МИ корр)'!$AJ$25:$BC$606,,MATCH(AZ$8,'Калькуляция (МИ корр)'!$AJ$8:$BC$8,0)),'Калькуляция (МИ корр)'!$F$25:$F$606,$F248,'Калькуляция (МИ корр)'!$G$25:$G$606,$G248),IF(method_reg="Метод экономически обоснованных расходов",_xlfn.SUMIFS('Калькуляция (МЭОР)'!$AK$25:$AK$367,'Калькуляция (МЭОР)'!$F$25:$F$367,$F248,'Калькуляция (МЭОР)'!$G$25:$G$367,$G248),IF(method_reg="Метод сравнения аналогов",_xlfn.SUMIFS('Калькуляция (МСА)'!$AF$25:$AF$103,'Калькуляция (МСА)'!$F$25:$F$103,$F248,'Калькуляция (МСА)'!$G$25:$G$103,$G248),_xlfn.SUMIFS(INDEX('Калькуляция (МИ)'!$AJ$25:$BC$603,,MATCH(AZ$8,'Калькуляция (МИ)'!$AJ$8:$BC$8,0)),'Калькуляция (МИ)'!$F$25:$F$603,$F248,'Калькуляция (МИ)'!$G$25:$G$603,$G248))))</f>
        <v>0</v>
      </c>
      <c r="BA248" s="292">
        <f>IF(AY248=0,0,(AZ248-AY248)/AY248*100)</f>
        <v>0</v>
      </c>
      <c r="BB248" s="4576">
        <f>IF(AND(method_reg="Метод индексации",god&lt;&gt;first_year),_xlfn.SUMIFS(INDEX('Калькуляция (МИ корр)'!$AJ$25:$BC$606,,MATCH(BB$8,'Калькуляция (МИ корр)'!$AJ$8:$BC$8,0)),'Калькуляция (МИ корр)'!$F$25:$F$606,$F248,'Калькуляция (МИ корр)'!$G$25:$G$606,$G248),IF(method_reg="Метод экономически обоснованных расходов",_xlfn.SUMIFS('Калькуляция (МЭОР)'!$AJ$25:$AJ$367,'Калькуляция (МЭОР)'!$F$25:$F$367,$F248,'Калькуляция (МЭОР)'!$G$25:$G$367,$G248),IF(method_reg="Метод сравнения аналогов",_xlfn.SUMIFS('Калькуляция (МСА)'!$AE$25:$AE$103,'Калькуляция (МСА)'!$F$25:$F$103,$F248,'Калькуляция (МСА)'!$G$25:$G$103,$G248),_xlfn.SUMIFS(INDEX('Калькуляция (МИ)'!$AJ$25:$BC$603,,MATCH(BB$8,'Калькуляция (МИ)'!$AJ$8:$BC$8,0)),'Калькуляция (МИ)'!$F$25:$F$603,$F248,'Калькуляция (МИ)'!$G$25:$G$603,$G248))))</f>
        <v>0</v>
      </c>
      <c r="BC248" s="4576">
        <f>IF(AND(method_reg="Метод индексации",god&lt;&gt;first_year),_xlfn.SUMIFS(INDEX('Калькуляция (МИ корр)'!$AJ$25:$BC$606,,MATCH(BC$8,'Калькуляция (МИ корр)'!$AJ$8:$BC$8,0)),'Калькуляция (МИ корр)'!$F$25:$F$606,$F248,'Калькуляция (МИ корр)'!$G$25:$G$606,$G248),IF(method_reg="Метод экономически обоснованных расходов",_xlfn.SUMIFS('Калькуляция (МЭОР)'!$AK$25:$AK$367,'Калькуляция (МЭОР)'!$F$25:$F$367,$F248,'Калькуляция (МЭОР)'!$G$25:$G$367,$G248),IF(method_reg="Метод сравнения аналогов",_xlfn.SUMIFS('Калькуляция (МСА)'!$AF$25:$AF$103,'Калькуляция (МСА)'!$F$25:$F$103,$F248,'Калькуляция (МСА)'!$G$25:$G$103,$G248),_xlfn.SUMIFS(INDEX('Калькуляция (МИ)'!$AJ$25:$BC$603,,MATCH(BC$8,'Калькуляция (МИ)'!$AJ$8:$BC$8,0)),'Калькуляция (МИ)'!$F$25:$F$603,$F248,'Калькуляция (МИ)'!$G$25:$G$603,$G248))))</f>
        <v>0</v>
      </c>
      <c r="BD248" s="292">
        <f>IF(BB248=0,0,(BC248-BB248)/BB248*100)</f>
        <v>0</v>
      </c>
      <c r="BE248" s="4576">
        <f>IF(AND(method_reg="Метод индексации",god&lt;&gt;first_year),_xlfn.SUMIFS(INDEX('Калькуляция (МИ корр)'!$AJ$25:$BC$606,,MATCH(BE$8,'Калькуляция (МИ корр)'!$AJ$8:$BC$8,0)),'Калькуляция (МИ корр)'!$F$25:$F$606,$F248,'Калькуляция (МИ корр)'!$G$25:$G$606,$G248),IF(method_reg="Метод экономически обоснованных расходов",_xlfn.SUMIFS('Калькуляция (МЭОР)'!$AJ$25:$AJ$367,'Калькуляция (МЭОР)'!$F$25:$F$367,$F248,'Калькуляция (МЭОР)'!$G$25:$G$367,$G248),IF(method_reg="Метод сравнения аналогов",_xlfn.SUMIFS('Калькуляция (МСА)'!$AE$25:$AE$103,'Калькуляция (МСА)'!$F$25:$F$103,$F248,'Калькуляция (МСА)'!$G$25:$G$103,$G248),_xlfn.SUMIFS(INDEX('Калькуляция (МИ)'!$AJ$25:$BC$603,,MATCH(BE$8,'Калькуляция (МИ)'!$AJ$8:$BC$8,0)),'Калькуляция (МИ)'!$F$25:$F$603,$F248,'Калькуляция (МИ)'!$G$25:$G$603,$G248))))</f>
        <v>0</v>
      </c>
      <c r="BF248" s="4576">
        <f>IF(AND(method_reg="Метод индексации",god&lt;&gt;first_year),_xlfn.SUMIFS(INDEX('Калькуляция (МИ корр)'!$AJ$25:$BC$606,,MATCH(BF$8,'Калькуляция (МИ корр)'!$AJ$8:$BC$8,0)),'Калькуляция (МИ корр)'!$F$25:$F$606,$F248,'Калькуляция (МИ корр)'!$G$25:$G$606,$G248),IF(method_reg="Метод экономически обоснованных расходов",_xlfn.SUMIFS('Калькуляция (МЭОР)'!$AK$25:$AK$367,'Калькуляция (МЭОР)'!$F$25:$F$367,$F248,'Калькуляция (МЭОР)'!$G$25:$G$367,$G248),IF(method_reg="Метод сравнения аналогов",_xlfn.SUMIFS('Калькуляция (МСА)'!$AF$25:$AF$103,'Калькуляция (МСА)'!$F$25:$F$103,$F248,'Калькуляция (МСА)'!$G$25:$G$103,$G248),_xlfn.SUMIFS(INDEX('Калькуляция (МИ)'!$AJ$25:$BC$603,,MATCH(BF$8,'Калькуляция (МИ)'!$AJ$8:$BC$8,0)),'Калькуляция (МИ)'!$F$25:$F$603,$F248,'Калькуляция (МИ)'!$G$25:$G$603,$G248))))</f>
        <v>0</v>
      </c>
      <c r="BG248" s="292">
        <f>IF(BE248=0,0,(BF248-BE248)/BE248*100)</f>
        <v>0</v>
      </c>
      <c r="BH248" s="4576"/>
      <c r="BI248" s="4576"/>
      <c r="BJ248" s="292">
        <f>IF(BH248=0,0,(BI248-BH248)/BH248*100)</f>
        <v>0</v>
      </c>
      <c r="BK248" s="4576"/>
      <c r="BL248" s="4576"/>
      <c r="BM248" s="292">
        <f>IF(BK248=0,0,(BL248-BK248)/BK248*100)</f>
        <v>0</v>
      </c>
      <c r="BN248" s="4576"/>
      <c r="BO248" s="4576"/>
      <c r="BP248" s="292">
        <f>IF(BN248=0,0,(BO248-BN248)/BN248*100)</f>
        <v>0</v>
      </c>
      <c r="BQ248" s="4576"/>
      <c r="BR248" s="4576"/>
      <c r="BS248" s="292">
        <f>IF(BQ248=0,0,(BR248-BQ248)/BQ248*100)</f>
        <v>0</v>
      </c>
      <c r="BT248" s="4576"/>
      <c r="BU248" s="4576"/>
      <c r="BV248" s="292">
        <f>IF(BT248=0,0,(BU248-BT248)/BT248*100)</f>
        <v>0</v>
      </c>
      <c r="BW248" s="4576"/>
      <c r="BX248" s="4576"/>
      <c r="BY248" s="292">
        <f>IF(BW248=0,0,(BX248-BW248)/BW248*100)</f>
        <v>0</v>
      </c>
      <c r="BZ248" s="4576"/>
      <c r="CA248" s="4576"/>
      <c r="CB248" s="292">
        <f>IF(BZ248=0,0,(CA248-BZ248)/BZ248*100)</f>
        <v>0</v>
      </c>
      <c r="CC248" s="4576"/>
      <c r="CD248" s="4576"/>
      <c r="CE248" s="292">
        <f>IF(CC248=0,0,(CD248-CC248)/CC248*100)</f>
        <v>0</v>
      </c>
      <c r="CF248" s="4576"/>
      <c r="CG248" s="4576"/>
      <c r="CH248" s="292">
        <f>IF(CF248=0,0,(CG248-CF248)/CF248*100)</f>
        <v>0</v>
      </c>
      <c r="CI248" s="4576"/>
      <c r="CJ248" s="4576"/>
      <c r="CK248" s="292">
        <f>IF(CI248=0,0,(CJ248-CI248)/CI248*100)</f>
        <v>0</v>
      </c>
      <c r="CL248" s="4576"/>
      <c r="CM248" s="4576"/>
      <c r="CN248" s="292">
        <f>IF(CL248=0,0,(CM248-CL248)/CL248*100)</f>
        <v>0</v>
      </c>
      <c r="CO248" s="4576"/>
      <c r="CP248" s="4576"/>
      <c r="CQ248" s="292">
        <f>IF(CO248=0,0,(CP248-CO248)/CO248*100)</f>
        <v>0</v>
      </c>
      <c r="CR248" s="4576"/>
      <c r="CS248" s="4576"/>
      <c r="CT248" s="292">
        <f>IF(CR248=0,0,(CS248-CR248)/CR248*100)</f>
        <v>0</v>
      </c>
      <c r="CU248" s="4576"/>
      <c r="CV248" s="4576"/>
      <c r="CW248" s="292">
        <f>IF(CU248=0,0,(CV248-CU248)/CU248*100)</f>
        <v>0</v>
      </c>
      <c r="CX248" s="4576"/>
      <c r="CY248" s="4576"/>
      <c r="CZ248" s="292">
        <f>IF(CX248=0,0,(CY248-CX248)/CX248*100)</f>
        <v>0</v>
      </c>
      <c r="DA248" s="4576"/>
      <c r="DB248" s="4576"/>
      <c r="DC248" s="292">
        <f>IF(DA248=0,0,(DB248-DA248)/DA248*100)</f>
        <v>0</v>
      </c>
      <c r="DD248" s="4576"/>
      <c r="DE248" s="4576"/>
      <c r="DF248" s="292">
        <f>IF(DD248=0,0,(DE248-DD248)/DD248*100)</f>
        <v>0</v>
      </c>
      <c r="DG248" s="4578"/>
      <c r="DH248" s="4578"/>
      <c r="DI248" s="292">
        <f>IF(DG248=0,0,(DH248-DG248)/DG248*100)</f>
        <v>0</v>
      </c>
      <c r="DJ248" s="4578"/>
      <c r="DK248" s="4578"/>
      <c r="DL248" s="292">
        <f>IF(DJ248=0,0,(DK248-DJ248)/DJ248*100)</f>
        <v>0</v>
      </c>
      <c r="DM248" s="4578"/>
      <c r="DN248" s="4578"/>
      <c r="DO248" s="292">
        <f>IF(DM248=0,0,(DN248-DM248)/DM248*100)</f>
        <v>0</v>
      </c>
      <c r="DP248" s="4578"/>
      <c r="DQ248" s="4578"/>
      <c r="DR248" s="292">
        <f>IF(DP248=0,0,(DQ248-DP248)/DP248*100)</f>
        <v>0</v>
      </c>
      <c r="DS248" s="4578"/>
      <c r="DT248" s="4578"/>
      <c r="DU248" s="292">
        <f>IF(DS248=0,0,(DT248-DS248)/DS248*100)</f>
        <v>0</v>
      </c>
      <c r="DV248" s="4578"/>
      <c r="DW248" s="4578"/>
      <c r="DX248" s="292">
        <f>IF(DV248=0,0,(DW248-DV248)/DV248*100)</f>
        <v>0</v>
      </c>
      <c r="DY248" s="4578"/>
      <c r="DZ248" s="4578"/>
      <c r="EA248" s="292">
        <f>IF(DY248=0,0,(DZ248-DY248)/DY248*100)</f>
        <v>0</v>
      </c>
      <c r="EB248" s="4578"/>
      <c r="EC248" s="4578"/>
      <c r="ED248" s="292">
        <f>IF(EB248=0,0,(EC248-EB248)/EB248*100)</f>
        <v>0</v>
      </c>
      <c r="EE248" s="4578"/>
      <c r="EF248" s="4578"/>
      <c r="EG248" s="292">
        <f>IF(EE248=0,0,(EF248-EE248)/EE248*100)</f>
        <v>0</v>
      </c>
      <c r="EH248" s="4578"/>
      <c r="EI248" s="4578"/>
      <c r="EJ248" s="292">
        <f>IF(EH248=0,0,(EI248-EH248)/EH248*100)</f>
        <v>0</v>
      </c>
      <c r="EK248" s="4578"/>
      <c r="EL248" s="4578"/>
      <c r="EM248" s="292">
        <f>IF(EK248=0,0,(EL248-EK248)/EK248*100)</f>
        <v>0</v>
      </c>
      <c r="EN248" s="4578"/>
      <c r="EO248" s="4578"/>
      <c r="EP248" s="292">
        <f>IF(EN248=0,0,(EO248-EN248)/EN248*100)</f>
        <v>0</v>
      </c>
      <c r="EQ248" s="4578"/>
      <c r="ER248" s="4578"/>
      <c r="ES248" s="292">
        <f>IF(EQ248=0,0,(ER248-EQ248)/EQ248*100)</f>
        <v>0</v>
      </c>
      <c r="ET248" s="4578"/>
      <c r="EU248" s="4578"/>
      <c r="EV248" s="292">
        <f>IF(ET248=0,0,(EU248-ET248)/ET248*100)</f>
        <v>0</v>
      </c>
      <c r="EW248" s="4578"/>
      <c r="EX248" s="4578"/>
      <c r="EY248" s="292">
        <f>IF(EW248=0,0,(EX248-EW248)/EW248*100)</f>
        <v>0</v>
      </c>
      <c r="EZ248" s="4578"/>
      <c r="FA248" s="4578"/>
      <c r="FB248" s="292">
        <f>IF(EZ248=0,0,(FA248-EZ248)/EZ248*100)</f>
        <v>0</v>
      </c>
      <c r="FC248" s="4578"/>
      <c r="FD248" s="4578"/>
      <c r="FE248" s="292">
        <f>IF(FC248=0,0,(FD248-FC248)/FC248*100)</f>
        <v>0</v>
      </c>
      <c r="FF248" s="4578"/>
      <c r="FG248" s="4578"/>
      <c r="FH248" s="292">
        <f>IF(FF248=0,0,(FG248-FF248)/FF248*100)</f>
        <v>0</v>
      </c>
      <c r="FI248" s="4578"/>
      <c r="FJ248" s="4578"/>
      <c r="FK248" s="292">
        <f>IF(FI248=0,0,(FJ248-FI248)/FI248*100)</f>
        <v>0</v>
      </c>
      <c r="FL248" s="4578"/>
      <c r="FM248" s="4578"/>
      <c r="FN248" s="292">
        <f>IF(FL248=0,0,(FM248-FL248)/FL248*100)</f>
        <v>0</v>
      </c>
      <c r="FO248" s="4578"/>
      <c r="FP248" s="4578"/>
      <c r="FQ248" s="292">
        <f>IF(FO248=0,0,(FP248-FO248)/FO248*100)</f>
        <v>0</v>
      </c>
      <c r="FR248" s="4578"/>
      <c r="FS248" s="4578"/>
      <c r="FT248" s="292">
        <f>IF(FR248=0,0,(FS248-FR248)/FR248*100)</f>
        <v>0</v>
      </c>
      <c r="FU248" s="4578"/>
      <c r="FV248" s="4578"/>
      <c r="FW248" s="292">
        <f>IF(FU248=0,0,(FV248-FU248)/FU248*100)</f>
        <v>0</v>
      </c>
      <c r="FX248" s="288"/>
      <c r="FY248" s="288"/>
      <c r="FZ248" s="1063" t="s">
        <v>1867</v>
      </c>
      <c r="GA248" s="1063"/>
      <c r="GB248" s="1063"/>
      <c r="GC248" s="1064"/>
      <c r="GD248" s="1064"/>
    </row>
    <row s="1656" customFormat="1" customHeight="1" ht="21.421875">
      <c r="A249" s="496"/>
      <c r="B249" s="932" cm="1" t="str">
        <f t="array" ref="B249:B249">B248</f>
        <v>true</v>
      </c>
      <c r="C249" s="496"/>
      <c r="D249" s="496"/>
      <c r="E249" s="847">
        <v>15</v>
      </c>
      <c r="F249" s="50" cm="1" t="str">
        <f t="array" ref="F249:F249">OFFSET(E249,-1,1)</f>
        <v>3</v>
      </c>
      <c r="G249" s="496"/>
      <c r="H249" s="496" t="s">
        <v>570</v>
      </c>
      <c r="I249" s="496" t="s">
        <v>1868</v>
      </c>
      <c r="J249" s="496"/>
      <c r="K249" s="496"/>
      <c r="L249" s="496"/>
      <c r="M249" s="496"/>
      <c r="N249" s="496"/>
      <c r="O249" s="496"/>
      <c r="P249" s="496"/>
      <c r="Q249" s="496"/>
      <c r="R249" s="496"/>
      <c r="S249" s="496"/>
      <c r="T249" s="468" cm="1" t="str">
        <f t="array" ref="T249:T249">T248</f>
        <v>true</v>
      </c>
      <c r="U249" s="496"/>
      <c r="V249" s="496"/>
      <c r="W249" s="496"/>
      <c r="X249" s="1559"/>
      <c r="Y249" s="496"/>
      <c r="Z249" s="1528"/>
      <c r="AA249" s="496"/>
      <c r="AB249" s="1098" t="s">
        <v>1869</v>
      </c>
      <c r="AC249" s="871" t="s">
        <v>561</v>
      </c>
      <c r="AD249" s="1101">
        <f>IF(AD247=0,0,AD248/AD247)*100</f>
        <v>100</v>
      </c>
      <c r="AE249" s="1101">
        <f>IF(AE247=0,0,AE248/AE247)*100</f>
        <v>111.998642800109</v>
      </c>
      <c r="AF249" s="1102"/>
      <c r="AG249" s="1101">
        <f>IF(AG247=0,0,AG248/AG247)*100</f>
        <v>0</v>
      </c>
      <c r="AH249" s="1101">
        <f>IF(AH247=0,0,AH248/AH247)*100</f>
        <v>0</v>
      </c>
      <c r="AI249" s="1102"/>
      <c r="AJ249" s="1101">
        <f>IF(AJ247=0,0,AJ248/AJ247)*100</f>
        <v>0</v>
      </c>
      <c r="AK249" s="1101">
        <f>IF(AK247=0,0,AK248/AK247)*100</f>
        <v>0</v>
      </c>
      <c r="AL249" s="1102"/>
      <c r="AM249" s="1101">
        <f>IF(AM247=0,0,AM248/AM247)*100</f>
        <v>0</v>
      </c>
      <c r="AN249" s="1101">
        <f>IF(AN247=0,0,AN248/AN247)*100</f>
        <v>0</v>
      </c>
      <c r="AO249" s="1102"/>
      <c r="AP249" s="1101">
        <f>IF(AP247=0,0,AP248/AP247)*100</f>
        <v>0</v>
      </c>
      <c r="AQ249" s="1101">
        <f>IF(AQ247=0,0,AQ248/AQ247)*100</f>
        <v>0</v>
      </c>
      <c r="AR249" s="1102"/>
      <c r="AS249" s="1101">
        <f>IF(AS247=0,0,AS248/AS247)*100</f>
        <v>0</v>
      </c>
      <c r="AT249" s="1101">
        <f>IF(AT247=0,0,AT248/AT247)*100</f>
        <v>0</v>
      </c>
      <c r="AU249" s="1102"/>
      <c r="AV249" s="1101">
        <f>IF(AV247=0,0,AV248/AV247)*100</f>
        <v>0</v>
      </c>
      <c r="AW249" s="1101">
        <f>IF(AW247=0,0,AW248/AW247)*100</f>
        <v>0</v>
      </c>
      <c r="AX249" s="1102"/>
      <c r="AY249" s="1101">
        <f>IF(AY247=0,0,AY248/AY247)*100</f>
        <v>0</v>
      </c>
      <c r="AZ249" s="1101">
        <f>IF(AZ247=0,0,AZ248/AZ247)*100</f>
        <v>0</v>
      </c>
      <c r="BA249" s="1102"/>
      <c r="BB249" s="1101">
        <f>IF(BB247=0,0,BB248/BB247)*100</f>
        <v>0</v>
      </c>
      <c r="BC249" s="1101">
        <f>IF(BC247=0,0,BC248/BC247)*100</f>
        <v>0</v>
      </c>
      <c r="BD249" s="1102"/>
      <c r="BE249" s="1101">
        <f>IF(BE247=0,0,BE248/BE247)*100</f>
        <v>0</v>
      </c>
      <c r="BF249" s="1101">
        <f>IF(BF247=0,0,BF248/BF247)*100</f>
        <v>0</v>
      </c>
      <c r="BG249" s="1102"/>
      <c r="BH249" s="1101">
        <f>IF(BH247=0,0,BH248/BH247)*100</f>
        <v>0</v>
      </c>
      <c r="BI249" s="1101">
        <f>IF(BI247=0,0,BI248/BI247)*100</f>
        <v>0</v>
      </c>
      <c r="BJ249" s="1102"/>
      <c r="BK249" s="1101">
        <f>IF(BK247=0,0,BK248/BK247)*100</f>
        <v>0</v>
      </c>
      <c r="BL249" s="1101">
        <f>IF(BL247=0,0,BL248/BL247)*100</f>
        <v>0</v>
      </c>
      <c r="BM249" s="1102"/>
      <c r="BN249" s="1101">
        <f>IF(BN247=0,0,BN248/BN247)*100</f>
        <v>0</v>
      </c>
      <c r="BO249" s="1101">
        <f>IF(BO247=0,0,BO248/BO247)*100</f>
        <v>0</v>
      </c>
      <c r="BP249" s="1102"/>
      <c r="BQ249" s="1101">
        <f>IF(BQ247=0,0,BQ248/BQ247)*100</f>
        <v>0</v>
      </c>
      <c r="BR249" s="1101">
        <f>IF(BR247=0,0,BR248/BR247)*100</f>
        <v>0</v>
      </c>
      <c r="BS249" s="1102"/>
      <c r="BT249" s="1101">
        <f>IF(BT247=0,0,BT248/BT247)*100</f>
        <v>0</v>
      </c>
      <c r="BU249" s="1101">
        <f>IF(BU247=0,0,BU248/BU247)*100</f>
        <v>0</v>
      </c>
      <c r="BV249" s="1102"/>
      <c r="BW249" s="1101">
        <f>IF(BW247=0,0,BW248/BW247)*100</f>
        <v>0</v>
      </c>
      <c r="BX249" s="1101">
        <f>IF(BX247=0,0,BX248/BX247)*100</f>
        <v>0</v>
      </c>
      <c r="BY249" s="1102"/>
      <c r="BZ249" s="1101">
        <f>IF(BZ247=0,0,BZ248/BZ247)*100</f>
        <v>0</v>
      </c>
      <c r="CA249" s="1101">
        <f>IF(CA247=0,0,CA248/CA247)*100</f>
        <v>0</v>
      </c>
      <c r="CB249" s="1102"/>
      <c r="CC249" s="1101">
        <f>IF(CC247=0,0,CC248/CC247)*100</f>
        <v>0</v>
      </c>
      <c r="CD249" s="1101">
        <f>IF(CD247=0,0,CD248/CD247)*100</f>
        <v>0</v>
      </c>
      <c r="CE249" s="1102"/>
      <c r="CF249" s="1101">
        <f>IF(CF247=0,0,CF248/CF247)*100</f>
        <v>0</v>
      </c>
      <c r="CG249" s="1101">
        <f>IF(CG247=0,0,CG248/CG247)*100</f>
        <v>0</v>
      </c>
      <c r="CH249" s="1102"/>
      <c r="CI249" s="1101">
        <f>IF(CI247=0,0,CI248/CI247)*100</f>
        <v>0</v>
      </c>
      <c r="CJ249" s="1101">
        <f>IF(CJ247=0,0,CJ248/CJ247)*100</f>
        <v>0</v>
      </c>
      <c r="CK249" s="1102"/>
      <c r="CL249" s="1101">
        <f>IF(CL247=0,0,CL248/CL247)*100</f>
        <v>0</v>
      </c>
      <c r="CM249" s="1101">
        <f>IF(CM247=0,0,CM248/CM247)*100</f>
        <v>0</v>
      </c>
      <c r="CN249" s="1102"/>
      <c r="CO249" s="1101">
        <f>IF(CO247=0,0,CO248/CO247)*100</f>
        <v>0</v>
      </c>
      <c r="CP249" s="1101">
        <f>IF(CP247=0,0,CP248/CP247)*100</f>
        <v>0</v>
      </c>
      <c r="CQ249" s="1102"/>
      <c r="CR249" s="1101">
        <f>IF(CR247=0,0,CR248/CR247)*100</f>
        <v>0</v>
      </c>
      <c r="CS249" s="1101">
        <f>IF(CS247=0,0,CS248/CS247)*100</f>
        <v>0</v>
      </c>
      <c r="CT249" s="1102"/>
      <c r="CU249" s="1101">
        <f>IF(CU247=0,0,CU248/CU247)*100</f>
        <v>0</v>
      </c>
      <c r="CV249" s="1101">
        <f>IF(CV247=0,0,CV248/CV247)*100</f>
        <v>0</v>
      </c>
      <c r="CW249" s="1102"/>
      <c r="CX249" s="1101">
        <f>IF(CX247=0,0,CX248/CX247)*100</f>
        <v>0</v>
      </c>
      <c r="CY249" s="1101">
        <f>IF(CY247=0,0,CY248/CY247)*100</f>
        <v>0</v>
      </c>
      <c r="CZ249" s="1102"/>
      <c r="DA249" s="1101">
        <f>IF(DA247=0,0,DA248/DA247)*100</f>
        <v>0</v>
      </c>
      <c r="DB249" s="1101">
        <f>IF(DB247=0,0,DB248/DB247)*100</f>
        <v>0</v>
      </c>
      <c r="DC249" s="1102"/>
      <c r="DD249" s="1101">
        <f>IF(DD247=0,0,DD248/DD247)*100</f>
        <v>0</v>
      </c>
      <c r="DE249" s="1101">
        <f>IF(DE247=0,0,DE248/DE247)*100</f>
        <v>0</v>
      </c>
      <c r="DF249" s="1102"/>
      <c r="DG249" s="1101">
        <f>IF(DG247=0,0,DG248/DG247)*100</f>
        <v>0</v>
      </c>
      <c r="DH249" s="1101">
        <f>IF(DH247=0,0,DH248/DH247)*100</f>
        <v>0</v>
      </c>
      <c r="DI249" s="1102"/>
      <c r="DJ249" s="1101">
        <f>IF(DJ247=0,0,DJ248/DJ247)*100</f>
        <v>0</v>
      </c>
      <c r="DK249" s="1101">
        <f>IF(DK247=0,0,DK248/DK247)*100</f>
        <v>0</v>
      </c>
      <c r="DL249" s="1102"/>
      <c r="DM249" s="1101">
        <f>IF(DM247=0,0,DM248/DM247)*100</f>
        <v>0</v>
      </c>
      <c r="DN249" s="1101">
        <f>IF(DN247=0,0,DN248/DN247)*100</f>
        <v>0</v>
      </c>
      <c r="DO249" s="1102"/>
      <c r="DP249" s="1101">
        <f>IF(DP247=0,0,DP248/DP247)*100</f>
        <v>0</v>
      </c>
      <c r="DQ249" s="1101">
        <f>IF(DQ247=0,0,DQ248/DQ247)*100</f>
        <v>0</v>
      </c>
      <c r="DR249" s="1102"/>
      <c r="DS249" s="1101">
        <f>IF(DS247=0,0,DS248/DS247)*100</f>
        <v>0</v>
      </c>
      <c r="DT249" s="1101">
        <f>IF(DT247=0,0,DT248/DT247)*100</f>
        <v>0</v>
      </c>
      <c r="DU249" s="1102"/>
      <c r="DV249" s="1101">
        <f>IF(DV247=0,0,DV248/DV247)*100</f>
        <v>0</v>
      </c>
      <c r="DW249" s="1101">
        <f>IF(DW247=0,0,DW248/DW247)*100</f>
        <v>0</v>
      </c>
      <c r="DX249" s="1102"/>
      <c r="DY249" s="1101">
        <f>IF(DY247=0,0,DY248/DY247)*100</f>
        <v>0</v>
      </c>
      <c r="DZ249" s="1101">
        <f>IF(DZ247=0,0,DZ248/DZ247)*100</f>
        <v>0</v>
      </c>
      <c r="EA249" s="1102"/>
      <c r="EB249" s="1101">
        <f>IF(EB247=0,0,EB248/EB247)*100</f>
        <v>0</v>
      </c>
      <c r="EC249" s="1101">
        <f>IF(EC247=0,0,EC248/EC247)*100</f>
        <v>0</v>
      </c>
      <c r="ED249" s="1102"/>
      <c r="EE249" s="1101">
        <f>IF(EE247=0,0,EE248/EE247)*100</f>
        <v>0</v>
      </c>
      <c r="EF249" s="1101">
        <f>IF(EF247=0,0,EF248/EF247)*100</f>
        <v>0</v>
      </c>
      <c r="EG249" s="1102"/>
      <c r="EH249" s="1101">
        <f>IF(EH247=0,0,EH248/EH247)*100</f>
        <v>0</v>
      </c>
      <c r="EI249" s="1101">
        <f>IF(EI247=0,0,EI248/EI247)*100</f>
        <v>0</v>
      </c>
      <c r="EJ249" s="1102"/>
      <c r="EK249" s="1101">
        <f>IF(EK247=0,0,EK248/EK247)*100</f>
        <v>0</v>
      </c>
      <c r="EL249" s="1101">
        <f>IF(EL247=0,0,EL248/EL247)*100</f>
        <v>0</v>
      </c>
      <c r="EM249" s="1102"/>
      <c r="EN249" s="1101">
        <f>IF(EN247=0,0,EN248/EN247)*100</f>
        <v>0</v>
      </c>
      <c r="EO249" s="1101">
        <f>IF(EO247=0,0,EO248/EO247)*100</f>
        <v>0</v>
      </c>
      <c r="EP249" s="1102"/>
      <c r="EQ249" s="1101">
        <f>IF(EQ247=0,0,EQ248/EQ247)*100</f>
        <v>0</v>
      </c>
      <c r="ER249" s="1101">
        <f>IF(ER247=0,0,ER248/ER247)*100</f>
        <v>0</v>
      </c>
      <c r="ES249" s="1102"/>
      <c r="ET249" s="1101">
        <f>IF(ET247=0,0,ET248/ET247)*100</f>
        <v>0</v>
      </c>
      <c r="EU249" s="1101">
        <f>IF(EU247=0,0,EU248/EU247)*100</f>
        <v>0</v>
      </c>
      <c r="EV249" s="1102"/>
      <c r="EW249" s="1101">
        <f>IF(EW247=0,0,EW248/EW247)*100</f>
        <v>0</v>
      </c>
      <c r="EX249" s="1101">
        <f>IF(EX247=0,0,EX248/EX247)*100</f>
        <v>0</v>
      </c>
      <c r="EY249" s="1102"/>
      <c r="EZ249" s="1101">
        <f>IF(EZ247=0,0,EZ248/EZ247)*100</f>
        <v>0</v>
      </c>
      <c r="FA249" s="1101">
        <f>IF(FA247=0,0,FA248/FA247)*100</f>
        <v>0</v>
      </c>
      <c r="FB249" s="1102"/>
      <c r="FC249" s="1101">
        <f>IF(FC247=0,0,FC248/FC247)*100</f>
        <v>0</v>
      </c>
      <c r="FD249" s="1101">
        <f>IF(FD247=0,0,FD248/FD247)*100</f>
        <v>0</v>
      </c>
      <c r="FE249" s="1102"/>
      <c r="FF249" s="1101">
        <f>IF(FF247=0,0,FF248/FF247)*100</f>
        <v>0</v>
      </c>
      <c r="FG249" s="1101">
        <f>IF(FG247=0,0,FG248/FG247)*100</f>
        <v>0</v>
      </c>
      <c r="FH249" s="1102"/>
      <c r="FI249" s="1101">
        <f>IF(FI247=0,0,FI248/FI247)*100</f>
        <v>0</v>
      </c>
      <c r="FJ249" s="1101">
        <f>IF(FJ247=0,0,FJ248/FJ247)*100</f>
        <v>0</v>
      </c>
      <c r="FK249" s="1102"/>
      <c r="FL249" s="1101">
        <f>IF(FL247=0,0,FL248/FL247)*100</f>
        <v>0</v>
      </c>
      <c r="FM249" s="1101">
        <f>IF(FM247=0,0,FM248/FM247)*100</f>
        <v>0</v>
      </c>
      <c r="FN249" s="1102"/>
      <c r="FO249" s="1101">
        <f>IF(FO247=0,0,FO248/FO247)*100</f>
        <v>0</v>
      </c>
      <c r="FP249" s="1101">
        <f>IF(FP247=0,0,FP248/FP247)*100</f>
        <v>0</v>
      </c>
      <c r="FQ249" s="1102"/>
      <c r="FR249" s="1101">
        <f>IF(FR247=0,0,FR248/FR247)*100</f>
        <v>0</v>
      </c>
      <c r="FS249" s="1101">
        <f>IF(FS247=0,0,FS248/FS247)*100</f>
        <v>0</v>
      </c>
      <c r="FT249" s="1102"/>
      <c r="FU249" s="1101">
        <f>IF(FU247=0,0,FU248/FU247)*100</f>
        <v>0</v>
      </c>
      <c r="FV249" s="1101">
        <f>IF(FV247=0,0,FV248/FV247)*100</f>
        <v>0</v>
      </c>
      <c r="FW249" s="1102"/>
      <c r="FX249" s="288"/>
      <c r="FY249" s="1328"/>
      <c r="FZ249" s="1063" t="s">
        <v>1870</v>
      </c>
      <c r="GA249" s="1330"/>
      <c r="GB249" s="1330"/>
      <c r="GC249" s="1329"/>
      <c r="GD249" s="1329"/>
    </row>
    <row s="1656" customFormat="1" customHeight="1" ht="23.671875">
      <c r="A250" s="496"/>
      <c r="B250" s="932" cm="1" t="str">
        <f t="array" ref="B250:B250">B249</f>
        <v>true</v>
      </c>
      <c r="C250" s="496"/>
      <c r="D250" s="496"/>
      <c r="E250" s="847">
        <v>15</v>
      </c>
      <c r="F250" s="50" cm="1" t="str">
        <f t="array" ref="F250:F250">OFFSET(E250,-1,1)</f>
        <v>3</v>
      </c>
      <c r="G250" s="103" t="s">
        <v>1871</v>
      </c>
      <c r="H250" s="496" t="s">
        <v>573</v>
      </c>
      <c r="I250" s="496" t="s">
        <v>1868</v>
      </c>
      <c r="J250" s="496"/>
      <c r="K250" s="496"/>
      <c r="L250" s="496"/>
      <c r="M250" s="496"/>
      <c r="N250" s="496"/>
      <c r="O250" s="496"/>
      <c r="P250" s="496"/>
      <c r="Q250" s="496"/>
      <c r="R250" s="496"/>
      <c r="S250" s="496"/>
      <c r="T250" s="468" cm="1" t="str">
        <f t="array" ref="T250:T250">T249</f>
        <v>true</v>
      </c>
      <c r="U250" s="496"/>
      <c r="V250" s="496"/>
      <c r="W250" s="496"/>
      <c r="X250" s="1559"/>
      <c r="Y250" s="496"/>
      <c r="Z250" s="1528"/>
      <c r="AA250" s="496"/>
      <c r="AB250" s="1098" t="s">
        <v>1872</v>
      </c>
      <c r="AC250" s="871" t="s">
        <v>657</v>
      </c>
      <c r="AD250" s="1103">
        <f>IF(AND(method_reg="Метод индексации",god&lt;&gt;first_year),_xlfn.SUMIFS(INDEX('Калькуляция (МИ корр)'!$AJ$25:$BC$606,,MATCH(AD$8,'Калькуляция (МИ корр)'!$AJ$8:$BC$8,0)),'Калькуляция (МИ корр)'!$F$25:$F$606,$F250,'Калькуляция (МИ корр)'!$G$25:$G$606,$G250),IF(method_reg="Метод экономически обоснованных расходов",_xlfn.SUMIFS('Калькуляция (МЭОР)'!$AJ$25:$AJ$367,'Калькуляция (МЭОР)'!$F$25:$F$367,$F250,'Калькуляция (МЭОР)'!$G$25:$G$367,$G250),IF(method_reg="Метод сравнения аналогов",_xlfn.SUMIFS('Калькуляция (МСА)'!$AE$25:$AE$103,'Калькуляция (МСА)'!$F$25:$F$103,$F250,'Калькуляция (МСА)'!$G$25:$G$103,$G250),_xlfn.SUMIFS(INDEX('Калькуляция (МИ)'!$AJ$25:$BC$603,,MATCH(AD$8,'Калькуляция (МИ)'!$AJ$8:$BC$8,0)),'Калькуляция (МИ)'!$F$25:$F$603,$F250,'Калькуляция (МИ)'!$G$25:$G$603,$G250))))</f>
        <v>1458.9532</v>
      </c>
      <c r="AE250" s="1103">
        <f>IF(AND(method_reg="Метод индексации",god&lt;&gt;first_year),_xlfn.SUMIFS(INDEX('Калькуляция (МИ корр)'!$AJ$25:$BC$606,,MATCH(AE$8,'Калькуляция (МИ корр)'!$AJ$8:$BC$8,0)),'Калькуляция (МИ корр)'!$F$25:$F$606,$F250,'Калькуляция (МИ корр)'!$G$25:$G$606,$G250),IF(method_reg="Метод экономически обоснованных расходов",_xlfn.SUMIFS('Калькуляция (МЭОР)'!$AK$25:$AK$367,'Калькуляция (МЭОР)'!$F$25:$F$367,$F250,'Калькуляция (МЭОР)'!$G$25:$G$367,$G250),IF(method_reg="Метод сравнения аналогов",_xlfn.SUMIFS('Калькуляция (МСА)'!$AF$25:$AF$103,'Калькуляция (МСА)'!$F$25:$F$103,$F250,'Калькуляция (МСА)'!$G$25:$G$103,$G250),_xlfn.SUMIFS(INDEX('Калькуляция (МИ)'!$AJ$25:$BC$603,,MATCH(AE$8,'Калькуляция (МИ)'!$AJ$8:$BC$8,0)),'Калькуляция (МИ)'!$F$25:$F$603,$F250,'Калькуляция (МИ)'!$G$25:$G$603,$G250))))</f>
        <v>1387.33054</v>
      </c>
      <c r="AF250" s="1104">
        <f>IF(AD250=0,0,(AE250-AD250)/AD250*100)</f>
        <v>-4.90918145969315</v>
      </c>
      <c r="AG250" s="4585">
        <f>IF(AND(method_reg="Метод индексации",god&lt;&gt;first_year),_xlfn.SUMIFS(INDEX('Калькуляция (МИ корр)'!$AJ$25:$BC$606,,MATCH(AG$8,'Калькуляция (МИ корр)'!$AJ$8:$BC$8,0)),'Калькуляция (МИ корр)'!$F$25:$F$606,$F250,'Калькуляция (МИ корр)'!$G$25:$G$606,$G250),IF(method_reg="Метод экономически обоснованных расходов",_xlfn.SUMIFS('Калькуляция (МЭОР)'!$AJ$25:$AJ$367,'Калькуляция (МЭОР)'!$F$25:$F$367,$F250,'Калькуляция (МЭОР)'!$G$25:$G$367,$G250),IF(method_reg="Метод сравнения аналогов",_xlfn.SUMIFS('Калькуляция (МСА)'!$AE$25:$AE$103,'Калькуляция (МСА)'!$F$25:$F$103,$F250,'Калькуляция (МСА)'!$G$25:$G$103,$G250),_xlfn.SUMIFS(INDEX('Калькуляция (МИ)'!$AJ$25:$BC$603,,MATCH(AG$8,'Калькуляция (МИ)'!$AJ$8:$BC$8,0)),'Калькуляция (МИ)'!$F$25:$F$603,$F250,'Калькуляция (МИ)'!$G$25:$G$603,$G250))))</f>
        <v>0</v>
      </c>
      <c r="AH250" s="4585">
        <f>IF(AND(method_reg="Метод индексации",god&lt;&gt;first_year),_xlfn.SUMIFS(INDEX('Калькуляция (МИ корр)'!$AJ$25:$BC$606,,MATCH(AH$8,'Калькуляция (МИ корр)'!$AJ$8:$BC$8,0)),'Калькуляция (МИ корр)'!$F$25:$F$606,$F250,'Калькуляция (МИ корр)'!$G$25:$G$606,$G250),IF(method_reg="Метод экономически обоснованных расходов",_xlfn.SUMIFS('Калькуляция (МЭОР)'!$AK$25:$AK$367,'Калькуляция (МЭОР)'!$F$25:$F$367,$F250,'Калькуляция (МЭОР)'!$G$25:$G$367,$G250),IF(method_reg="Метод сравнения аналогов",_xlfn.SUMIFS('Калькуляция (МСА)'!$AF$25:$AF$103,'Калькуляция (МСА)'!$F$25:$F$103,$F250,'Калькуляция (МСА)'!$G$25:$G$103,$G250),_xlfn.SUMIFS(INDEX('Калькуляция (МИ)'!$AJ$25:$BC$603,,MATCH(AH$8,'Калькуляция (МИ)'!$AJ$8:$BC$8,0)),'Калькуляция (МИ)'!$F$25:$F$603,$F250,'Калькуляция (МИ)'!$G$25:$G$603,$G250))))</f>
        <v>0</v>
      </c>
      <c r="AI250" s="1104">
        <f>IF(AG250=0,0,(AH250-AG250)/AG250*100)</f>
        <v>0</v>
      </c>
      <c r="AJ250" s="4585">
        <f>IF(AND(method_reg="Метод индексации",god&lt;&gt;first_year),_xlfn.SUMIFS(INDEX('Калькуляция (МИ корр)'!$AJ$25:$BC$606,,MATCH(AJ$8,'Калькуляция (МИ корр)'!$AJ$8:$BC$8,0)),'Калькуляция (МИ корр)'!$F$25:$F$606,$F250,'Калькуляция (МИ корр)'!$G$25:$G$606,$G250),IF(method_reg="Метод экономически обоснованных расходов",_xlfn.SUMIFS('Калькуляция (МЭОР)'!$AJ$25:$AJ$367,'Калькуляция (МЭОР)'!$F$25:$F$367,$F250,'Калькуляция (МЭОР)'!$G$25:$G$367,$G250),IF(method_reg="Метод сравнения аналогов",_xlfn.SUMIFS('Калькуляция (МСА)'!$AE$25:$AE$103,'Калькуляция (МСА)'!$F$25:$F$103,$F250,'Калькуляция (МСА)'!$G$25:$G$103,$G250),_xlfn.SUMIFS(INDEX('Калькуляция (МИ)'!$AJ$25:$BC$603,,MATCH(AJ$8,'Калькуляция (МИ)'!$AJ$8:$BC$8,0)),'Калькуляция (МИ)'!$F$25:$F$603,$F250,'Калькуляция (МИ)'!$G$25:$G$603,$G250))))</f>
        <v>0</v>
      </c>
      <c r="AK250" s="4585">
        <f>IF(AND(method_reg="Метод индексации",god&lt;&gt;first_year),_xlfn.SUMIFS(INDEX('Калькуляция (МИ корр)'!$AJ$25:$BC$606,,MATCH(AK$8,'Калькуляция (МИ корр)'!$AJ$8:$BC$8,0)),'Калькуляция (МИ корр)'!$F$25:$F$606,$F250,'Калькуляция (МИ корр)'!$G$25:$G$606,$G250),IF(method_reg="Метод экономически обоснованных расходов",_xlfn.SUMIFS('Калькуляция (МЭОР)'!$AK$25:$AK$367,'Калькуляция (МЭОР)'!$F$25:$F$367,$F250,'Калькуляция (МЭОР)'!$G$25:$G$367,$G250),IF(method_reg="Метод сравнения аналогов",_xlfn.SUMIFS('Калькуляция (МСА)'!$AF$25:$AF$103,'Калькуляция (МСА)'!$F$25:$F$103,$F250,'Калькуляция (МСА)'!$G$25:$G$103,$G250),_xlfn.SUMIFS(INDEX('Калькуляция (МИ)'!$AJ$25:$BC$603,,MATCH(AK$8,'Калькуляция (МИ)'!$AJ$8:$BC$8,0)),'Калькуляция (МИ)'!$F$25:$F$603,$F250,'Калькуляция (МИ)'!$G$25:$G$603,$G250))))</f>
        <v>0</v>
      </c>
      <c r="AL250" s="1104">
        <f>IF(AJ250=0,0,(AK250-AJ250)/AJ250*100)</f>
        <v>0</v>
      </c>
      <c r="AM250" s="4585">
        <f>IF(AND(method_reg="Метод индексации",god&lt;&gt;first_year),_xlfn.SUMIFS(INDEX('Калькуляция (МИ корр)'!$AJ$25:$BC$606,,MATCH(AM$8,'Калькуляция (МИ корр)'!$AJ$8:$BC$8,0)),'Калькуляция (МИ корр)'!$F$25:$F$606,$F250,'Калькуляция (МИ корр)'!$G$25:$G$606,$G250),IF(method_reg="Метод экономически обоснованных расходов",_xlfn.SUMIFS('Калькуляция (МЭОР)'!$AJ$25:$AJ$367,'Калькуляция (МЭОР)'!$F$25:$F$367,$F250,'Калькуляция (МЭОР)'!$G$25:$G$367,$G250),IF(method_reg="Метод сравнения аналогов",_xlfn.SUMIFS('Калькуляция (МСА)'!$AE$25:$AE$103,'Калькуляция (МСА)'!$F$25:$F$103,$F250,'Калькуляция (МСА)'!$G$25:$G$103,$G250),_xlfn.SUMIFS(INDEX('Калькуляция (МИ)'!$AJ$25:$BC$603,,MATCH(AM$8,'Калькуляция (МИ)'!$AJ$8:$BC$8,0)),'Калькуляция (МИ)'!$F$25:$F$603,$F250,'Калькуляция (МИ)'!$G$25:$G$603,$G250))))</f>
        <v>0</v>
      </c>
      <c r="AN250" s="4585">
        <f>IF(AND(method_reg="Метод индексации",god&lt;&gt;first_year),_xlfn.SUMIFS(INDEX('Калькуляция (МИ корр)'!$AJ$25:$BC$606,,MATCH(AN$8,'Калькуляция (МИ корр)'!$AJ$8:$BC$8,0)),'Калькуляция (МИ корр)'!$F$25:$F$606,$F250,'Калькуляция (МИ корр)'!$G$25:$G$606,$G250),IF(method_reg="Метод экономически обоснованных расходов",_xlfn.SUMIFS('Калькуляция (МЭОР)'!$AK$25:$AK$367,'Калькуляция (МЭОР)'!$F$25:$F$367,$F250,'Калькуляция (МЭОР)'!$G$25:$G$367,$G250),IF(method_reg="Метод сравнения аналогов",_xlfn.SUMIFS('Калькуляция (МСА)'!$AF$25:$AF$103,'Калькуляция (МСА)'!$F$25:$F$103,$F250,'Калькуляция (МСА)'!$G$25:$G$103,$G250),_xlfn.SUMIFS(INDEX('Калькуляция (МИ)'!$AJ$25:$BC$603,,MATCH(AN$8,'Калькуляция (МИ)'!$AJ$8:$BC$8,0)),'Калькуляция (МИ)'!$F$25:$F$603,$F250,'Калькуляция (МИ)'!$G$25:$G$603,$G250))))</f>
        <v>0</v>
      </c>
      <c r="AO250" s="1104">
        <f>IF(AM250=0,0,(AN250-AM250)/AM250*100)</f>
        <v>0</v>
      </c>
      <c r="AP250" s="4585">
        <f>IF(AND(method_reg="Метод индексации",god&lt;&gt;first_year),_xlfn.SUMIFS(INDEX('Калькуляция (МИ корр)'!$AJ$25:$BC$606,,MATCH(AP$8,'Калькуляция (МИ корр)'!$AJ$8:$BC$8,0)),'Калькуляция (МИ корр)'!$F$25:$F$606,$F250,'Калькуляция (МИ корр)'!$G$25:$G$606,$G250),IF(method_reg="Метод экономически обоснованных расходов",_xlfn.SUMIFS('Калькуляция (МЭОР)'!$AJ$25:$AJ$367,'Калькуляция (МЭОР)'!$F$25:$F$367,$F250,'Калькуляция (МЭОР)'!$G$25:$G$367,$G250),IF(method_reg="Метод сравнения аналогов",_xlfn.SUMIFS('Калькуляция (МСА)'!$AE$25:$AE$103,'Калькуляция (МСА)'!$F$25:$F$103,$F250,'Калькуляция (МСА)'!$G$25:$G$103,$G250),_xlfn.SUMIFS(INDEX('Калькуляция (МИ)'!$AJ$25:$BC$603,,MATCH(AP$8,'Калькуляция (МИ)'!$AJ$8:$BC$8,0)),'Калькуляция (МИ)'!$F$25:$F$603,$F250,'Калькуляция (МИ)'!$G$25:$G$603,$G250))))</f>
        <v>0</v>
      </c>
      <c r="AQ250" s="4585">
        <f>IF(AND(method_reg="Метод индексации",god&lt;&gt;first_year),_xlfn.SUMIFS(INDEX('Калькуляция (МИ корр)'!$AJ$25:$BC$606,,MATCH(AQ$8,'Калькуляция (МИ корр)'!$AJ$8:$BC$8,0)),'Калькуляция (МИ корр)'!$F$25:$F$606,$F250,'Калькуляция (МИ корр)'!$G$25:$G$606,$G250),IF(method_reg="Метод экономически обоснованных расходов",_xlfn.SUMIFS('Калькуляция (МЭОР)'!$AK$25:$AK$367,'Калькуляция (МЭОР)'!$F$25:$F$367,$F250,'Калькуляция (МЭОР)'!$G$25:$G$367,$G250),IF(method_reg="Метод сравнения аналогов",_xlfn.SUMIFS('Калькуляция (МСА)'!$AF$25:$AF$103,'Калькуляция (МСА)'!$F$25:$F$103,$F250,'Калькуляция (МСА)'!$G$25:$G$103,$G250),_xlfn.SUMIFS(INDEX('Калькуляция (МИ)'!$AJ$25:$BC$603,,MATCH(AQ$8,'Калькуляция (МИ)'!$AJ$8:$BC$8,0)),'Калькуляция (МИ)'!$F$25:$F$603,$F250,'Калькуляция (МИ)'!$G$25:$G$603,$G250))))</f>
        <v>0</v>
      </c>
      <c r="AR250" s="1104">
        <f>IF(AP250=0,0,(AQ250-AP250)/AP250*100)</f>
        <v>0</v>
      </c>
      <c r="AS250" s="4585">
        <f>IF(AND(method_reg="Метод индексации",god&lt;&gt;first_year),_xlfn.SUMIFS(INDEX('Калькуляция (МИ корр)'!$AJ$25:$BC$606,,MATCH(AS$8,'Калькуляция (МИ корр)'!$AJ$8:$BC$8,0)),'Калькуляция (МИ корр)'!$F$25:$F$606,$F250,'Калькуляция (МИ корр)'!$G$25:$G$606,$G250),IF(method_reg="Метод экономически обоснованных расходов",_xlfn.SUMIFS('Калькуляция (МЭОР)'!$AJ$25:$AJ$367,'Калькуляция (МЭОР)'!$F$25:$F$367,$F250,'Калькуляция (МЭОР)'!$G$25:$G$367,$G250),IF(method_reg="Метод сравнения аналогов",_xlfn.SUMIFS('Калькуляция (МСА)'!$AE$25:$AE$103,'Калькуляция (МСА)'!$F$25:$F$103,$F250,'Калькуляция (МСА)'!$G$25:$G$103,$G250),_xlfn.SUMIFS(INDEX('Калькуляция (МИ)'!$AJ$25:$BC$603,,MATCH(AS$8,'Калькуляция (МИ)'!$AJ$8:$BC$8,0)),'Калькуляция (МИ)'!$F$25:$F$603,$F250,'Калькуляция (МИ)'!$G$25:$G$603,$G250))))</f>
        <v>0</v>
      </c>
      <c r="AT250" s="4585">
        <f>IF(AND(method_reg="Метод индексации",god&lt;&gt;first_year),_xlfn.SUMIFS(INDEX('Калькуляция (МИ корр)'!$AJ$25:$BC$606,,MATCH(AT$8,'Калькуляция (МИ корр)'!$AJ$8:$BC$8,0)),'Калькуляция (МИ корр)'!$F$25:$F$606,$F250,'Калькуляция (МИ корр)'!$G$25:$G$606,$G250),IF(method_reg="Метод экономически обоснованных расходов",_xlfn.SUMIFS('Калькуляция (МЭОР)'!$AK$25:$AK$367,'Калькуляция (МЭОР)'!$F$25:$F$367,$F250,'Калькуляция (МЭОР)'!$G$25:$G$367,$G250),IF(method_reg="Метод сравнения аналогов",_xlfn.SUMIFS('Калькуляция (МСА)'!$AF$25:$AF$103,'Калькуляция (МСА)'!$F$25:$F$103,$F250,'Калькуляция (МСА)'!$G$25:$G$103,$G250),_xlfn.SUMIFS(INDEX('Калькуляция (МИ)'!$AJ$25:$BC$603,,MATCH(AT$8,'Калькуляция (МИ)'!$AJ$8:$BC$8,0)),'Калькуляция (МИ)'!$F$25:$F$603,$F250,'Калькуляция (МИ)'!$G$25:$G$603,$G250))))</f>
        <v>0</v>
      </c>
      <c r="AU250" s="1104">
        <f>IF(AS250=0,0,(AT250-AS250)/AS250*100)</f>
        <v>0</v>
      </c>
      <c r="AV250" s="4585">
        <f>IF(AND(method_reg="Метод индексации",god&lt;&gt;first_year),_xlfn.SUMIFS(INDEX('Калькуляция (МИ корр)'!$AJ$25:$BC$606,,MATCH(AV$8,'Калькуляция (МИ корр)'!$AJ$8:$BC$8,0)),'Калькуляция (МИ корр)'!$F$25:$F$606,$F250,'Калькуляция (МИ корр)'!$G$25:$G$606,$G250),IF(method_reg="Метод экономически обоснованных расходов",_xlfn.SUMIFS('Калькуляция (МЭОР)'!$AJ$25:$AJ$367,'Калькуляция (МЭОР)'!$F$25:$F$367,$F250,'Калькуляция (МЭОР)'!$G$25:$G$367,$G250),IF(method_reg="Метод сравнения аналогов",_xlfn.SUMIFS('Калькуляция (МСА)'!$AE$25:$AE$103,'Калькуляция (МСА)'!$F$25:$F$103,$F250,'Калькуляция (МСА)'!$G$25:$G$103,$G250),_xlfn.SUMIFS(INDEX('Калькуляция (МИ)'!$AJ$25:$BC$603,,MATCH(AV$8,'Калькуляция (МИ)'!$AJ$8:$BC$8,0)),'Калькуляция (МИ)'!$F$25:$F$603,$F250,'Калькуляция (МИ)'!$G$25:$G$603,$G250))))</f>
        <v>0</v>
      </c>
      <c r="AW250" s="4585">
        <f>IF(AND(method_reg="Метод индексации",god&lt;&gt;first_year),_xlfn.SUMIFS(INDEX('Калькуляция (МИ корр)'!$AJ$25:$BC$606,,MATCH(AW$8,'Калькуляция (МИ корр)'!$AJ$8:$BC$8,0)),'Калькуляция (МИ корр)'!$F$25:$F$606,$F250,'Калькуляция (МИ корр)'!$G$25:$G$606,$G250),IF(method_reg="Метод экономически обоснованных расходов",_xlfn.SUMIFS('Калькуляция (МЭОР)'!$AK$25:$AK$367,'Калькуляция (МЭОР)'!$F$25:$F$367,$F250,'Калькуляция (МЭОР)'!$G$25:$G$367,$G250),IF(method_reg="Метод сравнения аналогов",_xlfn.SUMIFS('Калькуляция (МСА)'!$AF$25:$AF$103,'Калькуляция (МСА)'!$F$25:$F$103,$F250,'Калькуляция (МСА)'!$G$25:$G$103,$G250),_xlfn.SUMIFS(INDEX('Калькуляция (МИ)'!$AJ$25:$BC$603,,MATCH(AW$8,'Калькуляция (МИ)'!$AJ$8:$BC$8,0)),'Калькуляция (МИ)'!$F$25:$F$603,$F250,'Калькуляция (МИ)'!$G$25:$G$603,$G250))))</f>
        <v>0</v>
      </c>
      <c r="AX250" s="1104">
        <f>IF(AV250=0,0,(AW250-AV250)/AV250*100)</f>
        <v>0</v>
      </c>
      <c r="AY250" s="4585">
        <f>IF(AND(method_reg="Метод индексации",god&lt;&gt;first_year),_xlfn.SUMIFS(INDEX('Калькуляция (МИ корр)'!$AJ$25:$BC$606,,MATCH(AY$8,'Калькуляция (МИ корр)'!$AJ$8:$BC$8,0)),'Калькуляция (МИ корр)'!$F$25:$F$606,$F250,'Калькуляция (МИ корр)'!$G$25:$G$606,$G250),IF(method_reg="Метод экономически обоснованных расходов",_xlfn.SUMIFS('Калькуляция (МЭОР)'!$AJ$25:$AJ$367,'Калькуляция (МЭОР)'!$F$25:$F$367,$F250,'Калькуляция (МЭОР)'!$G$25:$G$367,$G250),IF(method_reg="Метод сравнения аналогов",_xlfn.SUMIFS('Калькуляция (МСА)'!$AE$25:$AE$103,'Калькуляция (МСА)'!$F$25:$F$103,$F250,'Калькуляция (МСА)'!$G$25:$G$103,$G250),_xlfn.SUMIFS(INDEX('Калькуляция (МИ)'!$AJ$25:$BC$603,,MATCH(AY$8,'Калькуляция (МИ)'!$AJ$8:$BC$8,0)),'Калькуляция (МИ)'!$F$25:$F$603,$F250,'Калькуляция (МИ)'!$G$25:$G$603,$G250))))</f>
        <v>0</v>
      </c>
      <c r="AZ250" s="4585">
        <f>IF(AND(method_reg="Метод индексации",god&lt;&gt;first_year),_xlfn.SUMIFS(INDEX('Калькуляция (МИ корр)'!$AJ$25:$BC$606,,MATCH(AZ$8,'Калькуляция (МИ корр)'!$AJ$8:$BC$8,0)),'Калькуляция (МИ корр)'!$F$25:$F$606,$F250,'Калькуляция (МИ корр)'!$G$25:$G$606,$G250),IF(method_reg="Метод экономически обоснованных расходов",_xlfn.SUMIFS('Калькуляция (МЭОР)'!$AK$25:$AK$367,'Калькуляция (МЭОР)'!$F$25:$F$367,$F250,'Калькуляция (МЭОР)'!$G$25:$G$367,$G250),IF(method_reg="Метод сравнения аналогов",_xlfn.SUMIFS('Калькуляция (МСА)'!$AF$25:$AF$103,'Калькуляция (МСА)'!$F$25:$F$103,$F250,'Калькуляция (МСА)'!$G$25:$G$103,$G250),_xlfn.SUMIFS(INDEX('Калькуляция (МИ)'!$AJ$25:$BC$603,,MATCH(AZ$8,'Калькуляция (МИ)'!$AJ$8:$BC$8,0)),'Калькуляция (МИ)'!$F$25:$F$603,$F250,'Калькуляция (МИ)'!$G$25:$G$603,$G250))))</f>
        <v>0</v>
      </c>
      <c r="BA250" s="1104">
        <f>IF(AY250=0,0,(AZ250-AY250)/AY250*100)</f>
        <v>0</v>
      </c>
      <c r="BB250" s="4585">
        <f>IF(AND(method_reg="Метод индексации",god&lt;&gt;first_year),_xlfn.SUMIFS(INDEX('Калькуляция (МИ корр)'!$AJ$25:$BC$606,,MATCH(BB$8,'Калькуляция (МИ корр)'!$AJ$8:$BC$8,0)),'Калькуляция (МИ корр)'!$F$25:$F$606,$F250,'Калькуляция (МИ корр)'!$G$25:$G$606,$G250),IF(method_reg="Метод экономически обоснованных расходов",_xlfn.SUMIFS('Калькуляция (МЭОР)'!$AJ$25:$AJ$367,'Калькуляция (МЭОР)'!$F$25:$F$367,$F250,'Калькуляция (МЭОР)'!$G$25:$G$367,$G250),IF(method_reg="Метод сравнения аналогов",_xlfn.SUMIFS('Калькуляция (МСА)'!$AE$25:$AE$103,'Калькуляция (МСА)'!$F$25:$F$103,$F250,'Калькуляция (МСА)'!$G$25:$G$103,$G250),_xlfn.SUMIFS(INDEX('Калькуляция (МИ)'!$AJ$25:$BC$603,,MATCH(BB$8,'Калькуляция (МИ)'!$AJ$8:$BC$8,0)),'Калькуляция (МИ)'!$F$25:$F$603,$F250,'Калькуляция (МИ)'!$G$25:$G$603,$G250))))</f>
        <v>0</v>
      </c>
      <c r="BC250" s="4585">
        <f>IF(AND(method_reg="Метод индексации",god&lt;&gt;first_year),_xlfn.SUMIFS(INDEX('Калькуляция (МИ корр)'!$AJ$25:$BC$606,,MATCH(BC$8,'Калькуляция (МИ корр)'!$AJ$8:$BC$8,0)),'Калькуляция (МИ корр)'!$F$25:$F$606,$F250,'Калькуляция (МИ корр)'!$G$25:$G$606,$G250),IF(method_reg="Метод экономически обоснованных расходов",_xlfn.SUMIFS('Калькуляция (МЭОР)'!$AK$25:$AK$367,'Калькуляция (МЭОР)'!$F$25:$F$367,$F250,'Калькуляция (МЭОР)'!$G$25:$G$367,$G250),IF(method_reg="Метод сравнения аналогов",_xlfn.SUMIFS('Калькуляция (МСА)'!$AF$25:$AF$103,'Калькуляция (МСА)'!$F$25:$F$103,$F250,'Калькуляция (МСА)'!$G$25:$G$103,$G250),_xlfn.SUMIFS(INDEX('Калькуляция (МИ)'!$AJ$25:$BC$603,,MATCH(BC$8,'Калькуляция (МИ)'!$AJ$8:$BC$8,0)),'Калькуляция (МИ)'!$F$25:$F$603,$F250,'Калькуляция (МИ)'!$G$25:$G$603,$G250))))</f>
        <v>0</v>
      </c>
      <c r="BD250" s="1104">
        <f>IF(BB250=0,0,(BC250-BB250)/BB250*100)</f>
        <v>0</v>
      </c>
      <c r="BE250" s="4585">
        <f>IF(AND(method_reg="Метод индексации",god&lt;&gt;first_year),_xlfn.SUMIFS(INDEX('Калькуляция (МИ корр)'!$AJ$25:$BC$606,,MATCH(BE$8,'Калькуляция (МИ корр)'!$AJ$8:$BC$8,0)),'Калькуляция (МИ корр)'!$F$25:$F$606,$F250,'Калькуляция (МИ корр)'!$G$25:$G$606,$G250),IF(method_reg="Метод экономически обоснованных расходов",_xlfn.SUMIFS('Калькуляция (МЭОР)'!$AJ$25:$AJ$367,'Калькуляция (МЭОР)'!$F$25:$F$367,$F250,'Калькуляция (МЭОР)'!$G$25:$G$367,$G250),IF(method_reg="Метод сравнения аналогов",_xlfn.SUMIFS('Калькуляция (МСА)'!$AE$25:$AE$103,'Калькуляция (МСА)'!$F$25:$F$103,$F250,'Калькуляция (МСА)'!$G$25:$G$103,$G250),_xlfn.SUMIFS(INDEX('Калькуляция (МИ)'!$AJ$25:$BC$603,,MATCH(BE$8,'Калькуляция (МИ)'!$AJ$8:$BC$8,0)),'Калькуляция (МИ)'!$F$25:$F$603,$F250,'Калькуляция (МИ)'!$G$25:$G$603,$G250))))</f>
        <v>0</v>
      </c>
      <c r="BF250" s="4585">
        <f>IF(AND(method_reg="Метод индексации",god&lt;&gt;first_year),_xlfn.SUMIFS(INDEX('Калькуляция (МИ корр)'!$AJ$25:$BC$606,,MATCH(BF$8,'Калькуляция (МИ корр)'!$AJ$8:$BC$8,0)),'Калькуляция (МИ корр)'!$F$25:$F$606,$F250,'Калькуляция (МИ корр)'!$G$25:$G$606,$G250),IF(method_reg="Метод экономически обоснованных расходов",_xlfn.SUMIFS('Калькуляция (МЭОР)'!$AK$25:$AK$367,'Калькуляция (МЭОР)'!$F$25:$F$367,$F250,'Калькуляция (МЭОР)'!$G$25:$G$367,$G250),IF(method_reg="Метод сравнения аналогов",_xlfn.SUMIFS('Калькуляция (МСА)'!$AF$25:$AF$103,'Калькуляция (МСА)'!$F$25:$F$103,$F250,'Калькуляция (МСА)'!$G$25:$G$103,$G250),_xlfn.SUMIFS(INDEX('Калькуляция (МИ)'!$AJ$25:$BC$603,,MATCH(BF$8,'Калькуляция (МИ)'!$AJ$8:$BC$8,0)),'Калькуляция (МИ)'!$F$25:$F$603,$F250,'Калькуляция (МИ)'!$G$25:$G$603,$G250))))</f>
        <v>0</v>
      </c>
      <c r="BG250" s="1104">
        <f>IF(BE250=0,0,(BF250-BE250)/BE250*100)</f>
        <v>0</v>
      </c>
      <c r="BH250" s="4585"/>
      <c r="BI250" s="4585"/>
      <c r="BJ250" s="1104">
        <f>IF(BH250=0,0,(BI250-BH250)/BH250*100)</f>
        <v>0</v>
      </c>
      <c r="BK250" s="4585"/>
      <c r="BL250" s="4585"/>
      <c r="BM250" s="1104">
        <f>IF(BK250=0,0,(BL250-BK250)/BK250*100)</f>
        <v>0</v>
      </c>
      <c r="BN250" s="4585"/>
      <c r="BO250" s="4585"/>
      <c r="BP250" s="1104">
        <f>IF(BN250=0,0,(BO250-BN250)/BN250*100)</f>
        <v>0</v>
      </c>
      <c r="BQ250" s="4585"/>
      <c r="BR250" s="4585"/>
      <c r="BS250" s="1104">
        <f>IF(BQ250=0,0,(BR250-BQ250)/BQ250*100)</f>
        <v>0</v>
      </c>
      <c r="BT250" s="4585"/>
      <c r="BU250" s="4585"/>
      <c r="BV250" s="1104">
        <f>IF(BT250=0,0,(BU250-BT250)/BT250*100)</f>
        <v>0</v>
      </c>
      <c r="BW250" s="4585"/>
      <c r="BX250" s="4585"/>
      <c r="BY250" s="1104">
        <f>IF(BW250=0,0,(BX250-BW250)/BW250*100)</f>
        <v>0</v>
      </c>
      <c r="BZ250" s="4585"/>
      <c r="CA250" s="4585"/>
      <c r="CB250" s="1104">
        <f>IF(BZ250=0,0,(CA250-BZ250)/BZ250*100)</f>
        <v>0</v>
      </c>
      <c r="CC250" s="4585"/>
      <c r="CD250" s="4585"/>
      <c r="CE250" s="1104">
        <f>IF(CC250=0,0,(CD250-CC250)/CC250*100)</f>
        <v>0</v>
      </c>
      <c r="CF250" s="4585"/>
      <c r="CG250" s="4585"/>
      <c r="CH250" s="1104">
        <f>IF(CF250=0,0,(CG250-CF250)/CF250*100)</f>
        <v>0</v>
      </c>
      <c r="CI250" s="4585"/>
      <c r="CJ250" s="4585"/>
      <c r="CK250" s="1104">
        <f>IF(CI250=0,0,(CJ250-CI250)/CI250*100)</f>
        <v>0</v>
      </c>
      <c r="CL250" s="4585"/>
      <c r="CM250" s="4585"/>
      <c r="CN250" s="1104">
        <f>IF(CL250=0,0,(CM250-CL250)/CL250*100)</f>
        <v>0</v>
      </c>
      <c r="CO250" s="4585"/>
      <c r="CP250" s="4585"/>
      <c r="CQ250" s="1104">
        <f>IF(CO250=0,0,(CP250-CO250)/CO250*100)</f>
        <v>0</v>
      </c>
      <c r="CR250" s="4585"/>
      <c r="CS250" s="4585"/>
      <c r="CT250" s="1104">
        <f>IF(CR250=0,0,(CS250-CR250)/CR250*100)</f>
        <v>0</v>
      </c>
      <c r="CU250" s="4585"/>
      <c r="CV250" s="4585"/>
      <c r="CW250" s="1104">
        <f>IF(CU250=0,0,(CV250-CU250)/CU250*100)</f>
        <v>0</v>
      </c>
      <c r="CX250" s="4585"/>
      <c r="CY250" s="4585"/>
      <c r="CZ250" s="1104">
        <f>IF(CX250=0,0,(CY250-CX250)/CX250*100)</f>
        <v>0</v>
      </c>
      <c r="DA250" s="4585"/>
      <c r="DB250" s="4585"/>
      <c r="DC250" s="1104">
        <f>IF(DA250=0,0,(DB250-DA250)/DA250*100)</f>
        <v>0</v>
      </c>
      <c r="DD250" s="4585"/>
      <c r="DE250" s="4585"/>
      <c r="DF250" s="1104">
        <f>IF(DD250=0,0,(DE250-DD250)/DD250*100)</f>
        <v>0</v>
      </c>
      <c r="DG250" s="4585"/>
      <c r="DH250" s="4585"/>
      <c r="DI250" s="1104">
        <f>IF(DG250=0,0,(DH250-DG250)/DG250*100)</f>
        <v>0</v>
      </c>
      <c r="DJ250" s="4585"/>
      <c r="DK250" s="4585"/>
      <c r="DL250" s="1104">
        <f>IF(DJ250=0,0,(DK250-DJ250)/DJ250*100)</f>
        <v>0</v>
      </c>
      <c r="DM250" s="4585"/>
      <c r="DN250" s="4585"/>
      <c r="DO250" s="1104">
        <f>IF(DM250=0,0,(DN250-DM250)/DM250*100)</f>
        <v>0</v>
      </c>
      <c r="DP250" s="4585"/>
      <c r="DQ250" s="4585"/>
      <c r="DR250" s="1104">
        <f>IF(DP250=0,0,(DQ250-DP250)/DP250*100)</f>
        <v>0</v>
      </c>
      <c r="DS250" s="4585"/>
      <c r="DT250" s="4585"/>
      <c r="DU250" s="1104">
        <f>IF(DS250=0,0,(DT250-DS250)/DS250*100)</f>
        <v>0</v>
      </c>
      <c r="DV250" s="4585"/>
      <c r="DW250" s="4585"/>
      <c r="DX250" s="1104">
        <f>IF(DV250=0,0,(DW250-DV250)/DV250*100)</f>
        <v>0</v>
      </c>
      <c r="DY250" s="4585"/>
      <c r="DZ250" s="4585"/>
      <c r="EA250" s="1104">
        <f>IF(DY250=0,0,(DZ250-DY250)/DY250*100)</f>
        <v>0</v>
      </c>
      <c r="EB250" s="4585"/>
      <c r="EC250" s="4585"/>
      <c r="ED250" s="1104">
        <f>IF(EB250=0,0,(EC250-EB250)/EB250*100)</f>
        <v>0</v>
      </c>
      <c r="EE250" s="4585"/>
      <c r="EF250" s="4585"/>
      <c r="EG250" s="1104">
        <f>IF(EE250=0,0,(EF250-EE250)/EE250*100)</f>
        <v>0</v>
      </c>
      <c r="EH250" s="4585"/>
      <c r="EI250" s="4585"/>
      <c r="EJ250" s="1104">
        <f>IF(EH250=0,0,(EI250-EH250)/EH250*100)</f>
        <v>0</v>
      </c>
      <c r="EK250" s="4585"/>
      <c r="EL250" s="4585"/>
      <c r="EM250" s="1104">
        <f>IF(EK250=0,0,(EL250-EK250)/EK250*100)</f>
        <v>0</v>
      </c>
      <c r="EN250" s="4585"/>
      <c r="EO250" s="4585"/>
      <c r="EP250" s="1104">
        <f>IF(EN250=0,0,(EO250-EN250)/EN250*100)</f>
        <v>0</v>
      </c>
      <c r="EQ250" s="4585"/>
      <c r="ER250" s="4585"/>
      <c r="ES250" s="1104">
        <f>IF(EQ250=0,0,(ER250-EQ250)/EQ250*100)</f>
        <v>0</v>
      </c>
      <c r="ET250" s="4585"/>
      <c r="EU250" s="4585"/>
      <c r="EV250" s="1104">
        <f>IF(ET250=0,0,(EU250-ET250)/ET250*100)</f>
        <v>0</v>
      </c>
      <c r="EW250" s="4585"/>
      <c r="EX250" s="4585"/>
      <c r="EY250" s="1104">
        <f>IF(EW250=0,0,(EX250-EW250)/EW250*100)</f>
        <v>0</v>
      </c>
      <c r="EZ250" s="4585"/>
      <c r="FA250" s="4585"/>
      <c r="FB250" s="1104">
        <f>IF(EZ250=0,0,(FA250-EZ250)/EZ250*100)</f>
        <v>0</v>
      </c>
      <c r="FC250" s="4585"/>
      <c r="FD250" s="4585"/>
      <c r="FE250" s="1104">
        <f>IF(FC250=0,0,(FD250-FC250)/FC250*100)</f>
        <v>0</v>
      </c>
      <c r="FF250" s="4585"/>
      <c r="FG250" s="4585"/>
      <c r="FH250" s="1104">
        <f>IF(FF250=0,0,(FG250-FF250)/FF250*100)</f>
        <v>0</v>
      </c>
      <c r="FI250" s="4585"/>
      <c r="FJ250" s="4585"/>
      <c r="FK250" s="1104">
        <f>IF(FI250=0,0,(FJ250-FI250)/FI250*100)</f>
        <v>0</v>
      </c>
      <c r="FL250" s="4585"/>
      <c r="FM250" s="4585"/>
      <c r="FN250" s="1104">
        <f>IF(FL250=0,0,(FM250-FL250)/FL250*100)</f>
        <v>0</v>
      </c>
      <c r="FO250" s="4585"/>
      <c r="FP250" s="4585"/>
      <c r="FQ250" s="1104">
        <f>IF(FO250=0,0,(FP250-FO250)/FO250*100)</f>
        <v>0</v>
      </c>
      <c r="FR250" s="4585"/>
      <c r="FS250" s="4585"/>
      <c r="FT250" s="1104">
        <f>IF(FR250=0,0,(FS250-FR250)/FR250*100)</f>
        <v>0</v>
      </c>
      <c r="FU250" s="4585"/>
      <c r="FV250" s="4585"/>
      <c r="FW250" s="1104">
        <f>IF(FU250=0,0,(FV250-FU250)/FU250*100)</f>
        <v>0</v>
      </c>
      <c r="FX250" s="288"/>
      <c r="FY250" s="1328"/>
      <c r="FZ250" s="1063" t="s">
        <v>1873</v>
      </c>
      <c r="GA250" s="1330"/>
      <c r="GB250" s="1330"/>
      <c r="GC250" s="1329"/>
      <c r="GD250" s="1329"/>
    </row>
    <row s="5550" customFormat="1" customHeight="1" ht="24.421875">
      <c r="A251" s="904"/>
      <c r="B251" s="932" cm="1" t="str">
        <f t="array" ref="B251:B251">B250</f>
        <v>true</v>
      </c>
      <c r="C251" s="904"/>
      <c r="D251" s="904"/>
      <c r="E251" s="905">
        <v>24.5</v>
      </c>
      <c r="F251" s="50" cm="1" t="str">
        <f t="array" ref="F251:F251">OFFSET(E251,-1,1)</f>
        <v>3</v>
      </c>
      <c r="G251" s="103" t="s">
        <v>1874</v>
      </c>
      <c r="H251" s="496" t="s">
        <v>566</v>
      </c>
      <c r="I251" s="496" t="s">
        <v>1875</v>
      </c>
      <c r="J251" s="904"/>
      <c r="K251" s="904"/>
      <c r="L251" s="496"/>
      <c r="M251" s="904"/>
      <c r="N251" s="904"/>
      <c r="O251" s="904"/>
      <c r="P251" s="904"/>
      <c r="Q251" s="904"/>
      <c r="R251" s="496"/>
      <c r="S251" s="496"/>
      <c r="T251" s="468" cm="1" t="str">
        <f t="array" ref="T251:T251">T250</f>
        <v>true</v>
      </c>
      <c r="U251" s="904"/>
      <c r="V251" s="904"/>
      <c r="W251" s="904"/>
      <c r="X251" s="1559"/>
      <c r="Y251" s="904"/>
      <c r="Z251" s="1528"/>
      <c r="AA251" s="904"/>
      <c r="AB251" s="289" t="s">
        <v>1876</v>
      </c>
      <c r="AC251" s="290" t="s">
        <v>1862</v>
      </c>
      <c r="AD251" s="906">
        <f>AD247*1.22</f>
        <v>195.391155631312</v>
      </c>
      <c r="AE251" s="906">
        <f>AE247*1.22</f>
        <v>66.2948</v>
      </c>
      <c r="AF251" s="292">
        <f>IF(AD251=0,0,(AE251-AD251)/AD251*100)</f>
        <v>-66.0707262896315</v>
      </c>
      <c r="AG251" s="4576">
        <f>IF(AND(method_reg="Метод индексации",god&lt;&gt;first_year),_xlfn.SUMIFS(INDEX('Калькуляция (МИ корр)'!$AJ$25:$BC$606,,MATCH(AG$8,'Калькуляция (МИ корр)'!$AJ$8:$BC$8,0)),'Калькуляция (МИ корр)'!$F$25:$F$606,$F251,'Калькуляция (МИ корр)'!$G$25:$G$606,$G251),IF(method_reg="Метод экономически обоснованных расходов",_xlfn.SUMIFS('Калькуляция (МЭОР)'!$AJ$25:$AJ$367,'Калькуляция (МЭОР)'!$F$25:$F$367,$F251,'Калькуляция (МЭОР)'!$G$25:$G$367,$G251),IF(method_reg="Метод сравнения аналогов",_xlfn.SUMIFS('Калькуляция (МСА)'!$AE$25:$AE$103,'Калькуляция (МСА)'!$F$25:$F$103,$F251,'Калькуляция (МСА)'!$G$25:$G$103,$G251),_xlfn.SUMIFS(INDEX('Калькуляция (МИ)'!$AJ$25:$BC$603,,MATCH(AG$8,'Калькуляция (МИ)'!$AJ$8:$BC$8,0)),'Калькуляция (МИ)'!$F$25:$F$603,$F251,'Калькуляция (МИ)'!$G$25:$G$603,$G251))))</f>
        <v>0</v>
      </c>
      <c r="AH251" s="4576">
        <f>IF(AND(method_reg="Метод индексации",god&lt;&gt;first_year),_xlfn.SUMIFS(INDEX('Калькуляция (МИ корр)'!$AJ$25:$BC$606,,MATCH(AH$8,'Калькуляция (МИ корр)'!$AJ$8:$BC$8,0)),'Калькуляция (МИ корр)'!$F$25:$F$606,$F251,'Калькуляция (МИ корр)'!$G$25:$G$606,$G251),IF(method_reg="Метод экономически обоснованных расходов",_xlfn.SUMIFS('Калькуляция (МЭОР)'!$AK$25:$AK$367,'Калькуляция (МЭОР)'!$F$25:$F$367,$F251,'Калькуляция (МЭОР)'!$G$25:$G$367,$G251),IF(method_reg="Метод сравнения аналогов",_xlfn.SUMIFS('Калькуляция (МСА)'!$AF$25:$AF$103,'Калькуляция (МСА)'!$F$25:$F$103,$F251,'Калькуляция (МСА)'!$G$25:$G$103,$G251),_xlfn.SUMIFS(INDEX('Калькуляция (МИ)'!$AJ$25:$BC$603,,MATCH(AH$8,'Калькуляция (МИ)'!$AJ$8:$BC$8,0)),'Калькуляция (МИ)'!$F$25:$F$603,$F251,'Калькуляция (МИ)'!$G$25:$G$603,$G251))))</f>
        <v>0</v>
      </c>
      <c r="AI251" s="292">
        <f>IF(AG251=0,0,(AH251-AG251)/AG251*100)</f>
        <v>0</v>
      </c>
      <c r="AJ251" s="4576">
        <f>IF(AND(method_reg="Метод индексации",god&lt;&gt;first_year),_xlfn.SUMIFS(INDEX('Калькуляция (МИ корр)'!$AJ$25:$BC$606,,MATCH(AJ$8,'Калькуляция (МИ корр)'!$AJ$8:$BC$8,0)),'Калькуляция (МИ корр)'!$F$25:$F$606,$F251,'Калькуляция (МИ корр)'!$G$25:$G$606,$G251),IF(method_reg="Метод экономически обоснованных расходов",_xlfn.SUMIFS('Калькуляция (МЭОР)'!$AJ$25:$AJ$367,'Калькуляция (МЭОР)'!$F$25:$F$367,$F251,'Калькуляция (МЭОР)'!$G$25:$G$367,$G251),IF(method_reg="Метод сравнения аналогов",_xlfn.SUMIFS('Калькуляция (МСА)'!$AE$25:$AE$103,'Калькуляция (МСА)'!$F$25:$F$103,$F251,'Калькуляция (МСА)'!$G$25:$G$103,$G251),_xlfn.SUMIFS(INDEX('Калькуляция (МИ)'!$AJ$25:$BC$603,,MATCH(AJ$8,'Калькуляция (МИ)'!$AJ$8:$BC$8,0)),'Калькуляция (МИ)'!$F$25:$F$603,$F251,'Калькуляция (МИ)'!$G$25:$G$603,$G251))))</f>
        <v>0</v>
      </c>
      <c r="AK251" s="4576">
        <f>IF(AND(method_reg="Метод индексации",god&lt;&gt;first_year),_xlfn.SUMIFS(INDEX('Калькуляция (МИ корр)'!$AJ$25:$BC$606,,MATCH(AK$8,'Калькуляция (МИ корр)'!$AJ$8:$BC$8,0)),'Калькуляция (МИ корр)'!$F$25:$F$606,$F251,'Калькуляция (МИ корр)'!$G$25:$G$606,$G251),IF(method_reg="Метод экономически обоснованных расходов",_xlfn.SUMIFS('Калькуляция (МЭОР)'!$AK$25:$AK$367,'Калькуляция (МЭОР)'!$F$25:$F$367,$F251,'Калькуляция (МЭОР)'!$G$25:$G$367,$G251),IF(method_reg="Метод сравнения аналогов",_xlfn.SUMIFS('Калькуляция (МСА)'!$AF$25:$AF$103,'Калькуляция (МСА)'!$F$25:$F$103,$F251,'Калькуляция (МСА)'!$G$25:$G$103,$G251),_xlfn.SUMIFS(INDEX('Калькуляция (МИ)'!$AJ$25:$BC$603,,MATCH(AK$8,'Калькуляция (МИ)'!$AJ$8:$BC$8,0)),'Калькуляция (МИ)'!$F$25:$F$603,$F251,'Калькуляция (МИ)'!$G$25:$G$603,$G251))))</f>
        <v>0</v>
      </c>
      <c r="AL251" s="292">
        <f>IF(AJ251=0,0,(AK251-AJ251)/AJ251*100)</f>
        <v>0</v>
      </c>
      <c r="AM251" s="4576">
        <f>IF(AND(method_reg="Метод индексации",god&lt;&gt;first_year),_xlfn.SUMIFS(INDEX('Калькуляция (МИ корр)'!$AJ$25:$BC$606,,MATCH(AM$8,'Калькуляция (МИ корр)'!$AJ$8:$BC$8,0)),'Калькуляция (МИ корр)'!$F$25:$F$606,$F251,'Калькуляция (МИ корр)'!$G$25:$G$606,$G251),IF(method_reg="Метод экономически обоснованных расходов",_xlfn.SUMIFS('Калькуляция (МЭОР)'!$AJ$25:$AJ$367,'Калькуляция (МЭОР)'!$F$25:$F$367,$F251,'Калькуляция (МЭОР)'!$G$25:$G$367,$G251),IF(method_reg="Метод сравнения аналогов",_xlfn.SUMIFS('Калькуляция (МСА)'!$AE$25:$AE$103,'Калькуляция (МСА)'!$F$25:$F$103,$F251,'Калькуляция (МСА)'!$G$25:$G$103,$G251),_xlfn.SUMIFS(INDEX('Калькуляция (МИ)'!$AJ$25:$BC$603,,MATCH(AM$8,'Калькуляция (МИ)'!$AJ$8:$BC$8,0)),'Калькуляция (МИ)'!$F$25:$F$603,$F251,'Калькуляция (МИ)'!$G$25:$G$603,$G251))))</f>
        <v>0</v>
      </c>
      <c r="AN251" s="4576">
        <f>IF(AND(method_reg="Метод индексации",god&lt;&gt;first_year),_xlfn.SUMIFS(INDEX('Калькуляция (МИ корр)'!$AJ$25:$BC$606,,MATCH(AN$8,'Калькуляция (МИ корр)'!$AJ$8:$BC$8,0)),'Калькуляция (МИ корр)'!$F$25:$F$606,$F251,'Калькуляция (МИ корр)'!$G$25:$G$606,$G251),IF(method_reg="Метод экономически обоснованных расходов",_xlfn.SUMIFS('Калькуляция (МЭОР)'!$AK$25:$AK$367,'Калькуляция (МЭОР)'!$F$25:$F$367,$F251,'Калькуляция (МЭОР)'!$G$25:$G$367,$G251),IF(method_reg="Метод сравнения аналогов",_xlfn.SUMIFS('Калькуляция (МСА)'!$AF$25:$AF$103,'Калькуляция (МСА)'!$F$25:$F$103,$F251,'Калькуляция (МСА)'!$G$25:$G$103,$G251),_xlfn.SUMIFS(INDEX('Калькуляция (МИ)'!$AJ$25:$BC$603,,MATCH(AN$8,'Калькуляция (МИ)'!$AJ$8:$BC$8,0)),'Калькуляция (МИ)'!$F$25:$F$603,$F251,'Калькуляция (МИ)'!$G$25:$G$603,$G251))))</f>
        <v>0</v>
      </c>
      <c r="AO251" s="292">
        <f>IF(AM251=0,0,(AN251-AM251)/AM251*100)</f>
        <v>0</v>
      </c>
      <c r="AP251" s="4576">
        <f>IF(AND(method_reg="Метод индексации",god&lt;&gt;first_year),_xlfn.SUMIFS(INDEX('Калькуляция (МИ корр)'!$AJ$25:$BC$606,,MATCH(AP$8,'Калькуляция (МИ корр)'!$AJ$8:$BC$8,0)),'Калькуляция (МИ корр)'!$F$25:$F$606,$F251,'Калькуляция (МИ корр)'!$G$25:$G$606,$G251),IF(method_reg="Метод экономически обоснованных расходов",_xlfn.SUMIFS('Калькуляция (МЭОР)'!$AJ$25:$AJ$367,'Калькуляция (МЭОР)'!$F$25:$F$367,$F251,'Калькуляция (МЭОР)'!$G$25:$G$367,$G251),IF(method_reg="Метод сравнения аналогов",_xlfn.SUMIFS('Калькуляция (МСА)'!$AE$25:$AE$103,'Калькуляция (МСА)'!$F$25:$F$103,$F251,'Калькуляция (МСА)'!$G$25:$G$103,$G251),_xlfn.SUMIFS(INDEX('Калькуляция (МИ)'!$AJ$25:$BC$603,,MATCH(AP$8,'Калькуляция (МИ)'!$AJ$8:$BC$8,0)),'Калькуляция (МИ)'!$F$25:$F$603,$F251,'Калькуляция (МИ)'!$G$25:$G$603,$G251))))</f>
        <v>0</v>
      </c>
      <c r="AQ251" s="4576">
        <f>IF(AND(method_reg="Метод индексации",god&lt;&gt;first_year),_xlfn.SUMIFS(INDEX('Калькуляция (МИ корр)'!$AJ$25:$BC$606,,MATCH(AQ$8,'Калькуляция (МИ корр)'!$AJ$8:$BC$8,0)),'Калькуляция (МИ корр)'!$F$25:$F$606,$F251,'Калькуляция (МИ корр)'!$G$25:$G$606,$G251),IF(method_reg="Метод экономически обоснованных расходов",_xlfn.SUMIFS('Калькуляция (МЭОР)'!$AK$25:$AK$367,'Калькуляция (МЭОР)'!$F$25:$F$367,$F251,'Калькуляция (МЭОР)'!$G$25:$G$367,$G251),IF(method_reg="Метод сравнения аналогов",_xlfn.SUMIFS('Калькуляция (МСА)'!$AF$25:$AF$103,'Калькуляция (МСА)'!$F$25:$F$103,$F251,'Калькуляция (МСА)'!$G$25:$G$103,$G251),_xlfn.SUMIFS(INDEX('Калькуляция (МИ)'!$AJ$25:$BC$603,,MATCH(AQ$8,'Калькуляция (МИ)'!$AJ$8:$BC$8,0)),'Калькуляция (МИ)'!$F$25:$F$603,$F251,'Калькуляция (МИ)'!$G$25:$G$603,$G251))))</f>
        <v>0</v>
      </c>
      <c r="AR251" s="292">
        <f>IF(AP251=0,0,(AQ251-AP251)/AP251*100)</f>
        <v>0</v>
      </c>
      <c r="AS251" s="4576">
        <f>IF(AND(method_reg="Метод индексации",god&lt;&gt;first_year),_xlfn.SUMIFS(INDEX('Калькуляция (МИ корр)'!$AJ$25:$BC$606,,MATCH(AS$8,'Калькуляция (МИ корр)'!$AJ$8:$BC$8,0)),'Калькуляция (МИ корр)'!$F$25:$F$606,$F251,'Калькуляция (МИ корр)'!$G$25:$G$606,$G251),IF(method_reg="Метод экономически обоснованных расходов",_xlfn.SUMIFS('Калькуляция (МЭОР)'!$AJ$25:$AJ$367,'Калькуляция (МЭОР)'!$F$25:$F$367,$F251,'Калькуляция (МЭОР)'!$G$25:$G$367,$G251),IF(method_reg="Метод сравнения аналогов",_xlfn.SUMIFS('Калькуляция (МСА)'!$AE$25:$AE$103,'Калькуляция (МСА)'!$F$25:$F$103,$F251,'Калькуляция (МСА)'!$G$25:$G$103,$G251),_xlfn.SUMIFS(INDEX('Калькуляция (МИ)'!$AJ$25:$BC$603,,MATCH(AS$8,'Калькуляция (МИ)'!$AJ$8:$BC$8,0)),'Калькуляция (МИ)'!$F$25:$F$603,$F251,'Калькуляция (МИ)'!$G$25:$G$603,$G251))))</f>
        <v>0</v>
      </c>
      <c r="AT251" s="4576">
        <f>IF(AND(method_reg="Метод индексации",god&lt;&gt;first_year),_xlfn.SUMIFS(INDEX('Калькуляция (МИ корр)'!$AJ$25:$BC$606,,MATCH(AT$8,'Калькуляция (МИ корр)'!$AJ$8:$BC$8,0)),'Калькуляция (МИ корр)'!$F$25:$F$606,$F251,'Калькуляция (МИ корр)'!$G$25:$G$606,$G251),IF(method_reg="Метод экономически обоснованных расходов",_xlfn.SUMIFS('Калькуляция (МЭОР)'!$AK$25:$AK$367,'Калькуляция (МЭОР)'!$F$25:$F$367,$F251,'Калькуляция (МЭОР)'!$G$25:$G$367,$G251),IF(method_reg="Метод сравнения аналогов",_xlfn.SUMIFS('Калькуляция (МСА)'!$AF$25:$AF$103,'Калькуляция (МСА)'!$F$25:$F$103,$F251,'Калькуляция (МСА)'!$G$25:$G$103,$G251),_xlfn.SUMIFS(INDEX('Калькуляция (МИ)'!$AJ$25:$BC$603,,MATCH(AT$8,'Калькуляция (МИ)'!$AJ$8:$BC$8,0)),'Калькуляция (МИ)'!$F$25:$F$603,$F251,'Калькуляция (МИ)'!$G$25:$G$603,$G251))))</f>
        <v>0</v>
      </c>
      <c r="AU251" s="292">
        <f>IF(AS251=0,0,(AT251-AS251)/AS251*100)</f>
        <v>0</v>
      </c>
      <c r="AV251" s="4576">
        <f>IF(AND(method_reg="Метод индексации",god&lt;&gt;first_year),_xlfn.SUMIFS(INDEX('Калькуляция (МИ корр)'!$AJ$25:$BC$606,,MATCH(AV$8,'Калькуляция (МИ корр)'!$AJ$8:$BC$8,0)),'Калькуляция (МИ корр)'!$F$25:$F$606,$F251,'Калькуляция (МИ корр)'!$G$25:$G$606,$G251),IF(method_reg="Метод экономически обоснованных расходов",_xlfn.SUMIFS('Калькуляция (МЭОР)'!$AJ$25:$AJ$367,'Калькуляция (МЭОР)'!$F$25:$F$367,$F251,'Калькуляция (МЭОР)'!$G$25:$G$367,$G251),IF(method_reg="Метод сравнения аналогов",_xlfn.SUMIFS('Калькуляция (МСА)'!$AE$25:$AE$103,'Калькуляция (МСА)'!$F$25:$F$103,$F251,'Калькуляция (МСА)'!$G$25:$G$103,$G251),_xlfn.SUMIFS(INDEX('Калькуляция (МИ)'!$AJ$25:$BC$603,,MATCH(AV$8,'Калькуляция (МИ)'!$AJ$8:$BC$8,0)),'Калькуляция (МИ)'!$F$25:$F$603,$F251,'Калькуляция (МИ)'!$G$25:$G$603,$G251))))</f>
        <v>0</v>
      </c>
      <c r="AW251" s="4576">
        <f>IF(AND(method_reg="Метод индексации",god&lt;&gt;first_year),_xlfn.SUMIFS(INDEX('Калькуляция (МИ корр)'!$AJ$25:$BC$606,,MATCH(AW$8,'Калькуляция (МИ корр)'!$AJ$8:$BC$8,0)),'Калькуляция (МИ корр)'!$F$25:$F$606,$F251,'Калькуляция (МИ корр)'!$G$25:$G$606,$G251),IF(method_reg="Метод экономически обоснованных расходов",_xlfn.SUMIFS('Калькуляция (МЭОР)'!$AK$25:$AK$367,'Калькуляция (МЭОР)'!$F$25:$F$367,$F251,'Калькуляция (МЭОР)'!$G$25:$G$367,$G251),IF(method_reg="Метод сравнения аналогов",_xlfn.SUMIFS('Калькуляция (МСА)'!$AF$25:$AF$103,'Калькуляция (МСА)'!$F$25:$F$103,$F251,'Калькуляция (МСА)'!$G$25:$G$103,$G251),_xlfn.SUMIFS(INDEX('Калькуляция (МИ)'!$AJ$25:$BC$603,,MATCH(AW$8,'Калькуляция (МИ)'!$AJ$8:$BC$8,0)),'Калькуляция (МИ)'!$F$25:$F$603,$F251,'Калькуляция (МИ)'!$G$25:$G$603,$G251))))</f>
        <v>0</v>
      </c>
      <c r="AX251" s="292">
        <f>IF(AV251=0,0,(AW251-AV251)/AV251*100)</f>
        <v>0</v>
      </c>
      <c r="AY251" s="4576">
        <f>IF(AND(method_reg="Метод индексации",god&lt;&gt;first_year),_xlfn.SUMIFS(INDEX('Калькуляция (МИ корр)'!$AJ$25:$BC$606,,MATCH(AY$8,'Калькуляция (МИ корр)'!$AJ$8:$BC$8,0)),'Калькуляция (МИ корр)'!$F$25:$F$606,$F251,'Калькуляция (МИ корр)'!$G$25:$G$606,$G251),IF(method_reg="Метод экономически обоснованных расходов",_xlfn.SUMIFS('Калькуляция (МЭОР)'!$AJ$25:$AJ$367,'Калькуляция (МЭОР)'!$F$25:$F$367,$F251,'Калькуляция (МЭОР)'!$G$25:$G$367,$G251),IF(method_reg="Метод сравнения аналогов",_xlfn.SUMIFS('Калькуляция (МСА)'!$AE$25:$AE$103,'Калькуляция (МСА)'!$F$25:$F$103,$F251,'Калькуляция (МСА)'!$G$25:$G$103,$G251),_xlfn.SUMIFS(INDEX('Калькуляция (МИ)'!$AJ$25:$BC$603,,MATCH(AY$8,'Калькуляция (МИ)'!$AJ$8:$BC$8,0)),'Калькуляция (МИ)'!$F$25:$F$603,$F251,'Калькуляция (МИ)'!$G$25:$G$603,$G251))))</f>
        <v>0</v>
      </c>
      <c r="AZ251" s="4576">
        <f>IF(AND(method_reg="Метод индексации",god&lt;&gt;first_year),_xlfn.SUMIFS(INDEX('Калькуляция (МИ корр)'!$AJ$25:$BC$606,,MATCH(AZ$8,'Калькуляция (МИ корр)'!$AJ$8:$BC$8,0)),'Калькуляция (МИ корр)'!$F$25:$F$606,$F251,'Калькуляция (МИ корр)'!$G$25:$G$606,$G251),IF(method_reg="Метод экономически обоснованных расходов",_xlfn.SUMIFS('Калькуляция (МЭОР)'!$AK$25:$AK$367,'Калькуляция (МЭОР)'!$F$25:$F$367,$F251,'Калькуляция (МЭОР)'!$G$25:$G$367,$G251),IF(method_reg="Метод сравнения аналогов",_xlfn.SUMIFS('Калькуляция (МСА)'!$AF$25:$AF$103,'Калькуляция (МСА)'!$F$25:$F$103,$F251,'Калькуляция (МСА)'!$G$25:$G$103,$G251),_xlfn.SUMIFS(INDEX('Калькуляция (МИ)'!$AJ$25:$BC$603,,MATCH(AZ$8,'Калькуляция (МИ)'!$AJ$8:$BC$8,0)),'Калькуляция (МИ)'!$F$25:$F$603,$F251,'Калькуляция (МИ)'!$G$25:$G$603,$G251))))</f>
        <v>0</v>
      </c>
      <c r="BA251" s="292">
        <f>IF(AY251=0,0,(AZ251-AY251)/AY251*100)</f>
        <v>0</v>
      </c>
      <c r="BB251" s="4576">
        <f>IF(AND(method_reg="Метод индексации",god&lt;&gt;first_year),_xlfn.SUMIFS(INDEX('Калькуляция (МИ корр)'!$AJ$25:$BC$606,,MATCH(BB$8,'Калькуляция (МИ корр)'!$AJ$8:$BC$8,0)),'Калькуляция (МИ корр)'!$F$25:$F$606,$F251,'Калькуляция (МИ корр)'!$G$25:$G$606,$G251),IF(method_reg="Метод экономически обоснованных расходов",_xlfn.SUMIFS('Калькуляция (МЭОР)'!$AJ$25:$AJ$367,'Калькуляция (МЭОР)'!$F$25:$F$367,$F251,'Калькуляция (МЭОР)'!$G$25:$G$367,$G251),IF(method_reg="Метод сравнения аналогов",_xlfn.SUMIFS('Калькуляция (МСА)'!$AE$25:$AE$103,'Калькуляция (МСА)'!$F$25:$F$103,$F251,'Калькуляция (МСА)'!$G$25:$G$103,$G251),_xlfn.SUMIFS(INDEX('Калькуляция (МИ)'!$AJ$25:$BC$603,,MATCH(BB$8,'Калькуляция (МИ)'!$AJ$8:$BC$8,0)),'Калькуляция (МИ)'!$F$25:$F$603,$F251,'Калькуляция (МИ)'!$G$25:$G$603,$G251))))</f>
        <v>0</v>
      </c>
      <c r="BC251" s="4576">
        <f>IF(AND(method_reg="Метод индексации",god&lt;&gt;first_year),_xlfn.SUMIFS(INDEX('Калькуляция (МИ корр)'!$AJ$25:$BC$606,,MATCH(BC$8,'Калькуляция (МИ корр)'!$AJ$8:$BC$8,0)),'Калькуляция (МИ корр)'!$F$25:$F$606,$F251,'Калькуляция (МИ корр)'!$G$25:$G$606,$G251),IF(method_reg="Метод экономически обоснованных расходов",_xlfn.SUMIFS('Калькуляция (МЭОР)'!$AK$25:$AK$367,'Калькуляция (МЭОР)'!$F$25:$F$367,$F251,'Калькуляция (МЭОР)'!$G$25:$G$367,$G251),IF(method_reg="Метод сравнения аналогов",_xlfn.SUMIFS('Калькуляция (МСА)'!$AF$25:$AF$103,'Калькуляция (МСА)'!$F$25:$F$103,$F251,'Калькуляция (МСА)'!$G$25:$G$103,$G251),_xlfn.SUMIFS(INDEX('Калькуляция (МИ)'!$AJ$25:$BC$603,,MATCH(BC$8,'Калькуляция (МИ)'!$AJ$8:$BC$8,0)),'Калькуляция (МИ)'!$F$25:$F$603,$F251,'Калькуляция (МИ)'!$G$25:$G$603,$G251))))</f>
        <v>0</v>
      </c>
      <c r="BD251" s="292">
        <f>IF(BB251=0,0,(BC251-BB251)/BB251*100)</f>
        <v>0</v>
      </c>
      <c r="BE251" s="4576">
        <f>IF(AND(method_reg="Метод индексации",god&lt;&gt;first_year),_xlfn.SUMIFS(INDEX('Калькуляция (МИ корр)'!$AJ$25:$BC$606,,MATCH(BE$8,'Калькуляция (МИ корр)'!$AJ$8:$BC$8,0)),'Калькуляция (МИ корр)'!$F$25:$F$606,$F251,'Калькуляция (МИ корр)'!$G$25:$G$606,$G251),IF(method_reg="Метод экономически обоснованных расходов",_xlfn.SUMIFS('Калькуляция (МЭОР)'!$AJ$25:$AJ$367,'Калькуляция (МЭОР)'!$F$25:$F$367,$F251,'Калькуляция (МЭОР)'!$G$25:$G$367,$G251),IF(method_reg="Метод сравнения аналогов",_xlfn.SUMIFS('Калькуляция (МСА)'!$AE$25:$AE$103,'Калькуляция (МСА)'!$F$25:$F$103,$F251,'Калькуляция (МСА)'!$G$25:$G$103,$G251),_xlfn.SUMIFS(INDEX('Калькуляция (МИ)'!$AJ$25:$BC$603,,MATCH(BE$8,'Калькуляция (МИ)'!$AJ$8:$BC$8,0)),'Калькуляция (МИ)'!$F$25:$F$603,$F251,'Калькуляция (МИ)'!$G$25:$G$603,$G251))))</f>
        <v>0</v>
      </c>
      <c r="BF251" s="4576">
        <f>IF(AND(method_reg="Метод индексации",god&lt;&gt;first_year),_xlfn.SUMIFS(INDEX('Калькуляция (МИ корр)'!$AJ$25:$BC$606,,MATCH(BF$8,'Калькуляция (МИ корр)'!$AJ$8:$BC$8,0)),'Калькуляция (МИ корр)'!$F$25:$F$606,$F251,'Калькуляция (МИ корр)'!$G$25:$G$606,$G251),IF(method_reg="Метод экономически обоснованных расходов",_xlfn.SUMIFS('Калькуляция (МЭОР)'!$AK$25:$AK$367,'Калькуляция (МЭОР)'!$F$25:$F$367,$F251,'Калькуляция (МЭОР)'!$G$25:$G$367,$G251),IF(method_reg="Метод сравнения аналогов",_xlfn.SUMIFS('Калькуляция (МСА)'!$AF$25:$AF$103,'Калькуляция (МСА)'!$F$25:$F$103,$F251,'Калькуляция (МСА)'!$G$25:$G$103,$G251),_xlfn.SUMIFS(INDEX('Калькуляция (МИ)'!$AJ$25:$BC$603,,MATCH(BF$8,'Калькуляция (МИ)'!$AJ$8:$BC$8,0)),'Калькуляция (МИ)'!$F$25:$F$603,$F251,'Калькуляция (МИ)'!$G$25:$G$603,$G251))))</f>
        <v>0</v>
      </c>
      <c r="BG251" s="292">
        <f>IF(BE251=0,0,(BF251-BE251)/BE251*100)</f>
        <v>0</v>
      </c>
      <c r="BH251" s="4576"/>
      <c r="BI251" s="4576"/>
      <c r="BJ251" s="292">
        <f>IF(BH251=0,0,(BI251-BH251)/BH251*100)</f>
        <v>0</v>
      </c>
      <c r="BK251" s="4576"/>
      <c r="BL251" s="4576"/>
      <c r="BM251" s="292">
        <f>IF(BK251=0,0,(BL251-BK251)/BK251*100)</f>
        <v>0</v>
      </c>
      <c r="BN251" s="4576"/>
      <c r="BO251" s="4576"/>
      <c r="BP251" s="292">
        <f>IF(BN251=0,0,(BO251-BN251)/BN251*100)</f>
        <v>0</v>
      </c>
      <c r="BQ251" s="4576"/>
      <c r="BR251" s="4576"/>
      <c r="BS251" s="292">
        <f>IF(BQ251=0,0,(BR251-BQ251)/BQ251*100)</f>
        <v>0</v>
      </c>
      <c r="BT251" s="4576"/>
      <c r="BU251" s="4576"/>
      <c r="BV251" s="292">
        <f>IF(BT251=0,0,(BU251-BT251)/BT251*100)</f>
        <v>0</v>
      </c>
      <c r="BW251" s="4576"/>
      <c r="BX251" s="4576"/>
      <c r="BY251" s="292">
        <f>IF(BW251=0,0,(BX251-BW251)/BW251*100)</f>
        <v>0</v>
      </c>
      <c r="BZ251" s="4576"/>
      <c r="CA251" s="4576"/>
      <c r="CB251" s="292">
        <f>IF(BZ251=0,0,(CA251-BZ251)/BZ251*100)</f>
        <v>0</v>
      </c>
      <c r="CC251" s="4576"/>
      <c r="CD251" s="4576"/>
      <c r="CE251" s="292">
        <f>IF(CC251=0,0,(CD251-CC251)/CC251*100)</f>
        <v>0</v>
      </c>
      <c r="CF251" s="4576"/>
      <c r="CG251" s="4576"/>
      <c r="CH251" s="292">
        <f>IF(CF251=0,0,(CG251-CF251)/CF251*100)</f>
        <v>0</v>
      </c>
      <c r="CI251" s="4576"/>
      <c r="CJ251" s="4576"/>
      <c r="CK251" s="292">
        <f>IF(CI251=0,0,(CJ251-CI251)/CI251*100)</f>
        <v>0</v>
      </c>
      <c r="CL251" s="4576"/>
      <c r="CM251" s="4576"/>
      <c r="CN251" s="292">
        <f>IF(CL251=0,0,(CM251-CL251)/CL251*100)</f>
        <v>0</v>
      </c>
      <c r="CO251" s="4576"/>
      <c r="CP251" s="4576"/>
      <c r="CQ251" s="292">
        <f>IF(CO251=0,0,(CP251-CO251)/CO251*100)</f>
        <v>0</v>
      </c>
      <c r="CR251" s="4576"/>
      <c r="CS251" s="4576"/>
      <c r="CT251" s="292">
        <f>IF(CR251=0,0,(CS251-CR251)/CR251*100)</f>
        <v>0</v>
      </c>
      <c r="CU251" s="4576"/>
      <c r="CV251" s="4576"/>
      <c r="CW251" s="292">
        <f>IF(CU251=0,0,(CV251-CU251)/CU251*100)</f>
        <v>0</v>
      </c>
      <c r="CX251" s="4576"/>
      <c r="CY251" s="4576"/>
      <c r="CZ251" s="292">
        <f>IF(CX251=0,0,(CY251-CX251)/CX251*100)</f>
        <v>0</v>
      </c>
      <c r="DA251" s="4576"/>
      <c r="DB251" s="4576"/>
      <c r="DC251" s="292">
        <f>IF(DA251=0,0,(DB251-DA251)/DA251*100)</f>
        <v>0</v>
      </c>
      <c r="DD251" s="4576"/>
      <c r="DE251" s="4576"/>
      <c r="DF251" s="292">
        <f>IF(DD251=0,0,(DE251-DD251)/DD251*100)</f>
        <v>0</v>
      </c>
      <c r="DG251" s="4576"/>
      <c r="DH251" s="4576"/>
      <c r="DI251" s="292">
        <f>IF(DG251=0,0,(DH251-DG251)/DG251*100)</f>
        <v>0</v>
      </c>
      <c r="DJ251" s="4576"/>
      <c r="DK251" s="4576"/>
      <c r="DL251" s="292">
        <f>IF(DJ251=0,0,(DK251-DJ251)/DJ251*100)</f>
        <v>0</v>
      </c>
      <c r="DM251" s="4576"/>
      <c r="DN251" s="4576"/>
      <c r="DO251" s="292">
        <f>IF(DM251=0,0,(DN251-DM251)/DM251*100)</f>
        <v>0</v>
      </c>
      <c r="DP251" s="4576"/>
      <c r="DQ251" s="4576"/>
      <c r="DR251" s="292">
        <f>IF(DP251=0,0,(DQ251-DP251)/DP251*100)</f>
        <v>0</v>
      </c>
      <c r="DS251" s="4576"/>
      <c r="DT251" s="4576"/>
      <c r="DU251" s="292">
        <f>IF(DS251=0,0,(DT251-DS251)/DS251*100)</f>
        <v>0</v>
      </c>
      <c r="DV251" s="4576"/>
      <c r="DW251" s="4576"/>
      <c r="DX251" s="292">
        <f>IF(DV251=0,0,(DW251-DV251)/DV251*100)</f>
        <v>0</v>
      </c>
      <c r="DY251" s="4576"/>
      <c r="DZ251" s="4576"/>
      <c r="EA251" s="292">
        <f>IF(DY251=0,0,(DZ251-DY251)/DY251*100)</f>
        <v>0</v>
      </c>
      <c r="EB251" s="4576"/>
      <c r="EC251" s="4576"/>
      <c r="ED251" s="292">
        <f>IF(EB251=0,0,(EC251-EB251)/EB251*100)</f>
        <v>0</v>
      </c>
      <c r="EE251" s="4576"/>
      <c r="EF251" s="4576"/>
      <c r="EG251" s="292">
        <f>IF(EE251=0,0,(EF251-EE251)/EE251*100)</f>
        <v>0</v>
      </c>
      <c r="EH251" s="4576"/>
      <c r="EI251" s="4576"/>
      <c r="EJ251" s="292">
        <f>IF(EH251=0,0,(EI251-EH251)/EH251*100)</f>
        <v>0</v>
      </c>
      <c r="EK251" s="4576"/>
      <c r="EL251" s="4576"/>
      <c r="EM251" s="292">
        <f>IF(EK251=0,0,(EL251-EK251)/EK251*100)</f>
        <v>0</v>
      </c>
      <c r="EN251" s="4576"/>
      <c r="EO251" s="4576"/>
      <c r="EP251" s="292">
        <f>IF(EN251=0,0,(EO251-EN251)/EN251*100)</f>
        <v>0</v>
      </c>
      <c r="EQ251" s="4576"/>
      <c r="ER251" s="4576"/>
      <c r="ES251" s="292">
        <f>IF(EQ251=0,0,(ER251-EQ251)/EQ251*100)</f>
        <v>0</v>
      </c>
      <c r="ET251" s="4576"/>
      <c r="EU251" s="4576"/>
      <c r="EV251" s="292">
        <f>IF(ET251=0,0,(EU251-ET251)/ET251*100)</f>
        <v>0</v>
      </c>
      <c r="EW251" s="4576"/>
      <c r="EX251" s="4576"/>
      <c r="EY251" s="292">
        <f>IF(EW251=0,0,(EX251-EW251)/EW251*100)</f>
        <v>0</v>
      </c>
      <c r="EZ251" s="4576"/>
      <c r="FA251" s="4576"/>
      <c r="FB251" s="292">
        <f>IF(EZ251=0,0,(FA251-EZ251)/EZ251*100)</f>
        <v>0</v>
      </c>
      <c r="FC251" s="4576"/>
      <c r="FD251" s="4576"/>
      <c r="FE251" s="292">
        <f>IF(FC251=0,0,(FD251-FC251)/FC251*100)</f>
        <v>0</v>
      </c>
      <c r="FF251" s="4576"/>
      <c r="FG251" s="4576"/>
      <c r="FH251" s="292">
        <f>IF(FF251=0,0,(FG251-FF251)/FF251*100)</f>
        <v>0</v>
      </c>
      <c r="FI251" s="4576"/>
      <c r="FJ251" s="4576"/>
      <c r="FK251" s="292">
        <f>IF(FI251=0,0,(FJ251-FI251)/FI251*100)</f>
        <v>0</v>
      </c>
      <c r="FL251" s="4576"/>
      <c r="FM251" s="4576"/>
      <c r="FN251" s="292">
        <f>IF(FL251=0,0,(FM251-FL251)/FL251*100)</f>
        <v>0</v>
      </c>
      <c r="FO251" s="4576"/>
      <c r="FP251" s="4576"/>
      <c r="FQ251" s="292">
        <f>IF(FO251=0,0,(FP251-FO251)/FO251*100)</f>
        <v>0</v>
      </c>
      <c r="FR251" s="4576"/>
      <c r="FS251" s="4576"/>
      <c r="FT251" s="292">
        <f>IF(FR251=0,0,(FS251-FR251)/FR251*100)</f>
        <v>0</v>
      </c>
      <c r="FU251" s="4576"/>
      <c r="FV251" s="4576"/>
      <c r="FW251" s="292">
        <f>IF(FU251=0,0,(FV251-FU251)/FU251*100)</f>
        <v>0</v>
      </c>
      <c r="FX251" s="288"/>
      <c r="FY251" s="288"/>
      <c r="FZ251" s="1063" t="s">
        <v>1877</v>
      </c>
      <c r="GA251" s="1063"/>
      <c r="GB251" s="1063"/>
      <c r="GC251" s="1064"/>
      <c r="GD251" s="1064"/>
    </row>
    <row s="5551" customFormat="1" customHeight="1" ht="24.421875">
      <c r="A252" s="904"/>
      <c r="B252" s="932" cm="1" t="str">
        <f t="array" ref="B252:B252">B251</f>
        <v>true</v>
      </c>
      <c r="C252" s="904"/>
      <c r="D252" s="904"/>
      <c r="E252" s="905">
        <v>24.5</v>
      </c>
      <c r="F252" s="50" cm="1" t="str">
        <f t="array" ref="F252:F252">OFFSET(E252,-1,1)</f>
        <v>3</v>
      </c>
      <c r="G252" s="103" t="s">
        <v>1878</v>
      </c>
      <c r="H252" s="496" t="s">
        <v>566</v>
      </c>
      <c r="I252" s="496" t="s">
        <v>1879</v>
      </c>
      <c r="J252" s="904"/>
      <c r="K252" s="904"/>
      <c r="L252" s="496"/>
      <c r="M252" s="904"/>
      <c r="N252" s="904"/>
      <c r="O252" s="904"/>
      <c r="P252" s="904"/>
      <c r="Q252" s="904"/>
      <c r="R252" s="496"/>
      <c r="S252" s="496"/>
      <c r="T252" s="468" cm="1" t="str">
        <f t="array" ref="T252:T252">T251</f>
        <v>true</v>
      </c>
      <c r="U252" s="904"/>
      <c r="V252" s="904"/>
      <c r="W252" s="904"/>
      <c r="X252" s="1559"/>
      <c r="Y252" s="904"/>
      <c r="Z252" s="1528"/>
      <c r="AA252" s="904"/>
      <c r="AB252" s="1099" t="s">
        <v>1880</v>
      </c>
      <c r="AC252" s="290" t="s">
        <v>1862</v>
      </c>
      <c r="AD252" s="906">
        <f>AD248*1.22</f>
        <v>195.391155631312</v>
      </c>
      <c r="AE252" s="906">
        <f>AE248*1.22</f>
        <v>74.2492762470464</v>
      </c>
      <c r="AF252" s="292">
        <f>IF(AD252=0,0,(AE252-AD252)/AD252*100)</f>
        <v>-61.9996739324532</v>
      </c>
      <c r="AG252" s="4576">
        <f>IF(AND(method_reg="Метод индексации",god&lt;&gt;first_year),_xlfn.SUMIFS(INDEX('Калькуляция (МИ корр)'!$AJ$25:$BC$606,,MATCH(AG$8,'Калькуляция (МИ корр)'!$AJ$8:$BC$8,0)),'Калькуляция (МИ корр)'!$F$25:$F$606,$F252,'Калькуляция (МИ корр)'!$G$25:$G$606,$G252),IF(method_reg="Метод экономически обоснованных расходов",_xlfn.SUMIFS('Калькуляция (МЭОР)'!$AJ$25:$AJ$367,'Калькуляция (МЭОР)'!$F$25:$F$367,$F252,'Калькуляция (МЭОР)'!$G$25:$G$367,$G252),IF(method_reg="Метод сравнения аналогов",_xlfn.SUMIFS('Калькуляция (МСА)'!$AE$25:$AE$103,'Калькуляция (МСА)'!$F$25:$F$103,$F252,'Калькуляция (МСА)'!$G$25:$G$103,$G252),_xlfn.SUMIFS(INDEX('Калькуляция (МИ)'!$AJ$25:$BC$603,,MATCH(AG$8,'Калькуляция (МИ)'!$AJ$8:$BC$8,0)),'Калькуляция (МИ)'!$F$25:$F$603,$F252,'Калькуляция (МИ)'!$G$25:$G$603,$G252))))</f>
        <v>0</v>
      </c>
      <c r="AH252" s="4576">
        <f>IF(AND(method_reg="Метод индексации",god&lt;&gt;first_year),_xlfn.SUMIFS(INDEX('Калькуляция (МИ корр)'!$AJ$25:$BC$606,,MATCH(AH$8,'Калькуляция (МИ корр)'!$AJ$8:$BC$8,0)),'Калькуляция (МИ корр)'!$F$25:$F$606,$F252,'Калькуляция (МИ корр)'!$G$25:$G$606,$G252),IF(method_reg="Метод экономически обоснованных расходов",_xlfn.SUMIFS('Калькуляция (МЭОР)'!$AK$25:$AK$367,'Калькуляция (МЭОР)'!$F$25:$F$367,$F252,'Калькуляция (МЭОР)'!$G$25:$G$367,$G252),IF(method_reg="Метод сравнения аналогов",_xlfn.SUMIFS('Калькуляция (МСА)'!$AF$25:$AF$103,'Калькуляция (МСА)'!$F$25:$F$103,$F252,'Калькуляция (МСА)'!$G$25:$G$103,$G252),_xlfn.SUMIFS(INDEX('Калькуляция (МИ)'!$AJ$25:$BC$603,,MATCH(AH$8,'Калькуляция (МИ)'!$AJ$8:$BC$8,0)),'Калькуляция (МИ)'!$F$25:$F$603,$F252,'Калькуляция (МИ)'!$G$25:$G$603,$G252))))</f>
        <v>0</v>
      </c>
      <c r="AI252" s="292">
        <f>IF(AG252=0,0,(AH252-AG252)/AG252*100)</f>
        <v>0</v>
      </c>
      <c r="AJ252" s="4576">
        <f>IF(AND(method_reg="Метод индексации",god&lt;&gt;first_year),_xlfn.SUMIFS(INDEX('Калькуляция (МИ корр)'!$AJ$25:$BC$606,,MATCH(AJ$8,'Калькуляция (МИ корр)'!$AJ$8:$BC$8,0)),'Калькуляция (МИ корр)'!$F$25:$F$606,$F252,'Калькуляция (МИ корр)'!$G$25:$G$606,$G252),IF(method_reg="Метод экономически обоснованных расходов",_xlfn.SUMIFS('Калькуляция (МЭОР)'!$AJ$25:$AJ$367,'Калькуляция (МЭОР)'!$F$25:$F$367,$F252,'Калькуляция (МЭОР)'!$G$25:$G$367,$G252),IF(method_reg="Метод сравнения аналогов",_xlfn.SUMIFS('Калькуляция (МСА)'!$AE$25:$AE$103,'Калькуляция (МСА)'!$F$25:$F$103,$F252,'Калькуляция (МСА)'!$G$25:$G$103,$G252),_xlfn.SUMIFS(INDEX('Калькуляция (МИ)'!$AJ$25:$BC$603,,MATCH(AJ$8,'Калькуляция (МИ)'!$AJ$8:$BC$8,0)),'Калькуляция (МИ)'!$F$25:$F$603,$F252,'Калькуляция (МИ)'!$G$25:$G$603,$G252))))</f>
        <v>0</v>
      </c>
      <c r="AK252" s="4576">
        <f>IF(AND(method_reg="Метод индексации",god&lt;&gt;first_year),_xlfn.SUMIFS(INDEX('Калькуляция (МИ корр)'!$AJ$25:$BC$606,,MATCH(AK$8,'Калькуляция (МИ корр)'!$AJ$8:$BC$8,0)),'Калькуляция (МИ корр)'!$F$25:$F$606,$F252,'Калькуляция (МИ корр)'!$G$25:$G$606,$G252),IF(method_reg="Метод экономически обоснованных расходов",_xlfn.SUMIFS('Калькуляция (МЭОР)'!$AK$25:$AK$367,'Калькуляция (МЭОР)'!$F$25:$F$367,$F252,'Калькуляция (МЭОР)'!$G$25:$G$367,$G252),IF(method_reg="Метод сравнения аналогов",_xlfn.SUMIFS('Калькуляция (МСА)'!$AF$25:$AF$103,'Калькуляция (МСА)'!$F$25:$F$103,$F252,'Калькуляция (МСА)'!$G$25:$G$103,$G252),_xlfn.SUMIFS(INDEX('Калькуляция (МИ)'!$AJ$25:$BC$603,,MATCH(AK$8,'Калькуляция (МИ)'!$AJ$8:$BC$8,0)),'Калькуляция (МИ)'!$F$25:$F$603,$F252,'Калькуляция (МИ)'!$G$25:$G$603,$G252))))</f>
        <v>0</v>
      </c>
      <c r="AL252" s="292">
        <f>IF(AJ252=0,0,(AK252-AJ252)/AJ252*100)</f>
        <v>0</v>
      </c>
      <c r="AM252" s="4576">
        <f>IF(AND(method_reg="Метод индексации",god&lt;&gt;first_year),_xlfn.SUMIFS(INDEX('Калькуляция (МИ корр)'!$AJ$25:$BC$606,,MATCH(AM$8,'Калькуляция (МИ корр)'!$AJ$8:$BC$8,0)),'Калькуляция (МИ корр)'!$F$25:$F$606,$F252,'Калькуляция (МИ корр)'!$G$25:$G$606,$G252),IF(method_reg="Метод экономически обоснованных расходов",_xlfn.SUMIFS('Калькуляция (МЭОР)'!$AJ$25:$AJ$367,'Калькуляция (МЭОР)'!$F$25:$F$367,$F252,'Калькуляция (МЭОР)'!$G$25:$G$367,$G252),IF(method_reg="Метод сравнения аналогов",_xlfn.SUMIFS('Калькуляция (МСА)'!$AE$25:$AE$103,'Калькуляция (МСА)'!$F$25:$F$103,$F252,'Калькуляция (МСА)'!$G$25:$G$103,$G252),_xlfn.SUMIFS(INDEX('Калькуляция (МИ)'!$AJ$25:$BC$603,,MATCH(AM$8,'Калькуляция (МИ)'!$AJ$8:$BC$8,0)),'Калькуляция (МИ)'!$F$25:$F$603,$F252,'Калькуляция (МИ)'!$G$25:$G$603,$G252))))</f>
        <v>0</v>
      </c>
      <c r="AN252" s="4576">
        <f>IF(AND(method_reg="Метод индексации",god&lt;&gt;first_year),_xlfn.SUMIFS(INDEX('Калькуляция (МИ корр)'!$AJ$25:$BC$606,,MATCH(AN$8,'Калькуляция (МИ корр)'!$AJ$8:$BC$8,0)),'Калькуляция (МИ корр)'!$F$25:$F$606,$F252,'Калькуляция (МИ корр)'!$G$25:$G$606,$G252),IF(method_reg="Метод экономически обоснованных расходов",_xlfn.SUMIFS('Калькуляция (МЭОР)'!$AK$25:$AK$367,'Калькуляция (МЭОР)'!$F$25:$F$367,$F252,'Калькуляция (МЭОР)'!$G$25:$G$367,$G252),IF(method_reg="Метод сравнения аналогов",_xlfn.SUMIFS('Калькуляция (МСА)'!$AF$25:$AF$103,'Калькуляция (МСА)'!$F$25:$F$103,$F252,'Калькуляция (МСА)'!$G$25:$G$103,$G252),_xlfn.SUMIFS(INDEX('Калькуляция (МИ)'!$AJ$25:$BC$603,,MATCH(AN$8,'Калькуляция (МИ)'!$AJ$8:$BC$8,0)),'Калькуляция (МИ)'!$F$25:$F$603,$F252,'Калькуляция (МИ)'!$G$25:$G$603,$G252))))</f>
        <v>0</v>
      </c>
      <c r="AO252" s="292">
        <f>IF(AM252=0,0,(AN252-AM252)/AM252*100)</f>
        <v>0</v>
      </c>
      <c r="AP252" s="4576">
        <f>IF(AND(method_reg="Метод индексации",god&lt;&gt;first_year),_xlfn.SUMIFS(INDEX('Калькуляция (МИ корр)'!$AJ$25:$BC$606,,MATCH(AP$8,'Калькуляция (МИ корр)'!$AJ$8:$BC$8,0)),'Калькуляция (МИ корр)'!$F$25:$F$606,$F252,'Калькуляция (МИ корр)'!$G$25:$G$606,$G252),IF(method_reg="Метод экономически обоснованных расходов",_xlfn.SUMIFS('Калькуляция (МЭОР)'!$AJ$25:$AJ$367,'Калькуляция (МЭОР)'!$F$25:$F$367,$F252,'Калькуляция (МЭОР)'!$G$25:$G$367,$G252),IF(method_reg="Метод сравнения аналогов",_xlfn.SUMIFS('Калькуляция (МСА)'!$AE$25:$AE$103,'Калькуляция (МСА)'!$F$25:$F$103,$F252,'Калькуляция (МСА)'!$G$25:$G$103,$G252),_xlfn.SUMIFS(INDEX('Калькуляция (МИ)'!$AJ$25:$BC$603,,MATCH(AP$8,'Калькуляция (МИ)'!$AJ$8:$BC$8,0)),'Калькуляция (МИ)'!$F$25:$F$603,$F252,'Калькуляция (МИ)'!$G$25:$G$603,$G252))))</f>
        <v>0</v>
      </c>
      <c r="AQ252" s="4576">
        <f>IF(AND(method_reg="Метод индексации",god&lt;&gt;first_year),_xlfn.SUMIFS(INDEX('Калькуляция (МИ корр)'!$AJ$25:$BC$606,,MATCH(AQ$8,'Калькуляция (МИ корр)'!$AJ$8:$BC$8,0)),'Калькуляция (МИ корр)'!$F$25:$F$606,$F252,'Калькуляция (МИ корр)'!$G$25:$G$606,$G252),IF(method_reg="Метод экономически обоснованных расходов",_xlfn.SUMIFS('Калькуляция (МЭОР)'!$AK$25:$AK$367,'Калькуляция (МЭОР)'!$F$25:$F$367,$F252,'Калькуляция (МЭОР)'!$G$25:$G$367,$G252),IF(method_reg="Метод сравнения аналогов",_xlfn.SUMIFS('Калькуляция (МСА)'!$AF$25:$AF$103,'Калькуляция (МСА)'!$F$25:$F$103,$F252,'Калькуляция (МСА)'!$G$25:$G$103,$G252),_xlfn.SUMIFS(INDEX('Калькуляция (МИ)'!$AJ$25:$BC$603,,MATCH(AQ$8,'Калькуляция (МИ)'!$AJ$8:$BC$8,0)),'Калькуляция (МИ)'!$F$25:$F$603,$F252,'Калькуляция (МИ)'!$G$25:$G$603,$G252))))</f>
        <v>0</v>
      </c>
      <c r="AR252" s="292">
        <f>IF(AP252=0,0,(AQ252-AP252)/AP252*100)</f>
        <v>0</v>
      </c>
      <c r="AS252" s="4576">
        <f>IF(AND(method_reg="Метод индексации",god&lt;&gt;first_year),_xlfn.SUMIFS(INDEX('Калькуляция (МИ корр)'!$AJ$25:$BC$606,,MATCH(AS$8,'Калькуляция (МИ корр)'!$AJ$8:$BC$8,0)),'Калькуляция (МИ корр)'!$F$25:$F$606,$F252,'Калькуляция (МИ корр)'!$G$25:$G$606,$G252),IF(method_reg="Метод экономически обоснованных расходов",_xlfn.SUMIFS('Калькуляция (МЭОР)'!$AJ$25:$AJ$367,'Калькуляция (МЭОР)'!$F$25:$F$367,$F252,'Калькуляция (МЭОР)'!$G$25:$G$367,$G252),IF(method_reg="Метод сравнения аналогов",_xlfn.SUMIFS('Калькуляция (МСА)'!$AE$25:$AE$103,'Калькуляция (МСА)'!$F$25:$F$103,$F252,'Калькуляция (МСА)'!$G$25:$G$103,$G252),_xlfn.SUMIFS(INDEX('Калькуляция (МИ)'!$AJ$25:$BC$603,,MATCH(AS$8,'Калькуляция (МИ)'!$AJ$8:$BC$8,0)),'Калькуляция (МИ)'!$F$25:$F$603,$F252,'Калькуляция (МИ)'!$G$25:$G$603,$G252))))</f>
        <v>0</v>
      </c>
      <c r="AT252" s="4576">
        <f>IF(AND(method_reg="Метод индексации",god&lt;&gt;first_year),_xlfn.SUMIFS(INDEX('Калькуляция (МИ корр)'!$AJ$25:$BC$606,,MATCH(AT$8,'Калькуляция (МИ корр)'!$AJ$8:$BC$8,0)),'Калькуляция (МИ корр)'!$F$25:$F$606,$F252,'Калькуляция (МИ корр)'!$G$25:$G$606,$G252),IF(method_reg="Метод экономически обоснованных расходов",_xlfn.SUMIFS('Калькуляция (МЭОР)'!$AK$25:$AK$367,'Калькуляция (МЭОР)'!$F$25:$F$367,$F252,'Калькуляция (МЭОР)'!$G$25:$G$367,$G252),IF(method_reg="Метод сравнения аналогов",_xlfn.SUMIFS('Калькуляция (МСА)'!$AF$25:$AF$103,'Калькуляция (МСА)'!$F$25:$F$103,$F252,'Калькуляция (МСА)'!$G$25:$G$103,$G252),_xlfn.SUMIFS(INDEX('Калькуляция (МИ)'!$AJ$25:$BC$603,,MATCH(AT$8,'Калькуляция (МИ)'!$AJ$8:$BC$8,0)),'Калькуляция (МИ)'!$F$25:$F$603,$F252,'Калькуляция (МИ)'!$G$25:$G$603,$G252))))</f>
        <v>0</v>
      </c>
      <c r="AU252" s="292">
        <f>IF(AS252=0,0,(AT252-AS252)/AS252*100)</f>
        <v>0</v>
      </c>
      <c r="AV252" s="4576">
        <f>IF(AND(method_reg="Метод индексации",god&lt;&gt;first_year),_xlfn.SUMIFS(INDEX('Калькуляция (МИ корр)'!$AJ$25:$BC$606,,MATCH(AV$8,'Калькуляция (МИ корр)'!$AJ$8:$BC$8,0)),'Калькуляция (МИ корр)'!$F$25:$F$606,$F252,'Калькуляция (МИ корр)'!$G$25:$G$606,$G252),IF(method_reg="Метод экономически обоснованных расходов",_xlfn.SUMIFS('Калькуляция (МЭОР)'!$AJ$25:$AJ$367,'Калькуляция (МЭОР)'!$F$25:$F$367,$F252,'Калькуляция (МЭОР)'!$G$25:$G$367,$G252),IF(method_reg="Метод сравнения аналогов",_xlfn.SUMIFS('Калькуляция (МСА)'!$AE$25:$AE$103,'Калькуляция (МСА)'!$F$25:$F$103,$F252,'Калькуляция (МСА)'!$G$25:$G$103,$G252),_xlfn.SUMIFS(INDEX('Калькуляция (МИ)'!$AJ$25:$BC$603,,MATCH(AV$8,'Калькуляция (МИ)'!$AJ$8:$BC$8,0)),'Калькуляция (МИ)'!$F$25:$F$603,$F252,'Калькуляция (МИ)'!$G$25:$G$603,$G252))))</f>
        <v>0</v>
      </c>
      <c r="AW252" s="4576">
        <f>IF(AND(method_reg="Метод индексации",god&lt;&gt;first_year),_xlfn.SUMIFS(INDEX('Калькуляция (МИ корр)'!$AJ$25:$BC$606,,MATCH(AW$8,'Калькуляция (МИ корр)'!$AJ$8:$BC$8,0)),'Калькуляция (МИ корр)'!$F$25:$F$606,$F252,'Калькуляция (МИ корр)'!$G$25:$G$606,$G252),IF(method_reg="Метод экономически обоснованных расходов",_xlfn.SUMIFS('Калькуляция (МЭОР)'!$AK$25:$AK$367,'Калькуляция (МЭОР)'!$F$25:$F$367,$F252,'Калькуляция (МЭОР)'!$G$25:$G$367,$G252),IF(method_reg="Метод сравнения аналогов",_xlfn.SUMIFS('Калькуляция (МСА)'!$AF$25:$AF$103,'Калькуляция (МСА)'!$F$25:$F$103,$F252,'Калькуляция (МСА)'!$G$25:$G$103,$G252),_xlfn.SUMIFS(INDEX('Калькуляция (МИ)'!$AJ$25:$BC$603,,MATCH(AW$8,'Калькуляция (МИ)'!$AJ$8:$BC$8,0)),'Калькуляция (МИ)'!$F$25:$F$603,$F252,'Калькуляция (МИ)'!$G$25:$G$603,$G252))))</f>
        <v>0</v>
      </c>
      <c r="AX252" s="292">
        <f>IF(AV252=0,0,(AW252-AV252)/AV252*100)</f>
        <v>0</v>
      </c>
      <c r="AY252" s="4576">
        <f>IF(AND(method_reg="Метод индексации",god&lt;&gt;first_year),_xlfn.SUMIFS(INDEX('Калькуляция (МИ корр)'!$AJ$25:$BC$606,,MATCH(AY$8,'Калькуляция (МИ корр)'!$AJ$8:$BC$8,0)),'Калькуляция (МИ корр)'!$F$25:$F$606,$F252,'Калькуляция (МИ корр)'!$G$25:$G$606,$G252),IF(method_reg="Метод экономически обоснованных расходов",_xlfn.SUMIFS('Калькуляция (МЭОР)'!$AJ$25:$AJ$367,'Калькуляция (МЭОР)'!$F$25:$F$367,$F252,'Калькуляция (МЭОР)'!$G$25:$G$367,$G252),IF(method_reg="Метод сравнения аналогов",_xlfn.SUMIFS('Калькуляция (МСА)'!$AE$25:$AE$103,'Калькуляция (МСА)'!$F$25:$F$103,$F252,'Калькуляция (МСА)'!$G$25:$G$103,$G252),_xlfn.SUMIFS(INDEX('Калькуляция (МИ)'!$AJ$25:$BC$603,,MATCH(AY$8,'Калькуляция (МИ)'!$AJ$8:$BC$8,0)),'Калькуляция (МИ)'!$F$25:$F$603,$F252,'Калькуляция (МИ)'!$G$25:$G$603,$G252))))</f>
        <v>0</v>
      </c>
      <c r="AZ252" s="4576">
        <f>IF(AND(method_reg="Метод индексации",god&lt;&gt;first_year),_xlfn.SUMIFS(INDEX('Калькуляция (МИ корр)'!$AJ$25:$BC$606,,MATCH(AZ$8,'Калькуляция (МИ корр)'!$AJ$8:$BC$8,0)),'Калькуляция (МИ корр)'!$F$25:$F$606,$F252,'Калькуляция (МИ корр)'!$G$25:$G$606,$G252),IF(method_reg="Метод экономически обоснованных расходов",_xlfn.SUMIFS('Калькуляция (МЭОР)'!$AK$25:$AK$367,'Калькуляция (МЭОР)'!$F$25:$F$367,$F252,'Калькуляция (МЭОР)'!$G$25:$G$367,$G252),IF(method_reg="Метод сравнения аналогов",_xlfn.SUMIFS('Калькуляция (МСА)'!$AF$25:$AF$103,'Калькуляция (МСА)'!$F$25:$F$103,$F252,'Калькуляция (МСА)'!$G$25:$G$103,$G252),_xlfn.SUMIFS(INDEX('Калькуляция (МИ)'!$AJ$25:$BC$603,,MATCH(AZ$8,'Калькуляция (МИ)'!$AJ$8:$BC$8,0)),'Калькуляция (МИ)'!$F$25:$F$603,$F252,'Калькуляция (МИ)'!$G$25:$G$603,$G252))))</f>
        <v>0</v>
      </c>
      <c r="BA252" s="292">
        <f>IF(AY252=0,0,(AZ252-AY252)/AY252*100)</f>
        <v>0</v>
      </c>
      <c r="BB252" s="4576">
        <f>IF(AND(method_reg="Метод индексации",god&lt;&gt;first_year),_xlfn.SUMIFS(INDEX('Калькуляция (МИ корр)'!$AJ$25:$BC$606,,MATCH(BB$8,'Калькуляция (МИ корр)'!$AJ$8:$BC$8,0)),'Калькуляция (МИ корр)'!$F$25:$F$606,$F252,'Калькуляция (МИ корр)'!$G$25:$G$606,$G252),IF(method_reg="Метод экономически обоснованных расходов",_xlfn.SUMIFS('Калькуляция (МЭОР)'!$AJ$25:$AJ$367,'Калькуляция (МЭОР)'!$F$25:$F$367,$F252,'Калькуляция (МЭОР)'!$G$25:$G$367,$G252),IF(method_reg="Метод сравнения аналогов",_xlfn.SUMIFS('Калькуляция (МСА)'!$AE$25:$AE$103,'Калькуляция (МСА)'!$F$25:$F$103,$F252,'Калькуляция (МСА)'!$G$25:$G$103,$G252),_xlfn.SUMIFS(INDEX('Калькуляция (МИ)'!$AJ$25:$BC$603,,MATCH(BB$8,'Калькуляция (МИ)'!$AJ$8:$BC$8,0)),'Калькуляция (МИ)'!$F$25:$F$603,$F252,'Калькуляция (МИ)'!$G$25:$G$603,$G252))))</f>
        <v>0</v>
      </c>
      <c r="BC252" s="4576">
        <f>IF(AND(method_reg="Метод индексации",god&lt;&gt;first_year),_xlfn.SUMIFS(INDEX('Калькуляция (МИ корр)'!$AJ$25:$BC$606,,MATCH(BC$8,'Калькуляция (МИ корр)'!$AJ$8:$BC$8,0)),'Калькуляция (МИ корр)'!$F$25:$F$606,$F252,'Калькуляция (МИ корр)'!$G$25:$G$606,$G252),IF(method_reg="Метод экономически обоснованных расходов",_xlfn.SUMIFS('Калькуляция (МЭОР)'!$AK$25:$AK$367,'Калькуляция (МЭОР)'!$F$25:$F$367,$F252,'Калькуляция (МЭОР)'!$G$25:$G$367,$G252),IF(method_reg="Метод сравнения аналогов",_xlfn.SUMIFS('Калькуляция (МСА)'!$AF$25:$AF$103,'Калькуляция (МСА)'!$F$25:$F$103,$F252,'Калькуляция (МСА)'!$G$25:$G$103,$G252),_xlfn.SUMIFS(INDEX('Калькуляция (МИ)'!$AJ$25:$BC$603,,MATCH(BC$8,'Калькуляция (МИ)'!$AJ$8:$BC$8,0)),'Калькуляция (МИ)'!$F$25:$F$603,$F252,'Калькуляция (МИ)'!$G$25:$G$603,$G252))))</f>
        <v>0</v>
      </c>
      <c r="BD252" s="292">
        <f>IF(BB252=0,0,(BC252-BB252)/BB252*100)</f>
        <v>0</v>
      </c>
      <c r="BE252" s="4576">
        <f>IF(AND(method_reg="Метод индексации",god&lt;&gt;first_year),_xlfn.SUMIFS(INDEX('Калькуляция (МИ корр)'!$AJ$25:$BC$606,,MATCH(BE$8,'Калькуляция (МИ корр)'!$AJ$8:$BC$8,0)),'Калькуляция (МИ корр)'!$F$25:$F$606,$F252,'Калькуляция (МИ корр)'!$G$25:$G$606,$G252),IF(method_reg="Метод экономически обоснованных расходов",_xlfn.SUMIFS('Калькуляция (МЭОР)'!$AJ$25:$AJ$367,'Калькуляция (МЭОР)'!$F$25:$F$367,$F252,'Калькуляция (МЭОР)'!$G$25:$G$367,$G252),IF(method_reg="Метод сравнения аналогов",_xlfn.SUMIFS('Калькуляция (МСА)'!$AE$25:$AE$103,'Калькуляция (МСА)'!$F$25:$F$103,$F252,'Калькуляция (МСА)'!$G$25:$G$103,$G252),_xlfn.SUMIFS(INDEX('Калькуляция (МИ)'!$AJ$25:$BC$603,,MATCH(BE$8,'Калькуляция (МИ)'!$AJ$8:$BC$8,0)),'Калькуляция (МИ)'!$F$25:$F$603,$F252,'Калькуляция (МИ)'!$G$25:$G$603,$G252))))</f>
        <v>0</v>
      </c>
      <c r="BF252" s="4576">
        <f>IF(AND(method_reg="Метод индексации",god&lt;&gt;first_year),_xlfn.SUMIFS(INDEX('Калькуляция (МИ корр)'!$AJ$25:$BC$606,,MATCH(BF$8,'Калькуляция (МИ корр)'!$AJ$8:$BC$8,0)),'Калькуляция (МИ корр)'!$F$25:$F$606,$F252,'Калькуляция (МИ корр)'!$G$25:$G$606,$G252),IF(method_reg="Метод экономически обоснованных расходов",_xlfn.SUMIFS('Калькуляция (МЭОР)'!$AK$25:$AK$367,'Калькуляция (МЭОР)'!$F$25:$F$367,$F252,'Калькуляция (МЭОР)'!$G$25:$G$367,$G252),IF(method_reg="Метод сравнения аналогов",_xlfn.SUMIFS('Калькуляция (МСА)'!$AF$25:$AF$103,'Калькуляция (МСА)'!$F$25:$F$103,$F252,'Калькуляция (МСА)'!$G$25:$G$103,$G252),_xlfn.SUMIFS(INDEX('Калькуляция (МИ)'!$AJ$25:$BC$603,,MATCH(BF$8,'Калькуляция (МИ)'!$AJ$8:$BC$8,0)),'Калькуляция (МИ)'!$F$25:$F$603,$F252,'Калькуляция (МИ)'!$G$25:$G$603,$G252))))</f>
        <v>0</v>
      </c>
      <c r="BG252" s="292">
        <f>IF(BE252=0,0,(BF252-BE252)/BE252*100)</f>
        <v>0</v>
      </c>
      <c r="BH252" s="4576"/>
      <c r="BI252" s="4576"/>
      <c r="BJ252" s="292">
        <f>IF(BH252=0,0,(BI252-BH252)/BH252*100)</f>
        <v>0</v>
      </c>
      <c r="BK252" s="4576"/>
      <c r="BL252" s="4576"/>
      <c r="BM252" s="292">
        <f>IF(BK252=0,0,(BL252-BK252)/BK252*100)</f>
        <v>0</v>
      </c>
      <c r="BN252" s="4576"/>
      <c r="BO252" s="4576"/>
      <c r="BP252" s="292">
        <f>IF(BN252=0,0,(BO252-BN252)/BN252*100)</f>
        <v>0</v>
      </c>
      <c r="BQ252" s="4576"/>
      <c r="BR252" s="4576"/>
      <c r="BS252" s="292">
        <f>IF(BQ252=0,0,(BR252-BQ252)/BQ252*100)</f>
        <v>0</v>
      </c>
      <c r="BT252" s="4576"/>
      <c r="BU252" s="4576"/>
      <c r="BV252" s="292">
        <f>IF(BT252=0,0,(BU252-BT252)/BT252*100)</f>
        <v>0</v>
      </c>
      <c r="BW252" s="4576"/>
      <c r="BX252" s="4576"/>
      <c r="BY252" s="292">
        <f>IF(BW252=0,0,(BX252-BW252)/BW252*100)</f>
        <v>0</v>
      </c>
      <c r="BZ252" s="4576"/>
      <c r="CA252" s="4576"/>
      <c r="CB252" s="292">
        <f>IF(BZ252=0,0,(CA252-BZ252)/BZ252*100)</f>
        <v>0</v>
      </c>
      <c r="CC252" s="4576"/>
      <c r="CD252" s="4576"/>
      <c r="CE252" s="292">
        <f>IF(CC252=0,0,(CD252-CC252)/CC252*100)</f>
        <v>0</v>
      </c>
      <c r="CF252" s="4576"/>
      <c r="CG252" s="4576"/>
      <c r="CH252" s="292">
        <f>IF(CF252=0,0,(CG252-CF252)/CF252*100)</f>
        <v>0</v>
      </c>
      <c r="CI252" s="4576"/>
      <c r="CJ252" s="4576"/>
      <c r="CK252" s="292">
        <f>IF(CI252=0,0,(CJ252-CI252)/CI252*100)</f>
        <v>0</v>
      </c>
      <c r="CL252" s="4576"/>
      <c r="CM252" s="4576"/>
      <c r="CN252" s="292">
        <f>IF(CL252=0,0,(CM252-CL252)/CL252*100)</f>
        <v>0</v>
      </c>
      <c r="CO252" s="4576"/>
      <c r="CP252" s="4576"/>
      <c r="CQ252" s="292">
        <f>IF(CO252=0,0,(CP252-CO252)/CO252*100)</f>
        <v>0</v>
      </c>
      <c r="CR252" s="4576"/>
      <c r="CS252" s="4576"/>
      <c r="CT252" s="292">
        <f>IF(CR252=0,0,(CS252-CR252)/CR252*100)</f>
        <v>0</v>
      </c>
      <c r="CU252" s="4576"/>
      <c r="CV252" s="4576"/>
      <c r="CW252" s="292">
        <f>IF(CU252=0,0,(CV252-CU252)/CU252*100)</f>
        <v>0</v>
      </c>
      <c r="CX252" s="4576"/>
      <c r="CY252" s="4576"/>
      <c r="CZ252" s="292">
        <f>IF(CX252=0,0,(CY252-CX252)/CX252*100)</f>
        <v>0</v>
      </c>
      <c r="DA252" s="4576"/>
      <c r="DB252" s="4576"/>
      <c r="DC252" s="292">
        <f>IF(DA252=0,0,(DB252-DA252)/DA252*100)</f>
        <v>0</v>
      </c>
      <c r="DD252" s="4576"/>
      <c r="DE252" s="4576"/>
      <c r="DF252" s="292">
        <f>IF(DD252=0,0,(DE252-DD252)/DD252*100)</f>
        <v>0</v>
      </c>
      <c r="DG252" s="4576"/>
      <c r="DH252" s="4576"/>
      <c r="DI252" s="292">
        <f>IF(DG252=0,0,(DH252-DG252)/DG252*100)</f>
        <v>0</v>
      </c>
      <c r="DJ252" s="4576"/>
      <c r="DK252" s="4576"/>
      <c r="DL252" s="292">
        <f>IF(DJ252=0,0,(DK252-DJ252)/DJ252*100)</f>
        <v>0</v>
      </c>
      <c r="DM252" s="4576"/>
      <c r="DN252" s="4576"/>
      <c r="DO252" s="292">
        <f>IF(DM252=0,0,(DN252-DM252)/DM252*100)</f>
        <v>0</v>
      </c>
      <c r="DP252" s="4576"/>
      <c r="DQ252" s="4576"/>
      <c r="DR252" s="292">
        <f>IF(DP252=0,0,(DQ252-DP252)/DP252*100)</f>
        <v>0</v>
      </c>
      <c r="DS252" s="4576"/>
      <c r="DT252" s="4576"/>
      <c r="DU252" s="292">
        <f>IF(DS252=0,0,(DT252-DS252)/DS252*100)</f>
        <v>0</v>
      </c>
      <c r="DV252" s="4576"/>
      <c r="DW252" s="4576"/>
      <c r="DX252" s="292">
        <f>IF(DV252=0,0,(DW252-DV252)/DV252*100)</f>
        <v>0</v>
      </c>
      <c r="DY252" s="4576"/>
      <c r="DZ252" s="4576"/>
      <c r="EA252" s="292">
        <f>IF(DY252=0,0,(DZ252-DY252)/DY252*100)</f>
        <v>0</v>
      </c>
      <c r="EB252" s="4576"/>
      <c r="EC252" s="4576"/>
      <c r="ED252" s="292">
        <f>IF(EB252=0,0,(EC252-EB252)/EB252*100)</f>
        <v>0</v>
      </c>
      <c r="EE252" s="4576"/>
      <c r="EF252" s="4576"/>
      <c r="EG252" s="292">
        <f>IF(EE252=0,0,(EF252-EE252)/EE252*100)</f>
        <v>0</v>
      </c>
      <c r="EH252" s="4576"/>
      <c r="EI252" s="4576"/>
      <c r="EJ252" s="292">
        <f>IF(EH252=0,0,(EI252-EH252)/EH252*100)</f>
        <v>0</v>
      </c>
      <c r="EK252" s="4576"/>
      <c r="EL252" s="4576"/>
      <c r="EM252" s="292">
        <f>IF(EK252=0,0,(EL252-EK252)/EK252*100)</f>
        <v>0</v>
      </c>
      <c r="EN252" s="4576"/>
      <c r="EO252" s="4576"/>
      <c r="EP252" s="292">
        <f>IF(EN252=0,0,(EO252-EN252)/EN252*100)</f>
        <v>0</v>
      </c>
      <c r="EQ252" s="4576"/>
      <c r="ER252" s="4576"/>
      <c r="ES252" s="292">
        <f>IF(EQ252=0,0,(ER252-EQ252)/EQ252*100)</f>
        <v>0</v>
      </c>
      <c r="ET252" s="4576"/>
      <c r="EU252" s="4576"/>
      <c r="EV252" s="292">
        <f>IF(ET252=0,0,(EU252-ET252)/ET252*100)</f>
        <v>0</v>
      </c>
      <c r="EW252" s="4576"/>
      <c r="EX252" s="4576"/>
      <c r="EY252" s="292">
        <f>IF(EW252=0,0,(EX252-EW252)/EW252*100)</f>
        <v>0</v>
      </c>
      <c r="EZ252" s="4576"/>
      <c r="FA252" s="4576"/>
      <c r="FB252" s="292">
        <f>IF(EZ252=0,0,(FA252-EZ252)/EZ252*100)</f>
        <v>0</v>
      </c>
      <c r="FC252" s="4576"/>
      <c r="FD252" s="4576"/>
      <c r="FE252" s="292">
        <f>IF(FC252=0,0,(FD252-FC252)/FC252*100)</f>
        <v>0</v>
      </c>
      <c r="FF252" s="4576"/>
      <c r="FG252" s="4576"/>
      <c r="FH252" s="292">
        <f>IF(FF252=0,0,(FG252-FF252)/FF252*100)</f>
        <v>0</v>
      </c>
      <c r="FI252" s="4576"/>
      <c r="FJ252" s="4576"/>
      <c r="FK252" s="292">
        <f>IF(FI252=0,0,(FJ252-FI252)/FI252*100)</f>
        <v>0</v>
      </c>
      <c r="FL252" s="4576"/>
      <c r="FM252" s="4576"/>
      <c r="FN252" s="292">
        <f>IF(FL252=0,0,(FM252-FL252)/FL252*100)</f>
        <v>0</v>
      </c>
      <c r="FO252" s="4576"/>
      <c r="FP252" s="4576"/>
      <c r="FQ252" s="292">
        <f>IF(FO252=0,0,(FP252-FO252)/FO252*100)</f>
        <v>0</v>
      </c>
      <c r="FR252" s="4576"/>
      <c r="FS252" s="4576"/>
      <c r="FT252" s="292">
        <f>IF(FR252=0,0,(FS252-FR252)/FR252*100)</f>
        <v>0</v>
      </c>
      <c r="FU252" s="4576"/>
      <c r="FV252" s="4576"/>
      <c r="FW252" s="292">
        <f>IF(FU252=0,0,(FV252-FU252)/FU252*100)</f>
        <v>0</v>
      </c>
      <c r="FX252" s="288"/>
      <c r="FY252" s="288"/>
      <c r="FZ252" s="1063" t="s">
        <v>1881</v>
      </c>
      <c r="GA252" s="1063"/>
      <c r="GB252" s="1063"/>
      <c r="GC252" s="1064"/>
      <c r="GD252" s="1064"/>
    </row>
    <row s="1656" customFormat="1" customHeight="1" ht="24.421875">
      <c r="A253" s="496"/>
      <c r="B253" s="932" cm="1" t="str">
        <f t="array" ref="B253:B253">B252</f>
        <v>true</v>
      </c>
      <c r="C253" s="496"/>
      <c r="D253" s="496"/>
      <c r="E253" s="847">
        <v>15</v>
      </c>
      <c r="F253" s="50" cm="1" t="str">
        <f t="array" ref="F253:F253">OFFSET(E253,-1,1)</f>
        <v>3</v>
      </c>
      <c r="G253" s="103"/>
      <c r="H253" s="496" t="s">
        <v>570</v>
      </c>
      <c r="I253" s="496" t="s">
        <v>1882</v>
      </c>
      <c r="J253" s="496"/>
      <c r="K253" s="496"/>
      <c r="L253" s="496"/>
      <c r="M253" s="496"/>
      <c r="N253" s="496"/>
      <c r="O253" s="496"/>
      <c r="P253" s="496"/>
      <c r="Q253" s="904"/>
      <c r="R253" s="496"/>
      <c r="S253" s="496"/>
      <c r="T253" s="468" cm="1" t="str">
        <f t="array" ref="T253:T253">T252</f>
        <v>true</v>
      </c>
      <c r="U253" s="496"/>
      <c r="V253" s="496"/>
      <c r="W253" s="496"/>
      <c r="X253" s="1559"/>
      <c r="Y253" s="496"/>
      <c r="Z253" s="1528"/>
      <c r="AA253" s="496"/>
      <c r="AB253" s="1098" t="s">
        <v>1869</v>
      </c>
      <c r="AC253" s="871" t="s">
        <v>561</v>
      </c>
      <c r="AD253" s="1101">
        <f>IF(AD251=0,0,AD252/AD251)*100</f>
        <v>100</v>
      </c>
      <c r="AE253" s="1101">
        <f>IF(AE251=0,0,AE252/AE251)*100</f>
        <v>111.998642800109</v>
      </c>
      <c r="AF253" s="1102"/>
      <c r="AG253" s="1101">
        <f>IF(AG251=0,0,AG252/AG251)*100</f>
        <v>0</v>
      </c>
      <c r="AH253" s="1101">
        <f>IF(AH251=0,0,AH252/AH251)*100</f>
        <v>0</v>
      </c>
      <c r="AI253" s="1102"/>
      <c r="AJ253" s="1101">
        <f>IF(AJ251=0,0,AJ252/AJ251)*100</f>
        <v>0</v>
      </c>
      <c r="AK253" s="1101">
        <f>IF(AK251=0,0,AK252/AK251)*100</f>
        <v>0</v>
      </c>
      <c r="AL253" s="1102"/>
      <c r="AM253" s="1101">
        <f>IF(AM251=0,0,AM252/AM251)*100</f>
        <v>0</v>
      </c>
      <c r="AN253" s="1101">
        <f>IF(AN251=0,0,AN252/AN251)*100</f>
        <v>0</v>
      </c>
      <c r="AO253" s="1102"/>
      <c r="AP253" s="1101">
        <f>IF(AP251=0,0,AP252/AP251)*100</f>
        <v>0</v>
      </c>
      <c r="AQ253" s="1101">
        <f>IF(AQ251=0,0,AQ252/AQ251)*100</f>
        <v>0</v>
      </c>
      <c r="AR253" s="1102"/>
      <c r="AS253" s="1101">
        <f>IF(AS251=0,0,AS252/AS251)*100</f>
        <v>0</v>
      </c>
      <c r="AT253" s="1101">
        <f>IF(AT251=0,0,AT252/AT251)*100</f>
        <v>0</v>
      </c>
      <c r="AU253" s="1102"/>
      <c r="AV253" s="1101">
        <f>IF(AV251=0,0,AV252/AV251)*100</f>
        <v>0</v>
      </c>
      <c r="AW253" s="1101">
        <f>IF(AW251=0,0,AW252/AW251)*100</f>
        <v>0</v>
      </c>
      <c r="AX253" s="1102"/>
      <c r="AY253" s="1101">
        <f>IF(AY251=0,0,AY252/AY251)*100</f>
        <v>0</v>
      </c>
      <c r="AZ253" s="1101">
        <f>IF(AZ251=0,0,AZ252/AZ251)*100</f>
        <v>0</v>
      </c>
      <c r="BA253" s="1102"/>
      <c r="BB253" s="1101">
        <f>IF(BB251=0,0,BB252/BB251)*100</f>
        <v>0</v>
      </c>
      <c r="BC253" s="1101">
        <f>IF(BC251=0,0,BC252/BC251)*100</f>
        <v>0</v>
      </c>
      <c r="BD253" s="1102"/>
      <c r="BE253" s="1101">
        <f>IF(BE251=0,0,BE252/BE251)*100</f>
        <v>0</v>
      </c>
      <c r="BF253" s="1101">
        <f>IF(BF251=0,0,BF252/BF251)*100</f>
        <v>0</v>
      </c>
      <c r="BG253" s="1102"/>
      <c r="BH253" s="1101">
        <f>IF(BH251=0,0,BH252/BH251)*100</f>
        <v>0</v>
      </c>
      <c r="BI253" s="1101">
        <f>IF(BI251=0,0,BI252/BI251)*100</f>
        <v>0</v>
      </c>
      <c r="BJ253" s="1102"/>
      <c r="BK253" s="1101">
        <f>IF(BK251=0,0,BK252/BK251)*100</f>
        <v>0</v>
      </c>
      <c r="BL253" s="1101">
        <f>IF(BL251=0,0,BL252/BL251)*100</f>
        <v>0</v>
      </c>
      <c r="BM253" s="1102"/>
      <c r="BN253" s="1101">
        <f>IF(BN251=0,0,BN252/BN251)*100</f>
        <v>0</v>
      </c>
      <c r="BO253" s="1101">
        <f>IF(BO251=0,0,BO252/BO251)*100</f>
        <v>0</v>
      </c>
      <c r="BP253" s="1102"/>
      <c r="BQ253" s="1101">
        <f>IF(BQ251=0,0,BQ252/BQ251)*100</f>
        <v>0</v>
      </c>
      <c r="BR253" s="1101">
        <f>IF(BR251=0,0,BR252/BR251)*100</f>
        <v>0</v>
      </c>
      <c r="BS253" s="1102"/>
      <c r="BT253" s="1101">
        <f>IF(BT251=0,0,BT252/BT251)*100</f>
        <v>0</v>
      </c>
      <c r="BU253" s="1101">
        <f>IF(BU251=0,0,BU252/BU251)*100</f>
        <v>0</v>
      </c>
      <c r="BV253" s="1102"/>
      <c r="BW253" s="1101">
        <f>IF(BW251=0,0,BW252/BW251)*100</f>
        <v>0</v>
      </c>
      <c r="BX253" s="1101">
        <f>IF(BX251=0,0,BX252/BX251)*100</f>
        <v>0</v>
      </c>
      <c r="BY253" s="1102"/>
      <c r="BZ253" s="1101">
        <f>IF(BZ251=0,0,BZ252/BZ251)*100</f>
        <v>0</v>
      </c>
      <c r="CA253" s="1101">
        <f>IF(CA251=0,0,CA252/CA251)*100</f>
        <v>0</v>
      </c>
      <c r="CB253" s="1102"/>
      <c r="CC253" s="1101">
        <f>IF(CC251=0,0,CC252/CC251)*100</f>
        <v>0</v>
      </c>
      <c r="CD253" s="1101">
        <f>IF(CD251=0,0,CD252/CD251)*100</f>
        <v>0</v>
      </c>
      <c r="CE253" s="1102"/>
      <c r="CF253" s="1101">
        <f>IF(CF251=0,0,CF252/CF251)*100</f>
        <v>0</v>
      </c>
      <c r="CG253" s="1101">
        <f>IF(CG251=0,0,CG252/CG251)*100</f>
        <v>0</v>
      </c>
      <c r="CH253" s="1102"/>
      <c r="CI253" s="1101">
        <f>IF(CI251=0,0,CI252/CI251)*100</f>
        <v>0</v>
      </c>
      <c r="CJ253" s="1101">
        <f>IF(CJ251=0,0,CJ252/CJ251)*100</f>
        <v>0</v>
      </c>
      <c r="CK253" s="1102"/>
      <c r="CL253" s="1101">
        <f>IF(CL251=0,0,CL252/CL251)*100</f>
        <v>0</v>
      </c>
      <c r="CM253" s="1101">
        <f>IF(CM251=0,0,CM252/CM251)*100</f>
        <v>0</v>
      </c>
      <c r="CN253" s="1102"/>
      <c r="CO253" s="1101">
        <f>IF(CO251=0,0,CO252/CO251)*100</f>
        <v>0</v>
      </c>
      <c r="CP253" s="1101">
        <f>IF(CP251=0,0,CP252/CP251)*100</f>
        <v>0</v>
      </c>
      <c r="CQ253" s="1102"/>
      <c r="CR253" s="1101">
        <f>IF(CR251=0,0,CR252/CR251)*100</f>
        <v>0</v>
      </c>
      <c r="CS253" s="1101">
        <f>IF(CS251=0,0,CS252/CS251)*100</f>
        <v>0</v>
      </c>
      <c r="CT253" s="1102"/>
      <c r="CU253" s="1101">
        <f>IF(CU251=0,0,CU252/CU251)*100</f>
        <v>0</v>
      </c>
      <c r="CV253" s="1101">
        <f>IF(CV251=0,0,CV252/CV251)*100</f>
        <v>0</v>
      </c>
      <c r="CW253" s="1102"/>
      <c r="CX253" s="1101">
        <f>IF(CX251=0,0,CX252/CX251)*100</f>
        <v>0</v>
      </c>
      <c r="CY253" s="1101">
        <f>IF(CY251=0,0,CY252/CY251)*100</f>
        <v>0</v>
      </c>
      <c r="CZ253" s="1102"/>
      <c r="DA253" s="1101">
        <f>IF(DA251=0,0,DA252/DA251)*100</f>
        <v>0</v>
      </c>
      <c r="DB253" s="1101">
        <f>IF(DB251=0,0,DB252/DB251)*100</f>
        <v>0</v>
      </c>
      <c r="DC253" s="1102"/>
      <c r="DD253" s="1101">
        <f>IF(DD251=0,0,DD252/DD251)*100</f>
        <v>0</v>
      </c>
      <c r="DE253" s="1101">
        <f>IF(DE251=0,0,DE252/DE251)*100</f>
        <v>0</v>
      </c>
      <c r="DF253" s="1102"/>
      <c r="DG253" s="1101">
        <f>IF(DG251=0,0,DG252/DG251)*100</f>
        <v>0</v>
      </c>
      <c r="DH253" s="1101">
        <f>IF(DH251=0,0,DH252/DH251)*100</f>
        <v>0</v>
      </c>
      <c r="DI253" s="1102"/>
      <c r="DJ253" s="1101">
        <f>IF(DJ251=0,0,DJ252/DJ251)*100</f>
        <v>0</v>
      </c>
      <c r="DK253" s="1101">
        <f>IF(DK251=0,0,DK252/DK251)*100</f>
        <v>0</v>
      </c>
      <c r="DL253" s="1102"/>
      <c r="DM253" s="1101">
        <f>IF(DM251=0,0,DM252/DM251)*100</f>
        <v>0</v>
      </c>
      <c r="DN253" s="1101">
        <f>IF(DN251=0,0,DN252/DN251)*100</f>
        <v>0</v>
      </c>
      <c r="DO253" s="1102"/>
      <c r="DP253" s="1101">
        <f>IF(DP251=0,0,DP252/DP251)*100</f>
        <v>0</v>
      </c>
      <c r="DQ253" s="1101">
        <f>IF(DQ251=0,0,DQ252/DQ251)*100</f>
        <v>0</v>
      </c>
      <c r="DR253" s="1102"/>
      <c r="DS253" s="1101">
        <f>IF(DS251=0,0,DS252/DS251)*100</f>
        <v>0</v>
      </c>
      <c r="DT253" s="1101">
        <f>IF(DT251=0,0,DT252/DT251)*100</f>
        <v>0</v>
      </c>
      <c r="DU253" s="1102"/>
      <c r="DV253" s="1101">
        <f>IF(DV251=0,0,DV252/DV251)*100</f>
        <v>0</v>
      </c>
      <c r="DW253" s="1101">
        <f>IF(DW251=0,0,DW252/DW251)*100</f>
        <v>0</v>
      </c>
      <c r="DX253" s="1102"/>
      <c r="DY253" s="1101">
        <f>IF(DY251=0,0,DY252/DY251)*100</f>
        <v>0</v>
      </c>
      <c r="DZ253" s="1101">
        <f>IF(DZ251=0,0,DZ252/DZ251)*100</f>
        <v>0</v>
      </c>
      <c r="EA253" s="1102"/>
      <c r="EB253" s="1101">
        <f>IF(EB251=0,0,EB252/EB251)*100</f>
        <v>0</v>
      </c>
      <c r="EC253" s="1101">
        <f>IF(EC251=0,0,EC252/EC251)*100</f>
        <v>0</v>
      </c>
      <c r="ED253" s="1102"/>
      <c r="EE253" s="1101">
        <f>IF(EE251=0,0,EE252/EE251)*100</f>
        <v>0</v>
      </c>
      <c r="EF253" s="1101">
        <f>IF(EF251=0,0,EF252/EF251)*100</f>
        <v>0</v>
      </c>
      <c r="EG253" s="1102"/>
      <c r="EH253" s="1101">
        <f>IF(EH251=0,0,EH252/EH251)*100</f>
        <v>0</v>
      </c>
      <c r="EI253" s="1101">
        <f>IF(EI251=0,0,EI252/EI251)*100</f>
        <v>0</v>
      </c>
      <c r="EJ253" s="1102"/>
      <c r="EK253" s="1101">
        <f>IF(EK251=0,0,EK252/EK251)*100</f>
        <v>0</v>
      </c>
      <c r="EL253" s="1101">
        <f>IF(EL251=0,0,EL252/EL251)*100</f>
        <v>0</v>
      </c>
      <c r="EM253" s="1102"/>
      <c r="EN253" s="1101">
        <f>IF(EN251=0,0,EN252/EN251)*100</f>
        <v>0</v>
      </c>
      <c r="EO253" s="1101">
        <f>IF(EO251=0,0,EO252/EO251)*100</f>
        <v>0</v>
      </c>
      <c r="EP253" s="1102"/>
      <c r="EQ253" s="1101">
        <f>IF(EQ251=0,0,EQ252/EQ251)*100</f>
        <v>0</v>
      </c>
      <c r="ER253" s="1101">
        <f>IF(ER251=0,0,ER252/ER251)*100</f>
        <v>0</v>
      </c>
      <c r="ES253" s="1102"/>
      <c r="ET253" s="1101">
        <f>IF(ET251=0,0,ET252/ET251)*100</f>
        <v>0</v>
      </c>
      <c r="EU253" s="1101">
        <f>IF(EU251=0,0,EU252/EU251)*100</f>
        <v>0</v>
      </c>
      <c r="EV253" s="1102"/>
      <c r="EW253" s="1101">
        <f>IF(EW251=0,0,EW252/EW251)*100</f>
        <v>0</v>
      </c>
      <c r="EX253" s="1101">
        <f>IF(EX251=0,0,EX252/EX251)*100</f>
        <v>0</v>
      </c>
      <c r="EY253" s="1102"/>
      <c r="EZ253" s="1101">
        <f>IF(EZ251=0,0,EZ252/EZ251)*100</f>
        <v>0</v>
      </c>
      <c r="FA253" s="1101">
        <f>IF(FA251=0,0,FA252/FA251)*100</f>
        <v>0</v>
      </c>
      <c r="FB253" s="1102"/>
      <c r="FC253" s="1101">
        <f>IF(FC251=0,0,FC252/FC251)*100</f>
        <v>0</v>
      </c>
      <c r="FD253" s="1101">
        <f>IF(FD251=0,0,FD252/FD251)*100</f>
        <v>0</v>
      </c>
      <c r="FE253" s="1102"/>
      <c r="FF253" s="1101">
        <f>IF(FF251=0,0,FF252/FF251)*100</f>
        <v>0</v>
      </c>
      <c r="FG253" s="1101">
        <f>IF(FG251=0,0,FG252/FG251)*100</f>
        <v>0</v>
      </c>
      <c r="FH253" s="1102"/>
      <c r="FI253" s="1101">
        <f>IF(FI251=0,0,FI252/FI251)*100</f>
        <v>0</v>
      </c>
      <c r="FJ253" s="1101">
        <f>IF(FJ251=0,0,FJ252/FJ251)*100</f>
        <v>0</v>
      </c>
      <c r="FK253" s="1102"/>
      <c r="FL253" s="1101">
        <f>IF(FL251=0,0,FL252/FL251)*100</f>
        <v>0</v>
      </c>
      <c r="FM253" s="1101">
        <f>IF(FM251=0,0,FM252/FM251)*100</f>
        <v>0</v>
      </c>
      <c r="FN253" s="1102"/>
      <c r="FO253" s="1101">
        <f>IF(FO251=0,0,FO252/FO251)*100</f>
        <v>0</v>
      </c>
      <c r="FP253" s="1101">
        <f>IF(FP251=0,0,FP252/FP251)*100</f>
        <v>0</v>
      </c>
      <c r="FQ253" s="1102"/>
      <c r="FR253" s="1101">
        <f>IF(FR251=0,0,FR252/FR251)*100</f>
        <v>0</v>
      </c>
      <c r="FS253" s="1101">
        <f>IF(FS251=0,0,FS252/FS251)*100</f>
        <v>0</v>
      </c>
      <c r="FT253" s="1102"/>
      <c r="FU253" s="1101">
        <f>IF(FU251=0,0,FU252/FU251)*100</f>
        <v>0</v>
      </c>
      <c r="FV253" s="1101">
        <f>IF(FV251=0,0,FV252/FV251)*100</f>
        <v>0</v>
      </c>
      <c r="FW253" s="1102"/>
      <c r="FX253" s="288"/>
      <c r="FY253" s="1328"/>
      <c r="FZ253" s="1063" t="s">
        <v>1883</v>
      </c>
      <c r="GA253" s="1330"/>
      <c r="GB253" s="1330"/>
      <c r="GC253" s="1329"/>
      <c r="GD253" s="1329"/>
    </row>
    <row s="1656" customFormat="1" customHeight="1" ht="22.921875">
      <c r="A254" s="496"/>
      <c r="B254" s="932" cm="1" t="str">
        <f t="array" ref="B254:B254">B253</f>
        <v>true</v>
      </c>
      <c r="C254" s="496"/>
      <c r="D254" s="496"/>
      <c r="E254" s="847">
        <v>15</v>
      </c>
      <c r="F254" s="50" cm="1" t="str">
        <f t="array" ref="F254:F254">OFFSET(E254,-1,1)</f>
        <v>3</v>
      </c>
      <c r="G254" s="103" t="s">
        <v>1884</v>
      </c>
      <c r="H254" s="496" t="s">
        <v>573</v>
      </c>
      <c r="I254" s="496" t="s">
        <v>1882</v>
      </c>
      <c r="J254" s="496"/>
      <c r="K254" s="496"/>
      <c r="L254" s="496"/>
      <c r="M254" s="496"/>
      <c r="N254" s="496"/>
      <c r="O254" s="496"/>
      <c r="P254" s="496"/>
      <c r="Q254" s="904"/>
      <c r="R254" s="496"/>
      <c r="S254" s="496"/>
      <c r="T254" s="468" cm="1" t="str">
        <f t="array" ref="T254:T254">T253</f>
        <v>true</v>
      </c>
      <c r="U254" s="496"/>
      <c r="V254" s="496"/>
      <c r="W254" s="496"/>
      <c r="X254" s="1559"/>
      <c r="Y254" s="496"/>
      <c r="Z254" s="1528"/>
      <c r="AA254" s="496"/>
      <c r="AB254" s="907" t="s">
        <v>1885</v>
      </c>
      <c r="AC254" s="871" t="s">
        <v>657</v>
      </c>
      <c r="AD254" s="1103">
        <f>IF(AND(method_reg="Метод индексации",god&lt;&gt;first_year),_xlfn.SUMIFS(INDEX('Калькуляция (МИ корр)'!$AJ$25:$BC$606,,MATCH(AD$8,'Калькуляция (МИ корр)'!$AJ$8:$BC$8,0)),'Калькуляция (МИ корр)'!$F$25:$F$606,$F254,'Калькуляция (МИ корр)'!$G$25:$G$606,$G254),IF(method_reg="Метод экономически обоснованных расходов",_xlfn.SUMIFS('Калькуляция (МЭОР)'!$AJ$25:$AJ$367,'Калькуляция (МЭОР)'!$F$25:$F$367,$F254,'Калькуляция (МЭОР)'!$G$25:$G$367,$G254),IF(method_reg="Метод сравнения аналогов",_xlfn.SUMIFS('Калькуляция (МСА)'!$AE$25:$AE$103,'Калькуляция (МСА)'!$F$25:$F$103,$F254,'Калькуляция (МСА)'!$G$25:$G$103,$G254),_xlfn.SUMIFS(INDEX('Калькуляция (МИ)'!$AJ$25:$BC$603,,MATCH(AD$8,'Калькуляция (МИ)'!$AJ$8:$BC$8,0)),'Калькуляция (МИ)'!$F$25:$F$603,$F254,'Калькуляция (МИ)'!$G$25:$G$603,$G254))))</f>
        <v>902.47293</v>
      </c>
      <c r="AE254" s="1103">
        <f>IF(AND(method_reg="Метод индексации",god&lt;&gt;first_year),_xlfn.SUMIFS(INDEX('Калькуляция (МИ корр)'!$AJ$25:$BC$606,,MATCH(AE$8,'Калькуляция (МИ корр)'!$AJ$8:$BC$8,0)),'Калькуляция (МИ корр)'!$F$25:$F$606,$F254,'Калькуляция (МИ корр)'!$G$25:$G$606,$G254),IF(method_reg="Метод экономически обоснованных расходов",_xlfn.SUMIFS('Калькуляция (МЭОР)'!$AK$25:$AK$367,'Калькуляция (МЭОР)'!$F$25:$F$367,$F254,'Калькуляция (МЭОР)'!$G$25:$G$367,$G254),IF(method_reg="Метод сравнения аналогов",_xlfn.SUMIFS('Калькуляция (МСА)'!$AF$25:$AF$103,'Калькуляция (МСА)'!$F$25:$F$103,$F254,'Калькуляция (МСА)'!$G$25:$G$103,$G254),_xlfn.SUMIFS(INDEX('Калькуляция (МИ)'!$AJ$25:$BC$603,,MATCH(AE$8,'Калькуляция (МИ)'!$AJ$8:$BC$8,0)),'Калькуляция (МИ)'!$F$25:$F$603,$F254,'Калькуляция (МИ)'!$G$25:$G$603,$G254))))</f>
        <v>857.34928</v>
      </c>
      <c r="AF254" s="1104">
        <f>IF(AD254=0,0,(AE254-AD254)/AD254*100)</f>
        <v>-5.00000038782327</v>
      </c>
      <c r="AG254" s="4585">
        <f>IF(AND(method_reg="Метод индексации",god&lt;&gt;first_year),_xlfn.SUMIFS(INDEX('Калькуляция (МИ корр)'!$AJ$25:$BC$606,,MATCH(AG$8,'Калькуляция (МИ корр)'!$AJ$8:$BC$8,0)),'Калькуляция (МИ корр)'!$F$25:$F$606,$F254,'Калькуляция (МИ корр)'!$G$25:$G$606,$G254),IF(method_reg="Метод экономически обоснованных расходов",_xlfn.SUMIFS('Калькуляция (МЭОР)'!$AJ$25:$AJ$367,'Калькуляция (МЭОР)'!$F$25:$F$367,$F254,'Калькуляция (МЭОР)'!$G$25:$G$367,$G254),IF(method_reg="Метод сравнения аналогов",_xlfn.SUMIFS('Калькуляция (МСА)'!$AE$25:$AE$103,'Калькуляция (МСА)'!$F$25:$F$103,$F254,'Калькуляция (МСА)'!$G$25:$G$103,$G254),_xlfn.SUMIFS(INDEX('Калькуляция (МИ)'!$AJ$25:$BC$603,,MATCH(AG$8,'Калькуляция (МИ)'!$AJ$8:$BC$8,0)),'Калькуляция (МИ)'!$F$25:$F$603,$F254,'Калькуляция (МИ)'!$G$25:$G$603,$G254))))</f>
        <v>0</v>
      </c>
      <c r="AH254" s="4585">
        <f>IF(AND(method_reg="Метод индексации",god&lt;&gt;first_year),_xlfn.SUMIFS(INDEX('Калькуляция (МИ корр)'!$AJ$25:$BC$606,,MATCH(AH$8,'Калькуляция (МИ корр)'!$AJ$8:$BC$8,0)),'Калькуляция (МИ корр)'!$F$25:$F$606,$F254,'Калькуляция (МИ корр)'!$G$25:$G$606,$G254),IF(method_reg="Метод экономически обоснованных расходов",_xlfn.SUMIFS('Калькуляция (МЭОР)'!$AK$25:$AK$367,'Калькуляция (МЭОР)'!$F$25:$F$367,$F254,'Калькуляция (МЭОР)'!$G$25:$G$367,$G254),IF(method_reg="Метод сравнения аналогов",_xlfn.SUMIFS('Калькуляция (МСА)'!$AF$25:$AF$103,'Калькуляция (МСА)'!$F$25:$F$103,$F254,'Калькуляция (МСА)'!$G$25:$G$103,$G254),_xlfn.SUMIFS(INDEX('Калькуляция (МИ)'!$AJ$25:$BC$603,,MATCH(AH$8,'Калькуляция (МИ)'!$AJ$8:$BC$8,0)),'Калькуляция (МИ)'!$F$25:$F$603,$F254,'Калькуляция (МИ)'!$G$25:$G$603,$G254))))</f>
        <v>0</v>
      </c>
      <c r="AI254" s="1104">
        <f>IF(AG254=0,0,(AH254-AG254)/AG254*100)</f>
        <v>0</v>
      </c>
      <c r="AJ254" s="4585">
        <f>IF(AND(method_reg="Метод индексации",god&lt;&gt;first_year),_xlfn.SUMIFS(INDEX('Калькуляция (МИ корр)'!$AJ$25:$BC$606,,MATCH(AJ$8,'Калькуляция (МИ корр)'!$AJ$8:$BC$8,0)),'Калькуляция (МИ корр)'!$F$25:$F$606,$F254,'Калькуляция (МИ корр)'!$G$25:$G$606,$G254),IF(method_reg="Метод экономически обоснованных расходов",_xlfn.SUMIFS('Калькуляция (МЭОР)'!$AJ$25:$AJ$367,'Калькуляция (МЭОР)'!$F$25:$F$367,$F254,'Калькуляция (МЭОР)'!$G$25:$G$367,$G254),IF(method_reg="Метод сравнения аналогов",_xlfn.SUMIFS('Калькуляция (МСА)'!$AE$25:$AE$103,'Калькуляция (МСА)'!$F$25:$F$103,$F254,'Калькуляция (МСА)'!$G$25:$G$103,$G254),_xlfn.SUMIFS(INDEX('Калькуляция (МИ)'!$AJ$25:$BC$603,,MATCH(AJ$8,'Калькуляция (МИ)'!$AJ$8:$BC$8,0)),'Калькуляция (МИ)'!$F$25:$F$603,$F254,'Калькуляция (МИ)'!$G$25:$G$603,$G254))))</f>
        <v>0</v>
      </c>
      <c r="AK254" s="4585">
        <f>IF(AND(method_reg="Метод индексации",god&lt;&gt;first_year),_xlfn.SUMIFS(INDEX('Калькуляция (МИ корр)'!$AJ$25:$BC$606,,MATCH(AK$8,'Калькуляция (МИ корр)'!$AJ$8:$BC$8,0)),'Калькуляция (МИ корр)'!$F$25:$F$606,$F254,'Калькуляция (МИ корр)'!$G$25:$G$606,$G254),IF(method_reg="Метод экономически обоснованных расходов",_xlfn.SUMIFS('Калькуляция (МЭОР)'!$AK$25:$AK$367,'Калькуляция (МЭОР)'!$F$25:$F$367,$F254,'Калькуляция (МЭОР)'!$G$25:$G$367,$G254),IF(method_reg="Метод сравнения аналогов",_xlfn.SUMIFS('Калькуляция (МСА)'!$AF$25:$AF$103,'Калькуляция (МСА)'!$F$25:$F$103,$F254,'Калькуляция (МСА)'!$G$25:$G$103,$G254),_xlfn.SUMIFS(INDEX('Калькуляция (МИ)'!$AJ$25:$BC$603,,MATCH(AK$8,'Калькуляция (МИ)'!$AJ$8:$BC$8,0)),'Калькуляция (МИ)'!$F$25:$F$603,$F254,'Калькуляция (МИ)'!$G$25:$G$603,$G254))))</f>
        <v>0</v>
      </c>
      <c r="AL254" s="1104">
        <f>IF(AJ254=0,0,(AK254-AJ254)/AJ254*100)</f>
        <v>0</v>
      </c>
      <c r="AM254" s="4585">
        <f>IF(AND(method_reg="Метод индексации",god&lt;&gt;first_year),_xlfn.SUMIFS(INDEX('Калькуляция (МИ корр)'!$AJ$25:$BC$606,,MATCH(AM$8,'Калькуляция (МИ корр)'!$AJ$8:$BC$8,0)),'Калькуляция (МИ корр)'!$F$25:$F$606,$F254,'Калькуляция (МИ корр)'!$G$25:$G$606,$G254),IF(method_reg="Метод экономически обоснованных расходов",_xlfn.SUMIFS('Калькуляция (МЭОР)'!$AJ$25:$AJ$367,'Калькуляция (МЭОР)'!$F$25:$F$367,$F254,'Калькуляция (МЭОР)'!$G$25:$G$367,$G254),IF(method_reg="Метод сравнения аналогов",_xlfn.SUMIFS('Калькуляция (МСА)'!$AE$25:$AE$103,'Калькуляция (МСА)'!$F$25:$F$103,$F254,'Калькуляция (МСА)'!$G$25:$G$103,$G254),_xlfn.SUMIFS(INDEX('Калькуляция (МИ)'!$AJ$25:$BC$603,,MATCH(AM$8,'Калькуляция (МИ)'!$AJ$8:$BC$8,0)),'Калькуляция (МИ)'!$F$25:$F$603,$F254,'Калькуляция (МИ)'!$G$25:$G$603,$G254))))</f>
        <v>0</v>
      </c>
      <c r="AN254" s="4585">
        <f>IF(AND(method_reg="Метод индексации",god&lt;&gt;first_year),_xlfn.SUMIFS(INDEX('Калькуляция (МИ корр)'!$AJ$25:$BC$606,,MATCH(AN$8,'Калькуляция (МИ корр)'!$AJ$8:$BC$8,0)),'Калькуляция (МИ корр)'!$F$25:$F$606,$F254,'Калькуляция (МИ корр)'!$G$25:$G$606,$G254),IF(method_reg="Метод экономически обоснованных расходов",_xlfn.SUMIFS('Калькуляция (МЭОР)'!$AK$25:$AK$367,'Калькуляция (МЭОР)'!$F$25:$F$367,$F254,'Калькуляция (МЭОР)'!$G$25:$G$367,$G254),IF(method_reg="Метод сравнения аналогов",_xlfn.SUMIFS('Калькуляция (МСА)'!$AF$25:$AF$103,'Калькуляция (МСА)'!$F$25:$F$103,$F254,'Калькуляция (МСА)'!$G$25:$G$103,$G254),_xlfn.SUMIFS(INDEX('Калькуляция (МИ)'!$AJ$25:$BC$603,,MATCH(AN$8,'Калькуляция (МИ)'!$AJ$8:$BC$8,0)),'Калькуляция (МИ)'!$F$25:$F$603,$F254,'Калькуляция (МИ)'!$G$25:$G$603,$G254))))</f>
        <v>0</v>
      </c>
      <c r="AO254" s="1104">
        <f>IF(AM254=0,0,(AN254-AM254)/AM254*100)</f>
        <v>0</v>
      </c>
      <c r="AP254" s="4585">
        <f>IF(AND(method_reg="Метод индексации",god&lt;&gt;first_year),_xlfn.SUMIFS(INDEX('Калькуляция (МИ корр)'!$AJ$25:$BC$606,,MATCH(AP$8,'Калькуляция (МИ корр)'!$AJ$8:$BC$8,0)),'Калькуляция (МИ корр)'!$F$25:$F$606,$F254,'Калькуляция (МИ корр)'!$G$25:$G$606,$G254),IF(method_reg="Метод экономически обоснованных расходов",_xlfn.SUMIFS('Калькуляция (МЭОР)'!$AJ$25:$AJ$367,'Калькуляция (МЭОР)'!$F$25:$F$367,$F254,'Калькуляция (МЭОР)'!$G$25:$G$367,$G254),IF(method_reg="Метод сравнения аналогов",_xlfn.SUMIFS('Калькуляция (МСА)'!$AE$25:$AE$103,'Калькуляция (МСА)'!$F$25:$F$103,$F254,'Калькуляция (МСА)'!$G$25:$G$103,$G254),_xlfn.SUMIFS(INDEX('Калькуляция (МИ)'!$AJ$25:$BC$603,,MATCH(AP$8,'Калькуляция (МИ)'!$AJ$8:$BC$8,0)),'Калькуляция (МИ)'!$F$25:$F$603,$F254,'Калькуляция (МИ)'!$G$25:$G$603,$G254))))</f>
        <v>0</v>
      </c>
      <c r="AQ254" s="4585">
        <f>IF(AND(method_reg="Метод индексации",god&lt;&gt;first_year),_xlfn.SUMIFS(INDEX('Калькуляция (МИ корр)'!$AJ$25:$BC$606,,MATCH(AQ$8,'Калькуляция (МИ корр)'!$AJ$8:$BC$8,0)),'Калькуляция (МИ корр)'!$F$25:$F$606,$F254,'Калькуляция (МИ корр)'!$G$25:$G$606,$G254),IF(method_reg="Метод экономически обоснованных расходов",_xlfn.SUMIFS('Калькуляция (МЭОР)'!$AK$25:$AK$367,'Калькуляция (МЭОР)'!$F$25:$F$367,$F254,'Калькуляция (МЭОР)'!$G$25:$G$367,$G254),IF(method_reg="Метод сравнения аналогов",_xlfn.SUMIFS('Калькуляция (МСА)'!$AF$25:$AF$103,'Калькуляция (МСА)'!$F$25:$F$103,$F254,'Калькуляция (МСА)'!$G$25:$G$103,$G254),_xlfn.SUMIFS(INDEX('Калькуляция (МИ)'!$AJ$25:$BC$603,,MATCH(AQ$8,'Калькуляция (МИ)'!$AJ$8:$BC$8,0)),'Калькуляция (МИ)'!$F$25:$F$603,$F254,'Калькуляция (МИ)'!$G$25:$G$603,$G254))))</f>
        <v>0</v>
      </c>
      <c r="AR254" s="1104">
        <f>IF(AP254=0,0,(AQ254-AP254)/AP254*100)</f>
        <v>0</v>
      </c>
      <c r="AS254" s="4585">
        <f>IF(AND(method_reg="Метод индексации",god&lt;&gt;first_year),_xlfn.SUMIFS(INDEX('Калькуляция (МИ корр)'!$AJ$25:$BC$606,,MATCH(AS$8,'Калькуляция (МИ корр)'!$AJ$8:$BC$8,0)),'Калькуляция (МИ корр)'!$F$25:$F$606,$F254,'Калькуляция (МИ корр)'!$G$25:$G$606,$G254),IF(method_reg="Метод экономически обоснованных расходов",_xlfn.SUMIFS('Калькуляция (МЭОР)'!$AJ$25:$AJ$367,'Калькуляция (МЭОР)'!$F$25:$F$367,$F254,'Калькуляция (МЭОР)'!$G$25:$G$367,$G254),IF(method_reg="Метод сравнения аналогов",_xlfn.SUMIFS('Калькуляция (МСА)'!$AE$25:$AE$103,'Калькуляция (МСА)'!$F$25:$F$103,$F254,'Калькуляция (МСА)'!$G$25:$G$103,$G254),_xlfn.SUMIFS(INDEX('Калькуляция (МИ)'!$AJ$25:$BC$603,,MATCH(AS$8,'Калькуляция (МИ)'!$AJ$8:$BC$8,0)),'Калькуляция (МИ)'!$F$25:$F$603,$F254,'Калькуляция (МИ)'!$G$25:$G$603,$G254))))</f>
        <v>0</v>
      </c>
      <c r="AT254" s="4585">
        <f>IF(AND(method_reg="Метод индексации",god&lt;&gt;first_year),_xlfn.SUMIFS(INDEX('Калькуляция (МИ корр)'!$AJ$25:$BC$606,,MATCH(AT$8,'Калькуляция (МИ корр)'!$AJ$8:$BC$8,0)),'Калькуляция (МИ корр)'!$F$25:$F$606,$F254,'Калькуляция (МИ корр)'!$G$25:$G$606,$G254),IF(method_reg="Метод экономически обоснованных расходов",_xlfn.SUMIFS('Калькуляция (МЭОР)'!$AK$25:$AK$367,'Калькуляция (МЭОР)'!$F$25:$F$367,$F254,'Калькуляция (МЭОР)'!$G$25:$G$367,$G254),IF(method_reg="Метод сравнения аналогов",_xlfn.SUMIFS('Калькуляция (МСА)'!$AF$25:$AF$103,'Калькуляция (МСА)'!$F$25:$F$103,$F254,'Калькуляция (МСА)'!$G$25:$G$103,$G254),_xlfn.SUMIFS(INDEX('Калькуляция (МИ)'!$AJ$25:$BC$603,,MATCH(AT$8,'Калькуляция (МИ)'!$AJ$8:$BC$8,0)),'Калькуляция (МИ)'!$F$25:$F$603,$F254,'Калькуляция (МИ)'!$G$25:$G$603,$G254))))</f>
        <v>0</v>
      </c>
      <c r="AU254" s="1104">
        <f>IF(AS254=0,0,(AT254-AS254)/AS254*100)</f>
        <v>0</v>
      </c>
      <c r="AV254" s="4585">
        <f>IF(AND(method_reg="Метод индексации",god&lt;&gt;first_year),_xlfn.SUMIFS(INDEX('Калькуляция (МИ корр)'!$AJ$25:$BC$606,,MATCH(AV$8,'Калькуляция (МИ корр)'!$AJ$8:$BC$8,0)),'Калькуляция (МИ корр)'!$F$25:$F$606,$F254,'Калькуляция (МИ корр)'!$G$25:$G$606,$G254),IF(method_reg="Метод экономически обоснованных расходов",_xlfn.SUMIFS('Калькуляция (МЭОР)'!$AJ$25:$AJ$367,'Калькуляция (МЭОР)'!$F$25:$F$367,$F254,'Калькуляция (МЭОР)'!$G$25:$G$367,$G254),IF(method_reg="Метод сравнения аналогов",_xlfn.SUMIFS('Калькуляция (МСА)'!$AE$25:$AE$103,'Калькуляция (МСА)'!$F$25:$F$103,$F254,'Калькуляция (МСА)'!$G$25:$G$103,$G254),_xlfn.SUMIFS(INDEX('Калькуляция (МИ)'!$AJ$25:$BC$603,,MATCH(AV$8,'Калькуляция (МИ)'!$AJ$8:$BC$8,0)),'Калькуляция (МИ)'!$F$25:$F$603,$F254,'Калькуляция (МИ)'!$G$25:$G$603,$G254))))</f>
        <v>0</v>
      </c>
      <c r="AW254" s="4585">
        <f>IF(AND(method_reg="Метод индексации",god&lt;&gt;first_year),_xlfn.SUMIFS(INDEX('Калькуляция (МИ корр)'!$AJ$25:$BC$606,,MATCH(AW$8,'Калькуляция (МИ корр)'!$AJ$8:$BC$8,0)),'Калькуляция (МИ корр)'!$F$25:$F$606,$F254,'Калькуляция (МИ корр)'!$G$25:$G$606,$G254),IF(method_reg="Метод экономически обоснованных расходов",_xlfn.SUMIFS('Калькуляция (МЭОР)'!$AK$25:$AK$367,'Калькуляция (МЭОР)'!$F$25:$F$367,$F254,'Калькуляция (МЭОР)'!$G$25:$G$367,$G254),IF(method_reg="Метод сравнения аналогов",_xlfn.SUMIFS('Калькуляция (МСА)'!$AF$25:$AF$103,'Калькуляция (МСА)'!$F$25:$F$103,$F254,'Калькуляция (МСА)'!$G$25:$G$103,$G254),_xlfn.SUMIFS(INDEX('Калькуляция (МИ)'!$AJ$25:$BC$603,,MATCH(AW$8,'Калькуляция (МИ)'!$AJ$8:$BC$8,0)),'Калькуляция (МИ)'!$F$25:$F$603,$F254,'Калькуляция (МИ)'!$G$25:$G$603,$G254))))</f>
        <v>0</v>
      </c>
      <c r="AX254" s="1104">
        <f>IF(AV254=0,0,(AW254-AV254)/AV254*100)</f>
        <v>0</v>
      </c>
      <c r="AY254" s="4585">
        <f>IF(AND(method_reg="Метод индексации",god&lt;&gt;first_year),_xlfn.SUMIFS(INDEX('Калькуляция (МИ корр)'!$AJ$25:$BC$606,,MATCH(AY$8,'Калькуляция (МИ корр)'!$AJ$8:$BC$8,0)),'Калькуляция (МИ корр)'!$F$25:$F$606,$F254,'Калькуляция (МИ корр)'!$G$25:$G$606,$G254),IF(method_reg="Метод экономически обоснованных расходов",_xlfn.SUMIFS('Калькуляция (МЭОР)'!$AJ$25:$AJ$367,'Калькуляция (МЭОР)'!$F$25:$F$367,$F254,'Калькуляция (МЭОР)'!$G$25:$G$367,$G254),IF(method_reg="Метод сравнения аналогов",_xlfn.SUMIFS('Калькуляция (МСА)'!$AE$25:$AE$103,'Калькуляция (МСА)'!$F$25:$F$103,$F254,'Калькуляция (МСА)'!$G$25:$G$103,$G254),_xlfn.SUMIFS(INDEX('Калькуляция (МИ)'!$AJ$25:$BC$603,,MATCH(AY$8,'Калькуляция (МИ)'!$AJ$8:$BC$8,0)),'Калькуляция (МИ)'!$F$25:$F$603,$F254,'Калькуляция (МИ)'!$G$25:$G$603,$G254))))</f>
        <v>0</v>
      </c>
      <c r="AZ254" s="4585">
        <f>IF(AND(method_reg="Метод индексации",god&lt;&gt;first_year),_xlfn.SUMIFS(INDEX('Калькуляция (МИ корр)'!$AJ$25:$BC$606,,MATCH(AZ$8,'Калькуляция (МИ корр)'!$AJ$8:$BC$8,0)),'Калькуляция (МИ корр)'!$F$25:$F$606,$F254,'Калькуляция (МИ корр)'!$G$25:$G$606,$G254),IF(method_reg="Метод экономически обоснованных расходов",_xlfn.SUMIFS('Калькуляция (МЭОР)'!$AK$25:$AK$367,'Калькуляция (МЭОР)'!$F$25:$F$367,$F254,'Калькуляция (МЭОР)'!$G$25:$G$367,$G254),IF(method_reg="Метод сравнения аналогов",_xlfn.SUMIFS('Калькуляция (МСА)'!$AF$25:$AF$103,'Калькуляция (МСА)'!$F$25:$F$103,$F254,'Калькуляция (МСА)'!$G$25:$G$103,$G254),_xlfn.SUMIFS(INDEX('Калькуляция (МИ)'!$AJ$25:$BC$603,,MATCH(AZ$8,'Калькуляция (МИ)'!$AJ$8:$BC$8,0)),'Калькуляция (МИ)'!$F$25:$F$603,$F254,'Калькуляция (МИ)'!$G$25:$G$603,$G254))))</f>
        <v>0</v>
      </c>
      <c r="BA254" s="1104">
        <f>IF(AY254=0,0,(AZ254-AY254)/AY254*100)</f>
        <v>0</v>
      </c>
      <c r="BB254" s="4585">
        <f>IF(AND(method_reg="Метод индексации",god&lt;&gt;first_year),_xlfn.SUMIFS(INDEX('Калькуляция (МИ корр)'!$AJ$25:$BC$606,,MATCH(BB$8,'Калькуляция (МИ корр)'!$AJ$8:$BC$8,0)),'Калькуляция (МИ корр)'!$F$25:$F$606,$F254,'Калькуляция (МИ корр)'!$G$25:$G$606,$G254),IF(method_reg="Метод экономически обоснованных расходов",_xlfn.SUMIFS('Калькуляция (МЭОР)'!$AJ$25:$AJ$367,'Калькуляция (МЭОР)'!$F$25:$F$367,$F254,'Калькуляция (МЭОР)'!$G$25:$G$367,$G254),IF(method_reg="Метод сравнения аналогов",_xlfn.SUMIFS('Калькуляция (МСА)'!$AE$25:$AE$103,'Калькуляция (МСА)'!$F$25:$F$103,$F254,'Калькуляция (МСА)'!$G$25:$G$103,$G254),_xlfn.SUMIFS(INDEX('Калькуляция (МИ)'!$AJ$25:$BC$603,,MATCH(BB$8,'Калькуляция (МИ)'!$AJ$8:$BC$8,0)),'Калькуляция (МИ)'!$F$25:$F$603,$F254,'Калькуляция (МИ)'!$G$25:$G$603,$G254))))</f>
        <v>0</v>
      </c>
      <c r="BC254" s="4585">
        <f>IF(AND(method_reg="Метод индексации",god&lt;&gt;first_year),_xlfn.SUMIFS(INDEX('Калькуляция (МИ корр)'!$AJ$25:$BC$606,,MATCH(BC$8,'Калькуляция (МИ корр)'!$AJ$8:$BC$8,0)),'Калькуляция (МИ корр)'!$F$25:$F$606,$F254,'Калькуляция (МИ корр)'!$G$25:$G$606,$G254),IF(method_reg="Метод экономически обоснованных расходов",_xlfn.SUMIFS('Калькуляция (МЭОР)'!$AK$25:$AK$367,'Калькуляция (МЭОР)'!$F$25:$F$367,$F254,'Калькуляция (МЭОР)'!$G$25:$G$367,$G254),IF(method_reg="Метод сравнения аналогов",_xlfn.SUMIFS('Калькуляция (МСА)'!$AF$25:$AF$103,'Калькуляция (МСА)'!$F$25:$F$103,$F254,'Калькуляция (МСА)'!$G$25:$G$103,$G254),_xlfn.SUMIFS(INDEX('Калькуляция (МИ)'!$AJ$25:$BC$603,,MATCH(BC$8,'Калькуляция (МИ)'!$AJ$8:$BC$8,0)),'Калькуляция (МИ)'!$F$25:$F$603,$F254,'Калькуляция (МИ)'!$G$25:$G$603,$G254))))</f>
        <v>0</v>
      </c>
      <c r="BD254" s="1104">
        <f>IF(BB254=0,0,(BC254-BB254)/BB254*100)</f>
        <v>0</v>
      </c>
      <c r="BE254" s="4585">
        <f>IF(AND(method_reg="Метод индексации",god&lt;&gt;first_year),_xlfn.SUMIFS(INDEX('Калькуляция (МИ корр)'!$AJ$25:$BC$606,,MATCH(BE$8,'Калькуляция (МИ корр)'!$AJ$8:$BC$8,0)),'Калькуляция (МИ корр)'!$F$25:$F$606,$F254,'Калькуляция (МИ корр)'!$G$25:$G$606,$G254),IF(method_reg="Метод экономически обоснованных расходов",_xlfn.SUMIFS('Калькуляция (МЭОР)'!$AJ$25:$AJ$367,'Калькуляция (МЭОР)'!$F$25:$F$367,$F254,'Калькуляция (МЭОР)'!$G$25:$G$367,$G254),IF(method_reg="Метод сравнения аналогов",_xlfn.SUMIFS('Калькуляция (МСА)'!$AE$25:$AE$103,'Калькуляция (МСА)'!$F$25:$F$103,$F254,'Калькуляция (МСА)'!$G$25:$G$103,$G254),_xlfn.SUMIFS(INDEX('Калькуляция (МИ)'!$AJ$25:$BC$603,,MATCH(BE$8,'Калькуляция (МИ)'!$AJ$8:$BC$8,0)),'Калькуляция (МИ)'!$F$25:$F$603,$F254,'Калькуляция (МИ)'!$G$25:$G$603,$G254))))</f>
        <v>0</v>
      </c>
      <c r="BF254" s="4585">
        <f>IF(AND(method_reg="Метод индексации",god&lt;&gt;first_year),_xlfn.SUMIFS(INDEX('Калькуляция (МИ корр)'!$AJ$25:$BC$606,,MATCH(BF$8,'Калькуляция (МИ корр)'!$AJ$8:$BC$8,0)),'Калькуляция (МИ корр)'!$F$25:$F$606,$F254,'Калькуляция (МИ корр)'!$G$25:$G$606,$G254),IF(method_reg="Метод экономически обоснованных расходов",_xlfn.SUMIFS('Калькуляция (МЭОР)'!$AK$25:$AK$367,'Калькуляция (МЭОР)'!$F$25:$F$367,$F254,'Калькуляция (МЭОР)'!$G$25:$G$367,$G254),IF(method_reg="Метод сравнения аналогов",_xlfn.SUMIFS('Калькуляция (МСА)'!$AF$25:$AF$103,'Калькуляция (МСА)'!$F$25:$F$103,$F254,'Калькуляция (МСА)'!$G$25:$G$103,$G254),_xlfn.SUMIFS(INDEX('Калькуляция (МИ)'!$AJ$25:$BC$603,,MATCH(BF$8,'Калькуляция (МИ)'!$AJ$8:$BC$8,0)),'Калькуляция (МИ)'!$F$25:$F$603,$F254,'Калькуляция (МИ)'!$G$25:$G$603,$G254))))</f>
        <v>0</v>
      </c>
      <c r="BG254" s="1104">
        <f>IF(BE254=0,0,(BF254-BE254)/BE254*100)</f>
        <v>0</v>
      </c>
      <c r="BH254" s="4585"/>
      <c r="BI254" s="4585"/>
      <c r="BJ254" s="1104">
        <f>IF(BH254=0,0,(BI254-BH254)/BH254*100)</f>
        <v>0</v>
      </c>
      <c r="BK254" s="4585"/>
      <c r="BL254" s="4585"/>
      <c r="BM254" s="1104">
        <f>IF(BK254=0,0,(BL254-BK254)/BK254*100)</f>
        <v>0</v>
      </c>
      <c r="BN254" s="4585"/>
      <c r="BO254" s="4585"/>
      <c r="BP254" s="1104">
        <f>IF(BN254=0,0,(BO254-BN254)/BN254*100)</f>
        <v>0</v>
      </c>
      <c r="BQ254" s="4585"/>
      <c r="BR254" s="4585"/>
      <c r="BS254" s="1104">
        <f>IF(BQ254=0,0,(BR254-BQ254)/BQ254*100)</f>
        <v>0</v>
      </c>
      <c r="BT254" s="4585"/>
      <c r="BU254" s="4585"/>
      <c r="BV254" s="1104">
        <f>IF(BT254=0,0,(BU254-BT254)/BT254*100)</f>
        <v>0</v>
      </c>
      <c r="BW254" s="4585"/>
      <c r="BX254" s="4585"/>
      <c r="BY254" s="1104">
        <f>IF(BW254=0,0,(BX254-BW254)/BW254*100)</f>
        <v>0</v>
      </c>
      <c r="BZ254" s="4585"/>
      <c r="CA254" s="4585"/>
      <c r="CB254" s="1104">
        <f>IF(BZ254=0,0,(CA254-BZ254)/BZ254*100)</f>
        <v>0</v>
      </c>
      <c r="CC254" s="4585"/>
      <c r="CD254" s="4585"/>
      <c r="CE254" s="1104">
        <f>IF(CC254=0,0,(CD254-CC254)/CC254*100)</f>
        <v>0</v>
      </c>
      <c r="CF254" s="4585"/>
      <c r="CG254" s="4585"/>
      <c r="CH254" s="1104">
        <f>IF(CF254=0,0,(CG254-CF254)/CF254*100)</f>
        <v>0</v>
      </c>
      <c r="CI254" s="4585"/>
      <c r="CJ254" s="4585"/>
      <c r="CK254" s="1104">
        <f>IF(CI254=0,0,(CJ254-CI254)/CI254*100)</f>
        <v>0</v>
      </c>
      <c r="CL254" s="4585"/>
      <c r="CM254" s="4585"/>
      <c r="CN254" s="1104">
        <f>IF(CL254=0,0,(CM254-CL254)/CL254*100)</f>
        <v>0</v>
      </c>
      <c r="CO254" s="4585"/>
      <c r="CP254" s="4585"/>
      <c r="CQ254" s="1104">
        <f>IF(CO254=0,0,(CP254-CO254)/CO254*100)</f>
        <v>0</v>
      </c>
      <c r="CR254" s="4585"/>
      <c r="CS254" s="4585"/>
      <c r="CT254" s="1104">
        <f>IF(CR254=0,0,(CS254-CR254)/CR254*100)</f>
        <v>0</v>
      </c>
      <c r="CU254" s="4585"/>
      <c r="CV254" s="4585"/>
      <c r="CW254" s="1104">
        <f>IF(CU254=0,0,(CV254-CU254)/CU254*100)</f>
        <v>0</v>
      </c>
      <c r="CX254" s="4585"/>
      <c r="CY254" s="4585"/>
      <c r="CZ254" s="1104">
        <f>IF(CX254=0,0,(CY254-CX254)/CX254*100)</f>
        <v>0</v>
      </c>
      <c r="DA254" s="4585"/>
      <c r="DB254" s="4585"/>
      <c r="DC254" s="1104">
        <f>IF(DA254=0,0,(DB254-DA254)/DA254*100)</f>
        <v>0</v>
      </c>
      <c r="DD254" s="4585"/>
      <c r="DE254" s="4585"/>
      <c r="DF254" s="1104">
        <f>IF(DD254=0,0,(DE254-DD254)/DD254*100)</f>
        <v>0</v>
      </c>
      <c r="DG254" s="4585"/>
      <c r="DH254" s="4585"/>
      <c r="DI254" s="1104">
        <f>IF(DG254=0,0,(DH254-DG254)/DG254*100)</f>
        <v>0</v>
      </c>
      <c r="DJ254" s="4585"/>
      <c r="DK254" s="4585"/>
      <c r="DL254" s="1104">
        <f>IF(DJ254=0,0,(DK254-DJ254)/DJ254*100)</f>
        <v>0</v>
      </c>
      <c r="DM254" s="4585"/>
      <c r="DN254" s="4585"/>
      <c r="DO254" s="1104">
        <f>IF(DM254=0,0,(DN254-DM254)/DM254*100)</f>
        <v>0</v>
      </c>
      <c r="DP254" s="4585"/>
      <c r="DQ254" s="4585"/>
      <c r="DR254" s="1104">
        <f>IF(DP254=0,0,(DQ254-DP254)/DP254*100)</f>
        <v>0</v>
      </c>
      <c r="DS254" s="4585"/>
      <c r="DT254" s="4585"/>
      <c r="DU254" s="1104">
        <f>IF(DS254=0,0,(DT254-DS254)/DS254*100)</f>
        <v>0</v>
      </c>
      <c r="DV254" s="4585"/>
      <c r="DW254" s="4585"/>
      <c r="DX254" s="1104">
        <f>IF(DV254=0,0,(DW254-DV254)/DV254*100)</f>
        <v>0</v>
      </c>
      <c r="DY254" s="4585"/>
      <c r="DZ254" s="4585"/>
      <c r="EA254" s="1104">
        <f>IF(DY254=0,0,(DZ254-DY254)/DY254*100)</f>
        <v>0</v>
      </c>
      <c r="EB254" s="4585"/>
      <c r="EC254" s="4585"/>
      <c r="ED254" s="1104">
        <f>IF(EB254=0,0,(EC254-EB254)/EB254*100)</f>
        <v>0</v>
      </c>
      <c r="EE254" s="4585"/>
      <c r="EF254" s="4585"/>
      <c r="EG254" s="1104">
        <f>IF(EE254=0,0,(EF254-EE254)/EE254*100)</f>
        <v>0</v>
      </c>
      <c r="EH254" s="4585"/>
      <c r="EI254" s="4585"/>
      <c r="EJ254" s="1104">
        <f>IF(EH254=0,0,(EI254-EH254)/EH254*100)</f>
        <v>0</v>
      </c>
      <c r="EK254" s="4585"/>
      <c r="EL254" s="4585"/>
      <c r="EM254" s="1104">
        <f>IF(EK254=0,0,(EL254-EK254)/EK254*100)</f>
        <v>0</v>
      </c>
      <c r="EN254" s="4585"/>
      <c r="EO254" s="4585"/>
      <c r="EP254" s="1104">
        <f>IF(EN254=0,0,(EO254-EN254)/EN254*100)</f>
        <v>0</v>
      </c>
      <c r="EQ254" s="4585"/>
      <c r="ER254" s="4585"/>
      <c r="ES254" s="1104">
        <f>IF(EQ254=0,0,(ER254-EQ254)/EQ254*100)</f>
        <v>0</v>
      </c>
      <c r="ET254" s="4585"/>
      <c r="EU254" s="4585"/>
      <c r="EV254" s="1104">
        <f>IF(ET254=0,0,(EU254-ET254)/ET254*100)</f>
        <v>0</v>
      </c>
      <c r="EW254" s="4585"/>
      <c r="EX254" s="4585"/>
      <c r="EY254" s="1104">
        <f>IF(EW254=0,0,(EX254-EW254)/EW254*100)</f>
        <v>0</v>
      </c>
      <c r="EZ254" s="4585"/>
      <c r="FA254" s="4585"/>
      <c r="FB254" s="1104">
        <f>IF(EZ254=0,0,(FA254-EZ254)/EZ254*100)</f>
        <v>0</v>
      </c>
      <c r="FC254" s="4585"/>
      <c r="FD254" s="4585"/>
      <c r="FE254" s="1104">
        <f>IF(FC254=0,0,(FD254-FC254)/FC254*100)</f>
        <v>0</v>
      </c>
      <c r="FF254" s="4585"/>
      <c r="FG254" s="4585"/>
      <c r="FH254" s="1104">
        <f>IF(FF254=0,0,(FG254-FF254)/FF254*100)</f>
        <v>0</v>
      </c>
      <c r="FI254" s="4585"/>
      <c r="FJ254" s="4585"/>
      <c r="FK254" s="1104">
        <f>IF(FI254=0,0,(FJ254-FI254)/FI254*100)</f>
        <v>0</v>
      </c>
      <c r="FL254" s="4585"/>
      <c r="FM254" s="4585"/>
      <c r="FN254" s="1104">
        <f>IF(FL254=0,0,(FM254-FL254)/FL254*100)</f>
        <v>0</v>
      </c>
      <c r="FO254" s="4585"/>
      <c r="FP254" s="4585"/>
      <c r="FQ254" s="1104">
        <f>IF(FO254=0,0,(FP254-FO254)/FO254*100)</f>
        <v>0</v>
      </c>
      <c r="FR254" s="4585"/>
      <c r="FS254" s="4585"/>
      <c r="FT254" s="1104">
        <f>IF(FR254=0,0,(FS254-FR254)/FR254*100)</f>
        <v>0</v>
      </c>
      <c r="FU254" s="4585"/>
      <c r="FV254" s="4585"/>
      <c r="FW254" s="1104">
        <f>IF(FU254=0,0,(FV254-FU254)/FU254*100)</f>
        <v>0</v>
      </c>
      <c r="FX254" s="288"/>
      <c r="FY254" s="1328"/>
      <c r="FZ254" s="1063" t="s">
        <v>1886</v>
      </c>
      <c r="GA254" s="1330"/>
      <c r="GB254" s="1330"/>
      <c r="GC254" s="1329"/>
      <c r="GD254" s="1329"/>
    </row>
    <row s="1656" customFormat="1" customHeight="1" ht="18" hidden="1">
      <c r="A255" s="496"/>
      <c r="B255" s="932" cm="1" t="str">
        <f t="array" ref="B255:B255">B254</f>
        <v>true</v>
      </c>
      <c r="C255" s="496"/>
      <c r="D255" s="496"/>
      <c r="E255" s="847">
        <v>18.75</v>
      </c>
      <c r="F255" s="50" cm="1" t="str">
        <f t="array" ref="F255:F255">OFFSET(E255,-1,1)</f>
        <v>3</v>
      </c>
      <c r="G255" s="496"/>
      <c r="H255" s="496" t="s">
        <v>566</v>
      </c>
      <c r="I255" s="496" cm="1" t="str">
        <f t="array" ref="I255:I255">AB255</f>
        <v>0</v>
      </c>
      <c r="J255" s="496"/>
      <c r="K255" s="496"/>
      <c r="L255" s="496"/>
      <c r="M255" s="496"/>
      <c r="N255" s="496"/>
      <c r="O255" s="496"/>
      <c r="P255" s="496"/>
      <c r="Q255" s="904"/>
      <c r="R255" s="496"/>
      <c r="S255" s="496"/>
      <c r="T255" s="468">
        <f>AND(F255&gt;0,Y255&gt;0)</f>
        <v>0</v>
      </c>
      <c r="U255" s="496"/>
      <c r="V255" s="496"/>
      <c r="W255" s="496" t="s">
        <v>173</v>
      </c>
      <c r="X255" s="1559"/>
      <c r="Y255" s="1559">
        <v>0</v>
      </c>
      <c r="Z255" s="1528"/>
      <c r="AA255" s="1516" t="s">
        <v>174</v>
      </c>
      <c r="AB255" s="4590"/>
      <c r="AC255" s="871" t="s">
        <v>1862</v>
      </c>
      <c r="AD255" s="4591"/>
      <c r="AE255" s="4592"/>
      <c r="AF255" s="1102">
        <f>IF(AD255=0,0,(AE255-AD255)/AD255*100)</f>
        <v>0</v>
      </c>
      <c r="AG255" s="4591"/>
      <c r="AH255" s="4592"/>
      <c r="AI255" s="1102">
        <f>IF(AG255=0,0,(AH255-AG255)/AG255*100)</f>
        <v>0</v>
      </c>
      <c r="AJ255" s="4591"/>
      <c r="AK255" s="4592"/>
      <c r="AL255" s="1102">
        <f>IF(AJ255=0,0,(AK255-AJ255)/AJ255*100)</f>
        <v>0</v>
      </c>
      <c r="AM255" s="4591"/>
      <c r="AN255" s="4592"/>
      <c r="AO255" s="1102">
        <f>IF(AM255=0,0,(AN255-AM255)/AM255*100)</f>
        <v>0</v>
      </c>
      <c r="AP255" s="4591"/>
      <c r="AQ255" s="4592"/>
      <c r="AR255" s="1102">
        <f>IF(AP255=0,0,(AQ255-AP255)/AP255*100)</f>
        <v>0</v>
      </c>
      <c r="AS255" s="4591"/>
      <c r="AT255" s="4592"/>
      <c r="AU255" s="1102">
        <f>IF(AS255=0,0,(AT255-AS255)/AS255*100)</f>
        <v>0</v>
      </c>
      <c r="AV255" s="4591"/>
      <c r="AW255" s="4592"/>
      <c r="AX255" s="1102">
        <f>IF(AV255=0,0,(AW255-AV255)/AV255*100)</f>
        <v>0</v>
      </c>
      <c r="AY255" s="4591"/>
      <c r="AZ255" s="4592"/>
      <c r="BA255" s="1102">
        <f>IF(AY255=0,0,(AZ255-AY255)/AY255*100)</f>
        <v>0</v>
      </c>
      <c r="BB255" s="4591"/>
      <c r="BC255" s="4592"/>
      <c r="BD255" s="1102">
        <f>IF(BB255=0,0,(BC255-BB255)/BB255*100)</f>
        <v>0</v>
      </c>
      <c r="BE255" s="4591"/>
      <c r="BF255" s="4592"/>
      <c r="BG255" s="1102">
        <f>IF(BE255=0,0,(BF255-BE255)/BE255*100)</f>
        <v>0</v>
      </c>
      <c r="BH255" s="4591"/>
      <c r="BI255" s="4592"/>
      <c r="BJ255" s="1102">
        <f>IF(BH255=0,0,(BI255-BH255)/BH255*100)</f>
        <v>0</v>
      </c>
      <c r="BK255" s="4591"/>
      <c r="BL255" s="4592"/>
      <c r="BM255" s="1102">
        <f>IF(BK255=0,0,(BL255-BK255)/BK255*100)</f>
        <v>0</v>
      </c>
      <c r="BN255" s="4591"/>
      <c r="BO255" s="4592"/>
      <c r="BP255" s="1102">
        <f>IF(BN255=0,0,(BO255-BN255)/BN255*100)</f>
        <v>0</v>
      </c>
      <c r="BQ255" s="4591"/>
      <c r="BR255" s="4592"/>
      <c r="BS255" s="1102">
        <f>IF(BQ255=0,0,(BR255-BQ255)/BQ255*100)</f>
        <v>0</v>
      </c>
      <c r="BT255" s="4591"/>
      <c r="BU255" s="4592"/>
      <c r="BV255" s="1102">
        <f>IF(BT255=0,0,(BU255-BT255)/BT255*100)</f>
        <v>0</v>
      </c>
      <c r="BW255" s="4591"/>
      <c r="BX255" s="4592"/>
      <c r="BY255" s="1102">
        <f>IF(BW255=0,0,(BX255-BW255)/BW255*100)</f>
        <v>0</v>
      </c>
      <c r="BZ255" s="4591"/>
      <c r="CA255" s="4592"/>
      <c r="CB255" s="1102">
        <f>IF(BZ255=0,0,(CA255-BZ255)/BZ255*100)</f>
        <v>0</v>
      </c>
      <c r="CC255" s="4591"/>
      <c r="CD255" s="4592"/>
      <c r="CE255" s="1102">
        <f>IF(CC255=0,0,(CD255-CC255)/CC255*100)</f>
        <v>0</v>
      </c>
      <c r="CF255" s="4591"/>
      <c r="CG255" s="4592"/>
      <c r="CH255" s="1102">
        <f>IF(CF255=0,0,(CG255-CF255)/CF255*100)</f>
        <v>0</v>
      </c>
      <c r="CI255" s="4591"/>
      <c r="CJ255" s="4592"/>
      <c r="CK255" s="1102">
        <f>IF(CI255=0,0,(CJ255-CI255)/CI255*100)</f>
        <v>0</v>
      </c>
      <c r="CL255" s="4591"/>
      <c r="CM255" s="4592"/>
      <c r="CN255" s="1102">
        <f>IF(CL255=0,0,(CM255-CL255)/CL255*100)</f>
        <v>0</v>
      </c>
      <c r="CO255" s="4591"/>
      <c r="CP255" s="4592"/>
      <c r="CQ255" s="1102">
        <f>IF(CO255=0,0,(CP255-CO255)/CO255*100)</f>
        <v>0</v>
      </c>
      <c r="CR255" s="4591"/>
      <c r="CS255" s="4592"/>
      <c r="CT255" s="1102">
        <f>IF(CR255=0,0,(CS255-CR255)/CR255*100)</f>
        <v>0</v>
      </c>
      <c r="CU255" s="4591"/>
      <c r="CV255" s="4592"/>
      <c r="CW255" s="1102">
        <f>IF(CU255=0,0,(CV255-CU255)/CU255*100)</f>
        <v>0</v>
      </c>
      <c r="CX255" s="4591"/>
      <c r="CY255" s="4592"/>
      <c r="CZ255" s="1102">
        <f>IF(CX255=0,0,(CY255-CX255)/CX255*100)</f>
        <v>0</v>
      </c>
      <c r="DA255" s="4591"/>
      <c r="DB255" s="4592"/>
      <c r="DC255" s="1102">
        <f>IF(DA255=0,0,(DB255-DA255)/DA255*100)</f>
        <v>0</v>
      </c>
      <c r="DD255" s="4591"/>
      <c r="DE255" s="4592"/>
      <c r="DF255" s="1102">
        <f>IF(DD255=0,0,(DE255-DD255)/DD255*100)</f>
        <v>0</v>
      </c>
      <c r="DG255" s="4591"/>
      <c r="DH255" s="4592"/>
      <c r="DI255" s="1102">
        <f>IF(DG255=0,0,(DH255-DG255)/DG255*100)</f>
        <v>0</v>
      </c>
      <c r="DJ255" s="4591"/>
      <c r="DK255" s="4592"/>
      <c r="DL255" s="1102">
        <f>IF(DJ255=0,0,(DK255-DJ255)/DJ255*100)</f>
        <v>0</v>
      </c>
      <c r="DM255" s="4591"/>
      <c r="DN255" s="4592"/>
      <c r="DO255" s="1102">
        <f>IF(DM255=0,0,(DN255-DM255)/DM255*100)</f>
        <v>0</v>
      </c>
      <c r="DP255" s="4591"/>
      <c r="DQ255" s="4592"/>
      <c r="DR255" s="1102">
        <f>IF(DP255=0,0,(DQ255-DP255)/DP255*100)</f>
        <v>0</v>
      </c>
      <c r="DS255" s="4591"/>
      <c r="DT255" s="4592"/>
      <c r="DU255" s="1102">
        <f>IF(DS255=0,0,(DT255-DS255)/DS255*100)</f>
        <v>0</v>
      </c>
      <c r="DV255" s="4591"/>
      <c r="DW255" s="4592"/>
      <c r="DX255" s="1102">
        <f>IF(DV255=0,0,(DW255-DV255)/DV255*100)</f>
        <v>0</v>
      </c>
      <c r="DY255" s="4591"/>
      <c r="DZ255" s="4592"/>
      <c r="EA255" s="1102">
        <f>IF(DY255=0,0,(DZ255-DY255)/DY255*100)</f>
        <v>0</v>
      </c>
      <c r="EB255" s="4591"/>
      <c r="EC255" s="4592"/>
      <c r="ED255" s="1102">
        <f>IF(EB255=0,0,(EC255-EB255)/EB255*100)</f>
        <v>0</v>
      </c>
      <c r="EE255" s="4591"/>
      <c r="EF255" s="4592"/>
      <c r="EG255" s="1102">
        <f>IF(EE255=0,0,(EF255-EE255)/EE255*100)</f>
        <v>0</v>
      </c>
      <c r="EH255" s="4591"/>
      <c r="EI255" s="4592"/>
      <c r="EJ255" s="1102">
        <f>IF(EH255=0,0,(EI255-EH255)/EH255*100)</f>
        <v>0</v>
      </c>
      <c r="EK255" s="4591"/>
      <c r="EL255" s="4592"/>
      <c r="EM255" s="1102">
        <f>IF(EK255=0,0,(EL255-EK255)/EK255*100)</f>
        <v>0</v>
      </c>
      <c r="EN255" s="4591"/>
      <c r="EO255" s="4592"/>
      <c r="EP255" s="1102">
        <f>IF(EN255=0,0,(EO255-EN255)/EN255*100)</f>
        <v>0</v>
      </c>
      <c r="EQ255" s="4591"/>
      <c r="ER255" s="4592"/>
      <c r="ES255" s="1102">
        <f>IF(EQ255=0,0,(ER255-EQ255)/EQ255*100)</f>
        <v>0</v>
      </c>
      <c r="ET255" s="4591"/>
      <c r="EU255" s="4592"/>
      <c r="EV255" s="1102">
        <f>IF(ET255=0,0,(EU255-ET255)/ET255*100)</f>
        <v>0</v>
      </c>
      <c r="EW255" s="4591"/>
      <c r="EX255" s="4592"/>
      <c r="EY255" s="1102">
        <f>IF(EW255=0,0,(EX255-EW255)/EW255*100)</f>
        <v>0</v>
      </c>
      <c r="EZ255" s="4591"/>
      <c r="FA255" s="4592"/>
      <c r="FB255" s="1102">
        <f>IF(EZ255=0,0,(FA255-EZ255)/EZ255*100)</f>
        <v>0</v>
      </c>
      <c r="FC255" s="4591"/>
      <c r="FD255" s="4592"/>
      <c r="FE255" s="1102">
        <f>IF(FC255=0,0,(FD255-FC255)/FC255*100)</f>
        <v>0</v>
      </c>
      <c r="FF255" s="4591"/>
      <c r="FG255" s="4592"/>
      <c r="FH255" s="1102">
        <f>IF(FF255=0,0,(FG255-FF255)/FF255*100)</f>
        <v>0</v>
      </c>
      <c r="FI255" s="4591"/>
      <c r="FJ255" s="4592"/>
      <c r="FK255" s="1102">
        <f>IF(FI255=0,0,(FJ255-FI255)/FI255*100)</f>
        <v>0</v>
      </c>
      <c r="FL255" s="4591"/>
      <c r="FM255" s="4592"/>
      <c r="FN255" s="1102">
        <f>IF(FL255=0,0,(FM255-FL255)/FL255*100)</f>
        <v>0</v>
      </c>
      <c r="FO255" s="4591"/>
      <c r="FP255" s="4592"/>
      <c r="FQ255" s="1102">
        <f>IF(FO255=0,0,(FP255-FO255)/FO255*100)</f>
        <v>0</v>
      </c>
      <c r="FR255" s="4591"/>
      <c r="FS255" s="4592"/>
      <c r="FT255" s="1102">
        <f>IF(FR255=0,0,(FS255-FR255)/FR255*100)</f>
        <v>0</v>
      </c>
      <c r="FU255" s="4591"/>
      <c r="FV255" s="4592"/>
      <c r="FW255" s="1102">
        <f>IF(FU255=0,0,(FV255-FU255)/FU255*100)</f>
        <v>0</v>
      </c>
      <c r="FX255" s="288"/>
      <c r="FY255" s="1328"/>
      <c r="FZ255" s="1063" t="s">
        <v>1887</v>
      </c>
      <c r="GA255" s="1023" t="s">
        <v>1888</v>
      </c>
      <c r="GB255" s="1023" cm="1" t="str">
        <f t="array" ref="GB255:GB255">AB255</f>
        <v>0</v>
      </c>
      <c r="GC255" s="1329"/>
      <c r="GD255" s="637" t="b">
        <v>1</v>
      </c>
    </row>
    <row customHeight="1" ht="18.525" hidden="1">
      <c r="A256" s="496"/>
      <c r="B256" s="932" cm="1" t="str">
        <f t="array" ref="B256:B256">B255</f>
        <v>true</v>
      </c>
      <c r="C256" s="496"/>
      <c r="D256" s="496"/>
      <c r="E256" s="847">
        <v>19</v>
      </c>
      <c r="F256" s="50" cm="1" t="str">
        <f t="array" ref="F256:F256">OFFSET(E256,-1,1)</f>
        <v>3</v>
      </c>
      <c r="G256" s="496"/>
      <c r="H256" s="496"/>
      <c r="I256" s="496"/>
      <c r="J256" s="496"/>
      <c r="K256" s="496"/>
      <c r="L256" s="496"/>
      <c r="M256" s="496"/>
      <c r="N256" s="496"/>
      <c r="O256" s="496"/>
      <c r="P256" s="496"/>
      <c r="Q256" s="904"/>
      <c r="R256" s="496"/>
      <c r="S256" s="496"/>
      <c r="T256" s="468" cm="1" t="str">
        <f t="array" ref="T256:T256">T255</f>
        <v>false</v>
      </c>
      <c r="U256" s="496"/>
      <c r="V256" s="496"/>
      <c r="W256" s="496"/>
      <c r="X256" s="1559"/>
      <c r="Y256" s="1559"/>
      <c r="Z256" s="1528"/>
      <c r="AA256" s="1516"/>
      <c r="AB256" s="4590"/>
      <c r="AC256" s="871" t="s">
        <v>1862</v>
      </c>
      <c r="AD256" s="4591"/>
      <c r="AE256" s="4592"/>
      <c r="AF256" s="1102">
        <f>IF(AD256=0,0,(AE256-AD256)/AD256*100)</f>
        <v>0</v>
      </c>
      <c r="AG256" s="4591"/>
      <c r="AH256" s="4592"/>
      <c r="AI256" s="1102">
        <f>IF(AG256=0,0,(AH256-AG256)/AG256*100)</f>
        <v>0</v>
      </c>
      <c r="AJ256" s="4591"/>
      <c r="AK256" s="4592"/>
      <c r="AL256" s="1102">
        <f>IF(AJ256=0,0,(AK256-AJ256)/AJ256*100)</f>
        <v>0</v>
      </c>
      <c r="AM256" s="4591"/>
      <c r="AN256" s="4592"/>
      <c r="AO256" s="1102">
        <f>IF(AM256=0,0,(AN256-AM256)/AM256*100)</f>
        <v>0</v>
      </c>
      <c r="AP256" s="4591"/>
      <c r="AQ256" s="4592"/>
      <c r="AR256" s="1102">
        <f>IF(AP256=0,0,(AQ256-AP256)/AP256*100)</f>
        <v>0</v>
      </c>
      <c r="AS256" s="4591"/>
      <c r="AT256" s="4592"/>
      <c r="AU256" s="1102">
        <f>IF(AS256=0,0,(AT256-AS256)/AS256*100)</f>
        <v>0</v>
      </c>
      <c r="AV256" s="4591"/>
      <c r="AW256" s="4592"/>
      <c r="AX256" s="1102">
        <f>IF(AV256=0,0,(AW256-AV256)/AV256*100)</f>
        <v>0</v>
      </c>
      <c r="AY256" s="4591"/>
      <c r="AZ256" s="4592"/>
      <c r="BA256" s="1102">
        <f>IF(AY256=0,0,(AZ256-AY256)/AY256*100)</f>
        <v>0</v>
      </c>
      <c r="BB256" s="4591"/>
      <c r="BC256" s="4592"/>
      <c r="BD256" s="1102">
        <f>IF(BB256=0,0,(BC256-BB256)/BB256*100)</f>
        <v>0</v>
      </c>
      <c r="BE256" s="4591"/>
      <c r="BF256" s="4592"/>
      <c r="BG256" s="1102">
        <f>IF(BE256=0,0,(BF256-BE256)/BE256*100)</f>
        <v>0</v>
      </c>
      <c r="BH256" s="4591"/>
      <c r="BI256" s="4592"/>
      <c r="BJ256" s="1102">
        <f>IF(BH256=0,0,(BI256-BH256)/BH256*100)</f>
        <v>0</v>
      </c>
      <c r="BK256" s="4591"/>
      <c r="BL256" s="4592"/>
      <c r="BM256" s="1102">
        <f>IF(BK256=0,0,(BL256-BK256)/BK256*100)</f>
        <v>0</v>
      </c>
      <c r="BN256" s="4591"/>
      <c r="BO256" s="4592"/>
      <c r="BP256" s="1102">
        <f>IF(BN256=0,0,(BO256-BN256)/BN256*100)</f>
        <v>0</v>
      </c>
      <c r="BQ256" s="4591"/>
      <c r="BR256" s="4592"/>
      <c r="BS256" s="1102">
        <f>IF(BQ256=0,0,(BR256-BQ256)/BQ256*100)</f>
        <v>0</v>
      </c>
      <c r="BT256" s="4591"/>
      <c r="BU256" s="4592"/>
      <c r="BV256" s="1102">
        <f>IF(BT256=0,0,(BU256-BT256)/BT256*100)</f>
        <v>0</v>
      </c>
      <c r="BW256" s="4591"/>
      <c r="BX256" s="4592"/>
      <c r="BY256" s="1102">
        <f>IF(BW256=0,0,(BX256-BW256)/BW256*100)</f>
        <v>0</v>
      </c>
      <c r="BZ256" s="4591"/>
      <c r="CA256" s="4592"/>
      <c r="CB256" s="1102">
        <f>IF(BZ256=0,0,(CA256-BZ256)/BZ256*100)</f>
        <v>0</v>
      </c>
      <c r="CC256" s="4591"/>
      <c r="CD256" s="4592"/>
      <c r="CE256" s="1102">
        <f>IF(CC256=0,0,(CD256-CC256)/CC256*100)</f>
        <v>0</v>
      </c>
      <c r="CF256" s="4591"/>
      <c r="CG256" s="4592"/>
      <c r="CH256" s="1102">
        <f>IF(CF256=0,0,(CG256-CF256)/CF256*100)</f>
        <v>0</v>
      </c>
      <c r="CI256" s="4591"/>
      <c r="CJ256" s="4592"/>
      <c r="CK256" s="1102">
        <f>IF(CI256=0,0,(CJ256-CI256)/CI256*100)</f>
        <v>0</v>
      </c>
      <c r="CL256" s="4591"/>
      <c r="CM256" s="4592"/>
      <c r="CN256" s="1102">
        <f>IF(CL256=0,0,(CM256-CL256)/CL256*100)</f>
        <v>0</v>
      </c>
      <c r="CO256" s="4591"/>
      <c r="CP256" s="4592"/>
      <c r="CQ256" s="1102">
        <f>IF(CO256=0,0,(CP256-CO256)/CO256*100)</f>
        <v>0</v>
      </c>
      <c r="CR256" s="4591"/>
      <c r="CS256" s="4592"/>
      <c r="CT256" s="1102">
        <f>IF(CR256=0,0,(CS256-CR256)/CR256*100)</f>
        <v>0</v>
      </c>
      <c r="CU256" s="4591"/>
      <c r="CV256" s="4592"/>
      <c r="CW256" s="1102">
        <f>IF(CU256=0,0,(CV256-CU256)/CU256*100)</f>
        <v>0</v>
      </c>
      <c r="CX256" s="4591"/>
      <c r="CY256" s="4592"/>
      <c r="CZ256" s="1102">
        <f>IF(CX256=0,0,(CY256-CX256)/CX256*100)</f>
        <v>0</v>
      </c>
      <c r="DA256" s="4591"/>
      <c r="DB256" s="4592"/>
      <c r="DC256" s="1102">
        <f>IF(DA256=0,0,(DB256-DA256)/DA256*100)</f>
        <v>0</v>
      </c>
      <c r="DD256" s="4591"/>
      <c r="DE256" s="4592"/>
      <c r="DF256" s="1102">
        <f>IF(DD256=0,0,(DE256-DD256)/DD256*100)</f>
        <v>0</v>
      </c>
      <c r="DG256" s="4591"/>
      <c r="DH256" s="4592"/>
      <c r="DI256" s="1102">
        <f>IF(DG256=0,0,(DH256-DG256)/DG256*100)</f>
        <v>0</v>
      </c>
      <c r="DJ256" s="4591"/>
      <c r="DK256" s="4592"/>
      <c r="DL256" s="1102">
        <f>IF(DJ256=0,0,(DK256-DJ256)/DJ256*100)</f>
        <v>0</v>
      </c>
      <c r="DM256" s="4591"/>
      <c r="DN256" s="4592"/>
      <c r="DO256" s="1102">
        <f>IF(DM256=0,0,(DN256-DM256)/DM256*100)</f>
        <v>0</v>
      </c>
      <c r="DP256" s="4591"/>
      <c r="DQ256" s="4592"/>
      <c r="DR256" s="1102">
        <f>IF(DP256=0,0,(DQ256-DP256)/DP256*100)</f>
        <v>0</v>
      </c>
      <c r="DS256" s="4591"/>
      <c r="DT256" s="4592"/>
      <c r="DU256" s="1102">
        <f>IF(DS256=0,0,(DT256-DS256)/DS256*100)</f>
        <v>0</v>
      </c>
      <c r="DV256" s="4591"/>
      <c r="DW256" s="4592"/>
      <c r="DX256" s="1102">
        <f>IF(DV256=0,0,(DW256-DV256)/DV256*100)</f>
        <v>0</v>
      </c>
      <c r="DY256" s="4591"/>
      <c r="DZ256" s="4592"/>
      <c r="EA256" s="1102">
        <f>IF(DY256=0,0,(DZ256-DY256)/DY256*100)</f>
        <v>0</v>
      </c>
      <c r="EB256" s="4591"/>
      <c r="EC256" s="4592"/>
      <c r="ED256" s="1102">
        <f>IF(EB256=0,0,(EC256-EB256)/EB256*100)</f>
        <v>0</v>
      </c>
      <c r="EE256" s="4591"/>
      <c r="EF256" s="4592"/>
      <c r="EG256" s="1102">
        <f>IF(EE256=0,0,(EF256-EE256)/EE256*100)</f>
        <v>0</v>
      </c>
      <c r="EH256" s="4591"/>
      <c r="EI256" s="4592"/>
      <c r="EJ256" s="1102">
        <f>IF(EH256=0,0,(EI256-EH256)/EH256*100)</f>
        <v>0</v>
      </c>
      <c r="EK256" s="4591"/>
      <c r="EL256" s="4592"/>
      <c r="EM256" s="1102">
        <f>IF(EK256=0,0,(EL256-EK256)/EK256*100)</f>
        <v>0</v>
      </c>
      <c r="EN256" s="4591"/>
      <c r="EO256" s="4592"/>
      <c r="EP256" s="1102">
        <f>IF(EN256=0,0,(EO256-EN256)/EN256*100)</f>
        <v>0</v>
      </c>
      <c r="EQ256" s="4591"/>
      <c r="ER256" s="4592"/>
      <c r="ES256" s="1102">
        <f>IF(EQ256=0,0,(ER256-EQ256)/EQ256*100)</f>
        <v>0</v>
      </c>
      <c r="ET256" s="4591"/>
      <c r="EU256" s="4592"/>
      <c r="EV256" s="1102">
        <f>IF(ET256=0,0,(EU256-ET256)/ET256*100)</f>
        <v>0</v>
      </c>
      <c r="EW256" s="4591"/>
      <c r="EX256" s="4592"/>
      <c r="EY256" s="1102">
        <f>IF(EW256=0,0,(EX256-EW256)/EW256*100)</f>
        <v>0</v>
      </c>
      <c r="EZ256" s="4591"/>
      <c r="FA256" s="4592"/>
      <c r="FB256" s="1102">
        <f>IF(EZ256=0,0,(FA256-EZ256)/EZ256*100)</f>
        <v>0</v>
      </c>
      <c r="FC256" s="4591"/>
      <c r="FD256" s="4592"/>
      <c r="FE256" s="1102">
        <f>IF(FC256=0,0,(FD256-FC256)/FC256*100)</f>
        <v>0</v>
      </c>
      <c r="FF256" s="4591"/>
      <c r="FG256" s="4592"/>
      <c r="FH256" s="1102">
        <f>IF(FF256=0,0,(FG256-FF256)/FF256*100)</f>
        <v>0</v>
      </c>
      <c r="FI256" s="4591"/>
      <c r="FJ256" s="4592"/>
      <c r="FK256" s="1102">
        <f>IF(FI256=0,0,(FJ256-FI256)/FI256*100)</f>
        <v>0</v>
      </c>
      <c r="FL256" s="4591"/>
      <c r="FM256" s="4592"/>
      <c r="FN256" s="1102">
        <f>IF(FL256=0,0,(FM256-FL256)/FL256*100)</f>
        <v>0</v>
      </c>
      <c r="FO256" s="4591"/>
      <c r="FP256" s="4592"/>
      <c r="FQ256" s="1102">
        <f>IF(FO256=0,0,(FP256-FO256)/FO256*100)</f>
        <v>0</v>
      </c>
      <c r="FR256" s="4591"/>
      <c r="FS256" s="4592"/>
      <c r="FT256" s="1102">
        <f>IF(FR256=0,0,(FS256-FR256)/FR256*100)</f>
        <v>0</v>
      </c>
      <c r="FU256" s="4591"/>
      <c r="FV256" s="4592"/>
      <c r="FW256" s="1102">
        <f>IF(FU256=0,0,(FV256-FU256)/FU256*100)</f>
        <v>0</v>
      </c>
      <c r="FZ256" s="1330" t="s">
        <v>1889</v>
      </c>
      <c r="GA256" s="1330" t="s">
        <v>1888</v>
      </c>
      <c r="GB256" s="1330" cm="1" t="str">
        <f t="array" ref="GB256:GB256">GB255</f>
        <v>0</v>
      </c>
    </row>
    <row s="1656" customFormat="1" customHeight="1" ht="14.25" hidden="1">
      <c r="A257" s="496"/>
      <c r="B257" s="932" cm="1" t="str">
        <f t="array" ref="B257:B257">B255</f>
        <v>true</v>
      </c>
      <c r="C257" s="496"/>
      <c r="D257" s="496"/>
      <c r="E257" s="847">
        <v>15</v>
      </c>
      <c r="F257" s="50" cm="1" t="str">
        <f t="array" ref="F257:F257">OFFSET(E257,-1,1)</f>
        <v>3</v>
      </c>
      <c r="G257" s="496"/>
      <c r="H257" s="496" t="s">
        <v>573</v>
      </c>
      <c r="I257" s="496" cm="1" t="str">
        <f t="array" ref="I257:I257">I255</f>
        <v>0</v>
      </c>
      <c r="J257" s="496"/>
      <c r="K257" s="496"/>
      <c r="L257" s="496"/>
      <c r="M257" s="496"/>
      <c r="N257" s="496"/>
      <c r="O257" s="496"/>
      <c r="P257" s="496"/>
      <c r="Q257" s="904"/>
      <c r="R257" s="496"/>
      <c r="S257" s="496"/>
      <c r="T257" s="468" cm="1" t="str">
        <f t="array" ref="T257:T257">T255</f>
        <v>false</v>
      </c>
      <c r="U257" s="496"/>
      <c r="V257" s="496"/>
      <c r="W257" s="496"/>
      <c r="X257" s="1559"/>
      <c r="Y257" s="1559"/>
      <c r="Z257" s="1528"/>
      <c r="AA257" s="1516"/>
      <c r="AB257" s="907" t="s">
        <v>1872</v>
      </c>
      <c r="AC257" s="296" t="s">
        <v>657</v>
      </c>
      <c r="AD257" s="4585"/>
      <c r="AE257" s="4585"/>
      <c r="AF257" s="1104">
        <f>IF(AD257=0,0,(AE257-AD257)/AD257*100)</f>
        <v>0</v>
      </c>
      <c r="AG257" s="4585"/>
      <c r="AH257" s="4585"/>
      <c r="AI257" s="1104">
        <f>IF(AG257=0,0,(AH257-AG257)/AG257*100)</f>
        <v>0</v>
      </c>
      <c r="AJ257" s="4585"/>
      <c r="AK257" s="4585"/>
      <c r="AL257" s="1104">
        <f>IF(AJ257=0,0,(AK257-AJ257)/AJ257*100)</f>
        <v>0</v>
      </c>
      <c r="AM257" s="4585"/>
      <c r="AN257" s="4585"/>
      <c r="AO257" s="1104">
        <f>IF(AM257=0,0,(AN257-AM257)/AM257*100)</f>
        <v>0</v>
      </c>
      <c r="AP257" s="4585"/>
      <c r="AQ257" s="4585"/>
      <c r="AR257" s="1104">
        <f>IF(AP257=0,0,(AQ257-AP257)/AP257*100)</f>
        <v>0</v>
      </c>
      <c r="AS257" s="4585"/>
      <c r="AT257" s="4585"/>
      <c r="AU257" s="1104">
        <f>IF(AS257=0,0,(AT257-AS257)/AS257*100)</f>
        <v>0</v>
      </c>
      <c r="AV257" s="4585"/>
      <c r="AW257" s="4585"/>
      <c r="AX257" s="1104">
        <f>IF(AV257=0,0,(AW257-AV257)/AV257*100)</f>
        <v>0</v>
      </c>
      <c r="AY257" s="4585"/>
      <c r="AZ257" s="4585"/>
      <c r="BA257" s="1104">
        <f>IF(AY257=0,0,(AZ257-AY257)/AY257*100)</f>
        <v>0</v>
      </c>
      <c r="BB257" s="4585"/>
      <c r="BC257" s="4585"/>
      <c r="BD257" s="1104">
        <f>IF(BB257=0,0,(BC257-BB257)/BB257*100)</f>
        <v>0</v>
      </c>
      <c r="BE257" s="4585"/>
      <c r="BF257" s="4585"/>
      <c r="BG257" s="1104">
        <f>IF(BE257=0,0,(BF257-BE257)/BE257*100)</f>
        <v>0</v>
      </c>
      <c r="BH257" s="4585"/>
      <c r="BI257" s="4585"/>
      <c r="BJ257" s="1104">
        <f>IF(BH257=0,0,(BI257-BH257)/BH257*100)</f>
        <v>0</v>
      </c>
      <c r="BK257" s="4585"/>
      <c r="BL257" s="4585"/>
      <c r="BM257" s="1104">
        <f>IF(BK257=0,0,(BL257-BK257)/BK257*100)</f>
        <v>0</v>
      </c>
      <c r="BN257" s="4585"/>
      <c r="BO257" s="4585"/>
      <c r="BP257" s="1104">
        <f>IF(BN257=0,0,(BO257-BN257)/BN257*100)</f>
        <v>0</v>
      </c>
      <c r="BQ257" s="4585"/>
      <c r="BR257" s="4585"/>
      <c r="BS257" s="1104">
        <f>IF(BQ257=0,0,(BR257-BQ257)/BQ257*100)</f>
        <v>0</v>
      </c>
      <c r="BT257" s="4585"/>
      <c r="BU257" s="4585"/>
      <c r="BV257" s="1104">
        <f>IF(BT257=0,0,(BU257-BT257)/BT257*100)</f>
        <v>0</v>
      </c>
      <c r="BW257" s="4585"/>
      <c r="BX257" s="4585"/>
      <c r="BY257" s="1104">
        <f>IF(BW257=0,0,(BX257-BW257)/BW257*100)</f>
        <v>0</v>
      </c>
      <c r="BZ257" s="4585"/>
      <c r="CA257" s="4585"/>
      <c r="CB257" s="1104">
        <f>IF(BZ257=0,0,(CA257-BZ257)/BZ257*100)</f>
        <v>0</v>
      </c>
      <c r="CC257" s="4585"/>
      <c r="CD257" s="4585"/>
      <c r="CE257" s="1104">
        <f>IF(CC257=0,0,(CD257-CC257)/CC257*100)</f>
        <v>0</v>
      </c>
      <c r="CF257" s="4585"/>
      <c r="CG257" s="4585"/>
      <c r="CH257" s="1104">
        <f>IF(CF257=0,0,(CG257-CF257)/CF257*100)</f>
        <v>0</v>
      </c>
      <c r="CI257" s="4585"/>
      <c r="CJ257" s="4585"/>
      <c r="CK257" s="1104">
        <f>IF(CI257=0,0,(CJ257-CI257)/CI257*100)</f>
        <v>0</v>
      </c>
      <c r="CL257" s="4585"/>
      <c r="CM257" s="4585"/>
      <c r="CN257" s="1104">
        <f>IF(CL257=0,0,(CM257-CL257)/CL257*100)</f>
        <v>0</v>
      </c>
      <c r="CO257" s="4585"/>
      <c r="CP257" s="4585"/>
      <c r="CQ257" s="1104">
        <f>IF(CO257=0,0,(CP257-CO257)/CO257*100)</f>
        <v>0</v>
      </c>
      <c r="CR257" s="4585"/>
      <c r="CS257" s="4585"/>
      <c r="CT257" s="1104">
        <f>IF(CR257=0,0,(CS257-CR257)/CR257*100)</f>
        <v>0</v>
      </c>
      <c r="CU257" s="4585"/>
      <c r="CV257" s="4585"/>
      <c r="CW257" s="1104">
        <f>IF(CU257=0,0,(CV257-CU257)/CU257*100)</f>
        <v>0</v>
      </c>
      <c r="CX257" s="4585"/>
      <c r="CY257" s="4585"/>
      <c r="CZ257" s="1104">
        <f>IF(CX257=0,0,(CY257-CX257)/CX257*100)</f>
        <v>0</v>
      </c>
      <c r="DA257" s="4585"/>
      <c r="DB257" s="4585"/>
      <c r="DC257" s="1104">
        <f>IF(DA257=0,0,(DB257-DA257)/DA257*100)</f>
        <v>0</v>
      </c>
      <c r="DD257" s="4585"/>
      <c r="DE257" s="4585"/>
      <c r="DF257" s="1104">
        <f>IF(DD257=0,0,(DE257-DD257)/DD257*100)</f>
        <v>0</v>
      </c>
      <c r="DG257" s="4585"/>
      <c r="DH257" s="4585"/>
      <c r="DI257" s="1104">
        <f>IF(DG257=0,0,(DH257-DG257)/DG257*100)</f>
        <v>0</v>
      </c>
      <c r="DJ257" s="4585"/>
      <c r="DK257" s="4585"/>
      <c r="DL257" s="1104">
        <f>IF(DJ257=0,0,(DK257-DJ257)/DJ257*100)</f>
        <v>0</v>
      </c>
      <c r="DM257" s="4585"/>
      <c r="DN257" s="4585"/>
      <c r="DO257" s="1104">
        <f>IF(DM257=0,0,(DN257-DM257)/DM257*100)</f>
        <v>0</v>
      </c>
      <c r="DP257" s="4585"/>
      <c r="DQ257" s="4585"/>
      <c r="DR257" s="1104">
        <f>IF(DP257=0,0,(DQ257-DP257)/DP257*100)</f>
        <v>0</v>
      </c>
      <c r="DS257" s="4585"/>
      <c r="DT257" s="4585"/>
      <c r="DU257" s="1104">
        <f>IF(DS257=0,0,(DT257-DS257)/DS257*100)</f>
        <v>0</v>
      </c>
      <c r="DV257" s="4585"/>
      <c r="DW257" s="4585"/>
      <c r="DX257" s="1104">
        <f>IF(DV257=0,0,(DW257-DV257)/DV257*100)</f>
        <v>0</v>
      </c>
      <c r="DY257" s="4585"/>
      <c r="DZ257" s="4585"/>
      <c r="EA257" s="1104">
        <f>IF(DY257=0,0,(DZ257-DY257)/DY257*100)</f>
        <v>0</v>
      </c>
      <c r="EB257" s="4585"/>
      <c r="EC257" s="4585"/>
      <c r="ED257" s="1104">
        <f>IF(EB257=0,0,(EC257-EB257)/EB257*100)</f>
        <v>0</v>
      </c>
      <c r="EE257" s="4585"/>
      <c r="EF257" s="4585"/>
      <c r="EG257" s="1104">
        <f>IF(EE257=0,0,(EF257-EE257)/EE257*100)</f>
        <v>0</v>
      </c>
      <c r="EH257" s="4585"/>
      <c r="EI257" s="4585"/>
      <c r="EJ257" s="1104">
        <f>IF(EH257=0,0,(EI257-EH257)/EH257*100)</f>
        <v>0</v>
      </c>
      <c r="EK257" s="4585"/>
      <c r="EL257" s="4585"/>
      <c r="EM257" s="1104">
        <f>IF(EK257=0,0,(EL257-EK257)/EK257*100)</f>
        <v>0</v>
      </c>
      <c r="EN257" s="4585"/>
      <c r="EO257" s="4585"/>
      <c r="EP257" s="1104">
        <f>IF(EN257=0,0,(EO257-EN257)/EN257*100)</f>
        <v>0</v>
      </c>
      <c r="EQ257" s="4585"/>
      <c r="ER257" s="4585"/>
      <c r="ES257" s="1104">
        <f>IF(EQ257=0,0,(ER257-EQ257)/EQ257*100)</f>
        <v>0</v>
      </c>
      <c r="ET257" s="4585"/>
      <c r="EU257" s="4585"/>
      <c r="EV257" s="1104">
        <f>IF(ET257=0,0,(EU257-ET257)/ET257*100)</f>
        <v>0</v>
      </c>
      <c r="EW257" s="4585"/>
      <c r="EX257" s="4585"/>
      <c r="EY257" s="1104">
        <f>IF(EW257=0,0,(EX257-EW257)/EW257*100)</f>
        <v>0</v>
      </c>
      <c r="EZ257" s="4585"/>
      <c r="FA257" s="4585"/>
      <c r="FB257" s="1104">
        <f>IF(EZ257=0,0,(FA257-EZ257)/EZ257*100)</f>
        <v>0</v>
      </c>
      <c r="FC257" s="4585"/>
      <c r="FD257" s="4585"/>
      <c r="FE257" s="1104">
        <f>IF(FC257=0,0,(FD257-FC257)/FC257*100)</f>
        <v>0</v>
      </c>
      <c r="FF257" s="4585"/>
      <c r="FG257" s="4585"/>
      <c r="FH257" s="1104">
        <f>IF(FF257=0,0,(FG257-FF257)/FF257*100)</f>
        <v>0</v>
      </c>
      <c r="FI257" s="4585"/>
      <c r="FJ257" s="4585"/>
      <c r="FK257" s="1104">
        <f>IF(FI257=0,0,(FJ257-FI257)/FI257*100)</f>
        <v>0</v>
      </c>
      <c r="FL257" s="4585"/>
      <c r="FM257" s="4585"/>
      <c r="FN257" s="1104">
        <f>IF(FL257=0,0,(FM257-FL257)/FL257*100)</f>
        <v>0</v>
      </c>
      <c r="FO257" s="4585"/>
      <c r="FP257" s="4585"/>
      <c r="FQ257" s="1104">
        <f>IF(FO257=0,0,(FP257-FO257)/FO257*100)</f>
        <v>0</v>
      </c>
      <c r="FR257" s="4585"/>
      <c r="FS257" s="4585"/>
      <c r="FT257" s="1104">
        <f>IF(FR257=0,0,(FS257-FR257)/FR257*100)</f>
        <v>0</v>
      </c>
      <c r="FU257" s="4585"/>
      <c r="FV257" s="4585"/>
      <c r="FW257" s="1104">
        <f>IF(FU257=0,0,(FV257-FU257)/FU257*100)</f>
        <v>0</v>
      </c>
      <c r="FX257" s="288"/>
      <c r="FY257" s="1328"/>
      <c r="FZ257" s="1063" t="s">
        <v>1890</v>
      </c>
      <c r="GA257" s="1023" t="s">
        <v>1888</v>
      </c>
      <c r="GB257" s="1023" cm="1" t="str">
        <f t="array" ref="GB257:GB257">GB255</f>
        <v>0</v>
      </c>
      <c r="GC257" s="1329"/>
      <c r="GD257" s="1329"/>
    </row>
    <row s="1656" customFormat="1" customHeight="1" ht="14.25">
      <c r="A258" s="496"/>
      <c r="B258" s="932" cm="1" t="str">
        <f t="array" ref="B258:B258">B257</f>
        <v>true</v>
      </c>
      <c r="C258" s="496"/>
      <c r="D258" s="496"/>
      <c r="E258" s="847">
        <v>15</v>
      </c>
      <c r="F258" s="50" cm="1" t="str">
        <f t="array" ref="F258:F258">OFFSET(E258,-1,1)</f>
        <v>3</v>
      </c>
      <c r="G258" s="496"/>
      <c r="H258" s="496"/>
      <c r="I258" s="94" t="s">
        <v>1891</v>
      </c>
      <c r="J258" s="496"/>
      <c r="K258" s="496"/>
      <c r="L258" s="496"/>
      <c r="M258" s="496"/>
      <c r="N258" s="496"/>
      <c r="O258" s="496"/>
      <c r="P258" s="496"/>
      <c r="Q258" s="496"/>
      <c r="R258" s="81"/>
      <c r="S258" s="496"/>
      <c r="T258" s="468">
        <f>F258&gt;0</f>
        <v>1</v>
      </c>
      <c r="U258" s="496"/>
      <c r="V258" s="1328"/>
      <c r="W258" s="764" t="s">
        <v>1892</v>
      </c>
      <c r="X258" s="1559"/>
      <c r="Y258" s="1328"/>
      <c r="Z258" s="1528"/>
      <c r="AA258" s="1328"/>
      <c r="AB258" s="256" t="s">
        <v>177</v>
      </c>
      <c r="AC258" s="260"/>
      <c r="AD258" s="1107"/>
      <c r="AE258" s="1107"/>
      <c r="AF258" s="1107"/>
      <c r="AG258" s="1107"/>
      <c r="AH258" s="1107"/>
      <c r="AI258" s="1107"/>
      <c r="AJ258" s="1107"/>
      <c r="AK258" s="1107"/>
      <c r="AL258" s="1107"/>
      <c r="AM258" s="1107"/>
      <c r="AN258" s="1107"/>
      <c r="AO258" s="1107"/>
      <c r="AP258" s="1107"/>
      <c r="AQ258" s="1107"/>
      <c r="AR258" s="1107"/>
      <c r="AS258" s="1107"/>
      <c r="AT258" s="1107"/>
      <c r="AU258" s="1107"/>
      <c r="AV258" s="1107"/>
      <c r="AW258" s="1107"/>
      <c r="AX258" s="1107"/>
      <c r="AY258" s="1107"/>
      <c r="AZ258" s="1107"/>
      <c r="BA258" s="1107"/>
      <c r="BB258" s="1107"/>
      <c r="BC258" s="1107"/>
      <c r="BD258" s="1107"/>
      <c r="BE258" s="1107"/>
      <c r="BF258" s="1107"/>
      <c r="BG258" s="1107"/>
      <c r="BH258" s="1107"/>
      <c r="BI258" s="1107"/>
      <c r="BJ258" s="1107"/>
      <c r="BK258" s="1107"/>
      <c r="BL258" s="1107"/>
      <c r="BM258" s="1107"/>
      <c r="BN258" s="1107"/>
      <c r="BO258" s="1107"/>
      <c r="BP258" s="1107"/>
      <c r="BQ258" s="1107"/>
      <c r="BR258" s="1107"/>
      <c r="BS258" s="1107"/>
      <c r="BT258" s="1107"/>
      <c r="BU258" s="1107"/>
      <c r="BV258" s="1107"/>
      <c r="BW258" s="1107"/>
      <c r="BX258" s="1107"/>
      <c r="BY258" s="1107"/>
      <c r="BZ258" s="1107"/>
      <c r="CA258" s="1107"/>
      <c r="CB258" s="1107"/>
      <c r="CC258" s="1107"/>
      <c r="CD258" s="1107"/>
      <c r="CE258" s="1107"/>
      <c r="CF258" s="1107"/>
      <c r="CG258" s="1107"/>
      <c r="CH258" s="1107"/>
      <c r="CI258" s="1107"/>
      <c r="CJ258" s="1107"/>
      <c r="CK258" s="1107"/>
      <c r="CL258" s="1107"/>
      <c r="CM258" s="1107"/>
      <c r="CN258" s="1107"/>
      <c r="CO258" s="1107"/>
      <c r="CP258" s="1107"/>
      <c r="CQ258" s="1107"/>
      <c r="CR258" s="1107"/>
      <c r="CS258" s="1107"/>
      <c r="CT258" s="1107"/>
      <c r="CU258" s="1107"/>
      <c r="CV258" s="1107"/>
      <c r="CW258" s="1107"/>
      <c r="CX258" s="1107"/>
      <c r="CY258" s="1107"/>
      <c r="CZ258" s="1107"/>
      <c r="DA258" s="1107"/>
      <c r="DB258" s="1107"/>
      <c r="DC258" s="1107"/>
      <c r="DD258" s="1107"/>
      <c r="DE258" s="1107"/>
      <c r="DF258" s="1107"/>
      <c r="DG258" s="1107"/>
      <c r="DH258" s="1107"/>
      <c r="DI258" s="1107"/>
      <c r="DJ258" s="1107"/>
      <c r="DK258" s="1107"/>
      <c r="DL258" s="1107"/>
      <c r="DM258" s="1107"/>
      <c r="DN258" s="1107"/>
      <c r="DO258" s="1107"/>
      <c r="DP258" s="1107"/>
      <c r="DQ258" s="1107"/>
      <c r="DR258" s="1107"/>
      <c r="DS258" s="1107"/>
      <c r="DT258" s="1107"/>
      <c r="DU258" s="1107"/>
      <c r="DV258" s="1107"/>
      <c r="DW258" s="1107"/>
      <c r="DX258" s="1107"/>
      <c r="DY258" s="1107"/>
      <c r="DZ258" s="1107"/>
      <c r="EA258" s="1107"/>
      <c r="EB258" s="1107"/>
      <c r="EC258" s="1107"/>
      <c r="ED258" s="1107"/>
      <c r="EE258" s="1107"/>
      <c r="EF258" s="1107"/>
      <c r="EG258" s="1107"/>
      <c r="EH258" s="1107"/>
      <c r="EI258" s="1107"/>
      <c r="EJ258" s="1107"/>
      <c r="EK258" s="1107"/>
      <c r="EL258" s="1107"/>
      <c r="EM258" s="1107"/>
      <c r="EN258" s="1107"/>
      <c r="EO258" s="1107"/>
      <c r="EP258" s="1107"/>
      <c r="EQ258" s="1107"/>
      <c r="ER258" s="1107"/>
      <c r="ES258" s="1107"/>
      <c r="ET258" s="1107"/>
      <c r="EU258" s="1107"/>
      <c r="EV258" s="1107"/>
      <c r="EW258" s="1107"/>
      <c r="EX258" s="1107"/>
      <c r="EY258" s="1107"/>
      <c r="EZ258" s="1107"/>
      <c r="FA258" s="1107"/>
      <c r="FB258" s="1107"/>
      <c r="FC258" s="1107"/>
      <c r="FD258" s="1107"/>
      <c r="FE258" s="1107"/>
      <c r="FF258" s="1107"/>
      <c r="FG258" s="1107"/>
      <c r="FH258" s="1107"/>
      <c r="FI258" s="1107"/>
      <c r="FJ258" s="1107"/>
      <c r="FK258" s="1107"/>
      <c r="FL258" s="1107"/>
      <c r="FM258" s="1107"/>
      <c r="FN258" s="1107"/>
      <c r="FO258" s="1107"/>
      <c r="FP258" s="1107"/>
      <c r="FQ258" s="1107"/>
      <c r="FR258" s="1107"/>
      <c r="FS258" s="1107"/>
      <c r="FT258" s="1107"/>
      <c r="FU258" s="1107"/>
      <c r="FV258" s="1107"/>
      <c r="FW258" s="1108"/>
      <c r="FX258" s="1328"/>
      <c r="FY258" s="1328"/>
      <c r="FZ258" s="1063" t="s">
        <v>240</v>
      </c>
      <c r="GA258" s="1330"/>
      <c r="GB258" s="1330"/>
      <c r="GC258" s="637" t="s">
        <v>1888</v>
      </c>
      <c r="GD258" s="1329"/>
    </row>
    <row s="1656" customFormat="1" customHeight="1" ht="14.25" hidden="1">
      <c r="A259" s="496"/>
      <c r="B259" s="932">
        <f>AND(R242="двухставочный",NOT(S242))</f>
        <v>0</v>
      </c>
      <c r="C259" s="496"/>
      <c r="D259" s="496"/>
      <c r="E259" s="847">
        <v>15</v>
      </c>
      <c r="F259" s="50" cm="1" t="str">
        <f t="array" ref="F259:F259">OFFSET(E259,-1,1)</f>
        <v>3</v>
      </c>
      <c r="G259" s="496"/>
      <c r="H259" s="496"/>
      <c r="I259" s="496"/>
      <c r="J259" s="496"/>
      <c r="K259" s="496"/>
      <c r="L259" s="496"/>
      <c r="M259" s="496"/>
      <c r="N259" s="496"/>
      <c r="O259" s="496"/>
      <c r="P259" s="496"/>
      <c r="Q259" s="496"/>
      <c r="R259" s="81"/>
      <c r="S259" s="496"/>
      <c r="T259" s="468" cm="1" t="str">
        <f t="array" ref="T259:T259">T258</f>
        <v>true</v>
      </c>
      <c r="U259" s="496"/>
      <c r="V259" s="496"/>
      <c r="W259" s="496"/>
      <c r="X259" s="1559"/>
      <c r="Y259" s="496"/>
      <c r="Z259" s="1528"/>
      <c r="AA259" s="496"/>
      <c r="AB259" s="901" t="s">
        <v>1893</v>
      </c>
      <c r="AC259" s="902"/>
      <c r="AD259" s="1109"/>
      <c r="AE259" s="1109"/>
      <c r="AF259" s="1109"/>
      <c r="AG259" s="1109"/>
      <c r="AH259" s="1109"/>
      <c r="AI259" s="1109"/>
      <c r="AJ259" s="1109"/>
      <c r="AK259" s="1109"/>
      <c r="AL259" s="1109"/>
      <c r="AM259" s="1109"/>
      <c r="AN259" s="1109"/>
      <c r="AO259" s="1109"/>
      <c r="AP259" s="1109"/>
      <c r="AQ259" s="1109"/>
      <c r="AR259" s="1109"/>
      <c r="AS259" s="1109"/>
      <c r="AT259" s="1109"/>
      <c r="AU259" s="1109"/>
      <c r="AV259" s="1109"/>
      <c r="AW259" s="1109"/>
      <c r="AX259" s="1109"/>
      <c r="AY259" s="1109"/>
      <c r="AZ259" s="1109"/>
      <c r="BA259" s="1109"/>
      <c r="BB259" s="1109"/>
      <c r="BC259" s="1109"/>
      <c r="BD259" s="1109"/>
      <c r="BE259" s="1109"/>
      <c r="BF259" s="1109"/>
      <c r="BG259" s="1109"/>
      <c r="BH259" s="1109"/>
      <c r="BI259" s="1109"/>
      <c r="BJ259" s="1109"/>
      <c r="BK259" s="1109"/>
      <c r="BL259" s="1109"/>
      <c r="BM259" s="1109"/>
      <c r="BN259" s="1109"/>
      <c r="BO259" s="1109"/>
      <c r="BP259" s="1109"/>
      <c r="BQ259" s="1109"/>
      <c r="BR259" s="1109"/>
      <c r="BS259" s="1109"/>
      <c r="BT259" s="1109"/>
      <c r="BU259" s="1109"/>
      <c r="BV259" s="1109"/>
      <c r="BW259" s="1109"/>
      <c r="BX259" s="1109"/>
      <c r="BY259" s="1109"/>
      <c r="BZ259" s="1109"/>
      <c r="CA259" s="1109"/>
      <c r="CB259" s="1109"/>
      <c r="CC259" s="1109"/>
      <c r="CD259" s="1109"/>
      <c r="CE259" s="1109"/>
      <c r="CF259" s="1109"/>
      <c r="CG259" s="1109"/>
      <c r="CH259" s="1109"/>
      <c r="CI259" s="1109"/>
      <c r="CJ259" s="1109"/>
      <c r="CK259" s="1109"/>
      <c r="CL259" s="1109"/>
      <c r="CM259" s="1109"/>
      <c r="CN259" s="1109"/>
      <c r="CO259" s="1109"/>
      <c r="CP259" s="1109"/>
      <c r="CQ259" s="1109"/>
      <c r="CR259" s="1109"/>
      <c r="CS259" s="1109"/>
      <c r="CT259" s="1109"/>
      <c r="CU259" s="1109"/>
      <c r="CV259" s="1109"/>
      <c r="CW259" s="1109"/>
      <c r="CX259" s="1109"/>
      <c r="CY259" s="1109"/>
      <c r="CZ259" s="1109"/>
      <c r="DA259" s="1109"/>
      <c r="DB259" s="1109"/>
      <c r="DC259" s="1109"/>
      <c r="DD259" s="1109"/>
      <c r="DE259" s="1109"/>
      <c r="DF259" s="1109"/>
      <c r="DG259" s="1109"/>
      <c r="DH259" s="1109"/>
      <c r="DI259" s="1109"/>
      <c r="DJ259" s="1109"/>
      <c r="DK259" s="1109"/>
      <c r="DL259" s="1109"/>
      <c r="DM259" s="1109"/>
      <c r="DN259" s="1109"/>
      <c r="DO259" s="1109"/>
      <c r="DP259" s="1109"/>
      <c r="DQ259" s="1109"/>
      <c r="DR259" s="1109"/>
      <c r="DS259" s="1109"/>
      <c r="DT259" s="1109"/>
      <c r="DU259" s="1109"/>
      <c r="DV259" s="1109"/>
      <c r="DW259" s="1109"/>
      <c r="DX259" s="1109"/>
      <c r="DY259" s="1109"/>
      <c r="DZ259" s="1109"/>
      <c r="EA259" s="1109"/>
      <c r="EB259" s="1109"/>
      <c r="EC259" s="1109"/>
      <c r="ED259" s="1109"/>
      <c r="EE259" s="1109"/>
      <c r="EF259" s="1109"/>
      <c r="EG259" s="1109"/>
      <c r="EH259" s="1109"/>
      <c r="EI259" s="1109"/>
      <c r="EJ259" s="1109"/>
      <c r="EK259" s="1109"/>
      <c r="EL259" s="1109"/>
      <c r="EM259" s="1109"/>
      <c r="EN259" s="1109"/>
      <c r="EO259" s="1109"/>
      <c r="EP259" s="1109"/>
      <c r="EQ259" s="1109"/>
      <c r="ER259" s="1109"/>
      <c r="ES259" s="1109"/>
      <c r="ET259" s="1109"/>
      <c r="EU259" s="1109"/>
      <c r="EV259" s="1109"/>
      <c r="EW259" s="1109"/>
      <c r="EX259" s="1109"/>
      <c r="EY259" s="1109"/>
      <c r="EZ259" s="1109"/>
      <c r="FA259" s="1109"/>
      <c r="FB259" s="1109"/>
      <c r="FC259" s="1109"/>
      <c r="FD259" s="1109"/>
      <c r="FE259" s="1109"/>
      <c r="FF259" s="1109"/>
      <c r="FG259" s="1109"/>
      <c r="FH259" s="1109"/>
      <c r="FI259" s="1109"/>
      <c r="FJ259" s="1109"/>
      <c r="FK259" s="1109"/>
      <c r="FL259" s="1109"/>
      <c r="FM259" s="1109"/>
      <c r="FN259" s="1109"/>
      <c r="FO259" s="1109"/>
      <c r="FP259" s="1109"/>
      <c r="FQ259" s="1109"/>
      <c r="FR259" s="1109"/>
      <c r="FS259" s="1109"/>
      <c r="FT259" s="1109"/>
      <c r="FU259" s="1109"/>
      <c r="FV259" s="1109"/>
      <c r="FW259" s="1110"/>
      <c r="FX259" s="1328"/>
      <c r="FY259" s="1328"/>
      <c r="FZ259" s="1063" t="s">
        <v>240</v>
      </c>
      <c r="GA259" s="1330"/>
      <c r="GB259" s="1330"/>
      <c r="GC259" s="1329"/>
      <c r="GD259" s="1329"/>
    </row>
    <row s="1656" customFormat="1" customHeight="1" ht="23.25" hidden="1">
      <c r="A260" s="496"/>
      <c r="B260" s="932" cm="1" t="str">
        <f t="array" ref="B260:B260">B259</f>
        <v>false</v>
      </c>
      <c r="C260" s="496"/>
      <c r="D260" s="496"/>
      <c r="E260" s="847">
        <v>24.5</v>
      </c>
      <c r="F260" s="50" cm="1" t="str">
        <f t="array" ref="F260:F260">OFFSET(E260,-1,1)</f>
        <v>3</v>
      </c>
      <c r="G260" s="496"/>
      <c r="H260" s="496"/>
      <c r="I260" s="496"/>
      <c r="J260" s="496"/>
      <c r="K260" s="496"/>
      <c r="L260" s="496"/>
      <c r="M260" s="496"/>
      <c r="N260" s="496"/>
      <c r="O260" s="496"/>
      <c r="P260" s="496"/>
      <c r="Q260" s="496"/>
      <c r="R260" s="496"/>
      <c r="S260" s="496"/>
      <c r="T260" s="468" cm="1" t="str">
        <f t="array" ref="T260:T260">T259</f>
        <v>true</v>
      </c>
      <c r="U260" s="496"/>
      <c r="V260" s="496"/>
      <c r="W260" s="496"/>
      <c r="X260" s="1559"/>
      <c r="Y260" s="496"/>
      <c r="Z260" s="1528"/>
      <c r="AA260" s="496"/>
      <c r="AB260" s="289" t="s">
        <v>1894</v>
      </c>
      <c r="AC260" s="910"/>
      <c r="AD260" s="1111"/>
      <c r="AE260" s="1111"/>
      <c r="AF260" s="1111"/>
      <c r="AG260" s="1111"/>
      <c r="AH260" s="1111"/>
      <c r="AI260" s="1111"/>
      <c r="AJ260" s="1111"/>
      <c r="AK260" s="1111"/>
      <c r="AL260" s="1111"/>
      <c r="AM260" s="1111"/>
      <c r="AN260" s="1111"/>
      <c r="AO260" s="1111"/>
      <c r="AP260" s="1111"/>
      <c r="AQ260" s="1111"/>
      <c r="AR260" s="1111"/>
      <c r="AS260" s="1111"/>
      <c r="AT260" s="1111"/>
      <c r="AU260" s="1111"/>
      <c r="AV260" s="1111"/>
      <c r="AW260" s="1111"/>
      <c r="AX260" s="1111"/>
      <c r="AY260" s="1111"/>
      <c r="AZ260" s="1111"/>
      <c r="BA260" s="1111"/>
      <c r="BB260" s="1111"/>
      <c r="BC260" s="1111"/>
      <c r="BD260" s="1111"/>
      <c r="BE260" s="1111"/>
      <c r="BF260" s="1111"/>
      <c r="BG260" s="1111"/>
      <c r="BH260" s="1111"/>
      <c r="BI260" s="1111"/>
      <c r="BJ260" s="1111"/>
      <c r="BK260" s="1111"/>
      <c r="BL260" s="1111"/>
      <c r="BM260" s="1111"/>
      <c r="BN260" s="1111"/>
      <c r="BO260" s="1111"/>
      <c r="BP260" s="1111"/>
      <c r="BQ260" s="1111"/>
      <c r="BR260" s="1111"/>
      <c r="BS260" s="1111"/>
      <c r="BT260" s="1111"/>
      <c r="BU260" s="1111"/>
      <c r="BV260" s="1111"/>
      <c r="BW260" s="1111"/>
      <c r="BX260" s="1111"/>
      <c r="BY260" s="1111"/>
      <c r="BZ260" s="1111"/>
      <c r="CA260" s="1111"/>
      <c r="CB260" s="1111"/>
      <c r="CC260" s="1111"/>
      <c r="CD260" s="1111"/>
      <c r="CE260" s="1111"/>
      <c r="CF260" s="1111"/>
      <c r="CG260" s="1111"/>
      <c r="CH260" s="1111"/>
      <c r="CI260" s="1111"/>
      <c r="CJ260" s="1111"/>
      <c r="CK260" s="1111"/>
      <c r="CL260" s="1111"/>
      <c r="CM260" s="1111"/>
      <c r="CN260" s="1111"/>
      <c r="CO260" s="1111"/>
      <c r="CP260" s="1111"/>
      <c r="CQ260" s="1111"/>
      <c r="CR260" s="1111"/>
      <c r="CS260" s="1111"/>
      <c r="CT260" s="1111"/>
      <c r="CU260" s="1111"/>
      <c r="CV260" s="1111"/>
      <c r="CW260" s="1111"/>
      <c r="CX260" s="1111"/>
      <c r="CY260" s="1111"/>
      <c r="CZ260" s="1111"/>
      <c r="DA260" s="1111"/>
      <c r="DB260" s="1111"/>
      <c r="DC260" s="1111"/>
      <c r="DD260" s="1111"/>
      <c r="DE260" s="1111"/>
      <c r="DF260" s="1111"/>
      <c r="DG260" s="1111"/>
      <c r="DH260" s="1111"/>
      <c r="DI260" s="1111"/>
      <c r="DJ260" s="1111"/>
      <c r="DK260" s="1111"/>
      <c r="DL260" s="1111"/>
      <c r="DM260" s="1111"/>
      <c r="DN260" s="1111"/>
      <c r="DO260" s="1111"/>
      <c r="DP260" s="1111"/>
      <c r="DQ260" s="1111"/>
      <c r="DR260" s="1111"/>
      <c r="DS260" s="1111"/>
      <c r="DT260" s="1111"/>
      <c r="DU260" s="1111"/>
      <c r="DV260" s="1111"/>
      <c r="DW260" s="1111"/>
      <c r="DX260" s="1111"/>
      <c r="DY260" s="1111"/>
      <c r="DZ260" s="1111"/>
      <c r="EA260" s="1111"/>
      <c r="EB260" s="1111"/>
      <c r="EC260" s="1111"/>
      <c r="ED260" s="1111"/>
      <c r="EE260" s="1111"/>
      <c r="EF260" s="1111"/>
      <c r="EG260" s="1111"/>
      <c r="EH260" s="1111"/>
      <c r="EI260" s="1111"/>
      <c r="EJ260" s="1111"/>
      <c r="EK260" s="1111"/>
      <c r="EL260" s="1111"/>
      <c r="EM260" s="1111"/>
      <c r="EN260" s="1111"/>
      <c r="EO260" s="1111"/>
      <c r="EP260" s="1111"/>
      <c r="EQ260" s="1111"/>
      <c r="ER260" s="1111"/>
      <c r="ES260" s="1111"/>
      <c r="ET260" s="1111"/>
      <c r="EU260" s="1111"/>
      <c r="EV260" s="1111"/>
      <c r="EW260" s="1111"/>
      <c r="EX260" s="1111"/>
      <c r="EY260" s="1111"/>
      <c r="EZ260" s="1111"/>
      <c r="FA260" s="1111"/>
      <c r="FB260" s="1111"/>
      <c r="FC260" s="1111"/>
      <c r="FD260" s="1111"/>
      <c r="FE260" s="1111"/>
      <c r="FF260" s="1111"/>
      <c r="FG260" s="1111"/>
      <c r="FH260" s="1111"/>
      <c r="FI260" s="1111"/>
      <c r="FJ260" s="1111"/>
      <c r="FK260" s="1111"/>
      <c r="FL260" s="1111"/>
      <c r="FM260" s="1111"/>
      <c r="FN260" s="1111"/>
      <c r="FO260" s="1111"/>
      <c r="FP260" s="1111"/>
      <c r="FQ260" s="1111"/>
      <c r="FR260" s="1111"/>
      <c r="FS260" s="1111"/>
      <c r="FT260" s="1111"/>
      <c r="FU260" s="1111"/>
      <c r="FV260" s="1111"/>
      <c r="FW260" s="1112"/>
      <c r="FX260" s="1328"/>
      <c r="FY260" s="1328"/>
      <c r="FZ260" s="1063" t="s">
        <v>240</v>
      </c>
      <c r="GA260" s="1330"/>
      <c r="GB260" s="1330"/>
      <c r="GC260" s="1329"/>
      <c r="GD260" s="1329"/>
    </row>
    <row s="1656" customFormat="1" customHeight="1" ht="14.25" hidden="1">
      <c r="A261" s="496"/>
      <c r="B261" s="932" cm="1" t="str">
        <f t="array" ref="B261:B261">B260</f>
        <v>false</v>
      </c>
      <c r="C261" s="496"/>
      <c r="D261" s="496"/>
      <c r="E261" s="847">
        <v>15</v>
      </c>
      <c r="F261" s="50" cm="1" t="str">
        <f t="array" ref="F261:F261">OFFSET(E261,-1,1)</f>
        <v>3</v>
      </c>
      <c r="G261" s="496"/>
      <c r="H261" s="496" t="s">
        <v>1787</v>
      </c>
      <c r="I261" s="496" t="s">
        <v>1860</v>
      </c>
      <c r="J261" s="496"/>
      <c r="K261" s="496"/>
      <c r="L261" s="496"/>
      <c r="M261" s="496"/>
      <c r="N261" s="496"/>
      <c r="O261" s="496"/>
      <c r="P261" s="496"/>
      <c r="Q261" s="496"/>
      <c r="R261" s="496"/>
      <c r="S261" s="496"/>
      <c r="T261" s="468" cm="1" t="str">
        <f t="array" ref="T261:T261">T260</f>
        <v>true</v>
      </c>
      <c r="U261" s="496"/>
      <c r="V261" s="496"/>
      <c r="W261" s="496"/>
      <c r="X261" s="1559"/>
      <c r="Y261" s="496"/>
      <c r="Z261" s="1528"/>
      <c r="AA261" s="496"/>
      <c r="AB261" s="911" t="s">
        <v>1895</v>
      </c>
      <c r="AC261" s="871" t="s">
        <v>1862</v>
      </c>
      <c r="AD261" s="4591">
        <f>IF(AD263=0,0,(AD262*AD263+AD264*AD265*IF(god=2026,9,6))/AD263)</f>
        <v>0</v>
      </c>
      <c r="AE261" s="4591">
        <f>IF(AE263=0,0,(AE262*AE263+AE264*AE265*IF(god=2026,9,6))/AE263)</f>
        <v>0</v>
      </c>
      <c r="AF261" s="1102">
        <f>IF(AD261=0,0,(AE261-AD261)/AD261*100)</f>
        <v>0</v>
      </c>
      <c r="AG261" s="4591">
        <f>IF(AG263=0,0,(AG262*AG263+AG264*AG265*IF(god=2025,9,6))/AG263)</f>
        <v>0</v>
      </c>
      <c r="AH261" s="4591">
        <f>IF(AH263=0,0,(AH262*AH263+AH264*AH265*IF(god=2025,9,6))/AH263)</f>
        <v>0</v>
      </c>
      <c r="AI261" s="1102">
        <f>IF(AG261=0,0,(AH261-AG261)/AG261*100)</f>
        <v>0</v>
      </c>
      <c r="AJ261" s="4591">
        <f>IF(AJ263=0,0,(AJ262*AJ263+AJ264*AJ265*6)/AJ263)</f>
        <v>0</v>
      </c>
      <c r="AK261" s="4591">
        <f>IF(AK263=0,0,(AK262*AK263+AK264*AK265*6)/AK263)</f>
        <v>0</v>
      </c>
      <c r="AL261" s="1102">
        <f>IF(AJ261=0,0,(AK261-AJ261)/AJ261*100)</f>
        <v>0</v>
      </c>
      <c r="AM261" s="4591">
        <f>IF(AM263=0,0,(AM262*AM263+AM264*AM265*6)/AM263)</f>
        <v>0</v>
      </c>
      <c r="AN261" s="4591">
        <f>IF(AN263=0,0,(AN262*AN263+AN264*AN265*6)/AN263)</f>
        <v>0</v>
      </c>
      <c r="AO261" s="1102">
        <f>IF(AM261=0,0,(AN261-AM261)/AM261*100)</f>
        <v>0</v>
      </c>
      <c r="AP261" s="4591">
        <f>IF(AP263=0,0,(AP262*AP263+AP264*AP265*6)/AP263)</f>
        <v>0</v>
      </c>
      <c r="AQ261" s="4591">
        <f>IF(AQ263=0,0,(AQ262*AQ263+AQ264*AQ265*6)/AQ263)</f>
        <v>0</v>
      </c>
      <c r="AR261" s="1102">
        <f>IF(AP261=0,0,(AQ261-AP261)/AP261*100)</f>
        <v>0</v>
      </c>
      <c r="AS261" s="4591">
        <f>IF(AS263=0,0,(AS262*AS263+AS264*AS265*6)/AS263)</f>
        <v>0</v>
      </c>
      <c r="AT261" s="4591">
        <f>IF(AT263=0,0,(AT262*AT263+AT264*AT265*6)/AT263)</f>
        <v>0</v>
      </c>
      <c r="AU261" s="1102">
        <f>IF(AS261=0,0,(AT261-AS261)/AS261*100)</f>
        <v>0</v>
      </c>
      <c r="AV261" s="4591">
        <f>IF(AV263=0,0,(AV262*AV263+AV264*AV265*6)/AV263)</f>
        <v>0</v>
      </c>
      <c r="AW261" s="4591">
        <f>IF(AW263=0,0,(AW262*AW263+AW264*AW265*6)/AW263)</f>
        <v>0</v>
      </c>
      <c r="AX261" s="1102">
        <f>IF(AV261=0,0,(AW261-AV261)/AV261*100)</f>
        <v>0</v>
      </c>
      <c r="AY261" s="4591">
        <f>IF(AY263=0,0,(AY262*AY263+AY264*AY265*6)/AY263)</f>
        <v>0</v>
      </c>
      <c r="AZ261" s="4591">
        <f>IF(AZ263=0,0,(AZ262*AZ263+AZ264*AZ265*6)/AZ263)</f>
        <v>0</v>
      </c>
      <c r="BA261" s="1102">
        <f>IF(AY261=0,0,(AZ261-AY261)/AY261*100)</f>
        <v>0</v>
      </c>
      <c r="BB261" s="4591">
        <f>IF(BB263=0,0,(BB262*BB263+BB264*BB265*6)/BB263)</f>
        <v>0</v>
      </c>
      <c r="BC261" s="4591">
        <f>IF(BC263=0,0,(BC262*BC263+BC264*BC265*6)/BC263)</f>
        <v>0</v>
      </c>
      <c r="BD261" s="1102">
        <f>IF(BB261=0,0,(BC261-BB261)/BB261*100)</f>
        <v>0</v>
      </c>
      <c r="BE261" s="4591">
        <f>IF(BE263=0,0,(BE262*BE263+BE264*BE265*6)/BE263)</f>
        <v>0</v>
      </c>
      <c r="BF261" s="4591">
        <f>IF(BF263=0,0,(BF262*BF263+BF264*BF265*6)/BF263)</f>
        <v>0</v>
      </c>
      <c r="BG261" s="1102">
        <f>IF(BE261=0,0,(BF261-BE261)/BE261*100)</f>
        <v>0</v>
      </c>
      <c r="BH261" s="4591">
        <f>IF(BH263=0,0,(BH262*BH263+BH264*BH265*6)/BH263)</f>
        <v>0</v>
      </c>
      <c r="BI261" s="4591">
        <f>IF(BI263=0,0,(BI262*BI263+BI264*BI265*6)/BI263)</f>
        <v>0</v>
      </c>
      <c r="BJ261" s="1102">
        <f>IF(BH261=0,0,(BI261-BH261)/BH261*100)</f>
        <v>0</v>
      </c>
      <c r="BK261" s="4591">
        <f>IF(BK263=0,0,(BK262*BK263+BK264*BK265*6)/BK263)</f>
        <v>0</v>
      </c>
      <c r="BL261" s="4591">
        <f>IF(BL263=0,0,(BL262*BL263+BL264*BL265*6)/BL263)</f>
        <v>0</v>
      </c>
      <c r="BM261" s="1102">
        <f>IF(BK261=0,0,(BL261-BK261)/BK261*100)</f>
        <v>0</v>
      </c>
      <c r="BN261" s="4591">
        <f>IF(BN263=0,0,(BN262*BN263+BN264*BN265*6)/BN263)</f>
        <v>0</v>
      </c>
      <c r="BO261" s="4591">
        <f>IF(BO263=0,0,(BO262*BO263+BO264*BO265*6)/BO263)</f>
        <v>0</v>
      </c>
      <c r="BP261" s="1102">
        <f>IF(BN261=0,0,(BO261-BN261)/BN261*100)</f>
        <v>0</v>
      </c>
      <c r="BQ261" s="4591">
        <f>IF(BQ263=0,0,(BQ262*BQ263+BQ264*BQ265*6)/BQ263)</f>
        <v>0</v>
      </c>
      <c r="BR261" s="4591">
        <f>IF(BR263=0,0,(BR262*BR263+BR264*BR265*6)/BR263)</f>
        <v>0</v>
      </c>
      <c r="BS261" s="1102">
        <f>IF(BQ261=0,0,(BR261-BQ261)/BQ261*100)</f>
        <v>0</v>
      </c>
      <c r="BT261" s="4591">
        <f>IF(BT263=0,0,(BT262*BT263+BT264*BT265*6)/BT263)</f>
        <v>0</v>
      </c>
      <c r="BU261" s="4591">
        <f>IF(BU263=0,0,(BU262*BU263+BU264*BU265*6)/BU263)</f>
        <v>0</v>
      </c>
      <c r="BV261" s="1102">
        <f>IF(BT261=0,0,(BU261-BT261)/BT261*100)</f>
        <v>0</v>
      </c>
      <c r="BW261" s="4591">
        <f>IF(BW263=0,0,(BW262*BW263+BW264*BW265*6)/BW263)</f>
        <v>0</v>
      </c>
      <c r="BX261" s="4591">
        <f>IF(BX263=0,0,(BX262*BX263+BX264*BX265*6)/BX263)</f>
        <v>0</v>
      </c>
      <c r="BY261" s="1102">
        <f>IF(BW261=0,0,(BX261-BW261)/BW261*100)</f>
        <v>0</v>
      </c>
      <c r="BZ261" s="4591">
        <f>IF(BZ263=0,0,(BZ262*BZ263+BZ264*BZ265*6)/BZ263)</f>
        <v>0</v>
      </c>
      <c r="CA261" s="4591">
        <f>IF(CA263=0,0,(CA262*CA263+CA264*CA265*6)/CA263)</f>
        <v>0</v>
      </c>
      <c r="CB261" s="1102">
        <f>IF(BZ261=0,0,(CA261-BZ261)/BZ261*100)</f>
        <v>0</v>
      </c>
      <c r="CC261" s="4591">
        <f>IF(CC263=0,0,(CC262*CC263+CC264*CC265*6)/CC263)</f>
        <v>0</v>
      </c>
      <c r="CD261" s="4591">
        <f>IF(CD263=0,0,(CD262*CD263+CD264*CD265*6)/CD263)</f>
        <v>0</v>
      </c>
      <c r="CE261" s="1102">
        <f>IF(CC261=0,0,(CD261-CC261)/CC261*100)</f>
        <v>0</v>
      </c>
      <c r="CF261" s="4591">
        <f>IF(CF263=0,0,(CF262*CF263+CF264*CF265*6)/CF263)</f>
        <v>0</v>
      </c>
      <c r="CG261" s="4591">
        <f>IF(CG263=0,0,(CG262*CG263+CG264*CG265*6)/CG263)</f>
        <v>0</v>
      </c>
      <c r="CH261" s="1102">
        <f>IF(CF261=0,0,(CG261-CF261)/CF261*100)</f>
        <v>0</v>
      </c>
      <c r="CI261" s="4591">
        <f>IF(CI263=0,0,(CI262*CI263+CI264*CI265*6)/CI263)</f>
        <v>0</v>
      </c>
      <c r="CJ261" s="4591">
        <f>IF(CJ263=0,0,(CJ262*CJ263+CJ264*CJ265*6)/CJ263)</f>
        <v>0</v>
      </c>
      <c r="CK261" s="1102">
        <f>IF(CI261=0,0,(CJ261-CI261)/CI261*100)</f>
        <v>0</v>
      </c>
      <c r="CL261" s="4591">
        <f>IF(CL263=0,0,(CL262*CL263+CL264*CL265*6)/CL263)</f>
        <v>0</v>
      </c>
      <c r="CM261" s="4591">
        <f>IF(CM263=0,0,(CM262*CM263+CM264*CM265*6)/CM263)</f>
        <v>0</v>
      </c>
      <c r="CN261" s="1102">
        <f>IF(CL261=0,0,(CM261-CL261)/CL261*100)</f>
        <v>0</v>
      </c>
      <c r="CO261" s="4591">
        <f>IF(CO263=0,0,(CO262*CO263+CO264*CO265*6)/CO263)</f>
        <v>0</v>
      </c>
      <c r="CP261" s="4591">
        <f>IF(CP263=0,0,(CP262*CP263+CP264*CP265*6)/CP263)</f>
        <v>0</v>
      </c>
      <c r="CQ261" s="1102">
        <f>IF(CO261=0,0,(CP261-CO261)/CO261*100)</f>
        <v>0</v>
      </c>
      <c r="CR261" s="4591">
        <f>IF(CR263=0,0,(CR262*CR263+CR264*CR265*6)/CR263)</f>
        <v>0</v>
      </c>
      <c r="CS261" s="4591">
        <f>IF(CS263=0,0,(CS262*CS263+CS264*CS265*6)/CS263)</f>
        <v>0</v>
      </c>
      <c r="CT261" s="1102">
        <f>IF(CR261=0,0,(CS261-CR261)/CR261*100)</f>
        <v>0</v>
      </c>
      <c r="CU261" s="4591">
        <f>IF(CU263=0,0,(CU262*CU263+CU264*CU265*6)/CU263)</f>
        <v>0</v>
      </c>
      <c r="CV261" s="4591">
        <f>IF(CV263=0,0,(CV262*CV263+CV264*CV265*6)/CV263)</f>
        <v>0</v>
      </c>
      <c r="CW261" s="1102">
        <f>IF(CU261=0,0,(CV261-CU261)/CU261*100)</f>
        <v>0</v>
      </c>
      <c r="CX261" s="4591">
        <f>IF(CX263=0,0,(CX262*CX263+CX264*CX265*6)/CX263)</f>
        <v>0</v>
      </c>
      <c r="CY261" s="4591">
        <f>IF(CY263=0,0,(CY262*CY263+CY264*CY265*6)/CY263)</f>
        <v>0</v>
      </c>
      <c r="CZ261" s="1102">
        <f>IF(CX261=0,0,(CY261-CX261)/CX261*100)</f>
        <v>0</v>
      </c>
      <c r="DA261" s="4591">
        <f>IF(DA263=0,0,(DA262*DA263+DA264*DA265*6)/DA263)</f>
        <v>0</v>
      </c>
      <c r="DB261" s="4591">
        <f>IF(DB263=0,0,(DB262*DB263+DB264*DB265*6)/DB263)</f>
        <v>0</v>
      </c>
      <c r="DC261" s="1102">
        <f>IF(DA261=0,0,(DB261-DA261)/DA261*100)</f>
        <v>0</v>
      </c>
      <c r="DD261" s="4591">
        <f>IF(DD263=0,0,(DD262*DD263+DD264*DD265*6)/DD263)</f>
        <v>0</v>
      </c>
      <c r="DE261" s="4591">
        <f>IF(DE263=0,0,(DE262*DE263+DE264*DE265*6)/DE263)</f>
        <v>0</v>
      </c>
      <c r="DF261" s="1102">
        <f>IF(DD261=0,0,(DE261-DD261)/DD261*100)</f>
        <v>0</v>
      </c>
      <c r="DG261" s="4591">
        <f>IF(DG263=0,0,(DG262*DG263+DG264*DG265*6)/DG263)</f>
        <v>0</v>
      </c>
      <c r="DH261" s="4591">
        <f>IF(DH263=0,0,(DH262*DH263+DH264*DH265*6)/DH263)</f>
        <v>0</v>
      </c>
      <c r="DI261" s="1102">
        <f>IF(DG261=0,0,(DH261-DG261)/DG261*100)</f>
        <v>0</v>
      </c>
      <c r="DJ261" s="4591">
        <f>IF(DJ263=0,0,(DJ262*DJ263+DJ264*DJ265*6)/DJ263)</f>
        <v>0</v>
      </c>
      <c r="DK261" s="4591">
        <f>IF(DK263=0,0,(DK262*DK263+DK264*DK265*6)/DK263)</f>
        <v>0</v>
      </c>
      <c r="DL261" s="1102">
        <f>IF(DJ261=0,0,(DK261-DJ261)/DJ261*100)</f>
        <v>0</v>
      </c>
      <c r="DM261" s="4591">
        <f>IF(DM263=0,0,(DM262*DM263+DM264*DM265*6)/DM263)</f>
        <v>0</v>
      </c>
      <c r="DN261" s="4591">
        <f>IF(DN263=0,0,(DN262*DN263+DN264*DN265*6)/DN263)</f>
        <v>0</v>
      </c>
      <c r="DO261" s="1102">
        <f>IF(DM261=0,0,(DN261-DM261)/DM261*100)</f>
        <v>0</v>
      </c>
      <c r="DP261" s="4591">
        <f>IF(DP263=0,0,(DP262*DP263+DP264*DP265*6)/DP263)</f>
        <v>0</v>
      </c>
      <c r="DQ261" s="4591">
        <f>IF(DQ263=0,0,(DQ262*DQ263+DQ264*DQ265*6)/DQ263)</f>
        <v>0</v>
      </c>
      <c r="DR261" s="1102">
        <f>IF(DP261=0,0,(DQ261-DP261)/DP261*100)</f>
        <v>0</v>
      </c>
      <c r="DS261" s="4591">
        <f>IF(DS263=0,0,(DS262*DS263+DS264*DS265*6)/DS263)</f>
        <v>0</v>
      </c>
      <c r="DT261" s="4591">
        <f>IF(DT263=0,0,(DT262*DT263+DT264*DT265*6)/DT263)</f>
        <v>0</v>
      </c>
      <c r="DU261" s="1102">
        <f>IF(DS261=0,0,(DT261-DS261)/DS261*100)</f>
        <v>0</v>
      </c>
      <c r="DV261" s="4591">
        <f>IF(DV263=0,0,(DV262*DV263+DV264*DV265*6)/DV263)</f>
        <v>0</v>
      </c>
      <c r="DW261" s="4591">
        <f>IF(DW263=0,0,(DW262*DW263+DW264*DW265*6)/DW263)</f>
        <v>0</v>
      </c>
      <c r="DX261" s="1102">
        <f>IF(DV261=0,0,(DW261-DV261)/DV261*100)</f>
        <v>0</v>
      </c>
      <c r="DY261" s="4591">
        <f>IF(DY263=0,0,(DY262*DY263+DY264*DY265*6)/DY263)</f>
        <v>0</v>
      </c>
      <c r="DZ261" s="4591">
        <f>IF(DZ263=0,0,(DZ262*DZ263+DZ264*DZ265*6)/DZ263)</f>
        <v>0</v>
      </c>
      <c r="EA261" s="1102">
        <f>IF(DY261=0,0,(DZ261-DY261)/DY261*100)</f>
        <v>0</v>
      </c>
      <c r="EB261" s="4591">
        <f>IF(EB263=0,0,(EB262*EB263+EB264*EB265*6)/EB263)</f>
        <v>0</v>
      </c>
      <c r="EC261" s="4591">
        <f>IF(EC263=0,0,(EC262*EC263+EC264*EC265*6)/EC263)</f>
        <v>0</v>
      </c>
      <c r="ED261" s="1102">
        <f>IF(EB261=0,0,(EC261-EB261)/EB261*100)</f>
        <v>0</v>
      </c>
      <c r="EE261" s="4591">
        <f>IF(EE263=0,0,(EE262*EE263+EE264*EE265*6)/EE263)</f>
        <v>0</v>
      </c>
      <c r="EF261" s="4591">
        <f>IF(EF263=0,0,(EF262*EF263+EF264*EF265*6)/EF263)</f>
        <v>0</v>
      </c>
      <c r="EG261" s="1102">
        <f>IF(EE261=0,0,(EF261-EE261)/EE261*100)</f>
        <v>0</v>
      </c>
      <c r="EH261" s="4591">
        <f>IF(EH263=0,0,(EH262*EH263+EH264*EH265*6)/EH263)</f>
        <v>0</v>
      </c>
      <c r="EI261" s="4591">
        <f>IF(EI263=0,0,(EI262*EI263+EI264*EI265*6)/EI263)</f>
        <v>0</v>
      </c>
      <c r="EJ261" s="1102">
        <f>IF(EH261=0,0,(EI261-EH261)/EH261*100)</f>
        <v>0</v>
      </c>
      <c r="EK261" s="4591">
        <f>IF(EK263=0,0,(EK262*EK263+EK264*EK265*6)/EK263)</f>
        <v>0</v>
      </c>
      <c r="EL261" s="4591">
        <f>IF(EL263=0,0,(EL262*EL263+EL264*EL265*6)/EL263)</f>
        <v>0</v>
      </c>
      <c r="EM261" s="1102">
        <f>IF(EK261=0,0,(EL261-EK261)/EK261*100)</f>
        <v>0</v>
      </c>
      <c r="EN261" s="4591">
        <f>IF(EN263=0,0,(EN262*EN263+EN264*EN265*6)/EN263)</f>
        <v>0</v>
      </c>
      <c r="EO261" s="4591">
        <f>IF(EO263=0,0,(EO262*EO263+EO264*EO265*6)/EO263)</f>
        <v>0</v>
      </c>
      <c r="EP261" s="1102">
        <f>IF(EN261=0,0,(EO261-EN261)/EN261*100)</f>
        <v>0</v>
      </c>
      <c r="EQ261" s="4591">
        <f>IF(EQ263=0,0,(EQ262*EQ263+EQ264*EQ265*6)/EQ263)</f>
        <v>0</v>
      </c>
      <c r="ER261" s="4591">
        <f>IF(ER263=0,0,(ER262*ER263+ER264*ER265*6)/ER263)</f>
        <v>0</v>
      </c>
      <c r="ES261" s="1102">
        <f>IF(EQ261=0,0,(ER261-EQ261)/EQ261*100)</f>
        <v>0</v>
      </c>
      <c r="ET261" s="4591">
        <f>IF(ET263=0,0,(ET262*ET263+ET264*ET265*6)/ET263)</f>
        <v>0</v>
      </c>
      <c r="EU261" s="4591">
        <f>IF(EU263=0,0,(EU262*EU263+EU264*EU265*6)/EU263)</f>
        <v>0</v>
      </c>
      <c r="EV261" s="1102">
        <f>IF(ET261=0,0,(EU261-ET261)/ET261*100)</f>
        <v>0</v>
      </c>
      <c r="EW261" s="4591">
        <f>IF(EW263=0,0,(EW262*EW263+EW264*EW265*6)/EW263)</f>
        <v>0</v>
      </c>
      <c r="EX261" s="4591">
        <f>IF(EX263=0,0,(EX262*EX263+EX264*EX265*6)/EX263)</f>
        <v>0</v>
      </c>
      <c r="EY261" s="1102">
        <f>IF(EW261=0,0,(EX261-EW261)/EW261*100)</f>
        <v>0</v>
      </c>
      <c r="EZ261" s="4591">
        <f>IF(EZ263=0,0,(EZ262*EZ263+EZ264*EZ265*6)/EZ263)</f>
        <v>0</v>
      </c>
      <c r="FA261" s="4591">
        <f>IF(FA263=0,0,(FA262*FA263+FA264*FA265*6)/FA263)</f>
        <v>0</v>
      </c>
      <c r="FB261" s="1102">
        <f>IF(EZ261=0,0,(FA261-EZ261)/EZ261*100)</f>
        <v>0</v>
      </c>
      <c r="FC261" s="4591">
        <f>IF(FC263=0,0,(FC262*FC263+FC264*FC265*6)/FC263)</f>
        <v>0</v>
      </c>
      <c r="FD261" s="4591">
        <f>IF(FD263=0,0,(FD262*FD263+FD264*FD265*6)/FD263)</f>
        <v>0</v>
      </c>
      <c r="FE261" s="1102">
        <f>IF(FC261=0,0,(FD261-FC261)/FC261*100)</f>
        <v>0</v>
      </c>
      <c r="FF261" s="4591">
        <f>IF(FF263=0,0,(FF262*FF263+FF264*FF265*6)/FF263)</f>
        <v>0</v>
      </c>
      <c r="FG261" s="4591">
        <f>IF(FG263=0,0,(FG262*FG263+FG264*FG265*6)/FG263)</f>
        <v>0</v>
      </c>
      <c r="FH261" s="1102">
        <f>IF(FF261=0,0,(FG261-FF261)/FF261*100)</f>
        <v>0</v>
      </c>
      <c r="FI261" s="4591">
        <f>IF(FI263=0,0,(FI262*FI263+FI264*FI265*6)/FI263)</f>
        <v>0</v>
      </c>
      <c r="FJ261" s="4591">
        <f>IF(FJ263=0,0,(FJ262*FJ263+FJ264*FJ265*6)/FJ263)</f>
        <v>0</v>
      </c>
      <c r="FK261" s="1102">
        <f>IF(FI261=0,0,(FJ261-FI261)/FI261*100)</f>
        <v>0</v>
      </c>
      <c r="FL261" s="4591">
        <f>IF(FL263=0,0,(FL262*FL263+FL264*FL265*6)/FL263)</f>
        <v>0</v>
      </c>
      <c r="FM261" s="4591">
        <f>IF(FM263=0,0,(FM262*FM263+FM264*FM265*6)/FM263)</f>
        <v>0</v>
      </c>
      <c r="FN261" s="1102">
        <f>IF(FL261=0,0,(FM261-FL261)/FL261*100)</f>
        <v>0</v>
      </c>
      <c r="FO261" s="4591">
        <f>IF(FO263=0,0,(FO262*FO263+FO264*FO265*6)/FO263)</f>
        <v>0</v>
      </c>
      <c r="FP261" s="4591">
        <f>IF(FP263=0,0,(FP262*FP263+FP264*FP265*6)/FP263)</f>
        <v>0</v>
      </c>
      <c r="FQ261" s="1102">
        <f>IF(FO261=0,0,(FP261-FO261)/FO261*100)</f>
        <v>0</v>
      </c>
      <c r="FR261" s="4591">
        <f>IF(FR263=0,0,(FR262*FR263+FR264*FR265*6)/FR263)</f>
        <v>0</v>
      </c>
      <c r="FS261" s="4591">
        <f>IF(FS263=0,0,(FS262*FS263+FS264*FS265*6)/FS263)</f>
        <v>0</v>
      </c>
      <c r="FT261" s="1102">
        <f>IF(FR261=0,0,(FS261-FR261)/FR261*100)</f>
        <v>0</v>
      </c>
      <c r="FU261" s="4591">
        <f>IF(FU263=0,0,(FU262*FU263+FU264*FU265*6)/FU263)</f>
        <v>0</v>
      </c>
      <c r="FV261" s="4591">
        <f>IF(FV263=0,0,(FV262*FV263+FV264*FV265*6)/FV263)</f>
        <v>0</v>
      </c>
      <c r="FW261" s="1102">
        <f>IF(FU261=0,0,(FV261-FU261)/FU261*100)</f>
        <v>0</v>
      </c>
      <c r="FX261" s="1328"/>
      <c r="FY261" s="1328"/>
      <c r="FZ261" s="1063" t="s">
        <v>1896</v>
      </c>
      <c r="GA261" s="1330"/>
      <c r="GB261" s="1330"/>
      <c r="GC261" s="1329"/>
      <c r="GD261" s="1329"/>
    </row>
    <row s="1656" customFormat="1" customHeight="1" ht="14.25" hidden="1">
      <c r="A262" s="496"/>
      <c r="B262" s="932" cm="1" t="str">
        <f t="array" ref="B262:B262">B261</f>
        <v>false</v>
      </c>
      <c r="C262" s="496"/>
      <c r="D262" s="496"/>
      <c r="E262" s="847">
        <v>15</v>
      </c>
      <c r="F262" s="50" cm="1" t="str">
        <f t="array" ref="F262:F262">OFFSET(E262,-1,1)</f>
        <v>3</v>
      </c>
      <c r="G262" s="496"/>
      <c r="H262" s="496" t="s">
        <v>1791</v>
      </c>
      <c r="I262" s="496" t="s">
        <v>1860</v>
      </c>
      <c r="J262" s="496"/>
      <c r="K262" s="496"/>
      <c r="L262" s="496"/>
      <c r="M262" s="496"/>
      <c r="N262" s="496"/>
      <c r="O262" s="496"/>
      <c r="P262" s="496"/>
      <c r="Q262" s="496"/>
      <c r="R262" s="496"/>
      <c r="S262" s="496"/>
      <c r="T262" s="468" cm="1" t="str">
        <f t="array" ref="T262:T262">T261</f>
        <v>true</v>
      </c>
      <c r="U262" s="496"/>
      <c r="V262" s="496"/>
      <c r="W262" s="496"/>
      <c r="X262" s="1559"/>
      <c r="Y262" s="496"/>
      <c r="Z262" s="1528"/>
      <c r="AA262" s="496"/>
      <c r="AB262" s="911" t="str">
        <f>"ставка платы за "&amp;IF(Q242="Водоснабжение","потребление 1 куб.м холодной воды","объем принятых сточных вод")</f>
        <v>ставка платы за объем принятых сточных вод</v>
      </c>
      <c r="AC262" s="871" t="s">
        <v>1862</v>
      </c>
      <c r="AD262" s="4591"/>
      <c r="AE262" s="4591"/>
      <c r="AF262" s="1102">
        <f>IF(AD262=0,0,(AE262-AD262)/AD262*100)</f>
        <v>0</v>
      </c>
      <c r="AG262" s="4591"/>
      <c r="AH262" s="4591"/>
      <c r="AI262" s="1102">
        <f>IF(AG262=0,0,(AH262-AG262)/AG262*100)</f>
        <v>0</v>
      </c>
      <c r="AJ262" s="4591"/>
      <c r="AK262" s="4591"/>
      <c r="AL262" s="1102">
        <f>IF(AJ262=0,0,(AK262-AJ262)/AJ262*100)</f>
        <v>0</v>
      </c>
      <c r="AM262" s="4591"/>
      <c r="AN262" s="4591"/>
      <c r="AO262" s="1102">
        <f>IF(AM262=0,0,(AN262-AM262)/AM262*100)</f>
        <v>0</v>
      </c>
      <c r="AP262" s="4591"/>
      <c r="AQ262" s="4591"/>
      <c r="AR262" s="1102">
        <f>IF(AP262=0,0,(AQ262-AP262)/AP262*100)</f>
        <v>0</v>
      </c>
      <c r="AS262" s="4591"/>
      <c r="AT262" s="4591"/>
      <c r="AU262" s="1102">
        <f>IF(AS262=0,0,(AT262-AS262)/AS262*100)</f>
        <v>0</v>
      </c>
      <c r="AV262" s="4591"/>
      <c r="AW262" s="4591"/>
      <c r="AX262" s="1102">
        <f>IF(AV262=0,0,(AW262-AV262)/AV262*100)</f>
        <v>0</v>
      </c>
      <c r="AY262" s="4591"/>
      <c r="AZ262" s="4591"/>
      <c r="BA262" s="1102">
        <f>IF(AY262=0,0,(AZ262-AY262)/AY262*100)</f>
        <v>0</v>
      </c>
      <c r="BB262" s="4591"/>
      <c r="BC262" s="4591"/>
      <c r="BD262" s="1102">
        <f>IF(BB262=0,0,(BC262-BB262)/BB262*100)</f>
        <v>0</v>
      </c>
      <c r="BE262" s="4591"/>
      <c r="BF262" s="4591"/>
      <c r="BG262" s="1102">
        <f>IF(BE262=0,0,(BF262-BE262)/BE262*100)</f>
        <v>0</v>
      </c>
      <c r="BH262" s="4591"/>
      <c r="BI262" s="4591"/>
      <c r="BJ262" s="1102">
        <f>IF(BH262=0,0,(BI262-BH262)/BH262*100)</f>
        <v>0</v>
      </c>
      <c r="BK262" s="4591"/>
      <c r="BL262" s="4591"/>
      <c r="BM262" s="1102">
        <f>IF(BK262=0,0,(BL262-BK262)/BK262*100)</f>
        <v>0</v>
      </c>
      <c r="BN262" s="4591"/>
      <c r="BO262" s="4591"/>
      <c r="BP262" s="1102">
        <f>IF(BN262=0,0,(BO262-BN262)/BN262*100)</f>
        <v>0</v>
      </c>
      <c r="BQ262" s="4591"/>
      <c r="BR262" s="4591"/>
      <c r="BS262" s="1102">
        <f>IF(BQ262=0,0,(BR262-BQ262)/BQ262*100)</f>
        <v>0</v>
      </c>
      <c r="BT262" s="4591"/>
      <c r="BU262" s="4591"/>
      <c r="BV262" s="1102">
        <f>IF(BT262=0,0,(BU262-BT262)/BT262*100)</f>
        <v>0</v>
      </c>
      <c r="BW262" s="4591"/>
      <c r="BX262" s="4591"/>
      <c r="BY262" s="1102">
        <f>IF(BW262=0,0,(BX262-BW262)/BW262*100)</f>
        <v>0</v>
      </c>
      <c r="BZ262" s="4591"/>
      <c r="CA262" s="4591"/>
      <c r="CB262" s="1102">
        <f>IF(BZ262=0,0,(CA262-BZ262)/BZ262*100)</f>
        <v>0</v>
      </c>
      <c r="CC262" s="4591"/>
      <c r="CD262" s="4591"/>
      <c r="CE262" s="1102">
        <f>IF(CC262=0,0,(CD262-CC262)/CC262*100)</f>
        <v>0</v>
      </c>
      <c r="CF262" s="4591"/>
      <c r="CG262" s="4591"/>
      <c r="CH262" s="1102">
        <f>IF(CF262=0,0,(CG262-CF262)/CF262*100)</f>
        <v>0</v>
      </c>
      <c r="CI262" s="4591"/>
      <c r="CJ262" s="4591"/>
      <c r="CK262" s="1102">
        <f>IF(CI262=0,0,(CJ262-CI262)/CI262*100)</f>
        <v>0</v>
      </c>
      <c r="CL262" s="4591"/>
      <c r="CM262" s="4591"/>
      <c r="CN262" s="1102">
        <f>IF(CL262=0,0,(CM262-CL262)/CL262*100)</f>
        <v>0</v>
      </c>
      <c r="CO262" s="4591"/>
      <c r="CP262" s="4591"/>
      <c r="CQ262" s="1102">
        <f>IF(CO262=0,0,(CP262-CO262)/CO262*100)</f>
        <v>0</v>
      </c>
      <c r="CR262" s="4591"/>
      <c r="CS262" s="4591"/>
      <c r="CT262" s="1102">
        <f>IF(CR262=0,0,(CS262-CR262)/CR262*100)</f>
        <v>0</v>
      </c>
      <c r="CU262" s="4591"/>
      <c r="CV262" s="4591"/>
      <c r="CW262" s="1102">
        <f>IF(CU262=0,0,(CV262-CU262)/CU262*100)</f>
        <v>0</v>
      </c>
      <c r="CX262" s="4591"/>
      <c r="CY262" s="4591"/>
      <c r="CZ262" s="1102">
        <f>IF(CX262=0,0,(CY262-CX262)/CX262*100)</f>
        <v>0</v>
      </c>
      <c r="DA262" s="4591"/>
      <c r="DB262" s="4591"/>
      <c r="DC262" s="1102">
        <f>IF(DA262=0,0,(DB262-DA262)/DA262*100)</f>
        <v>0</v>
      </c>
      <c r="DD262" s="4591"/>
      <c r="DE262" s="4591"/>
      <c r="DF262" s="1102">
        <f>IF(DD262=0,0,(DE262-DD262)/DD262*100)</f>
        <v>0</v>
      </c>
      <c r="DG262" s="4591"/>
      <c r="DH262" s="4591"/>
      <c r="DI262" s="1102">
        <f>IF(DG262=0,0,(DH262-DG262)/DG262*100)</f>
        <v>0</v>
      </c>
      <c r="DJ262" s="4591"/>
      <c r="DK262" s="4591"/>
      <c r="DL262" s="1102">
        <f>IF(DJ262=0,0,(DK262-DJ262)/DJ262*100)</f>
        <v>0</v>
      </c>
      <c r="DM262" s="4591"/>
      <c r="DN262" s="4591"/>
      <c r="DO262" s="1102">
        <f>IF(DM262=0,0,(DN262-DM262)/DM262*100)</f>
        <v>0</v>
      </c>
      <c r="DP262" s="4591"/>
      <c r="DQ262" s="4591"/>
      <c r="DR262" s="1102">
        <f>IF(DP262=0,0,(DQ262-DP262)/DP262*100)</f>
        <v>0</v>
      </c>
      <c r="DS262" s="4591"/>
      <c r="DT262" s="4591"/>
      <c r="DU262" s="1102">
        <f>IF(DS262=0,0,(DT262-DS262)/DS262*100)</f>
        <v>0</v>
      </c>
      <c r="DV262" s="4591"/>
      <c r="DW262" s="4591"/>
      <c r="DX262" s="1102">
        <f>IF(DV262=0,0,(DW262-DV262)/DV262*100)</f>
        <v>0</v>
      </c>
      <c r="DY262" s="4591"/>
      <c r="DZ262" s="4591"/>
      <c r="EA262" s="1102">
        <f>IF(DY262=0,0,(DZ262-DY262)/DY262*100)</f>
        <v>0</v>
      </c>
      <c r="EB262" s="4591"/>
      <c r="EC262" s="4591"/>
      <c r="ED262" s="1102">
        <f>IF(EB262=0,0,(EC262-EB262)/EB262*100)</f>
        <v>0</v>
      </c>
      <c r="EE262" s="4591"/>
      <c r="EF262" s="4591"/>
      <c r="EG262" s="1102">
        <f>IF(EE262=0,0,(EF262-EE262)/EE262*100)</f>
        <v>0</v>
      </c>
      <c r="EH262" s="4591"/>
      <c r="EI262" s="4591"/>
      <c r="EJ262" s="1102">
        <f>IF(EH262=0,0,(EI262-EH262)/EH262*100)</f>
        <v>0</v>
      </c>
      <c r="EK262" s="4591"/>
      <c r="EL262" s="4591"/>
      <c r="EM262" s="1102">
        <f>IF(EK262=0,0,(EL262-EK262)/EK262*100)</f>
        <v>0</v>
      </c>
      <c r="EN262" s="4591"/>
      <c r="EO262" s="4591"/>
      <c r="EP262" s="1102">
        <f>IF(EN262=0,0,(EO262-EN262)/EN262*100)</f>
        <v>0</v>
      </c>
      <c r="EQ262" s="4591"/>
      <c r="ER262" s="4591"/>
      <c r="ES262" s="1102">
        <f>IF(EQ262=0,0,(ER262-EQ262)/EQ262*100)</f>
        <v>0</v>
      </c>
      <c r="ET262" s="4591"/>
      <c r="EU262" s="4591"/>
      <c r="EV262" s="1102">
        <f>IF(ET262=0,0,(EU262-ET262)/ET262*100)</f>
        <v>0</v>
      </c>
      <c r="EW262" s="4591"/>
      <c r="EX262" s="4591"/>
      <c r="EY262" s="1102">
        <f>IF(EW262=0,0,(EX262-EW262)/EW262*100)</f>
        <v>0</v>
      </c>
      <c r="EZ262" s="4591"/>
      <c r="FA262" s="4591"/>
      <c r="FB262" s="1102">
        <f>IF(EZ262=0,0,(FA262-EZ262)/EZ262*100)</f>
        <v>0</v>
      </c>
      <c r="FC262" s="4591"/>
      <c r="FD262" s="4591"/>
      <c r="FE262" s="1102">
        <f>IF(FC262=0,0,(FD262-FC262)/FC262*100)</f>
        <v>0</v>
      </c>
      <c r="FF262" s="4591"/>
      <c r="FG262" s="4591"/>
      <c r="FH262" s="1102">
        <f>IF(FF262=0,0,(FG262-FF262)/FF262*100)</f>
        <v>0</v>
      </c>
      <c r="FI262" s="4591"/>
      <c r="FJ262" s="4591"/>
      <c r="FK262" s="1102">
        <f>IF(FI262=0,0,(FJ262-FI262)/FI262*100)</f>
        <v>0</v>
      </c>
      <c r="FL262" s="4591"/>
      <c r="FM262" s="4591"/>
      <c r="FN262" s="1102">
        <f>IF(FL262=0,0,(FM262-FL262)/FL262*100)</f>
        <v>0</v>
      </c>
      <c r="FO262" s="4591"/>
      <c r="FP262" s="4591"/>
      <c r="FQ262" s="1102">
        <f>IF(FO262=0,0,(FP262-FO262)/FO262*100)</f>
        <v>0</v>
      </c>
      <c r="FR262" s="4591"/>
      <c r="FS262" s="4591"/>
      <c r="FT262" s="1102">
        <f>IF(FR262=0,0,(FS262-FR262)/FR262*100)</f>
        <v>0</v>
      </c>
      <c r="FU262" s="4591"/>
      <c r="FV262" s="4591"/>
      <c r="FW262" s="1102">
        <f>IF(FU262=0,0,(FV262-FU262)/FU262*100)</f>
        <v>0</v>
      </c>
      <c r="FX262" s="1328"/>
      <c r="FY262" s="1328"/>
      <c r="FZ262" s="1063" t="s">
        <v>1897</v>
      </c>
      <c r="GA262" s="1330"/>
      <c r="GB262" s="1330"/>
      <c r="GC262" s="1329"/>
      <c r="GD262" s="1329"/>
    </row>
    <row s="1656" customFormat="1" customHeight="1" ht="14.25" hidden="1">
      <c r="A263" s="496"/>
      <c r="B263" s="932" cm="1" t="str">
        <f t="array" ref="B263:B263">B262</f>
        <v>false</v>
      </c>
      <c r="C263" s="496"/>
      <c r="D263" s="496"/>
      <c r="E263" s="847">
        <v>15</v>
      </c>
      <c r="F263" s="50" cm="1" t="str">
        <f t="array" ref="F263:F263">OFFSET(E263,-1,1)</f>
        <v>3</v>
      </c>
      <c r="G263" s="103" t="s">
        <v>1898</v>
      </c>
      <c r="H263" s="496" t="s">
        <v>1899</v>
      </c>
      <c r="I263" s="496" t="s">
        <v>1860</v>
      </c>
      <c r="J263" s="496"/>
      <c r="K263" s="496"/>
      <c r="L263" s="496"/>
      <c r="M263" s="496"/>
      <c r="N263" s="496"/>
      <c r="O263" s="496"/>
      <c r="P263" s="496"/>
      <c r="Q263" s="496"/>
      <c r="R263" s="496"/>
      <c r="S263" s="496"/>
      <c r="T263" s="468" cm="1" t="str">
        <f t="array" ref="T263:T263">T262</f>
        <v>true</v>
      </c>
      <c r="U263" s="496"/>
      <c r="V263" s="496"/>
      <c r="W263" s="496"/>
      <c r="X263" s="1559"/>
      <c r="Y263" s="496"/>
      <c r="Z263" s="1528"/>
      <c r="AA263" s="496"/>
      <c r="AB263" s="911" t="str">
        <f>"объём "&amp;IF(Q242="Водоснабжение","потребления холодной воды","водоотведения")</f>
        <v>объём водоотведения</v>
      </c>
      <c r="AC263" s="871" t="s">
        <v>657</v>
      </c>
      <c r="AD263" s="4585">
        <f>IF(AND(method_reg="Метод индексации",god&lt;&gt;first_year),_xlfn.SUMIFS(INDEX('Калькуляция (МИ корр)'!$AJ$25:$BC$606,,MATCH(AD$8,'Калькуляция (МИ корр)'!$AJ$8:$BC$8,0)),'Калькуляция (МИ корр)'!$F$25:$F$606,$F263,'Калькуляция (МИ корр)'!$G$25:$G$606,$G263),IF(method_reg="Метод экономически обоснованных расходов",_xlfn.SUMIFS('Калькуляция (МЭОР)'!$AJ$25:$AJ$367,'Калькуляция (МЭОР)'!$F$25:$F$367,$F263,'Калькуляция (МЭОР)'!$G$25:$G$367,$G263),IF(method_reg="Метод сравнения аналогов",_xlfn.SUMIFS('Калькуляция (МСА)'!$AE$25:$AE$103,'Калькуляция (МСА)'!$F$25:$F$103,$F263,'Калькуляция (МСА)'!$G$25:$G$103,$G263),_xlfn.SUMIFS(INDEX('Калькуляция (МИ)'!$AJ$25:$BC$603,,MATCH(AD$8,'Калькуляция (МИ)'!$AJ$8:$BC$8,0)),'Калькуляция (МИ)'!$F$25:$F$603,$F263,'Калькуляция (МИ)'!$G$25:$G$603,$G263))))</f>
        <v>1094.2149</v>
      </c>
      <c r="AE263" s="4585">
        <f>IF(AND(method_reg="Метод индексации",god&lt;&gt;first_year),_xlfn.SUMIFS(INDEX('Калькуляция (МИ корр)'!$AJ$25:$BC$606,,MATCH(AE$8,'Калькуляция (МИ корр)'!$AJ$8:$BC$8,0)),'Калькуляция (МИ корр)'!$F$25:$F$606,$F263,'Калькуляция (МИ корр)'!$G$25:$G$606,$G263),IF(method_reg="Метод экономически обоснованных расходов",_xlfn.SUMIFS('Калькуляция (МЭОР)'!$AK$25:$AK$367,'Калькуляция (МЭОР)'!$F$25:$F$367,$F263,'Калькуляция (МЭОР)'!$G$25:$G$367,$G263),IF(method_reg="Метод сравнения аналогов",_xlfn.SUMIFS('Калькуляция (МСА)'!$AF$25:$AF$103,'Калькуляция (МСА)'!$F$25:$F$103,$F263,'Калькуляция (МСА)'!$G$25:$G$103,$G263),_xlfn.SUMIFS(INDEX('Калькуляция (МИ)'!$AJ$25:$BC$603,,MATCH(AE$8,'Калькуляция (МИ)'!$AJ$8:$BC$8,0)),'Калькуляция (МИ)'!$F$25:$F$603,$F263,'Калькуляция (МИ)'!$G$25:$G$603,$G263))))</f>
        <v>1040.497905</v>
      </c>
      <c r="AF263" s="1104">
        <f>IF(AD263=0,0,(AE263-AD263)/AD263*100)</f>
        <v>-4.90918145969315</v>
      </c>
      <c r="AG263" s="4585">
        <f>IF(AND(method_reg="Метод индексации",god&lt;&gt;first_year),_xlfn.SUMIFS(INDEX('Калькуляция (МИ корр)'!$AJ$25:$BC$606,,MATCH(AG$8,'Калькуляция (МИ корр)'!$AJ$8:$BC$8,0)),'Калькуляция (МИ корр)'!$F$25:$F$606,$F263,'Калькуляция (МИ корр)'!$G$25:$G$606,$G263),IF(method_reg="Метод экономически обоснованных расходов",_xlfn.SUMIFS('Калькуляция (МЭОР)'!$AJ$25:$AJ$367,'Калькуляция (МЭОР)'!$F$25:$F$367,$F263,'Калькуляция (МЭОР)'!$G$25:$G$367,$G263),IF(method_reg="Метод сравнения аналогов",_xlfn.SUMIFS('Калькуляция (МСА)'!$AE$25:$AE$103,'Калькуляция (МСА)'!$F$25:$F$103,$F263,'Калькуляция (МСА)'!$G$25:$G$103,$G263),_xlfn.SUMIFS(INDEX('Калькуляция (МИ)'!$AJ$25:$BC$603,,MATCH(AG$8,'Калькуляция (МИ)'!$AJ$8:$BC$8,0)),'Калькуляция (МИ)'!$F$25:$F$603,$F263,'Калькуляция (МИ)'!$G$25:$G$603,$G263))))</f>
        <v>0</v>
      </c>
      <c r="AH263" s="4585">
        <f>IF(AND(method_reg="Метод индексации",god&lt;&gt;first_year),_xlfn.SUMIFS(INDEX('Калькуляция (МИ корр)'!$AJ$25:$BC$606,,MATCH(AH$8,'Калькуляция (МИ корр)'!$AJ$8:$BC$8,0)),'Калькуляция (МИ корр)'!$F$25:$F$606,$F263,'Калькуляция (МИ корр)'!$G$25:$G$606,$G263),IF(method_reg="Метод экономически обоснованных расходов",_xlfn.SUMIFS('Калькуляция (МЭОР)'!$AK$25:$AK$367,'Калькуляция (МЭОР)'!$F$25:$F$367,$F263,'Калькуляция (МЭОР)'!$G$25:$G$367,$G263),IF(method_reg="Метод сравнения аналогов",_xlfn.SUMIFS('Калькуляция (МСА)'!$AF$25:$AF$103,'Калькуляция (МСА)'!$F$25:$F$103,$F263,'Калькуляция (МСА)'!$G$25:$G$103,$G263),_xlfn.SUMIFS(INDEX('Калькуляция (МИ)'!$AJ$25:$BC$603,,MATCH(AH$8,'Калькуляция (МИ)'!$AJ$8:$BC$8,0)),'Калькуляция (МИ)'!$F$25:$F$603,$F263,'Калькуляция (МИ)'!$G$25:$G$603,$G263))))</f>
        <v>0</v>
      </c>
      <c r="AI263" s="1104">
        <f>IF(AG263=0,0,(AH263-AG263)/AG263*100)</f>
        <v>0</v>
      </c>
      <c r="AJ263" s="4585">
        <f>IF(AND(method_reg="Метод индексации",god&lt;&gt;first_year),_xlfn.SUMIFS(INDEX('Калькуляция (МИ корр)'!$AJ$25:$BC$606,,MATCH(AJ$8,'Калькуляция (МИ корр)'!$AJ$8:$BC$8,0)),'Калькуляция (МИ корр)'!$F$25:$F$606,$F263,'Калькуляция (МИ корр)'!$G$25:$G$606,$G263),IF(method_reg="Метод экономически обоснованных расходов",_xlfn.SUMIFS('Калькуляция (МЭОР)'!$AJ$25:$AJ$367,'Калькуляция (МЭОР)'!$F$25:$F$367,$F263,'Калькуляция (МЭОР)'!$G$25:$G$367,$G263),IF(method_reg="Метод сравнения аналогов",_xlfn.SUMIFS('Калькуляция (МСА)'!$AE$25:$AE$103,'Калькуляция (МСА)'!$F$25:$F$103,$F263,'Калькуляция (МСА)'!$G$25:$G$103,$G263),_xlfn.SUMIFS(INDEX('Калькуляция (МИ)'!$AJ$25:$BC$603,,MATCH(AJ$8,'Калькуляция (МИ)'!$AJ$8:$BC$8,0)),'Калькуляция (МИ)'!$F$25:$F$603,$F263,'Калькуляция (МИ)'!$G$25:$G$603,$G263))))</f>
        <v>0</v>
      </c>
      <c r="AK263" s="4585">
        <f>IF(AND(method_reg="Метод индексации",god&lt;&gt;first_year),_xlfn.SUMIFS(INDEX('Калькуляция (МИ корр)'!$AJ$25:$BC$606,,MATCH(AK$8,'Калькуляция (МИ корр)'!$AJ$8:$BC$8,0)),'Калькуляция (МИ корр)'!$F$25:$F$606,$F263,'Калькуляция (МИ корр)'!$G$25:$G$606,$G263),IF(method_reg="Метод экономически обоснованных расходов",_xlfn.SUMIFS('Калькуляция (МЭОР)'!$AK$25:$AK$367,'Калькуляция (МЭОР)'!$F$25:$F$367,$F263,'Калькуляция (МЭОР)'!$G$25:$G$367,$G263),IF(method_reg="Метод сравнения аналогов",_xlfn.SUMIFS('Калькуляция (МСА)'!$AF$25:$AF$103,'Калькуляция (МСА)'!$F$25:$F$103,$F263,'Калькуляция (МСА)'!$G$25:$G$103,$G263),_xlfn.SUMIFS(INDEX('Калькуляция (МИ)'!$AJ$25:$BC$603,,MATCH(AK$8,'Калькуляция (МИ)'!$AJ$8:$BC$8,0)),'Калькуляция (МИ)'!$F$25:$F$603,$F263,'Калькуляция (МИ)'!$G$25:$G$603,$G263))))</f>
        <v>0</v>
      </c>
      <c r="AL263" s="1104">
        <f>IF(AJ263=0,0,(AK263-AJ263)/AJ263*100)</f>
        <v>0</v>
      </c>
      <c r="AM263" s="4585">
        <f>IF(AND(method_reg="Метод индексации",god&lt;&gt;first_year),_xlfn.SUMIFS(INDEX('Калькуляция (МИ корр)'!$AJ$25:$BC$606,,MATCH(AM$8,'Калькуляция (МИ корр)'!$AJ$8:$BC$8,0)),'Калькуляция (МИ корр)'!$F$25:$F$606,$F263,'Калькуляция (МИ корр)'!$G$25:$G$606,$G263),IF(method_reg="Метод экономически обоснованных расходов",_xlfn.SUMIFS('Калькуляция (МЭОР)'!$AJ$25:$AJ$367,'Калькуляция (МЭОР)'!$F$25:$F$367,$F263,'Калькуляция (МЭОР)'!$G$25:$G$367,$G263),IF(method_reg="Метод сравнения аналогов",_xlfn.SUMIFS('Калькуляция (МСА)'!$AE$25:$AE$103,'Калькуляция (МСА)'!$F$25:$F$103,$F263,'Калькуляция (МСА)'!$G$25:$G$103,$G263),_xlfn.SUMIFS(INDEX('Калькуляция (МИ)'!$AJ$25:$BC$603,,MATCH(AM$8,'Калькуляция (МИ)'!$AJ$8:$BC$8,0)),'Калькуляция (МИ)'!$F$25:$F$603,$F263,'Калькуляция (МИ)'!$G$25:$G$603,$G263))))</f>
        <v>0</v>
      </c>
      <c r="AN263" s="4585">
        <f>IF(AND(method_reg="Метод индексации",god&lt;&gt;first_year),_xlfn.SUMIFS(INDEX('Калькуляция (МИ корр)'!$AJ$25:$BC$606,,MATCH(AN$8,'Калькуляция (МИ корр)'!$AJ$8:$BC$8,0)),'Калькуляция (МИ корр)'!$F$25:$F$606,$F263,'Калькуляция (МИ корр)'!$G$25:$G$606,$G263),IF(method_reg="Метод экономически обоснованных расходов",_xlfn.SUMIFS('Калькуляция (МЭОР)'!$AK$25:$AK$367,'Калькуляция (МЭОР)'!$F$25:$F$367,$F263,'Калькуляция (МЭОР)'!$G$25:$G$367,$G263),IF(method_reg="Метод сравнения аналогов",_xlfn.SUMIFS('Калькуляция (МСА)'!$AF$25:$AF$103,'Калькуляция (МСА)'!$F$25:$F$103,$F263,'Калькуляция (МСА)'!$G$25:$G$103,$G263),_xlfn.SUMIFS(INDEX('Калькуляция (МИ)'!$AJ$25:$BC$603,,MATCH(AN$8,'Калькуляция (МИ)'!$AJ$8:$BC$8,0)),'Калькуляция (МИ)'!$F$25:$F$603,$F263,'Калькуляция (МИ)'!$G$25:$G$603,$G263))))</f>
        <v>0</v>
      </c>
      <c r="AO263" s="1104">
        <f>IF(AM263=0,0,(AN263-AM263)/AM263*100)</f>
        <v>0</v>
      </c>
      <c r="AP263" s="4585">
        <f>IF(AND(method_reg="Метод индексации",god&lt;&gt;first_year),_xlfn.SUMIFS(INDEX('Калькуляция (МИ корр)'!$AJ$25:$BC$606,,MATCH(AP$8,'Калькуляция (МИ корр)'!$AJ$8:$BC$8,0)),'Калькуляция (МИ корр)'!$F$25:$F$606,$F263,'Калькуляция (МИ корр)'!$G$25:$G$606,$G263),IF(method_reg="Метод экономически обоснованных расходов",_xlfn.SUMIFS('Калькуляция (МЭОР)'!$AJ$25:$AJ$367,'Калькуляция (МЭОР)'!$F$25:$F$367,$F263,'Калькуляция (МЭОР)'!$G$25:$G$367,$G263),IF(method_reg="Метод сравнения аналогов",_xlfn.SUMIFS('Калькуляция (МСА)'!$AE$25:$AE$103,'Калькуляция (МСА)'!$F$25:$F$103,$F263,'Калькуляция (МСА)'!$G$25:$G$103,$G263),_xlfn.SUMIFS(INDEX('Калькуляция (МИ)'!$AJ$25:$BC$603,,MATCH(AP$8,'Калькуляция (МИ)'!$AJ$8:$BC$8,0)),'Калькуляция (МИ)'!$F$25:$F$603,$F263,'Калькуляция (МИ)'!$G$25:$G$603,$G263))))</f>
        <v>0</v>
      </c>
      <c r="AQ263" s="4585">
        <f>IF(AND(method_reg="Метод индексации",god&lt;&gt;first_year),_xlfn.SUMIFS(INDEX('Калькуляция (МИ корр)'!$AJ$25:$BC$606,,MATCH(AQ$8,'Калькуляция (МИ корр)'!$AJ$8:$BC$8,0)),'Калькуляция (МИ корр)'!$F$25:$F$606,$F263,'Калькуляция (МИ корр)'!$G$25:$G$606,$G263),IF(method_reg="Метод экономически обоснованных расходов",_xlfn.SUMIFS('Калькуляция (МЭОР)'!$AK$25:$AK$367,'Калькуляция (МЭОР)'!$F$25:$F$367,$F263,'Калькуляция (МЭОР)'!$G$25:$G$367,$G263),IF(method_reg="Метод сравнения аналогов",_xlfn.SUMIFS('Калькуляция (МСА)'!$AF$25:$AF$103,'Калькуляция (МСА)'!$F$25:$F$103,$F263,'Калькуляция (МСА)'!$G$25:$G$103,$G263),_xlfn.SUMIFS(INDEX('Калькуляция (МИ)'!$AJ$25:$BC$603,,MATCH(AQ$8,'Калькуляция (МИ)'!$AJ$8:$BC$8,0)),'Калькуляция (МИ)'!$F$25:$F$603,$F263,'Калькуляция (МИ)'!$G$25:$G$603,$G263))))</f>
        <v>0</v>
      </c>
      <c r="AR263" s="1104">
        <f>IF(AP263=0,0,(AQ263-AP263)/AP263*100)</f>
        <v>0</v>
      </c>
      <c r="AS263" s="4585">
        <f>IF(AND(method_reg="Метод индексации",god&lt;&gt;first_year),_xlfn.SUMIFS(INDEX('Калькуляция (МИ корр)'!$AJ$25:$BC$606,,MATCH(AS$8,'Калькуляция (МИ корр)'!$AJ$8:$BC$8,0)),'Калькуляция (МИ корр)'!$F$25:$F$606,$F263,'Калькуляция (МИ корр)'!$G$25:$G$606,$G263),IF(method_reg="Метод экономически обоснованных расходов",_xlfn.SUMIFS('Калькуляция (МЭОР)'!$AJ$25:$AJ$367,'Калькуляция (МЭОР)'!$F$25:$F$367,$F263,'Калькуляция (МЭОР)'!$G$25:$G$367,$G263),IF(method_reg="Метод сравнения аналогов",_xlfn.SUMIFS('Калькуляция (МСА)'!$AE$25:$AE$103,'Калькуляция (МСА)'!$F$25:$F$103,$F263,'Калькуляция (МСА)'!$G$25:$G$103,$G263),_xlfn.SUMIFS(INDEX('Калькуляция (МИ)'!$AJ$25:$BC$603,,MATCH(AS$8,'Калькуляция (МИ)'!$AJ$8:$BC$8,0)),'Калькуляция (МИ)'!$F$25:$F$603,$F263,'Калькуляция (МИ)'!$G$25:$G$603,$G263))))</f>
        <v>0</v>
      </c>
      <c r="AT263" s="4585">
        <f>IF(AND(method_reg="Метод индексации",god&lt;&gt;first_year),_xlfn.SUMIFS(INDEX('Калькуляция (МИ корр)'!$AJ$25:$BC$606,,MATCH(AT$8,'Калькуляция (МИ корр)'!$AJ$8:$BC$8,0)),'Калькуляция (МИ корр)'!$F$25:$F$606,$F263,'Калькуляция (МИ корр)'!$G$25:$G$606,$G263),IF(method_reg="Метод экономически обоснованных расходов",_xlfn.SUMIFS('Калькуляция (МЭОР)'!$AK$25:$AK$367,'Калькуляция (МЭОР)'!$F$25:$F$367,$F263,'Калькуляция (МЭОР)'!$G$25:$G$367,$G263),IF(method_reg="Метод сравнения аналогов",_xlfn.SUMIFS('Калькуляция (МСА)'!$AF$25:$AF$103,'Калькуляция (МСА)'!$F$25:$F$103,$F263,'Калькуляция (МСА)'!$G$25:$G$103,$G263),_xlfn.SUMIFS(INDEX('Калькуляция (МИ)'!$AJ$25:$BC$603,,MATCH(AT$8,'Калькуляция (МИ)'!$AJ$8:$BC$8,0)),'Калькуляция (МИ)'!$F$25:$F$603,$F263,'Калькуляция (МИ)'!$G$25:$G$603,$G263))))</f>
        <v>0</v>
      </c>
      <c r="AU263" s="1104">
        <f>IF(AS263=0,0,(AT263-AS263)/AS263*100)</f>
        <v>0</v>
      </c>
      <c r="AV263" s="4585">
        <f>IF(AND(method_reg="Метод индексации",god&lt;&gt;first_year),_xlfn.SUMIFS(INDEX('Калькуляция (МИ корр)'!$AJ$25:$BC$606,,MATCH(AV$8,'Калькуляция (МИ корр)'!$AJ$8:$BC$8,0)),'Калькуляция (МИ корр)'!$F$25:$F$606,$F263,'Калькуляция (МИ корр)'!$G$25:$G$606,$G263),IF(method_reg="Метод экономически обоснованных расходов",_xlfn.SUMIFS('Калькуляция (МЭОР)'!$AJ$25:$AJ$367,'Калькуляция (МЭОР)'!$F$25:$F$367,$F263,'Калькуляция (МЭОР)'!$G$25:$G$367,$G263),IF(method_reg="Метод сравнения аналогов",_xlfn.SUMIFS('Калькуляция (МСА)'!$AE$25:$AE$103,'Калькуляция (МСА)'!$F$25:$F$103,$F263,'Калькуляция (МСА)'!$G$25:$G$103,$G263),_xlfn.SUMIFS(INDEX('Калькуляция (МИ)'!$AJ$25:$BC$603,,MATCH(AV$8,'Калькуляция (МИ)'!$AJ$8:$BC$8,0)),'Калькуляция (МИ)'!$F$25:$F$603,$F263,'Калькуляция (МИ)'!$G$25:$G$603,$G263))))</f>
        <v>0</v>
      </c>
      <c r="AW263" s="4585">
        <f>IF(AND(method_reg="Метод индексации",god&lt;&gt;first_year),_xlfn.SUMIFS(INDEX('Калькуляция (МИ корр)'!$AJ$25:$BC$606,,MATCH(AW$8,'Калькуляция (МИ корр)'!$AJ$8:$BC$8,0)),'Калькуляция (МИ корр)'!$F$25:$F$606,$F263,'Калькуляция (МИ корр)'!$G$25:$G$606,$G263),IF(method_reg="Метод экономически обоснованных расходов",_xlfn.SUMIFS('Калькуляция (МЭОР)'!$AK$25:$AK$367,'Калькуляция (МЭОР)'!$F$25:$F$367,$F263,'Калькуляция (МЭОР)'!$G$25:$G$367,$G263),IF(method_reg="Метод сравнения аналогов",_xlfn.SUMIFS('Калькуляция (МСА)'!$AF$25:$AF$103,'Калькуляция (МСА)'!$F$25:$F$103,$F263,'Калькуляция (МСА)'!$G$25:$G$103,$G263),_xlfn.SUMIFS(INDEX('Калькуляция (МИ)'!$AJ$25:$BC$603,,MATCH(AW$8,'Калькуляция (МИ)'!$AJ$8:$BC$8,0)),'Калькуляция (МИ)'!$F$25:$F$603,$F263,'Калькуляция (МИ)'!$G$25:$G$603,$G263))))</f>
        <v>0</v>
      </c>
      <c r="AX263" s="1104">
        <f>IF(AV263=0,0,(AW263-AV263)/AV263*100)</f>
        <v>0</v>
      </c>
      <c r="AY263" s="4585">
        <f>IF(AND(method_reg="Метод индексации",god&lt;&gt;first_year),_xlfn.SUMIFS(INDEX('Калькуляция (МИ корр)'!$AJ$25:$BC$606,,MATCH(AY$8,'Калькуляция (МИ корр)'!$AJ$8:$BC$8,0)),'Калькуляция (МИ корр)'!$F$25:$F$606,$F263,'Калькуляция (МИ корр)'!$G$25:$G$606,$G263),IF(method_reg="Метод экономически обоснованных расходов",_xlfn.SUMIFS('Калькуляция (МЭОР)'!$AJ$25:$AJ$367,'Калькуляция (МЭОР)'!$F$25:$F$367,$F263,'Калькуляция (МЭОР)'!$G$25:$G$367,$G263),IF(method_reg="Метод сравнения аналогов",_xlfn.SUMIFS('Калькуляция (МСА)'!$AE$25:$AE$103,'Калькуляция (МСА)'!$F$25:$F$103,$F263,'Калькуляция (МСА)'!$G$25:$G$103,$G263),_xlfn.SUMIFS(INDEX('Калькуляция (МИ)'!$AJ$25:$BC$603,,MATCH(AY$8,'Калькуляция (МИ)'!$AJ$8:$BC$8,0)),'Калькуляция (МИ)'!$F$25:$F$603,$F263,'Калькуляция (МИ)'!$G$25:$G$603,$G263))))</f>
        <v>0</v>
      </c>
      <c r="AZ263" s="4585">
        <f>IF(AND(method_reg="Метод индексации",god&lt;&gt;first_year),_xlfn.SUMIFS(INDEX('Калькуляция (МИ корр)'!$AJ$25:$BC$606,,MATCH(AZ$8,'Калькуляция (МИ корр)'!$AJ$8:$BC$8,0)),'Калькуляция (МИ корр)'!$F$25:$F$606,$F263,'Калькуляция (МИ корр)'!$G$25:$G$606,$G263),IF(method_reg="Метод экономически обоснованных расходов",_xlfn.SUMIFS('Калькуляция (МЭОР)'!$AK$25:$AK$367,'Калькуляция (МЭОР)'!$F$25:$F$367,$F263,'Калькуляция (МЭОР)'!$G$25:$G$367,$G263),IF(method_reg="Метод сравнения аналогов",_xlfn.SUMIFS('Калькуляция (МСА)'!$AF$25:$AF$103,'Калькуляция (МСА)'!$F$25:$F$103,$F263,'Калькуляция (МСА)'!$G$25:$G$103,$G263),_xlfn.SUMIFS(INDEX('Калькуляция (МИ)'!$AJ$25:$BC$603,,MATCH(AZ$8,'Калькуляция (МИ)'!$AJ$8:$BC$8,0)),'Калькуляция (МИ)'!$F$25:$F$603,$F263,'Калькуляция (МИ)'!$G$25:$G$603,$G263))))</f>
        <v>0</v>
      </c>
      <c r="BA263" s="1104">
        <f>IF(AY263=0,0,(AZ263-AY263)/AY263*100)</f>
        <v>0</v>
      </c>
      <c r="BB263" s="4585">
        <f>IF(AND(method_reg="Метод индексации",god&lt;&gt;first_year),_xlfn.SUMIFS(INDEX('Калькуляция (МИ корр)'!$AJ$25:$BC$606,,MATCH(BB$8,'Калькуляция (МИ корр)'!$AJ$8:$BC$8,0)),'Калькуляция (МИ корр)'!$F$25:$F$606,$F263,'Калькуляция (МИ корр)'!$G$25:$G$606,$G263),IF(method_reg="Метод экономически обоснованных расходов",_xlfn.SUMIFS('Калькуляция (МЭОР)'!$AJ$25:$AJ$367,'Калькуляция (МЭОР)'!$F$25:$F$367,$F263,'Калькуляция (МЭОР)'!$G$25:$G$367,$G263),IF(method_reg="Метод сравнения аналогов",_xlfn.SUMIFS('Калькуляция (МСА)'!$AE$25:$AE$103,'Калькуляция (МСА)'!$F$25:$F$103,$F263,'Калькуляция (МСА)'!$G$25:$G$103,$G263),_xlfn.SUMIFS(INDEX('Калькуляция (МИ)'!$AJ$25:$BC$603,,MATCH(BB$8,'Калькуляция (МИ)'!$AJ$8:$BC$8,0)),'Калькуляция (МИ)'!$F$25:$F$603,$F263,'Калькуляция (МИ)'!$G$25:$G$603,$G263))))</f>
        <v>0</v>
      </c>
      <c r="BC263" s="4585">
        <f>IF(AND(method_reg="Метод индексации",god&lt;&gt;first_year),_xlfn.SUMIFS(INDEX('Калькуляция (МИ корр)'!$AJ$25:$BC$606,,MATCH(BC$8,'Калькуляция (МИ корр)'!$AJ$8:$BC$8,0)),'Калькуляция (МИ корр)'!$F$25:$F$606,$F263,'Калькуляция (МИ корр)'!$G$25:$G$606,$G263),IF(method_reg="Метод экономически обоснованных расходов",_xlfn.SUMIFS('Калькуляция (МЭОР)'!$AK$25:$AK$367,'Калькуляция (МЭОР)'!$F$25:$F$367,$F263,'Калькуляция (МЭОР)'!$G$25:$G$367,$G263),IF(method_reg="Метод сравнения аналогов",_xlfn.SUMIFS('Калькуляция (МСА)'!$AF$25:$AF$103,'Калькуляция (МСА)'!$F$25:$F$103,$F263,'Калькуляция (МСА)'!$G$25:$G$103,$G263),_xlfn.SUMIFS(INDEX('Калькуляция (МИ)'!$AJ$25:$BC$603,,MATCH(BC$8,'Калькуляция (МИ)'!$AJ$8:$BC$8,0)),'Калькуляция (МИ)'!$F$25:$F$603,$F263,'Калькуляция (МИ)'!$G$25:$G$603,$G263))))</f>
        <v>0</v>
      </c>
      <c r="BD263" s="1104">
        <f>IF(BB263=0,0,(BC263-BB263)/BB263*100)</f>
        <v>0</v>
      </c>
      <c r="BE263" s="4585">
        <f>IF(AND(method_reg="Метод индексации",god&lt;&gt;first_year),_xlfn.SUMIFS(INDEX('Калькуляция (МИ корр)'!$AJ$25:$BC$606,,MATCH(BE$8,'Калькуляция (МИ корр)'!$AJ$8:$BC$8,0)),'Калькуляция (МИ корр)'!$F$25:$F$606,$F263,'Калькуляция (МИ корр)'!$G$25:$G$606,$G263),IF(method_reg="Метод экономически обоснованных расходов",_xlfn.SUMIFS('Калькуляция (МЭОР)'!$AJ$25:$AJ$367,'Калькуляция (МЭОР)'!$F$25:$F$367,$F263,'Калькуляция (МЭОР)'!$G$25:$G$367,$G263),IF(method_reg="Метод сравнения аналогов",_xlfn.SUMIFS('Калькуляция (МСА)'!$AE$25:$AE$103,'Калькуляция (МСА)'!$F$25:$F$103,$F263,'Калькуляция (МСА)'!$G$25:$G$103,$G263),_xlfn.SUMIFS(INDEX('Калькуляция (МИ)'!$AJ$25:$BC$603,,MATCH(BE$8,'Калькуляция (МИ)'!$AJ$8:$BC$8,0)),'Калькуляция (МИ)'!$F$25:$F$603,$F263,'Калькуляция (МИ)'!$G$25:$G$603,$G263))))</f>
        <v>0</v>
      </c>
      <c r="BF263" s="4585">
        <f>IF(AND(method_reg="Метод индексации",god&lt;&gt;first_year),_xlfn.SUMIFS(INDEX('Калькуляция (МИ корр)'!$AJ$25:$BC$606,,MATCH(BF$8,'Калькуляция (МИ корр)'!$AJ$8:$BC$8,0)),'Калькуляция (МИ корр)'!$F$25:$F$606,$F263,'Калькуляция (МИ корр)'!$G$25:$G$606,$G263),IF(method_reg="Метод экономически обоснованных расходов",_xlfn.SUMIFS('Калькуляция (МЭОР)'!$AK$25:$AK$367,'Калькуляция (МЭОР)'!$F$25:$F$367,$F263,'Калькуляция (МЭОР)'!$G$25:$G$367,$G263),IF(method_reg="Метод сравнения аналогов",_xlfn.SUMIFS('Калькуляция (МСА)'!$AF$25:$AF$103,'Калькуляция (МСА)'!$F$25:$F$103,$F263,'Калькуляция (МСА)'!$G$25:$G$103,$G263),_xlfn.SUMIFS(INDEX('Калькуляция (МИ)'!$AJ$25:$BC$603,,MATCH(BF$8,'Калькуляция (МИ)'!$AJ$8:$BC$8,0)),'Калькуляция (МИ)'!$F$25:$F$603,$F263,'Калькуляция (МИ)'!$G$25:$G$603,$G263))))</f>
        <v>0</v>
      </c>
      <c r="BG263" s="1104">
        <f>IF(BE263=0,0,(BF263-BE263)/BE263*100)</f>
        <v>0</v>
      </c>
      <c r="BH263" s="4585"/>
      <c r="BI263" s="4585"/>
      <c r="BJ263" s="1104">
        <f>IF(BH263=0,0,(BI263-BH263)/BH263*100)</f>
        <v>0</v>
      </c>
      <c r="BK263" s="4585"/>
      <c r="BL263" s="4585"/>
      <c r="BM263" s="1104">
        <f>IF(BK263=0,0,(BL263-BK263)/BK263*100)</f>
        <v>0</v>
      </c>
      <c r="BN263" s="4585"/>
      <c r="BO263" s="4585"/>
      <c r="BP263" s="1104">
        <f>IF(BN263=0,0,(BO263-BN263)/BN263*100)</f>
        <v>0</v>
      </c>
      <c r="BQ263" s="4585"/>
      <c r="BR263" s="4585"/>
      <c r="BS263" s="1104">
        <f>IF(BQ263=0,0,(BR263-BQ263)/BQ263*100)</f>
        <v>0</v>
      </c>
      <c r="BT263" s="4585"/>
      <c r="BU263" s="4585"/>
      <c r="BV263" s="1104">
        <f>IF(BT263=0,0,(BU263-BT263)/BT263*100)</f>
        <v>0</v>
      </c>
      <c r="BW263" s="4585"/>
      <c r="BX263" s="4585"/>
      <c r="BY263" s="1104">
        <f>IF(BW263=0,0,(BX263-BW263)/BW263*100)</f>
        <v>0</v>
      </c>
      <c r="BZ263" s="4585"/>
      <c r="CA263" s="4585"/>
      <c r="CB263" s="1104">
        <f>IF(BZ263=0,0,(CA263-BZ263)/BZ263*100)</f>
        <v>0</v>
      </c>
      <c r="CC263" s="4585"/>
      <c r="CD263" s="4585"/>
      <c r="CE263" s="1104">
        <f>IF(CC263=0,0,(CD263-CC263)/CC263*100)</f>
        <v>0</v>
      </c>
      <c r="CF263" s="4585"/>
      <c r="CG263" s="4585"/>
      <c r="CH263" s="1104">
        <f>IF(CF263=0,0,(CG263-CF263)/CF263*100)</f>
        <v>0</v>
      </c>
      <c r="CI263" s="4585"/>
      <c r="CJ263" s="4585"/>
      <c r="CK263" s="1104">
        <f>IF(CI263=0,0,(CJ263-CI263)/CI263*100)</f>
        <v>0</v>
      </c>
      <c r="CL263" s="4585"/>
      <c r="CM263" s="4585"/>
      <c r="CN263" s="1104">
        <f>IF(CL263=0,0,(CM263-CL263)/CL263*100)</f>
        <v>0</v>
      </c>
      <c r="CO263" s="4585"/>
      <c r="CP263" s="4585"/>
      <c r="CQ263" s="1104">
        <f>IF(CO263=0,0,(CP263-CO263)/CO263*100)</f>
        <v>0</v>
      </c>
      <c r="CR263" s="4585"/>
      <c r="CS263" s="4585"/>
      <c r="CT263" s="1104">
        <f>IF(CR263=0,0,(CS263-CR263)/CR263*100)</f>
        <v>0</v>
      </c>
      <c r="CU263" s="4585"/>
      <c r="CV263" s="4585"/>
      <c r="CW263" s="1104">
        <f>IF(CU263=0,0,(CV263-CU263)/CU263*100)</f>
        <v>0</v>
      </c>
      <c r="CX263" s="4585"/>
      <c r="CY263" s="4585"/>
      <c r="CZ263" s="1104">
        <f>IF(CX263=0,0,(CY263-CX263)/CX263*100)</f>
        <v>0</v>
      </c>
      <c r="DA263" s="4585"/>
      <c r="DB263" s="4585"/>
      <c r="DC263" s="1104">
        <f>IF(DA263=0,0,(DB263-DA263)/DA263*100)</f>
        <v>0</v>
      </c>
      <c r="DD263" s="4585"/>
      <c r="DE263" s="4585"/>
      <c r="DF263" s="1104">
        <f>IF(DD263=0,0,(DE263-DD263)/DD263*100)</f>
        <v>0</v>
      </c>
      <c r="DG263" s="4585"/>
      <c r="DH263" s="4585"/>
      <c r="DI263" s="1104">
        <f>IF(DG263=0,0,(DH263-DG263)/DG263*100)</f>
        <v>0</v>
      </c>
      <c r="DJ263" s="4585"/>
      <c r="DK263" s="4585"/>
      <c r="DL263" s="1104">
        <f>IF(DJ263=0,0,(DK263-DJ263)/DJ263*100)</f>
        <v>0</v>
      </c>
      <c r="DM263" s="4585"/>
      <c r="DN263" s="4585"/>
      <c r="DO263" s="1104">
        <f>IF(DM263=0,0,(DN263-DM263)/DM263*100)</f>
        <v>0</v>
      </c>
      <c r="DP263" s="4585"/>
      <c r="DQ263" s="4585"/>
      <c r="DR263" s="1104">
        <f>IF(DP263=0,0,(DQ263-DP263)/DP263*100)</f>
        <v>0</v>
      </c>
      <c r="DS263" s="4585"/>
      <c r="DT263" s="4585"/>
      <c r="DU263" s="1104">
        <f>IF(DS263=0,0,(DT263-DS263)/DS263*100)</f>
        <v>0</v>
      </c>
      <c r="DV263" s="4585"/>
      <c r="DW263" s="4585"/>
      <c r="DX263" s="1104">
        <f>IF(DV263=0,0,(DW263-DV263)/DV263*100)</f>
        <v>0</v>
      </c>
      <c r="DY263" s="4585"/>
      <c r="DZ263" s="4585"/>
      <c r="EA263" s="1104">
        <f>IF(DY263=0,0,(DZ263-DY263)/DY263*100)</f>
        <v>0</v>
      </c>
      <c r="EB263" s="4585"/>
      <c r="EC263" s="4585"/>
      <c r="ED263" s="1104">
        <f>IF(EB263=0,0,(EC263-EB263)/EB263*100)</f>
        <v>0</v>
      </c>
      <c r="EE263" s="4585"/>
      <c r="EF263" s="4585"/>
      <c r="EG263" s="1104">
        <f>IF(EE263=0,0,(EF263-EE263)/EE263*100)</f>
        <v>0</v>
      </c>
      <c r="EH263" s="4585"/>
      <c r="EI263" s="4585"/>
      <c r="EJ263" s="1104">
        <f>IF(EH263=0,0,(EI263-EH263)/EH263*100)</f>
        <v>0</v>
      </c>
      <c r="EK263" s="4585"/>
      <c r="EL263" s="4585"/>
      <c r="EM263" s="1104">
        <f>IF(EK263=0,0,(EL263-EK263)/EK263*100)</f>
        <v>0</v>
      </c>
      <c r="EN263" s="4585"/>
      <c r="EO263" s="4585"/>
      <c r="EP263" s="1104">
        <f>IF(EN263=0,0,(EO263-EN263)/EN263*100)</f>
        <v>0</v>
      </c>
      <c r="EQ263" s="4585"/>
      <c r="ER263" s="4585"/>
      <c r="ES263" s="1104">
        <f>IF(EQ263=0,0,(ER263-EQ263)/EQ263*100)</f>
        <v>0</v>
      </c>
      <c r="ET263" s="4585"/>
      <c r="EU263" s="4585"/>
      <c r="EV263" s="1104">
        <f>IF(ET263=0,0,(EU263-ET263)/ET263*100)</f>
        <v>0</v>
      </c>
      <c r="EW263" s="4585"/>
      <c r="EX263" s="4585"/>
      <c r="EY263" s="1104">
        <f>IF(EW263=0,0,(EX263-EW263)/EW263*100)</f>
        <v>0</v>
      </c>
      <c r="EZ263" s="4585"/>
      <c r="FA263" s="4585"/>
      <c r="FB263" s="1104">
        <f>IF(EZ263=0,0,(FA263-EZ263)/EZ263*100)</f>
        <v>0</v>
      </c>
      <c r="FC263" s="4585"/>
      <c r="FD263" s="4585"/>
      <c r="FE263" s="1104">
        <f>IF(FC263=0,0,(FD263-FC263)/FC263*100)</f>
        <v>0</v>
      </c>
      <c r="FF263" s="4585"/>
      <c r="FG263" s="4585"/>
      <c r="FH263" s="1104">
        <f>IF(FF263=0,0,(FG263-FF263)/FF263*100)</f>
        <v>0</v>
      </c>
      <c r="FI263" s="4585"/>
      <c r="FJ263" s="4585"/>
      <c r="FK263" s="1104">
        <f>IF(FI263=0,0,(FJ263-FI263)/FI263*100)</f>
        <v>0</v>
      </c>
      <c r="FL263" s="4585"/>
      <c r="FM263" s="4585"/>
      <c r="FN263" s="1104">
        <f>IF(FL263=0,0,(FM263-FL263)/FL263*100)</f>
        <v>0</v>
      </c>
      <c r="FO263" s="4585"/>
      <c r="FP263" s="4585"/>
      <c r="FQ263" s="1104">
        <f>IF(FO263=0,0,(FP263-FO263)/FO263*100)</f>
        <v>0</v>
      </c>
      <c r="FR263" s="4585"/>
      <c r="FS263" s="4585"/>
      <c r="FT263" s="1104">
        <f>IF(FR263=0,0,(FS263-FR263)/FR263*100)</f>
        <v>0</v>
      </c>
      <c r="FU263" s="4585"/>
      <c r="FV263" s="4585"/>
      <c r="FW263" s="1104">
        <f>IF(FU263=0,0,(FV263-FU263)/FU263*100)</f>
        <v>0</v>
      </c>
      <c r="FX263" s="1328"/>
      <c r="FY263" s="1328"/>
      <c r="FZ263" s="1063" t="s">
        <v>1900</v>
      </c>
      <c r="GA263" s="1330"/>
      <c r="GB263" s="1330"/>
      <c r="GC263" s="1329"/>
      <c r="GD263" s="1329"/>
    </row>
    <row s="1656" customFormat="1" customHeight="1" ht="24" hidden="1">
      <c r="A264" s="496"/>
      <c r="B264" s="932" cm="1" t="str">
        <f t="array" ref="B264:B264">B263</f>
        <v>false</v>
      </c>
      <c r="C264" s="496"/>
      <c r="D264" s="496"/>
      <c r="E264" s="847">
        <v>24.75</v>
      </c>
      <c r="F264" s="50" cm="1" t="str">
        <f t="array" ref="F264:F264">OFFSET(E264,-1,1)</f>
        <v>3</v>
      </c>
      <c r="G264" s="496"/>
      <c r="H264" s="496" t="s">
        <v>1901</v>
      </c>
      <c r="I264" s="496" t="s">
        <v>1860</v>
      </c>
      <c r="J264" s="496"/>
      <c r="K264" s="496"/>
      <c r="L264" s="496"/>
      <c r="M264" s="496"/>
      <c r="N264" s="496"/>
      <c r="O264" s="496"/>
      <c r="P264" s="496"/>
      <c r="Q264" s="496"/>
      <c r="R264" s="496"/>
      <c r="S264" s="496"/>
      <c r="T264" s="468" cm="1" t="str">
        <f t="array" ref="T264:T264">T263</f>
        <v>true</v>
      </c>
      <c r="U264" s="496"/>
      <c r="V264" s="496"/>
      <c r="W264" s="496"/>
      <c r="X264" s="1559"/>
      <c r="Y264" s="496"/>
      <c r="Z264" s="1528"/>
      <c r="AA264" s="496"/>
      <c r="AB264" s="911" t="str">
        <f>"ставка платы за содержание системы "&amp;IF(Q242="Водоснабжение","холодного водоснабжения","водоотведения")</f>
        <v>ставка платы за содержание системы водоотведения</v>
      </c>
      <c r="AC264" s="871" t="s">
        <v>1902</v>
      </c>
      <c r="AD264" s="4591"/>
      <c r="AE264" s="4591"/>
      <c r="AF264" s="1102">
        <f>IF(AD264=0,0,(AE264-AD264)/AD264*100)</f>
        <v>0</v>
      </c>
      <c r="AG264" s="4591"/>
      <c r="AH264" s="4591"/>
      <c r="AI264" s="1102">
        <f>IF(AG264=0,0,(AH264-AG264)/AG264*100)</f>
        <v>0</v>
      </c>
      <c r="AJ264" s="4591"/>
      <c r="AK264" s="4591"/>
      <c r="AL264" s="1102">
        <f>IF(AJ264=0,0,(AK264-AJ264)/AJ264*100)</f>
        <v>0</v>
      </c>
      <c r="AM264" s="4591"/>
      <c r="AN264" s="4591"/>
      <c r="AO264" s="1102">
        <f>IF(AM264=0,0,(AN264-AM264)/AM264*100)</f>
        <v>0</v>
      </c>
      <c r="AP264" s="4591"/>
      <c r="AQ264" s="4591"/>
      <c r="AR264" s="1102">
        <f>IF(AP264=0,0,(AQ264-AP264)/AP264*100)</f>
        <v>0</v>
      </c>
      <c r="AS264" s="4591"/>
      <c r="AT264" s="4591"/>
      <c r="AU264" s="1102">
        <f>IF(AS264=0,0,(AT264-AS264)/AS264*100)</f>
        <v>0</v>
      </c>
      <c r="AV264" s="4591"/>
      <c r="AW264" s="4591"/>
      <c r="AX264" s="1102">
        <f>IF(AV264=0,0,(AW264-AV264)/AV264*100)</f>
        <v>0</v>
      </c>
      <c r="AY264" s="4591"/>
      <c r="AZ264" s="4591"/>
      <c r="BA264" s="1102">
        <f>IF(AY264=0,0,(AZ264-AY264)/AY264*100)</f>
        <v>0</v>
      </c>
      <c r="BB264" s="4591"/>
      <c r="BC264" s="4591"/>
      <c r="BD264" s="1102">
        <f>IF(BB264=0,0,(BC264-BB264)/BB264*100)</f>
        <v>0</v>
      </c>
      <c r="BE264" s="4591"/>
      <c r="BF264" s="4591"/>
      <c r="BG264" s="1102">
        <f>IF(BE264=0,0,(BF264-BE264)/BE264*100)</f>
        <v>0</v>
      </c>
      <c r="BH264" s="4591"/>
      <c r="BI264" s="4591"/>
      <c r="BJ264" s="1102">
        <f>IF(BH264=0,0,(BI264-BH264)/BH264*100)</f>
        <v>0</v>
      </c>
      <c r="BK264" s="4591"/>
      <c r="BL264" s="4591"/>
      <c r="BM264" s="1102">
        <f>IF(BK264=0,0,(BL264-BK264)/BK264*100)</f>
        <v>0</v>
      </c>
      <c r="BN264" s="4591"/>
      <c r="BO264" s="4591"/>
      <c r="BP264" s="1102">
        <f>IF(BN264=0,0,(BO264-BN264)/BN264*100)</f>
        <v>0</v>
      </c>
      <c r="BQ264" s="4591"/>
      <c r="BR264" s="4591"/>
      <c r="BS264" s="1102">
        <f>IF(BQ264=0,0,(BR264-BQ264)/BQ264*100)</f>
        <v>0</v>
      </c>
      <c r="BT264" s="4591"/>
      <c r="BU264" s="4591"/>
      <c r="BV264" s="1102">
        <f>IF(BT264=0,0,(BU264-BT264)/BT264*100)</f>
        <v>0</v>
      </c>
      <c r="BW264" s="4591"/>
      <c r="BX264" s="4591"/>
      <c r="BY264" s="1102">
        <f>IF(BW264=0,0,(BX264-BW264)/BW264*100)</f>
        <v>0</v>
      </c>
      <c r="BZ264" s="4591"/>
      <c r="CA264" s="4591"/>
      <c r="CB264" s="1102">
        <f>IF(BZ264=0,0,(CA264-BZ264)/BZ264*100)</f>
        <v>0</v>
      </c>
      <c r="CC264" s="4591"/>
      <c r="CD264" s="4591"/>
      <c r="CE264" s="1102">
        <f>IF(CC264=0,0,(CD264-CC264)/CC264*100)</f>
        <v>0</v>
      </c>
      <c r="CF264" s="4591"/>
      <c r="CG264" s="4591"/>
      <c r="CH264" s="1102">
        <f>IF(CF264=0,0,(CG264-CF264)/CF264*100)</f>
        <v>0</v>
      </c>
      <c r="CI264" s="4591"/>
      <c r="CJ264" s="4591"/>
      <c r="CK264" s="1102">
        <f>IF(CI264=0,0,(CJ264-CI264)/CI264*100)</f>
        <v>0</v>
      </c>
      <c r="CL264" s="4591"/>
      <c r="CM264" s="4591"/>
      <c r="CN264" s="1102">
        <f>IF(CL264=0,0,(CM264-CL264)/CL264*100)</f>
        <v>0</v>
      </c>
      <c r="CO264" s="4591"/>
      <c r="CP264" s="4591"/>
      <c r="CQ264" s="1102">
        <f>IF(CO264=0,0,(CP264-CO264)/CO264*100)</f>
        <v>0</v>
      </c>
      <c r="CR264" s="4591"/>
      <c r="CS264" s="4591"/>
      <c r="CT264" s="1102">
        <f>IF(CR264=0,0,(CS264-CR264)/CR264*100)</f>
        <v>0</v>
      </c>
      <c r="CU264" s="4591"/>
      <c r="CV264" s="4591"/>
      <c r="CW264" s="1102">
        <f>IF(CU264=0,0,(CV264-CU264)/CU264*100)</f>
        <v>0</v>
      </c>
      <c r="CX264" s="4591"/>
      <c r="CY264" s="4591"/>
      <c r="CZ264" s="1102">
        <f>IF(CX264=0,0,(CY264-CX264)/CX264*100)</f>
        <v>0</v>
      </c>
      <c r="DA264" s="4591"/>
      <c r="DB264" s="4591"/>
      <c r="DC264" s="1102">
        <f>IF(DA264=0,0,(DB264-DA264)/DA264*100)</f>
        <v>0</v>
      </c>
      <c r="DD264" s="4591"/>
      <c r="DE264" s="4591"/>
      <c r="DF264" s="1102">
        <f>IF(DD264=0,0,(DE264-DD264)/DD264*100)</f>
        <v>0</v>
      </c>
      <c r="DG264" s="4591"/>
      <c r="DH264" s="4591"/>
      <c r="DI264" s="1102">
        <f>IF(DG264=0,0,(DH264-DG264)/DG264*100)</f>
        <v>0</v>
      </c>
      <c r="DJ264" s="4591"/>
      <c r="DK264" s="4591"/>
      <c r="DL264" s="1102">
        <f>IF(DJ264=0,0,(DK264-DJ264)/DJ264*100)</f>
        <v>0</v>
      </c>
      <c r="DM264" s="4591"/>
      <c r="DN264" s="4591"/>
      <c r="DO264" s="1102">
        <f>IF(DM264=0,0,(DN264-DM264)/DM264*100)</f>
        <v>0</v>
      </c>
      <c r="DP264" s="4591"/>
      <c r="DQ264" s="4591"/>
      <c r="DR264" s="1102">
        <f>IF(DP264=0,0,(DQ264-DP264)/DP264*100)</f>
        <v>0</v>
      </c>
      <c r="DS264" s="4591"/>
      <c r="DT264" s="4591"/>
      <c r="DU264" s="1102">
        <f>IF(DS264=0,0,(DT264-DS264)/DS264*100)</f>
        <v>0</v>
      </c>
      <c r="DV264" s="4591"/>
      <c r="DW264" s="4591"/>
      <c r="DX264" s="1102">
        <f>IF(DV264=0,0,(DW264-DV264)/DV264*100)</f>
        <v>0</v>
      </c>
      <c r="DY264" s="4591"/>
      <c r="DZ264" s="4591"/>
      <c r="EA264" s="1102">
        <f>IF(DY264=0,0,(DZ264-DY264)/DY264*100)</f>
        <v>0</v>
      </c>
      <c r="EB264" s="4591"/>
      <c r="EC264" s="4591"/>
      <c r="ED264" s="1102">
        <f>IF(EB264=0,0,(EC264-EB264)/EB264*100)</f>
        <v>0</v>
      </c>
      <c r="EE264" s="4591"/>
      <c r="EF264" s="4591"/>
      <c r="EG264" s="1102">
        <f>IF(EE264=0,0,(EF264-EE264)/EE264*100)</f>
        <v>0</v>
      </c>
      <c r="EH264" s="4591"/>
      <c r="EI264" s="4591"/>
      <c r="EJ264" s="1102">
        <f>IF(EH264=0,0,(EI264-EH264)/EH264*100)</f>
        <v>0</v>
      </c>
      <c r="EK264" s="4591"/>
      <c r="EL264" s="4591"/>
      <c r="EM264" s="1102">
        <f>IF(EK264=0,0,(EL264-EK264)/EK264*100)</f>
        <v>0</v>
      </c>
      <c r="EN264" s="4591"/>
      <c r="EO264" s="4591"/>
      <c r="EP264" s="1102">
        <f>IF(EN264=0,0,(EO264-EN264)/EN264*100)</f>
        <v>0</v>
      </c>
      <c r="EQ264" s="4591"/>
      <c r="ER264" s="4591"/>
      <c r="ES264" s="1102">
        <f>IF(EQ264=0,0,(ER264-EQ264)/EQ264*100)</f>
        <v>0</v>
      </c>
      <c r="ET264" s="4591"/>
      <c r="EU264" s="4591"/>
      <c r="EV264" s="1102">
        <f>IF(ET264=0,0,(EU264-ET264)/ET264*100)</f>
        <v>0</v>
      </c>
      <c r="EW264" s="4591"/>
      <c r="EX264" s="4591"/>
      <c r="EY264" s="1102">
        <f>IF(EW264=0,0,(EX264-EW264)/EW264*100)</f>
        <v>0</v>
      </c>
      <c r="EZ264" s="4591"/>
      <c r="FA264" s="4591"/>
      <c r="FB264" s="1102">
        <f>IF(EZ264=0,0,(FA264-EZ264)/EZ264*100)</f>
        <v>0</v>
      </c>
      <c r="FC264" s="4591"/>
      <c r="FD264" s="4591"/>
      <c r="FE264" s="1102">
        <f>IF(FC264=0,0,(FD264-FC264)/FC264*100)</f>
        <v>0</v>
      </c>
      <c r="FF264" s="4591"/>
      <c r="FG264" s="4591"/>
      <c r="FH264" s="1102">
        <f>IF(FF264=0,0,(FG264-FF264)/FF264*100)</f>
        <v>0</v>
      </c>
      <c r="FI264" s="4591"/>
      <c r="FJ264" s="4591"/>
      <c r="FK264" s="1102">
        <f>IF(FI264=0,0,(FJ264-FI264)/FI264*100)</f>
        <v>0</v>
      </c>
      <c r="FL264" s="4591"/>
      <c r="FM264" s="4591"/>
      <c r="FN264" s="1102">
        <f>IF(FL264=0,0,(FM264-FL264)/FL264*100)</f>
        <v>0</v>
      </c>
      <c r="FO264" s="4591"/>
      <c r="FP264" s="4591"/>
      <c r="FQ264" s="1102">
        <f>IF(FO264=0,0,(FP264-FO264)/FO264*100)</f>
        <v>0</v>
      </c>
      <c r="FR264" s="4591"/>
      <c r="FS264" s="4591"/>
      <c r="FT264" s="1102">
        <f>IF(FR264=0,0,(FS264-FR264)/FR264*100)</f>
        <v>0</v>
      </c>
      <c r="FU264" s="4591"/>
      <c r="FV264" s="4591"/>
      <c r="FW264" s="1102">
        <f>IF(FU264=0,0,(FV264-FU264)/FU264*100)</f>
        <v>0</v>
      </c>
      <c r="FX264" s="1328"/>
      <c r="FY264" s="1328"/>
      <c r="FZ264" s="1063" t="s">
        <v>1903</v>
      </c>
      <c r="GA264" s="1330"/>
      <c r="GB264" s="1330"/>
      <c r="GC264" s="1329"/>
      <c r="GD264" s="1329"/>
    </row>
    <row s="1656" customFormat="1" customHeight="1" ht="14.25" hidden="1">
      <c r="A265" s="496"/>
      <c r="B265" s="932" cm="1" t="str">
        <f t="array" ref="B265:B265">B264</f>
        <v>false</v>
      </c>
      <c r="C265" s="496"/>
      <c r="D265" s="496"/>
      <c r="E265" s="847">
        <v>15</v>
      </c>
      <c r="F265" s="50" cm="1" t="str">
        <f t="array" ref="F265:F265">OFFSET(E265,-1,1)</f>
        <v>3</v>
      </c>
      <c r="G265" s="496"/>
      <c r="H265" s="496" t="s">
        <v>1904</v>
      </c>
      <c r="I265" s="496" t="s">
        <v>1860</v>
      </c>
      <c r="J265" s="496"/>
      <c r="K265" s="496"/>
      <c r="L265" s="496"/>
      <c r="M265" s="496"/>
      <c r="N265" s="496"/>
      <c r="O265" s="496"/>
      <c r="P265" s="496"/>
      <c r="Q265" s="496"/>
      <c r="R265" s="496"/>
      <c r="S265" s="496"/>
      <c r="T265" s="468" cm="1" t="str">
        <f t="array" ref="T265:T265">T264</f>
        <v>true</v>
      </c>
      <c r="U265" s="496"/>
      <c r="V265" s="496"/>
      <c r="W265" s="496"/>
      <c r="X265" s="1559"/>
      <c r="Y265" s="496"/>
      <c r="Z265" s="1528"/>
      <c r="AA265" s="496"/>
      <c r="AB265" s="911" t="s">
        <v>1905</v>
      </c>
      <c r="AC265" s="871" t="s">
        <v>1906</v>
      </c>
      <c r="AD265" s="4591"/>
      <c r="AE265" s="4591"/>
      <c r="AF265" s="1102">
        <f>IF(AD265=0,0,(AE265-AD265)/AD265*100)</f>
        <v>0</v>
      </c>
      <c r="AG265" s="4591"/>
      <c r="AH265" s="4591"/>
      <c r="AI265" s="1102">
        <f>IF(AG265=0,0,(AH265-AG265)/AG265*100)</f>
        <v>0</v>
      </c>
      <c r="AJ265" s="4591"/>
      <c r="AK265" s="4591"/>
      <c r="AL265" s="1102">
        <f>IF(AJ265=0,0,(AK265-AJ265)/AJ265*100)</f>
        <v>0</v>
      </c>
      <c r="AM265" s="4591"/>
      <c r="AN265" s="4591"/>
      <c r="AO265" s="1102">
        <f>IF(AM265=0,0,(AN265-AM265)/AM265*100)</f>
        <v>0</v>
      </c>
      <c r="AP265" s="4591"/>
      <c r="AQ265" s="4591"/>
      <c r="AR265" s="1102">
        <f>IF(AP265=0,0,(AQ265-AP265)/AP265*100)</f>
        <v>0</v>
      </c>
      <c r="AS265" s="4591"/>
      <c r="AT265" s="4591"/>
      <c r="AU265" s="1102">
        <f>IF(AS265=0,0,(AT265-AS265)/AS265*100)</f>
        <v>0</v>
      </c>
      <c r="AV265" s="4591"/>
      <c r="AW265" s="4591"/>
      <c r="AX265" s="1102">
        <f>IF(AV265=0,0,(AW265-AV265)/AV265*100)</f>
        <v>0</v>
      </c>
      <c r="AY265" s="4591"/>
      <c r="AZ265" s="4591"/>
      <c r="BA265" s="1102">
        <f>IF(AY265=0,0,(AZ265-AY265)/AY265*100)</f>
        <v>0</v>
      </c>
      <c r="BB265" s="4591"/>
      <c r="BC265" s="4591"/>
      <c r="BD265" s="1102">
        <f>IF(BB265=0,0,(BC265-BB265)/BB265*100)</f>
        <v>0</v>
      </c>
      <c r="BE265" s="4591"/>
      <c r="BF265" s="4591"/>
      <c r="BG265" s="1102">
        <f>IF(BE265=0,0,(BF265-BE265)/BE265*100)</f>
        <v>0</v>
      </c>
      <c r="BH265" s="4591"/>
      <c r="BI265" s="4591"/>
      <c r="BJ265" s="1102">
        <f>IF(BH265=0,0,(BI265-BH265)/BH265*100)</f>
        <v>0</v>
      </c>
      <c r="BK265" s="4591"/>
      <c r="BL265" s="4591"/>
      <c r="BM265" s="1102">
        <f>IF(BK265=0,0,(BL265-BK265)/BK265*100)</f>
        <v>0</v>
      </c>
      <c r="BN265" s="4591"/>
      <c r="BO265" s="4591"/>
      <c r="BP265" s="1102">
        <f>IF(BN265=0,0,(BO265-BN265)/BN265*100)</f>
        <v>0</v>
      </c>
      <c r="BQ265" s="4591"/>
      <c r="BR265" s="4591"/>
      <c r="BS265" s="1102">
        <f>IF(BQ265=0,0,(BR265-BQ265)/BQ265*100)</f>
        <v>0</v>
      </c>
      <c r="BT265" s="4591"/>
      <c r="BU265" s="4591"/>
      <c r="BV265" s="1102">
        <f>IF(BT265=0,0,(BU265-BT265)/BT265*100)</f>
        <v>0</v>
      </c>
      <c r="BW265" s="4591"/>
      <c r="BX265" s="4591"/>
      <c r="BY265" s="1102">
        <f>IF(BW265=0,0,(BX265-BW265)/BW265*100)</f>
        <v>0</v>
      </c>
      <c r="BZ265" s="4591"/>
      <c r="CA265" s="4591"/>
      <c r="CB265" s="1102">
        <f>IF(BZ265=0,0,(CA265-BZ265)/BZ265*100)</f>
        <v>0</v>
      </c>
      <c r="CC265" s="4591"/>
      <c r="CD265" s="4591"/>
      <c r="CE265" s="1102">
        <f>IF(CC265=0,0,(CD265-CC265)/CC265*100)</f>
        <v>0</v>
      </c>
      <c r="CF265" s="4591"/>
      <c r="CG265" s="4591"/>
      <c r="CH265" s="1102">
        <f>IF(CF265=0,0,(CG265-CF265)/CF265*100)</f>
        <v>0</v>
      </c>
      <c r="CI265" s="4591"/>
      <c r="CJ265" s="4591"/>
      <c r="CK265" s="1102">
        <f>IF(CI265=0,0,(CJ265-CI265)/CI265*100)</f>
        <v>0</v>
      </c>
      <c r="CL265" s="4591"/>
      <c r="CM265" s="4591"/>
      <c r="CN265" s="1102">
        <f>IF(CL265=0,0,(CM265-CL265)/CL265*100)</f>
        <v>0</v>
      </c>
      <c r="CO265" s="4591"/>
      <c r="CP265" s="4591"/>
      <c r="CQ265" s="1102">
        <f>IF(CO265=0,0,(CP265-CO265)/CO265*100)</f>
        <v>0</v>
      </c>
      <c r="CR265" s="4591"/>
      <c r="CS265" s="4591"/>
      <c r="CT265" s="1102">
        <f>IF(CR265=0,0,(CS265-CR265)/CR265*100)</f>
        <v>0</v>
      </c>
      <c r="CU265" s="4591"/>
      <c r="CV265" s="4591"/>
      <c r="CW265" s="1102">
        <f>IF(CU265=0,0,(CV265-CU265)/CU265*100)</f>
        <v>0</v>
      </c>
      <c r="CX265" s="4591"/>
      <c r="CY265" s="4591"/>
      <c r="CZ265" s="1102">
        <f>IF(CX265=0,0,(CY265-CX265)/CX265*100)</f>
        <v>0</v>
      </c>
      <c r="DA265" s="4591"/>
      <c r="DB265" s="4591"/>
      <c r="DC265" s="1102">
        <f>IF(DA265=0,0,(DB265-DA265)/DA265*100)</f>
        <v>0</v>
      </c>
      <c r="DD265" s="4591"/>
      <c r="DE265" s="4591"/>
      <c r="DF265" s="1102">
        <f>IF(DD265=0,0,(DE265-DD265)/DD265*100)</f>
        <v>0</v>
      </c>
      <c r="DG265" s="4591"/>
      <c r="DH265" s="4591"/>
      <c r="DI265" s="1102">
        <f>IF(DG265=0,0,(DH265-DG265)/DG265*100)</f>
        <v>0</v>
      </c>
      <c r="DJ265" s="4591"/>
      <c r="DK265" s="4591"/>
      <c r="DL265" s="1102">
        <f>IF(DJ265=0,0,(DK265-DJ265)/DJ265*100)</f>
        <v>0</v>
      </c>
      <c r="DM265" s="4591"/>
      <c r="DN265" s="4591"/>
      <c r="DO265" s="1102">
        <f>IF(DM265=0,0,(DN265-DM265)/DM265*100)</f>
        <v>0</v>
      </c>
      <c r="DP265" s="4591"/>
      <c r="DQ265" s="4591"/>
      <c r="DR265" s="1102">
        <f>IF(DP265=0,0,(DQ265-DP265)/DP265*100)</f>
        <v>0</v>
      </c>
      <c r="DS265" s="4591"/>
      <c r="DT265" s="4591"/>
      <c r="DU265" s="1102">
        <f>IF(DS265=0,0,(DT265-DS265)/DS265*100)</f>
        <v>0</v>
      </c>
      <c r="DV265" s="4591"/>
      <c r="DW265" s="4591"/>
      <c r="DX265" s="1102">
        <f>IF(DV265=0,0,(DW265-DV265)/DV265*100)</f>
        <v>0</v>
      </c>
      <c r="DY265" s="4591"/>
      <c r="DZ265" s="4591"/>
      <c r="EA265" s="1102">
        <f>IF(DY265=0,0,(DZ265-DY265)/DY265*100)</f>
        <v>0</v>
      </c>
      <c r="EB265" s="4591"/>
      <c r="EC265" s="4591"/>
      <c r="ED265" s="1102">
        <f>IF(EB265=0,0,(EC265-EB265)/EB265*100)</f>
        <v>0</v>
      </c>
      <c r="EE265" s="4591"/>
      <c r="EF265" s="4591"/>
      <c r="EG265" s="1102">
        <f>IF(EE265=0,0,(EF265-EE265)/EE265*100)</f>
        <v>0</v>
      </c>
      <c r="EH265" s="4591"/>
      <c r="EI265" s="4591"/>
      <c r="EJ265" s="1102">
        <f>IF(EH265=0,0,(EI265-EH265)/EH265*100)</f>
        <v>0</v>
      </c>
      <c r="EK265" s="4591"/>
      <c r="EL265" s="4591"/>
      <c r="EM265" s="1102">
        <f>IF(EK265=0,0,(EL265-EK265)/EK265*100)</f>
        <v>0</v>
      </c>
      <c r="EN265" s="4591"/>
      <c r="EO265" s="4591"/>
      <c r="EP265" s="1102">
        <f>IF(EN265=0,0,(EO265-EN265)/EN265*100)</f>
        <v>0</v>
      </c>
      <c r="EQ265" s="4591"/>
      <c r="ER265" s="4591"/>
      <c r="ES265" s="1102">
        <f>IF(EQ265=0,0,(ER265-EQ265)/EQ265*100)</f>
        <v>0</v>
      </c>
      <c r="ET265" s="4591"/>
      <c r="EU265" s="4591"/>
      <c r="EV265" s="1102">
        <f>IF(ET265=0,0,(EU265-ET265)/ET265*100)</f>
        <v>0</v>
      </c>
      <c r="EW265" s="4591"/>
      <c r="EX265" s="4591"/>
      <c r="EY265" s="1102">
        <f>IF(EW265=0,0,(EX265-EW265)/EW265*100)</f>
        <v>0</v>
      </c>
      <c r="EZ265" s="4591"/>
      <c r="FA265" s="4591"/>
      <c r="FB265" s="1102">
        <f>IF(EZ265=0,0,(FA265-EZ265)/EZ265*100)</f>
        <v>0</v>
      </c>
      <c r="FC265" s="4591"/>
      <c r="FD265" s="4591"/>
      <c r="FE265" s="1102">
        <f>IF(FC265=0,0,(FD265-FC265)/FC265*100)</f>
        <v>0</v>
      </c>
      <c r="FF265" s="4591"/>
      <c r="FG265" s="4591"/>
      <c r="FH265" s="1102">
        <f>IF(FF265=0,0,(FG265-FF265)/FF265*100)</f>
        <v>0</v>
      </c>
      <c r="FI265" s="4591"/>
      <c r="FJ265" s="4591"/>
      <c r="FK265" s="1102">
        <f>IF(FI265=0,0,(FJ265-FI265)/FI265*100)</f>
        <v>0</v>
      </c>
      <c r="FL265" s="4591"/>
      <c r="FM265" s="4591"/>
      <c r="FN265" s="1102">
        <f>IF(FL265=0,0,(FM265-FL265)/FL265*100)</f>
        <v>0</v>
      </c>
      <c r="FO265" s="4591"/>
      <c r="FP265" s="4591"/>
      <c r="FQ265" s="1102">
        <f>IF(FO265=0,0,(FP265-FO265)/FO265*100)</f>
        <v>0</v>
      </c>
      <c r="FR265" s="4591"/>
      <c r="FS265" s="4591"/>
      <c r="FT265" s="1102">
        <f>IF(FR265=0,0,(FS265-FR265)/FR265*100)</f>
        <v>0</v>
      </c>
      <c r="FU265" s="4591"/>
      <c r="FV265" s="4591"/>
      <c r="FW265" s="1102">
        <f>IF(FU265=0,0,(FV265-FU265)/FU265*100)</f>
        <v>0</v>
      </c>
      <c r="FX265" s="1328"/>
      <c r="FY265" s="1328"/>
      <c r="FZ265" s="1063" t="s">
        <v>1907</v>
      </c>
      <c r="GA265" s="1330"/>
      <c r="GB265" s="1330"/>
      <c r="GC265" s="1329"/>
      <c r="GD265" s="1329"/>
    </row>
    <row s="1656" customFormat="1" customHeight="1" ht="23.25" hidden="1">
      <c r="A266" s="496"/>
      <c r="B266" s="932" cm="1" t="str">
        <f t="array" ref="B266:B266">B265</f>
        <v>false</v>
      </c>
      <c r="C266" s="496"/>
      <c r="D266" s="496"/>
      <c r="E266" s="847">
        <v>24.5</v>
      </c>
      <c r="F266" s="50" cm="1" t="str">
        <f t="array" ref="F266:F266">OFFSET(E266,-1,1)</f>
        <v>3</v>
      </c>
      <c r="G266" s="496"/>
      <c r="H266" s="496"/>
      <c r="I266" s="496"/>
      <c r="J266" s="496"/>
      <c r="K266" s="496"/>
      <c r="L266" s="496"/>
      <c r="M266" s="496"/>
      <c r="N266" s="496"/>
      <c r="O266" s="496"/>
      <c r="P266" s="496"/>
      <c r="Q266" s="496"/>
      <c r="R266" s="496"/>
      <c r="S266" s="496"/>
      <c r="T266" s="468" cm="1" t="str">
        <f t="array" ref="T266:T266">T265</f>
        <v>true</v>
      </c>
      <c r="U266" s="496"/>
      <c r="V266" s="496"/>
      <c r="W266" s="496"/>
      <c r="X266" s="1559"/>
      <c r="Y266" s="496"/>
      <c r="Z266" s="1528"/>
      <c r="AA266" s="496"/>
      <c r="AB266" s="289" t="s">
        <v>1908</v>
      </c>
      <c r="AC266" s="910"/>
      <c r="AD266" s="1111"/>
      <c r="AE266" s="1111"/>
      <c r="AF266" s="1111"/>
      <c r="AG266" s="1111"/>
      <c r="AH266" s="1111"/>
      <c r="AI266" s="1111"/>
      <c r="AJ266" s="1111"/>
      <c r="AK266" s="1111"/>
      <c r="AL266" s="1111"/>
      <c r="AM266" s="1111"/>
      <c r="AN266" s="1111"/>
      <c r="AO266" s="1111"/>
      <c r="AP266" s="1111"/>
      <c r="AQ266" s="1111"/>
      <c r="AR266" s="1111"/>
      <c r="AS266" s="1111"/>
      <c r="AT266" s="1111"/>
      <c r="AU266" s="1111"/>
      <c r="AV266" s="1111"/>
      <c r="AW266" s="1111"/>
      <c r="AX266" s="1111"/>
      <c r="AY266" s="1111"/>
      <c r="AZ266" s="1111"/>
      <c r="BA266" s="1111"/>
      <c r="BB266" s="1111"/>
      <c r="BC266" s="1111"/>
      <c r="BD266" s="1111"/>
      <c r="BE266" s="1111"/>
      <c r="BF266" s="1111"/>
      <c r="BG266" s="1111"/>
      <c r="BH266" s="1111"/>
      <c r="BI266" s="1111"/>
      <c r="BJ266" s="1111"/>
      <c r="BK266" s="1111"/>
      <c r="BL266" s="1111"/>
      <c r="BM266" s="1111"/>
      <c r="BN266" s="1111"/>
      <c r="BO266" s="1111"/>
      <c r="BP266" s="1111"/>
      <c r="BQ266" s="1111"/>
      <c r="BR266" s="1111"/>
      <c r="BS266" s="1111"/>
      <c r="BT266" s="1111"/>
      <c r="BU266" s="1111"/>
      <c r="BV266" s="1111"/>
      <c r="BW266" s="1111"/>
      <c r="BX266" s="1111"/>
      <c r="BY266" s="1111"/>
      <c r="BZ266" s="1111"/>
      <c r="CA266" s="1111"/>
      <c r="CB266" s="1111"/>
      <c r="CC266" s="1111"/>
      <c r="CD266" s="1111"/>
      <c r="CE266" s="1111"/>
      <c r="CF266" s="1111"/>
      <c r="CG266" s="1111"/>
      <c r="CH266" s="1111"/>
      <c r="CI266" s="1111"/>
      <c r="CJ266" s="1111"/>
      <c r="CK266" s="1111"/>
      <c r="CL266" s="1111"/>
      <c r="CM266" s="1111"/>
      <c r="CN266" s="1111"/>
      <c r="CO266" s="1111"/>
      <c r="CP266" s="1111"/>
      <c r="CQ266" s="1111"/>
      <c r="CR266" s="1111"/>
      <c r="CS266" s="1111"/>
      <c r="CT266" s="1111"/>
      <c r="CU266" s="1111"/>
      <c r="CV266" s="1111"/>
      <c r="CW266" s="1111"/>
      <c r="CX266" s="1111"/>
      <c r="CY266" s="1111"/>
      <c r="CZ266" s="1111"/>
      <c r="DA266" s="1111"/>
      <c r="DB266" s="1111"/>
      <c r="DC266" s="1111"/>
      <c r="DD266" s="1111"/>
      <c r="DE266" s="1111"/>
      <c r="DF266" s="1111"/>
      <c r="DG266" s="1111"/>
      <c r="DH266" s="1111"/>
      <c r="DI266" s="1111"/>
      <c r="DJ266" s="1111"/>
      <c r="DK266" s="1111"/>
      <c r="DL266" s="1111"/>
      <c r="DM266" s="1111"/>
      <c r="DN266" s="1111"/>
      <c r="DO266" s="1111"/>
      <c r="DP266" s="1111"/>
      <c r="DQ266" s="1111"/>
      <c r="DR266" s="1111"/>
      <c r="DS266" s="1111"/>
      <c r="DT266" s="1111"/>
      <c r="DU266" s="1111"/>
      <c r="DV266" s="1111"/>
      <c r="DW266" s="1111"/>
      <c r="DX266" s="1111"/>
      <c r="DY266" s="1111"/>
      <c r="DZ266" s="1111"/>
      <c r="EA266" s="1111"/>
      <c r="EB266" s="1111"/>
      <c r="EC266" s="1111"/>
      <c r="ED266" s="1111"/>
      <c r="EE266" s="1111"/>
      <c r="EF266" s="1111"/>
      <c r="EG266" s="1111"/>
      <c r="EH266" s="1111"/>
      <c r="EI266" s="1111"/>
      <c r="EJ266" s="1111"/>
      <c r="EK266" s="1111"/>
      <c r="EL266" s="1111"/>
      <c r="EM266" s="1111"/>
      <c r="EN266" s="1111"/>
      <c r="EO266" s="1111"/>
      <c r="EP266" s="1111"/>
      <c r="EQ266" s="1111"/>
      <c r="ER266" s="1111"/>
      <c r="ES266" s="1111"/>
      <c r="ET266" s="1111"/>
      <c r="EU266" s="1111"/>
      <c r="EV266" s="1111"/>
      <c r="EW266" s="1111"/>
      <c r="EX266" s="1111"/>
      <c r="EY266" s="1111"/>
      <c r="EZ266" s="1111"/>
      <c r="FA266" s="1111"/>
      <c r="FB266" s="1111"/>
      <c r="FC266" s="1111"/>
      <c r="FD266" s="1111"/>
      <c r="FE266" s="1111"/>
      <c r="FF266" s="1111"/>
      <c r="FG266" s="1111"/>
      <c r="FH266" s="1111"/>
      <c r="FI266" s="1111"/>
      <c r="FJ266" s="1111"/>
      <c r="FK266" s="1111"/>
      <c r="FL266" s="1111"/>
      <c r="FM266" s="1111"/>
      <c r="FN266" s="1111"/>
      <c r="FO266" s="1111"/>
      <c r="FP266" s="1111"/>
      <c r="FQ266" s="1111"/>
      <c r="FR266" s="1111"/>
      <c r="FS266" s="1111"/>
      <c r="FT266" s="1111"/>
      <c r="FU266" s="1111"/>
      <c r="FV266" s="1111"/>
      <c r="FW266" s="1112"/>
      <c r="FX266" s="1328"/>
      <c r="FY266" s="1328"/>
      <c r="FZ266" s="1063"/>
      <c r="GA266" s="1330"/>
      <c r="GB266" s="1330"/>
      <c r="GC266" s="1329"/>
      <c r="GD266" s="1329"/>
    </row>
    <row s="1656" customFormat="1" customHeight="1" ht="14.25" hidden="1">
      <c r="A267" s="496"/>
      <c r="B267" s="932" cm="1" t="str">
        <f t="array" ref="B267:B267">B266</f>
        <v>false</v>
      </c>
      <c r="C267" s="496"/>
      <c r="D267" s="496"/>
      <c r="E267" s="847">
        <v>15</v>
      </c>
      <c r="F267" s="50" cm="1" t="str">
        <f t="array" ref="F267:F267">OFFSET(E267,-1,1)</f>
        <v>3</v>
      </c>
      <c r="G267" s="496"/>
      <c r="H267" s="496" t="s">
        <v>1787</v>
      </c>
      <c r="I267" s="496" t="s">
        <v>1865</v>
      </c>
      <c r="J267" s="496"/>
      <c r="K267" s="496"/>
      <c r="L267" s="496"/>
      <c r="M267" s="496"/>
      <c r="N267" s="496"/>
      <c r="O267" s="496"/>
      <c r="P267" s="496"/>
      <c r="Q267" s="496"/>
      <c r="R267" s="496"/>
      <c r="S267" s="496"/>
      <c r="T267" s="468" cm="1" t="str">
        <f t="array" ref="T267:T267">T266</f>
        <v>true</v>
      </c>
      <c r="U267" s="496"/>
      <c r="V267" s="496"/>
      <c r="W267" s="496"/>
      <c r="X267" s="1559"/>
      <c r="Y267" s="496"/>
      <c r="Z267" s="1528"/>
      <c r="AA267" s="496"/>
      <c r="AB267" s="1100" t="s">
        <v>1895</v>
      </c>
      <c r="AC267" s="871" t="s">
        <v>1862</v>
      </c>
      <c r="AD267" s="4591">
        <f>IF(AD269=0,0,(AD268*AD269+AD270*AD271*IF(god=2026,3,6))/AD269)</f>
        <v>0</v>
      </c>
      <c r="AE267" s="4591">
        <f>IF(AE269=0,0,(AE268*AE269+AE270*AE271*IF(god=2026,3,6))/AE269)</f>
        <v>0</v>
      </c>
      <c r="AF267" s="1102">
        <f>IF(AD267=0,0,(AE267-AD267)/AD267*100)</f>
        <v>0</v>
      </c>
      <c r="AG267" s="4591">
        <f>IF(AG269=0,0,(AG268*AG269+AG270*AG271*IF(god=2025,3,6))/AG269)</f>
        <v>0</v>
      </c>
      <c r="AH267" s="4591">
        <f>IF(AH269=0,0,(AH268*AH269+AH270*AH271*IF(god=2025,3,6))/AH269)</f>
        <v>0</v>
      </c>
      <c r="AI267" s="1102">
        <f>IF(AG267=0,0,(AH267-AG267)/AG267*100)</f>
        <v>0</v>
      </c>
      <c r="AJ267" s="4591">
        <f>IF(AJ269=0,0,(AJ268*AJ269+AJ270*AJ271*6)/AJ269)</f>
        <v>0</v>
      </c>
      <c r="AK267" s="4591">
        <f>IF(AK269=0,0,(AK268*AK269+AK270*AK271*6)/AK269)</f>
        <v>0</v>
      </c>
      <c r="AL267" s="1102">
        <f>IF(AJ267=0,0,(AK267-AJ267)/AJ267*100)</f>
        <v>0</v>
      </c>
      <c r="AM267" s="4591">
        <f>IF(AM269=0,0,(AM268*AM269+AM270*AM271*6)/AM269)</f>
        <v>0</v>
      </c>
      <c r="AN267" s="4591">
        <f>IF(AN269=0,0,(AN268*AN269+AN270*AN271*6)/AN269)</f>
        <v>0</v>
      </c>
      <c r="AO267" s="1102">
        <f>IF(AM267=0,0,(AN267-AM267)/AM267*100)</f>
        <v>0</v>
      </c>
      <c r="AP267" s="4591">
        <f>IF(AP269=0,0,(AP268*AP269+AP270*AP271*6)/AP269)</f>
        <v>0</v>
      </c>
      <c r="AQ267" s="4591">
        <f>IF(AQ269=0,0,(AQ268*AQ269+AQ270*AQ271*6)/AQ269)</f>
        <v>0</v>
      </c>
      <c r="AR267" s="1102">
        <f>IF(AP267=0,0,(AQ267-AP267)/AP267*100)</f>
        <v>0</v>
      </c>
      <c r="AS267" s="4591">
        <f>IF(AS269=0,0,(AS268*AS269+AS270*AS271*6)/AS269)</f>
        <v>0</v>
      </c>
      <c r="AT267" s="4591">
        <f>IF(AT269=0,0,(AT268*AT269+AT270*AT271*6)/AT269)</f>
        <v>0</v>
      </c>
      <c r="AU267" s="1102">
        <f>IF(AS267=0,0,(AT267-AS267)/AS267*100)</f>
        <v>0</v>
      </c>
      <c r="AV267" s="4591">
        <f>IF(AV269=0,0,(AV268*AV269+AV270*AV271*6)/AV269)</f>
        <v>0</v>
      </c>
      <c r="AW267" s="4591">
        <f>IF(AW269=0,0,(AW268*AW269+AW270*AW271*6)/AW269)</f>
        <v>0</v>
      </c>
      <c r="AX267" s="1102">
        <f>IF(AV267=0,0,(AW267-AV267)/AV267*100)</f>
        <v>0</v>
      </c>
      <c r="AY267" s="4591">
        <f>IF(AY269=0,0,(AY268*AY269+AY270*AY271*6)/AY269)</f>
        <v>0</v>
      </c>
      <c r="AZ267" s="4591">
        <f>IF(AZ269=0,0,(AZ268*AZ269+AZ270*AZ271*6)/AZ269)</f>
        <v>0</v>
      </c>
      <c r="BA267" s="1102">
        <f>IF(AY267=0,0,(AZ267-AY267)/AY267*100)</f>
        <v>0</v>
      </c>
      <c r="BB267" s="4591">
        <f>IF(BB269=0,0,(BB268*BB269+BB270*BB271*6)/BB269)</f>
        <v>0</v>
      </c>
      <c r="BC267" s="4591">
        <f>IF(BC269=0,0,(BC268*BC269+BC270*BC271*6)/BC269)</f>
        <v>0</v>
      </c>
      <c r="BD267" s="1102">
        <f>IF(BB267=0,0,(BC267-BB267)/BB267*100)</f>
        <v>0</v>
      </c>
      <c r="BE267" s="4591">
        <f>IF(BE269=0,0,(BE268*BE269+BE270*BE271*6)/BE269)</f>
        <v>0</v>
      </c>
      <c r="BF267" s="4591">
        <f>IF(BF269=0,0,(BF268*BF269+BF270*BF271*6)/BF269)</f>
        <v>0</v>
      </c>
      <c r="BG267" s="1102">
        <f>IF(BE267=0,0,(BF267-BE267)/BE267*100)</f>
        <v>0</v>
      </c>
      <c r="BH267" s="4591">
        <f>IF(BH269=0,0,(BH268*BH269+BH270*BH271*6)/BH269)</f>
        <v>0</v>
      </c>
      <c r="BI267" s="4591">
        <f>IF(BI269=0,0,(BI268*BI269+BI270*BI271*6)/BI269)</f>
        <v>0</v>
      </c>
      <c r="BJ267" s="1102">
        <f>IF(BH267=0,0,(BI267-BH267)/BH267*100)</f>
        <v>0</v>
      </c>
      <c r="BK267" s="4591">
        <f>IF(BK269=0,0,(BK268*BK269+BK270*BK271*6)/BK269)</f>
        <v>0</v>
      </c>
      <c r="BL267" s="4591">
        <f>IF(BL269=0,0,(BL268*BL269+BL270*BL271*6)/BL269)</f>
        <v>0</v>
      </c>
      <c r="BM267" s="1102">
        <f>IF(BK267=0,0,(BL267-BK267)/BK267*100)</f>
        <v>0</v>
      </c>
      <c r="BN267" s="4591">
        <f>IF(BN269=0,0,(BN268*BN269+BN270*BN271*6)/BN269)</f>
        <v>0</v>
      </c>
      <c r="BO267" s="4591">
        <f>IF(BO269=0,0,(BO268*BO269+BO270*BO271*6)/BO269)</f>
        <v>0</v>
      </c>
      <c r="BP267" s="1102">
        <f>IF(BN267=0,0,(BO267-BN267)/BN267*100)</f>
        <v>0</v>
      </c>
      <c r="BQ267" s="4591">
        <f>IF(BQ269=0,0,(BQ268*BQ269+BQ270*BQ271*6)/BQ269)</f>
        <v>0</v>
      </c>
      <c r="BR267" s="4591">
        <f>IF(BR269=0,0,(BR268*BR269+BR270*BR271*6)/BR269)</f>
        <v>0</v>
      </c>
      <c r="BS267" s="1102">
        <f>IF(BQ267=0,0,(BR267-BQ267)/BQ267*100)</f>
        <v>0</v>
      </c>
      <c r="BT267" s="4591">
        <f>IF(BT269=0,0,(BT268*BT269+BT270*BT271*6)/BT269)</f>
        <v>0</v>
      </c>
      <c r="BU267" s="4591">
        <f>IF(BU269=0,0,(BU268*BU269+BU270*BU271*6)/BU269)</f>
        <v>0</v>
      </c>
      <c r="BV267" s="1102">
        <f>IF(BT267=0,0,(BU267-BT267)/BT267*100)</f>
        <v>0</v>
      </c>
      <c r="BW267" s="4591">
        <f>IF(BW269=0,0,(BW268*BW269+BW270*BW271*6)/BW269)</f>
        <v>0</v>
      </c>
      <c r="BX267" s="4591">
        <f>IF(BX269=0,0,(BX268*BX269+BX270*BX271*6)/BX269)</f>
        <v>0</v>
      </c>
      <c r="BY267" s="1102">
        <f>IF(BW267=0,0,(BX267-BW267)/BW267*100)</f>
        <v>0</v>
      </c>
      <c r="BZ267" s="4591">
        <f>IF(BZ269=0,0,(BZ268*BZ269+BZ270*BZ271*6)/BZ269)</f>
        <v>0</v>
      </c>
      <c r="CA267" s="4591">
        <f>IF(CA269=0,0,(CA268*CA269+CA270*CA271*6)/CA269)</f>
        <v>0</v>
      </c>
      <c r="CB267" s="1102">
        <f>IF(BZ267=0,0,(CA267-BZ267)/BZ267*100)</f>
        <v>0</v>
      </c>
      <c r="CC267" s="4591">
        <f>IF(CC269=0,0,(CC268*CC269+CC270*CC271*6)/CC269)</f>
        <v>0</v>
      </c>
      <c r="CD267" s="4591">
        <f>IF(CD269=0,0,(CD268*CD269+CD270*CD271*6)/CD269)</f>
        <v>0</v>
      </c>
      <c r="CE267" s="1102">
        <f>IF(CC267=0,0,(CD267-CC267)/CC267*100)</f>
        <v>0</v>
      </c>
      <c r="CF267" s="4591">
        <f>IF(CF269=0,0,(CF268*CF269+CF270*CF271*6)/CF269)</f>
        <v>0</v>
      </c>
      <c r="CG267" s="4591">
        <f>IF(CG269=0,0,(CG268*CG269+CG270*CG271*6)/CG269)</f>
        <v>0</v>
      </c>
      <c r="CH267" s="1102">
        <f>IF(CF267=0,0,(CG267-CF267)/CF267*100)</f>
        <v>0</v>
      </c>
      <c r="CI267" s="4591">
        <f>IF(CI269=0,0,(CI268*CI269+CI270*CI271*6)/CI269)</f>
        <v>0</v>
      </c>
      <c r="CJ267" s="4591">
        <f>IF(CJ269=0,0,(CJ268*CJ269+CJ270*CJ271*6)/CJ269)</f>
        <v>0</v>
      </c>
      <c r="CK267" s="1102">
        <f>IF(CI267=0,0,(CJ267-CI267)/CI267*100)</f>
        <v>0</v>
      </c>
      <c r="CL267" s="4591">
        <f>IF(CL269=0,0,(CL268*CL269+CL270*CL271*6)/CL269)</f>
        <v>0</v>
      </c>
      <c r="CM267" s="4591">
        <f>IF(CM269=0,0,(CM268*CM269+CM270*CM271*6)/CM269)</f>
        <v>0</v>
      </c>
      <c r="CN267" s="1102">
        <f>IF(CL267=0,0,(CM267-CL267)/CL267*100)</f>
        <v>0</v>
      </c>
      <c r="CO267" s="4591">
        <f>IF(CO269=0,0,(CO268*CO269+CO270*CO271*6)/CO269)</f>
        <v>0</v>
      </c>
      <c r="CP267" s="4591">
        <f>IF(CP269=0,0,(CP268*CP269+CP270*CP271*6)/CP269)</f>
        <v>0</v>
      </c>
      <c r="CQ267" s="1102">
        <f>IF(CO267=0,0,(CP267-CO267)/CO267*100)</f>
        <v>0</v>
      </c>
      <c r="CR267" s="4591">
        <f>IF(CR269=0,0,(CR268*CR269+CR270*CR271*6)/CR269)</f>
        <v>0</v>
      </c>
      <c r="CS267" s="4591">
        <f>IF(CS269=0,0,(CS268*CS269+CS270*CS271*6)/CS269)</f>
        <v>0</v>
      </c>
      <c r="CT267" s="1102">
        <f>IF(CR267=0,0,(CS267-CR267)/CR267*100)</f>
        <v>0</v>
      </c>
      <c r="CU267" s="4591">
        <f>IF(CU269=0,0,(CU268*CU269+CU270*CU271*6)/CU269)</f>
        <v>0</v>
      </c>
      <c r="CV267" s="4591">
        <f>IF(CV269=0,0,(CV268*CV269+CV270*CV271*6)/CV269)</f>
        <v>0</v>
      </c>
      <c r="CW267" s="1102">
        <f>IF(CU267=0,0,(CV267-CU267)/CU267*100)</f>
        <v>0</v>
      </c>
      <c r="CX267" s="4591">
        <f>IF(CX269=0,0,(CX268*CX269+CX270*CX271*6)/CX269)</f>
        <v>0</v>
      </c>
      <c r="CY267" s="4591">
        <f>IF(CY269=0,0,(CY268*CY269+CY270*CY271*6)/CY269)</f>
        <v>0</v>
      </c>
      <c r="CZ267" s="1102">
        <f>IF(CX267=0,0,(CY267-CX267)/CX267*100)</f>
        <v>0</v>
      </c>
      <c r="DA267" s="4591">
        <f>IF(DA269=0,0,(DA268*DA269+DA270*DA271*6)/DA269)</f>
        <v>0</v>
      </c>
      <c r="DB267" s="4591">
        <f>IF(DB269=0,0,(DB268*DB269+DB270*DB271*6)/DB269)</f>
        <v>0</v>
      </c>
      <c r="DC267" s="1102">
        <f>IF(DA267=0,0,(DB267-DA267)/DA267*100)</f>
        <v>0</v>
      </c>
      <c r="DD267" s="4591">
        <f>IF(DD269=0,0,(DD268*DD269+DD270*DD271*6)/DD269)</f>
        <v>0</v>
      </c>
      <c r="DE267" s="4591">
        <f>IF(DE269=0,0,(DE268*DE269+DE270*DE271*6)/DE269)</f>
        <v>0</v>
      </c>
      <c r="DF267" s="1102">
        <f>IF(DD267=0,0,(DE267-DD267)/DD267*100)</f>
        <v>0</v>
      </c>
      <c r="DG267" s="4591">
        <f>IF(DG269=0,0,(DG268*DG269+DG270*DG271*6)/DG269)</f>
        <v>0</v>
      </c>
      <c r="DH267" s="4591">
        <f>IF(DH269=0,0,(DH268*DH269+DH270*DH271*6)/DH269)</f>
        <v>0</v>
      </c>
      <c r="DI267" s="1102">
        <f>IF(DG267=0,0,(DH267-DG267)/DG267*100)</f>
        <v>0</v>
      </c>
      <c r="DJ267" s="4591">
        <f>IF(DJ269=0,0,(DJ268*DJ269+DJ270*DJ271*6)/DJ269)</f>
        <v>0</v>
      </c>
      <c r="DK267" s="4591">
        <f>IF(DK269=0,0,(DK268*DK269+DK270*DK271*6)/DK269)</f>
        <v>0</v>
      </c>
      <c r="DL267" s="1102">
        <f>IF(DJ267=0,0,(DK267-DJ267)/DJ267*100)</f>
        <v>0</v>
      </c>
      <c r="DM267" s="4591">
        <f>IF(DM269=0,0,(DM268*DM269+DM270*DM271*6)/DM269)</f>
        <v>0</v>
      </c>
      <c r="DN267" s="4591">
        <f>IF(DN269=0,0,(DN268*DN269+DN270*DN271*6)/DN269)</f>
        <v>0</v>
      </c>
      <c r="DO267" s="1102">
        <f>IF(DM267=0,0,(DN267-DM267)/DM267*100)</f>
        <v>0</v>
      </c>
      <c r="DP267" s="4591">
        <f>IF(DP269=0,0,(DP268*DP269+DP270*DP271*6)/DP269)</f>
        <v>0</v>
      </c>
      <c r="DQ267" s="4591">
        <f>IF(DQ269=0,0,(DQ268*DQ269+DQ270*DQ271*6)/DQ269)</f>
        <v>0</v>
      </c>
      <c r="DR267" s="1102">
        <f>IF(DP267=0,0,(DQ267-DP267)/DP267*100)</f>
        <v>0</v>
      </c>
      <c r="DS267" s="4591">
        <f>IF(DS269=0,0,(DS268*DS269+DS270*DS271*6)/DS269)</f>
        <v>0</v>
      </c>
      <c r="DT267" s="4591">
        <f>IF(DT269=0,0,(DT268*DT269+DT270*DT271*6)/DT269)</f>
        <v>0</v>
      </c>
      <c r="DU267" s="1102">
        <f>IF(DS267=0,0,(DT267-DS267)/DS267*100)</f>
        <v>0</v>
      </c>
      <c r="DV267" s="4591">
        <f>IF(DV269=0,0,(DV268*DV269+DV270*DV271*6)/DV269)</f>
        <v>0</v>
      </c>
      <c r="DW267" s="4591">
        <f>IF(DW269=0,0,(DW268*DW269+DW270*DW271*6)/DW269)</f>
        <v>0</v>
      </c>
      <c r="DX267" s="1102">
        <f>IF(DV267=0,0,(DW267-DV267)/DV267*100)</f>
        <v>0</v>
      </c>
      <c r="DY267" s="4591">
        <f>IF(DY269=0,0,(DY268*DY269+DY270*DY271*6)/DY269)</f>
        <v>0</v>
      </c>
      <c r="DZ267" s="4591">
        <f>IF(DZ269=0,0,(DZ268*DZ269+DZ270*DZ271*6)/DZ269)</f>
        <v>0</v>
      </c>
      <c r="EA267" s="1102">
        <f>IF(DY267=0,0,(DZ267-DY267)/DY267*100)</f>
        <v>0</v>
      </c>
      <c r="EB267" s="4591">
        <f>IF(EB269=0,0,(EB268*EB269+EB270*EB271*6)/EB269)</f>
        <v>0</v>
      </c>
      <c r="EC267" s="4591">
        <f>IF(EC269=0,0,(EC268*EC269+EC270*EC271*6)/EC269)</f>
        <v>0</v>
      </c>
      <c r="ED267" s="1102">
        <f>IF(EB267=0,0,(EC267-EB267)/EB267*100)</f>
        <v>0</v>
      </c>
      <c r="EE267" s="4591">
        <f>IF(EE269=0,0,(EE268*EE269+EE270*EE271*6)/EE269)</f>
        <v>0</v>
      </c>
      <c r="EF267" s="4591">
        <f>IF(EF269=0,0,(EF268*EF269+EF270*EF271*6)/EF269)</f>
        <v>0</v>
      </c>
      <c r="EG267" s="1102">
        <f>IF(EE267=0,0,(EF267-EE267)/EE267*100)</f>
        <v>0</v>
      </c>
      <c r="EH267" s="4591">
        <f>IF(EH269=0,0,(EH268*EH269+EH270*EH271*6)/EH269)</f>
        <v>0</v>
      </c>
      <c r="EI267" s="4591">
        <f>IF(EI269=0,0,(EI268*EI269+EI270*EI271*6)/EI269)</f>
        <v>0</v>
      </c>
      <c r="EJ267" s="1102">
        <f>IF(EH267=0,0,(EI267-EH267)/EH267*100)</f>
        <v>0</v>
      </c>
      <c r="EK267" s="4591">
        <f>IF(EK269=0,0,(EK268*EK269+EK270*EK271*6)/EK269)</f>
        <v>0</v>
      </c>
      <c r="EL267" s="4591">
        <f>IF(EL269=0,0,(EL268*EL269+EL270*EL271*6)/EL269)</f>
        <v>0</v>
      </c>
      <c r="EM267" s="1102">
        <f>IF(EK267=0,0,(EL267-EK267)/EK267*100)</f>
        <v>0</v>
      </c>
      <c r="EN267" s="4591">
        <f>IF(EN269=0,0,(EN268*EN269+EN270*EN271*6)/EN269)</f>
        <v>0</v>
      </c>
      <c r="EO267" s="4591">
        <f>IF(EO269=0,0,(EO268*EO269+EO270*EO271*6)/EO269)</f>
        <v>0</v>
      </c>
      <c r="EP267" s="1102">
        <f>IF(EN267=0,0,(EO267-EN267)/EN267*100)</f>
        <v>0</v>
      </c>
      <c r="EQ267" s="4591">
        <f>IF(EQ269=0,0,(EQ268*EQ269+EQ270*EQ271*6)/EQ269)</f>
        <v>0</v>
      </c>
      <c r="ER267" s="4591">
        <f>IF(ER269=0,0,(ER268*ER269+ER270*ER271*6)/ER269)</f>
        <v>0</v>
      </c>
      <c r="ES267" s="1102">
        <f>IF(EQ267=0,0,(ER267-EQ267)/EQ267*100)</f>
        <v>0</v>
      </c>
      <c r="ET267" s="4591">
        <f>IF(ET269=0,0,(ET268*ET269+ET270*ET271*6)/ET269)</f>
        <v>0</v>
      </c>
      <c r="EU267" s="4591">
        <f>IF(EU269=0,0,(EU268*EU269+EU270*EU271*6)/EU269)</f>
        <v>0</v>
      </c>
      <c r="EV267" s="1102">
        <f>IF(ET267=0,0,(EU267-ET267)/ET267*100)</f>
        <v>0</v>
      </c>
      <c r="EW267" s="4591">
        <f>IF(EW269=0,0,(EW268*EW269+EW270*EW271*6)/EW269)</f>
        <v>0</v>
      </c>
      <c r="EX267" s="4591">
        <f>IF(EX269=0,0,(EX268*EX269+EX270*EX271*6)/EX269)</f>
        <v>0</v>
      </c>
      <c r="EY267" s="1102">
        <f>IF(EW267=0,0,(EX267-EW267)/EW267*100)</f>
        <v>0</v>
      </c>
      <c r="EZ267" s="4591">
        <f>IF(EZ269=0,0,(EZ268*EZ269+EZ270*EZ271*6)/EZ269)</f>
        <v>0</v>
      </c>
      <c r="FA267" s="4591">
        <f>IF(FA269=0,0,(FA268*FA269+FA270*FA271*6)/FA269)</f>
        <v>0</v>
      </c>
      <c r="FB267" s="1102">
        <f>IF(EZ267=0,0,(FA267-EZ267)/EZ267*100)</f>
        <v>0</v>
      </c>
      <c r="FC267" s="4591">
        <f>IF(FC269=0,0,(FC268*FC269+FC270*FC271*6)/FC269)</f>
        <v>0</v>
      </c>
      <c r="FD267" s="4591">
        <f>IF(FD269=0,0,(FD268*FD269+FD270*FD271*6)/FD269)</f>
        <v>0</v>
      </c>
      <c r="FE267" s="1102">
        <f>IF(FC267=0,0,(FD267-FC267)/FC267*100)</f>
        <v>0</v>
      </c>
      <c r="FF267" s="4591">
        <f>IF(FF269=0,0,(FF268*FF269+FF270*FF271*6)/FF269)</f>
        <v>0</v>
      </c>
      <c r="FG267" s="4591">
        <f>IF(FG269=0,0,(FG268*FG269+FG270*FG271*6)/FG269)</f>
        <v>0</v>
      </c>
      <c r="FH267" s="1102">
        <f>IF(FF267=0,0,(FG267-FF267)/FF267*100)</f>
        <v>0</v>
      </c>
      <c r="FI267" s="4591">
        <f>IF(FI269=0,0,(FI268*FI269+FI270*FI271*6)/FI269)</f>
        <v>0</v>
      </c>
      <c r="FJ267" s="4591">
        <f>IF(FJ269=0,0,(FJ268*FJ269+FJ270*FJ271*6)/FJ269)</f>
        <v>0</v>
      </c>
      <c r="FK267" s="1102">
        <f>IF(FI267=0,0,(FJ267-FI267)/FI267*100)</f>
        <v>0</v>
      </c>
      <c r="FL267" s="4591">
        <f>IF(FL269=0,0,(FL268*FL269+FL270*FL271*6)/FL269)</f>
        <v>0</v>
      </c>
      <c r="FM267" s="4591">
        <f>IF(FM269=0,0,(FM268*FM269+FM270*FM271*6)/FM269)</f>
        <v>0</v>
      </c>
      <c r="FN267" s="1102">
        <f>IF(FL267=0,0,(FM267-FL267)/FL267*100)</f>
        <v>0</v>
      </c>
      <c r="FO267" s="4591">
        <f>IF(FO269=0,0,(FO268*FO269+FO270*FO271*6)/FO269)</f>
        <v>0</v>
      </c>
      <c r="FP267" s="4591">
        <f>IF(FP269=0,0,(FP268*FP269+FP270*FP271*6)/FP269)</f>
        <v>0</v>
      </c>
      <c r="FQ267" s="1102">
        <f>IF(FO267=0,0,(FP267-FO267)/FO267*100)</f>
        <v>0</v>
      </c>
      <c r="FR267" s="4591">
        <f>IF(FR269=0,0,(FR268*FR269+FR270*FR271*6)/FR269)</f>
        <v>0</v>
      </c>
      <c r="FS267" s="4591">
        <f>IF(FS269=0,0,(FS268*FS269+FS270*FS271*6)/FS269)</f>
        <v>0</v>
      </c>
      <c r="FT267" s="1102">
        <f>IF(FR267=0,0,(FS267-FR267)/FR267*100)</f>
        <v>0</v>
      </c>
      <c r="FU267" s="4591">
        <f>IF(FU269=0,0,(FU268*FU269+FU270*FU271*6)/FU269)</f>
        <v>0</v>
      </c>
      <c r="FV267" s="4591">
        <f>IF(FV269=0,0,(FV268*FV269+FV270*FV271*6)/FV269)</f>
        <v>0</v>
      </c>
      <c r="FW267" s="1102">
        <f>IF(FU267=0,0,(FV267-FU267)/FU267*100)</f>
        <v>0</v>
      </c>
      <c r="FX267" s="1328"/>
      <c r="FY267" s="1328"/>
      <c r="FZ267" s="1063" t="s">
        <v>1909</v>
      </c>
      <c r="GA267" s="1330"/>
      <c r="GB267" s="1330"/>
      <c r="GC267" s="1329"/>
      <c r="GD267" s="1329"/>
    </row>
    <row s="1656" customFormat="1" customHeight="1" ht="14.25" hidden="1">
      <c r="A268" s="496"/>
      <c r="B268" s="932" cm="1" t="str">
        <f t="array" ref="B268:B268">B267</f>
        <v>false</v>
      </c>
      <c r="C268" s="496"/>
      <c r="D268" s="496"/>
      <c r="E268" s="847">
        <v>15</v>
      </c>
      <c r="F268" s="50" cm="1" t="str">
        <f t="array" ref="F268:F268">OFFSET(E268,-1,1)</f>
        <v>3</v>
      </c>
      <c r="G268" s="496"/>
      <c r="H268" s="496" t="s">
        <v>1791</v>
      </c>
      <c r="I268" s="496" t="s">
        <v>1865</v>
      </c>
      <c r="J268" s="496"/>
      <c r="K268" s="496"/>
      <c r="L268" s="496"/>
      <c r="M268" s="496"/>
      <c r="N268" s="496"/>
      <c r="O268" s="496"/>
      <c r="P268" s="496"/>
      <c r="Q268" s="496"/>
      <c r="R268" s="496"/>
      <c r="S268" s="496"/>
      <c r="T268" s="468" cm="1" t="str">
        <f t="array" ref="T268:T268">T267</f>
        <v>true</v>
      </c>
      <c r="U268" s="496"/>
      <c r="V268" s="496"/>
      <c r="W268" s="496"/>
      <c r="X268" s="1559"/>
      <c r="Y268" s="496"/>
      <c r="Z268" s="1528"/>
      <c r="AA268" s="496"/>
      <c r="AB268" s="1100" t="str">
        <f>"ставка платы за "&amp;IF(Q242="Водоснабжение","потребление 1 куб.м холодной воды","объем принятых сточных вод")</f>
        <v>ставка платы за объем принятых сточных вод</v>
      </c>
      <c r="AC268" s="871" t="s">
        <v>1862</v>
      </c>
      <c r="AD268" s="4591"/>
      <c r="AE268" s="4591"/>
      <c r="AF268" s="1102">
        <f>IF(AD268=0,0,(AE268-AD268)/AD268*100)</f>
        <v>0</v>
      </c>
      <c r="AG268" s="4591"/>
      <c r="AH268" s="4591"/>
      <c r="AI268" s="1102">
        <f>IF(AG268=0,0,(AH268-AG268)/AG268*100)</f>
        <v>0</v>
      </c>
      <c r="AJ268" s="4591"/>
      <c r="AK268" s="4591"/>
      <c r="AL268" s="1102">
        <f>IF(AJ268=0,0,(AK268-AJ268)/AJ268*100)</f>
        <v>0</v>
      </c>
      <c r="AM268" s="4591"/>
      <c r="AN268" s="4591"/>
      <c r="AO268" s="1102">
        <f>IF(AM268=0,0,(AN268-AM268)/AM268*100)</f>
        <v>0</v>
      </c>
      <c r="AP268" s="4591"/>
      <c r="AQ268" s="4591"/>
      <c r="AR268" s="1102">
        <f>IF(AP268=0,0,(AQ268-AP268)/AP268*100)</f>
        <v>0</v>
      </c>
      <c r="AS268" s="4591"/>
      <c r="AT268" s="4591"/>
      <c r="AU268" s="1102">
        <f>IF(AS268=0,0,(AT268-AS268)/AS268*100)</f>
        <v>0</v>
      </c>
      <c r="AV268" s="4591"/>
      <c r="AW268" s="4591"/>
      <c r="AX268" s="1102">
        <f>IF(AV268=0,0,(AW268-AV268)/AV268*100)</f>
        <v>0</v>
      </c>
      <c r="AY268" s="4591"/>
      <c r="AZ268" s="4591"/>
      <c r="BA268" s="1102">
        <f>IF(AY268=0,0,(AZ268-AY268)/AY268*100)</f>
        <v>0</v>
      </c>
      <c r="BB268" s="4591"/>
      <c r="BC268" s="4591"/>
      <c r="BD268" s="1102">
        <f>IF(BB268=0,0,(BC268-BB268)/BB268*100)</f>
        <v>0</v>
      </c>
      <c r="BE268" s="4591"/>
      <c r="BF268" s="4591"/>
      <c r="BG268" s="1102">
        <f>IF(BE268=0,0,(BF268-BE268)/BE268*100)</f>
        <v>0</v>
      </c>
      <c r="BH268" s="4591"/>
      <c r="BI268" s="4591"/>
      <c r="BJ268" s="1102">
        <f>IF(BH268=0,0,(BI268-BH268)/BH268*100)</f>
        <v>0</v>
      </c>
      <c r="BK268" s="4591"/>
      <c r="BL268" s="4591"/>
      <c r="BM268" s="1102">
        <f>IF(BK268=0,0,(BL268-BK268)/BK268*100)</f>
        <v>0</v>
      </c>
      <c r="BN268" s="4591"/>
      <c r="BO268" s="4591"/>
      <c r="BP268" s="1102">
        <f>IF(BN268=0,0,(BO268-BN268)/BN268*100)</f>
        <v>0</v>
      </c>
      <c r="BQ268" s="4591"/>
      <c r="BR268" s="4591"/>
      <c r="BS268" s="1102">
        <f>IF(BQ268=0,0,(BR268-BQ268)/BQ268*100)</f>
        <v>0</v>
      </c>
      <c r="BT268" s="4591"/>
      <c r="BU268" s="4591"/>
      <c r="BV268" s="1102">
        <f>IF(BT268=0,0,(BU268-BT268)/BT268*100)</f>
        <v>0</v>
      </c>
      <c r="BW268" s="4591"/>
      <c r="BX268" s="4591"/>
      <c r="BY268" s="1102">
        <f>IF(BW268=0,0,(BX268-BW268)/BW268*100)</f>
        <v>0</v>
      </c>
      <c r="BZ268" s="4591"/>
      <c r="CA268" s="4591"/>
      <c r="CB268" s="1102">
        <f>IF(BZ268=0,0,(CA268-BZ268)/BZ268*100)</f>
        <v>0</v>
      </c>
      <c r="CC268" s="4591"/>
      <c r="CD268" s="4591"/>
      <c r="CE268" s="1102">
        <f>IF(CC268=0,0,(CD268-CC268)/CC268*100)</f>
        <v>0</v>
      </c>
      <c r="CF268" s="4591"/>
      <c r="CG268" s="4591"/>
      <c r="CH268" s="1102">
        <f>IF(CF268=0,0,(CG268-CF268)/CF268*100)</f>
        <v>0</v>
      </c>
      <c r="CI268" s="4591"/>
      <c r="CJ268" s="4591"/>
      <c r="CK268" s="1102">
        <f>IF(CI268=0,0,(CJ268-CI268)/CI268*100)</f>
        <v>0</v>
      </c>
      <c r="CL268" s="4591"/>
      <c r="CM268" s="4591"/>
      <c r="CN268" s="1102">
        <f>IF(CL268=0,0,(CM268-CL268)/CL268*100)</f>
        <v>0</v>
      </c>
      <c r="CO268" s="4591"/>
      <c r="CP268" s="4591"/>
      <c r="CQ268" s="1102">
        <f>IF(CO268=0,0,(CP268-CO268)/CO268*100)</f>
        <v>0</v>
      </c>
      <c r="CR268" s="4591"/>
      <c r="CS268" s="4591"/>
      <c r="CT268" s="1102">
        <f>IF(CR268=0,0,(CS268-CR268)/CR268*100)</f>
        <v>0</v>
      </c>
      <c r="CU268" s="4591"/>
      <c r="CV268" s="4591"/>
      <c r="CW268" s="1102">
        <f>IF(CU268=0,0,(CV268-CU268)/CU268*100)</f>
        <v>0</v>
      </c>
      <c r="CX268" s="4591"/>
      <c r="CY268" s="4591"/>
      <c r="CZ268" s="1102">
        <f>IF(CX268=0,0,(CY268-CX268)/CX268*100)</f>
        <v>0</v>
      </c>
      <c r="DA268" s="4591"/>
      <c r="DB268" s="4591"/>
      <c r="DC268" s="1102">
        <f>IF(DA268=0,0,(DB268-DA268)/DA268*100)</f>
        <v>0</v>
      </c>
      <c r="DD268" s="4591"/>
      <c r="DE268" s="4591"/>
      <c r="DF268" s="1102">
        <f>IF(DD268=0,0,(DE268-DD268)/DD268*100)</f>
        <v>0</v>
      </c>
      <c r="DG268" s="4591"/>
      <c r="DH268" s="4591"/>
      <c r="DI268" s="1102">
        <f>IF(DG268=0,0,(DH268-DG268)/DG268*100)</f>
        <v>0</v>
      </c>
      <c r="DJ268" s="4591"/>
      <c r="DK268" s="4591"/>
      <c r="DL268" s="1102">
        <f>IF(DJ268=0,0,(DK268-DJ268)/DJ268*100)</f>
        <v>0</v>
      </c>
      <c r="DM268" s="4591"/>
      <c r="DN268" s="4591"/>
      <c r="DO268" s="1102">
        <f>IF(DM268=0,0,(DN268-DM268)/DM268*100)</f>
        <v>0</v>
      </c>
      <c r="DP268" s="4591"/>
      <c r="DQ268" s="4591"/>
      <c r="DR268" s="1102">
        <f>IF(DP268=0,0,(DQ268-DP268)/DP268*100)</f>
        <v>0</v>
      </c>
      <c r="DS268" s="4591"/>
      <c r="DT268" s="4591"/>
      <c r="DU268" s="1102">
        <f>IF(DS268=0,0,(DT268-DS268)/DS268*100)</f>
        <v>0</v>
      </c>
      <c r="DV268" s="4591"/>
      <c r="DW268" s="4591"/>
      <c r="DX268" s="1102">
        <f>IF(DV268=0,0,(DW268-DV268)/DV268*100)</f>
        <v>0</v>
      </c>
      <c r="DY268" s="4591"/>
      <c r="DZ268" s="4591"/>
      <c r="EA268" s="1102">
        <f>IF(DY268=0,0,(DZ268-DY268)/DY268*100)</f>
        <v>0</v>
      </c>
      <c r="EB268" s="4591"/>
      <c r="EC268" s="4591"/>
      <c r="ED268" s="1102">
        <f>IF(EB268=0,0,(EC268-EB268)/EB268*100)</f>
        <v>0</v>
      </c>
      <c r="EE268" s="4591"/>
      <c r="EF268" s="4591"/>
      <c r="EG268" s="1102">
        <f>IF(EE268=0,0,(EF268-EE268)/EE268*100)</f>
        <v>0</v>
      </c>
      <c r="EH268" s="4591"/>
      <c r="EI268" s="4591"/>
      <c r="EJ268" s="1102">
        <f>IF(EH268=0,0,(EI268-EH268)/EH268*100)</f>
        <v>0</v>
      </c>
      <c r="EK268" s="4591"/>
      <c r="EL268" s="4591"/>
      <c r="EM268" s="1102">
        <f>IF(EK268=0,0,(EL268-EK268)/EK268*100)</f>
        <v>0</v>
      </c>
      <c r="EN268" s="4591"/>
      <c r="EO268" s="4591"/>
      <c r="EP268" s="1102">
        <f>IF(EN268=0,0,(EO268-EN268)/EN268*100)</f>
        <v>0</v>
      </c>
      <c r="EQ268" s="4591"/>
      <c r="ER268" s="4591"/>
      <c r="ES268" s="1102">
        <f>IF(EQ268=0,0,(ER268-EQ268)/EQ268*100)</f>
        <v>0</v>
      </c>
      <c r="ET268" s="4591"/>
      <c r="EU268" s="4591"/>
      <c r="EV268" s="1102">
        <f>IF(ET268=0,0,(EU268-ET268)/ET268*100)</f>
        <v>0</v>
      </c>
      <c r="EW268" s="4591"/>
      <c r="EX268" s="4591"/>
      <c r="EY268" s="1102">
        <f>IF(EW268=0,0,(EX268-EW268)/EW268*100)</f>
        <v>0</v>
      </c>
      <c r="EZ268" s="4591"/>
      <c r="FA268" s="4591"/>
      <c r="FB268" s="1102">
        <f>IF(EZ268=0,0,(FA268-EZ268)/EZ268*100)</f>
        <v>0</v>
      </c>
      <c r="FC268" s="4591"/>
      <c r="FD268" s="4591"/>
      <c r="FE268" s="1102">
        <f>IF(FC268=0,0,(FD268-FC268)/FC268*100)</f>
        <v>0</v>
      </c>
      <c r="FF268" s="4591"/>
      <c r="FG268" s="4591"/>
      <c r="FH268" s="1102">
        <f>IF(FF268=0,0,(FG268-FF268)/FF268*100)</f>
        <v>0</v>
      </c>
      <c r="FI268" s="4591"/>
      <c r="FJ268" s="4591"/>
      <c r="FK268" s="1102">
        <f>IF(FI268=0,0,(FJ268-FI268)/FI268*100)</f>
        <v>0</v>
      </c>
      <c r="FL268" s="4591"/>
      <c r="FM268" s="4591"/>
      <c r="FN268" s="1102">
        <f>IF(FL268=0,0,(FM268-FL268)/FL268*100)</f>
        <v>0</v>
      </c>
      <c r="FO268" s="4591"/>
      <c r="FP268" s="4591"/>
      <c r="FQ268" s="1102">
        <f>IF(FO268=0,0,(FP268-FO268)/FO268*100)</f>
        <v>0</v>
      </c>
      <c r="FR268" s="4591"/>
      <c r="FS268" s="4591"/>
      <c r="FT268" s="1102">
        <f>IF(FR268=0,0,(FS268-FR268)/FR268*100)</f>
        <v>0</v>
      </c>
      <c r="FU268" s="4591"/>
      <c r="FV268" s="4591"/>
      <c r="FW268" s="1102">
        <f>IF(FU268=0,0,(FV268-FU268)/FU268*100)</f>
        <v>0</v>
      </c>
      <c r="FX268" s="1328"/>
      <c r="FY268" s="1328"/>
      <c r="FZ268" s="1063" t="s">
        <v>1910</v>
      </c>
      <c r="GA268" s="1330"/>
      <c r="GB268" s="1330"/>
      <c r="GC268" s="1329"/>
      <c r="GD268" s="1329"/>
    </row>
    <row s="1656" customFormat="1" customHeight="1" ht="14.25" hidden="1">
      <c r="A269" s="496"/>
      <c r="B269" s="932" cm="1" t="str">
        <f t="array" ref="B269:B269">B268</f>
        <v>false</v>
      </c>
      <c r="C269" s="496"/>
      <c r="D269" s="496"/>
      <c r="E269" s="847">
        <v>15</v>
      </c>
      <c r="F269" s="50" cm="1" t="str">
        <f t="array" ref="F269:F269">OFFSET(E269,-1,1)</f>
        <v>3</v>
      </c>
      <c r="G269" s="103" t="s">
        <v>1911</v>
      </c>
      <c r="H269" s="496" t="s">
        <v>1899</v>
      </c>
      <c r="I269" s="496" t="s">
        <v>1865</v>
      </c>
      <c r="J269" s="496"/>
      <c r="K269" s="496"/>
      <c r="L269" s="496"/>
      <c r="M269" s="496"/>
      <c r="N269" s="496"/>
      <c r="O269" s="496"/>
      <c r="P269" s="496"/>
      <c r="Q269" s="496"/>
      <c r="R269" s="496"/>
      <c r="S269" s="496"/>
      <c r="T269" s="468" cm="1" t="str">
        <f t="array" ref="T269:T269">T268</f>
        <v>true</v>
      </c>
      <c r="U269" s="496"/>
      <c r="V269" s="496"/>
      <c r="W269" s="496"/>
      <c r="X269" s="1559"/>
      <c r="Y269" s="496"/>
      <c r="Z269" s="1528"/>
      <c r="AA269" s="496"/>
      <c r="AB269" s="1100" t="str">
        <f>"объём "&amp;IF(Q242="Водоснабжение","потребления холодной воды","водоотведения")</f>
        <v>объём водоотведения</v>
      </c>
      <c r="AC269" s="871" t="s">
        <v>657</v>
      </c>
      <c r="AD269" s="4585">
        <f>IF(AND(method_reg="Метод индексации",god&lt;&gt;first_year),_xlfn.SUMIFS(INDEX('Калькуляция (МИ корр)'!$AJ$25:$BC$606,,MATCH(AD$8,'Калькуляция (МИ корр)'!$AJ$8:$BC$8,0)),'Калькуляция (МИ корр)'!$F$25:$F$606,$F269,'Калькуляция (МИ корр)'!$G$25:$G$606,$G269),IF(method_reg="Метод экономически обоснованных расходов",_xlfn.SUMIFS('Калькуляция (МЭОР)'!$AJ$25:$AJ$367,'Калькуляция (МЭОР)'!$F$25:$F$367,$F269,'Калькуляция (МЭОР)'!$G$25:$G$367,$G269),IF(method_reg="Метод сравнения аналогов",_xlfn.SUMIFS('Калькуляция (МСА)'!$AE$25:$AE$103,'Калькуляция (МСА)'!$F$25:$F$103,$F269,'Калькуляция (МСА)'!$G$25:$G$103,$G269),_xlfn.SUMIFS(INDEX('Калькуляция (МИ)'!$AJ$25:$BC$603,,MATCH(AD$8,'Калькуляция (МИ)'!$AJ$8:$BC$8,0)),'Калькуляция (МИ)'!$F$25:$F$603,$F269,'Калькуляция (МИ)'!$G$25:$G$603,$G269))))</f>
        <v>364.7383</v>
      </c>
      <c r="AE269" s="4585">
        <f>IF(AND(method_reg="Метод индексации",god&lt;&gt;first_year),_xlfn.SUMIFS(INDEX('Калькуляция (МИ корр)'!$AJ$25:$BC$606,,MATCH(AE$8,'Калькуляция (МИ корр)'!$AJ$8:$BC$8,0)),'Калькуляция (МИ корр)'!$F$25:$F$606,$F269,'Калькуляция (МИ корр)'!$G$25:$G$606,$G269),IF(method_reg="Метод экономически обоснованных расходов",_xlfn.SUMIFS('Калькуляция (МЭОР)'!$AK$25:$AK$367,'Калькуляция (МЭОР)'!$F$25:$F$367,$F269,'Калькуляция (МЭОР)'!$G$25:$G$367,$G269),IF(method_reg="Метод сравнения аналогов",_xlfn.SUMIFS('Калькуляция (МСА)'!$AF$25:$AF$103,'Калькуляция (МСА)'!$F$25:$F$103,$F269,'Калькуляция (МСА)'!$G$25:$G$103,$G269),_xlfn.SUMIFS(INDEX('Калькуляция (МИ)'!$AJ$25:$BC$603,,MATCH(AE$8,'Калькуляция (МИ)'!$AJ$8:$BC$8,0)),'Калькуляция (МИ)'!$F$25:$F$603,$F269,'Калькуляция (МИ)'!$G$25:$G$603,$G269))))</f>
        <v>346.832635</v>
      </c>
      <c r="AF269" s="1104">
        <f>IF(AD269=0,0,(AE269-AD269)/AD269*100)</f>
        <v>-4.90918145969315</v>
      </c>
      <c r="AG269" s="4585">
        <f>IF(AND(method_reg="Метод индексации",god&lt;&gt;first_year),_xlfn.SUMIFS(INDEX('Калькуляция (МИ корр)'!$AJ$25:$BC$606,,MATCH(AG$8,'Калькуляция (МИ корр)'!$AJ$8:$BC$8,0)),'Калькуляция (МИ корр)'!$F$25:$F$606,$F269,'Калькуляция (МИ корр)'!$G$25:$G$606,$G269),IF(method_reg="Метод экономически обоснованных расходов",_xlfn.SUMIFS('Калькуляция (МЭОР)'!$AJ$25:$AJ$367,'Калькуляция (МЭОР)'!$F$25:$F$367,$F269,'Калькуляция (МЭОР)'!$G$25:$G$367,$G269),IF(method_reg="Метод сравнения аналогов",_xlfn.SUMIFS('Калькуляция (МСА)'!$AE$25:$AE$103,'Калькуляция (МСА)'!$F$25:$F$103,$F269,'Калькуляция (МСА)'!$G$25:$G$103,$G269),_xlfn.SUMIFS(INDEX('Калькуляция (МИ)'!$AJ$25:$BC$603,,MATCH(AG$8,'Калькуляция (МИ)'!$AJ$8:$BC$8,0)),'Калькуляция (МИ)'!$F$25:$F$603,$F269,'Калькуляция (МИ)'!$G$25:$G$603,$G269))))</f>
        <v>0</v>
      </c>
      <c r="AH269" s="4585">
        <f>IF(AND(method_reg="Метод индексации",god&lt;&gt;first_year),_xlfn.SUMIFS(INDEX('Калькуляция (МИ корр)'!$AJ$25:$BC$606,,MATCH(AH$8,'Калькуляция (МИ корр)'!$AJ$8:$BC$8,0)),'Калькуляция (МИ корр)'!$F$25:$F$606,$F269,'Калькуляция (МИ корр)'!$G$25:$G$606,$G269),IF(method_reg="Метод экономически обоснованных расходов",_xlfn.SUMIFS('Калькуляция (МЭОР)'!$AK$25:$AK$367,'Калькуляция (МЭОР)'!$F$25:$F$367,$F269,'Калькуляция (МЭОР)'!$G$25:$G$367,$G269),IF(method_reg="Метод сравнения аналогов",_xlfn.SUMIFS('Калькуляция (МСА)'!$AF$25:$AF$103,'Калькуляция (МСА)'!$F$25:$F$103,$F269,'Калькуляция (МСА)'!$G$25:$G$103,$G269),_xlfn.SUMIFS(INDEX('Калькуляция (МИ)'!$AJ$25:$BC$603,,MATCH(AH$8,'Калькуляция (МИ)'!$AJ$8:$BC$8,0)),'Калькуляция (МИ)'!$F$25:$F$603,$F269,'Калькуляция (МИ)'!$G$25:$G$603,$G269))))</f>
        <v>0</v>
      </c>
      <c r="AI269" s="1104">
        <f>IF(AG269=0,0,(AH269-AG269)/AG269*100)</f>
        <v>0</v>
      </c>
      <c r="AJ269" s="4585">
        <f>IF(AND(method_reg="Метод индексации",god&lt;&gt;first_year),_xlfn.SUMIFS(INDEX('Калькуляция (МИ корр)'!$AJ$25:$BC$606,,MATCH(AJ$8,'Калькуляция (МИ корр)'!$AJ$8:$BC$8,0)),'Калькуляция (МИ корр)'!$F$25:$F$606,$F269,'Калькуляция (МИ корр)'!$G$25:$G$606,$G269),IF(method_reg="Метод экономически обоснованных расходов",_xlfn.SUMIFS('Калькуляция (МЭОР)'!$AJ$25:$AJ$367,'Калькуляция (МЭОР)'!$F$25:$F$367,$F269,'Калькуляция (МЭОР)'!$G$25:$G$367,$G269),IF(method_reg="Метод сравнения аналогов",_xlfn.SUMIFS('Калькуляция (МСА)'!$AE$25:$AE$103,'Калькуляция (МСА)'!$F$25:$F$103,$F269,'Калькуляция (МСА)'!$G$25:$G$103,$G269),_xlfn.SUMIFS(INDEX('Калькуляция (МИ)'!$AJ$25:$BC$603,,MATCH(AJ$8,'Калькуляция (МИ)'!$AJ$8:$BC$8,0)),'Калькуляция (МИ)'!$F$25:$F$603,$F269,'Калькуляция (МИ)'!$G$25:$G$603,$G269))))</f>
        <v>0</v>
      </c>
      <c r="AK269" s="4585">
        <f>IF(AND(method_reg="Метод индексации",god&lt;&gt;first_year),_xlfn.SUMIFS(INDEX('Калькуляция (МИ корр)'!$AJ$25:$BC$606,,MATCH(AK$8,'Калькуляция (МИ корр)'!$AJ$8:$BC$8,0)),'Калькуляция (МИ корр)'!$F$25:$F$606,$F269,'Калькуляция (МИ корр)'!$G$25:$G$606,$G269),IF(method_reg="Метод экономически обоснованных расходов",_xlfn.SUMIFS('Калькуляция (МЭОР)'!$AK$25:$AK$367,'Калькуляция (МЭОР)'!$F$25:$F$367,$F269,'Калькуляция (МЭОР)'!$G$25:$G$367,$G269),IF(method_reg="Метод сравнения аналогов",_xlfn.SUMIFS('Калькуляция (МСА)'!$AF$25:$AF$103,'Калькуляция (МСА)'!$F$25:$F$103,$F269,'Калькуляция (МСА)'!$G$25:$G$103,$G269),_xlfn.SUMIFS(INDEX('Калькуляция (МИ)'!$AJ$25:$BC$603,,MATCH(AK$8,'Калькуляция (МИ)'!$AJ$8:$BC$8,0)),'Калькуляция (МИ)'!$F$25:$F$603,$F269,'Калькуляция (МИ)'!$G$25:$G$603,$G269))))</f>
        <v>0</v>
      </c>
      <c r="AL269" s="1104">
        <f>IF(AJ269=0,0,(AK269-AJ269)/AJ269*100)</f>
        <v>0</v>
      </c>
      <c r="AM269" s="4585">
        <f>IF(AND(method_reg="Метод индексации",god&lt;&gt;first_year),_xlfn.SUMIFS(INDEX('Калькуляция (МИ корр)'!$AJ$25:$BC$606,,MATCH(AM$8,'Калькуляция (МИ корр)'!$AJ$8:$BC$8,0)),'Калькуляция (МИ корр)'!$F$25:$F$606,$F269,'Калькуляция (МИ корр)'!$G$25:$G$606,$G269),IF(method_reg="Метод экономически обоснованных расходов",_xlfn.SUMIFS('Калькуляция (МЭОР)'!$AJ$25:$AJ$367,'Калькуляция (МЭОР)'!$F$25:$F$367,$F269,'Калькуляция (МЭОР)'!$G$25:$G$367,$G269),IF(method_reg="Метод сравнения аналогов",_xlfn.SUMIFS('Калькуляция (МСА)'!$AE$25:$AE$103,'Калькуляция (МСА)'!$F$25:$F$103,$F269,'Калькуляция (МСА)'!$G$25:$G$103,$G269),_xlfn.SUMIFS(INDEX('Калькуляция (МИ)'!$AJ$25:$BC$603,,MATCH(AM$8,'Калькуляция (МИ)'!$AJ$8:$BC$8,0)),'Калькуляция (МИ)'!$F$25:$F$603,$F269,'Калькуляция (МИ)'!$G$25:$G$603,$G269))))</f>
        <v>0</v>
      </c>
      <c r="AN269" s="4585">
        <f>IF(AND(method_reg="Метод индексации",god&lt;&gt;first_year),_xlfn.SUMIFS(INDEX('Калькуляция (МИ корр)'!$AJ$25:$BC$606,,MATCH(AN$8,'Калькуляция (МИ корр)'!$AJ$8:$BC$8,0)),'Калькуляция (МИ корр)'!$F$25:$F$606,$F269,'Калькуляция (МИ корр)'!$G$25:$G$606,$G269),IF(method_reg="Метод экономически обоснованных расходов",_xlfn.SUMIFS('Калькуляция (МЭОР)'!$AK$25:$AK$367,'Калькуляция (МЭОР)'!$F$25:$F$367,$F269,'Калькуляция (МЭОР)'!$G$25:$G$367,$G269),IF(method_reg="Метод сравнения аналогов",_xlfn.SUMIFS('Калькуляция (МСА)'!$AF$25:$AF$103,'Калькуляция (МСА)'!$F$25:$F$103,$F269,'Калькуляция (МСА)'!$G$25:$G$103,$G269),_xlfn.SUMIFS(INDEX('Калькуляция (МИ)'!$AJ$25:$BC$603,,MATCH(AN$8,'Калькуляция (МИ)'!$AJ$8:$BC$8,0)),'Калькуляция (МИ)'!$F$25:$F$603,$F269,'Калькуляция (МИ)'!$G$25:$G$603,$G269))))</f>
        <v>0</v>
      </c>
      <c r="AO269" s="1104">
        <f>IF(AM269=0,0,(AN269-AM269)/AM269*100)</f>
        <v>0</v>
      </c>
      <c r="AP269" s="4585">
        <f>IF(AND(method_reg="Метод индексации",god&lt;&gt;first_year),_xlfn.SUMIFS(INDEX('Калькуляция (МИ корр)'!$AJ$25:$BC$606,,MATCH(AP$8,'Калькуляция (МИ корр)'!$AJ$8:$BC$8,0)),'Калькуляция (МИ корр)'!$F$25:$F$606,$F269,'Калькуляция (МИ корр)'!$G$25:$G$606,$G269),IF(method_reg="Метод экономически обоснованных расходов",_xlfn.SUMIFS('Калькуляция (МЭОР)'!$AJ$25:$AJ$367,'Калькуляция (МЭОР)'!$F$25:$F$367,$F269,'Калькуляция (МЭОР)'!$G$25:$G$367,$G269),IF(method_reg="Метод сравнения аналогов",_xlfn.SUMIFS('Калькуляция (МСА)'!$AE$25:$AE$103,'Калькуляция (МСА)'!$F$25:$F$103,$F269,'Калькуляция (МСА)'!$G$25:$G$103,$G269),_xlfn.SUMIFS(INDEX('Калькуляция (МИ)'!$AJ$25:$BC$603,,MATCH(AP$8,'Калькуляция (МИ)'!$AJ$8:$BC$8,0)),'Калькуляция (МИ)'!$F$25:$F$603,$F269,'Калькуляция (МИ)'!$G$25:$G$603,$G269))))</f>
        <v>0</v>
      </c>
      <c r="AQ269" s="4585">
        <f>IF(AND(method_reg="Метод индексации",god&lt;&gt;first_year),_xlfn.SUMIFS(INDEX('Калькуляция (МИ корр)'!$AJ$25:$BC$606,,MATCH(AQ$8,'Калькуляция (МИ корр)'!$AJ$8:$BC$8,0)),'Калькуляция (МИ корр)'!$F$25:$F$606,$F269,'Калькуляция (МИ корр)'!$G$25:$G$606,$G269),IF(method_reg="Метод экономически обоснованных расходов",_xlfn.SUMIFS('Калькуляция (МЭОР)'!$AK$25:$AK$367,'Калькуляция (МЭОР)'!$F$25:$F$367,$F269,'Калькуляция (МЭОР)'!$G$25:$G$367,$G269),IF(method_reg="Метод сравнения аналогов",_xlfn.SUMIFS('Калькуляция (МСА)'!$AF$25:$AF$103,'Калькуляция (МСА)'!$F$25:$F$103,$F269,'Калькуляция (МСА)'!$G$25:$G$103,$G269),_xlfn.SUMIFS(INDEX('Калькуляция (МИ)'!$AJ$25:$BC$603,,MATCH(AQ$8,'Калькуляция (МИ)'!$AJ$8:$BC$8,0)),'Калькуляция (МИ)'!$F$25:$F$603,$F269,'Калькуляция (МИ)'!$G$25:$G$603,$G269))))</f>
        <v>0</v>
      </c>
      <c r="AR269" s="1104">
        <f>IF(AP269=0,0,(AQ269-AP269)/AP269*100)</f>
        <v>0</v>
      </c>
      <c r="AS269" s="4585">
        <f>IF(AND(method_reg="Метод индексации",god&lt;&gt;first_year),_xlfn.SUMIFS(INDEX('Калькуляция (МИ корр)'!$AJ$25:$BC$606,,MATCH(AS$8,'Калькуляция (МИ корр)'!$AJ$8:$BC$8,0)),'Калькуляция (МИ корр)'!$F$25:$F$606,$F269,'Калькуляция (МИ корр)'!$G$25:$G$606,$G269),IF(method_reg="Метод экономически обоснованных расходов",_xlfn.SUMIFS('Калькуляция (МЭОР)'!$AJ$25:$AJ$367,'Калькуляция (МЭОР)'!$F$25:$F$367,$F269,'Калькуляция (МЭОР)'!$G$25:$G$367,$G269),IF(method_reg="Метод сравнения аналогов",_xlfn.SUMIFS('Калькуляция (МСА)'!$AE$25:$AE$103,'Калькуляция (МСА)'!$F$25:$F$103,$F269,'Калькуляция (МСА)'!$G$25:$G$103,$G269),_xlfn.SUMIFS(INDEX('Калькуляция (МИ)'!$AJ$25:$BC$603,,MATCH(AS$8,'Калькуляция (МИ)'!$AJ$8:$BC$8,0)),'Калькуляция (МИ)'!$F$25:$F$603,$F269,'Калькуляция (МИ)'!$G$25:$G$603,$G269))))</f>
        <v>0</v>
      </c>
      <c r="AT269" s="4585">
        <f>IF(AND(method_reg="Метод индексации",god&lt;&gt;first_year),_xlfn.SUMIFS(INDEX('Калькуляция (МИ корр)'!$AJ$25:$BC$606,,MATCH(AT$8,'Калькуляция (МИ корр)'!$AJ$8:$BC$8,0)),'Калькуляция (МИ корр)'!$F$25:$F$606,$F269,'Калькуляция (МИ корр)'!$G$25:$G$606,$G269),IF(method_reg="Метод экономически обоснованных расходов",_xlfn.SUMIFS('Калькуляция (МЭОР)'!$AK$25:$AK$367,'Калькуляция (МЭОР)'!$F$25:$F$367,$F269,'Калькуляция (МЭОР)'!$G$25:$G$367,$G269),IF(method_reg="Метод сравнения аналогов",_xlfn.SUMIFS('Калькуляция (МСА)'!$AF$25:$AF$103,'Калькуляция (МСА)'!$F$25:$F$103,$F269,'Калькуляция (МСА)'!$G$25:$G$103,$G269),_xlfn.SUMIFS(INDEX('Калькуляция (МИ)'!$AJ$25:$BC$603,,MATCH(AT$8,'Калькуляция (МИ)'!$AJ$8:$BC$8,0)),'Калькуляция (МИ)'!$F$25:$F$603,$F269,'Калькуляция (МИ)'!$G$25:$G$603,$G269))))</f>
        <v>0</v>
      </c>
      <c r="AU269" s="1104">
        <f>IF(AS269=0,0,(AT269-AS269)/AS269*100)</f>
        <v>0</v>
      </c>
      <c r="AV269" s="4585">
        <f>IF(AND(method_reg="Метод индексации",god&lt;&gt;first_year),_xlfn.SUMIFS(INDEX('Калькуляция (МИ корр)'!$AJ$25:$BC$606,,MATCH(AV$8,'Калькуляция (МИ корр)'!$AJ$8:$BC$8,0)),'Калькуляция (МИ корр)'!$F$25:$F$606,$F269,'Калькуляция (МИ корр)'!$G$25:$G$606,$G269),IF(method_reg="Метод экономически обоснованных расходов",_xlfn.SUMIFS('Калькуляция (МЭОР)'!$AJ$25:$AJ$367,'Калькуляция (МЭОР)'!$F$25:$F$367,$F269,'Калькуляция (МЭОР)'!$G$25:$G$367,$G269),IF(method_reg="Метод сравнения аналогов",_xlfn.SUMIFS('Калькуляция (МСА)'!$AE$25:$AE$103,'Калькуляция (МСА)'!$F$25:$F$103,$F269,'Калькуляция (МСА)'!$G$25:$G$103,$G269),_xlfn.SUMIFS(INDEX('Калькуляция (МИ)'!$AJ$25:$BC$603,,MATCH(AV$8,'Калькуляция (МИ)'!$AJ$8:$BC$8,0)),'Калькуляция (МИ)'!$F$25:$F$603,$F269,'Калькуляция (МИ)'!$G$25:$G$603,$G269))))</f>
        <v>0</v>
      </c>
      <c r="AW269" s="4585">
        <f>IF(AND(method_reg="Метод индексации",god&lt;&gt;first_year),_xlfn.SUMIFS(INDEX('Калькуляция (МИ корр)'!$AJ$25:$BC$606,,MATCH(AW$8,'Калькуляция (МИ корр)'!$AJ$8:$BC$8,0)),'Калькуляция (МИ корр)'!$F$25:$F$606,$F269,'Калькуляция (МИ корр)'!$G$25:$G$606,$G269),IF(method_reg="Метод экономически обоснованных расходов",_xlfn.SUMIFS('Калькуляция (МЭОР)'!$AK$25:$AK$367,'Калькуляция (МЭОР)'!$F$25:$F$367,$F269,'Калькуляция (МЭОР)'!$G$25:$G$367,$G269),IF(method_reg="Метод сравнения аналогов",_xlfn.SUMIFS('Калькуляция (МСА)'!$AF$25:$AF$103,'Калькуляция (МСА)'!$F$25:$F$103,$F269,'Калькуляция (МСА)'!$G$25:$G$103,$G269),_xlfn.SUMIFS(INDEX('Калькуляция (МИ)'!$AJ$25:$BC$603,,MATCH(AW$8,'Калькуляция (МИ)'!$AJ$8:$BC$8,0)),'Калькуляция (МИ)'!$F$25:$F$603,$F269,'Калькуляция (МИ)'!$G$25:$G$603,$G269))))</f>
        <v>0</v>
      </c>
      <c r="AX269" s="1104">
        <f>IF(AV269=0,0,(AW269-AV269)/AV269*100)</f>
        <v>0</v>
      </c>
      <c r="AY269" s="4585">
        <f>IF(AND(method_reg="Метод индексации",god&lt;&gt;first_year),_xlfn.SUMIFS(INDEX('Калькуляция (МИ корр)'!$AJ$25:$BC$606,,MATCH(AY$8,'Калькуляция (МИ корр)'!$AJ$8:$BC$8,0)),'Калькуляция (МИ корр)'!$F$25:$F$606,$F269,'Калькуляция (МИ корр)'!$G$25:$G$606,$G269),IF(method_reg="Метод экономически обоснованных расходов",_xlfn.SUMIFS('Калькуляция (МЭОР)'!$AJ$25:$AJ$367,'Калькуляция (МЭОР)'!$F$25:$F$367,$F269,'Калькуляция (МЭОР)'!$G$25:$G$367,$G269),IF(method_reg="Метод сравнения аналогов",_xlfn.SUMIFS('Калькуляция (МСА)'!$AE$25:$AE$103,'Калькуляция (МСА)'!$F$25:$F$103,$F269,'Калькуляция (МСА)'!$G$25:$G$103,$G269),_xlfn.SUMIFS(INDEX('Калькуляция (МИ)'!$AJ$25:$BC$603,,MATCH(AY$8,'Калькуляция (МИ)'!$AJ$8:$BC$8,0)),'Калькуляция (МИ)'!$F$25:$F$603,$F269,'Калькуляция (МИ)'!$G$25:$G$603,$G269))))</f>
        <v>0</v>
      </c>
      <c r="AZ269" s="4585">
        <f>IF(AND(method_reg="Метод индексации",god&lt;&gt;first_year),_xlfn.SUMIFS(INDEX('Калькуляция (МИ корр)'!$AJ$25:$BC$606,,MATCH(AZ$8,'Калькуляция (МИ корр)'!$AJ$8:$BC$8,0)),'Калькуляция (МИ корр)'!$F$25:$F$606,$F269,'Калькуляция (МИ корр)'!$G$25:$G$606,$G269),IF(method_reg="Метод экономически обоснованных расходов",_xlfn.SUMIFS('Калькуляция (МЭОР)'!$AK$25:$AK$367,'Калькуляция (МЭОР)'!$F$25:$F$367,$F269,'Калькуляция (МЭОР)'!$G$25:$G$367,$G269),IF(method_reg="Метод сравнения аналогов",_xlfn.SUMIFS('Калькуляция (МСА)'!$AF$25:$AF$103,'Калькуляция (МСА)'!$F$25:$F$103,$F269,'Калькуляция (МСА)'!$G$25:$G$103,$G269),_xlfn.SUMIFS(INDEX('Калькуляция (МИ)'!$AJ$25:$BC$603,,MATCH(AZ$8,'Калькуляция (МИ)'!$AJ$8:$BC$8,0)),'Калькуляция (МИ)'!$F$25:$F$603,$F269,'Калькуляция (МИ)'!$G$25:$G$603,$G269))))</f>
        <v>0</v>
      </c>
      <c r="BA269" s="1104">
        <f>IF(AY269=0,0,(AZ269-AY269)/AY269*100)</f>
        <v>0</v>
      </c>
      <c r="BB269" s="4585">
        <f>IF(AND(method_reg="Метод индексации",god&lt;&gt;first_year),_xlfn.SUMIFS(INDEX('Калькуляция (МИ корр)'!$AJ$25:$BC$606,,MATCH(BB$8,'Калькуляция (МИ корр)'!$AJ$8:$BC$8,0)),'Калькуляция (МИ корр)'!$F$25:$F$606,$F269,'Калькуляция (МИ корр)'!$G$25:$G$606,$G269),IF(method_reg="Метод экономически обоснованных расходов",_xlfn.SUMIFS('Калькуляция (МЭОР)'!$AJ$25:$AJ$367,'Калькуляция (МЭОР)'!$F$25:$F$367,$F269,'Калькуляция (МЭОР)'!$G$25:$G$367,$G269),IF(method_reg="Метод сравнения аналогов",_xlfn.SUMIFS('Калькуляция (МСА)'!$AE$25:$AE$103,'Калькуляция (МСА)'!$F$25:$F$103,$F269,'Калькуляция (МСА)'!$G$25:$G$103,$G269),_xlfn.SUMIFS(INDEX('Калькуляция (МИ)'!$AJ$25:$BC$603,,MATCH(BB$8,'Калькуляция (МИ)'!$AJ$8:$BC$8,0)),'Калькуляция (МИ)'!$F$25:$F$603,$F269,'Калькуляция (МИ)'!$G$25:$G$603,$G269))))</f>
        <v>0</v>
      </c>
      <c r="BC269" s="4585">
        <f>IF(AND(method_reg="Метод индексации",god&lt;&gt;first_year),_xlfn.SUMIFS(INDEX('Калькуляция (МИ корр)'!$AJ$25:$BC$606,,MATCH(BC$8,'Калькуляция (МИ корр)'!$AJ$8:$BC$8,0)),'Калькуляция (МИ корр)'!$F$25:$F$606,$F269,'Калькуляция (МИ корр)'!$G$25:$G$606,$G269),IF(method_reg="Метод экономически обоснованных расходов",_xlfn.SUMIFS('Калькуляция (МЭОР)'!$AK$25:$AK$367,'Калькуляция (МЭОР)'!$F$25:$F$367,$F269,'Калькуляция (МЭОР)'!$G$25:$G$367,$G269),IF(method_reg="Метод сравнения аналогов",_xlfn.SUMIFS('Калькуляция (МСА)'!$AF$25:$AF$103,'Калькуляция (МСА)'!$F$25:$F$103,$F269,'Калькуляция (МСА)'!$G$25:$G$103,$G269),_xlfn.SUMIFS(INDEX('Калькуляция (МИ)'!$AJ$25:$BC$603,,MATCH(BC$8,'Калькуляция (МИ)'!$AJ$8:$BC$8,0)),'Калькуляция (МИ)'!$F$25:$F$603,$F269,'Калькуляция (МИ)'!$G$25:$G$603,$G269))))</f>
        <v>0</v>
      </c>
      <c r="BD269" s="1104">
        <f>IF(BB269=0,0,(BC269-BB269)/BB269*100)</f>
        <v>0</v>
      </c>
      <c r="BE269" s="4585">
        <f>IF(AND(method_reg="Метод индексации",god&lt;&gt;first_year),_xlfn.SUMIFS(INDEX('Калькуляция (МИ корр)'!$AJ$25:$BC$606,,MATCH(BE$8,'Калькуляция (МИ корр)'!$AJ$8:$BC$8,0)),'Калькуляция (МИ корр)'!$F$25:$F$606,$F269,'Калькуляция (МИ корр)'!$G$25:$G$606,$G269),IF(method_reg="Метод экономически обоснованных расходов",_xlfn.SUMIFS('Калькуляция (МЭОР)'!$AJ$25:$AJ$367,'Калькуляция (МЭОР)'!$F$25:$F$367,$F269,'Калькуляция (МЭОР)'!$G$25:$G$367,$G269),IF(method_reg="Метод сравнения аналогов",_xlfn.SUMIFS('Калькуляция (МСА)'!$AE$25:$AE$103,'Калькуляция (МСА)'!$F$25:$F$103,$F269,'Калькуляция (МСА)'!$G$25:$G$103,$G269),_xlfn.SUMIFS(INDEX('Калькуляция (МИ)'!$AJ$25:$BC$603,,MATCH(BE$8,'Калькуляция (МИ)'!$AJ$8:$BC$8,0)),'Калькуляция (МИ)'!$F$25:$F$603,$F269,'Калькуляция (МИ)'!$G$25:$G$603,$G269))))</f>
        <v>0</v>
      </c>
      <c r="BF269" s="4585">
        <f>IF(AND(method_reg="Метод индексации",god&lt;&gt;first_year),_xlfn.SUMIFS(INDEX('Калькуляция (МИ корр)'!$AJ$25:$BC$606,,MATCH(BF$8,'Калькуляция (МИ корр)'!$AJ$8:$BC$8,0)),'Калькуляция (МИ корр)'!$F$25:$F$606,$F269,'Калькуляция (МИ корр)'!$G$25:$G$606,$G269),IF(method_reg="Метод экономически обоснованных расходов",_xlfn.SUMIFS('Калькуляция (МЭОР)'!$AK$25:$AK$367,'Калькуляция (МЭОР)'!$F$25:$F$367,$F269,'Калькуляция (МЭОР)'!$G$25:$G$367,$G269),IF(method_reg="Метод сравнения аналогов",_xlfn.SUMIFS('Калькуляция (МСА)'!$AF$25:$AF$103,'Калькуляция (МСА)'!$F$25:$F$103,$F269,'Калькуляция (МСА)'!$G$25:$G$103,$G269),_xlfn.SUMIFS(INDEX('Калькуляция (МИ)'!$AJ$25:$BC$603,,MATCH(BF$8,'Калькуляция (МИ)'!$AJ$8:$BC$8,0)),'Калькуляция (МИ)'!$F$25:$F$603,$F269,'Калькуляция (МИ)'!$G$25:$G$603,$G269))))</f>
        <v>0</v>
      </c>
      <c r="BG269" s="1113">
        <f>IF(BE269=0,0,(BF269-BE269)/BE269*100)</f>
        <v>0</v>
      </c>
      <c r="BH269" s="4585"/>
      <c r="BI269" s="4585"/>
      <c r="BJ269" s="1113">
        <f>IF(BH269=0,0,(BI269-BH269)/BH269*100)</f>
        <v>0</v>
      </c>
      <c r="BK269" s="4585"/>
      <c r="BL269" s="4585"/>
      <c r="BM269" s="1113">
        <f>IF(BK269=0,0,(BL269-BK269)/BK269*100)</f>
        <v>0</v>
      </c>
      <c r="BN269" s="4585"/>
      <c r="BO269" s="4585"/>
      <c r="BP269" s="1113">
        <f>IF(BN269=0,0,(BO269-BN269)/BN269*100)</f>
        <v>0</v>
      </c>
      <c r="BQ269" s="4585"/>
      <c r="BR269" s="4585"/>
      <c r="BS269" s="1113">
        <f>IF(BQ269=0,0,(BR269-BQ269)/BQ269*100)</f>
        <v>0</v>
      </c>
      <c r="BT269" s="4585"/>
      <c r="BU269" s="4585"/>
      <c r="BV269" s="1113">
        <f>IF(BT269=0,0,(BU269-BT269)/BT269*100)</f>
        <v>0</v>
      </c>
      <c r="BW269" s="4585"/>
      <c r="BX269" s="4585"/>
      <c r="BY269" s="1113">
        <f>IF(BW269=0,0,(BX269-BW269)/BW269*100)</f>
        <v>0</v>
      </c>
      <c r="BZ269" s="4585"/>
      <c r="CA269" s="4585"/>
      <c r="CB269" s="1113">
        <f>IF(BZ269=0,0,(CA269-BZ269)/BZ269*100)</f>
        <v>0</v>
      </c>
      <c r="CC269" s="4585"/>
      <c r="CD269" s="4585"/>
      <c r="CE269" s="1113">
        <f>IF(CC269=0,0,(CD269-CC269)/CC269*100)</f>
        <v>0</v>
      </c>
      <c r="CF269" s="4585"/>
      <c r="CG269" s="4585"/>
      <c r="CH269" s="1113">
        <f>IF(CF269=0,0,(CG269-CF269)/CF269*100)</f>
        <v>0</v>
      </c>
      <c r="CI269" s="4585"/>
      <c r="CJ269" s="4585"/>
      <c r="CK269" s="1113">
        <f>IF(CI269=0,0,(CJ269-CI269)/CI269*100)</f>
        <v>0</v>
      </c>
      <c r="CL269" s="4585"/>
      <c r="CM269" s="4585"/>
      <c r="CN269" s="1113">
        <f>IF(CL269=0,0,(CM269-CL269)/CL269*100)</f>
        <v>0</v>
      </c>
      <c r="CO269" s="4585"/>
      <c r="CP269" s="4585"/>
      <c r="CQ269" s="1113">
        <f>IF(CO269=0,0,(CP269-CO269)/CO269*100)</f>
        <v>0</v>
      </c>
      <c r="CR269" s="4585"/>
      <c r="CS269" s="4585"/>
      <c r="CT269" s="1113">
        <f>IF(CR269=0,0,(CS269-CR269)/CR269*100)</f>
        <v>0</v>
      </c>
      <c r="CU269" s="4585"/>
      <c r="CV269" s="4585"/>
      <c r="CW269" s="1113">
        <f>IF(CU269=0,0,(CV269-CU269)/CU269*100)</f>
        <v>0</v>
      </c>
      <c r="CX269" s="4585"/>
      <c r="CY269" s="4585"/>
      <c r="CZ269" s="1113">
        <f>IF(CX269=0,0,(CY269-CX269)/CX269*100)</f>
        <v>0</v>
      </c>
      <c r="DA269" s="4585"/>
      <c r="DB269" s="4585"/>
      <c r="DC269" s="1113">
        <f>IF(DA269=0,0,(DB269-DA269)/DA269*100)</f>
        <v>0</v>
      </c>
      <c r="DD269" s="4585"/>
      <c r="DE269" s="4585"/>
      <c r="DF269" s="1113">
        <f>IF(DD269=0,0,(DE269-DD269)/DD269*100)</f>
        <v>0</v>
      </c>
      <c r="DG269" s="4585"/>
      <c r="DH269" s="4585"/>
      <c r="DI269" s="1113">
        <f>IF(DG269=0,0,(DH269-DG269)/DG269*100)</f>
        <v>0</v>
      </c>
      <c r="DJ269" s="4585"/>
      <c r="DK269" s="4585"/>
      <c r="DL269" s="1113">
        <f>IF(DJ269=0,0,(DK269-DJ269)/DJ269*100)</f>
        <v>0</v>
      </c>
      <c r="DM269" s="4585"/>
      <c r="DN269" s="4585"/>
      <c r="DO269" s="1113">
        <f>IF(DM269=0,0,(DN269-DM269)/DM269*100)</f>
        <v>0</v>
      </c>
      <c r="DP269" s="4585"/>
      <c r="DQ269" s="4585"/>
      <c r="DR269" s="1113">
        <f>IF(DP269=0,0,(DQ269-DP269)/DP269*100)</f>
        <v>0</v>
      </c>
      <c r="DS269" s="4585"/>
      <c r="DT269" s="4585"/>
      <c r="DU269" s="1113">
        <f>IF(DS269=0,0,(DT269-DS269)/DS269*100)</f>
        <v>0</v>
      </c>
      <c r="DV269" s="4585"/>
      <c r="DW269" s="4585"/>
      <c r="DX269" s="1113">
        <f>IF(DV269=0,0,(DW269-DV269)/DV269*100)</f>
        <v>0</v>
      </c>
      <c r="DY269" s="4585"/>
      <c r="DZ269" s="4585"/>
      <c r="EA269" s="1113">
        <f>IF(DY269=0,0,(DZ269-DY269)/DY269*100)</f>
        <v>0</v>
      </c>
      <c r="EB269" s="4585"/>
      <c r="EC269" s="4585"/>
      <c r="ED269" s="1113">
        <f>IF(EB269=0,0,(EC269-EB269)/EB269*100)</f>
        <v>0</v>
      </c>
      <c r="EE269" s="4585"/>
      <c r="EF269" s="4585"/>
      <c r="EG269" s="1113">
        <f>IF(EE269=0,0,(EF269-EE269)/EE269*100)</f>
        <v>0</v>
      </c>
      <c r="EH269" s="4585"/>
      <c r="EI269" s="4585"/>
      <c r="EJ269" s="1113">
        <f>IF(EH269=0,0,(EI269-EH269)/EH269*100)</f>
        <v>0</v>
      </c>
      <c r="EK269" s="4585"/>
      <c r="EL269" s="4585"/>
      <c r="EM269" s="1113">
        <f>IF(EK269=0,0,(EL269-EK269)/EK269*100)</f>
        <v>0</v>
      </c>
      <c r="EN269" s="4585"/>
      <c r="EO269" s="4585"/>
      <c r="EP269" s="1113">
        <f>IF(EN269=0,0,(EO269-EN269)/EN269*100)</f>
        <v>0</v>
      </c>
      <c r="EQ269" s="4585"/>
      <c r="ER269" s="4585"/>
      <c r="ES269" s="1113">
        <f>IF(EQ269=0,0,(ER269-EQ269)/EQ269*100)</f>
        <v>0</v>
      </c>
      <c r="ET269" s="4585"/>
      <c r="EU269" s="4585"/>
      <c r="EV269" s="1113">
        <f>IF(ET269=0,0,(EU269-ET269)/ET269*100)</f>
        <v>0</v>
      </c>
      <c r="EW269" s="4585"/>
      <c r="EX269" s="4585"/>
      <c r="EY269" s="1113">
        <f>IF(EW269=0,0,(EX269-EW269)/EW269*100)</f>
        <v>0</v>
      </c>
      <c r="EZ269" s="4585"/>
      <c r="FA269" s="4585"/>
      <c r="FB269" s="1113">
        <f>IF(EZ269=0,0,(FA269-EZ269)/EZ269*100)</f>
        <v>0</v>
      </c>
      <c r="FC269" s="4585"/>
      <c r="FD269" s="4585"/>
      <c r="FE269" s="1113">
        <f>IF(FC269=0,0,(FD269-FC269)/FC269*100)</f>
        <v>0</v>
      </c>
      <c r="FF269" s="4585"/>
      <c r="FG269" s="4585"/>
      <c r="FH269" s="1113">
        <f>IF(FF269=0,0,(FG269-FF269)/FF269*100)</f>
        <v>0</v>
      </c>
      <c r="FI269" s="4585"/>
      <c r="FJ269" s="4585"/>
      <c r="FK269" s="1113">
        <f>IF(FI269=0,0,(FJ269-FI269)/FI269*100)</f>
        <v>0</v>
      </c>
      <c r="FL269" s="4585"/>
      <c r="FM269" s="4585"/>
      <c r="FN269" s="1113">
        <f>IF(FL269=0,0,(FM269-FL269)/FL269*100)</f>
        <v>0</v>
      </c>
      <c r="FO269" s="4585"/>
      <c r="FP269" s="4585"/>
      <c r="FQ269" s="1113">
        <f>IF(FO269=0,0,(FP269-FO269)/FO269*100)</f>
        <v>0</v>
      </c>
      <c r="FR269" s="4585"/>
      <c r="FS269" s="4585"/>
      <c r="FT269" s="1113">
        <f>IF(FR269=0,0,(FS269-FR269)/FR269*100)</f>
        <v>0</v>
      </c>
      <c r="FU269" s="4585"/>
      <c r="FV269" s="4585"/>
      <c r="FW269" s="1113">
        <f>IF(FU269=0,0,(FV269-FU269)/FU269*100)</f>
        <v>0</v>
      </c>
      <c r="FX269" s="1328"/>
      <c r="FY269" s="1328"/>
      <c r="FZ269" s="1063" t="s">
        <v>1912</v>
      </c>
      <c r="GA269" s="1330"/>
      <c r="GB269" s="1330"/>
      <c r="GC269" s="1329"/>
      <c r="GD269" s="1329"/>
    </row>
    <row s="1656" customFormat="1" customHeight="1" ht="21.75" hidden="1">
      <c r="A270" s="496"/>
      <c r="B270" s="932" cm="1" t="str">
        <f t="array" ref="B270:B270">B269</f>
        <v>false</v>
      </c>
      <c r="C270" s="496"/>
      <c r="D270" s="496"/>
      <c r="E270" s="847">
        <v>22.5</v>
      </c>
      <c r="F270" s="50" cm="1" t="str">
        <f t="array" ref="F270:F270">OFFSET(E270,-1,1)</f>
        <v>3</v>
      </c>
      <c r="G270" s="496"/>
      <c r="H270" s="496" t="s">
        <v>1901</v>
      </c>
      <c r="I270" s="496" t="s">
        <v>1865</v>
      </c>
      <c r="J270" s="496"/>
      <c r="K270" s="496"/>
      <c r="L270" s="496"/>
      <c r="M270" s="496"/>
      <c r="N270" s="496"/>
      <c r="O270" s="496"/>
      <c r="P270" s="496"/>
      <c r="Q270" s="496"/>
      <c r="R270" s="496"/>
      <c r="S270" s="496"/>
      <c r="T270" s="468" cm="1" t="str">
        <f t="array" ref="T270:T270">T269</f>
        <v>true</v>
      </c>
      <c r="U270" s="496"/>
      <c r="V270" s="496"/>
      <c r="W270" s="496"/>
      <c r="X270" s="1559"/>
      <c r="Y270" s="496"/>
      <c r="Z270" s="1528"/>
      <c r="AA270" s="496"/>
      <c r="AB270" s="1100" t="str">
        <f>"ставка платы за содержание системы "&amp;IF(Q242="Водоснабжение","холодного водоснабжения","водоотведения")</f>
        <v>ставка платы за содержание системы водоотведения</v>
      </c>
      <c r="AC270" s="871" t="s">
        <v>1902</v>
      </c>
      <c r="AD270" s="4591"/>
      <c r="AE270" s="4591"/>
      <c r="AF270" s="1102">
        <f>IF(AD270=0,0,(AE270-AD270)/AD270*100)</f>
        <v>0</v>
      </c>
      <c r="AG270" s="4591"/>
      <c r="AH270" s="4591"/>
      <c r="AI270" s="1102">
        <f>IF(AG270=0,0,(AH270-AG270)/AG270*100)</f>
        <v>0</v>
      </c>
      <c r="AJ270" s="4591"/>
      <c r="AK270" s="4591"/>
      <c r="AL270" s="1102">
        <f>IF(AJ270=0,0,(AK270-AJ270)/AJ270*100)</f>
        <v>0</v>
      </c>
      <c r="AM270" s="4591"/>
      <c r="AN270" s="4591"/>
      <c r="AO270" s="1102">
        <f>IF(AM270=0,0,(AN270-AM270)/AM270*100)</f>
        <v>0</v>
      </c>
      <c r="AP270" s="4591"/>
      <c r="AQ270" s="4591"/>
      <c r="AR270" s="1102">
        <f>IF(AP270=0,0,(AQ270-AP270)/AP270*100)</f>
        <v>0</v>
      </c>
      <c r="AS270" s="4591"/>
      <c r="AT270" s="4591"/>
      <c r="AU270" s="1102">
        <f>IF(AS270=0,0,(AT270-AS270)/AS270*100)</f>
        <v>0</v>
      </c>
      <c r="AV270" s="4591"/>
      <c r="AW270" s="4591"/>
      <c r="AX270" s="1102">
        <f>IF(AV270=0,0,(AW270-AV270)/AV270*100)</f>
        <v>0</v>
      </c>
      <c r="AY270" s="4591"/>
      <c r="AZ270" s="4591"/>
      <c r="BA270" s="1102">
        <f>IF(AY270=0,0,(AZ270-AY270)/AY270*100)</f>
        <v>0</v>
      </c>
      <c r="BB270" s="4591"/>
      <c r="BC270" s="4591"/>
      <c r="BD270" s="1102">
        <f>IF(BB270=0,0,(BC270-BB270)/BB270*100)</f>
        <v>0</v>
      </c>
      <c r="BE270" s="4591"/>
      <c r="BF270" s="4591"/>
      <c r="BG270" s="1102">
        <f>IF(BE270=0,0,(BF270-BE270)/BE270*100)</f>
        <v>0</v>
      </c>
      <c r="BH270" s="4591"/>
      <c r="BI270" s="4591"/>
      <c r="BJ270" s="1102">
        <f>IF(BH270=0,0,(BI270-BH270)/BH270*100)</f>
        <v>0</v>
      </c>
      <c r="BK270" s="4591"/>
      <c r="BL270" s="4591"/>
      <c r="BM270" s="1102">
        <f>IF(BK270=0,0,(BL270-BK270)/BK270*100)</f>
        <v>0</v>
      </c>
      <c r="BN270" s="4591"/>
      <c r="BO270" s="4591"/>
      <c r="BP270" s="1102">
        <f>IF(BN270=0,0,(BO270-BN270)/BN270*100)</f>
        <v>0</v>
      </c>
      <c r="BQ270" s="4591"/>
      <c r="BR270" s="4591"/>
      <c r="BS270" s="1102">
        <f>IF(BQ270=0,0,(BR270-BQ270)/BQ270*100)</f>
        <v>0</v>
      </c>
      <c r="BT270" s="4591"/>
      <c r="BU270" s="4591"/>
      <c r="BV270" s="1102">
        <f>IF(BT270=0,0,(BU270-BT270)/BT270*100)</f>
        <v>0</v>
      </c>
      <c r="BW270" s="4591"/>
      <c r="BX270" s="4591"/>
      <c r="BY270" s="1102">
        <f>IF(BW270=0,0,(BX270-BW270)/BW270*100)</f>
        <v>0</v>
      </c>
      <c r="BZ270" s="4591"/>
      <c r="CA270" s="4591"/>
      <c r="CB270" s="1102">
        <f>IF(BZ270=0,0,(CA270-BZ270)/BZ270*100)</f>
        <v>0</v>
      </c>
      <c r="CC270" s="4591"/>
      <c r="CD270" s="4591"/>
      <c r="CE270" s="1102">
        <f>IF(CC270=0,0,(CD270-CC270)/CC270*100)</f>
        <v>0</v>
      </c>
      <c r="CF270" s="4591"/>
      <c r="CG270" s="4591"/>
      <c r="CH270" s="1102">
        <f>IF(CF270=0,0,(CG270-CF270)/CF270*100)</f>
        <v>0</v>
      </c>
      <c r="CI270" s="4591"/>
      <c r="CJ270" s="4591"/>
      <c r="CK270" s="1102">
        <f>IF(CI270=0,0,(CJ270-CI270)/CI270*100)</f>
        <v>0</v>
      </c>
      <c r="CL270" s="4591"/>
      <c r="CM270" s="4591"/>
      <c r="CN270" s="1102">
        <f>IF(CL270=0,0,(CM270-CL270)/CL270*100)</f>
        <v>0</v>
      </c>
      <c r="CO270" s="4591"/>
      <c r="CP270" s="4591"/>
      <c r="CQ270" s="1102">
        <f>IF(CO270=0,0,(CP270-CO270)/CO270*100)</f>
        <v>0</v>
      </c>
      <c r="CR270" s="4591"/>
      <c r="CS270" s="4591"/>
      <c r="CT270" s="1102">
        <f>IF(CR270=0,0,(CS270-CR270)/CR270*100)</f>
        <v>0</v>
      </c>
      <c r="CU270" s="4591"/>
      <c r="CV270" s="4591"/>
      <c r="CW270" s="1102">
        <f>IF(CU270=0,0,(CV270-CU270)/CU270*100)</f>
        <v>0</v>
      </c>
      <c r="CX270" s="4591"/>
      <c r="CY270" s="4591"/>
      <c r="CZ270" s="1102">
        <f>IF(CX270=0,0,(CY270-CX270)/CX270*100)</f>
        <v>0</v>
      </c>
      <c r="DA270" s="4591"/>
      <c r="DB270" s="4591"/>
      <c r="DC270" s="1102">
        <f>IF(DA270=0,0,(DB270-DA270)/DA270*100)</f>
        <v>0</v>
      </c>
      <c r="DD270" s="4591"/>
      <c r="DE270" s="4591"/>
      <c r="DF270" s="1102">
        <f>IF(DD270=0,0,(DE270-DD270)/DD270*100)</f>
        <v>0</v>
      </c>
      <c r="DG270" s="4591"/>
      <c r="DH270" s="4591"/>
      <c r="DI270" s="1102">
        <f>IF(DG270=0,0,(DH270-DG270)/DG270*100)</f>
        <v>0</v>
      </c>
      <c r="DJ270" s="4591"/>
      <c r="DK270" s="4591"/>
      <c r="DL270" s="1102">
        <f>IF(DJ270=0,0,(DK270-DJ270)/DJ270*100)</f>
        <v>0</v>
      </c>
      <c r="DM270" s="4591"/>
      <c r="DN270" s="4591"/>
      <c r="DO270" s="1102">
        <f>IF(DM270=0,0,(DN270-DM270)/DM270*100)</f>
        <v>0</v>
      </c>
      <c r="DP270" s="4591"/>
      <c r="DQ270" s="4591"/>
      <c r="DR270" s="1102">
        <f>IF(DP270=0,0,(DQ270-DP270)/DP270*100)</f>
        <v>0</v>
      </c>
      <c r="DS270" s="4591"/>
      <c r="DT270" s="4591"/>
      <c r="DU270" s="1102">
        <f>IF(DS270=0,0,(DT270-DS270)/DS270*100)</f>
        <v>0</v>
      </c>
      <c r="DV270" s="4591"/>
      <c r="DW270" s="4591"/>
      <c r="DX270" s="1102">
        <f>IF(DV270=0,0,(DW270-DV270)/DV270*100)</f>
        <v>0</v>
      </c>
      <c r="DY270" s="4591"/>
      <c r="DZ270" s="4591"/>
      <c r="EA270" s="1102">
        <f>IF(DY270=0,0,(DZ270-DY270)/DY270*100)</f>
        <v>0</v>
      </c>
      <c r="EB270" s="4591"/>
      <c r="EC270" s="4591"/>
      <c r="ED270" s="1102">
        <f>IF(EB270=0,0,(EC270-EB270)/EB270*100)</f>
        <v>0</v>
      </c>
      <c r="EE270" s="4591"/>
      <c r="EF270" s="4591"/>
      <c r="EG270" s="1102">
        <f>IF(EE270=0,0,(EF270-EE270)/EE270*100)</f>
        <v>0</v>
      </c>
      <c r="EH270" s="4591"/>
      <c r="EI270" s="4591"/>
      <c r="EJ270" s="1102">
        <f>IF(EH270=0,0,(EI270-EH270)/EH270*100)</f>
        <v>0</v>
      </c>
      <c r="EK270" s="4591"/>
      <c r="EL270" s="4591"/>
      <c r="EM270" s="1102">
        <f>IF(EK270=0,0,(EL270-EK270)/EK270*100)</f>
        <v>0</v>
      </c>
      <c r="EN270" s="4591"/>
      <c r="EO270" s="4591"/>
      <c r="EP270" s="1102">
        <f>IF(EN270=0,0,(EO270-EN270)/EN270*100)</f>
        <v>0</v>
      </c>
      <c r="EQ270" s="4591"/>
      <c r="ER270" s="4591"/>
      <c r="ES270" s="1102">
        <f>IF(EQ270=0,0,(ER270-EQ270)/EQ270*100)</f>
        <v>0</v>
      </c>
      <c r="ET270" s="4591"/>
      <c r="EU270" s="4591"/>
      <c r="EV270" s="1102">
        <f>IF(ET270=0,0,(EU270-ET270)/ET270*100)</f>
        <v>0</v>
      </c>
      <c r="EW270" s="4591"/>
      <c r="EX270" s="4591"/>
      <c r="EY270" s="1102">
        <f>IF(EW270=0,0,(EX270-EW270)/EW270*100)</f>
        <v>0</v>
      </c>
      <c r="EZ270" s="4591"/>
      <c r="FA270" s="4591"/>
      <c r="FB270" s="1102">
        <f>IF(EZ270=0,0,(FA270-EZ270)/EZ270*100)</f>
        <v>0</v>
      </c>
      <c r="FC270" s="4591"/>
      <c r="FD270" s="4591"/>
      <c r="FE270" s="1102">
        <f>IF(FC270=0,0,(FD270-FC270)/FC270*100)</f>
        <v>0</v>
      </c>
      <c r="FF270" s="4591"/>
      <c r="FG270" s="4591"/>
      <c r="FH270" s="1102">
        <f>IF(FF270=0,0,(FG270-FF270)/FF270*100)</f>
        <v>0</v>
      </c>
      <c r="FI270" s="4591"/>
      <c r="FJ270" s="4591"/>
      <c r="FK270" s="1102">
        <f>IF(FI270=0,0,(FJ270-FI270)/FI270*100)</f>
        <v>0</v>
      </c>
      <c r="FL270" s="4591"/>
      <c r="FM270" s="4591"/>
      <c r="FN270" s="1102">
        <f>IF(FL270=0,0,(FM270-FL270)/FL270*100)</f>
        <v>0</v>
      </c>
      <c r="FO270" s="4591"/>
      <c r="FP270" s="4591"/>
      <c r="FQ270" s="1102">
        <f>IF(FO270=0,0,(FP270-FO270)/FO270*100)</f>
        <v>0</v>
      </c>
      <c r="FR270" s="4591"/>
      <c r="FS270" s="4591"/>
      <c r="FT270" s="1102">
        <f>IF(FR270=0,0,(FS270-FR270)/FR270*100)</f>
        <v>0</v>
      </c>
      <c r="FU270" s="4591"/>
      <c r="FV270" s="4591"/>
      <c r="FW270" s="1102">
        <f>IF(FU270=0,0,(FV270-FU270)/FU270*100)</f>
        <v>0</v>
      </c>
      <c r="FX270" s="1328"/>
      <c r="FY270" s="1328"/>
      <c r="FZ270" s="1063" t="s">
        <v>1913</v>
      </c>
      <c r="GA270" s="1330"/>
      <c r="GB270" s="1330"/>
      <c r="GC270" s="1329"/>
      <c r="GD270" s="1329"/>
    </row>
    <row s="1656" customFormat="1" customHeight="1" ht="14.25" hidden="1">
      <c r="A271" s="496"/>
      <c r="B271" s="932" cm="1" t="str">
        <f t="array" ref="B271:B271">B270</f>
        <v>false</v>
      </c>
      <c r="C271" s="496"/>
      <c r="D271" s="496"/>
      <c r="E271" s="847">
        <v>15</v>
      </c>
      <c r="F271" s="50" cm="1" t="str">
        <f t="array" ref="F271:F271">OFFSET(E271,-1,1)</f>
        <v>3</v>
      </c>
      <c r="G271" s="496"/>
      <c r="H271" s="496" t="s">
        <v>1904</v>
      </c>
      <c r="I271" s="496" t="s">
        <v>1865</v>
      </c>
      <c r="J271" s="496"/>
      <c r="K271" s="496"/>
      <c r="L271" s="496"/>
      <c r="M271" s="496"/>
      <c r="N271" s="496"/>
      <c r="O271" s="496"/>
      <c r="P271" s="496"/>
      <c r="Q271" s="496"/>
      <c r="R271" s="496"/>
      <c r="S271" s="496"/>
      <c r="T271" s="468" cm="1" t="str">
        <f t="array" ref="T271:T271">T270</f>
        <v>true</v>
      </c>
      <c r="U271" s="496"/>
      <c r="V271" s="496"/>
      <c r="W271" s="496"/>
      <c r="X271" s="1559"/>
      <c r="Y271" s="496"/>
      <c r="Z271" s="1528"/>
      <c r="AA271" s="496"/>
      <c r="AB271" s="1100" t="s">
        <v>1905</v>
      </c>
      <c r="AC271" s="871" t="s">
        <v>1906</v>
      </c>
      <c r="AD271" s="4591"/>
      <c r="AE271" s="4591"/>
      <c r="AF271" s="1102">
        <f>IF(AD271=0,0,(AE271-AD271)/AD271*100)</f>
        <v>0</v>
      </c>
      <c r="AG271" s="4591"/>
      <c r="AH271" s="4591"/>
      <c r="AI271" s="1102">
        <f>IF(AG271=0,0,(AH271-AG271)/AG271*100)</f>
        <v>0</v>
      </c>
      <c r="AJ271" s="4591"/>
      <c r="AK271" s="4591"/>
      <c r="AL271" s="1102">
        <f>IF(AJ271=0,0,(AK271-AJ271)/AJ271*100)</f>
        <v>0</v>
      </c>
      <c r="AM271" s="4591"/>
      <c r="AN271" s="4591"/>
      <c r="AO271" s="1102">
        <f>IF(AM271=0,0,(AN271-AM271)/AM271*100)</f>
        <v>0</v>
      </c>
      <c r="AP271" s="4591"/>
      <c r="AQ271" s="4591"/>
      <c r="AR271" s="1102">
        <f>IF(AP271=0,0,(AQ271-AP271)/AP271*100)</f>
        <v>0</v>
      </c>
      <c r="AS271" s="4591"/>
      <c r="AT271" s="4591"/>
      <c r="AU271" s="1102">
        <f>IF(AS271=0,0,(AT271-AS271)/AS271*100)</f>
        <v>0</v>
      </c>
      <c r="AV271" s="4591"/>
      <c r="AW271" s="4591"/>
      <c r="AX271" s="1102">
        <f>IF(AV271=0,0,(AW271-AV271)/AV271*100)</f>
        <v>0</v>
      </c>
      <c r="AY271" s="4591"/>
      <c r="AZ271" s="4591"/>
      <c r="BA271" s="1102">
        <f>IF(AY271=0,0,(AZ271-AY271)/AY271*100)</f>
        <v>0</v>
      </c>
      <c r="BB271" s="4591"/>
      <c r="BC271" s="4591"/>
      <c r="BD271" s="1102">
        <f>IF(BB271=0,0,(BC271-BB271)/BB271*100)</f>
        <v>0</v>
      </c>
      <c r="BE271" s="4591"/>
      <c r="BF271" s="4591"/>
      <c r="BG271" s="1102">
        <f>IF(BE271=0,0,(BF271-BE271)/BE271*100)</f>
        <v>0</v>
      </c>
      <c r="BH271" s="4591"/>
      <c r="BI271" s="4591"/>
      <c r="BJ271" s="1102">
        <f>IF(BH271=0,0,(BI271-BH271)/BH271*100)</f>
        <v>0</v>
      </c>
      <c r="BK271" s="4591"/>
      <c r="BL271" s="4591"/>
      <c r="BM271" s="1102">
        <f>IF(BK271=0,0,(BL271-BK271)/BK271*100)</f>
        <v>0</v>
      </c>
      <c r="BN271" s="4591"/>
      <c r="BO271" s="4591"/>
      <c r="BP271" s="1102">
        <f>IF(BN271=0,0,(BO271-BN271)/BN271*100)</f>
        <v>0</v>
      </c>
      <c r="BQ271" s="4591"/>
      <c r="BR271" s="4591"/>
      <c r="BS271" s="1102">
        <f>IF(BQ271=0,0,(BR271-BQ271)/BQ271*100)</f>
        <v>0</v>
      </c>
      <c r="BT271" s="4591"/>
      <c r="BU271" s="4591"/>
      <c r="BV271" s="1102">
        <f>IF(BT271=0,0,(BU271-BT271)/BT271*100)</f>
        <v>0</v>
      </c>
      <c r="BW271" s="4591"/>
      <c r="BX271" s="4591"/>
      <c r="BY271" s="1102">
        <f>IF(BW271=0,0,(BX271-BW271)/BW271*100)</f>
        <v>0</v>
      </c>
      <c r="BZ271" s="4591"/>
      <c r="CA271" s="4591"/>
      <c r="CB271" s="1102">
        <f>IF(BZ271=0,0,(CA271-BZ271)/BZ271*100)</f>
        <v>0</v>
      </c>
      <c r="CC271" s="4591"/>
      <c r="CD271" s="4591"/>
      <c r="CE271" s="1102">
        <f>IF(CC271=0,0,(CD271-CC271)/CC271*100)</f>
        <v>0</v>
      </c>
      <c r="CF271" s="4591"/>
      <c r="CG271" s="4591"/>
      <c r="CH271" s="1102">
        <f>IF(CF271=0,0,(CG271-CF271)/CF271*100)</f>
        <v>0</v>
      </c>
      <c r="CI271" s="4591"/>
      <c r="CJ271" s="4591"/>
      <c r="CK271" s="1102">
        <f>IF(CI271=0,0,(CJ271-CI271)/CI271*100)</f>
        <v>0</v>
      </c>
      <c r="CL271" s="4591"/>
      <c r="CM271" s="4591"/>
      <c r="CN271" s="1102">
        <f>IF(CL271=0,0,(CM271-CL271)/CL271*100)</f>
        <v>0</v>
      </c>
      <c r="CO271" s="4591"/>
      <c r="CP271" s="4591"/>
      <c r="CQ271" s="1102">
        <f>IF(CO271=0,0,(CP271-CO271)/CO271*100)</f>
        <v>0</v>
      </c>
      <c r="CR271" s="4591"/>
      <c r="CS271" s="4591"/>
      <c r="CT271" s="1102">
        <f>IF(CR271=0,0,(CS271-CR271)/CR271*100)</f>
        <v>0</v>
      </c>
      <c r="CU271" s="4591"/>
      <c r="CV271" s="4591"/>
      <c r="CW271" s="1102">
        <f>IF(CU271=0,0,(CV271-CU271)/CU271*100)</f>
        <v>0</v>
      </c>
      <c r="CX271" s="4591"/>
      <c r="CY271" s="4591"/>
      <c r="CZ271" s="1102">
        <f>IF(CX271=0,0,(CY271-CX271)/CX271*100)</f>
        <v>0</v>
      </c>
      <c r="DA271" s="4591"/>
      <c r="DB271" s="4591"/>
      <c r="DC271" s="1102">
        <f>IF(DA271=0,0,(DB271-DA271)/DA271*100)</f>
        <v>0</v>
      </c>
      <c r="DD271" s="4591"/>
      <c r="DE271" s="4591"/>
      <c r="DF271" s="1102">
        <f>IF(DD271=0,0,(DE271-DD271)/DD271*100)</f>
        <v>0</v>
      </c>
      <c r="DG271" s="4591"/>
      <c r="DH271" s="4591"/>
      <c r="DI271" s="1102">
        <f>IF(DG271=0,0,(DH271-DG271)/DG271*100)</f>
        <v>0</v>
      </c>
      <c r="DJ271" s="4591"/>
      <c r="DK271" s="4591"/>
      <c r="DL271" s="1102">
        <f>IF(DJ271=0,0,(DK271-DJ271)/DJ271*100)</f>
        <v>0</v>
      </c>
      <c r="DM271" s="4591"/>
      <c r="DN271" s="4591"/>
      <c r="DO271" s="1102">
        <f>IF(DM271=0,0,(DN271-DM271)/DM271*100)</f>
        <v>0</v>
      </c>
      <c r="DP271" s="4591"/>
      <c r="DQ271" s="4591"/>
      <c r="DR271" s="1102">
        <f>IF(DP271=0,0,(DQ271-DP271)/DP271*100)</f>
        <v>0</v>
      </c>
      <c r="DS271" s="4591"/>
      <c r="DT271" s="4591"/>
      <c r="DU271" s="1102">
        <f>IF(DS271=0,0,(DT271-DS271)/DS271*100)</f>
        <v>0</v>
      </c>
      <c r="DV271" s="4591"/>
      <c r="DW271" s="4591"/>
      <c r="DX271" s="1102">
        <f>IF(DV271=0,0,(DW271-DV271)/DV271*100)</f>
        <v>0</v>
      </c>
      <c r="DY271" s="4591"/>
      <c r="DZ271" s="4591"/>
      <c r="EA271" s="1102">
        <f>IF(DY271=0,0,(DZ271-DY271)/DY271*100)</f>
        <v>0</v>
      </c>
      <c r="EB271" s="4591"/>
      <c r="EC271" s="4591"/>
      <c r="ED271" s="1102">
        <f>IF(EB271=0,0,(EC271-EB271)/EB271*100)</f>
        <v>0</v>
      </c>
      <c r="EE271" s="4591"/>
      <c r="EF271" s="4591"/>
      <c r="EG271" s="1102">
        <f>IF(EE271=0,0,(EF271-EE271)/EE271*100)</f>
        <v>0</v>
      </c>
      <c r="EH271" s="4591"/>
      <c r="EI271" s="4591"/>
      <c r="EJ271" s="1102">
        <f>IF(EH271=0,0,(EI271-EH271)/EH271*100)</f>
        <v>0</v>
      </c>
      <c r="EK271" s="4591"/>
      <c r="EL271" s="4591"/>
      <c r="EM271" s="1102">
        <f>IF(EK271=0,0,(EL271-EK271)/EK271*100)</f>
        <v>0</v>
      </c>
      <c r="EN271" s="4591"/>
      <c r="EO271" s="4591"/>
      <c r="EP271" s="1102">
        <f>IF(EN271=0,0,(EO271-EN271)/EN271*100)</f>
        <v>0</v>
      </c>
      <c r="EQ271" s="4591"/>
      <c r="ER271" s="4591"/>
      <c r="ES271" s="1102">
        <f>IF(EQ271=0,0,(ER271-EQ271)/EQ271*100)</f>
        <v>0</v>
      </c>
      <c r="ET271" s="4591"/>
      <c r="EU271" s="4591"/>
      <c r="EV271" s="1102">
        <f>IF(ET271=0,0,(EU271-ET271)/ET271*100)</f>
        <v>0</v>
      </c>
      <c r="EW271" s="4591"/>
      <c r="EX271" s="4591"/>
      <c r="EY271" s="1102">
        <f>IF(EW271=0,0,(EX271-EW271)/EW271*100)</f>
        <v>0</v>
      </c>
      <c r="EZ271" s="4591"/>
      <c r="FA271" s="4591"/>
      <c r="FB271" s="1102">
        <f>IF(EZ271=0,0,(FA271-EZ271)/EZ271*100)</f>
        <v>0</v>
      </c>
      <c r="FC271" s="4591"/>
      <c r="FD271" s="4591"/>
      <c r="FE271" s="1102">
        <f>IF(FC271=0,0,(FD271-FC271)/FC271*100)</f>
        <v>0</v>
      </c>
      <c r="FF271" s="4591"/>
      <c r="FG271" s="4591"/>
      <c r="FH271" s="1102">
        <f>IF(FF271=0,0,(FG271-FF271)/FF271*100)</f>
        <v>0</v>
      </c>
      <c r="FI271" s="4591"/>
      <c r="FJ271" s="4591"/>
      <c r="FK271" s="1102">
        <f>IF(FI271=0,0,(FJ271-FI271)/FI271*100)</f>
        <v>0</v>
      </c>
      <c r="FL271" s="4591"/>
      <c r="FM271" s="4591"/>
      <c r="FN271" s="1102">
        <f>IF(FL271=0,0,(FM271-FL271)/FL271*100)</f>
        <v>0</v>
      </c>
      <c r="FO271" s="4591"/>
      <c r="FP271" s="4591"/>
      <c r="FQ271" s="1102">
        <f>IF(FO271=0,0,(FP271-FO271)/FO271*100)</f>
        <v>0</v>
      </c>
      <c r="FR271" s="4591"/>
      <c r="FS271" s="4591"/>
      <c r="FT271" s="1102">
        <f>IF(FR271=0,0,(FS271-FR271)/FR271*100)</f>
        <v>0</v>
      </c>
      <c r="FU271" s="4591"/>
      <c r="FV271" s="4591"/>
      <c r="FW271" s="1102">
        <f>IF(FU271=0,0,(FV271-FU271)/FU271*100)</f>
        <v>0</v>
      </c>
      <c r="FX271" s="1328"/>
      <c r="FY271" s="1328"/>
      <c r="FZ271" s="1063" t="s">
        <v>1914</v>
      </c>
      <c r="GA271" s="1330"/>
      <c r="GB271" s="1330"/>
      <c r="GC271" s="1329"/>
      <c r="GD271" s="1329"/>
    </row>
    <row s="1656" customFormat="1" customHeight="1" ht="23.25" hidden="1">
      <c r="A272" s="496"/>
      <c r="B272" s="932" cm="1" t="str">
        <f t="array" ref="B272:B272">B271</f>
        <v>false</v>
      </c>
      <c r="C272" s="496"/>
      <c r="D272" s="496"/>
      <c r="E272" s="847">
        <v>24.5</v>
      </c>
      <c r="F272" s="50" cm="1" t="str">
        <f t="array" ref="F272:F272">OFFSET(E272,-1,1)</f>
        <v>3</v>
      </c>
      <c r="G272" s="496"/>
      <c r="H272" s="496"/>
      <c r="I272" s="496"/>
      <c r="J272" s="496"/>
      <c r="K272" s="496"/>
      <c r="L272" s="496"/>
      <c r="M272" s="496"/>
      <c r="N272" s="496"/>
      <c r="O272" s="496"/>
      <c r="P272" s="496"/>
      <c r="Q272" s="496"/>
      <c r="R272" s="496"/>
      <c r="S272" s="496"/>
      <c r="T272" s="468" cm="1" t="str">
        <f t="array" ref="T272:T272">T271</f>
        <v>true</v>
      </c>
      <c r="U272" s="496"/>
      <c r="V272" s="496"/>
      <c r="W272" s="496"/>
      <c r="X272" s="1559"/>
      <c r="Y272" s="496"/>
      <c r="Z272" s="1528"/>
      <c r="AA272" s="496"/>
      <c r="AB272" s="289" t="s">
        <v>1915</v>
      </c>
      <c r="AC272" s="910"/>
      <c r="AD272" s="1111"/>
      <c r="AE272" s="1111"/>
      <c r="AF272" s="1111"/>
      <c r="AG272" s="1111"/>
      <c r="AH272" s="1111"/>
      <c r="AI272" s="1111"/>
      <c r="AJ272" s="1111"/>
      <c r="AK272" s="1111"/>
      <c r="AL272" s="1111"/>
      <c r="AM272" s="1111"/>
      <c r="AN272" s="1111"/>
      <c r="AO272" s="1111"/>
      <c r="AP272" s="1111"/>
      <c r="AQ272" s="1111"/>
      <c r="AR272" s="1111"/>
      <c r="AS272" s="1111"/>
      <c r="AT272" s="1111"/>
      <c r="AU272" s="1111"/>
      <c r="AV272" s="1111"/>
      <c r="AW272" s="1111"/>
      <c r="AX272" s="1111"/>
      <c r="AY272" s="1111"/>
      <c r="AZ272" s="1111"/>
      <c r="BA272" s="1111"/>
      <c r="BB272" s="1111"/>
      <c r="BC272" s="1111"/>
      <c r="BD272" s="1111"/>
      <c r="BE272" s="1111"/>
      <c r="BF272" s="1111"/>
      <c r="BG272" s="1111"/>
      <c r="BH272" s="1111"/>
      <c r="BI272" s="1111"/>
      <c r="BJ272" s="1111"/>
      <c r="BK272" s="1111"/>
      <c r="BL272" s="1111"/>
      <c r="BM272" s="1111"/>
      <c r="BN272" s="1111"/>
      <c r="BO272" s="1111"/>
      <c r="BP272" s="1111"/>
      <c r="BQ272" s="1111"/>
      <c r="BR272" s="1111"/>
      <c r="BS272" s="1111"/>
      <c r="BT272" s="1111"/>
      <c r="BU272" s="1111"/>
      <c r="BV272" s="1111"/>
      <c r="BW272" s="1111"/>
      <c r="BX272" s="1111"/>
      <c r="BY272" s="1111"/>
      <c r="BZ272" s="1111"/>
      <c r="CA272" s="1111"/>
      <c r="CB272" s="1111"/>
      <c r="CC272" s="1111"/>
      <c r="CD272" s="1111"/>
      <c r="CE272" s="1111"/>
      <c r="CF272" s="1111"/>
      <c r="CG272" s="1111"/>
      <c r="CH272" s="1111"/>
      <c r="CI272" s="1111"/>
      <c r="CJ272" s="1111"/>
      <c r="CK272" s="1111"/>
      <c r="CL272" s="1111"/>
      <c r="CM272" s="1111"/>
      <c r="CN272" s="1111"/>
      <c r="CO272" s="1111"/>
      <c r="CP272" s="1111"/>
      <c r="CQ272" s="1111"/>
      <c r="CR272" s="1111"/>
      <c r="CS272" s="1111"/>
      <c r="CT272" s="1111"/>
      <c r="CU272" s="1111"/>
      <c r="CV272" s="1111"/>
      <c r="CW272" s="1111"/>
      <c r="CX272" s="1111"/>
      <c r="CY272" s="1111"/>
      <c r="CZ272" s="1111"/>
      <c r="DA272" s="1111"/>
      <c r="DB272" s="1111"/>
      <c r="DC272" s="1111"/>
      <c r="DD272" s="1111"/>
      <c r="DE272" s="1111"/>
      <c r="DF272" s="1111"/>
      <c r="DG272" s="1111"/>
      <c r="DH272" s="1111"/>
      <c r="DI272" s="1111"/>
      <c r="DJ272" s="1111"/>
      <c r="DK272" s="1111"/>
      <c r="DL272" s="1111"/>
      <c r="DM272" s="1111"/>
      <c r="DN272" s="1111"/>
      <c r="DO272" s="1111"/>
      <c r="DP272" s="1111"/>
      <c r="DQ272" s="1111"/>
      <c r="DR272" s="1111"/>
      <c r="DS272" s="1111"/>
      <c r="DT272" s="1111"/>
      <c r="DU272" s="1111"/>
      <c r="DV272" s="1111"/>
      <c r="DW272" s="1111"/>
      <c r="DX272" s="1111"/>
      <c r="DY272" s="1111"/>
      <c r="DZ272" s="1111"/>
      <c r="EA272" s="1111"/>
      <c r="EB272" s="1111"/>
      <c r="EC272" s="1111"/>
      <c r="ED272" s="1111"/>
      <c r="EE272" s="1111"/>
      <c r="EF272" s="1111"/>
      <c r="EG272" s="1111"/>
      <c r="EH272" s="1111"/>
      <c r="EI272" s="1111"/>
      <c r="EJ272" s="1111"/>
      <c r="EK272" s="1111"/>
      <c r="EL272" s="1111"/>
      <c r="EM272" s="1111"/>
      <c r="EN272" s="1111"/>
      <c r="EO272" s="1111"/>
      <c r="EP272" s="1111"/>
      <c r="EQ272" s="1111"/>
      <c r="ER272" s="1111"/>
      <c r="ES272" s="1111"/>
      <c r="ET272" s="1111"/>
      <c r="EU272" s="1111"/>
      <c r="EV272" s="1111"/>
      <c r="EW272" s="1111"/>
      <c r="EX272" s="1111"/>
      <c r="EY272" s="1111"/>
      <c r="EZ272" s="1111"/>
      <c r="FA272" s="1111"/>
      <c r="FB272" s="1111"/>
      <c r="FC272" s="1111"/>
      <c r="FD272" s="1111"/>
      <c r="FE272" s="1111"/>
      <c r="FF272" s="1111"/>
      <c r="FG272" s="1111"/>
      <c r="FH272" s="1111"/>
      <c r="FI272" s="1111"/>
      <c r="FJ272" s="1111"/>
      <c r="FK272" s="1111"/>
      <c r="FL272" s="1111"/>
      <c r="FM272" s="1111"/>
      <c r="FN272" s="1111"/>
      <c r="FO272" s="1111"/>
      <c r="FP272" s="1111"/>
      <c r="FQ272" s="1111"/>
      <c r="FR272" s="1111"/>
      <c r="FS272" s="1111"/>
      <c r="FT272" s="1111"/>
      <c r="FU272" s="1111"/>
      <c r="FV272" s="1111"/>
      <c r="FW272" s="1112"/>
      <c r="FX272" s="1328"/>
      <c r="FY272" s="1328"/>
      <c r="FZ272" s="1063"/>
      <c r="GA272" s="1330"/>
      <c r="GB272" s="1330"/>
      <c r="GC272" s="1329"/>
      <c r="GD272" s="1329"/>
    </row>
    <row s="1656" customFormat="1" customHeight="1" ht="14.25" hidden="1">
      <c r="A273" s="496"/>
      <c r="B273" s="932" cm="1" t="str">
        <f t="array" ref="B273:B273">B272</f>
        <v>false</v>
      </c>
      <c r="C273" s="496"/>
      <c r="D273" s="496"/>
      <c r="E273" s="847">
        <v>15</v>
      </c>
      <c r="F273" s="50" cm="1" t="str">
        <f t="array" ref="F273:F273">OFFSET(E273,-1,1)</f>
        <v>3</v>
      </c>
      <c r="G273" s="496"/>
      <c r="H273" s="496" t="s">
        <v>1787</v>
      </c>
      <c r="I273" s="496" t="s">
        <v>1875</v>
      </c>
      <c r="J273" s="496"/>
      <c r="K273" s="496"/>
      <c r="L273" s="496"/>
      <c r="M273" s="496"/>
      <c r="N273" s="496"/>
      <c r="O273" s="496"/>
      <c r="P273" s="496"/>
      <c r="Q273" s="496"/>
      <c r="R273" s="496"/>
      <c r="S273" s="496"/>
      <c r="T273" s="468" cm="1" t="str">
        <f t="array" ref="T273:T273">T272</f>
        <v>true</v>
      </c>
      <c r="U273" s="496"/>
      <c r="V273" s="496"/>
      <c r="W273" s="496"/>
      <c r="X273" s="1559"/>
      <c r="Y273" s="496"/>
      <c r="Z273" s="1528"/>
      <c r="AA273" s="496"/>
      <c r="AB273" s="1100" t="s">
        <v>1895</v>
      </c>
      <c r="AC273" s="871" t="s">
        <v>1862</v>
      </c>
      <c r="AD273" s="4591">
        <f>IF(AD275=0,0,(AD274*AD275+AD276*AD277*IF(god=2026,9,6))/AD275)</f>
        <v>0</v>
      </c>
      <c r="AE273" s="4591">
        <f>IF(AE275=0,0,(AE274*AE275+AE276*AE277*IF(god=2026,9,6))/AE275)</f>
        <v>0</v>
      </c>
      <c r="AF273" s="1102">
        <f>IF(AD273=0,0,(AE273-AD273)/AD273*100)</f>
        <v>0</v>
      </c>
      <c r="AG273" s="4591">
        <f>IF(AG275=0,0,(AG274*AG275+AG276*AG277*IF(god=2025,9,6))/AG275)</f>
        <v>0</v>
      </c>
      <c r="AH273" s="4591">
        <f>IF(AH275=0,0,(AH274*AH275+AH276*AH277*IF(god=2025,9,6))/AH275)</f>
        <v>0</v>
      </c>
      <c r="AI273" s="1102">
        <f>IF(AG273=0,0,(AH273-AG273)/AG273*100)</f>
        <v>0</v>
      </c>
      <c r="AJ273" s="4591">
        <f>IF(AJ275=0,0,(AJ274*AJ275+AJ276*AJ277*6)/AJ275)</f>
        <v>0</v>
      </c>
      <c r="AK273" s="4591">
        <f>IF(AK275=0,0,(AK274*AK275+AK276*AK277*6)/AK275)</f>
        <v>0</v>
      </c>
      <c r="AL273" s="1102">
        <f>IF(AJ273=0,0,(AK273-AJ273)/AJ273*100)</f>
        <v>0</v>
      </c>
      <c r="AM273" s="4591">
        <f>IF(AM275=0,0,(AM274*AM275+AM276*AM277*6)/AM275)</f>
        <v>0</v>
      </c>
      <c r="AN273" s="4591">
        <f>IF(AN275=0,0,(AN274*AN275+AN276*AN277*6)/AN275)</f>
        <v>0</v>
      </c>
      <c r="AO273" s="1102">
        <f>IF(AM273=0,0,(AN273-AM273)/AM273*100)</f>
        <v>0</v>
      </c>
      <c r="AP273" s="4591">
        <f>IF(AP275=0,0,(AP274*AP275+AP276*AP277*6)/AP275)</f>
        <v>0</v>
      </c>
      <c r="AQ273" s="4591">
        <f>IF(AQ275=0,0,(AQ274*AQ275+AQ276*AQ277*6)/AQ275)</f>
        <v>0</v>
      </c>
      <c r="AR273" s="1102">
        <f>IF(AP273=0,0,(AQ273-AP273)/AP273*100)</f>
        <v>0</v>
      </c>
      <c r="AS273" s="4591">
        <f>IF(AS275=0,0,(AS274*AS275+AS276*AS277*6)/AS275)</f>
        <v>0</v>
      </c>
      <c r="AT273" s="4591">
        <f>IF(AT275=0,0,(AT274*AT275+AT276*AT277*6)/AT275)</f>
        <v>0</v>
      </c>
      <c r="AU273" s="1102">
        <f>IF(AS273=0,0,(AT273-AS273)/AS273*100)</f>
        <v>0</v>
      </c>
      <c r="AV273" s="4591">
        <f>IF(AV275=0,0,(AV274*AV275+AV276*AV277*6)/AV275)</f>
        <v>0</v>
      </c>
      <c r="AW273" s="4591">
        <f>IF(AW275=0,0,(AW274*AW275+AW276*AW277*6)/AW275)</f>
        <v>0</v>
      </c>
      <c r="AX273" s="1102">
        <f>IF(AV273=0,0,(AW273-AV273)/AV273*100)</f>
        <v>0</v>
      </c>
      <c r="AY273" s="4591">
        <f>IF(AY275=0,0,(AY274*AY275+AY276*AY277*6)/AY275)</f>
        <v>0</v>
      </c>
      <c r="AZ273" s="4591">
        <f>IF(AZ275=0,0,(AZ274*AZ275+AZ276*AZ277*6)/AZ275)</f>
        <v>0</v>
      </c>
      <c r="BA273" s="1102">
        <f>IF(AY273=0,0,(AZ273-AY273)/AY273*100)</f>
        <v>0</v>
      </c>
      <c r="BB273" s="4591">
        <f>IF(BB275=0,0,(BB274*BB275+BB276*BB277*6)/BB275)</f>
        <v>0</v>
      </c>
      <c r="BC273" s="4591">
        <f>IF(BC275=0,0,(BC274*BC275+BC276*BC277*6)/BC275)</f>
        <v>0</v>
      </c>
      <c r="BD273" s="1102">
        <f>IF(BB273=0,0,(BC273-BB273)/BB273*100)</f>
        <v>0</v>
      </c>
      <c r="BE273" s="4591">
        <f>IF(BE275=0,0,(BE274*BE275+BE276*BE277*6)/BE275)</f>
        <v>0</v>
      </c>
      <c r="BF273" s="4591">
        <f>IF(BF275=0,0,(BF274*BF275+BF276*BF277*6)/BF275)</f>
        <v>0</v>
      </c>
      <c r="BG273" s="1102">
        <f>IF(BE273=0,0,(BF273-BE273)/BE273*100)</f>
        <v>0</v>
      </c>
      <c r="BH273" s="4591">
        <f>IF(BH275=0,0,(BH274*BH275+BH276*BH277*6)/BH275)</f>
        <v>0</v>
      </c>
      <c r="BI273" s="4591">
        <f>IF(BI275=0,0,(BI274*BI275+BI276*BI277*6)/BI275)</f>
        <v>0</v>
      </c>
      <c r="BJ273" s="1102">
        <f>IF(BH273=0,0,(BI273-BH273)/BH273*100)</f>
        <v>0</v>
      </c>
      <c r="BK273" s="4591">
        <f>IF(BK275=0,0,(BK274*BK275+BK276*BK277*6)/BK275)</f>
        <v>0</v>
      </c>
      <c r="BL273" s="4591">
        <f>IF(BL275=0,0,(BL274*BL275+BL276*BL277*6)/BL275)</f>
        <v>0</v>
      </c>
      <c r="BM273" s="1102">
        <f>IF(BK273=0,0,(BL273-BK273)/BK273*100)</f>
        <v>0</v>
      </c>
      <c r="BN273" s="4591">
        <f>IF(BN275=0,0,(BN274*BN275+BN276*BN277*6)/BN275)</f>
        <v>0</v>
      </c>
      <c r="BO273" s="4591">
        <f>IF(BO275=0,0,(BO274*BO275+BO276*BO277*6)/BO275)</f>
        <v>0</v>
      </c>
      <c r="BP273" s="1102">
        <f>IF(BN273=0,0,(BO273-BN273)/BN273*100)</f>
        <v>0</v>
      </c>
      <c r="BQ273" s="4591">
        <f>IF(BQ275=0,0,(BQ274*BQ275+BQ276*BQ277*6)/BQ275)</f>
        <v>0</v>
      </c>
      <c r="BR273" s="4591">
        <f>IF(BR275=0,0,(BR274*BR275+BR276*BR277*6)/BR275)</f>
        <v>0</v>
      </c>
      <c r="BS273" s="1102">
        <f>IF(BQ273=0,0,(BR273-BQ273)/BQ273*100)</f>
        <v>0</v>
      </c>
      <c r="BT273" s="4591">
        <f>IF(BT275=0,0,(BT274*BT275+BT276*BT277*6)/BT275)</f>
        <v>0</v>
      </c>
      <c r="BU273" s="4591">
        <f>IF(BU275=0,0,(BU274*BU275+BU276*BU277*6)/BU275)</f>
        <v>0</v>
      </c>
      <c r="BV273" s="1102">
        <f>IF(BT273=0,0,(BU273-BT273)/BT273*100)</f>
        <v>0</v>
      </c>
      <c r="BW273" s="4591">
        <f>IF(BW275=0,0,(BW274*BW275+BW276*BW277*6)/BW275)</f>
        <v>0</v>
      </c>
      <c r="BX273" s="4591">
        <f>IF(BX275=0,0,(BX274*BX275+BX276*BX277*6)/BX275)</f>
        <v>0</v>
      </c>
      <c r="BY273" s="1102">
        <f>IF(BW273=0,0,(BX273-BW273)/BW273*100)</f>
        <v>0</v>
      </c>
      <c r="BZ273" s="4591">
        <f>IF(BZ275=0,0,(BZ274*BZ275+BZ276*BZ277*6)/BZ275)</f>
        <v>0</v>
      </c>
      <c r="CA273" s="4591">
        <f>IF(CA275=0,0,(CA274*CA275+CA276*CA277*6)/CA275)</f>
        <v>0</v>
      </c>
      <c r="CB273" s="1102">
        <f>IF(BZ273=0,0,(CA273-BZ273)/BZ273*100)</f>
        <v>0</v>
      </c>
      <c r="CC273" s="4591">
        <f>IF(CC275=0,0,(CC274*CC275+CC276*CC277*6)/CC275)</f>
        <v>0</v>
      </c>
      <c r="CD273" s="4591">
        <f>IF(CD275=0,0,(CD274*CD275+CD276*CD277*6)/CD275)</f>
        <v>0</v>
      </c>
      <c r="CE273" s="1102">
        <f>IF(CC273=0,0,(CD273-CC273)/CC273*100)</f>
        <v>0</v>
      </c>
      <c r="CF273" s="4591">
        <f>IF(CF275=0,0,(CF274*CF275+CF276*CF277*6)/CF275)</f>
        <v>0</v>
      </c>
      <c r="CG273" s="4591">
        <f>IF(CG275=0,0,(CG274*CG275+CG276*CG277*6)/CG275)</f>
        <v>0</v>
      </c>
      <c r="CH273" s="1102">
        <f>IF(CF273=0,0,(CG273-CF273)/CF273*100)</f>
        <v>0</v>
      </c>
      <c r="CI273" s="4591">
        <f>IF(CI275=0,0,(CI274*CI275+CI276*CI277*6)/CI275)</f>
        <v>0</v>
      </c>
      <c r="CJ273" s="4591">
        <f>IF(CJ275=0,0,(CJ274*CJ275+CJ276*CJ277*6)/CJ275)</f>
        <v>0</v>
      </c>
      <c r="CK273" s="1102">
        <f>IF(CI273=0,0,(CJ273-CI273)/CI273*100)</f>
        <v>0</v>
      </c>
      <c r="CL273" s="4591">
        <f>IF(CL275=0,0,(CL274*CL275+CL276*CL277*6)/CL275)</f>
        <v>0</v>
      </c>
      <c r="CM273" s="4591">
        <f>IF(CM275=0,0,(CM274*CM275+CM276*CM277*6)/CM275)</f>
        <v>0</v>
      </c>
      <c r="CN273" s="1102">
        <f>IF(CL273=0,0,(CM273-CL273)/CL273*100)</f>
        <v>0</v>
      </c>
      <c r="CO273" s="4591">
        <f>IF(CO275=0,0,(CO274*CO275+CO276*CO277*6)/CO275)</f>
        <v>0</v>
      </c>
      <c r="CP273" s="4591">
        <f>IF(CP275=0,0,(CP274*CP275+CP276*CP277*6)/CP275)</f>
        <v>0</v>
      </c>
      <c r="CQ273" s="1102">
        <f>IF(CO273=0,0,(CP273-CO273)/CO273*100)</f>
        <v>0</v>
      </c>
      <c r="CR273" s="4591">
        <f>IF(CR275=0,0,(CR274*CR275+CR276*CR277*6)/CR275)</f>
        <v>0</v>
      </c>
      <c r="CS273" s="4591">
        <f>IF(CS275=0,0,(CS274*CS275+CS276*CS277*6)/CS275)</f>
        <v>0</v>
      </c>
      <c r="CT273" s="1102">
        <f>IF(CR273=0,0,(CS273-CR273)/CR273*100)</f>
        <v>0</v>
      </c>
      <c r="CU273" s="4591">
        <f>IF(CU275=0,0,(CU274*CU275+CU276*CU277*6)/CU275)</f>
        <v>0</v>
      </c>
      <c r="CV273" s="4591">
        <f>IF(CV275=0,0,(CV274*CV275+CV276*CV277*6)/CV275)</f>
        <v>0</v>
      </c>
      <c r="CW273" s="1102">
        <f>IF(CU273=0,0,(CV273-CU273)/CU273*100)</f>
        <v>0</v>
      </c>
      <c r="CX273" s="4591">
        <f>IF(CX275=0,0,(CX274*CX275+CX276*CX277*6)/CX275)</f>
        <v>0</v>
      </c>
      <c r="CY273" s="4591">
        <f>IF(CY275=0,0,(CY274*CY275+CY276*CY277*6)/CY275)</f>
        <v>0</v>
      </c>
      <c r="CZ273" s="1102">
        <f>IF(CX273=0,0,(CY273-CX273)/CX273*100)</f>
        <v>0</v>
      </c>
      <c r="DA273" s="4591">
        <f>IF(DA275=0,0,(DA274*DA275+DA276*DA277*6)/DA275)</f>
        <v>0</v>
      </c>
      <c r="DB273" s="4591">
        <f>IF(DB275=0,0,(DB274*DB275+DB276*DB277*6)/DB275)</f>
        <v>0</v>
      </c>
      <c r="DC273" s="1102">
        <f>IF(DA273=0,0,(DB273-DA273)/DA273*100)</f>
        <v>0</v>
      </c>
      <c r="DD273" s="4591">
        <f>IF(DD275=0,0,(DD274*DD275+DD276*DD277*6)/DD275)</f>
        <v>0</v>
      </c>
      <c r="DE273" s="4591">
        <f>IF(DE275=0,0,(DE274*DE275+DE276*DE277*6)/DE275)</f>
        <v>0</v>
      </c>
      <c r="DF273" s="1102">
        <f>IF(DD273=0,0,(DE273-DD273)/DD273*100)</f>
        <v>0</v>
      </c>
      <c r="DG273" s="4591">
        <f>IF(DG275=0,0,(DG274*DG275+DG276*DG277*6)/DG275)</f>
        <v>0</v>
      </c>
      <c r="DH273" s="4591">
        <f>IF(DH275=0,0,(DH274*DH275+DH276*DH277*6)/DH275)</f>
        <v>0</v>
      </c>
      <c r="DI273" s="1102">
        <f>IF(DG273=0,0,(DH273-DG273)/DG273*100)</f>
        <v>0</v>
      </c>
      <c r="DJ273" s="4591">
        <f>IF(DJ275=0,0,(DJ274*DJ275+DJ276*DJ277*6)/DJ275)</f>
        <v>0</v>
      </c>
      <c r="DK273" s="4591">
        <f>IF(DK275=0,0,(DK274*DK275+DK276*DK277*6)/DK275)</f>
        <v>0</v>
      </c>
      <c r="DL273" s="1102">
        <f>IF(DJ273=0,0,(DK273-DJ273)/DJ273*100)</f>
        <v>0</v>
      </c>
      <c r="DM273" s="4591">
        <f>IF(DM275=0,0,(DM274*DM275+DM276*DM277*6)/DM275)</f>
        <v>0</v>
      </c>
      <c r="DN273" s="4591">
        <f>IF(DN275=0,0,(DN274*DN275+DN276*DN277*6)/DN275)</f>
        <v>0</v>
      </c>
      <c r="DO273" s="1102">
        <f>IF(DM273=0,0,(DN273-DM273)/DM273*100)</f>
        <v>0</v>
      </c>
      <c r="DP273" s="4591">
        <f>IF(DP275=0,0,(DP274*DP275+DP276*DP277*6)/DP275)</f>
        <v>0</v>
      </c>
      <c r="DQ273" s="4591">
        <f>IF(DQ275=0,0,(DQ274*DQ275+DQ276*DQ277*6)/DQ275)</f>
        <v>0</v>
      </c>
      <c r="DR273" s="1102">
        <f>IF(DP273=0,0,(DQ273-DP273)/DP273*100)</f>
        <v>0</v>
      </c>
      <c r="DS273" s="4591">
        <f>IF(DS275=0,0,(DS274*DS275+DS276*DS277*6)/DS275)</f>
        <v>0</v>
      </c>
      <c r="DT273" s="4591">
        <f>IF(DT275=0,0,(DT274*DT275+DT276*DT277*6)/DT275)</f>
        <v>0</v>
      </c>
      <c r="DU273" s="1102">
        <f>IF(DS273=0,0,(DT273-DS273)/DS273*100)</f>
        <v>0</v>
      </c>
      <c r="DV273" s="4591">
        <f>IF(DV275=0,0,(DV274*DV275+DV276*DV277*6)/DV275)</f>
        <v>0</v>
      </c>
      <c r="DW273" s="4591">
        <f>IF(DW275=0,0,(DW274*DW275+DW276*DW277*6)/DW275)</f>
        <v>0</v>
      </c>
      <c r="DX273" s="1102">
        <f>IF(DV273=0,0,(DW273-DV273)/DV273*100)</f>
        <v>0</v>
      </c>
      <c r="DY273" s="4591">
        <f>IF(DY275=0,0,(DY274*DY275+DY276*DY277*6)/DY275)</f>
        <v>0</v>
      </c>
      <c r="DZ273" s="4591">
        <f>IF(DZ275=0,0,(DZ274*DZ275+DZ276*DZ277*6)/DZ275)</f>
        <v>0</v>
      </c>
      <c r="EA273" s="1102">
        <f>IF(DY273=0,0,(DZ273-DY273)/DY273*100)</f>
        <v>0</v>
      </c>
      <c r="EB273" s="4591">
        <f>IF(EB275=0,0,(EB274*EB275+EB276*EB277*6)/EB275)</f>
        <v>0</v>
      </c>
      <c r="EC273" s="4591">
        <f>IF(EC275=0,0,(EC274*EC275+EC276*EC277*6)/EC275)</f>
        <v>0</v>
      </c>
      <c r="ED273" s="1102">
        <f>IF(EB273=0,0,(EC273-EB273)/EB273*100)</f>
        <v>0</v>
      </c>
      <c r="EE273" s="4591">
        <f>IF(EE275=0,0,(EE274*EE275+EE276*EE277*6)/EE275)</f>
        <v>0</v>
      </c>
      <c r="EF273" s="4591">
        <f>IF(EF275=0,0,(EF274*EF275+EF276*EF277*6)/EF275)</f>
        <v>0</v>
      </c>
      <c r="EG273" s="1102">
        <f>IF(EE273=0,0,(EF273-EE273)/EE273*100)</f>
        <v>0</v>
      </c>
      <c r="EH273" s="4591">
        <f>IF(EH275=0,0,(EH274*EH275+EH276*EH277*6)/EH275)</f>
        <v>0</v>
      </c>
      <c r="EI273" s="4591">
        <f>IF(EI275=0,0,(EI274*EI275+EI276*EI277*6)/EI275)</f>
        <v>0</v>
      </c>
      <c r="EJ273" s="1102">
        <f>IF(EH273=0,0,(EI273-EH273)/EH273*100)</f>
        <v>0</v>
      </c>
      <c r="EK273" s="4591">
        <f>IF(EK275=0,0,(EK274*EK275+EK276*EK277*6)/EK275)</f>
        <v>0</v>
      </c>
      <c r="EL273" s="4591">
        <f>IF(EL275=0,0,(EL274*EL275+EL276*EL277*6)/EL275)</f>
        <v>0</v>
      </c>
      <c r="EM273" s="1102">
        <f>IF(EK273=0,0,(EL273-EK273)/EK273*100)</f>
        <v>0</v>
      </c>
      <c r="EN273" s="4591">
        <f>IF(EN275=0,0,(EN274*EN275+EN276*EN277*6)/EN275)</f>
        <v>0</v>
      </c>
      <c r="EO273" s="4591">
        <f>IF(EO275=0,0,(EO274*EO275+EO276*EO277*6)/EO275)</f>
        <v>0</v>
      </c>
      <c r="EP273" s="1102">
        <f>IF(EN273=0,0,(EO273-EN273)/EN273*100)</f>
        <v>0</v>
      </c>
      <c r="EQ273" s="4591">
        <f>IF(EQ275=0,0,(EQ274*EQ275+EQ276*EQ277*6)/EQ275)</f>
        <v>0</v>
      </c>
      <c r="ER273" s="4591">
        <f>IF(ER275=0,0,(ER274*ER275+ER276*ER277*6)/ER275)</f>
        <v>0</v>
      </c>
      <c r="ES273" s="1102">
        <f>IF(EQ273=0,0,(ER273-EQ273)/EQ273*100)</f>
        <v>0</v>
      </c>
      <c r="ET273" s="4591">
        <f>IF(ET275=0,0,(ET274*ET275+ET276*ET277*6)/ET275)</f>
        <v>0</v>
      </c>
      <c r="EU273" s="4591">
        <f>IF(EU275=0,0,(EU274*EU275+EU276*EU277*6)/EU275)</f>
        <v>0</v>
      </c>
      <c r="EV273" s="1102">
        <f>IF(ET273=0,0,(EU273-ET273)/ET273*100)</f>
        <v>0</v>
      </c>
      <c r="EW273" s="4591">
        <f>IF(EW275=0,0,(EW274*EW275+EW276*EW277*6)/EW275)</f>
        <v>0</v>
      </c>
      <c r="EX273" s="4591">
        <f>IF(EX275=0,0,(EX274*EX275+EX276*EX277*6)/EX275)</f>
        <v>0</v>
      </c>
      <c r="EY273" s="1102">
        <f>IF(EW273=0,0,(EX273-EW273)/EW273*100)</f>
        <v>0</v>
      </c>
      <c r="EZ273" s="4591">
        <f>IF(EZ275=0,0,(EZ274*EZ275+EZ276*EZ277*6)/EZ275)</f>
        <v>0</v>
      </c>
      <c r="FA273" s="4591">
        <f>IF(FA275=0,0,(FA274*FA275+FA276*FA277*6)/FA275)</f>
        <v>0</v>
      </c>
      <c r="FB273" s="1102">
        <f>IF(EZ273=0,0,(FA273-EZ273)/EZ273*100)</f>
        <v>0</v>
      </c>
      <c r="FC273" s="4591">
        <f>IF(FC275=0,0,(FC274*FC275+FC276*FC277*6)/FC275)</f>
        <v>0</v>
      </c>
      <c r="FD273" s="4591">
        <f>IF(FD275=0,0,(FD274*FD275+FD276*FD277*6)/FD275)</f>
        <v>0</v>
      </c>
      <c r="FE273" s="1102">
        <f>IF(FC273=0,0,(FD273-FC273)/FC273*100)</f>
        <v>0</v>
      </c>
      <c r="FF273" s="4591">
        <f>IF(FF275=0,0,(FF274*FF275+FF276*FF277*6)/FF275)</f>
        <v>0</v>
      </c>
      <c r="FG273" s="4591">
        <f>IF(FG275=0,0,(FG274*FG275+FG276*FG277*6)/FG275)</f>
        <v>0</v>
      </c>
      <c r="FH273" s="1102">
        <f>IF(FF273=0,0,(FG273-FF273)/FF273*100)</f>
        <v>0</v>
      </c>
      <c r="FI273" s="4591">
        <f>IF(FI275=0,0,(FI274*FI275+FI276*FI277*6)/FI275)</f>
        <v>0</v>
      </c>
      <c r="FJ273" s="4591">
        <f>IF(FJ275=0,0,(FJ274*FJ275+FJ276*FJ277*6)/FJ275)</f>
        <v>0</v>
      </c>
      <c r="FK273" s="1102">
        <f>IF(FI273=0,0,(FJ273-FI273)/FI273*100)</f>
        <v>0</v>
      </c>
      <c r="FL273" s="4591">
        <f>IF(FL275=0,0,(FL274*FL275+FL276*FL277*6)/FL275)</f>
        <v>0</v>
      </c>
      <c r="FM273" s="4591">
        <f>IF(FM275=0,0,(FM274*FM275+FM276*FM277*6)/FM275)</f>
        <v>0</v>
      </c>
      <c r="FN273" s="1102">
        <f>IF(FL273=0,0,(FM273-FL273)/FL273*100)</f>
        <v>0</v>
      </c>
      <c r="FO273" s="4591">
        <f>IF(FO275=0,0,(FO274*FO275+FO276*FO277*6)/FO275)</f>
        <v>0</v>
      </c>
      <c r="FP273" s="4591">
        <f>IF(FP275=0,0,(FP274*FP275+FP276*FP277*6)/FP275)</f>
        <v>0</v>
      </c>
      <c r="FQ273" s="1102">
        <f>IF(FO273=0,0,(FP273-FO273)/FO273*100)</f>
        <v>0</v>
      </c>
      <c r="FR273" s="4591">
        <f>IF(FR275=0,0,(FR274*FR275+FR276*FR277*6)/FR275)</f>
        <v>0</v>
      </c>
      <c r="FS273" s="4591">
        <f>IF(FS275=0,0,(FS274*FS275+FS276*FS277*6)/FS275)</f>
        <v>0</v>
      </c>
      <c r="FT273" s="1102">
        <f>IF(FR273=0,0,(FS273-FR273)/FR273*100)</f>
        <v>0</v>
      </c>
      <c r="FU273" s="4591">
        <f>IF(FU275=0,0,(FU274*FU275+FU276*FU277*6)/FU275)</f>
        <v>0</v>
      </c>
      <c r="FV273" s="4591">
        <f>IF(FV275=0,0,(FV274*FV275+FV276*FV277*6)/FV275)</f>
        <v>0</v>
      </c>
      <c r="FW273" s="1102">
        <f>IF(FU273=0,0,(FV273-FU273)/FU273*100)</f>
        <v>0</v>
      </c>
      <c r="FX273" s="1328"/>
      <c r="FY273" s="1328"/>
      <c r="FZ273" s="1063" t="s">
        <v>1916</v>
      </c>
      <c r="GA273" s="1330"/>
      <c r="GB273" s="1330"/>
      <c r="GC273" s="1329"/>
      <c r="GD273" s="1329"/>
    </row>
    <row s="1656" customFormat="1" customHeight="1" ht="14.25" hidden="1">
      <c r="A274" s="496"/>
      <c r="B274" s="932" cm="1" t="str">
        <f t="array" ref="B274:B274">B273</f>
        <v>false</v>
      </c>
      <c r="C274" s="496"/>
      <c r="D274" s="496"/>
      <c r="E274" s="847">
        <v>15</v>
      </c>
      <c r="F274" s="50" cm="1" t="str">
        <f t="array" ref="F274:F274">OFFSET(E274,-1,1)</f>
        <v>3</v>
      </c>
      <c r="G274" s="496"/>
      <c r="H274" s="496" t="s">
        <v>1791</v>
      </c>
      <c r="I274" s="496" t="s">
        <v>1875</v>
      </c>
      <c r="J274" s="496"/>
      <c r="K274" s="496"/>
      <c r="L274" s="496"/>
      <c r="M274" s="496"/>
      <c r="N274" s="496"/>
      <c r="O274" s="496"/>
      <c r="P274" s="496"/>
      <c r="Q274" s="496"/>
      <c r="R274" s="496"/>
      <c r="S274" s="496"/>
      <c r="T274" s="468" cm="1" t="str">
        <f t="array" ref="T274:T274">T273</f>
        <v>true</v>
      </c>
      <c r="U274" s="496"/>
      <c r="V274" s="496"/>
      <c r="W274" s="496"/>
      <c r="X274" s="1559"/>
      <c r="Y274" s="496"/>
      <c r="Z274" s="1528"/>
      <c r="AA274" s="496"/>
      <c r="AB274" s="1100" t="str">
        <f>"ставка платы за "&amp;IF(Q242="Водоснабжение","потребление 1 куб.м холодной воды","объем принятых сточных вод")</f>
        <v>ставка платы за объем принятых сточных вод</v>
      </c>
      <c r="AC274" s="871" t="s">
        <v>1862</v>
      </c>
      <c r="AD274" s="4591"/>
      <c r="AE274" s="4591"/>
      <c r="AF274" s="1102">
        <f>IF(AD274=0,0,(AE274-AD274)/AD274*100)</f>
        <v>0</v>
      </c>
      <c r="AG274" s="4591"/>
      <c r="AH274" s="4591"/>
      <c r="AI274" s="1102">
        <f>IF(AG274=0,0,(AH274-AG274)/AG274*100)</f>
        <v>0</v>
      </c>
      <c r="AJ274" s="4591"/>
      <c r="AK274" s="4591"/>
      <c r="AL274" s="1102">
        <f>IF(AJ274=0,0,(AK274-AJ274)/AJ274*100)</f>
        <v>0</v>
      </c>
      <c r="AM274" s="4591"/>
      <c r="AN274" s="4591"/>
      <c r="AO274" s="1102">
        <f>IF(AM274=0,0,(AN274-AM274)/AM274*100)</f>
        <v>0</v>
      </c>
      <c r="AP274" s="4591"/>
      <c r="AQ274" s="4591"/>
      <c r="AR274" s="1102">
        <f>IF(AP274=0,0,(AQ274-AP274)/AP274*100)</f>
        <v>0</v>
      </c>
      <c r="AS274" s="4591"/>
      <c r="AT274" s="4591"/>
      <c r="AU274" s="1102">
        <f>IF(AS274=0,0,(AT274-AS274)/AS274*100)</f>
        <v>0</v>
      </c>
      <c r="AV274" s="4591"/>
      <c r="AW274" s="4591"/>
      <c r="AX274" s="1102">
        <f>IF(AV274=0,0,(AW274-AV274)/AV274*100)</f>
        <v>0</v>
      </c>
      <c r="AY274" s="4591"/>
      <c r="AZ274" s="4591"/>
      <c r="BA274" s="1102">
        <f>IF(AY274=0,0,(AZ274-AY274)/AY274*100)</f>
        <v>0</v>
      </c>
      <c r="BB274" s="4591"/>
      <c r="BC274" s="4591"/>
      <c r="BD274" s="1102">
        <f>IF(BB274=0,0,(BC274-BB274)/BB274*100)</f>
        <v>0</v>
      </c>
      <c r="BE274" s="4591"/>
      <c r="BF274" s="4591"/>
      <c r="BG274" s="1102">
        <f>IF(BE274=0,0,(BF274-BE274)/BE274*100)</f>
        <v>0</v>
      </c>
      <c r="BH274" s="4591"/>
      <c r="BI274" s="4591"/>
      <c r="BJ274" s="1102">
        <f>IF(BH274=0,0,(BI274-BH274)/BH274*100)</f>
        <v>0</v>
      </c>
      <c r="BK274" s="4591"/>
      <c r="BL274" s="4591"/>
      <c r="BM274" s="1102">
        <f>IF(BK274=0,0,(BL274-BK274)/BK274*100)</f>
        <v>0</v>
      </c>
      <c r="BN274" s="4591"/>
      <c r="BO274" s="4591"/>
      <c r="BP274" s="1102">
        <f>IF(BN274=0,0,(BO274-BN274)/BN274*100)</f>
        <v>0</v>
      </c>
      <c r="BQ274" s="4591"/>
      <c r="BR274" s="4591"/>
      <c r="BS274" s="1102">
        <f>IF(BQ274=0,0,(BR274-BQ274)/BQ274*100)</f>
        <v>0</v>
      </c>
      <c r="BT274" s="4591"/>
      <c r="BU274" s="4591"/>
      <c r="BV274" s="1102">
        <f>IF(BT274=0,0,(BU274-BT274)/BT274*100)</f>
        <v>0</v>
      </c>
      <c r="BW274" s="4591"/>
      <c r="BX274" s="4591"/>
      <c r="BY274" s="1102">
        <f>IF(BW274=0,0,(BX274-BW274)/BW274*100)</f>
        <v>0</v>
      </c>
      <c r="BZ274" s="4591"/>
      <c r="CA274" s="4591"/>
      <c r="CB274" s="1102">
        <f>IF(BZ274=0,0,(CA274-BZ274)/BZ274*100)</f>
        <v>0</v>
      </c>
      <c r="CC274" s="4591"/>
      <c r="CD274" s="4591"/>
      <c r="CE274" s="1102">
        <f>IF(CC274=0,0,(CD274-CC274)/CC274*100)</f>
        <v>0</v>
      </c>
      <c r="CF274" s="4591"/>
      <c r="CG274" s="4591"/>
      <c r="CH274" s="1102">
        <f>IF(CF274=0,0,(CG274-CF274)/CF274*100)</f>
        <v>0</v>
      </c>
      <c r="CI274" s="4591"/>
      <c r="CJ274" s="4591"/>
      <c r="CK274" s="1102">
        <f>IF(CI274=0,0,(CJ274-CI274)/CI274*100)</f>
        <v>0</v>
      </c>
      <c r="CL274" s="4591"/>
      <c r="CM274" s="4591"/>
      <c r="CN274" s="1102">
        <f>IF(CL274=0,0,(CM274-CL274)/CL274*100)</f>
        <v>0</v>
      </c>
      <c r="CO274" s="4591"/>
      <c r="CP274" s="4591"/>
      <c r="CQ274" s="1102">
        <f>IF(CO274=0,0,(CP274-CO274)/CO274*100)</f>
        <v>0</v>
      </c>
      <c r="CR274" s="4591"/>
      <c r="CS274" s="4591"/>
      <c r="CT274" s="1102">
        <f>IF(CR274=0,0,(CS274-CR274)/CR274*100)</f>
        <v>0</v>
      </c>
      <c r="CU274" s="4591"/>
      <c r="CV274" s="4591"/>
      <c r="CW274" s="1102">
        <f>IF(CU274=0,0,(CV274-CU274)/CU274*100)</f>
        <v>0</v>
      </c>
      <c r="CX274" s="4591"/>
      <c r="CY274" s="4591"/>
      <c r="CZ274" s="1102">
        <f>IF(CX274=0,0,(CY274-CX274)/CX274*100)</f>
        <v>0</v>
      </c>
      <c r="DA274" s="4591"/>
      <c r="DB274" s="4591"/>
      <c r="DC274" s="1102">
        <f>IF(DA274=0,0,(DB274-DA274)/DA274*100)</f>
        <v>0</v>
      </c>
      <c r="DD274" s="4591"/>
      <c r="DE274" s="4591"/>
      <c r="DF274" s="1102">
        <f>IF(DD274=0,0,(DE274-DD274)/DD274*100)</f>
        <v>0</v>
      </c>
      <c r="DG274" s="4591"/>
      <c r="DH274" s="4591"/>
      <c r="DI274" s="1102">
        <f>IF(DG274=0,0,(DH274-DG274)/DG274*100)</f>
        <v>0</v>
      </c>
      <c r="DJ274" s="4591"/>
      <c r="DK274" s="4591"/>
      <c r="DL274" s="1102">
        <f>IF(DJ274=0,0,(DK274-DJ274)/DJ274*100)</f>
        <v>0</v>
      </c>
      <c r="DM274" s="4591"/>
      <c r="DN274" s="4591"/>
      <c r="DO274" s="1102">
        <f>IF(DM274=0,0,(DN274-DM274)/DM274*100)</f>
        <v>0</v>
      </c>
      <c r="DP274" s="4591"/>
      <c r="DQ274" s="4591"/>
      <c r="DR274" s="1102">
        <f>IF(DP274=0,0,(DQ274-DP274)/DP274*100)</f>
        <v>0</v>
      </c>
      <c r="DS274" s="4591"/>
      <c r="DT274" s="4591"/>
      <c r="DU274" s="1102">
        <f>IF(DS274=0,0,(DT274-DS274)/DS274*100)</f>
        <v>0</v>
      </c>
      <c r="DV274" s="4591"/>
      <c r="DW274" s="4591"/>
      <c r="DX274" s="1102">
        <f>IF(DV274=0,0,(DW274-DV274)/DV274*100)</f>
        <v>0</v>
      </c>
      <c r="DY274" s="4591"/>
      <c r="DZ274" s="4591"/>
      <c r="EA274" s="1102">
        <f>IF(DY274=0,0,(DZ274-DY274)/DY274*100)</f>
        <v>0</v>
      </c>
      <c r="EB274" s="4591"/>
      <c r="EC274" s="4591"/>
      <c r="ED274" s="1102">
        <f>IF(EB274=0,0,(EC274-EB274)/EB274*100)</f>
        <v>0</v>
      </c>
      <c r="EE274" s="4591"/>
      <c r="EF274" s="4591"/>
      <c r="EG274" s="1102">
        <f>IF(EE274=0,0,(EF274-EE274)/EE274*100)</f>
        <v>0</v>
      </c>
      <c r="EH274" s="4591"/>
      <c r="EI274" s="4591"/>
      <c r="EJ274" s="1102">
        <f>IF(EH274=0,0,(EI274-EH274)/EH274*100)</f>
        <v>0</v>
      </c>
      <c r="EK274" s="4591"/>
      <c r="EL274" s="4591"/>
      <c r="EM274" s="1102">
        <f>IF(EK274=0,0,(EL274-EK274)/EK274*100)</f>
        <v>0</v>
      </c>
      <c r="EN274" s="4591"/>
      <c r="EO274" s="4591"/>
      <c r="EP274" s="1102">
        <f>IF(EN274=0,0,(EO274-EN274)/EN274*100)</f>
        <v>0</v>
      </c>
      <c r="EQ274" s="4591"/>
      <c r="ER274" s="4591"/>
      <c r="ES274" s="1102">
        <f>IF(EQ274=0,0,(ER274-EQ274)/EQ274*100)</f>
        <v>0</v>
      </c>
      <c r="ET274" s="4591"/>
      <c r="EU274" s="4591"/>
      <c r="EV274" s="1102">
        <f>IF(ET274=0,0,(EU274-ET274)/ET274*100)</f>
        <v>0</v>
      </c>
      <c r="EW274" s="4591"/>
      <c r="EX274" s="4591"/>
      <c r="EY274" s="1102">
        <f>IF(EW274=0,0,(EX274-EW274)/EW274*100)</f>
        <v>0</v>
      </c>
      <c r="EZ274" s="4591"/>
      <c r="FA274" s="4591"/>
      <c r="FB274" s="1102">
        <f>IF(EZ274=0,0,(FA274-EZ274)/EZ274*100)</f>
        <v>0</v>
      </c>
      <c r="FC274" s="4591"/>
      <c r="FD274" s="4591"/>
      <c r="FE274" s="1102">
        <f>IF(FC274=0,0,(FD274-FC274)/FC274*100)</f>
        <v>0</v>
      </c>
      <c r="FF274" s="4591"/>
      <c r="FG274" s="4591"/>
      <c r="FH274" s="1102">
        <f>IF(FF274=0,0,(FG274-FF274)/FF274*100)</f>
        <v>0</v>
      </c>
      <c r="FI274" s="4591"/>
      <c r="FJ274" s="4591"/>
      <c r="FK274" s="1102">
        <f>IF(FI274=0,0,(FJ274-FI274)/FI274*100)</f>
        <v>0</v>
      </c>
      <c r="FL274" s="4591"/>
      <c r="FM274" s="4591"/>
      <c r="FN274" s="1102">
        <f>IF(FL274=0,0,(FM274-FL274)/FL274*100)</f>
        <v>0</v>
      </c>
      <c r="FO274" s="4591"/>
      <c r="FP274" s="4591"/>
      <c r="FQ274" s="1102">
        <f>IF(FO274=0,0,(FP274-FO274)/FO274*100)</f>
        <v>0</v>
      </c>
      <c r="FR274" s="4591"/>
      <c r="FS274" s="4591"/>
      <c r="FT274" s="1102">
        <f>IF(FR274=0,0,(FS274-FR274)/FR274*100)</f>
        <v>0</v>
      </c>
      <c r="FU274" s="4591"/>
      <c r="FV274" s="4591"/>
      <c r="FW274" s="1102">
        <f>IF(FU274=0,0,(FV274-FU274)/FU274*100)</f>
        <v>0</v>
      </c>
      <c r="FX274" s="1328"/>
      <c r="FY274" s="1328"/>
      <c r="FZ274" s="1063" t="s">
        <v>1917</v>
      </c>
      <c r="GA274" s="1330"/>
      <c r="GB274" s="1330"/>
      <c r="GC274" s="1329"/>
      <c r="GD274" s="1329"/>
    </row>
    <row s="1656" customFormat="1" customHeight="1" ht="14.25" hidden="1">
      <c r="A275" s="496"/>
      <c r="B275" s="932" cm="1" t="str">
        <f t="array" ref="B275:B275">B274</f>
        <v>false</v>
      </c>
      <c r="C275" s="496"/>
      <c r="D275" s="496"/>
      <c r="E275" s="847">
        <v>15</v>
      </c>
      <c r="F275" s="50" cm="1" t="str">
        <f t="array" ref="F275:F275">OFFSET(E275,-1,1)</f>
        <v>3</v>
      </c>
      <c r="G275" s="103" t="s">
        <v>1918</v>
      </c>
      <c r="H275" s="496" t="s">
        <v>1899</v>
      </c>
      <c r="I275" s="496" t="s">
        <v>1875</v>
      </c>
      <c r="J275" s="496"/>
      <c r="K275" s="496"/>
      <c r="L275" s="496"/>
      <c r="M275" s="496"/>
      <c r="N275" s="496"/>
      <c r="O275" s="496"/>
      <c r="P275" s="496"/>
      <c r="Q275" s="496"/>
      <c r="R275" s="496"/>
      <c r="S275" s="496"/>
      <c r="T275" s="468" cm="1" t="str">
        <f t="array" ref="T275:T275">T274</f>
        <v>true</v>
      </c>
      <c r="U275" s="496"/>
      <c r="V275" s="496"/>
      <c r="W275" s="496"/>
      <c r="X275" s="1559"/>
      <c r="Y275" s="496"/>
      <c r="Z275" s="1528"/>
      <c r="AA275" s="496"/>
      <c r="AB275" s="1100" t="str">
        <f>"объём "&amp;IF(Q242="Водоснабжение","потребления холодной воды","водоотведения")</f>
        <v>объём водоотведения</v>
      </c>
      <c r="AC275" s="871" t="s">
        <v>657</v>
      </c>
      <c r="AD275" s="4585">
        <f>IF(AND(method_reg="Метод индексации",god&lt;&gt;first_year),_xlfn.SUMIFS(INDEX('Калькуляция (МИ корр)'!$AJ$25:$BC$606,,MATCH(AD$8,'Калькуляция (МИ корр)'!$AJ$8:$BC$8,0)),'Калькуляция (МИ корр)'!$F$25:$F$606,$F275,'Калькуляция (МИ корр)'!$G$25:$G$606,$G275),IF(method_reg="Метод экономически обоснованных расходов",_xlfn.SUMIFS('Калькуляция (МЭОР)'!$AJ$25:$AJ$367,'Калькуляция (МЭОР)'!$F$25:$F$367,$F275,'Калькуляция (МЭОР)'!$G$25:$G$367,$G275),IF(method_reg="Метод сравнения аналогов",_xlfn.SUMIFS('Калькуляция (МСА)'!$AE$25:$AE$103,'Калькуляция (МСА)'!$F$25:$F$103,$F275,'Калькуляция (МСА)'!$G$25:$G$103,$G275),_xlfn.SUMIFS(INDEX('Калькуляция (МИ)'!$AJ$25:$BC$603,,MATCH(AD$8,'Калькуляция (МИ)'!$AJ$8:$BC$8,0)),'Калькуляция (МИ)'!$F$25:$F$603,$F275,'Калькуляция (МИ)'!$G$25:$G$603,$G275))))</f>
        <v>676.8546975</v>
      </c>
      <c r="AE275" s="4585">
        <f>IF(AND(method_reg="Метод индексации",god&lt;&gt;first_year),_xlfn.SUMIFS(INDEX('Калькуляция (МИ корр)'!$AJ$25:$BC$606,,MATCH(AE$8,'Калькуляция (МИ корр)'!$AJ$8:$BC$8,0)),'Калькуляция (МИ корр)'!$F$25:$F$606,$F275,'Калькуляция (МИ корр)'!$G$25:$G$606,$G275),IF(method_reg="Метод экономически обоснованных расходов",_xlfn.SUMIFS('Калькуляция (МЭОР)'!$AK$25:$AK$367,'Калькуляция (МЭОР)'!$F$25:$F$367,$F275,'Калькуляция (МЭОР)'!$G$25:$G$367,$G275),IF(method_reg="Метод сравнения аналогов",_xlfn.SUMIFS('Калькуляция (МСА)'!$AF$25:$AF$103,'Калькуляция (МСА)'!$F$25:$F$103,$F275,'Калькуляция (МСА)'!$G$25:$G$103,$G275),_xlfn.SUMIFS(INDEX('Калькуляция (МИ)'!$AJ$25:$BC$603,,MATCH(AE$8,'Калькуляция (МИ)'!$AJ$8:$BC$8,0)),'Калькуляция (МИ)'!$F$25:$F$603,$F275,'Калькуляция (МИ)'!$G$25:$G$603,$G275))))</f>
        <v>643.01196</v>
      </c>
      <c r="AF275" s="1104">
        <f>IF(AD275=0,0,(AE275-AD275)/AD275*100)</f>
        <v>-5.00000038782327</v>
      </c>
      <c r="AG275" s="4585">
        <f>IF(AND(method_reg="Метод индексации",god&lt;&gt;first_year),_xlfn.SUMIFS(INDEX('Калькуляция (МИ корр)'!$AJ$25:$BC$606,,MATCH(AG$8,'Калькуляция (МИ корр)'!$AJ$8:$BC$8,0)),'Калькуляция (МИ корр)'!$F$25:$F$606,$F275,'Калькуляция (МИ корр)'!$G$25:$G$606,$G275),IF(method_reg="Метод экономически обоснованных расходов",_xlfn.SUMIFS('Калькуляция (МЭОР)'!$AJ$25:$AJ$367,'Калькуляция (МЭОР)'!$F$25:$F$367,$F275,'Калькуляция (МЭОР)'!$G$25:$G$367,$G275),IF(method_reg="Метод сравнения аналогов",_xlfn.SUMIFS('Калькуляция (МСА)'!$AE$25:$AE$103,'Калькуляция (МСА)'!$F$25:$F$103,$F275,'Калькуляция (МСА)'!$G$25:$G$103,$G275),_xlfn.SUMIFS(INDEX('Калькуляция (МИ)'!$AJ$25:$BC$603,,MATCH(AG$8,'Калькуляция (МИ)'!$AJ$8:$BC$8,0)),'Калькуляция (МИ)'!$F$25:$F$603,$F275,'Калькуляция (МИ)'!$G$25:$G$603,$G275))))</f>
        <v>0</v>
      </c>
      <c r="AH275" s="4585">
        <f>IF(AND(method_reg="Метод индексации",god&lt;&gt;first_year),_xlfn.SUMIFS(INDEX('Калькуляция (МИ корр)'!$AJ$25:$BC$606,,MATCH(AH$8,'Калькуляция (МИ корр)'!$AJ$8:$BC$8,0)),'Калькуляция (МИ корр)'!$F$25:$F$606,$F275,'Калькуляция (МИ корр)'!$G$25:$G$606,$G275),IF(method_reg="Метод экономически обоснованных расходов",_xlfn.SUMIFS('Калькуляция (МЭОР)'!$AK$25:$AK$367,'Калькуляция (МЭОР)'!$F$25:$F$367,$F275,'Калькуляция (МЭОР)'!$G$25:$G$367,$G275),IF(method_reg="Метод сравнения аналогов",_xlfn.SUMIFS('Калькуляция (МСА)'!$AF$25:$AF$103,'Калькуляция (МСА)'!$F$25:$F$103,$F275,'Калькуляция (МСА)'!$G$25:$G$103,$G275),_xlfn.SUMIFS(INDEX('Калькуляция (МИ)'!$AJ$25:$BC$603,,MATCH(AH$8,'Калькуляция (МИ)'!$AJ$8:$BC$8,0)),'Калькуляция (МИ)'!$F$25:$F$603,$F275,'Калькуляция (МИ)'!$G$25:$G$603,$G275))))</f>
        <v>0</v>
      </c>
      <c r="AI275" s="1104">
        <f>IF(AG275=0,0,(AH275-AG275)/AG275*100)</f>
        <v>0</v>
      </c>
      <c r="AJ275" s="4585">
        <f>IF(AND(method_reg="Метод индексации",god&lt;&gt;first_year),_xlfn.SUMIFS(INDEX('Калькуляция (МИ корр)'!$AJ$25:$BC$606,,MATCH(AJ$8,'Калькуляция (МИ корр)'!$AJ$8:$BC$8,0)),'Калькуляция (МИ корр)'!$F$25:$F$606,$F275,'Калькуляция (МИ корр)'!$G$25:$G$606,$G275),IF(method_reg="Метод экономически обоснованных расходов",_xlfn.SUMIFS('Калькуляция (МЭОР)'!$AJ$25:$AJ$367,'Калькуляция (МЭОР)'!$F$25:$F$367,$F275,'Калькуляция (МЭОР)'!$G$25:$G$367,$G275),IF(method_reg="Метод сравнения аналогов",_xlfn.SUMIFS('Калькуляция (МСА)'!$AE$25:$AE$103,'Калькуляция (МСА)'!$F$25:$F$103,$F275,'Калькуляция (МСА)'!$G$25:$G$103,$G275),_xlfn.SUMIFS(INDEX('Калькуляция (МИ)'!$AJ$25:$BC$603,,MATCH(AJ$8,'Калькуляция (МИ)'!$AJ$8:$BC$8,0)),'Калькуляция (МИ)'!$F$25:$F$603,$F275,'Калькуляция (МИ)'!$G$25:$G$603,$G275))))</f>
        <v>0</v>
      </c>
      <c r="AK275" s="4585">
        <f>IF(AND(method_reg="Метод индексации",god&lt;&gt;first_year),_xlfn.SUMIFS(INDEX('Калькуляция (МИ корр)'!$AJ$25:$BC$606,,MATCH(AK$8,'Калькуляция (МИ корр)'!$AJ$8:$BC$8,0)),'Калькуляция (МИ корр)'!$F$25:$F$606,$F275,'Калькуляция (МИ корр)'!$G$25:$G$606,$G275),IF(method_reg="Метод экономически обоснованных расходов",_xlfn.SUMIFS('Калькуляция (МЭОР)'!$AK$25:$AK$367,'Калькуляция (МЭОР)'!$F$25:$F$367,$F275,'Калькуляция (МЭОР)'!$G$25:$G$367,$G275),IF(method_reg="Метод сравнения аналогов",_xlfn.SUMIFS('Калькуляция (МСА)'!$AF$25:$AF$103,'Калькуляция (МСА)'!$F$25:$F$103,$F275,'Калькуляция (МСА)'!$G$25:$G$103,$G275),_xlfn.SUMIFS(INDEX('Калькуляция (МИ)'!$AJ$25:$BC$603,,MATCH(AK$8,'Калькуляция (МИ)'!$AJ$8:$BC$8,0)),'Калькуляция (МИ)'!$F$25:$F$603,$F275,'Калькуляция (МИ)'!$G$25:$G$603,$G275))))</f>
        <v>0</v>
      </c>
      <c r="AL275" s="1104">
        <f>IF(AJ275=0,0,(AK275-AJ275)/AJ275*100)</f>
        <v>0</v>
      </c>
      <c r="AM275" s="4585">
        <f>IF(AND(method_reg="Метод индексации",god&lt;&gt;first_year),_xlfn.SUMIFS(INDEX('Калькуляция (МИ корр)'!$AJ$25:$BC$606,,MATCH(AM$8,'Калькуляция (МИ корр)'!$AJ$8:$BC$8,0)),'Калькуляция (МИ корр)'!$F$25:$F$606,$F275,'Калькуляция (МИ корр)'!$G$25:$G$606,$G275),IF(method_reg="Метод экономически обоснованных расходов",_xlfn.SUMIFS('Калькуляция (МЭОР)'!$AJ$25:$AJ$367,'Калькуляция (МЭОР)'!$F$25:$F$367,$F275,'Калькуляция (МЭОР)'!$G$25:$G$367,$G275),IF(method_reg="Метод сравнения аналогов",_xlfn.SUMIFS('Калькуляция (МСА)'!$AE$25:$AE$103,'Калькуляция (МСА)'!$F$25:$F$103,$F275,'Калькуляция (МСА)'!$G$25:$G$103,$G275),_xlfn.SUMIFS(INDEX('Калькуляция (МИ)'!$AJ$25:$BC$603,,MATCH(AM$8,'Калькуляция (МИ)'!$AJ$8:$BC$8,0)),'Калькуляция (МИ)'!$F$25:$F$603,$F275,'Калькуляция (МИ)'!$G$25:$G$603,$G275))))</f>
        <v>0</v>
      </c>
      <c r="AN275" s="4585">
        <f>IF(AND(method_reg="Метод индексации",god&lt;&gt;first_year),_xlfn.SUMIFS(INDEX('Калькуляция (МИ корр)'!$AJ$25:$BC$606,,MATCH(AN$8,'Калькуляция (МИ корр)'!$AJ$8:$BC$8,0)),'Калькуляция (МИ корр)'!$F$25:$F$606,$F275,'Калькуляция (МИ корр)'!$G$25:$G$606,$G275),IF(method_reg="Метод экономически обоснованных расходов",_xlfn.SUMIFS('Калькуляция (МЭОР)'!$AK$25:$AK$367,'Калькуляция (МЭОР)'!$F$25:$F$367,$F275,'Калькуляция (МЭОР)'!$G$25:$G$367,$G275),IF(method_reg="Метод сравнения аналогов",_xlfn.SUMIFS('Калькуляция (МСА)'!$AF$25:$AF$103,'Калькуляция (МСА)'!$F$25:$F$103,$F275,'Калькуляция (МСА)'!$G$25:$G$103,$G275),_xlfn.SUMIFS(INDEX('Калькуляция (МИ)'!$AJ$25:$BC$603,,MATCH(AN$8,'Калькуляция (МИ)'!$AJ$8:$BC$8,0)),'Калькуляция (МИ)'!$F$25:$F$603,$F275,'Калькуляция (МИ)'!$G$25:$G$603,$G275))))</f>
        <v>0</v>
      </c>
      <c r="AO275" s="1104">
        <f>IF(AM275=0,0,(AN275-AM275)/AM275*100)</f>
        <v>0</v>
      </c>
      <c r="AP275" s="4585">
        <f>IF(AND(method_reg="Метод индексации",god&lt;&gt;first_year),_xlfn.SUMIFS(INDEX('Калькуляция (МИ корр)'!$AJ$25:$BC$606,,MATCH(AP$8,'Калькуляция (МИ корр)'!$AJ$8:$BC$8,0)),'Калькуляция (МИ корр)'!$F$25:$F$606,$F275,'Калькуляция (МИ корр)'!$G$25:$G$606,$G275),IF(method_reg="Метод экономически обоснованных расходов",_xlfn.SUMIFS('Калькуляция (МЭОР)'!$AJ$25:$AJ$367,'Калькуляция (МЭОР)'!$F$25:$F$367,$F275,'Калькуляция (МЭОР)'!$G$25:$G$367,$G275),IF(method_reg="Метод сравнения аналогов",_xlfn.SUMIFS('Калькуляция (МСА)'!$AE$25:$AE$103,'Калькуляция (МСА)'!$F$25:$F$103,$F275,'Калькуляция (МСА)'!$G$25:$G$103,$G275),_xlfn.SUMIFS(INDEX('Калькуляция (МИ)'!$AJ$25:$BC$603,,MATCH(AP$8,'Калькуляция (МИ)'!$AJ$8:$BC$8,0)),'Калькуляция (МИ)'!$F$25:$F$603,$F275,'Калькуляция (МИ)'!$G$25:$G$603,$G275))))</f>
        <v>0</v>
      </c>
      <c r="AQ275" s="4585">
        <f>IF(AND(method_reg="Метод индексации",god&lt;&gt;first_year),_xlfn.SUMIFS(INDEX('Калькуляция (МИ корр)'!$AJ$25:$BC$606,,MATCH(AQ$8,'Калькуляция (МИ корр)'!$AJ$8:$BC$8,0)),'Калькуляция (МИ корр)'!$F$25:$F$606,$F275,'Калькуляция (МИ корр)'!$G$25:$G$606,$G275),IF(method_reg="Метод экономически обоснованных расходов",_xlfn.SUMIFS('Калькуляция (МЭОР)'!$AK$25:$AK$367,'Калькуляция (МЭОР)'!$F$25:$F$367,$F275,'Калькуляция (МЭОР)'!$G$25:$G$367,$G275),IF(method_reg="Метод сравнения аналогов",_xlfn.SUMIFS('Калькуляция (МСА)'!$AF$25:$AF$103,'Калькуляция (МСА)'!$F$25:$F$103,$F275,'Калькуляция (МСА)'!$G$25:$G$103,$G275),_xlfn.SUMIFS(INDEX('Калькуляция (МИ)'!$AJ$25:$BC$603,,MATCH(AQ$8,'Калькуляция (МИ)'!$AJ$8:$BC$8,0)),'Калькуляция (МИ)'!$F$25:$F$603,$F275,'Калькуляция (МИ)'!$G$25:$G$603,$G275))))</f>
        <v>0</v>
      </c>
      <c r="AR275" s="1104">
        <f>IF(AP275=0,0,(AQ275-AP275)/AP275*100)</f>
        <v>0</v>
      </c>
      <c r="AS275" s="4585">
        <f>IF(AND(method_reg="Метод индексации",god&lt;&gt;first_year),_xlfn.SUMIFS(INDEX('Калькуляция (МИ корр)'!$AJ$25:$BC$606,,MATCH(AS$8,'Калькуляция (МИ корр)'!$AJ$8:$BC$8,0)),'Калькуляция (МИ корр)'!$F$25:$F$606,$F275,'Калькуляция (МИ корр)'!$G$25:$G$606,$G275),IF(method_reg="Метод экономически обоснованных расходов",_xlfn.SUMIFS('Калькуляция (МЭОР)'!$AJ$25:$AJ$367,'Калькуляция (МЭОР)'!$F$25:$F$367,$F275,'Калькуляция (МЭОР)'!$G$25:$G$367,$G275),IF(method_reg="Метод сравнения аналогов",_xlfn.SUMIFS('Калькуляция (МСА)'!$AE$25:$AE$103,'Калькуляция (МСА)'!$F$25:$F$103,$F275,'Калькуляция (МСА)'!$G$25:$G$103,$G275),_xlfn.SUMIFS(INDEX('Калькуляция (МИ)'!$AJ$25:$BC$603,,MATCH(AS$8,'Калькуляция (МИ)'!$AJ$8:$BC$8,0)),'Калькуляция (МИ)'!$F$25:$F$603,$F275,'Калькуляция (МИ)'!$G$25:$G$603,$G275))))</f>
        <v>0</v>
      </c>
      <c r="AT275" s="4585">
        <f>IF(AND(method_reg="Метод индексации",god&lt;&gt;first_year),_xlfn.SUMIFS(INDEX('Калькуляция (МИ корр)'!$AJ$25:$BC$606,,MATCH(AT$8,'Калькуляция (МИ корр)'!$AJ$8:$BC$8,0)),'Калькуляция (МИ корр)'!$F$25:$F$606,$F275,'Калькуляция (МИ корр)'!$G$25:$G$606,$G275),IF(method_reg="Метод экономически обоснованных расходов",_xlfn.SUMIFS('Калькуляция (МЭОР)'!$AK$25:$AK$367,'Калькуляция (МЭОР)'!$F$25:$F$367,$F275,'Калькуляция (МЭОР)'!$G$25:$G$367,$G275),IF(method_reg="Метод сравнения аналогов",_xlfn.SUMIFS('Калькуляция (МСА)'!$AF$25:$AF$103,'Калькуляция (МСА)'!$F$25:$F$103,$F275,'Калькуляция (МСА)'!$G$25:$G$103,$G275),_xlfn.SUMIFS(INDEX('Калькуляция (МИ)'!$AJ$25:$BC$603,,MATCH(AT$8,'Калькуляция (МИ)'!$AJ$8:$BC$8,0)),'Калькуляция (МИ)'!$F$25:$F$603,$F275,'Калькуляция (МИ)'!$G$25:$G$603,$G275))))</f>
        <v>0</v>
      </c>
      <c r="AU275" s="1104">
        <f>IF(AS275=0,0,(AT275-AS275)/AS275*100)</f>
        <v>0</v>
      </c>
      <c r="AV275" s="4585">
        <f>IF(AND(method_reg="Метод индексации",god&lt;&gt;first_year),_xlfn.SUMIFS(INDEX('Калькуляция (МИ корр)'!$AJ$25:$BC$606,,MATCH(AV$8,'Калькуляция (МИ корр)'!$AJ$8:$BC$8,0)),'Калькуляция (МИ корр)'!$F$25:$F$606,$F275,'Калькуляция (МИ корр)'!$G$25:$G$606,$G275),IF(method_reg="Метод экономически обоснованных расходов",_xlfn.SUMIFS('Калькуляция (МЭОР)'!$AJ$25:$AJ$367,'Калькуляция (МЭОР)'!$F$25:$F$367,$F275,'Калькуляция (МЭОР)'!$G$25:$G$367,$G275),IF(method_reg="Метод сравнения аналогов",_xlfn.SUMIFS('Калькуляция (МСА)'!$AE$25:$AE$103,'Калькуляция (МСА)'!$F$25:$F$103,$F275,'Калькуляция (МСА)'!$G$25:$G$103,$G275),_xlfn.SUMIFS(INDEX('Калькуляция (МИ)'!$AJ$25:$BC$603,,MATCH(AV$8,'Калькуляция (МИ)'!$AJ$8:$BC$8,0)),'Калькуляция (МИ)'!$F$25:$F$603,$F275,'Калькуляция (МИ)'!$G$25:$G$603,$G275))))</f>
        <v>0</v>
      </c>
      <c r="AW275" s="4585">
        <f>IF(AND(method_reg="Метод индексации",god&lt;&gt;first_year),_xlfn.SUMIFS(INDEX('Калькуляция (МИ корр)'!$AJ$25:$BC$606,,MATCH(AW$8,'Калькуляция (МИ корр)'!$AJ$8:$BC$8,0)),'Калькуляция (МИ корр)'!$F$25:$F$606,$F275,'Калькуляция (МИ корр)'!$G$25:$G$606,$G275),IF(method_reg="Метод экономически обоснованных расходов",_xlfn.SUMIFS('Калькуляция (МЭОР)'!$AK$25:$AK$367,'Калькуляция (МЭОР)'!$F$25:$F$367,$F275,'Калькуляция (МЭОР)'!$G$25:$G$367,$G275),IF(method_reg="Метод сравнения аналогов",_xlfn.SUMIFS('Калькуляция (МСА)'!$AF$25:$AF$103,'Калькуляция (МСА)'!$F$25:$F$103,$F275,'Калькуляция (МСА)'!$G$25:$G$103,$G275),_xlfn.SUMIFS(INDEX('Калькуляция (МИ)'!$AJ$25:$BC$603,,MATCH(AW$8,'Калькуляция (МИ)'!$AJ$8:$BC$8,0)),'Калькуляция (МИ)'!$F$25:$F$603,$F275,'Калькуляция (МИ)'!$G$25:$G$603,$G275))))</f>
        <v>0</v>
      </c>
      <c r="AX275" s="1104">
        <f>IF(AV275=0,0,(AW275-AV275)/AV275*100)</f>
        <v>0</v>
      </c>
      <c r="AY275" s="4585">
        <f>IF(AND(method_reg="Метод индексации",god&lt;&gt;first_year),_xlfn.SUMIFS(INDEX('Калькуляция (МИ корр)'!$AJ$25:$BC$606,,MATCH(AY$8,'Калькуляция (МИ корр)'!$AJ$8:$BC$8,0)),'Калькуляция (МИ корр)'!$F$25:$F$606,$F275,'Калькуляция (МИ корр)'!$G$25:$G$606,$G275),IF(method_reg="Метод экономически обоснованных расходов",_xlfn.SUMIFS('Калькуляция (МЭОР)'!$AJ$25:$AJ$367,'Калькуляция (МЭОР)'!$F$25:$F$367,$F275,'Калькуляция (МЭОР)'!$G$25:$G$367,$G275),IF(method_reg="Метод сравнения аналогов",_xlfn.SUMIFS('Калькуляция (МСА)'!$AE$25:$AE$103,'Калькуляция (МСА)'!$F$25:$F$103,$F275,'Калькуляция (МСА)'!$G$25:$G$103,$G275),_xlfn.SUMIFS(INDEX('Калькуляция (МИ)'!$AJ$25:$BC$603,,MATCH(AY$8,'Калькуляция (МИ)'!$AJ$8:$BC$8,0)),'Калькуляция (МИ)'!$F$25:$F$603,$F275,'Калькуляция (МИ)'!$G$25:$G$603,$G275))))</f>
        <v>0</v>
      </c>
      <c r="AZ275" s="4585">
        <f>IF(AND(method_reg="Метод индексации",god&lt;&gt;first_year),_xlfn.SUMIFS(INDEX('Калькуляция (МИ корр)'!$AJ$25:$BC$606,,MATCH(AZ$8,'Калькуляция (МИ корр)'!$AJ$8:$BC$8,0)),'Калькуляция (МИ корр)'!$F$25:$F$606,$F275,'Калькуляция (МИ корр)'!$G$25:$G$606,$G275),IF(method_reg="Метод экономически обоснованных расходов",_xlfn.SUMIFS('Калькуляция (МЭОР)'!$AK$25:$AK$367,'Калькуляция (МЭОР)'!$F$25:$F$367,$F275,'Калькуляция (МЭОР)'!$G$25:$G$367,$G275),IF(method_reg="Метод сравнения аналогов",_xlfn.SUMIFS('Калькуляция (МСА)'!$AF$25:$AF$103,'Калькуляция (МСА)'!$F$25:$F$103,$F275,'Калькуляция (МСА)'!$G$25:$G$103,$G275),_xlfn.SUMIFS(INDEX('Калькуляция (МИ)'!$AJ$25:$BC$603,,MATCH(AZ$8,'Калькуляция (МИ)'!$AJ$8:$BC$8,0)),'Калькуляция (МИ)'!$F$25:$F$603,$F275,'Калькуляция (МИ)'!$G$25:$G$603,$G275))))</f>
        <v>0</v>
      </c>
      <c r="BA275" s="1104">
        <f>IF(AY275=0,0,(AZ275-AY275)/AY275*100)</f>
        <v>0</v>
      </c>
      <c r="BB275" s="4585">
        <f>IF(AND(method_reg="Метод индексации",god&lt;&gt;first_year),_xlfn.SUMIFS(INDEX('Калькуляция (МИ корр)'!$AJ$25:$BC$606,,MATCH(BB$8,'Калькуляция (МИ корр)'!$AJ$8:$BC$8,0)),'Калькуляция (МИ корр)'!$F$25:$F$606,$F275,'Калькуляция (МИ корр)'!$G$25:$G$606,$G275),IF(method_reg="Метод экономически обоснованных расходов",_xlfn.SUMIFS('Калькуляция (МЭОР)'!$AJ$25:$AJ$367,'Калькуляция (МЭОР)'!$F$25:$F$367,$F275,'Калькуляция (МЭОР)'!$G$25:$G$367,$G275),IF(method_reg="Метод сравнения аналогов",_xlfn.SUMIFS('Калькуляция (МСА)'!$AE$25:$AE$103,'Калькуляция (МСА)'!$F$25:$F$103,$F275,'Калькуляция (МСА)'!$G$25:$G$103,$G275),_xlfn.SUMIFS(INDEX('Калькуляция (МИ)'!$AJ$25:$BC$603,,MATCH(BB$8,'Калькуляция (МИ)'!$AJ$8:$BC$8,0)),'Калькуляция (МИ)'!$F$25:$F$603,$F275,'Калькуляция (МИ)'!$G$25:$G$603,$G275))))</f>
        <v>0</v>
      </c>
      <c r="BC275" s="4585">
        <f>IF(AND(method_reg="Метод индексации",god&lt;&gt;first_year),_xlfn.SUMIFS(INDEX('Калькуляция (МИ корр)'!$AJ$25:$BC$606,,MATCH(BC$8,'Калькуляция (МИ корр)'!$AJ$8:$BC$8,0)),'Калькуляция (МИ корр)'!$F$25:$F$606,$F275,'Калькуляция (МИ корр)'!$G$25:$G$606,$G275),IF(method_reg="Метод экономически обоснованных расходов",_xlfn.SUMIFS('Калькуляция (МЭОР)'!$AK$25:$AK$367,'Калькуляция (МЭОР)'!$F$25:$F$367,$F275,'Калькуляция (МЭОР)'!$G$25:$G$367,$G275),IF(method_reg="Метод сравнения аналогов",_xlfn.SUMIFS('Калькуляция (МСА)'!$AF$25:$AF$103,'Калькуляция (МСА)'!$F$25:$F$103,$F275,'Калькуляция (МСА)'!$G$25:$G$103,$G275),_xlfn.SUMIFS(INDEX('Калькуляция (МИ)'!$AJ$25:$BC$603,,MATCH(BC$8,'Калькуляция (МИ)'!$AJ$8:$BC$8,0)),'Калькуляция (МИ)'!$F$25:$F$603,$F275,'Калькуляция (МИ)'!$G$25:$G$603,$G275))))</f>
        <v>0</v>
      </c>
      <c r="BD275" s="1104">
        <f>IF(BB275=0,0,(BC275-BB275)/BB275*100)</f>
        <v>0</v>
      </c>
      <c r="BE275" s="4585">
        <f>IF(AND(method_reg="Метод индексации",god&lt;&gt;first_year),_xlfn.SUMIFS(INDEX('Калькуляция (МИ корр)'!$AJ$25:$BC$606,,MATCH(BE$8,'Калькуляция (МИ корр)'!$AJ$8:$BC$8,0)),'Калькуляция (МИ корр)'!$F$25:$F$606,$F275,'Калькуляция (МИ корр)'!$G$25:$G$606,$G275),IF(method_reg="Метод экономически обоснованных расходов",_xlfn.SUMIFS('Калькуляция (МЭОР)'!$AJ$25:$AJ$367,'Калькуляция (МЭОР)'!$F$25:$F$367,$F275,'Калькуляция (МЭОР)'!$G$25:$G$367,$G275),IF(method_reg="Метод сравнения аналогов",_xlfn.SUMIFS('Калькуляция (МСА)'!$AE$25:$AE$103,'Калькуляция (МСА)'!$F$25:$F$103,$F275,'Калькуляция (МСА)'!$G$25:$G$103,$G275),_xlfn.SUMIFS(INDEX('Калькуляция (МИ)'!$AJ$25:$BC$603,,MATCH(BE$8,'Калькуляция (МИ)'!$AJ$8:$BC$8,0)),'Калькуляция (МИ)'!$F$25:$F$603,$F275,'Калькуляция (МИ)'!$G$25:$G$603,$G275))))</f>
        <v>0</v>
      </c>
      <c r="BF275" s="4585">
        <f>IF(AND(method_reg="Метод индексации",god&lt;&gt;first_year),_xlfn.SUMIFS(INDEX('Калькуляция (МИ корр)'!$AJ$25:$BC$606,,MATCH(BF$8,'Калькуляция (МИ корр)'!$AJ$8:$BC$8,0)),'Калькуляция (МИ корр)'!$F$25:$F$606,$F275,'Калькуляция (МИ корр)'!$G$25:$G$606,$G275),IF(method_reg="Метод экономически обоснованных расходов",_xlfn.SUMIFS('Калькуляция (МЭОР)'!$AK$25:$AK$367,'Калькуляция (МЭОР)'!$F$25:$F$367,$F275,'Калькуляция (МЭОР)'!$G$25:$G$367,$G275),IF(method_reg="Метод сравнения аналогов",_xlfn.SUMIFS('Калькуляция (МСА)'!$AF$25:$AF$103,'Калькуляция (МСА)'!$F$25:$F$103,$F275,'Калькуляция (МСА)'!$G$25:$G$103,$G275),_xlfn.SUMIFS(INDEX('Калькуляция (МИ)'!$AJ$25:$BC$603,,MATCH(BF$8,'Калькуляция (МИ)'!$AJ$8:$BC$8,0)),'Калькуляция (МИ)'!$F$25:$F$603,$F275,'Калькуляция (МИ)'!$G$25:$G$603,$G275))))</f>
        <v>0</v>
      </c>
      <c r="BG275" s="1104">
        <f>IF(BE275=0,0,(BF275-BE275)/BE275*100)</f>
        <v>0</v>
      </c>
      <c r="BH275" s="4585"/>
      <c r="BI275" s="4585"/>
      <c r="BJ275" s="1104">
        <f>IF(BH275=0,0,(BI275-BH275)/BH275*100)</f>
        <v>0</v>
      </c>
      <c r="BK275" s="4585"/>
      <c r="BL275" s="4585"/>
      <c r="BM275" s="1104">
        <f>IF(BK275=0,0,(BL275-BK275)/BK275*100)</f>
        <v>0</v>
      </c>
      <c r="BN275" s="4585"/>
      <c r="BO275" s="4585"/>
      <c r="BP275" s="1104">
        <f>IF(BN275=0,0,(BO275-BN275)/BN275*100)</f>
        <v>0</v>
      </c>
      <c r="BQ275" s="4585"/>
      <c r="BR275" s="4585"/>
      <c r="BS275" s="1104">
        <f>IF(BQ275=0,0,(BR275-BQ275)/BQ275*100)</f>
        <v>0</v>
      </c>
      <c r="BT275" s="4585"/>
      <c r="BU275" s="4585"/>
      <c r="BV275" s="1104">
        <f>IF(BT275=0,0,(BU275-BT275)/BT275*100)</f>
        <v>0</v>
      </c>
      <c r="BW275" s="4585"/>
      <c r="BX275" s="4585"/>
      <c r="BY275" s="1104">
        <f>IF(BW275=0,0,(BX275-BW275)/BW275*100)</f>
        <v>0</v>
      </c>
      <c r="BZ275" s="4585"/>
      <c r="CA275" s="4585"/>
      <c r="CB275" s="1104">
        <f>IF(BZ275=0,0,(CA275-BZ275)/BZ275*100)</f>
        <v>0</v>
      </c>
      <c r="CC275" s="4585"/>
      <c r="CD275" s="4585"/>
      <c r="CE275" s="1104">
        <f>IF(CC275=0,0,(CD275-CC275)/CC275*100)</f>
        <v>0</v>
      </c>
      <c r="CF275" s="4585"/>
      <c r="CG275" s="4585"/>
      <c r="CH275" s="1104">
        <f>IF(CF275=0,0,(CG275-CF275)/CF275*100)</f>
        <v>0</v>
      </c>
      <c r="CI275" s="4585"/>
      <c r="CJ275" s="4585"/>
      <c r="CK275" s="1104">
        <f>IF(CI275=0,0,(CJ275-CI275)/CI275*100)</f>
        <v>0</v>
      </c>
      <c r="CL275" s="4585"/>
      <c r="CM275" s="4585"/>
      <c r="CN275" s="1104">
        <f>IF(CL275=0,0,(CM275-CL275)/CL275*100)</f>
        <v>0</v>
      </c>
      <c r="CO275" s="4585"/>
      <c r="CP275" s="4585"/>
      <c r="CQ275" s="1104">
        <f>IF(CO275=0,0,(CP275-CO275)/CO275*100)</f>
        <v>0</v>
      </c>
      <c r="CR275" s="4585"/>
      <c r="CS275" s="4585"/>
      <c r="CT275" s="1104">
        <f>IF(CR275=0,0,(CS275-CR275)/CR275*100)</f>
        <v>0</v>
      </c>
      <c r="CU275" s="4585"/>
      <c r="CV275" s="4585"/>
      <c r="CW275" s="1104">
        <f>IF(CU275=0,0,(CV275-CU275)/CU275*100)</f>
        <v>0</v>
      </c>
      <c r="CX275" s="4585"/>
      <c r="CY275" s="4585"/>
      <c r="CZ275" s="1104">
        <f>IF(CX275=0,0,(CY275-CX275)/CX275*100)</f>
        <v>0</v>
      </c>
      <c r="DA275" s="4585"/>
      <c r="DB275" s="4585"/>
      <c r="DC275" s="1104">
        <f>IF(DA275=0,0,(DB275-DA275)/DA275*100)</f>
        <v>0</v>
      </c>
      <c r="DD275" s="4585"/>
      <c r="DE275" s="4585"/>
      <c r="DF275" s="1104">
        <f>IF(DD275=0,0,(DE275-DD275)/DD275*100)</f>
        <v>0</v>
      </c>
      <c r="DG275" s="4585"/>
      <c r="DH275" s="4585"/>
      <c r="DI275" s="1104">
        <f>IF(DG275=0,0,(DH275-DG275)/DG275*100)</f>
        <v>0</v>
      </c>
      <c r="DJ275" s="4585"/>
      <c r="DK275" s="4585"/>
      <c r="DL275" s="1104">
        <f>IF(DJ275=0,0,(DK275-DJ275)/DJ275*100)</f>
        <v>0</v>
      </c>
      <c r="DM275" s="4585"/>
      <c r="DN275" s="4585"/>
      <c r="DO275" s="1104">
        <f>IF(DM275=0,0,(DN275-DM275)/DM275*100)</f>
        <v>0</v>
      </c>
      <c r="DP275" s="4585"/>
      <c r="DQ275" s="4585"/>
      <c r="DR275" s="1104">
        <f>IF(DP275=0,0,(DQ275-DP275)/DP275*100)</f>
        <v>0</v>
      </c>
      <c r="DS275" s="4585"/>
      <c r="DT275" s="4585"/>
      <c r="DU275" s="1104">
        <f>IF(DS275=0,0,(DT275-DS275)/DS275*100)</f>
        <v>0</v>
      </c>
      <c r="DV275" s="4585"/>
      <c r="DW275" s="4585"/>
      <c r="DX275" s="1104">
        <f>IF(DV275=0,0,(DW275-DV275)/DV275*100)</f>
        <v>0</v>
      </c>
      <c r="DY275" s="4585"/>
      <c r="DZ275" s="4585"/>
      <c r="EA275" s="1104">
        <f>IF(DY275=0,0,(DZ275-DY275)/DY275*100)</f>
        <v>0</v>
      </c>
      <c r="EB275" s="4585"/>
      <c r="EC275" s="4585"/>
      <c r="ED275" s="1104">
        <f>IF(EB275=0,0,(EC275-EB275)/EB275*100)</f>
        <v>0</v>
      </c>
      <c r="EE275" s="4585"/>
      <c r="EF275" s="4585"/>
      <c r="EG275" s="1104">
        <f>IF(EE275=0,0,(EF275-EE275)/EE275*100)</f>
        <v>0</v>
      </c>
      <c r="EH275" s="4585"/>
      <c r="EI275" s="4585"/>
      <c r="EJ275" s="1104">
        <f>IF(EH275=0,0,(EI275-EH275)/EH275*100)</f>
        <v>0</v>
      </c>
      <c r="EK275" s="4585"/>
      <c r="EL275" s="4585"/>
      <c r="EM275" s="1104">
        <f>IF(EK275=0,0,(EL275-EK275)/EK275*100)</f>
        <v>0</v>
      </c>
      <c r="EN275" s="4585"/>
      <c r="EO275" s="4585"/>
      <c r="EP275" s="1104">
        <f>IF(EN275=0,0,(EO275-EN275)/EN275*100)</f>
        <v>0</v>
      </c>
      <c r="EQ275" s="4585"/>
      <c r="ER275" s="4585"/>
      <c r="ES275" s="1104">
        <f>IF(EQ275=0,0,(ER275-EQ275)/EQ275*100)</f>
        <v>0</v>
      </c>
      <c r="ET275" s="4585"/>
      <c r="EU275" s="4585"/>
      <c r="EV275" s="1104">
        <f>IF(ET275=0,0,(EU275-ET275)/ET275*100)</f>
        <v>0</v>
      </c>
      <c r="EW275" s="4585"/>
      <c r="EX275" s="4585"/>
      <c r="EY275" s="1104">
        <f>IF(EW275=0,0,(EX275-EW275)/EW275*100)</f>
        <v>0</v>
      </c>
      <c r="EZ275" s="4585"/>
      <c r="FA275" s="4585"/>
      <c r="FB275" s="1104">
        <f>IF(EZ275=0,0,(FA275-EZ275)/EZ275*100)</f>
        <v>0</v>
      </c>
      <c r="FC275" s="4585"/>
      <c r="FD275" s="4585"/>
      <c r="FE275" s="1104">
        <f>IF(FC275=0,0,(FD275-FC275)/FC275*100)</f>
        <v>0</v>
      </c>
      <c r="FF275" s="4585"/>
      <c r="FG275" s="4585"/>
      <c r="FH275" s="1104">
        <f>IF(FF275=0,0,(FG275-FF275)/FF275*100)</f>
        <v>0</v>
      </c>
      <c r="FI275" s="4585"/>
      <c r="FJ275" s="4585"/>
      <c r="FK275" s="1104">
        <f>IF(FI275=0,0,(FJ275-FI275)/FI275*100)</f>
        <v>0</v>
      </c>
      <c r="FL275" s="4585"/>
      <c r="FM275" s="4585"/>
      <c r="FN275" s="1104">
        <f>IF(FL275=0,0,(FM275-FL275)/FL275*100)</f>
        <v>0</v>
      </c>
      <c r="FO275" s="4585"/>
      <c r="FP275" s="4585"/>
      <c r="FQ275" s="1104">
        <f>IF(FO275=0,0,(FP275-FO275)/FO275*100)</f>
        <v>0</v>
      </c>
      <c r="FR275" s="4585"/>
      <c r="FS275" s="4585"/>
      <c r="FT275" s="1104">
        <f>IF(FR275=0,0,(FS275-FR275)/FR275*100)</f>
        <v>0</v>
      </c>
      <c r="FU275" s="4585"/>
      <c r="FV275" s="4585"/>
      <c r="FW275" s="1104">
        <f>IF(FU275=0,0,(FV275-FU275)/FU275*100)</f>
        <v>0</v>
      </c>
      <c r="FX275" s="1328"/>
      <c r="FY275" s="1328"/>
      <c r="FZ275" s="1063" t="s">
        <v>1919</v>
      </c>
      <c r="GA275" s="1330"/>
      <c r="GB275" s="1330"/>
      <c r="GC275" s="1329"/>
      <c r="GD275" s="1329"/>
    </row>
    <row s="1656" customFormat="1" customHeight="1" ht="21.75" hidden="1">
      <c r="A276" s="496"/>
      <c r="B276" s="932" cm="1" t="str">
        <f t="array" ref="B276:B276">B275</f>
        <v>false</v>
      </c>
      <c r="C276" s="496"/>
      <c r="D276" s="496"/>
      <c r="E276" s="847">
        <v>22.5</v>
      </c>
      <c r="F276" s="50" cm="1" t="str">
        <f t="array" ref="F276:F276">OFFSET(E276,-1,1)</f>
        <v>3</v>
      </c>
      <c r="G276" s="496"/>
      <c r="H276" s="496" t="s">
        <v>1901</v>
      </c>
      <c r="I276" s="496" t="s">
        <v>1875</v>
      </c>
      <c r="J276" s="496"/>
      <c r="K276" s="496"/>
      <c r="L276" s="496"/>
      <c r="M276" s="496"/>
      <c r="N276" s="496"/>
      <c r="O276" s="496"/>
      <c r="P276" s="496"/>
      <c r="Q276" s="496"/>
      <c r="R276" s="496"/>
      <c r="S276" s="496"/>
      <c r="T276" s="468" cm="1" t="str">
        <f t="array" ref="T276:T276">T275</f>
        <v>true</v>
      </c>
      <c r="U276" s="496"/>
      <c r="V276" s="496"/>
      <c r="W276" s="496"/>
      <c r="X276" s="1559"/>
      <c r="Y276" s="496"/>
      <c r="Z276" s="1528"/>
      <c r="AA276" s="496"/>
      <c r="AB276" s="1100" t="str">
        <f>"ставка платы за содержание системы "&amp;IF(Q242="Водоснабжение","холодного водоснабжения","водоотведения")</f>
        <v>ставка платы за содержание системы водоотведения</v>
      </c>
      <c r="AC276" s="871" t="s">
        <v>1902</v>
      </c>
      <c r="AD276" s="4591"/>
      <c r="AE276" s="4591"/>
      <c r="AF276" s="1102">
        <f>IF(AD276=0,0,(AE276-AD276)/AD276*100)</f>
        <v>0</v>
      </c>
      <c r="AG276" s="4591"/>
      <c r="AH276" s="4591"/>
      <c r="AI276" s="1102">
        <f>IF(AG276=0,0,(AH276-AG276)/AG276*100)</f>
        <v>0</v>
      </c>
      <c r="AJ276" s="4591"/>
      <c r="AK276" s="4591"/>
      <c r="AL276" s="1102">
        <f>IF(AJ276=0,0,(AK276-AJ276)/AJ276*100)</f>
        <v>0</v>
      </c>
      <c r="AM276" s="4591"/>
      <c r="AN276" s="4591"/>
      <c r="AO276" s="1102">
        <f>IF(AM276=0,0,(AN276-AM276)/AM276*100)</f>
        <v>0</v>
      </c>
      <c r="AP276" s="4591"/>
      <c r="AQ276" s="4591"/>
      <c r="AR276" s="1102">
        <f>IF(AP276=0,0,(AQ276-AP276)/AP276*100)</f>
        <v>0</v>
      </c>
      <c r="AS276" s="4591"/>
      <c r="AT276" s="4591"/>
      <c r="AU276" s="1102">
        <f>IF(AS276=0,0,(AT276-AS276)/AS276*100)</f>
        <v>0</v>
      </c>
      <c r="AV276" s="4591"/>
      <c r="AW276" s="4591"/>
      <c r="AX276" s="1102">
        <f>IF(AV276=0,0,(AW276-AV276)/AV276*100)</f>
        <v>0</v>
      </c>
      <c r="AY276" s="4591"/>
      <c r="AZ276" s="4591"/>
      <c r="BA276" s="1102">
        <f>IF(AY276=0,0,(AZ276-AY276)/AY276*100)</f>
        <v>0</v>
      </c>
      <c r="BB276" s="4591"/>
      <c r="BC276" s="4591"/>
      <c r="BD276" s="1102">
        <f>IF(BB276=0,0,(BC276-BB276)/BB276*100)</f>
        <v>0</v>
      </c>
      <c r="BE276" s="4591"/>
      <c r="BF276" s="4591"/>
      <c r="BG276" s="1102">
        <f>IF(BE276=0,0,(BF276-BE276)/BE276*100)</f>
        <v>0</v>
      </c>
      <c r="BH276" s="4591"/>
      <c r="BI276" s="4591"/>
      <c r="BJ276" s="1102">
        <f>IF(BH276=0,0,(BI276-BH276)/BH276*100)</f>
        <v>0</v>
      </c>
      <c r="BK276" s="4591"/>
      <c r="BL276" s="4591"/>
      <c r="BM276" s="1102">
        <f>IF(BK276=0,0,(BL276-BK276)/BK276*100)</f>
        <v>0</v>
      </c>
      <c r="BN276" s="4591"/>
      <c r="BO276" s="4591"/>
      <c r="BP276" s="1102">
        <f>IF(BN276=0,0,(BO276-BN276)/BN276*100)</f>
        <v>0</v>
      </c>
      <c r="BQ276" s="4591"/>
      <c r="BR276" s="4591"/>
      <c r="BS276" s="1102">
        <f>IF(BQ276=0,0,(BR276-BQ276)/BQ276*100)</f>
        <v>0</v>
      </c>
      <c r="BT276" s="4591"/>
      <c r="BU276" s="4591"/>
      <c r="BV276" s="1102">
        <f>IF(BT276=0,0,(BU276-BT276)/BT276*100)</f>
        <v>0</v>
      </c>
      <c r="BW276" s="4591"/>
      <c r="BX276" s="4591"/>
      <c r="BY276" s="1102">
        <f>IF(BW276=0,0,(BX276-BW276)/BW276*100)</f>
        <v>0</v>
      </c>
      <c r="BZ276" s="4591"/>
      <c r="CA276" s="4591"/>
      <c r="CB276" s="1102">
        <f>IF(BZ276=0,0,(CA276-BZ276)/BZ276*100)</f>
        <v>0</v>
      </c>
      <c r="CC276" s="4591"/>
      <c r="CD276" s="4591"/>
      <c r="CE276" s="1102">
        <f>IF(CC276=0,0,(CD276-CC276)/CC276*100)</f>
        <v>0</v>
      </c>
      <c r="CF276" s="4591"/>
      <c r="CG276" s="4591"/>
      <c r="CH276" s="1102">
        <f>IF(CF276=0,0,(CG276-CF276)/CF276*100)</f>
        <v>0</v>
      </c>
      <c r="CI276" s="4591"/>
      <c r="CJ276" s="4591"/>
      <c r="CK276" s="1102">
        <f>IF(CI276=0,0,(CJ276-CI276)/CI276*100)</f>
        <v>0</v>
      </c>
      <c r="CL276" s="4591"/>
      <c r="CM276" s="4591"/>
      <c r="CN276" s="1102">
        <f>IF(CL276=0,0,(CM276-CL276)/CL276*100)</f>
        <v>0</v>
      </c>
      <c r="CO276" s="4591"/>
      <c r="CP276" s="4591"/>
      <c r="CQ276" s="1102">
        <f>IF(CO276=0,0,(CP276-CO276)/CO276*100)</f>
        <v>0</v>
      </c>
      <c r="CR276" s="4591"/>
      <c r="CS276" s="4591"/>
      <c r="CT276" s="1102">
        <f>IF(CR276=0,0,(CS276-CR276)/CR276*100)</f>
        <v>0</v>
      </c>
      <c r="CU276" s="4591"/>
      <c r="CV276" s="4591"/>
      <c r="CW276" s="1102">
        <f>IF(CU276=0,0,(CV276-CU276)/CU276*100)</f>
        <v>0</v>
      </c>
      <c r="CX276" s="4591"/>
      <c r="CY276" s="4591"/>
      <c r="CZ276" s="1102">
        <f>IF(CX276=0,0,(CY276-CX276)/CX276*100)</f>
        <v>0</v>
      </c>
      <c r="DA276" s="4591"/>
      <c r="DB276" s="4591"/>
      <c r="DC276" s="1102">
        <f>IF(DA276=0,0,(DB276-DA276)/DA276*100)</f>
        <v>0</v>
      </c>
      <c r="DD276" s="4591"/>
      <c r="DE276" s="4591"/>
      <c r="DF276" s="1102">
        <f>IF(DD276=0,0,(DE276-DD276)/DD276*100)</f>
        <v>0</v>
      </c>
      <c r="DG276" s="4591"/>
      <c r="DH276" s="4591"/>
      <c r="DI276" s="1102">
        <f>IF(DG276=0,0,(DH276-DG276)/DG276*100)</f>
        <v>0</v>
      </c>
      <c r="DJ276" s="4591"/>
      <c r="DK276" s="4591"/>
      <c r="DL276" s="1102">
        <f>IF(DJ276=0,0,(DK276-DJ276)/DJ276*100)</f>
        <v>0</v>
      </c>
      <c r="DM276" s="4591"/>
      <c r="DN276" s="4591"/>
      <c r="DO276" s="1102">
        <f>IF(DM276=0,0,(DN276-DM276)/DM276*100)</f>
        <v>0</v>
      </c>
      <c r="DP276" s="4591"/>
      <c r="DQ276" s="4591"/>
      <c r="DR276" s="1102">
        <f>IF(DP276=0,0,(DQ276-DP276)/DP276*100)</f>
        <v>0</v>
      </c>
      <c r="DS276" s="4591"/>
      <c r="DT276" s="4591"/>
      <c r="DU276" s="1102">
        <f>IF(DS276=0,0,(DT276-DS276)/DS276*100)</f>
        <v>0</v>
      </c>
      <c r="DV276" s="4591"/>
      <c r="DW276" s="4591"/>
      <c r="DX276" s="1102">
        <f>IF(DV276=0,0,(DW276-DV276)/DV276*100)</f>
        <v>0</v>
      </c>
      <c r="DY276" s="4591"/>
      <c r="DZ276" s="4591"/>
      <c r="EA276" s="1102">
        <f>IF(DY276=0,0,(DZ276-DY276)/DY276*100)</f>
        <v>0</v>
      </c>
      <c r="EB276" s="4591"/>
      <c r="EC276" s="4591"/>
      <c r="ED276" s="1102">
        <f>IF(EB276=0,0,(EC276-EB276)/EB276*100)</f>
        <v>0</v>
      </c>
      <c r="EE276" s="4591"/>
      <c r="EF276" s="4591"/>
      <c r="EG276" s="1102">
        <f>IF(EE276=0,0,(EF276-EE276)/EE276*100)</f>
        <v>0</v>
      </c>
      <c r="EH276" s="4591"/>
      <c r="EI276" s="4591"/>
      <c r="EJ276" s="1102">
        <f>IF(EH276=0,0,(EI276-EH276)/EH276*100)</f>
        <v>0</v>
      </c>
      <c r="EK276" s="4591"/>
      <c r="EL276" s="4591"/>
      <c r="EM276" s="1102">
        <f>IF(EK276=0,0,(EL276-EK276)/EK276*100)</f>
        <v>0</v>
      </c>
      <c r="EN276" s="4591"/>
      <c r="EO276" s="4591"/>
      <c r="EP276" s="1102">
        <f>IF(EN276=0,0,(EO276-EN276)/EN276*100)</f>
        <v>0</v>
      </c>
      <c r="EQ276" s="4591"/>
      <c r="ER276" s="4591"/>
      <c r="ES276" s="1102">
        <f>IF(EQ276=0,0,(ER276-EQ276)/EQ276*100)</f>
        <v>0</v>
      </c>
      <c r="ET276" s="4591"/>
      <c r="EU276" s="4591"/>
      <c r="EV276" s="1102">
        <f>IF(ET276=0,0,(EU276-ET276)/ET276*100)</f>
        <v>0</v>
      </c>
      <c r="EW276" s="4591"/>
      <c r="EX276" s="4591"/>
      <c r="EY276" s="1102">
        <f>IF(EW276=0,0,(EX276-EW276)/EW276*100)</f>
        <v>0</v>
      </c>
      <c r="EZ276" s="4591"/>
      <c r="FA276" s="4591"/>
      <c r="FB276" s="1102">
        <f>IF(EZ276=0,0,(FA276-EZ276)/EZ276*100)</f>
        <v>0</v>
      </c>
      <c r="FC276" s="4591"/>
      <c r="FD276" s="4591"/>
      <c r="FE276" s="1102">
        <f>IF(FC276=0,0,(FD276-FC276)/FC276*100)</f>
        <v>0</v>
      </c>
      <c r="FF276" s="4591"/>
      <c r="FG276" s="4591"/>
      <c r="FH276" s="1102">
        <f>IF(FF276=0,0,(FG276-FF276)/FF276*100)</f>
        <v>0</v>
      </c>
      <c r="FI276" s="4591"/>
      <c r="FJ276" s="4591"/>
      <c r="FK276" s="1102">
        <f>IF(FI276=0,0,(FJ276-FI276)/FI276*100)</f>
        <v>0</v>
      </c>
      <c r="FL276" s="4591"/>
      <c r="FM276" s="4591"/>
      <c r="FN276" s="1102">
        <f>IF(FL276=0,0,(FM276-FL276)/FL276*100)</f>
        <v>0</v>
      </c>
      <c r="FO276" s="4591"/>
      <c r="FP276" s="4591"/>
      <c r="FQ276" s="1102">
        <f>IF(FO276=0,0,(FP276-FO276)/FO276*100)</f>
        <v>0</v>
      </c>
      <c r="FR276" s="4591"/>
      <c r="FS276" s="4591"/>
      <c r="FT276" s="1102">
        <f>IF(FR276=0,0,(FS276-FR276)/FR276*100)</f>
        <v>0</v>
      </c>
      <c r="FU276" s="4591"/>
      <c r="FV276" s="4591"/>
      <c r="FW276" s="1102">
        <f>IF(FU276=0,0,(FV276-FU276)/FU276*100)</f>
        <v>0</v>
      </c>
      <c r="FX276" s="1328"/>
      <c r="FY276" s="1328"/>
      <c r="FZ276" s="1063" t="s">
        <v>1920</v>
      </c>
      <c r="GA276" s="1330"/>
      <c r="GB276" s="1330"/>
      <c r="GC276" s="1329"/>
      <c r="GD276" s="1329"/>
    </row>
    <row s="1656" customFormat="1" customHeight="1" ht="14.25" hidden="1">
      <c r="A277" s="496"/>
      <c r="B277" s="932" cm="1" t="str">
        <f t="array" ref="B277:B277">B276</f>
        <v>false</v>
      </c>
      <c r="C277" s="496"/>
      <c r="D277" s="496"/>
      <c r="E277" s="847">
        <v>15</v>
      </c>
      <c r="F277" s="50" cm="1" t="str">
        <f t="array" ref="F277:F277">OFFSET(E277,-1,1)</f>
        <v>3</v>
      </c>
      <c r="G277" s="496"/>
      <c r="H277" s="496" t="s">
        <v>1904</v>
      </c>
      <c r="I277" s="496" t="s">
        <v>1875</v>
      </c>
      <c r="J277" s="496"/>
      <c r="K277" s="496"/>
      <c r="L277" s="496"/>
      <c r="M277" s="496"/>
      <c r="N277" s="496"/>
      <c r="O277" s="496"/>
      <c r="P277" s="496"/>
      <c r="Q277" s="496"/>
      <c r="R277" s="496"/>
      <c r="S277" s="496"/>
      <c r="T277" s="468" cm="1" t="str">
        <f t="array" ref="T277:T277">T276</f>
        <v>true</v>
      </c>
      <c r="U277" s="496"/>
      <c r="V277" s="496"/>
      <c r="W277" s="496"/>
      <c r="X277" s="1559"/>
      <c r="Y277" s="496"/>
      <c r="Z277" s="1528"/>
      <c r="AA277" s="496"/>
      <c r="AB277" s="1100" t="s">
        <v>1905</v>
      </c>
      <c r="AC277" s="871" t="s">
        <v>1906</v>
      </c>
      <c r="AD277" s="4591"/>
      <c r="AE277" s="4591"/>
      <c r="AF277" s="1102">
        <f>IF(AD277=0,0,(AE277-AD277)/AD277*100)</f>
        <v>0</v>
      </c>
      <c r="AG277" s="4591"/>
      <c r="AH277" s="4591"/>
      <c r="AI277" s="1102">
        <f>IF(AG277=0,0,(AH277-AG277)/AG277*100)</f>
        <v>0</v>
      </c>
      <c r="AJ277" s="4591"/>
      <c r="AK277" s="4591"/>
      <c r="AL277" s="1102">
        <f>IF(AJ277=0,0,(AK277-AJ277)/AJ277*100)</f>
        <v>0</v>
      </c>
      <c r="AM277" s="4591"/>
      <c r="AN277" s="4591"/>
      <c r="AO277" s="1102">
        <f>IF(AM277=0,0,(AN277-AM277)/AM277*100)</f>
        <v>0</v>
      </c>
      <c r="AP277" s="4591"/>
      <c r="AQ277" s="4591"/>
      <c r="AR277" s="1102">
        <f>IF(AP277=0,0,(AQ277-AP277)/AP277*100)</f>
        <v>0</v>
      </c>
      <c r="AS277" s="4591"/>
      <c r="AT277" s="4591"/>
      <c r="AU277" s="1102">
        <f>IF(AS277=0,0,(AT277-AS277)/AS277*100)</f>
        <v>0</v>
      </c>
      <c r="AV277" s="4591"/>
      <c r="AW277" s="4591"/>
      <c r="AX277" s="1102">
        <f>IF(AV277=0,0,(AW277-AV277)/AV277*100)</f>
        <v>0</v>
      </c>
      <c r="AY277" s="4591"/>
      <c r="AZ277" s="4591"/>
      <c r="BA277" s="1102">
        <f>IF(AY277=0,0,(AZ277-AY277)/AY277*100)</f>
        <v>0</v>
      </c>
      <c r="BB277" s="4591"/>
      <c r="BC277" s="4591"/>
      <c r="BD277" s="1102">
        <f>IF(BB277=0,0,(BC277-BB277)/BB277*100)</f>
        <v>0</v>
      </c>
      <c r="BE277" s="4591"/>
      <c r="BF277" s="4591"/>
      <c r="BG277" s="1102">
        <f>IF(BE277=0,0,(BF277-BE277)/BE277*100)</f>
        <v>0</v>
      </c>
      <c r="BH277" s="4591"/>
      <c r="BI277" s="4591"/>
      <c r="BJ277" s="1102">
        <f>IF(BH277=0,0,(BI277-BH277)/BH277*100)</f>
        <v>0</v>
      </c>
      <c r="BK277" s="4591"/>
      <c r="BL277" s="4591"/>
      <c r="BM277" s="1102">
        <f>IF(BK277=0,0,(BL277-BK277)/BK277*100)</f>
        <v>0</v>
      </c>
      <c r="BN277" s="4591"/>
      <c r="BO277" s="4591"/>
      <c r="BP277" s="1102">
        <f>IF(BN277=0,0,(BO277-BN277)/BN277*100)</f>
        <v>0</v>
      </c>
      <c r="BQ277" s="4591"/>
      <c r="BR277" s="4591"/>
      <c r="BS277" s="1102">
        <f>IF(BQ277=0,0,(BR277-BQ277)/BQ277*100)</f>
        <v>0</v>
      </c>
      <c r="BT277" s="4591"/>
      <c r="BU277" s="4591"/>
      <c r="BV277" s="1102">
        <f>IF(BT277=0,0,(BU277-BT277)/BT277*100)</f>
        <v>0</v>
      </c>
      <c r="BW277" s="4591"/>
      <c r="BX277" s="4591"/>
      <c r="BY277" s="1102">
        <f>IF(BW277=0,0,(BX277-BW277)/BW277*100)</f>
        <v>0</v>
      </c>
      <c r="BZ277" s="4591"/>
      <c r="CA277" s="4591"/>
      <c r="CB277" s="1102">
        <f>IF(BZ277=0,0,(CA277-BZ277)/BZ277*100)</f>
        <v>0</v>
      </c>
      <c r="CC277" s="4591"/>
      <c r="CD277" s="4591"/>
      <c r="CE277" s="1102">
        <f>IF(CC277=0,0,(CD277-CC277)/CC277*100)</f>
        <v>0</v>
      </c>
      <c r="CF277" s="4591"/>
      <c r="CG277" s="4591"/>
      <c r="CH277" s="1102">
        <f>IF(CF277=0,0,(CG277-CF277)/CF277*100)</f>
        <v>0</v>
      </c>
      <c r="CI277" s="4591"/>
      <c r="CJ277" s="4591"/>
      <c r="CK277" s="1102">
        <f>IF(CI277=0,0,(CJ277-CI277)/CI277*100)</f>
        <v>0</v>
      </c>
      <c r="CL277" s="4591"/>
      <c r="CM277" s="4591"/>
      <c r="CN277" s="1102">
        <f>IF(CL277=0,0,(CM277-CL277)/CL277*100)</f>
        <v>0</v>
      </c>
      <c r="CO277" s="4591"/>
      <c r="CP277" s="4591"/>
      <c r="CQ277" s="1102">
        <f>IF(CO277=0,0,(CP277-CO277)/CO277*100)</f>
        <v>0</v>
      </c>
      <c r="CR277" s="4591"/>
      <c r="CS277" s="4591"/>
      <c r="CT277" s="1102">
        <f>IF(CR277=0,0,(CS277-CR277)/CR277*100)</f>
        <v>0</v>
      </c>
      <c r="CU277" s="4591"/>
      <c r="CV277" s="4591"/>
      <c r="CW277" s="1102">
        <f>IF(CU277=0,0,(CV277-CU277)/CU277*100)</f>
        <v>0</v>
      </c>
      <c r="CX277" s="4591"/>
      <c r="CY277" s="4591"/>
      <c r="CZ277" s="1102">
        <f>IF(CX277=0,0,(CY277-CX277)/CX277*100)</f>
        <v>0</v>
      </c>
      <c r="DA277" s="4591"/>
      <c r="DB277" s="4591"/>
      <c r="DC277" s="1102">
        <f>IF(DA277=0,0,(DB277-DA277)/DA277*100)</f>
        <v>0</v>
      </c>
      <c r="DD277" s="4591"/>
      <c r="DE277" s="4591"/>
      <c r="DF277" s="1102">
        <f>IF(DD277=0,0,(DE277-DD277)/DD277*100)</f>
        <v>0</v>
      </c>
      <c r="DG277" s="4591"/>
      <c r="DH277" s="4591"/>
      <c r="DI277" s="1102">
        <f>IF(DG277=0,0,(DH277-DG277)/DG277*100)</f>
        <v>0</v>
      </c>
      <c r="DJ277" s="4591"/>
      <c r="DK277" s="4591"/>
      <c r="DL277" s="1102">
        <f>IF(DJ277=0,0,(DK277-DJ277)/DJ277*100)</f>
        <v>0</v>
      </c>
      <c r="DM277" s="4591"/>
      <c r="DN277" s="4591"/>
      <c r="DO277" s="1102">
        <f>IF(DM277=0,0,(DN277-DM277)/DM277*100)</f>
        <v>0</v>
      </c>
      <c r="DP277" s="4591"/>
      <c r="DQ277" s="4591"/>
      <c r="DR277" s="1102">
        <f>IF(DP277=0,0,(DQ277-DP277)/DP277*100)</f>
        <v>0</v>
      </c>
      <c r="DS277" s="4591"/>
      <c r="DT277" s="4591"/>
      <c r="DU277" s="1102">
        <f>IF(DS277=0,0,(DT277-DS277)/DS277*100)</f>
        <v>0</v>
      </c>
      <c r="DV277" s="4591"/>
      <c r="DW277" s="4591"/>
      <c r="DX277" s="1102">
        <f>IF(DV277=0,0,(DW277-DV277)/DV277*100)</f>
        <v>0</v>
      </c>
      <c r="DY277" s="4591"/>
      <c r="DZ277" s="4591"/>
      <c r="EA277" s="1102">
        <f>IF(DY277=0,0,(DZ277-DY277)/DY277*100)</f>
        <v>0</v>
      </c>
      <c r="EB277" s="4591"/>
      <c r="EC277" s="4591"/>
      <c r="ED277" s="1102">
        <f>IF(EB277=0,0,(EC277-EB277)/EB277*100)</f>
        <v>0</v>
      </c>
      <c r="EE277" s="4591"/>
      <c r="EF277" s="4591"/>
      <c r="EG277" s="1102">
        <f>IF(EE277=0,0,(EF277-EE277)/EE277*100)</f>
        <v>0</v>
      </c>
      <c r="EH277" s="4591"/>
      <c r="EI277" s="4591"/>
      <c r="EJ277" s="1102">
        <f>IF(EH277=0,0,(EI277-EH277)/EH277*100)</f>
        <v>0</v>
      </c>
      <c r="EK277" s="4591"/>
      <c r="EL277" s="4591"/>
      <c r="EM277" s="1102">
        <f>IF(EK277=0,0,(EL277-EK277)/EK277*100)</f>
        <v>0</v>
      </c>
      <c r="EN277" s="4591"/>
      <c r="EO277" s="4591"/>
      <c r="EP277" s="1102">
        <f>IF(EN277=0,0,(EO277-EN277)/EN277*100)</f>
        <v>0</v>
      </c>
      <c r="EQ277" s="4591"/>
      <c r="ER277" s="4591"/>
      <c r="ES277" s="1102">
        <f>IF(EQ277=0,0,(ER277-EQ277)/EQ277*100)</f>
        <v>0</v>
      </c>
      <c r="ET277" s="4591"/>
      <c r="EU277" s="4591"/>
      <c r="EV277" s="1102">
        <f>IF(ET277=0,0,(EU277-ET277)/ET277*100)</f>
        <v>0</v>
      </c>
      <c r="EW277" s="4591"/>
      <c r="EX277" s="4591"/>
      <c r="EY277" s="1102">
        <f>IF(EW277=0,0,(EX277-EW277)/EW277*100)</f>
        <v>0</v>
      </c>
      <c r="EZ277" s="4591"/>
      <c r="FA277" s="4591"/>
      <c r="FB277" s="1102">
        <f>IF(EZ277=0,0,(FA277-EZ277)/EZ277*100)</f>
        <v>0</v>
      </c>
      <c r="FC277" s="4591"/>
      <c r="FD277" s="4591"/>
      <c r="FE277" s="1102">
        <f>IF(FC277=0,0,(FD277-FC277)/FC277*100)</f>
        <v>0</v>
      </c>
      <c r="FF277" s="4591"/>
      <c r="FG277" s="4591"/>
      <c r="FH277" s="1102">
        <f>IF(FF277=0,0,(FG277-FF277)/FF277*100)</f>
        <v>0</v>
      </c>
      <c r="FI277" s="4591"/>
      <c r="FJ277" s="4591"/>
      <c r="FK277" s="1102">
        <f>IF(FI277=0,0,(FJ277-FI277)/FI277*100)</f>
        <v>0</v>
      </c>
      <c r="FL277" s="4591"/>
      <c r="FM277" s="4591"/>
      <c r="FN277" s="1102">
        <f>IF(FL277=0,0,(FM277-FL277)/FL277*100)</f>
        <v>0</v>
      </c>
      <c r="FO277" s="4591"/>
      <c r="FP277" s="4591"/>
      <c r="FQ277" s="1102">
        <f>IF(FO277=0,0,(FP277-FO277)/FO277*100)</f>
        <v>0</v>
      </c>
      <c r="FR277" s="4591"/>
      <c r="FS277" s="4591"/>
      <c r="FT277" s="1102">
        <f>IF(FR277=0,0,(FS277-FR277)/FR277*100)</f>
        <v>0</v>
      </c>
      <c r="FU277" s="4591"/>
      <c r="FV277" s="4591"/>
      <c r="FW277" s="1102">
        <f>IF(FU277=0,0,(FV277-FU277)/FU277*100)</f>
        <v>0</v>
      </c>
      <c r="FX277" s="1328"/>
      <c r="FY277" s="1328"/>
      <c r="FZ277" s="1063" t="s">
        <v>1921</v>
      </c>
      <c r="GA277" s="1330"/>
      <c r="GB277" s="1330"/>
      <c r="GC277" s="1329"/>
      <c r="GD277" s="1329"/>
    </row>
    <row s="1656" customFormat="1" customHeight="1" ht="23.25" hidden="1">
      <c r="A278" s="496"/>
      <c r="B278" s="932" cm="1" t="str">
        <f t="array" ref="B278:B278">B277</f>
        <v>false</v>
      </c>
      <c r="C278" s="496"/>
      <c r="D278" s="496"/>
      <c r="E278" s="847">
        <v>24.5</v>
      </c>
      <c r="F278" s="50" cm="1" t="str">
        <f t="array" ref="F278:F278">OFFSET(E278,-1,1)</f>
        <v>3</v>
      </c>
      <c r="G278" s="496"/>
      <c r="H278" s="496"/>
      <c r="I278" s="496"/>
      <c r="J278" s="496"/>
      <c r="K278" s="496"/>
      <c r="L278" s="496"/>
      <c r="M278" s="496"/>
      <c r="N278" s="496"/>
      <c r="O278" s="496"/>
      <c r="P278" s="496"/>
      <c r="Q278" s="496"/>
      <c r="R278" s="496"/>
      <c r="S278" s="496"/>
      <c r="T278" s="468" cm="1" t="str">
        <f t="array" ref="T278:T278">T277</f>
        <v>true</v>
      </c>
      <c r="U278" s="496"/>
      <c r="V278" s="496"/>
      <c r="W278" s="496"/>
      <c r="X278" s="1559"/>
      <c r="Y278" s="496"/>
      <c r="Z278" s="1528"/>
      <c r="AA278" s="496"/>
      <c r="AB278" s="289" t="s">
        <v>1922</v>
      </c>
      <c r="AC278" s="910"/>
      <c r="AD278" s="1111"/>
      <c r="AE278" s="1111"/>
      <c r="AF278" s="1111"/>
      <c r="AG278" s="1111"/>
      <c r="AH278" s="1111"/>
      <c r="AI278" s="1111"/>
      <c r="AJ278" s="1111"/>
      <c r="AK278" s="1111"/>
      <c r="AL278" s="1111"/>
      <c r="AM278" s="1111"/>
      <c r="AN278" s="1111"/>
      <c r="AO278" s="1111"/>
      <c r="AP278" s="1111"/>
      <c r="AQ278" s="1111"/>
      <c r="AR278" s="1111"/>
      <c r="AS278" s="1111"/>
      <c r="AT278" s="1111"/>
      <c r="AU278" s="1111"/>
      <c r="AV278" s="1111"/>
      <c r="AW278" s="1111"/>
      <c r="AX278" s="1111"/>
      <c r="AY278" s="1111"/>
      <c r="AZ278" s="1111"/>
      <c r="BA278" s="1111"/>
      <c r="BB278" s="1111"/>
      <c r="BC278" s="1111"/>
      <c r="BD278" s="1111"/>
      <c r="BE278" s="1111"/>
      <c r="BF278" s="1111"/>
      <c r="BG278" s="1111"/>
      <c r="BH278" s="1111"/>
      <c r="BI278" s="1111"/>
      <c r="BJ278" s="1111"/>
      <c r="BK278" s="1111"/>
      <c r="BL278" s="1111"/>
      <c r="BM278" s="1111"/>
      <c r="BN278" s="1111"/>
      <c r="BO278" s="1111"/>
      <c r="BP278" s="1111"/>
      <c r="BQ278" s="1111"/>
      <c r="BR278" s="1111"/>
      <c r="BS278" s="1111"/>
      <c r="BT278" s="1111"/>
      <c r="BU278" s="1111"/>
      <c r="BV278" s="1111"/>
      <c r="BW278" s="1111"/>
      <c r="BX278" s="1111"/>
      <c r="BY278" s="1111"/>
      <c r="BZ278" s="1111"/>
      <c r="CA278" s="1111"/>
      <c r="CB278" s="1111"/>
      <c r="CC278" s="1111"/>
      <c r="CD278" s="1111"/>
      <c r="CE278" s="1111"/>
      <c r="CF278" s="1111"/>
      <c r="CG278" s="1111"/>
      <c r="CH278" s="1111"/>
      <c r="CI278" s="1111"/>
      <c r="CJ278" s="1111"/>
      <c r="CK278" s="1111"/>
      <c r="CL278" s="1111"/>
      <c r="CM278" s="1111"/>
      <c r="CN278" s="1111"/>
      <c r="CO278" s="1111"/>
      <c r="CP278" s="1111"/>
      <c r="CQ278" s="1111"/>
      <c r="CR278" s="1111"/>
      <c r="CS278" s="1111"/>
      <c r="CT278" s="1111"/>
      <c r="CU278" s="1111"/>
      <c r="CV278" s="1111"/>
      <c r="CW278" s="1111"/>
      <c r="CX278" s="1111"/>
      <c r="CY278" s="1111"/>
      <c r="CZ278" s="1111"/>
      <c r="DA278" s="1111"/>
      <c r="DB278" s="1111"/>
      <c r="DC278" s="1111"/>
      <c r="DD278" s="1111"/>
      <c r="DE278" s="1111"/>
      <c r="DF278" s="1111"/>
      <c r="DG278" s="1111"/>
      <c r="DH278" s="1111"/>
      <c r="DI278" s="1111"/>
      <c r="DJ278" s="1111"/>
      <c r="DK278" s="1111"/>
      <c r="DL278" s="1111"/>
      <c r="DM278" s="1111"/>
      <c r="DN278" s="1111"/>
      <c r="DO278" s="1111"/>
      <c r="DP278" s="1111"/>
      <c r="DQ278" s="1111"/>
      <c r="DR278" s="1111"/>
      <c r="DS278" s="1111"/>
      <c r="DT278" s="1111"/>
      <c r="DU278" s="1111"/>
      <c r="DV278" s="1111"/>
      <c r="DW278" s="1111"/>
      <c r="DX278" s="1111"/>
      <c r="DY278" s="1111"/>
      <c r="DZ278" s="1111"/>
      <c r="EA278" s="1111"/>
      <c r="EB278" s="1111"/>
      <c r="EC278" s="1111"/>
      <c r="ED278" s="1111"/>
      <c r="EE278" s="1111"/>
      <c r="EF278" s="1111"/>
      <c r="EG278" s="1111"/>
      <c r="EH278" s="1111"/>
      <c r="EI278" s="1111"/>
      <c r="EJ278" s="1111"/>
      <c r="EK278" s="1111"/>
      <c r="EL278" s="1111"/>
      <c r="EM278" s="1111"/>
      <c r="EN278" s="1111"/>
      <c r="EO278" s="1111"/>
      <c r="EP278" s="1111"/>
      <c r="EQ278" s="1111"/>
      <c r="ER278" s="1111"/>
      <c r="ES278" s="1111"/>
      <c r="ET278" s="1111"/>
      <c r="EU278" s="1111"/>
      <c r="EV278" s="1111"/>
      <c r="EW278" s="1111"/>
      <c r="EX278" s="1111"/>
      <c r="EY278" s="1111"/>
      <c r="EZ278" s="1111"/>
      <c r="FA278" s="1111"/>
      <c r="FB278" s="1111"/>
      <c r="FC278" s="1111"/>
      <c r="FD278" s="1111"/>
      <c r="FE278" s="1111"/>
      <c r="FF278" s="1111"/>
      <c r="FG278" s="1111"/>
      <c r="FH278" s="1111"/>
      <c r="FI278" s="1111"/>
      <c r="FJ278" s="1111"/>
      <c r="FK278" s="1111"/>
      <c r="FL278" s="1111"/>
      <c r="FM278" s="1111"/>
      <c r="FN278" s="1111"/>
      <c r="FO278" s="1111"/>
      <c r="FP278" s="1111"/>
      <c r="FQ278" s="1111"/>
      <c r="FR278" s="1111"/>
      <c r="FS278" s="1111"/>
      <c r="FT278" s="1111"/>
      <c r="FU278" s="1111"/>
      <c r="FV278" s="1111"/>
      <c r="FW278" s="1112"/>
      <c r="FX278" s="1328"/>
      <c r="FY278" s="1328"/>
      <c r="FZ278" s="1063"/>
      <c r="GA278" s="1330"/>
      <c r="GB278" s="1330"/>
      <c r="GC278" s="1329"/>
      <c r="GD278" s="1329"/>
    </row>
    <row s="1656" customFormat="1" customHeight="1" ht="14.25" hidden="1">
      <c r="A279" s="496"/>
      <c r="B279" s="932" cm="1" t="str">
        <f t="array" ref="B279:B279">B278</f>
        <v>false</v>
      </c>
      <c r="C279" s="496"/>
      <c r="D279" s="496"/>
      <c r="E279" s="847">
        <v>15</v>
      </c>
      <c r="F279" s="50" cm="1" t="str">
        <f t="array" ref="F279:F279">OFFSET(E279,-1,1)</f>
        <v>3</v>
      </c>
      <c r="G279" s="496"/>
      <c r="H279" s="496" t="s">
        <v>1787</v>
      </c>
      <c r="I279" s="496" t="s">
        <v>1879</v>
      </c>
      <c r="J279" s="496"/>
      <c r="K279" s="496"/>
      <c r="L279" s="496"/>
      <c r="M279" s="496"/>
      <c r="N279" s="496"/>
      <c r="O279" s="496"/>
      <c r="P279" s="496"/>
      <c r="Q279" s="496"/>
      <c r="R279" s="496"/>
      <c r="S279" s="496"/>
      <c r="T279" s="468" cm="1" t="str">
        <f t="array" ref="T279:T279">T278</f>
        <v>true</v>
      </c>
      <c r="U279" s="496"/>
      <c r="V279" s="496"/>
      <c r="W279" s="496"/>
      <c r="X279" s="1559"/>
      <c r="Y279" s="496"/>
      <c r="Z279" s="1528"/>
      <c r="AA279" s="496"/>
      <c r="AB279" s="1100" t="s">
        <v>1895</v>
      </c>
      <c r="AC279" s="871" t="s">
        <v>1862</v>
      </c>
      <c r="AD279" s="4591">
        <f>IF(AD281=0,0,(AD280*AD281+AD282*AD283*IF(god=2026,3,6))/AD281)</f>
        <v>0</v>
      </c>
      <c r="AE279" s="4591">
        <f>IF(AE281=0,0,(AE280*AE281+AE282*AE283*IF(god=2026,3,6))/AE281)</f>
        <v>0</v>
      </c>
      <c r="AF279" s="1102">
        <f>IF(AD279=0,0,(AE279-AD279)/AD279*100)</f>
        <v>0</v>
      </c>
      <c r="AG279" s="4591">
        <f>IF(AG281=0,0,(AG280*AG281+AG282*AG283*IF(god=2025,3,6))/AG281)</f>
        <v>0</v>
      </c>
      <c r="AH279" s="4591">
        <f>IF(AH281=0,0,(AH280*AH281+AH282*AH283*IF(god=2025,3,6))/AH281)</f>
        <v>0</v>
      </c>
      <c r="AI279" s="1102">
        <f>IF(AG279=0,0,(AH279-AG279)/AG279*100)</f>
        <v>0</v>
      </c>
      <c r="AJ279" s="4591">
        <f>IF(AJ281=0,0,(AJ280*AJ281+AJ282*AJ283*6)/AJ281)</f>
        <v>0</v>
      </c>
      <c r="AK279" s="4591">
        <f>IF(AK281=0,0,(AK280*AK281+AK282*AK283*6)/AK281)</f>
        <v>0</v>
      </c>
      <c r="AL279" s="1102">
        <f>IF(AJ279=0,0,(AK279-AJ279)/AJ279*100)</f>
        <v>0</v>
      </c>
      <c r="AM279" s="4591">
        <f>IF(AM281=0,0,(AM280*AM281+AM282*AM283*6)/AM281)</f>
        <v>0</v>
      </c>
      <c r="AN279" s="4591">
        <f>IF(AN281=0,0,(AN280*AN281+AN282*AN283*6)/AN281)</f>
        <v>0</v>
      </c>
      <c r="AO279" s="1102">
        <f>IF(AM279=0,0,(AN279-AM279)/AM279*100)</f>
        <v>0</v>
      </c>
      <c r="AP279" s="4591">
        <f>IF(AP281=0,0,(AP280*AP281+AP282*AP283*6)/AP281)</f>
        <v>0</v>
      </c>
      <c r="AQ279" s="4591">
        <f>IF(AQ281=0,0,(AQ280*AQ281+AQ282*AQ283*6)/AQ281)</f>
        <v>0</v>
      </c>
      <c r="AR279" s="1102">
        <f>IF(AP279=0,0,(AQ279-AP279)/AP279*100)</f>
        <v>0</v>
      </c>
      <c r="AS279" s="4591">
        <f>IF(AS281=0,0,(AS280*AS281+AS282*AS283*6)/AS281)</f>
        <v>0</v>
      </c>
      <c r="AT279" s="4591">
        <f>IF(AT281=0,0,(AT280*AT281+AT282*AT283*6)/AT281)</f>
        <v>0</v>
      </c>
      <c r="AU279" s="1102">
        <f>IF(AS279=0,0,(AT279-AS279)/AS279*100)</f>
        <v>0</v>
      </c>
      <c r="AV279" s="4591">
        <f>IF(AV281=0,0,(AV280*AV281+AV282*AV283*6)/AV281)</f>
        <v>0</v>
      </c>
      <c r="AW279" s="4591">
        <f>IF(AW281=0,0,(AW280*AW281+AW282*AW283*6)/AW281)</f>
        <v>0</v>
      </c>
      <c r="AX279" s="1102">
        <f>IF(AV279=0,0,(AW279-AV279)/AV279*100)</f>
        <v>0</v>
      </c>
      <c r="AY279" s="4591">
        <f>IF(AY281=0,0,(AY280*AY281+AY282*AY283*6)/AY281)</f>
        <v>0</v>
      </c>
      <c r="AZ279" s="4591">
        <f>IF(AZ281=0,0,(AZ280*AZ281+AZ282*AZ283*6)/AZ281)</f>
        <v>0</v>
      </c>
      <c r="BA279" s="1102">
        <f>IF(AY279=0,0,(AZ279-AY279)/AY279*100)</f>
        <v>0</v>
      </c>
      <c r="BB279" s="4591">
        <f>IF(BB281=0,0,(BB280*BB281+BB282*BB283*6)/BB281)</f>
        <v>0</v>
      </c>
      <c r="BC279" s="4591">
        <f>IF(BC281=0,0,(BC280*BC281+BC282*BC283*6)/BC281)</f>
        <v>0</v>
      </c>
      <c r="BD279" s="1102">
        <f>IF(BB279=0,0,(BC279-BB279)/BB279*100)</f>
        <v>0</v>
      </c>
      <c r="BE279" s="4591">
        <f>IF(BE281=0,0,(BE280*BE281+BE282*BE283*6)/BE281)</f>
        <v>0</v>
      </c>
      <c r="BF279" s="4591">
        <f>IF(BF281=0,0,(BF280*BF281+BF282*BF283*6)/BF281)</f>
        <v>0</v>
      </c>
      <c r="BG279" s="1102">
        <f>IF(BE279=0,0,(BF279-BE279)/BE279*100)</f>
        <v>0</v>
      </c>
      <c r="BH279" s="4591">
        <f>IF(BH281=0,0,(BH280*BH281+BH282*BH283*6)/BH281)</f>
        <v>0</v>
      </c>
      <c r="BI279" s="4591">
        <f>IF(BI281=0,0,(BI280*BI281+BI282*BI283*6)/BI281)</f>
        <v>0</v>
      </c>
      <c r="BJ279" s="1102">
        <f>IF(BH279=0,0,(BI279-BH279)/BH279*100)</f>
        <v>0</v>
      </c>
      <c r="BK279" s="4591">
        <f>IF(BK281=0,0,(BK280*BK281+BK282*BK283*6)/BK281)</f>
        <v>0</v>
      </c>
      <c r="BL279" s="4591">
        <f>IF(BL281=0,0,(BL280*BL281+BL282*BL283*6)/BL281)</f>
        <v>0</v>
      </c>
      <c r="BM279" s="1102">
        <f>IF(BK279=0,0,(BL279-BK279)/BK279*100)</f>
        <v>0</v>
      </c>
      <c r="BN279" s="4591">
        <f>IF(BN281=0,0,(BN280*BN281+BN282*BN283*6)/BN281)</f>
        <v>0</v>
      </c>
      <c r="BO279" s="4591">
        <f>IF(BO281=0,0,(BO280*BO281+BO282*BO283*6)/BO281)</f>
        <v>0</v>
      </c>
      <c r="BP279" s="1102">
        <f>IF(BN279=0,0,(BO279-BN279)/BN279*100)</f>
        <v>0</v>
      </c>
      <c r="BQ279" s="4591">
        <f>IF(BQ281=0,0,(BQ280*BQ281+BQ282*BQ283*6)/BQ281)</f>
        <v>0</v>
      </c>
      <c r="BR279" s="4591">
        <f>IF(BR281=0,0,(BR280*BR281+BR282*BR283*6)/BR281)</f>
        <v>0</v>
      </c>
      <c r="BS279" s="1102">
        <f>IF(BQ279=0,0,(BR279-BQ279)/BQ279*100)</f>
        <v>0</v>
      </c>
      <c r="BT279" s="4591">
        <f>IF(BT281=0,0,(BT280*BT281+BT282*BT283*6)/BT281)</f>
        <v>0</v>
      </c>
      <c r="BU279" s="4591">
        <f>IF(BU281=0,0,(BU280*BU281+BU282*BU283*6)/BU281)</f>
        <v>0</v>
      </c>
      <c r="BV279" s="1102">
        <f>IF(BT279=0,0,(BU279-BT279)/BT279*100)</f>
        <v>0</v>
      </c>
      <c r="BW279" s="4591">
        <f>IF(BW281=0,0,(BW280*BW281+BW282*BW283*6)/BW281)</f>
        <v>0</v>
      </c>
      <c r="BX279" s="4591">
        <f>IF(BX281=0,0,(BX280*BX281+BX282*BX283*6)/BX281)</f>
        <v>0</v>
      </c>
      <c r="BY279" s="1102">
        <f>IF(BW279=0,0,(BX279-BW279)/BW279*100)</f>
        <v>0</v>
      </c>
      <c r="BZ279" s="4591">
        <f>IF(BZ281=0,0,(BZ280*BZ281+BZ282*BZ283*6)/BZ281)</f>
        <v>0</v>
      </c>
      <c r="CA279" s="4591">
        <f>IF(CA281=0,0,(CA280*CA281+CA282*CA283*6)/CA281)</f>
        <v>0</v>
      </c>
      <c r="CB279" s="1102">
        <f>IF(BZ279=0,0,(CA279-BZ279)/BZ279*100)</f>
        <v>0</v>
      </c>
      <c r="CC279" s="4591">
        <f>IF(CC281=0,0,(CC280*CC281+CC282*CC283*6)/CC281)</f>
        <v>0</v>
      </c>
      <c r="CD279" s="4591">
        <f>IF(CD281=0,0,(CD280*CD281+CD282*CD283*6)/CD281)</f>
        <v>0</v>
      </c>
      <c r="CE279" s="1102">
        <f>IF(CC279=0,0,(CD279-CC279)/CC279*100)</f>
        <v>0</v>
      </c>
      <c r="CF279" s="4591">
        <f>IF(CF281=0,0,(CF280*CF281+CF282*CF283*6)/CF281)</f>
        <v>0</v>
      </c>
      <c r="CG279" s="4591">
        <f>IF(CG281=0,0,(CG280*CG281+CG282*CG283*6)/CG281)</f>
        <v>0</v>
      </c>
      <c r="CH279" s="1102">
        <f>IF(CF279=0,0,(CG279-CF279)/CF279*100)</f>
        <v>0</v>
      </c>
      <c r="CI279" s="4591">
        <f>IF(CI281=0,0,(CI280*CI281+CI282*CI283*6)/CI281)</f>
        <v>0</v>
      </c>
      <c r="CJ279" s="4591">
        <f>IF(CJ281=0,0,(CJ280*CJ281+CJ282*CJ283*6)/CJ281)</f>
        <v>0</v>
      </c>
      <c r="CK279" s="1102">
        <f>IF(CI279=0,0,(CJ279-CI279)/CI279*100)</f>
        <v>0</v>
      </c>
      <c r="CL279" s="4591">
        <f>IF(CL281=0,0,(CL280*CL281+CL282*CL283*6)/CL281)</f>
        <v>0</v>
      </c>
      <c r="CM279" s="4591">
        <f>IF(CM281=0,0,(CM280*CM281+CM282*CM283*6)/CM281)</f>
        <v>0</v>
      </c>
      <c r="CN279" s="1102">
        <f>IF(CL279=0,0,(CM279-CL279)/CL279*100)</f>
        <v>0</v>
      </c>
      <c r="CO279" s="4591">
        <f>IF(CO281=0,0,(CO280*CO281+CO282*CO283*6)/CO281)</f>
        <v>0</v>
      </c>
      <c r="CP279" s="4591">
        <f>IF(CP281=0,0,(CP280*CP281+CP282*CP283*6)/CP281)</f>
        <v>0</v>
      </c>
      <c r="CQ279" s="1102">
        <f>IF(CO279=0,0,(CP279-CO279)/CO279*100)</f>
        <v>0</v>
      </c>
      <c r="CR279" s="4591">
        <f>IF(CR281=0,0,(CR280*CR281+CR282*CR283*6)/CR281)</f>
        <v>0</v>
      </c>
      <c r="CS279" s="4591">
        <f>IF(CS281=0,0,(CS280*CS281+CS282*CS283*6)/CS281)</f>
        <v>0</v>
      </c>
      <c r="CT279" s="1102">
        <f>IF(CR279=0,0,(CS279-CR279)/CR279*100)</f>
        <v>0</v>
      </c>
      <c r="CU279" s="4591">
        <f>IF(CU281=0,0,(CU280*CU281+CU282*CU283*6)/CU281)</f>
        <v>0</v>
      </c>
      <c r="CV279" s="4591">
        <f>IF(CV281=0,0,(CV280*CV281+CV282*CV283*6)/CV281)</f>
        <v>0</v>
      </c>
      <c r="CW279" s="1102">
        <f>IF(CU279=0,0,(CV279-CU279)/CU279*100)</f>
        <v>0</v>
      </c>
      <c r="CX279" s="4591">
        <f>IF(CX281=0,0,(CX280*CX281+CX282*CX283*6)/CX281)</f>
        <v>0</v>
      </c>
      <c r="CY279" s="4591">
        <f>IF(CY281=0,0,(CY280*CY281+CY282*CY283*6)/CY281)</f>
        <v>0</v>
      </c>
      <c r="CZ279" s="1102">
        <f>IF(CX279=0,0,(CY279-CX279)/CX279*100)</f>
        <v>0</v>
      </c>
      <c r="DA279" s="4591">
        <f>IF(DA281=0,0,(DA280*DA281+DA282*DA283*6)/DA281)</f>
        <v>0</v>
      </c>
      <c r="DB279" s="4591">
        <f>IF(DB281=0,0,(DB280*DB281+DB282*DB283*6)/DB281)</f>
        <v>0</v>
      </c>
      <c r="DC279" s="1102">
        <f>IF(DA279=0,0,(DB279-DA279)/DA279*100)</f>
        <v>0</v>
      </c>
      <c r="DD279" s="4591">
        <f>IF(DD281=0,0,(DD280*DD281+DD282*DD283*6)/DD281)</f>
        <v>0</v>
      </c>
      <c r="DE279" s="4591">
        <f>IF(DE281=0,0,(DE280*DE281+DE282*DE283*6)/DE281)</f>
        <v>0</v>
      </c>
      <c r="DF279" s="1102">
        <f>IF(DD279=0,0,(DE279-DD279)/DD279*100)</f>
        <v>0</v>
      </c>
      <c r="DG279" s="4591">
        <f>IF(DG281=0,0,(DG280*DG281+DG282*DG283*6)/DG281)</f>
        <v>0</v>
      </c>
      <c r="DH279" s="4591">
        <f>IF(DH281=0,0,(DH280*DH281+DH282*DH283*6)/DH281)</f>
        <v>0</v>
      </c>
      <c r="DI279" s="1102">
        <f>IF(DG279=0,0,(DH279-DG279)/DG279*100)</f>
        <v>0</v>
      </c>
      <c r="DJ279" s="4591">
        <f>IF(DJ281=0,0,(DJ280*DJ281+DJ282*DJ283*6)/DJ281)</f>
        <v>0</v>
      </c>
      <c r="DK279" s="4591">
        <f>IF(DK281=0,0,(DK280*DK281+DK282*DK283*6)/DK281)</f>
        <v>0</v>
      </c>
      <c r="DL279" s="1102">
        <f>IF(DJ279=0,0,(DK279-DJ279)/DJ279*100)</f>
        <v>0</v>
      </c>
      <c r="DM279" s="4591">
        <f>IF(DM281=0,0,(DM280*DM281+DM282*DM283*6)/DM281)</f>
        <v>0</v>
      </c>
      <c r="DN279" s="4591">
        <f>IF(DN281=0,0,(DN280*DN281+DN282*DN283*6)/DN281)</f>
        <v>0</v>
      </c>
      <c r="DO279" s="1102">
        <f>IF(DM279=0,0,(DN279-DM279)/DM279*100)</f>
        <v>0</v>
      </c>
      <c r="DP279" s="4591">
        <f>IF(DP281=0,0,(DP280*DP281+DP282*DP283*6)/DP281)</f>
        <v>0</v>
      </c>
      <c r="DQ279" s="4591">
        <f>IF(DQ281=0,0,(DQ280*DQ281+DQ282*DQ283*6)/DQ281)</f>
        <v>0</v>
      </c>
      <c r="DR279" s="1102">
        <f>IF(DP279=0,0,(DQ279-DP279)/DP279*100)</f>
        <v>0</v>
      </c>
      <c r="DS279" s="4591">
        <f>IF(DS281=0,0,(DS280*DS281+DS282*DS283*6)/DS281)</f>
        <v>0</v>
      </c>
      <c r="DT279" s="4591">
        <f>IF(DT281=0,0,(DT280*DT281+DT282*DT283*6)/DT281)</f>
        <v>0</v>
      </c>
      <c r="DU279" s="1102">
        <f>IF(DS279=0,0,(DT279-DS279)/DS279*100)</f>
        <v>0</v>
      </c>
      <c r="DV279" s="4591">
        <f>IF(DV281=0,0,(DV280*DV281+DV282*DV283*6)/DV281)</f>
        <v>0</v>
      </c>
      <c r="DW279" s="4591">
        <f>IF(DW281=0,0,(DW280*DW281+DW282*DW283*6)/DW281)</f>
        <v>0</v>
      </c>
      <c r="DX279" s="1102">
        <f>IF(DV279=0,0,(DW279-DV279)/DV279*100)</f>
        <v>0</v>
      </c>
      <c r="DY279" s="4591">
        <f>IF(DY281=0,0,(DY280*DY281+DY282*DY283*6)/DY281)</f>
        <v>0</v>
      </c>
      <c r="DZ279" s="4591">
        <f>IF(DZ281=0,0,(DZ280*DZ281+DZ282*DZ283*6)/DZ281)</f>
        <v>0</v>
      </c>
      <c r="EA279" s="1102">
        <f>IF(DY279=0,0,(DZ279-DY279)/DY279*100)</f>
        <v>0</v>
      </c>
      <c r="EB279" s="4591">
        <f>IF(EB281=0,0,(EB280*EB281+EB282*EB283*6)/EB281)</f>
        <v>0</v>
      </c>
      <c r="EC279" s="4591">
        <f>IF(EC281=0,0,(EC280*EC281+EC282*EC283*6)/EC281)</f>
        <v>0</v>
      </c>
      <c r="ED279" s="1102">
        <f>IF(EB279=0,0,(EC279-EB279)/EB279*100)</f>
        <v>0</v>
      </c>
      <c r="EE279" s="4591">
        <f>IF(EE281=0,0,(EE280*EE281+EE282*EE283*6)/EE281)</f>
        <v>0</v>
      </c>
      <c r="EF279" s="4591">
        <f>IF(EF281=0,0,(EF280*EF281+EF282*EF283*6)/EF281)</f>
        <v>0</v>
      </c>
      <c r="EG279" s="1102">
        <f>IF(EE279=0,0,(EF279-EE279)/EE279*100)</f>
        <v>0</v>
      </c>
      <c r="EH279" s="4591">
        <f>IF(EH281=0,0,(EH280*EH281+EH282*EH283*6)/EH281)</f>
        <v>0</v>
      </c>
      <c r="EI279" s="4591">
        <f>IF(EI281=0,0,(EI280*EI281+EI282*EI283*6)/EI281)</f>
        <v>0</v>
      </c>
      <c r="EJ279" s="1102">
        <f>IF(EH279=0,0,(EI279-EH279)/EH279*100)</f>
        <v>0</v>
      </c>
      <c r="EK279" s="4591">
        <f>IF(EK281=0,0,(EK280*EK281+EK282*EK283*6)/EK281)</f>
        <v>0</v>
      </c>
      <c r="EL279" s="4591">
        <f>IF(EL281=0,0,(EL280*EL281+EL282*EL283*6)/EL281)</f>
        <v>0</v>
      </c>
      <c r="EM279" s="1102">
        <f>IF(EK279=0,0,(EL279-EK279)/EK279*100)</f>
        <v>0</v>
      </c>
      <c r="EN279" s="4591">
        <f>IF(EN281=0,0,(EN280*EN281+EN282*EN283*6)/EN281)</f>
        <v>0</v>
      </c>
      <c r="EO279" s="4591">
        <f>IF(EO281=0,0,(EO280*EO281+EO282*EO283*6)/EO281)</f>
        <v>0</v>
      </c>
      <c r="EP279" s="1102">
        <f>IF(EN279=0,0,(EO279-EN279)/EN279*100)</f>
        <v>0</v>
      </c>
      <c r="EQ279" s="4591">
        <f>IF(EQ281=0,0,(EQ280*EQ281+EQ282*EQ283*6)/EQ281)</f>
        <v>0</v>
      </c>
      <c r="ER279" s="4591">
        <f>IF(ER281=0,0,(ER280*ER281+ER282*ER283*6)/ER281)</f>
        <v>0</v>
      </c>
      <c r="ES279" s="1102">
        <f>IF(EQ279=0,0,(ER279-EQ279)/EQ279*100)</f>
        <v>0</v>
      </c>
      <c r="ET279" s="4591">
        <f>IF(ET281=0,0,(ET280*ET281+ET282*ET283*6)/ET281)</f>
        <v>0</v>
      </c>
      <c r="EU279" s="4591">
        <f>IF(EU281=0,0,(EU280*EU281+EU282*EU283*6)/EU281)</f>
        <v>0</v>
      </c>
      <c r="EV279" s="1102">
        <f>IF(ET279=0,0,(EU279-ET279)/ET279*100)</f>
        <v>0</v>
      </c>
      <c r="EW279" s="4591">
        <f>IF(EW281=0,0,(EW280*EW281+EW282*EW283*6)/EW281)</f>
        <v>0</v>
      </c>
      <c r="EX279" s="4591">
        <f>IF(EX281=0,0,(EX280*EX281+EX282*EX283*6)/EX281)</f>
        <v>0</v>
      </c>
      <c r="EY279" s="1102">
        <f>IF(EW279=0,0,(EX279-EW279)/EW279*100)</f>
        <v>0</v>
      </c>
      <c r="EZ279" s="4591">
        <f>IF(EZ281=0,0,(EZ280*EZ281+EZ282*EZ283*6)/EZ281)</f>
        <v>0</v>
      </c>
      <c r="FA279" s="4591">
        <f>IF(FA281=0,0,(FA280*FA281+FA282*FA283*6)/FA281)</f>
        <v>0</v>
      </c>
      <c r="FB279" s="1102">
        <f>IF(EZ279=0,0,(FA279-EZ279)/EZ279*100)</f>
        <v>0</v>
      </c>
      <c r="FC279" s="4591">
        <f>IF(FC281=0,0,(FC280*FC281+FC282*FC283*6)/FC281)</f>
        <v>0</v>
      </c>
      <c r="FD279" s="4591">
        <f>IF(FD281=0,0,(FD280*FD281+FD282*FD283*6)/FD281)</f>
        <v>0</v>
      </c>
      <c r="FE279" s="1102">
        <f>IF(FC279=0,0,(FD279-FC279)/FC279*100)</f>
        <v>0</v>
      </c>
      <c r="FF279" s="4591">
        <f>IF(FF281=0,0,(FF280*FF281+FF282*FF283*6)/FF281)</f>
        <v>0</v>
      </c>
      <c r="FG279" s="4591">
        <f>IF(FG281=0,0,(FG280*FG281+FG282*FG283*6)/FG281)</f>
        <v>0</v>
      </c>
      <c r="FH279" s="1102">
        <f>IF(FF279=0,0,(FG279-FF279)/FF279*100)</f>
        <v>0</v>
      </c>
      <c r="FI279" s="4591">
        <f>IF(FI281=0,0,(FI280*FI281+FI282*FI283*6)/FI281)</f>
        <v>0</v>
      </c>
      <c r="FJ279" s="4591">
        <f>IF(FJ281=0,0,(FJ280*FJ281+FJ282*FJ283*6)/FJ281)</f>
        <v>0</v>
      </c>
      <c r="FK279" s="1102">
        <f>IF(FI279=0,0,(FJ279-FI279)/FI279*100)</f>
        <v>0</v>
      </c>
      <c r="FL279" s="4591">
        <f>IF(FL281=0,0,(FL280*FL281+FL282*FL283*6)/FL281)</f>
        <v>0</v>
      </c>
      <c r="FM279" s="4591">
        <f>IF(FM281=0,0,(FM280*FM281+FM282*FM283*6)/FM281)</f>
        <v>0</v>
      </c>
      <c r="FN279" s="1102">
        <f>IF(FL279=0,0,(FM279-FL279)/FL279*100)</f>
        <v>0</v>
      </c>
      <c r="FO279" s="4591">
        <f>IF(FO281=0,0,(FO280*FO281+FO282*FO283*6)/FO281)</f>
        <v>0</v>
      </c>
      <c r="FP279" s="4591">
        <f>IF(FP281=0,0,(FP280*FP281+FP282*FP283*6)/FP281)</f>
        <v>0</v>
      </c>
      <c r="FQ279" s="1102">
        <f>IF(FO279=0,0,(FP279-FO279)/FO279*100)</f>
        <v>0</v>
      </c>
      <c r="FR279" s="4591">
        <f>IF(FR281=0,0,(FR280*FR281+FR282*FR283*6)/FR281)</f>
        <v>0</v>
      </c>
      <c r="FS279" s="4591">
        <f>IF(FS281=0,0,(FS280*FS281+FS282*FS283*6)/FS281)</f>
        <v>0</v>
      </c>
      <c r="FT279" s="1102">
        <f>IF(FR279=0,0,(FS279-FR279)/FR279*100)</f>
        <v>0</v>
      </c>
      <c r="FU279" s="4591">
        <f>IF(FU281=0,0,(FU280*FU281+FU282*FU283*6)/FU281)</f>
        <v>0</v>
      </c>
      <c r="FV279" s="4591">
        <f>IF(FV281=0,0,(FV280*FV281+FV282*FV283*6)/FV281)</f>
        <v>0</v>
      </c>
      <c r="FW279" s="1102">
        <f>IF(FU279=0,0,(FV279-FU279)/FU279*100)</f>
        <v>0</v>
      </c>
      <c r="FX279" s="1328"/>
      <c r="FY279" s="1328"/>
      <c r="FZ279" s="1063" t="s">
        <v>1923</v>
      </c>
      <c r="GA279" s="1330"/>
      <c r="GB279" s="1330"/>
      <c r="GC279" s="1329"/>
      <c r="GD279" s="1329"/>
    </row>
    <row s="1656" customFormat="1" customHeight="1" ht="14.25" hidden="1">
      <c r="A280" s="496"/>
      <c r="B280" s="932" cm="1" t="str">
        <f t="array" ref="B280:B280">B279</f>
        <v>false</v>
      </c>
      <c r="C280" s="496"/>
      <c r="D280" s="496"/>
      <c r="E280" s="847">
        <v>15</v>
      </c>
      <c r="F280" s="50" cm="1" t="str">
        <f t="array" ref="F280:F280">OFFSET(E280,-1,1)</f>
        <v>3</v>
      </c>
      <c r="G280" s="496"/>
      <c r="H280" s="496" t="s">
        <v>1791</v>
      </c>
      <c r="I280" s="496" t="s">
        <v>1879</v>
      </c>
      <c r="J280" s="496"/>
      <c r="K280" s="496"/>
      <c r="L280" s="496"/>
      <c r="M280" s="496"/>
      <c r="N280" s="496"/>
      <c r="O280" s="496"/>
      <c r="P280" s="496"/>
      <c r="Q280" s="496"/>
      <c r="R280" s="496"/>
      <c r="S280" s="496"/>
      <c r="T280" s="468" cm="1" t="str">
        <f t="array" ref="T280:T280">T279</f>
        <v>true</v>
      </c>
      <c r="U280" s="496"/>
      <c r="V280" s="496"/>
      <c r="W280" s="496"/>
      <c r="X280" s="1559"/>
      <c r="Y280" s="496"/>
      <c r="Z280" s="1528"/>
      <c r="AA280" s="496"/>
      <c r="AB280" s="911" t="str">
        <f>"ставка платы за "&amp;IF(Q242="Водоснабжение","потребление 1 куб.м холодной воды","объем принятых сточных вод")</f>
        <v>ставка платы за объем принятых сточных вод</v>
      </c>
      <c r="AC280" s="871" t="s">
        <v>1862</v>
      </c>
      <c r="AD280" s="4591"/>
      <c r="AE280" s="4591"/>
      <c r="AF280" s="1102">
        <f>IF(AD280=0,0,(AE280-AD280)/AD280*100)</f>
        <v>0</v>
      </c>
      <c r="AG280" s="4591"/>
      <c r="AH280" s="4591"/>
      <c r="AI280" s="1102">
        <f>IF(AG280=0,0,(AH280-AG280)/AG280*100)</f>
        <v>0</v>
      </c>
      <c r="AJ280" s="4591"/>
      <c r="AK280" s="4591"/>
      <c r="AL280" s="1102">
        <f>IF(AJ280=0,0,(AK280-AJ280)/AJ280*100)</f>
        <v>0</v>
      </c>
      <c r="AM280" s="4591"/>
      <c r="AN280" s="4591"/>
      <c r="AO280" s="1102">
        <f>IF(AM280=0,0,(AN280-AM280)/AM280*100)</f>
        <v>0</v>
      </c>
      <c r="AP280" s="4591"/>
      <c r="AQ280" s="4591"/>
      <c r="AR280" s="1102">
        <f>IF(AP280=0,0,(AQ280-AP280)/AP280*100)</f>
        <v>0</v>
      </c>
      <c r="AS280" s="4591"/>
      <c r="AT280" s="4591"/>
      <c r="AU280" s="1102">
        <f>IF(AS280=0,0,(AT280-AS280)/AS280*100)</f>
        <v>0</v>
      </c>
      <c r="AV280" s="4591"/>
      <c r="AW280" s="4591"/>
      <c r="AX280" s="1102">
        <f>IF(AV280=0,0,(AW280-AV280)/AV280*100)</f>
        <v>0</v>
      </c>
      <c r="AY280" s="4591"/>
      <c r="AZ280" s="4591"/>
      <c r="BA280" s="1102">
        <f>IF(AY280=0,0,(AZ280-AY280)/AY280*100)</f>
        <v>0</v>
      </c>
      <c r="BB280" s="4591"/>
      <c r="BC280" s="4591"/>
      <c r="BD280" s="1102">
        <f>IF(BB280=0,0,(BC280-BB280)/BB280*100)</f>
        <v>0</v>
      </c>
      <c r="BE280" s="4591"/>
      <c r="BF280" s="4591"/>
      <c r="BG280" s="1102">
        <f>IF(BE280=0,0,(BF280-BE280)/BE280*100)</f>
        <v>0</v>
      </c>
      <c r="BH280" s="4591"/>
      <c r="BI280" s="4591"/>
      <c r="BJ280" s="1102">
        <f>IF(BH280=0,0,(BI280-BH280)/BH280*100)</f>
        <v>0</v>
      </c>
      <c r="BK280" s="4591"/>
      <c r="BL280" s="4591"/>
      <c r="BM280" s="1102">
        <f>IF(BK280=0,0,(BL280-BK280)/BK280*100)</f>
        <v>0</v>
      </c>
      <c r="BN280" s="4591"/>
      <c r="BO280" s="4591"/>
      <c r="BP280" s="1102">
        <f>IF(BN280=0,0,(BO280-BN280)/BN280*100)</f>
        <v>0</v>
      </c>
      <c r="BQ280" s="4591"/>
      <c r="BR280" s="4591"/>
      <c r="BS280" s="1102">
        <f>IF(BQ280=0,0,(BR280-BQ280)/BQ280*100)</f>
        <v>0</v>
      </c>
      <c r="BT280" s="4591"/>
      <c r="BU280" s="4591"/>
      <c r="BV280" s="1102">
        <f>IF(BT280=0,0,(BU280-BT280)/BT280*100)</f>
        <v>0</v>
      </c>
      <c r="BW280" s="4591"/>
      <c r="BX280" s="4591"/>
      <c r="BY280" s="1102">
        <f>IF(BW280=0,0,(BX280-BW280)/BW280*100)</f>
        <v>0</v>
      </c>
      <c r="BZ280" s="4591"/>
      <c r="CA280" s="4591"/>
      <c r="CB280" s="1102">
        <f>IF(BZ280=0,0,(CA280-BZ280)/BZ280*100)</f>
        <v>0</v>
      </c>
      <c r="CC280" s="4591"/>
      <c r="CD280" s="4591"/>
      <c r="CE280" s="1102">
        <f>IF(CC280=0,0,(CD280-CC280)/CC280*100)</f>
        <v>0</v>
      </c>
      <c r="CF280" s="4591"/>
      <c r="CG280" s="4591"/>
      <c r="CH280" s="1102">
        <f>IF(CF280=0,0,(CG280-CF280)/CF280*100)</f>
        <v>0</v>
      </c>
      <c r="CI280" s="4591"/>
      <c r="CJ280" s="4591"/>
      <c r="CK280" s="1102">
        <f>IF(CI280=0,0,(CJ280-CI280)/CI280*100)</f>
        <v>0</v>
      </c>
      <c r="CL280" s="4591"/>
      <c r="CM280" s="4591"/>
      <c r="CN280" s="1102">
        <f>IF(CL280=0,0,(CM280-CL280)/CL280*100)</f>
        <v>0</v>
      </c>
      <c r="CO280" s="4591"/>
      <c r="CP280" s="4591"/>
      <c r="CQ280" s="1102">
        <f>IF(CO280=0,0,(CP280-CO280)/CO280*100)</f>
        <v>0</v>
      </c>
      <c r="CR280" s="4591"/>
      <c r="CS280" s="4591"/>
      <c r="CT280" s="1102">
        <f>IF(CR280=0,0,(CS280-CR280)/CR280*100)</f>
        <v>0</v>
      </c>
      <c r="CU280" s="4591"/>
      <c r="CV280" s="4591"/>
      <c r="CW280" s="1102">
        <f>IF(CU280=0,0,(CV280-CU280)/CU280*100)</f>
        <v>0</v>
      </c>
      <c r="CX280" s="4591"/>
      <c r="CY280" s="4591"/>
      <c r="CZ280" s="1102">
        <f>IF(CX280=0,0,(CY280-CX280)/CX280*100)</f>
        <v>0</v>
      </c>
      <c r="DA280" s="4591"/>
      <c r="DB280" s="4591"/>
      <c r="DC280" s="1102">
        <f>IF(DA280=0,0,(DB280-DA280)/DA280*100)</f>
        <v>0</v>
      </c>
      <c r="DD280" s="4591"/>
      <c r="DE280" s="4591"/>
      <c r="DF280" s="1102">
        <f>IF(DD280=0,0,(DE280-DD280)/DD280*100)</f>
        <v>0</v>
      </c>
      <c r="DG280" s="4591"/>
      <c r="DH280" s="4591"/>
      <c r="DI280" s="1102">
        <f>IF(DG280=0,0,(DH280-DG280)/DG280*100)</f>
        <v>0</v>
      </c>
      <c r="DJ280" s="4591"/>
      <c r="DK280" s="4591"/>
      <c r="DL280" s="1102">
        <f>IF(DJ280=0,0,(DK280-DJ280)/DJ280*100)</f>
        <v>0</v>
      </c>
      <c r="DM280" s="4591"/>
      <c r="DN280" s="4591"/>
      <c r="DO280" s="1102">
        <f>IF(DM280=0,0,(DN280-DM280)/DM280*100)</f>
        <v>0</v>
      </c>
      <c r="DP280" s="4591"/>
      <c r="DQ280" s="4591"/>
      <c r="DR280" s="1102">
        <f>IF(DP280=0,0,(DQ280-DP280)/DP280*100)</f>
        <v>0</v>
      </c>
      <c r="DS280" s="4591"/>
      <c r="DT280" s="4591"/>
      <c r="DU280" s="1102">
        <f>IF(DS280=0,0,(DT280-DS280)/DS280*100)</f>
        <v>0</v>
      </c>
      <c r="DV280" s="4591"/>
      <c r="DW280" s="4591"/>
      <c r="DX280" s="1102">
        <f>IF(DV280=0,0,(DW280-DV280)/DV280*100)</f>
        <v>0</v>
      </c>
      <c r="DY280" s="4591"/>
      <c r="DZ280" s="4591"/>
      <c r="EA280" s="1102">
        <f>IF(DY280=0,0,(DZ280-DY280)/DY280*100)</f>
        <v>0</v>
      </c>
      <c r="EB280" s="4591"/>
      <c r="EC280" s="4591"/>
      <c r="ED280" s="1102">
        <f>IF(EB280=0,0,(EC280-EB280)/EB280*100)</f>
        <v>0</v>
      </c>
      <c r="EE280" s="4591"/>
      <c r="EF280" s="4591"/>
      <c r="EG280" s="1102">
        <f>IF(EE280=0,0,(EF280-EE280)/EE280*100)</f>
        <v>0</v>
      </c>
      <c r="EH280" s="4591"/>
      <c r="EI280" s="4591"/>
      <c r="EJ280" s="1102">
        <f>IF(EH280=0,0,(EI280-EH280)/EH280*100)</f>
        <v>0</v>
      </c>
      <c r="EK280" s="4591"/>
      <c r="EL280" s="4591"/>
      <c r="EM280" s="1102">
        <f>IF(EK280=0,0,(EL280-EK280)/EK280*100)</f>
        <v>0</v>
      </c>
      <c r="EN280" s="4591"/>
      <c r="EO280" s="4591"/>
      <c r="EP280" s="1102">
        <f>IF(EN280=0,0,(EO280-EN280)/EN280*100)</f>
        <v>0</v>
      </c>
      <c r="EQ280" s="4591"/>
      <c r="ER280" s="4591"/>
      <c r="ES280" s="1102">
        <f>IF(EQ280=0,0,(ER280-EQ280)/EQ280*100)</f>
        <v>0</v>
      </c>
      <c r="ET280" s="4591"/>
      <c r="EU280" s="4591"/>
      <c r="EV280" s="1102">
        <f>IF(ET280=0,0,(EU280-ET280)/ET280*100)</f>
        <v>0</v>
      </c>
      <c r="EW280" s="4591"/>
      <c r="EX280" s="4591"/>
      <c r="EY280" s="1102">
        <f>IF(EW280=0,0,(EX280-EW280)/EW280*100)</f>
        <v>0</v>
      </c>
      <c r="EZ280" s="4591"/>
      <c r="FA280" s="4591"/>
      <c r="FB280" s="1102">
        <f>IF(EZ280=0,0,(FA280-EZ280)/EZ280*100)</f>
        <v>0</v>
      </c>
      <c r="FC280" s="4591"/>
      <c r="FD280" s="4591"/>
      <c r="FE280" s="1102">
        <f>IF(FC280=0,0,(FD280-FC280)/FC280*100)</f>
        <v>0</v>
      </c>
      <c r="FF280" s="4591"/>
      <c r="FG280" s="4591"/>
      <c r="FH280" s="1102">
        <f>IF(FF280=0,0,(FG280-FF280)/FF280*100)</f>
        <v>0</v>
      </c>
      <c r="FI280" s="4591"/>
      <c r="FJ280" s="4591"/>
      <c r="FK280" s="1102">
        <f>IF(FI280=0,0,(FJ280-FI280)/FI280*100)</f>
        <v>0</v>
      </c>
      <c r="FL280" s="4591"/>
      <c r="FM280" s="4591"/>
      <c r="FN280" s="1102">
        <f>IF(FL280=0,0,(FM280-FL280)/FL280*100)</f>
        <v>0</v>
      </c>
      <c r="FO280" s="4591"/>
      <c r="FP280" s="4591"/>
      <c r="FQ280" s="1102">
        <f>IF(FO280=0,0,(FP280-FO280)/FO280*100)</f>
        <v>0</v>
      </c>
      <c r="FR280" s="4591"/>
      <c r="FS280" s="4591"/>
      <c r="FT280" s="1102">
        <f>IF(FR280=0,0,(FS280-FR280)/FR280*100)</f>
        <v>0</v>
      </c>
      <c r="FU280" s="4591"/>
      <c r="FV280" s="4591"/>
      <c r="FW280" s="1102">
        <f>IF(FU280=0,0,(FV280-FU280)/FU280*100)</f>
        <v>0</v>
      </c>
      <c r="FX280" s="1328"/>
      <c r="FY280" s="1328"/>
      <c r="FZ280" s="1063" t="s">
        <v>1924</v>
      </c>
      <c r="GA280" s="1330"/>
      <c r="GB280" s="1330"/>
      <c r="GC280" s="1329"/>
      <c r="GD280" s="1329"/>
    </row>
    <row s="1656" customFormat="1" customHeight="1" ht="14.25" hidden="1">
      <c r="A281" s="496"/>
      <c r="B281" s="932" cm="1" t="str">
        <f t="array" ref="B281:B281">B280</f>
        <v>false</v>
      </c>
      <c r="C281" s="496"/>
      <c r="D281" s="496"/>
      <c r="E281" s="847">
        <v>15</v>
      </c>
      <c r="F281" s="50" cm="1" t="str">
        <f t="array" ref="F281:F281">OFFSET(E281,-1,1)</f>
        <v>3</v>
      </c>
      <c r="G281" s="103" t="s">
        <v>1925</v>
      </c>
      <c r="H281" s="496" t="s">
        <v>1899</v>
      </c>
      <c r="I281" s="496" t="s">
        <v>1879</v>
      </c>
      <c r="J281" s="496"/>
      <c r="K281" s="496"/>
      <c r="L281" s="496"/>
      <c r="M281" s="496"/>
      <c r="N281" s="496"/>
      <c r="O281" s="496"/>
      <c r="P281" s="496"/>
      <c r="Q281" s="496"/>
      <c r="R281" s="496"/>
      <c r="S281" s="496"/>
      <c r="T281" s="468" cm="1" t="str">
        <f t="array" ref="T281:T281">T280</f>
        <v>true</v>
      </c>
      <c r="U281" s="496"/>
      <c r="V281" s="496"/>
      <c r="W281" s="496"/>
      <c r="X281" s="1559"/>
      <c r="Y281" s="496"/>
      <c r="Z281" s="1528"/>
      <c r="AA281" s="496"/>
      <c r="AB281" s="911" t="str">
        <f>"объём "&amp;IF(Q242="Водоснабжение","потребления холодной воды","водоотведения")</f>
        <v>объём водоотведения</v>
      </c>
      <c r="AC281" s="871" t="s">
        <v>657</v>
      </c>
      <c r="AD281" s="4585">
        <f>IF(AND(method_reg="Метод индексации",god&lt;&gt;first_year),_xlfn.SUMIFS(INDEX('Калькуляция (МИ корр)'!$AJ$25:$BC$606,,MATCH(AD$8,'Калькуляция (МИ корр)'!$AJ$8:$BC$8,0)),'Калькуляция (МИ корр)'!$F$25:$F$606,$F281,'Калькуляция (МИ корр)'!$G$25:$G$606,$G281),IF(method_reg="Метод экономически обоснованных расходов",_xlfn.SUMIFS('Калькуляция (МЭОР)'!$AJ$25:$AJ$367,'Калькуляция (МЭОР)'!$F$25:$F$367,$F281,'Калькуляция (МЭОР)'!$G$25:$G$367,$G281),IF(method_reg="Метод сравнения аналогов",_xlfn.SUMIFS('Калькуляция (МСА)'!$AE$25:$AE$103,'Калькуляция (МСА)'!$F$25:$F$103,$F281,'Калькуляция (МСА)'!$G$25:$G$103,$G281),_xlfn.SUMIFS(INDEX('Калькуляция (МИ)'!$AJ$25:$BC$603,,MATCH(AD$8,'Калькуляция (МИ)'!$AJ$8:$BC$8,0)),'Калькуляция (МИ)'!$F$25:$F$603,$F281,'Калькуляция (МИ)'!$G$25:$G$603,$G281))))</f>
        <v>225.6182325</v>
      </c>
      <c r="AE281" s="4585">
        <f>IF(AND(method_reg="Метод индексации",god&lt;&gt;first_year),_xlfn.SUMIFS(INDEX('Калькуляция (МИ корр)'!$AJ$25:$BC$606,,MATCH(AE$8,'Калькуляция (МИ корр)'!$AJ$8:$BC$8,0)),'Калькуляция (МИ корр)'!$F$25:$F$606,$F281,'Калькуляция (МИ корр)'!$G$25:$G$606,$G281),IF(method_reg="Метод экономически обоснованных расходов",_xlfn.SUMIFS('Калькуляция (МЭОР)'!$AK$25:$AK$367,'Калькуляция (МЭОР)'!$F$25:$F$367,$F281,'Калькуляция (МЭОР)'!$G$25:$G$367,$G281),IF(method_reg="Метод сравнения аналогов",_xlfn.SUMIFS('Калькуляция (МСА)'!$AF$25:$AF$103,'Калькуляция (МСА)'!$F$25:$F$103,$F281,'Калькуляция (МСА)'!$G$25:$G$103,$G281),_xlfn.SUMIFS(INDEX('Калькуляция (МИ)'!$AJ$25:$BC$603,,MATCH(AE$8,'Калькуляция (МИ)'!$AJ$8:$BC$8,0)),'Калькуляция (МИ)'!$F$25:$F$603,$F281,'Калькуляция (МИ)'!$G$25:$G$603,$G281))))</f>
        <v>214.33732</v>
      </c>
      <c r="AF281" s="1104">
        <f>IF(AD281=0,0,(AE281-AD281)/AD281*100)</f>
        <v>-5.00000038782327</v>
      </c>
      <c r="AG281" s="4585">
        <f>IF(AND(method_reg="Метод индексации",god&lt;&gt;first_year),_xlfn.SUMIFS(INDEX('Калькуляция (МИ корр)'!$AJ$25:$BC$606,,MATCH(AG$8,'Калькуляция (МИ корр)'!$AJ$8:$BC$8,0)),'Калькуляция (МИ корр)'!$F$25:$F$606,$F281,'Калькуляция (МИ корр)'!$G$25:$G$606,$G281),IF(method_reg="Метод экономически обоснованных расходов",_xlfn.SUMIFS('Калькуляция (МЭОР)'!$AJ$25:$AJ$367,'Калькуляция (МЭОР)'!$F$25:$F$367,$F281,'Калькуляция (МЭОР)'!$G$25:$G$367,$G281),IF(method_reg="Метод сравнения аналогов",_xlfn.SUMIFS('Калькуляция (МСА)'!$AE$25:$AE$103,'Калькуляция (МСА)'!$F$25:$F$103,$F281,'Калькуляция (МСА)'!$G$25:$G$103,$G281),_xlfn.SUMIFS(INDEX('Калькуляция (МИ)'!$AJ$25:$BC$603,,MATCH(AG$8,'Калькуляция (МИ)'!$AJ$8:$BC$8,0)),'Калькуляция (МИ)'!$F$25:$F$603,$F281,'Калькуляция (МИ)'!$G$25:$G$603,$G281))))</f>
        <v>0</v>
      </c>
      <c r="AH281" s="4585">
        <f>IF(AND(method_reg="Метод индексации",god&lt;&gt;first_year),_xlfn.SUMIFS(INDEX('Калькуляция (МИ корр)'!$AJ$25:$BC$606,,MATCH(AH$8,'Калькуляция (МИ корр)'!$AJ$8:$BC$8,0)),'Калькуляция (МИ корр)'!$F$25:$F$606,$F281,'Калькуляция (МИ корр)'!$G$25:$G$606,$G281),IF(method_reg="Метод экономически обоснованных расходов",_xlfn.SUMIFS('Калькуляция (МЭОР)'!$AK$25:$AK$367,'Калькуляция (МЭОР)'!$F$25:$F$367,$F281,'Калькуляция (МЭОР)'!$G$25:$G$367,$G281),IF(method_reg="Метод сравнения аналогов",_xlfn.SUMIFS('Калькуляция (МСА)'!$AF$25:$AF$103,'Калькуляция (МСА)'!$F$25:$F$103,$F281,'Калькуляция (МСА)'!$G$25:$G$103,$G281),_xlfn.SUMIFS(INDEX('Калькуляция (МИ)'!$AJ$25:$BC$603,,MATCH(AH$8,'Калькуляция (МИ)'!$AJ$8:$BC$8,0)),'Калькуляция (МИ)'!$F$25:$F$603,$F281,'Калькуляция (МИ)'!$G$25:$G$603,$G281))))</f>
        <v>0</v>
      </c>
      <c r="AI281" s="1104">
        <f>IF(AG281=0,0,(AH281-AG281)/AG281*100)</f>
        <v>0</v>
      </c>
      <c r="AJ281" s="4585">
        <f>IF(AND(method_reg="Метод индексации",god&lt;&gt;first_year),_xlfn.SUMIFS(INDEX('Калькуляция (МИ корр)'!$AJ$25:$BC$606,,MATCH(AJ$8,'Калькуляция (МИ корр)'!$AJ$8:$BC$8,0)),'Калькуляция (МИ корр)'!$F$25:$F$606,$F281,'Калькуляция (МИ корр)'!$G$25:$G$606,$G281),IF(method_reg="Метод экономически обоснованных расходов",_xlfn.SUMIFS('Калькуляция (МЭОР)'!$AJ$25:$AJ$367,'Калькуляция (МЭОР)'!$F$25:$F$367,$F281,'Калькуляция (МЭОР)'!$G$25:$G$367,$G281),IF(method_reg="Метод сравнения аналогов",_xlfn.SUMIFS('Калькуляция (МСА)'!$AE$25:$AE$103,'Калькуляция (МСА)'!$F$25:$F$103,$F281,'Калькуляция (МСА)'!$G$25:$G$103,$G281),_xlfn.SUMIFS(INDEX('Калькуляция (МИ)'!$AJ$25:$BC$603,,MATCH(AJ$8,'Калькуляция (МИ)'!$AJ$8:$BC$8,0)),'Калькуляция (МИ)'!$F$25:$F$603,$F281,'Калькуляция (МИ)'!$G$25:$G$603,$G281))))</f>
        <v>0</v>
      </c>
      <c r="AK281" s="4585">
        <f>IF(AND(method_reg="Метод индексации",god&lt;&gt;first_year),_xlfn.SUMIFS(INDEX('Калькуляция (МИ корр)'!$AJ$25:$BC$606,,MATCH(AK$8,'Калькуляция (МИ корр)'!$AJ$8:$BC$8,0)),'Калькуляция (МИ корр)'!$F$25:$F$606,$F281,'Калькуляция (МИ корр)'!$G$25:$G$606,$G281),IF(method_reg="Метод экономически обоснованных расходов",_xlfn.SUMIFS('Калькуляция (МЭОР)'!$AK$25:$AK$367,'Калькуляция (МЭОР)'!$F$25:$F$367,$F281,'Калькуляция (МЭОР)'!$G$25:$G$367,$G281),IF(method_reg="Метод сравнения аналогов",_xlfn.SUMIFS('Калькуляция (МСА)'!$AF$25:$AF$103,'Калькуляция (МСА)'!$F$25:$F$103,$F281,'Калькуляция (МСА)'!$G$25:$G$103,$G281),_xlfn.SUMIFS(INDEX('Калькуляция (МИ)'!$AJ$25:$BC$603,,MATCH(AK$8,'Калькуляция (МИ)'!$AJ$8:$BC$8,0)),'Калькуляция (МИ)'!$F$25:$F$603,$F281,'Калькуляция (МИ)'!$G$25:$G$603,$G281))))</f>
        <v>0</v>
      </c>
      <c r="AL281" s="1104">
        <f>IF(AJ281=0,0,(AK281-AJ281)/AJ281*100)</f>
        <v>0</v>
      </c>
      <c r="AM281" s="4585">
        <f>IF(AND(method_reg="Метод индексации",god&lt;&gt;first_year),_xlfn.SUMIFS(INDEX('Калькуляция (МИ корр)'!$AJ$25:$BC$606,,MATCH(AM$8,'Калькуляция (МИ корр)'!$AJ$8:$BC$8,0)),'Калькуляция (МИ корр)'!$F$25:$F$606,$F281,'Калькуляция (МИ корр)'!$G$25:$G$606,$G281),IF(method_reg="Метод экономически обоснованных расходов",_xlfn.SUMIFS('Калькуляция (МЭОР)'!$AJ$25:$AJ$367,'Калькуляция (МЭОР)'!$F$25:$F$367,$F281,'Калькуляция (МЭОР)'!$G$25:$G$367,$G281),IF(method_reg="Метод сравнения аналогов",_xlfn.SUMIFS('Калькуляция (МСА)'!$AE$25:$AE$103,'Калькуляция (МСА)'!$F$25:$F$103,$F281,'Калькуляция (МСА)'!$G$25:$G$103,$G281),_xlfn.SUMIFS(INDEX('Калькуляция (МИ)'!$AJ$25:$BC$603,,MATCH(AM$8,'Калькуляция (МИ)'!$AJ$8:$BC$8,0)),'Калькуляция (МИ)'!$F$25:$F$603,$F281,'Калькуляция (МИ)'!$G$25:$G$603,$G281))))</f>
        <v>0</v>
      </c>
      <c r="AN281" s="4585">
        <f>IF(AND(method_reg="Метод индексации",god&lt;&gt;first_year),_xlfn.SUMIFS(INDEX('Калькуляция (МИ корр)'!$AJ$25:$BC$606,,MATCH(AN$8,'Калькуляция (МИ корр)'!$AJ$8:$BC$8,0)),'Калькуляция (МИ корр)'!$F$25:$F$606,$F281,'Калькуляция (МИ корр)'!$G$25:$G$606,$G281),IF(method_reg="Метод экономически обоснованных расходов",_xlfn.SUMIFS('Калькуляция (МЭОР)'!$AK$25:$AK$367,'Калькуляция (МЭОР)'!$F$25:$F$367,$F281,'Калькуляция (МЭОР)'!$G$25:$G$367,$G281),IF(method_reg="Метод сравнения аналогов",_xlfn.SUMIFS('Калькуляция (МСА)'!$AF$25:$AF$103,'Калькуляция (МСА)'!$F$25:$F$103,$F281,'Калькуляция (МСА)'!$G$25:$G$103,$G281),_xlfn.SUMIFS(INDEX('Калькуляция (МИ)'!$AJ$25:$BC$603,,MATCH(AN$8,'Калькуляция (МИ)'!$AJ$8:$BC$8,0)),'Калькуляция (МИ)'!$F$25:$F$603,$F281,'Калькуляция (МИ)'!$G$25:$G$603,$G281))))</f>
        <v>0</v>
      </c>
      <c r="AO281" s="1104">
        <f>IF(AM281=0,0,(AN281-AM281)/AM281*100)</f>
        <v>0</v>
      </c>
      <c r="AP281" s="4585">
        <f>IF(AND(method_reg="Метод индексации",god&lt;&gt;first_year),_xlfn.SUMIFS(INDEX('Калькуляция (МИ корр)'!$AJ$25:$BC$606,,MATCH(AP$8,'Калькуляция (МИ корр)'!$AJ$8:$BC$8,0)),'Калькуляция (МИ корр)'!$F$25:$F$606,$F281,'Калькуляция (МИ корр)'!$G$25:$G$606,$G281),IF(method_reg="Метод экономически обоснованных расходов",_xlfn.SUMIFS('Калькуляция (МЭОР)'!$AJ$25:$AJ$367,'Калькуляция (МЭОР)'!$F$25:$F$367,$F281,'Калькуляция (МЭОР)'!$G$25:$G$367,$G281),IF(method_reg="Метод сравнения аналогов",_xlfn.SUMIFS('Калькуляция (МСА)'!$AE$25:$AE$103,'Калькуляция (МСА)'!$F$25:$F$103,$F281,'Калькуляция (МСА)'!$G$25:$G$103,$G281),_xlfn.SUMIFS(INDEX('Калькуляция (МИ)'!$AJ$25:$BC$603,,MATCH(AP$8,'Калькуляция (МИ)'!$AJ$8:$BC$8,0)),'Калькуляция (МИ)'!$F$25:$F$603,$F281,'Калькуляция (МИ)'!$G$25:$G$603,$G281))))</f>
        <v>0</v>
      </c>
      <c r="AQ281" s="4585">
        <f>IF(AND(method_reg="Метод индексации",god&lt;&gt;first_year),_xlfn.SUMIFS(INDEX('Калькуляция (МИ корр)'!$AJ$25:$BC$606,,MATCH(AQ$8,'Калькуляция (МИ корр)'!$AJ$8:$BC$8,0)),'Калькуляция (МИ корр)'!$F$25:$F$606,$F281,'Калькуляция (МИ корр)'!$G$25:$G$606,$G281),IF(method_reg="Метод экономически обоснованных расходов",_xlfn.SUMIFS('Калькуляция (МЭОР)'!$AK$25:$AK$367,'Калькуляция (МЭОР)'!$F$25:$F$367,$F281,'Калькуляция (МЭОР)'!$G$25:$G$367,$G281),IF(method_reg="Метод сравнения аналогов",_xlfn.SUMIFS('Калькуляция (МСА)'!$AF$25:$AF$103,'Калькуляция (МСА)'!$F$25:$F$103,$F281,'Калькуляция (МСА)'!$G$25:$G$103,$G281),_xlfn.SUMIFS(INDEX('Калькуляция (МИ)'!$AJ$25:$BC$603,,MATCH(AQ$8,'Калькуляция (МИ)'!$AJ$8:$BC$8,0)),'Калькуляция (МИ)'!$F$25:$F$603,$F281,'Калькуляция (МИ)'!$G$25:$G$603,$G281))))</f>
        <v>0</v>
      </c>
      <c r="AR281" s="1104">
        <f>IF(AP281=0,0,(AQ281-AP281)/AP281*100)</f>
        <v>0</v>
      </c>
      <c r="AS281" s="4585">
        <f>IF(AND(method_reg="Метод индексации",god&lt;&gt;first_year),_xlfn.SUMIFS(INDEX('Калькуляция (МИ корр)'!$AJ$25:$BC$606,,MATCH(AS$8,'Калькуляция (МИ корр)'!$AJ$8:$BC$8,0)),'Калькуляция (МИ корр)'!$F$25:$F$606,$F281,'Калькуляция (МИ корр)'!$G$25:$G$606,$G281),IF(method_reg="Метод экономически обоснованных расходов",_xlfn.SUMIFS('Калькуляция (МЭОР)'!$AJ$25:$AJ$367,'Калькуляция (МЭОР)'!$F$25:$F$367,$F281,'Калькуляция (МЭОР)'!$G$25:$G$367,$G281),IF(method_reg="Метод сравнения аналогов",_xlfn.SUMIFS('Калькуляция (МСА)'!$AE$25:$AE$103,'Калькуляция (МСА)'!$F$25:$F$103,$F281,'Калькуляция (МСА)'!$G$25:$G$103,$G281),_xlfn.SUMIFS(INDEX('Калькуляция (МИ)'!$AJ$25:$BC$603,,MATCH(AS$8,'Калькуляция (МИ)'!$AJ$8:$BC$8,0)),'Калькуляция (МИ)'!$F$25:$F$603,$F281,'Калькуляция (МИ)'!$G$25:$G$603,$G281))))</f>
        <v>0</v>
      </c>
      <c r="AT281" s="4585">
        <f>IF(AND(method_reg="Метод индексации",god&lt;&gt;first_year),_xlfn.SUMIFS(INDEX('Калькуляция (МИ корр)'!$AJ$25:$BC$606,,MATCH(AT$8,'Калькуляция (МИ корр)'!$AJ$8:$BC$8,0)),'Калькуляция (МИ корр)'!$F$25:$F$606,$F281,'Калькуляция (МИ корр)'!$G$25:$G$606,$G281),IF(method_reg="Метод экономически обоснованных расходов",_xlfn.SUMIFS('Калькуляция (МЭОР)'!$AK$25:$AK$367,'Калькуляция (МЭОР)'!$F$25:$F$367,$F281,'Калькуляция (МЭОР)'!$G$25:$G$367,$G281),IF(method_reg="Метод сравнения аналогов",_xlfn.SUMIFS('Калькуляция (МСА)'!$AF$25:$AF$103,'Калькуляция (МСА)'!$F$25:$F$103,$F281,'Калькуляция (МСА)'!$G$25:$G$103,$G281),_xlfn.SUMIFS(INDEX('Калькуляция (МИ)'!$AJ$25:$BC$603,,MATCH(AT$8,'Калькуляция (МИ)'!$AJ$8:$BC$8,0)),'Калькуляция (МИ)'!$F$25:$F$603,$F281,'Калькуляция (МИ)'!$G$25:$G$603,$G281))))</f>
        <v>0</v>
      </c>
      <c r="AU281" s="1104">
        <f>IF(AS281=0,0,(AT281-AS281)/AS281*100)</f>
        <v>0</v>
      </c>
      <c r="AV281" s="4585">
        <f>IF(AND(method_reg="Метод индексации",god&lt;&gt;first_year),_xlfn.SUMIFS(INDEX('Калькуляция (МИ корр)'!$AJ$25:$BC$606,,MATCH(AV$8,'Калькуляция (МИ корр)'!$AJ$8:$BC$8,0)),'Калькуляция (МИ корр)'!$F$25:$F$606,$F281,'Калькуляция (МИ корр)'!$G$25:$G$606,$G281),IF(method_reg="Метод экономически обоснованных расходов",_xlfn.SUMIFS('Калькуляция (МЭОР)'!$AJ$25:$AJ$367,'Калькуляция (МЭОР)'!$F$25:$F$367,$F281,'Калькуляция (МЭОР)'!$G$25:$G$367,$G281),IF(method_reg="Метод сравнения аналогов",_xlfn.SUMIFS('Калькуляция (МСА)'!$AE$25:$AE$103,'Калькуляция (МСА)'!$F$25:$F$103,$F281,'Калькуляция (МСА)'!$G$25:$G$103,$G281),_xlfn.SUMIFS(INDEX('Калькуляция (МИ)'!$AJ$25:$BC$603,,MATCH(AV$8,'Калькуляция (МИ)'!$AJ$8:$BC$8,0)),'Калькуляция (МИ)'!$F$25:$F$603,$F281,'Калькуляция (МИ)'!$G$25:$G$603,$G281))))</f>
        <v>0</v>
      </c>
      <c r="AW281" s="4585">
        <f>IF(AND(method_reg="Метод индексации",god&lt;&gt;first_year),_xlfn.SUMIFS(INDEX('Калькуляция (МИ корр)'!$AJ$25:$BC$606,,MATCH(AW$8,'Калькуляция (МИ корр)'!$AJ$8:$BC$8,0)),'Калькуляция (МИ корр)'!$F$25:$F$606,$F281,'Калькуляция (МИ корр)'!$G$25:$G$606,$G281),IF(method_reg="Метод экономически обоснованных расходов",_xlfn.SUMIFS('Калькуляция (МЭОР)'!$AK$25:$AK$367,'Калькуляция (МЭОР)'!$F$25:$F$367,$F281,'Калькуляция (МЭОР)'!$G$25:$G$367,$G281),IF(method_reg="Метод сравнения аналогов",_xlfn.SUMIFS('Калькуляция (МСА)'!$AF$25:$AF$103,'Калькуляция (МСА)'!$F$25:$F$103,$F281,'Калькуляция (МСА)'!$G$25:$G$103,$G281),_xlfn.SUMIFS(INDEX('Калькуляция (МИ)'!$AJ$25:$BC$603,,MATCH(AW$8,'Калькуляция (МИ)'!$AJ$8:$BC$8,0)),'Калькуляция (МИ)'!$F$25:$F$603,$F281,'Калькуляция (МИ)'!$G$25:$G$603,$G281))))</f>
        <v>0</v>
      </c>
      <c r="AX281" s="1104">
        <f>IF(AV281=0,0,(AW281-AV281)/AV281*100)</f>
        <v>0</v>
      </c>
      <c r="AY281" s="4585">
        <f>IF(AND(method_reg="Метод индексации",god&lt;&gt;first_year),_xlfn.SUMIFS(INDEX('Калькуляция (МИ корр)'!$AJ$25:$BC$606,,MATCH(AY$8,'Калькуляция (МИ корр)'!$AJ$8:$BC$8,0)),'Калькуляция (МИ корр)'!$F$25:$F$606,$F281,'Калькуляция (МИ корр)'!$G$25:$G$606,$G281),IF(method_reg="Метод экономически обоснованных расходов",_xlfn.SUMIFS('Калькуляция (МЭОР)'!$AJ$25:$AJ$367,'Калькуляция (МЭОР)'!$F$25:$F$367,$F281,'Калькуляция (МЭОР)'!$G$25:$G$367,$G281),IF(method_reg="Метод сравнения аналогов",_xlfn.SUMIFS('Калькуляция (МСА)'!$AE$25:$AE$103,'Калькуляция (МСА)'!$F$25:$F$103,$F281,'Калькуляция (МСА)'!$G$25:$G$103,$G281),_xlfn.SUMIFS(INDEX('Калькуляция (МИ)'!$AJ$25:$BC$603,,MATCH(AY$8,'Калькуляция (МИ)'!$AJ$8:$BC$8,0)),'Калькуляция (МИ)'!$F$25:$F$603,$F281,'Калькуляция (МИ)'!$G$25:$G$603,$G281))))</f>
        <v>0</v>
      </c>
      <c r="AZ281" s="4585">
        <f>IF(AND(method_reg="Метод индексации",god&lt;&gt;first_year),_xlfn.SUMIFS(INDEX('Калькуляция (МИ корр)'!$AJ$25:$BC$606,,MATCH(AZ$8,'Калькуляция (МИ корр)'!$AJ$8:$BC$8,0)),'Калькуляция (МИ корр)'!$F$25:$F$606,$F281,'Калькуляция (МИ корр)'!$G$25:$G$606,$G281),IF(method_reg="Метод экономически обоснованных расходов",_xlfn.SUMIFS('Калькуляция (МЭОР)'!$AK$25:$AK$367,'Калькуляция (МЭОР)'!$F$25:$F$367,$F281,'Калькуляция (МЭОР)'!$G$25:$G$367,$G281),IF(method_reg="Метод сравнения аналогов",_xlfn.SUMIFS('Калькуляция (МСА)'!$AF$25:$AF$103,'Калькуляция (МСА)'!$F$25:$F$103,$F281,'Калькуляция (МСА)'!$G$25:$G$103,$G281),_xlfn.SUMIFS(INDEX('Калькуляция (МИ)'!$AJ$25:$BC$603,,MATCH(AZ$8,'Калькуляция (МИ)'!$AJ$8:$BC$8,0)),'Калькуляция (МИ)'!$F$25:$F$603,$F281,'Калькуляция (МИ)'!$G$25:$G$603,$G281))))</f>
        <v>0</v>
      </c>
      <c r="BA281" s="1104">
        <f>IF(AY281=0,0,(AZ281-AY281)/AY281*100)</f>
        <v>0</v>
      </c>
      <c r="BB281" s="4585">
        <f>IF(AND(method_reg="Метод индексации",god&lt;&gt;first_year),_xlfn.SUMIFS(INDEX('Калькуляция (МИ корр)'!$AJ$25:$BC$606,,MATCH(BB$8,'Калькуляция (МИ корр)'!$AJ$8:$BC$8,0)),'Калькуляция (МИ корр)'!$F$25:$F$606,$F281,'Калькуляция (МИ корр)'!$G$25:$G$606,$G281),IF(method_reg="Метод экономически обоснованных расходов",_xlfn.SUMIFS('Калькуляция (МЭОР)'!$AJ$25:$AJ$367,'Калькуляция (МЭОР)'!$F$25:$F$367,$F281,'Калькуляция (МЭОР)'!$G$25:$G$367,$G281),IF(method_reg="Метод сравнения аналогов",_xlfn.SUMIFS('Калькуляция (МСА)'!$AE$25:$AE$103,'Калькуляция (МСА)'!$F$25:$F$103,$F281,'Калькуляция (МСА)'!$G$25:$G$103,$G281),_xlfn.SUMIFS(INDEX('Калькуляция (МИ)'!$AJ$25:$BC$603,,MATCH(BB$8,'Калькуляция (МИ)'!$AJ$8:$BC$8,0)),'Калькуляция (МИ)'!$F$25:$F$603,$F281,'Калькуляция (МИ)'!$G$25:$G$603,$G281))))</f>
        <v>0</v>
      </c>
      <c r="BC281" s="4585">
        <f>IF(AND(method_reg="Метод индексации",god&lt;&gt;first_year),_xlfn.SUMIFS(INDEX('Калькуляция (МИ корр)'!$AJ$25:$BC$606,,MATCH(BC$8,'Калькуляция (МИ корр)'!$AJ$8:$BC$8,0)),'Калькуляция (МИ корр)'!$F$25:$F$606,$F281,'Калькуляция (МИ корр)'!$G$25:$G$606,$G281),IF(method_reg="Метод экономически обоснованных расходов",_xlfn.SUMIFS('Калькуляция (МЭОР)'!$AK$25:$AK$367,'Калькуляция (МЭОР)'!$F$25:$F$367,$F281,'Калькуляция (МЭОР)'!$G$25:$G$367,$G281),IF(method_reg="Метод сравнения аналогов",_xlfn.SUMIFS('Калькуляция (МСА)'!$AF$25:$AF$103,'Калькуляция (МСА)'!$F$25:$F$103,$F281,'Калькуляция (МСА)'!$G$25:$G$103,$G281),_xlfn.SUMIFS(INDEX('Калькуляция (МИ)'!$AJ$25:$BC$603,,MATCH(BC$8,'Калькуляция (МИ)'!$AJ$8:$BC$8,0)),'Калькуляция (МИ)'!$F$25:$F$603,$F281,'Калькуляция (МИ)'!$G$25:$G$603,$G281))))</f>
        <v>0</v>
      </c>
      <c r="BD281" s="1104">
        <f>IF(BB281=0,0,(BC281-BB281)/BB281*100)</f>
        <v>0</v>
      </c>
      <c r="BE281" s="4585">
        <f>IF(AND(method_reg="Метод индексации",god&lt;&gt;first_year),_xlfn.SUMIFS(INDEX('Калькуляция (МИ корр)'!$AJ$25:$BC$606,,MATCH(BE$8,'Калькуляция (МИ корр)'!$AJ$8:$BC$8,0)),'Калькуляция (МИ корр)'!$F$25:$F$606,$F281,'Калькуляция (МИ корр)'!$G$25:$G$606,$G281),IF(method_reg="Метод экономически обоснованных расходов",_xlfn.SUMIFS('Калькуляция (МЭОР)'!$AJ$25:$AJ$367,'Калькуляция (МЭОР)'!$F$25:$F$367,$F281,'Калькуляция (МЭОР)'!$G$25:$G$367,$G281),IF(method_reg="Метод сравнения аналогов",_xlfn.SUMIFS('Калькуляция (МСА)'!$AE$25:$AE$103,'Калькуляция (МСА)'!$F$25:$F$103,$F281,'Калькуляция (МСА)'!$G$25:$G$103,$G281),_xlfn.SUMIFS(INDEX('Калькуляция (МИ)'!$AJ$25:$BC$603,,MATCH(BE$8,'Калькуляция (МИ)'!$AJ$8:$BC$8,0)),'Калькуляция (МИ)'!$F$25:$F$603,$F281,'Калькуляция (МИ)'!$G$25:$G$603,$G281))))</f>
        <v>0</v>
      </c>
      <c r="BF281" s="4585">
        <f>IF(AND(method_reg="Метод индексации",god&lt;&gt;first_year),_xlfn.SUMIFS(INDEX('Калькуляция (МИ корр)'!$AJ$25:$BC$606,,MATCH(BF$8,'Калькуляция (МИ корр)'!$AJ$8:$BC$8,0)),'Калькуляция (МИ корр)'!$F$25:$F$606,$F281,'Калькуляция (МИ корр)'!$G$25:$G$606,$G281),IF(method_reg="Метод экономически обоснованных расходов",_xlfn.SUMIFS('Калькуляция (МЭОР)'!$AK$25:$AK$367,'Калькуляция (МЭОР)'!$F$25:$F$367,$F281,'Калькуляция (МЭОР)'!$G$25:$G$367,$G281),IF(method_reg="Метод сравнения аналогов",_xlfn.SUMIFS('Калькуляция (МСА)'!$AF$25:$AF$103,'Калькуляция (МСА)'!$F$25:$F$103,$F281,'Калькуляция (МСА)'!$G$25:$G$103,$G281),_xlfn.SUMIFS(INDEX('Калькуляция (МИ)'!$AJ$25:$BC$603,,MATCH(BF$8,'Калькуляция (МИ)'!$AJ$8:$BC$8,0)),'Калькуляция (МИ)'!$F$25:$F$603,$F281,'Калькуляция (МИ)'!$G$25:$G$603,$G281))))</f>
        <v>0</v>
      </c>
      <c r="BG281" s="1104">
        <f>IF(BE281=0,0,(BF281-BE281)/BE281*100)</f>
        <v>0</v>
      </c>
      <c r="BH281" s="4585"/>
      <c r="BI281" s="4585"/>
      <c r="BJ281" s="1104">
        <f>IF(BH281=0,0,(BI281-BH281)/BH281*100)</f>
        <v>0</v>
      </c>
      <c r="BK281" s="4585"/>
      <c r="BL281" s="4585"/>
      <c r="BM281" s="1104">
        <f>IF(BK281=0,0,(BL281-BK281)/BK281*100)</f>
        <v>0</v>
      </c>
      <c r="BN281" s="4585"/>
      <c r="BO281" s="4585"/>
      <c r="BP281" s="1104">
        <f>IF(BN281=0,0,(BO281-BN281)/BN281*100)</f>
        <v>0</v>
      </c>
      <c r="BQ281" s="4585"/>
      <c r="BR281" s="4585"/>
      <c r="BS281" s="1104">
        <f>IF(BQ281=0,0,(BR281-BQ281)/BQ281*100)</f>
        <v>0</v>
      </c>
      <c r="BT281" s="4585"/>
      <c r="BU281" s="4585"/>
      <c r="BV281" s="1104">
        <f>IF(BT281=0,0,(BU281-BT281)/BT281*100)</f>
        <v>0</v>
      </c>
      <c r="BW281" s="4585"/>
      <c r="BX281" s="4585"/>
      <c r="BY281" s="1104">
        <f>IF(BW281=0,0,(BX281-BW281)/BW281*100)</f>
        <v>0</v>
      </c>
      <c r="BZ281" s="4585"/>
      <c r="CA281" s="4585"/>
      <c r="CB281" s="1104">
        <f>IF(BZ281=0,0,(CA281-BZ281)/BZ281*100)</f>
        <v>0</v>
      </c>
      <c r="CC281" s="4585"/>
      <c r="CD281" s="4585"/>
      <c r="CE281" s="1104">
        <f>IF(CC281=0,0,(CD281-CC281)/CC281*100)</f>
        <v>0</v>
      </c>
      <c r="CF281" s="4585"/>
      <c r="CG281" s="4585"/>
      <c r="CH281" s="1104">
        <f>IF(CF281=0,0,(CG281-CF281)/CF281*100)</f>
        <v>0</v>
      </c>
      <c r="CI281" s="4585"/>
      <c r="CJ281" s="4585"/>
      <c r="CK281" s="1104">
        <f>IF(CI281=0,0,(CJ281-CI281)/CI281*100)</f>
        <v>0</v>
      </c>
      <c r="CL281" s="4585"/>
      <c r="CM281" s="4585"/>
      <c r="CN281" s="1104">
        <f>IF(CL281=0,0,(CM281-CL281)/CL281*100)</f>
        <v>0</v>
      </c>
      <c r="CO281" s="4585"/>
      <c r="CP281" s="4585"/>
      <c r="CQ281" s="1104">
        <f>IF(CO281=0,0,(CP281-CO281)/CO281*100)</f>
        <v>0</v>
      </c>
      <c r="CR281" s="4585"/>
      <c r="CS281" s="4585"/>
      <c r="CT281" s="1104">
        <f>IF(CR281=0,0,(CS281-CR281)/CR281*100)</f>
        <v>0</v>
      </c>
      <c r="CU281" s="4585"/>
      <c r="CV281" s="4585"/>
      <c r="CW281" s="1104">
        <f>IF(CU281=0,0,(CV281-CU281)/CU281*100)</f>
        <v>0</v>
      </c>
      <c r="CX281" s="4585"/>
      <c r="CY281" s="4585"/>
      <c r="CZ281" s="1104">
        <f>IF(CX281=0,0,(CY281-CX281)/CX281*100)</f>
        <v>0</v>
      </c>
      <c r="DA281" s="4585"/>
      <c r="DB281" s="4585"/>
      <c r="DC281" s="1104">
        <f>IF(DA281=0,0,(DB281-DA281)/DA281*100)</f>
        <v>0</v>
      </c>
      <c r="DD281" s="4585"/>
      <c r="DE281" s="4585"/>
      <c r="DF281" s="1104">
        <f>IF(DD281=0,0,(DE281-DD281)/DD281*100)</f>
        <v>0</v>
      </c>
      <c r="DG281" s="4585"/>
      <c r="DH281" s="4585"/>
      <c r="DI281" s="1104">
        <f>IF(DG281=0,0,(DH281-DG281)/DG281*100)</f>
        <v>0</v>
      </c>
      <c r="DJ281" s="4585"/>
      <c r="DK281" s="4585"/>
      <c r="DL281" s="1104">
        <f>IF(DJ281=0,0,(DK281-DJ281)/DJ281*100)</f>
        <v>0</v>
      </c>
      <c r="DM281" s="4585"/>
      <c r="DN281" s="4585"/>
      <c r="DO281" s="1104">
        <f>IF(DM281=0,0,(DN281-DM281)/DM281*100)</f>
        <v>0</v>
      </c>
      <c r="DP281" s="4585"/>
      <c r="DQ281" s="4585"/>
      <c r="DR281" s="1104">
        <f>IF(DP281=0,0,(DQ281-DP281)/DP281*100)</f>
        <v>0</v>
      </c>
      <c r="DS281" s="4585"/>
      <c r="DT281" s="4585"/>
      <c r="DU281" s="1104">
        <f>IF(DS281=0,0,(DT281-DS281)/DS281*100)</f>
        <v>0</v>
      </c>
      <c r="DV281" s="4585"/>
      <c r="DW281" s="4585"/>
      <c r="DX281" s="1104">
        <f>IF(DV281=0,0,(DW281-DV281)/DV281*100)</f>
        <v>0</v>
      </c>
      <c r="DY281" s="4585"/>
      <c r="DZ281" s="4585"/>
      <c r="EA281" s="1104">
        <f>IF(DY281=0,0,(DZ281-DY281)/DY281*100)</f>
        <v>0</v>
      </c>
      <c r="EB281" s="4585"/>
      <c r="EC281" s="4585"/>
      <c r="ED281" s="1104">
        <f>IF(EB281=0,0,(EC281-EB281)/EB281*100)</f>
        <v>0</v>
      </c>
      <c r="EE281" s="4585"/>
      <c r="EF281" s="4585"/>
      <c r="EG281" s="1104">
        <f>IF(EE281=0,0,(EF281-EE281)/EE281*100)</f>
        <v>0</v>
      </c>
      <c r="EH281" s="4585"/>
      <c r="EI281" s="4585"/>
      <c r="EJ281" s="1104">
        <f>IF(EH281=0,0,(EI281-EH281)/EH281*100)</f>
        <v>0</v>
      </c>
      <c r="EK281" s="4585"/>
      <c r="EL281" s="4585"/>
      <c r="EM281" s="1104">
        <f>IF(EK281=0,0,(EL281-EK281)/EK281*100)</f>
        <v>0</v>
      </c>
      <c r="EN281" s="4585"/>
      <c r="EO281" s="4585"/>
      <c r="EP281" s="1104">
        <f>IF(EN281=0,0,(EO281-EN281)/EN281*100)</f>
        <v>0</v>
      </c>
      <c r="EQ281" s="4585"/>
      <c r="ER281" s="4585"/>
      <c r="ES281" s="1104">
        <f>IF(EQ281=0,0,(ER281-EQ281)/EQ281*100)</f>
        <v>0</v>
      </c>
      <c r="ET281" s="4585"/>
      <c r="EU281" s="4585"/>
      <c r="EV281" s="1104">
        <f>IF(ET281=0,0,(EU281-ET281)/ET281*100)</f>
        <v>0</v>
      </c>
      <c r="EW281" s="4585"/>
      <c r="EX281" s="4585"/>
      <c r="EY281" s="1104">
        <f>IF(EW281=0,0,(EX281-EW281)/EW281*100)</f>
        <v>0</v>
      </c>
      <c r="EZ281" s="4585"/>
      <c r="FA281" s="4585"/>
      <c r="FB281" s="1104">
        <f>IF(EZ281=0,0,(FA281-EZ281)/EZ281*100)</f>
        <v>0</v>
      </c>
      <c r="FC281" s="4585"/>
      <c r="FD281" s="4585"/>
      <c r="FE281" s="1104">
        <f>IF(FC281=0,0,(FD281-FC281)/FC281*100)</f>
        <v>0</v>
      </c>
      <c r="FF281" s="4585"/>
      <c r="FG281" s="4585"/>
      <c r="FH281" s="1104">
        <f>IF(FF281=0,0,(FG281-FF281)/FF281*100)</f>
        <v>0</v>
      </c>
      <c r="FI281" s="4585"/>
      <c r="FJ281" s="4585"/>
      <c r="FK281" s="1104">
        <f>IF(FI281=0,0,(FJ281-FI281)/FI281*100)</f>
        <v>0</v>
      </c>
      <c r="FL281" s="4585"/>
      <c r="FM281" s="4585"/>
      <c r="FN281" s="1104">
        <f>IF(FL281=0,0,(FM281-FL281)/FL281*100)</f>
        <v>0</v>
      </c>
      <c r="FO281" s="4585"/>
      <c r="FP281" s="4585"/>
      <c r="FQ281" s="1104">
        <f>IF(FO281=0,0,(FP281-FO281)/FO281*100)</f>
        <v>0</v>
      </c>
      <c r="FR281" s="4585"/>
      <c r="FS281" s="4585"/>
      <c r="FT281" s="1104">
        <f>IF(FR281=0,0,(FS281-FR281)/FR281*100)</f>
        <v>0</v>
      </c>
      <c r="FU281" s="4585"/>
      <c r="FV281" s="4585"/>
      <c r="FW281" s="1104">
        <f>IF(FU281=0,0,(FV281-FU281)/FU281*100)</f>
        <v>0</v>
      </c>
      <c r="FX281" s="1328"/>
      <c r="FY281" s="1328"/>
      <c r="FZ281" s="1063" t="s">
        <v>1926</v>
      </c>
      <c r="GA281" s="1330"/>
      <c r="GB281" s="1330"/>
      <c r="GC281" s="1329"/>
      <c r="GD281" s="1329"/>
    </row>
    <row s="1656" customFormat="1" customHeight="1" ht="21.75" hidden="1">
      <c r="A282" s="496"/>
      <c r="B282" s="932" cm="1" t="str">
        <f t="array" ref="B282:B282">B281</f>
        <v>false</v>
      </c>
      <c r="C282" s="496"/>
      <c r="D282" s="496"/>
      <c r="E282" s="847">
        <v>22.5</v>
      </c>
      <c r="F282" s="50" cm="1" t="str">
        <f t="array" ref="F282:F282">OFFSET(E282,-1,1)</f>
        <v>3</v>
      </c>
      <c r="G282" s="496"/>
      <c r="H282" s="496" t="s">
        <v>1901</v>
      </c>
      <c r="I282" s="496" t="s">
        <v>1879</v>
      </c>
      <c r="J282" s="496"/>
      <c r="K282" s="496"/>
      <c r="L282" s="496"/>
      <c r="M282" s="496"/>
      <c r="N282" s="496"/>
      <c r="O282" s="496"/>
      <c r="P282" s="496"/>
      <c r="Q282" s="496"/>
      <c r="R282" s="496"/>
      <c r="S282" s="496"/>
      <c r="T282" s="468" cm="1" t="str">
        <f t="array" ref="T282:T282">T281</f>
        <v>true</v>
      </c>
      <c r="U282" s="496"/>
      <c r="V282" s="496"/>
      <c r="W282" s="496"/>
      <c r="X282" s="1559"/>
      <c r="Y282" s="496"/>
      <c r="Z282" s="1528"/>
      <c r="AA282" s="496"/>
      <c r="AB282" s="911" t="str">
        <f>"ставка платы за содержание системы "&amp;IF(Q242="Водоснабжение","холодного водоснабжения","водоотведения")</f>
        <v>ставка платы за содержание системы водоотведения</v>
      </c>
      <c r="AC282" s="871" t="s">
        <v>1902</v>
      </c>
      <c r="AD282" s="4591"/>
      <c r="AE282" s="4591"/>
      <c r="AF282" s="1102">
        <f>IF(AD282=0,0,(AE282-AD282)/AD282*100)</f>
        <v>0</v>
      </c>
      <c r="AG282" s="4591"/>
      <c r="AH282" s="4591"/>
      <c r="AI282" s="1102">
        <f>IF(AG282=0,0,(AH282-AG282)/AG282*100)</f>
        <v>0</v>
      </c>
      <c r="AJ282" s="4591"/>
      <c r="AK282" s="4591"/>
      <c r="AL282" s="1102">
        <f>IF(AJ282=0,0,(AK282-AJ282)/AJ282*100)</f>
        <v>0</v>
      </c>
      <c r="AM282" s="4591"/>
      <c r="AN282" s="4591"/>
      <c r="AO282" s="1102">
        <f>IF(AM282=0,0,(AN282-AM282)/AM282*100)</f>
        <v>0</v>
      </c>
      <c r="AP282" s="4591"/>
      <c r="AQ282" s="4591"/>
      <c r="AR282" s="1102">
        <f>IF(AP282=0,0,(AQ282-AP282)/AP282*100)</f>
        <v>0</v>
      </c>
      <c r="AS282" s="4591"/>
      <c r="AT282" s="4591"/>
      <c r="AU282" s="1102">
        <f>IF(AS282=0,0,(AT282-AS282)/AS282*100)</f>
        <v>0</v>
      </c>
      <c r="AV282" s="4591"/>
      <c r="AW282" s="4591"/>
      <c r="AX282" s="1102">
        <f>IF(AV282=0,0,(AW282-AV282)/AV282*100)</f>
        <v>0</v>
      </c>
      <c r="AY282" s="4591"/>
      <c r="AZ282" s="4591"/>
      <c r="BA282" s="1102">
        <f>IF(AY282=0,0,(AZ282-AY282)/AY282*100)</f>
        <v>0</v>
      </c>
      <c r="BB282" s="4591"/>
      <c r="BC282" s="4591"/>
      <c r="BD282" s="1102">
        <f>IF(BB282=0,0,(BC282-BB282)/BB282*100)</f>
        <v>0</v>
      </c>
      <c r="BE282" s="4591"/>
      <c r="BF282" s="4591"/>
      <c r="BG282" s="1102">
        <f>IF(BE282=0,0,(BF282-BE282)/BE282*100)</f>
        <v>0</v>
      </c>
      <c r="BH282" s="4591"/>
      <c r="BI282" s="4591"/>
      <c r="BJ282" s="1102">
        <f>IF(BH282=0,0,(BI282-BH282)/BH282*100)</f>
        <v>0</v>
      </c>
      <c r="BK282" s="4591"/>
      <c r="BL282" s="4591"/>
      <c r="BM282" s="1102">
        <f>IF(BK282=0,0,(BL282-BK282)/BK282*100)</f>
        <v>0</v>
      </c>
      <c r="BN282" s="4591"/>
      <c r="BO282" s="4591"/>
      <c r="BP282" s="1102">
        <f>IF(BN282=0,0,(BO282-BN282)/BN282*100)</f>
        <v>0</v>
      </c>
      <c r="BQ282" s="4591"/>
      <c r="BR282" s="4591"/>
      <c r="BS282" s="1102">
        <f>IF(BQ282=0,0,(BR282-BQ282)/BQ282*100)</f>
        <v>0</v>
      </c>
      <c r="BT282" s="4591"/>
      <c r="BU282" s="4591"/>
      <c r="BV282" s="1102">
        <f>IF(BT282=0,0,(BU282-BT282)/BT282*100)</f>
        <v>0</v>
      </c>
      <c r="BW282" s="4591"/>
      <c r="BX282" s="4591"/>
      <c r="BY282" s="1102">
        <f>IF(BW282=0,0,(BX282-BW282)/BW282*100)</f>
        <v>0</v>
      </c>
      <c r="BZ282" s="4591"/>
      <c r="CA282" s="4591"/>
      <c r="CB282" s="1102">
        <f>IF(BZ282=0,0,(CA282-BZ282)/BZ282*100)</f>
        <v>0</v>
      </c>
      <c r="CC282" s="4591"/>
      <c r="CD282" s="4591"/>
      <c r="CE282" s="1102">
        <f>IF(CC282=0,0,(CD282-CC282)/CC282*100)</f>
        <v>0</v>
      </c>
      <c r="CF282" s="4591"/>
      <c r="CG282" s="4591"/>
      <c r="CH282" s="1102">
        <f>IF(CF282=0,0,(CG282-CF282)/CF282*100)</f>
        <v>0</v>
      </c>
      <c r="CI282" s="4591"/>
      <c r="CJ282" s="4591"/>
      <c r="CK282" s="1102">
        <f>IF(CI282=0,0,(CJ282-CI282)/CI282*100)</f>
        <v>0</v>
      </c>
      <c r="CL282" s="4591"/>
      <c r="CM282" s="4591"/>
      <c r="CN282" s="1102">
        <f>IF(CL282=0,0,(CM282-CL282)/CL282*100)</f>
        <v>0</v>
      </c>
      <c r="CO282" s="4591"/>
      <c r="CP282" s="4591"/>
      <c r="CQ282" s="1102">
        <f>IF(CO282=0,0,(CP282-CO282)/CO282*100)</f>
        <v>0</v>
      </c>
      <c r="CR282" s="4591"/>
      <c r="CS282" s="4591"/>
      <c r="CT282" s="1102">
        <f>IF(CR282=0,0,(CS282-CR282)/CR282*100)</f>
        <v>0</v>
      </c>
      <c r="CU282" s="4591"/>
      <c r="CV282" s="4591"/>
      <c r="CW282" s="1102">
        <f>IF(CU282=0,0,(CV282-CU282)/CU282*100)</f>
        <v>0</v>
      </c>
      <c r="CX282" s="4591"/>
      <c r="CY282" s="4591"/>
      <c r="CZ282" s="1102">
        <f>IF(CX282=0,0,(CY282-CX282)/CX282*100)</f>
        <v>0</v>
      </c>
      <c r="DA282" s="4591"/>
      <c r="DB282" s="4591"/>
      <c r="DC282" s="1102">
        <f>IF(DA282=0,0,(DB282-DA282)/DA282*100)</f>
        <v>0</v>
      </c>
      <c r="DD282" s="4591"/>
      <c r="DE282" s="4591"/>
      <c r="DF282" s="1102">
        <f>IF(DD282=0,0,(DE282-DD282)/DD282*100)</f>
        <v>0</v>
      </c>
      <c r="DG282" s="4591"/>
      <c r="DH282" s="4591"/>
      <c r="DI282" s="1102">
        <f>IF(DG282=0,0,(DH282-DG282)/DG282*100)</f>
        <v>0</v>
      </c>
      <c r="DJ282" s="4591"/>
      <c r="DK282" s="4591"/>
      <c r="DL282" s="1102">
        <f>IF(DJ282=0,0,(DK282-DJ282)/DJ282*100)</f>
        <v>0</v>
      </c>
      <c r="DM282" s="4591"/>
      <c r="DN282" s="4591"/>
      <c r="DO282" s="1102">
        <f>IF(DM282=0,0,(DN282-DM282)/DM282*100)</f>
        <v>0</v>
      </c>
      <c r="DP282" s="4591"/>
      <c r="DQ282" s="4591"/>
      <c r="DR282" s="1102">
        <f>IF(DP282=0,0,(DQ282-DP282)/DP282*100)</f>
        <v>0</v>
      </c>
      <c r="DS282" s="4591"/>
      <c r="DT282" s="4591"/>
      <c r="DU282" s="1102">
        <f>IF(DS282=0,0,(DT282-DS282)/DS282*100)</f>
        <v>0</v>
      </c>
      <c r="DV282" s="4591"/>
      <c r="DW282" s="4591"/>
      <c r="DX282" s="1102">
        <f>IF(DV282=0,0,(DW282-DV282)/DV282*100)</f>
        <v>0</v>
      </c>
      <c r="DY282" s="4591"/>
      <c r="DZ282" s="4591"/>
      <c r="EA282" s="1102">
        <f>IF(DY282=0,0,(DZ282-DY282)/DY282*100)</f>
        <v>0</v>
      </c>
      <c r="EB282" s="4591"/>
      <c r="EC282" s="4591"/>
      <c r="ED282" s="1102">
        <f>IF(EB282=0,0,(EC282-EB282)/EB282*100)</f>
        <v>0</v>
      </c>
      <c r="EE282" s="4591"/>
      <c r="EF282" s="4591"/>
      <c r="EG282" s="1102">
        <f>IF(EE282=0,0,(EF282-EE282)/EE282*100)</f>
        <v>0</v>
      </c>
      <c r="EH282" s="4591"/>
      <c r="EI282" s="4591"/>
      <c r="EJ282" s="1102">
        <f>IF(EH282=0,0,(EI282-EH282)/EH282*100)</f>
        <v>0</v>
      </c>
      <c r="EK282" s="4591"/>
      <c r="EL282" s="4591"/>
      <c r="EM282" s="1102">
        <f>IF(EK282=0,0,(EL282-EK282)/EK282*100)</f>
        <v>0</v>
      </c>
      <c r="EN282" s="4591"/>
      <c r="EO282" s="4591"/>
      <c r="EP282" s="1102">
        <f>IF(EN282=0,0,(EO282-EN282)/EN282*100)</f>
        <v>0</v>
      </c>
      <c r="EQ282" s="4591"/>
      <c r="ER282" s="4591"/>
      <c r="ES282" s="1102">
        <f>IF(EQ282=0,0,(ER282-EQ282)/EQ282*100)</f>
        <v>0</v>
      </c>
      <c r="ET282" s="4591"/>
      <c r="EU282" s="4591"/>
      <c r="EV282" s="1102">
        <f>IF(ET282=0,0,(EU282-ET282)/ET282*100)</f>
        <v>0</v>
      </c>
      <c r="EW282" s="4591"/>
      <c r="EX282" s="4591"/>
      <c r="EY282" s="1102">
        <f>IF(EW282=0,0,(EX282-EW282)/EW282*100)</f>
        <v>0</v>
      </c>
      <c r="EZ282" s="4591"/>
      <c r="FA282" s="4591"/>
      <c r="FB282" s="1102">
        <f>IF(EZ282=0,0,(FA282-EZ282)/EZ282*100)</f>
        <v>0</v>
      </c>
      <c r="FC282" s="4591"/>
      <c r="FD282" s="4591"/>
      <c r="FE282" s="1102">
        <f>IF(FC282=0,0,(FD282-FC282)/FC282*100)</f>
        <v>0</v>
      </c>
      <c r="FF282" s="4591"/>
      <c r="FG282" s="4591"/>
      <c r="FH282" s="1102">
        <f>IF(FF282=0,0,(FG282-FF282)/FF282*100)</f>
        <v>0</v>
      </c>
      <c r="FI282" s="4591"/>
      <c r="FJ282" s="4591"/>
      <c r="FK282" s="1102">
        <f>IF(FI282=0,0,(FJ282-FI282)/FI282*100)</f>
        <v>0</v>
      </c>
      <c r="FL282" s="4591"/>
      <c r="FM282" s="4591"/>
      <c r="FN282" s="1102">
        <f>IF(FL282=0,0,(FM282-FL282)/FL282*100)</f>
        <v>0</v>
      </c>
      <c r="FO282" s="4591"/>
      <c r="FP282" s="4591"/>
      <c r="FQ282" s="1102">
        <f>IF(FO282=0,0,(FP282-FO282)/FO282*100)</f>
        <v>0</v>
      </c>
      <c r="FR282" s="4591"/>
      <c r="FS282" s="4591"/>
      <c r="FT282" s="1102">
        <f>IF(FR282=0,0,(FS282-FR282)/FR282*100)</f>
        <v>0</v>
      </c>
      <c r="FU282" s="4591"/>
      <c r="FV282" s="4591"/>
      <c r="FW282" s="1102">
        <f>IF(FU282=0,0,(FV282-FU282)/FU282*100)</f>
        <v>0</v>
      </c>
      <c r="FX282" s="1328"/>
      <c r="FY282" s="1328"/>
      <c r="FZ282" s="1063" t="s">
        <v>1927</v>
      </c>
      <c r="GA282" s="1330"/>
      <c r="GB282" s="1330"/>
      <c r="GC282" s="1329"/>
      <c r="GD282" s="1329"/>
    </row>
    <row s="1656" customFormat="1" customHeight="1" ht="14.25" hidden="1">
      <c r="A283" s="496"/>
      <c r="B283" s="932" cm="1" t="str">
        <f t="array" ref="B283:B283">B282</f>
        <v>false</v>
      </c>
      <c r="C283" s="496"/>
      <c r="D283" s="496"/>
      <c r="E283" s="847">
        <v>15</v>
      </c>
      <c r="F283" s="50" cm="1" t="str">
        <f t="array" ref="F283:F283">OFFSET(E283,-1,1)</f>
        <v>3</v>
      </c>
      <c r="G283" s="496"/>
      <c r="H283" s="496" t="s">
        <v>1904</v>
      </c>
      <c r="I283" s="496" t="s">
        <v>1879</v>
      </c>
      <c r="J283" s="496"/>
      <c r="K283" s="496"/>
      <c r="L283" s="496"/>
      <c r="M283" s="496"/>
      <c r="N283" s="496"/>
      <c r="O283" s="496"/>
      <c r="P283" s="496"/>
      <c r="Q283" s="496"/>
      <c r="R283" s="496"/>
      <c r="S283" s="496"/>
      <c r="T283" s="468" cm="1" t="str">
        <f t="array" ref="T283:T283">T282</f>
        <v>true</v>
      </c>
      <c r="U283" s="496"/>
      <c r="V283" s="496"/>
      <c r="W283" s="496"/>
      <c r="X283" s="1559"/>
      <c r="Y283" s="496"/>
      <c r="Z283" s="1528"/>
      <c r="AA283" s="496"/>
      <c r="AB283" s="911" t="s">
        <v>1905</v>
      </c>
      <c r="AC283" s="871" t="s">
        <v>1906</v>
      </c>
      <c r="AD283" s="4591"/>
      <c r="AE283" s="4591"/>
      <c r="AF283" s="1102">
        <f>IF(AD283=0,0,(AE283-AD283)/AD283*100)</f>
        <v>0</v>
      </c>
      <c r="AG283" s="4591"/>
      <c r="AH283" s="4591"/>
      <c r="AI283" s="1102">
        <f>IF(AG283=0,0,(AH283-AG283)/AG283*100)</f>
        <v>0</v>
      </c>
      <c r="AJ283" s="4591"/>
      <c r="AK283" s="4591"/>
      <c r="AL283" s="1102">
        <f>IF(AJ283=0,0,(AK283-AJ283)/AJ283*100)</f>
        <v>0</v>
      </c>
      <c r="AM283" s="4591"/>
      <c r="AN283" s="4591"/>
      <c r="AO283" s="1102">
        <f>IF(AM283=0,0,(AN283-AM283)/AM283*100)</f>
        <v>0</v>
      </c>
      <c r="AP283" s="4591"/>
      <c r="AQ283" s="4591"/>
      <c r="AR283" s="1102">
        <f>IF(AP283=0,0,(AQ283-AP283)/AP283*100)</f>
        <v>0</v>
      </c>
      <c r="AS283" s="4591"/>
      <c r="AT283" s="4591"/>
      <c r="AU283" s="1102">
        <f>IF(AS283=0,0,(AT283-AS283)/AS283*100)</f>
        <v>0</v>
      </c>
      <c r="AV283" s="4591"/>
      <c r="AW283" s="4591"/>
      <c r="AX283" s="1102">
        <f>IF(AV283=0,0,(AW283-AV283)/AV283*100)</f>
        <v>0</v>
      </c>
      <c r="AY283" s="4591"/>
      <c r="AZ283" s="4591"/>
      <c r="BA283" s="1102">
        <f>IF(AY283=0,0,(AZ283-AY283)/AY283*100)</f>
        <v>0</v>
      </c>
      <c r="BB283" s="4591"/>
      <c r="BC283" s="4591"/>
      <c r="BD283" s="1102">
        <f>IF(BB283=0,0,(BC283-BB283)/BB283*100)</f>
        <v>0</v>
      </c>
      <c r="BE283" s="4591"/>
      <c r="BF283" s="4591"/>
      <c r="BG283" s="1102">
        <f>IF(BE283=0,0,(BF283-BE283)/BE283*100)</f>
        <v>0</v>
      </c>
      <c r="BH283" s="4591"/>
      <c r="BI283" s="4591"/>
      <c r="BJ283" s="1102">
        <f>IF(BH283=0,0,(BI283-BH283)/BH283*100)</f>
        <v>0</v>
      </c>
      <c r="BK283" s="4591"/>
      <c r="BL283" s="4591"/>
      <c r="BM283" s="1102">
        <f>IF(BK283=0,0,(BL283-BK283)/BK283*100)</f>
        <v>0</v>
      </c>
      <c r="BN283" s="4591"/>
      <c r="BO283" s="4591"/>
      <c r="BP283" s="1102">
        <f>IF(BN283=0,0,(BO283-BN283)/BN283*100)</f>
        <v>0</v>
      </c>
      <c r="BQ283" s="4591"/>
      <c r="BR283" s="4591"/>
      <c r="BS283" s="1102">
        <f>IF(BQ283=0,0,(BR283-BQ283)/BQ283*100)</f>
        <v>0</v>
      </c>
      <c r="BT283" s="4591"/>
      <c r="BU283" s="4591"/>
      <c r="BV283" s="1102">
        <f>IF(BT283=0,0,(BU283-BT283)/BT283*100)</f>
        <v>0</v>
      </c>
      <c r="BW283" s="4591"/>
      <c r="BX283" s="4591"/>
      <c r="BY283" s="1102">
        <f>IF(BW283=0,0,(BX283-BW283)/BW283*100)</f>
        <v>0</v>
      </c>
      <c r="BZ283" s="4591"/>
      <c r="CA283" s="4591"/>
      <c r="CB283" s="1102">
        <f>IF(BZ283=0,0,(CA283-BZ283)/BZ283*100)</f>
        <v>0</v>
      </c>
      <c r="CC283" s="4591"/>
      <c r="CD283" s="4591"/>
      <c r="CE283" s="1102">
        <f>IF(CC283=0,0,(CD283-CC283)/CC283*100)</f>
        <v>0</v>
      </c>
      <c r="CF283" s="4591"/>
      <c r="CG283" s="4591"/>
      <c r="CH283" s="1102">
        <f>IF(CF283=0,0,(CG283-CF283)/CF283*100)</f>
        <v>0</v>
      </c>
      <c r="CI283" s="4591"/>
      <c r="CJ283" s="4591"/>
      <c r="CK283" s="1102">
        <f>IF(CI283=0,0,(CJ283-CI283)/CI283*100)</f>
        <v>0</v>
      </c>
      <c r="CL283" s="4591"/>
      <c r="CM283" s="4591"/>
      <c r="CN283" s="1102">
        <f>IF(CL283=0,0,(CM283-CL283)/CL283*100)</f>
        <v>0</v>
      </c>
      <c r="CO283" s="4591"/>
      <c r="CP283" s="4591"/>
      <c r="CQ283" s="1102">
        <f>IF(CO283=0,0,(CP283-CO283)/CO283*100)</f>
        <v>0</v>
      </c>
      <c r="CR283" s="4591"/>
      <c r="CS283" s="4591"/>
      <c r="CT283" s="1102">
        <f>IF(CR283=0,0,(CS283-CR283)/CR283*100)</f>
        <v>0</v>
      </c>
      <c r="CU283" s="4591"/>
      <c r="CV283" s="4591"/>
      <c r="CW283" s="1102">
        <f>IF(CU283=0,0,(CV283-CU283)/CU283*100)</f>
        <v>0</v>
      </c>
      <c r="CX283" s="4591"/>
      <c r="CY283" s="4591"/>
      <c r="CZ283" s="1102">
        <f>IF(CX283=0,0,(CY283-CX283)/CX283*100)</f>
        <v>0</v>
      </c>
      <c r="DA283" s="4591"/>
      <c r="DB283" s="4591"/>
      <c r="DC283" s="1102">
        <f>IF(DA283=0,0,(DB283-DA283)/DA283*100)</f>
        <v>0</v>
      </c>
      <c r="DD283" s="4591"/>
      <c r="DE283" s="4591"/>
      <c r="DF283" s="1102">
        <f>IF(DD283=0,0,(DE283-DD283)/DD283*100)</f>
        <v>0</v>
      </c>
      <c r="DG283" s="4591"/>
      <c r="DH283" s="4591"/>
      <c r="DI283" s="1102">
        <f>IF(DG283=0,0,(DH283-DG283)/DG283*100)</f>
        <v>0</v>
      </c>
      <c r="DJ283" s="4591"/>
      <c r="DK283" s="4591"/>
      <c r="DL283" s="1102">
        <f>IF(DJ283=0,0,(DK283-DJ283)/DJ283*100)</f>
        <v>0</v>
      </c>
      <c r="DM283" s="4591"/>
      <c r="DN283" s="4591"/>
      <c r="DO283" s="1102">
        <f>IF(DM283=0,0,(DN283-DM283)/DM283*100)</f>
        <v>0</v>
      </c>
      <c r="DP283" s="4591"/>
      <c r="DQ283" s="4591"/>
      <c r="DR283" s="1102">
        <f>IF(DP283=0,0,(DQ283-DP283)/DP283*100)</f>
        <v>0</v>
      </c>
      <c r="DS283" s="4591"/>
      <c r="DT283" s="4591"/>
      <c r="DU283" s="1102">
        <f>IF(DS283=0,0,(DT283-DS283)/DS283*100)</f>
        <v>0</v>
      </c>
      <c r="DV283" s="4591"/>
      <c r="DW283" s="4591"/>
      <c r="DX283" s="1102">
        <f>IF(DV283=0,0,(DW283-DV283)/DV283*100)</f>
        <v>0</v>
      </c>
      <c r="DY283" s="4591"/>
      <c r="DZ283" s="4591"/>
      <c r="EA283" s="1102">
        <f>IF(DY283=0,0,(DZ283-DY283)/DY283*100)</f>
        <v>0</v>
      </c>
      <c r="EB283" s="4591"/>
      <c r="EC283" s="4591"/>
      <c r="ED283" s="1102">
        <f>IF(EB283=0,0,(EC283-EB283)/EB283*100)</f>
        <v>0</v>
      </c>
      <c r="EE283" s="4591"/>
      <c r="EF283" s="4591"/>
      <c r="EG283" s="1102">
        <f>IF(EE283=0,0,(EF283-EE283)/EE283*100)</f>
        <v>0</v>
      </c>
      <c r="EH283" s="4591"/>
      <c r="EI283" s="4591"/>
      <c r="EJ283" s="1102">
        <f>IF(EH283=0,0,(EI283-EH283)/EH283*100)</f>
        <v>0</v>
      </c>
      <c r="EK283" s="4591"/>
      <c r="EL283" s="4591"/>
      <c r="EM283" s="1102">
        <f>IF(EK283=0,0,(EL283-EK283)/EK283*100)</f>
        <v>0</v>
      </c>
      <c r="EN283" s="4591"/>
      <c r="EO283" s="4591"/>
      <c r="EP283" s="1102">
        <f>IF(EN283=0,0,(EO283-EN283)/EN283*100)</f>
        <v>0</v>
      </c>
      <c r="EQ283" s="4591"/>
      <c r="ER283" s="4591"/>
      <c r="ES283" s="1102">
        <f>IF(EQ283=0,0,(ER283-EQ283)/EQ283*100)</f>
        <v>0</v>
      </c>
      <c r="ET283" s="4591"/>
      <c r="EU283" s="4591"/>
      <c r="EV283" s="1102">
        <f>IF(ET283=0,0,(EU283-ET283)/ET283*100)</f>
        <v>0</v>
      </c>
      <c r="EW283" s="4591"/>
      <c r="EX283" s="4591"/>
      <c r="EY283" s="1102">
        <f>IF(EW283=0,0,(EX283-EW283)/EW283*100)</f>
        <v>0</v>
      </c>
      <c r="EZ283" s="4591"/>
      <c r="FA283" s="4591"/>
      <c r="FB283" s="1102">
        <f>IF(EZ283=0,0,(FA283-EZ283)/EZ283*100)</f>
        <v>0</v>
      </c>
      <c r="FC283" s="4591"/>
      <c r="FD283" s="4591"/>
      <c r="FE283" s="1102">
        <f>IF(FC283=0,0,(FD283-FC283)/FC283*100)</f>
        <v>0</v>
      </c>
      <c r="FF283" s="4591"/>
      <c r="FG283" s="4591"/>
      <c r="FH283" s="1102">
        <f>IF(FF283=0,0,(FG283-FF283)/FF283*100)</f>
        <v>0</v>
      </c>
      <c r="FI283" s="4591"/>
      <c r="FJ283" s="4591"/>
      <c r="FK283" s="1102">
        <f>IF(FI283=0,0,(FJ283-FI283)/FI283*100)</f>
        <v>0</v>
      </c>
      <c r="FL283" s="4591"/>
      <c r="FM283" s="4591"/>
      <c r="FN283" s="1102">
        <f>IF(FL283=0,0,(FM283-FL283)/FL283*100)</f>
        <v>0</v>
      </c>
      <c r="FO283" s="4591"/>
      <c r="FP283" s="4591"/>
      <c r="FQ283" s="1102">
        <f>IF(FO283=0,0,(FP283-FO283)/FO283*100)</f>
        <v>0</v>
      </c>
      <c r="FR283" s="4591"/>
      <c r="FS283" s="4591"/>
      <c r="FT283" s="1102">
        <f>IF(FR283=0,0,(FS283-FR283)/FR283*100)</f>
        <v>0</v>
      </c>
      <c r="FU283" s="4591"/>
      <c r="FV283" s="4591"/>
      <c r="FW283" s="1102">
        <f>IF(FU283=0,0,(FV283-FU283)/FU283*100)</f>
        <v>0</v>
      </c>
      <c r="FX283" s="1328"/>
      <c r="FY283" s="1328"/>
      <c r="FZ283" s="1063" t="s">
        <v>1928</v>
      </c>
      <c r="GA283" s="1330"/>
      <c r="GB283" s="1330"/>
      <c r="GC283" s="1329"/>
      <c r="GD283" s="1329"/>
    </row>
    <row s="1656" customFormat="1" customHeight="1" ht="18" hidden="1">
      <c r="A284" s="496"/>
      <c r="B284" s="932" cm="1" t="str">
        <f t="array" ref="B284:B284">B283</f>
        <v>false</v>
      </c>
      <c r="C284" s="496"/>
      <c r="D284" s="496"/>
      <c r="E284" s="847">
        <v>18.75</v>
      </c>
      <c r="F284" s="50" cm="1" t="str">
        <f t="array" ref="F284:F284">OFFSET(E284,-1,1)</f>
        <v>3</v>
      </c>
      <c r="G284" s="496"/>
      <c r="H284" s="496"/>
      <c r="I284" s="496"/>
      <c r="J284" s="496"/>
      <c r="K284" s="496"/>
      <c r="L284" s="496"/>
      <c r="M284" s="496"/>
      <c r="N284" s="496"/>
      <c r="O284" s="496"/>
      <c r="P284" s="496"/>
      <c r="Q284" s="496"/>
      <c r="R284" s="496"/>
      <c r="S284" s="496"/>
      <c r="T284" s="468">
        <f>AND(F284&gt;0,Y284&gt;0)</f>
        <v>0</v>
      </c>
      <c r="U284" s="496"/>
      <c r="V284" s="496"/>
      <c r="W284" s="496" t="s">
        <v>173</v>
      </c>
      <c r="X284" s="1559"/>
      <c r="Y284" s="1559">
        <v>0</v>
      </c>
      <c r="Z284" s="1528"/>
      <c r="AA284" s="1516" t="s">
        <v>174</v>
      </c>
      <c r="AB284" s="4590"/>
      <c r="AC284" s="872"/>
      <c r="AD284" s="1114"/>
      <c r="AE284" s="1115"/>
      <c r="AF284" s="1115"/>
      <c r="AG284" s="1114"/>
      <c r="AH284" s="1115"/>
      <c r="AI284" s="1115"/>
      <c r="AJ284" s="1114"/>
      <c r="AK284" s="1115"/>
      <c r="AL284" s="1115"/>
      <c r="AM284" s="1114"/>
      <c r="AN284" s="1115"/>
      <c r="AO284" s="1115"/>
      <c r="AP284" s="1114"/>
      <c r="AQ284" s="1115"/>
      <c r="AR284" s="1115"/>
      <c r="AS284" s="1114"/>
      <c r="AT284" s="1115"/>
      <c r="AU284" s="1115"/>
      <c r="AV284" s="1114"/>
      <c r="AW284" s="1115"/>
      <c r="AX284" s="1115"/>
      <c r="AY284" s="1114"/>
      <c r="AZ284" s="1115"/>
      <c r="BA284" s="1115"/>
      <c r="BB284" s="1114"/>
      <c r="BC284" s="1115"/>
      <c r="BD284" s="1115"/>
      <c r="BE284" s="1114"/>
      <c r="BF284" s="1115"/>
      <c r="BG284" s="1115"/>
      <c r="BH284" s="1114"/>
      <c r="BI284" s="1115"/>
      <c r="BJ284" s="1115"/>
      <c r="BK284" s="1114"/>
      <c r="BL284" s="1115"/>
      <c r="BM284" s="1115"/>
      <c r="BN284" s="1114"/>
      <c r="BO284" s="1115"/>
      <c r="BP284" s="1115"/>
      <c r="BQ284" s="1114"/>
      <c r="BR284" s="1115"/>
      <c r="BS284" s="1115"/>
      <c r="BT284" s="1114"/>
      <c r="BU284" s="1115"/>
      <c r="BV284" s="1115"/>
      <c r="BW284" s="1114"/>
      <c r="BX284" s="1115"/>
      <c r="BY284" s="1115"/>
      <c r="BZ284" s="1114"/>
      <c r="CA284" s="1115"/>
      <c r="CB284" s="1115"/>
      <c r="CC284" s="1114"/>
      <c r="CD284" s="1115"/>
      <c r="CE284" s="1115"/>
      <c r="CF284" s="1114"/>
      <c r="CG284" s="1115"/>
      <c r="CH284" s="1115"/>
      <c r="CI284" s="1114"/>
      <c r="CJ284" s="1115"/>
      <c r="CK284" s="1115"/>
      <c r="CL284" s="1114"/>
      <c r="CM284" s="1115"/>
      <c r="CN284" s="1115"/>
      <c r="CO284" s="1114"/>
      <c r="CP284" s="1115"/>
      <c r="CQ284" s="1115"/>
      <c r="CR284" s="1114"/>
      <c r="CS284" s="1115"/>
      <c r="CT284" s="1115"/>
      <c r="CU284" s="1114"/>
      <c r="CV284" s="1115"/>
      <c r="CW284" s="1115"/>
      <c r="CX284" s="1114"/>
      <c r="CY284" s="1115"/>
      <c r="CZ284" s="1115"/>
      <c r="DA284" s="1114"/>
      <c r="DB284" s="1115"/>
      <c r="DC284" s="1115"/>
      <c r="DD284" s="1114"/>
      <c r="DE284" s="1115"/>
      <c r="DF284" s="1115"/>
      <c r="DG284" s="1114"/>
      <c r="DH284" s="1115"/>
      <c r="DI284" s="1115"/>
      <c r="DJ284" s="1114"/>
      <c r="DK284" s="1115"/>
      <c r="DL284" s="1115"/>
      <c r="DM284" s="1114"/>
      <c r="DN284" s="1115"/>
      <c r="DO284" s="1115"/>
      <c r="DP284" s="1114"/>
      <c r="DQ284" s="1115"/>
      <c r="DR284" s="1115"/>
      <c r="DS284" s="1114"/>
      <c r="DT284" s="1115"/>
      <c r="DU284" s="1115"/>
      <c r="DV284" s="1114"/>
      <c r="DW284" s="1115"/>
      <c r="DX284" s="1115"/>
      <c r="DY284" s="1114"/>
      <c r="DZ284" s="1115"/>
      <c r="EA284" s="1115"/>
      <c r="EB284" s="1114"/>
      <c r="EC284" s="1115"/>
      <c r="ED284" s="1115"/>
      <c r="EE284" s="1114"/>
      <c r="EF284" s="1115"/>
      <c r="EG284" s="1115"/>
      <c r="EH284" s="1114"/>
      <c r="EI284" s="1115"/>
      <c r="EJ284" s="1115"/>
      <c r="EK284" s="1114"/>
      <c r="EL284" s="1115"/>
      <c r="EM284" s="1115"/>
      <c r="EN284" s="1114"/>
      <c r="EO284" s="1115"/>
      <c r="EP284" s="1115"/>
      <c r="EQ284" s="1114"/>
      <c r="ER284" s="1115"/>
      <c r="ES284" s="1115"/>
      <c r="ET284" s="1114"/>
      <c r="EU284" s="1115"/>
      <c r="EV284" s="1115"/>
      <c r="EW284" s="1114"/>
      <c r="EX284" s="1115"/>
      <c r="EY284" s="1115"/>
      <c r="EZ284" s="1114"/>
      <c r="FA284" s="1115"/>
      <c r="FB284" s="1115"/>
      <c r="FC284" s="1114"/>
      <c r="FD284" s="1115"/>
      <c r="FE284" s="1115"/>
      <c r="FF284" s="1114"/>
      <c r="FG284" s="1115"/>
      <c r="FH284" s="1115"/>
      <c r="FI284" s="1114"/>
      <c r="FJ284" s="1115"/>
      <c r="FK284" s="1115"/>
      <c r="FL284" s="1114"/>
      <c r="FM284" s="1115"/>
      <c r="FN284" s="1115"/>
      <c r="FO284" s="1114"/>
      <c r="FP284" s="1115"/>
      <c r="FQ284" s="1115"/>
      <c r="FR284" s="1114"/>
      <c r="FS284" s="1115"/>
      <c r="FT284" s="1115"/>
      <c r="FU284" s="1114"/>
      <c r="FV284" s="1115"/>
      <c r="FW284" s="1116"/>
      <c r="FX284" s="1328"/>
      <c r="FY284" s="1328"/>
      <c r="FZ284" s="1063"/>
      <c r="GA284" s="1330"/>
      <c r="GB284" s="1330"/>
      <c r="GC284" s="1329"/>
      <c r="GD284" s="637" t="b">
        <v>1</v>
      </c>
    </row>
    <row s="1656" customFormat="1" customHeight="1" ht="14.25" hidden="1">
      <c r="A285" s="496"/>
      <c r="B285" s="932" cm="1" t="str">
        <f t="array" ref="B285:B285">B284</f>
        <v>false</v>
      </c>
      <c r="C285" s="496"/>
      <c r="D285" s="496"/>
      <c r="E285" s="847">
        <v>15</v>
      </c>
      <c r="F285" s="50" cm="1" t="str">
        <f t="array" ref="F285:F285">OFFSET(E285,-1,1)</f>
        <v>3</v>
      </c>
      <c r="G285" s="496"/>
      <c r="H285" s="496" t="s">
        <v>1787</v>
      </c>
      <c r="I285" s="496" cm="1" t="str">
        <f t="array" ref="I285:I285">AB284</f>
        <v>0</v>
      </c>
      <c r="J285" s="496"/>
      <c r="K285" s="496"/>
      <c r="L285" s="496"/>
      <c r="M285" s="496"/>
      <c r="N285" s="496"/>
      <c r="O285" s="496"/>
      <c r="P285" s="496"/>
      <c r="Q285" s="496"/>
      <c r="R285" s="496"/>
      <c r="S285" s="496"/>
      <c r="T285" s="468" cm="1" t="str">
        <f t="array" ref="T285:T285">T284</f>
        <v>false</v>
      </c>
      <c r="U285" s="496"/>
      <c r="V285" s="496"/>
      <c r="W285" s="496"/>
      <c r="X285" s="1559"/>
      <c r="Y285" s="1559"/>
      <c r="Z285" s="1528"/>
      <c r="AA285" s="1516"/>
      <c r="AB285" s="911" t="s">
        <v>1895</v>
      </c>
      <c r="AC285" s="871" t="s">
        <v>1862</v>
      </c>
      <c r="AD285" s="4591">
        <f>IF(AD287=0,0,(AD286*AD287+AD288*AD289*IF(god=2026,3,6))/AD287)</f>
        <v>0</v>
      </c>
      <c r="AE285" s="4591">
        <f>IF(AE287=0,0,(AE286*AE287+AE288*AE289*IF(god=2026,3,6))/AE287)</f>
        <v>0</v>
      </c>
      <c r="AF285" s="1102">
        <f>IF(AD285=0,0,(AE285-AD285)/AD285*100)</f>
        <v>0</v>
      </c>
      <c r="AG285" s="4591">
        <f>IF(AG287=0,0,(AG286*AG287+AG288*AG289*IF(god=2025,3,6))/AG287)</f>
        <v>0</v>
      </c>
      <c r="AH285" s="4591">
        <f>IF(AH287=0,0,(AH286*AH287+AH288*AH289*IF(god=2025,3,6))/AH287)</f>
        <v>0</v>
      </c>
      <c r="AI285" s="1102">
        <f>IF(AG285=0,0,(AH285-AG285)/AG285*100)</f>
        <v>0</v>
      </c>
      <c r="AJ285" s="4591">
        <f>IF(AJ287=0,0,(AJ286*AJ287+AJ288*AJ289*6)/AJ287)</f>
        <v>0</v>
      </c>
      <c r="AK285" s="4591">
        <f>IF(AK287=0,0,(AK286*AK287+AK288*AK289*6)/AK287)</f>
        <v>0</v>
      </c>
      <c r="AL285" s="1102">
        <f>IF(AJ285=0,0,(AK285-AJ285)/AJ285*100)</f>
        <v>0</v>
      </c>
      <c r="AM285" s="4591">
        <f>IF(AM287=0,0,(AM286*AM287+AM288*AM289*6)/AM287)</f>
        <v>0</v>
      </c>
      <c r="AN285" s="4591">
        <f>IF(AN287=0,0,(AN286*AN287+AN288*AN289*6)/AN287)</f>
        <v>0</v>
      </c>
      <c r="AO285" s="1102">
        <f>IF(AM285=0,0,(AN285-AM285)/AM285*100)</f>
        <v>0</v>
      </c>
      <c r="AP285" s="4591">
        <f>IF(AP287=0,0,(AP286*AP287+AP288*AP289*6)/AP287)</f>
        <v>0</v>
      </c>
      <c r="AQ285" s="4591">
        <f>IF(AQ287=0,0,(AQ286*AQ287+AQ288*AQ289*6)/AQ287)</f>
        <v>0</v>
      </c>
      <c r="AR285" s="1102">
        <f>IF(AP285=0,0,(AQ285-AP285)/AP285*100)</f>
        <v>0</v>
      </c>
      <c r="AS285" s="4591">
        <f>IF(AS287=0,0,(AS286*AS287+AS288*AS289*6)/AS287)</f>
        <v>0</v>
      </c>
      <c r="AT285" s="4591">
        <f>IF(AT287=0,0,(AT286*AT287+AT288*AT289*6)/AT287)</f>
        <v>0</v>
      </c>
      <c r="AU285" s="1102">
        <f>IF(AS285=0,0,(AT285-AS285)/AS285*100)</f>
        <v>0</v>
      </c>
      <c r="AV285" s="4591">
        <f>IF(AV287=0,0,(AV286*AV287+AV288*AV289*6)/AV287)</f>
        <v>0</v>
      </c>
      <c r="AW285" s="4591">
        <f>IF(AW287=0,0,(AW286*AW287+AW288*AW289*6)/AW287)</f>
        <v>0</v>
      </c>
      <c r="AX285" s="1102">
        <f>IF(AV285=0,0,(AW285-AV285)/AV285*100)</f>
        <v>0</v>
      </c>
      <c r="AY285" s="4591">
        <f>IF(AY287=0,0,(AY286*AY287+AY288*AY289*6)/AY287)</f>
        <v>0</v>
      </c>
      <c r="AZ285" s="4591">
        <f>IF(AZ287=0,0,(AZ286*AZ287+AZ288*AZ289*6)/AZ287)</f>
        <v>0</v>
      </c>
      <c r="BA285" s="1102">
        <f>IF(AY285=0,0,(AZ285-AY285)/AY285*100)</f>
        <v>0</v>
      </c>
      <c r="BB285" s="4591">
        <f>IF(BB287=0,0,(BB286*BB287+BB288*BB289*6)/BB287)</f>
        <v>0</v>
      </c>
      <c r="BC285" s="4591">
        <f>IF(BC287=0,0,(BC286*BC287+BC288*BC289*6)/BC287)</f>
        <v>0</v>
      </c>
      <c r="BD285" s="1102">
        <f>IF(BB285=0,0,(BC285-BB285)/BB285*100)</f>
        <v>0</v>
      </c>
      <c r="BE285" s="4591">
        <f>IF(BE287=0,0,(BE286*BE287+BE288*BE289*6)/BE287)</f>
        <v>0</v>
      </c>
      <c r="BF285" s="4591">
        <f>IF(BF287=0,0,(BF286*BF287+BF288*BF289*6)/BF287)</f>
        <v>0</v>
      </c>
      <c r="BG285" s="1102">
        <f>IF(BE285=0,0,(BF285-BE285)/BE285*100)</f>
        <v>0</v>
      </c>
      <c r="BH285" s="4591">
        <f>IF(BH287=0,0,(BH286*BH287+BH288*BH289*6)/BH287)</f>
        <v>0</v>
      </c>
      <c r="BI285" s="4591">
        <f>IF(BI287=0,0,(BI286*BI287+BI288*BI289*6)/BI287)</f>
        <v>0</v>
      </c>
      <c r="BJ285" s="1102">
        <f>IF(BH285=0,0,(BI285-BH285)/BH285*100)</f>
        <v>0</v>
      </c>
      <c r="BK285" s="4591">
        <f>IF(BK287=0,0,(BK286*BK287+BK288*BK289*6)/BK287)</f>
        <v>0</v>
      </c>
      <c r="BL285" s="4591">
        <f>IF(BL287=0,0,(BL286*BL287+BL288*BL289*6)/BL287)</f>
        <v>0</v>
      </c>
      <c r="BM285" s="1102">
        <f>IF(BK285=0,0,(BL285-BK285)/BK285*100)</f>
        <v>0</v>
      </c>
      <c r="BN285" s="4591">
        <f>IF(BN287=0,0,(BN286*BN287+BN288*BN289*6)/BN287)</f>
        <v>0</v>
      </c>
      <c r="BO285" s="4591">
        <f>IF(BO287=0,0,(BO286*BO287+BO288*BO289*6)/BO287)</f>
        <v>0</v>
      </c>
      <c r="BP285" s="1102">
        <f>IF(BN285=0,0,(BO285-BN285)/BN285*100)</f>
        <v>0</v>
      </c>
      <c r="BQ285" s="4591">
        <f>IF(BQ287=0,0,(BQ286*BQ287+BQ288*BQ289*6)/BQ287)</f>
        <v>0</v>
      </c>
      <c r="BR285" s="4591">
        <f>IF(BR287=0,0,(BR286*BR287+BR288*BR289*6)/BR287)</f>
        <v>0</v>
      </c>
      <c r="BS285" s="1102">
        <f>IF(BQ285=0,0,(BR285-BQ285)/BQ285*100)</f>
        <v>0</v>
      </c>
      <c r="BT285" s="4591">
        <f>IF(BT287=0,0,(BT286*BT287+BT288*BT289*6)/BT287)</f>
        <v>0</v>
      </c>
      <c r="BU285" s="4591">
        <f>IF(BU287=0,0,(BU286*BU287+BU288*BU289*6)/BU287)</f>
        <v>0</v>
      </c>
      <c r="BV285" s="1102">
        <f>IF(BT285=0,0,(BU285-BT285)/BT285*100)</f>
        <v>0</v>
      </c>
      <c r="BW285" s="4591">
        <f>IF(BW287=0,0,(BW286*BW287+BW288*BW289*6)/BW287)</f>
        <v>0</v>
      </c>
      <c r="BX285" s="4591">
        <f>IF(BX287=0,0,(BX286*BX287+BX288*BX289*6)/BX287)</f>
        <v>0</v>
      </c>
      <c r="BY285" s="1102">
        <f>IF(BW285=0,0,(BX285-BW285)/BW285*100)</f>
        <v>0</v>
      </c>
      <c r="BZ285" s="4591">
        <f>IF(BZ287=0,0,(BZ286*BZ287+BZ288*BZ289*6)/BZ287)</f>
        <v>0</v>
      </c>
      <c r="CA285" s="4591">
        <f>IF(CA287=0,0,(CA286*CA287+CA288*CA289*6)/CA287)</f>
        <v>0</v>
      </c>
      <c r="CB285" s="1102">
        <f>IF(BZ285=0,0,(CA285-BZ285)/BZ285*100)</f>
        <v>0</v>
      </c>
      <c r="CC285" s="4591">
        <f>IF(CC287=0,0,(CC286*CC287+CC288*CC289*6)/CC287)</f>
        <v>0</v>
      </c>
      <c r="CD285" s="4591">
        <f>IF(CD287=0,0,(CD286*CD287+CD288*CD289*6)/CD287)</f>
        <v>0</v>
      </c>
      <c r="CE285" s="1102">
        <f>IF(CC285=0,0,(CD285-CC285)/CC285*100)</f>
        <v>0</v>
      </c>
      <c r="CF285" s="4591">
        <f>IF(CF287=0,0,(CF286*CF287+CF288*CF289*6)/CF287)</f>
        <v>0</v>
      </c>
      <c r="CG285" s="4591">
        <f>IF(CG287=0,0,(CG286*CG287+CG288*CG289*6)/CG287)</f>
        <v>0</v>
      </c>
      <c r="CH285" s="1102">
        <f>IF(CF285=0,0,(CG285-CF285)/CF285*100)</f>
        <v>0</v>
      </c>
      <c r="CI285" s="4591">
        <f>IF(CI287=0,0,(CI286*CI287+CI288*CI289*6)/CI287)</f>
        <v>0</v>
      </c>
      <c r="CJ285" s="4591">
        <f>IF(CJ287=0,0,(CJ286*CJ287+CJ288*CJ289*6)/CJ287)</f>
        <v>0</v>
      </c>
      <c r="CK285" s="1102">
        <f>IF(CI285=0,0,(CJ285-CI285)/CI285*100)</f>
        <v>0</v>
      </c>
      <c r="CL285" s="4591">
        <f>IF(CL287=0,0,(CL286*CL287+CL288*CL289*6)/CL287)</f>
        <v>0</v>
      </c>
      <c r="CM285" s="4591">
        <f>IF(CM287=0,0,(CM286*CM287+CM288*CM289*6)/CM287)</f>
        <v>0</v>
      </c>
      <c r="CN285" s="1102">
        <f>IF(CL285=0,0,(CM285-CL285)/CL285*100)</f>
        <v>0</v>
      </c>
      <c r="CO285" s="4591">
        <f>IF(CO287=0,0,(CO286*CO287+CO288*CO289*6)/CO287)</f>
        <v>0</v>
      </c>
      <c r="CP285" s="4591">
        <f>IF(CP287=0,0,(CP286*CP287+CP288*CP289*6)/CP287)</f>
        <v>0</v>
      </c>
      <c r="CQ285" s="1102">
        <f>IF(CO285=0,0,(CP285-CO285)/CO285*100)</f>
        <v>0</v>
      </c>
      <c r="CR285" s="4591">
        <f>IF(CR287=0,0,(CR286*CR287+CR288*CR289*6)/CR287)</f>
        <v>0</v>
      </c>
      <c r="CS285" s="4591">
        <f>IF(CS287=0,0,(CS286*CS287+CS288*CS289*6)/CS287)</f>
        <v>0</v>
      </c>
      <c r="CT285" s="1102">
        <f>IF(CR285=0,0,(CS285-CR285)/CR285*100)</f>
        <v>0</v>
      </c>
      <c r="CU285" s="4591">
        <f>IF(CU287=0,0,(CU286*CU287+CU288*CU289*6)/CU287)</f>
        <v>0</v>
      </c>
      <c r="CV285" s="4591">
        <f>IF(CV287=0,0,(CV286*CV287+CV288*CV289*6)/CV287)</f>
        <v>0</v>
      </c>
      <c r="CW285" s="1102">
        <f>IF(CU285=0,0,(CV285-CU285)/CU285*100)</f>
        <v>0</v>
      </c>
      <c r="CX285" s="4591">
        <f>IF(CX287=0,0,(CX286*CX287+CX288*CX289*6)/CX287)</f>
        <v>0</v>
      </c>
      <c r="CY285" s="4591">
        <f>IF(CY287=0,0,(CY286*CY287+CY288*CY289*6)/CY287)</f>
        <v>0</v>
      </c>
      <c r="CZ285" s="1102">
        <f>IF(CX285=0,0,(CY285-CX285)/CX285*100)</f>
        <v>0</v>
      </c>
      <c r="DA285" s="4591">
        <f>IF(DA287=0,0,(DA286*DA287+DA288*DA289*6)/DA287)</f>
        <v>0</v>
      </c>
      <c r="DB285" s="4591">
        <f>IF(DB287=0,0,(DB286*DB287+DB288*DB289*6)/DB287)</f>
        <v>0</v>
      </c>
      <c r="DC285" s="1102">
        <f>IF(DA285=0,0,(DB285-DA285)/DA285*100)</f>
        <v>0</v>
      </c>
      <c r="DD285" s="4591">
        <f>IF(DD287=0,0,(DD286*DD287+DD288*DD289*6)/DD287)</f>
        <v>0</v>
      </c>
      <c r="DE285" s="4591">
        <f>IF(DE287=0,0,(DE286*DE287+DE288*DE289*6)/DE287)</f>
        <v>0</v>
      </c>
      <c r="DF285" s="1102">
        <f>IF(DD285=0,0,(DE285-DD285)/DD285*100)</f>
        <v>0</v>
      </c>
      <c r="DG285" s="4591">
        <f>IF(DG287=0,0,(DG286*DG287+DG288*DG289*6)/DG287)</f>
        <v>0</v>
      </c>
      <c r="DH285" s="4591">
        <f>IF(DH287=0,0,(DH286*DH287+DH288*DH289*6)/DH287)</f>
        <v>0</v>
      </c>
      <c r="DI285" s="1102">
        <f>IF(DG285=0,0,(DH285-DG285)/DG285*100)</f>
        <v>0</v>
      </c>
      <c r="DJ285" s="4591">
        <f>IF(DJ287=0,0,(DJ286*DJ287+DJ288*DJ289*6)/DJ287)</f>
        <v>0</v>
      </c>
      <c r="DK285" s="4591">
        <f>IF(DK287=0,0,(DK286*DK287+DK288*DK289*6)/DK287)</f>
        <v>0</v>
      </c>
      <c r="DL285" s="1102">
        <f>IF(DJ285=0,0,(DK285-DJ285)/DJ285*100)</f>
        <v>0</v>
      </c>
      <c r="DM285" s="4591">
        <f>IF(DM287=0,0,(DM286*DM287+DM288*DM289*6)/DM287)</f>
        <v>0</v>
      </c>
      <c r="DN285" s="4591">
        <f>IF(DN287=0,0,(DN286*DN287+DN288*DN289*6)/DN287)</f>
        <v>0</v>
      </c>
      <c r="DO285" s="1102">
        <f>IF(DM285=0,0,(DN285-DM285)/DM285*100)</f>
        <v>0</v>
      </c>
      <c r="DP285" s="4591">
        <f>IF(DP287=0,0,(DP286*DP287+DP288*DP289*6)/DP287)</f>
        <v>0</v>
      </c>
      <c r="DQ285" s="4591">
        <f>IF(DQ287=0,0,(DQ286*DQ287+DQ288*DQ289*6)/DQ287)</f>
        <v>0</v>
      </c>
      <c r="DR285" s="1102">
        <f>IF(DP285=0,0,(DQ285-DP285)/DP285*100)</f>
        <v>0</v>
      </c>
      <c r="DS285" s="4591">
        <f>IF(DS287=0,0,(DS286*DS287+DS288*DS289*6)/DS287)</f>
        <v>0</v>
      </c>
      <c r="DT285" s="4591">
        <f>IF(DT287=0,0,(DT286*DT287+DT288*DT289*6)/DT287)</f>
        <v>0</v>
      </c>
      <c r="DU285" s="1102">
        <f>IF(DS285=0,0,(DT285-DS285)/DS285*100)</f>
        <v>0</v>
      </c>
      <c r="DV285" s="4591">
        <f>IF(DV287=0,0,(DV286*DV287+DV288*DV289*6)/DV287)</f>
        <v>0</v>
      </c>
      <c r="DW285" s="4591">
        <f>IF(DW287=0,0,(DW286*DW287+DW288*DW289*6)/DW287)</f>
        <v>0</v>
      </c>
      <c r="DX285" s="1102">
        <f>IF(DV285=0,0,(DW285-DV285)/DV285*100)</f>
        <v>0</v>
      </c>
      <c r="DY285" s="4591">
        <f>IF(DY287=0,0,(DY286*DY287+DY288*DY289*6)/DY287)</f>
        <v>0</v>
      </c>
      <c r="DZ285" s="4591">
        <f>IF(DZ287=0,0,(DZ286*DZ287+DZ288*DZ289*6)/DZ287)</f>
        <v>0</v>
      </c>
      <c r="EA285" s="1102">
        <f>IF(DY285=0,0,(DZ285-DY285)/DY285*100)</f>
        <v>0</v>
      </c>
      <c r="EB285" s="4591">
        <f>IF(EB287=0,0,(EB286*EB287+EB288*EB289*6)/EB287)</f>
        <v>0</v>
      </c>
      <c r="EC285" s="4591">
        <f>IF(EC287=0,0,(EC286*EC287+EC288*EC289*6)/EC287)</f>
        <v>0</v>
      </c>
      <c r="ED285" s="1102">
        <f>IF(EB285=0,0,(EC285-EB285)/EB285*100)</f>
        <v>0</v>
      </c>
      <c r="EE285" s="4591">
        <f>IF(EE287=0,0,(EE286*EE287+EE288*EE289*6)/EE287)</f>
        <v>0</v>
      </c>
      <c r="EF285" s="4591">
        <f>IF(EF287=0,0,(EF286*EF287+EF288*EF289*6)/EF287)</f>
        <v>0</v>
      </c>
      <c r="EG285" s="1102">
        <f>IF(EE285=0,0,(EF285-EE285)/EE285*100)</f>
        <v>0</v>
      </c>
      <c r="EH285" s="4591">
        <f>IF(EH287=0,0,(EH286*EH287+EH288*EH289*6)/EH287)</f>
        <v>0</v>
      </c>
      <c r="EI285" s="4591">
        <f>IF(EI287=0,0,(EI286*EI287+EI288*EI289*6)/EI287)</f>
        <v>0</v>
      </c>
      <c r="EJ285" s="1102">
        <f>IF(EH285=0,0,(EI285-EH285)/EH285*100)</f>
        <v>0</v>
      </c>
      <c r="EK285" s="4591">
        <f>IF(EK287=0,0,(EK286*EK287+EK288*EK289*6)/EK287)</f>
        <v>0</v>
      </c>
      <c r="EL285" s="4591">
        <f>IF(EL287=0,0,(EL286*EL287+EL288*EL289*6)/EL287)</f>
        <v>0</v>
      </c>
      <c r="EM285" s="1102">
        <f>IF(EK285=0,0,(EL285-EK285)/EK285*100)</f>
        <v>0</v>
      </c>
      <c r="EN285" s="4591">
        <f>IF(EN287=0,0,(EN286*EN287+EN288*EN289*6)/EN287)</f>
        <v>0</v>
      </c>
      <c r="EO285" s="4591">
        <f>IF(EO287=0,0,(EO286*EO287+EO288*EO289*6)/EO287)</f>
        <v>0</v>
      </c>
      <c r="EP285" s="1102">
        <f>IF(EN285=0,0,(EO285-EN285)/EN285*100)</f>
        <v>0</v>
      </c>
      <c r="EQ285" s="4591">
        <f>IF(EQ287=0,0,(EQ286*EQ287+EQ288*EQ289*6)/EQ287)</f>
        <v>0</v>
      </c>
      <c r="ER285" s="4591">
        <f>IF(ER287=0,0,(ER286*ER287+ER288*ER289*6)/ER287)</f>
        <v>0</v>
      </c>
      <c r="ES285" s="1102">
        <f>IF(EQ285=0,0,(ER285-EQ285)/EQ285*100)</f>
        <v>0</v>
      </c>
      <c r="ET285" s="4591">
        <f>IF(ET287=0,0,(ET286*ET287+ET288*ET289*6)/ET287)</f>
        <v>0</v>
      </c>
      <c r="EU285" s="4591">
        <f>IF(EU287=0,0,(EU286*EU287+EU288*EU289*6)/EU287)</f>
        <v>0</v>
      </c>
      <c r="EV285" s="1102">
        <f>IF(ET285=0,0,(EU285-ET285)/ET285*100)</f>
        <v>0</v>
      </c>
      <c r="EW285" s="4591">
        <f>IF(EW287=0,0,(EW286*EW287+EW288*EW289*6)/EW287)</f>
        <v>0</v>
      </c>
      <c r="EX285" s="4591">
        <f>IF(EX287=0,0,(EX286*EX287+EX288*EX289*6)/EX287)</f>
        <v>0</v>
      </c>
      <c r="EY285" s="1102">
        <f>IF(EW285=0,0,(EX285-EW285)/EW285*100)</f>
        <v>0</v>
      </c>
      <c r="EZ285" s="4591">
        <f>IF(EZ287=0,0,(EZ286*EZ287+EZ288*EZ289*6)/EZ287)</f>
        <v>0</v>
      </c>
      <c r="FA285" s="4591">
        <f>IF(FA287=0,0,(FA286*FA287+FA288*FA289*6)/FA287)</f>
        <v>0</v>
      </c>
      <c r="FB285" s="1102">
        <f>IF(EZ285=0,0,(FA285-EZ285)/EZ285*100)</f>
        <v>0</v>
      </c>
      <c r="FC285" s="4591">
        <f>IF(FC287=0,0,(FC286*FC287+FC288*FC289*6)/FC287)</f>
        <v>0</v>
      </c>
      <c r="FD285" s="4591">
        <f>IF(FD287=0,0,(FD286*FD287+FD288*FD289*6)/FD287)</f>
        <v>0</v>
      </c>
      <c r="FE285" s="1102">
        <f>IF(FC285=0,0,(FD285-FC285)/FC285*100)</f>
        <v>0</v>
      </c>
      <c r="FF285" s="4591">
        <f>IF(FF287=0,0,(FF286*FF287+FF288*FF289*6)/FF287)</f>
        <v>0</v>
      </c>
      <c r="FG285" s="4591">
        <f>IF(FG287=0,0,(FG286*FG287+FG288*FG289*6)/FG287)</f>
        <v>0</v>
      </c>
      <c r="FH285" s="1102">
        <f>IF(FF285=0,0,(FG285-FF285)/FF285*100)</f>
        <v>0</v>
      </c>
      <c r="FI285" s="4591">
        <f>IF(FI287=0,0,(FI286*FI287+FI288*FI289*6)/FI287)</f>
        <v>0</v>
      </c>
      <c r="FJ285" s="4591">
        <f>IF(FJ287=0,0,(FJ286*FJ287+FJ288*FJ289*6)/FJ287)</f>
        <v>0</v>
      </c>
      <c r="FK285" s="1102">
        <f>IF(FI285=0,0,(FJ285-FI285)/FI285*100)</f>
        <v>0</v>
      </c>
      <c r="FL285" s="4591">
        <f>IF(FL287=0,0,(FL286*FL287+FL288*FL289*6)/FL287)</f>
        <v>0</v>
      </c>
      <c r="FM285" s="4591">
        <f>IF(FM287=0,0,(FM286*FM287+FM288*FM289*6)/FM287)</f>
        <v>0</v>
      </c>
      <c r="FN285" s="1102">
        <f>IF(FL285=0,0,(FM285-FL285)/FL285*100)</f>
        <v>0</v>
      </c>
      <c r="FO285" s="4591">
        <f>IF(FO287=0,0,(FO286*FO287+FO288*FO289*6)/FO287)</f>
        <v>0</v>
      </c>
      <c r="FP285" s="4591">
        <f>IF(FP287=0,0,(FP286*FP287+FP288*FP289*6)/FP287)</f>
        <v>0</v>
      </c>
      <c r="FQ285" s="1102">
        <f>IF(FO285=0,0,(FP285-FO285)/FO285*100)</f>
        <v>0</v>
      </c>
      <c r="FR285" s="4591">
        <f>IF(FR287=0,0,(FR286*FR287+FR288*FR289*6)/FR287)</f>
        <v>0</v>
      </c>
      <c r="FS285" s="4591">
        <f>IF(FS287=0,0,(FS286*FS287+FS288*FS289*6)/FS287)</f>
        <v>0</v>
      </c>
      <c r="FT285" s="1102">
        <f>IF(FR285=0,0,(FS285-FR285)/FR285*100)</f>
        <v>0</v>
      </c>
      <c r="FU285" s="4591">
        <f>IF(FU287=0,0,(FU286*FU287+FU288*FU289*6)/FU287)</f>
        <v>0</v>
      </c>
      <c r="FV285" s="4591">
        <f>IF(FV287=0,0,(FV286*FV287+FV288*FV289*6)/FV287)</f>
        <v>0</v>
      </c>
      <c r="FW285" s="1102">
        <f>IF(FU285=0,0,(FV285-FU285)/FU285*100)</f>
        <v>0</v>
      </c>
      <c r="FX285" s="1328"/>
      <c r="FY285" s="1328"/>
      <c r="FZ285" s="1063" t="s">
        <v>1929</v>
      </c>
      <c r="GA285" s="1023" t="s">
        <v>993</v>
      </c>
      <c r="GB285" s="1065" cm="1" t="str">
        <f t="array" ref="GB285:GB285">AB284</f>
        <v>0</v>
      </c>
      <c r="GC285" s="1329"/>
      <c r="GD285" s="1329"/>
    </row>
    <row s="1656" customFormat="1" customHeight="1" ht="14.25" hidden="1">
      <c r="A286" s="496"/>
      <c r="B286" s="932" cm="1" t="str">
        <f t="array" ref="B286:B286">B285</f>
        <v>false</v>
      </c>
      <c r="C286" s="496"/>
      <c r="D286" s="496"/>
      <c r="E286" s="847">
        <v>15</v>
      </c>
      <c r="F286" s="50" cm="1" t="str">
        <f t="array" ref="F286:F286">OFFSET(E286,-1,1)</f>
        <v>3</v>
      </c>
      <c r="G286" s="496"/>
      <c r="H286" s="496" t="s">
        <v>1791</v>
      </c>
      <c r="I286" s="496" cm="1" t="str">
        <f t="array" ref="I286:I286">I285</f>
        <v>0</v>
      </c>
      <c r="J286" s="496"/>
      <c r="K286" s="496"/>
      <c r="L286" s="496"/>
      <c r="M286" s="496"/>
      <c r="N286" s="496"/>
      <c r="O286" s="496"/>
      <c r="P286" s="496"/>
      <c r="Q286" s="496"/>
      <c r="R286" s="496"/>
      <c r="S286" s="496"/>
      <c r="T286" s="468" cm="1" t="str">
        <f t="array" ref="T286:T286">T285</f>
        <v>false</v>
      </c>
      <c r="U286" s="496"/>
      <c r="V286" s="496"/>
      <c r="W286" s="496"/>
      <c r="X286" s="1559"/>
      <c r="Y286" s="1559"/>
      <c r="Z286" s="1528"/>
      <c r="AA286" s="1516"/>
      <c r="AB286" s="911" t="str">
        <f>"ставка платы за "&amp;IF(Q242="Водоснабжение","потребление 1 куб.м холодной воды","объем принятых сточных вод")</f>
        <v>ставка платы за объем принятых сточных вод</v>
      </c>
      <c r="AC286" s="871" t="s">
        <v>1862</v>
      </c>
      <c r="AD286" s="4591"/>
      <c r="AE286" s="4591"/>
      <c r="AF286" s="1102">
        <f>IF(AD286=0,0,(AE286-AD286)/AD286*100)</f>
        <v>0</v>
      </c>
      <c r="AG286" s="4591"/>
      <c r="AH286" s="4591"/>
      <c r="AI286" s="1102">
        <f>IF(AG286=0,0,(AH286-AG286)/AG286*100)</f>
        <v>0</v>
      </c>
      <c r="AJ286" s="4591"/>
      <c r="AK286" s="4591"/>
      <c r="AL286" s="1102">
        <f>IF(AJ286=0,0,(AK286-AJ286)/AJ286*100)</f>
        <v>0</v>
      </c>
      <c r="AM286" s="4591"/>
      <c r="AN286" s="4591"/>
      <c r="AO286" s="1102">
        <f>IF(AM286=0,0,(AN286-AM286)/AM286*100)</f>
        <v>0</v>
      </c>
      <c r="AP286" s="4591"/>
      <c r="AQ286" s="4591"/>
      <c r="AR286" s="1102">
        <f>IF(AP286=0,0,(AQ286-AP286)/AP286*100)</f>
        <v>0</v>
      </c>
      <c r="AS286" s="4591"/>
      <c r="AT286" s="4591"/>
      <c r="AU286" s="1102">
        <f>IF(AS286=0,0,(AT286-AS286)/AS286*100)</f>
        <v>0</v>
      </c>
      <c r="AV286" s="4591"/>
      <c r="AW286" s="4591"/>
      <c r="AX286" s="1102">
        <f>IF(AV286=0,0,(AW286-AV286)/AV286*100)</f>
        <v>0</v>
      </c>
      <c r="AY286" s="4591"/>
      <c r="AZ286" s="4591"/>
      <c r="BA286" s="1102">
        <f>IF(AY286=0,0,(AZ286-AY286)/AY286*100)</f>
        <v>0</v>
      </c>
      <c r="BB286" s="4591"/>
      <c r="BC286" s="4591"/>
      <c r="BD286" s="1102">
        <f>IF(BB286=0,0,(BC286-BB286)/BB286*100)</f>
        <v>0</v>
      </c>
      <c r="BE286" s="4591"/>
      <c r="BF286" s="4591"/>
      <c r="BG286" s="1102">
        <f>IF(BE286=0,0,(BF286-BE286)/BE286*100)</f>
        <v>0</v>
      </c>
      <c r="BH286" s="4591"/>
      <c r="BI286" s="4591"/>
      <c r="BJ286" s="1102">
        <f>IF(BH286=0,0,(BI286-BH286)/BH286*100)</f>
        <v>0</v>
      </c>
      <c r="BK286" s="4591"/>
      <c r="BL286" s="4591"/>
      <c r="BM286" s="1102">
        <f>IF(BK286=0,0,(BL286-BK286)/BK286*100)</f>
        <v>0</v>
      </c>
      <c r="BN286" s="4591"/>
      <c r="BO286" s="4591"/>
      <c r="BP286" s="1102">
        <f>IF(BN286=0,0,(BO286-BN286)/BN286*100)</f>
        <v>0</v>
      </c>
      <c r="BQ286" s="4591"/>
      <c r="BR286" s="4591"/>
      <c r="BS286" s="1102">
        <f>IF(BQ286=0,0,(BR286-BQ286)/BQ286*100)</f>
        <v>0</v>
      </c>
      <c r="BT286" s="4591"/>
      <c r="BU286" s="4591"/>
      <c r="BV286" s="1102">
        <f>IF(BT286=0,0,(BU286-BT286)/BT286*100)</f>
        <v>0</v>
      </c>
      <c r="BW286" s="4591"/>
      <c r="BX286" s="4591"/>
      <c r="BY286" s="1102">
        <f>IF(BW286=0,0,(BX286-BW286)/BW286*100)</f>
        <v>0</v>
      </c>
      <c r="BZ286" s="4591"/>
      <c r="CA286" s="4591"/>
      <c r="CB286" s="1102">
        <f>IF(BZ286=0,0,(CA286-BZ286)/BZ286*100)</f>
        <v>0</v>
      </c>
      <c r="CC286" s="4591"/>
      <c r="CD286" s="4591"/>
      <c r="CE286" s="1102">
        <f>IF(CC286=0,0,(CD286-CC286)/CC286*100)</f>
        <v>0</v>
      </c>
      <c r="CF286" s="4591"/>
      <c r="CG286" s="4591"/>
      <c r="CH286" s="1102">
        <f>IF(CF286=0,0,(CG286-CF286)/CF286*100)</f>
        <v>0</v>
      </c>
      <c r="CI286" s="4591"/>
      <c r="CJ286" s="4591"/>
      <c r="CK286" s="1102">
        <f>IF(CI286=0,0,(CJ286-CI286)/CI286*100)</f>
        <v>0</v>
      </c>
      <c r="CL286" s="4591"/>
      <c r="CM286" s="4591"/>
      <c r="CN286" s="1102">
        <f>IF(CL286=0,0,(CM286-CL286)/CL286*100)</f>
        <v>0</v>
      </c>
      <c r="CO286" s="4591"/>
      <c r="CP286" s="4591"/>
      <c r="CQ286" s="1102">
        <f>IF(CO286=0,0,(CP286-CO286)/CO286*100)</f>
        <v>0</v>
      </c>
      <c r="CR286" s="4591"/>
      <c r="CS286" s="4591"/>
      <c r="CT286" s="1102">
        <f>IF(CR286=0,0,(CS286-CR286)/CR286*100)</f>
        <v>0</v>
      </c>
      <c r="CU286" s="4591"/>
      <c r="CV286" s="4591"/>
      <c r="CW286" s="1102">
        <f>IF(CU286=0,0,(CV286-CU286)/CU286*100)</f>
        <v>0</v>
      </c>
      <c r="CX286" s="4591"/>
      <c r="CY286" s="4591"/>
      <c r="CZ286" s="1102">
        <f>IF(CX286=0,0,(CY286-CX286)/CX286*100)</f>
        <v>0</v>
      </c>
      <c r="DA286" s="4591"/>
      <c r="DB286" s="4591"/>
      <c r="DC286" s="1102">
        <f>IF(DA286=0,0,(DB286-DA286)/DA286*100)</f>
        <v>0</v>
      </c>
      <c r="DD286" s="4591"/>
      <c r="DE286" s="4591"/>
      <c r="DF286" s="1102">
        <f>IF(DD286=0,0,(DE286-DD286)/DD286*100)</f>
        <v>0</v>
      </c>
      <c r="DG286" s="4591"/>
      <c r="DH286" s="4591"/>
      <c r="DI286" s="1102">
        <f>IF(DG286=0,0,(DH286-DG286)/DG286*100)</f>
        <v>0</v>
      </c>
      <c r="DJ286" s="4591"/>
      <c r="DK286" s="4591"/>
      <c r="DL286" s="1102">
        <f>IF(DJ286=0,0,(DK286-DJ286)/DJ286*100)</f>
        <v>0</v>
      </c>
      <c r="DM286" s="4591"/>
      <c r="DN286" s="4591"/>
      <c r="DO286" s="1102">
        <f>IF(DM286=0,0,(DN286-DM286)/DM286*100)</f>
        <v>0</v>
      </c>
      <c r="DP286" s="4591"/>
      <c r="DQ286" s="4591"/>
      <c r="DR286" s="1102">
        <f>IF(DP286=0,0,(DQ286-DP286)/DP286*100)</f>
        <v>0</v>
      </c>
      <c r="DS286" s="4591"/>
      <c r="DT286" s="4591"/>
      <c r="DU286" s="1102">
        <f>IF(DS286=0,0,(DT286-DS286)/DS286*100)</f>
        <v>0</v>
      </c>
      <c r="DV286" s="4591"/>
      <c r="DW286" s="4591"/>
      <c r="DX286" s="1102">
        <f>IF(DV286=0,0,(DW286-DV286)/DV286*100)</f>
        <v>0</v>
      </c>
      <c r="DY286" s="4591"/>
      <c r="DZ286" s="4591"/>
      <c r="EA286" s="1102">
        <f>IF(DY286=0,0,(DZ286-DY286)/DY286*100)</f>
        <v>0</v>
      </c>
      <c r="EB286" s="4591"/>
      <c r="EC286" s="4591"/>
      <c r="ED286" s="1102">
        <f>IF(EB286=0,0,(EC286-EB286)/EB286*100)</f>
        <v>0</v>
      </c>
      <c r="EE286" s="4591"/>
      <c r="EF286" s="4591"/>
      <c r="EG286" s="1102">
        <f>IF(EE286=0,0,(EF286-EE286)/EE286*100)</f>
        <v>0</v>
      </c>
      <c r="EH286" s="4591"/>
      <c r="EI286" s="4591"/>
      <c r="EJ286" s="1102">
        <f>IF(EH286=0,0,(EI286-EH286)/EH286*100)</f>
        <v>0</v>
      </c>
      <c r="EK286" s="4591"/>
      <c r="EL286" s="4591"/>
      <c r="EM286" s="1102">
        <f>IF(EK286=0,0,(EL286-EK286)/EK286*100)</f>
        <v>0</v>
      </c>
      <c r="EN286" s="4591"/>
      <c r="EO286" s="4591"/>
      <c r="EP286" s="1102">
        <f>IF(EN286=0,0,(EO286-EN286)/EN286*100)</f>
        <v>0</v>
      </c>
      <c r="EQ286" s="4591"/>
      <c r="ER286" s="4591"/>
      <c r="ES286" s="1102">
        <f>IF(EQ286=0,0,(ER286-EQ286)/EQ286*100)</f>
        <v>0</v>
      </c>
      <c r="ET286" s="4591"/>
      <c r="EU286" s="4591"/>
      <c r="EV286" s="1102">
        <f>IF(ET286=0,0,(EU286-ET286)/ET286*100)</f>
        <v>0</v>
      </c>
      <c r="EW286" s="4591"/>
      <c r="EX286" s="4591"/>
      <c r="EY286" s="1102">
        <f>IF(EW286=0,0,(EX286-EW286)/EW286*100)</f>
        <v>0</v>
      </c>
      <c r="EZ286" s="4591"/>
      <c r="FA286" s="4591"/>
      <c r="FB286" s="1102">
        <f>IF(EZ286=0,0,(FA286-EZ286)/EZ286*100)</f>
        <v>0</v>
      </c>
      <c r="FC286" s="4591"/>
      <c r="FD286" s="4591"/>
      <c r="FE286" s="1102">
        <f>IF(FC286=0,0,(FD286-FC286)/FC286*100)</f>
        <v>0</v>
      </c>
      <c r="FF286" s="4591"/>
      <c r="FG286" s="4591"/>
      <c r="FH286" s="1102">
        <f>IF(FF286=0,0,(FG286-FF286)/FF286*100)</f>
        <v>0</v>
      </c>
      <c r="FI286" s="4591"/>
      <c r="FJ286" s="4591"/>
      <c r="FK286" s="1102">
        <f>IF(FI286=0,0,(FJ286-FI286)/FI286*100)</f>
        <v>0</v>
      </c>
      <c r="FL286" s="4591"/>
      <c r="FM286" s="4591"/>
      <c r="FN286" s="1102">
        <f>IF(FL286=0,0,(FM286-FL286)/FL286*100)</f>
        <v>0</v>
      </c>
      <c r="FO286" s="4591"/>
      <c r="FP286" s="4591"/>
      <c r="FQ286" s="1102">
        <f>IF(FO286=0,0,(FP286-FO286)/FO286*100)</f>
        <v>0</v>
      </c>
      <c r="FR286" s="4591"/>
      <c r="FS286" s="4591"/>
      <c r="FT286" s="1102">
        <f>IF(FR286=0,0,(FS286-FR286)/FR286*100)</f>
        <v>0</v>
      </c>
      <c r="FU286" s="4591"/>
      <c r="FV286" s="4591"/>
      <c r="FW286" s="1102">
        <f>IF(FU286=0,0,(FV286-FU286)/FU286*100)</f>
        <v>0</v>
      </c>
      <c r="FX286" s="1328"/>
      <c r="FY286" s="1328"/>
      <c r="FZ286" s="1063" t="s">
        <v>1930</v>
      </c>
      <c r="GA286" s="1023" t="s">
        <v>993</v>
      </c>
      <c r="GB286" s="1023" cm="1" t="str">
        <f t="array" ref="GB286:GB286">GB285</f>
        <v>0</v>
      </c>
      <c r="GC286" s="1329"/>
      <c r="GD286" s="1329"/>
    </row>
    <row s="1656" customFormat="1" customHeight="1" ht="14.25" hidden="1">
      <c r="A287" s="496"/>
      <c r="B287" s="932" cm="1" t="str">
        <f t="array" ref="B287:B287">B286</f>
        <v>false</v>
      </c>
      <c r="C287" s="496"/>
      <c r="D287" s="496"/>
      <c r="E287" s="847">
        <v>15</v>
      </c>
      <c r="F287" s="50" cm="1" t="str">
        <f t="array" ref="F287:F287">OFFSET(E287,-1,1)</f>
        <v>3</v>
      </c>
      <c r="G287" s="496"/>
      <c r="H287" s="496" t="s">
        <v>1899</v>
      </c>
      <c r="I287" s="496" cm="1" t="str">
        <f t="array" ref="I287:I287">I286</f>
        <v>0</v>
      </c>
      <c r="J287" s="496"/>
      <c r="K287" s="496"/>
      <c r="L287" s="496"/>
      <c r="M287" s="496"/>
      <c r="N287" s="496"/>
      <c r="O287" s="496"/>
      <c r="P287" s="496"/>
      <c r="Q287" s="496"/>
      <c r="R287" s="496"/>
      <c r="S287" s="496"/>
      <c r="T287" s="468" cm="1" t="str">
        <f t="array" ref="T287:T287">T286</f>
        <v>false</v>
      </c>
      <c r="U287" s="496"/>
      <c r="V287" s="496"/>
      <c r="W287" s="496"/>
      <c r="X287" s="1559"/>
      <c r="Y287" s="1559"/>
      <c r="Z287" s="1528"/>
      <c r="AA287" s="1516"/>
      <c r="AB287" s="911" t="str">
        <f>"объём "&amp;IF(Q242="Водоснабжение","потребления холодной воды","водоотведения")</f>
        <v>объём водоотведения</v>
      </c>
      <c r="AC287" s="871" t="s">
        <v>657</v>
      </c>
      <c r="AD287" s="4585"/>
      <c r="AE287" s="4585"/>
      <c r="AF287" s="1104">
        <f>IF(AD287=0,0,(AE287-AD287)/AD287*100)</f>
        <v>0</v>
      </c>
      <c r="AG287" s="4585"/>
      <c r="AH287" s="4585"/>
      <c r="AI287" s="1104">
        <f>IF(AG287=0,0,(AH287-AG287)/AG287*100)</f>
        <v>0</v>
      </c>
      <c r="AJ287" s="4585"/>
      <c r="AK287" s="4585"/>
      <c r="AL287" s="1104">
        <f>IF(AJ287=0,0,(AK287-AJ287)/AJ287*100)</f>
        <v>0</v>
      </c>
      <c r="AM287" s="4585"/>
      <c r="AN287" s="4585"/>
      <c r="AO287" s="1104">
        <f>IF(AM287=0,0,(AN287-AM287)/AM287*100)</f>
        <v>0</v>
      </c>
      <c r="AP287" s="4585"/>
      <c r="AQ287" s="4585"/>
      <c r="AR287" s="1104">
        <f>IF(AP287=0,0,(AQ287-AP287)/AP287*100)</f>
        <v>0</v>
      </c>
      <c r="AS287" s="4585"/>
      <c r="AT287" s="4585"/>
      <c r="AU287" s="1104">
        <f>IF(AS287=0,0,(AT287-AS287)/AS287*100)</f>
        <v>0</v>
      </c>
      <c r="AV287" s="4585"/>
      <c r="AW287" s="4585"/>
      <c r="AX287" s="1104">
        <f>IF(AV287=0,0,(AW287-AV287)/AV287*100)</f>
        <v>0</v>
      </c>
      <c r="AY287" s="4585"/>
      <c r="AZ287" s="4585"/>
      <c r="BA287" s="1104">
        <f>IF(AY287=0,0,(AZ287-AY287)/AY287*100)</f>
        <v>0</v>
      </c>
      <c r="BB287" s="4585"/>
      <c r="BC287" s="4585"/>
      <c r="BD287" s="1104">
        <f>IF(BB287=0,0,(BC287-BB287)/BB287*100)</f>
        <v>0</v>
      </c>
      <c r="BE287" s="4585"/>
      <c r="BF287" s="4585"/>
      <c r="BG287" s="1104">
        <f>IF(BE287=0,0,(BF287-BE287)/BE287*100)</f>
        <v>0</v>
      </c>
      <c r="BH287" s="4585"/>
      <c r="BI287" s="4585"/>
      <c r="BJ287" s="1104">
        <f>IF(BH287=0,0,(BI287-BH287)/BH287*100)</f>
        <v>0</v>
      </c>
      <c r="BK287" s="4585"/>
      <c r="BL287" s="4585"/>
      <c r="BM287" s="1104">
        <f>IF(BK287=0,0,(BL287-BK287)/BK287*100)</f>
        <v>0</v>
      </c>
      <c r="BN287" s="4585"/>
      <c r="BO287" s="4585"/>
      <c r="BP287" s="1104">
        <f>IF(BN287=0,0,(BO287-BN287)/BN287*100)</f>
        <v>0</v>
      </c>
      <c r="BQ287" s="4585"/>
      <c r="BR287" s="4585"/>
      <c r="BS287" s="1104">
        <f>IF(BQ287=0,0,(BR287-BQ287)/BQ287*100)</f>
        <v>0</v>
      </c>
      <c r="BT287" s="4585"/>
      <c r="BU287" s="4585"/>
      <c r="BV287" s="1104">
        <f>IF(BT287=0,0,(BU287-BT287)/BT287*100)</f>
        <v>0</v>
      </c>
      <c r="BW287" s="4585"/>
      <c r="BX287" s="4585"/>
      <c r="BY287" s="1104">
        <f>IF(BW287=0,0,(BX287-BW287)/BW287*100)</f>
        <v>0</v>
      </c>
      <c r="BZ287" s="4585"/>
      <c r="CA287" s="4585"/>
      <c r="CB287" s="1104">
        <f>IF(BZ287=0,0,(CA287-BZ287)/BZ287*100)</f>
        <v>0</v>
      </c>
      <c r="CC287" s="4585"/>
      <c r="CD287" s="4585"/>
      <c r="CE287" s="1104">
        <f>IF(CC287=0,0,(CD287-CC287)/CC287*100)</f>
        <v>0</v>
      </c>
      <c r="CF287" s="4585"/>
      <c r="CG287" s="4585"/>
      <c r="CH287" s="1104">
        <f>IF(CF287=0,0,(CG287-CF287)/CF287*100)</f>
        <v>0</v>
      </c>
      <c r="CI287" s="4585"/>
      <c r="CJ287" s="4585"/>
      <c r="CK287" s="1104">
        <f>IF(CI287=0,0,(CJ287-CI287)/CI287*100)</f>
        <v>0</v>
      </c>
      <c r="CL287" s="4585"/>
      <c r="CM287" s="4585"/>
      <c r="CN287" s="1104">
        <f>IF(CL287=0,0,(CM287-CL287)/CL287*100)</f>
        <v>0</v>
      </c>
      <c r="CO287" s="4585"/>
      <c r="CP287" s="4585"/>
      <c r="CQ287" s="1104">
        <f>IF(CO287=0,0,(CP287-CO287)/CO287*100)</f>
        <v>0</v>
      </c>
      <c r="CR287" s="4585"/>
      <c r="CS287" s="4585"/>
      <c r="CT287" s="1104">
        <f>IF(CR287=0,0,(CS287-CR287)/CR287*100)</f>
        <v>0</v>
      </c>
      <c r="CU287" s="4585"/>
      <c r="CV287" s="4585"/>
      <c r="CW287" s="1104">
        <f>IF(CU287=0,0,(CV287-CU287)/CU287*100)</f>
        <v>0</v>
      </c>
      <c r="CX287" s="4585"/>
      <c r="CY287" s="4585"/>
      <c r="CZ287" s="1104">
        <f>IF(CX287=0,0,(CY287-CX287)/CX287*100)</f>
        <v>0</v>
      </c>
      <c r="DA287" s="4585"/>
      <c r="DB287" s="4585"/>
      <c r="DC287" s="1104">
        <f>IF(DA287=0,0,(DB287-DA287)/DA287*100)</f>
        <v>0</v>
      </c>
      <c r="DD287" s="4585"/>
      <c r="DE287" s="4585"/>
      <c r="DF287" s="1104">
        <f>IF(DD287=0,0,(DE287-DD287)/DD287*100)</f>
        <v>0</v>
      </c>
      <c r="DG287" s="4585"/>
      <c r="DH287" s="4585"/>
      <c r="DI287" s="1104">
        <f>IF(DG287=0,0,(DH287-DG287)/DG287*100)</f>
        <v>0</v>
      </c>
      <c r="DJ287" s="4585"/>
      <c r="DK287" s="4585"/>
      <c r="DL287" s="1104">
        <f>IF(DJ287=0,0,(DK287-DJ287)/DJ287*100)</f>
        <v>0</v>
      </c>
      <c r="DM287" s="4585"/>
      <c r="DN287" s="4585"/>
      <c r="DO287" s="1104">
        <f>IF(DM287=0,0,(DN287-DM287)/DM287*100)</f>
        <v>0</v>
      </c>
      <c r="DP287" s="4585"/>
      <c r="DQ287" s="4585"/>
      <c r="DR287" s="1104">
        <f>IF(DP287=0,0,(DQ287-DP287)/DP287*100)</f>
        <v>0</v>
      </c>
      <c r="DS287" s="4585"/>
      <c r="DT287" s="4585"/>
      <c r="DU287" s="1104">
        <f>IF(DS287=0,0,(DT287-DS287)/DS287*100)</f>
        <v>0</v>
      </c>
      <c r="DV287" s="4585"/>
      <c r="DW287" s="4585"/>
      <c r="DX287" s="1104">
        <f>IF(DV287=0,0,(DW287-DV287)/DV287*100)</f>
        <v>0</v>
      </c>
      <c r="DY287" s="4585"/>
      <c r="DZ287" s="4585"/>
      <c r="EA287" s="1104">
        <f>IF(DY287=0,0,(DZ287-DY287)/DY287*100)</f>
        <v>0</v>
      </c>
      <c r="EB287" s="4585"/>
      <c r="EC287" s="4585"/>
      <c r="ED287" s="1104">
        <f>IF(EB287=0,0,(EC287-EB287)/EB287*100)</f>
        <v>0</v>
      </c>
      <c r="EE287" s="4585"/>
      <c r="EF287" s="4585"/>
      <c r="EG287" s="1104">
        <f>IF(EE287=0,0,(EF287-EE287)/EE287*100)</f>
        <v>0</v>
      </c>
      <c r="EH287" s="4585"/>
      <c r="EI287" s="4585"/>
      <c r="EJ287" s="1104">
        <f>IF(EH287=0,0,(EI287-EH287)/EH287*100)</f>
        <v>0</v>
      </c>
      <c r="EK287" s="4585"/>
      <c r="EL287" s="4585"/>
      <c r="EM287" s="1104">
        <f>IF(EK287=0,0,(EL287-EK287)/EK287*100)</f>
        <v>0</v>
      </c>
      <c r="EN287" s="4585"/>
      <c r="EO287" s="4585"/>
      <c r="EP287" s="1104">
        <f>IF(EN287=0,0,(EO287-EN287)/EN287*100)</f>
        <v>0</v>
      </c>
      <c r="EQ287" s="4585"/>
      <c r="ER287" s="4585"/>
      <c r="ES287" s="1104">
        <f>IF(EQ287=0,0,(ER287-EQ287)/EQ287*100)</f>
        <v>0</v>
      </c>
      <c r="ET287" s="4585"/>
      <c r="EU287" s="4585"/>
      <c r="EV287" s="1104">
        <f>IF(ET287=0,0,(EU287-ET287)/ET287*100)</f>
        <v>0</v>
      </c>
      <c r="EW287" s="4585"/>
      <c r="EX287" s="4585"/>
      <c r="EY287" s="1104">
        <f>IF(EW287=0,0,(EX287-EW287)/EW287*100)</f>
        <v>0</v>
      </c>
      <c r="EZ287" s="4585"/>
      <c r="FA287" s="4585"/>
      <c r="FB287" s="1104">
        <f>IF(EZ287=0,0,(FA287-EZ287)/EZ287*100)</f>
        <v>0</v>
      </c>
      <c r="FC287" s="4585"/>
      <c r="FD287" s="4585"/>
      <c r="FE287" s="1104">
        <f>IF(FC287=0,0,(FD287-FC287)/FC287*100)</f>
        <v>0</v>
      </c>
      <c r="FF287" s="4585"/>
      <c r="FG287" s="4585"/>
      <c r="FH287" s="1104">
        <f>IF(FF287=0,0,(FG287-FF287)/FF287*100)</f>
        <v>0</v>
      </c>
      <c r="FI287" s="4585"/>
      <c r="FJ287" s="4585"/>
      <c r="FK287" s="1104">
        <f>IF(FI287=0,0,(FJ287-FI287)/FI287*100)</f>
        <v>0</v>
      </c>
      <c r="FL287" s="4585"/>
      <c r="FM287" s="4585"/>
      <c r="FN287" s="1104">
        <f>IF(FL287=0,0,(FM287-FL287)/FL287*100)</f>
        <v>0</v>
      </c>
      <c r="FO287" s="4585"/>
      <c r="FP287" s="4585"/>
      <c r="FQ287" s="1104">
        <f>IF(FO287=0,0,(FP287-FO287)/FO287*100)</f>
        <v>0</v>
      </c>
      <c r="FR287" s="4585"/>
      <c r="FS287" s="4585"/>
      <c r="FT287" s="1104">
        <f>IF(FR287=0,0,(FS287-FR287)/FR287*100)</f>
        <v>0</v>
      </c>
      <c r="FU287" s="4585"/>
      <c r="FV287" s="4585"/>
      <c r="FW287" s="1104">
        <f>IF(FU287=0,0,(FV287-FU287)/FU287*100)</f>
        <v>0</v>
      </c>
      <c r="FX287" s="1328"/>
      <c r="FY287" s="1328"/>
      <c r="FZ287" s="1063" t="s">
        <v>1931</v>
      </c>
      <c r="GA287" s="1023" t="s">
        <v>993</v>
      </c>
      <c r="GB287" s="1023" cm="1" t="str">
        <f t="array" ref="GB287:GB287">GB286</f>
        <v>0</v>
      </c>
      <c r="GC287" s="1329"/>
      <c r="GD287" s="1329"/>
    </row>
    <row s="1656" customFormat="1" customHeight="1" ht="21.75" hidden="1">
      <c r="A288" s="496"/>
      <c r="B288" s="932" cm="1" t="str">
        <f t="array" ref="B288:B288">B287</f>
        <v>false</v>
      </c>
      <c r="C288" s="496"/>
      <c r="D288" s="496"/>
      <c r="E288" s="847">
        <v>22.5</v>
      </c>
      <c r="F288" s="50" cm="1" t="str">
        <f t="array" ref="F288:F288">OFFSET(E288,-1,1)</f>
        <v>3</v>
      </c>
      <c r="G288" s="496"/>
      <c r="H288" s="496" t="s">
        <v>1901</v>
      </c>
      <c r="I288" s="496" cm="1" t="str">
        <f t="array" ref="I288:I288">I287</f>
        <v>0</v>
      </c>
      <c r="J288" s="496"/>
      <c r="K288" s="496"/>
      <c r="L288" s="496"/>
      <c r="M288" s="496"/>
      <c r="N288" s="496"/>
      <c r="O288" s="496"/>
      <c r="P288" s="496"/>
      <c r="Q288" s="496"/>
      <c r="R288" s="496"/>
      <c r="S288" s="496"/>
      <c r="T288" s="468" cm="1" t="str">
        <f t="array" ref="T288:T288">T287</f>
        <v>false</v>
      </c>
      <c r="U288" s="496"/>
      <c r="V288" s="496"/>
      <c r="W288" s="496"/>
      <c r="X288" s="1559"/>
      <c r="Y288" s="1559"/>
      <c r="Z288" s="1528"/>
      <c r="AA288" s="1516"/>
      <c r="AB288" s="911" t="str">
        <f>"ставка платы за содержание системы "&amp;IF(Q242="Водоснабжение","холодного водоснабжения","водоотведения")</f>
        <v>ставка платы за содержание системы водоотведения</v>
      </c>
      <c r="AC288" s="871" t="s">
        <v>1902</v>
      </c>
      <c r="AD288" s="4591"/>
      <c r="AE288" s="4591"/>
      <c r="AF288" s="1102">
        <f>IF(AD288=0,0,(AE288-AD288)/AD288*100)</f>
        <v>0</v>
      </c>
      <c r="AG288" s="4591"/>
      <c r="AH288" s="4591"/>
      <c r="AI288" s="1102">
        <f>IF(AG288=0,0,(AH288-AG288)/AG288*100)</f>
        <v>0</v>
      </c>
      <c r="AJ288" s="4591"/>
      <c r="AK288" s="4591"/>
      <c r="AL288" s="1102">
        <f>IF(AJ288=0,0,(AK288-AJ288)/AJ288*100)</f>
        <v>0</v>
      </c>
      <c r="AM288" s="4591"/>
      <c r="AN288" s="4591"/>
      <c r="AO288" s="1102">
        <f>IF(AM288=0,0,(AN288-AM288)/AM288*100)</f>
        <v>0</v>
      </c>
      <c r="AP288" s="4591"/>
      <c r="AQ288" s="4591"/>
      <c r="AR288" s="1102">
        <f>IF(AP288=0,0,(AQ288-AP288)/AP288*100)</f>
        <v>0</v>
      </c>
      <c r="AS288" s="4591"/>
      <c r="AT288" s="4591"/>
      <c r="AU288" s="1102">
        <f>IF(AS288=0,0,(AT288-AS288)/AS288*100)</f>
        <v>0</v>
      </c>
      <c r="AV288" s="4591"/>
      <c r="AW288" s="4591"/>
      <c r="AX288" s="1102">
        <f>IF(AV288=0,0,(AW288-AV288)/AV288*100)</f>
        <v>0</v>
      </c>
      <c r="AY288" s="4591"/>
      <c r="AZ288" s="4591"/>
      <c r="BA288" s="1102">
        <f>IF(AY288=0,0,(AZ288-AY288)/AY288*100)</f>
        <v>0</v>
      </c>
      <c r="BB288" s="4591"/>
      <c r="BC288" s="4591"/>
      <c r="BD288" s="1102">
        <f>IF(BB288=0,0,(BC288-BB288)/BB288*100)</f>
        <v>0</v>
      </c>
      <c r="BE288" s="4591"/>
      <c r="BF288" s="4591"/>
      <c r="BG288" s="1102">
        <f>IF(BE288=0,0,(BF288-BE288)/BE288*100)</f>
        <v>0</v>
      </c>
      <c r="BH288" s="4591"/>
      <c r="BI288" s="4591"/>
      <c r="BJ288" s="1102">
        <f>IF(BH288=0,0,(BI288-BH288)/BH288*100)</f>
        <v>0</v>
      </c>
      <c r="BK288" s="4591"/>
      <c r="BL288" s="4591"/>
      <c r="BM288" s="1102">
        <f>IF(BK288=0,0,(BL288-BK288)/BK288*100)</f>
        <v>0</v>
      </c>
      <c r="BN288" s="4591"/>
      <c r="BO288" s="4591"/>
      <c r="BP288" s="1102">
        <f>IF(BN288=0,0,(BO288-BN288)/BN288*100)</f>
        <v>0</v>
      </c>
      <c r="BQ288" s="4591"/>
      <c r="BR288" s="4591"/>
      <c r="BS288" s="1102">
        <f>IF(BQ288=0,0,(BR288-BQ288)/BQ288*100)</f>
        <v>0</v>
      </c>
      <c r="BT288" s="4591"/>
      <c r="BU288" s="4591"/>
      <c r="BV288" s="1102">
        <f>IF(BT288=0,0,(BU288-BT288)/BT288*100)</f>
        <v>0</v>
      </c>
      <c r="BW288" s="4591"/>
      <c r="BX288" s="4591"/>
      <c r="BY288" s="1102">
        <f>IF(BW288=0,0,(BX288-BW288)/BW288*100)</f>
        <v>0</v>
      </c>
      <c r="BZ288" s="4591"/>
      <c r="CA288" s="4591"/>
      <c r="CB288" s="1102">
        <f>IF(BZ288=0,0,(CA288-BZ288)/BZ288*100)</f>
        <v>0</v>
      </c>
      <c r="CC288" s="4591"/>
      <c r="CD288" s="4591"/>
      <c r="CE288" s="1102">
        <f>IF(CC288=0,0,(CD288-CC288)/CC288*100)</f>
        <v>0</v>
      </c>
      <c r="CF288" s="4591"/>
      <c r="CG288" s="4591"/>
      <c r="CH288" s="1102">
        <f>IF(CF288=0,0,(CG288-CF288)/CF288*100)</f>
        <v>0</v>
      </c>
      <c r="CI288" s="4591"/>
      <c r="CJ288" s="4591"/>
      <c r="CK288" s="1102">
        <f>IF(CI288=0,0,(CJ288-CI288)/CI288*100)</f>
        <v>0</v>
      </c>
      <c r="CL288" s="4591"/>
      <c r="CM288" s="4591"/>
      <c r="CN288" s="1102">
        <f>IF(CL288=0,0,(CM288-CL288)/CL288*100)</f>
        <v>0</v>
      </c>
      <c r="CO288" s="4591"/>
      <c r="CP288" s="4591"/>
      <c r="CQ288" s="1102">
        <f>IF(CO288=0,0,(CP288-CO288)/CO288*100)</f>
        <v>0</v>
      </c>
      <c r="CR288" s="4591"/>
      <c r="CS288" s="4591"/>
      <c r="CT288" s="1102">
        <f>IF(CR288=0,0,(CS288-CR288)/CR288*100)</f>
        <v>0</v>
      </c>
      <c r="CU288" s="4591"/>
      <c r="CV288" s="4591"/>
      <c r="CW288" s="1102">
        <f>IF(CU288=0,0,(CV288-CU288)/CU288*100)</f>
        <v>0</v>
      </c>
      <c r="CX288" s="4591"/>
      <c r="CY288" s="4591"/>
      <c r="CZ288" s="1102">
        <f>IF(CX288=0,0,(CY288-CX288)/CX288*100)</f>
        <v>0</v>
      </c>
      <c r="DA288" s="4591"/>
      <c r="DB288" s="4591"/>
      <c r="DC288" s="1102">
        <f>IF(DA288=0,0,(DB288-DA288)/DA288*100)</f>
        <v>0</v>
      </c>
      <c r="DD288" s="4591"/>
      <c r="DE288" s="4591"/>
      <c r="DF288" s="1102">
        <f>IF(DD288=0,0,(DE288-DD288)/DD288*100)</f>
        <v>0</v>
      </c>
      <c r="DG288" s="4591"/>
      <c r="DH288" s="4591"/>
      <c r="DI288" s="1102">
        <f>IF(DG288=0,0,(DH288-DG288)/DG288*100)</f>
        <v>0</v>
      </c>
      <c r="DJ288" s="4591"/>
      <c r="DK288" s="4591"/>
      <c r="DL288" s="1102">
        <f>IF(DJ288=0,0,(DK288-DJ288)/DJ288*100)</f>
        <v>0</v>
      </c>
      <c r="DM288" s="4591"/>
      <c r="DN288" s="4591"/>
      <c r="DO288" s="1102">
        <f>IF(DM288=0,0,(DN288-DM288)/DM288*100)</f>
        <v>0</v>
      </c>
      <c r="DP288" s="4591"/>
      <c r="DQ288" s="4591"/>
      <c r="DR288" s="1102">
        <f>IF(DP288=0,0,(DQ288-DP288)/DP288*100)</f>
        <v>0</v>
      </c>
      <c r="DS288" s="4591"/>
      <c r="DT288" s="4591"/>
      <c r="DU288" s="1102">
        <f>IF(DS288=0,0,(DT288-DS288)/DS288*100)</f>
        <v>0</v>
      </c>
      <c r="DV288" s="4591"/>
      <c r="DW288" s="4591"/>
      <c r="DX288" s="1102">
        <f>IF(DV288=0,0,(DW288-DV288)/DV288*100)</f>
        <v>0</v>
      </c>
      <c r="DY288" s="4591"/>
      <c r="DZ288" s="4591"/>
      <c r="EA288" s="1102">
        <f>IF(DY288=0,0,(DZ288-DY288)/DY288*100)</f>
        <v>0</v>
      </c>
      <c r="EB288" s="4591"/>
      <c r="EC288" s="4591"/>
      <c r="ED288" s="1102">
        <f>IF(EB288=0,0,(EC288-EB288)/EB288*100)</f>
        <v>0</v>
      </c>
      <c r="EE288" s="4591"/>
      <c r="EF288" s="4591"/>
      <c r="EG288" s="1102">
        <f>IF(EE288=0,0,(EF288-EE288)/EE288*100)</f>
        <v>0</v>
      </c>
      <c r="EH288" s="4591"/>
      <c r="EI288" s="4591"/>
      <c r="EJ288" s="1102">
        <f>IF(EH288=0,0,(EI288-EH288)/EH288*100)</f>
        <v>0</v>
      </c>
      <c r="EK288" s="4591"/>
      <c r="EL288" s="4591"/>
      <c r="EM288" s="1102">
        <f>IF(EK288=0,0,(EL288-EK288)/EK288*100)</f>
        <v>0</v>
      </c>
      <c r="EN288" s="4591"/>
      <c r="EO288" s="4591"/>
      <c r="EP288" s="1102">
        <f>IF(EN288=0,0,(EO288-EN288)/EN288*100)</f>
        <v>0</v>
      </c>
      <c r="EQ288" s="4591"/>
      <c r="ER288" s="4591"/>
      <c r="ES288" s="1102">
        <f>IF(EQ288=0,0,(ER288-EQ288)/EQ288*100)</f>
        <v>0</v>
      </c>
      <c r="ET288" s="4591"/>
      <c r="EU288" s="4591"/>
      <c r="EV288" s="1102">
        <f>IF(ET288=0,0,(EU288-ET288)/ET288*100)</f>
        <v>0</v>
      </c>
      <c r="EW288" s="4591"/>
      <c r="EX288" s="4591"/>
      <c r="EY288" s="1102">
        <f>IF(EW288=0,0,(EX288-EW288)/EW288*100)</f>
        <v>0</v>
      </c>
      <c r="EZ288" s="4591"/>
      <c r="FA288" s="4591"/>
      <c r="FB288" s="1102">
        <f>IF(EZ288=0,0,(FA288-EZ288)/EZ288*100)</f>
        <v>0</v>
      </c>
      <c r="FC288" s="4591"/>
      <c r="FD288" s="4591"/>
      <c r="FE288" s="1102">
        <f>IF(FC288=0,0,(FD288-FC288)/FC288*100)</f>
        <v>0</v>
      </c>
      <c r="FF288" s="4591"/>
      <c r="FG288" s="4591"/>
      <c r="FH288" s="1102">
        <f>IF(FF288=0,0,(FG288-FF288)/FF288*100)</f>
        <v>0</v>
      </c>
      <c r="FI288" s="4591"/>
      <c r="FJ288" s="4591"/>
      <c r="FK288" s="1102">
        <f>IF(FI288=0,0,(FJ288-FI288)/FI288*100)</f>
        <v>0</v>
      </c>
      <c r="FL288" s="4591"/>
      <c r="FM288" s="4591"/>
      <c r="FN288" s="1102">
        <f>IF(FL288=0,0,(FM288-FL288)/FL288*100)</f>
        <v>0</v>
      </c>
      <c r="FO288" s="4591"/>
      <c r="FP288" s="4591"/>
      <c r="FQ288" s="1102">
        <f>IF(FO288=0,0,(FP288-FO288)/FO288*100)</f>
        <v>0</v>
      </c>
      <c r="FR288" s="4591"/>
      <c r="FS288" s="4591"/>
      <c r="FT288" s="1102">
        <f>IF(FR288=0,0,(FS288-FR288)/FR288*100)</f>
        <v>0</v>
      </c>
      <c r="FU288" s="4591"/>
      <c r="FV288" s="4591"/>
      <c r="FW288" s="1102">
        <f>IF(FU288=0,0,(FV288-FU288)/FU288*100)</f>
        <v>0</v>
      </c>
      <c r="FX288" s="1328"/>
      <c r="FY288" s="1328"/>
      <c r="FZ288" s="1063" t="s">
        <v>1932</v>
      </c>
      <c r="GA288" s="1023" t="s">
        <v>993</v>
      </c>
      <c r="GB288" s="1023" cm="1" t="str">
        <f t="array" ref="GB288:GB288">GB287</f>
        <v>0</v>
      </c>
      <c r="GC288" s="1329"/>
      <c r="GD288" s="1329"/>
    </row>
    <row s="1656" customFormat="1" customHeight="1" ht="14.25" hidden="1">
      <c r="A289" s="496"/>
      <c r="B289" s="932" cm="1" t="str">
        <f t="array" ref="B289:B289">B288</f>
        <v>false</v>
      </c>
      <c r="C289" s="496"/>
      <c r="D289" s="496"/>
      <c r="E289" s="847">
        <v>15</v>
      </c>
      <c r="F289" s="50" cm="1" t="str">
        <f t="array" ref="F289:F289">OFFSET(E289,-1,1)</f>
        <v>3</v>
      </c>
      <c r="G289" s="496"/>
      <c r="H289" s="496" t="s">
        <v>1904</v>
      </c>
      <c r="I289" s="496" cm="1" t="str">
        <f t="array" ref="I289:I289">I288</f>
        <v>0</v>
      </c>
      <c r="J289" s="496"/>
      <c r="K289" s="496"/>
      <c r="L289" s="496"/>
      <c r="M289" s="496"/>
      <c r="N289" s="496"/>
      <c r="O289" s="496"/>
      <c r="P289" s="496"/>
      <c r="Q289" s="496"/>
      <c r="R289" s="496"/>
      <c r="S289" s="496"/>
      <c r="T289" s="468" cm="1" t="str">
        <f t="array" ref="T289:T289">T288</f>
        <v>false</v>
      </c>
      <c r="U289" s="496"/>
      <c r="V289" s="496"/>
      <c r="W289" s="496"/>
      <c r="X289" s="1559"/>
      <c r="Y289" s="1559"/>
      <c r="Z289" s="1528"/>
      <c r="AA289" s="1516"/>
      <c r="AB289" s="911" t="s">
        <v>1905</v>
      </c>
      <c r="AC289" s="871" t="s">
        <v>1906</v>
      </c>
      <c r="AD289" s="4591"/>
      <c r="AE289" s="4591"/>
      <c r="AF289" s="1102">
        <f>IF(AD289=0,0,(AE289-AD289)/AD289*100)</f>
        <v>0</v>
      </c>
      <c r="AG289" s="4591"/>
      <c r="AH289" s="4591"/>
      <c r="AI289" s="1102">
        <f>IF(AG289=0,0,(AH289-AG289)/AG289*100)</f>
        <v>0</v>
      </c>
      <c r="AJ289" s="4591"/>
      <c r="AK289" s="4591"/>
      <c r="AL289" s="1102">
        <f>IF(AJ289=0,0,(AK289-AJ289)/AJ289*100)</f>
        <v>0</v>
      </c>
      <c r="AM289" s="4591"/>
      <c r="AN289" s="4591"/>
      <c r="AO289" s="1102">
        <f>IF(AM289=0,0,(AN289-AM289)/AM289*100)</f>
        <v>0</v>
      </c>
      <c r="AP289" s="4591"/>
      <c r="AQ289" s="4591"/>
      <c r="AR289" s="1102">
        <f>IF(AP289=0,0,(AQ289-AP289)/AP289*100)</f>
        <v>0</v>
      </c>
      <c r="AS289" s="4591"/>
      <c r="AT289" s="4591"/>
      <c r="AU289" s="1102">
        <f>IF(AS289=0,0,(AT289-AS289)/AS289*100)</f>
        <v>0</v>
      </c>
      <c r="AV289" s="4591"/>
      <c r="AW289" s="4591"/>
      <c r="AX289" s="1102">
        <f>IF(AV289=0,0,(AW289-AV289)/AV289*100)</f>
        <v>0</v>
      </c>
      <c r="AY289" s="4591"/>
      <c r="AZ289" s="4591"/>
      <c r="BA289" s="1102">
        <f>IF(AY289=0,0,(AZ289-AY289)/AY289*100)</f>
        <v>0</v>
      </c>
      <c r="BB289" s="4591"/>
      <c r="BC289" s="4591"/>
      <c r="BD289" s="1102">
        <f>IF(BB289=0,0,(BC289-BB289)/BB289*100)</f>
        <v>0</v>
      </c>
      <c r="BE289" s="4591"/>
      <c r="BF289" s="4591"/>
      <c r="BG289" s="1102">
        <f>IF(BE289=0,0,(BF289-BE289)/BE289*100)</f>
        <v>0</v>
      </c>
      <c r="BH289" s="4591"/>
      <c r="BI289" s="4591"/>
      <c r="BJ289" s="1102">
        <f>IF(BH289=0,0,(BI289-BH289)/BH289*100)</f>
        <v>0</v>
      </c>
      <c r="BK289" s="4591"/>
      <c r="BL289" s="4591"/>
      <c r="BM289" s="1102">
        <f>IF(BK289=0,0,(BL289-BK289)/BK289*100)</f>
        <v>0</v>
      </c>
      <c r="BN289" s="4591"/>
      <c r="BO289" s="4591"/>
      <c r="BP289" s="1102">
        <f>IF(BN289=0,0,(BO289-BN289)/BN289*100)</f>
        <v>0</v>
      </c>
      <c r="BQ289" s="4591"/>
      <c r="BR289" s="4591"/>
      <c r="BS289" s="1102">
        <f>IF(BQ289=0,0,(BR289-BQ289)/BQ289*100)</f>
        <v>0</v>
      </c>
      <c r="BT289" s="4591"/>
      <c r="BU289" s="4591"/>
      <c r="BV289" s="1102">
        <f>IF(BT289=0,0,(BU289-BT289)/BT289*100)</f>
        <v>0</v>
      </c>
      <c r="BW289" s="4591"/>
      <c r="BX289" s="4591"/>
      <c r="BY289" s="1102">
        <f>IF(BW289=0,0,(BX289-BW289)/BW289*100)</f>
        <v>0</v>
      </c>
      <c r="BZ289" s="4591"/>
      <c r="CA289" s="4591"/>
      <c r="CB289" s="1102">
        <f>IF(BZ289=0,0,(CA289-BZ289)/BZ289*100)</f>
        <v>0</v>
      </c>
      <c r="CC289" s="4591"/>
      <c r="CD289" s="4591"/>
      <c r="CE289" s="1102">
        <f>IF(CC289=0,0,(CD289-CC289)/CC289*100)</f>
        <v>0</v>
      </c>
      <c r="CF289" s="4591"/>
      <c r="CG289" s="4591"/>
      <c r="CH289" s="1102">
        <f>IF(CF289=0,0,(CG289-CF289)/CF289*100)</f>
        <v>0</v>
      </c>
      <c r="CI289" s="4591"/>
      <c r="CJ289" s="4591"/>
      <c r="CK289" s="1102">
        <f>IF(CI289=0,0,(CJ289-CI289)/CI289*100)</f>
        <v>0</v>
      </c>
      <c r="CL289" s="4591"/>
      <c r="CM289" s="4591"/>
      <c r="CN289" s="1102">
        <f>IF(CL289=0,0,(CM289-CL289)/CL289*100)</f>
        <v>0</v>
      </c>
      <c r="CO289" s="4591"/>
      <c r="CP289" s="4591"/>
      <c r="CQ289" s="1102">
        <f>IF(CO289=0,0,(CP289-CO289)/CO289*100)</f>
        <v>0</v>
      </c>
      <c r="CR289" s="4591"/>
      <c r="CS289" s="4591"/>
      <c r="CT289" s="1102">
        <f>IF(CR289=0,0,(CS289-CR289)/CR289*100)</f>
        <v>0</v>
      </c>
      <c r="CU289" s="4591"/>
      <c r="CV289" s="4591"/>
      <c r="CW289" s="1102">
        <f>IF(CU289=0,0,(CV289-CU289)/CU289*100)</f>
        <v>0</v>
      </c>
      <c r="CX289" s="4591"/>
      <c r="CY289" s="4591"/>
      <c r="CZ289" s="1102">
        <f>IF(CX289=0,0,(CY289-CX289)/CX289*100)</f>
        <v>0</v>
      </c>
      <c r="DA289" s="4591"/>
      <c r="DB289" s="4591"/>
      <c r="DC289" s="1102">
        <f>IF(DA289=0,0,(DB289-DA289)/DA289*100)</f>
        <v>0</v>
      </c>
      <c r="DD289" s="4591"/>
      <c r="DE289" s="4591"/>
      <c r="DF289" s="1102">
        <f>IF(DD289=0,0,(DE289-DD289)/DD289*100)</f>
        <v>0</v>
      </c>
      <c r="DG289" s="4591"/>
      <c r="DH289" s="4591"/>
      <c r="DI289" s="1102">
        <f>IF(DG289=0,0,(DH289-DG289)/DG289*100)</f>
        <v>0</v>
      </c>
      <c r="DJ289" s="4591"/>
      <c r="DK289" s="4591"/>
      <c r="DL289" s="1102">
        <f>IF(DJ289=0,0,(DK289-DJ289)/DJ289*100)</f>
        <v>0</v>
      </c>
      <c r="DM289" s="4591"/>
      <c r="DN289" s="4591"/>
      <c r="DO289" s="1102">
        <f>IF(DM289=0,0,(DN289-DM289)/DM289*100)</f>
        <v>0</v>
      </c>
      <c r="DP289" s="4591"/>
      <c r="DQ289" s="4591"/>
      <c r="DR289" s="1102">
        <f>IF(DP289=0,0,(DQ289-DP289)/DP289*100)</f>
        <v>0</v>
      </c>
      <c r="DS289" s="4591"/>
      <c r="DT289" s="4591"/>
      <c r="DU289" s="1102">
        <f>IF(DS289=0,0,(DT289-DS289)/DS289*100)</f>
        <v>0</v>
      </c>
      <c r="DV289" s="4591"/>
      <c r="DW289" s="4591"/>
      <c r="DX289" s="1102">
        <f>IF(DV289=0,0,(DW289-DV289)/DV289*100)</f>
        <v>0</v>
      </c>
      <c r="DY289" s="4591"/>
      <c r="DZ289" s="4591"/>
      <c r="EA289" s="1102">
        <f>IF(DY289=0,0,(DZ289-DY289)/DY289*100)</f>
        <v>0</v>
      </c>
      <c r="EB289" s="4591"/>
      <c r="EC289" s="4591"/>
      <c r="ED289" s="1102">
        <f>IF(EB289=0,0,(EC289-EB289)/EB289*100)</f>
        <v>0</v>
      </c>
      <c r="EE289" s="4591"/>
      <c r="EF289" s="4591"/>
      <c r="EG289" s="1102">
        <f>IF(EE289=0,0,(EF289-EE289)/EE289*100)</f>
        <v>0</v>
      </c>
      <c r="EH289" s="4591"/>
      <c r="EI289" s="4591"/>
      <c r="EJ289" s="1102">
        <f>IF(EH289=0,0,(EI289-EH289)/EH289*100)</f>
        <v>0</v>
      </c>
      <c r="EK289" s="4591"/>
      <c r="EL289" s="4591"/>
      <c r="EM289" s="1102">
        <f>IF(EK289=0,0,(EL289-EK289)/EK289*100)</f>
        <v>0</v>
      </c>
      <c r="EN289" s="4591"/>
      <c r="EO289" s="4591"/>
      <c r="EP289" s="1102">
        <f>IF(EN289=0,0,(EO289-EN289)/EN289*100)</f>
        <v>0</v>
      </c>
      <c r="EQ289" s="4591"/>
      <c r="ER289" s="4591"/>
      <c r="ES289" s="1102">
        <f>IF(EQ289=0,0,(ER289-EQ289)/EQ289*100)</f>
        <v>0</v>
      </c>
      <c r="ET289" s="4591"/>
      <c r="EU289" s="4591"/>
      <c r="EV289" s="1102">
        <f>IF(ET289=0,0,(EU289-ET289)/ET289*100)</f>
        <v>0</v>
      </c>
      <c r="EW289" s="4591"/>
      <c r="EX289" s="4591"/>
      <c r="EY289" s="1102">
        <f>IF(EW289=0,0,(EX289-EW289)/EW289*100)</f>
        <v>0</v>
      </c>
      <c r="EZ289" s="4591"/>
      <c r="FA289" s="4591"/>
      <c r="FB289" s="1102">
        <f>IF(EZ289=0,0,(FA289-EZ289)/EZ289*100)</f>
        <v>0</v>
      </c>
      <c r="FC289" s="4591"/>
      <c r="FD289" s="4591"/>
      <c r="FE289" s="1102">
        <f>IF(FC289=0,0,(FD289-FC289)/FC289*100)</f>
        <v>0</v>
      </c>
      <c r="FF289" s="4591"/>
      <c r="FG289" s="4591"/>
      <c r="FH289" s="1102">
        <f>IF(FF289=0,0,(FG289-FF289)/FF289*100)</f>
        <v>0</v>
      </c>
      <c r="FI289" s="4591"/>
      <c r="FJ289" s="4591"/>
      <c r="FK289" s="1102">
        <f>IF(FI289=0,0,(FJ289-FI289)/FI289*100)</f>
        <v>0</v>
      </c>
      <c r="FL289" s="4591"/>
      <c r="FM289" s="4591"/>
      <c r="FN289" s="1102">
        <f>IF(FL289=0,0,(FM289-FL289)/FL289*100)</f>
        <v>0</v>
      </c>
      <c r="FO289" s="4591"/>
      <c r="FP289" s="4591"/>
      <c r="FQ289" s="1102">
        <f>IF(FO289=0,0,(FP289-FO289)/FO289*100)</f>
        <v>0</v>
      </c>
      <c r="FR289" s="4591"/>
      <c r="FS289" s="4591"/>
      <c r="FT289" s="1102">
        <f>IF(FR289=0,0,(FS289-FR289)/FR289*100)</f>
        <v>0</v>
      </c>
      <c r="FU289" s="4591"/>
      <c r="FV289" s="4591"/>
      <c r="FW289" s="1102">
        <f>IF(FU289=0,0,(FV289-FU289)/FU289*100)</f>
        <v>0</v>
      </c>
      <c r="FX289" s="1328"/>
      <c r="FY289" s="1328"/>
      <c r="FZ289" s="1063" t="s">
        <v>1933</v>
      </c>
      <c r="GA289" s="1023" t="s">
        <v>993</v>
      </c>
      <c r="GB289" s="1023" cm="1" t="str">
        <f t="array" ref="GB289:GB289">GB288</f>
        <v>0</v>
      </c>
      <c r="GC289" s="1329"/>
      <c r="GD289" s="1329"/>
    </row>
    <row customHeight="1" ht="18.525" hidden="1">
      <c r="A290" s="496"/>
      <c r="B290" s="932" cm="1" t="str">
        <f t="array" ref="B290:B290">B289</f>
        <v>false</v>
      </c>
      <c r="C290" s="496"/>
      <c r="D290" s="496"/>
      <c r="E290" s="847">
        <v>19</v>
      </c>
      <c r="F290" s="50" cm="1" t="str">
        <f t="array" ref="F290:F290">OFFSET(E290,-1,1)</f>
        <v>3</v>
      </c>
      <c r="G290" s="496"/>
      <c r="H290" s="496"/>
      <c r="I290" s="496"/>
      <c r="J290" s="496"/>
      <c r="K290" s="496"/>
      <c r="L290" s="496"/>
      <c r="M290" s="496"/>
      <c r="N290" s="496"/>
      <c r="O290" s="496"/>
      <c r="P290" s="496"/>
      <c r="Q290" s="496"/>
      <c r="R290" s="496"/>
      <c r="S290" s="496"/>
      <c r="T290" s="468" cm="1" t="str">
        <f t="array" ref="T290:T290">T289</f>
        <v>false</v>
      </c>
      <c r="U290" s="496"/>
      <c r="V290" s="496"/>
      <c r="W290" s="496"/>
      <c r="X290" s="1559"/>
      <c r="Y290" s="1559"/>
      <c r="Z290" s="1528"/>
      <c r="AA290" s="1516"/>
      <c r="AB290" s="4590"/>
      <c r="AC290" s="872"/>
      <c r="AD290" s="1114"/>
      <c r="AE290" s="1115"/>
      <c r="AF290" s="1115"/>
      <c r="AG290" s="1114"/>
      <c r="AH290" s="1115"/>
      <c r="AI290" s="1115"/>
      <c r="AJ290" s="1114"/>
      <c r="AK290" s="1115"/>
      <c r="AL290" s="1115"/>
      <c r="AM290" s="1114"/>
      <c r="AN290" s="1115"/>
      <c r="AO290" s="1115"/>
      <c r="AP290" s="1114"/>
      <c r="AQ290" s="1115"/>
      <c r="AR290" s="1115"/>
      <c r="AS290" s="1114"/>
      <c r="AT290" s="1115"/>
      <c r="AU290" s="1115"/>
      <c r="AV290" s="1114"/>
      <c r="AW290" s="1115"/>
      <c r="AX290" s="1115"/>
      <c r="AY290" s="1114"/>
      <c r="AZ290" s="1115"/>
      <c r="BA290" s="1115"/>
      <c r="BB290" s="1114"/>
      <c r="BC290" s="1115"/>
      <c r="BD290" s="1115"/>
      <c r="BE290" s="1114"/>
      <c r="BF290" s="1115"/>
      <c r="BG290" s="1115"/>
      <c r="BH290" s="1114"/>
      <c r="BI290" s="1115"/>
      <c r="BJ290" s="1115"/>
      <c r="BK290" s="1114"/>
      <c r="BL290" s="1115"/>
      <c r="BM290" s="1115"/>
      <c r="BN290" s="1114"/>
      <c r="BO290" s="1115"/>
      <c r="BP290" s="1115"/>
      <c r="BQ290" s="1114"/>
      <c r="BR290" s="1115"/>
      <c r="BS290" s="1115"/>
      <c r="BT290" s="1114"/>
      <c r="BU290" s="1115"/>
      <c r="BV290" s="1115"/>
      <c r="BW290" s="1114"/>
      <c r="BX290" s="1115"/>
      <c r="BY290" s="1115"/>
      <c r="BZ290" s="1114"/>
      <c r="CA290" s="1115"/>
      <c r="CB290" s="1115"/>
      <c r="CC290" s="1114"/>
      <c r="CD290" s="1115"/>
      <c r="CE290" s="1115"/>
      <c r="CF290" s="1114"/>
      <c r="CG290" s="1115"/>
      <c r="CH290" s="1115"/>
      <c r="CI290" s="1114"/>
      <c r="CJ290" s="1115"/>
      <c r="CK290" s="1115"/>
      <c r="CL290" s="1114"/>
      <c r="CM290" s="1115"/>
      <c r="CN290" s="1115"/>
      <c r="CO290" s="1114"/>
      <c r="CP290" s="1115"/>
      <c r="CQ290" s="1115"/>
      <c r="CR290" s="1114"/>
      <c r="CS290" s="1115"/>
      <c r="CT290" s="1115"/>
      <c r="CU290" s="1114"/>
      <c r="CV290" s="1115"/>
      <c r="CW290" s="1115"/>
      <c r="CX290" s="1114"/>
      <c r="CY290" s="1115"/>
      <c r="CZ290" s="1115"/>
      <c r="DA290" s="1114"/>
      <c r="DB290" s="1115"/>
      <c r="DC290" s="1115"/>
      <c r="DD290" s="1114"/>
      <c r="DE290" s="1115"/>
      <c r="DF290" s="1115"/>
      <c r="DG290" s="1114"/>
      <c r="DH290" s="1115"/>
      <c r="DI290" s="1115"/>
      <c r="DJ290" s="1114"/>
      <c r="DK290" s="1115"/>
      <c r="DL290" s="1115"/>
      <c r="DM290" s="1114"/>
      <c r="DN290" s="1115"/>
      <c r="DO290" s="1115"/>
      <c r="DP290" s="1114"/>
      <c r="DQ290" s="1115"/>
      <c r="DR290" s="1115"/>
      <c r="DS290" s="1114"/>
      <c r="DT290" s="1115"/>
      <c r="DU290" s="1115"/>
      <c r="DV290" s="1114"/>
      <c r="DW290" s="1115"/>
      <c r="DX290" s="1115"/>
      <c r="DY290" s="1114"/>
      <c r="DZ290" s="1115"/>
      <c r="EA290" s="1115"/>
      <c r="EB290" s="1114"/>
      <c r="EC290" s="1115"/>
      <c r="ED290" s="1115"/>
      <c r="EE290" s="1114"/>
      <c r="EF290" s="1115"/>
      <c r="EG290" s="1115"/>
      <c r="EH290" s="1114"/>
      <c r="EI290" s="1115"/>
      <c r="EJ290" s="1115"/>
      <c r="EK290" s="1114"/>
      <c r="EL290" s="1115"/>
      <c r="EM290" s="1115"/>
      <c r="EN290" s="1114"/>
      <c r="EO290" s="1115"/>
      <c r="EP290" s="1115"/>
      <c r="EQ290" s="1114"/>
      <c r="ER290" s="1115"/>
      <c r="ES290" s="1115"/>
      <c r="ET290" s="1114"/>
      <c r="EU290" s="1115"/>
      <c r="EV290" s="1115"/>
      <c r="EW290" s="1114"/>
      <c r="EX290" s="1115"/>
      <c r="EY290" s="1115"/>
      <c r="EZ290" s="1114"/>
      <c r="FA290" s="1115"/>
      <c r="FB290" s="1115"/>
      <c r="FC290" s="1114"/>
      <c r="FD290" s="1115"/>
      <c r="FE290" s="1115"/>
      <c r="FF290" s="1114"/>
      <c r="FG290" s="1115"/>
      <c r="FH290" s="1115"/>
      <c r="FI290" s="1114"/>
      <c r="FJ290" s="1115"/>
      <c r="FK290" s="1115"/>
      <c r="FL290" s="1114"/>
      <c r="FM290" s="1115"/>
      <c r="FN290" s="1115"/>
      <c r="FO290" s="1114"/>
      <c r="FP290" s="1115"/>
      <c r="FQ290" s="1115"/>
      <c r="FR290" s="1114"/>
      <c r="FS290" s="1115"/>
      <c r="FT290" s="1115"/>
      <c r="FU290" s="1114"/>
      <c r="FV290" s="1115"/>
      <c r="FW290" s="1116"/>
      <c r="GA290" s="1330" t="s">
        <v>240</v>
      </c>
      <c r="GB290" s="1330" cm="1" t="str">
        <f t="array" ref="GB290:GB290">GB289</f>
        <v>0</v>
      </c>
    </row>
    <row customHeight="1" ht="18.525" hidden="1">
      <c r="A291" s="496"/>
      <c r="B291" s="932" cm="1" t="str">
        <f t="array" ref="B291:B291">B290</f>
        <v>false</v>
      </c>
      <c r="C291" s="496"/>
      <c r="D291" s="496"/>
      <c r="E291" s="847">
        <v>19</v>
      </c>
      <c r="F291" s="50" cm="1" t="str">
        <f t="array" ref="F291:F291">OFFSET(E291,-1,1)</f>
        <v>3</v>
      </c>
      <c r="G291" s="496"/>
      <c r="H291" s="496"/>
      <c r="I291" s="496"/>
      <c r="J291" s="496"/>
      <c r="K291" s="496"/>
      <c r="L291" s="496"/>
      <c r="M291" s="496"/>
      <c r="N291" s="496"/>
      <c r="O291" s="496"/>
      <c r="P291" s="496"/>
      <c r="Q291" s="496"/>
      <c r="R291" s="496"/>
      <c r="S291" s="496"/>
      <c r="T291" s="468" cm="1" t="str">
        <f t="array" ref="T291:T291">T290</f>
        <v>false</v>
      </c>
      <c r="U291" s="496"/>
      <c r="V291" s="496"/>
      <c r="W291" s="496"/>
      <c r="X291" s="1559"/>
      <c r="Y291" s="1559"/>
      <c r="Z291" s="1528"/>
      <c r="AA291" s="1516"/>
      <c r="AB291" s="911" t="s">
        <v>1895</v>
      </c>
      <c r="AC291" s="871" t="s">
        <v>1862</v>
      </c>
      <c r="AD291" s="4591"/>
      <c r="AE291" s="4591"/>
      <c r="AF291" s="1102">
        <f>IF(AD291=0,0,(AE291-AD291)/AD291*100)</f>
        <v>0</v>
      </c>
      <c r="AG291" s="4591"/>
      <c r="AH291" s="4591"/>
      <c r="AI291" s="1102">
        <f>IF(AG291=0,0,(AH291-AG291)/AG291*100)</f>
        <v>0</v>
      </c>
      <c r="AJ291" s="4591"/>
      <c r="AK291" s="4591"/>
      <c r="AL291" s="1102">
        <f>IF(AJ291=0,0,(AK291-AJ291)/AJ291*100)</f>
        <v>0</v>
      </c>
      <c r="AM291" s="4591"/>
      <c r="AN291" s="4591"/>
      <c r="AO291" s="1102">
        <f>IF(AM291=0,0,(AN291-AM291)/AM291*100)</f>
        <v>0</v>
      </c>
      <c r="AP291" s="4591"/>
      <c r="AQ291" s="4591"/>
      <c r="AR291" s="1102">
        <f>IF(AP291=0,0,(AQ291-AP291)/AP291*100)</f>
        <v>0</v>
      </c>
      <c r="AS291" s="4591"/>
      <c r="AT291" s="4591"/>
      <c r="AU291" s="1102">
        <f>IF(AS291=0,0,(AT291-AS291)/AS291*100)</f>
        <v>0</v>
      </c>
      <c r="AV291" s="4591"/>
      <c r="AW291" s="4591"/>
      <c r="AX291" s="1102">
        <f>IF(AV291=0,0,(AW291-AV291)/AV291*100)</f>
        <v>0</v>
      </c>
      <c r="AY291" s="4591"/>
      <c r="AZ291" s="4591"/>
      <c r="BA291" s="1102">
        <f>IF(AY291=0,0,(AZ291-AY291)/AY291*100)</f>
        <v>0</v>
      </c>
      <c r="BB291" s="4591"/>
      <c r="BC291" s="4591"/>
      <c r="BD291" s="1102">
        <f>IF(BB291=0,0,(BC291-BB291)/BB291*100)</f>
        <v>0</v>
      </c>
      <c r="BE291" s="4591"/>
      <c r="BF291" s="4591"/>
      <c r="BG291" s="1102">
        <f>IF(BE291=0,0,(BF291-BE291)/BE291*100)</f>
        <v>0</v>
      </c>
      <c r="BH291" s="4591"/>
      <c r="BI291" s="4591"/>
      <c r="BJ291" s="1102">
        <f>IF(BH291=0,0,(BI291-BH291)/BH291*100)</f>
        <v>0</v>
      </c>
      <c r="BK291" s="4591"/>
      <c r="BL291" s="4591"/>
      <c r="BM291" s="1102">
        <f>IF(BK291=0,0,(BL291-BK291)/BK291*100)</f>
        <v>0</v>
      </c>
      <c r="BN291" s="4591"/>
      <c r="BO291" s="4591"/>
      <c r="BP291" s="1102">
        <f>IF(BN291=0,0,(BO291-BN291)/BN291*100)</f>
        <v>0</v>
      </c>
      <c r="BQ291" s="4591"/>
      <c r="BR291" s="4591"/>
      <c r="BS291" s="1102">
        <f>IF(BQ291=0,0,(BR291-BQ291)/BQ291*100)</f>
        <v>0</v>
      </c>
      <c r="BT291" s="4591"/>
      <c r="BU291" s="4591"/>
      <c r="BV291" s="1102">
        <f>IF(BT291=0,0,(BU291-BT291)/BT291*100)</f>
        <v>0</v>
      </c>
      <c r="BW291" s="4591"/>
      <c r="BX291" s="4591"/>
      <c r="BY291" s="1102">
        <f>IF(BW291=0,0,(BX291-BW291)/BW291*100)</f>
        <v>0</v>
      </c>
      <c r="BZ291" s="4591"/>
      <c r="CA291" s="4591"/>
      <c r="CB291" s="1102">
        <f>IF(BZ291=0,0,(CA291-BZ291)/BZ291*100)</f>
        <v>0</v>
      </c>
      <c r="CC291" s="4591"/>
      <c r="CD291" s="4591"/>
      <c r="CE291" s="1102">
        <f>IF(CC291=0,0,(CD291-CC291)/CC291*100)</f>
        <v>0</v>
      </c>
      <c r="CF291" s="4591"/>
      <c r="CG291" s="4591"/>
      <c r="CH291" s="1102">
        <f>IF(CF291=0,0,(CG291-CF291)/CF291*100)</f>
        <v>0</v>
      </c>
      <c r="CI291" s="4591"/>
      <c r="CJ291" s="4591"/>
      <c r="CK291" s="1102">
        <f>IF(CI291=0,0,(CJ291-CI291)/CI291*100)</f>
        <v>0</v>
      </c>
      <c r="CL291" s="4591"/>
      <c r="CM291" s="4591"/>
      <c r="CN291" s="1102">
        <f>IF(CL291=0,0,(CM291-CL291)/CL291*100)</f>
        <v>0</v>
      </c>
      <c r="CO291" s="4591"/>
      <c r="CP291" s="4591"/>
      <c r="CQ291" s="1102">
        <f>IF(CO291=0,0,(CP291-CO291)/CO291*100)</f>
        <v>0</v>
      </c>
      <c r="CR291" s="4591"/>
      <c r="CS291" s="4591"/>
      <c r="CT291" s="1102">
        <f>IF(CR291=0,0,(CS291-CR291)/CR291*100)</f>
        <v>0</v>
      </c>
      <c r="CU291" s="4591"/>
      <c r="CV291" s="4591"/>
      <c r="CW291" s="1102">
        <f>IF(CU291=0,0,(CV291-CU291)/CU291*100)</f>
        <v>0</v>
      </c>
      <c r="CX291" s="4591"/>
      <c r="CY291" s="4591"/>
      <c r="CZ291" s="1102">
        <f>IF(CX291=0,0,(CY291-CX291)/CX291*100)</f>
        <v>0</v>
      </c>
      <c r="DA291" s="4591"/>
      <c r="DB291" s="4591"/>
      <c r="DC291" s="1102">
        <f>IF(DA291=0,0,(DB291-DA291)/DA291*100)</f>
        <v>0</v>
      </c>
      <c r="DD291" s="4591"/>
      <c r="DE291" s="4591"/>
      <c r="DF291" s="1102">
        <f>IF(DD291=0,0,(DE291-DD291)/DD291*100)</f>
        <v>0</v>
      </c>
      <c r="DG291" s="4591"/>
      <c r="DH291" s="4591"/>
      <c r="DI291" s="1102">
        <f>IF(DG291=0,0,(DH291-DG291)/DG291*100)</f>
        <v>0</v>
      </c>
      <c r="DJ291" s="4591"/>
      <c r="DK291" s="4591"/>
      <c r="DL291" s="1102">
        <f>IF(DJ291=0,0,(DK291-DJ291)/DJ291*100)</f>
        <v>0</v>
      </c>
      <c r="DM291" s="4591"/>
      <c r="DN291" s="4591"/>
      <c r="DO291" s="1102">
        <f>IF(DM291=0,0,(DN291-DM291)/DM291*100)</f>
        <v>0</v>
      </c>
      <c r="DP291" s="4591"/>
      <c r="DQ291" s="4591"/>
      <c r="DR291" s="1102">
        <f>IF(DP291=0,0,(DQ291-DP291)/DP291*100)</f>
        <v>0</v>
      </c>
      <c r="DS291" s="4591"/>
      <c r="DT291" s="4591"/>
      <c r="DU291" s="1102">
        <f>IF(DS291=0,0,(DT291-DS291)/DS291*100)</f>
        <v>0</v>
      </c>
      <c r="DV291" s="4591"/>
      <c r="DW291" s="4591"/>
      <c r="DX291" s="1102">
        <f>IF(DV291=0,0,(DW291-DV291)/DV291*100)</f>
        <v>0</v>
      </c>
      <c r="DY291" s="4591"/>
      <c r="DZ291" s="4591"/>
      <c r="EA291" s="1102">
        <f>IF(DY291=0,0,(DZ291-DY291)/DY291*100)</f>
        <v>0</v>
      </c>
      <c r="EB291" s="4591"/>
      <c r="EC291" s="4591"/>
      <c r="ED291" s="1102">
        <f>IF(EB291=0,0,(EC291-EB291)/EB291*100)</f>
        <v>0</v>
      </c>
      <c r="EE291" s="4591"/>
      <c r="EF291" s="4591"/>
      <c r="EG291" s="1102">
        <f>IF(EE291=0,0,(EF291-EE291)/EE291*100)</f>
        <v>0</v>
      </c>
      <c r="EH291" s="4591"/>
      <c r="EI291" s="4591"/>
      <c r="EJ291" s="1102">
        <f>IF(EH291=0,0,(EI291-EH291)/EH291*100)</f>
        <v>0</v>
      </c>
      <c r="EK291" s="4591"/>
      <c r="EL291" s="4591"/>
      <c r="EM291" s="1102">
        <f>IF(EK291=0,0,(EL291-EK291)/EK291*100)</f>
        <v>0</v>
      </c>
      <c r="EN291" s="4591"/>
      <c r="EO291" s="4591"/>
      <c r="EP291" s="1102">
        <f>IF(EN291=0,0,(EO291-EN291)/EN291*100)</f>
        <v>0</v>
      </c>
      <c r="EQ291" s="4591"/>
      <c r="ER291" s="4591"/>
      <c r="ES291" s="1102">
        <f>IF(EQ291=0,0,(ER291-EQ291)/EQ291*100)</f>
        <v>0</v>
      </c>
      <c r="ET291" s="4591"/>
      <c r="EU291" s="4591"/>
      <c r="EV291" s="1102">
        <f>IF(ET291=0,0,(EU291-ET291)/ET291*100)</f>
        <v>0</v>
      </c>
      <c r="EW291" s="4591"/>
      <c r="EX291" s="4591"/>
      <c r="EY291" s="1102">
        <f>IF(EW291=0,0,(EX291-EW291)/EW291*100)</f>
        <v>0</v>
      </c>
      <c r="EZ291" s="4591"/>
      <c r="FA291" s="4591"/>
      <c r="FB291" s="1102">
        <f>IF(EZ291=0,0,(FA291-EZ291)/EZ291*100)</f>
        <v>0</v>
      </c>
      <c r="FC291" s="4591"/>
      <c r="FD291" s="4591"/>
      <c r="FE291" s="1102">
        <f>IF(FC291=0,0,(FD291-FC291)/FC291*100)</f>
        <v>0</v>
      </c>
      <c r="FF291" s="4591"/>
      <c r="FG291" s="4591"/>
      <c r="FH291" s="1102">
        <f>IF(FF291=0,0,(FG291-FF291)/FF291*100)</f>
        <v>0</v>
      </c>
      <c r="FI291" s="4591"/>
      <c r="FJ291" s="4591"/>
      <c r="FK291" s="1102">
        <f>IF(FI291=0,0,(FJ291-FI291)/FI291*100)</f>
        <v>0</v>
      </c>
      <c r="FL291" s="4591"/>
      <c r="FM291" s="4591"/>
      <c r="FN291" s="1102">
        <f>IF(FL291=0,0,(FM291-FL291)/FL291*100)</f>
        <v>0</v>
      </c>
      <c r="FO291" s="4591"/>
      <c r="FP291" s="4591"/>
      <c r="FQ291" s="1102">
        <f>IF(FO291=0,0,(FP291-FO291)/FO291*100)</f>
        <v>0</v>
      </c>
      <c r="FR291" s="4591"/>
      <c r="FS291" s="4591"/>
      <c r="FT291" s="1102">
        <f>IF(FR291=0,0,(FS291-FR291)/FR291*100)</f>
        <v>0</v>
      </c>
      <c r="FU291" s="4591"/>
      <c r="FV291" s="4591"/>
      <c r="FW291" s="1102">
        <f>IF(FU291=0,0,(FV291-FU291)/FU291*100)</f>
        <v>0</v>
      </c>
      <c r="FZ291" s="1330" t="s">
        <v>1934</v>
      </c>
      <c r="GA291" s="1330" t="s">
        <v>993</v>
      </c>
      <c r="GB291" s="1330" cm="1" t="str">
        <f t="array" ref="GB291:GB291">GB290</f>
        <v>0</v>
      </c>
    </row>
    <row customHeight="1" ht="18.525" hidden="1">
      <c r="A292" s="496"/>
      <c r="B292" s="932" cm="1" t="str">
        <f t="array" ref="B292:B292">B291</f>
        <v>false</v>
      </c>
      <c r="C292" s="496"/>
      <c r="D292" s="496"/>
      <c r="E292" s="847">
        <v>19</v>
      </c>
      <c r="F292" s="50" cm="1" t="str">
        <f t="array" ref="F292:F292">OFFSET(E292,-1,1)</f>
        <v>3</v>
      </c>
      <c r="G292" s="496"/>
      <c r="H292" s="496"/>
      <c r="I292" s="496"/>
      <c r="J292" s="496"/>
      <c r="K292" s="496"/>
      <c r="L292" s="496"/>
      <c r="M292" s="496"/>
      <c r="N292" s="496"/>
      <c r="O292" s="496"/>
      <c r="P292" s="496"/>
      <c r="Q292" s="496"/>
      <c r="R292" s="496"/>
      <c r="S292" s="496"/>
      <c r="T292" s="468" cm="1" t="str">
        <f t="array" ref="T292:T292">T291</f>
        <v>false</v>
      </c>
      <c r="U292" s="496"/>
      <c r="V292" s="496"/>
      <c r="W292" s="496"/>
      <c r="X292" s="1559"/>
      <c r="Y292" s="1559"/>
      <c r="Z292" s="1528"/>
      <c r="AA292" s="1516"/>
      <c r="AB292" s="911" t="str">
        <f>"ставка платы за "&amp;IF(Q248="Водоснабжение","потребление 1 куб.м холодной воды","объем принятых сточных вод")</f>
        <v>ставка платы за объем принятых сточных вод</v>
      </c>
      <c r="AC292" s="871" t="s">
        <v>1862</v>
      </c>
      <c r="AD292" s="4591"/>
      <c r="AE292" s="4591"/>
      <c r="AF292" s="1102">
        <f>IF(AD292=0,0,(AE292-AD292)/AD292*100)</f>
        <v>0</v>
      </c>
      <c r="AG292" s="4591"/>
      <c r="AH292" s="4591"/>
      <c r="AI292" s="1102">
        <f>IF(AG292=0,0,(AH292-AG292)/AG292*100)</f>
        <v>0</v>
      </c>
      <c r="AJ292" s="4591"/>
      <c r="AK292" s="4591"/>
      <c r="AL292" s="1102">
        <f>IF(AJ292=0,0,(AK292-AJ292)/AJ292*100)</f>
        <v>0</v>
      </c>
      <c r="AM292" s="4591"/>
      <c r="AN292" s="4591"/>
      <c r="AO292" s="1102">
        <f>IF(AM292=0,0,(AN292-AM292)/AM292*100)</f>
        <v>0</v>
      </c>
      <c r="AP292" s="4591"/>
      <c r="AQ292" s="4591"/>
      <c r="AR292" s="1102">
        <f>IF(AP292=0,0,(AQ292-AP292)/AP292*100)</f>
        <v>0</v>
      </c>
      <c r="AS292" s="4591"/>
      <c r="AT292" s="4591"/>
      <c r="AU292" s="1102">
        <f>IF(AS292=0,0,(AT292-AS292)/AS292*100)</f>
        <v>0</v>
      </c>
      <c r="AV292" s="4591"/>
      <c r="AW292" s="4591"/>
      <c r="AX292" s="1102">
        <f>IF(AV292=0,0,(AW292-AV292)/AV292*100)</f>
        <v>0</v>
      </c>
      <c r="AY292" s="4591"/>
      <c r="AZ292" s="4591"/>
      <c r="BA292" s="1102">
        <f>IF(AY292=0,0,(AZ292-AY292)/AY292*100)</f>
        <v>0</v>
      </c>
      <c r="BB292" s="4591"/>
      <c r="BC292" s="4591"/>
      <c r="BD292" s="1102">
        <f>IF(BB292=0,0,(BC292-BB292)/BB292*100)</f>
        <v>0</v>
      </c>
      <c r="BE292" s="4591"/>
      <c r="BF292" s="4591"/>
      <c r="BG292" s="1102">
        <f>IF(BE292=0,0,(BF292-BE292)/BE292*100)</f>
        <v>0</v>
      </c>
      <c r="BH292" s="4591"/>
      <c r="BI292" s="4591"/>
      <c r="BJ292" s="1102">
        <f>IF(BH292=0,0,(BI292-BH292)/BH292*100)</f>
        <v>0</v>
      </c>
      <c r="BK292" s="4591"/>
      <c r="BL292" s="4591"/>
      <c r="BM292" s="1102">
        <f>IF(BK292=0,0,(BL292-BK292)/BK292*100)</f>
        <v>0</v>
      </c>
      <c r="BN292" s="4591"/>
      <c r="BO292" s="4591"/>
      <c r="BP292" s="1102">
        <f>IF(BN292=0,0,(BO292-BN292)/BN292*100)</f>
        <v>0</v>
      </c>
      <c r="BQ292" s="4591"/>
      <c r="BR292" s="4591"/>
      <c r="BS292" s="1102">
        <f>IF(BQ292=0,0,(BR292-BQ292)/BQ292*100)</f>
        <v>0</v>
      </c>
      <c r="BT292" s="4591"/>
      <c r="BU292" s="4591"/>
      <c r="BV292" s="1102">
        <f>IF(BT292=0,0,(BU292-BT292)/BT292*100)</f>
        <v>0</v>
      </c>
      <c r="BW292" s="4591"/>
      <c r="BX292" s="4591"/>
      <c r="BY292" s="1102">
        <f>IF(BW292=0,0,(BX292-BW292)/BW292*100)</f>
        <v>0</v>
      </c>
      <c r="BZ292" s="4591"/>
      <c r="CA292" s="4591"/>
      <c r="CB292" s="1102">
        <f>IF(BZ292=0,0,(CA292-BZ292)/BZ292*100)</f>
        <v>0</v>
      </c>
      <c r="CC292" s="4591"/>
      <c r="CD292" s="4591"/>
      <c r="CE292" s="1102">
        <f>IF(CC292=0,0,(CD292-CC292)/CC292*100)</f>
        <v>0</v>
      </c>
      <c r="CF292" s="4591"/>
      <c r="CG292" s="4591"/>
      <c r="CH292" s="1102">
        <f>IF(CF292=0,0,(CG292-CF292)/CF292*100)</f>
        <v>0</v>
      </c>
      <c r="CI292" s="4591"/>
      <c r="CJ292" s="4591"/>
      <c r="CK292" s="1102">
        <f>IF(CI292=0,0,(CJ292-CI292)/CI292*100)</f>
        <v>0</v>
      </c>
      <c r="CL292" s="4591"/>
      <c r="CM292" s="4591"/>
      <c r="CN292" s="1102">
        <f>IF(CL292=0,0,(CM292-CL292)/CL292*100)</f>
        <v>0</v>
      </c>
      <c r="CO292" s="4591"/>
      <c r="CP292" s="4591"/>
      <c r="CQ292" s="1102">
        <f>IF(CO292=0,0,(CP292-CO292)/CO292*100)</f>
        <v>0</v>
      </c>
      <c r="CR292" s="4591"/>
      <c r="CS292" s="4591"/>
      <c r="CT292" s="1102">
        <f>IF(CR292=0,0,(CS292-CR292)/CR292*100)</f>
        <v>0</v>
      </c>
      <c r="CU292" s="4591"/>
      <c r="CV292" s="4591"/>
      <c r="CW292" s="1102">
        <f>IF(CU292=0,0,(CV292-CU292)/CU292*100)</f>
        <v>0</v>
      </c>
      <c r="CX292" s="4591"/>
      <c r="CY292" s="4591"/>
      <c r="CZ292" s="1102">
        <f>IF(CX292=0,0,(CY292-CX292)/CX292*100)</f>
        <v>0</v>
      </c>
      <c r="DA292" s="4591"/>
      <c r="DB292" s="4591"/>
      <c r="DC292" s="1102">
        <f>IF(DA292=0,0,(DB292-DA292)/DA292*100)</f>
        <v>0</v>
      </c>
      <c r="DD292" s="4591"/>
      <c r="DE292" s="4591"/>
      <c r="DF292" s="1102">
        <f>IF(DD292=0,0,(DE292-DD292)/DD292*100)</f>
        <v>0</v>
      </c>
      <c r="DG292" s="4591"/>
      <c r="DH292" s="4591"/>
      <c r="DI292" s="1102">
        <f>IF(DG292=0,0,(DH292-DG292)/DG292*100)</f>
        <v>0</v>
      </c>
      <c r="DJ292" s="4591"/>
      <c r="DK292" s="4591"/>
      <c r="DL292" s="1102">
        <f>IF(DJ292=0,0,(DK292-DJ292)/DJ292*100)</f>
        <v>0</v>
      </c>
      <c r="DM292" s="4591"/>
      <c r="DN292" s="4591"/>
      <c r="DO292" s="1102">
        <f>IF(DM292=0,0,(DN292-DM292)/DM292*100)</f>
        <v>0</v>
      </c>
      <c r="DP292" s="4591"/>
      <c r="DQ292" s="4591"/>
      <c r="DR292" s="1102">
        <f>IF(DP292=0,0,(DQ292-DP292)/DP292*100)</f>
        <v>0</v>
      </c>
      <c r="DS292" s="4591"/>
      <c r="DT292" s="4591"/>
      <c r="DU292" s="1102">
        <f>IF(DS292=0,0,(DT292-DS292)/DS292*100)</f>
        <v>0</v>
      </c>
      <c r="DV292" s="4591"/>
      <c r="DW292" s="4591"/>
      <c r="DX292" s="1102">
        <f>IF(DV292=0,0,(DW292-DV292)/DV292*100)</f>
        <v>0</v>
      </c>
      <c r="DY292" s="4591"/>
      <c r="DZ292" s="4591"/>
      <c r="EA292" s="1102">
        <f>IF(DY292=0,0,(DZ292-DY292)/DY292*100)</f>
        <v>0</v>
      </c>
      <c r="EB292" s="4591"/>
      <c r="EC292" s="4591"/>
      <c r="ED292" s="1102">
        <f>IF(EB292=0,0,(EC292-EB292)/EB292*100)</f>
        <v>0</v>
      </c>
      <c r="EE292" s="4591"/>
      <c r="EF292" s="4591"/>
      <c r="EG292" s="1102">
        <f>IF(EE292=0,0,(EF292-EE292)/EE292*100)</f>
        <v>0</v>
      </c>
      <c r="EH292" s="4591"/>
      <c r="EI292" s="4591"/>
      <c r="EJ292" s="1102">
        <f>IF(EH292=0,0,(EI292-EH292)/EH292*100)</f>
        <v>0</v>
      </c>
      <c r="EK292" s="4591"/>
      <c r="EL292" s="4591"/>
      <c r="EM292" s="1102">
        <f>IF(EK292=0,0,(EL292-EK292)/EK292*100)</f>
        <v>0</v>
      </c>
      <c r="EN292" s="4591"/>
      <c r="EO292" s="4591"/>
      <c r="EP292" s="1102">
        <f>IF(EN292=0,0,(EO292-EN292)/EN292*100)</f>
        <v>0</v>
      </c>
      <c r="EQ292" s="4591"/>
      <c r="ER292" s="4591"/>
      <c r="ES292" s="1102">
        <f>IF(EQ292=0,0,(ER292-EQ292)/EQ292*100)</f>
        <v>0</v>
      </c>
      <c r="ET292" s="4591"/>
      <c r="EU292" s="4591"/>
      <c r="EV292" s="1102">
        <f>IF(ET292=0,0,(EU292-ET292)/ET292*100)</f>
        <v>0</v>
      </c>
      <c r="EW292" s="4591"/>
      <c r="EX292" s="4591"/>
      <c r="EY292" s="1102">
        <f>IF(EW292=0,0,(EX292-EW292)/EW292*100)</f>
        <v>0</v>
      </c>
      <c r="EZ292" s="4591"/>
      <c r="FA292" s="4591"/>
      <c r="FB292" s="1102">
        <f>IF(EZ292=0,0,(FA292-EZ292)/EZ292*100)</f>
        <v>0</v>
      </c>
      <c r="FC292" s="4591"/>
      <c r="FD292" s="4591"/>
      <c r="FE292" s="1102">
        <f>IF(FC292=0,0,(FD292-FC292)/FC292*100)</f>
        <v>0</v>
      </c>
      <c r="FF292" s="4591"/>
      <c r="FG292" s="4591"/>
      <c r="FH292" s="1102">
        <f>IF(FF292=0,0,(FG292-FF292)/FF292*100)</f>
        <v>0</v>
      </c>
      <c r="FI292" s="4591"/>
      <c r="FJ292" s="4591"/>
      <c r="FK292" s="1102">
        <f>IF(FI292=0,0,(FJ292-FI292)/FI292*100)</f>
        <v>0</v>
      </c>
      <c r="FL292" s="4591"/>
      <c r="FM292" s="4591"/>
      <c r="FN292" s="1102">
        <f>IF(FL292=0,0,(FM292-FL292)/FL292*100)</f>
        <v>0</v>
      </c>
      <c r="FO292" s="4591"/>
      <c r="FP292" s="4591"/>
      <c r="FQ292" s="1102">
        <f>IF(FO292=0,0,(FP292-FO292)/FO292*100)</f>
        <v>0</v>
      </c>
      <c r="FR292" s="4591"/>
      <c r="FS292" s="4591"/>
      <c r="FT292" s="1102">
        <f>IF(FR292=0,0,(FS292-FR292)/FR292*100)</f>
        <v>0</v>
      </c>
      <c r="FU292" s="4591"/>
      <c r="FV292" s="4591"/>
      <c r="FW292" s="1102">
        <f>IF(FU292=0,0,(FV292-FU292)/FU292*100)</f>
        <v>0</v>
      </c>
      <c r="FZ292" s="1330" t="s">
        <v>1935</v>
      </c>
      <c r="GA292" s="1330" t="s">
        <v>993</v>
      </c>
      <c r="GB292" s="1330" cm="1" t="str">
        <f t="array" ref="GB292:GB292">GB291</f>
        <v>0</v>
      </c>
    </row>
    <row customHeight="1" ht="18.525" hidden="1">
      <c r="A293" s="496"/>
      <c r="B293" s="932" cm="1" t="str">
        <f t="array" ref="B293:B293">B292</f>
        <v>false</v>
      </c>
      <c r="C293" s="496"/>
      <c r="D293" s="496"/>
      <c r="E293" s="847">
        <v>19</v>
      </c>
      <c r="F293" s="50" cm="1" t="str">
        <f t="array" ref="F293:F293">OFFSET(E293,-1,1)</f>
        <v>3</v>
      </c>
      <c r="G293" s="496"/>
      <c r="H293" s="496"/>
      <c r="I293" s="496"/>
      <c r="J293" s="496"/>
      <c r="K293" s="496"/>
      <c r="L293" s="496"/>
      <c r="M293" s="496"/>
      <c r="N293" s="496"/>
      <c r="O293" s="496"/>
      <c r="P293" s="496"/>
      <c r="Q293" s="496"/>
      <c r="R293" s="496"/>
      <c r="S293" s="496"/>
      <c r="T293" s="468" cm="1" t="str">
        <f t="array" ref="T293:T293">T292</f>
        <v>false</v>
      </c>
      <c r="U293" s="496"/>
      <c r="V293" s="496"/>
      <c r="W293" s="496"/>
      <c r="X293" s="1559"/>
      <c r="Y293" s="1559"/>
      <c r="Z293" s="1528"/>
      <c r="AA293" s="1516"/>
      <c r="AB293" s="911" t="str">
        <f>"объём "&amp;IF(Q248="Водоснабжение","потребления холодной воды","водоотведения")</f>
        <v>объём водоотведения</v>
      </c>
      <c r="AC293" s="871" t="s">
        <v>657</v>
      </c>
      <c r="AD293" s="4585"/>
      <c r="AE293" s="4585"/>
      <c r="AF293" s="1104">
        <f>IF(AD293=0,0,(AE293-AD293)/AD293*100)</f>
        <v>0</v>
      </c>
      <c r="AG293" s="4585"/>
      <c r="AH293" s="4585"/>
      <c r="AI293" s="1104">
        <f>IF(AG293=0,0,(AH293-AG293)/AG293*100)</f>
        <v>0</v>
      </c>
      <c r="AJ293" s="4585"/>
      <c r="AK293" s="4585"/>
      <c r="AL293" s="1104">
        <f>IF(AJ293=0,0,(AK293-AJ293)/AJ293*100)</f>
        <v>0</v>
      </c>
      <c r="AM293" s="4585"/>
      <c r="AN293" s="4585"/>
      <c r="AO293" s="1104">
        <f>IF(AM293=0,0,(AN293-AM293)/AM293*100)</f>
        <v>0</v>
      </c>
      <c r="AP293" s="4585"/>
      <c r="AQ293" s="4585"/>
      <c r="AR293" s="1104">
        <f>IF(AP293=0,0,(AQ293-AP293)/AP293*100)</f>
        <v>0</v>
      </c>
      <c r="AS293" s="4585"/>
      <c r="AT293" s="4585"/>
      <c r="AU293" s="1104">
        <f>IF(AS293=0,0,(AT293-AS293)/AS293*100)</f>
        <v>0</v>
      </c>
      <c r="AV293" s="4585"/>
      <c r="AW293" s="4585"/>
      <c r="AX293" s="1104">
        <f>IF(AV293=0,0,(AW293-AV293)/AV293*100)</f>
        <v>0</v>
      </c>
      <c r="AY293" s="4585"/>
      <c r="AZ293" s="4585"/>
      <c r="BA293" s="1104">
        <f>IF(AY293=0,0,(AZ293-AY293)/AY293*100)</f>
        <v>0</v>
      </c>
      <c r="BB293" s="4585"/>
      <c r="BC293" s="4585"/>
      <c r="BD293" s="1104">
        <f>IF(BB293=0,0,(BC293-BB293)/BB293*100)</f>
        <v>0</v>
      </c>
      <c r="BE293" s="4585"/>
      <c r="BF293" s="4585"/>
      <c r="BG293" s="1104">
        <f>IF(BE293=0,0,(BF293-BE293)/BE293*100)</f>
        <v>0</v>
      </c>
      <c r="BH293" s="4585"/>
      <c r="BI293" s="4585"/>
      <c r="BJ293" s="1104">
        <f>IF(BH293=0,0,(BI293-BH293)/BH293*100)</f>
        <v>0</v>
      </c>
      <c r="BK293" s="4585"/>
      <c r="BL293" s="4585"/>
      <c r="BM293" s="1104">
        <f>IF(BK293=0,0,(BL293-BK293)/BK293*100)</f>
        <v>0</v>
      </c>
      <c r="BN293" s="4585"/>
      <c r="BO293" s="4585"/>
      <c r="BP293" s="1104">
        <f>IF(BN293=0,0,(BO293-BN293)/BN293*100)</f>
        <v>0</v>
      </c>
      <c r="BQ293" s="4585"/>
      <c r="BR293" s="4585"/>
      <c r="BS293" s="1104">
        <f>IF(BQ293=0,0,(BR293-BQ293)/BQ293*100)</f>
        <v>0</v>
      </c>
      <c r="BT293" s="4585"/>
      <c r="BU293" s="4585"/>
      <c r="BV293" s="1104">
        <f>IF(BT293=0,0,(BU293-BT293)/BT293*100)</f>
        <v>0</v>
      </c>
      <c r="BW293" s="4585"/>
      <c r="BX293" s="4585"/>
      <c r="BY293" s="1104">
        <f>IF(BW293=0,0,(BX293-BW293)/BW293*100)</f>
        <v>0</v>
      </c>
      <c r="BZ293" s="4585"/>
      <c r="CA293" s="4585"/>
      <c r="CB293" s="1104">
        <f>IF(BZ293=0,0,(CA293-BZ293)/BZ293*100)</f>
        <v>0</v>
      </c>
      <c r="CC293" s="4585"/>
      <c r="CD293" s="4585"/>
      <c r="CE293" s="1104">
        <f>IF(CC293=0,0,(CD293-CC293)/CC293*100)</f>
        <v>0</v>
      </c>
      <c r="CF293" s="4585"/>
      <c r="CG293" s="4585"/>
      <c r="CH293" s="1104">
        <f>IF(CF293=0,0,(CG293-CF293)/CF293*100)</f>
        <v>0</v>
      </c>
      <c r="CI293" s="4585"/>
      <c r="CJ293" s="4585"/>
      <c r="CK293" s="1104">
        <f>IF(CI293=0,0,(CJ293-CI293)/CI293*100)</f>
        <v>0</v>
      </c>
      <c r="CL293" s="4585"/>
      <c r="CM293" s="4585"/>
      <c r="CN293" s="1104">
        <f>IF(CL293=0,0,(CM293-CL293)/CL293*100)</f>
        <v>0</v>
      </c>
      <c r="CO293" s="4585"/>
      <c r="CP293" s="4585"/>
      <c r="CQ293" s="1104">
        <f>IF(CO293=0,0,(CP293-CO293)/CO293*100)</f>
        <v>0</v>
      </c>
      <c r="CR293" s="4585"/>
      <c r="CS293" s="4585"/>
      <c r="CT293" s="1104">
        <f>IF(CR293=0,0,(CS293-CR293)/CR293*100)</f>
        <v>0</v>
      </c>
      <c r="CU293" s="4585"/>
      <c r="CV293" s="4585"/>
      <c r="CW293" s="1104">
        <f>IF(CU293=0,0,(CV293-CU293)/CU293*100)</f>
        <v>0</v>
      </c>
      <c r="CX293" s="4585"/>
      <c r="CY293" s="4585"/>
      <c r="CZ293" s="1104">
        <f>IF(CX293=0,0,(CY293-CX293)/CX293*100)</f>
        <v>0</v>
      </c>
      <c r="DA293" s="4585"/>
      <c r="DB293" s="4585"/>
      <c r="DC293" s="1104">
        <f>IF(DA293=0,0,(DB293-DA293)/DA293*100)</f>
        <v>0</v>
      </c>
      <c r="DD293" s="4585"/>
      <c r="DE293" s="4585"/>
      <c r="DF293" s="1104">
        <f>IF(DD293=0,0,(DE293-DD293)/DD293*100)</f>
        <v>0</v>
      </c>
      <c r="DG293" s="4585"/>
      <c r="DH293" s="4585"/>
      <c r="DI293" s="1104">
        <f>IF(DG293=0,0,(DH293-DG293)/DG293*100)</f>
        <v>0</v>
      </c>
      <c r="DJ293" s="4585"/>
      <c r="DK293" s="4585"/>
      <c r="DL293" s="1104">
        <f>IF(DJ293=0,0,(DK293-DJ293)/DJ293*100)</f>
        <v>0</v>
      </c>
      <c r="DM293" s="4585"/>
      <c r="DN293" s="4585"/>
      <c r="DO293" s="1104">
        <f>IF(DM293=0,0,(DN293-DM293)/DM293*100)</f>
        <v>0</v>
      </c>
      <c r="DP293" s="4585"/>
      <c r="DQ293" s="4585"/>
      <c r="DR293" s="1104">
        <f>IF(DP293=0,0,(DQ293-DP293)/DP293*100)</f>
        <v>0</v>
      </c>
      <c r="DS293" s="4585"/>
      <c r="DT293" s="4585"/>
      <c r="DU293" s="1104">
        <f>IF(DS293=0,0,(DT293-DS293)/DS293*100)</f>
        <v>0</v>
      </c>
      <c r="DV293" s="4585"/>
      <c r="DW293" s="4585"/>
      <c r="DX293" s="1104">
        <f>IF(DV293=0,0,(DW293-DV293)/DV293*100)</f>
        <v>0</v>
      </c>
      <c r="DY293" s="4585"/>
      <c r="DZ293" s="4585"/>
      <c r="EA293" s="1104">
        <f>IF(DY293=0,0,(DZ293-DY293)/DY293*100)</f>
        <v>0</v>
      </c>
      <c r="EB293" s="4585"/>
      <c r="EC293" s="4585"/>
      <c r="ED293" s="1104">
        <f>IF(EB293=0,0,(EC293-EB293)/EB293*100)</f>
        <v>0</v>
      </c>
      <c r="EE293" s="4585"/>
      <c r="EF293" s="4585"/>
      <c r="EG293" s="1104">
        <f>IF(EE293=0,0,(EF293-EE293)/EE293*100)</f>
        <v>0</v>
      </c>
      <c r="EH293" s="4585"/>
      <c r="EI293" s="4585"/>
      <c r="EJ293" s="1104">
        <f>IF(EH293=0,0,(EI293-EH293)/EH293*100)</f>
        <v>0</v>
      </c>
      <c r="EK293" s="4585"/>
      <c r="EL293" s="4585"/>
      <c r="EM293" s="1104">
        <f>IF(EK293=0,0,(EL293-EK293)/EK293*100)</f>
        <v>0</v>
      </c>
      <c r="EN293" s="4585"/>
      <c r="EO293" s="4585"/>
      <c r="EP293" s="1104">
        <f>IF(EN293=0,0,(EO293-EN293)/EN293*100)</f>
        <v>0</v>
      </c>
      <c r="EQ293" s="4585"/>
      <c r="ER293" s="4585"/>
      <c r="ES293" s="1104">
        <f>IF(EQ293=0,0,(ER293-EQ293)/EQ293*100)</f>
        <v>0</v>
      </c>
      <c r="ET293" s="4585"/>
      <c r="EU293" s="4585"/>
      <c r="EV293" s="1104">
        <f>IF(ET293=0,0,(EU293-ET293)/ET293*100)</f>
        <v>0</v>
      </c>
      <c r="EW293" s="4585"/>
      <c r="EX293" s="4585"/>
      <c r="EY293" s="1104">
        <f>IF(EW293=0,0,(EX293-EW293)/EW293*100)</f>
        <v>0</v>
      </c>
      <c r="EZ293" s="4585"/>
      <c r="FA293" s="4585"/>
      <c r="FB293" s="1104">
        <f>IF(EZ293=0,0,(FA293-EZ293)/EZ293*100)</f>
        <v>0</v>
      </c>
      <c r="FC293" s="4585"/>
      <c r="FD293" s="4585"/>
      <c r="FE293" s="1104">
        <f>IF(FC293=0,0,(FD293-FC293)/FC293*100)</f>
        <v>0</v>
      </c>
      <c r="FF293" s="4585"/>
      <c r="FG293" s="4585"/>
      <c r="FH293" s="1104">
        <f>IF(FF293=0,0,(FG293-FF293)/FF293*100)</f>
        <v>0</v>
      </c>
      <c r="FI293" s="4585"/>
      <c r="FJ293" s="4585"/>
      <c r="FK293" s="1104">
        <f>IF(FI293=0,0,(FJ293-FI293)/FI293*100)</f>
        <v>0</v>
      </c>
      <c r="FL293" s="4585"/>
      <c r="FM293" s="4585"/>
      <c r="FN293" s="1104">
        <f>IF(FL293=0,0,(FM293-FL293)/FL293*100)</f>
        <v>0</v>
      </c>
      <c r="FO293" s="4585"/>
      <c r="FP293" s="4585"/>
      <c r="FQ293" s="1104">
        <f>IF(FO293=0,0,(FP293-FO293)/FO293*100)</f>
        <v>0</v>
      </c>
      <c r="FR293" s="4585"/>
      <c r="FS293" s="4585"/>
      <c r="FT293" s="1104">
        <f>IF(FR293=0,0,(FS293-FR293)/FR293*100)</f>
        <v>0</v>
      </c>
      <c r="FU293" s="4585"/>
      <c r="FV293" s="4585"/>
      <c r="FW293" s="1104">
        <f>IF(FU293=0,0,(FV293-FU293)/FU293*100)</f>
        <v>0</v>
      </c>
      <c r="FZ293" s="1330" t="s">
        <v>1936</v>
      </c>
      <c r="GA293" s="1330" t="s">
        <v>993</v>
      </c>
      <c r="GB293" s="1330" cm="1" t="str">
        <f t="array" ref="GB293:GB293">GB292</f>
        <v>0</v>
      </c>
    </row>
    <row customHeight="1" ht="24.75" hidden="1">
      <c r="A294" s="496"/>
      <c r="B294" s="932" cm="1" t="str">
        <f t="array" ref="B294:B294">B293</f>
        <v>false</v>
      </c>
      <c r="C294" s="496"/>
      <c r="D294" s="496"/>
      <c r="E294" s="847">
        <v>19</v>
      </c>
      <c r="F294" s="50" cm="1" t="str">
        <f t="array" ref="F294:F294">OFFSET(E294,-1,1)</f>
        <v>3</v>
      </c>
      <c r="G294" s="496"/>
      <c r="H294" s="496"/>
      <c r="I294" s="496"/>
      <c r="J294" s="496"/>
      <c r="K294" s="496"/>
      <c r="L294" s="496"/>
      <c r="M294" s="496"/>
      <c r="N294" s="496"/>
      <c r="O294" s="496"/>
      <c r="P294" s="496"/>
      <c r="Q294" s="496"/>
      <c r="R294" s="496"/>
      <c r="S294" s="496"/>
      <c r="T294" s="468" cm="1" t="str">
        <f t="array" ref="T294:T294">T293</f>
        <v>false</v>
      </c>
      <c r="U294" s="496"/>
      <c r="V294" s="496"/>
      <c r="W294" s="496"/>
      <c r="X294" s="1559"/>
      <c r="Y294" s="1559"/>
      <c r="Z294" s="1528"/>
      <c r="AA294" s="1516"/>
      <c r="AB294" s="911" t="str">
        <f>"ставка платы за содержание системы "&amp;IF(Q248="Водоснабжение","холодного водоснабжения","водоотведения")</f>
        <v>ставка платы за содержание системы водоотведения</v>
      </c>
      <c r="AC294" s="871" t="s">
        <v>1902</v>
      </c>
      <c r="AD294" s="4591"/>
      <c r="AE294" s="4591"/>
      <c r="AF294" s="1102">
        <f>IF(AD294=0,0,(AE294-AD294)/AD294*100)</f>
        <v>0</v>
      </c>
      <c r="AG294" s="4591"/>
      <c r="AH294" s="4591"/>
      <c r="AI294" s="1102">
        <f>IF(AG294=0,0,(AH294-AG294)/AG294*100)</f>
        <v>0</v>
      </c>
      <c r="AJ294" s="4591"/>
      <c r="AK294" s="4591"/>
      <c r="AL294" s="1102">
        <f>IF(AJ294=0,0,(AK294-AJ294)/AJ294*100)</f>
        <v>0</v>
      </c>
      <c r="AM294" s="4591"/>
      <c r="AN294" s="4591"/>
      <c r="AO294" s="1102">
        <f>IF(AM294=0,0,(AN294-AM294)/AM294*100)</f>
        <v>0</v>
      </c>
      <c r="AP294" s="4591"/>
      <c r="AQ294" s="4591"/>
      <c r="AR294" s="1102">
        <f>IF(AP294=0,0,(AQ294-AP294)/AP294*100)</f>
        <v>0</v>
      </c>
      <c r="AS294" s="4591"/>
      <c r="AT294" s="4591"/>
      <c r="AU294" s="1102">
        <f>IF(AS294=0,0,(AT294-AS294)/AS294*100)</f>
        <v>0</v>
      </c>
      <c r="AV294" s="4591"/>
      <c r="AW294" s="4591"/>
      <c r="AX294" s="1102">
        <f>IF(AV294=0,0,(AW294-AV294)/AV294*100)</f>
        <v>0</v>
      </c>
      <c r="AY294" s="4591"/>
      <c r="AZ294" s="4591"/>
      <c r="BA294" s="1102">
        <f>IF(AY294=0,0,(AZ294-AY294)/AY294*100)</f>
        <v>0</v>
      </c>
      <c r="BB294" s="4591"/>
      <c r="BC294" s="4591"/>
      <c r="BD294" s="1102">
        <f>IF(BB294=0,0,(BC294-BB294)/BB294*100)</f>
        <v>0</v>
      </c>
      <c r="BE294" s="4591"/>
      <c r="BF294" s="4591"/>
      <c r="BG294" s="1102">
        <f>IF(BE294=0,0,(BF294-BE294)/BE294*100)</f>
        <v>0</v>
      </c>
      <c r="BH294" s="4591"/>
      <c r="BI294" s="4591"/>
      <c r="BJ294" s="1102">
        <f>IF(BH294=0,0,(BI294-BH294)/BH294*100)</f>
        <v>0</v>
      </c>
      <c r="BK294" s="4591"/>
      <c r="BL294" s="4591"/>
      <c r="BM294" s="1102">
        <f>IF(BK294=0,0,(BL294-BK294)/BK294*100)</f>
        <v>0</v>
      </c>
      <c r="BN294" s="4591"/>
      <c r="BO294" s="4591"/>
      <c r="BP294" s="1102">
        <f>IF(BN294=0,0,(BO294-BN294)/BN294*100)</f>
        <v>0</v>
      </c>
      <c r="BQ294" s="4591"/>
      <c r="BR294" s="4591"/>
      <c r="BS294" s="1102">
        <f>IF(BQ294=0,0,(BR294-BQ294)/BQ294*100)</f>
        <v>0</v>
      </c>
      <c r="BT294" s="4591"/>
      <c r="BU294" s="4591"/>
      <c r="BV294" s="1102">
        <f>IF(BT294=0,0,(BU294-BT294)/BT294*100)</f>
        <v>0</v>
      </c>
      <c r="BW294" s="4591"/>
      <c r="BX294" s="4591"/>
      <c r="BY294" s="1102">
        <f>IF(BW294=0,0,(BX294-BW294)/BW294*100)</f>
        <v>0</v>
      </c>
      <c r="BZ294" s="4591"/>
      <c r="CA294" s="4591"/>
      <c r="CB294" s="1102">
        <f>IF(BZ294=0,0,(CA294-BZ294)/BZ294*100)</f>
        <v>0</v>
      </c>
      <c r="CC294" s="4591"/>
      <c r="CD294" s="4591"/>
      <c r="CE294" s="1102">
        <f>IF(CC294=0,0,(CD294-CC294)/CC294*100)</f>
        <v>0</v>
      </c>
      <c r="CF294" s="4591"/>
      <c r="CG294" s="4591"/>
      <c r="CH294" s="1102">
        <f>IF(CF294=0,0,(CG294-CF294)/CF294*100)</f>
        <v>0</v>
      </c>
      <c r="CI294" s="4591"/>
      <c r="CJ294" s="4591"/>
      <c r="CK294" s="1102">
        <f>IF(CI294=0,0,(CJ294-CI294)/CI294*100)</f>
        <v>0</v>
      </c>
      <c r="CL294" s="4591"/>
      <c r="CM294" s="4591"/>
      <c r="CN294" s="1102">
        <f>IF(CL294=0,0,(CM294-CL294)/CL294*100)</f>
        <v>0</v>
      </c>
      <c r="CO294" s="4591"/>
      <c r="CP294" s="4591"/>
      <c r="CQ294" s="1102">
        <f>IF(CO294=0,0,(CP294-CO294)/CO294*100)</f>
        <v>0</v>
      </c>
      <c r="CR294" s="4591"/>
      <c r="CS294" s="4591"/>
      <c r="CT294" s="1102">
        <f>IF(CR294=0,0,(CS294-CR294)/CR294*100)</f>
        <v>0</v>
      </c>
      <c r="CU294" s="4591"/>
      <c r="CV294" s="4591"/>
      <c r="CW294" s="1102">
        <f>IF(CU294=0,0,(CV294-CU294)/CU294*100)</f>
        <v>0</v>
      </c>
      <c r="CX294" s="4591"/>
      <c r="CY294" s="4591"/>
      <c r="CZ294" s="1102">
        <f>IF(CX294=0,0,(CY294-CX294)/CX294*100)</f>
        <v>0</v>
      </c>
      <c r="DA294" s="4591"/>
      <c r="DB294" s="4591"/>
      <c r="DC294" s="1102">
        <f>IF(DA294=0,0,(DB294-DA294)/DA294*100)</f>
        <v>0</v>
      </c>
      <c r="DD294" s="4591"/>
      <c r="DE294" s="4591"/>
      <c r="DF294" s="1102">
        <f>IF(DD294=0,0,(DE294-DD294)/DD294*100)</f>
        <v>0</v>
      </c>
      <c r="DG294" s="4591"/>
      <c r="DH294" s="4591"/>
      <c r="DI294" s="1102">
        <f>IF(DG294=0,0,(DH294-DG294)/DG294*100)</f>
        <v>0</v>
      </c>
      <c r="DJ294" s="4591"/>
      <c r="DK294" s="4591"/>
      <c r="DL294" s="1102">
        <f>IF(DJ294=0,0,(DK294-DJ294)/DJ294*100)</f>
        <v>0</v>
      </c>
      <c r="DM294" s="4591"/>
      <c r="DN294" s="4591"/>
      <c r="DO294" s="1102">
        <f>IF(DM294=0,0,(DN294-DM294)/DM294*100)</f>
        <v>0</v>
      </c>
      <c r="DP294" s="4591"/>
      <c r="DQ294" s="4591"/>
      <c r="DR294" s="1102">
        <f>IF(DP294=0,0,(DQ294-DP294)/DP294*100)</f>
        <v>0</v>
      </c>
      <c r="DS294" s="4591"/>
      <c r="DT294" s="4591"/>
      <c r="DU294" s="1102">
        <f>IF(DS294=0,0,(DT294-DS294)/DS294*100)</f>
        <v>0</v>
      </c>
      <c r="DV294" s="4591"/>
      <c r="DW294" s="4591"/>
      <c r="DX294" s="1102">
        <f>IF(DV294=0,0,(DW294-DV294)/DV294*100)</f>
        <v>0</v>
      </c>
      <c r="DY294" s="4591"/>
      <c r="DZ294" s="4591"/>
      <c r="EA294" s="1102">
        <f>IF(DY294=0,0,(DZ294-DY294)/DY294*100)</f>
        <v>0</v>
      </c>
      <c r="EB294" s="4591"/>
      <c r="EC294" s="4591"/>
      <c r="ED294" s="1102">
        <f>IF(EB294=0,0,(EC294-EB294)/EB294*100)</f>
        <v>0</v>
      </c>
      <c r="EE294" s="4591"/>
      <c r="EF294" s="4591"/>
      <c r="EG294" s="1102">
        <f>IF(EE294=0,0,(EF294-EE294)/EE294*100)</f>
        <v>0</v>
      </c>
      <c r="EH294" s="4591"/>
      <c r="EI294" s="4591"/>
      <c r="EJ294" s="1102">
        <f>IF(EH294=0,0,(EI294-EH294)/EH294*100)</f>
        <v>0</v>
      </c>
      <c r="EK294" s="4591"/>
      <c r="EL294" s="4591"/>
      <c r="EM294" s="1102">
        <f>IF(EK294=0,0,(EL294-EK294)/EK294*100)</f>
        <v>0</v>
      </c>
      <c r="EN294" s="4591"/>
      <c r="EO294" s="4591"/>
      <c r="EP294" s="1102">
        <f>IF(EN294=0,0,(EO294-EN294)/EN294*100)</f>
        <v>0</v>
      </c>
      <c r="EQ294" s="4591"/>
      <c r="ER294" s="4591"/>
      <c r="ES294" s="1102">
        <f>IF(EQ294=0,0,(ER294-EQ294)/EQ294*100)</f>
        <v>0</v>
      </c>
      <c r="ET294" s="4591"/>
      <c r="EU294" s="4591"/>
      <c r="EV294" s="1102">
        <f>IF(ET294=0,0,(EU294-ET294)/ET294*100)</f>
        <v>0</v>
      </c>
      <c r="EW294" s="4591"/>
      <c r="EX294" s="4591"/>
      <c r="EY294" s="1102">
        <f>IF(EW294=0,0,(EX294-EW294)/EW294*100)</f>
        <v>0</v>
      </c>
      <c r="EZ294" s="4591"/>
      <c r="FA294" s="4591"/>
      <c r="FB294" s="1102">
        <f>IF(EZ294=0,0,(FA294-EZ294)/EZ294*100)</f>
        <v>0</v>
      </c>
      <c r="FC294" s="4591"/>
      <c r="FD294" s="4591"/>
      <c r="FE294" s="1102">
        <f>IF(FC294=0,0,(FD294-FC294)/FC294*100)</f>
        <v>0</v>
      </c>
      <c r="FF294" s="4591"/>
      <c r="FG294" s="4591"/>
      <c r="FH294" s="1102">
        <f>IF(FF294=0,0,(FG294-FF294)/FF294*100)</f>
        <v>0</v>
      </c>
      <c r="FI294" s="4591"/>
      <c r="FJ294" s="4591"/>
      <c r="FK294" s="1102">
        <f>IF(FI294=0,0,(FJ294-FI294)/FI294*100)</f>
        <v>0</v>
      </c>
      <c r="FL294" s="4591"/>
      <c r="FM294" s="4591"/>
      <c r="FN294" s="1102">
        <f>IF(FL294=0,0,(FM294-FL294)/FL294*100)</f>
        <v>0</v>
      </c>
      <c r="FO294" s="4591"/>
      <c r="FP294" s="4591"/>
      <c r="FQ294" s="1102">
        <f>IF(FO294=0,0,(FP294-FO294)/FO294*100)</f>
        <v>0</v>
      </c>
      <c r="FR294" s="4591"/>
      <c r="FS294" s="4591"/>
      <c r="FT294" s="1102">
        <f>IF(FR294=0,0,(FS294-FR294)/FR294*100)</f>
        <v>0</v>
      </c>
      <c r="FU294" s="4591"/>
      <c r="FV294" s="4591"/>
      <c r="FW294" s="1102">
        <f>IF(FU294=0,0,(FV294-FU294)/FU294*100)</f>
        <v>0</v>
      </c>
      <c r="FZ294" s="1330" t="s">
        <v>1937</v>
      </c>
      <c r="GA294" s="1330" t="s">
        <v>993</v>
      </c>
      <c r="GB294" s="1330" cm="1" t="str">
        <f t="array" ref="GB294:GB294">GB293</f>
        <v>0</v>
      </c>
    </row>
    <row customHeight="1" ht="18.525" hidden="1">
      <c r="A295" s="496"/>
      <c r="B295" s="932" cm="1" t="str">
        <f t="array" ref="B295:B295">B294</f>
        <v>false</v>
      </c>
      <c r="C295" s="496"/>
      <c r="D295" s="496"/>
      <c r="E295" s="847">
        <v>19</v>
      </c>
      <c r="F295" s="50" cm="1" t="str">
        <f t="array" ref="F295:F295">OFFSET(E295,-1,1)</f>
        <v>3</v>
      </c>
      <c r="G295" s="496"/>
      <c r="H295" s="496"/>
      <c r="I295" s="496"/>
      <c r="J295" s="496"/>
      <c r="K295" s="496"/>
      <c r="L295" s="496"/>
      <c r="M295" s="496"/>
      <c r="N295" s="496"/>
      <c r="O295" s="496"/>
      <c r="P295" s="496"/>
      <c r="Q295" s="496"/>
      <c r="R295" s="496"/>
      <c r="S295" s="496"/>
      <c r="T295" s="468" cm="1" t="str">
        <f t="array" ref="T295:T295">T294</f>
        <v>false</v>
      </c>
      <c r="U295" s="496"/>
      <c r="V295" s="496"/>
      <c r="W295" s="496"/>
      <c r="X295" s="1559"/>
      <c r="Y295" s="1559"/>
      <c r="Z295" s="1528"/>
      <c r="AA295" s="1516"/>
      <c r="AB295" s="911" t="s">
        <v>1905</v>
      </c>
      <c r="AC295" s="871" t="s">
        <v>1906</v>
      </c>
      <c r="AD295" s="4591"/>
      <c r="AE295" s="4591"/>
      <c r="AF295" s="1102">
        <f>IF(AD295=0,0,(AE295-AD295)/AD295*100)</f>
        <v>0</v>
      </c>
      <c r="AG295" s="4591"/>
      <c r="AH295" s="4591"/>
      <c r="AI295" s="1102">
        <f>IF(AG295=0,0,(AH295-AG295)/AG295*100)</f>
        <v>0</v>
      </c>
      <c r="AJ295" s="4591"/>
      <c r="AK295" s="4591"/>
      <c r="AL295" s="1102">
        <f>IF(AJ295=0,0,(AK295-AJ295)/AJ295*100)</f>
        <v>0</v>
      </c>
      <c r="AM295" s="4591"/>
      <c r="AN295" s="4591"/>
      <c r="AO295" s="1102">
        <f>IF(AM295=0,0,(AN295-AM295)/AM295*100)</f>
        <v>0</v>
      </c>
      <c r="AP295" s="4591"/>
      <c r="AQ295" s="4591"/>
      <c r="AR295" s="1102">
        <f>IF(AP295=0,0,(AQ295-AP295)/AP295*100)</f>
        <v>0</v>
      </c>
      <c r="AS295" s="4591"/>
      <c r="AT295" s="4591"/>
      <c r="AU295" s="1102">
        <f>IF(AS295=0,0,(AT295-AS295)/AS295*100)</f>
        <v>0</v>
      </c>
      <c r="AV295" s="4591"/>
      <c r="AW295" s="4591"/>
      <c r="AX295" s="1102">
        <f>IF(AV295=0,0,(AW295-AV295)/AV295*100)</f>
        <v>0</v>
      </c>
      <c r="AY295" s="4591"/>
      <c r="AZ295" s="4591"/>
      <c r="BA295" s="1102">
        <f>IF(AY295=0,0,(AZ295-AY295)/AY295*100)</f>
        <v>0</v>
      </c>
      <c r="BB295" s="4591"/>
      <c r="BC295" s="4591"/>
      <c r="BD295" s="1102">
        <f>IF(BB295=0,0,(BC295-BB295)/BB295*100)</f>
        <v>0</v>
      </c>
      <c r="BE295" s="4591"/>
      <c r="BF295" s="4591"/>
      <c r="BG295" s="1102">
        <f>IF(BE295=0,0,(BF295-BE295)/BE295*100)</f>
        <v>0</v>
      </c>
      <c r="BH295" s="4591"/>
      <c r="BI295" s="4591"/>
      <c r="BJ295" s="1102">
        <f>IF(BH295=0,0,(BI295-BH295)/BH295*100)</f>
        <v>0</v>
      </c>
      <c r="BK295" s="4591"/>
      <c r="BL295" s="4591"/>
      <c r="BM295" s="1102">
        <f>IF(BK295=0,0,(BL295-BK295)/BK295*100)</f>
        <v>0</v>
      </c>
      <c r="BN295" s="4591"/>
      <c r="BO295" s="4591"/>
      <c r="BP295" s="1102">
        <f>IF(BN295=0,0,(BO295-BN295)/BN295*100)</f>
        <v>0</v>
      </c>
      <c r="BQ295" s="4591"/>
      <c r="BR295" s="4591"/>
      <c r="BS295" s="1102">
        <f>IF(BQ295=0,0,(BR295-BQ295)/BQ295*100)</f>
        <v>0</v>
      </c>
      <c r="BT295" s="4591"/>
      <c r="BU295" s="4591"/>
      <c r="BV295" s="1102">
        <f>IF(BT295=0,0,(BU295-BT295)/BT295*100)</f>
        <v>0</v>
      </c>
      <c r="BW295" s="4591"/>
      <c r="BX295" s="4591"/>
      <c r="BY295" s="1102">
        <f>IF(BW295=0,0,(BX295-BW295)/BW295*100)</f>
        <v>0</v>
      </c>
      <c r="BZ295" s="4591"/>
      <c r="CA295" s="4591"/>
      <c r="CB295" s="1102">
        <f>IF(BZ295=0,0,(CA295-BZ295)/BZ295*100)</f>
        <v>0</v>
      </c>
      <c r="CC295" s="4591"/>
      <c r="CD295" s="4591"/>
      <c r="CE295" s="1102">
        <f>IF(CC295=0,0,(CD295-CC295)/CC295*100)</f>
        <v>0</v>
      </c>
      <c r="CF295" s="4591"/>
      <c r="CG295" s="4591"/>
      <c r="CH295" s="1102">
        <f>IF(CF295=0,0,(CG295-CF295)/CF295*100)</f>
        <v>0</v>
      </c>
      <c r="CI295" s="4591"/>
      <c r="CJ295" s="4591"/>
      <c r="CK295" s="1102">
        <f>IF(CI295=0,0,(CJ295-CI295)/CI295*100)</f>
        <v>0</v>
      </c>
      <c r="CL295" s="4591"/>
      <c r="CM295" s="4591"/>
      <c r="CN295" s="1102">
        <f>IF(CL295=0,0,(CM295-CL295)/CL295*100)</f>
        <v>0</v>
      </c>
      <c r="CO295" s="4591"/>
      <c r="CP295" s="4591"/>
      <c r="CQ295" s="1102">
        <f>IF(CO295=0,0,(CP295-CO295)/CO295*100)</f>
        <v>0</v>
      </c>
      <c r="CR295" s="4591"/>
      <c r="CS295" s="4591"/>
      <c r="CT295" s="1102">
        <f>IF(CR295=0,0,(CS295-CR295)/CR295*100)</f>
        <v>0</v>
      </c>
      <c r="CU295" s="4591"/>
      <c r="CV295" s="4591"/>
      <c r="CW295" s="1102">
        <f>IF(CU295=0,0,(CV295-CU295)/CU295*100)</f>
        <v>0</v>
      </c>
      <c r="CX295" s="4591"/>
      <c r="CY295" s="4591"/>
      <c r="CZ295" s="1102">
        <f>IF(CX295=0,0,(CY295-CX295)/CX295*100)</f>
        <v>0</v>
      </c>
      <c r="DA295" s="4591"/>
      <c r="DB295" s="4591"/>
      <c r="DC295" s="1102">
        <f>IF(DA295=0,0,(DB295-DA295)/DA295*100)</f>
        <v>0</v>
      </c>
      <c r="DD295" s="4591"/>
      <c r="DE295" s="4591"/>
      <c r="DF295" s="1102">
        <f>IF(DD295=0,0,(DE295-DD295)/DD295*100)</f>
        <v>0</v>
      </c>
      <c r="DG295" s="4591"/>
      <c r="DH295" s="4591"/>
      <c r="DI295" s="1102">
        <f>IF(DG295=0,0,(DH295-DG295)/DG295*100)</f>
        <v>0</v>
      </c>
      <c r="DJ295" s="4591"/>
      <c r="DK295" s="4591"/>
      <c r="DL295" s="1102">
        <f>IF(DJ295=0,0,(DK295-DJ295)/DJ295*100)</f>
        <v>0</v>
      </c>
      <c r="DM295" s="4591"/>
      <c r="DN295" s="4591"/>
      <c r="DO295" s="1102">
        <f>IF(DM295=0,0,(DN295-DM295)/DM295*100)</f>
        <v>0</v>
      </c>
      <c r="DP295" s="4591"/>
      <c r="DQ295" s="4591"/>
      <c r="DR295" s="1102">
        <f>IF(DP295=0,0,(DQ295-DP295)/DP295*100)</f>
        <v>0</v>
      </c>
      <c r="DS295" s="4591"/>
      <c r="DT295" s="4591"/>
      <c r="DU295" s="1102">
        <f>IF(DS295=0,0,(DT295-DS295)/DS295*100)</f>
        <v>0</v>
      </c>
      <c r="DV295" s="4591"/>
      <c r="DW295" s="4591"/>
      <c r="DX295" s="1102">
        <f>IF(DV295=0,0,(DW295-DV295)/DV295*100)</f>
        <v>0</v>
      </c>
      <c r="DY295" s="4591"/>
      <c r="DZ295" s="4591"/>
      <c r="EA295" s="1102">
        <f>IF(DY295=0,0,(DZ295-DY295)/DY295*100)</f>
        <v>0</v>
      </c>
      <c r="EB295" s="4591"/>
      <c r="EC295" s="4591"/>
      <c r="ED295" s="1102">
        <f>IF(EB295=0,0,(EC295-EB295)/EB295*100)</f>
        <v>0</v>
      </c>
      <c r="EE295" s="4591"/>
      <c r="EF295" s="4591"/>
      <c r="EG295" s="1102">
        <f>IF(EE295=0,0,(EF295-EE295)/EE295*100)</f>
        <v>0</v>
      </c>
      <c r="EH295" s="4591"/>
      <c r="EI295" s="4591"/>
      <c r="EJ295" s="1102">
        <f>IF(EH295=0,0,(EI295-EH295)/EH295*100)</f>
        <v>0</v>
      </c>
      <c r="EK295" s="4591"/>
      <c r="EL295" s="4591"/>
      <c r="EM295" s="1102">
        <f>IF(EK295=0,0,(EL295-EK295)/EK295*100)</f>
        <v>0</v>
      </c>
      <c r="EN295" s="4591"/>
      <c r="EO295" s="4591"/>
      <c r="EP295" s="1102">
        <f>IF(EN295=0,0,(EO295-EN295)/EN295*100)</f>
        <v>0</v>
      </c>
      <c r="EQ295" s="4591"/>
      <c r="ER295" s="4591"/>
      <c r="ES295" s="1102">
        <f>IF(EQ295=0,0,(ER295-EQ295)/EQ295*100)</f>
        <v>0</v>
      </c>
      <c r="ET295" s="4591"/>
      <c r="EU295" s="4591"/>
      <c r="EV295" s="1102">
        <f>IF(ET295=0,0,(EU295-ET295)/ET295*100)</f>
        <v>0</v>
      </c>
      <c r="EW295" s="4591"/>
      <c r="EX295" s="4591"/>
      <c r="EY295" s="1102">
        <f>IF(EW295=0,0,(EX295-EW295)/EW295*100)</f>
        <v>0</v>
      </c>
      <c r="EZ295" s="4591"/>
      <c r="FA295" s="4591"/>
      <c r="FB295" s="1102">
        <f>IF(EZ295=0,0,(FA295-EZ295)/EZ295*100)</f>
        <v>0</v>
      </c>
      <c r="FC295" s="4591"/>
      <c r="FD295" s="4591"/>
      <c r="FE295" s="1102">
        <f>IF(FC295=0,0,(FD295-FC295)/FC295*100)</f>
        <v>0</v>
      </c>
      <c r="FF295" s="4591"/>
      <c r="FG295" s="4591"/>
      <c r="FH295" s="1102">
        <f>IF(FF295=0,0,(FG295-FF295)/FF295*100)</f>
        <v>0</v>
      </c>
      <c r="FI295" s="4591"/>
      <c r="FJ295" s="4591"/>
      <c r="FK295" s="1102">
        <f>IF(FI295=0,0,(FJ295-FI295)/FI295*100)</f>
        <v>0</v>
      </c>
      <c r="FL295" s="4591"/>
      <c r="FM295" s="4591"/>
      <c r="FN295" s="1102">
        <f>IF(FL295=0,0,(FM295-FL295)/FL295*100)</f>
        <v>0</v>
      </c>
      <c r="FO295" s="4591"/>
      <c r="FP295" s="4591"/>
      <c r="FQ295" s="1102">
        <f>IF(FO295=0,0,(FP295-FO295)/FO295*100)</f>
        <v>0</v>
      </c>
      <c r="FR295" s="4591"/>
      <c r="FS295" s="4591"/>
      <c r="FT295" s="1102">
        <f>IF(FR295=0,0,(FS295-FR295)/FR295*100)</f>
        <v>0</v>
      </c>
      <c r="FU295" s="4591"/>
      <c r="FV295" s="4591"/>
      <c r="FW295" s="1102">
        <f>IF(FU295=0,0,(FV295-FU295)/FU295*100)</f>
        <v>0</v>
      </c>
      <c r="FZ295" s="1330" t="s">
        <v>1938</v>
      </c>
      <c r="GA295" s="1330" t="s">
        <v>993</v>
      </c>
      <c r="GB295" s="1330" cm="1" t="str">
        <f t="array" ref="GB295:GB295">GB294</f>
        <v>0</v>
      </c>
    </row>
    <row s="1656" customFormat="1" customHeight="1" ht="14.25" hidden="1">
      <c r="A296" s="496"/>
      <c r="B296" s="932" cm="1" t="str">
        <f t="array" ref="B296:B296">B289</f>
        <v>false</v>
      </c>
      <c r="C296" s="496"/>
      <c r="D296" s="496"/>
      <c r="E296" s="847">
        <v>15</v>
      </c>
      <c r="F296" s="50" cm="1" t="str">
        <f t="array" ref="F296:F296">OFFSET(E296,-1,1)</f>
        <v>3</v>
      </c>
      <c r="G296" s="496"/>
      <c r="H296" s="496"/>
      <c r="I296" s="94" t="s">
        <v>1939</v>
      </c>
      <c r="J296" s="496"/>
      <c r="K296" s="496"/>
      <c r="L296" s="496"/>
      <c r="M296" s="496"/>
      <c r="N296" s="496"/>
      <c r="O296" s="496"/>
      <c r="P296" s="496"/>
      <c r="Q296" s="496"/>
      <c r="R296" s="496"/>
      <c r="S296" s="496"/>
      <c r="T296" s="468">
        <f>F296&gt;0</f>
        <v>1</v>
      </c>
      <c r="U296" s="496"/>
      <c r="V296" s="1328"/>
      <c r="W296" s="764" t="s">
        <v>1892</v>
      </c>
      <c r="X296" s="1559"/>
      <c r="Y296" s="1328"/>
      <c r="Z296" s="1528"/>
      <c r="AA296" s="1328"/>
      <c r="AB296" s="256" t="s">
        <v>177</v>
      </c>
      <c r="AC296" s="260"/>
      <c r="AD296" s="1107"/>
      <c r="AE296" s="1107"/>
      <c r="AF296" s="1107"/>
      <c r="AG296" s="1107"/>
      <c r="AH296" s="1107"/>
      <c r="AI296" s="1107"/>
      <c r="AJ296" s="1107"/>
      <c r="AK296" s="1107"/>
      <c r="AL296" s="1107"/>
      <c r="AM296" s="1107"/>
      <c r="AN296" s="1107"/>
      <c r="AO296" s="1107"/>
      <c r="AP296" s="1107"/>
      <c r="AQ296" s="1107"/>
      <c r="AR296" s="1107"/>
      <c r="AS296" s="1107"/>
      <c r="AT296" s="1107"/>
      <c r="AU296" s="1107"/>
      <c r="AV296" s="1107"/>
      <c r="AW296" s="1107"/>
      <c r="AX296" s="1107"/>
      <c r="AY296" s="1107"/>
      <c r="AZ296" s="1107"/>
      <c r="BA296" s="1107"/>
      <c r="BB296" s="1107"/>
      <c r="BC296" s="1107"/>
      <c r="BD296" s="1107"/>
      <c r="BE296" s="1107"/>
      <c r="BF296" s="1107"/>
      <c r="BG296" s="1107"/>
      <c r="BH296" s="1107"/>
      <c r="BI296" s="1107"/>
      <c r="BJ296" s="1107"/>
      <c r="BK296" s="1107"/>
      <c r="BL296" s="1107"/>
      <c r="BM296" s="1107"/>
      <c r="BN296" s="1107"/>
      <c r="BO296" s="1107"/>
      <c r="BP296" s="1107"/>
      <c r="BQ296" s="1107"/>
      <c r="BR296" s="1107"/>
      <c r="BS296" s="1107"/>
      <c r="BT296" s="1107"/>
      <c r="BU296" s="1107"/>
      <c r="BV296" s="1107"/>
      <c r="BW296" s="1107"/>
      <c r="BX296" s="1107"/>
      <c r="BY296" s="1107"/>
      <c r="BZ296" s="1107"/>
      <c r="CA296" s="1107"/>
      <c r="CB296" s="1107"/>
      <c r="CC296" s="1107"/>
      <c r="CD296" s="1107"/>
      <c r="CE296" s="1107"/>
      <c r="CF296" s="1107"/>
      <c r="CG296" s="1107"/>
      <c r="CH296" s="1107"/>
      <c r="CI296" s="1107"/>
      <c r="CJ296" s="1107"/>
      <c r="CK296" s="1107"/>
      <c r="CL296" s="1107"/>
      <c r="CM296" s="1107"/>
      <c r="CN296" s="1107"/>
      <c r="CO296" s="1107"/>
      <c r="CP296" s="1107"/>
      <c r="CQ296" s="1107"/>
      <c r="CR296" s="1107"/>
      <c r="CS296" s="1107"/>
      <c r="CT296" s="1107"/>
      <c r="CU296" s="1107"/>
      <c r="CV296" s="1107"/>
      <c r="CW296" s="1107"/>
      <c r="CX296" s="1107"/>
      <c r="CY296" s="1107"/>
      <c r="CZ296" s="1107"/>
      <c r="DA296" s="1107"/>
      <c r="DB296" s="1107"/>
      <c r="DC296" s="1107"/>
      <c r="DD296" s="1107"/>
      <c r="DE296" s="1107"/>
      <c r="DF296" s="1107"/>
      <c r="DG296" s="1107"/>
      <c r="DH296" s="1107"/>
      <c r="DI296" s="1107"/>
      <c r="DJ296" s="1107"/>
      <c r="DK296" s="1107"/>
      <c r="DL296" s="1107"/>
      <c r="DM296" s="1107"/>
      <c r="DN296" s="1107"/>
      <c r="DO296" s="1107"/>
      <c r="DP296" s="1107"/>
      <c r="DQ296" s="1107"/>
      <c r="DR296" s="1107"/>
      <c r="DS296" s="1107"/>
      <c r="DT296" s="1107"/>
      <c r="DU296" s="1107"/>
      <c r="DV296" s="1107"/>
      <c r="DW296" s="1107"/>
      <c r="DX296" s="1107"/>
      <c r="DY296" s="1107"/>
      <c r="DZ296" s="1107"/>
      <c r="EA296" s="1107"/>
      <c r="EB296" s="1107"/>
      <c r="EC296" s="1107"/>
      <c r="ED296" s="1107"/>
      <c r="EE296" s="1107"/>
      <c r="EF296" s="1107"/>
      <c r="EG296" s="1107"/>
      <c r="EH296" s="1107"/>
      <c r="EI296" s="1107"/>
      <c r="EJ296" s="1107"/>
      <c r="EK296" s="1107"/>
      <c r="EL296" s="1107"/>
      <c r="EM296" s="1107"/>
      <c r="EN296" s="1107"/>
      <c r="EO296" s="1107"/>
      <c r="EP296" s="1107"/>
      <c r="EQ296" s="1107"/>
      <c r="ER296" s="1107"/>
      <c r="ES296" s="1107"/>
      <c r="ET296" s="1107"/>
      <c r="EU296" s="1107"/>
      <c r="EV296" s="1107"/>
      <c r="EW296" s="1107"/>
      <c r="EX296" s="1107"/>
      <c r="EY296" s="1107"/>
      <c r="EZ296" s="1107"/>
      <c r="FA296" s="1107"/>
      <c r="FB296" s="1107"/>
      <c r="FC296" s="1107"/>
      <c r="FD296" s="1107"/>
      <c r="FE296" s="1107"/>
      <c r="FF296" s="1107"/>
      <c r="FG296" s="1107"/>
      <c r="FH296" s="1107"/>
      <c r="FI296" s="1107"/>
      <c r="FJ296" s="1107"/>
      <c r="FK296" s="1107"/>
      <c r="FL296" s="1107"/>
      <c r="FM296" s="1107"/>
      <c r="FN296" s="1107"/>
      <c r="FO296" s="1107"/>
      <c r="FP296" s="1107"/>
      <c r="FQ296" s="1107"/>
      <c r="FR296" s="1107"/>
      <c r="FS296" s="1107"/>
      <c r="FT296" s="1107"/>
      <c r="FU296" s="1107"/>
      <c r="FV296" s="1107"/>
      <c r="FW296" s="1108"/>
      <c r="FX296" s="1328"/>
      <c r="FY296" s="1328"/>
      <c r="FZ296" s="1063" t="s">
        <v>240</v>
      </c>
      <c r="GA296" s="1330"/>
      <c r="GB296" s="1330"/>
      <c r="GC296" s="637" t="s">
        <v>993</v>
      </c>
      <c r="GD296" s="1329"/>
    </row>
    <row s="1656" customFormat="1" customHeight="1" ht="11.25" hidden="1">
      <c r="A297" s="485"/>
      <c r="B297" s="932"/>
      <c r="C297" s="485"/>
      <c r="D297" s="485"/>
      <c r="E297" s="873">
        <v>0</v>
      </c>
      <c r="F297" s="1194" cm="1" t="str">
        <f t="array" ref="F297:F297">OFFSET(E297,-1,1)</f>
        <v>3</v>
      </c>
      <c r="G297" s="485"/>
      <c r="H297" s="485"/>
      <c r="I297" s="485"/>
      <c r="J297" s="485"/>
      <c r="K297" s="485"/>
      <c r="L297" s="485"/>
      <c r="M297" s="485"/>
      <c r="N297" s="485"/>
      <c r="O297" s="485"/>
      <c r="P297" s="485"/>
      <c r="Q297" s="485"/>
      <c r="R297" s="485"/>
      <c r="S297" s="485"/>
      <c r="T297" s="468" t="b">
        <v>0</v>
      </c>
      <c r="U297" s="485"/>
      <c r="V297" s="485"/>
      <c r="W297" s="485"/>
      <c r="X297" s="1559"/>
      <c r="Y297" s="485"/>
      <c r="Z297" s="1528"/>
      <c r="AA297" s="485"/>
      <c r="AB297" s="0"/>
      <c r="AC297" s="485"/>
      <c r="AD297" s="1117"/>
      <c r="AE297" s="1117"/>
      <c r="AF297" s="1117"/>
      <c r="AG297" s="0"/>
      <c r="AH297" s="0"/>
      <c r="AI297" s="0"/>
      <c r="AJ297" s="0"/>
      <c r="AK297" s="0"/>
      <c r="AL297" s="0"/>
      <c r="AM297" s="0"/>
      <c r="AN297" s="0"/>
      <c r="AO297" s="0"/>
      <c r="AP297" s="0"/>
      <c r="AQ297" s="0"/>
      <c r="AR297" s="0"/>
      <c r="AS297" s="0"/>
      <c r="AT297" s="0"/>
      <c r="AU297" s="0"/>
      <c r="AV297" s="0"/>
      <c r="AW297" s="0"/>
      <c r="AX297" s="0"/>
      <c r="AY297" s="0"/>
      <c r="AZ297" s="0"/>
      <c r="BA297" s="0"/>
      <c r="BB297" s="0"/>
      <c r="BC297" s="0"/>
      <c r="BD297" s="0"/>
      <c r="BE297" s="0"/>
      <c r="BF297" s="0"/>
      <c r="BG297" s="0"/>
      <c r="BH297" s="0"/>
      <c r="BI297" s="0"/>
      <c r="BJ297" s="0"/>
      <c r="BK297" s="0"/>
      <c r="BL297" s="0"/>
      <c r="BM297" s="0"/>
      <c r="BN297" s="0"/>
      <c r="BO297" s="0"/>
      <c r="BP297" s="0"/>
      <c r="BQ297" s="0"/>
      <c r="BR297" s="0"/>
      <c r="BS297" s="0"/>
      <c r="BT297" s="0"/>
      <c r="BU297" s="0"/>
      <c r="BV297" s="0"/>
      <c r="BW297" s="0"/>
      <c r="BX297" s="0"/>
      <c r="BY297" s="0"/>
      <c r="BZ297" s="0"/>
      <c r="CA297" s="0"/>
      <c r="CB297" s="0"/>
      <c r="CC297" s="0"/>
      <c r="CD297" s="0"/>
      <c r="CE297" s="0"/>
      <c r="CF297" s="0"/>
      <c r="CG297" s="0"/>
      <c r="CH297" s="0"/>
      <c r="CI297" s="0"/>
      <c r="CJ297" s="0"/>
      <c r="CK297" s="0"/>
      <c r="CL297" s="0"/>
      <c r="CM297" s="0"/>
      <c r="CN297" s="0"/>
      <c r="CO297" s="0"/>
      <c r="CP297" s="0"/>
      <c r="CQ297" s="0"/>
      <c r="CR297" s="0"/>
      <c r="CS297" s="0"/>
      <c r="CT297" s="0"/>
      <c r="CU297" s="0"/>
      <c r="CV297" s="0"/>
      <c r="CW297" s="0"/>
      <c r="CX297" s="0"/>
      <c r="CY297" s="0"/>
      <c r="CZ297" s="0"/>
      <c r="DA297" s="0"/>
      <c r="DB297" s="0"/>
      <c r="DC297" s="0"/>
      <c r="DD297" s="0"/>
      <c r="DE297" s="0"/>
      <c r="DF297" s="0"/>
      <c r="DG297" s="0"/>
      <c r="DH297" s="0"/>
      <c r="DI297" s="0"/>
      <c r="DJ297" s="0"/>
      <c r="DK297" s="0"/>
      <c r="DL297" s="0"/>
      <c r="DM297" s="0"/>
      <c r="DN297" s="0"/>
      <c r="DO297" s="0"/>
      <c r="DP297" s="0"/>
      <c r="DQ297" s="0"/>
      <c r="DR297" s="0"/>
      <c r="DS297" s="0"/>
      <c r="DT297" s="0"/>
      <c r="DU297" s="0"/>
      <c r="DV297" s="0"/>
      <c r="DW297" s="0"/>
      <c r="DX297" s="0"/>
      <c r="DY297" s="0"/>
      <c r="DZ297" s="0"/>
      <c r="EA297" s="0"/>
      <c r="EB297" s="0"/>
      <c r="EC297" s="0"/>
      <c r="ED297" s="0"/>
      <c r="EE297" s="0"/>
      <c r="EF297" s="0"/>
      <c r="EG297" s="0"/>
      <c r="EH297" s="0"/>
      <c r="EI297" s="0"/>
      <c r="EJ297" s="0"/>
      <c r="EK297" s="0"/>
      <c r="EL297" s="0"/>
      <c r="EM297" s="0"/>
      <c r="EN297" s="0"/>
      <c r="EO297" s="0"/>
      <c r="EP297" s="0"/>
      <c r="EQ297" s="0"/>
      <c r="ER297" s="0"/>
      <c r="ES297" s="0"/>
      <c r="ET297" s="0"/>
      <c r="EU297" s="0"/>
      <c r="EV297" s="0"/>
      <c r="EW297" s="0"/>
      <c r="EX297" s="0"/>
      <c r="EY297" s="0"/>
      <c r="EZ297" s="0"/>
      <c r="FA297" s="0"/>
      <c r="FB297" s="0"/>
      <c r="FC297" s="0"/>
      <c r="FD297" s="0"/>
      <c r="FE297" s="0"/>
      <c r="FF297" s="0"/>
      <c r="FG297" s="0"/>
      <c r="FH297" s="0"/>
      <c r="FI297" s="0"/>
      <c r="FJ297" s="0"/>
      <c r="FK297" s="0"/>
      <c r="FL297" s="0"/>
      <c r="FM297" s="0"/>
      <c r="FN297" s="0"/>
      <c r="FO297" s="0"/>
      <c r="FP297" s="0"/>
      <c r="FQ297" s="0"/>
      <c r="FR297" s="0"/>
      <c r="FS297" s="0"/>
      <c r="FT297" s="0"/>
      <c r="FU297" s="0"/>
      <c r="FV297" s="0"/>
      <c r="FW297" s="0"/>
      <c r="FX297" s="1656"/>
      <c r="FY297" s="1656"/>
      <c r="FZ297" s="1063" t="s">
        <v>240</v>
      </c>
      <c r="GA297" s="1027"/>
      <c r="GB297" s="1066"/>
      <c r="GC297" s="692"/>
      <c r="GD297" s="692"/>
    </row>
    <row s="5856" customFormat="1" customHeight="1" ht="23.25" hidden="1">
      <c r="A298" s="904"/>
      <c r="B298" s="932" cm="1" t="str">
        <f t="array" ref="B298:B298">S242</f>
        <v>false</v>
      </c>
      <c r="C298" s="904"/>
      <c r="D298" s="904"/>
      <c r="E298" s="847">
        <v>24.5</v>
      </c>
      <c r="F298" s="50" cm="1" t="str">
        <f t="array" ref="F298:F298">OFFSET(E298,-1,1)</f>
        <v>3</v>
      </c>
      <c r="G298" s="103" t="s">
        <v>1859</v>
      </c>
      <c r="H298" s="496" t="s">
        <v>566</v>
      </c>
      <c r="I298" s="496" t="s">
        <v>1940</v>
      </c>
      <c r="J298" s="904"/>
      <c r="K298" s="904"/>
      <c r="L298" s="904"/>
      <c r="M298" s="904"/>
      <c r="N298" s="904"/>
      <c r="O298" s="904"/>
      <c r="P298" s="904"/>
      <c r="Q298" s="904"/>
      <c r="R298" s="904"/>
      <c r="S298" s="496"/>
      <c r="T298" s="468" cm="1" t="str">
        <f t="array" ref="T298:T298">T296</f>
        <v>true</v>
      </c>
      <c r="U298" s="904"/>
      <c r="V298" s="904"/>
      <c r="W298" s="904"/>
      <c r="X298" s="1559"/>
      <c r="Y298" s="904"/>
      <c r="Z298" s="1528"/>
      <c r="AA298" s="904"/>
      <c r="AB298" s="215" t="s">
        <v>1941</v>
      </c>
      <c r="AC298" s="230" t="s">
        <v>1862</v>
      </c>
      <c r="AD298" s="4611">
        <f>IF(AND(method_reg="Метод индексации",god&lt;&gt;first_year),_xlfn.SUMIFS(INDEX('Калькуляция (МИ корр)'!$AJ$25:$BC$606,,MATCH(AD$8,'Калькуляция (МИ корр)'!$AJ$8:$BC$8,0)),'Калькуляция (МИ корр)'!$F$25:$F$606,$F298,'Калькуляция (МИ корр)'!$G$25:$G$606,$G298),IF(method_reg="Метод экономически обоснованных расходов",_xlfn.SUMIFS('Калькуляция (МЭОР)'!$AJ$25:$AJ$367,'Калькуляция (МЭОР)'!$F$25:$F$367,$F298,'Калькуляция (МЭОР)'!$G$25:$G$367,$G298),IF(method_reg="Метод сравнения аналогов",_xlfn.SUMIFS('Калькуляция (МСА)'!$AE$25:$AE$103,'Калькуляция (МСА)'!$F$25:$F$103,$F298,'Калькуляция (МСА)'!$G$25:$G$103,$G298),_xlfn.SUMIFS(INDEX('Калькуляция (МИ)'!$AJ$25:$BC$603,,MATCH(AD$8,'Калькуляция (МИ)'!$AJ$8:$BC$8,0)),'Калькуляция (МИ)'!$F$25:$F$603,$F298,'Калькуляция (МИ)'!$G$25:$G$603,$G298))))</f>
        <v>160.156684943698</v>
      </c>
      <c r="AE298" s="4611">
        <f>IF(AND(method_reg="Метод индексации",god&lt;&gt;first_year),_xlfn.SUMIFS(INDEX('Калькуляция (МИ корр)'!$AJ$25:$BC$606,,MATCH(AE$8,'Калькуляция (МИ корр)'!$AJ$8:$BC$8,0)),'Калькуляция (МИ корр)'!$F$25:$F$606,$F298,'Калькуляция (МИ корр)'!$G$25:$G$606,$G298),IF(method_reg="Метод экономически обоснованных расходов",_xlfn.SUMIFS('Калькуляция (МЭОР)'!$AK$25:$AK$367,'Калькуляция (МЭОР)'!$F$25:$F$367,$F298,'Калькуляция (МЭОР)'!$G$25:$G$367,$G298),IF(method_reg="Метод сравнения аналогов",_xlfn.SUMIFS('Калькуляция (МСА)'!$AF$25:$AF$103,'Калькуляция (МСА)'!$F$25:$F$103,$F298,'Калькуляция (МСА)'!$G$25:$G$103,$G298),_xlfn.SUMIFS(INDEX('Калькуляция (МИ)'!$AJ$25:$BC$603,,MATCH(AE$8,'Калькуляция (МИ)'!$AJ$8:$BC$8,0)),'Калькуляция (МИ)'!$F$25:$F$603,$F298,'Калькуляция (МИ)'!$G$25:$G$603,$G298))))</f>
        <v>54.34</v>
      </c>
      <c r="AF298" s="292">
        <f>IF(AD298=0,0,(AE298-AD298)/AD298*100)</f>
        <v>-66.0707262896314</v>
      </c>
      <c r="AG298" s="4611">
        <f>IF(AND(method_reg="Метод индексации",god&lt;&gt;first_year),_xlfn.SUMIFS(INDEX('Калькуляция (МИ корр)'!$AJ$25:$BC$606,,MATCH(AG$8,'Калькуляция (МИ корр)'!$AJ$8:$BC$8,0)),'Калькуляция (МИ корр)'!$F$25:$F$606,$F298,'Калькуляция (МИ корр)'!$G$25:$G$606,$G298),IF(method_reg="Метод экономически обоснованных расходов",_xlfn.SUMIFS('Калькуляция (МЭОР)'!$AJ$25:$AJ$367,'Калькуляция (МЭОР)'!$F$25:$F$367,$F298,'Калькуляция (МЭОР)'!$G$25:$G$367,$G298),IF(method_reg="Метод сравнения аналогов",_xlfn.SUMIFS('Калькуляция (МСА)'!$AE$25:$AE$103,'Калькуляция (МСА)'!$F$25:$F$103,$F298,'Калькуляция (МСА)'!$G$25:$G$103,$G298),_xlfn.SUMIFS(INDEX('Калькуляция (МИ)'!$AJ$25:$BC$603,,MATCH(AG$8,'Калькуляция (МИ)'!$AJ$8:$BC$8,0)),'Калькуляция (МИ)'!$F$25:$F$603,$F298,'Калькуляция (МИ)'!$G$25:$G$603,$G298))))</f>
        <v>0</v>
      </c>
      <c r="AH298" s="4611">
        <f>IF(AND(method_reg="Метод индексации",god&lt;&gt;first_year),_xlfn.SUMIFS(INDEX('Калькуляция (МИ корр)'!$AJ$25:$BC$606,,MATCH(AH$8,'Калькуляция (МИ корр)'!$AJ$8:$BC$8,0)),'Калькуляция (МИ корр)'!$F$25:$F$606,$F298,'Калькуляция (МИ корр)'!$G$25:$G$606,$G298),IF(method_reg="Метод экономически обоснованных расходов",_xlfn.SUMIFS('Калькуляция (МЭОР)'!$AK$25:$AK$367,'Калькуляция (МЭОР)'!$F$25:$F$367,$F298,'Калькуляция (МЭОР)'!$G$25:$G$367,$G298),IF(method_reg="Метод сравнения аналогов",_xlfn.SUMIFS('Калькуляция (МСА)'!$AF$25:$AF$103,'Калькуляция (МСА)'!$F$25:$F$103,$F298,'Калькуляция (МСА)'!$G$25:$G$103,$G298),_xlfn.SUMIFS(INDEX('Калькуляция (МИ)'!$AJ$25:$BC$603,,MATCH(AH$8,'Калькуляция (МИ)'!$AJ$8:$BC$8,0)),'Калькуляция (МИ)'!$F$25:$F$603,$F298,'Калькуляция (МИ)'!$G$25:$G$603,$G298))))</f>
        <v>60.860062497579</v>
      </c>
      <c r="AI298" s="292">
        <f>IF(AG298=0,0,(AH298-AG298)/AG298*100)</f>
        <v>0</v>
      </c>
      <c r="AJ298" s="4611">
        <f>IF(AND(method_reg="Метод индексации",god&lt;&gt;first_year),_xlfn.SUMIFS(INDEX('Калькуляция (МИ корр)'!$AJ$25:$BC$606,,MATCH(AJ$8,'Калькуляция (МИ корр)'!$AJ$8:$BC$8,0)),'Калькуляция (МИ корр)'!$F$25:$F$606,$F298,'Калькуляция (МИ корр)'!$G$25:$G$606,$G298),IF(method_reg="Метод экономически обоснованных расходов",_xlfn.SUMIFS('Калькуляция (МЭОР)'!$AJ$25:$AJ$367,'Калькуляция (МЭОР)'!$F$25:$F$367,$F298,'Калькуляция (МЭОР)'!$G$25:$G$367,$G298),IF(method_reg="Метод сравнения аналогов",_xlfn.SUMIFS('Калькуляция (МСА)'!$AE$25:$AE$103,'Калькуляция (МСА)'!$F$25:$F$103,$F298,'Калькуляция (МСА)'!$G$25:$G$103,$G298),_xlfn.SUMIFS(INDEX('Калькуляция (МИ)'!$AJ$25:$BC$603,,MATCH(AJ$8,'Калькуляция (МИ)'!$AJ$8:$BC$8,0)),'Калькуляция (МИ)'!$F$25:$F$603,$F298,'Калькуляция (МИ)'!$G$25:$G$603,$G298))))</f>
        <v>0</v>
      </c>
      <c r="AK298" s="4611">
        <f>IF(AND(method_reg="Метод индексации",god&lt;&gt;first_year),_xlfn.SUMIFS(INDEX('Калькуляция (МИ корр)'!$AJ$25:$BC$606,,MATCH(AK$8,'Калькуляция (МИ корр)'!$AJ$8:$BC$8,0)),'Калькуляция (МИ корр)'!$F$25:$F$606,$F298,'Калькуляция (МИ корр)'!$G$25:$G$606,$G298),IF(method_reg="Метод экономически обоснованных расходов",_xlfn.SUMIFS('Калькуляция (МЭОР)'!$AK$25:$AK$367,'Калькуляция (МЭОР)'!$F$25:$F$367,$F298,'Калькуляция (МЭОР)'!$G$25:$G$367,$G298),IF(method_reg="Метод сравнения аналогов",_xlfn.SUMIFS('Калькуляция (МСА)'!$AF$25:$AF$103,'Калькуляция (МСА)'!$F$25:$F$103,$F298,'Калькуляция (МСА)'!$G$25:$G$103,$G298),_xlfn.SUMIFS(INDEX('Калькуляция (МИ)'!$AJ$25:$BC$603,,MATCH(AK$8,'Калькуляция (МИ)'!$AJ$8:$BC$8,0)),'Калькуляция (МИ)'!$F$25:$F$603,$F298,'Калькуляция (МИ)'!$G$25:$G$603,$G298))))</f>
        <v>0</v>
      </c>
      <c r="AL298" s="292">
        <f>IF(AJ298=0,0,(AK298-AJ298)/AJ298*100)</f>
        <v>0</v>
      </c>
      <c r="AM298" s="4611">
        <f>IF(AND(method_reg="Метод индексации",god&lt;&gt;first_year),_xlfn.SUMIFS(INDEX('Калькуляция (МИ корр)'!$AJ$25:$BC$606,,MATCH(AM$8,'Калькуляция (МИ корр)'!$AJ$8:$BC$8,0)),'Калькуляция (МИ корр)'!$F$25:$F$606,$F298,'Калькуляция (МИ корр)'!$G$25:$G$606,$G298),IF(method_reg="Метод экономически обоснованных расходов",_xlfn.SUMIFS('Калькуляция (МЭОР)'!$AJ$25:$AJ$367,'Калькуляция (МЭОР)'!$F$25:$F$367,$F298,'Калькуляция (МЭОР)'!$G$25:$G$367,$G298),IF(method_reg="Метод сравнения аналогов",_xlfn.SUMIFS('Калькуляция (МСА)'!$AE$25:$AE$103,'Калькуляция (МСА)'!$F$25:$F$103,$F298,'Калькуляция (МСА)'!$G$25:$G$103,$G298),_xlfn.SUMIFS(INDEX('Калькуляция (МИ)'!$AJ$25:$BC$603,,MATCH(AM$8,'Калькуляция (МИ)'!$AJ$8:$BC$8,0)),'Калькуляция (МИ)'!$F$25:$F$603,$F298,'Калькуляция (МИ)'!$G$25:$G$603,$G298))))</f>
        <v>0</v>
      </c>
      <c r="AN298" s="4611">
        <f>IF(AND(method_reg="Метод индексации",god&lt;&gt;first_year),_xlfn.SUMIFS(INDEX('Калькуляция (МИ корр)'!$AJ$25:$BC$606,,MATCH(AN$8,'Калькуляция (МИ корр)'!$AJ$8:$BC$8,0)),'Калькуляция (МИ корр)'!$F$25:$F$606,$F298,'Калькуляция (МИ корр)'!$G$25:$G$606,$G298),IF(method_reg="Метод экономически обоснованных расходов",_xlfn.SUMIFS('Калькуляция (МЭОР)'!$AK$25:$AK$367,'Калькуляция (МЭОР)'!$F$25:$F$367,$F298,'Калькуляция (МЭОР)'!$G$25:$G$367,$G298),IF(method_reg="Метод сравнения аналогов",_xlfn.SUMIFS('Калькуляция (МСА)'!$AF$25:$AF$103,'Калькуляция (МСА)'!$F$25:$F$103,$F298,'Калькуляция (МСА)'!$G$25:$G$103,$G298),_xlfn.SUMIFS(INDEX('Калькуляция (МИ)'!$AJ$25:$BC$603,,MATCH(AN$8,'Калькуляция (МИ)'!$AJ$8:$BC$8,0)),'Калькуляция (МИ)'!$F$25:$F$603,$F298,'Калькуляция (МИ)'!$G$25:$G$603,$G298))))</f>
        <v>0</v>
      </c>
      <c r="AO298" s="292">
        <f>IF(AM298=0,0,(AN298-AM298)/AM298*100)</f>
        <v>0</v>
      </c>
      <c r="AP298" s="4611">
        <f>IF(AND(method_reg="Метод индексации",god&lt;&gt;first_year),_xlfn.SUMIFS(INDEX('Калькуляция (МИ корр)'!$AJ$25:$BC$606,,MATCH(AP$8,'Калькуляция (МИ корр)'!$AJ$8:$BC$8,0)),'Калькуляция (МИ корр)'!$F$25:$F$606,$F298,'Калькуляция (МИ корр)'!$G$25:$G$606,$G298),IF(method_reg="Метод экономически обоснованных расходов",_xlfn.SUMIFS('Калькуляция (МЭОР)'!$AJ$25:$AJ$367,'Калькуляция (МЭОР)'!$F$25:$F$367,$F298,'Калькуляция (МЭОР)'!$G$25:$G$367,$G298),IF(method_reg="Метод сравнения аналогов",_xlfn.SUMIFS('Калькуляция (МСА)'!$AE$25:$AE$103,'Калькуляция (МСА)'!$F$25:$F$103,$F298,'Калькуляция (МСА)'!$G$25:$G$103,$G298),_xlfn.SUMIFS(INDEX('Калькуляция (МИ)'!$AJ$25:$BC$603,,MATCH(AP$8,'Калькуляция (МИ)'!$AJ$8:$BC$8,0)),'Калькуляция (МИ)'!$F$25:$F$603,$F298,'Калькуляция (МИ)'!$G$25:$G$603,$G298))))</f>
        <v>0</v>
      </c>
      <c r="AQ298" s="4611">
        <f>IF(AND(method_reg="Метод индексации",god&lt;&gt;first_year),_xlfn.SUMIFS(INDEX('Калькуляция (МИ корр)'!$AJ$25:$BC$606,,MATCH(AQ$8,'Калькуляция (МИ корр)'!$AJ$8:$BC$8,0)),'Калькуляция (МИ корр)'!$F$25:$F$606,$F298,'Калькуляция (МИ корр)'!$G$25:$G$606,$G298),IF(method_reg="Метод экономически обоснованных расходов",_xlfn.SUMIFS('Калькуляция (МЭОР)'!$AK$25:$AK$367,'Калькуляция (МЭОР)'!$F$25:$F$367,$F298,'Калькуляция (МЭОР)'!$G$25:$G$367,$G298),IF(method_reg="Метод сравнения аналогов",_xlfn.SUMIFS('Калькуляция (МСА)'!$AF$25:$AF$103,'Калькуляция (МСА)'!$F$25:$F$103,$F298,'Калькуляция (МСА)'!$G$25:$G$103,$G298),_xlfn.SUMIFS(INDEX('Калькуляция (МИ)'!$AJ$25:$BC$603,,MATCH(AQ$8,'Калькуляция (МИ)'!$AJ$8:$BC$8,0)),'Калькуляция (МИ)'!$F$25:$F$603,$F298,'Калькуляция (МИ)'!$G$25:$G$603,$G298))))</f>
        <v>0</v>
      </c>
      <c r="AR298" s="292">
        <f>IF(AP298=0,0,(AQ298-AP298)/AP298*100)</f>
        <v>0</v>
      </c>
      <c r="AS298" s="4611">
        <f>IF(AND(method_reg="Метод индексации",god&lt;&gt;first_year),_xlfn.SUMIFS(INDEX('Калькуляция (МИ корр)'!$AJ$25:$BC$606,,MATCH(AS$8,'Калькуляция (МИ корр)'!$AJ$8:$BC$8,0)),'Калькуляция (МИ корр)'!$F$25:$F$606,$F298,'Калькуляция (МИ корр)'!$G$25:$G$606,$G298),IF(method_reg="Метод экономически обоснованных расходов",_xlfn.SUMIFS('Калькуляция (МЭОР)'!$AJ$25:$AJ$367,'Калькуляция (МЭОР)'!$F$25:$F$367,$F298,'Калькуляция (МЭОР)'!$G$25:$G$367,$G298),IF(method_reg="Метод сравнения аналогов",_xlfn.SUMIFS('Калькуляция (МСА)'!$AE$25:$AE$103,'Калькуляция (МСА)'!$F$25:$F$103,$F298,'Калькуляция (МСА)'!$G$25:$G$103,$G298),_xlfn.SUMIFS(INDEX('Калькуляция (МИ)'!$AJ$25:$BC$603,,MATCH(AS$8,'Калькуляция (МИ)'!$AJ$8:$BC$8,0)),'Калькуляция (МИ)'!$F$25:$F$603,$F298,'Калькуляция (МИ)'!$G$25:$G$603,$G298))))</f>
        <v>0</v>
      </c>
      <c r="AT298" s="4611">
        <f>IF(AND(method_reg="Метод индексации",god&lt;&gt;first_year),_xlfn.SUMIFS(INDEX('Калькуляция (МИ корр)'!$AJ$25:$BC$606,,MATCH(AT$8,'Калькуляция (МИ корр)'!$AJ$8:$BC$8,0)),'Калькуляция (МИ корр)'!$F$25:$F$606,$F298,'Калькуляция (МИ корр)'!$G$25:$G$606,$G298),IF(method_reg="Метод экономически обоснованных расходов",_xlfn.SUMIFS('Калькуляция (МЭОР)'!$AK$25:$AK$367,'Калькуляция (МЭОР)'!$F$25:$F$367,$F298,'Калькуляция (МЭОР)'!$G$25:$G$367,$G298),IF(method_reg="Метод сравнения аналогов",_xlfn.SUMIFS('Калькуляция (МСА)'!$AF$25:$AF$103,'Калькуляция (МСА)'!$F$25:$F$103,$F298,'Калькуляция (МСА)'!$G$25:$G$103,$G298),_xlfn.SUMIFS(INDEX('Калькуляция (МИ)'!$AJ$25:$BC$603,,MATCH(AT$8,'Калькуляция (МИ)'!$AJ$8:$BC$8,0)),'Калькуляция (МИ)'!$F$25:$F$603,$F298,'Калькуляция (МИ)'!$G$25:$G$603,$G298))))</f>
        <v>0</v>
      </c>
      <c r="AU298" s="292">
        <f>IF(AS298=0,0,(AT298-AS298)/AS298*100)</f>
        <v>0</v>
      </c>
      <c r="AV298" s="4611">
        <f>IF(AND(method_reg="Метод индексации",god&lt;&gt;first_year),_xlfn.SUMIFS(INDEX('Калькуляция (МИ корр)'!$AJ$25:$BC$606,,MATCH(AV$8,'Калькуляция (МИ корр)'!$AJ$8:$BC$8,0)),'Калькуляция (МИ корр)'!$F$25:$F$606,$F298,'Калькуляция (МИ корр)'!$G$25:$G$606,$G298),IF(method_reg="Метод экономически обоснованных расходов",_xlfn.SUMIFS('Калькуляция (МЭОР)'!$AJ$25:$AJ$367,'Калькуляция (МЭОР)'!$F$25:$F$367,$F298,'Калькуляция (МЭОР)'!$G$25:$G$367,$G298),IF(method_reg="Метод сравнения аналогов",_xlfn.SUMIFS('Калькуляция (МСА)'!$AE$25:$AE$103,'Калькуляция (МСА)'!$F$25:$F$103,$F298,'Калькуляция (МСА)'!$G$25:$G$103,$G298),_xlfn.SUMIFS(INDEX('Калькуляция (МИ)'!$AJ$25:$BC$603,,MATCH(AV$8,'Калькуляция (МИ)'!$AJ$8:$BC$8,0)),'Калькуляция (МИ)'!$F$25:$F$603,$F298,'Калькуляция (МИ)'!$G$25:$G$603,$G298))))</f>
        <v>0</v>
      </c>
      <c r="AW298" s="4611">
        <f>IF(AND(method_reg="Метод индексации",god&lt;&gt;first_year),_xlfn.SUMIFS(INDEX('Калькуляция (МИ корр)'!$AJ$25:$BC$606,,MATCH(AW$8,'Калькуляция (МИ корр)'!$AJ$8:$BC$8,0)),'Калькуляция (МИ корр)'!$F$25:$F$606,$F298,'Калькуляция (МИ корр)'!$G$25:$G$606,$G298),IF(method_reg="Метод экономически обоснованных расходов",_xlfn.SUMIFS('Калькуляция (МЭОР)'!$AK$25:$AK$367,'Калькуляция (МЭОР)'!$F$25:$F$367,$F298,'Калькуляция (МЭОР)'!$G$25:$G$367,$G298),IF(method_reg="Метод сравнения аналогов",_xlfn.SUMIFS('Калькуляция (МСА)'!$AF$25:$AF$103,'Калькуляция (МСА)'!$F$25:$F$103,$F298,'Калькуляция (МСА)'!$G$25:$G$103,$G298),_xlfn.SUMIFS(INDEX('Калькуляция (МИ)'!$AJ$25:$BC$603,,MATCH(AW$8,'Калькуляция (МИ)'!$AJ$8:$BC$8,0)),'Калькуляция (МИ)'!$F$25:$F$603,$F298,'Калькуляция (МИ)'!$G$25:$G$603,$G298))))</f>
        <v>0</v>
      </c>
      <c r="AX298" s="292">
        <f>IF(AV298=0,0,(AW298-AV298)/AV298*100)</f>
        <v>0</v>
      </c>
      <c r="AY298" s="4611">
        <f>IF(AND(method_reg="Метод индексации",god&lt;&gt;first_year),_xlfn.SUMIFS(INDEX('Калькуляция (МИ корр)'!$AJ$25:$BC$606,,MATCH(AY$8,'Калькуляция (МИ корр)'!$AJ$8:$BC$8,0)),'Калькуляция (МИ корр)'!$F$25:$F$606,$F298,'Калькуляция (МИ корр)'!$G$25:$G$606,$G298),IF(method_reg="Метод экономически обоснованных расходов",_xlfn.SUMIFS('Калькуляция (МЭОР)'!$AJ$25:$AJ$367,'Калькуляция (МЭОР)'!$F$25:$F$367,$F298,'Калькуляция (МЭОР)'!$G$25:$G$367,$G298),IF(method_reg="Метод сравнения аналогов",_xlfn.SUMIFS('Калькуляция (МСА)'!$AE$25:$AE$103,'Калькуляция (МСА)'!$F$25:$F$103,$F298,'Калькуляция (МСА)'!$G$25:$G$103,$G298),_xlfn.SUMIFS(INDEX('Калькуляция (МИ)'!$AJ$25:$BC$603,,MATCH(AY$8,'Калькуляция (МИ)'!$AJ$8:$BC$8,0)),'Калькуляция (МИ)'!$F$25:$F$603,$F298,'Калькуляция (МИ)'!$G$25:$G$603,$G298))))</f>
        <v>0</v>
      </c>
      <c r="AZ298" s="4611">
        <f>IF(AND(method_reg="Метод индексации",god&lt;&gt;first_year),_xlfn.SUMIFS(INDEX('Калькуляция (МИ корр)'!$AJ$25:$BC$606,,MATCH(AZ$8,'Калькуляция (МИ корр)'!$AJ$8:$BC$8,0)),'Калькуляция (МИ корр)'!$F$25:$F$606,$F298,'Калькуляция (МИ корр)'!$G$25:$G$606,$G298),IF(method_reg="Метод экономически обоснованных расходов",_xlfn.SUMIFS('Калькуляция (МЭОР)'!$AK$25:$AK$367,'Калькуляция (МЭОР)'!$F$25:$F$367,$F298,'Калькуляция (МЭОР)'!$G$25:$G$367,$G298),IF(method_reg="Метод сравнения аналогов",_xlfn.SUMIFS('Калькуляция (МСА)'!$AF$25:$AF$103,'Калькуляция (МСА)'!$F$25:$F$103,$F298,'Калькуляция (МСА)'!$G$25:$G$103,$G298),_xlfn.SUMIFS(INDEX('Калькуляция (МИ)'!$AJ$25:$BC$603,,MATCH(AZ$8,'Калькуляция (МИ)'!$AJ$8:$BC$8,0)),'Калькуляция (МИ)'!$F$25:$F$603,$F298,'Калькуляция (МИ)'!$G$25:$G$603,$G298))))</f>
        <v>0</v>
      </c>
      <c r="BA298" s="292">
        <f>IF(AY298=0,0,(AZ298-AY298)/AY298*100)</f>
        <v>0</v>
      </c>
      <c r="BB298" s="4611">
        <f>IF(AND(method_reg="Метод индексации",god&lt;&gt;first_year),_xlfn.SUMIFS(INDEX('Калькуляция (МИ корр)'!$AJ$25:$BC$606,,MATCH(BB$8,'Калькуляция (МИ корр)'!$AJ$8:$BC$8,0)),'Калькуляция (МИ корр)'!$F$25:$F$606,$F298,'Калькуляция (МИ корр)'!$G$25:$G$606,$G298),IF(method_reg="Метод экономически обоснованных расходов",_xlfn.SUMIFS('Калькуляция (МЭОР)'!$AJ$25:$AJ$367,'Калькуляция (МЭОР)'!$F$25:$F$367,$F298,'Калькуляция (МЭОР)'!$G$25:$G$367,$G298),IF(method_reg="Метод сравнения аналогов",_xlfn.SUMIFS('Калькуляция (МСА)'!$AE$25:$AE$103,'Калькуляция (МСА)'!$F$25:$F$103,$F298,'Калькуляция (МСА)'!$G$25:$G$103,$G298),_xlfn.SUMIFS(INDEX('Калькуляция (МИ)'!$AJ$25:$BC$603,,MATCH(BB$8,'Калькуляция (МИ)'!$AJ$8:$BC$8,0)),'Калькуляция (МИ)'!$F$25:$F$603,$F298,'Калькуляция (МИ)'!$G$25:$G$603,$G298))))</f>
        <v>0</v>
      </c>
      <c r="BC298" s="4611">
        <f>IF(AND(method_reg="Метод индексации",god&lt;&gt;first_year),_xlfn.SUMIFS(INDEX('Калькуляция (МИ корр)'!$AJ$25:$BC$606,,MATCH(BC$8,'Калькуляция (МИ корр)'!$AJ$8:$BC$8,0)),'Калькуляция (МИ корр)'!$F$25:$F$606,$F298,'Калькуляция (МИ корр)'!$G$25:$G$606,$G298),IF(method_reg="Метод экономически обоснованных расходов",_xlfn.SUMIFS('Калькуляция (МЭОР)'!$AK$25:$AK$367,'Калькуляция (МЭОР)'!$F$25:$F$367,$F298,'Калькуляция (МЭОР)'!$G$25:$G$367,$G298),IF(method_reg="Метод сравнения аналогов",_xlfn.SUMIFS('Калькуляция (МСА)'!$AF$25:$AF$103,'Калькуляция (МСА)'!$F$25:$F$103,$F298,'Калькуляция (МСА)'!$G$25:$G$103,$G298),_xlfn.SUMIFS(INDEX('Калькуляция (МИ)'!$AJ$25:$BC$603,,MATCH(BC$8,'Калькуляция (МИ)'!$AJ$8:$BC$8,0)),'Калькуляция (МИ)'!$F$25:$F$603,$F298,'Калькуляция (МИ)'!$G$25:$G$603,$G298))))</f>
        <v>0</v>
      </c>
      <c r="BD298" s="292">
        <f>IF(BB298=0,0,(BC298-BB298)/BB298*100)</f>
        <v>0</v>
      </c>
      <c r="BE298" s="4611">
        <f>IF(AND(method_reg="Метод индексации",god&lt;&gt;first_year),_xlfn.SUMIFS(INDEX('Калькуляция (МИ корр)'!$AJ$25:$BC$606,,MATCH(BE$8,'Калькуляция (МИ корр)'!$AJ$8:$BC$8,0)),'Калькуляция (МИ корр)'!$F$25:$F$606,$F298,'Калькуляция (МИ корр)'!$G$25:$G$606,$G298),IF(method_reg="Метод экономически обоснованных расходов",_xlfn.SUMIFS('Калькуляция (МЭОР)'!$AJ$25:$AJ$367,'Калькуляция (МЭОР)'!$F$25:$F$367,$F298,'Калькуляция (МЭОР)'!$G$25:$G$367,$G298),IF(method_reg="Метод сравнения аналогов",_xlfn.SUMIFS('Калькуляция (МСА)'!$AE$25:$AE$103,'Калькуляция (МСА)'!$F$25:$F$103,$F298,'Калькуляция (МСА)'!$G$25:$G$103,$G298),_xlfn.SUMIFS(INDEX('Калькуляция (МИ)'!$AJ$25:$BC$603,,MATCH(BE$8,'Калькуляция (МИ)'!$AJ$8:$BC$8,0)),'Калькуляция (МИ)'!$F$25:$F$603,$F298,'Калькуляция (МИ)'!$G$25:$G$603,$G298))))</f>
        <v>0</v>
      </c>
      <c r="BF298" s="4611">
        <f>IF(AND(method_reg="Метод индексации",god&lt;&gt;first_year),_xlfn.SUMIFS(INDEX('Калькуляция (МИ корр)'!$AJ$25:$BC$606,,MATCH(BF$8,'Калькуляция (МИ корр)'!$AJ$8:$BC$8,0)),'Калькуляция (МИ корр)'!$F$25:$F$606,$F298,'Калькуляция (МИ корр)'!$G$25:$G$606,$G298),IF(method_reg="Метод экономически обоснованных расходов",_xlfn.SUMIFS('Калькуляция (МЭОР)'!$AK$25:$AK$367,'Калькуляция (МЭОР)'!$F$25:$F$367,$F298,'Калькуляция (МЭОР)'!$G$25:$G$367,$G298),IF(method_reg="Метод сравнения аналогов",_xlfn.SUMIFS('Калькуляция (МСА)'!$AF$25:$AF$103,'Калькуляция (МСА)'!$F$25:$F$103,$F298,'Калькуляция (МСА)'!$G$25:$G$103,$G298),_xlfn.SUMIFS(INDEX('Калькуляция (МИ)'!$AJ$25:$BC$603,,MATCH(BF$8,'Калькуляция (МИ)'!$AJ$8:$BC$8,0)),'Калькуляция (МИ)'!$F$25:$F$603,$F298,'Калькуляция (МИ)'!$G$25:$G$603,$G298))))</f>
        <v>0</v>
      </c>
      <c r="BG298" s="292">
        <f>IF(BE298=0,0,(BF298-BE298)/BE298*100)</f>
        <v>0</v>
      </c>
      <c r="BH298" s="4611"/>
      <c r="BI298" s="4611"/>
      <c r="BJ298" s="292">
        <f>IF(BH298=0,0,(BI298-BH298)/BH298*100)</f>
        <v>0</v>
      </c>
      <c r="BK298" s="4611"/>
      <c r="BL298" s="4611"/>
      <c r="BM298" s="292">
        <f>IF(BK298=0,0,(BL298-BK298)/BK298*100)</f>
        <v>0</v>
      </c>
      <c r="BN298" s="4611"/>
      <c r="BO298" s="4611"/>
      <c r="BP298" s="292">
        <f>IF(BN298=0,0,(BO298-BN298)/BN298*100)</f>
        <v>0</v>
      </c>
      <c r="BQ298" s="4611"/>
      <c r="BR298" s="4611"/>
      <c r="BS298" s="292">
        <f>IF(BQ298=0,0,(BR298-BQ298)/BQ298*100)</f>
        <v>0</v>
      </c>
      <c r="BT298" s="4611"/>
      <c r="BU298" s="4611"/>
      <c r="BV298" s="292">
        <f>IF(BT298=0,0,(BU298-BT298)/BT298*100)</f>
        <v>0</v>
      </c>
      <c r="BW298" s="4611"/>
      <c r="BX298" s="4611"/>
      <c r="BY298" s="292">
        <f>IF(BW298=0,0,(BX298-BW298)/BW298*100)</f>
        <v>0</v>
      </c>
      <c r="BZ298" s="4611"/>
      <c r="CA298" s="4611"/>
      <c r="CB298" s="292">
        <f>IF(BZ298=0,0,(CA298-BZ298)/BZ298*100)</f>
        <v>0</v>
      </c>
      <c r="CC298" s="4611"/>
      <c r="CD298" s="4611"/>
      <c r="CE298" s="292">
        <f>IF(CC298=0,0,(CD298-CC298)/CC298*100)</f>
        <v>0</v>
      </c>
      <c r="CF298" s="4611"/>
      <c r="CG298" s="4611"/>
      <c r="CH298" s="292">
        <f>IF(CF298=0,0,(CG298-CF298)/CF298*100)</f>
        <v>0</v>
      </c>
      <c r="CI298" s="4611"/>
      <c r="CJ298" s="4611"/>
      <c r="CK298" s="292">
        <f>IF(CI298=0,0,(CJ298-CI298)/CI298*100)</f>
        <v>0</v>
      </c>
      <c r="CL298" s="4611"/>
      <c r="CM298" s="4611"/>
      <c r="CN298" s="292">
        <f>IF(CL298=0,0,(CM298-CL298)/CL298*100)</f>
        <v>0</v>
      </c>
      <c r="CO298" s="4611"/>
      <c r="CP298" s="4611"/>
      <c r="CQ298" s="292">
        <f>IF(CO298=0,0,(CP298-CO298)/CO298*100)</f>
        <v>0</v>
      </c>
      <c r="CR298" s="4611"/>
      <c r="CS298" s="4611"/>
      <c r="CT298" s="292">
        <f>IF(CR298=0,0,(CS298-CR298)/CR298*100)</f>
        <v>0</v>
      </c>
      <c r="CU298" s="4611"/>
      <c r="CV298" s="4611"/>
      <c r="CW298" s="292">
        <f>IF(CU298=0,0,(CV298-CU298)/CU298*100)</f>
        <v>0</v>
      </c>
      <c r="CX298" s="4611"/>
      <c r="CY298" s="4611"/>
      <c r="CZ298" s="292">
        <f>IF(CX298=0,0,(CY298-CX298)/CX298*100)</f>
        <v>0</v>
      </c>
      <c r="DA298" s="4611"/>
      <c r="DB298" s="4611"/>
      <c r="DC298" s="292">
        <f>IF(DA298=0,0,(DB298-DA298)/DA298*100)</f>
        <v>0</v>
      </c>
      <c r="DD298" s="4611"/>
      <c r="DE298" s="4611"/>
      <c r="DF298" s="292">
        <f>IF(DD298=0,0,(DE298-DD298)/DD298*100)</f>
        <v>0</v>
      </c>
      <c r="DG298" s="4611"/>
      <c r="DH298" s="4611"/>
      <c r="DI298" s="292">
        <f>IF(DG298=0,0,(DH298-DG298)/DG298*100)</f>
        <v>0</v>
      </c>
      <c r="DJ298" s="4611"/>
      <c r="DK298" s="4611"/>
      <c r="DL298" s="292">
        <f>IF(DJ298=0,0,(DK298-DJ298)/DJ298*100)</f>
        <v>0</v>
      </c>
      <c r="DM298" s="4611"/>
      <c r="DN298" s="4611"/>
      <c r="DO298" s="292">
        <f>IF(DM298=0,0,(DN298-DM298)/DM298*100)</f>
        <v>0</v>
      </c>
      <c r="DP298" s="4611"/>
      <c r="DQ298" s="4611"/>
      <c r="DR298" s="292">
        <f>IF(DP298=0,0,(DQ298-DP298)/DP298*100)</f>
        <v>0</v>
      </c>
      <c r="DS298" s="4611"/>
      <c r="DT298" s="4611"/>
      <c r="DU298" s="292">
        <f>IF(DS298=0,0,(DT298-DS298)/DS298*100)</f>
        <v>0</v>
      </c>
      <c r="DV298" s="4611"/>
      <c r="DW298" s="4611"/>
      <c r="DX298" s="292">
        <f>IF(DV298=0,0,(DW298-DV298)/DV298*100)</f>
        <v>0</v>
      </c>
      <c r="DY298" s="4611"/>
      <c r="DZ298" s="4611"/>
      <c r="EA298" s="292">
        <f>IF(DY298=0,0,(DZ298-DY298)/DY298*100)</f>
        <v>0</v>
      </c>
      <c r="EB298" s="4611"/>
      <c r="EC298" s="4611"/>
      <c r="ED298" s="292">
        <f>IF(EB298=0,0,(EC298-EB298)/EB298*100)</f>
        <v>0</v>
      </c>
      <c r="EE298" s="4611"/>
      <c r="EF298" s="4611"/>
      <c r="EG298" s="292">
        <f>IF(EE298=0,0,(EF298-EE298)/EE298*100)</f>
        <v>0</v>
      </c>
      <c r="EH298" s="4611"/>
      <c r="EI298" s="4611"/>
      <c r="EJ298" s="292">
        <f>IF(EH298=0,0,(EI298-EH298)/EH298*100)</f>
        <v>0</v>
      </c>
      <c r="EK298" s="4611"/>
      <c r="EL298" s="4611"/>
      <c r="EM298" s="292">
        <f>IF(EK298=0,0,(EL298-EK298)/EK298*100)</f>
        <v>0</v>
      </c>
      <c r="EN298" s="4611"/>
      <c r="EO298" s="4611"/>
      <c r="EP298" s="292">
        <f>IF(EN298=0,0,(EO298-EN298)/EN298*100)</f>
        <v>0</v>
      </c>
      <c r="EQ298" s="4611"/>
      <c r="ER298" s="4611"/>
      <c r="ES298" s="292">
        <f>IF(EQ298=0,0,(ER298-EQ298)/EQ298*100)</f>
        <v>0</v>
      </c>
      <c r="ET298" s="4611"/>
      <c r="EU298" s="4611"/>
      <c r="EV298" s="292">
        <f>IF(ET298=0,0,(EU298-ET298)/ET298*100)</f>
        <v>0</v>
      </c>
      <c r="EW298" s="4611"/>
      <c r="EX298" s="4611"/>
      <c r="EY298" s="292">
        <f>IF(EW298=0,0,(EX298-EW298)/EW298*100)</f>
        <v>0</v>
      </c>
      <c r="EZ298" s="4611"/>
      <c r="FA298" s="4611"/>
      <c r="FB298" s="292">
        <f>IF(EZ298=0,0,(FA298-EZ298)/EZ298*100)</f>
        <v>0</v>
      </c>
      <c r="FC298" s="4611"/>
      <c r="FD298" s="4611"/>
      <c r="FE298" s="292">
        <f>IF(FC298=0,0,(FD298-FC298)/FC298*100)</f>
        <v>0</v>
      </c>
      <c r="FF298" s="4611"/>
      <c r="FG298" s="4611"/>
      <c r="FH298" s="292">
        <f>IF(FF298=0,0,(FG298-FF298)/FF298*100)</f>
        <v>0</v>
      </c>
      <c r="FI298" s="4611"/>
      <c r="FJ298" s="4611"/>
      <c r="FK298" s="292">
        <f>IF(FI298=0,0,(FJ298-FI298)/FI298*100)</f>
        <v>0</v>
      </c>
      <c r="FL298" s="4611"/>
      <c r="FM298" s="4611"/>
      <c r="FN298" s="292">
        <f>IF(FL298=0,0,(FM298-FL298)/FL298*100)</f>
        <v>0</v>
      </c>
      <c r="FO298" s="4611"/>
      <c r="FP298" s="4611"/>
      <c r="FQ298" s="292">
        <f>IF(FO298=0,0,(FP298-FO298)/FO298*100)</f>
        <v>0</v>
      </c>
      <c r="FR298" s="4611"/>
      <c r="FS298" s="4611"/>
      <c r="FT298" s="292">
        <f>IF(FR298=0,0,(FS298-FR298)/FR298*100)</f>
        <v>0</v>
      </c>
      <c r="FU298" s="4611"/>
      <c r="FV298" s="4611"/>
      <c r="FW298" s="292">
        <f>IF(FU298=0,0,(FV298-FU298)/FU298*100)</f>
        <v>0</v>
      </c>
      <c r="FX298" s="288"/>
      <c r="FY298" s="288"/>
      <c r="FZ298" s="1063" t="s">
        <v>1942</v>
      </c>
      <c r="GA298" s="1063"/>
      <c r="GB298" s="1063"/>
      <c r="GC298" s="1064"/>
      <c r="GD298" s="1064"/>
    </row>
    <row s="5857" customFormat="1" customHeight="1" ht="23.25" hidden="1">
      <c r="A299" s="904"/>
      <c r="B299" s="932" cm="1" t="str">
        <f t="array" ref="B299:B299">B298</f>
        <v>false</v>
      </c>
      <c r="C299" s="904"/>
      <c r="D299" s="904"/>
      <c r="E299" s="847">
        <v>24.5</v>
      </c>
      <c r="F299" s="50" cm="1" t="str">
        <f t="array" ref="F299:F299">OFFSET(E299,-1,1)</f>
        <v>3</v>
      </c>
      <c r="G299" s="103" t="s">
        <v>1864</v>
      </c>
      <c r="H299" s="496" t="s">
        <v>566</v>
      </c>
      <c r="I299" s="496" t="s">
        <v>1943</v>
      </c>
      <c r="J299" s="904"/>
      <c r="K299" s="904"/>
      <c r="L299" s="904"/>
      <c r="M299" s="904"/>
      <c r="N299" s="904"/>
      <c r="O299" s="904"/>
      <c r="P299" s="904"/>
      <c r="Q299" s="904"/>
      <c r="R299" s="904"/>
      <c r="S299" s="496"/>
      <c r="T299" s="468" cm="1" t="str">
        <f t="array" ref="T299:T299">T298</f>
        <v>true</v>
      </c>
      <c r="U299" s="904"/>
      <c r="V299" s="904"/>
      <c r="W299" s="904"/>
      <c r="X299" s="1559"/>
      <c r="Y299" s="904"/>
      <c r="Z299" s="1528"/>
      <c r="AA299" s="904"/>
      <c r="AB299" s="215" t="s">
        <v>1944</v>
      </c>
      <c r="AC299" s="230" t="s">
        <v>1862</v>
      </c>
      <c r="AD299" s="4611">
        <f>IF(AND(method_reg="Метод индексации",god&lt;&gt;first_year),_xlfn.SUMIFS(INDEX('Калькуляция (МИ корр)'!$AJ$25:$BC$606,,MATCH(AD$8,'Калькуляция (МИ корр)'!$AJ$8:$BC$8,0)),'Калькуляция (МИ корр)'!$F$25:$F$606,$F299,'Калькуляция (МИ корр)'!$G$25:$G$606,$G299),IF(method_reg="Метод экономически обоснованных расходов",_xlfn.SUMIFS('Калькуляция (МЭОР)'!$AJ$25:$AJ$367,'Калькуляция (МЭОР)'!$F$25:$F$367,$F299,'Калькуляция (МЭОР)'!$G$25:$G$367,$G299),IF(method_reg="Метод сравнения аналогов",_xlfn.SUMIFS('Калькуляция (МСА)'!$AE$25:$AE$103,'Калькуляция (МСА)'!$F$25:$F$103,$F299,'Калькуляция (МСА)'!$G$25:$G$103,$G299),_xlfn.SUMIFS(INDEX('Калькуляция (МИ)'!$AJ$25:$BC$603,,MATCH(AD$8,'Калькуляция (МИ)'!$AJ$8:$BC$8,0)),'Калькуляция (МИ)'!$F$25:$F$603,$F299,'Калькуляция (МИ)'!$G$25:$G$603,$G299))))</f>
        <v>160.156684943698</v>
      </c>
      <c r="AE299" s="4611">
        <f>IF(AND(method_reg="Метод индексации",god&lt;&gt;first_year),_xlfn.SUMIFS(INDEX('Калькуляция (МИ корр)'!$AJ$25:$BC$606,,MATCH(AE$8,'Калькуляция (МИ корр)'!$AJ$8:$BC$8,0)),'Калькуляция (МИ корр)'!$F$25:$F$606,$F299,'Калькуляция (МИ корр)'!$G$25:$G$606,$G299),IF(method_reg="Метод экономически обоснованных расходов",_xlfn.SUMIFS('Калькуляция (МЭОР)'!$AK$25:$AK$367,'Калькуляция (МЭОР)'!$F$25:$F$367,$F299,'Калькуляция (МЭОР)'!$G$25:$G$367,$G299),IF(method_reg="Метод сравнения аналогов",_xlfn.SUMIFS('Калькуляция (МСА)'!$AF$25:$AF$103,'Калькуляция (МСА)'!$F$25:$F$103,$F299,'Калькуляция (МСА)'!$G$25:$G$103,$G299),_xlfn.SUMIFS(INDEX('Калькуляция (МИ)'!$AJ$25:$BC$603,,MATCH(AE$8,'Калькуляция (МИ)'!$AJ$8:$BC$8,0)),'Калькуляция (МИ)'!$F$25:$F$603,$F299,'Калькуляция (МИ)'!$G$25:$G$603,$G299))))</f>
        <v>60.860062497579</v>
      </c>
      <c r="AF299" s="292">
        <f>IF(AD299=0,0,(AE299-AD299)/AD299*100)</f>
        <v>-61.9996739324531</v>
      </c>
      <c r="AG299" s="4611">
        <f>IF(AND(method_reg="Метод индексации",god&lt;&gt;first_year),_xlfn.SUMIFS(INDEX('Калькуляция (МИ корр)'!$AJ$25:$BC$606,,MATCH(AG$8,'Калькуляция (МИ корр)'!$AJ$8:$BC$8,0)),'Калькуляция (МИ корр)'!$F$25:$F$606,$F299,'Калькуляция (МИ корр)'!$G$25:$G$606,$G299),IF(method_reg="Метод экономически обоснованных расходов",_xlfn.SUMIFS('Калькуляция (МЭОР)'!$AJ$25:$AJ$367,'Калькуляция (МЭОР)'!$F$25:$F$367,$F299,'Калькуляция (МЭОР)'!$G$25:$G$367,$G299),IF(method_reg="Метод сравнения аналогов",_xlfn.SUMIFS('Калькуляция (МСА)'!$AE$25:$AE$103,'Калькуляция (МСА)'!$F$25:$F$103,$F299,'Калькуляция (МСА)'!$G$25:$G$103,$G299),_xlfn.SUMIFS(INDEX('Калькуляция (МИ)'!$AJ$25:$BC$603,,MATCH(AG$8,'Калькуляция (МИ)'!$AJ$8:$BC$8,0)),'Калькуляция (МИ)'!$F$25:$F$603,$F299,'Калькуляция (МИ)'!$G$25:$G$603,$G299))))</f>
        <v>0</v>
      </c>
      <c r="AH299" s="4611">
        <f>IF(AND(method_reg="Метод индексации",god&lt;&gt;first_year),_xlfn.SUMIFS(INDEX('Калькуляция (МИ корр)'!$AJ$25:$BC$606,,MATCH(AH$8,'Калькуляция (МИ корр)'!$AJ$8:$BC$8,0)),'Калькуляция (МИ корр)'!$F$25:$F$606,$F299,'Калькуляция (МИ корр)'!$G$25:$G$606,$G299),IF(method_reg="Метод экономически обоснованных расходов",_xlfn.SUMIFS('Калькуляция (МЭОР)'!$AK$25:$AK$367,'Калькуляция (МЭОР)'!$F$25:$F$367,$F299,'Калькуляция (МЭОР)'!$G$25:$G$367,$G299),IF(method_reg="Метод сравнения аналогов",_xlfn.SUMIFS('Калькуляция (МСА)'!$AF$25:$AF$103,'Калькуляция (МСА)'!$F$25:$F$103,$F299,'Калькуляция (МСА)'!$G$25:$G$103,$G299),_xlfn.SUMIFS(INDEX('Калькуляция (МИ)'!$AJ$25:$BC$603,,MATCH(AH$8,'Калькуляция (МИ)'!$AJ$8:$BC$8,0)),'Калькуляция (МИ)'!$F$25:$F$603,$F299,'Калькуляция (МИ)'!$G$25:$G$603,$G299))))</f>
        <v>0</v>
      </c>
      <c r="AI299" s="292">
        <f>IF(AG299=0,0,(AH299-AG299)/AG299*100)</f>
        <v>0</v>
      </c>
      <c r="AJ299" s="4611">
        <f>IF(AND(method_reg="Метод индексации",god&lt;&gt;first_year),_xlfn.SUMIFS(INDEX('Калькуляция (МИ корр)'!$AJ$25:$BC$606,,MATCH(AJ$8,'Калькуляция (МИ корр)'!$AJ$8:$BC$8,0)),'Калькуляция (МИ корр)'!$F$25:$F$606,$F299,'Калькуляция (МИ корр)'!$G$25:$G$606,$G299),IF(method_reg="Метод экономически обоснованных расходов",_xlfn.SUMIFS('Калькуляция (МЭОР)'!$AJ$25:$AJ$367,'Калькуляция (МЭОР)'!$F$25:$F$367,$F299,'Калькуляция (МЭОР)'!$G$25:$G$367,$G299),IF(method_reg="Метод сравнения аналогов",_xlfn.SUMIFS('Калькуляция (МСА)'!$AE$25:$AE$103,'Калькуляция (МСА)'!$F$25:$F$103,$F299,'Калькуляция (МСА)'!$G$25:$G$103,$G299),_xlfn.SUMIFS(INDEX('Калькуляция (МИ)'!$AJ$25:$BC$603,,MATCH(AJ$8,'Калькуляция (МИ)'!$AJ$8:$BC$8,0)),'Калькуляция (МИ)'!$F$25:$F$603,$F299,'Калькуляция (МИ)'!$G$25:$G$603,$G299))))</f>
        <v>0</v>
      </c>
      <c r="AK299" s="4611">
        <f>IF(AND(method_reg="Метод индексации",god&lt;&gt;first_year),_xlfn.SUMIFS(INDEX('Калькуляция (МИ корр)'!$AJ$25:$BC$606,,MATCH(AK$8,'Калькуляция (МИ корр)'!$AJ$8:$BC$8,0)),'Калькуляция (МИ корр)'!$F$25:$F$606,$F299,'Калькуляция (МИ корр)'!$G$25:$G$606,$G299),IF(method_reg="Метод экономически обоснованных расходов",_xlfn.SUMIFS('Калькуляция (МЭОР)'!$AK$25:$AK$367,'Калькуляция (МЭОР)'!$F$25:$F$367,$F299,'Калькуляция (МЭОР)'!$G$25:$G$367,$G299),IF(method_reg="Метод сравнения аналогов",_xlfn.SUMIFS('Калькуляция (МСА)'!$AF$25:$AF$103,'Калькуляция (МСА)'!$F$25:$F$103,$F299,'Калькуляция (МСА)'!$G$25:$G$103,$G299),_xlfn.SUMIFS(INDEX('Калькуляция (МИ)'!$AJ$25:$BC$603,,MATCH(AK$8,'Калькуляция (МИ)'!$AJ$8:$BC$8,0)),'Калькуляция (МИ)'!$F$25:$F$603,$F299,'Калькуляция (МИ)'!$G$25:$G$603,$G299))))</f>
        <v>0</v>
      </c>
      <c r="AL299" s="292">
        <f>IF(AJ299=0,0,(AK299-AJ299)/AJ299*100)</f>
        <v>0</v>
      </c>
      <c r="AM299" s="4611">
        <f>IF(AND(method_reg="Метод индексации",god&lt;&gt;first_year),_xlfn.SUMIFS(INDEX('Калькуляция (МИ корр)'!$AJ$25:$BC$606,,MATCH(AM$8,'Калькуляция (МИ корр)'!$AJ$8:$BC$8,0)),'Калькуляция (МИ корр)'!$F$25:$F$606,$F299,'Калькуляция (МИ корр)'!$G$25:$G$606,$G299),IF(method_reg="Метод экономически обоснованных расходов",_xlfn.SUMIFS('Калькуляция (МЭОР)'!$AJ$25:$AJ$367,'Калькуляция (МЭОР)'!$F$25:$F$367,$F299,'Калькуляция (МЭОР)'!$G$25:$G$367,$G299),IF(method_reg="Метод сравнения аналогов",_xlfn.SUMIFS('Калькуляция (МСА)'!$AE$25:$AE$103,'Калькуляция (МСА)'!$F$25:$F$103,$F299,'Калькуляция (МСА)'!$G$25:$G$103,$G299),_xlfn.SUMIFS(INDEX('Калькуляция (МИ)'!$AJ$25:$BC$603,,MATCH(AM$8,'Калькуляция (МИ)'!$AJ$8:$BC$8,0)),'Калькуляция (МИ)'!$F$25:$F$603,$F299,'Калькуляция (МИ)'!$G$25:$G$603,$G299))))</f>
        <v>0</v>
      </c>
      <c r="AN299" s="4611">
        <f>IF(AND(method_reg="Метод индексации",god&lt;&gt;first_year),_xlfn.SUMIFS(INDEX('Калькуляция (МИ корр)'!$AJ$25:$BC$606,,MATCH(AN$8,'Калькуляция (МИ корр)'!$AJ$8:$BC$8,0)),'Калькуляция (МИ корр)'!$F$25:$F$606,$F299,'Калькуляция (МИ корр)'!$G$25:$G$606,$G299),IF(method_reg="Метод экономически обоснованных расходов",_xlfn.SUMIFS('Калькуляция (МЭОР)'!$AK$25:$AK$367,'Калькуляция (МЭОР)'!$F$25:$F$367,$F299,'Калькуляция (МЭОР)'!$G$25:$G$367,$G299),IF(method_reg="Метод сравнения аналогов",_xlfn.SUMIFS('Калькуляция (МСА)'!$AF$25:$AF$103,'Калькуляция (МСА)'!$F$25:$F$103,$F299,'Калькуляция (МСА)'!$G$25:$G$103,$G299),_xlfn.SUMIFS(INDEX('Калькуляция (МИ)'!$AJ$25:$BC$603,,MATCH(AN$8,'Калькуляция (МИ)'!$AJ$8:$BC$8,0)),'Калькуляция (МИ)'!$F$25:$F$603,$F299,'Калькуляция (МИ)'!$G$25:$G$603,$G299))))</f>
        <v>0</v>
      </c>
      <c r="AO299" s="292">
        <f>IF(AM299=0,0,(AN299-AM299)/AM299*100)</f>
        <v>0</v>
      </c>
      <c r="AP299" s="4611">
        <f>IF(AND(method_reg="Метод индексации",god&lt;&gt;first_year),_xlfn.SUMIFS(INDEX('Калькуляция (МИ корр)'!$AJ$25:$BC$606,,MATCH(AP$8,'Калькуляция (МИ корр)'!$AJ$8:$BC$8,0)),'Калькуляция (МИ корр)'!$F$25:$F$606,$F299,'Калькуляция (МИ корр)'!$G$25:$G$606,$G299),IF(method_reg="Метод экономически обоснованных расходов",_xlfn.SUMIFS('Калькуляция (МЭОР)'!$AJ$25:$AJ$367,'Калькуляция (МЭОР)'!$F$25:$F$367,$F299,'Калькуляция (МЭОР)'!$G$25:$G$367,$G299),IF(method_reg="Метод сравнения аналогов",_xlfn.SUMIFS('Калькуляция (МСА)'!$AE$25:$AE$103,'Калькуляция (МСА)'!$F$25:$F$103,$F299,'Калькуляция (МСА)'!$G$25:$G$103,$G299),_xlfn.SUMIFS(INDEX('Калькуляция (МИ)'!$AJ$25:$BC$603,,MATCH(AP$8,'Калькуляция (МИ)'!$AJ$8:$BC$8,0)),'Калькуляция (МИ)'!$F$25:$F$603,$F299,'Калькуляция (МИ)'!$G$25:$G$603,$G299))))</f>
        <v>0</v>
      </c>
      <c r="AQ299" s="4611">
        <f>IF(AND(method_reg="Метод индексации",god&lt;&gt;first_year),_xlfn.SUMIFS(INDEX('Калькуляция (МИ корр)'!$AJ$25:$BC$606,,MATCH(AQ$8,'Калькуляция (МИ корр)'!$AJ$8:$BC$8,0)),'Калькуляция (МИ корр)'!$F$25:$F$606,$F299,'Калькуляция (МИ корр)'!$G$25:$G$606,$G299),IF(method_reg="Метод экономически обоснованных расходов",_xlfn.SUMIFS('Калькуляция (МЭОР)'!$AK$25:$AK$367,'Калькуляция (МЭОР)'!$F$25:$F$367,$F299,'Калькуляция (МЭОР)'!$G$25:$G$367,$G299),IF(method_reg="Метод сравнения аналогов",_xlfn.SUMIFS('Калькуляция (МСА)'!$AF$25:$AF$103,'Калькуляция (МСА)'!$F$25:$F$103,$F299,'Калькуляция (МСА)'!$G$25:$G$103,$G299),_xlfn.SUMIFS(INDEX('Калькуляция (МИ)'!$AJ$25:$BC$603,,MATCH(AQ$8,'Калькуляция (МИ)'!$AJ$8:$BC$8,0)),'Калькуляция (МИ)'!$F$25:$F$603,$F299,'Калькуляция (МИ)'!$G$25:$G$603,$G299))))</f>
        <v>0</v>
      </c>
      <c r="AR299" s="292">
        <f>IF(AP299=0,0,(AQ299-AP299)/AP299*100)</f>
        <v>0</v>
      </c>
      <c r="AS299" s="4611">
        <f>IF(AND(method_reg="Метод индексации",god&lt;&gt;first_year),_xlfn.SUMIFS(INDEX('Калькуляция (МИ корр)'!$AJ$25:$BC$606,,MATCH(AS$8,'Калькуляция (МИ корр)'!$AJ$8:$BC$8,0)),'Калькуляция (МИ корр)'!$F$25:$F$606,$F299,'Калькуляция (МИ корр)'!$G$25:$G$606,$G299),IF(method_reg="Метод экономически обоснованных расходов",_xlfn.SUMIFS('Калькуляция (МЭОР)'!$AJ$25:$AJ$367,'Калькуляция (МЭОР)'!$F$25:$F$367,$F299,'Калькуляция (МЭОР)'!$G$25:$G$367,$G299),IF(method_reg="Метод сравнения аналогов",_xlfn.SUMIFS('Калькуляция (МСА)'!$AE$25:$AE$103,'Калькуляция (МСА)'!$F$25:$F$103,$F299,'Калькуляция (МСА)'!$G$25:$G$103,$G299),_xlfn.SUMIFS(INDEX('Калькуляция (МИ)'!$AJ$25:$BC$603,,MATCH(AS$8,'Калькуляция (МИ)'!$AJ$8:$BC$8,0)),'Калькуляция (МИ)'!$F$25:$F$603,$F299,'Калькуляция (МИ)'!$G$25:$G$603,$G299))))</f>
        <v>0</v>
      </c>
      <c r="AT299" s="4611">
        <f>IF(AND(method_reg="Метод индексации",god&lt;&gt;first_year),_xlfn.SUMIFS(INDEX('Калькуляция (МИ корр)'!$AJ$25:$BC$606,,MATCH(AT$8,'Калькуляция (МИ корр)'!$AJ$8:$BC$8,0)),'Калькуляция (МИ корр)'!$F$25:$F$606,$F299,'Калькуляция (МИ корр)'!$G$25:$G$606,$G299),IF(method_reg="Метод экономически обоснованных расходов",_xlfn.SUMIFS('Калькуляция (МЭОР)'!$AK$25:$AK$367,'Калькуляция (МЭОР)'!$F$25:$F$367,$F299,'Калькуляция (МЭОР)'!$G$25:$G$367,$G299),IF(method_reg="Метод сравнения аналогов",_xlfn.SUMIFS('Калькуляция (МСА)'!$AF$25:$AF$103,'Калькуляция (МСА)'!$F$25:$F$103,$F299,'Калькуляция (МСА)'!$G$25:$G$103,$G299),_xlfn.SUMIFS(INDEX('Калькуляция (МИ)'!$AJ$25:$BC$603,,MATCH(AT$8,'Калькуляция (МИ)'!$AJ$8:$BC$8,0)),'Калькуляция (МИ)'!$F$25:$F$603,$F299,'Калькуляция (МИ)'!$G$25:$G$603,$G299))))</f>
        <v>0</v>
      </c>
      <c r="AU299" s="292">
        <f>IF(AS299=0,0,(AT299-AS299)/AS299*100)</f>
        <v>0</v>
      </c>
      <c r="AV299" s="4611">
        <f>IF(AND(method_reg="Метод индексации",god&lt;&gt;first_year),_xlfn.SUMIFS(INDEX('Калькуляция (МИ корр)'!$AJ$25:$BC$606,,MATCH(AV$8,'Калькуляция (МИ корр)'!$AJ$8:$BC$8,0)),'Калькуляция (МИ корр)'!$F$25:$F$606,$F299,'Калькуляция (МИ корр)'!$G$25:$G$606,$G299),IF(method_reg="Метод экономически обоснованных расходов",_xlfn.SUMIFS('Калькуляция (МЭОР)'!$AJ$25:$AJ$367,'Калькуляция (МЭОР)'!$F$25:$F$367,$F299,'Калькуляция (МЭОР)'!$G$25:$G$367,$G299),IF(method_reg="Метод сравнения аналогов",_xlfn.SUMIFS('Калькуляция (МСА)'!$AE$25:$AE$103,'Калькуляция (МСА)'!$F$25:$F$103,$F299,'Калькуляция (МСА)'!$G$25:$G$103,$G299),_xlfn.SUMIFS(INDEX('Калькуляция (МИ)'!$AJ$25:$BC$603,,MATCH(AV$8,'Калькуляция (МИ)'!$AJ$8:$BC$8,0)),'Калькуляция (МИ)'!$F$25:$F$603,$F299,'Калькуляция (МИ)'!$G$25:$G$603,$G299))))</f>
        <v>0</v>
      </c>
      <c r="AW299" s="4611">
        <f>IF(AND(method_reg="Метод индексации",god&lt;&gt;first_year),_xlfn.SUMIFS(INDEX('Калькуляция (МИ корр)'!$AJ$25:$BC$606,,MATCH(AW$8,'Калькуляция (МИ корр)'!$AJ$8:$BC$8,0)),'Калькуляция (МИ корр)'!$F$25:$F$606,$F299,'Калькуляция (МИ корр)'!$G$25:$G$606,$G299),IF(method_reg="Метод экономически обоснованных расходов",_xlfn.SUMIFS('Калькуляция (МЭОР)'!$AK$25:$AK$367,'Калькуляция (МЭОР)'!$F$25:$F$367,$F299,'Калькуляция (МЭОР)'!$G$25:$G$367,$G299),IF(method_reg="Метод сравнения аналогов",_xlfn.SUMIFS('Калькуляция (МСА)'!$AF$25:$AF$103,'Калькуляция (МСА)'!$F$25:$F$103,$F299,'Калькуляция (МСА)'!$G$25:$G$103,$G299),_xlfn.SUMIFS(INDEX('Калькуляция (МИ)'!$AJ$25:$BC$603,,MATCH(AW$8,'Калькуляция (МИ)'!$AJ$8:$BC$8,0)),'Калькуляция (МИ)'!$F$25:$F$603,$F299,'Калькуляция (МИ)'!$G$25:$G$603,$G299))))</f>
        <v>0</v>
      </c>
      <c r="AX299" s="292">
        <f>IF(AV299=0,0,(AW299-AV299)/AV299*100)</f>
        <v>0</v>
      </c>
      <c r="AY299" s="4611">
        <f>IF(AND(method_reg="Метод индексации",god&lt;&gt;first_year),_xlfn.SUMIFS(INDEX('Калькуляция (МИ корр)'!$AJ$25:$BC$606,,MATCH(AY$8,'Калькуляция (МИ корр)'!$AJ$8:$BC$8,0)),'Калькуляция (МИ корр)'!$F$25:$F$606,$F299,'Калькуляция (МИ корр)'!$G$25:$G$606,$G299),IF(method_reg="Метод экономически обоснованных расходов",_xlfn.SUMIFS('Калькуляция (МЭОР)'!$AJ$25:$AJ$367,'Калькуляция (МЭОР)'!$F$25:$F$367,$F299,'Калькуляция (МЭОР)'!$G$25:$G$367,$G299),IF(method_reg="Метод сравнения аналогов",_xlfn.SUMIFS('Калькуляция (МСА)'!$AE$25:$AE$103,'Калькуляция (МСА)'!$F$25:$F$103,$F299,'Калькуляция (МСА)'!$G$25:$G$103,$G299),_xlfn.SUMIFS(INDEX('Калькуляция (МИ)'!$AJ$25:$BC$603,,MATCH(AY$8,'Калькуляция (МИ)'!$AJ$8:$BC$8,0)),'Калькуляция (МИ)'!$F$25:$F$603,$F299,'Калькуляция (МИ)'!$G$25:$G$603,$G299))))</f>
        <v>0</v>
      </c>
      <c r="AZ299" s="4611">
        <f>IF(AND(method_reg="Метод индексации",god&lt;&gt;first_year),_xlfn.SUMIFS(INDEX('Калькуляция (МИ корр)'!$AJ$25:$BC$606,,MATCH(AZ$8,'Калькуляция (МИ корр)'!$AJ$8:$BC$8,0)),'Калькуляция (МИ корр)'!$F$25:$F$606,$F299,'Калькуляция (МИ корр)'!$G$25:$G$606,$G299),IF(method_reg="Метод экономически обоснованных расходов",_xlfn.SUMIFS('Калькуляция (МЭОР)'!$AK$25:$AK$367,'Калькуляция (МЭОР)'!$F$25:$F$367,$F299,'Калькуляция (МЭОР)'!$G$25:$G$367,$G299),IF(method_reg="Метод сравнения аналогов",_xlfn.SUMIFS('Калькуляция (МСА)'!$AF$25:$AF$103,'Калькуляция (МСА)'!$F$25:$F$103,$F299,'Калькуляция (МСА)'!$G$25:$G$103,$G299),_xlfn.SUMIFS(INDEX('Калькуляция (МИ)'!$AJ$25:$BC$603,,MATCH(AZ$8,'Калькуляция (МИ)'!$AJ$8:$BC$8,0)),'Калькуляция (МИ)'!$F$25:$F$603,$F299,'Калькуляция (МИ)'!$G$25:$G$603,$G299))))</f>
        <v>0</v>
      </c>
      <c r="BA299" s="292">
        <f>IF(AY299=0,0,(AZ299-AY299)/AY299*100)</f>
        <v>0</v>
      </c>
      <c r="BB299" s="4611">
        <f>IF(AND(method_reg="Метод индексации",god&lt;&gt;first_year),_xlfn.SUMIFS(INDEX('Калькуляция (МИ корр)'!$AJ$25:$BC$606,,MATCH(BB$8,'Калькуляция (МИ корр)'!$AJ$8:$BC$8,0)),'Калькуляция (МИ корр)'!$F$25:$F$606,$F299,'Калькуляция (МИ корр)'!$G$25:$G$606,$G299),IF(method_reg="Метод экономически обоснованных расходов",_xlfn.SUMIFS('Калькуляция (МЭОР)'!$AJ$25:$AJ$367,'Калькуляция (МЭОР)'!$F$25:$F$367,$F299,'Калькуляция (МЭОР)'!$G$25:$G$367,$G299),IF(method_reg="Метод сравнения аналогов",_xlfn.SUMIFS('Калькуляция (МСА)'!$AE$25:$AE$103,'Калькуляция (МСА)'!$F$25:$F$103,$F299,'Калькуляция (МСА)'!$G$25:$G$103,$G299),_xlfn.SUMIFS(INDEX('Калькуляция (МИ)'!$AJ$25:$BC$603,,MATCH(BB$8,'Калькуляция (МИ)'!$AJ$8:$BC$8,0)),'Калькуляция (МИ)'!$F$25:$F$603,$F299,'Калькуляция (МИ)'!$G$25:$G$603,$G299))))</f>
        <v>0</v>
      </c>
      <c r="BC299" s="4611">
        <f>IF(AND(method_reg="Метод индексации",god&lt;&gt;first_year),_xlfn.SUMIFS(INDEX('Калькуляция (МИ корр)'!$AJ$25:$BC$606,,MATCH(BC$8,'Калькуляция (МИ корр)'!$AJ$8:$BC$8,0)),'Калькуляция (МИ корр)'!$F$25:$F$606,$F299,'Калькуляция (МИ корр)'!$G$25:$G$606,$G299),IF(method_reg="Метод экономически обоснованных расходов",_xlfn.SUMIFS('Калькуляция (МЭОР)'!$AK$25:$AK$367,'Калькуляция (МЭОР)'!$F$25:$F$367,$F299,'Калькуляция (МЭОР)'!$G$25:$G$367,$G299),IF(method_reg="Метод сравнения аналогов",_xlfn.SUMIFS('Калькуляция (МСА)'!$AF$25:$AF$103,'Калькуляция (МСА)'!$F$25:$F$103,$F299,'Калькуляция (МСА)'!$G$25:$G$103,$G299),_xlfn.SUMIFS(INDEX('Калькуляция (МИ)'!$AJ$25:$BC$603,,MATCH(BC$8,'Калькуляция (МИ)'!$AJ$8:$BC$8,0)),'Калькуляция (МИ)'!$F$25:$F$603,$F299,'Калькуляция (МИ)'!$G$25:$G$603,$G299))))</f>
        <v>0</v>
      </c>
      <c r="BD299" s="292">
        <f>IF(BB299=0,0,(BC299-BB299)/BB299*100)</f>
        <v>0</v>
      </c>
      <c r="BE299" s="4611">
        <f>IF(AND(method_reg="Метод индексации",god&lt;&gt;first_year),_xlfn.SUMIFS(INDEX('Калькуляция (МИ корр)'!$AJ$25:$BC$606,,MATCH(BE$8,'Калькуляция (МИ корр)'!$AJ$8:$BC$8,0)),'Калькуляция (МИ корр)'!$F$25:$F$606,$F299,'Калькуляция (МИ корр)'!$G$25:$G$606,$G299),IF(method_reg="Метод экономически обоснованных расходов",_xlfn.SUMIFS('Калькуляция (МЭОР)'!$AJ$25:$AJ$367,'Калькуляция (МЭОР)'!$F$25:$F$367,$F299,'Калькуляция (МЭОР)'!$G$25:$G$367,$G299),IF(method_reg="Метод сравнения аналогов",_xlfn.SUMIFS('Калькуляция (МСА)'!$AE$25:$AE$103,'Калькуляция (МСА)'!$F$25:$F$103,$F299,'Калькуляция (МСА)'!$G$25:$G$103,$G299),_xlfn.SUMIFS(INDEX('Калькуляция (МИ)'!$AJ$25:$BC$603,,MATCH(BE$8,'Калькуляция (МИ)'!$AJ$8:$BC$8,0)),'Калькуляция (МИ)'!$F$25:$F$603,$F299,'Калькуляция (МИ)'!$G$25:$G$603,$G299))))</f>
        <v>0</v>
      </c>
      <c r="BF299" s="4611">
        <f>IF(AND(method_reg="Метод индексации",god&lt;&gt;first_year),_xlfn.SUMIFS(INDEX('Калькуляция (МИ корр)'!$AJ$25:$BC$606,,MATCH(BF$8,'Калькуляция (МИ корр)'!$AJ$8:$BC$8,0)),'Калькуляция (МИ корр)'!$F$25:$F$606,$F299,'Калькуляция (МИ корр)'!$G$25:$G$606,$G299),IF(method_reg="Метод экономически обоснованных расходов",_xlfn.SUMIFS('Калькуляция (МЭОР)'!$AK$25:$AK$367,'Калькуляция (МЭОР)'!$F$25:$F$367,$F299,'Калькуляция (МЭОР)'!$G$25:$G$367,$G299),IF(method_reg="Метод сравнения аналогов",_xlfn.SUMIFS('Калькуляция (МСА)'!$AF$25:$AF$103,'Калькуляция (МСА)'!$F$25:$F$103,$F299,'Калькуляция (МСА)'!$G$25:$G$103,$G299),_xlfn.SUMIFS(INDEX('Калькуляция (МИ)'!$AJ$25:$BC$603,,MATCH(BF$8,'Калькуляция (МИ)'!$AJ$8:$BC$8,0)),'Калькуляция (МИ)'!$F$25:$F$603,$F299,'Калькуляция (МИ)'!$G$25:$G$603,$G299))))</f>
        <v>0</v>
      </c>
      <c r="BG299" s="292">
        <f>IF(BE299=0,0,(BF299-BE299)/BE299*100)</f>
        <v>0</v>
      </c>
      <c r="BH299" s="4611"/>
      <c r="BI299" s="4611"/>
      <c r="BJ299" s="292">
        <f>IF(BH299=0,0,(BI299-BH299)/BH299*100)</f>
        <v>0</v>
      </c>
      <c r="BK299" s="4611"/>
      <c r="BL299" s="4611"/>
      <c r="BM299" s="292">
        <f>IF(BK299=0,0,(BL299-BK299)/BK299*100)</f>
        <v>0</v>
      </c>
      <c r="BN299" s="4611"/>
      <c r="BO299" s="4611"/>
      <c r="BP299" s="292">
        <f>IF(BN299=0,0,(BO299-BN299)/BN299*100)</f>
        <v>0</v>
      </c>
      <c r="BQ299" s="4611"/>
      <c r="BR299" s="4611"/>
      <c r="BS299" s="292">
        <f>IF(BQ299=0,0,(BR299-BQ299)/BQ299*100)</f>
        <v>0</v>
      </c>
      <c r="BT299" s="4611"/>
      <c r="BU299" s="4611"/>
      <c r="BV299" s="292">
        <f>IF(BT299=0,0,(BU299-BT299)/BT299*100)</f>
        <v>0</v>
      </c>
      <c r="BW299" s="4611"/>
      <c r="BX299" s="4611"/>
      <c r="BY299" s="292">
        <f>IF(BW299=0,0,(BX299-BW299)/BW299*100)</f>
        <v>0</v>
      </c>
      <c r="BZ299" s="4611"/>
      <c r="CA299" s="4611"/>
      <c r="CB299" s="292">
        <f>IF(BZ299=0,0,(CA299-BZ299)/BZ299*100)</f>
        <v>0</v>
      </c>
      <c r="CC299" s="4611"/>
      <c r="CD299" s="4611"/>
      <c r="CE299" s="292">
        <f>IF(CC299=0,0,(CD299-CC299)/CC299*100)</f>
        <v>0</v>
      </c>
      <c r="CF299" s="4611"/>
      <c r="CG299" s="4611"/>
      <c r="CH299" s="292">
        <f>IF(CF299=0,0,(CG299-CF299)/CF299*100)</f>
        <v>0</v>
      </c>
      <c r="CI299" s="4611"/>
      <c r="CJ299" s="4611"/>
      <c r="CK299" s="292">
        <f>IF(CI299=0,0,(CJ299-CI299)/CI299*100)</f>
        <v>0</v>
      </c>
      <c r="CL299" s="4611"/>
      <c r="CM299" s="4611"/>
      <c r="CN299" s="292">
        <f>IF(CL299=0,0,(CM299-CL299)/CL299*100)</f>
        <v>0</v>
      </c>
      <c r="CO299" s="4611"/>
      <c r="CP299" s="4611"/>
      <c r="CQ299" s="292">
        <f>IF(CO299=0,0,(CP299-CO299)/CO299*100)</f>
        <v>0</v>
      </c>
      <c r="CR299" s="4611"/>
      <c r="CS299" s="4611"/>
      <c r="CT299" s="292">
        <f>IF(CR299=0,0,(CS299-CR299)/CR299*100)</f>
        <v>0</v>
      </c>
      <c r="CU299" s="4611"/>
      <c r="CV299" s="4611"/>
      <c r="CW299" s="292">
        <f>IF(CU299=0,0,(CV299-CU299)/CU299*100)</f>
        <v>0</v>
      </c>
      <c r="CX299" s="4611"/>
      <c r="CY299" s="4611"/>
      <c r="CZ299" s="292">
        <f>IF(CX299=0,0,(CY299-CX299)/CX299*100)</f>
        <v>0</v>
      </c>
      <c r="DA299" s="4611"/>
      <c r="DB299" s="4611"/>
      <c r="DC299" s="292">
        <f>IF(DA299=0,0,(DB299-DA299)/DA299*100)</f>
        <v>0</v>
      </c>
      <c r="DD299" s="4611"/>
      <c r="DE299" s="4611"/>
      <c r="DF299" s="292">
        <f>IF(DD299=0,0,(DE299-DD299)/DD299*100)</f>
        <v>0</v>
      </c>
      <c r="DG299" s="4611"/>
      <c r="DH299" s="4611"/>
      <c r="DI299" s="292">
        <f>IF(DG299=0,0,(DH299-DG299)/DG299*100)</f>
        <v>0</v>
      </c>
      <c r="DJ299" s="4611"/>
      <c r="DK299" s="4611"/>
      <c r="DL299" s="292">
        <f>IF(DJ299=0,0,(DK299-DJ299)/DJ299*100)</f>
        <v>0</v>
      </c>
      <c r="DM299" s="4611"/>
      <c r="DN299" s="4611"/>
      <c r="DO299" s="292">
        <f>IF(DM299=0,0,(DN299-DM299)/DM299*100)</f>
        <v>0</v>
      </c>
      <c r="DP299" s="4611"/>
      <c r="DQ299" s="4611"/>
      <c r="DR299" s="292">
        <f>IF(DP299=0,0,(DQ299-DP299)/DP299*100)</f>
        <v>0</v>
      </c>
      <c r="DS299" s="4611"/>
      <c r="DT299" s="4611"/>
      <c r="DU299" s="292">
        <f>IF(DS299=0,0,(DT299-DS299)/DS299*100)</f>
        <v>0</v>
      </c>
      <c r="DV299" s="4611"/>
      <c r="DW299" s="4611"/>
      <c r="DX299" s="292">
        <f>IF(DV299=0,0,(DW299-DV299)/DV299*100)</f>
        <v>0</v>
      </c>
      <c r="DY299" s="4611"/>
      <c r="DZ299" s="4611"/>
      <c r="EA299" s="292">
        <f>IF(DY299=0,0,(DZ299-DY299)/DY299*100)</f>
        <v>0</v>
      </c>
      <c r="EB299" s="4611"/>
      <c r="EC299" s="4611"/>
      <c r="ED299" s="292">
        <f>IF(EB299=0,0,(EC299-EB299)/EB299*100)</f>
        <v>0</v>
      </c>
      <c r="EE299" s="4611"/>
      <c r="EF299" s="4611"/>
      <c r="EG299" s="292">
        <f>IF(EE299=0,0,(EF299-EE299)/EE299*100)</f>
        <v>0</v>
      </c>
      <c r="EH299" s="4611"/>
      <c r="EI299" s="4611"/>
      <c r="EJ299" s="292">
        <f>IF(EH299=0,0,(EI299-EH299)/EH299*100)</f>
        <v>0</v>
      </c>
      <c r="EK299" s="4611"/>
      <c r="EL299" s="4611"/>
      <c r="EM299" s="292">
        <f>IF(EK299=0,0,(EL299-EK299)/EK299*100)</f>
        <v>0</v>
      </c>
      <c r="EN299" s="4611"/>
      <c r="EO299" s="4611"/>
      <c r="EP299" s="292">
        <f>IF(EN299=0,0,(EO299-EN299)/EN299*100)</f>
        <v>0</v>
      </c>
      <c r="EQ299" s="4611"/>
      <c r="ER299" s="4611"/>
      <c r="ES299" s="292">
        <f>IF(EQ299=0,0,(ER299-EQ299)/EQ299*100)</f>
        <v>0</v>
      </c>
      <c r="ET299" s="4611"/>
      <c r="EU299" s="4611"/>
      <c r="EV299" s="292">
        <f>IF(ET299=0,0,(EU299-ET299)/ET299*100)</f>
        <v>0</v>
      </c>
      <c r="EW299" s="4611"/>
      <c r="EX299" s="4611"/>
      <c r="EY299" s="292">
        <f>IF(EW299=0,0,(EX299-EW299)/EW299*100)</f>
        <v>0</v>
      </c>
      <c r="EZ299" s="4611"/>
      <c r="FA299" s="4611"/>
      <c r="FB299" s="292">
        <f>IF(EZ299=0,0,(FA299-EZ299)/EZ299*100)</f>
        <v>0</v>
      </c>
      <c r="FC299" s="4611"/>
      <c r="FD299" s="4611"/>
      <c r="FE299" s="292">
        <f>IF(FC299=0,0,(FD299-FC299)/FC299*100)</f>
        <v>0</v>
      </c>
      <c r="FF299" s="4611"/>
      <c r="FG299" s="4611"/>
      <c r="FH299" s="292">
        <f>IF(FF299=0,0,(FG299-FF299)/FF299*100)</f>
        <v>0</v>
      </c>
      <c r="FI299" s="4611"/>
      <c r="FJ299" s="4611"/>
      <c r="FK299" s="292">
        <f>IF(FI299=0,0,(FJ299-FI299)/FI299*100)</f>
        <v>0</v>
      </c>
      <c r="FL299" s="4611"/>
      <c r="FM299" s="4611"/>
      <c r="FN299" s="292">
        <f>IF(FL299=0,0,(FM299-FL299)/FL299*100)</f>
        <v>0</v>
      </c>
      <c r="FO299" s="4611"/>
      <c r="FP299" s="4611"/>
      <c r="FQ299" s="292">
        <f>IF(FO299=0,0,(FP299-FO299)/FO299*100)</f>
        <v>0</v>
      </c>
      <c r="FR299" s="4611"/>
      <c r="FS299" s="4611"/>
      <c r="FT299" s="292">
        <f>IF(FR299=0,0,(FS299-FR299)/FR299*100)</f>
        <v>0</v>
      </c>
      <c r="FU299" s="4611"/>
      <c r="FV299" s="4611"/>
      <c r="FW299" s="292">
        <f>IF(FU299=0,0,(FV299-FU299)/FU299*100)</f>
        <v>0</v>
      </c>
      <c r="FX299" s="288"/>
      <c r="FY299" s="288"/>
      <c r="FZ299" s="1063" t="s">
        <v>1945</v>
      </c>
      <c r="GA299" s="1063"/>
      <c r="GB299" s="1063"/>
      <c r="GC299" s="1064"/>
      <c r="GD299" s="1064"/>
    </row>
    <row s="1656" customFormat="1" customHeight="1" ht="14.25" hidden="1">
      <c r="A300" s="496"/>
      <c r="B300" s="932" cm="1" t="str">
        <f t="array" ref="B300:B300">B299</f>
        <v>false</v>
      </c>
      <c r="C300" s="496"/>
      <c r="D300" s="496"/>
      <c r="E300" s="847">
        <v>15</v>
      </c>
      <c r="F300" s="50" cm="1" t="str">
        <f t="array" ref="F300:F300">OFFSET(E300,-1,1)</f>
        <v>3</v>
      </c>
      <c r="G300" s="496"/>
      <c r="H300" s="496" t="s">
        <v>570</v>
      </c>
      <c r="I300" s="496"/>
      <c r="J300" s="496"/>
      <c r="K300" s="496"/>
      <c r="L300" s="496"/>
      <c r="M300" s="496"/>
      <c r="N300" s="496"/>
      <c r="O300" s="496"/>
      <c r="P300" s="496"/>
      <c r="Q300" s="496"/>
      <c r="R300" s="496"/>
      <c r="S300" s="496"/>
      <c r="T300" s="468" cm="1" t="str">
        <f t="array" ref="T300:T300">T299</f>
        <v>true</v>
      </c>
      <c r="U300" s="496"/>
      <c r="V300" s="496"/>
      <c r="W300" s="496"/>
      <c r="X300" s="1559"/>
      <c r="Y300" s="496"/>
      <c r="Z300" s="1528"/>
      <c r="AA300" s="496"/>
      <c r="AB300" s="1097" t="s">
        <v>1946</v>
      </c>
      <c r="AC300" s="773" t="s">
        <v>561</v>
      </c>
      <c r="AD300" s="1101">
        <f>IF(AD298=0,0,AD299/AD298)*100</f>
        <v>100</v>
      </c>
      <c r="AE300" s="1101">
        <f>IF(AE298=0,0,AE299/AE298)*100</f>
        <v>111.998642800109</v>
      </c>
      <c r="AF300" s="1118"/>
      <c r="AG300" s="1101">
        <f>IF(AG298=0,0,AG299/AG298)*100</f>
        <v>0</v>
      </c>
      <c r="AH300" s="1101">
        <f>IF(AH298=0,0,AH299/AH298)*100</f>
        <v>0</v>
      </c>
      <c r="AI300" s="1118"/>
      <c r="AJ300" s="1101">
        <f>IF(AJ298=0,0,AJ299/AJ298)*100</f>
        <v>0</v>
      </c>
      <c r="AK300" s="1101">
        <f>IF(AK298=0,0,AK299/AK298)*100</f>
        <v>0</v>
      </c>
      <c r="AL300" s="1118"/>
      <c r="AM300" s="1101">
        <f>IF(AM298=0,0,AM299/AM298)*100</f>
        <v>0</v>
      </c>
      <c r="AN300" s="1101">
        <f>IF(AN298=0,0,AN299/AN298)*100</f>
        <v>0</v>
      </c>
      <c r="AO300" s="1118"/>
      <c r="AP300" s="1101">
        <f>IF(AP298=0,0,AP299/AP298)*100</f>
        <v>0</v>
      </c>
      <c r="AQ300" s="1101">
        <f>IF(AQ298=0,0,AQ299/AQ298)*100</f>
        <v>0</v>
      </c>
      <c r="AR300" s="1118"/>
      <c r="AS300" s="1101">
        <f>IF(AS298=0,0,AS299/AS298)*100</f>
        <v>0</v>
      </c>
      <c r="AT300" s="1101">
        <f>IF(AT298=0,0,AT299/AT298)*100</f>
        <v>0</v>
      </c>
      <c r="AU300" s="1118"/>
      <c r="AV300" s="1101">
        <f>IF(AV298=0,0,AV299/AV298)*100</f>
        <v>0</v>
      </c>
      <c r="AW300" s="1101">
        <f>IF(AW298=0,0,AW299/AW298)*100</f>
        <v>0</v>
      </c>
      <c r="AX300" s="1118"/>
      <c r="AY300" s="1101">
        <f>IF(AY298=0,0,AY299/AY298)*100</f>
        <v>0</v>
      </c>
      <c r="AZ300" s="1101">
        <f>IF(AZ298=0,0,AZ299/AZ298)*100</f>
        <v>0</v>
      </c>
      <c r="BA300" s="1118"/>
      <c r="BB300" s="1101">
        <f>IF(BB298=0,0,BB299/BB298)*100</f>
        <v>0</v>
      </c>
      <c r="BC300" s="1101">
        <f>IF(BC298=0,0,BC299/BC298)*100</f>
        <v>0</v>
      </c>
      <c r="BD300" s="1118"/>
      <c r="BE300" s="1101">
        <f>IF(BE298=0,0,BE299/BE298)*100</f>
        <v>0</v>
      </c>
      <c r="BF300" s="1101">
        <f>IF(BF298=0,0,BF299/BF298)*100</f>
        <v>0</v>
      </c>
      <c r="BG300" s="1118"/>
      <c r="BH300" s="1101">
        <f>IF(BH298=0,0,BH299/BH298)*100</f>
        <v>0</v>
      </c>
      <c r="BI300" s="1101">
        <f>IF(BI298=0,0,BI299/BI298)*100</f>
        <v>0</v>
      </c>
      <c r="BJ300" s="1118"/>
      <c r="BK300" s="1101">
        <f>IF(BK298=0,0,BK299/BK298)*100</f>
        <v>0</v>
      </c>
      <c r="BL300" s="1101">
        <f>IF(BL298=0,0,BL299/BL298)*100</f>
        <v>0</v>
      </c>
      <c r="BM300" s="1118"/>
      <c r="BN300" s="1101">
        <f>IF(BN298=0,0,BN299/BN298)*100</f>
        <v>0</v>
      </c>
      <c r="BO300" s="1101">
        <f>IF(BO298=0,0,BO299/BO298)*100</f>
        <v>0</v>
      </c>
      <c r="BP300" s="1118"/>
      <c r="BQ300" s="1101">
        <f>IF(BQ298=0,0,BQ299/BQ298)*100</f>
        <v>0</v>
      </c>
      <c r="BR300" s="1101">
        <f>IF(BR298=0,0,BR299/BR298)*100</f>
        <v>0</v>
      </c>
      <c r="BS300" s="1118"/>
      <c r="BT300" s="1101">
        <f>IF(BT298=0,0,BT299/BT298)*100</f>
        <v>0</v>
      </c>
      <c r="BU300" s="1101">
        <f>IF(BU298=0,0,BU299/BU298)*100</f>
        <v>0</v>
      </c>
      <c r="BV300" s="1118"/>
      <c r="BW300" s="1101">
        <f>IF(BW298=0,0,BW299/BW298)*100</f>
        <v>0</v>
      </c>
      <c r="BX300" s="1101">
        <f>IF(BX298=0,0,BX299/BX298)*100</f>
        <v>0</v>
      </c>
      <c r="BY300" s="1118"/>
      <c r="BZ300" s="1101">
        <f>IF(BZ298=0,0,BZ299/BZ298)*100</f>
        <v>0</v>
      </c>
      <c r="CA300" s="1101">
        <f>IF(CA298=0,0,CA299/CA298)*100</f>
        <v>0</v>
      </c>
      <c r="CB300" s="1118"/>
      <c r="CC300" s="1101">
        <f>IF(CC298=0,0,CC299/CC298)*100</f>
        <v>0</v>
      </c>
      <c r="CD300" s="1101">
        <f>IF(CD298=0,0,CD299/CD298)*100</f>
        <v>0</v>
      </c>
      <c r="CE300" s="1118"/>
      <c r="CF300" s="1101">
        <f>IF(CF298=0,0,CF299/CF298)*100</f>
        <v>0</v>
      </c>
      <c r="CG300" s="1101">
        <f>IF(CG298=0,0,CG299/CG298)*100</f>
        <v>0</v>
      </c>
      <c r="CH300" s="1118"/>
      <c r="CI300" s="1101">
        <f>IF(CI298=0,0,CI299/CI298)*100</f>
        <v>0</v>
      </c>
      <c r="CJ300" s="1101">
        <f>IF(CJ298=0,0,CJ299/CJ298)*100</f>
        <v>0</v>
      </c>
      <c r="CK300" s="1118"/>
      <c r="CL300" s="1101">
        <f>IF(CL298=0,0,CL299/CL298)*100</f>
        <v>0</v>
      </c>
      <c r="CM300" s="1101">
        <f>IF(CM298=0,0,CM299/CM298)*100</f>
        <v>0</v>
      </c>
      <c r="CN300" s="1118"/>
      <c r="CO300" s="1101">
        <f>IF(CO298=0,0,CO299/CO298)*100</f>
        <v>0</v>
      </c>
      <c r="CP300" s="1101">
        <f>IF(CP298=0,0,CP299/CP298)*100</f>
        <v>0</v>
      </c>
      <c r="CQ300" s="1118"/>
      <c r="CR300" s="1101">
        <f>IF(CR298=0,0,CR299/CR298)*100</f>
        <v>0</v>
      </c>
      <c r="CS300" s="1101">
        <f>IF(CS298=0,0,CS299/CS298)*100</f>
        <v>0</v>
      </c>
      <c r="CT300" s="1118"/>
      <c r="CU300" s="1101">
        <f>IF(CU298=0,0,CU299/CU298)*100</f>
        <v>0</v>
      </c>
      <c r="CV300" s="1101">
        <f>IF(CV298=0,0,CV299/CV298)*100</f>
        <v>0</v>
      </c>
      <c r="CW300" s="1118"/>
      <c r="CX300" s="1101">
        <f>IF(CX298=0,0,CX299/CX298)*100</f>
        <v>0</v>
      </c>
      <c r="CY300" s="1101">
        <f>IF(CY298=0,0,CY299/CY298)*100</f>
        <v>0</v>
      </c>
      <c r="CZ300" s="1118"/>
      <c r="DA300" s="1101">
        <f>IF(DA298=0,0,DA299/DA298)*100</f>
        <v>0</v>
      </c>
      <c r="DB300" s="1101">
        <f>IF(DB298=0,0,DB299/DB298)*100</f>
        <v>0</v>
      </c>
      <c r="DC300" s="1118"/>
      <c r="DD300" s="1101">
        <f>IF(DD298=0,0,DD299/DD298)*100</f>
        <v>0</v>
      </c>
      <c r="DE300" s="1101">
        <f>IF(DE298=0,0,DE299/DE298)*100</f>
        <v>0</v>
      </c>
      <c r="DF300" s="1118"/>
      <c r="DG300" s="1101">
        <f>IF(DG298=0,0,DG299/DG298)*100</f>
        <v>0</v>
      </c>
      <c r="DH300" s="1101">
        <f>IF(DH298=0,0,DH299/DH298)*100</f>
        <v>0</v>
      </c>
      <c r="DI300" s="1118"/>
      <c r="DJ300" s="1101">
        <f>IF(DJ298=0,0,DJ299/DJ298)*100</f>
        <v>0</v>
      </c>
      <c r="DK300" s="1101">
        <f>IF(DK298=0,0,DK299/DK298)*100</f>
        <v>0</v>
      </c>
      <c r="DL300" s="1118"/>
      <c r="DM300" s="1101">
        <f>IF(DM298=0,0,DM299/DM298)*100</f>
        <v>0</v>
      </c>
      <c r="DN300" s="1101">
        <f>IF(DN298=0,0,DN299/DN298)*100</f>
        <v>0</v>
      </c>
      <c r="DO300" s="1118"/>
      <c r="DP300" s="1101">
        <f>IF(DP298=0,0,DP299/DP298)*100</f>
        <v>0</v>
      </c>
      <c r="DQ300" s="1101">
        <f>IF(DQ298=0,0,DQ299/DQ298)*100</f>
        <v>0</v>
      </c>
      <c r="DR300" s="1118"/>
      <c r="DS300" s="1101">
        <f>IF(DS298=0,0,DS299/DS298)*100</f>
        <v>0</v>
      </c>
      <c r="DT300" s="1101">
        <f>IF(DT298=0,0,DT299/DT298)*100</f>
        <v>0</v>
      </c>
      <c r="DU300" s="1118"/>
      <c r="DV300" s="1101">
        <f>IF(DV298=0,0,DV299/DV298)*100</f>
        <v>0</v>
      </c>
      <c r="DW300" s="1101">
        <f>IF(DW298=0,0,DW299/DW298)*100</f>
        <v>0</v>
      </c>
      <c r="DX300" s="1118"/>
      <c r="DY300" s="1101">
        <f>IF(DY298=0,0,DY299/DY298)*100</f>
        <v>0</v>
      </c>
      <c r="DZ300" s="1101">
        <f>IF(DZ298=0,0,DZ299/DZ298)*100</f>
        <v>0</v>
      </c>
      <c r="EA300" s="1118"/>
      <c r="EB300" s="1101">
        <f>IF(EB298=0,0,EB299/EB298)*100</f>
        <v>0</v>
      </c>
      <c r="EC300" s="1101">
        <f>IF(EC298=0,0,EC299/EC298)*100</f>
        <v>0</v>
      </c>
      <c r="ED300" s="1118"/>
      <c r="EE300" s="1101">
        <f>IF(EE298=0,0,EE299/EE298)*100</f>
        <v>0</v>
      </c>
      <c r="EF300" s="1101">
        <f>IF(EF298=0,0,EF299/EF298)*100</f>
        <v>0</v>
      </c>
      <c r="EG300" s="1118"/>
      <c r="EH300" s="1101">
        <f>IF(EH298=0,0,EH299/EH298)*100</f>
        <v>0</v>
      </c>
      <c r="EI300" s="1101">
        <f>IF(EI298=0,0,EI299/EI298)*100</f>
        <v>0</v>
      </c>
      <c r="EJ300" s="1118"/>
      <c r="EK300" s="1101">
        <f>IF(EK298=0,0,EK299/EK298)*100</f>
        <v>0</v>
      </c>
      <c r="EL300" s="1101">
        <f>IF(EL298=0,0,EL299/EL298)*100</f>
        <v>0</v>
      </c>
      <c r="EM300" s="1118"/>
      <c r="EN300" s="1101">
        <f>IF(EN298=0,0,EN299/EN298)*100</f>
        <v>0</v>
      </c>
      <c r="EO300" s="1101">
        <f>IF(EO298=0,0,EO299/EO298)*100</f>
        <v>0</v>
      </c>
      <c r="EP300" s="1118"/>
      <c r="EQ300" s="1101">
        <f>IF(EQ298=0,0,EQ299/EQ298)*100</f>
        <v>0</v>
      </c>
      <c r="ER300" s="1101">
        <f>IF(ER298=0,0,ER299/ER298)*100</f>
        <v>0</v>
      </c>
      <c r="ES300" s="1118"/>
      <c r="ET300" s="1101">
        <f>IF(ET298=0,0,ET299/ET298)*100</f>
        <v>0</v>
      </c>
      <c r="EU300" s="1101">
        <f>IF(EU298=0,0,EU299/EU298)*100</f>
        <v>0</v>
      </c>
      <c r="EV300" s="1118"/>
      <c r="EW300" s="1101">
        <f>IF(EW298=0,0,EW299/EW298)*100</f>
        <v>0</v>
      </c>
      <c r="EX300" s="1101">
        <f>IF(EX298=0,0,EX299/EX298)*100</f>
        <v>0</v>
      </c>
      <c r="EY300" s="1118"/>
      <c r="EZ300" s="1101">
        <f>IF(EZ298=0,0,EZ299/EZ298)*100</f>
        <v>0</v>
      </c>
      <c r="FA300" s="1101">
        <f>IF(FA298=0,0,FA299/FA298)*100</f>
        <v>0</v>
      </c>
      <c r="FB300" s="1118"/>
      <c r="FC300" s="1101">
        <f>IF(FC298=0,0,FC299/FC298)*100</f>
        <v>0</v>
      </c>
      <c r="FD300" s="1101">
        <f>IF(FD298=0,0,FD299/FD298)*100</f>
        <v>0</v>
      </c>
      <c r="FE300" s="1118"/>
      <c r="FF300" s="1101">
        <f>IF(FF298=0,0,FF299/FF298)*100</f>
        <v>0</v>
      </c>
      <c r="FG300" s="1101">
        <f>IF(FG298=0,0,FG299/FG298)*100</f>
        <v>0</v>
      </c>
      <c r="FH300" s="1118"/>
      <c r="FI300" s="1101">
        <f>IF(FI298=0,0,FI299/FI298)*100</f>
        <v>0</v>
      </c>
      <c r="FJ300" s="1101">
        <f>IF(FJ298=0,0,FJ299/FJ298)*100</f>
        <v>0</v>
      </c>
      <c r="FK300" s="1118"/>
      <c r="FL300" s="1101">
        <f>IF(FL298=0,0,FL299/FL298)*100</f>
        <v>0</v>
      </c>
      <c r="FM300" s="1101">
        <f>IF(FM298=0,0,FM299/FM298)*100</f>
        <v>0</v>
      </c>
      <c r="FN300" s="1118"/>
      <c r="FO300" s="1101">
        <f>IF(FO298=0,0,FO299/FO298)*100</f>
        <v>0</v>
      </c>
      <c r="FP300" s="1101">
        <f>IF(FP298=0,0,FP299/FP298)*100</f>
        <v>0</v>
      </c>
      <c r="FQ300" s="1118"/>
      <c r="FR300" s="1101">
        <f>IF(FR298=0,0,FR299/FR298)*100</f>
        <v>0</v>
      </c>
      <c r="FS300" s="1101">
        <f>IF(FS298=0,0,FS299/FS298)*100</f>
        <v>0</v>
      </c>
      <c r="FT300" s="1118"/>
      <c r="FU300" s="1101">
        <f>IF(FU298=0,0,FU299/FU298)*100</f>
        <v>0</v>
      </c>
      <c r="FV300" s="1101">
        <f>IF(FV298=0,0,FV299/FV298)*100</f>
        <v>0</v>
      </c>
      <c r="FW300" s="1119"/>
      <c r="FX300" s="288"/>
      <c r="FY300" s="1328"/>
      <c r="FZ300" s="1063" t="s">
        <v>1947</v>
      </c>
      <c r="GA300" s="1330"/>
      <c r="GB300" s="1330"/>
      <c r="GC300" s="1329"/>
      <c r="GD300" s="1329"/>
    </row>
    <row s="1656" customFormat="1" customHeight="1" ht="14.25" hidden="1">
      <c r="A301" s="496"/>
      <c r="B301" s="932" cm="1" t="str">
        <f t="array" ref="B301:B301">B300</f>
        <v>false</v>
      </c>
      <c r="C301" s="496"/>
      <c r="D301" s="496"/>
      <c r="E301" s="847">
        <v>15</v>
      </c>
      <c r="F301" s="50" cm="1" t="str">
        <f t="array" ref="F301:F301">OFFSET(E301,-1,1)</f>
        <v>3</v>
      </c>
      <c r="G301" s="103" t="s">
        <v>1871</v>
      </c>
      <c r="H301" s="496"/>
      <c r="I301" s="496"/>
      <c r="J301" s="496"/>
      <c r="K301" s="496"/>
      <c r="L301" s="496"/>
      <c r="M301" s="496"/>
      <c r="N301" s="496"/>
      <c r="O301" s="496"/>
      <c r="P301" s="496"/>
      <c r="Q301" s="496"/>
      <c r="R301" s="496"/>
      <c r="S301" s="496"/>
      <c r="T301" s="468" cm="1" t="str">
        <f t="array" ref="T301:T301">T300</f>
        <v>true</v>
      </c>
      <c r="U301" s="496"/>
      <c r="V301" s="496"/>
      <c r="W301" s="496"/>
      <c r="X301" s="1559"/>
      <c r="Y301" s="496"/>
      <c r="Z301" s="1528"/>
      <c r="AA301" s="496"/>
      <c r="AB301" s="907" t="s">
        <v>1872</v>
      </c>
      <c r="AC301" s="871" t="s">
        <v>657</v>
      </c>
      <c r="AD301" s="4585">
        <f>IF(AND(method_reg="Метод индексации",god&lt;&gt;first_year),_xlfn.SUMIFS(INDEX('Калькуляция (МИ корр)'!$AJ$25:$BC$606,,MATCH(AD$8,'Калькуляция (МИ корр)'!$AJ$8:$BC$8,0)),'Калькуляция (МИ корр)'!$F$25:$F$606,$F301,'Калькуляция (МИ корр)'!$G$25:$G$606,$G301),IF(method_reg="Метод экономически обоснованных расходов",_xlfn.SUMIFS('Калькуляция (МЭОР)'!$AJ$25:$AJ$367,'Калькуляция (МЭОР)'!$F$25:$F$367,$F301,'Калькуляция (МЭОР)'!$G$25:$G$367,$G301),IF(method_reg="Метод сравнения аналогов",_xlfn.SUMIFS('Калькуляция (МСА)'!$AE$25:$AE$103,'Калькуляция (МСА)'!$F$25:$F$103,$F301,'Калькуляция (МСА)'!$G$25:$G$103,$G301),_xlfn.SUMIFS(INDEX('Калькуляция (МИ)'!$AJ$25:$BC$603,,MATCH(AD$8,'Калькуляция (МИ)'!$AJ$8:$BC$8,0)),'Калькуляция (МИ)'!$F$25:$F$603,$F301,'Калькуляция (МИ)'!$G$25:$G$603,$G301))))</f>
        <v>1458.9532</v>
      </c>
      <c r="AE301" s="4585">
        <f>IF(AND(method_reg="Метод индексации",god&lt;&gt;first_year),_xlfn.SUMIFS(INDEX('Калькуляция (МИ корр)'!$AJ$25:$BC$606,,MATCH(AE$8,'Калькуляция (МИ корр)'!$AJ$8:$BC$8,0)),'Калькуляция (МИ корр)'!$F$25:$F$606,$F301,'Калькуляция (МИ корр)'!$G$25:$G$606,$G301),IF(method_reg="Метод экономически обоснованных расходов",_xlfn.SUMIFS('Калькуляция (МЭОР)'!$AK$25:$AK$367,'Калькуляция (МЭОР)'!$F$25:$F$367,$F301,'Калькуляция (МЭОР)'!$G$25:$G$367,$G301),IF(method_reg="Метод сравнения аналогов",_xlfn.SUMIFS('Калькуляция (МСА)'!$AF$25:$AF$103,'Калькуляция (МСА)'!$F$25:$F$103,$F301,'Калькуляция (МСА)'!$G$25:$G$103,$G301),_xlfn.SUMIFS(INDEX('Калькуляция (МИ)'!$AJ$25:$BC$603,,MATCH(AE$8,'Калькуляция (МИ)'!$AJ$8:$BC$8,0)),'Калькуляция (МИ)'!$F$25:$F$603,$F301,'Калькуляция (МИ)'!$G$25:$G$603,$G301))))</f>
        <v>1387.33054</v>
      </c>
      <c r="AF301" s="1104">
        <f>IF(AD301=0,0,(AE301-AD301)/AD301*100)</f>
        <v>-4.90918145969315</v>
      </c>
      <c r="AG301" s="4585">
        <f>IF(AND(method_reg="Метод индексации",god&lt;&gt;first_year),_xlfn.SUMIFS(INDEX('Калькуляция (МИ корр)'!$AJ$25:$BC$606,,MATCH(AG$8,'Калькуляция (МИ корр)'!$AJ$8:$BC$8,0)),'Калькуляция (МИ корр)'!$F$25:$F$606,$F301,'Калькуляция (МИ корр)'!$G$25:$G$606,$G301),IF(method_reg="Метод экономически обоснованных расходов",_xlfn.SUMIFS('Калькуляция (МЭОР)'!$AJ$25:$AJ$367,'Калькуляция (МЭОР)'!$F$25:$F$367,$F301,'Калькуляция (МЭОР)'!$G$25:$G$367,$G301),IF(method_reg="Метод сравнения аналогов",_xlfn.SUMIFS('Калькуляция (МСА)'!$AE$25:$AE$103,'Калькуляция (МСА)'!$F$25:$F$103,$F301,'Калькуляция (МСА)'!$G$25:$G$103,$G301),_xlfn.SUMIFS(INDEX('Калькуляция (МИ)'!$AJ$25:$BC$603,,MATCH(AG$8,'Калькуляция (МИ)'!$AJ$8:$BC$8,0)),'Калькуляция (МИ)'!$F$25:$F$603,$F301,'Калькуляция (МИ)'!$G$25:$G$603,$G301))))</f>
        <v>0</v>
      </c>
      <c r="AH301" s="4585">
        <f>IF(AND(method_reg="Метод индексации",god&lt;&gt;first_year),_xlfn.SUMIFS(INDEX('Калькуляция (МИ корр)'!$AJ$25:$BC$606,,MATCH(AH$8,'Калькуляция (МИ корр)'!$AJ$8:$BC$8,0)),'Калькуляция (МИ корр)'!$F$25:$F$606,$F301,'Калькуляция (МИ корр)'!$G$25:$G$606,$G301),IF(method_reg="Метод экономически обоснованных расходов",_xlfn.SUMIFS('Калькуляция (МЭОР)'!$AK$25:$AK$367,'Калькуляция (МЭОР)'!$F$25:$F$367,$F301,'Калькуляция (МЭОР)'!$G$25:$G$367,$G301),IF(method_reg="Метод сравнения аналогов",_xlfn.SUMIFS('Калькуляция (МСА)'!$AF$25:$AF$103,'Калькуляция (МСА)'!$F$25:$F$103,$F301,'Калькуляция (МСА)'!$G$25:$G$103,$G301),_xlfn.SUMIFS(INDEX('Калькуляция (МИ)'!$AJ$25:$BC$603,,MATCH(AH$8,'Калькуляция (МИ)'!$AJ$8:$BC$8,0)),'Калькуляция (МИ)'!$F$25:$F$603,$F301,'Калькуляция (МИ)'!$G$25:$G$603,$G301))))</f>
        <v>0</v>
      </c>
      <c r="AI301" s="1104">
        <f>IF(AG301=0,0,(AH301-AG301)/AG301*100)</f>
        <v>0</v>
      </c>
      <c r="AJ301" s="4585">
        <f>IF(AND(method_reg="Метод индексации",god&lt;&gt;first_year),_xlfn.SUMIFS(INDEX('Калькуляция (МИ корр)'!$AJ$25:$BC$606,,MATCH(AJ$8,'Калькуляция (МИ корр)'!$AJ$8:$BC$8,0)),'Калькуляция (МИ корр)'!$F$25:$F$606,$F301,'Калькуляция (МИ корр)'!$G$25:$G$606,$G301),IF(method_reg="Метод экономически обоснованных расходов",_xlfn.SUMIFS('Калькуляция (МЭОР)'!$AJ$25:$AJ$367,'Калькуляция (МЭОР)'!$F$25:$F$367,$F301,'Калькуляция (МЭОР)'!$G$25:$G$367,$G301),IF(method_reg="Метод сравнения аналогов",_xlfn.SUMIFS('Калькуляция (МСА)'!$AE$25:$AE$103,'Калькуляция (МСА)'!$F$25:$F$103,$F301,'Калькуляция (МСА)'!$G$25:$G$103,$G301),_xlfn.SUMIFS(INDEX('Калькуляция (МИ)'!$AJ$25:$BC$603,,MATCH(AJ$8,'Калькуляция (МИ)'!$AJ$8:$BC$8,0)),'Калькуляция (МИ)'!$F$25:$F$603,$F301,'Калькуляция (МИ)'!$G$25:$G$603,$G301))))</f>
        <v>0</v>
      </c>
      <c r="AK301" s="4585">
        <f>IF(AND(method_reg="Метод индексации",god&lt;&gt;first_year),_xlfn.SUMIFS(INDEX('Калькуляция (МИ корр)'!$AJ$25:$BC$606,,MATCH(AK$8,'Калькуляция (МИ корр)'!$AJ$8:$BC$8,0)),'Калькуляция (МИ корр)'!$F$25:$F$606,$F301,'Калькуляция (МИ корр)'!$G$25:$G$606,$G301),IF(method_reg="Метод экономически обоснованных расходов",_xlfn.SUMIFS('Калькуляция (МЭОР)'!$AK$25:$AK$367,'Калькуляция (МЭОР)'!$F$25:$F$367,$F301,'Калькуляция (МЭОР)'!$G$25:$G$367,$G301),IF(method_reg="Метод сравнения аналогов",_xlfn.SUMIFS('Калькуляция (МСА)'!$AF$25:$AF$103,'Калькуляция (МСА)'!$F$25:$F$103,$F301,'Калькуляция (МСА)'!$G$25:$G$103,$G301),_xlfn.SUMIFS(INDEX('Калькуляция (МИ)'!$AJ$25:$BC$603,,MATCH(AK$8,'Калькуляция (МИ)'!$AJ$8:$BC$8,0)),'Калькуляция (МИ)'!$F$25:$F$603,$F301,'Калькуляция (МИ)'!$G$25:$G$603,$G301))))</f>
        <v>0</v>
      </c>
      <c r="AL301" s="1104">
        <f>IF(AJ301=0,0,(AK301-AJ301)/AJ301*100)</f>
        <v>0</v>
      </c>
      <c r="AM301" s="4585">
        <f>IF(AND(method_reg="Метод индексации",god&lt;&gt;first_year),_xlfn.SUMIFS(INDEX('Калькуляция (МИ корр)'!$AJ$25:$BC$606,,MATCH(AM$8,'Калькуляция (МИ корр)'!$AJ$8:$BC$8,0)),'Калькуляция (МИ корр)'!$F$25:$F$606,$F301,'Калькуляция (МИ корр)'!$G$25:$G$606,$G301),IF(method_reg="Метод экономически обоснованных расходов",_xlfn.SUMIFS('Калькуляция (МЭОР)'!$AJ$25:$AJ$367,'Калькуляция (МЭОР)'!$F$25:$F$367,$F301,'Калькуляция (МЭОР)'!$G$25:$G$367,$G301),IF(method_reg="Метод сравнения аналогов",_xlfn.SUMIFS('Калькуляция (МСА)'!$AE$25:$AE$103,'Калькуляция (МСА)'!$F$25:$F$103,$F301,'Калькуляция (МСА)'!$G$25:$G$103,$G301),_xlfn.SUMIFS(INDEX('Калькуляция (МИ)'!$AJ$25:$BC$603,,MATCH(AM$8,'Калькуляция (МИ)'!$AJ$8:$BC$8,0)),'Калькуляция (МИ)'!$F$25:$F$603,$F301,'Калькуляция (МИ)'!$G$25:$G$603,$G301))))</f>
        <v>0</v>
      </c>
      <c r="AN301" s="4585">
        <f>IF(AND(method_reg="Метод индексации",god&lt;&gt;first_year),_xlfn.SUMIFS(INDEX('Калькуляция (МИ корр)'!$AJ$25:$BC$606,,MATCH(AN$8,'Калькуляция (МИ корр)'!$AJ$8:$BC$8,0)),'Калькуляция (МИ корр)'!$F$25:$F$606,$F301,'Калькуляция (МИ корр)'!$G$25:$G$606,$G301),IF(method_reg="Метод экономически обоснованных расходов",_xlfn.SUMIFS('Калькуляция (МЭОР)'!$AK$25:$AK$367,'Калькуляция (МЭОР)'!$F$25:$F$367,$F301,'Калькуляция (МЭОР)'!$G$25:$G$367,$G301),IF(method_reg="Метод сравнения аналогов",_xlfn.SUMIFS('Калькуляция (МСА)'!$AF$25:$AF$103,'Калькуляция (МСА)'!$F$25:$F$103,$F301,'Калькуляция (МСА)'!$G$25:$G$103,$G301),_xlfn.SUMIFS(INDEX('Калькуляция (МИ)'!$AJ$25:$BC$603,,MATCH(AN$8,'Калькуляция (МИ)'!$AJ$8:$BC$8,0)),'Калькуляция (МИ)'!$F$25:$F$603,$F301,'Калькуляция (МИ)'!$G$25:$G$603,$G301))))</f>
        <v>0</v>
      </c>
      <c r="AO301" s="1104">
        <f>IF(AM301=0,0,(AN301-AM301)/AM301*100)</f>
        <v>0</v>
      </c>
      <c r="AP301" s="4585">
        <f>IF(AND(method_reg="Метод индексации",god&lt;&gt;first_year),_xlfn.SUMIFS(INDEX('Калькуляция (МИ корр)'!$AJ$25:$BC$606,,MATCH(AP$8,'Калькуляция (МИ корр)'!$AJ$8:$BC$8,0)),'Калькуляция (МИ корр)'!$F$25:$F$606,$F301,'Калькуляция (МИ корр)'!$G$25:$G$606,$G301),IF(method_reg="Метод экономически обоснованных расходов",_xlfn.SUMIFS('Калькуляция (МЭОР)'!$AJ$25:$AJ$367,'Калькуляция (МЭОР)'!$F$25:$F$367,$F301,'Калькуляция (МЭОР)'!$G$25:$G$367,$G301),IF(method_reg="Метод сравнения аналогов",_xlfn.SUMIFS('Калькуляция (МСА)'!$AE$25:$AE$103,'Калькуляция (МСА)'!$F$25:$F$103,$F301,'Калькуляция (МСА)'!$G$25:$G$103,$G301),_xlfn.SUMIFS(INDEX('Калькуляция (МИ)'!$AJ$25:$BC$603,,MATCH(AP$8,'Калькуляция (МИ)'!$AJ$8:$BC$8,0)),'Калькуляция (МИ)'!$F$25:$F$603,$F301,'Калькуляция (МИ)'!$G$25:$G$603,$G301))))</f>
        <v>0</v>
      </c>
      <c r="AQ301" s="4585">
        <f>IF(AND(method_reg="Метод индексации",god&lt;&gt;first_year),_xlfn.SUMIFS(INDEX('Калькуляция (МИ корр)'!$AJ$25:$BC$606,,MATCH(AQ$8,'Калькуляция (МИ корр)'!$AJ$8:$BC$8,0)),'Калькуляция (МИ корр)'!$F$25:$F$606,$F301,'Калькуляция (МИ корр)'!$G$25:$G$606,$G301),IF(method_reg="Метод экономически обоснованных расходов",_xlfn.SUMIFS('Калькуляция (МЭОР)'!$AK$25:$AK$367,'Калькуляция (МЭОР)'!$F$25:$F$367,$F301,'Калькуляция (МЭОР)'!$G$25:$G$367,$G301),IF(method_reg="Метод сравнения аналогов",_xlfn.SUMIFS('Калькуляция (МСА)'!$AF$25:$AF$103,'Калькуляция (МСА)'!$F$25:$F$103,$F301,'Калькуляция (МСА)'!$G$25:$G$103,$G301),_xlfn.SUMIFS(INDEX('Калькуляция (МИ)'!$AJ$25:$BC$603,,MATCH(AQ$8,'Калькуляция (МИ)'!$AJ$8:$BC$8,0)),'Калькуляция (МИ)'!$F$25:$F$603,$F301,'Калькуляция (МИ)'!$G$25:$G$603,$G301))))</f>
        <v>0</v>
      </c>
      <c r="AR301" s="1104">
        <f>IF(AP301=0,0,(AQ301-AP301)/AP301*100)</f>
        <v>0</v>
      </c>
      <c r="AS301" s="4585">
        <f>IF(AND(method_reg="Метод индексации",god&lt;&gt;first_year),_xlfn.SUMIFS(INDEX('Калькуляция (МИ корр)'!$AJ$25:$BC$606,,MATCH(AS$8,'Калькуляция (МИ корр)'!$AJ$8:$BC$8,0)),'Калькуляция (МИ корр)'!$F$25:$F$606,$F301,'Калькуляция (МИ корр)'!$G$25:$G$606,$G301),IF(method_reg="Метод экономически обоснованных расходов",_xlfn.SUMIFS('Калькуляция (МЭОР)'!$AJ$25:$AJ$367,'Калькуляция (МЭОР)'!$F$25:$F$367,$F301,'Калькуляция (МЭОР)'!$G$25:$G$367,$G301),IF(method_reg="Метод сравнения аналогов",_xlfn.SUMIFS('Калькуляция (МСА)'!$AE$25:$AE$103,'Калькуляция (МСА)'!$F$25:$F$103,$F301,'Калькуляция (МСА)'!$G$25:$G$103,$G301),_xlfn.SUMIFS(INDEX('Калькуляция (МИ)'!$AJ$25:$BC$603,,MATCH(AS$8,'Калькуляция (МИ)'!$AJ$8:$BC$8,0)),'Калькуляция (МИ)'!$F$25:$F$603,$F301,'Калькуляция (МИ)'!$G$25:$G$603,$G301))))</f>
        <v>0</v>
      </c>
      <c r="AT301" s="4585">
        <f>IF(AND(method_reg="Метод индексации",god&lt;&gt;first_year),_xlfn.SUMIFS(INDEX('Калькуляция (МИ корр)'!$AJ$25:$BC$606,,MATCH(AT$8,'Калькуляция (МИ корр)'!$AJ$8:$BC$8,0)),'Калькуляция (МИ корр)'!$F$25:$F$606,$F301,'Калькуляция (МИ корр)'!$G$25:$G$606,$G301),IF(method_reg="Метод экономически обоснованных расходов",_xlfn.SUMIFS('Калькуляция (МЭОР)'!$AK$25:$AK$367,'Калькуляция (МЭОР)'!$F$25:$F$367,$F301,'Калькуляция (МЭОР)'!$G$25:$G$367,$G301),IF(method_reg="Метод сравнения аналогов",_xlfn.SUMIFS('Калькуляция (МСА)'!$AF$25:$AF$103,'Калькуляция (МСА)'!$F$25:$F$103,$F301,'Калькуляция (МСА)'!$G$25:$G$103,$G301),_xlfn.SUMIFS(INDEX('Калькуляция (МИ)'!$AJ$25:$BC$603,,MATCH(AT$8,'Калькуляция (МИ)'!$AJ$8:$BC$8,0)),'Калькуляция (МИ)'!$F$25:$F$603,$F301,'Калькуляция (МИ)'!$G$25:$G$603,$G301))))</f>
        <v>0</v>
      </c>
      <c r="AU301" s="1104">
        <f>IF(AS301=0,0,(AT301-AS301)/AS301*100)</f>
        <v>0</v>
      </c>
      <c r="AV301" s="4585">
        <f>IF(AND(method_reg="Метод индексации",god&lt;&gt;first_year),_xlfn.SUMIFS(INDEX('Калькуляция (МИ корр)'!$AJ$25:$BC$606,,MATCH(AV$8,'Калькуляция (МИ корр)'!$AJ$8:$BC$8,0)),'Калькуляция (МИ корр)'!$F$25:$F$606,$F301,'Калькуляция (МИ корр)'!$G$25:$G$606,$G301),IF(method_reg="Метод экономически обоснованных расходов",_xlfn.SUMIFS('Калькуляция (МЭОР)'!$AJ$25:$AJ$367,'Калькуляция (МЭОР)'!$F$25:$F$367,$F301,'Калькуляция (МЭОР)'!$G$25:$G$367,$G301),IF(method_reg="Метод сравнения аналогов",_xlfn.SUMIFS('Калькуляция (МСА)'!$AE$25:$AE$103,'Калькуляция (МСА)'!$F$25:$F$103,$F301,'Калькуляция (МСА)'!$G$25:$G$103,$G301),_xlfn.SUMIFS(INDEX('Калькуляция (МИ)'!$AJ$25:$BC$603,,MATCH(AV$8,'Калькуляция (МИ)'!$AJ$8:$BC$8,0)),'Калькуляция (МИ)'!$F$25:$F$603,$F301,'Калькуляция (МИ)'!$G$25:$G$603,$G301))))</f>
        <v>0</v>
      </c>
      <c r="AW301" s="4585">
        <f>IF(AND(method_reg="Метод индексации",god&lt;&gt;first_year),_xlfn.SUMIFS(INDEX('Калькуляция (МИ корр)'!$AJ$25:$BC$606,,MATCH(AW$8,'Калькуляция (МИ корр)'!$AJ$8:$BC$8,0)),'Калькуляция (МИ корр)'!$F$25:$F$606,$F301,'Калькуляция (МИ корр)'!$G$25:$G$606,$G301),IF(method_reg="Метод экономически обоснованных расходов",_xlfn.SUMIFS('Калькуляция (МЭОР)'!$AK$25:$AK$367,'Калькуляция (МЭОР)'!$F$25:$F$367,$F301,'Калькуляция (МЭОР)'!$G$25:$G$367,$G301),IF(method_reg="Метод сравнения аналогов",_xlfn.SUMIFS('Калькуляция (МСА)'!$AF$25:$AF$103,'Калькуляция (МСА)'!$F$25:$F$103,$F301,'Калькуляция (МСА)'!$G$25:$G$103,$G301),_xlfn.SUMIFS(INDEX('Калькуляция (МИ)'!$AJ$25:$BC$603,,MATCH(AW$8,'Калькуляция (МИ)'!$AJ$8:$BC$8,0)),'Калькуляция (МИ)'!$F$25:$F$603,$F301,'Калькуляция (МИ)'!$G$25:$G$603,$G301))))</f>
        <v>0</v>
      </c>
      <c r="AX301" s="1104">
        <f>IF(AV301=0,0,(AW301-AV301)/AV301*100)</f>
        <v>0</v>
      </c>
      <c r="AY301" s="4585">
        <f>IF(AND(method_reg="Метод индексации",god&lt;&gt;first_year),_xlfn.SUMIFS(INDEX('Калькуляция (МИ корр)'!$AJ$25:$BC$606,,MATCH(AY$8,'Калькуляция (МИ корр)'!$AJ$8:$BC$8,0)),'Калькуляция (МИ корр)'!$F$25:$F$606,$F301,'Калькуляция (МИ корр)'!$G$25:$G$606,$G301),IF(method_reg="Метод экономически обоснованных расходов",_xlfn.SUMIFS('Калькуляция (МЭОР)'!$AJ$25:$AJ$367,'Калькуляция (МЭОР)'!$F$25:$F$367,$F301,'Калькуляция (МЭОР)'!$G$25:$G$367,$G301),IF(method_reg="Метод сравнения аналогов",_xlfn.SUMIFS('Калькуляция (МСА)'!$AE$25:$AE$103,'Калькуляция (МСА)'!$F$25:$F$103,$F301,'Калькуляция (МСА)'!$G$25:$G$103,$G301),_xlfn.SUMIFS(INDEX('Калькуляция (МИ)'!$AJ$25:$BC$603,,MATCH(AY$8,'Калькуляция (МИ)'!$AJ$8:$BC$8,0)),'Калькуляция (МИ)'!$F$25:$F$603,$F301,'Калькуляция (МИ)'!$G$25:$G$603,$G301))))</f>
        <v>0</v>
      </c>
      <c r="AZ301" s="4585">
        <f>IF(AND(method_reg="Метод индексации",god&lt;&gt;first_year),_xlfn.SUMIFS(INDEX('Калькуляция (МИ корр)'!$AJ$25:$BC$606,,MATCH(AZ$8,'Калькуляция (МИ корр)'!$AJ$8:$BC$8,0)),'Калькуляция (МИ корр)'!$F$25:$F$606,$F301,'Калькуляция (МИ корр)'!$G$25:$G$606,$G301),IF(method_reg="Метод экономически обоснованных расходов",_xlfn.SUMIFS('Калькуляция (МЭОР)'!$AK$25:$AK$367,'Калькуляция (МЭОР)'!$F$25:$F$367,$F301,'Калькуляция (МЭОР)'!$G$25:$G$367,$G301),IF(method_reg="Метод сравнения аналогов",_xlfn.SUMIFS('Калькуляция (МСА)'!$AF$25:$AF$103,'Калькуляция (МСА)'!$F$25:$F$103,$F301,'Калькуляция (МСА)'!$G$25:$G$103,$G301),_xlfn.SUMIFS(INDEX('Калькуляция (МИ)'!$AJ$25:$BC$603,,MATCH(AZ$8,'Калькуляция (МИ)'!$AJ$8:$BC$8,0)),'Калькуляция (МИ)'!$F$25:$F$603,$F301,'Калькуляция (МИ)'!$G$25:$G$603,$G301))))</f>
        <v>0</v>
      </c>
      <c r="BA301" s="1104">
        <f>IF(AY301=0,0,(AZ301-AY301)/AY301*100)</f>
        <v>0</v>
      </c>
      <c r="BB301" s="4585">
        <f>IF(AND(method_reg="Метод индексации",god&lt;&gt;first_year),_xlfn.SUMIFS(INDEX('Калькуляция (МИ корр)'!$AJ$25:$BC$606,,MATCH(BB$8,'Калькуляция (МИ корр)'!$AJ$8:$BC$8,0)),'Калькуляция (МИ корр)'!$F$25:$F$606,$F301,'Калькуляция (МИ корр)'!$G$25:$G$606,$G301),IF(method_reg="Метод экономически обоснованных расходов",_xlfn.SUMIFS('Калькуляция (МЭОР)'!$AJ$25:$AJ$367,'Калькуляция (МЭОР)'!$F$25:$F$367,$F301,'Калькуляция (МЭОР)'!$G$25:$G$367,$G301),IF(method_reg="Метод сравнения аналогов",_xlfn.SUMIFS('Калькуляция (МСА)'!$AE$25:$AE$103,'Калькуляция (МСА)'!$F$25:$F$103,$F301,'Калькуляция (МСА)'!$G$25:$G$103,$G301),_xlfn.SUMIFS(INDEX('Калькуляция (МИ)'!$AJ$25:$BC$603,,MATCH(BB$8,'Калькуляция (МИ)'!$AJ$8:$BC$8,0)),'Калькуляция (МИ)'!$F$25:$F$603,$F301,'Калькуляция (МИ)'!$G$25:$G$603,$G301))))</f>
        <v>0</v>
      </c>
      <c r="BC301" s="4585">
        <f>IF(AND(method_reg="Метод индексации",god&lt;&gt;first_year),_xlfn.SUMIFS(INDEX('Калькуляция (МИ корр)'!$AJ$25:$BC$606,,MATCH(BC$8,'Калькуляция (МИ корр)'!$AJ$8:$BC$8,0)),'Калькуляция (МИ корр)'!$F$25:$F$606,$F301,'Калькуляция (МИ корр)'!$G$25:$G$606,$G301),IF(method_reg="Метод экономически обоснованных расходов",_xlfn.SUMIFS('Калькуляция (МЭОР)'!$AK$25:$AK$367,'Калькуляция (МЭОР)'!$F$25:$F$367,$F301,'Калькуляция (МЭОР)'!$G$25:$G$367,$G301),IF(method_reg="Метод сравнения аналогов",_xlfn.SUMIFS('Калькуляция (МСА)'!$AF$25:$AF$103,'Калькуляция (МСА)'!$F$25:$F$103,$F301,'Калькуляция (МСА)'!$G$25:$G$103,$G301),_xlfn.SUMIFS(INDEX('Калькуляция (МИ)'!$AJ$25:$BC$603,,MATCH(BC$8,'Калькуляция (МИ)'!$AJ$8:$BC$8,0)),'Калькуляция (МИ)'!$F$25:$F$603,$F301,'Калькуляция (МИ)'!$G$25:$G$603,$G301))))</f>
        <v>0</v>
      </c>
      <c r="BD301" s="1104">
        <f>IF(BB301=0,0,(BC301-BB301)/BB301*100)</f>
        <v>0</v>
      </c>
      <c r="BE301" s="4585">
        <f>IF(AND(method_reg="Метод индексации",god&lt;&gt;first_year),_xlfn.SUMIFS(INDEX('Калькуляция (МИ корр)'!$AJ$25:$BC$606,,MATCH(BE$8,'Калькуляция (МИ корр)'!$AJ$8:$BC$8,0)),'Калькуляция (МИ корр)'!$F$25:$F$606,$F301,'Калькуляция (МИ корр)'!$G$25:$G$606,$G301),IF(method_reg="Метод экономически обоснованных расходов",_xlfn.SUMIFS('Калькуляция (МЭОР)'!$AJ$25:$AJ$367,'Калькуляция (МЭОР)'!$F$25:$F$367,$F301,'Калькуляция (МЭОР)'!$G$25:$G$367,$G301),IF(method_reg="Метод сравнения аналогов",_xlfn.SUMIFS('Калькуляция (МСА)'!$AE$25:$AE$103,'Калькуляция (МСА)'!$F$25:$F$103,$F301,'Калькуляция (МСА)'!$G$25:$G$103,$G301),_xlfn.SUMIFS(INDEX('Калькуляция (МИ)'!$AJ$25:$BC$603,,MATCH(BE$8,'Калькуляция (МИ)'!$AJ$8:$BC$8,0)),'Калькуляция (МИ)'!$F$25:$F$603,$F301,'Калькуляция (МИ)'!$G$25:$G$603,$G301))))</f>
        <v>0</v>
      </c>
      <c r="BF301" s="4585">
        <f>IF(AND(method_reg="Метод индексации",god&lt;&gt;first_year),_xlfn.SUMIFS(INDEX('Калькуляция (МИ корр)'!$AJ$25:$BC$606,,MATCH(BF$8,'Калькуляция (МИ корр)'!$AJ$8:$BC$8,0)),'Калькуляция (МИ корр)'!$F$25:$F$606,$F301,'Калькуляция (МИ корр)'!$G$25:$G$606,$G301),IF(method_reg="Метод экономически обоснованных расходов",_xlfn.SUMIFS('Калькуляция (МЭОР)'!$AK$25:$AK$367,'Калькуляция (МЭОР)'!$F$25:$F$367,$F301,'Калькуляция (МЭОР)'!$G$25:$G$367,$G301),IF(method_reg="Метод сравнения аналогов",_xlfn.SUMIFS('Калькуляция (МСА)'!$AF$25:$AF$103,'Калькуляция (МСА)'!$F$25:$F$103,$F301,'Калькуляция (МСА)'!$G$25:$G$103,$G301),_xlfn.SUMIFS(INDEX('Калькуляция (МИ)'!$AJ$25:$BC$603,,MATCH(BF$8,'Калькуляция (МИ)'!$AJ$8:$BC$8,0)),'Калькуляция (МИ)'!$F$25:$F$603,$F301,'Калькуляция (МИ)'!$G$25:$G$603,$G301))))</f>
        <v>0</v>
      </c>
      <c r="BG301" s="1104">
        <f>IF(BE301=0,0,(BF301-BE301)/BE301*100)</f>
        <v>0</v>
      </c>
      <c r="BH301" s="4585"/>
      <c r="BI301" s="4585"/>
      <c r="BJ301" s="1104">
        <f>IF(BH301=0,0,(BI301-BH301)/BH301*100)</f>
        <v>0</v>
      </c>
      <c r="BK301" s="4585"/>
      <c r="BL301" s="4585"/>
      <c r="BM301" s="1104">
        <f>IF(BK301=0,0,(BL301-BK301)/BK301*100)</f>
        <v>0</v>
      </c>
      <c r="BN301" s="4585"/>
      <c r="BO301" s="4585"/>
      <c r="BP301" s="1104">
        <f>IF(BN301=0,0,(BO301-BN301)/BN301*100)</f>
        <v>0</v>
      </c>
      <c r="BQ301" s="4585"/>
      <c r="BR301" s="4585"/>
      <c r="BS301" s="1104">
        <f>IF(BQ301=0,0,(BR301-BQ301)/BQ301*100)</f>
        <v>0</v>
      </c>
      <c r="BT301" s="4585"/>
      <c r="BU301" s="4585"/>
      <c r="BV301" s="1104">
        <f>IF(BT301=0,0,(BU301-BT301)/BT301*100)</f>
        <v>0</v>
      </c>
      <c r="BW301" s="4585"/>
      <c r="BX301" s="4585"/>
      <c r="BY301" s="1104">
        <f>IF(BW301=0,0,(BX301-BW301)/BW301*100)</f>
        <v>0</v>
      </c>
      <c r="BZ301" s="4585"/>
      <c r="CA301" s="4585"/>
      <c r="CB301" s="1104">
        <f>IF(BZ301=0,0,(CA301-BZ301)/BZ301*100)</f>
        <v>0</v>
      </c>
      <c r="CC301" s="4585"/>
      <c r="CD301" s="4585"/>
      <c r="CE301" s="1104">
        <f>IF(CC301=0,0,(CD301-CC301)/CC301*100)</f>
        <v>0</v>
      </c>
      <c r="CF301" s="4585"/>
      <c r="CG301" s="4585"/>
      <c r="CH301" s="1104">
        <f>IF(CF301=0,0,(CG301-CF301)/CF301*100)</f>
        <v>0</v>
      </c>
      <c r="CI301" s="4585"/>
      <c r="CJ301" s="4585"/>
      <c r="CK301" s="1104">
        <f>IF(CI301=0,0,(CJ301-CI301)/CI301*100)</f>
        <v>0</v>
      </c>
      <c r="CL301" s="4585"/>
      <c r="CM301" s="4585"/>
      <c r="CN301" s="1104">
        <f>IF(CL301=0,0,(CM301-CL301)/CL301*100)</f>
        <v>0</v>
      </c>
      <c r="CO301" s="4585"/>
      <c r="CP301" s="4585"/>
      <c r="CQ301" s="1104">
        <f>IF(CO301=0,0,(CP301-CO301)/CO301*100)</f>
        <v>0</v>
      </c>
      <c r="CR301" s="4585"/>
      <c r="CS301" s="4585"/>
      <c r="CT301" s="1104">
        <f>IF(CR301=0,0,(CS301-CR301)/CR301*100)</f>
        <v>0</v>
      </c>
      <c r="CU301" s="4585"/>
      <c r="CV301" s="4585"/>
      <c r="CW301" s="1104">
        <f>IF(CU301=0,0,(CV301-CU301)/CU301*100)</f>
        <v>0</v>
      </c>
      <c r="CX301" s="4585"/>
      <c r="CY301" s="4585"/>
      <c r="CZ301" s="1104">
        <f>IF(CX301=0,0,(CY301-CX301)/CX301*100)</f>
        <v>0</v>
      </c>
      <c r="DA301" s="4585"/>
      <c r="DB301" s="4585"/>
      <c r="DC301" s="1104">
        <f>IF(DA301=0,0,(DB301-DA301)/DA301*100)</f>
        <v>0</v>
      </c>
      <c r="DD301" s="4585"/>
      <c r="DE301" s="4585"/>
      <c r="DF301" s="1104">
        <f>IF(DD301=0,0,(DE301-DD301)/DD301*100)</f>
        <v>0</v>
      </c>
      <c r="DG301" s="4585"/>
      <c r="DH301" s="4585"/>
      <c r="DI301" s="1104">
        <f>IF(DG301=0,0,(DH301-DG301)/DG301*100)</f>
        <v>0</v>
      </c>
      <c r="DJ301" s="4585"/>
      <c r="DK301" s="4585"/>
      <c r="DL301" s="1104">
        <f>IF(DJ301=0,0,(DK301-DJ301)/DJ301*100)</f>
        <v>0</v>
      </c>
      <c r="DM301" s="4585"/>
      <c r="DN301" s="4585"/>
      <c r="DO301" s="1104">
        <f>IF(DM301=0,0,(DN301-DM301)/DM301*100)</f>
        <v>0</v>
      </c>
      <c r="DP301" s="4585"/>
      <c r="DQ301" s="4585"/>
      <c r="DR301" s="1104">
        <f>IF(DP301=0,0,(DQ301-DP301)/DP301*100)</f>
        <v>0</v>
      </c>
      <c r="DS301" s="4585"/>
      <c r="DT301" s="4585"/>
      <c r="DU301" s="1104">
        <f>IF(DS301=0,0,(DT301-DS301)/DS301*100)</f>
        <v>0</v>
      </c>
      <c r="DV301" s="4585"/>
      <c r="DW301" s="4585"/>
      <c r="DX301" s="1104">
        <f>IF(DV301=0,0,(DW301-DV301)/DV301*100)</f>
        <v>0</v>
      </c>
      <c r="DY301" s="4585"/>
      <c r="DZ301" s="4585"/>
      <c r="EA301" s="1104">
        <f>IF(DY301=0,0,(DZ301-DY301)/DY301*100)</f>
        <v>0</v>
      </c>
      <c r="EB301" s="4585"/>
      <c r="EC301" s="4585"/>
      <c r="ED301" s="1104">
        <f>IF(EB301=0,0,(EC301-EB301)/EB301*100)</f>
        <v>0</v>
      </c>
      <c r="EE301" s="4585"/>
      <c r="EF301" s="4585"/>
      <c r="EG301" s="1104">
        <f>IF(EE301=0,0,(EF301-EE301)/EE301*100)</f>
        <v>0</v>
      </c>
      <c r="EH301" s="4585"/>
      <c r="EI301" s="4585"/>
      <c r="EJ301" s="1104">
        <f>IF(EH301=0,0,(EI301-EH301)/EH301*100)</f>
        <v>0</v>
      </c>
      <c r="EK301" s="4585"/>
      <c r="EL301" s="4585"/>
      <c r="EM301" s="1104">
        <f>IF(EK301=0,0,(EL301-EK301)/EK301*100)</f>
        <v>0</v>
      </c>
      <c r="EN301" s="4585"/>
      <c r="EO301" s="4585"/>
      <c r="EP301" s="1104">
        <f>IF(EN301=0,0,(EO301-EN301)/EN301*100)</f>
        <v>0</v>
      </c>
      <c r="EQ301" s="4585"/>
      <c r="ER301" s="4585"/>
      <c r="ES301" s="1104">
        <f>IF(EQ301=0,0,(ER301-EQ301)/EQ301*100)</f>
        <v>0</v>
      </c>
      <c r="ET301" s="4585"/>
      <c r="EU301" s="4585"/>
      <c r="EV301" s="1104">
        <f>IF(ET301=0,0,(EU301-ET301)/ET301*100)</f>
        <v>0</v>
      </c>
      <c r="EW301" s="4585"/>
      <c r="EX301" s="4585"/>
      <c r="EY301" s="1104">
        <f>IF(EW301=0,0,(EX301-EW301)/EW301*100)</f>
        <v>0</v>
      </c>
      <c r="EZ301" s="4585"/>
      <c r="FA301" s="4585"/>
      <c r="FB301" s="1104">
        <f>IF(EZ301=0,0,(FA301-EZ301)/EZ301*100)</f>
        <v>0</v>
      </c>
      <c r="FC301" s="4585"/>
      <c r="FD301" s="4585"/>
      <c r="FE301" s="1104">
        <f>IF(FC301=0,0,(FD301-FC301)/FC301*100)</f>
        <v>0</v>
      </c>
      <c r="FF301" s="4585"/>
      <c r="FG301" s="4585"/>
      <c r="FH301" s="1104">
        <f>IF(FF301=0,0,(FG301-FF301)/FF301*100)</f>
        <v>0</v>
      </c>
      <c r="FI301" s="4585"/>
      <c r="FJ301" s="4585"/>
      <c r="FK301" s="1104">
        <f>IF(FI301=0,0,(FJ301-FI301)/FI301*100)</f>
        <v>0</v>
      </c>
      <c r="FL301" s="4585"/>
      <c r="FM301" s="4585"/>
      <c r="FN301" s="1104">
        <f>IF(FL301=0,0,(FM301-FL301)/FL301*100)</f>
        <v>0</v>
      </c>
      <c r="FO301" s="4585"/>
      <c r="FP301" s="4585"/>
      <c r="FQ301" s="1104">
        <f>IF(FO301=0,0,(FP301-FO301)/FO301*100)</f>
        <v>0</v>
      </c>
      <c r="FR301" s="4585"/>
      <c r="FS301" s="4585"/>
      <c r="FT301" s="1104">
        <f>IF(FR301=0,0,(FS301-FR301)/FR301*100)</f>
        <v>0</v>
      </c>
      <c r="FU301" s="4585"/>
      <c r="FV301" s="4585"/>
      <c r="FW301" s="1104">
        <f>IF(FU301=0,0,(FV301-FU301)/FU301*100)</f>
        <v>0</v>
      </c>
      <c r="FX301" s="288"/>
      <c r="FY301" s="1328"/>
      <c r="FZ301" s="1063" t="s">
        <v>1948</v>
      </c>
      <c r="GA301" s="1330"/>
      <c r="GB301" s="1330"/>
      <c r="GC301" s="1329"/>
      <c r="GD301" s="1329"/>
    </row>
    <row s="1656" customFormat="1" customHeight="1" ht="18" hidden="1">
      <c r="A302" s="496"/>
      <c r="B302" s="932" cm="1" t="str">
        <f t="array" ref="B302:B302">B301</f>
        <v>false</v>
      </c>
      <c r="C302" s="496"/>
      <c r="D302" s="496"/>
      <c r="E302" s="847">
        <v>18.75</v>
      </c>
      <c r="F302" s="50" cm="1" t="str">
        <f t="array" ref="F302:F302">OFFSET(E302,-1,1)</f>
        <v>3</v>
      </c>
      <c r="G302" s="496"/>
      <c r="H302" s="496" t="s">
        <v>566</v>
      </c>
      <c r="I302" s="496" cm="1" t="str">
        <f t="array" ref="I302:I302">AB302</f>
        <v>0</v>
      </c>
      <c r="J302" s="496"/>
      <c r="K302" s="496"/>
      <c r="L302" s="496"/>
      <c r="M302" s="496"/>
      <c r="N302" s="496"/>
      <c r="O302" s="496"/>
      <c r="P302" s="496"/>
      <c r="Q302" s="496"/>
      <c r="R302" s="496"/>
      <c r="S302" s="496"/>
      <c r="T302" s="468">
        <f>AND(F302&gt;0,Y302&gt;0)</f>
        <v>0</v>
      </c>
      <c r="U302" s="496"/>
      <c r="V302" s="496"/>
      <c r="W302" s="496" t="s">
        <v>173</v>
      </c>
      <c r="X302" s="1559"/>
      <c r="Y302" s="496">
        <v>0</v>
      </c>
      <c r="Z302" s="1528"/>
      <c r="AA302" s="668" t="s">
        <v>174</v>
      </c>
      <c r="AB302" s="4615"/>
      <c r="AC302" s="871" t="s">
        <v>1862</v>
      </c>
      <c r="AD302" s="4591"/>
      <c r="AE302" s="4592"/>
      <c r="AF302" s="1102">
        <f>IF(AD302=0,0,(AE302-AD302)/AD302*100)</f>
        <v>0</v>
      </c>
      <c r="AG302" s="4592"/>
      <c r="AH302" s="4592"/>
      <c r="AI302" s="1102">
        <f>IF(AG302=0,0,(AH302-AG302)/AG302*100)</f>
        <v>0</v>
      </c>
      <c r="AJ302" s="4592"/>
      <c r="AK302" s="4592"/>
      <c r="AL302" s="1102">
        <f>IF(AJ302=0,0,(AK302-AJ302)/AJ302*100)</f>
        <v>0</v>
      </c>
      <c r="AM302" s="4592"/>
      <c r="AN302" s="4592"/>
      <c r="AO302" s="1102">
        <f>IF(AM302=0,0,(AN302-AM302)/AM302*100)</f>
        <v>0</v>
      </c>
      <c r="AP302" s="4592"/>
      <c r="AQ302" s="4592"/>
      <c r="AR302" s="1102">
        <f>IF(AP302=0,0,(AQ302-AP302)/AP302*100)</f>
        <v>0</v>
      </c>
      <c r="AS302" s="4592"/>
      <c r="AT302" s="4592"/>
      <c r="AU302" s="1102">
        <f>IF(AS302=0,0,(AT302-AS302)/AS302*100)</f>
        <v>0</v>
      </c>
      <c r="AV302" s="4592"/>
      <c r="AW302" s="4592"/>
      <c r="AX302" s="1102">
        <f>IF(AV302=0,0,(AW302-AV302)/AV302*100)</f>
        <v>0</v>
      </c>
      <c r="AY302" s="4592"/>
      <c r="AZ302" s="4592"/>
      <c r="BA302" s="1102">
        <f>IF(AY302=0,0,(AZ302-AY302)/AY302*100)</f>
        <v>0</v>
      </c>
      <c r="BB302" s="4592"/>
      <c r="BC302" s="4592"/>
      <c r="BD302" s="1102">
        <f>IF(BB302=0,0,(BC302-BB302)/BB302*100)</f>
        <v>0</v>
      </c>
      <c r="BE302" s="4592"/>
      <c r="BF302" s="4592"/>
      <c r="BG302" s="1102">
        <f>IF(BE302=0,0,(BF302-BE302)/BE302*100)</f>
        <v>0</v>
      </c>
      <c r="BH302" s="4592"/>
      <c r="BI302" s="4592"/>
      <c r="BJ302" s="1102">
        <f>IF(BH302=0,0,(BI302-BH302)/BH302*100)</f>
        <v>0</v>
      </c>
      <c r="BK302" s="4592"/>
      <c r="BL302" s="4592"/>
      <c r="BM302" s="1102">
        <f>IF(BK302=0,0,(BL302-BK302)/BK302*100)</f>
        <v>0</v>
      </c>
      <c r="BN302" s="4592"/>
      <c r="BO302" s="4592"/>
      <c r="BP302" s="1102">
        <f>IF(BN302=0,0,(BO302-BN302)/BN302*100)</f>
        <v>0</v>
      </c>
      <c r="BQ302" s="4592"/>
      <c r="BR302" s="4592"/>
      <c r="BS302" s="1102">
        <f>IF(BQ302=0,0,(BR302-BQ302)/BQ302*100)</f>
        <v>0</v>
      </c>
      <c r="BT302" s="4592"/>
      <c r="BU302" s="4592"/>
      <c r="BV302" s="1102">
        <f>IF(BT302=0,0,(BU302-BT302)/BT302*100)</f>
        <v>0</v>
      </c>
      <c r="BW302" s="4592"/>
      <c r="BX302" s="4592"/>
      <c r="BY302" s="1102">
        <f>IF(BW302=0,0,(BX302-BW302)/BW302*100)</f>
        <v>0</v>
      </c>
      <c r="BZ302" s="4592"/>
      <c r="CA302" s="4592"/>
      <c r="CB302" s="1102">
        <f>IF(BZ302=0,0,(CA302-BZ302)/BZ302*100)</f>
        <v>0</v>
      </c>
      <c r="CC302" s="4592"/>
      <c r="CD302" s="4592"/>
      <c r="CE302" s="1102">
        <f>IF(CC302=0,0,(CD302-CC302)/CC302*100)</f>
        <v>0</v>
      </c>
      <c r="CF302" s="4592"/>
      <c r="CG302" s="4592"/>
      <c r="CH302" s="1102">
        <f>IF(CF302=0,0,(CG302-CF302)/CF302*100)</f>
        <v>0</v>
      </c>
      <c r="CI302" s="4592"/>
      <c r="CJ302" s="4592"/>
      <c r="CK302" s="1102">
        <f>IF(CI302=0,0,(CJ302-CI302)/CI302*100)</f>
        <v>0</v>
      </c>
      <c r="CL302" s="4592"/>
      <c r="CM302" s="4592"/>
      <c r="CN302" s="1102">
        <f>IF(CL302=0,0,(CM302-CL302)/CL302*100)</f>
        <v>0</v>
      </c>
      <c r="CO302" s="4592"/>
      <c r="CP302" s="4592"/>
      <c r="CQ302" s="1102">
        <f>IF(CO302=0,0,(CP302-CO302)/CO302*100)</f>
        <v>0</v>
      </c>
      <c r="CR302" s="4592"/>
      <c r="CS302" s="4592"/>
      <c r="CT302" s="1102">
        <f>IF(CR302=0,0,(CS302-CR302)/CR302*100)</f>
        <v>0</v>
      </c>
      <c r="CU302" s="4592"/>
      <c r="CV302" s="4592"/>
      <c r="CW302" s="1102">
        <f>IF(CU302=0,0,(CV302-CU302)/CU302*100)</f>
        <v>0</v>
      </c>
      <c r="CX302" s="4592"/>
      <c r="CY302" s="4592"/>
      <c r="CZ302" s="1102">
        <f>IF(CX302=0,0,(CY302-CX302)/CX302*100)</f>
        <v>0</v>
      </c>
      <c r="DA302" s="4592"/>
      <c r="DB302" s="4592"/>
      <c r="DC302" s="1102">
        <f>IF(DA302=0,0,(DB302-DA302)/DA302*100)</f>
        <v>0</v>
      </c>
      <c r="DD302" s="4592"/>
      <c r="DE302" s="4592"/>
      <c r="DF302" s="1102">
        <f>IF(DD302=0,0,(DE302-DD302)/DD302*100)</f>
        <v>0</v>
      </c>
      <c r="DG302" s="4592"/>
      <c r="DH302" s="4592"/>
      <c r="DI302" s="1102">
        <f>IF(DG302=0,0,(DH302-DG302)/DG302*100)</f>
        <v>0</v>
      </c>
      <c r="DJ302" s="4592"/>
      <c r="DK302" s="4592"/>
      <c r="DL302" s="1102">
        <f>IF(DJ302=0,0,(DK302-DJ302)/DJ302*100)</f>
        <v>0</v>
      </c>
      <c r="DM302" s="4592"/>
      <c r="DN302" s="4592"/>
      <c r="DO302" s="1102">
        <f>IF(DM302=0,0,(DN302-DM302)/DM302*100)</f>
        <v>0</v>
      </c>
      <c r="DP302" s="4592"/>
      <c r="DQ302" s="4592"/>
      <c r="DR302" s="1102">
        <f>IF(DP302=0,0,(DQ302-DP302)/DP302*100)</f>
        <v>0</v>
      </c>
      <c r="DS302" s="4592"/>
      <c r="DT302" s="4592"/>
      <c r="DU302" s="1102">
        <f>IF(DS302=0,0,(DT302-DS302)/DS302*100)</f>
        <v>0</v>
      </c>
      <c r="DV302" s="4592"/>
      <c r="DW302" s="4592"/>
      <c r="DX302" s="1102">
        <f>IF(DV302=0,0,(DW302-DV302)/DV302*100)</f>
        <v>0</v>
      </c>
      <c r="DY302" s="4592"/>
      <c r="DZ302" s="4592"/>
      <c r="EA302" s="1102">
        <f>IF(DY302=0,0,(DZ302-DY302)/DY302*100)</f>
        <v>0</v>
      </c>
      <c r="EB302" s="4592"/>
      <c r="EC302" s="4592"/>
      <c r="ED302" s="1102">
        <f>IF(EB302=0,0,(EC302-EB302)/EB302*100)</f>
        <v>0</v>
      </c>
      <c r="EE302" s="4592"/>
      <c r="EF302" s="4592"/>
      <c r="EG302" s="1102">
        <f>IF(EE302=0,0,(EF302-EE302)/EE302*100)</f>
        <v>0</v>
      </c>
      <c r="EH302" s="4592"/>
      <c r="EI302" s="4592"/>
      <c r="EJ302" s="1102">
        <f>IF(EH302=0,0,(EI302-EH302)/EH302*100)</f>
        <v>0</v>
      </c>
      <c r="EK302" s="4592"/>
      <c r="EL302" s="4592"/>
      <c r="EM302" s="1102">
        <f>IF(EK302=0,0,(EL302-EK302)/EK302*100)</f>
        <v>0</v>
      </c>
      <c r="EN302" s="4592"/>
      <c r="EO302" s="4592"/>
      <c r="EP302" s="1102">
        <f>IF(EN302=0,0,(EO302-EN302)/EN302*100)</f>
        <v>0</v>
      </c>
      <c r="EQ302" s="4592"/>
      <c r="ER302" s="4592"/>
      <c r="ES302" s="1102">
        <f>IF(EQ302=0,0,(ER302-EQ302)/EQ302*100)</f>
        <v>0</v>
      </c>
      <c r="ET302" s="4592"/>
      <c r="EU302" s="4592"/>
      <c r="EV302" s="1102">
        <f>IF(ET302=0,0,(EU302-ET302)/ET302*100)</f>
        <v>0</v>
      </c>
      <c r="EW302" s="4592"/>
      <c r="EX302" s="4592"/>
      <c r="EY302" s="1102">
        <f>IF(EW302=0,0,(EX302-EW302)/EW302*100)</f>
        <v>0</v>
      </c>
      <c r="EZ302" s="4592"/>
      <c r="FA302" s="4592"/>
      <c r="FB302" s="1102">
        <f>IF(EZ302=0,0,(FA302-EZ302)/EZ302*100)</f>
        <v>0</v>
      </c>
      <c r="FC302" s="4592"/>
      <c r="FD302" s="4592"/>
      <c r="FE302" s="1102">
        <f>IF(FC302=0,0,(FD302-FC302)/FC302*100)</f>
        <v>0</v>
      </c>
      <c r="FF302" s="4592"/>
      <c r="FG302" s="4592"/>
      <c r="FH302" s="1102">
        <f>IF(FF302=0,0,(FG302-FF302)/FF302*100)</f>
        <v>0</v>
      </c>
      <c r="FI302" s="4592"/>
      <c r="FJ302" s="4592"/>
      <c r="FK302" s="1102">
        <f>IF(FI302=0,0,(FJ302-FI302)/FI302*100)</f>
        <v>0</v>
      </c>
      <c r="FL302" s="4592"/>
      <c r="FM302" s="4592"/>
      <c r="FN302" s="1102">
        <f>IF(FL302=0,0,(FM302-FL302)/FL302*100)</f>
        <v>0</v>
      </c>
      <c r="FO302" s="4592"/>
      <c r="FP302" s="4592"/>
      <c r="FQ302" s="1102">
        <f>IF(FO302=0,0,(FP302-FO302)/FO302*100)</f>
        <v>0</v>
      </c>
      <c r="FR302" s="4592"/>
      <c r="FS302" s="4592"/>
      <c r="FT302" s="1102">
        <f>IF(FR302=0,0,(FS302-FR302)/FR302*100)</f>
        <v>0</v>
      </c>
      <c r="FU302" s="4592"/>
      <c r="FV302" s="4592"/>
      <c r="FW302" s="1102">
        <f>IF(FU302=0,0,(FV302-FU302)/FU302*100)</f>
        <v>0</v>
      </c>
      <c r="FX302" s="288"/>
      <c r="FY302" s="1328"/>
      <c r="FZ302" s="1063" t="s">
        <v>1949</v>
      </c>
      <c r="GA302" s="1023" t="s">
        <v>1950</v>
      </c>
      <c r="GB302" s="1023" cm="1" t="str">
        <f t="array" ref="GB302:GB302">AB302</f>
        <v>0</v>
      </c>
      <c r="GC302" s="1329"/>
      <c r="GD302" s="637" t="b">
        <v>1</v>
      </c>
    </row>
    <row s="1656" customFormat="1" customHeight="1" ht="14.25" hidden="1">
      <c r="A303" s="1328"/>
      <c r="B303" s="932" cm="1" t="str">
        <f t="array" ref="B303:B303">B302</f>
        <v>false</v>
      </c>
      <c r="C303" s="1328"/>
      <c r="D303" s="496"/>
      <c r="E303" s="847">
        <v>15</v>
      </c>
      <c r="F303" s="50" cm="1" t="str">
        <f t="array" ref="F303:F303">OFFSET(E303,-1,1)</f>
        <v>3</v>
      </c>
      <c r="G303" s="496"/>
      <c r="H303" s="1328"/>
      <c r="I303" s="94" t="s">
        <v>1951</v>
      </c>
      <c r="J303" s="1328"/>
      <c r="K303" s="1328"/>
      <c r="L303" s="1328"/>
      <c r="M303" s="1328"/>
      <c r="N303" s="1328"/>
      <c r="O303" s="1328"/>
      <c r="P303" s="1328"/>
      <c r="Q303" s="1328"/>
      <c r="R303" s="1328"/>
      <c r="S303" s="1328"/>
      <c r="T303" s="468">
        <f>F303&gt;0</f>
        <v>1</v>
      </c>
      <c r="U303" s="1328"/>
      <c r="V303" s="1328"/>
      <c r="W303" s="764" t="s">
        <v>1892</v>
      </c>
      <c r="X303" s="1559"/>
      <c r="Y303" s="1328"/>
      <c r="Z303" s="1528"/>
      <c r="AA303" s="1328"/>
      <c r="AB303" s="256" t="s">
        <v>177</v>
      </c>
      <c r="AC303" s="260"/>
      <c r="AD303" s="258"/>
      <c r="AE303" s="258"/>
      <c r="AF303" s="258"/>
      <c r="AG303" s="258"/>
      <c r="AH303" s="258"/>
      <c r="AI303" s="258"/>
      <c r="AJ303" s="258"/>
      <c r="AK303" s="258"/>
      <c r="AL303" s="258"/>
      <c r="AM303" s="258"/>
      <c r="AN303" s="258"/>
      <c r="AO303" s="258"/>
      <c r="AP303" s="258"/>
      <c r="AQ303" s="258"/>
      <c r="AR303" s="258"/>
      <c r="AS303" s="258"/>
      <c r="AT303" s="258"/>
      <c r="AU303" s="258"/>
      <c r="AV303" s="258"/>
      <c r="AW303" s="258"/>
      <c r="AX303" s="258"/>
      <c r="AY303" s="258"/>
      <c r="AZ303" s="258"/>
      <c r="BA303" s="258"/>
      <c r="BB303" s="258"/>
      <c r="BC303" s="258"/>
      <c r="BD303" s="258"/>
      <c r="BE303" s="258"/>
      <c r="BF303" s="258"/>
      <c r="BG303" s="258"/>
      <c r="BH303" s="258"/>
      <c r="BI303" s="258"/>
      <c r="BJ303" s="258"/>
      <c r="BK303" s="258"/>
      <c r="BL303" s="258"/>
      <c r="BM303" s="258"/>
      <c r="BN303" s="258"/>
      <c r="BO303" s="258"/>
      <c r="BP303" s="258"/>
      <c r="BQ303" s="258"/>
      <c r="BR303" s="258"/>
      <c r="BS303" s="258"/>
      <c r="BT303" s="258"/>
      <c r="BU303" s="258"/>
      <c r="BV303" s="258"/>
      <c r="BW303" s="258"/>
      <c r="BX303" s="258"/>
      <c r="BY303" s="258"/>
      <c r="BZ303" s="258"/>
      <c r="CA303" s="258"/>
      <c r="CB303" s="258"/>
      <c r="CC303" s="258"/>
      <c r="CD303" s="258"/>
      <c r="CE303" s="258"/>
      <c r="CF303" s="258"/>
      <c r="CG303" s="258"/>
      <c r="CH303" s="258"/>
      <c r="CI303" s="258"/>
      <c r="CJ303" s="258"/>
      <c r="CK303" s="258"/>
      <c r="CL303" s="258"/>
      <c r="CM303" s="258"/>
      <c r="CN303" s="258"/>
      <c r="CO303" s="258"/>
      <c r="CP303" s="258"/>
      <c r="CQ303" s="258"/>
      <c r="CR303" s="258"/>
      <c r="CS303" s="258"/>
      <c r="CT303" s="258"/>
      <c r="CU303" s="258"/>
      <c r="CV303" s="258"/>
      <c r="CW303" s="258"/>
      <c r="CX303" s="258"/>
      <c r="CY303" s="258"/>
      <c r="CZ303" s="258"/>
      <c r="DA303" s="258"/>
      <c r="DB303" s="258"/>
      <c r="DC303" s="258"/>
      <c r="DD303" s="258"/>
      <c r="DE303" s="258"/>
      <c r="DF303" s="258"/>
      <c r="DG303" s="258"/>
      <c r="DH303" s="258"/>
      <c r="DI303" s="258"/>
      <c r="DJ303" s="258"/>
      <c r="DK303" s="258"/>
      <c r="DL303" s="258"/>
      <c r="DM303" s="258"/>
      <c r="DN303" s="258"/>
      <c r="DO303" s="258"/>
      <c r="DP303" s="258"/>
      <c r="DQ303" s="258"/>
      <c r="DR303" s="258"/>
      <c r="DS303" s="258"/>
      <c r="DT303" s="258"/>
      <c r="DU303" s="258"/>
      <c r="DV303" s="258"/>
      <c r="DW303" s="258"/>
      <c r="DX303" s="258"/>
      <c r="DY303" s="258"/>
      <c r="DZ303" s="258"/>
      <c r="EA303" s="258"/>
      <c r="EB303" s="258"/>
      <c r="EC303" s="258"/>
      <c r="ED303" s="258"/>
      <c r="EE303" s="258"/>
      <c r="EF303" s="258"/>
      <c r="EG303" s="258"/>
      <c r="EH303" s="258"/>
      <c r="EI303" s="258"/>
      <c r="EJ303" s="258"/>
      <c r="EK303" s="258"/>
      <c r="EL303" s="258"/>
      <c r="EM303" s="258"/>
      <c r="EN303" s="258"/>
      <c r="EO303" s="258"/>
      <c r="EP303" s="258"/>
      <c r="EQ303" s="258"/>
      <c r="ER303" s="258"/>
      <c r="ES303" s="258"/>
      <c r="ET303" s="258"/>
      <c r="EU303" s="258"/>
      <c r="EV303" s="258"/>
      <c r="EW303" s="258"/>
      <c r="EX303" s="258"/>
      <c r="EY303" s="258"/>
      <c r="EZ303" s="258"/>
      <c r="FA303" s="258"/>
      <c r="FB303" s="258"/>
      <c r="FC303" s="258"/>
      <c r="FD303" s="258"/>
      <c r="FE303" s="258"/>
      <c r="FF303" s="258"/>
      <c r="FG303" s="258"/>
      <c r="FH303" s="258"/>
      <c r="FI303" s="258"/>
      <c r="FJ303" s="258"/>
      <c r="FK303" s="258"/>
      <c r="FL303" s="258"/>
      <c r="FM303" s="258"/>
      <c r="FN303" s="258"/>
      <c r="FO303" s="258"/>
      <c r="FP303" s="258"/>
      <c r="FQ303" s="258"/>
      <c r="FR303" s="258"/>
      <c r="FS303" s="258"/>
      <c r="FT303" s="258"/>
      <c r="FU303" s="258"/>
      <c r="FV303" s="258"/>
      <c r="FW303" s="259"/>
      <c r="FX303" s="1328"/>
      <c r="FY303" s="1328"/>
      <c r="FZ303" s="1330"/>
      <c r="GA303" s="1330"/>
      <c r="GB303" s="1330"/>
      <c r="GC303" s="637" t="s">
        <v>1950</v>
      </c>
      <c r="GD303" s="1329"/>
    </row>
    <row s="1656" customFormat="1" customHeight="1" ht="10.5">
      <c r="A304" s="94"/>
      <c r="B304" s="912"/>
      <c r="C304" s="94"/>
      <c r="D304" s="496"/>
      <c r="E304" s="847">
        <v>11.5</v>
      </c>
      <c r="F304" s="1361"/>
      <c r="G304" s="496"/>
      <c r="H304" s="94"/>
      <c r="I304" s="94"/>
      <c r="J304" s="94"/>
      <c r="K304" s="94"/>
      <c r="L304" s="94"/>
      <c r="M304" s="94"/>
      <c r="N304" s="94"/>
      <c r="O304" s="94"/>
      <c r="P304" s="94"/>
      <c r="Q304" s="94"/>
      <c r="R304" s="94"/>
      <c r="S304" s="94"/>
      <c r="T304" s="468" cm="1" t="str">
        <f t="array" ref="T304:T304">T303</f>
        <v>true</v>
      </c>
      <c r="U304" s="94"/>
      <c r="V304" s="94"/>
      <c r="W304" s="764"/>
      <c r="X304" s="1559"/>
      <c r="Y304" s="94"/>
      <c r="Z304" s="1528"/>
      <c r="AA304" s="94"/>
      <c r="AB304" s="203"/>
      <c r="AC304" s="1189"/>
      <c r="AD304" s="1328"/>
      <c r="AE304" s="1328"/>
      <c r="AF304" s="1328"/>
      <c r="AG304" s="1328"/>
      <c r="AH304" s="1328"/>
      <c r="AI304" s="1328"/>
      <c r="AJ304" s="1328"/>
      <c r="AK304" s="1328"/>
      <c r="AL304" s="1328"/>
      <c r="AM304" s="1328"/>
      <c r="AN304" s="1328"/>
      <c r="AO304" s="1328"/>
      <c r="AP304" s="1328"/>
      <c r="AQ304" s="1328"/>
      <c r="AR304" s="1328"/>
      <c r="AS304" s="1328"/>
      <c r="AT304" s="1328"/>
      <c r="AU304" s="1328"/>
      <c r="AV304" s="1328"/>
      <c r="AW304" s="1328"/>
      <c r="AX304" s="1328"/>
      <c r="AY304" s="1328"/>
      <c r="AZ304" s="1328"/>
      <c r="BA304" s="1328"/>
      <c r="BB304" s="1328"/>
      <c r="BC304" s="1328"/>
      <c r="BD304" s="1328"/>
      <c r="BE304" s="1328"/>
      <c r="BF304" s="1328"/>
      <c r="BG304" s="1328"/>
      <c r="BH304" s="1328"/>
      <c r="BI304" s="1328"/>
      <c r="BJ304" s="1328"/>
      <c r="BK304" s="1328"/>
      <c r="BL304" s="1328"/>
      <c r="BM304" s="1328"/>
      <c r="BN304" s="1328"/>
      <c r="BO304" s="1328"/>
      <c r="BP304" s="1328"/>
      <c r="BQ304" s="1328"/>
      <c r="BR304" s="1328"/>
      <c r="BS304" s="1328"/>
      <c r="BT304" s="1328"/>
      <c r="BU304" s="1328"/>
      <c r="BV304" s="1328"/>
      <c r="BW304" s="1328"/>
      <c r="BX304" s="1328"/>
      <c r="BY304" s="1328"/>
      <c r="BZ304" s="1328"/>
      <c r="CA304" s="1328"/>
      <c r="CB304" s="1328"/>
      <c r="CC304" s="1328"/>
      <c r="CD304" s="1328"/>
      <c r="CE304" s="1328"/>
      <c r="CF304" s="1328"/>
      <c r="CG304" s="1328"/>
      <c r="CH304" s="1328"/>
      <c r="CI304" s="1328"/>
      <c r="CJ304" s="1328"/>
      <c r="CK304" s="1328"/>
      <c r="CL304" s="1328"/>
      <c r="CM304" s="1328"/>
      <c r="CN304" s="1328"/>
      <c r="CO304" s="1328"/>
      <c r="CP304" s="1328"/>
      <c r="CQ304" s="1328"/>
      <c r="CR304" s="1328"/>
      <c r="CS304" s="1328"/>
      <c r="CT304" s="1328"/>
      <c r="CU304" s="1328"/>
      <c r="CV304" s="1328"/>
      <c r="CW304" s="1328"/>
      <c r="CX304" s="1328"/>
      <c r="CY304" s="1328"/>
      <c r="CZ304" s="1328"/>
      <c r="DA304" s="1328"/>
      <c r="DB304" s="1328"/>
      <c r="DC304" s="1328"/>
      <c r="DD304" s="1328"/>
      <c r="DE304" s="1328"/>
      <c r="DF304" s="1328"/>
      <c r="DG304" s="1328"/>
      <c r="DH304" s="1328"/>
      <c r="DI304" s="1328"/>
      <c r="DJ304" s="1328"/>
      <c r="DK304" s="1328"/>
      <c r="DL304" s="1328"/>
      <c r="DM304" s="1328"/>
      <c r="DN304" s="1328"/>
      <c r="DO304" s="1328"/>
      <c r="DP304" s="1328"/>
      <c r="DQ304" s="1328"/>
      <c r="DR304" s="1328"/>
      <c r="DS304" s="1328"/>
      <c r="DT304" s="1328"/>
      <c r="DU304" s="1328"/>
      <c r="DV304" s="1328"/>
      <c r="DW304" s="1328"/>
      <c r="DX304" s="1328"/>
      <c r="DY304" s="1328"/>
      <c r="DZ304" s="1328"/>
      <c r="EA304" s="1328"/>
      <c r="EB304" s="1328"/>
      <c r="EC304" s="1328"/>
      <c r="ED304" s="1328"/>
      <c r="EE304" s="1328"/>
      <c r="EF304" s="1328"/>
      <c r="EG304" s="1328"/>
      <c r="EH304" s="1328"/>
      <c r="EI304" s="1328"/>
      <c r="EJ304" s="1328"/>
      <c r="EK304" s="1328"/>
      <c r="EL304" s="1328"/>
      <c r="EM304" s="1328"/>
      <c r="EN304" s="1328"/>
      <c r="EO304" s="1328"/>
      <c r="EP304" s="1328"/>
      <c r="EQ304" s="1328"/>
      <c r="ER304" s="1328"/>
      <c r="ES304" s="1328"/>
      <c r="ET304" s="1328"/>
      <c r="EU304" s="1328"/>
      <c r="EV304" s="1328"/>
      <c r="EW304" s="1328"/>
      <c r="EX304" s="1328"/>
      <c r="EY304" s="1328"/>
      <c r="EZ304" s="1328"/>
      <c r="FA304" s="1328"/>
      <c r="FB304" s="1328"/>
      <c r="FC304" s="1328"/>
      <c r="FD304" s="1328"/>
      <c r="FE304" s="1328"/>
      <c r="FF304" s="1328"/>
      <c r="FG304" s="1328"/>
      <c r="FH304" s="1328"/>
      <c r="FI304" s="1328"/>
      <c r="FJ304" s="1328"/>
      <c r="FK304" s="1328"/>
      <c r="FL304" s="1328"/>
      <c r="FM304" s="1328"/>
      <c r="FN304" s="1328"/>
      <c r="FO304" s="1328"/>
      <c r="FP304" s="1328"/>
      <c r="FQ304" s="1328"/>
      <c r="FR304" s="1328"/>
      <c r="FS304" s="1328"/>
      <c r="FT304" s="1328"/>
      <c r="FU304" s="1328"/>
      <c r="FV304" s="1328"/>
      <c r="FW304" s="1328"/>
      <c r="FX304" s="1328"/>
      <c r="FY304" s="1328"/>
      <c r="FZ304" s="1014"/>
      <c r="GA304" s="1014"/>
      <c r="GB304" s="1009"/>
      <c r="GC304" s="681"/>
      <c r="GD304" s="681"/>
    </row>
    <row s="1656" customFormat="1" customHeight="1" ht="10.96875">
      <c r="A305" s="472"/>
      <c r="B305" s="933"/>
      <c r="C305" s="472"/>
      <c r="D305" s="485"/>
      <c r="E305" s="873">
        <v>11.25</v>
      </c>
      <c r="F305" s="936"/>
      <c r="G305" s="485"/>
      <c r="H305" s="472"/>
      <c r="I305" s="472"/>
      <c r="J305" s="472"/>
      <c r="K305" s="472"/>
      <c r="L305" s="472"/>
      <c r="M305" s="472"/>
      <c r="N305" s="472"/>
      <c r="O305" s="472"/>
      <c r="P305" s="472"/>
      <c r="Q305" s="472"/>
      <c r="R305" s="472"/>
      <c r="S305" s="485"/>
      <c r="T305" s="472"/>
      <c r="U305" s="472" t="s">
        <v>177</v>
      </c>
      <c r="V305" s="136" t="s">
        <v>1963</v>
      </c>
      <c r="W305" s="472"/>
      <c r="X305" s="472"/>
      <c r="Y305" s="472"/>
      <c r="Z305" s="472"/>
      <c r="AA305" s="472"/>
      <c r="AC305" s="96"/>
      <c r="AD305" s="96"/>
      <c r="AE305" s="96"/>
      <c r="AF305" s="96"/>
      <c r="AG305" s="1656"/>
      <c r="AH305" s="1656"/>
      <c r="AI305" s="1656"/>
      <c r="AJ305" s="1656"/>
      <c r="AK305" s="1656"/>
      <c r="AL305" s="1656"/>
      <c r="AM305" s="1656"/>
      <c r="AN305" s="1656"/>
      <c r="AO305" s="1656"/>
      <c r="AP305" s="1656"/>
      <c r="AQ305" s="97"/>
      <c r="AR305" s="1656"/>
      <c r="AS305" s="1656"/>
      <c r="AT305" s="1656"/>
      <c r="AU305" s="1656"/>
      <c r="AV305" s="1656"/>
      <c r="AW305" s="1656"/>
      <c r="AX305" s="1656"/>
      <c r="AY305" s="1656"/>
      <c r="AZ305" s="1656"/>
      <c r="BA305" s="1656"/>
      <c r="BB305" s="1656"/>
      <c r="BC305" s="1656"/>
      <c r="BD305" s="1656"/>
      <c r="BE305" s="1656"/>
      <c r="BF305" s="1656"/>
      <c r="BG305" s="1656"/>
      <c r="BH305" s="1656"/>
      <c r="BI305" s="1656"/>
      <c r="BJ305" s="1656"/>
      <c r="BK305" s="1656"/>
      <c r="BL305" s="1656"/>
      <c r="BM305" s="1656"/>
      <c r="BN305" s="1656"/>
      <c r="BO305" s="1656"/>
      <c r="BP305" s="1656"/>
      <c r="BQ305" s="1656"/>
      <c r="BR305" s="1656"/>
      <c r="BS305" s="1656"/>
      <c r="BT305" s="1656"/>
      <c r="BU305" s="1656"/>
      <c r="BV305" s="1656"/>
      <c r="BW305" s="1656"/>
      <c r="BX305" s="1656"/>
      <c r="BY305" s="1656"/>
      <c r="BZ305" s="1656"/>
      <c r="CA305" s="1656"/>
      <c r="CB305" s="1656"/>
      <c r="CC305" s="1656"/>
      <c r="CD305" s="1656"/>
      <c r="CE305" s="1656"/>
      <c r="CF305" s="1656"/>
      <c r="CG305" s="1656"/>
      <c r="CH305" s="1656"/>
      <c r="CI305" s="1656"/>
      <c r="CJ305" s="1656"/>
      <c r="CK305" s="1656"/>
      <c r="CL305" s="1656"/>
      <c r="CM305" s="1656"/>
      <c r="CN305" s="1656"/>
      <c r="CO305" s="1656"/>
      <c r="CP305" s="1656"/>
      <c r="CQ305" s="1656"/>
      <c r="CR305" s="1656"/>
      <c r="CS305" s="1656"/>
      <c r="CT305" s="1656"/>
      <c r="CU305" s="1656"/>
      <c r="CV305" s="1656"/>
      <c r="CW305" s="1656"/>
      <c r="CX305" s="1656"/>
      <c r="CY305" s="1656"/>
      <c r="CZ305" s="1656"/>
      <c r="DA305" s="1656"/>
      <c r="DB305" s="1656"/>
      <c r="DC305" s="1656"/>
      <c r="DD305" s="1656"/>
      <c r="DE305" s="1656"/>
      <c r="DF305" s="1656"/>
      <c r="DG305" s="1656"/>
      <c r="DH305" s="1656"/>
      <c r="DI305" s="1656"/>
      <c r="DJ305" s="1656"/>
      <c r="DK305" s="1656"/>
      <c r="DL305" s="1656"/>
      <c r="DM305" s="1656"/>
      <c r="DN305" s="1656"/>
      <c r="DO305" s="1656"/>
      <c r="DP305" s="1656"/>
      <c r="DQ305" s="1656"/>
      <c r="DR305" s="1656"/>
      <c r="DS305" s="1656"/>
      <c r="DT305" s="1656"/>
      <c r="DU305" s="1656"/>
      <c r="DV305" s="1656"/>
      <c r="DW305" s="1656"/>
      <c r="DX305" s="1656"/>
      <c r="DY305" s="1656"/>
      <c r="DZ305" s="1656"/>
      <c r="EA305" s="1656"/>
      <c r="EB305" s="1656"/>
      <c r="EC305" s="1656"/>
      <c r="ED305" s="1656"/>
      <c r="EE305" s="1656"/>
      <c r="EF305" s="1656"/>
      <c r="EG305" s="1656"/>
      <c r="EH305" s="1656"/>
      <c r="EI305" s="1656"/>
      <c r="EJ305" s="1656"/>
      <c r="EK305" s="1656"/>
      <c r="EL305" s="1656"/>
      <c r="EM305" s="1656"/>
      <c r="EN305" s="1656"/>
      <c r="EO305" s="1656"/>
      <c r="EP305" s="1656"/>
      <c r="EQ305" s="1656"/>
      <c r="ER305" s="1656"/>
      <c r="ES305" s="1656"/>
      <c r="ET305" s="1656"/>
      <c r="EU305" s="1656"/>
      <c r="EV305" s="1656"/>
      <c r="EW305" s="1656"/>
      <c r="EX305" s="1656"/>
      <c r="EY305" s="1656"/>
      <c r="EZ305" s="1656"/>
      <c r="FA305" s="1656"/>
      <c r="FB305" s="1656"/>
      <c r="FC305" s="1656"/>
      <c r="FD305" s="1656"/>
      <c r="FE305" s="1656"/>
      <c r="FF305" s="1656"/>
      <c r="FG305" s="1656"/>
      <c r="FH305" s="1656"/>
      <c r="FI305" s="1656"/>
      <c r="FJ305" s="1656"/>
      <c r="FK305" s="1656"/>
      <c r="FL305" s="1656"/>
      <c r="FM305" s="1656"/>
      <c r="FN305" s="1656"/>
      <c r="FO305" s="1656"/>
      <c r="FP305" s="1656"/>
      <c r="FQ305" s="1656"/>
      <c r="FR305" s="1656"/>
      <c r="FS305" s="1656"/>
      <c r="FT305" s="1656"/>
      <c r="FU305" s="1656"/>
      <c r="FV305" s="1656"/>
      <c r="FW305" s="1656"/>
      <c r="FZ305" s="1027"/>
      <c r="GA305" s="1027"/>
      <c r="GB305" s="1066"/>
      <c r="GC305" s="692"/>
      <c r="GD305" s="692"/>
    </row>
    <row customHeight="1" ht="14.625">
      <c r="E306" s="637">
        <v>15</v>
      </c>
      <c r="AB306" s="1553" t="s">
        <v>420</v>
      </c>
      <c r="AC306" s="1553"/>
      <c r="AD306" s="1553"/>
      <c r="AE306" s="1553"/>
      <c r="AF306" s="1553"/>
      <c r="AG306" s="1553"/>
      <c r="AH306" s="1553"/>
      <c r="AI306" s="1553"/>
      <c r="AJ306" s="1553"/>
      <c r="AK306" s="1553"/>
      <c r="AL306" s="1553"/>
      <c r="AM306" s="1553"/>
      <c r="AN306" s="1553"/>
      <c r="AO306" s="1553"/>
      <c r="AP306" s="1553"/>
      <c r="AQ306" s="1553"/>
      <c r="AR306" s="1553"/>
      <c r="AS306" s="1553"/>
      <c r="AT306" s="1553"/>
      <c r="AU306" s="1553"/>
      <c r="AV306" s="1553"/>
      <c r="AW306" s="1553"/>
      <c r="AX306" s="1553"/>
      <c r="AY306" s="1553"/>
      <c r="AZ306" s="1553"/>
      <c r="BA306" s="1553"/>
      <c r="BB306" s="1553"/>
      <c r="BC306" s="1553"/>
      <c r="BD306" s="1553"/>
      <c r="BE306" s="1553"/>
      <c r="BF306" s="1553"/>
      <c r="BG306" s="1553"/>
      <c r="BH306" s="1328"/>
      <c r="BI306" s="1328"/>
      <c r="BJ306" s="1328"/>
      <c r="BK306" s="1328"/>
      <c r="BL306" s="1328"/>
      <c r="BM306" s="1328"/>
      <c r="BN306" s="1328"/>
      <c r="BO306" s="1328"/>
      <c r="BP306" s="1328"/>
      <c r="BQ306" s="1328"/>
      <c r="BR306" s="1328"/>
      <c r="BS306" s="1328"/>
      <c r="BT306" s="1328"/>
      <c r="BU306" s="1328"/>
      <c r="BV306" s="1328"/>
      <c r="BW306" s="1328"/>
      <c r="BX306" s="1328"/>
      <c r="BY306" s="1328"/>
      <c r="BZ306" s="1328"/>
      <c r="CA306" s="1328"/>
      <c r="CB306" s="1328"/>
      <c r="CC306" s="1328"/>
      <c r="CD306" s="1328"/>
      <c r="CE306" s="1328"/>
      <c r="CF306" s="1328"/>
      <c r="CG306" s="1328"/>
      <c r="CH306" s="1328"/>
      <c r="CI306" s="1328"/>
      <c r="CJ306" s="1328"/>
      <c r="CK306" s="1328"/>
      <c r="CL306" s="1328"/>
      <c r="CM306" s="1328"/>
      <c r="CN306" s="1328"/>
      <c r="CO306" s="1328"/>
      <c r="CP306" s="1328"/>
      <c r="CQ306" s="1328"/>
      <c r="CR306" s="1328"/>
      <c r="CS306" s="1328"/>
      <c r="CT306" s="1328"/>
      <c r="CU306" s="1328"/>
      <c r="CV306" s="1328"/>
      <c r="CW306" s="1328"/>
      <c r="CX306" s="1328"/>
      <c r="CY306" s="1328"/>
      <c r="CZ306" s="1328"/>
      <c r="DA306" s="1328"/>
      <c r="DB306" s="1328"/>
      <c r="DC306" s="1328"/>
      <c r="DD306" s="1328"/>
      <c r="DE306" s="1328"/>
      <c r="DF306" s="1328"/>
      <c r="DG306" s="1328"/>
      <c r="DH306" s="1328"/>
      <c r="DI306" s="1328"/>
      <c r="DJ306" s="1328"/>
      <c r="DK306" s="1328"/>
      <c r="DL306" s="1328"/>
      <c r="DM306" s="1328"/>
      <c r="DN306" s="1328"/>
      <c r="DO306" s="1328"/>
      <c r="DP306" s="1328"/>
      <c r="DQ306" s="1328"/>
      <c r="DR306" s="1328"/>
      <c r="DS306" s="1328"/>
      <c r="DT306" s="1328"/>
      <c r="DU306" s="1328"/>
      <c r="DV306" s="1328"/>
      <c r="DW306" s="1328"/>
      <c r="DX306" s="1328"/>
      <c r="DY306" s="1328"/>
      <c r="DZ306" s="1328"/>
      <c r="EA306" s="1328"/>
      <c r="EB306" s="1328"/>
      <c r="EC306" s="1328"/>
      <c r="ED306" s="1328"/>
      <c r="EE306" s="1328"/>
      <c r="EF306" s="1328"/>
      <c r="EG306" s="1328"/>
      <c r="EH306" s="1328"/>
      <c r="EI306" s="1328"/>
      <c r="EJ306" s="1328"/>
      <c r="EK306" s="1328"/>
      <c r="EL306" s="1328"/>
      <c r="EM306" s="1328"/>
      <c r="EN306" s="1328"/>
      <c r="EO306" s="1328"/>
      <c r="EP306" s="1328"/>
      <c r="EQ306" s="1328"/>
      <c r="ER306" s="1328"/>
      <c r="ES306" s="1328"/>
      <c r="ET306" s="1328"/>
      <c r="EU306" s="1328"/>
      <c r="EV306" s="1328"/>
      <c r="EW306" s="1328"/>
      <c r="EX306" s="1328"/>
      <c r="EY306" s="1328"/>
      <c r="EZ306" s="1328"/>
      <c r="FA306" s="1328"/>
      <c r="FB306" s="1328"/>
      <c r="FC306" s="1328"/>
      <c r="FD306" s="1328"/>
      <c r="FE306" s="1328"/>
      <c r="FF306" s="1328"/>
      <c r="FG306" s="1328"/>
      <c r="FH306" s="1328"/>
      <c r="FI306" s="1328"/>
      <c r="FJ306" s="1328"/>
      <c r="FK306" s="1328"/>
      <c r="FL306" s="1328"/>
      <c r="FM306" s="1328"/>
      <c r="FN306" s="1328"/>
      <c r="FO306" s="1328"/>
      <c r="FP306" s="1328"/>
      <c r="FQ306" s="1328"/>
      <c r="FR306" s="1328"/>
      <c r="FS306" s="1328"/>
      <c r="FT306" s="1328"/>
      <c r="FU306" s="1328"/>
      <c r="FV306" s="1328"/>
      <c r="FW306" s="1328"/>
    </row>
    <row customHeight="1" ht="35.671875">
      <c r="E307" s="637">
        <v>15</v>
      </c>
      <c r="AA307" s="667"/>
      <c r="AB307" s="1614" t="s">
        <v>1964</v>
      </c>
      <c r="AC307" s="1614"/>
      <c r="AD307" s="1614"/>
      <c r="AE307" s="1614"/>
      <c r="AF307" s="1614"/>
      <c r="AG307" s="6010"/>
      <c r="AH307" s="6010"/>
      <c r="AI307" s="6010"/>
      <c r="AJ307" s="6010"/>
      <c r="AK307" s="6010"/>
      <c r="AL307" s="6010"/>
      <c r="AM307" s="6010"/>
      <c r="AN307" s="6010"/>
      <c r="AO307" s="6010"/>
      <c r="AP307" s="6010"/>
      <c r="AQ307" s="6010"/>
      <c r="AR307" s="6010"/>
      <c r="AS307" s="6010"/>
      <c r="AT307" s="6010"/>
      <c r="AU307" s="6010"/>
      <c r="AV307" s="6010"/>
      <c r="AW307" s="6010"/>
      <c r="AX307" s="6010"/>
      <c r="AY307" s="6010"/>
      <c r="AZ307" s="6010"/>
      <c r="BA307" s="6010"/>
      <c r="BB307" s="6010"/>
      <c r="BC307" s="6010"/>
      <c r="BD307" s="6010"/>
      <c r="BE307" s="6010"/>
      <c r="BF307" s="6010"/>
      <c r="BG307" s="6010"/>
      <c r="BH307" s="1328"/>
      <c r="BI307" s="1328"/>
      <c r="BJ307" s="1328"/>
      <c r="BK307" s="1328"/>
      <c r="BL307" s="1328"/>
      <c r="BM307" s="1328"/>
      <c r="BN307" s="1328"/>
      <c r="BO307" s="1328"/>
      <c r="BP307" s="1328"/>
      <c r="BQ307" s="1328"/>
      <c r="BR307" s="1328"/>
      <c r="BS307" s="1328"/>
      <c r="BT307" s="1328"/>
      <c r="BU307" s="1328"/>
      <c r="BV307" s="1328"/>
      <c r="BW307" s="1328"/>
      <c r="BX307" s="1328"/>
      <c r="BY307" s="1328"/>
      <c r="BZ307" s="1328"/>
      <c r="CA307" s="1328"/>
      <c r="CB307" s="1328"/>
      <c r="CC307" s="1328"/>
      <c r="CD307" s="1328"/>
      <c r="CE307" s="1328"/>
      <c r="CF307" s="1328"/>
      <c r="CG307" s="1328"/>
      <c r="CH307" s="1328"/>
      <c r="CI307" s="1328"/>
      <c r="CJ307" s="1328"/>
      <c r="CK307" s="1328"/>
      <c r="CL307" s="1328"/>
      <c r="CM307" s="1328"/>
      <c r="CN307" s="1328"/>
      <c r="CO307" s="1328"/>
      <c r="CP307" s="1328"/>
      <c r="CQ307" s="1328"/>
      <c r="CR307" s="1328"/>
      <c r="CS307" s="1328"/>
      <c r="CT307" s="1328"/>
      <c r="CU307" s="1328"/>
      <c r="CV307" s="1328"/>
      <c r="CW307" s="1328"/>
      <c r="CX307" s="1328"/>
      <c r="CY307" s="1328"/>
      <c r="CZ307" s="1328"/>
      <c r="DA307" s="1328"/>
      <c r="DB307" s="1328"/>
      <c r="DC307" s="1328"/>
      <c r="DD307" s="1328"/>
      <c r="DE307" s="1328"/>
      <c r="DF307" s="1328"/>
      <c r="DG307" s="1328"/>
      <c r="DH307" s="1328"/>
      <c r="DI307" s="1328"/>
      <c r="DJ307" s="1328"/>
      <c r="DK307" s="1328"/>
      <c r="DL307" s="1328"/>
      <c r="DM307" s="1328"/>
      <c r="DN307" s="1328"/>
      <c r="DO307" s="1328"/>
      <c r="DP307" s="1328"/>
      <c r="DQ307" s="1328"/>
      <c r="DR307" s="1328"/>
      <c r="DS307" s="1328"/>
      <c r="DT307" s="1328"/>
      <c r="DU307" s="1328"/>
      <c r="DV307" s="1328"/>
      <c r="DW307" s="1328"/>
      <c r="DX307" s="1328"/>
      <c r="DY307" s="1328"/>
      <c r="DZ307" s="1328"/>
      <c r="EA307" s="1328"/>
      <c r="EB307" s="1328"/>
      <c r="EC307" s="1328"/>
      <c r="ED307" s="1328"/>
      <c r="EE307" s="1328"/>
      <c r="EF307" s="1328"/>
      <c r="EG307" s="1328"/>
      <c r="EH307" s="1328"/>
      <c r="EI307" s="1328"/>
      <c r="EJ307" s="1328"/>
      <c r="EK307" s="1328"/>
      <c r="EL307" s="1328"/>
      <c r="EM307" s="1328"/>
      <c r="EN307" s="1328"/>
      <c r="EO307" s="1328"/>
      <c r="EP307" s="1328"/>
      <c r="EQ307" s="1328"/>
      <c r="ER307" s="1328"/>
      <c r="ES307" s="1328"/>
      <c r="ET307" s="1328"/>
      <c r="EU307" s="1328"/>
      <c r="EV307" s="1328"/>
      <c r="EW307" s="1328"/>
      <c r="EX307" s="1328"/>
      <c r="EY307" s="1328"/>
      <c r="EZ307" s="1328"/>
      <c r="FA307" s="1328"/>
      <c r="FB307" s="1328"/>
      <c r="FC307" s="1328"/>
      <c r="FD307" s="1328"/>
      <c r="FE307" s="1328"/>
      <c r="FF307" s="1328"/>
      <c r="FG307" s="1328"/>
      <c r="FH307" s="1328"/>
      <c r="FI307" s="1328"/>
      <c r="FJ307" s="1328"/>
      <c r="FK307" s="1328"/>
      <c r="FL307" s="1328"/>
      <c r="FM307" s="1328"/>
      <c r="FN307" s="1328"/>
      <c r="FO307" s="1328"/>
      <c r="FP307" s="1328"/>
      <c r="FQ307" s="1328"/>
      <c r="FR307" s="1328"/>
      <c r="FS307" s="1328"/>
      <c r="FT307" s="1328"/>
      <c r="FU307" s="1328"/>
      <c r="FV307" s="1328"/>
      <c r="FW307" s="1328"/>
    </row>
    <row customHeight="1" ht="14.625" hidden="1">
      <c r="A308" s="1328"/>
      <c r="B308" s="879"/>
      <c r="C308" s="1328"/>
      <c r="D308" s="1328"/>
      <c r="E308" s="637">
        <v>15</v>
      </c>
      <c r="F308" s="1361"/>
      <c r="G308" s="1328"/>
      <c r="H308" s="1328"/>
      <c r="I308" s="1328"/>
      <c r="J308" s="1328"/>
      <c r="K308" s="1328"/>
      <c r="L308" s="1328"/>
      <c r="M308" s="1328"/>
      <c r="N308" s="1328"/>
      <c r="O308" s="1328"/>
      <c r="P308" s="1328"/>
      <c r="Q308" s="1328"/>
      <c r="R308" s="1328"/>
      <c r="S308" s="1328"/>
      <c r="T308" s="468">
        <f>ROW(W308)&gt;ROW(W$308)</f>
        <v>0</v>
      </c>
      <c r="U308" s="1328"/>
      <c r="V308" s="1328"/>
      <c r="W308" s="94" t="s">
        <v>173</v>
      </c>
      <c r="X308" s="1328"/>
      <c r="Y308" s="1328"/>
      <c r="Z308" s="1328"/>
      <c r="AA308" s="668" t="s">
        <v>174</v>
      </c>
      <c r="AB308" s="2531"/>
      <c r="AC308" s="1870"/>
      <c r="AD308" s="1870"/>
      <c r="AE308" s="1870"/>
      <c r="AF308" s="1870"/>
      <c r="AG308" s="1870"/>
      <c r="AH308" s="1870"/>
      <c r="AI308" s="1870"/>
      <c r="AJ308" s="1870"/>
      <c r="AK308" s="1870"/>
      <c r="AL308" s="1870"/>
      <c r="AM308" s="1870"/>
      <c r="AN308" s="1870"/>
      <c r="AO308" s="1870"/>
      <c r="AP308" s="1870"/>
      <c r="AQ308" s="1870"/>
      <c r="AR308" s="1870"/>
      <c r="AS308" s="1870"/>
      <c r="AT308" s="1870"/>
      <c r="AU308" s="1870"/>
      <c r="AV308" s="1870"/>
      <c r="AW308" s="1870"/>
      <c r="AX308" s="1870"/>
      <c r="AY308" s="1870"/>
      <c r="AZ308" s="1870"/>
      <c r="BA308" s="1870"/>
      <c r="BB308" s="1870"/>
      <c r="BC308" s="1870"/>
      <c r="BD308" s="1870"/>
      <c r="BE308" s="1870"/>
      <c r="BF308" s="1870"/>
      <c r="BG308" s="2532"/>
      <c r="BH308" s="1328"/>
      <c r="BI308" s="1328"/>
      <c r="BJ308" s="1328"/>
      <c r="BK308" s="1328"/>
      <c r="BL308" s="1328"/>
      <c r="BM308" s="1328"/>
      <c r="BN308" s="1328"/>
      <c r="BO308" s="1328"/>
      <c r="BP308" s="1328"/>
      <c r="BQ308" s="1328"/>
      <c r="BR308" s="1328"/>
      <c r="BS308" s="1328"/>
      <c r="BT308" s="1328"/>
      <c r="BU308" s="1328"/>
      <c r="BV308" s="1328"/>
      <c r="BW308" s="1328"/>
      <c r="BX308" s="1328"/>
      <c r="BY308" s="1328"/>
      <c r="BZ308" s="1328"/>
      <c r="CA308" s="1328"/>
      <c r="CB308" s="1328"/>
      <c r="CC308" s="1328"/>
      <c r="CD308" s="1328"/>
      <c r="CE308" s="1328"/>
      <c r="CF308" s="1328"/>
      <c r="CG308" s="1328"/>
      <c r="CH308" s="1328"/>
      <c r="CI308" s="1328"/>
      <c r="CJ308" s="1328"/>
      <c r="CK308" s="1328"/>
      <c r="CL308" s="1328"/>
      <c r="CM308" s="1328"/>
      <c r="CN308" s="1328"/>
      <c r="CO308" s="1328"/>
      <c r="CP308" s="1328"/>
      <c r="CQ308" s="1328"/>
      <c r="CR308" s="1328"/>
      <c r="CS308" s="1328"/>
      <c r="CT308" s="1328"/>
      <c r="CU308" s="1328"/>
      <c r="CV308" s="1328"/>
      <c r="CW308" s="1328"/>
      <c r="CX308" s="1328"/>
      <c r="CY308" s="1328"/>
      <c r="CZ308" s="1328"/>
      <c r="DA308" s="1328"/>
      <c r="DB308" s="1328"/>
      <c r="DC308" s="1328"/>
      <c r="DD308" s="1328"/>
      <c r="DE308" s="1328"/>
      <c r="DF308" s="1328"/>
      <c r="DG308" s="1328"/>
      <c r="DH308" s="1328"/>
      <c r="DI308" s="1328"/>
      <c r="DJ308" s="1328"/>
      <c r="DK308" s="1328"/>
      <c r="DL308" s="1328"/>
      <c r="DM308" s="1328"/>
      <c r="DN308" s="1328"/>
      <c r="DO308" s="1328"/>
      <c r="DP308" s="1328"/>
      <c r="DQ308" s="1328"/>
      <c r="DR308" s="1328"/>
      <c r="DS308" s="1328"/>
      <c r="DT308" s="1328"/>
      <c r="DU308" s="1328"/>
      <c r="DV308" s="1328"/>
      <c r="DW308" s="1328"/>
      <c r="DX308" s="1328"/>
      <c r="DY308" s="1328"/>
      <c r="DZ308" s="1328"/>
      <c r="EA308" s="1328"/>
      <c r="EB308" s="1328"/>
      <c r="EC308" s="1328"/>
      <c r="ED308" s="1328"/>
      <c r="EE308" s="1328"/>
      <c r="EF308" s="1328"/>
      <c r="EG308" s="1328"/>
      <c r="EH308" s="1328"/>
      <c r="EI308" s="1328"/>
      <c r="EJ308" s="1328"/>
      <c r="EK308" s="1328"/>
      <c r="EL308" s="1328"/>
      <c r="EM308" s="1328"/>
      <c r="EN308" s="1328"/>
      <c r="EO308" s="1328"/>
      <c r="EP308" s="1328"/>
      <c r="EQ308" s="1328"/>
      <c r="ER308" s="1328"/>
      <c r="ES308" s="1328"/>
      <c r="ET308" s="1328"/>
      <c r="EU308" s="1328"/>
      <c r="EV308" s="1328"/>
      <c r="EW308" s="1328"/>
      <c r="EX308" s="1328"/>
      <c r="EY308" s="1328"/>
      <c r="EZ308" s="1328"/>
      <c r="FA308" s="1328"/>
      <c r="FB308" s="1328"/>
      <c r="FC308" s="1328"/>
      <c r="FD308" s="1328"/>
      <c r="FE308" s="1328"/>
      <c r="FF308" s="1328"/>
      <c r="FG308" s="1328"/>
      <c r="FH308" s="1328"/>
      <c r="FI308" s="1328"/>
      <c r="FJ308" s="1328"/>
      <c r="FK308" s="1328"/>
      <c r="FL308" s="1328"/>
      <c r="FM308" s="1328"/>
      <c r="FN308" s="1328"/>
      <c r="FO308" s="1328"/>
      <c r="FP308" s="1328"/>
      <c r="FQ308" s="1328"/>
      <c r="FR308" s="1328"/>
      <c r="FS308" s="1328"/>
      <c r="FT308" s="1328"/>
      <c r="FU308" s="1328"/>
      <c r="FV308" s="1328"/>
      <c r="FW308" s="1328"/>
      <c r="FX308" s="1328"/>
      <c r="FY308" s="1328"/>
      <c r="FZ308" s="1330"/>
      <c r="GA308" s="1330"/>
      <c r="GB308" s="1330"/>
      <c r="GC308" s="1329"/>
      <c r="GD308" s="1329"/>
    </row>
    <row s="1656" customFormat="1" customHeight="1" ht="35.671875">
      <c r="A309" s="1328"/>
      <c r="B309" s="879"/>
      <c r="C309" s="1328"/>
      <c r="D309" s="1328"/>
      <c r="E309" s="637">
        <v>15</v>
      </c>
      <c r="F309" s="1361"/>
      <c r="G309" s="1328"/>
      <c r="H309" s="1328"/>
      <c r="I309" s="1328"/>
      <c r="J309" s="1328"/>
      <c r="K309" s="1328"/>
      <c r="L309" s="1328"/>
      <c r="M309" s="1328"/>
      <c r="N309" s="1328"/>
      <c r="O309" s="1328"/>
      <c r="P309" s="1328"/>
      <c r="Q309" s="1328"/>
      <c r="R309" s="1328"/>
      <c r="S309" s="1328"/>
      <c r="T309" s="468">
        <f>ROW(W309)&gt;ROW(W$308)</f>
        <v>1</v>
      </c>
      <c r="U309" s="1328"/>
      <c r="V309" s="1328"/>
      <c r="W309" s="94"/>
      <c r="X309" s="1328"/>
      <c r="Y309" s="1328" t="s">
        <v>240</v>
      </c>
      <c r="Z309" s="1328"/>
      <c r="AA309" s="668" t="s">
        <v>174</v>
      </c>
      <c r="AB309" s="1557" t="s">
        <v>1965</v>
      </c>
      <c r="AC309" s="1522"/>
      <c r="AD309" s="1522"/>
      <c r="AE309" s="1522"/>
      <c r="AF309" s="1522"/>
      <c r="AG309" s="1870"/>
      <c r="AH309" s="1870"/>
      <c r="AI309" s="1870"/>
      <c r="AJ309" s="1870"/>
      <c r="AK309" s="1870"/>
      <c r="AL309" s="1870"/>
      <c r="AM309" s="1522"/>
      <c r="AN309" s="1522"/>
      <c r="AO309" s="1522"/>
      <c r="AP309" s="1522"/>
      <c r="AQ309" s="1522"/>
      <c r="AR309" s="1522"/>
      <c r="AS309" s="1522"/>
      <c r="AT309" s="1522"/>
      <c r="AU309" s="1522"/>
      <c r="AV309" s="1522"/>
      <c r="AW309" s="1522"/>
      <c r="AX309" s="1522"/>
      <c r="AY309" s="1522"/>
      <c r="AZ309" s="1522"/>
      <c r="BA309" s="1522"/>
      <c r="BB309" s="1522"/>
      <c r="BC309" s="1522"/>
      <c r="BD309" s="1522"/>
      <c r="BE309" s="1522"/>
      <c r="BF309" s="1522"/>
      <c r="BG309" s="1558"/>
      <c r="BH309" s="1328"/>
      <c r="BI309" s="1328"/>
      <c r="BJ309" s="1328"/>
      <c r="BK309" s="1328"/>
      <c r="BL309" s="1328"/>
      <c r="BM309" s="1328"/>
      <c r="BN309" s="1328"/>
      <c r="BO309" s="1328"/>
      <c r="BP309" s="1328"/>
      <c r="BQ309" s="1328"/>
      <c r="BR309" s="1328"/>
      <c r="BS309" s="1328"/>
      <c r="BT309" s="1328"/>
      <c r="BU309" s="1328"/>
      <c r="BV309" s="1328"/>
      <c r="BW309" s="1328"/>
      <c r="BX309" s="1328"/>
      <c r="BY309" s="1328"/>
      <c r="BZ309" s="1328"/>
      <c r="CA309" s="1328"/>
      <c r="CB309" s="1328"/>
      <c r="CC309" s="1328"/>
      <c r="CD309" s="1328"/>
      <c r="CE309" s="1328"/>
      <c r="CF309" s="1328"/>
      <c r="CG309" s="1328"/>
      <c r="CH309" s="1328"/>
      <c r="CI309" s="1328"/>
      <c r="CJ309" s="1328"/>
      <c r="CK309" s="1328"/>
      <c r="CL309" s="1328"/>
      <c r="CM309" s="1328"/>
      <c r="CN309" s="1328"/>
      <c r="CO309" s="1328"/>
      <c r="CP309" s="1328"/>
      <c r="CQ309" s="1328"/>
      <c r="CR309" s="1328"/>
      <c r="CS309" s="1328"/>
      <c r="CT309" s="1328"/>
      <c r="CU309" s="1328"/>
      <c r="CV309" s="1328"/>
      <c r="CW309" s="1328"/>
      <c r="CX309" s="1328"/>
      <c r="CY309" s="1328"/>
      <c r="CZ309" s="1328"/>
      <c r="DA309" s="1328"/>
      <c r="DB309" s="1328"/>
      <c r="DC309" s="1328"/>
      <c r="DD309" s="1328"/>
      <c r="DE309" s="1328"/>
      <c r="DF309" s="1328"/>
      <c r="DG309" s="1328"/>
      <c r="DH309" s="1328"/>
      <c r="DI309" s="1328"/>
      <c r="DJ309" s="1328"/>
      <c r="DK309" s="1328"/>
      <c r="DL309" s="1328"/>
      <c r="DM309" s="1328"/>
      <c r="DN309" s="1328"/>
      <c r="DO309" s="1328"/>
      <c r="DP309" s="1328"/>
      <c r="DQ309" s="1328"/>
      <c r="DR309" s="1328"/>
      <c r="DS309" s="1328"/>
      <c r="DT309" s="1328"/>
      <c r="DU309" s="1328"/>
      <c r="DV309" s="1328"/>
      <c r="DW309" s="1328"/>
      <c r="DX309" s="1328"/>
      <c r="DY309" s="1328"/>
      <c r="DZ309" s="1328"/>
      <c r="EA309" s="1328"/>
      <c r="EB309" s="1328"/>
      <c r="EC309" s="1328"/>
      <c r="ED309" s="1328"/>
      <c r="EE309" s="1328"/>
      <c r="EF309" s="1328"/>
      <c r="EG309" s="1328"/>
      <c r="EH309" s="1328"/>
      <c r="EI309" s="1328"/>
      <c r="EJ309" s="1328"/>
      <c r="EK309" s="1328"/>
      <c r="EL309" s="1328"/>
      <c r="EM309" s="1328"/>
      <c r="EN309" s="1328"/>
      <c r="EO309" s="1328"/>
      <c r="EP309" s="1328"/>
      <c r="EQ309" s="1328"/>
      <c r="ER309" s="1328"/>
      <c r="ES309" s="1328"/>
      <c r="ET309" s="1328"/>
      <c r="EU309" s="1328"/>
      <c r="EV309" s="1328"/>
      <c r="EW309" s="1328"/>
      <c r="EX309" s="1328"/>
      <c r="EY309" s="1328"/>
      <c r="EZ309" s="1328"/>
      <c r="FA309" s="1328"/>
      <c r="FB309" s="1328"/>
      <c r="FC309" s="1328"/>
      <c r="FD309" s="1328"/>
      <c r="FE309" s="1328"/>
      <c r="FF309" s="1328"/>
      <c r="FG309" s="1328"/>
      <c r="FH309" s="1328"/>
      <c r="FI309" s="1328"/>
      <c r="FJ309" s="1328"/>
      <c r="FK309" s="1328"/>
      <c r="FL309" s="1328"/>
      <c r="FM309" s="1328"/>
      <c r="FN309" s="1328"/>
      <c r="FO309" s="1328"/>
      <c r="FP309" s="1328"/>
      <c r="FQ309" s="1328"/>
      <c r="FR309" s="1328"/>
      <c r="FS309" s="1328"/>
      <c r="FT309" s="1328"/>
      <c r="FU309" s="1328"/>
      <c r="FV309" s="1328"/>
      <c r="FW309" s="1328"/>
      <c r="FX309" s="1328"/>
      <c r="FY309" s="1328"/>
      <c r="FZ309" s="1330"/>
      <c r="GA309" s="1330"/>
      <c r="GB309" s="1330"/>
      <c r="GC309" s="1329"/>
      <c r="GD309" s="1329"/>
    </row>
    <row customHeight="1" ht="14.625">
      <c r="E310" s="637">
        <v>15</v>
      </c>
      <c r="W310" s="764" t="s">
        <v>421</v>
      </c>
      <c r="AB310" s="1612" t="s">
        <v>422</v>
      </c>
      <c r="AC310" s="1613"/>
      <c r="AD310" s="306"/>
      <c r="AE310" s="306"/>
      <c r="AF310" s="306"/>
      <c r="AG310" s="306"/>
      <c r="AH310" s="306"/>
      <c r="AI310" s="306"/>
      <c r="AJ310" s="306"/>
      <c r="AK310" s="306"/>
      <c r="AL310" s="306"/>
      <c r="AM310" s="306"/>
      <c r="AN310" s="306"/>
      <c r="AO310" s="306"/>
      <c r="AP310" s="306"/>
      <c r="AQ310" s="306"/>
      <c r="AR310" s="306"/>
      <c r="AS310" s="306"/>
      <c r="AT310" s="306"/>
      <c r="AU310" s="306"/>
      <c r="AV310" s="306"/>
      <c r="AW310" s="306"/>
      <c r="AX310" s="306"/>
      <c r="AY310" s="306"/>
      <c r="AZ310" s="306"/>
      <c r="BA310" s="306"/>
      <c r="BB310" s="306"/>
      <c r="BC310" s="306"/>
      <c r="BD310" s="306"/>
      <c r="BE310" s="306"/>
      <c r="BF310" s="306"/>
      <c r="BG310" s="271"/>
      <c r="BH310" s="1328"/>
      <c r="BI310" s="1328"/>
      <c r="BJ310" s="1328"/>
      <c r="BK310" s="1328"/>
      <c r="BL310" s="1328"/>
      <c r="BM310" s="1328"/>
      <c r="BN310" s="1328"/>
      <c r="BO310" s="1328"/>
      <c r="BP310" s="1328"/>
      <c r="BQ310" s="1328"/>
      <c r="BR310" s="1328"/>
      <c r="BS310" s="1328"/>
      <c r="BT310" s="1328"/>
      <c r="BU310" s="1328"/>
      <c r="BV310" s="1328"/>
      <c r="BW310" s="1328"/>
      <c r="BX310" s="1328"/>
      <c r="BY310" s="1328"/>
      <c r="BZ310" s="1328"/>
      <c r="CA310" s="1328"/>
      <c r="CB310" s="1328"/>
      <c r="CC310" s="1328"/>
      <c r="CD310" s="1328"/>
      <c r="CE310" s="1328"/>
      <c r="CF310" s="1328"/>
      <c r="CG310" s="1328"/>
      <c r="CH310" s="1328"/>
      <c r="CI310" s="1328"/>
      <c r="CJ310" s="1328"/>
      <c r="CK310" s="1328"/>
      <c r="CL310" s="1328"/>
      <c r="CM310" s="1328"/>
      <c r="CN310" s="1328"/>
      <c r="CO310" s="1328"/>
      <c r="CP310" s="1328"/>
      <c r="CQ310" s="1328"/>
      <c r="CR310" s="1328"/>
      <c r="CS310" s="1328"/>
      <c r="CT310" s="1328"/>
      <c r="CU310" s="1328"/>
      <c r="CV310" s="1328"/>
      <c r="CW310" s="1328"/>
      <c r="CX310" s="1328"/>
      <c r="CY310" s="1328"/>
      <c r="CZ310" s="1328"/>
      <c r="DA310" s="1328"/>
      <c r="DB310" s="1328"/>
      <c r="DC310" s="1328"/>
      <c r="DD310" s="1328"/>
      <c r="DE310" s="1328"/>
      <c r="DF310" s="1328"/>
      <c r="DG310" s="1328"/>
      <c r="DH310" s="1328"/>
      <c r="DI310" s="1328"/>
      <c r="DJ310" s="1328"/>
      <c r="DK310" s="1328"/>
      <c r="DL310" s="1328"/>
      <c r="DM310" s="1328"/>
      <c r="DN310" s="1328"/>
      <c r="DO310" s="1328"/>
      <c r="DP310" s="1328"/>
      <c r="DQ310" s="1328"/>
      <c r="DR310" s="1328"/>
      <c r="DS310" s="1328"/>
      <c r="DT310" s="1328"/>
      <c r="DU310" s="1328"/>
      <c r="DV310" s="1328"/>
      <c r="DW310" s="1328"/>
      <c r="DX310" s="1328"/>
      <c r="DY310" s="1328"/>
      <c r="DZ310" s="1328"/>
      <c r="EA310" s="1328"/>
      <c r="EB310" s="1328"/>
      <c r="EC310" s="1328"/>
      <c r="ED310" s="1328"/>
      <c r="EE310" s="1328"/>
      <c r="EF310" s="1328"/>
      <c r="EG310" s="1328"/>
      <c r="EH310" s="1328"/>
      <c r="EI310" s="1328"/>
      <c r="EJ310" s="1328"/>
      <c r="EK310" s="1328"/>
      <c r="EL310" s="1328"/>
      <c r="EM310" s="1328"/>
      <c r="EN310" s="1328"/>
      <c r="EO310" s="1328"/>
      <c r="EP310" s="1328"/>
      <c r="EQ310" s="1328"/>
      <c r="ER310" s="1328"/>
      <c r="ES310" s="1328"/>
      <c r="ET310" s="1328"/>
      <c r="EU310" s="1328"/>
      <c r="EV310" s="1328"/>
      <c r="EW310" s="1328"/>
      <c r="EX310" s="1328"/>
      <c r="EY310" s="1328"/>
      <c r="EZ310" s="1328"/>
      <c r="FA310" s="1328"/>
      <c r="FB310" s="1328"/>
      <c r="FC310" s="1328"/>
      <c r="FD310" s="1328"/>
      <c r="FE310" s="1328"/>
      <c r="FF310" s="1328"/>
      <c r="FG310" s="1328"/>
      <c r="FH310" s="1328"/>
      <c r="FI310" s="1328"/>
      <c r="FJ310" s="1328"/>
      <c r="FK310" s="1328"/>
      <c r="FL310" s="1328"/>
      <c r="FM310" s="1328"/>
      <c r="FN310" s="1328"/>
      <c r="FO310" s="1328"/>
      <c r="FP310" s="1328"/>
      <c r="FQ310" s="1328"/>
      <c r="FR310" s="1328"/>
      <c r="FS310" s="1328"/>
      <c r="FT310" s="1328"/>
      <c r="FU310" s="1328"/>
      <c r="FV310" s="1328"/>
      <c r="FW310" s="1328"/>
    </row>
    <row customHeight="1" ht="10.96875">
      <c r="E311" s="637">
        <v>11.25</v>
      </c>
      <c r="AG311" s="1328"/>
      <c r="AH311" s="1328"/>
      <c r="AI311" s="1328"/>
      <c r="AJ311" s="1328"/>
      <c r="AK311" s="1328"/>
      <c r="AL311" s="1328"/>
      <c r="AM311" s="1328"/>
      <c r="AN311" s="1328"/>
      <c r="AO311" s="1328"/>
      <c r="AP311" s="1328"/>
      <c r="AQ311" s="1328"/>
      <c r="AR311" s="1328"/>
      <c r="AS311" s="1328"/>
      <c r="AT311" s="1328"/>
      <c r="AU311" s="1328"/>
      <c r="AV311" s="1328"/>
      <c r="AW311" s="1328"/>
      <c r="AX311" s="1328"/>
      <c r="AY311" s="1328"/>
      <c r="AZ311" s="1328"/>
      <c r="BA311" s="1328"/>
      <c r="BB311" s="1328"/>
      <c r="BC311" s="1328"/>
      <c r="BD311" s="1328"/>
      <c r="BE311" s="1328"/>
      <c r="BF311" s="1328"/>
      <c r="BG311" s="1328"/>
      <c r="BH311" s="1328"/>
      <c r="BI311" s="1328"/>
      <c r="BJ311" s="1328"/>
      <c r="BK311" s="1328"/>
      <c r="BL311" s="1328"/>
      <c r="BM311" s="1328"/>
      <c r="BN311" s="1328"/>
      <c r="BO311" s="1328"/>
      <c r="BP311" s="1328"/>
      <c r="BQ311" s="1328"/>
      <c r="BR311" s="1328"/>
      <c r="BS311" s="1328"/>
      <c r="BT311" s="1328"/>
      <c r="BU311" s="1328"/>
      <c r="BV311" s="1328"/>
      <c r="BW311" s="1328"/>
      <c r="BX311" s="1328"/>
      <c r="BY311" s="1328"/>
      <c r="BZ311" s="1328"/>
      <c r="CA311" s="1328"/>
      <c r="CB311" s="1328"/>
      <c r="CC311" s="1328"/>
      <c r="CD311" s="1328"/>
      <c r="CE311" s="1328"/>
      <c r="CF311" s="1328"/>
      <c r="CG311" s="1328"/>
      <c r="CH311" s="1328"/>
      <c r="CI311" s="1328"/>
      <c r="CJ311" s="1328"/>
      <c r="CK311" s="1328"/>
      <c r="CL311" s="1328"/>
      <c r="CM311" s="1328"/>
      <c r="CN311" s="1328"/>
      <c r="CO311" s="1328"/>
      <c r="CP311" s="1328"/>
      <c r="CQ311" s="1328"/>
      <c r="CR311" s="1328"/>
      <c r="CS311" s="1328"/>
      <c r="CT311" s="1328"/>
      <c r="CU311" s="1328"/>
      <c r="CV311" s="1328"/>
      <c r="CW311" s="1328"/>
      <c r="CX311" s="1328"/>
      <c r="CY311" s="1328"/>
      <c r="CZ311" s="1328"/>
      <c r="DA311" s="1328"/>
      <c r="DB311" s="1328"/>
      <c r="DC311" s="1328"/>
      <c r="DD311" s="1328"/>
      <c r="DE311" s="1328"/>
      <c r="DF311" s="1328"/>
      <c r="DG311" s="1328"/>
      <c r="DH311" s="1328"/>
      <c r="DI311" s="1328"/>
      <c r="DJ311" s="1328"/>
      <c r="DK311" s="1328"/>
      <c r="DL311" s="1328"/>
      <c r="DM311" s="1328"/>
      <c r="DN311" s="1328"/>
      <c r="DO311" s="1328"/>
      <c r="DP311" s="1328"/>
      <c r="DQ311" s="1328"/>
      <c r="DR311" s="1328"/>
      <c r="DS311" s="1328"/>
      <c r="DT311" s="1328"/>
      <c r="DU311" s="1328"/>
      <c r="DV311" s="1328"/>
      <c r="DW311" s="1328"/>
      <c r="DX311" s="1328"/>
      <c r="DY311" s="1328"/>
      <c r="DZ311" s="1328"/>
      <c r="EA311" s="1328"/>
      <c r="EB311" s="1328"/>
      <c r="EC311" s="1328"/>
      <c r="ED311" s="1328"/>
      <c r="EE311" s="1328"/>
      <c r="EF311" s="1328"/>
      <c r="EG311" s="1328"/>
      <c r="EH311" s="1328"/>
      <c r="EI311" s="1328"/>
      <c r="EJ311" s="1328"/>
      <c r="EK311" s="1328"/>
      <c r="EL311" s="1328"/>
      <c r="EM311" s="1328"/>
      <c r="EN311" s="1328"/>
      <c r="EO311" s="1328"/>
      <c r="EP311" s="1328"/>
      <c r="EQ311" s="1328"/>
      <c r="ER311" s="1328"/>
      <c r="ES311" s="1328"/>
      <c r="ET311" s="1328"/>
      <c r="EU311" s="1328"/>
      <c r="EV311" s="1328"/>
      <c r="EW311" s="1328"/>
      <c r="EX311" s="1328"/>
      <c r="EY311" s="1328"/>
      <c r="EZ311" s="1328"/>
      <c r="FA311" s="1328"/>
      <c r="FB311" s="1328"/>
      <c r="FC311" s="1328"/>
      <c r="FD311" s="1328"/>
      <c r="FE311" s="1328"/>
      <c r="FF311" s="1328"/>
      <c r="FG311" s="1328"/>
      <c r="FH311" s="1328"/>
      <c r="FI311" s="1328"/>
      <c r="FJ311" s="1328"/>
      <c r="FK311" s="1328"/>
      <c r="FL311" s="1328"/>
      <c r="FM311" s="1328"/>
      <c r="FN311" s="1328"/>
      <c r="FO311" s="1328"/>
      <c r="FP311" s="1328"/>
      <c r="FQ311" s="1328"/>
      <c r="FR311" s="1328"/>
      <c r="FS311" s="1328"/>
      <c r="FT311" s="1328"/>
      <c r="FU311" s="1328"/>
      <c r="FV311" s="1328"/>
      <c r="FW311" s="1328"/>
      <c r="FX311" s="428"/>
    </row>
  </sheetData>
  <sheetProtection formatColumns="0" formatRows="0" insertRows="0" deleteColumns="0" deleteRows="0" sort="0" autoFilter="0" insertColumns="1"/>
  <mergeCells count="129">
    <mergeCell ref="X29:X91"/>
    <mergeCell ref="Z29:Z91"/>
    <mergeCell ref="BH25:BJ25"/>
    <mergeCell ref="AJ25:AL25"/>
    <mergeCell ref="AB25:AB26"/>
    <mergeCell ref="AC25:AC26"/>
    <mergeCell ref="AD25:AF25"/>
    <mergeCell ref="BE25:BG25"/>
    <mergeCell ref="AG25:AI25"/>
    <mergeCell ref="AY25:BA25"/>
    <mergeCell ref="BB25:BD25"/>
    <mergeCell ref="AM25:AO25"/>
    <mergeCell ref="AP25:AR25"/>
    <mergeCell ref="AS25:AU25"/>
    <mergeCell ref="AV25:AX25"/>
    <mergeCell ref="AA42:AA44"/>
    <mergeCell ref="Y42:Y44"/>
    <mergeCell ref="AB29:AC29"/>
    <mergeCell ref="AB30:AC30"/>
    <mergeCell ref="AB31:AC31"/>
    <mergeCell ref="AB32:AC32"/>
    <mergeCell ref="AB310:AC310"/>
    <mergeCell ref="AB307:BG307"/>
    <mergeCell ref="AB306:BG306"/>
    <mergeCell ref="AB308:BG308"/>
    <mergeCell ref="BK25:BM25"/>
    <mergeCell ref="BN25:BP25"/>
    <mergeCell ref="BQ25:BS25"/>
    <mergeCell ref="BT25:BV25"/>
    <mergeCell ref="BW25:BY25"/>
    <mergeCell ref="BZ25:CB25"/>
    <mergeCell ref="CC25:CE25"/>
    <mergeCell ref="CF25:CH25"/>
    <mergeCell ref="CI25:CK25"/>
    <mergeCell ref="CL25:CN25"/>
    <mergeCell ref="DG25:DI25"/>
    <mergeCell ref="DJ25:DL25"/>
    <mergeCell ref="DM25:DO25"/>
    <mergeCell ref="DP25:DR25"/>
    <mergeCell ref="CO25:CQ25"/>
    <mergeCell ref="CR25:CT25"/>
    <mergeCell ref="CU25:CW25"/>
    <mergeCell ref="CX25:CZ25"/>
    <mergeCell ref="DA25:DC25"/>
    <mergeCell ref="DD25:DF25"/>
    <mergeCell ref="FU25:FW25"/>
    <mergeCell ref="EW25:EY25"/>
    <mergeCell ref="EZ25:FB25"/>
    <mergeCell ref="FC25:FE25"/>
    <mergeCell ref="FF25:FH25"/>
    <mergeCell ref="FI25:FK25"/>
    <mergeCell ref="FL25:FN25"/>
    <mergeCell ref="FO25:FQ25"/>
    <mergeCell ref="FR25:FT25"/>
    <mergeCell ref="EH25:EJ25"/>
    <mergeCell ref="EK25:EM25"/>
    <mergeCell ref="EN25:EP25"/>
    <mergeCell ref="EQ25:ES25"/>
    <mergeCell ref="ET25:EV25"/>
    <mergeCell ref="DS25:DU25"/>
    <mergeCell ref="DV25:DX25"/>
    <mergeCell ref="DY25:EA25"/>
    <mergeCell ref="EB25:ED25"/>
    <mergeCell ref="EE25:EG25"/>
    <mergeCell ref="X92:X178"/>
    <mergeCell ref="Z92:Z178"/>
    <mergeCell ref="AA105:AA107"/>
    <mergeCell ref="Y105:Y107"/>
    <mergeCell ref="AB92:AC92"/>
    <mergeCell ref="AB93:AC93"/>
    <mergeCell ref="AB94:AC94"/>
    <mergeCell ref="AB95:AC95"/>
    <mergeCell ref="X179:X241"/>
    <mergeCell ref="Z179:Z241"/>
    <mergeCell ref="AA192:AA194"/>
    <mergeCell ref="Y192:Y194"/>
    <mergeCell ref="AB179:AC179"/>
    <mergeCell ref="AB180:AC180"/>
    <mergeCell ref="AB181:AC181"/>
    <mergeCell ref="AB182:AC182"/>
    <mergeCell ref="X242:X304"/>
    <mergeCell ref="Z242:Z304"/>
    <mergeCell ref="AA255:AA257"/>
    <mergeCell ref="Y255:Y257"/>
    <mergeCell ref="AB242:AC242"/>
    <mergeCell ref="AB243:AC243"/>
    <mergeCell ref="AB244:AC244"/>
    <mergeCell ref="AB245:AC245"/>
    <mergeCell ref="AA108:AA110"/>
    <mergeCell ref="Y108:Y110"/>
    <mergeCell ref="AA111:AA113"/>
    <mergeCell ref="Y111:Y113"/>
    <mergeCell ref="AA114:AA116"/>
    <mergeCell ref="Y114:Y116"/>
    <mergeCell ref="AA117:AA119"/>
    <mergeCell ref="Y117:Y119"/>
    <mergeCell ref="AA120:AA122"/>
    <mergeCell ref="Y120:Y122"/>
    <mergeCell ref="AA123:AA125"/>
    <mergeCell ref="Y123:Y125"/>
    <mergeCell ref="AA126:AA128"/>
    <mergeCell ref="Y126:Y128"/>
    <mergeCell ref="AA129:AA131"/>
    <mergeCell ref="Y129:Y131"/>
    <mergeCell ref="AB309:BG309"/>
    <mergeCell ref="AD29:FW29"/>
    <mergeCell ref="AD30:FW30"/>
    <mergeCell ref="AD31:FW31"/>
    <mergeCell ref="AD32:FW32"/>
    <mergeCell ref="AD92:FW92"/>
    <mergeCell ref="AD93:FW93"/>
    <mergeCell ref="AD94:FW94"/>
    <mergeCell ref="AD95:FW95"/>
    <mergeCell ref="AD179:FW179"/>
    <mergeCell ref="AD180:FW180"/>
    <mergeCell ref="AD181:FW181"/>
    <mergeCell ref="AD182:FW182"/>
    <mergeCell ref="AD242:FW242"/>
    <mergeCell ref="AD243:FW243"/>
    <mergeCell ref="AD244:FW244"/>
    <mergeCell ref="AD245:FW245"/>
    <mergeCell ref="Y284:Y295"/>
    <mergeCell ref="AA284:AA295"/>
    <mergeCell ref="Y221:Y232"/>
    <mergeCell ref="AA221:AA232"/>
    <mergeCell ref="Y158:Y169"/>
    <mergeCell ref="AA158:AA169"/>
    <mergeCell ref="Y71:Y82"/>
    <mergeCell ref="AA71:AA82"/>
  </mergeCells>
  <dataValidations count="1">
    <dataValidation type="decimal" allowBlank="1" showErrorMessage="1" errorTitle="Ошибка" error="Допускается ввод только неотрицательных чисел!" sqref="BE85:BF86 BB85:BC86 AY85:AZ86 AV85:AW86 AS85:AT86 AP85:AQ86 AM85:AN86 AJ85:AK86 AG85:AH86 FU89:FV89 AD60:AE61 AY51:AZ52 AV51:AW52 AS51:AT52 AP51:AQ52 AM51:AN52 AJ51:AK52 AG51:AH52 AG60:AH61 AD51:AE52 AG57:AH58 BB51:BC52 AY57:AZ58 AV57:AW58 AS57:AT58 AP57:AQ58 AM57:AN58 AJ57:AK58 BB60:BC61 AD57:AE58 BB57:BC58 AY60:AZ61 AV60:AW61 AS60:AT61 AP60:AQ61 AM60:AN61 AJ60:AK61 AD54:AE55 AD69:AE73 BE60:BF61 AD85:AE86 BB48:BC49 AY48:AZ49 AV48:AW49 AS48:AT49 AP48:AQ49 AM48:AN49 AJ48:AK49 BB69:BC73 AY69:AZ73 AV69:AW73 AS69:AT73 AP69:AQ73 AM69:AN73 AJ69:AK73 BE69:BF73 AG66:AH67 AY54:AZ55 AV54:AW55 AS54:AT55 AP54:AQ55 AM54:AN55 AJ54:AK55 AG48:AH49 AD48:AE49 BE54:BF55 AD63:AE64 BB63:BC64 AY63:AZ64 AV63:AW64 AS63:AT64 AP63:AQ64 AM63:AN64 AJ63:AK64 AG63:AH64 AJ66:AK67 AM66:AN67 AP66:AQ67 AS66:AT67 AV66:AW67 AY66:AZ67 BB66:BC67 BE66:BF67 AG54:AH55 BE51:BF52 BE57:BF58 BB54:BC55 BE48:BF49 BE63:BF64 FU85:FV86 BH69:BI73 BH60:BI61 BK69:BL73 BH54:BI55 BH66:BI67 BH51:BI52 BH57:BI58 BH48:BI49 BH63:BI64 BK60:BL61 BN60:BO61 BQ60:BR61 BT60:BU61 BW60:BX61 BZ60:CA61 CC60:CD61 CF60:CG61 CI60:CJ61 CL60:CM61 CO60:CP61 CR60:CS61 CU60:CV61 CX60:CY61 DA60:DB61 DD60:DE61 DG60:DH61 DJ60:DK61 DM60:DN61 DP60:DQ61 DS60:DT61 DV60:DW61 DY60:DZ61 EB60:EC61 EE60:EF61 EH60:EI61 EK60:EL61 EN60:EO61 EQ60:ER61 ET60:EU61 EW60:EX61 EZ60:FA61 FC60:FD61 FF60:FG61 FI60:FJ61 FL60:FM61 FO60:FP61 FR60:FS61 FU60:FV61 BN69:BO73 BQ69:BR73 BT69:BU73 BW69:BX73 BZ69:CA73 CC69:CD73 CF69:CG73 CI69:CJ73 CL69:CM73 CO69:CP73 CR69:CS73 CU69:CV73 CX69:CY73 DA69:DB73 DD69:DE73 DG69:DH73 DJ69:DK73 DM69:DN73 DP69:DQ73 DS69:DT73 DV69:DW73 DY69:DZ73 EB69:EC73 EE69:EF73 EH69:EI73 EK69:EL73 EN69:EO73 EQ69:ER73 ET69:EU73 EW69:EX73 EZ69:FA73 FC69:FD73 FF69:FG73 FI69:FJ73 FL69:FM73 FO69:FP73 FR69:FS73 FU69:FV73 FU42:FV43 BK54:BL55 BN54:BO55 BQ54:BR55 BT54:BU55 BW54:BX55 BZ54:CA55 CC54:CD55 CF54:CG55 CI54:CJ55 CL54:CM55 CO54:CP55 CR54:CS55 CU54:CV55 CX54:CY55 DA54:DB55 DD54:DE55 DG54:DH55 DJ54:DK55 DM54:DN55 DP54:DQ55 DS54:DT55 DV54:DW55 DY54:DZ55 EB54:EC55 EE54:EF55 EH54:EI55 EK54:EL55 EN54:EO55 EQ54:ER55 ET54:EU55 EW54:EX55 EZ54:FA55 FC54:FD55 FF54:FG55 FI54:FJ55 FL54:FM55 FO54:FP55 FR54:FS55 FU54:FV55 BK66:BL67 BN66:BO67 BQ66:BR67 BT66:BU67 BW66:BX67 BZ66:CA67 CC66:CD67 CF66:CG67 CI66:CJ67 CL66:CM67 CO66:CP67 CR66:CS67 CU66:CV67 CX66:CY67 DA66:DB67 DD66:DE67 DG66:DH67 DJ66:DK67 DM66:DN67 DP66:DQ67 DS66:DT67 DV66:DW67 DY66:DZ67 EB66:EC67 EE66:EF67 EH66:EI67 EK66:EL67 EN66:EO67 EQ66:ER67 ET66:EU67 EW66:EX67 EZ66:FA67 FC66:FD67 FF66:FG67 FI66:FJ67 FL66:FM67 FO66:FP67 FR66:FS67 FU66:FV67 BK51:BL52 BN51:BO52 BQ51:BR52 BT51:BU52 BW51:BX52 BZ51:CA52 CC51:CD52 CF51:CG52 CI51:CJ52 CL51:CM52 CO51:CP52 CR51:CS52 CU51:CV52 CX51:CY52 DA51:DB52 DD51:DE52 DG51:DH52 DJ51:DK52 DM51:DN52 DP51:DQ52 DS51:DT52 DV51:DW52 DY51:DZ52 EB51:EC52 EE51:EF52 EH51:EI52 EK51:EL52 EN51:EO52 EQ51:ER52 ET51:EU52 EW51:EX52 EZ51:FA52 FC51:FD52 FF51:FG52 FI51:FJ52 FL51:FM52 FO51:FP52 FR51:FS52 FU51:FV52 BK57:BL58 BN57:BO58 BQ57:BR58 BT57:BU58 BW57:BX58 BZ57:CA58 CC57:CD58 CF57:CG58 CI57:CJ58 CL57:CM58 CO57:CP58 CR57:CS58 CU57:CV58 CX57:CY58 DA57:DB58 DD57:DE58 DG57:DH58 DJ57:DK58 DM57:DN58 DP57:DQ58 DS57:DT58 DV57:DW58 DY57:DZ58 EB57:EC58 EE57:EF58 EH57:EI58 EK57:EL58 EN57:EO58 EQ57:ER58 ET57:EU58 EW57:EX58 EZ57:FA58 FC57:FD58 FF57:FG58 FI57:FJ58 FL57:FM58 FO57:FP58 FR57:FS58 FU57:FV58 BK48:BL49 BN48:BO49 BQ48:BR49 BT48:BU49 BW48:BX49 BZ48:CA49 CC48:CD49 CF48:CG49 CI48:CJ49 CL48:CM49 CO48:CP49 CR48:CS49 CU48:CV49 CX48:CY49 DA48:DB49 DD48:DE49 DG48:DH49 DJ48:DK49 DM48:DN49 DP48:DQ49 DS48:DT49 DV48:DW49 DY48:DZ49 EB48:EC49 EE48:EF49 EH48:EI49 EK48:EL49 EN48:EO49 EQ48:ER49 ET48:EU49 EW48:EX49 EZ48:FA49 FC48:FD49 FF48:FG49 FI48:FJ49 FL48:FM49 FO48:FP49 FR48:FS49 FU48:FV49 BK63:BL64 BN63:BO64 BQ63:BR64 BT63:BU64 BW63:BX64 BZ63:CA64 CC63:CD64 CF63:CG64 CI63:CJ64 CL63:CM64 CO63:CP64 CR63:CS64 CU63:CV64 CX63:CY64 DA63:DB64 DD63:DE64 DG63:DH64 DJ63:DK64 DM63:DN64 DP63:DQ64 DS63:DT64 DV63:DW64 DY63:DZ64 EB63:EC64 EE63:EF64 EH63:EI64 EK63:EL64 EN63:EO64 EQ63:ER64 ET63:EU64 EW63:EX64 EZ63:FA64 FC63:FD64 FF63:FG64 FI63:FJ64 FL63:FM64 FO63:FP64 FR63:FS64 FU63:FV64 BH85:BI86 BK85:BL86 BN85:BO86 BQ85:BR86 BT85:BU86 BW85:BX86 BZ85:CA86 CC85:CD86 CF85:CG86 CI85:CJ86 CL85:CM86 CO85:CP86 CR85:CS86 CU85:CV86 CX85:CY86 DA85:DB86 DD85:DE86 DG85:DH86 DJ85:DK86 DM85:DN86 DP85:DQ86 DS85:DT86 DV85:DW86 DY85:DZ86 EB85:EC86 EE85:EF86 EH85:EI86 EK85:EL86 EN85:EO86 EQ85:ER86 ET85:EU86 EW85:EX86 EZ85:FA86 FC85:FD86 FF85:FG86 FI85:FJ86 FL85:FM86 FO85:FP86 FR85:FS86 AD42:AE43 AG42:AH43 AJ42:AK43 AM42:AN43 AP42:AQ43 AS42:AT43 AV42:AW43 AY42:AZ43 BB42:BC43 BE42:BF43 BH42:BI43 BK42:BL43 BN42:BO43 BQ42:BR43 BT42:BU43 BW42:BX43 BZ42:CA43 CC42:CD43 CF42:CG43 CI42:CJ43 CL42:CM43 CO42:CP43 CR42:CS43 CU42:CV43 CX42:CY43 DA42:DB43 DD42:DE43 DG42:DH43 DJ42:DK43 DM42:DN43 DP42:DQ43 DS42:DT43 DV42:DW43 DY42:DZ43 EB42:EC43 EE42:EF43 EH42:EI43 EK42:EL43 EN42:EO43 EQ42:ER43 ET42:EU43 EW42:EX43 EZ42:FA43 FC42:FD43 FF42:FG43 FI42:FJ43 FL42:FM43 FO42:FP43 FR42:FS43 AD66:AE67 AD75:AE82 AG75:AH82 AJ75:AK82 AM75:AN82 AP75:AQ82 AS75:AT82 AV75:AW82 AY75:AZ82 BB75:BC82 BE75:BF82 BH75:BI82 BK75:BL82 BN75:BO82 BQ75:BR82 BT75:BU82 BW75:BX82 BZ75:CA82 CC75:CD82 CF75:CG82 CI75:CJ82 CL75:CM82 CO75:CP82 CR75:CS82 CU75:CV82 CX75:CY82 DA75:DB82 DD75:DE82 DG75:DH82 DJ75:DK82 DM75:DN82 DP75:DQ82 DS75:DT82 DV75:DW82 DY75:DZ82 EB75:EC82 EE75:EF82 EH75:EI82 EK75:EL82 EN75:EO82 EQ75:ER82 ET75:EU82 EW75:EX82 EZ75:FA82 FC75:FD82 FF75:FG82 FI75:FJ82 FL75:FM82 FO75:FP82 FR75:FS82 FU75:FV82 BE89:BF89 BB89:BC89 AY89:AZ89 AV89:AW89 AS89:AT89 AP89:AQ89 AM89:AN89 AJ89:AK89 AG89:AH89 AD89:AE89 BH89:BI89 BK89:BL89 BN89:BO89 BQ89:BR89 BT89:BU89 BW89:BX89 BZ89:CA89 CC89:CD89 CF89:CG89 CI89:CJ89 CL89:CM89 CO89:CP89 CR89:CS89 CU89:CV89 CX89:CY89 DA89:DB89 DD89:DE89 DG89:DH89 DJ89:DK89 DM89:DN89 DP89:DQ89 DS89:DT89 DV89:DW89 DY89:DZ89 EB89:EC89 EE89:EF89 EH89:EI89 EK89:EL89 EN89:EO89 EQ89:ER89 ET89:EU89 EW89:EX89 EZ89:FA89 FC89:FD89 FF89:FG89 FI89:FJ89 FL89:FM89 FO89:FP89 FR89:FS89 AG69:AH73 AD105:AD106 AE105:AE106 AG105:AG106 AH105:AH106 AJ105:AJ106 AK105:AK106 AM105:AM106 AN105:AN106 AP105:AP106 AQ105:AQ106 AS105:AS106 AT105:AT106 AV105:AV106 AW105:AW106 AY105:AY106 AZ105:AZ106 BB105:BB106 BC105:BC106 BE105:BE106 BF105:BF106 BH105:BH106 BI105:BI106 BK105:BK106 BL105:BL106 BN105:BN106 BO105:BO106 BQ105:BQ106 BR105:BR106 BT105:BT106 BU105:BU106 BW105:BW106 BX105:BX106 BZ105:BZ106 CA105:CA106 CC105:CC106 CD105:CD106 CF105:CF106 CG105:CG106 CI105:CI106 CJ105:CJ106 CL105:CL106 CM105:CM106 CO105:CO106 CP105:CP106 CR105:CR106 CS105:CS106 CU105:CU106 CV105:CV106 CX105:CX106 CY105:CY106 DA105:DA106 DB105:DB106 DD105:DD106 DE105:DE106 DG105:DG106 DH105:DH106 DJ105:DJ106 DK105:DK106 DM105:DM106 DN105:DN106 DP105:DP106 DQ105:DQ106 DS105:DS106 DT105:DT106 DV105:DV106 DW105:DW106 DY105:DY106 DZ105:DZ106 EB105:EB106 EC105:EC106 EE105:EE106 EF105:EF106 EH105:EH106 EI105:EI106 EK105:EK106 EL105:EL106 EN105:EN106 EO105:EO106 EQ105:EQ106 ER105:ER106 ET105:ET106 EU105:EU106 EW105:EW106 EX105:EX106 EZ105:EZ106 FA105:FA106 FC105:FC106 FD105:FD106 FF105:FF106 FG105:FG106 FI105:FI106 FJ105:FJ106 FL105:FL106 FM105:FM106 FO105:FO106 FP105:FP106 FR105:FR106 FS105:FS106 FU105:FU106 FV105:FV106 AD135 AE135 AG135 AH135 AJ135 AK135 AM135 AN135 AP135 AQ135 AS135 AT135 AV135 AW135 AY135 AZ135 BB135 BC135 BE135 BF135 BH135 BI135 BK135 BL135 BN135 BO135 BQ135 BR135 BT135 BU135 BW135 BX135 BZ135 CA135 CC135 CD135 CF135 CG135 CI135 CJ135 CL135 CM135 CO135 CP135 CR135 CS135 CU135 CV135 CX135 CY135 DA135 DB135 DD135 DE135 DG135 DH135 DJ135 DK135 DM135 DN135 DP135 DQ135 DS135 DT135 DV135 DW135 DY135 DZ135 EB135 EC135 EE135 EF135 EH135 EI135 EK135 EL135 EN135 EO135 EQ135 ER135 ET135 EU135 EW135 EX135 EZ135 FA135 FC135 FD135 FF135 FG135 FI135 FJ135 FL135 FM135 FO135 FP135 FR135 FS135 FU135 FV135 AD136 AE136 AG136 AH136 AJ136 AK136 AM136 AN136 AP136 AQ136 AS136 AT136 AV136 AW136 AY136 AZ136 BB136 BC136 BE136 BF136 BH136 BI136 BK136 BL136 BN136 BO136 BQ136 BR136 BT136 BU136 BW136 BX136 BZ136 CA136 CC136 CD136 CF136 CG136 CI136 CJ136 CL136 CM136 CO136 CP136 CR136 CS136 CU136 CV136 CX136 CY136 DA136 DB136 DD136 DE136 DG136 DH136 DJ136 DK136 DM136 DN136 DP136 DQ136 DS136 DT136 DV136 DW136 DY136 DZ136 EB136 EC136 EE136 EF136 EH136 EI136 EK136 EL136 EN136 EO136 EQ136 ER136 ET136 EU136 EW136 EX136 EZ136 FA136 FC136 FD136 FF136 FG136 FI136 FJ136 FL136 FM136 FO136 FP136 FR136 FS136 FU136 FV136 AD138 AE138 AG138 AH138 AJ138 AK138 AM138 AN138 AP138 AQ138 AS138 AT138 AV138 AW138 AY138 AZ138 BB138 BC138 BE138 BF138 BH138 BI138 BK138 BL138 BN138 BO138 BQ138 BR138 BT138 BU138 BW138 BX138 BZ138 CA138 CC138 CD138 CF138 CG138 CI138 CJ138 CL138 CM138 CO138 CP138 CR138 CS138 CU138 CV138 CX138 CY138 DA138 DB138 DD138 DE138 DG138 DH138 DJ138 DK138 DM138 DN138 DP138 DQ138 DS138 DT138 DV138 DW138 DY138 DZ138 EB138 EC138 EE138 EF138 EH138 EI138 EK138 EL138 EN138 EO138 EQ138 ER138 ET138 EU138 EW138 EX138 EZ138 FA138 FC138 FD138 FF138 FG138 FI138 FJ138 FL138 FM138 FO138 FP138 FR138 FS138 FU138 FV138 AD139 AE139 AG139 AH139 AJ139 AK139 AM139 AN139 AP139 AQ139 AS139 AT139 AV139 AW139 AY139 AZ139 BB139 BC139 BE139 BF139 BH139 BI139 BK139 BL139 BN139 BO139 BQ139 BR139 BT139 BU139 BW139 BX139 BZ139 CA139 CC139 CD139 CF139 CG139 CI139 CJ139 CL139 CM139 CO139 CP139 CR139 CS139 CU139 CV139 CX139 CY139 DA139 DB139 DD139 DE139 DG139 DH139 DJ139 DK139 DM139 DN139 DP139 DQ139 DS139 DT139 DV139 DW139 DY139 DZ139 EB139 EC139 EE139 EF139 EH139 EI139 EK139 EL139 EN139 EO139 EQ139 ER139 ET139 EU139 EW139 EX139 EZ139 FA139 FC139 FD139 FF139 FG139 FI139 FJ139 FL139 FM139 FO139 FP139 FR139 FS139 FU139 FV139 AD141 AE141 AG141 AH141 AJ141 AK141 AM141 AN141 AP141 AQ141 AS141 AT141 AV141 AW141 AY141 AZ141 BB141 BC141 BE141 BF141 BH141 BI141 BK141 BL141 BN141 BO141 BQ141 BR141 BT141 BU141 BW141 BX141 BZ141 CA141 CC141 CD141 CF141 CG141 CI141 CJ141 CL141 CM141 CO141 CP141 CR141 CS141 CU141 CV141 CX141 CY141 DA141 DB141 DD141 DE141 DG141 DH141 DJ141 DK141 DM141 DN141 DP141 DQ141 DS141 DT141 DV141 DW141 DY141 DZ141 EB141 EC141 EE141 EF141 EH141 EI141 EK141 EL141 EN141 EO141 EQ141 ER141 ET141 EU141 EW141 EX141 EZ141 FA141 FC141 FD141 FF141 FG141 FI141 FJ141 FL141 FM141 FO141 FP141 FR141 FS141 FU141 FV141 AD142 AE142 AG142 AH142 AJ142 AK142 AM142 AN142 AP142 AQ142 AS142 AT142 AV142 AW142 AY142 AZ142 BB142 BC142 BE142 BF142 BH142 BI142 BK142 BL142 BN142 BO142 BQ142 BR142 BT142 BU142 BW142 BX142 BZ142 CA142 CC142 CD142 CF142 CG142 CI142 CJ142 CL142 CM142 CO142 CP142 CR142 CS142 CU142 CV142 CX142 CY142 DA142 DB142 DD142 DE142 DG142 DH142 DJ142 DK142 DM142 DN142 DP142 DQ142 DS142 DT142 DV142 DW142 DY142 DZ142 EB142 EC142 EE142 EF142 EH142 EI142 EK142 EL142 EN142 EO142 EQ142 ER142 ET142 EU142 EW142 EX142 EZ142 FA142 FC142 FD142 FF142 FG142 FI142 FJ142 FL142 FM142 FO142 FP142 FR142 FS142 FU142 FV142 AD144 AE144 AG144 AH144 AJ144 AK144 AM144 AN144 AP144 AQ144 AS144 AT144 AV144 AW144 AY144 AZ144 BB144 BC144 BE144 BF144 BH144 BI144 BK144 BL144 BN144 BO144 BQ144 BR144 BT144 BU144 BW144 BX144 BZ144 CA144 CC144 CD144 CF144 CG144 CI144 CJ144 CL144 CM144 CO144 CP144 CR144 CS144 CU144 CV144 CX144 CY144 DA144 DB144 DD144 DE144 DG144 DH144 DJ144 DK144 DM144 DN144 DP144 DQ144 DS144 DT144 DV144 DW144 DY144 DZ144 EB144 EC144 EE144 EF144 EH144 EI144 EK144 EL144 EN144 EO144 EQ144 ER144 ET144 EU144 EW144 EX144 EZ144 FA144 FC144 FD144 FF144 FG144 FI144 FJ144 FL144 FM144 FO144 FP144 FR144 FS144 FU144 FV144 AD145 AE145 AG145 AH145 AJ145 AK145 AM145 AN145 AP145 AQ145 AS145 AT145 AV145 AW145 AY145 AZ145 BB145 BC145 BE145 BF145 BH145 BI145 BK145 BL145 BN145 BO145 BQ145 BR145 BT145 BU145 BW145 BX145 BZ145 CA145 CC145 CD145 CF145 CG145 CI145 CJ145 CL145 CM145 CO145 CP145 CR145 CS145 CU145 CV145 CX145 CY145 DA145 DB145 DD145 DE145 DG145 DH145 DJ145 DK145 DM145 DN145 DP145 DQ145 DS145 DT145 DV145 DW145 DY145 DZ145 EB145 EC145 EE145 EF145 EH145 EI145 EK145 EL145 EN145 EO145 EQ145 ER145 ET145 EU145 EW145 EX145 EZ145 FA145 FC145 FD145 FF145 FG145 FI145 FJ145 FL145 FM145 FO145 FP145 FR145 FS145 FU145 FV145 AD147 AE147 AG147 AH147 AJ147 AK147 AM147 AN147 AP147 AQ147 AS147 AT147 AV147 AW147 AY147 AZ147 BB147 BC147 BE147 BF147 BH147 BI147 BK147 BL147 BN147 BO147 BQ147 BR147 BT147 BU147 BW147 BX147 BZ147 CA147 CC147 CD147 CF147 CG147 CI147 CJ147 CL147 CM147 CO147 CP147 CR147 CS147 CU147 CV147 CX147 CY147 DA147 DB147 DD147 DE147 DG147 DH147 DJ147 DK147 DM147 DN147 DP147 DQ147 DS147 DT147 DV147 DW147 DY147 DZ147 EB147 EC147 EE147 EF147 EH147 EI147 EK147 EL147 EN147 EO147 EQ147 ER147 ET147 EU147 EW147 EX147 EZ147 FA147 FC147 FD147 FF147 FG147 FI147 FJ147 FL147 FM147 FO147 FP147 FR147 FS147 FU147 FV147 AD148 AE148 AG148 AH148 AJ148 AK148 AM148 AN148 AP148 AQ148 AS148 AT148 AV148 AW148 AY148 AZ148 BB148 BC148 BE148 BF148 BH148 BI148 BK148 BL148 BN148 BO148 BQ148 BR148 BT148 BU148 BW148 BX148 BZ148 CA148 CC148 CD148 CF148 CG148 CI148 CJ148 CL148 CM148 CO148 CP148 CR148 CS148 CU148 CV148 CX148 CY148 DA148 DB148 DD148 DE148 DG148 DH148 DJ148 DK148 DM148 DN148 DP148 DQ148 DS148 DT148 DV148 DW148 DY148 DZ148 EB148 EC148 EE148 EF148 EH148 EI148 EK148 EL148 EN148 EO148 EQ148 ER148 ET148 EU148 EW148 EX148 EZ148 FA148 FC148 FD148 FF148 FG148 FI148 FJ148 FL148 FM148 FO148 FP148 FR148 FS148 FU148 FV148 AD150 AE150 AG150 AH150 AJ150 AK150 AM150 AN150 AP150 AQ150 AS150 AT150 AV150 AW150 AY150 AZ150 BB150 BC150 BE150 BF150 BH150 BI150 BK150 BL150 BN150 BO150 BQ150 BR150 BT150 BU150 BW150 BX150 BZ150 CA150 CC150 CD150 CF150 CG150 CI150 CJ150 CL150 CM150 CO150 CP150 CR150 CS150 CU150 CV150 CX150 CY150 DA150 DB150 DD150 DE150 DG150 DH150 DJ150 DK150 DM150 DN150 DP150 DQ150 DS150 DT150 DV150 DW150 DY150 DZ150 EB150 EC150 EE150 EF150 EH150 EI150 EK150 EL150 EN150 EO150 EQ150 ER150 ET150 EU150 EW150 EX150 EZ150 FA150 FC150 FD150 FF150 FG150 FI150 FJ150 FL150 FM150 FO150 FP150 FR150 FS150 FU150 FV150 AD151 AE151 AG151 AH151 AJ151 AK151 AM151 AN151 AP151 AQ151 AS151 AT151 AV151 AW151 AY151 AZ151 BB151 BC151 BE151 BF151 BH151 BI151 BK151 BL151 BN151 BO151 BQ151 BR151 BT151 BU151 BW151 BX151 BZ151 CA151 CC151 CD151 CF151 CG151 CI151 CJ151 CL151 CM151 CO151 CP151 CR151 CS151 CU151 CV151 CX151 CY151 DA151 DB151 DD151 DE151 DG151 DH151 DJ151 DK151 DM151 DN151 DP151 DQ151 DS151 DT151 DV151 DW151 DY151 DZ151 EB151 EC151 EE151 EF151 EH151 EI151 EK151 EL151 EN151 EO151 EQ151 ER151 ET151 EU151 EW151 EX151 EZ151 FA151 FC151 FD151 FF151 FG151 FI151 FJ151 FL151 FM151 FO151 FP151 FR151 FS151 FU151 FV151 AD153 AE153 AG153 AH153 AJ153 AK153 AM153 AN153 AP153 AQ153 AS153 AT153 AV153 AW153 AY153 AZ153 BB153 BC153 BE153 BF153 BH153 BI153 BK153 BL153 BN153 BO153 BQ153 BR153 BT153 BU153 BW153 BX153 BZ153 CA153 CC153 CD153 CF153 CG153 CI153 CJ153 CL153 CM153 CO153 CP153 CR153 CS153 CU153 CV153 CX153 CY153 DA153 DB153 DD153 DE153 DG153 DH153 DJ153 DK153 DM153 DN153 DP153 DQ153 DS153 DT153 DV153 DW153 DY153 DZ153 EB153 EC153 EE153 EF153 EH153 EI153 EK153 EL153 EN153 EO153 EQ153 ER153 ET153 EU153 EW153 EX153 EZ153 FA153 FC153 FD153 FF153 FG153 FI153 FJ153 FL153 FM153 FO153 FP153 FR153 FS153 FU153 FV153 AD154 AE154 AG154 AH154 AJ154 AK154 AM154 AN154 AP154 AQ154 AS154 AT154 AV154 AW154 AY154 AZ154 BB154 BC154 BE154 BF154 BH154 BI154 BK154 BL154 BN154 BO154 BQ154 BR154 BT154 BU154 BW154 BX154 BZ154 CA154 CC154 CD154 CF154 CG154 CI154 CJ154 CL154 CM154 CO154 CP154 CR154 CS154 CU154 CV154 CX154 CY154 DA154 DB154 DD154 DE154 DG154 DH154 DJ154 DK154 DM154 DN154 DP154 DQ154 DS154 DT154 DV154 DW154 DY154 DZ154 EB154 EC154 EE154 EF154 EH154 EI154 EK154 EL154 EN154 EO154 EQ154 ER154 ET154 EU154 EW154 EX154 EZ154 FA154 FC154 FD154 FF154 FG154 FI154 FJ154 FL154 FM154 FO154 FP154 FR154 FS154 FU154 FV154 AD156 AE156 AG156 AH156 AJ156 AK156 AM156 AN156 AP156 AQ156 AS156 AT156 AV156 AW156 AY156 AZ156 BB156 BC156 BE156 BF156 BH156 BI156 BK156 BL156 BN156 BO156 BQ156 BR156 BT156 BU156 BW156 BX156 BZ156 CA156 CC156 CD156 CF156 CG156 CI156 CJ156 CL156 CM156 CO156 CP156 CR156 CS156 CU156 CV156 CX156 CY156 DA156 DB156 DD156 DE156 DG156 DH156 DJ156 DK156 DM156 DN156 DP156 DQ156 DS156 DT156 DV156 DW156 DY156 DZ156 EB156 EC156 EE156 EF156 EH156 EI156 EK156 EL156 EN156 EO156 EQ156 ER156 ET156 EU156 EW156 EX156 EZ156 FA156 FC156 FD156 FF156 FG156 FI156 FJ156 FL156 FM156 FO156 FP156 FR156 FS156 FU156 FV156 AD157 AE157 AG157 AH157 AJ157 AK157 AM157 AN157 AP157 AQ157 AS157 AT157 AV157 AW157 AY157 AZ157 BB157 BC157 BE157 BF157 BH157 BI157 BK157 BL157 BN157 BO157 BQ157 BR157 BT157 BU157 BW157 BX157 BZ157 CA157 CC157 CD157 CF157 CG157 CI157 CJ157 CL157 CM157 CO157 CP157 CR157 CS157 CU157 CV157 CX157 CY157 DA157 DB157 DD157 DE157 DG157 DH157 DJ157 DK157 DM157 DN157 DP157 DQ157 DS157 DT157 DV157 DW157 DY157 DZ157 EB157 EC157 EE157 EF157 EH157 EI157 EK157 EL157 EN157 EO157 EQ157 ER157 ET157 EU157 EW157 EX157 EZ157 FA157 FC157 FD157 FF157 FG157 FI157 FJ157 FL157 FM157 FO157 FP157 FR157 FS157 FU157 FV157 AD158 AE158 AG158 AH158 AJ158 AK158 AM158 AN158 AP158 AQ158 AS158 AT158 AV158 AW158 AY158 AZ158 BB158 BC158 BE158 BF158 BH158 BI158 BK158 BL158 BN158 BO158 BQ158 BR158 BT158 BU158 BW158 BX158 BZ158 CA158 CC158 CD158 CF158 CG158 CI158 CJ158 CL158 CM158 CO158 CP158 CR158 CS158 CU158 CV158 CX158 CY158 DA158 DB158 DD158 DE158 DG158 DH158 DJ158 DK158 DM158 DN158 DP158 DQ158 DS158 DT158 DV158 DW158 DY158 DZ158 EB158 EC158 EE158 EF158 EH158 EI158 EK158 EL158 EN158 EO158 EQ158 ER158 ET158 EU158 EW158 EX158 EZ158 FA158 FC158 FD158 FF158 FG158 FI158 FJ158 FL158 FM158 FO158 FP158 FR158 FS158 FU158 FV158 AD159 AE159 AG159 AH159 AJ159 AK159 AM159 AN159 AP159 AQ159 AS159 AT159 AV159 AW159 AY159 AZ159 BB159 BC159 BE159 BF159 BH159 BI159 BK159 BL159 BN159 BO159 BQ159 BR159 BT159 BU159 BW159 BX159 BZ159 CA159 CC159 CD159 CF159 CG159 CI159 CJ159 CL159 CM159 CO159 CP159 CR159 CS159 CU159 CV159 CX159 CY159 DA159 DB159 DD159 DE159 DG159 DH159 DJ159 DK159 DM159 DN159 DP159 DQ159 DS159 DT159 DV159 DW159 DY159 DZ159 EB159 EC159 EE159 EF159 EH159 EI159 EK159 EL159 EN159 EO159 EQ159 ER159 ET159 EU159 EW159 EX159 EZ159 FA159 FC159 FD159 FF159 FG159 FI159 FJ159 FL159 FM159 FO159 FP159 FR159 FS159 FU159 FV159 AD160 AE160 AG160 AH160 AJ160 AK160 AM160 AN160 AP160 AQ160 AS160 AT160 AV160 AW160 AY160 AZ160 BB160 BC160 BE160 BF160 BH160 BI160 BK160 BL160 BN160 BO160 BQ160 BR160 BT160 BU160 BW160 BX160 BZ160 CA160 CC160 CD160 CF160 CG160 CI160 CJ160 CL160 CM160 CO160 CP160 CR160 CS160 CU160 CV160 CX160 CY160 DA160 DB160 DD160 DE160 DG160 DH160 DJ160 DK160 DM160 DN160 DP160 DQ160 DS160 DT160 DV160 DW160 DY160 DZ160 EB160 EC160 EE160 EF160 EH160 EI160 EK160 EL160 EN160 EO160 EQ160 ER160 ET160 EU160 EW160 EX160 EZ160 FA160 FC160 FD160 FF160 FG160 FI160 FJ160 FL160 FM160 FO160 FP160 FR160 FS160 FU160 FV160 AD162 AE162 AG162 AH162 AJ162 AK162 AM162 AN162 AP162 AQ162 AS162 AT162 AV162 AW162 AY162 AZ162 BB162 BC162 BE162 BF162 BH162 BI162 BK162 BL162 BN162 BO162 BQ162 BR162 BT162 BU162 BW162 BX162 BZ162 CA162 CC162 CD162 CF162 CG162 CI162 CJ162 CL162 CM162 CO162 CP162 CR162 CS162 CU162 CV162 CX162 CY162 DA162 DB162 DD162 DE162 DG162 DH162 DJ162 DK162 DM162 DN162 DP162 DQ162 DS162 DT162 DV162 DW162 DY162 DZ162 EB162 EC162 EE162 EF162 EH162 EI162 EK162 EL162 EN162 EO162 EQ162 ER162 ET162 EU162 EW162 EX162 EZ162 FA162 FC162 FD162 FF162 FG162 FI162 FJ162 FL162 FM162 FO162 FP162 FR162 FS162 FU162 FV162 AD163:AD169 AE163:AE169 AG163:AG169 AH163:AH169 AJ163:AJ169 AK163:AK169 AM163:AM169 AN163:AN169 AP163:AP169 AQ163:AQ169 AS163:AS169 AT163:AT169 AV163:AV169 AW163:AW169 AY163:AY169 AZ163:AZ169 BB163:BB169 BC163:BC169 BE163:BE169 BF163:BF169 BH163:BH169 BI163:BI169 BK163:BK169 BL163:BL169 BN163:BN169 BO163:BO169 BQ163:BQ169 BR163:BR169 BT163:BT169 BU163:BU169 BW163:BW169 BX163:BX169 BZ163:BZ169 CA163:CA169 CC163:CC169 CD163:CD169 CF163:CF169 CG163:CG169 CI163:CI169 CJ163:CJ169 CL163:CL169 CM163:CM169 CO163:CO169 CP163:CP169 CR163:CR169 CS163:CS169 CU163:CU169 CV163:CV169 CX163:CX169 CY163:CY169 DA163:DA169 DB163:DB169 DD163:DD169 DE163:DE169 DG163:DG169 DH163:DH169 DJ163:DJ169 DK163:DK169 DM163:DM169 DN163:DN169 DP163:DP169 DQ163:DQ169 DS163:DS169 DT163:DT169 DV163:DV169 DW163:DW169 DY163:DY169 DZ163:DZ169 EB163:EB169 EC163:EC169 EE163:EE169 EF163:EF169 EH163:EH169 EI163:EI169 EK163:EK169 EL163:EL169 EN163:EN169 EO163:EO169 EQ163:EQ169 ER163:ER169 ET163:ET169 EU163:EU169 EW163:EW169 EX163:EX169 EZ163:EZ169 FA163:FA169 FC163:FC169 FD163:FD169 FF163:FF169 FG163:FG169 FI163:FI169 FJ163:FJ169 FL163:FL169 FM163:FM169 FO163:FO169 FP163:FP169 FR163:FR169 FS163:FS169 FU163:FU169 FV163:FV169 AD172 AE172 AG172 AH172 AJ172 AK172 AM172 AN172 AP172 AQ172 AS172 AT172 AV172 AW172 AY172 AZ172 BB172 BC172 BE172 BF172 BH172 BI172 BK172 BL172 BN172 BO172 BQ172 BR172 BT172 BU172 BW172 BX172 BZ172 CA172 CC172 CD172 CF172 CG172 CI172 CJ172 CL172 CM172 CO172 CP172 CR172 CS172 CU172 CV172 CX172 CY172 DA172 DB172 DD172 DE172 DG172 DH172 DJ172 DK172 DM172 DN172 DP172 DQ172 DS172 DT172 DV172 DW172 DY172 DZ172 EB172 EC172 EE172 EF172 EH172 EI172 EK172 EL172 EN172 EO172 EQ172 ER172 ET172 EU172 EW172 EX172 EZ172 FA172 FC172 FD172 FF172 FG172 FI172 FJ172 FL172 FM172 FO172 FP172 FR172 FS172 FU172 FV172 AD173 AE173 AG173 AH173 AJ173 AK173 AM173 AN173 AP173 AQ173 AS173 AT173 AV173 AW173 AY173 AZ173 BB173 BC173 BE173 BF173 BH173 BI173 BK173 BL173 BN173 BO173 BQ173 BR173 BT173 BU173 BW173 BX173 BZ173 CA173 CC173 CD173 CF173 CG173 CI173 CJ173 CL173 CM173 CO173 CP173 CR173 CS173 CU173 CV173 CX173 CY173 DA173 DB173 DD173 DE173 DG173 DH173 DJ173 DK173 DM173 DN173 DP173 DQ173 DS173 DT173 DV173 DW173 DY173 DZ173 EB173 EC173 EE173 EF173 EH173 EI173 EK173 EL173 EN173 EO173 EQ173 ER173 ET173 EU173 EW173 EX173 EZ173 FA173 FC173 FD173 FF173 FG173 FI173 FJ173 FL173 FM173 FO173 FP173 FR173 FS173 FU173 FV173 AD176 AE176 AG176 AH176 AJ176 AK176 AM176 AN176 AP176 AQ176 AS176 AT176 AV176 AW176 AY176 AZ176 BB176 BC176 BE176 BF176 BH176 BI176 BK176 BL176 BN176 BO176 BQ176 BR176 BT176 BU176 BW176 BX176 BZ176 CA176 CC176 CD176 CF176 CG176 CI176 CJ176 CL176 CM176 CO176 CP176 CR176 CS176 CU176 CV176 CX176 CY176 DA176 DB176 DD176 DE176 DG176 DH176 DJ176 DK176 DM176 DN176 DP176 DQ176 DS176 DT176 DV176 DW176 DY176 DZ176 EB176 EC176 EE176 EF176 EH176 EI176 EK176 EL176 EN176 EO176 EQ176 ER176 ET176 EU176 EW176 EX176 EZ176 FA176 FC176 FD176 FF176 FG176 FI176 FJ176 FL176 FM176 FO176 FP176 FR176 FS176 FU176 FV176 AD192:AD193 AE192:AE193 AG192:AG193 AH192:AH193 AJ192:AJ193 AK192:AK193 AM192:AM193 AN192:AN193 AP192:AP193 AQ192:AQ193 AS192:AS193 AT192:AT193 AV192:AV193 AW192:AW193 AY192:AY193 AZ192:AZ193 BB192:BB193 BC192:BC193 BE192:BE193 BF192:BF193 BH192:BH193 BI192:BI193 BK192:BK193 BL192:BL193 BN192:BN193 BO192:BO193 BQ192:BQ193 BR192:BR193 BT192:BT193 BU192:BU193 BW192:BW193 BX192:BX193 BZ192:BZ193 CA192:CA193 CC192:CC193 CD192:CD193 CF192:CF193 CG192:CG193 CI192:CI193 CJ192:CJ193 CL192:CL193 CM192:CM193 CO192:CO193 CP192:CP193 CR192:CR193 CS192:CS193 CU192:CU193 CV192:CV193 CX192:CX193 CY192:CY193 DA192:DA193 DB192:DB193 DD192:DD193 DE192:DE193 DG192:DG193 DH192:DH193 DJ192:DJ193 DK192:DK193 DM192:DM193 DN192:DN193 DP192:DP193 DQ192:DQ193 DS192:DS193 DT192:DT193 DV192:DV193 DW192:DW193 DY192:DY193 DZ192:DZ193 EB192:EB193 EC192:EC193 EE192:EE193 EF192:EF193 EH192:EH193 EI192:EI193 EK192:EK193 EL192:EL193 EN192:EN193 EO192:EO193 EQ192:EQ193 ER192:ER193 ET192:ET193 EU192:EU193 EW192:EW193 EX192:EX193 EZ192:EZ193 FA192:FA193 FC192:FC193 FD192:FD193 FF192:FF193 FG192:FG193 FI192:FI193 FJ192:FJ193 FL192:FL193 FM192:FM193 FO192:FO193 FP192:FP193 FR192:FR193 FS192:FS193 FU192:FU193 FV192:FV193 AD198 AE198 AG198 AH198 AJ198 AK198 AM198 AN198 AP198 AQ198 AS198 AT198 AV198 AW198 AY198 AZ198 BB198 BC198 BE198 BF198 BH198 BI198 BK198 BL198 BN198 BO198 BQ198 BR198 BT198 BU198 BW198 BX198 BZ198 CA198 CC198 CD198 CF198 CG198 CI198 CJ198 CL198 CM198 CO198 CP198 CR198 CS198 CU198 CV198 CX198 CY198 DA198 DB198 DD198 DE198 DG198 DH198 DJ198 DK198 DM198 DN198 DP198 DQ198 DS198 DT198 DV198 DW198 DY198 DZ198 EB198 EC198 EE198 EF198 EH198 EI198 EK198 EL198 EN198 EO198 EQ198 ER198 ET198 EU198 EW198 EX198 EZ198 FA198 FC198 FD198 FF198 FG198 FI198 FJ198 FL198 FM198 FO198 FP198 FR198 FS198 FU198 FV198 AD199 AE199 AG199 AH199 AJ199 AK199 AM199 AN199 AP199 AQ199 AS199 AT199 AV199 AW199 AY199 AZ199 BB199 BC199 BE199 BF199 BH199 BI199 BK199 BL199 BN199 BO199 BQ199 BR199 BT199 BU199 BW199 BX199 BZ199 CA199 CC199 CD199 CF199 CG199 CI199 CJ199 CL199 CM199 CO199 CP199 CR199 CS199 CU199 CV199 CX199 CY199 DA199 DB199 DD199 DE199 DG199 DH199 DJ199 DK199 DM199 DN199 DP199 DQ199 DS199 DT199 DV199 DW199 DY199 DZ199 EB199 EC199 EE199 EF199 EH199 EI199 EK199 EL199 EN199 EO199 EQ199 ER199 ET199 EU199 EW199 EX199 EZ199 FA199 FC199 FD199 FF199 FG199 FI199 FJ199 FL199 FM199 FO199 FP199 FR199 FS199 FU199 FV199 AD201 AE201 AG201 AH201 AJ201 AK201 AM201 AN201 AP201 AQ201 AS201 AT201 AV201 AW201 AY201 AZ201 BB201 BC201 BE201 BF201 BH201 BI201 BK201 BL201 BN201 BO201 BQ201 BR201 BT201 BU201 BW201 BX201 BZ201 CA201 CC201 CD201 CF201 CG201 CI201 CJ201 CL201 CM201 CO201 CP201 CR201 CS201 CU201 CV201 CX201 CY201 DA201 DB201 DD201 DE201 DG201 DH201 DJ201 DK201 DM201 DN201 DP201 DQ201 DS201 DT201 DV201 DW201 DY201 DZ201 EB201 EC201 EE201 EF201 EH201 EI201 EK201 EL201 EN201 EO201 EQ201 ER201 ET201 EU201 EW201 EX201 EZ201 FA201 FC201 FD201 FF201 FG201 FI201 FJ201 FL201 FM201 FO201 FP201 FR201 FS201 FU201 FV201 AD202 AE202 AG202 AH202 AJ202 AK202 AM202 AN202 AP202 AQ202 AS202 AT202 AV202 AW202 AY202 AZ202 BB202 BC202 BE202 BF202 BH202 BI202 BK202 BL202 BN202 BO202 BQ202 BR202 BT202 BU202 BW202 BX202 BZ202 CA202 CC202 CD202 CF202 CG202 CI202 CJ202 CL202 CM202 CO202 CP202 CR202 CS202 CU202 CV202 CX202 CY202 DA202 DB202 DD202 DE202 DG202 DH202 DJ202 DK202 DM202 DN202 DP202 DQ202 DS202 DT202 DV202 DW202 DY202 DZ202 EB202 EC202 EE202 EF202 EH202 EI202 EK202 EL202 EN202 EO202 EQ202 ER202 ET202 EU202 EW202 EX202 EZ202 FA202 FC202 FD202 FF202 FG202 FI202 FJ202 FL202 FM202 FO202 FP202 FR202 FS202 FU202 FV202 AD204 AE204 AG204 AH204 AJ204 AK204 AM204 AN204 AP204 AQ204 AS204 AT204 AV204 AW204 AY204 AZ204 BB204 BC204 BE204 BF204 BH204 BI204 BK204 BL204 BN204 BO204 BQ204 BR204 BT204 BU204 BW204 BX204 BZ204 CA204 CC204 CD204 CF204 CG204 CI204 CJ204 CL204 CM204 CO204 CP204 CR204 CS204 CU204 CV204 CX204 CY204 DA204 DB204 DD204 DE204 DG204 DH204 DJ204 DK204 DM204 DN204 DP204 DQ204 DS204 DT204 DV204 DW204 DY204 DZ204 EB204 EC204 EE204 EF204 EH204 EI204 EK204 EL204 EN204 EO204 EQ204 ER204 ET204 EU204 EW204 EX204 EZ204 FA204 FC204 FD204 FF204 FG204 FI204 FJ204 FL204 FM204 FO204 FP204 FR204 FS204 FU204 FV204 AD205 AE205 AG205 AH205 AJ205 AK205 AM205 AN205 AP205 AQ205 AS205 AT205 AV205 AW205 AY205 AZ205 BB205 BC205 BE205 BF205 BH205 BI205 BK205 BL205 BN205 BO205 BQ205 BR205 BT205 BU205 BW205 BX205 BZ205 CA205 CC205 CD205 CF205 CG205 CI205 CJ205 CL205 CM205 CO205 CP205 CR205 CS205 CU205 CV205 CX205 CY205 DA205 DB205 DD205 DE205 DG205 DH205 DJ205 DK205 DM205 DN205 DP205 DQ205 DS205 DT205 DV205 DW205 DY205 DZ205 EB205 EC205 EE205 EF205 EH205 EI205 EK205 EL205 EN205 EO205 EQ205 ER205 ET205 EU205 EW205 EX205 EZ205 FA205 FC205 FD205 FF205 FG205 FI205 FJ205 FL205 FM205 FO205 FP205 FR205 FS205 FU205 FV205 AD207 AE207 AG207 AH207 AJ207 AK207 AM207 AN207 AP207 AQ207 AS207 AT207 AV207 AW207 AY207 AZ207 BB207 BC207 BE207 BF207 BH207 BI207 BK207 BL207 BN207 BO207 BQ207 BR207 BT207 BU207 BW207 BX207 BZ207 CA207 CC207 CD207 CF207 CG207 CI207 CJ207 CL207 CM207 CO207 CP207 CR207 CS207 CU207 CV207 CX207 CY207 DA207 DB207 DD207 DE207 DG207 DH207 DJ207 DK207 DM207 DN207 DP207 DQ207 DS207 DT207 DV207 DW207 DY207 DZ207 EB207 EC207 EE207 EF207 EH207 EI207 EK207 EL207 EN207 EO207 EQ207 ER207 ET207 EU207 EW207 EX207 EZ207 FA207 FC207 FD207 FF207 FG207 FI207 FJ207 FL207 FM207 FO207 FP207 FR207 FS207 FU207 FV207 AD208 AE208 AG208 AH208 AJ208 AK208 AM208 AN208 AP208 AQ208 AS208 AT208 AV208 AW208 AY208 AZ208 BB208 BC208 BE208 BF208 BH208 BI208 BK208 BL208 BN208 BO208 BQ208 BR208 BT208 BU208 BW208 BX208 BZ208 CA208 CC208 CD208 CF208 CG208 CI208 CJ208 CL208 CM208 CO208 CP208 CR208 CS208 CU208 CV208 CX208 CY208 DA208 DB208 DD208 DE208 DG208 DH208 DJ208 DK208 DM208 DN208 DP208 DQ208 DS208 DT208 DV208 DW208 DY208 DZ208 EB208 EC208 EE208 EF208 EH208 EI208 EK208 EL208 EN208 EO208 EQ208 ER208 ET208 EU208 EW208 EX208 EZ208 FA208 FC208 FD208 FF208 FG208 FI208 FJ208 FL208 FM208 FO208 FP208 FR208 FS208 FU208 FV208 AD210 AE210 AG210 AH210 AJ210 AK210 AM210 AN210 AP210 AQ210 AS210 AT210 AV210 AW210 AY210 AZ210 BB210 BC210 BE210 BF210 BH210 BI210 BK210 BL210 BN210 BO210 BQ210 BR210 BT210 BU210 BW210 BX210 BZ210 CA210 CC210 CD210 CF210 CG210 CI210 CJ210 CL210 CM210 CO210 CP210 CR210 CS210 CU210 CV210 CX210 CY210 DA210 DB210 DD210 DE210 DG210 DH210 DJ210 DK210 DM210 DN210 DP210 DQ210 DS210 DT210 DV210 DW210 DY210 DZ210 EB210 EC210 EE210 EF210 EH210 EI210 EK210 EL210 EN210 EO210 EQ210 ER210 ET210 EU210 EW210 EX210 EZ210 FA210 FC210 FD210 FF210 FG210 FI210 FJ210 FL210 FM210 FO210 FP210 FR210 FS210 FU210 FV210 AD211 AE211 AG211 AH211 AJ211 AK211 AM211 AN211 AP211 AQ211 AS211 AT211 AV211 AW211 AY211 AZ211 BB211 BC211 BE211 BF211 BH211 BI211 BK211 BL211 BN211 BO211 BQ211 BR211 BT211 BU211 BW211 BX211 BZ211 CA211 CC211 CD211 CF211 CG211 CI211 CJ211 CL211 CM211 CO211 CP211 CR211 CS211 CU211 CV211 CX211 CY211 DA211 DB211 DD211 DE211 DG211 DH211 DJ211 DK211 DM211 DN211 DP211 DQ211 DS211 DT211 DV211 DW211 DY211 DZ211 EB211 EC211 EE211 EF211 EH211 EI211 EK211 EL211 EN211 EO211 EQ211 ER211 ET211 EU211 EW211 EX211 EZ211 FA211 FC211 FD211 FF211 FG211 FI211 FJ211 FL211 FM211 FO211 FP211 FR211 FS211 FU211 FV211 AD213 AE213 AG213 AH213 AJ213 AK213 AM213 AN213 AP213 AQ213 AS213 AT213 AV213 AW213 AY213 AZ213 BB213 BC213 BE213 BF213 BH213 BI213 BK213 BL213 BN213 BO213 BQ213 BR213 BT213 BU213 BW213 BX213 BZ213 CA213 CC213 CD213 CF213 CG213 CI213 CJ213 CL213 CM213 CO213 CP213 CR213 CS213 CU213 CV213 CX213 CY213 DA213 DB213 DD213 DE213 DG213 DH213 DJ213 DK213 DM213 DN213 DP213 DQ213 DS213 DT213 DV213 DW213 DY213 DZ213 EB213 EC213 EE213 EF213 EH213 EI213 EK213 EL213 EN213 EO213 EQ213 ER213 ET213 EU213 EW213 EX213 EZ213 FA213 FC213 FD213 FF213 FG213 FI213 FJ213 FL213 FM213 FO213 FP213 FR213 FS213 FU213 FV213 AD214 AE214 AG214 AH214 AJ214 AK214 AM214 AN214 AP214 AQ214 AS214 AT214 AV214 AW214 AY214 AZ214 BB214 BC214 BE214 BF214 BH214 BI214 BK214 BL214 BN214 BO214 BQ214 BR214 BT214 BU214 BW214 BX214 BZ214 CA214 CC214 CD214 CF214 CG214 CI214 CJ214 CL214 CM214 CO214 CP214 CR214 CS214 CU214 CV214 CX214 CY214 DA214 DB214 DD214 DE214 DG214 DH214 DJ214 DK214 DM214 DN214 DP214 DQ214 DS214 DT214 DV214 DW214 DY214 DZ214 EB214 EC214 EE214 EF214 EH214 EI214 EK214 EL214 EN214 EO214 EQ214 ER214 ET214 EU214 EW214 EX214 EZ214 FA214 FC214 FD214 FF214 FG214 FI214 FJ214 FL214 FM214 FO214 FP214 FR214 FS214 FU214 FV214 AD216 AE216 AG216 AH216 AJ216 AK216 AM216 AN216 AP216 AQ216 AS216 AT216 AV216 AW216 AY216 AZ216 BB216 BC216 BE216 BF216 BH216 BI216 BK216 BL216 BN216 BO216 BQ216 BR216 BT216 BU216 BW216 BX216 BZ216 CA216 CC216 CD216 CF216 CG216 CI216 CJ216 CL216 CM216 CO216 CP216 CR216 CS216 CU216 CV216 CX216 CY216 DA216 DB216 DD216 DE216 DG216 DH216 DJ216 DK216 DM216 DN216 DP216 DQ216 DS216 DT216 DV216 DW216 DY216 DZ216 EB216 EC216 EE216 EF216 EH216 EI216 EK216 EL216 EN216 EO216 EQ216 ER216 ET216 EU216 EW216 EX216 EZ216 FA216 FC216 FD216 FF216 FG216 FI216 FJ216 FL216 FM216 FO216 FP216 FR216 FS216 FU216 FV216 AD217 AE217 AG217 AH217 AJ217 AK217 AM217 AN217 AP217 AQ217 AS217 AT217 AV217 AW217 AY217 AZ217 BB217 BC217 BE217 BF217 BH217 BI217 BK217 BL217 BN217 BO217 BQ217 BR217 BT217 BU217 BW217 BX217 BZ217 CA217 CC217 CD217 CF217 CG217 CI217 CJ217 CL217 CM217 CO217 CP217 CR217 CS217 CU217 CV217 CX217 CY217 DA217 DB217 DD217 DE217 DG217 DH217 DJ217 DK217 DM217 DN217 DP217 DQ217 DS217 DT217 DV217 DW217 DY217 DZ217 EB217 EC217 EE217 EF217 EH217 EI217 EK217 EL217 EN217 EO217 EQ217 ER217 ET217 EU217 EW217 EX217 EZ217 FA217 FC217 FD217 FF217 FG217 FI217 FJ217 FL217 FM217 FO217 FP217 FR217 FS217 FU217 FV217 AD219 AE219 AG219 AH219 AJ219 AK219 AM219 AN219 AP219 AQ219 AS219 AT219 AV219 AW219 AY219 AZ219 BB219 BC219 BE219 BF219 BH219 BI219 BK219 BL219 BN219 BO219 BQ219 BR219 BT219 BU219 BW219 BX219 BZ219 CA219 CC219 CD219 CF219 CG219 CI219 CJ219 CL219 CM219 CO219 CP219 CR219 CS219 CU219 CV219 CX219 CY219 DA219 DB219 DD219 DE219 DG219 DH219 DJ219 DK219 DM219 DN219 DP219 DQ219 DS219 DT219 DV219 DW219 DY219 DZ219 EB219 EC219 EE219 EF219 EH219 EI219 EK219 EL219 EN219 EO219 EQ219 ER219 ET219 EU219 EW219 EX219 EZ219 FA219 FC219 FD219 FF219 FG219 FI219 FJ219 FL219 FM219 FO219 FP219 FR219 FS219 FU219 FV219 AD220 AE220 AG220 AH220 AJ220 AK220 AM220 AN220 AP220 AQ220 AS220 AT220 AV220 AW220 AY220 AZ220 BB220 BC220 BE220 BF220 BH220 BI220 BK220 BL220 BN220 BO220 BQ220 BR220 BT220 BU220 BW220 BX220 BZ220 CA220 CC220 CD220 CF220 CG220 CI220 CJ220 CL220 CM220 CO220 CP220 CR220 CS220 CU220 CV220 CX220 CY220 DA220 DB220 DD220 DE220 DG220 DH220 DJ220 DK220 DM220 DN220 DP220 DQ220 DS220 DT220 DV220 DW220 DY220 DZ220 EB220 EC220 EE220 EF220 EH220 EI220 EK220 EL220 EN220 EO220 EQ220 ER220 ET220 EU220 EW220 EX220 EZ220 FA220 FC220 FD220 FF220 FG220 FI220 FJ220 FL220 FM220 FO220 FP220 FR220 FS220 FU220 FV220 AD221 AE221 AG221 AH221 AJ221 AK221 AM221 AN221 AP221 AQ221 AS221 AT221 AV221 AW221 AY221 AZ221 BB221 BC221 BE221 BF221 BH221 BI221 BK221 BL221 BN221 BO221 BQ221 BR221 BT221 BU221 BW221 BX221 BZ221 CA221 CC221 CD221 CF221 CG221 CI221 CJ221 CL221 CM221 CO221 CP221 CR221 CS221 CU221 CV221 CX221 CY221 DA221 DB221 DD221 DE221 DG221 DH221 DJ221 DK221 DM221 DN221 DP221 DQ221 DS221 DT221 DV221 DW221 DY221 DZ221 EB221 EC221 EE221 EF221 EH221 EI221 EK221 EL221 EN221 EO221 EQ221 ER221 ET221 EU221 EW221 EX221 EZ221 FA221 FC221 FD221 FF221 FG221 FI221 FJ221 FL221 FM221 FO221 FP221 FR221 FS221 FU221 FV221 AD222 AE222 AG222 AH222 AJ222 AK222 AM222 AN222 AP222 AQ222 AS222 AT222 AV222 AW222 AY222 AZ222 BB222 BC222 BE222 BF222 BH222 BI222 BK222 BL222 BN222 BO222 BQ222 BR222 BT222 BU222 BW222 BX222 BZ222 CA222 CC222 CD222 CF222 CG222 CI222 CJ222 CL222 CM222 CO222 CP222 CR222 CS222 CU222 CV222 CX222 CY222 DA222 DB222 DD222 DE222 DG222 DH222 DJ222 DK222 DM222 DN222 DP222 DQ222 DS222 DT222 DV222 DW222 DY222 DZ222 EB222 EC222 EE222 EF222 EH222 EI222 EK222 EL222 EN222 EO222 EQ222 ER222 ET222 EU222 EW222 EX222 EZ222 FA222 FC222 FD222 FF222 FG222 FI222 FJ222 FL222 FM222 FO222 FP222 FR222 FS222 FU222 FV222 AD223 AE223 AG223 AH223 AJ223 AK223 AM223 AN223 AP223 AQ223 AS223 AT223 AV223 AW223 AY223 AZ223 BB223 BC223 BE223 BF223 BH223 BI223 BK223 BL223 BN223 BO223 BQ223 BR223 BT223 BU223 BW223 BX223 BZ223 CA223 CC223 CD223 CF223 CG223 CI223 CJ223 CL223 CM223 CO223 CP223 CR223 CS223 CU223 CV223 CX223 CY223 DA223 DB223 DD223 DE223 DG223 DH223 DJ223 DK223 DM223 DN223 DP223 DQ223 DS223 DT223 DV223 DW223 DY223 DZ223 EB223 EC223 EE223 EF223 EH223 EI223 EK223 EL223 EN223 EO223 EQ223 ER223 ET223 EU223 EW223 EX223 EZ223 FA223 FC223 FD223 FF223 FG223 FI223 FJ223 FL223 FM223 FO223 FP223 FR223 FS223 FU223 FV223 AD225 AE225 AG225 AH225 AJ225 AK225 AM225 AN225 AP225 AQ225 AS225 AT225 AV225 AW225 AY225 AZ225 BB225 BC225 BE225 BF225 BH225 BI225 BK225 BL225 BN225 BO225 BQ225 BR225 BT225 BU225 BW225 BX225 BZ225 CA225 CC225 CD225 CF225 CG225 CI225 CJ225 CL225 CM225 CO225 CP225 CR225 CS225 CU225 CV225 CX225 CY225 DA225 DB225 DD225 DE225 DG225 DH225 DJ225 DK225 DM225 DN225 DP225 DQ225 DS225 DT225 DV225 DW225 DY225 DZ225 EB225 EC225 EE225 EF225 EH225 EI225 EK225 EL225 EN225 EO225 EQ225 ER225 ET225 EU225 EW225 EX225 EZ225 FA225 FC225 FD225 FF225 FG225 FI225 FJ225 FL225 FM225 FO225 FP225 FR225 FS225 FU225 FV225 AD226:AD232 AE226:AE232 AG226:AG232 AH226:AH232 AJ226:AJ232 AK226:AK232 AM226:AM232 AN226:AN232 AP226:AP232 AQ226:AQ232 AS226:AS232 AT226:AT232 AV226:AV232 AW226:AW232 AY226:AY232 AZ226:AZ232 BB226:BB232 BC226:BC232 BE226:BE232 BF226:BF232 BH226:BH232 BI226:BI232 BK226:BK232 BL226:BL232 BN226:BN232 BO226:BO232 BQ226:BQ232 BR226:BR232 BT226:BT232 BU226:BU232 BW226:BW232 BX226:BX232 BZ226:BZ232 CA226:CA232 CC226:CC232 CD226:CD232 CF226:CF232 CG226:CG232 CI226:CI232 CJ226:CJ232 CL226:CL232 CM226:CM232 CO226:CO232 CP226:CP232 CR226:CR232 CS226:CS232 CU226:CU232 CV226:CV232 CX226:CX232 CY226:CY232 DA226:DA232 DB226:DB232 DD226:DD232 DE226:DE232 DG226:DG232 DH226:DH232 DJ226:DJ232 DK226:DK232 DM226:DM232 DN226:DN232 DP226:DP232 DQ226:DQ232 DS226:DS232 DT226:DT232 DV226:DV232 DW226:DW232 DY226:DY232 DZ226:DZ232 EB226:EB232 EC226:EC232 EE226:EE232 EF226:EF232 EH226:EH232 EI226:EI232 EK226:EK232 EL226:EL232 EN226:EN232 EO226:EO232 EQ226:EQ232 ER226:ER232 ET226:ET232 EU226:EU232 EW226:EW232 EX226:EX232 EZ226:EZ232 FA226:FA232 FC226:FC232 FD226:FD232 FF226:FF232 FG226:FG232 FI226:FI232 FJ226:FJ232 FL226:FL232 FM226:FM232 FO226:FO232 FP226:FP232 FR226:FR232 FS226:FS232 FU226:FU232 FV226:FV232 AD235 AE235 AG235 AH235 AJ235 AK235 AM235 AN235 AP235 AQ235 AS235 AT235 AV235 AW235 AY235 AZ235 BB235 BC235 BE235 BF235 BH235 BI235 BK235 BL235 BN235 BO235 BQ235 BR235 BT235 BU235 BW235 BX235 BZ235 CA235 CC235 CD235 CF235 CG235 CI235 CJ235 CL235 CM235 CO235 CP235 CR235 CS235 CU235 CV235 CX235 CY235 DA235 DB235 DD235 DE235 DG235 DH235 DJ235 DK235 DM235 DN235 DP235 DQ235 DS235 DT235 DV235 DW235 DY235 DZ235 EB235 EC235 EE235 EF235 EH235 EI235 EK235 EL235 EN235 EO235 EQ235 ER235 ET235 EU235 EW235 EX235 EZ235 FA235 FC235 FD235 FF235 FG235 FI235 FJ235 FL235 FM235 FO235 FP235 FR235 FS235 FU235 FV235 AD236 AE236 AG236 AH236 AJ236 AK236 AM236 AN236 AP236 AQ236 AS236 AT236 AV236 AW236 AY236 AZ236 BB236 BC236 BE236 BF236 BH236 BI236 BK236 BL236 BN236 BO236 BQ236 BR236 BT236 BU236 BW236 BX236 BZ236 CA236 CC236 CD236 CF236 CG236 CI236 CJ236 CL236 CM236 CO236 CP236 CR236 CS236 CU236 CV236 CX236 CY236 DA236 DB236 DD236 DE236 DG236 DH236 DJ236 DK236 DM236 DN236 DP236 DQ236 DS236 DT236 DV236 DW236 DY236 DZ236 EB236 EC236 EE236 EF236 EH236 EI236 EK236 EL236 EN236 EO236 EQ236 ER236 ET236 EU236 EW236 EX236 EZ236 FA236 FC236 FD236 FF236 FG236 FI236 FJ236 FL236 FM236 FO236 FP236 FR236 FS236 FU236 FV236 AD239 AE239 AG239 AH239 AJ239 AK239 AM239 AN239 AP239 AQ239 AS239 AT239 AV239 AW239 AY239 AZ239 BB239 BC239 BE239 BF239 BH239 BI239 BK239 BL239 BN239 BO239 BQ239 BR239 BT239 BU239 BW239 BX239 BZ239 CA239 CC239 CD239 CF239 CG239 CI239 CJ239 CL239 CM239 CO239 CP239 CR239 CS239 CU239 CV239 CX239 CY239 DA239 DB239 DD239 DE239 DG239 DH239 DJ239 DK239 DM239 DN239 DP239 DQ239 DS239 DT239 DV239 DW239 DY239 DZ239 EB239 EC239 EE239 EF239 EH239 EI239 EK239 EL239 EN239 EO239 EQ239 ER239 ET239 EU239 EW239 EX239 EZ239 FA239 FC239 FD239 FF239 FG239 FI239 FJ239 FL239 FM239 FO239 FP239 FR239 FS239 FU239 FV239 AD255:AD256 AE255:AE256 AG255:AG256 AH255:AH256 AJ255:AJ256 AK255:AK256 AM255:AM256 AN255:AN256 AP255:AP256 AQ255:AQ256 AS255:AS256 AT255:AT256 AV255:AV256 AW255:AW256 AY255:AY256 AZ255:AZ256 BB255:BB256 BC255:BC256 BE255:BE256 BF255:BF256 BH255:BH256 BI255:BI256 BK255:BK256 BL255:BL256 BN255:BN256 BO255:BO256 BQ255:BQ256 BR255:BR256 BT255:BT256 BU255:BU256 BW255:BW256 BX255:BX256 BZ255:BZ256 CA255:CA256 CC255:CC256 CD255:CD256 CF255:CF256 CG255:CG256 CI255:CI256 CJ255:CJ256 CL255:CL256 CM255:CM256 CO255:CO256 CP255:CP256 CR255:CR256 CS255:CS256 CU255:CU256 CV255:CV256 CX255:CX256 CY255:CY256 DA255:DA256 DB255:DB256 DD255:DD256 DE255:DE256 DG255:DG256 DH255:DH256 DJ255:DJ256 DK255:DK256 DM255:DM256 DN255:DN256 DP255:DP256 DQ255:DQ256 DS255:DS256 DT255:DT256 DV255:DV256 DW255:DW256 DY255:DY256 DZ255:DZ256 EB255:EB256 EC255:EC256 EE255:EE256 EF255:EF256 EH255:EH256 EI255:EI256 EK255:EK256 EL255:EL256 EN255:EN256 EO255:EO256 EQ255:EQ256 ER255:ER256 ET255:ET256 EU255:EU256 EW255:EW256 EX255:EX256 EZ255:EZ256 FA255:FA256 FC255:FC256 FD255:FD256 FF255:FF256 FG255:FG256 FI255:FI256 FJ255:FJ256 FL255:FL256 FM255:FM256 FO255:FO256 FP255:FP256 FR255:FR256 FS255:FS256 FU255:FU256 FV255:FV256 AD261 AE261 AG261 AH261 AJ261 AK261 AM261 AN261 AP261 AQ261 AS261 AT261 AV261 AW261 AY261 AZ261 BB261 BC261 BE261 BF261 BH261 BI261 BK261 BL261 BN261 BO261 BQ261 BR261 BT261 BU261 BW261 BX261 BZ261 CA261 CC261 CD261 CF261 CG261 CI261 CJ261 CL261 CM261 CO261 CP261 CR261 CS261 CU261 CV261 CX261 CY261 DA261 DB261 DD261 DE261 DG261 DH261 DJ261 DK261 DM261 DN261 DP261 DQ261 DS261 DT261 DV261 DW261 DY261 DZ261 EB261 EC261 EE261 EF261 EH261 EI261 EK261 EL261 EN261 EO261 EQ261 ER261 ET261 EU261 EW261 EX261 EZ261 FA261 FC261 FD261 FF261 FG261 FI261 FJ261 FL261 FM261 FO261 FP261 FR261 FS261 FU261 FV261 AD262 AE262 AG262 AH262 AJ262 AK262 AM262 AN262 AP262 AQ262 AS262 AT262 AV262 AW262 AY262 AZ262 BB262 BC262 BE262 BF262 BH262 BI262 BK262 BL262 BN262 BO262 BQ262 BR262 BT262 BU262 BW262 BX262 BZ262 CA262 CC262 CD262 CF262 CG262 CI262 CJ262 CL262 CM262 CO262 CP262 CR262 CS262 CU262 CV262 CX262 CY262 DA262 DB262 DD262 DE262 DG262 DH262 DJ262 DK262 DM262 DN262 DP262 DQ262 DS262 DT262 DV262 DW262 DY262 DZ262 EB262 EC262 EE262 EF262 EH262 EI262 EK262 EL262 EN262 EO262 EQ262 ER262 ET262 EU262 EW262 EX262 EZ262 FA262 FC262 FD262 FF262 FG262 FI262 FJ262 FL262 FM262 FO262 FP262 FR262 FS262 FU262 FV262 AD264 AE264 AG264 AH264 AJ264 AK264 AM264 AN264 AP264 AQ264 AS264 AT264 AV264 AW264 AY264 AZ264 BB264 BC264 BE264 BF264 BH264 BI264 BK264 BL264 BN264 BO264 BQ264 BR264 BT264 BU264 BW264 BX264 BZ264 CA264 CC264 CD264 CF264 CG264 CI264 CJ264 CL264 CM264 CO264 CP264 CR264 CS264 CU264 CV264 CX264 CY264 DA264 DB264 DD264 DE264 DG264 DH264 DJ264 DK264 DM264 DN264 DP264 DQ264 DS264 DT264 DV264 DW264 DY264 DZ264 EB264 EC264 EE264 EF264 EH264 EI264 EK264 EL264 EN264 EO264 EQ264 ER264 ET264 EU264 EW264 EX264 EZ264 FA264 FC264 FD264 FF264 FG264 FI264 FJ264 FL264 FM264 FO264 FP264 FR264 FS264 FU264 FV264 AD265 AE265 AG265 AH265 AJ265 AK265 AM265 AN265 AP265 AQ265 AS265 AT265 AV265 AW265 AY265 AZ265 BB265 BC265 BE265 BF265 BH265 BI265 BK265 BL265 BN265 BO265 BQ265 BR265 BT265 BU265 BW265 BX265 BZ265 CA265 CC265 CD265 CF265 CG265 CI265 CJ265 CL265 CM265 CO265 CP265 CR265 CS265 CU265 CV265 CX265 CY265 DA265 DB265 DD265 DE265 DG265 DH265 DJ265 DK265 DM265 DN265 DP265 DQ265 DS265 DT265 DV265 DW265 DY265 DZ265 EB265 EC265 EE265 EF265 EH265 EI265 EK265 EL265 EN265 EO265 EQ265 ER265 ET265 EU265 EW265 EX265 EZ265 FA265 FC265 FD265 FF265 FG265 FI265 FJ265 FL265 FM265 FO265 FP265 FR265 FS265 FU265 FV265 AD267 AE267 AG267 AH267 AJ267 AK267 AM267 AN267 AP267 AQ267 AS267 AT267 AV267 AW267 AY267 AZ267 BB267 BC267 BE267 BF267 BH267 BI267 BK267 BL267 BN267 BO267 BQ267 BR267 BT267 BU267 BW267 BX267 BZ267 CA267 CC267 CD267 CF267 CG267 CI267 CJ267 CL267 CM267 CO267 CP267 CR267 CS267 CU267 CV267 CX267 CY267 DA267 DB267 DD267 DE267 DG267 DH267 DJ267 DK267 DM267 DN267 DP267 DQ267 DS267 DT267 DV267 DW267 DY267 DZ267 EB267 EC267 EE267 EF267 EH267 EI267 EK267 EL267 EN267 EO267 EQ267 ER267 ET267 EU267 EW267 EX267 EZ267 FA267 FC267 FD267 FF267 FG267 FI267 FJ267 FL267 FM267 FO267 FP267 FR267 FS267 FU267 FV267 AD268 AE268 AG268 AH268 AJ268 AK268 AM268 AN268 AP268 AQ268 AS268 AT268 AV268 AW268 AY268 AZ268 BB268 BC268 BE268 BF268 BH268 BI268 BK268 BL268 BN268 BO268 BQ268 BR268 BT268 BU268 BW268 BX268 BZ268 CA268 CC268 CD268 CF268 CG268 CI268 CJ268 CL268 CM268 CO268 CP268 CR268 CS268 CU268 CV268 CX268 CY268 DA268 DB268 DD268 DE268 DG268 DH268 DJ268 DK268 DM268 DN268 DP268 DQ268 DS268 DT268 DV268 DW268 DY268 DZ268 EB268 EC268 EE268 EF268 EH268 EI268 EK268 EL268 EN268 EO268 EQ268 ER268 ET268 EU268 EW268 EX268 EZ268 FA268 FC268 FD268 FF268 FG268 FI268 FJ268 FL268 FM268 FO268 FP268 FR268 FS268 FU268 FV268 AD270 AE270 AG270 AH270 AJ270 AK270 AM270 AN270 AP270 AQ270 AS270 AT270 AV270 AW270 AY270 AZ270 BB270 BC270 BE270 BF270 BH270 BI270 BK270 BL270 BN270 BO270 BQ270 BR270 BT270 BU270 BW270 BX270 BZ270 CA270 CC270 CD270 CF270 CG270 CI270 CJ270 CL270 CM270 CO270 CP270 CR270 CS270 CU270 CV270 CX270 CY270 DA270 DB270 DD270 DE270 DG270 DH270 DJ270 DK270 DM270 DN270 DP270 DQ270 DS270 DT270 DV270 DW270 DY270 DZ270 EB270 EC270 EE270 EF270 EH270 EI270 EK270 EL270 EN270 EO270 EQ270 ER270 ET270 EU270 EW270 EX270 EZ270 FA270 FC270 FD270 FF270 FG270 FI270 FJ270 FL270 FM270 FO270 FP270 FR270 FS270 FU270 FV270 AD271 AE271 AG271 AH271 AJ271 AK271 AM271 AN271 AP271 AQ271 AS271 AT271 AV271 AW271 AY271 AZ271 BB271 BC271 BE271 BF271 BH271 BI271 BK271 BL271 BN271 BO271 BQ271 BR271 BT271 BU271 BW271 BX271 BZ271 CA271 CC271 CD271 CF271 CG271 CI271 CJ271 CL271 CM271 CO271 CP271 CR271 CS271 CU271 CV271 CX271 CY271 DA271 DB271 DD271 DE271 DG271 DH271 DJ271 DK271 DM271 DN271 DP271 DQ271 DS271 DT271 DV271 DW271 DY271 DZ271 EB271 EC271 EE271 EF271 EH271 EI271 EK271 EL271 EN271 EO271 EQ271 ER271 ET271 EU271 EW271 EX271 EZ271 FA271 FC271 FD271 FF271 FG271 FI271 FJ271 FL271 FM271 FO271 FP271 FR271 FS271 FU271 FV271 AD273 AE273 AG273 AH273 AJ273 AK273 AM273 AN273 AP273 AQ273 AS273 AT273 AV273 AW273 AY273 AZ273 BB273 BC273 BE273 BF273 BH273 BI273 BK273 BL273 BN273 BO273 BQ273 BR273 BT273 BU273 BW273 BX273 BZ273 CA273 CC273 CD273 CF273 CG273 CI273 CJ273 CL273 CM273 CO273 CP273 CR273 CS273 CU273 CV273 CX273 CY273 DA273 DB273 DD273 DE273 DG273 DH273 DJ273 DK273 DM273 DN273 DP273 DQ273 DS273 DT273 DV273 DW273 DY273 DZ273 EB273 EC273 EE273 EF273 EH273 EI273 EK273 EL273 EN273 EO273 EQ273 ER273 ET273 EU273 EW273 EX273 EZ273 FA273 FC273 FD273 FF273 FG273 FI273 FJ273 FL273 FM273 FO273 FP273 FR273 FS273 FU273 FV273 AD274 AE274 AG274 AH274 AJ274 AK274 AM274 AN274 AP274 AQ274 AS274 AT274 AV274 AW274 AY274 AZ274 BB274 BC274 BE274 BF274 BH274 BI274 BK274 BL274 BN274 BO274 BQ274 BR274 BT274 BU274 BW274 BX274 BZ274 CA274 CC274 CD274 CF274 CG274 CI274 CJ274 CL274 CM274 CO274 CP274 CR274 CS274 CU274 CV274 CX274 CY274 DA274 DB274 DD274 DE274 DG274 DH274 DJ274 DK274 DM274 DN274 DP274 DQ274 DS274 DT274 DV274 DW274 DY274 DZ274 EB274 EC274 EE274 EF274 EH274 EI274 EK274 EL274 EN274 EO274 EQ274 ER274 ET274 EU274 EW274 EX274 EZ274 FA274 FC274 FD274 FF274 FG274 FI274 FJ274 FL274 FM274 FO274 FP274 FR274 FS274 FU274 FV274 AD276 AE276 AG276 AH276 AJ276 AK276 AM276 AN276 AP276 AQ276 AS276 AT276 AV276 AW276 AY276 AZ276 BB276 BC276 BE276 BF276 BH276 BI276 BK276 BL276 BN276 BO276 BQ276 BR276 BT276 BU276 BW276 BX276 BZ276 CA276 CC276 CD276 CF276 CG276 CI276 CJ276 CL276 CM276 CO276 CP276 CR276 CS276 CU276 CV276 CX276 CY276 DA276 DB276 DD276 DE276 DG276 DH276 DJ276 DK276 DM276 DN276 DP276 DQ276 DS276 DT276 DV276 DW276 DY276 DZ276 EB276 EC276 EE276 EF276 EH276 EI276 EK276 EL276 EN276 EO276 EQ276 ER276 ET276 EU276 EW276 EX276 EZ276 FA276 FC276 FD276 FF276 FG276 FI276 FJ276 FL276 FM276 FO276 FP276 FR276 FS276 FU276 FV276 AD277 AE277 AG277 AH277 AJ277 AK277 AM277 AN277 AP277 AQ277 AS277 AT277 AV277 AW277 AY277 AZ277 BB277 BC277 BE277 BF277 BH277 BI277 BK277 BL277 BN277 BO277 BQ277 BR277 BT277 BU277 BW277 BX277 BZ277 CA277 CC277 CD277 CF277 CG277 CI277 CJ277 CL277 CM277 CO277 CP277 CR277 CS277 CU277 CV277 CX277 CY277 DA277 DB277 DD277 DE277 DG277 DH277 DJ277 DK277 DM277 DN277 DP277 DQ277 DS277 DT277 DV277 DW277 DY277 DZ277 EB277 EC277 EE277 EF277 EH277 EI277 EK277 EL277 EN277 EO277 EQ277 ER277 ET277 EU277 EW277 EX277 EZ277 FA277 FC277 FD277 FF277 FG277 FI277 FJ277 FL277 FM277 FO277 FP277 FR277 FS277 FU277 FV277 AD279 AE279 AG279 AH279 AJ279 AK279 AM279 AN279 AP279 AQ279 AS279 AT279 AV279 AW279 AY279 AZ279 BB279 BC279 BE279 BF279 BH279 BI279 BK279 BL279 BN279 BO279 BQ279 BR279 BT279 BU279 BW279 BX279 BZ279 CA279 CC279 CD279 CF279 CG279 CI279 CJ279 CL279 CM279 CO279 CP279 CR279 CS279 CU279 CV279 CX279 CY279 DA279 DB279 DD279 DE279 DG279 DH279 DJ279 DK279 DM279 DN279 DP279 DQ279 DS279 DT279 DV279 DW279 DY279 DZ279 EB279 EC279 EE279 EF279 EH279 EI279 EK279 EL279 EN279 EO279 EQ279 ER279 ET279 EU279 EW279 EX279 EZ279 FA279 FC279 FD279 FF279 FG279 FI279 FJ279 FL279 FM279 FO279 FP279 FR279 FS279 FU279 FV279 AD280 AE280 AG280 AH280 AJ280 AK280 AM280 AN280 AP280 AQ280 AS280 AT280 AV280 AW280 AY280 AZ280 BB280 BC280 BE280 BF280 BH280 BI280 BK280 BL280 BN280 BO280 BQ280 BR280 BT280 BU280 BW280 BX280 BZ280 CA280 CC280 CD280 CF280 CG280 CI280 CJ280 CL280 CM280 CO280 CP280 CR280 CS280 CU280 CV280 CX280 CY280 DA280 DB280 DD280 DE280 DG280 DH280 DJ280 DK280 DM280 DN280 DP280 DQ280 DS280 DT280 DV280 DW280 DY280 DZ280 EB280 EC280 EE280 EF280 EH280 EI280 EK280 EL280 EN280 EO280 EQ280 ER280 ET280 EU280 EW280 EX280 EZ280 FA280 FC280 FD280 FF280 FG280 FI280 FJ280 FL280 FM280 FO280 FP280 FR280 FS280 FU280 FV280 AD282 AE282 AG282 AH282 AJ282 AK282 AM282 AN282 AP282 AQ282 AS282 AT282 AV282 AW282 AY282 AZ282 BB282 BC282 BE282 BF282 BH282 BI282 BK282 BL282 BN282 BO282 BQ282 BR282 BT282 BU282 BW282 BX282 BZ282 CA282 CC282 CD282 CF282 CG282 CI282 CJ282 CL282 CM282 CO282 CP282 CR282 CS282 CU282 CV282 CX282 CY282 DA282 DB282 DD282 DE282 DG282 DH282 DJ282 DK282 DM282 DN282 DP282 DQ282 DS282 DT282 DV282 DW282 DY282 DZ282 EB282 EC282 EE282 EF282 EH282 EI282 EK282 EL282 EN282 EO282 EQ282 ER282 ET282 EU282 EW282 EX282 EZ282 FA282 FC282 FD282 FF282 FG282 FI282 FJ282 FL282 FM282 FO282 FP282 FR282 FS282 FU282 FV282 AD283 AE283 AG283 AH283 AJ283 AK283 AM283 AN283 AP283 AQ283 AS283 AT283 AV283 AW283 AY283 AZ283 BB283 BC283 BE283 BF283 BH283 BI283 BK283 BL283 BN283 BO283 BQ283 BR283 BT283 BU283 BW283 BX283 BZ283 CA283 CC283 CD283 CF283 CG283 CI283 CJ283 CL283 CM283 CO283 CP283 CR283 CS283 CU283 CV283 CX283 CY283 DA283 DB283 DD283 DE283 DG283 DH283 DJ283 DK283 DM283 DN283 DP283 DQ283 DS283 DT283 DV283 DW283 DY283 DZ283 EB283 EC283 EE283 EF283 EH283 EI283 EK283 EL283 EN283 EO283 EQ283 ER283 ET283 EU283 EW283 EX283 EZ283 FA283 FC283 FD283 FF283 FG283 FI283 FJ283 FL283 FM283 FO283 FP283 FR283 FS283 FU283 FV283 AD284 AE284 AG284 AH284 AJ284 AK284 AM284 AN284 AP284 AQ284 AS284 AT284 AV284 AW284 AY284 AZ284 BB284 BC284 BE284 BF284 BH284 BI284 BK284 BL284 BN284 BO284 BQ284 BR284 BT284 BU284 BW284 BX284 BZ284 CA284 CC284 CD284 CF284 CG284 CI284 CJ284 CL284 CM284 CO284 CP284 CR284 CS284 CU284 CV284 CX284 CY284 DA284 DB284 DD284 DE284 DG284 DH284 DJ284 DK284 DM284 DN284 DP284 DQ284 DS284 DT284 DV284 DW284 DY284 DZ284 EB284 EC284 EE284 EF284 EH284 EI284 EK284 EL284 EN284 EO284 EQ284 ER284 ET284 EU284 EW284 EX284 EZ284 FA284 FC284 FD284 FF284 FG284 FI284 FJ284 FL284 FM284 FO284 FP284 FR284 FS284 FU284 FV284 AD285 AE285 AG285 AH285 AJ285 AK285 AM285 AN285 AP285 AQ285 AS285 AT285 AV285 AW285 AY285 AZ285 BB285 BC285 BE285 BF285 BH285 BI285 BK285 BL285 BN285 BO285 BQ285 BR285 BT285 BU285 BW285 BX285 BZ285 CA285 CC285 CD285 CF285 CG285 CI285 CJ285 CL285 CM285 CO285 CP285 CR285 CS285 CU285 CV285 CX285 CY285 DA285 DB285 DD285 DE285 DG285 DH285 DJ285 DK285 DM285 DN285 DP285 DQ285 DS285 DT285 DV285 DW285 DY285 DZ285 EB285 EC285 EE285 EF285 EH285 EI285 EK285 EL285 EN285 EO285 EQ285 ER285 ET285 EU285 EW285 EX285 EZ285 FA285 FC285 FD285 FF285 FG285 FI285 FJ285 FL285 FM285 FO285 FP285 FR285 FS285 FU285 FV285 AD286 AE286 AG286 AH286 AJ286 AK286 AM286 AN286 AP286 AQ286 AS286 AT286 AV286 AW286 AY286 AZ286 BB286 BC286 BE286 BF286 BH286 BI286 BK286 BL286 BN286 BO286 BQ286 BR286 BT286 BU286 BW286 BX286 BZ286 CA286 CC286 CD286 CF286 CG286 CI286 CJ286 CL286 CM286 CO286 CP286 CR286 CS286 CU286 CV286 CX286 CY286 DA286 DB286 DD286 DE286 DG286 DH286 DJ286 DK286 DM286 DN286 DP286 DQ286 DS286 DT286 DV286 DW286 DY286 DZ286 EB286 EC286 EE286 EF286 EH286 EI286 EK286 EL286 EN286 EO286 EQ286 ER286 ET286 EU286 EW286 EX286 EZ286 FA286 FC286 FD286 FF286 FG286 FI286 FJ286 FL286 FM286 FO286 FP286 FR286 FS286 FU286 FV286 AD288 AE288 AG288 AH288 AJ288 AK288 AM288 AN288 AP288 AQ288 AS288 AT288 AV288 AW288 AY288 AZ288 BB288 BC288 BE288 BF288 BH288 BI288 BK288 BL288 BN288 BO288 BQ288 BR288 BT288 BU288 BW288 BX288 BZ288 CA288 CC288 CD288 CF288 CG288 CI288 CJ288 CL288 CM288 CO288 CP288 CR288 CS288 CU288 CV288 CX288 CY288 DA288 DB288 DD288 DE288 DG288 DH288 DJ288 DK288 DM288 DN288 DP288 DQ288 DS288 DT288 DV288 DW288 DY288 DZ288 EB288 EC288 EE288 EF288 EH288 EI288 EK288 EL288 EN288 EO288 EQ288 ER288 ET288 EU288 EW288 EX288 EZ288 FA288 FC288 FD288 FF288 FG288 FI288 FJ288 FL288 FM288 FO288 FP288 FR288 FS288 FU288 FV288 AD289:AD295 AE289:AE295 AG289:AG295 AH289:AH295 AJ289:AJ295 AK289:AK295 AM289:AM295 AN289:AN295 AP289:AP295 AQ289:AQ295 AS289:AS295 AT289:AT295 AV289:AV295 AW289:AW295 AY289:AY295 AZ289:AZ295 BB289:BB295 BC289:BC295 BE289:BE295 BF289:BF295 BH289:BH295 BI289:BI295 BK289:BK295 BL289:BL295 BN289:BN295 BO289:BO295 BQ289:BQ295 BR289:BR295 BT289:BT295 BU289:BU295 BW289:BW295 BX289:BX295 BZ289:BZ295 CA289:CA295 CC289:CC295 CD289:CD295 CF289:CF295 CG289:CG295 CI289:CI295 CJ289:CJ295 CL289:CL295 CM289:CM295 CO289:CO295 CP289:CP295 CR289:CR295 CS289:CS295 CU289:CU295 CV289:CV295 CX289:CX295 CY289:CY295 DA289:DA295 DB289:DB295 DD289:DD295 DE289:DE295 DG289:DG295 DH289:DH295 DJ289:DJ295 DK289:DK295 DM289:DM295 DN289:DN295 DP289:DP295 DQ289:DQ295 DS289:DS295 DT289:DT295 DV289:DV295 DW289:DW295 DY289:DY295 DZ289:DZ295 EB289:EB295 EC289:EC295 EE289:EE295 EF289:EF295 EH289:EH295 EI289:EI295 EK289:EK295 EL289:EL295 EN289:EN295 EO289:EO295 EQ289:EQ295 ER289:ER295 ET289:ET295 EU289:EU295 EW289:EW295 EX289:EX295 EZ289:EZ295 FA289:FA295 FC289:FC295 FD289:FD295 FF289:FF295 FG289:FG295 FI289:FI295 FJ289:FJ295 FL289:FL295 FM289:FM295 FO289:FO295 FP289:FP295 FR289:FR295 FS289:FS295 FU289:FU295 FV289:FV295 AD298 AE298 AG298 AH298 AJ298 AK298 AM298 AN298 AP298 AQ298 AS298 AT298 AV298 AW298 AY298 AZ298 BB298 BC298 BE298 BF298 BH298 BI298 BK298 BL298 BN298 BO298 BQ298 BR298 BT298 BU298 BW298 BX298 BZ298 CA298 CC298 CD298 CF298 CG298 CI298 CJ298 CL298 CM298 CO298 CP298 CR298 CS298 CU298 CV298 CX298 CY298 DA298 DB298 DD298 DE298 DG298 DH298 DJ298 DK298 DM298 DN298 DP298 DQ298 DS298 DT298 DV298 DW298 DY298 DZ298 EB298 EC298 EE298 EF298 EH298 EI298 EK298 EL298 EN298 EO298 EQ298 ER298 ET298 EU298 EW298 EX298 EZ298 FA298 FC298 FD298 FF298 FG298 FI298 FJ298 FL298 FM298 FO298 FP298 FR298 FS298 FU298 FV298 AD299 AE299 AG299 AH299 AJ299 AK299 AM299 AN299 AP299 AQ299 AS299 AT299 AV299 AW299 AY299 AZ299 BB299 BC299 BE299 BF299 BH299 BI299 BK299 BL299 BN299 BO299 BQ299 BR299 BT299 BU299 BW299 BX299 BZ299 CA299 CC299 CD299 CF299 CG299 CI299 CJ299 CL299 CM299 CO299 CP299 CR299 CS299 CU299 CV299 CX299 CY299 DA299 DB299 DD299 DE299 DG299 DH299 DJ299 DK299 DM299 DN299 DP299 DQ299 DS299 DT299 DV299 DW299 DY299 DZ299 EB299 EC299 EE299 EF299 EH299 EI299 EK299 EL299 EN299 EO299 EQ299 ER299 ET299 EU299 EW299 EX299 EZ299 FA299 FC299 FD299 FF299 FG299 FI299 FJ299 FL299 FM299 FO299 FP299 FR299 FS299 FU299 FV299 AD302 AE302 AG302 AH302 AJ302 AK302 AM302 AN302 AP302 AQ302 AS302 AT302 AV302 AW302 AY302 AZ302 BB302 BC302 BE302 BF302 BH302 BI302 BK302 BL302 BN302 BO302 BQ302 BR302 BT302 BU302 BW302 BX302 BZ302 CA302 CC302 CD302 CF302 CG302 CI302 CJ302 CL302 CM302 CO302 CP302 CR302 CS302 CU302 CV302 CX302 CY302 DA302 DB302 DD302 DE302 DG302 DH302 DJ302 DK302 DM302 DN302 DP302 DQ302 DS302 DT302 DV302 DW302 DY302 DZ302 EB302 EC302 EE302 EF302 EH302 EI302 EK302 EL302 EN302 EO302 EQ302 ER302 ET302 EU302 EW302 EX302 EZ302 FA302 FC302 FD302 FF302 FG302 FI302 FJ302 FL302 FM302 FO302 FP302 FR302 FS302 FU302 FV302 AD108:AD109 AE108:AE109 AG108:AG109 AH108:AH109 AJ108:AJ109 AK108:AK109 AM108:AM109 AN108:AN109 AP108:AP109 AQ108:AQ109 AS108:AS109 AT108:AT109 AV108:AV109 AW108:AW109 AY108:AY109 AZ108:AZ109 BB108:BB109 BC108:BC109 BE108:BE109 BF108:BF109 BH108:BH109 BI108:BI109 BK108:BK109 BL108:BL109 BN108:BN109 BO108:BO109 BQ108:BQ109 BR108:BR109 BT108:BT109 BU108:BU109 BW108:BW109 BX108:BX109 BZ108:BZ109 CA108:CA109 CC108:CC109 CD108:CD109 CF108:CF109 CG108:CG109 CI108:CI109 CJ108:CJ109 CL108:CL109 CM108:CM109 CO108:CO109 CP108:CP109 CR108:CR109 CS108:CS109 CU108:CU109 CV108:CV109 CX108:CX109 CY108:CY109 DA108:DA109 DB108:DB109 DD108:DD109 DE108:DE109 DG108:DG109 DH108:DH109 DJ108:DJ109 DK108:DK109 DM108:DM109 DN108:DN109 DP108:DP109 DQ108:DQ109 DS108:DS109 DT108:DT109 DV108:DV109 DW108:DW109 DY108:DY109 DZ108:DZ109 EB108:EB109 EC108:EC109 EE108:EE109 EF108:EF109 EH108:EH109 EI108:EI109 EK108:EK109 EL108:EL109 EN108:EN109 EO108:EO109 EQ108:EQ109 ER108:ER109 ET108:ET109 EU108:EU109 EW108:EW109 EX108:EX109 EZ108:EZ109 FA108:FA109 FC108:FC109 FD108:FD109 FF108:FF109 FG108:FG109 FI108:FI109 FJ108:FJ109 FL108:FL109 FM108:FM109 FO108:FO109 FP108:FP109 FR108:FR109 FS108:FS109 FU108:FU109 FV108:FV109 AD111:AD112 AE111:AE112 AG111:AG112 AH111:AH112 AJ111:AJ112 AK111:AK112 AM111:AM112 AN111:AN112 AP111:AP112 AQ111:AQ112 AS111:AS112 AT111:AT112 AV111:AV112 AW111:AW112 AY111:AY112 AZ111:AZ112 BB111:BB112 BC111:BC112 BE111:BE112 BF111:BF112 BH111:BH112 BI111:BI112 BK111:BK112 BL111:BL112 BN111:BN112 BO111:BO112 BQ111:BQ112 BR111:BR112 BT111:BT112 BU111:BU112 BW111:BW112 BX111:BX112 BZ111:BZ112 CA111:CA112 CC111:CC112 CD111:CD112 CF111:CF112 CG111:CG112 CI111:CI112 CJ111:CJ112 CL111:CL112 CM111:CM112 CO111:CO112 CP111:CP112 CR111:CR112 CS111:CS112 CU111:CU112 CV111:CV112 CX111:CX112 CY111:CY112 DA111:DA112 DB111:DB112 DD111:DD112 DE111:DE112 DG111:DG112 DH111:DH112 DJ111:DJ112 DK111:DK112 DM111:DM112 DN111:DN112 DP111:DP112 DQ111:DQ112 DS111:DS112 DT111:DT112 DV111:DV112 DW111:DW112 DY111:DY112 DZ111:DZ112 EB111:EB112 EC111:EC112 EE111:EE112 EF111:EF112 EH111:EH112 EI111:EI112 EK111:EK112 EL111:EL112 EN111:EN112 EO111:EO112 EQ111:EQ112 ER111:ER112 ET111:ET112 EU111:EU112 EW111:EW112 EX111:EX112 EZ111:EZ112 FA111:FA112 FC111:FC112 FD111:FD112 FF111:FF112 FG111:FG112 FI111:FI112 FJ111:FJ112 FL111:FL112 FM111:FM112 FO111:FO112 FP111:FP112 FR111:FR112 FS111:FS112 FU111:FU112 FV111:FV112 AD114:AD115 AE114:AE115 AG114:AG115 AH114:AH115 AJ114:AJ115 AK114:AK115 AM114:AM115 AN114:AN115 AP114:AP115 AQ114:AQ115 AS114:AS115 AT114:AT115 AV114:AV115 AW114:AW115 AY114:AY115 AZ114:AZ115 BB114:BB115 BC114:BC115 BE114:BE115 BF114:BF115 BH114:BH115 BI114:BI115 BK114:BK115 BL114:BL115 BN114:BN115 BO114:BO115 BQ114:BQ115 BR114:BR115 BT114:BT115 BU114:BU115 BW114:BW115 BX114:BX115 BZ114:BZ115 CA114:CA115 CC114:CC115 CD114:CD115 CF114:CF115 CG114:CG115 CI114:CI115 CJ114:CJ115 CL114:CL115 CM114:CM115 CO114:CO115 CP114:CP115 CR114:CR115 CS114:CS115 CU114:CU115 CV114:CV115 CX114:CX115 CY114:CY115 DA114:DA115 DB114:DB115 DD114:DD115 DE114:DE115 DG114:DG115 DH114:DH115 DJ114:DJ115 DK114:DK115 DM114:DM115 DN114:DN115 DP114:DP115 DQ114:DQ115 DS114:DS115 DT114:DT115 DV114:DV115 DW114:DW115 DY114:DY115 DZ114:DZ115 EB114:EB115 EC114:EC115 EE114:EE115 EF114:EF115 EH114:EH115 EI114:EI115 EK114:EK115 EL114:EL115 EN114:EN115 EO114:EO115 EQ114:EQ115 ER114:ER115 ET114:ET115 EU114:EU115 EW114:EW115 EX114:EX115 EZ114:EZ115 FA114:FA115 FC114:FC115 FD114:FD115 FF114:FF115 FG114:FG115 FI114:FI115 FJ114:FJ115 FL114:FL115 FM114:FM115 FO114:FO115 FP114:FP115 FR114:FR115 FS114:FS115 FU114:FU115 FV114:FV115 AD117:AD118 AE117:AE118 AG117:AG118 AH117:AH118 AJ117:AJ118 AK117:AK118 AM117:AM118 AN117:AN118 AP117:AP118 AQ117:AQ118 AS117:AS118 AT117:AT118 AV117:AV118 AW117:AW118 AY117:AY118 AZ117:AZ118 BB117:BB118 BC117:BC118 BE117:BE118 BF117:BF118 BH117:BH118 BI117:BI118 BK117:BK118 BL117:BL118 BN117:BN118 BO117:BO118 BQ117:BQ118 BR117:BR118 BT117:BT118 BU117:BU118 BW117:BW118 BX117:BX118 BZ117:BZ118 CA117:CA118 CC117:CC118 CD117:CD118 CF117:CF118 CG117:CG118 CI117:CI118 CJ117:CJ118 CL117:CL118 CM117:CM118 CO117:CO118 CP117:CP118 CR117:CR118 CS117:CS118 CU117:CU118 CV117:CV118 CX117:CX118 CY117:CY118 DA117:DA118 DB117:DB118 DD117:DD118 DE117:DE118 DG117:DG118 DH117:DH118 DJ117:DJ118 DK117:DK118 DM117:DM118 DN117:DN118 DP117:DP118 DQ117:DQ118 DS117:DS118 DT117:DT118 DV117:DV118 DW117:DW118 DY117:DY118 DZ117:DZ118 EB117:EB118 EC117:EC118 EE117:EE118 EF117:EF118 EH117:EH118 EI117:EI118 EK117:EK118 EL117:EL118 EN117:EN118 EO117:EO118 EQ117:EQ118 ER117:ER118 ET117:ET118 EU117:EU118 EW117:EW118 EX117:EX118 EZ117:EZ118 FA117:FA118 FC117:FC118 FD117:FD118 FF117:FF118 FG117:FG118 FI117:FI118 FJ117:FJ118 FL117:FL118 FM117:FM118 FO117:FO118 FP117:FP118 FR117:FR118 FS117:FS118 FU117:FU118 FV117:FV118 AD120:AD121 AE120:AE121 AG120:AG121 AH120:AH121 AJ120:AJ121 AK120:AK121 AM120:AM121 AN120:AN121 AP120:AP121 AQ120:AQ121 AS120:AS121 AT120:AT121 AV120:AV121 AW120:AW121 AY120:AY121 AZ120:AZ121 BB120:BB121 BC120:BC121 BE120:BE121 BF120:BF121 BH120:BH121 BI120:BI121 BK120:BK121 BL120:BL121 BN120:BN121 BO120:BO121 BQ120:BQ121 BR120:BR121 BT120:BT121 BU120:BU121 BW120:BW121 BX120:BX121 BZ120:BZ121 CA120:CA121 CC120:CC121 CD120:CD121 CF120:CF121 CG120:CG121 CI120:CI121 CJ120:CJ121 CL120:CL121 CM120:CM121 CO120:CO121 CP120:CP121 CR120:CR121 CS120:CS121 CU120:CU121 CV120:CV121 CX120:CX121 CY120:CY121 DA120:DA121 DB120:DB121 DD120:DD121 DE120:DE121 DG120:DG121 DH120:DH121 DJ120:DJ121 DK120:DK121 DM120:DM121 DN120:DN121 DP120:DP121 DQ120:DQ121 DS120:DS121 DT120:DT121 DV120:DV121 DW120:DW121 DY120:DY121 DZ120:DZ121 EB120:EB121 EC120:EC121 EE120:EE121 EF120:EF121 EH120:EH121 EI120:EI121 EK120:EK121 EL120:EL121 EN120:EN121 EO120:EO121 EQ120:EQ121 ER120:ER121 ET120:ET121 EU120:EU121 EW120:EW121 EX120:EX121 EZ120:EZ121 FA120:FA121 FC120:FC121 FD120:FD121 FF120:FF121 FG120:FG121 FI120:FI121 FJ120:FJ121 FL120:FL121 FM120:FM121 FO120:FO121 FP120:FP121 FR120:FR121 FS120:FS121 FU120:FU121 FV120:FV121 AD123:AD124 AE123:AE124 AG123:AG124 AH123:AH124 AJ123:AJ124 AK123:AK124 AM123:AM124 AN123:AN124 AP123:AP124 AQ123:AQ124 AS123:AS124 AT123:AT124 AV123:AV124 AW123:AW124 AY123:AY124 AZ123:AZ124 BB123:BB124 BC123:BC124 BE123:BE124 BF123:BF124 BH123:BH124 BI123:BI124 BK123:BK124 BL123:BL124 BN123:BN124 BO123:BO124 BQ123:BQ124 BR123:BR124 BT123:BT124 BU123:BU124 BW123:BW124 BX123:BX124 BZ123:BZ124 CA123:CA124 CC123:CC124 CD123:CD124 CF123:CF124 CG123:CG124 CI123:CI124 CJ123:CJ124 CL123:CL124 CM123:CM124 CO123:CO124 CP123:CP124 CR123:CR124 CS123:CS124 CU123:CU124 CV123:CV124 CX123:CX124 CY123:CY124 DA123:DA124 DB123:DB124 DD123:DD124 DE123:DE124 DG123:DG124 DH123:DH124 DJ123:DJ124 DK123:DK124 DM123:DM124 DN123:DN124 DP123:DP124 DQ123:DQ124 DS123:DS124 DT123:DT124 DV123:DV124 DW123:DW124 DY123:DY124 DZ123:DZ124 EB123:EB124 EC123:EC124 EE123:EE124 EF123:EF124 EH123:EH124 EI123:EI124 EK123:EK124 EL123:EL124 EN123:EN124 EO123:EO124 EQ123:EQ124 ER123:ER124 ET123:ET124 EU123:EU124 EW123:EW124 EX123:EX124 EZ123:EZ124 FA123:FA124 FC123:FC124 FD123:FD124 FF123:FF124 FG123:FG124 FI123:FI124 FJ123:FJ124 FL123:FL124 FM123:FM124 FO123:FO124 FP123:FP124 FR123:FR124 FS123:FS124 FU123:FU124 FV123:FV124 AD126:AD127 AE126:AE127 AG126:AG127 AH126:AH127 AJ126:AJ127 AK126:AK127 AM126:AM127 AN126:AN127 AP126:AP127 AQ126:AQ127 AS126:AS127 AT126:AT127 AV126:AV127 AW126:AW127 AY126:AY127 AZ126:AZ127 BB126:BB127 BC126:BC127 BE126:BE127 BF126:BF127 BH126:BH127 BI126:BI127 BK126:BK127 BL126:BL127 BN126:BN127 BO126:BO127 BQ126:BQ127 BR126:BR127 BT126:BT127 BU126:BU127 BW126:BW127 BX126:BX127 BZ126:BZ127 CA126:CA127 CC126:CC127 CD126:CD127 CF126:CF127 CG126:CG127 CI126:CI127 CJ126:CJ127 CL126:CL127 CM126:CM127 CO126:CO127 CP126:CP127 CR126:CR127 CS126:CS127 CU126:CU127 CV126:CV127 CX126:CX127 CY126:CY127 DA126:DA127 DB126:DB127 DD126:DD127 DE126:DE127 DG126:DG127 DH126:DH127 DJ126:DJ127 DK126:DK127 DM126:DM127 DN126:DN127 DP126:DP127 DQ126:DQ127 DS126:DS127 DT126:DT127 DV126:DV127 DW126:DW127 DY126:DY127 DZ126:DZ127 EB126:EB127 EC126:EC127 EE126:EE127 EF126:EF127 EH126:EH127 EI126:EI127 EK126:EK127 EL126:EL127 EN126:EN127 EO126:EO127 EQ126:EQ127 ER126:ER127 ET126:ET127 EU126:EU127 EW126:EW127 EX126:EX127 EZ126:EZ127 FA126:FA127 FC126:FC127 FD126:FD127 FF126:FF127 FG126:FG127 FI126:FI127 FJ126:FJ127 FL126:FL127 FM126:FM127 FO126:FO127 FP126:FP127 FR126:FR127 FS126:FS127 FU126:FU127 FV126:FV127 AD129:AD130 AE129:AE130 AG129:AG130 AH129:AH130 AJ129:AJ130 AK129:AK130 AM129:AM130 AN129:AN130 AP129:AP130 AQ129:AQ130 AS129:AS130 AT129:AT130 AV129:AV130 AW129:AW130 AY129:AY130 AZ129:AZ130 BB129:BB130 BC129:BC130 BE129:BE130 BF129:BF130 BH129:BH130 BI129:BI130 BK129:BK130 BL129:BL130 BN129:BN130 BO129:BO130 BQ129:BQ130 BR129:BR130 BT129:BT130 BU129:BU130 BW129:BW130 BX129:BX130 BZ129:BZ130 CA129:CA130 CC129:CC130 CD129:CD130 CF129:CF130 CG129:CG130 CI129:CI130 CJ129:CJ130 CL129:CL130 CM129:CM130 CO129:CO130 CP129:CP130 CR129:CR130 CS129:CS130 CU129:CU130 CV129:CV130 CX129:CX130 CY129:CY130 DA129:DA130 DB129:DB130 DD129:DD130 DE129:DE130 DG129:DG130 DH129:DH130 DJ129:DJ130 DK129:DK130 DM129:DM130 DN129:DN130 DP129:DP130 DQ129:DQ130 DS129:DS130 DT129:DT130 DV129:DV130 DW129:DW130 DY129:DY130 DZ129:DZ130 EB129:EB130 EC129:EC130 EE129:EE130 EF129:EF130 EH129:EH130 EI129:EI130 EK129:EK130 EL129:EL130 EN129:EN130 EO129:EO130 EQ129:EQ130 ER129:ER130 ET129:ET130 EU129:EU130 EW129:EW130 EX129:EX130 EZ129:EZ130 FA129:FA130 FC129:FC130 FD129:FD130 FF129:FF130 FG129:FG130 FI129:FI130 FJ129:FJ130 FL129:FL130 FM129:FM130 FO129:FO130 FP129:FP130 FR129:FR130 FS129:FS130 FU129:FU130 FV129:FV130">
      <formula1>0</formula1>
      <formula2>9.99999999999999E+23</formula2>
    </dataValidation>
  </dataValidations>
  <printOptions horizontalCentered="1"/>
  <pageMargins left="0.35" right="0.35" top="0.40" bottom="0.40" header="0.08" footer="0.08"/>
  <pageSetup paperSize="9" scale="60" firstPageNumber="16" pageOrder="downThenOver" orientation="landscape" useFirstPageNumber="1"/>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AC7349F-1468-63ED-97C8-9823F9D77198}" mc:Ignorable="x14ac xr xr2 xr3">
  <sheetPr>
    <tabColor rgb="FF92D050"/>
    <outlinePr summaryBelow="0"/>
  </sheetPr>
  <dimension ref="A1:AV372"/>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5"/>
  <cols>
    <col min="1" max="1" style="1324" width="4.00390625" hidden="1" customWidth="1"/>
    <col min="2" max="2" style="1324" width="11.00390625" hidden="1" customWidth="1"/>
    <col min="3" max="4" style="1324" width="4.00390625" hidden="1" customWidth="1"/>
    <col min="5" max="5" style="1067" width="4.00390625" hidden="1" customWidth="1"/>
    <col min="6" max="6" style="1324" width="4.00390625" hidden="1" customWidth="1"/>
    <col min="7" max="7" style="1324" width="10.140625" hidden="1" customWidth="1"/>
    <col min="8" max="8" style="1324" width="10.421875" hidden="1" customWidth="1"/>
    <col min="9" max="15" style="1324" width="4.00390625" hidden="1" customWidth="1"/>
    <col min="16" max="16" style="1324" width="3.7109375" hidden="1" customWidth="1"/>
    <col min="17" max="19" style="1324" width="4.00390625" hidden="1" customWidth="1"/>
    <col min="20" max="20" style="1324" width="8.57421875" hidden="1" customWidth="1"/>
    <col min="21" max="21" style="1324" width="5.8515625" hidden="1" customWidth="1"/>
    <col min="22" max="23" style="1324" width="6.140625" hidden="1" customWidth="1"/>
    <col min="24" max="24" style="1324" width="5.7109375" hidden="1" customWidth="1"/>
    <col min="25" max="25" style="1324" width="5.57421875" hidden="1" customWidth="1"/>
    <col min="26" max="26" style="1324" width="5.28125" hidden="1" customWidth="1"/>
    <col min="27" max="27" style="1324" width="3.00390625" customWidth="1"/>
    <col min="28" max="28" style="1324" width="11.00390625" customWidth="1"/>
    <col min="29" max="29" style="1324" width="75.00390625" customWidth="1"/>
    <col min="30" max="30" style="1324" width="11.29296875" customWidth="1"/>
    <col min="31" max="33" style="1324" width="13.00390625" customWidth="1"/>
    <col min="34" max="34" style="1324" width="15.140625" customWidth="1"/>
    <col min="35" max="37" style="1324" width="13.00390625" customWidth="1"/>
    <col min="38" max="38" style="1324" width="23.57421875" customWidth="1"/>
    <col min="39" max="40" style="1324" width="20.00390625" customWidth="1"/>
    <col min="41" max="41" style="1324" width="32.7109375" customWidth="1"/>
    <col min="42" max="42" style="1324" width="3.00390625" customWidth="1"/>
    <col min="43" max="43" style="1324" width="9.140625" hidden="1"/>
    <col min="44" max="46" style="1070" width="9.140625" hidden="1"/>
    <col min="47" max="48" style="1067" width="9.140625" hidden="1"/>
  </cols>
  <sheetData>
    <row customHeight="1" ht="15" hidden="1">
      <c r="E1" s="582"/>
      <c r="F1" s="979" t="s">
        <v>333</v>
      </c>
      <c r="I1" s="979" t="s">
        <v>343</v>
      </c>
      <c r="J1" s="979" t="s">
        <v>368</v>
      </c>
      <c r="T1" s="468" t="s">
        <v>93</v>
      </c>
      <c r="U1" s="468" t="s">
        <v>98</v>
      </c>
      <c r="V1" s="468" t="s">
        <v>94</v>
      </c>
      <c r="W1" s="468" t="s">
        <v>95</v>
      </c>
      <c r="X1" s="468" t="s">
        <v>96</v>
      </c>
      <c r="Y1" s="470" t="s">
        <v>335</v>
      </c>
      <c r="Z1" s="468" t="s">
        <v>100</v>
      </c>
      <c r="AA1" s="470" t="s">
        <v>97</v>
      </c>
      <c r="AC1" s="469" t="s">
        <v>99</v>
      </c>
      <c r="AE1" s="1324"/>
      <c r="AF1" s="1324"/>
      <c r="AG1" s="1324"/>
      <c r="AH1" s="1324"/>
      <c r="AI1" s="1324"/>
      <c r="AR1" s="1070" t="s">
        <v>336</v>
      </c>
      <c r="AS1" s="1070" t="s">
        <v>337</v>
      </c>
      <c r="AT1" s="1070" t="s">
        <v>338</v>
      </c>
      <c r="AU1" s="1067" t="s">
        <v>341</v>
      </c>
      <c r="AV1" s="1067" t="s">
        <v>342</v>
      </c>
    </row>
    <row customHeight="1" ht="15" hidden="1">
      <c r="B2" s="1244" t="s">
        <v>19</v>
      </c>
      <c r="E2" s="582"/>
      <c r="AE2" s="584">
        <f>FIRST_TIME_REG="нет"</f>
        <v>1</v>
      </c>
      <c r="AF2" s="584">
        <f>AND(FIRST_TIME_REG="нет",isOrgDeclare)</f>
        <v>1</v>
      </c>
      <c r="AG2" s="584">
        <f>FIRST_TIME_REG="нет"</f>
        <v>1</v>
      </c>
      <c r="AH2" s="584">
        <f>AND(FIRST_TIME_REG="нет",isOrgDeclare)</f>
        <v>1</v>
      </c>
      <c r="AI2" s="584">
        <f>FIRST_TIME_REG="нет"</f>
        <v>1</v>
      </c>
      <c r="AJ2" s="1324" cm="1" t="str">
        <f t="array" ref="AJ2:AJ2">isOrgDeclare</f>
        <v>true</v>
      </c>
    </row>
    <row customHeight="1" ht="15" hidden="1">
      <c r="E3" s="582"/>
      <c r="AE3" s="1324"/>
      <c r="AF3" s="1324"/>
      <c r="AG3" s="1324"/>
      <c r="AH3" s="1324"/>
      <c r="AI3" s="1324"/>
    </row>
    <row customHeight="1" ht="15" hidden="1">
      <c r="E4" s="582"/>
      <c r="AE4" s="1324"/>
      <c r="AF4" s="1324"/>
      <c r="AG4" s="1324"/>
      <c r="AH4" s="1324"/>
      <c r="AI4" s="1324"/>
    </row>
    <row s="1067" customFormat="1" customHeight="1" ht="15" hidden="1">
      <c r="A5" s="582"/>
      <c r="B5" s="582"/>
      <c r="C5" s="582"/>
      <c r="D5" s="582"/>
      <c r="E5" s="701" t="s">
        <v>20</v>
      </c>
      <c r="AA5" s="701">
        <v>3</v>
      </c>
      <c r="AB5" s="701">
        <v>11</v>
      </c>
      <c r="AC5" s="701">
        <v>75</v>
      </c>
      <c r="AD5" s="701">
        <v>11.29</v>
      </c>
      <c r="AE5" s="701">
        <v>13</v>
      </c>
      <c r="AF5" s="701">
        <v>13</v>
      </c>
      <c r="AG5" s="701">
        <v>13</v>
      </c>
      <c r="AH5" s="701">
        <v>15.14</v>
      </c>
      <c r="AI5" s="701">
        <v>13</v>
      </c>
      <c r="AJ5" s="701">
        <v>13</v>
      </c>
      <c r="AK5" s="701">
        <v>13</v>
      </c>
      <c r="AL5" s="701">
        <v>23.57</v>
      </c>
      <c r="AM5" s="701">
        <v>20</v>
      </c>
      <c r="AN5" s="701">
        <v>20</v>
      </c>
      <c r="AO5" s="701">
        <v>32.71</v>
      </c>
      <c r="AP5" s="701">
        <v>3</v>
      </c>
      <c r="AR5" s="1068"/>
      <c r="AS5" s="1068"/>
      <c r="AT5" s="1068"/>
    </row>
    <row customHeight="1" ht="11.25" hidden="1">
      <c r="A6" s="1090" t="s">
        <v>1966</v>
      </c>
      <c r="AE6" s="1324"/>
      <c r="AF6" s="1324"/>
      <c r="AG6" s="1324"/>
      <c r="AH6" s="1324"/>
      <c r="AI6" s="1324"/>
      <c r="AM6" s="582" cm="1" t="str">
        <f t="array" ref="AM6:AM6">AM24</f>
        <v>Указание на подтверждающие документы / URL-ссылка на копии подтверждающих документов</v>
      </c>
      <c r="AN6" s="582" cm="1" t="str">
        <f t="array" ref="AN6:AN6">AN24</f>
        <v>Ссылка на правовую норму (основание для принятия показателя в расчет тарифа)</v>
      </c>
      <c r="AO6" s="582" cm="1" t="str">
        <f t="array" ref="AO6:AO6">AO24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row>
    <row customHeight="1" ht="11.25" hidden="1">
      <c r="A7" s="979" t="s">
        <v>371</v>
      </c>
      <c r="AE7" s="583">
        <f>god-2</f>
        <v>2024</v>
      </c>
      <c r="AF7" s="583">
        <f>god-2</f>
        <v>2024</v>
      </c>
      <c r="AG7" s="583">
        <f>god-2</f>
        <v>2024</v>
      </c>
      <c r="AH7" s="583">
        <f>god-2</f>
        <v>2024</v>
      </c>
      <c r="AI7" s="584">
        <f>god-1</f>
        <v>2025</v>
      </c>
      <c r="AJ7" s="584" cm="1" t="str">
        <f t="array" ref="AJ7:AJ7">god</f>
        <v>2026</v>
      </c>
      <c r="AK7" s="584" cm="1" t="str">
        <f t="array" ref="AK7:AK7">god</f>
        <v>2026</v>
      </c>
    </row>
    <row customHeight="1" ht="11.25" hidden="1">
      <c r="A8" s="979" t="s">
        <v>372</v>
      </c>
      <c r="AE8" s="584" cm="1" t="str">
        <f t="array" ref="AE8:AE8">AE25</f>
        <v>Принято органом регулирования</v>
      </c>
      <c r="AF8" s="584" cm="1" t="str">
        <f t="array" ref="AF8:AF8">AF25</f>
        <v>Факт по данным организации</v>
      </c>
      <c r="AG8" s="584" cm="1" t="str">
        <f t="array" ref="AG8:AG8">AG25</f>
        <v>Факт, принятый органом регулирования</v>
      </c>
      <c r="AH8" s="584" cm="1" t="str">
        <f t="array" ref="AH8:AH8">AH25</f>
        <v>отклонение факта по данным организации к факту принятому органом регулирования</v>
      </c>
      <c r="AI8" s="584" cm="1" t="str">
        <f t="array" ref="AI8:AI8">AI25</f>
        <v>Принято органом регулирования</v>
      </c>
      <c r="AJ8" s="584" cm="1" t="str">
        <f t="array" ref="AJ8:AJ8">AJ25</f>
        <v>Предложение организации</v>
      </c>
      <c r="AK8" s="584" cm="1" t="str">
        <f t="array" ref="AK8:AK8">AK25</f>
        <v>Принято органом регулирования</v>
      </c>
    </row>
    <row customHeight="1" ht="11.25" hidden="1">
      <c r="AE9" s="584" t="str">
        <f>AE7&amp;AE8</f>
        <v>2024Принято органом регулирования</v>
      </c>
      <c r="AF9" s="584" t="str">
        <f>AF7&amp;AF8</f>
        <v>2024Факт по данным организации</v>
      </c>
      <c r="AG9" s="584" t="str">
        <f>AG7&amp;AG8</f>
        <v>2024Факт, принятый органом регулирования</v>
      </c>
      <c r="AH9" s="584" t="str">
        <f>AH7&amp;AH8</f>
        <v>2024отклонение факта по данным организации к факту принятому органом регулирования</v>
      </c>
      <c r="AI9" s="584" t="str">
        <f>AI7&amp;AI8</f>
        <v>2025Принято органом регулирования</v>
      </c>
      <c r="AJ9" s="584" t="str">
        <f>AJ7&amp;AJ8</f>
        <v>2026Предложение организации</v>
      </c>
      <c r="AK9" s="584" t="str">
        <f>AK7&amp;AK8</f>
        <v>2026Принято органом регулирования</v>
      </c>
    </row>
    <row s="1070" customFormat="1" customHeight="1" ht="11.25" hidden="1">
      <c r="A10" s="1245" t="s">
        <v>376</v>
      </c>
      <c r="AE10" s="1069" cm="1" t="str">
        <f t="array" ref="AE10:AE10">AE7</f>
        <v>2024</v>
      </c>
      <c r="AF10" s="1069" cm="1" t="str">
        <f t="array" ref="AF10:AF10">AF7</f>
        <v>2024</v>
      </c>
      <c r="AG10" s="1069" cm="1" t="str">
        <f t="array" ref="AG10:AG10">AG7</f>
        <v>2024</v>
      </c>
      <c r="AH10" s="1069" cm="1" t="str">
        <f t="array" ref="AH10:AH10">AH7</f>
        <v>2024</v>
      </c>
      <c r="AI10" s="1069" cm="1" t="str">
        <f t="array" ref="AI10:AI10">AI7</f>
        <v>2025</v>
      </c>
      <c r="AJ10" s="1069" cm="1" t="str">
        <f t="array" ref="AJ10:AJ10">AJ7</f>
        <v>2026</v>
      </c>
      <c r="AK10" s="1069" cm="1" t="str">
        <f t="array" ref="AK10:AK10">AK7</f>
        <v>2026</v>
      </c>
      <c r="AL10" s="1069"/>
      <c r="AU10" s="701"/>
      <c r="AV10" s="701"/>
    </row>
    <row s="1070" customFormat="1" customHeight="1" ht="11.25" hidden="1">
      <c r="A11" s="1005" t="s">
        <v>377</v>
      </c>
      <c r="AE11" s="1069" cm="1" t="str">
        <f t="array" ref="AE11:AE11">AE25</f>
        <v>Принято органом регулирования</v>
      </c>
      <c r="AF11" s="1069" cm="1" t="str">
        <f t="array" ref="AF11:AF11">AF25</f>
        <v>Факт по данным организации</v>
      </c>
      <c r="AG11" s="1069" cm="1" t="str">
        <f t="array" ref="AG11:AG11">AG25</f>
        <v>Факт, принятый органом регулирования</v>
      </c>
      <c r="AH11" s="1069" cm="1" t="str">
        <f t="array" ref="AH11:AH11">AH25</f>
        <v>отклонение факта по данным организации к факту принятому органом регулирования</v>
      </c>
      <c r="AI11" s="1069" cm="1" t="str">
        <f t="array" ref="AI11:AI11">AI25</f>
        <v>Принято органом регулирования</v>
      </c>
      <c r="AJ11" s="1069" cm="1" t="str">
        <f t="array" ref="AJ11:AJ11">AJ25</f>
        <v>Предложение организации</v>
      </c>
      <c r="AK11" s="1069" cm="1" t="str">
        <f t="array" ref="AK11:AK11">AK25</f>
        <v>Принято органом регулирования</v>
      </c>
      <c r="AL11" s="1069" cm="1" t="str">
        <f t="array" ref="AL11:AL11">AL24</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AU11" s="701"/>
      <c r="AV11" s="701"/>
    </row>
    <row s="1070" customFormat="1" customHeight="1" ht="11.25" hidden="1">
      <c r="A12" s="1005" t="s">
        <v>378</v>
      </c>
      <c r="AE12" s="1069"/>
      <c r="AF12" s="1069"/>
      <c r="AG12" s="1069"/>
      <c r="AH12" s="1069"/>
      <c r="AI12" s="1069"/>
      <c r="AJ12" s="1069"/>
      <c r="AK12" s="1069"/>
      <c r="AM12" s="1068" cm="1" t="str">
        <f t="array" ref="AM12:AM12">AM24</f>
        <v>Указание на подтверждающие документы / URL-ссылка на копии подтверждающих документов</v>
      </c>
      <c r="AN12" s="1068" cm="1" t="str">
        <f t="array" ref="AN12:AN12">AN24</f>
        <v>Ссылка на правовую норму (основание для принятия показателя в расчет тарифа)</v>
      </c>
      <c r="AO12" s="1068" cm="1" t="str">
        <f t="array" ref="AO12:AO12">AO24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AU12" s="701"/>
      <c r="AV12" s="701"/>
    </row>
    <row s="1070" customFormat="1" customHeight="1" ht="11.25" hidden="1">
      <c r="A13" s="1070" t="s">
        <v>350</v>
      </c>
      <c r="AC13" s="1070" t="s">
        <v>338</v>
      </c>
      <c r="AE13" s="1069"/>
      <c r="AF13" s="1069"/>
      <c r="AG13" s="1069"/>
      <c r="AH13" s="1069"/>
      <c r="AI13" s="1069"/>
      <c r="AJ13" s="1069"/>
      <c r="AK13" s="1069"/>
      <c r="AU13" s="701"/>
      <c r="AV13" s="701"/>
    </row>
    <row customHeight="1" ht="11.25" hidden="1">
      <c r="AE14" s="1324"/>
      <c r="AF14" s="1324"/>
      <c r="AG14" s="1324"/>
      <c r="AH14" s="1324"/>
      <c r="AI14" s="1324"/>
    </row>
    <row customHeight="1" ht="11.25" hidden="1">
      <c r="AE15" s="1324"/>
      <c r="AF15" s="1324"/>
      <c r="AG15" s="1324"/>
      <c r="AH15" s="1324"/>
      <c r="AI15" s="1324"/>
    </row>
    <row customHeight="1" ht="11.25" hidden="1">
      <c r="AE16" s="1324"/>
      <c r="AF16" s="1324"/>
      <c r="AG16" s="1324"/>
      <c r="AH16" s="1324"/>
      <c r="AI16" s="1324"/>
    </row>
    <row customHeight="1" ht="11.25" hidden="1">
      <c r="AE17" s="1324"/>
      <c r="AF17" s="1324"/>
      <c r="AG17" s="1324"/>
      <c r="AH17" s="1324"/>
      <c r="AI17" s="1324"/>
      <c r="AJ17" s="520"/>
    </row>
    <row customHeight="1" ht="11.25" hidden="1">
      <c r="A18" s="736" t="s">
        <v>379</v>
      </c>
      <c r="AC18" s="736" t="s">
        <v>380</v>
      </c>
      <c r="AE18" s="1324"/>
      <c r="AF18" s="1324"/>
      <c r="AG18" s="1324"/>
      <c r="AH18" s="1324"/>
      <c r="AI18" s="1324"/>
    </row>
    <row customHeight="1" ht="11.25" hidden="1">
      <c r="AE19" s="1324"/>
      <c r="AF19" s="1324"/>
      <c r="AG19" s="1324"/>
      <c r="AH19" s="1324"/>
      <c r="AI19" s="1324"/>
    </row>
    <row customHeight="1" ht="11.25" hidden="1">
      <c r="AE20" s="1324"/>
      <c r="AF20" s="1324"/>
      <c r="AG20" s="1324"/>
      <c r="AH20" s="1324"/>
      <c r="AI20" s="1324"/>
    </row>
    <row customHeight="1" ht="14.625">
      <c r="E21" s="701">
        <v>15</v>
      </c>
      <c r="AA21" s="700"/>
      <c r="AC21" s="585" cm="1" t="str">
        <f t="array" ref="AC21:AC21">tpl_title</f>
        <v>Кемеровская область / 2026 / ОАО «СКЭК» (ИНН:4205153492, КПП:420501001) / ДПР: 2024-2028</v>
      </c>
      <c r="AE21" s="1324"/>
      <c r="AF21" s="1324"/>
      <c r="AG21" s="1324"/>
      <c r="AH21" s="1324"/>
      <c r="AI21" s="1324"/>
    </row>
    <row customHeight="1" ht="19.5">
      <c r="E22" s="701">
        <v>20</v>
      </c>
      <c r="AB22" s="586" t="s">
        <v>1967</v>
      </c>
      <c r="AC22" s="587"/>
      <c r="AD22" s="587"/>
      <c r="AE22" s="587"/>
      <c r="AF22" s="587"/>
      <c r="AG22" s="587"/>
      <c r="AH22" s="587"/>
      <c r="AI22" s="587"/>
      <c r="AJ22" s="587"/>
      <c r="AK22" s="587"/>
      <c r="AL22" s="587"/>
      <c r="AM22" s="587"/>
      <c r="AN22" s="587"/>
      <c r="AO22" s="587"/>
    </row>
    <row customHeight="1" ht="14.625">
      <c r="E23" s="701">
        <v>15</v>
      </c>
      <c r="AB23" s="588"/>
      <c r="AC23" s="588"/>
      <c r="AD23" s="588"/>
      <c r="AE23" s="588"/>
      <c r="AF23" s="588"/>
      <c r="AG23" s="588"/>
      <c r="AH23" s="588"/>
      <c r="AI23" s="588"/>
      <c r="AJ23" s="588"/>
      <c r="AK23" s="588"/>
      <c r="AL23" s="588"/>
      <c r="AM23" s="588"/>
      <c r="AN23" s="588"/>
      <c r="AO23" s="588"/>
    </row>
    <row customHeight="1" ht="25.59375">
      <c r="E24" s="701">
        <v>26.25</v>
      </c>
      <c r="AB24" s="1556" t="s">
        <v>22</v>
      </c>
      <c r="AC24" s="1556" t="s">
        <v>380</v>
      </c>
      <c r="AD24" s="1556" t="s">
        <v>381</v>
      </c>
      <c r="AE24" s="589" t="str">
        <f>god-2&amp;" год"</f>
        <v>2024 год</v>
      </c>
      <c r="AF24" s="1136" t="str">
        <f>god-2&amp;" год"</f>
        <v>2024 год</v>
      </c>
      <c r="AG24" s="589" t="str">
        <f>god-2&amp;" год"</f>
        <v>2024 год</v>
      </c>
      <c r="AH24" s="589" t="str">
        <f>god-2&amp;" год"</f>
        <v>2024 год</v>
      </c>
      <c r="AI24" s="590" t="str">
        <f>god-1&amp;" год"</f>
        <v>2025 год</v>
      </c>
      <c r="AJ24" s="1138" t="str">
        <f>god&amp;" год"</f>
        <v>2026 год</v>
      </c>
      <c r="AK24" s="589" t="str">
        <f>god&amp;" год"</f>
        <v>2026 год</v>
      </c>
      <c r="AL24" s="1553" t="s">
        <v>1968</v>
      </c>
      <c r="AM24" s="1566" t="s">
        <v>1969</v>
      </c>
      <c r="AN24" s="1564" t="s">
        <v>652</v>
      </c>
      <c r="AO24" s="1564" t="s">
        <v>1970</v>
      </c>
    </row>
    <row customHeight="1" ht="77.5125">
      <c r="E25" s="701">
        <v>79.5</v>
      </c>
      <c r="AB25" s="1556"/>
      <c r="AC25" s="1556"/>
      <c r="AD25" s="1556"/>
      <c r="AE25" s="590" t="s">
        <v>373</v>
      </c>
      <c r="AF25" s="1137" t="s">
        <v>555</v>
      </c>
      <c r="AG25" s="590" t="s">
        <v>556</v>
      </c>
      <c r="AH25" s="589" t="s">
        <v>1971</v>
      </c>
      <c r="AI25" s="590" t="s">
        <v>373</v>
      </c>
      <c r="AJ25" s="1139" t="s">
        <v>374</v>
      </c>
      <c r="AK25" s="589" t="s">
        <v>373</v>
      </c>
      <c r="AL25" s="1553"/>
      <c r="AM25" s="1566"/>
      <c r="AN25" s="1564"/>
      <c r="AO25" s="1564"/>
    </row>
    <row customHeight="1" ht="11.25" hidden="1">
      <c r="E26" s="701">
        <v>0</v>
      </c>
      <c r="AB26" s="746"/>
      <c r="AC26" s="747"/>
      <c r="AD26" s="747"/>
      <c r="AE26" s="748"/>
      <c r="AF26" s="748"/>
      <c r="AG26" s="748"/>
      <c r="AH26" s="749"/>
      <c r="AI26" s="748"/>
      <c r="AJ26" s="749"/>
      <c r="AK26" s="749"/>
      <c r="AL26" s="750"/>
      <c r="AM26" s="749"/>
      <c r="AN26" s="749"/>
      <c r="AO26" s="749"/>
    </row>
    <row customHeight="1" ht="14.625" hidden="1">
      <c r="A27" s="1324"/>
      <c r="B27" s="1324"/>
      <c r="C27" s="1324"/>
      <c r="D27" s="1324"/>
      <c r="E27" s="701">
        <v>15</v>
      </c>
      <c r="F27" s="584" cm="1" t="str">
        <f t="array" ref="F27:F27">X27</f>
        <v>0</v>
      </c>
      <c r="G27" s="702" cm="1" t="str">
        <f t="array" ref="G27:G27">INDEX('Общие сведения'!$AK$197:$AK$254,MATCH($X27,'Общие сведения'!$Z$197:$Z$254,0))</f>
        <v>0</v>
      </c>
      <c r="H27" s="1324"/>
      <c r="I27" s="1324"/>
      <c r="J27" s="1324"/>
      <c r="K27" s="1324"/>
      <c r="L27" s="1324"/>
      <c r="M27" s="1324"/>
      <c r="N27" s="1324"/>
      <c r="O27" s="1324"/>
      <c r="P27" s="1324"/>
      <c r="Q27" s="1324"/>
      <c r="R27" s="1324"/>
      <c r="S27" s="1324"/>
      <c r="T27" s="468">
        <f>X27&gt;0</f>
        <v>0</v>
      </c>
      <c r="U27" s="1324"/>
      <c r="V27" s="700" t="s">
        <v>279</v>
      </c>
      <c r="W27" s="1324"/>
      <c r="X27" s="1617">
        <v>0</v>
      </c>
      <c r="Y27" s="1324"/>
      <c r="Z27" s="1618"/>
      <c r="AA27" s="1324"/>
      <c r="AB27" s="1246" cm="1" t="str">
        <f t="array" ref="AB27:AB27">INDEX('Общие сведения'!$AG$197:$AG$254,MATCH($X27,'Общие сведения'!$Z$197:$Z$254,0))</f>
        <v>Тариф 0 () - </v>
      </c>
      <c r="AC27" s="591"/>
      <c r="AD27" s="591"/>
      <c r="AE27" s="591"/>
      <c r="AF27" s="591"/>
      <c r="AG27" s="591"/>
      <c r="AH27" s="591"/>
      <c r="AI27" s="591"/>
      <c r="AJ27" s="591"/>
      <c r="AK27" s="591"/>
      <c r="AL27" s="591"/>
      <c r="AM27" s="591"/>
      <c r="AN27" s="591"/>
      <c r="AO27" s="591"/>
      <c r="AP27" s="1324"/>
      <c r="AQ27" s="1324"/>
      <c r="AR27" s="1070"/>
      <c r="AS27" s="1070"/>
      <c r="AT27" s="1070"/>
      <c r="AU27" s="1067"/>
      <c r="AV27" s="1067"/>
    </row>
    <row customHeight="1" ht="14.625" hidden="1">
      <c r="A28" s="1324"/>
      <c r="B28" s="1324"/>
      <c r="C28" s="1324"/>
      <c r="D28" s="1324"/>
      <c r="E28" s="701">
        <v>15</v>
      </c>
      <c r="F28" s="50" cm="1" t="str">
        <f t="array" ref="F28:F28">OFFSET(E28,-1,1)</f>
        <v>0</v>
      </c>
      <c r="G28" s="1324"/>
      <c r="H28" s="1324"/>
      <c r="I28" s="592" t="s">
        <v>344</v>
      </c>
      <c r="J28" s="592"/>
      <c r="K28" s="592"/>
      <c r="L28" s="592"/>
      <c r="M28" s="592"/>
      <c r="N28" s="592"/>
      <c r="O28" s="592"/>
      <c r="P28" s="592"/>
      <c r="Q28" s="592"/>
      <c r="R28" s="592"/>
      <c r="S28" s="592"/>
      <c r="T28" s="468" cm="1" t="str">
        <f t="array" ref="T28:T28">T27</f>
        <v>false</v>
      </c>
      <c r="U28" s="1324"/>
      <c r="V28" s="1324"/>
      <c r="W28" s="1324"/>
      <c r="X28" s="1617"/>
      <c r="Y28" s="1324"/>
      <c r="Z28" s="1618"/>
      <c r="AA28" s="1324"/>
      <c r="AB28" s="806" t="s">
        <v>290</v>
      </c>
      <c r="AC28" s="807" t="s">
        <v>1972</v>
      </c>
      <c r="AD28" s="766" t="s">
        <v>936</v>
      </c>
      <c r="AE28" s="808">
        <f>AE29+AE33+AE43+AE44+AE47+AE48+AE49</f>
        <v>0</v>
      </c>
      <c r="AF28" s="808">
        <f>AF29+AF33+AF43+AF44+AF47+AF48+AF49</f>
        <v>0</v>
      </c>
      <c r="AG28" s="808">
        <f>AG29+AG33+AG43+AG44+AG47+AG48+AG49</f>
        <v>0</v>
      </c>
      <c r="AH28" s="808">
        <f>AG28-AF28</f>
        <v>0</v>
      </c>
      <c r="AI28" s="808">
        <f>AI29+AI33+AI43+AI44+AI47+AI48+AI49</f>
        <v>0</v>
      </c>
      <c r="AJ28" s="808">
        <f>AJ29+AJ33+AJ43+AJ44+AJ47+AJ48+AJ49</f>
        <v>0</v>
      </c>
      <c r="AK28" s="808">
        <f>AK29+AK33+AK43+AK44+AK47+AK48+AK49</f>
        <v>0</v>
      </c>
      <c r="AL28" s="809">
        <f>IF(AI28=0,0,(AK28-AI28)/AI28*100)</f>
        <v>0</v>
      </c>
      <c r="AM28" s="6039"/>
      <c r="AN28" s="6040"/>
      <c r="AO28" s="6039"/>
      <c r="AP28" s="1324"/>
      <c r="AQ28" s="1324"/>
      <c r="AR28" s="1070" t="s">
        <v>621</v>
      </c>
      <c r="AS28" s="1070"/>
      <c r="AT28" s="1070"/>
      <c r="AU28" s="1067"/>
      <c r="AV28" s="1067"/>
    </row>
    <row s="593" customFormat="1" customHeight="1" ht="21.9375" hidden="1">
      <c r="A29" s="593"/>
      <c r="B29" s="593"/>
      <c r="C29" s="593"/>
      <c r="D29" s="593"/>
      <c r="E29" s="703">
        <v>22.5</v>
      </c>
      <c r="F29" s="50" cm="1" t="str">
        <f t="array" ref="F29:F29">OFFSET(E29,-1,1)</f>
        <v>0</v>
      </c>
      <c r="G29" s="593"/>
      <c r="H29" s="593"/>
      <c r="I29" s="704" t="s">
        <v>566</v>
      </c>
      <c r="J29" s="704"/>
      <c r="K29" s="704"/>
      <c r="L29" s="704"/>
      <c r="M29" s="704"/>
      <c r="N29" s="704"/>
      <c r="O29" s="704"/>
      <c r="P29" s="704"/>
      <c r="Q29" s="704"/>
      <c r="R29" s="704"/>
      <c r="S29" s="704"/>
      <c r="T29" s="468" cm="1" t="str">
        <f t="array" ref="T29:T29">T28</f>
        <v>false</v>
      </c>
      <c r="U29" s="593"/>
      <c r="V29" s="593"/>
      <c r="W29" s="593"/>
      <c r="X29" s="1617"/>
      <c r="Y29" s="593"/>
      <c r="Z29" s="1618"/>
      <c r="AA29" s="593"/>
      <c r="AB29" s="811" t="s">
        <v>1067</v>
      </c>
      <c r="AC29" s="812" t="s">
        <v>1973</v>
      </c>
      <c r="AD29" s="595" t="s">
        <v>936</v>
      </c>
      <c r="AE29" s="808">
        <f>SUM(AE30:AE32)</f>
        <v>0</v>
      </c>
      <c r="AF29" s="808">
        <f>SUM(AF30:AF32)</f>
        <v>0</v>
      </c>
      <c r="AG29" s="808">
        <f>SUM(AG30:AG32)</f>
        <v>0</v>
      </c>
      <c r="AH29" s="808">
        <f>AG29-AF29</f>
        <v>0</v>
      </c>
      <c r="AI29" s="808">
        <f>SUM(AI30:AI32)</f>
        <v>0</v>
      </c>
      <c r="AJ29" s="808">
        <f>SUM(AJ30:AJ32)</f>
        <v>0</v>
      </c>
      <c r="AK29" s="808">
        <f>SUM(AK30:AK32)</f>
        <v>0</v>
      </c>
      <c r="AL29" s="808">
        <f>IF(AI29=0,0,(AK29-AI29)/AI29*100)</f>
        <v>0</v>
      </c>
      <c r="AM29" s="6047"/>
      <c r="AN29" s="6047"/>
      <c r="AO29" s="6047"/>
      <c r="AP29" s="593"/>
      <c r="AQ29" s="593"/>
      <c r="AR29" s="1071" t="s">
        <v>1974</v>
      </c>
      <c r="AS29" s="1071"/>
      <c r="AT29" s="1071"/>
      <c r="AU29" s="703"/>
      <c r="AV29" s="703"/>
    </row>
    <row customHeight="1" ht="14.625" hidden="1">
      <c r="A30" s="1324"/>
      <c r="B30" s="1324"/>
      <c r="C30" s="1324"/>
      <c r="D30" s="1324"/>
      <c r="E30" s="701">
        <v>15</v>
      </c>
      <c r="F30" s="50" cm="1" t="str">
        <f t="array" ref="F30:F30">OFFSET(E30,-1,1)</f>
        <v>0</v>
      </c>
      <c r="G30" s="1324"/>
      <c r="H30" s="1324"/>
      <c r="I30" s="592" t="s">
        <v>1197</v>
      </c>
      <c r="J30" s="592"/>
      <c r="K30" s="592"/>
      <c r="L30" s="592"/>
      <c r="M30" s="592"/>
      <c r="N30" s="592"/>
      <c r="O30" s="592"/>
      <c r="P30" s="592"/>
      <c r="Q30" s="592"/>
      <c r="R30" s="592"/>
      <c r="S30" s="592"/>
      <c r="T30" s="468" cm="1" t="str">
        <f t="array" ref="T30:T30">T29</f>
        <v>false</v>
      </c>
      <c r="U30" s="1324"/>
      <c r="V30" s="1324"/>
      <c r="W30" s="1324"/>
      <c r="X30" s="1617"/>
      <c r="Y30" s="1324"/>
      <c r="Z30" s="1618"/>
      <c r="AA30" s="1324"/>
      <c r="AB30" s="814" t="s">
        <v>1198</v>
      </c>
      <c r="AC30" s="815" t="s">
        <v>1975</v>
      </c>
      <c r="AD30" s="766" t="s">
        <v>936</v>
      </c>
      <c r="AE30" s="809">
        <f>_xlfn.SUMIFS('Сырье и материалы'!AE$25:AE$111,'Сырье и материалы'!$F$25:$F$111,$F30,'Сырье и материалы'!$I$25:$I$111,"Реагенты")</f>
        <v>0</v>
      </c>
      <c r="AF30" s="809">
        <f>_xlfn.SUMIFS('Сырье и материалы'!AF$25:AF$111,'Сырье и материалы'!$F$25:$F$111,$F30,'Сырье и материалы'!$I$25:$I$111,"Реагенты")</f>
        <v>0</v>
      </c>
      <c r="AG30" s="809">
        <f>_xlfn.SUMIFS('Сырье и материалы'!AG$25:AG$111,'Сырье и материалы'!$F$25:$F$111,$F30,'Сырье и материалы'!$I$25:$I$111,"Реагенты")</f>
        <v>0</v>
      </c>
      <c r="AH30" s="809">
        <f>AG30-AF30</f>
        <v>0</v>
      </c>
      <c r="AI30" s="809">
        <f>_xlfn.SUMIFS('Сырье и материалы'!AH$25:AH$111,'Сырье и материалы'!$F$25:$F$111,$F30,'Сырье и материалы'!$I$25:$I$111,"Реагенты")</f>
        <v>0</v>
      </c>
      <c r="AJ30" s="809">
        <f>_xlfn.SUMIFS('Сырье и материалы'!AI$25:AI$111,'Сырье и материалы'!$F$25:$F$111,$F30,'Сырье и материалы'!$I$25:$I$111,"Реагенты")</f>
        <v>0</v>
      </c>
      <c r="AK30" s="809">
        <f>_xlfn.SUMIFS('Сырье и материалы'!AS$25:AS$111,'Сырье и материалы'!$F$25:$F$111,$F30,'Сырье и материалы'!$I$25:$I$111,"Реагенты")</f>
        <v>0</v>
      </c>
      <c r="AL30" s="809">
        <f>IF(AI30=0,0,(AK30-AI30)/AI30*100)</f>
        <v>0</v>
      </c>
      <c r="AM30" s="6039"/>
      <c r="AN30" s="6040" t="str">
        <f>IF(_xlfn.IFERROR(INDEX('Сырье и материалы'!$K$26:$L$111,MATCH($F30&amp;"komm",'Сырье и материалы'!$K$26:$K$111,0),2),"")=0,"",_xlfn.IFERROR(INDEX('Сырье и материалы'!$K$26:$L$111,MATCH($F30&amp;"komm",'Сырье и материалы'!$K$26:$K$111,0),2),""))</f>
        <v/>
      </c>
      <c r="AO30" s="6039"/>
      <c r="AP30" s="1324"/>
      <c r="AQ30" s="1324"/>
      <c r="AR30" s="1070" t="s">
        <v>1976</v>
      </c>
      <c r="AS30" s="1070"/>
      <c r="AT30" s="1070"/>
      <c r="AU30" s="1067"/>
      <c r="AV30" s="1067"/>
    </row>
    <row customHeight="1" ht="14.625" hidden="1">
      <c r="A31" s="1324"/>
      <c r="B31" s="1324"/>
      <c r="C31" s="1324"/>
      <c r="D31" s="1324"/>
      <c r="E31" s="701">
        <v>15</v>
      </c>
      <c r="F31" s="50" cm="1" t="str">
        <f t="array" ref="F31:F31">OFFSET(E31,-1,1)</f>
        <v>0</v>
      </c>
      <c r="G31" s="1324"/>
      <c r="H31" s="1324"/>
      <c r="I31" s="592" t="s">
        <v>1201</v>
      </c>
      <c r="J31" s="592"/>
      <c r="K31" s="592"/>
      <c r="L31" s="592"/>
      <c r="M31" s="592"/>
      <c r="N31" s="592"/>
      <c r="O31" s="592"/>
      <c r="P31" s="592"/>
      <c r="Q31" s="592"/>
      <c r="R31" s="592"/>
      <c r="S31" s="592"/>
      <c r="T31" s="468" cm="1" t="str">
        <f t="array" ref="T31:T31">T30</f>
        <v>false</v>
      </c>
      <c r="U31" s="1324"/>
      <c r="V31" s="1324"/>
      <c r="W31" s="1324"/>
      <c r="X31" s="1617"/>
      <c r="Y31" s="1324"/>
      <c r="Z31" s="1618"/>
      <c r="AA31" s="1324"/>
      <c r="AB31" s="814" t="s">
        <v>1202</v>
      </c>
      <c r="AC31" s="815" t="s">
        <v>1977</v>
      </c>
      <c r="AD31" s="766" t="s">
        <v>936</v>
      </c>
      <c r="AE31" s="6051">
        <f>_xlfn.SUMIFS('Сырье и материалы'!AE$25:AE$111,'Сырье и материалы'!$F$25:$F$111,$F31,'Сырье и материалы'!$I$25:$I$111,"Горюче-смазочные материалы")</f>
        <v>0</v>
      </c>
      <c r="AF31" s="6051">
        <f>_xlfn.SUMIFS('Сырье и материалы'!AF$25:AF$111,'Сырье и материалы'!$F$25:$F$111,$F31,'Сырье и материалы'!$I$25:$I$111,"Горюче-смазочные материалы")</f>
        <v>0</v>
      </c>
      <c r="AG31" s="6051">
        <f>_xlfn.SUMIFS('Сырье и материалы'!AG$25:AG$111,'Сырье и материалы'!$F$25:$F$111,$F31,'Сырье и материалы'!$I$25:$I$111,"Горюче-смазочные материалы")</f>
        <v>0</v>
      </c>
      <c r="AH31" s="809">
        <f>AG31-AF31</f>
        <v>0</v>
      </c>
      <c r="AI31" s="6051">
        <f>_xlfn.SUMIFS('Сырье и материалы'!AH$25:AH$111,'Сырье и материалы'!$F$25:$F$111,$F31,'Сырье и материалы'!$I$25:$I$111,"Горюче-смазочные материалы")</f>
        <v>0</v>
      </c>
      <c r="AJ31" s="6051">
        <f>_xlfn.SUMIFS('Сырье и материалы'!AI$25:AI$111,'Сырье и материалы'!$F$25:$F$111,$F31,'Сырье и материалы'!$I$25:$I$111,"Горюче-смазочные материалы")</f>
        <v>0</v>
      </c>
      <c r="AK31" s="6051">
        <f>_xlfn.SUMIFS('Сырье и материалы'!AS$25:AS$111,'Сырье и материалы'!$F$25:$F$111,$F31,'Сырье и материалы'!$I$25:$I$111,"Горюче-смазочные материалы")</f>
        <v>0</v>
      </c>
      <c r="AL31" s="809">
        <f>IF(AI31=0,0,(AK31-AI31)/AI31*100)</f>
        <v>0</v>
      </c>
      <c r="AM31" s="6039"/>
      <c r="AN31" s="6039"/>
      <c r="AO31" s="6039"/>
      <c r="AP31" s="1324"/>
      <c r="AQ31" s="1324"/>
      <c r="AR31" s="1070" t="s">
        <v>1978</v>
      </c>
      <c r="AS31" s="1070"/>
      <c r="AT31" s="1070"/>
      <c r="AU31" s="1067"/>
      <c r="AV31" s="1067"/>
    </row>
    <row customHeight="1" ht="14.625" hidden="1">
      <c r="A32" s="1324"/>
      <c r="B32" s="1324"/>
      <c r="C32" s="1324"/>
      <c r="D32" s="1324"/>
      <c r="E32" s="701">
        <v>15</v>
      </c>
      <c r="F32" s="50" cm="1" t="str">
        <f t="array" ref="F32:F32">OFFSET(E32,-1,1)</f>
        <v>0</v>
      </c>
      <c r="G32" s="1324"/>
      <c r="H32" s="1324"/>
      <c r="I32" s="592" t="s">
        <v>1525</v>
      </c>
      <c r="J32" s="592"/>
      <c r="K32" s="592"/>
      <c r="L32" s="592"/>
      <c r="M32" s="592"/>
      <c r="N32" s="592"/>
      <c r="O32" s="592"/>
      <c r="P32" s="592"/>
      <c r="Q32" s="592"/>
      <c r="R32" s="592"/>
      <c r="S32" s="592"/>
      <c r="T32" s="468" cm="1" t="str">
        <f t="array" ref="T32:T32">T31</f>
        <v>false</v>
      </c>
      <c r="U32" s="1324"/>
      <c r="V32" s="1324"/>
      <c r="W32" s="1324"/>
      <c r="X32" s="1617"/>
      <c r="Y32" s="1324"/>
      <c r="Z32" s="1618"/>
      <c r="AA32" s="1324"/>
      <c r="AB32" s="814" t="s">
        <v>1526</v>
      </c>
      <c r="AC32" s="815" t="s">
        <v>1979</v>
      </c>
      <c r="AD32" s="766" t="s">
        <v>936</v>
      </c>
      <c r="AE32" s="6051">
        <f>_xlfn.SUMIFS('Сырье и материалы'!AE$25:AE$111,'Сырье и материалы'!$F$25:$F$111,$F32,'Сырье и материалы'!$I$25:$I$111,"Материалы")</f>
        <v>0</v>
      </c>
      <c r="AF32" s="6051">
        <f>_xlfn.SUMIFS('Сырье и материалы'!AF$25:AF$111,'Сырье и материалы'!$F$25:$F$111,$F32,'Сырье и материалы'!$I$25:$I$111,"Материалы")</f>
        <v>0</v>
      </c>
      <c r="AG32" s="6051">
        <f>_xlfn.SUMIFS('Сырье и материалы'!AG$25:AG$111,'Сырье и материалы'!$F$25:$F$111,$F32,'Сырье и материалы'!$I$25:$I$111,"Материалы")</f>
        <v>0</v>
      </c>
      <c r="AH32" s="809">
        <f>AG32-AF32</f>
        <v>0</v>
      </c>
      <c r="AI32" s="6051">
        <f>_xlfn.SUMIFS('Сырье и материалы'!AH$25:AH$111,'Сырье и материалы'!$F$25:$F$111,$F32,'Сырье и материалы'!$I$25:$I$111,"Материалы")</f>
        <v>0</v>
      </c>
      <c r="AJ32" s="6051">
        <f>_xlfn.SUMIFS('Сырье и материалы'!AI$25:AI$111,'Сырье и материалы'!$F$25:$F$111,$F32,'Сырье и материалы'!$I$25:$I$111,"Материалы")</f>
        <v>0</v>
      </c>
      <c r="AK32" s="6051">
        <f>_xlfn.SUMIFS('Сырье и материалы'!AS$25:AS$111,'Сырье и материалы'!$F$25:$F$111,$F32,'Сырье и материалы'!$I$25:$I$111,"Материалы")</f>
        <v>0</v>
      </c>
      <c r="AL32" s="809">
        <f>IF(AI32=0,0,(AK32-AI32)/AI32*100)</f>
        <v>0</v>
      </c>
      <c r="AM32" s="6039"/>
      <c r="AN32" s="6039"/>
      <c r="AO32" s="6039"/>
      <c r="AP32" s="1324"/>
      <c r="AQ32" s="1324"/>
      <c r="AR32" s="1070" t="s">
        <v>1980</v>
      </c>
      <c r="AS32" s="1070"/>
      <c r="AT32" s="1070"/>
      <c r="AU32" s="1067"/>
      <c r="AV32" s="1067"/>
    </row>
    <row s="593" customFormat="1" customHeight="1" ht="21.9375" hidden="1">
      <c r="A33" s="593"/>
      <c r="B33" s="593"/>
      <c r="C33" s="593"/>
      <c r="D33" s="593"/>
      <c r="E33" s="703">
        <v>22.5</v>
      </c>
      <c r="F33" s="50" cm="1" t="str">
        <f t="array" ref="F33:F33">OFFSET(E33,-1,1)</f>
        <v>0</v>
      </c>
      <c r="G33" s="593"/>
      <c r="H33" s="593"/>
      <c r="I33" s="704" t="s">
        <v>570</v>
      </c>
      <c r="J33" s="704"/>
      <c r="K33" s="704"/>
      <c r="L33" s="704"/>
      <c r="M33" s="704"/>
      <c r="N33" s="704"/>
      <c r="O33" s="704"/>
      <c r="P33" s="704"/>
      <c r="Q33" s="704"/>
      <c r="R33" s="704"/>
      <c r="S33" s="704"/>
      <c r="T33" s="468" cm="1" t="str">
        <f t="array" ref="T33:T33">T32</f>
        <v>false</v>
      </c>
      <c r="U33" s="593"/>
      <c r="V33" s="593"/>
      <c r="W33" s="593"/>
      <c r="X33" s="1617"/>
      <c r="Y33" s="593"/>
      <c r="Z33" s="1618"/>
      <c r="AA33" s="593"/>
      <c r="AB33" s="811" t="s">
        <v>1070</v>
      </c>
      <c r="AC33" s="812" t="s">
        <v>1981</v>
      </c>
      <c r="AD33" s="595" t="s">
        <v>936</v>
      </c>
      <c r="AE33" s="808">
        <f>SUM(AE34:AE42)</f>
        <v>0</v>
      </c>
      <c r="AF33" s="808">
        <f>SUM(AF34:AF42)</f>
        <v>0</v>
      </c>
      <c r="AG33" s="808">
        <f>SUM(AG34:AG42)</f>
        <v>0</v>
      </c>
      <c r="AH33" s="808">
        <f>AG33-AF33</f>
        <v>0</v>
      </c>
      <c r="AI33" s="808">
        <f>SUM(AI34:AI42)</f>
        <v>0</v>
      </c>
      <c r="AJ33" s="808">
        <f>SUM(AJ34:AJ42)</f>
        <v>0</v>
      </c>
      <c r="AK33" s="808">
        <f>SUM(AK34:AK42)</f>
        <v>0</v>
      </c>
      <c r="AL33" s="808">
        <f>IF(AI33=0,0,(AK33-AI33)/AI33*100)</f>
        <v>0</v>
      </c>
      <c r="AM33" s="6047"/>
      <c r="AN33" s="6047"/>
      <c r="AO33" s="6047"/>
      <c r="AP33" s="593"/>
      <c r="AQ33" s="593"/>
      <c r="AR33" s="1071" t="s">
        <v>1982</v>
      </c>
      <c r="AS33" s="1071"/>
      <c r="AT33" s="1071"/>
      <c r="AU33" s="703"/>
      <c r="AV33" s="703"/>
    </row>
    <row customHeight="1" ht="14.625" hidden="1">
      <c r="A34" s="1324"/>
      <c r="B34" s="1324"/>
      <c r="C34" s="1324"/>
      <c r="D34" s="1324"/>
      <c r="E34" s="701">
        <v>15</v>
      </c>
      <c r="F34" s="50" cm="1" t="str">
        <f t="array" ref="F34:F34">OFFSET(E34,-1,1)</f>
        <v>0</v>
      </c>
      <c r="G34" s="1324"/>
      <c r="H34" s="1324"/>
      <c r="I34" s="592" t="s">
        <v>1550</v>
      </c>
      <c r="J34" s="592"/>
      <c r="K34" s="592"/>
      <c r="L34" s="592"/>
      <c r="M34" s="592"/>
      <c r="N34" s="592"/>
      <c r="O34" s="592"/>
      <c r="P34" s="592"/>
      <c r="Q34" s="592"/>
      <c r="R34" s="592"/>
      <c r="S34" s="592"/>
      <c r="T34" s="468" cm="1" t="str">
        <f t="array" ref="T34:T34">T33</f>
        <v>false</v>
      </c>
      <c r="U34" s="1324"/>
      <c r="V34" s="1324"/>
      <c r="W34" s="1324"/>
      <c r="X34" s="1617"/>
      <c r="Y34" s="1324"/>
      <c r="Z34" s="1618"/>
      <c r="AA34" s="1324"/>
      <c r="AB34" s="814" t="s">
        <v>1551</v>
      </c>
      <c r="AC34" s="815" t="s">
        <v>1983</v>
      </c>
      <c r="AD34" s="766" t="s">
        <v>936</v>
      </c>
      <c r="AE34" s="809">
        <f>_xlfn.SUMIFS(ЭЭ!AE$25:AE$175,ЭЭ!$F$25:$F$175,$F34,ЭЭ!$AC$25:$AC$175,"Всего по тарифу")</f>
        <v>0</v>
      </c>
      <c r="AF34" s="809">
        <f>_xlfn.SUMIFS(ЭЭ!AF$25:AF$175,ЭЭ!$F$25:$F$175,$F34,ЭЭ!$AC$25:$AC$175,"Всего по тарифу")</f>
        <v>0</v>
      </c>
      <c r="AG34" s="809">
        <f>_xlfn.SUMIFS(ЭЭ!AG$25:AG$175,ЭЭ!$F$25:$F$175,$F34,ЭЭ!$AC$25:$AC$175,"Всего по тарифу")</f>
        <v>0</v>
      </c>
      <c r="AH34" s="809">
        <f>AG34-AF34</f>
        <v>0</v>
      </c>
      <c r="AI34" s="809">
        <f>_xlfn.SUMIFS(ЭЭ!AH$25:AH$175,ЭЭ!$F$25:$F$175,$F34,ЭЭ!$AC$25:$AC$175,"Всего по тарифу")</f>
        <v>0</v>
      </c>
      <c r="AJ34" s="809">
        <f>_xlfn.SUMIFS(ЭЭ!AI$25:AI$175,ЭЭ!$F$25:$F$175,$F34,ЭЭ!$AC$25:$AC$175,"Всего по тарифу")</f>
        <v>0</v>
      </c>
      <c r="AK34" s="809">
        <f>_xlfn.SUMIFS(ЭЭ!AS$25:AS$175,ЭЭ!$F$25:$F$175,$F34,ЭЭ!$AC$25:$AC$175,"Всего по тарифу")</f>
        <v>0</v>
      </c>
      <c r="AL34" s="809">
        <f>IF(AI34=0,0,(AK34-AI34)/AI34*100)</f>
        <v>0</v>
      </c>
      <c r="AM34" s="6039"/>
      <c r="AN34" s="6040" t="str">
        <f>IF(_xlfn.IFERROR(INDEX(ЭЭ!$K$26:$L$175,MATCH($F34&amp;"komm",ЭЭ!$K$26:$K$175,0),2),"")=0,"",_xlfn.IFERROR(INDEX(ЭЭ!$K$26:$L$175,MATCH($F34&amp;"komm",ЭЭ!$K$26:$K$175,0),2),""))</f>
        <v/>
      </c>
      <c r="AO34" s="6039"/>
      <c r="AP34" s="1324"/>
      <c r="AQ34" s="1324"/>
      <c r="AR34" s="1070" t="s">
        <v>1984</v>
      </c>
      <c r="AS34" s="1070"/>
      <c r="AT34" s="1070"/>
      <c r="AU34" s="1067"/>
      <c r="AV34" s="1067"/>
    </row>
    <row customHeight="1" ht="14.625" hidden="1">
      <c r="A35" s="1324"/>
      <c r="B35" s="1324"/>
      <c r="C35" s="1324"/>
      <c r="D35" s="1324"/>
      <c r="E35" s="701">
        <v>15</v>
      </c>
      <c r="F35" s="50" cm="1" t="str">
        <f t="array" ref="F35:F35">OFFSET(E35,-1,1)</f>
        <v>0</v>
      </c>
      <c r="G35" s="582" t="s">
        <v>1287</v>
      </c>
      <c r="H35" s="1324"/>
      <c r="I35" s="592" t="s">
        <v>1553</v>
      </c>
      <c r="J35" s="592"/>
      <c r="K35" s="592"/>
      <c r="L35" s="592"/>
      <c r="M35" s="592"/>
      <c r="N35" s="592"/>
      <c r="O35" s="592"/>
      <c r="P35" s="592"/>
      <c r="Q35" s="592"/>
      <c r="R35" s="592"/>
      <c r="S35" s="592"/>
      <c r="T35" s="468" cm="1" t="str">
        <f t="array" ref="T35:T35">T34</f>
        <v>false</v>
      </c>
      <c r="U35" s="1324"/>
      <c r="V35" s="1324"/>
      <c r="W35" s="1324"/>
      <c r="X35" s="1617"/>
      <c r="Y35" s="1324"/>
      <c r="Z35" s="1618"/>
      <c r="AA35" s="1324"/>
      <c r="AB35" s="814" t="s">
        <v>1554</v>
      </c>
      <c r="AC35" s="815" t="s">
        <v>1985</v>
      </c>
      <c r="AD35" s="766" t="s">
        <v>936</v>
      </c>
      <c r="AE35" s="809">
        <f>_xlfn.SUMIFS(Покупка!AE$25:AE$327,Покупка!$F$25:$F$327,$F35,Покупка!$AC$25:$AC$327,$G35)</f>
        <v>0</v>
      </c>
      <c r="AF35" s="809">
        <f>_xlfn.SUMIFS(Покупка!AF$25:AF$327,Покупка!$F$25:$F$327,$F35,Покупка!$AC$25:$AC$327,$G35)</f>
        <v>0</v>
      </c>
      <c r="AG35" s="809">
        <f>_xlfn.SUMIFS(Покупка!AG$25:AG$327,Покупка!$F$25:$F$327,$F35,Покупка!$AC$25:$AC$327,$G35)</f>
        <v>0</v>
      </c>
      <c r="AH35" s="809">
        <f>AG35-AF35</f>
        <v>0</v>
      </c>
      <c r="AI35" s="809">
        <f>_xlfn.SUMIFS(Покупка!AH$25:AH$327,Покупка!$F$25:$F$327,$F35,Покупка!$AC$25:$AC$327,$G35)</f>
        <v>0</v>
      </c>
      <c r="AJ35" s="809">
        <f>_xlfn.SUMIFS(Покупка!AI$25:AI$327,Покупка!$F$25:$F$327,$F35,Покупка!$AC$25:$AC$327,$G35)</f>
        <v>0</v>
      </c>
      <c r="AK35" s="809">
        <f>_xlfn.SUMIFS(Покупка!AS$25:AS$327,Покупка!$F$25:$F$327,$F35,Покупка!$AC$25:$AC$327,$G35)</f>
        <v>0</v>
      </c>
      <c r="AL35" s="809">
        <f>IF(AI35=0,0,(AK35-AI35)/AI35*100)</f>
        <v>0</v>
      </c>
      <c r="AM35" s="6039"/>
      <c r="AN35" s="6040" t="str">
        <f>IF(_xlfn.IFERROR(INDEX(Покупка!$K$26:$L$327,MATCH($F35&amp;"6komm",Покупка!$K$26:$K$327,0),2),"")=0,"",_xlfn.IFERROR(INDEX(Покупка!$K$26:$L$327,MATCH($F35&amp;"6komm",Покупка!$K$26:$K$327,0),2),""))</f>
        <v/>
      </c>
      <c r="AO35" s="6039"/>
      <c r="AP35" s="1324"/>
      <c r="AQ35" s="1324"/>
      <c r="AR35" s="1070" t="s">
        <v>1288</v>
      </c>
      <c r="AS35" s="1070"/>
      <c r="AT35" s="1070"/>
      <c r="AU35" s="1067"/>
      <c r="AV35" s="1067"/>
    </row>
    <row customHeight="1" ht="14.625" hidden="1">
      <c r="A36" s="1324"/>
      <c r="B36" s="1324"/>
      <c r="C36" s="1324"/>
      <c r="D36" s="1324"/>
      <c r="E36" s="701">
        <v>15</v>
      </c>
      <c r="F36" s="50" cm="1" t="str">
        <f t="array" ref="F36:F36">OFFSET(E36,-1,1)</f>
        <v>0</v>
      </c>
      <c r="G36" s="582" t="s">
        <v>1309</v>
      </c>
      <c r="H36" s="1324"/>
      <c r="I36" s="592" t="s">
        <v>1557</v>
      </c>
      <c r="J36" s="592"/>
      <c r="K36" s="592"/>
      <c r="L36" s="592"/>
      <c r="M36" s="592"/>
      <c r="N36" s="592"/>
      <c r="O36" s="592"/>
      <c r="P36" s="592"/>
      <c r="Q36" s="592"/>
      <c r="R36" s="592"/>
      <c r="S36" s="592"/>
      <c r="T36" s="468" cm="1" t="str">
        <f t="array" ref="T36:T36">T35</f>
        <v>false</v>
      </c>
      <c r="U36" s="1324"/>
      <c r="V36" s="1324"/>
      <c r="W36" s="1324"/>
      <c r="X36" s="1617"/>
      <c r="Y36" s="1324"/>
      <c r="Z36" s="1618"/>
      <c r="AA36" s="1324"/>
      <c r="AB36" s="814" t="s">
        <v>1558</v>
      </c>
      <c r="AC36" s="815" t="s">
        <v>1986</v>
      </c>
      <c r="AD36" s="766" t="s">
        <v>936</v>
      </c>
      <c r="AE36" s="809">
        <f>_xlfn.SUMIFS(Покупка!AE$25:AE$327,Покупка!$F$25:$F$327,$F36,Покупка!$AC$25:$AC$327,$G36)</f>
        <v>0</v>
      </c>
      <c r="AF36" s="809">
        <f>_xlfn.SUMIFS(Покупка!AF$25:AF$327,Покупка!$F$25:$F$327,$F36,Покупка!$AC$25:$AC$327,$G36)</f>
        <v>0</v>
      </c>
      <c r="AG36" s="809">
        <f>_xlfn.SUMIFS(Покупка!AG$25:AG$327,Покупка!$F$25:$F$327,$F36,Покупка!$AC$25:$AC$327,$G36)</f>
        <v>0</v>
      </c>
      <c r="AH36" s="809">
        <f>AG36-AF36</f>
        <v>0</v>
      </c>
      <c r="AI36" s="809">
        <f>_xlfn.SUMIFS(Покупка!AH$25:AH$327,Покупка!$F$25:$F$327,$F36,Покупка!$AC$25:$AC$327,$G36)</f>
        <v>0</v>
      </c>
      <c r="AJ36" s="809">
        <f>_xlfn.SUMIFS(Покупка!AI$25:AI$327,Покупка!$F$25:$F$327,$F36,Покупка!$AC$25:$AC$327,$G36)</f>
        <v>0</v>
      </c>
      <c r="AK36" s="809">
        <f>_xlfn.SUMIFS(Покупка!AS$25:AS$327,Покупка!$F$25:$F$327,$F36,Покупка!$AC$25:$AC$327,$G36)</f>
        <v>0</v>
      </c>
      <c r="AL36" s="809">
        <f>IF(AI36=0,0,(AK36-AI36)/AI36*100)</f>
        <v>0</v>
      </c>
      <c r="AM36" s="6039"/>
      <c r="AN36" s="6040" t="str">
        <f>IF(_xlfn.IFERROR(INDEX(Покупка!$K$26:$L$327,MATCH($F36&amp;"7komm",Покупка!$K$26:$K$327,0),2),"")=0,"",_xlfn.IFERROR(INDEX(Покупка!$K$26:$L$327,MATCH($F36&amp;"7komm",Покупка!$K$26:$K$327,0),2),""))</f>
        <v/>
      </c>
      <c r="AO36" s="6039"/>
      <c r="AP36" s="1324"/>
      <c r="AQ36" s="1324"/>
      <c r="AR36" s="1070" t="s">
        <v>1310</v>
      </c>
      <c r="AS36" s="1070"/>
      <c r="AT36" s="1070"/>
      <c r="AU36" s="1067"/>
      <c r="AV36" s="1067"/>
    </row>
    <row customHeight="1" ht="14.625" hidden="1">
      <c r="A37" s="1324"/>
      <c r="B37" s="1324"/>
      <c r="C37" s="1324"/>
      <c r="D37" s="1324"/>
      <c r="E37" s="701">
        <v>15</v>
      </c>
      <c r="F37" s="50" cm="1" t="str">
        <f t="array" ref="F37:F37">OFFSET(E37,-1,1)</f>
        <v>0</v>
      </c>
      <c r="G37" s="759" t="s">
        <v>1321</v>
      </c>
      <c r="H37" s="1324"/>
      <c r="I37" s="592" t="s">
        <v>1727</v>
      </c>
      <c r="J37" s="592"/>
      <c r="K37" s="592"/>
      <c r="L37" s="592"/>
      <c r="M37" s="592"/>
      <c r="N37" s="592"/>
      <c r="O37" s="592"/>
      <c r="P37" s="592"/>
      <c r="Q37" s="592"/>
      <c r="R37" s="592"/>
      <c r="S37" s="592"/>
      <c r="T37" s="468" cm="1" t="str">
        <f t="array" ref="T37:T37">T36</f>
        <v>false</v>
      </c>
      <c r="U37" s="1324"/>
      <c r="V37" s="1324"/>
      <c r="W37" s="1324"/>
      <c r="X37" s="1617"/>
      <c r="Y37" s="1324"/>
      <c r="Z37" s="1618"/>
      <c r="AA37" s="1324"/>
      <c r="AB37" s="814" t="s">
        <v>1987</v>
      </c>
      <c r="AC37" s="815" t="s">
        <v>1988</v>
      </c>
      <c r="AD37" s="766" t="s">
        <v>936</v>
      </c>
      <c r="AE37" s="809">
        <f>_xlfn.SUMIFS(Покупка!AE$25:AE$327,Покупка!$F$25:$F$327,$F37,Покупка!$AC$25:$AC$327,$G37)</f>
        <v>0</v>
      </c>
      <c r="AF37" s="809">
        <f>_xlfn.SUMIFS(Покупка!AF$25:AF$327,Покупка!$F$25:$F$327,$F37,Покупка!$AC$25:$AC$327,$G37)</f>
        <v>0</v>
      </c>
      <c r="AG37" s="809">
        <f>_xlfn.SUMIFS(Покупка!AG$25:AG$327,Покупка!$F$25:$F$327,$F37,Покупка!$AC$25:$AC$327,$G37)</f>
        <v>0</v>
      </c>
      <c r="AH37" s="809">
        <f>AG37-AF37</f>
        <v>0</v>
      </c>
      <c r="AI37" s="809">
        <f>_xlfn.SUMIFS(Покупка!AH$25:AH$327,Покупка!$F$25:$F$327,$F37,Покупка!$AC$25:$AC$327,$G37)</f>
        <v>0</v>
      </c>
      <c r="AJ37" s="809">
        <f>_xlfn.SUMIFS(Покупка!AI$25:AI$327,Покупка!$F$25:$F$327,$F37,Покупка!$AC$25:$AC$327,$G37)</f>
        <v>0</v>
      </c>
      <c r="AK37" s="809">
        <f>_xlfn.SUMIFS(Покупка!AS$25:AS$327,Покупка!$F$25:$F$327,$F37,Покупка!$AC$25:$AC$327,$G37)</f>
        <v>0</v>
      </c>
      <c r="AL37" s="809">
        <f>IF(AI37=0,0,(AK37-AI37)/AI37*100)</f>
        <v>0</v>
      </c>
      <c r="AM37" s="6039"/>
      <c r="AN37" s="6040" t="str">
        <f>IF(_xlfn.IFERROR(INDEX(Покупка!$K$26:$L$327,MATCH($F37&amp;"9komm",Покупка!$K$26:$K$327,0),2),"")=0,"",_xlfn.IFERROR(INDEX(Покупка!$K$26:$L$327,MATCH($F37&amp;"9komm",Покупка!$K$26:$K$327,0),2),""))</f>
        <v/>
      </c>
      <c r="AO37" s="6039"/>
      <c r="AP37" s="1324"/>
      <c r="AQ37" s="1324"/>
      <c r="AR37" s="1070" t="s">
        <v>1322</v>
      </c>
      <c r="AS37" s="1070"/>
      <c r="AT37" s="1070"/>
      <c r="AU37" s="1067"/>
      <c r="AV37" s="1067"/>
    </row>
    <row customHeight="1" ht="14.625" hidden="1">
      <c r="A38" s="1324"/>
      <c r="B38" s="1324"/>
      <c r="C38" s="1324"/>
      <c r="D38" s="1324"/>
      <c r="E38" s="701">
        <v>15</v>
      </c>
      <c r="F38" s="50" cm="1" t="str">
        <f t="array" ref="F38:F38">OFFSET(E38,-1,1)</f>
        <v>0</v>
      </c>
      <c r="G38" s="582" t="s">
        <v>1248</v>
      </c>
      <c r="H38" s="1324"/>
      <c r="I38" s="592" t="s">
        <v>1731</v>
      </c>
      <c r="J38" s="592"/>
      <c r="K38" s="592"/>
      <c r="L38" s="592"/>
      <c r="M38" s="592"/>
      <c r="N38" s="592"/>
      <c r="O38" s="592"/>
      <c r="P38" s="592"/>
      <c r="Q38" s="592"/>
      <c r="R38" s="592"/>
      <c r="S38" s="592"/>
      <c r="T38" s="468" cm="1" t="str">
        <f t="array" ref="T38:T38">T37</f>
        <v>false</v>
      </c>
      <c r="U38" s="1324"/>
      <c r="V38" s="1324"/>
      <c r="W38" s="1324"/>
      <c r="X38" s="1617"/>
      <c r="Y38" s="1324"/>
      <c r="Z38" s="1618"/>
      <c r="AA38" s="1324"/>
      <c r="AB38" s="814" t="s">
        <v>1989</v>
      </c>
      <c r="AC38" s="815" t="s">
        <v>1990</v>
      </c>
      <c r="AD38" s="766" t="s">
        <v>936</v>
      </c>
      <c r="AE38" s="809">
        <f>_xlfn.SUMIFS(Покупка!AE$25:AE$327,Покупка!$F$25:$F$327,$F38,Покупка!$AC$25:$AC$327,$G38)</f>
        <v>0</v>
      </c>
      <c r="AF38" s="809">
        <f>_xlfn.SUMIFS(Покупка!AF$25:AF$327,Покупка!$F$25:$F$327,$F38,Покупка!$AC$25:$AC$327,$G38)</f>
        <v>0</v>
      </c>
      <c r="AG38" s="809">
        <f>_xlfn.SUMIFS(Покупка!AG$25:AG$327,Покупка!$F$25:$F$327,$F38,Покупка!$AC$25:$AC$327,$G38)</f>
        <v>0</v>
      </c>
      <c r="AH38" s="809">
        <f>AG38-AF38</f>
        <v>0</v>
      </c>
      <c r="AI38" s="809">
        <f>_xlfn.SUMIFS(Покупка!AH$25:AH$327,Покупка!$F$25:$F$327,$F38,Покупка!$AC$25:$AC$327,$G38)</f>
        <v>0</v>
      </c>
      <c r="AJ38" s="809">
        <f>_xlfn.SUMIFS(Покупка!AI$25:AI$327,Покупка!$F$25:$F$327,$F38,Покупка!$AC$25:$AC$327,$G38)</f>
        <v>0</v>
      </c>
      <c r="AK38" s="809">
        <f>_xlfn.SUMIFS(Покупка!AS$25:AS$327,Покупка!$F$25:$F$327,$F38,Покупка!$AC$25:$AC$327,$G38)</f>
        <v>0</v>
      </c>
      <c r="AL38" s="809">
        <f>IF(AI38=0,0,(AK38-AI38)/AI38*100)</f>
        <v>0</v>
      </c>
      <c r="AM38" s="6039"/>
      <c r="AN38" s="6040" t="str">
        <f>IF(_xlfn.IFERROR(INDEX(Покупка!$K$26:$L$327,MATCH($F38&amp;"1komm",Покупка!$K$26:$K$327,0),2),"")=0,"",_xlfn.IFERROR(INDEX(Покупка!$K$26:$L$327,MATCH($F38&amp;"1komm",Покупка!$K$26:$K$327,0),2),""))</f>
        <v/>
      </c>
      <c r="AO38" s="6039"/>
      <c r="AP38" s="1324"/>
      <c r="AQ38" s="1324"/>
      <c r="AR38" s="1070" t="s">
        <v>1991</v>
      </c>
      <c r="AS38" s="1070"/>
      <c r="AT38" s="1070"/>
      <c r="AU38" s="1067"/>
      <c r="AV38" s="1067"/>
    </row>
    <row customHeight="1" ht="14.625" hidden="1">
      <c r="A39" s="1324"/>
      <c r="B39" s="1324"/>
      <c r="C39" s="1324"/>
      <c r="D39" s="1324"/>
      <c r="E39" s="701">
        <v>15</v>
      </c>
      <c r="F39" s="50" cm="1" t="str">
        <f t="array" ref="F39:F39">OFFSET(E39,-1,1)</f>
        <v>0</v>
      </c>
      <c r="G39" s="582" t="s">
        <v>1261</v>
      </c>
      <c r="H39" s="1324"/>
      <c r="I39" s="592" t="s">
        <v>1736</v>
      </c>
      <c r="J39" s="592"/>
      <c r="K39" s="592"/>
      <c r="L39" s="592"/>
      <c r="M39" s="592"/>
      <c r="N39" s="592"/>
      <c r="O39" s="592"/>
      <c r="P39" s="592"/>
      <c r="Q39" s="592"/>
      <c r="R39" s="592"/>
      <c r="S39" s="592"/>
      <c r="T39" s="468" cm="1" t="str">
        <f t="array" ref="T39:T39">T38</f>
        <v>false</v>
      </c>
      <c r="U39" s="1324"/>
      <c r="V39" s="1324"/>
      <c r="W39" s="1324"/>
      <c r="X39" s="1617"/>
      <c r="Y39" s="1324"/>
      <c r="Z39" s="1618"/>
      <c r="AA39" s="1324"/>
      <c r="AB39" s="814" t="s">
        <v>1992</v>
      </c>
      <c r="AC39" s="815" t="s">
        <v>1993</v>
      </c>
      <c r="AD39" s="766" t="s">
        <v>936</v>
      </c>
      <c r="AE39" s="809">
        <f>_xlfn.SUMIFS(Покупка!AE$25:AE$327,Покупка!$F$25:$F$327,$F39,Покупка!$AC$25:$AC$327,$G39)</f>
        <v>0</v>
      </c>
      <c r="AF39" s="809">
        <f>_xlfn.SUMIFS(Покупка!AF$25:AF$327,Покупка!$F$25:$F$327,$F39,Покупка!$AC$25:$AC$327,$G39)</f>
        <v>0</v>
      </c>
      <c r="AG39" s="809">
        <f>_xlfn.SUMIFS(Покупка!AG$25:AG$327,Покупка!$F$25:$F$327,$F39,Покупка!$AC$25:$AC$327,$G39)</f>
        <v>0</v>
      </c>
      <c r="AH39" s="809">
        <f>AG39-AF39</f>
        <v>0</v>
      </c>
      <c r="AI39" s="809">
        <f>_xlfn.SUMIFS(Покупка!AH$25:AH$327,Покупка!$F$25:$F$327,$F39,Покупка!$AC$25:$AC$327,$G39)</f>
        <v>0</v>
      </c>
      <c r="AJ39" s="809">
        <f>_xlfn.SUMIFS(Покупка!AI$25:AI$327,Покупка!$F$25:$F$327,$F39,Покупка!$AC$25:$AC$327,$G39)</f>
        <v>0</v>
      </c>
      <c r="AK39" s="809">
        <f>_xlfn.SUMIFS(Покупка!AS$25:AS$327,Покупка!$F$25:$F$327,$F39,Покупка!$AC$25:$AC$327,$G39)</f>
        <v>0</v>
      </c>
      <c r="AL39" s="809">
        <f>IF(AI39=0,0,(AK39-AI39)/AI39*100)</f>
        <v>0</v>
      </c>
      <c r="AM39" s="6039"/>
      <c r="AN39" s="6040" t="str">
        <f>IF(_xlfn.IFERROR(INDEX(Покупка!$K$26:$L$327,MATCH($F39&amp;"2komm",Покупка!$K$26:$K$327,0),2),"")=0,"",_xlfn.IFERROR(INDEX(Покупка!$K$26:$L$327,MATCH($F39&amp;"2komm",Покупка!$K$26:$K$327,0),2),""))</f>
        <v/>
      </c>
      <c r="AO39" s="6039"/>
      <c r="AP39" s="1324"/>
      <c r="AQ39" s="1324"/>
      <c r="AR39" s="1070" t="s">
        <v>1994</v>
      </c>
      <c r="AS39" s="1070"/>
      <c r="AT39" s="1070"/>
      <c r="AU39" s="1067"/>
      <c r="AV39" s="1067"/>
    </row>
    <row customHeight="1" ht="14.625" hidden="1">
      <c r="A40" s="1324"/>
      <c r="B40" s="1324"/>
      <c r="C40" s="1324"/>
      <c r="D40" s="1324"/>
      <c r="E40" s="701">
        <v>15</v>
      </c>
      <c r="F40" s="50" cm="1" t="str">
        <f t="array" ref="F40:F40">OFFSET(E40,-1,1)</f>
        <v>0</v>
      </c>
      <c r="G40" s="582" t="s">
        <v>1267</v>
      </c>
      <c r="H40" s="1324"/>
      <c r="I40" s="592" t="s">
        <v>1745</v>
      </c>
      <c r="J40" s="592"/>
      <c r="K40" s="592"/>
      <c r="L40" s="592"/>
      <c r="M40" s="592"/>
      <c r="N40" s="592"/>
      <c r="O40" s="592"/>
      <c r="P40" s="592"/>
      <c r="Q40" s="592"/>
      <c r="R40" s="592"/>
      <c r="S40" s="592"/>
      <c r="T40" s="468" cm="1" t="str">
        <f t="array" ref="T40:T40">T39</f>
        <v>false</v>
      </c>
      <c r="U40" s="1324"/>
      <c r="V40" s="1324"/>
      <c r="W40" s="1324"/>
      <c r="X40" s="1617"/>
      <c r="Y40" s="1324"/>
      <c r="Z40" s="1618"/>
      <c r="AA40" s="1324"/>
      <c r="AB40" s="814" t="s">
        <v>1995</v>
      </c>
      <c r="AC40" s="815" t="s">
        <v>1996</v>
      </c>
      <c r="AD40" s="766" t="s">
        <v>936</v>
      </c>
      <c r="AE40" s="809">
        <f>_xlfn.SUMIFS(Покупка!AE$25:AE$327,Покупка!$F$25:$F$327,$F40,Покупка!$AC$25:$AC$327,$G40)</f>
        <v>0</v>
      </c>
      <c r="AF40" s="809">
        <f>_xlfn.SUMIFS(Покупка!AF$25:AF$327,Покупка!$F$25:$F$327,$F40,Покупка!$AC$25:$AC$327,$G40)</f>
        <v>0</v>
      </c>
      <c r="AG40" s="809">
        <f>_xlfn.SUMIFS(Покупка!AG$25:AG$327,Покупка!$F$25:$F$327,$F40,Покупка!$AC$25:$AC$327,$G40)</f>
        <v>0</v>
      </c>
      <c r="AH40" s="809">
        <f>AG40-AF40</f>
        <v>0</v>
      </c>
      <c r="AI40" s="809">
        <f>_xlfn.SUMIFS(Покупка!AH$25:AH$327,Покупка!$F$25:$F$327,$F40,Покупка!$AC$25:$AC$327,$G40)</f>
        <v>0</v>
      </c>
      <c r="AJ40" s="809">
        <f>_xlfn.SUMIFS(Покупка!AI$25:AI$327,Покупка!$F$25:$F$327,$F40,Покупка!$AC$25:$AC$327,$G40)</f>
        <v>0</v>
      </c>
      <c r="AK40" s="809">
        <f>_xlfn.SUMIFS(Покупка!AS$25:AS$327,Покупка!$F$25:$F$327,$F40,Покупка!$AC$25:$AC$327,$G40)</f>
        <v>0</v>
      </c>
      <c r="AL40" s="809">
        <f>IF(AI40=0,0,(AK40-AI40)/AI40*100)</f>
        <v>0</v>
      </c>
      <c r="AM40" s="6039"/>
      <c r="AN40" s="6040" t="str">
        <f>IF(_xlfn.IFERROR(INDEX(Покупка!$K$26:$L$327,MATCH($F40&amp;"3komm",Покупка!$K$26:$K$327,0),2),"")=0,"",_xlfn.IFERROR(INDEX(Покупка!$K$26:$L$327,MATCH($F40&amp;"3komm",Покупка!$K$26:$K$327,0),2),""))</f>
        <v/>
      </c>
      <c r="AO40" s="6039"/>
      <c r="AP40" s="1324"/>
      <c r="AQ40" s="1324"/>
      <c r="AR40" s="1070" t="s">
        <v>1997</v>
      </c>
      <c r="AS40" s="1070"/>
      <c r="AT40" s="1070"/>
      <c r="AU40" s="1067"/>
      <c r="AV40" s="1067"/>
    </row>
    <row customHeight="1" ht="14.625" hidden="1">
      <c r="A41" s="1324"/>
      <c r="B41" s="1324"/>
      <c r="C41" s="1324"/>
      <c r="D41" s="1324"/>
      <c r="E41" s="701">
        <v>15</v>
      </c>
      <c r="F41" s="50" cm="1" t="str">
        <f t="array" ref="F41:F41">OFFSET(E41,-1,1)</f>
        <v>0</v>
      </c>
      <c r="G41" s="582" t="s">
        <v>1273</v>
      </c>
      <c r="H41" s="1324"/>
      <c r="I41" s="592" t="s">
        <v>1750</v>
      </c>
      <c r="J41" s="592"/>
      <c r="K41" s="592"/>
      <c r="L41" s="592"/>
      <c r="M41" s="592"/>
      <c r="N41" s="592"/>
      <c r="O41" s="592"/>
      <c r="P41" s="592"/>
      <c r="Q41" s="592"/>
      <c r="R41" s="592"/>
      <c r="S41" s="592"/>
      <c r="T41" s="468" cm="1" t="str">
        <f t="array" ref="T41:T41">T40</f>
        <v>false</v>
      </c>
      <c r="U41" s="1324"/>
      <c r="V41" s="1324"/>
      <c r="W41" s="1324"/>
      <c r="X41" s="1617"/>
      <c r="Y41" s="1324"/>
      <c r="Z41" s="1618"/>
      <c r="AA41" s="1324"/>
      <c r="AB41" s="814" t="s">
        <v>1998</v>
      </c>
      <c r="AC41" s="815" t="s">
        <v>1999</v>
      </c>
      <c r="AD41" s="766" t="s">
        <v>936</v>
      </c>
      <c r="AE41" s="809">
        <f>_xlfn.SUMIFS(Покупка!AE$25:AE$327,Покупка!$F$25:$F$327,$F41,Покупка!$AC$25:$AC$327,$G41)</f>
        <v>0</v>
      </c>
      <c r="AF41" s="809">
        <f>_xlfn.SUMIFS(Покупка!AF$25:AF$327,Покупка!$F$25:$F$327,$F41,Покупка!$AC$25:$AC$327,$G41)</f>
        <v>0</v>
      </c>
      <c r="AG41" s="809">
        <f>_xlfn.SUMIFS(Покупка!AG$25:AG$327,Покупка!$F$25:$F$327,$F41,Покупка!$AC$25:$AC$327,$G41)</f>
        <v>0</v>
      </c>
      <c r="AH41" s="809">
        <f>AG41-AF41</f>
        <v>0</v>
      </c>
      <c r="AI41" s="809">
        <f>_xlfn.SUMIFS(Покупка!AH$25:AH$327,Покупка!$F$25:$F$327,$F41,Покупка!$AC$25:$AC$327,$G41)</f>
        <v>0</v>
      </c>
      <c r="AJ41" s="809">
        <f>_xlfn.SUMIFS(Покупка!AI$25:AI$327,Покупка!$F$25:$F$327,$F41,Покупка!$AC$25:$AC$327,$G41)</f>
        <v>0</v>
      </c>
      <c r="AK41" s="809">
        <f>_xlfn.SUMIFS(Покупка!AS$25:AS$327,Покупка!$F$25:$F$327,$F41,Покупка!$AC$25:$AC$327,$G41)</f>
        <v>0</v>
      </c>
      <c r="AL41" s="809">
        <f>IF(AI41=0,0,(AK41-AI41)/AI41*100)</f>
        <v>0</v>
      </c>
      <c r="AM41" s="6039"/>
      <c r="AN41" s="6040" t="str">
        <f>IF(_xlfn.IFERROR(INDEX(Покупка!$K$26:$L$327,MATCH($F41&amp;"4komm",Покупка!$K$26:$K$327,0),2),"")=0,"",_xlfn.IFERROR(INDEX(Покупка!$K$26:$L$327,MATCH($F41&amp;"4komm",Покупка!$K$26:$K$327,0),2),""))</f>
        <v/>
      </c>
      <c r="AO41" s="6039"/>
      <c r="AP41" s="1324"/>
      <c r="AQ41" s="1324"/>
      <c r="AR41" s="1070" t="s">
        <v>2000</v>
      </c>
      <c r="AS41" s="1070"/>
      <c r="AT41" s="1070"/>
      <c r="AU41" s="1067"/>
      <c r="AV41" s="1067"/>
    </row>
    <row customHeight="1" ht="14.625" hidden="1">
      <c r="A42" s="1324"/>
      <c r="B42" s="1324"/>
      <c r="C42" s="1324"/>
      <c r="D42" s="1324"/>
      <c r="E42" s="701">
        <v>15</v>
      </c>
      <c r="F42" s="50" cm="1" t="str">
        <f t="array" ref="F42:F42">OFFSET(E42,-1,1)</f>
        <v>0</v>
      </c>
      <c r="G42" s="582" t="s">
        <v>1280</v>
      </c>
      <c r="H42" s="1324"/>
      <c r="I42" s="592" t="s">
        <v>1760</v>
      </c>
      <c r="J42" s="592"/>
      <c r="K42" s="592"/>
      <c r="L42" s="592"/>
      <c r="M42" s="592"/>
      <c r="N42" s="592"/>
      <c r="O42" s="592"/>
      <c r="P42" s="592"/>
      <c r="Q42" s="592"/>
      <c r="R42" s="592"/>
      <c r="S42" s="592"/>
      <c r="T42" s="468" cm="1" t="str">
        <f t="array" ref="T42:T42">T41</f>
        <v>false</v>
      </c>
      <c r="U42" s="1324"/>
      <c r="V42" s="1324"/>
      <c r="W42" s="1324"/>
      <c r="X42" s="1617"/>
      <c r="Y42" s="1324"/>
      <c r="Z42" s="1618"/>
      <c r="AA42" s="1324"/>
      <c r="AB42" s="814" t="s">
        <v>2001</v>
      </c>
      <c r="AC42" s="815" t="s">
        <v>2002</v>
      </c>
      <c r="AD42" s="766" t="s">
        <v>936</v>
      </c>
      <c r="AE42" s="809">
        <f>_xlfn.SUMIFS(Покупка!AE$25:AE$327,Покупка!$F$25:$F$327,$F42,Покупка!$AC$25:$AC$327,$G42)</f>
        <v>0</v>
      </c>
      <c r="AF42" s="809">
        <f>_xlfn.SUMIFS(Покупка!AF$25:AF$327,Покупка!$F$25:$F$327,$F42,Покупка!$AC$25:$AC$327,$G42)</f>
        <v>0</v>
      </c>
      <c r="AG42" s="809">
        <f>_xlfn.SUMIFS(Покупка!AG$25:AG$327,Покупка!$F$25:$F$327,$F42,Покупка!$AC$25:$AC$327,$G42)</f>
        <v>0</v>
      </c>
      <c r="AH42" s="809">
        <f>AG42-AF42</f>
        <v>0</v>
      </c>
      <c r="AI42" s="809">
        <f>_xlfn.SUMIFS(Покупка!AH$25:AH$327,Покупка!$F$25:$F$327,$F42,Покупка!$AC$25:$AC$327,$G42)</f>
        <v>0</v>
      </c>
      <c r="AJ42" s="809">
        <f>_xlfn.SUMIFS(Покупка!AI$25:AI$327,Покупка!$F$25:$F$327,$F42,Покупка!$AC$25:$AC$327,$G42)</f>
        <v>0</v>
      </c>
      <c r="AK42" s="809">
        <f>_xlfn.SUMIFS(Покупка!AS$25:AS$327,Покупка!$F$25:$F$327,$F42,Покупка!$AC$25:$AC$327,$G42)</f>
        <v>0</v>
      </c>
      <c r="AL42" s="809">
        <f>IF(AI42=0,0,(AK42-AI42)/AI42*100)</f>
        <v>0</v>
      </c>
      <c r="AM42" s="6039"/>
      <c r="AN42" s="6040" t="str">
        <f>IF(_xlfn.IFERROR(INDEX(Покупка!$K$26:$L$327,MATCH($F42&amp;"5komm",Покупка!$K$26:$K$327,0),2),"")=0,"",_xlfn.IFERROR(INDEX(Покупка!$K$26:$L$327,MATCH($F42&amp;"5komm",Покупка!$K$26:$K$327,0),2),""))</f>
        <v/>
      </c>
      <c r="AO42" s="6039"/>
      <c r="AP42" s="1324"/>
      <c r="AQ42" s="1324"/>
      <c r="AR42" s="1070" t="s">
        <v>2003</v>
      </c>
      <c r="AS42" s="1070"/>
      <c r="AT42" s="1070"/>
      <c r="AU42" s="1067"/>
      <c r="AV42" s="1067"/>
    </row>
    <row s="593" customFormat="1" customHeight="1" ht="43.875" hidden="1">
      <c r="A43" s="593"/>
      <c r="B43" s="593"/>
      <c r="C43" s="593"/>
      <c r="D43" s="593"/>
      <c r="E43" s="703">
        <v>45</v>
      </c>
      <c r="F43" s="50" cm="1" t="str">
        <f t="array" ref="F43:F43">OFFSET(E43,-1,1)</f>
        <v>0</v>
      </c>
      <c r="G43" s="593"/>
      <c r="H43" s="593"/>
      <c r="I43" s="704" t="s">
        <v>573</v>
      </c>
      <c r="J43" s="704"/>
      <c r="K43" s="704"/>
      <c r="L43" s="704"/>
      <c r="M43" s="704"/>
      <c r="N43" s="704"/>
      <c r="O43" s="704"/>
      <c r="P43" s="704"/>
      <c r="Q43" s="704"/>
      <c r="R43" s="704"/>
      <c r="S43" s="704"/>
      <c r="T43" s="468" cm="1" t="str">
        <f t="array" ref="T43:T43">T42</f>
        <v>false</v>
      </c>
      <c r="U43" s="593"/>
      <c r="V43" s="593"/>
      <c r="W43" s="593"/>
      <c r="X43" s="1617"/>
      <c r="Y43" s="593"/>
      <c r="Z43" s="1618"/>
      <c r="AA43" s="593"/>
      <c r="AB43" s="811" t="s">
        <v>1073</v>
      </c>
      <c r="AC43" s="812" t="s">
        <v>2004</v>
      </c>
      <c r="AD43" s="595" t="s">
        <v>936</v>
      </c>
      <c r="AE43" s="6054"/>
      <c r="AF43" s="6054"/>
      <c r="AG43" s="6054"/>
      <c r="AH43" s="808">
        <f>AG43-AF43</f>
        <v>0</v>
      </c>
      <c r="AI43" s="6054"/>
      <c r="AJ43" s="6054"/>
      <c r="AK43" s="6054"/>
      <c r="AL43" s="808">
        <f>IF(AI43=0,0,(AK43-AI43)/AI43*100)</f>
        <v>0</v>
      </c>
      <c r="AM43" s="6047"/>
      <c r="AN43" s="6047"/>
      <c r="AO43" s="6047"/>
      <c r="AP43" s="593"/>
      <c r="AQ43" s="593"/>
      <c r="AR43" s="1071" t="s">
        <v>2005</v>
      </c>
      <c r="AS43" s="1071"/>
      <c r="AT43" s="1071"/>
      <c r="AU43" s="703"/>
      <c r="AV43" s="703"/>
    </row>
    <row s="593" customFormat="1" customHeight="1" ht="43.875" hidden="1">
      <c r="A44" s="593"/>
      <c r="B44" s="593"/>
      <c r="C44" s="593"/>
      <c r="D44" s="593"/>
      <c r="E44" s="703">
        <v>45</v>
      </c>
      <c r="F44" s="50" cm="1" t="str">
        <f t="array" ref="F44:F44">OFFSET(E44,-1,1)</f>
        <v>0</v>
      </c>
      <c r="G44" s="593"/>
      <c r="H44" s="593"/>
      <c r="I44" s="704" t="s">
        <v>577</v>
      </c>
      <c r="J44" s="704"/>
      <c r="K44" s="704"/>
      <c r="L44" s="704"/>
      <c r="M44" s="704"/>
      <c r="N44" s="704"/>
      <c r="O44" s="704"/>
      <c r="P44" s="704"/>
      <c r="Q44" s="704"/>
      <c r="R44" s="704"/>
      <c r="S44" s="704"/>
      <c r="T44" s="468" cm="1" t="str">
        <f t="array" ref="T44:T44">T43</f>
        <v>false</v>
      </c>
      <c r="U44" s="593"/>
      <c r="V44" s="593"/>
      <c r="W44" s="593"/>
      <c r="X44" s="1617"/>
      <c r="Y44" s="593"/>
      <c r="Z44" s="1618"/>
      <c r="AA44" s="593"/>
      <c r="AB44" s="811" t="s">
        <v>1076</v>
      </c>
      <c r="AC44" s="812" t="s">
        <v>2006</v>
      </c>
      <c r="AD44" s="595" t="s">
        <v>936</v>
      </c>
      <c r="AE44" s="808">
        <f>AE45+AE46</f>
        <v>0</v>
      </c>
      <c r="AF44" s="808">
        <f>AF45+AF46</f>
        <v>0</v>
      </c>
      <c r="AG44" s="808">
        <f>AG45+AG46</f>
        <v>0</v>
      </c>
      <c r="AH44" s="808">
        <f>AG44-AF44</f>
        <v>0</v>
      </c>
      <c r="AI44" s="808">
        <f>AI45+AI46</f>
        <v>0</v>
      </c>
      <c r="AJ44" s="808">
        <f>AJ45+AJ46</f>
        <v>0</v>
      </c>
      <c r="AK44" s="808">
        <f>AK45+AK46</f>
        <v>0</v>
      </c>
      <c r="AL44" s="808">
        <f>IF(AI44=0,0,(AK44-AI44)/AI44*100)</f>
        <v>0</v>
      </c>
      <c r="AM44" s="6047"/>
      <c r="AN44" s="6047"/>
      <c r="AO44" s="6047"/>
      <c r="AP44" s="593"/>
      <c r="AQ44" s="593"/>
      <c r="AR44" s="1071" t="s">
        <v>2007</v>
      </c>
      <c r="AS44" s="1071"/>
      <c r="AT44" s="1071"/>
      <c r="AU44" s="703"/>
      <c r="AV44" s="703"/>
    </row>
    <row customHeight="1" ht="14.625" hidden="1">
      <c r="A45" s="1324"/>
      <c r="B45" s="1324"/>
      <c r="C45" s="1324"/>
      <c r="D45" s="1324"/>
      <c r="E45" s="701">
        <v>15</v>
      </c>
      <c r="F45" s="50" cm="1" t="str">
        <f t="array" ref="F45:F45">OFFSET(E45,-1,1)</f>
        <v>0</v>
      </c>
      <c r="G45" s="705" t="s">
        <v>1350</v>
      </c>
      <c r="H45" s="1324"/>
      <c r="I45" s="592" t="s">
        <v>1577</v>
      </c>
      <c r="J45" s="592"/>
      <c r="K45" s="592"/>
      <c r="L45" s="592"/>
      <c r="M45" s="592"/>
      <c r="N45" s="592"/>
      <c r="O45" s="592"/>
      <c r="P45" s="704"/>
      <c r="Q45" s="592"/>
      <c r="R45" s="592"/>
      <c r="S45" s="592"/>
      <c r="T45" s="468" cm="1" t="str">
        <f t="array" ref="T45:T45">T44</f>
        <v>false</v>
      </c>
      <c r="U45" s="1324"/>
      <c r="V45" s="1324"/>
      <c r="W45" s="1324"/>
      <c r="X45" s="1617"/>
      <c r="Y45" s="1324"/>
      <c r="Z45" s="1618"/>
      <c r="AA45" s="1324"/>
      <c r="AB45" s="814" t="s">
        <v>1214</v>
      </c>
      <c r="AC45" s="815" t="s">
        <v>2008</v>
      </c>
      <c r="AD45" s="766" t="s">
        <v>936</v>
      </c>
      <c r="AE45" s="809">
        <f>_xlfn.SUMIFS(ФОТ!AE$25:AE$127,ФОТ!$F$25:$F$127,$F45,ФОТ!$G$25:$G$127,$G45)</f>
        <v>0</v>
      </c>
      <c r="AF45" s="809">
        <f>_xlfn.SUMIFS(ФОТ!AF$25:AF$127,ФОТ!$F$25:$F$127,$F45,ФОТ!$G$25:$G$127,$G45)</f>
        <v>0</v>
      </c>
      <c r="AG45" s="809">
        <f>_xlfn.SUMIFS(ФОТ!AG$25:AG$127,ФОТ!$F$25:$F$127,$F45,ФОТ!$G$25:$G$127,$G45)</f>
        <v>0</v>
      </c>
      <c r="AH45" s="809">
        <f>AG45-AF45</f>
        <v>0</v>
      </c>
      <c r="AI45" s="809">
        <f>_xlfn.SUMIFS(ФОТ!AH$25:AH$127,ФОТ!$F$25:$F$127,$F45,ФОТ!$G$25:$G$127,$G45)</f>
        <v>0</v>
      </c>
      <c r="AJ45" s="809">
        <f>_xlfn.SUMIFS(ФОТ!AI$25:AI$127,ФОТ!$F$25:$F$127,$F45,ФОТ!$G$25:$G$127,$G45)</f>
        <v>0</v>
      </c>
      <c r="AK45" s="809">
        <f>_xlfn.SUMIFS(ФОТ!AJ$25:AJ$127,ФОТ!$F$25:$F$127,$F45,ФОТ!$G$25:$G$127,$G45)</f>
        <v>0</v>
      </c>
      <c r="AL45" s="809">
        <f>IF(AI45=0,0,(AK45-AI45)/AI45*100)</f>
        <v>0</v>
      </c>
      <c r="AM45" s="6039"/>
      <c r="AN45" s="6040" t="str">
        <f>IF(_xlfn.IFERROR(INDEX(ФОТ!$K$26:$L$127,MATCH($F45&amp;"1komm",ФОТ!$K$26:$K$127,0),2),"")=0,"",_xlfn.IFERROR(INDEX(ФОТ!$K$26:$L$127,MATCH($F45&amp;"1komm",ФОТ!$K$26:$K$127,0),2),""))</f>
        <v/>
      </c>
      <c r="AO45" s="6039"/>
      <c r="AP45" s="1324"/>
      <c r="AQ45" s="1324"/>
      <c r="AR45" s="1070" t="s">
        <v>2009</v>
      </c>
      <c r="AS45" s="1070"/>
      <c r="AT45" s="1070"/>
      <c r="AU45" s="1067"/>
      <c r="AV45" s="1067"/>
    </row>
    <row customHeight="1" ht="21.9375" hidden="1">
      <c r="A46" s="1324"/>
      <c r="B46" s="1324"/>
      <c r="C46" s="1324"/>
      <c r="D46" s="1324"/>
      <c r="E46" s="701">
        <v>22.5</v>
      </c>
      <c r="F46" s="50" cm="1" t="str">
        <f t="array" ref="F46:F46">OFFSET(E46,-1,1)</f>
        <v>0</v>
      </c>
      <c r="G46" s="705" t="s">
        <v>1362</v>
      </c>
      <c r="H46" s="1324"/>
      <c r="I46" s="592" t="s">
        <v>1578</v>
      </c>
      <c r="J46" s="592"/>
      <c r="K46" s="592"/>
      <c r="L46" s="592"/>
      <c r="M46" s="592"/>
      <c r="N46" s="592"/>
      <c r="O46" s="592"/>
      <c r="P46" s="704"/>
      <c r="Q46" s="592"/>
      <c r="R46" s="592"/>
      <c r="S46" s="592"/>
      <c r="T46" s="468" cm="1" t="str">
        <f t="array" ref="T46:T46">T45</f>
        <v>false</v>
      </c>
      <c r="U46" s="1324"/>
      <c r="V46" s="1324"/>
      <c r="W46" s="1324"/>
      <c r="X46" s="1617"/>
      <c r="Y46" s="1324"/>
      <c r="Z46" s="1618"/>
      <c r="AA46" s="1324"/>
      <c r="AB46" s="814" t="s">
        <v>1217</v>
      </c>
      <c r="AC46" s="815" t="s">
        <v>2010</v>
      </c>
      <c r="AD46" s="766" t="s">
        <v>936</v>
      </c>
      <c r="AE46" s="809">
        <f>_xlfn.SUMIFS(ФОТ!AE$25:AE$127,ФОТ!$F$25:$F$127,$F46,ФОТ!$G$25:$G$127,$G46)</f>
        <v>0</v>
      </c>
      <c r="AF46" s="809">
        <f>_xlfn.SUMIFS(ФОТ!AF$25:AF$127,ФОТ!$F$25:$F$127,$F46,ФОТ!$G$25:$G$127,$G46)</f>
        <v>0</v>
      </c>
      <c r="AG46" s="809">
        <f>_xlfn.SUMIFS(ФОТ!AG$25:AG$127,ФОТ!$F$25:$F$127,$F46,ФОТ!$G$25:$G$127,$G46)</f>
        <v>0</v>
      </c>
      <c r="AH46" s="809">
        <f>AG46-AF46</f>
        <v>0</v>
      </c>
      <c r="AI46" s="809">
        <f>_xlfn.SUMIFS(ФОТ!AH$25:AH$127,ФОТ!$F$25:$F$127,$F46,ФОТ!$G$25:$G$127,$G46)</f>
        <v>0</v>
      </c>
      <c r="AJ46" s="809">
        <f>_xlfn.SUMIFS(ФОТ!AI$25:AI$127,ФОТ!$F$25:$F$127,$F46,ФОТ!$G$25:$G$127,$G46)</f>
        <v>0</v>
      </c>
      <c r="AK46" s="809">
        <f>_xlfn.SUMIFS(ФОТ!AJ$25:AJ$127,ФОТ!$F$25:$F$127,$F46,ФОТ!$G$25:$G$127,$G46)</f>
        <v>0</v>
      </c>
      <c r="AL46" s="809">
        <f>IF(AI46=0,0,(AK46-AI46)/AI46*100)</f>
        <v>0</v>
      </c>
      <c r="AM46" s="6039"/>
      <c r="AN46" s="6040" t="str">
        <f>IF(_xlfn.IFERROR(INDEX(ФОТ!$K$26:$L$127,MATCH($F46&amp;"2komm",ФОТ!$K$26:$K$127,0),2),"")=0,"",_xlfn.IFERROR(INDEX(ФОТ!$K$26:$L$127,MATCH($F46&amp;"2komm",ФОТ!$K$26:$K$127,0),2),""))</f>
        <v/>
      </c>
      <c r="AO46" s="6039"/>
      <c r="AP46" s="1324"/>
      <c r="AQ46" s="1324"/>
      <c r="AR46" s="1070" t="s">
        <v>2011</v>
      </c>
      <c r="AS46" s="1070"/>
      <c r="AT46" s="1070"/>
      <c r="AU46" s="1067"/>
      <c r="AV46" s="1067"/>
    </row>
    <row s="593" customFormat="1" customHeight="1" ht="14.625" hidden="1">
      <c r="A47" s="593"/>
      <c r="B47" s="593"/>
      <c r="C47" s="593"/>
      <c r="D47" s="593"/>
      <c r="E47" s="703">
        <v>15</v>
      </c>
      <c r="F47" s="50" cm="1" t="str">
        <f t="array" ref="F47:F47">OFFSET(E47,-1,1)</f>
        <v>0</v>
      </c>
      <c r="G47" s="593"/>
      <c r="H47" s="593"/>
      <c r="I47" s="704" t="s">
        <v>1079</v>
      </c>
      <c r="J47" s="704"/>
      <c r="K47" s="704"/>
      <c r="L47" s="704"/>
      <c r="M47" s="704"/>
      <c r="N47" s="704"/>
      <c r="O47" s="704"/>
      <c r="P47" s="704"/>
      <c r="Q47" s="704"/>
      <c r="R47" s="704"/>
      <c r="S47" s="704"/>
      <c r="T47" s="468" cm="1" t="str">
        <f t="array" ref="T47:T47">T46</f>
        <v>false</v>
      </c>
      <c r="U47" s="593"/>
      <c r="V47" s="593"/>
      <c r="W47" s="593"/>
      <c r="X47" s="1617"/>
      <c r="Y47" s="593"/>
      <c r="Z47" s="1618"/>
      <c r="AA47" s="593"/>
      <c r="AB47" s="811" t="s">
        <v>1080</v>
      </c>
      <c r="AC47" s="812" t="s">
        <v>2012</v>
      </c>
      <c r="AD47" s="595" t="s">
        <v>936</v>
      </c>
      <c r="AE47" s="6054"/>
      <c r="AF47" s="6054"/>
      <c r="AG47" s="6054"/>
      <c r="AH47" s="808">
        <f>AG47-AF47</f>
        <v>0</v>
      </c>
      <c r="AI47" s="6054"/>
      <c r="AJ47" s="6054"/>
      <c r="AK47" s="6054"/>
      <c r="AL47" s="808">
        <f>IF(AI47=0,0,(AK47-AI47)/AI47*100)</f>
        <v>0</v>
      </c>
      <c r="AM47" s="6047"/>
      <c r="AN47" s="6047"/>
      <c r="AO47" s="6047"/>
      <c r="AP47" s="593"/>
      <c r="AQ47" s="593"/>
      <c r="AR47" s="1071" t="s">
        <v>1556</v>
      </c>
      <c r="AS47" s="1071"/>
      <c r="AT47" s="1071"/>
      <c r="AU47" s="703"/>
      <c r="AV47" s="703"/>
    </row>
    <row s="593" customFormat="1" customHeight="1" ht="14.625" hidden="1">
      <c r="A48" s="593"/>
      <c r="B48" s="593"/>
      <c r="C48" s="593"/>
      <c r="D48" s="593"/>
      <c r="E48" s="703">
        <v>15</v>
      </c>
      <c r="F48" s="50" cm="1" t="str">
        <f t="array" ref="F48:F48">OFFSET(E48,-1,1)</f>
        <v>0</v>
      </c>
      <c r="G48" s="593"/>
      <c r="H48" s="593"/>
      <c r="I48" s="704" t="s">
        <v>2013</v>
      </c>
      <c r="J48" s="704"/>
      <c r="K48" s="704"/>
      <c r="L48" s="704"/>
      <c r="M48" s="704"/>
      <c r="N48" s="704"/>
      <c r="O48" s="704"/>
      <c r="P48" s="704"/>
      <c r="Q48" s="704"/>
      <c r="R48" s="704"/>
      <c r="S48" s="704"/>
      <c r="T48" s="468" cm="1" t="str">
        <f t="array" ref="T48:T48">T47</f>
        <v>false</v>
      </c>
      <c r="U48" s="593"/>
      <c r="V48" s="593"/>
      <c r="W48" s="593"/>
      <c r="X48" s="1617"/>
      <c r="Y48" s="593"/>
      <c r="Z48" s="1618"/>
      <c r="AA48" s="593"/>
      <c r="AB48" s="811" t="s">
        <v>2014</v>
      </c>
      <c r="AC48" s="812" t="s">
        <v>2015</v>
      </c>
      <c r="AD48" s="595" t="s">
        <v>936</v>
      </c>
      <c r="AE48" s="6054"/>
      <c r="AF48" s="6054"/>
      <c r="AG48" s="6054"/>
      <c r="AH48" s="808">
        <f>AG48-AF48</f>
        <v>0</v>
      </c>
      <c r="AI48" s="6054"/>
      <c r="AJ48" s="6054"/>
      <c r="AK48" s="6054"/>
      <c r="AL48" s="808">
        <f>IF(AI48=0,0,(AK48-AI48)/AI48*100)</f>
        <v>0</v>
      </c>
      <c r="AM48" s="6047"/>
      <c r="AN48" s="6047"/>
      <c r="AO48" s="6047"/>
      <c r="AP48" s="593"/>
      <c r="AQ48" s="593"/>
      <c r="AR48" s="1071" t="s">
        <v>2016</v>
      </c>
      <c r="AS48" s="1071"/>
      <c r="AT48" s="1071"/>
      <c r="AU48" s="703"/>
      <c r="AV48" s="703"/>
    </row>
    <row s="593" customFormat="1" customHeight="1" ht="14.625" hidden="1">
      <c r="A49" s="593"/>
      <c r="B49" s="593"/>
      <c r="C49" s="593"/>
      <c r="D49" s="593"/>
      <c r="E49" s="703">
        <v>15</v>
      </c>
      <c r="F49" s="50" cm="1" t="str">
        <f t="array" ref="F49:F49">OFFSET(E49,-1,1)</f>
        <v>0</v>
      </c>
      <c r="G49" s="593"/>
      <c r="H49" s="593"/>
      <c r="I49" s="704" t="s">
        <v>2017</v>
      </c>
      <c r="J49" s="704"/>
      <c r="K49" s="704"/>
      <c r="L49" s="704"/>
      <c r="M49" s="704"/>
      <c r="N49" s="704"/>
      <c r="O49" s="704"/>
      <c r="P49" s="704"/>
      <c r="Q49" s="704"/>
      <c r="R49" s="704"/>
      <c r="S49" s="704"/>
      <c r="T49" s="468" cm="1" t="str">
        <f t="array" ref="T49:T49">T48</f>
        <v>false</v>
      </c>
      <c r="U49" s="593"/>
      <c r="V49" s="593"/>
      <c r="W49" s="593"/>
      <c r="X49" s="1617"/>
      <c r="Y49" s="593"/>
      <c r="Z49" s="1618"/>
      <c r="AA49" s="593"/>
      <c r="AB49" s="811" t="s">
        <v>2018</v>
      </c>
      <c r="AC49" s="812" t="s">
        <v>2019</v>
      </c>
      <c r="AD49" s="595" t="s">
        <v>936</v>
      </c>
      <c r="AE49" s="808">
        <f>SUM(AE50:AE55)</f>
        <v>0</v>
      </c>
      <c r="AF49" s="808">
        <f>SUM(AF50:AF55)</f>
        <v>0</v>
      </c>
      <c r="AG49" s="808">
        <f>SUM(AG50:AG55)</f>
        <v>0</v>
      </c>
      <c r="AH49" s="808">
        <f>AG49-AF49</f>
        <v>0</v>
      </c>
      <c r="AI49" s="808">
        <f>SUM(AI50:AI55)</f>
        <v>0</v>
      </c>
      <c r="AJ49" s="808">
        <f>SUM(AJ50:AJ55)</f>
        <v>0</v>
      </c>
      <c r="AK49" s="808">
        <f>SUM(AK50:AK55)</f>
        <v>0</v>
      </c>
      <c r="AL49" s="808">
        <f>IF(AI49=0,0,(AK49-AI49)/AI49*100)</f>
        <v>0</v>
      </c>
      <c r="AM49" s="6047"/>
      <c r="AN49" s="6047"/>
      <c r="AO49" s="6047"/>
      <c r="AP49" s="593"/>
      <c r="AQ49" s="593"/>
      <c r="AR49" s="1071" t="s">
        <v>2020</v>
      </c>
      <c r="AS49" s="1071"/>
      <c r="AT49" s="1071"/>
      <c r="AU49" s="703"/>
      <c r="AV49" s="703"/>
    </row>
    <row customHeight="1" ht="14.625" hidden="1">
      <c r="A50" s="1324"/>
      <c r="B50" s="1324"/>
      <c r="C50" s="1324"/>
      <c r="D50" s="1324"/>
      <c r="E50" s="701">
        <v>15</v>
      </c>
      <c r="F50" s="50" cm="1" t="str">
        <f t="array" ref="F50:F50">OFFSET(E50,-1,1)</f>
        <v>0</v>
      </c>
      <c r="G50" s="1324"/>
      <c r="H50" s="1324"/>
      <c r="I50" s="592" t="s">
        <v>2017</v>
      </c>
      <c r="J50" s="994" t="s">
        <v>2021</v>
      </c>
      <c r="K50" s="1324"/>
      <c r="L50" s="592"/>
      <c r="M50" s="592"/>
      <c r="N50" s="592"/>
      <c r="O50" s="592"/>
      <c r="P50" s="592"/>
      <c r="Q50" s="592"/>
      <c r="R50" s="592"/>
      <c r="S50" s="592"/>
      <c r="T50" s="468" cm="1" t="str">
        <f t="array" ref="T50:T50">T49</f>
        <v>false</v>
      </c>
      <c r="U50" s="1324"/>
      <c r="V50" s="1324"/>
      <c r="W50" s="1324"/>
      <c r="X50" s="1617"/>
      <c r="Y50" s="1324"/>
      <c r="Z50" s="1618"/>
      <c r="AA50" s="1324"/>
      <c r="AB50" s="814" t="s">
        <v>2022</v>
      </c>
      <c r="AC50" s="815" t="s">
        <v>2023</v>
      </c>
      <c r="AD50" s="766" t="s">
        <v>936</v>
      </c>
      <c r="AE50" s="6057"/>
      <c r="AF50" s="6057"/>
      <c r="AG50" s="6057"/>
      <c r="AH50" s="809">
        <f>AG50-AF50</f>
        <v>0</v>
      </c>
      <c r="AI50" s="6057"/>
      <c r="AJ50" s="6057"/>
      <c r="AK50" s="6057"/>
      <c r="AL50" s="809">
        <f>IF(AI50=0,0,(AK50-AI50)/AI50*100)</f>
        <v>0</v>
      </c>
      <c r="AM50" s="6039"/>
      <c r="AN50" s="6039"/>
      <c r="AO50" s="6039"/>
      <c r="AP50" s="1324"/>
      <c r="AQ50" s="1324"/>
      <c r="AR50" s="1070" t="s">
        <v>2024</v>
      </c>
      <c r="AS50" s="1070"/>
      <c r="AT50" s="1070"/>
      <c r="AU50" s="1067"/>
      <c r="AV50" s="1067"/>
    </row>
    <row customHeight="1" ht="14.625" hidden="1">
      <c r="A51" s="1324"/>
      <c r="B51" s="1324"/>
      <c r="C51" s="1324"/>
      <c r="D51" s="1324"/>
      <c r="E51" s="701">
        <v>15</v>
      </c>
      <c r="F51" s="50" cm="1" t="str">
        <f t="array" ref="F51:F51">OFFSET(E51,-1,1)</f>
        <v>0</v>
      </c>
      <c r="G51" s="1324"/>
      <c r="H51" s="1324"/>
      <c r="I51" s="592" t="s">
        <v>2017</v>
      </c>
      <c r="J51" s="994" t="s">
        <v>2025</v>
      </c>
      <c r="K51" s="1324"/>
      <c r="L51" s="592"/>
      <c r="M51" s="592"/>
      <c r="N51" s="592"/>
      <c r="O51" s="592"/>
      <c r="P51" s="592"/>
      <c r="Q51" s="592"/>
      <c r="R51" s="592"/>
      <c r="S51" s="592"/>
      <c r="T51" s="468" cm="1" t="str">
        <f t="array" ref="T51:T51">T50</f>
        <v>false</v>
      </c>
      <c r="U51" s="1324"/>
      <c r="V51" s="1324"/>
      <c r="W51" s="1324"/>
      <c r="X51" s="1617"/>
      <c r="Y51" s="1324"/>
      <c r="Z51" s="1618"/>
      <c r="AA51" s="1324"/>
      <c r="AB51" s="814" t="s">
        <v>2026</v>
      </c>
      <c r="AC51" s="815" t="s">
        <v>2027</v>
      </c>
      <c r="AD51" s="766" t="s">
        <v>936</v>
      </c>
      <c r="AE51" s="6057"/>
      <c r="AF51" s="6057"/>
      <c r="AG51" s="6057"/>
      <c r="AH51" s="809">
        <f>AG51-AF51</f>
        <v>0</v>
      </c>
      <c r="AI51" s="6057"/>
      <c r="AJ51" s="6057"/>
      <c r="AK51" s="6057"/>
      <c r="AL51" s="809">
        <f>IF(AI51=0,0,(AK51-AI51)/AI51*100)</f>
        <v>0</v>
      </c>
      <c r="AM51" s="6039"/>
      <c r="AN51" s="6039"/>
      <c r="AO51" s="6039"/>
      <c r="AP51" s="1324"/>
      <c r="AQ51" s="1324"/>
      <c r="AR51" s="1070" t="s">
        <v>2028</v>
      </c>
      <c r="AS51" s="1070"/>
      <c r="AT51" s="1070"/>
      <c r="AU51" s="1067"/>
      <c r="AV51" s="1067"/>
    </row>
    <row customHeight="1" ht="14.625" hidden="1">
      <c r="A52" s="1324"/>
      <c r="B52" s="1324"/>
      <c r="C52" s="1324"/>
      <c r="D52" s="1324"/>
      <c r="E52" s="701">
        <v>15</v>
      </c>
      <c r="F52" s="50" cm="1" t="str">
        <f t="array" ref="F52:F52">OFFSET(E52,-1,1)</f>
        <v>0</v>
      </c>
      <c r="G52" s="1324"/>
      <c r="H52" s="1324"/>
      <c r="I52" s="592" t="s">
        <v>2017</v>
      </c>
      <c r="J52" s="994" t="s">
        <v>2029</v>
      </c>
      <c r="K52" s="1324"/>
      <c r="L52" s="592"/>
      <c r="M52" s="592"/>
      <c r="N52" s="592"/>
      <c r="O52" s="592"/>
      <c r="P52" s="592"/>
      <c r="Q52" s="592"/>
      <c r="R52" s="592"/>
      <c r="S52" s="592"/>
      <c r="T52" s="468" cm="1" t="str">
        <f t="array" ref="T52:T52">T51</f>
        <v>false</v>
      </c>
      <c r="U52" s="1324"/>
      <c r="V52" s="1324"/>
      <c r="W52" s="1324"/>
      <c r="X52" s="1617"/>
      <c r="Y52" s="1324"/>
      <c r="Z52" s="1618"/>
      <c r="AA52" s="1324"/>
      <c r="AB52" s="814" t="s">
        <v>2030</v>
      </c>
      <c r="AC52" s="815" t="s">
        <v>2031</v>
      </c>
      <c r="AD52" s="766" t="s">
        <v>936</v>
      </c>
      <c r="AE52" s="6057"/>
      <c r="AF52" s="6057"/>
      <c r="AG52" s="6057"/>
      <c r="AH52" s="809">
        <f>AG52-AF52</f>
        <v>0</v>
      </c>
      <c r="AI52" s="6057"/>
      <c r="AJ52" s="6057"/>
      <c r="AK52" s="6057"/>
      <c r="AL52" s="809">
        <f>IF(AI52=0,0,(AK52-AI52)/AI52*100)</f>
        <v>0</v>
      </c>
      <c r="AM52" s="6039"/>
      <c r="AN52" s="6039"/>
      <c r="AO52" s="6039"/>
      <c r="AP52" s="1324"/>
      <c r="AQ52" s="1324"/>
      <c r="AR52" s="1070" t="s">
        <v>2032</v>
      </c>
      <c r="AS52" s="1070"/>
      <c r="AT52" s="1070"/>
      <c r="AU52" s="1067"/>
      <c r="AV52" s="1067"/>
    </row>
    <row customHeight="1" ht="14.625" hidden="1">
      <c r="A53" s="1324"/>
      <c r="B53" s="1324"/>
      <c r="C53" s="1324"/>
      <c r="D53" s="1324"/>
      <c r="E53" s="701">
        <v>15</v>
      </c>
      <c r="F53" s="50" cm="1" t="str">
        <f t="array" ref="F53:F53">OFFSET(E53,-1,1)</f>
        <v>0</v>
      </c>
      <c r="G53" s="1324"/>
      <c r="H53" s="1324"/>
      <c r="I53" s="592" t="s">
        <v>2017</v>
      </c>
      <c r="J53" s="994" t="s">
        <v>2033</v>
      </c>
      <c r="K53" s="1324"/>
      <c r="L53" s="592"/>
      <c r="M53" s="592"/>
      <c r="N53" s="592"/>
      <c r="O53" s="592"/>
      <c r="P53" s="592"/>
      <c r="Q53" s="592"/>
      <c r="R53" s="592"/>
      <c r="S53" s="592"/>
      <c r="T53" s="468" cm="1" t="str">
        <f t="array" ref="T53:T53">T52</f>
        <v>false</v>
      </c>
      <c r="U53" s="1324"/>
      <c r="V53" s="1324"/>
      <c r="W53" s="1324"/>
      <c r="X53" s="1617"/>
      <c r="Y53" s="1324"/>
      <c r="Z53" s="1618"/>
      <c r="AA53" s="1324"/>
      <c r="AB53" s="814" t="s">
        <v>2034</v>
      </c>
      <c r="AC53" s="815" t="s">
        <v>2035</v>
      </c>
      <c r="AD53" s="766" t="s">
        <v>936</v>
      </c>
      <c r="AE53" s="6057"/>
      <c r="AF53" s="6057"/>
      <c r="AG53" s="6057"/>
      <c r="AH53" s="809">
        <f>AG53-AF53</f>
        <v>0</v>
      </c>
      <c r="AI53" s="6057"/>
      <c r="AJ53" s="6057"/>
      <c r="AK53" s="6057"/>
      <c r="AL53" s="809">
        <f>IF(AI53=0,0,(AK53-AI53)/AI53*100)</f>
        <v>0</v>
      </c>
      <c r="AM53" s="6039"/>
      <c r="AN53" s="6039"/>
      <c r="AO53" s="6039"/>
      <c r="AP53" s="1324"/>
      <c r="AQ53" s="1324"/>
      <c r="AR53" s="1070" t="s">
        <v>2036</v>
      </c>
      <c r="AS53" s="1070"/>
      <c r="AT53" s="1070"/>
      <c r="AU53" s="1067"/>
      <c r="AV53" s="1067"/>
    </row>
    <row customHeight="1" ht="14.625" hidden="1">
      <c r="A54" s="1324"/>
      <c r="B54" s="1324"/>
      <c r="C54" s="1324"/>
      <c r="D54" s="1324"/>
      <c r="E54" s="701">
        <v>15</v>
      </c>
      <c r="F54" s="50" cm="1" t="str">
        <f t="array" ref="F54:F54">OFFSET(E54,-1,1)</f>
        <v>0</v>
      </c>
      <c r="G54" s="1324"/>
      <c r="H54" s="1324"/>
      <c r="I54" s="592" t="s">
        <v>2017</v>
      </c>
      <c r="J54" s="582" cm="1" t="str">
        <f t="array" ref="J54:J54">AC54</f>
        <v>0</v>
      </c>
      <c r="K54" s="1324"/>
      <c r="L54" s="592"/>
      <c r="M54" s="592"/>
      <c r="N54" s="592"/>
      <c r="O54" s="592"/>
      <c r="P54" s="592"/>
      <c r="Q54" s="592"/>
      <c r="R54" s="592"/>
      <c r="S54" s="592"/>
      <c r="T54" s="468">
        <f>AND(F54&gt;0,Y54&gt;4)</f>
        <v>0</v>
      </c>
      <c r="U54" s="1324"/>
      <c r="V54" s="1324"/>
      <c r="W54" s="764" t="s">
        <v>173</v>
      </c>
      <c r="X54" s="1617"/>
      <c r="Y54" s="582">
        <v>4</v>
      </c>
      <c r="Z54" s="1618"/>
      <c r="AA54" s="1247" t="s">
        <v>174</v>
      </c>
      <c r="AB54" s="707" t="str">
        <f>"1.7."&amp;Y54</f>
        <v>1.7.4</v>
      </c>
      <c r="AC54" s="6060"/>
      <c r="AD54" s="766" t="s">
        <v>936</v>
      </c>
      <c r="AE54" s="6057"/>
      <c r="AF54" s="6057"/>
      <c r="AG54" s="6057"/>
      <c r="AH54" s="809">
        <f>AG54-AF54</f>
        <v>0</v>
      </c>
      <c r="AI54" s="6057"/>
      <c r="AJ54" s="6061"/>
      <c r="AK54" s="6061"/>
      <c r="AL54" s="809">
        <f>IF(AI54=0,0,(AK54-AI54)/AI54*100)</f>
        <v>0</v>
      </c>
      <c r="AM54" s="6062"/>
      <c r="AN54" s="6062"/>
      <c r="AO54" s="6062"/>
      <c r="AP54" s="1324"/>
      <c r="AQ54" s="1324"/>
      <c r="AR54" s="1070" t="s">
        <v>2037</v>
      </c>
      <c r="AS54" s="1070" t="s">
        <v>1323</v>
      </c>
      <c r="AT54" s="1068" cm="1" t="str">
        <f t="array" ref="AT54:AT54">AC54</f>
        <v>0</v>
      </c>
      <c r="AU54" s="1067"/>
      <c r="AV54" s="701" t="b">
        <v>1</v>
      </c>
    </row>
    <row customHeight="1" ht="14.625" hidden="1">
      <c r="A55" s="1324"/>
      <c r="B55" s="1324"/>
      <c r="C55" s="1324"/>
      <c r="D55" s="1324"/>
      <c r="E55" s="701">
        <v>15</v>
      </c>
      <c r="F55" s="50" cm="1" t="str">
        <f t="array" ref="F55:F55">OFFSET(E55,-1,1)</f>
        <v>0</v>
      </c>
      <c r="G55" s="1324"/>
      <c r="H55" s="1324"/>
      <c r="I55" s="702"/>
      <c r="J55" s="702" t="s">
        <v>2038</v>
      </c>
      <c r="K55" s="702"/>
      <c r="L55" s="702"/>
      <c r="M55" s="702"/>
      <c r="N55" s="702"/>
      <c r="O55" s="702"/>
      <c r="P55" s="702"/>
      <c r="Q55" s="702"/>
      <c r="R55" s="702"/>
      <c r="S55" s="702"/>
      <c r="T55" s="468">
        <f>F55&gt;0</f>
        <v>0</v>
      </c>
      <c r="U55" s="1324"/>
      <c r="V55" s="1324"/>
      <c r="W55" s="836" t="s">
        <v>410</v>
      </c>
      <c r="X55" s="1617"/>
      <c r="Y55" s="1324"/>
      <c r="Z55" s="1618"/>
      <c r="AA55" s="1324"/>
      <c r="AB55" s="1248"/>
      <c r="AC55" s="1249" t="s">
        <v>177</v>
      </c>
      <c r="AD55" s="1250"/>
      <c r="AE55" s="1250"/>
      <c r="AF55" s="1250"/>
      <c r="AG55" s="1250"/>
      <c r="AH55" s="1250"/>
      <c r="AI55" s="1250"/>
      <c r="AJ55" s="1250"/>
      <c r="AK55" s="1250"/>
      <c r="AL55" s="1250"/>
      <c r="AM55" s="1250"/>
      <c r="AN55" s="1250"/>
      <c r="AO55" s="1251"/>
      <c r="AP55" s="1324"/>
      <c r="AQ55" s="1324"/>
      <c r="AR55" s="1070"/>
      <c r="AS55" s="1070"/>
      <c r="AT55" s="1070"/>
      <c r="AU55" s="1067" t="s">
        <v>1323</v>
      </c>
      <c r="AV55" s="1067"/>
    </row>
    <row s="593" customFormat="1" customHeight="1" ht="14.625" hidden="1">
      <c r="A56" s="593"/>
      <c r="B56" s="593"/>
      <c r="C56" s="593"/>
      <c r="D56" s="593"/>
      <c r="E56" s="703">
        <v>15</v>
      </c>
      <c r="F56" s="50" cm="1" t="str">
        <f t="array" ref="F56:F56">OFFSET(E56,-1,1)</f>
        <v>0</v>
      </c>
      <c r="G56" s="593"/>
      <c r="H56" s="593"/>
      <c r="I56" s="704" t="s">
        <v>345</v>
      </c>
      <c r="J56" s="704"/>
      <c r="K56" s="704"/>
      <c r="L56" s="704"/>
      <c r="M56" s="704"/>
      <c r="N56" s="704"/>
      <c r="O56" s="704"/>
      <c r="P56" s="704"/>
      <c r="Q56" s="704"/>
      <c r="R56" s="704"/>
      <c r="S56" s="704"/>
      <c r="T56" s="468" cm="1" t="str">
        <f t="array" ref="T56:T56">T55</f>
        <v>false</v>
      </c>
      <c r="U56" s="593"/>
      <c r="V56" s="593"/>
      <c r="W56" s="593"/>
      <c r="X56" s="1617"/>
      <c r="Y56" s="593"/>
      <c r="Z56" s="1618"/>
      <c r="AA56" s="593"/>
      <c r="AB56" s="811" t="s">
        <v>299</v>
      </c>
      <c r="AC56" s="807" t="s">
        <v>2039</v>
      </c>
      <c r="AD56" s="819" t="s">
        <v>936</v>
      </c>
      <c r="AE56" s="795">
        <f>AE57+AE58</f>
        <v>0</v>
      </c>
      <c r="AF56" s="795">
        <f>AF57+AF58</f>
        <v>0</v>
      </c>
      <c r="AG56" s="795">
        <f>AG57+AG58</f>
        <v>0</v>
      </c>
      <c r="AH56" s="808">
        <f>AG56-AF56</f>
        <v>0</v>
      </c>
      <c r="AI56" s="795">
        <f>AI57+AI58</f>
        <v>0</v>
      </c>
      <c r="AJ56" s="795">
        <f>AJ57+AJ58</f>
        <v>0</v>
      </c>
      <c r="AK56" s="795">
        <f>AK57+AK58</f>
        <v>0</v>
      </c>
      <c r="AL56" s="808">
        <f>IF(AI56=0,0,(AK56-AI56)/AI56*100)</f>
        <v>0</v>
      </c>
      <c r="AM56" s="6047"/>
      <c r="AN56" s="6047"/>
      <c r="AO56" s="6047"/>
      <c r="AP56" s="593"/>
      <c r="AQ56" s="593"/>
      <c r="AR56" s="1071" t="s">
        <v>2040</v>
      </c>
      <c r="AS56" s="1071"/>
      <c r="AT56" s="1071"/>
      <c r="AU56" s="703"/>
      <c r="AV56" s="703"/>
    </row>
    <row customHeight="1" ht="32.90625" hidden="1">
      <c r="A57" s="1324"/>
      <c r="B57" s="1324"/>
      <c r="C57" s="1324"/>
      <c r="D57" s="1324"/>
      <c r="E57" s="701">
        <v>33.75</v>
      </c>
      <c r="F57" s="50" cm="1" t="str">
        <f t="array" ref="F57:F57">OFFSET(E57,-1,1)</f>
        <v>0</v>
      </c>
      <c r="G57" s="1324"/>
      <c r="H57" s="1324"/>
      <c r="I57" s="592" t="s">
        <v>584</v>
      </c>
      <c r="J57" s="592"/>
      <c r="K57" s="592"/>
      <c r="L57" s="592"/>
      <c r="M57" s="592"/>
      <c r="N57" s="592"/>
      <c r="O57" s="592"/>
      <c r="P57" s="592"/>
      <c r="Q57" s="592"/>
      <c r="R57" s="592"/>
      <c r="S57" s="592"/>
      <c r="T57" s="468" cm="1" t="str">
        <f t="array" ref="T57:T57">T56</f>
        <v>false</v>
      </c>
      <c r="U57" s="1324"/>
      <c r="V57" s="1324"/>
      <c r="W57" s="1324"/>
      <c r="X57" s="1617"/>
      <c r="Y57" s="1324"/>
      <c r="Z57" s="1618"/>
      <c r="AA57" s="1324"/>
      <c r="AB57" s="814" t="s">
        <v>660</v>
      </c>
      <c r="AC57" s="820" t="s">
        <v>2041</v>
      </c>
      <c r="AD57" s="821" t="s">
        <v>936</v>
      </c>
      <c r="AE57" s="6057"/>
      <c r="AF57" s="6057"/>
      <c r="AG57" s="6057"/>
      <c r="AH57" s="809">
        <f>AG57-AF57</f>
        <v>0</v>
      </c>
      <c r="AI57" s="6057"/>
      <c r="AJ57" s="6057"/>
      <c r="AK57" s="6057"/>
      <c r="AL57" s="809">
        <f>IF(AI57=0,0,(AK57-AI57)/AI57*100)</f>
        <v>0</v>
      </c>
      <c r="AM57" s="6039"/>
      <c r="AN57" s="6039"/>
      <c r="AO57" s="6039"/>
      <c r="AP57" s="1324"/>
      <c r="AQ57" s="1324"/>
      <c r="AR57" s="1070" t="s">
        <v>2042</v>
      </c>
      <c r="AS57" s="1070"/>
      <c r="AT57" s="1070"/>
      <c r="AU57" s="1067"/>
      <c r="AV57" s="1067"/>
    </row>
    <row customHeight="1" ht="35.1" hidden="1">
      <c r="A58" s="1324"/>
      <c r="B58" s="1324"/>
      <c r="C58" s="1324"/>
      <c r="D58" s="1324"/>
      <c r="E58" s="701">
        <v>36</v>
      </c>
      <c r="F58" s="50" cm="1" t="str">
        <f t="array" ref="F58:F58">OFFSET(E58,-1,1)</f>
        <v>0</v>
      </c>
      <c r="G58" s="1324"/>
      <c r="H58" s="1324"/>
      <c r="I58" s="592" t="s">
        <v>587</v>
      </c>
      <c r="J58" s="592"/>
      <c r="K58" s="592"/>
      <c r="L58" s="592"/>
      <c r="M58" s="592"/>
      <c r="N58" s="592"/>
      <c r="O58" s="592"/>
      <c r="P58" s="592"/>
      <c r="Q58" s="592"/>
      <c r="R58" s="592"/>
      <c r="S58" s="592"/>
      <c r="T58" s="468" cm="1" t="str">
        <f t="array" ref="T58:T58">T57</f>
        <v>false</v>
      </c>
      <c r="U58" s="1324"/>
      <c r="V58" s="1324"/>
      <c r="W58" s="1324"/>
      <c r="X58" s="1617"/>
      <c r="Y58" s="1324"/>
      <c r="Z58" s="1618"/>
      <c r="AA58" s="1324"/>
      <c r="AB58" s="814" t="s">
        <v>664</v>
      </c>
      <c r="AC58" s="820" t="s">
        <v>2043</v>
      </c>
      <c r="AD58" s="821" t="s">
        <v>936</v>
      </c>
      <c r="AE58" s="822">
        <f>AE59+AE60</f>
        <v>0</v>
      </c>
      <c r="AF58" s="822">
        <f>AF59+AF60</f>
        <v>0</v>
      </c>
      <c r="AG58" s="822">
        <f>AG59+AG60</f>
        <v>0</v>
      </c>
      <c r="AH58" s="809">
        <f>AG58-AF58</f>
        <v>0</v>
      </c>
      <c r="AI58" s="822">
        <f>AI59+AI60</f>
        <v>0</v>
      </c>
      <c r="AJ58" s="822">
        <f>AJ59+AJ60</f>
        <v>0</v>
      </c>
      <c r="AK58" s="822">
        <f>AK59+AK60</f>
        <v>0</v>
      </c>
      <c r="AL58" s="809">
        <f>IF(AI58=0,0,(AK58-AI58)/AI58*100)</f>
        <v>0</v>
      </c>
      <c r="AM58" s="6039"/>
      <c r="AN58" s="6039"/>
      <c r="AO58" s="6039"/>
      <c r="AP58" s="1324"/>
      <c r="AQ58" s="1324"/>
      <c r="AR58" s="1070" t="s">
        <v>2044</v>
      </c>
      <c r="AS58" s="1070"/>
      <c r="AT58" s="1070"/>
      <c r="AU58" s="1067"/>
      <c r="AV58" s="1067"/>
    </row>
    <row customHeight="1" ht="14.625" hidden="1">
      <c r="A59" s="1324"/>
      <c r="B59" s="1324"/>
      <c r="C59" s="1324"/>
      <c r="D59" s="1324"/>
      <c r="E59" s="701">
        <v>15</v>
      </c>
      <c r="F59" s="50" cm="1" t="str">
        <f t="array" ref="F59:F59">OFFSET(E59,-1,1)</f>
        <v>0</v>
      </c>
      <c r="G59" s="582" t="s">
        <v>1365</v>
      </c>
      <c r="H59" s="1324"/>
      <c r="I59" s="592" t="s">
        <v>2045</v>
      </c>
      <c r="J59" s="592"/>
      <c r="K59" s="592"/>
      <c r="L59" s="592"/>
      <c r="M59" s="592"/>
      <c r="N59" s="592"/>
      <c r="O59" s="592"/>
      <c r="P59" s="592"/>
      <c r="Q59" s="592"/>
      <c r="R59" s="592"/>
      <c r="S59" s="592"/>
      <c r="T59" s="468" cm="1" t="str">
        <f t="array" ref="T59:T59">T58</f>
        <v>false</v>
      </c>
      <c r="U59" s="1324"/>
      <c r="V59" s="1324"/>
      <c r="W59" s="1324"/>
      <c r="X59" s="1617"/>
      <c r="Y59" s="1324"/>
      <c r="Z59" s="1618"/>
      <c r="AA59" s="1324"/>
      <c r="AB59" s="814" t="s">
        <v>598</v>
      </c>
      <c r="AC59" s="815" t="s">
        <v>2046</v>
      </c>
      <c r="AD59" s="821" t="s">
        <v>936</v>
      </c>
      <c r="AE59" s="809">
        <f>_xlfn.SUMIFS(ФОТ!AE$25:AE$127,ФОТ!$F$25:$F$127,$F59,ФОТ!$G$25:$G$127,$G59)</f>
        <v>0</v>
      </c>
      <c r="AF59" s="809">
        <f>_xlfn.SUMIFS(ФОТ!AF$25:AF$127,ФОТ!$F$25:$F$127,$F59,ФОТ!$G$25:$G$127,$G59)</f>
        <v>0</v>
      </c>
      <c r="AG59" s="809">
        <f>_xlfn.SUMIFS(ФОТ!AG$25:AG$127,ФОТ!$F$25:$F$127,$F59,ФОТ!$G$25:$G$127,$G59)</f>
        <v>0</v>
      </c>
      <c r="AH59" s="809">
        <f>AG59-AF59</f>
        <v>0</v>
      </c>
      <c r="AI59" s="809">
        <f>_xlfn.SUMIFS(ФОТ!AH$25:AH$127,ФОТ!$F$25:$F$127,$F59,ФОТ!$G$25:$G$127,$G59)</f>
        <v>0</v>
      </c>
      <c r="AJ59" s="809">
        <f>_xlfn.SUMIFS(ФОТ!AI$25:AI$127,ФОТ!$F$25:$F$127,$F59,ФОТ!$G$25:$G$127,$G59)</f>
        <v>0</v>
      </c>
      <c r="AK59" s="809">
        <f>_xlfn.SUMIFS(ФОТ!AJ$25:AJ$127,ФОТ!$F$25:$F$127,$F59,ФОТ!$G$25:$G$127,$G59)</f>
        <v>0</v>
      </c>
      <c r="AL59" s="809">
        <f>IF(AI59=0,0,(AK59-AI59)/AI59*100)</f>
        <v>0</v>
      </c>
      <c r="AM59" s="6039"/>
      <c r="AN59" s="6040" t="str">
        <f>IF(_xlfn.IFERROR(INDEX(ФОТ!$K$26:$L$127,MATCH($F59&amp;"3komm",ФОТ!$K$26:$K$127,0),2),"")=0,"",_xlfn.IFERROR(INDEX(ФОТ!$K$26:$L$127,MATCH($F59&amp;"3komm",ФОТ!$K$26:$K$127,0),2),""))</f>
        <v/>
      </c>
      <c r="AO59" s="6039"/>
      <c r="AP59" s="1324"/>
      <c r="AQ59" s="1324"/>
      <c r="AR59" s="1070" t="s">
        <v>2047</v>
      </c>
      <c r="AS59" s="1070"/>
      <c r="AT59" s="1070"/>
      <c r="AU59" s="1067"/>
      <c r="AV59" s="1067"/>
    </row>
    <row customHeight="1" ht="21.9375" hidden="1">
      <c r="A60" s="1324"/>
      <c r="B60" s="1324"/>
      <c r="C60" s="1324"/>
      <c r="D60" s="1324"/>
      <c r="E60" s="701">
        <v>22.5</v>
      </c>
      <c r="F60" s="50" cm="1" t="str">
        <f t="array" ref="F60:F60">OFFSET(E60,-1,1)</f>
        <v>0</v>
      </c>
      <c r="G60" s="582" t="s">
        <v>1370</v>
      </c>
      <c r="H60" s="1324"/>
      <c r="I60" s="592" t="s">
        <v>2048</v>
      </c>
      <c r="J60" s="592"/>
      <c r="K60" s="592"/>
      <c r="L60" s="592"/>
      <c r="M60" s="592"/>
      <c r="N60" s="592"/>
      <c r="O60" s="592"/>
      <c r="P60" s="592"/>
      <c r="Q60" s="592"/>
      <c r="R60" s="592"/>
      <c r="S60" s="592"/>
      <c r="T60" s="468" cm="1" t="str">
        <f t="array" ref="T60:T60">T59</f>
        <v>false</v>
      </c>
      <c r="U60" s="1324"/>
      <c r="V60" s="1324"/>
      <c r="W60" s="1324"/>
      <c r="X60" s="1617"/>
      <c r="Y60" s="1324"/>
      <c r="Z60" s="1618"/>
      <c r="AA60" s="1324"/>
      <c r="AB60" s="814" t="s">
        <v>1663</v>
      </c>
      <c r="AC60" s="815" t="s">
        <v>2049</v>
      </c>
      <c r="AD60" s="821" t="s">
        <v>936</v>
      </c>
      <c r="AE60" s="809">
        <f>_xlfn.SUMIFS(ФОТ!AE$25:AE$127,ФОТ!$F$25:$F$127,$F60,ФОТ!$G$25:$G$127,$G60)</f>
        <v>0</v>
      </c>
      <c r="AF60" s="809">
        <f>_xlfn.SUMIFS(ФОТ!AF$25:AF$127,ФОТ!$F$25:$F$127,$F60,ФОТ!$G$25:$G$127,$G60)</f>
        <v>0</v>
      </c>
      <c r="AG60" s="809">
        <f>_xlfn.SUMIFS(ФОТ!AG$25:AG$127,ФОТ!$F$25:$F$127,$F60,ФОТ!$G$25:$G$127,$G60)</f>
        <v>0</v>
      </c>
      <c r="AH60" s="809">
        <f>AG60-AF60</f>
        <v>0</v>
      </c>
      <c r="AI60" s="809">
        <f>_xlfn.SUMIFS(ФОТ!AH$25:AH$127,ФОТ!$F$25:$F$127,$F60,ФОТ!$G$25:$G$127,$G60)</f>
        <v>0</v>
      </c>
      <c r="AJ60" s="809">
        <f>_xlfn.SUMIFS(ФОТ!AI$25:AI$127,ФОТ!$F$25:$F$127,$F60,ФОТ!$G$25:$G$127,$G60)</f>
        <v>0</v>
      </c>
      <c r="AK60" s="809">
        <f>_xlfn.SUMIFS(ФОТ!AJ$25:AJ$127,ФОТ!$F$25:$F$127,$F60,ФОТ!$G$25:$G$127,$G60)</f>
        <v>0</v>
      </c>
      <c r="AL60" s="809">
        <f>IF(AI60=0,0,(AK60-AI60)/AI60*100)</f>
        <v>0</v>
      </c>
      <c r="AM60" s="6039"/>
      <c r="AN60" s="6040" t="str">
        <f>IF(_xlfn.IFERROR(INDEX(ФОТ!$K$26:$L$127,MATCH($F60&amp;"4komm",ФОТ!$K$26:$K$127,0),2),"")=0,"",_xlfn.IFERROR(INDEX(ФОТ!$K$26:$L$127,MATCH($F60&amp;"4komm",ФОТ!$K$26:$K$127,0),2),""))</f>
        <v/>
      </c>
      <c r="AO60" s="6039"/>
      <c r="AP60" s="1324"/>
      <c r="AQ60" s="1324"/>
      <c r="AR60" s="1070" t="s">
        <v>2050</v>
      </c>
      <c r="AS60" s="1070"/>
      <c r="AT60" s="1070"/>
      <c r="AU60" s="1067"/>
      <c r="AV60" s="1067"/>
    </row>
    <row s="593" customFormat="1" customHeight="1" ht="14.625" hidden="1">
      <c r="A61" s="593"/>
      <c r="B61" s="593"/>
      <c r="C61" s="593"/>
      <c r="D61" s="593"/>
      <c r="E61" s="703">
        <v>15</v>
      </c>
      <c r="F61" s="50" cm="1" t="str">
        <f t="array" ref="F61:F61">OFFSET(E61,-1,1)</f>
        <v>0</v>
      </c>
      <c r="G61" s="593"/>
      <c r="H61" s="593"/>
      <c r="I61" s="704" t="s">
        <v>346</v>
      </c>
      <c r="J61" s="704"/>
      <c r="K61" s="704"/>
      <c r="L61" s="704"/>
      <c r="M61" s="704"/>
      <c r="N61" s="704"/>
      <c r="O61" s="704"/>
      <c r="P61" s="704"/>
      <c r="Q61" s="704"/>
      <c r="R61" s="704"/>
      <c r="S61" s="704"/>
      <c r="T61" s="468" cm="1" t="str">
        <f t="array" ref="T61:T61">T60</f>
        <v>false</v>
      </c>
      <c r="U61" s="593"/>
      <c r="V61" s="593"/>
      <c r="W61" s="593"/>
      <c r="X61" s="1617"/>
      <c r="Y61" s="593"/>
      <c r="Z61" s="1618"/>
      <c r="AA61" s="593"/>
      <c r="AB61" s="811" t="s">
        <v>234</v>
      </c>
      <c r="AC61" s="807" t="s">
        <v>2051</v>
      </c>
      <c r="AD61" s="819" t="s">
        <v>936</v>
      </c>
      <c r="AE61" s="808">
        <f>AE62+AE63+AE66+AE67+AE68+AE69+AE70</f>
        <v>0</v>
      </c>
      <c r="AF61" s="808">
        <f>AF62+AF63+AF66+AF67+AF68+AF69+AF70</f>
        <v>0</v>
      </c>
      <c r="AG61" s="808">
        <f>AG62+AG63+AG66+AG67+AG68+AG69+AG70</f>
        <v>0</v>
      </c>
      <c r="AH61" s="808">
        <f>AG61-AF61</f>
        <v>0</v>
      </c>
      <c r="AI61" s="808">
        <f>AI62+AI63+AI66+AI67+AI68+AI69+AI70</f>
        <v>0</v>
      </c>
      <c r="AJ61" s="808">
        <f>AJ62+AJ63+AJ66+AJ67+AJ68+AJ69+AJ70</f>
        <v>0</v>
      </c>
      <c r="AK61" s="808">
        <f>AK62+AK63+AK66+AK67+AK68+AK69+AK70</f>
        <v>0</v>
      </c>
      <c r="AL61" s="808">
        <f>IF(AI61=0,0,(AK61-AI61)/AI61*100)</f>
        <v>0</v>
      </c>
      <c r="AM61" s="6047"/>
      <c r="AN61" s="6047"/>
      <c r="AO61" s="6047"/>
      <c r="AP61" s="593"/>
      <c r="AQ61" s="593"/>
      <c r="AR61" s="1071" t="s">
        <v>2052</v>
      </c>
      <c r="AS61" s="1071"/>
      <c r="AT61" s="1071"/>
      <c r="AU61" s="703"/>
      <c r="AV61" s="703"/>
    </row>
    <row customHeight="1" ht="21.9375" hidden="1">
      <c r="A62" s="1324"/>
      <c r="B62" s="1324"/>
      <c r="C62" s="1324"/>
      <c r="D62" s="1324"/>
      <c r="E62" s="701">
        <v>22.5</v>
      </c>
      <c r="F62" s="50" cm="1" t="str">
        <f t="array" ref="F62:F62">OFFSET(E62,-1,1)</f>
        <v>0</v>
      </c>
      <c r="G62" s="582" t="s">
        <v>1391</v>
      </c>
      <c r="H62" s="1324"/>
      <c r="I62" s="592" t="s">
        <v>1097</v>
      </c>
      <c r="J62" s="592"/>
      <c r="K62" s="592"/>
      <c r="L62" s="592"/>
      <c r="M62" s="592"/>
      <c r="N62" s="592"/>
      <c r="O62" s="592"/>
      <c r="P62" s="592"/>
      <c r="Q62" s="592"/>
      <c r="R62" s="592"/>
      <c r="S62" s="592"/>
      <c r="T62" s="468" cm="1" t="str">
        <f t="array" ref="T62:T62">T61</f>
        <v>false</v>
      </c>
      <c r="U62" s="1324"/>
      <c r="V62" s="1324"/>
      <c r="W62" s="1324"/>
      <c r="X62" s="1617"/>
      <c r="Y62" s="1324"/>
      <c r="Z62" s="1618"/>
      <c r="AA62" s="1324"/>
      <c r="AB62" s="814" t="s">
        <v>674</v>
      </c>
      <c r="AC62" s="820" t="s">
        <v>2053</v>
      </c>
      <c r="AD62" s="821" t="s">
        <v>936</v>
      </c>
      <c r="AE62" s="255">
        <f>_xlfn.SUMIFS(Административные!AE$25:AE$103,Административные!$F$25:$F$103,$F62,Административные!$G$25:$G$103,$G62)</f>
        <v>0</v>
      </c>
      <c r="AF62" s="255">
        <f>_xlfn.SUMIFS(Административные!AF$25:AF$103,Административные!$F$25:$F$103,$F62,Административные!$G$25:$G$103,$G62)</f>
        <v>0</v>
      </c>
      <c r="AG62" s="255">
        <f>_xlfn.SUMIFS(Административные!AG$25:AG$103,Административные!$F$25:$F$103,$F62,Административные!$G$25:$G$103,$G62)</f>
        <v>0</v>
      </c>
      <c r="AH62" s="809">
        <f>AG62-AF62</f>
        <v>0</v>
      </c>
      <c r="AI62" s="255">
        <f>_xlfn.SUMIFS(Административные!AH$25:AH$103,Административные!$F$25:$F$103,$F62,Административные!$G$25:$G$103,$G62)</f>
        <v>0</v>
      </c>
      <c r="AJ62" s="255">
        <f>_xlfn.SUMIFS(Административные!AI$25:AI$103,Административные!$F$25:$F$103,$F62,Административные!$G$25:$G$103,$G62)</f>
        <v>0</v>
      </c>
      <c r="AK62" s="255">
        <f>_xlfn.SUMIFS(Административные!AJ$25:AJ$103,Административные!$F$25:$F$103,$F62,Административные!$G$25:$G$103,$G62)</f>
        <v>0</v>
      </c>
      <c r="AL62" s="809">
        <f>IF(AI62=0,0,(AK62-AI62)/AI62*100)</f>
        <v>0</v>
      </c>
      <c r="AM62" s="6039"/>
      <c r="AN62" s="6040" t="str">
        <f>IF(_xlfn.IFERROR(INDEX(Административные!$K$26:$L$103,MATCH($F62&amp;"17komm",Административные!$K$26:$K$103,0),2),"")=0,"",_xlfn.IFERROR(INDEX(Административные!$K$26:$L$103,MATCH($F62&amp;"17komm",Административные!$K$26:$K$103,0),2),""))</f>
        <v/>
      </c>
      <c r="AO62" s="6039"/>
      <c r="AP62" s="1324"/>
      <c r="AQ62" s="1324"/>
      <c r="AR62" s="1070" t="s">
        <v>1393</v>
      </c>
      <c r="AS62" s="1070"/>
      <c r="AT62" s="1070"/>
      <c r="AU62" s="1067"/>
      <c r="AV62" s="1067"/>
    </row>
    <row customHeight="1" ht="32.90625" hidden="1">
      <c r="A63" s="1324"/>
      <c r="B63" s="1324"/>
      <c r="C63" s="1324"/>
      <c r="D63" s="1324"/>
      <c r="E63" s="701">
        <v>33.75</v>
      </c>
      <c r="F63" s="50" cm="1" t="str">
        <f t="array" ref="F63:F63">OFFSET(E63,-1,1)</f>
        <v>0</v>
      </c>
      <c r="G63" s="1324"/>
      <c r="H63" s="1324"/>
      <c r="I63" s="592" t="s">
        <v>1099</v>
      </c>
      <c r="J63" s="592"/>
      <c r="K63" s="592"/>
      <c r="L63" s="592"/>
      <c r="M63" s="592"/>
      <c r="N63" s="592"/>
      <c r="O63" s="592"/>
      <c r="P63" s="592"/>
      <c r="Q63" s="592"/>
      <c r="R63" s="592"/>
      <c r="S63" s="592"/>
      <c r="T63" s="468" cm="1" t="str">
        <f t="array" ref="T63:T63">T62</f>
        <v>false</v>
      </c>
      <c r="U63" s="1324"/>
      <c r="V63" s="1324"/>
      <c r="W63" s="1324"/>
      <c r="X63" s="1617"/>
      <c r="Y63" s="1324"/>
      <c r="Z63" s="1618"/>
      <c r="AA63" s="1324"/>
      <c r="AB63" s="814" t="s">
        <v>678</v>
      </c>
      <c r="AC63" s="820" t="s">
        <v>2054</v>
      </c>
      <c r="AD63" s="821" t="s">
        <v>936</v>
      </c>
      <c r="AE63" s="809">
        <f>AE64+AE65</f>
        <v>0</v>
      </c>
      <c r="AF63" s="809">
        <f>AF64+AF65</f>
        <v>0</v>
      </c>
      <c r="AG63" s="809">
        <f>AG64+AG65</f>
        <v>0</v>
      </c>
      <c r="AH63" s="809">
        <f>AG63-AF63</f>
        <v>0</v>
      </c>
      <c r="AI63" s="809">
        <f>AI64+AI65</f>
        <v>0</v>
      </c>
      <c r="AJ63" s="809">
        <f>AJ64+AJ65</f>
        <v>0</v>
      </c>
      <c r="AK63" s="809">
        <f>AK64+AK65</f>
        <v>0</v>
      </c>
      <c r="AL63" s="809">
        <f>IF(AI63=0,0,(AK63-AI63)/AI63*100)</f>
        <v>0</v>
      </c>
      <c r="AM63" s="6039"/>
      <c r="AN63" s="6039"/>
      <c r="AO63" s="6039"/>
      <c r="AP63" s="1324"/>
      <c r="AQ63" s="1324"/>
      <c r="AR63" s="1070" t="s">
        <v>2055</v>
      </c>
      <c r="AS63" s="1070"/>
      <c r="AT63" s="1070"/>
      <c r="AU63" s="1067"/>
      <c r="AV63" s="1067"/>
    </row>
    <row customHeight="1" ht="21.9375" hidden="1">
      <c r="A64" s="1324"/>
      <c r="B64" s="1324"/>
      <c r="C64" s="1324"/>
      <c r="D64" s="1324"/>
      <c r="E64" s="701">
        <v>22.5</v>
      </c>
      <c r="F64" s="50" cm="1" t="str">
        <f t="array" ref="F64:F64">OFFSET(E64,-1,1)</f>
        <v>0</v>
      </c>
      <c r="G64" s="1252" t="s">
        <v>1373</v>
      </c>
      <c r="H64" s="1324"/>
      <c r="I64" s="592" t="s">
        <v>602</v>
      </c>
      <c r="J64" s="592"/>
      <c r="K64" s="592"/>
      <c r="L64" s="592"/>
      <c r="M64" s="592"/>
      <c r="N64" s="592"/>
      <c r="O64" s="592"/>
      <c r="P64" s="592"/>
      <c r="Q64" s="592"/>
      <c r="R64" s="592"/>
      <c r="S64" s="592"/>
      <c r="T64" s="468" cm="1" t="str">
        <f t="array" ref="T64:T64">T63</f>
        <v>false</v>
      </c>
      <c r="U64" s="1324"/>
      <c r="V64" s="1324"/>
      <c r="W64" s="1324"/>
      <c r="X64" s="1617"/>
      <c r="Y64" s="1324"/>
      <c r="Z64" s="1618"/>
      <c r="AA64" s="1324"/>
      <c r="AB64" s="814" t="s">
        <v>884</v>
      </c>
      <c r="AC64" s="815" t="s">
        <v>2056</v>
      </c>
      <c r="AD64" s="821" t="s">
        <v>936</v>
      </c>
      <c r="AE64" s="809">
        <f>_xlfn.SUMIFS(ФОТ!AE$25:AE$127,ФОТ!$F$25:$F$127,$F64,ФОТ!$G$25:$G$127,$G64)</f>
        <v>0</v>
      </c>
      <c r="AF64" s="809">
        <f>_xlfn.SUMIFS(ФОТ!AF$25:AF$127,ФОТ!$F$25:$F$127,$F64,ФОТ!$G$25:$G$127,$G64)</f>
        <v>0</v>
      </c>
      <c r="AG64" s="809">
        <f>_xlfn.SUMIFS(ФОТ!AG$25:AG$127,ФОТ!$F$25:$F$127,$F64,ФОТ!$G$25:$G$127,$G64)</f>
        <v>0</v>
      </c>
      <c r="AH64" s="809">
        <f>AG64-AF64</f>
        <v>0</v>
      </c>
      <c r="AI64" s="809">
        <f>_xlfn.SUMIFS(ФОТ!AH$25:AH$127,ФОТ!$F$25:$F$127,$F64,ФОТ!$G$25:$G$127,$G64)</f>
        <v>0</v>
      </c>
      <c r="AJ64" s="809">
        <f>_xlfn.SUMIFS(ФОТ!AI$25:AI$127,ФОТ!$F$25:$F$127,$F64,ФОТ!$G$25:$G$127,$G64)</f>
        <v>0</v>
      </c>
      <c r="AK64" s="809">
        <f>_xlfn.SUMIFS(ФОТ!AJ$25:AJ$127,ФОТ!$F$25:$F$127,$F64,ФОТ!$G$25:$G$127,$G64)</f>
        <v>0</v>
      </c>
      <c r="AL64" s="809">
        <f>IF(AI64=0,0,(AK64-AI64)/AI64*100)</f>
        <v>0</v>
      </c>
      <c r="AM64" s="6039"/>
      <c r="AN64" s="6040" t="str">
        <f>IF(_xlfn.IFERROR(INDEX(ФОТ!$K$26:$L$127,MATCH($F64&amp;"5komm",ФОТ!$K$26:$K$127,0),2),"")=0,"",_xlfn.IFERROR(INDEX(ФОТ!$K$26:$L$127,MATCH($F64&amp;"5komm",ФОТ!$K$26:$K$127,0),2),""))</f>
        <v/>
      </c>
      <c r="AO64" s="6039"/>
      <c r="AP64" s="1324"/>
      <c r="AQ64" s="1324"/>
      <c r="AR64" s="1070" t="s">
        <v>1390</v>
      </c>
      <c r="AS64" s="1070"/>
      <c r="AT64" s="1070"/>
      <c r="AU64" s="1067"/>
      <c r="AV64" s="1067"/>
    </row>
    <row customHeight="1" ht="32.90625" hidden="1">
      <c r="A65" s="1324"/>
      <c r="B65" s="1324"/>
      <c r="C65" s="1324"/>
      <c r="D65" s="1324"/>
      <c r="E65" s="701">
        <v>33.75</v>
      </c>
      <c r="F65" s="50" cm="1" t="str">
        <f t="array" ref="F65:F65">OFFSET(E65,-1,1)</f>
        <v>0</v>
      </c>
      <c r="G65" s="501" t="s">
        <v>1378</v>
      </c>
      <c r="H65" s="1324"/>
      <c r="I65" s="592" t="s">
        <v>607</v>
      </c>
      <c r="J65" s="592"/>
      <c r="K65" s="592"/>
      <c r="L65" s="592"/>
      <c r="M65" s="592"/>
      <c r="N65" s="592"/>
      <c r="O65" s="592"/>
      <c r="P65" s="592"/>
      <c r="Q65" s="592"/>
      <c r="R65" s="592"/>
      <c r="S65" s="592"/>
      <c r="T65" s="468" cm="1" t="str">
        <f t="array" ref="T65:T65">T64</f>
        <v>false</v>
      </c>
      <c r="U65" s="1324"/>
      <c r="V65" s="1324"/>
      <c r="W65" s="1324"/>
      <c r="X65" s="1617"/>
      <c r="Y65" s="1324"/>
      <c r="Z65" s="1618"/>
      <c r="AA65" s="1324"/>
      <c r="AB65" s="814" t="s">
        <v>887</v>
      </c>
      <c r="AC65" s="815" t="s">
        <v>2057</v>
      </c>
      <c r="AD65" s="821" t="s">
        <v>936</v>
      </c>
      <c r="AE65" s="809">
        <f>_xlfn.SUMIFS(ФОТ!AE$25:AE$127,ФОТ!$F$25:$F$127,$F65,ФОТ!$G$25:$G$127,$G65)</f>
        <v>0</v>
      </c>
      <c r="AF65" s="809">
        <f>_xlfn.SUMIFS(ФОТ!AF$25:AF$127,ФОТ!$F$25:$F$127,$F65,ФОТ!$G$25:$G$127,$G65)</f>
        <v>0</v>
      </c>
      <c r="AG65" s="809">
        <f>_xlfn.SUMIFS(ФОТ!AG$25:AG$127,ФОТ!$F$25:$F$127,$F65,ФОТ!$G$25:$G$127,$G65)</f>
        <v>0</v>
      </c>
      <c r="AH65" s="809">
        <f>AG65-AF65</f>
        <v>0</v>
      </c>
      <c r="AI65" s="809">
        <f>_xlfn.SUMIFS(ФОТ!AH$25:AH$127,ФОТ!$F$25:$F$127,$F65,ФОТ!$G$25:$G$127,$G65)</f>
        <v>0</v>
      </c>
      <c r="AJ65" s="809">
        <f>_xlfn.SUMIFS(ФОТ!AI$25:AI$127,ФОТ!$F$25:$F$127,$F65,ФОТ!$G$25:$G$127,$G65)</f>
        <v>0</v>
      </c>
      <c r="AK65" s="809">
        <f>_xlfn.SUMIFS(ФОТ!AJ$25:AJ$127,ФОТ!$F$25:$F$127,$F65,ФОТ!$G$25:$G$127,$G65)</f>
        <v>0</v>
      </c>
      <c r="AL65" s="809">
        <f>IF(AI65=0,0,(AK65-AI65)/AI65*100)</f>
        <v>0</v>
      </c>
      <c r="AM65" s="6039"/>
      <c r="AN65" s="6040" t="str">
        <f>IF(_xlfn.IFERROR(INDEX(ФОТ!$K$26:$L$127,MATCH($F65&amp;"6komm",ФОТ!$K$26:$K$127,0),2),"")=0,"",_xlfn.IFERROR(INDEX(ФОТ!$K$26:$L$127,MATCH($F65&amp;"6komm",ФОТ!$K$26:$K$127,0),2),""))</f>
        <v/>
      </c>
      <c r="AO65" s="6039"/>
      <c r="AP65" s="1324"/>
      <c r="AQ65" s="1324"/>
      <c r="AR65" s="1070" t="s">
        <v>2058</v>
      </c>
      <c r="AS65" s="1070"/>
      <c r="AT65" s="1070"/>
      <c r="AU65" s="1067"/>
      <c r="AV65" s="1067"/>
    </row>
    <row customHeight="1" ht="32.90625" hidden="1">
      <c r="A66" s="1324"/>
      <c r="B66" s="1324"/>
      <c r="C66" s="1324"/>
      <c r="D66" s="1324"/>
      <c r="E66" s="701">
        <v>33.75</v>
      </c>
      <c r="F66" s="50" cm="1" t="str">
        <f t="array" ref="F66:F66">OFFSET(E66,-1,1)</f>
        <v>0</v>
      </c>
      <c r="G66" s="582" t="s">
        <v>1419</v>
      </c>
      <c r="H66" s="1324"/>
      <c r="I66" s="592" t="s">
        <v>1101</v>
      </c>
      <c r="J66" s="592"/>
      <c r="K66" s="592"/>
      <c r="L66" s="592"/>
      <c r="M66" s="592"/>
      <c r="N66" s="592"/>
      <c r="O66" s="592"/>
      <c r="P66" s="592"/>
      <c r="Q66" s="592"/>
      <c r="R66" s="592"/>
      <c r="S66" s="592"/>
      <c r="T66" s="468" cm="1" t="str">
        <f t="array" ref="T66:T66">T65</f>
        <v>false</v>
      </c>
      <c r="U66" s="1324"/>
      <c r="V66" s="1324"/>
      <c r="W66" s="1324"/>
      <c r="X66" s="1617"/>
      <c r="Y66" s="1324"/>
      <c r="Z66" s="1618"/>
      <c r="AA66" s="1324"/>
      <c r="AB66" s="814" t="s">
        <v>890</v>
      </c>
      <c r="AC66" s="820" t="s">
        <v>2059</v>
      </c>
      <c r="AD66" s="821" t="s">
        <v>936</v>
      </c>
      <c r="AE66" s="809">
        <f>_xlfn.SUMIFS(Административные!AE$25:AE$103,Административные!$F$25:$F$103,$F66,Административные!$G$25:$G$103,$G66)</f>
        <v>0</v>
      </c>
      <c r="AF66" s="809">
        <f>_xlfn.SUMIFS(Административные!AF$25:AF$103,Административные!$F$25:$F$103,$F66,Административные!$G$25:$G$103,$G66)</f>
        <v>0</v>
      </c>
      <c r="AG66" s="809">
        <f>_xlfn.SUMIFS(Административные!AG$25:AG$103,Административные!$F$25:$F$103,$F66,Административные!$G$25:$G$103,$G66)</f>
        <v>0</v>
      </c>
      <c r="AH66" s="809">
        <f>AG66-AF66</f>
        <v>0</v>
      </c>
      <c r="AI66" s="809">
        <f>_xlfn.SUMIFS(Административные!AH$25:AH$103,Административные!$F$25:$F$103,$F66,Административные!$G$25:$G$103,$G66)</f>
        <v>0</v>
      </c>
      <c r="AJ66" s="809">
        <f>_xlfn.SUMIFS(Административные!AI$25:AI$103,Административные!$F$25:$F$103,$F66,Административные!$G$25:$G$103,$G66)</f>
        <v>0</v>
      </c>
      <c r="AK66" s="809">
        <f>_xlfn.SUMIFS(Административные!AJ$25:AJ$103,Административные!$F$25:$F$103,$F66,Административные!$G$25:$G$103,$G66)</f>
        <v>0</v>
      </c>
      <c r="AL66" s="809">
        <f>IF(AI66=0,0,(AK66-AI66)/AI66*100)</f>
        <v>0</v>
      </c>
      <c r="AM66" s="6039"/>
      <c r="AN66" s="6040" t="str">
        <f>IF(_xlfn.IFERROR(INDEX(Административные!$K$26:$L$103,MATCH($F66&amp;"2komm",Административные!$K$26:$K$103,0),2),"")=0,"",_xlfn.IFERROR(INDEX(Административные!$K$26:$L$103,MATCH($F66&amp;"2komm",Административные!$K$26:$K$103,0),2),""))</f>
        <v/>
      </c>
      <c r="AO66" s="6039"/>
      <c r="AP66" s="1324"/>
      <c r="AQ66" s="1324"/>
      <c r="AR66" s="1070" t="s">
        <v>1421</v>
      </c>
      <c r="AS66" s="1070"/>
      <c r="AT66" s="1070"/>
      <c r="AU66" s="1067"/>
      <c r="AV66" s="1067"/>
    </row>
    <row customHeight="1" ht="14.625" hidden="1">
      <c r="A67" s="1324"/>
      <c r="B67" s="1324"/>
      <c r="C67" s="1324"/>
      <c r="D67" s="1324"/>
      <c r="E67" s="701">
        <v>15</v>
      </c>
      <c r="F67" s="50" cm="1" t="str">
        <f t="array" ref="F67:F67">OFFSET(E67,-1,1)</f>
        <v>0</v>
      </c>
      <c r="G67" s="582" t="s">
        <v>1422</v>
      </c>
      <c r="H67" s="1324"/>
      <c r="I67" s="592" t="s">
        <v>1103</v>
      </c>
      <c r="J67" s="592"/>
      <c r="K67" s="592"/>
      <c r="L67" s="592"/>
      <c r="M67" s="592"/>
      <c r="N67" s="592"/>
      <c r="O67" s="592"/>
      <c r="P67" s="592"/>
      <c r="Q67" s="592"/>
      <c r="R67" s="592"/>
      <c r="S67" s="592"/>
      <c r="T67" s="468" cm="1" t="str">
        <f t="array" ref="T67:T67">T66</f>
        <v>false</v>
      </c>
      <c r="U67" s="1324"/>
      <c r="V67" s="1324"/>
      <c r="W67" s="1324"/>
      <c r="X67" s="1617"/>
      <c r="Y67" s="1324"/>
      <c r="Z67" s="1618"/>
      <c r="AA67" s="1324"/>
      <c r="AB67" s="814" t="s">
        <v>1104</v>
      </c>
      <c r="AC67" s="820" t="s">
        <v>1423</v>
      </c>
      <c r="AD67" s="821" t="s">
        <v>936</v>
      </c>
      <c r="AE67" s="809">
        <f>_xlfn.SUMIFS(Административные!AE$25:AE$103,Административные!$F$25:$F$103,$F67,Административные!$G$25:$G$103,$G67)</f>
        <v>0</v>
      </c>
      <c r="AF67" s="809">
        <f>_xlfn.SUMIFS(Административные!AF$25:AF$103,Административные!$F$25:$F$103,$F67,Административные!$G$25:$G$103,$G67)</f>
        <v>0</v>
      </c>
      <c r="AG67" s="809">
        <f>_xlfn.SUMIFS(Административные!AG$25:AG$103,Административные!$F$25:$F$103,$F67,Административные!$G$25:$G$103,$G67)</f>
        <v>0</v>
      </c>
      <c r="AH67" s="809">
        <f>AG67-AF67</f>
        <v>0</v>
      </c>
      <c r="AI67" s="809">
        <f>_xlfn.SUMIFS(Административные!AH$25:AH$103,Административные!$F$25:$F$103,$F67,Административные!$G$25:$G$103,$G67)</f>
        <v>0</v>
      </c>
      <c r="AJ67" s="809">
        <f>_xlfn.SUMIFS(Административные!AI$25:AI$103,Административные!$F$25:$F$103,$F67,Административные!$G$25:$G$103,$G67)</f>
        <v>0</v>
      </c>
      <c r="AK67" s="809">
        <f>_xlfn.SUMIFS(Административные!AJ$25:AJ$103,Административные!$F$25:$F$103,$F67,Административные!$G$25:$G$103,$G67)</f>
        <v>0</v>
      </c>
      <c r="AL67" s="809">
        <f>IF(AI67=0,0,(AK67-AI67)/AI67*100)</f>
        <v>0</v>
      </c>
      <c r="AM67" s="6039"/>
      <c r="AN67" s="6040" t="str">
        <f>IF(_xlfn.IFERROR(INDEX(Административные!$K$26:$L$103,MATCH($F67&amp;"3komm",Административные!$K$26:$K$103,0),2),"")=0,"",_xlfn.IFERROR(INDEX(Административные!$K$26:$L$103,MATCH($F67&amp;"3komm",Административные!$K$26:$K$103,0),2),""))</f>
        <v/>
      </c>
      <c r="AO67" s="6039"/>
      <c r="AP67" s="1324"/>
      <c r="AQ67" s="1324"/>
      <c r="AR67" s="1070" t="s">
        <v>1424</v>
      </c>
      <c r="AS67" s="1070"/>
      <c r="AT67" s="1070"/>
      <c r="AU67" s="1067"/>
      <c r="AV67" s="1067"/>
    </row>
    <row customHeight="1" ht="14.625" hidden="1">
      <c r="A68" s="1324"/>
      <c r="B68" s="1324"/>
      <c r="C68" s="1324"/>
      <c r="D68" s="1324"/>
      <c r="E68" s="701">
        <v>15</v>
      </c>
      <c r="F68" s="50" cm="1" t="str">
        <f t="array" ref="F68:F68">OFFSET(E68,-1,1)</f>
        <v>0</v>
      </c>
      <c r="G68" s="582" t="s">
        <v>1425</v>
      </c>
      <c r="H68" s="1324"/>
      <c r="I68" s="592" t="s">
        <v>1106</v>
      </c>
      <c r="J68" s="592"/>
      <c r="K68" s="592"/>
      <c r="L68" s="592"/>
      <c r="M68" s="592"/>
      <c r="N68" s="592"/>
      <c r="O68" s="592"/>
      <c r="P68" s="592"/>
      <c r="Q68" s="592"/>
      <c r="R68" s="592"/>
      <c r="S68" s="592"/>
      <c r="T68" s="468" cm="1" t="str">
        <f t="array" ref="T68:T68">T67</f>
        <v>false</v>
      </c>
      <c r="U68" s="1324"/>
      <c r="V68" s="1324"/>
      <c r="W68" s="1324"/>
      <c r="X68" s="1617"/>
      <c r="Y68" s="1324"/>
      <c r="Z68" s="1618"/>
      <c r="AA68" s="1324"/>
      <c r="AB68" s="814" t="s">
        <v>1107</v>
      </c>
      <c r="AC68" s="820" t="s">
        <v>1426</v>
      </c>
      <c r="AD68" s="821" t="s">
        <v>936</v>
      </c>
      <c r="AE68" s="809">
        <f>_xlfn.SUMIFS(Административные!AE$25:AE$103,Административные!$F$25:$F$103,$F68,Административные!$G$25:$G$103,$G68)</f>
        <v>0</v>
      </c>
      <c r="AF68" s="809">
        <f>_xlfn.SUMIFS(Административные!AF$25:AF$103,Административные!$F$25:$F$103,$F68,Административные!$G$25:$G$103,$G68)</f>
        <v>0</v>
      </c>
      <c r="AG68" s="809">
        <f>_xlfn.SUMIFS(Административные!AG$25:AG$103,Административные!$F$25:$F$103,$F68,Административные!$G$25:$G$103,$G68)</f>
        <v>0</v>
      </c>
      <c r="AH68" s="809">
        <f>AG68-AF68</f>
        <v>0</v>
      </c>
      <c r="AI68" s="809">
        <f>_xlfn.SUMIFS(Административные!AH$25:AH$103,Административные!$F$25:$F$103,$F68,Административные!$G$25:$G$103,$G68)</f>
        <v>0</v>
      </c>
      <c r="AJ68" s="809">
        <f>_xlfn.SUMIFS(Административные!AI$25:AI$103,Административные!$F$25:$F$103,$F68,Административные!$G$25:$G$103,$G68)</f>
        <v>0</v>
      </c>
      <c r="AK68" s="809">
        <f>_xlfn.SUMIFS(Административные!AJ$25:AJ$103,Административные!$F$25:$F$103,$F68,Административные!$G$25:$G$103,$G68)</f>
        <v>0</v>
      </c>
      <c r="AL68" s="809">
        <f>IF(AI68=0,0,(AK68-AI68)/AI68*100)</f>
        <v>0</v>
      </c>
      <c r="AM68" s="6039"/>
      <c r="AN68" s="6040" t="str">
        <f>IF(_xlfn.IFERROR(INDEX(Административные!$K$26:$L$103,MATCH($F68&amp;"4komm",Административные!$K$26:$K$103,0),2),"")=0,"",_xlfn.IFERROR(INDEX(Административные!$K$26:$L$103,MATCH($F68&amp;"4komm",Административные!$K$26:$K$103,0),2),""))</f>
        <v/>
      </c>
      <c r="AO68" s="6039"/>
      <c r="AP68" s="1324"/>
      <c r="AQ68" s="1324"/>
      <c r="AR68" s="1070" t="s">
        <v>1427</v>
      </c>
      <c r="AS68" s="1070"/>
      <c r="AT68" s="1070"/>
      <c r="AU68" s="1067"/>
      <c r="AV68" s="1067"/>
    </row>
    <row customHeight="1" ht="14.625" hidden="1">
      <c r="A69" s="1324"/>
      <c r="B69" s="1324"/>
      <c r="C69" s="1324"/>
      <c r="D69" s="1324"/>
      <c r="E69" s="701">
        <v>15</v>
      </c>
      <c r="F69" s="50" cm="1" t="str">
        <f t="array" ref="F69:F69">OFFSET(E69,-1,1)</f>
        <v>0</v>
      </c>
      <c r="G69" s="582" t="s">
        <v>1428</v>
      </c>
      <c r="H69" s="1324"/>
      <c r="I69" s="592" t="s">
        <v>1410</v>
      </c>
      <c r="J69" s="592"/>
      <c r="K69" s="592"/>
      <c r="L69" s="592"/>
      <c r="M69" s="592"/>
      <c r="N69" s="592"/>
      <c r="O69" s="592"/>
      <c r="P69" s="592"/>
      <c r="Q69" s="592"/>
      <c r="R69" s="592"/>
      <c r="S69" s="592"/>
      <c r="T69" s="468" cm="1" t="str">
        <f t="array" ref="T69:T69">T68</f>
        <v>false</v>
      </c>
      <c r="U69" s="1324"/>
      <c r="V69" s="1324"/>
      <c r="W69" s="1324"/>
      <c r="X69" s="1617"/>
      <c r="Y69" s="1324"/>
      <c r="Z69" s="1618"/>
      <c r="AA69" s="1324"/>
      <c r="AB69" s="814" t="s">
        <v>1411</v>
      </c>
      <c r="AC69" s="820" t="s">
        <v>1429</v>
      </c>
      <c r="AD69" s="821" t="s">
        <v>936</v>
      </c>
      <c r="AE69" s="809">
        <f>_xlfn.SUMIFS(Административные!AE$25:AE$103,Административные!$F$25:$F$103,$F69,Административные!$G$25:$G$103,$G69)</f>
        <v>0</v>
      </c>
      <c r="AF69" s="809">
        <f>_xlfn.SUMIFS(Административные!AF$25:AF$103,Административные!$F$25:$F$103,$F69,Административные!$G$25:$G$103,$G69)</f>
        <v>0</v>
      </c>
      <c r="AG69" s="809">
        <f>_xlfn.SUMIFS(Административные!AG$25:AG$103,Административные!$F$25:$F$103,$F69,Административные!$G$25:$G$103,$G69)</f>
        <v>0</v>
      </c>
      <c r="AH69" s="809">
        <f>AG69-AF69</f>
        <v>0</v>
      </c>
      <c r="AI69" s="809">
        <f>_xlfn.SUMIFS(Административные!AH$25:AH$103,Административные!$F$25:$F$103,$F69,Административные!$G$25:$G$103,$G69)</f>
        <v>0</v>
      </c>
      <c r="AJ69" s="809">
        <f>_xlfn.SUMIFS(Административные!AI$25:AI$103,Административные!$F$25:$F$103,$F69,Административные!$G$25:$G$103,$G69)</f>
        <v>0</v>
      </c>
      <c r="AK69" s="809">
        <f>_xlfn.SUMIFS(Административные!AJ$25:AJ$103,Административные!$F$25:$F$103,$F69,Административные!$G$25:$G$103,$G69)</f>
        <v>0</v>
      </c>
      <c r="AL69" s="809">
        <f>IF(AI69=0,0,(AK69-AI69)/AI69*100)</f>
        <v>0</v>
      </c>
      <c r="AM69" s="6039"/>
      <c r="AN69" s="6040" t="str">
        <f>IF(_xlfn.IFERROR(INDEX(Административные!$K$26:$L$103,MATCH($F65&amp;"5komm",Административные!$K$26:$K$103,0),2),"")=0,"",_xlfn.IFERROR(INDEX(Административные!$K$26:$L$103,MATCH($F65&amp;"5komm",Административные!$K$26:$K$103,0),2),""))</f>
        <v/>
      </c>
      <c r="AO69" s="6039"/>
      <c r="AP69" s="1324"/>
      <c r="AQ69" s="1324"/>
      <c r="AR69" s="1070" t="s">
        <v>2060</v>
      </c>
      <c r="AS69" s="1070"/>
      <c r="AT69" s="1070"/>
      <c r="AU69" s="1067"/>
      <c r="AV69" s="1067"/>
    </row>
    <row customHeight="1" ht="14.625" hidden="1">
      <c r="A70" s="1324"/>
      <c r="B70" s="1324"/>
      <c r="C70" s="1324"/>
      <c r="D70" s="1324"/>
      <c r="E70" s="701">
        <v>15</v>
      </c>
      <c r="F70" s="50" cm="1" t="str">
        <f t="array" ref="F70:F70">OFFSET(E70,-1,1)</f>
        <v>0</v>
      </c>
      <c r="G70" s="582" t="s">
        <v>1431</v>
      </c>
      <c r="H70" s="1324"/>
      <c r="I70" s="592" t="s">
        <v>1415</v>
      </c>
      <c r="J70" s="592"/>
      <c r="K70" s="592"/>
      <c r="L70" s="592"/>
      <c r="M70" s="592"/>
      <c r="N70" s="592"/>
      <c r="O70" s="592"/>
      <c r="P70" s="592"/>
      <c r="Q70" s="592"/>
      <c r="R70" s="592"/>
      <c r="S70" s="592"/>
      <c r="T70" s="468" cm="1" t="str">
        <f t="array" ref="T70:T70">T69</f>
        <v>false</v>
      </c>
      <c r="U70" s="1324"/>
      <c r="V70" s="1324"/>
      <c r="W70" s="1324"/>
      <c r="X70" s="1617"/>
      <c r="Y70" s="1324"/>
      <c r="Z70" s="1618"/>
      <c r="AA70" s="1324"/>
      <c r="AB70" s="814" t="s">
        <v>1416</v>
      </c>
      <c r="AC70" s="820" t="s">
        <v>2061</v>
      </c>
      <c r="AD70" s="821" t="s">
        <v>936</v>
      </c>
      <c r="AE70" s="809">
        <f>_xlfn.SUMIFS(Административные!AE$25:AE$103,Административные!$F$25:$F$103,$F70,Административные!$G$25:$G$103,$G70)</f>
        <v>0</v>
      </c>
      <c r="AF70" s="809">
        <f>_xlfn.SUMIFS(Административные!AF$25:AF$103,Административные!$F$25:$F$103,$F70,Административные!$G$25:$G$103,$G70)</f>
        <v>0</v>
      </c>
      <c r="AG70" s="809">
        <f>_xlfn.SUMIFS(Административные!AG$25:AG$103,Административные!$F$25:$F$103,$F70,Административные!$G$25:$G$103,$G70)</f>
        <v>0</v>
      </c>
      <c r="AH70" s="809">
        <f>AG70-AF70</f>
        <v>0</v>
      </c>
      <c r="AI70" s="809">
        <f>_xlfn.SUMIFS(Административные!AH$25:AH$103,Административные!$F$25:$F$103,$F70,Административные!$G$25:$G$103,$G70)</f>
        <v>0</v>
      </c>
      <c r="AJ70" s="809">
        <f>_xlfn.SUMIFS(Административные!AI$25:AI$103,Административные!$F$25:$F$103,$F70,Административные!$G$25:$G$103,$G70)</f>
        <v>0</v>
      </c>
      <c r="AK70" s="809">
        <f>_xlfn.SUMIFS(Административные!AJ$25:AJ$103,Административные!$F$25:$F$103,$F70,Административные!$G$25:$G$103,$G70)</f>
        <v>0</v>
      </c>
      <c r="AL70" s="809">
        <f>IF(AI70=0,0,(AK70-AI70)/AI70*100)</f>
        <v>0</v>
      </c>
      <c r="AM70" s="6039"/>
      <c r="AN70" s="6040" t="str">
        <f>IF(_xlfn.IFERROR(INDEX(Административные!$K$26:$L$103,MATCH($F70&amp;"6komm",Административные!$K$26:$K$103,0),2),"")=0,"",_xlfn.IFERROR(INDEX(Административные!$K$26:$L$103,MATCH($F65&amp;"6komm",Административные!$K$26:$K$103,0),2),""))</f>
        <v/>
      </c>
      <c r="AO70" s="6039"/>
      <c r="AP70" s="1324"/>
      <c r="AQ70" s="1324"/>
      <c r="AR70" s="1070" t="s">
        <v>2062</v>
      </c>
      <c r="AS70" s="1070"/>
      <c r="AT70" s="1070"/>
      <c r="AU70" s="1067"/>
      <c r="AV70" s="1067"/>
    </row>
    <row customHeight="1" ht="14.625" hidden="1">
      <c r="A71" s="1324"/>
      <c r="B71" s="1324"/>
      <c r="C71" s="1324"/>
      <c r="D71" s="1324"/>
      <c r="E71" s="701">
        <v>15</v>
      </c>
      <c r="F71" s="50" cm="1" t="str">
        <f t="array" ref="F71:F71">OFFSET(E71,-1,1)</f>
        <v>0</v>
      </c>
      <c r="G71" s="582" t="s">
        <v>1433</v>
      </c>
      <c r="H71" s="1324"/>
      <c r="I71" s="592" t="s">
        <v>2063</v>
      </c>
      <c r="J71" s="592"/>
      <c r="K71" s="592"/>
      <c r="L71" s="592"/>
      <c r="M71" s="592"/>
      <c r="N71" s="592"/>
      <c r="O71" s="592"/>
      <c r="P71" s="592"/>
      <c r="Q71" s="592"/>
      <c r="R71" s="592"/>
      <c r="S71" s="592"/>
      <c r="T71" s="468" cm="1" t="str">
        <f t="array" ref="T71:T71">T70</f>
        <v>false</v>
      </c>
      <c r="U71" s="1324"/>
      <c r="V71" s="1324"/>
      <c r="W71" s="1324"/>
      <c r="X71" s="1617"/>
      <c r="Y71" s="1324"/>
      <c r="Z71" s="1618"/>
      <c r="AA71" s="1324"/>
      <c r="AB71" s="814" t="s">
        <v>2064</v>
      </c>
      <c r="AC71" s="815" t="s">
        <v>2065</v>
      </c>
      <c r="AD71" s="821" t="s">
        <v>936</v>
      </c>
      <c r="AE71" s="809">
        <f>_xlfn.SUMIFS(Административные!AE$25:AE$103,Административные!$F$25:$F$103,$F71,Административные!$G$25:$G$103,$G71)</f>
        <v>0</v>
      </c>
      <c r="AF71" s="809">
        <f>_xlfn.SUMIFS(Административные!AF$25:AF$103,Административные!$F$25:$F$103,$F71,Административные!$G$25:$G$103,$G71)</f>
        <v>0</v>
      </c>
      <c r="AG71" s="809">
        <f>_xlfn.SUMIFS(Административные!AG$25:AG$103,Административные!$F$25:$F$103,$F71,Административные!$G$25:$G$103,$G71)</f>
        <v>0</v>
      </c>
      <c r="AH71" s="809">
        <f>AG71-AF71</f>
        <v>0</v>
      </c>
      <c r="AI71" s="809">
        <f>_xlfn.SUMIFS(Административные!AH$25:AH$103,Административные!$F$25:$F$103,$F71,Административные!$G$25:$G$103,$G71)</f>
        <v>0</v>
      </c>
      <c r="AJ71" s="809">
        <f>_xlfn.SUMIFS(Административные!AI$25:AI$103,Административные!$F$25:$F$103,$F71,Административные!$G$25:$G$103,$G71)</f>
        <v>0</v>
      </c>
      <c r="AK71" s="809">
        <f>_xlfn.SUMIFS(Административные!AJ$25:AJ$103,Административные!$F$25:$F$103,$F71,Административные!$G$25:$G$103,$G71)</f>
        <v>0</v>
      </c>
      <c r="AL71" s="809">
        <f>IF(AI71=0,0,(AK71-AI71)/AI71*100)</f>
        <v>0</v>
      </c>
      <c r="AM71" s="6039"/>
      <c r="AN71" s="6040" t="str">
        <f>IF(_xlfn.IFERROR(INDEX(Административные!$K$26:$L$103,MATCH($F71&amp;"7komm",Административные!$K$26:$K$103,0),2),"")=0,"",_xlfn.IFERROR(INDEX(Административные!$K$26:$L$103,MATCH($F66&amp;"7komm",Административные!$K$26:$K$103,0),2),""))</f>
        <v/>
      </c>
      <c r="AO71" s="6039"/>
      <c r="AP71" s="1324"/>
      <c r="AQ71" s="1324"/>
      <c r="AR71" s="1070" t="s">
        <v>2066</v>
      </c>
      <c r="AS71" s="1070"/>
      <c r="AT71" s="1070"/>
      <c r="AU71" s="1067"/>
      <c r="AV71" s="1067"/>
    </row>
    <row customHeight="1" ht="43.875" hidden="1">
      <c r="A72" s="1324"/>
      <c r="B72" s="1324"/>
      <c r="C72" s="1324"/>
      <c r="D72" s="1324"/>
      <c r="E72" s="701">
        <v>45</v>
      </c>
      <c r="F72" s="50" cm="1" t="str">
        <f t="array" ref="F72:F72">OFFSET(E72,-1,1)</f>
        <v>0</v>
      </c>
      <c r="G72" s="582" t="s">
        <v>1436</v>
      </c>
      <c r="H72" s="1324"/>
      <c r="I72" s="592" t="s">
        <v>2067</v>
      </c>
      <c r="J72" s="592"/>
      <c r="K72" s="592"/>
      <c r="L72" s="592"/>
      <c r="M72" s="592"/>
      <c r="N72" s="592"/>
      <c r="O72" s="592"/>
      <c r="P72" s="592"/>
      <c r="Q72" s="592"/>
      <c r="R72" s="592"/>
      <c r="S72" s="592"/>
      <c r="T72" s="468" cm="1" t="str">
        <f t="array" ref="T72:T72">T71</f>
        <v>false</v>
      </c>
      <c r="U72" s="1324"/>
      <c r="V72" s="1324"/>
      <c r="W72" s="1324"/>
      <c r="X72" s="1617"/>
      <c r="Y72" s="1324"/>
      <c r="Z72" s="1618"/>
      <c r="AA72" s="1324"/>
      <c r="AB72" s="814" t="s">
        <v>2068</v>
      </c>
      <c r="AC72" s="769" t="s">
        <v>1437</v>
      </c>
      <c r="AD72" s="821" t="s">
        <v>936</v>
      </c>
      <c r="AE72" s="809">
        <f>_xlfn.SUMIFS(Административные!AE$25:AE$103,Административные!$F$25:$F$103,$F72,Административные!$G$25:$G$103,$G72)</f>
        <v>0</v>
      </c>
      <c r="AF72" s="809">
        <f>_xlfn.SUMIFS(Административные!AF$25:AF$103,Административные!$F$25:$F$103,$F72,Административные!$G$25:$G$103,$G72)</f>
        <v>0</v>
      </c>
      <c r="AG72" s="809">
        <f>_xlfn.SUMIFS(Административные!AG$25:AG$103,Административные!$F$25:$F$103,$F72,Административные!$G$25:$G$103,$G72)</f>
        <v>0</v>
      </c>
      <c r="AH72" s="809">
        <f>AG72-AF72</f>
        <v>0</v>
      </c>
      <c r="AI72" s="809">
        <f>_xlfn.SUMIFS(Административные!AH$25:AH$103,Административные!$F$25:$F$103,$F72,Административные!$G$25:$G$103,$G72)</f>
        <v>0</v>
      </c>
      <c r="AJ72" s="809">
        <f>_xlfn.SUMIFS(Административные!AI$25:AI$103,Административные!$F$25:$F$103,$F72,Административные!$G$25:$G$103,$G72)</f>
        <v>0</v>
      </c>
      <c r="AK72" s="809">
        <f>_xlfn.SUMIFS(Административные!AJ$25:AJ$103,Административные!$F$25:$F$103,$F72,Административные!$G$25:$G$103,$G72)</f>
        <v>0</v>
      </c>
      <c r="AL72" s="809">
        <f>IF(AI72=0,0,(AK72-AI72)/AI72*100)</f>
        <v>0</v>
      </c>
      <c r="AM72" s="6039"/>
      <c r="AN72" s="6040" t="str">
        <f>IF(_xlfn.IFERROR(INDEX(Административные!$K$26:$L$103,MATCH($F72&amp;"8komm",Административные!$K$26:$K$103,0),2),"")=0,"",_xlfn.IFERROR(INDEX(Административные!$K$26:$L$103,MATCH($F67&amp;"8komm",Административные!$K$26:$K$103,0),2),""))</f>
        <v/>
      </c>
      <c r="AO72" s="6039"/>
      <c r="AP72" s="1324"/>
      <c r="AQ72" s="1324"/>
      <c r="AR72" s="1070" t="s">
        <v>2069</v>
      </c>
      <c r="AS72" s="1070"/>
      <c r="AT72" s="1070"/>
      <c r="AU72" s="1067"/>
      <c r="AV72" s="1067"/>
    </row>
    <row customHeight="1" ht="14.625" hidden="1">
      <c r="A73" s="1324"/>
      <c r="B73" s="1324"/>
      <c r="C73" s="1324"/>
      <c r="D73" s="1324"/>
      <c r="E73" s="701">
        <v>15</v>
      </c>
      <c r="F73" s="50" cm="1" t="str">
        <f t="array" ref="F73:F73">OFFSET(E73,-1,1)</f>
        <v>0</v>
      </c>
      <c r="G73" s="582" t="s">
        <v>1439</v>
      </c>
      <c r="H73" s="1324"/>
      <c r="I73" s="592" t="s">
        <v>2070</v>
      </c>
      <c r="J73" s="592"/>
      <c r="K73" s="592"/>
      <c r="L73" s="592"/>
      <c r="M73" s="592"/>
      <c r="N73" s="592"/>
      <c r="O73" s="592"/>
      <c r="P73" s="592"/>
      <c r="Q73" s="592"/>
      <c r="R73" s="592"/>
      <c r="S73" s="592"/>
      <c r="T73" s="468" cm="1" t="str">
        <f t="array" ref="T73:T73">T72</f>
        <v>false</v>
      </c>
      <c r="U73" s="1324"/>
      <c r="V73" s="1324"/>
      <c r="W73" s="1324"/>
      <c r="X73" s="1617"/>
      <c r="Y73" s="1324"/>
      <c r="Z73" s="1618"/>
      <c r="AA73" s="1324"/>
      <c r="AB73" s="814" t="s">
        <v>2071</v>
      </c>
      <c r="AC73" s="815" t="s">
        <v>1440</v>
      </c>
      <c r="AD73" s="821" t="s">
        <v>936</v>
      </c>
      <c r="AE73" s="809">
        <f>_xlfn.SUMIFS(Административные!AE$25:AE$103,Административные!$F$25:$F$103,$F73,Административные!$G$25:$G$103,$G73)</f>
        <v>0</v>
      </c>
      <c r="AF73" s="809">
        <f>_xlfn.SUMIFS(Административные!AF$25:AF$103,Административные!$F$25:$F$103,$F73,Административные!$G$25:$G$103,$G73)</f>
        <v>0</v>
      </c>
      <c r="AG73" s="809">
        <f>_xlfn.SUMIFS(Административные!AG$25:AG$103,Административные!$F$25:$F$103,$F73,Административные!$G$25:$G$103,$G73)</f>
        <v>0</v>
      </c>
      <c r="AH73" s="809">
        <f>AG73-AF73</f>
        <v>0</v>
      </c>
      <c r="AI73" s="809">
        <f>_xlfn.SUMIFS(Административные!AH$25:AH$103,Административные!$F$25:$F$103,$F73,Административные!$G$25:$G$103,$G73)</f>
        <v>0</v>
      </c>
      <c r="AJ73" s="1125">
        <f>_xlfn.SUMIFS(Административные!AI$25:AI$103,Административные!$F$25:$F$103,$F73,Административные!$G$25:$G$103,$G73)</f>
        <v>0</v>
      </c>
      <c r="AK73" s="1125">
        <f>_xlfn.SUMIFS(Административные!AJ$25:AJ$103,Административные!$F$25:$F$103,$F73,Административные!$G$25:$G$103,$G73)</f>
        <v>0</v>
      </c>
      <c r="AL73" s="809">
        <f>IF(AI73=0,0,(AK73-AI73)/AI73*100)</f>
        <v>0</v>
      </c>
      <c r="AM73" s="6039"/>
      <c r="AN73" s="6040" t="str">
        <f>IF(_xlfn.IFERROR(INDEX(Административные!$K$26:$L$103,MATCH($F73&amp;"9komm",Административные!$K$26:$K$103,0),2),"")=0,"",_xlfn.IFERROR(INDEX(Административные!$K$26:$L$103,MATCH($F68&amp;"9komm",Административные!$K$26:$K$103,0),2),""))</f>
        <v/>
      </c>
      <c r="AO73" s="6039"/>
      <c r="AP73" s="1324"/>
      <c r="AQ73" s="1324"/>
      <c r="AR73" s="1070" t="s">
        <v>2072</v>
      </c>
      <c r="AS73" s="1070"/>
      <c r="AT73" s="1070"/>
      <c r="AU73" s="1067"/>
      <c r="AV73" s="1067"/>
    </row>
    <row s="593" customFormat="1" customHeight="1" ht="14.625" hidden="1">
      <c r="A74" s="593"/>
      <c r="B74" s="593">
        <f>STATUS_GO="да"</f>
        <v>0</v>
      </c>
      <c r="C74" s="593"/>
      <c r="D74" s="593"/>
      <c r="E74" s="703">
        <v>15</v>
      </c>
      <c r="F74" s="50" cm="1" t="str">
        <f t="array" ref="F74:F74">OFFSET(E74,-1,1)</f>
        <v>0</v>
      </c>
      <c r="G74" s="593"/>
      <c r="H74" s="593"/>
      <c r="I74" s="704" t="s">
        <v>348</v>
      </c>
      <c r="J74" s="704"/>
      <c r="K74" s="704"/>
      <c r="L74" s="704"/>
      <c r="M74" s="704"/>
      <c r="N74" s="704"/>
      <c r="O74" s="704"/>
      <c r="P74" s="704"/>
      <c r="Q74" s="704"/>
      <c r="R74" s="704"/>
      <c r="S74" s="704"/>
      <c r="T74" s="468" cm="1" t="str">
        <f t="array" ref="T74:T74">T73</f>
        <v>false</v>
      </c>
      <c r="U74" s="593"/>
      <c r="V74" s="593"/>
      <c r="W74" s="593"/>
      <c r="X74" s="1617"/>
      <c r="Y74" s="593"/>
      <c r="Z74" s="1618"/>
      <c r="AA74" s="593"/>
      <c r="AB74" s="811" t="s">
        <v>451</v>
      </c>
      <c r="AC74" s="807" t="s">
        <v>2073</v>
      </c>
      <c r="AD74" s="819" t="s">
        <v>936</v>
      </c>
      <c r="AE74" s="808">
        <f>_xlfn.SUMIFS('Сбытовые расходы ГО'!AE$25:AE$75,'Сбытовые расходы ГО'!$F$25:$F$75,$F74,'Сбытовые расходы ГО'!$G$25:$G$75,"l0")</f>
        <v>0</v>
      </c>
      <c r="AF74" s="808">
        <f>_xlfn.SUMIFS('Сбытовые расходы ГО'!AF$25:AF$75,'Сбытовые расходы ГО'!$F$25:$F$75,$F74,'Сбытовые расходы ГО'!$G$25:$G$75,"l0")</f>
        <v>0</v>
      </c>
      <c r="AG74" s="808">
        <f>_xlfn.SUMIFS('Сбытовые расходы ГО'!AG$25:AG$75,'Сбытовые расходы ГО'!$F$25:$F$75,$F74,'Сбытовые расходы ГО'!$G$25:$G$75,"l0")</f>
        <v>0</v>
      </c>
      <c r="AH74" s="808">
        <f>AG74-AF74</f>
        <v>0</v>
      </c>
      <c r="AI74" s="808">
        <f>_xlfn.SUMIFS('Сбытовые расходы ГО'!AH$25:AH$75,'Сбытовые расходы ГО'!$F$25:$F$75,$F74,'Сбытовые расходы ГО'!$G$25:$G$75,"l0")</f>
        <v>0</v>
      </c>
      <c r="AJ74" s="808">
        <f>_xlfn.SUMIFS('Сбытовые расходы ГО'!AI$25:AI$75,'Сбытовые расходы ГО'!$F$25:$F$75,$F74,'Сбытовые расходы ГО'!$G$25:$G$75,"l0")</f>
        <v>0</v>
      </c>
      <c r="AK74" s="808">
        <f>_xlfn.SUMIFS('Сбытовые расходы ГО'!AJ$25:AJ$75,'Сбытовые расходы ГО'!$F$25:$F$75,$F74,'Сбытовые расходы ГО'!$G$25:$G$75,"l0")</f>
        <v>0</v>
      </c>
      <c r="AL74" s="808">
        <f>IF(AI74=0,0,(AK74-AI74)/AI74*100)</f>
        <v>0</v>
      </c>
      <c r="AM74" s="6047"/>
      <c r="AN74" s="6040"/>
      <c r="AO74" s="6047"/>
      <c r="AP74" s="593"/>
      <c r="AQ74" s="593"/>
      <c r="AR74" s="1071" t="s">
        <v>2074</v>
      </c>
      <c r="AS74" s="1071"/>
      <c r="AT74" s="1071"/>
      <c r="AU74" s="703"/>
      <c r="AV74" s="703"/>
    </row>
    <row s="593" customFormat="1" customHeight="1" ht="14.625" hidden="1">
      <c r="A75" s="593"/>
      <c r="B75" s="593"/>
      <c r="C75" s="593"/>
      <c r="D75" s="593"/>
      <c r="E75" s="703">
        <v>15</v>
      </c>
      <c r="F75" s="50" cm="1" t="str">
        <f t="array" ref="F75:F75">OFFSET(E75,-1,1)</f>
        <v>0</v>
      </c>
      <c r="G75" s="593"/>
      <c r="H75" s="593"/>
      <c r="I75" s="704" t="s">
        <v>347</v>
      </c>
      <c r="J75" s="704"/>
      <c r="K75" s="704"/>
      <c r="L75" s="704"/>
      <c r="M75" s="704"/>
      <c r="N75" s="704"/>
      <c r="O75" s="704"/>
      <c r="P75" s="704"/>
      <c r="Q75" s="704"/>
      <c r="R75" s="704"/>
      <c r="S75" s="704"/>
      <c r="T75" s="468" cm="1" t="str">
        <f t="array" ref="T75:T75">T74</f>
        <v>false</v>
      </c>
      <c r="U75" s="593"/>
      <c r="V75" s="593"/>
      <c r="W75" s="593"/>
      <c r="X75" s="1617"/>
      <c r="Y75" s="593"/>
      <c r="Z75" s="1618"/>
      <c r="AA75" s="593"/>
      <c r="AB75" s="811" t="s">
        <v>454</v>
      </c>
      <c r="AC75" s="594" t="s">
        <v>2075</v>
      </c>
      <c r="AD75" s="819" t="s">
        <v>936</v>
      </c>
      <c r="AE75" s="808">
        <f>_xlfn.SUMIFS(Амортизация!AE$25:AE$223,Амортизация!$F$25:$F$223,$F75,Амортизация!$AC$25:$AC$223,"Сумма амортизационных отчислений")</f>
        <v>0</v>
      </c>
      <c r="AF75" s="808">
        <f>_xlfn.SUMIFS(Амортизация!AF$25:AF$223,Амортизация!$F$25:$F$223,$F75,Амортизация!$AC$25:$AC$223,"Сумма амортизационных отчислений")</f>
        <v>0</v>
      </c>
      <c r="AG75" s="808">
        <f>_xlfn.SUMIFS(Амортизация!AG$25:AG$223,Амортизация!$F$25:$F$223,$F75,Амортизация!$AC$25:$AC$223,"Сумма амортизационных отчислений")</f>
        <v>0</v>
      </c>
      <c r="AH75" s="808">
        <f>AG75-AF75</f>
        <v>0</v>
      </c>
      <c r="AI75" s="808">
        <f>_xlfn.SUMIFS(Амортизация!AH$25:AH$223,Амортизация!$F$25:$F$223,$F75,Амортизация!$AC$25:$AC$223,"Сумма амортизационных отчислений")</f>
        <v>0</v>
      </c>
      <c r="AJ75" s="808">
        <f>_xlfn.SUMIFS(Амортизация!AI$25:AI$223,Амортизация!$F$25:$F$223,$F75,Амортизация!$AC$25:$AC$223,"Сумма амортизационных отчислений")</f>
        <v>0</v>
      </c>
      <c r="AK75" s="808">
        <f>_xlfn.SUMIFS(Амортизация!AS$25:AS$223,Амортизация!$F$25:$F$223,$F75,Амортизация!$AC$25:$AC$223,"Сумма амортизационных отчислений")</f>
        <v>0</v>
      </c>
      <c r="AL75" s="808">
        <f>IF(AI75=0,0,(AK75-AI75)/AI75*100)</f>
        <v>0</v>
      </c>
      <c r="AM75" s="6047"/>
      <c r="AN75" s="6040" t="str">
        <f>IF(_xlfn.IFERROR(INDEX(Амортизация!$K$26:$L$223,MATCH($F75&amp;"komm",Амортизация!$K$26:$K$626,0),2),"")=0,"",_xlfn.IFERROR(INDEX(Амортизация!$K$26:$L$223,MATCH($F75&amp;"komm",Амортизация!$K$26:$K$626,0),2),""))</f>
        <v/>
      </c>
      <c r="AO75" s="6047"/>
      <c r="AP75" s="593"/>
      <c r="AQ75" s="593"/>
      <c r="AR75" s="1071" t="s">
        <v>1435</v>
      </c>
      <c r="AS75" s="1071"/>
      <c r="AT75" s="1071"/>
      <c r="AU75" s="703"/>
      <c r="AV75" s="703"/>
    </row>
    <row customHeight="1" ht="14.625" hidden="1">
      <c r="A76" s="1324"/>
      <c r="B76" s="1324"/>
      <c r="C76" s="1324"/>
      <c r="D76" s="1324"/>
      <c r="E76" s="701">
        <v>15</v>
      </c>
      <c r="F76" s="50" cm="1" t="str">
        <f t="array" ref="F76:F76">OFFSET(E76,-1,1)</f>
        <v>0</v>
      </c>
      <c r="G76" s="1324"/>
      <c r="H76" s="1324"/>
      <c r="I76" s="592" t="s">
        <v>673</v>
      </c>
      <c r="J76" s="592"/>
      <c r="K76" s="592"/>
      <c r="L76" s="592"/>
      <c r="M76" s="592"/>
      <c r="N76" s="592"/>
      <c r="O76" s="592"/>
      <c r="P76" s="592"/>
      <c r="Q76" s="592"/>
      <c r="R76" s="592"/>
      <c r="S76" s="592"/>
      <c r="T76" s="468" cm="1" t="str">
        <f t="array" ref="T76:T76">T75</f>
        <v>false</v>
      </c>
      <c r="U76" s="1324"/>
      <c r="V76" s="1324"/>
      <c r="W76" s="1324"/>
      <c r="X76" s="1617"/>
      <c r="Y76" s="1324"/>
      <c r="Z76" s="1618"/>
      <c r="AA76" s="1324"/>
      <c r="AB76" s="814" t="s">
        <v>801</v>
      </c>
      <c r="AC76" s="820" t="s">
        <v>2076</v>
      </c>
      <c r="AD76" s="821" t="s">
        <v>936</v>
      </c>
      <c r="AE76" s="6057">
        <f>_xlfn.SUMIFS('ИП + источники'!AF$27:AF$174,'ИП + источники'!$F$27:$F$174,$F76,'ИП + источники'!$AC$27:$AC$174,"Амортизационные отчисления")+_xlfn.SUMIFS('ИП + источники'!AF$27:AF$174,'ИП + источники'!$F$27:$F$174,$F76,'ИП + источники'!$AC$27:$AC$174,"погашение займов и кредитов из амортизации")</f>
        <v>0</v>
      </c>
      <c r="AF76" s="6057">
        <f>_xlfn.SUMIFS('ИП + источники'!AG$27:AG$174,'ИП + источники'!$F$27:$F$174,$F76,'ИП + источники'!$AC$27:$AC$174,"Амортизационные отчисления")+_xlfn.SUMIFS('ИП + источники'!AG$27:AG$174,'ИП + источники'!$F$27:$F$174,$F76,'ИП + источники'!$AC$27:$AC$174,"погашение займов и кредитов из амортизации")</f>
        <v>0</v>
      </c>
      <c r="AG76" s="6057">
        <f>_xlfn.SUMIFS('ИП + источники'!AH$27:AH$174,'ИП + источники'!$F$27:$F$174,$F76,'ИП + источники'!$AC$27:$AC$174,"Амортизационные отчисления")+_xlfn.SUMIFS('ИП + источники'!AH$27:AH$174,'ИП + источники'!$F$27:$F$174,$F76,'ИП + источники'!$AC$27:$AC$174,"погашение займов и кредитов из амортизации")</f>
        <v>0</v>
      </c>
      <c r="AH76" s="809">
        <f>AG76-AF76</f>
        <v>0</v>
      </c>
      <c r="AI76" s="6057">
        <f>_xlfn.SUMIFS('ИП + источники'!AH$27:AH$174,'ИП + источники'!$F$27:$F$174,$F76,'ИП + источники'!$AC$27:$AC$174,"Амортизационные отчисления")+_xlfn.SUMIFS('ИП + источники'!AH$27:AH$174,'ИП + источники'!$F$27:$F$174,$F76,'ИП + источники'!$AC$27:$AC$174,"погашение займов и кредитов из амортизации")</f>
        <v>0</v>
      </c>
      <c r="AJ76" s="6057">
        <f>_xlfn.SUMIFS('ИП + источники'!AI$27:AI$174,'ИП + источники'!$F$27:$F$174,$F76,'ИП + источники'!$AC$27:$AC$174,"Амортизационные отчисления")+_xlfn.SUMIFS('ИП + источники'!AI$27:AI$174,'ИП + источники'!$F$27:$F$174,$F76,'ИП + источники'!$AC$27:$AC$174,"погашение займов и кредитов из амортизации")</f>
        <v>0</v>
      </c>
      <c r="AK76" s="6057">
        <f>_xlfn.SUMIFS('ИП + источники'!AJ$27:AJ$174,'ИП + источники'!$F$27:$F$174,$F76,'ИП + источники'!$AC$27:$AC$174,"Амортизационные отчисления")+_xlfn.SUMIFS('ИП + источники'!AJ$27:AJ$174,'ИП + источники'!$F$27:$F$174,$F76,'ИП + источники'!$AC$27:$AC$174,"погашение займов и кредитов из амортизации")</f>
        <v>0</v>
      </c>
      <c r="AL76" s="809">
        <f>IF(AI76=0,0,(AK76-AI76)/AI76*100)</f>
        <v>0</v>
      </c>
      <c r="AM76" s="6039"/>
      <c r="AN76" s="6039"/>
      <c r="AO76" s="6039"/>
      <c r="AP76" s="1324"/>
      <c r="AQ76" s="1324"/>
      <c r="AR76" s="1070" t="s">
        <v>2077</v>
      </c>
      <c r="AS76" s="1070"/>
      <c r="AT76" s="1070"/>
      <c r="AU76" s="1067"/>
      <c r="AV76" s="1067"/>
    </row>
    <row s="593" customFormat="1" customHeight="1" ht="21.9375" hidden="1">
      <c r="A77" s="593"/>
      <c r="B77" s="593"/>
      <c r="C77" s="593"/>
      <c r="D77" s="593"/>
      <c r="E77" s="703">
        <v>22.5</v>
      </c>
      <c r="F77" s="50" cm="1" t="str">
        <f t="array" ref="F77:F77">OFFSET(E77,-1,1)</f>
        <v>0</v>
      </c>
      <c r="G77" s="593"/>
      <c r="H77" s="593"/>
      <c r="I77" s="704" t="s">
        <v>616</v>
      </c>
      <c r="J77" s="704"/>
      <c r="K77" s="704"/>
      <c r="L77" s="704"/>
      <c r="M77" s="704"/>
      <c r="N77" s="704"/>
      <c r="O77" s="704"/>
      <c r="P77" s="704"/>
      <c r="Q77" s="704"/>
      <c r="R77" s="704"/>
      <c r="S77" s="704"/>
      <c r="T77" s="468" cm="1" t="str">
        <f t="array" ref="T77:T77">T76</f>
        <v>false</v>
      </c>
      <c r="U77" s="593"/>
      <c r="V77" s="593"/>
      <c r="W77" s="593"/>
      <c r="X77" s="1617"/>
      <c r="Y77" s="593"/>
      <c r="Z77" s="1618"/>
      <c r="AA77" s="593"/>
      <c r="AB77" s="811" t="s">
        <v>457</v>
      </c>
      <c r="AC77" s="594" t="s">
        <v>2078</v>
      </c>
      <c r="AD77" s="819" t="s">
        <v>936</v>
      </c>
      <c r="AE77" s="808">
        <f>_xlfn.SUMIFS(Аренда!AE$25:AE$67,Аренда!$F$25:$F$67,$F77,Аренда!$G$25:$G$67,"Арендная и концессионная плата, лизинговые платежи")</f>
        <v>0</v>
      </c>
      <c r="AF77" s="808">
        <f>_xlfn.SUMIFS(Аренда!AF$25:AF$67,Аренда!$F$25:$F$67,$F77,Аренда!$G$25:$G$67,"Арендная и концессионная плата, лизинговые платежи")</f>
        <v>0</v>
      </c>
      <c r="AG77" s="808">
        <f>_xlfn.SUMIFS(Аренда!AG$25:AG$67,Аренда!$F$25:$F$67,$F77,Аренда!$G$25:$G$67,"Арендная и концессионная плата, лизинговые платежи")</f>
        <v>0</v>
      </c>
      <c r="AH77" s="808">
        <f>AG77-AF77</f>
        <v>0</v>
      </c>
      <c r="AI77" s="808">
        <f>_xlfn.SUMIFS(Аренда!AH$25:AH$67,Аренда!$F$25:$F$67,$F77,Аренда!$G$25:$G$67,"Арендная и концессионная плата, лизинговые платежи")</f>
        <v>0</v>
      </c>
      <c r="AJ77" s="808">
        <f>_xlfn.SUMIFS(Аренда!AI$25:AI$67,Аренда!$F$25:$F$67,$F77,Аренда!$G$25:$G$67,"Арендная и концессионная плата, лизинговые платежи")</f>
        <v>0</v>
      </c>
      <c r="AK77" s="808">
        <f>_xlfn.SUMIFS(Аренда!AS$25:AS$67,Аренда!$F$25:$F$67,$F77,Аренда!$G$25:$G$67,"Арендная и концессионная плата, лизинговые платежи")</f>
        <v>0</v>
      </c>
      <c r="AL77" s="808">
        <f>IF(AI77=0,0,(AK77-AI77)/AI77*100)</f>
        <v>0</v>
      </c>
      <c r="AM77" s="6047"/>
      <c r="AN77" s="6040" t="str">
        <f>IF(_xlfn.IFERROR(INDEX(Аренда!$K$26:$L$67,MATCH($F77&amp;"komm",Аренда!$K$26:$K$67,0),2),"")=0,"",_xlfn.IFERROR(INDEX(Аренда!$K$26:$L$67,MATCH($F77&amp;"komm",Аренда!$K$26:$K$67,0),2),""))</f>
        <v/>
      </c>
      <c r="AO77" s="6047"/>
      <c r="AP77" s="593"/>
      <c r="AQ77" s="593"/>
      <c r="AR77" s="1071" t="s">
        <v>2079</v>
      </c>
      <c r="AS77" s="1071"/>
      <c r="AT77" s="1071"/>
      <c r="AU77" s="703"/>
      <c r="AV77" s="703"/>
    </row>
    <row s="593" customFormat="1" customHeight="1" ht="14.625" hidden="1">
      <c r="A78" s="593"/>
      <c r="B78" s="593"/>
      <c r="C78" s="593"/>
      <c r="D78" s="593"/>
      <c r="E78" s="703">
        <v>15</v>
      </c>
      <c r="F78" s="50" cm="1" t="str">
        <f t="array" ref="F78:F78">OFFSET(E78,-1,1)</f>
        <v>0</v>
      </c>
      <c r="G78" s="593"/>
      <c r="H78" s="593"/>
      <c r="I78" s="704" t="s">
        <v>619</v>
      </c>
      <c r="J78" s="704"/>
      <c r="K78" s="704"/>
      <c r="L78" s="704"/>
      <c r="M78" s="704"/>
      <c r="N78" s="704"/>
      <c r="O78" s="704"/>
      <c r="P78" s="704"/>
      <c r="Q78" s="704"/>
      <c r="R78" s="704"/>
      <c r="S78" s="704"/>
      <c r="T78" s="468" cm="1" t="str">
        <f t="array" ref="T78:T78">T77</f>
        <v>false</v>
      </c>
      <c r="U78" s="593"/>
      <c r="V78" s="593"/>
      <c r="W78" s="593"/>
      <c r="X78" s="1617"/>
      <c r="Y78" s="593"/>
      <c r="Z78" s="1618"/>
      <c r="AA78" s="593"/>
      <c r="AB78" s="811" t="s">
        <v>460</v>
      </c>
      <c r="AC78" s="594" t="s">
        <v>2080</v>
      </c>
      <c r="AD78" s="819" t="s">
        <v>936</v>
      </c>
      <c r="AE78" s="808">
        <f>_xlfn.SUMIFS(Налоги!AE$25:AE$83,Налоги!$F$25:$F$83,$F78,Налоги!$AC$25:$AC$83,"Налоги и платежи, относимые на указанный вид деятельности")</f>
        <v>0</v>
      </c>
      <c r="AF78" s="808">
        <f>_xlfn.SUMIFS(Налоги!AF$25:AF$83,Налоги!$F$25:$F$83,$F78,Налоги!$AC$25:$AC$83,"Налоги и платежи, относимые на указанный вид деятельности")</f>
        <v>0</v>
      </c>
      <c r="AG78" s="808">
        <f>_xlfn.SUMIFS(Налоги!AG$25:AG$83,Налоги!$F$25:$F$83,$F78,Налоги!$AC$25:$AC$83,"Налоги и платежи, относимые на указанный вид деятельности")</f>
        <v>0</v>
      </c>
      <c r="AH78" s="808">
        <f>AG78-AF78</f>
        <v>0</v>
      </c>
      <c r="AI78" s="808">
        <f>_xlfn.SUMIFS(Налоги!AH$25:AH$83,Налоги!$F$25:$F$83,$F78,Налоги!$AC$25:$AC$83,"Налоги и платежи, относимые на указанный вид деятельности")</f>
        <v>0</v>
      </c>
      <c r="AJ78" s="808">
        <f>_xlfn.SUMIFS(Налоги!AI$25:AI$83,Налоги!$F$25:$F$83,$F78,Налоги!$AC$25:$AC$83,"Налоги и платежи, относимые на указанный вид деятельности")</f>
        <v>0</v>
      </c>
      <c r="AK78" s="808">
        <f>_xlfn.SUMIFS(Налоги!AS$25:AS$83,Налоги!$F$25:$F$83,$F78,Налоги!$AC$25:$AC$83,"Налоги и платежи, относимые на указанный вид деятельности")</f>
        <v>0</v>
      </c>
      <c r="AL78" s="808">
        <f>IF(AI78=0,0,(AK78-AI78)/AI78*100)</f>
        <v>0</v>
      </c>
      <c r="AM78" s="6047"/>
      <c r="AN78" s="6040" t="str">
        <f>IF(_xlfn.IFERROR(INDEX(Налоги!$K$26:$L$83,MATCH($F78&amp;"komm",Налоги!$K$26:$K$83,0),2),"")=0,"",_xlfn.IFERROR(INDEX(Налоги!$K$26:$L$83,MATCH($F78&amp;"komm",Налоги!$K$26:$K$83,0),2),""))</f>
        <v/>
      </c>
      <c r="AO78" s="6047"/>
      <c r="AP78" s="593"/>
      <c r="AQ78" s="593"/>
      <c r="AR78" s="1071" t="s">
        <v>1464</v>
      </c>
      <c r="AS78" s="1071"/>
      <c r="AT78" s="1071"/>
      <c r="AU78" s="703"/>
      <c r="AV78" s="703"/>
    </row>
    <row s="593" customFormat="1" customHeight="1" ht="14.625" hidden="1">
      <c r="A79" s="593"/>
      <c r="B79" s="593"/>
      <c r="C79" s="593"/>
      <c r="D79" s="593"/>
      <c r="E79" s="703">
        <v>15</v>
      </c>
      <c r="F79" s="50" cm="1" t="str">
        <f t="array" ref="F79:F79">OFFSET(E79,-1,1)</f>
        <v>0</v>
      </c>
      <c r="G79" s="593"/>
      <c r="H79" s="593"/>
      <c r="I79" s="704" t="s">
        <v>685</v>
      </c>
      <c r="J79" s="704"/>
      <c r="K79" s="704"/>
      <c r="L79" s="704"/>
      <c r="M79" s="704"/>
      <c r="N79" s="704"/>
      <c r="O79" s="704"/>
      <c r="P79" s="704"/>
      <c r="Q79" s="704"/>
      <c r="R79" s="704"/>
      <c r="S79" s="704"/>
      <c r="T79" s="468" cm="1" t="str">
        <f t="array" ref="T79:T79">T78</f>
        <v>false</v>
      </c>
      <c r="U79" s="593"/>
      <c r="V79" s="593"/>
      <c r="W79" s="593"/>
      <c r="X79" s="1617"/>
      <c r="Y79" s="593"/>
      <c r="Z79" s="1618"/>
      <c r="AA79" s="593"/>
      <c r="AB79" s="811" t="s">
        <v>463</v>
      </c>
      <c r="AC79" s="594" t="s">
        <v>2081</v>
      </c>
      <c r="AD79" s="595" t="s">
        <v>936</v>
      </c>
      <c r="AE79" s="795">
        <f>AE80+AE81+AE82</f>
        <v>0</v>
      </c>
      <c r="AF79" s="795">
        <f>AF80+AF81+AF82</f>
        <v>0</v>
      </c>
      <c r="AG79" s="795">
        <f>AG80+AG81+AG82</f>
        <v>0</v>
      </c>
      <c r="AH79" s="795">
        <f>AG79-AF79</f>
        <v>0</v>
      </c>
      <c r="AI79" s="795">
        <f>AI80+AI81+AI82</f>
        <v>0</v>
      </c>
      <c r="AJ79" s="795">
        <f>AJ80+AJ81+AJ82</f>
        <v>0</v>
      </c>
      <c r="AK79" s="795">
        <f>AK80+AK81+AK82</f>
        <v>0</v>
      </c>
      <c r="AL79" s="808">
        <f>IF(AI79=0,0,(AK79-AI79)/AI79*100)</f>
        <v>0</v>
      </c>
      <c r="AM79" s="6047"/>
      <c r="AN79" s="6040"/>
      <c r="AO79" s="6047"/>
      <c r="AP79" s="593"/>
      <c r="AQ79" s="593"/>
      <c r="AR79" s="1071" t="s">
        <v>1734</v>
      </c>
      <c r="AS79" s="1071"/>
      <c r="AT79" s="1071"/>
      <c r="AU79" s="703"/>
      <c r="AV79" s="703"/>
    </row>
    <row customHeight="1" ht="14.625" hidden="1">
      <c r="A80" s="1324"/>
      <c r="B80" s="1324"/>
      <c r="C80" s="1324"/>
      <c r="D80" s="1324"/>
      <c r="E80" s="701">
        <v>15</v>
      </c>
      <c r="F80" s="50" cm="1" t="str">
        <f t="array" ref="F80:F80">OFFSET(E80,-1,1)</f>
        <v>0</v>
      </c>
      <c r="G80" s="1324"/>
      <c r="H80" s="1324"/>
      <c r="I80" s="592" t="s">
        <v>688</v>
      </c>
      <c r="J80" s="592"/>
      <c r="K80" s="592"/>
      <c r="L80" s="592"/>
      <c r="M80" s="592"/>
      <c r="N80" s="592"/>
      <c r="O80" s="592"/>
      <c r="P80" s="592"/>
      <c r="Q80" s="592"/>
      <c r="R80" s="592"/>
      <c r="S80" s="592"/>
      <c r="T80" s="468" cm="1" t="str">
        <f t="array" ref="T80:T80">T79</f>
        <v>false</v>
      </c>
      <c r="U80" s="1324"/>
      <c r="V80" s="1324"/>
      <c r="W80" s="1324"/>
      <c r="X80" s="1617"/>
      <c r="Y80" s="1324"/>
      <c r="Z80" s="1618"/>
      <c r="AA80" s="1324"/>
      <c r="AB80" s="814" t="s">
        <v>711</v>
      </c>
      <c r="AC80" s="820" t="s">
        <v>2082</v>
      </c>
      <c r="AD80" s="821" t="s">
        <v>936</v>
      </c>
      <c r="AE80" s="6057">
        <f>_xlfn.SUMIFS('ИП + источники'!AF$26:AF$174,'ИП + источники'!$F$26:$F$174,$F80,'ИП + источники'!$AC$26:$AC$174,"погашение займов и кредитов из нормативной прибыли")+_xlfn.SUMIFS('ИП + источники'!AF$26:AF$174,'ИП + источники'!$F$26:$F$174,$F80,'ИП + источники'!$AC$26:$AC$174,"уплата процентов по кредитам из нормативной прибыли")</f>
        <v>0</v>
      </c>
      <c r="AF80" s="6057">
        <f>_xlfn.SUMIFS('ИП + источники'!AG$26:AG$174,'ИП + источники'!$F$26:$F$174,$F80,'ИП + источники'!$AC$26:$AC$174,"погашение займов и кредитов из нормативной прибыли")+_xlfn.SUMIFS('ИП + источники'!AG$26:AG$174,'ИП + источники'!$F$26:$F$174,$F80,'ИП + источники'!$AC$26:$AC$174,"уплата процентов по кредитам из нормативной прибыли")</f>
        <v>0</v>
      </c>
      <c r="AG80" s="6057">
        <f>_xlfn.SUMIFS('ИП + источники'!AH$26:AH$174,'ИП + источники'!$F$26:$F$174,$F80,'ИП + источники'!$AC$26:$AC$174,"погашение займов и кредитов из нормативной прибыли")+_xlfn.SUMIFS('ИП + источники'!AH$26:AH$174,'ИП + источники'!$F$26:$F$174,$F80,'ИП + источники'!$AC$26:$AC$174,"уплата процентов по кредитам из нормативной прибыли")</f>
        <v>0</v>
      </c>
      <c r="AH80" s="809">
        <f>AG80-AF80</f>
        <v>0</v>
      </c>
      <c r="AI80" s="6057">
        <f>_xlfn.SUMIFS('ИП + источники'!AJ$26:AJ$174,'ИП + источники'!$F$26:$F$174,$F80,'ИП + источники'!$AC$26:$AC$174,"погашение займов и кредитов из нормативной прибыли")+_xlfn.SUMIFS('ИП + источники'!AJ$26:AJ$174,'ИП + источники'!$F$26:$F$174,$F80,'ИП + источники'!$AC$26:$AC$174,"уплата процентов по кредитам из нормативной прибыли")</f>
        <v>0</v>
      </c>
      <c r="AJ80" s="6057">
        <f>_xlfn.SUMIFS('ИП + источники'!AK$26:AK$174,'ИП + источники'!$F$26:$F$174,$F80,'ИП + источники'!$AC$26:$AC$174,"погашение займов и кредитов из нормативной прибыли")+_xlfn.SUMIFS('ИП + источники'!AK$26:AK$174,'ИП + источники'!$F$26:$F$174,$F80,'ИП + источники'!$AC$26:$AC$174,"уплата процентов по кредитам из нормативной прибыли")</f>
        <v>0</v>
      </c>
      <c r="AK80" s="6057">
        <f>_xlfn.SUMIFS('ИП + источники'!AU$26:AU$174,'ИП + источники'!$F$26:$F$174,$F80,'ИП + источники'!$AC$26:$AC$174,"погашение займов и кредитов из нормативной прибыли")+_xlfn.SUMIFS('ИП + источники'!AU$26:AU$174,'ИП + источники'!$F$26:$F$174,$F80,'ИП + источники'!$AC$26:$AC$174,"уплата процентов по кредитам из нормативной прибыли")</f>
        <v>0</v>
      </c>
      <c r="AL80" s="809">
        <f>IF(AI80=0,0,(AK80-AI80)/AI80*100)</f>
        <v>0</v>
      </c>
      <c r="AM80" s="6039"/>
      <c r="AN80" s="6040" t="str">
        <f>IF(_xlfn.IFERROR(INDEX('ИП + источники'!$K$57:$L$174,MATCH($F80&amp;"1komm",'ИП + источники'!$K$57:$K$174,0),2),"")=0,"",_xlfn.IFERROR(INDEX('ИП + источники'!$K$57:$L$174,MATCH($F80&amp;"1komm",'ИП + источники'!$K$57:$K$174,0),2),""))</f>
        <v/>
      </c>
      <c r="AO80" s="6039"/>
      <c r="AP80" s="1324"/>
      <c r="AQ80" s="1324"/>
      <c r="AR80" s="1070" t="s">
        <v>1456</v>
      </c>
      <c r="AS80" s="1070"/>
      <c r="AT80" s="1070"/>
      <c r="AU80" s="1067"/>
      <c r="AV80" s="1067"/>
    </row>
    <row customHeight="1" ht="14.625" hidden="1">
      <c r="A81" s="1324"/>
      <c r="B81" s="1324"/>
      <c r="C81" s="1324"/>
      <c r="D81" s="1324"/>
      <c r="E81" s="701">
        <v>15</v>
      </c>
      <c r="F81" s="50" cm="1" t="str">
        <f t="array" ref="F81:F81">OFFSET(E81,-1,1)</f>
        <v>0</v>
      </c>
      <c r="G81" s="1324"/>
      <c r="H81" s="1324"/>
      <c r="I81" s="592" t="s">
        <v>692</v>
      </c>
      <c r="J81" s="592"/>
      <c r="K81" s="592"/>
      <c r="L81" s="592"/>
      <c r="M81" s="592"/>
      <c r="N81" s="592"/>
      <c r="O81" s="592"/>
      <c r="P81" s="592"/>
      <c r="Q81" s="592"/>
      <c r="R81" s="592"/>
      <c r="S81" s="592"/>
      <c r="T81" s="468" cm="1" t="str">
        <f t="array" ref="T81:T81">T80</f>
        <v>false</v>
      </c>
      <c r="U81" s="1324"/>
      <c r="V81" s="1324"/>
      <c r="W81" s="1324"/>
      <c r="X81" s="1617"/>
      <c r="Y81" s="1324"/>
      <c r="Z81" s="1618"/>
      <c r="AA81" s="1324"/>
      <c r="AB81" s="814" t="s">
        <v>728</v>
      </c>
      <c r="AC81" s="820" t="s">
        <v>2083</v>
      </c>
      <c r="AD81" s="821" t="s">
        <v>936</v>
      </c>
      <c r="AE81" s="6057">
        <f>_xlfn.SUMIFS('ИП + источники'!AF$27:AF$174,'ИП + источники'!$F$27:$F$174,$F81,'ИП + источники'!$AC$27:$AC$174,"Прибыль на капвложения")</f>
        <v>0</v>
      </c>
      <c r="AF81" s="6057">
        <f>_xlfn.SUMIFS('ИП + источники'!AG$27:AG$174,'ИП + источники'!$F$27:$F$174,$F81,'ИП + источники'!$AC$27:$AC$174,"Прибыль на капвложения")</f>
        <v>0</v>
      </c>
      <c r="AG81" s="6057">
        <f>_xlfn.SUMIFS('ИП + источники'!AH$27:AH$174,'ИП + источники'!$F$27:$F$174,$F81,'ИП + источники'!$AC$27:$AC$174,"Прибыль на капвложения")</f>
        <v>0</v>
      </c>
      <c r="AH81" s="809">
        <f>AG81-AF81</f>
        <v>0</v>
      </c>
      <c r="AI81" s="6057">
        <f>_xlfn.SUMIFS('ИП + источники'!AJ$27:AJ$174,'ИП + источники'!$F$27:$F$174,$F81,'ИП + источники'!$AC$27:$AC$174,"Прибыль на капвложения")</f>
        <v>0</v>
      </c>
      <c r="AJ81" s="6057">
        <f>_xlfn.SUMIFS('ИП + источники'!AK$27:AK$174,'ИП + источники'!$F$27:$F$174,$F81,'ИП + источники'!$AC$27:$AC$174,"Прибыль на капвложения")</f>
        <v>0</v>
      </c>
      <c r="AK81" s="6057">
        <f>_xlfn.SUMIFS('ИП + источники'!AU$27:AU$174,'ИП + источники'!$F$27:$F$174,$F81,'ИП + источники'!$AC$27:$AC$174,"Прибыль на капвложения")</f>
        <v>0</v>
      </c>
      <c r="AL81" s="809">
        <f>IF(AI81=0,0,(AK81-AI81)/AI81*100)</f>
        <v>0</v>
      </c>
      <c r="AM81" s="6039"/>
      <c r="AN81" s="6040" t="str">
        <f>IF(_xlfn.IFERROR(INDEX('ИП + источники'!$K$57:$L$174,MATCH($F81&amp;"2komm",'ИП + источники'!$K$57:$K$174,0),2),"")=0,"",_xlfn.IFERROR(INDEX('ИП + источники'!$K$57:$L$174,MATCH($F81&amp;"2komm",'ИП + источники'!$K$57:$K$174,0),2),""))</f>
        <v/>
      </c>
      <c r="AO81" s="6039"/>
      <c r="AP81" s="1324"/>
      <c r="AQ81" s="1324"/>
      <c r="AR81" s="1070" t="s">
        <v>2084</v>
      </c>
      <c r="AS81" s="1070"/>
      <c r="AT81" s="1070"/>
      <c r="AU81" s="1067"/>
      <c r="AV81" s="1067"/>
    </row>
    <row customHeight="1" ht="21.9375" hidden="1">
      <c r="A82" s="1324"/>
      <c r="B82" s="1324"/>
      <c r="C82" s="1324"/>
      <c r="D82" s="1324"/>
      <c r="E82" s="701">
        <v>22.5</v>
      </c>
      <c r="F82" s="50" cm="1" t="str">
        <f t="array" ref="F82:F82">OFFSET(E82,-1,1)</f>
        <v>0</v>
      </c>
      <c r="G82" s="1324"/>
      <c r="H82" s="1324"/>
      <c r="I82" s="592" t="s">
        <v>696</v>
      </c>
      <c r="J82" s="592"/>
      <c r="K82" s="592"/>
      <c r="L82" s="592"/>
      <c r="M82" s="592"/>
      <c r="N82" s="592"/>
      <c r="O82" s="592"/>
      <c r="P82" s="592"/>
      <c r="Q82" s="592"/>
      <c r="R82" s="592"/>
      <c r="S82" s="592"/>
      <c r="T82" s="468" cm="1" t="str">
        <f t="array" ref="T82:T82">T81</f>
        <v>false</v>
      </c>
      <c r="U82" s="1324"/>
      <c r="V82" s="1324"/>
      <c r="W82" s="1324"/>
      <c r="X82" s="1617"/>
      <c r="Y82" s="1324"/>
      <c r="Z82" s="1618"/>
      <c r="AA82" s="1324"/>
      <c r="AB82" s="814" t="s">
        <v>740</v>
      </c>
      <c r="AC82" s="820" t="s">
        <v>2085</v>
      </c>
      <c r="AD82" s="821" t="s">
        <v>936</v>
      </c>
      <c r="AE82" s="6057"/>
      <c r="AF82" s="6057"/>
      <c r="AG82" s="6057"/>
      <c r="AH82" s="809"/>
      <c r="AI82" s="6057"/>
      <c r="AJ82" s="6057"/>
      <c r="AK82" s="6057"/>
      <c r="AL82" s="809">
        <f>IF(AI82=0,0,(AK82-AI82)/AI82*100)</f>
        <v>0</v>
      </c>
      <c r="AM82" s="6039"/>
      <c r="AN82" s="6039"/>
      <c r="AO82" s="6039"/>
      <c r="AP82" s="1324"/>
      <c r="AQ82" s="1324"/>
      <c r="AR82" s="1070" t="s">
        <v>2086</v>
      </c>
      <c r="AS82" s="1070"/>
      <c r="AT82" s="1070"/>
      <c r="AU82" s="1067"/>
      <c r="AV82" s="1067"/>
    </row>
    <row s="593" customFormat="1" customHeight="1" ht="21.9375" hidden="1">
      <c r="A83" s="593"/>
      <c r="B83" s="593">
        <f>STATUS_GO="да"</f>
        <v>0</v>
      </c>
      <c r="C83" s="593"/>
      <c r="D83" s="593"/>
      <c r="E83" s="703">
        <v>22.5</v>
      </c>
      <c r="F83" s="50" cm="1" t="str">
        <f t="array" ref="F83:F83">OFFSET(E83,-1,1)</f>
        <v>0</v>
      </c>
      <c r="G83" s="593"/>
      <c r="H83" s="593"/>
      <c r="I83" s="704" t="s">
        <v>700</v>
      </c>
      <c r="J83" s="704"/>
      <c r="K83" s="704"/>
      <c r="L83" s="704"/>
      <c r="M83" s="704"/>
      <c r="N83" s="704"/>
      <c r="O83" s="704"/>
      <c r="P83" s="704"/>
      <c r="Q83" s="704"/>
      <c r="R83" s="704"/>
      <c r="S83" s="704"/>
      <c r="T83" s="468" cm="1" t="str">
        <f t="array" ref="T83:T83">T82</f>
        <v>false</v>
      </c>
      <c r="U83" s="593"/>
      <c r="V83" s="593"/>
      <c r="W83" s="593"/>
      <c r="X83" s="1617"/>
      <c r="Y83" s="593"/>
      <c r="Z83" s="1618"/>
      <c r="AA83" s="593"/>
      <c r="AB83" s="811" t="s">
        <v>466</v>
      </c>
      <c r="AC83" s="807" t="s">
        <v>2087</v>
      </c>
      <c r="AD83" s="819" t="s">
        <v>936</v>
      </c>
      <c r="AE83" s="6054"/>
      <c r="AF83" s="6054"/>
      <c r="AG83" s="6054"/>
      <c r="AH83" s="808">
        <f>AG83-AF83</f>
        <v>0</v>
      </c>
      <c r="AI83" s="6054"/>
      <c r="AJ83" s="6054"/>
      <c r="AK83" s="6054"/>
      <c r="AL83" s="808">
        <f>IF(AI83=0,0,(AK83-AI83)/AI83*100)</f>
        <v>0</v>
      </c>
      <c r="AM83" s="6047"/>
      <c r="AN83" s="6047"/>
      <c r="AO83" s="6047"/>
      <c r="AP83" s="593"/>
      <c r="AQ83" s="593"/>
      <c r="AR83" s="1071" t="s">
        <v>2088</v>
      </c>
      <c r="AS83" s="1071"/>
      <c r="AT83" s="1071"/>
      <c r="AU83" s="703"/>
      <c r="AV83" s="703"/>
    </row>
    <row customHeight="1" ht="14.625" hidden="1">
      <c r="A84" s="1324"/>
      <c r="B84" s="1324"/>
      <c r="C84" s="1324"/>
      <c r="D84" s="1324"/>
      <c r="E84" s="701">
        <v>15</v>
      </c>
      <c r="F84" s="50" cm="1" t="str">
        <f t="array" ref="F84:F84">OFFSET(E84,-1,1)</f>
        <v>0</v>
      </c>
      <c r="G84" s="1324"/>
      <c r="H84" s="1324"/>
      <c r="I84" s="592" t="s">
        <v>707</v>
      </c>
      <c r="J84" s="592"/>
      <c r="K84" s="592"/>
      <c r="L84" s="592"/>
      <c r="M84" s="592"/>
      <c r="N84" s="592"/>
      <c r="O84" s="592"/>
      <c r="P84" s="592"/>
      <c r="Q84" s="592"/>
      <c r="R84" s="592"/>
      <c r="S84" s="592"/>
      <c r="T84" s="468" cm="1" t="str">
        <f t="array" ref="T84:T84">T83</f>
        <v>false</v>
      </c>
      <c r="U84" s="1324"/>
      <c r="V84" s="1324"/>
      <c r="W84" s="1324"/>
      <c r="X84" s="1617"/>
      <c r="Y84" s="1324"/>
      <c r="Z84" s="1618"/>
      <c r="AA84" s="1324"/>
      <c r="AB84" s="814" t="s">
        <v>469</v>
      </c>
      <c r="AC84" s="823" t="s">
        <v>1689</v>
      </c>
      <c r="AD84" s="821" t="s">
        <v>936</v>
      </c>
      <c r="AE84" s="6057"/>
      <c r="AF84" s="6057"/>
      <c r="AG84" s="6057"/>
      <c r="AH84" s="809"/>
      <c r="AI84" s="6081"/>
      <c r="AJ84" s="6081"/>
      <c r="AK84" s="6081"/>
      <c r="AL84" s="809">
        <f>IF(AI84=0,0,(AK84-AI84)/AI84*100)</f>
        <v>0</v>
      </c>
      <c r="AM84" s="6039"/>
      <c r="AN84" s="6039"/>
      <c r="AO84" s="6039"/>
      <c r="AP84" s="1324"/>
      <c r="AQ84" s="1324"/>
      <c r="AR84" s="1070" t="s">
        <v>2089</v>
      </c>
      <c r="AS84" s="1070"/>
      <c r="AT84" s="1070"/>
      <c r="AU84" s="1067"/>
      <c r="AV84" s="1067"/>
    </row>
    <row customHeight="1" ht="101.25" hidden="1">
      <c r="A85" s="1324"/>
      <c r="B85" s="1324"/>
      <c r="C85" s="1324"/>
      <c r="D85" s="1324"/>
      <c r="E85" s="701">
        <v>0</v>
      </c>
      <c r="F85" s="50" cm="1" t="str">
        <f t="array" ref="F85:F85">OFFSET(E85,-1,1)</f>
        <v>0</v>
      </c>
      <c r="G85" s="1324"/>
      <c r="H85" s="520">
        <f>ISERR(SEARCH("Водоснабжение",AB27))</f>
        <v>1</v>
      </c>
      <c r="I85" s="592" t="s">
        <v>864</v>
      </c>
      <c r="J85" s="592"/>
      <c r="K85" s="592"/>
      <c r="L85" s="592"/>
      <c r="M85" s="592"/>
      <c r="N85" s="592"/>
      <c r="O85" s="592"/>
      <c r="P85" s="592"/>
      <c r="Q85" s="592"/>
      <c r="R85" s="592"/>
      <c r="S85" s="592"/>
      <c r="T85" s="468" cm="1" t="str">
        <f t="array" ref="T85:T85">T84</f>
        <v>false</v>
      </c>
      <c r="U85" s="1324"/>
      <c r="V85" s="1324"/>
      <c r="W85" s="1324"/>
      <c r="X85" s="1617"/>
      <c r="Y85" s="1324"/>
      <c r="Z85" s="1618"/>
      <c r="AA85" s="1324"/>
      <c r="AB85" s="814" t="s">
        <v>472</v>
      </c>
      <c r="AC85" s="823" t="s">
        <v>2090</v>
      </c>
      <c r="AD85" s="766" t="s">
        <v>936</v>
      </c>
      <c r="AE85" s="6057"/>
      <c r="AF85" s="6057"/>
      <c r="AG85" s="6057"/>
      <c r="AH85" s="809">
        <f>AG85-AF85</f>
        <v>0</v>
      </c>
      <c r="AI85" s="6057"/>
      <c r="AJ85" s="6057"/>
      <c r="AK85" s="6057">
        <f>_xlfn.IFERROR(_xlfn.SUMIFS('Плата за негативное возд'!$AL$25:$AL$38,'Плата за негативное возд'!$F$25:$F$38,F85,'Плата за негативное возд'!$G$25:$G$38,"1"),0)</f>
        <v>0</v>
      </c>
      <c r="AL85" s="809">
        <f>IF(AI85=0,0,(AK85-AI85)/AI85*100)</f>
        <v>0</v>
      </c>
      <c r="AM85" s="6039"/>
      <c r="AN85" s="6039"/>
      <c r="AO85" s="6039"/>
      <c r="AP85" s="1324"/>
      <c r="AQ85" s="1324"/>
      <c r="AR85" s="1070" t="s">
        <v>1580</v>
      </c>
      <c r="AS85" s="1070"/>
      <c r="AT85" s="1070"/>
      <c r="AU85" s="1067"/>
      <c r="AV85" s="1067"/>
    </row>
    <row customHeight="1" ht="67.5" hidden="1">
      <c r="A86" s="1324"/>
      <c r="B86" s="1324"/>
      <c r="C86" s="1324"/>
      <c r="D86" s="1324"/>
      <c r="E86" s="701">
        <v>0</v>
      </c>
      <c r="F86" s="50" cm="1" t="str">
        <f t="array" ref="F86:F86">OFFSET(E86,-1,1)</f>
        <v>0</v>
      </c>
      <c r="G86" s="1324"/>
      <c r="H86" s="520">
        <f>ISERR(SEARCH("Водоснабжение",AB27))</f>
        <v>1</v>
      </c>
      <c r="I86" s="592" t="s">
        <v>866</v>
      </c>
      <c r="J86" s="592"/>
      <c r="K86" s="592"/>
      <c r="L86" s="592"/>
      <c r="M86" s="592"/>
      <c r="N86" s="592"/>
      <c r="O86" s="592"/>
      <c r="P86" s="592"/>
      <c r="Q86" s="592"/>
      <c r="R86" s="592"/>
      <c r="S86" s="592"/>
      <c r="T86" s="468" cm="1" t="str">
        <f t="array" ref="T86:T86">T85</f>
        <v>false</v>
      </c>
      <c r="U86" s="1324"/>
      <c r="V86" s="1324"/>
      <c r="W86" s="1324"/>
      <c r="X86" s="1617"/>
      <c r="Y86" s="1324"/>
      <c r="Z86" s="1618"/>
      <c r="AA86" s="1324"/>
      <c r="AB86" s="814" t="s">
        <v>475</v>
      </c>
      <c r="AC86" s="823" t="s">
        <v>2091</v>
      </c>
      <c r="AD86" s="766" t="s">
        <v>936</v>
      </c>
      <c r="AE86" s="6057"/>
      <c r="AF86" s="6057"/>
      <c r="AG86" s="6057"/>
      <c r="AH86" s="809">
        <f>AG86-AF86</f>
        <v>0</v>
      </c>
      <c r="AI86" s="6057"/>
      <c r="AJ86" s="6057"/>
      <c r="AK86" s="6057">
        <f>_xlfn.IFERROR(_xlfn.SUMIFS('Плата за негативное возд'!$AL$25:$AL$38,'Плата за негативное возд'!$F$25:$F$38,F86,'Плата за негативное возд'!$G$25:$G$38,"2"),0)</f>
        <v>0</v>
      </c>
      <c r="AL86" s="809">
        <f>IF(AI86=0,0,(AK86-AI86)/AI86*100)</f>
        <v>0</v>
      </c>
      <c r="AM86" s="6039"/>
      <c r="AN86" s="6039"/>
      <c r="AO86" s="6039"/>
      <c r="AP86" s="1324"/>
      <c r="AQ86" s="1324"/>
      <c r="AR86" s="1070" t="s">
        <v>1584</v>
      </c>
      <c r="AS86" s="1070"/>
      <c r="AT86" s="1070"/>
      <c r="AU86" s="1067"/>
      <c r="AV86" s="1067"/>
    </row>
    <row customHeight="1" ht="14.625" hidden="1">
      <c r="A87" s="1324"/>
      <c r="B87" s="1324"/>
      <c r="C87" s="1324"/>
      <c r="D87" s="1324"/>
      <c r="E87" s="701">
        <v>15</v>
      </c>
      <c r="F87" s="50" cm="1" t="str">
        <f t="array" ref="F87:F87">OFFSET(E87,-1,1)</f>
        <v>0</v>
      </c>
      <c r="G87" s="1324"/>
      <c r="H87" s="1324"/>
      <c r="I87" s="592" t="s">
        <v>914</v>
      </c>
      <c r="J87" s="592"/>
      <c r="K87" s="592"/>
      <c r="L87" s="592"/>
      <c r="M87" s="592"/>
      <c r="N87" s="592"/>
      <c r="O87" s="592"/>
      <c r="P87" s="592"/>
      <c r="Q87" s="592"/>
      <c r="R87" s="592"/>
      <c r="S87" s="592"/>
      <c r="T87" s="468" cm="1" t="str">
        <f t="array" ref="T87:T87">T86</f>
        <v>false</v>
      </c>
      <c r="U87" s="1324"/>
      <c r="V87" s="1324"/>
      <c r="W87" s="1324"/>
      <c r="X87" s="1617"/>
      <c r="Y87" s="1324"/>
      <c r="Z87" s="1618"/>
      <c r="AA87" s="1324"/>
      <c r="AB87" s="814" t="s">
        <v>478</v>
      </c>
      <c r="AC87" s="825" t="s">
        <v>2092</v>
      </c>
      <c r="AD87" s="821" t="s">
        <v>936</v>
      </c>
      <c r="AE87" s="6057"/>
      <c r="AF87" s="6057"/>
      <c r="AG87" s="6057"/>
      <c r="AH87" s="809">
        <f>AG87-AF87</f>
        <v>0</v>
      </c>
      <c r="AI87" s="6057"/>
      <c r="AJ87" s="6057"/>
      <c r="AK87" s="6057"/>
      <c r="AL87" s="809">
        <f>IF(AI87=0,0,(AK87-AI87)/AI87*100)</f>
        <v>0</v>
      </c>
      <c r="AM87" s="6039"/>
      <c r="AN87" s="6039"/>
      <c r="AO87" s="6039"/>
      <c r="AP87" s="1324"/>
      <c r="AQ87" s="1324"/>
      <c r="AR87" s="1070" t="s">
        <v>1441</v>
      </c>
      <c r="AS87" s="1070"/>
      <c r="AT87" s="1070"/>
      <c r="AU87" s="1067"/>
      <c r="AV87" s="1067"/>
    </row>
    <row s="593" customFormat="1" customHeight="1" ht="21.9375" hidden="1">
      <c r="A88" s="593"/>
      <c r="B88" s="593"/>
      <c r="C88" s="593"/>
      <c r="D88" s="593"/>
      <c r="E88" s="703">
        <v>22.5</v>
      </c>
      <c r="F88" s="50" cm="1" t="str">
        <f t="array" ref="F88:F88">OFFSET(E88,-1,1)</f>
        <v>0</v>
      </c>
      <c r="G88" s="593"/>
      <c r="H88" s="593"/>
      <c r="I88" s="704" t="s">
        <v>915</v>
      </c>
      <c r="J88" s="704"/>
      <c r="K88" s="704"/>
      <c r="L88" s="704"/>
      <c r="M88" s="704"/>
      <c r="N88" s="704"/>
      <c r="O88" s="704"/>
      <c r="P88" s="704"/>
      <c r="Q88" s="704"/>
      <c r="R88" s="704"/>
      <c r="S88" s="704"/>
      <c r="T88" s="468" cm="1" t="str">
        <f t="array" ref="T88:T88">T87</f>
        <v>false</v>
      </c>
      <c r="U88" s="593"/>
      <c r="V88" s="593"/>
      <c r="W88" s="593"/>
      <c r="X88" s="1617"/>
      <c r="Y88" s="593"/>
      <c r="Z88" s="1618"/>
      <c r="AA88" s="593"/>
      <c r="AB88" s="811" t="s">
        <v>480</v>
      </c>
      <c r="AC88" s="594" t="s">
        <v>2093</v>
      </c>
      <c r="AD88" s="819" t="s">
        <v>936</v>
      </c>
      <c r="AE88" s="795">
        <f>AE89+AE90</f>
        <v>0</v>
      </c>
      <c r="AF88" s="795">
        <f>AF89+AF90</f>
        <v>0</v>
      </c>
      <c r="AG88" s="795">
        <f>AG89+AG90</f>
        <v>0</v>
      </c>
      <c r="AH88" s="808">
        <f>AG88-AF88</f>
        <v>0</v>
      </c>
      <c r="AI88" s="795">
        <f>AI89+AI90</f>
        <v>0</v>
      </c>
      <c r="AJ88" s="795">
        <f>AJ89+AJ90</f>
        <v>0</v>
      </c>
      <c r="AK88" s="795">
        <f>AK89+AK90</f>
        <v>0</v>
      </c>
      <c r="AL88" s="808">
        <f>IF(AI88=0,0,(AK88-AI88)/AI88*100)</f>
        <v>0</v>
      </c>
      <c r="AM88" s="6047"/>
      <c r="AN88" s="6047"/>
      <c r="AO88" s="6047"/>
      <c r="AP88" s="593"/>
      <c r="AQ88" s="593"/>
      <c r="AR88" s="1071" t="s">
        <v>1772</v>
      </c>
      <c r="AS88" s="1071"/>
      <c r="AT88" s="1071"/>
      <c r="AU88" s="703"/>
      <c r="AV88" s="703"/>
    </row>
    <row customHeight="1" ht="21.9375" hidden="1">
      <c r="A89" s="1324"/>
      <c r="B89" s="1324"/>
      <c r="C89" s="1324"/>
      <c r="D89" s="1324"/>
      <c r="E89" s="701">
        <v>22.5</v>
      </c>
      <c r="F89" s="50" cm="1" t="str">
        <f t="array" ref="F89:F89">OFFSET(E89,-1,1)</f>
        <v>0</v>
      </c>
      <c r="G89" s="1324"/>
      <c r="H89" s="1324"/>
      <c r="I89" s="592" t="s">
        <v>2094</v>
      </c>
      <c r="J89" s="592"/>
      <c r="K89" s="592"/>
      <c r="L89" s="592"/>
      <c r="M89" s="592"/>
      <c r="N89" s="592"/>
      <c r="O89" s="592"/>
      <c r="P89" s="592"/>
      <c r="Q89" s="592"/>
      <c r="R89" s="592"/>
      <c r="S89" s="592"/>
      <c r="T89" s="468" cm="1" t="str">
        <f t="array" ref="T89:T89">T88</f>
        <v>false</v>
      </c>
      <c r="U89" s="1324"/>
      <c r="V89" s="1324"/>
      <c r="W89" s="1324"/>
      <c r="X89" s="1617"/>
      <c r="Y89" s="1324"/>
      <c r="Z89" s="1618"/>
      <c r="AA89" s="1324"/>
      <c r="AB89" s="814" t="s">
        <v>2095</v>
      </c>
      <c r="AC89" s="826" t="s">
        <v>1773</v>
      </c>
      <c r="AD89" s="821" t="s">
        <v>936</v>
      </c>
      <c r="AE89" s="6057"/>
      <c r="AF89" s="6057"/>
      <c r="AG89" s="6057"/>
      <c r="AH89" s="809">
        <f>AG89-AF89</f>
        <v>0</v>
      </c>
      <c r="AI89" s="6057"/>
      <c r="AJ89" s="6057"/>
      <c r="AK89" s="6057"/>
      <c r="AL89" s="809">
        <f>IF(AI89=0,0,(AK89-AI89)/AI89*100)</f>
        <v>0</v>
      </c>
      <c r="AM89" s="6039"/>
      <c r="AN89" s="6039"/>
      <c r="AO89" s="6039"/>
      <c r="AP89" s="1324"/>
      <c r="AQ89" s="1324"/>
      <c r="AR89" s="1070" t="s">
        <v>1811</v>
      </c>
      <c r="AS89" s="1070"/>
      <c r="AT89" s="1070"/>
      <c r="AU89" s="1067"/>
      <c r="AV89" s="1067"/>
    </row>
    <row customHeight="1" ht="21.9375" hidden="1">
      <c r="A90" s="1324"/>
      <c r="B90" s="1324"/>
      <c r="C90" s="1324"/>
      <c r="D90" s="1324"/>
      <c r="E90" s="701">
        <v>22.5</v>
      </c>
      <c r="F90" s="50" cm="1" t="str">
        <f t="array" ref="F90:F90">OFFSET(E90,-1,1)</f>
        <v>0</v>
      </c>
      <c r="G90" s="1324"/>
      <c r="H90" s="1324"/>
      <c r="I90" s="592" t="s">
        <v>2096</v>
      </c>
      <c r="J90" s="592"/>
      <c r="K90" s="592"/>
      <c r="L90" s="592"/>
      <c r="M90" s="592"/>
      <c r="N90" s="592"/>
      <c r="O90" s="592"/>
      <c r="P90" s="592"/>
      <c r="Q90" s="592"/>
      <c r="R90" s="592"/>
      <c r="S90" s="592"/>
      <c r="T90" s="468" cm="1" t="str">
        <f t="array" ref="T90:T90">T89</f>
        <v>false</v>
      </c>
      <c r="U90" s="1324"/>
      <c r="V90" s="1324"/>
      <c r="W90" s="1324"/>
      <c r="X90" s="1617"/>
      <c r="Y90" s="1324"/>
      <c r="Z90" s="1618"/>
      <c r="AA90" s="1324"/>
      <c r="AB90" s="814" t="s">
        <v>2097</v>
      </c>
      <c r="AC90" s="826" t="s">
        <v>1775</v>
      </c>
      <c r="AD90" s="821" t="s">
        <v>936</v>
      </c>
      <c r="AE90" s="6057"/>
      <c r="AF90" s="6057"/>
      <c r="AG90" s="6057"/>
      <c r="AH90" s="809">
        <f>AG90-AF90</f>
        <v>0</v>
      </c>
      <c r="AI90" s="6057"/>
      <c r="AJ90" s="6057"/>
      <c r="AK90" s="6057"/>
      <c r="AL90" s="809">
        <f>IF(AI90=0,0,(AK90-AI90)/AI90*100)</f>
        <v>0</v>
      </c>
      <c r="AM90" s="6039"/>
      <c r="AN90" s="6039"/>
      <c r="AO90" s="6039"/>
      <c r="AP90" s="1324"/>
      <c r="AQ90" s="1324"/>
      <c r="AR90" s="1070" t="s">
        <v>2098</v>
      </c>
      <c r="AS90" s="1070"/>
      <c r="AT90" s="1070"/>
      <c r="AU90" s="1067"/>
      <c r="AV90" s="1067"/>
    </row>
    <row customHeight="1" ht="14.625" hidden="1">
      <c r="A91" s="1324"/>
      <c r="B91" s="1324"/>
      <c r="C91" s="1324"/>
      <c r="D91" s="1324"/>
      <c r="E91" s="701">
        <v>15</v>
      </c>
      <c r="F91" s="50" cm="1" t="str">
        <f t="array" ref="F91:F91">OFFSET(E91,-1,1)</f>
        <v>0</v>
      </c>
      <c r="G91" s="1324"/>
      <c r="H91" s="1324"/>
      <c r="I91" s="592" t="s">
        <v>2099</v>
      </c>
      <c r="J91" s="592"/>
      <c r="K91" s="592"/>
      <c r="L91" s="592"/>
      <c r="M91" s="592"/>
      <c r="N91" s="592"/>
      <c r="O91" s="592"/>
      <c r="P91" s="592"/>
      <c r="Q91" s="592"/>
      <c r="R91" s="592"/>
      <c r="S91" s="592"/>
      <c r="T91" s="468" cm="1" t="str">
        <f t="array" ref="T91:T91">T90</f>
        <v>false</v>
      </c>
      <c r="U91" s="1324"/>
      <c r="V91" s="1324"/>
      <c r="W91" s="1324"/>
      <c r="X91" s="1617"/>
      <c r="Y91" s="1324"/>
      <c r="Z91" s="1618"/>
      <c r="AA91" s="1324"/>
      <c r="AB91" s="827" t="s">
        <v>353</v>
      </c>
      <c r="AC91" s="828" t="s">
        <v>1777</v>
      </c>
      <c r="AD91" s="821" t="s">
        <v>936</v>
      </c>
      <c r="AE91" s="6057"/>
      <c r="AF91" s="6057"/>
      <c r="AG91" s="6057"/>
      <c r="AH91" s="809">
        <f>AG91-AF91</f>
        <v>0</v>
      </c>
      <c r="AI91" s="6057"/>
      <c r="AJ91" s="6057"/>
      <c r="AK91" s="6057"/>
      <c r="AL91" s="809">
        <f>IF(AI91=0,0,(AK91-AI91)/AI91*100)</f>
        <v>0</v>
      </c>
      <c r="AM91" s="6039"/>
      <c r="AN91" s="6039"/>
      <c r="AO91" s="6039"/>
      <c r="AP91" s="1324"/>
      <c r="AQ91" s="1324"/>
      <c r="AR91" s="1070" t="s">
        <v>1778</v>
      </c>
      <c r="AS91" s="1070"/>
      <c r="AT91" s="1070"/>
      <c r="AU91" s="1067"/>
      <c r="AV91" s="1067"/>
    </row>
    <row customHeight="1" ht="14.625" hidden="1">
      <c r="A92" s="1324"/>
      <c r="B92" s="1324"/>
      <c r="C92" s="1324"/>
      <c r="D92" s="1324"/>
      <c r="E92" s="701">
        <v>15</v>
      </c>
      <c r="F92" s="50" cm="1" t="str">
        <f t="array" ref="F92:F92">OFFSET(E92,-1,1)</f>
        <v>0</v>
      </c>
      <c r="G92" s="1324"/>
      <c r="H92" s="1324"/>
      <c r="I92" s="592" t="s">
        <v>2100</v>
      </c>
      <c r="J92" s="592"/>
      <c r="K92" s="592"/>
      <c r="L92" s="592"/>
      <c r="M92" s="592"/>
      <c r="N92" s="592"/>
      <c r="O92" s="592"/>
      <c r="P92" s="592"/>
      <c r="Q92" s="592"/>
      <c r="R92" s="592"/>
      <c r="S92" s="592"/>
      <c r="T92" s="468" cm="1" t="str">
        <f t="array" ref="T92:T92">T91</f>
        <v>false</v>
      </c>
      <c r="U92" s="1324"/>
      <c r="V92" s="1324"/>
      <c r="W92" s="1324"/>
      <c r="X92" s="1617"/>
      <c r="Y92" s="1324"/>
      <c r="Z92" s="1618"/>
      <c r="AA92" s="1324"/>
      <c r="AB92" s="827" t="s">
        <v>485</v>
      </c>
      <c r="AC92" s="828" t="s">
        <v>1779</v>
      </c>
      <c r="AD92" s="821" t="s">
        <v>936</v>
      </c>
      <c r="AE92" s="6057"/>
      <c r="AF92" s="6057"/>
      <c r="AG92" s="6057"/>
      <c r="AH92" s="809">
        <f>AG92-AF92</f>
        <v>0</v>
      </c>
      <c r="AI92" s="6057"/>
      <c r="AJ92" s="6057"/>
      <c r="AK92" s="6057"/>
      <c r="AL92" s="809">
        <f>IF(AI92=0,0,(AK92-AI92)/AI92*100)</f>
        <v>0</v>
      </c>
      <c r="AM92" s="6039"/>
      <c r="AN92" s="6039"/>
      <c r="AO92" s="6039"/>
      <c r="AP92" s="1324"/>
      <c r="AQ92" s="1324"/>
      <c r="AR92" s="1070" t="s">
        <v>1780</v>
      </c>
      <c r="AS92" s="1070"/>
      <c r="AT92" s="1070"/>
      <c r="AU92" s="1067"/>
      <c r="AV92" s="1067"/>
    </row>
    <row s="593" customFormat="1" customHeight="1" ht="14.625" hidden="1">
      <c r="A93" s="593"/>
      <c r="B93" s="593"/>
      <c r="C93" s="593"/>
      <c r="D93" s="593"/>
      <c r="E93" s="703">
        <v>15</v>
      </c>
      <c r="F93" s="50" cm="1" t="str">
        <f t="array" ref="F93:F93">OFFSET(E93,-1,1)</f>
        <v>0</v>
      </c>
      <c r="G93" s="593"/>
      <c r="H93" s="593"/>
      <c r="I93" s="704" t="s">
        <v>2101</v>
      </c>
      <c r="J93" s="704"/>
      <c r="K93" s="704"/>
      <c r="L93" s="704"/>
      <c r="M93" s="704"/>
      <c r="N93" s="704"/>
      <c r="O93" s="704"/>
      <c r="P93" s="704"/>
      <c r="Q93" s="704"/>
      <c r="R93" s="704"/>
      <c r="S93" s="704"/>
      <c r="T93" s="468" cm="1" t="str">
        <f t="array" ref="T93:T93">T92</f>
        <v>false</v>
      </c>
      <c r="U93" s="593"/>
      <c r="V93" s="593"/>
      <c r="W93" s="593"/>
      <c r="X93" s="1617"/>
      <c r="Y93" s="593"/>
      <c r="Z93" s="1618"/>
      <c r="AA93" s="593"/>
      <c r="AB93" s="811" t="s">
        <v>488</v>
      </c>
      <c r="AC93" s="594" t="s">
        <v>2102</v>
      </c>
      <c r="AD93" s="819" t="s">
        <v>936</v>
      </c>
      <c r="AE93" s="795">
        <f>AE28+AE56+AE61+AE74+AE75+AE77+AE78+AE79+AE83+AE84-AE85-AE86+AE87-AE88+AE91+AE92</f>
        <v>0</v>
      </c>
      <c r="AF93" s="795">
        <f>AF28+AF56+AF61+AF74+AF75+AF77+AF78+AF79+AF83+AF84-AF85-AF86+AF87-AF88+AF91+AF92</f>
        <v>0</v>
      </c>
      <c r="AG93" s="795">
        <f>AG28+AG56+AG61+AG74+AG75+AG77+AG78+AG79+AG83+AG84-AG85-AG86+AG87-AG88+AG91+AG92</f>
        <v>0</v>
      </c>
      <c r="AH93" s="808">
        <f>AG93-AF93</f>
        <v>0</v>
      </c>
      <c r="AI93" s="795">
        <f>AI28+AI56+AI61+AI74+AI75+AI77+AI78+AI79+AI83+AI84-AI85-AI86+AI87-AI88+AI91+AI92</f>
        <v>0</v>
      </c>
      <c r="AJ93" s="795">
        <f>AJ28+AJ56+AJ61+AJ74+AJ75+AJ77+AJ78+AJ79+AJ83+AJ84-AJ85-AJ86+AJ87-AJ88+AJ91+AJ92</f>
        <v>0</v>
      </c>
      <c r="AK93" s="795">
        <f>AK28+AK56+AK61+AK74+AK75+AK77+AK78+AK79+AK83+AK84-AK85-AK86+AK87-AK88+AK91+AK92</f>
        <v>0</v>
      </c>
      <c r="AL93" s="808">
        <f>IF(AI93=0,0,(AK93-AI93)/AI93*100)</f>
        <v>0</v>
      </c>
      <c r="AM93" s="6047"/>
      <c r="AN93" s="6047"/>
      <c r="AO93" s="6047"/>
      <c r="AP93" s="593"/>
      <c r="AQ93" s="593"/>
      <c r="AR93" s="1071" t="s">
        <v>2103</v>
      </c>
      <c r="AS93" s="1071"/>
      <c r="AT93" s="1071"/>
      <c r="AU93" s="703"/>
      <c r="AV93" s="703"/>
    </row>
    <row customHeight="1" ht="15" hidden="1">
      <c r="A94" s="1324"/>
      <c r="B94" s="582">
        <f>G27="двухставочный"</f>
        <v>0</v>
      </c>
      <c r="C94" s="1324"/>
      <c r="D94" s="1324"/>
      <c r="E94" s="701">
        <v>0</v>
      </c>
      <c r="F94" s="50" cm="1" t="str">
        <f t="array" ref="F94:F94">OFFSET(E94,-1,1)</f>
        <v>0</v>
      </c>
      <c r="G94" s="1324"/>
      <c r="H94" s="1324"/>
      <c r="I94" s="592" t="s">
        <v>2104</v>
      </c>
      <c r="J94" s="592"/>
      <c r="K94" s="592"/>
      <c r="L94" s="592"/>
      <c r="M94" s="592"/>
      <c r="N94" s="592"/>
      <c r="O94" s="592"/>
      <c r="P94" s="592"/>
      <c r="Q94" s="592"/>
      <c r="R94" s="592"/>
      <c r="S94" s="592"/>
      <c r="T94" s="468" cm="1" t="str">
        <f t="array" ref="T94:T94">T93</f>
        <v>false</v>
      </c>
      <c r="U94" s="1324"/>
      <c r="V94" s="1324"/>
      <c r="W94" s="1324"/>
      <c r="X94" s="1617"/>
      <c r="Y94" s="1324"/>
      <c r="Z94" s="1618"/>
      <c r="AA94" s="1324"/>
      <c r="AB94" s="814" t="s">
        <v>2105</v>
      </c>
      <c r="AC94" s="826" t="s">
        <v>2106</v>
      </c>
      <c r="AD94" s="821" t="s">
        <v>936</v>
      </c>
      <c r="AE94" s="6057"/>
      <c r="AF94" s="6057"/>
      <c r="AG94" s="6057"/>
      <c r="AH94" s="809">
        <f>AG94-AF94</f>
        <v>0</v>
      </c>
      <c r="AI94" s="6057"/>
      <c r="AJ94" s="6057"/>
      <c r="AK94" s="6057"/>
      <c r="AL94" s="809">
        <f>IF(AI94=0,0,(AK94-AI94)/AI94*100)</f>
        <v>0</v>
      </c>
      <c r="AM94" s="6039"/>
      <c r="AN94" s="6039"/>
      <c r="AO94" s="6039"/>
      <c r="AP94" s="1324"/>
      <c r="AQ94" s="1324"/>
      <c r="AR94" s="1070" t="s">
        <v>2107</v>
      </c>
      <c r="AS94" s="1070"/>
      <c r="AT94" s="1070"/>
      <c r="AU94" s="1067"/>
      <c r="AV94" s="1067"/>
    </row>
    <row customHeight="1" ht="15" hidden="1">
      <c r="A95" s="1324"/>
      <c r="B95" s="582">
        <f>G27="двухставочный"</f>
        <v>0</v>
      </c>
      <c r="C95" s="1324"/>
      <c r="D95" s="1324"/>
      <c r="E95" s="701">
        <v>0</v>
      </c>
      <c r="F95" s="50" cm="1" t="str">
        <f t="array" ref="F95:F95">OFFSET(E95,-1,1)</f>
        <v>0</v>
      </c>
      <c r="G95" s="1324"/>
      <c r="H95" s="1324"/>
      <c r="I95" s="592" t="s">
        <v>2108</v>
      </c>
      <c r="J95" s="592"/>
      <c r="K95" s="592"/>
      <c r="L95" s="592"/>
      <c r="M95" s="592"/>
      <c r="N95" s="592"/>
      <c r="O95" s="592"/>
      <c r="P95" s="592"/>
      <c r="Q95" s="592"/>
      <c r="R95" s="592"/>
      <c r="S95" s="592"/>
      <c r="T95" s="468" cm="1" t="str">
        <f t="array" ref="T95:T95">T94</f>
        <v>false</v>
      </c>
      <c r="U95" s="1324"/>
      <c r="V95" s="1324"/>
      <c r="W95" s="1324"/>
      <c r="X95" s="1617"/>
      <c r="Y95" s="1324"/>
      <c r="Z95" s="1618"/>
      <c r="AA95" s="1324"/>
      <c r="AB95" s="814" t="s">
        <v>2109</v>
      </c>
      <c r="AC95" s="826" t="s">
        <v>2110</v>
      </c>
      <c r="AD95" s="821" t="s">
        <v>936</v>
      </c>
      <c r="AE95" s="6057"/>
      <c r="AF95" s="6057"/>
      <c r="AG95" s="6057"/>
      <c r="AH95" s="809">
        <f>AG95-AF95</f>
        <v>0</v>
      </c>
      <c r="AI95" s="6057"/>
      <c r="AJ95" s="6057"/>
      <c r="AK95" s="6057"/>
      <c r="AL95" s="809">
        <f>IF(AI95=0,0,(AK95-AI95)/AI95*100)</f>
        <v>0</v>
      </c>
      <c r="AM95" s="6039"/>
      <c r="AN95" s="6039"/>
      <c r="AO95" s="6039"/>
      <c r="AP95" s="1324"/>
      <c r="AQ95" s="1324"/>
      <c r="AR95" s="1070" t="s">
        <v>2111</v>
      </c>
      <c r="AS95" s="1070"/>
      <c r="AT95" s="1070"/>
      <c r="AU95" s="1067"/>
      <c r="AV95" s="1067"/>
    </row>
    <row s="593" customFormat="1" customHeight="1" ht="14.625" hidden="1">
      <c r="A96" s="593"/>
      <c r="B96" s="593"/>
      <c r="C96" s="593"/>
      <c r="D96" s="593"/>
      <c r="E96" s="703">
        <v>15</v>
      </c>
      <c r="F96" s="50" cm="1" t="str">
        <f t="array" ref="F96:F96">OFFSET(E96,-1,1)</f>
        <v>0</v>
      </c>
      <c r="G96" s="583" t="s">
        <v>1871</v>
      </c>
      <c r="H96" s="593"/>
      <c r="I96" s="704" t="s">
        <v>2112</v>
      </c>
      <c r="J96" s="704"/>
      <c r="K96" s="704"/>
      <c r="L96" s="704"/>
      <c r="M96" s="704"/>
      <c r="N96" s="704"/>
      <c r="O96" s="704"/>
      <c r="P96" s="704"/>
      <c r="Q96" s="704"/>
      <c r="R96" s="704"/>
      <c r="S96" s="704"/>
      <c r="T96" s="468" cm="1" t="str">
        <f t="array" ref="T96:T96">T95</f>
        <v>false</v>
      </c>
      <c r="U96" s="593"/>
      <c r="V96" s="593"/>
      <c r="W96" s="593"/>
      <c r="X96" s="1617"/>
      <c r="Y96" s="593"/>
      <c r="Z96" s="1618"/>
      <c r="AA96" s="593"/>
      <c r="AB96" s="811" t="s">
        <v>490</v>
      </c>
      <c r="AC96" s="594" t="s">
        <v>2113</v>
      </c>
      <c r="AD96" s="819" t="s">
        <v>657</v>
      </c>
      <c r="AE96" s="829">
        <f>_xlfn.SUMIFS(Баланс!AE$26:AE$391,Баланс!$F$26:$F$391,$F96,Баланс!$G$26:$G$391,"ПО")</f>
        <v>0</v>
      </c>
      <c r="AF96" s="829">
        <f>_xlfn.SUMIFS(Баланс!AF$26:AF$391,Баланс!$F$26:$F$391,$F96,Баланс!$G$26:$G$391,"ПО")</f>
        <v>0</v>
      </c>
      <c r="AG96" s="829">
        <f>_xlfn.SUMIFS(Баланс!AG$26:AG$391,Баланс!$F$26:$F$391,$F96,Баланс!$G$26:$G$391,"ПО")</f>
        <v>0</v>
      </c>
      <c r="AH96" s="829">
        <f>AG96-AF96</f>
        <v>0</v>
      </c>
      <c r="AI96" s="829">
        <f>_xlfn.SUMIFS(Баланс!AH$26:AH$391,Баланс!$F$26:$F$391,$F96,Баланс!$G$26:$G$391,"ПО")</f>
        <v>0</v>
      </c>
      <c r="AJ96" s="829">
        <f>_xlfn.SUMIFS(Баланс!AI$26:AI$391,Баланс!$F$26:$F$391,$F96,Баланс!$G$26:$G$391,"ПО")</f>
        <v>0</v>
      </c>
      <c r="AK96" s="829">
        <f>_xlfn.SUMIFS(Баланс!AS$26:AS$391,Баланс!$F$26:$F$391,$F96,Баланс!$G$26:$G$391,"ПО")</f>
        <v>0</v>
      </c>
      <c r="AL96" s="830"/>
      <c r="AM96" s="6047"/>
      <c r="AN96" s="6047"/>
      <c r="AO96" s="6047"/>
      <c r="AP96" s="593"/>
      <c r="AQ96" s="593"/>
      <c r="AR96" s="1071" t="s">
        <v>2114</v>
      </c>
      <c r="AS96" s="1071"/>
      <c r="AT96" s="1071"/>
      <c r="AU96" s="703"/>
      <c r="AV96" s="703"/>
    </row>
    <row customHeight="1" ht="14.625" hidden="1">
      <c r="A97" s="1324"/>
      <c r="B97" s="1324"/>
      <c r="C97" s="1324"/>
      <c r="D97" s="1324"/>
      <c r="E97" s="701">
        <v>15</v>
      </c>
      <c r="F97" s="50" cm="1" t="str">
        <f t="array" ref="F97:F97">OFFSET(E97,-1,1)</f>
        <v>0</v>
      </c>
      <c r="G97" s="583" t="s">
        <v>1898</v>
      </c>
      <c r="H97" s="1324"/>
      <c r="I97" s="592" t="s">
        <v>2115</v>
      </c>
      <c r="J97" s="592"/>
      <c r="K97" s="592"/>
      <c r="L97" s="592"/>
      <c r="M97" s="592"/>
      <c r="N97" s="592"/>
      <c r="O97" s="592"/>
      <c r="P97" s="592"/>
      <c r="Q97" s="592"/>
      <c r="R97" s="592"/>
      <c r="S97" s="592"/>
      <c r="T97" s="468" cm="1" t="str">
        <f t="array" ref="T97:T97">T96</f>
        <v>false</v>
      </c>
      <c r="U97" s="1324"/>
      <c r="V97" s="1324"/>
      <c r="W97" s="1324"/>
      <c r="X97" s="1617"/>
      <c r="Y97" s="1324"/>
      <c r="Z97" s="1618"/>
      <c r="AA97" s="1324"/>
      <c r="AB97" s="814" t="s">
        <v>2116</v>
      </c>
      <c r="AC97" s="1120" t="s">
        <v>2117</v>
      </c>
      <c r="AD97" s="821" t="s">
        <v>657</v>
      </c>
      <c r="AE97" s="6090">
        <f>IF(AE$24="2026 год",AE96/12*9,AE96/2)</f>
        <v>0</v>
      </c>
      <c r="AF97" s="6090">
        <f>IF(AF$24="2026 год",AF96/12*9,AF96/2)</f>
        <v>0</v>
      </c>
      <c r="AG97" s="6090">
        <f>IF(AG$24="2026 год",AG96/12*9,AG96/2)</f>
        <v>0</v>
      </c>
      <c r="AH97" s="832">
        <f>AG97-AF97</f>
        <v>0</v>
      </c>
      <c r="AI97" s="6090">
        <f>IF(AI$24="2026 год",AI96/12*9,AI96/2)</f>
        <v>0</v>
      </c>
      <c r="AJ97" s="6090">
        <f>IF(AJ$24="2026 год",AJ96/12*9,AJ96/2)</f>
        <v>0</v>
      </c>
      <c r="AK97" s="6090">
        <f>IF(AK$24="2026 год",AK96/12*9,AK96/2)</f>
        <v>0</v>
      </c>
      <c r="AL97" s="824"/>
      <c r="AM97" s="6039"/>
      <c r="AN97" s="6039"/>
      <c r="AO97" s="6039"/>
      <c r="AP97" s="1324"/>
      <c r="AQ97" s="1324"/>
      <c r="AR97" s="1070" t="s">
        <v>2118</v>
      </c>
      <c r="AS97" s="1070"/>
      <c r="AT97" s="1070"/>
      <c r="AU97" s="1067"/>
      <c r="AV97" s="1067"/>
    </row>
    <row customHeight="1" ht="14.625" hidden="1">
      <c r="A98" s="1324"/>
      <c r="B98" s="1324"/>
      <c r="C98" s="1324"/>
      <c r="D98" s="1324"/>
      <c r="E98" s="701">
        <v>15</v>
      </c>
      <c r="F98" s="50" cm="1" t="str">
        <f t="array" ref="F98:F98">OFFSET(E98,-1,1)</f>
        <v>0</v>
      </c>
      <c r="G98" s="583" t="s">
        <v>1859</v>
      </c>
      <c r="H98" s="1324"/>
      <c r="I98" s="592" t="s">
        <v>2119</v>
      </c>
      <c r="J98" s="592"/>
      <c r="K98" s="592"/>
      <c r="L98" s="592"/>
      <c r="M98" s="592"/>
      <c r="N98" s="592"/>
      <c r="O98" s="592"/>
      <c r="P98" s="592"/>
      <c r="Q98" s="592"/>
      <c r="R98" s="592"/>
      <c r="S98" s="592"/>
      <c r="T98" s="468" cm="1" t="str">
        <f t="array" ref="T98:T98">T97</f>
        <v>false</v>
      </c>
      <c r="U98" s="1324"/>
      <c r="V98" s="1324"/>
      <c r="W98" s="1324"/>
      <c r="X98" s="1617"/>
      <c r="Y98" s="1324"/>
      <c r="Z98" s="1618"/>
      <c r="AA98" s="1324"/>
      <c r="AB98" s="814" t="s">
        <v>2120</v>
      </c>
      <c r="AC98" s="1120" t="s">
        <v>2121</v>
      </c>
      <c r="AD98" s="821" t="s">
        <v>1862</v>
      </c>
      <c r="AE98" s="6057"/>
      <c r="AF98" s="6057"/>
      <c r="AG98" s="6057"/>
      <c r="AH98" s="809">
        <f>AG98-AF98</f>
        <v>0</v>
      </c>
      <c r="AI98" s="6057"/>
      <c r="AJ98" s="6057"/>
      <c r="AK98" s="6057"/>
      <c r="AL98" s="824"/>
      <c r="AM98" s="6039"/>
      <c r="AN98" s="6039"/>
      <c r="AO98" s="6039"/>
      <c r="AP98" s="1324"/>
      <c r="AQ98" s="1324"/>
      <c r="AR98" s="1070" t="s">
        <v>2122</v>
      </c>
      <c r="AS98" s="1070"/>
      <c r="AT98" s="1070"/>
      <c r="AU98" s="1067"/>
      <c r="AV98" s="1067"/>
    </row>
    <row customHeight="1" ht="14.625" hidden="1">
      <c r="A99" s="1324"/>
      <c r="B99" s="1324"/>
      <c r="C99" s="1324"/>
      <c r="D99" s="1324"/>
      <c r="E99" s="701">
        <v>15</v>
      </c>
      <c r="F99" s="50" cm="1" t="str">
        <f t="array" ref="F99:F99">OFFSET(E99,-1,1)</f>
        <v>0</v>
      </c>
      <c r="G99" s="583" t="s">
        <v>1911</v>
      </c>
      <c r="H99" s="1324"/>
      <c r="I99" s="592" t="s">
        <v>2123</v>
      </c>
      <c r="J99" s="592"/>
      <c r="K99" s="592"/>
      <c r="L99" s="592"/>
      <c r="M99" s="592"/>
      <c r="N99" s="592"/>
      <c r="O99" s="592"/>
      <c r="P99" s="592"/>
      <c r="Q99" s="592"/>
      <c r="R99" s="592"/>
      <c r="S99" s="592"/>
      <c r="T99" s="468" cm="1" t="str">
        <f t="array" ref="T99:T99">T98</f>
        <v>false</v>
      </c>
      <c r="U99" s="1324"/>
      <c r="V99" s="1324"/>
      <c r="W99" s="1324"/>
      <c r="X99" s="1617"/>
      <c r="Y99" s="1324"/>
      <c r="Z99" s="1618"/>
      <c r="AA99" s="1324"/>
      <c r="AB99" s="814" t="s">
        <v>2124</v>
      </c>
      <c r="AC99" s="1120" t="s">
        <v>2125</v>
      </c>
      <c r="AD99" s="821" t="s">
        <v>657</v>
      </c>
      <c r="AE99" s="832">
        <f>AE96-AE97</f>
        <v>0</v>
      </c>
      <c r="AF99" s="832">
        <f>AF96-AF97</f>
        <v>0</v>
      </c>
      <c r="AG99" s="832">
        <f>AG96-AG97</f>
        <v>0</v>
      </c>
      <c r="AH99" s="832">
        <f>AG99-AF99</f>
        <v>0</v>
      </c>
      <c r="AI99" s="832">
        <f>AI96-AI97</f>
        <v>0</v>
      </c>
      <c r="AJ99" s="832">
        <f>AJ96-AJ97</f>
        <v>0</v>
      </c>
      <c r="AK99" s="832">
        <f>AK96-AK97</f>
        <v>0</v>
      </c>
      <c r="AL99" s="824"/>
      <c r="AM99" s="6039"/>
      <c r="AN99" s="6039"/>
      <c r="AO99" s="6039"/>
      <c r="AP99" s="1324"/>
      <c r="AQ99" s="1324"/>
      <c r="AR99" s="1070" t="s">
        <v>2126</v>
      </c>
      <c r="AS99" s="1070"/>
      <c r="AT99" s="1070"/>
      <c r="AU99" s="1067"/>
      <c r="AV99" s="1067"/>
    </row>
    <row customHeight="1" ht="14.625" hidden="1">
      <c r="A100" s="1324"/>
      <c r="B100" s="1324"/>
      <c r="C100" s="1324"/>
      <c r="D100" s="1324"/>
      <c r="E100" s="701">
        <v>15</v>
      </c>
      <c r="F100" s="50" cm="1" t="str">
        <f t="array" ref="F100:F100">OFFSET(E100,-1,1)</f>
        <v>0</v>
      </c>
      <c r="G100" s="583" t="s">
        <v>1864</v>
      </c>
      <c r="H100" s="1324"/>
      <c r="I100" s="592" t="s">
        <v>2127</v>
      </c>
      <c r="J100" s="592"/>
      <c r="K100" s="592"/>
      <c r="L100" s="592"/>
      <c r="M100" s="592"/>
      <c r="N100" s="592"/>
      <c r="O100" s="592"/>
      <c r="P100" s="592"/>
      <c r="Q100" s="592"/>
      <c r="R100" s="592"/>
      <c r="S100" s="592"/>
      <c r="T100" s="468" cm="1" t="str">
        <f t="array" ref="T100:T100">T99</f>
        <v>false</v>
      </c>
      <c r="U100" s="1324"/>
      <c r="V100" s="1324"/>
      <c r="W100" s="1324"/>
      <c r="X100" s="1617"/>
      <c r="Y100" s="1324"/>
      <c r="Z100" s="1618"/>
      <c r="AA100" s="1324"/>
      <c r="AB100" s="814" t="s">
        <v>2128</v>
      </c>
      <c r="AC100" s="1120" t="s">
        <v>2129</v>
      </c>
      <c r="AD100" s="821" t="s">
        <v>1862</v>
      </c>
      <c r="AE100" s="6057">
        <f>IF(AE99=0,0,(AE93-AE97*AE98)/AE99)</f>
        <v>0</v>
      </c>
      <c r="AF100" s="6057">
        <f>IF(AF99=0,0,(AF93-AF97*AF98)/AF99)</f>
        <v>0</v>
      </c>
      <c r="AG100" s="6057">
        <f>IF(AG99=0,0,(AG93-AG97*AG98)/AG99)</f>
        <v>0</v>
      </c>
      <c r="AH100" s="809">
        <f>AG100-AF100</f>
        <v>0</v>
      </c>
      <c r="AI100" s="6057">
        <f>IF(AI99=0,0,(AI93-AI97*AI98)/AI99)</f>
        <v>0</v>
      </c>
      <c r="AJ100" s="6057">
        <f>IF(AJ99=0,0,(AJ93-AJ97*AJ98)/AJ99)</f>
        <v>0</v>
      </c>
      <c r="AK100" s="6057">
        <f>IF(AK99=0,0,(AK93-AK97*AK98)/AK99)</f>
        <v>0</v>
      </c>
      <c r="AL100" s="824"/>
      <c r="AM100" s="6039"/>
      <c r="AN100" s="6039"/>
      <c r="AO100" s="6039"/>
      <c r="AP100" s="1324"/>
      <c r="AQ100" s="1324"/>
      <c r="AR100" s="1070" t="s">
        <v>2130</v>
      </c>
      <c r="AS100" s="1070"/>
      <c r="AT100" s="1070"/>
      <c r="AU100" s="1067"/>
      <c r="AV100" s="1067"/>
    </row>
    <row customHeight="1" ht="14.625" hidden="1">
      <c r="A101" s="1324"/>
      <c r="B101" s="1324"/>
      <c r="C101" s="1324"/>
      <c r="D101" s="1324"/>
      <c r="E101" s="701">
        <v>15</v>
      </c>
      <c r="F101" s="50" cm="1" t="str">
        <f t="array" ref="F101:F101">OFFSET(E101,-1,1)</f>
        <v>0</v>
      </c>
      <c r="G101" s="583"/>
      <c r="H101" s="1324"/>
      <c r="I101" s="592" t="s">
        <v>2131</v>
      </c>
      <c r="J101" s="592"/>
      <c r="K101" s="592"/>
      <c r="L101" s="592"/>
      <c r="M101" s="592"/>
      <c r="N101" s="592"/>
      <c r="O101" s="592"/>
      <c r="P101" s="592"/>
      <c r="Q101" s="592"/>
      <c r="R101" s="592"/>
      <c r="S101" s="592"/>
      <c r="T101" s="468" cm="1" t="str">
        <f t="array" ref="T101:T101">T100</f>
        <v>false</v>
      </c>
      <c r="U101" s="1324"/>
      <c r="V101" s="1324"/>
      <c r="W101" s="1324"/>
      <c r="X101" s="1617"/>
      <c r="Y101" s="1324"/>
      <c r="Z101" s="1618"/>
      <c r="AA101" s="1324"/>
      <c r="AB101" s="814" t="s">
        <v>2132</v>
      </c>
      <c r="AC101" s="1120" t="s">
        <v>2133</v>
      </c>
      <c r="AD101" s="821" t="s">
        <v>561</v>
      </c>
      <c r="AE101" s="809">
        <f>IF(AE98=0,0,AE100/AE98*100)</f>
        <v>0</v>
      </c>
      <c r="AF101" s="809">
        <f>IF(AF98=0,0,AF100/AF98*100)</f>
        <v>0</v>
      </c>
      <c r="AG101" s="809">
        <f>IF(AG98=0,0,AG100/AG98*100)</f>
        <v>0</v>
      </c>
      <c r="AH101" s="824"/>
      <c r="AI101" s="809">
        <f>IF(AI98=0,0,AI100/AI98*100)</f>
        <v>0</v>
      </c>
      <c r="AJ101" s="809">
        <f>IF(AJ98=0,0,AJ100/AJ98*100)</f>
        <v>0</v>
      </c>
      <c r="AK101" s="809">
        <f>IF(AK98=0,0,AK100/AK98*100)</f>
        <v>0</v>
      </c>
      <c r="AL101" s="824"/>
      <c r="AM101" s="6039"/>
      <c r="AN101" s="6039"/>
      <c r="AO101" s="6039"/>
      <c r="AP101" s="1324"/>
      <c r="AQ101" s="1324"/>
      <c r="AR101" s="1070" t="s">
        <v>2134</v>
      </c>
      <c r="AS101" s="1070"/>
      <c r="AT101" s="1070"/>
      <c r="AU101" s="1067"/>
      <c r="AV101" s="1067"/>
    </row>
    <row customHeight="1" ht="14.625" hidden="1">
      <c r="A102" s="1324"/>
      <c r="B102" s="1324"/>
      <c r="C102" s="1324"/>
      <c r="D102" s="1324"/>
      <c r="E102" s="701">
        <v>15</v>
      </c>
      <c r="F102" s="50" cm="1" t="str">
        <f t="array" ref="F102:F102">OFFSET(E102,-1,1)</f>
        <v>0</v>
      </c>
      <c r="G102" s="583"/>
      <c r="H102" s="1324"/>
      <c r="I102" s="592" t="s">
        <v>2135</v>
      </c>
      <c r="J102" s="592"/>
      <c r="K102" s="592"/>
      <c r="L102" s="592"/>
      <c r="M102" s="592"/>
      <c r="N102" s="592"/>
      <c r="O102" s="592"/>
      <c r="P102" s="592"/>
      <c r="Q102" s="592"/>
      <c r="R102" s="592"/>
      <c r="S102" s="592"/>
      <c r="T102" s="468" cm="1" t="str">
        <f t="array" ref="T102:T102">T101</f>
        <v>false</v>
      </c>
      <c r="U102" s="1324"/>
      <c r="V102" s="1324"/>
      <c r="W102" s="1324"/>
      <c r="X102" s="1617"/>
      <c r="Y102" s="1324"/>
      <c r="Z102" s="1618"/>
      <c r="AA102" s="1324"/>
      <c r="AB102" s="814" t="s">
        <v>2136</v>
      </c>
      <c r="AC102" s="1120" t="s">
        <v>2137</v>
      </c>
      <c r="AD102" s="821" t="s">
        <v>1862</v>
      </c>
      <c r="AE102" s="6057">
        <f>IF(AE96=0,0,AE93/AE96)</f>
        <v>0</v>
      </c>
      <c r="AF102" s="6057">
        <f>IF(AF96=0,0,AF93/AF96)</f>
        <v>0</v>
      </c>
      <c r="AG102" s="6057">
        <f>IF(AG96=0,0,AG93/AG96)</f>
        <v>0</v>
      </c>
      <c r="AH102" s="809">
        <f>AG102-AF102</f>
        <v>0</v>
      </c>
      <c r="AI102" s="6057">
        <f>IF(AI96=0,0,AI93/AI96)</f>
        <v>0</v>
      </c>
      <c r="AJ102" s="6057">
        <f>IF(AJ96=0,0,AJ93/AJ96)</f>
        <v>0</v>
      </c>
      <c r="AK102" s="6057">
        <f>IF(AK96=0,0,AK93/AK96)</f>
        <v>0</v>
      </c>
      <c r="AL102" s="824"/>
      <c r="AM102" s="6039"/>
      <c r="AN102" s="6039"/>
      <c r="AO102" s="6039"/>
      <c r="AP102" s="1324"/>
      <c r="AQ102" s="1324"/>
      <c r="AR102" s="1070" t="s">
        <v>2138</v>
      </c>
      <c r="AS102" s="1070"/>
      <c r="AT102" s="1070"/>
      <c r="AU102" s="1067"/>
      <c r="AV102" s="1067"/>
    </row>
    <row s="593" customFormat="1" customHeight="1" ht="14.625" hidden="1">
      <c r="A103" s="593"/>
      <c r="B103" s="593"/>
      <c r="C103" s="593"/>
      <c r="D103" s="593"/>
      <c r="E103" s="703">
        <v>15</v>
      </c>
      <c r="F103" s="50" cm="1" t="str">
        <f t="array" ref="F103:F103">OFFSET(E103,-1,1)</f>
        <v>0</v>
      </c>
      <c r="G103" s="706"/>
      <c r="H103" s="593"/>
      <c r="I103" s="704" t="s">
        <v>2139</v>
      </c>
      <c r="J103" s="704"/>
      <c r="K103" s="704"/>
      <c r="L103" s="704"/>
      <c r="M103" s="704"/>
      <c r="N103" s="704"/>
      <c r="O103" s="704"/>
      <c r="P103" s="704"/>
      <c r="Q103" s="704"/>
      <c r="R103" s="704"/>
      <c r="S103" s="704"/>
      <c r="T103" s="468" cm="1" t="str">
        <f t="array" ref="T103:T103">T102</f>
        <v>false</v>
      </c>
      <c r="U103" s="593"/>
      <c r="V103" s="593"/>
      <c r="W103" s="593"/>
      <c r="X103" s="1617"/>
      <c r="Y103" s="593"/>
      <c r="Z103" s="1618"/>
      <c r="AA103" s="593"/>
      <c r="AB103" s="811" t="s">
        <v>492</v>
      </c>
      <c r="AC103" s="208" t="s">
        <v>2140</v>
      </c>
      <c r="AD103" s="819" t="s">
        <v>936</v>
      </c>
      <c r="AE103" s="6094">
        <f>IF(AE96=0,0,AE93/AE96*AE104)</f>
        <v>0</v>
      </c>
      <c r="AF103" s="6094">
        <f>IF(AF96=0,0,AF93/AF96*AF104)</f>
        <v>0</v>
      </c>
      <c r="AG103" s="6094">
        <f>IF(AG96=0,0,AG93/AG96*AG104)</f>
        <v>0</v>
      </c>
      <c r="AH103" s="795">
        <f>AH105*AH106+AH107*AH108</f>
        <v>0</v>
      </c>
      <c r="AI103" s="6094">
        <f>IF(AI96=0,0,AI93/AI96*AI104)</f>
        <v>0</v>
      </c>
      <c r="AJ103" s="6094">
        <f>IF(AJ96=0,0,AJ93/AJ96*AJ104)</f>
        <v>0</v>
      </c>
      <c r="AK103" s="6094">
        <f>IF(AK96=0,0,AK93/AK96*AK104)</f>
        <v>0</v>
      </c>
      <c r="AL103" s="808">
        <f>IF(AI103=0,0,(AK103-AI103)/AI103*100)</f>
        <v>0</v>
      </c>
      <c r="AM103" s="6047"/>
      <c r="AN103" s="6047"/>
      <c r="AO103" s="6047"/>
      <c r="AP103" s="593"/>
      <c r="AQ103" s="593"/>
      <c r="AR103" s="1071" t="s">
        <v>2141</v>
      </c>
      <c r="AS103" s="1071"/>
      <c r="AT103" s="1071"/>
      <c r="AU103" s="703"/>
      <c r="AV103" s="703"/>
    </row>
    <row s="593" customFormat="1" customHeight="1" ht="14.625" hidden="1">
      <c r="A104" s="593"/>
      <c r="B104" s="593"/>
      <c r="C104" s="593"/>
      <c r="D104" s="593"/>
      <c r="E104" s="703">
        <v>15</v>
      </c>
      <c r="F104" s="50" cm="1" t="str">
        <f t="array" ref="F104:F104">OFFSET(E104,-1,1)</f>
        <v>0</v>
      </c>
      <c r="G104" s="583" t="s">
        <v>1884</v>
      </c>
      <c r="H104" s="593"/>
      <c r="I104" s="704" t="s">
        <v>2142</v>
      </c>
      <c r="J104" s="704"/>
      <c r="K104" s="704"/>
      <c r="L104" s="704"/>
      <c r="M104" s="704"/>
      <c r="N104" s="704"/>
      <c r="O104" s="704"/>
      <c r="P104" s="704"/>
      <c r="Q104" s="704"/>
      <c r="R104" s="704"/>
      <c r="S104" s="704"/>
      <c r="T104" s="468" cm="1" t="str">
        <f t="array" ref="T104:T104">T103</f>
        <v>false</v>
      </c>
      <c r="U104" s="593"/>
      <c r="V104" s="593"/>
      <c r="W104" s="593"/>
      <c r="X104" s="1617"/>
      <c r="Y104" s="593"/>
      <c r="Z104" s="1618"/>
      <c r="AA104" s="593"/>
      <c r="AB104" s="811" t="s">
        <v>495</v>
      </c>
      <c r="AC104" s="208" t="s">
        <v>2143</v>
      </c>
      <c r="AD104" s="819" t="s">
        <v>657</v>
      </c>
      <c r="AE104" s="829">
        <f>_xlfn.SUMIFS(Баланс!AE$26:AE$391,Баланс!$F$26:$F$391,$F104,Баланс!$G$26:$G$391,"население")</f>
        <v>0</v>
      </c>
      <c r="AF104" s="829">
        <f>_xlfn.SUMIFS(Баланс!AF$26:AF$391,Баланс!$F$26:$F$391,$F104,Баланс!$G$26:$G$391,"население")</f>
        <v>0</v>
      </c>
      <c r="AG104" s="829">
        <f>_xlfn.SUMIFS(Баланс!AG$26:AG$391,Баланс!$F$26:$F$391,$F104,Баланс!$G$26:$G$391,"население")</f>
        <v>0</v>
      </c>
      <c r="AH104" s="829">
        <f>AG104-AF104</f>
        <v>0</v>
      </c>
      <c r="AI104" s="829">
        <f>_xlfn.SUMIFS(Баланс!AH$26:AH$391,Баланс!$F$26:$F$391,$F104,Баланс!$G$26:$G$391,"население")</f>
        <v>0</v>
      </c>
      <c r="AJ104" s="829">
        <f>_xlfn.SUMIFS(Баланс!AI$26:AI$391,Баланс!$F$26:$F$391,$F104,Баланс!$G$26:$G$391,"население")</f>
        <v>0</v>
      </c>
      <c r="AK104" s="829">
        <f>_xlfn.SUMIFS(Баланс!AS$26:AS$391,Баланс!$F$26:$F$391,$F104,Баланс!$G$26:$G$391,"население")</f>
        <v>0</v>
      </c>
      <c r="AL104" s="830"/>
      <c r="AM104" s="6047"/>
      <c r="AN104" s="6047"/>
      <c r="AO104" s="6047"/>
      <c r="AP104" s="593"/>
      <c r="AQ104" s="593"/>
      <c r="AR104" s="1071" t="s">
        <v>2144</v>
      </c>
      <c r="AS104" s="1071"/>
      <c r="AT104" s="1071"/>
      <c r="AU104" s="703"/>
      <c r="AV104" s="703"/>
    </row>
    <row customHeight="1" ht="14.625" hidden="1">
      <c r="A105" s="1324"/>
      <c r="B105" s="1324"/>
      <c r="C105" s="1324"/>
      <c r="D105" s="1324"/>
      <c r="E105" s="701">
        <v>15</v>
      </c>
      <c r="F105" s="50" cm="1" t="str">
        <f t="array" ref="F105:F105">OFFSET(E105,-1,1)</f>
        <v>0</v>
      </c>
      <c r="G105" s="583" t="s">
        <v>1918</v>
      </c>
      <c r="H105" s="1324"/>
      <c r="I105" s="592" t="s">
        <v>2145</v>
      </c>
      <c r="J105" s="592"/>
      <c r="K105" s="592"/>
      <c r="L105" s="592"/>
      <c r="M105" s="592"/>
      <c r="N105" s="592"/>
      <c r="O105" s="592"/>
      <c r="P105" s="592"/>
      <c r="Q105" s="592"/>
      <c r="R105" s="592"/>
      <c r="S105" s="592"/>
      <c r="T105" s="468" cm="1" t="str">
        <f t="array" ref="T105:T105">T104</f>
        <v>false</v>
      </c>
      <c r="U105" s="1324"/>
      <c r="V105" s="1324"/>
      <c r="W105" s="1324"/>
      <c r="X105" s="1617"/>
      <c r="Y105" s="1324"/>
      <c r="Z105" s="1618"/>
      <c r="AA105" s="1324"/>
      <c r="AB105" s="814" t="s">
        <v>2146</v>
      </c>
      <c r="AC105" s="1120" t="s">
        <v>2147</v>
      </c>
      <c r="AD105" s="821" t="s">
        <v>657</v>
      </c>
      <c r="AE105" s="6090">
        <f>IF(AE$24="2026 год",AE104/12*9,AE104/2)</f>
        <v>0</v>
      </c>
      <c r="AF105" s="6090">
        <f>IF(AF$24="2026 год",AF104/12*9,AF104/2)</f>
        <v>0</v>
      </c>
      <c r="AG105" s="6090">
        <f>IF(AG$24="2026 год",AG104/12*9,AG104/2)</f>
        <v>0</v>
      </c>
      <c r="AH105" s="832">
        <f>AG105-AF105</f>
        <v>0</v>
      </c>
      <c r="AI105" s="6090">
        <f>IF(AI$24="2026 год",AI104/12*9,AI104/2)</f>
        <v>0</v>
      </c>
      <c r="AJ105" s="6090">
        <f>IF(AJ$24="2026 год",AJ104/12*9,AJ104/2)</f>
        <v>0</v>
      </c>
      <c r="AK105" s="6090">
        <f>IF(AK$24="2026 год",AK104/12*9,AK104/2)</f>
        <v>0</v>
      </c>
      <c r="AL105" s="824"/>
      <c r="AM105" s="6039"/>
      <c r="AN105" s="6039"/>
      <c r="AO105" s="6039"/>
      <c r="AP105" s="1324"/>
      <c r="AQ105" s="1324"/>
      <c r="AR105" s="1070" t="s">
        <v>2148</v>
      </c>
      <c r="AS105" s="1070"/>
      <c r="AT105" s="1070"/>
      <c r="AU105" s="1067"/>
      <c r="AV105" s="1067"/>
    </row>
    <row customHeight="1" ht="14.625" hidden="1">
      <c r="A106" s="1324"/>
      <c r="B106" s="1324"/>
      <c r="C106" s="1324"/>
      <c r="D106" s="1324"/>
      <c r="E106" s="701">
        <v>15</v>
      </c>
      <c r="F106" s="50" cm="1" t="str">
        <f t="array" ref="F106:F106">OFFSET(E106,-1,1)</f>
        <v>0</v>
      </c>
      <c r="G106" s="583" t="s">
        <v>1874</v>
      </c>
      <c r="H106" s="1324"/>
      <c r="I106" s="592" t="s">
        <v>2149</v>
      </c>
      <c r="J106" s="592"/>
      <c r="K106" s="592"/>
      <c r="L106" s="592"/>
      <c r="M106" s="592"/>
      <c r="N106" s="592"/>
      <c r="O106" s="592"/>
      <c r="P106" s="592"/>
      <c r="Q106" s="592"/>
      <c r="R106" s="592"/>
      <c r="S106" s="592"/>
      <c r="T106" s="468" cm="1" t="str">
        <f t="array" ref="T106:T106">T105</f>
        <v>false</v>
      </c>
      <c r="U106" s="1324"/>
      <c r="V106" s="1324"/>
      <c r="W106" s="1324"/>
      <c r="X106" s="1617"/>
      <c r="Y106" s="1324"/>
      <c r="Z106" s="1618"/>
      <c r="AA106" s="1324"/>
      <c r="AB106" s="814" t="s">
        <v>2150</v>
      </c>
      <c r="AC106" s="1120" t="s">
        <v>2151</v>
      </c>
      <c r="AD106" s="821" t="s">
        <v>1862</v>
      </c>
      <c r="AE106" s="6095">
        <f>IF(AE104=0,0,AE98*(1+Сценарии!AE$26/100))</f>
        <v>0</v>
      </c>
      <c r="AF106" s="6095">
        <f>IF(AF104=0,0,AF98*(1+Сценарии!AF$26/100))</f>
        <v>0</v>
      </c>
      <c r="AG106" s="6095">
        <f>IF(AG104=0,0,AG98*(1+Сценарии!AG$26/100))</f>
        <v>0</v>
      </c>
      <c r="AH106" s="809">
        <f>AG106-AF106</f>
        <v>0</v>
      </c>
      <c r="AI106" s="6095">
        <f>IF(AI104=0,0,AI98*(1+Сценарии!AI$26/100))</f>
        <v>0</v>
      </c>
      <c r="AJ106" s="6095">
        <f>IF(AJ104=0,0,AJ98*(1+Сценарии!AJ$26/100))</f>
        <v>0</v>
      </c>
      <c r="AK106" s="6095">
        <f>IF(AK104=0,0,AK98*(1+Сценарии!AK$26/100))</f>
        <v>0</v>
      </c>
      <c r="AL106" s="824"/>
      <c r="AM106" s="6039"/>
      <c r="AN106" s="6039"/>
      <c r="AO106" s="6039"/>
      <c r="AP106" s="1324"/>
      <c r="AQ106" s="1324"/>
      <c r="AR106" s="1070" t="s">
        <v>2152</v>
      </c>
      <c r="AS106" s="1070"/>
      <c r="AT106" s="1070"/>
      <c r="AU106" s="1067"/>
      <c r="AV106" s="1067"/>
    </row>
    <row customHeight="1" ht="14.625" hidden="1">
      <c r="A107" s="1324"/>
      <c r="B107" s="1324"/>
      <c r="C107" s="1324"/>
      <c r="D107" s="1324"/>
      <c r="E107" s="701">
        <v>15</v>
      </c>
      <c r="F107" s="50" cm="1" t="str">
        <f t="array" ref="F107:F107">OFFSET(E107,-1,1)</f>
        <v>0</v>
      </c>
      <c r="G107" s="583" t="s">
        <v>1925</v>
      </c>
      <c r="H107" s="1324"/>
      <c r="I107" s="592" t="s">
        <v>2153</v>
      </c>
      <c r="J107" s="592"/>
      <c r="K107" s="592"/>
      <c r="L107" s="592"/>
      <c r="M107" s="592"/>
      <c r="N107" s="592"/>
      <c r="O107" s="592"/>
      <c r="P107" s="592"/>
      <c r="Q107" s="592"/>
      <c r="R107" s="592"/>
      <c r="S107" s="592"/>
      <c r="T107" s="468" cm="1" t="str">
        <f t="array" ref="T107:T107">T106</f>
        <v>false</v>
      </c>
      <c r="U107" s="1324"/>
      <c r="V107" s="1324"/>
      <c r="W107" s="1324"/>
      <c r="X107" s="1617"/>
      <c r="Y107" s="1324"/>
      <c r="Z107" s="1618"/>
      <c r="AA107" s="1324"/>
      <c r="AB107" s="814" t="s">
        <v>2154</v>
      </c>
      <c r="AC107" s="1120" t="s">
        <v>2125</v>
      </c>
      <c r="AD107" s="821" t="s">
        <v>657</v>
      </c>
      <c r="AE107" s="832">
        <f>AE104-AE105</f>
        <v>0</v>
      </c>
      <c r="AF107" s="832">
        <f>AF104-AF105</f>
        <v>0</v>
      </c>
      <c r="AG107" s="832">
        <f>AG104-AG105</f>
        <v>0</v>
      </c>
      <c r="AH107" s="832">
        <f>AG107-AF107</f>
        <v>0</v>
      </c>
      <c r="AI107" s="832">
        <f>AI104-AI105</f>
        <v>0</v>
      </c>
      <c r="AJ107" s="832">
        <f>AJ104-AJ105</f>
        <v>0</v>
      </c>
      <c r="AK107" s="832">
        <f>AK104-AK105</f>
        <v>0</v>
      </c>
      <c r="AL107" s="824"/>
      <c r="AM107" s="6039"/>
      <c r="AN107" s="6039"/>
      <c r="AO107" s="6039"/>
      <c r="AP107" s="1324"/>
      <c r="AQ107" s="1324"/>
      <c r="AR107" s="1070" t="s">
        <v>2155</v>
      </c>
      <c r="AS107" s="1070"/>
      <c r="AT107" s="1070"/>
      <c r="AU107" s="1067"/>
      <c r="AV107" s="1067"/>
    </row>
    <row customHeight="1" ht="14.625" hidden="1">
      <c r="A108" s="1324"/>
      <c r="B108" s="1324"/>
      <c r="C108" s="1324"/>
      <c r="D108" s="1324"/>
      <c r="E108" s="701">
        <v>15</v>
      </c>
      <c r="F108" s="50" cm="1" t="str">
        <f t="array" ref="F108:F108">OFFSET(E108,-1,1)</f>
        <v>0</v>
      </c>
      <c r="G108" s="583" t="s">
        <v>1878</v>
      </c>
      <c r="H108" s="1324"/>
      <c r="I108" s="592" t="s">
        <v>2156</v>
      </c>
      <c r="J108" s="592"/>
      <c r="K108" s="592"/>
      <c r="L108" s="592"/>
      <c r="M108" s="592"/>
      <c r="N108" s="592"/>
      <c r="O108" s="592"/>
      <c r="P108" s="592"/>
      <c r="Q108" s="592"/>
      <c r="R108" s="592"/>
      <c r="S108" s="592"/>
      <c r="T108" s="468" cm="1" t="str">
        <f t="array" ref="T108:T108">T107</f>
        <v>false</v>
      </c>
      <c r="U108" s="1324"/>
      <c r="V108" s="1324"/>
      <c r="W108" s="1324"/>
      <c r="X108" s="1617"/>
      <c r="Y108" s="1324"/>
      <c r="Z108" s="1618"/>
      <c r="AA108" s="1324"/>
      <c r="AB108" s="814" t="s">
        <v>2157</v>
      </c>
      <c r="AC108" s="1120" t="s">
        <v>2158</v>
      </c>
      <c r="AD108" s="821" t="s">
        <v>1862</v>
      </c>
      <c r="AE108" s="6057">
        <f>IF(AE104=0,0,AE100*(1+Сценарии!AE$26/100))</f>
        <v>0</v>
      </c>
      <c r="AF108" s="6057">
        <f>IF(AF104=0,0,AF100*(1+Сценарии!AF$26/100))</f>
        <v>0</v>
      </c>
      <c r="AG108" s="6057">
        <f>IF(AG104=0,0,AG100*(1+Сценарии!AG$26/100))</f>
        <v>0</v>
      </c>
      <c r="AH108" s="809">
        <f>AG108-AF108</f>
        <v>0</v>
      </c>
      <c r="AI108" s="6057">
        <f>IF(AI104=0,0,AI100*(1+Сценарии!AI$26/100))</f>
        <v>0</v>
      </c>
      <c r="AJ108" s="6057">
        <f>IF(AJ104=0,0,AJ100*(1+Сценарии!AJ$26/100))</f>
        <v>0</v>
      </c>
      <c r="AK108" s="6057">
        <f>IF(AK104=0,0,AK100*(1+Сценарии!AK$26/100))</f>
        <v>0</v>
      </c>
      <c r="AL108" s="824"/>
      <c r="AM108" s="6039"/>
      <c r="AN108" s="6039"/>
      <c r="AO108" s="6039"/>
      <c r="AP108" s="1324"/>
      <c r="AQ108" s="1324"/>
      <c r="AR108" s="1070" t="s">
        <v>2159</v>
      </c>
      <c r="AS108" s="1070"/>
      <c r="AT108" s="1070"/>
      <c r="AU108" s="1067"/>
      <c r="AV108" s="1067"/>
    </row>
    <row customHeight="1" ht="14.625" hidden="1">
      <c r="A109" s="1324"/>
      <c r="B109" s="1324"/>
      <c r="C109" s="1324"/>
      <c r="D109" s="1324"/>
      <c r="E109" s="701">
        <v>15</v>
      </c>
      <c r="F109" s="50" cm="1" t="str">
        <f t="array" ref="F109:F109">OFFSET(E109,-1,1)</f>
        <v>0</v>
      </c>
      <c r="G109" s="583"/>
      <c r="H109" s="1324"/>
      <c r="I109" s="592"/>
      <c r="J109" s="592"/>
      <c r="K109" s="592"/>
      <c r="L109" s="592"/>
      <c r="M109" s="592"/>
      <c r="N109" s="592"/>
      <c r="O109" s="592"/>
      <c r="P109" s="592"/>
      <c r="Q109" s="592"/>
      <c r="R109" s="592"/>
      <c r="S109" s="592"/>
      <c r="T109" s="468" cm="1" t="str">
        <f t="array" ref="T109:T109">T108</f>
        <v>false</v>
      </c>
      <c r="U109" s="1324"/>
      <c r="V109" s="1324"/>
      <c r="W109" s="1324"/>
      <c r="X109" s="1617"/>
      <c r="Y109" s="1324"/>
      <c r="Z109" s="1618"/>
      <c r="AA109" s="1324"/>
      <c r="AB109" s="214" t="s">
        <v>498</v>
      </c>
      <c r="AC109" s="208" t="s">
        <v>2160</v>
      </c>
      <c r="AD109" s="207" t="s">
        <v>936</v>
      </c>
      <c r="AE109" s="6057"/>
      <c r="AF109" s="6057"/>
      <c r="AG109" s="6057"/>
      <c r="AH109" s="809">
        <f>AG109-AF109</f>
        <v>0</v>
      </c>
      <c r="AI109" s="6057"/>
      <c r="AJ109" s="6057"/>
      <c r="AK109" s="6057"/>
      <c r="AL109" s="824"/>
      <c r="AM109" s="6039"/>
      <c r="AN109" s="6039"/>
      <c r="AO109" s="6039"/>
      <c r="AP109" s="1324"/>
      <c r="AQ109" s="1324"/>
      <c r="AR109" s="1070" t="s">
        <v>2161</v>
      </c>
      <c r="AS109" s="1070"/>
      <c r="AT109" s="1070"/>
      <c r="AU109" s="1067"/>
      <c r="AV109" s="1067"/>
    </row>
    <row customHeight="1" ht="21.9375" hidden="1">
      <c r="A110" s="1324"/>
      <c r="B110" s="1324"/>
      <c r="C110" s="1324"/>
      <c r="D110" s="1324"/>
      <c r="E110" s="701">
        <v>22.5</v>
      </c>
      <c r="F110" s="50" cm="1" t="str">
        <f t="array" ref="F110:F110">OFFSET(E110,-1,1)</f>
        <v>0</v>
      </c>
      <c r="G110" s="583"/>
      <c r="H110" s="1324"/>
      <c r="I110" s="592"/>
      <c r="J110" s="592"/>
      <c r="K110" s="592"/>
      <c r="L110" s="592"/>
      <c r="M110" s="592"/>
      <c r="N110" s="592"/>
      <c r="O110" s="592"/>
      <c r="P110" s="592"/>
      <c r="Q110" s="592"/>
      <c r="R110" s="592"/>
      <c r="S110" s="592"/>
      <c r="T110" s="468" cm="1" t="str">
        <f t="array" ref="T110:T110">T109</f>
        <v>false</v>
      </c>
      <c r="U110" s="1324"/>
      <c r="V110" s="1324"/>
      <c r="W110" s="1324"/>
      <c r="X110" s="1617"/>
      <c r="Y110" s="1324"/>
      <c r="Z110" s="1618"/>
      <c r="AA110" s="1324"/>
      <c r="AB110" s="295" t="s">
        <v>2162</v>
      </c>
      <c r="AC110" s="769" t="s">
        <v>2163</v>
      </c>
      <c r="AD110" s="296" t="s">
        <v>936</v>
      </c>
      <c r="AE110" s="6057"/>
      <c r="AF110" s="6057"/>
      <c r="AG110" s="6057"/>
      <c r="AH110" s="809">
        <f>AG110-AF110</f>
        <v>0</v>
      </c>
      <c r="AI110" s="6057"/>
      <c r="AJ110" s="6057"/>
      <c r="AK110" s="6057"/>
      <c r="AL110" s="824"/>
      <c r="AM110" s="6039"/>
      <c r="AN110" s="6039"/>
      <c r="AO110" s="6039"/>
      <c r="AP110" s="1324"/>
      <c r="AQ110" s="1324"/>
      <c r="AR110" s="1070" t="s">
        <v>2164</v>
      </c>
      <c r="AS110" s="1070"/>
      <c r="AT110" s="1070"/>
      <c r="AU110" s="1067"/>
      <c r="AV110" s="1067"/>
    </row>
    <row customHeight="1" ht="70.2" hidden="1">
      <c r="A111" s="1324"/>
      <c r="B111" s="1324"/>
      <c r="C111" s="1324"/>
      <c r="D111" s="1324"/>
      <c r="E111" s="701">
        <v>72</v>
      </c>
      <c r="F111" s="50" cm="1" t="str">
        <f t="array" ref="F111:F111">OFFSET(E111,-1,1)</f>
        <v>0</v>
      </c>
      <c r="G111" s="583"/>
      <c r="H111" s="1324"/>
      <c r="I111" s="592"/>
      <c r="J111" s="592"/>
      <c r="K111" s="592"/>
      <c r="L111" s="592"/>
      <c r="M111" s="592"/>
      <c r="N111" s="592"/>
      <c r="O111" s="592"/>
      <c r="P111" s="592"/>
      <c r="Q111" s="592"/>
      <c r="R111" s="592"/>
      <c r="S111" s="592"/>
      <c r="T111" s="468" cm="1" t="str">
        <f t="array" ref="T111:T111">T110</f>
        <v>false</v>
      </c>
      <c r="U111" s="1324"/>
      <c r="V111" s="1324"/>
      <c r="W111" s="1324"/>
      <c r="X111" s="1617"/>
      <c r="Y111" s="1324"/>
      <c r="Z111" s="1618"/>
      <c r="AA111" s="1324"/>
      <c r="AB111" s="295" t="s">
        <v>2165</v>
      </c>
      <c r="AC111" s="769" t="s">
        <v>2166</v>
      </c>
      <c r="AD111" s="296" t="s">
        <v>936</v>
      </c>
      <c r="AE111" s="6057"/>
      <c r="AF111" s="6057"/>
      <c r="AG111" s="6057"/>
      <c r="AH111" s="809">
        <f>AG111-AF111</f>
        <v>0</v>
      </c>
      <c r="AI111" s="6057"/>
      <c r="AJ111" s="6057"/>
      <c r="AK111" s="6057"/>
      <c r="AL111" s="824"/>
      <c r="AM111" s="6039"/>
      <c r="AN111" s="6039"/>
      <c r="AO111" s="6039"/>
      <c r="AP111" s="1324"/>
      <c r="AQ111" s="1324"/>
      <c r="AR111" s="1070" t="s">
        <v>2167</v>
      </c>
      <c r="AS111" s="1070"/>
      <c r="AT111" s="1070"/>
      <c r="AU111" s="1067"/>
      <c r="AV111" s="1067"/>
    </row>
    <row s="1656" customFormat="1" customHeight="1" ht="14.25">
      <c r="A112" s="1324"/>
      <c r="B112" s="1324"/>
      <c r="C112" s="1324"/>
      <c r="D112" s="1324"/>
      <c r="E112" s="701">
        <v>15</v>
      </c>
      <c r="F112" s="584" cm="1" t="str">
        <f t="array" ref="F112:F112">X112</f>
        <v>1</v>
      </c>
      <c r="G112" s="702" cm="1" t="str">
        <f t="array" ref="G112:G112">INDEX('Общие сведения'!$AK$197:$AK$254,MATCH($X112,'Общие сведения'!$Z$197:$Z$254,0))</f>
        <v>одноставочный</v>
      </c>
      <c r="H112" s="1324"/>
      <c r="I112" s="1324"/>
      <c r="J112" s="1324"/>
      <c r="K112" s="1324"/>
      <c r="L112" s="1324"/>
      <c r="M112" s="1324"/>
      <c r="N112" s="1324"/>
      <c r="O112" s="1324"/>
      <c r="P112" s="1324"/>
      <c r="Q112" s="1324"/>
      <c r="R112" s="1324"/>
      <c r="S112" s="1324"/>
      <c r="T112" s="468">
        <f>X112&gt;0</f>
        <v>1</v>
      </c>
      <c r="U112" s="1324"/>
      <c r="V112" s="700" cm="1" t="str">
        <f t="array" ref="V112:V112">ТМ!$AD$92</f>
        <v>Тариф 1 (Водоснабжение) - тариф на питьевую воду (Оказание услуг на территории: город Ленинск-Кузнецкий (ОКТМО: 32719000) - г Ленинск-Кузнецкий, г Полысаево)</v>
      </c>
      <c r="W112" s="1324"/>
      <c r="X112" s="1617" t="s">
        <v>290</v>
      </c>
      <c r="Y112" s="1324"/>
      <c r="Z112" s="1618"/>
      <c r="AA112" s="1324"/>
      <c r="AB112" s="1246" cm="1" t="str">
        <f t="array" ref="AB112:AB112">ТМ!$AD$92</f>
        <v>Тариф 1 (Водоснабжение) - тариф на питьевую воду (Оказание услуг на территории: город Ленинск-Кузнецкий (ОКТМО: 32719000) - г Ленинск-Кузнецкий, г Полысаево)</v>
      </c>
      <c r="AC112" s="591"/>
      <c r="AD112" s="591"/>
      <c r="AE112" s="591"/>
      <c r="AF112" s="591"/>
      <c r="AG112" s="591"/>
      <c r="AH112" s="591"/>
      <c r="AI112" s="591"/>
      <c r="AJ112" s="591"/>
      <c r="AK112" s="591"/>
      <c r="AL112" s="591"/>
      <c r="AM112" s="591"/>
      <c r="AN112" s="591"/>
      <c r="AO112" s="591"/>
      <c r="AP112" s="1324"/>
      <c r="AQ112" s="1324"/>
      <c r="AR112" s="1070"/>
      <c r="AS112" s="1070"/>
      <c r="AT112" s="1070"/>
      <c r="AU112" s="1067"/>
      <c r="AV112" s="1067"/>
    </row>
    <row s="1656" customFormat="1" customHeight="1" ht="14.25">
      <c r="A113" s="1324"/>
      <c r="B113" s="1324"/>
      <c r="C113" s="1324"/>
      <c r="D113" s="1324"/>
      <c r="E113" s="701">
        <v>15</v>
      </c>
      <c r="F113" s="50" cm="1" t="str">
        <f t="array" ref="F113:F113">OFFSET(E113,-1,1)</f>
        <v>1</v>
      </c>
      <c r="G113" s="1324"/>
      <c r="H113" s="1324"/>
      <c r="I113" s="592" t="s">
        <v>344</v>
      </c>
      <c r="J113" s="592"/>
      <c r="K113" s="592"/>
      <c r="L113" s="592"/>
      <c r="M113" s="592"/>
      <c r="N113" s="592"/>
      <c r="O113" s="592"/>
      <c r="P113" s="592"/>
      <c r="Q113" s="592"/>
      <c r="R113" s="592"/>
      <c r="S113" s="592"/>
      <c r="T113" s="468" cm="1" t="str">
        <f t="array" ref="T113:T113">T112</f>
        <v>true</v>
      </c>
      <c r="U113" s="1324"/>
      <c r="V113" s="1324"/>
      <c r="W113" s="1324"/>
      <c r="X113" s="1617"/>
      <c r="Y113" s="1324"/>
      <c r="Z113" s="1618"/>
      <c r="AA113" s="1324"/>
      <c r="AB113" s="806" t="s">
        <v>290</v>
      </c>
      <c r="AC113" s="807" t="s">
        <v>1972</v>
      </c>
      <c r="AD113" s="766" t="s">
        <v>936</v>
      </c>
      <c r="AE113" s="808">
        <f>AE114+AE118+AE128+AE129+AE132+AE133+AE134</f>
        <v>169799.062199654</v>
      </c>
      <c r="AF113" s="808">
        <f>AF114+AF118+AF128+AF129+AF132+AF133+AF134</f>
        <v>174956.07</v>
      </c>
      <c r="AG113" s="808">
        <f>AG114+AG118+AG128+AG129+AG132+AG133+AG134</f>
        <v>154431.16</v>
      </c>
      <c r="AH113" s="808">
        <f>AG113-AF113</f>
        <v>-20524.91</v>
      </c>
      <c r="AI113" s="808">
        <f>AI114+AI118+AI128+AI129+AI132+AI133+AI134</f>
        <v>172512.37</v>
      </c>
      <c r="AJ113" s="808">
        <f>AJ114+AJ118+AJ128+AJ129+AJ132+AJ133+AJ134</f>
        <v>185434.3</v>
      </c>
      <c r="AK113" s="808">
        <f>AK114+AK118+AK128+AK129+AK132+AK133+AK134</f>
        <v>216406.77725</v>
      </c>
      <c r="AL113" s="809">
        <f>IF(AI113=0,0,(AK113-AI113)/AI113*100)</f>
        <v>25.4442085805209</v>
      </c>
      <c r="AM113" s="810"/>
      <c r="AN113" s="917"/>
      <c r="AO113" s="810"/>
      <c r="AP113" s="1324"/>
      <c r="AQ113" s="1324"/>
      <c r="AR113" s="1070" t="s">
        <v>621</v>
      </c>
      <c r="AS113" s="1070"/>
      <c r="AT113" s="1070"/>
      <c r="AU113" s="1067"/>
      <c r="AV113" s="1067"/>
    </row>
    <row s="6098" customFormat="1" customHeight="1" ht="21.75">
      <c r="A114" s="593"/>
      <c r="B114" s="593"/>
      <c r="C114" s="593"/>
      <c r="D114" s="593"/>
      <c r="E114" s="703">
        <v>22.5</v>
      </c>
      <c r="F114" s="50" cm="1" t="str">
        <f t="array" ref="F114:F114">OFFSET(E114,-1,1)</f>
        <v>1</v>
      </c>
      <c r="G114" s="593"/>
      <c r="H114" s="593"/>
      <c r="I114" s="704" t="s">
        <v>566</v>
      </c>
      <c r="J114" s="704"/>
      <c r="K114" s="704"/>
      <c r="L114" s="704"/>
      <c r="M114" s="704"/>
      <c r="N114" s="704"/>
      <c r="O114" s="704"/>
      <c r="P114" s="704"/>
      <c r="Q114" s="704"/>
      <c r="R114" s="704"/>
      <c r="S114" s="704"/>
      <c r="T114" s="468" cm="1" t="str">
        <f t="array" ref="T114:T114">T113</f>
        <v>true</v>
      </c>
      <c r="U114" s="593"/>
      <c r="V114" s="593"/>
      <c r="W114" s="593"/>
      <c r="X114" s="1617"/>
      <c r="Y114" s="593"/>
      <c r="Z114" s="1618"/>
      <c r="AA114" s="593"/>
      <c r="AB114" s="811" t="s">
        <v>1067</v>
      </c>
      <c r="AC114" s="812" t="s">
        <v>1973</v>
      </c>
      <c r="AD114" s="595" t="s">
        <v>936</v>
      </c>
      <c r="AE114" s="808">
        <f>SUM(AE115:AE117)</f>
        <v>0</v>
      </c>
      <c r="AF114" s="808">
        <f>SUM(AF115:AF117)</f>
        <v>0</v>
      </c>
      <c r="AG114" s="808">
        <f>SUM(AG115:AG117)</f>
        <v>0</v>
      </c>
      <c r="AH114" s="808">
        <f>AG114-AF114</f>
        <v>0</v>
      </c>
      <c r="AI114" s="808">
        <f>SUM(AI115:AI117)</f>
        <v>0</v>
      </c>
      <c r="AJ114" s="808">
        <f>SUM(AJ115:AJ117)</f>
        <v>0</v>
      </c>
      <c r="AK114" s="808">
        <f>SUM(AK115:AK117)</f>
        <v>0</v>
      </c>
      <c r="AL114" s="808">
        <f>IF(AI114=0,0,(AK114-AI114)/AI114*100)</f>
        <v>0</v>
      </c>
      <c r="AM114" s="813"/>
      <c r="AN114" s="813"/>
      <c r="AO114" s="813"/>
      <c r="AP114" s="593"/>
      <c r="AQ114" s="593"/>
      <c r="AR114" s="1071" t="s">
        <v>1974</v>
      </c>
      <c r="AS114" s="1071"/>
      <c r="AT114" s="1071"/>
      <c r="AU114" s="703"/>
      <c r="AV114" s="703"/>
    </row>
    <row s="1656" customFormat="1" customHeight="1" ht="14.25">
      <c r="A115" s="1324"/>
      <c r="B115" s="1324"/>
      <c r="C115" s="1324"/>
      <c r="D115" s="1324"/>
      <c r="E115" s="701">
        <v>15</v>
      </c>
      <c r="F115" s="50" cm="1" t="str">
        <f t="array" ref="F115:F115">OFFSET(E115,-1,1)</f>
        <v>1</v>
      </c>
      <c r="G115" s="1324"/>
      <c r="H115" s="1324"/>
      <c r="I115" s="592" t="s">
        <v>1197</v>
      </c>
      <c r="J115" s="592"/>
      <c r="K115" s="592"/>
      <c r="L115" s="592"/>
      <c r="M115" s="592"/>
      <c r="N115" s="592"/>
      <c r="O115" s="592"/>
      <c r="P115" s="592"/>
      <c r="Q115" s="592"/>
      <c r="R115" s="592"/>
      <c r="S115" s="592"/>
      <c r="T115" s="468" cm="1" t="str">
        <f t="array" ref="T115:T115">T114</f>
        <v>true</v>
      </c>
      <c r="U115" s="1324"/>
      <c r="V115" s="1324"/>
      <c r="W115" s="1324"/>
      <c r="X115" s="1617"/>
      <c r="Y115" s="1324"/>
      <c r="Z115" s="1618"/>
      <c r="AA115" s="1324"/>
      <c r="AB115" s="814" t="s">
        <v>1198</v>
      </c>
      <c r="AC115" s="815" t="s">
        <v>1975</v>
      </c>
      <c r="AD115" s="766" t="s">
        <v>936</v>
      </c>
      <c r="AE115" s="809">
        <f>_xlfn.SUMIFS('Сырье и материалы'!AE$25:AE$111,'Сырье и материалы'!$F$25:$F$111,$F115,'Сырье и материалы'!$I$25:$I$111,"Реагенты")</f>
        <v>0</v>
      </c>
      <c r="AF115" s="809">
        <f>_xlfn.SUMIFS('Сырье и материалы'!AF$25:AF$111,'Сырье и материалы'!$F$25:$F$111,$F115,'Сырье и материалы'!$I$25:$I$111,"Реагенты")</f>
        <v>0</v>
      </c>
      <c r="AG115" s="809">
        <f>_xlfn.SUMIFS('Сырье и материалы'!AG$25:AG$111,'Сырье и материалы'!$F$25:$F$111,$F115,'Сырье и материалы'!$I$25:$I$111,"Реагенты")</f>
        <v>0</v>
      </c>
      <c r="AH115" s="809">
        <f>AG115-AF115</f>
        <v>0</v>
      </c>
      <c r="AI115" s="809">
        <f>_xlfn.SUMIFS('Сырье и материалы'!AH$25:AH$111,'Сырье и материалы'!$F$25:$F$111,$F115,'Сырье и материалы'!$I$25:$I$111,"Реагенты")</f>
        <v>0</v>
      </c>
      <c r="AJ115" s="809">
        <f>_xlfn.SUMIFS('Сырье и материалы'!AI$25:AI$111,'Сырье и материалы'!$F$25:$F$111,$F115,'Сырье и материалы'!$I$25:$I$111,"Реагенты")</f>
        <v>0</v>
      </c>
      <c r="AK115" s="809">
        <f>_xlfn.SUMIFS('Сырье и материалы'!AS$25:AS$111,'Сырье и материалы'!$F$25:$F$111,$F115,'Сырье и материалы'!$I$25:$I$111,"Реагенты")</f>
        <v>0</v>
      </c>
      <c r="AL115" s="809">
        <f>IF(AI115=0,0,(AK115-AI115)/AI115*100)</f>
        <v>0</v>
      </c>
      <c r="AM115" s="810"/>
      <c r="AN115" s="917" t="str">
        <f>IF(_xlfn.IFERROR(INDEX('Сырье и материалы'!$K$26:$L$111,MATCH($F115&amp;"komm",'Сырье и материалы'!$K$26:$K$111,0),2),"")=0,"",_xlfn.IFERROR(INDEX('Сырье и материалы'!$K$26:$L$111,MATCH($F115&amp;"komm",'Сырье и материалы'!$K$26:$K$111,0),2),""))</f>
        <v/>
      </c>
      <c r="AO115" s="810"/>
      <c r="AP115" s="1324"/>
      <c r="AQ115" s="1324"/>
      <c r="AR115" s="1070" t="s">
        <v>1976</v>
      </c>
      <c r="AS115" s="1070"/>
      <c r="AT115" s="1070"/>
      <c r="AU115" s="1067"/>
      <c r="AV115" s="1067"/>
    </row>
    <row s="1656" customFormat="1" customHeight="1" ht="14.25">
      <c r="A116" s="1324"/>
      <c r="B116" s="1324"/>
      <c r="C116" s="1324"/>
      <c r="D116" s="1324"/>
      <c r="E116" s="701">
        <v>15</v>
      </c>
      <c r="F116" s="50" cm="1" t="str">
        <f t="array" ref="F116:F116">OFFSET(E116,-1,1)</f>
        <v>1</v>
      </c>
      <c r="G116" s="1324"/>
      <c r="H116" s="1324"/>
      <c r="I116" s="592" t="s">
        <v>1201</v>
      </c>
      <c r="J116" s="592"/>
      <c r="K116" s="592"/>
      <c r="L116" s="592"/>
      <c r="M116" s="592"/>
      <c r="N116" s="592"/>
      <c r="O116" s="592"/>
      <c r="P116" s="592"/>
      <c r="Q116" s="592"/>
      <c r="R116" s="592"/>
      <c r="S116" s="592"/>
      <c r="T116" s="468" cm="1" t="str">
        <f t="array" ref="T116:T116">T115</f>
        <v>true</v>
      </c>
      <c r="U116" s="1324"/>
      <c r="V116" s="1324"/>
      <c r="W116" s="1324"/>
      <c r="X116" s="1617"/>
      <c r="Y116" s="1324"/>
      <c r="Z116" s="1618"/>
      <c r="AA116" s="1324"/>
      <c r="AB116" s="814" t="s">
        <v>1202</v>
      </c>
      <c r="AC116" s="815" t="s">
        <v>1977</v>
      </c>
      <c r="AD116" s="766" t="s">
        <v>936</v>
      </c>
      <c r="AE116" s="6051">
        <f>_xlfn.SUMIFS('Сырье и материалы'!AE$25:AE$111,'Сырье и материалы'!$F$25:$F$111,$F116,'Сырье и материалы'!$I$25:$I$111,"Горюче-смазочные материалы")</f>
        <v>0</v>
      </c>
      <c r="AF116" s="6051">
        <f>_xlfn.SUMIFS('Сырье и материалы'!AF$25:AF$111,'Сырье и материалы'!$F$25:$F$111,$F116,'Сырье и материалы'!$I$25:$I$111,"Горюче-смазочные материалы")</f>
        <v>0</v>
      </c>
      <c r="AG116" s="6051">
        <f>_xlfn.SUMIFS('Сырье и материалы'!AG$25:AG$111,'Сырье и материалы'!$F$25:$F$111,$F116,'Сырье и материалы'!$I$25:$I$111,"Горюче-смазочные материалы")</f>
        <v>0</v>
      </c>
      <c r="AH116" s="809">
        <f>AG116-AF116</f>
        <v>0</v>
      </c>
      <c r="AI116" s="6051">
        <f>_xlfn.SUMIFS('Сырье и материалы'!AH$25:AH$111,'Сырье и материалы'!$F$25:$F$111,$F116,'Сырье и материалы'!$I$25:$I$111,"Горюче-смазочные материалы")</f>
        <v>0</v>
      </c>
      <c r="AJ116" s="6051">
        <f>_xlfn.SUMIFS('Сырье и материалы'!AI$25:AI$111,'Сырье и материалы'!$F$25:$F$111,$F116,'Сырье и материалы'!$I$25:$I$111,"Горюче-смазочные материалы")</f>
        <v>0</v>
      </c>
      <c r="AK116" s="6051">
        <f>_xlfn.SUMIFS('Сырье и материалы'!AS$25:AS$111,'Сырье и материалы'!$F$25:$F$111,$F116,'Сырье и материалы'!$I$25:$I$111,"Горюче-смазочные материалы")</f>
        <v>0</v>
      </c>
      <c r="AL116" s="809">
        <f>IF(AI116=0,0,(AK116-AI116)/AI116*100)</f>
        <v>0</v>
      </c>
      <c r="AM116" s="810"/>
      <c r="AN116" s="810"/>
      <c r="AO116" s="810"/>
      <c r="AP116" s="1324"/>
      <c r="AQ116" s="1324"/>
      <c r="AR116" s="1070" t="s">
        <v>1978</v>
      </c>
      <c r="AS116" s="1070"/>
      <c r="AT116" s="1070"/>
      <c r="AU116" s="1067"/>
      <c r="AV116" s="1067"/>
    </row>
    <row s="1656" customFormat="1" customHeight="1" ht="14.25">
      <c r="A117" s="1324"/>
      <c r="B117" s="1324"/>
      <c r="C117" s="1324"/>
      <c r="D117" s="1324"/>
      <c r="E117" s="701">
        <v>15</v>
      </c>
      <c r="F117" s="50" cm="1" t="str">
        <f t="array" ref="F117:F117">OFFSET(E117,-1,1)</f>
        <v>1</v>
      </c>
      <c r="G117" s="1324"/>
      <c r="H117" s="1324"/>
      <c r="I117" s="592" t="s">
        <v>1525</v>
      </c>
      <c r="J117" s="592"/>
      <c r="K117" s="592"/>
      <c r="L117" s="592"/>
      <c r="M117" s="592"/>
      <c r="N117" s="592"/>
      <c r="O117" s="592"/>
      <c r="P117" s="592"/>
      <c r="Q117" s="592"/>
      <c r="R117" s="592"/>
      <c r="S117" s="592"/>
      <c r="T117" s="468" cm="1" t="str">
        <f t="array" ref="T117:T117">T116</f>
        <v>true</v>
      </c>
      <c r="U117" s="1324"/>
      <c r="V117" s="1324"/>
      <c r="W117" s="1324"/>
      <c r="X117" s="1617"/>
      <c r="Y117" s="1324"/>
      <c r="Z117" s="1618"/>
      <c r="AA117" s="1324"/>
      <c r="AB117" s="814" t="s">
        <v>1526</v>
      </c>
      <c r="AC117" s="815" t="s">
        <v>1979</v>
      </c>
      <c r="AD117" s="766" t="s">
        <v>936</v>
      </c>
      <c r="AE117" s="6051">
        <f>_xlfn.SUMIFS('Сырье и материалы'!AE$25:AE$111,'Сырье и материалы'!$F$25:$F$111,$F117,'Сырье и материалы'!$I$25:$I$111,"Материалы")</f>
        <v>0</v>
      </c>
      <c r="AF117" s="6051">
        <f>_xlfn.SUMIFS('Сырье и материалы'!AF$25:AF$111,'Сырье и материалы'!$F$25:$F$111,$F117,'Сырье и материалы'!$I$25:$I$111,"Материалы")</f>
        <v>0</v>
      </c>
      <c r="AG117" s="6051">
        <f>_xlfn.SUMIFS('Сырье и материалы'!AG$25:AG$111,'Сырье и материалы'!$F$25:$F$111,$F117,'Сырье и материалы'!$I$25:$I$111,"Материалы")</f>
        <v>0</v>
      </c>
      <c r="AH117" s="809">
        <f>AG117-AF117</f>
        <v>0</v>
      </c>
      <c r="AI117" s="6051">
        <f>_xlfn.SUMIFS('Сырье и материалы'!AH$25:AH$111,'Сырье и материалы'!$F$25:$F$111,$F117,'Сырье и материалы'!$I$25:$I$111,"Материалы")</f>
        <v>0</v>
      </c>
      <c r="AJ117" s="6051">
        <f>_xlfn.SUMIFS('Сырье и материалы'!AI$25:AI$111,'Сырье и материалы'!$F$25:$F$111,$F117,'Сырье и материалы'!$I$25:$I$111,"Материалы")</f>
        <v>0</v>
      </c>
      <c r="AK117" s="6051">
        <f>_xlfn.SUMIFS('Сырье и материалы'!AS$25:AS$111,'Сырье и материалы'!$F$25:$F$111,$F117,'Сырье и материалы'!$I$25:$I$111,"Материалы")</f>
        <v>0</v>
      </c>
      <c r="AL117" s="809">
        <f>IF(AI117=0,0,(AK117-AI117)/AI117*100)</f>
        <v>0</v>
      </c>
      <c r="AM117" s="810"/>
      <c r="AN117" s="810"/>
      <c r="AO117" s="810"/>
      <c r="AP117" s="1324"/>
      <c r="AQ117" s="1324"/>
      <c r="AR117" s="1070" t="s">
        <v>1980</v>
      </c>
      <c r="AS117" s="1070"/>
      <c r="AT117" s="1070"/>
      <c r="AU117" s="1067"/>
      <c r="AV117" s="1067"/>
    </row>
    <row s="6100" customFormat="1" customHeight="1" ht="21.75">
      <c r="A118" s="593"/>
      <c r="B118" s="593"/>
      <c r="C118" s="593"/>
      <c r="D118" s="593"/>
      <c r="E118" s="703">
        <v>22.5</v>
      </c>
      <c r="F118" s="50" cm="1" t="str">
        <f t="array" ref="F118:F118">OFFSET(E118,-1,1)</f>
        <v>1</v>
      </c>
      <c r="G118" s="593"/>
      <c r="H118" s="593"/>
      <c r="I118" s="704" t="s">
        <v>570</v>
      </c>
      <c r="J118" s="704"/>
      <c r="K118" s="704"/>
      <c r="L118" s="704"/>
      <c r="M118" s="704"/>
      <c r="N118" s="704"/>
      <c r="O118" s="704"/>
      <c r="P118" s="704"/>
      <c r="Q118" s="704"/>
      <c r="R118" s="704"/>
      <c r="S118" s="704"/>
      <c r="T118" s="468" cm="1" t="str">
        <f t="array" ref="T118:T118">T117</f>
        <v>true</v>
      </c>
      <c r="U118" s="593"/>
      <c r="V118" s="593"/>
      <c r="W118" s="593"/>
      <c r="X118" s="1617"/>
      <c r="Y118" s="593"/>
      <c r="Z118" s="1618"/>
      <c r="AA118" s="593"/>
      <c r="AB118" s="811" t="s">
        <v>1070</v>
      </c>
      <c r="AC118" s="812" t="s">
        <v>1981</v>
      </c>
      <c r="AD118" s="595" t="s">
        <v>936</v>
      </c>
      <c r="AE118" s="808">
        <f>SUM(AE119:AE127)</f>
        <v>169799.062199654</v>
      </c>
      <c r="AF118" s="808">
        <f>SUM(AF119:AF127)</f>
        <v>174956.07</v>
      </c>
      <c r="AG118" s="808">
        <f>SUM(AG119:AG127)</f>
        <v>154431.16</v>
      </c>
      <c r="AH118" s="808">
        <f>AG118-AF118</f>
        <v>-20524.91</v>
      </c>
      <c r="AI118" s="808">
        <f>SUM(AI119:AI127)</f>
        <v>172512.37</v>
      </c>
      <c r="AJ118" s="808">
        <f>SUM(AJ119:AJ127)</f>
        <v>185434.3</v>
      </c>
      <c r="AK118" s="808">
        <f>SUM(AK119:AK127)</f>
        <v>216406.77725</v>
      </c>
      <c r="AL118" s="808">
        <f>IF(AI118=0,0,(AK118-AI118)/AI118*100)</f>
        <v>25.4442085805209</v>
      </c>
      <c r="AM118" s="813"/>
      <c r="AN118" s="813"/>
      <c r="AO118" s="813"/>
      <c r="AP118" s="593"/>
      <c r="AQ118" s="593"/>
      <c r="AR118" s="1071" t="s">
        <v>1982</v>
      </c>
      <c r="AS118" s="1071"/>
      <c r="AT118" s="1071"/>
      <c r="AU118" s="703"/>
      <c r="AV118" s="703"/>
    </row>
    <row s="1656" customFormat="1" customHeight="1" ht="14.25">
      <c r="A119" s="1324"/>
      <c r="B119" s="1324"/>
      <c r="C119" s="1324"/>
      <c r="D119" s="1324"/>
      <c r="E119" s="701">
        <v>15</v>
      </c>
      <c r="F119" s="50" cm="1" t="str">
        <f t="array" ref="F119:F119">OFFSET(E119,-1,1)</f>
        <v>1</v>
      </c>
      <c r="G119" s="1324"/>
      <c r="H119" s="1324"/>
      <c r="I119" s="592" t="s">
        <v>1550</v>
      </c>
      <c r="J119" s="592"/>
      <c r="K119" s="592"/>
      <c r="L119" s="592"/>
      <c r="M119" s="592"/>
      <c r="N119" s="592"/>
      <c r="O119" s="592"/>
      <c r="P119" s="592"/>
      <c r="Q119" s="592"/>
      <c r="R119" s="592"/>
      <c r="S119" s="592"/>
      <c r="T119" s="468" cm="1" t="str">
        <f t="array" ref="T119:T119">T118</f>
        <v>true</v>
      </c>
      <c r="U119" s="1324"/>
      <c r="V119" s="1324"/>
      <c r="W119" s="1324"/>
      <c r="X119" s="1617"/>
      <c r="Y119" s="1324"/>
      <c r="Z119" s="1618"/>
      <c r="AA119" s="1324"/>
      <c r="AB119" s="814" t="s">
        <v>1551</v>
      </c>
      <c r="AC119" s="815" t="s">
        <v>1983</v>
      </c>
      <c r="AD119" s="766" t="s">
        <v>936</v>
      </c>
      <c r="AE119" s="809">
        <f>_xlfn.SUMIFS(ЭЭ!AE$25:AE$175,ЭЭ!$F$25:$F$175,$F119,ЭЭ!$AC$25:$AC$175,"Всего по тарифу")</f>
        <v>165515.502199654</v>
      </c>
      <c r="AF119" s="809">
        <f>_xlfn.SUMIFS(ЭЭ!AF$25:AF$175,ЭЭ!$F$25:$F$175,$F119,ЭЭ!$AC$25:$AC$175,"Всего по тарифу")</f>
        <v>169094.54</v>
      </c>
      <c r="AG119" s="809">
        <f>_xlfn.SUMIFS(ЭЭ!AG$25:AG$175,ЭЭ!$F$25:$F$175,$F119,ЭЭ!$AC$25:$AC$175,"Всего по тарифу")</f>
        <v>148569.63</v>
      </c>
      <c r="AH119" s="809">
        <f>AG119-AF119</f>
        <v>-20524.91</v>
      </c>
      <c r="AI119" s="809">
        <f>_xlfn.SUMIFS(ЭЭ!AH$25:AH$175,ЭЭ!$F$25:$F$175,$F119,ЭЭ!$AC$25:$AC$175,"Всего по тарифу")</f>
        <v>167046.93</v>
      </c>
      <c r="AJ119" s="809">
        <f>_xlfn.SUMIFS(ЭЭ!AI$25:AI$175,ЭЭ!$F$25:$F$175,$F119,ЭЭ!$AC$25:$AC$175,"Всего по тарифу")</f>
        <v>178534.03</v>
      </c>
      <c r="AK119" s="809">
        <f>_xlfn.SUMIFS(ЭЭ!AS$25:AS$175,ЭЭ!$F$25:$F$175,$F119,ЭЭ!$AC$25:$AC$175,"Всего по тарифу")</f>
        <v>209643.27</v>
      </c>
      <c r="AL119" s="809">
        <f>IF(AI119=0,0,(AK119-AI119)/AI119*100)</f>
        <v>25.4996245665814</v>
      </c>
      <c r="AM119" s="810"/>
      <c r="AN119" s="917" t="str">
        <f>IF(_xlfn.IFERROR(INDEX(ЭЭ!$K$26:$L$175,MATCH($F119&amp;"komm",ЭЭ!$K$26:$K$175,0),2),"")=0,"",_xlfn.IFERROR(INDEX(ЭЭ!$K$26:$L$175,MATCH($F119&amp;"komm",ЭЭ!$K$26:$K$175,0),2),""))</f>
        <v>Пункты 90 и 95 "Методических указаний" (приказ ФСТ № 1746-э от 27.12.2013). Формулы (39.1), (39.2), (39.3).</v>
      </c>
      <c r="AO119" s="810"/>
      <c r="AP119" s="1324"/>
      <c r="AQ119" s="1324"/>
      <c r="AR119" s="1070" t="s">
        <v>1984</v>
      </c>
      <c r="AS119" s="1070"/>
      <c r="AT119" s="1070"/>
      <c r="AU119" s="1067"/>
      <c r="AV119" s="1067"/>
    </row>
    <row s="1656" customFormat="1" customHeight="1" ht="14.25">
      <c r="A120" s="1324"/>
      <c r="B120" s="1324"/>
      <c r="C120" s="1324"/>
      <c r="D120" s="1324"/>
      <c r="E120" s="701">
        <v>15</v>
      </c>
      <c r="F120" s="50" cm="1" t="str">
        <f t="array" ref="F120:F120">OFFSET(E120,-1,1)</f>
        <v>1</v>
      </c>
      <c r="G120" s="582" t="s">
        <v>1287</v>
      </c>
      <c r="H120" s="1324"/>
      <c r="I120" s="592" t="s">
        <v>1553</v>
      </c>
      <c r="J120" s="592"/>
      <c r="K120" s="592"/>
      <c r="L120" s="592"/>
      <c r="M120" s="592"/>
      <c r="N120" s="592"/>
      <c r="O120" s="592"/>
      <c r="P120" s="592"/>
      <c r="Q120" s="592"/>
      <c r="R120" s="592"/>
      <c r="S120" s="592"/>
      <c r="T120" s="468" cm="1" t="str">
        <f t="array" ref="T120:T120">T119</f>
        <v>true</v>
      </c>
      <c r="U120" s="1324"/>
      <c r="V120" s="1324"/>
      <c r="W120" s="1324"/>
      <c r="X120" s="1617"/>
      <c r="Y120" s="1324"/>
      <c r="Z120" s="1618"/>
      <c r="AA120" s="1324"/>
      <c r="AB120" s="814" t="s">
        <v>1554</v>
      </c>
      <c r="AC120" s="815" t="s">
        <v>1985</v>
      </c>
      <c r="AD120" s="766" t="s">
        <v>936</v>
      </c>
      <c r="AE120" s="809">
        <f>_xlfn.SUMIFS(Покупка!AE$25:AE$327,Покупка!$F$25:$F$327,$F120,Покупка!$AC$25:$AC$327,$G120)</f>
        <v>4283.56</v>
      </c>
      <c r="AF120" s="809">
        <f>_xlfn.SUMIFS(Покупка!AF$25:AF$327,Покупка!$F$25:$F$327,$F120,Покупка!$AC$25:$AC$327,$G120)</f>
        <v>5861.53</v>
      </c>
      <c r="AG120" s="809">
        <f>_xlfn.SUMIFS(Покупка!AG$25:AG$327,Покупка!$F$25:$F$327,$F120,Покупка!$AC$25:$AC$327,$G120)</f>
        <v>5861.53</v>
      </c>
      <c r="AH120" s="809">
        <f>AG120-AF120</f>
        <v>0</v>
      </c>
      <c r="AI120" s="809">
        <f>_xlfn.SUMIFS(Покупка!AH$25:AH$327,Покупка!$F$25:$F$327,$F120,Покупка!$AC$25:$AC$327,$G120)</f>
        <v>5465.44</v>
      </c>
      <c r="AJ120" s="809">
        <f>_xlfn.SUMIFS(Покупка!AI$25:AI$327,Покупка!$F$25:$F$327,$F120,Покупка!$AC$25:$AC$327,$G120)</f>
        <v>6900.27</v>
      </c>
      <c r="AK120" s="809">
        <f>_xlfn.SUMIFS(Покупка!AS$25:AS$327,Покупка!$F$25:$F$327,$F120,Покупка!$AC$25:$AC$327,$G120)</f>
        <v>6711.7879</v>
      </c>
      <c r="AL120" s="809">
        <f>IF(AI120=0,0,(AK120-AI120)/AI120*100)</f>
        <v>22.8041639831377</v>
      </c>
      <c r="AM120" s="810"/>
      <c r="AN120" s="917" t="str">
        <f>IF(_xlfn.IFERROR(INDEX(Покупка!$K$26:$L$327,MATCH($F120&amp;"6komm",Покупка!$K$26:$K$327,0),2),"")=0,"",_xlfn.IFERROR(INDEX(Покупка!$K$26:$L$327,MATCH($F120&amp;"6komm",Покупка!$K$26:$K$327,0),2),""))</f>
        <v>П. 49 (1) Методических указаний ФСТ России от 27.12.2013 № 1746-э.</v>
      </c>
      <c r="AO120" s="810"/>
      <c r="AP120" s="1324"/>
      <c r="AQ120" s="1324"/>
      <c r="AR120" s="1070" t="s">
        <v>1288</v>
      </c>
      <c r="AS120" s="1070"/>
      <c r="AT120" s="1070"/>
      <c r="AU120" s="1067"/>
      <c r="AV120" s="1067"/>
    </row>
    <row s="1656" customFormat="1" customHeight="1" ht="14.25">
      <c r="A121" s="1324"/>
      <c r="B121" s="1324"/>
      <c r="C121" s="1324"/>
      <c r="D121" s="1324"/>
      <c r="E121" s="701">
        <v>15</v>
      </c>
      <c r="F121" s="50" cm="1" t="str">
        <f t="array" ref="F121:F121">OFFSET(E121,-1,1)</f>
        <v>1</v>
      </c>
      <c r="G121" s="582" t="s">
        <v>1309</v>
      </c>
      <c r="H121" s="1324"/>
      <c r="I121" s="592" t="s">
        <v>1557</v>
      </c>
      <c r="J121" s="592"/>
      <c r="K121" s="592"/>
      <c r="L121" s="592"/>
      <c r="M121" s="592"/>
      <c r="N121" s="592"/>
      <c r="O121" s="592"/>
      <c r="P121" s="592"/>
      <c r="Q121" s="592"/>
      <c r="R121" s="592"/>
      <c r="S121" s="592"/>
      <c r="T121" s="468" cm="1" t="str">
        <f t="array" ref="T121:T121">T120</f>
        <v>true</v>
      </c>
      <c r="U121" s="1324"/>
      <c r="V121" s="1324"/>
      <c r="W121" s="1324"/>
      <c r="X121" s="1617"/>
      <c r="Y121" s="1324"/>
      <c r="Z121" s="1618"/>
      <c r="AA121" s="1324"/>
      <c r="AB121" s="814" t="s">
        <v>1558</v>
      </c>
      <c r="AC121" s="815" t="s">
        <v>1986</v>
      </c>
      <c r="AD121" s="766" t="s">
        <v>936</v>
      </c>
      <c r="AE121" s="809">
        <f>_xlfn.SUMIFS(Покупка!AE$25:AE$327,Покупка!$F$25:$F$327,$F121,Покупка!$AC$25:$AC$327,$G121)</f>
        <v>0</v>
      </c>
      <c r="AF121" s="809">
        <f>_xlfn.SUMIFS(Покупка!AF$25:AF$327,Покупка!$F$25:$F$327,$F121,Покупка!$AC$25:$AC$327,$G121)</f>
        <v>0</v>
      </c>
      <c r="AG121" s="809">
        <f>_xlfn.SUMIFS(Покупка!AG$25:AG$327,Покупка!$F$25:$F$327,$F121,Покупка!$AC$25:$AC$327,$G121)</f>
        <v>0</v>
      </c>
      <c r="AH121" s="809">
        <f>AG121-AF121</f>
        <v>0</v>
      </c>
      <c r="AI121" s="809">
        <f>_xlfn.SUMIFS(Покупка!AH$25:AH$327,Покупка!$F$25:$F$327,$F121,Покупка!$AC$25:$AC$327,$G121)</f>
        <v>0</v>
      </c>
      <c r="AJ121" s="809">
        <f>_xlfn.SUMIFS(Покупка!AI$25:AI$327,Покупка!$F$25:$F$327,$F121,Покупка!$AC$25:$AC$327,$G121)</f>
        <v>0</v>
      </c>
      <c r="AK121" s="809">
        <f>_xlfn.SUMIFS(Покупка!AS$25:AS$327,Покупка!$F$25:$F$327,$F121,Покупка!$AC$25:$AC$327,$G121)</f>
        <v>0</v>
      </c>
      <c r="AL121" s="809">
        <f>IF(AI121=0,0,(AK121-AI121)/AI121*100)</f>
        <v>0</v>
      </c>
      <c r="AM121" s="810"/>
      <c r="AN121" s="917" t="str">
        <f>IF(_xlfn.IFERROR(INDEX(Покупка!$K$26:$L$327,MATCH($F121&amp;"7komm",Покупка!$K$26:$K$327,0),2),"")=0,"",_xlfn.IFERROR(INDEX(Покупка!$K$26:$L$327,MATCH($F121&amp;"7komm",Покупка!$K$26:$K$327,0),2),""))</f>
        <v>Постановление РЭК Кемеровской области от 27.12.2019 N 877 (ред. от 25.11.2022) "Об установлении долгосрочных параметров регулирования и долгосрочных тарифов ОАО "Северо-Кузбасская энергетическая компания" на тепловую энергию, реализуемую на потребительском рынке Ленинск-Кузнецкого городского округа, на период 2019 - 2028 годы" (в ред. постановлений РЭК Кузбасса от 18.12.2020 N 744, от 14.12.2021 N 685, от 25.11.2022 N 682, от 05.12.2023 N 478, от 19.12.2024 N 670).</v>
      </c>
      <c r="AO121" s="810"/>
      <c r="AP121" s="1324"/>
      <c r="AQ121" s="1324"/>
      <c r="AR121" s="1070" t="s">
        <v>1310</v>
      </c>
      <c r="AS121" s="1070"/>
      <c r="AT121" s="1070"/>
      <c r="AU121" s="1067"/>
      <c r="AV121" s="1067"/>
    </row>
    <row s="1656" customFormat="1" customHeight="1" ht="14.25">
      <c r="A122" s="1324"/>
      <c r="B122" s="1324"/>
      <c r="C122" s="1324"/>
      <c r="D122" s="1324"/>
      <c r="E122" s="701">
        <v>15</v>
      </c>
      <c r="F122" s="50" cm="1" t="str">
        <f t="array" ref="F122:F122">OFFSET(E122,-1,1)</f>
        <v>1</v>
      </c>
      <c r="G122" s="759" t="s">
        <v>1321</v>
      </c>
      <c r="H122" s="1324"/>
      <c r="I122" s="592" t="s">
        <v>1727</v>
      </c>
      <c r="J122" s="592"/>
      <c r="K122" s="592"/>
      <c r="L122" s="592"/>
      <c r="M122" s="592"/>
      <c r="N122" s="592"/>
      <c r="O122" s="592"/>
      <c r="P122" s="592"/>
      <c r="Q122" s="592"/>
      <c r="R122" s="592"/>
      <c r="S122" s="592"/>
      <c r="T122" s="468" cm="1" t="str">
        <f t="array" ref="T122:T122">T121</f>
        <v>true</v>
      </c>
      <c r="U122" s="1324"/>
      <c r="V122" s="1324"/>
      <c r="W122" s="1324"/>
      <c r="X122" s="1617"/>
      <c r="Y122" s="1324"/>
      <c r="Z122" s="1618"/>
      <c r="AA122" s="1324"/>
      <c r="AB122" s="814" t="s">
        <v>1987</v>
      </c>
      <c r="AC122" s="815" t="s">
        <v>1988</v>
      </c>
      <c r="AD122" s="766" t="s">
        <v>936</v>
      </c>
      <c r="AE122" s="809">
        <f>_xlfn.SUMIFS(Покупка!AE$25:AE$327,Покупка!$F$25:$F$327,$F122,Покупка!$AC$25:$AC$327,$G122)</f>
        <v>0</v>
      </c>
      <c r="AF122" s="809">
        <f>_xlfn.SUMIFS(Покупка!AF$25:AF$327,Покупка!$F$25:$F$327,$F122,Покупка!$AC$25:$AC$327,$G122)</f>
        <v>0</v>
      </c>
      <c r="AG122" s="809">
        <f>_xlfn.SUMIFS(Покупка!AG$25:AG$327,Покупка!$F$25:$F$327,$F122,Покупка!$AC$25:$AC$327,$G122)</f>
        <v>0</v>
      </c>
      <c r="AH122" s="809">
        <f>AG122-AF122</f>
        <v>0</v>
      </c>
      <c r="AI122" s="809">
        <f>_xlfn.SUMIFS(Покупка!AH$25:AH$327,Покупка!$F$25:$F$327,$F122,Покупка!$AC$25:$AC$327,$G122)</f>
        <v>0</v>
      </c>
      <c r="AJ122" s="809">
        <f>_xlfn.SUMIFS(Покупка!AI$25:AI$327,Покупка!$F$25:$F$327,$F122,Покупка!$AC$25:$AC$327,$G122)</f>
        <v>0</v>
      </c>
      <c r="AK122" s="809">
        <f>_xlfn.SUMIFS(Покупка!AS$25:AS$327,Покупка!$F$25:$F$327,$F122,Покупка!$AC$25:$AC$327,$G122)</f>
        <v>51.71935</v>
      </c>
      <c r="AL122" s="809">
        <f>IF(AI122=0,0,(AK122-AI122)/AI122*100)</f>
        <v>0</v>
      </c>
      <c r="AM122" s="810"/>
      <c r="AN122" s="917" t="str">
        <f>IF(_xlfn.IFERROR(INDEX(Покупка!$K$26:$L$327,MATCH($F122&amp;"9komm",Покупка!$K$26:$K$327,0),2),"")=0,"",_xlfn.IFERROR(INDEX(Покупка!$K$26:$L$327,MATCH($F122&amp;"9komm",Покупка!$K$26:$K$327,0),2),""))</f>
        <v/>
      </c>
      <c r="AO122" s="810"/>
      <c r="AP122" s="1324"/>
      <c r="AQ122" s="1324"/>
      <c r="AR122" s="1070" t="s">
        <v>1322</v>
      </c>
      <c r="AS122" s="1070"/>
      <c r="AT122" s="1070"/>
      <c r="AU122" s="1067"/>
      <c r="AV122" s="1067"/>
    </row>
    <row s="1656" customFormat="1" customHeight="1" ht="14.25">
      <c r="A123" s="1324"/>
      <c r="B123" s="1324"/>
      <c r="C123" s="1324"/>
      <c r="D123" s="1324"/>
      <c r="E123" s="701">
        <v>15</v>
      </c>
      <c r="F123" s="50" cm="1" t="str">
        <f t="array" ref="F123:F123">OFFSET(E123,-1,1)</f>
        <v>1</v>
      </c>
      <c r="G123" s="582" t="s">
        <v>1248</v>
      </c>
      <c r="H123" s="1324"/>
      <c r="I123" s="592" t="s">
        <v>1731</v>
      </c>
      <c r="J123" s="592"/>
      <c r="K123" s="592"/>
      <c r="L123" s="592"/>
      <c r="M123" s="592"/>
      <c r="N123" s="592"/>
      <c r="O123" s="592"/>
      <c r="P123" s="592"/>
      <c r="Q123" s="592"/>
      <c r="R123" s="592"/>
      <c r="S123" s="592"/>
      <c r="T123" s="468" cm="1" t="str">
        <f t="array" ref="T123:T123">T122</f>
        <v>true</v>
      </c>
      <c r="U123" s="1324"/>
      <c r="V123" s="1324"/>
      <c r="W123" s="1324"/>
      <c r="X123" s="1617"/>
      <c r="Y123" s="1324"/>
      <c r="Z123" s="1618"/>
      <c r="AA123" s="1324"/>
      <c r="AB123" s="814" t="s">
        <v>1989</v>
      </c>
      <c r="AC123" s="815" t="s">
        <v>1990</v>
      </c>
      <c r="AD123" s="766" t="s">
        <v>936</v>
      </c>
      <c r="AE123" s="809">
        <f>_xlfn.SUMIFS(Покупка!AE$25:AE$327,Покупка!$F$25:$F$327,$F123,Покупка!$AC$25:$AC$327,$G123)</f>
        <v>0</v>
      </c>
      <c r="AF123" s="809">
        <f>_xlfn.SUMIFS(Покупка!AF$25:AF$327,Покупка!$F$25:$F$327,$F123,Покупка!$AC$25:$AC$327,$G123)</f>
        <v>0</v>
      </c>
      <c r="AG123" s="809">
        <f>_xlfn.SUMIFS(Покупка!AG$25:AG$327,Покупка!$F$25:$F$327,$F123,Покупка!$AC$25:$AC$327,$G123)</f>
        <v>0</v>
      </c>
      <c r="AH123" s="809">
        <f>AG123-AF123</f>
        <v>0</v>
      </c>
      <c r="AI123" s="809">
        <f>_xlfn.SUMIFS(Покупка!AH$25:AH$327,Покупка!$F$25:$F$327,$F123,Покупка!$AC$25:$AC$327,$G123)</f>
        <v>0</v>
      </c>
      <c r="AJ123" s="809">
        <f>_xlfn.SUMIFS(Покупка!AI$25:AI$327,Покупка!$F$25:$F$327,$F123,Покупка!$AC$25:$AC$327,$G123)</f>
        <v>0</v>
      </c>
      <c r="AK123" s="809">
        <f>_xlfn.SUMIFS(Покупка!AS$25:AS$327,Покупка!$F$25:$F$327,$F123,Покупка!$AC$25:$AC$327,$G123)</f>
        <v>0</v>
      </c>
      <c r="AL123" s="809">
        <f>IF(AI123=0,0,(AK123-AI123)/AI123*100)</f>
        <v>0</v>
      </c>
      <c r="AM123" s="810"/>
      <c r="AN123" s="917" t="str">
        <f>IF(_xlfn.IFERROR(INDEX(Покупка!$K$26:$L$327,MATCH($F123&amp;"1komm",Покупка!$K$26:$K$327,0),2),"")=0,"",_xlfn.IFERROR(INDEX(Покупка!$K$26:$L$327,MATCH($F123&amp;"1komm",Покупка!$K$26:$K$327,0),2),""))</f>
        <v/>
      </c>
      <c r="AO123" s="810"/>
      <c r="AP123" s="1324"/>
      <c r="AQ123" s="1324"/>
      <c r="AR123" s="1070" t="s">
        <v>1991</v>
      </c>
      <c r="AS123" s="1070"/>
      <c r="AT123" s="1070"/>
      <c r="AU123" s="1067"/>
      <c r="AV123" s="1067"/>
    </row>
    <row s="1656" customFormat="1" customHeight="1" ht="14.25">
      <c r="A124" s="1324"/>
      <c r="B124" s="1324"/>
      <c r="C124" s="1324"/>
      <c r="D124" s="1324"/>
      <c r="E124" s="701">
        <v>15</v>
      </c>
      <c r="F124" s="50" cm="1" t="str">
        <f t="array" ref="F124:F124">OFFSET(E124,-1,1)</f>
        <v>1</v>
      </c>
      <c r="G124" s="582" t="s">
        <v>1261</v>
      </c>
      <c r="H124" s="1324"/>
      <c r="I124" s="592" t="s">
        <v>1736</v>
      </c>
      <c r="J124" s="592"/>
      <c r="K124" s="592"/>
      <c r="L124" s="592"/>
      <c r="M124" s="592"/>
      <c r="N124" s="592"/>
      <c r="O124" s="592"/>
      <c r="P124" s="592"/>
      <c r="Q124" s="592"/>
      <c r="R124" s="592"/>
      <c r="S124" s="592"/>
      <c r="T124" s="468" cm="1" t="str">
        <f t="array" ref="T124:T124">T123</f>
        <v>true</v>
      </c>
      <c r="U124" s="1324"/>
      <c r="V124" s="1324"/>
      <c r="W124" s="1324"/>
      <c r="X124" s="1617"/>
      <c r="Y124" s="1324"/>
      <c r="Z124" s="1618"/>
      <c r="AA124" s="1324"/>
      <c r="AB124" s="814" t="s">
        <v>1992</v>
      </c>
      <c r="AC124" s="815" t="s">
        <v>1993</v>
      </c>
      <c r="AD124" s="766" t="s">
        <v>936</v>
      </c>
      <c r="AE124" s="809">
        <f>_xlfn.SUMIFS(Покупка!AE$25:AE$327,Покупка!$F$25:$F$327,$F124,Покупка!$AC$25:$AC$327,$G124)</f>
        <v>0</v>
      </c>
      <c r="AF124" s="809">
        <f>_xlfn.SUMIFS(Покупка!AF$25:AF$327,Покупка!$F$25:$F$327,$F124,Покупка!$AC$25:$AC$327,$G124)</f>
        <v>0</v>
      </c>
      <c r="AG124" s="809">
        <f>_xlfn.SUMIFS(Покупка!AG$25:AG$327,Покупка!$F$25:$F$327,$F124,Покупка!$AC$25:$AC$327,$G124)</f>
        <v>0</v>
      </c>
      <c r="AH124" s="809">
        <f>AG124-AF124</f>
        <v>0</v>
      </c>
      <c r="AI124" s="809">
        <f>_xlfn.SUMIFS(Покупка!AH$25:AH$327,Покупка!$F$25:$F$327,$F124,Покупка!$AC$25:$AC$327,$G124)</f>
        <v>0</v>
      </c>
      <c r="AJ124" s="809">
        <f>_xlfn.SUMIFS(Покупка!AI$25:AI$327,Покупка!$F$25:$F$327,$F124,Покупка!$AC$25:$AC$327,$G124)</f>
        <v>0</v>
      </c>
      <c r="AK124" s="809">
        <f>_xlfn.SUMIFS(Покупка!AS$25:AS$327,Покупка!$F$25:$F$327,$F124,Покупка!$AC$25:$AC$327,$G124)</f>
        <v>0</v>
      </c>
      <c r="AL124" s="809">
        <f>IF(AI124=0,0,(AK124-AI124)/AI124*100)</f>
        <v>0</v>
      </c>
      <c r="AM124" s="810"/>
      <c r="AN124" s="917" t="str">
        <f>IF(_xlfn.IFERROR(INDEX(Покупка!$K$26:$L$327,MATCH($F124&amp;"2komm",Покупка!$K$26:$K$327,0),2),"")=0,"",_xlfn.IFERROR(INDEX(Покупка!$K$26:$L$327,MATCH($F124&amp;"2komm",Покупка!$K$26:$K$327,0),2),""))</f>
        <v/>
      </c>
      <c r="AO124" s="810"/>
      <c r="AP124" s="1324"/>
      <c r="AQ124" s="1324"/>
      <c r="AR124" s="1070" t="s">
        <v>1994</v>
      </c>
      <c r="AS124" s="1070"/>
      <c r="AT124" s="1070"/>
      <c r="AU124" s="1067"/>
      <c r="AV124" s="1067"/>
    </row>
    <row s="1656" customFormat="1" customHeight="1" ht="14.25">
      <c r="A125" s="1324"/>
      <c r="B125" s="1324"/>
      <c r="C125" s="1324"/>
      <c r="D125" s="1324"/>
      <c r="E125" s="701">
        <v>15</v>
      </c>
      <c r="F125" s="50" cm="1" t="str">
        <f t="array" ref="F125:F125">OFFSET(E125,-1,1)</f>
        <v>1</v>
      </c>
      <c r="G125" s="582" t="s">
        <v>1267</v>
      </c>
      <c r="H125" s="1324"/>
      <c r="I125" s="592" t="s">
        <v>1745</v>
      </c>
      <c r="J125" s="592"/>
      <c r="K125" s="592"/>
      <c r="L125" s="592"/>
      <c r="M125" s="592"/>
      <c r="N125" s="592"/>
      <c r="O125" s="592"/>
      <c r="P125" s="592"/>
      <c r="Q125" s="592"/>
      <c r="R125" s="592"/>
      <c r="S125" s="592"/>
      <c r="T125" s="468" cm="1" t="str">
        <f t="array" ref="T125:T125">T124</f>
        <v>true</v>
      </c>
      <c r="U125" s="1324"/>
      <c r="V125" s="1324"/>
      <c r="W125" s="1324"/>
      <c r="X125" s="1617"/>
      <c r="Y125" s="1324"/>
      <c r="Z125" s="1618"/>
      <c r="AA125" s="1324"/>
      <c r="AB125" s="814" t="s">
        <v>1995</v>
      </c>
      <c r="AC125" s="815" t="s">
        <v>1996</v>
      </c>
      <c r="AD125" s="766" t="s">
        <v>936</v>
      </c>
      <c r="AE125" s="809">
        <f>_xlfn.SUMIFS(Покупка!AE$25:AE$327,Покупка!$F$25:$F$327,$F125,Покупка!$AC$25:$AC$327,$G125)</f>
        <v>0</v>
      </c>
      <c r="AF125" s="809">
        <f>_xlfn.SUMIFS(Покупка!AF$25:AF$327,Покупка!$F$25:$F$327,$F125,Покупка!$AC$25:$AC$327,$G125)</f>
        <v>0</v>
      </c>
      <c r="AG125" s="809">
        <f>_xlfn.SUMIFS(Покупка!AG$25:AG$327,Покупка!$F$25:$F$327,$F125,Покупка!$AC$25:$AC$327,$G125)</f>
        <v>0</v>
      </c>
      <c r="AH125" s="809">
        <f>AG125-AF125</f>
        <v>0</v>
      </c>
      <c r="AI125" s="809">
        <f>_xlfn.SUMIFS(Покупка!AH$25:AH$327,Покупка!$F$25:$F$327,$F125,Покупка!$AC$25:$AC$327,$G125)</f>
        <v>0</v>
      </c>
      <c r="AJ125" s="809">
        <f>_xlfn.SUMIFS(Покупка!AI$25:AI$327,Покупка!$F$25:$F$327,$F125,Покупка!$AC$25:$AC$327,$G125)</f>
        <v>0</v>
      </c>
      <c r="AK125" s="809">
        <f>_xlfn.SUMIFS(Покупка!AS$25:AS$327,Покупка!$F$25:$F$327,$F125,Покупка!$AC$25:$AC$327,$G125)</f>
        <v>0</v>
      </c>
      <c r="AL125" s="809">
        <f>IF(AI125=0,0,(AK125-AI125)/AI125*100)</f>
        <v>0</v>
      </c>
      <c r="AM125" s="810"/>
      <c r="AN125" s="917" t="str">
        <f>IF(_xlfn.IFERROR(INDEX(Покупка!$K$26:$L$327,MATCH($F125&amp;"3komm",Покупка!$K$26:$K$327,0),2),"")=0,"",_xlfn.IFERROR(INDEX(Покупка!$K$26:$L$327,MATCH($F125&amp;"3komm",Покупка!$K$26:$K$327,0),2),""))</f>
        <v/>
      </c>
      <c r="AO125" s="810"/>
      <c r="AP125" s="1324"/>
      <c r="AQ125" s="1324"/>
      <c r="AR125" s="1070" t="s">
        <v>1997</v>
      </c>
      <c r="AS125" s="1070"/>
      <c r="AT125" s="1070"/>
      <c r="AU125" s="1067"/>
      <c r="AV125" s="1067"/>
    </row>
    <row s="1656" customFormat="1" customHeight="1" ht="14.25">
      <c r="A126" s="1324"/>
      <c r="B126" s="1324"/>
      <c r="C126" s="1324"/>
      <c r="D126" s="1324"/>
      <c r="E126" s="701">
        <v>15</v>
      </c>
      <c r="F126" s="50" cm="1" t="str">
        <f t="array" ref="F126:F126">OFFSET(E126,-1,1)</f>
        <v>1</v>
      </c>
      <c r="G126" s="582" t="s">
        <v>1273</v>
      </c>
      <c r="H126" s="1324"/>
      <c r="I126" s="592" t="s">
        <v>1750</v>
      </c>
      <c r="J126" s="592"/>
      <c r="K126" s="592"/>
      <c r="L126" s="592"/>
      <c r="M126" s="592"/>
      <c r="N126" s="592"/>
      <c r="O126" s="592"/>
      <c r="P126" s="592"/>
      <c r="Q126" s="592"/>
      <c r="R126" s="592"/>
      <c r="S126" s="592"/>
      <c r="T126" s="468" cm="1" t="str">
        <f t="array" ref="T126:T126">T125</f>
        <v>true</v>
      </c>
      <c r="U126" s="1324"/>
      <c r="V126" s="1324"/>
      <c r="W126" s="1324"/>
      <c r="X126" s="1617"/>
      <c r="Y126" s="1324"/>
      <c r="Z126" s="1618"/>
      <c r="AA126" s="1324"/>
      <c r="AB126" s="814" t="s">
        <v>1998</v>
      </c>
      <c r="AC126" s="815" t="s">
        <v>1999</v>
      </c>
      <c r="AD126" s="766" t="s">
        <v>936</v>
      </c>
      <c r="AE126" s="809">
        <f>_xlfn.SUMIFS(Покупка!AE$25:AE$327,Покупка!$F$25:$F$327,$F126,Покупка!$AC$25:$AC$327,$G126)</f>
        <v>0</v>
      </c>
      <c r="AF126" s="809">
        <f>_xlfn.SUMIFS(Покупка!AF$25:AF$327,Покупка!$F$25:$F$327,$F126,Покупка!$AC$25:$AC$327,$G126)</f>
        <v>0</v>
      </c>
      <c r="AG126" s="809">
        <f>_xlfn.SUMIFS(Покупка!AG$25:AG$327,Покупка!$F$25:$F$327,$F126,Покупка!$AC$25:$AC$327,$G126)</f>
        <v>0</v>
      </c>
      <c r="AH126" s="809">
        <f>AG126-AF126</f>
        <v>0</v>
      </c>
      <c r="AI126" s="809">
        <f>_xlfn.SUMIFS(Покупка!AH$25:AH$327,Покупка!$F$25:$F$327,$F126,Покупка!$AC$25:$AC$327,$G126)</f>
        <v>0</v>
      </c>
      <c r="AJ126" s="809">
        <f>_xlfn.SUMIFS(Покупка!AI$25:AI$327,Покупка!$F$25:$F$327,$F126,Покупка!$AC$25:$AC$327,$G126)</f>
        <v>0</v>
      </c>
      <c r="AK126" s="809">
        <f>_xlfn.SUMIFS(Покупка!AS$25:AS$327,Покупка!$F$25:$F$327,$F126,Покупка!$AC$25:$AC$327,$G126)</f>
        <v>0</v>
      </c>
      <c r="AL126" s="809">
        <f>IF(AI126=0,0,(AK126-AI126)/AI126*100)</f>
        <v>0</v>
      </c>
      <c r="AM126" s="810"/>
      <c r="AN126" s="917" t="str">
        <f>IF(_xlfn.IFERROR(INDEX(Покупка!$K$26:$L$327,MATCH($F126&amp;"4komm",Покупка!$K$26:$K$327,0),2),"")=0,"",_xlfn.IFERROR(INDEX(Покупка!$K$26:$L$327,MATCH($F126&amp;"4komm",Покупка!$K$26:$K$327,0),2),""))</f>
        <v/>
      </c>
      <c r="AO126" s="810"/>
      <c r="AP126" s="1324"/>
      <c r="AQ126" s="1324"/>
      <c r="AR126" s="1070" t="s">
        <v>2000</v>
      </c>
      <c r="AS126" s="1070"/>
      <c r="AT126" s="1070"/>
      <c r="AU126" s="1067"/>
      <c r="AV126" s="1067"/>
    </row>
    <row s="1656" customFormat="1" customHeight="1" ht="14.25">
      <c r="A127" s="1324"/>
      <c r="B127" s="1324"/>
      <c r="C127" s="1324"/>
      <c r="D127" s="1324"/>
      <c r="E127" s="701">
        <v>15</v>
      </c>
      <c r="F127" s="50" cm="1" t="str">
        <f t="array" ref="F127:F127">OFFSET(E127,-1,1)</f>
        <v>1</v>
      </c>
      <c r="G127" s="582" t="s">
        <v>1280</v>
      </c>
      <c r="H127" s="1324"/>
      <c r="I127" s="592" t="s">
        <v>1760</v>
      </c>
      <c r="J127" s="592"/>
      <c r="K127" s="592"/>
      <c r="L127" s="592"/>
      <c r="M127" s="592"/>
      <c r="N127" s="592"/>
      <c r="O127" s="592"/>
      <c r="P127" s="592"/>
      <c r="Q127" s="592"/>
      <c r="R127" s="592"/>
      <c r="S127" s="592"/>
      <c r="T127" s="468" cm="1" t="str">
        <f t="array" ref="T127:T127">T126</f>
        <v>true</v>
      </c>
      <c r="U127" s="1324"/>
      <c r="V127" s="1324"/>
      <c r="W127" s="1324"/>
      <c r="X127" s="1617"/>
      <c r="Y127" s="1324"/>
      <c r="Z127" s="1618"/>
      <c r="AA127" s="1324"/>
      <c r="AB127" s="814" t="s">
        <v>2001</v>
      </c>
      <c r="AC127" s="815" t="s">
        <v>2002</v>
      </c>
      <c r="AD127" s="766" t="s">
        <v>936</v>
      </c>
      <c r="AE127" s="809">
        <f>_xlfn.SUMIFS(Покупка!AE$25:AE$327,Покупка!$F$25:$F$327,$F127,Покупка!$AC$25:$AC$327,$G127)</f>
        <v>0</v>
      </c>
      <c r="AF127" s="809">
        <f>_xlfn.SUMIFS(Покупка!AF$25:AF$327,Покупка!$F$25:$F$327,$F127,Покупка!$AC$25:$AC$327,$G127)</f>
        <v>0</v>
      </c>
      <c r="AG127" s="809">
        <f>_xlfn.SUMIFS(Покупка!AG$25:AG$327,Покупка!$F$25:$F$327,$F127,Покупка!$AC$25:$AC$327,$G127)</f>
        <v>0</v>
      </c>
      <c r="AH127" s="809">
        <f>AG127-AF127</f>
        <v>0</v>
      </c>
      <c r="AI127" s="809">
        <f>_xlfn.SUMIFS(Покупка!AH$25:AH$327,Покупка!$F$25:$F$327,$F127,Покупка!$AC$25:$AC$327,$G127)</f>
        <v>0</v>
      </c>
      <c r="AJ127" s="809">
        <f>_xlfn.SUMIFS(Покупка!AI$25:AI$327,Покупка!$F$25:$F$327,$F127,Покупка!$AC$25:$AC$327,$G127)</f>
        <v>0</v>
      </c>
      <c r="AK127" s="809">
        <f>_xlfn.SUMIFS(Покупка!AS$25:AS$327,Покупка!$F$25:$F$327,$F127,Покупка!$AC$25:$AC$327,$G127)</f>
        <v>0</v>
      </c>
      <c r="AL127" s="809">
        <f>IF(AI127=0,0,(AK127-AI127)/AI127*100)</f>
        <v>0</v>
      </c>
      <c r="AM127" s="810"/>
      <c r="AN127" s="917" t="str">
        <f>IF(_xlfn.IFERROR(INDEX(Покупка!$K$26:$L$327,MATCH($F127&amp;"5komm",Покупка!$K$26:$K$327,0),2),"")=0,"",_xlfn.IFERROR(INDEX(Покупка!$K$26:$L$327,MATCH($F127&amp;"5komm",Покупка!$K$26:$K$327,0),2),""))</f>
        <v/>
      </c>
      <c r="AO127" s="810"/>
      <c r="AP127" s="1324"/>
      <c r="AQ127" s="1324"/>
      <c r="AR127" s="1070" t="s">
        <v>2003</v>
      </c>
      <c r="AS127" s="1070"/>
      <c r="AT127" s="1070"/>
      <c r="AU127" s="1067"/>
      <c r="AV127" s="1067"/>
    </row>
    <row s="6101" customFormat="1" customHeight="1" ht="43.5">
      <c r="A128" s="593"/>
      <c r="B128" s="593"/>
      <c r="C128" s="593"/>
      <c r="D128" s="593"/>
      <c r="E128" s="703">
        <v>45</v>
      </c>
      <c r="F128" s="50" cm="1" t="str">
        <f t="array" ref="F128:F128">OFFSET(E128,-1,1)</f>
        <v>1</v>
      </c>
      <c r="G128" s="593"/>
      <c r="H128" s="593"/>
      <c r="I128" s="704" t="s">
        <v>573</v>
      </c>
      <c r="J128" s="704"/>
      <c r="K128" s="704"/>
      <c r="L128" s="704"/>
      <c r="M128" s="704"/>
      <c r="N128" s="704"/>
      <c r="O128" s="704"/>
      <c r="P128" s="704"/>
      <c r="Q128" s="704"/>
      <c r="R128" s="704"/>
      <c r="S128" s="704"/>
      <c r="T128" s="468" cm="1" t="str">
        <f t="array" ref="T128:T128">T127</f>
        <v>true</v>
      </c>
      <c r="U128" s="593"/>
      <c r="V128" s="593"/>
      <c r="W128" s="593"/>
      <c r="X128" s="1617"/>
      <c r="Y128" s="593"/>
      <c r="Z128" s="1618"/>
      <c r="AA128" s="593"/>
      <c r="AB128" s="811" t="s">
        <v>1073</v>
      </c>
      <c r="AC128" s="812" t="s">
        <v>2004</v>
      </c>
      <c r="AD128" s="595" t="s">
        <v>936</v>
      </c>
      <c r="AE128" s="817"/>
      <c r="AF128" s="817"/>
      <c r="AG128" s="817"/>
      <c r="AH128" s="808">
        <f>AG128-AF128</f>
        <v>0</v>
      </c>
      <c r="AI128" s="817"/>
      <c r="AJ128" s="817"/>
      <c r="AK128" s="817"/>
      <c r="AL128" s="808">
        <f>IF(AI128=0,0,(AK128-AI128)/AI128*100)</f>
        <v>0</v>
      </c>
      <c r="AM128" s="813"/>
      <c r="AN128" s="813"/>
      <c r="AO128" s="813"/>
      <c r="AP128" s="593"/>
      <c r="AQ128" s="593"/>
      <c r="AR128" s="1071" t="s">
        <v>2005</v>
      </c>
      <c r="AS128" s="1071"/>
      <c r="AT128" s="1071"/>
      <c r="AU128" s="703"/>
      <c r="AV128" s="703"/>
    </row>
    <row s="6103" customFormat="1" customHeight="1" ht="43.5">
      <c r="A129" s="593"/>
      <c r="B129" s="593"/>
      <c r="C129" s="593"/>
      <c r="D129" s="593"/>
      <c r="E129" s="703">
        <v>45</v>
      </c>
      <c r="F129" s="50" cm="1" t="str">
        <f t="array" ref="F129:F129">OFFSET(E129,-1,1)</f>
        <v>1</v>
      </c>
      <c r="G129" s="593"/>
      <c r="H129" s="593"/>
      <c r="I129" s="704" t="s">
        <v>577</v>
      </c>
      <c r="J129" s="704"/>
      <c r="K129" s="704"/>
      <c r="L129" s="704"/>
      <c r="M129" s="704"/>
      <c r="N129" s="704"/>
      <c r="O129" s="704"/>
      <c r="P129" s="704"/>
      <c r="Q129" s="704"/>
      <c r="R129" s="704"/>
      <c r="S129" s="704"/>
      <c r="T129" s="468" cm="1" t="str">
        <f t="array" ref="T129:T129">T128</f>
        <v>true</v>
      </c>
      <c r="U129" s="593"/>
      <c r="V129" s="593"/>
      <c r="W129" s="593"/>
      <c r="X129" s="1617"/>
      <c r="Y129" s="593"/>
      <c r="Z129" s="1618"/>
      <c r="AA129" s="593"/>
      <c r="AB129" s="811" t="s">
        <v>1076</v>
      </c>
      <c r="AC129" s="812" t="s">
        <v>2006</v>
      </c>
      <c r="AD129" s="595" t="s">
        <v>936</v>
      </c>
      <c r="AE129" s="808">
        <f>AE130+AE131</f>
        <v>0</v>
      </c>
      <c r="AF129" s="808">
        <f>AF130+AF131</f>
        <v>0</v>
      </c>
      <c r="AG129" s="808">
        <f>AG130+AG131</f>
        <v>0</v>
      </c>
      <c r="AH129" s="808">
        <f>AG129-AF129</f>
        <v>0</v>
      </c>
      <c r="AI129" s="808">
        <f>AI130+AI131</f>
        <v>0</v>
      </c>
      <c r="AJ129" s="808">
        <f>AJ130+AJ131</f>
        <v>0</v>
      </c>
      <c r="AK129" s="808">
        <f>AK130+AK131</f>
        <v>0</v>
      </c>
      <c r="AL129" s="808">
        <f>IF(AI129=0,0,(AK129-AI129)/AI129*100)</f>
        <v>0</v>
      </c>
      <c r="AM129" s="813"/>
      <c r="AN129" s="813"/>
      <c r="AO129" s="813"/>
      <c r="AP129" s="593"/>
      <c r="AQ129" s="593"/>
      <c r="AR129" s="1071" t="s">
        <v>2007</v>
      </c>
      <c r="AS129" s="1071"/>
      <c r="AT129" s="1071"/>
      <c r="AU129" s="703"/>
      <c r="AV129" s="703"/>
    </row>
    <row s="1656" customFormat="1" customHeight="1" ht="14.25">
      <c r="A130" s="1324"/>
      <c r="B130" s="1324"/>
      <c r="C130" s="1324"/>
      <c r="D130" s="1324"/>
      <c r="E130" s="701">
        <v>15</v>
      </c>
      <c r="F130" s="50" cm="1" t="str">
        <f t="array" ref="F130:F130">OFFSET(E130,-1,1)</f>
        <v>1</v>
      </c>
      <c r="G130" s="705" t="s">
        <v>1350</v>
      </c>
      <c r="H130" s="1324"/>
      <c r="I130" s="592" t="s">
        <v>1577</v>
      </c>
      <c r="J130" s="592"/>
      <c r="K130" s="592"/>
      <c r="L130" s="592"/>
      <c r="M130" s="592"/>
      <c r="N130" s="592"/>
      <c r="O130" s="592"/>
      <c r="P130" s="704"/>
      <c r="Q130" s="592"/>
      <c r="R130" s="592"/>
      <c r="S130" s="592"/>
      <c r="T130" s="468" cm="1" t="str">
        <f t="array" ref="T130:T130">T129</f>
        <v>true</v>
      </c>
      <c r="U130" s="1324"/>
      <c r="V130" s="1324"/>
      <c r="W130" s="1324"/>
      <c r="X130" s="1617"/>
      <c r="Y130" s="1324"/>
      <c r="Z130" s="1618"/>
      <c r="AA130" s="1324"/>
      <c r="AB130" s="814" t="s">
        <v>1214</v>
      </c>
      <c r="AC130" s="815" t="s">
        <v>2008</v>
      </c>
      <c r="AD130" s="766" t="s">
        <v>936</v>
      </c>
      <c r="AE130" s="809">
        <f>_xlfn.SUMIFS(ФОТ!AE$25:AE$127,ФОТ!$F$25:$F$127,$F130,ФОТ!$G$25:$G$127,$G130)</f>
        <v>0</v>
      </c>
      <c r="AF130" s="809">
        <f>_xlfn.SUMIFS(ФОТ!AF$25:AF$127,ФОТ!$F$25:$F$127,$F130,ФОТ!$G$25:$G$127,$G130)</f>
        <v>0</v>
      </c>
      <c r="AG130" s="809">
        <f>_xlfn.SUMIFS(ФОТ!AG$25:AG$127,ФОТ!$F$25:$F$127,$F130,ФОТ!$G$25:$G$127,$G130)</f>
        <v>0</v>
      </c>
      <c r="AH130" s="809">
        <f>AG130-AF130</f>
        <v>0</v>
      </c>
      <c r="AI130" s="809">
        <f>_xlfn.SUMIFS(ФОТ!AH$25:AH$127,ФОТ!$F$25:$F$127,$F130,ФОТ!$G$25:$G$127,$G130)</f>
        <v>0</v>
      </c>
      <c r="AJ130" s="809">
        <f>_xlfn.SUMIFS(ФОТ!AI$25:AI$127,ФОТ!$F$25:$F$127,$F130,ФОТ!$G$25:$G$127,$G130)</f>
        <v>0</v>
      </c>
      <c r="AK130" s="809">
        <f>_xlfn.SUMIFS(ФОТ!AJ$25:AJ$127,ФОТ!$F$25:$F$127,$F130,ФОТ!$G$25:$G$127,$G130)</f>
        <v>0</v>
      </c>
      <c r="AL130" s="809">
        <f>IF(AI130=0,0,(AK130-AI130)/AI130*100)</f>
        <v>0</v>
      </c>
      <c r="AM130" s="810"/>
      <c r="AN130" s="917" t="str">
        <f>IF(_xlfn.IFERROR(INDEX(ФОТ!$K$26:$L$127,MATCH($F130&amp;"1komm",ФОТ!$K$26:$K$127,0),2),"")=0,"",_xlfn.IFERROR(INDEX(ФОТ!$K$26:$L$127,MATCH($F130&amp;"1komm",ФОТ!$K$26:$K$127,0),2),""))</f>
        <v/>
      </c>
      <c r="AO130" s="810"/>
      <c r="AP130" s="1324"/>
      <c r="AQ130" s="1324"/>
      <c r="AR130" s="1070" t="s">
        <v>2009</v>
      </c>
      <c r="AS130" s="1070"/>
      <c r="AT130" s="1070"/>
      <c r="AU130" s="1067"/>
      <c r="AV130" s="1067"/>
    </row>
    <row s="1656" customFormat="1" customHeight="1" ht="21.75">
      <c r="A131" s="1324"/>
      <c r="B131" s="1324"/>
      <c r="C131" s="1324"/>
      <c r="D131" s="1324"/>
      <c r="E131" s="701">
        <v>22.5</v>
      </c>
      <c r="F131" s="50" cm="1" t="str">
        <f t="array" ref="F131:F131">OFFSET(E131,-1,1)</f>
        <v>1</v>
      </c>
      <c r="G131" s="705" t="s">
        <v>1362</v>
      </c>
      <c r="H131" s="1324"/>
      <c r="I131" s="592" t="s">
        <v>1578</v>
      </c>
      <c r="J131" s="592"/>
      <c r="K131" s="592"/>
      <c r="L131" s="592"/>
      <c r="M131" s="592"/>
      <c r="N131" s="592"/>
      <c r="O131" s="592"/>
      <c r="P131" s="704"/>
      <c r="Q131" s="592"/>
      <c r="R131" s="592"/>
      <c r="S131" s="592"/>
      <c r="T131" s="468" cm="1" t="str">
        <f t="array" ref="T131:T131">T130</f>
        <v>true</v>
      </c>
      <c r="U131" s="1324"/>
      <c r="V131" s="1324"/>
      <c r="W131" s="1324"/>
      <c r="X131" s="1617"/>
      <c r="Y131" s="1324"/>
      <c r="Z131" s="1618"/>
      <c r="AA131" s="1324"/>
      <c r="AB131" s="814" t="s">
        <v>1217</v>
      </c>
      <c r="AC131" s="815" t="s">
        <v>2010</v>
      </c>
      <c r="AD131" s="766" t="s">
        <v>936</v>
      </c>
      <c r="AE131" s="809">
        <f>_xlfn.SUMIFS(ФОТ!AE$25:AE$127,ФОТ!$F$25:$F$127,$F131,ФОТ!$G$25:$G$127,$G131)</f>
        <v>0</v>
      </c>
      <c r="AF131" s="809">
        <f>_xlfn.SUMIFS(ФОТ!AF$25:AF$127,ФОТ!$F$25:$F$127,$F131,ФОТ!$G$25:$G$127,$G131)</f>
        <v>0</v>
      </c>
      <c r="AG131" s="809">
        <f>_xlfn.SUMIFS(ФОТ!AG$25:AG$127,ФОТ!$F$25:$F$127,$F131,ФОТ!$G$25:$G$127,$G131)</f>
        <v>0</v>
      </c>
      <c r="AH131" s="809">
        <f>AG131-AF131</f>
        <v>0</v>
      </c>
      <c r="AI131" s="809">
        <f>_xlfn.SUMIFS(ФОТ!AH$25:AH$127,ФОТ!$F$25:$F$127,$F131,ФОТ!$G$25:$G$127,$G131)</f>
        <v>0</v>
      </c>
      <c r="AJ131" s="809">
        <f>_xlfn.SUMIFS(ФОТ!AI$25:AI$127,ФОТ!$F$25:$F$127,$F131,ФОТ!$G$25:$G$127,$G131)</f>
        <v>0</v>
      </c>
      <c r="AK131" s="809">
        <f>_xlfn.SUMIFS(ФОТ!AJ$25:AJ$127,ФОТ!$F$25:$F$127,$F131,ФОТ!$G$25:$G$127,$G131)</f>
        <v>0</v>
      </c>
      <c r="AL131" s="809">
        <f>IF(AI131=0,0,(AK131-AI131)/AI131*100)</f>
        <v>0</v>
      </c>
      <c r="AM131" s="810"/>
      <c r="AN131" s="917" t="str">
        <f>IF(_xlfn.IFERROR(INDEX(ФОТ!$K$26:$L$127,MATCH($F131&amp;"2komm",ФОТ!$K$26:$K$127,0),2),"")=0,"",_xlfn.IFERROR(INDEX(ФОТ!$K$26:$L$127,MATCH($F131&amp;"2komm",ФОТ!$K$26:$K$127,0),2),""))</f>
        <v/>
      </c>
      <c r="AO131" s="810"/>
      <c r="AP131" s="1324"/>
      <c r="AQ131" s="1324"/>
      <c r="AR131" s="1070" t="s">
        <v>2011</v>
      </c>
      <c r="AS131" s="1070"/>
      <c r="AT131" s="1070"/>
      <c r="AU131" s="1067"/>
      <c r="AV131" s="1067"/>
    </row>
    <row s="6104" customFormat="1" customHeight="1" ht="14.25">
      <c r="A132" s="593"/>
      <c r="B132" s="593"/>
      <c r="C132" s="593"/>
      <c r="D132" s="593"/>
      <c r="E132" s="703">
        <v>15</v>
      </c>
      <c r="F132" s="50" cm="1" t="str">
        <f t="array" ref="F132:F132">OFFSET(E132,-1,1)</f>
        <v>1</v>
      </c>
      <c r="G132" s="593"/>
      <c r="H132" s="593"/>
      <c r="I132" s="704" t="s">
        <v>1079</v>
      </c>
      <c r="J132" s="704"/>
      <c r="K132" s="704"/>
      <c r="L132" s="704"/>
      <c r="M132" s="704"/>
      <c r="N132" s="704"/>
      <c r="O132" s="704"/>
      <c r="P132" s="704"/>
      <c r="Q132" s="704"/>
      <c r="R132" s="704"/>
      <c r="S132" s="704"/>
      <c r="T132" s="468" cm="1" t="str">
        <f t="array" ref="T132:T132">T131</f>
        <v>true</v>
      </c>
      <c r="U132" s="593"/>
      <c r="V132" s="593"/>
      <c r="W132" s="593"/>
      <c r="X132" s="1617"/>
      <c r="Y132" s="593"/>
      <c r="Z132" s="1618"/>
      <c r="AA132" s="593"/>
      <c r="AB132" s="811" t="s">
        <v>1080</v>
      </c>
      <c r="AC132" s="812" t="s">
        <v>2012</v>
      </c>
      <c r="AD132" s="595" t="s">
        <v>936</v>
      </c>
      <c r="AE132" s="817"/>
      <c r="AF132" s="817"/>
      <c r="AG132" s="817"/>
      <c r="AH132" s="808">
        <f>AG132-AF132</f>
        <v>0</v>
      </c>
      <c r="AI132" s="817"/>
      <c r="AJ132" s="817"/>
      <c r="AK132" s="817"/>
      <c r="AL132" s="808">
        <f>IF(AI132=0,0,(AK132-AI132)/AI132*100)</f>
        <v>0</v>
      </c>
      <c r="AM132" s="813"/>
      <c r="AN132" s="813"/>
      <c r="AO132" s="813"/>
      <c r="AP132" s="593"/>
      <c r="AQ132" s="593"/>
      <c r="AR132" s="1071" t="s">
        <v>1556</v>
      </c>
      <c r="AS132" s="1071"/>
      <c r="AT132" s="1071"/>
      <c r="AU132" s="703"/>
      <c r="AV132" s="703"/>
    </row>
    <row s="6105" customFormat="1" customHeight="1" ht="14.25">
      <c r="A133" s="593"/>
      <c r="B133" s="593"/>
      <c r="C133" s="593"/>
      <c r="D133" s="593"/>
      <c r="E133" s="703">
        <v>15</v>
      </c>
      <c r="F133" s="50" cm="1" t="str">
        <f t="array" ref="F133:F133">OFFSET(E133,-1,1)</f>
        <v>1</v>
      </c>
      <c r="G133" s="593"/>
      <c r="H133" s="593"/>
      <c r="I133" s="704" t="s">
        <v>2013</v>
      </c>
      <c r="J133" s="704"/>
      <c r="K133" s="704"/>
      <c r="L133" s="704"/>
      <c r="M133" s="704"/>
      <c r="N133" s="704"/>
      <c r="O133" s="704"/>
      <c r="P133" s="704"/>
      <c r="Q133" s="704"/>
      <c r="R133" s="704"/>
      <c r="S133" s="704"/>
      <c r="T133" s="468" cm="1" t="str">
        <f t="array" ref="T133:T133">T132</f>
        <v>true</v>
      </c>
      <c r="U133" s="593"/>
      <c r="V133" s="593"/>
      <c r="W133" s="593"/>
      <c r="X133" s="1617"/>
      <c r="Y133" s="593"/>
      <c r="Z133" s="1618"/>
      <c r="AA133" s="593"/>
      <c r="AB133" s="811" t="s">
        <v>2014</v>
      </c>
      <c r="AC133" s="812" t="s">
        <v>2015</v>
      </c>
      <c r="AD133" s="595" t="s">
        <v>936</v>
      </c>
      <c r="AE133" s="817"/>
      <c r="AF133" s="817"/>
      <c r="AG133" s="817"/>
      <c r="AH133" s="808">
        <f>AG133-AF133</f>
        <v>0</v>
      </c>
      <c r="AI133" s="817"/>
      <c r="AJ133" s="817"/>
      <c r="AK133" s="817"/>
      <c r="AL133" s="808">
        <f>IF(AI133=0,0,(AK133-AI133)/AI133*100)</f>
        <v>0</v>
      </c>
      <c r="AM133" s="813"/>
      <c r="AN133" s="813"/>
      <c r="AO133" s="813"/>
      <c r="AP133" s="593"/>
      <c r="AQ133" s="593"/>
      <c r="AR133" s="1071" t="s">
        <v>2016</v>
      </c>
      <c r="AS133" s="1071"/>
      <c r="AT133" s="1071"/>
      <c r="AU133" s="703"/>
      <c r="AV133" s="703"/>
    </row>
    <row s="6106" customFormat="1" customHeight="1" ht="14.25">
      <c r="A134" s="593"/>
      <c r="B134" s="593"/>
      <c r="C134" s="593"/>
      <c r="D134" s="593"/>
      <c r="E134" s="703">
        <v>15</v>
      </c>
      <c r="F134" s="50" cm="1" t="str">
        <f t="array" ref="F134:F134">OFFSET(E134,-1,1)</f>
        <v>1</v>
      </c>
      <c r="G134" s="593"/>
      <c r="H134" s="593"/>
      <c r="I134" s="704" t="s">
        <v>2017</v>
      </c>
      <c r="J134" s="704"/>
      <c r="K134" s="704"/>
      <c r="L134" s="704"/>
      <c r="M134" s="704"/>
      <c r="N134" s="704"/>
      <c r="O134" s="704"/>
      <c r="P134" s="704"/>
      <c r="Q134" s="704"/>
      <c r="R134" s="704"/>
      <c r="S134" s="704"/>
      <c r="T134" s="468" cm="1" t="str">
        <f t="array" ref="T134:T134">T133</f>
        <v>true</v>
      </c>
      <c r="U134" s="593"/>
      <c r="V134" s="593"/>
      <c r="W134" s="593"/>
      <c r="X134" s="1617"/>
      <c r="Y134" s="593"/>
      <c r="Z134" s="1618"/>
      <c r="AA134" s="593"/>
      <c r="AB134" s="811" t="s">
        <v>2018</v>
      </c>
      <c r="AC134" s="812" t="s">
        <v>2019</v>
      </c>
      <c r="AD134" s="595" t="s">
        <v>936</v>
      </c>
      <c r="AE134" s="808">
        <f>SUM(AE135:AE140)</f>
        <v>0</v>
      </c>
      <c r="AF134" s="808">
        <f>SUM(AF135:AF140)</f>
        <v>0</v>
      </c>
      <c r="AG134" s="808">
        <f>SUM(AG135:AG140)</f>
        <v>0</v>
      </c>
      <c r="AH134" s="808">
        <f>AG134-AF134</f>
        <v>0</v>
      </c>
      <c r="AI134" s="808">
        <f>SUM(AI135:AI140)</f>
        <v>0</v>
      </c>
      <c r="AJ134" s="808">
        <f>SUM(AJ135:AJ140)</f>
        <v>0</v>
      </c>
      <c r="AK134" s="808">
        <f>SUM(AK135:AK140)</f>
        <v>0</v>
      </c>
      <c r="AL134" s="808">
        <f>IF(AI134=0,0,(AK134-AI134)/AI134*100)</f>
        <v>0</v>
      </c>
      <c r="AM134" s="813"/>
      <c r="AN134" s="813"/>
      <c r="AO134" s="813"/>
      <c r="AP134" s="593"/>
      <c r="AQ134" s="593"/>
      <c r="AR134" s="1071" t="s">
        <v>2020</v>
      </c>
      <c r="AS134" s="1071"/>
      <c r="AT134" s="1071"/>
      <c r="AU134" s="703"/>
      <c r="AV134" s="703"/>
    </row>
    <row s="1656" customFormat="1" customHeight="1" ht="14.25">
      <c r="A135" s="1324"/>
      <c r="B135" s="1324"/>
      <c r="C135" s="1324"/>
      <c r="D135" s="1324"/>
      <c r="E135" s="701">
        <v>15</v>
      </c>
      <c r="F135" s="50" cm="1" t="str">
        <f t="array" ref="F135:F135">OFFSET(E135,-1,1)</f>
        <v>1</v>
      </c>
      <c r="G135" s="1324"/>
      <c r="H135" s="1324"/>
      <c r="I135" s="592" t="s">
        <v>2017</v>
      </c>
      <c r="J135" s="994" t="s">
        <v>2021</v>
      </c>
      <c r="K135" s="1324"/>
      <c r="L135" s="592"/>
      <c r="M135" s="592"/>
      <c r="N135" s="592"/>
      <c r="O135" s="592"/>
      <c r="P135" s="592"/>
      <c r="Q135" s="592"/>
      <c r="R135" s="592"/>
      <c r="S135" s="592"/>
      <c r="T135" s="468" cm="1" t="str">
        <f t="array" ref="T135:T135">T134</f>
        <v>true</v>
      </c>
      <c r="U135" s="1324"/>
      <c r="V135" s="1324"/>
      <c r="W135" s="1324"/>
      <c r="X135" s="1617"/>
      <c r="Y135" s="1324"/>
      <c r="Z135" s="1618"/>
      <c r="AA135" s="1324"/>
      <c r="AB135" s="814" t="s">
        <v>2022</v>
      </c>
      <c r="AC135" s="815" t="s">
        <v>2023</v>
      </c>
      <c r="AD135" s="766" t="s">
        <v>936</v>
      </c>
      <c r="AE135" s="816"/>
      <c r="AF135" s="816"/>
      <c r="AG135" s="816"/>
      <c r="AH135" s="809">
        <f>AG135-AF135</f>
        <v>0</v>
      </c>
      <c r="AI135" s="816"/>
      <c r="AJ135" s="816"/>
      <c r="AK135" s="816"/>
      <c r="AL135" s="809">
        <f>IF(AI135=0,0,(AK135-AI135)/AI135*100)</f>
        <v>0</v>
      </c>
      <c r="AM135" s="810"/>
      <c r="AN135" s="810"/>
      <c r="AO135" s="810"/>
      <c r="AP135" s="1324"/>
      <c r="AQ135" s="1324"/>
      <c r="AR135" s="1070" t="s">
        <v>2024</v>
      </c>
      <c r="AS135" s="1070"/>
      <c r="AT135" s="1070"/>
      <c r="AU135" s="1067"/>
      <c r="AV135" s="1067"/>
    </row>
    <row s="1656" customFormat="1" customHeight="1" ht="14.25">
      <c r="A136" s="1324"/>
      <c r="B136" s="1324"/>
      <c r="C136" s="1324"/>
      <c r="D136" s="1324"/>
      <c r="E136" s="701">
        <v>15</v>
      </c>
      <c r="F136" s="50" cm="1" t="str">
        <f t="array" ref="F136:F136">OFFSET(E136,-1,1)</f>
        <v>1</v>
      </c>
      <c r="G136" s="1324"/>
      <c r="H136" s="1324"/>
      <c r="I136" s="592" t="s">
        <v>2017</v>
      </c>
      <c r="J136" s="994" t="s">
        <v>2025</v>
      </c>
      <c r="K136" s="1324"/>
      <c r="L136" s="592"/>
      <c r="M136" s="592"/>
      <c r="N136" s="592"/>
      <c r="O136" s="592"/>
      <c r="P136" s="592"/>
      <c r="Q136" s="592"/>
      <c r="R136" s="592"/>
      <c r="S136" s="592"/>
      <c r="T136" s="468" cm="1" t="str">
        <f t="array" ref="T136:T136">T135</f>
        <v>true</v>
      </c>
      <c r="U136" s="1324"/>
      <c r="V136" s="1324"/>
      <c r="W136" s="1324"/>
      <c r="X136" s="1617"/>
      <c r="Y136" s="1324"/>
      <c r="Z136" s="1618"/>
      <c r="AA136" s="1324"/>
      <c r="AB136" s="814" t="s">
        <v>2026</v>
      </c>
      <c r="AC136" s="815" t="s">
        <v>2027</v>
      </c>
      <c r="AD136" s="766" t="s">
        <v>936</v>
      </c>
      <c r="AE136" s="816"/>
      <c r="AF136" s="816"/>
      <c r="AG136" s="816"/>
      <c r="AH136" s="809">
        <f>AG136-AF136</f>
        <v>0</v>
      </c>
      <c r="AI136" s="816"/>
      <c r="AJ136" s="816"/>
      <c r="AK136" s="816"/>
      <c r="AL136" s="809">
        <f>IF(AI136=0,0,(AK136-AI136)/AI136*100)</f>
        <v>0</v>
      </c>
      <c r="AM136" s="810"/>
      <c r="AN136" s="810"/>
      <c r="AO136" s="810"/>
      <c r="AP136" s="1324"/>
      <c r="AQ136" s="1324"/>
      <c r="AR136" s="1070" t="s">
        <v>2028</v>
      </c>
      <c r="AS136" s="1070"/>
      <c r="AT136" s="1070"/>
      <c r="AU136" s="1067"/>
      <c r="AV136" s="1067"/>
    </row>
    <row s="1656" customFormat="1" customHeight="1" ht="14.25">
      <c r="A137" s="1324"/>
      <c r="B137" s="1324"/>
      <c r="C137" s="1324"/>
      <c r="D137" s="1324"/>
      <c r="E137" s="701">
        <v>15</v>
      </c>
      <c r="F137" s="50" cm="1" t="str">
        <f t="array" ref="F137:F137">OFFSET(E137,-1,1)</f>
        <v>1</v>
      </c>
      <c r="G137" s="1324"/>
      <c r="H137" s="1324"/>
      <c r="I137" s="592" t="s">
        <v>2017</v>
      </c>
      <c r="J137" s="994" t="s">
        <v>2029</v>
      </c>
      <c r="K137" s="1324"/>
      <c r="L137" s="592"/>
      <c r="M137" s="592"/>
      <c r="N137" s="592"/>
      <c r="O137" s="592"/>
      <c r="P137" s="592"/>
      <c r="Q137" s="592"/>
      <c r="R137" s="592"/>
      <c r="S137" s="592"/>
      <c r="T137" s="468" cm="1" t="str">
        <f t="array" ref="T137:T137">T136</f>
        <v>true</v>
      </c>
      <c r="U137" s="1324"/>
      <c r="V137" s="1324"/>
      <c r="W137" s="1324"/>
      <c r="X137" s="1617"/>
      <c r="Y137" s="1324"/>
      <c r="Z137" s="1618"/>
      <c r="AA137" s="1324"/>
      <c r="AB137" s="814" t="s">
        <v>2030</v>
      </c>
      <c r="AC137" s="815" t="s">
        <v>2031</v>
      </c>
      <c r="AD137" s="766" t="s">
        <v>936</v>
      </c>
      <c r="AE137" s="816"/>
      <c r="AF137" s="816"/>
      <c r="AG137" s="816"/>
      <c r="AH137" s="809">
        <f>AG137-AF137</f>
        <v>0</v>
      </c>
      <c r="AI137" s="816"/>
      <c r="AJ137" s="816"/>
      <c r="AK137" s="816"/>
      <c r="AL137" s="809">
        <f>IF(AI137=0,0,(AK137-AI137)/AI137*100)</f>
        <v>0</v>
      </c>
      <c r="AM137" s="810"/>
      <c r="AN137" s="810"/>
      <c r="AO137" s="810"/>
      <c r="AP137" s="1324"/>
      <c r="AQ137" s="1324"/>
      <c r="AR137" s="1070" t="s">
        <v>2032</v>
      </c>
      <c r="AS137" s="1070"/>
      <c r="AT137" s="1070"/>
      <c r="AU137" s="1067"/>
      <c r="AV137" s="1067"/>
    </row>
    <row s="1656" customFormat="1" customHeight="1" ht="14.25">
      <c r="A138" s="1324"/>
      <c r="B138" s="1324"/>
      <c r="C138" s="1324"/>
      <c r="D138" s="1324"/>
      <c r="E138" s="701">
        <v>15</v>
      </c>
      <c r="F138" s="50" cm="1" t="str">
        <f t="array" ref="F138:F138">OFFSET(E138,-1,1)</f>
        <v>1</v>
      </c>
      <c r="G138" s="1324"/>
      <c r="H138" s="1324"/>
      <c r="I138" s="592" t="s">
        <v>2017</v>
      </c>
      <c r="J138" s="994" t="s">
        <v>2033</v>
      </c>
      <c r="K138" s="1324"/>
      <c r="L138" s="592"/>
      <c r="M138" s="592"/>
      <c r="N138" s="592"/>
      <c r="O138" s="592"/>
      <c r="P138" s="592"/>
      <c r="Q138" s="592"/>
      <c r="R138" s="592"/>
      <c r="S138" s="592"/>
      <c r="T138" s="468" cm="1" t="str">
        <f t="array" ref="T138:T138">T137</f>
        <v>true</v>
      </c>
      <c r="U138" s="1324"/>
      <c r="V138" s="1324"/>
      <c r="W138" s="1324"/>
      <c r="X138" s="1617"/>
      <c r="Y138" s="1324"/>
      <c r="Z138" s="1618"/>
      <c r="AA138" s="1324"/>
      <c r="AB138" s="814" t="s">
        <v>2034</v>
      </c>
      <c r="AC138" s="815" t="s">
        <v>2035</v>
      </c>
      <c r="AD138" s="766" t="s">
        <v>936</v>
      </c>
      <c r="AE138" s="816"/>
      <c r="AF138" s="816"/>
      <c r="AG138" s="816"/>
      <c r="AH138" s="809">
        <f>AG138-AF138</f>
        <v>0</v>
      </c>
      <c r="AI138" s="816"/>
      <c r="AJ138" s="816"/>
      <c r="AK138" s="816"/>
      <c r="AL138" s="809">
        <f>IF(AI138=0,0,(AK138-AI138)/AI138*100)</f>
        <v>0</v>
      </c>
      <c r="AM138" s="810"/>
      <c r="AN138" s="810"/>
      <c r="AO138" s="810"/>
      <c r="AP138" s="1324"/>
      <c r="AQ138" s="1324"/>
      <c r="AR138" s="1070" t="s">
        <v>2036</v>
      </c>
      <c r="AS138" s="1070"/>
      <c r="AT138" s="1070"/>
      <c r="AU138" s="1067"/>
      <c r="AV138" s="1067"/>
    </row>
    <row s="1656" customFormat="1" customHeight="1" ht="14.25" hidden="1">
      <c r="A139" s="1324"/>
      <c r="B139" s="1324"/>
      <c r="C139" s="1324"/>
      <c r="D139" s="1324"/>
      <c r="E139" s="701">
        <v>15</v>
      </c>
      <c r="F139" s="50" cm="1" t="str">
        <f t="array" ref="F139:F139">OFFSET(E139,-1,1)</f>
        <v>1</v>
      </c>
      <c r="G139" s="1324"/>
      <c r="H139" s="1324"/>
      <c r="I139" s="592" t="s">
        <v>2017</v>
      </c>
      <c r="J139" s="582" cm="1" t="str">
        <f t="array" ref="J139:J139">AC139</f>
        <v>0</v>
      </c>
      <c r="K139" s="1324"/>
      <c r="L139" s="592"/>
      <c r="M139" s="592"/>
      <c r="N139" s="592"/>
      <c r="O139" s="592"/>
      <c r="P139" s="592"/>
      <c r="Q139" s="592"/>
      <c r="R139" s="592"/>
      <c r="S139" s="592"/>
      <c r="T139" s="468">
        <f>AND(F139&gt;0,Y139&gt;4)</f>
        <v>0</v>
      </c>
      <c r="U139" s="1324"/>
      <c r="V139" s="1324"/>
      <c r="W139" s="764" t="s">
        <v>173</v>
      </c>
      <c r="X139" s="1617"/>
      <c r="Y139" s="582">
        <v>4</v>
      </c>
      <c r="Z139" s="1618"/>
      <c r="AA139" s="1247" t="s">
        <v>174</v>
      </c>
      <c r="AB139" s="707" t="str">
        <f>"1.7."&amp;Y139</f>
        <v>1.7.4</v>
      </c>
      <c r="AC139" s="6060"/>
      <c r="AD139" s="766" t="s">
        <v>936</v>
      </c>
      <c r="AE139" s="6057"/>
      <c r="AF139" s="6057"/>
      <c r="AG139" s="6057"/>
      <c r="AH139" s="809">
        <f>AG139-AF139</f>
        <v>0</v>
      </c>
      <c r="AI139" s="6057"/>
      <c r="AJ139" s="6061"/>
      <c r="AK139" s="6061"/>
      <c r="AL139" s="809">
        <f>IF(AI139=0,0,(AK139-AI139)/AI139*100)</f>
        <v>0</v>
      </c>
      <c r="AM139" s="6062"/>
      <c r="AN139" s="6062"/>
      <c r="AO139" s="6062"/>
      <c r="AP139" s="1324"/>
      <c r="AQ139" s="1324"/>
      <c r="AR139" s="1070" t="s">
        <v>2037</v>
      </c>
      <c r="AS139" s="1070" t="s">
        <v>1323</v>
      </c>
      <c r="AT139" s="1068" cm="1" t="str">
        <f t="array" ref="AT139:AT139">AC139</f>
        <v>0</v>
      </c>
      <c r="AU139" s="1067"/>
      <c r="AV139" s="701" t="b">
        <v>1</v>
      </c>
    </row>
    <row s="1656" customFormat="1" customHeight="1" ht="14.25">
      <c r="A140" s="1324"/>
      <c r="B140" s="1324"/>
      <c r="C140" s="1324"/>
      <c r="D140" s="1324"/>
      <c r="E140" s="701">
        <v>15</v>
      </c>
      <c r="F140" s="50" cm="1" t="str">
        <f t="array" ref="F140:F140">OFFSET(E140,-1,1)</f>
        <v>1</v>
      </c>
      <c r="G140" s="1324"/>
      <c r="H140" s="1324"/>
      <c r="I140" s="702"/>
      <c r="J140" s="702" t="s">
        <v>2038</v>
      </c>
      <c r="K140" s="702"/>
      <c r="L140" s="702"/>
      <c r="M140" s="702"/>
      <c r="N140" s="702"/>
      <c r="O140" s="702"/>
      <c r="P140" s="702"/>
      <c r="Q140" s="702"/>
      <c r="R140" s="702"/>
      <c r="S140" s="702"/>
      <c r="T140" s="468">
        <f>F140&gt;0</f>
        <v>1</v>
      </c>
      <c r="U140" s="1324"/>
      <c r="V140" s="1324"/>
      <c r="W140" s="836" t="s">
        <v>410</v>
      </c>
      <c r="X140" s="1617"/>
      <c r="Y140" s="1324"/>
      <c r="Z140" s="1618"/>
      <c r="AA140" s="1324"/>
      <c r="AB140" s="1248"/>
      <c r="AC140" s="1249" t="s">
        <v>177</v>
      </c>
      <c r="AD140" s="1250"/>
      <c r="AE140" s="1250"/>
      <c r="AF140" s="1250"/>
      <c r="AG140" s="1250"/>
      <c r="AH140" s="1250"/>
      <c r="AI140" s="1250"/>
      <c r="AJ140" s="1250"/>
      <c r="AK140" s="1250"/>
      <c r="AL140" s="1250"/>
      <c r="AM140" s="1250"/>
      <c r="AN140" s="1250"/>
      <c r="AO140" s="1251"/>
      <c r="AP140" s="1324"/>
      <c r="AQ140" s="1324"/>
      <c r="AR140" s="1070"/>
      <c r="AS140" s="1070"/>
      <c r="AT140" s="1070"/>
      <c r="AU140" s="1067" t="s">
        <v>1323</v>
      </c>
      <c r="AV140" s="1067"/>
    </row>
    <row s="6122" customFormat="1" customHeight="1" ht="14.25">
      <c r="A141" s="593"/>
      <c r="B141" s="593"/>
      <c r="C141" s="593"/>
      <c r="D141" s="593"/>
      <c r="E141" s="703">
        <v>15</v>
      </c>
      <c r="F141" s="50" cm="1" t="str">
        <f t="array" ref="F141:F141">OFFSET(E141,-1,1)</f>
        <v>1</v>
      </c>
      <c r="G141" s="593"/>
      <c r="H141" s="593"/>
      <c r="I141" s="704" t="s">
        <v>345</v>
      </c>
      <c r="J141" s="704"/>
      <c r="K141" s="704"/>
      <c r="L141" s="704"/>
      <c r="M141" s="704"/>
      <c r="N141" s="704"/>
      <c r="O141" s="704"/>
      <c r="P141" s="704"/>
      <c r="Q141" s="704"/>
      <c r="R141" s="704"/>
      <c r="S141" s="704"/>
      <c r="T141" s="468" cm="1" t="str">
        <f t="array" ref="T141:T141">T140</f>
        <v>true</v>
      </c>
      <c r="U141" s="593"/>
      <c r="V141" s="593"/>
      <c r="W141" s="593"/>
      <c r="X141" s="1617"/>
      <c r="Y141" s="593"/>
      <c r="Z141" s="1618"/>
      <c r="AA141" s="593"/>
      <c r="AB141" s="811" t="s">
        <v>299</v>
      </c>
      <c r="AC141" s="807" t="s">
        <v>2039</v>
      </c>
      <c r="AD141" s="819" t="s">
        <v>936</v>
      </c>
      <c r="AE141" s="795">
        <f>AE142+AE143</f>
        <v>0</v>
      </c>
      <c r="AF141" s="795">
        <f>AF142+AF143</f>
        <v>0</v>
      </c>
      <c r="AG141" s="795">
        <f>AG142+AG143</f>
        <v>0</v>
      </c>
      <c r="AH141" s="808">
        <f>AG141-AF141</f>
        <v>0</v>
      </c>
      <c r="AI141" s="795">
        <f>AI142+AI143</f>
        <v>0</v>
      </c>
      <c r="AJ141" s="795">
        <f>AJ142+AJ143</f>
        <v>0</v>
      </c>
      <c r="AK141" s="795">
        <f>AK142+AK143</f>
        <v>0</v>
      </c>
      <c r="AL141" s="808">
        <f>IF(AI141=0,0,(AK141-AI141)/AI141*100)</f>
        <v>0</v>
      </c>
      <c r="AM141" s="813"/>
      <c r="AN141" s="813"/>
      <c r="AO141" s="813"/>
      <c r="AP141" s="593"/>
      <c r="AQ141" s="593"/>
      <c r="AR141" s="1071" t="s">
        <v>2040</v>
      </c>
      <c r="AS141" s="1071"/>
      <c r="AT141" s="1071"/>
      <c r="AU141" s="703"/>
      <c r="AV141" s="703"/>
    </row>
    <row s="1656" customFormat="1" customHeight="1" ht="32.25">
      <c r="A142" s="1324"/>
      <c r="B142" s="1324"/>
      <c r="C142" s="1324"/>
      <c r="D142" s="1324"/>
      <c r="E142" s="701">
        <v>33.75</v>
      </c>
      <c r="F142" s="50" cm="1" t="str">
        <f t="array" ref="F142:F142">OFFSET(E142,-1,1)</f>
        <v>1</v>
      </c>
      <c r="G142" s="1324"/>
      <c r="H142" s="1324"/>
      <c r="I142" s="592" t="s">
        <v>584</v>
      </c>
      <c r="J142" s="592"/>
      <c r="K142" s="592"/>
      <c r="L142" s="592"/>
      <c r="M142" s="592"/>
      <c r="N142" s="592"/>
      <c r="O142" s="592"/>
      <c r="P142" s="592"/>
      <c r="Q142" s="592"/>
      <c r="R142" s="592"/>
      <c r="S142" s="592"/>
      <c r="T142" s="468" cm="1" t="str">
        <f t="array" ref="T142:T142">T141</f>
        <v>true</v>
      </c>
      <c r="U142" s="1324"/>
      <c r="V142" s="1324"/>
      <c r="W142" s="1324"/>
      <c r="X142" s="1617"/>
      <c r="Y142" s="1324"/>
      <c r="Z142" s="1618"/>
      <c r="AA142" s="1324"/>
      <c r="AB142" s="814" t="s">
        <v>660</v>
      </c>
      <c r="AC142" s="820" t="s">
        <v>2041</v>
      </c>
      <c r="AD142" s="821" t="s">
        <v>936</v>
      </c>
      <c r="AE142" s="816"/>
      <c r="AF142" s="816"/>
      <c r="AG142" s="816"/>
      <c r="AH142" s="809">
        <f>AG142-AF142</f>
        <v>0</v>
      </c>
      <c r="AI142" s="816"/>
      <c r="AJ142" s="816"/>
      <c r="AK142" s="816"/>
      <c r="AL142" s="809">
        <f>IF(AI142=0,0,(AK142-AI142)/AI142*100)</f>
        <v>0</v>
      </c>
      <c r="AM142" s="810"/>
      <c r="AN142" s="810"/>
      <c r="AO142" s="810"/>
      <c r="AP142" s="1324"/>
      <c r="AQ142" s="1324"/>
      <c r="AR142" s="1070" t="s">
        <v>2042</v>
      </c>
      <c r="AS142" s="1070"/>
      <c r="AT142" s="1070"/>
      <c r="AU142" s="1067"/>
      <c r="AV142" s="1067"/>
    </row>
    <row s="1656" customFormat="1" customHeight="1" ht="34.5">
      <c r="A143" s="1324"/>
      <c r="B143" s="1324"/>
      <c r="C143" s="1324"/>
      <c r="D143" s="1324"/>
      <c r="E143" s="701">
        <v>36</v>
      </c>
      <c r="F143" s="50" cm="1" t="str">
        <f t="array" ref="F143:F143">OFFSET(E143,-1,1)</f>
        <v>1</v>
      </c>
      <c r="G143" s="1324"/>
      <c r="H143" s="1324"/>
      <c r="I143" s="592" t="s">
        <v>587</v>
      </c>
      <c r="J143" s="592"/>
      <c r="K143" s="592"/>
      <c r="L143" s="592"/>
      <c r="M143" s="592"/>
      <c r="N143" s="592"/>
      <c r="O143" s="592"/>
      <c r="P143" s="592"/>
      <c r="Q143" s="592"/>
      <c r="R143" s="592"/>
      <c r="S143" s="592"/>
      <c r="T143" s="468" cm="1" t="str">
        <f t="array" ref="T143:T143">T142</f>
        <v>true</v>
      </c>
      <c r="U143" s="1324"/>
      <c r="V143" s="1324"/>
      <c r="W143" s="1324"/>
      <c r="X143" s="1617"/>
      <c r="Y143" s="1324"/>
      <c r="Z143" s="1618"/>
      <c r="AA143" s="1324"/>
      <c r="AB143" s="814" t="s">
        <v>664</v>
      </c>
      <c r="AC143" s="820" t="s">
        <v>2043</v>
      </c>
      <c r="AD143" s="821" t="s">
        <v>936</v>
      </c>
      <c r="AE143" s="822">
        <f>AE144+AE145</f>
        <v>0</v>
      </c>
      <c r="AF143" s="822">
        <f>AF144+AF145</f>
        <v>0</v>
      </c>
      <c r="AG143" s="822">
        <f>AG144+AG145</f>
        <v>0</v>
      </c>
      <c r="AH143" s="809">
        <f>AG143-AF143</f>
        <v>0</v>
      </c>
      <c r="AI143" s="822">
        <f>AI144+AI145</f>
        <v>0</v>
      </c>
      <c r="AJ143" s="822">
        <f>AJ144+AJ145</f>
        <v>0</v>
      </c>
      <c r="AK143" s="822">
        <f>AK144+AK145</f>
        <v>0</v>
      </c>
      <c r="AL143" s="809">
        <f>IF(AI143=0,0,(AK143-AI143)/AI143*100)</f>
        <v>0</v>
      </c>
      <c r="AM143" s="810"/>
      <c r="AN143" s="810"/>
      <c r="AO143" s="810"/>
      <c r="AP143" s="1324"/>
      <c r="AQ143" s="1324"/>
      <c r="AR143" s="1070" t="s">
        <v>2044</v>
      </c>
      <c r="AS143" s="1070"/>
      <c r="AT143" s="1070"/>
      <c r="AU143" s="1067"/>
      <c r="AV143" s="1067"/>
    </row>
    <row s="1656" customFormat="1" customHeight="1" ht="14.25">
      <c r="A144" s="1324"/>
      <c r="B144" s="1324"/>
      <c r="C144" s="1324"/>
      <c r="D144" s="1324"/>
      <c r="E144" s="701">
        <v>15</v>
      </c>
      <c r="F144" s="50" cm="1" t="str">
        <f t="array" ref="F144:F144">OFFSET(E144,-1,1)</f>
        <v>1</v>
      </c>
      <c r="G144" s="582" t="s">
        <v>1365</v>
      </c>
      <c r="H144" s="1324"/>
      <c r="I144" s="592" t="s">
        <v>2045</v>
      </c>
      <c r="J144" s="592"/>
      <c r="K144" s="592"/>
      <c r="L144" s="592"/>
      <c r="M144" s="592"/>
      <c r="N144" s="592"/>
      <c r="O144" s="592"/>
      <c r="P144" s="592"/>
      <c r="Q144" s="592"/>
      <c r="R144" s="592"/>
      <c r="S144" s="592"/>
      <c r="T144" s="468" cm="1" t="str">
        <f t="array" ref="T144:T144">T143</f>
        <v>true</v>
      </c>
      <c r="U144" s="1324"/>
      <c r="V144" s="1324"/>
      <c r="W144" s="1324"/>
      <c r="X144" s="1617"/>
      <c r="Y144" s="1324"/>
      <c r="Z144" s="1618"/>
      <c r="AA144" s="1324"/>
      <c r="AB144" s="814" t="s">
        <v>598</v>
      </c>
      <c r="AC144" s="815" t="s">
        <v>2046</v>
      </c>
      <c r="AD144" s="821" t="s">
        <v>936</v>
      </c>
      <c r="AE144" s="809">
        <f>_xlfn.SUMIFS(ФОТ!AE$25:AE$127,ФОТ!$F$25:$F$127,$F144,ФОТ!$G$25:$G$127,$G144)</f>
        <v>0</v>
      </c>
      <c r="AF144" s="809">
        <f>_xlfn.SUMIFS(ФОТ!AF$25:AF$127,ФОТ!$F$25:$F$127,$F144,ФОТ!$G$25:$G$127,$G144)</f>
        <v>0</v>
      </c>
      <c r="AG144" s="809">
        <f>_xlfn.SUMIFS(ФОТ!AG$25:AG$127,ФОТ!$F$25:$F$127,$F144,ФОТ!$G$25:$G$127,$G144)</f>
        <v>0</v>
      </c>
      <c r="AH144" s="809">
        <f>AG144-AF144</f>
        <v>0</v>
      </c>
      <c r="AI144" s="809">
        <f>_xlfn.SUMIFS(ФОТ!AH$25:AH$127,ФОТ!$F$25:$F$127,$F144,ФОТ!$G$25:$G$127,$G144)</f>
        <v>0</v>
      </c>
      <c r="AJ144" s="809">
        <f>_xlfn.SUMIFS(ФОТ!AI$25:AI$127,ФОТ!$F$25:$F$127,$F144,ФОТ!$G$25:$G$127,$G144)</f>
        <v>0</v>
      </c>
      <c r="AK144" s="809">
        <f>_xlfn.SUMIFS(ФОТ!AJ$25:AJ$127,ФОТ!$F$25:$F$127,$F144,ФОТ!$G$25:$G$127,$G144)</f>
        <v>0</v>
      </c>
      <c r="AL144" s="809">
        <f>IF(AI144=0,0,(AK144-AI144)/AI144*100)</f>
        <v>0</v>
      </c>
      <c r="AM144" s="810"/>
      <c r="AN144" s="917" t="str">
        <f>IF(_xlfn.IFERROR(INDEX(ФОТ!$K$26:$L$127,MATCH($F144&amp;"3komm",ФОТ!$K$26:$K$127,0),2),"")=0,"",_xlfn.IFERROR(INDEX(ФОТ!$K$26:$L$127,MATCH($F144&amp;"3komm",ФОТ!$K$26:$K$127,0),2),""))</f>
        <v/>
      </c>
      <c r="AO144" s="810"/>
      <c r="AP144" s="1324"/>
      <c r="AQ144" s="1324"/>
      <c r="AR144" s="1070" t="s">
        <v>2047</v>
      </c>
      <c r="AS144" s="1070"/>
      <c r="AT144" s="1070"/>
      <c r="AU144" s="1067"/>
      <c r="AV144" s="1067"/>
    </row>
    <row s="1656" customFormat="1" customHeight="1" ht="21.75">
      <c r="A145" s="1324"/>
      <c r="B145" s="1324"/>
      <c r="C145" s="1324"/>
      <c r="D145" s="1324"/>
      <c r="E145" s="701">
        <v>22.5</v>
      </c>
      <c r="F145" s="50" cm="1" t="str">
        <f t="array" ref="F145:F145">OFFSET(E145,-1,1)</f>
        <v>1</v>
      </c>
      <c r="G145" s="582" t="s">
        <v>1370</v>
      </c>
      <c r="H145" s="1324"/>
      <c r="I145" s="592" t="s">
        <v>2048</v>
      </c>
      <c r="J145" s="592"/>
      <c r="K145" s="592"/>
      <c r="L145" s="592"/>
      <c r="M145" s="592"/>
      <c r="N145" s="592"/>
      <c r="O145" s="592"/>
      <c r="P145" s="592"/>
      <c r="Q145" s="592"/>
      <c r="R145" s="592"/>
      <c r="S145" s="592"/>
      <c r="T145" s="468" cm="1" t="str">
        <f t="array" ref="T145:T145">T144</f>
        <v>true</v>
      </c>
      <c r="U145" s="1324"/>
      <c r="V145" s="1324"/>
      <c r="W145" s="1324"/>
      <c r="X145" s="1617"/>
      <c r="Y145" s="1324"/>
      <c r="Z145" s="1618"/>
      <c r="AA145" s="1324"/>
      <c r="AB145" s="814" t="s">
        <v>1663</v>
      </c>
      <c r="AC145" s="815" t="s">
        <v>2049</v>
      </c>
      <c r="AD145" s="821" t="s">
        <v>936</v>
      </c>
      <c r="AE145" s="809">
        <f>_xlfn.SUMIFS(ФОТ!AE$25:AE$127,ФОТ!$F$25:$F$127,$F145,ФОТ!$G$25:$G$127,$G145)</f>
        <v>0</v>
      </c>
      <c r="AF145" s="809">
        <f>_xlfn.SUMIFS(ФОТ!AF$25:AF$127,ФОТ!$F$25:$F$127,$F145,ФОТ!$G$25:$G$127,$G145)</f>
        <v>0</v>
      </c>
      <c r="AG145" s="809">
        <f>_xlfn.SUMIFS(ФОТ!AG$25:AG$127,ФОТ!$F$25:$F$127,$F145,ФОТ!$G$25:$G$127,$G145)</f>
        <v>0</v>
      </c>
      <c r="AH145" s="809">
        <f>AG145-AF145</f>
        <v>0</v>
      </c>
      <c r="AI145" s="809">
        <f>_xlfn.SUMIFS(ФОТ!AH$25:AH$127,ФОТ!$F$25:$F$127,$F145,ФОТ!$G$25:$G$127,$G145)</f>
        <v>0</v>
      </c>
      <c r="AJ145" s="809">
        <f>_xlfn.SUMIFS(ФОТ!AI$25:AI$127,ФОТ!$F$25:$F$127,$F145,ФОТ!$G$25:$G$127,$G145)</f>
        <v>0</v>
      </c>
      <c r="AK145" s="809">
        <f>_xlfn.SUMIFS(ФОТ!AJ$25:AJ$127,ФОТ!$F$25:$F$127,$F145,ФОТ!$G$25:$G$127,$G145)</f>
        <v>0</v>
      </c>
      <c r="AL145" s="809">
        <f>IF(AI145=0,0,(AK145-AI145)/AI145*100)</f>
        <v>0</v>
      </c>
      <c r="AM145" s="810"/>
      <c r="AN145" s="917" t="str">
        <f>IF(_xlfn.IFERROR(INDEX(ФОТ!$K$26:$L$127,MATCH($F145&amp;"4komm",ФОТ!$K$26:$K$127,0),2),"")=0,"",_xlfn.IFERROR(INDEX(ФОТ!$K$26:$L$127,MATCH($F145&amp;"4komm",ФОТ!$K$26:$K$127,0),2),""))</f>
        <v/>
      </c>
      <c r="AO145" s="810"/>
      <c r="AP145" s="1324"/>
      <c r="AQ145" s="1324"/>
      <c r="AR145" s="1070" t="s">
        <v>2050</v>
      </c>
      <c r="AS145" s="1070"/>
      <c r="AT145" s="1070"/>
      <c r="AU145" s="1067"/>
      <c r="AV145" s="1067"/>
    </row>
    <row s="6123" customFormat="1" customHeight="1" ht="14.25">
      <c r="A146" s="593"/>
      <c r="B146" s="593"/>
      <c r="C146" s="593"/>
      <c r="D146" s="593"/>
      <c r="E146" s="703">
        <v>15</v>
      </c>
      <c r="F146" s="50" cm="1" t="str">
        <f t="array" ref="F146:F146">OFFSET(E146,-1,1)</f>
        <v>1</v>
      </c>
      <c r="G146" s="593"/>
      <c r="H146" s="593"/>
      <c r="I146" s="704" t="s">
        <v>346</v>
      </c>
      <c r="J146" s="704"/>
      <c r="K146" s="704"/>
      <c r="L146" s="704"/>
      <c r="M146" s="704"/>
      <c r="N146" s="704"/>
      <c r="O146" s="704"/>
      <c r="P146" s="704"/>
      <c r="Q146" s="704"/>
      <c r="R146" s="704"/>
      <c r="S146" s="704"/>
      <c r="T146" s="468" cm="1" t="str">
        <f t="array" ref="T146:T146">T145</f>
        <v>true</v>
      </c>
      <c r="U146" s="593"/>
      <c r="V146" s="593"/>
      <c r="W146" s="593"/>
      <c r="X146" s="1617"/>
      <c r="Y146" s="593"/>
      <c r="Z146" s="1618"/>
      <c r="AA146" s="593"/>
      <c r="AB146" s="811" t="s">
        <v>234</v>
      </c>
      <c r="AC146" s="807" t="s">
        <v>2051</v>
      </c>
      <c r="AD146" s="819" t="s">
        <v>936</v>
      </c>
      <c r="AE146" s="808">
        <f>AE147+AE148+AE151+AE152+AE153+AE154+AE155</f>
        <v>0</v>
      </c>
      <c r="AF146" s="808">
        <f>AF147+AF148+AF151+AF152+AF153+AF154+AF155</f>
        <v>0</v>
      </c>
      <c r="AG146" s="808">
        <f>AG147+AG148+AG151+AG152+AG153+AG154+AG155</f>
        <v>0</v>
      </c>
      <c r="AH146" s="808">
        <f>AG146-AF146</f>
        <v>0</v>
      </c>
      <c r="AI146" s="808">
        <f>AI147+AI148+AI151+AI152+AI153+AI154+AI155</f>
        <v>0</v>
      </c>
      <c r="AJ146" s="808">
        <f>AJ147+AJ148+AJ151+AJ152+AJ153+AJ154+AJ155</f>
        <v>0</v>
      </c>
      <c r="AK146" s="808">
        <f>AK147+AK148+AK151+AK152+AK153+AK154+AK155</f>
        <v>0</v>
      </c>
      <c r="AL146" s="808">
        <f>IF(AI146=0,0,(AK146-AI146)/AI146*100)</f>
        <v>0</v>
      </c>
      <c r="AM146" s="813"/>
      <c r="AN146" s="813"/>
      <c r="AO146" s="813"/>
      <c r="AP146" s="593"/>
      <c r="AQ146" s="593"/>
      <c r="AR146" s="1071" t="s">
        <v>2052</v>
      </c>
      <c r="AS146" s="1071"/>
      <c r="AT146" s="1071"/>
      <c r="AU146" s="703"/>
      <c r="AV146" s="703"/>
    </row>
    <row s="1656" customFormat="1" customHeight="1" ht="21.75">
      <c r="A147" s="1324"/>
      <c r="B147" s="1324"/>
      <c r="C147" s="1324"/>
      <c r="D147" s="1324"/>
      <c r="E147" s="701">
        <v>22.5</v>
      </c>
      <c r="F147" s="50" cm="1" t="str">
        <f t="array" ref="F147:F147">OFFSET(E147,-1,1)</f>
        <v>1</v>
      </c>
      <c r="G147" s="582" t="s">
        <v>1391</v>
      </c>
      <c r="H147" s="1324"/>
      <c r="I147" s="592" t="s">
        <v>1097</v>
      </c>
      <c r="J147" s="592"/>
      <c r="K147" s="592"/>
      <c r="L147" s="592"/>
      <c r="M147" s="592"/>
      <c r="N147" s="592"/>
      <c r="O147" s="592"/>
      <c r="P147" s="592"/>
      <c r="Q147" s="592"/>
      <c r="R147" s="592"/>
      <c r="S147" s="592"/>
      <c r="T147" s="468" cm="1" t="str">
        <f t="array" ref="T147:T147">T146</f>
        <v>true</v>
      </c>
      <c r="U147" s="1324"/>
      <c r="V147" s="1324"/>
      <c r="W147" s="1324"/>
      <c r="X147" s="1617"/>
      <c r="Y147" s="1324"/>
      <c r="Z147" s="1618"/>
      <c r="AA147" s="1324"/>
      <c r="AB147" s="814" t="s">
        <v>674</v>
      </c>
      <c r="AC147" s="820" t="s">
        <v>2053</v>
      </c>
      <c r="AD147" s="821" t="s">
        <v>936</v>
      </c>
      <c r="AE147" s="255">
        <f>_xlfn.SUMIFS(Административные!AE$25:AE$103,Административные!$F$25:$F$103,$F147,Административные!$G$25:$G$103,$G147)</f>
        <v>0</v>
      </c>
      <c r="AF147" s="255">
        <f>_xlfn.SUMIFS(Административные!AF$25:AF$103,Административные!$F$25:$F$103,$F147,Административные!$G$25:$G$103,$G147)</f>
        <v>0</v>
      </c>
      <c r="AG147" s="255">
        <f>_xlfn.SUMIFS(Административные!AG$25:AG$103,Административные!$F$25:$F$103,$F147,Административные!$G$25:$G$103,$G147)</f>
        <v>0</v>
      </c>
      <c r="AH147" s="809">
        <f>AG147-AF147</f>
        <v>0</v>
      </c>
      <c r="AI147" s="255">
        <f>_xlfn.SUMIFS(Административные!AH$25:AH$103,Административные!$F$25:$F$103,$F147,Административные!$G$25:$G$103,$G147)</f>
        <v>0</v>
      </c>
      <c r="AJ147" s="255">
        <f>_xlfn.SUMIFS(Административные!AI$25:AI$103,Административные!$F$25:$F$103,$F147,Административные!$G$25:$G$103,$G147)</f>
        <v>0</v>
      </c>
      <c r="AK147" s="255">
        <f>_xlfn.SUMIFS(Административные!AJ$25:AJ$103,Административные!$F$25:$F$103,$F147,Административные!$G$25:$G$103,$G147)</f>
        <v>0</v>
      </c>
      <c r="AL147" s="809">
        <f>IF(AI147=0,0,(AK147-AI147)/AI147*100)</f>
        <v>0</v>
      </c>
      <c r="AM147" s="810"/>
      <c r="AN147" s="917" t="str">
        <f>IF(_xlfn.IFERROR(INDEX(Административные!$K$26:$L$103,MATCH($F147&amp;"17komm",Административные!$K$26:$K$103,0),2),"")=0,"",_xlfn.IFERROR(INDEX(Административные!$K$26:$L$103,MATCH($F147&amp;"17komm",Административные!$K$26:$K$103,0),2),""))</f>
        <v/>
      </c>
      <c r="AO147" s="810"/>
      <c r="AP147" s="1324"/>
      <c r="AQ147" s="1324"/>
      <c r="AR147" s="1070" t="s">
        <v>1393</v>
      </c>
      <c r="AS147" s="1070"/>
      <c r="AT147" s="1070"/>
      <c r="AU147" s="1067"/>
      <c r="AV147" s="1067"/>
    </row>
    <row s="1656" customFormat="1" customHeight="1" ht="32.25">
      <c r="A148" s="1324"/>
      <c r="B148" s="1324"/>
      <c r="C148" s="1324"/>
      <c r="D148" s="1324"/>
      <c r="E148" s="701">
        <v>33.75</v>
      </c>
      <c r="F148" s="50" cm="1" t="str">
        <f t="array" ref="F148:F148">OFFSET(E148,-1,1)</f>
        <v>1</v>
      </c>
      <c r="G148" s="1324"/>
      <c r="H148" s="1324"/>
      <c r="I148" s="592" t="s">
        <v>1099</v>
      </c>
      <c r="J148" s="592"/>
      <c r="K148" s="592"/>
      <c r="L148" s="592"/>
      <c r="M148" s="592"/>
      <c r="N148" s="592"/>
      <c r="O148" s="592"/>
      <c r="P148" s="592"/>
      <c r="Q148" s="592"/>
      <c r="R148" s="592"/>
      <c r="S148" s="592"/>
      <c r="T148" s="468" cm="1" t="str">
        <f t="array" ref="T148:T148">T147</f>
        <v>true</v>
      </c>
      <c r="U148" s="1324"/>
      <c r="V148" s="1324"/>
      <c r="W148" s="1324"/>
      <c r="X148" s="1617"/>
      <c r="Y148" s="1324"/>
      <c r="Z148" s="1618"/>
      <c r="AA148" s="1324"/>
      <c r="AB148" s="814" t="s">
        <v>678</v>
      </c>
      <c r="AC148" s="820" t="s">
        <v>2054</v>
      </c>
      <c r="AD148" s="821" t="s">
        <v>936</v>
      </c>
      <c r="AE148" s="809">
        <f>AE149+AE150</f>
        <v>0</v>
      </c>
      <c r="AF148" s="809">
        <f>AF149+AF150</f>
        <v>0</v>
      </c>
      <c r="AG148" s="809">
        <f>AG149+AG150</f>
        <v>0</v>
      </c>
      <c r="AH148" s="809">
        <f>AG148-AF148</f>
        <v>0</v>
      </c>
      <c r="AI148" s="809">
        <f>AI149+AI150</f>
        <v>0</v>
      </c>
      <c r="AJ148" s="809">
        <f>AJ149+AJ150</f>
        <v>0</v>
      </c>
      <c r="AK148" s="809">
        <f>AK149+AK150</f>
        <v>0</v>
      </c>
      <c r="AL148" s="809">
        <f>IF(AI148=0,0,(AK148-AI148)/AI148*100)</f>
        <v>0</v>
      </c>
      <c r="AM148" s="810"/>
      <c r="AN148" s="810"/>
      <c r="AO148" s="810"/>
      <c r="AP148" s="1324"/>
      <c r="AQ148" s="1324"/>
      <c r="AR148" s="1070" t="s">
        <v>2055</v>
      </c>
      <c r="AS148" s="1070"/>
      <c r="AT148" s="1070"/>
      <c r="AU148" s="1067"/>
      <c r="AV148" s="1067"/>
    </row>
    <row s="1656" customFormat="1" customHeight="1" ht="21.75">
      <c r="A149" s="1324"/>
      <c r="B149" s="1324"/>
      <c r="C149" s="1324"/>
      <c r="D149" s="1324"/>
      <c r="E149" s="701">
        <v>22.5</v>
      </c>
      <c r="F149" s="50" cm="1" t="str">
        <f t="array" ref="F149:F149">OFFSET(E149,-1,1)</f>
        <v>1</v>
      </c>
      <c r="G149" s="1252" t="s">
        <v>1373</v>
      </c>
      <c r="H149" s="1324"/>
      <c r="I149" s="592" t="s">
        <v>602</v>
      </c>
      <c r="J149" s="592"/>
      <c r="K149" s="592"/>
      <c r="L149" s="592"/>
      <c r="M149" s="592"/>
      <c r="N149" s="592"/>
      <c r="O149" s="592"/>
      <c r="P149" s="592"/>
      <c r="Q149" s="592"/>
      <c r="R149" s="592"/>
      <c r="S149" s="592"/>
      <c r="T149" s="468" cm="1" t="str">
        <f t="array" ref="T149:T149">T148</f>
        <v>true</v>
      </c>
      <c r="U149" s="1324"/>
      <c r="V149" s="1324"/>
      <c r="W149" s="1324"/>
      <c r="X149" s="1617"/>
      <c r="Y149" s="1324"/>
      <c r="Z149" s="1618"/>
      <c r="AA149" s="1324"/>
      <c r="AB149" s="814" t="s">
        <v>884</v>
      </c>
      <c r="AC149" s="815" t="s">
        <v>2056</v>
      </c>
      <c r="AD149" s="821" t="s">
        <v>936</v>
      </c>
      <c r="AE149" s="809">
        <f>_xlfn.SUMIFS(ФОТ!AE$25:AE$127,ФОТ!$F$25:$F$127,$F149,ФОТ!$G$25:$G$127,$G149)</f>
        <v>0</v>
      </c>
      <c r="AF149" s="809">
        <f>_xlfn.SUMIFS(ФОТ!AF$25:AF$127,ФОТ!$F$25:$F$127,$F149,ФОТ!$G$25:$G$127,$G149)</f>
        <v>0</v>
      </c>
      <c r="AG149" s="809">
        <f>_xlfn.SUMIFS(ФОТ!AG$25:AG$127,ФОТ!$F$25:$F$127,$F149,ФОТ!$G$25:$G$127,$G149)</f>
        <v>0</v>
      </c>
      <c r="AH149" s="809">
        <f>AG149-AF149</f>
        <v>0</v>
      </c>
      <c r="AI149" s="809">
        <f>_xlfn.SUMIFS(ФОТ!AH$25:AH$127,ФОТ!$F$25:$F$127,$F149,ФОТ!$G$25:$G$127,$G149)</f>
        <v>0</v>
      </c>
      <c r="AJ149" s="809">
        <f>_xlfn.SUMIFS(ФОТ!AI$25:AI$127,ФОТ!$F$25:$F$127,$F149,ФОТ!$G$25:$G$127,$G149)</f>
        <v>0</v>
      </c>
      <c r="AK149" s="809">
        <f>_xlfn.SUMIFS(ФОТ!AJ$25:AJ$127,ФОТ!$F$25:$F$127,$F149,ФОТ!$G$25:$G$127,$G149)</f>
        <v>0</v>
      </c>
      <c r="AL149" s="809">
        <f>IF(AI149=0,0,(AK149-AI149)/AI149*100)</f>
        <v>0</v>
      </c>
      <c r="AM149" s="810"/>
      <c r="AN149" s="917" t="str">
        <f>IF(_xlfn.IFERROR(INDEX(ФОТ!$K$26:$L$127,MATCH($F149&amp;"5komm",ФОТ!$K$26:$K$127,0),2),"")=0,"",_xlfn.IFERROR(INDEX(ФОТ!$K$26:$L$127,MATCH($F149&amp;"5komm",ФОТ!$K$26:$K$127,0),2),""))</f>
        <v/>
      </c>
      <c r="AO149" s="810"/>
      <c r="AP149" s="1324"/>
      <c r="AQ149" s="1324"/>
      <c r="AR149" s="1070" t="s">
        <v>1390</v>
      </c>
      <c r="AS149" s="1070"/>
      <c r="AT149" s="1070"/>
      <c r="AU149" s="1067"/>
      <c r="AV149" s="1067"/>
    </row>
    <row s="1656" customFormat="1" customHeight="1" ht="32.25">
      <c r="A150" s="1324"/>
      <c r="B150" s="1324"/>
      <c r="C150" s="1324"/>
      <c r="D150" s="1324"/>
      <c r="E150" s="701">
        <v>33.75</v>
      </c>
      <c r="F150" s="50" cm="1" t="str">
        <f t="array" ref="F150:F150">OFFSET(E150,-1,1)</f>
        <v>1</v>
      </c>
      <c r="G150" s="501" t="s">
        <v>1378</v>
      </c>
      <c r="H150" s="1324"/>
      <c r="I150" s="592" t="s">
        <v>607</v>
      </c>
      <c r="J150" s="592"/>
      <c r="K150" s="592"/>
      <c r="L150" s="592"/>
      <c r="M150" s="592"/>
      <c r="N150" s="592"/>
      <c r="O150" s="592"/>
      <c r="P150" s="592"/>
      <c r="Q150" s="592"/>
      <c r="R150" s="592"/>
      <c r="S150" s="592"/>
      <c r="T150" s="468" cm="1" t="str">
        <f t="array" ref="T150:T150">T149</f>
        <v>true</v>
      </c>
      <c r="U150" s="1324"/>
      <c r="V150" s="1324"/>
      <c r="W150" s="1324"/>
      <c r="X150" s="1617"/>
      <c r="Y150" s="1324"/>
      <c r="Z150" s="1618"/>
      <c r="AA150" s="1324"/>
      <c r="AB150" s="814" t="s">
        <v>887</v>
      </c>
      <c r="AC150" s="815" t="s">
        <v>2057</v>
      </c>
      <c r="AD150" s="821" t="s">
        <v>936</v>
      </c>
      <c r="AE150" s="809">
        <f>_xlfn.SUMIFS(ФОТ!AE$25:AE$127,ФОТ!$F$25:$F$127,$F150,ФОТ!$G$25:$G$127,$G150)</f>
        <v>0</v>
      </c>
      <c r="AF150" s="809">
        <f>_xlfn.SUMIFS(ФОТ!AF$25:AF$127,ФОТ!$F$25:$F$127,$F150,ФОТ!$G$25:$G$127,$G150)</f>
        <v>0</v>
      </c>
      <c r="AG150" s="809">
        <f>_xlfn.SUMIFS(ФОТ!AG$25:AG$127,ФОТ!$F$25:$F$127,$F150,ФОТ!$G$25:$G$127,$G150)</f>
        <v>0</v>
      </c>
      <c r="AH150" s="809">
        <f>AG150-AF150</f>
        <v>0</v>
      </c>
      <c r="AI150" s="809">
        <f>_xlfn.SUMIFS(ФОТ!AH$25:AH$127,ФОТ!$F$25:$F$127,$F150,ФОТ!$G$25:$G$127,$G150)</f>
        <v>0</v>
      </c>
      <c r="AJ150" s="809">
        <f>_xlfn.SUMIFS(ФОТ!AI$25:AI$127,ФОТ!$F$25:$F$127,$F150,ФОТ!$G$25:$G$127,$G150)</f>
        <v>0</v>
      </c>
      <c r="AK150" s="809">
        <f>_xlfn.SUMIFS(ФОТ!AJ$25:AJ$127,ФОТ!$F$25:$F$127,$F150,ФОТ!$G$25:$G$127,$G150)</f>
        <v>0</v>
      </c>
      <c r="AL150" s="809">
        <f>IF(AI150=0,0,(AK150-AI150)/AI150*100)</f>
        <v>0</v>
      </c>
      <c r="AM150" s="810"/>
      <c r="AN150" s="917" t="str">
        <f>IF(_xlfn.IFERROR(INDEX(ФОТ!$K$26:$L$127,MATCH($F150&amp;"6komm",ФОТ!$K$26:$K$127,0),2),"")=0,"",_xlfn.IFERROR(INDEX(ФОТ!$K$26:$L$127,MATCH($F150&amp;"6komm",ФОТ!$K$26:$K$127,0),2),""))</f>
        <v/>
      </c>
      <c r="AO150" s="810"/>
      <c r="AP150" s="1324"/>
      <c r="AQ150" s="1324"/>
      <c r="AR150" s="1070" t="s">
        <v>2058</v>
      </c>
      <c r="AS150" s="1070"/>
      <c r="AT150" s="1070"/>
      <c r="AU150" s="1067"/>
      <c r="AV150" s="1067"/>
    </row>
    <row s="1656" customFormat="1" customHeight="1" ht="32.25">
      <c r="A151" s="1324"/>
      <c r="B151" s="1324"/>
      <c r="C151" s="1324"/>
      <c r="D151" s="1324"/>
      <c r="E151" s="701">
        <v>33.75</v>
      </c>
      <c r="F151" s="50" cm="1" t="str">
        <f t="array" ref="F151:F151">OFFSET(E151,-1,1)</f>
        <v>1</v>
      </c>
      <c r="G151" s="582" t="s">
        <v>1419</v>
      </c>
      <c r="H151" s="1324"/>
      <c r="I151" s="592" t="s">
        <v>1101</v>
      </c>
      <c r="J151" s="592"/>
      <c r="K151" s="592"/>
      <c r="L151" s="592"/>
      <c r="M151" s="592"/>
      <c r="N151" s="592"/>
      <c r="O151" s="592"/>
      <c r="P151" s="592"/>
      <c r="Q151" s="592"/>
      <c r="R151" s="592"/>
      <c r="S151" s="592"/>
      <c r="T151" s="468" cm="1" t="str">
        <f t="array" ref="T151:T151">T150</f>
        <v>true</v>
      </c>
      <c r="U151" s="1324"/>
      <c r="V151" s="1324"/>
      <c r="W151" s="1324"/>
      <c r="X151" s="1617"/>
      <c r="Y151" s="1324"/>
      <c r="Z151" s="1618"/>
      <c r="AA151" s="1324"/>
      <c r="AB151" s="814" t="s">
        <v>890</v>
      </c>
      <c r="AC151" s="820" t="s">
        <v>2059</v>
      </c>
      <c r="AD151" s="821" t="s">
        <v>936</v>
      </c>
      <c r="AE151" s="809">
        <f>_xlfn.SUMIFS(Административные!AE$25:AE$103,Административные!$F$25:$F$103,$F151,Административные!$G$25:$G$103,$G151)</f>
        <v>0</v>
      </c>
      <c r="AF151" s="809">
        <f>_xlfn.SUMIFS(Административные!AF$25:AF$103,Административные!$F$25:$F$103,$F151,Административные!$G$25:$G$103,$G151)</f>
        <v>0</v>
      </c>
      <c r="AG151" s="809">
        <f>_xlfn.SUMIFS(Административные!AG$25:AG$103,Административные!$F$25:$F$103,$F151,Административные!$G$25:$G$103,$G151)</f>
        <v>0</v>
      </c>
      <c r="AH151" s="809">
        <f>AG151-AF151</f>
        <v>0</v>
      </c>
      <c r="AI151" s="809">
        <f>_xlfn.SUMIFS(Административные!AH$25:AH$103,Административные!$F$25:$F$103,$F151,Административные!$G$25:$G$103,$G151)</f>
        <v>0</v>
      </c>
      <c r="AJ151" s="809">
        <f>_xlfn.SUMIFS(Административные!AI$25:AI$103,Административные!$F$25:$F$103,$F151,Административные!$G$25:$G$103,$G151)</f>
        <v>0</v>
      </c>
      <c r="AK151" s="809">
        <f>_xlfn.SUMIFS(Административные!AJ$25:AJ$103,Административные!$F$25:$F$103,$F151,Административные!$G$25:$G$103,$G151)</f>
        <v>0</v>
      </c>
      <c r="AL151" s="809">
        <f>IF(AI151=0,0,(AK151-AI151)/AI151*100)</f>
        <v>0</v>
      </c>
      <c r="AM151" s="810"/>
      <c r="AN151" s="917" t="str">
        <f>IF(_xlfn.IFERROR(INDEX(Административные!$K$26:$L$103,MATCH($F151&amp;"2komm",Административные!$K$26:$K$103,0),2),"")=0,"",_xlfn.IFERROR(INDEX(Административные!$K$26:$L$103,MATCH($F151&amp;"2komm",Административные!$K$26:$K$103,0),2),""))</f>
        <v/>
      </c>
      <c r="AO151" s="810"/>
      <c r="AP151" s="1324"/>
      <c r="AQ151" s="1324"/>
      <c r="AR151" s="1070" t="s">
        <v>1421</v>
      </c>
      <c r="AS151" s="1070"/>
      <c r="AT151" s="1070"/>
      <c r="AU151" s="1067"/>
      <c r="AV151" s="1067"/>
    </row>
    <row s="1656" customFormat="1" customHeight="1" ht="14.25">
      <c r="A152" s="1324"/>
      <c r="B152" s="1324"/>
      <c r="C152" s="1324"/>
      <c r="D152" s="1324"/>
      <c r="E152" s="701">
        <v>15</v>
      </c>
      <c r="F152" s="50" cm="1" t="str">
        <f t="array" ref="F152:F152">OFFSET(E152,-1,1)</f>
        <v>1</v>
      </c>
      <c r="G152" s="582" t="s">
        <v>1422</v>
      </c>
      <c r="H152" s="1324"/>
      <c r="I152" s="592" t="s">
        <v>1103</v>
      </c>
      <c r="J152" s="592"/>
      <c r="K152" s="592"/>
      <c r="L152" s="592"/>
      <c r="M152" s="592"/>
      <c r="N152" s="592"/>
      <c r="O152" s="592"/>
      <c r="P152" s="592"/>
      <c r="Q152" s="592"/>
      <c r="R152" s="592"/>
      <c r="S152" s="592"/>
      <c r="T152" s="468" cm="1" t="str">
        <f t="array" ref="T152:T152">T151</f>
        <v>true</v>
      </c>
      <c r="U152" s="1324"/>
      <c r="V152" s="1324"/>
      <c r="W152" s="1324"/>
      <c r="X152" s="1617"/>
      <c r="Y152" s="1324"/>
      <c r="Z152" s="1618"/>
      <c r="AA152" s="1324"/>
      <c r="AB152" s="814" t="s">
        <v>1104</v>
      </c>
      <c r="AC152" s="820" t="s">
        <v>1423</v>
      </c>
      <c r="AD152" s="821" t="s">
        <v>936</v>
      </c>
      <c r="AE152" s="809">
        <f>_xlfn.SUMIFS(Административные!AE$25:AE$103,Административные!$F$25:$F$103,$F152,Административные!$G$25:$G$103,$G152)</f>
        <v>0</v>
      </c>
      <c r="AF152" s="809">
        <f>_xlfn.SUMIFS(Административные!AF$25:AF$103,Административные!$F$25:$F$103,$F152,Административные!$G$25:$G$103,$G152)</f>
        <v>0</v>
      </c>
      <c r="AG152" s="809">
        <f>_xlfn.SUMIFS(Административные!AG$25:AG$103,Административные!$F$25:$F$103,$F152,Административные!$G$25:$G$103,$G152)</f>
        <v>0</v>
      </c>
      <c r="AH152" s="809">
        <f>AG152-AF152</f>
        <v>0</v>
      </c>
      <c r="AI152" s="809">
        <f>_xlfn.SUMIFS(Административные!AH$25:AH$103,Административные!$F$25:$F$103,$F152,Административные!$G$25:$G$103,$G152)</f>
        <v>0</v>
      </c>
      <c r="AJ152" s="809">
        <f>_xlfn.SUMIFS(Административные!AI$25:AI$103,Административные!$F$25:$F$103,$F152,Административные!$G$25:$G$103,$G152)</f>
        <v>0</v>
      </c>
      <c r="AK152" s="809">
        <f>_xlfn.SUMIFS(Административные!AJ$25:AJ$103,Административные!$F$25:$F$103,$F152,Административные!$G$25:$G$103,$G152)</f>
        <v>0</v>
      </c>
      <c r="AL152" s="809">
        <f>IF(AI152=0,0,(AK152-AI152)/AI152*100)</f>
        <v>0</v>
      </c>
      <c r="AM152" s="810"/>
      <c r="AN152" s="917" t="str">
        <f>IF(_xlfn.IFERROR(INDEX(Административные!$K$26:$L$103,MATCH($F152&amp;"3komm",Административные!$K$26:$K$103,0),2),"")=0,"",_xlfn.IFERROR(INDEX(Административные!$K$26:$L$103,MATCH($F152&amp;"3komm",Административные!$K$26:$K$103,0),2),""))</f>
        <v/>
      </c>
      <c r="AO152" s="810"/>
      <c r="AP152" s="1324"/>
      <c r="AQ152" s="1324"/>
      <c r="AR152" s="1070" t="s">
        <v>1424</v>
      </c>
      <c r="AS152" s="1070"/>
      <c r="AT152" s="1070"/>
      <c r="AU152" s="1067"/>
      <c r="AV152" s="1067"/>
    </row>
    <row s="1656" customFormat="1" customHeight="1" ht="14.25">
      <c r="A153" s="1324"/>
      <c r="B153" s="1324"/>
      <c r="C153" s="1324"/>
      <c r="D153" s="1324"/>
      <c r="E153" s="701">
        <v>15</v>
      </c>
      <c r="F153" s="50" cm="1" t="str">
        <f t="array" ref="F153:F153">OFFSET(E153,-1,1)</f>
        <v>1</v>
      </c>
      <c r="G153" s="582" t="s">
        <v>1425</v>
      </c>
      <c r="H153" s="1324"/>
      <c r="I153" s="592" t="s">
        <v>1106</v>
      </c>
      <c r="J153" s="592"/>
      <c r="K153" s="592"/>
      <c r="L153" s="592"/>
      <c r="M153" s="592"/>
      <c r="N153" s="592"/>
      <c r="O153" s="592"/>
      <c r="P153" s="592"/>
      <c r="Q153" s="592"/>
      <c r="R153" s="592"/>
      <c r="S153" s="592"/>
      <c r="T153" s="468" cm="1" t="str">
        <f t="array" ref="T153:T153">T152</f>
        <v>true</v>
      </c>
      <c r="U153" s="1324"/>
      <c r="V153" s="1324"/>
      <c r="W153" s="1324"/>
      <c r="X153" s="1617"/>
      <c r="Y153" s="1324"/>
      <c r="Z153" s="1618"/>
      <c r="AA153" s="1324"/>
      <c r="AB153" s="814" t="s">
        <v>1107</v>
      </c>
      <c r="AC153" s="820" t="s">
        <v>1426</v>
      </c>
      <c r="AD153" s="821" t="s">
        <v>936</v>
      </c>
      <c r="AE153" s="809">
        <f>_xlfn.SUMIFS(Административные!AE$25:AE$103,Административные!$F$25:$F$103,$F153,Административные!$G$25:$G$103,$G153)</f>
        <v>0</v>
      </c>
      <c r="AF153" s="809">
        <f>_xlfn.SUMIFS(Административные!AF$25:AF$103,Административные!$F$25:$F$103,$F153,Административные!$G$25:$G$103,$G153)</f>
        <v>0</v>
      </c>
      <c r="AG153" s="809">
        <f>_xlfn.SUMIFS(Административные!AG$25:AG$103,Административные!$F$25:$F$103,$F153,Административные!$G$25:$G$103,$G153)</f>
        <v>0</v>
      </c>
      <c r="AH153" s="809">
        <f>AG153-AF153</f>
        <v>0</v>
      </c>
      <c r="AI153" s="809">
        <f>_xlfn.SUMIFS(Административные!AH$25:AH$103,Административные!$F$25:$F$103,$F153,Административные!$G$25:$G$103,$G153)</f>
        <v>0</v>
      </c>
      <c r="AJ153" s="809">
        <f>_xlfn.SUMIFS(Административные!AI$25:AI$103,Административные!$F$25:$F$103,$F153,Административные!$G$25:$G$103,$G153)</f>
        <v>0</v>
      </c>
      <c r="AK153" s="809">
        <f>_xlfn.SUMIFS(Административные!AJ$25:AJ$103,Административные!$F$25:$F$103,$F153,Административные!$G$25:$G$103,$G153)</f>
        <v>0</v>
      </c>
      <c r="AL153" s="809">
        <f>IF(AI153=0,0,(AK153-AI153)/AI153*100)</f>
        <v>0</v>
      </c>
      <c r="AM153" s="810"/>
      <c r="AN153" s="917" t="str">
        <f>IF(_xlfn.IFERROR(INDEX(Административные!$K$26:$L$103,MATCH($F153&amp;"4komm",Административные!$K$26:$K$103,0),2),"")=0,"",_xlfn.IFERROR(INDEX(Административные!$K$26:$L$103,MATCH($F153&amp;"4komm",Административные!$K$26:$K$103,0),2),""))</f>
        <v/>
      </c>
      <c r="AO153" s="810"/>
      <c r="AP153" s="1324"/>
      <c r="AQ153" s="1324"/>
      <c r="AR153" s="1070" t="s">
        <v>1427</v>
      </c>
      <c r="AS153" s="1070"/>
      <c r="AT153" s="1070"/>
      <c r="AU153" s="1067"/>
      <c r="AV153" s="1067"/>
    </row>
    <row s="1656" customFormat="1" customHeight="1" ht="14.25">
      <c r="A154" s="1324"/>
      <c r="B154" s="1324"/>
      <c r="C154" s="1324"/>
      <c r="D154" s="1324"/>
      <c r="E154" s="701">
        <v>15</v>
      </c>
      <c r="F154" s="50" cm="1" t="str">
        <f t="array" ref="F154:F154">OFFSET(E154,-1,1)</f>
        <v>1</v>
      </c>
      <c r="G154" s="582" t="s">
        <v>1428</v>
      </c>
      <c r="H154" s="1324"/>
      <c r="I154" s="592" t="s">
        <v>1410</v>
      </c>
      <c r="J154" s="592"/>
      <c r="K154" s="592"/>
      <c r="L154" s="592"/>
      <c r="M154" s="592"/>
      <c r="N154" s="592"/>
      <c r="O154" s="592"/>
      <c r="P154" s="592"/>
      <c r="Q154" s="592"/>
      <c r="R154" s="592"/>
      <c r="S154" s="592"/>
      <c r="T154" s="468" cm="1" t="str">
        <f t="array" ref="T154:T154">T153</f>
        <v>true</v>
      </c>
      <c r="U154" s="1324"/>
      <c r="V154" s="1324"/>
      <c r="W154" s="1324"/>
      <c r="X154" s="1617"/>
      <c r="Y154" s="1324"/>
      <c r="Z154" s="1618"/>
      <c r="AA154" s="1324"/>
      <c r="AB154" s="814" t="s">
        <v>1411</v>
      </c>
      <c r="AC154" s="820" t="s">
        <v>1429</v>
      </c>
      <c r="AD154" s="821" t="s">
        <v>936</v>
      </c>
      <c r="AE154" s="809">
        <f>_xlfn.SUMIFS(Административные!AE$25:AE$103,Административные!$F$25:$F$103,$F154,Административные!$G$25:$G$103,$G154)</f>
        <v>0</v>
      </c>
      <c r="AF154" s="809">
        <f>_xlfn.SUMIFS(Административные!AF$25:AF$103,Административные!$F$25:$F$103,$F154,Административные!$G$25:$G$103,$G154)</f>
        <v>0</v>
      </c>
      <c r="AG154" s="809">
        <f>_xlfn.SUMIFS(Административные!AG$25:AG$103,Административные!$F$25:$F$103,$F154,Административные!$G$25:$G$103,$G154)</f>
        <v>0</v>
      </c>
      <c r="AH154" s="809">
        <f>AG154-AF154</f>
        <v>0</v>
      </c>
      <c r="AI154" s="809">
        <f>_xlfn.SUMIFS(Административные!AH$25:AH$103,Административные!$F$25:$F$103,$F154,Административные!$G$25:$G$103,$G154)</f>
        <v>0</v>
      </c>
      <c r="AJ154" s="809">
        <f>_xlfn.SUMIFS(Административные!AI$25:AI$103,Административные!$F$25:$F$103,$F154,Административные!$G$25:$G$103,$G154)</f>
        <v>0</v>
      </c>
      <c r="AK154" s="809">
        <f>_xlfn.SUMIFS(Административные!AJ$25:AJ$103,Административные!$F$25:$F$103,$F154,Административные!$G$25:$G$103,$G154)</f>
        <v>0</v>
      </c>
      <c r="AL154" s="809">
        <f>IF(AI154=0,0,(AK154-AI154)/AI154*100)</f>
        <v>0</v>
      </c>
      <c r="AM154" s="810"/>
      <c r="AN154" s="917" t="str">
        <f>IF(_xlfn.IFERROR(INDEX(Административные!$K$26:$L$103,MATCH($F150&amp;"5komm",Административные!$K$26:$K$103,0),2),"")=0,"",_xlfn.IFERROR(INDEX(Административные!$K$26:$L$103,MATCH($F150&amp;"5komm",Административные!$K$26:$K$103,0),2),""))</f>
        <v/>
      </c>
      <c r="AO154" s="810"/>
      <c r="AP154" s="1324"/>
      <c r="AQ154" s="1324"/>
      <c r="AR154" s="1070" t="s">
        <v>2060</v>
      </c>
      <c r="AS154" s="1070"/>
      <c r="AT154" s="1070"/>
      <c r="AU154" s="1067"/>
      <c r="AV154" s="1067"/>
    </row>
    <row s="1656" customFormat="1" customHeight="1" ht="14.25">
      <c r="A155" s="1324"/>
      <c r="B155" s="1324"/>
      <c r="C155" s="1324"/>
      <c r="D155" s="1324"/>
      <c r="E155" s="701">
        <v>15</v>
      </c>
      <c r="F155" s="50" cm="1" t="str">
        <f t="array" ref="F155:F155">OFFSET(E155,-1,1)</f>
        <v>1</v>
      </c>
      <c r="G155" s="582" t="s">
        <v>1431</v>
      </c>
      <c r="H155" s="1324"/>
      <c r="I155" s="592" t="s">
        <v>1415</v>
      </c>
      <c r="J155" s="592"/>
      <c r="K155" s="592"/>
      <c r="L155" s="592"/>
      <c r="M155" s="592"/>
      <c r="N155" s="592"/>
      <c r="O155" s="592"/>
      <c r="P155" s="592"/>
      <c r="Q155" s="592"/>
      <c r="R155" s="592"/>
      <c r="S155" s="592"/>
      <c r="T155" s="468" cm="1" t="str">
        <f t="array" ref="T155:T155">T154</f>
        <v>true</v>
      </c>
      <c r="U155" s="1324"/>
      <c r="V155" s="1324"/>
      <c r="W155" s="1324"/>
      <c r="X155" s="1617"/>
      <c r="Y155" s="1324"/>
      <c r="Z155" s="1618"/>
      <c r="AA155" s="1324"/>
      <c r="AB155" s="814" t="s">
        <v>1416</v>
      </c>
      <c r="AC155" s="820" t="s">
        <v>2061</v>
      </c>
      <c r="AD155" s="821" t="s">
        <v>936</v>
      </c>
      <c r="AE155" s="809">
        <f>_xlfn.SUMIFS(Административные!AE$25:AE$103,Административные!$F$25:$F$103,$F155,Административные!$G$25:$G$103,$G155)</f>
        <v>0</v>
      </c>
      <c r="AF155" s="809">
        <f>_xlfn.SUMIFS(Административные!AF$25:AF$103,Административные!$F$25:$F$103,$F155,Административные!$G$25:$G$103,$G155)</f>
        <v>0</v>
      </c>
      <c r="AG155" s="809">
        <f>_xlfn.SUMIFS(Административные!AG$25:AG$103,Административные!$F$25:$F$103,$F155,Административные!$G$25:$G$103,$G155)</f>
        <v>0</v>
      </c>
      <c r="AH155" s="809">
        <f>AG155-AF155</f>
        <v>0</v>
      </c>
      <c r="AI155" s="809">
        <f>_xlfn.SUMIFS(Административные!AH$25:AH$103,Административные!$F$25:$F$103,$F155,Административные!$G$25:$G$103,$G155)</f>
        <v>0</v>
      </c>
      <c r="AJ155" s="809">
        <f>_xlfn.SUMIFS(Административные!AI$25:AI$103,Административные!$F$25:$F$103,$F155,Административные!$G$25:$G$103,$G155)</f>
        <v>0</v>
      </c>
      <c r="AK155" s="809">
        <f>_xlfn.SUMIFS(Административные!AJ$25:AJ$103,Административные!$F$25:$F$103,$F155,Административные!$G$25:$G$103,$G155)</f>
        <v>0</v>
      </c>
      <c r="AL155" s="809">
        <f>IF(AI155=0,0,(AK155-AI155)/AI155*100)</f>
        <v>0</v>
      </c>
      <c r="AM155" s="810"/>
      <c r="AN155" s="917" t="str">
        <f>IF(_xlfn.IFERROR(INDEX(Административные!$K$26:$L$103,MATCH($F155&amp;"6komm",Административные!$K$26:$K$103,0),2),"")=0,"",_xlfn.IFERROR(INDEX(Административные!$K$26:$L$103,MATCH($F150&amp;"6komm",Административные!$K$26:$K$103,0),2),""))</f>
        <v/>
      </c>
      <c r="AO155" s="810"/>
      <c r="AP155" s="1324"/>
      <c r="AQ155" s="1324"/>
      <c r="AR155" s="1070" t="s">
        <v>2062</v>
      </c>
      <c r="AS155" s="1070"/>
      <c r="AT155" s="1070"/>
      <c r="AU155" s="1067"/>
      <c r="AV155" s="1067"/>
    </row>
    <row s="1656" customFormat="1" customHeight="1" ht="14.25">
      <c r="A156" s="1324"/>
      <c r="B156" s="1324"/>
      <c r="C156" s="1324"/>
      <c r="D156" s="1324"/>
      <c r="E156" s="701">
        <v>15</v>
      </c>
      <c r="F156" s="50" cm="1" t="str">
        <f t="array" ref="F156:F156">OFFSET(E156,-1,1)</f>
        <v>1</v>
      </c>
      <c r="G156" s="582" t="s">
        <v>1433</v>
      </c>
      <c r="H156" s="1324"/>
      <c r="I156" s="592" t="s">
        <v>2063</v>
      </c>
      <c r="J156" s="592"/>
      <c r="K156" s="592"/>
      <c r="L156" s="592"/>
      <c r="M156" s="592"/>
      <c r="N156" s="592"/>
      <c r="O156" s="592"/>
      <c r="P156" s="592"/>
      <c r="Q156" s="592"/>
      <c r="R156" s="592"/>
      <c r="S156" s="592"/>
      <c r="T156" s="468" cm="1" t="str">
        <f t="array" ref="T156:T156">T155</f>
        <v>true</v>
      </c>
      <c r="U156" s="1324"/>
      <c r="V156" s="1324"/>
      <c r="W156" s="1324"/>
      <c r="X156" s="1617"/>
      <c r="Y156" s="1324"/>
      <c r="Z156" s="1618"/>
      <c r="AA156" s="1324"/>
      <c r="AB156" s="814" t="s">
        <v>2064</v>
      </c>
      <c r="AC156" s="815" t="s">
        <v>2065</v>
      </c>
      <c r="AD156" s="821" t="s">
        <v>936</v>
      </c>
      <c r="AE156" s="809">
        <f>_xlfn.SUMIFS(Административные!AE$25:AE$103,Административные!$F$25:$F$103,$F156,Административные!$G$25:$G$103,$G156)</f>
        <v>0</v>
      </c>
      <c r="AF156" s="809">
        <f>_xlfn.SUMIFS(Административные!AF$25:AF$103,Административные!$F$25:$F$103,$F156,Административные!$G$25:$G$103,$G156)</f>
        <v>0</v>
      </c>
      <c r="AG156" s="809">
        <f>_xlfn.SUMIFS(Административные!AG$25:AG$103,Административные!$F$25:$F$103,$F156,Административные!$G$25:$G$103,$G156)</f>
        <v>0</v>
      </c>
      <c r="AH156" s="809">
        <f>AG156-AF156</f>
        <v>0</v>
      </c>
      <c r="AI156" s="809">
        <f>_xlfn.SUMIFS(Административные!AH$25:AH$103,Административные!$F$25:$F$103,$F156,Административные!$G$25:$G$103,$G156)</f>
        <v>0</v>
      </c>
      <c r="AJ156" s="809">
        <f>_xlfn.SUMIFS(Административные!AI$25:AI$103,Административные!$F$25:$F$103,$F156,Административные!$G$25:$G$103,$G156)</f>
        <v>0</v>
      </c>
      <c r="AK156" s="809">
        <f>_xlfn.SUMIFS(Административные!AJ$25:AJ$103,Административные!$F$25:$F$103,$F156,Административные!$G$25:$G$103,$G156)</f>
        <v>0</v>
      </c>
      <c r="AL156" s="809">
        <f>IF(AI156=0,0,(AK156-AI156)/AI156*100)</f>
        <v>0</v>
      </c>
      <c r="AM156" s="810"/>
      <c r="AN156" s="917" t="str">
        <f>IF(_xlfn.IFERROR(INDEX(Административные!$K$26:$L$103,MATCH($F156&amp;"7komm",Административные!$K$26:$K$103,0),2),"")=0,"",_xlfn.IFERROR(INDEX(Административные!$K$26:$L$103,MATCH($F151&amp;"7komm",Административные!$K$26:$K$103,0),2),""))</f>
        <v/>
      </c>
      <c r="AO156" s="810"/>
      <c r="AP156" s="1324"/>
      <c r="AQ156" s="1324"/>
      <c r="AR156" s="1070" t="s">
        <v>2066</v>
      </c>
      <c r="AS156" s="1070"/>
      <c r="AT156" s="1070"/>
      <c r="AU156" s="1067"/>
      <c r="AV156" s="1067"/>
    </row>
    <row s="1656" customFormat="1" customHeight="1" ht="43.5">
      <c r="A157" s="1324"/>
      <c r="B157" s="1324"/>
      <c r="C157" s="1324"/>
      <c r="D157" s="1324"/>
      <c r="E157" s="701">
        <v>45</v>
      </c>
      <c r="F157" s="50" cm="1" t="str">
        <f t="array" ref="F157:F157">OFFSET(E157,-1,1)</f>
        <v>1</v>
      </c>
      <c r="G157" s="582" t="s">
        <v>1436</v>
      </c>
      <c r="H157" s="1324"/>
      <c r="I157" s="592" t="s">
        <v>2067</v>
      </c>
      <c r="J157" s="592"/>
      <c r="K157" s="592"/>
      <c r="L157" s="592"/>
      <c r="M157" s="592"/>
      <c r="N157" s="592"/>
      <c r="O157" s="592"/>
      <c r="P157" s="592"/>
      <c r="Q157" s="592"/>
      <c r="R157" s="592"/>
      <c r="S157" s="592"/>
      <c r="T157" s="468" cm="1" t="str">
        <f t="array" ref="T157:T157">T156</f>
        <v>true</v>
      </c>
      <c r="U157" s="1324"/>
      <c r="V157" s="1324"/>
      <c r="W157" s="1324"/>
      <c r="X157" s="1617"/>
      <c r="Y157" s="1324"/>
      <c r="Z157" s="1618"/>
      <c r="AA157" s="1324"/>
      <c r="AB157" s="814" t="s">
        <v>2068</v>
      </c>
      <c r="AC157" s="769" t="s">
        <v>1437</v>
      </c>
      <c r="AD157" s="821" t="s">
        <v>936</v>
      </c>
      <c r="AE157" s="809">
        <f>_xlfn.SUMIFS(Административные!AE$25:AE$103,Административные!$F$25:$F$103,$F157,Административные!$G$25:$G$103,$G157)</f>
        <v>0</v>
      </c>
      <c r="AF157" s="809">
        <f>_xlfn.SUMIFS(Административные!AF$25:AF$103,Административные!$F$25:$F$103,$F157,Административные!$G$25:$G$103,$G157)</f>
        <v>0</v>
      </c>
      <c r="AG157" s="809">
        <f>_xlfn.SUMIFS(Административные!AG$25:AG$103,Административные!$F$25:$F$103,$F157,Административные!$G$25:$G$103,$G157)</f>
        <v>0</v>
      </c>
      <c r="AH157" s="809">
        <f>AG157-AF157</f>
        <v>0</v>
      </c>
      <c r="AI157" s="809">
        <f>_xlfn.SUMIFS(Административные!AH$25:AH$103,Административные!$F$25:$F$103,$F157,Административные!$G$25:$G$103,$G157)</f>
        <v>0</v>
      </c>
      <c r="AJ157" s="809">
        <f>_xlfn.SUMIFS(Административные!AI$25:AI$103,Административные!$F$25:$F$103,$F157,Административные!$G$25:$G$103,$G157)</f>
        <v>0</v>
      </c>
      <c r="AK157" s="809">
        <f>_xlfn.SUMIFS(Административные!AJ$25:AJ$103,Административные!$F$25:$F$103,$F157,Административные!$G$25:$G$103,$G157)</f>
        <v>0</v>
      </c>
      <c r="AL157" s="809">
        <f>IF(AI157=0,0,(AK157-AI157)/AI157*100)</f>
        <v>0</v>
      </c>
      <c r="AM157" s="810"/>
      <c r="AN157" s="917" t="str">
        <f>IF(_xlfn.IFERROR(INDEX(Административные!$K$26:$L$103,MATCH($F157&amp;"8komm",Административные!$K$26:$K$103,0),2),"")=0,"",_xlfn.IFERROR(INDEX(Административные!$K$26:$L$103,MATCH($F152&amp;"8komm",Административные!$K$26:$K$103,0),2),""))</f>
        <v/>
      </c>
      <c r="AO157" s="810"/>
      <c r="AP157" s="1324"/>
      <c r="AQ157" s="1324"/>
      <c r="AR157" s="1070" t="s">
        <v>2069</v>
      </c>
      <c r="AS157" s="1070"/>
      <c r="AT157" s="1070"/>
      <c r="AU157" s="1067"/>
      <c r="AV157" s="1067"/>
    </row>
    <row s="1656" customFormat="1" customHeight="1" ht="14.25">
      <c r="A158" s="1324"/>
      <c r="B158" s="1324"/>
      <c r="C158" s="1324"/>
      <c r="D158" s="1324"/>
      <c r="E158" s="701">
        <v>15</v>
      </c>
      <c r="F158" s="50" cm="1" t="str">
        <f t="array" ref="F158:F158">OFFSET(E158,-1,1)</f>
        <v>1</v>
      </c>
      <c r="G158" s="582" t="s">
        <v>1439</v>
      </c>
      <c r="H158" s="1324"/>
      <c r="I158" s="592" t="s">
        <v>2070</v>
      </c>
      <c r="J158" s="592"/>
      <c r="K158" s="592"/>
      <c r="L158" s="592"/>
      <c r="M158" s="592"/>
      <c r="N158" s="592"/>
      <c r="O158" s="592"/>
      <c r="P158" s="592"/>
      <c r="Q158" s="592"/>
      <c r="R158" s="592"/>
      <c r="S158" s="592"/>
      <c r="T158" s="468" cm="1" t="str">
        <f t="array" ref="T158:T158">T157</f>
        <v>true</v>
      </c>
      <c r="U158" s="1324"/>
      <c r="V158" s="1324"/>
      <c r="W158" s="1324"/>
      <c r="X158" s="1617"/>
      <c r="Y158" s="1324"/>
      <c r="Z158" s="1618"/>
      <c r="AA158" s="1324"/>
      <c r="AB158" s="814" t="s">
        <v>2071</v>
      </c>
      <c r="AC158" s="815" t="s">
        <v>1440</v>
      </c>
      <c r="AD158" s="821" t="s">
        <v>936</v>
      </c>
      <c r="AE158" s="809">
        <f>_xlfn.SUMIFS(Административные!AE$25:AE$103,Административные!$F$25:$F$103,$F158,Административные!$G$25:$G$103,$G158)</f>
        <v>0</v>
      </c>
      <c r="AF158" s="809">
        <f>_xlfn.SUMIFS(Административные!AF$25:AF$103,Административные!$F$25:$F$103,$F158,Административные!$G$25:$G$103,$G158)</f>
        <v>0</v>
      </c>
      <c r="AG158" s="809">
        <f>_xlfn.SUMIFS(Административные!AG$25:AG$103,Административные!$F$25:$F$103,$F158,Административные!$G$25:$G$103,$G158)</f>
        <v>0</v>
      </c>
      <c r="AH158" s="809">
        <f>AG158-AF158</f>
        <v>0</v>
      </c>
      <c r="AI158" s="809">
        <f>_xlfn.SUMIFS(Административные!AH$25:AH$103,Административные!$F$25:$F$103,$F158,Административные!$G$25:$G$103,$G158)</f>
        <v>0</v>
      </c>
      <c r="AJ158" s="1125">
        <f>_xlfn.SUMIFS(Административные!AI$25:AI$103,Административные!$F$25:$F$103,$F158,Административные!$G$25:$G$103,$G158)</f>
        <v>0</v>
      </c>
      <c r="AK158" s="1125">
        <f>_xlfn.SUMIFS(Административные!AJ$25:AJ$103,Административные!$F$25:$F$103,$F158,Административные!$G$25:$G$103,$G158)</f>
        <v>0</v>
      </c>
      <c r="AL158" s="809">
        <f>IF(AI158=0,0,(AK158-AI158)/AI158*100)</f>
        <v>0</v>
      </c>
      <c r="AM158" s="810"/>
      <c r="AN158" s="917" t="str">
        <f>IF(_xlfn.IFERROR(INDEX(Административные!$K$26:$L$103,MATCH($F158&amp;"9komm",Административные!$K$26:$K$103,0),2),"")=0,"",_xlfn.IFERROR(INDEX(Административные!$K$26:$L$103,MATCH($F153&amp;"9komm",Административные!$K$26:$K$103,0),2),""))</f>
        <v/>
      </c>
      <c r="AO158" s="810"/>
      <c r="AP158" s="1324"/>
      <c r="AQ158" s="1324"/>
      <c r="AR158" s="1070" t="s">
        <v>2072</v>
      </c>
      <c r="AS158" s="1070"/>
      <c r="AT158" s="1070"/>
      <c r="AU158" s="1067"/>
      <c r="AV158" s="1067"/>
    </row>
    <row s="6124" customFormat="1" customHeight="1" ht="14.25">
      <c r="A159" s="593"/>
      <c r="B159" s="593">
        <f>STATUS_GO="да"</f>
        <v>0</v>
      </c>
      <c r="C159" s="593"/>
      <c r="D159" s="593"/>
      <c r="E159" s="703">
        <v>15</v>
      </c>
      <c r="F159" s="50" cm="1" t="str">
        <f t="array" ref="F159:F159">OFFSET(E159,-1,1)</f>
        <v>1</v>
      </c>
      <c r="G159" s="593"/>
      <c r="H159" s="593"/>
      <c r="I159" s="704" t="s">
        <v>348</v>
      </c>
      <c r="J159" s="704"/>
      <c r="K159" s="704"/>
      <c r="L159" s="704"/>
      <c r="M159" s="704"/>
      <c r="N159" s="704"/>
      <c r="O159" s="704"/>
      <c r="P159" s="704"/>
      <c r="Q159" s="704"/>
      <c r="R159" s="704"/>
      <c r="S159" s="704"/>
      <c r="T159" s="468" cm="1" t="str">
        <f t="array" ref="T159:T159">T158</f>
        <v>true</v>
      </c>
      <c r="U159" s="593"/>
      <c r="V159" s="593"/>
      <c r="W159" s="593"/>
      <c r="X159" s="1617"/>
      <c r="Y159" s="593"/>
      <c r="Z159" s="1618"/>
      <c r="AA159" s="593"/>
      <c r="AB159" s="811" t="s">
        <v>451</v>
      </c>
      <c r="AC159" s="807" t="s">
        <v>2073</v>
      </c>
      <c r="AD159" s="819" t="s">
        <v>936</v>
      </c>
      <c r="AE159" s="808">
        <f>_xlfn.SUMIFS('Сбытовые расходы ГО'!AE$25:AE$75,'Сбытовые расходы ГО'!$F$25:$F$75,$F159,'Сбытовые расходы ГО'!$G$25:$G$75,"l0")</f>
        <v>0</v>
      </c>
      <c r="AF159" s="808">
        <f>_xlfn.SUMIFS('Сбытовые расходы ГО'!AF$25:AF$75,'Сбытовые расходы ГО'!$F$25:$F$75,$F159,'Сбытовые расходы ГО'!$G$25:$G$75,"l0")</f>
        <v>0</v>
      </c>
      <c r="AG159" s="808">
        <f>_xlfn.SUMIFS('Сбытовые расходы ГО'!AG$25:AG$75,'Сбытовые расходы ГО'!$F$25:$F$75,$F159,'Сбытовые расходы ГО'!$G$25:$G$75,"l0")</f>
        <v>0</v>
      </c>
      <c r="AH159" s="808">
        <f>AG159-AF159</f>
        <v>0</v>
      </c>
      <c r="AI159" s="808">
        <f>_xlfn.SUMIFS('Сбытовые расходы ГО'!AH$25:AH$75,'Сбытовые расходы ГО'!$F$25:$F$75,$F159,'Сбытовые расходы ГО'!$G$25:$G$75,"l0")</f>
        <v>0</v>
      </c>
      <c r="AJ159" s="808">
        <f>_xlfn.SUMIFS('Сбытовые расходы ГО'!AI$25:AI$75,'Сбытовые расходы ГО'!$F$25:$F$75,$F159,'Сбытовые расходы ГО'!$G$25:$G$75,"l0")</f>
        <v>0</v>
      </c>
      <c r="AK159" s="808">
        <f>_xlfn.SUMIFS('Сбытовые расходы ГО'!AJ$25:AJ$75,'Сбытовые расходы ГО'!$F$25:$F$75,$F159,'Сбытовые расходы ГО'!$G$25:$G$75,"l0")</f>
        <v>0</v>
      </c>
      <c r="AL159" s="808">
        <f>IF(AI159=0,0,(AK159-AI159)/AI159*100)</f>
        <v>0</v>
      </c>
      <c r="AM159" s="813"/>
      <c r="AN159" s="917"/>
      <c r="AO159" s="813"/>
      <c r="AP159" s="593"/>
      <c r="AQ159" s="593"/>
      <c r="AR159" s="1071" t="s">
        <v>2074</v>
      </c>
      <c r="AS159" s="1071"/>
      <c r="AT159" s="1071"/>
      <c r="AU159" s="703"/>
      <c r="AV159" s="703"/>
    </row>
    <row s="6125" customFormat="1" customHeight="1" ht="14.25">
      <c r="A160" s="593"/>
      <c r="B160" s="593"/>
      <c r="C160" s="593"/>
      <c r="D160" s="593"/>
      <c r="E160" s="703">
        <v>15</v>
      </c>
      <c r="F160" s="50" cm="1" t="str">
        <f t="array" ref="F160:F160">OFFSET(E160,-1,1)</f>
        <v>1</v>
      </c>
      <c r="G160" s="593"/>
      <c r="H160" s="593"/>
      <c r="I160" s="704" t="s">
        <v>347</v>
      </c>
      <c r="J160" s="704"/>
      <c r="K160" s="704"/>
      <c r="L160" s="704"/>
      <c r="M160" s="704"/>
      <c r="N160" s="704"/>
      <c r="O160" s="704"/>
      <c r="P160" s="704"/>
      <c r="Q160" s="704"/>
      <c r="R160" s="704"/>
      <c r="S160" s="704"/>
      <c r="T160" s="468" cm="1" t="str">
        <f t="array" ref="T160:T160">T159</f>
        <v>true</v>
      </c>
      <c r="U160" s="593"/>
      <c r="V160" s="593"/>
      <c r="W160" s="593"/>
      <c r="X160" s="1617"/>
      <c r="Y160" s="593"/>
      <c r="Z160" s="1618"/>
      <c r="AA160" s="593"/>
      <c r="AB160" s="811" t="s">
        <v>454</v>
      </c>
      <c r="AC160" s="594" t="s">
        <v>2075</v>
      </c>
      <c r="AD160" s="819" t="s">
        <v>936</v>
      </c>
      <c r="AE160" s="808">
        <f>_xlfn.SUMIFS(Амортизация!AE$25:AE$223,Амортизация!$F$25:$F$223,$F160,Амортизация!$AC$25:$AC$223,"Сумма амортизационных отчислений")</f>
        <v>3868.42</v>
      </c>
      <c r="AF160" s="808">
        <f>_xlfn.SUMIFS(Амортизация!AF$25:AF$223,Амортизация!$F$25:$F$223,$F160,Амортизация!$AC$25:$AC$223,"Сумма амортизационных отчислений")</f>
        <v>3645.56142</v>
      </c>
      <c r="AG160" s="808">
        <f>_xlfn.SUMIFS(Амортизация!AG$25:AG$223,Амортизация!$F$25:$F$223,$F160,Амортизация!$AC$25:$AC$223,"Сумма амортизационных отчислений")</f>
        <v>3947.46702</v>
      </c>
      <c r="AH160" s="808">
        <f>AG160-AF160</f>
        <v>301.9056</v>
      </c>
      <c r="AI160" s="808">
        <f>_xlfn.SUMIFS(Амортизация!AH$25:AH$223,Амортизация!$F$25:$F$223,$F160,Амортизация!$AC$25:$AC$223,"Сумма амортизационных отчислений")</f>
        <v>5849.5</v>
      </c>
      <c r="AJ160" s="808">
        <f>_xlfn.SUMIFS(Амортизация!AI$25:AI$223,Амортизация!$F$25:$F$223,$F160,Амортизация!$AC$25:$AC$223,"Сумма амортизационных отчислений")</f>
        <v>9730.74</v>
      </c>
      <c r="AK160" s="808">
        <f>_xlfn.SUMIFS(Амортизация!AS$25:AS$223,Амортизация!$F$25:$F$223,$F160,Амортизация!$AC$25:$AC$223,"Сумма амортизационных отчислений")</f>
        <v>9730.74</v>
      </c>
      <c r="AL160" s="808">
        <f>IF(AI160=0,0,(AK160-AI160)/AI160*100)</f>
        <v>66.3516539875203</v>
      </c>
      <c r="AM160" s="813"/>
      <c r="AN160" s="917" t="str">
        <f>IF(_xlfn.IFERROR(INDEX(Амортизация!$K$26:$L$223,MATCH($F160&amp;"komm",Амортизация!$K$26:$K$626,0),2),"")=0,"",_xlfn.IFERROR(INDEX(Амортизация!$K$26:$L$223,MATCH($F160&amp;"komm",Амортизация!$K$26:$K$626,0),2),""))</f>
        <v/>
      </c>
      <c r="AO160" s="813"/>
      <c r="AP160" s="593"/>
      <c r="AQ160" s="593"/>
      <c r="AR160" s="1071" t="s">
        <v>1435</v>
      </c>
      <c r="AS160" s="1071"/>
      <c r="AT160" s="1071"/>
      <c r="AU160" s="703"/>
      <c r="AV160" s="703"/>
    </row>
    <row s="1656" customFormat="1" customHeight="1" ht="14.25">
      <c r="A161" s="1324"/>
      <c r="B161" s="1324"/>
      <c r="C161" s="1324"/>
      <c r="D161" s="1324"/>
      <c r="E161" s="701">
        <v>15</v>
      </c>
      <c r="F161" s="50" cm="1" t="str">
        <f t="array" ref="F161:F161">OFFSET(E161,-1,1)</f>
        <v>1</v>
      </c>
      <c r="G161" s="1324"/>
      <c r="H161" s="1324"/>
      <c r="I161" s="592" t="s">
        <v>673</v>
      </c>
      <c r="J161" s="592"/>
      <c r="K161" s="592"/>
      <c r="L161" s="592"/>
      <c r="M161" s="592"/>
      <c r="N161" s="592"/>
      <c r="O161" s="592"/>
      <c r="P161" s="592"/>
      <c r="Q161" s="592"/>
      <c r="R161" s="592"/>
      <c r="S161" s="592"/>
      <c r="T161" s="468" cm="1" t="str">
        <f t="array" ref="T161:T161">T160</f>
        <v>true</v>
      </c>
      <c r="U161" s="1324"/>
      <c r="V161" s="1324"/>
      <c r="W161" s="1324"/>
      <c r="X161" s="1617"/>
      <c r="Y161" s="1324"/>
      <c r="Z161" s="1618"/>
      <c r="AA161" s="1324"/>
      <c r="AB161" s="814" t="s">
        <v>801</v>
      </c>
      <c r="AC161" s="820" t="s">
        <v>2076</v>
      </c>
      <c r="AD161" s="821" t="s">
        <v>936</v>
      </c>
      <c r="AE161" s="816">
        <f>_xlfn.SUMIFS('ИП + источники'!AF$27:AF$174,'ИП + источники'!$F$27:$F$174,$F161,'ИП + источники'!$AC$27:$AC$174,"Амортизационные отчисления")+_xlfn.SUMIFS('ИП + источники'!AF$27:AF$174,'ИП + источники'!$F$27:$F$174,$F161,'ИП + источники'!$AC$27:$AC$174,"погашение займов и кредитов из амортизации")</f>
        <v>3780.74</v>
      </c>
      <c r="AF161" s="816">
        <f>_xlfn.SUMIFS('ИП + источники'!AG$27:AG$174,'ИП + источники'!$F$27:$F$174,$F161,'ИП + источники'!$AC$27:$AC$174,"Амортизационные отчисления")+_xlfn.SUMIFS('ИП + источники'!AG$27:AG$174,'ИП + источники'!$F$27:$F$174,$F161,'ИП + источники'!$AC$27:$AC$174,"погашение займов и кредитов из амортизации")</f>
        <v>3478.84</v>
      </c>
      <c r="AG161" s="816">
        <f>_xlfn.SUMIFS('ИП + источники'!AH$27:AH$174,'ИП + источники'!$F$27:$F$174,$F161,'ИП + источники'!$AC$27:$AC$174,"Амортизационные отчисления")+_xlfn.SUMIFS('ИП + источники'!AH$27:AH$174,'ИП + источники'!$F$27:$F$174,$F161,'ИП + источники'!$AC$27:$AC$174,"погашение займов и кредитов из амортизации")</f>
        <v>3780.74</v>
      </c>
      <c r="AH161" s="809">
        <f>AG161-AF161</f>
        <v>301.9</v>
      </c>
      <c r="AI161" s="816">
        <f>_xlfn.SUMIFS('ИП + источники'!AH$27:AH$174,'ИП + источники'!$F$27:$F$174,$F161,'ИП + источники'!$AC$27:$AC$174,"Амортизационные отчисления")+_xlfn.SUMIFS('ИП + источники'!AH$27:AH$174,'ИП + источники'!$F$27:$F$174,$F161,'ИП + источники'!$AC$27:$AC$174,"погашение займов и кредитов из амортизации")</f>
        <v>3780.74</v>
      </c>
      <c r="AJ161" s="816">
        <f>_xlfn.SUMIFS('ИП + источники'!AI$27:AI$174,'ИП + источники'!$F$27:$F$174,$F161,'ИП + источники'!$AC$27:$AC$174,"Амортизационные отчисления")+_xlfn.SUMIFS('ИП + источники'!AI$27:AI$174,'ИП + источники'!$F$27:$F$174,$F161,'ИП + источники'!$AC$27:$AC$174,"погашение займов и кредитов из амортизации")</f>
        <v>5733.09</v>
      </c>
      <c r="AK161" s="816">
        <f>_xlfn.SUMIFS('ИП + источники'!AJ$27:AJ$174,'ИП + источники'!$F$27:$F$174,$F161,'ИП + источники'!$AC$27:$AC$174,"Амортизационные отчисления")+_xlfn.SUMIFS('ИП + источники'!AJ$27:AJ$174,'ИП + источники'!$F$27:$F$174,$F161,'ИП + источники'!$AC$27:$AC$174,"погашение займов и кредитов из амортизации")</f>
        <v>5733.09</v>
      </c>
      <c r="AL161" s="809">
        <f>IF(AI161=0,0,(AK161-AI161)/AI161*100)</f>
        <v>51.639361606458</v>
      </c>
      <c r="AM161" s="810"/>
      <c r="AN161" s="810"/>
      <c r="AO161" s="810"/>
      <c r="AP161" s="1324"/>
      <c r="AQ161" s="1324"/>
      <c r="AR161" s="1070" t="s">
        <v>2077</v>
      </c>
      <c r="AS161" s="1070"/>
      <c r="AT161" s="1070"/>
      <c r="AU161" s="1067"/>
      <c r="AV161" s="1067"/>
    </row>
    <row s="6126" customFormat="1" customHeight="1" ht="21.75">
      <c r="A162" s="593"/>
      <c r="B162" s="593"/>
      <c r="C162" s="593"/>
      <c r="D162" s="593"/>
      <c r="E162" s="703">
        <v>22.5</v>
      </c>
      <c r="F162" s="50" cm="1" t="str">
        <f t="array" ref="F162:F162">OFFSET(E162,-1,1)</f>
        <v>1</v>
      </c>
      <c r="G162" s="593"/>
      <c r="H162" s="593"/>
      <c r="I162" s="704" t="s">
        <v>616</v>
      </c>
      <c r="J162" s="704"/>
      <c r="K162" s="704"/>
      <c r="L162" s="704"/>
      <c r="M162" s="704"/>
      <c r="N162" s="704"/>
      <c r="O162" s="704"/>
      <c r="P162" s="704"/>
      <c r="Q162" s="704"/>
      <c r="R162" s="704"/>
      <c r="S162" s="704"/>
      <c r="T162" s="468" cm="1" t="str">
        <f t="array" ref="T162:T162">T161</f>
        <v>true</v>
      </c>
      <c r="U162" s="593"/>
      <c r="V162" s="593"/>
      <c r="W162" s="593"/>
      <c r="X162" s="1617"/>
      <c r="Y162" s="593"/>
      <c r="Z162" s="1618"/>
      <c r="AA162" s="593"/>
      <c r="AB162" s="811" t="s">
        <v>457</v>
      </c>
      <c r="AC162" s="594" t="s">
        <v>2078</v>
      </c>
      <c r="AD162" s="819" t="s">
        <v>936</v>
      </c>
      <c r="AE162" s="808">
        <f>_xlfn.SUMIFS(Аренда!AE$25:AE$67,Аренда!$F$25:$F$67,$F162,Аренда!$G$25:$G$67,"Арендная и концессионная плата, лизинговые платежи")</f>
        <v>787.58</v>
      </c>
      <c r="AF162" s="808">
        <f>_xlfn.SUMIFS(Аренда!AF$25:AF$67,Аренда!$F$25:$F$67,$F162,Аренда!$G$25:$G$67,"Арендная и концессионная плата, лизинговые платежи")</f>
        <v>729.95</v>
      </c>
      <c r="AG162" s="808">
        <f>_xlfn.SUMIFS(Аренда!AG$25:AG$67,Аренда!$F$25:$F$67,$F162,Аренда!$G$25:$G$67,"Арендная и концессионная плата, лизинговые платежи")</f>
        <v>729.95</v>
      </c>
      <c r="AH162" s="808">
        <f>AG162-AF162</f>
        <v>0</v>
      </c>
      <c r="AI162" s="808">
        <f>_xlfn.SUMIFS(Аренда!AH$25:AH$67,Аренда!$F$25:$F$67,$F162,Аренда!$G$25:$G$67,"Арендная и концессионная плата, лизинговые платежи")</f>
        <v>729.96</v>
      </c>
      <c r="AJ162" s="808">
        <f>_xlfn.SUMIFS(Аренда!AI$25:AI$67,Аренда!$F$25:$F$67,$F162,Аренда!$G$25:$G$67,"Арендная и концессионная плата, лизинговые платежи")</f>
        <v>4433.04</v>
      </c>
      <c r="AK162" s="808">
        <f>_xlfn.SUMIFS(Аренда!AS$25:AS$67,Аренда!$F$25:$F$67,$F162,Аренда!$G$25:$G$67,"Арендная и концессионная плата, лизинговые платежи")</f>
        <v>2149.2</v>
      </c>
      <c r="AL162" s="808">
        <f>IF(AI162=0,0,(AK162-AI162)/AI162*100)</f>
        <v>194.427091895446</v>
      </c>
      <c r="AM162" s="813"/>
      <c r="AN162" s="917" t="str">
        <f>IF(_xlfn.IFERROR(INDEX(Аренда!$K$26:$L$67,MATCH($F162&amp;"komm",Аренда!$K$26:$K$67,0),2),"")=0,"",_xlfn.IFERROR(INDEX(Аренда!$K$26:$L$67,MATCH($F162&amp;"komm",Аренда!$K$26:$K$67,0),2),""))</f>
        <v>П. 29 "Методических указаний…" ФСТ России (приказ от 27.12.2013 № 1746-э).</v>
      </c>
      <c r="AO162" s="813"/>
      <c r="AP162" s="593"/>
      <c r="AQ162" s="593"/>
      <c r="AR162" s="1071" t="s">
        <v>2079</v>
      </c>
      <c r="AS162" s="1071"/>
      <c r="AT162" s="1071"/>
      <c r="AU162" s="703"/>
      <c r="AV162" s="703"/>
    </row>
    <row s="6127" customFormat="1" customHeight="1" ht="14.25">
      <c r="A163" s="593"/>
      <c r="B163" s="593"/>
      <c r="C163" s="593"/>
      <c r="D163" s="593"/>
      <c r="E163" s="703">
        <v>15</v>
      </c>
      <c r="F163" s="50" cm="1" t="str">
        <f t="array" ref="F163:F163">OFFSET(E163,-1,1)</f>
        <v>1</v>
      </c>
      <c r="G163" s="593"/>
      <c r="H163" s="593"/>
      <c r="I163" s="704" t="s">
        <v>619</v>
      </c>
      <c r="J163" s="704"/>
      <c r="K163" s="704"/>
      <c r="L163" s="704"/>
      <c r="M163" s="704"/>
      <c r="N163" s="704"/>
      <c r="O163" s="704"/>
      <c r="P163" s="704"/>
      <c r="Q163" s="704"/>
      <c r="R163" s="704"/>
      <c r="S163" s="704"/>
      <c r="T163" s="468" cm="1" t="str">
        <f t="array" ref="T163:T163">T162</f>
        <v>true</v>
      </c>
      <c r="U163" s="593"/>
      <c r="V163" s="593"/>
      <c r="W163" s="593"/>
      <c r="X163" s="1617"/>
      <c r="Y163" s="593"/>
      <c r="Z163" s="1618"/>
      <c r="AA163" s="593"/>
      <c r="AB163" s="811" t="s">
        <v>460</v>
      </c>
      <c r="AC163" s="594" t="s">
        <v>2080</v>
      </c>
      <c r="AD163" s="819" t="s">
        <v>936</v>
      </c>
      <c r="AE163" s="808">
        <f>_xlfn.SUMIFS(Налоги!AE$25:AE$83,Налоги!$F$25:$F$83,$F163,Налоги!$AC$25:$AC$83,"Налоги и платежи, относимые на указанный вид деятельности")</f>
        <v>29118.3034715</v>
      </c>
      <c r="AF163" s="808">
        <f>_xlfn.SUMIFS(Налоги!AF$25:AF$83,Налоги!$F$25:$F$83,$F163,Налоги!$AC$25:$AC$83,"Налоги и платежи, относимые на указанный вид деятельности")</f>
        <v>25973.68884</v>
      </c>
      <c r="AG163" s="808">
        <f>_xlfn.SUMIFS(Налоги!AG$25:AG$83,Налоги!$F$25:$F$83,$F163,Налоги!$AC$25:$AC$83,"Налоги и платежи, относимые на указанный вид деятельности")</f>
        <v>25973.68884</v>
      </c>
      <c r="AH163" s="808">
        <f>AG163-AF163</f>
        <v>0</v>
      </c>
      <c r="AI163" s="808">
        <f>_xlfn.SUMIFS(Налоги!AH$25:AH$83,Налоги!$F$25:$F$83,$F163,Налоги!$AC$25:$AC$83,"Налоги и платежи, относимые на указанный вид деятельности")</f>
        <v>29560.6552008</v>
      </c>
      <c r="AJ163" s="808">
        <f>_xlfn.SUMIFS(Налоги!AI$25:AI$83,Налоги!$F$25:$F$83,$F163,Налоги!$AC$25:$AC$83,"Налоги и платежи, относимые на указанный вид деятельности")</f>
        <v>30903.74</v>
      </c>
      <c r="AK163" s="808">
        <f>_xlfn.SUMIFS(Налоги!AS$25:AS$83,Налоги!$F$25:$F$83,$F163,Налоги!$AC$25:$AC$83,"Налоги и платежи, относимые на указанный вид деятельности")</f>
        <v>32540.26</v>
      </c>
      <c r="AL163" s="808">
        <f>IF(AI163=0,0,(AK163-AI163)/AI163*100)</f>
        <v>10.0796304376885</v>
      </c>
      <c r="AM163" s="813"/>
      <c r="AN163" s="917" t="str">
        <f>IF(_xlfn.IFERROR(INDEX(Налоги!$K$26:$L$83,MATCH($F163&amp;"komm",Налоги!$K$26:$K$83,0),2),"")=0,"",_xlfn.IFERROR(INDEX(Налоги!$K$26:$L$83,MATCH($F163&amp;"komm",Налоги!$K$26:$K$83,0),2),""))</f>
        <v>П. 49 (2) Методических указаний ФСТ России от 27.12.2013 № 1746-э.</v>
      </c>
      <c r="AO163" s="813"/>
      <c r="AP163" s="593"/>
      <c r="AQ163" s="593"/>
      <c r="AR163" s="1071" t="s">
        <v>1464</v>
      </c>
      <c r="AS163" s="1071"/>
      <c r="AT163" s="1071"/>
      <c r="AU163" s="703"/>
      <c r="AV163" s="703"/>
    </row>
    <row s="6128" customFormat="1" customHeight="1" ht="14.25">
      <c r="A164" s="593"/>
      <c r="B164" s="593"/>
      <c r="C164" s="593"/>
      <c r="D164" s="593"/>
      <c r="E164" s="703">
        <v>15</v>
      </c>
      <c r="F164" s="50" cm="1" t="str">
        <f t="array" ref="F164:F164">OFFSET(E164,-1,1)</f>
        <v>1</v>
      </c>
      <c r="G164" s="593"/>
      <c r="H164" s="593"/>
      <c r="I164" s="704" t="s">
        <v>685</v>
      </c>
      <c r="J164" s="704"/>
      <c r="K164" s="704"/>
      <c r="L164" s="704"/>
      <c r="M164" s="704"/>
      <c r="N164" s="704"/>
      <c r="O164" s="704"/>
      <c r="P164" s="704"/>
      <c r="Q164" s="704"/>
      <c r="R164" s="704"/>
      <c r="S164" s="704"/>
      <c r="T164" s="468" cm="1" t="str">
        <f t="array" ref="T164:T164">T163</f>
        <v>true</v>
      </c>
      <c r="U164" s="593"/>
      <c r="V164" s="593"/>
      <c r="W164" s="593"/>
      <c r="X164" s="1617"/>
      <c r="Y164" s="593"/>
      <c r="Z164" s="1618"/>
      <c r="AA164" s="593"/>
      <c r="AB164" s="811" t="s">
        <v>463</v>
      </c>
      <c r="AC164" s="594" t="s">
        <v>2081</v>
      </c>
      <c r="AD164" s="595" t="s">
        <v>936</v>
      </c>
      <c r="AE164" s="795">
        <f>AE165+AE166+AE167</f>
        <v>47538.86</v>
      </c>
      <c r="AF164" s="795">
        <f>AF165+AF166+AF167</f>
        <v>48655.65</v>
      </c>
      <c r="AG164" s="795">
        <f>AG165+AG166+AG167</f>
        <v>47402.42</v>
      </c>
      <c r="AH164" s="795">
        <f>AG164-AF164</f>
        <v>-1253.23</v>
      </c>
      <c r="AI164" s="795">
        <f>AI165+AI166+AI167</f>
        <v>76868.51</v>
      </c>
      <c r="AJ164" s="795">
        <f>AJ165+AJ166+AJ167</f>
        <v>9540.52</v>
      </c>
      <c r="AK164" s="795">
        <f>AK165+AK166+AK167</f>
        <v>9540.52</v>
      </c>
      <c r="AL164" s="808">
        <f>IF(AI164=0,0,(AK164-AI164)/AI164*100)</f>
        <v>-87.588519668197</v>
      </c>
      <c r="AM164" s="813"/>
      <c r="AN164" s="917"/>
      <c r="AO164" s="813"/>
      <c r="AP164" s="593"/>
      <c r="AQ164" s="593"/>
      <c r="AR164" s="1071" t="s">
        <v>1734</v>
      </c>
      <c r="AS164" s="1071"/>
      <c r="AT164" s="1071"/>
      <c r="AU164" s="703"/>
      <c r="AV164" s="703"/>
    </row>
    <row s="1656" customFormat="1" customHeight="1" ht="14.25">
      <c r="A165" s="1324"/>
      <c r="B165" s="1324"/>
      <c r="C165" s="1324"/>
      <c r="D165" s="1324"/>
      <c r="E165" s="701">
        <v>15</v>
      </c>
      <c r="F165" s="50" cm="1" t="str">
        <f t="array" ref="F165:F165">OFFSET(E165,-1,1)</f>
        <v>1</v>
      </c>
      <c r="G165" s="1324"/>
      <c r="H165" s="1324"/>
      <c r="I165" s="592" t="s">
        <v>688</v>
      </c>
      <c r="J165" s="592"/>
      <c r="K165" s="592"/>
      <c r="L165" s="592"/>
      <c r="M165" s="592"/>
      <c r="N165" s="592"/>
      <c r="O165" s="592"/>
      <c r="P165" s="592"/>
      <c r="Q165" s="592"/>
      <c r="R165" s="592"/>
      <c r="S165" s="592"/>
      <c r="T165" s="468" cm="1" t="str">
        <f t="array" ref="T165:T165">T164</f>
        <v>true</v>
      </c>
      <c r="U165" s="1324"/>
      <c r="V165" s="1324"/>
      <c r="W165" s="1324"/>
      <c r="X165" s="1617"/>
      <c r="Y165" s="1324"/>
      <c r="Z165" s="1618"/>
      <c r="AA165" s="1324"/>
      <c r="AB165" s="814" t="s">
        <v>711</v>
      </c>
      <c r="AC165" s="820" t="s">
        <v>2082</v>
      </c>
      <c r="AD165" s="821" t="s">
        <v>936</v>
      </c>
      <c r="AE165" s="816">
        <f>_xlfn.SUMIFS('ИП + источники'!AF$26:AF$174,'ИП + источники'!$F$26:$F$174,$F165,'ИП + источники'!$AC$26:$AC$174,"погашение займов и кредитов из нормативной прибыли")+_xlfn.SUMIFS('ИП + источники'!AF$26:AF$174,'ИП + источники'!$F$26:$F$174,$F165,'ИП + источники'!$AC$26:$AC$174,"уплата процентов по кредитам из нормативной прибыли")</f>
        <v>0</v>
      </c>
      <c r="AF165" s="816">
        <f>_xlfn.SUMIFS('ИП + источники'!AG$26:AG$174,'ИП + источники'!$F$26:$F$174,$F165,'ИП + источники'!$AC$26:$AC$174,"погашение займов и кредитов из нормативной прибыли")+_xlfn.SUMIFS('ИП + источники'!AG$26:AG$174,'ИП + источники'!$F$26:$F$174,$F165,'ИП + источники'!$AC$26:$AC$174,"уплата процентов по кредитам из нормативной прибыли")</f>
        <v>0</v>
      </c>
      <c r="AG165" s="816">
        <f>_xlfn.SUMIFS('ИП + источники'!AH$26:AH$174,'ИП + источники'!$F$26:$F$174,$F165,'ИП + источники'!$AC$26:$AC$174,"погашение займов и кредитов из нормативной прибыли")+_xlfn.SUMIFS('ИП + источники'!AH$26:AH$174,'ИП + источники'!$F$26:$F$174,$F165,'ИП + источники'!$AC$26:$AC$174,"уплата процентов по кредитам из нормативной прибыли")</f>
        <v>0</v>
      </c>
      <c r="AH165" s="809">
        <f>AG165-AF165</f>
        <v>0</v>
      </c>
      <c r="AI165" s="816">
        <f>_xlfn.SUMIFS('ИП + источники'!AJ$26:AJ$174,'ИП + источники'!$F$26:$F$174,$F165,'ИП + источники'!$AC$26:$AC$174,"погашение займов и кредитов из нормативной прибыли")+_xlfn.SUMIFS('ИП + источники'!AJ$26:AJ$174,'ИП + источники'!$F$26:$F$174,$F165,'ИП + источники'!$AC$26:$AC$174,"уплата процентов по кредитам из нормативной прибыли")</f>
        <v>0</v>
      </c>
      <c r="AJ165" s="816">
        <f>_xlfn.SUMIFS('ИП + источники'!AK$26:AK$174,'ИП + источники'!$F$26:$F$174,$F165,'ИП + источники'!$AC$26:$AC$174,"погашение займов и кредитов из нормативной прибыли")+_xlfn.SUMIFS('ИП + источники'!AK$26:AK$174,'ИП + источники'!$F$26:$F$174,$F165,'ИП + источники'!$AC$26:$AC$174,"уплата процентов по кредитам из нормативной прибыли")</f>
        <v>0</v>
      </c>
      <c r="AK165" s="816">
        <f>_xlfn.SUMIFS('ИП + источники'!AU$26:AU$174,'ИП + источники'!$F$26:$F$174,$F165,'ИП + источники'!$AC$26:$AC$174,"погашение займов и кредитов из нормативной прибыли")+_xlfn.SUMIFS('ИП + источники'!AU$26:AU$174,'ИП + источники'!$F$26:$F$174,$F165,'ИП + источники'!$AC$26:$AC$174,"уплата процентов по кредитам из нормативной прибыли")</f>
        <v>0</v>
      </c>
      <c r="AL165" s="809">
        <f>IF(AI165=0,0,(AK165-AI165)/AI165*100)</f>
        <v>0</v>
      </c>
      <c r="AM165" s="810"/>
      <c r="AN165" s="917" t="str">
        <f>IF(_xlfn.IFERROR(INDEX('ИП + источники'!$K$57:$L$174,MATCH($F165&amp;"1komm",'ИП + источники'!$K$57:$K$174,0),2),"")=0,"",_xlfn.IFERROR(INDEX('ИП + источники'!$K$57:$L$174,MATCH($F165&amp;"1komm",'ИП + источники'!$K$57:$K$174,0),2),""))</f>
        <v>1) Фактическая суммарная экономия по инвестиционным мероприятиям г. Ленинск-Кузнецкий составила (-136,44 ) тыс. руб. 2)  Фактическая экономия по  ЗАВЕРШЕННЫМ мероприятиям в  г. Полысаево (п. 1.4.2.1.4.) составила  (-343,49) тыс. руб. , ; сумма перерасхода по прочим мероприятиям  - (+1294,82) тыс. руб. Итоговая величина перерасхода к учету не принята  в связи с тем, что данные мероприятия  по состоянию на конец отчетного периода НЕ ЗАВЕРШЕНЫ.</v>
      </c>
      <c r="AO165" s="810"/>
      <c r="AP165" s="1324"/>
      <c r="AQ165" s="1324"/>
      <c r="AR165" s="1070" t="s">
        <v>1456</v>
      </c>
      <c r="AS165" s="1070"/>
      <c r="AT165" s="1070"/>
      <c r="AU165" s="1067"/>
      <c r="AV165" s="1067"/>
    </row>
    <row s="1656" customFormat="1" customHeight="1" ht="14.25">
      <c r="A166" s="1324"/>
      <c r="B166" s="1324"/>
      <c r="C166" s="1324"/>
      <c r="D166" s="1324"/>
      <c r="E166" s="701">
        <v>15</v>
      </c>
      <c r="F166" s="50" cm="1" t="str">
        <f t="array" ref="F166:F166">OFFSET(E166,-1,1)</f>
        <v>1</v>
      </c>
      <c r="G166" s="1324"/>
      <c r="H166" s="1324"/>
      <c r="I166" s="592" t="s">
        <v>692</v>
      </c>
      <c r="J166" s="592"/>
      <c r="K166" s="592"/>
      <c r="L166" s="592"/>
      <c r="M166" s="592"/>
      <c r="N166" s="592"/>
      <c r="O166" s="592"/>
      <c r="P166" s="592"/>
      <c r="Q166" s="592"/>
      <c r="R166" s="592"/>
      <c r="S166" s="592"/>
      <c r="T166" s="468" cm="1" t="str">
        <f t="array" ref="T166:T166">T165</f>
        <v>true</v>
      </c>
      <c r="U166" s="1324"/>
      <c r="V166" s="1324"/>
      <c r="W166" s="1324"/>
      <c r="X166" s="1617"/>
      <c r="Y166" s="1324"/>
      <c r="Z166" s="1618"/>
      <c r="AA166" s="1324"/>
      <c r="AB166" s="814" t="s">
        <v>728</v>
      </c>
      <c r="AC166" s="820" t="s">
        <v>2083</v>
      </c>
      <c r="AD166" s="821" t="s">
        <v>936</v>
      </c>
      <c r="AE166" s="816">
        <f>_xlfn.SUMIFS('ИП + источники'!AF$27:AF$174,'ИП + источники'!$F$27:$F$174,$F166,'ИП + источники'!$AC$27:$AC$174,"Прибыль на капвложения")</f>
        <v>47538.86</v>
      </c>
      <c r="AF166" s="816">
        <f>_xlfn.SUMIFS('ИП + источники'!AG$27:AG$174,'ИП + источники'!$F$27:$F$174,$F166,'ИП + источники'!$AC$27:$AC$174,"Прибыль на капвложения")</f>
        <v>48655.65</v>
      </c>
      <c r="AG166" s="816">
        <f>_xlfn.SUMIFS('ИП + источники'!AH$27:AH$174,'ИП + источники'!$F$27:$F$174,$F166,'ИП + источники'!$AC$27:$AC$174,"Прибыль на капвложения")</f>
        <v>47402.42</v>
      </c>
      <c r="AH166" s="809">
        <f>AG166-AF166</f>
        <v>-1253.23</v>
      </c>
      <c r="AI166" s="816">
        <f>_xlfn.SUMIFS('ИП + источники'!AJ$27:AJ$174,'ИП + источники'!$F$27:$F$174,$F166,'ИП + источники'!$AC$27:$AC$174,"Прибыль на капвложения")</f>
        <v>76868.51</v>
      </c>
      <c r="AJ166" s="816">
        <f>_xlfn.SUMIFS('ИП + источники'!AK$27:AK$174,'ИП + источники'!$F$27:$F$174,$F166,'ИП + источники'!$AC$27:$AC$174,"Прибыль на капвложения")</f>
        <v>9540.52</v>
      </c>
      <c r="AK166" s="816">
        <f>_xlfn.SUMIFS('ИП + источники'!AU$27:AU$174,'ИП + источники'!$F$27:$F$174,$F166,'ИП + источники'!$AC$27:$AC$174,"Прибыль на капвложения")</f>
        <v>9540.52</v>
      </c>
      <c r="AL166" s="809">
        <f>IF(AI166=0,0,(AK166-AI166)/AI166*100)</f>
        <v>-87.588519668197</v>
      </c>
      <c r="AM166" s="810"/>
      <c r="AN166" s="917" t="str">
        <f>IF(_xlfn.IFERROR(INDEX('ИП + источники'!$K$57:$L$174,MATCH($F166&amp;"2komm",'ИП + источники'!$K$57:$K$174,0),2),"")=0,"",_xlfn.IFERROR(INDEX('ИП + источники'!$K$57:$L$174,MATCH($F166&amp;"2komm",'ИП + источники'!$K$57:$K$174,0),2),""))</f>
        <v/>
      </c>
      <c r="AO166" s="810"/>
      <c r="AP166" s="1324"/>
      <c r="AQ166" s="1324"/>
      <c r="AR166" s="1070" t="s">
        <v>2084</v>
      </c>
      <c r="AS166" s="1070"/>
      <c r="AT166" s="1070"/>
      <c r="AU166" s="1067"/>
      <c r="AV166" s="1067"/>
    </row>
    <row s="1656" customFormat="1" customHeight="1" ht="21.75">
      <c r="A167" s="1324"/>
      <c r="B167" s="1324"/>
      <c r="C167" s="1324"/>
      <c r="D167" s="1324"/>
      <c r="E167" s="701">
        <v>22.5</v>
      </c>
      <c r="F167" s="50" cm="1" t="str">
        <f t="array" ref="F167:F167">OFFSET(E167,-1,1)</f>
        <v>1</v>
      </c>
      <c r="G167" s="1324"/>
      <c r="H167" s="1324"/>
      <c r="I167" s="592" t="s">
        <v>696</v>
      </c>
      <c r="J167" s="592"/>
      <c r="K167" s="592"/>
      <c r="L167" s="592"/>
      <c r="M167" s="592"/>
      <c r="N167" s="592"/>
      <c r="O167" s="592"/>
      <c r="P167" s="592"/>
      <c r="Q167" s="592"/>
      <c r="R167" s="592"/>
      <c r="S167" s="592"/>
      <c r="T167" s="468" cm="1" t="str">
        <f t="array" ref="T167:T167">T166</f>
        <v>true</v>
      </c>
      <c r="U167" s="1324"/>
      <c r="V167" s="1324"/>
      <c r="W167" s="1324"/>
      <c r="X167" s="1617"/>
      <c r="Y167" s="1324"/>
      <c r="Z167" s="1618"/>
      <c r="AA167" s="1324"/>
      <c r="AB167" s="814" t="s">
        <v>740</v>
      </c>
      <c r="AC167" s="820" t="s">
        <v>2085</v>
      </c>
      <c r="AD167" s="821" t="s">
        <v>936</v>
      </c>
      <c r="AE167" s="816"/>
      <c r="AF167" s="816"/>
      <c r="AG167" s="816"/>
      <c r="AH167" s="809"/>
      <c r="AI167" s="816"/>
      <c r="AJ167" s="816"/>
      <c r="AK167" s="816"/>
      <c r="AL167" s="809">
        <f>IF(AI167=0,0,(AK167-AI167)/AI167*100)</f>
        <v>0</v>
      </c>
      <c r="AM167" s="810"/>
      <c r="AN167" s="810"/>
      <c r="AO167" s="810"/>
      <c r="AP167" s="1324"/>
      <c r="AQ167" s="1324"/>
      <c r="AR167" s="1070" t="s">
        <v>2086</v>
      </c>
      <c r="AS167" s="1070"/>
      <c r="AT167" s="1070"/>
      <c r="AU167" s="1067"/>
      <c r="AV167" s="1067"/>
    </row>
    <row s="6129" customFormat="1" customHeight="1" ht="21.75">
      <c r="A168" s="593"/>
      <c r="B168" s="593">
        <f>STATUS_GO="да"</f>
        <v>0</v>
      </c>
      <c r="C168" s="593"/>
      <c r="D168" s="593"/>
      <c r="E168" s="703">
        <v>22.5</v>
      </c>
      <c r="F168" s="50" cm="1" t="str">
        <f t="array" ref="F168:F168">OFFSET(E168,-1,1)</f>
        <v>1</v>
      </c>
      <c r="G168" s="593"/>
      <c r="H168" s="593"/>
      <c r="I168" s="704" t="s">
        <v>700</v>
      </c>
      <c r="J168" s="704"/>
      <c r="K168" s="704"/>
      <c r="L168" s="704"/>
      <c r="M168" s="704"/>
      <c r="N168" s="704"/>
      <c r="O168" s="704"/>
      <c r="P168" s="704"/>
      <c r="Q168" s="704"/>
      <c r="R168" s="704"/>
      <c r="S168" s="704"/>
      <c r="T168" s="468" cm="1" t="str">
        <f t="array" ref="T168:T168">T167</f>
        <v>true</v>
      </c>
      <c r="U168" s="593"/>
      <c r="V168" s="593"/>
      <c r="W168" s="593"/>
      <c r="X168" s="1617"/>
      <c r="Y168" s="593"/>
      <c r="Z168" s="1618"/>
      <c r="AA168" s="593"/>
      <c r="AB168" s="811" t="s">
        <v>466</v>
      </c>
      <c r="AC168" s="807" t="s">
        <v>2087</v>
      </c>
      <c r="AD168" s="819" t="s">
        <v>936</v>
      </c>
      <c r="AE168" s="817"/>
      <c r="AF168" s="817"/>
      <c r="AG168" s="817"/>
      <c r="AH168" s="808">
        <f>AG168-AF168</f>
        <v>0</v>
      </c>
      <c r="AI168" s="817"/>
      <c r="AJ168" s="817"/>
      <c r="AK168" s="817"/>
      <c r="AL168" s="808">
        <f>IF(AI168=0,0,(AK168-AI168)/AI168*100)</f>
        <v>0</v>
      </c>
      <c r="AM168" s="813"/>
      <c r="AN168" s="813"/>
      <c r="AO168" s="813"/>
      <c r="AP168" s="593"/>
      <c r="AQ168" s="593"/>
      <c r="AR168" s="1071" t="s">
        <v>2088</v>
      </c>
      <c r="AS168" s="1071"/>
      <c r="AT168" s="1071"/>
      <c r="AU168" s="703"/>
      <c r="AV168" s="703"/>
    </row>
    <row s="1656" customFormat="1" customHeight="1" ht="14.25">
      <c r="A169" s="1324"/>
      <c r="B169" s="1324"/>
      <c r="C169" s="1324"/>
      <c r="D169" s="1324"/>
      <c r="E169" s="701">
        <v>15</v>
      </c>
      <c r="F169" s="50" cm="1" t="str">
        <f t="array" ref="F169:F169">OFFSET(E169,-1,1)</f>
        <v>1</v>
      </c>
      <c r="G169" s="1324"/>
      <c r="H169" s="1324"/>
      <c r="I169" s="592" t="s">
        <v>707</v>
      </c>
      <c r="J169" s="592"/>
      <c r="K169" s="592"/>
      <c r="L169" s="592"/>
      <c r="M169" s="592"/>
      <c r="N169" s="592"/>
      <c r="O169" s="592"/>
      <c r="P169" s="592"/>
      <c r="Q169" s="592"/>
      <c r="R169" s="592"/>
      <c r="S169" s="592"/>
      <c r="T169" s="468" cm="1" t="str">
        <f t="array" ref="T169:T169">T168</f>
        <v>true</v>
      </c>
      <c r="U169" s="1324"/>
      <c r="V169" s="1324"/>
      <c r="W169" s="1324"/>
      <c r="X169" s="1617"/>
      <c r="Y169" s="1324"/>
      <c r="Z169" s="1618"/>
      <c r="AA169" s="1324"/>
      <c r="AB169" s="814" t="s">
        <v>469</v>
      </c>
      <c r="AC169" s="823" t="s">
        <v>1689</v>
      </c>
      <c r="AD169" s="821" t="s">
        <v>936</v>
      </c>
      <c r="AE169" s="816"/>
      <c r="AF169" s="816"/>
      <c r="AG169" s="816"/>
      <c r="AH169" s="809"/>
      <c r="AI169" s="6081"/>
      <c r="AJ169" s="6081"/>
      <c r="AK169" s="6081"/>
      <c r="AL169" s="809">
        <f>IF(AI169=0,0,(AK169-AI169)/AI169*100)</f>
        <v>0</v>
      </c>
      <c r="AM169" s="810"/>
      <c r="AN169" s="810"/>
      <c r="AO169" s="810"/>
      <c r="AP169" s="1324"/>
      <c r="AQ169" s="1324"/>
      <c r="AR169" s="1070" t="s">
        <v>2089</v>
      </c>
      <c r="AS169" s="1070"/>
      <c r="AT169" s="1070"/>
      <c r="AU169" s="1067"/>
      <c r="AV169" s="1067"/>
    </row>
    <row s="1656" customFormat="1" customHeight="1" ht="101.25" hidden="1">
      <c r="A170" s="1324"/>
      <c r="B170" s="1324"/>
      <c r="C170" s="1324"/>
      <c r="D170" s="1324"/>
      <c r="E170" s="701">
        <v>0</v>
      </c>
      <c r="F170" s="50" cm="1" t="str">
        <f t="array" ref="F170:F170">OFFSET(E170,-1,1)</f>
        <v>1</v>
      </c>
      <c r="G170" s="1324"/>
      <c r="H170" s="520">
        <f>ISERR(SEARCH("Водоснабжение",AB112))</f>
        <v>0</v>
      </c>
      <c r="I170" s="592" t="s">
        <v>864</v>
      </c>
      <c r="J170" s="592"/>
      <c r="K170" s="592"/>
      <c r="L170" s="592"/>
      <c r="M170" s="592"/>
      <c r="N170" s="592"/>
      <c r="O170" s="592"/>
      <c r="P170" s="592"/>
      <c r="Q170" s="592"/>
      <c r="R170" s="592"/>
      <c r="S170" s="592"/>
      <c r="T170" s="468" cm="1" t="str">
        <f t="array" ref="T170:T170">T169</f>
        <v>true</v>
      </c>
      <c r="U170" s="1324"/>
      <c r="V170" s="1324"/>
      <c r="W170" s="1324"/>
      <c r="X170" s="1617"/>
      <c r="Y170" s="1324"/>
      <c r="Z170" s="1618"/>
      <c r="AA170" s="1324"/>
      <c r="AB170" s="814" t="s">
        <v>472</v>
      </c>
      <c r="AC170" s="823" t="s">
        <v>2090</v>
      </c>
      <c r="AD170" s="766" t="s">
        <v>936</v>
      </c>
      <c r="AE170" s="6057"/>
      <c r="AF170" s="6057"/>
      <c r="AG170" s="6057"/>
      <c r="AH170" s="809">
        <f>AG170-AF170</f>
        <v>0</v>
      </c>
      <c r="AI170" s="6057"/>
      <c r="AJ170" s="6057"/>
      <c r="AK170" s="6057">
        <f>_xlfn.IFERROR(_xlfn.SUMIFS('Плата за негативное возд'!$AL$25:$AL$38,'Плата за негативное возд'!$F$25:$F$38,F170,'Плата за негативное возд'!$G$25:$G$38,"1"),0)</f>
        <v>0</v>
      </c>
      <c r="AL170" s="809">
        <f>IF(AI170=0,0,(AK170-AI170)/AI170*100)</f>
        <v>0</v>
      </c>
      <c r="AM170" s="6039"/>
      <c r="AN170" s="6039"/>
      <c r="AO170" s="6039"/>
      <c r="AP170" s="1324"/>
      <c r="AQ170" s="1324"/>
      <c r="AR170" s="1070" t="s">
        <v>1580</v>
      </c>
      <c r="AS170" s="1070"/>
      <c r="AT170" s="1070"/>
      <c r="AU170" s="1067"/>
      <c r="AV170" s="1067"/>
    </row>
    <row s="1656" customFormat="1" customHeight="1" ht="67.5" hidden="1">
      <c r="A171" s="1324"/>
      <c r="B171" s="1324"/>
      <c r="C171" s="1324"/>
      <c r="D171" s="1324"/>
      <c r="E171" s="701">
        <v>0</v>
      </c>
      <c r="F171" s="50" cm="1" t="str">
        <f t="array" ref="F171:F171">OFFSET(E171,-1,1)</f>
        <v>1</v>
      </c>
      <c r="G171" s="1324"/>
      <c r="H171" s="520">
        <f>ISERR(SEARCH("Водоснабжение",AB112))</f>
        <v>0</v>
      </c>
      <c r="I171" s="592" t="s">
        <v>866</v>
      </c>
      <c r="J171" s="592"/>
      <c r="K171" s="592"/>
      <c r="L171" s="592"/>
      <c r="M171" s="592"/>
      <c r="N171" s="592"/>
      <c r="O171" s="592"/>
      <c r="P171" s="592"/>
      <c r="Q171" s="592"/>
      <c r="R171" s="592"/>
      <c r="S171" s="592"/>
      <c r="T171" s="468" cm="1" t="str">
        <f t="array" ref="T171:T171">T170</f>
        <v>true</v>
      </c>
      <c r="U171" s="1324"/>
      <c r="V171" s="1324"/>
      <c r="W171" s="1324"/>
      <c r="X171" s="1617"/>
      <c r="Y171" s="1324"/>
      <c r="Z171" s="1618"/>
      <c r="AA171" s="1324"/>
      <c r="AB171" s="814" t="s">
        <v>475</v>
      </c>
      <c r="AC171" s="823" t="s">
        <v>2091</v>
      </c>
      <c r="AD171" s="766" t="s">
        <v>936</v>
      </c>
      <c r="AE171" s="6057"/>
      <c r="AF171" s="6057"/>
      <c r="AG171" s="6057"/>
      <c r="AH171" s="809">
        <f>AG171-AF171</f>
        <v>0</v>
      </c>
      <c r="AI171" s="6057"/>
      <c r="AJ171" s="6057"/>
      <c r="AK171" s="6057">
        <f>_xlfn.IFERROR(_xlfn.SUMIFS('Плата за негативное возд'!$AL$25:$AL$38,'Плата за негативное возд'!$F$25:$F$38,F171,'Плата за негативное возд'!$G$25:$G$38,"2"),0)</f>
        <v>0</v>
      </c>
      <c r="AL171" s="809">
        <f>IF(AI171=0,0,(AK171-AI171)/AI171*100)</f>
        <v>0</v>
      </c>
      <c r="AM171" s="6039"/>
      <c r="AN171" s="6039"/>
      <c r="AO171" s="6039"/>
      <c r="AP171" s="1324"/>
      <c r="AQ171" s="1324"/>
      <c r="AR171" s="1070" t="s">
        <v>1584</v>
      </c>
      <c r="AS171" s="1070"/>
      <c r="AT171" s="1070"/>
      <c r="AU171" s="1067"/>
      <c r="AV171" s="1067"/>
    </row>
    <row s="1656" customFormat="1" customHeight="1" ht="14.25">
      <c r="A172" s="1324"/>
      <c r="B172" s="1324"/>
      <c r="C172" s="1324"/>
      <c r="D172" s="1324"/>
      <c r="E172" s="701">
        <v>15</v>
      </c>
      <c r="F172" s="50" cm="1" t="str">
        <f t="array" ref="F172:F172">OFFSET(E172,-1,1)</f>
        <v>1</v>
      </c>
      <c r="G172" s="1324"/>
      <c r="H172" s="1324"/>
      <c r="I172" s="592" t="s">
        <v>914</v>
      </c>
      <c r="J172" s="592"/>
      <c r="K172" s="592"/>
      <c r="L172" s="592"/>
      <c r="M172" s="592"/>
      <c r="N172" s="592"/>
      <c r="O172" s="592"/>
      <c r="P172" s="592"/>
      <c r="Q172" s="592"/>
      <c r="R172" s="592"/>
      <c r="S172" s="592"/>
      <c r="T172" s="468" cm="1" t="str">
        <f t="array" ref="T172:T172">T171</f>
        <v>true</v>
      </c>
      <c r="U172" s="1324"/>
      <c r="V172" s="1324"/>
      <c r="W172" s="1324"/>
      <c r="X172" s="1617"/>
      <c r="Y172" s="1324"/>
      <c r="Z172" s="1618"/>
      <c r="AA172" s="1324"/>
      <c r="AB172" s="814" t="s">
        <v>478</v>
      </c>
      <c r="AC172" s="825" t="s">
        <v>2092</v>
      </c>
      <c r="AD172" s="821" t="s">
        <v>936</v>
      </c>
      <c r="AE172" s="816"/>
      <c r="AF172" s="816"/>
      <c r="AG172" s="816"/>
      <c r="AH172" s="809">
        <f>AG172-AF172</f>
        <v>0</v>
      </c>
      <c r="AI172" s="816"/>
      <c r="AJ172" s="816"/>
      <c r="AK172" s="816"/>
      <c r="AL172" s="809">
        <f>IF(AI172=0,0,(AK172-AI172)/AI172*100)</f>
        <v>0</v>
      </c>
      <c r="AM172" s="810"/>
      <c r="AN172" s="810"/>
      <c r="AO172" s="810"/>
      <c r="AP172" s="1324"/>
      <c r="AQ172" s="1324"/>
      <c r="AR172" s="1070" t="s">
        <v>1441</v>
      </c>
      <c r="AS172" s="1070"/>
      <c r="AT172" s="1070"/>
      <c r="AU172" s="1067"/>
      <c r="AV172" s="1067"/>
    </row>
    <row s="6130" customFormat="1" customHeight="1" ht="21.75">
      <c r="A173" s="593"/>
      <c r="B173" s="593"/>
      <c r="C173" s="593"/>
      <c r="D173" s="593"/>
      <c r="E173" s="703">
        <v>22.5</v>
      </c>
      <c r="F173" s="50" cm="1" t="str">
        <f t="array" ref="F173:F173">OFFSET(E173,-1,1)</f>
        <v>1</v>
      </c>
      <c r="G173" s="593"/>
      <c r="H173" s="593"/>
      <c r="I173" s="704" t="s">
        <v>915</v>
      </c>
      <c r="J173" s="704"/>
      <c r="K173" s="704"/>
      <c r="L173" s="704"/>
      <c r="M173" s="704"/>
      <c r="N173" s="704"/>
      <c r="O173" s="704"/>
      <c r="P173" s="704"/>
      <c r="Q173" s="704"/>
      <c r="R173" s="704"/>
      <c r="S173" s="704"/>
      <c r="T173" s="468" cm="1" t="str">
        <f t="array" ref="T173:T173">T172</f>
        <v>true</v>
      </c>
      <c r="U173" s="593"/>
      <c r="V173" s="593"/>
      <c r="W173" s="593"/>
      <c r="X173" s="1617"/>
      <c r="Y173" s="593"/>
      <c r="Z173" s="1618"/>
      <c r="AA173" s="593"/>
      <c r="AB173" s="811" t="s">
        <v>480</v>
      </c>
      <c r="AC173" s="594" t="s">
        <v>2093</v>
      </c>
      <c r="AD173" s="819" t="s">
        <v>936</v>
      </c>
      <c r="AE173" s="795">
        <f>AE174+AE175</f>
        <v>0</v>
      </c>
      <c r="AF173" s="795">
        <f>AF174+AF175</f>
        <v>0</v>
      </c>
      <c r="AG173" s="795">
        <f>AG174+AG175</f>
        <v>0</v>
      </c>
      <c r="AH173" s="808">
        <f>AG173-AF173</f>
        <v>0</v>
      </c>
      <c r="AI173" s="795">
        <f>AI174+AI175</f>
        <v>0</v>
      </c>
      <c r="AJ173" s="795">
        <f>AJ174+AJ175</f>
        <v>0</v>
      </c>
      <c r="AK173" s="795">
        <f>AK174+AK175</f>
        <v>0</v>
      </c>
      <c r="AL173" s="808">
        <f>IF(AI173=0,0,(AK173-AI173)/AI173*100)</f>
        <v>0</v>
      </c>
      <c r="AM173" s="813"/>
      <c r="AN173" s="813"/>
      <c r="AO173" s="813"/>
      <c r="AP173" s="593"/>
      <c r="AQ173" s="593"/>
      <c r="AR173" s="1071" t="s">
        <v>1772</v>
      </c>
      <c r="AS173" s="1071"/>
      <c r="AT173" s="1071"/>
      <c r="AU173" s="703"/>
      <c r="AV173" s="703"/>
    </row>
    <row s="1656" customFormat="1" customHeight="1" ht="21.75">
      <c r="A174" s="1324"/>
      <c r="B174" s="1324"/>
      <c r="C174" s="1324"/>
      <c r="D174" s="1324"/>
      <c r="E174" s="701">
        <v>22.5</v>
      </c>
      <c r="F174" s="50" cm="1" t="str">
        <f t="array" ref="F174:F174">OFFSET(E174,-1,1)</f>
        <v>1</v>
      </c>
      <c r="G174" s="1324"/>
      <c r="H174" s="1324"/>
      <c r="I174" s="592" t="s">
        <v>2094</v>
      </c>
      <c r="J174" s="592"/>
      <c r="K174" s="592"/>
      <c r="L174" s="592"/>
      <c r="M174" s="592"/>
      <c r="N174" s="592"/>
      <c r="O174" s="592"/>
      <c r="P174" s="592"/>
      <c r="Q174" s="592"/>
      <c r="R174" s="592"/>
      <c r="S174" s="592"/>
      <c r="T174" s="468" cm="1" t="str">
        <f t="array" ref="T174:T174">T173</f>
        <v>true</v>
      </c>
      <c r="U174" s="1324"/>
      <c r="V174" s="1324"/>
      <c r="W174" s="1324"/>
      <c r="X174" s="1617"/>
      <c r="Y174" s="1324"/>
      <c r="Z174" s="1618"/>
      <c r="AA174" s="1324"/>
      <c r="AB174" s="814" t="s">
        <v>2095</v>
      </c>
      <c r="AC174" s="826" t="s">
        <v>1773</v>
      </c>
      <c r="AD174" s="821" t="s">
        <v>936</v>
      </c>
      <c r="AE174" s="816"/>
      <c r="AF174" s="816"/>
      <c r="AG174" s="816"/>
      <c r="AH174" s="809">
        <f>AG174-AF174</f>
        <v>0</v>
      </c>
      <c r="AI174" s="816"/>
      <c r="AJ174" s="816"/>
      <c r="AK174" s="816"/>
      <c r="AL174" s="809">
        <f>IF(AI174=0,0,(AK174-AI174)/AI174*100)</f>
        <v>0</v>
      </c>
      <c r="AM174" s="810"/>
      <c r="AN174" s="810"/>
      <c r="AO174" s="810"/>
      <c r="AP174" s="1324"/>
      <c r="AQ174" s="1324"/>
      <c r="AR174" s="1070" t="s">
        <v>1811</v>
      </c>
      <c r="AS174" s="1070"/>
      <c r="AT174" s="1070"/>
      <c r="AU174" s="1067"/>
      <c r="AV174" s="1067"/>
    </row>
    <row s="1656" customFormat="1" customHeight="1" ht="21.75">
      <c r="A175" s="1324"/>
      <c r="B175" s="1324"/>
      <c r="C175" s="1324"/>
      <c r="D175" s="1324"/>
      <c r="E175" s="701">
        <v>22.5</v>
      </c>
      <c r="F175" s="50" cm="1" t="str">
        <f t="array" ref="F175:F175">OFFSET(E175,-1,1)</f>
        <v>1</v>
      </c>
      <c r="G175" s="1324"/>
      <c r="H175" s="1324"/>
      <c r="I175" s="592" t="s">
        <v>2096</v>
      </c>
      <c r="J175" s="592"/>
      <c r="K175" s="592"/>
      <c r="L175" s="592"/>
      <c r="M175" s="592"/>
      <c r="N175" s="592"/>
      <c r="O175" s="592"/>
      <c r="P175" s="592"/>
      <c r="Q175" s="592"/>
      <c r="R175" s="592"/>
      <c r="S175" s="592"/>
      <c r="T175" s="468" cm="1" t="str">
        <f t="array" ref="T175:T175">T174</f>
        <v>true</v>
      </c>
      <c r="U175" s="1324"/>
      <c r="V175" s="1324"/>
      <c r="W175" s="1324"/>
      <c r="X175" s="1617"/>
      <c r="Y175" s="1324"/>
      <c r="Z175" s="1618"/>
      <c r="AA175" s="1324"/>
      <c r="AB175" s="814" t="s">
        <v>2097</v>
      </c>
      <c r="AC175" s="826" t="s">
        <v>1775</v>
      </c>
      <c r="AD175" s="821" t="s">
        <v>936</v>
      </c>
      <c r="AE175" s="816"/>
      <c r="AF175" s="816"/>
      <c r="AG175" s="816"/>
      <c r="AH175" s="809">
        <f>AG175-AF175</f>
        <v>0</v>
      </c>
      <c r="AI175" s="816"/>
      <c r="AJ175" s="816"/>
      <c r="AK175" s="816"/>
      <c r="AL175" s="809">
        <f>IF(AI175=0,0,(AK175-AI175)/AI175*100)</f>
        <v>0</v>
      </c>
      <c r="AM175" s="810"/>
      <c r="AN175" s="810"/>
      <c r="AO175" s="810"/>
      <c r="AP175" s="1324"/>
      <c r="AQ175" s="1324"/>
      <c r="AR175" s="1070" t="s">
        <v>2098</v>
      </c>
      <c r="AS175" s="1070"/>
      <c r="AT175" s="1070"/>
      <c r="AU175" s="1067"/>
      <c r="AV175" s="1067"/>
    </row>
    <row s="1656" customFormat="1" customHeight="1" ht="14.25">
      <c r="A176" s="1324"/>
      <c r="B176" s="1324"/>
      <c r="C176" s="1324"/>
      <c r="D176" s="1324"/>
      <c r="E176" s="701">
        <v>15</v>
      </c>
      <c r="F176" s="50" cm="1" t="str">
        <f t="array" ref="F176:F176">OFFSET(E176,-1,1)</f>
        <v>1</v>
      </c>
      <c r="G176" s="1324"/>
      <c r="H176" s="1324"/>
      <c r="I176" s="592" t="s">
        <v>2099</v>
      </c>
      <c r="J176" s="592"/>
      <c r="K176" s="592"/>
      <c r="L176" s="592"/>
      <c r="M176" s="592"/>
      <c r="N176" s="592"/>
      <c r="O176" s="592"/>
      <c r="P176" s="592"/>
      <c r="Q176" s="592"/>
      <c r="R176" s="592"/>
      <c r="S176" s="592"/>
      <c r="T176" s="468" cm="1" t="str">
        <f t="array" ref="T176:T176">T175</f>
        <v>true</v>
      </c>
      <c r="U176" s="1324"/>
      <c r="V176" s="1324"/>
      <c r="W176" s="1324"/>
      <c r="X176" s="1617"/>
      <c r="Y176" s="1324"/>
      <c r="Z176" s="1618"/>
      <c r="AA176" s="1324"/>
      <c r="AB176" s="827" t="s">
        <v>353</v>
      </c>
      <c r="AC176" s="828" t="s">
        <v>1777</v>
      </c>
      <c r="AD176" s="821" t="s">
        <v>936</v>
      </c>
      <c r="AE176" s="816"/>
      <c r="AF176" s="816"/>
      <c r="AG176" s="816"/>
      <c r="AH176" s="809">
        <f>AG176-AF176</f>
        <v>0</v>
      </c>
      <c r="AI176" s="816"/>
      <c r="AJ176" s="816"/>
      <c r="AK176" s="816"/>
      <c r="AL176" s="809">
        <f>IF(AI176=0,0,(AK176-AI176)/AI176*100)</f>
        <v>0</v>
      </c>
      <c r="AM176" s="810"/>
      <c r="AN176" s="810"/>
      <c r="AO176" s="810"/>
      <c r="AP176" s="1324"/>
      <c r="AQ176" s="1324"/>
      <c r="AR176" s="1070" t="s">
        <v>1778</v>
      </c>
      <c r="AS176" s="1070"/>
      <c r="AT176" s="1070"/>
      <c r="AU176" s="1067"/>
      <c r="AV176" s="1067"/>
    </row>
    <row s="1656" customFormat="1" customHeight="1" ht="14.25">
      <c r="A177" s="1324"/>
      <c r="B177" s="1324"/>
      <c r="C177" s="1324"/>
      <c r="D177" s="1324"/>
      <c r="E177" s="701">
        <v>15</v>
      </c>
      <c r="F177" s="50" cm="1" t="str">
        <f t="array" ref="F177:F177">OFFSET(E177,-1,1)</f>
        <v>1</v>
      </c>
      <c r="G177" s="1324"/>
      <c r="H177" s="1324"/>
      <c r="I177" s="592" t="s">
        <v>2100</v>
      </c>
      <c r="J177" s="592"/>
      <c r="K177" s="592"/>
      <c r="L177" s="592"/>
      <c r="M177" s="592"/>
      <c r="N177" s="592"/>
      <c r="O177" s="592"/>
      <c r="P177" s="592"/>
      <c r="Q177" s="592"/>
      <c r="R177" s="592"/>
      <c r="S177" s="592"/>
      <c r="T177" s="468" cm="1" t="str">
        <f t="array" ref="T177:T177">T176</f>
        <v>true</v>
      </c>
      <c r="U177" s="1324"/>
      <c r="V177" s="1324"/>
      <c r="W177" s="1324"/>
      <c r="X177" s="1617"/>
      <c r="Y177" s="1324"/>
      <c r="Z177" s="1618"/>
      <c r="AA177" s="1324"/>
      <c r="AB177" s="827" t="s">
        <v>485</v>
      </c>
      <c r="AC177" s="828" t="s">
        <v>1779</v>
      </c>
      <c r="AD177" s="821" t="s">
        <v>936</v>
      </c>
      <c r="AE177" s="816"/>
      <c r="AF177" s="816"/>
      <c r="AG177" s="816"/>
      <c r="AH177" s="809">
        <f>AG177-AF177</f>
        <v>0</v>
      </c>
      <c r="AI177" s="816"/>
      <c r="AJ177" s="816"/>
      <c r="AK177" s="816"/>
      <c r="AL177" s="809">
        <f>IF(AI177=0,0,(AK177-AI177)/AI177*100)</f>
        <v>0</v>
      </c>
      <c r="AM177" s="810"/>
      <c r="AN177" s="810"/>
      <c r="AO177" s="810"/>
      <c r="AP177" s="1324"/>
      <c r="AQ177" s="1324"/>
      <c r="AR177" s="1070" t="s">
        <v>1780</v>
      </c>
      <c r="AS177" s="1070"/>
      <c r="AT177" s="1070"/>
      <c r="AU177" s="1067"/>
      <c r="AV177" s="1067"/>
    </row>
    <row s="6131" customFormat="1" customHeight="1" ht="14.25">
      <c r="A178" s="593"/>
      <c r="B178" s="593"/>
      <c r="C178" s="593"/>
      <c r="D178" s="593"/>
      <c r="E178" s="703">
        <v>15</v>
      </c>
      <c r="F178" s="50" cm="1" t="str">
        <f t="array" ref="F178:F178">OFFSET(E178,-1,1)</f>
        <v>1</v>
      </c>
      <c r="G178" s="593"/>
      <c r="H178" s="593"/>
      <c r="I178" s="704" t="s">
        <v>2101</v>
      </c>
      <c r="J178" s="704"/>
      <c r="K178" s="704"/>
      <c r="L178" s="704"/>
      <c r="M178" s="704"/>
      <c r="N178" s="704"/>
      <c r="O178" s="704"/>
      <c r="P178" s="704"/>
      <c r="Q178" s="704"/>
      <c r="R178" s="704"/>
      <c r="S178" s="704"/>
      <c r="T178" s="468" cm="1" t="str">
        <f t="array" ref="T178:T178">T177</f>
        <v>true</v>
      </c>
      <c r="U178" s="593"/>
      <c r="V178" s="593"/>
      <c r="W178" s="593"/>
      <c r="X178" s="1617"/>
      <c r="Y178" s="593"/>
      <c r="Z178" s="1618"/>
      <c r="AA178" s="593"/>
      <c r="AB178" s="811" t="s">
        <v>488</v>
      </c>
      <c r="AC178" s="594" t="s">
        <v>2102</v>
      </c>
      <c r="AD178" s="819" t="s">
        <v>936</v>
      </c>
      <c r="AE178" s="795">
        <f>AE113+AE141+AE146+AE159+AE160+AE162+AE163+AE164+AE168+AE169-AE170-AE171+AE172-AE173+AE176+AE177</f>
        <v>251112.225671154</v>
      </c>
      <c r="AF178" s="795">
        <f>AF113+AF141+AF146+AF159+AF160+AF162+AF163+AF164+AF168+AF169-AF170-AF171+AF172-AF173+AF176+AF177</f>
        <v>253960.92026</v>
      </c>
      <c r="AG178" s="795">
        <f>AG113+AG141+AG146+AG159+AG160+AG162+AG163+AG164+AG168+AG169-AG170-AG171+AG172-AG173+AG176+AG177</f>
        <v>232484.68586</v>
      </c>
      <c r="AH178" s="808">
        <f>AG178-AF178</f>
        <v>-21476.2344</v>
      </c>
      <c r="AI178" s="795">
        <f>AI113+AI141+AI146+AI159+AI160+AI162+AI163+AI164+AI168+AI169-AI170-AI171+AI172-AI173+AI176+AI177</f>
        <v>285520.9952008</v>
      </c>
      <c r="AJ178" s="795">
        <f>AJ113+AJ141+AJ146+AJ159+AJ160+AJ162+AJ163+AJ164+AJ168+AJ169-AJ170-AJ171+AJ172-AJ173+AJ176+AJ177</f>
        <v>240042.34</v>
      </c>
      <c r="AK178" s="795">
        <f>AK113+AK141+AK146+AK159+AK160+AK162+AK163+AK164+AK168+AK169-AK170-AK171+AK172-AK173+AK176+AK177</f>
        <v>270367.49725</v>
      </c>
      <c r="AL178" s="808">
        <f>IF(AI178=0,0,(AK178-AI178)/AI178*100)</f>
        <v>-5.30731477037018</v>
      </c>
      <c r="AM178" s="813"/>
      <c r="AN178" s="813"/>
      <c r="AO178" s="813"/>
      <c r="AP178" s="593"/>
      <c r="AQ178" s="593"/>
      <c r="AR178" s="1071" t="s">
        <v>2103</v>
      </c>
      <c r="AS178" s="1071"/>
      <c r="AT178" s="1071"/>
      <c r="AU178" s="703"/>
      <c r="AV178" s="703"/>
    </row>
    <row s="1656" customFormat="1" customHeight="1" ht="15" hidden="1">
      <c r="A179" s="1324"/>
      <c r="B179" s="582">
        <f>G112="двухставочный"</f>
        <v>0</v>
      </c>
      <c r="C179" s="1324"/>
      <c r="D179" s="1324"/>
      <c r="E179" s="701">
        <v>0</v>
      </c>
      <c r="F179" s="50" cm="1" t="str">
        <f t="array" ref="F179:F179">OFFSET(E179,-1,1)</f>
        <v>1</v>
      </c>
      <c r="G179" s="1324"/>
      <c r="H179" s="1324"/>
      <c r="I179" s="592" t="s">
        <v>2104</v>
      </c>
      <c r="J179" s="592"/>
      <c r="K179" s="592"/>
      <c r="L179" s="592"/>
      <c r="M179" s="592"/>
      <c r="N179" s="592"/>
      <c r="O179" s="592"/>
      <c r="P179" s="592"/>
      <c r="Q179" s="592"/>
      <c r="R179" s="592"/>
      <c r="S179" s="592"/>
      <c r="T179" s="468" cm="1" t="str">
        <f t="array" ref="T179:T179">T178</f>
        <v>true</v>
      </c>
      <c r="U179" s="1324"/>
      <c r="V179" s="1324"/>
      <c r="W179" s="1324"/>
      <c r="X179" s="1617"/>
      <c r="Y179" s="1324"/>
      <c r="Z179" s="1618"/>
      <c r="AA179" s="1324"/>
      <c r="AB179" s="814" t="s">
        <v>2105</v>
      </c>
      <c r="AC179" s="826" t="s">
        <v>2106</v>
      </c>
      <c r="AD179" s="821" t="s">
        <v>936</v>
      </c>
      <c r="AE179" s="6057"/>
      <c r="AF179" s="6057"/>
      <c r="AG179" s="6057"/>
      <c r="AH179" s="809">
        <f>AG179-AF179</f>
        <v>0</v>
      </c>
      <c r="AI179" s="6057"/>
      <c r="AJ179" s="6057"/>
      <c r="AK179" s="6057"/>
      <c r="AL179" s="809">
        <f>IF(AI179=0,0,(AK179-AI179)/AI179*100)</f>
        <v>0</v>
      </c>
      <c r="AM179" s="6039"/>
      <c r="AN179" s="6039"/>
      <c r="AO179" s="6039"/>
      <c r="AP179" s="1324"/>
      <c r="AQ179" s="1324"/>
      <c r="AR179" s="1070" t="s">
        <v>2107</v>
      </c>
      <c r="AS179" s="1070"/>
      <c r="AT179" s="1070"/>
      <c r="AU179" s="1067"/>
      <c r="AV179" s="1067"/>
    </row>
    <row s="1656" customFormat="1" customHeight="1" ht="15" hidden="1">
      <c r="A180" s="1324"/>
      <c r="B180" s="582">
        <f>G112="двухставочный"</f>
        <v>0</v>
      </c>
      <c r="C180" s="1324"/>
      <c r="D180" s="1324"/>
      <c r="E180" s="701">
        <v>0</v>
      </c>
      <c r="F180" s="50" cm="1" t="str">
        <f t="array" ref="F180:F180">OFFSET(E180,-1,1)</f>
        <v>1</v>
      </c>
      <c r="G180" s="1324"/>
      <c r="H180" s="1324"/>
      <c r="I180" s="592" t="s">
        <v>2108</v>
      </c>
      <c r="J180" s="592"/>
      <c r="K180" s="592"/>
      <c r="L180" s="592"/>
      <c r="M180" s="592"/>
      <c r="N180" s="592"/>
      <c r="O180" s="592"/>
      <c r="P180" s="592"/>
      <c r="Q180" s="592"/>
      <c r="R180" s="592"/>
      <c r="S180" s="592"/>
      <c r="T180" s="468" cm="1" t="str">
        <f t="array" ref="T180:T180">T179</f>
        <v>true</v>
      </c>
      <c r="U180" s="1324"/>
      <c r="V180" s="1324"/>
      <c r="W180" s="1324"/>
      <c r="X180" s="1617"/>
      <c r="Y180" s="1324"/>
      <c r="Z180" s="1618"/>
      <c r="AA180" s="1324"/>
      <c r="AB180" s="814" t="s">
        <v>2109</v>
      </c>
      <c r="AC180" s="826" t="s">
        <v>2110</v>
      </c>
      <c r="AD180" s="821" t="s">
        <v>936</v>
      </c>
      <c r="AE180" s="6057"/>
      <c r="AF180" s="6057"/>
      <c r="AG180" s="6057"/>
      <c r="AH180" s="809">
        <f>AG180-AF180</f>
        <v>0</v>
      </c>
      <c r="AI180" s="6057"/>
      <c r="AJ180" s="6057"/>
      <c r="AK180" s="6057"/>
      <c r="AL180" s="809">
        <f>IF(AI180=0,0,(AK180-AI180)/AI180*100)</f>
        <v>0</v>
      </c>
      <c r="AM180" s="6039"/>
      <c r="AN180" s="6039"/>
      <c r="AO180" s="6039"/>
      <c r="AP180" s="1324"/>
      <c r="AQ180" s="1324"/>
      <c r="AR180" s="1070" t="s">
        <v>2111</v>
      </c>
      <c r="AS180" s="1070"/>
      <c r="AT180" s="1070"/>
      <c r="AU180" s="1067"/>
      <c r="AV180" s="1067"/>
    </row>
    <row s="6132" customFormat="1" customHeight="1" ht="14.25">
      <c r="A181" s="593"/>
      <c r="B181" s="593"/>
      <c r="C181" s="593"/>
      <c r="D181" s="593"/>
      <c r="E181" s="703">
        <v>15</v>
      </c>
      <c r="F181" s="50" cm="1" t="str">
        <f t="array" ref="F181:F181">OFFSET(E181,-1,1)</f>
        <v>1</v>
      </c>
      <c r="G181" s="583" t="s">
        <v>1871</v>
      </c>
      <c r="H181" s="593"/>
      <c r="I181" s="704" t="s">
        <v>2112</v>
      </c>
      <c r="J181" s="704"/>
      <c r="K181" s="704"/>
      <c r="L181" s="704"/>
      <c r="M181" s="704"/>
      <c r="N181" s="704"/>
      <c r="O181" s="704"/>
      <c r="P181" s="704"/>
      <c r="Q181" s="704"/>
      <c r="R181" s="704"/>
      <c r="S181" s="704"/>
      <c r="T181" s="468" cm="1" t="str">
        <f t="array" ref="T181:T181">T180</f>
        <v>true</v>
      </c>
      <c r="U181" s="593"/>
      <c r="V181" s="593"/>
      <c r="W181" s="593"/>
      <c r="X181" s="1617"/>
      <c r="Y181" s="593"/>
      <c r="Z181" s="1618"/>
      <c r="AA181" s="593"/>
      <c r="AB181" s="811" t="s">
        <v>490</v>
      </c>
      <c r="AC181" s="594" t="s">
        <v>2113</v>
      </c>
      <c r="AD181" s="819" t="s">
        <v>657</v>
      </c>
      <c r="AE181" s="829">
        <f>_xlfn.SUMIFS(Баланс!AE$26:AE$391,Баланс!$F$26:$F$391,$F181,Баланс!$G$26:$G$391,"ПО")</f>
        <v>11968.79029</v>
      </c>
      <c r="AF181" s="829">
        <f>_xlfn.SUMIFS(Баланс!AF$26:AF$391,Баланс!$F$26:$F$391,$F181,Баланс!$G$26:$G$391,"ПО")</f>
        <v>10968.8492</v>
      </c>
      <c r="AG181" s="829">
        <f>_xlfn.SUMIFS(Баланс!AG$26:AG$391,Баланс!$F$26:$F$391,$F181,Баланс!$G$26:$G$391,"ПО")</f>
        <v>10968.84875</v>
      </c>
      <c r="AH181" s="829">
        <f>AG181-AF181</f>
        <v>-0.00045000000136497</v>
      </c>
      <c r="AI181" s="829">
        <f>_xlfn.SUMIFS(Баланс!AH$26:AH$391,Баланс!$F$26:$F$391,$F181,Баланс!$G$26:$G$391,"ПО")</f>
        <v>11274.18929</v>
      </c>
      <c r="AJ181" s="829">
        <f>_xlfn.SUMIFS(Баланс!AI$26:AI$391,Баланс!$F$26:$F$391,$F181,Баланс!$G$26:$G$391,"ПО")</f>
        <v>10839.59791</v>
      </c>
      <c r="AK181" s="829">
        <f>_xlfn.SUMIFS(Баланс!AS$26:AS$391,Баланс!$F$26:$F$391,$F181,Баланс!$G$26:$G$391,"ПО")</f>
        <v>11287.60815</v>
      </c>
      <c r="AL181" s="830"/>
      <c r="AM181" s="813"/>
      <c r="AN181" s="813"/>
      <c r="AO181" s="813"/>
      <c r="AP181" s="593"/>
      <c r="AQ181" s="593"/>
      <c r="AR181" s="1071" t="s">
        <v>2114</v>
      </c>
      <c r="AS181" s="1071"/>
      <c r="AT181" s="1071"/>
      <c r="AU181" s="703"/>
      <c r="AV181" s="703"/>
    </row>
    <row s="1656" customFormat="1" customHeight="1" ht="14.25">
      <c r="A182" s="1324"/>
      <c r="B182" s="1324"/>
      <c r="C182" s="1324"/>
      <c r="D182" s="1324"/>
      <c r="E182" s="701">
        <v>15</v>
      </c>
      <c r="F182" s="50" cm="1" t="str">
        <f t="array" ref="F182:F182">OFFSET(E182,-1,1)</f>
        <v>1</v>
      </c>
      <c r="G182" s="583" t="s">
        <v>1898</v>
      </c>
      <c r="H182" s="1324"/>
      <c r="I182" s="592" t="s">
        <v>2115</v>
      </c>
      <c r="J182" s="592"/>
      <c r="K182" s="592"/>
      <c r="L182" s="592"/>
      <c r="M182" s="592"/>
      <c r="N182" s="592"/>
      <c r="O182" s="592"/>
      <c r="P182" s="592"/>
      <c r="Q182" s="592"/>
      <c r="R182" s="592"/>
      <c r="S182" s="592"/>
      <c r="T182" s="468" cm="1" t="str">
        <f t="array" ref="T182:T182">T181</f>
        <v>true</v>
      </c>
      <c r="U182" s="1324"/>
      <c r="V182" s="1324"/>
      <c r="W182" s="1324"/>
      <c r="X182" s="1617"/>
      <c r="Y182" s="1324"/>
      <c r="Z182" s="1618"/>
      <c r="AA182" s="1324"/>
      <c r="AB182" s="814" t="s">
        <v>2116</v>
      </c>
      <c r="AC182" s="1120" t="s">
        <v>2117</v>
      </c>
      <c r="AD182" s="821" t="s">
        <v>657</v>
      </c>
      <c r="AE182" s="831">
        <f>IF(AE$24="2026 год",AE181/12*9,AE181/2)</f>
        <v>5984.395145</v>
      </c>
      <c r="AF182" s="831">
        <f>IF(AF$24="2026 год",AF181/12*9,AF181/2)</f>
        <v>5484.4246</v>
      </c>
      <c r="AG182" s="831">
        <f>IF(AG$24="2026 год",AG181/12*9,AG181/2)</f>
        <v>5484.424375</v>
      </c>
      <c r="AH182" s="832">
        <f>AG182-AF182</f>
        <v>-0.000225000000682485</v>
      </c>
      <c r="AI182" s="831">
        <f>IF(AI$24="2026 год",AI181/12*9,AI181/2)</f>
        <v>5637.094645</v>
      </c>
      <c r="AJ182" s="831">
        <f>IF(AJ$24="2026 год",AJ181/12*9,AJ181/2)</f>
        <v>8129.6984325</v>
      </c>
      <c r="AK182" s="831">
        <f>IF(AK$24="2026 год",AK181/12*9,AK181/2)</f>
        <v>8465.7061125</v>
      </c>
      <c r="AL182" s="824"/>
      <c r="AM182" s="810"/>
      <c r="AN182" s="810"/>
      <c r="AO182" s="810"/>
      <c r="AP182" s="1324"/>
      <c r="AQ182" s="1324"/>
      <c r="AR182" s="1070" t="s">
        <v>2118</v>
      </c>
      <c r="AS182" s="1070"/>
      <c r="AT182" s="1070"/>
      <c r="AU182" s="1067"/>
      <c r="AV182" s="1067"/>
    </row>
    <row s="1656" customFormat="1" customHeight="1" ht="14.25">
      <c r="A183" s="1324"/>
      <c r="B183" s="1324"/>
      <c r="C183" s="1324"/>
      <c r="D183" s="1324"/>
      <c r="E183" s="701">
        <v>15</v>
      </c>
      <c r="F183" s="50" cm="1" t="str">
        <f t="array" ref="F183:F183">OFFSET(E183,-1,1)</f>
        <v>1</v>
      </c>
      <c r="G183" s="583" t="s">
        <v>1859</v>
      </c>
      <c r="H183" s="1324"/>
      <c r="I183" s="592" t="s">
        <v>2119</v>
      </c>
      <c r="J183" s="592"/>
      <c r="K183" s="592"/>
      <c r="L183" s="592"/>
      <c r="M183" s="592"/>
      <c r="N183" s="592"/>
      <c r="O183" s="592"/>
      <c r="P183" s="592"/>
      <c r="Q183" s="592"/>
      <c r="R183" s="592"/>
      <c r="S183" s="592"/>
      <c r="T183" s="468" cm="1" t="str">
        <f t="array" ref="T183:T183">T182</f>
        <v>true</v>
      </c>
      <c r="U183" s="1324"/>
      <c r="V183" s="1324"/>
      <c r="W183" s="1324"/>
      <c r="X183" s="1617"/>
      <c r="Y183" s="1324"/>
      <c r="Z183" s="1618"/>
      <c r="AA183" s="1324"/>
      <c r="AB183" s="814" t="s">
        <v>2120</v>
      </c>
      <c r="AC183" s="1120" t="s">
        <v>2121</v>
      </c>
      <c r="AD183" s="821" t="s">
        <v>1862</v>
      </c>
      <c r="AE183" s="816"/>
      <c r="AF183" s="816"/>
      <c r="AG183" s="816"/>
      <c r="AH183" s="809">
        <f>AG183-AF183</f>
        <v>0</v>
      </c>
      <c r="AI183" s="816"/>
      <c r="AJ183" s="816"/>
      <c r="AK183" s="816"/>
      <c r="AL183" s="824"/>
      <c r="AM183" s="810"/>
      <c r="AN183" s="810"/>
      <c r="AO183" s="810"/>
      <c r="AP183" s="1324"/>
      <c r="AQ183" s="1324"/>
      <c r="AR183" s="1070" t="s">
        <v>2122</v>
      </c>
      <c r="AS183" s="1070"/>
      <c r="AT183" s="1070"/>
      <c r="AU183" s="1067"/>
      <c r="AV183" s="1067"/>
    </row>
    <row s="1656" customFormat="1" customHeight="1" ht="14.25">
      <c r="A184" s="1324"/>
      <c r="B184" s="1324"/>
      <c r="C184" s="1324"/>
      <c r="D184" s="1324"/>
      <c r="E184" s="701">
        <v>15</v>
      </c>
      <c r="F184" s="50" cm="1" t="str">
        <f t="array" ref="F184:F184">OFFSET(E184,-1,1)</f>
        <v>1</v>
      </c>
      <c r="G184" s="583" t="s">
        <v>1911</v>
      </c>
      <c r="H184" s="1324"/>
      <c r="I184" s="592" t="s">
        <v>2123</v>
      </c>
      <c r="J184" s="592"/>
      <c r="K184" s="592"/>
      <c r="L184" s="592"/>
      <c r="M184" s="592"/>
      <c r="N184" s="592"/>
      <c r="O184" s="592"/>
      <c r="P184" s="592"/>
      <c r="Q184" s="592"/>
      <c r="R184" s="592"/>
      <c r="S184" s="592"/>
      <c r="T184" s="468" cm="1" t="str">
        <f t="array" ref="T184:T184">T183</f>
        <v>true</v>
      </c>
      <c r="U184" s="1324"/>
      <c r="V184" s="1324"/>
      <c r="W184" s="1324"/>
      <c r="X184" s="1617"/>
      <c r="Y184" s="1324"/>
      <c r="Z184" s="1618"/>
      <c r="AA184" s="1324"/>
      <c r="AB184" s="814" t="s">
        <v>2124</v>
      </c>
      <c r="AC184" s="1120" t="s">
        <v>2125</v>
      </c>
      <c r="AD184" s="821" t="s">
        <v>657</v>
      </c>
      <c r="AE184" s="832">
        <f>AE181-AE182</f>
        <v>5984.395145</v>
      </c>
      <c r="AF184" s="832">
        <f>AF181-AF182</f>
        <v>5484.4246</v>
      </c>
      <c r="AG184" s="832">
        <f>AG181-AG182</f>
        <v>5484.424375</v>
      </c>
      <c r="AH184" s="832">
        <f>AG184-AF184</f>
        <v>-0.000225000000682485</v>
      </c>
      <c r="AI184" s="832">
        <f>AI181-AI182</f>
        <v>5637.094645</v>
      </c>
      <c r="AJ184" s="832">
        <f>AJ181-AJ182</f>
        <v>2709.8994775</v>
      </c>
      <c r="AK184" s="832">
        <f>AK181-AK182</f>
        <v>2821.9020375</v>
      </c>
      <c r="AL184" s="824"/>
      <c r="AM184" s="810"/>
      <c r="AN184" s="810"/>
      <c r="AO184" s="810"/>
      <c r="AP184" s="1324"/>
      <c r="AQ184" s="1324"/>
      <c r="AR184" s="1070" t="s">
        <v>2126</v>
      </c>
      <c r="AS184" s="1070"/>
      <c r="AT184" s="1070"/>
      <c r="AU184" s="1067"/>
      <c r="AV184" s="1067"/>
    </row>
    <row s="1656" customFormat="1" customHeight="1" ht="14.25">
      <c r="A185" s="1324"/>
      <c r="B185" s="1324"/>
      <c r="C185" s="1324"/>
      <c r="D185" s="1324"/>
      <c r="E185" s="701">
        <v>15</v>
      </c>
      <c r="F185" s="50" cm="1" t="str">
        <f t="array" ref="F185:F185">OFFSET(E185,-1,1)</f>
        <v>1</v>
      </c>
      <c r="G185" s="583" t="s">
        <v>1864</v>
      </c>
      <c r="H185" s="1324"/>
      <c r="I185" s="592" t="s">
        <v>2127</v>
      </c>
      <c r="J185" s="592"/>
      <c r="K185" s="592"/>
      <c r="L185" s="592"/>
      <c r="M185" s="592"/>
      <c r="N185" s="592"/>
      <c r="O185" s="592"/>
      <c r="P185" s="592"/>
      <c r="Q185" s="592"/>
      <c r="R185" s="592"/>
      <c r="S185" s="592"/>
      <c r="T185" s="468" cm="1" t="str">
        <f t="array" ref="T185:T185">T184</f>
        <v>true</v>
      </c>
      <c r="U185" s="1324"/>
      <c r="V185" s="1324"/>
      <c r="W185" s="1324"/>
      <c r="X185" s="1617"/>
      <c r="Y185" s="1324"/>
      <c r="Z185" s="1618"/>
      <c r="AA185" s="1324"/>
      <c r="AB185" s="814" t="s">
        <v>2128</v>
      </c>
      <c r="AC185" s="1120" t="s">
        <v>2129</v>
      </c>
      <c r="AD185" s="821" t="s">
        <v>1862</v>
      </c>
      <c r="AE185" s="816">
        <f>IF(AE184=0,0,(AE178-AE182*AE183)/AE184)</f>
        <v>41.961170609023</v>
      </c>
      <c r="AF185" s="816">
        <f>IF(AF184=0,0,(AF178-AF182*AF183)/AF184)</f>
        <v>46.3058458785266</v>
      </c>
      <c r="AG185" s="816">
        <f>IF(AG184=0,0,(AG178-AG182*AG183)/AG184)</f>
        <v>42.3899884406739</v>
      </c>
      <c r="AH185" s="809">
        <f>AG185-AF185</f>
        <v>-3.91585743785269</v>
      </c>
      <c r="AI185" s="816">
        <f>IF(AI184=0,0,(AI178-AI182*AI183)/AI184)</f>
        <v>50.6503816560987</v>
      </c>
      <c r="AJ185" s="816">
        <f>IF(AJ184=0,0,(AJ178-AJ182*AJ183)/AJ184)</f>
        <v>88.5797949307882</v>
      </c>
      <c r="AK185" s="816">
        <f>IF(AK184=0,0,(AK178-AK182*AK183)/AK184)</f>
        <v>95.810376709436</v>
      </c>
      <c r="AL185" s="824"/>
      <c r="AM185" s="810"/>
      <c r="AN185" s="810"/>
      <c r="AO185" s="810"/>
      <c r="AP185" s="1324"/>
      <c r="AQ185" s="1324"/>
      <c r="AR185" s="1070" t="s">
        <v>2130</v>
      </c>
      <c r="AS185" s="1070"/>
      <c r="AT185" s="1070"/>
      <c r="AU185" s="1067"/>
      <c r="AV185" s="1067"/>
    </row>
    <row s="1656" customFormat="1" customHeight="1" ht="14.25">
      <c r="A186" s="1324"/>
      <c r="B186" s="1324"/>
      <c r="C186" s="1324"/>
      <c r="D186" s="1324"/>
      <c r="E186" s="701">
        <v>15</v>
      </c>
      <c r="F186" s="50" cm="1" t="str">
        <f t="array" ref="F186:F186">OFFSET(E186,-1,1)</f>
        <v>1</v>
      </c>
      <c r="G186" s="583"/>
      <c r="H186" s="1324"/>
      <c r="I186" s="592" t="s">
        <v>2131</v>
      </c>
      <c r="J186" s="592"/>
      <c r="K186" s="592"/>
      <c r="L186" s="592"/>
      <c r="M186" s="592"/>
      <c r="N186" s="592"/>
      <c r="O186" s="592"/>
      <c r="P186" s="592"/>
      <c r="Q186" s="592"/>
      <c r="R186" s="592"/>
      <c r="S186" s="592"/>
      <c r="T186" s="468" cm="1" t="str">
        <f t="array" ref="T186:T186">T185</f>
        <v>true</v>
      </c>
      <c r="U186" s="1324"/>
      <c r="V186" s="1324"/>
      <c r="W186" s="1324"/>
      <c r="X186" s="1617"/>
      <c r="Y186" s="1324"/>
      <c r="Z186" s="1618"/>
      <c r="AA186" s="1324"/>
      <c r="AB186" s="814" t="s">
        <v>2132</v>
      </c>
      <c r="AC186" s="1120" t="s">
        <v>2133</v>
      </c>
      <c r="AD186" s="821" t="s">
        <v>561</v>
      </c>
      <c r="AE186" s="809">
        <f>IF(AE183=0,0,AE185/AE183*100)</f>
        <v>0</v>
      </c>
      <c r="AF186" s="809">
        <f>IF(AF183=0,0,AF185/AF183*100)</f>
        <v>0</v>
      </c>
      <c r="AG186" s="809">
        <f>IF(AG183=0,0,AG185/AG183*100)</f>
        <v>0</v>
      </c>
      <c r="AH186" s="824"/>
      <c r="AI186" s="809">
        <f>IF(AI183=0,0,AI185/AI183*100)</f>
        <v>0</v>
      </c>
      <c r="AJ186" s="809">
        <f>IF(AJ183=0,0,AJ185/AJ183*100)</f>
        <v>0</v>
      </c>
      <c r="AK186" s="809">
        <f>IF(AK183=0,0,AK185/AK183*100)</f>
        <v>0</v>
      </c>
      <c r="AL186" s="824"/>
      <c r="AM186" s="810"/>
      <c r="AN186" s="810"/>
      <c r="AO186" s="810"/>
      <c r="AP186" s="1324"/>
      <c r="AQ186" s="1324"/>
      <c r="AR186" s="1070" t="s">
        <v>2134</v>
      </c>
      <c r="AS186" s="1070"/>
      <c r="AT186" s="1070"/>
      <c r="AU186" s="1067"/>
      <c r="AV186" s="1067"/>
    </row>
    <row s="1656" customFormat="1" customHeight="1" ht="14.25">
      <c r="A187" s="1324"/>
      <c r="B187" s="1324"/>
      <c r="C187" s="1324"/>
      <c r="D187" s="1324"/>
      <c r="E187" s="701">
        <v>15</v>
      </c>
      <c r="F187" s="50" cm="1" t="str">
        <f t="array" ref="F187:F187">OFFSET(E187,-1,1)</f>
        <v>1</v>
      </c>
      <c r="G187" s="583"/>
      <c r="H187" s="1324"/>
      <c r="I187" s="592" t="s">
        <v>2135</v>
      </c>
      <c r="J187" s="592"/>
      <c r="K187" s="592"/>
      <c r="L187" s="592"/>
      <c r="M187" s="592"/>
      <c r="N187" s="592"/>
      <c r="O187" s="592"/>
      <c r="P187" s="592"/>
      <c r="Q187" s="592"/>
      <c r="R187" s="592"/>
      <c r="S187" s="592"/>
      <c r="T187" s="468" cm="1" t="str">
        <f t="array" ref="T187:T187">T186</f>
        <v>true</v>
      </c>
      <c r="U187" s="1324"/>
      <c r="V187" s="1324"/>
      <c r="W187" s="1324"/>
      <c r="X187" s="1617"/>
      <c r="Y187" s="1324"/>
      <c r="Z187" s="1618"/>
      <c r="AA187" s="1324"/>
      <c r="AB187" s="814" t="s">
        <v>2136</v>
      </c>
      <c r="AC187" s="1120" t="s">
        <v>2137</v>
      </c>
      <c r="AD187" s="821" t="s">
        <v>1862</v>
      </c>
      <c r="AE187" s="816">
        <f>IF(AE181=0,0,AE178/AE181)</f>
        <v>20.9805853045115</v>
      </c>
      <c r="AF187" s="816">
        <f>IF(AF181=0,0,AF178/AF181)</f>
        <v>23.1529229392633</v>
      </c>
      <c r="AG187" s="816">
        <f>IF(AG181=0,0,AG178/AG181)</f>
        <v>21.1949942203369</v>
      </c>
      <c r="AH187" s="809">
        <f>AG187-AF187</f>
        <v>-1.9579287189264</v>
      </c>
      <c r="AI187" s="816">
        <f>IF(AI181=0,0,AI178/AI181)</f>
        <v>25.3251908280493</v>
      </c>
      <c r="AJ187" s="816">
        <f>IF(AJ181=0,0,AJ178/AJ181)</f>
        <v>22.144948732697</v>
      </c>
      <c r="AK187" s="816">
        <f>IF(AK181=0,0,AK178/AK181)</f>
        <v>23.952594177359</v>
      </c>
      <c r="AL187" s="824"/>
      <c r="AM187" s="810"/>
      <c r="AN187" s="810"/>
      <c r="AO187" s="810"/>
      <c r="AP187" s="1324"/>
      <c r="AQ187" s="1324"/>
      <c r="AR187" s="1070" t="s">
        <v>2138</v>
      </c>
      <c r="AS187" s="1070"/>
      <c r="AT187" s="1070"/>
      <c r="AU187" s="1067"/>
      <c r="AV187" s="1067"/>
    </row>
    <row s="6134" customFormat="1" customHeight="1" ht="14.25">
      <c r="A188" s="593"/>
      <c r="B188" s="593"/>
      <c r="C188" s="593"/>
      <c r="D188" s="593"/>
      <c r="E188" s="703">
        <v>15</v>
      </c>
      <c r="F188" s="50" cm="1" t="str">
        <f t="array" ref="F188:F188">OFFSET(E188,-1,1)</f>
        <v>1</v>
      </c>
      <c r="G188" s="706"/>
      <c r="H188" s="593"/>
      <c r="I188" s="704" t="s">
        <v>2139</v>
      </c>
      <c r="J188" s="704"/>
      <c r="K188" s="704"/>
      <c r="L188" s="704"/>
      <c r="M188" s="704"/>
      <c r="N188" s="704"/>
      <c r="O188" s="704"/>
      <c r="P188" s="704"/>
      <c r="Q188" s="704"/>
      <c r="R188" s="704"/>
      <c r="S188" s="704"/>
      <c r="T188" s="468" cm="1" t="str">
        <f t="array" ref="T188:T188">T187</f>
        <v>true</v>
      </c>
      <c r="U188" s="593"/>
      <c r="V188" s="593"/>
      <c r="W188" s="593"/>
      <c r="X188" s="1617"/>
      <c r="Y188" s="593"/>
      <c r="Z188" s="1618"/>
      <c r="AA188" s="593"/>
      <c r="AB188" s="811" t="s">
        <v>492</v>
      </c>
      <c r="AC188" s="208" t="s">
        <v>2140</v>
      </c>
      <c r="AD188" s="819" t="s">
        <v>936</v>
      </c>
      <c r="AE188" s="1253">
        <f>IF(AE181=0,0,AE178/AE181*AE189)</f>
        <v>87962.3207631121</v>
      </c>
      <c r="AF188" s="1253">
        <f>IF(AF181=0,0,AF178/AF181*AF189)</f>
        <v>98135.781907458</v>
      </c>
      <c r="AG188" s="1253">
        <f>IF(AG181=0,0,AG178/AG181*AG189)</f>
        <v>89836.9219209694</v>
      </c>
      <c r="AH188" s="795">
        <f>AH190*AH191+AH192*AH193</f>
        <v>0</v>
      </c>
      <c r="AI188" s="1253">
        <f>IF(AI181=0,0,AI178/AI181*AI189)</f>
        <v>105867.853270464</v>
      </c>
      <c r="AJ188" s="1253">
        <f>IF(AJ181=0,0,AJ178/AJ181*AJ189)</f>
        <v>87569.5930815351</v>
      </c>
      <c r="AK188" s="1253">
        <f>IF(AK181=0,0,AK178/AK181*AK189)</f>
        <v>99888.8433643447</v>
      </c>
      <c r="AL188" s="808">
        <f>IF(AI188=0,0,(AK188-AI188)/AI188*100)</f>
        <v>-5.6476160811956</v>
      </c>
      <c r="AM188" s="813"/>
      <c r="AN188" s="813"/>
      <c r="AO188" s="813"/>
      <c r="AP188" s="593"/>
      <c r="AQ188" s="593"/>
      <c r="AR188" s="1071" t="s">
        <v>2141</v>
      </c>
      <c r="AS188" s="1071"/>
      <c r="AT188" s="1071"/>
      <c r="AU188" s="703"/>
      <c r="AV188" s="703"/>
    </row>
    <row s="6136" customFormat="1" customHeight="1" ht="14.25">
      <c r="A189" s="593"/>
      <c r="B189" s="593"/>
      <c r="C189" s="593"/>
      <c r="D189" s="593"/>
      <c r="E189" s="703">
        <v>15</v>
      </c>
      <c r="F189" s="50" cm="1" t="str">
        <f t="array" ref="F189:F189">OFFSET(E189,-1,1)</f>
        <v>1</v>
      </c>
      <c r="G189" s="583" t="s">
        <v>1884</v>
      </c>
      <c r="H189" s="593"/>
      <c r="I189" s="704" t="s">
        <v>2142</v>
      </c>
      <c r="J189" s="704"/>
      <c r="K189" s="704"/>
      <c r="L189" s="704"/>
      <c r="M189" s="704"/>
      <c r="N189" s="704"/>
      <c r="O189" s="704"/>
      <c r="P189" s="704"/>
      <c r="Q189" s="704"/>
      <c r="R189" s="704"/>
      <c r="S189" s="704"/>
      <c r="T189" s="468" cm="1" t="str">
        <f t="array" ref="T189:T189">T188</f>
        <v>true</v>
      </c>
      <c r="U189" s="593"/>
      <c r="V189" s="593"/>
      <c r="W189" s="593"/>
      <c r="X189" s="1617"/>
      <c r="Y189" s="593"/>
      <c r="Z189" s="1618"/>
      <c r="AA189" s="593"/>
      <c r="AB189" s="811" t="s">
        <v>495</v>
      </c>
      <c r="AC189" s="208" t="s">
        <v>2143</v>
      </c>
      <c r="AD189" s="819" t="s">
        <v>657</v>
      </c>
      <c r="AE189" s="829">
        <f>_xlfn.SUMIFS(Баланс!AE$26:AE$391,Баланс!$F$26:$F$391,$F189,Баланс!$G$26:$G$391,"население")</f>
        <v>4192.558</v>
      </c>
      <c r="AF189" s="829">
        <f>_xlfn.SUMIFS(Баланс!AF$26:AF$391,Баланс!$F$26:$F$391,$F189,Баланс!$G$26:$G$391,"население")</f>
        <v>4238.59148</v>
      </c>
      <c r="AG189" s="829">
        <f>_xlfn.SUMIFS(Баланс!AG$26:AG$391,Баланс!$F$26:$F$391,$F189,Баланс!$G$26:$G$391,"население")</f>
        <v>4238.59148</v>
      </c>
      <c r="AH189" s="829">
        <f>AG189-AF189</f>
        <v>0</v>
      </c>
      <c r="AI189" s="829">
        <f>_xlfn.SUMIFS(Баланс!AH$26:AH$391,Баланс!$F$26:$F$391,$F189,Баланс!$G$26:$G$391,"население")</f>
        <v>4180.33783</v>
      </c>
      <c r="AJ189" s="829">
        <f>_xlfn.SUMIFS(Баланс!AI$26:AI$391,Баланс!$F$26:$F$391,$F189,Баланс!$G$26:$G$391,"население")</f>
        <v>3954.38229</v>
      </c>
      <c r="AK189" s="829">
        <f>_xlfn.SUMIFS(Баланс!AS$26:AS$391,Баланс!$F$26:$F$391,$F189,Баланс!$G$26:$G$391,"население")</f>
        <v>4170.27244</v>
      </c>
      <c r="AL189" s="830"/>
      <c r="AM189" s="813"/>
      <c r="AN189" s="813"/>
      <c r="AO189" s="813"/>
      <c r="AP189" s="593"/>
      <c r="AQ189" s="593"/>
      <c r="AR189" s="1071" t="s">
        <v>2144</v>
      </c>
      <c r="AS189" s="1071"/>
      <c r="AT189" s="1071"/>
      <c r="AU189" s="703"/>
      <c r="AV189" s="703"/>
    </row>
    <row s="1656" customFormat="1" customHeight="1" ht="14.25">
      <c r="A190" s="1324"/>
      <c r="B190" s="1324"/>
      <c r="C190" s="1324"/>
      <c r="D190" s="1324"/>
      <c r="E190" s="701">
        <v>15</v>
      </c>
      <c r="F190" s="50" cm="1" t="str">
        <f t="array" ref="F190:F190">OFFSET(E190,-1,1)</f>
        <v>1</v>
      </c>
      <c r="G190" s="583" t="s">
        <v>1918</v>
      </c>
      <c r="H190" s="1324"/>
      <c r="I190" s="592" t="s">
        <v>2145</v>
      </c>
      <c r="J190" s="592"/>
      <c r="K190" s="592"/>
      <c r="L190" s="592"/>
      <c r="M190" s="592"/>
      <c r="N190" s="592"/>
      <c r="O190" s="592"/>
      <c r="P190" s="592"/>
      <c r="Q190" s="592"/>
      <c r="R190" s="592"/>
      <c r="S190" s="592"/>
      <c r="T190" s="468" cm="1" t="str">
        <f t="array" ref="T190:T190">T189</f>
        <v>true</v>
      </c>
      <c r="U190" s="1324"/>
      <c r="V190" s="1324"/>
      <c r="W190" s="1324"/>
      <c r="X190" s="1617"/>
      <c r="Y190" s="1324"/>
      <c r="Z190" s="1618"/>
      <c r="AA190" s="1324"/>
      <c r="AB190" s="814" t="s">
        <v>2146</v>
      </c>
      <c r="AC190" s="1120" t="s">
        <v>2147</v>
      </c>
      <c r="AD190" s="821" t="s">
        <v>657</v>
      </c>
      <c r="AE190" s="831">
        <f>IF(AE$24="2026 год",AE189/12*9,AE189/2)</f>
        <v>2096.279</v>
      </c>
      <c r="AF190" s="831">
        <f>IF(AF$24="2026 год",AF189/12*9,AF189/2)</f>
        <v>2119.29574</v>
      </c>
      <c r="AG190" s="831">
        <f>IF(AG$24="2026 год",AG189/12*9,AG189/2)</f>
        <v>2119.29574</v>
      </c>
      <c r="AH190" s="832">
        <f>AG190-AF190</f>
        <v>0</v>
      </c>
      <c r="AI190" s="831">
        <f>IF(AI$24="2026 год",AI189/12*9,AI189/2)</f>
        <v>2090.168915</v>
      </c>
      <c r="AJ190" s="831">
        <f>IF(AJ$24="2026 год",AJ189/12*9,AJ189/2)</f>
        <v>2965.7867175</v>
      </c>
      <c r="AK190" s="831">
        <f>IF(AK$24="2026 год",AK189/12*9,AK189/2)</f>
        <v>3127.70433</v>
      </c>
      <c r="AL190" s="824"/>
      <c r="AM190" s="810"/>
      <c r="AN190" s="810"/>
      <c r="AO190" s="810"/>
      <c r="AP190" s="1324"/>
      <c r="AQ190" s="1324"/>
      <c r="AR190" s="1070" t="s">
        <v>2148</v>
      </c>
      <c r="AS190" s="1070"/>
      <c r="AT190" s="1070"/>
      <c r="AU190" s="1067"/>
      <c r="AV190" s="1067"/>
    </row>
    <row s="1656" customFormat="1" customHeight="1" ht="14.25">
      <c r="A191" s="1324"/>
      <c r="B191" s="1324"/>
      <c r="C191" s="1324"/>
      <c r="D191" s="1324"/>
      <c r="E191" s="701">
        <v>15</v>
      </c>
      <c r="F191" s="50" cm="1" t="str">
        <f t="array" ref="F191:F191">OFFSET(E191,-1,1)</f>
        <v>1</v>
      </c>
      <c r="G191" s="583" t="s">
        <v>1874</v>
      </c>
      <c r="H191" s="1324"/>
      <c r="I191" s="592" t="s">
        <v>2149</v>
      </c>
      <c r="J191" s="592"/>
      <c r="K191" s="592"/>
      <c r="L191" s="592"/>
      <c r="M191" s="592"/>
      <c r="N191" s="592"/>
      <c r="O191" s="592"/>
      <c r="P191" s="592"/>
      <c r="Q191" s="592"/>
      <c r="R191" s="592"/>
      <c r="S191" s="592"/>
      <c r="T191" s="468" cm="1" t="str">
        <f t="array" ref="T191:T191">T190</f>
        <v>true</v>
      </c>
      <c r="U191" s="1324"/>
      <c r="V191" s="1324"/>
      <c r="W191" s="1324"/>
      <c r="X191" s="1617"/>
      <c r="Y191" s="1324"/>
      <c r="Z191" s="1618"/>
      <c r="AA191" s="1324"/>
      <c r="AB191" s="814" t="s">
        <v>2150</v>
      </c>
      <c r="AC191" s="1120" t="s">
        <v>2151</v>
      </c>
      <c r="AD191" s="821" t="s">
        <v>1862</v>
      </c>
      <c r="AE191" s="1385">
        <f>IF(AE189=0,0,AE183*(1+Сценарии!AE$26/100))</f>
        <v>0</v>
      </c>
      <c r="AF191" s="1385">
        <f>IF(AF189=0,0,AF183*(1+Сценарии!AF$26/100))</f>
        <v>0</v>
      </c>
      <c r="AG191" s="1385">
        <f>IF(AG189=0,0,AG183*(1+Сценарии!AG$26/100))</f>
        <v>0</v>
      </c>
      <c r="AH191" s="809">
        <f>AG191-AF191</f>
        <v>0</v>
      </c>
      <c r="AI191" s="1385">
        <f>IF(AI189=0,0,AI183*(1+Сценарии!AI$26/100))</f>
        <v>0</v>
      </c>
      <c r="AJ191" s="1385">
        <f>IF(AJ189=0,0,AJ183*(1+Сценарии!AJ$26/100))</f>
        <v>0</v>
      </c>
      <c r="AK191" s="1385">
        <f>IF(AK189=0,0,AK183*(1+Сценарии!AK$26/100))</f>
        <v>0</v>
      </c>
      <c r="AL191" s="824"/>
      <c r="AM191" s="810"/>
      <c r="AN191" s="810"/>
      <c r="AO191" s="810"/>
      <c r="AP191" s="1324"/>
      <c r="AQ191" s="1324"/>
      <c r="AR191" s="1070" t="s">
        <v>2152</v>
      </c>
      <c r="AS191" s="1070"/>
      <c r="AT191" s="1070"/>
      <c r="AU191" s="1067"/>
      <c r="AV191" s="1067"/>
    </row>
    <row s="1656" customFormat="1" customHeight="1" ht="14.25">
      <c r="A192" s="1324"/>
      <c r="B192" s="1324"/>
      <c r="C192" s="1324"/>
      <c r="D192" s="1324"/>
      <c r="E192" s="701">
        <v>15</v>
      </c>
      <c r="F192" s="50" cm="1" t="str">
        <f t="array" ref="F192:F192">OFFSET(E192,-1,1)</f>
        <v>1</v>
      </c>
      <c r="G192" s="583" t="s">
        <v>1925</v>
      </c>
      <c r="H192" s="1324"/>
      <c r="I192" s="592" t="s">
        <v>2153</v>
      </c>
      <c r="J192" s="592"/>
      <c r="K192" s="592"/>
      <c r="L192" s="592"/>
      <c r="M192" s="592"/>
      <c r="N192" s="592"/>
      <c r="O192" s="592"/>
      <c r="P192" s="592"/>
      <c r="Q192" s="592"/>
      <c r="R192" s="592"/>
      <c r="S192" s="592"/>
      <c r="T192" s="468" cm="1" t="str">
        <f t="array" ref="T192:T192">T191</f>
        <v>true</v>
      </c>
      <c r="U192" s="1324"/>
      <c r="V192" s="1324"/>
      <c r="W192" s="1324"/>
      <c r="X192" s="1617"/>
      <c r="Y192" s="1324"/>
      <c r="Z192" s="1618"/>
      <c r="AA192" s="1324"/>
      <c r="AB192" s="814" t="s">
        <v>2154</v>
      </c>
      <c r="AC192" s="1120" t="s">
        <v>2125</v>
      </c>
      <c r="AD192" s="821" t="s">
        <v>657</v>
      </c>
      <c r="AE192" s="832">
        <f>AE189-AE190</f>
        <v>2096.279</v>
      </c>
      <c r="AF192" s="832">
        <f>AF189-AF190</f>
        <v>2119.29574</v>
      </c>
      <c r="AG192" s="832">
        <f>AG189-AG190</f>
        <v>2119.29574</v>
      </c>
      <c r="AH192" s="832">
        <f>AG192-AF192</f>
        <v>0</v>
      </c>
      <c r="AI192" s="832">
        <f>AI189-AI190</f>
        <v>2090.168915</v>
      </c>
      <c r="AJ192" s="832">
        <f>AJ189-AJ190</f>
        <v>988.5955725</v>
      </c>
      <c r="AK192" s="832">
        <f>AK189-AK190</f>
        <v>1042.56811</v>
      </c>
      <c r="AL192" s="824"/>
      <c r="AM192" s="810"/>
      <c r="AN192" s="810"/>
      <c r="AO192" s="810"/>
      <c r="AP192" s="1324"/>
      <c r="AQ192" s="1324"/>
      <c r="AR192" s="1070" t="s">
        <v>2155</v>
      </c>
      <c r="AS192" s="1070"/>
      <c r="AT192" s="1070"/>
      <c r="AU192" s="1067"/>
      <c r="AV192" s="1067"/>
    </row>
    <row s="1656" customFormat="1" customHeight="1" ht="14.25">
      <c r="A193" s="1324"/>
      <c r="B193" s="1324"/>
      <c r="C193" s="1324"/>
      <c r="D193" s="1324"/>
      <c r="E193" s="701">
        <v>15</v>
      </c>
      <c r="F193" s="50" cm="1" t="str">
        <f t="array" ref="F193:F193">OFFSET(E193,-1,1)</f>
        <v>1</v>
      </c>
      <c r="G193" s="583" t="s">
        <v>1878</v>
      </c>
      <c r="H193" s="1324"/>
      <c r="I193" s="592" t="s">
        <v>2156</v>
      </c>
      <c r="J193" s="592"/>
      <c r="K193" s="592"/>
      <c r="L193" s="592"/>
      <c r="M193" s="592"/>
      <c r="N193" s="592"/>
      <c r="O193" s="592"/>
      <c r="P193" s="592"/>
      <c r="Q193" s="592"/>
      <c r="R193" s="592"/>
      <c r="S193" s="592"/>
      <c r="T193" s="468" cm="1" t="str">
        <f t="array" ref="T193:T193">T192</f>
        <v>true</v>
      </c>
      <c r="U193" s="1324"/>
      <c r="V193" s="1324"/>
      <c r="W193" s="1324"/>
      <c r="X193" s="1617"/>
      <c r="Y193" s="1324"/>
      <c r="Z193" s="1618"/>
      <c r="AA193" s="1324"/>
      <c r="AB193" s="814" t="s">
        <v>2157</v>
      </c>
      <c r="AC193" s="1120" t="s">
        <v>2158</v>
      </c>
      <c r="AD193" s="821" t="s">
        <v>1862</v>
      </c>
      <c r="AE193" s="816">
        <f>IF(AE189=0,0,AE185*(1+Сценарии!AE$26/100))</f>
        <v>41.961170609023</v>
      </c>
      <c r="AF193" s="816">
        <f>IF(AF189=0,0,AF185*(1+Сценарии!AF$26/100))</f>
        <v>46.3058458785266</v>
      </c>
      <c r="AG193" s="816">
        <f>IF(AG189=0,0,AG185*(1+Сценарии!AG$26/100))</f>
        <v>42.3899884406739</v>
      </c>
      <c r="AH193" s="809">
        <f>AG193-AF193</f>
        <v>-3.91585743785269</v>
      </c>
      <c r="AI193" s="816">
        <f>IF(AI189=0,0,AI185*(1+Сценарии!AI$26/100))</f>
        <v>50.6503816560987</v>
      </c>
      <c r="AJ193" s="816">
        <f>IF(AJ189=0,0,AJ185*(1+Сценарии!AJ$26/100))</f>
        <v>88.5797949307882</v>
      </c>
      <c r="AK193" s="816">
        <f>IF(AK189=0,0,AK185*(1+Сценарии!AK$26/100))</f>
        <v>95.810376709436</v>
      </c>
      <c r="AL193" s="824"/>
      <c r="AM193" s="810"/>
      <c r="AN193" s="810"/>
      <c r="AO193" s="810"/>
      <c r="AP193" s="1324"/>
      <c r="AQ193" s="1324"/>
      <c r="AR193" s="1070" t="s">
        <v>2159</v>
      </c>
      <c r="AS193" s="1070"/>
      <c r="AT193" s="1070"/>
      <c r="AU193" s="1067"/>
      <c r="AV193" s="1067"/>
    </row>
    <row s="1656" customFormat="1" customHeight="1" ht="14.25">
      <c r="A194" s="1324"/>
      <c r="B194" s="1324"/>
      <c r="C194" s="1324"/>
      <c r="D194" s="1324"/>
      <c r="E194" s="701">
        <v>15</v>
      </c>
      <c r="F194" s="50" cm="1" t="str">
        <f t="array" ref="F194:F194">OFFSET(E194,-1,1)</f>
        <v>1</v>
      </c>
      <c r="G194" s="583"/>
      <c r="H194" s="1324"/>
      <c r="I194" s="592"/>
      <c r="J194" s="592"/>
      <c r="K194" s="592"/>
      <c r="L194" s="592"/>
      <c r="M194" s="592"/>
      <c r="N194" s="592"/>
      <c r="O194" s="592"/>
      <c r="P194" s="592"/>
      <c r="Q194" s="592"/>
      <c r="R194" s="592"/>
      <c r="S194" s="592"/>
      <c r="T194" s="468" cm="1" t="str">
        <f t="array" ref="T194:T194">T193</f>
        <v>true</v>
      </c>
      <c r="U194" s="1324"/>
      <c r="V194" s="1324"/>
      <c r="W194" s="1324"/>
      <c r="X194" s="1617"/>
      <c r="Y194" s="1324"/>
      <c r="Z194" s="1618"/>
      <c r="AA194" s="1324"/>
      <c r="AB194" s="214" t="s">
        <v>498</v>
      </c>
      <c r="AC194" s="208" t="s">
        <v>2160</v>
      </c>
      <c r="AD194" s="207" t="s">
        <v>936</v>
      </c>
      <c r="AE194" s="816"/>
      <c r="AF194" s="816"/>
      <c r="AG194" s="816"/>
      <c r="AH194" s="809">
        <f>AG194-AF194</f>
        <v>0</v>
      </c>
      <c r="AI194" s="816"/>
      <c r="AJ194" s="816"/>
      <c r="AK194" s="816"/>
      <c r="AL194" s="824"/>
      <c r="AM194" s="810"/>
      <c r="AN194" s="810"/>
      <c r="AO194" s="810"/>
      <c r="AP194" s="1324"/>
      <c r="AQ194" s="1324"/>
      <c r="AR194" s="1070" t="s">
        <v>2161</v>
      </c>
      <c r="AS194" s="1070"/>
      <c r="AT194" s="1070"/>
      <c r="AU194" s="1067"/>
      <c r="AV194" s="1067"/>
    </row>
    <row s="1656" customFormat="1" customHeight="1" ht="21.75">
      <c r="A195" s="1324"/>
      <c r="B195" s="1324"/>
      <c r="C195" s="1324"/>
      <c r="D195" s="1324"/>
      <c r="E195" s="701">
        <v>22.5</v>
      </c>
      <c r="F195" s="50" cm="1" t="str">
        <f t="array" ref="F195:F195">OFFSET(E195,-1,1)</f>
        <v>1</v>
      </c>
      <c r="G195" s="583"/>
      <c r="H195" s="1324"/>
      <c r="I195" s="592"/>
      <c r="J195" s="592"/>
      <c r="K195" s="592"/>
      <c r="L195" s="592"/>
      <c r="M195" s="592"/>
      <c r="N195" s="592"/>
      <c r="O195" s="592"/>
      <c r="P195" s="592"/>
      <c r="Q195" s="592"/>
      <c r="R195" s="592"/>
      <c r="S195" s="592"/>
      <c r="T195" s="468" cm="1" t="str">
        <f t="array" ref="T195:T195">T194</f>
        <v>true</v>
      </c>
      <c r="U195" s="1324"/>
      <c r="V195" s="1324"/>
      <c r="W195" s="1324"/>
      <c r="X195" s="1617"/>
      <c r="Y195" s="1324"/>
      <c r="Z195" s="1618"/>
      <c r="AA195" s="1324"/>
      <c r="AB195" s="295" t="s">
        <v>2162</v>
      </c>
      <c r="AC195" s="769" t="s">
        <v>2163</v>
      </c>
      <c r="AD195" s="296" t="s">
        <v>936</v>
      </c>
      <c r="AE195" s="816"/>
      <c r="AF195" s="816"/>
      <c r="AG195" s="816"/>
      <c r="AH195" s="809">
        <f>AG195-AF195</f>
        <v>0</v>
      </c>
      <c r="AI195" s="816"/>
      <c r="AJ195" s="816"/>
      <c r="AK195" s="816"/>
      <c r="AL195" s="824"/>
      <c r="AM195" s="810"/>
      <c r="AN195" s="810"/>
      <c r="AO195" s="810"/>
      <c r="AP195" s="1324"/>
      <c r="AQ195" s="1324"/>
      <c r="AR195" s="1070" t="s">
        <v>2164</v>
      </c>
      <c r="AS195" s="1070"/>
      <c r="AT195" s="1070"/>
      <c r="AU195" s="1067"/>
      <c r="AV195" s="1067"/>
    </row>
    <row s="1656" customFormat="1" customHeight="1" ht="69.75">
      <c r="A196" s="1324"/>
      <c r="B196" s="1324"/>
      <c r="C196" s="1324"/>
      <c r="D196" s="1324"/>
      <c r="E196" s="701">
        <v>72</v>
      </c>
      <c r="F196" s="50" cm="1" t="str">
        <f t="array" ref="F196:F196">OFFSET(E196,-1,1)</f>
        <v>1</v>
      </c>
      <c r="G196" s="583"/>
      <c r="H196" s="1324"/>
      <c r="I196" s="592"/>
      <c r="J196" s="592"/>
      <c r="K196" s="592"/>
      <c r="L196" s="592"/>
      <c r="M196" s="592"/>
      <c r="N196" s="592"/>
      <c r="O196" s="592"/>
      <c r="P196" s="592"/>
      <c r="Q196" s="592"/>
      <c r="R196" s="592"/>
      <c r="S196" s="592"/>
      <c r="T196" s="468" cm="1" t="str">
        <f t="array" ref="T196:T196">T195</f>
        <v>true</v>
      </c>
      <c r="U196" s="1324"/>
      <c r="V196" s="1324"/>
      <c r="W196" s="1324"/>
      <c r="X196" s="1617"/>
      <c r="Y196" s="1324"/>
      <c r="Z196" s="1618"/>
      <c r="AA196" s="1324"/>
      <c r="AB196" s="295" t="s">
        <v>2165</v>
      </c>
      <c r="AC196" s="769" t="s">
        <v>2166</v>
      </c>
      <c r="AD196" s="296" t="s">
        <v>936</v>
      </c>
      <c r="AE196" s="816"/>
      <c r="AF196" s="816"/>
      <c r="AG196" s="816"/>
      <c r="AH196" s="809">
        <f>AG196-AF196</f>
        <v>0</v>
      </c>
      <c r="AI196" s="816"/>
      <c r="AJ196" s="816"/>
      <c r="AK196" s="816"/>
      <c r="AL196" s="824"/>
      <c r="AM196" s="810"/>
      <c r="AN196" s="810"/>
      <c r="AO196" s="810"/>
      <c r="AP196" s="1324"/>
      <c r="AQ196" s="1324"/>
      <c r="AR196" s="1070" t="s">
        <v>2167</v>
      </c>
      <c r="AS196" s="1070"/>
      <c r="AT196" s="1070"/>
      <c r="AU196" s="1067"/>
      <c r="AV196" s="1067"/>
    </row>
    <row s="1656" customFormat="1" customHeight="1" ht="14.25">
      <c r="A197" s="1324"/>
      <c r="B197" s="1324"/>
      <c r="C197" s="1324"/>
      <c r="D197" s="1324"/>
      <c r="E197" s="701">
        <v>15</v>
      </c>
      <c r="F197" s="584" cm="1" t="str">
        <f t="array" ref="F197:F197">X197</f>
        <v>2</v>
      </c>
      <c r="G197" s="702" cm="1" t="str">
        <f t="array" ref="G197:G197">INDEX('Общие сведения'!$AK$197:$AK$254,MATCH($X197,'Общие сведения'!$Z$197:$Z$254,0))</f>
        <v>одноставочный</v>
      </c>
      <c r="H197" s="1324"/>
      <c r="I197" s="1324"/>
      <c r="J197" s="1324"/>
      <c r="K197" s="1324"/>
      <c r="L197" s="1324"/>
      <c r="M197" s="1324"/>
      <c r="N197" s="1324"/>
      <c r="O197" s="1324"/>
      <c r="P197" s="1324"/>
      <c r="Q197" s="1324"/>
      <c r="R197" s="1324"/>
      <c r="S197" s="1324"/>
      <c r="T197" s="468">
        <f>X197&gt;0</f>
        <v>1</v>
      </c>
      <c r="U197" s="1324"/>
      <c r="V197" s="700" cm="1" t="str">
        <f t="array" ref="V197:V197">ТМ!$AD$179</f>
        <v>Тариф 2 (Водоотведение) - тариф на водоотведение (Оказание услуг на территории: город Ленинск-Кузнецкий (ОКТМО: 32719000) - г Ленинск-Кузнецкий)</v>
      </c>
      <c r="W197" s="1324"/>
      <c r="X197" s="1617" t="s">
        <v>299</v>
      </c>
      <c r="Y197" s="1324"/>
      <c r="Z197" s="1618"/>
      <c r="AA197" s="1324"/>
      <c r="AB197" s="1246" cm="1" t="str">
        <f t="array" ref="AB197:AB197">ТМ!$AD$179</f>
        <v>Тариф 2 (Водоотведение) - тариф на водоотведение (Оказание услуг на территории: город Ленинск-Кузнецкий (ОКТМО: 32719000) - г Ленинск-Кузнецкий)</v>
      </c>
      <c r="AC197" s="591"/>
      <c r="AD197" s="591"/>
      <c r="AE197" s="591"/>
      <c r="AF197" s="591"/>
      <c r="AG197" s="591"/>
      <c r="AH197" s="591"/>
      <c r="AI197" s="591"/>
      <c r="AJ197" s="591"/>
      <c r="AK197" s="591"/>
      <c r="AL197" s="591"/>
      <c r="AM197" s="591"/>
      <c r="AN197" s="591"/>
      <c r="AO197" s="591"/>
      <c r="AP197" s="1324"/>
      <c r="AQ197" s="1324"/>
      <c r="AR197" s="1070"/>
      <c r="AS197" s="1070"/>
      <c r="AT197" s="1070"/>
      <c r="AU197" s="1067"/>
      <c r="AV197" s="1067"/>
    </row>
    <row s="1656" customFormat="1" customHeight="1" ht="14.25">
      <c r="A198" s="1324"/>
      <c r="B198" s="1324"/>
      <c r="C198" s="1324"/>
      <c r="D198" s="1324"/>
      <c r="E198" s="701">
        <v>15</v>
      </c>
      <c r="F198" s="50" cm="1" t="str">
        <f t="array" ref="F198:F198">OFFSET(E198,-1,1)</f>
        <v>2</v>
      </c>
      <c r="G198" s="1324"/>
      <c r="H198" s="1324"/>
      <c r="I198" s="592" t="s">
        <v>344</v>
      </c>
      <c r="J198" s="592"/>
      <c r="K198" s="592"/>
      <c r="L198" s="592"/>
      <c r="M198" s="592"/>
      <c r="N198" s="592"/>
      <c r="O198" s="592"/>
      <c r="P198" s="592"/>
      <c r="Q198" s="592"/>
      <c r="R198" s="592"/>
      <c r="S198" s="592"/>
      <c r="T198" s="468" cm="1" t="str">
        <f t="array" ref="T198:T198">T197</f>
        <v>true</v>
      </c>
      <c r="U198" s="1324"/>
      <c r="V198" s="1324"/>
      <c r="W198" s="1324"/>
      <c r="X198" s="1617"/>
      <c r="Y198" s="1324"/>
      <c r="Z198" s="1618"/>
      <c r="AA198" s="1324"/>
      <c r="AB198" s="806" t="s">
        <v>290</v>
      </c>
      <c r="AC198" s="807" t="s">
        <v>1972</v>
      </c>
      <c r="AD198" s="766" t="s">
        <v>936</v>
      </c>
      <c r="AE198" s="808">
        <f>AE199+AE203+AE213+AE214+AE217+AE218+AE219</f>
        <v>29080.46</v>
      </c>
      <c r="AF198" s="808">
        <f>AF199+AF203+AF213+AF214+AF217+AF218+AF219</f>
        <v>26221.23</v>
      </c>
      <c r="AG198" s="808">
        <f>AG199+AG203+AG213+AG214+AG217+AG218+AG219</f>
        <v>26282.6524704908</v>
      </c>
      <c r="AH198" s="808">
        <f>AG198-AF198</f>
        <v>61.4224704908011</v>
      </c>
      <c r="AI198" s="808">
        <f>AI199+AI203+AI213+AI214+AI217+AI218+AI219</f>
        <v>30550.17</v>
      </c>
      <c r="AJ198" s="808">
        <f>AJ199+AJ203+AJ213+AJ214+AJ217+AJ218+AJ219</f>
        <v>32308.03</v>
      </c>
      <c r="AK198" s="808">
        <f>AK199+AK203+AK213+AK214+AK217+AK218+AK219</f>
        <v>34216.51418</v>
      </c>
      <c r="AL198" s="809">
        <f>IF(AI198=0,0,(AK198-AI198)/AI198*100)</f>
        <v>12.0010598304363</v>
      </c>
      <c r="AM198" s="810"/>
      <c r="AN198" s="917"/>
      <c r="AO198" s="810"/>
      <c r="AP198" s="1324"/>
      <c r="AQ198" s="1324"/>
      <c r="AR198" s="1070" t="s">
        <v>621</v>
      </c>
      <c r="AS198" s="1070"/>
      <c r="AT198" s="1070"/>
      <c r="AU198" s="1067"/>
      <c r="AV198" s="1067"/>
    </row>
    <row s="6138" customFormat="1" customHeight="1" ht="21.75">
      <c r="A199" s="593"/>
      <c r="B199" s="593"/>
      <c r="C199" s="593"/>
      <c r="D199" s="593"/>
      <c r="E199" s="703">
        <v>22.5</v>
      </c>
      <c r="F199" s="50" cm="1" t="str">
        <f t="array" ref="F199:F199">OFFSET(E199,-1,1)</f>
        <v>2</v>
      </c>
      <c r="G199" s="593"/>
      <c r="H199" s="593"/>
      <c r="I199" s="704" t="s">
        <v>566</v>
      </c>
      <c r="J199" s="704"/>
      <c r="K199" s="704"/>
      <c r="L199" s="704"/>
      <c r="M199" s="704"/>
      <c r="N199" s="704"/>
      <c r="O199" s="704"/>
      <c r="P199" s="704"/>
      <c r="Q199" s="704"/>
      <c r="R199" s="704"/>
      <c r="S199" s="704"/>
      <c r="T199" s="468" cm="1" t="str">
        <f t="array" ref="T199:T199">T198</f>
        <v>true</v>
      </c>
      <c r="U199" s="593"/>
      <c r="V199" s="593"/>
      <c r="W199" s="593"/>
      <c r="X199" s="1617"/>
      <c r="Y199" s="593"/>
      <c r="Z199" s="1618"/>
      <c r="AA199" s="593"/>
      <c r="AB199" s="811" t="s">
        <v>1067</v>
      </c>
      <c r="AC199" s="812" t="s">
        <v>1973</v>
      </c>
      <c r="AD199" s="595" t="s">
        <v>936</v>
      </c>
      <c r="AE199" s="808">
        <f>SUM(AE200:AE202)</f>
        <v>0</v>
      </c>
      <c r="AF199" s="808">
        <f>SUM(AF200:AF202)</f>
        <v>0</v>
      </c>
      <c r="AG199" s="808">
        <f>SUM(AG200:AG202)</f>
        <v>0</v>
      </c>
      <c r="AH199" s="808">
        <f>AG199-AF199</f>
        <v>0</v>
      </c>
      <c r="AI199" s="808">
        <f>SUM(AI200:AI202)</f>
        <v>0</v>
      </c>
      <c r="AJ199" s="808">
        <f>SUM(AJ200:AJ202)</f>
        <v>0</v>
      </c>
      <c r="AK199" s="808">
        <f>SUM(AK200:AK202)</f>
        <v>0</v>
      </c>
      <c r="AL199" s="808">
        <f>IF(AI199=0,0,(AK199-AI199)/AI199*100)</f>
        <v>0</v>
      </c>
      <c r="AM199" s="813"/>
      <c r="AN199" s="813"/>
      <c r="AO199" s="813"/>
      <c r="AP199" s="593"/>
      <c r="AQ199" s="593"/>
      <c r="AR199" s="1071" t="s">
        <v>1974</v>
      </c>
      <c r="AS199" s="1071"/>
      <c r="AT199" s="1071"/>
      <c r="AU199" s="703"/>
      <c r="AV199" s="703"/>
    </row>
    <row s="1656" customFormat="1" customHeight="1" ht="14.25">
      <c r="A200" s="1324"/>
      <c r="B200" s="1324"/>
      <c r="C200" s="1324"/>
      <c r="D200" s="1324"/>
      <c r="E200" s="701">
        <v>15</v>
      </c>
      <c r="F200" s="50" cm="1" t="str">
        <f t="array" ref="F200:F200">OFFSET(E200,-1,1)</f>
        <v>2</v>
      </c>
      <c r="G200" s="1324"/>
      <c r="H200" s="1324"/>
      <c r="I200" s="592" t="s">
        <v>1197</v>
      </c>
      <c r="J200" s="592"/>
      <c r="K200" s="592"/>
      <c r="L200" s="592"/>
      <c r="M200" s="592"/>
      <c r="N200" s="592"/>
      <c r="O200" s="592"/>
      <c r="P200" s="592"/>
      <c r="Q200" s="592"/>
      <c r="R200" s="592"/>
      <c r="S200" s="592"/>
      <c r="T200" s="468" cm="1" t="str">
        <f t="array" ref="T200:T200">T199</f>
        <v>true</v>
      </c>
      <c r="U200" s="1324"/>
      <c r="V200" s="1324"/>
      <c r="W200" s="1324"/>
      <c r="X200" s="1617"/>
      <c r="Y200" s="1324"/>
      <c r="Z200" s="1618"/>
      <c r="AA200" s="1324"/>
      <c r="AB200" s="814" t="s">
        <v>1198</v>
      </c>
      <c r="AC200" s="815" t="s">
        <v>1975</v>
      </c>
      <c r="AD200" s="766" t="s">
        <v>936</v>
      </c>
      <c r="AE200" s="809">
        <f>_xlfn.SUMIFS('Сырье и материалы'!AE$25:AE$111,'Сырье и материалы'!$F$25:$F$111,$F200,'Сырье и материалы'!$I$25:$I$111,"Реагенты")</f>
        <v>0</v>
      </c>
      <c r="AF200" s="809">
        <f>_xlfn.SUMIFS('Сырье и материалы'!AF$25:AF$111,'Сырье и материалы'!$F$25:$F$111,$F200,'Сырье и материалы'!$I$25:$I$111,"Реагенты")</f>
        <v>0</v>
      </c>
      <c r="AG200" s="809">
        <f>_xlfn.SUMIFS('Сырье и материалы'!AG$25:AG$111,'Сырье и материалы'!$F$25:$F$111,$F200,'Сырье и материалы'!$I$25:$I$111,"Реагенты")</f>
        <v>0</v>
      </c>
      <c r="AH200" s="809">
        <f>AG200-AF200</f>
        <v>0</v>
      </c>
      <c r="AI200" s="809">
        <f>_xlfn.SUMIFS('Сырье и материалы'!AH$25:AH$111,'Сырье и материалы'!$F$25:$F$111,$F200,'Сырье и материалы'!$I$25:$I$111,"Реагенты")</f>
        <v>0</v>
      </c>
      <c r="AJ200" s="809">
        <f>_xlfn.SUMIFS('Сырье и материалы'!AI$25:AI$111,'Сырье и материалы'!$F$25:$F$111,$F200,'Сырье и материалы'!$I$25:$I$111,"Реагенты")</f>
        <v>0</v>
      </c>
      <c r="AK200" s="809">
        <f>_xlfn.SUMIFS('Сырье и материалы'!AS$25:AS$111,'Сырье и материалы'!$F$25:$F$111,$F200,'Сырье и материалы'!$I$25:$I$111,"Реагенты")</f>
        <v>0</v>
      </c>
      <c r="AL200" s="809">
        <f>IF(AI200=0,0,(AK200-AI200)/AI200*100)</f>
        <v>0</v>
      </c>
      <c r="AM200" s="810"/>
      <c r="AN200" s="917" t="str">
        <f>IF(_xlfn.IFERROR(INDEX('Сырье и материалы'!$K$26:$L$111,MATCH($F200&amp;"komm",'Сырье и материалы'!$K$26:$K$111,0),2),"")=0,"",_xlfn.IFERROR(INDEX('Сырье и материалы'!$K$26:$L$111,MATCH($F200&amp;"komm",'Сырье и материалы'!$K$26:$K$111,0),2),""))</f>
        <v/>
      </c>
      <c r="AO200" s="810"/>
      <c r="AP200" s="1324"/>
      <c r="AQ200" s="1324"/>
      <c r="AR200" s="1070" t="s">
        <v>1976</v>
      </c>
      <c r="AS200" s="1070"/>
      <c r="AT200" s="1070"/>
      <c r="AU200" s="1067"/>
      <c r="AV200" s="1067"/>
    </row>
    <row s="1656" customFormat="1" customHeight="1" ht="14.25">
      <c r="A201" s="1324"/>
      <c r="B201" s="1324"/>
      <c r="C201" s="1324"/>
      <c r="D201" s="1324"/>
      <c r="E201" s="701">
        <v>15</v>
      </c>
      <c r="F201" s="50" cm="1" t="str">
        <f t="array" ref="F201:F201">OFFSET(E201,-1,1)</f>
        <v>2</v>
      </c>
      <c r="G201" s="1324"/>
      <c r="H201" s="1324"/>
      <c r="I201" s="592" t="s">
        <v>1201</v>
      </c>
      <c r="J201" s="592"/>
      <c r="K201" s="592"/>
      <c r="L201" s="592"/>
      <c r="M201" s="592"/>
      <c r="N201" s="592"/>
      <c r="O201" s="592"/>
      <c r="P201" s="592"/>
      <c r="Q201" s="592"/>
      <c r="R201" s="592"/>
      <c r="S201" s="592"/>
      <c r="T201" s="468" cm="1" t="str">
        <f t="array" ref="T201:T201">T200</f>
        <v>true</v>
      </c>
      <c r="U201" s="1324"/>
      <c r="V201" s="1324"/>
      <c r="W201" s="1324"/>
      <c r="X201" s="1617"/>
      <c r="Y201" s="1324"/>
      <c r="Z201" s="1618"/>
      <c r="AA201" s="1324"/>
      <c r="AB201" s="814" t="s">
        <v>1202</v>
      </c>
      <c r="AC201" s="815" t="s">
        <v>1977</v>
      </c>
      <c r="AD201" s="766" t="s">
        <v>936</v>
      </c>
      <c r="AE201" s="6051">
        <f>_xlfn.SUMIFS('Сырье и материалы'!AE$25:AE$111,'Сырье и материалы'!$F$25:$F$111,$F201,'Сырье и материалы'!$I$25:$I$111,"Горюче-смазочные материалы")</f>
        <v>0</v>
      </c>
      <c r="AF201" s="6051">
        <f>_xlfn.SUMIFS('Сырье и материалы'!AF$25:AF$111,'Сырье и материалы'!$F$25:$F$111,$F201,'Сырье и материалы'!$I$25:$I$111,"Горюче-смазочные материалы")</f>
        <v>0</v>
      </c>
      <c r="AG201" s="6051">
        <f>_xlfn.SUMIFS('Сырье и материалы'!AG$25:AG$111,'Сырье и материалы'!$F$25:$F$111,$F201,'Сырье и материалы'!$I$25:$I$111,"Горюче-смазочные материалы")</f>
        <v>0</v>
      </c>
      <c r="AH201" s="809">
        <f>AG201-AF201</f>
        <v>0</v>
      </c>
      <c r="AI201" s="6051">
        <f>_xlfn.SUMIFS('Сырье и материалы'!AH$25:AH$111,'Сырье и материалы'!$F$25:$F$111,$F201,'Сырье и материалы'!$I$25:$I$111,"Горюче-смазочные материалы")</f>
        <v>0</v>
      </c>
      <c r="AJ201" s="6051">
        <f>_xlfn.SUMIFS('Сырье и материалы'!AI$25:AI$111,'Сырье и материалы'!$F$25:$F$111,$F201,'Сырье и материалы'!$I$25:$I$111,"Горюче-смазочные материалы")</f>
        <v>0</v>
      </c>
      <c r="AK201" s="6051">
        <f>_xlfn.SUMIFS('Сырье и материалы'!AS$25:AS$111,'Сырье и материалы'!$F$25:$F$111,$F201,'Сырье и материалы'!$I$25:$I$111,"Горюче-смазочные материалы")</f>
        <v>0</v>
      </c>
      <c r="AL201" s="809">
        <f>IF(AI201=0,0,(AK201-AI201)/AI201*100)</f>
        <v>0</v>
      </c>
      <c r="AM201" s="810"/>
      <c r="AN201" s="810"/>
      <c r="AO201" s="810"/>
      <c r="AP201" s="1324"/>
      <c r="AQ201" s="1324"/>
      <c r="AR201" s="1070" t="s">
        <v>1978</v>
      </c>
      <c r="AS201" s="1070"/>
      <c r="AT201" s="1070"/>
      <c r="AU201" s="1067"/>
      <c r="AV201" s="1067"/>
    </row>
    <row s="1656" customFormat="1" customHeight="1" ht="14.25">
      <c r="A202" s="1324"/>
      <c r="B202" s="1324"/>
      <c r="C202" s="1324"/>
      <c r="D202" s="1324"/>
      <c r="E202" s="701">
        <v>15</v>
      </c>
      <c r="F202" s="50" cm="1" t="str">
        <f t="array" ref="F202:F202">OFFSET(E202,-1,1)</f>
        <v>2</v>
      </c>
      <c r="G202" s="1324"/>
      <c r="H202" s="1324"/>
      <c r="I202" s="592" t="s">
        <v>1525</v>
      </c>
      <c r="J202" s="592"/>
      <c r="K202" s="592"/>
      <c r="L202" s="592"/>
      <c r="M202" s="592"/>
      <c r="N202" s="592"/>
      <c r="O202" s="592"/>
      <c r="P202" s="592"/>
      <c r="Q202" s="592"/>
      <c r="R202" s="592"/>
      <c r="S202" s="592"/>
      <c r="T202" s="468" cm="1" t="str">
        <f t="array" ref="T202:T202">T201</f>
        <v>true</v>
      </c>
      <c r="U202" s="1324"/>
      <c r="V202" s="1324"/>
      <c r="W202" s="1324"/>
      <c r="X202" s="1617"/>
      <c r="Y202" s="1324"/>
      <c r="Z202" s="1618"/>
      <c r="AA202" s="1324"/>
      <c r="AB202" s="814" t="s">
        <v>1526</v>
      </c>
      <c r="AC202" s="815" t="s">
        <v>1979</v>
      </c>
      <c r="AD202" s="766" t="s">
        <v>936</v>
      </c>
      <c r="AE202" s="6051">
        <f>_xlfn.SUMIFS('Сырье и материалы'!AE$25:AE$111,'Сырье и материалы'!$F$25:$F$111,$F202,'Сырье и материалы'!$I$25:$I$111,"Материалы")</f>
        <v>0</v>
      </c>
      <c r="AF202" s="6051">
        <f>_xlfn.SUMIFS('Сырье и материалы'!AF$25:AF$111,'Сырье и материалы'!$F$25:$F$111,$F202,'Сырье и материалы'!$I$25:$I$111,"Материалы")</f>
        <v>0</v>
      </c>
      <c r="AG202" s="6051">
        <f>_xlfn.SUMIFS('Сырье и материалы'!AG$25:AG$111,'Сырье и материалы'!$F$25:$F$111,$F202,'Сырье и материалы'!$I$25:$I$111,"Материалы")</f>
        <v>0</v>
      </c>
      <c r="AH202" s="809">
        <f>AG202-AF202</f>
        <v>0</v>
      </c>
      <c r="AI202" s="6051">
        <f>_xlfn.SUMIFS('Сырье и материалы'!AH$25:AH$111,'Сырье и материалы'!$F$25:$F$111,$F202,'Сырье и материалы'!$I$25:$I$111,"Материалы")</f>
        <v>0</v>
      </c>
      <c r="AJ202" s="6051">
        <f>_xlfn.SUMIFS('Сырье и материалы'!AI$25:AI$111,'Сырье и материалы'!$F$25:$F$111,$F202,'Сырье и материалы'!$I$25:$I$111,"Материалы")</f>
        <v>0</v>
      </c>
      <c r="AK202" s="6051">
        <f>_xlfn.SUMIFS('Сырье и материалы'!AS$25:AS$111,'Сырье и материалы'!$F$25:$F$111,$F202,'Сырье и материалы'!$I$25:$I$111,"Материалы")</f>
        <v>0</v>
      </c>
      <c r="AL202" s="809">
        <f>IF(AI202=0,0,(AK202-AI202)/AI202*100)</f>
        <v>0</v>
      </c>
      <c r="AM202" s="810"/>
      <c r="AN202" s="810"/>
      <c r="AO202" s="810"/>
      <c r="AP202" s="1324"/>
      <c r="AQ202" s="1324"/>
      <c r="AR202" s="1070" t="s">
        <v>1980</v>
      </c>
      <c r="AS202" s="1070"/>
      <c r="AT202" s="1070"/>
      <c r="AU202" s="1067"/>
      <c r="AV202" s="1067"/>
    </row>
    <row s="6139" customFormat="1" customHeight="1" ht="21.75">
      <c r="A203" s="593"/>
      <c r="B203" s="593"/>
      <c r="C203" s="593"/>
      <c r="D203" s="593"/>
      <c r="E203" s="703">
        <v>22.5</v>
      </c>
      <c r="F203" s="50" cm="1" t="str">
        <f t="array" ref="F203:F203">OFFSET(E203,-1,1)</f>
        <v>2</v>
      </c>
      <c r="G203" s="593"/>
      <c r="H203" s="593"/>
      <c r="I203" s="704" t="s">
        <v>570</v>
      </c>
      <c r="J203" s="704"/>
      <c r="K203" s="704"/>
      <c r="L203" s="704"/>
      <c r="M203" s="704"/>
      <c r="N203" s="704"/>
      <c r="O203" s="704"/>
      <c r="P203" s="704"/>
      <c r="Q203" s="704"/>
      <c r="R203" s="704"/>
      <c r="S203" s="704"/>
      <c r="T203" s="468" cm="1" t="str">
        <f t="array" ref="T203:T203">T202</f>
        <v>true</v>
      </c>
      <c r="U203" s="593"/>
      <c r="V203" s="593"/>
      <c r="W203" s="593"/>
      <c r="X203" s="1617"/>
      <c r="Y203" s="593"/>
      <c r="Z203" s="1618"/>
      <c r="AA203" s="593"/>
      <c r="AB203" s="811" t="s">
        <v>1070</v>
      </c>
      <c r="AC203" s="812" t="s">
        <v>1981</v>
      </c>
      <c r="AD203" s="595" t="s">
        <v>936</v>
      </c>
      <c r="AE203" s="808">
        <f>SUM(AE204:AE212)</f>
        <v>29080.46</v>
      </c>
      <c r="AF203" s="808">
        <f>SUM(AF204:AF212)</f>
        <v>26221.23</v>
      </c>
      <c r="AG203" s="808">
        <f>SUM(AG204:AG212)</f>
        <v>26282.6524704908</v>
      </c>
      <c r="AH203" s="808">
        <f>AG203-AF203</f>
        <v>61.4224704908011</v>
      </c>
      <c r="AI203" s="808">
        <f>SUM(AI204:AI212)</f>
        <v>30550.17</v>
      </c>
      <c r="AJ203" s="808">
        <f>SUM(AJ204:AJ212)</f>
        <v>32308.03</v>
      </c>
      <c r="AK203" s="808">
        <f>SUM(AK204:AK212)</f>
        <v>34216.51418</v>
      </c>
      <c r="AL203" s="808">
        <f>IF(AI203=0,0,(AK203-AI203)/AI203*100)</f>
        <v>12.0010598304363</v>
      </c>
      <c r="AM203" s="813"/>
      <c r="AN203" s="813"/>
      <c r="AO203" s="813"/>
      <c r="AP203" s="593"/>
      <c r="AQ203" s="593"/>
      <c r="AR203" s="1071" t="s">
        <v>1982</v>
      </c>
      <c r="AS203" s="1071"/>
      <c r="AT203" s="1071"/>
      <c r="AU203" s="703"/>
      <c r="AV203" s="703"/>
    </row>
    <row s="1656" customFormat="1" customHeight="1" ht="14.25">
      <c r="A204" s="1324"/>
      <c r="B204" s="1324"/>
      <c r="C204" s="1324"/>
      <c r="D204" s="1324"/>
      <c r="E204" s="701">
        <v>15</v>
      </c>
      <c r="F204" s="50" cm="1" t="str">
        <f t="array" ref="F204:F204">OFFSET(E204,-1,1)</f>
        <v>2</v>
      </c>
      <c r="G204" s="1324"/>
      <c r="H204" s="1324"/>
      <c r="I204" s="592" t="s">
        <v>1550</v>
      </c>
      <c r="J204" s="592"/>
      <c r="K204" s="592"/>
      <c r="L204" s="592"/>
      <c r="M204" s="592"/>
      <c r="N204" s="592"/>
      <c r="O204" s="592"/>
      <c r="P204" s="592"/>
      <c r="Q204" s="592"/>
      <c r="R204" s="592"/>
      <c r="S204" s="592"/>
      <c r="T204" s="468" cm="1" t="str">
        <f t="array" ref="T204:T204">T203</f>
        <v>true</v>
      </c>
      <c r="U204" s="1324"/>
      <c r="V204" s="1324"/>
      <c r="W204" s="1324"/>
      <c r="X204" s="1617"/>
      <c r="Y204" s="1324"/>
      <c r="Z204" s="1618"/>
      <c r="AA204" s="1324"/>
      <c r="AB204" s="814" t="s">
        <v>1551</v>
      </c>
      <c r="AC204" s="815" t="s">
        <v>1983</v>
      </c>
      <c r="AD204" s="766" t="s">
        <v>936</v>
      </c>
      <c r="AE204" s="809">
        <f>_xlfn.SUMIFS(ЭЭ!AE$25:AE$175,ЭЭ!$F$25:$F$175,$F204,ЭЭ!$AC$25:$AC$175,"Всего по тарифу")</f>
        <v>27467.85</v>
      </c>
      <c r="AF204" s="809">
        <f>_xlfn.SUMIFS(ЭЭ!AF$25:AF$175,ЭЭ!$F$25:$F$175,$F204,ЭЭ!$AC$25:$AC$175,"Всего по тарифу")</f>
        <v>25260.05</v>
      </c>
      <c r="AG204" s="809">
        <f>_xlfn.SUMIFS(ЭЭ!AG$25:AG$175,ЭЭ!$F$25:$F$175,$F204,ЭЭ!$AC$25:$AC$175,"Всего по тарифу")</f>
        <v>25321.4724704908</v>
      </c>
      <c r="AH204" s="809">
        <f>AG204-AF204</f>
        <v>61.4224704908011</v>
      </c>
      <c r="AI204" s="809">
        <f>_xlfn.SUMIFS(ЭЭ!AH$25:AH$175,ЭЭ!$F$25:$F$175,$F204,ЭЭ!$AC$25:$AC$175,"Всего по тарифу")</f>
        <v>28677.03</v>
      </c>
      <c r="AJ204" s="809">
        <f>_xlfn.SUMIFS(ЭЭ!AI$25:AI$175,ЭЭ!$F$25:$F$175,$F204,ЭЭ!$AC$25:$AC$175,"Всего по тарифу")</f>
        <v>30380.09</v>
      </c>
      <c r="AK204" s="809">
        <f>_xlfn.SUMIFS(ЭЭ!AS$25:AS$175,ЭЭ!$F$25:$F$175,$F204,ЭЭ!$AC$25:$AC$175,"Всего по тарифу")</f>
        <v>32342.06</v>
      </c>
      <c r="AL204" s="809">
        <f>IF(AI204=0,0,(AK204-AI204)/AI204*100)</f>
        <v>12.7803681204086</v>
      </c>
      <c r="AM204" s="810"/>
      <c r="AN204" s="917" t="str">
        <f>IF(_xlfn.IFERROR(INDEX(ЭЭ!$K$26:$L$175,MATCH($F204&amp;"komm",ЭЭ!$K$26:$K$175,0),2),"")=0,"",_xlfn.IFERROR(INDEX(ЭЭ!$K$26:$L$175,MATCH($F204&amp;"komm",ЭЭ!$K$26:$K$175,0),2),""))</f>
        <v>Пункты 90 и 95 "Методических указаний" (приказ ФСТ № 1746-э от 27.12.2013). Формулы (39.1), (39.2), (39.3). ОСНОВАНИЕ:  Пункт 8 Статьи 25  Федерального закона от 23.11.2009 N 261-ФЗ (ред. от 31.07.2025 N 353-ФЗ) "Об энергосбережении и о повышении энергетической эффективности и о внесении изменений в отдельные законодательные акты Российской Федерации".</v>
      </c>
      <c r="AO204" s="810"/>
      <c r="AP204" s="1324"/>
      <c r="AQ204" s="1324"/>
      <c r="AR204" s="1070" t="s">
        <v>1984</v>
      </c>
      <c r="AS204" s="1070"/>
      <c r="AT204" s="1070"/>
      <c r="AU204" s="1067"/>
      <c r="AV204" s="1067"/>
    </row>
    <row s="1656" customFormat="1" customHeight="1" ht="14.25">
      <c r="A205" s="1324"/>
      <c r="B205" s="1324"/>
      <c r="C205" s="1324"/>
      <c r="D205" s="1324"/>
      <c r="E205" s="701">
        <v>15</v>
      </c>
      <c r="F205" s="50" cm="1" t="str">
        <f t="array" ref="F205:F205">OFFSET(E205,-1,1)</f>
        <v>2</v>
      </c>
      <c r="G205" s="582" t="s">
        <v>1287</v>
      </c>
      <c r="H205" s="1324"/>
      <c r="I205" s="592" t="s">
        <v>1553</v>
      </c>
      <c r="J205" s="592"/>
      <c r="K205" s="592"/>
      <c r="L205" s="592"/>
      <c r="M205" s="592"/>
      <c r="N205" s="592"/>
      <c r="O205" s="592"/>
      <c r="P205" s="592"/>
      <c r="Q205" s="592"/>
      <c r="R205" s="592"/>
      <c r="S205" s="592"/>
      <c r="T205" s="468" cm="1" t="str">
        <f t="array" ref="T205:T205">T204</f>
        <v>true</v>
      </c>
      <c r="U205" s="1324"/>
      <c r="V205" s="1324"/>
      <c r="W205" s="1324"/>
      <c r="X205" s="1617"/>
      <c r="Y205" s="1324"/>
      <c r="Z205" s="1618"/>
      <c r="AA205" s="1324"/>
      <c r="AB205" s="814" t="s">
        <v>1554</v>
      </c>
      <c r="AC205" s="815" t="s">
        <v>1985</v>
      </c>
      <c r="AD205" s="766" t="s">
        <v>936</v>
      </c>
      <c r="AE205" s="809">
        <f>_xlfn.SUMIFS(Покупка!AE$25:AE$327,Покупка!$F$25:$F$327,$F205,Покупка!$AC$25:$AC$327,$G205)</f>
        <v>1612.61</v>
      </c>
      <c r="AF205" s="809">
        <f>_xlfn.SUMIFS(Покупка!AF$25:AF$327,Покупка!$F$25:$F$327,$F205,Покупка!$AC$25:$AC$327,$G205)</f>
        <v>961.18</v>
      </c>
      <c r="AG205" s="809">
        <f>_xlfn.SUMIFS(Покупка!AG$25:AG$327,Покупка!$F$25:$F$327,$F205,Покупка!$AC$25:$AC$327,$G205)</f>
        <v>961.18</v>
      </c>
      <c r="AH205" s="809">
        <f>AG205-AF205</f>
        <v>0</v>
      </c>
      <c r="AI205" s="809">
        <f>_xlfn.SUMIFS(Покупка!AH$25:AH$327,Покупка!$F$25:$F$327,$F205,Покупка!$AC$25:$AC$327,$G205)</f>
        <v>1873.14</v>
      </c>
      <c r="AJ205" s="809">
        <f>_xlfn.SUMIFS(Покупка!AI$25:AI$327,Покупка!$F$25:$F$327,$F205,Покупка!$AC$25:$AC$327,$G205)</f>
        <v>1927.94</v>
      </c>
      <c r="AK205" s="809">
        <f>_xlfn.SUMIFS(Покупка!AS$25:AS$327,Покупка!$F$25:$F$327,$F205,Покупка!$AC$25:$AC$327,$G205)</f>
        <v>1863.77491</v>
      </c>
      <c r="AL205" s="809">
        <f>IF(AI205=0,0,(AK205-AI205)/AI205*100)</f>
        <v>-0.499967434361554</v>
      </c>
      <c r="AM205" s="810"/>
      <c r="AN205" s="917" t="str">
        <f>IF(_xlfn.IFERROR(INDEX(Покупка!$K$26:$L$327,MATCH($F205&amp;"6komm",Покупка!$K$26:$K$327,0),2),"")=0,"",_xlfn.IFERROR(INDEX(Покупка!$K$26:$L$327,MATCH($F205&amp;"6komm",Покупка!$K$26:$K$327,0),2),""))</f>
        <v>П. 49 Методических указаний ФСТ России от 27.12.2013 № 1746-э.</v>
      </c>
      <c r="AO205" s="810"/>
      <c r="AP205" s="1324"/>
      <c r="AQ205" s="1324"/>
      <c r="AR205" s="1070" t="s">
        <v>1288</v>
      </c>
      <c r="AS205" s="1070"/>
      <c r="AT205" s="1070"/>
      <c r="AU205" s="1067"/>
      <c r="AV205" s="1067"/>
    </row>
    <row s="1656" customFormat="1" customHeight="1" ht="14.25">
      <c r="A206" s="1324"/>
      <c r="B206" s="1324"/>
      <c r="C206" s="1324"/>
      <c r="D206" s="1324"/>
      <c r="E206" s="701">
        <v>15</v>
      </c>
      <c r="F206" s="50" cm="1" t="str">
        <f t="array" ref="F206:F206">OFFSET(E206,-1,1)</f>
        <v>2</v>
      </c>
      <c r="G206" s="582" t="s">
        <v>1309</v>
      </c>
      <c r="H206" s="1324"/>
      <c r="I206" s="592" t="s">
        <v>1557</v>
      </c>
      <c r="J206" s="592"/>
      <c r="K206" s="592"/>
      <c r="L206" s="592"/>
      <c r="M206" s="592"/>
      <c r="N206" s="592"/>
      <c r="O206" s="592"/>
      <c r="P206" s="592"/>
      <c r="Q206" s="592"/>
      <c r="R206" s="592"/>
      <c r="S206" s="592"/>
      <c r="T206" s="468" cm="1" t="str">
        <f t="array" ref="T206:T206">T205</f>
        <v>true</v>
      </c>
      <c r="U206" s="1324"/>
      <c r="V206" s="1324"/>
      <c r="W206" s="1324"/>
      <c r="X206" s="1617"/>
      <c r="Y206" s="1324"/>
      <c r="Z206" s="1618"/>
      <c r="AA206" s="1324"/>
      <c r="AB206" s="814" t="s">
        <v>1558</v>
      </c>
      <c r="AC206" s="815" t="s">
        <v>1986</v>
      </c>
      <c r="AD206" s="766" t="s">
        <v>936</v>
      </c>
      <c r="AE206" s="809">
        <f>_xlfn.SUMIFS(Покупка!AE$25:AE$327,Покупка!$F$25:$F$327,$F206,Покупка!$AC$25:$AC$327,$G206)</f>
        <v>0</v>
      </c>
      <c r="AF206" s="809">
        <f>_xlfn.SUMIFS(Покупка!AF$25:AF$327,Покупка!$F$25:$F$327,$F206,Покупка!$AC$25:$AC$327,$G206)</f>
        <v>0</v>
      </c>
      <c r="AG206" s="809">
        <f>_xlfn.SUMIFS(Покупка!AG$25:AG$327,Покупка!$F$25:$F$327,$F206,Покупка!$AC$25:$AC$327,$G206)</f>
        <v>0</v>
      </c>
      <c r="AH206" s="809">
        <f>AG206-AF206</f>
        <v>0</v>
      </c>
      <c r="AI206" s="809">
        <f>_xlfn.SUMIFS(Покупка!AH$25:AH$327,Покупка!$F$25:$F$327,$F206,Покупка!$AC$25:$AC$327,$G206)</f>
        <v>0</v>
      </c>
      <c r="AJ206" s="809">
        <f>_xlfn.SUMIFS(Покупка!AI$25:AI$327,Покупка!$F$25:$F$327,$F206,Покупка!$AC$25:$AC$327,$G206)</f>
        <v>0</v>
      </c>
      <c r="AK206" s="809">
        <f>_xlfn.SUMIFS(Покупка!AS$25:AS$327,Покупка!$F$25:$F$327,$F206,Покупка!$AC$25:$AC$327,$G206)</f>
        <v>0</v>
      </c>
      <c r="AL206" s="809">
        <f>IF(AI206=0,0,(AK206-AI206)/AI206*100)</f>
        <v>0</v>
      </c>
      <c r="AM206" s="810"/>
      <c r="AN206" s="917" t="str">
        <f>IF(_xlfn.IFERROR(INDEX(Покупка!$K$26:$L$327,MATCH($F206&amp;"7komm",Покупка!$K$26:$K$327,0),2),"")=0,"",_xlfn.IFERROR(INDEX(Покупка!$K$26:$L$327,MATCH($F206&amp;"7komm",Покупка!$K$26:$K$327,0),2),""))</f>
        <v/>
      </c>
      <c r="AO206" s="810"/>
      <c r="AP206" s="1324"/>
      <c r="AQ206" s="1324"/>
      <c r="AR206" s="1070" t="s">
        <v>1310</v>
      </c>
      <c r="AS206" s="1070"/>
      <c r="AT206" s="1070"/>
      <c r="AU206" s="1067"/>
      <c r="AV206" s="1067"/>
    </row>
    <row s="1656" customFormat="1" customHeight="1" ht="14.25">
      <c r="A207" s="1324"/>
      <c r="B207" s="1324"/>
      <c r="C207" s="1324"/>
      <c r="D207" s="1324"/>
      <c r="E207" s="701">
        <v>15</v>
      </c>
      <c r="F207" s="50" cm="1" t="str">
        <f t="array" ref="F207:F207">OFFSET(E207,-1,1)</f>
        <v>2</v>
      </c>
      <c r="G207" s="759" t="s">
        <v>1321</v>
      </c>
      <c r="H207" s="1324"/>
      <c r="I207" s="592" t="s">
        <v>1727</v>
      </c>
      <c r="J207" s="592"/>
      <c r="K207" s="592"/>
      <c r="L207" s="592"/>
      <c r="M207" s="592"/>
      <c r="N207" s="592"/>
      <c r="O207" s="592"/>
      <c r="P207" s="592"/>
      <c r="Q207" s="592"/>
      <c r="R207" s="592"/>
      <c r="S207" s="592"/>
      <c r="T207" s="468" cm="1" t="str">
        <f t="array" ref="T207:T207">T206</f>
        <v>true</v>
      </c>
      <c r="U207" s="1324"/>
      <c r="V207" s="1324"/>
      <c r="W207" s="1324"/>
      <c r="X207" s="1617"/>
      <c r="Y207" s="1324"/>
      <c r="Z207" s="1618"/>
      <c r="AA207" s="1324"/>
      <c r="AB207" s="814" t="s">
        <v>1987</v>
      </c>
      <c r="AC207" s="815" t="s">
        <v>1988</v>
      </c>
      <c r="AD207" s="766" t="s">
        <v>936</v>
      </c>
      <c r="AE207" s="809">
        <f>_xlfn.SUMIFS(Покупка!AE$25:AE$327,Покупка!$F$25:$F$327,$F207,Покупка!$AC$25:$AC$327,$G207)</f>
        <v>0</v>
      </c>
      <c r="AF207" s="809">
        <f>_xlfn.SUMIFS(Покупка!AF$25:AF$327,Покупка!$F$25:$F$327,$F207,Покупка!$AC$25:$AC$327,$G207)</f>
        <v>0</v>
      </c>
      <c r="AG207" s="809">
        <f>_xlfn.SUMIFS(Покупка!AG$25:AG$327,Покупка!$F$25:$F$327,$F207,Покупка!$AC$25:$AC$327,$G207)</f>
        <v>0</v>
      </c>
      <c r="AH207" s="809">
        <f>AG207-AF207</f>
        <v>0</v>
      </c>
      <c r="AI207" s="809">
        <f>_xlfn.SUMIFS(Покупка!AH$25:AH$327,Покупка!$F$25:$F$327,$F207,Покупка!$AC$25:$AC$327,$G207)</f>
        <v>0</v>
      </c>
      <c r="AJ207" s="809">
        <f>_xlfn.SUMIFS(Покупка!AI$25:AI$327,Покупка!$F$25:$F$327,$F207,Покупка!$AC$25:$AC$327,$G207)</f>
        <v>0</v>
      </c>
      <c r="AK207" s="809">
        <f>_xlfn.SUMIFS(Покупка!AS$25:AS$327,Покупка!$F$25:$F$327,$F207,Покупка!$AC$25:$AC$327,$G207)</f>
        <v>10.67927</v>
      </c>
      <c r="AL207" s="809">
        <f>IF(AI207=0,0,(AK207-AI207)/AI207*100)</f>
        <v>0</v>
      </c>
      <c r="AM207" s="810"/>
      <c r="AN207" s="917" t="str">
        <f>IF(_xlfn.IFERROR(INDEX(Покупка!$K$26:$L$327,MATCH($F207&amp;"9komm",Покупка!$K$26:$K$327,0),2),"")=0,"",_xlfn.IFERROR(INDEX(Покупка!$K$26:$L$327,MATCH($F207&amp;"9komm",Покупка!$K$26:$K$327,0),2),""))</f>
        <v/>
      </c>
      <c r="AO207" s="810"/>
      <c r="AP207" s="1324"/>
      <c r="AQ207" s="1324"/>
      <c r="AR207" s="1070" t="s">
        <v>1322</v>
      </c>
      <c r="AS207" s="1070"/>
      <c r="AT207" s="1070"/>
      <c r="AU207" s="1067"/>
      <c r="AV207" s="1067"/>
    </row>
    <row s="1656" customFormat="1" customHeight="1" ht="14.25">
      <c r="A208" s="1324"/>
      <c r="B208" s="1324"/>
      <c r="C208" s="1324"/>
      <c r="D208" s="1324"/>
      <c r="E208" s="701">
        <v>15</v>
      </c>
      <c r="F208" s="50" cm="1" t="str">
        <f t="array" ref="F208:F208">OFFSET(E208,-1,1)</f>
        <v>2</v>
      </c>
      <c r="G208" s="582" t="s">
        <v>1248</v>
      </c>
      <c r="H208" s="1324"/>
      <c r="I208" s="592" t="s">
        <v>1731</v>
      </c>
      <c r="J208" s="592"/>
      <c r="K208" s="592"/>
      <c r="L208" s="592"/>
      <c r="M208" s="592"/>
      <c r="N208" s="592"/>
      <c r="O208" s="592"/>
      <c r="P208" s="592"/>
      <c r="Q208" s="592"/>
      <c r="R208" s="592"/>
      <c r="S208" s="592"/>
      <c r="T208" s="468" cm="1" t="str">
        <f t="array" ref="T208:T208">T207</f>
        <v>true</v>
      </c>
      <c r="U208" s="1324"/>
      <c r="V208" s="1324"/>
      <c r="W208" s="1324"/>
      <c r="X208" s="1617"/>
      <c r="Y208" s="1324"/>
      <c r="Z208" s="1618"/>
      <c r="AA208" s="1324"/>
      <c r="AB208" s="814" t="s">
        <v>1989</v>
      </c>
      <c r="AC208" s="815" t="s">
        <v>1990</v>
      </c>
      <c r="AD208" s="766" t="s">
        <v>936</v>
      </c>
      <c r="AE208" s="809">
        <f>_xlfn.SUMIFS(Покупка!AE$25:AE$327,Покупка!$F$25:$F$327,$F208,Покупка!$AC$25:$AC$327,$G208)</f>
        <v>0</v>
      </c>
      <c r="AF208" s="809">
        <f>_xlfn.SUMIFS(Покупка!AF$25:AF$327,Покупка!$F$25:$F$327,$F208,Покупка!$AC$25:$AC$327,$G208)</f>
        <v>0</v>
      </c>
      <c r="AG208" s="809">
        <f>_xlfn.SUMIFS(Покупка!AG$25:AG$327,Покупка!$F$25:$F$327,$F208,Покупка!$AC$25:$AC$327,$G208)</f>
        <v>0</v>
      </c>
      <c r="AH208" s="809">
        <f>AG208-AF208</f>
        <v>0</v>
      </c>
      <c r="AI208" s="809">
        <f>_xlfn.SUMIFS(Покупка!AH$25:AH$327,Покупка!$F$25:$F$327,$F208,Покупка!$AC$25:$AC$327,$G208)</f>
        <v>0</v>
      </c>
      <c r="AJ208" s="809">
        <f>_xlfn.SUMIFS(Покупка!AI$25:AI$327,Покупка!$F$25:$F$327,$F208,Покупка!$AC$25:$AC$327,$G208)</f>
        <v>0</v>
      </c>
      <c r="AK208" s="809">
        <f>_xlfn.SUMIFS(Покупка!AS$25:AS$327,Покупка!$F$25:$F$327,$F208,Покупка!$AC$25:$AC$327,$G208)</f>
        <v>0</v>
      </c>
      <c r="AL208" s="809">
        <f>IF(AI208=0,0,(AK208-AI208)/AI208*100)</f>
        <v>0</v>
      </c>
      <c r="AM208" s="810"/>
      <c r="AN208" s="917" t="str">
        <f>IF(_xlfn.IFERROR(INDEX(Покупка!$K$26:$L$327,MATCH($F208&amp;"1komm",Покупка!$K$26:$K$327,0),2),"")=0,"",_xlfn.IFERROR(INDEX(Покупка!$K$26:$L$327,MATCH($F208&amp;"1komm",Покупка!$K$26:$K$327,0),2),""))</f>
        <v/>
      </c>
      <c r="AO208" s="810"/>
      <c r="AP208" s="1324"/>
      <c r="AQ208" s="1324"/>
      <c r="AR208" s="1070" t="s">
        <v>1991</v>
      </c>
      <c r="AS208" s="1070"/>
      <c r="AT208" s="1070"/>
      <c r="AU208" s="1067"/>
      <c r="AV208" s="1067"/>
    </row>
    <row s="1656" customFormat="1" customHeight="1" ht="14.25">
      <c r="A209" s="1324"/>
      <c r="B209" s="1324"/>
      <c r="C209" s="1324"/>
      <c r="D209" s="1324"/>
      <c r="E209" s="701">
        <v>15</v>
      </c>
      <c r="F209" s="50" cm="1" t="str">
        <f t="array" ref="F209:F209">OFFSET(E209,-1,1)</f>
        <v>2</v>
      </c>
      <c r="G209" s="582" t="s">
        <v>1261</v>
      </c>
      <c r="H209" s="1324"/>
      <c r="I209" s="592" t="s">
        <v>1736</v>
      </c>
      <c r="J209" s="592"/>
      <c r="K209" s="592"/>
      <c r="L209" s="592"/>
      <c r="M209" s="592"/>
      <c r="N209" s="592"/>
      <c r="O209" s="592"/>
      <c r="P209" s="592"/>
      <c r="Q209" s="592"/>
      <c r="R209" s="592"/>
      <c r="S209" s="592"/>
      <c r="T209" s="468" cm="1" t="str">
        <f t="array" ref="T209:T209">T208</f>
        <v>true</v>
      </c>
      <c r="U209" s="1324"/>
      <c r="V209" s="1324"/>
      <c r="W209" s="1324"/>
      <c r="X209" s="1617"/>
      <c r="Y209" s="1324"/>
      <c r="Z209" s="1618"/>
      <c r="AA209" s="1324"/>
      <c r="AB209" s="814" t="s">
        <v>1992</v>
      </c>
      <c r="AC209" s="815" t="s">
        <v>1993</v>
      </c>
      <c r="AD209" s="766" t="s">
        <v>936</v>
      </c>
      <c r="AE209" s="809">
        <f>_xlfn.SUMIFS(Покупка!AE$25:AE$327,Покупка!$F$25:$F$327,$F209,Покупка!$AC$25:$AC$327,$G209)</f>
        <v>0</v>
      </c>
      <c r="AF209" s="809">
        <f>_xlfn.SUMIFS(Покупка!AF$25:AF$327,Покупка!$F$25:$F$327,$F209,Покупка!$AC$25:$AC$327,$G209)</f>
        <v>0</v>
      </c>
      <c r="AG209" s="809">
        <f>_xlfn.SUMIFS(Покупка!AG$25:AG$327,Покупка!$F$25:$F$327,$F209,Покупка!$AC$25:$AC$327,$G209)</f>
        <v>0</v>
      </c>
      <c r="AH209" s="809">
        <f>AG209-AF209</f>
        <v>0</v>
      </c>
      <c r="AI209" s="809">
        <f>_xlfn.SUMIFS(Покупка!AH$25:AH$327,Покупка!$F$25:$F$327,$F209,Покупка!$AC$25:$AC$327,$G209)</f>
        <v>0</v>
      </c>
      <c r="AJ209" s="809">
        <f>_xlfn.SUMIFS(Покупка!AI$25:AI$327,Покупка!$F$25:$F$327,$F209,Покупка!$AC$25:$AC$327,$G209)</f>
        <v>0</v>
      </c>
      <c r="AK209" s="809">
        <f>_xlfn.SUMIFS(Покупка!AS$25:AS$327,Покупка!$F$25:$F$327,$F209,Покупка!$AC$25:$AC$327,$G209)</f>
        <v>0</v>
      </c>
      <c r="AL209" s="809">
        <f>IF(AI209=0,0,(AK209-AI209)/AI209*100)</f>
        <v>0</v>
      </c>
      <c r="AM209" s="810"/>
      <c r="AN209" s="917" t="str">
        <f>IF(_xlfn.IFERROR(INDEX(Покупка!$K$26:$L$327,MATCH($F209&amp;"2komm",Покупка!$K$26:$K$327,0),2),"")=0,"",_xlfn.IFERROR(INDEX(Покупка!$K$26:$L$327,MATCH($F209&amp;"2komm",Покупка!$K$26:$K$327,0),2),""))</f>
        <v/>
      </c>
      <c r="AO209" s="810"/>
      <c r="AP209" s="1324"/>
      <c r="AQ209" s="1324"/>
      <c r="AR209" s="1070" t="s">
        <v>1994</v>
      </c>
      <c r="AS209" s="1070"/>
      <c r="AT209" s="1070"/>
      <c r="AU209" s="1067"/>
      <c r="AV209" s="1067"/>
    </row>
    <row s="1656" customFormat="1" customHeight="1" ht="14.25">
      <c r="A210" s="1324"/>
      <c r="B210" s="1324"/>
      <c r="C210" s="1324"/>
      <c r="D210" s="1324"/>
      <c r="E210" s="701">
        <v>15</v>
      </c>
      <c r="F210" s="50" cm="1" t="str">
        <f t="array" ref="F210:F210">OFFSET(E210,-1,1)</f>
        <v>2</v>
      </c>
      <c r="G210" s="582" t="s">
        <v>1267</v>
      </c>
      <c r="H210" s="1324"/>
      <c r="I210" s="592" t="s">
        <v>1745</v>
      </c>
      <c r="J210" s="592"/>
      <c r="K210" s="592"/>
      <c r="L210" s="592"/>
      <c r="M210" s="592"/>
      <c r="N210" s="592"/>
      <c r="O210" s="592"/>
      <c r="P210" s="592"/>
      <c r="Q210" s="592"/>
      <c r="R210" s="592"/>
      <c r="S210" s="592"/>
      <c r="T210" s="468" cm="1" t="str">
        <f t="array" ref="T210:T210">T209</f>
        <v>true</v>
      </c>
      <c r="U210" s="1324"/>
      <c r="V210" s="1324"/>
      <c r="W210" s="1324"/>
      <c r="X210" s="1617"/>
      <c r="Y210" s="1324"/>
      <c r="Z210" s="1618"/>
      <c r="AA210" s="1324"/>
      <c r="AB210" s="814" t="s">
        <v>1995</v>
      </c>
      <c r="AC210" s="815" t="s">
        <v>1996</v>
      </c>
      <c r="AD210" s="766" t="s">
        <v>936</v>
      </c>
      <c r="AE210" s="809">
        <f>_xlfn.SUMIFS(Покупка!AE$25:AE$327,Покупка!$F$25:$F$327,$F210,Покупка!$AC$25:$AC$327,$G210)</f>
        <v>0</v>
      </c>
      <c r="AF210" s="809">
        <f>_xlfn.SUMIFS(Покупка!AF$25:AF$327,Покупка!$F$25:$F$327,$F210,Покупка!$AC$25:$AC$327,$G210)</f>
        <v>0</v>
      </c>
      <c r="AG210" s="809">
        <f>_xlfn.SUMIFS(Покупка!AG$25:AG$327,Покупка!$F$25:$F$327,$F210,Покупка!$AC$25:$AC$327,$G210)</f>
        <v>0</v>
      </c>
      <c r="AH210" s="809">
        <f>AG210-AF210</f>
        <v>0</v>
      </c>
      <c r="AI210" s="809">
        <f>_xlfn.SUMIFS(Покупка!AH$25:AH$327,Покупка!$F$25:$F$327,$F210,Покупка!$AC$25:$AC$327,$G210)</f>
        <v>0</v>
      </c>
      <c r="AJ210" s="809">
        <f>_xlfn.SUMIFS(Покупка!AI$25:AI$327,Покупка!$F$25:$F$327,$F210,Покупка!$AC$25:$AC$327,$G210)</f>
        <v>0</v>
      </c>
      <c r="AK210" s="809">
        <f>_xlfn.SUMIFS(Покупка!AS$25:AS$327,Покупка!$F$25:$F$327,$F210,Покупка!$AC$25:$AC$327,$G210)</f>
        <v>0</v>
      </c>
      <c r="AL210" s="809">
        <f>IF(AI210=0,0,(AK210-AI210)/AI210*100)</f>
        <v>0</v>
      </c>
      <c r="AM210" s="810"/>
      <c r="AN210" s="917" t="str">
        <f>IF(_xlfn.IFERROR(INDEX(Покупка!$K$26:$L$327,MATCH($F210&amp;"3komm",Покупка!$K$26:$K$327,0),2),"")=0,"",_xlfn.IFERROR(INDEX(Покупка!$K$26:$L$327,MATCH($F210&amp;"3komm",Покупка!$K$26:$K$327,0),2),""))</f>
        <v/>
      </c>
      <c r="AO210" s="810"/>
      <c r="AP210" s="1324"/>
      <c r="AQ210" s="1324"/>
      <c r="AR210" s="1070" t="s">
        <v>1997</v>
      </c>
      <c r="AS210" s="1070"/>
      <c r="AT210" s="1070"/>
      <c r="AU210" s="1067"/>
      <c r="AV210" s="1067"/>
    </row>
    <row s="1656" customFormat="1" customHeight="1" ht="14.25">
      <c r="A211" s="1324"/>
      <c r="B211" s="1324"/>
      <c r="C211" s="1324"/>
      <c r="D211" s="1324"/>
      <c r="E211" s="701">
        <v>15</v>
      </c>
      <c r="F211" s="50" cm="1" t="str">
        <f t="array" ref="F211:F211">OFFSET(E211,-1,1)</f>
        <v>2</v>
      </c>
      <c r="G211" s="582" t="s">
        <v>1273</v>
      </c>
      <c r="H211" s="1324"/>
      <c r="I211" s="592" t="s">
        <v>1750</v>
      </c>
      <c r="J211" s="592"/>
      <c r="K211" s="592"/>
      <c r="L211" s="592"/>
      <c r="M211" s="592"/>
      <c r="N211" s="592"/>
      <c r="O211" s="592"/>
      <c r="P211" s="592"/>
      <c r="Q211" s="592"/>
      <c r="R211" s="592"/>
      <c r="S211" s="592"/>
      <c r="T211" s="468" cm="1" t="str">
        <f t="array" ref="T211:T211">T210</f>
        <v>true</v>
      </c>
      <c r="U211" s="1324"/>
      <c r="V211" s="1324"/>
      <c r="W211" s="1324"/>
      <c r="X211" s="1617"/>
      <c r="Y211" s="1324"/>
      <c r="Z211" s="1618"/>
      <c r="AA211" s="1324"/>
      <c r="AB211" s="814" t="s">
        <v>1998</v>
      </c>
      <c r="AC211" s="815" t="s">
        <v>1999</v>
      </c>
      <c r="AD211" s="766" t="s">
        <v>936</v>
      </c>
      <c r="AE211" s="809">
        <f>_xlfn.SUMIFS(Покупка!AE$25:AE$327,Покупка!$F$25:$F$327,$F211,Покупка!$AC$25:$AC$327,$G211)</f>
        <v>0</v>
      </c>
      <c r="AF211" s="809">
        <f>_xlfn.SUMIFS(Покупка!AF$25:AF$327,Покупка!$F$25:$F$327,$F211,Покупка!$AC$25:$AC$327,$G211)</f>
        <v>0</v>
      </c>
      <c r="AG211" s="809">
        <f>_xlfn.SUMIFS(Покупка!AG$25:AG$327,Покупка!$F$25:$F$327,$F211,Покупка!$AC$25:$AC$327,$G211)</f>
        <v>0</v>
      </c>
      <c r="AH211" s="809">
        <f>AG211-AF211</f>
        <v>0</v>
      </c>
      <c r="AI211" s="809">
        <f>_xlfn.SUMIFS(Покупка!AH$25:AH$327,Покупка!$F$25:$F$327,$F211,Покупка!$AC$25:$AC$327,$G211)</f>
        <v>0</v>
      </c>
      <c r="AJ211" s="809">
        <f>_xlfn.SUMIFS(Покупка!AI$25:AI$327,Покупка!$F$25:$F$327,$F211,Покупка!$AC$25:$AC$327,$G211)</f>
        <v>0</v>
      </c>
      <c r="AK211" s="809">
        <f>_xlfn.SUMIFS(Покупка!AS$25:AS$327,Покупка!$F$25:$F$327,$F211,Покупка!$AC$25:$AC$327,$G211)</f>
        <v>0</v>
      </c>
      <c r="AL211" s="809">
        <f>IF(AI211=0,0,(AK211-AI211)/AI211*100)</f>
        <v>0</v>
      </c>
      <c r="AM211" s="810"/>
      <c r="AN211" s="917" t="str">
        <f>IF(_xlfn.IFERROR(INDEX(Покупка!$K$26:$L$327,MATCH($F211&amp;"4komm",Покупка!$K$26:$K$327,0),2),"")=0,"",_xlfn.IFERROR(INDEX(Покупка!$K$26:$L$327,MATCH($F211&amp;"4komm",Покупка!$K$26:$K$327,0),2),""))</f>
        <v/>
      </c>
      <c r="AO211" s="810"/>
      <c r="AP211" s="1324"/>
      <c r="AQ211" s="1324"/>
      <c r="AR211" s="1070" t="s">
        <v>2000</v>
      </c>
      <c r="AS211" s="1070"/>
      <c r="AT211" s="1070"/>
      <c r="AU211" s="1067"/>
      <c r="AV211" s="1067"/>
    </row>
    <row s="1656" customFormat="1" customHeight="1" ht="14.25">
      <c r="A212" s="1324"/>
      <c r="B212" s="1324"/>
      <c r="C212" s="1324"/>
      <c r="D212" s="1324"/>
      <c r="E212" s="701">
        <v>15</v>
      </c>
      <c r="F212" s="50" cm="1" t="str">
        <f t="array" ref="F212:F212">OFFSET(E212,-1,1)</f>
        <v>2</v>
      </c>
      <c r="G212" s="582" t="s">
        <v>1280</v>
      </c>
      <c r="H212" s="1324"/>
      <c r="I212" s="592" t="s">
        <v>1760</v>
      </c>
      <c r="J212" s="592"/>
      <c r="K212" s="592"/>
      <c r="L212" s="592"/>
      <c r="M212" s="592"/>
      <c r="N212" s="592"/>
      <c r="O212" s="592"/>
      <c r="P212" s="592"/>
      <c r="Q212" s="592"/>
      <c r="R212" s="592"/>
      <c r="S212" s="592"/>
      <c r="T212" s="468" cm="1" t="str">
        <f t="array" ref="T212:T212">T211</f>
        <v>true</v>
      </c>
      <c r="U212" s="1324"/>
      <c r="V212" s="1324"/>
      <c r="W212" s="1324"/>
      <c r="X212" s="1617"/>
      <c r="Y212" s="1324"/>
      <c r="Z212" s="1618"/>
      <c r="AA212" s="1324"/>
      <c r="AB212" s="814" t="s">
        <v>2001</v>
      </c>
      <c r="AC212" s="815" t="s">
        <v>2002</v>
      </c>
      <c r="AD212" s="766" t="s">
        <v>936</v>
      </c>
      <c r="AE212" s="809">
        <f>_xlfn.SUMIFS(Покупка!AE$25:AE$327,Покупка!$F$25:$F$327,$F212,Покупка!$AC$25:$AC$327,$G212)</f>
        <v>0</v>
      </c>
      <c r="AF212" s="809">
        <f>_xlfn.SUMIFS(Покупка!AF$25:AF$327,Покупка!$F$25:$F$327,$F212,Покупка!$AC$25:$AC$327,$G212)</f>
        <v>0</v>
      </c>
      <c r="AG212" s="809">
        <f>_xlfn.SUMIFS(Покупка!AG$25:AG$327,Покупка!$F$25:$F$327,$F212,Покупка!$AC$25:$AC$327,$G212)</f>
        <v>0</v>
      </c>
      <c r="AH212" s="809">
        <f>AG212-AF212</f>
        <v>0</v>
      </c>
      <c r="AI212" s="809">
        <f>_xlfn.SUMIFS(Покупка!AH$25:AH$327,Покупка!$F$25:$F$327,$F212,Покупка!$AC$25:$AC$327,$G212)</f>
        <v>0</v>
      </c>
      <c r="AJ212" s="809">
        <f>_xlfn.SUMIFS(Покупка!AI$25:AI$327,Покупка!$F$25:$F$327,$F212,Покупка!$AC$25:$AC$327,$G212)</f>
        <v>0</v>
      </c>
      <c r="AK212" s="809">
        <f>_xlfn.SUMIFS(Покупка!AS$25:AS$327,Покупка!$F$25:$F$327,$F212,Покупка!$AC$25:$AC$327,$G212)</f>
        <v>0</v>
      </c>
      <c r="AL212" s="809">
        <f>IF(AI212=0,0,(AK212-AI212)/AI212*100)</f>
        <v>0</v>
      </c>
      <c r="AM212" s="810"/>
      <c r="AN212" s="917" t="str">
        <f>IF(_xlfn.IFERROR(INDEX(Покупка!$K$26:$L$327,MATCH($F212&amp;"5komm",Покупка!$K$26:$K$327,0),2),"")=0,"",_xlfn.IFERROR(INDEX(Покупка!$K$26:$L$327,MATCH($F212&amp;"5komm",Покупка!$K$26:$K$327,0),2),""))</f>
        <v/>
      </c>
      <c r="AO212" s="810"/>
      <c r="AP212" s="1324"/>
      <c r="AQ212" s="1324"/>
      <c r="AR212" s="1070" t="s">
        <v>2003</v>
      </c>
      <c r="AS212" s="1070"/>
      <c r="AT212" s="1070"/>
      <c r="AU212" s="1067"/>
      <c r="AV212" s="1067"/>
    </row>
    <row s="6140" customFormat="1" customHeight="1" ht="43.5">
      <c r="A213" s="593"/>
      <c r="B213" s="593"/>
      <c r="C213" s="593"/>
      <c r="D213" s="593"/>
      <c r="E213" s="703">
        <v>45</v>
      </c>
      <c r="F213" s="50" cm="1" t="str">
        <f t="array" ref="F213:F213">OFFSET(E213,-1,1)</f>
        <v>2</v>
      </c>
      <c r="G213" s="593"/>
      <c r="H213" s="593"/>
      <c r="I213" s="704" t="s">
        <v>573</v>
      </c>
      <c r="J213" s="704"/>
      <c r="K213" s="704"/>
      <c r="L213" s="704"/>
      <c r="M213" s="704"/>
      <c r="N213" s="704"/>
      <c r="O213" s="704"/>
      <c r="P213" s="704"/>
      <c r="Q213" s="704"/>
      <c r="R213" s="704"/>
      <c r="S213" s="704"/>
      <c r="T213" s="468" cm="1" t="str">
        <f t="array" ref="T213:T213">T212</f>
        <v>true</v>
      </c>
      <c r="U213" s="593"/>
      <c r="V213" s="593"/>
      <c r="W213" s="593"/>
      <c r="X213" s="1617"/>
      <c r="Y213" s="593"/>
      <c r="Z213" s="1618"/>
      <c r="AA213" s="593"/>
      <c r="AB213" s="811" t="s">
        <v>1073</v>
      </c>
      <c r="AC213" s="812" t="s">
        <v>2004</v>
      </c>
      <c r="AD213" s="595" t="s">
        <v>936</v>
      </c>
      <c r="AE213" s="817"/>
      <c r="AF213" s="817"/>
      <c r="AG213" s="817"/>
      <c r="AH213" s="808">
        <f>AG213-AF213</f>
        <v>0</v>
      </c>
      <c r="AI213" s="817"/>
      <c r="AJ213" s="817"/>
      <c r="AK213" s="817"/>
      <c r="AL213" s="808">
        <f>IF(AI213=0,0,(AK213-AI213)/AI213*100)</f>
        <v>0</v>
      </c>
      <c r="AM213" s="813"/>
      <c r="AN213" s="813"/>
      <c r="AO213" s="813"/>
      <c r="AP213" s="593"/>
      <c r="AQ213" s="593"/>
      <c r="AR213" s="1071" t="s">
        <v>2005</v>
      </c>
      <c r="AS213" s="1071"/>
      <c r="AT213" s="1071"/>
      <c r="AU213" s="703"/>
      <c r="AV213" s="703"/>
    </row>
    <row s="6141" customFormat="1" customHeight="1" ht="43.5">
      <c r="A214" s="593"/>
      <c r="B214" s="593"/>
      <c r="C214" s="593"/>
      <c r="D214" s="593"/>
      <c r="E214" s="703">
        <v>45</v>
      </c>
      <c r="F214" s="50" cm="1" t="str">
        <f t="array" ref="F214:F214">OFFSET(E214,-1,1)</f>
        <v>2</v>
      </c>
      <c r="G214" s="593"/>
      <c r="H214" s="593"/>
      <c r="I214" s="704" t="s">
        <v>577</v>
      </c>
      <c r="J214" s="704"/>
      <c r="K214" s="704"/>
      <c r="L214" s="704"/>
      <c r="M214" s="704"/>
      <c r="N214" s="704"/>
      <c r="O214" s="704"/>
      <c r="P214" s="704"/>
      <c r="Q214" s="704"/>
      <c r="R214" s="704"/>
      <c r="S214" s="704"/>
      <c r="T214" s="468" cm="1" t="str">
        <f t="array" ref="T214:T214">T213</f>
        <v>true</v>
      </c>
      <c r="U214" s="593"/>
      <c r="V214" s="593"/>
      <c r="W214" s="593"/>
      <c r="X214" s="1617"/>
      <c r="Y214" s="593"/>
      <c r="Z214" s="1618"/>
      <c r="AA214" s="593"/>
      <c r="AB214" s="811" t="s">
        <v>1076</v>
      </c>
      <c r="AC214" s="812" t="s">
        <v>2006</v>
      </c>
      <c r="AD214" s="595" t="s">
        <v>936</v>
      </c>
      <c r="AE214" s="808">
        <f>AE215+AE216</f>
        <v>0</v>
      </c>
      <c r="AF214" s="808">
        <f>AF215+AF216</f>
        <v>0</v>
      </c>
      <c r="AG214" s="808">
        <f>AG215+AG216</f>
        <v>0</v>
      </c>
      <c r="AH214" s="808">
        <f>AG214-AF214</f>
        <v>0</v>
      </c>
      <c r="AI214" s="808">
        <f>AI215+AI216</f>
        <v>0</v>
      </c>
      <c r="AJ214" s="808">
        <f>AJ215+AJ216</f>
        <v>0</v>
      </c>
      <c r="AK214" s="808">
        <f>AK215+AK216</f>
        <v>0</v>
      </c>
      <c r="AL214" s="808">
        <f>IF(AI214=0,0,(AK214-AI214)/AI214*100)</f>
        <v>0</v>
      </c>
      <c r="AM214" s="813"/>
      <c r="AN214" s="813"/>
      <c r="AO214" s="813"/>
      <c r="AP214" s="593"/>
      <c r="AQ214" s="593"/>
      <c r="AR214" s="1071" t="s">
        <v>2007</v>
      </c>
      <c r="AS214" s="1071"/>
      <c r="AT214" s="1071"/>
      <c r="AU214" s="703"/>
      <c r="AV214" s="703"/>
    </row>
    <row s="1656" customFormat="1" customHeight="1" ht="14.25">
      <c r="A215" s="1324"/>
      <c r="B215" s="1324"/>
      <c r="C215" s="1324"/>
      <c r="D215" s="1324"/>
      <c r="E215" s="701">
        <v>15</v>
      </c>
      <c r="F215" s="50" cm="1" t="str">
        <f t="array" ref="F215:F215">OFFSET(E215,-1,1)</f>
        <v>2</v>
      </c>
      <c r="G215" s="705" t="s">
        <v>1350</v>
      </c>
      <c r="H215" s="1324"/>
      <c r="I215" s="592" t="s">
        <v>1577</v>
      </c>
      <c r="J215" s="592"/>
      <c r="K215" s="592"/>
      <c r="L215" s="592"/>
      <c r="M215" s="592"/>
      <c r="N215" s="592"/>
      <c r="O215" s="592"/>
      <c r="P215" s="704"/>
      <c r="Q215" s="592"/>
      <c r="R215" s="592"/>
      <c r="S215" s="592"/>
      <c r="T215" s="468" cm="1" t="str">
        <f t="array" ref="T215:T215">T214</f>
        <v>true</v>
      </c>
      <c r="U215" s="1324"/>
      <c r="V215" s="1324"/>
      <c r="W215" s="1324"/>
      <c r="X215" s="1617"/>
      <c r="Y215" s="1324"/>
      <c r="Z215" s="1618"/>
      <c r="AA215" s="1324"/>
      <c r="AB215" s="814" t="s">
        <v>1214</v>
      </c>
      <c r="AC215" s="815" t="s">
        <v>2008</v>
      </c>
      <c r="AD215" s="766" t="s">
        <v>936</v>
      </c>
      <c r="AE215" s="809">
        <f>_xlfn.SUMIFS(ФОТ!AE$25:AE$127,ФОТ!$F$25:$F$127,$F215,ФОТ!$G$25:$G$127,$G215)</f>
        <v>0</v>
      </c>
      <c r="AF215" s="809">
        <f>_xlfn.SUMIFS(ФОТ!AF$25:AF$127,ФОТ!$F$25:$F$127,$F215,ФОТ!$G$25:$G$127,$G215)</f>
        <v>0</v>
      </c>
      <c r="AG215" s="809">
        <f>_xlfn.SUMIFS(ФОТ!AG$25:AG$127,ФОТ!$F$25:$F$127,$F215,ФОТ!$G$25:$G$127,$G215)</f>
        <v>0</v>
      </c>
      <c r="AH215" s="809">
        <f>AG215-AF215</f>
        <v>0</v>
      </c>
      <c r="AI215" s="809">
        <f>_xlfn.SUMIFS(ФОТ!AH$25:AH$127,ФОТ!$F$25:$F$127,$F215,ФОТ!$G$25:$G$127,$G215)</f>
        <v>0</v>
      </c>
      <c r="AJ215" s="809">
        <f>_xlfn.SUMIFS(ФОТ!AI$25:AI$127,ФОТ!$F$25:$F$127,$F215,ФОТ!$G$25:$G$127,$G215)</f>
        <v>0</v>
      </c>
      <c r="AK215" s="809">
        <f>_xlfn.SUMIFS(ФОТ!AJ$25:AJ$127,ФОТ!$F$25:$F$127,$F215,ФОТ!$G$25:$G$127,$G215)</f>
        <v>0</v>
      </c>
      <c r="AL215" s="809">
        <f>IF(AI215=0,0,(AK215-AI215)/AI215*100)</f>
        <v>0</v>
      </c>
      <c r="AM215" s="810"/>
      <c r="AN215" s="917" t="str">
        <f>IF(_xlfn.IFERROR(INDEX(ФОТ!$K$26:$L$127,MATCH($F215&amp;"1komm",ФОТ!$K$26:$K$127,0),2),"")=0,"",_xlfn.IFERROR(INDEX(ФОТ!$K$26:$L$127,MATCH($F215&amp;"1komm",ФОТ!$K$26:$K$127,0),2),""))</f>
        <v/>
      </c>
      <c r="AO215" s="810"/>
      <c r="AP215" s="1324"/>
      <c r="AQ215" s="1324"/>
      <c r="AR215" s="1070" t="s">
        <v>2009</v>
      </c>
      <c r="AS215" s="1070"/>
      <c r="AT215" s="1070"/>
      <c r="AU215" s="1067"/>
      <c r="AV215" s="1067"/>
    </row>
    <row s="1656" customFormat="1" customHeight="1" ht="21.75">
      <c r="A216" s="1324"/>
      <c r="B216" s="1324"/>
      <c r="C216" s="1324"/>
      <c r="D216" s="1324"/>
      <c r="E216" s="701">
        <v>22.5</v>
      </c>
      <c r="F216" s="50" cm="1" t="str">
        <f t="array" ref="F216:F216">OFFSET(E216,-1,1)</f>
        <v>2</v>
      </c>
      <c r="G216" s="705" t="s">
        <v>1362</v>
      </c>
      <c r="H216" s="1324"/>
      <c r="I216" s="592" t="s">
        <v>1578</v>
      </c>
      <c r="J216" s="592"/>
      <c r="K216" s="592"/>
      <c r="L216" s="592"/>
      <c r="M216" s="592"/>
      <c r="N216" s="592"/>
      <c r="O216" s="592"/>
      <c r="P216" s="704"/>
      <c r="Q216" s="592"/>
      <c r="R216" s="592"/>
      <c r="S216" s="592"/>
      <c r="T216" s="468" cm="1" t="str">
        <f t="array" ref="T216:T216">T215</f>
        <v>true</v>
      </c>
      <c r="U216" s="1324"/>
      <c r="V216" s="1324"/>
      <c r="W216" s="1324"/>
      <c r="X216" s="1617"/>
      <c r="Y216" s="1324"/>
      <c r="Z216" s="1618"/>
      <c r="AA216" s="1324"/>
      <c r="AB216" s="814" t="s">
        <v>1217</v>
      </c>
      <c r="AC216" s="815" t="s">
        <v>2010</v>
      </c>
      <c r="AD216" s="766" t="s">
        <v>936</v>
      </c>
      <c r="AE216" s="809">
        <f>_xlfn.SUMIFS(ФОТ!AE$25:AE$127,ФОТ!$F$25:$F$127,$F216,ФОТ!$G$25:$G$127,$G216)</f>
        <v>0</v>
      </c>
      <c r="AF216" s="809">
        <f>_xlfn.SUMIFS(ФОТ!AF$25:AF$127,ФОТ!$F$25:$F$127,$F216,ФОТ!$G$25:$G$127,$G216)</f>
        <v>0</v>
      </c>
      <c r="AG216" s="809">
        <f>_xlfn.SUMIFS(ФОТ!AG$25:AG$127,ФОТ!$F$25:$F$127,$F216,ФОТ!$G$25:$G$127,$G216)</f>
        <v>0</v>
      </c>
      <c r="AH216" s="809">
        <f>AG216-AF216</f>
        <v>0</v>
      </c>
      <c r="AI216" s="809">
        <f>_xlfn.SUMIFS(ФОТ!AH$25:AH$127,ФОТ!$F$25:$F$127,$F216,ФОТ!$G$25:$G$127,$G216)</f>
        <v>0</v>
      </c>
      <c r="AJ216" s="809">
        <f>_xlfn.SUMIFS(ФОТ!AI$25:AI$127,ФОТ!$F$25:$F$127,$F216,ФОТ!$G$25:$G$127,$G216)</f>
        <v>0</v>
      </c>
      <c r="AK216" s="809">
        <f>_xlfn.SUMIFS(ФОТ!AJ$25:AJ$127,ФОТ!$F$25:$F$127,$F216,ФОТ!$G$25:$G$127,$G216)</f>
        <v>0</v>
      </c>
      <c r="AL216" s="809">
        <f>IF(AI216=0,0,(AK216-AI216)/AI216*100)</f>
        <v>0</v>
      </c>
      <c r="AM216" s="810"/>
      <c r="AN216" s="917" t="str">
        <f>IF(_xlfn.IFERROR(INDEX(ФОТ!$K$26:$L$127,MATCH($F216&amp;"2komm",ФОТ!$K$26:$K$127,0),2),"")=0,"",_xlfn.IFERROR(INDEX(ФОТ!$K$26:$L$127,MATCH($F216&amp;"2komm",ФОТ!$K$26:$K$127,0),2),""))</f>
        <v/>
      </c>
      <c r="AO216" s="810"/>
      <c r="AP216" s="1324"/>
      <c r="AQ216" s="1324"/>
      <c r="AR216" s="1070" t="s">
        <v>2011</v>
      </c>
      <c r="AS216" s="1070"/>
      <c r="AT216" s="1070"/>
      <c r="AU216" s="1067"/>
      <c r="AV216" s="1067"/>
    </row>
    <row s="6142" customFormat="1" customHeight="1" ht="14.25">
      <c r="A217" s="593"/>
      <c r="B217" s="593"/>
      <c r="C217" s="593"/>
      <c r="D217" s="593"/>
      <c r="E217" s="703">
        <v>15</v>
      </c>
      <c r="F217" s="50" cm="1" t="str">
        <f t="array" ref="F217:F217">OFFSET(E217,-1,1)</f>
        <v>2</v>
      </c>
      <c r="G217" s="593"/>
      <c r="H217" s="593"/>
      <c r="I217" s="704" t="s">
        <v>1079</v>
      </c>
      <c r="J217" s="704"/>
      <c r="K217" s="704"/>
      <c r="L217" s="704"/>
      <c r="M217" s="704"/>
      <c r="N217" s="704"/>
      <c r="O217" s="704"/>
      <c r="P217" s="704"/>
      <c r="Q217" s="704"/>
      <c r="R217" s="704"/>
      <c r="S217" s="704"/>
      <c r="T217" s="468" cm="1" t="str">
        <f t="array" ref="T217:T217">T216</f>
        <v>true</v>
      </c>
      <c r="U217" s="593"/>
      <c r="V217" s="593"/>
      <c r="W217" s="593"/>
      <c r="X217" s="1617"/>
      <c r="Y217" s="593"/>
      <c r="Z217" s="1618"/>
      <c r="AA217" s="593"/>
      <c r="AB217" s="811" t="s">
        <v>1080</v>
      </c>
      <c r="AC217" s="812" t="s">
        <v>2012</v>
      </c>
      <c r="AD217" s="595" t="s">
        <v>936</v>
      </c>
      <c r="AE217" s="817"/>
      <c r="AF217" s="817"/>
      <c r="AG217" s="817"/>
      <c r="AH217" s="808">
        <f>AG217-AF217</f>
        <v>0</v>
      </c>
      <c r="AI217" s="817"/>
      <c r="AJ217" s="817"/>
      <c r="AK217" s="817"/>
      <c r="AL217" s="808">
        <f>IF(AI217=0,0,(AK217-AI217)/AI217*100)</f>
        <v>0</v>
      </c>
      <c r="AM217" s="813"/>
      <c r="AN217" s="813"/>
      <c r="AO217" s="813"/>
      <c r="AP217" s="593"/>
      <c r="AQ217" s="593"/>
      <c r="AR217" s="1071" t="s">
        <v>1556</v>
      </c>
      <c r="AS217" s="1071"/>
      <c r="AT217" s="1071"/>
      <c r="AU217" s="703"/>
      <c r="AV217" s="703"/>
    </row>
    <row s="6143" customFormat="1" customHeight="1" ht="14.25">
      <c r="A218" s="593"/>
      <c r="B218" s="593"/>
      <c r="C218" s="593"/>
      <c r="D218" s="593"/>
      <c r="E218" s="703">
        <v>15</v>
      </c>
      <c r="F218" s="50" cm="1" t="str">
        <f t="array" ref="F218:F218">OFFSET(E218,-1,1)</f>
        <v>2</v>
      </c>
      <c r="G218" s="593"/>
      <c r="H218" s="593"/>
      <c r="I218" s="704" t="s">
        <v>2013</v>
      </c>
      <c r="J218" s="704"/>
      <c r="K218" s="704"/>
      <c r="L218" s="704"/>
      <c r="M218" s="704"/>
      <c r="N218" s="704"/>
      <c r="O218" s="704"/>
      <c r="P218" s="704"/>
      <c r="Q218" s="704"/>
      <c r="R218" s="704"/>
      <c r="S218" s="704"/>
      <c r="T218" s="468" cm="1" t="str">
        <f t="array" ref="T218:T218">T217</f>
        <v>true</v>
      </c>
      <c r="U218" s="593"/>
      <c r="V218" s="593"/>
      <c r="W218" s="593"/>
      <c r="X218" s="1617"/>
      <c r="Y218" s="593"/>
      <c r="Z218" s="1618"/>
      <c r="AA218" s="593"/>
      <c r="AB218" s="811" t="s">
        <v>2014</v>
      </c>
      <c r="AC218" s="812" t="s">
        <v>2015</v>
      </c>
      <c r="AD218" s="595" t="s">
        <v>936</v>
      </c>
      <c r="AE218" s="817"/>
      <c r="AF218" s="817"/>
      <c r="AG218" s="817"/>
      <c r="AH218" s="808">
        <f>AG218-AF218</f>
        <v>0</v>
      </c>
      <c r="AI218" s="817"/>
      <c r="AJ218" s="817"/>
      <c r="AK218" s="817"/>
      <c r="AL218" s="808">
        <f>IF(AI218=0,0,(AK218-AI218)/AI218*100)</f>
        <v>0</v>
      </c>
      <c r="AM218" s="813"/>
      <c r="AN218" s="813"/>
      <c r="AO218" s="813"/>
      <c r="AP218" s="593"/>
      <c r="AQ218" s="593"/>
      <c r="AR218" s="1071" t="s">
        <v>2016</v>
      </c>
      <c r="AS218" s="1071"/>
      <c r="AT218" s="1071"/>
      <c r="AU218" s="703"/>
      <c r="AV218" s="703"/>
    </row>
    <row s="6144" customFormat="1" customHeight="1" ht="14.25">
      <c r="A219" s="593"/>
      <c r="B219" s="593"/>
      <c r="C219" s="593"/>
      <c r="D219" s="593"/>
      <c r="E219" s="703">
        <v>15</v>
      </c>
      <c r="F219" s="50" cm="1" t="str">
        <f t="array" ref="F219:F219">OFFSET(E219,-1,1)</f>
        <v>2</v>
      </c>
      <c r="G219" s="593"/>
      <c r="H219" s="593"/>
      <c r="I219" s="704" t="s">
        <v>2017</v>
      </c>
      <c r="J219" s="704"/>
      <c r="K219" s="704"/>
      <c r="L219" s="704"/>
      <c r="M219" s="704"/>
      <c r="N219" s="704"/>
      <c r="O219" s="704"/>
      <c r="P219" s="704"/>
      <c r="Q219" s="704"/>
      <c r="R219" s="704"/>
      <c r="S219" s="704"/>
      <c r="T219" s="468" cm="1" t="str">
        <f t="array" ref="T219:T219">T218</f>
        <v>true</v>
      </c>
      <c r="U219" s="593"/>
      <c r="V219" s="593"/>
      <c r="W219" s="593"/>
      <c r="X219" s="1617"/>
      <c r="Y219" s="593"/>
      <c r="Z219" s="1618"/>
      <c r="AA219" s="593"/>
      <c r="AB219" s="811" t="s">
        <v>2018</v>
      </c>
      <c r="AC219" s="812" t="s">
        <v>2019</v>
      </c>
      <c r="AD219" s="595" t="s">
        <v>936</v>
      </c>
      <c r="AE219" s="808">
        <f>SUM(AE220:AE225)</f>
        <v>0</v>
      </c>
      <c r="AF219" s="808">
        <f>SUM(AF220:AF225)</f>
        <v>0</v>
      </c>
      <c r="AG219" s="808">
        <f>SUM(AG220:AG225)</f>
        <v>0</v>
      </c>
      <c r="AH219" s="808">
        <f>AG219-AF219</f>
        <v>0</v>
      </c>
      <c r="AI219" s="808">
        <f>SUM(AI220:AI225)</f>
        <v>0</v>
      </c>
      <c r="AJ219" s="808">
        <f>SUM(AJ220:AJ225)</f>
        <v>0</v>
      </c>
      <c r="AK219" s="808">
        <f>SUM(AK220:AK225)</f>
        <v>0</v>
      </c>
      <c r="AL219" s="808">
        <f>IF(AI219=0,0,(AK219-AI219)/AI219*100)</f>
        <v>0</v>
      </c>
      <c r="AM219" s="813"/>
      <c r="AN219" s="813"/>
      <c r="AO219" s="813"/>
      <c r="AP219" s="593"/>
      <c r="AQ219" s="593"/>
      <c r="AR219" s="1071" t="s">
        <v>2020</v>
      </c>
      <c r="AS219" s="1071"/>
      <c r="AT219" s="1071"/>
      <c r="AU219" s="703"/>
      <c r="AV219" s="703"/>
    </row>
    <row s="1656" customFormat="1" customHeight="1" ht="14.25">
      <c r="A220" s="1324"/>
      <c r="B220" s="1324"/>
      <c r="C220" s="1324"/>
      <c r="D220" s="1324"/>
      <c r="E220" s="701">
        <v>15</v>
      </c>
      <c r="F220" s="50" cm="1" t="str">
        <f t="array" ref="F220:F220">OFFSET(E220,-1,1)</f>
        <v>2</v>
      </c>
      <c r="G220" s="1324"/>
      <c r="H220" s="1324"/>
      <c r="I220" s="592" t="s">
        <v>2017</v>
      </c>
      <c r="J220" s="994" t="s">
        <v>2021</v>
      </c>
      <c r="K220" s="1324"/>
      <c r="L220" s="592"/>
      <c r="M220" s="592"/>
      <c r="N220" s="592"/>
      <c r="O220" s="592"/>
      <c r="P220" s="592"/>
      <c r="Q220" s="592"/>
      <c r="R220" s="592"/>
      <c r="S220" s="592"/>
      <c r="T220" s="468" cm="1" t="str">
        <f t="array" ref="T220:T220">T219</f>
        <v>true</v>
      </c>
      <c r="U220" s="1324"/>
      <c r="V220" s="1324"/>
      <c r="W220" s="1324"/>
      <c r="X220" s="1617"/>
      <c r="Y220" s="1324"/>
      <c r="Z220" s="1618"/>
      <c r="AA220" s="1324"/>
      <c r="AB220" s="814" t="s">
        <v>2022</v>
      </c>
      <c r="AC220" s="815" t="s">
        <v>2023</v>
      </c>
      <c r="AD220" s="766" t="s">
        <v>936</v>
      </c>
      <c r="AE220" s="816"/>
      <c r="AF220" s="816"/>
      <c r="AG220" s="816"/>
      <c r="AH220" s="809">
        <f>AG220-AF220</f>
        <v>0</v>
      </c>
      <c r="AI220" s="816"/>
      <c r="AJ220" s="816"/>
      <c r="AK220" s="816"/>
      <c r="AL220" s="809">
        <f>IF(AI220=0,0,(AK220-AI220)/AI220*100)</f>
        <v>0</v>
      </c>
      <c r="AM220" s="810"/>
      <c r="AN220" s="810"/>
      <c r="AO220" s="810"/>
      <c r="AP220" s="1324"/>
      <c r="AQ220" s="1324"/>
      <c r="AR220" s="1070" t="s">
        <v>2024</v>
      </c>
      <c r="AS220" s="1070"/>
      <c r="AT220" s="1070"/>
      <c r="AU220" s="1067"/>
      <c r="AV220" s="1067"/>
    </row>
    <row s="1656" customFormat="1" customHeight="1" ht="14.25">
      <c r="A221" s="1324"/>
      <c r="B221" s="1324"/>
      <c r="C221" s="1324"/>
      <c r="D221" s="1324"/>
      <c r="E221" s="701">
        <v>15</v>
      </c>
      <c r="F221" s="50" cm="1" t="str">
        <f t="array" ref="F221:F221">OFFSET(E221,-1,1)</f>
        <v>2</v>
      </c>
      <c r="G221" s="1324"/>
      <c r="H221" s="1324"/>
      <c r="I221" s="592" t="s">
        <v>2017</v>
      </c>
      <c r="J221" s="994" t="s">
        <v>2025</v>
      </c>
      <c r="K221" s="1324"/>
      <c r="L221" s="592"/>
      <c r="M221" s="592"/>
      <c r="N221" s="592"/>
      <c r="O221" s="592"/>
      <c r="P221" s="592"/>
      <c r="Q221" s="592"/>
      <c r="R221" s="592"/>
      <c r="S221" s="592"/>
      <c r="T221" s="468" cm="1" t="str">
        <f t="array" ref="T221:T221">T220</f>
        <v>true</v>
      </c>
      <c r="U221" s="1324"/>
      <c r="V221" s="1324"/>
      <c r="W221" s="1324"/>
      <c r="X221" s="1617"/>
      <c r="Y221" s="1324"/>
      <c r="Z221" s="1618"/>
      <c r="AA221" s="1324"/>
      <c r="AB221" s="814" t="s">
        <v>2026</v>
      </c>
      <c r="AC221" s="815" t="s">
        <v>2027</v>
      </c>
      <c r="AD221" s="766" t="s">
        <v>936</v>
      </c>
      <c r="AE221" s="816"/>
      <c r="AF221" s="816"/>
      <c r="AG221" s="816"/>
      <c r="AH221" s="809">
        <f>AG221-AF221</f>
        <v>0</v>
      </c>
      <c r="AI221" s="816"/>
      <c r="AJ221" s="816"/>
      <c r="AK221" s="816"/>
      <c r="AL221" s="809">
        <f>IF(AI221=0,0,(AK221-AI221)/AI221*100)</f>
        <v>0</v>
      </c>
      <c r="AM221" s="810"/>
      <c r="AN221" s="810"/>
      <c r="AO221" s="810"/>
      <c r="AP221" s="1324"/>
      <c r="AQ221" s="1324"/>
      <c r="AR221" s="1070" t="s">
        <v>2028</v>
      </c>
      <c r="AS221" s="1070"/>
      <c r="AT221" s="1070"/>
      <c r="AU221" s="1067"/>
      <c r="AV221" s="1067"/>
    </row>
    <row s="1656" customFormat="1" customHeight="1" ht="14.25">
      <c r="A222" s="1324"/>
      <c r="B222" s="1324"/>
      <c r="C222" s="1324"/>
      <c r="D222" s="1324"/>
      <c r="E222" s="701">
        <v>15</v>
      </c>
      <c r="F222" s="50" cm="1" t="str">
        <f t="array" ref="F222:F222">OFFSET(E222,-1,1)</f>
        <v>2</v>
      </c>
      <c r="G222" s="1324"/>
      <c r="H222" s="1324"/>
      <c r="I222" s="592" t="s">
        <v>2017</v>
      </c>
      <c r="J222" s="994" t="s">
        <v>2029</v>
      </c>
      <c r="K222" s="1324"/>
      <c r="L222" s="592"/>
      <c r="M222" s="592"/>
      <c r="N222" s="592"/>
      <c r="O222" s="592"/>
      <c r="P222" s="592"/>
      <c r="Q222" s="592"/>
      <c r="R222" s="592"/>
      <c r="S222" s="592"/>
      <c r="T222" s="468" cm="1" t="str">
        <f t="array" ref="T222:T222">T221</f>
        <v>true</v>
      </c>
      <c r="U222" s="1324"/>
      <c r="V222" s="1324"/>
      <c r="W222" s="1324"/>
      <c r="X222" s="1617"/>
      <c r="Y222" s="1324"/>
      <c r="Z222" s="1618"/>
      <c r="AA222" s="1324"/>
      <c r="AB222" s="814" t="s">
        <v>2030</v>
      </c>
      <c r="AC222" s="815" t="s">
        <v>2031</v>
      </c>
      <c r="AD222" s="766" t="s">
        <v>936</v>
      </c>
      <c r="AE222" s="816"/>
      <c r="AF222" s="816"/>
      <c r="AG222" s="816"/>
      <c r="AH222" s="809">
        <f>AG222-AF222</f>
        <v>0</v>
      </c>
      <c r="AI222" s="816"/>
      <c r="AJ222" s="816"/>
      <c r="AK222" s="816"/>
      <c r="AL222" s="809">
        <f>IF(AI222=0,0,(AK222-AI222)/AI222*100)</f>
        <v>0</v>
      </c>
      <c r="AM222" s="810"/>
      <c r="AN222" s="810"/>
      <c r="AO222" s="810"/>
      <c r="AP222" s="1324"/>
      <c r="AQ222" s="1324"/>
      <c r="AR222" s="1070" t="s">
        <v>2032</v>
      </c>
      <c r="AS222" s="1070"/>
      <c r="AT222" s="1070"/>
      <c r="AU222" s="1067"/>
      <c r="AV222" s="1067"/>
    </row>
    <row s="1656" customFormat="1" customHeight="1" ht="14.25">
      <c r="A223" s="1324"/>
      <c r="B223" s="1324"/>
      <c r="C223" s="1324"/>
      <c r="D223" s="1324"/>
      <c r="E223" s="701">
        <v>15</v>
      </c>
      <c r="F223" s="50" cm="1" t="str">
        <f t="array" ref="F223:F223">OFFSET(E223,-1,1)</f>
        <v>2</v>
      </c>
      <c r="G223" s="1324"/>
      <c r="H223" s="1324"/>
      <c r="I223" s="592" t="s">
        <v>2017</v>
      </c>
      <c r="J223" s="994" t="s">
        <v>2033</v>
      </c>
      <c r="K223" s="1324"/>
      <c r="L223" s="592"/>
      <c r="M223" s="592"/>
      <c r="N223" s="592"/>
      <c r="O223" s="592"/>
      <c r="P223" s="592"/>
      <c r="Q223" s="592"/>
      <c r="R223" s="592"/>
      <c r="S223" s="592"/>
      <c r="T223" s="468" cm="1" t="str">
        <f t="array" ref="T223:T223">T222</f>
        <v>true</v>
      </c>
      <c r="U223" s="1324"/>
      <c r="V223" s="1324"/>
      <c r="W223" s="1324"/>
      <c r="X223" s="1617"/>
      <c r="Y223" s="1324"/>
      <c r="Z223" s="1618"/>
      <c r="AA223" s="1324"/>
      <c r="AB223" s="814" t="s">
        <v>2034</v>
      </c>
      <c r="AC223" s="815" t="s">
        <v>2035</v>
      </c>
      <c r="AD223" s="766" t="s">
        <v>936</v>
      </c>
      <c r="AE223" s="816"/>
      <c r="AF223" s="816"/>
      <c r="AG223" s="816"/>
      <c r="AH223" s="809">
        <f>AG223-AF223</f>
        <v>0</v>
      </c>
      <c r="AI223" s="816"/>
      <c r="AJ223" s="816"/>
      <c r="AK223" s="816"/>
      <c r="AL223" s="809">
        <f>IF(AI223=0,0,(AK223-AI223)/AI223*100)</f>
        <v>0</v>
      </c>
      <c r="AM223" s="810"/>
      <c r="AN223" s="810"/>
      <c r="AO223" s="810"/>
      <c r="AP223" s="1324"/>
      <c r="AQ223" s="1324"/>
      <c r="AR223" s="1070" t="s">
        <v>2036</v>
      </c>
      <c r="AS223" s="1070"/>
      <c r="AT223" s="1070"/>
      <c r="AU223" s="1067"/>
      <c r="AV223" s="1067"/>
    </row>
    <row s="1656" customFormat="1" customHeight="1" ht="14.25" hidden="1">
      <c r="A224" s="1324"/>
      <c r="B224" s="1324"/>
      <c r="C224" s="1324"/>
      <c r="D224" s="1324"/>
      <c r="E224" s="701">
        <v>15</v>
      </c>
      <c r="F224" s="50" cm="1" t="str">
        <f t="array" ref="F224:F224">OFFSET(E224,-1,1)</f>
        <v>2</v>
      </c>
      <c r="G224" s="1324"/>
      <c r="H224" s="1324"/>
      <c r="I224" s="592" t="s">
        <v>2017</v>
      </c>
      <c r="J224" s="582" cm="1" t="str">
        <f t="array" ref="J224:J224">AC224</f>
        <v>0</v>
      </c>
      <c r="K224" s="1324"/>
      <c r="L224" s="592"/>
      <c r="M224" s="592"/>
      <c r="N224" s="592"/>
      <c r="O224" s="592"/>
      <c r="P224" s="592"/>
      <c r="Q224" s="592"/>
      <c r="R224" s="592"/>
      <c r="S224" s="592"/>
      <c r="T224" s="468">
        <f>AND(F224&gt;0,Y224&gt;4)</f>
        <v>0</v>
      </c>
      <c r="U224" s="1324"/>
      <c r="V224" s="1324"/>
      <c r="W224" s="764" t="s">
        <v>173</v>
      </c>
      <c r="X224" s="1617"/>
      <c r="Y224" s="582">
        <v>4</v>
      </c>
      <c r="Z224" s="1618"/>
      <c r="AA224" s="1247" t="s">
        <v>174</v>
      </c>
      <c r="AB224" s="707" t="str">
        <f>"1.7."&amp;Y224</f>
        <v>1.7.4</v>
      </c>
      <c r="AC224" s="6060"/>
      <c r="AD224" s="766" t="s">
        <v>936</v>
      </c>
      <c r="AE224" s="6057"/>
      <c r="AF224" s="6057"/>
      <c r="AG224" s="6057"/>
      <c r="AH224" s="809">
        <f>AG224-AF224</f>
        <v>0</v>
      </c>
      <c r="AI224" s="6057"/>
      <c r="AJ224" s="6061"/>
      <c r="AK224" s="6061"/>
      <c r="AL224" s="809">
        <f>IF(AI224=0,0,(AK224-AI224)/AI224*100)</f>
        <v>0</v>
      </c>
      <c r="AM224" s="6062"/>
      <c r="AN224" s="6062"/>
      <c r="AO224" s="6062"/>
      <c r="AP224" s="1324"/>
      <c r="AQ224" s="1324"/>
      <c r="AR224" s="1070" t="s">
        <v>2037</v>
      </c>
      <c r="AS224" s="1070" t="s">
        <v>1323</v>
      </c>
      <c r="AT224" s="1068" cm="1" t="str">
        <f t="array" ref="AT224:AT224">AC224</f>
        <v>0</v>
      </c>
      <c r="AU224" s="1067"/>
      <c r="AV224" s="701" t="b">
        <v>1</v>
      </c>
    </row>
    <row s="1656" customFormat="1" customHeight="1" ht="14.25">
      <c r="A225" s="1324"/>
      <c r="B225" s="1324"/>
      <c r="C225" s="1324"/>
      <c r="D225" s="1324"/>
      <c r="E225" s="701">
        <v>15</v>
      </c>
      <c r="F225" s="50" cm="1" t="str">
        <f t="array" ref="F225:F225">OFFSET(E225,-1,1)</f>
        <v>2</v>
      </c>
      <c r="G225" s="1324"/>
      <c r="H225" s="1324"/>
      <c r="I225" s="702"/>
      <c r="J225" s="702" t="s">
        <v>2038</v>
      </c>
      <c r="K225" s="702"/>
      <c r="L225" s="702"/>
      <c r="M225" s="702"/>
      <c r="N225" s="702"/>
      <c r="O225" s="702"/>
      <c r="P225" s="702"/>
      <c r="Q225" s="702"/>
      <c r="R225" s="702"/>
      <c r="S225" s="702"/>
      <c r="T225" s="468">
        <f>F225&gt;0</f>
        <v>1</v>
      </c>
      <c r="U225" s="1324"/>
      <c r="V225" s="1324"/>
      <c r="W225" s="836" t="s">
        <v>410</v>
      </c>
      <c r="X225" s="1617"/>
      <c r="Y225" s="1324"/>
      <c r="Z225" s="1618"/>
      <c r="AA225" s="1324"/>
      <c r="AB225" s="1248"/>
      <c r="AC225" s="1249" t="s">
        <v>177</v>
      </c>
      <c r="AD225" s="1250"/>
      <c r="AE225" s="1250"/>
      <c r="AF225" s="1250"/>
      <c r="AG225" s="1250"/>
      <c r="AH225" s="1250"/>
      <c r="AI225" s="1250"/>
      <c r="AJ225" s="1250"/>
      <c r="AK225" s="1250"/>
      <c r="AL225" s="1250"/>
      <c r="AM225" s="1250"/>
      <c r="AN225" s="1250"/>
      <c r="AO225" s="1251"/>
      <c r="AP225" s="1324"/>
      <c r="AQ225" s="1324"/>
      <c r="AR225" s="1070"/>
      <c r="AS225" s="1070"/>
      <c r="AT225" s="1070"/>
      <c r="AU225" s="1067" t="s">
        <v>1323</v>
      </c>
      <c r="AV225" s="1067"/>
    </row>
    <row s="6159" customFormat="1" customHeight="1" ht="14.25">
      <c r="A226" s="593"/>
      <c r="B226" s="593"/>
      <c r="C226" s="593"/>
      <c r="D226" s="593"/>
      <c r="E226" s="703">
        <v>15</v>
      </c>
      <c r="F226" s="50" cm="1" t="str">
        <f t="array" ref="F226:F226">OFFSET(E226,-1,1)</f>
        <v>2</v>
      </c>
      <c r="G226" s="593"/>
      <c r="H226" s="593"/>
      <c r="I226" s="704" t="s">
        <v>345</v>
      </c>
      <c r="J226" s="704"/>
      <c r="K226" s="704"/>
      <c r="L226" s="704"/>
      <c r="M226" s="704"/>
      <c r="N226" s="704"/>
      <c r="O226" s="704"/>
      <c r="P226" s="704"/>
      <c r="Q226" s="704"/>
      <c r="R226" s="704"/>
      <c r="S226" s="704"/>
      <c r="T226" s="468" cm="1" t="str">
        <f t="array" ref="T226:T226">T225</f>
        <v>true</v>
      </c>
      <c r="U226" s="593"/>
      <c r="V226" s="593"/>
      <c r="W226" s="593"/>
      <c r="X226" s="1617"/>
      <c r="Y226" s="593"/>
      <c r="Z226" s="1618"/>
      <c r="AA226" s="593"/>
      <c r="AB226" s="811" t="s">
        <v>299</v>
      </c>
      <c r="AC226" s="807" t="s">
        <v>2039</v>
      </c>
      <c r="AD226" s="819" t="s">
        <v>936</v>
      </c>
      <c r="AE226" s="795">
        <f>AE227+AE228</f>
        <v>0</v>
      </c>
      <c r="AF226" s="795">
        <f>AF227+AF228</f>
        <v>0</v>
      </c>
      <c r="AG226" s="795">
        <f>AG227+AG228</f>
        <v>0</v>
      </c>
      <c r="AH226" s="808">
        <f>AG226-AF226</f>
        <v>0</v>
      </c>
      <c r="AI226" s="795">
        <f>AI227+AI228</f>
        <v>0</v>
      </c>
      <c r="AJ226" s="795">
        <f>AJ227+AJ228</f>
        <v>0</v>
      </c>
      <c r="AK226" s="795">
        <f>AK227+AK228</f>
        <v>0</v>
      </c>
      <c r="AL226" s="808">
        <f>IF(AI226=0,0,(AK226-AI226)/AI226*100)</f>
        <v>0</v>
      </c>
      <c r="AM226" s="813"/>
      <c r="AN226" s="813"/>
      <c r="AO226" s="813"/>
      <c r="AP226" s="593"/>
      <c r="AQ226" s="593"/>
      <c r="AR226" s="1071" t="s">
        <v>2040</v>
      </c>
      <c r="AS226" s="1071"/>
      <c r="AT226" s="1071"/>
      <c r="AU226" s="703"/>
      <c r="AV226" s="703"/>
    </row>
    <row s="1656" customFormat="1" customHeight="1" ht="32.25">
      <c r="A227" s="1324"/>
      <c r="B227" s="1324"/>
      <c r="C227" s="1324"/>
      <c r="D227" s="1324"/>
      <c r="E227" s="701">
        <v>33.75</v>
      </c>
      <c r="F227" s="50" cm="1" t="str">
        <f t="array" ref="F227:F227">OFFSET(E227,-1,1)</f>
        <v>2</v>
      </c>
      <c r="G227" s="1324"/>
      <c r="H227" s="1324"/>
      <c r="I227" s="592" t="s">
        <v>584</v>
      </c>
      <c r="J227" s="592"/>
      <c r="K227" s="592"/>
      <c r="L227" s="592"/>
      <c r="M227" s="592"/>
      <c r="N227" s="592"/>
      <c r="O227" s="592"/>
      <c r="P227" s="592"/>
      <c r="Q227" s="592"/>
      <c r="R227" s="592"/>
      <c r="S227" s="592"/>
      <c r="T227" s="468" cm="1" t="str">
        <f t="array" ref="T227:T227">T226</f>
        <v>true</v>
      </c>
      <c r="U227" s="1324"/>
      <c r="V227" s="1324"/>
      <c r="W227" s="1324"/>
      <c r="X227" s="1617"/>
      <c r="Y227" s="1324"/>
      <c r="Z227" s="1618"/>
      <c r="AA227" s="1324"/>
      <c r="AB227" s="814" t="s">
        <v>660</v>
      </c>
      <c r="AC227" s="820" t="s">
        <v>2041</v>
      </c>
      <c r="AD227" s="821" t="s">
        <v>936</v>
      </c>
      <c r="AE227" s="816"/>
      <c r="AF227" s="816"/>
      <c r="AG227" s="816"/>
      <c r="AH227" s="809">
        <f>AG227-AF227</f>
        <v>0</v>
      </c>
      <c r="AI227" s="816"/>
      <c r="AJ227" s="816"/>
      <c r="AK227" s="816"/>
      <c r="AL227" s="809">
        <f>IF(AI227=0,0,(AK227-AI227)/AI227*100)</f>
        <v>0</v>
      </c>
      <c r="AM227" s="810"/>
      <c r="AN227" s="810"/>
      <c r="AO227" s="810"/>
      <c r="AP227" s="1324"/>
      <c r="AQ227" s="1324"/>
      <c r="AR227" s="1070" t="s">
        <v>2042</v>
      </c>
      <c r="AS227" s="1070"/>
      <c r="AT227" s="1070"/>
      <c r="AU227" s="1067"/>
      <c r="AV227" s="1067"/>
    </row>
    <row s="1656" customFormat="1" customHeight="1" ht="34.5">
      <c r="A228" s="1324"/>
      <c r="B228" s="1324"/>
      <c r="C228" s="1324"/>
      <c r="D228" s="1324"/>
      <c r="E228" s="701">
        <v>36</v>
      </c>
      <c r="F228" s="50" cm="1" t="str">
        <f t="array" ref="F228:F228">OFFSET(E228,-1,1)</f>
        <v>2</v>
      </c>
      <c r="G228" s="1324"/>
      <c r="H228" s="1324"/>
      <c r="I228" s="592" t="s">
        <v>587</v>
      </c>
      <c r="J228" s="592"/>
      <c r="K228" s="592"/>
      <c r="L228" s="592"/>
      <c r="M228" s="592"/>
      <c r="N228" s="592"/>
      <c r="O228" s="592"/>
      <c r="P228" s="592"/>
      <c r="Q228" s="592"/>
      <c r="R228" s="592"/>
      <c r="S228" s="592"/>
      <c r="T228" s="468" cm="1" t="str">
        <f t="array" ref="T228:T228">T227</f>
        <v>true</v>
      </c>
      <c r="U228" s="1324"/>
      <c r="V228" s="1324"/>
      <c r="W228" s="1324"/>
      <c r="X228" s="1617"/>
      <c r="Y228" s="1324"/>
      <c r="Z228" s="1618"/>
      <c r="AA228" s="1324"/>
      <c r="AB228" s="814" t="s">
        <v>664</v>
      </c>
      <c r="AC228" s="820" t="s">
        <v>2043</v>
      </c>
      <c r="AD228" s="821" t="s">
        <v>936</v>
      </c>
      <c r="AE228" s="822">
        <f>AE229+AE230</f>
        <v>0</v>
      </c>
      <c r="AF228" s="822">
        <f>AF229+AF230</f>
        <v>0</v>
      </c>
      <c r="AG228" s="822">
        <f>AG229+AG230</f>
        <v>0</v>
      </c>
      <c r="AH228" s="809">
        <f>AG228-AF228</f>
        <v>0</v>
      </c>
      <c r="AI228" s="822">
        <f>AI229+AI230</f>
        <v>0</v>
      </c>
      <c r="AJ228" s="822">
        <f>AJ229+AJ230</f>
        <v>0</v>
      </c>
      <c r="AK228" s="822">
        <f>AK229+AK230</f>
        <v>0</v>
      </c>
      <c r="AL228" s="809">
        <f>IF(AI228=0,0,(AK228-AI228)/AI228*100)</f>
        <v>0</v>
      </c>
      <c r="AM228" s="810"/>
      <c r="AN228" s="810"/>
      <c r="AO228" s="810"/>
      <c r="AP228" s="1324"/>
      <c r="AQ228" s="1324"/>
      <c r="AR228" s="1070" t="s">
        <v>2044</v>
      </c>
      <c r="AS228" s="1070"/>
      <c r="AT228" s="1070"/>
      <c r="AU228" s="1067"/>
      <c r="AV228" s="1067"/>
    </row>
    <row s="1656" customFormat="1" customHeight="1" ht="14.25">
      <c r="A229" s="1324"/>
      <c r="B229" s="1324"/>
      <c r="C229" s="1324"/>
      <c r="D229" s="1324"/>
      <c r="E229" s="701">
        <v>15</v>
      </c>
      <c r="F229" s="50" cm="1" t="str">
        <f t="array" ref="F229:F229">OFFSET(E229,-1,1)</f>
        <v>2</v>
      </c>
      <c r="G229" s="582" t="s">
        <v>1365</v>
      </c>
      <c r="H229" s="1324"/>
      <c r="I229" s="592" t="s">
        <v>2045</v>
      </c>
      <c r="J229" s="592"/>
      <c r="K229" s="592"/>
      <c r="L229" s="592"/>
      <c r="M229" s="592"/>
      <c r="N229" s="592"/>
      <c r="O229" s="592"/>
      <c r="P229" s="592"/>
      <c r="Q229" s="592"/>
      <c r="R229" s="592"/>
      <c r="S229" s="592"/>
      <c r="T229" s="468" cm="1" t="str">
        <f t="array" ref="T229:T229">T228</f>
        <v>true</v>
      </c>
      <c r="U229" s="1324"/>
      <c r="V229" s="1324"/>
      <c r="W229" s="1324"/>
      <c r="X229" s="1617"/>
      <c r="Y229" s="1324"/>
      <c r="Z229" s="1618"/>
      <c r="AA229" s="1324"/>
      <c r="AB229" s="814" t="s">
        <v>598</v>
      </c>
      <c r="AC229" s="815" t="s">
        <v>2046</v>
      </c>
      <c r="AD229" s="821" t="s">
        <v>936</v>
      </c>
      <c r="AE229" s="809">
        <f>_xlfn.SUMIFS(ФОТ!AE$25:AE$127,ФОТ!$F$25:$F$127,$F229,ФОТ!$G$25:$G$127,$G229)</f>
        <v>0</v>
      </c>
      <c r="AF229" s="809">
        <f>_xlfn.SUMIFS(ФОТ!AF$25:AF$127,ФОТ!$F$25:$F$127,$F229,ФОТ!$G$25:$G$127,$G229)</f>
        <v>0</v>
      </c>
      <c r="AG229" s="809">
        <f>_xlfn.SUMIFS(ФОТ!AG$25:AG$127,ФОТ!$F$25:$F$127,$F229,ФОТ!$G$25:$G$127,$G229)</f>
        <v>0</v>
      </c>
      <c r="AH229" s="809">
        <f>AG229-AF229</f>
        <v>0</v>
      </c>
      <c r="AI229" s="809">
        <f>_xlfn.SUMIFS(ФОТ!AH$25:AH$127,ФОТ!$F$25:$F$127,$F229,ФОТ!$G$25:$G$127,$G229)</f>
        <v>0</v>
      </c>
      <c r="AJ229" s="809">
        <f>_xlfn.SUMIFS(ФОТ!AI$25:AI$127,ФОТ!$F$25:$F$127,$F229,ФОТ!$G$25:$G$127,$G229)</f>
        <v>0</v>
      </c>
      <c r="AK229" s="809">
        <f>_xlfn.SUMIFS(ФОТ!AJ$25:AJ$127,ФОТ!$F$25:$F$127,$F229,ФОТ!$G$25:$G$127,$G229)</f>
        <v>0</v>
      </c>
      <c r="AL229" s="809">
        <f>IF(AI229=0,0,(AK229-AI229)/AI229*100)</f>
        <v>0</v>
      </c>
      <c r="AM229" s="810"/>
      <c r="AN229" s="917" t="str">
        <f>IF(_xlfn.IFERROR(INDEX(ФОТ!$K$26:$L$127,MATCH($F229&amp;"3komm",ФОТ!$K$26:$K$127,0),2),"")=0,"",_xlfn.IFERROR(INDEX(ФОТ!$K$26:$L$127,MATCH($F229&amp;"3komm",ФОТ!$K$26:$K$127,0),2),""))</f>
        <v/>
      </c>
      <c r="AO229" s="810"/>
      <c r="AP229" s="1324"/>
      <c r="AQ229" s="1324"/>
      <c r="AR229" s="1070" t="s">
        <v>2047</v>
      </c>
      <c r="AS229" s="1070"/>
      <c r="AT229" s="1070"/>
      <c r="AU229" s="1067"/>
      <c r="AV229" s="1067"/>
    </row>
    <row s="1656" customFormat="1" customHeight="1" ht="21.75">
      <c r="A230" s="1324"/>
      <c r="B230" s="1324"/>
      <c r="C230" s="1324"/>
      <c r="D230" s="1324"/>
      <c r="E230" s="701">
        <v>22.5</v>
      </c>
      <c r="F230" s="50" cm="1" t="str">
        <f t="array" ref="F230:F230">OFFSET(E230,-1,1)</f>
        <v>2</v>
      </c>
      <c r="G230" s="582" t="s">
        <v>1370</v>
      </c>
      <c r="H230" s="1324"/>
      <c r="I230" s="592" t="s">
        <v>2048</v>
      </c>
      <c r="J230" s="592"/>
      <c r="K230" s="592"/>
      <c r="L230" s="592"/>
      <c r="M230" s="592"/>
      <c r="N230" s="592"/>
      <c r="O230" s="592"/>
      <c r="P230" s="592"/>
      <c r="Q230" s="592"/>
      <c r="R230" s="592"/>
      <c r="S230" s="592"/>
      <c r="T230" s="468" cm="1" t="str">
        <f t="array" ref="T230:T230">T229</f>
        <v>true</v>
      </c>
      <c r="U230" s="1324"/>
      <c r="V230" s="1324"/>
      <c r="W230" s="1324"/>
      <c r="X230" s="1617"/>
      <c r="Y230" s="1324"/>
      <c r="Z230" s="1618"/>
      <c r="AA230" s="1324"/>
      <c r="AB230" s="814" t="s">
        <v>1663</v>
      </c>
      <c r="AC230" s="815" t="s">
        <v>2049</v>
      </c>
      <c r="AD230" s="821" t="s">
        <v>936</v>
      </c>
      <c r="AE230" s="809">
        <f>_xlfn.SUMIFS(ФОТ!AE$25:AE$127,ФОТ!$F$25:$F$127,$F230,ФОТ!$G$25:$G$127,$G230)</f>
        <v>0</v>
      </c>
      <c r="AF230" s="809">
        <f>_xlfn.SUMIFS(ФОТ!AF$25:AF$127,ФОТ!$F$25:$F$127,$F230,ФОТ!$G$25:$G$127,$G230)</f>
        <v>0</v>
      </c>
      <c r="AG230" s="809">
        <f>_xlfn.SUMIFS(ФОТ!AG$25:AG$127,ФОТ!$F$25:$F$127,$F230,ФОТ!$G$25:$G$127,$G230)</f>
        <v>0</v>
      </c>
      <c r="AH230" s="809">
        <f>AG230-AF230</f>
        <v>0</v>
      </c>
      <c r="AI230" s="809">
        <f>_xlfn.SUMIFS(ФОТ!AH$25:AH$127,ФОТ!$F$25:$F$127,$F230,ФОТ!$G$25:$G$127,$G230)</f>
        <v>0</v>
      </c>
      <c r="AJ230" s="809">
        <f>_xlfn.SUMIFS(ФОТ!AI$25:AI$127,ФОТ!$F$25:$F$127,$F230,ФОТ!$G$25:$G$127,$G230)</f>
        <v>0</v>
      </c>
      <c r="AK230" s="809">
        <f>_xlfn.SUMIFS(ФОТ!AJ$25:AJ$127,ФОТ!$F$25:$F$127,$F230,ФОТ!$G$25:$G$127,$G230)</f>
        <v>0</v>
      </c>
      <c r="AL230" s="809">
        <f>IF(AI230=0,0,(AK230-AI230)/AI230*100)</f>
        <v>0</v>
      </c>
      <c r="AM230" s="810"/>
      <c r="AN230" s="917" t="str">
        <f>IF(_xlfn.IFERROR(INDEX(ФОТ!$K$26:$L$127,MATCH($F230&amp;"4komm",ФОТ!$K$26:$K$127,0),2),"")=0,"",_xlfn.IFERROR(INDEX(ФОТ!$K$26:$L$127,MATCH($F230&amp;"4komm",ФОТ!$K$26:$K$127,0),2),""))</f>
        <v/>
      </c>
      <c r="AO230" s="810"/>
      <c r="AP230" s="1324"/>
      <c r="AQ230" s="1324"/>
      <c r="AR230" s="1070" t="s">
        <v>2050</v>
      </c>
      <c r="AS230" s="1070"/>
      <c r="AT230" s="1070"/>
      <c r="AU230" s="1067"/>
      <c r="AV230" s="1067"/>
    </row>
    <row s="6160" customFormat="1" customHeight="1" ht="14.25">
      <c r="A231" s="593"/>
      <c r="B231" s="593"/>
      <c r="C231" s="593"/>
      <c r="D231" s="593"/>
      <c r="E231" s="703">
        <v>15</v>
      </c>
      <c r="F231" s="50" cm="1" t="str">
        <f t="array" ref="F231:F231">OFFSET(E231,-1,1)</f>
        <v>2</v>
      </c>
      <c r="G231" s="593"/>
      <c r="H231" s="593"/>
      <c r="I231" s="704" t="s">
        <v>346</v>
      </c>
      <c r="J231" s="704"/>
      <c r="K231" s="704"/>
      <c r="L231" s="704"/>
      <c r="M231" s="704"/>
      <c r="N231" s="704"/>
      <c r="O231" s="704"/>
      <c r="P231" s="704"/>
      <c r="Q231" s="704"/>
      <c r="R231" s="704"/>
      <c r="S231" s="704"/>
      <c r="T231" s="468" cm="1" t="str">
        <f t="array" ref="T231:T231">T230</f>
        <v>true</v>
      </c>
      <c r="U231" s="593"/>
      <c r="V231" s="593"/>
      <c r="W231" s="593"/>
      <c r="X231" s="1617"/>
      <c r="Y231" s="593"/>
      <c r="Z231" s="1618"/>
      <c r="AA231" s="593"/>
      <c r="AB231" s="811" t="s">
        <v>234</v>
      </c>
      <c r="AC231" s="807" t="s">
        <v>2051</v>
      </c>
      <c r="AD231" s="819" t="s">
        <v>936</v>
      </c>
      <c r="AE231" s="808">
        <f>AE232+AE233+AE236+AE237+AE238+AE239+AE240</f>
        <v>0</v>
      </c>
      <c r="AF231" s="808">
        <f>AF232+AF233+AF236+AF237+AF238+AF239+AF240</f>
        <v>0</v>
      </c>
      <c r="AG231" s="808">
        <f>AG232+AG233+AG236+AG237+AG238+AG239+AG240</f>
        <v>0</v>
      </c>
      <c r="AH231" s="808">
        <f>AG231-AF231</f>
        <v>0</v>
      </c>
      <c r="AI231" s="808">
        <f>AI232+AI233+AI236+AI237+AI238+AI239+AI240</f>
        <v>0</v>
      </c>
      <c r="AJ231" s="808">
        <f>AJ232+AJ233+AJ236+AJ237+AJ238+AJ239+AJ240</f>
        <v>0</v>
      </c>
      <c r="AK231" s="808">
        <f>AK232+AK233+AK236+AK237+AK238+AK239+AK240</f>
        <v>0</v>
      </c>
      <c r="AL231" s="808">
        <f>IF(AI231=0,0,(AK231-AI231)/AI231*100)</f>
        <v>0</v>
      </c>
      <c r="AM231" s="813"/>
      <c r="AN231" s="813"/>
      <c r="AO231" s="813"/>
      <c r="AP231" s="593"/>
      <c r="AQ231" s="593"/>
      <c r="AR231" s="1071" t="s">
        <v>2052</v>
      </c>
      <c r="AS231" s="1071"/>
      <c r="AT231" s="1071"/>
      <c r="AU231" s="703"/>
      <c r="AV231" s="703"/>
    </row>
    <row s="1656" customFormat="1" customHeight="1" ht="21.75">
      <c r="A232" s="1324"/>
      <c r="B232" s="1324"/>
      <c r="C232" s="1324"/>
      <c r="D232" s="1324"/>
      <c r="E232" s="701">
        <v>22.5</v>
      </c>
      <c r="F232" s="50" cm="1" t="str">
        <f t="array" ref="F232:F232">OFFSET(E232,-1,1)</f>
        <v>2</v>
      </c>
      <c r="G232" s="582" t="s">
        <v>1391</v>
      </c>
      <c r="H232" s="1324"/>
      <c r="I232" s="592" t="s">
        <v>1097</v>
      </c>
      <c r="J232" s="592"/>
      <c r="K232" s="592"/>
      <c r="L232" s="592"/>
      <c r="M232" s="592"/>
      <c r="N232" s="592"/>
      <c r="O232" s="592"/>
      <c r="P232" s="592"/>
      <c r="Q232" s="592"/>
      <c r="R232" s="592"/>
      <c r="S232" s="592"/>
      <c r="T232" s="468" cm="1" t="str">
        <f t="array" ref="T232:T232">T231</f>
        <v>true</v>
      </c>
      <c r="U232" s="1324"/>
      <c r="V232" s="1324"/>
      <c r="W232" s="1324"/>
      <c r="X232" s="1617"/>
      <c r="Y232" s="1324"/>
      <c r="Z232" s="1618"/>
      <c r="AA232" s="1324"/>
      <c r="AB232" s="814" t="s">
        <v>674</v>
      </c>
      <c r="AC232" s="820" t="s">
        <v>2053</v>
      </c>
      <c r="AD232" s="821" t="s">
        <v>936</v>
      </c>
      <c r="AE232" s="255">
        <f>_xlfn.SUMIFS(Административные!AE$25:AE$103,Административные!$F$25:$F$103,$F232,Административные!$G$25:$G$103,$G232)</f>
        <v>0</v>
      </c>
      <c r="AF232" s="255">
        <f>_xlfn.SUMIFS(Административные!AF$25:AF$103,Административные!$F$25:$F$103,$F232,Административные!$G$25:$G$103,$G232)</f>
        <v>0</v>
      </c>
      <c r="AG232" s="255">
        <f>_xlfn.SUMIFS(Административные!AG$25:AG$103,Административные!$F$25:$F$103,$F232,Административные!$G$25:$G$103,$G232)</f>
        <v>0</v>
      </c>
      <c r="AH232" s="809">
        <f>AG232-AF232</f>
        <v>0</v>
      </c>
      <c r="AI232" s="255">
        <f>_xlfn.SUMIFS(Административные!AH$25:AH$103,Административные!$F$25:$F$103,$F232,Административные!$G$25:$G$103,$G232)</f>
        <v>0</v>
      </c>
      <c r="AJ232" s="255">
        <f>_xlfn.SUMIFS(Административные!AI$25:AI$103,Административные!$F$25:$F$103,$F232,Административные!$G$25:$G$103,$G232)</f>
        <v>0</v>
      </c>
      <c r="AK232" s="255">
        <f>_xlfn.SUMIFS(Административные!AJ$25:AJ$103,Административные!$F$25:$F$103,$F232,Административные!$G$25:$G$103,$G232)</f>
        <v>0</v>
      </c>
      <c r="AL232" s="809">
        <f>IF(AI232=0,0,(AK232-AI232)/AI232*100)</f>
        <v>0</v>
      </c>
      <c r="AM232" s="810"/>
      <c r="AN232" s="917" t="str">
        <f>IF(_xlfn.IFERROR(INDEX(Административные!$K$26:$L$103,MATCH($F232&amp;"17komm",Административные!$K$26:$K$103,0),2),"")=0,"",_xlfn.IFERROR(INDEX(Административные!$K$26:$L$103,MATCH($F232&amp;"17komm",Административные!$K$26:$K$103,0),2),""))</f>
        <v/>
      </c>
      <c r="AO232" s="810"/>
      <c r="AP232" s="1324"/>
      <c r="AQ232" s="1324"/>
      <c r="AR232" s="1070" t="s">
        <v>1393</v>
      </c>
      <c r="AS232" s="1070"/>
      <c r="AT232" s="1070"/>
      <c r="AU232" s="1067"/>
      <c r="AV232" s="1067"/>
    </row>
    <row s="1656" customFormat="1" customHeight="1" ht="32.25">
      <c r="A233" s="1324"/>
      <c r="B233" s="1324"/>
      <c r="C233" s="1324"/>
      <c r="D233" s="1324"/>
      <c r="E233" s="701">
        <v>33.75</v>
      </c>
      <c r="F233" s="50" cm="1" t="str">
        <f t="array" ref="F233:F233">OFFSET(E233,-1,1)</f>
        <v>2</v>
      </c>
      <c r="G233" s="1324"/>
      <c r="H233" s="1324"/>
      <c r="I233" s="592" t="s">
        <v>1099</v>
      </c>
      <c r="J233" s="592"/>
      <c r="K233" s="592"/>
      <c r="L233" s="592"/>
      <c r="M233" s="592"/>
      <c r="N233" s="592"/>
      <c r="O233" s="592"/>
      <c r="P233" s="592"/>
      <c r="Q233" s="592"/>
      <c r="R233" s="592"/>
      <c r="S233" s="592"/>
      <c r="T233" s="468" cm="1" t="str">
        <f t="array" ref="T233:T233">T232</f>
        <v>true</v>
      </c>
      <c r="U233" s="1324"/>
      <c r="V233" s="1324"/>
      <c r="W233" s="1324"/>
      <c r="X233" s="1617"/>
      <c r="Y233" s="1324"/>
      <c r="Z233" s="1618"/>
      <c r="AA233" s="1324"/>
      <c r="AB233" s="814" t="s">
        <v>678</v>
      </c>
      <c r="AC233" s="820" t="s">
        <v>2054</v>
      </c>
      <c r="AD233" s="821" t="s">
        <v>936</v>
      </c>
      <c r="AE233" s="809">
        <f>AE234+AE235</f>
        <v>0</v>
      </c>
      <c r="AF233" s="809">
        <f>AF234+AF235</f>
        <v>0</v>
      </c>
      <c r="AG233" s="809">
        <f>AG234+AG235</f>
        <v>0</v>
      </c>
      <c r="AH233" s="809">
        <f>AG233-AF233</f>
        <v>0</v>
      </c>
      <c r="AI233" s="809">
        <f>AI234+AI235</f>
        <v>0</v>
      </c>
      <c r="AJ233" s="809">
        <f>AJ234+AJ235</f>
        <v>0</v>
      </c>
      <c r="AK233" s="809">
        <f>AK234+AK235</f>
        <v>0</v>
      </c>
      <c r="AL233" s="809">
        <f>IF(AI233=0,0,(AK233-AI233)/AI233*100)</f>
        <v>0</v>
      </c>
      <c r="AM233" s="810"/>
      <c r="AN233" s="810"/>
      <c r="AO233" s="810"/>
      <c r="AP233" s="1324"/>
      <c r="AQ233" s="1324"/>
      <c r="AR233" s="1070" t="s">
        <v>2055</v>
      </c>
      <c r="AS233" s="1070"/>
      <c r="AT233" s="1070"/>
      <c r="AU233" s="1067"/>
      <c r="AV233" s="1067"/>
    </row>
    <row s="1656" customFormat="1" customHeight="1" ht="21.75">
      <c r="A234" s="1324"/>
      <c r="B234" s="1324"/>
      <c r="C234" s="1324"/>
      <c r="D234" s="1324"/>
      <c r="E234" s="701">
        <v>22.5</v>
      </c>
      <c r="F234" s="50" cm="1" t="str">
        <f t="array" ref="F234:F234">OFFSET(E234,-1,1)</f>
        <v>2</v>
      </c>
      <c r="G234" s="1252" t="s">
        <v>1373</v>
      </c>
      <c r="H234" s="1324"/>
      <c r="I234" s="592" t="s">
        <v>602</v>
      </c>
      <c r="J234" s="592"/>
      <c r="K234" s="592"/>
      <c r="L234" s="592"/>
      <c r="M234" s="592"/>
      <c r="N234" s="592"/>
      <c r="O234" s="592"/>
      <c r="P234" s="592"/>
      <c r="Q234" s="592"/>
      <c r="R234" s="592"/>
      <c r="S234" s="592"/>
      <c r="T234" s="468" cm="1" t="str">
        <f t="array" ref="T234:T234">T233</f>
        <v>true</v>
      </c>
      <c r="U234" s="1324"/>
      <c r="V234" s="1324"/>
      <c r="W234" s="1324"/>
      <c r="X234" s="1617"/>
      <c r="Y234" s="1324"/>
      <c r="Z234" s="1618"/>
      <c r="AA234" s="1324"/>
      <c r="AB234" s="814" t="s">
        <v>884</v>
      </c>
      <c r="AC234" s="815" t="s">
        <v>2056</v>
      </c>
      <c r="AD234" s="821" t="s">
        <v>936</v>
      </c>
      <c r="AE234" s="809">
        <f>_xlfn.SUMIFS(ФОТ!AE$25:AE$127,ФОТ!$F$25:$F$127,$F234,ФОТ!$G$25:$G$127,$G234)</f>
        <v>0</v>
      </c>
      <c r="AF234" s="809">
        <f>_xlfn.SUMIFS(ФОТ!AF$25:AF$127,ФОТ!$F$25:$F$127,$F234,ФОТ!$G$25:$G$127,$G234)</f>
        <v>0</v>
      </c>
      <c r="AG234" s="809">
        <f>_xlfn.SUMIFS(ФОТ!AG$25:AG$127,ФОТ!$F$25:$F$127,$F234,ФОТ!$G$25:$G$127,$G234)</f>
        <v>0</v>
      </c>
      <c r="AH234" s="809">
        <f>AG234-AF234</f>
        <v>0</v>
      </c>
      <c r="AI234" s="809">
        <f>_xlfn.SUMIFS(ФОТ!AH$25:AH$127,ФОТ!$F$25:$F$127,$F234,ФОТ!$G$25:$G$127,$G234)</f>
        <v>0</v>
      </c>
      <c r="AJ234" s="809">
        <f>_xlfn.SUMIFS(ФОТ!AI$25:AI$127,ФОТ!$F$25:$F$127,$F234,ФОТ!$G$25:$G$127,$G234)</f>
        <v>0</v>
      </c>
      <c r="AK234" s="809">
        <f>_xlfn.SUMIFS(ФОТ!AJ$25:AJ$127,ФОТ!$F$25:$F$127,$F234,ФОТ!$G$25:$G$127,$G234)</f>
        <v>0</v>
      </c>
      <c r="AL234" s="809">
        <f>IF(AI234=0,0,(AK234-AI234)/AI234*100)</f>
        <v>0</v>
      </c>
      <c r="AM234" s="810"/>
      <c r="AN234" s="917" t="str">
        <f>IF(_xlfn.IFERROR(INDEX(ФОТ!$K$26:$L$127,MATCH($F234&amp;"5komm",ФОТ!$K$26:$K$127,0),2),"")=0,"",_xlfn.IFERROR(INDEX(ФОТ!$K$26:$L$127,MATCH($F234&amp;"5komm",ФОТ!$K$26:$K$127,0),2),""))</f>
        <v/>
      </c>
      <c r="AO234" s="810"/>
      <c r="AP234" s="1324"/>
      <c r="AQ234" s="1324"/>
      <c r="AR234" s="1070" t="s">
        <v>1390</v>
      </c>
      <c r="AS234" s="1070"/>
      <c r="AT234" s="1070"/>
      <c r="AU234" s="1067"/>
      <c r="AV234" s="1067"/>
    </row>
    <row s="1656" customFormat="1" customHeight="1" ht="32.25">
      <c r="A235" s="1324"/>
      <c r="B235" s="1324"/>
      <c r="C235" s="1324"/>
      <c r="D235" s="1324"/>
      <c r="E235" s="701">
        <v>33.75</v>
      </c>
      <c r="F235" s="50" cm="1" t="str">
        <f t="array" ref="F235:F235">OFFSET(E235,-1,1)</f>
        <v>2</v>
      </c>
      <c r="G235" s="501" t="s">
        <v>1378</v>
      </c>
      <c r="H235" s="1324"/>
      <c r="I235" s="592" t="s">
        <v>607</v>
      </c>
      <c r="J235" s="592"/>
      <c r="K235" s="592"/>
      <c r="L235" s="592"/>
      <c r="M235" s="592"/>
      <c r="N235" s="592"/>
      <c r="O235" s="592"/>
      <c r="P235" s="592"/>
      <c r="Q235" s="592"/>
      <c r="R235" s="592"/>
      <c r="S235" s="592"/>
      <c r="T235" s="468" cm="1" t="str">
        <f t="array" ref="T235:T235">T234</f>
        <v>true</v>
      </c>
      <c r="U235" s="1324"/>
      <c r="V235" s="1324"/>
      <c r="W235" s="1324"/>
      <c r="X235" s="1617"/>
      <c r="Y235" s="1324"/>
      <c r="Z235" s="1618"/>
      <c r="AA235" s="1324"/>
      <c r="AB235" s="814" t="s">
        <v>887</v>
      </c>
      <c r="AC235" s="815" t="s">
        <v>2057</v>
      </c>
      <c r="AD235" s="821" t="s">
        <v>936</v>
      </c>
      <c r="AE235" s="809">
        <f>_xlfn.SUMIFS(ФОТ!AE$25:AE$127,ФОТ!$F$25:$F$127,$F235,ФОТ!$G$25:$G$127,$G235)</f>
        <v>0</v>
      </c>
      <c r="AF235" s="809">
        <f>_xlfn.SUMIFS(ФОТ!AF$25:AF$127,ФОТ!$F$25:$F$127,$F235,ФОТ!$G$25:$G$127,$G235)</f>
        <v>0</v>
      </c>
      <c r="AG235" s="809">
        <f>_xlfn.SUMIFS(ФОТ!AG$25:AG$127,ФОТ!$F$25:$F$127,$F235,ФОТ!$G$25:$G$127,$G235)</f>
        <v>0</v>
      </c>
      <c r="AH235" s="809">
        <f>AG235-AF235</f>
        <v>0</v>
      </c>
      <c r="AI235" s="809">
        <f>_xlfn.SUMIFS(ФОТ!AH$25:AH$127,ФОТ!$F$25:$F$127,$F235,ФОТ!$G$25:$G$127,$G235)</f>
        <v>0</v>
      </c>
      <c r="AJ235" s="809">
        <f>_xlfn.SUMIFS(ФОТ!AI$25:AI$127,ФОТ!$F$25:$F$127,$F235,ФОТ!$G$25:$G$127,$G235)</f>
        <v>0</v>
      </c>
      <c r="AK235" s="809">
        <f>_xlfn.SUMIFS(ФОТ!AJ$25:AJ$127,ФОТ!$F$25:$F$127,$F235,ФОТ!$G$25:$G$127,$G235)</f>
        <v>0</v>
      </c>
      <c r="AL235" s="809">
        <f>IF(AI235=0,0,(AK235-AI235)/AI235*100)</f>
        <v>0</v>
      </c>
      <c r="AM235" s="810"/>
      <c r="AN235" s="917" t="str">
        <f>IF(_xlfn.IFERROR(INDEX(ФОТ!$K$26:$L$127,MATCH($F235&amp;"6komm",ФОТ!$K$26:$K$127,0),2),"")=0,"",_xlfn.IFERROR(INDEX(ФОТ!$K$26:$L$127,MATCH($F235&amp;"6komm",ФОТ!$K$26:$K$127,0),2),""))</f>
        <v/>
      </c>
      <c r="AO235" s="810"/>
      <c r="AP235" s="1324"/>
      <c r="AQ235" s="1324"/>
      <c r="AR235" s="1070" t="s">
        <v>2058</v>
      </c>
      <c r="AS235" s="1070"/>
      <c r="AT235" s="1070"/>
      <c r="AU235" s="1067"/>
      <c r="AV235" s="1067"/>
    </row>
    <row s="1656" customFormat="1" customHeight="1" ht="32.25">
      <c r="A236" s="1324"/>
      <c r="B236" s="1324"/>
      <c r="C236" s="1324"/>
      <c r="D236" s="1324"/>
      <c r="E236" s="701">
        <v>33.75</v>
      </c>
      <c r="F236" s="50" cm="1" t="str">
        <f t="array" ref="F236:F236">OFFSET(E236,-1,1)</f>
        <v>2</v>
      </c>
      <c r="G236" s="582" t="s">
        <v>1419</v>
      </c>
      <c r="H236" s="1324"/>
      <c r="I236" s="592" t="s">
        <v>1101</v>
      </c>
      <c r="J236" s="592"/>
      <c r="K236" s="592"/>
      <c r="L236" s="592"/>
      <c r="M236" s="592"/>
      <c r="N236" s="592"/>
      <c r="O236" s="592"/>
      <c r="P236" s="592"/>
      <c r="Q236" s="592"/>
      <c r="R236" s="592"/>
      <c r="S236" s="592"/>
      <c r="T236" s="468" cm="1" t="str">
        <f t="array" ref="T236:T236">T235</f>
        <v>true</v>
      </c>
      <c r="U236" s="1324"/>
      <c r="V236" s="1324"/>
      <c r="W236" s="1324"/>
      <c r="X236" s="1617"/>
      <c r="Y236" s="1324"/>
      <c r="Z236" s="1618"/>
      <c r="AA236" s="1324"/>
      <c r="AB236" s="814" t="s">
        <v>890</v>
      </c>
      <c r="AC236" s="820" t="s">
        <v>2059</v>
      </c>
      <c r="AD236" s="821" t="s">
        <v>936</v>
      </c>
      <c r="AE236" s="809">
        <f>_xlfn.SUMIFS(Административные!AE$25:AE$103,Административные!$F$25:$F$103,$F236,Административные!$G$25:$G$103,$G236)</f>
        <v>0</v>
      </c>
      <c r="AF236" s="809">
        <f>_xlfn.SUMIFS(Административные!AF$25:AF$103,Административные!$F$25:$F$103,$F236,Административные!$G$25:$G$103,$G236)</f>
        <v>0</v>
      </c>
      <c r="AG236" s="809">
        <f>_xlfn.SUMIFS(Административные!AG$25:AG$103,Административные!$F$25:$F$103,$F236,Административные!$G$25:$G$103,$G236)</f>
        <v>0</v>
      </c>
      <c r="AH236" s="809">
        <f>AG236-AF236</f>
        <v>0</v>
      </c>
      <c r="AI236" s="809">
        <f>_xlfn.SUMIFS(Административные!AH$25:AH$103,Административные!$F$25:$F$103,$F236,Административные!$G$25:$G$103,$G236)</f>
        <v>0</v>
      </c>
      <c r="AJ236" s="809">
        <f>_xlfn.SUMIFS(Административные!AI$25:AI$103,Административные!$F$25:$F$103,$F236,Административные!$G$25:$G$103,$G236)</f>
        <v>0</v>
      </c>
      <c r="AK236" s="809">
        <f>_xlfn.SUMIFS(Административные!AJ$25:AJ$103,Административные!$F$25:$F$103,$F236,Административные!$G$25:$G$103,$G236)</f>
        <v>0</v>
      </c>
      <c r="AL236" s="809">
        <f>IF(AI236=0,0,(AK236-AI236)/AI236*100)</f>
        <v>0</v>
      </c>
      <c r="AM236" s="810"/>
      <c r="AN236" s="917" t="str">
        <f>IF(_xlfn.IFERROR(INDEX(Административные!$K$26:$L$103,MATCH($F236&amp;"2komm",Административные!$K$26:$K$103,0),2),"")=0,"",_xlfn.IFERROR(INDEX(Административные!$K$26:$L$103,MATCH($F236&amp;"2komm",Административные!$K$26:$K$103,0),2),""))</f>
        <v/>
      </c>
      <c r="AO236" s="810"/>
      <c r="AP236" s="1324"/>
      <c r="AQ236" s="1324"/>
      <c r="AR236" s="1070" t="s">
        <v>1421</v>
      </c>
      <c r="AS236" s="1070"/>
      <c r="AT236" s="1070"/>
      <c r="AU236" s="1067"/>
      <c r="AV236" s="1067"/>
    </row>
    <row s="1656" customFormat="1" customHeight="1" ht="14.25">
      <c r="A237" s="1324"/>
      <c r="B237" s="1324"/>
      <c r="C237" s="1324"/>
      <c r="D237" s="1324"/>
      <c r="E237" s="701">
        <v>15</v>
      </c>
      <c r="F237" s="50" cm="1" t="str">
        <f t="array" ref="F237:F237">OFFSET(E237,-1,1)</f>
        <v>2</v>
      </c>
      <c r="G237" s="582" t="s">
        <v>1422</v>
      </c>
      <c r="H237" s="1324"/>
      <c r="I237" s="592" t="s">
        <v>1103</v>
      </c>
      <c r="J237" s="592"/>
      <c r="K237" s="592"/>
      <c r="L237" s="592"/>
      <c r="M237" s="592"/>
      <c r="N237" s="592"/>
      <c r="O237" s="592"/>
      <c r="P237" s="592"/>
      <c r="Q237" s="592"/>
      <c r="R237" s="592"/>
      <c r="S237" s="592"/>
      <c r="T237" s="468" cm="1" t="str">
        <f t="array" ref="T237:T237">T236</f>
        <v>true</v>
      </c>
      <c r="U237" s="1324"/>
      <c r="V237" s="1324"/>
      <c r="W237" s="1324"/>
      <c r="X237" s="1617"/>
      <c r="Y237" s="1324"/>
      <c r="Z237" s="1618"/>
      <c r="AA237" s="1324"/>
      <c r="AB237" s="814" t="s">
        <v>1104</v>
      </c>
      <c r="AC237" s="820" t="s">
        <v>1423</v>
      </c>
      <c r="AD237" s="821" t="s">
        <v>936</v>
      </c>
      <c r="AE237" s="809">
        <f>_xlfn.SUMIFS(Административные!AE$25:AE$103,Административные!$F$25:$F$103,$F237,Административные!$G$25:$G$103,$G237)</f>
        <v>0</v>
      </c>
      <c r="AF237" s="809">
        <f>_xlfn.SUMIFS(Административные!AF$25:AF$103,Административные!$F$25:$F$103,$F237,Административные!$G$25:$G$103,$G237)</f>
        <v>0</v>
      </c>
      <c r="AG237" s="809">
        <f>_xlfn.SUMIFS(Административные!AG$25:AG$103,Административные!$F$25:$F$103,$F237,Административные!$G$25:$G$103,$G237)</f>
        <v>0</v>
      </c>
      <c r="AH237" s="809">
        <f>AG237-AF237</f>
        <v>0</v>
      </c>
      <c r="AI237" s="809">
        <f>_xlfn.SUMIFS(Административные!AH$25:AH$103,Административные!$F$25:$F$103,$F237,Административные!$G$25:$G$103,$G237)</f>
        <v>0</v>
      </c>
      <c r="AJ237" s="809">
        <f>_xlfn.SUMIFS(Административные!AI$25:AI$103,Административные!$F$25:$F$103,$F237,Административные!$G$25:$G$103,$G237)</f>
        <v>0</v>
      </c>
      <c r="AK237" s="809">
        <f>_xlfn.SUMIFS(Административные!AJ$25:AJ$103,Административные!$F$25:$F$103,$F237,Административные!$G$25:$G$103,$G237)</f>
        <v>0</v>
      </c>
      <c r="AL237" s="809">
        <f>IF(AI237=0,0,(AK237-AI237)/AI237*100)</f>
        <v>0</v>
      </c>
      <c r="AM237" s="810"/>
      <c r="AN237" s="917" t="str">
        <f>IF(_xlfn.IFERROR(INDEX(Административные!$K$26:$L$103,MATCH($F237&amp;"3komm",Административные!$K$26:$K$103,0),2),"")=0,"",_xlfn.IFERROR(INDEX(Административные!$K$26:$L$103,MATCH($F237&amp;"3komm",Административные!$K$26:$K$103,0),2),""))</f>
        <v/>
      </c>
      <c r="AO237" s="810"/>
      <c r="AP237" s="1324"/>
      <c r="AQ237" s="1324"/>
      <c r="AR237" s="1070" t="s">
        <v>1424</v>
      </c>
      <c r="AS237" s="1070"/>
      <c r="AT237" s="1070"/>
      <c r="AU237" s="1067"/>
      <c r="AV237" s="1067"/>
    </row>
    <row s="1656" customFormat="1" customHeight="1" ht="14.25">
      <c r="A238" s="1324"/>
      <c r="B238" s="1324"/>
      <c r="C238" s="1324"/>
      <c r="D238" s="1324"/>
      <c r="E238" s="701">
        <v>15</v>
      </c>
      <c r="F238" s="50" cm="1" t="str">
        <f t="array" ref="F238:F238">OFFSET(E238,-1,1)</f>
        <v>2</v>
      </c>
      <c r="G238" s="582" t="s">
        <v>1425</v>
      </c>
      <c r="H238" s="1324"/>
      <c r="I238" s="592" t="s">
        <v>1106</v>
      </c>
      <c r="J238" s="592"/>
      <c r="K238" s="592"/>
      <c r="L238" s="592"/>
      <c r="M238" s="592"/>
      <c r="N238" s="592"/>
      <c r="O238" s="592"/>
      <c r="P238" s="592"/>
      <c r="Q238" s="592"/>
      <c r="R238" s="592"/>
      <c r="S238" s="592"/>
      <c r="T238" s="468" cm="1" t="str">
        <f t="array" ref="T238:T238">T237</f>
        <v>true</v>
      </c>
      <c r="U238" s="1324"/>
      <c r="V238" s="1324"/>
      <c r="W238" s="1324"/>
      <c r="X238" s="1617"/>
      <c r="Y238" s="1324"/>
      <c r="Z238" s="1618"/>
      <c r="AA238" s="1324"/>
      <c r="AB238" s="814" t="s">
        <v>1107</v>
      </c>
      <c r="AC238" s="820" t="s">
        <v>1426</v>
      </c>
      <c r="AD238" s="821" t="s">
        <v>936</v>
      </c>
      <c r="AE238" s="809">
        <f>_xlfn.SUMIFS(Административные!AE$25:AE$103,Административные!$F$25:$F$103,$F238,Административные!$G$25:$G$103,$G238)</f>
        <v>0</v>
      </c>
      <c r="AF238" s="809">
        <f>_xlfn.SUMIFS(Административные!AF$25:AF$103,Административные!$F$25:$F$103,$F238,Административные!$G$25:$G$103,$G238)</f>
        <v>0</v>
      </c>
      <c r="AG238" s="809">
        <f>_xlfn.SUMIFS(Административные!AG$25:AG$103,Административные!$F$25:$F$103,$F238,Административные!$G$25:$G$103,$G238)</f>
        <v>0</v>
      </c>
      <c r="AH238" s="809">
        <f>AG238-AF238</f>
        <v>0</v>
      </c>
      <c r="AI238" s="809">
        <f>_xlfn.SUMIFS(Административные!AH$25:AH$103,Административные!$F$25:$F$103,$F238,Административные!$G$25:$G$103,$G238)</f>
        <v>0</v>
      </c>
      <c r="AJ238" s="809">
        <f>_xlfn.SUMIFS(Административные!AI$25:AI$103,Административные!$F$25:$F$103,$F238,Административные!$G$25:$G$103,$G238)</f>
        <v>0</v>
      </c>
      <c r="AK238" s="809">
        <f>_xlfn.SUMIFS(Административные!AJ$25:AJ$103,Административные!$F$25:$F$103,$F238,Административные!$G$25:$G$103,$G238)</f>
        <v>0</v>
      </c>
      <c r="AL238" s="809">
        <f>IF(AI238=0,0,(AK238-AI238)/AI238*100)</f>
        <v>0</v>
      </c>
      <c r="AM238" s="810"/>
      <c r="AN238" s="917" t="str">
        <f>IF(_xlfn.IFERROR(INDEX(Административные!$K$26:$L$103,MATCH($F238&amp;"4komm",Административные!$K$26:$K$103,0),2),"")=0,"",_xlfn.IFERROR(INDEX(Административные!$K$26:$L$103,MATCH($F238&amp;"4komm",Административные!$K$26:$K$103,0),2),""))</f>
        <v/>
      </c>
      <c r="AO238" s="810"/>
      <c r="AP238" s="1324"/>
      <c r="AQ238" s="1324"/>
      <c r="AR238" s="1070" t="s">
        <v>1427</v>
      </c>
      <c r="AS238" s="1070"/>
      <c r="AT238" s="1070"/>
      <c r="AU238" s="1067"/>
      <c r="AV238" s="1067"/>
    </row>
    <row s="1656" customFormat="1" customHeight="1" ht="14.25">
      <c r="A239" s="1324"/>
      <c r="B239" s="1324"/>
      <c r="C239" s="1324"/>
      <c r="D239" s="1324"/>
      <c r="E239" s="701">
        <v>15</v>
      </c>
      <c r="F239" s="50" cm="1" t="str">
        <f t="array" ref="F239:F239">OFFSET(E239,-1,1)</f>
        <v>2</v>
      </c>
      <c r="G239" s="582" t="s">
        <v>1428</v>
      </c>
      <c r="H239" s="1324"/>
      <c r="I239" s="592" t="s">
        <v>1410</v>
      </c>
      <c r="J239" s="592"/>
      <c r="K239" s="592"/>
      <c r="L239" s="592"/>
      <c r="M239" s="592"/>
      <c r="N239" s="592"/>
      <c r="O239" s="592"/>
      <c r="P239" s="592"/>
      <c r="Q239" s="592"/>
      <c r="R239" s="592"/>
      <c r="S239" s="592"/>
      <c r="T239" s="468" cm="1" t="str">
        <f t="array" ref="T239:T239">T238</f>
        <v>true</v>
      </c>
      <c r="U239" s="1324"/>
      <c r="V239" s="1324"/>
      <c r="W239" s="1324"/>
      <c r="X239" s="1617"/>
      <c r="Y239" s="1324"/>
      <c r="Z239" s="1618"/>
      <c r="AA239" s="1324"/>
      <c r="AB239" s="814" t="s">
        <v>1411</v>
      </c>
      <c r="AC239" s="820" t="s">
        <v>1429</v>
      </c>
      <c r="AD239" s="821" t="s">
        <v>936</v>
      </c>
      <c r="AE239" s="809">
        <f>_xlfn.SUMIFS(Административные!AE$25:AE$103,Административные!$F$25:$F$103,$F239,Административные!$G$25:$G$103,$G239)</f>
        <v>0</v>
      </c>
      <c r="AF239" s="809">
        <f>_xlfn.SUMIFS(Административные!AF$25:AF$103,Административные!$F$25:$F$103,$F239,Административные!$G$25:$G$103,$G239)</f>
        <v>0</v>
      </c>
      <c r="AG239" s="809">
        <f>_xlfn.SUMIFS(Административные!AG$25:AG$103,Административные!$F$25:$F$103,$F239,Административные!$G$25:$G$103,$G239)</f>
        <v>0</v>
      </c>
      <c r="AH239" s="809">
        <f>AG239-AF239</f>
        <v>0</v>
      </c>
      <c r="AI239" s="809">
        <f>_xlfn.SUMIFS(Административные!AH$25:AH$103,Административные!$F$25:$F$103,$F239,Административные!$G$25:$G$103,$G239)</f>
        <v>0</v>
      </c>
      <c r="AJ239" s="809">
        <f>_xlfn.SUMIFS(Административные!AI$25:AI$103,Административные!$F$25:$F$103,$F239,Административные!$G$25:$G$103,$G239)</f>
        <v>0</v>
      </c>
      <c r="AK239" s="809">
        <f>_xlfn.SUMIFS(Административные!AJ$25:AJ$103,Административные!$F$25:$F$103,$F239,Административные!$G$25:$G$103,$G239)</f>
        <v>0</v>
      </c>
      <c r="AL239" s="809">
        <f>IF(AI239=0,0,(AK239-AI239)/AI239*100)</f>
        <v>0</v>
      </c>
      <c r="AM239" s="810"/>
      <c r="AN239" s="917" t="str">
        <f>IF(_xlfn.IFERROR(INDEX(Административные!$K$26:$L$103,MATCH($F235&amp;"5komm",Административные!$K$26:$K$103,0),2),"")=0,"",_xlfn.IFERROR(INDEX(Административные!$K$26:$L$103,MATCH($F235&amp;"5komm",Административные!$K$26:$K$103,0),2),""))</f>
        <v/>
      </c>
      <c r="AO239" s="810"/>
      <c r="AP239" s="1324"/>
      <c r="AQ239" s="1324"/>
      <c r="AR239" s="1070" t="s">
        <v>2060</v>
      </c>
      <c r="AS239" s="1070"/>
      <c r="AT239" s="1070"/>
      <c r="AU239" s="1067"/>
      <c r="AV239" s="1067"/>
    </row>
    <row s="1656" customFormat="1" customHeight="1" ht="14.25">
      <c r="A240" s="1324"/>
      <c r="B240" s="1324"/>
      <c r="C240" s="1324"/>
      <c r="D240" s="1324"/>
      <c r="E240" s="701">
        <v>15</v>
      </c>
      <c r="F240" s="50" cm="1" t="str">
        <f t="array" ref="F240:F240">OFFSET(E240,-1,1)</f>
        <v>2</v>
      </c>
      <c r="G240" s="582" t="s">
        <v>1431</v>
      </c>
      <c r="H240" s="1324"/>
      <c r="I240" s="592" t="s">
        <v>1415</v>
      </c>
      <c r="J240" s="592"/>
      <c r="K240" s="592"/>
      <c r="L240" s="592"/>
      <c r="M240" s="592"/>
      <c r="N240" s="592"/>
      <c r="O240" s="592"/>
      <c r="P240" s="592"/>
      <c r="Q240" s="592"/>
      <c r="R240" s="592"/>
      <c r="S240" s="592"/>
      <c r="T240" s="468" cm="1" t="str">
        <f t="array" ref="T240:T240">T239</f>
        <v>true</v>
      </c>
      <c r="U240" s="1324"/>
      <c r="V240" s="1324"/>
      <c r="W240" s="1324"/>
      <c r="X240" s="1617"/>
      <c r="Y240" s="1324"/>
      <c r="Z240" s="1618"/>
      <c r="AA240" s="1324"/>
      <c r="AB240" s="814" t="s">
        <v>1416</v>
      </c>
      <c r="AC240" s="820" t="s">
        <v>2061</v>
      </c>
      <c r="AD240" s="821" t="s">
        <v>936</v>
      </c>
      <c r="AE240" s="809">
        <f>_xlfn.SUMIFS(Административные!AE$25:AE$103,Административные!$F$25:$F$103,$F240,Административные!$G$25:$G$103,$G240)</f>
        <v>0</v>
      </c>
      <c r="AF240" s="809">
        <f>_xlfn.SUMIFS(Административные!AF$25:AF$103,Административные!$F$25:$F$103,$F240,Административные!$G$25:$G$103,$G240)</f>
        <v>0</v>
      </c>
      <c r="AG240" s="809">
        <f>_xlfn.SUMIFS(Административные!AG$25:AG$103,Административные!$F$25:$F$103,$F240,Административные!$G$25:$G$103,$G240)</f>
        <v>0</v>
      </c>
      <c r="AH240" s="809">
        <f>AG240-AF240</f>
        <v>0</v>
      </c>
      <c r="AI240" s="809">
        <f>_xlfn.SUMIFS(Административные!AH$25:AH$103,Административные!$F$25:$F$103,$F240,Административные!$G$25:$G$103,$G240)</f>
        <v>0</v>
      </c>
      <c r="AJ240" s="809">
        <f>_xlfn.SUMIFS(Административные!AI$25:AI$103,Административные!$F$25:$F$103,$F240,Административные!$G$25:$G$103,$G240)</f>
        <v>0</v>
      </c>
      <c r="AK240" s="809">
        <f>_xlfn.SUMIFS(Административные!AJ$25:AJ$103,Административные!$F$25:$F$103,$F240,Административные!$G$25:$G$103,$G240)</f>
        <v>0</v>
      </c>
      <c r="AL240" s="809">
        <f>IF(AI240=0,0,(AK240-AI240)/AI240*100)</f>
        <v>0</v>
      </c>
      <c r="AM240" s="810"/>
      <c r="AN240" s="917" t="str">
        <f>IF(_xlfn.IFERROR(INDEX(Административные!$K$26:$L$103,MATCH($F240&amp;"6komm",Административные!$K$26:$K$103,0),2),"")=0,"",_xlfn.IFERROR(INDEX(Административные!$K$26:$L$103,MATCH($F235&amp;"6komm",Административные!$K$26:$K$103,0),2),""))</f>
        <v/>
      </c>
      <c r="AO240" s="810"/>
      <c r="AP240" s="1324"/>
      <c r="AQ240" s="1324"/>
      <c r="AR240" s="1070" t="s">
        <v>2062</v>
      </c>
      <c r="AS240" s="1070"/>
      <c r="AT240" s="1070"/>
      <c r="AU240" s="1067"/>
      <c r="AV240" s="1067"/>
    </row>
    <row s="1656" customFormat="1" customHeight="1" ht="14.25">
      <c r="A241" s="1324"/>
      <c r="B241" s="1324"/>
      <c r="C241" s="1324"/>
      <c r="D241" s="1324"/>
      <c r="E241" s="701">
        <v>15</v>
      </c>
      <c r="F241" s="50" cm="1" t="str">
        <f t="array" ref="F241:F241">OFFSET(E241,-1,1)</f>
        <v>2</v>
      </c>
      <c r="G241" s="582" t="s">
        <v>1433</v>
      </c>
      <c r="H241" s="1324"/>
      <c r="I241" s="592" t="s">
        <v>2063</v>
      </c>
      <c r="J241" s="592"/>
      <c r="K241" s="592"/>
      <c r="L241" s="592"/>
      <c r="M241" s="592"/>
      <c r="N241" s="592"/>
      <c r="O241" s="592"/>
      <c r="P241" s="592"/>
      <c r="Q241" s="592"/>
      <c r="R241" s="592"/>
      <c r="S241" s="592"/>
      <c r="T241" s="468" cm="1" t="str">
        <f t="array" ref="T241:T241">T240</f>
        <v>true</v>
      </c>
      <c r="U241" s="1324"/>
      <c r="V241" s="1324"/>
      <c r="W241" s="1324"/>
      <c r="X241" s="1617"/>
      <c r="Y241" s="1324"/>
      <c r="Z241" s="1618"/>
      <c r="AA241" s="1324"/>
      <c r="AB241" s="814" t="s">
        <v>2064</v>
      </c>
      <c r="AC241" s="815" t="s">
        <v>2065</v>
      </c>
      <c r="AD241" s="821" t="s">
        <v>936</v>
      </c>
      <c r="AE241" s="809">
        <f>_xlfn.SUMIFS(Административные!AE$25:AE$103,Административные!$F$25:$F$103,$F241,Административные!$G$25:$G$103,$G241)</f>
        <v>0</v>
      </c>
      <c r="AF241" s="809">
        <f>_xlfn.SUMIFS(Административные!AF$25:AF$103,Административные!$F$25:$F$103,$F241,Административные!$G$25:$G$103,$G241)</f>
        <v>0</v>
      </c>
      <c r="AG241" s="809">
        <f>_xlfn.SUMIFS(Административные!AG$25:AG$103,Административные!$F$25:$F$103,$F241,Административные!$G$25:$G$103,$G241)</f>
        <v>0</v>
      </c>
      <c r="AH241" s="809">
        <f>AG241-AF241</f>
        <v>0</v>
      </c>
      <c r="AI241" s="809">
        <f>_xlfn.SUMIFS(Административные!AH$25:AH$103,Административные!$F$25:$F$103,$F241,Административные!$G$25:$G$103,$G241)</f>
        <v>0</v>
      </c>
      <c r="AJ241" s="809">
        <f>_xlfn.SUMIFS(Административные!AI$25:AI$103,Административные!$F$25:$F$103,$F241,Административные!$G$25:$G$103,$G241)</f>
        <v>0</v>
      </c>
      <c r="AK241" s="809">
        <f>_xlfn.SUMIFS(Административные!AJ$25:AJ$103,Административные!$F$25:$F$103,$F241,Административные!$G$25:$G$103,$G241)</f>
        <v>0</v>
      </c>
      <c r="AL241" s="809">
        <f>IF(AI241=0,0,(AK241-AI241)/AI241*100)</f>
        <v>0</v>
      </c>
      <c r="AM241" s="810"/>
      <c r="AN241" s="917" t="str">
        <f>IF(_xlfn.IFERROR(INDEX(Административные!$K$26:$L$103,MATCH($F241&amp;"7komm",Административные!$K$26:$K$103,0),2),"")=0,"",_xlfn.IFERROR(INDEX(Административные!$K$26:$L$103,MATCH($F236&amp;"7komm",Административные!$K$26:$K$103,0),2),""))</f>
        <v/>
      </c>
      <c r="AO241" s="810"/>
      <c r="AP241" s="1324"/>
      <c r="AQ241" s="1324"/>
      <c r="AR241" s="1070" t="s">
        <v>2066</v>
      </c>
      <c r="AS241" s="1070"/>
      <c r="AT241" s="1070"/>
      <c r="AU241" s="1067"/>
      <c r="AV241" s="1067"/>
    </row>
    <row s="1656" customFormat="1" customHeight="1" ht="43.5">
      <c r="A242" s="1324"/>
      <c r="B242" s="1324"/>
      <c r="C242" s="1324"/>
      <c r="D242" s="1324"/>
      <c r="E242" s="701">
        <v>45</v>
      </c>
      <c r="F242" s="50" cm="1" t="str">
        <f t="array" ref="F242:F242">OFFSET(E242,-1,1)</f>
        <v>2</v>
      </c>
      <c r="G242" s="582" t="s">
        <v>1436</v>
      </c>
      <c r="H242" s="1324"/>
      <c r="I242" s="592" t="s">
        <v>2067</v>
      </c>
      <c r="J242" s="592"/>
      <c r="K242" s="592"/>
      <c r="L242" s="592"/>
      <c r="M242" s="592"/>
      <c r="N242" s="592"/>
      <c r="O242" s="592"/>
      <c r="P242" s="592"/>
      <c r="Q242" s="592"/>
      <c r="R242" s="592"/>
      <c r="S242" s="592"/>
      <c r="T242" s="468" cm="1" t="str">
        <f t="array" ref="T242:T242">T241</f>
        <v>true</v>
      </c>
      <c r="U242" s="1324"/>
      <c r="V242" s="1324"/>
      <c r="W242" s="1324"/>
      <c r="X242" s="1617"/>
      <c r="Y242" s="1324"/>
      <c r="Z242" s="1618"/>
      <c r="AA242" s="1324"/>
      <c r="AB242" s="814" t="s">
        <v>2068</v>
      </c>
      <c r="AC242" s="769" t="s">
        <v>1437</v>
      </c>
      <c r="AD242" s="821" t="s">
        <v>936</v>
      </c>
      <c r="AE242" s="809">
        <f>_xlfn.SUMIFS(Административные!AE$25:AE$103,Административные!$F$25:$F$103,$F242,Административные!$G$25:$G$103,$G242)</f>
        <v>0</v>
      </c>
      <c r="AF242" s="809">
        <f>_xlfn.SUMIFS(Административные!AF$25:AF$103,Административные!$F$25:$F$103,$F242,Административные!$G$25:$G$103,$G242)</f>
        <v>0</v>
      </c>
      <c r="AG242" s="809">
        <f>_xlfn.SUMIFS(Административные!AG$25:AG$103,Административные!$F$25:$F$103,$F242,Административные!$G$25:$G$103,$G242)</f>
        <v>0</v>
      </c>
      <c r="AH242" s="809">
        <f>AG242-AF242</f>
        <v>0</v>
      </c>
      <c r="AI242" s="809">
        <f>_xlfn.SUMIFS(Административные!AH$25:AH$103,Административные!$F$25:$F$103,$F242,Административные!$G$25:$G$103,$G242)</f>
        <v>0</v>
      </c>
      <c r="AJ242" s="809">
        <f>_xlfn.SUMIFS(Административные!AI$25:AI$103,Административные!$F$25:$F$103,$F242,Административные!$G$25:$G$103,$G242)</f>
        <v>0</v>
      </c>
      <c r="AK242" s="809">
        <f>_xlfn.SUMIFS(Административные!AJ$25:AJ$103,Административные!$F$25:$F$103,$F242,Административные!$G$25:$G$103,$G242)</f>
        <v>0</v>
      </c>
      <c r="AL242" s="809">
        <f>IF(AI242=0,0,(AK242-AI242)/AI242*100)</f>
        <v>0</v>
      </c>
      <c r="AM242" s="810"/>
      <c r="AN242" s="917" t="str">
        <f>IF(_xlfn.IFERROR(INDEX(Административные!$K$26:$L$103,MATCH($F242&amp;"8komm",Административные!$K$26:$K$103,0),2),"")=0,"",_xlfn.IFERROR(INDEX(Административные!$K$26:$L$103,MATCH($F237&amp;"8komm",Административные!$K$26:$K$103,0),2),""))</f>
        <v/>
      </c>
      <c r="AO242" s="810"/>
      <c r="AP242" s="1324"/>
      <c r="AQ242" s="1324"/>
      <c r="AR242" s="1070" t="s">
        <v>2069</v>
      </c>
      <c r="AS242" s="1070"/>
      <c r="AT242" s="1070"/>
      <c r="AU242" s="1067"/>
      <c r="AV242" s="1067"/>
    </row>
    <row s="1656" customFormat="1" customHeight="1" ht="14.25">
      <c r="A243" s="1324"/>
      <c r="B243" s="1324"/>
      <c r="C243" s="1324"/>
      <c r="D243" s="1324"/>
      <c r="E243" s="701">
        <v>15</v>
      </c>
      <c r="F243" s="50" cm="1" t="str">
        <f t="array" ref="F243:F243">OFFSET(E243,-1,1)</f>
        <v>2</v>
      </c>
      <c r="G243" s="582" t="s">
        <v>1439</v>
      </c>
      <c r="H243" s="1324"/>
      <c r="I243" s="592" t="s">
        <v>2070</v>
      </c>
      <c r="J243" s="592"/>
      <c r="K243" s="592"/>
      <c r="L243" s="592"/>
      <c r="M243" s="592"/>
      <c r="N243" s="592"/>
      <c r="O243" s="592"/>
      <c r="P243" s="592"/>
      <c r="Q243" s="592"/>
      <c r="R243" s="592"/>
      <c r="S243" s="592"/>
      <c r="T243" s="468" cm="1" t="str">
        <f t="array" ref="T243:T243">T242</f>
        <v>true</v>
      </c>
      <c r="U243" s="1324"/>
      <c r="V243" s="1324"/>
      <c r="W243" s="1324"/>
      <c r="X243" s="1617"/>
      <c r="Y243" s="1324"/>
      <c r="Z243" s="1618"/>
      <c r="AA243" s="1324"/>
      <c r="AB243" s="814" t="s">
        <v>2071</v>
      </c>
      <c r="AC243" s="815" t="s">
        <v>1440</v>
      </c>
      <c r="AD243" s="821" t="s">
        <v>936</v>
      </c>
      <c r="AE243" s="809">
        <f>_xlfn.SUMIFS(Административные!AE$25:AE$103,Административные!$F$25:$F$103,$F243,Административные!$G$25:$G$103,$G243)</f>
        <v>0</v>
      </c>
      <c r="AF243" s="809">
        <f>_xlfn.SUMIFS(Административные!AF$25:AF$103,Административные!$F$25:$F$103,$F243,Административные!$G$25:$G$103,$G243)</f>
        <v>0</v>
      </c>
      <c r="AG243" s="809">
        <f>_xlfn.SUMIFS(Административные!AG$25:AG$103,Административные!$F$25:$F$103,$F243,Административные!$G$25:$G$103,$G243)</f>
        <v>0</v>
      </c>
      <c r="AH243" s="809">
        <f>AG243-AF243</f>
        <v>0</v>
      </c>
      <c r="AI243" s="809">
        <f>_xlfn.SUMIFS(Административные!AH$25:AH$103,Административные!$F$25:$F$103,$F243,Административные!$G$25:$G$103,$G243)</f>
        <v>0</v>
      </c>
      <c r="AJ243" s="1125">
        <f>_xlfn.SUMIFS(Административные!AI$25:AI$103,Административные!$F$25:$F$103,$F243,Административные!$G$25:$G$103,$G243)</f>
        <v>0</v>
      </c>
      <c r="AK243" s="1125">
        <f>_xlfn.SUMIFS(Административные!AJ$25:AJ$103,Административные!$F$25:$F$103,$F243,Административные!$G$25:$G$103,$G243)</f>
        <v>0</v>
      </c>
      <c r="AL243" s="809">
        <f>IF(AI243=0,0,(AK243-AI243)/AI243*100)</f>
        <v>0</v>
      </c>
      <c r="AM243" s="810"/>
      <c r="AN243" s="917" t="str">
        <f>IF(_xlfn.IFERROR(INDEX(Административные!$K$26:$L$103,MATCH($F243&amp;"9komm",Административные!$K$26:$K$103,0),2),"")=0,"",_xlfn.IFERROR(INDEX(Административные!$K$26:$L$103,MATCH($F238&amp;"9komm",Административные!$K$26:$K$103,0),2),""))</f>
        <v/>
      </c>
      <c r="AO243" s="810"/>
      <c r="AP243" s="1324"/>
      <c r="AQ243" s="1324"/>
      <c r="AR243" s="1070" t="s">
        <v>2072</v>
      </c>
      <c r="AS243" s="1070"/>
      <c r="AT243" s="1070"/>
      <c r="AU243" s="1067"/>
      <c r="AV243" s="1067"/>
    </row>
    <row s="6161" customFormat="1" customHeight="1" ht="14.25">
      <c r="A244" s="593"/>
      <c r="B244" s="593">
        <f>STATUS_GO="да"</f>
        <v>0</v>
      </c>
      <c r="C244" s="593"/>
      <c r="D244" s="593"/>
      <c r="E244" s="703">
        <v>15</v>
      </c>
      <c r="F244" s="50" cm="1" t="str">
        <f t="array" ref="F244:F244">OFFSET(E244,-1,1)</f>
        <v>2</v>
      </c>
      <c r="G244" s="593"/>
      <c r="H244" s="593"/>
      <c r="I244" s="704" t="s">
        <v>348</v>
      </c>
      <c r="J244" s="704"/>
      <c r="K244" s="704"/>
      <c r="L244" s="704"/>
      <c r="M244" s="704"/>
      <c r="N244" s="704"/>
      <c r="O244" s="704"/>
      <c r="P244" s="704"/>
      <c r="Q244" s="704"/>
      <c r="R244" s="704"/>
      <c r="S244" s="704"/>
      <c r="T244" s="468" cm="1" t="str">
        <f t="array" ref="T244:T244">T243</f>
        <v>true</v>
      </c>
      <c r="U244" s="593"/>
      <c r="V244" s="593"/>
      <c r="W244" s="593"/>
      <c r="X244" s="1617"/>
      <c r="Y244" s="593"/>
      <c r="Z244" s="1618"/>
      <c r="AA244" s="593"/>
      <c r="AB244" s="811" t="s">
        <v>451</v>
      </c>
      <c r="AC244" s="807" t="s">
        <v>2073</v>
      </c>
      <c r="AD244" s="819" t="s">
        <v>936</v>
      </c>
      <c r="AE244" s="808">
        <f>_xlfn.SUMIFS('Сбытовые расходы ГО'!AE$25:AE$75,'Сбытовые расходы ГО'!$F$25:$F$75,$F244,'Сбытовые расходы ГО'!$G$25:$G$75,"l0")</f>
        <v>0</v>
      </c>
      <c r="AF244" s="808">
        <f>_xlfn.SUMIFS('Сбытовые расходы ГО'!AF$25:AF$75,'Сбытовые расходы ГО'!$F$25:$F$75,$F244,'Сбытовые расходы ГО'!$G$25:$G$75,"l0")</f>
        <v>0</v>
      </c>
      <c r="AG244" s="808">
        <f>_xlfn.SUMIFS('Сбытовые расходы ГО'!AG$25:AG$75,'Сбытовые расходы ГО'!$F$25:$F$75,$F244,'Сбытовые расходы ГО'!$G$25:$G$75,"l0")</f>
        <v>0</v>
      </c>
      <c r="AH244" s="808">
        <f>AG244-AF244</f>
        <v>0</v>
      </c>
      <c r="AI244" s="808">
        <f>_xlfn.SUMIFS('Сбытовые расходы ГО'!AH$25:AH$75,'Сбытовые расходы ГО'!$F$25:$F$75,$F244,'Сбытовые расходы ГО'!$G$25:$G$75,"l0")</f>
        <v>0</v>
      </c>
      <c r="AJ244" s="808">
        <f>_xlfn.SUMIFS('Сбытовые расходы ГО'!AI$25:AI$75,'Сбытовые расходы ГО'!$F$25:$F$75,$F244,'Сбытовые расходы ГО'!$G$25:$G$75,"l0")</f>
        <v>0</v>
      </c>
      <c r="AK244" s="808">
        <f>_xlfn.SUMIFS('Сбытовые расходы ГО'!AJ$25:AJ$75,'Сбытовые расходы ГО'!$F$25:$F$75,$F244,'Сбытовые расходы ГО'!$G$25:$G$75,"l0")</f>
        <v>0</v>
      </c>
      <c r="AL244" s="808">
        <f>IF(AI244=0,0,(AK244-AI244)/AI244*100)</f>
        <v>0</v>
      </c>
      <c r="AM244" s="813"/>
      <c r="AN244" s="917"/>
      <c r="AO244" s="813"/>
      <c r="AP244" s="593"/>
      <c r="AQ244" s="593"/>
      <c r="AR244" s="1071" t="s">
        <v>2074</v>
      </c>
      <c r="AS244" s="1071"/>
      <c r="AT244" s="1071"/>
      <c r="AU244" s="703"/>
      <c r="AV244" s="703"/>
    </row>
    <row s="6162" customFormat="1" customHeight="1" ht="14.25">
      <c r="A245" s="593"/>
      <c r="B245" s="593"/>
      <c r="C245" s="593"/>
      <c r="D245" s="593"/>
      <c r="E245" s="703">
        <v>15</v>
      </c>
      <c r="F245" s="50" cm="1" t="str">
        <f t="array" ref="F245:F245">OFFSET(E245,-1,1)</f>
        <v>2</v>
      </c>
      <c r="G245" s="593"/>
      <c r="H245" s="593"/>
      <c r="I245" s="704" t="s">
        <v>347</v>
      </c>
      <c r="J245" s="704"/>
      <c r="K245" s="704"/>
      <c r="L245" s="704"/>
      <c r="M245" s="704"/>
      <c r="N245" s="704"/>
      <c r="O245" s="704"/>
      <c r="P245" s="704"/>
      <c r="Q245" s="704"/>
      <c r="R245" s="704"/>
      <c r="S245" s="704"/>
      <c r="T245" s="468" cm="1" t="str">
        <f t="array" ref="T245:T245">T244</f>
        <v>true</v>
      </c>
      <c r="U245" s="593"/>
      <c r="V245" s="593"/>
      <c r="W245" s="593"/>
      <c r="X245" s="1617"/>
      <c r="Y245" s="593"/>
      <c r="Z245" s="1618"/>
      <c r="AA245" s="593"/>
      <c r="AB245" s="811" t="s">
        <v>454</v>
      </c>
      <c r="AC245" s="594" t="s">
        <v>2075</v>
      </c>
      <c r="AD245" s="819" t="s">
        <v>936</v>
      </c>
      <c r="AE245" s="808">
        <f>_xlfn.SUMIFS(Амортизация!AE$25:AE$223,Амортизация!$F$25:$F$223,$F245,Амортизация!$AC$25:$AC$223,"Сумма амортизационных отчислений")</f>
        <v>33.97</v>
      </c>
      <c r="AF245" s="808">
        <f>_xlfn.SUMIFS(Амортизация!AF$25:AF$223,Амортизация!$F$25:$F$223,$F245,Амортизация!$AC$25:$AC$223,"Сумма амортизационных отчислений")</f>
        <v>43.7922</v>
      </c>
      <c r="AG245" s="808">
        <f>_xlfn.SUMIFS(Амортизация!AG$25:AG$223,Амортизация!$F$25:$F$223,$F245,Амортизация!$AC$25:$AC$223,"Сумма амортизационных отчислений")</f>
        <v>43.7922</v>
      </c>
      <c r="AH245" s="808">
        <f>AG245-AF245</f>
        <v>0</v>
      </c>
      <c r="AI245" s="808">
        <f>_xlfn.SUMIFS(Амортизация!AH$25:AH$223,Амортизация!$F$25:$F$223,$F245,Амортизация!$AC$25:$AC$223,"Сумма амортизационных отчислений")</f>
        <v>34.2715</v>
      </c>
      <c r="AJ245" s="808">
        <f>_xlfn.SUMIFS(Амортизация!AI$25:AI$223,Амортизация!$F$25:$F$223,$F245,Амортизация!$AC$25:$AC$223,"Сумма амортизационных отчислений")</f>
        <v>48.52</v>
      </c>
      <c r="AK245" s="808">
        <f>_xlfn.SUMIFS(Амортизация!AS$25:AS$223,Амортизация!$F$25:$F$223,$F245,Амортизация!$AC$25:$AC$223,"Сумма амортизационных отчислений")</f>
        <v>48.52</v>
      </c>
      <c r="AL245" s="808">
        <f>IF(AI245=0,0,(AK245-AI245)/AI245*100)</f>
        <v>41.5753614519353</v>
      </c>
      <c r="AM245" s="813"/>
      <c r="AN245" s="917" t="str">
        <f>IF(_xlfn.IFERROR(INDEX(Амортизация!$K$26:$L$223,MATCH($F245&amp;"komm",Амортизация!$K$26:$K$626,0),2),"")=0,"",_xlfn.IFERROR(INDEX(Амортизация!$K$26:$L$223,MATCH($F245&amp;"komm",Амортизация!$K$26:$K$626,0),2),""))</f>
        <v>Постановление РЭК Кемеровской области от 17.12.2019 N 600 (ред. от 17.11.2022) "Об утверждении инвестиционной программы ОАО "Северо-Кузбасская энергетическая компания" в сфере холодного водоснабжения и водоотведения Ленинск-Кузнецкого городского округа на 2019 - 2028 годы" (в ред. постановления РЭК Кемеровской области от 26.12.2019 N 864, постановления РЭК Кузбасса от 17.11.2022 N 383).</v>
      </c>
      <c r="AO245" s="813"/>
      <c r="AP245" s="593"/>
      <c r="AQ245" s="593"/>
      <c r="AR245" s="1071" t="s">
        <v>1435</v>
      </c>
      <c r="AS245" s="1071"/>
      <c r="AT245" s="1071"/>
      <c r="AU245" s="703"/>
      <c r="AV245" s="703"/>
    </row>
    <row s="1656" customFormat="1" customHeight="1" ht="14.25">
      <c r="A246" s="1324"/>
      <c r="B246" s="1324"/>
      <c r="C246" s="1324"/>
      <c r="D246" s="1324"/>
      <c r="E246" s="701">
        <v>15</v>
      </c>
      <c r="F246" s="50" cm="1" t="str">
        <f t="array" ref="F246:F246">OFFSET(E246,-1,1)</f>
        <v>2</v>
      </c>
      <c r="G246" s="1324"/>
      <c r="H246" s="1324"/>
      <c r="I246" s="592" t="s">
        <v>673</v>
      </c>
      <c r="J246" s="592"/>
      <c r="K246" s="592"/>
      <c r="L246" s="592"/>
      <c r="M246" s="592"/>
      <c r="N246" s="592"/>
      <c r="O246" s="592"/>
      <c r="P246" s="592"/>
      <c r="Q246" s="592"/>
      <c r="R246" s="592"/>
      <c r="S246" s="592"/>
      <c r="T246" s="468" cm="1" t="str">
        <f t="array" ref="T246:T246">T245</f>
        <v>true</v>
      </c>
      <c r="U246" s="1324"/>
      <c r="V246" s="1324"/>
      <c r="W246" s="1324"/>
      <c r="X246" s="1617"/>
      <c r="Y246" s="1324"/>
      <c r="Z246" s="1618"/>
      <c r="AA246" s="1324"/>
      <c r="AB246" s="814" t="s">
        <v>801</v>
      </c>
      <c r="AC246" s="820" t="s">
        <v>2076</v>
      </c>
      <c r="AD246" s="821" t="s">
        <v>936</v>
      </c>
      <c r="AE246" s="816">
        <f>_xlfn.SUMIFS('ИП + источники'!AF$27:AF$174,'ИП + источники'!$F$27:$F$174,$F246,'ИП + источники'!$AC$27:$AC$174,"Амортизационные отчисления")+_xlfn.SUMIFS('ИП + источники'!AF$27:AF$174,'ИП + источники'!$F$27:$F$174,$F246,'ИП + источники'!$AC$27:$AC$174,"погашение займов и кредитов из амортизации")</f>
        <v>0</v>
      </c>
      <c r="AF246" s="816">
        <f>_xlfn.SUMIFS('ИП + источники'!AG$27:AG$174,'ИП + источники'!$F$27:$F$174,$F246,'ИП + источники'!$AC$27:$AC$174,"Амортизационные отчисления")+_xlfn.SUMIFS('ИП + источники'!AG$27:AG$174,'ИП + источники'!$F$27:$F$174,$F246,'ИП + источники'!$AC$27:$AC$174,"погашение займов и кредитов из амортизации")</f>
        <v>0</v>
      </c>
      <c r="AG246" s="816">
        <f>_xlfn.SUMIFS('ИП + источники'!AH$27:AH$174,'ИП + источники'!$F$27:$F$174,$F246,'ИП + источники'!$AC$27:$AC$174,"Амортизационные отчисления")+_xlfn.SUMIFS('ИП + источники'!AH$27:AH$174,'ИП + источники'!$F$27:$F$174,$F246,'ИП + источники'!$AC$27:$AC$174,"погашение займов и кредитов из амортизации")</f>
        <v>0</v>
      </c>
      <c r="AH246" s="809">
        <f>AG246-AF246</f>
        <v>0</v>
      </c>
      <c r="AI246" s="816">
        <f>_xlfn.SUMIFS('ИП + источники'!AH$27:AH$174,'ИП + источники'!$F$27:$F$174,$F246,'ИП + источники'!$AC$27:$AC$174,"Амортизационные отчисления")+_xlfn.SUMIFS('ИП + источники'!AH$27:AH$174,'ИП + источники'!$F$27:$F$174,$F246,'ИП + источники'!$AC$27:$AC$174,"погашение займов и кредитов из амортизации")</f>
        <v>0</v>
      </c>
      <c r="AJ246" s="816">
        <f>_xlfn.SUMIFS('ИП + источники'!AI$27:AI$174,'ИП + источники'!$F$27:$F$174,$F246,'ИП + источники'!$AC$27:$AC$174,"Амортизационные отчисления")+_xlfn.SUMIFS('ИП + источники'!AI$27:AI$174,'ИП + источники'!$F$27:$F$174,$F246,'ИП + источники'!$AC$27:$AC$174,"погашение займов и кредитов из амортизации")</f>
        <v>0</v>
      </c>
      <c r="AK246" s="816">
        <f>_xlfn.SUMIFS('ИП + источники'!AJ$27:AJ$174,'ИП + источники'!$F$27:$F$174,$F246,'ИП + источники'!$AC$27:$AC$174,"Амортизационные отчисления")+_xlfn.SUMIFS('ИП + источники'!AJ$27:AJ$174,'ИП + источники'!$F$27:$F$174,$F246,'ИП + источники'!$AC$27:$AC$174,"погашение займов и кредитов из амортизации")</f>
        <v>0</v>
      </c>
      <c r="AL246" s="809">
        <f>IF(AI246=0,0,(AK246-AI246)/AI246*100)</f>
        <v>0</v>
      </c>
      <c r="AM246" s="810"/>
      <c r="AN246" s="810"/>
      <c r="AO246" s="810"/>
      <c r="AP246" s="1324"/>
      <c r="AQ246" s="1324"/>
      <c r="AR246" s="1070" t="s">
        <v>2077</v>
      </c>
      <c r="AS246" s="1070"/>
      <c r="AT246" s="1070"/>
      <c r="AU246" s="1067"/>
      <c r="AV246" s="1067"/>
    </row>
    <row s="6163" customFormat="1" customHeight="1" ht="21.75">
      <c r="A247" s="593"/>
      <c r="B247" s="593"/>
      <c r="C247" s="593"/>
      <c r="D247" s="593"/>
      <c r="E247" s="703">
        <v>22.5</v>
      </c>
      <c r="F247" s="50" cm="1" t="str">
        <f t="array" ref="F247:F247">OFFSET(E247,-1,1)</f>
        <v>2</v>
      </c>
      <c r="G247" s="593"/>
      <c r="H247" s="593"/>
      <c r="I247" s="704" t="s">
        <v>616</v>
      </c>
      <c r="J247" s="704"/>
      <c r="K247" s="704"/>
      <c r="L247" s="704"/>
      <c r="M247" s="704"/>
      <c r="N247" s="704"/>
      <c r="O247" s="704"/>
      <c r="P247" s="704"/>
      <c r="Q247" s="704"/>
      <c r="R247" s="704"/>
      <c r="S247" s="704"/>
      <c r="T247" s="468" cm="1" t="str">
        <f t="array" ref="T247:T247">T246</f>
        <v>true</v>
      </c>
      <c r="U247" s="593"/>
      <c r="V247" s="593"/>
      <c r="W247" s="593"/>
      <c r="X247" s="1617"/>
      <c r="Y247" s="593"/>
      <c r="Z247" s="1618"/>
      <c r="AA247" s="593"/>
      <c r="AB247" s="811" t="s">
        <v>457</v>
      </c>
      <c r="AC247" s="594" t="s">
        <v>2078</v>
      </c>
      <c r="AD247" s="819" t="s">
        <v>936</v>
      </c>
      <c r="AE247" s="808">
        <f>_xlfn.SUMIFS(Аренда!AE$25:AE$67,Аренда!$F$25:$F$67,$F247,Аренда!$G$25:$G$67,"Арендная и концессионная плата, лизинговые платежи")</f>
        <v>295.1</v>
      </c>
      <c r="AF247" s="808">
        <f>_xlfn.SUMIFS(Аренда!AF$25:AF$67,Аренда!$F$25:$F$67,$F247,Аренда!$G$25:$G$67,"Арендная и концессионная плата, лизинговые платежи")</f>
        <v>318.39</v>
      </c>
      <c r="AG247" s="808">
        <f>_xlfn.SUMIFS(Аренда!AG$25:AG$67,Аренда!$F$25:$F$67,$F247,Аренда!$G$25:$G$67,"Арендная и концессионная плата, лизинговые платежи")</f>
        <v>318.39</v>
      </c>
      <c r="AH247" s="808">
        <f>AG247-AF247</f>
        <v>0</v>
      </c>
      <c r="AI247" s="808">
        <f>_xlfn.SUMIFS(Аренда!AH$25:AH$67,Аренда!$F$25:$F$67,$F247,Аренда!$G$25:$G$67,"Арендная и концессионная плата, лизинговые платежи")</f>
        <v>318.39</v>
      </c>
      <c r="AJ247" s="808">
        <f>_xlfn.SUMIFS(Аренда!AI$25:AI$67,Аренда!$F$25:$F$67,$F247,Аренда!$G$25:$G$67,"Арендная и концессионная плата, лизинговые платежи")</f>
        <v>346.47</v>
      </c>
      <c r="AK247" s="808">
        <f>_xlfn.SUMIFS(Аренда!AS$25:AS$67,Аренда!$F$25:$F$67,$F247,Аренда!$G$25:$G$67,"Арендная и концессионная плата, лизинговые платежи")</f>
        <v>346.47</v>
      </c>
      <c r="AL247" s="808">
        <f>IF(AI247=0,0,(AK247-AI247)/AI247*100)</f>
        <v>8.81937246772827</v>
      </c>
      <c r="AM247" s="813"/>
      <c r="AN247" s="917" t="str">
        <f>IF(_xlfn.IFERROR(INDEX(Аренда!$K$26:$L$67,MATCH($F247&amp;"komm",Аренда!$K$26:$K$67,0),2),"")=0,"",_xlfn.IFERROR(INDEX(Аренда!$K$26:$L$67,MATCH($F247&amp;"komm",Аренда!$K$26:$K$67,0),2),""))</f>
        <v>П. 29 "Методических указаний…" ФСТ России (приказ от 27.12.2013 № 1746-э).</v>
      </c>
      <c r="AO247" s="813"/>
      <c r="AP247" s="593"/>
      <c r="AQ247" s="593"/>
      <c r="AR247" s="1071" t="s">
        <v>2079</v>
      </c>
      <c r="AS247" s="1071"/>
      <c r="AT247" s="1071"/>
      <c r="AU247" s="703"/>
      <c r="AV247" s="703"/>
    </row>
    <row s="6164" customFormat="1" customHeight="1" ht="14.25">
      <c r="A248" s="593"/>
      <c r="B248" s="593"/>
      <c r="C248" s="593"/>
      <c r="D248" s="593"/>
      <c r="E248" s="703">
        <v>15</v>
      </c>
      <c r="F248" s="50" cm="1" t="str">
        <f t="array" ref="F248:F248">OFFSET(E248,-1,1)</f>
        <v>2</v>
      </c>
      <c r="G248" s="593"/>
      <c r="H248" s="593"/>
      <c r="I248" s="704" t="s">
        <v>619</v>
      </c>
      <c r="J248" s="704"/>
      <c r="K248" s="704"/>
      <c r="L248" s="704"/>
      <c r="M248" s="704"/>
      <c r="N248" s="704"/>
      <c r="O248" s="704"/>
      <c r="P248" s="704"/>
      <c r="Q248" s="704"/>
      <c r="R248" s="704"/>
      <c r="S248" s="704"/>
      <c r="T248" s="468" cm="1" t="str">
        <f t="array" ref="T248:T248">T247</f>
        <v>true</v>
      </c>
      <c r="U248" s="593"/>
      <c r="V248" s="593"/>
      <c r="W248" s="593"/>
      <c r="X248" s="1617"/>
      <c r="Y248" s="593"/>
      <c r="Z248" s="1618"/>
      <c r="AA248" s="593"/>
      <c r="AB248" s="811" t="s">
        <v>460</v>
      </c>
      <c r="AC248" s="594" t="s">
        <v>2080</v>
      </c>
      <c r="AD248" s="819" t="s">
        <v>936</v>
      </c>
      <c r="AE248" s="808">
        <f>_xlfn.SUMIFS(Налоги!AE$25:AE$83,Налоги!$F$25:$F$83,$F248,Налоги!$AC$25:$AC$83,"Налоги и платежи, относимые на указанный вид деятельности")</f>
        <v>1571.83</v>
      </c>
      <c r="AF248" s="808">
        <f>_xlfn.SUMIFS(Налоги!AF$25:AF$83,Налоги!$F$25:$F$83,$F248,Налоги!$AC$25:$AC$83,"Налоги и платежи, относимые на указанный вид деятельности")</f>
        <v>1674.18</v>
      </c>
      <c r="AG248" s="808">
        <f>_xlfn.SUMIFS(Налоги!AG$25:AG$83,Налоги!$F$25:$F$83,$F248,Налоги!$AC$25:$AC$83,"Налоги и платежи, относимые на указанный вид деятельности")</f>
        <v>1672.56</v>
      </c>
      <c r="AH248" s="808">
        <f>AG248-AF248</f>
        <v>-1.62000000000012</v>
      </c>
      <c r="AI248" s="808">
        <f>_xlfn.SUMIFS(Налоги!AH$25:AH$83,Налоги!$F$25:$F$83,$F248,Налоги!$AC$25:$AC$83,"Налоги и платежи, относимые на указанный вид деятельности")</f>
        <v>1273.28</v>
      </c>
      <c r="AJ248" s="808">
        <f>_xlfn.SUMIFS(Налоги!AI$25:AI$83,Налоги!$F$25:$F$83,$F248,Налоги!$AC$25:$AC$83,"Налоги и платежи, относимые на указанный вид деятельности")</f>
        <v>5916.92</v>
      </c>
      <c r="AK248" s="808">
        <f>_xlfn.SUMIFS(Налоги!AS$25:AS$83,Налоги!$F$25:$F$83,$F248,Налоги!$AC$25:$AC$83,"Налоги и платежи, относимые на указанный вид деятельности")</f>
        <v>5916.97</v>
      </c>
      <c r="AL248" s="808">
        <f>IF(AI248=0,0,(AK248-AI248)/AI248*100)</f>
        <v>364.702971852224</v>
      </c>
      <c r="AM248" s="813"/>
      <c r="AN248" s="917" t="str">
        <f>IF(_xlfn.IFERROR(INDEX(Налоги!$K$26:$L$83,MATCH($F248&amp;"komm",Налоги!$K$26:$K$83,0),2),"")=0,"",_xlfn.IFERROR(INDEX(Налоги!$K$26:$L$83,MATCH($F248&amp;"komm",Налоги!$K$26:$K$83,0),2),""))</f>
        <v>П. 49 (2) Методических указаний ФСТ России от 27.12.2013 № 1746-э.</v>
      </c>
      <c r="AO248" s="813"/>
      <c r="AP248" s="593"/>
      <c r="AQ248" s="593"/>
      <c r="AR248" s="1071" t="s">
        <v>1464</v>
      </c>
      <c r="AS248" s="1071"/>
      <c r="AT248" s="1071"/>
      <c r="AU248" s="703"/>
      <c r="AV248" s="703"/>
    </row>
    <row s="6165" customFormat="1" customHeight="1" ht="14.25">
      <c r="A249" s="593"/>
      <c r="B249" s="593"/>
      <c r="C249" s="593"/>
      <c r="D249" s="593"/>
      <c r="E249" s="703">
        <v>15</v>
      </c>
      <c r="F249" s="50" cm="1" t="str">
        <f t="array" ref="F249:F249">OFFSET(E249,-1,1)</f>
        <v>2</v>
      </c>
      <c r="G249" s="593"/>
      <c r="H249" s="593"/>
      <c r="I249" s="704" t="s">
        <v>685</v>
      </c>
      <c r="J249" s="704"/>
      <c r="K249" s="704"/>
      <c r="L249" s="704"/>
      <c r="M249" s="704"/>
      <c r="N249" s="704"/>
      <c r="O249" s="704"/>
      <c r="P249" s="704"/>
      <c r="Q249" s="704"/>
      <c r="R249" s="704"/>
      <c r="S249" s="704"/>
      <c r="T249" s="468" cm="1" t="str">
        <f t="array" ref="T249:T249">T248</f>
        <v>true</v>
      </c>
      <c r="U249" s="593"/>
      <c r="V249" s="593"/>
      <c r="W249" s="593"/>
      <c r="X249" s="1617"/>
      <c r="Y249" s="593"/>
      <c r="Z249" s="1618"/>
      <c r="AA249" s="593"/>
      <c r="AB249" s="811" t="s">
        <v>463</v>
      </c>
      <c r="AC249" s="594" t="s">
        <v>2081</v>
      </c>
      <c r="AD249" s="595" t="s">
        <v>936</v>
      </c>
      <c r="AE249" s="795">
        <f>AE250+AE251+AE252</f>
        <v>1248.5</v>
      </c>
      <c r="AF249" s="795">
        <f>AF250+AF251+AF252</f>
        <v>1248.91</v>
      </c>
      <c r="AG249" s="795">
        <f>AG250+AG251+AG252</f>
        <v>1248.5</v>
      </c>
      <c r="AH249" s="795">
        <f>AG249-AF249</f>
        <v>-0.410000000000082</v>
      </c>
      <c r="AI249" s="795">
        <f>AI250+AI251+AI252</f>
        <v>1214.9</v>
      </c>
      <c r="AJ249" s="795">
        <f>AJ250+AJ251+AJ252</f>
        <v>2777.8</v>
      </c>
      <c r="AK249" s="795">
        <f>AK250+AK251+AK252</f>
        <v>2227.8</v>
      </c>
      <c r="AL249" s="808">
        <f>IF(AI249=0,0,(AK249-AI249)/AI249*100)</f>
        <v>83.3731171289818</v>
      </c>
      <c r="AM249" s="813"/>
      <c r="AN249" s="917"/>
      <c r="AO249" s="813"/>
      <c r="AP249" s="593"/>
      <c r="AQ249" s="593"/>
      <c r="AR249" s="1071" t="s">
        <v>1734</v>
      </c>
      <c r="AS249" s="1071"/>
      <c r="AT249" s="1071"/>
      <c r="AU249" s="703"/>
      <c r="AV249" s="703"/>
    </row>
    <row s="1656" customFormat="1" customHeight="1" ht="14.25">
      <c r="A250" s="1324"/>
      <c r="B250" s="1324"/>
      <c r="C250" s="1324"/>
      <c r="D250" s="1324"/>
      <c r="E250" s="701">
        <v>15</v>
      </c>
      <c r="F250" s="50" cm="1" t="str">
        <f t="array" ref="F250:F250">OFFSET(E250,-1,1)</f>
        <v>2</v>
      </c>
      <c r="G250" s="1324"/>
      <c r="H250" s="1324"/>
      <c r="I250" s="592" t="s">
        <v>688</v>
      </c>
      <c r="J250" s="592"/>
      <c r="K250" s="592"/>
      <c r="L250" s="592"/>
      <c r="M250" s="592"/>
      <c r="N250" s="592"/>
      <c r="O250" s="592"/>
      <c r="P250" s="592"/>
      <c r="Q250" s="592"/>
      <c r="R250" s="592"/>
      <c r="S250" s="592"/>
      <c r="T250" s="468" cm="1" t="str">
        <f t="array" ref="T250:T250">T249</f>
        <v>true</v>
      </c>
      <c r="U250" s="1324"/>
      <c r="V250" s="1324"/>
      <c r="W250" s="1324"/>
      <c r="X250" s="1617"/>
      <c r="Y250" s="1324"/>
      <c r="Z250" s="1618"/>
      <c r="AA250" s="1324"/>
      <c r="AB250" s="814" t="s">
        <v>711</v>
      </c>
      <c r="AC250" s="820" t="s">
        <v>2082</v>
      </c>
      <c r="AD250" s="821" t="s">
        <v>936</v>
      </c>
      <c r="AE250" s="816">
        <f>_xlfn.SUMIFS('ИП + источники'!AF$26:AF$174,'ИП + источники'!$F$26:$F$174,$F250,'ИП + источники'!$AC$26:$AC$174,"погашение займов и кредитов из нормативной прибыли")+_xlfn.SUMIFS('ИП + источники'!AF$26:AF$174,'ИП + источники'!$F$26:$F$174,$F250,'ИП + источники'!$AC$26:$AC$174,"уплата процентов по кредитам из нормативной прибыли")</f>
        <v>0</v>
      </c>
      <c r="AF250" s="816">
        <f>_xlfn.SUMIFS('ИП + источники'!AG$26:AG$174,'ИП + источники'!$F$26:$F$174,$F250,'ИП + источники'!$AC$26:$AC$174,"погашение займов и кредитов из нормативной прибыли")+_xlfn.SUMIFS('ИП + источники'!AG$26:AG$174,'ИП + источники'!$F$26:$F$174,$F250,'ИП + источники'!$AC$26:$AC$174,"уплата процентов по кредитам из нормативной прибыли")</f>
        <v>0</v>
      </c>
      <c r="AG250" s="816">
        <f>_xlfn.SUMIFS('ИП + источники'!AH$26:AH$174,'ИП + источники'!$F$26:$F$174,$F250,'ИП + источники'!$AC$26:$AC$174,"погашение займов и кредитов из нормативной прибыли")+_xlfn.SUMIFS('ИП + источники'!AH$26:AH$174,'ИП + источники'!$F$26:$F$174,$F250,'ИП + источники'!$AC$26:$AC$174,"уплата процентов по кредитам из нормативной прибыли")</f>
        <v>0</v>
      </c>
      <c r="AH250" s="809">
        <f>AG250-AF250</f>
        <v>0</v>
      </c>
      <c r="AI250" s="816">
        <f>_xlfn.SUMIFS('ИП + источники'!AJ$26:AJ$174,'ИП + источники'!$F$26:$F$174,$F250,'ИП + источники'!$AC$26:$AC$174,"погашение займов и кредитов из нормативной прибыли")+_xlfn.SUMIFS('ИП + источники'!AJ$26:AJ$174,'ИП + источники'!$F$26:$F$174,$F250,'ИП + источники'!$AC$26:$AC$174,"уплата процентов по кредитам из нормативной прибыли")</f>
        <v>0</v>
      </c>
      <c r="AJ250" s="816">
        <f>_xlfn.SUMIFS('ИП + источники'!AK$26:AK$174,'ИП + источники'!$F$26:$F$174,$F250,'ИП + источники'!$AC$26:$AC$174,"погашение займов и кредитов из нормативной прибыли")+_xlfn.SUMIFS('ИП + источники'!AK$26:AK$174,'ИП + источники'!$F$26:$F$174,$F250,'ИП + источники'!$AC$26:$AC$174,"уплата процентов по кредитам из нормативной прибыли")</f>
        <v>0</v>
      </c>
      <c r="AK250" s="816">
        <f>_xlfn.SUMIFS('ИП + источники'!AU$26:AU$174,'ИП + источники'!$F$26:$F$174,$F250,'ИП + источники'!$AC$26:$AC$174,"погашение займов и кредитов из нормативной прибыли")+_xlfn.SUMIFS('ИП + источники'!AU$26:AU$174,'ИП + источники'!$F$26:$F$174,$F250,'ИП + источники'!$AC$26:$AC$174,"уплата процентов по кредитам из нормативной прибыли")</f>
        <v>0</v>
      </c>
      <c r="AL250" s="809">
        <f>IF(AI250=0,0,(AK250-AI250)/AI250*100)</f>
        <v>0</v>
      </c>
      <c r="AM250" s="810"/>
      <c r="AN250" s="917" t="str">
        <f>IF(_xlfn.IFERROR(INDEX('ИП + источники'!$K$57:$L$174,MATCH($F250&amp;"1komm",'ИП + источники'!$K$57:$K$174,0),2),"")=0,"",_xlfn.IFERROR(INDEX('ИП + источники'!$K$57:$L$174,MATCH($F250&amp;"1komm",'ИП + источники'!$K$57:$K$174,0),2),""))</f>
        <v>ФАКТ 2024 г.: Перерасход в размере (+0,41) тыс. руб. к учету НЕ ПРИНЯТ, так как по состоянию на конец отчетного периода   данное мероприятие НЕ ЗАВЕРШЕНО.  ПЛАН НА 2026 ГОД принят в соответствии  с утвержденной  Инвестиционной программой в сфере водоотведения.</v>
      </c>
      <c r="AO250" s="810"/>
      <c r="AP250" s="1324"/>
      <c r="AQ250" s="1324"/>
      <c r="AR250" s="1070" t="s">
        <v>1456</v>
      </c>
      <c r="AS250" s="1070"/>
      <c r="AT250" s="1070"/>
      <c r="AU250" s="1067"/>
      <c r="AV250" s="1067"/>
    </row>
    <row s="1656" customFormat="1" customHeight="1" ht="14.25">
      <c r="A251" s="1324"/>
      <c r="B251" s="1324"/>
      <c r="C251" s="1324"/>
      <c r="D251" s="1324"/>
      <c r="E251" s="701">
        <v>15</v>
      </c>
      <c r="F251" s="50" cm="1" t="str">
        <f t="array" ref="F251:F251">OFFSET(E251,-1,1)</f>
        <v>2</v>
      </c>
      <c r="G251" s="1324"/>
      <c r="H251" s="1324"/>
      <c r="I251" s="592" t="s">
        <v>692</v>
      </c>
      <c r="J251" s="592"/>
      <c r="K251" s="592"/>
      <c r="L251" s="592"/>
      <c r="M251" s="592"/>
      <c r="N251" s="592"/>
      <c r="O251" s="592"/>
      <c r="P251" s="592"/>
      <c r="Q251" s="592"/>
      <c r="R251" s="592"/>
      <c r="S251" s="592"/>
      <c r="T251" s="468" cm="1" t="str">
        <f t="array" ref="T251:T251">T250</f>
        <v>true</v>
      </c>
      <c r="U251" s="1324"/>
      <c r="V251" s="1324"/>
      <c r="W251" s="1324"/>
      <c r="X251" s="1617"/>
      <c r="Y251" s="1324"/>
      <c r="Z251" s="1618"/>
      <c r="AA251" s="1324"/>
      <c r="AB251" s="814" t="s">
        <v>728</v>
      </c>
      <c r="AC251" s="820" t="s">
        <v>2083</v>
      </c>
      <c r="AD251" s="821" t="s">
        <v>936</v>
      </c>
      <c r="AE251" s="816">
        <f>_xlfn.SUMIFS('ИП + источники'!AF$27:AF$174,'ИП + источники'!$F$27:$F$174,$F251,'ИП + источники'!$AC$27:$AC$174,"Прибыль на капвложения")</f>
        <v>1248.5</v>
      </c>
      <c r="AF251" s="816">
        <f>_xlfn.SUMIFS('ИП + источники'!AG$27:AG$174,'ИП + источники'!$F$27:$F$174,$F251,'ИП + источники'!$AC$27:$AC$174,"Прибыль на капвложения")</f>
        <v>1248.91</v>
      </c>
      <c r="AG251" s="816">
        <f>_xlfn.SUMIFS('ИП + источники'!AH$27:AH$174,'ИП + источники'!$F$27:$F$174,$F251,'ИП + источники'!$AC$27:$AC$174,"Прибыль на капвложения")</f>
        <v>1248.5</v>
      </c>
      <c r="AH251" s="809">
        <f>AG251-AF251</f>
        <v>-0.410000000000082</v>
      </c>
      <c r="AI251" s="816">
        <f>_xlfn.SUMIFS('ИП + источники'!AJ$27:AJ$174,'ИП + источники'!$F$27:$F$174,$F251,'ИП + источники'!$AC$27:$AC$174,"Прибыль на капвложения")</f>
        <v>1214.9</v>
      </c>
      <c r="AJ251" s="816">
        <f>_xlfn.SUMIFS('ИП + источники'!AK$27:AK$174,'ИП + источники'!$F$27:$F$174,$F251,'ИП + источники'!$AC$27:$AC$174,"Прибыль на капвложения")</f>
        <v>2777.8</v>
      </c>
      <c r="AK251" s="816">
        <f>_xlfn.SUMIFS('ИП + источники'!AU$27:AU$174,'ИП + источники'!$F$27:$F$174,$F251,'ИП + источники'!$AC$27:$AC$174,"Прибыль на капвложения")</f>
        <v>2227.8</v>
      </c>
      <c r="AL251" s="809">
        <f>IF(AI251=0,0,(AK251-AI251)/AI251*100)</f>
        <v>83.3731171289818</v>
      </c>
      <c r="AM251" s="810"/>
      <c r="AN251" s="917" t="str">
        <f>IF(_xlfn.IFERROR(INDEX('ИП + источники'!$K$57:$L$174,MATCH($F251&amp;"2komm",'ИП + источники'!$K$57:$K$174,0),2),"")=0,"",_xlfn.IFERROR(INDEX('ИП + источники'!$K$57:$L$174,MATCH($F251&amp;"2komm",'ИП + источники'!$K$57:$K$174,0),2),""))</f>
        <v/>
      </c>
      <c r="AO251" s="810"/>
      <c r="AP251" s="1324"/>
      <c r="AQ251" s="1324"/>
      <c r="AR251" s="1070" t="s">
        <v>2084</v>
      </c>
      <c r="AS251" s="1070"/>
      <c r="AT251" s="1070"/>
      <c r="AU251" s="1067"/>
      <c r="AV251" s="1067"/>
    </row>
    <row s="1656" customFormat="1" customHeight="1" ht="21.75">
      <c r="A252" s="1324"/>
      <c r="B252" s="1324"/>
      <c r="C252" s="1324"/>
      <c r="D252" s="1324"/>
      <c r="E252" s="701">
        <v>22.5</v>
      </c>
      <c r="F252" s="50" cm="1" t="str">
        <f t="array" ref="F252:F252">OFFSET(E252,-1,1)</f>
        <v>2</v>
      </c>
      <c r="G252" s="1324"/>
      <c r="H252" s="1324"/>
      <c r="I252" s="592" t="s">
        <v>696</v>
      </c>
      <c r="J252" s="592"/>
      <c r="K252" s="592"/>
      <c r="L252" s="592"/>
      <c r="M252" s="592"/>
      <c r="N252" s="592"/>
      <c r="O252" s="592"/>
      <c r="P252" s="592"/>
      <c r="Q252" s="592"/>
      <c r="R252" s="592"/>
      <c r="S252" s="592"/>
      <c r="T252" s="468" cm="1" t="str">
        <f t="array" ref="T252:T252">T251</f>
        <v>true</v>
      </c>
      <c r="U252" s="1324"/>
      <c r="V252" s="1324"/>
      <c r="W252" s="1324"/>
      <c r="X252" s="1617"/>
      <c r="Y252" s="1324"/>
      <c r="Z252" s="1618"/>
      <c r="AA252" s="1324"/>
      <c r="AB252" s="814" t="s">
        <v>740</v>
      </c>
      <c r="AC252" s="820" t="s">
        <v>2085</v>
      </c>
      <c r="AD252" s="821" t="s">
        <v>936</v>
      </c>
      <c r="AE252" s="816"/>
      <c r="AF252" s="816"/>
      <c r="AG252" s="816"/>
      <c r="AH252" s="809"/>
      <c r="AI252" s="816"/>
      <c r="AJ252" s="816"/>
      <c r="AK252" s="816"/>
      <c r="AL252" s="809">
        <f>IF(AI252=0,0,(AK252-AI252)/AI252*100)</f>
        <v>0</v>
      </c>
      <c r="AM252" s="810"/>
      <c r="AN252" s="810"/>
      <c r="AO252" s="810"/>
      <c r="AP252" s="1324"/>
      <c r="AQ252" s="1324"/>
      <c r="AR252" s="1070" t="s">
        <v>2086</v>
      </c>
      <c r="AS252" s="1070"/>
      <c r="AT252" s="1070"/>
      <c r="AU252" s="1067"/>
      <c r="AV252" s="1067"/>
    </row>
    <row s="6166" customFormat="1" customHeight="1" ht="21.75">
      <c r="A253" s="593"/>
      <c r="B253" s="593">
        <f>STATUS_GO="да"</f>
        <v>0</v>
      </c>
      <c r="C253" s="593"/>
      <c r="D253" s="593"/>
      <c r="E253" s="703">
        <v>22.5</v>
      </c>
      <c r="F253" s="50" cm="1" t="str">
        <f t="array" ref="F253:F253">OFFSET(E253,-1,1)</f>
        <v>2</v>
      </c>
      <c r="G253" s="593"/>
      <c r="H253" s="593"/>
      <c r="I253" s="704" t="s">
        <v>700</v>
      </c>
      <c r="J253" s="704"/>
      <c r="K253" s="704"/>
      <c r="L253" s="704"/>
      <c r="M253" s="704"/>
      <c r="N253" s="704"/>
      <c r="O253" s="704"/>
      <c r="P253" s="704"/>
      <c r="Q253" s="704"/>
      <c r="R253" s="704"/>
      <c r="S253" s="704"/>
      <c r="T253" s="468" cm="1" t="str">
        <f t="array" ref="T253:T253">T252</f>
        <v>true</v>
      </c>
      <c r="U253" s="593"/>
      <c r="V253" s="593"/>
      <c r="W253" s="593"/>
      <c r="X253" s="1617"/>
      <c r="Y253" s="593"/>
      <c r="Z253" s="1618"/>
      <c r="AA253" s="593"/>
      <c r="AB253" s="811" t="s">
        <v>466</v>
      </c>
      <c r="AC253" s="807" t="s">
        <v>2087</v>
      </c>
      <c r="AD253" s="819" t="s">
        <v>936</v>
      </c>
      <c r="AE253" s="817"/>
      <c r="AF253" s="817"/>
      <c r="AG253" s="817"/>
      <c r="AH253" s="808">
        <f>AG253-AF253</f>
        <v>0</v>
      </c>
      <c r="AI253" s="817"/>
      <c r="AJ253" s="817"/>
      <c r="AK253" s="817"/>
      <c r="AL253" s="808">
        <f>IF(AI253=0,0,(AK253-AI253)/AI253*100)</f>
        <v>0</v>
      </c>
      <c r="AM253" s="813"/>
      <c r="AN253" s="813"/>
      <c r="AO253" s="813"/>
      <c r="AP253" s="593"/>
      <c r="AQ253" s="593"/>
      <c r="AR253" s="1071" t="s">
        <v>2088</v>
      </c>
      <c r="AS253" s="1071"/>
      <c r="AT253" s="1071"/>
      <c r="AU253" s="703"/>
      <c r="AV253" s="703"/>
    </row>
    <row s="1656" customFormat="1" customHeight="1" ht="14.25">
      <c r="A254" s="1324"/>
      <c r="B254" s="1324"/>
      <c r="C254" s="1324"/>
      <c r="D254" s="1324"/>
      <c r="E254" s="701">
        <v>15</v>
      </c>
      <c r="F254" s="50" cm="1" t="str">
        <f t="array" ref="F254:F254">OFFSET(E254,-1,1)</f>
        <v>2</v>
      </c>
      <c r="G254" s="1324"/>
      <c r="H254" s="1324"/>
      <c r="I254" s="592" t="s">
        <v>707</v>
      </c>
      <c r="J254" s="592"/>
      <c r="K254" s="592"/>
      <c r="L254" s="592"/>
      <c r="M254" s="592"/>
      <c r="N254" s="592"/>
      <c r="O254" s="592"/>
      <c r="P254" s="592"/>
      <c r="Q254" s="592"/>
      <c r="R254" s="592"/>
      <c r="S254" s="592"/>
      <c r="T254" s="468" cm="1" t="str">
        <f t="array" ref="T254:T254">T253</f>
        <v>true</v>
      </c>
      <c r="U254" s="1324"/>
      <c r="V254" s="1324"/>
      <c r="W254" s="1324"/>
      <c r="X254" s="1617"/>
      <c r="Y254" s="1324"/>
      <c r="Z254" s="1618"/>
      <c r="AA254" s="1324"/>
      <c r="AB254" s="814" t="s">
        <v>469</v>
      </c>
      <c r="AC254" s="823" t="s">
        <v>1689</v>
      </c>
      <c r="AD254" s="821" t="s">
        <v>936</v>
      </c>
      <c r="AE254" s="816"/>
      <c r="AF254" s="816"/>
      <c r="AG254" s="816"/>
      <c r="AH254" s="809"/>
      <c r="AI254" s="6081"/>
      <c r="AJ254" s="6081"/>
      <c r="AK254" s="6081"/>
      <c r="AL254" s="809">
        <f>IF(AI254=0,0,(AK254-AI254)/AI254*100)</f>
        <v>0</v>
      </c>
      <c r="AM254" s="810"/>
      <c r="AN254" s="810"/>
      <c r="AO254" s="810"/>
      <c r="AP254" s="1324"/>
      <c r="AQ254" s="1324"/>
      <c r="AR254" s="1070" t="s">
        <v>2089</v>
      </c>
      <c r="AS254" s="1070"/>
      <c r="AT254" s="1070"/>
      <c r="AU254" s="1067"/>
      <c r="AV254" s="1067"/>
    </row>
    <row s="1656" customFormat="1" customHeight="1" ht="101.25" hidden="1">
      <c r="A255" s="1324"/>
      <c r="B255" s="1324"/>
      <c r="C255" s="1324"/>
      <c r="D255" s="1324"/>
      <c r="E255" s="701">
        <v>0</v>
      </c>
      <c r="F255" s="50" cm="1" t="str">
        <f t="array" ref="F255:F255">OFFSET(E255,-1,1)</f>
        <v>2</v>
      </c>
      <c r="G255" s="1324"/>
      <c r="H255" s="520">
        <f>ISERR(SEARCH("Водоснабжение",AB197))</f>
        <v>1</v>
      </c>
      <c r="I255" s="592" t="s">
        <v>864</v>
      </c>
      <c r="J255" s="592"/>
      <c r="K255" s="592"/>
      <c r="L255" s="592"/>
      <c r="M255" s="592"/>
      <c r="N255" s="592"/>
      <c r="O255" s="592"/>
      <c r="P255" s="592"/>
      <c r="Q255" s="592"/>
      <c r="R255" s="592"/>
      <c r="S255" s="592"/>
      <c r="T255" s="468" cm="1" t="str">
        <f t="array" ref="T255:T255">T254</f>
        <v>true</v>
      </c>
      <c r="U255" s="1324"/>
      <c r="V255" s="1324"/>
      <c r="W255" s="1324"/>
      <c r="X255" s="1617"/>
      <c r="Y255" s="1324"/>
      <c r="Z255" s="1618"/>
      <c r="AA255" s="1324"/>
      <c r="AB255" s="814" t="s">
        <v>472</v>
      </c>
      <c r="AC255" s="823" t="s">
        <v>2090</v>
      </c>
      <c r="AD255" s="766" t="s">
        <v>936</v>
      </c>
      <c r="AE255" s="6057"/>
      <c r="AF255" s="6057"/>
      <c r="AG255" s="6057"/>
      <c r="AH255" s="809">
        <f>AG255-AF255</f>
        <v>0</v>
      </c>
      <c r="AI255" s="6057"/>
      <c r="AJ255" s="6057"/>
      <c r="AK255" s="6057">
        <f>_xlfn.IFERROR(_xlfn.SUMIFS('Плата за негативное возд'!$AL$25:$AL$38,'Плата за негативное возд'!$F$25:$F$38,F255,'Плата за негативное возд'!$G$25:$G$38,"1"),0)</f>
        <v>7952.768</v>
      </c>
      <c r="AL255" s="809">
        <f>IF(AI255=0,0,(AK255-AI255)/AI255*100)</f>
        <v>0</v>
      </c>
      <c r="AM255" s="6039"/>
      <c r="AN255" s="6039"/>
      <c r="AO255" s="6039"/>
      <c r="AP255" s="1324"/>
      <c r="AQ255" s="1324"/>
      <c r="AR255" s="1070" t="s">
        <v>1580</v>
      </c>
      <c r="AS255" s="1070"/>
      <c r="AT255" s="1070"/>
      <c r="AU255" s="1067"/>
      <c r="AV255" s="1067"/>
    </row>
    <row s="1656" customFormat="1" customHeight="1" ht="67.5" hidden="1">
      <c r="A256" s="1324"/>
      <c r="B256" s="1324"/>
      <c r="C256" s="1324"/>
      <c r="D256" s="1324"/>
      <c r="E256" s="701">
        <v>0</v>
      </c>
      <c r="F256" s="50" cm="1" t="str">
        <f t="array" ref="F256:F256">OFFSET(E256,-1,1)</f>
        <v>2</v>
      </c>
      <c r="G256" s="1324"/>
      <c r="H256" s="520">
        <f>ISERR(SEARCH("Водоснабжение",AB197))</f>
        <v>1</v>
      </c>
      <c r="I256" s="592" t="s">
        <v>866</v>
      </c>
      <c r="J256" s="592"/>
      <c r="K256" s="592"/>
      <c r="L256" s="592"/>
      <c r="M256" s="592"/>
      <c r="N256" s="592"/>
      <c r="O256" s="592"/>
      <c r="P256" s="592"/>
      <c r="Q256" s="592"/>
      <c r="R256" s="592"/>
      <c r="S256" s="592"/>
      <c r="T256" s="468" cm="1" t="str">
        <f t="array" ref="T256:T256">T255</f>
        <v>true</v>
      </c>
      <c r="U256" s="1324"/>
      <c r="V256" s="1324"/>
      <c r="W256" s="1324"/>
      <c r="X256" s="1617"/>
      <c r="Y256" s="1324"/>
      <c r="Z256" s="1618"/>
      <c r="AA256" s="1324"/>
      <c r="AB256" s="814" t="s">
        <v>475</v>
      </c>
      <c r="AC256" s="823" t="s">
        <v>2091</v>
      </c>
      <c r="AD256" s="766" t="s">
        <v>936</v>
      </c>
      <c r="AE256" s="6057"/>
      <c r="AF256" s="6057"/>
      <c r="AG256" s="6057"/>
      <c r="AH256" s="809">
        <f>AG256-AF256</f>
        <v>0</v>
      </c>
      <c r="AI256" s="6057"/>
      <c r="AJ256" s="6057"/>
      <c r="AK256" s="6057">
        <f>_xlfn.IFERROR(_xlfn.SUMIFS('Плата за негативное возд'!$AL$25:$AL$38,'Плата за негативное возд'!$F$25:$F$38,F256,'Плата за негативное возд'!$G$25:$G$38,"2"),0)</f>
        <v>25663.928</v>
      </c>
      <c r="AL256" s="809">
        <f>IF(AI256=0,0,(AK256-AI256)/AI256*100)</f>
        <v>0</v>
      </c>
      <c r="AM256" s="6039"/>
      <c r="AN256" s="6039"/>
      <c r="AO256" s="6039"/>
      <c r="AP256" s="1324"/>
      <c r="AQ256" s="1324"/>
      <c r="AR256" s="1070" t="s">
        <v>1584</v>
      </c>
      <c r="AS256" s="1070"/>
      <c r="AT256" s="1070"/>
      <c r="AU256" s="1067"/>
      <c r="AV256" s="1067"/>
    </row>
    <row s="1656" customFormat="1" customHeight="1" ht="14.25">
      <c r="A257" s="1324"/>
      <c r="B257" s="1324"/>
      <c r="C257" s="1324"/>
      <c r="D257" s="1324"/>
      <c r="E257" s="701">
        <v>15</v>
      </c>
      <c r="F257" s="50" cm="1" t="str">
        <f t="array" ref="F257:F257">OFFSET(E257,-1,1)</f>
        <v>2</v>
      </c>
      <c r="G257" s="1324"/>
      <c r="H257" s="1324"/>
      <c r="I257" s="592" t="s">
        <v>914</v>
      </c>
      <c r="J257" s="592"/>
      <c r="K257" s="592"/>
      <c r="L257" s="592"/>
      <c r="M257" s="592"/>
      <c r="N257" s="592"/>
      <c r="O257" s="592"/>
      <c r="P257" s="592"/>
      <c r="Q257" s="592"/>
      <c r="R257" s="592"/>
      <c r="S257" s="592"/>
      <c r="T257" s="468" cm="1" t="str">
        <f t="array" ref="T257:T257">T256</f>
        <v>true</v>
      </c>
      <c r="U257" s="1324"/>
      <c r="V257" s="1324"/>
      <c r="W257" s="1324"/>
      <c r="X257" s="1617"/>
      <c r="Y257" s="1324"/>
      <c r="Z257" s="1618"/>
      <c r="AA257" s="1324"/>
      <c r="AB257" s="814" t="s">
        <v>478</v>
      </c>
      <c r="AC257" s="825" t="s">
        <v>2092</v>
      </c>
      <c r="AD257" s="821" t="s">
        <v>936</v>
      </c>
      <c r="AE257" s="816"/>
      <c r="AF257" s="816"/>
      <c r="AG257" s="816"/>
      <c r="AH257" s="809">
        <f>AG257-AF257</f>
        <v>0</v>
      </c>
      <c r="AI257" s="816"/>
      <c r="AJ257" s="816"/>
      <c r="AK257" s="816"/>
      <c r="AL257" s="809">
        <f>IF(AI257=0,0,(AK257-AI257)/AI257*100)</f>
        <v>0</v>
      </c>
      <c r="AM257" s="810"/>
      <c r="AN257" s="810"/>
      <c r="AO257" s="810"/>
      <c r="AP257" s="1324"/>
      <c r="AQ257" s="1324"/>
      <c r="AR257" s="1070" t="s">
        <v>1441</v>
      </c>
      <c r="AS257" s="1070"/>
      <c r="AT257" s="1070"/>
      <c r="AU257" s="1067"/>
      <c r="AV257" s="1067"/>
    </row>
    <row s="6167" customFormat="1" customHeight="1" ht="21.75">
      <c r="A258" s="593"/>
      <c r="B258" s="593"/>
      <c r="C258" s="593"/>
      <c r="D258" s="593"/>
      <c r="E258" s="703">
        <v>22.5</v>
      </c>
      <c r="F258" s="50" cm="1" t="str">
        <f t="array" ref="F258:F258">OFFSET(E258,-1,1)</f>
        <v>2</v>
      </c>
      <c r="G258" s="593"/>
      <c r="H258" s="593"/>
      <c r="I258" s="704" t="s">
        <v>915</v>
      </c>
      <c r="J258" s="704"/>
      <c r="K258" s="704"/>
      <c r="L258" s="704"/>
      <c r="M258" s="704"/>
      <c r="N258" s="704"/>
      <c r="O258" s="704"/>
      <c r="P258" s="704"/>
      <c r="Q258" s="704"/>
      <c r="R258" s="704"/>
      <c r="S258" s="704"/>
      <c r="T258" s="468" cm="1" t="str">
        <f t="array" ref="T258:T258">T257</f>
        <v>true</v>
      </c>
      <c r="U258" s="593"/>
      <c r="V258" s="593"/>
      <c r="W258" s="593"/>
      <c r="X258" s="1617"/>
      <c r="Y258" s="593"/>
      <c r="Z258" s="1618"/>
      <c r="AA258" s="593"/>
      <c r="AB258" s="811" t="s">
        <v>480</v>
      </c>
      <c r="AC258" s="594" t="s">
        <v>2093</v>
      </c>
      <c r="AD258" s="819" t="s">
        <v>936</v>
      </c>
      <c r="AE258" s="795">
        <f>AE259+AE260</f>
        <v>0</v>
      </c>
      <c r="AF258" s="795">
        <f>AF259+AF260</f>
        <v>0</v>
      </c>
      <c r="AG258" s="795">
        <f>AG259+AG260</f>
        <v>0</v>
      </c>
      <c r="AH258" s="808">
        <f>AG258-AF258</f>
        <v>0</v>
      </c>
      <c r="AI258" s="795">
        <f>AI259+AI260</f>
        <v>0</v>
      </c>
      <c r="AJ258" s="795">
        <f>AJ259+AJ260</f>
        <v>0</v>
      </c>
      <c r="AK258" s="795">
        <f>AK259+AK260</f>
        <v>0</v>
      </c>
      <c r="AL258" s="808">
        <f>IF(AI258=0,0,(AK258-AI258)/AI258*100)</f>
        <v>0</v>
      </c>
      <c r="AM258" s="813"/>
      <c r="AN258" s="813"/>
      <c r="AO258" s="813"/>
      <c r="AP258" s="593"/>
      <c r="AQ258" s="593"/>
      <c r="AR258" s="1071" t="s">
        <v>1772</v>
      </c>
      <c r="AS258" s="1071"/>
      <c r="AT258" s="1071"/>
      <c r="AU258" s="703"/>
      <c r="AV258" s="703"/>
    </row>
    <row s="1656" customFormat="1" customHeight="1" ht="21.75">
      <c r="A259" s="1324"/>
      <c r="B259" s="1324"/>
      <c r="C259" s="1324"/>
      <c r="D259" s="1324"/>
      <c r="E259" s="701">
        <v>22.5</v>
      </c>
      <c r="F259" s="50" cm="1" t="str">
        <f t="array" ref="F259:F259">OFFSET(E259,-1,1)</f>
        <v>2</v>
      </c>
      <c r="G259" s="1324"/>
      <c r="H259" s="1324"/>
      <c r="I259" s="592" t="s">
        <v>2094</v>
      </c>
      <c r="J259" s="592"/>
      <c r="K259" s="592"/>
      <c r="L259" s="592"/>
      <c r="M259" s="592"/>
      <c r="N259" s="592"/>
      <c r="O259" s="592"/>
      <c r="P259" s="592"/>
      <c r="Q259" s="592"/>
      <c r="R259" s="592"/>
      <c r="S259" s="592"/>
      <c r="T259" s="468" cm="1" t="str">
        <f t="array" ref="T259:T259">T258</f>
        <v>true</v>
      </c>
      <c r="U259" s="1324"/>
      <c r="V259" s="1324"/>
      <c r="W259" s="1324"/>
      <c r="X259" s="1617"/>
      <c r="Y259" s="1324"/>
      <c r="Z259" s="1618"/>
      <c r="AA259" s="1324"/>
      <c r="AB259" s="814" t="s">
        <v>2095</v>
      </c>
      <c r="AC259" s="826" t="s">
        <v>1773</v>
      </c>
      <c r="AD259" s="821" t="s">
        <v>936</v>
      </c>
      <c r="AE259" s="816"/>
      <c r="AF259" s="816"/>
      <c r="AG259" s="816"/>
      <c r="AH259" s="809">
        <f>AG259-AF259</f>
        <v>0</v>
      </c>
      <c r="AI259" s="816"/>
      <c r="AJ259" s="816"/>
      <c r="AK259" s="816"/>
      <c r="AL259" s="809">
        <f>IF(AI259=0,0,(AK259-AI259)/AI259*100)</f>
        <v>0</v>
      </c>
      <c r="AM259" s="810"/>
      <c r="AN259" s="810"/>
      <c r="AO259" s="810"/>
      <c r="AP259" s="1324"/>
      <c r="AQ259" s="1324"/>
      <c r="AR259" s="1070" t="s">
        <v>1811</v>
      </c>
      <c r="AS259" s="1070"/>
      <c r="AT259" s="1070"/>
      <c r="AU259" s="1067"/>
      <c r="AV259" s="1067"/>
    </row>
    <row s="1656" customFormat="1" customHeight="1" ht="21.75">
      <c r="A260" s="1324"/>
      <c r="B260" s="1324"/>
      <c r="C260" s="1324"/>
      <c r="D260" s="1324"/>
      <c r="E260" s="701">
        <v>22.5</v>
      </c>
      <c r="F260" s="50" cm="1" t="str">
        <f t="array" ref="F260:F260">OFFSET(E260,-1,1)</f>
        <v>2</v>
      </c>
      <c r="G260" s="1324"/>
      <c r="H260" s="1324"/>
      <c r="I260" s="592" t="s">
        <v>2096</v>
      </c>
      <c r="J260" s="592"/>
      <c r="K260" s="592"/>
      <c r="L260" s="592"/>
      <c r="M260" s="592"/>
      <c r="N260" s="592"/>
      <c r="O260" s="592"/>
      <c r="P260" s="592"/>
      <c r="Q260" s="592"/>
      <c r="R260" s="592"/>
      <c r="S260" s="592"/>
      <c r="T260" s="468" cm="1" t="str">
        <f t="array" ref="T260:T260">T259</f>
        <v>true</v>
      </c>
      <c r="U260" s="1324"/>
      <c r="V260" s="1324"/>
      <c r="W260" s="1324"/>
      <c r="X260" s="1617"/>
      <c r="Y260" s="1324"/>
      <c r="Z260" s="1618"/>
      <c r="AA260" s="1324"/>
      <c r="AB260" s="814" t="s">
        <v>2097</v>
      </c>
      <c r="AC260" s="826" t="s">
        <v>1775</v>
      </c>
      <c r="AD260" s="821" t="s">
        <v>936</v>
      </c>
      <c r="AE260" s="816"/>
      <c r="AF260" s="816"/>
      <c r="AG260" s="816"/>
      <c r="AH260" s="809">
        <f>AG260-AF260</f>
        <v>0</v>
      </c>
      <c r="AI260" s="816"/>
      <c r="AJ260" s="816"/>
      <c r="AK260" s="816"/>
      <c r="AL260" s="809">
        <f>IF(AI260=0,0,(AK260-AI260)/AI260*100)</f>
        <v>0</v>
      </c>
      <c r="AM260" s="810"/>
      <c r="AN260" s="810"/>
      <c r="AO260" s="810"/>
      <c r="AP260" s="1324"/>
      <c r="AQ260" s="1324"/>
      <c r="AR260" s="1070" t="s">
        <v>2098</v>
      </c>
      <c r="AS260" s="1070"/>
      <c r="AT260" s="1070"/>
      <c r="AU260" s="1067"/>
      <c r="AV260" s="1067"/>
    </row>
    <row s="1656" customFormat="1" customHeight="1" ht="14.25">
      <c r="A261" s="1324"/>
      <c r="B261" s="1324"/>
      <c r="C261" s="1324"/>
      <c r="D261" s="1324"/>
      <c r="E261" s="701">
        <v>15</v>
      </c>
      <c r="F261" s="50" cm="1" t="str">
        <f t="array" ref="F261:F261">OFFSET(E261,-1,1)</f>
        <v>2</v>
      </c>
      <c r="G261" s="1324"/>
      <c r="H261" s="1324"/>
      <c r="I261" s="592" t="s">
        <v>2099</v>
      </c>
      <c r="J261" s="592"/>
      <c r="K261" s="592"/>
      <c r="L261" s="592"/>
      <c r="M261" s="592"/>
      <c r="N261" s="592"/>
      <c r="O261" s="592"/>
      <c r="P261" s="592"/>
      <c r="Q261" s="592"/>
      <c r="R261" s="592"/>
      <c r="S261" s="592"/>
      <c r="T261" s="468" cm="1" t="str">
        <f t="array" ref="T261:T261">T260</f>
        <v>true</v>
      </c>
      <c r="U261" s="1324"/>
      <c r="V261" s="1324"/>
      <c r="W261" s="1324"/>
      <c r="X261" s="1617"/>
      <c r="Y261" s="1324"/>
      <c r="Z261" s="1618"/>
      <c r="AA261" s="1324"/>
      <c r="AB261" s="827" t="s">
        <v>353</v>
      </c>
      <c r="AC261" s="828" t="s">
        <v>1777</v>
      </c>
      <c r="AD261" s="821" t="s">
        <v>936</v>
      </c>
      <c r="AE261" s="816"/>
      <c r="AF261" s="816"/>
      <c r="AG261" s="816"/>
      <c r="AH261" s="809">
        <f>AG261-AF261</f>
        <v>0</v>
      </c>
      <c r="AI261" s="816"/>
      <c r="AJ261" s="816"/>
      <c r="AK261" s="816"/>
      <c r="AL261" s="809">
        <f>IF(AI261=0,0,(AK261-AI261)/AI261*100)</f>
        <v>0</v>
      </c>
      <c r="AM261" s="810"/>
      <c r="AN261" s="810"/>
      <c r="AO261" s="810"/>
      <c r="AP261" s="1324"/>
      <c r="AQ261" s="1324"/>
      <c r="AR261" s="1070" t="s">
        <v>1778</v>
      </c>
      <c r="AS261" s="1070"/>
      <c r="AT261" s="1070"/>
      <c r="AU261" s="1067"/>
      <c r="AV261" s="1067"/>
    </row>
    <row s="1656" customFormat="1" customHeight="1" ht="14.25">
      <c r="A262" s="1324"/>
      <c r="B262" s="1324"/>
      <c r="C262" s="1324"/>
      <c r="D262" s="1324"/>
      <c r="E262" s="701">
        <v>15</v>
      </c>
      <c r="F262" s="50" cm="1" t="str">
        <f t="array" ref="F262:F262">OFFSET(E262,-1,1)</f>
        <v>2</v>
      </c>
      <c r="G262" s="1324"/>
      <c r="H262" s="1324"/>
      <c r="I262" s="592" t="s">
        <v>2100</v>
      </c>
      <c r="J262" s="592"/>
      <c r="K262" s="592"/>
      <c r="L262" s="592"/>
      <c r="M262" s="592"/>
      <c r="N262" s="592"/>
      <c r="O262" s="592"/>
      <c r="P262" s="592"/>
      <c r="Q262" s="592"/>
      <c r="R262" s="592"/>
      <c r="S262" s="592"/>
      <c r="T262" s="468" cm="1" t="str">
        <f t="array" ref="T262:T262">T261</f>
        <v>true</v>
      </c>
      <c r="U262" s="1324"/>
      <c r="V262" s="1324"/>
      <c r="W262" s="1324"/>
      <c r="X262" s="1617"/>
      <c r="Y262" s="1324"/>
      <c r="Z262" s="1618"/>
      <c r="AA262" s="1324"/>
      <c r="AB262" s="827" t="s">
        <v>485</v>
      </c>
      <c r="AC262" s="828" t="s">
        <v>1779</v>
      </c>
      <c r="AD262" s="821" t="s">
        <v>936</v>
      </c>
      <c r="AE262" s="816"/>
      <c r="AF262" s="816"/>
      <c r="AG262" s="816"/>
      <c r="AH262" s="809">
        <f>AG262-AF262</f>
        <v>0</v>
      </c>
      <c r="AI262" s="816"/>
      <c r="AJ262" s="816"/>
      <c r="AK262" s="816"/>
      <c r="AL262" s="809">
        <f>IF(AI262=0,0,(AK262-AI262)/AI262*100)</f>
        <v>0</v>
      </c>
      <c r="AM262" s="810"/>
      <c r="AN262" s="810"/>
      <c r="AO262" s="810"/>
      <c r="AP262" s="1324"/>
      <c r="AQ262" s="1324"/>
      <c r="AR262" s="1070" t="s">
        <v>1780</v>
      </c>
      <c r="AS262" s="1070"/>
      <c r="AT262" s="1070"/>
      <c r="AU262" s="1067"/>
      <c r="AV262" s="1067"/>
    </row>
    <row s="6168" customFormat="1" customHeight="1" ht="14.25">
      <c r="A263" s="593"/>
      <c r="B263" s="593"/>
      <c r="C263" s="593"/>
      <c r="D263" s="593"/>
      <c r="E263" s="703">
        <v>15</v>
      </c>
      <c r="F263" s="50" cm="1" t="str">
        <f t="array" ref="F263:F263">OFFSET(E263,-1,1)</f>
        <v>2</v>
      </c>
      <c r="G263" s="593"/>
      <c r="H263" s="593"/>
      <c r="I263" s="704" t="s">
        <v>2101</v>
      </c>
      <c r="J263" s="704"/>
      <c r="K263" s="704"/>
      <c r="L263" s="704"/>
      <c r="M263" s="704"/>
      <c r="N263" s="704"/>
      <c r="O263" s="704"/>
      <c r="P263" s="704"/>
      <c r="Q263" s="704"/>
      <c r="R263" s="704"/>
      <c r="S263" s="704"/>
      <c r="T263" s="468" cm="1" t="str">
        <f t="array" ref="T263:T263">T262</f>
        <v>true</v>
      </c>
      <c r="U263" s="593"/>
      <c r="V263" s="593"/>
      <c r="W263" s="593"/>
      <c r="X263" s="1617"/>
      <c r="Y263" s="593"/>
      <c r="Z263" s="1618"/>
      <c r="AA263" s="593"/>
      <c r="AB263" s="811" t="s">
        <v>488</v>
      </c>
      <c r="AC263" s="594" t="s">
        <v>2102</v>
      </c>
      <c r="AD263" s="819" t="s">
        <v>936</v>
      </c>
      <c r="AE263" s="795">
        <f>AE198+AE226+AE231+AE244+AE245+AE247+AE248+AE249+AE253+AE254-AE255-AE256+AE257-AE258+AE261+AE262</f>
        <v>32229.86</v>
      </c>
      <c r="AF263" s="795">
        <f>AF198+AF226+AF231+AF244+AF245+AF247+AF248+AF249+AF253+AF254-AF255-AF256+AF257-AF258+AF261+AF262</f>
        <v>29506.5022</v>
      </c>
      <c r="AG263" s="795">
        <f>AG198+AG226+AG231+AG244+AG245+AG247+AG248+AG249+AG253+AG254-AG255-AG256+AG257-AG258+AG261+AG262</f>
        <v>29565.8946704908</v>
      </c>
      <c r="AH263" s="808">
        <f>AG263-AF263</f>
        <v>59.3924704908022</v>
      </c>
      <c r="AI263" s="795">
        <f>AI198+AI226+AI231+AI244+AI245+AI247+AI248+AI249+AI253+AI254-AI255-AI256+AI257-AI258+AI261+AI262</f>
        <v>33391.0115</v>
      </c>
      <c r="AJ263" s="795">
        <f>AJ198+AJ226+AJ231+AJ244+AJ245+AJ247+AJ248+AJ249+AJ253+AJ254-AJ255-AJ256+AJ257-AJ258+AJ261+AJ262</f>
        <v>41397.74</v>
      </c>
      <c r="AK263" s="795">
        <f>AK198+AK226+AK231+AK244+AK245+AK247+AK248+AK249+AK253+AK254-AK255-AK256+AK257-AK258+AK261+AK262</f>
        <v>9139.57818</v>
      </c>
      <c r="AL263" s="808">
        <f>IF(AI263=0,0,(AK263-AI263)/AI263*100)</f>
        <v>-72.62862737776</v>
      </c>
      <c r="AM263" s="813"/>
      <c r="AN263" s="813"/>
      <c r="AO263" s="813"/>
      <c r="AP263" s="593"/>
      <c r="AQ263" s="593"/>
      <c r="AR263" s="1071" t="s">
        <v>2103</v>
      </c>
      <c r="AS263" s="1071"/>
      <c r="AT263" s="1071"/>
      <c r="AU263" s="703"/>
      <c r="AV263" s="703"/>
    </row>
    <row s="1656" customFormat="1" customHeight="1" ht="15" hidden="1">
      <c r="A264" s="1324"/>
      <c r="B264" s="582">
        <f>G197="двухставочный"</f>
        <v>0</v>
      </c>
      <c r="C264" s="1324"/>
      <c r="D264" s="1324"/>
      <c r="E264" s="701">
        <v>0</v>
      </c>
      <c r="F264" s="50" cm="1" t="str">
        <f t="array" ref="F264:F264">OFFSET(E264,-1,1)</f>
        <v>2</v>
      </c>
      <c r="G264" s="1324"/>
      <c r="H264" s="1324"/>
      <c r="I264" s="592" t="s">
        <v>2104</v>
      </c>
      <c r="J264" s="592"/>
      <c r="K264" s="592"/>
      <c r="L264" s="592"/>
      <c r="M264" s="592"/>
      <c r="N264" s="592"/>
      <c r="O264" s="592"/>
      <c r="P264" s="592"/>
      <c r="Q264" s="592"/>
      <c r="R264" s="592"/>
      <c r="S264" s="592"/>
      <c r="T264" s="468" cm="1" t="str">
        <f t="array" ref="T264:T264">T263</f>
        <v>true</v>
      </c>
      <c r="U264" s="1324"/>
      <c r="V264" s="1324"/>
      <c r="W264" s="1324"/>
      <c r="X264" s="1617"/>
      <c r="Y264" s="1324"/>
      <c r="Z264" s="1618"/>
      <c r="AA264" s="1324"/>
      <c r="AB264" s="814" t="s">
        <v>2105</v>
      </c>
      <c r="AC264" s="826" t="s">
        <v>2106</v>
      </c>
      <c r="AD264" s="821" t="s">
        <v>936</v>
      </c>
      <c r="AE264" s="6057"/>
      <c r="AF264" s="6057"/>
      <c r="AG264" s="6057"/>
      <c r="AH264" s="809">
        <f>AG264-AF264</f>
        <v>0</v>
      </c>
      <c r="AI264" s="6057"/>
      <c r="AJ264" s="6057"/>
      <c r="AK264" s="6057"/>
      <c r="AL264" s="809">
        <f>IF(AI264=0,0,(AK264-AI264)/AI264*100)</f>
        <v>0</v>
      </c>
      <c r="AM264" s="6039"/>
      <c r="AN264" s="6039"/>
      <c r="AO264" s="6039"/>
      <c r="AP264" s="1324"/>
      <c r="AQ264" s="1324"/>
      <c r="AR264" s="1070" t="s">
        <v>2107</v>
      </c>
      <c r="AS264" s="1070"/>
      <c r="AT264" s="1070"/>
      <c r="AU264" s="1067"/>
      <c r="AV264" s="1067"/>
    </row>
    <row s="1656" customFormat="1" customHeight="1" ht="15" hidden="1">
      <c r="A265" s="1324"/>
      <c r="B265" s="582">
        <f>G197="двухставочный"</f>
        <v>0</v>
      </c>
      <c r="C265" s="1324"/>
      <c r="D265" s="1324"/>
      <c r="E265" s="701">
        <v>0</v>
      </c>
      <c r="F265" s="50" cm="1" t="str">
        <f t="array" ref="F265:F265">OFFSET(E265,-1,1)</f>
        <v>2</v>
      </c>
      <c r="G265" s="1324"/>
      <c r="H265" s="1324"/>
      <c r="I265" s="592" t="s">
        <v>2108</v>
      </c>
      <c r="J265" s="592"/>
      <c r="K265" s="592"/>
      <c r="L265" s="592"/>
      <c r="M265" s="592"/>
      <c r="N265" s="592"/>
      <c r="O265" s="592"/>
      <c r="P265" s="592"/>
      <c r="Q265" s="592"/>
      <c r="R265" s="592"/>
      <c r="S265" s="592"/>
      <c r="T265" s="468" cm="1" t="str">
        <f t="array" ref="T265:T265">T264</f>
        <v>true</v>
      </c>
      <c r="U265" s="1324"/>
      <c r="V265" s="1324"/>
      <c r="W265" s="1324"/>
      <c r="X265" s="1617"/>
      <c r="Y265" s="1324"/>
      <c r="Z265" s="1618"/>
      <c r="AA265" s="1324"/>
      <c r="AB265" s="814" t="s">
        <v>2109</v>
      </c>
      <c r="AC265" s="826" t="s">
        <v>2110</v>
      </c>
      <c r="AD265" s="821" t="s">
        <v>936</v>
      </c>
      <c r="AE265" s="6057"/>
      <c r="AF265" s="6057"/>
      <c r="AG265" s="6057"/>
      <c r="AH265" s="809">
        <f>AG265-AF265</f>
        <v>0</v>
      </c>
      <c r="AI265" s="6057"/>
      <c r="AJ265" s="6057"/>
      <c r="AK265" s="6057"/>
      <c r="AL265" s="809">
        <f>IF(AI265=0,0,(AK265-AI265)/AI265*100)</f>
        <v>0</v>
      </c>
      <c r="AM265" s="6039"/>
      <c r="AN265" s="6039"/>
      <c r="AO265" s="6039"/>
      <c r="AP265" s="1324"/>
      <c r="AQ265" s="1324"/>
      <c r="AR265" s="1070" t="s">
        <v>2111</v>
      </c>
      <c r="AS265" s="1070"/>
      <c r="AT265" s="1070"/>
      <c r="AU265" s="1067"/>
      <c r="AV265" s="1067"/>
    </row>
    <row s="6169" customFormat="1" customHeight="1" ht="14.25">
      <c r="A266" s="593"/>
      <c r="B266" s="593"/>
      <c r="C266" s="593"/>
      <c r="D266" s="593"/>
      <c r="E266" s="703">
        <v>15</v>
      </c>
      <c r="F266" s="50" cm="1" t="str">
        <f t="array" ref="F266:F266">OFFSET(E266,-1,1)</f>
        <v>2</v>
      </c>
      <c r="G266" s="583" t="s">
        <v>1871</v>
      </c>
      <c r="H266" s="593"/>
      <c r="I266" s="704" t="s">
        <v>2112</v>
      </c>
      <c r="J266" s="704"/>
      <c r="K266" s="704"/>
      <c r="L266" s="704"/>
      <c r="M266" s="704"/>
      <c r="N266" s="704"/>
      <c r="O266" s="704"/>
      <c r="P266" s="704"/>
      <c r="Q266" s="704"/>
      <c r="R266" s="704"/>
      <c r="S266" s="704"/>
      <c r="T266" s="468" cm="1" t="str">
        <f t="array" ref="T266:T266">T265</f>
        <v>true</v>
      </c>
      <c r="U266" s="593"/>
      <c r="V266" s="593"/>
      <c r="W266" s="593"/>
      <c r="X266" s="1617"/>
      <c r="Y266" s="593"/>
      <c r="Z266" s="1618"/>
      <c r="AA266" s="593"/>
      <c r="AB266" s="811" t="s">
        <v>490</v>
      </c>
      <c r="AC266" s="594" t="s">
        <v>2113</v>
      </c>
      <c r="AD266" s="819" t="s">
        <v>657</v>
      </c>
      <c r="AE266" s="829">
        <f>_xlfn.SUMIFS(Баланс!AE$26:AE$391,Баланс!$F$26:$F$391,$F266,Баланс!$G$26:$G$391,"ПО")</f>
        <v>4990.56819</v>
      </c>
      <c r="AF266" s="829">
        <f>_xlfn.SUMIFS(Баланс!AF$26:AF$391,Баланс!$F$26:$F$391,$F266,Баланс!$G$26:$G$391,"ПО")</f>
        <v>4761.725</v>
      </c>
      <c r="AG266" s="829">
        <f>_xlfn.SUMIFS(Баланс!AG$26:AG$391,Баланс!$F$26:$F$391,$F266,Баланс!$G$26:$G$391,"ПО")</f>
        <v>4761.725</v>
      </c>
      <c r="AH266" s="829">
        <f>AG266-AF266</f>
        <v>0</v>
      </c>
      <c r="AI266" s="829">
        <f>_xlfn.SUMIFS(Баланс!AH$26:AH$391,Баланс!$F$26:$F$391,$F266,Баланс!$G$26:$G$391,"ПО")</f>
        <v>4897.85523</v>
      </c>
      <c r="AJ266" s="829">
        <f>_xlfn.SUMIFS(Баланс!AI$26:AI$391,Баланс!$F$26:$F$391,$F266,Баланс!$G$26:$G$391,"ПО")</f>
        <v>4766.327</v>
      </c>
      <c r="AK266" s="829">
        <f>_xlfn.SUMIFS(Баланс!AS$26:AS$391,Баланс!$F$26:$F$391,$F266,Баланс!$G$26:$G$391,"ПО")</f>
        <v>4589.80103</v>
      </c>
      <c r="AL266" s="830"/>
      <c r="AM266" s="813"/>
      <c r="AN266" s="813"/>
      <c r="AO266" s="813"/>
      <c r="AP266" s="593"/>
      <c r="AQ266" s="593"/>
      <c r="AR266" s="1071" t="s">
        <v>2114</v>
      </c>
      <c r="AS266" s="1071"/>
      <c r="AT266" s="1071"/>
      <c r="AU266" s="703"/>
      <c r="AV266" s="703"/>
    </row>
    <row s="1656" customFormat="1" customHeight="1" ht="14.25">
      <c r="A267" s="1324"/>
      <c r="B267" s="1324"/>
      <c r="C267" s="1324"/>
      <c r="D267" s="1324"/>
      <c r="E267" s="701">
        <v>15</v>
      </c>
      <c r="F267" s="50" cm="1" t="str">
        <f t="array" ref="F267:F267">OFFSET(E267,-1,1)</f>
        <v>2</v>
      </c>
      <c r="G267" s="583" t="s">
        <v>1898</v>
      </c>
      <c r="H267" s="1324"/>
      <c r="I267" s="592" t="s">
        <v>2115</v>
      </c>
      <c r="J267" s="592"/>
      <c r="K267" s="592"/>
      <c r="L267" s="592"/>
      <c r="M267" s="592"/>
      <c r="N267" s="592"/>
      <c r="O267" s="592"/>
      <c r="P267" s="592"/>
      <c r="Q267" s="592"/>
      <c r="R267" s="592"/>
      <c r="S267" s="592"/>
      <c r="T267" s="468" cm="1" t="str">
        <f t="array" ref="T267:T267">T266</f>
        <v>true</v>
      </c>
      <c r="U267" s="1324"/>
      <c r="V267" s="1324"/>
      <c r="W267" s="1324"/>
      <c r="X267" s="1617"/>
      <c r="Y267" s="1324"/>
      <c r="Z267" s="1618"/>
      <c r="AA267" s="1324"/>
      <c r="AB267" s="814" t="s">
        <v>2116</v>
      </c>
      <c r="AC267" s="1120" t="s">
        <v>2117</v>
      </c>
      <c r="AD267" s="821" t="s">
        <v>657</v>
      </c>
      <c r="AE267" s="831">
        <f>IF(AE$24="2026 год",AE266/12*9,AE266/2)</f>
        <v>2495.284095</v>
      </c>
      <c r="AF267" s="831">
        <f>IF(AF$24="2026 год",AF266/12*9,AF266/2)</f>
        <v>2380.8625</v>
      </c>
      <c r="AG267" s="831">
        <f>IF(AG$24="2026 год",AG266/12*9,AG266/2)</f>
        <v>2380.8625</v>
      </c>
      <c r="AH267" s="832">
        <f>AG267-AF267</f>
        <v>0</v>
      </c>
      <c r="AI267" s="831">
        <f>IF(AI$24="2026 год",AI266/12*9,AI266/2)</f>
        <v>2448.927615</v>
      </c>
      <c r="AJ267" s="831">
        <f>IF(AJ$24="2026 год",AJ266/12*9,AJ266/2)</f>
        <v>3574.74525</v>
      </c>
      <c r="AK267" s="831">
        <f>IF(AK$24="2026 год",AK266/12*9,AK266/2)</f>
        <v>3442.3507725</v>
      </c>
      <c r="AL267" s="824"/>
      <c r="AM267" s="810"/>
      <c r="AN267" s="810"/>
      <c r="AO267" s="810"/>
      <c r="AP267" s="1324"/>
      <c r="AQ267" s="1324"/>
      <c r="AR267" s="1070" t="s">
        <v>2118</v>
      </c>
      <c r="AS267" s="1070"/>
      <c r="AT267" s="1070"/>
      <c r="AU267" s="1067"/>
      <c r="AV267" s="1067"/>
    </row>
    <row s="1656" customFormat="1" customHeight="1" ht="14.25">
      <c r="A268" s="1324"/>
      <c r="B268" s="1324"/>
      <c r="C268" s="1324"/>
      <c r="D268" s="1324"/>
      <c r="E268" s="701">
        <v>15</v>
      </c>
      <c r="F268" s="50" cm="1" t="str">
        <f t="array" ref="F268:F268">OFFSET(E268,-1,1)</f>
        <v>2</v>
      </c>
      <c r="G268" s="583" t="s">
        <v>1859</v>
      </c>
      <c r="H268" s="1324"/>
      <c r="I268" s="592" t="s">
        <v>2119</v>
      </c>
      <c r="J268" s="592"/>
      <c r="K268" s="592"/>
      <c r="L268" s="592"/>
      <c r="M268" s="592"/>
      <c r="N268" s="592"/>
      <c r="O268" s="592"/>
      <c r="P268" s="592"/>
      <c r="Q268" s="592"/>
      <c r="R268" s="592"/>
      <c r="S268" s="592"/>
      <c r="T268" s="468" cm="1" t="str">
        <f t="array" ref="T268:T268">T267</f>
        <v>true</v>
      </c>
      <c r="U268" s="1324"/>
      <c r="V268" s="1324"/>
      <c r="W268" s="1324"/>
      <c r="X268" s="1617"/>
      <c r="Y268" s="1324"/>
      <c r="Z268" s="1618"/>
      <c r="AA268" s="1324"/>
      <c r="AB268" s="814" t="s">
        <v>2120</v>
      </c>
      <c r="AC268" s="1120" t="s">
        <v>2121</v>
      </c>
      <c r="AD268" s="821" t="s">
        <v>1862</v>
      </c>
      <c r="AE268" s="816"/>
      <c r="AF268" s="816"/>
      <c r="AG268" s="816"/>
      <c r="AH268" s="809">
        <f>AG268-AF268</f>
        <v>0</v>
      </c>
      <c r="AI268" s="816"/>
      <c r="AJ268" s="816"/>
      <c r="AK268" s="816"/>
      <c r="AL268" s="824"/>
      <c r="AM268" s="810"/>
      <c r="AN268" s="810"/>
      <c r="AO268" s="810"/>
      <c r="AP268" s="1324"/>
      <c r="AQ268" s="1324"/>
      <c r="AR268" s="1070" t="s">
        <v>2122</v>
      </c>
      <c r="AS268" s="1070"/>
      <c r="AT268" s="1070"/>
      <c r="AU268" s="1067"/>
      <c r="AV268" s="1067"/>
    </row>
    <row s="1656" customFormat="1" customHeight="1" ht="14.25">
      <c r="A269" s="1324"/>
      <c r="B269" s="1324"/>
      <c r="C269" s="1324"/>
      <c r="D269" s="1324"/>
      <c r="E269" s="701">
        <v>15</v>
      </c>
      <c r="F269" s="50" cm="1" t="str">
        <f t="array" ref="F269:F269">OFFSET(E269,-1,1)</f>
        <v>2</v>
      </c>
      <c r="G269" s="583" t="s">
        <v>1911</v>
      </c>
      <c r="H269" s="1324"/>
      <c r="I269" s="592" t="s">
        <v>2123</v>
      </c>
      <c r="J269" s="592"/>
      <c r="K269" s="592"/>
      <c r="L269" s="592"/>
      <c r="M269" s="592"/>
      <c r="N269" s="592"/>
      <c r="O269" s="592"/>
      <c r="P269" s="592"/>
      <c r="Q269" s="592"/>
      <c r="R269" s="592"/>
      <c r="S269" s="592"/>
      <c r="T269" s="468" cm="1" t="str">
        <f t="array" ref="T269:T269">T268</f>
        <v>true</v>
      </c>
      <c r="U269" s="1324"/>
      <c r="V269" s="1324"/>
      <c r="W269" s="1324"/>
      <c r="X269" s="1617"/>
      <c r="Y269" s="1324"/>
      <c r="Z269" s="1618"/>
      <c r="AA269" s="1324"/>
      <c r="AB269" s="814" t="s">
        <v>2124</v>
      </c>
      <c r="AC269" s="1120" t="s">
        <v>2125</v>
      </c>
      <c r="AD269" s="821" t="s">
        <v>657</v>
      </c>
      <c r="AE269" s="832">
        <f>AE266-AE267</f>
        <v>2495.284095</v>
      </c>
      <c r="AF269" s="832">
        <f>AF266-AF267</f>
        <v>2380.8625</v>
      </c>
      <c r="AG269" s="832">
        <f>AG266-AG267</f>
        <v>2380.8625</v>
      </c>
      <c r="AH269" s="832">
        <f>AG269-AF269</f>
        <v>0</v>
      </c>
      <c r="AI269" s="832">
        <f>AI266-AI267</f>
        <v>2448.927615</v>
      </c>
      <c r="AJ269" s="832">
        <f>AJ266-AJ267</f>
        <v>1191.58175</v>
      </c>
      <c r="AK269" s="832">
        <f>AK266-AK267</f>
        <v>1147.4502575</v>
      </c>
      <c r="AL269" s="824"/>
      <c r="AM269" s="810"/>
      <c r="AN269" s="810"/>
      <c r="AO269" s="810"/>
      <c r="AP269" s="1324"/>
      <c r="AQ269" s="1324"/>
      <c r="AR269" s="1070" t="s">
        <v>2126</v>
      </c>
      <c r="AS269" s="1070"/>
      <c r="AT269" s="1070"/>
      <c r="AU269" s="1067"/>
      <c r="AV269" s="1067"/>
    </row>
    <row s="1656" customFormat="1" customHeight="1" ht="14.25">
      <c r="A270" s="1324"/>
      <c r="B270" s="1324"/>
      <c r="C270" s="1324"/>
      <c r="D270" s="1324"/>
      <c r="E270" s="701">
        <v>15</v>
      </c>
      <c r="F270" s="50" cm="1" t="str">
        <f t="array" ref="F270:F270">OFFSET(E270,-1,1)</f>
        <v>2</v>
      </c>
      <c r="G270" s="583" t="s">
        <v>1864</v>
      </c>
      <c r="H270" s="1324"/>
      <c r="I270" s="592" t="s">
        <v>2127</v>
      </c>
      <c r="J270" s="592"/>
      <c r="K270" s="592"/>
      <c r="L270" s="592"/>
      <c r="M270" s="592"/>
      <c r="N270" s="592"/>
      <c r="O270" s="592"/>
      <c r="P270" s="592"/>
      <c r="Q270" s="592"/>
      <c r="R270" s="592"/>
      <c r="S270" s="592"/>
      <c r="T270" s="468" cm="1" t="str">
        <f t="array" ref="T270:T270">T269</f>
        <v>true</v>
      </c>
      <c r="U270" s="1324"/>
      <c r="V270" s="1324"/>
      <c r="W270" s="1324"/>
      <c r="X270" s="1617"/>
      <c r="Y270" s="1324"/>
      <c r="Z270" s="1618"/>
      <c r="AA270" s="1324"/>
      <c r="AB270" s="814" t="s">
        <v>2128</v>
      </c>
      <c r="AC270" s="1120" t="s">
        <v>2129</v>
      </c>
      <c r="AD270" s="821" t="s">
        <v>1862</v>
      </c>
      <c r="AE270" s="816">
        <f>IF(AE269=0,0,(AE263-AE267*AE268)/AE269)</f>
        <v>12.916308834165</v>
      </c>
      <c r="AF270" s="816">
        <f>IF(AF269=0,0,(AF263-AF267*AF268)/AF269)</f>
        <v>12.3931987672535</v>
      </c>
      <c r="AG270" s="816">
        <f>IF(AG269=0,0,(AG263-AG267*AG268)/AG269)</f>
        <v>12.4181445465628</v>
      </c>
      <c r="AH270" s="809">
        <f>AG270-AF270</f>
        <v>0.0249457793093004</v>
      </c>
      <c r="AI270" s="816">
        <f>IF(AI269=0,0,(AI263-AI267*AI268)/AI269)</f>
        <v>13.6349524156924</v>
      </c>
      <c r="AJ270" s="816">
        <f>IF(AJ269=0,0,(AJ263-AJ267*AJ268)/AJ269)</f>
        <v>34.7418378973998</v>
      </c>
      <c r="AK270" s="816">
        <f>IF(AK269=0,0,(AK263-AK267*AK268)/AK269)</f>
        <v>7.96511928971352</v>
      </c>
      <c r="AL270" s="824"/>
      <c r="AM270" s="810"/>
      <c r="AN270" s="810"/>
      <c r="AO270" s="810"/>
      <c r="AP270" s="1324"/>
      <c r="AQ270" s="1324"/>
      <c r="AR270" s="1070" t="s">
        <v>2130</v>
      </c>
      <c r="AS270" s="1070"/>
      <c r="AT270" s="1070"/>
      <c r="AU270" s="1067"/>
      <c r="AV270" s="1067"/>
    </row>
    <row s="1656" customFormat="1" customHeight="1" ht="14.25">
      <c r="A271" s="1324"/>
      <c r="B271" s="1324"/>
      <c r="C271" s="1324"/>
      <c r="D271" s="1324"/>
      <c r="E271" s="701">
        <v>15</v>
      </c>
      <c r="F271" s="50" cm="1" t="str">
        <f t="array" ref="F271:F271">OFFSET(E271,-1,1)</f>
        <v>2</v>
      </c>
      <c r="G271" s="583"/>
      <c r="H271" s="1324"/>
      <c r="I271" s="592" t="s">
        <v>2131</v>
      </c>
      <c r="J271" s="592"/>
      <c r="K271" s="592"/>
      <c r="L271" s="592"/>
      <c r="M271" s="592"/>
      <c r="N271" s="592"/>
      <c r="O271" s="592"/>
      <c r="P271" s="592"/>
      <c r="Q271" s="592"/>
      <c r="R271" s="592"/>
      <c r="S271" s="592"/>
      <c r="T271" s="468" cm="1" t="str">
        <f t="array" ref="T271:T271">T270</f>
        <v>true</v>
      </c>
      <c r="U271" s="1324"/>
      <c r="V271" s="1324"/>
      <c r="W271" s="1324"/>
      <c r="X271" s="1617"/>
      <c r="Y271" s="1324"/>
      <c r="Z271" s="1618"/>
      <c r="AA271" s="1324"/>
      <c r="AB271" s="814" t="s">
        <v>2132</v>
      </c>
      <c r="AC271" s="1120" t="s">
        <v>2133</v>
      </c>
      <c r="AD271" s="821" t="s">
        <v>561</v>
      </c>
      <c r="AE271" s="809">
        <f>IF(AE268=0,0,AE270/AE268*100)</f>
        <v>0</v>
      </c>
      <c r="AF271" s="809">
        <f>IF(AF268=0,0,AF270/AF268*100)</f>
        <v>0</v>
      </c>
      <c r="AG271" s="809">
        <f>IF(AG268=0,0,AG270/AG268*100)</f>
        <v>0</v>
      </c>
      <c r="AH271" s="824"/>
      <c r="AI271" s="809">
        <f>IF(AI268=0,0,AI270/AI268*100)</f>
        <v>0</v>
      </c>
      <c r="AJ271" s="809">
        <f>IF(AJ268=0,0,AJ270/AJ268*100)</f>
        <v>0</v>
      </c>
      <c r="AK271" s="809">
        <f>IF(AK268=0,0,AK270/AK268*100)</f>
        <v>0</v>
      </c>
      <c r="AL271" s="824"/>
      <c r="AM271" s="810"/>
      <c r="AN271" s="810"/>
      <c r="AO271" s="810"/>
      <c r="AP271" s="1324"/>
      <c r="AQ271" s="1324"/>
      <c r="AR271" s="1070" t="s">
        <v>2134</v>
      </c>
      <c r="AS271" s="1070"/>
      <c r="AT271" s="1070"/>
      <c r="AU271" s="1067"/>
      <c r="AV271" s="1067"/>
    </row>
    <row s="1656" customFormat="1" customHeight="1" ht="14.25">
      <c r="A272" s="1324"/>
      <c r="B272" s="1324"/>
      <c r="C272" s="1324"/>
      <c r="D272" s="1324"/>
      <c r="E272" s="701">
        <v>15</v>
      </c>
      <c r="F272" s="50" cm="1" t="str">
        <f t="array" ref="F272:F272">OFFSET(E272,-1,1)</f>
        <v>2</v>
      </c>
      <c r="G272" s="583"/>
      <c r="H272" s="1324"/>
      <c r="I272" s="592" t="s">
        <v>2135</v>
      </c>
      <c r="J272" s="592"/>
      <c r="K272" s="592"/>
      <c r="L272" s="592"/>
      <c r="M272" s="592"/>
      <c r="N272" s="592"/>
      <c r="O272" s="592"/>
      <c r="P272" s="592"/>
      <c r="Q272" s="592"/>
      <c r="R272" s="592"/>
      <c r="S272" s="592"/>
      <c r="T272" s="468" cm="1" t="str">
        <f t="array" ref="T272:T272">T271</f>
        <v>true</v>
      </c>
      <c r="U272" s="1324"/>
      <c r="V272" s="1324"/>
      <c r="W272" s="1324"/>
      <c r="X272" s="1617"/>
      <c r="Y272" s="1324"/>
      <c r="Z272" s="1618"/>
      <c r="AA272" s="1324"/>
      <c r="AB272" s="814" t="s">
        <v>2136</v>
      </c>
      <c r="AC272" s="1120" t="s">
        <v>2137</v>
      </c>
      <c r="AD272" s="821" t="s">
        <v>1862</v>
      </c>
      <c r="AE272" s="816">
        <f>IF(AE266=0,0,AE263/AE266)</f>
        <v>6.45815441708252</v>
      </c>
      <c r="AF272" s="816">
        <f>IF(AF266=0,0,AF263/AF266)</f>
        <v>6.19659938362673</v>
      </c>
      <c r="AG272" s="816">
        <f>IF(AG266=0,0,AG263/AG266)</f>
        <v>6.20907227328138</v>
      </c>
      <c r="AH272" s="809">
        <f>AG272-AF272</f>
        <v>0.0124728896546493</v>
      </c>
      <c r="AI272" s="816">
        <f>IF(AI266=0,0,AI263/AI266)</f>
        <v>6.81747620784618</v>
      </c>
      <c r="AJ272" s="816">
        <f>IF(AJ266=0,0,AJ263/AJ266)</f>
        <v>8.68545947434995</v>
      </c>
      <c r="AK272" s="816">
        <f>IF(AK266=0,0,AK263/AK266)</f>
        <v>1.99127982242838</v>
      </c>
      <c r="AL272" s="824"/>
      <c r="AM272" s="810"/>
      <c r="AN272" s="810"/>
      <c r="AO272" s="810"/>
      <c r="AP272" s="1324"/>
      <c r="AQ272" s="1324"/>
      <c r="AR272" s="1070" t="s">
        <v>2138</v>
      </c>
      <c r="AS272" s="1070"/>
      <c r="AT272" s="1070"/>
      <c r="AU272" s="1067"/>
      <c r="AV272" s="1067"/>
    </row>
    <row s="6170" customFormat="1" customHeight="1" ht="14.25">
      <c r="A273" s="593"/>
      <c r="B273" s="593"/>
      <c r="C273" s="593"/>
      <c r="D273" s="593"/>
      <c r="E273" s="703">
        <v>15</v>
      </c>
      <c r="F273" s="50" cm="1" t="str">
        <f t="array" ref="F273:F273">OFFSET(E273,-1,1)</f>
        <v>2</v>
      </c>
      <c r="G273" s="706"/>
      <c r="H273" s="593"/>
      <c r="I273" s="704" t="s">
        <v>2139</v>
      </c>
      <c r="J273" s="704"/>
      <c r="K273" s="704"/>
      <c r="L273" s="704"/>
      <c r="M273" s="704"/>
      <c r="N273" s="704"/>
      <c r="O273" s="704"/>
      <c r="P273" s="704"/>
      <c r="Q273" s="704"/>
      <c r="R273" s="704"/>
      <c r="S273" s="704"/>
      <c r="T273" s="468" cm="1" t="str">
        <f t="array" ref="T273:T273">T272</f>
        <v>true</v>
      </c>
      <c r="U273" s="593"/>
      <c r="V273" s="593"/>
      <c r="W273" s="593"/>
      <c r="X273" s="1617"/>
      <c r="Y273" s="593"/>
      <c r="Z273" s="1618"/>
      <c r="AA273" s="593"/>
      <c r="AB273" s="811" t="s">
        <v>492</v>
      </c>
      <c r="AC273" s="208" t="s">
        <v>2140</v>
      </c>
      <c r="AD273" s="819" t="s">
        <v>936</v>
      </c>
      <c r="AE273" s="1253">
        <f>IF(AE266=0,0,AE263/AE266*AE274)</f>
        <v>19983.4564276606</v>
      </c>
      <c r="AF273" s="1253">
        <f>IF(AF266=0,0,AF263/AF266*AF274)</f>
        <v>18350.5970214734</v>
      </c>
      <c r="AG273" s="1253">
        <f>IF(AG266=0,0,AG263/AG266*AG274)</f>
        <v>18387.5342119509</v>
      </c>
      <c r="AH273" s="795">
        <f>AH275*AH276+AH277*AH278</f>
        <v>0</v>
      </c>
      <c r="AI273" s="1253">
        <f>IF(AI266=0,0,AI263/AI266*AI274)</f>
        <v>19582.6614855439</v>
      </c>
      <c r="AJ273" s="1253">
        <f>IF(AJ266=0,0,AJ263/AJ266*AJ274)</f>
        <v>25721.102316421</v>
      </c>
      <c r="AK273" s="1253">
        <f>IF(AK266=0,0,AK263/AK266*AK274)</f>
        <v>5623.52477920512</v>
      </c>
      <c r="AL273" s="808">
        <f>IF(AI273=0,0,(AK273-AI273)/AI273*100)</f>
        <v>-71.2831435943656</v>
      </c>
      <c r="AM273" s="813"/>
      <c r="AN273" s="813"/>
      <c r="AO273" s="813"/>
      <c r="AP273" s="593"/>
      <c r="AQ273" s="593"/>
      <c r="AR273" s="1071" t="s">
        <v>2141</v>
      </c>
      <c r="AS273" s="1071"/>
      <c r="AT273" s="1071"/>
      <c r="AU273" s="703"/>
      <c r="AV273" s="703"/>
    </row>
    <row s="6171" customFormat="1" customHeight="1" ht="14.25">
      <c r="A274" s="593"/>
      <c r="B274" s="593"/>
      <c r="C274" s="593"/>
      <c r="D274" s="593"/>
      <c r="E274" s="703">
        <v>15</v>
      </c>
      <c r="F274" s="50" cm="1" t="str">
        <f t="array" ref="F274:F274">OFFSET(E274,-1,1)</f>
        <v>2</v>
      </c>
      <c r="G274" s="583" t="s">
        <v>1884</v>
      </c>
      <c r="H274" s="593"/>
      <c r="I274" s="704" t="s">
        <v>2142</v>
      </c>
      <c r="J274" s="704"/>
      <c r="K274" s="704"/>
      <c r="L274" s="704"/>
      <c r="M274" s="704"/>
      <c r="N274" s="704"/>
      <c r="O274" s="704"/>
      <c r="P274" s="704"/>
      <c r="Q274" s="704"/>
      <c r="R274" s="704"/>
      <c r="S274" s="704"/>
      <c r="T274" s="468" cm="1" t="str">
        <f t="array" ref="T274:T274">T273</f>
        <v>true</v>
      </c>
      <c r="U274" s="593"/>
      <c r="V274" s="593"/>
      <c r="W274" s="593"/>
      <c r="X274" s="1617"/>
      <c r="Y274" s="593"/>
      <c r="Z274" s="1618"/>
      <c r="AA274" s="593"/>
      <c r="AB274" s="811" t="s">
        <v>495</v>
      </c>
      <c r="AC274" s="208" t="s">
        <v>2143</v>
      </c>
      <c r="AD274" s="819" t="s">
        <v>657</v>
      </c>
      <c r="AE274" s="829">
        <f>_xlfn.SUMIFS(Баланс!AE$26:AE$391,Баланс!$F$26:$F$391,$F274,Баланс!$G$26:$G$391,"население")</f>
        <v>3094.29833</v>
      </c>
      <c r="AF274" s="829">
        <f>_xlfn.SUMIFS(Баланс!AF$26:AF$391,Баланс!$F$26:$F$391,$F274,Баланс!$G$26:$G$391,"население")</f>
        <v>2961.398</v>
      </c>
      <c r="AG274" s="829">
        <f>_xlfn.SUMIFS(Баланс!AG$26:AG$391,Баланс!$F$26:$F$391,$F274,Баланс!$G$26:$G$391,"население")</f>
        <v>2961.398</v>
      </c>
      <c r="AH274" s="829">
        <f>AG274-AF274</f>
        <v>0</v>
      </c>
      <c r="AI274" s="829">
        <f>_xlfn.SUMIFS(Баланс!AH$26:AH$391,Баланс!$F$26:$F$391,$F274,Баланс!$G$26:$G$391,"население")</f>
        <v>2872.42095</v>
      </c>
      <c r="AJ274" s="829">
        <f>_xlfn.SUMIFS(Баланс!AI$26:AI$391,Баланс!$F$26:$F$391,$F274,Баланс!$G$26:$G$391,"население")</f>
        <v>2961.398</v>
      </c>
      <c r="AK274" s="829">
        <f>_xlfn.SUMIFS(Баланс!AS$26:AS$391,Баланс!$F$26:$F$391,$F274,Баланс!$G$26:$G$391,"население")</f>
        <v>2824.07561</v>
      </c>
      <c r="AL274" s="830"/>
      <c r="AM274" s="813"/>
      <c r="AN274" s="813"/>
      <c r="AO274" s="813"/>
      <c r="AP274" s="593"/>
      <c r="AQ274" s="593"/>
      <c r="AR274" s="1071" t="s">
        <v>2144</v>
      </c>
      <c r="AS274" s="1071"/>
      <c r="AT274" s="1071"/>
      <c r="AU274" s="703"/>
      <c r="AV274" s="703"/>
    </row>
    <row s="1656" customFormat="1" customHeight="1" ht="14.25">
      <c r="A275" s="1324"/>
      <c r="B275" s="1324"/>
      <c r="C275" s="1324"/>
      <c r="D275" s="1324"/>
      <c r="E275" s="701">
        <v>15</v>
      </c>
      <c r="F275" s="50" cm="1" t="str">
        <f t="array" ref="F275:F275">OFFSET(E275,-1,1)</f>
        <v>2</v>
      </c>
      <c r="G275" s="583" t="s">
        <v>1918</v>
      </c>
      <c r="H275" s="1324"/>
      <c r="I275" s="592" t="s">
        <v>2145</v>
      </c>
      <c r="J275" s="592"/>
      <c r="K275" s="592"/>
      <c r="L275" s="592"/>
      <c r="M275" s="592"/>
      <c r="N275" s="592"/>
      <c r="O275" s="592"/>
      <c r="P275" s="592"/>
      <c r="Q275" s="592"/>
      <c r="R275" s="592"/>
      <c r="S275" s="592"/>
      <c r="T275" s="468" cm="1" t="str">
        <f t="array" ref="T275:T275">T274</f>
        <v>true</v>
      </c>
      <c r="U275" s="1324"/>
      <c r="V275" s="1324"/>
      <c r="W275" s="1324"/>
      <c r="X275" s="1617"/>
      <c r="Y275" s="1324"/>
      <c r="Z275" s="1618"/>
      <c r="AA275" s="1324"/>
      <c r="AB275" s="814" t="s">
        <v>2146</v>
      </c>
      <c r="AC275" s="1120" t="s">
        <v>2147</v>
      </c>
      <c r="AD275" s="821" t="s">
        <v>657</v>
      </c>
      <c r="AE275" s="831">
        <f>IF(AE$24="2026 год",AE274/12*9,AE274/2)</f>
        <v>1547.149165</v>
      </c>
      <c r="AF275" s="831">
        <f>IF(AF$24="2026 год",AF274/12*9,AF274/2)</f>
        <v>1480.699</v>
      </c>
      <c r="AG275" s="831">
        <f>IF(AG$24="2026 год",AG274/12*9,AG274/2)</f>
        <v>1480.699</v>
      </c>
      <c r="AH275" s="832">
        <f>AG275-AF275</f>
        <v>0</v>
      </c>
      <c r="AI275" s="831">
        <f>IF(AI$24="2026 год",AI274/12*9,AI274/2)</f>
        <v>1436.210475</v>
      </c>
      <c r="AJ275" s="831">
        <f>IF(AJ$24="2026 год",AJ274/12*9,AJ274/2)</f>
        <v>2221.0485</v>
      </c>
      <c r="AK275" s="831">
        <f>IF(AK$24="2026 год",AK274/12*9,AK274/2)</f>
        <v>2118.0567075</v>
      </c>
      <c r="AL275" s="824"/>
      <c r="AM275" s="810"/>
      <c r="AN275" s="810"/>
      <c r="AO275" s="810"/>
      <c r="AP275" s="1324"/>
      <c r="AQ275" s="1324"/>
      <c r="AR275" s="1070" t="s">
        <v>2148</v>
      </c>
      <c r="AS275" s="1070"/>
      <c r="AT275" s="1070"/>
      <c r="AU275" s="1067"/>
      <c r="AV275" s="1067"/>
    </row>
    <row s="1656" customFormat="1" customHeight="1" ht="14.25">
      <c r="A276" s="1324"/>
      <c r="B276" s="1324"/>
      <c r="C276" s="1324"/>
      <c r="D276" s="1324"/>
      <c r="E276" s="701">
        <v>15</v>
      </c>
      <c r="F276" s="50" cm="1" t="str">
        <f t="array" ref="F276:F276">OFFSET(E276,-1,1)</f>
        <v>2</v>
      </c>
      <c r="G276" s="583" t="s">
        <v>1874</v>
      </c>
      <c r="H276" s="1324"/>
      <c r="I276" s="592" t="s">
        <v>2149</v>
      </c>
      <c r="J276" s="592"/>
      <c r="K276" s="592"/>
      <c r="L276" s="592"/>
      <c r="M276" s="592"/>
      <c r="N276" s="592"/>
      <c r="O276" s="592"/>
      <c r="P276" s="592"/>
      <c r="Q276" s="592"/>
      <c r="R276" s="592"/>
      <c r="S276" s="592"/>
      <c r="T276" s="468" cm="1" t="str">
        <f t="array" ref="T276:T276">T275</f>
        <v>true</v>
      </c>
      <c r="U276" s="1324"/>
      <c r="V276" s="1324"/>
      <c r="W276" s="1324"/>
      <c r="X276" s="1617"/>
      <c r="Y276" s="1324"/>
      <c r="Z276" s="1618"/>
      <c r="AA276" s="1324"/>
      <c r="AB276" s="814" t="s">
        <v>2150</v>
      </c>
      <c r="AC276" s="1120" t="s">
        <v>2151</v>
      </c>
      <c r="AD276" s="821" t="s">
        <v>1862</v>
      </c>
      <c r="AE276" s="1385">
        <f>IF(AE274=0,0,AE268*(1+Сценарии!AE$26/100))</f>
        <v>0</v>
      </c>
      <c r="AF276" s="1385">
        <f>IF(AF274=0,0,AF268*(1+Сценарии!AF$26/100))</f>
        <v>0</v>
      </c>
      <c r="AG276" s="1385">
        <f>IF(AG274=0,0,AG268*(1+Сценарии!AG$26/100))</f>
        <v>0</v>
      </c>
      <c r="AH276" s="809">
        <f>AG276-AF276</f>
        <v>0</v>
      </c>
      <c r="AI276" s="1385">
        <f>IF(AI274=0,0,AI268*(1+Сценарии!AI$26/100))</f>
        <v>0</v>
      </c>
      <c r="AJ276" s="1385">
        <f>IF(AJ274=0,0,AJ268*(1+Сценарии!AJ$26/100))</f>
        <v>0</v>
      </c>
      <c r="AK276" s="1385">
        <f>IF(AK274=0,0,AK268*(1+Сценарии!AK$26/100))</f>
        <v>0</v>
      </c>
      <c r="AL276" s="824"/>
      <c r="AM276" s="810"/>
      <c r="AN276" s="810"/>
      <c r="AO276" s="810"/>
      <c r="AP276" s="1324"/>
      <c r="AQ276" s="1324"/>
      <c r="AR276" s="1070" t="s">
        <v>2152</v>
      </c>
      <c r="AS276" s="1070"/>
      <c r="AT276" s="1070"/>
      <c r="AU276" s="1067"/>
      <c r="AV276" s="1067"/>
    </row>
    <row s="1656" customFormat="1" customHeight="1" ht="14.25">
      <c r="A277" s="1324"/>
      <c r="B277" s="1324"/>
      <c r="C277" s="1324"/>
      <c r="D277" s="1324"/>
      <c r="E277" s="701">
        <v>15</v>
      </c>
      <c r="F277" s="50" cm="1" t="str">
        <f t="array" ref="F277:F277">OFFSET(E277,-1,1)</f>
        <v>2</v>
      </c>
      <c r="G277" s="583" t="s">
        <v>1925</v>
      </c>
      <c r="H277" s="1324"/>
      <c r="I277" s="592" t="s">
        <v>2153</v>
      </c>
      <c r="J277" s="592"/>
      <c r="K277" s="592"/>
      <c r="L277" s="592"/>
      <c r="M277" s="592"/>
      <c r="N277" s="592"/>
      <c r="O277" s="592"/>
      <c r="P277" s="592"/>
      <c r="Q277" s="592"/>
      <c r="R277" s="592"/>
      <c r="S277" s="592"/>
      <c r="T277" s="468" cm="1" t="str">
        <f t="array" ref="T277:T277">T276</f>
        <v>true</v>
      </c>
      <c r="U277" s="1324"/>
      <c r="V277" s="1324"/>
      <c r="W277" s="1324"/>
      <c r="X277" s="1617"/>
      <c r="Y277" s="1324"/>
      <c r="Z277" s="1618"/>
      <c r="AA277" s="1324"/>
      <c r="AB277" s="814" t="s">
        <v>2154</v>
      </c>
      <c r="AC277" s="1120" t="s">
        <v>2125</v>
      </c>
      <c r="AD277" s="821" t="s">
        <v>657</v>
      </c>
      <c r="AE277" s="832">
        <f>AE274-AE275</f>
        <v>1547.149165</v>
      </c>
      <c r="AF277" s="832">
        <f>AF274-AF275</f>
        <v>1480.699</v>
      </c>
      <c r="AG277" s="832">
        <f>AG274-AG275</f>
        <v>1480.699</v>
      </c>
      <c r="AH277" s="832">
        <f>AG277-AF277</f>
        <v>0</v>
      </c>
      <c r="AI277" s="832">
        <f>AI274-AI275</f>
        <v>1436.210475</v>
      </c>
      <c r="AJ277" s="832">
        <f>AJ274-AJ275</f>
        <v>740.3495</v>
      </c>
      <c r="AK277" s="832">
        <f>AK274-AK275</f>
        <v>706.0189025</v>
      </c>
      <c r="AL277" s="824"/>
      <c r="AM277" s="810"/>
      <c r="AN277" s="810"/>
      <c r="AO277" s="810"/>
      <c r="AP277" s="1324"/>
      <c r="AQ277" s="1324"/>
      <c r="AR277" s="1070" t="s">
        <v>2155</v>
      </c>
      <c r="AS277" s="1070"/>
      <c r="AT277" s="1070"/>
      <c r="AU277" s="1067"/>
      <c r="AV277" s="1067"/>
    </row>
    <row s="1656" customFormat="1" customHeight="1" ht="14.25">
      <c r="A278" s="1324"/>
      <c r="B278" s="1324"/>
      <c r="C278" s="1324"/>
      <c r="D278" s="1324"/>
      <c r="E278" s="701">
        <v>15</v>
      </c>
      <c r="F278" s="50" cm="1" t="str">
        <f t="array" ref="F278:F278">OFFSET(E278,-1,1)</f>
        <v>2</v>
      </c>
      <c r="G278" s="583" t="s">
        <v>1878</v>
      </c>
      <c r="H278" s="1324"/>
      <c r="I278" s="592" t="s">
        <v>2156</v>
      </c>
      <c r="J278" s="592"/>
      <c r="K278" s="592"/>
      <c r="L278" s="592"/>
      <c r="M278" s="592"/>
      <c r="N278" s="592"/>
      <c r="O278" s="592"/>
      <c r="P278" s="592"/>
      <c r="Q278" s="592"/>
      <c r="R278" s="592"/>
      <c r="S278" s="592"/>
      <c r="T278" s="468" cm="1" t="str">
        <f t="array" ref="T278:T278">T277</f>
        <v>true</v>
      </c>
      <c r="U278" s="1324"/>
      <c r="V278" s="1324"/>
      <c r="W278" s="1324"/>
      <c r="X278" s="1617"/>
      <c r="Y278" s="1324"/>
      <c r="Z278" s="1618"/>
      <c r="AA278" s="1324"/>
      <c r="AB278" s="814" t="s">
        <v>2157</v>
      </c>
      <c r="AC278" s="1120" t="s">
        <v>2158</v>
      </c>
      <c r="AD278" s="821" t="s">
        <v>1862</v>
      </c>
      <c r="AE278" s="816">
        <f>IF(AE274=0,0,AE270*(1+Сценарии!AE$26/100))</f>
        <v>12.916308834165</v>
      </c>
      <c r="AF278" s="816">
        <f>IF(AF274=0,0,AF270*(1+Сценарии!AF$26/100))</f>
        <v>12.3931987672535</v>
      </c>
      <c r="AG278" s="816">
        <f>IF(AG274=0,0,AG270*(1+Сценарии!AG$26/100))</f>
        <v>12.4181445465628</v>
      </c>
      <c r="AH278" s="809">
        <f>AG278-AF278</f>
        <v>0.0249457793093004</v>
      </c>
      <c r="AI278" s="816">
        <f>IF(AI274=0,0,AI270*(1+Сценарии!AI$26/100))</f>
        <v>13.6349524156924</v>
      </c>
      <c r="AJ278" s="816">
        <f>IF(AJ274=0,0,AJ270*(1+Сценарии!AJ$26/100))</f>
        <v>34.7418378973998</v>
      </c>
      <c r="AK278" s="816">
        <f>IF(AK274=0,0,AK270*(1+Сценарии!AK$26/100))</f>
        <v>7.96511928971352</v>
      </c>
      <c r="AL278" s="824"/>
      <c r="AM278" s="810"/>
      <c r="AN278" s="810"/>
      <c r="AO278" s="810"/>
      <c r="AP278" s="1324"/>
      <c r="AQ278" s="1324"/>
      <c r="AR278" s="1070" t="s">
        <v>2159</v>
      </c>
      <c r="AS278" s="1070"/>
      <c r="AT278" s="1070"/>
      <c r="AU278" s="1067"/>
      <c r="AV278" s="1067"/>
    </row>
    <row s="1656" customFormat="1" customHeight="1" ht="14.25">
      <c r="A279" s="1324"/>
      <c r="B279" s="1324"/>
      <c r="C279" s="1324"/>
      <c r="D279" s="1324"/>
      <c r="E279" s="701">
        <v>15</v>
      </c>
      <c r="F279" s="50" cm="1" t="str">
        <f t="array" ref="F279:F279">OFFSET(E279,-1,1)</f>
        <v>2</v>
      </c>
      <c r="G279" s="583"/>
      <c r="H279" s="1324"/>
      <c r="I279" s="592"/>
      <c r="J279" s="592"/>
      <c r="K279" s="592"/>
      <c r="L279" s="592"/>
      <c r="M279" s="592"/>
      <c r="N279" s="592"/>
      <c r="O279" s="592"/>
      <c r="P279" s="592"/>
      <c r="Q279" s="592"/>
      <c r="R279" s="592"/>
      <c r="S279" s="592"/>
      <c r="T279" s="468" cm="1" t="str">
        <f t="array" ref="T279:T279">T278</f>
        <v>true</v>
      </c>
      <c r="U279" s="1324"/>
      <c r="V279" s="1324"/>
      <c r="W279" s="1324"/>
      <c r="X279" s="1617"/>
      <c r="Y279" s="1324"/>
      <c r="Z279" s="1618"/>
      <c r="AA279" s="1324"/>
      <c r="AB279" s="214" t="s">
        <v>498</v>
      </c>
      <c r="AC279" s="208" t="s">
        <v>2160</v>
      </c>
      <c r="AD279" s="207" t="s">
        <v>936</v>
      </c>
      <c r="AE279" s="816"/>
      <c r="AF279" s="816"/>
      <c r="AG279" s="816"/>
      <c r="AH279" s="809">
        <f>AG279-AF279</f>
        <v>0</v>
      </c>
      <c r="AI279" s="816"/>
      <c r="AJ279" s="816"/>
      <c r="AK279" s="816"/>
      <c r="AL279" s="824"/>
      <c r="AM279" s="810"/>
      <c r="AN279" s="810"/>
      <c r="AO279" s="810"/>
      <c r="AP279" s="1324"/>
      <c r="AQ279" s="1324"/>
      <c r="AR279" s="1070" t="s">
        <v>2161</v>
      </c>
      <c r="AS279" s="1070"/>
      <c r="AT279" s="1070"/>
      <c r="AU279" s="1067"/>
      <c r="AV279" s="1067"/>
    </row>
    <row s="1656" customFormat="1" customHeight="1" ht="21.75">
      <c r="A280" s="1324"/>
      <c r="B280" s="1324"/>
      <c r="C280" s="1324"/>
      <c r="D280" s="1324"/>
      <c r="E280" s="701">
        <v>22.5</v>
      </c>
      <c r="F280" s="50" cm="1" t="str">
        <f t="array" ref="F280:F280">OFFSET(E280,-1,1)</f>
        <v>2</v>
      </c>
      <c r="G280" s="583"/>
      <c r="H280" s="1324"/>
      <c r="I280" s="592"/>
      <c r="J280" s="592"/>
      <c r="K280" s="592"/>
      <c r="L280" s="592"/>
      <c r="M280" s="592"/>
      <c r="N280" s="592"/>
      <c r="O280" s="592"/>
      <c r="P280" s="592"/>
      <c r="Q280" s="592"/>
      <c r="R280" s="592"/>
      <c r="S280" s="592"/>
      <c r="T280" s="468" cm="1" t="str">
        <f t="array" ref="T280:T280">T279</f>
        <v>true</v>
      </c>
      <c r="U280" s="1324"/>
      <c r="V280" s="1324"/>
      <c r="W280" s="1324"/>
      <c r="X280" s="1617"/>
      <c r="Y280" s="1324"/>
      <c r="Z280" s="1618"/>
      <c r="AA280" s="1324"/>
      <c r="AB280" s="295" t="s">
        <v>2162</v>
      </c>
      <c r="AC280" s="769" t="s">
        <v>2163</v>
      </c>
      <c r="AD280" s="296" t="s">
        <v>936</v>
      </c>
      <c r="AE280" s="816"/>
      <c r="AF280" s="816"/>
      <c r="AG280" s="816"/>
      <c r="AH280" s="809">
        <f>AG280-AF280</f>
        <v>0</v>
      </c>
      <c r="AI280" s="816"/>
      <c r="AJ280" s="816"/>
      <c r="AK280" s="816"/>
      <c r="AL280" s="824"/>
      <c r="AM280" s="810"/>
      <c r="AN280" s="810"/>
      <c r="AO280" s="810"/>
      <c r="AP280" s="1324"/>
      <c r="AQ280" s="1324"/>
      <c r="AR280" s="1070" t="s">
        <v>2164</v>
      </c>
      <c r="AS280" s="1070"/>
      <c r="AT280" s="1070"/>
      <c r="AU280" s="1067"/>
      <c r="AV280" s="1067"/>
    </row>
    <row s="1656" customFormat="1" customHeight="1" ht="69.75">
      <c r="A281" s="1324"/>
      <c r="B281" s="1324"/>
      <c r="C281" s="1324"/>
      <c r="D281" s="1324"/>
      <c r="E281" s="701">
        <v>72</v>
      </c>
      <c r="F281" s="50" cm="1" t="str">
        <f t="array" ref="F281:F281">OFFSET(E281,-1,1)</f>
        <v>2</v>
      </c>
      <c r="G281" s="583"/>
      <c r="H281" s="1324"/>
      <c r="I281" s="592"/>
      <c r="J281" s="592"/>
      <c r="K281" s="592"/>
      <c r="L281" s="592"/>
      <c r="M281" s="592"/>
      <c r="N281" s="592"/>
      <c r="O281" s="592"/>
      <c r="P281" s="592"/>
      <c r="Q281" s="592"/>
      <c r="R281" s="592"/>
      <c r="S281" s="592"/>
      <c r="T281" s="468" cm="1" t="str">
        <f t="array" ref="T281:T281">T280</f>
        <v>true</v>
      </c>
      <c r="U281" s="1324"/>
      <c r="V281" s="1324"/>
      <c r="W281" s="1324"/>
      <c r="X281" s="1617"/>
      <c r="Y281" s="1324"/>
      <c r="Z281" s="1618"/>
      <c r="AA281" s="1324"/>
      <c r="AB281" s="295" t="s">
        <v>2165</v>
      </c>
      <c r="AC281" s="769" t="s">
        <v>2166</v>
      </c>
      <c r="AD281" s="296" t="s">
        <v>936</v>
      </c>
      <c r="AE281" s="816"/>
      <c r="AF281" s="816"/>
      <c r="AG281" s="816"/>
      <c r="AH281" s="809">
        <f>AG281-AF281</f>
        <v>0</v>
      </c>
      <c r="AI281" s="816"/>
      <c r="AJ281" s="816"/>
      <c r="AK281" s="816"/>
      <c r="AL281" s="824"/>
      <c r="AM281" s="810"/>
      <c r="AN281" s="810"/>
      <c r="AO281" s="810"/>
      <c r="AP281" s="1324"/>
      <c r="AQ281" s="1324"/>
      <c r="AR281" s="1070" t="s">
        <v>2167</v>
      </c>
      <c r="AS281" s="1070"/>
      <c r="AT281" s="1070"/>
      <c r="AU281" s="1067"/>
      <c r="AV281" s="1067"/>
    </row>
    <row s="1656" customFormat="1" customHeight="1" ht="14.25">
      <c r="A282" s="1324"/>
      <c r="B282" s="1324"/>
      <c r="C282" s="1324"/>
      <c r="D282" s="1324"/>
      <c r="E282" s="701">
        <v>15</v>
      </c>
      <c r="F282" s="584" cm="1" t="str">
        <f t="array" ref="F282:F282">X282</f>
        <v>3</v>
      </c>
      <c r="G282" s="702" cm="1" t="str">
        <f t="array" ref="G282:G282">INDEX('Общие сведения'!$AK$197:$AK$254,MATCH($X282,'Общие сведения'!$Z$197:$Z$254,0))</f>
        <v>одноставочный</v>
      </c>
      <c r="H282" s="1324"/>
      <c r="I282" s="1324"/>
      <c r="J282" s="1324"/>
      <c r="K282" s="1324"/>
      <c r="L282" s="1324"/>
      <c r="M282" s="1324"/>
      <c r="N282" s="1324"/>
      <c r="O282" s="1324"/>
      <c r="P282" s="1324"/>
      <c r="Q282" s="1324"/>
      <c r="R282" s="1324"/>
      <c r="S282" s="1324"/>
      <c r="T282" s="468">
        <f>X282&gt;0</f>
        <v>1</v>
      </c>
      <c r="U282" s="1324"/>
      <c r="V282" s="700" cm="1" t="str">
        <f t="array" ref="V282:V282">ТМ!$AD$242</f>
        <v>Тариф 3 (Водоотведение) - тариф на водоотведение (Оказание услуг на территории: город Полысаево (ОКТМО: 32732000) - г Полысаево)</v>
      </c>
      <c r="W282" s="1324"/>
      <c r="X282" s="1617" t="s">
        <v>234</v>
      </c>
      <c r="Y282" s="1324"/>
      <c r="Z282" s="1618"/>
      <c r="AA282" s="1324"/>
      <c r="AB282" s="1246" cm="1" t="str">
        <f t="array" ref="AB282:AB282">ТМ!$AD$242</f>
        <v>Тариф 3 (Водоотведение) - тариф на водоотведение (Оказание услуг на территории: город Полысаево (ОКТМО: 32732000) - г Полысаево)</v>
      </c>
      <c r="AC282" s="591"/>
      <c r="AD282" s="591"/>
      <c r="AE282" s="591"/>
      <c r="AF282" s="591"/>
      <c r="AG282" s="591"/>
      <c r="AH282" s="591"/>
      <c r="AI282" s="591"/>
      <c r="AJ282" s="591"/>
      <c r="AK282" s="591"/>
      <c r="AL282" s="591"/>
      <c r="AM282" s="591"/>
      <c r="AN282" s="591"/>
      <c r="AO282" s="591"/>
      <c r="AP282" s="1324"/>
      <c r="AQ282" s="1324"/>
      <c r="AR282" s="1070"/>
      <c r="AS282" s="1070"/>
      <c r="AT282" s="1070"/>
      <c r="AU282" s="1067"/>
      <c r="AV282" s="1067"/>
    </row>
    <row s="1656" customFormat="1" customHeight="1" ht="14.25">
      <c r="A283" s="1324"/>
      <c r="B283" s="1324"/>
      <c r="C283" s="1324"/>
      <c r="D283" s="1324"/>
      <c r="E283" s="701">
        <v>15</v>
      </c>
      <c r="F283" s="50" cm="1" t="str">
        <f t="array" ref="F283:F283">OFFSET(E283,-1,1)</f>
        <v>3</v>
      </c>
      <c r="G283" s="1324"/>
      <c r="H283" s="1324"/>
      <c r="I283" s="592" t="s">
        <v>344</v>
      </c>
      <c r="J283" s="592"/>
      <c r="K283" s="592"/>
      <c r="L283" s="592"/>
      <c r="M283" s="592"/>
      <c r="N283" s="592"/>
      <c r="O283" s="592"/>
      <c r="P283" s="592"/>
      <c r="Q283" s="592"/>
      <c r="R283" s="592"/>
      <c r="S283" s="592"/>
      <c r="T283" s="468" cm="1" t="str">
        <f t="array" ref="T283:T283">T282</f>
        <v>true</v>
      </c>
      <c r="U283" s="1324"/>
      <c r="V283" s="1324"/>
      <c r="W283" s="1324"/>
      <c r="X283" s="1617"/>
      <c r="Y283" s="1324"/>
      <c r="Z283" s="1618"/>
      <c r="AA283" s="1324"/>
      <c r="AB283" s="806" t="s">
        <v>290</v>
      </c>
      <c r="AC283" s="807" t="s">
        <v>1972</v>
      </c>
      <c r="AD283" s="766" t="s">
        <v>936</v>
      </c>
      <c r="AE283" s="808">
        <f>AE284+AE288+AE298+AE299+AE302+AE303+AE304</f>
        <v>5618.414</v>
      </c>
      <c r="AF283" s="808">
        <f>AF284+AF288+AF298+AF299+AF302+AF303+AF304</f>
        <v>6367.79</v>
      </c>
      <c r="AG283" s="808">
        <f>AG284+AG288+AG298+AG299+AG302+AG303+AG304</f>
        <v>4503.607732016</v>
      </c>
      <c r="AH283" s="808">
        <f>AG283-AF283</f>
        <v>-1864.182267984</v>
      </c>
      <c r="AI283" s="808">
        <f>AI284+AI288+AI298+AI299+AI302+AI303+AI304</f>
        <v>6103.59</v>
      </c>
      <c r="AJ283" s="808">
        <f>AJ284+AJ288+AJ298+AJ299+AJ302+AJ303+AJ304</f>
        <v>6618.24</v>
      </c>
      <c r="AK283" s="808">
        <f>AK284+AK288+AK298+AK299+AK302+AK303+AK304</f>
        <v>6876.7</v>
      </c>
      <c r="AL283" s="809">
        <f>IF(AI283=0,0,(AK283-AI283)/AI283*100)</f>
        <v>12.6664798913426</v>
      </c>
      <c r="AM283" s="810"/>
      <c r="AN283" s="917"/>
      <c r="AO283" s="810"/>
      <c r="AP283" s="1324"/>
      <c r="AQ283" s="1324"/>
      <c r="AR283" s="1070" t="s">
        <v>621</v>
      </c>
      <c r="AS283" s="1070"/>
      <c r="AT283" s="1070"/>
      <c r="AU283" s="1067"/>
      <c r="AV283" s="1067"/>
    </row>
    <row s="6172" customFormat="1" customHeight="1" ht="21.75">
      <c r="A284" s="593"/>
      <c r="B284" s="593"/>
      <c r="C284" s="593"/>
      <c r="D284" s="593"/>
      <c r="E284" s="703">
        <v>22.5</v>
      </c>
      <c r="F284" s="50" cm="1" t="str">
        <f t="array" ref="F284:F284">OFFSET(E284,-1,1)</f>
        <v>3</v>
      </c>
      <c r="G284" s="593"/>
      <c r="H284" s="593"/>
      <c r="I284" s="704" t="s">
        <v>566</v>
      </c>
      <c r="J284" s="704"/>
      <c r="K284" s="704"/>
      <c r="L284" s="704"/>
      <c r="M284" s="704"/>
      <c r="N284" s="704"/>
      <c r="O284" s="704"/>
      <c r="P284" s="704"/>
      <c r="Q284" s="704"/>
      <c r="R284" s="704"/>
      <c r="S284" s="704"/>
      <c r="T284" s="468" cm="1" t="str">
        <f t="array" ref="T284:T284">T283</f>
        <v>true</v>
      </c>
      <c r="U284" s="593"/>
      <c r="V284" s="593"/>
      <c r="W284" s="593"/>
      <c r="X284" s="1617"/>
      <c r="Y284" s="593"/>
      <c r="Z284" s="1618"/>
      <c r="AA284" s="593"/>
      <c r="AB284" s="811" t="s">
        <v>1067</v>
      </c>
      <c r="AC284" s="812" t="s">
        <v>1973</v>
      </c>
      <c r="AD284" s="595" t="s">
        <v>936</v>
      </c>
      <c r="AE284" s="808">
        <f>SUM(AE285:AE287)</f>
        <v>0</v>
      </c>
      <c r="AF284" s="808">
        <f>SUM(AF285:AF287)</f>
        <v>0</v>
      </c>
      <c r="AG284" s="808">
        <f>SUM(AG285:AG287)</f>
        <v>0</v>
      </c>
      <c r="AH284" s="808">
        <f>AG284-AF284</f>
        <v>0</v>
      </c>
      <c r="AI284" s="808">
        <f>SUM(AI285:AI287)</f>
        <v>0</v>
      </c>
      <c r="AJ284" s="808">
        <f>SUM(AJ285:AJ287)</f>
        <v>0</v>
      </c>
      <c r="AK284" s="808">
        <f>SUM(AK285:AK287)</f>
        <v>0</v>
      </c>
      <c r="AL284" s="808">
        <f>IF(AI284=0,0,(AK284-AI284)/AI284*100)</f>
        <v>0</v>
      </c>
      <c r="AM284" s="813"/>
      <c r="AN284" s="813"/>
      <c r="AO284" s="813"/>
      <c r="AP284" s="593"/>
      <c r="AQ284" s="593"/>
      <c r="AR284" s="1071" t="s">
        <v>1974</v>
      </c>
      <c r="AS284" s="1071"/>
      <c r="AT284" s="1071"/>
      <c r="AU284" s="703"/>
      <c r="AV284" s="703"/>
    </row>
    <row s="1656" customFormat="1" customHeight="1" ht="14.25">
      <c r="A285" s="1324"/>
      <c r="B285" s="1324"/>
      <c r="C285" s="1324"/>
      <c r="D285" s="1324"/>
      <c r="E285" s="701">
        <v>15</v>
      </c>
      <c r="F285" s="50" cm="1" t="str">
        <f t="array" ref="F285:F285">OFFSET(E285,-1,1)</f>
        <v>3</v>
      </c>
      <c r="G285" s="1324"/>
      <c r="H285" s="1324"/>
      <c r="I285" s="592" t="s">
        <v>1197</v>
      </c>
      <c r="J285" s="592"/>
      <c r="K285" s="592"/>
      <c r="L285" s="592"/>
      <c r="M285" s="592"/>
      <c r="N285" s="592"/>
      <c r="O285" s="592"/>
      <c r="P285" s="592"/>
      <c r="Q285" s="592"/>
      <c r="R285" s="592"/>
      <c r="S285" s="592"/>
      <c r="T285" s="468" cm="1" t="str">
        <f t="array" ref="T285:T285">T284</f>
        <v>true</v>
      </c>
      <c r="U285" s="1324"/>
      <c r="V285" s="1324"/>
      <c r="W285" s="1324"/>
      <c r="X285" s="1617"/>
      <c r="Y285" s="1324"/>
      <c r="Z285" s="1618"/>
      <c r="AA285" s="1324"/>
      <c r="AB285" s="814" t="s">
        <v>1198</v>
      </c>
      <c r="AC285" s="815" t="s">
        <v>1975</v>
      </c>
      <c r="AD285" s="766" t="s">
        <v>936</v>
      </c>
      <c r="AE285" s="809">
        <f>_xlfn.SUMIFS('Сырье и материалы'!AE$25:AE$111,'Сырье и материалы'!$F$25:$F$111,$F285,'Сырье и материалы'!$I$25:$I$111,"Реагенты")</f>
        <v>0</v>
      </c>
      <c r="AF285" s="809">
        <f>_xlfn.SUMIFS('Сырье и материалы'!AF$25:AF$111,'Сырье и материалы'!$F$25:$F$111,$F285,'Сырье и материалы'!$I$25:$I$111,"Реагенты")</f>
        <v>0</v>
      </c>
      <c r="AG285" s="809">
        <f>_xlfn.SUMIFS('Сырье и материалы'!AG$25:AG$111,'Сырье и материалы'!$F$25:$F$111,$F285,'Сырье и материалы'!$I$25:$I$111,"Реагенты")</f>
        <v>0</v>
      </c>
      <c r="AH285" s="809">
        <f>AG285-AF285</f>
        <v>0</v>
      </c>
      <c r="AI285" s="809">
        <f>_xlfn.SUMIFS('Сырье и материалы'!AH$25:AH$111,'Сырье и материалы'!$F$25:$F$111,$F285,'Сырье и материалы'!$I$25:$I$111,"Реагенты")</f>
        <v>0</v>
      </c>
      <c r="AJ285" s="809">
        <f>_xlfn.SUMIFS('Сырье и материалы'!AI$25:AI$111,'Сырье и материалы'!$F$25:$F$111,$F285,'Сырье и материалы'!$I$25:$I$111,"Реагенты")</f>
        <v>0</v>
      </c>
      <c r="AK285" s="809">
        <f>_xlfn.SUMIFS('Сырье и материалы'!AS$25:AS$111,'Сырье и материалы'!$F$25:$F$111,$F285,'Сырье и материалы'!$I$25:$I$111,"Реагенты")</f>
        <v>0</v>
      </c>
      <c r="AL285" s="809">
        <f>IF(AI285=0,0,(AK285-AI285)/AI285*100)</f>
        <v>0</v>
      </c>
      <c r="AM285" s="810"/>
      <c r="AN285" s="917" t="str">
        <f>IF(_xlfn.IFERROR(INDEX('Сырье и материалы'!$K$26:$L$111,MATCH($F285&amp;"komm",'Сырье и материалы'!$K$26:$K$111,0),2),"")=0,"",_xlfn.IFERROR(INDEX('Сырье и материалы'!$K$26:$L$111,MATCH($F285&amp;"komm",'Сырье и материалы'!$K$26:$K$111,0),2),""))</f>
        <v/>
      </c>
      <c r="AO285" s="810"/>
      <c r="AP285" s="1324"/>
      <c r="AQ285" s="1324"/>
      <c r="AR285" s="1070" t="s">
        <v>1976</v>
      </c>
      <c r="AS285" s="1070"/>
      <c r="AT285" s="1070"/>
      <c r="AU285" s="1067"/>
      <c r="AV285" s="1067"/>
    </row>
    <row s="1656" customFormat="1" customHeight="1" ht="14.25">
      <c r="A286" s="1324"/>
      <c r="B286" s="1324"/>
      <c r="C286" s="1324"/>
      <c r="D286" s="1324"/>
      <c r="E286" s="701">
        <v>15</v>
      </c>
      <c r="F286" s="50" cm="1" t="str">
        <f t="array" ref="F286:F286">OFFSET(E286,-1,1)</f>
        <v>3</v>
      </c>
      <c r="G286" s="1324"/>
      <c r="H286" s="1324"/>
      <c r="I286" s="592" t="s">
        <v>1201</v>
      </c>
      <c r="J286" s="592"/>
      <c r="K286" s="592"/>
      <c r="L286" s="592"/>
      <c r="M286" s="592"/>
      <c r="N286" s="592"/>
      <c r="O286" s="592"/>
      <c r="P286" s="592"/>
      <c r="Q286" s="592"/>
      <c r="R286" s="592"/>
      <c r="S286" s="592"/>
      <c r="T286" s="468" cm="1" t="str">
        <f t="array" ref="T286:T286">T285</f>
        <v>true</v>
      </c>
      <c r="U286" s="1324"/>
      <c r="V286" s="1324"/>
      <c r="W286" s="1324"/>
      <c r="X286" s="1617"/>
      <c r="Y286" s="1324"/>
      <c r="Z286" s="1618"/>
      <c r="AA286" s="1324"/>
      <c r="AB286" s="814" t="s">
        <v>1202</v>
      </c>
      <c r="AC286" s="815" t="s">
        <v>1977</v>
      </c>
      <c r="AD286" s="766" t="s">
        <v>936</v>
      </c>
      <c r="AE286" s="6051">
        <f>_xlfn.SUMIFS('Сырье и материалы'!AE$25:AE$111,'Сырье и материалы'!$F$25:$F$111,$F286,'Сырье и материалы'!$I$25:$I$111,"Горюче-смазочные материалы")</f>
        <v>0</v>
      </c>
      <c r="AF286" s="6051">
        <f>_xlfn.SUMIFS('Сырье и материалы'!AF$25:AF$111,'Сырье и материалы'!$F$25:$F$111,$F286,'Сырье и материалы'!$I$25:$I$111,"Горюче-смазочные материалы")</f>
        <v>0</v>
      </c>
      <c r="AG286" s="6051">
        <f>_xlfn.SUMIFS('Сырье и материалы'!AG$25:AG$111,'Сырье и материалы'!$F$25:$F$111,$F286,'Сырье и материалы'!$I$25:$I$111,"Горюче-смазочные материалы")</f>
        <v>0</v>
      </c>
      <c r="AH286" s="809">
        <f>AG286-AF286</f>
        <v>0</v>
      </c>
      <c r="AI286" s="6051">
        <f>_xlfn.SUMIFS('Сырье и материалы'!AH$25:AH$111,'Сырье и материалы'!$F$25:$F$111,$F286,'Сырье и материалы'!$I$25:$I$111,"Горюче-смазочные материалы")</f>
        <v>0</v>
      </c>
      <c r="AJ286" s="6051">
        <f>_xlfn.SUMIFS('Сырье и материалы'!AI$25:AI$111,'Сырье и материалы'!$F$25:$F$111,$F286,'Сырье и материалы'!$I$25:$I$111,"Горюче-смазочные материалы")</f>
        <v>0</v>
      </c>
      <c r="AK286" s="6051">
        <f>_xlfn.SUMIFS('Сырье и материалы'!AS$25:AS$111,'Сырье и материалы'!$F$25:$F$111,$F286,'Сырье и материалы'!$I$25:$I$111,"Горюче-смазочные материалы")</f>
        <v>0</v>
      </c>
      <c r="AL286" s="809">
        <f>IF(AI286=0,0,(AK286-AI286)/AI286*100)</f>
        <v>0</v>
      </c>
      <c r="AM286" s="810"/>
      <c r="AN286" s="810"/>
      <c r="AO286" s="810"/>
      <c r="AP286" s="1324"/>
      <c r="AQ286" s="1324"/>
      <c r="AR286" s="1070" t="s">
        <v>1978</v>
      </c>
      <c r="AS286" s="1070"/>
      <c r="AT286" s="1070"/>
      <c r="AU286" s="1067"/>
      <c r="AV286" s="1067"/>
    </row>
    <row s="1656" customFormat="1" customHeight="1" ht="14.25">
      <c r="A287" s="1324"/>
      <c r="B287" s="1324"/>
      <c r="C287" s="1324"/>
      <c r="D287" s="1324"/>
      <c r="E287" s="701">
        <v>15</v>
      </c>
      <c r="F287" s="50" cm="1" t="str">
        <f t="array" ref="F287:F287">OFFSET(E287,-1,1)</f>
        <v>3</v>
      </c>
      <c r="G287" s="1324"/>
      <c r="H287" s="1324"/>
      <c r="I287" s="592" t="s">
        <v>1525</v>
      </c>
      <c r="J287" s="592"/>
      <c r="K287" s="592"/>
      <c r="L287" s="592"/>
      <c r="M287" s="592"/>
      <c r="N287" s="592"/>
      <c r="O287" s="592"/>
      <c r="P287" s="592"/>
      <c r="Q287" s="592"/>
      <c r="R287" s="592"/>
      <c r="S287" s="592"/>
      <c r="T287" s="468" cm="1" t="str">
        <f t="array" ref="T287:T287">T286</f>
        <v>true</v>
      </c>
      <c r="U287" s="1324"/>
      <c r="V287" s="1324"/>
      <c r="W287" s="1324"/>
      <c r="X287" s="1617"/>
      <c r="Y287" s="1324"/>
      <c r="Z287" s="1618"/>
      <c r="AA287" s="1324"/>
      <c r="AB287" s="814" t="s">
        <v>1526</v>
      </c>
      <c r="AC287" s="815" t="s">
        <v>1979</v>
      </c>
      <c r="AD287" s="766" t="s">
        <v>936</v>
      </c>
      <c r="AE287" s="6051">
        <f>_xlfn.SUMIFS('Сырье и материалы'!AE$25:AE$111,'Сырье и материалы'!$F$25:$F$111,$F287,'Сырье и материалы'!$I$25:$I$111,"Материалы")</f>
        <v>0</v>
      </c>
      <c r="AF287" s="6051">
        <f>_xlfn.SUMIFS('Сырье и материалы'!AF$25:AF$111,'Сырье и материалы'!$F$25:$F$111,$F287,'Сырье и материалы'!$I$25:$I$111,"Материалы")</f>
        <v>0</v>
      </c>
      <c r="AG287" s="6051">
        <f>_xlfn.SUMIFS('Сырье и материалы'!AG$25:AG$111,'Сырье и материалы'!$F$25:$F$111,$F287,'Сырье и материалы'!$I$25:$I$111,"Материалы")</f>
        <v>0</v>
      </c>
      <c r="AH287" s="809">
        <f>AG287-AF287</f>
        <v>0</v>
      </c>
      <c r="AI287" s="6051">
        <f>_xlfn.SUMIFS('Сырье и материалы'!AH$25:AH$111,'Сырье и материалы'!$F$25:$F$111,$F287,'Сырье и материалы'!$I$25:$I$111,"Материалы")</f>
        <v>0</v>
      </c>
      <c r="AJ287" s="6051">
        <f>_xlfn.SUMIFS('Сырье и материалы'!AI$25:AI$111,'Сырье и материалы'!$F$25:$F$111,$F287,'Сырье и материалы'!$I$25:$I$111,"Материалы")</f>
        <v>0</v>
      </c>
      <c r="AK287" s="6051">
        <f>_xlfn.SUMIFS('Сырье и материалы'!AS$25:AS$111,'Сырье и материалы'!$F$25:$F$111,$F287,'Сырье и материалы'!$I$25:$I$111,"Материалы")</f>
        <v>0</v>
      </c>
      <c r="AL287" s="809">
        <f>IF(AI287=0,0,(AK287-AI287)/AI287*100)</f>
        <v>0</v>
      </c>
      <c r="AM287" s="810"/>
      <c r="AN287" s="810"/>
      <c r="AO287" s="810"/>
      <c r="AP287" s="1324"/>
      <c r="AQ287" s="1324"/>
      <c r="AR287" s="1070" t="s">
        <v>1980</v>
      </c>
      <c r="AS287" s="1070"/>
      <c r="AT287" s="1070"/>
      <c r="AU287" s="1067"/>
      <c r="AV287" s="1067"/>
    </row>
    <row s="6173" customFormat="1" customHeight="1" ht="21.75">
      <c r="A288" s="593"/>
      <c r="B288" s="593"/>
      <c r="C288" s="593"/>
      <c r="D288" s="593"/>
      <c r="E288" s="703">
        <v>22.5</v>
      </c>
      <c r="F288" s="50" cm="1" t="str">
        <f t="array" ref="F288:F288">OFFSET(E288,-1,1)</f>
        <v>3</v>
      </c>
      <c r="G288" s="593"/>
      <c r="H288" s="593"/>
      <c r="I288" s="704" t="s">
        <v>570</v>
      </c>
      <c r="J288" s="704"/>
      <c r="K288" s="704"/>
      <c r="L288" s="704"/>
      <c r="M288" s="704"/>
      <c r="N288" s="704"/>
      <c r="O288" s="704"/>
      <c r="P288" s="704"/>
      <c r="Q288" s="704"/>
      <c r="R288" s="704"/>
      <c r="S288" s="704"/>
      <c r="T288" s="468" cm="1" t="str">
        <f t="array" ref="T288:T288">T287</f>
        <v>true</v>
      </c>
      <c r="U288" s="593"/>
      <c r="V288" s="593"/>
      <c r="W288" s="593"/>
      <c r="X288" s="1617"/>
      <c r="Y288" s="593"/>
      <c r="Z288" s="1618"/>
      <c r="AA288" s="593"/>
      <c r="AB288" s="811" t="s">
        <v>1070</v>
      </c>
      <c r="AC288" s="812" t="s">
        <v>1981</v>
      </c>
      <c r="AD288" s="595" t="s">
        <v>936</v>
      </c>
      <c r="AE288" s="808">
        <f>SUM(AE289:AE297)</f>
        <v>5618.414</v>
      </c>
      <c r="AF288" s="808">
        <f>SUM(AF289:AF297)</f>
        <v>6367.79</v>
      </c>
      <c r="AG288" s="808">
        <f>SUM(AG289:AG297)</f>
        <v>4503.607732016</v>
      </c>
      <c r="AH288" s="808">
        <f>AG288-AF288</f>
        <v>-1864.182267984</v>
      </c>
      <c r="AI288" s="808">
        <f>SUM(AI289:AI297)</f>
        <v>6103.59</v>
      </c>
      <c r="AJ288" s="808">
        <f>SUM(AJ289:AJ297)</f>
        <v>6618.24</v>
      </c>
      <c r="AK288" s="808">
        <f>SUM(AK289:AK297)</f>
        <v>6876.7</v>
      </c>
      <c r="AL288" s="808">
        <f>IF(AI288=0,0,(AK288-AI288)/AI288*100)</f>
        <v>12.6664798913426</v>
      </c>
      <c r="AM288" s="813"/>
      <c r="AN288" s="813"/>
      <c r="AO288" s="813"/>
      <c r="AP288" s="593"/>
      <c r="AQ288" s="593"/>
      <c r="AR288" s="1071" t="s">
        <v>1982</v>
      </c>
      <c r="AS288" s="1071"/>
      <c r="AT288" s="1071"/>
      <c r="AU288" s="703"/>
      <c r="AV288" s="703"/>
    </row>
    <row s="1656" customFormat="1" customHeight="1" ht="14.25">
      <c r="A289" s="1324"/>
      <c r="B289" s="1324"/>
      <c r="C289" s="1324"/>
      <c r="D289" s="1324"/>
      <c r="E289" s="701">
        <v>15</v>
      </c>
      <c r="F289" s="50" cm="1" t="str">
        <f t="array" ref="F289:F289">OFFSET(E289,-1,1)</f>
        <v>3</v>
      </c>
      <c r="G289" s="1324"/>
      <c r="H289" s="1324"/>
      <c r="I289" s="592" t="s">
        <v>1550</v>
      </c>
      <c r="J289" s="592"/>
      <c r="K289" s="592"/>
      <c r="L289" s="592"/>
      <c r="M289" s="592"/>
      <c r="N289" s="592"/>
      <c r="O289" s="592"/>
      <c r="P289" s="592"/>
      <c r="Q289" s="592"/>
      <c r="R289" s="592"/>
      <c r="S289" s="592"/>
      <c r="T289" s="468" cm="1" t="str">
        <f t="array" ref="T289:T289">T288</f>
        <v>true</v>
      </c>
      <c r="U289" s="1324"/>
      <c r="V289" s="1324"/>
      <c r="W289" s="1324"/>
      <c r="X289" s="1617"/>
      <c r="Y289" s="1324"/>
      <c r="Z289" s="1618"/>
      <c r="AA289" s="1324"/>
      <c r="AB289" s="814" t="s">
        <v>1551</v>
      </c>
      <c r="AC289" s="815" t="s">
        <v>1983</v>
      </c>
      <c r="AD289" s="766" t="s">
        <v>936</v>
      </c>
      <c r="AE289" s="809">
        <f>_xlfn.SUMIFS(ЭЭ!AE$25:AE$175,ЭЭ!$F$25:$F$175,$F289,ЭЭ!$AC$25:$AC$175,"Всего по тарифу")</f>
        <v>5618.414</v>
      </c>
      <c r="AF289" s="809">
        <f>_xlfn.SUMIFS(ЭЭ!AF$25:AF$175,ЭЭ!$F$25:$F$175,$F289,ЭЭ!$AC$25:$AC$175,"Всего по тарифу")</f>
        <v>6367.79</v>
      </c>
      <c r="AG289" s="809">
        <f>_xlfn.SUMIFS(ЭЭ!AG$25:AG$175,ЭЭ!$F$25:$F$175,$F289,ЭЭ!$AC$25:$AC$175,"Всего по тарифу")</f>
        <v>4503.607732016</v>
      </c>
      <c r="AH289" s="809">
        <f>AG289-AF289</f>
        <v>-1864.182267984</v>
      </c>
      <c r="AI289" s="809">
        <f>_xlfn.SUMIFS(ЭЭ!AH$25:AH$175,ЭЭ!$F$25:$F$175,$F289,ЭЭ!$AC$25:$AC$175,"Всего по тарифу")</f>
        <v>6103.59</v>
      </c>
      <c r="AJ289" s="809">
        <f>_xlfn.SUMIFS(ЭЭ!AI$25:AI$175,ЭЭ!$F$25:$F$175,$F289,ЭЭ!$AC$25:$AC$175,"Всего по тарифу")</f>
        <v>6618.24</v>
      </c>
      <c r="AK289" s="809">
        <f>_xlfn.SUMIFS(ЭЭ!AS$25:AS$175,ЭЭ!$F$25:$F$175,$F289,ЭЭ!$AC$25:$AC$175,"Всего по тарифу")</f>
        <v>6876.7</v>
      </c>
      <c r="AL289" s="809">
        <f>IF(AI289=0,0,(AK289-AI289)/AI289*100)</f>
        <v>12.6664798913426</v>
      </c>
      <c r="AM289" s="810"/>
      <c r="AN289" s="917" t="str">
        <f>IF(_xlfn.IFERROR(INDEX(ЭЭ!$K$26:$L$175,MATCH($F289&amp;"komm",ЭЭ!$K$26:$K$175,0),2),"")=0,"",_xlfn.IFERROR(INDEX(ЭЭ!$K$26:$L$175,MATCH($F289&amp;"komm",ЭЭ!$K$26:$K$175,0),2),""))</f>
        <v>Пункты 90 и 95 "Методических указаний" (приказ ФСТ № 1746-э от 27.12.2013). Формулы (39.1), (39.2), (39.3).</v>
      </c>
      <c r="AO289" s="810"/>
      <c r="AP289" s="1324"/>
      <c r="AQ289" s="1324"/>
      <c r="AR289" s="1070" t="s">
        <v>1984</v>
      </c>
      <c r="AS289" s="1070"/>
      <c r="AT289" s="1070"/>
      <c r="AU289" s="1067"/>
      <c r="AV289" s="1067"/>
    </row>
    <row s="1656" customFormat="1" customHeight="1" ht="14.25">
      <c r="A290" s="1324"/>
      <c r="B290" s="1324"/>
      <c r="C290" s="1324"/>
      <c r="D290" s="1324"/>
      <c r="E290" s="701">
        <v>15</v>
      </c>
      <c r="F290" s="50" cm="1" t="str">
        <f t="array" ref="F290:F290">OFFSET(E290,-1,1)</f>
        <v>3</v>
      </c>
      <c r="G290" s="582" t="s">
        <v>1287</v>
      </c>
      <c r="H290" s="1324"/>
      <c r="I290" s="592" t="s">
        <v>1553</v>
      </c>
      <c r="J290" s="592"/>
      <c r="K290" s="592"/>
      <c r="L290" s="592"/>
      <c r="M290" s="592"/>
      <c r="N290" s="592"/>
      <c r="O290" s="592"/>
      <c r="P290" s="592"/>
      <c r="Q290" s="592"/>
      <c r="R290" s="592"/>
      <c r="S290" s="592"/>
      <c r="T290" s="468" cm="1" t="str">
        <f t="array" ref="T290:T290">T289</f>
        <v>true</v>
      </c>
      <c r="U290" s="1324"/>
      <c r="V290" s="1324"/>
      <c r="W290" s="1324"/>
      <c r="X290" s="1617"/>
      <c r="Y290" s="1324"/>
      <c r="Z290" s="1618"/>
      <c r="AA290" s="1324"/>
      <c r="AB290" s="814" t="s">
        <v>1554</v>
      </c>
      <c r="AC290" s="815" t="s">
        <v>1985</v>
      </c>
      <c r="AD290" s="766" t="s">
        <v>936</v>
      </c>
      <c r="AE290" s="809">
        <f>_xlfn.SUMIFS(Покупка!AE$25:AE$327,Покупка!$F$25:$F$327,$F290,Покупка!$AC$25:$AC$327,$G290)</f>
        <v>0</v>
      </c>
      <c r="AF290" s="809">
        <f>_xlfn.SUMIFS(Покупка!AF$25:AF$327,Покупка!$F$25:$F$327,$F290,Покупка!$AC$25:$AC$327,$G290)</f>
        <v>0</v>
      </c>
      <c r="AG290" s="809">
        <f>_xlfn.SUMIFS(Покупка!AG$25:AG$327,Покупка!$F$25:$F$327,$F290,Покупка!$AC$25:$AC$327,$G290)</f>
        <v>0</v>
      </c>
      <c r="AH290" s="809">
        <f>AG290-AF290</f>
        <v>0</v>
      </c>
      <c r="AI290" s="809">
        <f>_xlfn.SUMIFS(Покупка!AH$25:AH$327,Покупка!$F$25:$F$327,$F290,Покупка!$AC$25:$AC$327,$G290)</f>
        <v>0</v>
      </c>
      <c r="AJ290" s="809">
        <f>_xlfn.SUMIFS(Покупка!AI$25:AI$327,Покупка!$F$25:$F$327,$F290,Покупка!$AC$25:$AC$327,$G290)</f>
        <v>0</v>
      </c>
      <c r="AK290" s="809">
        <f>_xlfn.SUMIFS(Покупка!AS$25:AS$327,Покупка!$F$25:$F$327,$F290,Покупка!$AC$25:$AC$327,$G290)</f>
        <v>0</v>
      </c>
      <c r="AL290" s="809">
        <f>IF(AI290=0,0,(AK290-AI290)/AI290*100)</f>
        <v>0</v>
      </c>
      <c r="AM290" s="810"/>
      <c r="AN290" s="917" t="str">
        <f>IF(_xlfn.IFERROR(INDEX(Покупка!$K$26:$L$327,MATCH($F290&amp;"6komm",Покупка!$K$26:$K$327,0),2),"")=0,"",_xlfn.IFERROR(INDEX(Покупка!$K$26:$L$327,MATCH($F290&amp;"6komm",Покупка!$K$26:$K$327,0),2),""))</f>
        <v>П. 49 Методических указаний ФСТ России от 27.12.2013 № 1746-э.</v>
      </c>
      <c r="AO290" s="810"/>
      <c r="AP290" s="1324"/>
      <c r="AQ290" s="1324"/>
      <c r="AR290" s="1070" t="s">
        <v>1288</v>
      </c>
      <c r="AS290" s="1070"/>
      <c r="AT290" s="1070"/>
      <c r="AU290" s="1067"/>
      <c r="AV290" s="1067"/>
    </row>
    <row s="1656" customFormat="1" customHeight="1" ht="14.25">
      <c r="A291" s="1324"/>
      <c r="B291" s="1324"/>
      <c r="C291" s="1324"/>
      <c r="D291" s="1324"/>
      <c r="E291" s="701">
        <v>15</v>
      </c>
      <c r="F291" s="50" cm="1" t="str">
        <f t="array" ref="F291:F291">OFFSET(E291,-1,1)</f>
        <v>3</v>
      </c>
      <c r="G291" s="582" t="s">
        <v>1309</v>
      </c>
      <c r="H291" s="1324"/>
      <c r="I291" s="592" t="s">
        <v>1557</v>
      </c>
      <c r="J291" s="592"/>
      <c r="K291" s="592"/>
      <c r="L291" s="592"/>
      <c r="M291" s="592"/>
      <c r="N291" s="592"/>
      <c r="O291" s="592"/>
      <c r="P291" s="592"/>
      <c r="Q291" s="592"/>
      <c r="R291" s="592"/>
      <c r="S291" s="592"/>
      <c r="T291" s="468" cm="1" t="str">
        <f t="array" ref="T291:T291">T290</f>
        <v>true</v>
      </c>
      <c r="U291" s="1324"/>
      <c r="V291" s="1324"/>
      <c r="W291" s="1324"/>
      <c r="X291" s="1617"/>
      <c r="Y291" s="1324"/>
      <c r="Z291" s="1618"/>
      <c r="AA291" s="1324"/>
      <c r="AB291" s="814" t="s">
        <v>1558</v>
      </c>
      <c r="AC291" s="815" t="s">
        <v>1986</v>
      </c>
      <c r="AD291" s="766" t="s">
        <v>936</v>
      </c>
      <c r="AE291" s="809">
        <f>_xlfn.SUMIFS(Покупка!AE$25:AE$327,Покупка!$F$25:$F$327,$F291,Покупка!$AC$25:$AC$327,$G291)</f>
        <v>0</v>
      </c>
      <c r="AF291" s="809">
        <f>_xlfn.SUMIFS(Покупка!AF$25:AF$327,Покупка!$F$25:$F$327,$F291,Покупка!$AC$25:$AC$327,$G291)</f>
        <v>0</v>
      </c>
      <c r="AG291" s="809">
        <f>_xlfn.SUMIFS(Покупка!AG$25:AG$327,Покупка!$F$25:$F$327,$F291,Покупка!$AC$25:$AC$327,$G291)</f>
        <v>0</v>
      </c>
      <c r="AH291" s="809">
        <f>AG291-AF291</f>
        <v>0</v>
      </c>
      <c r="AI291" s="809">
        <f>_xlfn.SUMIFS(Покупка!AH$25:AH$327,Покупка!$F$25:$F$327,$F291,Покупка!$AC$25:$AC$327,$G291)</f>
        <v>0</v>
      </c>
      <c r="AJ291" s="809">
        <f>_xlfn.SUMIFS(Покупка!AI$25:AI$327,Покупка!$F$25:$F$327,$F291,Покупка!$AC$25:$AC$327,$G291)</f>
        <v>0</v>
      </c>
      <c r="AK291" s="809">
        <f>_xlfn.SUMIFS(Покупка!AS$25:AS$327,Покупка!$F$25:$F$327,$F291,Покупка!$AC$25:$AC$327,$G291)</f>
        <v>0</v>
      </c>
      <c r="AL291" s="809">
        <f>IF(AI291=0,0,(AK291-AI291)/AI291*100)</f>
        <v>0</v>
      </c>
      <c r="AM291" s="810"/>
      <c r="AN291" s="917" t="str">
        <f>IF(_xlfn.IFERROR(INDEX(Покупка!$K$26:$L$327,MATCH($F291&amp;"7komm",Покупка!$K$26:$K$327,0),2),"")=0,"",_xlfn.IFERROR(INDEX(Покупка!$K$26:$L$327,MATCH($F291&amp;"7komm",Покупка!$K$26:$K$327,0),2),""))</f>
        <v/>
      </c>
      <c r="AO291" s="810"/>
      <c r="AP291" s="1324"/>
      <c r="AQ291" s="1324"/>
      <c r="AR291" s="1070" t="s">
        <v>1310</v>
      </c>
      <c r="AS291" s="1070"/>
      <c r="AT291" s="1070"/>
      <c r="AU291" s="1067"/>
      <c r="AV291" s="1067"/>
    </row>
    <row s="1656" customFormat="1" customHeight="1" ht="14.25">
      <c r="A292" s="1324"/>
      <c r="B292" s="1324"/>
      <c r="C292" s="1324"/>
      <c r="D292" s="1324"/>
      <c r="E292" s="701">
        <v>15</v>
      </c>
      <c r="F292" s="50" cm="1" t="str">
        <f t="array" ref="F292:F292">OFFSET(E292,-1,1)</f>
        <v>3</v>
      </c>
      <c r="G292" s="759" t="s">
        <v>1321</v>
      </c>
      <c r="H292" s="1324"/>
      <c r="I292" s="592" t="s">
        <v>1727</v>
      </c>
      <c r="J292" s="592"/>
      <c r="K292" s="592"/>
      <c r="L292" s="592"/>
      <c r="M292" s="592"/>
      <c r="N292" s="592"/>
      <c r="O292" s="592"/>
      <c r="P292" s="592"/>
      <c r="Q292" s="592"/>
      <c r="R292" s="592"/>
      <c r="S292" s="592"/>
      <c r="T292" s="468" cm="1" t="str">
        <f t="array" ref="T292:T292">T291</f>
        <v>true</v>
      </c>
      <c r="U292" s="1324"/>
      <c r="V292" s="1324"/>
      <c r="W292" s="1324"/>
      <c r="X292" s="1617"/>
      <c r="Y292" s="1324"/>
      <c r="Z292" s="1618"/>
      <c r="AA292" s="1324"/>
      <c r="AB292" s="814" t="s">
        <v>1987</v>
      </c>
      <c r="AC292" s="815" t="s">
        <v>1988</v>
      </c>
      <c r="AD292" s="766" t="s">
        <v>936</v>
      </c>
      <c r="AE292" s="809">
        <f>_xlfn.SUMIFS(Покупка!AE$25:AE$327,Покупка!$F$25:$F$327,$F292,Покупка!$AC$25:$AC$327,$G292)</f>
        <v>0</v>
      </c>
      <c r="AF292" s="809">
        <f>_xlfn.SUMIFS(Покупка!AF$25:AF$327,Покупка!$F$25:$F$327,$F292,Покупка!$AC$25:$AC$327,$G292)</f>
        <v>0</v>
      </c>
      <c r="AG292" s="809">
        <f>_xlfn.SUMIFS(Покупка!AG$25:AG$327,Покупка!$F$25:$F$327,$F292,Покупка!$AC$25:$AC$327,$G292)</f>
        <v>0</v>
      </c>
      <c r="AH292" s="809">
        <f>AG292-AF292</f>
        <v>0</v>
      </c>
      <c r="AI292" s="809">
        <f>_xlfn.SUMIFS(Покупка!AH$25:AH$327,Покупка!$F$25:$F$327,$F292,Покупка!$AC$25:$AC$327,$G292)</f>
        <v>0</v>
      </c>
      <c r="AJ292" s="809">
        <f>_xlfn.SUMIFS(Покупка!AI$25:AI$327,Покупка!$F$25:$F$327,$F292,Покупка!$AC$25:$AC$327,$G292)</f>
        <v>0</v>
      </c>
      <c r="AK292" s="809">
        <f>_xlfn.SUMIFS(Покупка!AS$25:AS$327,Покупка!$F$25:$F$327,$F292,Покупка!$AC$25:$AC$327,$G292)</f>
        <v>0</v>
      </c>
      <c r="AL292" s="809">
        <f>IF(AI292=0,0,(AK292-AI292)/AI292*100)</f>
        <v>0</v>
      </c>
      <c r="AM292" s="810"/>
      <c r="AN292" s="917" t="str">
        <f>IF(_xlfn.IFERROR(INDEX(Покупка!$K$26:$L$327,MATCH($F292&amp;"9komm",Покупка!$K$26:$K$327,0),2),"")=0,"",_xlfn.IFERROR(INDEX(Покупка!$K$26:$L$327,MATCH($F292&amp;"9komm",Покупка!$K$26:$K$327,0),2),""))</f>
        <v/>
      </c>
      <c r="AO292" s="810"/>
      <c r="AP292" s="1324"/>
      <c r="AQ292" s="1324"/>
      <c r="AR292" s="1070" t="s">
        <v>1322</v>
      </c>
      <c r="AS292" s="1070"/>
      <c r="AT292" s="1070"/>
      <c r="AU292" s="1067"/>
      <c r="AV292" s="1067"/>
    </row>
    <row s="1656" customFormat="1" customHeight="1" ht="14.25">
      <c r="A293" s="1324"/>
      <c r="B293" s="1324"/>
      <c r="C293" s="1324"/>
      <c r="D293" s="1324"/>
      <c r="E293" s="701">
        <v>15</v>
      </c>
      <c r="F293" s="50" cm="1" t="str">
        <f t="array" ref="F293:F293">OFFSET(E293,-1,1)</f>
        <v>3</v>
      </c>
      <c r="G293" s="582" t="s">
        <v>1248</v>
      </c>
      <c r="H293" s="1324"/>
      <c r="I293" s="592" t="s">
        <v>1731</v>
      </c>
      <c r="J293" s="592"/>
      <c r="K293" s="592"/>
      <c r="L293" s="592"/>
      <c r="M293" s="592"/>
      <c r="N293" s="592"/>
      <c r="O293" s="592"/>
      <c r="P293" s="592"/>
      <c r="Q293" s="592"/>
      <c r="R293" s="592"/>
      <c r="S293" s="592"/>
      <c r="T293" s="468" cm="1" t="str">
        <f t="array" ref="T293:T293">T292</f>
        <v>true</v>
      </c>
      <c r="U293" s="1324"/>
      <c r="V293" s="1324"/>
      <c r="W293" s="1324"/>
      <c r="X293" s="1617"/>
      <c r="Y293" s="1324"/>
      <c r="Z293" s="1618"/>
      <c r="AA293" s="1324"/>
      <c r="AB293" s="814" t="s">
        <v>1989</v>
      </c>
      <c r="AC293" s="815" t="s">
        <v>1990</v>
      </c>
      <c r="AD293" s="766" t="s">
        <v>936</v>
      </c>
      <c r="AE293" s="809">
        <f>_xlfn.SUMIFS(Покупка!AE$25:AE$327,Покупка!$F$25:$F$327,$F293,Покупка!$AC$25:$AC$327,$G293)</f>
        <v>0</v>
      </c>
      <c r="AF293" s="809">
        <f>_xlfn.SUMIFS(Покупка!AF$25:AF$327,Покупка!$F$25:$F$327,$F293,Покупка!$AC$25:$AC$327,$G293)</f>
        <v>0</v>
      </c>
      <c r="AG293" s="809">
        <f>_xlfn.SUMIFS(Покупка!AG$25:AG$327,Покупка!$F$25:$F$327,$F293,Покупка!$AC$25:$AC$327,$G293)</f>
        <v>0</v>
      </c>
      <c r="AH293" s="809">
        <f>AG293-AF293</f>
        <v>0</v>
      </c>
      <c r="AI293" s="809">
        <f>_xlfn.SUMIFS(Покупка!AH$25:AH$327,Покупка!$F$25:$F$327,$F293,Покупка!$AC$25:$AC$327,$G293)</f>
        <v>0</v>
      </c>
      <c r="AJ293" s="809">
        <f>_xlfn.SUMIFS(Покупка!AI$25:AI$327,Покупка!$F$25:$F$327,$F293,Покупка!$AC$25:$AC$327,$G293)</f>
        <v>0</v>
      </c>
      <c r="AK293" s="809">
        <f>_xlfn.SUMIFS(Покупка!AS$25:AS$327,Покупка!$F$25:$F$327,$F293,Покупка!$AC$25:$AC$327,$G293)</f>
        <v>0</v>
      </c>
      <c r="AL293" s="809">
        <f>IF(AI293=0,0,(AK293-AI293)/AI293*100)</f>
        <v>0</v>
      </c>
      <c r="AM293" s="810"/>
      <c r="AN293" s="917" t="str">
        <f>IF(_xlfn.IFERROR(INDEX(Покупка!$K$26:$L$327,MATCH($F293&amp;"1komm",Покупка!$K$26:$K$327,0),2),"")=0,"",_xlfn.IFERROR(INDEX(Покупка!$K$26:$L$327,MATCH($F293&amp;"1komm",Покупка!$K$26:$K$327,0),2),""))</f>
        <v/>
      </c>
      <c r="AO293" s="810"/>
      <c r="AP293" s="1324"/>
      <c r="AQ293" s="1324"/>
      <c r="AR293" s="1070" t="s">
        <v>1991</v>
      </c>
      <c r="AS293" s="1070"/>
      <c r="AT293" s="1070"/>
      <c r="AU293" s="1067"/>
      <c r="AV293" s="1067"/>
    </row>
    <row s="1656" customFormat="1" customHeight="1" ht="14.25">
      <c r="A294" s="1324"/>
      <c r="B294" s="1324"/>
      <c r="C294" s="1324"/>
      <c r="D294" s="1324"/>
      <c r="E294" s="701">
        <v>15</v>
      </c>
      <c r="F294" s="50" cm="1" t="str">
        <f t="array" ref="F294:F294">OFFSET(E294,-1,1)</f>
        <v>3</v>
      </c>
      <c r="G294" s="582" t="s">
        <v>1261</v>
      </c>
      <c r="H294" s="1324"/>
      <c r="I294" s="592" t="s">
        <v>1736</v>
      </c>
      <c r="J294" s="592"/>
      <c r="K294" s="592"/>
      <c r="L294" s="592"/>
      <c r="M294" s="592"/>
      <c r="N294" s="592"/>
      <c r="O294" s="592"/>
      <c r="P294" s="592"/>
      <c r="Q294" s="592"/>
      <c r="R294" s="592"/>
      <c r="S294" s="592"/>
      <c r="T294" s="468" cm="1" t="str">
        <f t="array" ref="T294:T294">T293</f>
        <v>true</v>
      </c>
      <c r="U294" s="1324"/>
      <c r="V294" s="1324"/>
      <c r="W294" s="1324"/>
      <c r="X294" s="1617"/>
      <c r="Y294" s="1324"/>
      <c r="Z294" s="1618"/>
      <c r="AA294" s="1324"/>
      <c r="AB294" s="814" t="s">
        <v>1992</v>
      </c>
      <c r="AC294" s="815" t="s">
        <v>1993</v>
      </c>
      <c r="AD294" s="766" t="s">
        <v>936</v>
      </c>
      <c r="AE294" s="809">
        <f>_xlfn.SUMIFS(Покупка!AE$25:AE$327,Покупка!$F$25:$F$327,$F294,Покупка!$AC$25:$AC$327,$G294)</f>
        <v>0</v>
      </c>
      <c r="AF294" s="809">
        <f>_xlfn.SUMIFS(Покупка!AF$25:AF$327,Покупка!$F$25:$F$327,$F294,Покупка!$AC$25:$AC$327,$G294)</f>
        <v>0</v>
      </c>
      <c r="AG294" s="809">
        <f>_xlfn.SUMIFS(Покупка!AG$25:AG$327,Покупка!$F$25:$F$327,$F294,Покупка!$AC$25:$AC$327,$G294)</f>
        <v>0</v>
      </c>
      <c r="AH294" s="809">
        <f>AG294-AF294</f>
        <v>0</v>
      </c>
      <c r="AI294" s="809">
        <f>_xlfn.SUMIFS(Покупка!AH$25:AH$327,Покупка!$F$25:$F$327,$F294,Покупка!$AC$25:$AC$327,$G294)</f>
        <v>0</v>
      </c>
      <c r="AJ294" s="809">
        <f>_xlfn.SUMIFS(Покупка!AI$25:AI$327,Покупка!$F$25:$F$327,$F294,Покупка!$AC$25:$AC$327,$G294)</f>
        <v>0</v>
      </c>
      <c r="AK294" s="809">
        <f>_xlfn.SUMIFS(Покупка!AS$25:AS$327,Покупка!$F$25:$F$327,$F294,Покупка!$AC$25:$AC$327,$G294)</f>
        <v>0</v>
      </c>
      <c r="AL294" s="809">
        <f>IF(AI294=0,0,(AK294-AI294)/AI294*100)</f>
        <v>0</v>
      </c>
      <c r="AM294" s="810"/>
      <c r="AN294" s="917" t="str">
        <f>IF(_xlfn.IFERROR(INDEX(Покупка!$K$26:$L$327,MATCH($F294&amp;"2komm",Покупка!$K$26:$K$327,0),2),"")=0,"",_xlfn.IFERROR(INDEX(Покупка!$K$26:$L$327,MATCH($F294&amp;"2komm",Покупка!$K$26:$K$327,0),2),""))</f>
        <v/>
      </c>
      <c r="AO294" s="810"/>
      <c r="AP294" s="1324"/>
      <c r="AQ294" s="1324"/>
      <c r="AR294" s="1070" t="s">
        <v>1994</v>
      </c>
      <c r="AS294" s="1070"/>
      <c r="AT294" s="1070"/>
      <c r="AU294" s="1067"/>
      <c r="AV294" s="1067"/>
    </row>
    <row s="1656" customFormat="1" customHeight="1" ht="14.25">
      <c r="A295" s="1324"/>
      <c r="B295" s="1324"/>
      <c r="C295" s="1324"/>
      <c r="D295" s="1324"/>
      <c r="E295" s="701">
        <v>15</v>
      </c>
      <c r="F295" s="50" cm="1" t="str">
        <f t="array" ref="F295:F295">OFFSET(E295,-1,1)</f>
        <v>3</v>
      </c>
      <c r="G295" s="582" t="s">
        <v>1267</v>
      </c>
      <c r="H295" s="1324"/>
      <c r="I295" s="592" t="s">
        <v>1745</v>
      </c>
      <c r="J295" s="592"/>
      <c r="K295" s="592"/>
      <c r="L295" s="592"/>
      <c r="M295" s="592"/>
      <c r="N295" s="592"/>
      <c r="O295" s="592"/>
      <c r="P295" s="592"/>
      <c r="Q295" s="592"/>
      <c r="R295" s="592"/>
      <c r="S295" s="592"/>
      <c r="T295" s="468" cm="1" t="str">
        <f t="array" ref="T295:T295">T294</f>
        <v>true</v>
      </c>
      <c r="U295" s="1324"/>
      <c r="V295" s="1324"/>
      <c r="W295" s="1324"/>
      <c r="X295" s="1617"/>
      <c r="Y295" s="1324"/>
      <c r="Z295" s="1618"/>
      <c r="AA295" s="1324"/>
      <c r="AB295" s="814" t="s">
        <v>1995</v>
      </c>
      <c r="AC295" s="815" t="s">
        <v>1996</v>
      </c>
      <c r="AD295" s="766" t="s">
        <v>936</v>
      </c>
      <c r="AE295" s="809">
        <f>_xlfn.SUMIFS(Покупка!AE$25:AE$327,Покупка!$F$25:$F$327,$F295,Покупка!$AC$25:$AC$327,$G295)</f>
        <v>0</v>
      </c>
      <c r="AF295" s="809">
        <f>_xlfn.SUMIFS(Покупка!AF$25:AF$327,Покупка!$F$25:$F$327,$F295,Покупка!$AC$25:$AC$327,$G295)</f>
        <v>0</v>
      </c>
      <c r="AG295" s="809">
        <f>_xlfn.SUMIFS(Покупка!AG$25:AG$327,Покупка!$F$25:$F$327,$F295,Покупка!$AC$25:$AC$327,$G295)</f>
        <v>0</v>
      </c>
      <c r="AH295" s="809">
        <f>AG295-AF295</f>
        <v>0</v>
      </c>
      <c r="AI295" s="809">
        <f>_xlfn.SUMIFS(Покупка!AH$25:AH$327,Покупка!$F$25:$F$327,$F295,Покупка!$AC$25:$AC$327,$G295)</f>
        <v>0</v>
      </c>
      <c r="AJ295" s="809">
        <f>_xlfn.SUMIFS(Покупка!AI$25:AI$327,Покупка!$F$25:$F$327,$F295,Покупка!$AC$25:$AC$327,$G295)</f>
        <v>0</v>
      </c>
      <c r="AK295" s="809">
        <f>_xlfn.SUMIFS(Покупка!AS$25:AS$327,Покупка!$F$25:$F$327,$F295,Покупка!$AC$25:$AC$327,$G295)</f>
        <v>0</v>
      </c>
      <c r="AL295" s="809">
        <f>IF(AI295=0,0,(AK295-AI295)/AI295*100)</f>
        <v>0</v>
      </c>
      <c r="AM295" s="810"/>
      <c r="AN295" s="917" t="str">
        <f>IF(_xlfn.IFERROR(INDEX(Покупка!$K$26:$L$327,MATCH($F295&amp;"3komm",Покупка!$K$26:$K$327,0),2),"")=0,"",_xlfn.IFERROR(INDEX(Покупка!$K$26:$L$327,MATCH($F295&amp;"3komm",Покупка!$K$26:$K$327,0),2),""))</f>
        <v/>
      </c>
      <c r="AO295" s="810"/>
      <c r="AP295" s="1324"/>
      <c r="AQ295" s="1324"/>
      <c r="AR295" s="1070" t="s">
        <v>1997</v>
      </c>
      <c r="AS295" s="1070"/>
      <c r="AT295" s="1070"/>
      <c r="AU295" s="1067"/>
      <c r="AV295" s="1067"/>
    </row>
    <row s="1656" customFormat="1" customHeight="1" ht="14.25">
      <c r="A296" s="1324"/>
      <c r="B296" s="1324"/>
      <c r="C296" s="1324"/>
      <c r="D296" s="1324"/>
      <c r="E296" s="701">
        <v>15</v>
      </c>
      <c r="F296" s="50" cm="1" t="str">
        <f t="array" ref="F296:F296">OFFSET(E296,-1,1)</f>
        <v>3</v>
      </c>
      <c r="G296" s="582" t="s">
        <v>1273</v>
      </c>
      <c r="H296" s="1324"/>
      <c r="I296" s="592" t="s">
        <v>1750</v>
      </c>
      <c r="J296" s="592"/>
      <c r="K296" s="592"/>
      <c r="L296" s="592"/>
      <c r="M296" s="592"/>
      <c r="N296" s="592"/>
      <c r="O296" s="592"/>
      <c r="P296" s="592"/>
      <c r="Q296" s="592"/>
      <c r="R296" s="592"/>
      <c r="S296" s="592"/>
      <c r="T296" s="468" cm="1" t="str">
        <f t="array" ref="T296:T296">T295</f>
        <v>true</v>
      </c>
      <c r="U296" s="1324"/>
      <c r="V296" s="1324"/>
      <c r="W296" s="1324"/>
      <c r="X296" s="1617"/>
      <c r="Y296" s="1324"/>
      <c r="Z296" s="1618"/>
      <c r="AA296" s="1324"/>
      <c r="AB296" s="814" t="s">
        <v>1998</v>
      </c>
      <c r="AC296" s="815" t="s">
        <v>1999</v>
      </c>
      <c r="AD296" s="766" t="s">
        <v>936</v>
      </c>
      <c r="AE296" s="809">
        <f>_xlfn.SUMIFS(Покупка!AE$25:AE$327,Покупка!$F$25:$F$327,$F296,Покупка!$AC$25:$AC$327,$G296)</f>
        <v>0</v>
      </c>
      <c r="AF296" s="809">
        <f>_xlfn.SUMIFS(Покупка!AF$25:AF$327,Покупка!$F$25:$F$327,$F296,Покупка!$AC$25:$AC$327,$G296)</f>
        <v>0</v>
      </c>
      <c r="AG296" s="809">
        <f>_xlfn.SUMIFS(Покупка!AG$25:AG$327,Покупка!$F$25:$F$327,$F296,Покупка!$AC$25:$AC$327,$G296)</f>
        <v>0</v>
      </c>
      <c r="AH296" s="809">
        <f>AG296-AF296</f>
        <v>0</v>
      </c>
      <c r="AI296" s="809">
        <f>_xlfn.SUMIFS(Покупка!AH$25:AH$327,Покупка!$F$25:$F$327,$F296,Покупка!$AC$25:$AC$327,$G296)</f>
        <v>0</v>
      </c>
      <c r="AJ296" s="809">
        <f>_xlfn.SUMIFS(Покупка!AI$25:AI$327,Покупка!$F$25:$F$327,$F296,Покупка!$AC$25:$AC$327,$G296)</f>
        <v>0</v>
      </c>
      <c r="AK296" s="809">
        <f>_xlfn.SUMIFS(Покупка!AS$25:AS$327,Покупка!$F$25:$F$327,$F296,Покупка!$AC$25:$AC$327,$G296)</f>
        <v>0</v>
      </c>
      <c r="AL296" s="809">
        <f>IF(AI296=0,0,(AK296-AI296)/AI296*100)</f>
        <v>0</v>
      </c>
      <c r="AM296" s="810"/>
      <c r="AN296" s="917" t="str">
        <f>IF(_xlfn.IFERROR(INDEX(Покупка!$K$26:$L$327,MATCH($F296&amp;"4komm",Покупка!$K$26:$K$327,0),2),"")=0,"",_xlfn.IFERROR(INDEX(Покупка!$K$26:$L$327,MATCH($F296&amp;"4komm",Покупка!$K$26:$K$327,0),2),""))</f>
        <v/>
      </c>
      <c r="AO296" s="810"/>
      <c r="AP296" s="1324"/>
      <c r="AQ296" s="1324"/>
      <c r="AR296" s="1070" t="s">
        <v>2000</v>
      </c>
      <c r="AS296" s="1070"/>
      <c r="AT296" s="1070"/>
      <c r="AU296" s="1067"/>
      <c r="AV296" s="1067"/>
    </row>
    <row s="1656" customFormat="1" customHeight="1" ht="14.25">
      <c r="A297" s="1324"/>
      <c r="B297" s="1324"/>
      <c r="C297" s="1324"/>
      <c r="D297" s="1324"/>
      <c r="E297" s="701">
        <v>15</v>
      </c>
      <c r="F297" s="50" cm="1" t="str">
        <f t="array" ref="F297:F297">OFFSET(E297,-1,1)</f>
        <v>3</v>
      </c>
      <c r="G297" s="582" t="s">
        <v>1280</v>
      </c>
      <c r="H297" s="1324"/>
      <c r="I297" s="592" t="s">
        <v>1760</v>
      </c>
      <c r="J297" s="592"/>
      <c r="K297" s="592"/>
      <c r="L297" s="592"/>
      <c r="M297" s="592"/>
      <c r="N297" s="592"/>
      <c r="O297" s="592"/>
      <c r="P297" s="592"/>
      <c r="Q297" s="592"/>
      <c r="R297" s="592"/>
      <c r="S297" s="592"/>
      <c r="T297" s="468" cm="1" t="str">
        <f t="array" ref="T297:T297">T296</f>
        <v>true</v>
      </c>
      <c r="U297" s="1324"/>
      <c r="V297" s="1324"/>
      <c r="W297" s="1324"/>
      <c r="X297" s="1617"/>
      <c r="Y297" s="1324"/>
      <c r="Z297" s="1618"/>
      <c r="AA297" s="1324"/>
      <c r="AB297" s="814" t="s">
        <v>2001</v>
      </c>
      <c r="AC297" s="815" t="s">
        <v>2002</v>
      </c>
      <c r="AD297" s="766" t="s">
        <v>936</v>
      </c>
      <c r="AE297" s="809">
        <f>_xlfn.SUMIFS(Покупка!AE$25:AE$327,Покупка!$F$25:$F$327,$F297,Покупка!$AC$25:$AC$327,$G297)</f>
        <v>0</v>
      </c>
      <c r="AF297" s="809">
        <f>_xlfn.SUMIFS(Покупка!AF$25:AF$327,Покупка!$F$25:$F$327,$F297,Покупка!$AC$25:$AC$327,$G297)</f>
        <v>0</v>
      </c>
      <c r="AG297" s="809">
        <f>_xlfn.SUMIFS(Покупка!AG$25:AG$327,Покупка!$F$25:$F$327,$F297,Покупка!$AC$25:$AC$327,$G297)</f>
        <v>0</v>
      </c>
      <c r="AH297" s="809">
        <f>AG297-AF297</f>
        <v>0</v>
      </c>
      <c r="AI297" s="809">
        <f>_xlfn.SUMIFS(Покупка!AH$25:AH$327,Покупка!$F$25:$F$327,$F297,Покупка!$AC$25:$AC$327,$G297)</f>
        <v>0</v>
      </c>
      <c r="AJ297" s="809">
        <f>_xlfn.SUMIFS(Покупка!AI$25:AI$327,Покупка!$F$25:$F$327,$F297,Покупка!$AC$25:$AC$327,$G297)</f>
        <v>0</v>
      </c>
      <c r="AK297" s="809">
        <f>_xlfn.SUMIFS(Покупка!AS$25:AS$327,Покупка!$F$25:$F$327,$F297,Покупка!$AC$25:$AC$327,$G297)</f>
        <v>0</v>
      </c>
      <c r="AL297" s="809">
        <f>IF(AI297=0,0,(AK297-AI297)/AI297*100)</f>
        <v>0</v>
      </c>
      <c r="AM297" s="810"/>
      <c r="AN297" s="917" t="str">
        <f>IF(_xlfn.IFERROR(INDEX(Покупка!$K$26:$L$327,MATCH($F297&amp;"5komm",Покупка!$K$26:$K$327,0),2),"")=0,"",_xlfn.IFERROR(INDEX(Покупка!$K$26:$L$327,MATCH($F297&amp;"5komm",Покупка!$K$26:$K$327,0),2),""))</f>
        <v/>
      </c>
      <c r="AO297" s="810"/>
      <c r="AP297" s="1324"/>
      <c r="AQ297" s="1324"/>
      <c r="AR297" s="1070" t="s">
        <v>2003</v>
      </c>
      <c r="AS297" s="1070"/>
      <c r="AT297" s="1070"/>
      <c r="AU297" s="1067"/>
      <c r="AV297" s="1067"/>
    </row>
    <row s="6174" customFormat="1" customHeight="1" ht="43.5">
      <c r="A298" s="593"/>
      <c r="B298" s="593"/>
      <c r="C298" s="593"/>
      <c r="D298" s="593"/>
      <c r="E298" s="703">
        <v>45</v>
      </c>
      <c r="F298" s="50" cm="1" t="str">
        <f t="array" ref="F298:F298">OFFSET(E298,-1,1)</f>
        <v>3</v>
      </c>
      <c r="G298" s="593"/>
      <c r="H298" s="593"/>
      <c r="I298" s="704" t="s">
        <v>573</v>
      </c>
      <c r="J298" s="704"/>
      <c r="K298" s="704"/>
      <c r="L298" s="704"/>
      <c r="M298" s="704"/>
      <c r="N298" s="704"/>
      <c r="O298" s="704"/>
      <c r="P298" s="704"/>
      <c r="Q298" s="704"/>
      <c r="R298" s="704"/>
      <c r="S298" s="704"/>
      <c r="T298" s="468" cm="1" t="str">
        <f t="array" ref="T298:T298">T297</f>
        <v>true</v>
      </c>
      <c r="U298" s="593"/>
      <c r="V298" s="593"/>
      <c r="W298" s="593"/>
      <c r="X298" s="1617"/>
      <c r="Y298" s="593"/>
      <c r="Z298" s="1618"/>
      <c r="AA298" s="593"/>
      <c r="AB298" s="811" t="s">
        <v>1073</v>
      </c>
      <c r="AC298" s="812" t="s">
        <v>2004</v>
      </c>
      <c r="AD298" s="595" t="s">
        <v>936</v>
      </c>
      <c r="AE298" s="817"/>
      <c r="AF298" s="817"/>
      <c r="AG298" s="817"/>
      <c r="AH298" s="808">
        <f>AG298-AF298</f>
        <v>0</v>
      </c>
      <c r="AI298" s="817"/>
      <c r="AJ298" s="817"/>
      <c r="AK298" s="817"/>
      <c r="AL298" s="808">
        <f>IF(AI298=0,0,(AK298-AI298)/AI298*100)</f>
        <v>0</v>
      </c>
      <c r="AM298" s="813"/>
      <c r="AN298" s="813"/>
      <c r="AO298" s="813"/>
      <c r="AP298" s="593"/>
      <c r="AQ298" s="593"/>
      <c r="AR298" s="1071" t="s">
        <v>2005</v>
      </c>
      <c r="AS298" s="1071"/>
      <c r="AT298" s="1071"/>
      <c r="AU298" s="703"/>
      <c r="AV298" s="703"/>
    </row>
    <row s="6175" customFormat="1" customHeight="1" ht="43.5">
      <c r="A299" s="593"/>
      <c r="B299" s="593"/>
      <c r="C299" s="593"/>
      <c r="D299" s="593"/>
      <c r="E299" s="703">
        <v>45</v>
      </c>
      <c r="F299" s="50" cm="1" t="str">
        <f t="array" ref="F299:F299">OFFSET(E299,-1,1)</f>
        <v>3</v>
      </c>
      <c r="G299" s="593"/>
      <c r="H299" s="593"/>
      <c r="I299" s="704" t="s">
        <v>577</v>
      </c>
      <c r="J299" s="704"/>
      <c r="K299" s="704"/>
      <c r="L299" s="704"/>
      <c r="M299" s="704"/>
      <c r="N299" s="704"/>
      <c r="O299" s="704"/>
      <c r="P299" s="704"/>
      <c r="Q299" s="704"/>
      <c r="R299" s="704"/>
      <c r="S299" s="704"/>
      <c r="T299" s="468" cm="1" t="str">
        <f t="array" ref="T299:T299">T298</f>
        <v>true</v>
      </c>
      <c r="U299" s="593"/>
      <c r="V299" s="593"/>
      <c r="W299" s="593"/>
      <c r="X299" s="1617"/>
      <c r="Y299" s="593"/>
      <c r="Z299" s="1618"/>
      <c r="AA299" s="593"/>
      <c r="AB299" s="811" t="s">
        <v>1076</v>
      </c>
      <c r="AC299" s="812" t="s">
        <v>2006</v>
      </c>
      <c r="AD299" s="595" t="s">
        <v>936</v>
      </c>
      <c r="AE299" s="808">
        <f>AE300+AE301</f>
        <v>0</v>
      </c>
      <c r="AF299" s="808">
        <f>AF300+AF301</f>
        <v>0</v>
      </c>
      <c r="AG299" s="808">
        <f>AG300+AG301</f>
        <v>0</v>
      </c>
      <c r="AH299" s="808">
        <f>AG299-AF299</f>
        <v>0</v>
      </c>
      <c r="AI299" s="808">
        <f>AI300+AI301</f>
        <v>0</v>
      </c>
      <c r="AJ299" s="808">
        <f>AJ300+AJ301</f>
        <v>0</v>
      </c>
      <c r="AK299" s="808">
        <f>AK300+AK301</f>
        <v>0</v>
      </c>
      <c r="AL299" s="808">
        <f>IF(AI299=0,0,(AK299-AI299)/AI299*100)</f>
        <v>0</v>
      </c>
      <c r="AM299" s="813"/>
      <c r="AN299" s="813"/>
      <c r="AO299" s="813"/>
      <c r="AP299" s="593"/>
      <c r="AQ299" s="593"/>
      <c r="AR299" s="1071" t="s">
        <v>2007</v>
      </c>
      <c r="AS299" s="1071"/>
      <c r="AT299" s="1071"/>
      <c r="AU299" s="703"/>
      <c r="AV299" s="703"/>
    </row>
    <row s="1656" customFormat="1" customHeight="1" ht="14.25">
      <c r="A300" s="1324"/>
      <c r="B300" s="1324"/>
      <c r="C300" s="1324"/>
      <c r="D300" s="1324"/>
      <c r="E300" s="701">
        <v>15</v>
      </c>
      <c r="F300" s="50" cm="1" t="str">
        <f t="array" ref="F300:F300">OFFSET(E300,-1,1)</f>
        <v>3</v>
      </c>
      <c r="G300" s="705" t="s">
        <v>1350</v>
      </c>
      <c r="H300" s="1324"/>
      <c r="I300" s="592" t="s">
        <v>1577</v>
      </c>
      <c r="J300" s="592"/>
      <c r="K300" s="592"/>
      <c r="L300" s="592"/>
      <c r="M300" s="592"/>
      <c r="N300" s="592"/>
      <c r="O300" s="592"/>
      <c r="P300" s="704"/>
      <c r="Q300" s="592"/>
      <c r="R300" s="592"/>
      <c r="S300" s="592"/>
      <c r="T300" s="468" cm="1" t="str">
        <f t="array" ref="T300:T300">T299</f>
        <v>true</v>
      </c>
      <c r="U300" s="1324"/>
      <c r="V300" s="1324"/>
      <c r="W300" s="1324"/>
      <c r="X300" s="1617"/>
      <c r="Y300" s="1324"/>
      <c r="Z300" s="1618"/>
      <c r="AA300" s="1324"/>
      <c r="AB300" s="814" t="s">
        <v>1214</v>
      </c>
      <c r="AC300" s="815" t="s">
        <v>2008</v>
      </c>
      <c r="AD300" s="766" t="s">
        <v>936</v>
      </c>
      <c r="AE300" s="809">
        <f>_xlfn.SUMIFS(ФОТ!AE$25:AE$127,ФОТ!$F$25:$F$127,$F300,ФОТ!$G$25:$G$127,$G300)</f>
        <v>0</v>
      </c>
      <c r="AF300" s="809">
        <f>_xlfn.SUMIFS(ФОТ!AF$25:AF$127,ФОТ!$F$25:$F$127,$F300,ФОТ!$G$25:$G$127,$G300)</f>
        <v>0</v>
      </c>
      <c r="AG300" s="809">
        <f>_xlfn.SUMIFS(ФОТ!AG$25:AG$127,ФОТ!$F$25:$F$127,$F300,ФОТ!$G$25:$G$127,$G300)</f>
        <v>0</v>
      </c>
      <c r="AH300" s="809">
        <f>AG300-AF300</f>
        <v>0</v>
      </c>
      <c r="AI300" s="809">
        <f>_xlfn.SUMIFS(ФОТ!AH$25:AH$127,ФОТ!$F$25:$F$127,$F300,ФОТ!$G$25:$G$127,$G300)</f>
        <v>0</v>
      </c>
      <c r="AJ300" s="809">
        <f>_xlfn.SUMIFS(ФОТ!AI$25:AI$127,ФОТ!$F$25:$F$127,$F300,ФОТ!$G$25:$G$127,$G300)</f>
        <v>0</v>
      </c>
      <c r="AK300" s="809">
        <f>_xlfn.SUMIFS(ФОТ!AJ$25:AJ$127,ФОТ!$F$25:$F$127,$F300,ФОТ!$G$25:$G$127,$G300)</f>
        <v>0</v>
      </c>
      <c r="AL300" s="809">
        <f>IF(AI300=0,0,(AK300-AI300)/AI300*100)</f>
        <v>0</v>
      </c>
      <c r="AM300" s="810"/>
      <c r="AN300" s="917" t="str">
        <f>IF(_xlfn.IFERROR(INDEX(ФОТ!$K$26:$L$127,MATCH($F300&amp;"1komm",ФОТ!$K$26:$K$127,0),2),"")=0,"",_xlfn.IFERROR(INDEX(ФОТ!$K$26:$L$127,MATCH($F300&amp;"1komm",ФОТ!$K$26:$K$127,0),2),""))</f>
        <v/>
      </c>
      <c r="AO300" s="810"/>
      <c r="AP300" s="1324"/>
      <c r="AQ300" s="1324"/>
      <c r="AR300" s="1070" t="s">
        <v>2009</v>
      </c>
      <c r="AS300" s="1070"/>
      <c r="AT300" s="1070"/>
      <c r="AU300" s="1067"/>
      <c r="AV300" s="1067"/>
    </row>
    <row s="1656" customFormat="1" customHeight="1" ht="21.75">
      <c r="A301" s="1324"/>
      <c r="B301" s="1324"/>
      <c r="C301" s="1324"/>
      <c r="D301" s="1324"/>
      <c r="E301" s="701">
        <v>22.5</v>
      </c>
      <c r="F301" s="50" cm="1" t="str">
        <f t="array" ref="F301:F301">OFFSET(E301,-1,1)</f>
        <v>3</v>
      </c>
      <c r="G301" s="705" t="s">
        <v>1362</v>
      </c>
      <c r="H301" s="1324"/>
      <c r="I301" s="592" t="s">
        <v>1578</v>
      </c>
      <c r="J301" s="592"/>
      <c r="K301" s="592"/>
      <c r="L301" s="592"/>
      <c r="M301" s="592"/>
      <c r="N301" s="592"/>
      <c r="O301" s="592"/>
      <c r="P301" s="704"/>
      <c r="Q301" s="592"/>
      <c r="R301" s="592"/>
      <c r="S301" s="592"/>
      <c r="T301" s="468" cm="1" t="str">
        <f t="array" ref="T301:T301">T300</f>
        <v>true</v>
      </c>
      <c r="U301" s="1324"/>
      <c r="V301" s="1324"/>
      <c r="W301" s="1324"/>
      <c r="X301" s="1617"/>
      <c r="Y301" s="1324"/>
      <c r="Z301" s="1618"/>
      <c r="AA301" s="1324"/>
      <c r="AB301" s="814" t="s">
        <v>1217</v>
      </c>
      <c r="AC301" s="815" t="s">
        <v>2010</v>
      </c>
      <c r="AD301" s="766" t="s">
        <v>936</v>
      </c>
      <c r="AE301" s="809">
        <f>_xlfn.SUMIFS(ФОТ!AE$25:AE$127,ФОТ!$F$25:$F$127,$F301,ФОТ!$G$25:$G$127,$G301)</f>
        <v>0</v>
      </c>
      <c r="AF301" s="809">
        <f>_xlfn.SUMIFS(ФОТ!AF$25:AF$127,ФОТ!$F$25:$F$127,$F301,ФОТ!$G$25:$G$127,$G301)</f>
        <v>0</v>
      </c>
      <c r="AG301" s="809">
        <f>_xlfn.SUMIFS(ФОТ!AG$25:AG$127,ФОТ!$F$25:$F$127,$F301,ФОТ!$G$25:$G$127,$G301)</f>
        <v>0</v>
      </c>
      <c r="AH301" s="809">
        <f>AG301-AF301</f>
        <v>0</v>
      </c>
      <c r="AI301" s="809">
        <f>_xlfn.SUMIFS(ФОТ!AH$25:AH$127,ФОТ!$F$25:$F$127,$F301,ФОТ!$G$25:$G$127,$G301)</f>
        <v>0</v>
      </c>
      <c r="AJ301" s="809">
        <f>_xlfn.SUMIFS(ФОТ!AI$25:AI$127,ФОТ!$F$25:$F$127,$F301,ФОТ!$G$25:$G$127,$G301)</f>
        <v>0</v>
      </c>
      <c r="AK301" s="809">
        <f>_xlfn.SUMIFS(ФОТ!AJ$25:AJ$127,ФОТ!$F$25:$F$127,$F301,ФОТ!$G$25:$G$127,$G301)</f>
        <v>0</v>
      </c>
      <c r="AL301" s="809">
        <f>IF(AI301=0,0,(AK301-AI301)/AI301*100)</f>
        <v>0</v>
      </c>
      <c r="AM301" s="810"/>
      <c r="AN301" s="917" t="str">
        <f>IF(_xlfn.IFERROR(INDEX(ФОТ!$K$26:$L$127,MATCH($F301&amp;"2komm",ФОТ!$K$26:$K$127,0),2),"")=0,"",_xlfn.IFERROR(INDEX(ФОТ!$K$26:$L$127,MATCH($F301&amp;"2komm",ФОТ!$K$26:$K$127,0),2),""))</f>
        <v/>
      </c>
      <c r="AO301" s="810"/>
      <c r="AP301" s="1324"/>
      <c r="AQ301" s="1324"/>
      <c r="AR301" s="1070" t="s">
        <v>2011</v>
      </c>
      <c r="AS301" s="1070"/>
      <c r="AT301" s="1070"/>
      <c r="AU301" s="1067"/>
      <c r="AV301" s="1067"/>
    </row>
    <row s="6176" customFormat="1" customHeight="1" ht="14.25">
      <c r="A302" s="593"/>
      <c r="B302" s="593"/>
      <c r="C302" s="593"/>
      <c r="D302" s="593"/>
      <c r="E302" s="703">
        <v>15</v>
      </c>
      <c r="F302" s="50" cm="1" t="str">
        <f t="array" ref="F302:F302">OFFSET(E302,-1,1)</f>
        <v>3</v>
      </c>
      <c r="G302" s="593"/>
      <c r="H302" s="593"/>
      <c r="I302" s="704" t="s">
        <v>1079</v>
      </c>
      <c r="J302" s="704"/>
      <c r="K302" s="704"/>
      <c r="L302" s="704"/>
      <c r="M302" s="704"/>
      <c r="N302" s="704"/>
      <c r="O302" s="704"/>
      <c r="P302" s="704"/>
      <c r="Q302" s="704"/>
      <c r="R302" s="704"/>
      <c r="S302" s="704"/>
      <c r="T302" s="468" cm="1" t="str">
        <f t="array" ref="T302:T302">T301</f>
        <v>true</v>
      </c>
      <c r="U302" s="593"/>
      <c r="V302" s="593"/>
      <c r="W302" s="593"/>
      <c r="X302" s="1617"/>
      <c r="Y302" s="593"/>
      <c r="Z302" s="1618"/>
      <c r="AA302" s="593"/>
      <c r="AB302" s="811" t="s">
        <v>1080</v>
      </c>
      <c r="AC302" s="812" t="s">
        <v>2012</v>
      </c>
      <c r="AD302" s="595" t="s">
        <v>936</v>
      </c>
      <c r="AE302" s="817"/>
      <c r="AF302" s="817"/>
      <c r="AG302" s="817"/>
      <c r="AH302" s="808">
        <f>AG302-AF302</f>
        <v>0</v>
      </c>
      <c r="AI302" s="817"/>
      <c r="AJ302" s="817"/>
      <c r="AK302" s="817"/>
      <c r="AL302" s="808">
        <f>IF(AI302=0,0,(AK302-AI302)/AI302*100)</f>
        <v>0</v>
      </c>
      <c r="AM302" s="813"/>
      <c r="AN302" s="813"/>
      <c r="AO302" s="813"/>
      <c r="AP302" s="593"/>
      <c r="AQ302" s="593"/>
      <c r="AR302" s="1071" t="s">
        <v>1556</v>
      </c>
      <c r="AS302" s="1071"/>
      <c r="AT302" s="1071"/>
      <c r="AU302" s="703"/>
      <c r="AV302" s="703"/>
    </row>
    <row s="6177" customFormat="1" customHeight="1" ht="14.25">
      <c r="A303" s="593"/>
      <c r="B303" s="593"/>
      <c r="C303" s="593"/>
      <c r="D303" s="593"/>
      <c r="E303" s="703">
        <v>15</v>
      </c>
      <c r="F303" s="50" cm="1" t="str">
        <f t="array" ref="F303:F303">OFFSET(E303,-1,1)</f>
        <v>3</v>
      </c>
      <c r="G303" s="593"/>
      <c r="H303" s="593"/>
      <c r="I303" s="704" t="s">
        <v>2013</v>
      </c>
      <c r="J303" s="704"/>
      <c r="K303" s="704"/>
      <c r="L303" s="704"/>
      <c r="M303" s="704"/>
      <c r="N303" s="704"/>
      <c r="O303" s="704"/>
      <c r="P303" s="704"/>
      <c r="Q303" s="704"/>
      <c r="R303" s="704"/>
      <c r="S303" s="704"/>
      <c r="T303" s="468" cm="1" t="str">
        <f t="array" ref="T303:T303">T302</f>
        <v>true</v>
      </c>
      <c r="U303" s="593"/>
      <c r="V303" s="593"/>
      <c r="W303" s="593"/>
      <c r="X303" s="1617"/>
      <c r="Y303" s="593"/>
      <c r="Z303" s="1618"/>
      <c r="AA303" s="593"/>
      <c r="AB303" s="811" t="s">
        <v>2014</v>
      </c>
      <c r="AC303" s="812" t="s">
        <v>2015</v>
      </c>
      <c r="AD303" s="595" t="s">
        <v>936</v>
      </c>
      <c r="AE303" s="817"/>
      <c r="AF303" s="817"/>
      <c r="AG303" s="817"/>
      <c r="AH303" s="808">
        <f>AG303-AF303</f>
        <v>0</v>
      </c>
      <c r="AI303" s="817"/>
      <c r="AJ303" s="817"/>
      <c r="AK303" s="817"/>
      <c r="AL303" s="808">
        <f>IF(AI303=0,0,(AK303-AI303)/AI303*100)</f>
        <v>0</v>
      </c>
      <c r="AM303" s="813"/>
      <c r="AN303" s="813"/>
      <c r="AO303" s="813"/>
      <c r="AP303" s="593"/>
      <c r="AQ303" s="593"/>
      <c r="AR303" s="1071" t="s">
        <v>2016</v>
      </c>
      <c r="AS303" s="1071"/>
      <c r="AT303" s="1071"/>
      <c r="AU303" s="703"/>
      <c r="AV303" s="703"/>
    </row>
    <row s="6178" customFormat="1" customHeight="1" ht="14.25">
      <c r="A304" s="593"/>
      <c r="B304" s="593"/>
      <c r="C304" s="593"/>
      <c r="D304" s="593"/>
      <c r="E304" s="703">
        <v>15</v>
      </c>
      <c r="F304" s="50" cm="1" t="str">
        <f t="array" ref="F304:F304">OFFSET(E304,-1,1)</f>
        <v>3</v>
      </c>
      <c r="G304" s="593"/>
      <c r="H304" s="593"/>
      <c r="I304" s="704" t="s">
        <v>2017</v>
      </c>
      <c r="J304" s="704"/>
      <c r="K304" s="704"/>
      <c r="L304" s="704"/>
      <c r="M304" s="704"/>
      <c r="N304" s="704"/>
      <c r="O304" s="704"/>
      <c r="P304" s="704"/>
      <c r="Q304" s="704"/>
      <c r="R304" s="704"/>
      <c r="S304" s="704"/>
      <c r="T304" s="468" cm="1" t="str">
        <f t="array" ref="T304:T304">T303</f>
        <v>true</v>
      </c>
      <c r="U304" s="593"/>
      <c r="V304" s="593"/>
      <c r="W304" s="593"/>
      <c r="X304" s="1617"/>
      <c r="Y304" s="593"/>
      <c r="Z304" s="1618"/>
      <c r="AA304" s="593"/>
      <c r="AB304" s="811" t="s">
        <v>2018</v>
      </c>
      <c r="AC304" s="812" t="s">
        <v>2019</v>
      </c>
      <c r="AD304" s="595" t="s">
        <v>936</v>
      </c>
      <c r="AE304" s="808">
        <f>SUM(AE305:AE310)</f>
        <v>0</v>
      </c>
      <c r="AF304" s="808">
        <f>SUM(AF305:AF310)</f>
        <v>0</v>
      </c>
      <c r="AG304" s="808">
        <f>SUM(AG305:AG310)</f>
        <v>0</v>
      </c>
      <c r="AH304" s="808">
        <f>AG304-AF304</f>
        <v>0</v>
      </c>
      <c r="AI304" s="808">
        <f>SUM(AI305:AI310)</f>
        <v>0</v>
      </c>
      <c r="AJ304" s="808">
        <f>SUM(AJ305:AJ310)</f>
        <v>0</v>
      </c>
      <c r="AK304" s="808">
        <f>SUM(AK305:AK310)</f>
        <v>0</v>
      </c>
      <c r="AL304" s="808">
        <f>IF(AI304=0,0,(AK304-AI304)/AI304*100)</f>
        <v>0</v>
      </c>
      <c r="AM304" s="813"/>
      <c r="AN304" s="813"/>
      <c r="AO304" s="813"/>
      <c r="AP304" s="593"/>
      <c r="AQ304" s="593"/>
      <c r="AR304" s="1071" t="s">
        <v>2020</v>
      </c>
      <c r="AS304" s="1071"/>
      <c r="AT304" s="1071"/>
      <c r="AU304" s="703"/>
      <c r="AV304" s="703"/>
    </row>
    <row s="1656" customFormat="1" customHeight="1" ht="14.25">
      <c r="A305" s="1324"/>
      <c r="B305" s="1324"/>
      <c r="C305" s="1324"/>
      <c r="D305" s="1324"/>
      <c r="E305" s="701">
        <v>15</v>
      </c>
      <c r="F305" s="50" cm="1" t="str">
        <f t="array" ref="F305:F305">OFFSET(E305,-1,1)</f>
        <v>3</v>
      </c>
      <c r="G305" s="1324"/>
      <c r="H305" s="1324"/>
      <c r="I305" s="592" t="s">
        <v>2017</v>
      </c>
      <c r="J305" s="994" t="s">
        <v>2021</v>
      </c>
      <c r="K305" s="1324"/>
      <c r="L305" s="592"/>
      <c r="M305" s="592"/>
      <c r="N305" s="592"/>
      <c r="O305" s="592"/>
      <c r="P305" s="592"/>
      <c r="Q305" s="592"/>
      <c r="R305" s="592"/>
      <c r="S305" s="592"/>
      <c r="T305" s="468" cm="1" t="str">
        <f t="array" ref="T305:T305">T304</f>
        <v>true</v>
      </c>
      <c r="U305" s="1324"/>
      <c r="V305" s="1324"/>
      <c r="W305" s="1324"/>
      <c r="X305" s="1617"/>
      <c r="Y305" s="1324"/>
      <c r="Z305" s="1618"/>
      <c r="AA305" s="1324"/>
      <c r="AB305" s="814" t="s">
        <v>2022</v>
      </c>
      <c r="AC305" s="815" t="s">
        <v>2023</v>
      </c>
      <c r="AD305" s="766" t="s">
        <v>936</v>
      </c>
      <c r="AE305" s="816"/>
      <c r="AF305" s="816"/>
      <c r="AG305" s="816"/>
      <c r="AH305" s="809">
        <f>AG305-AF305</f>
        <v>0</v>
      </c>
      <c r="AI305" s="816"/>
      <c r="AJ305" s="816"/>
      <c r="AK305" s="816"/>
      <c r="AL305" s="809">
        <f>IF(AI305=0,0,(AK305-AI305)/AI305*100)</f>
        <v>0</v>
      </c>
      <c r="AM305" s="810"/>
      <c r="AN305" s="810"/>
      <c r="AO305" s="810"/>
      <c r="AP305" s="1324"/>
      <c r="AQ305" s="1324"/>
      <c r="AR305" s="1070" t="s">
        <v>2024</v>
      </c>
      <c r="AS305" s="1070"/>
      <c r="AT305" s="1070"/>
      <c r="AU305" s="1067"/>
      <c r="AV305" s="1067"/>
    </row>
    <row s="1656" customFormat="1" customHeight="1" ht="14.25">
      <c r="A306" s="1324"/>
      <c r="B306" s="1324"/>
      <c r="C306" s="1324"/>
      <c r="D306" s="1324"/>
      <c r="E306" s="701">
        <v>15</v>
      </c>
      <c r="F306" s="50" cm="1" t="str">
        <f t="array" ref="F306:F306">OFFSET(E306,-1,1)</f>
        <v>3</v>
      </c>
      <c r="G306" s="1324"/>
      <c r="H306" s="1324"/>
      <c r="I306" s="592" t="s">
        <v>2017</v>
      </c>
      <c r="J306" s="994" t="s">
        <v>2025</v>
      </c>
      <c r="K306" s="1324"/>
      <c r="L306" s="592"/>
      <c r="M306" s="592"/>
      <c r="N306" s="592"/>
      <c r="O306" s="592"/>
      <c r="P306" s="592"/>
      <c r="Q306" s="592"/>
      <c r="R306" s="592"/>
      <c r="S306" s="592"/>
      <c r="T306" s="468" cm="1" t="str">
        <f t="array" ref="T306:T306">T305</f>
        <v>true</v>
      </c>
      <c r="U306" s="1324"/>
      <c r="V306" s="1324"/>
      <c r="W306" s="1324"/>
      <c r="X306" s="1617"/>
      <c r="Y306" s="1324"/>
      <c r="Z306" s="1618"/>
      <c r="AA306" s="1324"/>
      <c r="AB306" s="814" t="s">
        <v>2026</v>
      </c>
      <c r="AC306" s="815" t="s">
        <v>2027</v>
      </c>
      <c r="AD306" s="766" t="s">
        <v>936</v>
      </c>
      <c r="AE306" s="816"/>
      <c r="AF306" s="816"/>
      <c r="AG306" s="816"/>
      <c r="AH306" s="809">
        <f>AG306-AF306</f>
        <v>0</v>
      </c>
      <c r="AI306" s="816"/>
      <c r="AJ306" s="816"/>
      <c r="AK306" s="816"/>
      <c r="AL306" s="809">
        <f>IF(AI306=0,0,(AK306-AI306)/AI306*100)</f>
        <v>0</v>
      </c>
      <c r="AM306" s="810"/>
      <c r="AN306" s="810"/>
      <c r="AO306" s="810"/>
      <c r="AP306" s="1324"/>
      <c r="AQ306" s="1324"/>
      <c r="AR306" s="1070" t="s">
        <v>2028</v>
      </c>
      <c r="AS306" s="1070"/>
      <c r="AT306" s="1070"/>
      <c r="AU306" s="1067"/>
      <c r="AV306" s="1067"/>
    </row>
    <row s="1656" customFormat="1" customHeight="1" ht="14.25">
      <c r="A307" s="1324"/>
      <c r="B307" s="1324"/>
      <c r="C307" s="1324"/>
      <c r="D307" s="1324"/>
      <c r="E307" s="701">
        <v>15</v>
      </c>
      <c r="F307" s="50" cm="1" t="str">
        <f t="array" ref="F307:F307">OFFSET(E307,-1,1)</f>
        <v>3</v>
      </c>
      <c r="G307" s="1324"/>
      <c r="H307" s="1324"/>
      <c r="I307" s="592" t="s">
        <v>2017</v>
      </c>
      <c r="J307" s="994" t="s">
        <v>2029</v>
      </c>
      <c r="K307" s="1324"/>
      <c r="L307" s="592"/>
      <c r="M307" s="592"/>
      <c r="N307" s="592"/>
      <c r="O307" s="592"/>
      <c r="P307" s="592"/>
      <c r="Q307" s="592"/>
      <c r="R307" s="592"/>
      <c r="S307" s="592"/>
      <c r="T307" s="468" cm="1" t="str">
        <f t="array" ref="T307:T307">T306</f>
        <v>true</v>
      </c>
      <c r="U307" s="1324"/>
      <c r="V307" s="1324"/>
      <c r="W307" s="1324"/>
      <c r="X307" s="1617"/>
      <c r="Y307" s="1324"/>
      <c r="Z307" s="1618"/>
      <c r="AA307" s="1324"/>
      <c r="AB307" s="814" t="s">
        <v>2030</v>
      </c>
      <c r="AC307" s="815" t="s">
        <v>2031</v>
      </c>
      <c r="AD307" s="766" t="s">
        <v>936</v>
      </c>
      <c r="AE307" s="816"/>
      <c r="AF307" s="816"/>
      <c r="AG307" s="816"/>
      <c r="AH307" s="809">
        <f>AG307-AF307</f>
        <v>0</v>
      </c>
      <c r="AI307" s="816"/>
      <c r="AJ307" s="816"/>
      <c r="AK307" s="816"/>
      <c r="AL307" s="809">
        <f>IF(AI307=0,0,(AK307-AI307)/AI307*100)</f>
        <v>0</v>
      </c>
      <c r="AM307" s="810"/>
      <c r="AN307" s="810"/>
      <c r="AO307" s="810"/>
      <c r="AP307" s="1324"/>
      <c r="AQ307" s="1324"/>
      <c r="AR307" s="1070" t="s">
        <v>2032</v>
      </c>
      <c r="AS307" s="1070"/>
      <c r="AT307" s="1070"/>
      <c r="AU307" s="1067"/>
      <c r="AV307" s="1067"/>
    </row>
    <row s="1656" customFormat="1" customHeight="1" ht="14.25">
      <c r="A308" s="1324"/>
      <c r="B308" s="1324"/>
      <c r="C308" s="1324"/>
      <c r="D308" s="1324"/>
      <c r="E308" s="701">
        <v>15</v>
      </c>
      <c r="F308" s="50" cm="1" t="str">
        <f t="array" ref="F308:F308">OFFSET(E308,-1,1)</f>
        <v>3</v>
      </c>
      <c r="G308" s="1324"/>
      <c r="H308" s="1324"/>
      <c r="I308" s="592" t="s">
        <v>2017</v>
      </c>
      <c r="J308" s="994" t="s">
        <v>2033</v>
      </c>
      <c r="K308" s="1324"/>
      <c r="L308" s="592"/>
      <c r="M308" s="592"/>
      <c r="N308" s="592"/>
      <c r="O308" s="592"/>
      <c r="P308" s="592"/>
      <c r="Q308" s="592"/>
      <c r="R308" s="592"/>
      <c r="S308" s="592"/>
      <c r="T308" s="468" cm="1" t="str">
        <f t="array" ref="T308:T308">T307</f>
        <v>true</v>
      </c>
      <c r="U308" s="1324"/>
      <c r="V308" s="1324"/>
      <c r="W308" s="1324"/>
      <c r="X308" s="1617"/>
      <c r="Y308" s="1324"/>
      <c r="Z308" s="1618"/>
      <c r="AA308" s="1324"/>
      <c r="AB308" s="814" t="s">
        <v>2034</v>
      </c>
      <c r="AC308" s="815" t="s">
        <v>2035</v>
      </c>
      <c r="AD308" s="766" t="s">
        <v>936</v>
      </c>
      <c r="AE308" s="816"/>
      <c r="AF308" s="816"/>
      <c r="AG308" s="816"/>
      <c r="AH308" s="809">
        <f>AG308-AF308</f>
        <v>0</v>
      </c>
      <c r="AI308" s="816"/>
      <c r="AJ308" s="816"/>
      <c r="AK308" s="816"/>
      <c r="AL308" s="809">
        <f>IF(AI308=0,0,(AK308-AI308)/AI308*100)</f>
        <v>0</v>
      </c>
      <c r="AM308" s="810"/>
      <c r="AN308" s="810"/>
      <c r="AO308" s="810"/>
      <c r="AP308" s="1324"/>
      <c r="AQ308" s="1324"/>
      <c r="AR308" s="1070" t="s">
        <v>2036</v>
      </c>
      <c r="AS308" s="1070"/>
      <c r="AT308" s="1070"/>
      <c r="AU308" s="1067"/>
      <c r="AV308" s="1067"/>
    </row>
    <row s="1656" customFormat="1" customHeight="1" ht="14.25" hidden="1">
      <c r="A309" s="1324"/>
      <c r="B309" s="1324"/>
      <c r="C309" s="1324"/>
      <c r="D309" s="1324"/>
      <c r="E309" s="701">
        <v>15</v>
      </c>
      <c r="F309" s="50" cm="1" t="str">
        <f t="array" ref="F309:F309">OFFSET(E309,-1,1)</f>
        <v>3</v>
      </c>
      <c r="G309" s="1324"/>
      <c r="H309" s="1324"/>
      <c r="I309" s="592" t="s">
        <v>2017</v>
      </c>
      <c r="J309" s="582" cm="1" t="str">
        <f t="array" ref="J309:J309">AC309</f>
        <v>0</v>
      </c>
      <c r="K309" s="1324"/>
      <c r="L309" s="592"/>
      <c r="M309" s="592"/>
      <c r="N309" s="592"/>
      <c r="O309" s="592"/>
      <c r="P309" s="592"/>
      <c r="Q309" s="592"/>
      <c r="R309" s="592"/>
      <c r="S309" s="592"/>
      <c r="T309" s="468">
        <f>AND(F309&gt;0,Y309&gt;4)</f>
        <v>0</v>
      </c>
      <c r="U309" s="1324"/>
      <c r="V309" s="1324"/>
      <c r="W309" s="764" t="s">
        <v>173</v>
      </c>
      <c r="X309" s="1617"/>
      <c r="Y309" s="582">
        <v>4</v>
      </c>
      <c r="Z309" s="1618"/>
      <c r="AA309" s="1247" t="s">
        <v>174</v>
      </c>
      <c r="AB309" s="707" t="str">
        <f>"1.7."&amp;Y309</f>
        <v>1.7.4</v>
      </c>
      <c r="AC309" s="6060"/>
      <c r="AD309" s="766" t="s">
        <v>936</v>
      </c>
      <c r="AE309" s="6057"/>
      <c r="AF309" s="6057"/>
      <c r="AG309" s="6057"/>
      <c r="AH309" s="809">
        <f>AG309-AF309</f>
        <v>0</v>
      </c>
      <c r="AI309" s="6057"/>
      <c r="AJ309" s="6061"/>
      <c r="AK309" s="6061"/>
      <c r="AL309" s="809">
        <f>IF(AI309=0,0,(AK309-AI309)/AI309*100)</f>
        <v>0</v>
      </c>
      <c r="AM309" s="6062"/>
      <c r="AN309" s="6062"/>
      <c r="AO309" s="6062"/>
      <c r="AP309" s="1324"/>
      <c r="AQ309" s="1324"/>
      <c r="AR309" s="1070" t="s">
        <v>2037</v>
      </c>
      <c r="AS309" s="1070" t="s">
        <v>1323</v>
      </c>
      <c r="AT309" s="1068" cm="1" t="str">
        <f t="array" ref="AT309:AT309">AC309</f>
        <v>0</v>
      </c>
      <c r="AU309" s="1067"/>
      <c r="AV309" s="701" t="b">
        <v>1</v>
      </c>
    </row>
    <row s="1656" customFormat="1" customHeight="1" ht="14.25">
      <c r="A310" s="1324"/>
      <c r="B310" s="1324"/>
      <c r="C310" s="1324"/>
      <c r="D310" s="1324"/>
      <c r="E310" s="701">
        <v>15</v>
      </c>
      <c r="F310" s="50" cm="1" t="str">
        <f t="array" ref="F310:F310">OFFSET(E310,-1,1)</f>
        <v>3</v>
      </c>
      <c r="G310" s="1324"/>
      <c r="H310" s="1324"/>
      <c r="I310" s="702"/>
      <c r="J310" s="702" t="s">
        <v>2038</v>
      </c>
      <c r="K310" s="702"/>
      <c r="L310" s="702"/>
      <c r="M310" s="702"/>
      <c r="N310" s="702"/>
      <c r="O310" s="702"/>
      <c r="P310" s="702"/>
      <c r="Q310" s="702"/>
      <c r="R310" s="702"/>
      <c r="S310" s="702"/>
      <c r="T310" s="468">
        <f>F310&gt;0</f>
        <v>1</v>
      </c>
      <c r="U310" s="1324"/>
      <c r="V310" s="1324"/>
      <c r="W310" s="836" t="s">
        <v>410</v>
      </c>
      <c r="X310" s="1617"/>
      <c r="Y310" s="1324"/>
      <c r="Z310" s="1618"/>
      <c r="AA310" s="1324"/>
      <c r="AB310" s="1248"/>
      <c r="AC310" s="1249" t="s">
        <v>177</v>
      </c>
      <c r="AD310" s="1250"/>
      <c r="AE310" s="1250"/>
      <c r="AF310" s="1250"/>
      <c r="AG310" s="1250"/>
      <c r="AH310" s="1250"/>
      <c r="AI310" s="1250"/>
      <c r="AJ310" s="1250"/>
      <c r="AK310" s="1250"/>
      <c r="AL310" s="1250"/>
      <c r="AM310" s="1250"/>
      <c r="AN310" s="1250"/>
      <c r="AO310" s="1251"/>
      <c r="AP310" s="1324"/>
      <c r="AQ310" s="1324"/>
      <c r="AR310" s="1070"/>
      <c r="AS310" s="1070"/>
      <c r="AT310" s="1070"/>
      <c r="AU310" s="1067" t="s">
        <v>1323</v>
      </c>
      <c r="AV310" s="1067"/>
    </row>
    <row s="6193" customFormat="1" customHeight="1" ht="14.25">
      <c r="A311" s="593"/>
      <c r="B311" s="593"/>
      <c r="C311" s="593"/>
      <c r="D311" s="593"/>
      <c r="E311" s="703">
        <v>15</v>
      </c>
      <c r="F311" s="50" cm="1" t="str">
        <f t="array" ref="F311:F311">OFFSET(E311,-1,1)</f>
        <v>3</v>
      </c>
      <c r="G311" s="593"/>
      <c r="H311" s="593"/>
      <c r="I311" s="704" t="s">
        <v>345</v>
      </c>
      <c r="J311" s="704"/>
      <c r="K311" s="704"/>
      <c r="L311" s="704"/>
      <c r="M311" s="704"/>
      <c r="N311" s="704"/>
      <c r="O311" s="704"/>
      <c r="P311" s="704"/>
      <c r="Q311" s="704"/>
      <c r="R311" s="704"/>
      <c r="S311" s="704"/>
      <c r="T311" s="468" cm="1" t="str">
        <f t="array" ref="T311:T311">T310</f>
        <v>true</v>
      </c>
      <c r="U311" s="593"/>
      <c r="V311" s="593"/>
      <c r="W311" s="593"/>
      <c r="X311" s="1617"/>
      <c r="Y311" s="593"/>
      <c r="Z311" s="1618"/>
      <c r="AA311" s="593"/>
      <c r="AB311" s="811" t="s">
        <v>299</v>
      </c>
      <c r="AC311" s="807" t="s">
        <v>2039</v>
      </c>
      <c r="AD311" s="819" t="s">
        <v>936</v>
      </c>
      <c r="AE311" s="795">
        <f>AE312+AE313</f>
        <v>0</v>
      </c>
      <c r="AF311" s="795">
        <f>AF312+AF313</f>
        <v>0</v>
      </c>
      <c r="AG311" s="795">
        <f>AG312+AG313</f>
        <v>0</v>
      </c>
      <c r="AH311" s="808">
        <f>AG311-AF311</f>
        <v>0</v>
      </c>
      <c r="AI311" s="795">
        <f>AI312+AI313</f>
        <v>0</v>
      </c>
      <c r="AJ311" s="795">
        <f>AJ312+AJ313</f>
        <v>0</v>
      </c>
      <c r="AK311" s="795">
        <f>AK312+AK313</f>
        <v>0</v>
      </c>
      <c r="AL311" s="808">
        <f>IF(AI311=0,0,(AK311-AI311)/AI311*100)</f>
        <v>0</v>
      </c>
      <c r="AM311" s="813"/>
      <c r="AN311" s="813"/>
      <c r="AO311" s="813"/>
      <c r="AP311" s="593"/>
      <c r="AQ311" s="593"/>
      <c r="AR311" s="1071" t="s">
        <v>2040</v>
      </c>
      <c r="AS311" s="1071"/>
      <c r="AT311" s="1071"/>
      <c r="AU311" s="703"/>
      <c r="AV311" s="703"/>
    </row>
    <row s="1656" customFormat="1" customHeight="1" ht="32.25">
      <c r="A312" s="1324"/>
      <c r="B312" s="1324"/>
      <c r="C312" s="1324"/>
      <c r="D312" s="1324"/>
      <c r="E312" s="701">
        <v>33.75</v>
      </c>
      <c r="F312" s="50" cm="1" t="str">
        <f t="array" ref="F312:F312">OFFSET(E312,-1,1)</f>
        <v>3</v>
      </c>
      <c r="G312" s="1324"/>
      <c r="H312" s="1324"/>
      <c r="I312" s="592" t="s">
        <v>584</v>
      </c>
      <c r="J312" s="592"/>
      <c r="K312" s="592"/>
      <c r="L312" s="592"/>
      <c r="M312" s="592"/>
      <c r="N312" s="592"/>
      <c r="O312" s="592"/>
      <c r="P312" s="592"/>
      <c r="Q312" s="592"/>
      <c r="R312" s="592"/>
      <c r="S312" s="592"/>
      <c r="T312" s="468" cm="1" t="str">
        <f t="array" ref="T312:T312">T311</f>
        <v>true</v>
      </c>
      <c r="U312" s="1324"/>
      <c r="V312" s="1324"/>
      <c r="W312" s="1324"/>
      <c r="X312" s="1617"/>
      <c r="Y312" s="1324"/>
      <c r="Z312" s="1618"/>
      <c r="AA312" s="1324"/>
      <c r="AB312" s="814" t="s">
        <v>660</v>
      </c>
      <c r="AC312" s="820" t="s">
        <v>2041</v>
      </c>
      <c r="AD312" s="821" t="s">
        <v>936</v>
      </c>
      <c r="AE312" s="816"/>
      <c r="AF312" s="816"/>
      <c r="AG312" s="816"/>
      <c r="AH312" s="809">
        <f>AG312-AF312</f>
        <v>0</v>
      </c>
      <c r="AI312" s="816"/>
      <c r="AJ312" s="816"/>
      <c r="AK312" s="816"/>
      <c r="AL312" s="809">
        <f>IF(AI312=0,0,(AK312-AI312)/AI312*100)</f>
        <v>0</v>
      </c>
      <c r="AM312" s="810"/>
      <c r="AN312" s="810"/>
      <c r="AO312" s="810"/>
      <c r="AP312" s="1324"/>
      <c r="AQ312" s="1324"/>
      <c r="AR312" s="1070" t="s">
        <v>2042</v>
      </c>
      <c r="AS312" s="1070"/>
      <c r="AT312" s="1070"/>
      <c r="AU312" s="1067"/>
      <c r="AV312" s="1067"/>
    </row>
    <row s="1656" customFormat="1" customHeight="1" ht="34.5">
      <c r="A313" s="1324"/>
      <c r="B313" s="1324"/>
      <c r="C313" s="1324"/>
      <c r="D313" s="1324"/>
      <c r="E313" s="701">
        <v>36</v>
      </c>
      <c r="F313" s="50" cm="1" t="str">
        <f t="array" ref="F313:F313">OFFSET(E313,-1,1)</f>
        <v>3</v>
      </c>
      <c r="G313" s="1324"/>
      <c r="H313" s="1324"/>
      <c r="I313" s="592" t="s">
        <v>587</v>
      </c>
      <c r="J313" s="592"/>
      <c r="K313" s="592"/>
      <c r="L313" s="592"/>
      <c r="M313" s="592"/>
      <c r="N313" s="592"/>
      <c r="O313" s="592"/>
      <c r="P313" s="592"/>
      <c r="Q313" s="592"/>
      <c r="R313" s="592"/>
      <c r="S313" s="592"/>
      <c r="T313" s="468" cm="1" t="str">
        <f t="array" ref="T313:T313">T312</f>
        <v>true</v>
      </c>
      <c r="U313" s="1324"/>
      <c r="V313" s="1324"/>
      <c r="W313" s="1324"/>
      <c r="X313" s="1617"/>
      <c r="Y313" s="1324"/>
      <c r="Z313" s="1618"/>
      <c r="AA313" s="1324"/>
      <c r="AB313" s="814" t="s">
        <v>664</v>
      </c>
      <c r="AC313" s="820" t="s">
        <v>2043</v>
      </c>
      <c r="AD313" s="821" t="s">
        <v>936</v>
      </c>
      <c r="AE313" s="822">
        <f>AE314+AE315</f>
        <v>0</v>
      </c>
      <c r="AF313" s="822">
        <f>AF314+AF315</f>
        <v>0</v>
      </c>
      <c r="AG313" s="822">
        <f>AG314+AG315</f>
        <v>0</v>
      </c>
      <c r="AH313" s="809">
        <f>AG313-AF313</f>
        <v>0</v>
      </c>
      <c r="AI313" s="822">
        <f>AI314+AI315</f>
        <v>0</v>
      </c>
      <c r="AJ313" s="822">
        <f>AJ314+AJ315</f>
        <v>0</v>
      </c>
      <c r="AK313" s="822">
        <f>AK314+AK315</f>
        <v>0</v>
      </c>
      <c r="AL313" s="809">
        <f>IF(AI313=0,0,(AK313-AI313)/AI313*100)</f>
        <v>0</v>
      </c>
      <c r="AM313" s="810"/>
      <c r="AN313" s="810"/>
      <c r="AO313" s="810"/>
      <c r="AP313" s="1324"/>
      <c r="AQ313" s="1324"/>
      <c r="AR313" s="1070" t="s">
        <v>2044</v>
      </c>
      <c r="AS313" s="1070"/>
      <c r="AT313" s="1070"/>
      <c r="AU313" s="1067"/>
      <c r="AV313" s="1067"/>
    </row>
    <row s="1656" customFormat="1" customHeight="1" ht="14.25">
      <c r="A314" s="1324"/>
      <c r="B314" s="1324"/>
      <c r="C314" s="1324"/>
      <c r="D314" s="1324"/>
      <c r="E314" s="701">
        <v>15</v>
      </c>
      <c r="F314" s="50" cm="1" t="str">
        <f t="array" ref="F314:F314">OFFSET(E314,-1,1)</f>
        <v>3</v>
      </c>
      <c r="G314" s="582" t="s">
        <v>1365</v>
      </c>
      <c r="H314" s="1324"/>
      <c r="I314" s="592" t="s">
        <v>2045</v>
      </c>
      <c r="J314" s="592"/>
      <c r="K314" s="592"/>
      <c r="L314" s="592"/>
      <c r="M314" s="592"/>
      <c r="N314" s="592"/>
      <c r="O314" s="592"/>
      <c r="P314" s="592"/>
      <c r="Q314" s="592"/>
      <c r="R314" s="592"/>
      <c r="S314" s="592"/>
      <c r="T314" s="468" cm="1" t="str">
        <f t="array" ref="T314:T314">T313</f>
        <v>true</v>
      </c>
      <c r="U314" s="1324"/>
      <c r="V314" s="1324"/>
      <c r="W314" s="1324"/>
      <c r="X314" s="1617"/>
      <c r="Y314" s="1324"/>
      <c r="Z314" s="1618"/>
      <c r="AA314" s="1324"/>
      <c r="AB314" s="814" t="s">
        <v>598</v>
      </c>
      <c r="AC314" s="815" t="s">
        <v>2046</v>
      </c>
      <c r="AD314" s="821" t="s">
        <v>936</v>
      </c>
      <c r="AE314" s="809">
        <f>_xlfn.SUMIFS(ФОТ!AE$25:AE$127,ФОТ!$F$25:$F$127,$F314,ФОТ!$G$25:$G$127,$G314)</f>
        <v>0</v>
      </c>
      <c r="AF314" s="809">
        <f>_xlfn.SUMIFS(ФОТ!AF$25:AF$127,ФОТ!$F$25:$F$127,$F314,ФОТ!$G$25:$G$127,$G314)</f>
        <v>0</v>
      </c>
      <c r="AG314" s="809">
        <f>_xlfn.SUMIFS(ФОТ!AG$25:AG$127,ФОТ!$F$25:$F$127,$F314,ФОТ!$G$25:$G$127,$G314)</f>
        <v>0</v>
      </c>
      <c r="AH314" s="809">
        <f>AG314-AF314</f>
        <v>0</v>
      </c>
      <c r="AI314" s="809">
        <f>_xlfn.SUMIFS(ФОТ!AH$25:AH$127,ФОТ!$F$25:$F$127,$F314,ФОТ!$G$25:$G$127,$G314)</f>
        <v>0</v>
      </c>
      <c r="AJ314" s="809">
        <f>_xlfn.SUMIFS(ФОТ!AI$25:AI$127,ФОТ!$F$25:$F$127,$F314,ФОТ!$G$25:$G$127,$G314)</f>
        <v>0</v>
      </c>
      <c r="AK314" s="809">
        <f>_xlfn.SUMIFS(ФОТ!AJ$25:AJ$127,ФОТ!$F$25:$F$127,$F314,ФОТ!$G$25:$G$127,$G314)</f>
        <v>0</v>
      </c>
      <c r="AL314" s="809">
        <f>IF(AI314=0,0,(AK314-AI314)/AI314*100)</f>
        <v>0</v>
      </c>
      <c r="AM314" s="810"/>
      <c r="AN314" s="917" t="str">
        <f>IF(_xlfn.IFERROR(INDEX(ФОТ!$K$26:$L$127,MATCH($F314&amp;"3komm",ФОТ!$K$26:$K$127,0),2),"")=0,"",_xlfn.IFERROR(INDEX(ФОТ!$K$26:$L$127,MATCH($F314&amp;"3komm",ФОТ!$K$26:$K$127,0),2),""))</f>
        <v/>
      </c>
      <c r="AO314" s="810"/>
      <c r="AP314" s="1324"/>
      <c r="AQ314" s="1324"/>
      <c r="AR314" s="1070" t="s">
        <v>2047</v>
      </c>
      <c r="AS314" s="1070"/>
      <c r="AT314" s="1070"/>
      <c r="AU314" s="1067"/>
      <c r="AV314" s="1067"/>
    </row>
    <row s="1656" customFormat="1" customHeight="1" ht="21.75">
      <c r="A315" s="1324"/>
      <c r="B315" s="1324"/>
      <c r="C315" s="1324"/>
      <c r="D315" s="1324"/>
      <c r="E315" s="701">
        <v>22.5</v>
      </c>
      <c r="F315" s="50" cm="1" t="str">
        <f t="array" ref="F315:F315">OFFSET(E315,-1,1)</f>
        <v>3</v>
      </c>
      <c r="G315" s="582" t="s">
        <v>1370</v>
      </c>
      <c r="H315" s="1324"/>
      <c r="I315" s="592" t="s">
        <v>2048</v>
      </c>
      <c r="J315" s="592"/>
      <c r="K315" s="592"/>
      <c r="L315" s="592"/>
      <c r="M315" s="592"/>
      <c r="N315" s="592"/>
      <c r="O315" s="592"/>
      <c r="P315" s="592"/>
      <c r="Q315" s="592"/>
      <c r="R315" s="592"/>
      <c r="S315" s="592"/>
      <c r="T315" s="468" cm="1" t="str">
        <f t="array" ref="T315:T315">T314</f>
        <v>true</v>
      </c>
      <c r="U315" s="1324"/>
      <c r="V315" s="1324"/>
      <c r="W315" s="1324"/>
      <c r="X315" s="1617"/>
      <c r="Y315" s="1324"/>
      <c r="Z315" s="1618"/>
      <c r="AA315" s="1324"/>
      <c r="AB315" s="814" t="s">
        <v>1663</v>
      </c>
      <c r="AC315" s="815" t="s">
        <v>2049</v>
      </c>
      <c r="AD315" s="821" t="s">
        <v>936</v>
      </c>
      <c r="AE315" s="809">
        <f>_xlfn.SUMIFS(ФОТ!AE$25:AE$127,ФОТ!$F$25:$F$127,$F315,ФОТ!$G$25:$G$127,$G315)</f>
        <v>0</v>
      </c>
      <c r="AF315" s="809">
        <f>_xlfn.SUMIFS(ФОТ!AF$25:AF$127,ФОТ!$F$25:$F$127,$F315,ФОТ!$G$25:$G$127,$G315)</f>
        <v>0</v>
      </c>
      <c r="AG315" s="809">
        <f>_xlfn.SUMIFS(ФОТ!AG$25:AG$127,ФОТ!$F$25:$F$127,$F315,ФОТ!$G$25:$G$127,$G315)</f>
        <v>0</v>
      </c>
      <c r="AH315" s="809">
        <f>AG315-AF315</f>
        <v>0</v>
      </c>
      <c r="AI315" s="809">
        <f>_xlfn.SUMIFS(ФОТ!AH$25:AH$127,ФОТ!$F$25:$F$127,$F315,ФОТ!$G$25:$G$127,$G315)</f>
        <v>0</v>
      </c>
      <c r="AJ315" s="809">
        <f>_xlfn.SUMIFS(ФОТ!AI$25:AI$127,ФОТ!$F$25:$F$127,$F315,ФОТ!$G$25:$G$127,$G315)</f>
        <v>0</v>
      </c>
      <c r="AK315" s="809">
        <f>_xlfn.SUMIFS(ФОТ!AJ$25:AJ$127,ФОТ!$F$25:$F$127,$F315,ФОТ!$G$25:$G$127,$G315)</f>
        <v>0</v>
      </c>
      <c r="AL315" s="809">
        <f>IF(AI315=0,0,(AK315-AI315)/AI315*100)</f>
        <v>0</v>
      </c>
      <c r="AM315" s="810"/>
      <c r="AN315" s="917" t="str">
        <f>IF(_xlfn.IFERROR(INDEX(ФОТ!$K$26:$L$127,MATCH($F315&amp;"4komm",ФОТ!$K$26:$K$127,0),2),"")=0,"",_xlfn.IFERROR(INDEX(ФОТ!$K$26:$L$127,MATCH($F315&amp;"4komm",ФОТ!$K$26:$K$127,0),2),""))</f>
        <v/>
      </c>
      <c r="AO315" s="810"/>
      <c r="AP315" s="1324"/>
      <c r="AQ315" s="1324"/>
      <c r="AR315" s="1070" t="s">
        <v>2050</v>
      </c>
      <c r="AS315" s="1070"/>
      <c r="AT315" s="1070"/>
      <c r="AU315" s="1067"/>
      <c r="AV315" s="1067"/>
    </row>
    <row s="6194" customFormat="1" customHeight="1" ht="14.25">
      <c r="A316" s="593"/>
      <c r="B316" s="593"/>
      <c r="C316" s="593"/>
      <c r="D316" s="593"/>
      <c r="E316" s="703">
        <v>15</v>
      </c>
      <c r="F316" s="50" cm="1" t="str">
        <f t="array" ref="F316:F316">OFFSET(E316,-1,1)</f>
        <v>3</v>
      </c>
      <c r="G316" s="593"/>
      <c r="H316" s="593"/>
      <c r="I316" s="704" t="s">
        <v>346</v>
      </c>
      <c r="J316" s="704"/>
      <c r="K316" s="704"/>
      <c r="L316" s="704"/>
      <c r="M316" s="704"/>
      <c r="N316" s="704"/>
      <c r="O316" s="704"/>
      <c r="P316" s="704"/>
      <c r="Q316" s="704"/>
      <c r="R316" s="704"/>
      <c r="S316" s="704"/>
      <c r="T316" s="468" cm="1" t="str">
        <f t="array" ref="T316:T316">T315</f>
        <v>true</v>
      </c>
      <c r="U316" s="593"/>
      <c r="V316" s="593"/>
      <c r="W316" s="593"/>
      <c r="X316" s="1617"/>
      <c r="Y316" s="593"/>
      <c r="Z316" s="1618"/>
      <c r="AA316" s="593"/>
      <c r="AB316" s="811" t="s">
        <v>234</v>
      </c>
      <c r="AC316" s="807" t="s">
        <v>2051</v>
      </c>
      <c r="AD316" s="819" t="s">
        <v>936</v>
      </c>
      <c r="AE316" s="808">
        <f>AE317+AE318+AE321+AE322+AE323+AE324+AE325</f>
        <v>0</v>
      </c>
      <c r="AF316" s="808">
        <f>AF317+AF318+AF321+AF322+AF323+AF324+AF325</f>
        <v>0</v>
      </c>
      <c r="AG316" s="808">
        <f>AG317+AG318+AG321+AG322+AG323+AG324+AG325</f>
        <v>0</v>
      </c>
      <c r="AH316" s="808">
        <f>AG316-AF316</f>
        <v>0</v>
      </c>
      <c r="AI316" s="808">
        <f>AI317+AI318+AI321+AI322+AI323+AI324+AI325</f>
        <v>0</v>
      </c>
      <c r="AJ316" s="808">
        <f>AJ317+AJ318+AJ321+AJ322+AJ323+AJ324+AJ325</f>
        <v>0</v>
      </c>
      <c r="AK316" s="808">
        <f>AK317+AK318+AK321+AK322+AK323+AK324+AK325</f>
        <v>0</v>
      </c>
      <c r="AL316" s="808">
        <f>IF(AI316=0,0,(AK316-AI316)/AI316*100)</f>
        <v>0</v>
      </c>
      <c r="AM316" s="813"/>
      <c r="AN316" s="813"/>
      <c r="AO316" s="813"/>
      <c r="AP316" s="593"/>
      <c r="AQ316" s="593"/>
      <c r="AR316" s="1071" t="s">
        <v>2052</v>
      </c>
      <c r="AS316" s="1071"/>
      <c r="AT316" s="1071"/>
      <c r="AU316" s="703"/>
      <c r="AV316" s="703"/>
    </row>
    <row s="1656" customFormat="1" customHeight="1" ht="21.75">
      <c r="A317" s="1324"/>
      <c r="B317" s="1324"/>
      <c r="C317" s="1324"/>
      <c r="D317" s="1324"/>
      <c r="E317" s="701">
        <v>22.5</v>
      </c>
      <c r="F317" s="50" cm="1" t="str">
        <f t="array" ref="F317:F317">OFFSET(E317,-1,1)</f>
        <v>3</v>
      </c>
      <c r="G317" s="582" t="s">
        <v>1391</v>
      </c>
      <c r="H317" s="1324"/>
      <c r="I317" s="592" t="s">
        <v>1097</v>
      </c>
      <c r="J317" s="592"/>
      <c r="K317" s="592"/>
      <c r="L317" s="592"/>
      <c r="M317" s="592"/>
      <c r="N317" s="592"/>
      <c r="O317" s="592"/>
      <c r="P317" s="592"/>
      <c r="Q317" s="592"/>
      <c r="R317" s="592"/>
      <c r="S317" s="592"/>
      <c r="T317" s="468" cm="1" t="str">
        <f t="array" ref="T317:T317">T316</f>
        <v>true</v>
      </c>
      <c r="U317" s="1324"/>
      <c r="V317" s="1324"/>
      <c r="W317" s="1324"/>
      <c r="X317" s="1617"/>
      <c r="Y317" s="1324"/>
      <c r="Z317" s="1618"/>
      <c r="AA317" s="1324"/>
      <c r="AB317" s="814" t="s">
        <v>674</v>
      </c>
      <c r="AC317" s="820" t="s">
        <v>2053</v>
      </c>
      <c r="AD317" s="821" t="s">
        <v>936</v>
      </c>
      <c r="AE317" s="255">
        <f>_xlfn.SUMIFS(Административные!AE$25:AE$103,Административные!$F$25:$F$103,$F317,Административные!$G$25:$G$103,$G317)</f>
        <v>0</v>
      </c>
      <c r="AF317" s="255">
        <f>_xlfn.SUMIFS(Административные!AF$25:AF$103,Административные!$F$25:$F$103,$F317,Административные!$G$25:$G$103,$G317)</f>
        <v>0</v>
      </c>
      <c r="AG317" s="255">
        <f>_xlfn.SUMIFS(Административные!AG$25:AG$103,Административные!$F$25:$F$103,$F317,Административные!$G$25:$G$103,$G317)</f>
        <v>0</v>
      </c>
      <c r="AH317" s="809">
        <f>AG317-AF317</f>
        <v>0</v>
      </c>
      <c r="AI317" s="255">
        <f>_xlfn.SUMIFS(Административные!AH$25:AH$103,Административные!$F$25:$F$103,$F317,Административные!$G$25:$G$103,$G317)</f>
        <v>0</v>
      </c>
      <c r="AJ317" s="255">
        <f>_xlfn.SUMIFS(Административные!AI$25:AI$103,Административные!$F$25:$F$103,$F317,Административные!$G$25:$G$103,$G317)</f>
        <v>0</v>
      </c>
      <c r="AK317" s="255">
        <f>_xlfn.SUMIFS(Административные!AJ$25:AJ$103,Административные!$F$25:$F$103,$F317,Административные!$G$25:$G$103,$G317)</f>
        <v>0</v>
      </c>
      <c r="AL317" s="809">
        <f>IF(AI317=0,0,(AK317-AI317)/AI317*100)</f>
        <v>0</v>
      </c>
      <c r="AM317" s="810"/>
      <c r="AN317" s="917" t="str">
        <f>IF(_xlfn.IFERROR(INDEX(Административные!$K$26:$L$103,MATCH($F317&amp;"17komm",Административные!$K$26:$K$103,0),2),"")=0,"",_xlfn.IFERROR(INDEX(Административные!$K$26:$L$103,MATCH($F317&amp;"17komm",Административные!$K$26:$K$103,0),2),""))</f>
        <v/>
      </c>
      <c r="AO317" s="810"/>
      <c r="AP317" s="1324"/>
      <c r="AQ317" s="1324"/>
      <c r="AR317" s="1070" t="s">
        <v>1393</v>
      </c>
      <c r="AS317" s="1070"/>
      <c r="AT317" s="1070"/>
      <c r="AU317" s="1067"/>
      <c r="AV317" s="1067"/>
    </row>
    <row s="1656" customFormat="1" customHeight="1" ht="32.25">
      <c r="A318" s="1324"/>
      <c r="B318" s="1324"/>
      <c r="C318" s="1324"/>
      <c r="D318" s="1324"/>
      <c r="E318" s="701">
        <v>33.75</v>
      </c>
      <c r="F318" s="50" cm="1" t="str">
        <f t="array" ref="F318:F318">OFFSET(E318,-1,1)</f>
        <v>3</v>
      </c>
      <c r="G318" s="1324"/>
      <c r="H318" s="1324"/>
      <c r="I318" s="592" t="s">
        <v>1099</v>
      </c>
      <c r="J318" s="592"/>
      <c r="K318" s="592"/>
      <c r="L318" s="592"/>
      <c r="M318" s="592"/>
      <c r="N318" s="592"/>
      <c r="O318" s="592"/>
      <c r="P318" s="592"/>
      <c r="Q318" s="592"/>
      <c r="R318" s="592"/>
      <c r="S318" s="592"/>
      <c r="T318" s="468" cm="1" t="str">
        <f t="array" ref="T318:T318">T317</f>
        <v>true</v>
      </c>
      <c r="U318" s="1324"/>
      <c r="V318" s="1324"/>
      <c r="W318" s="1324"/>
      <c r="X318" s="1617"/>
      <c r="Y318" s="1324"/>
      <c r="Z318" s="1618"/>
      <c r="AA318" s="1324"/>
      <c r="AB318" s="814" t="s">
        <v>678</v>
      </c>
      <c r="AC318" s="820" t="s">
        <v>2054</v>
      </c>
      <c r="AD318" s="821" t="s">
        <v>936</v>
      </c>
      <c r="AE318" s="809">
        <f>AE319+AE320</f>
        <v>0</v>
      </c>
      <c r="AF318" s="809">
        <f>AF319+AF320</f>
        <v>0</v>
      </c>
      <c r="AG318" s="809">
        <f>AG319+AG320</f>
        <v>0</v>
      </c>
      <c r="AH318" s="809">
        <f>AG318-AF318</f>
        <v>0</v>
      </c>
      <c r="AI318" s="809">
        <f>AI319+AI320</f>
        <v>0</v>
      </c>
      <c r="AJ318" s="809">
        <f>AJ319+AJ320</f>
        <v>0</v>
      </c>
      <c r="AK318" s="809">
        <f>AK319+AK320</f>
        <v>0</v>
      </c>
      <c r="AL318" s="809">
        <f>IF(AI318=0,0,(AK318-AI318)/AI318*100)</f>
        <v>0</v>
      </c>
      <c r="AM318" s="810"/>
      <c r="AN318" s="810"/>
      <c r="AO318" s="810"/>
      <c r="AP318" s="1324"/>
      <c r="AQ318" s="1324"/>
      <c r="AR318" s="1070" t="s">
        <v>2055</v>
      </c>
      <c r="AS318" s="1070"/>
      <c r="AT318" s="1070"/>
      <c r="AU318" s="1067"/>
      <c r="AV318" s="1067"/>
    </row>
    <row s="1656" customFormat="1" customHeight="1" ht="21.75">
      <c r="A319" s="1324"/>
      <c r="B319" s="1324"/>
      <c r="C319" s="1324"/>
      <c r="D319" s="1324"/>
      <c r="E319" s="701">
        <v>22.5</v>
      </c>
      <c r="F319" s="50" cm="1" t="str">
        <f t="array" ref="F319:F319">OFFSET(E319,-1,1)</f>
        <v>3</v>
      </c>
      <c r="G319" s="1252" t="s">
        <v>1373</v>
      </c>
      <c r="H319" s="1324"/>
      <c r="I319" s="592" t="s">
        <v>602</v>
      </c>
      <c r="J319" s="592"/>
      <c r="K319" s="592"/>
      <c r="L319" s="592"/>
      <c r="M319" s="592"/>
      <c r="N319" s="592"/>
      <c r="O319" s="592"/>
      <c r="P319" s="592"/>
      <c r="Q319" s="592"/>
      <c r="R319" s="592"/>
      <c r="S319" s="592"/>
      <c r="T319" s="468" cm="1" t="str">
        <f t="array" ref="T319:T319">T318</f>
        <v>true</v>
      </c>
      <c r="U319" s="1324"/>
      <c r="V319" s="1324"/>
      <c r="W319" s="1324"/>
      <c r="X319" s="1617"/>
      <c r="Y319" s="1324"/>
      <c r="Z319" s="1618"/>
      <c r="AA319" s="1324"/>
      <c r="AB319" s="814" t="s">
        <v>884</v>
      </c>
      <c r="AC319" s="815" t="s">
        <v>2056</v>
      </c>
      <c r="AD319" s="821" t="s">
        <v>936</v>
      </c>
      <c r="AE319" s="809">
        <f>_xlfn.SUMIFS(ФОТ!AE$25:AE$127,ФОТ!$F$25:$F$127,$F319,ФОТ!$G$25:$G$127,$G319)</f>
        <v>0</v>
      </c>
      <c r="AF319" s="809">
        <f>_xlfn.SUMIFS(ФОТ!AF$25:AF$127,ФОТ!$F$25:$F$127,$F319,ФОТ!$G$25:$G$127,$G319)</f>
        <v>0</v>
      </c>
      <c r="AG319" s="809">
        <f>_xlfn.SUMIFS(ФОТ!AG$25:AG$127,ФОТ!$F$25:$F$127,$F319,ФОТ!$G$25:$G$127,$G319)</f>
        <v>0</v>
      </c>
      <c r="AH319" s="809">
        <f>AG319-AF319</f>
        <v>0</v>
      </c>
      <c r="AI319" s="809">
        <f>_xlfn.SUMIFS(ФОТ!AH$25:AH$127,ФОТ!$F$25:$F$127,$F319,ФОТ!$G$25:$G$127,$G319)</f>
        <v>0</v>
      </c>
      <c r="AJ319" s="809">
        <f>_xlfn.SUMIFS(ФОТ!AI$25:AI$127,ФОТ!$F$25:$F$127,$F319,ФОТ!$G$25:$G$127,$G319)</f>
        <v>0</v>
      </c>
      <c r="AK319" s="809">
        <f>_xlfn.SUMIFS(ФОТ!AJ$25:AJ$127,ФОТ!$F$25:$F$127,$F319,ФОТ!$G$25:$G$127,$G319)</f>
        <v>0</v>
      </c>
      <c r="AL319" s="809">
        <f>IF(AI319=0,0,(AK319-AI319)/AI319*100)</f>
        <v>0</v>
      </c>
      <c r="AM319" s="810"/>
      <c r="AN319" s="917" t="str">
        <f>IF(_xlfn.IFERROR(INDEX(ФОТ!$K$26:$L$127,MATCH($F319&amp;"5komm",ФОТ!$K$26:$K$127,0),2),"")=0,"",_xlfn.IFERROR(INDEX(ФОТ!$K$26:$L$127,MATCH($F319&amp;"5komm",ФОТ!$K$26:$K$127,0),2),""))</f>
        <v/>
      </c>
      <c r="AO319" s="810"/>
      <c r="AP319" s="1324"/>
      <c r="AQ319" s="1324"/>
      <c r="AR319" s="1070" t="s">
        <v>1390</v>
      </c>
      <c r="AS319" s="1070"/>
      <c r="AT319" s="1070"/>
      <c r="AU319" s="1067"/>
      <c r="AV319" s="1067"/>
    </row>
    <row s="1656" customFormat="1" customHeight="1" ht="32.25">
      <c r="A320" s="1324"/>
      <c r="B320" s="1324"/>
      <c r="C320" s="1324"/>
      <c r="D320" s="1324"/>
      <c r="E320" s="701">
        <v>33.75</v>
      </c>
      <c r="F320" s="50" cm="1" t="str">
        <f t="array" ref="F320:F320">OFFSET(E320,-1,1)</f>
        <v>3</v>
      </c>
      <c r="G320" s="501" t="s">
        <v>1378</v>
      </c>
      <c r="H320" s="1324"/>
      <c r="I320" s="592" t="s">
        <v>607</v>
      </c>
      <c r="J320" s="592"/>
      <c r="K320" s="592"/>
      <c r="L320" s="592"/>
      <c r="M320" s="592"/>
      <c r="N320" s="592"/>
      <c r="O320" s="592"/>
      <c r="P320" s="592"/>
      <c r="Q320" s="592"/>
      <c r="R320" s="592"/>
      <c r="S320" s="592"/>
      <c r="T320" s="468" cm="1" t="str">
        <f t="array" ref="T320:T320">T319</f>
        <v>true</v>
      </c>
      <c r="U320" s="1324"/>
      <c r="V320" s="1324"/>
      <c r="W320" s="1324"/>
      <c r="X320" s="1617"/>
      <c r="Y320" s="1324"/>
      <c r="Z320" s="1618"/>
      <c r="AA320" s="1324"/>
      <c r="AB320" s="814" t="s">
        <v>887</v>
      </c>
      <c r="AC320" s="815" t="s">
        <v>2057</v>
      </c>
      <c r="AD320" s="821" t="s">
        <v>936</v>
      </c>
      <c r="AE320" s="809">
        <f>_xlfn.SUMIFS(ФОТ!AE$25:AE$127,ФОТ!$F$25:$F$127,$F320,ФОТ!$G$25:$G$127,$G320)</f>
        <v>0</v>
      </c>
      <c r="AF320" s="809">
        <f>_xlfn.SUMIFS(ФОТ!AF$25:AF$127,ФОТ!$F$25:$F$127,$F320,ФОТ!$G$25:$G$127,$G320)</f>
        <v>0</v>
      </c>
      <c r="AG320" s="809">
        <f>_xlfn.SUMIFS(ФОТ!AG$25:AG$127,ФОТ!$F$25:$F$127,$F320,ФОТ!$G$25:$G$127,$G320)</f>
        <v>0</v>
      </c>
      <c r="AH320" s="809">
        <f>AG320-AF320</f>
        <v>0</v>
      </c>
      <c r="AI320" s="809">
        <f>_xlfn.SUMIFS(ФОТ!AH$25:AH$127,ФОТ!$F$25:$F$127,$F320,ФОТ!$G$25:$G$127,$G320)</f>
        <v>0</v>
      </c>
      <c r="AJ320" s="809">
        <f>_xlfn.SUMIFS(ФОТ!AI$25:AI$127,ФОТ!$F$25:$F$127,$F320,ФОТ!$G$25:$G$127,$G320)</f>
        <v>0</v>
      </c>
      <c r="AK320" s="809">
        <f>_xlfn.SUMIFS(ФОТ!AJ$25:AJ$127,ФОТ!$F$25:$F$127,$F320,ФОТ!$G$25:$G$127,$G320)</f>
        <v>0</v>
      </c>
      <c r="AL320" s="809">
        <f>IF(AI320=0,0,(AK320-AI320)/AI320*100)</f>
        <v>0</v>
      </c>
      <c r="AM320" s="810"/>
      <c r="AN320" s="917" t="str">
        <f>IF(_xlfn.IFERROR(INDEX(ФОТ!$K$26:$L$127,MATCH($F320&amp;"6komm",ФОТ!$K$26:$K$127,0),2),"")=0,"",_xlfn.IFERROR(INDEX(ФОТ!$K$26:$L$127,MATCH($F320&amp;"6komm",ФОТ!$K$26:$K$127,0),2),""))</f>
        <v/>
      </c>
      <c r="AO320" s="810"/>
      <c r="AP320" s="1324"/>
      <c r="AQ320" s="1324"/>
      <c r="AR320" s="1070" t="s">
        <v>2058</v>
      </c>
      <c r="AS320" s="1070"/>
      <c r="AT320" s="1070"/>
      <c r="AU320" s="1067"/>
      <c r="AV320" s="1067"/>
    </row>
    <row s="1656" customFormat="1" customHeight="1" ht="32.25">
      <c r="A321" s="1324"/>
      <c r="B321" s="1324"/>
      <c r="C321" s="1324"/>
      <c r="D321" s="1324"/>
      <c r="E321" s="701">
        <v>33.75</v>
      </c>
      <c r="F321" s="50" cm="1" t="str">
        <f t="array" ref="F321:F321">OFFSET(E321,-1,1)</f>
        <v>3</v>
      </c>
      <c r="G321" s="582" t="s">
        <v>1419</v>
      </c>
      <c r="H321" s="1324"/>
      <c r="I321" s="592" t="s">
        <v>1101</v>
      </c>
      <c r="J321" s="592"/>
      <c r="K321" s="592"/>
      <c r="L321" s="592"/>
      <c r="M321" s="592"/>
      <c r="N321" s="592"/>
      <c r="O321" s="592"/>
      <c r="P321" s="592"/>
      <c r="Q321" s="592"/>
      <c r="R321" s="592"/>
      <c r="S321" s="592"/>
      <c r="T321" s="468" cm="1" t="str">
        <f t="array" ref="T321:T321">T320</f>
        <v>true</v>
      </c>
      <c r="U321" s="1324"/>
      <c r="V321" s="1324"/>
      <c r="W321" s="1324"/>
      <c r="X321" s="1617"/>
      <c r="Y321" s="1324"/>
      <c r="Z321" s="1618"/>
      <c r="AA321" s="1324"/>
      <c r="AB321" s="814" t="s">
        <v>890</v>
      </c>
      <c r="AC321" s="820" t="s">
        <v>2059</v>
      </c>
      <c r="AD321" s="821" t="s">
        <v>936</v>
      </c>
      <c r="AE321" s="809">
        <f>_xlfn.SUMIFS(Административные!AE$25:AE$103,Административные!$F$25:$F$103,$F321,Административные!$G$25:$G$103,$G321)</f>
        <v>0</v>
      </c>
      <c r="AF321" s="809">
        <f>_xlfn.SUMIFS(Административные!AF$25:AF$103,Административные!$F$25:$F$103,$F321,Административные!$G$25:$G$103,$G321)</f>
        <v>0</v>
      </c>
      <c r="AG321" s="809">
        <f>_xlfn.SUMIFS(Административные!AG$25:AG$103,Административные!$F$25:$F$103,$F321,Административные!$G$25:$G$103,$G321)</f>
        <v>0</v>
      </c>
      <c r="AH321" s="809">
        <f>AG321-AF321</f>
        <v>0</v>
      </c>
      <c r="AI321" s="809">
        <f>_xlfn.SUMIFS(Административные!AH$25:AH$103,Административные!$F$25:$F$103,$F321,Административные!$G$25:$G$103,$G321)</f>
        <v>0</v>
      </c>
      <c r="AJ321" s="809">
        <f>_xlfn.SUMIFS(Административные!AI$25:AI$103,Административные!$F$25:$F$103,$F321,Административные!$G$25:$G$103,$G321)</f>
        <v>0</v>
      </c>
      <c r="AK321" s="809">
        <f>_xlfn.SUMIFS(Административные!AJ$25:AJ$103,Административные!$F$25:$F$103,$F321,Административные!$G$25:$G$103,$G321)</f>
        <v>0</v>
      </c>
      <c r="AL321" s="809">
        <f>IF(AI321=0,0,(AK321-AI321)/AI321*100)</f>
        <v>0</v>
      </c>
      <c r="AM321" s="810"/>
      <c r="AN321" s="917" t="str">
        <f>IF(_xlfn.IFERROR(INDEX(Административные!$K$26:$L$103,MATCH($F321&amp;"2komm",Административные!$K$26:$K$103,0),2),"")=0,"",_xlfn.IFERROR(INDEX(Административные!$K$26:$L$103,MATCH($F321&amp;"2komm",Административные!$K$26:$K$103,0),2),""))</f>
        <v/>
      </c>
      <c r="AO321" s="810"/>
      <c r="AP321" s="1324"/>
      <c r="AQ321" s="1324"/>
      <c r="AR321" s="1070" t="s">
        <v>1421</v>
      </c>
      <c r="AS321" s="1070"/>
      <c r="AT321" s="1070"/>
      <c r="AU321" s="1067"/>
      <c r="AV321" s="1067"/>
    </row>
    <row s="1656" customFormat="1" customHeight="1" ht="14.25">
      <c r="A322" s="1324"/>
      <c r="B322" s="1324"/>
      <c r="C322" s="1324"/>
      <c r="D322" s="1324"/>
      <c r="E322" s="701">
        <v>15</v>
      </c>
      <c r="F322" s="50" cm="1" t="str">
        <f t="array" ref="F322:F322">OFFSET(E322,-1,1)</f>
        <v>3</v>
      </c>
      <c r="G322" s="582" t="s">
        <v>1422</v>
      </c>
      <c r="H322" s="1324"/>
      <c r="I322" s="592" t="s">
        <v>1103</v>
      </c>
      <c r="J322" s="592"/>
      <c r="K322" s="592"/>
      <c r="L322" s="592"/>
      <c r="M322" s="592"/>
      <c r="N322" s="592"/>
      <c r="O322" s="592"/>
      <c r="P322" s="592"/>
      <c r="Q322" s="592"/>
      <c r="R322" s="592"/>
      <c r="S322" s="592"/>
      <c r="T322" s="468" cm="1" t="str">
        <f t="array" ref="T322:T322">T321</f>
        <v>true</v>
      </c>
      <c r="U322" s="1324"/>
      <c r="V322" s="1324"/>
      <c r="W322" s="1324"/>
      <c r="X322" s="1617"/>
      <c r="Y322" s="1324"/>
      <c r="Z322" s="1618"/>
      <c r="AA322" s="1324"/>
      <c r="AB322" s="814" t="s">
        <v>1104</v>
      </c>
      <c r="AC322" s="820" t="s">
        <v>1423</v>
      </c>
      <c r="AD322" s="821" t="s">
        <v>936</v>
      </c>
      <c r="AE322" s="809">
        <f>_xlfn.SUMIFS(Административные!AE$25:AE$103,Административные!$F$25:$F$103,$F322,Административные!$G$25:$G$103,$G322)</f>
        <v>0</v>
      </c>
      <c r="AF322" s="809">
        <f>_xlfn.SUMIFS(Административные!AF$25:AF$103,Административные!$F$25:$F$103,$F322,Административные!$G$25:$G$103,$G322)</f>
        <v>0</v>
      </c>
      <c r="AG322" s="809">
        <f>_xlfn.SUMIFS(Административные!AG$25:AG$103,Административные!$F$25:$F$103,$F322,Административные!$G$25:$G$103,$G322)</f>
        <v>0</v>
      </c>
      <c r="AH322" s="809">
        <f>AG322-AF322</f>
        <v>0</v>
      </c>
      <c r="AI322" s="809">
        <f>_xlfn.SUMIFS(Административные!AH$25:AH$103,Административные!$F$25:$F$103,$F322,Административные!$G$25:$G$103,$G322)</f>
        <v>0</v>
      </c>
      <c r="AJ322" s="809">
        <f>_xlfn.SUMIFS(Административные!AI$25:AI$103,Административные!$F$25:$F$103,$F322,Административные!$G$25:$G$103,$G322)</f>
        <v>0</v>
      </c>
      <c r="AK322" s="809">
        <f>_xlfn.SUMIFS(Административные!AJ$25:AJ$103,Административные!$F$25:$F$103,$F322,Административные!$G$25:$G$103,$G322)</f>
        <v>0</v>
      </c>
      <c r="AL322" s="809">
        <f>IF(AI322=0,0,(AK322-AI322)/AI322*100)</f>
        <v>0</v>
      </c>
      <c r="AM322" s="810"/>
      <c r="AN322" s="917" t="str">
        <f>IF(_xlfn.IFERROR(INDEX(Административные!$K$26:$L$103,MATCH($F322&amp;"3komm",Административные!$K$26:$K$103,0),2),"")=0,"",_xlfn.IFERROR(INDEX(Административные!$K$26:$L$103,MATCH($F322&amp;"3komm",Административные!$K$26:$K$103,0),2),""))</f>
        <v/>
      </c>
      <c r="AO322" s="810"/>
      <c r="AP322" s="1324"/>
      <c r="AQ322" s="1324"/>
      <c r="AR322" s="1070" t="s">
        <v>1424</v>
      </c>
      <c r="AS322" s="1070"/>
      <c r="AT322" s="1070"/>
      <c r="AU322" s="1067"/>
      <c r="AV322" s="1067"/>
    </row>
    <row s="1656" customFormat="1" customHeight="1" ht="14.25">
      <c r="A323" s="1324"/>
      <c r="B323" s="1324"/>
      <c r="C323" s="1324"/>
      <c r="D323" s="1324"/>
      <c r="E323" s="701">
        <v>15</v>
      </c>
      <c r="F323" s="50" cm="1" t="str">
        <f t="array" ref="F323:F323">OFFSET(E323,-1,1)</f>
        <v>3</v>
      </c>
      <c r="G323" s="582" t="s">
        <v>1425</v>
      </c>
      <c r="H323" s="1324"/>
      <c r="I323" s="592" t="s">
        <v>1106</v>
      </c>
      <c r="J323" s="592"/>
      <c r="K323" s="592"/>
      <c r="L323" s="592"/>
      <c r="M323" s="592"/>
      <c r="N323" s="592"/>
      <c r="O323" s="592"/>
      <c r="P323" s="592"/>
      <c r="Q323" s="592"/>
      <c r="R323" s="592"/>
      <c r="S323" s="592"/>
      <c r="T323" s="468" cm="1" t="str">
        <f t="array" ref="T323:T323">T322</f>
        <v>true</v>
      </c>
      <c r="U323" s="1324"/>
      <c r="V323" s="1324"/>
      <c r="W323" s="1324"/>
      <c r="X323" s="1617"/>
      <c r="Y323" s="1324"/>
      <c r="Z323" s="1618"/>
      <c r="AA323" s="1324"/>
      <c r="AB323" s="814" t="s">
        <v>1107</v>
      </c>
      <c r="AC323" s="820" t="s">
        <v>1426</v>
      </c>
      <c r="AD323" s="821" t="s">
        <v>936</v>
      </c>
      <c r="AE323" s="809">
        <f>_xlfn.SUMIFS(Административные!AE$25:AE$103,Административные!$F$25:$F$103,$F323,Административные!$G$25:$G$103,$G323)</f>
        <v>0</v>
      </c>
      <c r="AF323" s="809">
        <f>_xlfn.SUMIFS(Административные!AF$25:AF$103,Административные!$F$25:$F$103,$F323,Административные!$G$25:$G$103,$G323)</f>
        <v>0</v>
      </c>
      <c r="AG323" s="809">
        <f>_xlfn.SUMIFS(Административные!AG$25:AG$103,Административные!$F$25:$F$103,$F323,Административные!$G$25:$G$103,$G323)</f>
        <v>0</v>
      </c>
      <c r="AH323" s="809">
        <f>AG323-AF323</f>
        <v>0</v>
      </c>
      <c r="AI323" s="809">
        <f>_xlfn.SUMIFS(Административные!AH$25:AH$103,Административные!$F$25:$F$103,$F323,Административные!$G$25:$G$103,$G323)</f>
        <v>0</v>
      </c>
      <c r="AJ323" s="809">
        <f>_xlfn.SUMIFS(Административные!AI$25:AI$103,Административные!$F$25:$F$103,$F323,Административные!$G$25:$G$103,$G323)</f>
        <v>0</v>
      </c>
      <c r="AK323" s="809">
        <f>_xlfn.SUMIFS(Административные!AJ$25:AJ$103,Административные!$F$25:$F$103,$F323,Административные!$G$25:$G$103,$G323)</f>
        <v>0</v>
      </c>
      <c r="AL323" s="809">
        <f>IF(AI323=0,0,(AK323-AI323)/AI323*100)</f>
        <v>0</v>
      </c>
      <c r="AM323" s="810"/>
      <c r="AN323" s="917" t="str">
        <f>IF(_xlfn.IFERROR(INDEX(Административные!$K$26:$L$103,MATCH($F323&amp;"4komm",Административные!$K$26:$K$103,0),2),"")=0,"",_xlfn.IFERROR(INDEX(Административные!$K$26:$L$103,MATCH($F323&amp;"4komm",Административные!$K$26:$K$103,0),2),""))</f>
        <v/>
      </c>
      <c r="AO323" s="810"/>
      <c r="AP323" s="1324"/>
      <c r="AQ323" s="1324"/>
      <c r="AR323" s="1070" t="s">
        <v>1427</v>
      </c>
      <c r="AS323" s="1070"/>
      <c r="AT323" s="1070"/>
      <c r="AU323" s="1067"/>
      <c r="AV323" s="1067"/>
    </row>
    <row s="1656" customFormat="1" customHeight="1" ht="14.25">
      <c r="A324" s="1324"/>
      <c r="B324" s="1324"/>
      <c r="C324" s="1324"/>
      <c r="D324" s="1324"/>
      <c r="E324" s="701">
        <v>15</v>
      </c>
      <c r="F324" s="50" cm="1" t="str">
        <f t="array" ref="F324:F324">OFFSET(E324,-1,1)</f>
        <v>3</v>
      </c>
      <c r="G324" s="582" t="s">
        <v>1428</v>
      </c>
      <c r="H324" s="1324"/>
      <c r="I324" s="592" t="s">
        <v>1410</v>
      </c>
      <c r="J324" s="592"/>
      <c r="K324" s="592"/>
      <c r="L324" s="592"/>
      <c r="M324" s="592"/>
      <c r="N324" s="592"/>
      <c r="O324" s="592"/>
      <c r="P324" s="592"/>
      <c r="Q324" s="592"/>
      <c r="R324" s="592"/>
      <c r="S324" s="592"/>
      <c r="T324" s="468" cm="1" t="str">
        <f t="array" ref="T324:T324">T323</f>
        <v>true</v>
      </c>
      <c r="U324" s="1324"/>
      <c r="V324" s="1324"/>
      <c r="W324" s="1324"/>
      <c r="X324" s="1617"/>
      <c r="Y324" s="1324"/>
      <c r="Z324" s="1618"/>
      <c r="AA324" s="1324"/>
      <c r="AB324" s="814" t="s">
        <v>1411</v>
      </c>
      <c r="AC324" s="820" t="s">
        <v>1429</v>
      </c>
      <c r="AD324" s="821" t="s">
        <v>936</v>
      </c>
      <c r="AE324" s="809">
        <f>_xlfn.SUMIFS(Административные!AE$25:AE$103,Административные!$F$25:$F$103,$F324,Административные!$G$25:$G$103,$G324)</f>
        <v>0</v>
      </c>
      <c r="AF324" s="809">
        <f>_xlfn.SUMIFS(Административные!AF$25:AF$103,Административные!$F$25:$F$103,$F324,Административные!$G$25:$G$103,$G324)</f>
        <v>0</v>
      </c>
      <c r="AG324" s="809">
        <f>_xlfn.SUMIFS(Административные!AG$25:AG$103,Административные!$F$25:$F$103,$F324,Административные!$G$25:$G$103,$G324)</f>
        <v>0</v>
      </c>
      <c r="AH324" s="809">
        <f>AG324-AF324</f>
        <v>0</v>
      </c>
      <c r="AI324" s="809">
        <f>_xlfn.SUMIFS(Административные!AH$25:AH$103,Административные!$F$25:$F$103,$F324,Административные!$G$25:$G$103,$G324)</f>
        <v>0</v>
      </c>
      <c r="AJ324" s="809">
        <f>_xlfn.SUMIFS(Административные!AI$25:AI$103,Административные!$F$25:$F$103,$F324,Административные!$G$25:$G$103,$G324)</f>
        <v>0</v>
      </c>
      <c r="AK324" s="809">
        <f>_xlfn.SUMIFS(Административные!AJ$25:AJ$103,Административные!$F$25:$F$103,$F324,Административные!$G$25:$G$103,$G324)</f>
        <v>0</v>
      </c>
      <c r="AL324" s="809">
        <f>IF(AI324=0,0,(AK324-AI324)/AI324*100)</f>
        <v>0</v>
      </c>
      <c r="AM324" s="810"/>
      <c r="AN324" s="917" t="str">
        <f>IF(_xlfn.IFERROR(INDEX(Административные!$K$26:$L$103,MATCH($F320&amp;"5komm",Административные!$K$26:$K$103,0),2),"")=0,"",_xlfn.IFERROR(INDEX(Административные!$K$26:$L$103,MATCH($F320&amp;"5komm",Административные!$K$26:$K$103,0),2),""))</f>
        <v/>
      </c>
      <c r="AO324" s="810"/>
      <c r="AP324" s="1324"/>
      <c r="AQ324" s="1324"/>
      <c r="AR324" s="1070" t="s">
        <v>2060</v>
      </c>
      <c r="AS324" s="1070"/>
      <c r="AT324" s="1070"/>
      <c r="AU324" s="1067"/>
      <c r="AV324" s="1067"/>
    </row>
    <row s="1656" customFormat="1" customHeight="1" ht="14.25">
      <c r="A325" s="1324"/>
      <c r="B325" s="1324"/>
      <c r="C325" s="1324"/>
      <c r="D325" s="1324"/>
      <c r="E325" s="701">
        <v>15</v>
      </c>
      <c r="F325" s="50" cm="1" t="str">
        <f t="array" ref="F325:F325">OFFSET(E325,-1,1)</f>
        <v>3</v>
      </c>
      <c r="G325" s="582" t="s">
        <v>1431</v>
      </c>
      <c r="H325" s="1324"/>
      <c r="I325" s="592" t="s">
        <v>1415</v>
      </c>
      <c r="J325" s="592"/>
      <c r="K325" s="592"/>
      <c r="L325" s="592"/>
      <c r="M325" s="592"/>
      <c r="N325" s="592"/>
      <c r="O325" s="592"/>
      <c r="P325" s="592"/>
      <c r="Q325" s="592"/>
      <c r="R325" s="592"/>
      <c r="S325" s="592"/>
      <c r="T325" s="468" cm="1" t="str">
        <f t="array" ref="T325:T325">T324</f>
        <v>true</v>
      </c>
      <c r="U325" s="1324"/>
      <c r="V325" s="1324"/>
      <c r="W325" s="1324"/>
      <c r="X325" s="1617"/>
      <c r="Y325" s="1324"/>
      <c r="Z325" s="1618"/>
      <c r="AA325" s="1324"/>
      <c r="AB325" s="814" t="s">
        <v>1416</v>
      </c>
      <c r="AC325" s="820" t="s">
        <v>2061</v>
      </c>
      <c r="AD325" s="821" t="s">
        <v>936</v>
      </c>
      <c r="AE325" s="809">
        <f>_xlfn.SUMIFS(Административные!AE$25:AE$103,Административные!$F$25:$F$103,$F325,Административные!$G$25:$G$103,$G325)</f>
        <v>0</v>
      </c>
      <c r="AF325" s="809">
        <f>_xlfn.SUMIFS(Административные!AF$25:AF$103,Административные!$F$25:$F$103,$F325,Административные!$G$25:$G$103,$G325)</f>
        <v>0</v>
      </c>
      <c r="AG325" s="809">
        <f>_xlfn.SUMIFS(Административные!AG$25:AG$103,Административные!$F$25:$F$103,$F325,Административные!$G$25:$G$103,$G325)</f>
        <v>0</v>
      </c>
      <c r="AH325" s="809">
        <f>AG325-AF325</f>
        <v>0</v>
      </c>
      <c r="AI325" s="809">
        <f>_xlfn.SUMIFS(Административные!AH$25:AH$103,Административные!$F$25:$F$103,$F325,Административные!$G$25:$G$103,$G325)</f>
        <v>0</v>
      </c>
      <c r="AJ325" s="809">
        <f>_xlfn.SUMIFS(Административные!AI$25:AI$103,Административные!$F$25:$F$103,$F325,Административные!$G$25:$G$103,$G325)</f>
        <v>0</v>
      </c>
      <c r="AK325" s="809">
        <f>_xlfn.SUMIFS(Административные!AJ$25:AJ$103,Административные!$F$25:$F$103,$F325,Административные!$G$25:$G$103,$G325)</f>
        <v>0</v>
      </c>
      <c r="AL325" s="809">
        <f>IF(AI325=0,0,(AK325-AI325)/AI325*100)</f>
        <v>0</v>
      </c>
      <c r="AM325" s="810"/>
      <c r="AN325" s="917" t="str">
        <f>IF(_xlfn.IFERROR(INDEX(Административные!$K$26:$L$103,MATCH($F325&amp;"6komm",Административные!$K$26:$K$103,0),2),"")=0,"",_xlfn.IFERROR(INDEX(Административные!$K$26:$L$103,MATCH($F320&amp;"6komm",Административные!$K$26:$K$103,0),2),""))</f>
        <v/>
      </c>
      <c r="AO325" s="810"/>
      <c r="AP325" s="1324"/>
      <c r="AQ325" s="1324"/>
      <c r="AR325" s="1070" t="s">
        <v>2062</v>
      </c>
      <c r="AS325" s="1070"/>
      <c r="AT325" s="1070"/>
      <c r="AU325" s="1067"/>
      <c r="AV325" s="1067"/>
    </row>
    <row s="1656" customFormat="1" customHeight="1" ht="14.25">
      <c r="A326" s="1324"/>
      <c r="B326" s="1324"/>
      <c r="C326" s="1324"/>
      <c r="D326" s="1324"/>
      <c r="E326" s="701">
        <v>15</v>
      </c>
      <c r="F326" s="50" cm="1" t="str">
        <f t="array" ref="F326:F326">OFFSET(E326,-1,1)</f>
        <v>3</v>
      </c>
      <c r="G326" s="582" t="s">
        <v>1433</v>
      </c>
      <c r="H326" s="1324"/>
      <c r="I326" s="592" t="s">
        <v>2063</v>
      </c>
      <c r="J326" s="592"/>
      <c r="K326" s="592"/>
      <c r="L326" s="592"/>
      <c r="M326" s="592"/>
      <c r="N326" s="592"/>
      <c r="O326" s="592"/>
      <c r="P326" s="592"/>
      <c r="Q326" s="592"/>
      <c r="R326" s="592"/>
      <c r="S326" s="592"/>
      <c r="T326" s="468" cm="1" t="str">
        <f t="array" ref="T326:T326">T325</f>
        <v>true</v>
      </c>
      <c r="U326" s="1324"/>
      <c r="V326" s="1324"/>
      <c r="W326" s="1324"/>
      <c r="X326" s="1617"/>
      <c r="Y326" s="1324"/>
      <c r="Z326" s="1618"/>
      <c r="AA326" s="1324"/>
      <c r="AB326" s="814" t="s">
        <v>2064</v>
      </c>
      <c r="AC326" s="815" t="s">
        <v>2065</v>
      </c>
      <c r="AD326" s="821" t="s">
        <v>936</v>
      </c>
      <c r="AE326" s="809">
        <f>_xlfn.SUMIFS(Административные!AE$25:AE$103,Административные!$F$25:$F$103,$F326,Административные!$G$25:$G$103,$G326)</f>
        <v>0</v>
      </c>
      <c r="AF326" s="809">
        <f>_xlfn.SUMIFS(Административные!AF$25:AF$103,Административные!$F$25:$F$103,$F326,Административные!$G$25:$G$103,$G326)</f>
        <v>0</v>
      </c>
      <c r="AG326" s="809">
        <f>_xlfn.SUMIFS(Административные!AG$25:AG$103,Административные!$F$25:$F$103,$F326,Административные!$G$25:$G$103,$G326)</f>
        <v>0</v>
      </c>
      <c r="AH326" s="809">
        <f>AG326-AF326</f>
        <v>0</v>
      </c>
      <c r="AI326" s="809">
        <f>_xlfn.SUMIFS(Административные!AH$25:AH$103,Административные!$F$25:$F$103,$F326,Административные!$G$25:$G$103,$G326)</f>
        <v>0</v>
      </c>
      <c r="AJ326" s="809">
        <f>_xlfn.SUMIFS(Административные!AI$25:AI$103,Административные!$F$25:$F$103,$F326,Административные!$G$25:$G$103,$G326)</f>
        <v>0</v>
      </c>
      <c r="AK326" s="809">
        <f>_xlfn.SUMIFS(Административные!AJ$25:AJ$103,Административные!$F$25:$F$103,$F326,Административные!$G$25:$G$103,$G326)</f>
        <v>0</v>
      </c>
      <c r="AL326" s="809">
        <f>IF(AI326=0,0,(AK326-AI326)/AI326*100)</f>
        <v>0</v>
      </c>
      <c r="AM326" s="810"/>
      <c r="AN326" s="917" t="str">
        <f>IF(_xlfn.IFERROR(INDEX(Административные!$K$26:$L$103,MATCH($F326&amp;"7komm",Административные!$K$26:$K$103,0),2),"")=0,"",_xlfn.IFERROR(INDEX(Административные!$K$26:$L$103,MATCH($F321&amp;"7komm",Административные!$K$26:$K$103,0),2),""))</f>
        <v/>
      </c>
      <c r="AO326" s="810"/>
      <c r="AP326" s="1324"/>
      <c r="AQ326" s="1324"/>
      <c r="AR326" s="1070" t="s">
        <v>2066</v>
      </c>
      <c r="AS326" s="1070"/>
      <c r="AT326" s="1070"/>
      <c r="AU326" s="1067"/>
      <c r="AV326" s="1067"/>
    </row>
    <row s="1656" customFormat="1" customHeight="1" ht="43.5">
      <c r="A327" s="1324"/>
      <c r="B327" s="1324"/>
      <c r="C327" s="1324"/>
      <c r="D327" s="1324"/>
      <c r="E327" s="701">
        <v>45</v>
      </c>
      <c r="F327" s="50" cm="1" t="str">
        <f t="array" ref="F327:F327">OFFSET(E327,-1,1)</f>
        <v>3</v>
      </c>
      <c r="G327" s="582" t="s">
        <v>1436</v>
      </c>
      <c r="H327" s="1324"/>
      <c r="I327" s="592" t="s">
        <v>2067</v>
      </c>
      <c r="J327" s="592"/>
      <c r="K327" s="592"/>
      <c r="L327" s="592"/>
      <c r="M327" s="592"/>
      <c r="N327" s="592"/>
      <c r="O327" s="592"/>
      <c r="P327" s="592"/>
      <c r="Q327" s="592"/>
      <c r="R327" s="592"/>
      <c r="S327" s="592"/>
      <c r="T327" s="468" cm="1" t="str">
        <f t="array" ref="T327:T327">T326</f>
        <v>true</v>
      </c>
      <c r="U327" s="1324"/>
      <c r="V327" s="1324"/>
      <c r="W327" s="1324"/>
      <c r="X327" s="1617"/>
      <c r="Y327" s="1324"/>
      <c r="Z327" s="1618"/>
      <c r="AA327" s="1324"/>
      <c r="AB327" s="814" t="s">
        <v>2068</v>
      </c>
      <c r="AC327" s="769" t="s">
        <v>1437</v>
      </c>
      <c r="AD327" s="821" t="s">
        <v>936</v>
      </c>
      <c r="AE327" s="809">
        <f>_xlfn.SUMIFS(Административные!AE$25:AE$103,Административные!$F$25:$F$103,$F327,Административные!$G$25:$G$103,$G327)</f>
        <v>0</v>
      </c>
      <c r="AF327" s="809">
        <f>_xlfn.SUMIFS(Административные!AF$25:AF$103,Административные!$F$25:$F$103,$F327,Административные!$G$25:$G$103,$G327)</f>
        <v>0</v>
      </c>
      <c r="AG327" s="809">
        <f>_xlfn.SUMIFS(Административные!AG$25:AG$103,Административные!$F$25:$F$103,$F327,Административные!$G$25:$G$103,$G327)</f>
        <v>0</v>
      </c>
      <c r="AH327" s="809">
        <f>AG327-AF327</f>
        <v>0</v>
      </c>
      <c r="AI327" s="809">
        <f>_xlfn.SUMIFS(Административные!AH$25:AH$103,Административные!$F$25:$F$103,$F327,Административные!$G$25:$G$103,$G327)</f>
        <v>0</v>
      </c>
      <c r="AJ327" s="809">
        <f>_xlfn.SUMIFS(Административные!AI$25:AI$103,Административные!$F$25:$F$103,$F327,Административные!$G$25:$G$103,$G327)</f>
        <v>0</v>
      </c>
      <c r="AK327" s="809">
        <f>_xlfn.SUMIFS(Административные!AJ$25:AJ$103,Административные!$F$25:$F$103,$F327,Административные!$G$25:$G$103,$G327)</f>
        <v>0</v>
      </c>
      <c r="AL327" s="809">
        <f>IF(AI327=0,0,(AK327-AI327)/AI327*100)</f>
        <v>0</v>
      </c>
      <c r="AM327" s="810"/>
      <c r="AN327" s="917" t="str">
        <f>IF(_xlfn.IFERROR(INDEX(Административные!$K$26:$L$103,MATCH($F327&amp;"8komm",Административные!$K$26:$K$103,0),2),"")=0,"",_xlfn.IFERROR(INDEX(Административные!$K$26:$L$103,MATCH($F322&amp;"8komm",Административные!$K$26:$K$103,0),2),""))</f>
        <v/>
      </c>
      <c r="AO327" s="810"/>
      <c r="AP327" s="1324"/>
      <c r="AQ327" s="1324"/>
      <c r="AR327" s="1070" t="s">
        <v>2069</v>
      </c>
      <c r="AS327" s="1070"/>
      <c r="AT327" s="1070"/>
      <c r="AU327" s="1067"/>
      <c r="AV327" s="1067"/>
    </row>
    <row s="1656" customFormat="1" customHeight="1" ht="14.25">
      <c r="A328" s="1324"/>
      <c r="B328" s="1324"/>
      <c r="C328" s="1324"/>
      <c r="D328" s="1324"/>
      <c r="E328" s="701">
        <v>15</v>
      </c>
      <c r="F328" s="50" cm="1" t="str">
        <f t="array" ref="F328:F328">OFFSET(E328,-1,1)</f>
        <v>3</v>
      </c>
      <c r="G328" s="582" t="s">
        <v>1439</v>
      </c>
      <c r="H328" s="1324"/>
      <c r="I328" s="592" t="s">
        <v>2070</v>
      </c>
      <c r="J328" s="592"/>
      <c r="K328" s="592"/>
      <c r="L328" s="592"/>
      <c r="M328" s="592"/>
      <c r="N328" s="592"/>
      <c r="O328" s="592"/>
      <c r="P328" s="592"/>
      <c r="Q328" s="592"/>
      <c r="R328" s="592"/>
      <c r="S328" s="592"/>
      <c r="T328" s="468" cm="1" t="str">
        <f t="array" ref="T328:T328">T327</f>
        <v>true</v>
      </c>
      <c r="U328" s="1324"/>
      <c r="V328" s="1324"/>
      <c r="W328" s="1324"/>
      <c r="X328" s="1617"/>
      <c r="Y328" s="1324"/>
      <c r="Z328" s="1618"/>
      <c r="AA328" s="1324"/>
      <c r="AB328" s="814" t="s">
        <v>2071</v>
      </c>
      <c r="AC328" s="815" t="s">
        <v>1440</v>
      </c>
      <c r="AD328" s="821" t="s">
        <v>936</v>
      </c>
      <c r="AE328" s="809">
        <f>_xlfn.SUMIFS(Административные!AE$25:AE$103,Административные!$F$25:$F$103,$F328,Административные!$G$25:$G$103,$G328)</f>
        <v>0</v>
      </c>
      <c r="AF328" s="809">
        <f>_xlfn.SUMIFS(Административные!AF$25:AF$103,Административные!$F$25:$F$103,$F328,Административные!$G$25:$G$103,$G328)</f>
        <v>0</v>
      </c>
      <c r="AG328" s="809">
        <f>_xlfn.SUMIFS(Административные!AG$25:AG$103,Административные!$F$25:$F$103,$F328,Административные!$G$25:$G$103,$G328)</f>
        <v>0</v>
      </c>
      <c r="AH328" s="809">
        <f>AG328-AF328</f>
        <v>0</v>
      </c>
      <c r="AI328" s="809">
        <f>_xlfn.SUMIFS(Административные!AH$25:AH$103,Административные!$F$25:$F$103,$F328,Административные!$G$25:$G$103,$G328)</f>
        <v>0</v>
      </c>
      <c r="AJ328" s="1125">
        <f>_xlfn.SUMIFS(Административные!AI$25:AI$103,Административные!$F$25:$F$103,$F328,Административные!$G$25:$G$103,$G328)</f>
        <v>0</v>
      </c>
      <c r="AK328" s="1125">
        <f>_xlfn.SUMIFS(Административные!AJ$25:AJ$103,Административные!$F$25:$F$103,$F328,Административные!$G$25:$G$103,$G328)</f>
        <v>0</v>
      </c>
      <c r="AL328" s="809">
        <f>IF(AI328=0,0,(AK328-AI328)/AI328*100)</f>
        <v>0</v>
      </c>
      <c r="AM328" s="810"/>
      <c r="AN328" s="917" t="str">
        <f>IF(_xlfn.IFERROR(INDEX(Административные!$K$26:$L$103,MATCH($F328&amp;"9komm",Административные!$K$26:$K$103,0),2),"")=0,"",_xlfn.IFERROR(INDEX(Административные!$K$26:$L$103,MATCH($F323&amp;"9komm",Административные!$K$26:$K$103,0),2),""))</f>
        <v/>
      </c>
      <c r="AO328" s="810"/>
      <c r="AP328" s="1324"/>
      <c r="AQ328" s="1324"/>
      <c r="AR328" s="1070" t="s">
        <v>2072</v>
      </c>
      <c r="AS328" s="1070"/>
      <c r="AT328" s="1070"/>
      <c r="AU328" s="1067"/>
      <c r="AV328" s="1067"/>
    </row>
    <row s="6195" customFormat="1" customHeight="1" ht="14.25">
      <c r="A329" s="593"/>
      <c r="B329" s="593">
        <f>STATUS_GO="да"</f>
        <v>0</v>
      </c>
      <c r="C329" s="593"/>
      <c r="D329" s="593"/>
      <c r="E329" s="703">
        <v>15</v>
      </c>
      <c r="F329" s="50" cm="1" t="str">
        <f t="array" ref="F329:F329">OFFSET(E329,-1,1)</f>
        <v>3</v>
      </c>
      <c r="G329" s="593"/>
      <c r="H329" s="593"/>
      <c r="I329" s="704" t="s">
        <v>348</v>
      </c>
      <c r="J329" s="704"/>
      <c r="K329" s="704"/>
      <c r="L329" s="704"/>
      <c r="M329" s="704"/>
      <c r="N329" s="704"/>
      <c r="O329" s="704"/>
      <c r="P329" s="704"/>
      <c r="Q329" s="704"/>
      <c r="R329" s="704"/>
      <c r="S329" s="704"/>
      <c r="T329" s="468" cm="1" t="str">
        <f t="array" ref="T329:T329">T328</f>
        <v>true</v>
      </c>
      <c r="U329" s="593"/>
      <c r="V329" s="593"/>
      <c r="W329" s="593"/>
      <c r="X329" s="1617"/>
      <c r="Y329" s="593"/>
      <c r="Z329" s="1618"/>
      <c r="AA329" s="593"/>
      <c r="AB329" s="811" t="s">
        <v>451</v>
      </c>
      <c r="AC329" s="807" t="s">
        <v>2073</v>
      </c>
      <c r="AD329" s="819" t="s">
        <v>936</v>
      </c>
      <c r="AE329" s="808">
        <f>_xlfn.SUMIFS('Сбытовые расходы ГО'!AE$25:AE$75,'Сбытовые расходы ГО'!$F$25:$F$75,$F329,'Сбытовые расходы ГО'!$G$25:$G$75,"l0")</f>
        <v>0</v>
      </c>
      <c r="AF329" s="808">
        <f>_xlfn.SUMIFS('Сбытовые расходы ГО'!AF$25:AF$75,'Сбытовые расходы ГО'!$F$25:$F$75,$F329,'Сбытовые расходы ГО'!$G$25:$G$75,"l0")</f>
        <v>0</v>
      </c>
      <c r="AG329" s="808">
        <f>_xlfn.SUMIFS('Сбытовые расходы ГО'!AG$25:AG$75,'Сбытовые расходы ГО'!$F$25:$F$75,$F329,'Сбытовые расходы ГО'!$G$25:$G$75,"l0")</f>
        <v>0</v>
      </c>
      <c r="AH329" s="808">
        <f>AG329-AF329</f>
        <v>0</v>
      </c>
      <c r="AI329" s="808">
        <f>_xlfn.SUMIFS('Сбытовые расходы ГО'!AH$25:AH$75,'Сбытовые расходы ГО'!$F$25:$F$75,$F329,'Сбытовые расходы ГО'!$G$25:$G$75,"l0")</f>
        <v>0</v>
      </c>
      <c r="AJ329" s="808">
        <f>_xlfn.SUMIFS('Сбытовые расходы ГО'!AI$25:AI$75,'Сбытовые расходы ГО'!$F$25:$F$75,$F329,'Сбытовые расходы ГО'!$G$25:$G$75,"l0")</f>
        <v>0</v>
      </c>
      <c r="AK329" s="808">
        <f>_xlfn.SUMIFS('Сбытовые расходы ГО'!AJ$25:AJ$75,'Сбытовые расходы ГО'!$F$25:$F$75,$F329,'Сбытовые расходы ГО'!$G$25:$G$75,"l0")</f>
        <v>0</v>
      </c>
      <c r="AL329" s="808">
        <f>IF(AI329=0,0,(AK329-AI329)/AI329*100)</f>
        <v>0</v>
      </c>
      <c r="AM329" s="813"/>
      <c r="AN329" s="917"/>
      <c r="AO329" s="813"/>
      <c r="AP329" s="593"/>
      <c r="AQ329" s="593"/>
      <c r="AR329" s="1071" t="s">
        <v>2074</v>
      </c>
      <c r="AS329" s="1071"/>
      <c r="AT329" s="1071"/>
      <c r="AU329" s="703"/>
      <c r="AV329" s="703"/>
    </row>
    <row s="6196" customFormat="1" customHeight="1" ht="14.25">
      <c r="A330" s="593"/>
      <c r="B330" s="593"/>
      <c r="C330" s="593"/>
      <c r="D330" s="593"/>
      <c r="E330" s="703">
        <v>15</v>
      </c>
      <c r="F330" s="50" cm="1" t="str">
        <f t="array" ref="F330:F330">OFFSET(E330,-1,1)</f>
        <v>3</v>
      </c>
      <c r="G330" s="593"/>
      <c r="H330" s="593"/>
      <c r="I330" s="704" t="s">
        <v>347</v>
      </c>
      <c r="J330" s="704"/>
      <c r="K330" s="704"/>
      <c r="L330" s="704"/>
      <c r="M330" s="704"/>
      <c r="N330" s="704"/>
      <c r="O330" s="704"/>
      <c r="P330" s="704"/>
      <c r="Q330" s="704"/>
      <c r="R330" s="704"/>
      <c r="S330" s="704"/>
      <c r="T330" s="468" cm="1" t="str">
        <f t="array" ref="T330:T330">T329</f>
        <v>true</v>
      </c>
      <c r="U330" s="593"/>
      <c r="V330" s="593"/>
      <c r="W330" s="593"/>
      <c r="X330" s="1617"/>
      <c r="Y330" s="593"/>
      <c r="Z330" s="1618"/>
      <c r="AA330" s="593"/>
      <c r="AB330" s="811" t="s">
        <v>454</v>
      </c>
      <c r="AC330" s="594" t="s">
        <v>2075</v>
      </c>
      <c r="AD330" s="819" t="s">
        <v>936</v>
      </c>
      <c r="AE330" s="808">
        <f>_xlfn.SUMIFS(Амортизация!AE$25:AE$223,Амортизация!$F$25:$F$223,$F330,Амортизация!$AC$25:$AC$223,"Сумма амортизационных отчислений")</f>
        <v>7218.43</v>
      </c>
      <c r="AF330" s="808">
        <f>_xlfn.SUMIFS(Амортизация!AF$25:AF$223,Амортизация!$F$25:$F$223,$F330,Амортизация!$AC$25:$AC$223,"Сумма амортизационных отчислений")</f>
        <v>2435.28</v>
      </c>
      <c r="AG330" s="808">
        <f>_xlfn.SUMIFS(Амортизация!AG$25:AG$223,Амортизация!$F$25:$F$223,$F330,Амортизация!$AC$25:$AC$223,"Сумма амортизационных отчислений")</f>
        <v>7258.66</v>
      </c>
      <c r="AH330" s="808">
        <f>AG330-AF330</f>
        <v>4823.38</v>
      </c>
      <c r="AI330" s="808">
        <f>_xlfn.SUMIFS(Амортизация!AH$25:AH$223,Амортизация!$F$25:$F$223,$F330,Амортизация!$AC$25:$AC$223,"Сумма амортизационных отчислений")</f>
        <v>7258.66</v>
      </c>
      <c r="AJ330" s="808">
        <f>_xlfn.SUMIFS(Амортизация!AI$25:AI$223,Амортизация!$F$25:$F$223,$F330,Амортизация!$AC$25:$AC$223,"Сумма амортизационных отчислений")</f>
        <v>7258.66</v>
      </c>
      <c r="AK330" s="808">
        <f>_xlfn.SUMIFS(Амортизация!AS$25:AS$223,Амортизация!$F$25:$F$223,$F330,Амортизация!$AC$25:$AC$223,"Сумма амортизационных отчислений")</f>
        <v>7258.66</v>
      </c>
      <c r="AL330" s="808">
        <f>IF(AI330=0,0,(AK330-AI330)/AI330*100)</f>
        <v>0</v>
      </c>
      <c r="AM330" s="813"/>
      <c r="AN330" s="917" t="str">
        <f>IF(_xlfn.IFERROR(INDEX(Амортизация!$K$26:$L$223,MATCH($F330&amp;"komm",Амортизация!$K$26:$K$626,0),2),"")=0,"",_xlfn.IFERROR(INDEX(Амортизация!$K$26:$L$223,MATCH($F330&amp;"komm",Амортизация!$K$26:$K$626,0),2),""))</f>
        <v/>
      </c>
      <c r="AO330" s="813"/>
      <c r="AP330" s="593"/>
      <c r="AQ330" s="593"/>
      <c r="AR330" s="1071" t="s">
        <v>1435</v>
      </c>
      <c r="AS330" s="1071"/>
      <c r="AT330" s="1071"/>
      <c r="AU330" s="703"/>
      <c r="AV330" s="703"/>
    </row>
    <row s="1656" customFormat="1" customHeight="1" ht="14.25">
      <c r="A331" s="1324"/>
      <c r="B331" s="1324"/>
      <c r="C331" s="1324"/>
      <c r="D331" s="1324"/>
      <c r="E331" s="701">
        <v>15</v>
      </c>
      <c r="F331" s="50" cm="1" t="str">
        <f t="array" ref="F331:F331">OFFSET(E331,-1,1)</f>
        <v>3</v>
      </c>
      <c r="G331" s="1324"/>
      <c r="H331" s="1324"/>
      <c r="I331" s="592" t="s">
        <v>673</v>
      </c>
      <c r="J331" s="592"/>
      <c r="K331" s="592"/>
      <c r="L331" s="592"/>
      <c r="M331" s="592"/>
      <c r="N331" s="592"/>
      <c r="O331" s="592"/>
      <c r="P331" s="592"/>
      <c r="Q331" s="592"/>
      <c r="R331" s="592"/>
      <c r="S331" s="592"/>
      <c r="T331" s="468" cm="1" t="str">
        <f t="array" ref="T331:T331">T330</f>
        <v>true</v>
      </c>
      <c r="U331" s="1324"/>
      <c r="V331" s="1324"/>
      <c r="W331" s="1324"/>
      <c r="X331" s="1617"/>
      <c r="Y331" s="1324"/>
      <c r="Z331" s="1618"/>
      <c r="AA331" s="1324"/>
      <c r="AB331" s="814" t="s">
        <v>801</v>
      </c>
      <c r="AC331" s="820" t="s">
        <v>2076</v>
      </c>
      <c r="AD331" s="821" t="s">
        <v>936</v>
      </c>
      <c r="AE331" s="816">
        <f>_xlfn.SUMIFS('ИП + источники'!AF$27:AF$174,'ИП + источники'!$F$27:$F$174,$F331,'ИП + источники'!$AC$27:$AC$174,"Амортизационные отчисления")+_xlfn.SUMIFS('ИП + источники'!AF$27:AF$174,'ИП + источники'!$F$27:$F$174,$F331,'ИП + источники'!$AC$27:$AC$174,"погашение займов и кредитов из амортизации")</f>
        <v>7215.87</v>
      </c>
      <c r="AF331" s="816">
        <f>_xlfn.SUMIFS('ИП + источники'!AG$27:AG$174,'ИП + источники'!$F$27:$F$174,$F331,'ИП + источники'!$AC$27:$AC$174,"Амортизационные отчисления")+_xlfn.SUMIFS('ИП + источники'!AG$27:AG$174,'ИП + источники'!$F$27:$F$174,$F331,'ИП + источники'!$AC$27:$AC$174,"погашение займов и кредитов из амортизации")</f>
        <v>7215.87</v>
      </c>
      <c r="AG331" s="816">
        <f>_xlfn.SUMIFS('ИП + источники'!AH$27:AH$174,'ИП + источники'!$F$27:$F$174,$F331,'ИП + источники'!$AC$27:$AC$174,"Амортизационные отчисления")+_xlfn.SUMIFS('ИП + источники'!AH$27:AH$174,'ИП + источники'!$F$27:$F$174,$F331,'ИП + источники'!$AC$27:$AC$174,"погашение займов и кредитов из амортизации")</f>
        <v>7215.87</v>
      </c>
      <c r="AH331" s="809">
        <f>AG331-AF331</f>
        <v>0</v>
      </c>
      <c r="AI331" s="816">
        <f>_xlfn.SUMIFS('ИП + источники'!AH$27:AH$174,'ИП + источники'!$F$27:$F$174,$F331,'ИП + источники'!$AC$27:$AC$174,"Амортизационные отчисления")+_xlfn.SUMIFS('ИП + источники'!AH$27:AH$174,'ИП + источники'!$F$27:$F$174,$F331,'ИП + источники'!$AC$27:$AC$174,"погашение займов и кредитов из амортизации")</f>
        <v>7215.87</v>
      </c>
      <c r="AJ331" s="816">
        <f>_xlfn.SUMIFS('ИП + источники'!AI$27:AI$174,'ИП + источники'!$F$27:$F$174,$F331,'ИП + источники'!$AC$27:$AC$174,"Амортизационные отчисления")+_xlfn.SUMIFS('ИП + источники'!AI$27:AI$174,'ИП + источники'!$F$27:$F$174,$F331,'ИП + источники'!$AC$27:$AC$174,"погашение займов и кредитов из амортизации")</f>
        <v>7215.87</v>
      </c>
      <c r="AK331" s="816">
        <f>_xlfn.SUMIFS('ИП + источники'!AJ$27:AJ$174,'ИП + источники'!$F$27:$F$174,$F331,'ИП + источники'!$AC$27:$AC$174,"Амортизационные отчисления")+_xlfn.SUMIFS('ИП + источники'!AJ$27:AJ$174,'ИП + источники'!$F$27:$F$174,$F331,'ИП + источники'!$AC$27:$AC$174,"погашение займов и кредитов из амортизации")</f>
        <v>7215.87</v>
      </c>
      <c r="AL331" s="809">
        <f>IF(AI331=0,0,(AK331-AI331)/AI331*100)</f>
        <v>0</v>
      </c>
      <c r="AM331" s="810"/>
      <c r="AN331" s="810"/>
      <c r="AO331" s="810"/>
      <c r="AP331" s="1324"/>
      <c r="AQ331" s="1324"/>
      <c r="AR331" s="1070" t="s">
        <v>2077</v>
      </c>
      <c r="AS331" s="1070"/>
      <c r="AT331" s="1070"/>
      <c r="AU331" s="1067"/>
      <c r="AV331" s="1067"/>
    </row>
    <row s="6197" customFormat="1" customHeight="1" ht="21.75">
      <c r="A332" s="593"/>
      <c r="B332" s="593"/>
      <c r="C332" s="593"/>
      <c r="D332" s="593"/>
      <c r="E332" s="703">
        <v>22.5</v>
      </c>
      <c r="F332" s="50" cm="1" t="str">
        <f t="array" ref="F332:F332">OFFSET(E332,-1,1)</f>
        <v>3</v>
      </c>
      <c r="G332" s="593"/>
      <c r="H332" s="593"/>
      <c r="I332" s="704" t="s">
        <v>616</v>
      </c>
      <c r="J332" s="704"/>
      <c r="K332" s="704"/>
      <c r="L332" s="704"/>
      <c r="M332" s="704"/>
      <c r="N332" s="704"/>
      <c r="O332" s="704"/>
      <c r="P332" s="704"/>
      <c r="Q332" s="704"/>
      <c r="R332" s="704"/>
      <c r="S332" s="704"/>
      <c r="T332" s="468" cm="1" t="str">
        <f t="array" ref="T332:T332">T331</f>
        <v>true</v>
      </c>
      <c r="U332" s="593"/>
      <c r="V332" s="593"/>
      <c r="W332" s="593"/>
      <c r="X332" s="1617"/>
      <c r="Y332" s="593"/>
      <c r="Z332" s="1618"/>
      <c r="AA332" s="593"/>
      <c r="AB332" s="811" t="s">
        <v>457</v>
      </c>
      <c r="AC332" s="594" t="s">
        <v>2078</v>
      </c>
      <c r="AD332" s="819" t="s">
        <v>936</v>
      </c>
      <c r="AE332" s="808">
        <f>_xlfn.SUMIFS(Аренда!AE$25:AE$67,Аренда!$F$25:$F$67,$F332,Аренда!$G$25:$G$67,"Арендная и концессионная плата, лизинговые платежи")</f>
        <v>733.32</v>
      </c>
      <c r="AF332" s="808">
        <f>_xlfn.SUMIFS(Аренда!AF$25:AF$67,Аренда!$F$25:$F$67,$F332,Аренда!$G$25:$G$67,"Арендная и концессионная плата, лизинговые платежи")</f>
        <v>581.95</v>
      </c>
      <c r="AG332" s="808">
        <f>_xlfn.SUMIFS(Аренда!AG$25:AG$67,Аренда!$F$25:$F$67,$F332,Аренда!$G$25:$G$67,"Арендная и концессионная плата, лизинговые платежи")</f>
        <v>581.95</v>
      </c>
      <c r="AH332" s="808">
        <f>AG332-AF332</f>
        <v>0</v>
      </c>
      <c r="AI332" s="808">
        <f>_xlfn.SUMIFS(Аренда!AH$25:AH$67,Аренда!$F$25:$F$67,$F332,Аренда!$G$25:$G$67,"Арендная и концессионная плата, лизинговые платежи")</f>
        <v>581.95</v>
      </c>
      <c r="AJ332" s="808">
        <f>_xlfn.SUMIFS(Аренда!AI$25:AI$67,Аренда!$F$25:$F$67,$F332,Аренда!$G$25:$G$67,"Арендная и концессионная плата, лизинговые платежи")</f>
        <v>581.95</v>
      </c>
      <c r="AK332" s="808">
        <f>_xlfn.SUMIFS(Аренда!AS$25:AS$67,Аренда!$F$25:$F$67,$F332,Аренда!$G$25:$G$67,"Арендная и концессионная плата, лизинговые платежи")</f>
        <v>581.95</v>
      </c>
      <c r="AL332" s="808">
        <f>IF(AI332=0,0,(AK332-AI332)/AI332*100)</f>
        <v>0</v>
      </c>
      <c r="AM332" s="813"/>
      <c r="AN332" s="917" t="str">
        <f>IF(_xlfn.IFERROR(INDEX(Аренда!$K$26:$L$67,MATCH($F332&amp;"komm",Аренда!$K$26:$K$67,0),2),"")=0,"",_xlfn.IFERROR(INDEX(Аренда!$K$26:$L$67,MATCH($F332&amp;"komm",Аренда!$K$26:$K$67,0),2),""))</f>
        <v>П. 29 "Методических указаний…" ФСТ России (приказ от 27.12.2013 № 1746-э).</v>
      </c>
      <c r="AO332" s="813"/>
      <c r="AP332" s="593"/>
      <c r="AQ332" s="593"/>
      <c r="AR332" s="1071" t="s">
        <v>2079</v>
      </c>
      <c r="AS332" s="1071"/>
      <c r="AT332" s="1071"/>
      <c r="AU332" s="703"/>
      <c r="AV332" s="703"/>
    </row>
    <row s="6198" customFormat="1" customHeight="1" ht="14.25">
      <c r="A333" s="593"/>
      <c r="B333" s="593"/>
      <c r="C333" s="593"/>
      <c r="D333" s="593"/>
      <c r="E333" s="703">
        <v>15</v>
      </c>
      <c r="F333" s="50" cm="1" t="str">
        <f t="array" ref="F333:F333">OFFSET(E333,-1,1)</f>
        <v>3</v>
      </c>
      <c r="G333" s="593"/>
      <c r="H333" s="593"/>
      <c r="I333" s="704" t="s">
        <v>619</v>
      </c>
      <c r="J333" s="704"/>
      <c r="K333" s="704"/>
      <c r="L333" s="704"/>
      <c r="M333" s="704"/>
      <c r="N333" s="704"/>
      <c r="O333" s="704"/>
      <c r="P333" s="704"/>
      <c r="Q333" s="704"/>
      <c r="R333" s="704"/>
      <c r="S333" s="704"/>
      <c r="T333" s="468" cm="1" t="str">
        <f t="array" ref="T333:T333">T332</f>
        <v>true</v>
      </c>
      <c r="U333" s="593"/>
      <c r="V333" s="593"/>
      <c r="W333" s="593"/>
      <c r="X333" s="1617"/>
      <c r="Y333" s="593"/>
      <c r="Z333" s="1618"/>
      <c r="AA333" s="593"/>
      <c r="AB333" s="811" t="s">
        <v>460</v>
      </c>
      <c r="AC333" s="594" t="s">
        <v>2080</v>
      </c>
      <c r="AD333" s="819" t="s">
        <v>936</v>
      </c>
      <c r="AE333" s="808">
        <f>_xlfn.SUMIFS(Налоги!AE$25:AE$83,Налоги!$F$25:$F$83,$F333,Налоги!$AC$25:$AC$83,"Налоги и платежи, относимые на указанный вид деятельности")</f>
        <v>1248.91894</v>
      </c>
      <c r="AF333" s="808">
        <f>_xlfn.SUMIFS(Налоги!AF$25:AF$83,Налоги!$F$25:$F$83,$F333,Налоги!$AC$25:$AC$83,"Налоги и платежи, относимые на указанный вид деятельности")</f>
        <v>905.47</v>
      </c>
      <c r="AG333" s="808">
        <f>_xlfn.SUMIFS(Налоги!AG$25:AG$83,Налоги!$F$25:$F$83,$F333,Налоги!$AC$25:$AC$83,"Налоги и платежи, относимые на указанный вид деятельности")</f>
        <v>905.47</v>
      </c>
      <c r="AH333" s="808">
        <f>AG333-AF333</f>
        <v>0</v>
      </c>
      <c r="AI333" s="808">
        <f>_xlfn.SUMIFS(Налоги!AH$25:AH$83,Налоги!$F$25:$F$83,$F333,Налоги!$AC$25:$AC$83,"Налоги и платежи, относимые на указанный вид деятельности")</f>
        <v>999.05</v>
      </c>
      <c r="AJ333" s="808">
        <f>_xlfn.SUMIFS(Налоги!AI$25:AI$83,Налоги!$F$25:$F$83,$F333,Налоги!$AC$25:$AC$83,"Налоги и платежи, относимые на указанный вид деятельности")</f>
        <v>8905.51</v>
      </c>
      <c r="AK333" s="808">
        <f>_xlfn.SUMIFS(Налоги!AS$25:AS$83,Налоги!$F$25:$F$83,$F333,Налоги!$AC$25:$AC$83,"Налоги и платежи, относимые на указанный вид деятельности")</f>
        <v>8881.64</v>
      </c>
      <c r="AL333" s="808">
        <f>IF(AI333=0,0,(AK333-AI333)/AI333*100)</f>
        <v>789.008558130224</v>
      </c>
      <c r="AM333" s="813"/>
      <c r="AN333" s="917" t="str">
        <f>IF(_xlfn.IFERROR(INDEX(Налоги!$K$26:$L$83,MATCH($F333&amp;"komm",Налоги!$K$26:$K$83,0),2),"")=0,"",_xlfn.IFERROR(INDEX(Налоги!$K$26:$L$83,MATCH($F333&amp;"komm",Налоги!$K$26:$K$83,0),2),""))</f>
        <v>П. 49 (2) Методических указаний ФСТ России от 27.12.2013 № 1746-э.</v>
      </c>
      <c r="AO333" s="813"/>
      <c r="AP333" s="593"/>
      <c r="AQ333" s="593"/>
      <c r="AR333" s="1071" t="s">
        <v>1464</v>
      </c>
      <c r="AS333" s="1071"/>
      <c r="AT333" s="1071"/>
      <c r="AU333" s="703"/>
      <c r="AV333" s="703"/>
    </row>
    <row s="6199" customFormat="1" customHeight="1" ht="14.25">
      <c r="A334" s="593"/>
      <c r="B334" s="593"/>
      <c r="C334" s="593"/>
      <c r="D334" s="593"/>
      <c r="E334" s="703">
        <v>15</v>
      </c>
      <c r="F334" s="50" cm="1" t="str">
        <f t="array" ref="F334:F334">OFFSET(E334,-1,1)</f>
        <v>3</v>
      </c>
      <c r="G334" s="593"/>
      <c r="H334" s="593"/>
      <c r="I334" s="704" t="s">
        <v>685</v>
      </c>
      <c r="J334" s="704"/>
      <c r="K334" s="704"/>
      <c r="L334" s="704"/>
      <c r="M334" s="704"/>
      <c r="N334" s="704"/>
      <c r="O334" s="704"/>
      <c r="P334" s="704"/>
      <c r="Q334" s="704"/>
      <c r="R334" s="704"/>
      <c r="S334" s="704"/>
      <c r="T334" s="468" cm="1" t="str">
        <f t="array" ref="T334:T334">T333</f>
        <v>true</v>
      </c>
      <c r="U334" s="593"/>
      <c r="V334" s="593"/>
      <c r="W334" s="593"/>
      <c r="X334" s="1617"/>
      <c r="Y334" s="593"/>
      <c r="Z334" s="1618"/>
      <c r="AA334" s="593"/>
      <c r="AB334" s="811" t="s">
        <v>463</v>
      </c>
      <c r="AC334" s="594" t="s">
        <v>2081</v>
      </c>
      <c r="AD334" s="595" t="s">
        <v>936</v>
      </c>
      <c r="AE334" s="795">
        <f>AE335+AE336+AE337</f>
        <v>16788.33</v>
      </c>
      <c r="AF334" s="795">
        <f>AF335+AF336+AF337</f>
        <v>16788.33</v>
      </c>
      <c r="AG334" s="795">
        <f>AG335+AG336+AG337</f>
        <v>16788.33</v>
      </c>
      <c r="AH334" s="795">
        <f>AG334-AF334</f>
        <v>0</v>
      </c>
      <c r="AI334" s="795">
        <f>AI335+AI336+AI337</f>
        <v>26193.53</v>
      </c>
      <c r="AJ334" s="795">
        <f>AJ335+AJ336+AJ337</f>
        <v>37808.43</v>
      </c>
      <c r="AK334" s="795">
        <f>AK335+AK336+AK337</f>
        <v>37808.43</v>
      </c>
      <c r="AL334" s="808">
        <f>IF(AI334=0,0,(AK334-AI334)/AI334*100)</f>
        <v>44.3426296493829</v>
      </c>
      <c r="AM334" s="813"/>
      <c r="AN334" s="917"/>
      <c r="AO334" s="813"/>
      <c r="AP334" s="593"/>
      <c r="AQ334" s="593"/>
      <c r="AR334" s="1071" t="s">
        <v>1734</v>
      </c>
      <c r="AS334" s="1071"/>
      <c r="AT334" s="1071"/>
      <c r="AU334" s="703"/>
      <c r="AV334" s="703"/>
    </row>
    <row s="1656" customFormat="1" customHeight="1" ht="14.25">
      <c r="A335" s="1324"/>
      <c r="B335" s="1324"/>
      <c r="C335" s="1324"/>
      <c r="D335" s="1324"/>
      <c r="E335" s="701">
        <v>15</v>
      </c>
      <c r="F335" s="50" cm="1" t="str">
        <f t="array" ref="F335:F335">OFFSET(E335,-1,1)</f>
        <v>3</v>
      </c>
      <c r="G335" s="1324"/>
      <c r="H335" s="1324"/>
      <c r="I335" s="592" t="s">
        <v>688</v>
      </c>
      <c r="J335" s="592"/>
      <c r="K335" s="592"/>
      <c r="L335" s="592"/>
      <c r="M335" s="592"/>
      <c r="N335" s="592"/>
      <c r="O335" s="592"/>
      <c r="P335" s="592"/>
      <c r="Q335" s="592"/>
      <c r="R335" s="592"/>
      <c r="S335" s="592"/>
      <c r="T335" s="468" cm="1" t="str">
        <f t="array" ref="T335:T335">T334</f>
        <v>true</v>
      </c>
      <c r="U335" s="1324"/>
      <c r="V335" s="1324"/>
      <c r="W335" s="1324"/>
      <c r="X335" s="1617"/>
      <c r="Y335" s="1324"/>
      <c r="Z335" s="1618"/>
      <c r="AA335" s="1324"/>
      <c r="AB335" s="814" t="s">
        <v>711</v>
      </c>
      <c r="AC335" s="820" t="s">
        <v>2082</v>
      </c>
      <c r="AD335" s="821" t="s">
        <v>936</v>
      </c>
      <c r="AE335" s="816">
        <f>_xlfn.SUMIFS('ИП + источники'!AF$26:AF$174,'ИП + источники'!$F$26:$F$174,$F335,'ИП + источники'!$AC$26:$AC$174,"погашение займов и кредитов из нормативной прибыли")+_xlfn.SUMIFS('ИП + источники'!AF$26:AF$174,'ИП + источники'!$F$26:$F$174,$F335,'ИП + источники'!$AC$26:$AC$174,"уплата процентов по кредитам из нормативной прибыли")</f>
        <v>0</v>
      </c>
      <c r="AF335" s="816">
        <f>_xlfn.SUMIFS('ИП + источники'!AG$26:AG$174,'ИП + источники'!$F$26:$F$174,$F335,'ИП + источники'!$AC$26:$AC$174,"погашение займов и кредитов из нормативной прибыли")+_xlfn.SUMIFS('ИП + источники'!AG$26:AG$174,'ИП + источники'!$F$26:$F$174,$F335,'ИП + источники'!$AC$26:$AC$174,"уплата процентов по кредитам из нормативной прибыли")</f>
        <v>0</v>
      </c>
      <c r="AG335" s="816">
        <f>_xlfn.SUMIFS('ИП + источники'!AH$26:AH$174,'ИП + источники'!$F$26:$F$174,$F335,'ИП + источники'!$AC$26:$AC$174,"погашение займов и кредитов из нормативной прибыли")+_xlfn.SUMIFS('ИП + источники'!AH$26:AH$174,'ИП + источники'!$F$26:$F$174,$F335,'ИП + источники'!$AC$26:$AC$174,"уплата процентов по кредитам из нормативной прибыли")</f>
        <v>0</v>
      </c>
      <c r="AH335" s="809">
        <f>AG335-AF335</f>
        <v>0</v>
      </c>
      <c r="AI335" s="816">
        <f>_xlfn.SUMIFS('ИП + источники'!AJ$26:AJ$174,'ИП + источники'!$F$26:$F$174,$F335,'ИП + источники'!$AC$26:$AC$174,"погашение займов и кредитов из нормативной прибыли")+_xlfn.SUMIFS('ИП + источники'!AJ$26:AJ$174,'ИП + источники'!$F$26:$F$174,$F335,'ИП + источники'!$AC$26:$AC$174,"уплата процентов по кредитам из нормативной прибыли")</f>
        <v>0</v>
      </c>
      <c r="AJ335" s="816">
        <f>_xlfn.SUMIFS('ИП + источники'!AK$26:AK$174,'ИП + источники'!$F$26:$F$174,$F335,'ИП + источники'!$AC$26:$AC$174,"погашение займов и кредитов из нормативной прибыли")+_xlfn.SUMIFS('ИП + источники'!AK$26:AK$174,'ИП + источники'!$F$26:$F$174,$F335,'ИП + источники'!$AC$26:$AC$174,"уплата процентов по кредитам из нормативной прибыли")</f>
        <v>0</v>
      </c>
      <c r="AK335" s="816">
        <f>_xlfn.SUMIFS('ИП + источники'!AU$26:AU$174,'ИП + источники'!$F$26:$F$174,$F335,'ИП + источники'!$AC$26:$AC$174,"погашение займов и кредитов из нормативной прибыли")+_xlfn.SUMIFS('ИП + источники'!AU$26:AU$174,'ИП + источники'!$F$26:$F$174,$F335,'ИП + источники'!$AC$26:$AC$174,"уплата процентов по кредитам из нормативной прибыли")</f>
        <v>0</v>
      </c>
      <c r="AL335" s="809">
        <f>IF(AI335=0,0,(AK335-AI335)/AI335*100)</f>
        <v>0</v>
      </c>
      <c r="AM335" s="810"/>
      <c r="AN335" s="917" t="str">
        <f>IF(_xlfn.IFERROR(INDEX('ИП + источники'!$K$57:$L$174,MATCH($F335&amp;"1komm",'ИП + источники'!$K$57:$K$174,0),2),"")=0,"",_xlfn.IFERROR(INDEX('ИП + источники'!$K$57:$L$174,MATCH($F335&amp;"1komm",'ИП + источники'!$K$57:$K$174,0),2),""))</f>
        <v>Фактическая экономия по ЗАВЕРШЕННЫМ инвестиционным мероприятиям (ПРОЕКТИРОВАНИЕ Очистных сооружений) составила  (-5480,61) тыс. руб.; перерасход по прочим мероприятиям (СТРОИТЕЛЬСТВО ОЧИСТНЫХ СООРУЖЕНИЙ) - (+5502,00) тыс. руб. (в том числе в счет плана будущих периодов - 5502,00 тыс. руб.). Так как оба мероприятия относятся к одному  и тому же объекту, сумма перерасхода принята в пределах плановой величины  стоимости инвестиционных мероприятий отчетного периода (экономия в части проектирования направлена на финансирование строительства объекта, итоговая фактическая стоимость будет определяться после полного завершения работ).  </v>
      </c>
      <c r="AO335" s="810"/>
      <c r="AP335" s="1324"/>
      <c r="AQ335" s="1324"/>
      <c r="AR335" s="1070" t="s">
        <v>1456</v>
      </c>
      <c r="AS335" s="1070"/>
      <c r="AT335" s="1070"/>
      <c r="AU335" s="1067"/>
      <c r="AV335" s="1067"/>
    </row>
    <row s="1656" customFormat="1" customHeight="1" ht="14.25">
      <c r="A336" s="1324"/>
      <c r="B336" s="1324"/>
      <c r="C336" s="1324"/>
      <c r="D336" s="1324"/>
      <c r="E336" s="701">
        <v>15</v>
      </c>
      <c r="F336" s="50" cm="1" t="str">
        <f t="array" ref="F336:F336">OFFSET(E336,-1,1)</f>
        <v>3</v>
      </c>
      <c r="G336" s="1324"/>
      <c r="H336" s="1324"/>
      <c r="I336" s="592" t="s">
        <v>692</v>
      </c>
      <c r="J336" s="592"/>
      <c r="K336" s="592"/>
      <c r="L336" s="592"/>
      <c r="M336" s="592"/>
      <c r="N336" s="592"/>
      <c r="O336" s="592"/>
      <c r="P336" s="592"/>
      <c r="Q336" s="592"/>
      <c r="R336" s="592"/>
      <c r="S336" s="592"/>
      <c r="T336" s="468" cm="1" t="str">
        <f t="array" ref="T336:T336">T335</f>
        <v>true</v>
      </c>
      <c r="U336" s="1324"/>
      <c r="V336" s="1324"/>
      <c r="W336" s="1324"/>
      <c r="X336" s="1617"/>
      <c r="Y336" s="1324"/>
      <c r="Z336" s="1618"/>
      <c r="AA336" s="1324"/>
      <c r="AB336" s="814" t="s">
        <v>728</v>
      </c>
      <c r="AC336" s="820" t="s">
        <v>2083</v>
      </c>
      <c r="AD336" s="821" t="s">
        <v>936</v>
      </c>
      <c r="AE336" s="816">
        <f>_xlfn.SUMIFS('ИП + источники'!AF$27:AF$174,'ИП + источники'!$F$27:$F$174,$F336,'ИП + источники'!$AC$27:$AC$174,"Прибыль на капвложения")</f>
        <v>16788.33</v>
      </c>
      <c r="AF336" s="816">
        <f>_xlfn.SUMIFS('ИП + источники'!AG$27:AG$174,'ИП + источники'!$F$27:$F$174,$F336,'ИП + источники'!$AC$27:$AC$174,"Прибыль на капвложения")</f>
        <v>16788.33</v>
      </c>
      <c r="AG336" s="816">
        <f>_xlfn.SUMIFS('ИП + источники'!AH$27:AH$174,'ИП + источники'!$F$27:$F$174,$F336,'ИП + источники'!$AC$27:$AC$174,"Прибыль на капвложения")</f>
        <v>16788.33</v>
      </c>
      <c r="AH336" s="809">
        <f>AG336-AF336</f>
        <v>0</v>
      </c>
      <c r="AI336" s="816">
        <f>_xlfn.SUMIFS('ИП + источники'!AJ$27:AJ$174,'ИП + источники'!$F$27:$F$174,$F336,'ИП + источники'!$AC$27:$AC$174,"Прибыль на капвложения")</f>
        <v>26193.53</v>
      </c>
      <c r="AJ336" s="816">
        <f>_xlfn.SUMIFS('ИП + источники'!AK$27:AK$174,'ИП + источники'!$F$27:$F$174,$F336,'ИП + источники'!$AC$27:$AC$174,"Прибыль на капвложения")</f>
        <v>37808.43</v>
      </c>
      <c r="AK336" s="816">
        <f>_xlfn.SUMIFS('ИП + источники'!AU$27:AU$174,'ИП + источники'!$F$27:$F$174,$F336,'ИП + источники'!$AC$27:$AC$174,"Прибыль на капвложения")</f>
        <v>37808.43</v>
      </c>
      <c r="AL336" s="809">
        <f>IF(AI336=0,0,(AK336-AI336)/AI336*100)</f>
        <v>44.3426296493829</v>
      </c>
      <c r="AM336" s="810"/>
      <c r="AN336" s="917" t="str">
        <f>IF(_xlfn.IFERROR(INDEX('ИП + источники'!$K$57:$L$174,MATCH($F336&amp;"2komm",'ИП + источники'!$K$57:$K$174,0),2),"")=0,"",_xlfn.IFERROR(INDEX('ИП + источники'!$K$57:$L$174,MATCH($F336&amp;"2komm",'ИП + источники'!$K$57:$K$174,0),2),""))</f>
        <v/>
      </c>
      <c r="AO336" s="810"/>
      <c r="AP336" s="1324"/>
      <c r="AQ336" s="1324"/>
      <c r="AR336" s="1070" t="s">
        <v>2084</v>
      </c>
      <c r="AS336" s="1070"/>
      <c r="AT336" s="1070"/>
      <c r="AU336" s="1067"/>
      <c r="AV336" s="1067"/>
    </row>
    <row s="1656" customFormat="1" customHeight="1" ht="21.75">
      <c r="A337" s="1324"/>
      <c r="B337" s="1324"/>
      <c r="C337" s="1324"/>
      <c r="D337" s="1324"/>
      <c r="E337" s="701">
        <v>22.5</v>
      </c>
      <c r="F337" s="50" cm="1" t="str">
        <f t="array" ref="F337:F337">OFFSET(E337,-1,1)</f>
        <v>3</v>
      </c>
      <c r="G337" s="1324"/>
      <c r="H337" s="1324"/>
      <c r="I337" s="592" t="s">
        <v>696</v>
      </c>
      <c r="J337" s="592"/>
      <c r="K337" s="592"/>
      <c r="L337" s="592"/>
      <c r="M337" s="592"/>
      <c r="N337" s="592"/>
      <c r="O337" s="592"/>
      <c r="P337" s="592"/>
      <c r="Q337" s="592"/>
      <c r="R337" s="592"/>
      <c r="S337" s="592"/>
      <c r="T337" s="468" cm="1" t="str">
        <f t="array" ref="T337:T337">T336</f>
        <v>true</v>
      </c>
      <c r="U337" s="1324"/>
      <c r="V337" s="1324"/>
      <c r="W337" s="1324"/>
      <c r="X337" s="1617"/>
      <c r="Y337" s="1324"/>
      <c r="Z337" s="1618"/>
      <c r="AA337" s="1324"/>
      <c r="AB337" s="814" t="s">
        <v>740</v>
      </c>
      <c r="AC337" s="820" t="s">
        <v>2085</v>
      </c>
      <c r="AD337" s="821" t="s">
        <v>936</v>
      </c>
      <c r="AE337" s="816"/>
      <c r="AF337" s="816"/>
      <c r="AG337" s="816"/>
      <c r="AH337" s="809"/>
      <c r="AI337" s="816"/>
      <c r="AJ337" s="816"/>
      <c r="AK337" s="816"/>
      <c r="AL337" s="809">
        <f>IF(AI337=0,0,(AK337-AI337)/AI337*100)</f>
        <v>0</v>
      </c>
      <c r="AM337" s="810"/>
      <c r="AN337" s="810"/>
      <c r="AO337" s="810"/>
      <c r="AP337" s="1324"/>
      <c r="AQ337" s="1324"/>
      <c r="AR337" s="1070" t="s">
        <v>2086</v>
      </c>
      <c r="AS337" s="1070"/>
      <c r="AT337" s="1070"/>
      <c r="AU337" s="1067"/>
      <c r="AV337" s="1067"/>
    </row>
    <row s="6200" customFormat="1" customHeight="1" ht="21.75">
      <c r="A338" s="593"/>
      <c r="B338" s="593">
        <f>STATUS_GO="да"</f>
        <v>0</v>
      </c>
      <c r="C338" s="593"/>
      <c r="D338" s="593"/>
      <c r="E338" s="703">
        <v>22.5</v>
      </c>
      <c r="F338" s="50" cm="1" t="str">
        <f t="array" ref="F338:F338">OFFSET(E338,-1,1)</f>
        <v>3</v>
      </c>
      <c r="G338" s="593"/>
      <c r="H338" s="593"/>
      <c r="I338" s="704" t="s">
        <v>700</v>
      </c>
      <c r="J338" s="704"/>
      <c r="K338" s="704"/>
      <c r="L338" s="704"/>
      <c r="M338" s="704"/>
      <c r="N338" s="704"/>
      <c r="O338" s="704"/>
      <c r="P338" s="704"/>
      <c r="Q338" s="704"/>
      <c r="R338" s="704"/>
      <c r="S338" s="704"/>
      <c r="T338" s="468" cm="1" t="str">
        <f t="array" ref="T338:T338">T337</f>
        <v>true</v>
      </c>
      <c r="U338" s="593"/>
      <c r="V338" s="593"/>
      <c r="W338" s="593"/>
      <c r="X338" s="1617"/>
      <c r="Y338" s="593"/>
      <c r="Z338" s="1618"/>
      <c r="AA338" s="593"/>
      <c r="AB338" s="811" t="s">
        <v>466</v>
      </c>
      <c r="AC338" s="807" t="s">
        <v>2087</v>
      </c>
      <c r="AD338" s="819" t="s">
        <v>936</v>
      </c>
      <c r="AE338" s="817"/>
      <c r="AF338" s="817"/>
      <c r="AG338" s="817"/>
      <c r="AH338" s="808">
        <f>AG338-AF338</f>
        <v>0</v>
      </c>
      <c r="AI338" s="817"/>
      <c r="AJ338" s="817"/>
      <c r="AK338" s="817"/>
      <c r="AL338" s="808">
        <f>IF(AI338=0,0,(AK338-AI338)/AI338*100)</f>
        <v>0</v>
      </c>
      <c r="AM338" s="813"/>
      <c r="AN338" s="813"/>
      <c r="AO338" s="813"/>
      <c r="AP338" s="593"/>
      <c r="AQ338" s="593"/>
      <c r="AR338" s="1071" t="s">
        <v>2088</v>
      </c>
      <c r="AS338" s="1071"/>
      <c r="AT338" s="1071"/>
      <c r="AU338" s="703"/>
      <c r="AV338" s="703"/>
    </row>
    <row s="1656" customFormat="1" customHeight="1" ht="14.25">
      <c r="A339" s="1324"/>
      <c r="B339" s="1324"/>
      <c r="C339" s="1324"/>
      <c r="D339" s="1324"/>
      <c r="E339" s="701">
        <v>15</v>
      </c>
      <c r="F339" s="50" cm="1" t="str">
        <f t="array" ref="F339:F339">OFFSET(E339,-1,1)</f>
        <v>3</v>
      </c>
      <c r="G339" s="1324"/>
      <c r="H339" s="1324"/>
      <c r="I339" s="592" t="s">
        <v>707</v>
      </c>
      <c r="J339" s="592"/>
      <c r="K339" s="592"/>
      <c r="L339" s="592"/>
      <c r="M339" s="592"/>
      <c r="N339" s="592"/>
      <c r="O339" s="592"/>
      <c r="P339" s="592"/>
      <c r="Q339" s="592"/>
      <c r="R339" s="592"/>
      <c r="S339" s="592"/>
      <c r="T339" s="468" cm="1" t="str">
        <f t="array" ref="T339:T339">T338</f>
        <v>true</v>
      </c>
      <c r="U339" s="1324"/>
      <c r="V339" s="1324"/>
      <c r="W339" s="1324"/>
      <c r="X339" s="1617"/>
      <c r="Y339" s="1324"/>
      <c r="Z339" s="1618"/>
      <c r="AA339" s="1324"/>
      <c r="AB339" s="814" t="s">
        <v>469</v>
      </c>
      <c r="AC339" s="823" t="s">
        <v>1689</v>
      </c>
      <c r="AD339" s="821" t="s">
        <v>936</v>
      </c>
      <c r="AE339" s="816"/>
      <c r="AF339" s="816"/>
      <c r="AG339" s="816"/>
      <c r="AH339" s="809"/>
      <c r="AI339" s="6081"/>
      <c r="AJ339" s="6081"/>
      <c r="AK339" s="6081"/>
      <c r="AL339" s="809">
        <f>IF(AI339=0,0,(AK339-AI339)/AI339*100)</f>
        <v>0</v>
      </c>
      <c r="AM339" s="810"/>
      <c r="AN339" s="810"/>
      <c r="AO339" s="810"/>
      <c r="AP339" s="1324"/>
      <c r="AQ339" s="1324"/>
      <c r="AR339" s="1070" t="s">
        <v>2089</v>
      </c>
      <c r="AS339" s="1070"/>
      <c r="AT339" s="1070"/>
      <c r="AU339" s="1067"/>
      <c r="AV339" s="1067"/>
    </row>
    <row s="1656" customFormat="1" customHeight="1" ht="101.25" hidden="1">
      <c r="A340" s="1324"/>
      <c r="B340" s="1324"/>
      <c r="C340" s="1324"/>
      <c r="D340" s="1324"/>
      <c r="E340" s="701">
        <v>0</v>
      </c>
      <c r="F340" s="50" cm="1" t="str">
        <f t="array" ref="F340:F340">OFFSET(E340,-1,1)</f>
        <v>3</v>
      </c>
      <c r="G340" s="1324"/>
      <c r="H340" s="520">
        <f>ISERR(SEARCH("Водоснабжение",AB282))</f>
        <v>1</v>
      </c>
      <c r="I340" s="592" t="s">
        <v>864</v>
      </c>
      <c r="J340" s="592"/>
      <c r="K340" s="592"/>
      <c r="L340" s="592"/>
      <c r="M340" s="592"/>
      <c r="N340" s="592"/>
      <c r="O340" s="592"/>
      <c r="P340" s="592"/>
      <c r="Q340" s="592"/>
      <c r="R340" s="592"/>
      <c r="S340" s="592"/>
      <c r="T340" s="468" cm="1" t="str">
        <f t="array" ref="T340:T340">T339</f>
        <v>true</v>
      </c>
      <c r="U340" s="1324"/>
      <c r="V340" s="1324"/>
      <c r="W340" s="1324"/>
      <c r="X340" s="1617"/>
      <c r="Y340" s="1324"/>
      <c r="Z340" s="1618"/>
      <c r="AA340" s="1324"/>
      <c r="AB340" s="814" t="s">
        <v>472</v>
      </c>
      <c r="AC340" s="823" t="s">
        <v>2090</v>
      </c>
      <c r="AD340" s="766" t="s">
        <v>936</v>
      </c>
      <c r="AE340" s="6057"/>
      <c r="AF340" s="6057"/>
      <c r="AG340" s="6057"/>
      <c r="AH340" s="809">
        <f>AG340-AF340</f>
        <v>0</v>
      </c>
      <c r="AI340" s="6057"/>
      <c r="AJ340" s="6057"/>
      <c r="AK340" s="6057">
        <f>_xlfn.IFERROR(_xlfn.SUMIFS('Плата за негативное возд'!$AL$25:$AL$38,'Плата за негативное возд'!$F$25:$F$38,F340,'Плата за негативное возд'!$G$25:$G$38,"1"),0)</f>
        <v>288.224</v>
      </c>
      <c r="AL340" s="809">
        <f>IF(AI340=0,0,(AK340-AI340)/AI340*100)</f>
        <v>0</v>
      </c>
      <c r="AM340" s="6039"/>
      <c r="AN340" s="6039"/>
      <c r="AO340" s="6039"/>
      <c r="AP340" s="1324"/>
      <c r="AQ340" s="1324"/>
      <c r="AR340" s="1070" t="s">
        <v>1580</v>
      </c>
      <c r="AS340" s="1070"/>
      <c r="AT340" s="1070"/>
      <c r="AU340" s="1067"/>
      <c r="AV340" s="1067"/>
    </row>
    <row s="1656" customFormat="1" customHeight="1" ht="67.5" hidden="1">
      <c r="A341" s="1324"/>
      <c r="B341" s="1324"/>
      <c r="C341" s="1324"/>
      <c r="D341" s="1324"/>
      <c r="E341" s="701">
        <v>0</v>
      </c>
      <c r="F341" s="50" cm="1" t="str">
        <f t="array" ref="F341:F341">OFFSET(E341,-1,1)</f>
        <v>3</v>
      </c>
      <c r="G341" s="1324"/>
      <c r="H341" s="520">
        <f>ISERR(SEARCH("Водоснабжение",AB282))</f>
        <v>1</v>
      </c>
      <c r="I341" s="592" t="s">
        <v>866</v>
      </c>
      <c r="J341" s="592"/>
      <c r="K341" s="592"/>
      <c r="L341" s="592"/>
      <c r="M341" s="592"/>
      <c r="N341" s="592"/>
      <c r="O341" s="592"/>
      <c r="P341" s="592"/>
      <c r="Q341" s="592"/>
      <c r="R341" s="592"/>
      <c r="S341" s="592"/>
      <c r="T341" s="468" cm="1" t="str">
        <f t="array" ref="T341:T341">T340</f>
        <v>true</v>
      </c>
      <c r="U341" s="1324"/>
      <c r="V341" s="1324"/>
      <c r="W341" s="1324"/>
      <c r="X341" s="1617"/>
      <c r="Y341" s="1324"/>
      <c r="Z341" s="1618"/>
      <c r="AA341" s="1324"/>
      <c r="AB341" s="814" t="s">
        <v>475</v>
      </c>
      <c r="AC341" s="823" t="s">
        <v>2091</v>
      </c>
      <c r="AD341" s="766" t="s">
        <v>936</v>
      </c>
      <c r="AE341" s="6057"/>
      <c r="AF341" s="6057"/>
      <c r="AG341" s="6057"/>
      <c r="AH341" s="809">
        <f>AG341-AF341</f>
        <v>0</v>
      </c>
      <c r="AI341" s="6057"/>
      <c r="AJ341" s="6057"/>
      <c r="AK341" s="6057">
        <f>_xlfn.IFERROR(_xlfn.SUMIFS('Плата за негативное возд'!$AL$25:$AL$38,'Плата за негативное возд'!$F$25:$F$38,F341,'Плата за негативное возд'!$G$25:$G$38,"2"),0)</f>
        <v>1755.416</v>
      </c>
      <c r="AL341" s="809">
        <f>IF(AI341=0,0,(AK341-AI341)/AI341*100)</f>
        <v>0</v>
      </c>
      <c r="AM341" s="6039"/>
      <c r="AN341" s="6039"/>
      <c r="AO341" s="6039"/>
      <c r="AP341" s="1324"/>
      <c r="AQ341" s="1324"/>
      <c r="AR341" s="1070" t="s">
        <v>1584</v>
      </c>
      <c r="AS341" s="1070"/>
      <c r="AT341" s="1070"/>
      <c r="AU341" s="1067"/>
      <c r="AV341" s="1067"/>
    </row>
    <row s="1656" customFormat="1" customHeight="1" ht="14.25">
      <c r="A342" s="1324"/>
      <c r="B342" s="1324"/>
      <c r="C342" s="1324"/>
      <c r="D342" s="1324"/>
      <c r="E342" s="701">
        <v>15</v>
      </c>
      <c r="F342" s="50" cm="1" t="str">
        <f t="array" ref="F342:F342">OFFSET(E342,-1,1)</f>
        <v>3</v>
      </c>
      <c r="G342" s="1324"/>
      <c r="H342" s="1324"/>
      <c r="I342" s="592" t="s">
        <v>914</v>
      </c>
      <c r="J342" s="592"/>
      <c r="K342" s="592"/>
      <c r="L342" s="592"/>
      <c r="M342" s="592"/>
      <c r="N342" s="592"/>
      <c r="O342" s="592"/>
      <c r="P342" s="592"/>
      <c r="Q342" s="592"/>
      <c r="R342" s="592"/>
      <c r="S342" s="592"/>
      <c r="T342" s="468" cm="1" t="str">
        <f t="array" ref="T342:T342">T341</f>
        <v>true</v>
      </c>
      <c r="U342" s="1324"/>
      <c r="V342" s="1324"/>
      <c r="W342" s="1324"/>
      <c r="X342" s="1617"/>
      <c r="Y342" s="1324"/>
      <c r="Z342" s="1618"/>
      <c r="AA342" s="1324"/>
      <c r="AB342" s="814" t="s">
        <v>478</v>
      </c>
      <c r="AC342" s="825" t="s">
        <v>2092</v>
      </c>
      <c r="AD342" s="821" t="s">
        <v>936</v>
      </c>
      <c r="AE342" s="816"/>
      <c r="AF342" s="816"/>
      <c r="AG342" s="816"/>
      <c r="AH342" s="809">
        <f>AG342-AF342</f>
        <v>0</v>
      </c>
      <c r="AI342" s="816"/>
      <c r="AJ342" s="816"/>
      <c r="AK342" s="816"/>
      <c r="AL342" s="809">
        <f>IF(AI342=0,0,(AK342-AI342)/AI342*100)</f>
        <v>0</v>
      </c>
      <c r="AM342" s="810"/>
      <c r="AN342" s="810"/>
      <c r="AO342" s="810"/>
      <c r="AP342" s="1324"/>
      <c r="AQ342" s="1324"/>
      <c r="AR342" s="1070" t="s">
        <v>1441</v>
      </c>
      <c r="AS342" s="1070"/>
      <c r="AT342" s="1070"/>
      <c r="AU342" s="1067"/>
      <c r="AV342" s="1067"/>
    </row>
    <row s="6201" customFormat="1" customHeight="1" ht="21.75">
      <c r="A343" s="593"/>
      <c r="B343" s="593"/>
      <c r="C343" s="593"/>
      <c r="D343" s="593"/>
      <c r="E343" s="703">
        <v>22.5</v>
      </c>
      <c r="F343" s="50" cm="1" t="str">
        <f t="array" ref="F343:F343">OFFSET(E343,-1,1)</f>
        <v>3</v>
      </c>
      <c r="G343" s="593"/>
      <c r="H343" s="593"/>
      <c r="I343" s="704" t="s">
        <v>915</v>
      </c>
      <c r="J343" s="704"/>
      <c r="K343" s="704"/>
      <c r="L343" s="704"/>
      <c r="M343" s="704"/>
      <c r="N343" s="704"/>
      <c r="O343" s="704"/>
      <c r="P343" s="704"/>
      <c r="Q343" s="704"/>
      <c r="R343" s="704"/>
      <c r="S343" s="704"/>
      <c r="T343" s="468" cm="1" t="str">
        <f t="array" ref="T343:T343">T342</f>
        <v>true</v>
      </c>
      <c r="U343" s="593"/>
      <c r="V343" s="593"/>
      <c r="W343" s="593"/>
      <c r="X343" s="1617"/>
      <c r="Y343" s="593"/>
      <c r="Z343" s="1618"/>
      <c r="AA343" s="593"/>
      <c r="AB343" s="811" t="s">
        <v>480</v>
      </c>
      <c r="AC343" s="594" t="s">
        <v>2093</v>
      </c>
      <c r="AD343" s="819" t="s">
        <v>936</v>
      </c>
      <c r="AE343" s="795">
        <f>AE344+AE345</f>
        <v>0</v>
      </c>
      <c r="AF343" s="795">
        <f>AF344+AF345</f>
        <v>0</v>
      </c>
      <c r="AG343" s="795">
        <f>AG344+AG345</f>
        <v>0</v>
      </c>
      <c r="AH343" s="808">
        <f>AG343-AF343</f>
        <v>0</v>
      </c>
      <c r="AI343" s="795">
        <f>AI344+AI345</f>
        <v>0</v>
      </c>
      <c r="AJ343" s="795">
        <f>AJ344+AJ345</f>
        <v>0</v>
      </c>
      <c r="AK343" s="795">
        <f>AK344+AK345</f>
        <v>0</v>
      </c>
      <c r="AL343" s="808">
        <f>IF(AI343=0,0,(AK343-AI343)/AI343*100)</f>
        <v>0</v>
      </c>
      <c r="AM343" s="813"/>
      <c r="AN343" s="813"/>
      <c r="AO343" s="813"/>
      <c r="AP343" s="593"/>
      <c r="AQ343" s="593"/>
      <c r="AR343" s="1071" t="s">
        <v>1772</v>
      </c>
      <c r="AS343" s="1071"/>
      <c r="AT343" s="1071"/>
      <c r="AU343" s="703"/>
      <c r="AV343" s="703"/>
    </row>
    <row s="1656" customFormat="1" customHeight="1" ht="21.75">
      <c r="A344" s="1324"/>
      <c r="B344" s="1324"/>
      <c r="C344" s="1324"/>
      <c r="D344" s="1324"/>
      <c r="E344" s="701">
        <v>22.5</v>
      </c>
      <c r="F344" s="50" cm="1" t="str">
        <f t="array" ref="F344:F344">OFFSET(E344,-1,1)</f>
        <v>3</v>
      </c>
      <c r="G344" s="1324"/>
      <c r="H344" s="1324"/>
      <c r="I344" s="592" t="s">
        <v>2094</v>
      </c>
      <c r="J344" s="592"/>
      <c r="K344" s="592"/>
      <c r="L344" s="592"/>
      <c r="M344" s="592"/>
      <c r="N344" s="592"/>
      <c r="O344" s="592"/>
      <c r="P344" s="592"/>
      <c r="Q344" s="592"/>
      <c r="R344" s="592"/>
      <c r="S344" s="592"/>
      <c r="T344" s="468" cm="1" t="str">
        <f t="array" ref="T344:T344">T343</f>
        <v>true</v>
      </c>
      <c r="U344" s="1324"/>
      <c r="V344" s="1324"/>
      <c r="W344" s="1324"/>
      <c r="X344" s="1617"/>
      <c r="Y344" s="1324"/>
      <c r="Z344" s="1618"/>
      <c r="AA344" s="1324"/>
      <c r="AB344" s="814" t="s">
        <v>2095</v>
      </c>
      <c r="AC344" s="826" t="s">
        <v>1773</v>
      </c>
      <c r="AD344" s="821" t="s">
        <v>936</v>
      </c>
      <c r="AE344" s="816"/>
      <c r="AF344" s="816"/>
      <c r="AG344" s="816"/>
      <c r="AH344" s="809">
        <f>AG344-AF344</f>
        <v>0</v>
      </c>
      <c r="AI344" s="816"/>
      <c r="AJ344" s="816"/>
      <c r="AK344" s="816"/>
      <c r="AL344" s="809">
        <f>IF(AI344=0,0,(AK344-AI344)/AI344*100)</f>
        <v>0</v>
      </c>
      <c r="AM344" s="810"/>
      <c r="AN344" s="810"/>
      <c r="AO344" s="810"/>
      <c r="AP344" s="1324"/>
      <c r="AQ344" s="1324"/>
      <c r="AR344" s="1070" t="s">
        <v>1811</v>
      </c>
      <c r="AS344" s="1070"/>
      <c r="AT344" s="1070"/>
      <c r="AU344" s="1067"/>
      <c r="AV344" s="1067"/>
    </row>
    <row s="1656" customFormat="1" customHeight="1" ht="21.75">
      <c r="A345" s="1324"/>
      <c r="B345" s="1324"/>
      <c r="C345" s="1324"/>
      <c r="D345" s="1324"/>
      <c r="E345" s="701">
        <v>22.5</v>
      </c>
      <c r="F345" s="50" cm="1" t="str">
        <f t="array" ref="F345:F345">OFFSET(E345,-1,1)</f>
        <v>3</v>
      </c>
      <c r="G345" s="1324"/>
      <c r="H345" s="1324"/>
      <c r="I345" s="592" t="s">
        <v>2096</v>
      </c>
      <c r="J345" s="592"/>
      <c r="K345" s="592"/>
      <c r="L345" s="592"/>
      <c r="M345" s="592"/>
      <c r="N345" s="592"/>
      <c r="O345" s="592"/>
      <c r="P345" s="592"/>
      <c r="Q345" s="592"/>
      <c r="R345" s="592"/>
      <c r="S345" s="592"/>
      <c r="T345" s="468" cm="1" t="str">
        <f t="array" ref="T345:T345">T344</f>
        <v>true</v>
      </c>
      <c r="U345" s="1324"/>
      <c r="V345" s="1324"/>
      <c r="W345" s="1324"/>
      <c r="X345" s="1617"/>
      <c r="Y345" s="1324"/>
      <c r="Z345" s="1618"/>
      <c r="AA345" s="1324"/>
      <c r="AB345" s="814" t="s">
        <v>2097</v>
      </c>
      <c r="AC345" s="826" t="s">
        <v>1775</v>
      </c>
      <c r="AD345" s="821" t="s">
        <v>936</v>
      </c>
      <c r="AE345" s="816"/>
      <c r="AF345" s="816"/>
      <c r="AG345" s="816"/>
      <c r="AH345" s="809">
        <f>AG345-AF345</f>
        <v>0</v>
      </c>
      <c r="AI345" s="816"/>
      <c r="AJ345" s="816"/>
      <c r="AK345" s="816"/>
      <c r="AL345" s="809">
        <f>IF(AI345=0,0,(AK345-AI345)/AI345*100)</f>
        <v>0</v>
      </c>
      <c r="AM345" s="810"/>
      <c r="AN345" s="810"/>
      <c r="AO345" s="810"/>
      <c r="AP345" s="1324"/>
      <c r="AQ345" s="1324"/>
      <c r="AR345" s="1070" t="s">
        <v>2098</v>
      </c>
      <c r="AS345" s="1070"/>
      <c r="AT345" s="1070"/>
      <c r="AU345" s="1067"/>
      <c r="AV345" s="1067"/>
    </row>
    <row s="1656" customFormat="1" customHeight="1" ht="14.25">
      <c r="A346" s="1324"/>
      <c r="B346" s="1324"/>
      <c r="C346" s="1324"/>
      <c r="D346" s="1324"/>
      <c r="E346" s="701">
        <v>15</v>
      </c>
      <c r="F346" s="50" cm="1" t="str">
        <f t="array" ref="F346:F346">OFFSET(E346,-1,1)</f>
        <v>3</v>
      </c>
      <c r="G346" s="1324"/>
      <c r="H346" s="1324"/>
      <c r="I346" s="592" t="s">
        <v>2099</v>
      </c>
      <c r="J346" s="592"/>
      <c r="K346" s="592"/>
      <c r="L346" s="592"/>
      <c r="M346" s="592"/>
      <c r="N346" s="592"/>
      <c r="O346" s="592"/>
      <c r="P346" s="592"/>
      <c r="Q346" s="592"/>
      <c r="R346" s="592"/>
      <c r="S346" s="592"/>
      <c r="T346" s="468" cm="1" t="str">
        <f t="array" ref="T346:T346">T345</f>
        <v>true</v>
      </c>
      <c r="U346" s="1324"/>
      <c r="V346" s="1324"/>
      <c r="W346" s="1324"/>
      <c r="X346" s="1617"/>
      <c r="Y346" s="1324"/>
      <c r="Z346" s="1618"/>
      <c r="AA346" s="1324"/>
      <c r="AB346" s="827" t="s">
        <v>353</v>
      </c>
      <c r="AC346" s="828" t="s">
        <v>1777</v>
      </c>
      <c r="AD346" s="821" t="s">
        <v>936</v>
      </c>
      <c r="AE346" s="816"/>
      <c r="AF346" s="816"/>
      <c r="AG346" s="816"/>
      <c r="AH346" s="809">
        <f>AG346-AF346</f>
        <v>0</v>
      </c>
      <c r="AI346" s="816"/>
      <c r="AJ346" s="816"/>
      <c r="AK346" s="816"/>
      <c r="AL346" s="809">
        <f>IF(AI346=0,0,(AK346-AI346)/AI346*100)</f>
        <v>0</v>
      </c>
      <c r="AM346" s="810"/>
      <c r="AN346" s="810"/>
      <c r="AO346" s="810"/>
      <c r="AP346" s="1324"/>
      <c r="AQ346" s="1324"/>
      <c r="AR346" s="1070" t="s">
        <v>1778</v>
      </c>
      <c r="AS346" s="1070"/>
      <c r="AT346" s="1070"/>
      <c r="AU346" s="1067"/>
      <c r="AV346" s="1067"/>
    </row>
    <row s="1656" customFormat="1" customHeight="1" ht="14.25">
      <c r="A347" s="1324"/>
      <c r="B347" s="1324"/>
      <c r="C347" s="1324"/>
      <c r="D347" s="1324"/>
      <c r="E347" s="701">
        <v>15</v>
      </c>
      <c r="F347" s="50" cm="1" t="str">
        <f t="array" ref="F347:F347">OFFSET(E347,-1,1)</f>
        <v>3</v>
      </c>
      <c r="G347" s="1324"/>
      <c r="H347" s="1324"/>
      <c r="I347" s="592" t="s">
        <v>2100</v>
      </c>
      <c r="J347" s="592"/>
      <c r="K347" s="592"/>
      <c r="L347" s="592"/>
      <c r="M347" s="592"/>
      <c r="N347" s="592"/>
      <c r="O347" s="592"/>
      <c r="P347" s="592"/>
      <c r="Q347" s="592"/>
      <c r="R347" s="592"/>
      <c r="S347" s="592"/>
      <c r="T347" s="468" cm="1" t="str">
        <f t="array" ref="T347:T347">T346</f>
        <v>true</v>
      </c>
      <c r="U347" s="1324"/>
      <c r="V347" s="1324"/>
      <c r="W347" s="1324"/>
      <c r="X347" s="1617"/>
      <c r="Y347" s="1324"/>
      <c r="Z347" s="1618"/>
      <c r="AA347" s="1324"/>
      <c r="AB347" s="827" t="s">
        <v>485</v>
      </c>
      <c r="AC347" s="828" t="s">
        <v>1779</v>
      </c>
      <c r="AD347" s="821" t="s">
        <v>936</v>
      </c>
      <c r="AE347" s="816"/>
      <c r="AF347" s="816"/>
      <c r="AG347" s="816"/>
      <c r="AH347" s="809">
        <f>AG347-AF347</f>
        <v>0</v>
      </c>
      <c r="AI347" s="816"/>
      <c r="AJ347" s="816"/>
      <c r="AK347" s="816"/>
      <c r="AL347" s="809">
        <f>IF(AI347=0,0,(AK347-AI347)/AI347*100)</f>
        <v>0</v>
      </c>
      <c r="AM347" s="810"/>
      <c r="AN347" s="810"/>
      <c r="AO347" s="810"/>
      <c r="AP347" s="1324"/>
      <c r="AQ347" s="1324"/>
      <c r="AR347" s="1070" t="s">
        <v>1780</v>
      </c>
      <c r="AS347" s="1070"/>
      <c r="AT347" s="1070"/>
      <c r="AU347" s="1067"/>
      <c r="AV347" s="1067"/>
    </row>
    <row s="6202" customFormat="1" customHeight="1" ht="14.25">
      <c r="A348" s="593"/>
      <c r="B348" s="593"/>
      <c r="C348" s="593"/>
      <c r="D348" s="593"/>
      <c r="E348" s="703">
        <v>15</v>
      </c>
      <c r="F348" s="50" cm="1" t="str">
        <f t="array" ref="F348:F348">OFFSET(E348,-1,1)</f>
        <v>3</v>
      </c>
      <c r="G348" s="593"/>
      <c r="H348" s="593"/>
      <c r="I348" s="704" t="s">
        <v>2101</v>
      </c>
      <c r="J348" s="704"/>
      <c r="K348" s="704"/>
      <c r="L348" s="704"/>
      <c r="M348" s="704"/>
      <c r="N348" s="704"/>
      <c r="O348" s="704"/>
      <c r="P348" s="704"/>
      <c r="Q348" s="704"/>
      <c r="R348" s="704"/>
      <c r="S348" s="704"/>
      <c r="T348" s="468" cm="1" t="str">
        <f t="array" ref="T348:T348">T347</f>
        <v>true</v>
      </c>
      <c r="U348" s="593"/>
      <c r="V348" s="593"/>
      <c r="W348" s="593"/>
      <c r="X348" s="1617"/>
      <c r="Y348" s="593"/>
      <c r="Z348" s="1618"/>
      <c r="AA348" s="593"/>
      <c r="AB348" s="811" t="s">
        <v>488</v>
      </c>
      <c r="AC348" s="594" t="s">
        <v>2102</v>
      </c>
      <c r="AD348" s="819" t="s">
        <v>936</v>
      </c>
      <c r="AE348" s="795">
        <f>AE283+AE311+AE316+AE329+AE330+AE332+AE333+AE334+AE338+AE339-AE340-AE341+AE342-AE343+AE346+AE347</f>
        <v>31607.41294</v>
      </c>
      <c r="AF348" s="795">
        <f>AF283+AF311+AF316+AF329+AF330+AF332+AF333+AF334+AF338+AF339-AF340-AF341+AF342-AF343+AF346+AF347</f>
        <v>27078.82</v>
      </c>
      <c r="AG348" s="795">
        <f>AG283+AG311+AG316+AG329+AG330+AG332+AG333+AG334+AG338+AG339-AG340-AG341+AG342-AG343+AG346+AG347</f>
        <v>30038.017732016</v>
      </c>
      <c r="AH348" s="808">
        <f>AG348-AF348</f>
        <v>2959.197732016</v>
      </c>
      <c r="AI348" s="795">
        <f>AI283+AI311+AI316+AI329+AI330+AI332+AI333+AI334+AI338+AI339-AI340-AI341+AI342-AI343+AI346+AI347</f>
        <v>41136.78</v>
      </c>
      <c r="AJ348" s="795">
        <f>AJ283+AJ311+AJ316+AJ329+AJ330+AJ332+AJ333+AJ334+AJ338+AJ339-AJ340-AJ341+AJ342-AJ343+AJ346+AJ347</f>
        <v>61172.79</v>
      </c>
      <c r="AK348" s="795">
        <f>AK283+AK311+AK316+AK329+AK330+AK332+AK333+AK334+AK338+AK339-AK340-AK341+AK342-AK343+AK346+AK347</f>
        <v>59363.74</v>
      </c>
      <c r="AL348" s="808">
        <f>IF(AI348=0,0,(AK348-AI348)/AI348*100)</f>
        <v>44.308183576838</v>
      </c>
      <c r="AM348" s="813"/>
      <c r="AN348" s="813"/>
      <c r="AO348" s="813"/>
      <c r="AP348" s="593"/>
      <c r="AQ348" s="593"/>
      <c r="AR348" s="1071" t="s">
        <v>2103</v>
      </c>
      <c r="AS348" s="1071"/>
      <c r="AT348" s="1071"/>
      <c r="AU348" s="703"/>
      <c r="AV348" s="703"/>
    </row>
    <row s="1656" customFormat="1" customHeight="1" ht="15" hidden="1">
      <c r="A349" s="1324"/>
      <c r="B349" s="582">
        <f>G282="двухставочный"</f>
        <v>0</v>
      </c>
      <c r="C349" s="1324"/>
      <c r="D349" s="1324"/>
      <c r="E349" s="701">
        <v>0</v>
      </c>
      <c r="F349" s="50" cm="1" t="str">
        <f t="array" ref="F349:F349">OFFSET(E349,-1,1)</f>
        <v>3</v>
      </c>
      <c r="G349" s="1324"/>
      <c r="H349" s="1324"/>
      <c r="I349" s="592" t="s">
        <v>2104</v>
      </c>
      <c r="J349" s="592"/>
      <c r="K349" s="592"/>
      <c r="L349" s="592"/>
      <c r="M349" s="592"/>
      <c r="N349" s="592"/>
      <c r="O349" s="592"/>
      <c r="P349" s="592"/>
      <c r="Q349" s="592"/>
      <c r="R349" s="592"/>
      <c r="S349" s="592"/>
      <c r="T349" s="468" cm="1" t="str">
        <f t="array" ref="T349:T349">T348</f>
        <v>true</v>
      </c>
      <c r="U349" s="1324"/>
      <c r="V349" s="1324"/>
      <c r="W349" s="1324"/>
      <c r="X349" s="1617"/>
      <c r="Y349" s="1324"/>
      <c r="Z349" s="1618"/>
      <c r="AA349" s="1324"/>
      <c r="AB349" s="814" t="s">
        <v>2105</v>
      </c>
      <c r="AC349" s="826" t="s">
        <v>2106</v>
      </c>
      <c r="AD349" s="821" t="s">
        <v>936</v>
      </c>
      <c r="AE349" s="6057"/>
      <c r="AF349" s="6057"/>
      <c r="AG349" s="6057"/>
      <c r="AH349" s="809">
        <f>AG349-AF349</f>
        <v>0</v>
      </c>
      <c r="AI349" s="6057"/>
      <c r="AJ349" s="6057"/>
      <c r="AK349" s="6057"/>
      <c r="AL349" s="809">
        <f>IF(AI349=0,0,(AK349-AI349)/AI349*100)</f>
        <v>0</v>
      </c>
      <c r="AM349" s="6039"/>
      <c r="AN349" s="6039"/>
      <c r="AO349" s="6039"/>
      <c r="AP349" s="1324"/>
      <c r="AQ349" s="1324"/>
      <c r="AR349" s="1070" t="s">
        <v>2107</v>
      </c>
      <c r="AS349" s="1070"/>
      <c r="AT349" s="1070"/>
      <c r="AU349" s="1067"/>
      <c r="AV349" s="1067"/>
    </row>
    <row s="1656" customFormat="1" customHeight="1" ht="15" hidden="1">
      <c r="A350" s="1324"/>
      <c r="B350" s="582">
        <f>G282="двухставочный"</f>
        <v>0</v>
      </c>
      <c r="C350" s="1324"/>
      <c r="D350" s="1324"/>
      <c r="E350" s="701">
        <v>0</v>
      </c>
      <c r="F350" s="50" cm="1" t="str">
        <f t="array" ref="F350:F350">OFFSET(E350,-1,1)</f>
        <v>3</v>
      </c>
      <c r="G350" s="1324"/>
      <c r="H350" s="1324"/>
      <c r="I350" s="592" t="s">
        <v>2108</v>
      </c>
      <c r="J350" s="592"/>
      <c r="K350" s="592"/>
      <c r="L350" s="592"/>
      <c r="M350" s="592"/>
      <c r="N350" s="592"/>
      <c r="O350" s="592"/>
      <c r="P350" s="592"/>
      <c r="Q350" s="592"/>
      <c r="R350" s="592"/>
      <c r="S350" s="592"/>
      <c r="T350" s="468" cm="1" t="str">
        <f t="array" ref="T350:T350">T349</f>
        <v>true</v>
      </c>
      <c r="U350" s="1324"/>
      <c r="V350" s="1324"/>
      <c r="W350" s="1324"/>
      <c r="X350" s="1617"/>
      <c r="Y350" s="1324"/>
      <c r="Z350" s="1618"/>
      <c r="AA350" s="1324"/>
      <c r="AB350" s="814" t="s">
        <v>2109</v>
      </c>
      <c r="AC350" s="826" t="s">
        <v>2110</v>
      </c>
      <c r="AD350" s="821" t="s">
        <v>936</v>
      </c>
      <c r="AE350" s="6057"/>
      <c r="AF350" s="6057"/>
      <c r="AG350" s="6057"/>
      <c r="AH350" s="809">
        <f>AG350-AF350</f>
        <v>0</v>
      </c>
      <c r="AI350" s="6057"/>
      <c r="AJ350" s="6057"/>
      <c r="AK350" s="6057"/>
      <c r="AL350" s="809">
        <f>IF(AI350=0,0,(AK350-AI350)/AI350*100)</f>
        <v>0</v>
      </c>
      <c r="AM350" s="6039"/>
      <c r="AN350" s="6039"/>
      <c r="AO350" s="6039"/>
      <c r="AP350" s="1324"/>
      <c r="AQ350" s="1324"/>
      <c r="AR350" s="1070" t="s">
        <v>2111</v>
      </c>
      <c r="AS350" s="1070"/>
      <c r="AT350" s="1070"/>
      <c r="AU350" s="1067"/>
      <c r="AV350" s="1067"/>
    </row>
    <row s="6203" customFormat="1" customHeight="1" ht="14.25">
      <c r="A351" s="593"/>
      <c r="B351" s="593"/>
      <c r="C351" s="593"/>
      <c r="D351" s="593"/>
      <c r="E351" s="703">
        <v>15</v>
      </c>
      <c r="F351" s="50" cm="1" t="str">
        <f t="array" ref="F351:F351">OFFSET(E351,-1,1)</f>
        <v>3</v>
      </c>
      <c r="G351" s="583" t="s">
        <v>1871</v>
      </c>
      <c r="H351" s="593"/>
      <c r="I351" s="704" t="s">
        <v>2112</v>
      </c>
      <c r="J351" s="704"/>
      <c r="K351" s="704"/>
      <c r="L351" s="704"/>
      <c r="M351" s="704"/>
      <c r="N351" s="704"/>
      <c r="O351" s="704"/>
      <c r="P351" s="704"/>
      <c r="Q351" s="704"/>
      <c r="R351" s="704"/>
      <c r="S351" s="704"/>
      <c r="T351" s="468" cm="1" t="str">
        <f t="array" ref="T351:T351">T350</f>
        <v>true</v>
      </c>
      <c r="U351" s="593"/>
      <c r="V351" s="593"/>
      <c r="W351" s="593"/>
      <c r="X351" s="1617"/>
      <c r="Y351" s="593"/>
      <c r="Z351" s="1618"/>
      <c r="AA351" s="593"/>
      <c r="AB351" s="811" t="s">
        <v>490</v>
      </c>
      <c r="AC351" s="594" t="s">
        <v>2113</v>
      </c>
      <c r="AD351" s="819" t="s">
        <v>657</v>
      </c>
      <c r="AE351" s="829">
        <f>_xlfn.SUMIFS(Баланс!AE$26:AE$391,Баланс!$F$26:$F$391,$F351,Баланс!$G$26:$G$391,"ПО")</f>
        <v>1530.84022</v>
      </c>
      <c r="AF351" s="829">
        <f>_xlfn.SUMIFS(Баланс!AF$26:AF$391,Баланс!$F$26:$F$391,$F351,Баланс!$G$26:$G$391,"ПО")</f>
        <v>1106.15104</v>
      </c>
      <c r="AG351" s="829">
        <f>_xlfn.SUMIFS(Баланс!AG$26:AG$391,Баланс!$F$26:$F$391,$F351,Баланс!$G$26:$G$391,"ПО")</f>
        <v>1106.15104</v>
      </c>
      <c r="AH351" s="829">
        <f>AG351-AF351</f>
        <v>0</v>
      </c>
      <c r="AI351" s="829">
        <f>_xlfn.SUMIFS(Баланс!AH$26:AH$391,Баланс!$F$26:$F$391,$F351,Баланс!$G$26:$G$391,"ПО")</f>
        <v>1456.5032</v>
      </c>
      <c r="AJ351" s="829">
        <f>_xlfn.SUMIFS(Баланс!AI$26:AI$391,Баланс!$F$26:$F$391,$F351,Баланс!$G$26:$G$391,"ПО")</f>
        <v>1458.9532</v>
      </c>
      <c r="AK351" s="829">
        <f>_xlfn.SUMIFS(Баланс!AS$26:AS$391,Баланс!$F$26:$F$391,$F351,Баланс!$G$26:$G$391,"ПО")</f>
        <v>1387.33054</v>
      </c>
      <c r="AL351" s="830"/>
      <c r="AM351" s="813"/>
      <c r="AN351" s="813"/>
      <c r="AO351" s="813"/>
      <c r="AP351" s="593"/>
      <c r="AQ351" s="593"/>
      <c r="AR351" s="1071" t="s">
        <v>2114</v>
      </c>
      <c r="AS351" s="1071"/>
      <c r="AT351" s="1071"/>
      <c r="AU351" s="703"/>
      <c r="AV351" s="703"/>
    </row>
    <row s="1656" customFormat="1" customHeight="1" ht="14.25">
      <c r="A352" s="1324"/>
      <c r="B352" s="1324"/>
      <c r="C352" s="1324"/>
      <c r="D352" s="1324"/>
      <c r="E352" s="701">
        <v>15</v>
      </c>
      <c r="F352" s="50" cm="1" t="str">
        <f t="array" ref="F352:F352">OFFSET(E352,-1,1)</f>
        <v>3</v>
      </c>
      <c r="G352" s="583" t="s">
        <v>1898</v>
      </c>
      <c r="H352" s="1324"/>
      <c r="I352" s="592" t="s">
        <v>2115</v>
      </c>
      <c r="J352" s="592"/>
      <c r="K352" s="592"/>
      <c r="L352" s="592"/>
      <c r="M352" s="592"/>
      <c r="N352" s="592"/>
      <c r="O352" s="592"/>
      <c r="P352" s="592"/>
      <c r="Q352" s="592"/>
      <c r="R352" s="592"/>
      <c r="S352" s="592"/>
      <c r="T352" s="468" cm="1" t="str">
        <f t="array" ref="T352:T352">T351</f>
        <v>true</v>
      </c>
      <c r="U352" s="1324"/>
      <c r="V352" s="1324"/>
      <c r="W352" s="1324"/>
      <c r="X352" s="1617"/>
      <c r="Y352" s="1324"/>
      <c r="Z352" s="1618"/>
      <c r="AA352" s="1324"/>
      <c r="AB352" s="814" t="s">
        <v>2116</v>
      </c>
      <c r="AC352" s="1120" t="s">
        <v>2117</v>
      </c>
      <c r="AD352" s="821" t="s">
        <v>657</v>
      </c>
      <c r="AE352" s="831">
        <f>IF(AE$24="2026 год",AE351/12*9,AE351/2)</f>
        <v>765.42011</v>
      </c>
      <c r="AF352" s="831">
        <f>IF(AF$24="2026 год",AF351/12*9,AF351/2)</f>
        <v>553.07552</v>
      </c>
      <c r="AG352" s="831">
        <f>IF(AG$24="2026 год",AG351/12*9,AG351/2)</f>
        <v>553.07552</v>
      </c>
      <c r="AH352" s="832">
        <f>AG352-AF352</f>
        <v>0</v>
      </c>
      <c r="AI352" s="831">
        <f>IF(AI$24="2026 год",AI351/12*9,AI351/2)</f>
        <v>728.2516</v>
      </c>
      <c r="AJ352" s="831">
        <f>IF(AJ$24="2026 год",AJ351/12*9,AJ351/2)</f>
        <v>1094.2149</v>
      </c>
      <c r="AK352" s="831">
        <f>IF(AK$24="2026 год",AK351/12*9,AK351/2)</f>
        <v>1040.497905</v>
      </c>
      <c r="AL352" s="824"/>
      <c r="AM352" s="810"/>
      <c r="AN352" s="810"/>
      <c r="AO352" s="810"/>
      <c r="AP352" s="1324"/>
      <c r="AQ352" s="1324"/>
      <c r="AR352" s="1070" t="s">
        <v>2118</v>
      </c>
      <c r="AS352" s="1070"/>
      <c r="AT352" s="1070"/>
      <c r="AU352" s="1067"/>
      <c r="AV352" s="1067"/>
    </row>
    <row s="1656" customFormat="1" customHeight="1" ht="14.25">
      <c r="A353" s="1324"/>
      <c r="B353" s="1324"/>
      <c r="C353" s="1324"/>
      <c r="D353" s="1324"/>
      <c r="E353" s="701">
        <v>15</v>
      </c>
      <c r="F353" s="50" cm="1" t="str">
        <f t="array" ref="F353:F353">OFFSET(E353,-1,1)</f>
        <v>3</v>
      </c>
      <c r="G353" s="583" t="s">
        <v>1859</v>
      </c>
      <c r="H353" s="1324"/>
      <c r="I353" s="592" t="s">
        <v>2119</v>
      </c>
      <c r="J353" s="592"/>
      <c r="K353" s="592"/>
      <c r="L353" s="592"/>
      <c r="M353" s="592"/>
      <c r="N353" s="592"/>
      <c r="O353" s="592"/>
      <c r="P353" s="592"/>
      <c r="Q353" s="592"/>
      <c r="R353" s="592"/>
      <c r="S353" s="592"/>
      <c r="T353" s="468" cm="1" t="str">
        <f t="array" ref="T353:T353">T352</f>
        <v>true</v>
      </c>
      <c r="U353" s="1324"/>
      <c r="V353" s="1324"/>
      <c r="W353" s="1324"/>
      <c r="X353" s="1617"/>
      <c r="Y353" s="1324"/>
      <c r="Z353" s="1618"/>
      <c r="AA353" s="1324"/>
      <c r="AB353" s="814" t="s">
        <v>2120</v>
      </c>
      <c r="AC353" s="1120" t="s">
        <v>2121</v>
      </c>
      <c r="AD353" s="821" t="s">
        <v>1862</v>
      </c>
      <c r="AE353" s="816"/>
      <c r="AF353" s="816"/>
      <c r="AG353" s="816"/>
      <c r="AH353" s="809">
        <f>AG353-AF353</f>
        <v>0</v>
      </c>
      <c r="AI353" s="816"/>
      <c r="AJ353" s="816"/>
      <c r="AK353" s="816"/>
      <c r="AL353" s="824"/>
      <c r="AM353" s="810"/>
      <c r="AN353" s="810"/>
      <c r="AO353" s="810"/>
      <c r="AP353" s="1324"/>
      <c r="AQ353" s="1324"/>
      <c r="AR353" s="1070" t="s">
        <v>2122</v>
      </c>
      <c r="AS353" s="1070"/>
      <c r="AT353" s="1070"/>
      <c r="AU353" s="1067"/>
      <c r="AV353" s="1067"/>
    </row>
    <row s="1656" customFormat="1" customHeight="1" ht="14.25">
      <c r="A354" s="1324"/>
      <c r="B354" s="1324"/>
      <c r="C354" s="1324"/>
      <c r="D354" s="1324"/>
      <c r="E354" s="701">
        <v>15</v>
      </c>
      <c r="F354" s="50" cm="1" t="str">
        <f t="array" ref="F354:F354">OFFSET(E354,-1,1)</f>
        <v>3</v>
      </c>
      <c r="G354" s="583" t="s">
        <v>1911</v>
      </c>
      <c r="H354" s="1324"/>
      <c r="I354" s="592" t="s">
        <v>2123</v>
      </c>
      <c r="J354" s="592"/>
      <c r="K354" s="592"/>
      <c r="L354" s="592"/>
      <c r="M354" s="592"/>
      <c r="N354" s="592"/>
      <c r="O354" s="592"/>
      <c r="P354" s="592"/>
      <c r="Q354" s="592"/>
      <c r="R354" s="592"/>
      <c r="S354" s="592"/>
      <c r="T354" s="468" cm="1" t="str">
        <f t="array" ref="T354:T354">T353</f>
        <v>true</v>
      </c>
      <c r="U354" s="1324"/>
      <c r="V354" s="1324"/>
      <c r="W354" s="1324"/>
      <c r="X354" s="1617"/>
      <c r="Y354" s="1324"/>
      <c r="Z354" s="1618"/>
      <c r="AA354" s="1324"/>
      <c r="AB354" s="814" t="s">
        <v>2124</v>
      </c>
      <c r="AC354" s="1120" t="s">
        <v>2125</v>
      </c>
      <c r="AD354" s="821" t="s">
        <v>657</v>
      </c>
      <c r="AE354" s="832">
        <f>AE351-AE352</f>
        <v>765.42011</v>
      </c>
      <c r="AF354" s="832">
        <f>AF351-AF352</f>
        <v>553.07552</v>
      </c>
      <c r="AG354" s="832">
        <f>AG351-AG352</f>
        <v>553.07552</v>
      </c>
      <c r="AH354" s="832">
        <f>AG354-AF354</f>
        <v>0</v>
      </c>
      <c r="AI354" s="832">
        <f>AI351-AI352</f>
        <v>728.2516</v>
      </c>
      <c r="AJ354" s="832">
        <f>AJ351-AJ352</f>
        <v>364.7383</v>
      </c>
      <c r="AK354" s="832">
        <f>AK351-AK352</f>
        <v>346.832635</v>
      </c>
      <c r="AL354" s="824"/>
      <c r="AM354" s="810"/>
      <c r="AN354" s="810"/>
      <c r="AO354" s="810"/>
      <c r="AP354" s="1324"/>
      <c r="AQ354" s="1324"/>
      <c r="AR354" s="1070" t="s">
        <v>2126</v>
      </c>
      <c r="AS354" s="1070"/>
      <c r="AT354" s="1070"/>
      <c r="AU354" s="1067"/>
      <c r="AV354" s="1067"/>
    </row>
    <row s="1656" customFormat="1" customHeight="1" ht="14.25">
      <c r="A355" s="1324"/>
      <c r="B355" s="1324"/>
      <c r="C355" s="1324"/>
      <c r="D355" s="1324"/>
      <c r="E355" s="701">
        <v>15</v>
      </c>
      <c r="F355" s="50" cm="1" t="str">
        <f t="array" ref="F355:F355">OFFSET(E355,-1,1)</f>
        <v>3</v>
      </c>
      <c r="G355" s="583" t="s">
        <v>1864</v>
      </c>
      <c r="H355" s="1324"/>
      <c r="I355" s="592" t="s">
        <v>2127</v>
      </c>
      <c r="J355" s="592"/>
      <c r="K355" s="592"/>
      <c r="L355" s="592"/>
      <c r="M355" s="592"/>
      <c r="N355" s="592"/>
      <c r="O355" s="592"/>
      <c r="P355" s="592"/>
      <c r="Q355" s="592"/>
      <c r="R355" s="592"/>
      <c r="S355" s="592"/>
      <c r="T355" s="468" cm="1" t="str">
        <f t="array" ref="T355:T355">T354</f>
        <v>true</v>
      </c>
      <c r="U355" s="1324"/>
      <c r="V355" s="1324"/>
      <c r="W355" s="1324"/>
      <c r="X355" s="1617"/>
      <c r="Y355" s="1324"/>
      <c r="Z355" s="1618"/>
      <c r="AA355" s="1324"/>
      <c r="AB355" s="814" t="s">
        <v>2128</v>
      </c>
      <c r="AC355" s="1120" t="s">
        <v>2129</v>
      </c>
      <c r="AD355" s="821" t="s">
        <v>1862</v>
      </c>
      <c r="AE355" s="816">
        <f>IF(AE354=0,0,(AE348-AE352*AE353)/AE354)</f>
        <v>41.2942023955968</v>
      </c>
      <c r="AF355" s="816">
        <f>IF(AF354=0,0,(AF348-AF352*AF353)/AF354)</f>
        <v>48.9604385310708</v>
      </c>
      <c r="AG355" s="816">
        <f>IF(AG354=0,0,(AG348-AG352*AG353)/AG354)</f>
        <v>54.3108791580868</v>
      </c>
      <c r="AH355" s="809">
        <f>AG355-AF355</f>
        <v>5.350440627016</v>
      </c>
      <c r="AI355" s="816">
        <f>IF(AI354=0,0,(AI348-AI352*AI353)/AI354)</f>
        <v>56.4870437634466</v>
      </c>
      <c r="AJ355" s="816">
        <f>IF(AJ354=0,0,(AJ348-AJ352*AJ353)/AJ354)</f>
        <v>167.716935676895</v>
      </c>
      <c r="AK355" s="816">
        <f>IF(AK354=0,0,(AK348-AK352*AK353)/AK354)</f>
        <v>171.159614204125</v>
      </c>
      <c r="AL355" s="824"/>
      <c r="AM355" s="810"/>
      <c r="AN355" s="810"/>
      <c r="AO355" s="810"/>
      <c r="AP355" s="1324"/>
      <c r="AQ355" s="1324"/>
      <c r="AR355" s="1070" t="s">
        <v>2130</v>
      </c>
      <c r="AS355" s="1070"/>
      <c r="AT355" s="1070"/>
      <c r="AU355" s="1067"/>
      <c r="AV355" s="1067"/>
    </row>
    <row s="1656" customFormat="1" customHeight="1" ht="14.25">
      <c r="A356" s="1324"/>
      <c r="B356" s="1324"/>
      <c r="C356" s="1324"/>
      <c r="D356" s="1324"/>
      <c r="E356" s="701">
        <v>15</v>
      </c>
      <c r="F356" s="50" cm="1" t="str">
        <f t="array" ref="F356:F356">OFFSET(E356,-1,1)</f>
        <v>3</v>
      </c>
      <c r="G356" s="583"/>
      <c r="H356" s="1324"/>
      <c r="I356" s="592" t="s">
        <v>2131</v>
      </c>
      <c r="J356" s="592"/>
      <c r="K356" s="592"/>
      <c r="L356" s="592"/>
      <c r="M356" s="592"/>
      <c r="N356" s="592"/>
      <c r="O356" s="592"/>
      <c r="P356" s="592"/>
      <c r="Q356" s="592"/>
      <c r="R356" s="592"/>
      <c r="S356" s="592"/>
      <c r="T356" s="468" cm="1" t="str">
        <f t="array" ref="T356:T356">T355</f>
        <v>true</v>
      </c>
      <c r="U356" s="1324"/>
      <c r="V356" s="1324"/>
      <c r="W356" s="1324"/>
      <c r="X356" s="1617"/>
      <c r="Y356" s="1324"/>
      <c r="Z356" s="1618"/>
      <c r="AA356" s="1324"/>
      <c r="AB356" s="814" t="s">
        <v>2132</v>
      </c>
      <c r="AC356" s="1120" t="s">
        <v>2133</v>
      </c>
      <c r="AD356" s="821" t="s">
        <v>561</v>
      </c>
      <c r="AE356" s="809">
        <f>IF(AE353=0,0,AE355/AE353*100)</f>
        <v>0</v>
      </c>
      <c r="AF356" s="809">
        <f>IF(AF353=0,0,AF355/AF353*100)</f>
        <v>0</v>
      </c>
      <c r="AG356" s="809">
        <f>IF(AG353=0,0,AG355/AG353*100)</f>
        <v>0</v>
      </c>
      <c r="AH356" s="824"/>
      <c r="AI356" s="809">
        <f>IF(AI353=0,0,AI355/AI353*100)</f>
        <v>0</v>
      </c>
      <c r="AJ356" s="809">
        <f>IF(AJ353=0,0,AJ355/AJ353*100)</f>
        <v>0</v>
      </c>
      <c r="AK356" s="809">
        <f>IF(AK353=0,0,AK355/AK353*100)</f>
        <v>0</v>
      </c>
      <c r="AL356" s="824"/>
      <c r="AM356" s="810"/>
      <c r="AN356" s="810"/>
      <c r="AO356" s="810"/>
      <c r="AP356" s="1324"/>
      <c r="AQ356" s="1324"/>
      <c r="AR356" s="1070" t="s">
        <v>2134</v>
      </c>
      <c r="AS356" s="1070"/>
      <c r="AT356" s="1070"/>
      <c r="AU356" s="1067"/>
      <c r="AV356" s="1067"/>
    </row>
    <row s="1656" customFormat="1" customHeight="1" ht="14.25">
      <c r="A357" s="1324"/>
      <c r="B357" s="1324"/>
      <c r="C357" s="1324"/>
      <c r="D357" s="1324"/>
      <c r="E357" s="701">
        <v>15</v>
      </c>
      <c r="F357" s="50" cm="1" t="str">
        <f t="array" ref="F357:F357">OFFSET(E357,-1,1)</f>
        <v>3</v>
      </c>
      <c r="G357" s="583"/>
      <c r="H357" s="1324"/>
      <c r="I357" s="592" t="s">
        <v>2135</v>
      </c>
      <c r="J357" s="592"/>
      <c r="K357" s="592"/>
      <c r="L357" s="592"/>
      <c r="M357" s="592"/>
      <c r="N357" s="592"/>
      <c r="O357" s="592"/>
      <c r="P357" s="592"/>
      <c r="Q357" s="592"/>
      <c r="R357" s="592"/>
      <c r="S357" s="592"/>
      <c r="T357" s="468" cm="1" t="str">
        <f t="array" ref="T357:T357">T356</f>
        <v>true</v>
      </c>
      <c r="U357" s="1324"/>
      <c r="V357" s="1324"/>
      <c r="W357" s="1324"/>
      <c r="X357" s="1617"/>
      <c r="Y357" s="1324"/>
      <c r="Z357" s="1618"/>
      <c r="AA357" s="1324"/>
      <c r="AB357" s="814" t="s">
        <v>2136</v>
      </c>
      <c r="AC357" s="1120" t="s">
        <v>2137</v>
      </c>
      <c r="AD357" s="821" t="s">
        <v>1862</v>
      </c>
      <c r="AE357" s="816">
        <f>IF(AE351=0,0,AE348/AE351)</f>
        <v>20.6471011977984</v>
      </c>
      <c r="AF357" s="816">
        <f>IF(AF351=0,0,AF348/AF351)</f>
        <v>24.4802192655354</v>
      </c>
      <c r="AG357" s="816">
        <f>IF(AG351=0,0,AG348/AG351)</f>
        <v>27.1554395790434</v>
      </c>
      <c r="AH357" s="809">
        <f>AG357-AF357</f>
        <v>2.675220313508</v>
      </c>
      <c r="AI357" s="816">
        <f>IF(AI351=0,0,AI348/AI351)</f>
        <v>28.2435218817233</v>
      </c>
      <c r="AJ357" s="816">
        <f>IF(AJ351=0,0,AJ348/AJ351)</f>
        <v>41.9292339192237</v>
      </c>
      <c r="AK357" s="816">
        <f>IF(AK351=0,0,AK348/AK351)</f>
        <v>42.7899035510312</v>
      </c>
      <c r="AL357" s="824"/>
      <c r="AM357" s="810"/>
      <c r="AN357" s="810"/>
      <c r="AO357" s="810"/>
      <c r="AP357" s="1324"/>
      <c r="AQ357" s="1324"/>
      <c r="AR357" s="1070" t="s">
        <v>2138</v>
      </c>
      <c r="AS357" s="1070"/>
      <c r="AT357" s="1070"/>
      <c r="AU357" s="1067"/>
      <c r="AV357" s="1067"/>
    </row>
    <row s="6204" customFormat="1" customHeight="1" ht="14.25">
      <c r="A358" s="593"/>
      <c r="B358" s="593"/>
      <c r="C358" s="593"/>
      <c r="D358" s="593"/>
      <c r="E358" s="703">
        <v>15</v>
      </c>
      <c r="F358" s="50" cm="1" t="str">
        <f t="array" ref="F358:F358">OFFSET(E358,-1,1)</f>
        <v>3</v>
      </c>
      <c r="G358" s="706"/>
      <c r="H358" s="593"/>
      <c r="I358" s="704" t="s">
        <v>2139</v>
      </c>
      <c r="J358" s="704"/>
      <c r="K358" s="704"/>
      <c r="L358" s="704"/>
      <c r="M358" s="704"/>
      <c r="N358" s="704"/>
      <c r="O358" s="704"/>
      <c r="P358" s="704"/>
      <c r="Q358" s="704"/>
      <c r="R358" s="704"/>
      <c r="S358" s="704"/>
      <c r="T358" s="468" cm="1" t="str">
        <f t="array" ref="T358:T358">T357</f>
        <v>true</v>
      </c>
      <c r="U358" s="593"/>
      <c r="V358" s="593"/>
      <c r="W358" s="593"/>
      <c r="X358" s="1617"/>
      <c r="Y358" s="593"/>
      <c r="Z358" s="1618"/>
      <c r="AA358" s="593"/>
      <c r="AB358" s="811" t="s">
        <v>492</v>
      </c>
      <c r="AC358" s="208" t="s">
        <v>2140</v>
      </c>
      <c r="AD358" s="819" t="s">
        <v>936</v>
      </c>
      <c r="AE358" s="1253">
        <f>IF(AE351=0,0,AE348/AE351*AE359)</f>
        <v>19614.1576955244</v>
      </c>
      <c r="AF358" s="1253">
        <f>IF(AF351=0,0,AF348/AF351*AF359)</f>
        <v>19707.6805666449</v>
      </c>
      <c r="AG358" s="1253">
        <f>IF(AG351=0,0,AG348/AG351*AG359)</f>
        <v>21861.3535714549</v>
      </c>
      <c r="AH358" s="795">
        <f>AH360*AH361+AH362*AH363</f>
        <v>0</v>
      </c>
      <c r="AI358" s="1253">
        <f>IF(AI351=0,0,AI348/AI351*AI359)</f>
        <v>25489.0139461179</v>
      </c>
      <c r="AJ358" s="1253">
        <f>IF(AJ351=0,0,AJ348/AJ351*AJ359)</f>
        <v>37839.9985877372</v>
      </c>
      <c r="AK358" s="1253">
        <f>IF(AK351=0,0,AK348/AK351*AK359)</f>
        <v>36685.893000746</v>
      </c>
      <c r="AL358" s="808">
        <f>IF(AI358=0,0,(AK358-AI358)/AI358*100)</f>
        <v>43.9282550446933</v>
      </c>
      <c r="AM358" s="813"/>
      <c r="AN358" s="813"/>
      <c r="AO358" s="813"/>
      <c r="AP358" s="593"/>
      <c r="AQ358" s="593"/>
      <c r="AR358" s="1071" t="s">
        <v>2141</v>
      </c>
      <c r="AS358" s="1071"/>
      <c r="AT358" s="1071"/>
      <c r="AU358" s="703"/>
      <c r="AV358" s="703"/>
    </row>
    <row s="6205" customFormat="1" customHeight="1" ht="14.25">
      <c r="A359" s="593"/>
      <c r="B359" s="593"/>
      <c r="C359" s="593"/>
      <c r="D359" s="593"/>
      <c r="E359" s="703">
        <v>15</v>
      </c>
      <c r="F359" s="50" cm="1" t="str">
        <f t="array" ref="F359:F359">OFFSET(E359,-1,1)</f>
        <v>3</v>
      </c>
      <c r="G359" s="583" t="s">
        <v>1884</v>
      </c>
      <c r="H359" s="593"/>
      <c r="I359" s="704" t="s">
        <v>2142</v>
      </c>
      <c r="J359" s="704"/>
      <c r="K359" s="704"/>
      <c r="L359" s="704"/>
      <c r="M359" s="704"/>
      <c r="N359" s="704"/>
      <c r="O359" s="704"/>
      <c r="P359" s="704"/>
      <c r="Q359" s="704"/>
      <c r="R359" s="704"/>
      <c r="S359" s="704"/>
      <c r="T359" s="468" cm="1" t="str">
        <f t="array" ref="T359:T359">T358</f>
        <v>true</v>
      </c>
      <c r="U359" s="593"/>
      <c r="V359" s="593"/>
      <c r="W359" s="593"/>
      <c r="X359" s="1617"/>
      <c r="Y359" s="593"/>
      <c r="Z359" s="1618"/>
      <c r="AA359" s="593"/>
      <c r="AB359" s="811" t="s">
        <v>495</v>
      </c>
      <c r="AC359" s="208" t="s">
        <v>2143</v>
      </c>
      <c r="AD359" s="819" t="s">
        <v>657</v>
      </c>
      <c r="AE359" s="829">
        <f>_xlfn.SUMIFS(Баланс!AE$26:AE$391,Баланс!$F$26:$F$391,$F359,Баланс!$G$26:$G$391,"население")</f>
        <v>949.9715</v>
      </c>
      <c r="AF359" s="829">
        <f>_xlfn.SUMIFS(Баланс!AF$26:AF$391,Баланс!$F$26:$F$391,$F359,Баланс!$G$26:$G$391,"население")</f>
        <v>805.0451</v>
      </c>
      <c r="AG359" s="829">
        <f>_xlfn.SUMIFS(Баланс!AG$26:AG$391,Баланс!$F$26:$F$391,$F359,Баланс!$G$26:$G$391,"население")</f>
        <v>805.0451</v>
      </c>
      <c r="AH359" s="829">
        <f>AG359-AF359</f>
        <v>0</v>
      </c>
      <c r="AI359" s="829">
        <f>_xlfn.SUMIFS(Баланс!AH$26:AH$391,Баланс!$F$26:$F$391,$F359,Баланс!$G$26:$G$391,"население")</f>
        <v>902.47293</v>
      </c>
      <c r="AJ359" s="829">
        <f>_xlfn.SUMIFS(Баланс!AI$26:AI$391,Баланс!$F$26:$F$391,$F359,Баланс!$G$26:$G$391,"население")</f>
        <v>902.47293</v>
      </c>
      <c r="AK359" s="829">
        <f>_xlfn.SUMIFS(Баланс!AS$26:AS$391,Баланс!$F$26:$F$391,$F359,Баланс!$G$26:$G$391,"население")</f>
        <v>857.34928</v>
      </c>
      <c r="AL359" s="830"/>
      <c r="AM359" s="813"/>
      <c r="AN359" s="813"/>
      <c r="AO359" s="813"/>
      <c r="AP359" s="593"/>
      <c r="AQ359" s="593"/>
      <c r="AR359" s="1071" t="s">
        <v>2144</v>
      </c>
      <c r="AS359" s="1071"/>
      <c r="AT359" s="1071"/>
      <c r="AU359" s="703"/>
      <c r="AV359" s="703"/>
    </row>
    <row s="1656" customFormat="1" customHeight="1" ht="14.25">
      <c r="A360" s="1324"/>
      <c r="B360" s="1324"/>
      <c r="C360" s="1324"/>
      <c r="D360" s="1324"/>
      <c r="E360" s="701">
        <v>15</v>
      </c>
      <c r="F360" s="50" cm="1" t="str">
        <f t="array" ref="F360:F360">OFFSET(E360,-1,1)</f>
        <v>3</v>
      </c>
      <c r="G360" s="583" t="s">
        <v>1918</v>
      </c>
      <c r="H360" s="1324"/>
      <c r="I360" s="592" t="s">
        <v>2145</v>
      </c>
      <c r="J360" s="592"/>
      <c r="K360" s="592"/>
      <c r="L360" s="592"/>
      <c r="M360" s="592"/>
      <c r="N360" s="592"/>
      <c r="O360" s="592"/>
      <c r="P360" s="592"/>
      <c r="Q360" s="592"/>
      <c r="R360" s="592"/>
      <c r="S360" s="592"/>
      <c r="T360" s="468" cm="1" t="str">
        <f t="array" ref="T360:T360">T359</f>
        <v>true</v>
      </c>
      <c r="U360" s="1324"/>
      <c r="V360" s="1324"/>
      <c r="W360" s="1324"/>
      <c r="X360" s="1617"/>
      <c r="Y360" s="1324"/>
      <c r="Z360" s="1618"/>
      <c r="AA360" s="1324"/>
      <c r="AB360" s="814" t="s">
        <v>2146</v>
      </c>
      <c r="AC360" s="1120" t="s">
        <v>2147</v>
      </c>
      <c r="AD360" s="821" t="s">
        <v>657</v>
      </c>
      <c r="AE360" s="831">
        <f>IF(AE$24="2026 год",AE359/12*9,AE359/2)</f>
        <v>474.98575</v>
      </c>
      <c r="AF360" s="831">
        <f>IF(AF$24="2026 год",AF359/12*9,AF359/2)</f>
        <v>402.52255</v>
      </c>
      <c r="AG360" s="831">
        <f>IF(AG$24="2026 год",AG359/12*9,AG359/2)</f>
        <v>402.52255</v>
      </c>
      <c r="AH360" s="832">
        <f>AG360-AF360</f>
        <v>0</v>
      </c>
      <c r="AI360" s="831">
        <f>IF(AI$24="2026 год",AI359/12*9,AI359/2)</f>
        <v>451.236465</v>
      </c>
      <c r="AJ360" s="831">
        <f>IF(AJ$24="2026 год",AJ359/12*9,AJ359/2)</f>
        <v>676.8546975</v>
      </c>
      <c r="AK360" s="831">
        <f>IF(AK$24="2026 год",AK359/12*9,AK359/2)</f>
        <v>643.01196</v>
      </c>
      <c r="AL360" s="824"/>
      <c r="AM360" s="810"/>
      <c r="AN360" s="810"/>
      <c r="AO360" s="810"/>
      <c r="AP360" s="1324"/>
      <c r="AQ360" s="1324"/>
      <c r="AR360" s="1070" t="s">
        <v>2148</v>
      </c>
      <c r="AS360" s="1070"/>
      <c r="AT360" s="1070"/>
      <c r="AU360" s="1067"/>
      <c r="AV360" s="1067"/>
    </row>
    <row s="1656" customFormat="1" customHeight="1" ht="14.25">
      <c r="A361" s="1324"/>
      <c r="B361" s="1324"/>
      <c r="C361" s="1324"/>
      <c r="D361" s="1324"/>
      <c r="E361" s="701">
        <v>15</v>
      </c>
      <c r="F361" s="50" cm="1" t="str">
        <f t="array" ref="F361:F361">OFFSET(E361,-1,1)</f>
        <v>3</v>
      </c>
      <c r="G361" s="583" t="s">
        <v>1874</v>
      </c>
      <c r="H361" s="1324"/>
      <c r="I361" s="592" t="s">
        <v>2149</v>
      </c>
      <c r="J361" s="592"/>
      <c r="K361" s="592"/>
      <c r="L361" s="592"/>
      <c r="M361" s="592"/>
      <c r="N361" s="592"/>
      <c r="O361" s="592"/>
      <c r="P361" s="592"/>
      <c r="Q361" s="592"/>
      <c r="R361" s="592"/>
      <c r="S361" s="592"/>
      <c r="T361" s="468" cm="1" t="str">
        <f t="array" ref="T361:T361">T360</f>
        <v>true</v>
      </c>
      <c r="U361" s="1324"/>
      <c r="V361" s="1324"/>
      <c r="W361" s="1324"/>
      <c r="X361" s="1617"/>
      <c r="Y361" s="1324"/>
      <c r="Z361" s="1618"/>
      <c r="AA361" s="1324"/>
      <c r="AB361" s="814" t="s">
        <v>2150</v>
      </c>
      <c r="AC361" s="1120" t="s">
        <v>2151</v>
      </c>
      <c r="AD361" s="821" t="s">
        <v>1862</v>
      </c>
      <c r="AE361" s="1385">
        <f>IF(AE359=0,0,AE353*(1+Сценарии!AE$26/100))</f>
        <v>0</v>
      </c>
      <c r="AF361" s="1385">
        <f>IF(AF359=0,0,AF353*(1+Сценарии!AF$26/100))</f>
        <v>0</v>
      </c>
      <c r="AG361" s="1385">
        <f>IF(AG359=0,0,AG353*(1+Сценарии!AG$26/100))</f>
        <v>0</v>
      </c>
      <c r="AH361" s="809">
        <f>AG361-AF361</f>
        <v>0</v>
      </c>
      <c r="AI361" s="1385">
        <f>IF(AI359=0,0,AI353*(1+Сценарии!AI$26/100))</f>
        <v>0</v>
      </c>
      <c r="AJ361" s="1385">
        <f>IF(AJ359=0,0,AJ353*(1+Сценарии!AJ$26/100))</f>
        <v>0</v>
      </c>
      <c r="AK361" s="1385">
        <f>IF(AK359=0,0,AK353*(1+Сценарии!AK$26/100))</f>
        <v>0</v>
      </c>
      <c r="AL361" s="824"/>
      <c r="AM361" s="810"/>
      <c r="AN361" s="810"/>
      <c r="AO361" s="810"/>
      <c r="AP361" s="1324"/>
      <c r="AQ361" s="1324"/>
      <c r="AR361" s="1070" t="s">
        <v>2152</v>
      </c>
      <c r="AS361" s="1070"/>
      <c r="AT361" s="1070"/>
      <c r="AU361" s="1067"/>
      <c r="AV361" s="1067"/>
    </row>
    <row s="1656" customFormat="1" customHeight="1" ht="14.25">
      <c r="A362" s="1324"/>
      <c r="B362" s="1324"/>
      <c r="C362" s="1324"/>
      <c r="D362" s="1324"/>
      <c r="E362" s="701">
        <v>15</v>
      </c>
      <c r="F362" s="50" cm="1" t="str">
        <f t="array" ref="F362:F362">OFFSET(E362,-1,1)</f>
        <v>3</v>
      </c>
      <c r="G362" s="583" t="s">
        <v>1925</v>
      </c>
      <c r="H362" s="1324"/>
      <c r="I362" s="592" t="s">
        <v>2153</v>
      </c>
      <c r="J362" s="592"/>
      <c r="K362" s="592"/>
      <c r="L362" s="592"/>
      <c r="M362" s="592"/>
      <c r="N362" s="592"/>
      <c r="O362" s="592"/>
      <c r="P362" s="592"/>
      <c r="Q362" s="592"/>
      <c r="R362" s="592"/>
      <c r="S362" s="592"/>
      <c r="T362" s="468" cm="1" t="str">
        <f t="array" ref="T362:T362">T361</f>
        <v>true</v>
      </c>
      <c r="U362" s="1324"/>
      <c r="V362" s="1324"/>
      <c r="W362" s="1324"/>
      <c r="X362" s="1617"/>
      <c r="Y362" s="1324"/>
      <c r="Z362" s="1618"/>
      <c r="AA362" s="1324"/>
      <c r="AB362" s="814" t="s">
        <v>2154</v>
      </c>
      <c r="AC362" s="1120" t="s">
        <v>2125</v>
      </c>
      <c r="AD362" s="821" t="s">
        <v>657</v>
      </c>
      <c r="AE362" s="832">
        <f>AE359-AE360</f>
        <v>474.98575</v>
      </c>
      <c r="AF362" s="832">
        <f>AF359-AF360</f>
        <v>402.52255</v>
      </c>
      <c r="AG362" s="832">
        <f>AG359-AG360</f>
        <v>402.52255</v>
      </c>
      <c r="AH362" s="832">
        <f>AG362-AF362</f>
        <v>0</v>
      </c>
      <c r="AI362" s="832">
        <f>AI359-AI360</f>
        <v>451.236465</v>
      </c>
      <c r="AJ362" s="832">
        <f>AJ359-AJ360</f>
        <v>225.6182325</v>
      </c>
      <c r="AK362" s="832">
        <f>AK359-AK360</f>
        <v>214.33732</v>
      </c>
      <c r="AL362" s="824"/>
      <c r="AM362" s="810"/>
      <c r="AN362" s="810"/>
      <c r="AO362" s="810"/>
      <c r="AP362" s="1324"/>
      <c r="AQ362" s="1324"/>
      <c r="AR362" s="1070" t="s">
        <v>2155</v>
      </c>
      <c r="AS362" s="1070"/>
      <c r="AT362" s="1070"/>
      <c r="AU362" s="1067"/>
      <c r="AV362" s="1067"/>
    </row>
    <row s="1656" customFormat="1" customHeight="1" ht="14.25">
      <c r="A363" s="1324"/>
      <c r="B363" s="1324"/>
      <c r="C363" s="1324"/>
      <c r="D363" s="1324"/>
      <c r="E363" s="701">
        <v>15</v>
      </c>
      <c r="F363" s="50" cm="1" t="str">
        <f t="array" ref="F363:F363">OFFSET(E363,-1,1)</f>
        <v>3</v>
      </c>
      <c r="G363" s="583" t="s">
        <v>1878</v>
      </c>
      <c r="H363" s="1324"/>
      <c r="I363" s="592" t="s">
        <v>2156</v>
      </c>
      <c r="J363" s="592"/>
      <c r="K363" s="592"/>
      <c r="L363" s="592"/>
      <c r="M363" s="592"/>
      <c r="N363" s="592"/>
      <c r="O363" s="592"/>
      <c r="P363" s="592"/>
      <c r="Q363" s="592"/>
      <c r="R363" s="592"/>
      <c r="S363" s="592"/>
      <c r="T363" s="468" cm="1" t="str">
        <f t="array" ref="T363:T363">T362</f>
        <v>true</v>
      </c>
      <c r="U363" s="1324"/>
      <c r="V363" s="1324"/>
      <c r="W363" s="1324"/>
      <c r="X363" s="1617"/>
      <c r="Y363" s="1324"/>
      <c r="Z363" s="1618"/>
      <c r="AA363" s="1324"/>
      <c r="AB363" s="814" t="s">
        <v>2157</v>
      </c>
      <c r="AC363" s="1120" t="s">
        <v>2158</v>
      </c>
      <c r="AD363" s="821" t="s">
        <v>1862</v>
      </c>
      <c r="AE363" s="816">
        <f>IF(AE359=0,0,AE355*(1+Сценарии!AE$26/100))</f>
        <v>41.2942023955968</v>
      </c>
      <c r="AF363" s="816">
        <f>IF(AF359=0,0,AF355*(1+Сценарии!AF$26/100))</f>
        <v>48.9604385310708</v>
      </c>
      <c r="AG363" s="816">
        <f>IF(AG359=0,0,AG355*(1+Сценарии!AG$26/100))</f>
        <v>54.3108791580868</v>
      </c>
      <c r="AH363" s="809">
        <f>AG363-AF363</f>
        <v>5.350440627016</v>
      </c>
      <c r="AI363" s="816">
        <f>IF(AI359=0,0,AI355*(1+Сценарии!AI$26/100))</f>
        <v>56.4870437634466</v>
      </c>
      <c r="AJ363" s="816">
        <f>IF(AJ359=0,0,AJ355*(1+Сценарии!AJ$26/100))</f>
        <v>167.716935676895</v>
      </c>
      <c r="AK363" s="816">
        <f>IF(AK359=0,0,AK355*(1+Сценарии!AK$26/100))</f>
        <v>171.159614204125</v>
      </c>
      <c r="AL363" s="824"/>
      <c r="AM363" s="810"/>
      <c r="AN363" s="810"/>
      <c r="AO363" s="810"/>
      <c r="AP363" s="1324"/>
      <c r="AQ363" s="1324"/>
      <c r="AR363" s="1070" t="s">
        <v>2159</v>
      </c>
      <c r="AS363" s="1070"/>
      <c r="AT363" s="1070"/>
      <c r="AU363" s="1067"/>
      <c r="AV363" s="1067"/>
    </row>
    <row s="1656" customFormat="1" customHeight="1" ht="14.25">
      <c r="A364" s="1324"/>
      <c r="B364" s="1324"/>
      <c r="C364" s="1324"/>
      <c r="D364" s="1324"/>
      <c r="E364" s="701">
        <v>15</v>
      </c>
      <c r="F364" s="50" cm="1" t="str">
        <f t="array" ref="F364:F364">OFFSET(E364,-1,1)</f>
        <v>3</v>
      </c>
      <c r="G364" s="583"/>
      <c r="H364" s="1324"/>
      <c r="I364" s="592"/>
      <c r="J364" s="592"/>
      <c r="K364" s="592"/>
      <c r="L364" s="592"/>
      <c r="M364" s="592"/>
      <c r="N364" s="592"/>
      <c r="O364" s="592"/>
      <c r="P364" s="592"/>
      <c r="Q364" s="592"/>
      <c r="R364" s="592"/>
      <c r="S364" s="592"/>
      <c r="T364" s="468" cm="1" t="str">
        <f t="array" ref="T364:T364">T363</f>
        <v>true</v>
      </c>
      <c r="U364" s="1324"/>
      <c r="V364" s="1324"/>
      <c r="W364" s="1324"/>
      <c r="X364" s="1617"/>
      <c r="Y364" s="1324"/>
      <c r="Z364" s="1618"/>
      <c r="AA364" s="1324"/>
      <c r="AB364" s="214" t="s">
        <v>498</v>
      </c>
      <c r="AC364" s="208" t="s">
        <v>2160</v>
      </c>
      <c r="AD364" s="207" t="s">
        <v>936</v>
      </c>
      <c r="AE364" s="816"/>
      <c r="AF364" s="816"/>
      <c r="AG364" s="816"/>
      <c r="AH364" s="809">
        <f>AG364-AF364</f>
        <v>0</v>
      </c>
      <c r="AI364" s="816"/>
      <c r="AJ364" s="816"/>
      <c r="AK364" s="816"/>
      <c r="AL364" s="824"/>
      <c r="AM364" s="810"/>
      <c r="AN364" s="810"/>
      <c r="AO364" s="810"/>
      <c r="AP364" s="1324"/>
      <c r="AQ364" s="1324"/>
      <c r="AR364" s="1070" t="s">
        <v>2161</v>
      </c>
      <c r="AS364" s="1070"/>
      <c r="AT364" s="1070"/>
      <c r="AU364" s="1067"/>
      <c r="AV364" s="1067"/>
    </row>
    <row s="1656" customFormat="1" customHeight="1" ht="21.75">
      <c r="A365" s="1324"/>
      <c r="B365" s="1324"/>
      <c r="C365" s="1324"/>
      <c r="D365" s="1324"/>
      <c r="E365" s="701">
        <v>22.5</v>
      </c>
      <c r="F365" s="50" cm="1" t="str">
        <f t="array" ref="F365:F365">OFFSET(E365,-1,1)</f>
        <v>3</v>
      </c>
      <c r="G365" s="583"/>
      <c r="H365" s="1324"/>
      <c r="I365" s="592"/>
      <c r="J365" s="592"/>
      <c r="K365" s="592"/>
      <c r="L365" s="592"/>
      <c r="M365" s="592"/>
      <c r="N365" s="592"/>
      <c r="O365" s="592"/>
      <c r="P365" s="592"/>
      <c r="Q365" s="592"/>
      <c r="R365" s="592"/>
      <c r="S365" s="592"/>
      <c r="T365" s="468" cm="1" t="str">
        <f t="array" ref="T365:T365">T364</f>
        <v>true</v>
      </c>
      <c r="U365" s="1324"/>
      <c r="V365" s="1324"/>
      <c r="W365" s="1324"/>
      <c r="X365" s="1617"/>
      <c r="Y365" s="1324"/>
      <c r="Z365" s="1618"/>
      <c r="AA365" s="1324"/>
      <c r="AB365" s="295" t="s">
        <v>2162</v>
      </c>
      <c r="AC365" s="769" t="s">
        <v>2163</v>
      </c>
      <c r="AD365" s="296" t="s">
        <v>936</v>
      </c>
      <c r="AE365" s="816"/>
      <c r="AF365" s="816"/>
      <c r="AG365" s="816"/>
      <c r="AH365" s="809">
        <f>AG365-AF365</f>
        <v>0</v>
      </c>
      <c r="AI365" s="816"/>
      <c r="AJ365" s="816"/>
      <c r="AK365" s="816"/>
      <c r="AL365" s="824"/>
      <c r="AM365" s="810"/>
      <c r="AN365" s="810"/>
      <c r="AO365" s="810"/>
      <c r="AP365" s="1324"/>
      <c r="AQ365" s="1324"/>
      <c r="AR365" s="1070" t="s">
        <v>2164</v>
      </c>
      <c r="AS365" s="1070"/>
      <c r="AT365" s="1070"/>
      <c r="AU365" s="1067"/>
      <c r="AV365" s="1067"/>
    </row>
    <row s="1656" customFormat="1" customHeight="1" ht="69.75">
      <c r="A366" s="1324"/>
      <c r="B366" s="1324"/>
      <c r="C366" s="1324"/>
      <c r="D366" s="1324"/>
      <c r="E366" s="701">
        <v>72</v>
      </c>
      <c r="F366" s="50" cm="1" t="str">
        <f t="array" ref="F366:F366">OFFSET(E366,-1,1)</f>
        <v>3</v>
      </c>
      <c r="G366" s="583"/>
      <c r="H366" s="1324"/>
      <c r="I366" s="592"/>
      <c r="J366" s="592"/>
      <c r="K366" s="592"/>
      <c r="L366" s="592"/>
      <c r="M366" s="592"/>
      <c r="N366" s="592"/>
      <c r="O366" s="592"/>
      <c r="P366" s="592"/>
      <c r="Q366" s="592"/>
      <c r="R366" s="592"/>
      <c r="S366" s="592"/>
      <c r="T366" s="468" cm="1" t="str">
        <f t="array" ref="T366:T366">T365</f>
        <v>true</v>
      </c>
      <c r="U366" s="1324"/>
      <c r="V366" s="1324"/>
      <c r="W366" s="1324"/>
      <c r="X366" s="1617"/>
      <c r="Y366" s="1324"/>
      <c r="Z366" s="1618"/>
      <c r="AA366" s="1324"/>
      <c r="AB366" s="295" t="s">
        <v>2165</v>
      </c>
      <c r="AC366" s="769" t="s">
        <v>2166</v>
      </c>
      <c r="AD366" s="296" t="s">
        <v>936</v>
      </c>
      <c r="AE366" s="816"/>
      <c r="AF366" s="816"/>
      <c r="AG366" s="816"/>
      <c r="AH366" s="809">
        <f>AG366-AF366</f>
        <v>0</v>
      </c>
      <c r="AI366" s="816"/>
      <c r="AJ366" s="816"/>
      <c r="AK366" s="816"/>
      <c r="AL366" s="824"/>
      <c r="AM366" s="810"/>
      <c r="AN366" s="810"/>
      <c r="AO366" s="810"/>
      <c r="AP366" s="1324"/>
      <c r="AQ366" s="1324"/>
      <c r="AR366" s="1070" t="s">
        <v>2167</v>
      </c>
      <c r="AS366" s="1070"/>
      <c r="AT366" s="1070"/>
      <c r="AU366" s="1067"/>
      <c r="AV366" s="1067"/>
    </row>
    <row customHeight="1" ht="10.725000000000001">
      <c r="E367" s="701">
        <v>11</v>
      </c>
      <c r="U367" s="700" t="s">
        <v>177</v>
      </c>
      <c r="V367" s="1254" t="s">
        <v>2168</v>
      </c>
      <c r="AB367" s="596"/>
      <c r="AC367" s="597"/>
      <c r="AD367" s="596"/>
      <c r="AE367" s="583"/>
      <c r="AF367" s="583"/>
      <c r="AG367" s="583"/>
      <c r="AH367" s="583"/>
      <c r="AI367" s="583"/>
      <c r="AJ367" s="583"/>
      <c r="AK367" s="583"/>
      <c r="AL367" s="583"/>
      <c r="AM367" s="583"/>
      <c r="AN367" s="583"/>
      <c r="AO367" s="583"/>
    </row>
    <row customHeight="1" ht="14.625">
      <c r="E368" s="701">
        <v>15</v>
      </c>
      <c r="AB368" s="1553" t="s">
        <v>420</v>
      </c>
      <c r="AC368" s="1553"/>
      <c r="AD368" s="1553"/>
      <c r="AE368" s="1553"/>
      <c r="AF368" s="1553"/>
      <c r="AG368" s="1553"/>
      <c r="AH368" s="1553"/>
      <c r="AI368" s="1553"/>
      <c r="AJ368" s="1553"/>
      <c r="AK368" s="1553"/>
      <c r="AL368" s="1553"/>
      <c r="AM368" s="1553"/>
      <c r="AN368" s="1553"/>
      <c r="AO368" s="1553"/>
    </row>
    <row customHeight="1" ht="14.625">
      <c r="E369" s="701">
        <v>15</v>
      </c>
      <c r="AA369" s="1255"/>
      <c r="AB369" s="1602"/>
      <c r="AC369" s="1605"/>
      <c r="AD369" s="1605"/>
      <c r="AE369" s="1605"/>
      <c r="AF369" s="1605"/>
      <c r="AG369" s="1605"/>
      <c r="AH369" s="1605"/>
      <c r="AI369" s="1605"/>
      <c r="AJ369" s="1605"/>
      <c r="AK369" s="1605"/>
      <c r="AL369" s="1605"/>
      <c r="AM369" s="1605"/>
      <c r="AN369" s="1605"/>
      <c r="AO369" s="1605"/>
    </row>
    <row customHeight="1" ht="14.625" hidden="1">
      <c r="A370" s="1324"/>
      <c r="B370" s="1324"/>
      <c r="C370" s="1324"/>
      <c r="D370" s="1324"/>
      <c r="E370" s="701">
        <v>15</v>
      </c>
      <c r="F370" s="1324"/>
      <c r="G370" s="1324"/>
      <c r="H370" s="1324"/>
      <c r="I370" s="1324"/>
      <c r="J370" s="1324"/>
      <c r="K370" s="1324"/>
      <c r="L370" s="1324"/>
      <c r="M370" s="1324"/>
      <c r="N370" s="1324"/>
      <c r="O370" s="1324"/>
      <c r="P370" s="1324"/>
      <c r="Q370" s="1324"/>
      <c r="R370" s="1324"/>
      <c r="S370" s="1324"/>
      <c r="T370" s="468">
        <f>ROW(W370)&gt;ROW(W$370)</f>
        <v>0</v>
      </c>
      <c r="U370" s="1324"/>
      <c r="V370" s="1324"/>
      <c r="W370" s="764" t="s">
        <v>173</v>
      </c>
      <c r="X370" s="118"/>
      <c r="Y370" s="118"/>
      <c r="Z370" s="118"/>
      <c r="AA370" s="668" t="s">
        <v>174</v>
      </c>
      <c r="AB370" s="2898"/>
      <c r="AC370" s="2897"/>
      <c r="AD370" s="2897"/>
      <c r="AE370" s="1579"/>
      <c r="AF370" s="1579"/>
      <c r="AG370" s="1579"/>
      <c r="AH370" s="1579"/>
      <c r="AI370" s="1579"/>
      <c r="AJ370" s="2897"/>
      <c r="AK370" s="2897"/>
      <c r="AL370" s="2897"/>
      <c r="AM370" s="2897"/>
      <c r="AN370" s="2897"/>
      <c r="AO370" s="2899"/>
      <c r="AP370" s="1324"/>
      <c r="AQ370" s="1324"/>
      <c r="AR370" s="1070"/>
      <c r="AS370" s="1070"/>
      <c r="AT370" s="1070"/>
      <c r="AU370" s="1067"/>
      <c r="AV370" s="1067"/>
    </row>
    <row customHeight="1" ht="14.625">
      <c r="E371" s="701">
        <v>15</v>
      </c>
      <c r="W371" s="836" t="s">
        <v>421</v>
      </c>
      <c r="X371" s="118"/>
      <c r="Y371" s="118"/>
      <c r="Z371" s="118"/>
      <c r="AA371" s="118"/>
      <c r="AB371" s="671"/>
      <c r="AC371" s="672" t="s">
        <v>422</v>
      </c>
      <c r="AD371" s="598"/>
      <c r="AE371" s="598"/>
      <c r="AF371" s="598"/>
      <c r="AG371" s="598"/>
      <c r="AH371" s="598"/>
      <c r="AI371" s="598"/>
      <c r="AJ371" s="598"/>
      <c r="AK371" s="598"/>
      <c r="AL371" s="598"/>
      <c r="AM371" s="598"/>
      <c r="AN371" s="598"/>
      <c r="AO371" s="599"/>
    </row>
    <row customHeight="1" ht="10.725000000000001">
      <c r="E372" s="701">
        <v>11</v>
      </c>
      <c r="AE372" s="1324"/>
      <c r="AF372" s="1324"/>
      <c r="AG372" s="1324"/>
      <c r="AH372" s="1324"/>
      <c r="AI372" s="1324"/>
      <c r="AP372" s="700"/>
    </row>
  </sheetData>
  <sheetProtection formatColumns="0" formatRows="0" insertRows="0" deleteColumns="0" deleteRows="0" sort="0" autoFilter="0" insertColumns="1"/>
  <mergeCells count="18">
    <mergeCell ref="X27:X111"/>
    <mergeCell ref="Z27:Z111"/>
    <mergeCell ref="AB370:AO370"/>
    <mergeCell ref="AO24:AO25"/>
    <mergeCell ref="AB368:AO368"/>
    <mergeCell ref="AB369:AO369"/>
    <mergeCell ref="AB24:AB25"/>
    <mergeCell ref="AC24:AC25"/>
    <mergeCell ref="AD24:AD25"/>
    <mergeCell ref="AL24:AL25"/>
    <mergeCell ref="AM24:AM25"/>
    <mergeCell ref="AN24:AN25"/>
    <mergeCell ref="X112:X196"/>
    <mergeCell ref="Z112:Z196"/>
    <mergeCell ref="X197:X281"/>
    <mergeCell ref="Z197:Z281"/>
    <mergeCell ref="X282:X366"/>
    <mergeCell ref="Z282:Z366"/>
  </mergeCells>
  <dataValidations count="2">
    <dataValidation type="decimal" allowBlank="1" showErrorMessage="1" errorTitle="Ошибка" error="Допускается ввод только действительных чисел!" sqref="AI82:AK92 AI43:AK44 AE82:AG92 AI58:AK58 AI63:AK63 AE58:AG58 AE43:AG44 AG105:AG111 AG116:AG118 AG128:AG129 AG143 AG148 AG167:AG177 AG179:AG180 AG182:AG187 AG190:AG196 AG201:AG203 AG213:AG214 AG228 AG233 AG252:AG262 AG264:AG265 AG267:AG272 AG275:AG281 AG286:AG288 AG298:AG299 AG313 AG318 AG337:AG347 AG349:AG350 AG352:AG357 AG360:AG366 AF105:AF111 AF116:AF118 AF128:AF129 AF143 AF148 AF167:AF177 AF179:AF180 AF182:AF187 AF190:AF196 AF201:AF203 AF213:AF214 AF228 AF233 AF252:AF262 AF264:AF265 AF267:AF272 AF275:AF281 AF286:AF288 AF298:AF299 AF313 AF318 AF337:AF347 AF349:AF350 AF352:AF357 AF360:AF366 AE105:AE111 AE116:AE118 AE128:AE129 AE143 AE148 AE167:AE177 AE179:AE180 AE182:AE187 AE190:AE196 AE201:AE203 AE213:AE214 AE228 AE233 AE252:AE262 AE264:AE265 AE267:AE272 AE275:AE281 AE286:AE288 AE298:AE299 AE313 AE318 AE337:AE347 AE349:AE350 AE352:AE357 AE360:AE366 AE31:AG33 AE63:AG63 AI97:AK102 AE97:AG102 AI31:AK33 AE94:AG95 AI94:AK95 AK105:AK111 AK116:AK118 AK128:AK129 AK143 AK148 AK167:AK177 AK179:AK180 AK182:AK187 AK190:AK196 AK201:AK203 AK213:AK214 AK228 AK233 AK252:AK262 AK264:AK265 AK267:AK272 AK275:AK281 AK286:AK288 AK298:AK299 AK313 AK318 AK337:AK347 AK349:AK350 AK352:AK357 AK360:AK366 AJ105:AJ111 AJ116:AJ118 AJ128:AJ129 AJ143 AJ148 AJ167:AJ177 AJ179:AJ180 AJ182:AJ187 AJ190:AJ196 AJ201:AJ203 AJ213:AJ214 AJ228 AJ233 AJ252:AJ262 AJ264:AJ265 AJ267:AJ272 AJ275:AJ281 AJ286:AJ288 AJ298:AJ299 AJ313 AJ318 AJ337:AJ347 AJ349:AJ350 AJ352:AJ357 AJ360:AJ366 AI105:AI111 AI116:AI118 AI128:AI129 AI143 AI148 AI167:AI177 AI179:AI180 AI182:AI187 AI190:AI196 AI201:AI203 AI213:AI214 AI228 AI233 AI252:AI262 AI264:AI265 AI267:AI272 AI275:AI281 AI286:AI288 AI298:AI299 AI313 AI318 AI337:AI347 AI349:AI350 AI352:AI357 AI360:AI366">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AM54:AO54 AM139 AN139 AO139 AM224 AN224 AO224 AM309 AN309 AO309">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0270828-0E49-F239-5828-52514BC95B8C}" mc:Ignorable="x14ac xr xr2 xr3">
  <sheetPr>
    <tabColor rgb="FF92D050"/>
    <outlinePr summaryRight="0" summaryBelow="0"/>
    <pageSetUpPr fitToPage="1"/>
  </sheetPr>
  <dimension ref="A1:BW608"/>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0.5"/>
  <cols>
    <col min="1" max="1" style="1297" width="9.57421875" hidden="1" customWidth="1"/>
    <col min="2" max="2" style="986" width="8.57421875" hidden="1" customWidth="1"/>
    <col min="3" max="4" style="1297" width="3.57421875" hidden="1" customWidth="1"/>
    <col min="5" max="5" style="987" width="3.57421875" hidden="1" customWidth="1"/>
    <col min="6" max="6" style="1297" width="3.57421875" hidden="1" customWidth="1"/>
    <col min="7" max="7" style="1297" width="5.421875" hidden="1" customWidth="1"/>
    <col min="8" max="8" style="1297" width="15.421875" hidden="1" customWidth="1"/>
    <col min="9" max="10" style="1297" width="3.57421875" hidden="1" customWidth="1"/>
    <col min="11" max="11" style="1297" width="7.28125" hidden="1" customWidth="1"/>
    <col min="12" max="12" style="1297" width="6.57421875" hidden="1" customWidth="1"/>
    <col min="13" max="18" style="1297" width="3.57421875" hidden="1" customWidth="1"/>
    <col min="19" max="19" style="1297" width="6.7109375" hidden="1" customWidth="1"/>
    <col min="20" max="20" style="1297" width="10.421875" hidden="1" customWidth="1"/>
    <col min="21" max="21" style="1297" width="5.8515625" hidden="1" customWidth="1"/>
    <col min="22" max="23" style="1297" width="6.140625" hidden="1" customWidth="1"/>
    <col min="24" max="24" style="1297" width="5.7109375" hidden="1" customWidth="1"/>
    <col min="25" max="25" style="1297" width="5.57421875" hidden="1" customWidth="1"/>
    <col min="26" max="26" style="1297" width="5.28125" hidden="1" customWidth="1"/>
    <col min="27" max="27" style="1297" width="3.00390625" customWidth="1"/>
    <col min="28" max="28" style="596" width="11.00390625" customWidth="1"/>
    <col min="29" max="29" style="989" width="75.00390625" customWidth="1"/>
    <col min="30" max="30" style="596" width="12.00390625" customWidth="1"/>
    <col min="31" max="33" style="1297" width="12.57421875" customWidth="1"/>
    <col min="34" max="34" style="1297" width="21.00390625" customWidth="1"/>
    <col min="35" max="36" style="1297" width="12.57421875" customWidth="1"/>
    <col min="37" max="45" style="1297" width="12.57421875" hidden="1" customWidth="1"/>
    <col min="46" max="46" style="1297" width="12.57421875" customWidth="1"/>
    <col min="47" max="55" style="1297" width="12.57421875" hidden="1" customWidth="1"/>
    <col min="56" max="56" style="1297" width="12.57421875" customWidth="1"/>
    <col min="57" max="65" style="1297" width="12.57421875" hidden="1" customWidth="1"/>
    <col min="66" max="67" style="1297" width="20.00390625" customWidth="1"/>
    <col min="68" max="68" style="1297" width="42.00390625" customWidth="1"/>
    <col min="69" max="69" style="1297" width="3.00390625" customWidth="1"/>
    <col min="70" max="70" style="1297" width="9.140625" hidden="1"/>
    <col min="71" max="73" style="1072" width="9.140625" hidden="1"/>
    <col min="74" max="75" style="987" width="9.140625" hidden="1"/>
  </cols>
  <sheetData>
    <row customHeight="1" ht="11.25" hidden="1">
      <c r="E1" s="154"/>
      <c r="F1" s="154" t="s">
        <v>333</v>
      </c>
      <c r="I1" s="154" t="s">
        <v>2169</v>
      </c>
      <c r="J1" s="154" t="s">
        <v>368</v>
      </c>
      <c r="K1" s="154" t="s">
        <v>2170</v>
      </c>
      <c r="L1" s="985" t="s">
        <v>2171</v>
      </c>
      <c r="M1" s="154" t="s">
        <v>2172</v>
      </c>
      <c r="R1" s="81"/>
      <c r="T1" s="468" t="s">
        <v>93</v>
      </c>
      <c r="U1" s="468" t="s">
        <v>98</v>
      </c>
      <c r="V1" s="468" t="s">
        <v>94</v>
      </c>
      <c r="W1" s="468" t="s">
        <v>95</v>
      </c>
      <c r="X1" s="468" t="s">
        <v>96</v>
      </c>
      <c r="Y1" s="470" t="s">
        <v>335</v>
      </c>
      <c r="Z1" s="468" t="s">
        <v>100</v>
      </c>
      <c r="AA1" s="469" t="s">
        <v>97</v>
      </c>
      <c r="AB1" s="417"/>
      <c r="AC1" s="469" t="s">
        <v>99</v>
      </c>
      <c r="AJ1" s="81"/>
      <c r="AK1" s="1297"/>
      <c r="AL1" s="1297"/>
      <c r="AM1" s="1297"/>
      <c r="AN1" s="1297"/>
      <c r="AO1" s="1297"/>
      <c r="AP1" s="1297"/>
      <c r="AQ1" s="1297"/>
      <c r="AR1" s="1297"/>
      <c r="AS1" s="1297"/>
      <c r="AT1" s="1297"/>
      <c r="AU1" s="1297"/>
      <c r="AV1" s="1297"/>
      <c r="AW1" s="1297"/>
      <c r="AX1" s="1297"/>
      <c r="AY1" s="1297"/>
      <c r="AZ1" s="1297"/>
      <c r="BA1" s="1297"/>
      <c r="BB1" s="1297"/>
      <c r="BC1" s="1297"/>
      <c r="BD1" s="1297"/>
      <c r="BE1" s="1297"/>
      <c r="BF1" s="1297"/>
      <c r="BG1" s="1297"/>
      <c r="BH1" s="1297"/>
      <c r="BI1" s="1297"/>
      <c r="BJ1" s="1297"/>
      <c r="BK1" s="1297"/>
      <c r="BL1" s="1297"/>
      <c r="BM1" s="1297"/>
      <c r="BS1" s="1072" t="s">
        <v>336</v>
      </c>
      <c r="BT1" s="1072" t="s">
        <v>337</v>
      </c>
      <c r="BU1" s="1072" t="s">
        <v>338</v>
      </c>
      <c r="BV1" s="709" t="s">
        <v>341</v>
      </c>
      <c r="BW1" s="709" t="s">
        <v>342</v>
      </c>
    </row>
    <row s="986" customFormat="1" customHeight="1" ht="11.25" hidden="1">
      <c r="B2" s="447" t="s">
        <v>19</v>
      </c>
      <c r="AC2" s="435"/>
      <c r="AF2" s="986" cm="1" t="str">
        <f t="array" ref="AF2:AF2">isOrgDeclare</f>
        <v>true</v>
      </c>
      <c r="AH2" s="986" cm="1" t="str">
        <f t="array" ref="AH2:AH2">isOrgDeclare</f>
        <v>true</v>
      </c>
      <c r="AJ2" s="448">
        <f>AND(AJ6&lt;=last_year_vis,isOrgDeclare)</f>
        <v>1</v>
      </c>
      <c r="AK2" s="448">
        <f>AND(AK6&lt;=last_year_vis,isOrgDeclare)</f>
        <v>0</v>
      </c>
      <c r="AL2" s="448">
        <f>AND(AL6&lt;=last_year_vis,isOrgDeclare)</f>
        <v>0</v>
      </c>
      <c r="AM2" s="448">
        <f>AND(AM6&lt;=last_year_vis,isOrgDeclare)</f>
        <v>0</v>
      </c>
      <c r="AN2" s="448">
        <f>AND(AN6&lt;=last_year_vis,isOrgDeclare)</f>
        <v>0</v>
      </c>
      <c r="AO2" s="448">
        <f>AND(AO6&lt;=last_year_vis,isOrgDeclare)</f>
        <v>0</v>
      </c>
      <c r="AP2" s="448">
        <f>AND(AP6&lt;=last_year_vis,isOrgDeclare)</f>
        <v>0</v>
      </c>
      <c r="AQ2" s="448">
        <f>AND(AQ6&lt;=last_year_vis,isOrgDeclare)</f>
        <v>0</v>
      </c>
      <c r="AR2" s="448">
        <f>AND(AR6&lt;=last_year_vis,isOrgDeclare)</f>
        <v>0</v>
      </c>
      <c r="AS2" s="448">
        <f>AND(AS6&lt;=last_year_vis,isOrgDeclare)</f>
        <v>0</v>
      </c>
      <c r="AT2" s="448">
        <f>AT6&lt;=last_year_vis</f>
        <v>1</v>
      </c>
      <c r="AU2" s="448">
        <f>AU6&lt;=last_year_vis</f>
        <v>0</v>
      </c>
      <c r="AV2" s="448">
        <f>AV6&lt;=last_year_vis</f>
        <v>0</v>
      </c>
      <c r="AW2" s="448">
        <f>AW6&lt;=last_year_vis</f>
        <v>0</v>
      </c>
      <c r="AX2" s="448">
        <f>AX6&lt;=last_year_vis</f>
        <v>0</v>
      </c>
      <c r="AY2" s="448">
        <f>AY6&lt;=last_year_vis</f>
        <v>0</v>
      </c>
      <c r="AZ2" s="448">
        <f>AZ6&lt;=last_year_vis</f>
        <v>0</v>
      </c>
      <c r="BA2" s="448">
        <f>BA6&lt;=last_year_vis</f>
        <v>0</v>
      </c>
      <c r="BB2" s="448">
        <f>BB6&lt;=last_year_vis</f>
        <v>0</v>
      </c>
      <c r="BC2" s="448">
        <f>BC6&lt;=last_year_vis</f>
        <v>0</v>
      </c>
      <c r="BD2" s="448">
        <f>BD6&lt;=last_year_vis</f>
        <v>1</v>
      </c>
      <c r="BE2" s="448">
        <f>BE6&lt;=last_year_vis</f>
        <v>0</v>
      </c>
      <c r="BF2" s="448">
        <f>BF6&lt;=last_year_vis</f>
        <v>0</v>
      </c>
      <c r="BG2" s="448">
        <f>BG6&lt;=last_year_vis</f>
        <v>0</v>
      </c>
      <c r="BH2" s="448">
        <f>BH6&lt;=last_year_vis</f>
        <v>0</v>
      </c>
      <c r="BI2" s="448">
        <f>BI6&lt;=last_year_vis</f>
        <v>0</v>
      </c>
      <c r="BJ2" s="448">
        <f>BJ6&lt;=last_year_vis</f>
        <v>0</v>
      </c>
      <c r="BK2" s="448">
        <f>BK6&lt;=last_year_vis</f>
        <v>0</v>
      </c>
      <c r="BL2" s="448">
        <f>BL6&lt;=last_year_vis</f>
        <v>0</v>
      </c>
      <c r="BM2" s="448">
        <f>BM6&lt;=last_year_vis</f>
        <v>0</v>
      </c>
      <c r="BS2" s="1073"/>
      <c r="BT2" s="1073"/>
      <c r="BU2" s="1073"/>
      <c r="BV2" s="627"/>
      <c r="BW2" s="627"/>
    </row>
    <row customHeight="1" ht="11.25" hidden="1">
      <c r="E3" s="154"/>
      <c r="AJ3" s="1297"/>
      <c r="AK3" s="1297"/>
      <c r="AL3" s="1297"/>
      <c r="AM3" s="1297"/>
      <c r="AN3" s="1297"/>
      <c r="AO3" s="1297"/>
      <c r="AP3" s="1297"/>
      <c r="AQ3" s="1297"/>
      <c r="AR3" s="1297"/>
      <c r="AS3" s="1297"/>
      <c r="AT3" s="1297"/>
      <c r="AU3" s="1297"/>
      <c r="AV3" s="1297"/>
      <c r="AW3" s="1297"/>
      <c r="AX3" s="1297"/>
      <c r="AY3" s="1297"/>
      <c r="AZ3" s="1297"/>
      <c r="BA3" s="1297"/>
      <c r="BB3" s="1297"/>
      <c r="BC3" s="1297"/>
      <c r="BD3" s="1297"/>
      <c r="BE3" s="1297"/>
      <c r="BF3" s="1297"/>
      <c r="BG3" s="1297"/>
      <c r="BH3" s="1297"/>
      <c r="BI3" s="1297"/>
      <c r="BJ3" s="1297"/>
      <c r="BK3" s="1297"/>
      <c r="BL3" s="1297"/>
      <c r="BM3" s="1297"/>
    </row>
    <row customHeight="1" ht="11.25" hidden="1">
      <c r="E4" s="154"/>
      <c r="AJ4" s="1297"/>
      <c r="AK4" s="1297"/>
      <c r="AL4" s="1297"/>
      <c r="AM4" s="1297"/>
      <c r="AN4" s="1297"/>
      <c r="AO4" s="1297"/>
      <c r="AP4" s="1297"/>
      <c r="AQ4" s="1297"/>
      <c r="AR4" s="1297"/>
      <c r="AS4" s="1297"/>
      <c r="AT4" s="1297"/>
      <c r="AU4" s="1297"/>
      <c r="AV4" s="1297"/>
      <c r="AW4" s="1297"/>
      <c r="AX4" s="1297"/>
      <c r="AY4" s="1297"/>
      <c r="AZ4" s="1297"/>
      <c r="BA4" s="1297"/>
      <c r="BB4" s="1297"/>
      <c r="BC4" s="1297"/>
      <c r="BD4" s="1297"/>
      <c r="BE4" s="1297"/>
      <c r="BF4" s="1297"/>
      <c r="BG4" s="1297"/>
      <c r="BH4" s="1297"/>
      <c r="BI4" s="1297"/>
      <c r="BJ4" s="1297"/>
      <c r="BK4" s="1297"/>
      <c r="BL4" s="1297"/>
      <c r="BM4" s="1297"/>
    </row>
    <row s="987" customFormat="1" customHeight="1" ht="11.25" hidden="1">
      <c r="A5" s="154"/>
      <c r="B5" s="434"/>
      <c r="C5" s="154"/>
      <c r="D5" s="154"/>
      <c r="E5" s="709" t="s">
        <v>20</v>
      </c>
      <c r="AA5" s="709">
        <v>3</v>
      </c>
      <c r="AB5" s="714">
        <v>11</v>
      </c>
      <c r="AC5" s="710">
        <v>75</v>
      </c>
      <c r="AD5" s="714">
        <v>12</v>
      </c>
      <c r="AE5" s="709">
        <v>12.57</v>
      </c>
      <c r="AF5" s="709">
        <v>12.57</v>
      </c>
      <c r="AG5" s="709">
        <v>12.57</v>
      </c>
      <c r="AH5" s="709">
        <v>21</v>
      </c>
      <c r="AI5" s="709">
        <v>12.57</v>
      </c>
      <c r="AJ5" s="709">
        <v>12.57</v>
      </c>
      <c r="AK5" s="709">
        <v>12.57</v>
      </c>
      <c r="AL5" s="709">
        <v>12.57</v>
      </c>
      <c r="AM5" s="709">
        <v>12.57</v>
      </c>
      <c r="AN5" s="709">
        <v>12.57</v>
      </c>
      <c r="AO5" s="709">
        <v>12.57</v>
      </c>
      <c r="AP5" s="709">
        <v>12.57</v>
      </c>
      <c r="AQ5" s="709">
        <v>12.57</v>
      </c>
      <c r="AR5" s="709">
        <v>12.57</v>
      </c>
      <c r="AS5" s="709">
        <v>12.57</v>
      </c>
      <c r="AT5" s="709">
        <v>12.57</v>
      </c>
      <c r="AU5" s="709">
        <v>12.57</v>
      </c>
      <c r="AV5" s="709">
        <v>12.57</v>
      </c>
      <c r="AW5" s="709">
        <v>12.57</v>
      </c>
      <c r="AX5" s="709">
        <v>12.57</v>
      </c>
      <c r="AY5" s="709">
        <v>12.57</v>
      </c>
      <c r="AZ5" s="709">
        <v>12.57</v>
      </c>
      <c r="BA5" s="709">
        <v>12.57</v>
      </c>
      <c r="BB5" s="709">
        <v>12.57</v>
      </c>
      <c r="BC5" s="709">
        <v>12.57</v>
      </c>
      <c r="BD5" s="709">
        <v>12.57</v>
      </c>
      <c r="BE5" s="709">
        <v>12.57</v>
      </c>
      <c r="BF5" s="709">
        <v>12.57</v>
      </c>
      <c r="BG5" s="709">
        <v>12.57</v>
      </c>
      <c r="BH5" s="709">
        <v>12.57</v>
      </c>
      <c r="BI5" s="709">
        <v>12.57</v>
      </c>
      <c r="BJ5" s="709">
        <v>12.57</v>
      </c>
      <c r="BK5" s="709">
        <v>12.57</v>
      </c>
      <c r="BL5" s="709">
        <v>12.57</v>
      </c>
      <c r="BM5" s="709">
        <v>12.57</v>
      </c>
      <c r="BN5" s="709">
        <v>20</v>
      </c>
      <c r="BO5" s="709">
        <v>20</v>
      </c>
      <c r="BP5" s="709">
        <v>42</v>
      </c>
      <c r="BQ5" s="709">
        <v>3</v>
      </c>
      <c r="BS5" s="1072"/>
      <c r="BT5" s="1072"/>
      <c r="BU5" s="1072"/>
    </row>
    <row customHeight="1" ht="11.25" hidden="1">
      <c r="A6" s="154" t="s">
        <v>371</v>
      </c>
      <c r="AE6" s="154">
        <f>god-2</f>
        <v>2024</v>
      </c>
      <c r="AF6" s="154">
        <f>god-2</f>
        <v>2024</v>
      </c>
      <c r="AG6" s="154">
        <f>god-2</f>
        <v>2024</v>
      </c>
      <c r="AH6" s="154">
        <f>god-2</f>
        <v>2024</v>
      </c>
      <c r="AI6" s="94">
        <f>god-1</f>
        <v>2025</v>
      </c>
      <c r="AJ6" s="94" cm="1" t="str">
        <f t="array" ref="AJ6:AJ6">god</f>
        <v>2026</v>
      </c>
      <c r="AK6" s="94">
        <f>god+1</f>
        <v>2027</v>
      </c>
      <c r="AL6" s="94">
        <f>god+2</f>
        <v>2028</v>
      </c>
      <c r="AM6" s="94">
        <f>god+3</f>
        <v>2029</v>
      </c>
      <c r="AN6" s="94">
        <f>god+4</f>
        <v>2030</v>
      </c>
      <c r="AO6" s="94">
        <f>god+5</f>
        <v>2031</v>
      </c>
      <c r="AP6" s="94">
        <f>god+6</f>
        <v>2032</v>
      </c>
      <c r="AQ6" s="94">
        <f>god+7</f>
        <v>2033</v>
      </c>
      <c r="AR6" s="94">
        <f>god+8</f>
        <v>2034</v>
      </c>
      <c r="AS6" s="94">
        <f>god+9</f>
        <v>2035</v>
      </c>
      <c r="AT6" s="94" cm="1" t="str">
        <f t="array" ref="AT6:AT6">god</f>
        <v>2026</v>
      </c>
      <c r="AU6" s="94">
        <f>god+1</f>
        <v>2027</v>
      </c>
      <c r="AV6" s="94">
        <f>god+2</f>
        <v>2028</v>
      </c>
      <c r="AW6" s="94">
        <f>god+3</f>
        <v>2029</v>
      </c>
      <c r="AX6" s="94">
        <f>god+4</f>
        <v>2030</v>
      </c>
      <c r="AY6" s="94">
        <f>god+5</f>
        <v>2031</v>
      </c>
      <c r="AZ6" s="94">
        <f>god+6</f>
        <v>2032</v>
      </c>
      <c r="BA6" s="94">
        <f>god+7</f>
        <v>2033</v>
      </c>
      <c r="BB6" s="94">
        <f>god+8</f>
        <v>2034</v>
      </c>
      <c r="BC6" s="94">
        <f>god+9</f>
        <v>2035</v>
      </c>
      <c r="BD6" s="94" cm="1" t="str">
        <f t="array" ref="BD6:BD6">god</f>
        <v>2026</v>
      </c>
      <c r="BE6" s="94">
        <f>god+1</f>
        <v>2027</v>
      </c>
      <c r="BF6" s="94">
        <f>god+2</f>
        <v>2028</v>
      </c>
      <c r="BG6" s="94">
        <f>god+3</f>
        <v>2029</v>
      </c>
      <c r="BH6" s="94">
        <f>god+4</f>
        <v>2030</v>
      </c>
      <c r="BI6" s="94">
        <f>god+5</f>
        <v>2031</v>
      </c>
      <c r="BJ6" s="94">
        <f>god+6</f>
        <v>2032</v>
      </c>
      <c r="BK6" s="94">
        <f>god+7</f>
        <v>2033</v>
      </c>
      <c r="BL6" s="94">
        <f>god+8</f>
        <v>2034</v>
      </c>
      <c r="BM6" s="94">
        <f>god+9</f>
        <v>2035</v>
      </c>
    </row>
    <row customHeight="1" ht="11.25" hidden="1">
      <c r="A7" s="154" t="s">
        <v>372</v>
      </c>
      <c r="AE7" s="94" cm="1" t="str">
        <f t="array" ref="AE7:AE7">AE25</f>
        <v>Принято органом регулирования</v>
      </c>
      <c r="AF7" s="94" cm="1" t="str">
        <f t="array" ref="AF7:AF7">AF25</f>
        <v>Факт по данным организации</v>
      </c>
      <c r="AG7" s="94" cm="1" t="str">
        <f t="array" ref="AG7:AG7">AG25</f>
        <v>Факт, принятый органом регулирования</v>
      </c>
      <c r="AH7" s="94" cm="1" t="str">
        <f t="array" ref="AH7:AH7">AH25</f>
        <v>отклонение факта по данным организации к факту принятому органом регулирования</v>
      </c>
      <c r="AI7" s="94" cm="1" t="str">
        <f t="array" ref="AI7:AI7">AI25</f>
        <v>Принято органом регулирования</v>
      </c>
      <c r="AJ7" s="94" cm="1" t="str">
        <f t="array" ref="AJ7:AJ7">$AJ$25</f>
        <v>Предложение организации</v>
      </c>
      <c r="AK7" s="94" cm="1" t="str">
        <f t="array" ref="AK7:AK7">$AJ$25</f>
        <v>Предложение организации</v>
      </c>
      <c r="AL7" s="94" cm="1" t="str">
        <f t="array" ref="AL7:AL7">$AJ$25</f>
        <v>Предложение организации</v>
      </c>
      <c r="AM7" s="94" cm="1" t="str">
        <f t="array" ref="AM7:AM7">$AJ$25</f>
        <v>Предложение организации</v>
      </c>
      <c r="AN7" s="94" cm="1" t="str">
        <f t="array" ref="AN7:AN7">$AJ$25</f>
        <v>Предложение организации</v>
      </c>
      <c r="AO7" s="94" cm="1" t="str">
        <f t="array" ref="AO7:AO7">$AJ$25</f>
        <v>Предложение организации</v>
      </c>
      <c r="AP7" s="94" cm="1" t="str">
        <f t="array" ref="AP7:AP7">$AJ$25</f>
        <v>Предложение организации</v>
      </c>
      <c r="AQ7" s="94" cm="1" t="str">
        <f t="array" ref="AQ7:AQ7">$AJ$25</f>
        <v>Предложение организации</v>
      </c>
      <c r="AR7" s="94" cm="1" t="str">
        <f t="array" ref="AR7:AR7">$AJ$25</f>
        <v>Предложение организации</v>
      </c>
      <c r="AS7" s="94" cm="1" t="str">
        <f t="array" ref="AS7:AS7">$AJ$25</f>
        <v>Предложение организации</v>
      </c>
      <c r="AT7" s="94" cm="1" t="str">
        <f t="array" ref="AT7:AT7">$AT$25</f>
        <v>Принято органом регулирования</v>
      </c>
      <c r="AU7" s="94" cm="1" t="str">
        <f t="array" ref="AU7:AU7">$AT$25</f>
        <v>Принято органом регулирования</v>
      </c>
      <c r="AV7" s="94" cm="1" t="str">
        <f t="array" ref="AV7:AV7">$AT$25</f>
        <v>Принято органом регулирования</v>
      </c>
      <c r="AW7" s="94" cm="1" t="str">
        <f t="array" ref="AW7:AW7">$AT$25</f>
        <v>Принято органом регулирования</v>
      </c>
      <c r="AX7" s="94" cm="1" t="str">
        <f t="array" ref="AX7:AX7">$AT$25</f>
        <v>Принято органом регулирования</v>
      </c>
      <c r="AY7" s="94" cm="1" t="str">
        <f t="array" ref="AY7:AY7">$AT$25</f>
        <v>Принято органом регулирования</v>
      </c>
      <c r="AZ7" s="94" cm="1" t="str">
        <f t="array" ref="AZ7:AZ7">$AT$25</f>
        <v>Принято органом регулирования</v>
      </c>
      <c r="BA7" s="94" cm="1" t="str">
        <f t="array" ref="BA7:BA7">$AT$25</f>
        <v>Принято органом регулирования</v>
      </c>
      <c r="BB7" s="94" cm="1" t="str">
        <f t="array" ref="BB7:BB7">$AT$25</f>
        <v>Принято органом регулирования</v>
      </c>
      <c r="BC7" s="94" cm="1" t="str">
        <f t="array" ref="BC7:BC7">$AT$25</f>
        <v>Принято органом регулирования</v>
      </c>
      <c r="BD7" s="94"/>
      <c r="BE7" s="94"/>
      <c r="BF7" s="94"/>
      <c r="BG7" s="94"/>
      <c r="BH7" s="94"/>
      <c r="BI7" s="94"/>
      <c r="BJ7" s="94"/>
      <c r="BK7" s="94"/>
      <c r="BL7" s="94"/>
      <c r="BM7" s="94"/>
    </row>
    <row customHeight="1" ht="11.25" hidden="1">
      <c r="AE8" s="94" t="str">
        <f>AE6&amp;AE7</f>
        <v>2024Принято органом регулирования</v>
      </c>
      <c r="AF8" s="94" t="str">
        <f>AF6&amp;AF7</f>
        <v>2024Факт по данным организации</v>
      </c>
      <c r="AG8" s="94" t="str">
        <f>AG6&amp;AG7</f>
        <v>2024Факт, принятый органом регулирования</v>
      </c>
      <c r="AH8" s="94" t="str">
        <f>AH6&amp;AH7</f>
        <v>2024отклонение факта по данным организации к факту принятому органом регулирования</v>
      </c>
      <c r="AI8" s="94" t="str">
        <f>AI6&amp;AI7</f>
        <v>2025Принято органом регулирования</v>
      </c>
      <c r="AJ8" s="94" t="str">
        <f>AJ6&amp;AJ7</f>
        <v>2026Предложение организации</v>
      </c>
      <c r="AK8" s="94" t="str">
        <f>AK6&amp;AK7</f>
        <v>2027Предложение организации</v>
      </c>
      <c r="AL8" s="94" t="str">
        <f>AL6&amp;AL7</f>
        <v>2028Предложение организации</v>
      </c>
      <c r="AM8" s="94" t="str">
        <f>AM6&amp;AM7</f>
        <v>2029Предложение организации</v>
      </c>
      <c r="AN8" s="94" t="str">
        <f>AN6&amp;AN7</f>
        <v>2030Предложение организации</v>
      </c>
      <c r="AO8" s="94" t="str">
        <f>AO6&amp;AO7</f>
        <v>2031Предложение организации</v>
      </c>
      <c r="AP8" s="94" t="str">
        <f>AP6&amp;AP7</f>
        <v>2032Предложение организации</v>
      </c>
      <c r="AQ8" s="94" t="str">
        <f>AQ6&amp;AQ7</f>
        <v>2033Предложение организации</v>
      </c>
      <c r="AR8" s="94" t="str">
        <f>AR6&amp;AR7</f>
        <v>2034Предложение организации</v>
      </c>
      <c r="AS8" s="94" t="str">
        <f>AS6&amp;AS7</f>
        <v>2035Предложение организации</v>
      </c>
      <c r="AT8" s="94" t="str">
        <f>AT6&amp;AT7</f>
        <v>2026Принято органом регулирования</v>
      </c>
      <c r="AU8" s="94" t="str">
        <f>AU6&amp;AU7</f>
        <v>2027Принято органом регулирования</v>
      </c>
      <c r="AV8" s="94" t="str">
        <f>AV6&amp;AV7</f>
        <v>2028Принято органом регулирования</v>
      </c>
      <c r="AW8" s="94" t="str">
        <f>AW6&amp;AW7</f>
        <v>2029Принято органом регулирования</v>
      </c>
      <c r="AX8" s="94" t="str">
        <f>AX6&amp;AX7</f>
        <v>2030Принято органом регулирования</v>
      </c>
      <c r="AY8" s="94" t="str">
        <f>AY6&amp;AY7</f>
        <v>2031Принято органом регулирования</v>
      </c>
      <c r="AZ8" s="94" t="str">
        <f>AZ6&amp;AZ7</f>
        <v>2032Принято органом регулирования</v>
      </c>
      <c r="BA8" s="94" t="str">
        <f>BA6&amp;BA7</f>
        <v>2033Принято органом регулирования</v>
      </c>
      <c r="BB8" s="94" t="str">
        <f>BB6&amp;BB7</f>
        <v>2034Принято органом регулирования</v>
      </c>
      <c r="BC8" s="94" t="str">
        <f>BC6&amp;BC7</f>
        <v>2035Принято органом регулирования</v>
      </c>
      <c r="BD8" s="94"/>
      <c r="BE8" s="94"/>
      <c r="BF8" s="94"/>
      <c r="BG8" s="94"/>
      <c r="BH8" s="94"/>
      <c r="BI8" s="94"/>
      <c r="BJ8" s="94"/>
      <c r="BK8" s="94"/>
      <c r="BL8" s="94"/>
      <c r="BM8" s="94"/>
    </row>
    <row s="1072" customFormat="1" customHeight="1" ht="11.25" hidden="1">
      <c r="A9" s="1005" t="s">
        <v>376</v>
      </c>
      <c r="B9" s="1068"/>
      <c r="C9" s="1068"/>
      <c r="D9" s="1068"/>
      <c r="E9" s="1068"/>
      <c r="F9" s="1068"/>
      <c r="G9" s="1068"/>
      <c r="H9" s="1068"/>
      <c r="I9" s="1068"/>
      <c r="J9" s="1068"/>
      <c r="K9" s="1068"/>
      <c r="L9" s="1068"/>
      <c r="M9" s="1068"/>
      <c r="N9" s="1068"/>
      <c r="O9" s="1068"/>
      <c r="P9" s="1068"/>
      <c r="Q9" s="1068"/>
      <c r="R9" s="1068"/>
      <c r="S9" s="1068"/>
      <c r="T9" s="1068"/>
      <c r="U9" s="1068"/>
      <c r="V9" s="1068"/>
      <c r="W9" s="1068"/>
      <c r="X9" s="1068"/>
      <c r="Y9" s="1068"/>
      <c r="Z9" s="1068"/>
      <c r="AA9" s="1068"/>
      <c r="AB9" s="1068"/>
      <c r="AC9" s="1068"/>
      <c r="AD9" s="1068"/>
      <c r="AE9" s="1069" cm="1" t="str">
        <f t="array" ref="AE9:AE9">AE6</f>
        <v>2024</v>
      </c>
      <c r="AF9" s="1069" cm="1" t="str">
        <f t="array" ref="AF9:AF9">AF6</f>
        <v>2024</v>
      </c>
      <c r="AG9" s="1069" cm="1" t="str">
        <f t="array" ref="AG9:AG9">AG6</f>
        <v>2024</v>
      </c>
      <c r="AH9" s="1069" cm="1" t="str">
        <f t="array" ref="AH9:AH9">AH6</f>
        <v>2024</v>
      </c>
      <c r="AI9" s="1069" cm="1" t="str">
        <f t="array" ref="AI9:AI9">AI6</f>
        <v>2025</v>
      </c>
      <c r="AJ9" s="1069" cm="1" t="str">
        <f t="array" ref="AJ9:AJ9">AJ6</f>
        <v>2026</v>
      </c>
      <c r="AK9" s="1069" cm="1" t="str">
        <f t="array" ref="AK9:AK9">AK6</f>
        <v>2027</v>
      </c>
      <c r="AL9" s="1069" cm="1" t="str">
        <f t="array" ref="AL9:AL9">AL6</f>
        <v>2028</v>
      </c>
      <c r="AM9" s="1069" cm="1" t="str">
        <f t="array" ref="AM9:AM9">AM6</f>
        <v>2029</v>
      </c>
      <c r="AN9" s="1069" cm="1" t="str">
        <f t="array" ref="AN9:AN9">AN6</f>
        <v>2030</v>
      </c>
      <c r="AO9" s="1069" cm="1" t="str">
        <f t="array" ref="AO9:AO9">AO6</f>
        <v>2031</v>
      </c>
      <c r="AP9" s="1069" cm="1" t="str">
        <f t="array" ref="AP9:AP9">AP6</f>
        <v>2032</v>
      </c>
      <c r="AQ9" s="1069" cm="1" t="str">
        <f t="array" ref="AQ9:AQ9">AQ6</f>
        <v>2033</v>
      </c>
      <c r="AR9" s="1069" cm="1" t="str">
        <f t="array" ref="AR9:AR9">AR6</f>
        <v>2034</v>
      </c>
      <c r="AS9" s="1069" cm="1" t="str">
        <f t="array" ref="AS9:AS9">AS6</f>
        <v>2035</v>
      </c>
      <c r="AT9" s="1069" cm="1" t="str">
        <f t="array" ref="AT9:AT9">AT6</f>
        <v>2026</v>
      </c>
      <c r="AU9" s="1069" cm="1" t="str">
        <f t="array" ref="AU9:AU9">AU6</f>
        <v>2027</v>
      </c>
      <c r="AV9" s="1069" cm="1" t="str">
        <f t="array" ref="AV9:AV9">AV6</f>
        <v>2028</v>
      </c>
      <c r="AW9" s="1069" cm="1" t="str">
        <f t="array" ref="AW9:AW9">AW6</f>
        <v>2029</v>
      </c>
      <c r="AX9" s="1069" cm="1" t="str">
        <f t="array" ref="AX9:AX9">AX6</f>
        <v>2030</v>
      </c>
      <c r="AY9" s="1069" cm="1" t="str">
        <f t="array" ref="AY9:AY9">AY6</f>
        <v>2031</v>
      </c>
      <c r="AZ9" s="1069" cm="1" t="str">
        <f t="array" ref="AZ9:AZ9">AZ6</f>
        <v>2032</v>
      </c>
      <c r="BA9" s="1069" cm="1" t="str">
        <f t="array" ref="BA9:BA9">BA6</f>
        <v>2033</v>
      </c>
      <c r="BB9" s="1069" cm="1" t="str">
        <f t="array" ref="BB9:BB9">BB6</f>
        <v>2034</v>
      </c>
      <c r="BC9" s="1069" cm="1" t="str">
        <f t="array" ref="BC9:BC9">BC6</f>
        <v>2035</v>
      </c>
      <c r="BD9" s="1069" cm="1" t="str">
        <f t="array" ref="BD9:BD9">BD6</f>
        <v>2026</v>
      </c>
      <c r="BE9" s="1069" cm="1" t="str">
        <f t="array" ref="BE9:BE9">BE6</f>
        <v>2027</v>
      </c>
      <c r="BF9" s="1069" cm="1" t="str">
        <f t="array" ref="BF9:BF9">BF6</f>
        <v>2028</v>
      </c>
      <c r="BG9" s="1069" cm="1" t="str">
        <f t="array" ref="BG9:BG9">BG6</f>
        <v>2029</v>
      </c>
      <c r="BH9" s="1069" cm="1" t="str">
        <f t="array" ref="BH9:BH9">BH6</f>
        <v>2030</v>
      </c>
      <c r="BI9" s="1069" cm="1" t="str">
        <f t="array" ref="BI9:BI9">BI6</f>
        <v>2031</v>
      </c>
      <c r="BJ9" s="1069" cm="1" t="str">
        <f t="array" ref="BJ9:BJ9">BJ6</f>
        <v>2032</v>
      </c>
      <c r="BK9" s="1069" cm="1" t="str">
        <f t="array" ref="BK9:BK9">BK6</f>
        <v>2033</v>
      </c>
      <c r="BL9" s="1069" cm="1" t="str">
        <f t="array" ref="BL9:BL9">BL6</f>
        <v>2034</v>
      </c>
      <c r="BM9" s="1069" cm="1" t="str">
        <f t="array" ref="BM9:BM9">BM6</f>
        <v>2035</v>
      </c>
      <c r="BV9" s="709"/>
      <c r="BW9" s="709"/>
    </row>
    <row s="1072" customFormat="1" customHeight="1" ht="11.25" hidden="1">
      <c r="A10" s="1005" t="s">
        <v>377</v>
      </c>
      <c r="B10" s="1068"/>
      <c r="C10" s="1068"/>
      <c r="D10" s="1068"/>
      <c r="E10" s="1068"/>
      <c r="F10" s="1068"/>
      <c r="G10" s="1068"/>
      <c r="H10" s="1068"/>
      <c r="I10" s="1068"/>
      <c r="J10" s="1068"/>
      <c r="K10" s="1068"/>
      <c r="L10" s="1068"/>
      <c r="M10" s="1068"/>
      <c r="N10" s="1068"/>
      <c r="O10" s="1068"/>
      <c r="P10" s="1068"/>
      <c r="Q10" s="1068"/>
      <c r="R10" s="1068"/>
      <c r="S10" s="1068"/>
      <c r="T10" s="1068"/>
      <c r="U10" s="1068"/>
      <c r="V10" s="1068"/>
      <c r="W10" s="1068"/>
      <c r="X10" s="1068"/>
      <c r="Y10" s="1068"/>
      <c r="Z10" s="1068"/>
      <c r="AA10" s="1068"/>
      <c r="AB10" s="1068"/>
      <c r="AC10" s="1068"/>
      <c r="AD10" s="1068"/>
      <c r="AE10" s="1069" cm="1" t="str">
        <f t="array" ref="AE10:AE10">AE25</f>
        <v>Принято органом регулирования</v>
      </c>
      <c r="AF10" s="1069" cm="1" t="str">
        <f t="array" ref="AF10:AF10">AF25</f>
        <v>Факт по данным организации</v>
      </c>
      <c r="AG10" s="1069" cm="1" t="str">
        <f t="array" ref="AG10:AG10">AG25</f>
        <v>Факт, принятый органом регулирования</v>
      </c>
      <c r="AH10" s="1069" cm="1" t="str">
        <f t="array" ref="AH10:AH10">AH25</f>
        <v>отклонение факта по данным организации к факту принятому органом регулирования</v>
      </c>
      <c r="AI10" s="1069" cm="1" t="str">
        <f t="array" ref="AI10:AI10">AI25</f>
        <v>Принято органом регулирования</v>
      </c>
      <c r="AJ10" s="1069" cm="1" t="str">
        <f t="array" ref="AJ10:AJ10">AJ25</f>
        <v>Предложение организации</v>
      </c>
      <c r="AK10" s="1069" cm="1" t="str">
        <f t="array" ref="AK10:AK10">AK25</f>
        <v>Предложение организации</v>
      </c>
      <c r="AL10" s="1069" cm="1" t="str">
        <f t="array" ref="AL10:AL10">AL25</f>
        <v>Предложение организации</v>
      </c>
      <c r="AM10" s="1069" cm="1" t="str">
        <f t="array" ref="AM10:AM10">AM25</f>
        <v>Предложение организации</v>
      </c>
      <c r="AN10" s="1069" cm="1" t="str">
        <f t="array" ref="AN10:AN10">AN25</f>
        <v>Предложение организации</v>
      </c>
      <c r="AO10" s="1069" cm="1" t="str">
        <f t="array" ref="AO10:AO10">AO25</f>
        <v>Предложение организации</v>
      </c>
      <c r="AP10" s="1069" cm="1" t="str">
        <f t="array" ref="AP10:AP10">AP25</f>
        <v>Предложение организации</v>
      </c>
      <c r="AQ10" s="1069" cm="1" t="str">
        <f t="array" ref="AQ10:AQ10">AQ25</f>
        <v>Предложение организации</v>
      </c>
      <c r="AR10" s="1069" cm="1" t="str">
        <f t="array" ref="AR10:AR10">AR25</f>
        <v>Предложение организации</v>
      </c>
      <c r="AS10" s="1069" cm="1" t="str">
        <f t="array" ref="AS10:AS10">AS25</f>
        <v>Предложение организации</v>
      </c>
      <c r="AT10" s="1069" cm="1" t="str">
        <f t="array" ref="AT10:AT10">AT25</f>
        <v>Принято органом регулирования</v>
      </c>
      <c r="AU10" s="1069" cm="1" t="str">
        <f t="array" ref="AU10:AU10">AU25</f>
        <v>Принято органом регулирования</v>
      </c>
      <c r="AV10" s="1069" cm="1" t="str">
        <f t="array" ref="AV10:AV10">AV25</f>
        <v>Принято органом регулирования</v>
      </c>
      <c r="AW10" s="1069" cm="1" t="str">
        <f t="array" ref="AW10:AW10">AW25</f>
        <v>Принято органом регулирования</v>
      </c>
      <c r="AX10" s="1069" cm="1" t="str">
        <f t="array" ref="AX10:AX10">AX25</f>
        <v>Принято органом регулирования</v>
      </c>
      <c r="AY10" s="1069" cm="1" t="str">
        <f t="array" ref="AY10:AY10">AY25</f>
        <v>Принято органом регулирования</v>
      </c>
      <c r="AZ10" s="1069" cm="1" t="str">
        <f t="array" ref="AZ10:AZ10">AZ25</f>
        <v>Принято органом регулирования</v>
      </c>
      <c r="BA10" s="1069" cm="1" t="str">
        <f t="array" ref="BA10:BA10">BA25</f>
        <v>Принято органом регулирования</v>
      </c>
      <c r="BB10" s="1069" cm="1" t="str">
        <f t="array" ref="BB10:BB10">BB25</f>
        <v>Принято органом регулирования</v>
      </c>
      <c r="BC10" s="1069" cm="1" t="str">
        <f t="array" ref="BC10:BC10">BC25</f>
        <v>Принято органом регулирования</v>
      </c>
      <c r="BD10" s="1069" cm="1" t="str">
        <f t="array" ref="BD10:BD10">BD25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E10" s="1069" cm="1" t="str">
        <f t="array" ref="BE10:BE10">BE25</f>
        <v>0</v>
      </c>
      <c r="BF10" s="1069" cm="1" t="str">
        <f t="array" ref="BF10:BF10">BF25</f>
        <v>0</v>
      </c>
      <c r="BG10" s="1069" cm="1" t="str">
        <f t="array" ref="BG10:BG10">BG25</f>
        <v>0</v>
      </c>
      <c r="BH10" s="1069" cm="1" t="str">
        <f t="array" ref="BH10:BH10">BH25</f>
        <v>0</v>
      </c>
      <c r="BI10" s="1069" cm="1" t="str">
        <f t="array" ref="BI10:BI10">BI25</f>
        <v>0</v>
      </c>
      <c r="BJ10" s="1069" cm="1" t="str">
        <f t="array" ref="BJ10:BJ10">BJ25</f>
        <v>0</v>
      </c>
      <c r="BK10" s="1069" cm="1" t="str">
        <f t="array" ref="BK10:BK10">BK25</f>
        <v>0</v>
      </c>
      <c r="BL10" s="1069" cm="1" t="str">
        <f t="array" ref="BL10:BL10">BL25</f>
        <v>0</v>
      </c>
      <c r="BM10" s="1069" cm="1" t="str">
        <f t="array" ref="BM10:BM10">BM25</f>
        <v>0</v>
      </c>
      <c r="BV10" s="709"/>
      <c r="BW10" s="709"/>
    </row>
    <row s="1072" customFormat="1" customHeight="1" ht="11.25" hidden="1">
      <c r="A11" s="1005" t="s">
        <v>378</v>
      </c>
      <c r="B11" s="1068"/>
      <c r="C11" s="1068"/>
      <c r="D11" s="1068"/>
      <c r="E11" s="1068"/>
      <c r="F11" s="1068"/>
      <c r="G11" s="1068"/>
      <c r="H11" s="1068"/>
      <c r="I11" s="1068"/>
      <c r="J11" s="1068"/>
      <c r="K11" s="1068"/>
      <c r="L11" s="1068"/>
      <c r="M11" s="1068"/>
      <c r="N11" s="1068"/>
      <c r="O11" s="1068"/>
      <c r="P11" s="1068"/>
      <c r="Q11" s="1068"/>
      <c r="R11" s="1068"/>
      <c r="S11" s="1068"/>
      <c r="T11" s="1068"/>
      <c r="U11" s="1068"/>
      <c r="V11" s="1068"/>
      <c r="W11" s="1068"/>
      <c r="X11" s="1068"/>
      <c r="Y11" s="1068"/>
      <c r="Z11" s="1068"/>
      <c r="AA11" s="1068"/>
      <c r="AB11" s="1068"/>
      <c r="AC11" s="1068"/>
      <c r="AD11" s="1068"/>
      <c r="AE11" s="1069"/>
      <c r="AJ11" s="1072"/>
      <c r="AK11" s="1072"/>
      <c r="AL11" s="1072"/>
      <c r="AM11" s="1072"/>
      <c r="AN11" s="1072"/>
      <c r="AO11" s="1072"/>
      <c r="AP11" s="1072"/>
      <c r="AQ11" s="1072"/>
      <c r="AR11" s="1072"/>
      <c r="AS11" s="1072"/>
      <c r="AT11" s="1072"/>
      <c r="AU11" s="1072"/>
      <c r="AV11" s="1072"/>
      <c r="AW11" s="1072"/>
      <c r="AX11" s="1072"/>
      <c r="AY11" s="1072"/>
      <c r="AZ11" s="1072"/>
      <c r="BA11" s="1072"/>
      <c r="BB11" s="1072"/>
      <c r="BC11" s="1072"/>
      <c r="BD11" s="1072"/>
      <c r="BE11" s="1072"/>
      <c r="BF11" s="1072"/>
      <c r="BG11" s="1072"/>
      <c r="BH11" s="1072"/>
      <c r="BI11" s="1072"/>
      <c r="BJ11" s="1072"/>
      <c r="BK11" s="1072"/>
      <c r="BL11" s="1072"/>
      <c r="BM11" s="1072"/>
      <c r="BN11" s="1072" cm="1" t="str">
        <f t="array" ref="BN11:BN11">BN24</f>
        <v>Указание на подтверждающие документы / URL-ссылка на копии подтверждающих документов</v>
      </c>
      <c r="BO11" s="1072" cm="1" t="str">
        <f t="array" ref="BO11:BO11">BO24</f>
        <v>Ссылка на правовую норму (основание для принятия показателя в расчет тарифа)</v>
      </c>
      <c r="BP11" s="1072" cm="1" t="str">
        <f t="array" ref="BP11: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V11" s="709"/>
      <c r="BW11" s="709"/>
    </row>
    <row s="1072" customFormat="1" customHeight="1" ht="11.25" hidden="1">
      <c r="A12" s="1070" t="s">
        <v>350</v>
      </c>
      <c r="B12" s="1068"/>
      <c r="C12" s="1068"/>
      <c r="D12" s="1068"/>
      <c r="E12" s="1068"/>
      <c r="F12" s="1068"/>
      <c r="G12" s="1068"/>
      <c r="H12" s="1068"/>
      <c r="I12" s="1068"/>
      <c r="J12" s="1068"/>
      <c r="K12" s="1068"/>
      <c r="L12" s="1068"/>
      <c r="M12" s="1068"/>
      <c r="N12" s="1068"/>
      <c r="O12" s="1068"/>
      <c r="P12" s="1068"/>
      <c r="Q12" s="1068"/>
      <c r="R12" s="1068"/>
      <c r="S12" s="1068"/>
      <c r="T12" s="1068"/>
      <c r="U12" s="1068"/>
      <c r="V12" s="1068"/>
      <c r="W12" s="1068"/>
      <c r="X12" s="1068"/>
      <c r="Y12" s="1068"/>
      <c r="Z12" s="1068"/>
      <c r="AA12" s="1068"/>
      <c r="AB12" s="1068"/>
      <c r="AC12" s="1070" t="s">
        <v>338</v>
      </c>
      <c r="AD12" s="1068"/>
      <c r="AE12" s="1069"/>
      <c r="AJ12" s="1072"/>
      <c r="AK12" s="1072"/>
      <c r="AL12" s="1072"/>
      <c r="AM12" s="1072"/>
      <c r="AN12" s="1072"/>
      <c r="AO12" s="1072"/>
      <c r="AP12" s="1072"/>
      <c r="AQ12" s="1072"/>
      <c r="AR12" s="1072"/>
      <c r="AS12" s="1072"/>
      <c r="AT12" s="1072"/>
      <c r="AU12" s="1072"/>
      <c r="AV12" s="1072"/>
      <c r="AW12" s="1072"/>
      <c r="AX12" s="1072"/>
      <c r="AY12" s="1072"/>
      <c r="AZ12" s="1072"/>
      <c r="BA12" s="1072"/>
      <c r="BB12" s="1072"/>
      <c r="BC12" s="1072"/>
      <c r="BD12" s="1072"/>
      <c r="BE12" s="1072"/>
      <c r="BF12" s="1072"/>
      <c r="BG12" s="1072"/>
      <c r="BH12" s="1072"/>
      <c r="BI12" s="1072"/>
      <c r="BJ12" s="1072"/>
      <c r="BK12" s="1072"/>
      <c r="BL12" s="1072"/>
      <c r="BM12" s="1072"/>
      <c r="BV12" s="709"/>
      <c r="BW12" s="709"/>
    </row>
    <row customHeight="1" ht="11.25" hidden="1">
      <c r="A13" s="154" t="s">
        <v>1966</v>
      </c>
      <c r="AJ13" s="1297"/>
      <c r="AK13" s="1297"/>
      <c r="AL13" s="1297"/>
      <c r="AM13" s="1297"/>
      <c r="AN13" s="1297"/>
      <c r="AO13" s="1297"/>
      <c r="AP13" s="1297"/>
      <c r="AQ13" s="1297"/>
      <c r="AR13" s="1297"/>
      <c r="AS13" s="1297"/>
      <c r="AT13" s="1297"/>
      <c r="AU13" s="1297"/>
      <c r="AV13" s="1297"/>
      <c r="AW13" s="1297"/>
      <c r="AX13" s="1297"/>
      <c r="AY13" s="1297"/>
      <c r="AZ13" s="1297"/>
      <c r="BA13" s="1297"/>
      <c r="BB13" s="1297"/>
      <c r="BC13" s="1297"/>
      <c r="BD13" s="1297"/>
      <c r="BE13" s="1297"/>
      <c r="BF13" s="1297"/>
      <c r="BG13" s="1297"/>
      <c r="BH13" s="1297"/>
      <c r="BI13" s="1297"/>
      <c r="BJ13" s="1297"/>
      <c r="BK13" s="1297"/>
      <c r="BL13" s="1297"/>
      <c r="BM13" s="1297"/>
      <c r="BN13" s="154" cm="1" t="str">
        <f t="array" ref="BN13:BN13">BN24</f>
        <v>Указание на подтверждающие документы / URL-ссылка на копии подтверждающих документов</v>
      </c>
      <c r="BO13" s="154" cm="1" t="str">
        <f t="array" ref="BO13:BO13">BO24</f>
        <v>Ссылка на правовую норму (основание для принятия показателя в расчет тарифа)</v>
      </c>
      <c r="BP13" s="154" cm="1" t="str">
        <f t="array" ref="BP13:BP13">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row>
    <row customHeight="1" ht="11.25" hidden="1">
      <c r="AJ14" s="94"/>
      <c r="AK14" s="94"/>
      <c r="AL14" s="94"/>
      <c r="AM14" s="94"/>
      <c r="AN14" s="94"/>
      <c r="AO14" s="94"/>
      <c r="AP14" s="94"/>
      <c r="AQ14" s="94"/>
      <c r="AR14" s="94"/>
      <c r="AS14" s="94"/>
      <c r="AT14" s="94"/>
      <c r="AU14" s="94"/>
      <c r="AV14" s="94"/>
      <c r="AW14" s="94"/>
      <c r="AX14" s="94"/>
      <c r="AY14" s="94"/>
      <c r="AZ14" s="94"/>
      <c r="BA14" s="94"/>
      <c r="BB14" s="94"/>
      <c r="BC14" s="94"/>
      <c r="BD14" s="94"/>
      <c r="BE14" s="94"/>
      <c r="BF14" s="94"/>
      <c r="BG14" s="94"/>
      <c r="BH14" s="94"/>
      <c r="BI14" s="94"/>
      <c r="BJ14" s="94"/>
      <c r="BK14" s="94"/>
      <c r="BL14" s="94"/>
      <c r="BM14" s="94"/>
    </row>
    <row customHeight="1" ht="11.25" hidden="1">
      <c r="AJ15" s="94"/>
      <c r="AK15" s="94"/>
      <c r="AL15" s="94"/>
      <c r="AM15" s="94"/>
      <c r="AN15" s="94"/>
      <c r="AO15" s="94"/>
      <c r="AP15" s="94"/>
      <c r="AQ15" s="94"/>
      <c r="AR15" s="94"/>
      <c r="AS15" s="94"/>
      <c r="AT15" s="94"/>
      <c r="AU15" s="94"/>
      <c r="AV15" s="94"/>
      <c r="AW15" s="94"/>
      <c r="AX15" s="94"/>
      <c r="AY15" s="94"/>
      <c r="AZ15" s="94"/>
      <c r="BA15" s="94"/>
      <c r="BB15" s="94"/>
      <c r="BC15" s="94"/>
      <c r="BD15" s="94"/>
      <c r="BE15" s="94"/>
      <c r="BF15" s="94"/>
      <c r="BG15" s="94"/>
      <c r="BH15" s="94"/>
      <c r="BI15" s="94"/>
      <c r="BJ15" s="94"/>
      <c r="BK15" s="94"/>
      <c r="BL15" s="94"/>
      <c r="BM15" s="94"/>
    </row>
    <row customHeight="1" ht="11.25" hidden="1">
      <c r="AJ16" s="94"/>
      <c r="AK16" s="94"/>
      <c r="AL16" s="94"/>
      <c r="AM16" s="94"/>
      <c r="AN16" s="94"/>
      <c r="AO16" s="94"/>
      <c r="AP16" s="94"/>
      <c r="AQ16" s="94"/>
      <c r="AR16" s="94"/>
      <c r="AS16" s="94"/>
      <c r="AT16" s="94"/>
      <c r="AU16" s="94"/>
      <c r="AV16" s="94"/>
      <c r="AW16" s="94"/>
      <c r="AX16" s="94"/>
      <c r="AY16" s="94"/>
      <c r="AZ16" s="94"/>
      <c r="BA16" s="94"/>
      <c r="BB16" s="94"/>
      <c r="BC16" s="94"/>
      <c r="BD16" s="94"/>
      <c r="BE16" s="94"/>
      <c r="BF16" s="94"/>
      <c r="BG16" s="94"/>
      <c r="BH16" s="94"/>
      <c r="BI16" s="94"/>
      <c r="BJ16" s="94"/>
      <c r="BK16" s="94"/>
      <c r="BL16" s="94"/>
      <c r="BM16" s="94"/>
    </row>
    <row customHeight="1" ht="11.25" hidden="1">
      <c r="AJ17" s="1297"/>
      <c r="AK17" s="1297"/>
      <c r="AL17" s="1297"/>
      <c r="AM17" s="1297"/>
      <c r="AN17" s="1297"/>
      <c r="AO17" s="1297"/>
      <c r="AP17" s="1297"/>
      <c r="AQ17" s="1297"/>
      <c r="AR17" s="1297"/>
      <c r="AS17" s="1297"/>
      <c r="AT17" s="1297"/>
      <c r="AU17" s="1297"/>
      <c r="AV17" s="1297"/>
      <c r="AW17" s="1297"/>
      <c r="AX17" s="1297"/>
      <c r="AY17" s="1297"/>
      <c r="AZ17" s="1297"/>
      <c r="BA17" s="1297"/>
      <c r="BB17" s="1297"/>
      <c r="BC17" s="1297"/>
      <c r="BD17" s="1297"/>
      <c r="BE17" s="1297"/>
      <c r="BF17" s="1297"/>
      <c r="BG17" s="1297"/>
      <c r="BH17" s="1297"/>
      <c r="BI17" s="1297"/>
      <c r="BJ17" s="1297"/>
      <c r="BK17" s="1297"/>
      <c r="BL17" s="1297"/>
      <c r="BM17" s="1297"/>
    </row>
    <row customHeight="1" ht="11.25" hidden="1">
      <c r="A18" s="154" t="s">
        <v>379</v>
      </c>
      <c r="AC18" s="153" t="s">
        <v>380</v>
      </c>
      <c r="AJ18" s="1297"/>
      <c r="AK18" s="1297"/>
      <c r="AL18" s="1297"/>
      <c r="AM18" s="1297"/>
      <c r="AN18" s="1297"/>
      <c r="AO18" s="1297"/>
      <c r="AP18" s="1297"/>
      <c r="AQ18" s="1297"/>
      <c r="AR18" s="1297"/>
      <c r="AS18" s="1297"/>
      <c r="AT18" s="1297"/>
      <c r="AU18" s="1297"/>
      <c r="AV18" s="1297"/>
      <c r="AW18" s="1297"/>
      <c r="AX18" s="1297"/>
      <c r="AY18" s="1297"/>
      <c r="AZ18" s="1297"/>
      <c r="BA18" s="1297"/>
      <c r="BB18" s="1297"/>
      <c r="BC18" s="1297"/>
      <c r="BD18" s="1297"/>
      <c r="BE18" s="1297"/>
      <c r="BF18" s="1297"/>
      <c r="BG18" s="1297"/>
      <c r="BH18" s="1297"/>
      <c r="BI18" s="1297"/>
      <c r="BJ18" s="1297"/>
      <c r="BK18" s="1297"/>
      <c r="BL18" s="1297"/>
      <c r="BM18" s="1297"/>
    </row>
    <row customHeight="1" ht="11.25" hidden="1">
      <c r="AJ19" s="1297"/>
      <c r="AK19" s="1297"/>
      <c r="AL19" s="1297"/>
      <c r="AM19" s="1297"/>
      <c r="AN19" s="1297"/>
      <c r="AO19" s="1297"/>
      <c r="AP19" s="1297"/>
      <c r="AQ19" s="1297"/>
      <c r="AR19" s="1297"/>
      <c r="AS19" s="1297"/>
      <c r="AT19" s="1297"/>
      <c r="AU19" s="1297"/>
      <c r="AV19" s="1297"/>
      <c r="AW19" s="1297"/>
      <c r="AX19" s="1297"/>
      <c r="AY19" s="1297"/>
      <c r="AZ19" s="1297"/>
      <c r="BA19" s="1297"/>
      <c r="BB19" s="1297"/>
      <c r="BC19" s="1297"/>
      <c r="BD19" s="1297"/>
      <c r="BE19" s="1297"/>
      <c r="BF19" s="1297"/>
      <c r="BG19" s="1297"/>
      <c r="BH19" s="1297"/>
      <c r="BI19" s="1297"/>
      <c r="BJ19" s="1297"/>
      <c r="BK19" s="1297"/>
      <c r="BL19" s="1297"/>
      <c r="BM19" s="1297"/>
    </row>
    <row customHeight="1" ht="11.25" hidden="1">
      <c r="AJ20" s="1297"/>
      <c r="AK20" s="1297"/>
      <c r="AL20" s="1297"/>
      <c r="AM20" s="1297"/>
      <c r="AN20" s="1297"/>
      <c r="AO20" s="1297"/>
      <c r="AP20" s="1297"/>
      <c r="AQ20" s="1297"/>
      <c r="AR20" s="1297"/>
      <c r="AS20" s="1297"/>
      <c r="AT20" s="1297"/>
      <c r="AU20" s="1297"/>
      <c r="AV20" s="1297"/>
      <c r="AW20" s="1297"/>
      <c r="AX20" s="1297"/>
      <c r="AY20" s="1297"/>
      <c r="AZ20" s="1297"/>
      <c r="BA20" s="1297"/>
      <c r="BB20" s="1297"/>
      <c r="BC20" s="1297"/>
      <c r="BD20" s="1297"/>
      <c r="BE20" s="1297"/>
      <c r="BF20" s="1297"/>
      <c r="BG20" s="1297"/>
      <c r="BH20" s="1297"/>
      <c r="BI20" s="1297"/>
      <c r="BJ20" s="1297"/>
      <c r="BK20" s="1297"/>
      <c r="BL20" s="1297"/>
      <c r="BM20" s="1297"/>
    </row>
    <row customHeight="1" ht="14.625">
      <c r="E21" s="709">
        <v>15</v>
      </c>
      <c r="AA21" s="427"/>
      <c r="AB21" s="154"/>
      <c r="AC21" s="50" cm="1" t="str">
        <f t="array" ref="AC21:AC21">tpl_title</f>
        <v>Кемеровская область / 2026 / ОАО «СКЭК» (ИНН:4205153492, КПП:420501001) / ДПР: 2024-2028</v>
      </c>
      <c r="AD21" s="154"/>
      <c r="AJ21" s="1297"/>
      <c r="AK21" s="1297"/>
      <c r="AL21" s="1297"/>
      <c r="AM21" s="1297"/>
      <c r="AN21" s="1297"/>
      <c r="AO21" s="1297"/>
      <c r="AP21" s="1297"/>
      <c r="AQ21" s="1297"/>
      <c r="AR21" s="1297"/>
      <c r="AS21" s="1297"/>
      <c r="AT21" s="1297"/>
      <c r="AU21" s="1297"/>
      <c r="AV21" s="1297"/>
      <c r="AW21" s="1297"/>
      <c r="AX21" s="1297"/>
      <c r="AY21" s="1297"/>
      <c r="AZ21" s="1297"/>
      <c r="BA21" s="1297"/>
      <c r="BB21" s="1297"/>
      <c r="BC21" s="1297"/>
      <c r="BD21" s="1297"/>
      <c r="BE21" s="1297"/>
      <c r="BF21" s="1297"/>
      <c r="BG21" s="1297"/>
      <c r="BH21" s="1297"/>
      <c r="BI21" s="1297"/>
      <c r="BJ21" s="1297"/>
      <c r="BK21" s="1297"/>
      <c r="BL21" s="1297"/>
      <c r="BM21" s="1297"/>
    </row>
    <row s="1319" customFormat="1" customHeight="1" ht="19.5">
      <c r="B22" s="434"/>
      <c r="E22" s="626">
        <v>20</v>
      </c>
      <c r="AB22" s="315" t="s">
        <v>80</v>
      </c>
      <c r="AC22" s="247"/>
      <c r="AD22" s="247"/>
      <c r="AE22" s="247"/>
      <c r="AF22" s="247"/>
      <c r="AG22" s="247"/>
      <c r="AH22" s="247"/>
      <c r="AI22" s="247"/>
      <c r="AJ22" s="247"/>
      <c r="AK22" s="247"/>
      <c r="AL22" s="247"/>
      <c r="AM22" s="247"/>
      <c r="AN22" s="247"/>
      <c r="AO22" s="247"/>
      <c r="AP22" s="247"/>
      <c r="AQ22" s="247"/>
      <c r="AR22" s="247"/>
      <c r="AS22" s="247"/>
      <c r="AT22" s="247"/>
      <c r="AU22" s="247"/>
      <c r="AV22" s="247"/>
      <c r="AW22" s="247"/>
      <c r="AX22" s="247"/>
      <c r="AY22" s="247"/>
      <c r="AZ22" s="247"/>
      <c r="BA22" s="247"/>
      <c r="BB22" s="247"/>
      <c r="BC22" s="247"/>
      <c r="BD22" s="247"/>
      <c r="BE22" s="247"/>
      <c r="BF22" s="247"/>
      <c r="BG22" s="247"/>
      <c r="BH22" s="247"/>
      <c r="BI22" s="247"/>
      <c r="BJ22" s="247"/>
      <c r="BK22" s="247"/>
      <c r="BL22" s="247"/>
      <c r="BM22" s="247"/>
      <c r="BN22" s="247"/>
      <c r="BO22" s="247"/>
      <c r="BP22" s="247"/>
      <c r="BS22" s="1074"/>
      <c r="BT22" s="1074"/>
      <c r="BU22" s="1074"/>
      <c r="BV22" s="626"/>
      <c r="BW22" s="626"/>
    </row>
    <row s="1319" customFormat="1" customHeight="1" ht="10.2375">
      <c r="B23" s="434"/>
      <c r="E23" s="626">
        <v>10.5</v>
      </c>
      <c r="AB23" s="984"/>
      <c r="AC23" s="155"/>
      <c r="AD23" s="155"/>
      <c r="AE23" s="155"/>
      <c r="AF23" s="155"/>
      <c r="AG23" s="155"/>
      <c r="AH23" s="155"/>
      <c r="AI23" s="155"/>
      <c r="AJ23" s="155"/>
      <c r="AK23" s="155"/>
      <c r="AL23" s="155"/>
      <c r="AM23" s="155"/>
      <c r="AN23" s="155"/>
      <c r="AO23" s="155"/>
      <c r="AP23" s="155"/>
      <c r="AQ23" s="155"/>
      <c r="AR23" s="155"/>
      <c r="AS23" s="155"/>
      <c r="AT23" s="155"/>
      <c r="AU23" s="155"/>
      <c r="AV23" s="155"/>
      <c r="AW23" s="155"/>
      <c r="AX23" s="155"/>
      <c r="AY23" s="155"/>
      <c r="AZ23" s="155"/>
      <c r="BA23" s="155"/>
      <c r="BB23" s="155"/>
      <c r="BC23" s="155"/>
      <c r="BD23" s="155"/>
      <c r="BE23" s="155"/>
      <c r="BF23" s="155"/>
      <c r="BG23" s="155"/>
      <c r="BH23" s="155"/>
      <c r="BI23" s="155"/>
      <c r="BJ23" s="155"/>
      <c r="BK23" s="155"/>
      <c r="BL23" s="155"/>
      <c r="BM23" s="155"/>
      <c r="BN23" s="155"/>
      <c r="BO23" s="155"/>
      <c r="BP23" s="155"/>
      <c r="BS23" s="1074"/>
      <c r="BT23" s="1074"/>
      <c r="BU23" s="1074"/>
      <c r="BV23" s="626"/>
      <c r="BW23" s="626"/>
    </row>
    <row s="989" customFormat="1" customHeight="1" ht="24.131250000000005">
      <c r="B24" s="435"/>
      <c r="E24" s="710">
        <v>24.75</v>
      </c>
      <c r="AB24" s="1556" t="s">
        <v>22</v>
      </c>
      <c r="AC24" s="1556" t="s">
        <v>380</v>
      </c>
      <c r="AD24" s="1556" t="s">
        <v>381</v>
      </c>
      <c r="AE24" s="87" t="str">
        <f>god-2&amp;" год"</f>
        <v>2024 год</v>
      </c>
      <c r="AF24" s="1129" t="str">
        <f>god-2&amp;" год"</f>
        <v>2024 год</v>
      </c>
      <c r="AG24" s="87" t="str">
        <f>god-2&amp;" год"</f>
        <v>2024 год</v>
      </c>
      <c r="AH24" s="87" t="str">
        <f>god-2&amp;" год"</f>
        <v>2024 год</v>
      </c>
      <c r="AI24" s="87" t="str">
        <f>god-1&amp;" год"</f>
        <v>2025 год</v>
      </c>
      <c r="AJ24" s="1127" t="str">
        <f>god&amp;" год"</f>
        <v>2026 год</v>
      </c>
      <c r="AK24" s="1127" t="str">
        <f>god+1&amp;" год"</f>
        <v>2027 год</v>
      </c>
      <c r="AL24" s="1127" t="str">
        <f>god+2&amp;" год"</f>
        <v>2028 год</v>
      </c>
      <c r="AM24" s="1127" t="str">
        <f>god+3&amp;" год"</f>
        <v>2029 год</v>
      </c>
      <c r="AN24" s="1127" t="str">
        <f>god+4&amp;" год"</f>
        <v>2030 год</v>
      </c>
      <c r="AO24" s="1127" t="str">
        <f>god+5&amp;" год"</f>
        <v>2031 год</v>
      </c>
      <c r="AP24" s="1127" t="str">
        <f>god+6&amp;" год"</f>
        <v>2032 год</v>
      </c>
      <c r="AQ24" s="1127" t="str">
        <f>god+7&amp;" год"</f>
        <v>2033 год</v>
      </c>
      <c r="AR24" s="1127" t="str">
        <f>god+8&amp;" год"</f>
        <v>2034 год</v>
      </c>
      <c r="AS24" s="1127" t="str">
        <f>god+9&amp;" год"</f>
        <v>2035 год</v>
      </c>
      <c r="AT24" s="88" t="str">
        <f>god&amp;" год"</f>
        <v>2026 год</v>
      </c>
      <c r="AU24" s="88" t="str">
        <f>god+1&amp;" год"</f>
        <v>2027 год</v>
      </c>
      <c r="AV24" s="88" t="str">
        <f>god+2&amp;" год"</f>
        <v>2028 год</v>
      </c>
      <c r="AW24" s="88" t="str">
        <f>god+3&amp;" год"</f>
        <v>2029 год</v>
      </c>
      <c r="AX24" s="88" t="str">
        <f>god+4&amp;" год"</f>
        <v>2030 год</v>
      </c>
      <c r="AY24" s="88" t="str">
        <f>god+5&amp;" год"</f>
        <v>2031 год</v>
      </c>
      <c r="AZ24" s="88" t="str">
        <f>god+6&amp;" год"</f>
        <v>2032 год</v>
      </c>
      <c r="BA24" s="88" t="str">
        <f>god+7&amp;" год"</f>
        <v>2033 год</v>
      </c>
      <c r="BB24" s="88" t="str">
        <f>god+8&amp;" год"</f>
        <v>2034 год</v>
      </c>
      <c r="BC24" s="88" t="str">
        <f>god+9&amp;" год"</f>
        <v>2035 год</v>
      </c>
      <c r="BD24" s="88" t="str">
        <f>god&amp;" год"</f>
        <v>2026 год</v>
      </c>
      <c r="BE24" s="88" t="str">
        <f>god+1&amp;" год"</f>
        <v>2027 год</v>
      </c>
      <c r="BF24" s="88" t="str">
        <f>god+2&amp;" год"</f>
        <v>2028 год</v>
      </c>
      <c r="BG24" s="88" t="str">
        <f>god+3&amp;" год"</f>
        <v>2029 год</v>
      </c>
      <c r="BH24" s="88" t="str">
        <f>god+4&amp;" год"</f>
        <v>2030 год</v>
      </c>
      <c r="BI24" s="88" t="str">
        <f>god+5&amp;" год"</f>
        <v>2031 год</v>
      </c>
      <c r="BJ24" s="88" t="str">
        <f>god+6&amp;" год"</f>
        <v>2032 год</v>
      </c>
      <c r="BK24" s="88" t="str">
        <f>god+7&amp;" год"</f>
        <v>2033 год</v>
      </c>
      <c r="BL24" s="88" t="str">
        <f>god+8&amp;" год"</f>
        <v>2034 год</v>
      </c>
      <c r="BM24" s="88" t="str">
        <f>god+9&amp;" год"</f>
        <v>2035 год</v>
      </c>
      <c r="BN24" s="1564" t="s">
        <v>1969</v>
      </c>
      <c r="BO24" s="1564" t="s">
        <v>652</v>
      </c>
      <c r="BP24" s="1564" t="s">
        <v>1970</v>
      </c>
      <c r="BS24" s="1075"/>
      <c r="BT24" s="1075"/>
      <c r="BU24" s="1075"/>
      <c r="BV24" s="710"/>
      <c r="BW24" s="710"/>
    </row>
    <row s="989" customFormat="1" customHeight="1" ht="48.993750000000006">
      <c r="B25" s="435"/>
      <c r="E25" s="710">
        <v>50.25</v>
      </c>
      <c r="AB25" s="1556"/>
      <c r="AC25" s="1556"/>
      <c r="AD25" s="1556"/>
      <c r="AE25" s="87" t="s">
        <v>373</v>
      </c>
      <c r="AF25" s="1129" t="s">
        <v>555</v>
      </c>
      <c r="AG25" s="87" t="s">
        <v>556</v>
      </c>
      <c r="AH25" s="87" t="s">
        <v>1971</v>
      </c>
      <c r="AI25" s="87" t="s">
        <v>373</v>
      </c>
      <c r="AJ25" s="1131" t="s">
        <v>374</v>
      </c>
      <c r="AK25" s="1131" t="s">
        <v>374</v>
      </c>
      <c r="AL25" s="1131" t="s">
        <v>374</v>
      </c>
      <c r="AM25" s="1131" t="s">
        <v>374</v>
      </c>
      <c r="AN25" s="1131" t="s">
        <v>374</v>
      </c>
      <c r="AO25" s="1131" t="s">
        <v>374</v>
      </c>
      <c r="AP25" s="1131" t="s">
        <v>374</v>
      </c>
      <c r="AQ25" s="1131" t="s">
        <v>374</v>
      </c>
      <c r="AR25" s="1131" t="s">
        <v>374</v>
      </c>
      <c r="AS25" s="1131" t="s">
        <v>374</v>
      </c>
      <c r="AT25" s="356" t="s">
        <v>373</v>
      </c>
      <c r="AU25" s="356" t="s">
        <v>373</v>
      </c>
      <c r="AV25" s="356" t="s">
        <v>373</v>
      </c>
      <c r="AW25" s="356" t="s">
        <v>373</v>
      </c>
      <c r="AX25" s="356" t="s">
        <v>373</v>
      </c>
      <c r="AY25" s="356" t="s">
        <v>373</v>
      </c>
      <c r="AZ25" s="356" t="s">
        <v>373</v>
      </c>
      <c r="BA25" s="356" t="s">
        <v>373</v>
      </c>
      <c r="BB25" s="356" t="s">
        <v>373</v>
      </c>
      <c r="BC25" s="356" t="s">
        <v>373</v>
      </c>
      <c r="BD25" s="1564" t="s">
        <v>1968</v>
      </c>
      <c r="BE25" s="1564"/>
      <c r="BF25" s="1564"/>
      <c r="BG25" s="1564"/>
      <c r="BH25" s="1564"/>
      <c r="BI25" s="1564"/>
      <c r="BJ25" s="1564"/>
      <c r="BK25" s="1564"/>
      <c r="BL25" s="1564"/>
      <c r="BM25" s="1564"/>
      <c r="BN25" s="1564"/>
      <c r="BO25" s="1564"/>
      <c r="BP25" s="1564"/>
      <c r="BS25" s="1075"/>
      <c r="BT25" s="1075"/>
      <c r="BU25" s="1075"/>
      <c r="BV25" s="710"/>
      <c r="BW25" s="710"/>
    </row>
    <row s="1656" customFormat="1" customHeight="1" ht="11.25">
      <c r="B26" s="432"/>
      <c r="E26" s="677" t="s">
        <v>384</v>
      </c>
      <c r="F26" s="168" t="s">
        <v>2173</v>
      </c>
      <c r="T26" s="0"/>
      <c r="AB26" s="502"/>
      <c r="AC26" s="96"/>
      <c r="AD26" s="96"/>
      <c r="AE26" s="96"/>
      <c r="AF26" s="96"/>
      <c r="AJ26" s="1656"/>
      <c r="AK26" s="1656"/>
      <c r="AL26" s="1656"/>
      <c r="AM26" s="1656"/>
      <c r="AN26" s="1656"/>
      <c r="AO26" s="1656"/>
      <c r="AP26" s="1656"/>
      <c r="AQ26" s="97"/>
      <c r="AR26" s="1656"/>
      <c r="AS26" s="1656"/>
      <c r="AT26" s="1656"/>
      <c r="AU26" s="1656"/>
      <c r="AV26" s="1656"/>
      <c r="AW26" s="1656"/>
      <c r="AX26" s="1656"/>
      <c r="AY26" s="1656"/>
      <c r="AZ26" s="1656"/>
      <c r="BA26" s="1656"/>
      <c r="BB26" s="1656"/>
      <c r="BC26" s="1656"/>
      <c r="BD26" s="1656"/>
      <c r="BE26" s="1656"/>
      <c r="BF26" s="1656"/>
      <c r="BG26" s="1656"/>
      <c r="BH26" s="1656"/>
      <c r="BI26" s="1656"/>
      <c r="BJ26" s="1656"/>
      <c r="BK26" s="1656"/>
      <c r="BL26" s="1656"/>
      <c r="BM26" s="1656"/>
      <c r="BS26" s="1012"/>
      <c r="BT26" s="1012"/>
      <c r="BU26" s="1012"/>
      <c r="BV26" s="629"/>
      <c r="BW26" s="629"/>
    </row>
    <row s="1331" customFormat="1" customHeight="1" ht="14.625" hidden="1">
      <c r="A27" s="1331"/>
      <c r="B27" s="430"/>
      <c r="C27" s="428"/>
      <c r="D27" s="428"/>
      <c r="E27" s="624">
        <v>15</v>
      </c>
      <c r="F27" s="496" cm="1" t="str">
        <f t="array" ref="F27:F27">X27</f>
        <v>0</v>
      </c>
      <c r="G27" s="496" cm="1" t="str">
        <f t="array" ref="G27:G27">INDEX('Общие сведения'!$AK$197:$AK$254,MATCH($X27,'Общие сведения'!$Z$197:$Z$254,0))</f>
        <v>0</v>
      </c>
      <c r="H27" s="428"/>
      <c r="I27" s="496"/>
      <c r="J27" s="428"/>
      <c r="K27" s="428"/>
      <c r="L27" s="990"/>
      <c r="M27" s="428"/>
      <c r="N27" s="428"/>
      <c r="O27" s="428"/>
      <c r="P27" s="428"/>
      <c r="Q27" s="428"/>
      <c r="R27" s="428"/>
      <c r="S27" s="428" cm="1" t="str">
        <f t="array" ref="S27:S27">INDEX('Общие сведения'!$AE$197:$AE$254,MATCH($X27,'Общие сведения'!$Z$197:$Z$254,0))</f>
        <v>0</v>
      </c>
      <c r="T27" s="468">
        <f>X27&gt;0</f>
        <v>0</v>
      </c>
      <c r="U27" s="428"/>
      <c r="V27" s="428" t="s">
        <v>279</v>
      </c>
      <c r="W27" s="428"/>
      <c r="X27" s="1559">
        <v>0</v>
      </c>
      <c r="Y27" s="1331"/>
      <c r="Z27" s="1529"/>
      <c r="AA27" s="1331"/>
      <c r="AB27" s="377" cm="1" t="str">
        <f t="array" ref="AB27:AB27">INDEX('Общие сведения'!$AG$197:$AG$254,MATCH($X27,'Общие сведения'!$Z$197:$Z$254,0))</f>
        <v>Тариф 0 () - </v>
      </c>
      <c r="AC27" s="248"/>
      <c r="AD27" s="248"/>
      <c r="AE27" s="248"/>
      <c r="AF27" s="248"/>
      <c r="AG27" s="248"/>
      <c r="AH27" s="248"/>
      <c r="AI27" s="248"/>
      <c r="AJ27" s="248"/>
      <c r="AK27" s="248"/>
      <c r="AL27" s="248"/>
      <c r="AM27" s="248"/>
      <c r="AN27" s="248"/>
      <c r="AO27" s="248"/>
      <c r="AP27" s="248"/>
      <c r="AQ27" s="248"/>
      <c r="AR27" s="248"/>
      <c r="AS27" s="248"/>
      <c r="AT27" s="248"/>
      <c r="AU27" s="248"/>
      <c r="AV27" s="248"/>
      <c r="AW27" s="248"/>
      <c r="AX27" s="248"/>
      <c r="AY27" s="248"/>
      <c r="AZ27" s="248"/>
      <c r="BA27" s="248"/>
      <c r="BB27" s="248"/>
      <c r="BC27" s="248"/>
      <c r="BD27" s="248"/>
      <c r="BE27" s="248"/>
      <c r="BF27" s="248"/>
      <c r="BG27" s="248"/>
      <c r="BH27" s="248"/>
      <c r="BI27" s="248"/>
      <c r="BJ27" s="248"/>
      <c r="BK27" s="248"/>
      <c r="BL27" s="248"/>
      <c r="BM27" s="248"/>
      <c r="BN27" s="248"/>
      <c r="BO27" s="248"/>
      <c r="BP27" s="248"/>
      <c r="BQ27" s="1331"/>
      <c r="BR27" s="1331"/>
      <c r="BS27" s="1005"/>
      <c r="BT27" s="1005"/>
      <c r="BU27" s="1005"/>
      <c r="BV27" s="623"/>
      <c r="BW27" s="623"/>
    </row>
    <row s="157" customFormat="1" customHeight="1" ht="20.475" hidden="1">
      <c r="A28" s="157"/>
      <c r="B28" s="436"/>
      <c r="C28" s="862"/>
      <c r="D28" s="862"/>
      <c r="E28" s="863">
        <v>21</v>
      </c>
      <c r="F28" s="50" cm="1" t="str">
        <f t="array" ref="F28:F28">OFFSET(E28,-1,1)</f>
        <v>0</v>
      </c>
      <c r="G28" s="862"/>
      <c r="H28" s="108"/>
      <c r="I28" s="108" t="s">
        <v>344</v>
      </c>
      <c r="J28" s="862"/>
      <c r="K28" s="373" t="s">
        <v>344</v>
      </c>
      <c r="L28" s="991"/>
      <c r="M28" s="862"/>
      <c r="N28" s="862"/>
      <c r="O28" s="862"/>
      <c r="P28" s="862"/>
      <c r="Q28" s="862"/>
      <c r="R28" s="862"/>
      <c r="S28" s="862"/>
      <c r="T28" s="468" cm="1" t="str">
        <f t="array" ref="T28:T28">T27</f>
        <v>false</v>
      </c>
      <c r="U28" s="862"/>
      <c r="V28" s="862"/>
      <c r="W28" s="862"/>
      <c r="X28" s="1559"/>
      <c r="Y28" s="157"/>
      <c r="Z28" s="1529"/>
      <c r="AA28" s="157"/>
      <c r="AB28" s="230" t="s">
        <v>290</v>
      </c>
      <c r="AC28" s="208" t="s">
        <v>2174</v>
      </c>
      <c r="AD28" s="230" t="s">
        <v>936</v>
      </c>
      <c r="AE28" s="785">
        <f>SUM(AE30,AE47,AE53,AE73,AE74,AE75)</f>
        <v>0</v>
      </c>
      <c r="AF28" s="785">
        <f>SUM(AF30,AF47,AF53,AF73,AF74,AF75)</f>
        <v>0</v>
      </c>
      <c r="AG28" s="785">
        <f>SUM(AG30,AG47,AG53,AG73,AG74,AG75)</f>
        <v>0</v>
      </c>
      <c r="AH28" s="785">
        <f>AG28-AF28</f>
        <v>0</v>
      </c>
      <c r="AI28" s="785">
        <f>SUM(AI30,AI47,AI53,AI73,AI74,AI75)</f>
        <v>0</v>
      </c>
      <c r="AJ28" s="785">
        <f>SUM(AJ30,AJ47,AJ53,AJ73,AJ74,AJ75)</f>
        <v>0</v>
      </c>
      <c r="AK28" s="1256">
        <f>AJ28*AK29</f>
        <v>0</v>
      </c>
      <c r="AL28" s="1256">
        <f>AK28*AL29</f>
        <v>0</v>
      </c>
      <c r="AM28" s="1256">
        <f>AL28*AM29</f>
        <v>0</v>
      </c>
      <c r="AN28" s="1256">
        <f>AM28*AN29</f>
        <v>0</v>
      </c>
      <c r="AO28" s="1256">
        <f>AN28*AO29</f>
        <v>0</v>
      </c>
      <c r="AP28" s="1256">
        <f>AO28*AP29</f>
        <v>0</v>
      </c>
      <c r="AQ28" s="1256">
        <f>AP28*AQ29</f>
        <v>0</v>
      </c>
      <c r="AR28" s="1256">
        <f>AQ28*AR29</f>
        <v>0</v>
      </c>
      <c r="AS28" s="1256">
        <f>AR28*AS29</f>
        <v>0</v>
      </c>
      <c r="AT28" s="785">
        <f>SUM(AT30,AT47,AT53,AT73,AT74,AT75)</f>
        <v>0</v>
      </c>
      <c r="AU28" s="1256">
        <f>AT28*AU29</f>
        <v>0</v>
      </c>
      <c r="AV28" s="1256">
        <f>AU28*AV29</f>
        <v>0</v>
      </c>
      <c r="AW28" s="1256">
        <f>AV28*AW29</f>
        <v>0</v>
      </c>
      <c r="AX28" s="1256">
        <f>AW28*AX29</f>
        <v>0</v>
      </c>
      <c r="AY28" s="1256">
        <f>AX28*AY29</f>
        <v>0</v>
      </c>
      <c r="AZ28" s="1256">
        <f>AY28*AZ29</f>
        <v>0</v>
      </c>
      <c r="BA28" s="1256">
        <f>AZ28*BA29</f>
        <v>0</v>
      </c>
      <c r="BB28" s="1256">
        <f>BA28*BB29</f>
        <v>0</v>
      </c>
      <c r="BC28" s="1256">
        <f>BB28*BC29</f>
        <v>0</v>
      </c>
      <c r="BD28" s="785">
        <f>IF(AI28=0,0,(AT28-AI28)/AI28*100)</f>
        <v>0</v>
      </c>
      <c r="BE28" s="785">
        <f>IF(AT28=0,0,(AU28-AT28)/AT28*100)</f>
        <v>0</v>
      </c>
      <c r="BF28" s="785">
        <f>IF(AU28=0,0,(AV28-AU28)/AU28*100)</f>
        <v>0</v>
      </c>
      <c r="BG28" s="785">
        <f>IF(AV28=0,0,(AW28-AV28)/AV28*100)</f>
        <v>0</v>
      </c>
      <c r="BH28" s="785">
        <f>IF(AW28=0,0,(AX28-AW28)/AW28*100)</f>
        <v>0</v>
      </c>
      <c r="BI28" s="785">
        <f>IF(AX28=0,0,(AY28-AX28)/AX28*100)</f>
        <v>0</v>
      </c>
      <c r="BJ28" s="785">
        <f>IF(AY28=0,0,(AZ28-AY28)/AY28*100)</f>
        <v>0</v>
      </c>
      <c r="BK28" s="785">
        <f>IF(AZ28=0,0,(BA28-AZ28)/AZ28*100)</f>
        <v>0</v>
      </c>
      <c r="BL28" s="785">
        <f>IF(BA28=0,0,(BB28-BA28)/BA28*100)</f>
        <v>0</v>
      </c>
      <c r="BM28" s="785">
        <f>IF(BB28=0,0,(BC28-BB28)/BB28*100)</f>
        <v>0</v>
      </c>
      <c r="BN28" s="1257"/>
      <c r="BO28" s="1257"/>
      <c r="BP28" s="1257"/>
      <c r="BQ28" s="156"/>
      <c r="BR28" s="157"/>
      <c r="BS28" s="1076" t="s">
        <v>649</v>
      </c>
      <c r="BT28" s="1076"/>
      <c r="BU28" s="1076"/>
      <c r="BV28" s="711"/>
      <c r="BW28" s="711"/>
    </row>
    <row customHeight="1" ht="14.625" hidden="1">
      <c r="A29" s="1297"/>
      <c r="B29" s="986"/>
      <c r="C29" s="103"/>
      <c r="D29" s="103"/>
      <c r="E29" s="626">
        <v>15</v>
      </c>
      <c r="F29" s="50" cm="1" t="str">
        <f t="array" ref="F29:F29">OFFSET(E29,-1,1)</f>
        <v>0</v>
      </c>
      <c r="G29" s="103"/>
      <c r="H29" s="864"/>
      <c r="I29" s="864" t="s">
        <v>566</v>
      </c>
      <c r="J29" s="103"/>
      <c r="K29" s="374" t="s">
        <v>566</v>
      </c>
      <c r="L29" s="988"/>
      <c r="M29" s="103"/>
      <c r="N29" s="103"/>
      <c r="O29" s="103"/>
      <c r="P29" s="103"/>
      <c r="Q29" s="103"/>
      <c r="R29" s="103"/>
      <c r="S29" s="103"/>
      <c r="T29" s="468" cm="1" t="str">
        <f t="array" ref="T29:T29">T28</f>
        <v>false</v>
      </c>
      <c r="U29" s="103"/>
      <c r="V29" s="103"/>
      <c r="W29" s="103"/>
      <c r="X29" s="1559"/>
      <c r="Y29" s="1297"/>
      <c r="Z29" s="1529"/>
      <c r="AA29" s="1297"/>
      <c r="AB29" s="296" t="s">
        <v>1067</v>
      </c>
      <c r="AC29" s="769" t="s">
        <v>2175</v>
      </c>
      <c r="AD29" s="296"/>
      <c r="AE29" s="1258"/>
      <c r="AF29" s="1258"/>
      <c r="AG29" s="1258"/>
      <c r="AH29" s="1122">
        <f>AG29-AF29</f>
        <v>0</v>
      </c>
      <c r="AI29" s="1258"/>
      <c r="AJ29" s="1258"/>
      <c r="AK29" s="1258">
        <f>_xlfn.SUMIFS(INDEX(Сценарии!$AE$25:$BF$136,,MATCH(AK$8,Сценарии!$AE$8:$BF$8,0)),Сценарии!$F$25:$F$136,$F29,Сценарии!$G$25:$G$136,"ИОР")</f>
        <v>1</v>
      </c>
      <c r="AL29" s="1258">
        <f>_xlfn.SUMIFS(INDEX(Сценарии!$AE$25:$BF$136,,MATCH(AL$8,Сценарии!$AE$8:$BF$8,0)),Сценарии!$F$25:$F$136,$F29,Сценарии!$G$25:$G$136,"ИОР")</f>
        <v>1</v>
      </c>
      <c r="AM29" s="1258">
        <f>_xlfn.SUMIFS(INDEX(Сценарии!$AE$25:$BF$136,,MATCH(AM$8,Сценарии!$AE$8:$BF$8,0)),Сценарии!$F$25:$F$136,$F29,Сценарии!$G$25:$G$136,"ИОР")</f>
        <v>1</v>
      </c>
      <c r="AN29" s="1258">
        <f>_xlfn.SUMIFS(INDEX(Сценарии!$AE$25:$BF$136,,MATCH(AN$8,Сценарии!$AE$8:$BF$8,0)),Сценарии!$F$25:$F$136,$F29,Сценарии!$G$25:$G$136,"ИОР")</f>
        <v>1</v>
      </c>
      <c r="AO29" s="1258">
        <f>_xlfn.SUMIFS(INDEX(Сценарии!$AE$25:$BF$136,,MATCH(AO$8,Сценарии!$AE$8:$BF$8,0)),Сценарии!$F$25:$F$136,$F29,Сценарии!$G$25:$G$136,"ИОР")</f>
        <v>1</v>
      </c>
      <c r="AP29" s="1258">
        <f>_xlfn.SUMIFS(INDEX(Сценарии!$AE$25:$BF$136,,MATCH(AP$8,Сценарии!$AE$8:$BF$8,0)),Сценарии!$F$25:$F$136,$F29,Сценарии!$G$25:$G$136,"ИОР")</f>
        <v>1</v>
      </c>
      <c r="AQ29" s="1258">
        <f>_xlfn.SUMIFS(INDEX(Сценарии!$AE$25:$BF$136,,MATCH(AQ$8,Сценарии!$AE$8:$BF$8,0)),Сценарии!$F$25:$F$136,$F29,Сценарии!$G$25:$G$136,"ИОР")</f>
        <v>1</v>
      </c>
      <c r="AR29" s="1258">
        <f>_xlfn.SUMIFS(INDEX(Сценарии!$AE$25:$BF$136,,MATCH(AR$8,Сценарии!$AE$8:$BF$8,0)),Сценарии!$F$25:$F$136,$F29,Сценарии!$G$25:$G$136,"ИОР")</f>
        <v>1</v>
      </c>
      <c r="AS29" s="1258">
        <f>_xlfn.SUMIFS(INDEX(Сценарии!$AE$25:$BF$136,,MATCH(AS$8,Сценарии!$AE$8:$BF$8,0)),Сценарии!$F$25:$F$136,$F29,Сценарии!$G$25:$G$136,"ИОР")</f>
        <v>1</v>
      </c>
      <c r="AT29" s="1258"/>
      <c r="AU29" s="1258">
        <f>_xlfn.SUMIFS(INDEX(Сценарии!$AE$25:$BF$136,,MATCH(AU$8,Сценарии!$AE$8:$BF$8,0)),Сценарии!$F$25:$F$136,$F29,Сценарии!$G$25:$G$136,"ИОР")</f>
        <v>1</v>
      </c>
      <c r="AV29" s="1258">
        <f>_xlfn.SUMIFS(INDEX(Сценарии!$AE$25:$BF$136,,MATCH(AV$8,Сценарии!$AE$8:$BF$8,0)),Сценарии!$F$25:$F$136,$F29,Сценарии!$G$25:$G$136,"ИОР")</f>
        <v>1</v>
      </c>
      <c r="AW29" s="1258">
        <f>_xlfn.SUMIFS(INDEX(Сценарии!$AE$25:$BF$136,,MATCH(AW$8,Сценарии!$AE$8:$BF$8,0)),Сценарии!$F$25:$F$136,$F29,Сценарии!$G$25:$G$136,"ИОР")</f>
        <v>1</v>
      </c>
      <c r="AX29" s="1258">
        <f>_xlfn.SUMIFS(INDEX(Сценарии!$AE$25:$BF$136,,MATCH(AX$8,Сценарии!$AE$8:$BF$8,0)),Сценарии!$F$25:$F$136,$F29,Сценарии!$G$25:$G$136,"ИОР")</f>
        <v>1</v>
      </c>
      <c r="AY29" s="1258">
        <f>_xlfn.SUMIFS(INDEX(Сценарии!$AE$25:$BF$136,,MATCH(AY$8,Сценарии!$AE$8:$BF$8,0)),Сценарии!$F$25:$F$136,$F29,Сценарии!$G$25:$G$136,"ИОР")</f>
        <v>1</v>
      </c>
      <c r="AZ29" s="1258">
        <f>_xlfn.SUMIFS(INDEX(Сценарии!$AE$25:$BF$136,,MATCH(AZ$8,Сценарии!$AE$8:$BF$8,0)),Сценарии!$F$25:$F$136,$F29,Сценарии!$G$25:$G$136,"ИОР")</f>
        <v>1</v>
      </c>
      <c r="BA29" s="1258">
        <f>_xlfn.SUMIFS(INDEX(Сценарии!$AE$25:$BF$136,,MATCH(BA$8,Сценарии!$AE$8:$BF$8,0)),Сценарии!$F$25:$F$136,$F29,Сценарии!$G$25:$G$136,"ИОР")</f>
        <v>1</v>
      </c>
      <c r="BB29" s="1258">
        <f>_xlfn.SUMIFS(INDEX(Сценарии!$AE$25:$BF$136,,MATCH(BB$8,Сценарии!$AE$8:$BF$8,0)),Сценарии!$F$25:$F$136,$F29,Сценарии!$G$25:$G$136,"ИОР")</f>
        <v>1</v>
      </c>
      <c r="BC29" s="1258">
        <f>_xlfn.SUMIFS(INDEX(Сценарии!$AE$25:$BF$136,,MATCH(BC$8,Сценарии!$AE$8:$BF$8,0)),Сценарии!$F$25:$F$136,$F29,Сценарии!$G$25:$G$136,"ИОР")</f>
        <v>1</v>
      </c>
      <c r="BD29" s="1123">
        <f>IF(AI29=0,0,(AT29-AI29)/AI29*100)</f>
        <v>0</v>
      </c>
      <c r="BE29" s="1124"/>
      <c r="BF29" s="1124"/>
      <c r="BG29" s="1124"/>
      <c r="BH29" s="1124"/>
      <c r="BI29" s="1124"/>
      <c r="BJ29" s="1124"/>
      <c r="BK29" s="1124"/>
      <c r="BL29" s="1124"/>
      <c r="BM29" s="1124"/>
      <c r="BN29" s="1257"/>
      <c r="BO29" s="1257"/>
      <c r="BP29" s="1257"/>
      <c r="BQ29" s="1297"/>
      <c r="BR29" s="1297"/>
      <c r="BS29" s="1072" t="s">
        <v>2176</v>
      </c>
      <c r="BT29" s="1072"/>
      <c r="BU29" s="1072"/>
      <c r="BV29" s="987"/>
      <c r="BW29" s="987"/>
    </row>
    <row s="156" customFormat="1" customHeight="1" ht="20.475" hidden="1">
      <c r="A30" s="156"/>
      <c r="B30" s="436"/>
      <c r="C30" s="865"/>
      <c r="D30" s="865"/>
      <c r="E30" s="866">
        <v>21</v>
      </c>
      <c r="F30" s="50" cm="1" t="str">
        <f t="array" ref="F30:F30">OFFSET(E30,-1,1)</f>
        <v>0</v>
      </c>
      <c r="G30" s="865"/>
      <c r="H30" s="108"/>
      <c r="I30" s="108" t="s">
        <v>570</v>
      </c>
      <c r="J30" s="865"/>
      <c r="K30" s="373" t="s">
        <v>570</v>
      </c>
      <c r="L30" s="992" t="s">
        <v>344</v>
      </c>
      <c r="M30" s="865"/>
      <c r="N30" s="865"/>
      <c r="O30" s="865"/>
      <c r="P30" s="865"/>
      <c r="Q30" s="865"/>
      <c r="R30" s="865"/>
      <c r="S30" s="865"/>
      <c r="T30" s="468" cm="1" t="str">
        <f t="array" ref="T30:T30">T29</f>
        <v>false</v>
      </c>
      <c r="U30" s="865"/>
      <c r="V30" s="865"/>
      <c r="W30" s="865"/>
      <c r="X30" s="1559"/>
      <c r="Y30" s="156"/>
      <c r="Z30" s="1529"/>
      <c r="AA30" s="156"/>
      <c r="AB30" s="230" t="s">
        <v>1070</v>
      </c>
      <c r="AC30" s="357" t="s">
        <v>1972</v>
      </c>
      <c r="AD30" s="230" t="s">
        <v>936</v>
      </c>
      <c r="AE30" s="785">
        <f>SUM(AE31,AE34,AE35,AE38,AE39)</f>
        <v>0</v>
      </c>
      <c r="AF30" s="785">
        <f>SUM(AF31,AF34,AF35,AF38,AF39)</f>
        <v>0</v>
      </c>
      <c r="AG30" s="785">
        <f>SUM(AG31,AG34,AG35,AG38,AG39)</f>
        <v>0</v>
      </c>
      <c r="AH30" s="785">
        <f>AG30-AF30</f>
        <v>0</v>
      </c>
      <c r="AI30" s="785">
        <f>SUM(AI31,AI34,AI35,AI38,AI39)</f>
        <v>0</v>
      </c>
      <c r="AJ30" s="785">
        <f>SUM(AJ31,AJ34,AJ35,AJ38,AJ39)</f>
        <v>0</v>
      </c>
      <c r="AK30" s="212"/>
      <c r="AL30" s="212"/>
      <c r="AM30" s="212"/>
      <c r="AN30" s="212"/>
      <c r="AO30" s="212"/>
      <c r="AP30" s="212"/>
      <c r="AQ30" s="212"/>
      <c r="AR30" s="212"/>
      <c r="AS30" s="212"/>
      <c r="AT30" s="785">
        <f>SUM(AT31,AT34,AT35,AT38,AT39)</f>
        <v>0</v>
      </c>
      <c r="AU30" s="212"/>
      <c r="AV30" s="212"/>
      <c r="AW30" s="212"/>
      <c r="AX30" s="212"/>
      <c r="AY30" s="212"/>
      <c r="AZ30" s="212"/>
      <c r="BA30" s="212"/>
      <c r="BB30" s="212"/>
      <c r="BC30" s="212"/>
      <c r="BD30" s="785">
        <f>IF(AI30=0,0,(AT30-AI30)/AI30*100)</f>
        <v>0</v>
      </c>
      <c r="BE30" s="212"/>
      <c r="BF30" s="212"/>
      <c r="BG30" s="212"/>
      <c r="BH30" s="212"/>
      <c r="BI30" s="212"/>
      <c r="BJ30" s="212"/>
      <c r="BK30" s="212"/>
      <c r="BL30" s="212"/>
      <c r="BM30" s="212"/>
      <c r="BN30" s="1259"/>
      <c r="BO30" s="1259"/>
      <c r="BP30" s="1259"/>
      <c r="BQ30" s="156"/>
      <c r="BR30" s="156"/>
      <c r="BS30" s="1070" t="s">
        <v>621</v>
      </c>
      <c r="BT30" s="1077"/>
      <c r="BU30" s="1077"/>
      <c r="BV30" s="712"/>
      <c r="BW30" s="712"/>
    </row>
    <row customHeight="1" ht="14.625" hidden="1">
      <c r="A31" s="1297"/>
      <c r="B31" s="986"/>
      <c r="C31" s="103"/>
      <c r="D31" s="103"/>
      <c r="E31" s="626">
        <v>15</v>
      </c>
      <c r="F31" s="50" cm="1" t="str">
        <f t="array" ref="F31:F31">OFFSET(E31,-1,1)</f>
        <v>0</v>
      </c>
      <c r="G31" s="103"/>
      <c r="H31" s="864"/>
      <c r="I31" s="864" t="s">
        <v>1550</v>
      </c>
      <c r="J31" s="103"/>
      <c r="K31" s="374" t="s">
        <v>1550</v>
      </c>
      <c r="L31" s="988" t="s">
        <v>566</v>
      </c>
      <c r="M31" s="103"/>
      <c r="N31" s="103"/>
      <c r="O31" s="103"/>
      <c r="P31" s="103"/>
      <c r="Q31" s="103"/>
      <c r="R31" s="103"/>
      <c r="S31" s="103"/>
      <c r="T31" s="468" cm="1" t="str">
        <f t="array" ref="T31:T31">T30</f>
        <v>false</v>
      </c>
      <c r="U31" s="103"/>
      <c r="V31" s="103"/>
      <c r="W31" s="103"/>
      <c r="X31" s="1559"/>
      <c r="Y31" s="1297"/>
      <c r="Z31" s="1529"/>
      <c r="AA31" s="1297"/>
      <c r="AB31" s="296" t="s">
        <v>1551</v>
      </c>
      <c r="AC31" s="772" t="s">
        <v>2177</v>
      </c>
      <c r="AD31" s="773" t="s">
        <v>936</v>
      </c>
      <c r="AE31" s="1123">
        <f>SUM(AE32,AE33)</f>
        <v>0</v>
      </c>
      <c r="AF31" s="1123">
        <f>SUM(AF32,AF33)</f>
        <v>0</v>
      </c>
      <c r="AG31" s="1123">
        <f>SUM(AG32,AG33)</f>
        <v>0</v>
      </c>
      <c r="AH31" s="1123">
        <f>AG31-AF31</f>
        <v>0</v>
      </c>
      <c r="AI31" s="1123">
        <f>SUM(AI32,AI33)</f>
        <v>0</v>
      </c>
      <c r="AJ31" s="1123">
        <f>SUM(AJ32,AJ33)</f>
        <v>0</v>
      </c>
      <c r="AK31" s="1124"/>
      <c r="AL31" s="1124"/>
      <c r="AM31" s="1124"/>
      <c r="AN31" s="1124"/>
      <c r="AO31" s="1124"/>
      <c r="AP31" s="1124"/>
      <c r="AQ31" s="1124"/>
      <c r="AR31" s="1124"/>
      <c r="AS31" s="1124"/>
      <c r="AT31" s="1123">
        <f>SUM(AT32,AT33)</f>
        <v>0</v>
      </c>
      <c r="AU31" s="1124"/>
      <c r="AV31" s="1124"/>
      <c r="AW31" s="1124"/>
      <c r="AX31" s="1124"/>
      <c r="AY31" s="1124"/>
      <c r="AZ31" s="1124"/>
      <c r="BA31" s="1124"/>
      <c r="BB31" s="1124"/>
      <c r="BC31" s="1124"/>
      <c r="BD31" s="1123">
        <f>IF(AI31=0,0,(AT31-AI31)/AI31*100)</f>
        <v>0</v>
      </c>
      <c r="BE31" s="1124"/>
      <c r="BF31" s="1124"/>
      <c r="BG31" s="1124"/>
      <c r="BH31" s="1124"/>
      <c r="BI31" s="1124"/>
      <c r="BJ31" s="1124"/>
      <c r="BK31" s="1124"/>
      <c r="BL31" s="1124"/>
      <c r="BM31" s="1124"/>
      <c r="BN31" s="1257"/>
      <c r="BO31" s="1257"/>
      <c r="BP31" s="1257"/>
      <c r="BQ31" s="106"/>
      <c r="BR31" s="1297"/>
      <c r="BS31" s="1071" t="s">
        <v>1974</v>
      </c>
      <c r="BT31" s="1072"/>
      <c r="BU31" s="1072"/>
      <c r="BV31" s="987"/>
      <c r="BW31" s="987"/>
    </row>
    <row customHeight="1" ht="14.625" hidden="1">
      <c r="A32" s="1297"/>
      <c r="B32" s="986"/>
      <c r="C32" s="103"/>
      <c r="D32" s="103"/>
      <c r="E32" s="626">
        <v>15</v>
      </c>
      <c r="F32" s="50" cm="1" t="str">
        <f t="array" ref="F32:F32">OFFSET(E32,-1,1)</f>
        <v>0</v>
      </c>
      <c r="G32" s="103"/>
      <c r="H32" s="864"/>
      <c r="I32" s="864" t="s">
        <v>2178</v>
      </c>
      <c r="J32" s="103"/>
      <c r="K32" s="374" t="s">
        <v>2178</v>
      </c>
      <c r="L32" s="988" t="s">
        <v>1201</v>
      </c>
      <c r="M32" s="103"/>
      <c r="N32" s="103"/>
      <c r="O32" s="103"/>
      <c r="P32" s="103"/>
      <c r="Q32" s="103"/>
      <c r="R32" s="103"/>
      <c r="S32" s="103"/>
      <c r="T32" s="468" cm="1" t="str">
        <f t="array" ref="T32:T32">T31</f>
        <v>false</v>
      </c>
      <c r="U32" s="103"/>
      <c r="V32" s="103"/>
      <c r="W32" s="103"/>
      <c r="X32" s="1559"/>
      <c r="Y32" s="1297"/>
      <c r="Z32" s="1529"/>
      <c r="AA32" s="1297"/>
      <c r="AB32" s="296" t="s">
        <v>2179</v>
      </c>
      <c r="AC32" s="775" t="s">
        <v>1977</v>
      </c>
      <c r="AD32" s="773" t="s">
        <v>936</v>
      </c>
      <c r="AE32" s="6241">
        <f>_xlfn.SUMIFS('Сырье и материалы'!AE$25:AE$111,'Сырье и материалы'!$F$25:$F$111,$F32,'Сырье и материалы'!$I$25:$I$111,"Горюче-смазочные материалы")</f>
        <v>0</v>
      </c>
      <c r="AF32" s="6241">
        <f>_xlfn.SUMIFS('Сырье и материалы'!AF$25:AF$111,'Сырье и материалы'!$F$25:$F$111,$F32,'Сырье и материалы'!$I$25:$I$111,"Горюче-смазочные материалы")</f>
        <v>0</v>
      </c>
      <c r="AG32" s="6241">
        <f>_xlfn.SUMIFS('Сырье и материалы'!AG$25:AG$111,'Сырье и материалы'!$F$25:$F$111,$F32,'Сырье и материалы'!$I$25:$I$111,"Горюче-смазочные материалы")</f>
        <v>0</v>
      </c>
      <c r="AH32" s="1123">
        <f>AG32-AF32</f>
        <v>0</v>
      </c>
      <c r="AI32" s="6241">
        <f>_xlfn.SUMIFS('Сырье и материалы'!AH$25:AH$111,'Сырье и материалы'!$F$25:$F$111,$F32,'Сырье и материалы'!$I$25:$I$111,"Горюче-смазочные материалы")</f>
        <v>0</v>
      </c>
      <c r="AJ32" s="6241">
        <f>_xlfn.SUMIFS('Сырье и материалы'!AI$25:AI$111,'Сырье и материалы'!$F$25:$F$111,$F32,'Сырье и материалы'!$I$25:$I$111,"Горюче-смазочные материалы")</f>
        <v>0</v>
      </c>
      <c r="AK32" s="1124"/>
      <c r="AL32" s="1124"/>
      <c r="AM32" s="1124"/>
      <c r="AN32" s="1124"/>
      <c r="AO32" s="1124"/>
      <c r="AP32" s="1124"/>
      <c r="AQ32" s="1124"/>
      <c r="AR32" s="1124"/>
      <c r="AS32" s="1124"/>
      <c r="AT32" s="6241">
        <f>_xlfn.SUMIFS('Сырье и материалы'!AS$25:AS$111,'Сырье и материалы'!$F$25:$F$111,$F32,'Сырье и материалы'!$I$25:$I$111,"Горюче-смазочные материалы")</f>
        <v>0</v>
      </c>
      <c r="AU32" s="1124"/>
      <c r="AV32" s="1124"/>
      <c r="AW32" s="1124"/>
      <c r="AX32" s="1124"/>
      <c r="AY32" s="1124"/>
      <c r="AZ32" s="1124"/>
      <c r="BA32" s="1124"/>
      <c r="BB32" s="1124"/>
      <c r="BC32" s="1124"/>
      <c r="BD32" s="1123">
        <f>IF(AI32=0,0,(AT32-AI32)/AI32*100)</f>
        <v>0</v>
      </c>
      <c r="BE32" s="1124"/>
      <c r="BF32" s="1124"/>
      <c r="BG32" s="1124"/>
      <c r="BH32" s="1124"/>
      <c r="BI32" s="1124"/>
      <c r="BJ32" s="1124"/>
      <c r="BK32" s="1124"/>
      <c r="BL32" s="1124"/>
      <c r="BM32" s="1124"/>
      <c r="BN32" s="1257"/>
      <c r="BO32" s="1257"/>
      <c r="BP32" s="1257"/>
      <c r="BQ32" s="1297"/>
      <c r="BR32" s="1297"/>
      <c r="BS32" s="1070" t="s">
        <v>1978</v>
      </c>
      <c r="BT32" s="1072"/>
      <c r="BU32" s="1072"/>
      <c r="BV32" s="987"/>
      <c r="BW32" s="987"/>
    </row>
    <row customHeight="1" ht="14.625" hidden="1">
      <c r="A33" s="1297"/>
      <c r="B33" s="986"/>
      <c r="C33" s="103"/>
      <c r="D33" s="103"/>
      <c r="E33" s="626">
        <v>15</v>
      </c>
      <c r="F33" s="50" cm="1" t="str">
        <f t="array" ref="F33:F33">OFFSET(E33,-1,1)</f>
        <v>0</v>
      </c>
      <c r="G33" s="103"/>
      <c r="H33" s="864"/>
      <c r="I33" s="864" t="s">
        <v>2180</v>
      </c>
      <c r="J33" s="103"/>
      <c r="K33" s="374" t="s">
        <v>2180</v>
      </c>
      <c r="L33" s="988" t="s">
        <v>1525</v>
      </c>
      <c r="M33" s="103"/>
      <c r="N33" s="103"/>
      <c r="O33" s="103"/>
      <c r="P33" s="103"/>
      <c r="Q33" s="103"/>
      <c r="R33" s="103"/>
      <c r="S33" s="103"/>
      <c r="T33" s="468" cm="1" t="str">
        <f t="array" ref="T33:T33">T32</f>
        <v>false</v>
      </c>
      <c r="U33" s="103"/>
      <c r="V33" s="103"/>
      <c r="W33" s="103"/>
      <c r="X33" s="1559"/>
      <c r="Y33" s="1297"/>
      <c r="Z33" s="1529"/>
      <c r="AA33" s="1297"/>
      <c r="AB33" s="296" t="s">
        <v>2181</v>
      </c>
      <c r="AC33" s="775" t="s">
        <v>1979</v>
      </c>
      <c r="AD33" s="773" t="s">
        <v>936</v>
      </c>
      <c r="AE33" s="6241">
        <f>_xlfn.SUMIFS('Сырье и материалы'!AE$25:AE$111,'Сырье и материалы'!$F$25:$F$111,$F33,'Сырье и материалы'!$I$25:$I$111,"Материалы")</f>
        <v>0</v>
      </c>
      <c r="AF33" s="6241">
        <f>_xlfn.SUMIFS('Сырье и материалы'!AF$25:AF$111,'Сырье и материалы'!$F$25:$F$111,$F33,'Сырье и материалы'!$I$25:$I$111,"Материалы")</f>
        <v>0</v>
      </c>
      <c r="AG33" s="6241">
        <f>_xlfn.SUMIFS('Сырье и материалы'!AG$25:AG$111,'Сырье и материалы'!$F$25:$F$111,$F33,'Сырье и материалы'!$I$25:$I$111,"Материалы")</f>
        <v>0</v>
      </c>
      <c r="AH33" s="1123">
        <f>AG33-AF33</f>
        <v>0</v>
      </c>
      <c r="AI33" s="6241">
        <f>_xlfn.SUMIFS('Сырье и материалы'!AH$25:AH$111,'Сырье и материалы'!$F$25:$F$111,$F33,'Сырье и материалы'!$I$25:$I$111,"Материалы")</f>
        <v>0</v>
      </c>
      <c r="AJ33" s="6241">
        <f>_xlfn.SUMIFS('Сырье и материалы'!AI$25:AI$111,'Сырье и материалы'!$F$25:$F$111,$F33,'Сырье и материалы'!$I$25:$I$111,"Материалы")</f>
        <v>0</v>
      </c>
      <c r="AK33" s="1124"/>
      <c r="AL33" s="1124"/>
      <c r="AM33" s="1124"/>
      <c r="AN33" s="1124"/>
      <c r="AO33" s="1124"/>
      <c r="AP33" s="1124"/>
      <c r="AQ33" s="1124"/>
      <c r="AR33" s="1124"/>
      <c r="AS33" s="1124"/>
      <c r="AT33" s="6241">
        <f>_xlfn.SUMIFS('Сырье и материалы'!AS$25:AS$111,'Сырье и материалы'!$F$25:$F$111,$F33,'Сырье и материалы'!$I$25:$I$111,"Материалы")</f>
        <v>0</v>
      </c>
      <c r="AU33" s="1124"/>
      <c r="AV33" s="1124"/>
      <c r="AW33" s="1124"/>
      <c r="AX33" s="1124"/>
      <c r="AY33" s="1124"/>
      <c r="AZ33" s="1124"/>
      <c r="BA33" s="1124"/>
      <c r="BB33" s="1124"/>
      <c r="BC33" s="1124"/>
      <c r="BD33" s="1123">
        <f>IF(AI33=0,0,(AT33-AI33)/AI33*100)</f>
        <v>0</v>
      </c>
      <c r="BE33" s="1124"/>
      <c r="BF33" s="1124"/>
      <c r="BG33" s="1124"/>
      <c r="BH33" s="1124"/>
      <c r="BI33" s="1124"/>
      <c r="BJ33" s="1124"/>
      <c r="BK33" s="1124"/>
      <c r="BL33" s="1124"/>
      <c r="BM33" s="1124"/>
      <c r="BN33" s="1257"/>
      <c r="BO33" s="1257"/>
      <c r="BP33" s="1257"/>
      <c r="BQ33" s="1297"/>
      <c r="BR33" s="1297"/>
      <c r="BS33" s="1070" t="s">
        <v>1980</v>
      </c>
      <c r="BT33" s="1072"/>
      <c r="BU33" s="1072"/>
      <c r="BV33" s="987"/>
      <c r="BW33" s="987"/>
    </row>
    <row customHeight="1" ht="21.9375" hidden="1">
      <c r="A34" s="1297"/>
      <c r="B34" s="986"/>
      <c r="C34" s="103"/>
      <c r="D34" s="103"/>
      <c r="E34" s="626">
        <v>22.5</v>
      </c>
      <c r="F34" s="50" cm="1" t="str">
        <f t="array" ref="F34:F34">OFFSET(E34,-1,1)</f>
        <v>0</v>
      </c>
      <c r="G34" s="103"/>
      <c r="H34" s="864"/>
      <c r="I34" s="864" t="s">
        <v>1553</v>
      </c>
      <c r="J34" s="103"/>
      <c r="K34" s="374" t="s">
        <v>1553</v>
      </c>
      <c r="L34" s="988" t="s">
        <v>573</v>
      </c>
      <c r="M34" s="103"/>
      <c r="N34" s="103"/>
      <c r="O34" s="103"/>
      <c r="P34" s="103"/>
      <c r="Q34" s="103"/>
      <c r="R34" s="103"/>
      <c r="S34" s="103"/>
      <c r="T34" s="468" cm="1" t="str">
        <f t="array" ref="T34:T34">T33</f>
        <v>false</v>
      </c>
      <c r="U34" s="103"/>
      <c r="V34" s="103"/>
      <c r="W34" s="103"/>
      <c r="X34" s="1559"/>
      <c r="Y34" s="1297"/>
      <c r="Z34" s="1529"/>
      <c r="AA34" s="1297"/>
      <c r="AB34" s="296" t="s">
        <v>1554</v>
      </c>
      <c r="AC34" s="772" t="s">
        <v>2182</v>
      </c>
      <c r="AD34" s="773" t="s">
        <v>936</v>
      </c>
      <c r="AE34" s="1260"/>
      <c r="AF34" s="1260"/>
      <c r="AG34" s="1260"/>
      <c r="AH34" s="1123">
        <f>AG34-AF34</f>
        <v>0</v>
      </c>
      <c r="AI34" s="1260"/>
      <c r="AJ34" s="1260"/>
      <c r="AK34" s="1124"/>
      <c r="AL34" s="1124"/>
      <c r="AM34" s="1124"/>
      <c r="AN34" s="1124"/>
      <c r="AO34" s="1124"/>
      <c r="AP34" s="1124"/>
      <c r="AQ34" s="1124"/>
      <c r="AR34" s="1124"/>
      <c r="AS34" s="1124"/>
      <c r="AT34" s="1260"/>
      <c r="AU34" s="1124"/>
      <c r="AV34" s="1124"/>
      <c r="AW34" s="1124"/>
      <c r="AX34" s="1124"/>
      <c r="AY34" s="1124"/>
      <c r="AZ34" s="1124"/>
      <c r="BA34" s="1124"/>
      <c r="BB34" s="1124"/>
      <c r="BC34" s="1124"/>
      <c r="BD34" s="1123">
        <f>IF(AI34=0,0,(AT34-AI34)/AI34*100)</f>
        <v>0</v>
      </c>
      <c r="BE34" s="1124"/>
      <c r="BF34" s="1124"/>
      <c r="BG34" s="1124"/>
      <c r="BH34" s="1124"/>
      <c r="BI34" s="1124"/>
      <c r="BJ34" s="1124"/>
      <c r="BK34" s="1124"/>
      <c r="BL34" s="1124"/>
      <c r="BM34" s="1124"/>
      <c r="BN34" s="1257"/>
      <c r="BO34" s="1257"/>
      <c r="BP34" s="1257"/>
      <c r="BQ34" s="1297"/>
      <c r="BR34" s="1297"/>
      <c r="BS34" s="1071" t="s">
        <v>2005</v>
      </c>
      <c r="BT34" s="1072"/>
      <c r="BU34" s="1072"/>
      <c r="BV34" s="987"/>
      <c r="BW34" s="987"/>
    </row>
    <row customHeight="1" ht="21.9375" hidden="1">
      <c r="A35" s="1297"/>
      <c r="B35" s="986"/>
      <c r="C35" s="103"/>
      <c r="D35" s="103"/>
      <c r="E35" s="626">
        <v>22.5</v>
      </c>
      <c r="F35" s="50" cm="1" t="str">
        <f t="array" ref="F35:F35">OFFSET(E35,-1,1)</f>
        <v>0</v>
      </c>
      <c r="G35" s="103"/>
      <c r="H35" s="864"/>
      <c r="I35" s="864" t="s">
        <v>1557</v>
      </c>
      <c r="J35" s="103"/>
      <c r="K35" s="374" t="s">
        <v>1557</v>
      </c>
      <c r="L35" s="988" t="s">
        <v>577</v>
      </c>
      <c r="M35" s="103"/>
      <c r="N35" s="103"/>
      <c r="O35" s="103"/>
      <c r="P35" s="103"/>
      <c r="Q35" s="103"/>
      <c r="R35" s="103"/>
      <c r="S35" s="103"/>
      <c r="T35" s="468" cm="1" t="str">
        <f t="array" ref="T35:T35">T34</f>
        <v>false</v>
      </c>
      <c r="U35" s="103"/>
      <c r="V35" s="103"/>
      <c r="W35" s="103"/>
      <c r="X35" s="1559"/>
      <c r="Y35" s="1297"/>
      <c r="Z35" s="1529"/>
      <c r="AA35" s="1297"/>
      <c r="AB35" s="296" t="s">
        <v>1558</v>
      </c>
      <c r="AC35" s="772" t="s">
        <v>2183</v>
      </c>
      <c r="AD35" s="773" t="s">
        <v>936</v>
      </c>
      <c r="AE35" s="1125">
        <f>AE36+AE37</f>
        <v>0</v>
      </c>
      <c r="AF35" s="1125">
        <f>AF36+AF37</f>
        <v>0</v>
      </c>
      <c r="AG35" s="1125">
        <f>AG36+AG37</f>
        <v>0</v>
      </c>
      <c r="AH35" s="1123">
        <f>AG35-AF35</f>
        <v>0</v>
      </c>
      <c r="AI35" s="1125">
        <f>AI36+AI37</f>
        <v>0</v>
      </c>
      <c r="AJ35" s="1125">
        <f>AJ36+AJ37</f>
        <v>0</v>
      </c>
      <c r="AK35" s="1124"/>
      <c r="AL35" s="1124"/>
      <c r="AM35" s="1124"/>
      <c r="AN35" s="1124"/>
      <c r="AO35" s="1124"/>
      <c r="AP35" s="1124"/>
      <c r="AQ35" s="1124"/>
      <c r="AR35" s="1124"/>
      <c r="AS35" s="1124"/>
      <c r="AT35" s="1125">
        <f>AT36+AT37</f>
        <v>0</v>
      </c>
      <c r="AU35" s="1124"/>
      <c r="AV35" s="1124"/>
      <c r="AW35" s="1124"/>
      <c r="AX35" s="1124"/>
      <c r="AY35" s="1124"/>
      <c r="AZ35" s="1124"/>
      <c r="BA35" s="1124"/>
      <c r="BB35" s="1124"/>
      <c r="BC35" s="1124"/>
      <c r="BD35" s="1123">
        <f>IF(AI35=0,0,(AT35-AI35)/AI35*100)</f>
        <v>0</v>
      </c>
      <c r="BE35" s="1124"/>
      <c r="BF35" s="1124"/>
      <c r="BG35" s="1124"/>
      <c r="BH35" s="1124"/>
      <c r="BI35" s="1124"/>
      <c r="BJ35" s="1124"/>
      <c r="BK35" s="1124"/>
      <c r="BL35" s="1124"/>
      <c r="BM35" s="1124"/>
      <c r="BN35" s="1257"/>
      <c r="BO35" s="1257"/>
      <c r="BP35" s="1257"/>
      <c r="BQ35" s="1297"/>
      <c r="BR35" s="1297"/>
      <c r="BS35" s="1071" t="s">
        <v>2184</v>
      </c>
      <c r="BT35" s="1072"/>
      <c r="BU35" s="1072"/>
      <c r="BV35" s="987"/>
      <c r="BW35" s="987"/>
    </row>
    <row customHeight="1" ht="14.625" hidden="1">
      <c r="A36" s="1297"/>
      <c r="B36" s="986"/>
      <c r="C36" s="103"/>
      <c r="D36" s="103"/>
      <c r="E36" s="626">
        <v>15</v>
      </c>
      <c r="F36" s="50" cm="1" t="str">
        <f t="array" ref="F36:F36">OFFSET(E36,-1,1)</f>
        <v>0</v>
      </c>
      <c r="G36" s="370" t="s">
        <v>1350</v>
      </c>
      <c r="H36" s="864"/>
      <c r="I36" s="864" t="s">
        <v>1712</v>
      </c>
      <c r="J36" s="103"/>
      <c r="K36" s="374" t="s">
        <v>1712</v>
      </c>
      <c r="L36" s="988" t="s">
        <v>1577</v>
      </c>
      <c r="M36" s="103"/>
      <c r="N36" s="103"/>
      <c r="O36" s="103"/>
      <c r="P36" s="103"/>
      <c r="Q36" s="103"/>
      <c r="R36" s="103"/>
      <c r="S36" s="103"/>
      <c r="T36" s="468" cm="1" t="str">
        <f t="array" ref="T36:T36">T35</f>
        <v>false</v>
      </c>
      <c r="U36" s="103"/>
      <c r="V36" s="103"/>
      <c r="W36" s="103"/>
      <c r="X36" s="1559"/>
      <c r="Y36" s="1297"/>
      <c r="Z36" s="1529"/>
      <c r="AA36" s="1297"/>
      <c r="AB36" s="296" t="s">
        <v>2185</v>
      </c>
      <c r="AC36" s="775" t="s">
        <v>2008</v>
      </c>
      <c r="AD36" s="773" t="s">
        <v>936</v>
      </c>
      <c r="AE36" s="1123">
        <f>_xlfn.SUMIFS(ФОТ!AE$25:AE$127,ФОТ!$F$25:$F$127,$F36,ФОТ!$G$25:$G$127,$G36)</f>
        <v>0</v>
      </c>
      <c r="AF36" s="1123">
        <f>_xlfn.SUMIFS(ФОТ!AF$25:AF$127,ФОТ!$F$25:$F$127,$F36,ФОТ!$G$25:$G$127,$G36)</f>
        <v>0</v>
      </c>
      <c r="AG36" s="1123">
        <f>_xlfn.SUMIFS(ФОТ!AG$25:AG$127,ФОТ!$F$25:$F$127,$F36,ФОТ!$G$25:$G$127,$G36)</f>
        <v>0</v>
      </c>
      <c r="AH36" s="1123">
        <f>AG36-AF36</f>
        <v>0</v>
      </c>
      <c r="AI36" s="1123">
        <f>_xlfn.SUMIFS(ФОТ!AH$25:AH$127,ФОТ!$F$25:$F$127,$F36,ФОТ!$G$25:$G$127,$G36)</f>
        <v>0</v>
      </c>
      <c r="AJ36" s="1123">
        <f>_xlfn.SUMIFS(ФОТ!AI$25:AI$127,ФОТ!$F$25:$F$127,$F36,ФОТ!$G$25:$G$127,$G36)</f>
        <v>0</v>
      </c>
      <c r="AK36" s="1124"/>
      <c r="AL36" s="1124"/>
      <c r="AM36" s="1124"/>
      <c r="AN36" s="1124"/>
      <c r="AO36" s="1124"/>
      <c r="AP36" s="1124"/>
      <c r="AQ36" s="1124"/>
      <c r="AR36" s="1124"/>
      <c r="AS36" s="1124"/>
      <c r="AT36" s="1123">
        <f>_xlfn.SUMIFS(ФОТ!AJ$25:AJ$127,ФОТ!$F$25:$F$127,$F36,ФОТ!$G$25:$G$127,$G36)</f>
        <v>0</v>
      </c>
      <c r="AU36" s="1124"/>
      <c r="AV36" s="1124"/>
      <c r="AW36" s="1124"/>
      <c r="AX36" s="1124"/>
      <c r="AY36" s="1124"/>
      <c r="AZ36" s="1124"/>
      <c r="BA36" s="1124"/>
      <c r="BB36" s="1124"/>
      <c r="BC36" s="1124"/>
      <c r="BD36" s="1123">
        <f>IF(AI36=0,0,(AT36-AI36)/AI36*100)</f>
        <v>0</v>
      </c>
      <c r="BE36" s="1124"/>
      <c r="BF36" s="1124"/>
      <c r="BG36" s="1124"/>
      <c r="BH36" s="1124"/>
      <c r="BI36" s="1124"/>
      <c r="BJ36" s="1124"/>
      <c r="BK36" s="1124"/>
      <c r="BL36" s="1124"/>
      <c r="BM36" s="1124"/>
      <c r="BN36" s="1257"/>
      <c r="BO36" s="1261" t="str">
        <f>IF(_xlfn.IFERROR(INDEX(ФОТ!$K$26:$L$127,MATCH($F36&amp;"1komm",ФОТ!$K$26:$K$127,0),2),"")=0,"",_xlfn.IFERROR(INDEX(ФОТ!$K$26:$L$127,MATCH($F36&amp;"1komm",ФОТ!$K$26:$K$127,0),2),""))</f>
        <v/>
      </c>
      <c r="BP36" s="1257"/>
      <c r="BQ36" s="1297"/>
      <c r="BR36" s="1297"/>
      <c r="BS36" s="1070" t="s">
        <v>2009</v>
      </c>
      <c r="BT36" s="1072"/>
      <c r="BU36" s="1072"/>
      <c r="BV36" s="987"/>
      <c r="BW36" s="987"/>
    </row>
    <row customHeight="1" ht="21.9375" hidden="1">
      <c r="A37" s="1297"/>
      <c r="B37" s="986"/>
      <c r="C37" s="103"/>
      <c r="D37" s="103"/>
      <c r="E37" s="626">
        <v>22.5</v>
      </c>
      <c r="F37" s="50" cm="1" t="str">
        <f t="array" ref="F37:F37">OFFSET(E37,-1,1)</f>
        <v>0</v>
      </c>
      <c r="G37" s="370" t="s">
        <v>1362</v>
      </c>
      <c r="H37" s="864"/>
      <c r="I37" s="864" t="s">
        <v>1716</v>
      </c>
      <c r="J37" s="103"/>
      <c r="K37" s="374" t="s">
        <v>1716</v>
      </c>
      <c r="L37" s="988" t="s">
        <v>1578</v>
      </c>
      <c r="M37" s="103"/>
      <c r="N37" s="103"/>
      <c r="O37" s="103"/>
      <c r="P37" s="103"/>
      <c r="Q37" s="103"/>
      <c r="R37" s="103"/>
      <c r="S37" s="103"/>
      <c r="T37" s="468" cm="1" t="str">
        <f t="array" ref="T37:T37">T36</f>
        <v>false</v>
      </c>
      <c r="U37" s="103"/>
      <c r="V37" s="103"/>
      <c r="W37" s="103"/>
      <c r="X37" s="1559"/>
      <c r="Y37" s="1297"/>
      <c r="Z37" s="1529"/>
      <c r="AA37" s="1297"/>
      <c r="AB37" s="296" t="s">
        <v>2186</v>
      </c>
      <c r="AC37" s="775" t="s">
        <v>2187</v>
      </c>
      <c r="AD37" s="773" t="s">
        <v>936</v>
      </c>
      <c r="AE37" s="1123">
        <f>_xlfn.SUMIFS(ФОТ!AE$25:AE$127,ФОТ!$F$25:$F$127,$F37,ФОТ!$G$25:$G$127,$G37)</f>
        <v>0</v>
      </c>
      <c r="AF37" s="1123">
        <f>_xlfn.SUMIFS(ФОТ!AF$25:AF$127,ФОТ!$F$25:$F$127,$F37,ФОТ!$G$25:$G$127,$G37)</f>
        <v>0</v>
      </c>
      <c r="AG37" s="1123">
        <f>_xlfn.SUMIFS(ФОТ!AG$25:AG$127,ФОТ!$F$25:$F$127,$F37,ФОТ!$G$25:$G$127,$G37)</f>
        <v>0</v>
      </c>
      <c r="AH37" s="1123">
        <f>AG37-AF37</f>
        <v>0</v>
      </c>
      <c r="AI37" s="1123">
        <f>_xlfn.SUMIFS(ФОТ!AH$25:AH$127,ФОТ!$F$25:$F$127,$F37,ФОТ!$G$25:$G$127,$G37)</f>
        <v>0</v>
      </c>
      <c r="AJ37" s="1123">
        <f>_xlfn.SUMIFS(ФОТ!AI$25:AI$127,ФОТ!$F$25:$F$127,$F37,ФОТ!$G$25:$G$127,$G37)</f>
        <v>0</v>
      </c>
      <c r="AK37" s="1124"/>
      <c r="AL37" s="1124"/>
      <c r="AM37" s="1124"/>
      <c r="AN37" s="1124"/>
      <c r="AO37" s="1124"/>
      <c r="AP37" s="1124"/>
      <c r="AQ37" s="1124"/>
      <c r="AR37" s="1124"/>
      <c r="AS37" s="1124"/>
      <c r="AT37" s="1123">
        <f>_xlfn.SUMIFS(ФОТ!AJ$25:AJ$127,ФОТ!$F$25:$F$127,$F37,ФОТ!$G$25:$G$127,$G37)</f>
        <v>0</v>
      </c>
      <c r="AU37" s="1124"/>
      <c r="AV37" s="1124"/>
      <c r="AW37" s="1124"/>
      <c r="AX37" s="1124"/>
      <c r="AY37" s="1124"/>
      <c r="AZ37" s="1124"/>
      <c r="BA37" s="1124"/>
      <c r="BB37" s="1124"/>
      <c r="BC37" s="1124"/>
      <c r="BD37" s="1123">
        <f>IF(AI37=0,0,(AT37-AI37)/AI37*100)</f>
        <v>0</v>
      </c>
      <c r="BE37" s="1124"/>
      <c r="BF37" s="1124"/>
      <c r="BG37" s="1124"/>
      <c r="BH37" s="1124"/>
      <c r="BI37" s="1124"/>
      <c r="BJ37" s="1124"/>
      <c r="BK37" s="1124"/>
      <c r="BL37" s="1124"/>
      <c r="BM37" s="1124"/>
      <c r="BN37" s="1257"/>
      <c r="BO37" s="1261" t="str">
        <f>IF(_xlfn.IFERROR(INDEX(ФОТ!$K$26:$L$127,MATCH($F37&amp;"2komm",ФОТ!$K$26:$K$127,0),2),"")=0,"",_xlfn.IFERROR(INDEX(ФОТ!$K$26:$L$127,MATCH($F37&amp;"2komm",ФОТ!$K$26:$K$127,0),2),""))</f>
        <v/>
      </c>
      <c r="BP37" s="1257"/>
      <c r="BQ37" s="1297"/>
      <c r="BR37" s="1297"/>
      <c r="BS37" s="1070" t="s">
        <v>2011</v>
      </c>
      <c r="BT37" s="1072"/>
      <c r="BU37" s="1072"/>
      <c r="BV37" s="987"/>
      <c r="BW37" s="987"/>
    </row>
    <row customHeight="1" ht="14.625" hidden="1">
      <c r="A38" s="1297"/>
      <c r="B38" s="986"/>
      <c r="C38" s="103"/>
      <c r="D38" s="103"/>
      <c r="E38" s="626">
        <v>15</v>
      </c>
      <c r="F38" s="50" cm="1" t="str">
        <f t="array" ref="F38:F38">OFFSET(E38,-1,1)</f>
        <v>0</v>
      </c>
      <c r="G38" s="103"/>
      <c r="H38" s="864"/>
      <c r="I38" s="864" t="s">
        <v>1727</v>
      </c>
      <c r="J38" s="103"/>
      <c r="K38" s="374" t="s">
        <v>1727</v>
      </c>
      <c r="L38" s="988" t="s">
        <v>2013</v>
      </c>
      <c r="M38" s="103"/>
      <c r="N38" s="103"/>
      <c r="O38" s="103"/>
      <c r="P38" s="103"/>
      <c r="Q38" s="103"/>
      <c r="R38" s="103"/>
      <c r="S38" s="103"/>
      <c r="T38" s="468" cm="1" t="str">
        <f t="array" ref="T38:T38">T37</f>
        <v>false</v>
      </c>
      <c r="U38" s="103"/>
      <c r="V38" s="103"/>
      <c r="W38" s="103"/>
      <c r="X38" s="1559"/>
      <c r="Y38" s="1297"/>
      <c r="Z38" s="1529"/>
      <c r="AA38" s="1297"/>
      <c r="AB38" s="296" t="s">
        <v>1987</v>
      </c>
      <c r="AC38" s="772" t="s">
        <v>2188</v>
      </c>
      <c r="AD38" s="773" t="s">
        <v>936</v>
      </c>
      <c r="AE38" s="1260"/>
      <c r="AF38" s="1260"/>
      <c r="AG38" s="1260"/>
      <c r="AH38" s="1123">
        <f>AG38-AF38</f>
        <v>0</v>
      </c>
      <c r="AI38" s="1260"/>
      <c r="AJ38" s="1260"/>
      <c r="AK38" s="1124"/>
      <c r="AL38" s="1124"/>
      <c r="AM38" s="1124"/>
      <c r="AN38" s="1124"/>
      <c r="AO38" s="1124"/>
      <c r="AP38" s="1124"/>
      <c r="AQ38" s="1124"/>
      <c r="AR38" s="1124"/>
      <c r="AS38" s="1124"/>
      <c r="AT38" s="1260"/>
      <c r="AU38" s="1124"/>
      <c r="AV38" s="1124"/>
      <c r="AW38" s="1124"/>
      <c r="AX38" s="1124"/>
      <c r="AY38" s="1124"/>
      <c r="AZ38" s="1124"/>
      <c r="BA38" s="1124"/>
      <c r="BB38" s="1124"/>
      <c r="BC38" s="1124"/>
      <c r="BD38" s="1123">
        <f>IF(AI38=0,0,(AT38-AI38)/AI38*100)</f>
        <v>0</v>
      </c>
      <c r="BE38" s="1124"/>
      <c r="BF38" s="1124"/>
      <c r="BG38" s="1124"/>
      <c r="BH38" s="1124"/>
      <c r="BI38" s="1124"/>
      <c r="BJ38" s="1124"/>
      <c r="BK38" s="1124"/>
      <c r="BL38" s="1124"/>
      <c r="BM38" s="1124"/>
      <c r="BN38" s="1257"/>
      <c r="BO38" s="1257"/>
      <c r="BP38" s="1257"/>
      <c r="BQ38" s="1297"/>
      <c r="BR38" s="1297"/>
      <c r="BS38" s="1071" t="s">
        <v>2016</v>
      </c>
      <c r="BT38" s="1072"/>
      <c r="BU38" s="1072"/>
      <c r="BV38" s="987"/>
      <c r="BW38" s="987"/>
    </row>
    <row customHeight="1" ht="14.625" hidden="1">
      <c r="A39" s="1297"/>
      <c r="B39" s="986"/>
      <c r="C39" s="103"/>
      <c r="D39" s="103"/>
      <c r="E39" s="626">
        <v>15</v>
      </c>
      <c r="F39" s="50" cm="1" t="str">
        <f t="array" ref="F39:F39">OFFSET(E39,-1,1)</f>
        <v>0</v>
      </c>
      <c r="G39" s="103"/>
      <c r="H39" s="864"/>
      <c r="I39" s="864" t="s">
        <v>1731</v>
      </c>
      <c r="J39" s="103"/>
      <c r="K39" s="374" t="s">
        <v>1731</v>
      </c>
      <c r="L39" s="988" t="s">
        <v>2017</v>
      </c>
      <c r="M39" s="1297"/>
      <c r="N39" s="103"/>
      <c r="O39" s="103"/>
      <c r="P39" s="103"/>
      <c r="Q39" s="103"/>
      <c r="R39" s="103"/>
      <c r="S39" s="103"/>
      <c r="T39" s="468" cm="1" t="str">
        <f t="array" ref="T39:T39">T38</f>
        <v>false</v>
      </c>
      <c r="U39" s="103"/>
      <c r="V39" s="103"/>
      <c r="W39" s="103"/>
      <c r="X39" s="1559"/>
      <c r="Y39" s="1297"/>
      <c r="Z39" s="1529"/>
      <c r="AA39" s="1297"/>
      <c r="AB39" s="296" t="s">
        <v>1989</v>
      </c>
      <c r="AC39" s="772" t="s">
        <v>2189</v>
      </c>
      <c r="AD39" s="296" t="s">
        <v>936</v>
      </c>
      <c r="AE39" s="1125">
        <f>SUM(AE40:AE46)</f>
        <v>0</v>
      </c>
      <c r="AF39" s="1125">
        <f>SUM(AF40:AF46)</f>
        <v>0</v>
      </c>
      <c r="AG39" s="1125">
        <f>SUM(AG40:AG46)</f>
        <v>0</v>
      </c>
      <c r="AH39" s="1123">
        <f>AG39-AF39</f>
        <v>0</v>
      </c>
      <c r="AI39" s="1125">
        <f>SUM(AI40:AI46)</f>
        <v>0</v>
      </c>
      <c r="AJ39" s="1125">
        <f>SUM(AJ40:AJ46)</f>
        <v>0</v>
      </c>
      <c r="AK39" s="1124"/>
      <c r="AL39" s="1124"/>
      <c r="AM39" s="1124"/>
      <c r="AN39" s="1124"/>
      <c r="AO39" s="1124"/>
      <c r="AP39" s="1124"/>
      <c r="AQ39" s="1124"/>
      <c r="AR39" s="1124"/>
      <c r="AS39" s="1124"/>
      <c r="AT39" s="1125">
        <f>SUM(AT40:AT46)</f>
        <v>0</v>
      </c>
      <c r="AU39" s="1124"/>
      <c r="AV39" s="1124"/>
      <c r="AW39" s="1124"/>
      <c r="AX39" s="1124"/>
      <c r="AY39" s="1124"/>
      <c r="AZ39" s="1124"/>
      <c r="BA39" s="1124"/>
      <c r="BB39" s="1124"/>
      <c r="BC39" s="1124"/>
      <c r="BD39" s="1123">
        <f>IF(AI39=0,0,(AT39-AI39)/AI39*100)</f>
        <v>0</v>
      </c>
      <c r="BE39" s="1124"/>
      <c r="BF39" s="1124"/>
      <c r="BG39" s="1124"/>
      <c r="BH39" s="1124"/>
      <c r="BI39" s="1124"/>
      <c r="BJ39" s="1124"/>
      <c r="BK39" s="1124"/>
      <c r="BL39" s="1124"/>
      <c r="BM39" s="1124"/>
      <c r="BN39" s="1257"/>
      <c r="BO39" s="1257"/>
      <c r="BP39" s="1257"/>
      <c r="BQ39" s="1297"/>
      <c r="BR39" s="1297"/>
      <c r="BS39" s="1071" t="s">
        <v>2190</v>
      </c>
      <c r="BT39" s="1072"/>
      <c r="BU39" s="1072"/>
      <c r="BV39" s="987"/>
      <c r="BW39" s="987"/>
    </row>
    <row customHeight="1" ht="14.625" hidden="1">
      <c r="A40" s="1297"/>
      <c r="B40" s="986"/>
      <c r="C40" s="103"/>
      <c r="D40" s="103"/>
      <c r="E40" s="626">
        <v>15</v>
      </c>
      <c r="F40" s="50" cm="1" t="str">
        <f t="array" ref="F40:F40">OFFSET(E40,-1,1)</f>
        <v>0</v>
      </c>
      <c r="G40" s="103"/>
      <c r="H40" s="864"/>
      <c r="I40" s="864" t="s">
        <v>2191</v>
      </c>
      <c r="J40" s="103"/>
      <c r="K40" s="374" t="s">
        <v>2191</v>
      </c>
      <c r="L40" s="988" t="s">
        <v>2017</v>
      </c>
      <c r="M40" s="103" t="s">
        <v>2025</v>
      </c>
      <c r="N40" s="103"/>
      <c r="O40" s="103"/>
      <c r="P40" s="103"/>
      <c r="Q40" s="103"/>
      <c r="R40" s="103"/>
      <c r="S40" s="103"/>
      <c r="T40" s="468" cm="1" t="str">
        <f t="array" ref="T40:T40">T39</f>
        <v>false</v>
      </c>
      <c r="U40" s="103"/>
      <c r="V40" s="103"/>
      <c r="W40" s="103"/>
      <c r="X40" s="1559"/>
      <c r="Y40" s="1297"/>
      <c r="Z40" s="1529"/>
      <c r="AA40" s="1297"/>
      <c r="AB40" s="296" t="s">
        <v>2192</v>
      </c>
      <c r="AC40" s="775" t="s">
        <v>2193</v>
      </c>
      <c r="AD40" s="296" t="s">
        <v>936</v>
      </c>
      <c r="AE40" s="1260"/>
      <c r="AF40" s="1260"/>
      <c r="AG40" s="1260"/>
      <c r="AH40" s="1123">
        <f>AG40-AF40</f>
        <v>0</v>
      </c>
      <c r="AI40" s="1260"/>
      <c r="AJ40" s="1260"/>
      <c r="AK40" s="1124"/>
      <c r="AL40" s="1124"/>
      <c r="AM40" s="1124"/>
      <c r="AN40" s="1124"/>
      <c r="AO40" s="1124"/>
      <c r="AP40" s="1124"/>
      <c r="AQ40" s="1124"/>
      <c r="AR40" s="1124"/>
      <c r="AS40" s="1124"/>
      <c r="AT40" s="1260"/>
      <c r="AU40" s="1124"/>
      <c r="AV40" s="1124"/>
      <c r="AW40" s="1124"/>
      <c r="AX40" s="1124"/>
      <c r="AY40" s="1124"/>
      <c r="AZ40" s="1124"/>
      <c r="BA40" s="1124"/>
      <c r="BB40" s="1124"/>
      <c r="BC40" s="1124"/>
      <c r="BD40" s="1123">
        <f>IF(AI40=0,0,(AT40-AI40)/AI40*100)</f>
        <v>0</v>
      </c>
      <c r="BE40" s="1124"/>
      <c r="BF40" s="1124"/>
      <c r="BG40" s="1124"/>
      <c r="BH40" s="1124"/>
      <c r="BI40" s="1124"/>
      <c r="BJ40" s="1124"/>
      <c r="BK40" s="1124"/>
      <c r="BL40" s="1124"/>
      <c r="BM40" s="1124"/>
      <c r="BN40" s="1257"/>
      <c r="BO40" s="1257"/>
      <c r="BP40" s="1257"/>
      <c r="BQ40" s="1297"/>
      <c r="BR40" s="1297"/>
      <c r="BS40" s="1070" t="s">
        <v>2028</v>
      </c>
      <c r="BT40" s="1072"/>
      <c r="BU40" s="1072"/>
      <c r="BV40" s="987"/>
      <c r="BW40" s="987"/>
    </row>
    <row customHeight="1" ht="21.9375" hidden="1">
      <c r="A41" s="1297"/>
      <c r="B41" s="986"/>
      <c r="C41" s="103"/>
      <c r="D41" s="103"/>
      <c r="E41" s="626">
        <v>22.5</v>
      </c>
      <c r="F41" s="50" cm="1" t="str">
        <f t="array" ref="F41:F41">OFFSET(E41,-1,1)</f>
        <v>0</v>
      </c>
      <c r="G41" s="103"/>
      <c r="H41" s="864"/>
      <c r="I41" s="864" t="s">
        <v>2194</v>
      </c>
      <c r="J41" s="103"/>
      <c r="K41" s="374" t="s">
        <v>2194</v>
      </c>
      <c r="L41" s="988" t="s">
        <v>2017</v>
      </c>
      <c r="M41" s="103" t="s">
        <v>2021</v>
      </c>
      <c r="N41" s="103"/>
      <c r="O41" s="103"/>
      <c r="P41" s="103"/>
      <c r="Q41" s="103"/>
      <c r="R41" s="103"/>
      <c r="S41" s="103"/>
      <c r="T41" s="468" cm="1" t="str">
        <f t="array" ref="T41:T41">T40</f>
        <v>false</v>
      </c>
      <c r="U41" s="103"/>
      <c r="V41" s="103"/>
      <c r="W41" s="103"/>
      <c r="X41" s="1559"/>
      <c r="Y41" s="1297"/>
      <c r="Z41" s="1529"/>
      <c r="AA41" s="1297"/>
      <c r="AB41" s="296" t="s">
        <v>2195</v>
      </c>
      <c r="AC41" s="775" t="s">
        <v>2196</v>
      </c>
      <c r="AD41" s="296" t="s">
        <v>936</v>
      </c>
      <c r="AE41" s="1260"/>
      <c r="AF41" s="1260"/>
      <c r="AG41" s="1260"/>
      <c r="AH41" s="1123">
        <f>AG41-AF41</f>
        <v>0</v>
      </c>
      <c r="AI41" s="1260"/>
      <c r="AJ41" s="1260"/>
      <c r="AK41" s="1124"/>
      <c r="AL41" s="1124"/>
      <c r="AM41" s="1124"/>
      <c r="AN41" s="1124"/>
      <c r="AO41" s="1124"/>
      <c r="AP41" s="1124"/>
      <c r="AQ41" s="1124"/>
      <c r="AR41" s="1124"/>
      <c r="AS41" s="1124"/>
      <c r="AT41" s="1260"/>
      <c r="AU41" s="1124"/>
      <c r="AV41" s="1124"/>
      <c r="AW41" s="1124"/>
      <c r="AX41" s="1124"/>
      <c r="AY41" s="1124"/>
      <c r="AZ41" s="1124"/>
      <c r="BA41" s="1124"/>
      <c r="BB41" s="1124"/>
      <c r="BC41" s="1124"/>
      <c r="BD41" s="1123">
        <f>IF(AI41=0,0,(AT41-AI41)/AI41*100)</f>
        <v>0</v>
      </c>
      <c r="BE41" s="1124"/>
      <c r="BF41" s="1124"/>
      <c r="BG41" s="1124"/>
      <c r="BH41" s="1124"/>
      <c r="BI41" s="1124"/>
      <c r="BJ41" s="1124"/>
      <c r="BK41" s="1124"/>
      <c r="BL41" s="1124"/>
      <c r="BM41" s="1124"/>
      <c r="BN41" s="1257"/>
      <c r="BO41" s="1257"/>
      <c r="BP41" s="1257"/>
      <c r="BQ41" s="1297"/>
      <c r="BR41" s="1297"/>
      <c r="BS41" s="1072" t="s">
        <v>2197</v>
      </c>
      <c r="BT41" s="1072"/>
      <c r="BU41" s="1072"/>
      <c r="BV41" s="987"/>
      <c r="BW41" s="987"/>
    </row>
    <row customHeight="1" ht="21.9375" hidden="1">
      <c r="A42" s="1297"/>
      <c r="B42" s="986"/>
      <c r="C42" s="103"/>
      <c r="D42" s="103"/>
      <c r="E42" s="626">
        <v>22.5</v>
      </c>
      <c r="F42" s="50" cm="1" t="str">
        <f t="array" ref="F42:F42">OFFSET(E42,-1,1)</f>
        <v>0</v>
      </c>
      <c r="G42" s="103"/>
      <c r="H42" s="864"/>
      <c r="I42" s="864" t="s">
        <v>2198</v>
      </c>
      <c r="J42" s="103"/>
      <c r="K42" s="374" t="s">
        <v>2198</v>
      </c>
      <c r="L42" s="1297"/>
      <c r="M42" s="1297"/>
      <c r="N42" s="103"/>
      <c r="O42" s="103"/>
      <c r="P42" s="103"/>
      <c r="Q42" s="103"/>
      <c r="R42" s="103"/>
      <c r="S42" s="103"/>
      <c r="T42" s="468" cm="1" t="str">
        <f t="array" ref="T42:T42">T41</f>
        <v>false</v>
      </c>
      <c r="U42" s="103"/>
      <c r="V42" s="103"/>
      <c r="W42" s="103"/>
      <c r="X42" s="1559"/>
      <c r="Y42" s="1297"/>
      <c r="Z42" s="1529"/>
      <c r="AA42" s="1297"/>
      <c r="AB42" s="296" t="s">
        <v>2199</v>
      </c>
      <c r="AC42" s="776" t="s">
        <v>2200</v>
      </c>
      <c r="AD42" s="296" t="s">
        <v>936</v>
      </c>
      <c r="AE42" s="1260"/>
      <c r="AF42" s="1260"/>
      <c r="AG42" s="1260"/>
      <c r="AH42" s="1123">
        <f>AG42-AF42</f>
        <v>0</v>
      </c>
      <c r="AI42" s="1260"/>
      <c r="AJ42" s="1260"/>
      <c r="AK42" s="1124"/>
      <c r="AL42" s="1124"/>
      <c r="AM42" s="1124"/>
      <c r="AN42" s="1124"/>
      <c r="AO42" s="1124"/>
      <c r="AP42" s="1124"/>
      <c r="AQ42" s="1124"/>
      <c r="AR42" s="1124"/>
      <c r="AS42" s="1124"/>
      <c r="AT42" s="1260"/>
      <c r="AU42" s="1124"/>
      <c r="AV42" s="1124"/>
      <c r="AW42" s="1124"/>
      <c r="AX42" s="1124"/>
      <c r="AY42" s="1124"/>
      <c r="AZ42" s="1124"/>
      <c r="BA42" s="1124"/>
      <c r="BB42" s="1124"/>
      <c r="BC42" s="1124"/>
      <c r="BD42" s="1123">
        <f>IF(AI42=0,0,(AT42-AI42)/AI42*100)</f>
        <v>0</v>
      </c>
      <c r="BE42" s="1124"/>
      <c r="BF42" s="1124"/>
      <c r="BG42" s="1124"/>
      <c r="BH42" s="1124"/>
      <c r="BI42" s="1124"/>
      <c r="BJ42" s="1124"/>
      <c r="BK42" s="1124"/>
      <c r="BL42" s="1124"/>
      <c r="BM42" s="1124"/>
      <c r="BN42" s="1257"/>
      <c r="BO42" s="1257"/>
      <c r="BP42" s="1257"/>
      <c r="BQ42" s="1297"/>
      <c r="BR42" s="1297"/>
      <c r="BS42" s="1072" t="s">
        <v>2201</v>
      </c>
      <c r="BT42" s="1072"/>
      <c r="BU42" s="1072"/>
      <c r="BV42" s="987"/>
      <c r="BW42" s="987"/>
    </row>
    <row customHeight="1" ht="21.9375" hidden="1">
      <c r="A43" s="1297"/>
      <c r="B43" s="986"/>
      <c r="C43" s="103"/>
      <c r="D43" s="103"/>
      <c r="E43" s="626">
        <v>22.5</v>
      </c>
      <c r="F43" s="50" cm="1" t="str">
        <f t="array" ref="F43:F43">OFFSET(E43,-1,1)</f>
        <v>0</v>
      </c>
      <c r="G43" s="103"/>
      <c r="H43" s="864"/>
      <c r="I43" s="864" t="s">
        <v>2202</v>
      </c>
      <c r="J43" s="103"/>
      <c r="K43" s="374" t="s">
        <v>2202</v>
      </c>
      <c r="L43" s="988"/>
      <c r="M43" s="1297"/>
      <c r="N43" s="103"/>
      <c r="O43" s="103"/>
      <c r="P43" s="103"/>
      <c r="Q43" s="103"/>
      <c r="R43" s="103"/>
      <c r="S43" s="103"/>
      <c r="T43" s="468" cm="1" t="str">
        <f t="array" ref="T43:T43">T42</f>
        <v>false</v>
      </c>
      <c r="U43" s="103"/>
      <c r="V43" s="103"/>
      <c r="W43" s="103"/>
      <c r="X43" s="1559"/>
      <c r="Y43" s="1297"/>
      <c r="Z43" s="1529"/>
      <c r="AA43" s="1297"/>
      <c r="AB43" s="296" t="s">
        <v>2203</v>
      </c>
      <c r="AC43" s="776" t="s">
        <v>2204</v>
      </c>
      <c r="AD43" s="296" t="s">
        <v>936</v>
      </c>
      <c r="AE43" s="1260"/>
      <c r="AF43" s="1260"/>
      <c r="AG43" s="1260"/>
      <c r="AH43" s="1123">
        <f>AG43-AF43</f>
        <v>0</v>
      </c>
      <c r="AI43" s="1260"/>
      <c r="AJ43" s="1260"/>
      <c r="AK43" s="1124"/>
      <c r="AL43" s="1124"/>
      <c r="AM43" s="1124"/>
      <c r="AN43" s="1124"/>
      <c r="AO43" s="1124"/>
      <c r="AP43" s="1124"/>
      <c r="AQ43" s="1124"/>
      <c r="AR43" s="1124"/>
      <c r="AS43" s="1124"/>
      <c r="AT43" s="1260"/>
      <c r="AU43" s="1124"/>
      <c r="AV43" s="1124"/>
      <c r="AW43" s="1124"/>
      <c r="AX43" s="1124"/>
      <c r="AY43" s="1124"/>
      <c r="AZ43" s="1124"/>
      <c r="BA43" s="1124"/>
      <c r="BB43" s="1124"/>
      <c r="BC43" s="1124"/>
      <c r="BD43" s="1123">
        <f>IF(AI43=0,0,(AT43-AI43)/AI43*100)</f>
        <v>0</v>
      </c>
      <c r="BE43" s="1124"/>
      <c r="BF43" s="1124"/>
      <c r="BG43" s="1124"/>
      <c r="BH43" s="1124"/>
      <c r="BI43" s="1124"/>
      <c r="BJ43" s="1124"/>
      <c r="BK43" s="1124"/>
      <c r="BL43" s="1124"/>
      <c r="BM43" s="1124"/>
      <c r="BN43" s="1257"/>
      <c r="BO43" s="1257"/>
      <c r="BP43" s="1257"/>
      <c r="BQ43" s="1297"/>
      <c r="BR43" s="1297"/>
      <c r="BS43" s="1072" t="s">
        <v>2205</v>
      </c>
      <c r="BT43" s="1072"/>
      <c r="BU43" s="1072"/>
      <c r="BV43" s="987"/>
      <c r="BW43" s="987"/>
    </row>
    <row customHeight="1" ht="43.875" hidden="1">
      <c r="A44" s="1297"/>
      <c r="B44" s="986"/>
      <c r="C44" s="103"/>
      <c r="D44" s="103"/>
      <c r="E44" s="626">
        <v>45</v>
      </c>
      <c r="F44" s="50" cm="1" t="str">
        <f t="array" ref="F44:F44">OFFSET(E44,-1,1)</f>
        <v>0</v>
      </c>
      <c r="G44" s="103"/>
      <c r="H44" s="864"/>
      <c r="I44" s="864" t="s">
        <v>2206</v>
      </c>
      <c r="J44" s="103"/>
      <c r="K44" s="374" t="s">
        <v>2206</v>
      </c>
      <c r="L44" s="988" t="s">
        <v>2017</v>
      </c>
      <c r="M44" s="103" t="s">
        <v>2029</v>
      </c>
      <c r="N44" s="103"/>
      <c r="O44" s="103"/>
      <c r="P44" s="103"/>
      <c r="Q44" s="103"/>
      <c r="R44" s="103"/>
      <c r="S44" s="103"/>
      <c r="T44" s="468" cm="1" t="str">
        <f t="array" ref="T44:T44">T43</f>
        <v>false</v>
      </c>
      <c r="U44" s="103"/>
      <c r="V44" s="103"/>
      <c r="W44" s="103"/>
      <c r="X44" s="1559"/>
      <c r="Y44" s="1297"/>
      <c r="Z44" s="1529"/>
      <c r="AA44" s="1297"/>
      <c r="AB44" s="296" t="s">
        <v>2207</v>
      </c>
      <c r="AC44" s="775" t="s">
        <v>2208</v>
      </c>
      <c r="AD44" s="296" t="s">
        <v>936</v>
      </c>
      <c r="AE44" s="1260"/>
      <c r="AF44" s="1260"/>
      <c r="AG44" s="1260"/>
      <c r="AH44" s="1123">
        <f>AG44-AF44</f>
        <v>0</v>
      </c>
      <c r="AI44" s="1260"/>
      <c r="AJ44" s="1260"/>
      <c r="AK44" s="1124"/>
      <c r="AL44" s="1124"/>
      <c r="AM44" s="1124"/>
      <c r="AN44" s="1124"/>
      <c r="AO44" s="1124"/>
      <c r="AP44" s="1124"/>
      <c r="AQ44" s="1124"/>
      <c r="AR44" s="1124"/>
      <c r="AS44" s="1124"/>
      <c r="AT44" s="1260"/>
      <c r="AU44" s="1124"/>
      <c r="AV44" s="1124"/>
      <c r="AW44" s="1124"/>
      <c r="AX44" s="1124"/>
      <c r="AY44" s="1124"/>
      <c r="AZ44" s="1124"/>
      <c r="BA44" s="1124"/>
      <c r="BB44" s="1124"/>
      <c r="BC44" s="1124"/>
      <c r="BD44" s="1123">
        <f>IF(AI44=0,0,(AT44-AI44)/AI44*100)</f>
        <v>0</v>
      </c>
      <c r="BE44" s="1124"/>
      <c r="BF44" s="1124"/>
      <c r="BG44" s="1124"/>
      <c r="BH44" s="1124"/>
      <c r="BI44" s="1124"/>
      <c r="BJ44" s="1124"/>
      <c r="BK44" s="1124"/>
      <c r="BL44" s="1124"/>
      <c r="BM44" s="1124"/>
      <c r="BN44" s="1257"/>
      <c r="BO44" s="1257"/>
      <c r="BP44" s="1257"/>
      <c r="BQ44" s="1297"/>
      <c r="BR44" s="1297"/>
      <c r="BS44" s="1072" t="s">
        <v>2032</v>
      </c>
      <c r="BT44" s="1072"/>
      <c r="BU44" s="1072"/>
      <c r="BV44" s="987"/>
      <c r="BW44" s="987"/>
    </row>
    <row customHeight="1" ht="14.625" hidden="1">
      <c r="A45" s="1297"/>
      <c r="B45" s="986"/>
      <c r="C45" s="103"/>
      <c r="D45" s="103"/>
      <c r="E45" s="626">
        <v>15</v>
      </c>
      <c r="F45" s="50" cm="1" t="str">
        <f t="array" ref="F45:F45">OFFSET(E45,-1,1)</f>
        <v>0</v>
      </c>
      <c r="G45" s="103"/>
      <c r="H45" s="864"/>
      <c r="I45" s="864" t="s">
        <v>2209</v>
      </c>
      <c r="J45" s="103"/>
      <c r="K45" s="374" t="s">
        <v>2209</v>
      </c>
      <c r="L45" s="988" t="s">
        <v>2017</v>
      </c>
      <c r="M45" s="103" t="s">
        <v>2033</v>
      </c>
      <c r="N45" s="103"/>
      <c r="O45" s="103"/>
      <c r="P45" s="103"/>
      <c r="Q45" s="103"/>
      <c r="R45" s="103"/>
      <c r="S45" s="103"/>
      <c r="T45" s="468" cm="1" t="str">
        <f t="array" ref="T45:T45">T44</f>
        <v>false</v>
      </c>
      <c r="U45" s="103"/>
      <c r="V45" s="103"/>
      <c r="W45" s="103"/>
      <c r="X45" s="1559"/>
      <c r="Y45" s="1297"/>
      <c r="Z45" s="1529"/>
      <c r="AA45" s="1297"/>
      <c r="AB45" s="296" t="s">
        <v>2210</v>
      </c>
      <c r="AC45" s="775" t="s">
        <v>2035</v>
      </c>
      <c r="AD45" s="296" t="s">
        <v>936</v>
      </c>
      <c r="AE45" s="1260"/>
      <c r="AF45" s="1260"/>
      <c r="AG45" s="1260"/>
      <c r="AH45" s="1123">
        <f>AG45-AF45</f>
        <v>0</v>
      </c>
      <c r="AI45" s="1260"/>
      <c r="AJ45" s="1260"/>
      <c r="AK45" s="1124"/>
      <c r="AL45" s="1124"/>
      <c r="AM45" s="1124"/>
      <c r="AN45" s="1124"/>
      <c r="AO45" s="1124"/>
      <c r="AP45" s="1124"/>
      <c r="AQ45" s="1124"/>
      <c r="AR45" s="1124"/>
      <c r="AS45" s="1124"/>
      <c r="AT45" s="1260"/>
      <c r="AU45" s="1124"/>
      <c r="AV45" s="1124"/>
      <c r="AW45" s="1124"/>
      <c r="AX45" s="1124"/>
      <c r="AY45" s="1124"/>
      <c r="AZ45" s="1124"/>
      <c r="BA45" s="1124"/>
      <c r="BB45" s="1124"/>
      <c r="BC45" s="1124"/>
      <c r="BD45" s="1123">
        <f>IF(AI45=0,0,(AT45-AI45)/AI45*100)</f>
        <v>0</v>
      </c>
      <c r="BE45" s="1124"/>
      <c r="BF45" s="1124"/>
      <c r="BG45" s="1124"/>
      <c r="BH45" s="1124"/>
      <c r="BI45" s="1124"/>
      <c r="BJ45" s="1124"/>
      <c r="BK45" s="1124"/>
      <c r="BL45" s="1124"/>
      <c r="BM45" s="1124"/>
      <c r="BN45" s="1257"/>
      <c r="BO45" s="1257"/>
      <c r="BP45" s="1257"/>
      <c r="BQ45" s="1297"/>
      <c r="BR45" s="1297"/>
      <c r="BS45" s="1072" t="s">
        <v>2036</v>
      </c>
      <c r="BT45" s="1072"/>
      <c r="BU45" s="1072"/>
      <c r="BV45" s="987"/>
      <c r="BW45" s="987"/>
    </row>
    <row customHeight="1" ht="14.625" hidden="1">
      <c r="A46" s="1297"/>
      <c r="B46" s="986"/>
      <c r="C46" s="103"/>
      <c r="D46" s="103"/>
      <c r="E46" s="626">
        <v>15</v>
      </c>
      <c r="F46" s="50" cm="1" t="str">
        <f t="array" ref="F46:F46">OFFSET(E46,-1,1)</f>
        <v>0</v>
      </c>
      <c r="G46" s="103"/>
      <c r="H46" s="864"/>
      <c r="I46" s="864" t="s">
        <v>2211</v>
      </c>
      <c r="J46" s="103"/>
      <c r="K46" s="374" t="s">
        <v>2211</v>
      </c>
      <c r="L46" s="988"/>
      <c r="M46" s="103"/>
      <c r="N46" s="103"/>
      <c r="O46" s="103"/>
      <c r="P46" s="103"/>
      <c r="Q46" s="103"/>
      <c r="R46" s="103"/>
      <c r="S46" s="103"/>
      <c r="T46" s="468" cm="1" t="str">
        <f t="array" ref="T46:T46">T45</f>
        <v>false</v>
      </c>
      <c r="U46" s="103"/>
      <c r="V46" s="103"/>
      <c r="W46" s="103"/>
      <c r="X46" s="1559"/>
      <c r="Y46" s="1297"/>
      <c r="Z46" s="1529"/>
      <c r="AA46" s="1297"/>
      <c r="AB46" s="296" t="s">
        <v>2212</v>
      </c>
      <c r="AC46" s="775" t="s">
        <v>2213</v>
      </c>
      <c r="AD46" s="296" t="s">
        <v>936</v>
      </c>
      <c r="AE46" s="1260"/>
      <c r="AF46" s="1260"/>
      <c r="AG46" s="1260"/>
      <c r="AH46" s="1123">
        <f>AG46-AF46</f>
        <v>0</v>
      </c>
      <c r="AI46" s="1260"/>
      <c r="AJ46" s="6061"/>
      <c r="AK46" s="1124"/>
      <c r="AL46" s="1124"/>
      <c r="AM46" s="1124"/>
      <c r="AN46" s="1124"/>
      <c r="AO46" s="1124"/>
      <c r="AP46" s="1124"/>
      <c r="AQ46" s="1124"/>
      <c r="AR46" s="1124"/>
      <c r="AS46" s="1124"/>
      <c r="AT46" s="3212"/>
      <c r="AU46" s="1124"/>
      <c r="AV46" s="1124"/>
      <c r="AW46" s="1124"/>
      <c r="AX46" s="1124"/>
      <c r="AY46" s="1124"/>
      <c r="AZ46" s="1124"/>
      <c r="BA46" s="1124"/>
      <c r="BB46" s="1124"/>
      <c r="BC46" s="1124"/>
      <c r="BD46" s="1123">
        <f>IF(AI46=0,0,(AT46-AI46)/AI46*100)</f>
        <v>0</v>
      </c>
      <c r="BE46" s="1124"/>
      <c r="BF46" s="1124"/>
      <c r="BG46" s="1124"/>
      <c r="BH46" s="1124"/>
      <c r="BI46" s="1124"/>
      <c r="BJ46" s="1124"/>
      <c r="BK46" s="1124"/>
      <c r="BL46" s="1124"/>
      <c r="BM46" s="1124"/>
      <c r="BN46" s="1257"/>
      <c r="BO46" s="1257"/>
      <c r="BP46" s="1257"/>
      <c r="BQ46" s="1297"/>
      <c r="BR46" s="1297"/>
      <c r="BS46" s="1072" t="s">
        <v>2020</v>
      </c>
      <c r="BT46" s="1072"/>
      <c r="BU46" s="1072"/>
      <c r="BV46" s="987"/>
      <c r="BW46" s="987"/>
    </row>
    <row s="706" customFormat="1" customHeight="1" ht="20.475" hidden="1">
      <c r="A47" s="706"/>
      <c r="B47" s="437"/>
      <c r="C47" s="105"/>
      <c r="D47" s="105"/>
      <c r="E47" s="833">
        <v>21</v>
      </c>
      <c r="F47" s="50" cm="1" t="str">
        <f t="array" ref="F47:F47">OFFSET(E47,-1,1)</f>
        <v>0</v>
      </c>
      <c r="G47" s="105"/>
      <c r="H47" s="864"/>
      <c r="I47" s="864" t="s">
        <v>573</v>
      </c>
      <c r="J47" s="105"/>
      <c r="K47" s="374" t="s">
        <v>573</v>
      </c>
      <c r="L47" s="993"/>
      <c r="M47" s="105"/>
      <c r="N47" s="105"/>
      <c r="O47" s="105"/>
      <c r="P47" s="105"/>
      <c r="Q47" s="105"/>
      <c r="R47" s="105"/>
      <c r="S47" s="105"/>
      <c r="T47" s="468" cm="1" t="str">
        <f t="array" ref="T47:T47">T46</f>
        <v>false</v>
      </c>
      <c r="U47" s="105"/>
      <c r="V47" s="105"/>
      <c r="W47" s="105"/>
      <c r="X47" s="1559"/>
      <c r="Y47" s="706"/>
      <c r="Z47" s="1529"/>
      <c r="AA47" s="706"/>
      <c r="AB47" s="207" t="s">
        <v>1073</v>
      </c>
      <c r="AC47" s="357" t="s">
        <v>2039</v>
      </c>
      <c r="AD47" s="207" t="s">
        <v>936</v>
      </c>
      <c r="AE47" s="209">
        <f>AE48+AE49+AE50</f>
        <v>0</v>
      </c>
      <c r="AF47" s="209">
        <f>AF48+AF49+AF50</f>
        <v>0</v>
      </c>
      <c r="AG47" s="209">
        <f>AG48+AG49+AG50</f>
        <v>0</v>
      </c>
      <c r="AH47" s="785">
        <f>AG47-AF47</f>
        <v>0</v>
      </c>
      <c r="AI47" s="209">
        <f>AI48+AI49+AI50</f>
        <v>0</v>
      </c>
      <c r="AJ47" s="209">
        <f>AJ48+AJ49+AJ50</f>
        <v>0</v>
      </c>
      <c r="AK47" s="212"/>
      <c r="AL47" s="212"/>
      <c r="AM47" s="212"/>
      <c r="AN47" s="212"/>
      <c r="AO47" s="212"/>
      <c r="AP47" s="212"/>
      <c r="AQ47" s="212"/>
      <c r="AR47" s="212"/>
      <c r="AS47" s="212"/>
      <c r="AT47" s="209">
        <f>AT48+AT49+AT50</f>
        <v>0</v>
      </c>
      <c r="AU47" s="212"/>
      <c r="AV47" s="212"/>
      <c r="AW47" s="212"/>
      <c r="AX47" s="212"/>
      <c r="AY47" s="212"/>
      <c r="AZ47" s="212"/>
      <c r="BA47" s="212"/>
      <c r="BB47" s="212"/>
      <c r="BC47" s="212"/>
      <c r="BD47" s="785">
        <f>IF(AI47=0,0,(AT47-AI47)/AI47*100)</f>
        <v>0</v>
      </c>
      <c r="BE47" s="212"/>
      <c r="BF47" s="212"/>
      <c r="BG47" s="212"/>
      <c r="BH47" s="212"/>
      <c r="BI47" s="212"/>
      <c r="BJ47" s="212"/>
      <c r="BK47" s="212"/>
      <c r="BL47" s="212"/>
      <c r="BM47" s="212"/>
      <c r="BN47" s="1259"/>
      <c r="BO47" s="1259"/>
      <c r="BP47" s="1259"/>
      <c r="BQ47" s="706"/>
      <c r="BR47" s="706"/>
      <c r="BS47" s="1071" t="s">
        <v>2040</v>
      </c>
      <c r="BT47" s="1078"/>
      <c r="BU47" s="1078"/>
      <c r="BV47" s="713"/>
      <c r="BW47" s="713"/>
    </row>
    <row customHeight="1" ht="21.9375" hidden="1">
      <c r="A48" s="1297"/>
      <c r="B48" s="986"/>
      <c r="C48" s="103"/>
      <c r="D48" s="103"/>
      <c r="E48" s="626">
        <v>22.5</v>
      </c>
      <c r="F48" s="50" cm="1" t="str">
        <f t="array" ref="F48:F48">OFFSET(E48,-1,1)</f>
        <v>0</v>
      </c>
      <c r="G48" s="103"/>
      <c r="H48" s="864"/>
      <c r="I48" s="864" t="s">
        <v>1563</v>
      </c>
      <c r="J48" s="103"/>
      <c r="K48" s="374" t="s">
        <v>1563</v>
      </c>
      <c r="L48" s="988"/>
      <c r="M48" s="103"/>
      <c r="N48" s="103"/>
      <c r="O48" s="103"/>
      <c r="P48" s="103"/>
      <c r="Q48" s="103"/>
      <c r="R48" s="103"/>
      <c r="S48" s="103"/>
      <c r="T48" s="468" cm="1" t="str">
        <f t="array" ref="T48:T48">T47</f>
        <v>false</v>
      </c>
      <c r="U48" s="103"/>
      <c r="V48" s="103"/>
      <c r="W48" s="103"/>
      <c r="X48" s="1559"/>
      <c r="Y48" s="1297"/>
      <c r="Z48" s="1529"/>
      <c r="AA48" s="1297"/>
      <c r="AB48" s="296" t="s">
        <v>1564</v>
      </c>
      <c r="AC48" s="772" t="s">
        <v>2214</v>
      </c>
      <c r="AD48" s="296" t="s">
        <v>936</v>
      </c>
      <c r="AE48" s="1260"/>
      <c r="AF48" s="1260"/>
      <c r="AG48" s="1260"/>
      <c r="AH48" s="1123">
        <f>AG48-AF48</f>
        <v>0</v>
      </c>
      <c r="AI48" s="1260"/>
      <c r="AJ48" s="1260"/>
      <c r="AK48" s="1124"/>
      <c r="AL48" s="1124"/>
      <c r="AM48" s="1124"/>
      <c r="AN48" s="1124"/>
      <c r="AO48" s="1124"/>
      <c r="AP48" s="1124"/>
      <c r="AQ48" s="1124"/>
      <c r="AR48" s="1124"/>
      <c r="AS48" s="1124"/>
      <c r="AT48" s="1260"/>
      <c r="AU48" s="1124"/>
      <c r="AV48" s="1124"/>
      <c r="AW48" s="1124"/>
      <c r="AX48" s="1124"/>
      <c r="AY48" s="1124"/>
      <c r="AZ48" s="1124"/>
      <c r="BA48" s="1124"/>
      <c r="BB48" s="1124"/>
      <c r="BC48" s="1124"/>
      <c r="BD48" s="1123">
        <f>IF(AI48=0,0,(AT48-AI48)/AI48*100)</f>
        <v>0</v>
      </c>
      <c r="BE48" s="1124"/>
      <c r="BF48" s="1124"/>
      <c r="BG48" s="1124"/>
      <c r="BH48" s="1124"/>
      <c r="BI48" s="1124"/>
      <c r="BJ48" s="1124"/>
      <c r="BK48" s="1124"/>
      <c r="BL48" s="1124"/>
      <c r="BM48" s="1124"/>
      <c r="BN48" s="1257"/>
      <c r="BO48" s="1257"/>
      <c r="BP48" s="1257"/>
      <c r="BQ48" s="1297"/>
      <c r="BR48" s="1297"/>
      <c r="BS48" s="1070" t="s">
        <v>2042</v>
      </c>
      <c r="BT48" s="1072"/>
      <c r="BU48" s="1072"/>
      <c r="BV48" s="987"/>
      <c r="BW48" s="987"/>
    </row>
    <row customHeight="1" ht="21.9375" hidden="1">
      <c r="A49" s="1297"/>
      <c r="B49" s="986"/>
      <c r="C49" s="103"/>
      <c r="D49" s="103"/>
      <c r="E49" s="626">
        <v>22.5</v>
      </c>
      <c r="F49" s="50" cm="1" t="str">
        <f t="array" ref="F49:F49">OFFSET(E49,-1,1)</f>
        <v>0</v>
      </c>
      <c r="G49" s="103"/>
      <c r="H49" s="864"/>
      <c r="I49" s="864" t="s">
        <v>1567</v>
      </c>
      <c r="J49" s="103"/>
      <c r="K49" s="374" t="s">
        <v>1567</v>
      </c>
      <c r="L49" s="988"/>
      <c r="M49" s="103"/>
      <c r="N49" s="103"/>
      <c r="O49" s="103"/>
      <c r="P49" s="103"/>
      <c r="Q49" s="103"/>
      <c r="R49" s="103"/>
      <c r="S49" s="103"/>
      <c r="T49" s="468" cm="1" t="str">
        <f t="array" ref="T49:T49">T48</f>
        <v>false</v>
      </c>
      <c r="U49" s="103"/>
      <c r="V49" s="103"/>
      <c r="W49" s="103"/>
      <c r="X49" s="1559"/>
      <c r="Y49" s="1297"/>
      <c r="Z49" s="1529"/>
      <c r="AA49" s="1297"/>
      <c r="AB49" s="296" t="s">
        <v>1568</v>
      </c>
      <c r="AC49" s="772" t="s">
        <v>2215</v>
      </c>
      <c r="AD49" s="296" t="s">
        <v>936</v>
      </c>
      <c r="AE49" s="1260"/>
      <c r="AF49" s="1260"/>
      <c r="AG49" s="1260"/>
      <c r="AH49" s="1123">
        <f>AG49-AF49</f>
        <v>0</v>
      </c>
      <c r="AI49" s="1260"/>
      <c r="AJ49" s="1260"/>
      <c r="AK49" s="1124"/>
      <c r="AL49" s="1124"/>
      <c r="AM49" s="1124"/>
      <c r="AN49" s="1124"/>
      <c r="AO49" s="1124"/>
      <c r="AP49" s="1124"/>
      <c r="AQ49" s="1124"/>
      <c r="AR49" s="1124"/>
      <c r="AS49" s="1124"/>
      <c r="AT49" s="1260"/>
      <c r="AU49" s="1124"/>
      <c r="AV49" s="1124"/>
      <c r="AW49" s="1124"/>
      <c r="AX49" s="1124"/>
      <c r="AY49" s="1124"/>
      <c r="AZ49" s="1124"/>
      <c r="BA49" s="1124"/>
      <c r="BB49" s="1124"/>
      <c r="BC49" s="1124"/>
      <c r="BD49" s="1123">
        <f>IF(AI49=0,0,(AT49-AI49)/AI49*100)</f>
        <v>0</v>
      </c>
      <c r="BE49" s="1124"/>
      <c r="BF49" s="1124"/>
      <c r="BG49" s="1124"/>
      <c r="BH49" s="1124"/>
      <c r="BI49" s="1124"/>
      <c r="BJ49" s="1124"/>
      <c r="BK49" s="1124"/>
      <c r="BL49" s="1124"/>
      <c r="BM49" s="1124"/>
      <c r="BN49" s="1257"/>
      <c r="BO49" s="1257"/>
      <c r="BP49" s="1257"/>
      <c r="BQ49" s="1297"/>
      <c r="BR49" s="1297"/>
      <c r="BS49" s="1072" t="s">
        <v>2216</v>
      </c>
      <c r="BT49" s="1072"/>
      <c r="BU49" s="1072"/>
      <c r="BV49" s="987"/>
      <c r="BW49" s="987"/>
    </row>
    <row customHeight="1" ht="21.9375" hidden="1">
      <c r="A50" s="1297"/>
      <c r="B50" s="986"/>
      <c r="C50" s="103"/>
      <c r="D50" s="103"/>
      <c r="E50" s="626">
        <v>22.5</v>
      </c>
      <c r="F50" s="50" cm="1" t="str">
        <f t="array" ref="F50:F50">OFFSET(E50,-1,1)</f>
        <v>0</v>
      </c>
      <c r="G50" s="103"/>
      <c r="H50" s="864"/>
      <c r="I50" s="864" t="s">
        <v>1571</v>
      </c>
      <c r="J50" s="103"/>
      <c r="K50" s="374" t="s">
        <v>1571</v>
      </c>
      <c r="L50" s="988" t="s">
        <v>587</v>
      </c>
      <c r="M50" s="103"/>
      <c r="N50" s="103"/>
      <c r="O50" s="103"/>
      <c r="P50" s="103"/>
      <c r="Q50" s="103"/>
      <c r="R50" s="103"/>
      <c r="S50" s="103"/>
      <c r="T50" s="468" cm="1" t="str">
        <f t="array" ref="T50:T50">T49</f>
        <v>false</v>
      </c>
      <c r="U50" s="103"/>
      <c r="V50" s="103"/>
      <c r="W50" s="103"/>
      <c r="X50" s="1559"/>
      <c r="Y50" s="1297"/>
      <c r="Z50" s="1529"/>
      <c r="AA50" s="1297"/>
      <c r="AB50" s="296" t="s">
        <v>1572</v>
      </c>
      <c r="AC50" s="772" t="s">
        <v>2217</v>
      </c>
      <c r="AD50" s="296" t="s">
        <v>936</v>
      </c>
      <c r="AE50" s="1125">
        <f>AE51+AE52</f>
        <v>0</v>
      </c>
      <c r="AF50" s="1125">
        <f>AF51+AF52</f>
        <v>0</v>
      </c>
      <c r="AG50" s="1125">
        <f>AG51+AG52</f>
        <v>0</v>
      </c>
      <c r="AH50" s="1123">
        <f>AG50-AF50</f>
        <v>0</v>
      </c>
      <c r="AI50" s="1125">
        <f>AI51+AI52</f>
        <v>0</v>
      </c>
      <c r="AJ50" s="1125">
        <f>AJ51+AJ52</f>
        <v>0</v>
      </c>
      <c r="AK50" s="1124"/>
      <c r="AL50" s="1124"/>
      <c r="AM50" s="1124"/>
      <c r="AN50" s="1124"/>
      <c r="AO50" s="1124"/>
      <c r="AP50" s="1124"/>
      <c r="AQ50" s="1124"/>
      <c r="AR50" s="1124"/>
      <c r="AS50" s="1124"/>
      <c r="AT50" s="1125">
        <f>AT51+AT52</f>
        <v>0</v>
      </c>
      <c r="AU50" s="1124"/>
      <c r="AV50" s="1124"/>
      <c r="AW50" s="1124"/>
      <c r="AX50" s="1124"/>
      <c r="AY50" s="1124"/>
      <c r="AZ50" s="1124"/>
      <c r="BA50" s="1124"/>
      <c r="BB50" s="1124"/>
      <c r="BC50" s="1124"/>
      <c r="BD50" s="1123">
        <f>IF(AI50=0,0,(AT50-AI50)/AI50*100)</f>
        <v>0</v>
      </c>
      <c r="BE50" s="1124"/>
      <c r="BF50" s="1124"/>
      <c r="BG50" s="1124"/>
      <c r="BH50" s="1124"/>
      <c r="BI50" s="1124"/>
      <c r="BJ50" s="1124"/>
      <c r="BK50" s="1124"/>
      <c r="BL50" s="1124"/>
      <c r="BM50" s="1124"/>
      <c r="BN50" s="1257"/>
      <c r="BO50" s="1257"/>
      <c r="BP50" s="1257"/>
      <c r="BQ50" s="1297"/>
      <c r="BR50" s="1297"/>
      <c r="BS50" s="1070" t="s">
        <v>2044</v>
      </c>
      <c r="BT50" s="1072"/>
      <c r="BU50" s="1072"/>
      <c r="BV50" s="987"/>
      <c r="BW50" s="987"/>
    </row>
    <row customHeight="1" ht="14.625" hidden="1">
      <c r="A51" s="1297"/>
      <c r="B51" s="986"/>
      <c r="C51" s="103"/>
      <c r="D51" s="103"/>
      <c r="E51" s="626">
        <v>15</v>
      </c>
      <c r="F51" s="50" cm="1" t="str">
        <f t="array" ref="F51:F51">OFFSET(E51,-1,1)</f>
        <v>0</v>
      </c>
      <c r="G51" s="855" t="s">
        <v>1365</v>
      </c>
      <c r="H51" s="864"/>
      <c r="I51" s="864" t="s">
        <v>2218</v>
      </c>
      <c r="J51" s="103"/>
      <c r="K51" s="374" t="s">
        <v>2218</v>
      </c>
      <c r="L51" s="988" t="s">
        <v>2045</v>
      </c>
      <c r="M51" s="103"/>
      <c r="N51" s="103"/>
      <c r="O51" s="103"/>
      <c r="P51" s="103"/>
      <c r="Q51" s="103"/>
      <c r="R51" s="103"/>
      <c r="S51" s="103"/>
      <c r="T51" s="468" cm="1" t="str">
        <f t="array" ref="T51:T51">T50</f>
        <v>false</v>
      </c>
      <c r="U51" s="103"/>
      <c r="V51" s="103"/>
      <c r="W51" s="103"/>
      <c r="X51" s="1559"/>
      <c r="Y51" s="1297"/>
      <c r="Z51" s="1529"/>
      <c r="AA51" s="1297"/>
      <c r="AB51" s="296" t="s">
        <v>2219</v>
      </c>
      <c r="AC51" s="775" t="s">
        <v>2046</v>
      </c>
      <c r="AD51" s="296" t="s">
        <v>936</v>
      </c>
      <c r="AE51" s="1123">
        <f>_xlfn.SUMIFS(ФОТ!AE$25:AE$127,ФОТ!$F$25:$F$127,$F51,ФОТ!$G$25:$G$127,$G51)</f>
        <v>0</v>
      </c>
      <c r="AF51" s="1123">
        <f>_xlfn.SUMIFS(ФОТ!AF$25:AF$127,ФОТ!$F$25:$F$127,$F51,ФОТ!$G$25:$G$127,$G51)</f>
        <v>0</v>
      </c>
      <c r="AG51" s="1123">
        <f>_xlfn.SUMIFS(ФОТ!AG$25:AG$127,ФОТ!$F$25:$F$127,$F51,ФОТ!$G$25:$G$127,$G51)</f>
        <v>0</v>
      </c>
      <c r="AH51" s="1123">
        <f>AG51-AF51</f>
        <v>0</v>
      </c>
      <c r="AI51" s="1123">
        <f>_xlfn.SUMIFS(ФОТ!AH$25:AH$127,ФОТ!$F$25:$F$127,$F51,ФОТ!$G$25:$G$127,$G51)</f>
        <v>0</v>
      </c>
      <c r="AJ51" s="1123">
        <f>_xlfn.SUMIFS(ФОТ!AI$25:AI$127,ФОТ!$F$25:$F$127,$F51,ФОТ!$G$25:$G$127,$G51)</f>
        <v>0</v>
      </c>
      <c r="AK51" s="1124"/>
      <c r="AL51" s="1124"/>
      <c r="AM51" s="1124"/>
      <c r="AN51" s="1124"/>
      <c r="AO51" s="1124"/>
      <c r="AP51" s="1124"/>
      <c r="AQ51" s="1124"/>
      <c r="AR51" s="1124"/>
      <c r="AS51" s="1124"/>
      <c r="AT51" s="1123">
        <f>_xlfn.SUMIFS(ФОТ!AJ$25:AJ$127,ФОТ!$F$25:$F$127,$F51,ФОТ!$G$25:$G$127,$G51)</f>
        <v>0</v>
      </c>
      <c r="AU51" s="1124"/>
      <c r="AV51" s="1124"/>
      <c r="AW51" s="1124"/>
      <c r="AX51" s="1124"/>
      <c r="AY51" s="1124"/>
      <c r="AZ51" s="1124"/>
      <c r="BA51" s="1124"/>
      <c r="BB51" s="1124"/>
      <c r="BC51" s="1124"/>
      <c r="BD51" s="1123">
        <f>IF(AI51=0,0,(AT51-AI51)/AI51*100)</f>
        <v>0</v>
      </c>
      <c r="BE51" s="1124"/>
      <c r="BF51" s="1124"/>
      <c r="BG51" s="1124"/>
      <c r="BH51" s="1124"/>
      <c r="BI51" s="1124"/>
      <c r="BJ51" s="1124"/>
      <c r="BK51" s="1124"/>
      <c r="BL51" s="1124"/>
      <c r="BM51" s="1124"/>
      <c r="BN51" s="1257"/>
      <c r="BO51" s="1261" t="str">
        <f>IF(_xlfn.IFERROR(INDEX(ФОТ!$K$26:$L$127,MATCH($F51&amp;"3komm",ФОТ!$K$26:$K$127,0),2),"")=0,"",_xlfn.IFERROR(INDEX(ФОТ!$K$26:$L$127,MATCH($F51&amp;"3komm",ФОТ!$K$26:$K$127,0),2),""))</f>
        <v/>
      </c>
      <c r="BP51" s="1257"/>
      <c r="BQ51" s="1297"/>
      <c r="BR51" s="1297"/>
      <c r="BS51" s="1070" t="s">
        <v>2047</v>
      </c>
      <c r="BT51" s="1072"/>
      <c r="BU51" s="1072"/>
      <c r="BV51" s="987"/>
      <c r="BW51" s="987"/>
    </row>
    <row customHeight="1" ht="21.9375" hidden="1">
      <c r="A52" s="1297"/>
      <c r="B52" s="986"/>
      <c r="C52" s="103"/>
      <c r="D52" s="103"/>
      <c r="E52" s="626">
        <v>22.5</v>
      </c>
      <c r="F52" s="50" cm="1" t="str">
        <f t="array" ref="F52:F52">OFFSET(E52,-1,1)</f>
        <v>0</v>
      </c>
      <c r="G52" s="855" t="s">
        <v>1370</v>
      </c>
      <c r="H52" s="864"/>
      <c r="I52" s="864" t="s">
        <v>2220</v>
      </c>
      <c r="J52" s="103"/>
      <c r="K52" s="374" t="s">
        <v>2220</v>
      </c>
      <c r="L52" s="988" t="s">
        <v>2048</v>
      </c>
      <c r="M52" s="103"/>
      <c r="N52" s="103"/>
      <c r="O52" s="103"/>
      <c r="P52" s="103"/>
      <c r="Q52" s="103"/>
      <c r="R52" s="103"/>
      <c r="S52" s="103"/>
      <c r="T52" s="468" cm="1" t="str">
        <f t="array" ref="T52:T52">T51</f>
        <v>false</v>
      </c>
      <c r="U52" s="103"/>
      <c r="V52" s="103"/>
      <c r="W52" s="103"/>
      <c r="X52" s="1559"/>
      <c r="Y52" s="1297"/>
      <c r="Z52" s="1529"/>
      <c r="AA52" s="1297"/>
      <c r="AB52" s="296" t="s">
        <v>2221</v>
      </c>
      <c r="AC52" s="775" t="s">
        <v>2222</v>
      </c>
      <c r="AD52" s="296" t="s">
        <v>936</v>
      </c>
      <c r="AE52" s="1123">
        <f>_xlfn.SUMIFS(ФОТ!AE$25:AE$127,ФОТ!$F$25:$F$127,$F52,ФОТ!$G$25:$G$127,$G52)</f>
        <v>0</v>
      </c>
      <c r="AF52" s="1123">
        <f>_xlfn.SUMIFS(ФОТ!AF$25:AF$127,ФОТ!$F$25:$F$127,$F52,ФОТ!$G$25:$G$127,$G52)</f>
        <v>0</v>
      </c>
      <c r="AG52" s="1123">
        <f>_xlfn.SUMIFS(ФОТ!AG$25:AG$127,ФОТ!$F$25:$F$127,$F52,ФОТ!$G$25:$G$127,$G52)</f>
        <v>0</v>
      </c>
      <c r="AH52" s="1123">
        <f>AG52-AF52</f>
        <v>0</v>
      </c>
      <c r="AI52" s="1123">
        <f>_xlfn.SUMIFS(ФОТ!AH$25:AH$127,ФОТ!$F$25:$F$127,$F52,ФОТ!$G$25:$G$127,$G52)</f>
        <v>0</v>
      </c>
      <c r="AJ52" s="1123">
        <f>_xlfn.SUMIFS(ФОТ!AI$25:AI$127,ФОТ!$F$25:$F$127,$F52,ФОТ!$G$25:$G$127,$G52)</f>
        <v>0</v>
      </c>
      <c r="AK52" s="1124"/>
      <c r="AL52" s="1124"/>
      <c r="AM52" s="1124"/>
      <c r="AN52" s="1124"/>
      <c r="AO52" s="1124"/>
      <c r="AP52" s="1124"/>
      <c r="AQ52" s="1124"/>
      <c r="AR52" s="1124"/>
      <c r="AS52" s="1124"/>
      <c r="AT52" s="1123">
        <f>_xlfn.SUMIFS(ФОТ!AJ$25:AJ$127,ФОТ!$F$25:$F$127,$F52,ФОТ!$G$25:$G$127,$G52)</f>
        <v>0</v>
      </c>
      <c r="AU52" s="1124"/>
      <c r="AV52" s="1124"/>
      <c r="AW52" s="1124"/>
      <c r="AX52" s="1124"/>
      <c r="AY52" s="1124"/>
      <c r="AZ52" s="1124"/>
      <c r="BA52" s="1124"/>
      <c r="BB52" s="1124"/>
      <c r="BC52" s="1124"/>
      <c r="BD52" s="1123">
        <f>IF(AI52=0,0,(AT52-AI52)/AI52*100)</f>
        <v>0</v>
      </c>
      <c r="BE52" s="1124"/>
      <c r="BF52" s="1124"/>
      <c r="BG52" s="1124"/>
      <c r="BH52" s="1124"/>
      <c r="BI52" s="1124"/>
      <c r="BJ52" s="1124"/>
      <c r="BK52" s="1124"/>
      <c r="BL52" s="1124"/>
      <c r="BM52" s="1124"/>
      <c r="BN52" s="1257"/>
      <c r="BO52" s="1261" t="str">
        <f>IF(_xlfn.IFERROR(INDEX(ФОТ!$K$26:$L$127,MATCH($F52&amp;"4komm",ФОТ!$K$26:$K$127,0),2),"")=0,"",_xlfn.IFERROR(INDEX(ФОТ!$K$26:$L$127,MATCH($F52&amp;"4komm",ФОТ!$K$26:$K$127,0),2),""))</f>
        <v/>
      </c>
      <c r="BP52" s="1257"/>
      <c r="BQ52" s="1297"/>
      <c r="BR52" s="1297"/>
      <c r="BS52" s="1070" t="s">
        <v>2050</v>
      </c>
      <c r="BT52" s="1072"/>
      <c r="BU52" s="1072"/>
      <c r="BV52" s="987"/>
      <c r="BW52" s="987"/>
    </row>
    <row s="706" customFormat="1" customHeight="1" ht="20.475" hidden="1">
      <c r="A53" s="706"/>
      <c r="B53" s="437"/>
      <c r="C53" s="105"/>
      <c r="D53" s="105"/>
      <c r="E53" s="833">
        <v>21</v>
      </c>
      <c r="F53" s="50" cm="1" t="str">
        <f t="array" ref="F53:F53">OFFSET(E53,-1,1)</f>
        <v>0</v>
      </c>
      <c r="G53" s="105"/>
      <c r="H53" s="864"/>
      <c r="I53" s="864" t="s">
        <v>577</v>
      </c>
      <c r="J53" s="105"/>
      <c r="K53" s="374" t="s">
        <v>577</v>
      </c>
      <c r="L53" s="993" t="s">
        <v>346</v>
      </c>
      <c r="M53" s="105"/>
      <c r="N53" s="105"/>
      <c r="O53" s="105"/>
      <c r="P53" s="105"/>
      <c r="Q53" s="105"/>
      <c r="R53" s="105"/>
      <c r="S53" s="105"/>
      <c r="T53" s="468" cm="1" t="str">
        <f t="array" ref="T53:T53">T52</f>
        <v>false</v>
      </c>
      <c r="U53" s="105"/>
      <c r="V53" s="105"/>
      <c r="W53" s="105"/>
      <c r="X53" s="1559"/>
      <c r="Y53" s="706"/>
      <c r="Z53" s="1529"/>
      <c r="AA53" s="706"/>
      <c r="AB53" s="207" t="s">
        <v>1076</v>
      </c>
      <c r="AC53" s="357" t="s">
        <v>2223</v>
      </c>
      <c r="AD53" s="207" t="s">
        <v>936</v>
      </c>
      <c r="AE53" s="209">
        <f>AE54+AE62+AE65+AE66+AE67+AE68+AE69</f>
        <v>0</v>
      </c>
      <c r="AF53" s="209">
        <f>AF54+AF62+AF65+AF66+AF67+AF68+AF69</f>
        <v>0</v>
      </c>
      <c r="AG53" s="209">
        <f>AG54+AG62+AG65+AG66+AG67+AG68+AG69</f>
        <v>0</v>
      </c>
      <c r="AH53" s="785">
        <f>AG53-AF53</f>
        <v>0</v>
      </c>
      <c r="AI53" s="209">
        <f>AI54+AI62+AI65+AI66+AI67+AI68+AI69</f>
        <v>0</v>
      </c>
      <c r="AJ53" s="209">
        <f>AJ54+AJ62+AJ65+AJ66+AJ67+AJ68+AJ69</f>
        <v>0</v>
      </c>
      <c r="AK53" s="212"/>
      <c r="AL53" s="212"/>
      <c r="AM53" s="212"/>
      <c r="AN53" s="212"/>
      <c r="AO53" s="212"/>
      <c r="AP53" s="212"/>
      <c r="AQ53" s="212"/>
      <c r="AR53" s="212"/>
      <c r="AS53" s="212"/>
      <c r="AT53" s="209">
        <f>AT54+AT62+AT65+AT66+AT67+AT68+AT69</f>
        <v>0</v>
      </c>
      <c r="AU53" s="212"/>
      <c r="AV53" s="212"/>
      <c r="AW53" s="212"/>
      <c r="AX53" s="212"/>
      <c r="AY53" s="212"/>
      <c r="AZ53" s="212"/>
      <c r="BA53" s="212"/>
      <c r="BB53" s="212"/>
      <c r="BC53" s="212"/>
      <c r="BD53" s="785">
        <f>IF(AI53=0,0,(AT53-AI53)/AI53*100)</f>
        <v>0</v>
      </c>
      <c r="BE53" s="212"/>
      <c r="BF53" s="212"/>
      <c r="BG53" s="212"/>
      <c r="BH53" s="212"/>
      <c r="BI53" s="212"/>
      <c r="BJ53" s="212"/>
      <c r="BK53" s="212"/>
      <c r="BL53" s="212"/>
      <c r="BM53" s="212"/>
      <c r="BN53" s="1259"/>
      <c r="BO53" s="1259"/>
      <c r="BP53" s="1259"/>
      <c r="BQ53" s="706"/>
      <c r="BR53" s="706"/>
      <c r="BS53" s="1071" t="s">
        <v>2052</v>
      </c>
      <c r="BT53" s="1078"/>
      <c r="BU53" s="1078"/>
      <c r="BV53" s="713"/>
      <c r="BW53" s="713"/>
    </row>
    <row customHeight="1" ht="21.9375" hidden="1">
      <c r="A54" s="1297"/>
      <c r="B54" s="986"/>
      <c r="C54" s="103"/>
      <c r="D54" s="103"/>
      <c r="E54" s="626">
        <v>22.5</v>
      </c>
      <c r="F54" s="50" cm="1" t="str">
        <f t="array" ref="F54:F54">OFFSET(E54,-1,1)</f>
        <v>0</v>
      </c>
      <c r="G54" s="103" t="s">
        <v>1391</v>
      </c>
      <c r="H54" s="864"/>
      <c r="I54" s="864" t="s">
        <v>1577</v>
      </c>
      <c r="J54" s="103"/>
      <c r="K54" s="374" t="s">
        <v>1577</v>
      </c>
      <c r="L54" s="988" t="s">
        <v>1097</v>
      </c>
      <c r="M54" s="103"/>
      <c r="N54" s="103"/>
      <c r="O54" s="103"/>
      <c r="P54" s="103"/>
      <c r="Q54" s="103"/>
      <c r="R54" s="103"/>
      <c r="S54" s="103"/>
      <c r="T54" s="468" cm="1" t="str">
        <f t="array" ref="T54:T54">T53</f>
        <v>false</v>
      </c>
      <c r="U54" s="103"/>
      <c r="V54" s="103"/>
      <c r="W54" s="103"/>
      <c r="X54" s="1559"/>
      <c r="Y54" s="1297"/>
      <c r="Z54" s="1529"/>
      <c r="AA54" s="1297"/>
      <c r="AB54" s="296" t="s">
        <v>1214</v>
      </c>
      <c r="AC54" s="772" t="s">
        <v>2224</v>
      </c>
      <c r="AD54" s="296" t="s">
        <v>936</v>
      </c>
      <c r="AE54" s="1123">
        <f>_xlfn.SUMIFS(Административные!AE$25:AE$103,Административные!$F$25:$F$103,$F54,Административные!$G$25:$G$103,$G54)</f>
        <v>0</v>
      </c>
      <c r="AF54" s="1123">
        <f>_xlfn.SUMIFS(Административные!AF$25:AF$103,Административные!$F$25:$F$103,$F54,Административные!$G$25:$G$103,$G54)</f>
        <v>0</v>
      </c>
      <c r="AG54" s="1123">
        <f>_xlfn.SUMIFS(Административные!AG$25:AG$103,Административные!$F$25:$F$103,$F54,Административные!$G$25:$G$103,$G54)</f>
        <v>0</v>
      </c>
      <c r="AH54" s="1123">
        <f>AG54-AF54</f>
        <v>0</v>
      </c>
      <c r="AI54" s="1123">
        <f>_xlfn.SUMIFS(Административные!AH$25:AH$103,Административные!$F$25:$F$103,$F54,Административные!$G$25:$G$103,$G54)</f>
        <v>0</v>
      </c>
      <c r="AJ54" s="1123">
        <f>_xlfn.SUMIFS(Административные!AI$25:AI$103,Административные!$F$25:$F$103,$F54,Административные!$G$25:$G$103,$G54)</f>
        <v>0</v>
      </c>
      <c r="AK54" s="1124"/>
      <c r="AL54" s="1124"/>
      <c r="AM54" s="1124"/>
      <c r="AN54" s="1124"/>
      <c r="AO54" s="1124"/>
      <c r="AP54" s="1124"/>
      <c r="AQ54" s="1124"/>
      <c r="AR54" s="1124"/>
      <c r="AS54" s="1124"/>
      <c r="AT54" s="1123">
        <f>_xlfn.SUMIFS(Административные!AJ$25:AJ$103,Административные!$F$25:$F$103,$F54,Административные!$G$25:$G$103,$G54)</f>
        <v>0</v>
      </c>
      <c r="AU54" s="1124"/>
      <c r="AV54" s="1124"/>
      <c r="AW54" s="1124"/>
      <c r="AX54" s="1124"/>
      <c r="AY54" s="1124"/>
      <c r="AZ54" s="1124"/>
      <c r="BA54" s="1124"/>
      <c r="BB54" s="1124"/>
      <c r="BC54" s="1124"/>
      <c r="BD54" s="1123">
        <f>IF(AI54=0,0,(AT54-AI54)/AI54*100)</f>
        <v>0</v>
      </c>
      <c r="BE54" s="1124"/>
      <c r="BF54" s="1124"/>
      <c r="BG54" s="1124"/>
      <c r="BH54" s="1124"/>
      <c r="BI54" s="1124"/>
      <c r="BJ54" s="1124"/>
      <c r="BK54" s="1124"/>
      <c r="BL54" s="1124"/>
      <c r="BM54" s="1124"/>
      <c r="BN54" s="1257"/>
      <c r="BO54" s="1261" t="str">
        <f>IF(_xlfn.IFERROR(INDEX(Административные!$K$26:$L$103,MATCH($F54&amp;"17komm",Административные!$K$26:$K$103,0),2),"")=0,"",_xlfn.IFERROR(INDEX(Административные!$K$26:$L$103,MATCH($F54&amp;"17komm",Административные!$K$26:$K$103,0),2),""))</f>
        <v/>
      </c>
      <c r="BP54" s="1257"/>
      <c r="BQ54" s="1297"/>
      <c r="BR54" s="1297"/>
      <c r="BS54" s="1070" t="s">
        <v>1393</v>
      </c>
      <c r="BT54" s="1072"/>
      <c r="BU54" s="1072"/>
      <c r="BV54" s="987"/>
      <c r="BW54" s="987"/>
    </row>
    <row customHeight="1" ht="14.625" hidden="1">
      <c r="A55" s="1297"/>
      <c r="B55" s="986"/>
      <c r="C55" s="103"/>
      <c r="D55" s="103"/>
      <c r="E55" s="626">
        <v>15</v>
      </c>
      <c r="F55" s="50" cm="1" t="str">
        <f t="array" ref="F55:F55">OFFSET(E55,-1,1)</f>
        <v>0</v>
      </c>
      <c r="G55" s="103" t="s">
        <v>1394</v>
      </c>
      <c r="H55" s="864"/>
      <c r="I55" s="864" t="s">
        <v>2225</v>
      </c>
      <c r="J55" s="103"/>
      <c r="K55" s="374" t="s">
        <v>2225</v>
      </c>
      <c r="L55" s="988"/>
      <c r="M55" s="103"/>
      <c r="N55" s="103"/>
      <c r="O55" s="103"/>
      <c r="P55" s="103"/>
      <c r="Q55" s="103"/>
      <c r="R55" s="103"/>
      <c r="S55" s="103"/>
      <c r="T55" s="468" cm="1" t="str">
        <f t="array" ref="T55:T55">T54</f>
        <v>false</v>
      </c>
      <c r="U55" s="103"/>
      <c r="V55" s="103"/>
      <c r="W55" s="103"/>
      <c r="X55" s="1559"/>
      <c r="Y55" s="1297"/>
      <c r="Z55" s="1529"/>
      <c r="AA55" s="1297"/>
      <c r="AB55" s="296" t="s">
        <v>2226</v>
      </c>
      <c r="AC55" s="775" t="s">
        <v>1395</v>
      </c>
      <c r="AD55" s="296" t="s">
        <v>936</v>
      </c>
      <c r="AE55" s="1123">
        <f>_xlfn.SUMIFS(Административные!AE$25:AE$103,Административные!$F$25:$F$103,$F55,Административные!$G$25:$G$103,$G55)</f>
        <v>0</v>
      </c>
      <c r="AF55" s="1123">
        <f>_xlfn.SUMIFS(Административные!AF$25:AF$103,Административные!$F$25:$F$103,$F55,Административные!$G$25:$G$103,$G55)</f>
        <v>0</v>
      </c>
      <c r="AG55" s="1123">
        <f>_xlfn.SUMIFS(Административные!AG$25:AG$103,Административные!$F$25:$F$103,$F55,Административные!$G$25:$G$103,$G55)</f>
        <v>0</v>
      </c>
      <c r="AH55" s="1123">
        <f>AG55-AF55</f>
        <v>0</v>
      </c>
      <c r="AI55" s="1123">
        <f>_xlfn.SUMIFS(Административные!AH$25:AH$103,Административные!$F$25:$F$103,$F55,Административные!$G$25:$G$103,$G55)</f>
        <v>0</v>
      </c>
      <c r="AJ55" s="1123">
        <f>_xlfn.SUMIFS(Административные!AI$25:AI$103,Административные!$F$25:$F$103,$F55,Административные!$G$25:$G$103,$G55)</f>
        <v>0</v>
      </c>
      <c r="AK55" s="1124"/>
      <c r="AL55" s="1124"/>
      <c r="AM55" s="1124"/>
      <c r="AN55" s="1124"/>
      <c r="AO55" s="1124"/>
      <c r="AP55" s="1124"/>
      <c r="AQ55" s="1124"/>
      <c r="AR55" s="1124"/>
      <c r="AS55" s="1124"/>
      <c r="AT55" s="1123">
        <f>_xlfn.SUMIFS(Административные!AJ$25:AJ$103,Административные!$F$25:$F$103,$F55,Административные!$G$25:$G$103,$G55)</f>
        <v>0</v>
      </c>
      <c r="AU55" s="1124"/>
      <c r="AV55" s="1124"/>
      <c r="AW55" s="1124"/>
      <c r="AX55" s="1124"/>
      <c r="AY55" s="1124"/>
      <c r="AZ55" s="1124"/>
      <c r="BA55" s="1124"/>
      <c r="BB55" s="1124"/>
      <c r="BC55" s="1124"/>
      <c r="BD55" s="1123">
        <f>IF(AI55=0,0,(AT55-AI55)/AI55*100)</f>
        <v>0</v>
      </c>
      <c r="BE55" s="1124"/>
      <c r="BF55" s="1124"/>
      <c r="BG55" s="1124"/>
      <c r="BH55" s="1124"/>
      <c r="BI55" s="1124"/>
      <c r="BJ55" s="1124"/>
      <c r="BK55" s="1124"/>
      <c r="BL55" s="1124"/>
      <c r="BM55" s="1124"/>
      <c r="BN55" s="1257"/>
      <c r="BO55" s="1261" t="str">
        <f>IF(_xlfn.IFERROR(INDEX(Административные!$K$26:$L$103,MATCH($F55&amp;"18komm",Административные!$K$26:$K$103,0),2),"")=0,"",_xlfn.IFERROR(INDEX(Административные!$K$26:$L$103,MATCH($F55&amp;"18komm",Административные!$K$26:$K$103,0),2),""))</f>
        <v/>
      </c>
      <c r="BP55" s="1257"/>
      <c r="BQ55" s="1297"/>
      <c r="BR55" s="1297"/>
      <c r="BS55" s="1072" t="s">
        <v>1396</v>
      </c>
      <c r="BT55" s="1072"/>
      <c r="BU55" s="1072"/>
      <c r="BV55" s="987"/>
      <c r="BW55" s="987"/>
    </row>
    <row customHeight="1" ht="14.625" hidden="1">
      <c r="A56" s="1297"/>
      <c r="B56" s="986"/>
      <c r="C56" s="103"/>
      <c r="D56" s="103"/>
      <c r="E56" s="626">
        <v>15</v>
      </c>
      <c r="F56" s="50" cm="1" t="str">
        <f t="array" ref="F56:F56">OFFSET(E56,-1,1)</f>
        <v>0</v>
      </c>
      <c r="G56" s="103" t="s">
        <v>1397</v>
      </c>
      <c r="H56" s="864"/>
      <c r="I56" s="864" t="s">
        <v>2227</v>
      </c>
      <c r="J56" s="103"/>
      <c r="K56" s="374" t="s">
        <v>2227</v>
      </c>
      <c r="L56" s="988"/>
      <c r="M56" s="103"/>
      <c r="N56" s="103"/>
      <c r="O56" s="103"/>
      <c r="P56" s="103"/>
      <c r="Q56" s="103"/>
      <c r="R56" s="103"/>
      <c r="S56" s="103"/>
      <c r="T56" s="468" cm="1" t="str">
        <f t="array" ref="T56:T56">T55</f>
        <v>false</v>
      </c>
      <c r="U56" s="103"/>
      <c r="V56" s="103"/>
      <c r="W56" s="103"/>
      <c r="X56" s="1559"/>
      <c r="Y56" s="1297"/>
      <c r="Z56" s="1529"/>
      <c r="AA56" s="1297"/>
      <c r="AB56" s="296" t="s">
        <v>2228</v>
      </c>
      <c r="AC56" s="775" t="s">
        <v>1398</v>
      </c>
      <c r="AD56" s="296" t="s">
        <v>936</v>
      </c>
      <c r="AE56" s="1123">
        <f>_xlfn.SUMIFS(Административные!AE$25:AE$103,Административные!$F$25:$F$103,$F56,Административные!$G$25:$G$103,$G56)</f>
        <v>0</v>
      </c>
      <c r="AF56" s="1123">
        <f>_xlfn.SUMIFS(Административные!AF$25:AF$103,Административные!$F$25:$F$103,$F56,Административные!$G$25:$G$103,$G56)</f>
        <v>0</v>
      </c>
      <c r="AG56" s="1123">
        <f>_xlfn.SUMIFS(Административные!AG$25:AG$103,Административные!$F$25:$F$103,$F56,Административные!$G$25:$G$103,$G56)</f>
        <v>0</v>
      </c>
      <c r="AH56" s="1123">
        <f>AG56-AF56</f>
        <v>0</v>
      </c>
      <c r="AI56" s="1123">
        <f>_xlfn.SUMIFS(Административные!AH$25:AH$103,Административные!$F$25:$F$103,$F56,Административные!$G$25:$G$103,$G56)</f>
        <v>0</v>
      </c>
      <c r="AJ56" s="1123">
        <f>_xlfn.SUMIFS(Административные!AI$25:AI$103,Административные!$F$25:$F$103,$F56,Административные!$G$25:$G$103,$G56)</f>
        <v>0</v>
      </c>
      <c r="AK56" s="1124"/>
      <c r="AL56" s="1124"/>
      <c r="AM56" s="1124"/>
      <c r="AN56" s="1124"/>
      <c r="AO56" s="1124"/>
      <c r="AP56" s="1124"/>
      <c r="AQ56" s="1124"/>
      <c r="AR56" s="1124"/>
      <c r="AS56" s="1124"/>
      <c r="AT56" s="1123">
        <f>_xlfn.SUMIFS(Административные!AJ$25:AJ$103,Административные!$F$25:$F$103,$F56,Административные!$G$25:$G$103,$G56)</f>
        <v>0</v>
      </c>
      <c r="AU56" s="1124"/>
      <c r="AV56" s="1124"/>
      <c r="AW56" s="1124"/>
      <c r="AX56" s="1124"/>
      <c r="AY56" s="1124"/>
      <c r="AZ56" s="1124"/>
      <c r="BA56" s="1124"/>
      <c r="BB56" s="1124"/>
      <c r="BC56" s="1124"/>
      <c r="BD56" s="1123">
        <f>IF(AI56=0,0,(AT56-AI56)/AI56*100)</f>
        <v>0</v>
      </c>
      <c r="BE56" s="1124"/>
      <c r="BF56" s="1124"/>
      <c r="BG56" s="1124"/>
      <c r="BH56" s="1124"/>
      <c r="BI56" s="1124"/>
      <c r="BJ56" s="1124"/>
      <c r="BK56" s="1124"/>
      <c r="BL56" s="1124"/>
      <c r="BM56" s="1124"/>
      <c r="BN56" s="1257"/>
      <c r="BO56" s="1261" t="str">
        <f>IF(_xlfn.IFERROR(INDEX(Административные!$K$26:$L$103,MATCH($F56&amp;"11komm",Административные!$K$26:$K$103,0),2),"")=0,"",_xlfn.IFERROR(INDEX(Административные!$K$26:$L$103,MATCH($F56&amp;"11komm",Административные!$K$26:$K$103,0),2),""))</f>
        <v/>
      </c>
      <c r="BP56" s="1257"/>
      <c r="BQ56" s="1297"/>
      <c r="BR56" s="1297"/>
      <c r="BS56" s="1072" t="s">
        <v>1399</v>
      </c>
      <c r="BT56" s="1072"/>
      <c r="BU56" s="1072"/>
      <c r="BV56" s="987"/>
      <c r="BW56" s="987"/>
    </row>
    <row customHeight="1" ht="14.625" hidden="1">
      <c r="A57" s="1297"/>
      <c r="B57" s="986"/>
      <c r="C57" s="103"/>
      <c r="D57" s="103"/>
      <c r="E57" s="626">
        <v>15</v>
      </c>
      <c r="F57" s="50" cm="1" t="str">
        <f t="array" ref="F57:F57">OFFSET(E57,-1,1)</f>
        <v>0</v>
      </c>
      <c r="G57" s="103" t="s">
        <v>1400</v>
      </c>
      <c r="H57" s="864"/>
      <c r="I57" s="864" t="s">
        <v>2229</v>
      </c>
      <c r="J57" s="103"/>
      <c r="K57" s="374" t="s">
        <v>2229</v>
      </c>
      <c r="L57" s="988"/>
      <c r="M57" s="103"/>
      <c r="N57" s="103"/>
      <c r="O57" s="103"/>
      <c r="P57" s="103"/>
      <c r="Q57" s="103"/>
      <c r="R57" s="103"/>
      <c r="S57" s="103"/>
      <c r="T57" s="468" cm="1" t="str">
        <f t="array" ref="T57:T57">T56</f>
        <v>false</v>
      </c>
      <c r="U57" s="103"/>
      <c r="V57" s="103"/>
      <c r="W57" s="103"/>
      <c r="X57" s="1559"/>
      <c r="Y57" s="1297"/>
      <c r="Z57" s="1529"/>
      <c r="AA57" s="1297"/>
      <c r="AB57" s="296" t="s">
        <v>2230</v>
      </c>
      <c r="AC57" s="775" t="s">
        <v>1401</v>
      </c>
      <c r="AD57" s="296" t="s">
        <v>936</v>
      </c>
      <c r="AE57" s="1123">
        <f>_xlfn.SUMIFS(Административные!AE$25:AE$103,Административные!$F$25:$F$103,$F57,Административные!$G$25:$G$103,$G57)</f>
        <v>0</v>
      </c>
      <c r="AF57" s="1123">
        <f>_xlfn.SUMIFS(Административные!AF$25:AF$103,Административные!$F$25:$F$103,$F57,Административные!$G$25:$G$103,$G57)</f>
        <v>0</v>
      </c>
      <c r="AG57" s="1123">
        <f>_xlfn.SUMIFS(Административные!AG$25:AG$103,Административные!$F$25:$F$103,$F57,Административные!$G$25:$G$103,$G57)</f>
        <v>0</v>
      </c>
      <c r="AH57" s="1123">
        <f>AG57-AF57</f>
        <v>0</v>
      </c>
      <c r="AI57" s="1123">
        <f>_xlfn.SUMIFS(Административные!AH$25:AH$103,Административные!$F$25:$F$103,$F57,Административные!$G$25:$G$103,$G57)</f>
        <v>0</v>
      </c>
      <c r="AJ57" s="1123">
        <f>_xlfn.SUMIFS(Административные!AI$25:AI$103,Административные!$F$25:$F$103,$F57,Административные!$G$25:$G$103,$G57)</f>
        <v>0</v>
      </c>
      <c r="AK57" s="1124"/>
      <c r="AL57" s="1124"/>
      <c r="AM57" s="1124"/>
      <c r="AN57" s="1124"/>
      <c r="AO57" s="1124"/>
      <c r="AP57" s="1124"/>
      <c r="AQ57" s="1124"/>
      <c r="AR57" s="1124"/>
      <c r="AS57" s="1124"/>
      <c r="AT57" s="1123">
        <f>_xlfn.SUMIFS(Административные!AJ$25:AJ$103,Административные!$F$25:$F$103,$F57,Административные!$G$25:$G$103,$G57)</f>
        <v>0</v>
      </c>
      <c r="AU57" s="1124"/>
      <c r="AV57" s="1124"/>
      <c r="AW57" s="1124"/>
      <c r="AX57" s="1124"/>
      <c r="AY57" s="1124"/>
      <c r="AZ57" s="1124"/>
      <c r="BA57" s="1124"/>
      <c r="BB57" s="1124"/>
      <c r="BC57" s="1124"/>
      <c r="BD57" s="1123">
        <f>IF(AI57=0,0,(AT57-AI57)/AI57*100)</f>
        <v>0</v>
      </c>
      <c r="BE57" s="1124"/>
      <c r="BF57" s="1124"/>
      <c r="BG57" s="1124"/>
      <c r="BH57" s="1124"/>
      <c r="BI57" s="1124"/>
      <c r="BJ57" s="1124"/>
      <c r="BK57" s="1124"/>
      <c r="BL57" s="1124"/>
      <c r="BM57" s="1124"/>
      <c r="BN57" s="1257"/>
      <c r="BO57" s="1261" t="str">
        <f>IF(_xlfn.IFERROR(INDEX(Административные!$K$26:$L$103,MATCH($F57&amp;"12komm",Административные!$K$26:$K$103,0),2),"")=0,"",_xlfn.IFERROR(INDEX(Административные!$K$26:$L$103,MATCH($F57&amp;"12komm",Административные!$K$26:$K$103,0),2),""))</f>
        <v/>
      </c>
      <c r="BP57" s="1257"/>
      <c r="BQ57" s="1297"/>
      <c r="BR57" s="1297"/>
      <c r="BS57" s="1072" t="s">
        <v>1402</v>
      </c>
      <c r="BT57" s="1072"/>
      <c r="BU57" s="1072"/>
      <c r="BV57" s="987"/>
      <c r="BW57" s="987"/>
    </row>
    <row customHeight="1" ht="14.625" hidden="1">
      <c r="A58" s="1297"/>
      <c r="B58" s="986"/>
      <c r="C58" s="103"/>
      <c r="D58" s="103"/>
      <c r="E58" s="626">
        <v>15</v>
      </c>
      <c r="F58" s="50" cm="1" t="str">
        <f t="array" ref="F58:F58">OFFSET(E58,-1,1)</f>
        <v>0</v>
      </c>
      <c r="G58" s="103" t="s">
        <v>1403</v>
      </c>
      <c r="H58" s="864"/>
      <c r="I58" s="864" t="s">
        <v>2231</v>
      </c>
      <c r="J58" s="103"/>
      <c r="K58" s="374" t="s">
        <v>2231</v>
      </c>
      <c r="L58" s="988"/>
      <c r="M58" s="103"/>
      <c r="N58" s="103"/>
      <c r="O58" s="103"/>
      <c r="P58" s="103"/>
      <c r="Q58" s="103"/>
      <c r="R58" s="103"/>
      <c r="S58" s="103"/>
      <c r="T58" s="468" cm="1" t="str">
        <f t="array" ref="T58:T58">T57</f>
        <v>false</v>
      </c>
      <c r="U58" s="103"/>
      <c r="V58" s="103"/>
      <c r="W58" s="103"/>
      <c r="X58" s="1559"/>
      <c r="Y58" s="1297"/>
      <c r="Z58" s="1529"/>
      <c r="AA58" s="1297"/>
      <c r="AB58" s="296" t="s">
        <v>2232</v>
      </c>
      <c r="AC58" s="775" t="s">
        <v>1404</v>
      </c>
      <c r="AD58" s="296" t="s">
        <v>936</v>
      </c>
      <c r="AE58" s="1123">
        <f>_xlfn.SUMIFS(Административные!AE$25:AE$103,Административные!$F$25:$F$103,$F58,Административные!$G$25:$G$103,$G58)</f>
        <v>0</v>
      </c>
      <c r="AF58" s="1123">
        <f>_xlfn.SUMIFS(Административные!AF$25:AF$103,Административные!$F$25:$F$103,$F58,Административные!$G$25:$G$103,$G58)</f>
        <v>0</v>
      </c>
      <c r="AG58" s="1123">
        <f>_xlfn.SUMIFS(Административные!AG$25:AG$103,Административные!$F$25:$F$103,$F58,Административные!$G$25:$G$103,$G58)</f>
        <v>0</v>
      </c>
      <c r="AH58" s="1123">
        <f>AG58-AF58</f>
        <v>0</v>
      </c>
      <c r="AI58" s="1123">
        <f>_xlfn.SUMIFS(Административные!AH$25:AH$103,Административные!$F$25:$F$103,$F58,Административные!$G$25:$G$103,$G58)</f>
        <v>0</v>
      </c>
      <c r="AJ58" s="1123">
        <f>_xlfn.SUMIFS(Административные!AI$25:AI$103,Административные!$F$25:$F$103,$F58,Административные!$G$25:$G$103,$G58)</f>
        <v>0</v>
      </c>
      <c r="AK58" s="1124"/>
      <c r="AL58" s="1124"/>
      <c r="AM58" s="1124"/>
      <c r="AN58" s="1124"/>
      <c r="AO58" s="1124"/>
      <c r="AP58" s="1124"/>
      <c r="AQ58" s="1124"/>
      <c r="AR58" s="1124"/>
      <c r="AS58" s="1124"/>
      <c r="AT58" s="1123">
        <f>_xlfn.SUMIFS(Административные!AJ$25:AJ$103,Административные!$F$25:$F$103,$F58,Административные!$G$25:$G$103,$G58)</f>
        <v>0</v>
      </c>
      <c r="AU58" s="1124"/>
      <c r="AV58" s="1124"/>
      <c r="AW58" s="1124"/>
      <c r="AX58" s="1124"/>
      <c r="AY58" s="1124"/>
      <c r="AZ58" s="1124"/>
      <c r="BA58" s="1124"/>
      <c r="BB58" s="1124"/>
      <c r="BC58" s="1124"/>
      <c r="BD58" s="1123">
        <f>IF(AI58=0,0,(AT58-AI58)/AI58*100)</f>
        <v>0</v>
      </c>
      <c r="BE58" s="1124"/>
      <c r="BF58" s="1124"/>
      <c r="BG58" s="1124"/>
      <c r="BH58" s="1124"/>
      <c r="BI58" s="1124"/>
      <c r="BJ58" s="1124"/>
      <c r="BK58" s="1124"/>
      <c r="BL58" s="1124"/>
      <c r="BM58" s="1124"/>
      <c r="BN58" s="1257"/>
      <c r="BO58" s="1261" t="str">
        <f>IF(_xlfn.IFERROR(INDEX(Административные!$K$26:$L$103,MATCH($F58&amp;"13komm",Административные!$K$26:$K$103,0),2),"")=0,"",_xlfn.IFERROR(INDEX(Административные!$K$26:$L$103,MATCH($F58&amp;"13komm",Административные!$K$26:$K$103,0),2),""))</f>
        <v/>
      </c>
      <c r="BP58" s="1257"/>
      <c r="BQ58" s="1297"/>
      <c r="BR58" s="1297"/>
      <c r="BS58" s="1072" t="s">
        <v>1405</v>
      </c>
      <c r="BT58" s="1072"/>
      <c r="BU58" s="1072"/>
      <c r="BV58" s="987"/>
      <c r="BW58" s="987"/>
    </row>
    <row customHeight="1" ht="14.625" hidden="1">
      <c r="A59" s="1297"/>
      <c r="B59" s="986"/>
      <c r="C59" s="103"/>
      <c r="D59" s="103"/>
      <c r="E59" s="626">
        <v>15</v>
      </c>
      <c r="F59" s="50" cm="1" t="str">
        <f t="array" ref="F59:F59">OFFSET(E59,-1,1)</f>
        <v>0</v>
      </c>
      <c r="G59" s="103" t="s">
        <v>1406</v>
      </c>
      <c r="H59" s="864"/>
      <c r="I59" s="864" t="s">
        <v>2233</v>
      </c>
      <c r="J59" s="103"/>
      <c r="K59" s="374" t="s">
        <v>2233</v>
      </c>
      <c r="L59" s="988"/>
      <c r="M59" s="103"/>
      <c r="N59" s="103"/>
      <c r="O59" s="103"/>
      <c r="P59" s="103"/>
      <c r="Q59" s="103"/>
      <c r="R59" s="103"/>
      <c r="S59" s="103"/>
      <c r="T59" s="468" cm="1" t="str">
        <f t="array" ref="T59:T59">T58</f>
        <v>false</v>
      </c>
      <c r="U59" s="103"/>
      <c r="V59" s="103"/>
      <c r="W59" s="103"/>
      <c r="X59" s="1559"/>
      <c r="Y59" s="1297"/>
      <c r="Z59" s="1529"/>
      <c r="AA59" s="1297"/>
      <c r="AB59" s="296" t="s">
        <v>2234</v>
      </c>
      <c r="AC59" s="775" t="s">
        <v>1407</v>
      </c>
      <c r="AD59" s="296" t="s">
        <v>936</v>
      </c>
      <c r="AE59" s="794">
        <f>_xlfn.SUMIFS(Административные!AE$25:AE$103,Административные!$F$25:$F$103,$F59,Административные!$G$25:$G$103,$G59)</f>
        <v>0</v>
      </c>
      <c r="AF59" s="794">
        <f>_xlfn.SUMIFS(Административные!AF$25:AF$103,Административные!$F$25:$F$103,$F59,Административные!$G$25:$G$103,$G59)</f>
        <v>0</v>
      </c>
      <c r="AG59" s="794">
        <f>_xlfn.SUMIFS(Административные!AG$25:AG$103,Административные!$F$25:$F$103,$F59,Административные!$G$25:$G$103,$G59)</f>
        <v>0</v>
      </c>
      <c r="AH59" s="774">
        <f>AG59-AF59</f>
        <v>0</v>
      </c>
      <c r="AI59" s="794">
        <f>_xlfn.SUMIFS(Административные!AH$25:AH$103,Административные!$F$25:$F$103,$F59,Административные!$G$25:$G$103,$G59)</f>
        <v>0</v>
      </c>
      <c r="AJ59" s="794">
        <f>_xlfn.SUMIFS(Административные!AI$25:AI$103,Административные!$F$25:$F$103,$F59,Административные!$G$25:$G$103,$G59)</f>
        <v>0</v>
      </c>
      <c r="AK59" s="770"/>
      <c r="AL59" s="770"/>
      <c r="AM59" s="770"/>
      <c r="AN59" s="770"/>
      <c r="AO59" s="770"/>
      <c r="AP59" s="770"/>
      <c r="AQ59" s="770"/>
      <c r="AR59" s="770"/>
      <c r="AS59" s="770"/>
      <c r="AT59" s="794">
        <f>_xlfn.SUMIFS(Административные!AJ$25:AJ$103,Административные!$F$25:$F$103,$F59,Административные!$G$25:$G$103,$G59)</f>
        <v>0</v>
      </c>
      <c r="AU59" s="1124"/>
      <c r="AV59" s="1124"/>
      <c r="AW59" s="1124"/>
      <c r="AX59" s="1124"/>
      <c r="AY59" s="1124"/>
      <c r="AZ59" s="1124"/>
      <c r="BA59" s="1124"/>
      <c r="BB59" s="1124"/>
      <c r="BC59" s="1124"/>
      <c r="BD59" s="1123">
        <f>IF(AI59=0,0,(AT59-AI59)/AI59*100)</f>
        <v>0</v>
      </c>
      <c r="BE59" s="1124"/>
      <c r="BF59" s="1124"/>
      <c r="BG59" s="1124"/>
      <c r="BH59" s="1124"/>
      <c r="BI59" s="1124"/>
      <c r="BJ59" s="1124"/>
      <c r="BK59" s="1124"/>
      <c r="BL59" s="1124"/>
      <c r="BM59" s="1124"/>
      <c r="BN59" s="1257"/>
      <c r="BO59" s="1261" t="str">
        <f>IF(_xlfn.IFERROR(INDEX(Административные!$K$26:$L$103,MATCH($F59&amp;"14komm",Административные!$K$26:$K$103,0),2),"")=0,"",_xlfn.IFERROR(INDEX(Административные!$K$26:$L$103,MATCH($F59&amp;"14komm",Административные!$K$26:$K$103,0),2),""))</f>
        <v/>
      </c>
      <c r="BP59" s="1257"/>
      <c r="BQ59" s="1297"/>
      <c r="BR59" s="1297"/>
      <c r="BS59" s="1072" t="s">
        <v>2235</v>
      </c>
      <c r="BT59" s="1072"/>
      <c r="BU59" s="1072"/>
      <c r="BV59" s="987"/>
      <c r="BW59" s="987"/>
    </row>
    <row customHeight="1" ht="14.625" hidden="1">
      <c r="A60" s="1297"/>
      <c r="B60" s="986"/>
      <c r="C60" s="103"/>
      <c r="D60" s="103"/>
      <c r="E60" s="626">
        <v>15</v>
      </c>
      <c r="F60" s="50" cm="1" t="str">
        <f t="array" ref="F60:F60">OFFSET(E60,-1,1)</f>
        <v>0</v>
      </c>
      <c r="G60" s="103" t="s">
        <v>1409</v>
      </c>
      <c r="H60" s="864"/>
      <c r="I60" s="864" t="s">
        <v>2236</v>
      </c>
      <c r="J60" s="103"/>
      <c r="K60" s="374" t="s">
        <v>2236</v>
      </c>
      <c r="L60" s="988"/>
      <c r="M60" s="103"/>
      <c r="N60" s="103"/>
      <c r="O60" s="103"/>
      <c r="P60" s="103"/>
      <c r="Q60" s="103"/>
      <c r="R60" s="103"/>
      <c r="S60" s="103"/>
      <c r="T60" s="468" cm="1" t="str">
        <f t="array" ref="T60:T60">T59</f>
        <v>false</v>
      </c>
      <c r="U60" s="103"/>
      <c r="V60" s="103"/>
      <c r="W60" s="103"/>
      <c r="X60" s="1559"/>
      <c r="Y60" s="1297"/>
      <c r="Z60" s="1529"/>
      <c r="AA60" s="1297"/>
      <c r="AB60" s="296" t="s">
        <v>2237</v>
      </c>
      <c r="AC60" s="775" t="s">
        <v>1412</v>
      </c>
      <c r="AD60" s="296" t="s">
        <v>936</v>
      </c>
      <c r="AE60" s="1123">
        <f>_xlfn.SUMIFS(Административные!AE$25:AE$103,Административные!$F$25:$F$103,$F60,Административные!$G$25:$G$103,$G60)</f>
        <v>0</v>
      </c>
      <c r="AF60" s="1123">
        <f>_xlfn.SUMIFS(Административные!AF$25:AF$103,Административные!$F$25:$F$103,$F60,Административные!$G$25:$G$103,$G60)</f>
        <v>0</v>
      </c>
      <c r="AG60" s="1123">
        <f>_xlfn.SUMIFS(Административные!AG$25:AG$103,Административные!$F$25:$F$103,$F60,Административные!$G$25:$G$103,$G60)</f>
        <v>0</v>
      </c>
      <c r="AH60" s="1123">
        <f>AG60-AF60</f>
        <v>0</v>
      </c>
      <c r="AI60" s="1123">
        <f>_xlfn.SUMIFS(Административные!AH$25:AH$103,Административные!$F$25:$F$103,$F60,Административные!$G$25:$G$103,$G60)</f>
        <v>0</v>
      </c>
      <c r="AJ60" s="1123">
        <f>_xlfn.SUMIFS(Административные!AI$25:AI$103,Административные!$F$25:$F$103,$F60,Административные!$G$25:$G$103,$G60)</f>
        <v>0</v>
      </c>
      <c r="AK60" s="1124"/>
      <c r="AL60" s="1124"/>
      <c r="AM60" s="1124"/>
      <c r="AN60" s="1124"/>
      <c r="AO60" s="1124"/>
      <c r="AP60" s="1124"/>
      <c r="AQ60" s="1124"/>
      <c r="AR60" s="1124"/>
      <c r="AS60" s="1124"/>
      <c r="AT60" s="1123">
        <f>_xlfn.SUMIFS(Административные!AJ$25:AJ$103,Административные!$F$25:$F$103,$F60,Административные!$G$25:$G$103,$G60)</f>
        <v>0</v>
      </c>
      <c r="AU60" s="1124"/>
      <c r="AV60" s="1124"/>
      <c r="AW60" s="1124"/>
      <c r="AX60" s="1124"/>
      <c r="AY60" s="1124"/>
      <c r="AZ60" s="1124"/>
      <c r="BA60" s="1124"/>
      <c r="BB60" s="1124"/>
      <c r="BC60" s="1124"/>
      <c r="BD60" s="1123">
        <f>IF(AI60=0,0,(AT60-AI60)/AI60*100)</f>
        <v>0</v>
      </c>
      <c r="BE60" s="1124"/>
      <c r="BF60" s="1124"/>
      <c r="BG60" s="1124"/>
      <c r="BH60" s="1124"/>
      <c r="BI60" s="1124"/>
      <c r="BJ60" s="1124"/>
      <c r="BK60" s="1124"/>
      <c r="BL60" s="1124"/>
      <c r="BM60" s="1124"/>
      <c r="BN60" s="1257"/>
      <c r="BO60" s="1261" t="str">
        <f>IF(_xlfn.IFERROR(INDEX(Административные!$K$26:$L$103,MATCH($F60&amp;"15komm",Административные!$K$26:$K$103,0),2),"")=0,"",_xlfn.IFERROR(INDEX(Административные!$K$26:$L$103,MATCH($F60&amp;"15komm",Административные!$K$26:$K$103,0),2),""))</f>
        <v/>
      </c>
      <c r="BP60" s="1257"/>
      <c r="BQ60" s="1297"/>
      <c r="BR60" s="1297"/>
      <c r="BS60" s="1072" t="s">
        <v>1413</v>
      </c>
      <c r="BT60" s="1072"/>
      <c r="BU60" s="1072"/>
      <c r="BV60" s="987"/>
      <c r="BW60" s="987"/>
    </row>
    <row customHeight="1" ht="14.625" hidden="1">
      <c r="A61" s="1297"/>
      <c r="B61" s="986"/>
      <c r="C61" s="103"/>
      <c r="D61" s="103"/>
      <c r="E61" s="626">
        <v>15</v>
      </c>
      <c r="F61" s="50" cm="1" t="str">
        <f t="array" ref="F61:F61">OFFSET(E61,-1,1)</f>
        <v>0</v>
      </c>
      <c r="G61" s="103" t="s">
        <v>1414</v>
      </c>
      <c r="H61" s="864"/>
      <c r="I61" s="864" t="s">
        <v>2238</v>
      </c>
      <c r="J61" s="103"/>
      <c r="K61" s="374" t="s">
        <v>2238</v>
      </c>
      <c r="L61" s="988"/>
      <c r="M61" s="103"/>
      <c r="N61" s="103"/>
      <c r="O61" s="103"/>
      <c r="P61" s="103"/>
      <c r="Q61" s="103"/>
      <c r="R61" s="103"/>
      <c r="S61" s="103"/>
      <c r="T61" s="468" cm="1" t="str">
        <f t="array" ref="T61:T61">T60</f>
        <v>false</v>
      </c>
      <c r="U61" s="103"/>
      <c r="V61" s="103"/>
      <c r="W61" s="103"/>
      <c r="X61" s="1559"/>
      <c r="Y61" s="1297"/>
      <c r="Z61" s="1529"/>
      <c r="AA61" s="1297"/>
      <c r="AB61" s="296" t="s">
        <v>2239</v>
      </c>
      <c r="AC61" s="775" t="s">
        <v>1417</v>
      </c>
      <c r="AD61" s="296" t="s">
        <v>936</v>
      </c>
      <c r="AE61" s="1123">
        <f>_xlfn.SUMIFS(Административные!AE$25:AE$103,Административные!$F$25:$F$103,$F61,Административные!$G$25:$G$103,$G61)</f>
        <v>0</v>
      </c>
      <c r="AF61" s="1123">
        <f>_xlfn.SUMIFS(Административные!AF$25:AF$103,Административные!$F$25:$F$103,$F61,Административные!$G$25:$G$103,$G61)</f>
        <v>0</v>
      </c>
      <c r="AG61" s="1123">
        <f>_xlfn.SUMIFS(Административные!AG$25:AG$103,Административные!$F$25:$F$103,$F61,Административные!$G$25:$G$103,$G61)</f>
        <v>0</v>
      </c>
      <c r="AH61" s="1123">
        <f>AG61-AF61</f>
        <v>0</v>
      </c>
      <c r="AI61" s="1123">
        <f>_xlfn.SUMIFS(Административные!AH$25:AH$103,Административные!$F$25:$F$103,$F61,Административные!$G$25:$G$103,$G61)</f>
        <v>0</v>
      </c>
      <c r="AJ61" s="1123">
        <f>_xlfn.SUMIFS(Административные!AI$25:AI$103,Административные!$F$25:$F$103,$F61,Административные!$G$25:$G$103,$G61)</f>
        <v>0</v>
      </c>
      <c r="AK61" s="1124"/>
      <c r="AL61" s="1124"/>
      <c r="AM61" s="1124"/>
      <c r="AN61" s="1124"/>
      <c r="AO61" s="1124"/>
      <c r="AP61" s="1124"/>
      <c r="AQ61" s="1124"/>
      <c r="AR61" s="1124"/>
      <c r="AS61" s="1124"/>
      <c r="AT61" s="1123">
        <f>_xlfn.SUMIFS(Административные!AJ$25:AJ$103,Административные!$F$25:$F$103,$F61,Административные!$G$25:$G$103,$G61)</f>
        <v>0</v>
      </c>
      <c r="AU61" s="1124"/>
      <c r="AV61" s="1124"/>
      <c r="AW61" s="1124"/>
      <c r="AX61" s="1124"/>
      <c r="AY61" s="1124"/>
      <c r="AZ61" s="1124"/>
      <c r="BA61" s="1124"/>
      <c r="BB61" s="1124"/>
      <c r="BC61" s="1124"/>
      <c r="BD61" s="1123">
        <f>IF(AI61=0,0,(AT61-AI61)/AI61*100)</f>
        <v>0</v>
      </c>
      <c r="BE61" s="1124"/>
      <c r="BF61" s="1124"/>
      <c r="BG61" s="1124"/>
      <c r="BH61" s="1124"/>
      <c r="BI61" s="1124"/>
      <c r="BJ61" s="1124"/>
      <c r="BK61" s="1124"/>
      <c r="BL61" s="1124"/>
      <c r="BM61" s="1124"/>
      <c r="BN61" s="1257"/>
      <c r="BO61" s="1261" t="str">
        <f>IF(_xlfn.IFERROR(INDEX(Административные!$K$26:$L$103,MATCH($F61&amp;"16komm",Административные!$K$26:$K$103,0),2),"")=0,"",_xlfn.IFERROR(INDEX(Административные!$K$26:$L$103,MATCH($F61&amp;"16komm",Административные!$K$26:$K$103,0),2),""))</f>
        <v/>
      </c>
      <c r="BP61" s="1257"/>
      <c r="BQ61" s="1297"/>
      <c r="BR61" s="1297"/>
      <c r="BS61" s="1072" t="s">
        <v>2240</v>
      </c>
      <c r="BT61" s="1072"/>
      <c r="BU61" s="1072"/>
      <c r="BV61" s="987"/>
      <c r="BW61" s="987"/>
    </row>
    <row customHeight="1" ht="21.9375" hidden="1">
      <c r="A62" s="1297"/>
      <c r="B62" s="986"/>
      <c r="C62" s="103"/>
      <c r="D62" s="103"/>
      <c r="E62" s="626">
        <v>22.5</v>
      </c>
      <c r="F62" s="50" cm="1" t="str">
        <f t="array" ref="F62:F62">OFFSET(E62,-1,1)</f>
        <v>0</v>
      </c>
      <c r="G62" s="103"/>
      <c r="H62" s="864"/>
      <c r="I62" s="864" t="s">
        <v>1578</v>
      </c>
      <c r="J62" s="103"/>
      <c r="K62" s="374" t="s">
        <v>1578</v>
      </c>
      <c r="L62" s="988" t="s">
        <v>1099</v>
      </c>
      <c r="M62" s="103"/>
      <c r="N62" s="103"/>
      <c r="O62" s="103"/>
      <c r="P62" s="103"/>
      <c r="Q62" s="103"/>
      <c r="R62" s="103"/>
      <c r="S62" s="103"/>
      <c r="T62" s="468" cm="1" t="str">
        <f t="array" ref="T62:T62">T61</f>
        <v>false</v>
      </c>
      <c r="U62" s="103"/>
      <c r="V62" s="103"/>
      <c r="W62" s="103"/>
      <c r="X62" s="1559"/>
      <c r="Y62" s="1297"/>
      <c r="Z62" s="1529"/>
      <c r="AA62" s="1297"/>
      <c r="AB62" s="296" t="s">
        <v>1217</v>
      </c>
      <c r="AC62" s="772" t="s">
        <v>2241</v>
      </c>
      <c r="AD62" s="296" t="s">
        <v>936</v>
      </c>
      <c r="AE62" s="1125">
        <f>AE63+AE64</f>
        <v>0</v>
      </c>
      <c r="AF62" s="1125">
        <f>AF63+AF64</f>
        <v>0</v>
      </c>
      <c r="AG62" s="1125">
        <f>AG63+AG64</f>
        <v>0</v>
      </c>
      <c r="AH62" s="1123">
        <f>AG62-AF62</f>
        <v>0</v>
      </c>
      <c r="AI62" s="1125">
        <f>AI63+AI64</f>
        <v>0</v>
      </c>
      <c r="AJ62" s="1125">
        <f>AJ63+AJ64</f>
        <v>0</v>
      </c>
      <c r="AK62" s="1124"/>
      <c r="AL62" s="1124"/>
      <c r="AM62" s="1124"/>
      <c r="AN62" s="1124"/>
      <c r="AO62" s="1124"/>
      <c r="AP62" s="1124"/>
      <c r="AQ62" s="1124"/>
      <c r="AR62" s="1124"/>
      <c r="AS62" s="1124"/>
      <c r="AT62" s="1125">
        <f>AT63+AT64</f>
        <v>0</v>
      </c>
      <c r="AU62" s="1124"/>
      <c r="AV62" s="1124"/>
      <c r="AW62" s="1124"/>
      <c r="AX62" s="1124"/>
      <c r="AY62" s="1124"/>
      <c r="AZ62" s="1124"/>
      <c r="BA62" s="1124"/>
      <c r="BB62" s="1124"/>
      <c r="BC62" s="1124"/>
      <c r="BD62" s="1123">
        <f>IF(AI62=0,0,(AT62-AI62)/AI62*100)</f>
        <v>0</v>
      </c>
      <c r="BE62" s="1124"/>
      <c r="BF62" s="1124"/>
      <c r="BG62" s="1124"/>
      <c r="BH62" s="1124"/>
      <c r="BI62" s="1124"/>
      <c r="BJ62" s="1124"/>
      <c r="BK62" s="1124"/>
      <c r="BL62" s="1124"/>
      <c r="BM62" s="1124"/>
      <c r="BN62" s="1257"/>
      <c r="BO62" s="1257"/>
      <c r="BP62" s="1257"/>
      <c r="BQ62" s="1297"/>
      <c r="BR62" s="1297"/>
      <c r="BS62" s="1070" t="s">
        <v>2055</v>
      </c>
      <c r="BT62" s="1072"/>
      <c r="BU62" s="1072"/>
      <c r="BV62" s="987"/>
      <c r="BW62" s="987"/>
    </row>
    <row customHeight="1" ht="14.625" hidden="1">
      <c r="A63" s="1297"/>
      <c r="B63" s="986"/>
      <c r="C63" s="103"/>
      <c r="D63" s="103"/>
      <c r="E63" s="626">
        <v>15</v>
      </c>
      <c r="F63" s="50" cm="1" t="str">
        <f t="array" ref="F63:F63">OFFSET(E63,-1,1)</f>
        <v>0</v>
      </c>
      <c r="G63" s="103" t="s">
        <v>1373</v>
      </c>
      <c r="H63" s="864"/>
      <c r="I63" s="864" t="s">
        <v>2242</v>
      </c>
      <c r="J63" s="103"/>
      <c r="K63" s="374" t="s">
        <v>2242</v>
      </c>
      <c r="L63" s="988" t="s">
        <v>602</v>
      </c>
      <c r="M63" s="103"/>
      <c r="N63" s="103"/>
      <c r="O63" s="103"/>
      <c r="P63" s="103"/>
      <c r="Q63" s="103"/>
      <c r="R63" s="103"/>
      <c r="S63" s="103"/>
      <c r="T63" s="468" cm="1" t="str">
        <f t="array" ref="T63:T63">T62</f>
        <v>false</v>
      </c>
      <c r="U63" s="103"/>
      <c r="V63" s="103"/>
      <c r="W63" s="103"/>
      <c r="X63" s="1559"/>
      <c r="Y63" s="1297"/>
      <c r="Z63" s="1529"/>
      <c r="AA63" s="1297"/>
      <c r="AB63" s="296" t="s">
        <v>2243</v>
      </c>
      <c r="AC63" s="775" t="s">
        <v>2056</v>
      </c>
      <c r="AD63" s="778" t="s">
        <v>936</v>
      </c>
      <c r="AE63" s="1123">
        <f>_xlfn.SUMIFS(ФОТ!AE$25:AE$127,ФОТ!$F$25:$F$127,$F63,ФОТ!$G$25:$G$127,$G63)</f>
        <v>0</v>
      </c>
      <c r="AF63" s="1123">
        <f>_xlfn.SUMIFS(ФОТ!AF$25:AF$127,ФОТ!$F$25:$F$127,$F63,ФОТ!$G$25:$G$127,$G63)</f>
        <v>0</v>
      </c>
      <c r="AG63" s="1123">
        <f>_xlfn.SUMIFS(ФОТ!AG$25:AG$127,ФОТ!$F$25:$F$127,$F63,ФОТ!$G$25:$G$127,$G63)</f>
        <v>0</v>
      </c>
      <c r="AH63" s="1123">
        <f>AG63-AF63</f>
        <v>0</v>
      </c>
      <c r="AI63" s="1123">
        <f>_xlfn.SUMIFS(ФОТ!AH$25:AH$127,ФОТ!$F$25:$F$127,$F63,ФОТ!$G$25:$G$127,$G63)</f>
        <v>0</v>
      </c>
      <c r="AJ63" s="1123">
        <f>_xlfn.SUMIFS(ФОТ!AI$25:AI$127,ФОТ!$F$25:$F$127,$F63,ФОТ!$G$25:$G$127,$G63)</f>
        <v>0</v>
      </c>
      <c r="AK63" s="1124"/>
      <c r="AL63" s="1124"/>
      <c r="AM63" s="1124"/>
      <c r="AN63" s="1124"/>
      <c r="AO63" s="1124"/>
      <c r="AP63" s="1124"/>
      <c r="AQ63" s="1124"/>
      <c r="AR63" s="1124"/>
      <c r="AS63" s="1124"/>
      <c r="AT63" s="1123">
        <f>_xlfn.SUMIFS(ФОТ!AJ$25:AJ$127,ФОТ!$F$25:$F$127,$F63,ФОТ!$G$25:$G$127,$G63)</f>
        <v>0</v>
      </c>
      <c r="AU63" s="1124"/>
      <c r="AV63" s="1124"/>
      <c r="AW63" s="1124"/>
      <c r="AX63" s="1124"/>
      <c r="AY63" s="1124"/>
      <c r="AZ63" s="1124"/>
      <c r="BA63" s="1124"/>
      <c r="BB63" s="1124"/>
      <c r="BC63" s="1124"/>
      <c r="BD63" s="1123">
        <f>IF(AI63=0,0,(AT63-AI63)/AI63*100)</f>
        <v>0</v>
      </c>
      <c r="BE63" s="1124"/>
      <c r="BF63" s="1124"/>
      <c r="BG63" s="1124"/>
      <c r="BH63" s="1124"/>
      <c r="BI63" s="1124"/>
      <c r="BJ63" s="1124"/>
      <c r="BK63" s="1124"/>
      <c r="BL63" s="1124"/>
      <c r="BM63" s="1124"/>
      <c r="BN63" s="1257"/>
      <c r="BO63" s="1261" t="str">
        <f>IF(_xlfn.IFERROR(INDEX(ФОТ!$K$26:$L$127,MATCH($F63&amp;"5komm",ФОТ!$K$26:$K$127,0),2),"")=0,"",_xlfn.IFERROR(INDEX(ФОТ!$K$26:$L$127,MATCH($F63&amp;"5komm",ФОТ!$K$26:$K$127,0),2),""))</f>
        <v/>
      </c>
      <c r="BP63" s="1257"/>
      <c r="BQ63" s="1297"/>
      <c r="BR63" s="1297"/>
      <c r="BS63" s="1070" t="s">
        <v>1390</v>
      </c>
      <c r="BT63" s="1072"/>
      <c r="BU63" s="1072"/>
      <c r="BV63" s="987"/>
      <c r="BW63" s="987"/>
    </row>
    <row customHeight="1" ht="21.9375" hidden="1">
      <c r="A64" s="1297"/>
      <c r="B64" s="986"/>
      <c r="C64" s="103"/>
      <c r="D64" s="103"/>
      <c r="E64" s="626">
        <v>22.5</v>
      </c>
      <c r="F64" s="50" cm="1" t="str">
        <f t="array" ref="F64:F64">OFFSET(E64,-1,1)</f>
        <v>0</v>
      </c>
      <c r="G64" s="103" t="s">
        <v>1378</v>
      </c>
      <c r="H64" s="864"/>
      <c r="I64" s="864" t="s">
        <v>2244</v>
      </c>
      <c r="J64" s="103"/>
      <c r="K64" s="374" t="s">
        <v>2244</v>
      </c>
      <c r="L64" s="988" t="s">
        <v>607</v>
      </c>
      <c r="M64" s="103"/>
      <c r="N64" s="103"/>
      <c r="O64" s="103"/>
      <c r="P64" s="103"/>
      <c r="Q64" s="103"/>
      <c r="R64" s="103"/>
      <c r="S64" s="103"/>
      <c r="T64" s="468" cm="1" t="str">
        <f t="array" ref="T64:T64">T63</f>
        <v>false</v>
      </c>
      <c r="U64" s="103"/>
      <c r="V64" s="103"/>
      <c r="W64" s="103"/>
      <c r="X64" s="1559"/>
      <c r="Y64" s="1297"/>
      <c r="Z64" s="1529"/>
      <c r="AA64" s="1297"/>
      <c r="AB64" s="296" t="s">
        <v>2245</v>
      </c>
      <c r="AC64" s="775" t="s">
        <v>2246</v>
      </c>
      <c r="AD64" s="296" t="s">
        <v>936</v>
      </c>
      <c r="AE64" s="1123">
        <f>_xlfn.SUMIFS(ФОТ!AE$25:AE$127,ФОТ!$F$25:$F$127,$F64,ФОТ!$G$25:$G$127,$G64)</f>
        <v>0</v>
      </c>
      <c r="AF64" s="1123">
        <f>_xlfn.SUMIFS(ФОТ!AF$25:AF$127,ФОТ!$F$25:$F$127,$F64,ФОТ!$G$25:$G$127,$G64)</f>
        <v>0</v>
      </c>
      <c r="AG64" s="1123">
        <f>_xlfn.SUMIFS(ФОТ!AG$25:AG$127,ФОТ!$F$25:$F$127,$F64,ФОТ!$G$25:$G$127,$G64)</f>
        <v>0</v>
      </c>
      <c r="AH64" s="1123">
        <f>AG64-AF64</f>
        <v>0</v>
      </c>
      <c r="AI64" s="1123">
        <f>_xlfn.SUMIFS(ФОТ!AH$25:AH$127,ФОТ!$F$25:$F$127,$F64,ФОТ!$G$25:$G$127,$G64)</f>
        <v>0</v>
      </c>
      <c r="AJ64" s="1123">
        <f>_xlfn.SUMIFS(ФОТ!AI$25:AI$127,ФОТ!$F$25:$F$127,$F64,ФОТ!$G$25:$G$127,$G64)</f>
        <v>0</v>
      </c>
      <c r="AK64" s="1124"/>
      <c r="AL64" s="1124"/>
      <c r="AM64" s="1124"/>
      <c r="AN64" s="1124"/>
      <c r="AO64" s="1124"/>
      <c r="AP64" s="1124"/>
      <c r="AQ64" s="1124"/>
      <c r="AR64" s="1124"/>
      <c r="AS64" s="1124"/>
      <c r="AT64" s="1123">
        <f>_xlfn.SUMIFS(ФОТ!AJ$25:AJ$127,ФОТ!$F$25:$F$127,$F64,ФОТ!$G$25:$G$127,$G64)</f>
        <v>0</v>
      </c>
      <c r="AU64" s="1124"/>
      <c r="AV64" s="1124"/>
      <c r="AW64" s="1124"/>
      <c r="AX64" s="1124"/>
      <c r="AY64" s="1124"/>
      <c r="AZ64" s="1124"/>
      <c r="BA64" s="1124"/>
      <c r="BB64" s="1124"/>
      <c r="BC64" s="1124"/>
      <c r="BD64" s="1123">
        <f>IF(AI64=0,0,(AT64-AI64)/AI64*100)</f>
        <v>0</v>
      </c>
      <c r="BE64" s="1124"/>
      <c r="BF64" s="1124"/>
      <c r="BG64" s="1124"/>
      <c r="BH64" s="1124"/>
      <c r="BI64" s="1124"/>
      <c r="BJ64" s="1124"/>
      <c r="BK64" s="1124"/>
      <c r="BL64" s="1124"/>
      <c r="BM64" s="1124"/>
      <c r="BN64" s="1257"/>
      <c r="BO64" s="1261" t="str">
        <f>IF(_xlfn.IFERROR(INDEX(ФОТ!$K$26:$L$127,MATCH($F64&amp;"6komm",ФОТ!$K$26:$K$127,0),2),"")=0,"",_xlfn.IFERROR(INDEX(ФОТ!$K$26:$L$127,MATCH($F64&amp;"6komm",ФОТ!$K$26:$K$127,0),2),""))</f>
        <v/>
      </c>
      <c r="BP64" s="1257"/>
      <c r="BQ64" s="1297"/>
      <c r="BR64" s="1297"/>
      <c r="BS64" s="1070" t="s">
        <v>2058</v>
      </c>
      <c r="BT64" s="1072"/>
      <c r="BU64" s="1072"/>
      <c r="BV64" s="987"/>
      <c r="BW64" s="987"/>
    </row>
    <row customHeight="1" ht="32.90625" hidden="1">
      <c r="A65" s="1297"/>
      <c r="B65" s="986"/>
      <c r="C65" s="103"/>
      <c r="D65" s="103"/>
      <c r="E65" s="626">
        <v>33.75</v>
      </c>
      <c r="F65" s="50" cm="1" t="str">
        <f t="array" ref="F65:F65">OFFSET(E65,-1,1)</f>
        <v>0</v>
      </c>
      <c r="G65" s="855" t="s">
        <v>1419</v>
      </c>
      <c r="H65" s="864"/>
      <c r="I65" s="864" t="s">
        <v>1581</v>
      </c>
      <c r="J65" s="103"/>
      <c r="K65" s="374" t="s">
        <v>1581</v>
      </c>
      <c r="L65" s="988" t="s">
        <v>1101</v>
      </c>
      <c r="M65" s="103"/>
      <c r="N65" s="103"/>
      <c r="O65" s="103"/>
      <c r="P65" s="103"/>
      <c r="Q65" s="103"/>
      <c r="R65" s="103"/>
      <c r="S65" s="103"/>
      <c r="T65" s="468" cm="1" t="str">
        <f t="array" ref="T65:T65">T64</f>
        <v>false</v>
      </c>
      <c r="U65" s="103"/>
      <c r="V65" s="103"/>
      <c r="W65" s="103"/>
      <c r="X65" s="1559"/>
      <c r="Y65" s="1297"/>
      <c r="Z65" s="1529"/>
      <c r="AA65" s="1297"/>
      <c r="AB65" s="296" t="s">
        <v>1582</v>
      </c>
      <c r="AC65" s="772" t="s">
        <v>2247</v>
      </c>
      <c r="AD65" s="296" t="s">
        <v>936</v>
      </c>
      <c r="AE65" s="1123">
        <f>_xlfn.SUMIFS(Административные!AE$25:AE$103,Административные!$F$25:$F$103,$F65,Административные!$G$25:$G$103,$G65)</f>
        <v>0</v>
      </c>
      <c r="AF65" s="1123">
        <f>_xlfn.SUMIFS(Административные!AF$25:AF$103,Административные!$F$25:$F$103,$F65,Административные!$G$25:$G$103,$G65)</f>
        <v>0</v>
      </c>
      <c r="AG65" s="1123">
        <f>_xlfn.SUMIFS(Административные!AG$25:AG$103,Административные!$F$25:$F$103,$F65,Административные!$G$25:$G$103,$G65)</f>
        <v>0</v>
      </c>
      <c r="AH65" s="1123">
        <f>AG65-AF65</f>
        <v>0</v>
      </c>
      <c r="AI65" s="1123">
        <f>_xlfn.SUMIFS(Административные!AH$25:AH$103,Административные!$F$25:$F$103,$F65,Административные!$G$25:$G$103,$G65)</f>
        <v>0</v>
      </c>
      <c r="AJ65" s="1123">
        <f>_xlfn.SUMIFS(Административные!AI$25:AI$103,Административные!$F$25:$F$103,$F65,Административные!$G$25:$G$103,$G65)</f>
        <v>0</v>
      </c>
      <c r="AK65" s="1124"/>
      <c r="AL65" s="1124"/>
      <c r="AM65" s="1124"/>
      <c r="AN65" s="1124"/>
      <c r="AO65" s="1124"/>
      <c r="AP65" s="1124"/>
      <c r="AQ65" s="1124"/>
      <c r="AR65" s="1124"/>
      <c r="AS65" s="1124"/>
      <c r="AT65" s="1123">
        <f>_xlfn.SUMIFS(Административные!AJ$25:AJ$103,Административные!$F$25:$F$103,$F65,Административные!$G$25:$G$103,$G65)</f>
        <v>0</v>
      </c>
      <c r="AU65" s="1124"/>
      <c r="AV65" s="1124"/>
      <c r="AW65" s="1124"/>
      <c r="AX65" s="1124"/>
      <c r="AY65" s="1124"/>
      <c r="AZ65" s="1124"/>
      <c r="BA65" s="1124"/>
      <c r="BB65" s="1124"/>
      <c r="BC65" s="1124"/>
      <c r="BD65" s="1123">
        <f>IF(AI65=0,0,(AT65-AI65)/AI65*100)</f>
        <v>0</v>
      </c>
      <c r="BE65" s="1124"/>
      <c r="BF65" s="1124"/>
      <c r="BG65" s="1124"/>
      <c r="BH65" s="1124"/>
      <c r="BI65" s="1124"/>
      <c r="BJ65" s="1124"/>
      <c r="BK65" s="1124"/>
      <c r="BL65" s="1124"/>
      <c r="BM65" s="1124"/>
      <c r="BN65" s="1257"/>
      <c r="BO65" s="1261" t="str">
        <f>IF(_xlfn.IFERROR(INDEX(Административные!$K$26:$L$103,MATCH($F65&amp;"2komm",Административные!$K$26:$K$103,0),2),"")=0,"",_xlfn.IFERROR(INDEX(Административные!$K$26:$L$103,MATCH($F65&amp;"2komm",Административные!$K$26:$K$103,0),2),""))</f>
        <v/>
      </c>
      <c r="BP65" s="1257"/>
      <c r="BQ65" s="1297"/>
      <c r="BR65" s="1297"/>
      <c r="BS65" s="1070" t="s">
        <v>1421</v>
      </c>
      <c r="BT65" s="1072"/>
      <c r="BU65" s="1072"/>
      <c r="BV65" s="987"/>
      <c r="BW65" s="987"/>
    </row>
    <row customHeight="1" ht="14.625" hidden="1">
      <c r="A66" s="1297"/>
      <c r="B66" s="986"/>
      <c r="C66" s="103"/>
      <c r="D66" s="103"/>
      <c r="E66" s="626">
        <v>15</v>
      </c>
      <c r="F66" s="50" cm="1" t="str">
        <f t="array" ref="F66:F66">OFFSET(E66,-1,1)</f>
        <v>0</v>
      </c>
      <c r="G66" s="855" t="s">
        <v>1422</v>
      </c>
      <c r="H66" s="864"/>
      <c r="I66" s="864" t="s">
        <v>1585</v>
      </c>
      <c r="J66" s="103"/>
      <c r="K66" s="374" t="s">
        <v>1585</v>
      </c>
      <c r="L66" s="988" t="s">
        <v>1103</v>
      </c>
      <c r="M66" s="103"/>
      <c r="N66" s="103"/>
      <c r="O66" s="103"/>
      <c r="P66" s="103"/>
      <c r="Q66" s="103"/>
      <c r="R66" s="103"/>
      <c r="S66" s="103"/>
      <c r="T66" s="468" cm="1" t="str">
        <f t="array" ref="T66:T66">T65</f>
        <v>false</v>
      </c>
      <c r="U66" s="103"/>
      <c r="V66" s="103"/>
      <c r="W66" s="103"/>
      <c r="X66" s="1559"/>
      <c r="Y66" s="1297"/>
      <c r="Z66" s="1529"/>
      <c r="AA66" s="1297"/>
      <c r="AB66" s="296" t="s">
        <v>1586</v>
      </c>
      <c r="AC66" s="772" t="s">
        <v>2248</v>
      </c>
      <c r="AD66" s="296" t="s">
        <v>936</v>
      </c>
      <c r="AE66" s="1123">
        <f>_xlfn.SUMIFS(Административные!AE$25:AE$103,Административные!$F$25:$F$103,$F66,Административные!$G$25:$G$103,$G66)</f>
        <v>0</v>
      </c>
      <c r="AF66" s="1123">
        <f>_xlfn.SUMIFS(Административные!AF$25:AF$103,Административные!$F$25:$F$103,$F66,Административные!$G$25:$G$103,$G66)</f>
        <v>0</v>
      </c>
      <c r="AG66" s="1123">
        <f>_xlfn.SUMIFS(Административные!AG$25:AG$103,Административные!$F$25:$F$103,$F66,Административные!$G$25:$G$103,$G66)</f>
        <v>0</v>
      </c>
      <c r="AH66" s="1123">
        <f>AG66-AF66</f>
        <v>0</v>
      </c>
      <c r="AI66" s="1123">
        <f>_xlfn.SUMIFS(Административные!AH$25:AH$103,Административные!$F$25:$F$103,$F66,Административные!$G$25:$G$103,$G66)</f>
        <v>0</v>
      </c>
      <c r="AJ66" s="1123">
        <f>_xlfn.SUMIFS(Административные!AI$25:AI$103,Административные!$F$25:$F$103,$F66,Административные!$G$25:$G$103,$G66)</f>
        <v>0</v>
      </c>
      <c r="AK66" s="1124"/>
      <c r="AL66" s="1124"/>
      <c r="AM66" s="1124"/>
      <c r="AN66" s="1124"/>
      <c r="AO66" s="1124"/>
      <c r="AP66" s="1124"/>
      <c r="AQ66" s="1124"/>
      <c r="AR66" s="1124"/>
      <c r="AS66" s="1124"/>
      <c r="AT66" s="1123">
        <f>_xlfn.SUMIFS(Административные!AJ$25:AJ$103,Административные!$F$25:$F$103,$F66,Административные!$G$25:$G$103,$G66)</f>
        <v>0</v>
      </c>
      <c r="AU66" s="1124"/>
      <c r="AV66" s="1124"/>
      <c r="AW66" s="1124"/>
      <c r="AX66" s="1124"/>
      <c r="AY66" s="1124"/>
      <c r="AZ66" s="1124"/>
      <c r="BA66" s="1124"/>
      <c r="BB66" s="1124"/>
      <c r="BC66" s="1124"/>
      <c r="BD66" s="1123">
        <f>IF(AI66=0,0,(AT66-AI66)/AI66*100)</f>
        <v>0</v>
      </c>
      <c r="BE66" s="1124"/>
      <c r="BF66" s="1124"/>
      <c r="BG66" s="1124"/>
      <c r="BH66" s="1124"/>
      <c r="BI66" s="1124"/>
      <c r="BJ66" s="1124"/>
      <c r="BK66" s="1124"/>
      <c r="BL66" s="1124"/>
      <c r="BM66" s="1124"/>
      <c r="BN66" s="1257"/>
      <c r="BO66" s="1261" t="str">
        <f>IF(_xlfn.IFERROR(INDEX(Административные!$K$26:$L$103,MATCH($F66&amp;"3komm",Административные!$K$26:$K$103,0),2),"")=0,"",_xlfn.IFERROR(INDEX(Административные!$K$26:$L$103,MATCH($F66&amp;"3komm",Административные!$K$26:$K$103,0),2),""))</f>
        <v/>
      </c>
      <c r="BP66" s="1257"/>
      <c r="BQ66" s="1297"/>
      <c r="BR66" s="1297"/>
      <c r="BS66" s="1070" t="s">
        <v>1424</v>
      </c>
      <c r="BT66" s="1072"/>
      <c r="BU66" s="1072"/>
      <c r="BV66" s="987"/>
      <c r="BW66" s="987"/>
    </row>
    <row customHeight="1" ht="14.625" hidden="1">
      <c r="A67" s="1297"/>
      <c r="B67" s="986"/>
      <c r="C67" s="103"/>
      <c r="D67" s="103"/>
      <c r="E67" s="626">
        <v>15</v>
      </c>
      <c r="F67" s="50" cm="1" t="str">
        <f t="array" ref="F67:F67">OFFSET(E67,-1,1)</f>
        <v>0</v>
      </c>
      <c r="G67" s="855" t="s">
        <v>1425</v>
      </c>
      <c r="H67" s="864"/>
      <c r="I67" s="864" t="s">
        <v>2249</v>
      </c>
      <c r="J67" s="103"/>
      <c r="K67" s="374" t="s">
        <v>2249</v>
      </c>
      <c r="L67" s="988" t="s">
        <v>1106</v>
      </c>
      <c r="M67" s="103"/>
      <c r="N67" s="103"/>
      <c r="O67" s="103"/>
      <c r="P67" s="103"/>
      <c r="Q67" s="103"/>
      <c r="R67" s="103"/>
      <c r="S67" s="103"/>
      <c r="T67" s="468" cm="1" t="str">
        <f t="array" ref="T67:T67">T66</f>
        <v>false</v>
      </c>
      <c r="U67" s="103"/>
      <c r="V67" s="103"/>
      <c r="W67" s="103"/>
      <c r="X67" s="1559"/>
      <c r="Y67" s="1297"/>
      <c r="Z67" s="1529"/>
      <c r="AA67" s="1297"/>
      <c r="AB67" s="296" t="s">
        <v>2250</v>
      </c>
      <c r="AC67" s="772" t="s">
        <v>2251</v>
      </c>
      <c r="AD67" s="296" t="s">
        <v>936</v>
      </c>
      <c r="AE67" s="1123">
        <f>_xlfn.SUMIFS(Административные!AE$25:AE$103,Административные!$F$25:$F$103,$F67,Административные!$G$25:$G$103,$G67)</f>
        <v>0</v>
      </c>
      <c r="AF67" s="1123">
        <f>_xlfn.SUMIFS(Административные!AF$25:AF$103,Административные!$F$25:$F$103,$F67,Административные!$G$25:$G$103,$G67)</f>
        <v>0</v>
      </c>
      <c r="AG67" s="1123">
        <f>_xlfn.SUMIFS(Административные!AG$25:AG$103,Административные!$F$25:$F$103,$F67,Административные!$G$25:$G$103,$G67)</f>
        <v>0</v>
      </c>
      <c r="AH67" s="1123">
        <f>AG67-AF67</f>
        <v>0</v>
      </c>
      <c r="AI67" s="1123">
        <f>_xlfn.SUMIFS(Административные!AH$25:AH$103,Административные!$F$25:$F$103,$F67,Административные!$G$25:$G$103,$G67)</f>
        <v>0</v>
      </c>
      <c r="AJ67" s="1123">
        <f>_xlfn.SUMIFS(Административные!AI$25:AI$103,Административные!$F$25:$F$103,$F67,Административные!$G$25:$G$103,$G67)</f>
        <v>0</v>
      </c>
      <c r="AK67" s="1124"/>
      <c r="AL67" s="1124"/>
      <c r="AM67" s="1124"/>
      <c r="AN67" s="1124"/>
      <c r="AO67" s="1124"/>
      <c r="AP67" s="1124"/>
      <c r="AQ67" s="1124"/>
      <c r="AR67" s="1124"/>
      <c r="AS67" s="1124"/>
      <c r="AT67" s="1123">
        <f>_xlfn.SUMIFS(Административные!AJ$25:AJ$103,Административные!$F$25:$F$103,$F67,Административные!$G$25:$G$103,$G67)</f>
        <v>0</v>
      </c>
      <c r="AU67" s="1124"/>
      <c r="AV67" s="1124"/>
      <c r="AW67" s="1124"/>
      <c r="AX67" s="1124"/>
      <c r="AY67" s="1124"/>
      <c r="AZ67" s="1124"/>
      <c r="BA67" s="1124"/>
      <c r="BB67" s="1124"/>
      <c r="BC67" s="1124"/>
      <c r="BD67" s="1123">
        <f>IF(AI67=0,0,(AT67-AI67)/AI67*100)</f>
        <v>0</v>
      </c>
      <c r="BE67" s="1124"/>
      <c r="BF67" s="1124"/>
      <c r="BG67" s="1124"/>
      <c r="BH67" s="1124"/>
      <c r="BI67" s="1124"/>
      <c r="BJ67" s="1124"/>
      <c r="BK67" s="1124"/>
      <c r="BL67" s="1124"/>
      <c r="BM67" s="1124"/>
      <c r="BN67" s="1257"/>
      <c r="BO67" s="1261" t="str">
        <f>IF(_xlfn.IFERROR(INDEX(Административные!$K$26:$L$103,MATCH($F67&amp;"4komm",Административные!$K$26:$K$103,0),2),"")=0,"",_xlfn.IFERROR(INDEX(Административные!$K$26:$L$103,MATCH($F67&amp;"4komm",Административные!$K$26:$K$103,0),2),""))</f>
        <v/>
      </c>
      <c r="BP67" s="1257"/>
      <c r="BQ67" s="1297"/>
      <c r="BR67" s="1297"/>
      <c r="BS67" s="1070" t="s">
        <v>1427</v>
      </c>
      <c r="BT67" s="1072"/>
      <c r="BU67" s="1072"/>
      <c r="BV67" s="987"/>
      <c r="BW67" s="987"/>
    </row>
    <row customHeight="1" ht="14.625" hidden="1">
      <c r="A68" s="1297"/>
      <c r="B68" s="986"/>
      <c r="C68" s="103"/>
      <c r="D68" s="103"/>
      <c r="E68" s="626">
        <v>15</v>
      </c>
      <c r="F68" s="50" cm="1" t="str">
        <f t="array" ref="F68:F68">OFFSET(E68,-1,1)</f>
        <v>0</v>
      </c>
      <c r="G68" s="855" t="s">
        <v>1428</v>
      </c>
      <c r="H68" s="864"/>
      <c r="I68" s="864" t="s">
        <v>2252</v>
      </c>
      <c r="J68" s="103"/>
      <c r="K68" s="374" t="s">
        <v>2252</v>
      </c>
      <c r="L68" s="988" t="s">
        <v>1410</v>
      </c>
      <c r="M68" s="103"/>
      <c r="N68" s="103"/>
      <c r="O68" s="103"/>
      <c r="P68" s="103"/>
      <c r="Q68" s="103"/>
      <c r="R68" s="103"/>
      <c r="S68" s="103"/>
      <c r="T68" s="468" cm="1" t="str">
        <f t="array" ref="T68:T68">T67</f>
        <v>false</v>
      </c>
      <c r="U68" s="103"/>
      <c r="V68" s="103"/>
      <c r="W68" s="103"/>
      <c r="X68" s="1559"/>
      <c r="Y68" s="1297"/>
      <c r="Z68" s="1529"/>
      <c r="AA68" s="1297"/>
      <c r="AB68" s="296" t="s">
        <v>2253</v>
      </c>
      <c r="AC68" s="772" t="s">
        <v>2254</v>
      </c>
      <c r="AD68" s="296" t="s">
        <v>936</v>
      </c>
      <c r="AE68" s="1123">
        <f>_xlfn.SUMIFS(Административные!AE$25:AE$103,Административные!$F$25:$F$103,$F68,Административные!$G$25:$G$103,$G68)</f>
        <v>0</v>
      </c>
      <c r="AF68" s="1123">
        <f>_xlfn.SUMIFS(Административные!AF$25:AF$103,Административные!$F$25:$F$103,$F68,Административные!$G$25:$G$103,$G68)</f>
        <v>0</v>
      </c>
      <c r="AG68" s="1123">
        <f>_xlfn.SUMIFS(Административные!AG$25:AG$103,Административные!$F$25:$F$103,$F68,Административные!$G$25:$G$103,$G68)</f>
        <v>0</v>
      </c>
      <c r="AH68" s="1123">
        <f>AG68-AF68</f>
        <v>0</v>
      </c>
      <c r="AI68" s="1123">
        <f>_xlfn.SUMIFS(Административные!AH$25:AH$103,Административные!$F$25:$F$103,$F68,Административные!$G$25:$G$103,$G68)</f>
        <v>0</v>
      </c>
      <c r="AJ68" s="1123">
        <f>_xlfn.SUMIFS(Административные!AI$25:AI$103,Административные!$F$25:$F$103,$F68,Административные!$G$25:$G$103,$G68)</f>
        <v>0</v>
      </c>
      <c r="AK68" s="1124"/>
      <c r="AL68" s="1124"/>
      <c r="AM68" s="1124"/>
      <c r="AN68" s="1124"/>
      <c r="AO68" s="1124"/>
      <c r="AP68" s="1124"/>
      <c r="AQ68" s="1124"/>
      <c r="AR68" s="1124"/>
      <c r="AS68" s="1124"/>
      <c r="AT68" s="1123">
        <f>_xlfn.SUMIFS(Административные!AJ$25:AJ$103,Административные!$F$25:$F$103,$F68,Административные!$G$25:$G$103,$G68)</f>
        <v>0</v>
      </c>
      <c r="AU68" s="1124"/>
      <c r="AV68" s="1124"/>
      <c r="AW68" s="1124"/>
      <c r="AX68" s="1124"/>
      <c r="AY68" s="1124"/>
      <c r="AZ68" s="1124"/>
      <c r="BA68" s="1124"/>
      <c r="BB68" s="1124"/>
      <c r="BC68" s="1124"/>
      <c r="BD68" s="1123">
        <f>IF(AI68=0,0,(AT68-AI68)/AI68*100)</f>
        <v>0</v>
      </c>
      <c r="BE68" s="1124"/>
      <c r="BF68" s="1124"/>
      <c r="BG68" s="1124"/>
      <c r="BH68" s="1124"/>
      <c r="BI68" s="1124"/>
      <c r="BJ68" s="1124"/>
      <c r="BK68" s="1124"/>
      <c r="BL68" s="1124"/>
      <c r="BM68" s="1124"/>
      <c r="BN68" s="1257"/>
      <c r="BO68" s="1261" t="str">
        <f>IF(_xlfn.IFERROR(INDEX(Административные!$K$26:$L$103,MATCH($F68&amp;"5komm",Административные!$K$26:$K$103,0),2),"")=0,"",_xlfn.IFERROR(INDEX(Административные!$K$26:$L$103,MATCH($F68&amp;"5komm",Административные!$K$26:$K$103,0),2),""))</f>
        <v/>
      </c>
      <c r="BP68" s="1257"/>
      <c r="BQ68" s="1297"/>
      <c r="BR68" s="1297"/>
      <c r="BS68" s="1070" t="s">
        <v>2060</v>
      </c>
      <c r="BT68" s="1072"/>
      <c r="BU68" s="1072"/>
      <c r="BV68" s="987"/>
      <c r="BW68" s="987"/>
    </row>
    <row customHeight="1" ht="14.625" hidden="1">
      <c r="A69" s="1297"/>
      <c r="B69" s="986"/>
      <c r="C69" s="103"/>
      <c r="D69" s="103"/>
      <c r="E69" s="626">
        <v>15</v>
      </c>
      <c r="F69" s="50" cm="1" t="str">
        <f t="array" ref="F69:F69">OFFSET(E69,-1,1)</f>
        <v>0</v>
      </c>
      <c r="G69" s="855" t="s">
        <v>1431</v>
      </c>
      <c r="H69" s="864"/>
      <c r="I69" s="864" t="s">
        <v>2255</v>
      </c>
      <c r="J69" s="103"/>
      <c r="K69" s="374" t="s">
        <v>2255</v>
      </c>
      <c r="L69" s="988" t="s">
        <v>1415</v>
      </c>
      <c r="M69" s="103"/>
      <c r="N69" s="103"/>
      <c r="O69" s="103"/>
      <c r="P69" s="103"/>
      <c r="Q69" s="103"/>
      <c r="R69" s="103"/>
      <c r="S69" s="103"/>
      <c r="T69" s="468" cm="1" t="str">
        <f t="array" ref="T69:T69">T68</f>
        <v>false</v>
      </c>
      <c r="U69" s="103"/>
      <c r="V69" s="103"/>
      <c r="W69" s="103"/>
      <c r="X69" s="1559"/>
      <c r="Y69" s="1297"/>
      <c r="Z69" s="1529"/>
      <c r="AA69" s="1297"/>
      <c r="AB69" s="296" t="s">
        <v>2256</v>
      </c>
      <c r="AC69" s="772" t="s">
        <v>2257</v>
      </c>
      <c r="AD69" s="296" t="s">
        <v>936</v>
      </c>
      <c r="AE69" s="1123">
        <f>_xlfn.SUMIFS(Административные!AE$25:AE$103,Административные!$F$25:$F$103,$F69,Административные!$G$25:$G$103,$G69)</f>
        <v>0</v>
      </c>
      <c r="AF69" s="1123">
        <f>_xlfn.SUMIFS(Административные!AF$25:AF$103,Административные!$F$25:$F$103,$F69,Административные!$G$25:$G$103,$G69)</f>
        <v>0</v>
      </c>
      <c r="AG69" s="1123">
        <f>_xlfn.SUMIFS(Административные!AG$25:AG$103,Административные!$F$25:$F$103,$F69,Административные!$G$25:$G$103,$G69)</f>
        <v>0</v>
      </c>
      <c r="AH69" s="1123">
        <f>AG69-AF69</f>
        <v>0</v>
      </c>
      <c r="AI69" s="1123">
        <f>_xlfn.SUMIFS(Административные!AH$25:AH$103,Административные!$F$25:$F$103,$F69,Административные!$G$25:$G$103,$G69)</f>
        <v>0</v>
      </c>
      <c r="AJ69" s="1123">
        <f>_xlfn.SUMIFS(Административные!AI$25:AI$103,Административные!$F$25:$F$103,$F69,Административные!$G$25:$G$103,$G69)</f>
        <v>0</v>
      </c>
      <c r="AK69" s="1124"/>
      <c r="AL69" s="1124"/>
      <c r="AM69" s="1124"/>
      <c r="AN69" s="1124"/>
      <c r="AO69" s="1124"/>
      <c r="AP69" s="1124"/>
      <c r="AQ69" s="1124"/>
      <c r="AR69" s="1124"/>
      <c r="AS69" s="1124"/>
      <c r="AT69" s="1123">
        <f>_xlfn.SUMIFS(Административные!AJ$25:AJ$103,Административные!$F$25:$F$103,$F69,Административные!$G$25:$G$103,$G69)</f>
        <v>0</v>
      </c>
      <c r="AU69" s="1124"/>
      <c r="AV69" s="1124"/>
      <c r="AW69" s="1124"/>
      <c r="AX69" s="1124"/>
      <c r="AY69" s="1124"/>
      <c r="AZ69" s="1124"/>
      <c r="BA69" s="1124"/>
      <c r="BB69" s="1124"/>
      <c r="BC69" s="1124"/>
      <c r="BD69" s="1123">
        <f>IF(AI69=0,0,(AT69-AI69)/AI69*100)</f>
        <v>0</v>
      </c>
      <c r="BE69" s="1124"/>
      <c r="BF69" s="1124"/>
      <c r="BG69" s="1124"/>
      <c r="BH69" s="1124"/>
      <c r="BI69" s="1124"/>
      <c r="BJ69" s="1124"/>
      <c r="BK69" s="1124"/>
      <c r="BL69" s="1124"/>
      <c r="BM69" s="1124"/>
      <c r="BN69" s="1257"/>
      <c r="BO69" s="1261" t="str">
        <f>IF(_xlfn.IFERROR(INDEX(Административные!$K$26:$L$103,MATCH($F69&amp;"6komm",Административные!$K$26:$K$103,0),2),"")=0,"",_xlfn.IFERROR(INDEX(Административные!$K$26:$L$103,MATCH($F69&amp;"6komm",Административные!$K$26:$K$103,0),2),""))</f>
        <v/>
      </c>
      <c r="BP69" s="1257"/>
      <c r="BQ69" s="1297"/>
      <c r="BR69" s="1297"/>
      <c r="BS69" s="1070" t="s">
        <v>2062</v>
      </c>
      <c r="BT69" s="1072"/>
      <c r="BU69" s="1072"/>
      <c r="BV69" s="987"/>
      <c r="BW69" s="987"/>
    </row>
    <row customHeight="1" ht="14.625" hidden="1">
      <c r="A70" s="1297"/>
      <c r="B70" s="986"/>
      <c r="C70" s="103"/>
      <c r="D70" s="103"/>
      <c r="E70" s="626">
        <v>15</v>
      </c>
      <c r="F70" s="50" cm="1" t="str">
        <f t="array" ref="F70:F70">OFFSET(E70,-1,1)</f>
        <v>0</v>
      </c>
      <c r="G70" s="855" t="s">
        <v>1433</v>
      </c>
      <c r="H70" s="864"/>
      <c r="I70" s="864" t="s">
        <v>2258</v>
      </c>
      <c r="J70" s="103"/>
      <c r="K70" s="374" t="s">
        <v>2258</v>
      </c>
      <c r="L70" s="988" t="s">
        <v>2063</v>
      </c>
      <c r="M70" s="103"/>
      <c r="N70" s="103"/>
      <c r="O70" s="103"/>
      <c r="P70" s="103"/>
      <c r="Q70" s="103"/>
      <c r="R70" s="103"/>
      <c r="S70" s="103"/>
      <c r="T70" s="468" cm="1" t="str">
        <f t="array" ref="T70:T70">T69</f>
        <v>false</v>
      </c>
      <c r="U70" s="103"/>
      <c r="V70" s="103"/>
      <c r="W70" s="103"/>
      <c r="X70" s="1559"/>
      <c r="Y70" s="1297"/>
      <c r="Z70" s="1529"/>
      <c r="AA70" s="1297"/>
      <c r="AB70" s="296" t="s">
        <v>2259</v>
      </c>
      <c r="AC70" s="775" t="s">
        <v>2065</v>
      </c>
      <c r="AD70" s="296" t="s">
        <v>936</v>
      </c>
      <c r="AE70" s="1123">
        <f>_xlfn.SUMIFS(Административные!AE$25:AE$103,Административные!$F$25:$F$103,$F70,Административные!$G$25:$G$103,$G70)</f>
        <v>0</v>
      </c>
      <c r="AF70" s="1123">
        <f>_xlfn.SUMIFS(Административные!AF$25:AF$103,Административные!$F$25:$F$103,$F70,Административные!$G$25:$G$103,$G70)</f>
        <v>0</v>
      </c>
      <c r="AG70" s="1123">
        <f>_xlfn.SUMIFS(Административные!AG$25:AG$103,Административные!$F$25:$F$103,$F70,Административные!$G$25:$G$103,$G70)</f>
        <v>0</v>
      </c>
      <c r="AH70" s="1123">
        <f>AG70-AF70</f>
        <v>0</v>
      </c>
      <c r="AI70" s="1123">
        <f>_xlfn.SUMIFS(Административные!AH$25:AH$103,Административные!$F$25:$F$103,$F70,Административные!$G$25:$G$103,$G70)</f>
        <v>0</v>
      </c>
      <c r="AJ70" s="1123">
        <f>_xlfn.SUMIFS(Административные!AI$25:AI$103,Административные!$F$25:$F$103,$F70,Административные!$G$25:$G$103,$G70)</f>
        <v>0</v>
      </c>
      <c r="AK70" s="1124"/>
      <c r="AL70" s="1124"/>
      <c r="AM70" s="1124"/>
      <c r="AN70" s="1124"/>
      <c r="AO70" s="1124"/>
      <c r="AP70" s="1124"/>
      <c r="AQ70" s="1124"/>
      <c r="AR70" s="1124"/>
      <c r="AS70" s="1124"/>
      <c r="AT70" s="1123">
        <f>_xlfn.SUMIFS(Административные!AJ$25:AJ$103,Административные!$F$25:$F$103,$F70,Административные!$G$25:$G$103,$G70)</f>
        <v>0</v>
      </c>
      <c r="AU70" s="1124"/>
      <c r="AV70" s="1124"/>
      <c r="AW70" s="1124"/>
      <c r="AX70" s="1124"/>
      <c r="AY70" s="1124"/>
      <c r="AZ70" s="1124"/>
      <c r="BA70" s="1124"/>
      <c r="BB70" s="1124"/>
      <c r="BC70" s="1124"/>
      <c r="BD70" s="1123">
        <f>IF(AI70=0,0,(AT70-AI70)/AI70*100)</f>
        <v>0</v>
      </c>
      <c r="BE70" s="1124"/>
      <c r="BF70" s="1124"/>
      <c r="BG70" s="1124"/>
      <c r="BH70" s="1124"/>
      <c r="BI70" s="1124"/>
      <c r="BJ70" s="1124"/>
      <c r="BK70" s="1124"/>
      <c r="BL70" s="1124"/>
      <c r="BM70" s="1124"/>
      <c r="BN70" s="1257"/>
      <c r="BO70" s="1261" t="str">
        <f>IF(_xlfn.IFERROR(INDEX(Административные!$K$26:$L$103,MATCH($F70&amp;"7komm",Административные!$K$26:$K$103,0),2),"")=0,"",_xlfn.IFERROR(INDEX(Административные!$K$26:$L$103,MATCH($F70&amp;"7komm",Административные!$K$26:$K$103,0),2),""))</f>
        <v/>
      </c>
      <c r="BP70" s="1257"/>
      <c r="BQ70" s="1297"/>
      <c r="BR70" s="1297"/>
      <c r="BS70" s="1070" t="s">
        <v>2066</v>
      </c>
      <c r="BT70" s="1072"/>
      <c r="BU70" s="1072"/>
      <c r="BV70" s="987"/>
      <c r="BW70" s="987"/>
    </row>
    <row customHeight="1" ht="14.625" hidden="1">
      <c r="A71" s="1297"/>
      <c r="B71" s="986"/>
      <c r="C71" s="103"/>
      <c r="D71" s="103"/>
      <c r="E71" s="626">
        <v>15</v>
      </c>
      <c r="F71" s="50" cm="1" t="str">
        <f t="array" ref="F71:F71">OFFSET(E71,-1,1)</f>
        <v>0</v>
      </c>
      <c r="G71" s="855" t="s">
        <v>1436</v>
      </c>
      <c r="H71" s="864"/>
      <c r="I71" s="864" t="s">
        <v>2260</v>
      </c>
      <c r="J71" s="103"/>
      <c r="K71" s="374" t="s">
        <v>2260</v>
      </c>
      <c r="L71" s="988" t="s">
        <v>2067</v>
      </c>
      <c r="M71" s="103"/>
      <c r="N71" s="103"/>
      <c r="O71" s="103"/>
      <c r="P71" s="103"/>
      <c r="Q71" s="103"/>
      <c r="R71" s="103"/>
      <c r="S71" s="103"/>
      <c r="T71" s="468" cm="1" t="str">
        <f t="array" ref="T71:T71">T70</f>
        <v>false</v>
      </c>
      <c r="U71" s="103"/>
      <c r="V71" s="103"/>
      <c r="W71" s="103"/>
      <c r="X71" s="1559"/>
      <c r="Y71" s="1297"/>
      <c r="Z71" s="1529"/>
      <c r="AA71" s="1297"/>
      <c r="AB71" s="296" t="s">
        <v>2261</v>
      </c>
      <c r="AC71" s="775" t="s">
        <v>1437</v>
      </c>
      <c r="AD71" s="296" t="s">
        <v>936</v>
      </c>
      <c r="AE71" s="1123">
        <f>_xlfn.SUMIFS(Административные!AE$25:AE$103,Административные!$F$25:$F$103,$F71,Административные!$G$25:$G$103,$G71)</f>
        <v>0</v>
      </c>
      <c r="AF71" s="1123">
        <f>_xlfn.SUMIFS(Административные!AF$25:AF$103,Административные!$F$25:$F$103,$F71,Административные!$G$25:$G$103,$G71)</f>
        <v>0</v>
      </c>
      <c r="AG71" s="1123">
        <f>_xlfn.SUMIFS(Административные!AG$25:AG$103,Административные!$F$25:$F$103,$F71,Административные!$G$25:$G$103,$G71)</f>
        <v>0</v>
      </c>
      <c r="AH71" s="1123">
        <f>AG71-AF71</f>
        <v>0</v>
      </c>
      <c r="AI71" s="1123">
        <f>_xlfn.SUMIFS(Административные!AH$25:AH$103,Административные!$F$25:$F$103,$F71,Административные!$G$25:$G$103,$G71)</f>
        <v>0</v>
      </c>
      <c r="AJ71" s="1123">
        <f>_xlfn.SUMIFS(Административные!AI$25:AI$103,Административные!$F$25:$F$103,$F71,Административные!$G$25:$G$103,$G71)</f>
        <v>0</v>
      </c>
      <c r="AK71" s="1124"/>
      <c r="AL71" s="1124"/>
      <c r="AM71" s="1124"/>
      <c r="AN71" s="1124"/>
      <c r="AO71" s="1124"/>
      <c r="AP71" s="1124"/>
      <c r="AQ71" s="1124"/>
      <c r="AR71" s="1124"/>
      <c r="AS71" s="1124"/>
      <c r="AT71" s="1123">
        <f>_xlfn.SUMIFS(Административные!AJ$25:AJ$103,Административные!$F$25:$F$103,$F71,Административные!$G$25:$G$103,$G71)</f>
        <v>0</v>
      </c>
      <c r="AU71" s="1124"/>
      <c r="AV71" s="1124"/>
      <c r="AW71" s="1124"/>
      <c r="AX71" s="1124"/>
      <c r="AY71" s="1124"/>
      <c r="AZ71" s="1124"/>
      <c r="BA71" s="1124"/>
      <c r="BB71" s="1124"/>
      <c r="BC71" s="1124"/>
      <c r="BD71" s="1123">
        <f>IF(AI71=0,0,(AT71-AI71)/AI71*100)</f>
        <v>0</v>
      </c>
      <c r="BE71" s="1124"/>
      <c r="BF71" s="1124"/>
      <c r="BG71" s="1124"/>
      <c r="BH71" s="1124"/>
      <c r="BI71" s="1124"/>
      <c r="BJ71" s="1124"/>
      <c r="BK71" s="1124"/>
      <c r="BL71" s="1124"/>
      <c r="BM71" s="1124"/>
      <c r="BN71" s="1257"/>
      <c r="BO71" s="1261" t="str">
        <f>IF(_xlfn.IFERROR(INDEX(Административные!$K$26:$L$103,MATCH($F71&amp;"8komm",Административные!$K$26:$K$103,0),2),"")=0,"",_xlfn.IFERROR(INDEX(Административные!$K$26:$L$103,MATCH($F71&amp;"8komm",Административные!$K$26:$K$103,0),2),""))</f>
        <v/>
      </c>
      <c r="BP71" s="1257"/>
      <c r="BQ71" s="1297"/>
      <c r="BR71" s="1297"/>
      <c r="BS71" s="1070" t="s">
        <v>2069</v>
      </c>
      <c r="BT71" s="1072"/>
      <c r="BU71" s="1072"/>
      <c r="BV71" s="987"/>
      <c r="BW71" s="987"/>
    </row>
    <row customHeight="1" ht="14.625" hidden="1">
      <c r="A72" s="1297"/>
      <c r="B72" s="986"/>
      <c r="C72" s="103"/>
      <c r="D72" s="103"/>
      <c r="E72" s="626">
        <v>15</v>
      </c>
      <c r="F72" s="50" cm="1" t="str">
        <f t="array" ref="F72:F72">OFFSET(E72,-1,1)</f>
        <v>0</v>
      </c>
      <c r="G72" s="103" t="s">
        <v>1439</v>
      </c>
      <c r="H72" s="864"/>
      <c r="I72" s="864" t="s">
        <v>2262</v>
      </c>
      <c r="J72" s="103"/>
      <c r="K72" s="374" t="s">
        <v>2262</v>
      </c>
      <c r="L72" s="988" t="s">
        <v>2070</v>
      </c>
      <c r="M72" s="103"/>
      <c r="N72" s="103"/>
      <c r="O72" s="103"/>
      <c r="P72" s="103"/>
      <c r="Q72" s="103"/>
      <c r="R72" s="103"/>
      <c r="S72" s="103"/>
      <c r="T72" s="468" cm="1" t="str">
        <f t="array" ref="T72:T72">T71</f>
        <v>false</v>
      </c>
      <c r="U72" s="103"/>
      <c r="V72" s="103"/>
      <c r="W72" s="103"/>
      <c r="X72" s="1559"/>
      <c r="Y72" s="1297"/>
      <c r="Z72" s="1529"/>
      <c r="AA72" s="1297"/>
      <c r="AB72" s="296" t="s">
        <v>2263</v>
      </c>
      <c r="AC72" s="775" t="s">
        <v>1440</v>
      </c>
      <c r="AD72" s="296" t="s">
        <v>936</v>
      </c>
      <c r="AE72" s="1123">
        <f>_xlfn.SUMIFS(Административные!AE$25:AE$103,Административные!$F$25:$F$103,$F72,Административные!$G$25:$G$103,$G72)</f>
        <v>0</v>
      </c>
      <c r="AF72" s="1123">
        <f>_xlfn.SUMIFS(Административные!AF$25:AF$103,Административные!$F$25:$F$103,$F72,Административные!$G$25:$G$103,$G72)</f>
        <v>0</v>
      </c>
      <c r="AG72" s="1123">
        <f>_xlfn.SUMIFS(Административные!AG$25:AG$103,Административные!$F$25:$F$103,$F72,Административные!$G$25:$G$103,$G72)</f>
        <v>0</v>
      </c>
      <c r="AH72" s="1123">
        <f>AG72-AF72</f>
        <v>0</v>
      </c>
      <c r="AI72" s="1123">
        <f>_xlfn.SUMIFS(Административные!AH$25:AH$103,Административные!$F$25:$F$103,$F72,Административные!$G$25:$G$103,$G72)</f>
        <v>0</v>
      </c>
      <c r="AJ72" s="1125">
        <f>_xlfn.SUMIFS(Административные!AI$25:AI$103,Административные!$F$25:$F$103,$F72,Административные!$G$25:$G$103,$G72)</f>
        <v>0</v>
      </c>
      <c r="AK72" s="1124"/>
      <c r="AL72" s="1124"/>
      <c r="AM72" s="1124"/>
      <c r="AN72" s="1124"/>
      <c r="AO72" s="1124"/>
      <c r="AP72" s="1124"/>
      <c r="AQ72" s="1124"/>
      <c r="AR72" s="1124"/>
      <c r="AS72" s="1124"/>
      <c r="AT72" s="1125">
        <f>_xlfn.SUMIFS(Административные!AJ$25:AJ$103,Административные!$F$25:$F$103,$F72,Административные!$G$25:$G$103,$G72)</f>
        <v>0</v>
      </c>
      <c r="AU72" s="1124"/>
      <c r="AV72" s="1124"/>
      <c r="AW72" s="1124"/>
      <c r="AX72" s="1124"/>
      <c r="AY72" s="1124"/>
      <c r="AZ72" s="1124"/>
      <c r="BA72" s="1124"/>
      <c r="BB72" s="1124"/>
      <c r="BC72" s="1124"/>
      <c r="BD72" s="1123">
        <f>IF(AI72=0,0,(AT72-AI72)/AI72*100)</f>
        <v>0</v>
      </c>
      <c r="BE72" s="1124"/>
      <c r="BF72" s="1124"/>
      <c r="BG72" s="1124"/>
      <c r="BH72" s="1124"/>
      <c r="BI72" s="1124"/>
      <c r="BJ72" s="1124"/>
      <c r="BK72" s="1124"/>
      <c r="BL72" s="1124"/>
      <c r="BM72" s="1124"/>
      <c r="BN72" s="1257"/>
      <c r="BO72" s="1261" t="str">
        <f>IF(_xlfn.IFERROR(INDEX(Административные!$K$26:$L$103,MATCH($F72&amp;"9komm",Административные!$K$26:$K$103,0),2),"")=0,"",_xlfn.IFERROR(INDEX(Административные!$K$26:$L$103,MATCH($F72&amp;"9komm",Административные!$K$26:$K$103,0),2),""))</f>
        <v/>
      </c>
      <c r="BP72" s="1257"/>
      <c r="BQ72" s="1297"/>
      <c r="BR72" s="1297"/>
      <c r="BS72" s="1070" t="s">
        <v>2072</v>
      </c>
      <c r="BT72" s="1072"/>
      <c r="BU72" s="1072"/>
      <c r="BV72" s="987"/>
      <c r="BW72" s="987"/>
    </row>
    <row customHeight="1" ht="21.9375" hidden="1">
      <c r="A73" s="1297"/>
      <c r="B73" s="434">
        <f>STATUS_GO="да"</f>
        <v>0</v>
      </c>
      <c r="C73" s="103"/>
      <c r="D73" s="103"/>
      <c r="E73" s="626">
        <v>22.5</v>
      </c>
      <c r="F73" s="50" cm="1" t="str">
        <f t="array" ref="F73:F73">OFFSET(E73,-1,1)</f>
        <v>0</v>
      </c>
      <c r="G73" s="103"/>
      <c r="H73" s="864"/>
      <c r="I73" s="864" t="s">
        <v>1079</v>
      </c>
      <c r="J73" s="103"/>
      <c r="K73" s="374" t="s">
        <v>1079</v>
      </c>
      <c r="L73" s="988" t="s">
        <v>348</v>
      </c>
      <c r="M73" s="103"/>
      <c r="N73" s="103"/>
      <c r="O73" s="103"/>
      <c r="P73" s="103"/>
      <c r="Q73" s="103"/>
      <c r="R73" s="103"/>
      <c r="S73" s="103"/>
      <c r="T73" s="468" cm="1" t="str">
        <f t="array" ref="T73:T73">T72</f>
        <v>false</v>
      </c>
      <c r="U73" s="103"/>
      <c r="V73" s="103"/>
      <c r="W73" s="103"/>
      <c r="X73" s="1559"/>
      <c r="Y73" s="1297"/>
      <c r="Z73" s="1529"/>
      <c r="AA73" s="1297"/>
      <c r="AB73" s="296" t="s">
        <v>1080</v>
      </c>
      <c r="AC73" s="769" t="s">
        <v>2264</v>
      </c>
      <c r="AD73" s="296" t="s">
        <v>936</v>
      </c>
      <c r="AE73" s="1123">
        <f>_xlfn.SUMIFS('Сбытовые расходы ГО'!AE$25:AE$75,'Сбытовые расходы ГО'!$F$25:$F$75,$F73,'Сбытовые расходы ГО'!$G$25:$G$75,"L0")-_xlfn.SUMIFS('Сбытовые расходы ГО'!AE$25:AE$75,'Сбытовые расходы ГО'!$F$25:$F$75,$F73,'Сбытовые расходы ГО'!$G$25:$G$75,"L1")</f>
        <v>0</v>
      </c>
      <c r="AF73" s="1123">
        <f>_xlfn.SUMIFS('Сбытовые расходы ГО'!AF$25:AF$75,'Сбытовые расходы ГО'!$F$25:$F$75,$F73,'Сбытовые расходы ГО'!$G$25:$G$75,"L0")-_xlfn.SUMIFS('Сбытовые расходы ГО'!AF$25:AF$75,'Сбытовые расходы ГО'!$F$25:$F$75,$F73,'Сбытовые расходы ГО'!$G$25:$G$75,"L1")</f>
        <v>0</v>
      </c>
      <c r="AG73" s="1123">
        <f>_xlfn.SUMIFS('Сбытовые расходы ГО'!AG$25:AG$75,'Сбытовые расходы ГО'!$F$25:$F$75,$F73,'Сбытовые расходы ГО'!$G$25:$G$75,"L0")-_xlfn.SUMIFS('Сбытовые расходы ГО'!AG$25:AG$75,'Сбытовые расходы ГО'!$F$25:$F$75,$F73,'Сбытовые расходы ГО'!$G$25:$G$75,"L1")</f>
        <v>0</v>
      </c>
      <c r="AH73" s="1123">
        <f>AG73-AF73</f>
        <v>0</v>
      </c>
      <c r="AI73" s="1123">
        <f>_xlfn.SUMIFS('Сбытовые расходы ГО'!AH$25:AH$75,'Сбытовые расходы ГО'!$F$25:$F$75,$F73,'Сбытовые расходы ГО'!$G$25:$G$75,"L0")-_xlfn.SUMIFS('Сбытовые расходы ГО'!AH$25:AH$75,'Сбытовые расходы ГО'!$F$25:$F$75,$F73,'Сбытовые расходы ГО'!$G$25:$G$75,"L1")</f>
        <v>0</v>
      </c>
      <c r="AJ73" s="1123">
        <f>_xlfn.SUMIFS('Сбытовые расходы ГО'!AI$25:AI$75,'Сбытовые расходы ГО'!$F$25:$F$75,$F73,'Сбытовые расходы ГО'!$G$25:$G$75,"L0")-_xlfn.SUMIFS('Сбытовые расходы ГО'!AI$25:AI$75,'Сбытовые расходы ГО'!$F$25:$F$75,$F73,'Сбытовые расходы ГО'!$G$25:$G$75,"L1")</f>
        <v>0</v>
      </c>
      <c r="AK73" s="1124"/>
      <c r="AL73" s="1124"/>
      <c r="AM73" s="1124"/>
      <c r="AN73" s="1124"/>
      <c r="AO73" s="1124"/>
      <c r="AP73" s="1124"/>
      <c r="AQ73" s="1124"/>
      <c r="AR73" s="1124"/>
      <c r="AS73" s="1124"/>
      <c r="AT73" s="1123">
        <f>_xlfn.SUMIFS('Сбытовые расходы ГО'!AJ$25:AJ$75,'Сбытовые расходы ГО'!$F$25:$F$75,$F73,'Сбытовые расходы ГО'!$G$25:$G$75,"L0")-_xlfn.SUMIFS('Сбытовые расходы ГО'!AJ$25:AJ$75,'Сбытовые расходы ГО'!$F$25:$F$75,$F73,'Сбытовые расходы ГО'!$G$25:$G$75,"L1")</f>
        <v>0</v>
      </c>
      <c r="AU73" s="1124"/>
      <c r="AV73" s="1124"/>
      <c r="AW73" s="1124"/>
      <c r="AX73" s="1124"/>
      <c r="AY73" s="1124"/>
      <c r="AZ73" s="1124"/>
      <c r="BA73" s="1124"/>
      <c r="BB73" s="1124"/>
      <c r="BC73" s="1124"/>
      <c r="BD73" s="1123">
        <f>IF(AI73=0,0,(AT73-AI73)/AI73*100)</f>
        <v>0</v>
      </c>
      <c r="BE73" s="1124"/>
      <c r="BF73" s="1124"/>
      <c r="BG73" s="1124"/>
      <c r="BH73" s="1124"/>
      <c r="BI73" s="1124"/>
      <c r="BJ73" s="1124"/>
      <c r="BK73" s="1124"/>
      <c r="BL73" s="1124"/>
      <c r="BM73" s="1124"/>
      <c r="BN73" s="1257"/>
      <c r="BO73" s="1257"/>
      <c r="BP73" s="1257"/>
      <c r="BQ73" s="1297"/>
      <c r="BR73" s="1297"/>
      <c r="BS73" s="1071" t="s">
        <v>2074</v>
      </c>
      <c r="BT73" s="1072"/>
      <c r="BU73" s="1072"/>
      <c r="BV73" s="987"/>
      <c r="BW73" s="987"/>
    </row>
    <row customHeight="1" ht="14.625" hidden="1">
      <c r="A74" s="1297"/>
      <c r="B74" s="986"/>
      <c r="C74" s="103"/>
      <c r="D74" s="103"/>
      <c r="E74" s="626">
        <v>15</v>
      </c>
      <c r="F74" s="50" cm="1" t="str">
        <f t="array" ref="F74:F74">OFFSET(E74,-1,1)</f>
        <v>0</v>
      </c>
      <c r="G74" s="103"/>
      <c r="H74" s="864"/>
      <c r="I74" s="864" t="s">
        <v>2013</v>
      </c>
      <c r="J74" s="103"/>
      <c r="K74" s="374" t="s">
        <v>2013</v>
      </c>
      <c r="L74" s="988"/>
      <c r="M74" s="103"/>
      <c r="N74" s="103"/>
      <c r="O74" s="103"/>
      <c r="P74" s="103"/>
      <c r="Q74" s="103"/>
      <c r="R74" s="103"/>
      <c r="S74" s="103"/>
      <c r="T74" s="468" cm="1" t="str">
        <f t="array" ref="T74:T74">T73</f>
        <v>false</v>
      </c>
      <c r="U74" s="103"/>
      <c r="V74" s="103"/>
      <c r="W74" s="103"/>
      <c r="X74" s="1559"/>
      <c r="Y74" s="1297"/>
      <c r="Z74" s="1529"/>
      <c r="AA74" s="1297"/>
      <c r="AB74" s="296" t="s">
        <v>2014</v>
      </c>
      <c r="AC74" s="769" t="s">
        <v>2265</v>
      </c>
      <c r="AD74" s="296" t="s">
        <v>936</v>
      </c>
      <c r="AE74" s="1260"/>
      <c r="AF74" s="1260"/>
      <c r="AG74" s="1260"/>
      <c r="AH74" s="1123">
        <f>AG74-AF74</f>
        <v>0</v>
      </c>
      <c r="AI74" s="1260"/>
      <c r="AJ74" s="1260"/>
      <c r="AK74" s="1124"/>
      <c r="AL74" s="1124"/>
      <c r="AM74" s="1124"/>
      <c r="AN74" s="1124"/>
      <c r="AO74" s="1124"/>
      <c r="AP74" s="1124"/>
      <c r="AQ74" s="1124"/>
      <c r="AR74" s="1124"/>
      <c r="AS74" s="1124"/>
      <c r="AT74" s="1260"/>
      <c r="AU74" s="1124"/>
      <c r="AV74" s="1124"/>
      <c r="AW74" s="1124"/>
      <c r="AX74" s="1124"/>
      <c r="AY74" s="1124"/>
      <c r="AZ74" s="1124"/>
      <c r="BA74" s="1124"/>
      <c r="BB74" s="1124"/>
      <c r="BC74" s="1124"/>
      <c r="BD74" s="1123">
        <f>IF(AI74=0,0,(AT74-AI74)/AI74*100)</f>
        <v>0</v>
      </c>
      <c r="BE74" s="1124"/>
      <c r="BF74" s="1124"/>
      <c r="BG74" s="1124"/>
      <c r="BH74" s="1124"/>
      <c r="BI74" s="1124"/>
      <c r="BJ74" s="1124"/>
      <c r="BK74" s="1124"/>
      <c r="BL74" s="1124"/>
      <c r="BM74" s="1124"/>
      <c r="BN74" s="1257"/>
      <c r="BO74" s="1257"/>
      <c r="BP74" s="1257"/>
      <c r="BQ74" s="1297"/>
      <c r="BR74" s="1297"/>
      <c r="BS74" s="1072" t="s">
        <v>2266</v>
      </c>
      <c r="BT74" s="1072"/>
      <c r="BU74" s="1072"/>
      <c r="BV74" s="987"/>
      <c r="BW74" s="987"/>
    </row>
    <row s="706" customFormat="1" customHeight="1" ht="20.475" hidden="1">
      <c r="A75" s="706"/>
      <c r="B75" s="437"/>
      <c r="C75" s="105"/>
      <c r="D75" s="105"/>
      <c r="E75" s="833">
        <v>21</v>
      </c>
      <c r="F75" s="50" cm="1" t="str">
        <f t="array" ref="F75:F75">OFFSET(E75,-1,1)</f>
        <v>0</v>
      </c>
      <c r="G75" s="105"/>
      <c r="H75" s="864"/>
      <c r="I75" s="864" t="s">
        <v>2017</v>
      </c>
      <c r="J75" s="105"/>
      <c r="K75" s="374" t="s">
        <v>2017</v>
      </c>
      <c r="L75" s="993"/>
      <c r="M75" s="105"/>
      <c r="N75" s="105"/>
      <c r="O75" s="105"/>
      <c r="P75" s="105"/>
      <c r="Q75" s="105"/>
      <c r="R75" s="105"/>
      <c r="S75" s="105"/>
      <c r="T75" s="468">
        <f>AND(F75&gt;0,method_reg="Метод индексации")</f>
        <v>0</v>
      </c>
      <c r="U75" s="105"/>
      <c r="V75" s="105"/>
      <c r="W75" s="105"/>
      <c r="X75" s="1559"/>
      <c r="Y75" s="706"/>
      <c r="Z75" s="1529"/>
      <c r="AA75" s="706"/>
      <c r="AB75" s="207" t="s">
        <v>2018</v>
      </c>
      <c r="AC75" s="357" t="s">
        <v>2267</v>
      </c>
      <c r="AD75" s="207" t="s">
        <v>936</v>
      </c>
      <c r="AE75" s="209">
        <f>SUM(AE76:AE77)</f>
        <v>0</v>
      </c>
      <c r="AF75" s="209">
        <f>SUM(AF76:AF77)</f>
        <v>0</v>
      </c>
      <c r="AG75" s="209">
        <f>SUM(AG76:AG77)</f>
        <v>0</v>
      </c>
      <c r="AH75" s="785">
        <f>AG75-AF75</f>
        <v>0</v>
      </c>
      <c r="AI75" s="209">
        <f>SUM(AI76:AI77)</f>
        <v>0</v>
      </c>
      <c r="AJ75" s="209">
        <f>SUM(AJ76:AJ77)</f>
        <v>0</v>
      </c>
      <c r="AK75" s="212"/>
      <c r="AL75" s="212"/>
      <c r="AM75" s="212"/>
      <c r="AN75" s="212"/>
      <c r="AO75" s="212"/>
      <c r="AP75" s="212"/>
      <c r="AQ75" s="212"/>
      <c r="AR75" s="212"/>
      <c r="AS75" s="212"/>
      <c r="AT75" s="209">
        <f>SUM(AT76:AT77)</f>
        <v>0</v>
      </c>
      <c r="AU75" s="212"/>
      <c r="AV75" s="212"/>
      <c r="AW75" s="212"/>
      <c r="AX75" s="212"/>
      <c r="AY75" s="212"/>
      <c r="AZ75" s="212"/>
      <c r="BA75" s="212"/>
      <c r="BB75" s="212"/>
      <c r="BC75" s="212"/>
      <c r="BD75" s="785">
        <f>IF(AI75=0,0,(AT75-AI75)/AI75*100)</f>
        <v>0</v>
      </c>
      <c r="BE75" s="212"/>
      <c r="BF75" s="212"/>
      <c r="BG75" s="212"/>
      <c r="BH75" s="212"/>
      <c r="BI75" s="212"/>
      <c r="BJ75" s="212"/>
      <c r="BK75" s="212"/>
      <c r="BL75" s="212"/>
      <c r="BM75" s="212"/>
      <c r="BN75" s="1259"/>
      <c r="BO75" s="1259"/>
      <c r="BP75" s="1259"/>
      <c r="BQ75" s="706"/>
      <c r="BR75" s="706"/>
      <c r="BS75" s="1078" t="s">
        <v>2268</v>
      </c>
      <c r="BT75" s="1078"/>
      <c r="BU75" s="1078"/>
      <c r="BV75" s="713"/>
      <c r="BW75" s="713"/>
    </row>
    <row customHeight="1" ht="14.625" hidden="1">
      <c r="A76" s="1297"/>
      <c r="B76" s="434">
        <f>method_reg="Метод индексации"</f>
        <v>1</v>
      </c>
      <c r="C76" s="103"/>
      <c r="D76" s="103"/>
      <c r="E76" s="626">
        <v>15</v>
      </c>
      <c r="F76" s="50" cm="1" t="str">
        <f t="array" ref="F76:F76">OFFSET(E76,-1,1)</f>
        <v>0</v>
      </c>
      <c r="G76" s="103"/>
      <c r="H76" s="103"/>
      <c r="I76" s="864" t="s">
        <v>2017</v>
      </c>
      <c r="J76" s="103" cm="1" t="str">
        <f t="array" ref="J76:J76">AC76</f>
        <v>0</v>
      </c>
      <c r="K76" s="374" t="s">
        <v>2017</v>
      </c>
      <c r="L76" s="988"/>
      <c r="M76" s="103"/>
      <c r="N76" s="103"/>
      <c r="O76" s="103"/>
      <c r="P76" s="103"/>
      <c r="Q76" s="103"/>
      <c r="R76" s="103"/>
      <c r="S76" s="103"/>
      <c r="T76" s="468">
        <f>AND(F76&gt;0,Y76&gt;0)</f>
        <v>0</v>
      </c>
      <c r="U76" s="103"/>
      <c r="V76" s="103"/>
      <c r="W76" s="103" t="s">
        <v>173</v>
      </c>
      <c r="X76" s="1559"/>
      <c r="Y76" s="154">
        <v>0</v>
      </c>
      <c r="Z76" s="1529"/>
      <c r="AA76" s="422" t="s">
        <v>174</v>
      </c>
      <c r="AB76" s="296" t="str">
        <f>"1.7."&amp;Y76</f>
        <v>1.7.0</v>
      </c>
      <c r="AC76" s="1262"/>
      <c r="AD76" s="296" t="s">
        <v>936</v>
      </c>
      <c r="AE76" s="1260"/>
      <c r="AF76" s="1260"/>
      <c r="AG76" s="1260"/>
      <c r="AH76" s="1123">
        <f>AG76-AF76</f>
        <v>0</v>
      </c>
      <c r="AI76" s="1260"/>
      <c r="AJ76" s="1260"/>
      <c r="AK76" s="1124"/>
      <c r="AL76" s="1124"/>
      <c r="AM76" s="1124"/>
      <c r="AN76" s="1124"/>
      <c r="AO76" s="1124"/>
      <c r="AP76" s="1124"/>
      <c r="AQ76" s="1124"/>
      <c r="AR76" s="1124"/>
      <c r="AS76" s="1124"/>
      <c r="AT76" s="1260"/>
      <c r="AU76" s="1124"/>
      <c r="AV76" s="1124"/>
      <c r="AW76" s="1124"/>
      <c r="AX76" s="1124"/>
      <c r="AY76" s="1124"/>
      <c r="AZ76" s="1124"/>
      <c r="BA76" s="1124"/>
      <c r="BB76" s="1124"/>
      <c r="BC76" s="1124"/>
      <c r="BD76" s="1123">
        <f>IF(AI76=0,0,(AT76-AI76)/AI76*100)</f>
        <v>0</v>
      </c>
      <c r="BE76" s="1124"/>
      <c r="BF76" s="1124"/>
      <c r="BG76" s="1124"/>
      <c r="BH76" s="1124"/>
      <c r="BI76" s="1124"/>
      <c r="BJ76" s="1124"/>
      <c r="BK76" s="1124"/>
      <c r="BL76" s="1124"/>
      <c r="BM76" s="1124"/>
      <c r="BN76" s="1257"/>
      <c r="BO76" s="1257"/>
      <c r="BP76" s="1257"/>
      <c r="BQ76" s="1297"/>
      <c r="BR76" s="1297"/>
      <c r="BS76" s="1072" t="s">
        <v>2268</v>
      </c>
      <c r="BT76" s="1072" t="s">
        <v>2269</v>
      </c>
      <c r="BU76" s="1072" cm="1" t="str">
        <f t="array" ref="BU76:BU76">AC76</f>
        <v>0</v>
      </c>
      <c r="BV76" s="987"/>
      <c r="BW76" s="709" t="b">
        <v>1</v>
      </c>
    </row>
    <row customHeight="1" ht="14.625" hidden="1">
      <c r="A77" s="1297"/>
      <c r="B77" s="434" cm="1" t="str">
        <f t="array" ref="B77:B77">B76</f>
        <v>true</v>
      </c>
      <c r="C77" s="103"/>
      <c r="D77" s="103"/>
      <c r="E77" s="626">
        <v>15</v>
      </c>
      <c r="F77" s="50" cm="1" t="str">
        <f t="array" ref="F77:F77">OFFSET(E77,-1,1)</f>
        <v>0</v>
      </c>
      <c r="G77" s="483"/>
      <c r="H77" s="103"/>
      <c r="I77" s="103"/>
      <c r="J77" s="103" t="s">
        <v>2270</v>
      </c>
      <c r="K77" s="1297"/>
      <c r="L77" s="988"/>
      <c r="M77" s="103"/>
      <c r="N77" s="103"/>
      <c r="O77" s="103"/>
      <c r="P77" s="103"/>
      <c r="Q77" s="103"/>
      <c r="R77" s="103"/>
      <c r="S77" s="103"/>
      <c r="T77" s="468">
        <f>F77&gt;0</f>
        <v>0</v>
      </c>
      <c r="U77" s="103"/>
      <c r="V77" s="103"/>
      <c r="W77" s="836" t="s">
        <v>410</v>
      </c>
      <c r="X77" s="1559"/>
      <c r="Y77" s="1297"/>
      <c r="Z77" s="1529"/>
      <c r="AA77" s="1297"/>
      <c r="AB77" s="881"/>
      <c r="AC77" s="256" t="s">
        <v>177</v>
      </c>
      <c r="AD77" s="783"/>
      <c r="AE77" s="783"/>
      <c r="AF77" s="783"/>
      <c r="AG77" s="783"/>
      <c r="AH77" s="783"/>
      <c r="AI77" s="783"/>
      <c r="AJ77" s="783"/>
      <c r="AK77" s="783"/>
      <c r="AL77" s="783"/>
      <c r="AM77" s="783"/>
      <c r="AN77" s="783"/>
      <c r="AO77" s="783"/>
      <c r="AP77" s="783"/>
      <c r="AQ77" s="783"/>
      <c r="AR77" s="783"/>
      <c r="AS77" s="783"/>
      <c r="AT77" s="783"/>
      <c r="AU77" s="783"/>
      <c r="AV77" s="783"/>
      <c r="AW77" s="783"/>
      <c r="AX77" s="783"/>
      <c r="AY77" s="783"/>
      <c r="AZ77" s="783"/>
      <c r="BA77" s="783"/>
      <c r="BB77" s="783"/>
      <c r="BC77" s="783"/>
      <c r="BD77" s="783"/>
      <c r="BE77" s="783"/>
      <c r="BF77" s="783"/>
      <c r="BG77" s="783"/>
      <c r="BH77" s="783"/>
      <c r="BI77" s="783"/>
      <c r="BJ77" s="783"/>
      <c r="BK77" s="783"/>
      <c r="BL77" s="783"/>
      <c r="BM77" s="783"/>
      <c r="BN77" s="783"/>
      <c r="BO77" s="783"/>
      <c r="BP77" s="784"/>
      <c r="BQ77" s="1297"/>
      <c r="BR77" s="1297"/>
      <c r="BS77" s="1072"/>
      <c r="BT77" s="1072"/>
      <c r="BU77" s="1072"/>
      <c r="BV77" s="709" t="s">
        <v>2269</v>
      </c>
      <c r="BW77" s="987"/>
    </row>
    <row s="706" customFormat="1" customHeight="1" ht="20.475" hidden="1">
      <c r="A78" s="706"/>
      <c r="B78" s="437"/>
      <c r="C78" s="105"/>
      <c r="D78" s="105"/>
      <c r="E78" s="833">
        <v>21</v>
      </c>
      <c r="F78" s="50" cm="1" t="str">
        <f t="array" ref="F78:F78">OFFSET(E78,-1,1)</f>
        <v>0</v>
      </c>
      <c r="G78" s="105"/>
      <c r="H78" s="103"/>
      <c r="I78" s="103" t="s">
        <v>345</v>
      </c>
      <c r="J78" s="105"/>
      <c r="K78" s="154" t="s">
        <v>345</v>
      </c>
      <c r="L78" s="993"/>
      <c r="M78" s="105"/>
      <c r="N78" s="105"/>
      <c r="O78" s="105"/>
      <c r="P78" s="105"/>
      <c r="Q78" s="105"/>
      <c r="R78" s="105"/>
      <c r="S78" s="105"/>
      <c r="T78" s="468">
        <f>F78&gt;0</f>
        <v>0</v>
      </c>
      <c r="U78" s="105"/>
      <c r="V78" s="105"/>
      <c r="W78" s="105"/>
      <c r="X78" s="1559"/>
      <c r="Y78" s="706"/>
      <c r="Z78" s="1529"/>
      <c r="AA78" s="706"/>
      <c r="AB78" s="230" t="s">
        <v>299</v>
      </c>
      <c r="AC78" s="208" t="s">
        <v>2271</v>
      </c>
      <c r="AD78" s="230" t="s">
        <v>936</v>
      </c>
      <c r="AE78" s="209">
        <f>AE79+AE91+AE92++AE103+AE104+AE105+AE107+AE108+AE109+AE110+AE113</f>
        <v>0</v>
      </c>
      <c r="AF78" s="209">
        <f>AF79+AF91+AF92++AF103+AF104+AF105+AF107+AF108+AF109+AF110+AF113</f>
        <v>0</v>
      </c>
      <c r="AG78" s="209">
        <f>AG79+AG91+AG92++AG103+AG104+AG105+AG107+AG108+AG109+AG110+AG113</f>
        <v>0</v>
      </c>
      <c r="AH78" s="785">
        <f>AG78-AF78</f>
        <v>0</v>
      </c>
      <c r="AI78" s="209">
        <f>AI79+AI91+AI92++AI103+AI104+AI105+AI107+AI108+AI109+AI110+AI113</f>
        <v>0</v>
      </c>
      <c r="AJ78" s="209">
        <f>AJ79+AJ91+AJ92++AJ103+AJ104+AJ105+AJ107+AJ108+AJ109+AJ110+AJ113</f>
        <v>0</v>
      </c>
      <c r="AK78" s="209">
        <f>AK79+AK91+AK92++AK103+AK104+AK105+AK107+AK108+AK109+AK110+AK113</f>
        <v>0</v>
      </c>
      <c r="AL78" s="209">
        <f>AL79+AL91+AL92++AL103+AL104+AL105+AL107+AL108+AL109+AL110+AL113</f>
        <v>0</v>
      </c>
      <c r="AM78" s="209">
        <f>AM79+AM91+AM92++AM103+AM104+AM105+AM107+AM108+AM109+AM110+AM113</f>
        <v>0</v>
      </c>
      <c r="AN78" s="209">
        <f>AN79+AN91+AN92++AN103+AN104+AN105+AN107+AN108+AN109+AN110+AN113</f>
        <v>0</v>
      </c>
      <c r="AO78" s="209">
        <f>AO79+AO91+AO92++AO103+AO104+AO105+AO107+AO108+AO109+AO110+AO113</f>
        <v>0</v>
      </c>
      <c r="AP78" s="209">
        <f>AP79+AP91+AP92++AP103+AP104+AP105+AP107+AP108+AP109+AP110+AP113</f>
        <v>0</v>
      </c>
      <c r="AQ78" s="209">
        <f>AQ79+AQ91+AQ92++AQ103+AQ104+AQ105+AQ107+AQ108+AQ109+AQ110+AQ113</f>
        <v>0</v>
      </c>
      <c r="AR78" s="209">
        <f>AR79+AR91+AR92++AR103+AR104+AR105+AR107+AR108+AR109+AR110+AR113</f>
        <v>0</v>
      </c>
      <c r="AS78" s="209">
        <f>AS79+AS91+AS92++AS103+AS104+AS105+AS107+AS108+AS109+AS110+AS113</f>
        <v>0</v>
      </c>
      <c r="AT78" s="209">
        <f>AT79+AT91+AT92++AT103+AT104+AT105+AT107+AT108+AT109+AT110+AT113</f>
        <v>0</v>
      </c>
      <c r="AU78" s="209">
        <f>AU79+AU91+AU92++AU103+AU104+AU105+AU107+AU108+AU109+AU110+AU113</f>
        <v>0</v>
      </c>
      <c r="AV78" s="209">
        <f>AV79+AV91+AV92++AV103+AV104+AV105+AV107+AV108+AV109+AV110+AV113</f>
        <v>0</v>
      </c>
      <c r="AW78" s="209">
        <f>AW79+AW91+AW92++AW103+AW104+AW105+AW107+AW108+AW109+AW110+AW113</f>
        <v>0</v>
      </c>
      <c r="AX78" s="209">
        <f>AX79+AX91+AX92++AX103+AX104+AX105+AX107+AX108+AX109+AX110+AX113</f>
        <v>0</v>
      </c>
      <c r="AY78" s="209">
        <f>AY79+AY91+AY92++AY103+AY104+AY105+AY107+AY108+AY109+AY110+AY113</f>
        <v>0</v>
      </c>
      <c r="AZ78" s="209">
        <f>AZ79+AZ91+AZ92++AZ103+AZ104+AZ105+AZ107+AZ108+AZ109+AZ110+AZ113</f>
        <v>0</v>
      </c>
      <c r="BA78" s="209">
        <f>BA79+BA91+BA92++BA103+BA104+BA105+BA107+BA108+BA109+BA110+BA113</f>
        <v>0</v>
      </c>
      <c r="BB78" s="209">
        <f>BB79+BB91+BB92++BB103+BB104+BB105+BB107+BB108+BB109+BB110+BB113</f>
        <v>0</v>
      </c>
      <c r="BC78" s="209">
        <f>BC79+BC91+BC92++BC103+BC104+BC105+BC107+BC108+BC109+BC110+BC113</f>
        <v>0</v>
      </c>
      <c r="BD78" s="785">
        <f>IF(AI78=0,0,(AT78-AI78)/AI78*100)</f>
        <v>0</v>
      </c>
      <c r="BE78" s="785">
        <f>IF(AT78=0,0,(AU78-AT78)/AT78*100)</f>
        <v>0</v>
      </c>
      <c r="BF78" s="785">
        <f>IF(AU78=0,0,(AV78-AU78)/AU78*100)</f>
        <v>0</v>
      </c>
      <c r="BG78" s="785">
        <f>IF(AV78=0,0,(AW78-AV78)/AV78*100)</f>
        <v>0</v>
      </c>
      <c r="BH78" s="785">
        <f>IF(AW78=0,0,(AX78-AW78)/AW78*100)</f>
        <v>0</v>
      </c>
      <c r="BI78" s="785">
        <f>IF(AX78=0,0,(AY78-AX78)/AX78*100)</f>
        <v>0</v>
      </c>
      <c r="BJ78" s="785">
        <f>IF(AY78=0,0,(AZ78-AY78)/AY78*100)</f>
        <v>0</v>
      </c>
      <c r="BK78" s="785">
        <f>IF(AZ78=0,0,(BA78-AZ78)/AZ78*100)</f>
        <v>0</v>
      </c>
      <c r="BL78" s="785">
        <f>IF(BA78=0,0,(BB78-BA78)/BA78*100)</f>
        <v>0</v>
      </c>
      <c r="BM78" s="785">
        <f>IF(BB78=0,0,(BC78-BB78)/BB78*100)</f>
        <v>0</v>
      </c>
      <c r="BN78" s="1257"/>
      <c r="BO78" s="1257"/>
      <c r="BP78" s="1257"/>
      <c r="BQ78" s="156"/>
      <c r="BR78" s="706"/>
      <c r="BS78" s="1078" t="s">
        <v>2272</v>
      </c>
      <c r="BT78" s="1078"/>
      <c r="BU78" s="1078"/>
      <c r="BV78" s="713"/>
      <c r="BW78" s="713"/>
    </row>
    <row s="706" customFormat="1" customHeight="1" ht="21.9375" hidden="1">
      <c r="A79" s="706"/>
      <c r="B79" s="437"/>
      <c r="C79" s="105"/>
      <c r="D79" s="105"/>
      <c r="E79" s="833">
        <v>22.5</v>
      </c>
      <c r="F79" s="50" cm="1" t="str">
        <f t="array" ref="F79:F79">OFFSET(E79,-1,1)</f>
        <v>0</v>
      </c>
      <c r="G79" s="370" cm="1" t="str">
        <f t="array" ref="G79:G79">F78</f>
        <v>0</v>
      </c>
      <c r="H79" s="103"/>
      <c r="I79" s="103" t="s">
        <v>584</v>
      </c>
      <c r="J79" s="105"/>
      <c r="K79" s="154" t="s">
        <v>584</v>
      </c>
      <c r="L79" s="993" t="s">
        <v>570</v>
      </c>
      <c r="M79" s="105"/>
      <c r="N79" s="105"/>
      <c r="O79" s="105"/>
      <c r="P79" s="105"/>
      <c r="Q79" s="105"/>
      <c r="R79" s="105"/>
      <c r="S79" s="105"/>
      <c r="T79" s="468" cm="1" t="str">
        <f t="array" ref="T79:T79">T78</f>
        <v>false</v>
      </c>
      <c r="U79" s="105"/>
      <c r="V79" s="105"/>
      <c r="W79" s="105"/>
      <c r="X79" s="1559"/>
      <c r="Y79" s="706"/>
      <c r="Z79" s="1529"/>
      <c r="AA79" s="706"/>
      <c r="AB79" s="207" t="s">
        <v>660</v>
      </c>
      <c r="AC79" s="357" t="s">
        <v>2273</v>
      </c>
      <c r="AD79" s="207" t="s">
        <v>936</v>
      </c>
      <c r="AE79" s="209">
        <f>SUM(AE80:AE90)</f>
        <v>0</v>
      </c>
      <c r="AF79" s="209">
        <f>SUM(AF80:AF90)</f>
        <v>0</v>
      </c>
      <c r="AG79" s="209">
        <f>SUM(AG80:AG90)</f>
        <v>0</v>
      </c>
      <c r="AH79" s="785">
        <f>AG79-AF79</f>
        <v>0</v>
      </c>
      <c r="AI79" s="209">
        <f>SUM(AI80:AI90)</f>
        <v>0</v>
      </c>
      <c r="AJ79" s="209">
        <f>SUM(AJ80:AJ90)</f>
        <v>0</v>
      </c>
      <c r="AK79" s="209">
        <f>SUM(AK80:AK90)</f>
        <v>0</v>
      </c>
      <c r="AL79" s="209">
        <f>SUM(AL80:AL90)</f>
        <v>0</v>
      </c>
      <c r="AM79" s="209">
        <f>SUM(AM80:AM90)</f>
        <v>0</v>
      </c>
      <c r="AN79" s="209">
        <f>SUM(AN80:AN90)</f>
        <v>0</v>
      </c>
      <c r="AO79" s="209">
        <f>SUM(AO80:AO90)</f>
        <v>0</v>
      </c>
      <c r="AP79" s="209">
        <f>SUM(AP80:AP90)</f>
        <v>0</v>
      </c>
      <c r="AQ79" s="209">
        <f>SUM(AQ80:AQ90)</f>
        <v>0</v>
      </c>
      <c r="AR79" s="209">
        <f>SUM(AR80:AR90)</f>
        <v>0</v>
      </c>
      <c r="AS79" s="209">
        <f>SUM(AS80:AS90)</f>
        <v>0</v>
      </c>
      <c r="AT79" s="209">
        <f>SUM(AT80:AT90)</f>
        <v>0</v>
      </c>
      <c r="AU79" s="209">
        <f>SUM(AU80:AU90)</f>
        <v>0</v>
      </c>
      <c r="AV79" s="209">
        <f>SUM(AV80:AV90)</f>
        <v>0</v>
      </c>
      <c r="AW79" s="209">
        <f>SUM(AW80:AW90)</f>
        <v>0</v>
      </c>
      <c r="AX79" s="209">
        <f>SUM(AX80:AX90)</f>
        <v>0</v>
      </c>
      <c r="AY79" s="209">
        <f>SUM(AY80:AY90)</f>
        <v>0</v>
      </c>
      <c r="AZ79" s="209">
        <f>SUM(AZ80:AZ90)</f>
        <v>0</v>
      </c>
      <c r="BA79" s="209">
        <f>SUM(BA80:BA90)</f>
        <v>0</v>
      </c>
      <c r="BB79" s="209">
        <f>SUM(BB80:BB90)</f>
        <v>0</v>
      </c>
      <c r="BC79" s="209">
        <f>SUM(BC80:BC90)</f>
        <v>0</v>
      </c>
      <c r="BD79" s="785">
        <f>IF(AI79=0,0,(AT79-AI79)/AI79*100)</f>
        <v>0</v>
      </c>
      <c r="BE79" s="785">
        <f>IF(AT79=0,0,(AU79-AT79)/AT79*100)</f>
        <v>0</v>
      </c>
      <c r="BF79" s="785">
        <f>IF(AU79=0,0,(AV79-AU79)/AU79*100)</f>
        <v>0</v>
      </c>
      <c r="BG79" s="785">
        <f>IF(AV79=0,0,(AW79-AV79)/AV79*100)</f>
        <v>0</v>
      </c>
      <c r="BH79" s="785">
        <f>IF(AW79=0,0,(AX79-AW79)/AW79*100)</f>
        <v>0</v>
      </c>
      <c r="BI79" s="785">
        <f>IF(AX79=0,0,(AY79-AX79)/AX79*100)</f>
        <v>0</v>
      </c>
      <c r="BJ79" s="785">
        <f>IF(AY79=0,0,(AZ79-AY79)/AY79*100)</f>
        <v>0</v>
      </c>
      <c r="BK79" s="785">
        <f>IF(AZ79=0,0,(BA79-AZ79)/AZ79*100)</f>
        <v>0</v>
      </c>
      <c r="BL79" s="785">
        <f>IF(BA79=0,0,(BB79-BA79)/BA79*100)</f>
        <v>0</v>
      </c>
      <c r="BM79" s="785">
        <f>IF(BB79=0,0,(BC79-BB79)/BB79*100)</f>
        <v>0</v>
      </c>
      <c r="BN79" s="1259"/>
      <c r="BO79" s="1259"/>
      <c r="BP79" s="1259"/>
      <c r="BQ79" s="706"/>
      <c r="BR79" s="706"/>
      <c r="BS79" s="1078" t="s">
        <v>2274</v>
      </c>
      <c r="BT79" s="1078"/>
      <c r="BU79" s="1078"/>
      <c r="BV79" s="713"/>
      <c r="BW79" s="713"/>
    </row>
    <row customHeight="1" ht="14.625" hidden="1">
      <c r="A80" s="1297"/>
      <c r="B80" s="986"/>
      <c r="C80" s="103"/>
      <c r="D80" s="103"/>
      <c r="E80" s="626">
        <v>15</v>
      </c>
      <c r="F80" s="50" cm="1" t="str">
        <f t="array" ref="F80:F80">OFFSET(E80,-1,1)</f>
        <v>0</v>
      </c>
      <c r="G80" s="103" t="s">
        <v>1287</v>
      </c>
      <c r="H80" s="103"/>
      <c r="I80" s="103" t="s">
        <v>1787</v>
      </c>
      <c r="J80" s="103"/>
      <c r="K80" s="154" t="s">
        <v>1787</v>
      </c>
      <c r="L80" s="988" t="s">
        <v>1553</v>
      </c>
      <c r="M80" s="103"/>
      <c r="N80" s="103"/>
      <c r="O80" s="103"/>
      <c r="P80" s="103"/>
      <c r="Q80" s="103"/>
      <c r="R80" s="103"/>
      <c r="S80" s="103"/>
      <c r="T80" s="468" cm="1" t="str">
        <f t="array" ref="T80:T80">T79</f>
        <v>false</v>
      </c>
      <c r="U80" s="103"/>
      <c r="V80" s="103"/>
      <c r="W80" s="103"/>
      <c r="X80" s="1559"/>
      <c r="Y80" s="1297"/>
      <c r="Z80" s="1529"/>
      <c r="AA80" s="1297"/>
      <c r="AB80" s="296" t="s">
        <v>592</v>
      </c>
      <c r="AC80" s="772" t="s">
        <v>2275</v>
      </c>
      <c r="AD80" s="296" t="s">
        <v>936</v>
      </c>
      <c r="AE80" s="1123">
        <f>_xlfn.SUMIFS(Покупка!AE$25:AE$327,Покупка!$F$25:$F$327,$F80,Покупка!$AC$25:$AC$327,$G80)</f>
        <v>0</v>
      </c>
      <c r="AF80" s="1123">
        <f>_xlfn.SUMIFS(Покупка!AF$25:AF$327,Покупка!$F$25:$F$327,$F80,Покупка!$AC$25:$AC$327,$G80)</f>
        <v>0</v>
      </c>
      <c r="AG80" s="1123">
        <f>_xlfn.SUMIFS(Покупка!AG$25:AG$327,Покупка!$F$25:$F$327,$F80,Покупка!$AC$25:$AC$327,$G80)</f>
        <v>0</v>
      </c>
      <c r="AH80" s="1123">
        <f>AG80-AF80</f>
        <v>0</v>
      </c>
      <c r="AI80" s="1123">
        <f>_xlfn.SUMIFS(Покупка!AH$25:AH$327,Покупка!$F$25:$F$327,$F80,Покупка!$AC$25:$AC$327,$G80)</f>
        <v>0</v>
      </c>
      <c r="AJ80" s="1123">
        <f>_xlfn.SUMIFS(Покупка!AI$25:AI$327,Покупка!$F$25:$F$327,$F80,Покупка!$AC$25:$AC$327,$G80)</f>
        <v>0</v>
      </c>
      <c r="AK80" s="1123">
        <f>_xlfn.SUMIFS(Покупка!AJ$25:AJ$327,Покупка!$F$25:$F$327,$F80,Покупка!$AC$25:$AC$327,$G80)</f>
        <v>0</v>
      </c>
      <c r="AL80" s="1123">
        <f>_xlfn.SUMIFS(Покупка!AK$25:AK$327,Покупка!$F$25:$F$327,$F80,Покупка!$AC$25:$AC$327,$G80)</f>
        <v>0</v>
      </c>
      <c r="AM80" s="1123">
        <f>_xlfn.SUMIFS(Покупка!AL$25:AL$327,Покупка!$F$25:$F$327,$F80,Покупка!$AC$25:$AC$327,$G80)</f>
        <v>0</v>
      </c>
      <c r="AN80" s="1123">
        <f>_xlfn.SUMIFS(Покупка!AM$25:AM$327,Покупка!$F$25:$F$327,$F80,Покупка!$AC$25:$AC$327,$G80)</f>
        <v>0</v>
      </c>
      <c r="AO80" s="1123">
        <f>_xlfn.SUMIFS(Покупка!AN$25:AN$327,Покупка!$F$25:$F$327,$F80,Покупка!$AC$25:$AC$327,$G80)</f>
        <v>0</v>
      </c>
      <c r="AP80" s="1123">
        <f>_xlfn.SUMIFS(Покупка!AO$25:AO$327,Покупка!$F$25:$F$327,$F80,Покупка!$AC$25:$AC$327,$G80)</f>
        <v>0</v>
      </c>
      <c r="AQ80" s="1123">
        <f>_xlfn.SUMIFS(Покупка!AP$25:AP$327,Покупка!$F$25:$F$327,$F80,Покупка!$AC$25:$AC$327,$G80)</f>
        <v>0</v>
      </c>
      <c r="AR80" s="1123">
        <f>_xlfn.SUMIFS(Покупка!AQ$25:AQ$327,Покупка!$F$25:$F$327,$F80,Покупка!$AC$25:$AC$327,$G80)</f>
        <v>0</v>
      </c>
      <c r="AS80" s="1123">
        <f>_xlfn.SUMIFS(Покупка!AR$25:AR$327,Покупка!$F$25:$F$327,$F80,Покупка!$AC$25:$AC$327,$G80)</f>
        <v>0</v>
      </c>
      <c r="AT80" s="1123">
        <f>_xlfn.SUMIFS(Покупка!AS$25:AS$327,Покупка!$F$25:$F$327,$F80,Покупка!$AC$25:$AC$327,$G80)</f>
        <v>0</v>
      </c>
      <c r="AU80" s="1123">
        <f>_xlfn.SUMIFS(Покупка!AT$25:AT$327,Покупка!$F$25:$F$327,$F80,Покупка!$AC$25:$AC$327,$G80)</f>
        <v>0</v>
      </c>
      <c r="AV80" s="1123">
        <f>_xlfn.SUMIFS(Покупка!AU$25:AU$327,Покупка!$F$25:$F$327,$F80,Покупка!$AC$25:$AC$327,$G80)</f>
        <v>0</v>
      </c>
      <c r="AW80" s="1123">
        <f>_xlfn.SUMIFS(Покупка!AV$25:AV$327,Покупка!$F$25:$F$327,$F80,Покупка!$AC$25:$AC$327,$G80)</f>
        <v>0</v>
      </c>
      <c r="AX80" s="1123">
        <f>_xlfn.SUMIFS(Покупка!AW$25:AW$327,Покупка!$F$25:$F$327,$F80,Покупка!$AC$25:$AC$327,$G80)</f>
        <v>0</v>
      </c>
      <c r="AY80" s="1123">
        <f>_xlfn.SUMIFS(Покупка!AX$25:AX$327,Покупка!$F$25:$F$327,$F80,Покупка!$AC$25:$AC$327,$G80)</f>
        <v>0</v>
      </c>
      <c r="AZ80" s="1123">
        <f>_xlfn.SUMIFS(Покупка!AY$25:AY$327,Покупка!$F$25:$F$327,$F80,Покупка!$AC$25:$AC$327,$G80)</f>
        <v>0</v>
      </c>
      <c r="BA80" s="1123">
        <f>_xlfn.SUMIFS(Покупка!AZ$25:AZ$327,Покупка!$F$25:$F$327,$F80,Покупка!$AC$25:$AC$327,$G80)</f>
        <v>0</v>
      </c>
      <c r="BB80" s="1123">
        <f>_xlfn.SUMIFS(Покупка!BA$25:BA$327,Покупка!$F$25:$F$327,$F80,Покупка!$AC$25:$AC$327,$G80)</f>
        <v>0</v>
      </c>
      <c r="BC80" s="1123">
        <f>_xlfn.SUMIFS(Покупка!BB$25:BB$327,Покупка!$F$25:$F$327,$F80,Покупка!$AC$25:$AC$327,$G80)</f>
        <v>0</v>
      </c>
      <c r="BD80" s="1123">
        <f>IF(AI80=0,0,(AT80-AI80)/AI80*100)</f>
        <v>0</v>
      </c>
      <c r="BE80" s="1123">
        <f>IF(AT80=0,0,(AU80-AT80)/AT80*100)</f>
        <v>0</v>
      </c>
      <c r="BF80" s="1123">
        <f>IF(AU80=0,0,(AV80-AU80)/AU80*100)</f>
        <v>0</v>
      </c>
      <c r="BG80" s="1123">
        <f>IF(AV80=0,0,(AW80-AV80)/AV80*100)</f>
        <v>0</v>
      </c>
      <c r="BH80" s="1123">
        <f>IF(AW80=0,0,(AX80-AW80)/AW80*100)</f>
        <v>0</v>
      </c>
      <c r="BI80" s="1123">
        <f>IF(AX80=0,0,(AY80-AX80)/AX80*100)</f>
        <v>0</v>
      </c>
      <c r="BJ80" s="1123">
        <f>IF(AY80=0,0,(AZ80-AY80)/AY80*100)</f>
        <v>0</v>
      </c>
      <c r="BK80" s="1123">
        <f>IF(AZ80=0,0,(BA80-AZ80)/AZ80*100)</f>
        <v>0</v>
      </c>
      <c r="BL80" s="1123">
        <f>IF(BA80=0,0,(BB80-BA80)/BA80*100)</f>
        <v>0</v>
      </c>
      <c r="BM80" s="1123">
        <f>IF(BB80=0,0,(BC80-BB80)/BB80*100)</f>
        <v>0</v>
      </c>
      <c r="BN80" s="1257"/>
      <c r="BO80" s="1261" t="str">
        <f>IF(_xlfn.IFERROR(INDEX(Покупка!$K$26:$L$327,MATCH($F80&amp;"6komm",Покупка!$K$26:$K$327,0),2),"")=0,"",_xlfn.IFERROR(INDEX(Покупка!$K$26:$L$327,MATCH($F80&amp;"6komm",Покупка!$K$26:$K$327,0),2),""))</f>
        <v/>
      </c>
      <c r="BP80" s="1257"/>
      <c r="BQ80" s="1297"/>
      <c r="BR80" s="1297"/>
      <c r="BS80" s="1072" t="s">
        <v>1288</v>
      </c>
      <c r="BT80" s="1072"/>
      <c r="BU80" s="1072"/>
      <c r="BV80" s="987"/>
      <c r="BW80" s="987"/>
    </row>
    <row customHeight="1" ht="14.625" hidden="1">
      <c r="A81" s="1297"/>
      <c r="B81" s="986"/>
      <c r="C81" s="103"/>
      <c r="D81" s="103"/>
      <c r="E81" s="626">
        <v>15</v>
      </c>
      <c r="F81" s="50" cm="1" t="str">
        <f t="array" ref="F81:F81">OFFSET(E81,-1,1)</f>
        <v>0</v>
      </c>
      <c r="G81" s="103" t="s">
        <v>1309</v>
      </c>
      <c r="H81" s="103"/>
      <c r="I81" s="103" t="s">
        <v>1791</v>
      </c>
      <c r="J81" s="103"/>
      <c r="K81" s="103" t="s">
        <v>1791</v>
      </c>
      <c r="L81" s="988" t="s">
        <v>1557</v>
      </c>
      <c r="M81" s="103"/>
      <c r="N81" s="103"/>
      <c r="O81" s="103"/>
      <c r="P81" s="103"/>
      <c r="Q81" s="103"/>
      <c r="R81" s="103"/>
      <c r="S81" s="103"/>
      <c r="T81" s="468" cm="1" t="str">
        <f t="array" ref="T81:T81">T80</f>
        <v>false</v>
      </c>
      <c r="U81" s="103"/>
      <c r="V81" s="103"/>
      <c r="W81" s="103"/>
      <c r="X81" s="1559"/>
      <c r="Y81" s="1297"/>
      <c r="Z81" s="1529"/>
      <c r="AA81" s="1297"/>
      <c r="AB81" s="296" t="s">
        <v>2276</v>
      </c>
      <c r="AC81" s="772" t="s">
        <v>2277</v>
      </c>
      <c r="AD81" s="296" t="s">
        <v>936</v>
      </c>
      <c r="AE81" s="1123">
        <f>_xlfn.SUMIFS(Покупка!AE$25:AE$327,Покупка!$F$25:$F$327,$F81,Покупка!$AC$25:$AC$327,$G81)</f>
        <v>0</v>
      </c>
      <c r="AF81" s="1123">
        <f>_xlfn.SUMIFS(Покупка!AF$25:AF$327,Покупка!$F$25:$F$327,$F81,Покупка!$AC$25:$AC$327,$G81)</f>
        <v>0</v>
      </c>
      <c r="AG81" s="1123">
        <f>_xlfn.SUMIFS(Покупка!AG$25:AG$327,Покупка!$F$25:$F$327,$F81,Покупка!$AC$25:$AC$327,$G81)</f>
        <v>0</v>
      </c>
      <c r="AH81" s="1123">
        <f>AG81-AF81</f>
        <v>0</v>
      </c>
      <c r="AI81" s="1123">
        <f>_xlfn.SUMIFS(Покупка!AH$25:AH$327,Покупка!$F$25:$F$327,$F81,Покупка!$AC$25:$AC$327,$G81)</f>
        <v>0</v>
      </c>
      <c r="AJ81" s="1123">
        <f>_xlfn.SUMIFS(Покупка!AI$25:AI$327,Покупка!$F$25:$F$327,$F81,Покупка!$AC$25:$AC$327,$G81)</f>
        <v>0</v>
      </c>
      <c r="AK81" s="1123">
        <f>_xlfn.SUMIFS(Покупка!AJ$25:AJ$327,Покупка!$F$25:$F$327,$F81,Покупка!$AC$25:$AC$327,$G81)</f>
        <v>0</v>
      </c>
      <c r="AL81" s="1123">
        <f>_xlfn.SUMIFS(Покупка!AK$25:AK$327,Покупка!$F$25:$F$327,$F81,Покупка!$AC$25:$AC$327,$G81)</f>
        <v>0</v>
      </c>
      <c r="AM81" s="1123">
        <f>_xlfn.SUMIFS(Покупка!AL$25:AL$327,Покупка!$F$25:$F$327,$F81,Покупка!$AC$25:$AC$327,$G81)</f>
        <v>0</v>
      </c>
      <c r="AN81" s="1123">
        <f>_xlfn.SUMIFS(Покупка!AM$25:AM$327,Покупка!$F$25:$F$327,$F81,Покупка!$AC$25:$AC$327,$G81)</f>
        <v>0</v>
      </c>
      <c r="AO81" s="1123">
        <f>_xlfn.SUMIFS(Покупка!AN$25:AN$327,Покупка!$F$25:$F$327,$F81,Покупка!$AC$25:$AC$327,$G81)</f>
        <v>0</v>
      </c>
      <c r="AP81" s="1123">
        <f>_xlfn.SUMIFS(Покупка!AO$25:AO$327,Покупка!$F$25:$F$327,$F81,Покупка!$AC$25:$AC$327,$G81)</f>
        <v>0</v>
      </c>
      <c r="AQ81" s="1123">
        <f>_xlfn.SUMIFS(Покупка!AP$25:AP$327,Покупка!$F$25:$F$327,$F81,Покупка!$AC$25:$AC$327,$G81)</f>
        <v>0</v>
      </c>
      <c r="AR81" s="1123">
        <f>_xlfn.SUMIFS(Покупка!AQ$25:AQ$327,Покупка!$F$25:$F$327,$F81,Покупка!$AC$25:$AC$327,$G81)</f>
        <v>0</v>
      </c>
      <c r="AS81" s="1123">
        <f>_xlfn.SUMIFS(Покупка!AR$25:AR$327,Покупка!$F$25:$F$327,$F81,Покупка!$AC$25:$AC$327,$G81)</f>
        <v>0</v>
      </c>
      <c r="AT81" s="1123">
        <f>_xlfn.SUMIFS(Покупка!AS$25:AS$327,Покупка!$F$25:$F$327,$F81,Покупка!$AC$25:$AC$327,$G81)</f>
        <v>0</v>
      </c>
      <c r="AU81" s="1123">
        <f>_xlfn.SUMIFS(Покупка!AT$25:AT$327,Покупка!$F$25:$F$327,$F81,Покупка!$AC$25:$AC$327,$G81)</f>
        <v>0</v>
      </c>
      <c r="AV81" s="1123">
        <f>_xlfn.SUMIFS(Покупка!AU$25:AU$327,Покупка!$F$25:$F$327,$F81,Покупка!$AC$25:$AC$327,$G81)</f>
        <v>0</v>
      </c>
      <c r="AW81" s="1123">
        <f>_xlfn.SUMIFS(Покупка!AV$25:AV$327,Покупка!$F$25:$F$327,$F81,Покупка!$AC$25:$AC$327,$G81)</f>
        <v>0</v>
      </c>
      <c r="AX81" s="1123">
        <f>_xlfn.SUMIFS(Покупка!AW$25:AW$327,Покупка!$F$25:$F$327,$F81,Покупка!$AC$25:$AC$327,$G81)</f>
        <v>0</v>
      </c>
      <c r="AY81" s="1123">
        <f>_xlfn.SUMIFS(Покупка!AX$25:AX$327,Покупка!$F$25:$F$327,$F81,Покупка!$AC$25:$AC$327,$G81)</f>
        <v>0</v>
      </c>
      <c r="AZ81" s="1123">
        <f>_xlfn.SUMIFS(Покупка!AY$25:AY$327,Покупка!$F$25:$F$327,$F81,Покупка!$AC$25:$AC$327,$G81)</f>
        <v>0</v>
      </c>
      <c r="BA81" s="1123">
        <f>_xlfn.SUMIFS(Покупка!AZ$25:AZ$327,Покупка!$F$25:$F$327,$F81,Покупка!$AC$25:$AC$327,$G81)</f>
        <v>0</v>
      </c>
      <c r="BB81" s="1123">
        <f>_xlfn.SUMIFS(Покупка!BA$25:BA$327,Покупка!$F$25:$F$327,$F81,Покупка!$AC$25:$AC$327,$G81)</f>
        <v>0</v>
      </c>
      <c r="BC81" s="1123">
        <f>_xlfn.SUMIFS(Покупка!BB$25:BB$327,Покупка!$F$25:$F$327,$F81,Покупка!$AC$25:$AC$327,$G81)</f>
        <v>0</v>
      </c>
      <c r="BD81" s="1123">
        <f>IF(AI81=0,0,(AT81-AI81)/AI81*100)</f>
        <v>0</v>
      </c>
      <c r="BE81" s="1123">
        <f>IF(AT81=0,0,(AU81-AT81)/AT81*100)</f>
        <v>0</v>
      </c>
      <c r="BF81" s="1123">
        <f>IF(AU81=0,0,(AV81-AU81)/AU81*100)</f>
        <v>0</v>
      </c>
      <c r="BG81" s="1123">
        <f>IF(AV81=0,0,(AW81-AV81)/AV81*100)</f>
        <v>0</v>
      </c>
      <c r="BH81" s="1123">
        <f>IF(AW81=0,0,(AX81-AW81)/AW81*100)</f>
        <v>0</v>
      </c>
      <c r="BI81" s="1123">
        <f>IF(AX81=0,0,(AY81-AX81)/AX81*100)</f>
        <v>0</v>
      </c>
      <c r="BJ81" s="1123">
        <f>IF(AY81=0,0,(AZ81-AY81)/AY81*100)</f>
        <v>0</v>
      </c>
      <c r="BK81" s="1123">
        <f>IF(AZ81=0,0,(BA81-AZ81)/AZ81*100)</f>
        <v>0</v>
      </c>
      <c r="BL81" s="1123">
        <f>IF(BA81=0,0,(BB81-BA81)/BA81*100)</f>
        <v>0</v>
      </c>
      <c r="BM81" s="1123">
        <f>IF(BB81=0,0,(BC81-BB81)/BB81*100)</f>
        <v>0</v>
      </c>
      <c r="BN81" s="1257"/>
      <c r="BO81" s="1261" t="str">
        <f>IF(_xlfn.IFERROR(INDEX(Покупка!$K$26:$L$327,MATCH($F81&amp;"7komm",Покупка!$K$26:$K$327,0),2),"")=0,"",_xlfn.IFERROR(INDEX(Покупка!$K$26:$L$327,MATCH($F81&amp;"7komm",Покупка!$K$26:$K$327,0),2),""))</f>
        <v/>
      </c>
      <c r="BP81" s="1257"/>
      <c r="BQ81" s="1297"/>
      <c r="BR81" s="1297"/>
      <c r="BS81" s="1072" t="s">
        <v>1310</v>
      </c>
      <c r="BT81" s="1072"/>
      <c r="BU81" s="1072"/>
      <c r="BV81" s="987"/>
      <c r="BW81" s="987"/>
    </row>
    <row customHeight="1" ht="14.625" hidden="1">
      <c r="A82" s="1297"/>
      <c r="B82" s="986"/>
      <c r="C82" s="103"/>
      <c r="D82" s="103"/>
      <c r="E82" s="626">
        <v>15</v>
      </c>
      <c r="F82" s="50" cm="1" t="str">
        <f t="array" ref="F82:F82">OFFSET(E82,-1,1)</f>
        <v>0</v>
      </c>
      <c r="G82" s="103" t="s">
        <v>1261</v>
      </c>
      <c r="H82" s="103"/>
      <c r="I82" s="103" t="s">
        <v>1899</v>
      </c>
      <c r="J82" s="103"/>
      <c r="K82" s="103" t="s">
        <v>1899</v>
      </c>
      <c r="L82" s="988" t="s">
        <v>1736</v>
      </c>
      <c r="M82" s="103"/>
      <c r="N82" s="103"/>
      <c r="O82" s="103"/>
      <c r="P82" s="103"/>
      <c r="Q82" s="103"/>
      <c r="R82" s="103"/>
      <c r="S82" s="103"/>
      <c r="T82" s="468" cm="1" t="str">
        <f t="array" ref="T82:T82">T81</f>
        <v>false</v>
      </c>
      <c r="U82" s="103"/>
      <c r="V82" s="103"/>
      <c r="W82" s="103"/>
      <c r="X82" s="1559"/>
      <c r="Y82" s="1297"/>
      <c r="Z82" s="1529"/>
      <c r="AA82" s="1297"/>
      <c r="AB82" s="296" t="s">
        <v>2278</v>
      </c>
      <c r="AC82" s="772" t="s">
        <v>2279</v>
      </c>
      <c r="AD82" s="296" t="s">
        <v>936</v>
      </c>
      <c r="AE82" s="1123">
        <f>_xlfn.SUMIFS(Покупка!AE$25:AE$327,Покупка!$F$25:$F$327,$F82,Покупка!$AC$25:$AC$327,$G82)</f>
        <v>0</v>
      </c>
      <c r="AF82" s="1123">
        <f>_xlfn.SUMIFS(Покупка!AF$25:AF$327,Покупка!$F$25:$F$327,$F82,Покупка!$AC$25:$AC$327,$G82)</f>
        <v>0</v>
      </c>
      <c r="AG82" s="1123">
        <f>_xlfn.SUMIFS(Покупка!AG$25:AG$327,Покупка!$F$25:$F$327,$F82,Покупка!$AC$25:$AC$327,$G82)</f>
        <v>0</v>
      </c>
      <c r="AH82" s="1123">
        <f>AG82-AF82</f>
        <v>0</v>
      </c>
      <c r="AI82" s="1123">
        <f>_xlfn.SUMIFS(Покупка!AH$25:AH$327,Покупка!$F$25:$F$327,$F82,Покупка!$AC$25:$AC$327,$G82)</f>
        <v>0</v>
      </c>
      <c r="AJ82" s="1123">
        <f>_xlfn.SUMIFS(Покупка!AI$25:AI$327,Покупка!$F$25:$F$327,$F82,Покупка!$AC$25:$AC$327,$G82)</f>
        <v>0</v>
      </c>
      <c r="AK82" s="1123">
        <f>_xlfn.SUMIFS(Покупка!AJ$25:AJ$327,Покупка!$F$25:$F$327,$F82,Покупка!$AC$25:$AC$327,$G82)</f>
        <v>0</v>
      </c>
      <c r="AL82" s="1123">
        <f>_xlfn.SUMIFS(Покупка!AK$25:AK$327,Покупка!$F$25:$F$327,$F82,Покупка!$AC$25:$AC$327,$G82)</f>
        <v>0</v>
      </c>
      <c r="AM82" s="1123">
        <f>_xlfn.SUMIFS(Покупка!AL$25:AL$327,Покупка!$F$25:$F$327,$F82,Покупка!$AC$25:$AC$327,$G82)</f>
        <v>0</v>
      </c>
      <c r="AN82" s="1123">
        <f>_xlfn.SUMIFS(Покупка!AM$25:AM$327,Покупка!$F$25:$F$327,$F82,Покупка!$AC$25:$AC$327,$G82)</f>
        <v>0</v>
      </c>
      <c r="AO82" s="1123">
        <f>_xlfn.SUMIFS(Покупка!AN$25:AN$327,Покупка!$F$25:$F$327,$F82,Покупка!$AC$25:$AC$327,$G82)</f>
        <v>0</v>
      </c>
      <c r="AP82" s="1123">
        <f>_xlfn.SUMIFS(Покупка!AO$25:AO$327,Покупка!$F$25:$F$327,$F82,Покупка!$AC$25:$AC$327,$G82)</f>
        <v>0</v>
      </c>
      <c r="AQ82" s="1123">
        <f>_xlfn.SUMIFS(Покупка!AP$25:AP$327,Покупка!$F$25:$F$327,$F82,Покупка!$AC$25:$AC$327,$G82)</f>
        <v>0</v>
      </c>
      <c r="AR82" s="1123">
        <f>_xlfn.SUMIFS(Покупка!AQ$25:AQ$327,Покупка!$F$25:$F$327,$F82,Покупка!$AC$25:$AC$327,$G82)</f>
        <v>0</v>
      </c>
      <c r="AS82" s="1123">
        <f>_xlfn.SUMIFS(Покупка!AR$25:AR$327,Покупка!$F$25:$F$327,$F82,Покупка!$AC$25:$AC$327,$G82)</f>
        <v>0</v>
      </c>
      <c r="AT82" s="1123">
        <f>_xlfn.SUMIFS(Покупка!AS$25:AS$327,Покупка!$F$25:$F$327,$F82,Покупка!$AC$25:$AC$327,$G82)</f>
        <v>0</v>
      </c>
      <c r="AU82" s="1123">
        <f>_xlfn.SUMIFS(Покупка!AT$25:AT$327,Покупка!$F$25:$F$327,$F82,Покупка!$AC$25:$AC$327,$G82)</f>
        <v>0</v>
      </c>
      <c r="AV82" s="1123">
        <f>_xlfn.SUMIFS(Покупка!AU$25:AU$327,Покупка!$F$25:$F$327,$F82,Покупка!$AC$25:$AC$327,$G82)</f>
        <v>0</v>
      </c>
      <c r="AW82" s="1123">
        <f>_xlfn.SUMIFS(Покупка!AV$25:AV$327,Покупка!$F$25:$F$327,$F82,Покупка!$AC$25:$AC$327,$G82)</f>
        <v>0</v>
      </c>
      <c r="AX82" s="1123">
        <f>_xlfn.SUMIFS(Покупка!AW$25:AW$327,Покупка!$F$25:$F$327,$F82,Покупка!$AC$25:$AC$327,$G82)</f>
        <v>0</v>
      </c>
      <c r="AY82" s="1123">
        <f>_xlfn.SUMIFS(Покупка!AX$25:AX$327,Покупка!$F$25:$F$327,$F82,Покупка!$AC$25:$AC$327,$G82)</f>
        <v>0</v>
      </c>
      <c r="AZ82" s="1123">
        <f>_xlfn.SUMIFS(Покупка!AY$25:AY$327,Покупка!$F$25:$F$327,$F82,Покупка!$AC$25:$AC$327,$G82)</f>
        <v>0</v>
      </c>
      <c r="BA82" s="1123">
        <f>_xlfn.SUMIFS(Покупка!AZ$25:AZ$327,Покупка!$F$25:$F$327,$F82,Покупка!$AC$25:$AC$327,$G82)</f>
        <v>0</v>
      </c>
      <c r="BB82" s="1123">
        <f>_xlfn.SUMIFS(Покупка!BA$25:BA$327,Покупка!$F$25:$F$327,$F82,Покупка!$AC$25:$AC$327,$G82)</f>
        <v>0</v>
      </c>
      <c r="BC82" s="1123">
        <f>_xlfn.SUMIFS(Покупка!BB$25:BB$327,Покупка!$F$25:$F$327,$F82,Покупка!$AC$25:$AC$327,$G82)</f>
        <v>0</v>
      </c>
      <c r="BD82" s="1123">
        <f>IF(AI82=0,0,(AT82-AI82)/AI82*100)</f>
        <v>0</v>
      </c>
      <c r="BE82" s="1123">
        <f>IF(AT82=0,0,(AU82-AT82)/AT82*100)</f>
        <v>0</v>
      </c>
      <c r="BF82" s="1123">
        <f>IF(AU82=0,0,(AV82-AU82)/AU82*100)</f>
        <v>0</v>
      </c>
      <c r="BG82" s="1123">
        <f>IF(AV82=0,0,(AW82-AV82)/AV82*100)</f>
        <v>0</v>
      </c>
      <c r="BH82" s="1123">
        <f>IF(AW82=0,0,(AX82-AW82)/AW82*100)</f>
        <v>0</v>
      </c>
      <c r="BI82" s="1123">
        <f>IF(AX82=0,0,(AY82-AX82)/AX82*100)</f>
        <v>0</v>
      </c>
      <c r="BJ82" s="1123">
        <f>IF(AY82=0,0,(AZ82-AY82)/AY82*100)</f>
        <v>0</v>
      </c>
      <c r="BK82" s="1123">
        <f>IF(AZ82=0,0,(BA82-AZ82)/AZ82*100)</f>
        <v>0</v>
      </c>
      <c r="BL82" s="1123">
        <f>IF(BA82=0,0,(BB82-BA82)/BA82*100)</f>
        <v>0</v>
      </c>
      <c r="BM82" s="1123">
        <f>IF(BB82=0,0,(BC82-BB82)/BB82*100)</f>
        <v>0</v>
      </c>
      <c r="BN82" s="1257"/>
      <c r="BO82" s="1261" t="str">
        <f>IF(_xlfn.IFERROR(INDEX(Покупка!$K$26:$L$327,MATCH($F82&amp;"2komm",Покупка!$K$26:$K$327,0),2),"")=0,"",_xlfn.IFERROR(INDEX(Покупка!$K$26:$L$327,MATCH($F82&amp;"2komm",Покупка!$K$26:$K$327,0),2),""))</f>
        <v/>
      </c>
      <c r="BP82" s="1257"/>
      <c r="BQ82" s="1297"/>
      <c r="BR82" s="1297"/>
      <c r="BS82" s="1072" t="s">
        <v>2280</v>
      </c>
      <c r="BT82" s="1072"/>
      <c r="BU82" s="1072"/>
      <c r="BV82" s="987"/>
      <c r="BW82" s="987"/>
    </row>
    <row customHeight="1" ht="14.625" hidden="1">
      <c r="A83" s="1297"/>
      <c r="B83" s="986"/>
      <c r="C83" s="103"/>
      <c r="D83" s="103"/>
      <c r="E83" s="626">
        <v>15</v>
      </c>
      <c r="F83" s="50" cm="1" t="str">
        <f t="array" ref="F83:F83">OFFSET(E83,-1,1)</f>
        <v>0</v>
      </c>
      <c r="G83" s="103" t="s">
        <v>1248</v>
      </c>
      <c r="H83" s="103"/>
      <c r="I83" s="103" t="s">
        <v>1901</v>
      </c>
      <c r="J83" s="103"/>
      <c r="K83" s="103" t="s">
        <v>1901</v>
      </c>
      <c r="L83" s="988" t="s">
        <v>1731</v>
      </c>
      <c r="M83" s="103"/>
      <c r="N83" s="103"/>
      <c r="O83" s="103"/>
      <c r="P83" s="103"/>
      <c r="Q83" s="103"/>
      <c r="R83" s="103"/>
      <c r="S83" s="103"/>
      <c r="T83" s="468" cm="1" t="str">
        <f t="array" ref="T83:T83">T82</f>
        <v>false</v>
      </c>
      <c r="U83" s="103"/>
      <c r="V83" s="103"/>
      <c r="W83" s="103"/>
      <c r="X83" s="1559"/>
      <c r="Y83" s="1297"/>
      <c r="Z83" s="1529"/>
      <c r="AA83" s="1297"/>
      <c r="AB83" s="296" t="s">
        <v>2281</v>
      </c>
      <c r="AC83" s="772" t="s">
        <v>2282</v>
      </c>
      <c r="AD83" s="296" t="s">
        <v>936</v>
      </c>
      <c r="AE83" s="1123">
        <f>_xlfn.SUMIFS(Покупка!AE$25:AE$327,Покупка!$F$25:$F$327,$F83,Покупка!$AC$25:$AC$327,$G83)</f>
        <v>0</v>
      </c>
      <c r="AF83" s="1123">
        <f>_xlfn.SUMIFS(Покупка!AF$25:AF$327,Покупка!$F$25:$F$327,$F83,Покупка!$AC$25:$AC$327,$G83)</f>
        <v>0</v>
      </c>
      <c r="AG83" s="1123">
        <f>_xlfn.SUMIFS(Покупка!AG$25:AG$327,Покупка!$F$25:$F$327,$F83,Покупка!$AC$25:$AC$327,$G83)</f>
        <v>0</v>
      </c>
      <c r="AH83" s="1123">
        <f>AG83-AF83</f>
        <v>0</v>
      </c>
      <c r="AI83" s="1123">
        <f>_xlfn.SUMIFS(Покупка!AH$25:AH$327,Покупка!$F$25:$F$327,$F83,Покупка!$AC$25:$AC$327,$G83)</f>
        <v>0</v>
      </c>
      <c r="AJ83" s="1123">
        <f>_xlfn.SUMIFS(Покупка!AI$25:AI$327,Покупка!$F$25:$F$327,$F83,Покупка!$AC$25:$AC$327,$G83)</f>
        <v>0</v>
      </c>
      <c r="AK83" s="1123">
        <f>_xlfn.SUMIFS(Покупка!AJ$25:AJ$327,Покупка!$F$25:$F$327,$F83,Покупка!$AC$25:$AC$327,$G83)</f>
        <v>0</v>
      </c>
      <c r="AL83" s="1123">
        <f>_xlfn.SUMIFS(Покупка!AK$25:AK$327,Покупка!$F$25:$F$327,$F83,Покупка!$AC$25:$AC$327,$G83)</f>
        <v>0</v>
      </c>
      <c r="AM83" s="1123">
        <f>_xlfn.SUMIFS(Покупка!AL$25:AL$327,Покупка!$F$25:$F$327,$F83,Покупка!$AC$25:$AC$327,$G83)</f>
        <v>0</v>
      </c>
      <c r="AN83" s="1123">
        <f>_xlfn.SUMIFS(Покупка!AM$25:AM$327,Покупка!$F$25:$F$327,$F83,Покупка!$AC$25:$AC$327,$G83)</f>
        <v>0</v>
      </c>
      <c r="AO83" s="1123">
        <f>_xlfn.SUMIFS(Покупка!AN$25:AN$327,Покупка!$F$25:$F$327,$F83,Покупка!$AC$25:$AC$327,$G83)</f>
        <v>0</v>
      </c>
      <c r="AP83" s="1123">
        <f>_xlfn.SUMIFS(Покупка!AO$25:AO$327,Покупка!$F$25:$F$327,$F83,Покупка!$AC$25:$AC$327,$G83)</f>
        <v>0</v>
      </c>
      <c r="AQ83" s="1123">
        <f>_xlfn.SUMIFS(Покупка!AP$25:AP$327,Покупка!$F$25:$F$327,$F83,Покупка!$AC$25:$AC$327,$G83)</f>
        <v>0</v>
      </c>
      <c r="AR83" s="1123">
        <f>_xlfn.SUMIFS(Покупка!AQ$25:AQ$327,Покупка!$F$25:$F$327,$F83,Покупка!$AC$25:$AC$327,$G83)</f>
        <v>0</v>
      </c>
      <c r="AS83" s="1123">
        <f>_xlfn.SUMIFS(Покупка!AR$25:AR$327,Покупка!$F$25:$F$327,$F83,Покупка!$AC$25:$AC$327,$G83)</f>
        <v>0</v>
      </c>
      <c r="AT83" s="1123">
        <f>_xlfn.SUMIFS(Покупка!AS$25:AS$327,Покупка!$F$25:$F$327,$F83,Покупка!$AC$25:$AC$327,$G83)</f>
        <v>0</v>
      </c>
      <c r="AU83" s="1123">
        <f>_xlfn.SUMIFS(Покупка!AT$25:AT$327,Покупка!$F$25:$F$327,$F83,Покупка!$AC$25:$AC$327,$G83)</f>
        <v>0</v>
      </c>
      <c r="AV83" s="1123">
        <f>_xlfn.SUMIFS(Покупка!AU$25:AU$327,Покупка!$F$25:$F$327,$F83,Покупка!$AC$25:$AC$327,$G83)</f>
        <v>0</v>
      </c>
      <c r="AW83" s="1123">
        <f>_xlfn.SUMIFS(Покупка!AV$25:AV$327,Покупка!$F$25:$F$327,$F83,Покупка!$AC$25:$AC$327,$G83)</f>
        <v>0</v>
      </c>
      <c r="AX83" s="1123">
        <f>_xlfn.SUMIFS(Покупка!AW$25:AW$327,Покупка!$F$25:$F$327,$F83,Покупка!$AC$25:$AC$327,$G83)</f>
        <v>0</v>
      </c>
      <c r="AY83" s="1123">
        <f>_xlfn.SUMIFS(Покупка!AX$25:AX$327,Покупка!$F$25:$F$327,$F83,Покупка!$AC$25:$AC$327,$G83)</f>
        <v>0</v>
      </c>
      <c r="AZ83" s="1123">
        <f>_xlfn.SUMIFS(Покупка!AY$25:AY$327,Покупка!$F$25:$F$327,$F83,Покупка!$AC$25:$AC$327,$G83)</f>
        <v>0</v>
      </c>
      <c r="BA83" s="1123">
        <f>_xlfn.SUMIFS(Покупка!AZ$25:AZ$327,Покупка!$F$25:$F$327,$F83,Покупка!$AC$25:$AC$327,$G83)</f>
        <v>0</v>
      </c>
      <c r="BB83" s="1123">
        <f>_xlfn.SUMIFS(Покупка!BA$25:BA$327,Покупка!$F$25:$F$327,$F83,Покупка!$AC$25:$AC$327,$G83)</f>
        <v>0</v>
      </c>
      <c r="BC83" s="1123">
        <f>_xlfn.SUMIFS(Покупка!BB$25:BB$327,Покупка!$F$25:$F$327,$F83,Покупка!$AC$25:$AC$327,$G83)</f>
        <v>0</v>
      </c>
      <c r="BD83" s="1123">
        <f>IF(AI83=0,0,(AT83-AI83)/AI83*100)</f>
        <v>0</v>
      </c>
      <c r="BE83" s="1123">
        <f>IF(AT83=0,0,(AU83-AT83)/AT83*100)</f>
        <v>0</v>
      </c>
      <c r="BF83" s="1123">
        <f>IF(AU83=0,0,(AV83-AU83)/AU83*100)</f>
        <v>0</v>
      </c>
      <c r="BG83" s="1123">
        <f>IF(AV83=0,0,(AW83-AV83)/AV83*100)</f>
        <v>0</v>
      </c>
      <c r="BH83" s="1123">
        <f>IF(AW83=0,0,(AX83-AW83)/AW83*100)</f>
        <v>0</v>
      </c>
      <c r="BI83" s="1123">
        <f>IF(AX83=0,0,(AY83-AX83)/AX83*100)</f>
        <v>0</v>
      </c>
      <c r="BJ83" s="1123">
        <f>IF(AY83=0,0,(AZ83-AY83)/AY83*100)</f>
        <v>0</v>
      </c>
      <c r="BK83" s="1123">
        <f>IF(AZ83=0,0,(BA83-AZ83)/AZ83*100)</f>
        <v>0</v>
      </c>
      <c r="BL83" s="1123">
        <f>IF(BA83=0,0,(BB83-BA83)/BA83*100)</f>
        <v>0</v>
      </c>
      <c r="BM83" s="1123">
        <f>IF(BB83=0,0,(BC83-BB83)/BB83*100)</f>
        <v>0</v>
      </c>
      <c r="BN83" s="1257"/>
      <c r="BO83" s="1261" t="str">
        <f>IF(_xlfn.IFERROR(INDEX(Покупка!$K$26:$L$327,MATCH($F83&amp;"1komm",Покупка!$K$26:$K$327,0),2),"")=0,"",_xlfn.IFERROR(INDEX(Покупка!$K$26:$L$327,MATCH($F83&amp;"1komm",Покупка!$K$26:$K$327,0),2),""))</f>
        <v/>
      </c>
      <c r="BP83" s="1257"/>
      <c r="BQ83" s="1297"/>
      <c r="BR83" s="1297"/>
      <c r="BS83" s="1072" t="s">
        <v>2283</v>
      </c>
      <c r="BT83" s="1072"/>
      <c r="BU83" s="1072"/>
      <c r="BV83" s="987"/>
      <c r="BW83" s="987"/>
    </row>
    <row customHeight="1" ht="14.625" hidden="1">
      <c r="A84" s="1297"/>
      <c r="B84" s="986"/>
      <c r="C84" s="103"/>
      <c r="D84" s="103"/>
      <c r="E84" s="626">
        <v>15</v>
      </c>
      <c r="F84" s="50" cm="1" t="str">
        <f t="array" ref="F84:F84">OFFSET(E84,-1,1)</f>
        <v>0</v>
      </c>
      <c r="G84" s="103" t="s">
        <v>1315</v>
      </c>
      <c r="H84" s="103"/>
      <c r="I84" s="103" t="s">
        <v>1904</v>
      </c>
      <c r="J84" s="103"/>
      <c r="K84" s="103" t="s">
        <v>1904</v>
      </c>
      <c r="L84" s="988"/>
      <c r="M84" s="103"/>
      <c r="N84" s="103"/>
      <c r="O84" s="103"/>
      <c r="P84" s="103"/>
      <c r="Q84" s="103"/>
      <c r="R84" s="103"/>
      <c r="S84" s="103"/>
      <c r="T84" s="468" cm="1" t="str">
        <f t="array" ref="T84:T84">T83</f>
        <v>false</v>
      </c>
      <c r="U84" s="103"/>
      <c r="V84" s="103"/>
      <c r="W84" s="103"/>
      <c r="X84" s="1559"/>
      <c r="Y84" s="1297"/>
      <c r="Z84" s="1529"/>
      <c r="AA84" s="1297"/>
      <c r="AB84" s="296" t="s">
        <v>2284</v>
      </c>
      <c r="AC84" s="772" t="s">
        <v>2285</v>
      </c>
      <c r="AD84" s="296" t="s">
        <v>936</v>
      </c>
      <c r="AE84" s="1123">
        <f>_xlfn.SUMIFS(Покупка!AE$25:AE$327,Покупка!$F$25:$F$327,$F84,Покупка!$AC$25:$AC$327,$G84)</f>
        <v>0</v>
      </c>
      <c r="AF84" s="1123">
        <f>_xlfn.SUMIFS(Покупка!AF$25:AF$327,Покупка!$F$25:$F$327,$F84,Покупка!$AC$25:$AC$327,$G84)</f>
        <v>0</v>
      </c>
      <c r="AG84" s="1123">
        <f>_xlfn.SUMIFS(Покупка!AG$25:AG$327,Покупка!$F$25:$F$327,$F84,Покупка!$AC$25:$AC$327,$G84)</f>
        <v>0</v>
      </c>
      <c r="AH84" s="1123">
        <f>AG84-AF84</f>
        <v>0</v>
      </c>
      <c r="AI84" s="1123">
        <f>_xlfn.SUMIFS(Покупка!AH$25:AH$327,Покупка!$F$25:$F$327,$F84,Покупка!$AC$25:$AC$327,$G84)</f>
        <v>0</v>
      </c>
      <c r="AJ84" s="1123">
        <f>_xlfn.SUMIFS(Покупка!AI$25:AI$327,Покупка!$F$25:$F$327,$F84,Покупка!$AC$25:$AC$327,$G84)</f>
        <v>0</v>
      </c>
      <c r="AK84" s="1123">
        <f>_xlfn.SUMIFS(Покупка!AJ$25:AJ$327,Покупка!$F$25:$F$327,$F84,Покупка!$AC$25:$AC$327,$G84)</f>
        <v>0</v>
      </c>
      <c r="AL84" s="1123">
        <f>_xlfn.SUMIFS(Покупка!AK$25:AK$327,Покупка!$F$25:$F$327,$F84,Покупка!$AC$25:$AC$327,$G84)</f>
        <v>0</v>
      </c>
      <c r="AM84" s="1123">
        <f>_xlfn.SUMIFS(Покупка!AL$25:AL$327,Покупка!$F$25:$F$327,$F84,Покупка!$AC$25:$AC$327,$G84)</f>
        <v>0</v>
      </c>
      <c r="AN84" s="1123">
        <f>_xlfn.SUMIFS(Покупка!AM$25:AM$327,Покупка!$F$25:$F$327,$F84,Покупка!$AC$25:$AC$327,$G84)</f>
        <v>0</v>
      </c>
      <c r="AO84" s="1123">
        <f>_xlfn.SUMIFS(Покупка!AN$25:AN$327,Покупка!$F$25:$F$327,$F84,Покупка!$AC$25:$AC$327,$G84)</f>
        <v>0</v>
      </c>
      <c r="AP84" s="1123">
        <f>_xlfn.SUMIFS(Покупка!AO$25:AO$327,Покупка!$F$25:$F$327,$F84,Покупка!$AC$25:$AC$327,$G84)</f>
        <v>0</v>
      </c>
      <c r="AQ84" s="1123">
        <f>_xlfn.SUMIFS(Покупка!AP$25:AP$327,Покупка!$F$25:$F$327,$F84,Покупка!$AC$25:$AC$327,$G84)</f>
        <v>0</v>
      </c>
      <c r="AR84" s="1123">
        <f>_xlfn.SUMIFS(Покупка!AQ$25:AQ$327,Покупка!$F$25:$F$327,$F84,Покупка!$AC$25:$AC$327,$G84)</f>
        <v>0</v>
      </c>
      <c r="AS84" s="1123">
        <f>_xlfn.SUMIFS(Покупка!AR$25:AR$327,Покупка!$F$25:$F$327,$F84,Покупка!$AC$25:$AC$327,$G84)</f>
        <v>0</v>
      </c>
      <c r="AT84" s="1123">
        <f>_xlfn.SUMIFS(Покупка!AS$25:AS$327,Покупка!$F$25:$F$327,$F84,Покупка!$AC$25:$AC$327,$G84)</f>
        <v>0</v>
      </c>
      <c r="AU84" s="1123">
        <f>_xlfn.SUMIFS(Покупка!AT$25:AT$327,Покупка!$F$25:$F$327,$F84,Покупка!$AC$25:$AC$327,$G84)</f>
        <v>0</v>
      </c>
      <c r="AV84" s="1123">
        <f>_xlfn.SUMIFS(Покупка!AU$25:AU$327,Покупка!$F$25:$F$327,$F84,Покупка!$AC$25:$AC$327,$G84)</f>
        <v>0</v>
      </c>
      <c r="AW84" s="1123">
        <f>_xlfn.SUMIFS(Покупка!AV$25:AV$327,Покупка!$F$25:$F$327,$F84,Покупка!$AC$25:$AC$327,$G84)</f>
        <v>0</v>
      </c>
      <c r="AX84" s="1123">
        <f>_xlfn.SUMIFS(Покупка!AW$25:AW$327,Покупка!$F$25:$F$327,$F84,Покупка!$AC$25:$AC$327,$G84)</f>
        <v>0</v>
      </c>
      <c r="AY84" s="1123">
        <f>_xlfn.SUMIFS(Покупка!AX$25:AX$327,Покупка!$F$25:$F$327,$F84,Покупка!$AC$25:$AC$327,$G84)</f>
        <v>0</v>
      </c>
      <c r="AZ84" s="1123">
        <f>_xlfn.SUMIFS(Покупка!AY$25:AY$327,Покупка!$F$25:$F$327,$F84,Покупка!$AC$25:$AC$327,$G84)</f>
        <v>0</v>
      </c>
      <c r="BA84" s="1123">
        <f>_xlfn.SUMIFS(Покупка!AZ$25:AZ$327,Покупка!$F$25:$F$327,$F84,Покупка!$AC$25:$AC$327,$G84)</f>
        <v>0</v>
      </c>
      <c r="BB84" s="1123">
        <f>_xlfn.SUMIFS(Покупка!BA$25:BA$327,Покупка!$F$25:$F$327,$F84,Покупка!$AC$25:$AC$327,$G84)</f>
        <v>0</v>
      </c>
      <c r="BC84" s="1123">
        <f>_xlfn.SUMIFS(Покупка!BB$25:BB$327,Покупка!$F$25:$F$327,$F84,Покупка!$AC$25:$AC$327,$G84)</f>
        <v>0</v>
      </c>
      <c r="BD84" s="1123">
        <f>IF(AI84=0,0,(AT84-AI84)/AI84*100)</f>
        <v>0</v>
      </c>
      <c r="BE84" s="1123">
        <f>IF(AT84=0,0,(AU84-AT84)/AT84*100)</f>
        <v>0</v>
      </c>
      <c r="BF84" s="1123">
        <f>IF(AU84=0,0,(AV84-AU84)/AU84*100)</f>
        <v>0</v>
      </c>
      <c r="BG84" s="1123">
        <f>IF(AV84=0,0,(AW84-AV84)/AV84*100)</f>
        <v>0</v>
      </c>
      <c r="BH84" s="1123">
        <f>IF(AW84=0,0,(AX84-AW84)/AW84*100)</f>
        <v>0</v>
      </c>
      <c r="BI84" s="1123">
        <f>IF(AX84=0,0,(AY84-AX84)/AX84*100)</f>
        <v>0</v>
      </c>
      <c r="BJ84" s="1123">
        <f>IF(AY84=0,0,(AZ84-AY84)/AY84*100)</f>
        <v>0</v>
      </c>
      <c r="BK84" s="1123">
        <f>IF(AZ84=0,0,(BA84-AZ84)/AZ84*100)</f>
        <v>0</v>
      </c>
      <c r="BL84" s="1123">
        <f>IF(BA84=0,0,(BB84-BA84)/BA84*100)</f>
        <v>0</v>
      </c>
      <c r="BM84" s="1123">
        <f>IF(BB84=0,0,(BC84-BB84)/BB84*100)</f>
        <v>0</v>
      </c>
      <c r="BN84" s="1257"/>
      <c r="BO84" s="1261" t="str">
        <f>IF(_xlfn.IFERROR(INDEX(Покупка!$K$26:$L$327,MATCH($F84&amp;"8komm",Покупка!$K$26:$K$327,0),2),"")=0,"",_xlfn.IFERROR(INDEX(Покупка!$K$26:$L$327,MATCH($F84&amp;"8komm",Покупка!$K$26:$K$327,0),2),""))</f>
        <v/>
      </c>
      <c r="BP84" s="1257"/>
      <c r="BQ84" s="1297"/>
      <c r="BR84" s="1297"/>
      <c r="BS84" s="1072" t="s">
        <v>1316</v>
      </c>
      <c r="BT84" s="1072"/>
      <c r="BU84" s="1072"/>
      <c r="BV84" s="987"/>
      <c r="BW84" s="987"/>
    </row>
    <row customHeight="1" ht="14.625" hidden="1">
      <c r="A85" s="1297"/>
      <c r="B85" s="986"/>
      <c r="C85" s="103"/>
      <c r="D85" s="103"/>
      <c r="E85" s="626">
        <v>15</v>
      </c>
      <c r="F85" s="50" cm="1" t="str">
        <f t="array" ref="F85:F85">OFFSET(E85,-1,1)</f>
        <v>0</v>
      </c>
      <c r="G85" s="103"/>
      <c r="H85" s="103"/>
      <c r="I85" s="103" t="s">
        <v>2286</v>
      </c>
      <c r="J85" s="103"/>
      <c r="K85" s="103" t="s">
        <v>2286</v>
      </c>
      <c r="L85" s="988"/>
      <c r="M85" s="103"/>
      <c r="N85" s="103"/>
      <c r="O85" s="103"/>
      <c r="P85" s="103"/>
      <c r="Q85" s="103"/>
      <c r="R85" s="103"/>
      <c r="S85" s="103"/>
      <c r="T85" s="468" cm="1" t="str">
        <f t="array" ref="T85:T85">T84</f>
        <v>false</v>
      </c>
      <c r="U85" s="103"/>
      <c r="V85" s="103"/>
      <c r="W85" s="103"/>
      <c r="X85" s="1559"/>
      <c r="Y85" s="1297"/>
      <c r="Z85" s="1529"/>
      <c r="AA85" s="1297"/>
      <c r="AB85" s="296" t="s">
        <v>2287</v>
      </c>
      <c r="AC85" s="772" t="s">
        <v>2288</v>
      </c>
      <c r="AD85" s="296" t="s">
        <v>936</v>
      </c>
      <c r="AE85" s="1260"/>
      <c r="AF85" s="1260"/>
      <c r="AG85" s="1260"/>
      <c r="AH85" s="1123">
        <f>AG85-AF85</f>
        <v>0</v>
      </c>
      <c r="AI85" s="1260"/>
      <c r="AJ85" s="1260"/>
      <c r="AK85" s="1260"/>
      <c r="AL85" s="1260"/>
      <c r="AM85" s="1260"/>
      <c r="AN85" s="1260"/>
      <c r="AO85" s="1260"/>
      <c r="AP85" s="1260"/>
      <c r="AQ85" s="1260"/>
      <c r="AR85" s="1260"/>
      <c r="AS85" s="1260"/>
      <c r="AT85" s="1260"/>
      <c r="AU85" s="1260"/>
      <c r="AV85" s="1260"/>
      <c r="AW85" s="1260"/>
      <c r="AX85" s="1260"/>
      <c r="AY85" s="1260"/>
      <c r="AZ85" s="1260"/>
      <c r="BA85" s="1260"/>
      <c r="BB85" s="1260"/>
      <c r="BC85" s="1260"/>
      <c r="BD85" s="1123">
        <f>IF(AI85=0,0,(AT85-AI85)/AI85*100)</f>
        <v>0</v>
      </c>
      <c r="BE85" s="1123">
        <f>IF(AT85=0,0,(AU85-AT85)/AT85*100)</f>
        <v>0</v>
      </c>
      <c r="BF85" s="1123">
        <f>IF(AU85=0,0,(AV85-AU85)/AU85*100)</f>
        <v>0</v>
      </c>
      <c r="BG85" s="1123">
        <f>IF(AV85=0,0,(AW85-AV85)/AV85*100)</f>
        <v>0</v>
      </c>
      <c r="BH85" s="1123">
        <f>IF(AW85=0,0,(AX85-AW85)/AW85*100)</f>
        <v>0</v>
      </c>
      <c r="BI85" s="1123">
        <f>IF(AX85=0,0,(AY85-AX85)/AX85*100)</f>
        <v>0</v>
      </c>
      <c r="BJ85" s="1123">
        <f>IF(AY85=0,0,(AZ85-AY85)/AY85*100)</f>
        <v>0</v>
      </c>
      <c r="BK85" s="1123">
        <f>IF(AZ85=0,0,(BA85-AZ85)/AZ85*100)</f>
        <v>0</v>
      </c>
      <c r="BL85" s="1123">
        <f>IF(BA85=0,0,(BB85-BA85)/BA85*100)</f>
        <v>0</v>
      </c>
      <c r="BM85" s="1123">
        <f>IF(BB85=0,0,(BC85-BB85)/BB85*100)</f>
        <v>0</v>
      </c>
      <c r="BN85" s="1257"/>
      <c r="BO85" s="1257"/>
      <c r="BP85" s="1257"/>
      <c r="BQ85" s="1297"/>
      <c r="BR85" s="1297"/>
      <c r="BS85" s="1072" t="s">
        <v>2289</v>
      </c>
      <c r="BT85" s="1072"/>
      <c r="BU85" s="1072"/>
      <c r="BV85" s="987"/>
      <c r="BW85" s="987"/>
    </row>
    <row customHeight="1" ht="14.625" hidden="1">
      <c r="A86" s="1297"/>
      <c r="B86" s="986"/>
      <c r="C86" s="103"/>
      <c r="D86" s="103"/>
      <c r="E86" s="626">
        <v>15</v>
      </c>
      <c r="F86" s="50" cm="1" t="str">
        <f t="array" ref="F86:F86">OFFSET(E86,-1,1)</f>
        <v>0</v>
      </c>
      <c r="G86" s="103"/>
      <c r="H86" s="103"/>
      <c r="I86" s="103" t="s">
        <v>2290</v>
      </c>
      <c r="J86" s="103"/>
      <c r="K86" s="103" t="s">
        <v>2290</v>
      </c>
      <c r="L86" s="988"/>
      <c r="M86" s="103"/>
      <c r="N86" s="103"/>
      <c r="O86" s="103"/>
      <c r="P86" s="103"/>
      <c r="Q86" s="103"/>
      <c r="R86" s="103"/>
      <c r="S86" s="103"/>
      <c r="T86" s="468" cm="1" t="str">
        <f t="array" ref="T86:T86">T85</f>
        <v>false</v>
      </c>
      <c r="U86" s="103"/>
      <c r="V86" s="103"/>
      <c r="W86" s="103"/>
      <c r="X86" s="1559"/>
      <c r="Y86" s="1297"/>
      <c r="Z86" s="1529"/>
      <c r="AA86" s="1297"/>
      <c r="AB86" s="296" t="s">
        <v>2291</v>
      </c>
      <c r="AC86" s="772" t="s">
        <v>2292</v>
      </c>
      <c r="AD86" s="296" t="s">
        <v>936</v>
      </c>
      <c r="AE86" s="1260"/>
      <c r="AF86" s="1260"/>
      <c r="AG86" s="1260"/>
      <c r="AH86" s="1123">
        <f>AG86-AF86</f>
        <v>0</v>
      </c>
      <c r="AI86" s="1260"/>
      <c r="AJ86" s="1260"/>
      <c r="AK86" s="1260"/>
      <c r="AL86" s="1260"/>
      <c r="AM86" s="1260"/>
      <c r="AN86" s="1260"/>
      <c r="AO86" s="1260"/>
      <c r="AP86" s="1260"/>
      <c r="AQ86" s="1260"/>
      <c r="AR86" s="1260"/>
      <c r="AS86" s="1260"/>
      <c r="AT86" s="1260"/>
      <c r="AU86" s="1260"/>
      <c r="AV86" s="1260"/>
      <c r="AW86" s="1260"/>
      <c r="AX86" s="1260"/>
      <c r="AY86" s="1260"/>
      <c r="AZ86" s="1260"/>
      <c r="BA86" s="1260"/>
      <c r="BB86" s="1260"/>
      <c r="BC86" s="1260"/>
      <c r="BD86" s="1123">
        <f>IF(AI86=0,0,(AT86-AI86)/AI86*100)</f>
        <v>0</v>
      </c>
      <c r="BE86" s="1123">
        <f>IF(AT86=0,0,(AU86-AT86)/AT86*100)</f>
        <v>0</v>
      </c>
      <c r="BF86" s="1123">
        <f>IF(AU86=0,0,(AV86-AU86)/AU86*100)</f>
        <v>0</v>
      </c>
      <c r="BG86" s="1123">
        <f>IF(AV86=0,0,(AW86-AV86)/AV86*100)</f>
        <v>0</v>
      </c>
      <c r="BH86" s="1123">
        <f>IF(AW86=0,0,(AX86-AW86)/AW86*100)</f>
        <v>0</v>
      </c>
      <c r="BI86" s="1123">
        <f>IF(AX86=0,0,(AY86-AX86)/AX86*100)</f>
        <v>0</v>
      </c>
      <c r="BJ86" s="1123">
        <f>IF(AY86=0,0,(AZ86-AY86)/AY86*100)</f>
        <v>0</v>
      </c>
      <c r="BK86" s="1123">
        <f>IF(AZ86=0,0,(BA86-AZ86)/AZ86*100)</f>
        <v>0</v>
      </c>
      <c r="BL86" s="1123">
        <f>IF(BA86=0,0,(BB86-BA86)/BA86*100)</f>
        <v>0</v>
      </c>
      <c r="BM86" s="1123">
        <f>IF(BB86=0,0,(BC86-BB86)/BB86*100)</f>
        <v>0</v>
      </c>
      <c r="BN86" s="1257"/>
      <c r="BO86" s="1257"/>
      <c r="BP86" s="1257"/>
      <c r="BQ86" s="1297"/>
      <c r="BR86" s="1297"/>
      <c r="BS86" s="1072" t="s">
        <v>2293</v>
      </c>
      <c r="BT86" s="1072"/>
      <c r="BU86" s="1072"/>
      <c r="BV86" s="987"/>
      <c r="BW86" s="987"/>
    </row>
    <row customHeight="1" ht="14.625" hidden="1">
      <c r="A87" s="1297"/>
      <c r="B87" s="986"/>
      <c r="C87" s="103"/>
      <c r="D87" s="103"/>
      <c r="E87" s="626">
        <v>15</v>
      </c>
      <c r="F87" s="50" cm="1" t="str">
        <f t="array" ref="F87:F87">OFFSET(E87,-1,1)</f>
        <v>0</v>
      </c>
      <c r="G87" s="103" t="s">
        <v>1267</v>
      </c>
      <c r="H87" s="103"/>
      <c r="I87" s="103" t="s">
        <v>2294</v>
      </c>
      <c r="J87" s="103"/>
      <c r="K87" s="103" t="s">
        <v>2294</v>
      </c>
      <c r="L87" s="988" t="s">
        <v>1745</v>
      </c>
      <c r="M87" s="103"/>
      <c r="N87" s="103"/>
      <c r="O87" s="103"/>
      <c r="P87" s="103"/>
      <c r="Q87" s="103"/>
      <c r="R87" s="103"/>
      <c r="S87" s="103"/>
      <c r="T87" s="468" cm="1" t="str">
        <f t="array" ref="T87:T87">T86</f>
        <v>false</v>
      </c>
      <c r="U87" s="103"/>
      <c r="V87" s="103"/>
      <c r="W87" s="103"/>
      <c r="X87" s="1559"/>
      <c r="Y87" s="1297"/>
      <c r="Z87" s="1529"/>
      <c r="AA87" s="1297"/>
      <c r="AB87" s="296" t="s">
        <v>2295</v>
      </c>
      <c r="AC87" s="772" t="s">
        <v>2296</v>
      </c>
      <c r="AD87" s="296" t="s">
        <v>936</v>
      </c>
      <c r="AE87" s="1123">
        <f>_xlfn.SUMIFS(Покупка!AE$25:AE$327,Покупка!$F$25:$F$327,$F87,Покупка!$AC$25:$AC$327,$G87)</f>
        <v>0</v>
      </c>
      <c r="AF87" s="1123">
        <f>_xlfn.SUMIFS(Покупка!AF$25:AF$327,Покупка!$F$25:$F$327,$F87,Покупка!$AC$25:$AC$327,$G87)</f>
        <v>0</v>
      </c>
      <c r="AG87" s="1123">
        <f>_xlfn.SUMIFS(Покупка!AG$25:AG$327,Покупка!$F$25:$F$327,$F87,Покупка!$AC$25:$AC$327,$G87)</f>
        <v>0</v>
      </c>
      <c r="AH87" s="1123">
        <f>AG87-AF87</f>
        <v>0</v>
      </c>
      <c r="AI87" s="1123">
        <f>_xlfn.SUMIFS(Покупка!AH$25:AH$327,Покупка!$F$25:$F$327,$F87,Покупка!$AC$25:$AC$327,$G87)</f>
        <v>0</v>
      </c>
      <c r="AJ87" s="1123">
        <f>_xlfn.SUMIFS(Покупка!AI$25:AI$327,Покупка!$F$25:$F$327,$F87,Покупка!$AC$25:$AC$327,$G87)</f>
        <v>0</v>
      </c>
      <c r="AK87" s="1123">
        <f>_xlfn.SUMIFS(Покупка!AJ$25:AJ$327,Покупка!$F$25:$F$327,$F87,Покупка!$AC$25:$AC$327,$G87)</f>
        <v>0</v>
      </c>
      <c r="AL87" s="1123">
        <f>_xlfn.SUMIFS(Покупка!AK$25:AK$327,Покупка!$F$25:$F$327,$F87,Покупка!$AC$25:$AC$327,$G87)</f>
        <v>0</v>
      </c>
      <c r="AM87" s="1123">
        <f>_xlfn.SUMIFS(Покупка!AL$25:AL$327,Покупка!$F$25:$F$327,$F87,Покупка!$AC$25:$AC$327,$G87)</f>
        <v>0</v>
      </c>
      <c r="AN87" s="1123">
        <f>_xlfn.SUMIFS(Покупка!AM$25:AM$327,Покупка!$F$25:$F$327,$F87,Покупка!$AC$25:$AC$327,$G87)</f>
        <v>0</v>
      </c>
      <c r="AO87" s="1123">
        <f>_xlfn.SUMIFS(Покупка!AN$25:AN$327,Покупка!$F$25:$F$327,$F87,Покупка!$AC$25:$AC$327,$G87)</f>
        <v>0</v>
      </c>
      <c r="AP87" s="1123">
        <f>_xlfn.SUMIFS(Покупка!AO$25:AO$327,Покупка!$F$25:$F$327,$F87,Покупка!$AC$25:$AC$327,$G87)</f>
        <v>0</v>
      </c>
      <c r="AQ87" s="1123">
        <f>_xlfn.SUMIFS(Покупка!AP$25:AP$327,Покупка!$F$25:$F$327,$F87,Покупка!$AC$25:$AC$327,$G87)</f>
        <v>0</v>
      </c>
      <c r="AR87" s="1123">
        <f>_xlfn.SUMIFS(Покупка!AQ$25:AQ$327,Покупка!$F$25:$F$327,$F87,Покупка!$AC$25:$AC$327,$G87)</f>
        <v>0</v>
      </c>
      <c r="AS87" s="1123">
        <f>_xlfn.SUMIFS(Покупка!AR$25:AR$327,Покупка!$F$25:$F$327,$F87,Покупка!$AC$25:$AC$327,$G87)</f>
        <v>0</v>
      </c>
      <c r="AT87" s="1123">
        <f>_xlfn.SUMIFS(Покупка!AS$25:AS$327,Покупка!$F$25:$F$327,$F87,Покупка!$AC$25:$AC$327,$G87)</f>
        <v>0</v>
      </c>
      <c r="AU87" s="1123">
        <f>_xlfn.SUMIFS(Покупка!AT$25:AT$327,Покупка!$F$25:$F$327,$F87,Покупка!$AC$25:$AC$327,$G87)</f>
        <v>0</v>
      </c>
      <c r="AV87" s="1123">
        <f>_xlfn.SUMIFS(Покупка!AU$25:AU$327,Покупка!$F$25:$F$327,$F87,Покупка!$AC$25:$AC$327,$G87)</f>
        <v>0</v>
      </c>
      <c r="AW87" s="1123">
        <f>_xlfn.SUMIFS(Покупка!AV$25:AV$327,Покупка!$F$25:$F$327,$F87,Покупка!$AC$25:$AC$327,$G87)</f>
        <v>0</v>
      </c>
      <c r="AX87" s="1123">
        <f>_xlfn.SUMIFS(Покупка!AW$25:AW$327,Покупка!$F$25:$F$327,$F87,Покупка!$AC$25:$AC$327,$G87)</f>
        <v>0</v>
      </c>
      <c r="AY87" s="1123">
        <f>_xlfn.SUMIFS(Покупка!AX$25:AX$327,Покупка!$F$25:$F$327,$F87,Покупка!$AC$25:$AC$327,$G87)</f>
        <v>0</v>
      </c>
      <c r="AZ87" s="1123">
        <f>_xlfn.SUMIFS(Покупка!AY$25:AY$327,Покупка!$F$25:$F$327,$F87,Покупка!$AC$25:$AC$327,$G87)</f>
        <v>0</v>
      </c>
      <c r="BA87" s="1123">
        <f>_xlfn.SUMIFS(Покупка!AZ$25:AZ$327,Покупка!$F$25:$F$327,$F87,Покупка!$AC$25:$AC$327,$G87)</f>
        <v>0</v>
      </c>
      <c r="BB87" s="1123">
        <f>_xlfn.SUMIFS(Покупка!BA$25:BA$327,Покупка!$F$25:$F$327,$F87,Покупка!$AC$25:$AC$327,$G87)</f>
        <v>0</v>
      </c>
      <c r="BC87" s="1123">
        <f>_xlfn.SUMIFS(Покупка!BB$25:BB$327,Покупка!$F$25:$F$327,$F87,Покупка!$AC$25:$AC$327,$G87)</f>
        <v>0</v>
      </c>
      <c r="BD87" s="1123">
        <f>IF(AI87=0,0,(AT87-AI87)/AI87*100)</f>
        <v>0</v>
      </c>
      <c r="BE87" s="1123">
        <f>IF(AT87=0,0,(AU87-AT87)/AT87*100)</f>
        <v>0</v>
      </c>
      <c r="BF87" s="1123">
        <f>IF(AU87=0,0,(AV87-AU87)/AU87*100)</f>
        <v>0</v>
      </c>
      <c r="BG87" s="1123">
        <f>IF(AV87=0,0,(AW87-AV87)/AV87*100)</f>
        <v>0</v>
      </c>
      <c r="BH87" s="1123">
        <f>IF(AW87=0,0,(AX87-AW87)/AW87*100)</f>
        <v>0</v>
      </c>
      <c r="BI87" s="1123">
        <f>IF(AX87=0,0,(AY87-AX87)/AX87*100)</f>
        <v>0</v>
      </c>
      <c r="BJ87" s="1123">
        <f>IF(AY87=0,0,(AZ87-AY87)/AY87*100)</f>
        <v>0</v>
      </c>
      <c r="BK87" s="1123">
        <f>IF(AZ87=0,0,(BA87-AZ87)/AZ87*100)</f>
        <v>0</v>
      </c>
      <c r="BL87" s="1123">
        <f>IF(BA87=0,0,(BB87-BA87)/BA87*100)</f>
        <v>0</v>
      </c>
      <c r="BM87" s="1123">
        <f>IF(BB87=0,0,(BC87-BB87)/BB87*100)</f>
        <v>0</v>
      </c>
      <c r="BN87" s="1257"/>
      <c r="BO87" s="1261" t="str">
        <f>IF(_xlfn.IFERROR(INDEX(Покупка!$K$26:$L$327,MATCH($F87&amp;"3komm",Покупка!$K$26:$K$327,0),2),"")=0,"",_xlfn.IFERROR(INDEX(Покупка!$K$26:$L$327,MATCH($F87&amp;"3komm",Покупка!$K$26:$K$327,0),2),""))</f>
        <v/>
      </c>
      <c r="BP87" s="1257"/>
      <c r="BQ87" s="1297"/>
      <c r="BR87" s="1297"/>
      <c r="BS87" s="1072" t="s">
        <v>1997</v>
      </c>
      <c r="BT87" s="1072"/>
      <c r="BU87" s="1072"/>
      <c r="BV87" s="987"/>
      <c r="BW87" s="987"/>
    </row>
    <row customHeight="1" ht="14.625" hidden="1">
      <c r="A88" s="1297"/>
      <c r="B88" s="986"/>
      <c r="C88" s="103"/>
      <c r="D88" s="103"/>
      <c r="E88" s="626">
        <v>15</v>
      </c>
      <c r="F88" s="50" cm="1" t="str">
        <f t="array" ref="F88:F88">OFFSET(E88,-1,1)</f>
        <v>0</v>
      </c>
      <c r="G88" s="103" t="s">
        <v>1273</v>
      </c>
      <c r="H88" s="103"/>
      <c r="I88" s="103" t="s">
        <v>2297</v>
      </c>
      <c r="J88" s="103"/>
      <c r="K88" s="103" t="s">
        <v>2297</v>
      </c>
      <c r="L88" s="988" t="s">
        <v>1750</v>
      </c>
      <c r="M88" s="103"/>
      <c r="N88" s="103"/>
      <c r="O88" s="103"/>
      <c r="P88" s="103"/>
      <c r="Q88" s="103"/>
      <c r="R88" s="103"/>
      <c r="S88" s="103"/>
      <c r="T88" s="468" cm="1" t="str">
        <f t="array" ref="T88:T88">T87</f>
        <v>false</v>
      </c>
      <c r="U88" s="103"/>
      <c r="V88" s="103"/>
      <c r="W88" s="103"/>
      <c r="X88" s="1559"/>
      <c r="Y88" s="1297"/>
      <c r="Z88" s="1529"/>
      <c r="AA88" s="1297"/>
      <c r="AB88" s="296" t="s">
        <v>2298</v>
      </c>
      <c r="AC88" s="772" t="s">
        <v>2299</v>
      </c>
      <c r="AD88" s="296" t="s">
        <v>936</v>
      </c>
      <c r="AE88" s="1123">
        <f>_xlfn.SUMIFS(Покупка!AE$25:AE$327,Покупка!$F$25:$F$327,$F88,Покупка!$AC$25:$AC$327,$G88)</f>
        <v>0</v>
      </c>
      <c r="AF88" s="1123">
        <f>_xlfn.SUMIFS(Покупка!AF$25:AF$327,Покупка!$F$25:$F$327,$F88,Покупка!$AC$25:$AC$327,$G88)</f>
        <v>0</v>
      </c>
      <c r="AG88" s="1123">
        <f>_xlfn.SUMIFS(Покупка!AG$25:AG$327,Покупка!$F$25:$F$327,$F88,Покупка!$AC$25:$AC$327,$G88)</f>
        <v>0</v>
      </c>
      <c r="AH88" s="1123">
        <f>AG88-AF88</f>
        <v>0</v>
      </c>
      <c r="AI88" s="1123">
        <f>_xlfn.SUMIFS(Покупка!AH$25:AH$327,Покупка!$F$25:$F$327,$F88,Покупка!$AC$25:$AC$327,$G88)</f>
        <v>0</v>
      </c>
      <c r="AJ88" s="1123">
        <f>_xlfn.SUMIFS(Покупка!AI$25:AI$327,Покупка!$F$25:$F$327,$F88,Покупка!$AC$25:$AC$327,$G88)</f>
        <v>0</v>
      </c>
      <c r="AK88" s="1123">
        <f>_xlfn.SUMIFS(Покупка!AJ$25:AJ$327,Покупка!$F$25:$F$327,$F88,Покупка!$AC$25:$AC$327,$G88)</f>
        <v>0</v>
      </c>
      <c r="AL88" s="1123">
        <f>_xlfn.SUMIFS(Покупка!AK$25:AK$327,Покупка!$F$25:$F$327,$F88,Покупка!$AC$25:$AC$327,$G88)</f>
        <v>0</v>
      </c>
      <c r="AM88" s="1123">
        <f>_xlfn.SUMIFS(Покупка!AL$25:AL$327,Покупка!$F$25:$F$327,$F88,Покупка!$AC$25:$AC$327,$G88)</f>
        <v>0</v>
      </c>
      <c r="AN88" s="1123">
        <f>_xlfn.SUMIFS(Покупка!AM$25:AM$327,Покупка!$F$25:$F$327,$F88,Покупка!$AC$25:$AC$327,$G88)</f>
        <v>0</v>
      </c>
      <c r="AO88" s="1123">
        <f>_xlfn.SUMIFS(Покупка!AN$25:AN$327,Покупка!$F$25:$F$327,$F88,Покупка!$AC$25:$AC$327,$G88)</f>
        <v>0</v>
      </c>
      <c r="AP88" s="1123">
        <f>_xlfn.SUMIFS(Покупка!AO$25:AO$327,Покупка!$F$25:$F$327,$F88,Покупка!$AC$25:$AC$327,$G88)</f>
        <v>0</v>
      </c>
      <c r="AQ88" s="1123">
        <f>_xlfn.SUMIFS(Покупка!AP$25:AP$327,Покупка!$F$25:$F$327,$F88,Покупка!$AC$25:$AC$327,$G88)</f>
        <v>0</v>
      </c>
      <c r="AR88" s="1123">
        <f>_xlfn.SUMIFS(Покупка!AQ$25:AQ$327,Покупка!$F$25:$F$327,$F88,Покупка!$AC$25:$AC$327,$G88)</f>
        <v>0</v>
      </c>
      <c r="AS88" s="1123">
        <f>_xlfn.SUMIFS(Покупка!AR$25:AR$327,Покупка!$F$25:$F$327,$F88,Покупка!$AC$25:$AC$327,$G88)</f>
        <v>0</v>
      </c>
      <c r="AT88" s="1123">
        <f>_xlfn.SUMIFS(Покупка!AS$25:AS$327,Покупка!$F$25:$F$327,$F88,Покупка!$AC$25:$AC$327,$G88)</f>
        <v>0</v>
      </c>
      <c r="AU88" s="1123">
        <f>_xlfn.SUMIFS(Покупка!AT$25:AT$327,Покупка!$F$25:$F$327,$F88,Покупка!$AC$25:$AC$327,$G88)</f>
        <v>0</v>
      </c>
      <c r="AV88" s="1123">
        <f>_xlfn.SUMIFS(Покупка!AU$25:AU$327,Покупка!$F$25:$F$327,$F88,Покупка!$AC$25:$AC$327,$G88)</f>
        <v>0</v>
      </c>
      <c r="AW88" s="1123">
        <f>_xlfn.SUMIFS(Покупка!AV$25:AV$327,Покупка!$F$25:$F$327,$F88,Покупка!$AC$25:$AC$327,$G88)</f>
        <v>0</v>
      </c>
      <c r="AX88" s="1123">
        <f>_xlfn.SUMIFS(Покупка!AW$25:AW$327,Покупка!$F$25:$F$327,$F88,Покупка!$AC$25:$AC$327,$G88)</f>
        <v>0</v>
      </c>
      <c r="AY88" s="1123">
        <f>_xlfn.SUMIFS(Покупка!AX$25:AX$327,Покупка!$F$25:$F$327,$F88,Покупка!$AC$25:$AC$327,$G88)</f>
        <v>0</v>
      </c>
      <c r="AZ88" s="1123">
        <f>_xlfn.SUMIFS(Покупка!AY$25:AY$327,Покупка!$F$25:$F$327,$F88,Покупка!$AC$25:$AC$327,$G88)</f>
        <v>0</v>
      </c>
      <c r="BA88" s="1123">
        <f>_xlfn.SUMIFS(Покупка!AZ$25:AZ$327,Покупка!$F$25:$F$327,$F88,Покупка!$AC$25:$AC$327,$G88)</f>
        <v>0</v>
      </c>
      <c r="BB88" s="1123">
        <f>_xlfn.SUMIFS(Покупка!BA$25:BA$327,Покупка!$F$25:$F$327,$F88,Покупка!$AC$25:$AC$327,$G88)</f>
        <v>0</v>
      </c>
      <c r="BC88" s="1123">
        <f>_xlfn.SUMIFS(Покупка!BB$25:BB$327,Покупка!$F$25:$F$327,$F88,Покупка!$AC$25:$AC$327,$G88)</f>
        <v>0</v>
      </c>
      <c r="BD88" s="1123">
        <f>IF(AI88=0,0,(AT88-AI88)/AI88*100)</f>
        <v>0</v>
      </c>
      <c r="BE88" s="1123">
        <f>IF(AT88=0,0,(AU88-AT88)/AT88*100)</f>
        <v>0</v>
      </c>
      <c r="BF88" s="1123">
        <f>IF(AU88=0,0,(AV88-AU88)/AU88*100)</f>
        <v>0</v>
      </c>
      <c r="BG88" s="1123">
        <f>IF(AV88=0,0,(AW88-AV88)/AV88*100)</f>
        <v>0</v>
      </c>
      <c r="BH88" s="1123">
        <f>IF(AW88=0,0,(AX88-AW88)/AW88*100)</f>
        <v>0</v>
      </c>
      <c r="BI88" s="1123">
        <f>IF(AX88=0,0,(AY88-AX88)/AX88*100)</f>
        <v>0</v>
      </c>
      <c r="BJ88" s="1123">
        <f>IF(AY88=0,0,(AZ88-AY88)/AY88*100)</f>
        <v>0</v>
      </c>
      <c r="BK88" s="1123">
        <f>IF(AZ88=0,0,(BA88-AZ88)/AZ88*100)</f>
        <v>0</v>
      </c>
      <c r="BL88" s="1123">
        <f>IF(BA88=0,0,(BB88-BA88)/BA88*100)</f>
        <v>0</v>
      </c>
      <c r="BM88" s="1123">
        <f>IF(BB88=0,0,(BC88-BB88)/BB88*100)</f>
        <v>0</v>
      </c>
      <c r="BN88" s="1257"/>
      <c r="BO88" s="1261" t="str">
        <f>IF(_xlfn.IFERROR(INDEX(Покупка!$K$26:$L$327,MATCH($F88&amp;"4komm",Покупка!$K$26:$K$327,0),2),"")=0,"",_xlfn.IFERROR(INDEX(Покупка!$K$26:$L$327,MATCH($F87&amp;"3komm",Покупка!$K$26:$K$327,0),2),""))</f>
        <v/>
      </c>
      <c r="BP88" s="1257"/>
      <c r="BQ88" s="1297"/>
      <c r="BR88" s="1297"/>
      <c r="BS88" s="1072" t="s">
        <v>2000</v>
      </c>
      <c r="BT88" s="1072"/>
      <c r="BU88" s="1072"/>
      <c r="BV88" s="987"/>
      <c r="BW88" s="987"/>
    </row>
    <row customHeight="1" ht="14.625" hidden="1">
      <c r="A89" s="1297"/>
      <c r="B89" s="986"/>
      <c r="C89" s="103"/>
      <c r="D89" s="103"/>
      <c r="E89" s="626">
        <v>15</v>
      </c>
      <c r="F89" s="50" cm="1" t="str">
        <f t="array" ref="F89:F89">OFFSET(E89,-1,1)</f>
        <v>0</v>
      </c>
      <c r="G89" s="103" t="s">
        <v>1280</v>
      </c>
      <c r="H89" s="103"/>
      <c r="I89" s="103" t="s">
        <v>2300</v>
      </c>
      <c r="J89" s="103"/>
      <c r="K89" s="103" t="s">
        <v>2300</v>
      </c>
      <c r="L89" s="988" t="s">
        <v>1760</v>
      </c>
      <c r="M89" s="103"/>
      <c r="N89" s="103"/>
      <c r="O89" s="103"/>
      <c r="P89" s="103"/>
      <c r="Q89" s="103"/>
      <c r="R89" s="103"/>
      <c r="S89" s="103"/>
      <c r="T89" s="468" cm="1" t="str">
        <f t="array" ref="T89:T89">T88</f>
        <v>false</v>
      </c>
      <c r="U89" s="103"/>
      <c r="V89" s="103"/>
      <c r="W89" s="103"/>
      <c r="X89" s="1559"/>
      <c r="Y89" s="1297"/>
      <c r="Z89" s="1529"/>
      <c r="AA89" s="1297"/>
      <c r="AB89" s="296" t="s">
        <v>2301</v>
      </c>
      <c r="AC89" s="772" t="s">
        <v>2302</v>
      </c>
      <c r="AD89" s="296" t="s">
        <v>936</v>
      </c>
      <c r="AE89" s="1123">
        <f>_xlfn.SUMIFS(Покупка!AE$25:AE$327,Покупка!$F$25:$F$327,$F89,Покупка!$AC$25:$AC$327,$G89)</f>
        <v>0</v>
      </c>
      <c r="AF89" s="1123">
        <f>_xlfn.SUMIFS(Покупка!AF$25:AF$327,Покупка!$F$25:$F$327,$F89,Покупка!$AC$25:$AC$327,$G89)</f>
        <v>0</v>
      </c>
      <c r="AG89" s="1123">
        <f>_xlfn.SUMIFS(Покупка!AG$25:AG$327,Покупка!$F$25:$F$327,$F89,Покупка!$AC$25:$AC$327,$G89)</f>
        <v>0</v>
      </c>
      <c r="AH89" s="1123">
        <f>AG89-AF89</f>
        <v>0</v>
      </c>
      <c r="AI89" s="1123">
        <f>_xlfn.SUMIFS(Покупка!AH$25:AH$327,Покупка!$F$25:$F$327,$F89,Покупка!$AC$25:$AC$327,$G89)</f>
        <v>0</v>
      </c>
      <c r="AJ89" s="1123">
        <f>_xlfn.SUMIFS(Покупка!AI$25:AI$327,Покупка!$F$25:$F$327,$F89,Покупка!$AC$25:$AC$327,$G89)</f>
        <v>0</v>
      </c>
      <c r="AK89" s="1123">
        <f>_xlfn.SUMIFS(Покупка!AJ$25:AJ$327,Покупка!$F$25:$F$327,$F89,Покупка!$AC$25:$AC$327,$G89)</f>
        <v>0</v>
      </c>
      <c r="AL89" s="1123">
        <f>_xlfn.SUMIFS(Покупка!AK$25:AK$327,Покупка!$F$25:$F$327,$F89,Покупка!$AC$25:$AC$327,$G89)</f>
        <v>0</v>
      </c>
      <c r="AM89" s="1123">
        <f>_xlfn.SUMIFS(Покупка!AL$25:AL$327,Покупка!$F$25:$F$327,$F89,Покупка!$AC$25:$AC$327,$G89)</f>
        <v>0</v>
      </c>
      <c r="AN89" s="1123">
        <f>_xlfn.SUMIFS(Покупка!AM$25:AM$327,Покупка!$F$25:$F$327,$F89,Покупка!$AC$25:$AC$327,$G89)</f>
        <v>0</v>
      </c>
      <c r="AO89" s="1123">
        <f>_xlfn.SUMIFS(Покупка!AN$25:AN$327,Покупка!$F$25:$F$327,$F89,Покупка!$AC$25:$AC$327,$G89)</f>
        <v>0</v>
      </c>
      <c r="AP89" s="1123">
        <f>_xlfn.SUMIFS(Покупка!AO$25:AO$327,Покупка!$F$25:$F$327,$F89,Покупка!$AC$25:$AC$327,$G89)</f>
        <v>0</v>
      </c>
      <c r="AQ89" s="1123">
        <f>_xlfn.SUMIFS(Покупка!AP$25:AP$327,Покупка!$F$25:$F$327,$F89,Покупка!$AC$25:$AC$327,$G89)</f>
        <v>0</v>
      </c>
      <c r="AR89" s="1123">
        <f>_xlfn.SUMIFS(Покупка!AQ$25:AQ$327,Покупка!$F$25:$F$327,$F89,Покупка!$AC$25:$AC$327,$G89)</f>
        <v>0</v>
      </c>
      <c r="AS89" s="1123">
        <f>_xlfn.SUMIFS(Покупка!AR$25:AR$327,Покупка!$F$25:$F$327,$F89,Покупка!$AC$25:$AC$327,$G89)</f>
        <v>0</v>
      </c>
      <c r="AT89" s="1123">
        <f>_xlfn.SUMIFS(Покупка!AS$25:AS$327,Покупка!$F$25:$F$327,$F89,Покупка!$AC$25:$AC$327,$G89)</f>
        <v>0</v>
      </c>
      <c r="AU89" s="1123">
        <f>_xlfn.SUMIFS(Покупка!AT$25:AT$327,Покупка!$F$25:$F$327,$F89,Покупка!$AC$25:$AC$327,$G89)</f>
        <v>0</v>
      </c>
      <c r="AV89" s="1123">
        <f>_xlfn.SUMIFS(Покупка!AU$25:AU$327,Покупка!$F$25:$F$327,$F89,Покупка!$AC$25:$AC$327,$G89)</f>
        <v>0</v>
      </c>
      <c r="AW89" s="1123">
        <f>_xlfn.SUMIFS(Покупка!AV$25:AV$327,Покупка!$F$25:$F$327,$F89,Покупка!$AC$25:$AC$327,$G89)</f>
        <v>0</v>
      </c>
      <c r="AX89" s="1123">
        <f>_xlfn.SUMIFS(Покупка!AW$25:AW$327,Покупка!$F$25:$F$327,$F89,Покупка!$AC$25:$AC$327,$G89)</f>
        <v>0</v>
      </c>
      <c r="AY89" s="1123">
        <f>_xlfn.SUMIFS(Покупка!AX$25:AX$327,Покупка!$F$25:$F$327,$F89,Покупка!$AC$25:$AC$327,$G89)</f>
        <v>0</v>
      </c>
      <c r="AZ89" s="1123">
        <f>_xlfn.SUMIFS(Покупка!AY$25:AY$327,Покупка!$F$25:$F$327,$F89,Покупка!$AC$25:$AC$327,$G89)</f>
        <v>0</v>
      </c>
      <c r="BA89" s="1123">
        <f>_xlfn.SUMIFS(Покупка!AZ$25:AZ$327,Покупка!$F$25:$F$327,$F89,Покупка!$AC$25:$AC$327,$G89)</f>
        <v>0</v>
      </c>
      <c r="BB89" s="1123">
        <f>_xlfn.SUMIFS(Покупка!BA$25:BA$327,Покупка!$F$25:$F$327,$F89,Покупка!$AC$25:$AC$327,$G89)</f>
        <v>0</v>
      </c>
      <c r="BC89" s="1123">
        <f>_xlfn.SUMIFS(Покупка!BB$25:BB$327,Покупка!$F$25:$F$327,$F89,Покупка!$AC$25:$AC$327,$G89)</f>
        <v>0</v>
      </c>
      <c r="BD89" s="1123">
        <f>IF(AI89=0,0,(AT89-AI89)/AI89*100)</f>
        <v>0</v>
      </c>
      <c r="BE89" s="1123">
        <f>IF(AT89=0,0,(AU89-AT89)/AT89*100)</f>
        <v>0</v>
      </c>
      <c r="BF89" s="1123">
        <f>IF(AU89=0,0,(AV89-AU89)/AU89*100)</f>
        <v>0</v>
      </c>
      <c r="BG89" s="1123">
        <f>IF(AV89=0,0,(AW89-AV89)/AV89*100)</f>
        <v>0</v>
      </c>
      <c r="BH89" s="1123">
        <f>IF(AW89=0,0,(AX89-AW89)/AW89*100)</f>
        <v>0</v>
      </c>
      <c r="BI89" s="1123">
        <f>IF(AX89=0,0,(AY89-AX89)/AX89*100)</f>
        <v>0</v>
      </c>
      <c r="BJ89" s="1123">
        <f>IF(AY89=0,0,(AZ89-AY89)/AY89*100)</f>
        <v>0</v>
      </c>
      <c r="BK89" s="1123">
        <f>IF(AZ89=0,0,(BA89-AZ89)/AZ89*100)</f>
        <v>0</v>
      </c>
      <c r="BL89" s="1123">
        <f>IF(BA89=0,0,(BB89-BA89)/BA89*100)</f>
        <v>0</v>
      </c>
      <c r="BM89" s="1123">
        <f>IF(BB89=0,0,(BC89-BB89)/BB89*100)</f>
        <v>0</v>
      </c>
      <c r="BN89" s="1257"/>
      <c r="BO89" s="1261" t="str">
        <f>IF(_xlfn.IFERROR(INDEX(Покупка!$K$26:$L$327,MATCH($F89&amp;"5komm",Покупка!$K$26:$K$327,0),2),"")=0,"",_xlfn.IFERROR(INDEX(Покупка!$K$26:$L$327,MATCH($F89&amp;"5komm",Покупка!$K$26:$K$327,0),2),""))</f>
        <v/>
      </c>
      <c r="BP89" s="1257"/>
      <c r="BQ89" s="1297"/>
      <c r="BR89" s="1297"/>
      <c r="BS89" s="1072" t="s">
        <v>2003</v>
      </c>
      <c r="BT89" s="1072"/>
      <c r="BU89" s="1072"/>
      <c r="BV89" s="987"/>
      <c r="BW89" s="987"/>
    </row>
    <row customHeight="1" ht="14.625" hidden="1">
      <c r="A90" s="1297"/>
      <c r="B90" s="986"/>
      <c r="C90" s="103"/>
      <c r="D90" s="103"/>
      <c r="E90" s="626">
        <v>15</v>
      </c>
      <c r="F90" s="50" cm="1" t="str">
        <f t="array" ref="F90:F90">OFFSET(E90,-1,1)</f>
        <v>0</v>
      </c>
      <c r="G90" s="103" t="s">
        <v>1321</v>
      </c>
      <c r="H90" s="103"/>
      <c r="I90" s="103"/>
      <c r="J90" s="103"/>
      <c r="K90" s="103"/>
      <c r="L90" s="988" t="s">
        <v>1727</v>
      </c>
      <c r="M90" s="103"/>
      <c r="N90" s="103"/>
      <c r="O90" s="103"/>
      <c r="P90" s="103"/>
      <c r="Q90" s="103"/>
      <c r="R90" s="103"/>
      <c r="S90" s="103"/>
      <c r="T90" s="468" cm="1" t="str">
        <f t="array" ref="T90:T90">T89</f>
        <v>false</v>
      </c>
      <c r="U90" s="103"/>
      <c r="V90" s="103"/>
      <c r="W90" s="103"/>
      <c r="X90" s="1559"/>
      <c r="Y90" s="1297"/>
      <c r="Z90" s="1529"/>
      <c r="AA90" s="1297"/>
      <c r="AB90" s="296" t="s">
        <v>2303</v>
      </c>
      <c r="AC90" s="772" t="s">
        <v>2304</v>
      </c>
      <c r="AD90" s="296" t="s">
        <v>936</v>
      </c>
      <c r="AE90" s="1123">
        <f>_xlfn.SUMIFS(Покупка!AE$25:AE$327,Покупка!$F$25:$F$327,$F90,Покупка!$AC$25:$AC$327,$G90)</f>
        <v>0</v>
      </c>
      <c r="AF90" s="1123">
        <f>_xlfn.SUMIFS(Покупка!AF$25:AF$327,Покупка!$F$25:$F$327,$F90,Покупка!$AC$25:$AC$327,$G90)</f>
        <v>0</v>
      </c>
      <c r="AG90" s="1123">
        <f>_xlfn.SUMIFS(Покупка!AG$25:AG$327,Покупка!$F$25:$F$327,$F90,Покупка!$AC$25:$AC$327,$G90)</f>
        <v>0</v>
      </c>
      <c r="AH90" s="1123">
        <f>AG90-AF90</f>
        <v>0</v>
      </c>
      <c r="AI90" s="1123">
        <f>_xlfn.SUMIFS(Покупка!AH$25:AH$327,Покупка!$F$25:$F$327,$F90,Покупка!$AC$25:$AC$327,$G90)</f>
        <v>0</v>
      </c>
      <c r="AJ90" s="1123">
        <f>_xlfn.SUMIFS(Покупка!AI$25:AI$327,Покупка!$F$25:$F$327,$F90,Покупка!$AC$25:$AC$327,$G90)</f>
        <v>0</v>
      </c>
      <c r="AK90" s="1123">
        <f>_xlfn.SUMIFS(Покупка!AJ$25:AJ$327,Покупка!$F$25:$F$327,$F90,Покупка!$AC$25:$AC$327,$G90)</f>
        <v>0</v>
      </c>
      <c r="AL90" s="1123">
        <f>_xlfn.SUMIFS(Покупка!AK$25:AK$327,Покупка!$F$25:$F$327,$F90,Покупка!$AC$25:$AC$327,$G90)</f>
        <v>0</v>
      </c>
      <c r="AM90" s="1123">
        <f>_xlfn.SUMIFS(Покупка!AL$25:AL$327,Покупка!$F$25:$F$327,$F90,Покупка!$AC$25:$AC$327,$G90)</f>
        <v>0</v>
      </c>
      <c r="AN90" s="1123">
        <f>_xlfn.SUMIFS(Покупка!AM$25:AM$327,Покупка!$F$25:$F$327,$F90,Покупка!$AC$25:$AC$327,$G90)</f>
        <v>0</v>
      </c>
      <c r="AO90" s="1123">
        <f>_xlfn.SUMIFS(Покупка!AN$25:AN$327,Покупка!$F$25:$F$327,$F90,Покупка!$AC$25:$AC$327,$G90)</f>
        <v>0</v>
      </c>
      <c r="AP90" s="1123">
        <f>_xlfn.SUMIFS(Покупка!AO$25:AO$327,Покупка!$F$25:$F$327,$F90,Покупка!$AC$25:$AC$327,$G90)</f>
        <v>0</v>
      </c>
      <c r="AQ90" s="1123">
        <f>_xlfn.SUMIFS(Покупка!AP$25:AP$327,Покупка!$F$25:$F$327,$F90,Покупка!$AC$25:$AC$327,$G90)</f>
        <v>0</v>
      </c>
      <c r="AR90" s="1123">
        <f>_xlfn.SUMIFS(Покупка!AQ$25:AQ$327,Покупка!$F$25:$F$327,$F90,Покупка!$AC$25:$AC$327,$G90)</f>
        <v>0</v>
      </c>
      <c r="AS90" s="1123">
        <f>_xlfn.SUMIFS(Покупка!AR$25:AR$327,Покупка!$F$25:$F$327,$F90,Покупка!$AC$25:$AC$327,$G90)</f>
        <v>0</v>
      </c>
      <c r="AT90" s="1123">
        <f>_xlfn.SUMIFS(Покупка!AS$25:AS$327,Покупка!$F$25:$F$327,$F90,Покупка!$AC$25:$AC$327,$G90)</f>
        <v>0</v>
      </c>
      <c r="AU90" s="1123">
        <f>_xlfn.SUMIFS(Покупка!AT$25:AT$327,Покупка!$F$25:$F$327,$F90,Покупка!$AC$25:$AC$327,$G90)</f>
        <v>0</v>
      </c>
      <c r="AV90" s="1123">
        <f>_xlfn.SUMIFS(Покупка!AU$25:AU$327,Покупка!$F$25:$F$327,$F90,Покупка!$AC$25:$AC$327,$G90)</f>
        <v>0</v>
      </c>
      <c r="AW90" s="1123">
        <f>_xlfn.SUMIFS(Покупка!AV$25:AV$327,Покупка!$F$25:$F$327,$F90,Покупка!$AC$25:$AC$327,$G90)</f>
        <v>0</v>
      </c>
      <c r="AX90" s="1123">
        <f>_xlfn.SUMIFS(Покупка!AW$25:AW$327,Покупка!$F$25:$F$327,$F90,Покупка!$AC$25:$AC$327,$G90)</f>
        <v>0</v>
      </c>
      <c r="AY90" s="1123">
        <f>_xlfn.SUMIFS(Покупка!AX$25:AX$327,Покупка!$F$25:$F$327,$F90,Покупка!$AC$25:$AC$327,$G90)</f>
        <v>0</v>
      </c>
      <c r="AZ90" s="1123">
        <f>_xlfn.SUMIFS(Покупка!AY$25:AY$327,Покупка!$F$25:$F$327,$F90,Покупка!$AC$25:$AC$327,$G90)</f>
        <v>0</v>
      </c>
      <c r="BA90" s="1123">
        <f>_xlfn.SUMIFS(Покупка!AZ$25:AZ$327,Покупка!$F$25:$F$327,$F90,Покупка!$AC$25:$AC$327,$G90)</f>
        <v>0</v>
      </c>
      <c r="BB90" s="1123">
        <f>_xlfn.SUMIFS(Покупка!BA$25:BA$327,Покупка!$F$25:$F$327,$F90,Покупка!$AC$25:$AC$327,$G90)</f>
        <v>0</v>
      </c>
      <c r="BC90" s="1123">
        <f>_xlfn.SUMIFS(Покупка!BB$25:BB$327,Покупка!$F$25:$F$327,$F90,Покупка!$AC$25:$AC$327,$G90)</f>
        <v>0</v>
      </c>
      <c r="BD90" s="1123">
        <f>IF(AI90=0,0,(AT90-AI90)/AI90*100)</f>
        <v>0</v>
      </c>
      <c r="BE90" s="1123">
        <f>IF(AT90=0,0,(AU90-AT90)/AT90*100)</f>
        <v>0</v>
      </c>
      <c r="BF90" s="1123">
        <f>IF(AU90=0,0,(AV90-AU90)/AU90*100)</f>
        <v>0</v>
      </c>
      <c r="BG90" s="1123">
        <f>IF(AV90=0,0,(AW90-AV90)/AV90*100)</f>
        <v>0</v>
      </c>
      <c r="BH90" s="1123">
        <f>IF(AW90=0,0,(AX90-AW90)/AW90*100)</f>
        <v>0</v>
      </c>
      <c r="BI90" s="1123">
        <f>IF(AX90=0,0,(AY90-AX90)/AX90*100)</f>
        <v>0</v>
      </c>
      <c r="BJ90" s="1123">
        <f>IF(AY90=0,0,(AZ90-AY90)/AY90*100)</f>
        <v>0</v>
      </c>
      <c r="BK90" s="1123">
        <f>IF(AZ90=0,0,(BA90-AZ90)/AZ90*100)</f>
        <v>0</v>
      </c>
      <c r="BL90" s="1123">
        <f>IF(BA90=0,0,(BB90-BA90)/BA90*100)</f>
        <v>0</v>
      </c>
      <c r="BM90" s="1123">
        <f>IF(BB90=0,0,(BC90-BB90)/BB90*100)</f>
        <v>0</v>
      </c>
      <c r="BN90" s="1257"/>
      <c r="BO90" s="1261" t="str">
        <f>IF(_xlfn.IFERROR(INDEX(Покупка!$K$26:$L$327,MATCH($F90&amp;"9komm",Покупка!$K$26:$K$327,0),2),"")=0,"",_xlfn.IFERROR(INDEX(Покупка!$K$26:$L$327,MATCH($F90&amp;"9komm",Покупка!$K$26:$K$327,0),2),""))</f>
        <v/>
      </c>
      <c r="BP90" s="1257"/>
      <c r="BQ90" s="1297"/>
      <c r="BR90" s="1297"/>
      <c r="BS90" s="1072" t="s">
        <v>1322</v>
      </c>
      <c r="BT90" s="1072"/>
      <c r="BU90" s="1072"/>
      <c r="BV90" s="987"/>
      <c r="BW90" s="987"/>
    </row>
    <row customHeight="1" ht="14.625" hidden="1">
      <c r="A91" s="1297"/>
      <c r="B91" s="986"/>
      <c r="C91" s="103"/>
      <c r="D91" s="103"/>
      <c r="E91" s="626">
        <v>15</v>
      </c>
      <c r="F91" s="50" cm="1" t="str">
        <f t="array" ref="F91:F91">OFFSET(E91,-1,1)</f>
        <v>0</v>
      </c>
      <c r="G91" s="103"/>
      <c r="H91" s="103"/>
      <c r="I91" s="103" t="s">
        <v>587</v>
      </c>
      <c r="J91" s="103"/>
      <c r="K91" s="103" t="s">
        <v>587</v>
      </c>
      <c r="L91" s="988"/>
      <c r="M91" s="103"/>
      <c r="N91" s="103"/>
      <c r="O91" s="103"/>
      <c r="P91" s="103"/>
      <c r="Q91" s="103"/>
      <c r="R91" s="103"/>
      <c r="S91" s="103"/>
      <c r="T91" s="468" cm="1" t="str">
        <f t="array" ref="T91:T91">T90</f>
        <v>false</v>
      </c>
      <c r="U91" s="103"/>
      <c r="V91" s="103"/>
      <c r="W91" s="103"/>
      <c r="X91" s="1559"/>
      <c r="Y91" s="1297"/>
      <c r="Z91" s="1529"/>
      <c r="AA91" s="1297"/>
      <c r="AB91" s="296" t="s">
        <v>664</v>
      </c>
      <c r="AC91" s="769" t="s">
        <v>2305</v>
      </c>
      <c r="AD91" s="786" t="s">
        <v>936</v>
      </c>
      <c r="AE91" s="1123">
        <f>_xlfn.SUMIFS('Сырье и материалы'!AE$25:AE$111,'Сырье и материалы'!$F$25:$F$111,$F91,'Сырье и материалы'!$I$25:$I$111,"Реагенты")</f>
        <v>0</v>
      </c>
      <c r="AF91" s="1123">
        <f>_xlfn.SUMIFS('Сырье и материалы'!AF$25:AF$111,'Сырье и материалы'!$F$25:$F$111,$F91,'Сырье и материалы'!$I$25:$I$111,"Реагенты")</f>
        <v>0</v>
      </c>
      <c r="AG91" s="1123">
        <f>_xlfn.SUMIFS('Сырье и материалы'!AG$25:AG$111,'Сырье и материалы'!$F$25:$F$111,$F91,'Сырье и материалы'!$I$25:$I$111,"Реагенты")</f>
        <v>0</v>
      </c>
      <c r="AH91" s="1123">
        <f>AG91-AF91</f>
        <v>0</v>
      </c>
      <c r="AI91" s="1123">
        <f>_xlfn.SUMIFS('Сырье и материалы'!AH$25:AH$111,'Сырье и материалы'!$F$25:$F$111,$F91,'Сырье и материалы'!$I$25:$I$111,"Реагенты")</f>
        <v>0</v>
      </c>
      <c r="AJ91" s="1123">
        <f>_xlfn.SUMIFS('Сырье и материалы'!AI$25:AI$111,'Сырье и материалы'!$F$25:$F$111,$F91,'Сырье и материалы'!$I$25:$I$111,"Реагенты")</f>
        <v>0</v>
      </c>
      <c r="AK91" s="1123">
        <f>_xlfn.SUMIFS('Сырье и материалы'!AJ$25:AJ$111,'Сырье и материалы'!$F$25:$F$111,$F91,'Сырье и материалы'!$I$25:$I$111,"Реагенты")</f>
        <v>0</v>
      </c>
      <c r="AL91" s="1123">
        <f>_xlfn.SUMIFS('Сырье и материалы'!AK$25:AK$111,'Сырье и материалы'!$F$25:$F$111,$F91,'Сырье и материалы'!$I$25:$I$111,"Реагенты")</f>
        <v>0</v>
      </c>
      <c r="AM91" s="1123">
        <f>_xlfn.SUMIFS('Сырье и материалы'!AL$25:AL$111,'Сырье и материалы'!$F$25:$F$111,$F91,'Сырье и материалы'!$I$25:$I$111,"Реагенты")</f>
        <v>0</v>
      </c>
      <c r="AN91" s="1123">
        <f>_xlfn.SUMIFS('Сырье и материалы'!AM$25:AM$111,'Сырье и материалы'!$F$25:$F$111,$F91,'Сырье и материалы'!$I$25:$I$111,"Реагенты")</f>
        <v>0</v>
      </c>
      <c r="AO91" s="1123">
        <f>_xlfn.SUMIFS('Сырье и материалы'!AN$25:AN$111,'Сырье и материалы'!$F$25:$F$111,$F91,'Сырье и материалы'!$I$25:$I$111,"Реагенты")</f>
        <v>0</v>
      </c>
      <c r="AP91" s="1123">
        <f>_xlfn.SUMIFS('Сырье и материалы'!AO$25:AO$111,'Сырье и материалы'!$F$25:$F$111,$F91,'Сырье и материалы'!$I$25:$I$111,"Реагенты")</f>
        <v>0</v>
      </c>
      <c r="AQ91" s="1123">
        <f>_xlfn.SUMIFS('Сырье и материалы'!AP$25:AP$111,'Сырье и материалы'!$F$25:$F$111,$F91,'Сырье и материалы'!$I$25:$I$111,"Реагенты")</f>
        <v>0</v>
      </c>
      <c r="AR91" s="1123">
        <f>_xlfn.SUMIFS('Сырье и материалы'!AQ$25:AQ$111,'Сырье и материалы'!$F$25:$F$111,$F91,'Сырье и материалы'!$I$25:$I$111,"Реагенты")</f>
        <v>0</v>
      </c>
      <c r="AS91" s="1123">
        <f>_xlfn.SUMIFS('Сырье и материалы'!AR$25:AR$111,'Сырье и материалы'!$F$25:$F$111,$F91,'Сырье и материалы'!$I$25:$I$111,"Реагенты")</f>
        <v>0</v>
      </c>
      <c r="AT91" s="1123">
        <f>_xlfn.SUMIFS('Сырье и материалы'!AS$25:AS$111,'Сырье и материалы'!$F$25:$F$111,$F91,'Сырье и материалы'!$I$25:$I$111,"Реагенты")</f>
        <v>0</v>
      </c>
      <c r="AU91" s="1123">
        <f>_xlfn.SUMIFS('Сырье и материалы'!AT$25:AT$111,'Сырье и материалы'!$F$25:$F$111,$F91,'Сырье и материалы'!$I$25:$I$111,"Реагенты")</f>
        <v>0</v>
      </c>
      <c r="AV91" s="1123">
        <f>_xlfn.SUMIFS('Сырье и материалы'!AU$25:AU$111,'Сырье и материалы'!$F$25:$F$111,$F91,'Сырье и материалы'!$I$25:$I$111,"Реагенты")</f>
        <v>0</v>
      </c>
      <c r="AW91" s="1123">
        <f>_xlfn.SUMIFS('Сырье и материалы'!AV$25:AV$111,'Сырье и материалы'!$F$25:$F$111,$F91,'Сырье и материалы'!$I$25:$I$111,"Реагенты")</f>
        <v>0</v>
      </c>
      <c r="AX91" s="1123">
        <f>_xlfn.SUMIFS('Сырье и материалы'!AW$25:AW$111,'Сырье и материалы'!$F$25:$F$111,$F91,'Сырье и материалы'!$I$25:$I$111,"Реагенты")</f>
        <v>0</v>
      </c>
      <c r="AY91" s="1123">
        <f>_xlfn.SUMIFS('Сырье и материалы'!AX$25:AX$111,'Сырье и материалы'!$F$25:$F$111,$F91,'Сырье и материалы'!$I$25:$I$111,"Реагенты")</f>
        <v>0</v>
      </c>
      <c r="AZ91" s="1123">
        <f>_xlfn.SUMIFS('Сырье и материалы'!AY$25:AY$111,'Сырье и материалы'!$F$25:$F$111,$F91,'Сырье и материалы'!$I$25:$I$111,"Реагенты")</f>
        <v>0</v>
      </c>
      <c r="BA91" s="1123">
        <f>_xlfn.SUMIFS('Сырье и материалы'!AZ$25:AZ$111,'Сырье и материалы'!$F$25:$F$111,$F91,'Сырье и материалы'!$I$25:$I$111,"Реагенты")</f>
        <v>0</v>
      </c>
      <c r="BB91" s="1123">
        <f>_xlfn.SUMIFS('Сырье и материалы'!BA$25:BA$111,'Сырье и материалы'!$F$25:$F$111,$F91,'Сырье и материалы'!$I$25:$I$111,"Реагенты")</f>
        <v>0</v>
      </c>
      <c r="BC91" s="1123">
        <f>_xlfn.SUMIFS('Сырье и материалы'!BB$25:BB$111,'Сырье и материалы'!$F$25:$F$111,$F91,'Сырье и материалы'!$I$25:$I$111,"Реагенты")</f>
        <v>0</v>
      </c>
      <c r="BD91" s="1123">
        <f>IF(AI91=0,0,(AT91-AI91)/AI91*100)</f>
        <v>0</v>
      </c>
      <c r="BE91" s="1123">
        <f>IF(AT91=0,0,(AU91-AT91)/AT91*100)</f>
        <v>0</v>
      </c>
      <c r="BF91" s="1123">
        <f>IF(AU91=0,0,(AV91-AU91)/AU91*100)</f>
        <v>0</v>
      </c>
      <c r="BG91" s="1123">
        <f>IF(AV91=0,0,(AW91-AV91)/AV91*100)</f>
        <v>0</v>
      </c>
      <c r="BH91" s="1123">
        <f>IF(AW91=0,0,(AX91-AW91)/AW91*100)</f>
        <v>0</v>
      </c>
      <c r="BI91" s="1123">
        <f>IF(AX91=0,0,(AY91-AX91)/AX91*100)</f>
        <v>0</v>
      </c>
      <c r="BJ91" s="1123">
        <f>IF(AY91=0,0,(AZ91-AY91)/AY91*100)</f>
        <v>0</v>
      </c>
      <c r="BK91" s="1123">
        <f>IF(AZ91=0,0,(BA91-AZ91)/AZ91*100)</f>
        <v>0</v>
      </c>
      <c r="BL91" s="1123">
        <f>IF(BA91=0,0,(BB91-BA91)/BA91*100)</f>
        <v>0</v>
      </c>
      <c r="BM91" s="1123">
        <f>IF(BB91=0,0,(BC91-BB91)/BB91*100)</f>
        <v>0</v>
      </c>
      <c r="BN91" s="1257"/>
      <c r="BO91" s="1261" t="str">
        <f>IF(_xlfn.IFERROR(INDEX('Сырье и материалы'!$K$26:$L$111,MATCH($F91&amp;"komm",'Сырье и материалы'!$K$26:$K$111,0),2),"")=0,"",_xlfn.IFERROR(INDEX('Сырье и материалы'!$K$26:$L$111,MATCH($F91&amp;"komm",'Сырье и материалы'!$K$26:$K$111,0),2),""))</f>
        <v/>
      </c>
      <c r="BP91" s="1257"/>
      <c r="BQ91" s="1297"/>
      <c r="BR91" s="1297"/>
      <c r="BS91" s="1072" t="s">
        <v>1976</v>
      </c>
      <c r="BT91" s="1072"/>
      <c r="BU91" s="1072"/>
      <c r="BV91" s="987"/>
      <c r="BW91" s="987"/>
    </row>
    <row s="706" customFormat="1" customHeight="1" ht="20.475" hidden="1">
      <c r="A92" s="706"/>
      <c r="B92" s="437"/>
      <c r="C92" s="105"/>
      <c r="D92" s="105"/>
      <c r="E92" s="833">
        <v>21</v>
      </c>
      <c r="F92" s="50" cm="1" t="str">
        <f t="array" ref="F92:F92">OFFSET(E92,-1,1)</f>
        <v>0</v>
      </c>
      <c r="G92" s="105"/>
      <c r="H92" s="103"/>
      <c r="I92" s="103" t="s">
        <v>1087</v>
      </c>
      <c r="J92" s="105"/>
      <c r="K92" s="103" t="s">
        <v>1087</v>
      </c>
      <c r="L92" s="993" t="s">
        <v>619</v>
      </c>
      <c r="M92" s="105"/>
      <c r="N92" s="105"/>
      <c r="O92" s="105"/>
      <c r="P92" s="105"/>
      <c r="Q92" s="105"/>
      <c r="R92" s="105"/>
      <c r="S92" s="105"/>
      <c r="T92" s="468" cm="1" t="str">
        <f t="array" ref="T92:T92">T91</f>
        <v>false</v>
      </c>
      <c r="U92" s="105"/>
      <c r="V92" s="105"/>
      <c r="W92" s="105"/>
      <c r="X92" s="1559"/>
      <c r="Y92" s="706"/>
      <c r="Z92" s="1529"/>
      <c r="AA92" s="706"/>
      <c r="AB92" s="207" t="s">
        <v>668</v>
      </c>
      <c r="AC92" s="357" t="s">
        <v>2306</v>
      </c>
      <c r="AD92" s="207" t="s">
        <v>936</v>
      </c>
      <c r="AE92" s="785">
        <f>SUM(AE93:AE102)</f>
        <v>0</v>
      </c>
      <c r="AF92" s="785">
        <f>SUM(AF93:AF102)</f>
        <v>0</v>
      </c>
      <c r="AG92" s="785">
        <f>SUM(AG93:AG102)</f>
        <v>0</v>
      </c>
      <c r="AH92" s="785">
        <f>AG92-AF92</f>
        <v>0</v>
      </c>
      <c r="AI92" s="785">
        <f>SUM(AI93:AI102)</f>
        <v>0</v>
      </c>
      <c r="AJ92" s="209">
        <f>SUM(AJ93:AJ102)</f>
        <v>0</v>
      </c>
      <c r="AK92" s="785">
        <f>SUM(AK93:AK102)</f>
        <v>0</v>
      </c>
      <c r="AL92" s="785">
        <f>SUM(AL93:AL102)</f>
        <v>0</v>
      </c>
      <c r="AM92" s="785">
        <f>SUM(AM93:AM102)</f>
        <v>0</v>
      </c>
      <c r="AN92" s="785">
        <f>SUM(AN93:AN102)</f>
        <v>0</v>
      </c>
      <c r="AO92" s="785">
        <f>SUM(AO93:AO102)</f>
        <v>0</v>
      </c>
      <c r="AP92" s="785">
        <f>SUM(AP93:AP102)</f>
        <v>0</v>
      </c>
      <c r="AQ92" s="785">
        <f>SUM(AQ93:AQ102)</f>
        <v>0</v>
      </c>
      <c r="AR92" s="785">
        <f>SUM(AR93:AR102)</f>
        <v>0</v>
      </c>
      <c r="AS92" s="785">
        <f>SUM(AS93:AS102)</f>
        <v>0</v>
      </c>
      <c r="AT92" s="209">
        <f>SUM(AT93:AT102)</f>
        <v>0</v>
      </c>
      <c r="AU92" s="785">
        <f>SUM(AU93:AU102)</f>
        <v>0</v>
      </c>
      <c r="AV92" s="785">
        <f>SUM(AV93:AV102)</f>
        <v>0</v>
      </c>
      <c r="AW92" s="785">
        <f>SUM(AW93:AW102)</f>
        <v>0</v>
      </c>
      <c r="AX92" s="785">
        <f>SUM(AX93:AX102)</f>
        <v>0</v>
      </c>
      <c r="AY92" s="785">
        <f>SUM(AY93:AY102)</f>
        <v>0</v>
      </c>
      <c r="AZ92" s="785">
        <f>SUM(AZ93:AZ102)</f>
        <v>0</v>
      </c>
      <c r="BA92" s="785">
        <f>SUM(BA93:BA102)</f>
        <v>0</v>
      </c>
      <c r="BB92" s="785">
        <f>SUM(BB93:BB102)</f>
        <v>0</v>
      </c>
      <c r="BC92" s="785">
        <f>SUM(BC93:BC102)</f>
        <v>0</v>
      </c>
      <c r="BD92" s="785">
        <f>IF(AI92=0,0,(AT92-AI92)/AI92*100)</f>
        <v>0</v>
      </c>
      <c r="BE92" s="785">
        <f>IF(AT92=0,0,(AU92-AT92)/AT92*100)</f>
        <v>0</v>
      </c>
      <c r="BF92" s="785">
        <f>IF(AU92=0,0,(AV92-AU92)/AU92*100)</f>
        <v>0</v>
      </c>
      <c r="BG92" s="785">
        <f>IF(AV92=0,0,(AW92-AV92)/AV92*100)</f>
        <v>0</v>
      </c>
      <c r="BH92" s="785">
        <f>IF(AW92=0,0,(AX92-AW92)/AW92*100)</f>
        <v>0</v>
      </c>
      <c r="BI92" s="785">
        <f>IF(AX92=0,0,(AY92-AX92)/AX92*100)</f>
        <v>0</v>
      </c>
      <c r="BJ92" s="785">
        <f>IF(AY92=0,0,(AZ92-AY92)/AY92*100)</f>
        <v>0</v>
      </c>
      <c r="BK92" s="785">
        <f>IF(AZ92=0,0,(BA92-AZ92)/AZ92*100)</f>
        <v>0</v>
      </c>
      <c r="BL92" s="785">
        <f>IF(BA92=0,0,(BB92-BA92)/BA92*100)</f>
        <v>0</v>
      </c>
      <c r="BM92" s="785">
        <f>IF(BB92=0,0,(BC92-BB92)/BB92*100)</f>
        <v>0</v>
      </c>
      <c r="BN92" s="1259"/>
      <c r="BO92" s="1261" t="str">
        <f>IF(_xlfn.IFERROR(INDEX(Налоги!$K$26:$L$83,MATCH($F92&amp;"komm",Налоги!$K$26:$K$83,0),2),"")=0,"",_xlfn.IFERROR(INDEX(Налоги!$K$26:$L$83,MATCH($F92&amp;"komm",Налоги!$K$26:$K$83,0),2),""))</f>
        <v/>
      </c>
      <c r="BP92" s="1259"/>
      <c r="BQ92" s="706"/>
      <c r="BR92" s="706"/>
      <c r="BS92" s="1078" t="s">
        <v>1464</v>
      </c>
      <c r="BT92" s="1078"/>
      <c r="BU92" s="1078"/>
      <c r="BV92" s="713"/>
      <c r="BW92" s="713"/>
    </row>
    <row customHeight="1" ht="14.625" hidden="1">
      <c r="A93" s="1297"/>
      <c r="B93" s="986"/>
      <c r="C93" s="103"/>
      <c r="D93" s="103"/>
      <c r="E93" s="626">
        <v>15</v>
      </c>
      <c r="F93" s="50" cm="1" t="str">
        <f t="array" ref="F93:F93">OFFSET(E93,-1,1)</f>
        <v>0</v>
      </c>
      <c r="G93" s="929">
        <v>7</v>
      </c>
      <c r="H93" s="103"/>
      <c r="I93" s="103" t="s">
        <v>2307</v>
      </c>
      <c r="J93" s="103"/>
      <c r="K93" s="103" t="s">
        <v>2307</v>
      </c>
      <c r="L93" s="988"/>
      <c r="M93" s="103"/>
      <c r="N93" s="103"/>
      <c r="O93" s="103"/>
      <c r="P93" s="103"/>
      <c r="Q93" s="103"/>
      <c r="R93" s="103"/>
      <c r="S93" s="103"/>
      <c r="T93" s="468" cm="1" t="str">
        <f t="array" ref="T93:T93">T92</f>
        <v>false</v>
      </c>
      <c r="U93" s="103"/>
      <c r="V93" s="103"/>
      <c r="W93" s="103"/>
      <c r="X93" s="1559"/>
      <c r="Y93" s="1297"/>
      <c r="Z93" s="1529"/>
      <c r="AA93" s="1297"/>
      <c r="AB93" s="296" t="s">
        <v>603</v>
      </c>
      <c r="AC93" s="772" t="s">
        <v>1478</v>
      </c>
      <c r="AD93" s="296" t="s">
        <v>936</v>
      </c>
      <c r="AE93" s="1123">
        <f>_xlfn.SUMIFS(Налоги!AE$25:AE$83,Налоги!$F$25:$F$83,$F93,Налоги!$AB$25:$AB$83,$G93)</f>
        <v>0</v>
      </c>
      <c r="AF93" s="1123">
        <f>_xlfn.SUMIFS(Налоги!AF$25:AF$83,Налоги!$F$25:$F$83,$F93,Налоги!$AB$25:$AB$83,$G93)</f>
        <v>0</v>
      </c>
      <c r="AG93" s="1123">
        <f>_xlfn.SUMIFS(Налоги!AG$25:AG$83,Налоги!$F$25:$F$83,$F93,Налоги!$AB$25:$AB$83,$G93)</f>
        <v>0</v>
      </c>
      <c r="AH93" s="1123">
        <f>AG93-AF93</f>
        <v>0</v>
      </c>
      <c r="AI93" s="1123">
        <f>_xlfn.SUMIFS(Налоги!AH$25:AH$83,Налоги!$F$25:$F$83,$F93,Налоги!$AB$25:$AB$83,$G93)</f>
        <v>0</v>
      </c>
      <c r="AJ93" s="1123">
        <f>_xlfn.SUMIFS(Налоги!AI$25:AI$83,Налоги!$F$25:$F$83,$F93,Налоги!$AB$25:$AB$83,$G93)</f>
        <v>0</v>
      </c>
      <c r="AK93" s="1123">
        <f>_xlfn.SUMIFS(Налоги!AJ$25:AJ$83,Налоги!$F$25:$F$83,$F93,Налоги!$AB$25:$AB$83,$G93)</f>
        <v>0</v>
      </c>
      <c r="AL93" s="1123">
        <f>_xlfn.SUMIFS(Налоги!AK$25:AK$83,Налоги!$F$25:$F$83,$F93,Налоги!$AB$25:$AB$83,$G93)</f>
        <v>0</v>
      </c>
      <c r="AM93" s="1123">
        <f>_xlfn.SUMIFS(Налоги!AL$25:AL$83,Налоги!$F$25:$F$83,$F93,Налоги!$AB$25:$AB$83,$G93)</f>
        <v>0</v>
      </c>
      <c r="AN93" s="1123">
        <f>_xlfn.SUMIFS(Налоги!AM$25:AM$83,Налоги!$F$25:$F$83,$F93,Налоги!$AB$25:$AB$83,$G93)</f>
        <v>0</v>
      </c>
      <c r="AO93" s="1123">
        <f>_xlfn.SUMIFS(Налоги!AN$25:AN$83,Налоги!$F$25:$F$83,$F93,Налоги!$AB$25:$AB$83,$G93)</f>
        <v>0</v>
      </c>
      <c r="AP93" s="1123">
        <f>_xlfn.SUMIFS(Налоги!AO$25:AO$83,Налоги!$F$25:$F$83,$F93,Налоги!$AB$25:$AB$83,$G93)</f>
        <v>0</v>
      </c>
      <c r="AQ93" s="1123">
        <f>_xlfn.SUMIFS(Налоги!AP$25:AP$83,Налоги!$F$25:$F$83,$F93,Налоги!$AB$25:$AB$83,$G93)</f>
        <v>0</v>
      </c>
      <c r="AR93" s="1123">
        <f>_xlfn.SUMIFS(Налоги!AQ$25:AQ$83,Налоги!$F$25:$F$83,$F93,Налоги!$AB$25:$AB$83,$G93)</f>
        <v>0</v>
      </c>
      <c r="AS93" s="1123">
        <f>_xlfn.SUMIFS(Налоги!AR$25:AR$83,Налоги!$F$25:$F$83,$F93,Налоги!$AB$25:$AB$83,$G93)</f>
        <v>0</v>
      </c>
      <c r="AT93" s="1123">
        <f>_xlfn.SUMIFS(Налоги!AS$25:AS$83,Налоги!$F$25:$F$83,$F93,Налоги!$AB$25:$AB$83,$G93)</f>
        <v>0</v>
      </c>
      <c r="AU93" s="1123">
        <f>_xlfn.SUMIFS(Налоги!AT$25:AT$83,Налоги!$F$25:$F$83,$F93,Налоги!$AB$25:$AB$83,$G93)</f>
        <v>0</v>
      </c>
      <c r="AV93" s="1123">
        <f>_xlfn.SUMIFS(Налоги!AU$25:AU$83,Налоги!$F$25:$F$83,$F93,Налоги!$AB$25:$AB$83,$G93)</f>
        <v>0</v>
      </c>
      <c r="AW93" s="1123">
        <f>_xlfn.SUMIFS(Налоги!AV$25:AV$83,Налоги!$F$25:$F$83,$F93,Налоги!$AB$25:$AB$83,$G93)</f>
        <v>0</v>
      </c>
      <c r="AX93" s="1123">
        <f>_xlfn.SUMIFS(Налоги!AW$25:AW$83,Налоги!$F$25:$F$83,$F93,Налоги!$AB$25:$AB$83,$G93)</f>
        <v>0</v>
      </c>
      <c r="AY93" s="1123">
        <f>_xlfn.SUMIFS(Налоги!AX$25:AX$83,Налоги!$F$25:$F$83,$F93,Налоги!$AB$25:$AB$83,$G93)</f>
        <v>0</v>
      </c>
      <c r="AZ93" s="1123">
        <f>_xlfn.SUMIFS(Налоги!AY$25:AY$83,Налоги!$F$25:$F$83,$F93,Налоги!$AB$25:$AB$83,$G93)</f>
        <v>0</v>
      </c>
      <c r="BA93" s="1123">
        <f>_xlfn.SUMIFS(Налоги!AZ$25:AZ$83,Налоги!$F$25:$F$83,$F93,Налоги!$AB$25:$AB$83,$G93)</f>
        <v>0</v>
      </c>
      <c r="BB93" s="1123">
        <f>_xlfn.SUMIFS(Налоги!BA$25:BA$83,Налоги!$F$25:$F$83,$F93,Налоги!$AB$25:$AB$83,$G93)</f>
        <v>0</v>
      </c>
      <c r="BC93" s="1123">
        <f>_xlfn.SUMIFS(Налоги!BB$25:BB$83,Налоги!$F$25:$F$83,$F93,Налоги!$AB$25:$AB$83,$G93)</f>
        <v>0</v>
      </c>
      <c r="BD93" s="1123">
        <f>IF(AI93=0,0,(AT93-AI93)/AI93*100)</f>
        <v>0</v>
      </c>
      <c r="BE93" s="1123">
        <f>IF(AT93=0,0,(AU93-AT93)/AT93*100)</f>
        <v>0</v>
      </c>
      <c r="BF93" s="1123">
        <f>IF(AU93=0,0,(AV93-AU93)/AU93*100)</f>
        <v>0</v>
      </c>
      <c r="BG93" s="1123">
        <f>IF(AV93=0,0,(AW93-AV93)/AV93*100)</f>
        <v>0</v>
      </c>
      <c r="BH93" s="1123">
        <f>IF(AW93=0,0,(AX93-AW93)/AW93*100)</f>
        <v>0</v>
      </c>
      <c r="BI93" s="1123">
        <f>IF(AX93=0,0,(AY93-AX93)/AX93*100)</f>
        <v>0</v>
      </c>
      <c r="BJ93" s="1123">
        <f>IF(AY93=0,0,(AZ93-AY93)/AY93*100)</f>
        <v>0</v>
      </c>
      <c r="BK93" s="1123">
        <f>IF(AZ93=0,0,(BA93-AZ93)/AZ93*100)</f>
        <v>0</v>
      </c>
      <c r="BL93" s="1123">
        <f>IF(BA93=0,0,(BB93-BA93)/BA93*100)</f>
        <v>0</v>
      </c>
      <c r="BM93" s="1123">
        <f>IF(BB93=0,0,(BC93-BB93)/BB93*100)</f>
        <v>0</v>
      </c>
      <c r="BN93" s="1257"/>
      <c r="BO93" s="1261" t="str">
        <f>IF(_xlfn.IFERROR(INDEX(Налоги!$K$26:$L$83,MATCH($F93&amp;"7komm",Налоги!$K$26:$K$83,0),2),"")=0,"",_xlfn.IFERROR(INDEX(Налоги!$K$26:$L$83,MATCH($F93&amp;"7komm",Налоги!$K$26:$K$83,0),2),""))</f>
        <v/>
      </c>
      <c r="BP93" s="1257"/>
      <c r="BQ93" s="1297"/>
      <c r="BR93" s="1297"/>
      <c r="BS93" s="1072" t="s">
        <v>2308</v>
      </c>
      <c r="BT93" s="1072"/>
      <c r="BU93" s="1072"/>
      <c r="BV93" s="987"/>
      <c r="BW93" s="987"/>
    </row>
    <row customHeight="1" ht="14.625" hidden="1">
      <c r="A94" s="1297"/>
      <c r="B94" s="986"/>
      <c r="C94" s="103"/>
      <c r="D94" s="103"/>
      <c r="E94" s="626">
        <v>15</v>
      </c>
      <c r="F94" s="50" cm="1" t="str">
        <f t="array" ref="F94:F94">OFFSET(E94,-1,1)</f>
        <v>0</v>
      </c>
      <c r="G94" s="929">
        <v>6</v>
      </c>
      <c r="H94" s="103"/>
      <c r="I94" s="103" t="s">
        <v>2309</v>
      </c>
      <c r="J94" s="103"/>
      <c r="K94" s="103" t="s">
        <v>2309</v>
      </c>
      <c r="L94" s="988"/>
      <c r="M94" s="103"/>
      <c r="N94" s="103"/>
      <c r="O94" s="103"/>
      <c r="P94" s="103"/>
      <c r="Q94" s="103"/>
      <c r="R94" s="103"/>
      <c r="S94" s="103"/>
      <c r="T94" s="468" cm="1" t="str">
        <f t="array" ref="T94:T94">T93</f>
        <v>false</v>
      </c>
      <c r="U94" s="103"/>
      <c r="V94" s="103"/>
      <c r="W94" s="103"/>
      <c r="X94" s="1559"/>
      <c r="Y94" s="1297"/>
      <c r="Z94" s="1529"/>
      <c r="AA94" s="1297"/>
      <c r="AB94" s="296" t="s">
        <v>1717</v>
      </c>
      <c r="AC94" s="772" t="s">
        <v>2310</v>
      </c>
      <c r="AD94" s="296" t="s">
        <v>936</v>
      </c>
      <c r="AE94" s="1123">
        <f>_xlfn.SUMIFS(Налоги!AE$25:AE$83,Налоги!$F$25:$F$83,$F94,Налоги!$AB$25:$AB$83,$G94)</f>
        <v>0</v>
      </c>
      <c r="AF94" s="1123">
        <f>_xlfn.SUMIFS(Налоги!AF$25:AF$83,Налоги!$F$25:$F$83,$F94,Налоги!$AB$25:$AB$83,$G94)</f>
        <v>0</v>
      </c>
      <c r="AG94" s="1123">
        <f>_xlfn.SUMIFS(Налоги!AG$25:AG$83,Налоги!$F$25:$F$83,$F94,Налоги!$AB$25:$AB$83,$G94)</f>
        <v>0</v>
      </c>
      <c r="AH94" s="1123">
        <f>AG94-AF94</f>
        <v>0</v>
      </c>
      <c r="AI94" s="1123">
        <f>_xlfn.SUMIFS(Налоги!AH$25:AH$83,Налоги!$F$25:$F$83,$F94,Налоги!$AB$25:$AB$83,$G94)</f>
        <v>0</v>
      </c>
      <c r="AJ94" s="1123">
        <f>_xlfn.SUMIFS(Налоги!AI$25:AI$83,Налоги!$F$25:$F$83,$F94,Налоги!$AB$25:$AB$83,$G94)</f>
        <v>0</v>
      </c>
      <c r="AK94" s="1123">
        <f>_xlfn.SUMIFS(Налоги!AJ$25:AJ$83,Налоги!$F$25:$F$83,$F94,Налоги!$AB$25:$AB$83,$G94)</f>
        <v>0</v>
      </c>
      <c r="AL94" s="1123">
        <f>_xlfn.SUMIFS(Налоги!AK$25:AK$83,Налоги!$F$25:$F$83,$F94,Налоги!$AB$25:$AB$83,$G94)</f>
        <v>0</v>
      </c>
      <c r="AM94" s="1123">
        <f>_xlfn.SUMIFS(Налоги!AL$25:AL$83,Налоги!$F$25:$F$83,$F94,Налоги!$AB$25:$AB$83,$G94)</f>
        <v>0</v>
      </c>
      <c r="AN94" s="1123">
        <f>_xlfn.SUMIFS(Налоги!AM$25:AM$83,Налоги!$F$25:$F$83,$F94,Налоги!$AB$25:$AB$83,$G94)</f>
        <v>0</v>
      </c>
      <c r="AO94" s="1123">
        <f>_xlfn.SUMIFS(Налоги!AN$25:AN$83,Налоги!$F$25:$F$83,$F94,Налоги!$AB$25:$AB$83,$G94)</f>
        <v>0</v>
      </c>
      <c r="AP94" s="1123">
        <f>_xlfn.SUMIFS(Налоги!AO$25:AO$83,Налоги!$F$25:$F$83,$F94,Налоги!$AB$25:$AB$83,$G94)</f>
        <v>0</v>
      </c>
      <c r="AQ94" s="1123">
        <f>_xlfn.SUMIFS(Налоги!AP$25:AP$83,Налоги!$F$25:$F$83,$F94,Налоги!$AB$25:$AB$83,$G94)</f>
        <v>0</v>
      </c>
      <c r="AR94" s="1123">
        <f>_xlfn.SUMIFS(Налоги!AQ$25:AQ$83,Налоги!$F$25:$F$83,$F94,Налоги!$AB$25:$AB$83,$G94)</f>
        <v>0</v>
      </c>
      <c r="AS94" s="1123">
        <f>_xlfn.SUMIFS(Налоги!AR$25:AR$83,Налоги!$F$25:$F$83,$F94,Налоги!$AB$25:$AB$83,$G94)</f>
        <v>0</v>
      </c>
      <c r="AT94" s="1123">
        <f>_xlfn.SUMIFS(Налоги!AS$25:AS$83,Налоги!$F$25:$F$83,$F94,Налоги!$AB$25:$AB$83,$G94)</f>
        <v>0</v>
      </c>
      <c r="AU94" s="1123">
        <f>_xlfn.SUMIFS(Налоги!AT$25:AT$83,Налоги!$F$25:$F$83,$F94,Налоги!$AB$25:$AB$83,$G94)</f>
        <v>0</v>
      </c>
      <c r="AV94" s="1123">
        <f>_xlfn.SUMIFS(Налоги!AU$25:AU$83,Налоги!$F$25:$F$83,$F94,Налоги!$AB$25:$AB$83,$G94)</f>
        <v>0</v>
      </c>
      <c r="AW94" s="1123">
        <f>_xlfn.SUMIFS(Налоги!AV$25:AV$83,Налоги!$F$25:$F$83,$F94,Налоги!$AB$25:$AB$83,$G94)</f>
        <v>0</v>
      </c>
      <c r="AX94" s="1123">
        <f>_xlfn.SUMIFS(Налоги!AW$25:AW$83,Налоги!$F$25:$F$83,$F94,Налоги!$AB$25:$AB$83,$G94)</f>
        <v>0</v>
      </c>
      <c r="AY94" s="1123">
        <f>_xlfn.SUMIFS(Налоги!AX$25:AX$83,Налоги!$F$25:$F$83,$F94,Налоги!$AB$25:$AB$83,$G94)</f>
        <v>0</v>
      </c>
      <c r="AZ94" s="1123">
        <f>_xlfn.SUMIFS(Налоги!AY$25:AY$83,Налоги!$F$25:$F$83,$F94,Налоги!$AB$25:$AB$83,$G94)</f>
        <v>0</v>
      </c>
      <c r="BA94" s="1123">
        <f>_xlfn.SUMIFS(Налоги!AZ$25:AZ$83,Налоги!$F$25:$F$83,$F94,Налоги!$AB$25:$AB$83,$G94)</f>
        <v>0</v>
      </c>
      <c r="BB94" s="1123">
        <f>_xlfn.SUMIFS(Налоги!BA$25:BA$83,Налоги!$F$25:$F$83,$F94,Налоги!$AB$25:$AB$83,$G94)</f>
        <v>0</v>
      </c>
      <c r="BC94" s="1123">
        <f>_xlfn.SUMIFS(Налоги!BB$25:BB$83,Налоги!$F$25:$F$83,$F94,Налоги!$AB$25:$AB$83,$G94)</f>
        <v>0</v>
      </c>
      <c r="BD94" s="1123">
        <f>IF(AI94=0,0,(AT94-AI94)/AI94*100)</f>
        <v>0</v>
      </c>
      <c r="BE94" s="1123">
        <f>IF(AT94=0,0,(AU94-AT94)/AT94*100)</f>
        <v>0</v>
      </c>
      <c r="BF94" s="1123">
        <f>IF(AU94=0,0,(AV94-AU94)/AU94*100)</f>
        <v>0</v>
      </c>
      <c r="BG94" s="1123">
        <f>IF(AV94=0,0,(AW94-AV94)/AV94*100)</f>
        <v>0</v>
      </c>
      <c r="BH94" s="1123">
        <f>IF(AW94=0,0,(AX94-AW94)/AW94*100)</f>
        <v>0</v>
      </c>
      <c r="BI94" s="1123">
        <f>IF(AX94=0,0,(AY94-AX94)/AX94*100)</f>
        <v>0</v>
      </c>
      <c r="BJ94" s="1123">
        <f>IF(AY94=0,0,(AZ94-AY94)/AY94*100)</f>
        <v>0</v>
      </c>
      <c r="BK94" s="1123">
        <f>IF(AZ94=0,0,(BA94-AZ94)/AZ94*100)</f>
        <v>0</v>
      </c>
      <c r="BL94" s="1123">
        <f>IF(BA94=0,0,(BB94-BA94)/BA94*100)</f>
        <v>0</v>
      </c>
      <c r="BM94" s="1123">
        <f>IF(BB94=0,0,(BC94-BB94)/BB94*100)</f>
        <v>0</v>
      </c>
      <c r="BN94" s="1257"/>
      <c r="BO94" s="1261" t="str">
        <f>IF(_xlfn.IFERROR(INDEX(Налоги!$K$26:$L$83,MATCH($F94&amp;"6komm",Налоги!$K$26:$K$83,0),2),"")=0,"",_xlfn.IFERROR(INDEX(Налоги!$K$26:$L$83,MATCH($F94&amp;"6komm",Налоги!$K$26:$K$83,0),2),""))</f>
        <v/>
      </c>
      <c r="BP94" s="1257"/>
      <c r="BQ94" s="1297"/>
      <c r="BR94" s="1297"/>
      <c r="BS94" s="1072" t="s">
        <v>2311</v>
      </c>
      <c r="BT94" s="1072"/>
      <c r="BU94" s="1072"/>
      <c r="BV94" s="987"/>
      <c r="BW94" s="987"/>
    </row>
    <row customHeight="1" ht="14.625" hidden="1">
      <c r="A95" s="1297"/>
      <c r="B95" s="986"/>
      <c r="C95" s="103"/>
      <c r="D95" s="103"/>
      <c r="E95" s="626">
        <v>15</v>
      </c>
      <c r="F95" s="50" cm="1" t="str">
        <f t="array" ref="F95:F95">OFFSET(E95,-1,1)</f>
        <v>0</v>
      </c>
      <c r="G95" s="929">
        <v>2</v>
      </c>
      <c r="H95" s="103"/>
      <c r="I95" s="103" t="s">
        <v>2312</v>
      </c>
      <c r="J95" s="103"/>
      <c r="K95" s="103" t="s">
        <v>2312</v>
      </c>
      <c r="L95" s="988"/>
      <c r="M95" s="103"/>
      <c r="N95" s="103"/>
      <c r="O95" s="103"/>
      <c r="P95" s="103"/>
      <c r="Q95" s="103"/>
      <c r="R95" s="103"/>
      <c r="S95" s="103"/>
      <c r="T95" s="468" cm="1" t="str">
        <f t="array" ref="T95:T95">T94</f>
        <v>false</v>
      </c>
      <c r="U95" s="103"/>
      <c r="V95" s="103"/>
      <c r="W95" s="103"/>
      <c r="X95" s="1559"/>
      <c r="Y95" s="1297"/>
      <c r="Z95" s="1529"/>
      <c r="AA95" s="1297"/>
      <c r="AB95" s="296" t="s">
        <v>1722</v>
      </c>
      <c r="AC95" s="772" t="s">
        <v>2313</v>
      </c>
      <c r="AD95" s="296" t="s">
        <v>936</v>
      </c>
      <c r="AE95" s="1123">
        <f>_xlfn.SUMIFS(Налоги!AE$25:AE$83,Налоги!$F$25:$F$83,$F95,Налоги!$AB$25:$AB$83,$G95)</f>
        <v>0</v>
      </c>
      <c r="AF95" s="1123">
        <f>_xlfn.SUMIFS(Налоги!AF$25:AF$83,Налоги!$F$25:$F$83,$F95,Налоги!$AB$25:$AB$83,$G95)</f>
        <v>0</v>
      </c>
      <c r="AG95" s="1123">
        <f>_xlfn.SUMIFS(Налоги!AG$25:AG$83,Налоги!$F$25:$F$83,$F95,Налоги!$AB$25:$AB$83,$G95)</f>
        <v>0</v>
      </c>
      <c r="AH95" s="1123">
        <f>AG95-AF95</f>
        <v>0</v>
      </c>
      <c r="AI95" s="1123">
        <f>_xlfn.SUMIFS(Налоги!AH$25:AH$83,Налоги!$F$25:$F$83,$F95,Налоги!$AB$25:$AB$83,$G95)</f>
        <v>0</v>
      </c>
      <c r="AJ95" s="1123">
        <f>_xlfn.SUMIFS(Налоги!AI$25:AI$83,Налоги!$F$25:$F$83,$F95,Налоги!$AB$25:$AB$83,$G95)</f>
        <v>0</v>
      </c>
      <c r="AK95" s="1123">
        <f>_xlfn.SUMIFS(Налоги!AJ$25:AJ$83,Налоги!$F$25:$F$83,$F95,Налоги!$AB$25:$AB$83,$G95)</f>
        <v>0</v>
      </c>
      <c r="AL95" s="1123">
        <f>_xlfn.SUMIFS(Налоги!AK$25:AK$83,Налоги!$F$25:$F$83,$F95,Налоги!$AB$25:$AB$83,$G95)</f>
        <v>0</v>
      </c>
      <c r="AM95" s="1123">
        <f>_xlfn.SUMIFS(Налоги!AL$25:AL$83,Налоги!$F$25:$F$83,$F95,Налоги!$AB$25:$AB$83,$G95)</f>
        <v>0</v>
      </c>
      <c r="AN95" s="1123">
        <f>_xlfn.SUMIFS(Налоги!AM$25:AM$83,Налоги!$F$25:$F$83,$F95,Налоги!$AB$25:$AB$83,$G95)</f>
        <v>0</v>
      </c>
      <c r="AO95" s="1123">
        <f>_xlfn.SUMIFS(Налоги!AN$25:AN$83,Налоги!$F$25:$F$83,$F95,Налоги!$AB$25:$AB$83,$G95)</f>
        <v>0</v>
      </c>
      <c r="AP95" s="1123">
        <f>_xlfn.SUMIFS(Налоги!AO$25:AO$83,Налоги!$F$25:$F$83,$F95,Налоги!$AB$25:$AB$83,$G95)</f>
        <v>0</v>
      </c>
      <c r="AQ95" s="1123">
        <f>_xlfn.SUMIFS(Налоги!AP$25:AP$83,Налоги!$F$25:$F$83,$F95,Налоги!$AB$25:$AB$83,$G95)</f>
        <v>0</v>
      </c>
      <c r="AR95" s="1123">
        <f>_xlfn.SUMIFS(Налоги!AQ$25:AQ$83,Налоги!$F$25:$F$83,$F95,Налоги!$AB$25:$AB$83,$G95)</f>
        <v>0</v>
      </c>
      <c r="AS95" s="1123">
        <f>_xlfn.SUMIFS(Налоги!AR$25:AR$83,Налоги!$F$25:$F$83,$F95,Налоги!$AB$25:$AB$83,$G95)</f>
        <v>0</v>
      </c>
      <c r="AT95" s="1123">
        <f>_xlfn.SUMIFS(Налоги!AS$25:AS$83,Налоги!$F$25:$F$83,$F95,Налоги!$AB$25:$AB$83,$G95)</f>
        <v>0</v>
      </c>
      <c r="AU95" s="1123">
        <f>_xlfn.SUMIFS(Налоги!AT$25:AT$83,Налоги!$F$25:$F$83,$F95,Налоги!$AB$25:$AB$83,$G95)</f>
        <v>0</v>
      </c>
      <c r="AV95" s="1123">
        <f>_xlfn.SUMIFS(Налоги!AU$25:AU$83,Налоги!$F$25:$F$83,$F95,Налоги!$AB$25:$AB$83,$G95)</f>
        <v>0</v>
      </c>
      <c r="AW95" s="1123">
        <f>_xlfn.SUMIFS(Налоги!AV$25:AV$83,Налоги!$F$25:$F$83,$F95,Налоги!$AB$25:$AB$83,$G95)</f>
        <v>0</v>
      </c>
      <c r="AX95" s="1123">
        <f>_xlfn.SUMIFS(Налоги!AW$25:AW$83,Налоги!$F$25:$F$83,$F95,Налоги!$AB$25:$AB$83,$G95)</f>
        <v>0</v>
      </c>
      <c r="AY95" s="1123">
        <f>_xlfn.SUMIFS(Налоги!AX$25:AX$83,Налоги!$F$25:$F$83,$F95,Налоги!$AB$25:$AB$83,$G95)</f>
        <v>0</v>
      </c>
      <c r="AZ95" s="1123">
        <f>_xlfn.SUMIFS(Налоги!AY$25:AY$83,Налоги!$F$25:$F$83,$F95,Налоги!$AB$25:$AB$83,$G95)</f>
        <v>0</v>
      </c>
      <c r="BA95" s="1123">
        <f>_xlfn.SUMIFS(Налоги!AZ$25:AZ$83,Налоги!$F$25:$F$83,$F95,Налоги!$AB$25:$AB$83,$G95)</f>
        <v>0</v>
      </c>
      <c r="BB95" s="1123">
        <f>_xlfn.SUMIFS(Налоги!BA$25:BA$83,Налоги!$F$25:$F$83,$F95,Налоги!$AB$25:$AB$83,$G95)</f>
        <v>0</v>
      </c>
      <c r="BC95" s="1123">
        <f>_xlfn.SUMIFS(Налоги!BB$25:BB$83,Налоги!$F$25:$F$83,$F95,Налоги!$AB$25:$AB$83,$G95)</f>
        <v>0</v>
      </c>
      <c r="BD95" s="1123">
        <f>IF(AI95=0,0,(AT95-AI95)/AI95*100)</f>
        <v>0</v>
      </c>
      <c r="BE95" s="1123">
        <f>IF(AT95=0,0,(AU95-AT95)/AT95*100)</f>
        <v>0</v>
      </c>
      <c r="BF95" s="1123">
        <f>IF(AU95=0,0,(AV95-AU95)/AU95*100)</f>
        <v>0</v>
      </c>
      <c r="BG95" s="1123">
        <f>IF(AV95=0,0,(AW95-AV95)/AV95*100)</f>
        <v>0</v>
      </c>
      <c r="BH95" s="1123">
        <f>IF(AW95=0,0,(AX95-AW95)/AW95*100)</f>
        <v>0</v>
      </c>
      <c r="BI95" s="1123">
        <f>IF(AX95=0,0,(AY95-AX95)/AX95*100)</f>
        <v>0</v>
      </c>
      <c r="BJ95" s="1123">
        <f>IF(AY95=0,0,(AZ95-AY95)/AY95*100)</f>
        <v>0</v>
      </c>
      <c r="BK95" s="1123">
        <f>IF(AZ95=0,0,(BA95-AZ95)/AZ95*100)</f>
        <v>0</v>
      </c>
      <c r="BL95" s="1123">
        <f>IF(BA95=0,0,(BB95-BA95)/BA95*100)</f>
        <v>0</v>
      </c>
      <c r="BM95" s="1123">
        <f>IF(BB95=0,0,(BC95-BB95)/BB95*100)</f>
        <v>0</v>
      </c>
      <c r="BN95" s="1257"/>
      <c r="BO95" s="1261" t="str">
        <f>IF(_xlfn.IFERROR(INDEX(Налоги!$K$26:$L$83,MATCH($F95&amp;"2komm",Налоги!$K$26:$K$83,0),2),"")=0,"",_xlfn.IFERROR(INDEX(Налоги!$K$26:$L$83,MATCH($F95&amp;"2komm",Налоги!$K$26:$K$83,0),2),""))</f>
        <v/>
      </c>
      <c r="BP95" s="1257"/>
      <c r="BQ95" s="1297"/>
      <c r="BR95" s="1297"/>
      <c r="BS95" s="1072" t="s">
        <v>2314</v>
      </c>
      <c r="BT95" s="1072"/>
      <c r="BU95" s="1072"/>
      <c r="BV95" s="987"/>
      <c r="BW95" s="987"/>
    </row>
    <row customHeight="1" ht="14.625" hidden="1">
      <c r="A96" s="1297"/>
      <c r="B96" s="986"/>
      <c r="C96" s="103"/>
      <c r="D96" s="103"/>
      <c r="E96" s="626">
        <v>15</v>
      </c>
      <c r="F96" s="50" cm="1" t="str">
        <f t="array" ref="F96:F96">OFFSET(E96,-1,1)</f>
        <v>0</v>
      </c>
      <c r="G96" s="929">
        <v>4</v>
      </c>
      <c r="H96" s="103"/>
      <c r="I96" s="103" t="s">
        <v>2315</v>
      </c>
      <c r="J96" s="103"/>
      <c r="K96" s="103" t="s">
        <v>2315</v>
      </c>
      <c r="L96" s="988"/>
      <c r="M96" s="103"/>
      <c r="N96" s="103"/>
      <c r="O96" s="103"/>
      <c r="P96" s="103"/>
      <c r="Q96" s="103"/>
      <c r="R96" s="103"/>
      <c r="S96" s="103"/>
      <c r="T96" s="468" cm="1" t="str">
        <f t="array" ref="T96:T96">T95</f>
        <v>false</v>
      </c>
      <c r="U96" s="103"/>
      <c r="V96" s="103"/>
      <c r="W96" s="103"/>
      <c r="X96" s="1559"/>
      <c r="Y96" s="1297"/>
      <c r="Z96" s="1529"/>
      <c r="AA96" s="1297"/>
      <c r="AB96" s="296" t="s">
        <v>2316</v>
      </c>
      <c r="AC96" s="772" t="s">
        <v>2317</v>
      </c>
      <c r="AD96" s="296" t="s">
        <v>936</v>
      </c>
      <c r="AE96" s="1123">
        <f>_xlfn.SUMIFS(Налоги!AE$25:AE$83,Налоги!$F$25:$F$83,$F96,Налоги!$AB$25:$AB$83,$G96)</f>
        <v>0</v>
      </c>
      <c r="AF96" s="1123">
        <f>_xlfn.SUMIFS(Налоги!AF$25:AF$83,Налоги!$F$25:$F$83,$F96,Налоги!$AB$25:$AB$83,$G96)</f>
        <v>0</v>
      </c>
      <c r="AG96" s="1123">
        <f>_xlfn.SUMIFS(Налоги!AG$25:AG$83,Налоги!$F$25:$F$83,$F96,Налоги!$AB$25:$AB$83,$G96)</f>
        <v>0</v>
      </c>
      <c r="AH96" s="1123">
        <f>AG96-AF96</f>
        <v>0</v>
      </c>
      <c r="AI96" s="1123">
        <f>_xlfn.SUMIFS(Налоги!AH$25:AH$83,Налоги!$F$25:$F$83,$F96,Налоги!$AB$25:$AB$83,$G96)</f>
        <v>0</v>
      </c>
      <c r="AJ96" s="1123">
        <f>_xlfn.SUMIFS(Налоги!AI$25:AI$83,Налоги!$F$25:$F$83,$F96,Налоги!$AB$25:$AB$83,$G96)</f>
        <v>0</v>
      </c>
      <c r="AK96" s="1123">
        <f>_xlfn.SUMIFS(Налоги!AJ$25:AJ$83,Налоги!$F$25:$F$83,$F96,Налоги!$AB$25:$AB$83,$G96)</f>
        <v>0</v>
      </c>
      <c r="AL96" s="1123">
        <f>_xlfn.SUMIFS(Налоги!AK$25:AK$83,Налоги!$F$25:$F$83,$F96,Налоги!$AB$25:$AB$83,$G96)</f>
        <v>0</v>
      </c>
      <c r="AM96" s="1123">
        <f>_xlfn.SUMIFS(Налоги!AL$25:AL$83,Налоги!$F$25:$F$83,$F96,Налоги!$AB$25:$AB$83,$G96)</f>
        <v>0</v>
      </c>
      <c r="AN96" s="1123">
        <f>_xlfn.SUMIFS(Налоги!AM$25:AM$83,Налоги!$F$25:$F$83,$F96,Налоги!$AB$25:$AB$83,$G96)</f>
        <v>0</v>
      </c>
      <c r="AO96" s="1123">
        <f>_xlfn.SUMIFS(Налоги!AN$25:AN$83,Налоги!$F$25:$F$83,$F96,Налоги!$AB$25:$AB$83,$G96)</f>
        <v>0</v>
      </c>
      <c r="AP96" s="1123">
        <f>_xlfn.SUMIFS(Налоги!AO$25:AO$83,Налоги!$F$25:$F$83,$F96,Налоги!$AB$25:$AB$83,$G96)</f>
        <v>0</v>
      </c>
      <c r="AQ96" s="1123">
        <f>_xlfn.SUMIFS(Налоги!AP$25:AP$83,Налоги!$F$25:$F$83,$F96,Налоги!$AB$25:$AB$83,$G96)</f>
        <v>0</v>
      </c>
      <c r="AR96" s="1123">
        <f>_xlfn.SUMIFS(Налоги!AQ$25:AQ$83,Налоги!$F$25:$F$83,$F96,Налоги!$AB$25:$AB$83,$G96)</f>
        <v>0</v>
      </c>
      <c r="AS96" s="1123">
        <f>_xlfn.SUMIFS(Налоги!AR$25:AR$83,Налоги!$F$25:$F$83,$F96,Налоги!$AB$25:$AB$83,$G96)</f>
        <v>0</v>
      </c>
      <c r="AT96" s="1123">
        <f>_xlfn.SUMIFS(Налоги!AS$25:AS$83,Налоги!$F$25:$F$83,$F96,Налоги!$AB$25:$AB$83,$G96)</f>
        <v>0</v>
      </c>
      <c r="AU96" s="1123">
        <f>_xlfn.SUMIFS(Налоги!AT$25:AT$83,Налоги!$F$25:$F$83,$F96,Налоги!$AB$25:$AB$83,$G96)</f>
        <v>0</v>
      </c>
      <c r="AV96" s="1123">
        <f>_xlfn.SUMIFS(Налоги!AU$25:AU$83,Налоги!$F$25:$F$83,$F96,Налоги!$AB$25:$AB$83,$G96)</f>
        <v>0</v>
      </c>
      <c r="AW96" s="1123">
        <f>_xlfn.SUMIFS(Налоги!AV$25:AV$83,Налоги!$F$25:$F$83,$F96,Налоги!$AB$25:$AB$83,$G96)</f>
        <v>0</v>
      </c>
      <c r="AX96" s="1123">
        <f>_xlfn.SUMIFS(Налоги!AW$25:AW$83,Налоги!$F$25:$F$83,$F96,Налоги!$AB$25:$AB$83,$G96)</f>
        <v>0</v>
      </c>
      <c r="AY96" s="1123">
        <f>_xlfn.SUMIFS(Налоги!AX$25:AX$83,Налоги!$F$25:$F$83,$F96,Налоги!$AB$25:$AB$83,$G96)</f>
        <v>0</v>
      </c>
      <c r="AZ96" s="1123">
        <f>_xlfn.SUMIFS(Налоги!AY$25:AY$83,Налоги!$F$25:$F$83,$F96,Налоги!$AB$25:$AB$83,$G96)</f>
        <v>0</v>
      </c>
      <c r="BA96" s="1123">
        <f>_xlfn.SUMIFS(Налоги!AZ$25:AZ$83,Налоги!$F$25:$F$83,$F96,Налоги!$AB$25:$AB$83,$G96)</f>
        <v>0</v>
      </c>
      <c r="BB96" s="1123">
        <f>_xlfn.SUMIFS(Налоги!BA$25:BA$83,Налоги!$F$25:$F$83,$F96,Налоги!$AB$25:$AB$83,$G96)</f>
        <v>0</v>
      </c>
      <c r="BC96" s="1123">
        <f>_xlfn.SUMIFS(Налоги!BB$25:BB$83,Налоги!$F$25:$F$83,$F96,Налоги!$AB$25:$AB$83,$G96)</f>
        <v>0</v>
      </c>
      <c r="BD96" s="1123">
        <f>IF(AI96=0,0,(AT96-AI96)/AI96*100)</f>
        <v>0</v>
      </c>
      <c r="BE96" s="1123">
        <f>IF(AT96=0,0,(AU96-AT96)/AT96*100)</f>
        <v>0</v>
      </c>
      <c r="BF96" s="1123">
        <f>IF(AU96=0,0,(AV96-AU96)/AU96*100)</f>
        <v>0</v>
      </c>
      <c r="BG96" s="1123">
        <f>IF(AV96=0,0,(AW96-AV96)/AV96*100)</f>
        <v>0</v>
      </c>
      <c r="BH96" s="1123">
        <f>IF(AW96=0,0,(AX96-AW96)/AW96*100)</f>
        <v>0</v>
      </c>
      <c r="BI96" s="1123">
        <f>IF(AX96=0,0,(AY96-AX96)/AX96*100)</f>
        <v>0</v>
      </c>
      <c r="BJ96" s="1123">
        <f>IF(AY96=0,0,(AZ96-AY96)/AY96*100)</f>
        <v>0</v>
      </c>
      <c r="BK96" s="1123">
        <f>IF(AZ96=0,0,(BA96-AZ96)/AZ96*100)</f>
        <v>0</v>
      </c>
      <c r="BL96" s="1123">
        <f>IF(BA96=0,0,(BB96-BA96)/BA96*100)</f>
        <v>0</v>
      </c>
      <c r="BM96" s="1123">
        <f>IF(BB96=0,0,(BC96-BB96)/BB96*100)</f>
        <v>0</v>
      </c>
      <c r="BN96" s="1257"/>
      <c r="BO96" s="1261" t="str">
        <f>IF(_xlfn.IFERROR(INDEX(Налоги!$K$26:$L$83,MATCH($F96&amp;"4komm",Налоги!$K$26:$K$83,0),2),"")=0,"",_xlfn.IFERROR(INDEX(Налоги!$K$26:$L$83,MATCH($F96&amp;"4komm",Налоги!$K$26:$K$83,0),2),""))</f>
        <v/>
      </c>
      <c r="BP96" s="1257"/>
      <c r="BQ96" s="1297"/>
      <c r="BR96" s="1297"/>
      <c r="BS96" s="1072" t="s">
        <v>2318</v>
      </c>
      <c r="BT96" s="1072"/>
      <c r="BU96" s="1072"/>
      <c r="BV96" s="987"/>
      <c r="BW96" s="987"/>
    </row>
    <row customHeight="1" ht="14.625" hidden="1">
      <c r="A97" s="1297"/>
      <c r="B97" s="986"/>
      <c r="C97" s="103"/>
      <c r="D97" s="103"/>
      <c r="E97" s="626">
        <v>15</v>
      </c>
      <c r="F97" s="50" cm="1" t="str">
        <f t="array" ref="F97:F97">OFFSET(E97,-1,1)</f>
        <v>0</v>
      </c>
      <c r="G97" s="929">
        <v>5</v>
      </c>
      <c r="H97" s="103"/>
      <c r="I97" s="103" t="s">
        <v>2319</v>
      </c>
      <c r="J97" s="103"/>
      <c r="K97" s="103" t="s">
        <v>2319</v>
      </c>
      <c r="L97" s="988"/>
      <c r="M97" s="103"/>
      <c r="N97" s="103"/>
      <c r="O97" s="103"/>
      <c r="P97" s="103"/>
      <c r="Q97" s="103"/>
      <c r="R97" s="103"/>
      <c r="S97" s="103"/>
      <c r="T97" s="468" cm="1" t="str">
        <f t="array" ref="T97:T97">T96</f>
        <v>false</v>
      </c>
      <c r="U97" s="103"/>
      <c r="V97" s="103"/>
      <c r="W97" s="103"/>
      <c r="X97" s="1559"/>
      <c r="Y97" s="1297"/>
      <c r="Z97" s="1529"/>
      <c r="AA97" s="1297"/>
      <c r="AB97" s="296" t="s">
        <v>2320</v>
      </c>
      <c r="AC97" s="772" t="s">
        <v>2321</v>
      </c>
      <c r="AD97" s="296" t="s">
        <v>936</v>
      </c>
      <c r="AE97" s="1123">
        <f>_xlfn.SUMIFS(Налоги!AE$25:AE$83,Налоги!$F$25:$F$83,$F97,Налоги!$AB$25:$AB$83,$G97)</f>
        <v>0</v>
      </c>
      <c r="AF97" s="1123">
        <f>_xlfn.SUMIFS(Налоги!AF$25:AF$83,Налоги!$F$25:$F$83,$F97,Налоги!$AB$25:$AB$83,$G97)</f>
        <v>0</v>
      </c>
      <c r="AG97" s="1123">
        <f>_xlfn.SUMIFS(Налоги!AG$25:AG$83,Налоги!$F$25:$F$83,$F97,Налоги!$AB$25:$AB$83,$G97)</f>
        <v>0</v>
      </c>
      <c r="AH97" s="1123">
        <f>AG97-AF97</f>
        <v>0</v>
      </c>
      <c r="AI97" s="1123">
        <f>_xlfn.SUMIFS(Налоги!AH$25:AH$83,Налоги!$F$25:$F$83,$F97,Налоги!$AB$25:$AB$83,$G97)</f>
        <v>0</v>
      </c>
      <c r="AJ97" s="1123">
        <f>_xlfn.SUMIFS(Налоги!AI$25:AI$83,Налоги!$F$25:$F$83,$F97,Налоги!$AB$25:$AB$83,$G97)</f>
        <v>0</v>
      </c>
      <c r="AK97" s="1123">
        <f>_xlfn.SUMIFS(Налоги!AJ$25:AJ$83,Налоги!$F$25:$F$83,$F97,Налоги!$AB$25:$AB$83,$G97)</f>
        <v>0</v>
      </c>
      <c r="AL97" s="1123">
        <f>_xlfn.SUMIFS(Налоги!AK$25:AK$83,Налоги!$F$25:$F$83,$F97,Налоги!$AB$25:$AB$83,$G97)</f>
        <v>0</v>
      </c>
      <c r="AM97" s="1123">
        <f>_xlfn.SUMIFS(Налоги!AL$25:AL$83,Налоги!$F$25:$F$83,$F97,Налоги!$AB$25:$AB$83,$G97)</f>
        <v>0</v>
      </c>
      <c r="AN97" s="1123">
        <f>_xlfn.SUMIFS(Налоги!AM$25:AM$83,Налоги!$F$25:$F$83,$F97,Налоги!$AB$25:$AB$83,$G97)</f>
        <v>0</v>
      </c>
      <c r="AO97" s="1123">
        <f>_xlfn.SUMIFS(Налоги!AN$25:AN$83,Налоги!$F$25:$F$83,$F97,Налоги!$AB$25:$AB$83,$G97)</f>
        <v>0</v>
      </c>
      <c r="AP97" s="1123">
        <f>_xlfn.SUMIFS(Налоги!AO$25:AO$83,Налоги!$F$25:$F$83,$F97,Налоги!$AB$25:$AB$83,$G97)</f>
        <v>0</v>
      </c>
      <c r="AQ97" s="1123">
        <f>_xlfn.SUMIFS(Налоги!AP$25:AP$83,Налоги!$F$25:$F$83,$F97,Налоги!$AB$25:$AB$83,$G97)</f>
        <v>0</v>
      </c>
      <c r="AR97" s="1123">
        <f>_xlfn.SUMIFS(Налоги!AQ$25:AQ$83,Налоги!$F$25:$F$83,$F97,Налоги!$AB$25:$AB$83,$G97)</f>
        <v>0</v>
      </c>
      <c r="AS97" s="1123">
        <f>_xlfn.SUMIFS(Налоги!AR$25:AR$83,Налоги!$F$25:$F$83,$F97,Налоги!$AB$25:$AB$83,$G97)</f>
        <v>0</v>
      </c>
      <c r="AT97" s="1123">
        <f>_xlfn.SUMIFS(Налоги!AS$25:AS$83,Налоги!$F$25:$F$83,$F97,Налоги!$AB$25:$AB$83,$G97)</f>
        <v>0</v>
      </c>
      <c r="AU97" s="1123">
        <f>_xlfn.SUMIFS(Налоги!AT$25:AT$83,Налоги!$F$25:$F$83,$F97,Налоги!$AB$25:$AB$83,$G97)</f>
        <v>0</v>
      </c>
      <c r="AV97" s="1123">
        <f>_xlfn.SUMIFS(Налоги!AU$25:AU$83,Налоги!$F$25:$F$83,$F97,Налоги!$AB$25:$AB$83,$G97)</f>
        <v>0</v>
      </c>
      <c r="AW97" s="1123">
        <f>_xlfn.SUMIFS(Налоги!AV$25:AV$83,Налоги!$F$25:$F$83,$F97,Налоги!$AB$25:$AB$83,$G97)</f>
        <v>0</v>
      </c>
      <c r="AX97" s="1123">
        <f>_xlfn.SUMIFS(Налоги!AW$25:AW$83,Налоги!$F$25:$F$83,$F97,Налоги!$AB$25:$AB$83,$G97)</f>
        <v>0</v>
      </c>
      <c r="AY97" s="1123">
        <f>_xlfn.SUMIFS(Налоги!AX$25:AX$83,Налоги!$F$25:$F$83,$F97,Налоги!$AB$25:$AB$83,$G97)</f>
        <v>0</v>
      </c>
      <c r="AZ97" s="1123">
        <f>_xlfn.SUMIFS(Налоги!AY$25:AY$83,Налоги!$F$25:$F$83,$F97,Налоги!$AB$25:$AB$83,$G97)</f>
        <v>0</v>
      </c>
      <c r="BA97" s="1123">
        <f>_xlfn.SUMIFS(Налоги!AZ$25:AZ$83,Налоги!$F$25:$F$83,$F97,Налоги!$AB$25:$AB$83,$G97)</f>
        <v>0</v>
      </c>
      <c r="BB97" s="1123">
        <f>_xlfn.SUMIFS(Налоги!BA$25:BA$83,Налоги!$F$25:$F$83,$F97,Налоги!$AB$25:$AB$83,$G97)</f>
        <v>0</v>
      </c>
      <c r="BC97" s="1123">
        <f>_xlfn.SUMIFS(Налоги!BB$25:BB$83,Налоги!$F$25:$F$83,$F97,Налоги!$AB$25:$AB$83,$G97)</f>
        <v>0</v>
      </c>
      <c r="BD97" s="1123">
        <f>IF(AI97=0,0,(AT97-AI97)/AI97*100)</f>
        <v>0</v>
      </c>
      <c r="BE97" s="1123">
        <f>IF(AT97=0,0,(AU97-AT97)/AT97*100)</f>
        <v>0</v>
      </c>
      <c r="BF97" s="1123">
        <f>IF(AU97=0,0,(AV97-AU97)/AU97*100)</f>
        <v>0</v>
      </c>
      <c r="BG97" s="1123">
        <f>IF(AV97=0,0,(AW97-AV97)/AV97*100)</f>
        <v>0</v>
      </c>
      <c r="BH97" s="1123">
        <f>IF(AW97=0,0,(AX97-AW97)/AW97*100)</f>
        <v>0</v>
      </c>
      <c r="BI97" s="1123">
        <f>IF(AX97=0,0,(AY97-AX97)/AX97*100)</f>
        <v>0</v>
      </c>
      <c r="BJ97" s="1123">
        <f>IF(AY97=0,0,(AZ97-AY97)/AY97*100)</f>
        <v>0</v>
      </c>
      <c r="BK97" s="1123">
        <f>IF(AZ97=0,0,(BA97-AZ97)/AZ97*100)</f>
        <v>0</v>
      </c>
      <c r="BL97" s="1123">
        <f>IF(BA97=0,0,(BB97-BA97)/BA97*100)</f>
        <v>0</v>
      </c>
      <c r="BM97" s="1123">
        <f>IF(BB97=0,0,(BC97-BB97)/BB97*100)</f>
        <v>0</v>
      </c>
      <c r="BN97" s="1257"/>
      <c r="BO97" s="1261" t="str">
        <f>IF(_xlfn.IFERROR(INDEX(Налоги!$K$26:$L$83,MATCH($F97&amp;"5komm",Налоги!$K$26:$K$83,0),2),"")=0,"",_xlfn.IFERROR(INDEX(Налоги!$K$26:$L$83,MATCH($F97&amp;"5komm",Налоги!$K$26:$K$83,0),2),""))</f>
        <v/>
      </c>
      <c r="BP97" s="1257"/>
      <c r="BQ97" s="1297"/>
      <c r="BR97" s="1297"/>
      <c r="BS97" s="1072" t="s">
        <v>2322</v>
      </c>
      <c r="BT97" s="1072"/>
      <c r="BU97" s="1072"/>
      <c r="BV97" s="987"/>
      <c r="BW97" s="987"/>
    </row>
    <row customHeight="1" ht="14.625" hidden="1">
      <c r="A98" s="1297"/>
      <c r="B98" s="986"/>
      <c r="C98" s="103"/>
      <c r="D98" s="103"/>
      <c r="E98" s="626">
        <v>15</v>
      </c>
      <c r="F98" s="50" cm="1" t="str">
        <f t="array" ref="F98:F98">OFFSET(E98,-1,1)</f>
        <v>0</v>
      </c>
      <c r="G98" s="929">
        <v>1</v>
      </c>
      <c r="H98" s="103"/>
      <c r="I98" s="103" t="s">
        <v>2323</v>
      </c>
      <c r="J98" s="103"/>
      <c r="K98" s="103" t="s">
        <v>2323</v>
      </c>
      <c r="L98" s="988"/>
      <c r="M98" s="103"/>
      <c r="N98" s="103"/>
      <c r="O98" s="103"/>
      <c r="P98" s="103"/>
      <c r="Q98" s="103"/>
      <c r="R98" s="103"/>
      <c r="S98" s="103"/>
      <c r="T98" s="468" cm="1" t="str">
        <f t="array" ref="T98:T98">T97</f>
        <v>false</v>
      </c>
      <c r="U98" s="103"/>
      <c r="V98" s="103"/>
      <c r="W98" s="103"/>
      <c r="X98" s="1559"/>
      <c r="Y98" s="1297"/>
      <c r="Z98" s="1529"/>
      <c r="AA98" s="1297"/>
      <c r="AB98" s="296" t="s">
        <v>2324</v>
      </c>
      <c r="AC98" s="772" t="s">
        <v>2325</v>
      </c>
      <c r="AD98" s="296" t="s">
        <v>936</v>
      </c>
      <c r="AE98" s="1123">
        <f>_xlfn.SUMIFS(Налоги!AE$25:AE$83,Налоги!$F$25:$F$83,$F98,Налоги!$AB$25:$AB$83,$G98)</f>
        <v>0</v>
      </c>
      <c r="AF98" s="1123">
        <f>_xlfn.SUMIFS(Налоги!AF$25:AF$83,Налоги!$F$25:$F$83,$F98,Налоги!$AB$25:$AB$83,$G98)</f>
        <v>0</v>
      </c>
      <c r="AG98" s="1123">
        <f>_xlfn.SUMIFS(Налоги!AG$25:AG$83,Налоги!$F$25:$F$83,$F98,Налоги!$AB$25:$AB$83,$G98)</f>
        <v>0</v>
      </c>
      <c r="AH98" s="1123">
        <f>AG98-AF98</f>
        <v>0</v>
      </c>
      <c r="AI98" s="1123">
        <f>_xlfn.SUMIFS(Налоги!AH$25:AH$83,Налоги!$F$25:$F$83,$F98,Налоги!$AB$25:$AB$83,$G98)</f>
        <v>0</v>
      </c>
      <c r="AJ98" s="1123">
        <f>_xlfn.SUMIFS(Налоги!AI$25:AI$83,Налоги!$F$25:$F$83,$F98,Налоги!$AB$25:$AB$83,$G98)</f>
        <v>0</v>
      </c>
      <c r="AK98" s="1123">
        <f>_xlfn.SUMIFS(Налоги!AJ$25:AJ$83,Налоги!$F$25:$F$83,$F98,Налоги!$AB$25:$AB$83,$G98)</f>
        <v>0</v>
      </c>
      <c r="AL98" s="1123">
        <f>_xlfn.SUMIFS(Налоги!AK$25:AK$83,Налоги!$F$25:$F$83,$F98,Налоги!$AB$25:$AB$83,$G98)</f>
        <v>0</v>
      </c>
      <c r="AM98" s="1123">
        <f>_xlfn.SUMIFS(Налоги!AL$25:AL$83,Налоги!$F$25:$F$83,$F98,Налоги!$AB$25:$AB$83,$G98)</f>
        <v>0</v>
      </c>
      <c r="AN98" s="1123">
        <f>_xlfn.SUMIFS(Налоги!AM$25:AM$83,Налоги!$F$25:$F$83,$F98,Налоги!$AB$25:$AB$83,$G98)</f>
        <v>0</v>
      </c>
      <c r="AO98" s="1123">
        <f>_xlfn.SUMIFS(Налоги!AN$25:AN$83,Налоги!$F$25:$F$83,$F98,Налоги!$AB$25:$AB$83,$G98)</f>
        <v>0</v>
      </c>
      <c r="AP98" s="1123">
        <f>_xlfn.SUMIFS(Налоги!AO$25:AO$83,Налоги!$F$25:$F$83,$F98,Налоги!$AB$25:$AB$83,$G98)</f>
        <v>0</v>
      </c>
      <c r="AQ98" s="1123">
        <f>_xlfn.SUMIFS(Налоги!AP$25:AP$83,Налоги!$F$25:$F$83,$F98,Налоги!$AB$25:$AB$83,$G98)</f>
        <v>0</v>
      </c>
      <c r="AR98" s="1123">
        <f>_xlfn.SUMIFS(Налоги!AQ$25:AQ$83,Налоги!$F$25:$F$83,$F98,Налоги!$AB$25:$AB$83,$G98)</f>
        <v>0</v>
      </c>
      <c r="AS98" s="1123">
        <f>_xlfn.SUMIFS(Налоги!AR$25:AR$83,Налоги!$F$25:$F$83,$F98,Налоги!$AB$25:$AB$83,$G98)</f>
        <v>0</v>
      </c>
      <c r="AT98" s="1123">
        <f>_xlfn.SUMIFS(Налоги!AS$25:AS$83,Налоги!$F$25:$F$83,$F98,Налоги!$AB$25:$AB$83,$G98)</f>
        <v>0</v>
      </c>
      <c r="AU98" s="1123">
        <f>_xlfn.SUMIFS(Налоги!AT$25:AT$83,Налоги!$F$25:$F$83,$F98,Налоги!$AB$25:$AB$83,$G98)</f>
        <v>0</v>
      </c>
      <c r="AV98" s="1123">
        <f>_xlfn.SUMIFS(Налоги!AU$25:AU$83,Налоги!$F$25:$F$83,$F98,Налоги!$AB$25:$AB$83,$G98)</f>
        <v>0</v>
      </c>
      <c r="AW98" s="1123">
        <f>_xlfn.SUMIFS(Налоги!AV$25:AV$83,Налоги!$F$25:$F$83,$F98,Налоги!$AB$25:$AB$83,$G98)</f>
        <v>0</v>
      </c>
      <c r="AX98" s="1123">
        <f>_xlfn.SUMIFS(Налоги!AW$25:AW$83,Налоги!$F$25:$F$83,$F98,Налоги!$AB$25:$AB$83,$G98)</f>
        <v>0</v>
      </c>
      <c r="AY98" s="1123">
        <f>_xlfn.SUMIFS(Налоги!AX$25:AX$83,Налоги!$F$25:$F$83,$F98,Налоги!$AB$25:$AB$83,$G98)</f>
        <v>0</v>
      </c>
      <c r="AZ98" s="1123">
        <f>_xlfn.SUMIFS(Налоги!AY$25:AY$83,Налоги!$F$25:$F$83,$F98,Налоги!$AB$25:$AB$83,$G98)</f>
        <v>0</v>
      </c>
      <c r="BA98" s="1123">
        <f>_xlfn.SUMIFS(Налоги!AZ$25:AZ$83,Налоги!$F$25:$F$83,$F98,Налоги!$AB$25:$AB$83,$G98)</f>
        <v>0</v>
      </c>
      <c r="BB98" s="1123">
        <f>_xlfn.SUMIFS(Налоги!BA$25:BA$83,Налоги!$F$25:$F$83,$F98,Налоги!$AB$25:$AB$83,$G98)</f>
        <v>0</v>
      </c>
      <c r="BC98" s="1123">
        <f>_xlfn.SUMIFS(Налоги!BB$25:BB$83,Налоги!$F$25:$F$83,$F98,Налоги!$AB$25:$AB$83,$G98)</f>
        <v>0</v>
      </c>
      <c r="BD98" s="1123">
        <f>IF(AI98=0,0,(AT98-AI98)/AI98*100)</f>
        <v>0</v>
      </c>
      <c r="BE98" s="1123">
        <f>IF(AT98=0,0,(AU98-AT98)/AT98*100)</f>
        <v>0</v>
      </c>
      <c r="BF98" s="1123">
        <f>IF(AU98=0,0,(AV98-AU98)/AU98*100)</f>
        <v>0</v>
      </c>
      <c r="BG98" s="1123">
        <f>IF(AV98=0,0,(AW98-AV98)/AV98*100)</f>
        <v>0</v>
      </c>
      <c r="BH98" s="1123">
        <f>IF(AW98=0,0,(AX98-AW98)/AW98*100)</f>
        <v>0</v>
      </c>
      <c r="BI98" s="1123">
        <f>IF(AX98=0,0,(AY98-AX98)/AX98*100)</f>
        <v>0</v>
      </c>
      <c r="BJ98" s="1123">
        <f>IF(AY98=0,0,(AZ98-AY98)/AY98*100)</f>
        <v>0</v>
      </c>
      <c r="BK98" s="1123">
        <f>IF(AZ98=0,0,(BA98-AZ98)/AZ98*100)</f>
        <v>0</v>
      </c>
      <c r="BL98" s="1123">
        <f>IF(BA98=0,0,(BB98-BA98)/BA98*100)</f>
        <v>0</v>
      </c>
      <c r="BM98" s="1123">
        <f>IF(BB98=0,0,(BC98-BB98)/BB98*100)</f>
        <v>0</v>
      </c>
      <c r="BN98" s="1257"/>
      <c r="BO98" s="1261" t="str">
        <f>IF(_xlfn.IFERROR(INDEX(Налоги!$K$26:$L$83,MATCH($F98&amp;"1komm",Налоги!$K$26:$K$83,0),2),"")=0,"",_xlfn.IFERROR(INDEX(Налоги!$K$26:$L$83,MATCH($F98&amp;"1komm",Налоги!$K$26:$K$83,0),2),""))</f>
        <v/>
      </c>
      <c r="BP98" s="1257"/>
      <c r="BQ98" s="1297"/>
      <c r="BR98" s="1297"/>
      <c r="BS98" s="1072" t="s">
        <v>2326</v>
      </c>
      <c r="BT98" s="1072"/>
      <c r="BU98" s="1072"/>
      <c r="BV98" s="987"/>
      <c r="BW98" s="987"/>
    </row>
    <row customHeight="1" ht="14.625" hidden="1">
      <c r="A99" s="1297"/>
      <c r="B99" s="986"/>
      <c r="C99" s="103"/>
      <c r="D99" s="103"/>
      <c r="E99" s="626">
        <v>15</v>
      </c>
      <c r="F99" s="50" cm="1" t="str">
        <f t="array" ref="F99:F99">OFFSET(E99,-1,1)</f>
        <v>0</v>
      </c>
      <c r="G99" s="929">
        <v>3</v>
      </c>
      <c r="H99" s="103"/>
      <c r="I99" s="103" t="s">
        <v>2327</v>
      </c>
      <c r="J99" s="103"/>
      <c r="K99" s="103" t="s">
        <v>2327</v>
      </c>
      <c r="L99" s="988"/>
      <c r="M99" s="103"/>
      <c r="N99" s="103"/>
      <c r="O99" s="103"/>
      <c r="P99" s="103"/>
      <c r="Q99" s="103"/>
      <c r="R99" s="103"/>
      <c r="S99" s="103"/>
      <c r="T99" s="468" cm="1" t="str">
        <f t="array" ref="T99:T99">T98</f>
        <v>false</v>
      </c>
      <c r="U99" s="103"/>
      <c r="V99" s="103"/>
      <c r="W99" s="103"/>
      <c r="X99" s="1559"/>
      <c r="Y99" s="1297"/>
      <c r="Z99" s="1529"/>
      <c r="AA99" s="1297"/>
      <c r="AB99" s="296" t="s">
        <v>2328</v>
      </c>
      <c r="AC99" s="772" t="s">
        <v>2329</v>
      </c>
      <c r="AD99" s="296" t="s">
        <v>936</v>
      </c>
      <c r="AE99" s="1123">
        <f>_xlfn.SUMIFS(Налоги!AE$25:AE$83,Налоги!$F$25:$F$83,$F99,Налоги!$AB$25:$AB$83,$G99)</f>
        <v>0</v>
      </c>
      <c r="AF99" s="1123">
        <f>_xlfn.SUMIFS(Налоги!AF$25:AF$83,Налоги!$F$25:$F$83,$F99,Налоги!$AB$25:$AB$83,$G99)</f>
        <v>0</v>
      </c>
      <c r="AG99" s="1123">
        <f>_xlfn.SUMIFS(Налоги!AG$25:AG$83,Налоги!$F$25:$F$83,$F99,Налоги!$AB$25:$AB$83,$G99)</f>
        <v>0</v>
      </c>
      <c r="AH99" s="1123">
        <f>AG99-AF99</f>
        <v>0</v>
      </c>
      <c r="AI99" s="1123">
        <f>_xlfn.SUMIFS(Налоги!AH$25:AH$83,Налоги!$F$25:$F$83,$F99,Налоги!$AB$25:$AB$83,$G99)</f>
        <v>0</v>
      </c>
      <c r="AJ99" s="1123">
        <f>_xlfn.SUMIFS(Налоги!AI$25:AI$83,Налоги!$F$25:$F$83,$F99,Налоги!$AB$25:$AB$83,$G99)</f>
        <v>0</v>
      </c>
      <c r="AK99" s="1123">
        <f>_xlfn.SUMIFS(Налоги!AJ$25:AJ$83,Налоги!$F$25:$F$83,$F99,Налоги!$AB$25:$AB$83,$G99)</f>
        <v>0</v>
      </c>
      <c r="AL99" s="1123">
        <f>_xlfn.SUMIFS(Налоги!AK$25:AK$83,Налоги!$F$25:$F$83,$F99,Налоги!$AB$25:$AB$83,$G99)</f>
        <v>0</v>
      </c>
      <c r="AM99" s="1123">
        <f>_xlfn.SUMIFS(Налоги!AL$25:AL$83,Налоги!$F$25:$F$83,$F99,Налоги!$AB$25:$AB$83,$G99)</f>
        <v>0</v>
      </c>
      <c r="AN99" s="1123">
        <f>_xlfn.SUMIFS(Налоги!AM$25:AM$83,Налоги!$F$25:$F$83,$F99,Налоги!$AB$25:$AB$83,$G99)</f>
        <v>0</v>
      </c>
      <c r="AO99" s="1123">
        <f>_xlfn.SUMIFS(Налоги!AN$25:AN$83,Налоги!$F$25:$F$83,$F99,Налоги!$AB$25:$AB$83,$G99)</f>
        <v>0</v>
      </c>
      <c r="AP99" s="1123">
        <f>_xlfn.SUMIFS(Налоги!AO$25:AO$83,Налоги!$F$25:$F$83,$F99,Налоги!$AB$25:$AB$83,$G99)</f>
        <v>0</v>
      </c>
      <c r="AQ99" s="1123">
        <f>_xlfn.SUMIFS(Налоги!AP$25:AP$83,Налоги!$F$25:$F$83,$F99,Налоги!$AB$25:$AB$83,$G99)</f>
        <v>0</v>
      </c>
      <c r="AR99" s="1123">
        <f>_xlfn.SUMIFS(Налоги!AQ$25:AQ$83,Налоги!$F$25:$F$83,$F99,Налоги!$AB$25:$AB$83,$G99)</f>
        <v>0</v>
      </c>
      <c r="AS99" s="1123">
        <f>_xlfn.SUMIFS(Налоги!AR$25:AR$83,Налоги!$F$25:$F$83,$F99,Налоги!$AB$25:$AB$83,$G99)</f>
        <v>0</v>
      </c>
      <c r="AT99" s="1123">
        <f>_xlfn.SUMIFS(Налоги!AS$25:AS$83,Налоги!$F$25:$F$83,$F99,Налоги!$AB$25:$AB$83,$G99)</f>
        <v>0</v>
      </c>
      <c r="AU99" s="1123">
        <f>_xlfn.SUMIFS(Налоги!AT$25:AT$83,Налоги!$F$25:$F$83,$F99,Налоги!$AB$25:$AB$83,$G99)</f>
        <v>0</v>
      </c>
      <c r="AV99" s="1123">
        <f>_xlfn.SUMIFS(Налоги!AU$25:AU$83,Налоги!$F$25:$F$83,$F99,Налоги!$AB$25:$AB$83,$G99)</f>
        <v>0</v>
      </c>
      <c r="AW99" s="1123">
        <f>_xlfn.SUMIFS(Налоги!AV$25:AV$83,Налоги!$F$25:$F$83,$F99,Налоги!$AB$25:$AB$83,$G99)</f>
        <v>0</v>
      </c>
      <c r="AX99" s="1123">
        <f>_xlfn.SUMIFS(Налоги!AW$25:AW$83,Налоги!$F$25:$F$83,$F99,Налоги!$AB$25:$AB$83,$G99)</f>
        <v>0</v>
      </c>
      <c r="AY99" s="1123">
        <f>_xlfn.SUMIFS(Налоги!AX$25:AX$83,Налоги!$F$25:$F$83,$F99,Налоги!$AB$25:$AB$83,$G99)</f>
        <v>0</v>
      </c>
      <c r="AZ99" s="1123">
        <f>_xlfn.SUMIFS(Налоги!AY$25:AY$83,Налоги!$F$25:$F$83,$F99,Налоги!$AB$25:$AB$83,$G99)</f>
        <v>0</v>
      </c>
      <c r="BA99" s="1123">
        <f>_xlfn.SUMIFS(Налоги!AZ$25:AZ$83,Налоги!$F$25:$F$83,$F99,Налоги!$AB$25:$AB$83,$G99)</f>
        <v>0</v>
      </c>
      <c r="BB99" s="1123">
        <f>_xlfn.SUMIFS(Налоги!BA$25:BA$83,Налоги!$F$25:$F$83,$F99,Налоги!$AB$25:$AB$83,$G99)</f>
        <v>0</v>
      </c>
      <c r="BC99" s="1123">
        <f>_xlfn.SUMIFS(Налоги!BB$25:BB$83,Налоги!$F$25:$F$83,$F99,Налоги!$AB$25:$AB$83,$G99)</f>
        <v>0</v>
      </c>
      <c r="BD99" s="1123">
        <f>IF(AI99=0,0,(AT99-AI99)/AI99*100)</f>
        <v>0</v>
      </c>
      <c r="BE99" s="1123">
        <f>IF(AT99=0,0,(AU99-AT99)/AT99*100)</f>
        <v>0</v>
      </c>
      <c r="BF99" s="1123">
        <f>IF(AU99=0,0,(AV99-AU99)/AU99*100)</f>
        <v>0</v>
      </c>
      <c r="BG99" s="1123">
        <f>IF(AV99=0,0,(AW99-AV99)/AV99*100)</f>
        <v>0</v>
      </c>
      <c r="BH99" s="1123">
        <f>IF(AW99=0,0,(AX99-AW99)/AW99*100)</f>
        <v>0</v>
      </c>
      <c r="BI99" s="1123">
        <f>IF(AX99=0,0,(AY99-AX99)/AX99*100)</f>
        <v>0</v>
      </c>
      <c r="BJ99" s="1123">
        <f>IF(AY99=0,0,(AZ99-AY99)/AY99*100)</f>
        <v>0</v>
      </c>
      <c r="BK99" s="1123">
        <f>IF(AZ99=0,0,(BA99-AZ99)/AZ99*100)</f>
        <v>0</v>
      </c>
      <c r="BL99" s="1123">
        <f>IF(BA99=0,0,(BB99-BA99)/BA99*100)</f>
        <v>0</v>
      </c>
      <c r="BM99" s="1123">
        <f>IF(BB99=0,0,(BC99-BB99)/BB99*100)</f>
        <v>0</v>
      </c>
      <c r="BN99" s="1257"/>
      <c r="BO99" s="1261" t="str">
        <f>IF(_xlfn.IFERROR(INDEX(Налоги!$K$26:$L$83,MATCH($F99&amp;"5komm",Налоги!$K$26:$K$83,0),2),"")=0,"",_xlfn.IFERROR(INDEX(Налоги!$K$26:$L$83,MATCH($F99&amp;"5komm",Налоги!$K$26:$K$83,0),2),""))</f>
        <v/>
      </c>
      <c r="BP99" s="1257"/>
      <c r="BQ99" s="1297"/>
      <c r="BR99" s="1297"/>
      <c r="BS99" s="1072" t="s">
        <v>2330</v>
      </c>
      <c r="BT99" s="1072"/>
      <c r="BU99" s="1072"/>
      <c r="BV99" s="987"/>
      <c r="BW99" s="987"/>
    </row>
    <row customHeight="1" ht="14.625" hidden="1">
      <c r="A100" s="1297"/>
      <c r="B100" s="986"/>
      <c r="C100" s="103"/>
      <c r="D100" s="103"/>
      <c r="E100" s="626">
        <v>15</v>
      </c>
      <c r="F100" s="50" cm="1" t="str">
        <f t="array" ref="F100:F100">OFFSET(E100,-1,1)</f>
        <v>0</v>
      </c>
      <c r="G100" s="929">
        <v>8</v>
      </c>
      <c r="H100" s="103"/>
      <c r="I100" s="103" t="s">
        <v>2331</v>
      </c>
      <c r="J100" s="103"/>
      <c r="K100" s="103" t="s">
        <v>2331</v>
      </c>
      <c r="L100" s="988"/>
      <c r="M100" s="103"/>
      <c r="N100" s="103"/>
      <c r="O100" s="103"/>
      <c r="P100" s="103"/>
      <c r="Q100" s="103"/>
      <c r="R100" s="103"/>
      <c r="S100" s="103"/>
      <c r="T100" s="468" cm="1" t="str">
        <f t="array" ref="T100:T100">T99</f>
        <v>false</v>
      </c>
      <c r="U100" s="103"/>
      <c r="V100" s="103"/>
      <c r="W100" s="103"/>
      <c r="X100" s="1559"/>
      <c r="Y100" s="1297"/>
      <c r="Z100" s="1529"/>
      <c r="AA100" s="1297"/>
      <c r="AB100" s="296" t="s">
        <v>2332</v>
      </c>
      <c r="AC100" s="772" t="s">
        <v>2333</v>
      </c>
      <c r="AD100" s="296" t="s">
        <v>936</v>
      </c>
      <c r="AE100" s="1123">
        <f>_xlfn.SUMIFS(Налоги!AE$25:AE$83,Налоги!$F$25:$F$83,$F100,Налоги!$AB$25:$AB$83,$G100)</f>
        <v>0</v>
      </c>
      <c r="AF100" s="1123">
        <f>_xlfn.SUMIFS(Налоги!AF$25:AF$83,Налоги!$F$25:$F$83,$F100,Налоги!$AB$25:$AB$83,$G100)</f>
        <v>0</v>
      </c>
      <c r="AG100" s="1123">
        <f>_xlfn.SUMIFS(Налоги!AG$25:AG$83,Налоги!$F$25:$F$83,$F100,Налоги!$AB$25:$AB$83,$G100)</f>
        <v>0</v>
      </c>
      <c r="AH100" s="1123">
        <f>AG100-AF100</f>
        <v>0</v>
      </c>
      <c r="AI100" s="1123">
        <f>_xlfn.SUMIFS(Налоги!AH$25:AH$83,Налоги!$F$25:$F$83,$F100,Налоги!$AB$25:$AB$83,$G100)</f>
        <v>0</v>
      </c>
      <c r="AJ100" s="1123">
        <f>_xlfn.SUMIFS(Налоги!AI$25:AI$83,Налоги!$F$25:$F$83,$F100,Налоги!$AB$25:$AB$83,$G100)</f>
        <v>0</v>
      </c>
      <c r="AK100" s="1123">
        <f>_xlfn.SUMIFS(Налоги!AJ$25:AJ$83,Налоги!$F$25:$F$83,$F100,Налоги!$AB$25:$AB$83,$G100)</f>
        <v>0</v>
      </c>
      <c r="AL100" s="1123">
        <f>_xlfn.SUMIFS(Налоги!AK$25:AK$83,Налоги!$F$25:$F$83,$F100,Налоги!$AB$25:$AB$83,$G100)</f>
        <v>0</v>
      </c>
      <c r="AM100" s="1123">
        <f>_xlfn.SUMIFS(Налоги!AL$25:AL$83,Налоги!$F$25:$F$83,$F100,Налоги!$AB$25:$AB$83,$G100)</f>
        <v>0</v>
      </c>
      <c r="AN100" s="1123">
        <f>_xlfn.SUMIFS(Налоги!AM$25:AM$83,Налоги!$F$25:$F$83,$F100,Налоги!$AB$25:$AB$83,$G100)</f>
        <v>0</v>
      </c>
      <c r="AO100" s="1123">
        <f>_xlfn.SUMIFS(Налоги!AN$25:AN$83,Налоги!$F$25:$F$83,$F100,Налоги!$AB$25:$AB$83,$G100)</f>
        <v>0</v>
      </c>
      <c r="AP100" s="1123">
        <f>_xlfn.SUMIFS(Налоги!AO$25:AO$83,Налоги!$F$25:$F$83,$F100,Налоги!$AB$25:$AB$83,$G100)</f>
        <v>0</v>
      </c>
      <c r="AQ100" s="1123">
        <f>_xlfn.SUMIFS(Налоги!AP$25:AP$83,Налоги!$F$25:$F$83,$F100,Налоги!$AB$25:$AB$83,$G100)</f>
        <v>0</v>
      </c>
      <c r="AR100" s="1123">
        <f>_xlfn.SUMIFS(Налоги!AQ$25:AQ$83,Налоги!$F$25:$F$83,$F100,Налоги!$AB$25:$AB$83,$G100)</f>
        <v>0</v>
      </c>
      <c r="AS100" s="1123">
        <f>_xlfn.SUMIFS(Налоги!AR$25:AR$83,Налоги!$F$25:$F$83,$F100,Налоги!$AB$25:$AB$83,$G100)</f>
        <v>0</v>
      </c>
      <c r="AT100" s="1123">
        <f>_xlfn.SUMIFS(Налоги!AS$25:AS$83,Налоги!$F$25:$F$83,$F100,Налоги!$AB$25:$AB$83,$G100)</f>
        <v>0</v>
      </c>
      <c r="AU100" s="1123">
        <f>_xlfn.SUMIFS(Налоги!AT$25:AT$83,Налоги!$F$25:$F$83,$F100,Налоги!$AB$25:$AB$83,$G100)</f>
        <v>0</v>
      </c>
      <c r="AV100" s="1123">
        <f>_xlfn.SUMIFS(Налоги!AU$25:AU$83,Налоги!$F$25:$F$83,$F100,Налоги!$AB$25:$AB$83,$G100)</f>
        <v>0</v>
      </c>
      <c r="AW100" s="1123">
        <f>_xlfn.SUMIFS(Налоги!AV$25:AV$83,Налоги!$F$25:$F$83,$F100,Налоги!$AB$25:$AB$83,$G100)</f>
        <v>0</v>
      </c>
      <c r="AX100" s="1123">
        <f>_xlfn.SUMIFS(Налоги!AW$25:AW$83,Налоги!$F$25:$F$83,$F100,Налоги!$AB$25:$AB$83,$G100)</f>
        <v>0</v>
      </c>
      <c r="AY100" s="1123">
        <f>_xlfn.SUMIFS(Налоги!AX$25:AX$83,Налоги!$F$25:$F$83,$F100,Налоги!$AB$25:$AB$83,$G100)</f>
        <v>0</v>
      </c>
      <c r="AZ100" s="1123">
        <f>_xlfn.SUMIFS(Налоги!AY$25:AY$83,Налоги!$F$25:$F$83,$F100,Налоги!$AB$25:$AB$83,$G100)</f>
        <v>0</v>
      </c>
      <c r="BA100" s="1123">
        <f>_xlfn.SUMIFS(Налоги!AZ$25:AZ$83,Налоги!$F$25:$F$83,$F100,Налоги!$AB$25:$AB$83,$G100)</f>
        <v>0</v>
      </c>
      <c r="BB100" s="1123">
        <f>_xlfn.SUMIFS(Налоги!BA$25:BA$83,Налоги!$F$25:$F$83,$F100,Налоги!$AB$25:$AB$83,$G100)</f>
        <v>0</v>
      </c>
      <c r="BC100" s="1123">
        <f>_xlfn.SUMIFS(Налоги!BB$25:BB$83,Налоги!$F$25:$F$83,$F100,Налоги!$AB$25:$AB$83,$G100)</f>
        <v>0</v>
      </c>
      <c r="BD100" s="1123">
        <f>IF(AI100=0,0,(AT100-AI100)/AI100*100)</f>
        <v>0</v>
      </c>
      <c r="BE100" s="1123">
        <f>IF(AT100=0,0,(AU100-AT100)/AT100*100)</f>
        <v>0</v>
      </c>
      <c r="BF100" s="1123">
        <f>IF(AU100=0,0,(AV100-AU100)/AU100*100)</f>
        <v>0</v>
      </c>
      <c r="BG100" s="1123">
        <f>IF(AV100=0,0,(AW100-AV100)/AV100*100)</f>
        <v>0</v>
      </c>
      <c r="BH100" s="1123">
        <f>IF(AW100=0,0,(AX100-AW100)/AW100*100)</f>
        <v>0</v>
      </c>
      <c r="BI100" s="1123">
        <f>IF(AX100=0,0,(AY100-AX100)/AX100*100)</f>
        <v>0</v>
      </c>
      <c r="BJ100" s="1123">
        <f>IF(AY100=0,0,(AZ100-AY100)/AY100*100)</f>
        <v>0</v>
      </c>
      <c r="BK100" s="1123">
        <f>IF(AZ100=0,0,(BA100-AZ100)/AZ100*100)</f>
        <v>0</v>
      </c>
      <c r="BL100" s="1123">
        <f>IF(BA100=0,0,(BB100-BA100)/BA100*100)</f>
        <v>0</v>
      </c>
      <c r="BM100" s="1123">
        <f>IF(BB100=0,0,(BC100-BB100)/BB100*100)</f>
        <v>0</v>
      </c>
      <c r="BN100" s="1257"/>
      <c r="BO100" s="1261" t="str">
        <f>IF(_xlfn.IFERROR(INDEX(Налоги!$K$26:$L$83,MATCH($F100&amp;"8komm",Налоги!$K$26:$K$83,0),2),"")=0,"",_xlfn.IFERROR(INDEX(Налоги!$K$26:$L$83,MATCH($F100&amp;"8komm",Налоги!$K$26:$K$83,0),2),""))</f>
        <v/>
      </c>
      <c r="BP100" s="1257"/>
      <c r="BQ100" s="1297"/>
      <c r="BR100" s="1297"/>
      <c r="BS100" s="1072" t="s">
        <v>1482</v>
      </c>
      <c r="BT100" s="1072"/>
      <c r="BU100" s="1072"/>
      <c r="BV100" s="987"/>
      <c r="BW100" s="987"/>
    </row>
    <row s="1252" customFormat="1" customHeight="1" ht="14.625" hidden="1">
      <c r="A101" s="1252"/>
      <c r="B101" s="760"/>
      <c r="C101" s="103"/>
      <c r="D101" s="103"/>
      <c r="E101" s="626">
        <v>15</v>
      </c>
      <c r="F101" s="50" cm="1" t="str">
        <f t="array" ref="F101:F101">OFFSET(E101,-1,1)</f>
        <v>0</v>
      </c>
      <c r="G101" s="929">
        <v>9</v>
      </c>
      <c r="H101" s="103"/>
      <c r="I101" s="103"/>
      <c r="J101" s="103"/>
      <c r="K101" s="103"/>
      <c r="L101" s="988"/>
      <c r="M101" s="103"/>
      <c r="N101" s="103"/>
      <c r="O101" s="103"/>
      <c r="P101" s="103"/>
      <c r="Q101" s="103"/>
      <c r="R101" s="103"/>
      <c r="S101" s="103"/>
      <c r="T101" s="468" cm="1" t="str">
        <f t="array" ref="T101:T101">T100</f>
        <v>false</v>
      </c>
      <c r="U101" s="103"/>
      <c r="V101" s="103"/>
      <c r="W101" s="103"/>
      <c r="X101" s="1559"/>
      <c r="Y101" s="1252"/>
      <c r="Z101" s="1529"/>
      <c r="AA101" s="1252"/>
      <c r="AB101" s="296" t="s">
        <v>2334</v>
      </c>
      <c r="AC101" s="787" t="s">
        <v>2335</v>
      </c>
      <c r="AD101" s="296" t="s">
        <v>936</v>
      </c>
      <c r="AE101" s="1123">
        <f>_xlfn.SUMIFS(Налоги!AE$25:AE$83,Налоги!$F$25:$F$83,$F101,Налоги!$AB$25:$AB$83,$G101)</f>
        <v>0</v>
      </c>
      <c r="AF101" s="1123">
        <f>_xlfn.SUMIFS(Налоги!AF$25:AF$83,Налоги!$F$25:$F$83,$F101,Налоги!$AB$25:$AB$83,$G101)</f>
        <v>0</v>
      </c>
      <c r="AG101" s="1123">
        <f>_xlfn.SUMIFS(Налоги!AG$25:AG$83,Налоги!$F$25:$F$83,$F101,Налоги!$AB$25:$AB$83,$G101)</f>
        <v>0</v>
      </c>
      <c r="AH101" s="1123">
        <f>AG101-AF101</f>
        <v>0</v>
      </c>
      <c r="AI101" s="1123">
        <f>_xlfn.SUMIFS(Налоги!AH$25:AH$83,Налоги!$F$25:$F$83,$F101,Налоги!$AB$25:$AB$83,$G101)</f>
        <v>0</v>
      </c>
      <c r="AJ101" s="1123">
        <f>_xlfn.SUMIFS(Налоги!AI$25:AI$83,Налоги!$F$25:$F$83,$F101,Налоги!$AB$25:$AB$83,$G101)</f>
        <v>0</v>
      </c>
      <c r="AK101" s="1123">
        <f>_xlfn.SUMIFS(Налоги!AJ$25:AJ$83,Налоги!$F$25:$F$83,$F101,Налоги!$AB$25:$AB$83,$G101)</f>
        <v>0</v>
      </c>
      <c r="AL101" s="1123">
        <f>_xlfn.SUMIFS(Налоги!AK$25:AK$83,Налоги!$F$25:$F$83,$F101,Налоги!$AB$25:$AB$83,$G101)</f>
        <v>0</v>
      </c>
      <c r="AM101" s="1123">
        <f>_xlfn.SUMIFS(Налоги!AL$25:AL$83,Налоги!$F$25:$F$83,$F101,Налоги!$AB$25:$AB$83,$G101)</f>
        <v>0</v>
      </c>
      <c r="AN101" s="1123">
        <f>_xlfn.SUMIFS(Налоги!AM$25:AM$83,Налоги!$F$25:$F$83,$F101,Налоги!$AB$25:$AB$83,$G101)</f>
        <v>0</v>
      </c>
      <c r="AO101" s="1123">
        <f>_xlfn.SUMIFS(Налоги!AN$25:AN$83,Налоги!$F$25:$F$83,$F101,Налоги!$AB$25:$AB$83,$G101)</f>
        <v>0</v>
      </c>
      <c r="AP101" s="1123">
        <f>_xlfn.SUMIFS(Налоги!AO$25:AO$83,Налоги!$F$25:$F$83,$F101,Налоги!$AB$25:$AB$83,$G101)</f>
        <v>0</v>
      </c>
      <c r="AQ101" s="1123">
        <f>_xlfn.SUMIFS(Налоги!AP$25:AP$83,Налоги!$F$25:$F$83,$F101,Налоги!$AB$25:$AB$83,$G101)</f>
        <v>0</v>
      </c>
      <c r="AR101" s="1123">
        <f>_xlfn.SUMIFS(Налоги!AQ$25:AQ$83,Налоги!$F$25:$F$83,$F101,Налоги!$AB$25:$AB$83,$G101)</f>
        <v>0</v>
      </c>
      <c r="AS101" s="1123">
        <f>_xlfn.SUMIFS(Налоги!AR$25:AR$83,Налоги!$F$25:$F$83,$F101,Налоги!$AB$25:$AB$83,$G101)</f>
        <v>0</v>
      </c>
      <c r="AT101" s="1123">
        <f>_xlfn.SUMIFS(Налоги!AS$25:AS$83,Налоги!$F$25:$F$83,$F101,Налоги!$AB$25:$AB$83,$G101)</f>
        <v>0</v>
      </c>
      <c r="AU101" s="1123">
        <f>_xlfn.SUMIFS(Налоги!AT$25:AT$83,Налоги!$F$25:$F$83,$F101,Налоги!$AB$25:$AB$83,$G101)</f>
        <v>0</v>
      </c>
      <c r="AV101" s="1123">
        <f>_xlfn.SUMIFS(Налоги!AU$25:AU$83,Налоги!$F$25:$F$83,$F101,Налоги!$AB$25:$AB$83,$G101)</f>
        <v>0</v>
      </c>
      <c r="AW101" s="1123">
        <f>_xlfn.SUMIFS(Налоги!AV$25:AV$83,Налоги!$F$25:$F$83,$F101,Налоги!$AB$25:$AB$83,$G101)</f>
        <v>0</v>
      </c>
      <c r="AX101" s="1123">
        <f>_xlfn.SUMIFS(Налоги!AW$25:AW$83,Налоги!$F$25:$F$83,$F101,Налоги!$AB$25:$AB$83,$G101)</f>
        <v>0</v>
      </c>
      <c r="AY101" s="1123">
        <f>_xlfn.SUMIFS(Налоги!AX$25:AX$83,Налоги!$F$25:$F$83,$F101,Налоги!$AB$25:$AB$83,$G101)</f>
        <v>0</v>
      </c>
      <c r="AZ101" s="1123">
        <f>_xlfn.SUMIFS(Налоги!AY$25:AY$83,Налоги!$F$25:$F$83,$F101,Налоги!$AB$25:$AB$83,$G101)</f>
        <v>0</v>
      </c>
      <c r="BA101" s="1123">
        <f>_xlfn.SUMIFS(Налоги!AZ$25:AZ$83,Налоги!$F$25:$F$83,$F101,Налоги!$AB$25:$AB$83,$G101)</f>
        <v>0</v>
      </c>
      <c r="BB101" s="1123">
        <f>_xlfn.SUMIFS(Налоги!BA$25:BA$83,Налоги!$F$25:$F$83,$F101,Налоги!$AB$25:$AB$83,$G101)</f>
        <v>0</v>
      </c>
      <c r="BC101" s="1123">
        <f>_xlfn.SUMIFS(Налоги!BB$25:BB$83,Налоги!$F$25:$F$83,$F101,Налоги!$AB$25:$AB$83,$G101)</f>
        <v>0</v>
      </c>
      <c r="BD101" s="1123">
        <f>IF(AI101=0,0,(AT101-AI101)/AI101*100)</f>
        <v>0</v>
      </c>
      <c r="BE101" s="1123">
        <f>IF(AT101=0,0,(AU101-AT101)/AT101*100)</f>
        <v>0</v>
      </c>
      <c r="BF101" s="1123">
        <f>IF(AU101=0,0,(AV101-AU101)/AU101*100)</f>
        <v>0</v>
      </c>
      <c r="BG101" s="1123">
        <f>IF(AV101=0,0,(AW101-AV101)/AV101*100)</f>
        <v>0</v>
      </c>
      <c r="BH101" s="1123">
        <f>IF(AW101=0,0,(AX101-AW101)/AW101*100)</f>
        <v>0</v>
      </c>
      <c r="BI101" s="1123">
        <f>IF(AX101=0,0,(AY101-AX101)/AX101*100)</f>
        <v>0</v>
      </c>
      <c r="BJ101" s="1123">
        <f>IF(AY101=0,0,(AZ101-AY101)/AY101*100)</f>
        <v>0</v>
      </c>
      <c r="BK101" s="1123">
        <f>IF(AZ101=0,0,(BA101-AZ101)/AZ101*100)</f>
        <v>0</v>
      </c>
      <c r="BL101" s="1123">
        <f>IF(BA101=0,0,(BB101-BA101)/BA101*100)</f>
        <v>0</v>
      </c>
      <c r="BM101" s="1123">
        <f>IF(BB101=0,0,(BC101-BB101)/BB101*100)</f>
        <v>0</v>
      </c>
      <c r="BN101" s="1257"/>
      <c r="BO101" s="1261" t="str">
        <f>IF(_xlfn.IFERROR(INDEX(Налоги!$K$26:$L$83,MATCH($F101&amp;"9komm",Налоги!$K$26:$K$83,0),2),"")=0,"",_xlfn.IFERROR(INDEX(Налоги!$K$26:$L$83,MATCH($F101&amp;"9komm",Налоги!$K$26:$K$83,0),2),""))</f>
        <v/>
      </c>
      <c r="BP101" s="1257"/>
      <c r="BQ101" s="1252"/>
      <c r="BR101" s="1252"/>
      <c r="BS101" s="1079" t="s">
        <v>2336</v>
      </c>
      <c r="BT101" s="1079"/>
      <c r="BU101" s="1079"/>
      <c r="BV101" s="1080"/>
      <c r="BW101" s="1080"/>
    </row>
    <row customHeight="1" ht="14.625" hidden="1">
      <c r="A102" s="1297"/>
      <c r="B102" s="986"/>
      <c r="C102" s="103"/>
      <c r="D102" s="103"/>
      <c r="E102" s="626">
        <v>15</v>
      </c>
      <c r="F102" s="50" cm="1" t="str">
        <f t="array" ref="F102:F102">OFFSET(E102,-1,1)</f>
        <v>0</v>
      </c>
      <c r="G102" s="929">
        <v>10</v>
      </c>
      <c r="H102" s="103"/>
      <c r="I102" s="103" t="s">
        <v>2337</v>
      </c>
      <c r="J102" s="103"/>
      <c r="K102" s="103" t="s">
        <v>2337</v>
      </c>
      <c r="L102" s="988"/>
      <c r="M102" s="103"/>
      <c r="N102" s="103"/>
      <c r="O102" s="103"/>
      <c r="P102" s="103"/>
      <c r="Q102" s="103"/>
      <c r="R102" s="103"/>
      <c r="S102" s="103"/>
      <c r="T102" s="468" cm="1" t="str">
        <f t="array" ref="T102:T102">T101</f>
        <v>false</v>
      </c>
      <c r="U102" s="103"/>
      <c r="V102" s="103"/>
      <c r="W102" s="103"/>
      <c r="X102" s="1559"/>
      <c r="Y102" s="1297"/>
      <c r="Z102" s="1529"/>
      <c r="AA102" s="1297"/>
      <c r="AB102" s="296" t="s">
        <v>2338</v>
      </c>
      <c r="AC102" s="788" t="s">
        <v>2339</v>
      </c>
      <c r="AD102" s="296" t="s">
        <v>936</v>
      </c>
      <c r="AE102" s="1123">
        <f>_xlfn.SUMIFS(Налоги!AE$25:AE$83,Налоги!$F$25:$F$83,$F102,Налоги!$AB$25:$AB$83,$G102)</f>
        <v>0</v>
      </c>
      <c r="AF102" s="1123">
        <f>_xlfn.SUMIFS(Налоги!AF$25:AF$83,Налоги!$F$25:$F$83,$F102,Налоги!$AB$25:$AB$83,$G102)</f>
        <v>0</v>
      </c>
      <c r="AG102" s="1123">
        <f>_xlfn.SUMIFS(Налоги!AG$25:AG$83,Налоги!$F$25:$F$83,$F102,Налоги!$AB$25:$AB$83,$G102)</f>
        <v>0</v>
      </c>
      <c r="AH102" s="1123">
        <f>AG102-AF102</f>
        <v>0</v>
      </c>
      <c r="AI102" s="1123">
        <f>_xlfn.SUMIFS(Налоги!AH$25:AH$83,Налоги!$F$25:$F$83,$F102,Налоги!$AB$25:$AB$83,$G102)</f>
        <v>0</v>
      </c>
      <c r="AJ102" s="1123">
        <f>_xlfn.SUMIFS(Налоги!AI$25:AI$83,Налоги!$F$25:$F$83,$F102,Налоги!$AB$25:$AB$83,$G102)</f>
        <v>0</v>
      </c>
      <c r="AK102" s="1123">
        <f>_xlfn.SUMIFS(Налоги!AJ$25:AJ$83,Налоги!$F$25:$F$83,$F102,Налоги!$AB$25:$AB$83,$G102)</f>
        <v>0</v>
      </c>
      <c r="AL102" s="1123">
        <f>_xlfn.SUMIFS(Налоги!AK$25:AK$83,Налоги!$F$25:$F$83,$F102,Налоги!$AB$25:$AB$83,$G102)</f>
        <v>0</v>
      </c>
      <c r="AM102" s="1123">
        <f>_xlfn.SUMIFS(Налоги!AL$25:AL$83,Налоги!$F$25:$F$83,$F102,Налоги!$AB$25:$AB$83,$G102)</f>
        <v>0</v>
      </c>
      <c r="AN102" s="1123">
        <f>_xlfn.SUMIFS(Налоги!AM$25:AM$83,Налоги!$F$25:$F$83,$F102,Налоги!$AB$25:$AB$83,$G102)</f>
        <v>0</v>
      </c>
      <c r="AO102" s="1123">
        <f>_xlfn.SUMIFS(Налоги!AN$25:AN$83,Налоги!$F$25:$F$83,$F102,Налоги!$AB$25:$AB$83,$G102)</f>
        <v>0</v>
      </c>
      <c r="AP102" s="1123">
        <f>_xlfn.SUMIFS(Налоги!AO$25:AO$83,Налоги!$F$25:$F$83,$F102,Налоги!$AB$25:$AB$83,$G102)</f>
        <v>0</v>
      </c>
      <c r="AQ102" s="1123">
        <f>_xlfn.SUMIFS(Налоги!AP$25:AP$83,Налоги!$F$25:$F$83,$F102,Налоги!$AB$25:$AB$83,$G102)</f>
        <v>0</v>
      </c>
      <c r="AR102" s="1123">
        <f>_xlfn.SUMIFS(Налоги!AQ$25:AQ$83,Налоги!$F$25:$F$83,$F102,Налоги!$AB$25:$AB$83,$G102)</f>
        <v>0</v>
      </c>
      <c r="AS102" s="1123">
        <f>_xlfn.SUMIFS(Налоги!AR$25:AR$83,Налоги!$F$25:$F$83,$F102,Налоги!$AB$25:$AB$83,$G102)</f>
        <v>0</v>
      </c>
      <c r="AT102" s="1123">
        <f>_xlfn.SUMIFS(Налоги!AS$25:AS$83,Налоги!$F$25:$F$83,$F102,Налоги!$AB$25:$AB$83,$G102)</f>
        <v>0</v>
      </c>
      <c r="AU102" s="1123">
        <f>_xlfn.SUMIFS(Налоги!AT$25:AT$83,Налоги!$F$25:$F$83,$F102,Налоги!$AB$25:$AB$83,$G102)</f>
        <v>0</v>
      </c>
      <c r="AV102" s="1123">
        <f>_xlfn.SUMIFS(Налоги!AU$25:AU$83,Налоги!$F$25:$F$83,$F102,Налоги!$AB$25:$AB$83,$G102)</f>
        <v>0</v>
      </c>
      <c r="AW102" s="1123">
        <f>_xlfn.SUMIFS(Налоги!AV$25:AV$83,Налоги!$F$25:$F$83,$F102,Налоги!$AB$25:$AB$83,$G102)</f>
        <v>0</v>
      </c>
      <c r="AX102" s="1123">
        <f>_xlfn.SUMIFS(Налоги!AW$25:AW$83,Налоги!$F$25:$F$83,$F102,Налоги!$AB$25:$AB$83,$G102)</f>
        <v>0</v>
      </c>
      <c r="AY102" s="1123">
        <f>_xlfn.SUMIFS(Налоги!AX$25:AX$83,Налоги!$F$25:$F$83,$F102,Налоги!$AB$25:$AB$83,$G102)</f>
        <v>0</v>
      </c>
      <c r="AZ102" s="1123">
        <f>_xlfn.SUMIFS(Налоги!AY$25:AY$83,Налоги!$F$25:$F$83,$F102,Налоги!$AB$25:$AB$83,$G102)</f>
        <v>0</v>
      </c>
      <c r="BA102" s="1123">
        <f>_xlfn.SUMIFS(Налоги!AZ$25:AZ$83,Налоги!$F$25:$F$83,$F102,Налоги!$AB$25:$AB$83,$G102)</f>
        <v>0</v>
      </c>
      <c r="BB102" s="1123">
        <f>_xlfn.SUMIFS(Налоги!BA$25:BA$83,Налоги!$F$25:$F$83,$F102,Налоги!$AB$25:$AB$83,$G102)</f>
        <v>0</v>
      </c>
      <c r="BC102" s="1123">
        <f>_xlfn.SUMIFS(Налоги!BB$25:BB$83,Налоги!$F$25:$F$83,$F102,Налоги!$AB$25:$AB$83,$G102)</f>
        <v>0</v>
      </c>
      <c r="BD102" s="1123">
        <f>IF(AI102=0,0,(AT102-AI102)/AI102*100)</f>
        <v>0</v>
      </c>
      <c r="BE102" s="1123">
        <f>IF(AT102=0,0,(AU102-AT102)/AT102*100)</f>
        <v>0</v>
      </c>
      <c r="BF102" s="1123">
        <f>IF(AU102=0,0,(AV102-AU102)/AU102*100)</f>
        <v>0</v>
      </c>
      <c r="BG102" s="1123">
        <f>IF(AV102=0,0,(AW102-AV102)/AV102*100)</f>
        <v>0</v>
      </c>
      <c r="BH102" s="1123">
        <f>IF(AW102=0,0,(AX102-AW102)/AW102*100)</f>
        <v>0</v>
      </c>
      <c r="BI102" s="1123">
        <f>IF(AX102=0,0,(AY102-AX102)/AX102*100)</f>
        <v>0</v>
      </c>
      <c r="BJ102" s="1123">
        <f>IF(AY102=0,0,(AZ102-AY102)/AY102*100)</f>
        <v>0</v>
      </c>
      <c r="BK102" s="1123">
        <f>IF(AZ102=0,0,(BA102-AZ102)/AZ102*100)</f>
        <v>0</v>
      </c>
      <c r="BL102" s="1123">
        <f>IF(BA102=0,0,(BB102-BA102)/BA102*100)</f>
        <v>0</v>
      </c>
      <c r="BM102" s="1123">
        <f>IF(BB102=0,0,(BC102-BB102)/BB102*100)</f>
        <v>0</v>
      </c>
      <c r="BN102" s="1257"/>
      <c r="BO102" s="1261" t="str">
        <f>IF(_xlfn.IFERROR(INDEX(Налоги!$K$26:$L$83,MATCH($F102&amp;"10komm",Налоги!$K$26:$K$83,0),2),"")=0,"",_xlfn.IFERROR(INDEX(Налоги!$K$26:$L$83,MATCH($F102&amp;"10komm",Налоги!$K$26:$K$83,0),2),""))</f>
        <v/>
      </c>
      <c r="BP102" s="1257"/>
      <c r="BQ102" s="1297"/>
      <c r="BR102" s="1297"/>
      <c r="BS102" s="1072" t="s">
        <v>2340</v>
      </c>
      <c r="BT102" s="1072"/>
      <c r="BU102" s="1072"/>
      <c r="BV102" s="987"/>
      <c r="BW102" s="987"/>
    </row>
    <row customHeight="1" ht="65.8125" hidden="1">
      <c r="A103" s="1297"/>
      <c r="B103" s="986"/>
      <c r="C103" s="103"/>
      <c r="D103" s="103"/>
      <c r="E103" s="626">
        <v>67.5</v>
      </c>
      <c r="F103" s="50" cm="1" t="str">
        <f t="array" ref="F103:F103">OFFSET(E103,-1,1)</f>
        <v>0</v>
      </c>
      <c r="G103" s="103" t="s">
        <v>1670</v>
      </c>
      <c r="H103" s="103"/>
      <c r="I103" s="103" t="s">
        <v>1089</v>
      </c>
      <c r="J103" s="103"/>
      <c r="K103" s="154" t="s">
        <v>1089</v>
      </c>
      <c r="L103" s="988"/>
      <c r="M103" s="103"/>
      <c r="N103" s="103"/>
      <c r="O103" s="103"/>
      <c r="P103" s="103"/>
      <c r="Q103" s="103"/>
      <c r="R103" s="103"/>
      <c r="S103" s="103"/>
      <c r="T103" s="468" cm="1" t="str">
        <f t="array" ref="T103:T103">T102</f>
        <v>false</v>
      </c>
      <c r="U103" s="103"/>
      <c r="V103" s="103"/>
      <c r="W103" s="103"/>
      <c r="X103" s="1559"/>
      <c r="Y103" s="1297"/>
      <c r="Z103" s="1529"/>
      <c r="AA103" s="1297"/>
      <c r="AB103" s="296" t="s">
        <v>1090</v>
      </c>
      <c r="AC103" s="789" t="s">
        <v>1673</v>
      </c>
      <c r="AD103" s="296" t="s">
        <v>936</v>
      </c>
      <c r="AE103" s="1263"/>
      <c r="AF103" s="1263"/>
      <c r="AG103" s="1263"/>
      <c r="AH103" s="1123">
        <f>AG103-AF103</f>
        <v>0</v>
      </c>
      <c r="AI103" s="1263"/>
      <c r="AJ103" s="1263"/>
      <c r="AK103" s="1263"/>
      <c r="AL103" s="1263"/>
      <c r="AM103" s="1263"/>
      <c r="AN103" s="1263"/>
      <c r="AO103" s="1263"/>
      <c r="AP103" s="1263"/>
      <c r="AQ103" s="1263"/>
      <c r="AR103" s="1263"/>
      <c r="AS103" s="1263"/>
      <c r="AT103" s="1263"/>
      <c r="AU103" s="1263"/>
      <c r="AV103" s="1263"/>
      <c r="AW103" s="1263"/>
      <c r="AX103" s="1263"/>
      <c r="AY103" s="1263"/>
      <c r="AZ103" s="1263"/>
      <c r="BA103" s="1263"/>
      <c r="BB103" s="1263"/>
      <c r="BC103" s="1263"/>
      <c r="BD103" s="1123">
        <f>IF(AI103=0,0,(AT103-AI103)/AI103*100)</f>
        <v>0</v>
      </c>
      <c r="BE103" s="1123">
        <f>IF(AT103=0,0,(AU103-AT103)/AT103*100)</f>
        <v>0</v>
      </c>
      <c r="BF103" s="1123">
        <f>IF(AU103=0,0,(AV103-AU103)/AU103*100)</f>
        <v>0</v>
      </c>
      <c r="BG103" s="1123">
        <f>IF(AV103=0,0,(AW103-AV103)/AV103*100)</f>
        <v>0</v>
      </c>
      <c r="BH103" s="1123">
        <f>IF(AW103=0,0,(AX103-AW103)/AW103*100)</f>
        <v>0</v>
      </c>
      <c r="BI103" s="1123">
        <f>IF(AX103=0,0,(AY103-AX103)/AX103*100)</f>
        <v>0</v>
      </c>
      <c r="BJ103" s="1123">
        <f>IF(AY103=0,0,(AZ103-AY103)/AY103*100)</f>
        <v>0</v>
      </c>
      <c r="BK103" s="1123">
        <f>IF(AZ103=0,0,(BA103-AZ103)/AZ103*100)</f>
        <v>0</v>
      </c>
      <c r="BL103" s="1123">
        <f>IF(BA103=0,0,(BB103-BA103)/BA103*100)</f>
        <v>0</v>
      </c>
      <c r="BM103" s="1123">
        <f>IF(BB103=0,0,(BC103-BB103)/BB103*100)</f>
        <v>0</v>
      </c>
      <c r="BN103" s="1257"/>
      <c r="BO103" s="1257"/>
      <c r="BP103" s="1257"/>
      <c r="BQ103" s="1297"/>
      <c r="BR103" s="1297"/>
      <c r="BS103" s="1072" t="s">
        <v>2341</v>
      </c>
      <c r="BT103" s="1072"/>
      <c r="BU103" s="1072"/>
      <c r="BV103" s="987"/>
      <c r="BW103" s="987"/>
    </row>
    <row customHeight="1" ht="14.625" hidden="1">
      <c r="A104" s="1297"/>
      <c r="B104" s="986"/>
      <c r="C104" s="103"/>
      <c r="D104" s="103"/>
      <c r="E104" s="626">
        <v>15</v>
      </c>
      <c r="F104" s="50" cm="1" t="str">
        <f t="array" ref="F104:F104">OFFSET(E104,-1,1)</f>
        <v>0</v>
      </c>
      <c r="G104" s="103" t="s">
        <v>1192</v>
      </c>
      <c r="H104" s="103"/>
      <c r="I104" s="103" t="s">
        <v>1092</v>
      </c>
      <c r="J104" s="103"/>
      <c r="K104" s="154" t="s">
        <v>1092</v>
      </c>
      <c r="L104" s="988" t="s">
        <v>616</v>
      </c>
      <c r="M104" s="103"/>
      <c r="N104" s="103"/>
      <c r="O104" s="103"/>
      <c r="P104" s="103"/>
      <c r="Q104" s="103"/>
      <c r="R104" s="103"/>
      <c r="S104" s="103"/>
      <c r="T104" s="468" cm="1" t="str">
        <f t="array" ref="T104:T104">T103</f>
        <v>false</v>
      </c>
      <c r="U104" s="103"/>
      <c r="V104" s="103"/>
      <c r="W104" s="103"/>
      <c r="X104" s="1559"/>
      <c r="Y104" s="1297"/>
      <c r="Z104" s="1529"/>
      <c r="AA104" s="1297"/>
      <c r="AB104" s="296" t="s">
        <v>1093</v>
      </c>
      <c r="AC104" s="769" t="s">
        <v>1192</v>
      </c>
      <c r="AD104" s="296" t="s">
        <v>936</v>
      </c>
      <c r="AE104" s="1123">
        <f>_xlfn.SUMIFS(Аренда!AE$25:AE$67,Аренда!$F$25:$F$67,$F104,Аренда!$G$25:$G$67,"Арендная и концессионная плата, лизинговые платежи")</f>
        <v>0</v>
      </c>
      <c r="AF104" s="1123">
        <f>_xlfn.SUMIFS(Аренда!AF$25:AF$67,Аренда!$F$25:$F$67,$F104,Аренда!$G$25:$G$67,"Арендная и концессионная плата, лизинговые платежи")</f>
        <v>0</v>
      </c>
      <c r="AG104" s="1123">
        <f>_xlfn.SUMIFS(Аренда!AG$25:AG$67,Аренда!$F$25:$F$67,$F104,Аренда!$G$25:$G$67,"Арендная и концессионная плата, лизинговые платежи")</f>
        <v>0</v>
      </c>
      <c r="AH104" s="1123">
        <f>AG104-AF104</f>
        <v>0</v>
      </c>
      <c r="AI104" s="1123">
        <f>_xlfn.SUMIFS(Аренда!AH$25:AH$67,Аренда!$F$25:$F$67,$F104,Аренда!$G$25:$G$67,"Арендная и концессионная плата, лизинговые платежи")</f>
        <v>0</v>
      </c>
      <c r="AJ104" s="1123">
        <f>_xlfn.SUMIFS(Аренда!AI$25:AI$67,Аренда!$F$25:$F$67,$F104,Аренда!$G$25:$G$67,"Арендная и концессионная плата, лизинговые платежи")</f>
        <v>0</v>
      </c>
      <c r="AK104" s="1123">
        <f>_xlfn.SUMIFS(Аренда!AJ$25:AJ$67,Аренда!$F$25:$F$67,$F104,Аренда!$G$25:$G$67,"Арендная и концессионная плата, лизинговые платежи")</f>
        <v>0</v>
      </c>
      <c r="AL104" s="1123">
        <f>_xlfn.SUMIFS(Аренда!AK$25:AK$67,Аренда!$F$25:$F$67,$F104,Аренда!$G$25:$G$67,"Арендная и концессионная плата, лизинговые платежи")</f>
        <v>0</v>
      </c>
      <c r="AM104" s="1123">
        <f>_xlfn.SUMIFS(Аренда!AL$25:AL$67,Аренда!$F$25:$F$67,$F104,Аренда!$G$25:$G$67,"Арендная и концессионная плата, лизинговые платежи")</f>
        <v>0</v>
      </c>
      <c r="AN104" s="1123">
        <f>_xlfn.SUMIFS(Аренда!AM$25:AM$67,Аренда!$F$25:$F$67,$F104,Аренда!$G$25:$G$67,"Арендная и концессионная плата, лизинговые платежи")</f>
        <v>0</v>
      </c>
      <c r="AO104" s="1123">
        <f>_xlfn.SUMIFS(Аренда!AN$25:AN$67,Аренда!$F$25:$F$67,$F104,Аренда!$G$25:$G$67,"Арендная и концессионная плата, лизинговые платежи")</f>
        <v>0</v>
      </c>
      <c r="AP104" s="1123">
        <f>_xlfn.SUMIFS(Аренда!AO$25:AO$67,Аренда!$F$25:$F$67,$F104,Аренда!$G$25:$G$67,"Арендная и концессионная плата, лизинговые платежи")</f>
        <v>0</v>
      </c>
      <c r="AQ104" s="1123">
        <f>_xlfn.SUMIFS(Аренда!AP$25:AP$67,Аренда!$F$25:$F$67,$F104,Аренда!$G$25:$G$67,"Арендная и концессионная плата, лизинговые платежи")</f>
        <v>0</v>
      </c>
      <c r="AR104" s="1123">
        <f>_xlfn.SUMIFS(Аренда!AQ$25:AQ$67,Аренда!$F$25:$F$67,$F104,Аренда!$G$25:$G$67,"Арендная и концессионная плата, лизинговые платежи")</f>
        <v>0</v>
      </c>
      <c r="AS104" s="1123">
        <f>_xlfn.SUMIFS(Аренда!AR$25:AR$67,Аренда!$F$25:$F$67,$F104,Аренда!$G$25:$G$67,"Арендная и концессионная плата, лизинговые платежи")</f>
        <v>0</v>
      </c>
      <c r="AT104" s="1123">
        <f>_xlfn.SUMIFS(Аренда!AS$25:AS$67,Аренда!$F$25:$F$67,$F104,Аренда!$G$25:$G$67,"Арендная и концессионная плата, лизинговые платежи")</f>
        <v>0</v>
      </c>
      <c r="AU104" s="1123">
        <f>_xlfn.SUMIFS(Аренда!AT$25:AT$67,Аренда!$F$25:$F$67,$F104,Аренда!$G$25:$G$67,"Арендная и концессионная плата, лизинговые платежи")</f>
        <v>0</v>
      </c>
      <c r="AV104" s="1123">
        <f>_xlfn.SUMIFS(Аренда!AU$25:AU$67,Аренда!$F$25:$F$67,$F104,Аренда!$G$25:$G$67,"Арендная и концессионная плата, лизинговые платежи")</f>
        <v>0</v>
      </c>
      <c r="AW104" s="1123">
        <f>_xlfn.SUMIFS(Аренда!AV$25:AV$67,Аренда!$F$25:$F$67,$F104,Аренда!$G$25:$G$67,"Арендная и концессионная плата, лизинговые платежи")</f>
        <v>0</v>
      </c>
      <c r="AX104" s="1123">
        <f>_xlfn.SUMIFS(Аренда!AW$25:AW$67,Аренда!$F$25:$F$67,$F104,Аренда!$G$25:$G$67,"Арендная и концессионная плата, лизинговые платежи")</f>
        <v>0</v>
      </c>
      <c r="AY104" s="1123">
        <f>_xlfn.SUMIFS(Аренда!AX$25:AX$67,Аренда!$F$25:$F$67,$F104,Аренда!$G$25:$G$67,"Арендная и концессионная плата, лизинговые платежи")</f>
        <v>0</v>
      </c>
      <c r="AZ104" s="1123">
        <f>_xlfn.SUMIFS(Аренда!AY$25:AY$67,Аренда!$F$25:$F$67,$F104,Аренда!$G$25:$G$67,"Арендная и концессионная плата, лизинговые платежи")</f>
        <v>0</v>
      </c>
      <c r="BA104" s="1123">
        <f>_xlfn.SUMIFS(Аренда!AZ$25:AZ$67,Аренда!$F$25:$F$67,$F104,Аренда!$G$25:$G$67,"Арендная и концессионная плата, лизинговые платежи")</f>
        <v>0</v>
      </c>
      <c r="BB104" s="1123">
        <f>_xlfn.SUMIFS(Аренда!BA$25:BA$67,Аренда!$F$25:$F$67,$F104,Аренда!$G$25:$G$67,"Арендная и концессионная плата, лизинговые платежи")</f>
        <v>0</v>
      </c>
      <c r="BC104" s="1123">
        <f>_xlfn.SUMIFS(Аренда!BB$25:BB$67,Аренда!$F$25:$F$67,$F104,Аренда!$G$25:$G$67,"Арендная и концессионная плата, лизинговые платежи")</f>
        <v>0</v>
      </c>
      <c r="BD104" s="1123">
        <f>IF(AI104=0,0,(AT104-AI104)/AI104*100)</f>
        <v>0</v>
      </c>
      <c r="BE104" s="1123">
        <f>IF(AT104=0,0,(AU104-AT104)/AT104*100)</f>
        <v>0</v>
      </c>
      <c r="BF104" s="1123">
        <f>IF(AU104=0,0,(AV104-AU104)/AU104*100)</f>
        <v>0</v>
      </c>
      <c r="BG104" s="1123">
        <f>IF(AV104=0,0,(AW104-AV104)/AV104*100)</f>
        <v>0</v>
      </c>
      <c r="BH104" s="1123">
        <f>IF(AW104=0,0,(AX104-AW104)/AW104*100)</f>
        <v>0</v>
      </c>
      <c r="BI104" s="1123">
        <f>IF(AX104=0,0,(AY104-AX104)/AX104*100)</f>
        <v>0</v>
      </c>
      <c r="BJ104" s="1123">
        <f>IF(AY104=0,0,(AZ104-AY104)/AY104*100)</f>
        <v>0</v>
      </c>
      <c r="BK104" s="1123">
        <f>IF(AZ104=0,0,(BA104-AZ104)/AZ104*100)</f>
        <v>0</v>
      </c>
      <c r="BL104" s="1123">
        <f>IF(BA104=0,0,(BB104-BA104)/BA104*100)</f>
        <v>0</v>
      </c>
      <c r="BM104" s="1123">
        <f>IF(BB104=0,0,(BC104-BB104)/BB104*100)</f>
        <v>0</v>
      </c>
      <c r="BN104" s="1257"/>
      <c r="BO104" s="1264" t="str">
        <f>IF(_xlfn.IFERROR(INDEX(Аренда!$K$26:$L$67,MATCH($F104&amp;"komm",Аренда!$K$26:$K$67,0),2),"")=0,"",_xlfn.IFERROR(INDEX(Аренда!$K$26:$L$67,MATCH($F104&amp;"komm",Аренда!$K$26:$K$67,0),2),""))</f>
        <v/>
      </c>
      <c r="BP104" s="1257"/>
      <c r="BQ104" s="1297"/>
      <c r="BR104" s="1297"/>
      <c r="BS104" s="1072" t="s">
        <v>2342</v>
      </c>
      <c r="BT104" s="1072"/>
      <c r="BU104" s="1072"/>
      <c r="BV104" s="987"/>
      <c r="BW104" s="987"/>
    </row>
    <row customHeight="1" ht="14.625" hidden="1">
      <c r="A105" s="1297"/>
      <c r="B105" s="434">
        <f>STATUS_GO="да"</f>
        <v>0</v>
      </c>
      <c r="C105" s="103"/>
      <c r="D105" s="103"/>
      <c r="E105" s="626">
        <v>15</v>
      </c>
      <c r="F105" s="50" cm="1" t="str">
        <f t="array" ref="F105:F105">OFFSET(E105,-1,1)</f>
        <v>0</v>
      </c>
      <c r="G105" s="103"/>
      <c r="H105" s="103"/>
      <c r="I105" s="103" t="s">
        <v>2343</v>
      </c>
      <c r="J105" s="103"/>
      <c r="K105" s="154" t="s">
        <v>2343</v>
      </c>
      <c r="L105" s="988"/>
      <c r="M105" s="103"/>
      <c r="N105" s="103"/>
      <c r="O105" s="103"/>
      <c r="P105" s="103"/>
      <c r="Q105" s="103"/>
      <c r="R105" s="103"/>
      <c r="S105" s="103"/>
      <c r="T105" s="468" cm="1" t="str">
        <f t="array" ref="T105:T105">T104</f>
        <v>false</v>
      </c>
      <c r="U105" s="103"/>
      <c r="V105" s="103"/>
      <c r="W105" s="103"/>
      <c r="X105" s="1559"/>
      <c r="Y105" s="1297"/>
      <c r="Z105" s="1529"/>
      <c r="AA105" s="1297"/>
      <c r="AB105" s="296" t="s">
        <v>1737</v>
      </c>
      <c r="AC105" s="769" t="s">
        <v>2344</v>
      </c>
      <c r="AD105" s="296" t="s">
        <v>936</v>
      </c>
      <c r="AE105" s="1260" cm="1" t="str">
        <f t="array" ref="AE105:AE105">AE106</f>
        <v>0</v>
      </c>
      <c r="AF105" s="1260" cm="1" t="str">
        <f t="array" ref="AF105:AF105">AF106</f>
        <v>0</v>
      </c>
      <c r="AG105" s="1260" cm="1" t="str">
        <f t="array" ref="AG105:AG105">AG106</f>
        <v>0</v>
      </c>
      <c r="AH105" s="1123">
        <f>AG105-AF105</f>
        <v>0</v>
      </c>
      <c r="AI105" s="1260" cm="1" t="str">
        <f t="array" ref="AI105:AI105">AI106</f>
        <v>0</v>
      </c>
      <c r="AJ105" s="1260" cm="1" t="str">
        <f t="array" ref="AJ105:AJ105">AJ106</f>
        <v>0</v>
      </c>
      <c r="AK105" s="1260" cm="1" t="str">
        <f t="array" ref="AK105:AK105">AK106</f>
        <v>0</v>
      </c>
      <c r="AL105" s="1260" cm="1" t="str">
        <f t="array" ref="AL105:AL105">AL106</f>
        <v>0</v>
      </c>
      <c r="AM105" s="1260" cm="1" t="str">
        <f t="array" ref="AM105:AM105">AM106</f>
        <v>0</v>
      </c>
      <c r="AN105" s="1260" cm="1" t="str">
        <f t="array" ref="AN105:AN105">AN106</f>
        <v>0</v>
      </c>
      <c r="AO105" s="1260" cm="1" t="str">
        <f t="array" ref="AO105:AO105">AO106</f>
        <v>0</v>
      </c>
      <c r="AP105" s="1260" cm="1" t="str">
        <f t="array" ref="AP105:AP105">AP106</f>
        <v>0</v>
      </c>
      <c r="AQ105" s="1260" cm="1" t="str">
        <f t="array" ref="AQ105:AQ105">AQ106</f>
        <v>0</v>
      </c>
      <c r="AR105" s="1260" cm="1" t="str">
        <f t="array" ref="AR105:AR105">AR106</f>
        <v>0</v>
      </c>
      <c r="AS105" s="1260" cm="1" t="str">
        <f t="array" ref="AS105:AS105">AS106</f>
        <v>0</v>
      </c>
      <c r="AT105" s="1260" cm="1" t="str">
        <f t="array" ref="AT105:AT105">AT106</f>
        <v>0</v>
      </c>
      <c r="AU105" s="1260" cm="1" t="str">
        <f t="array" ref="AU105:AU105">AU106</f>
        <v>0</v>
      </c>
      <c r="AV105" s="1260" cm="1" t="str">
        <f t="array" ref="AV105:AV105">AV106</f>
        <v>0</v>
      </c>
      <c r="AW105" s="1260" cm="1" t="str">
        <f t="array" ref="AW105:AW105">AW106</f>
        <v>0</v>
      </c>
      <c r="AX105" s="1260" cm="1" t="str">
        <f t="array" ref="AX105:AX105">AX106</f>
        <v>0</v>
      </c>
      <c r="AY105" s="1260" cm="1" t="str">
        <f t="array" ref="AY105:AY105">AY106</f>
        <v>0</v>
      </c>
      <c r="AZ105" s="1260" cm="1" t="str">
        <f t="array" ref="AZ105:AZ105">AZ106</f>
        <v>0</v>
      </c>
      <c r="BA105" s="1260" cm="1" t="str">
        <f t="array" ref="BA105:BA105">BA106</f>
        <v>0</v>
      </c>
      <c r="BB105" s="1260" cm="1" t="str">
        <f t="array" ref="BB105:BB105">BB106</f>
        <v>0</v>
      </c>
      <c r="BC105" s="1260" cm="1" t="str">
        <f t="array" ref="BC105:BC105">BC106</f>
        <v>0</v>
      </c>
      <c r="BD105" s="1123">
        <f>IF(AI105=0,0,(AT105-AI105)/AI105*100)</f>
        <v>0</v>
      </c>
      <c r="BE105" s="1123">
        <f>IF(AT105=0,0,(AU105-AT105)/AT105*100)</f>
        <v>0</v>
      </c>
      <c r="BF105" s="1123">
        <f>IF(AU105=0,0,(AV105-AU105)/AU105*100)</f>
        <v>0</v>
      </c>
      <c r="BG105" s="1123">
        <f>IF(AV105=0,0,(AW105-AV105)/AV105*100)</f>
        <v>0</v>
      </c>
      <c r="BH105" s="1123">
        <f>IF(AW105=0,0,(AX105-AW105)/AW105*100)</f>
        <v>0</v>
      </c>
      <c r="BI105" s="1123">
        <f>IF(AX105=0,0,(AY105-AX105)/AX105*100)</f>
        <v>0</v>
      </c>
      <c r="BJ105" s="1123">
        <f>IF(AY105=0,0,(AZ105-AY105)/AY105*100)</f>
        <v>0</v>
      </c>
      <c r="BK105" s="1123">
        <f>IF(AZ105=0,0,(BA105-AZ105)/AZ105*100)</f>
        <v>0</v>
      </c>
      <c r="BL105" s="1123">
        <f>IF(BA105=0,0,(BB105-BA105)/BA105*100)</f>
        <v>0</v>
      </c>
      <c r="BM105" s="1123">
        <f>IF(BB105=0,0,(BC105-BB105)/BB105*100)</f>
        <v>0</v>
      </c>
      <c r="BN105" s="1257"/>
      <c r="BO105" s="1257"/>
      <c r="BP105" s="1257"/>
      <c r="BQ105" s="1297"/>
      <c r="BR105" s="1297"/>
      <c r="BS105" s="1072" t="s">
        <v>2345</v>
      </c>
      <c r="BT105" s="1072"/>
      <c r="BU105" s="1072"/>
      <c r="BV105" s="987"/>
      <c r="BW105" s="987"/>
    </row>
    <row customHeight="1" ht="14.625" hidden="1">
      <c r="A106" s="1297"/>
      <c r="B106" s="434">
        <f>STATUS_GO="да"</f>
        <v>0</v>
      </c>
      <c r="C106" s="103"/>
      <c r="D106" s="103"/>
      <c r="E106" s="626">
        <v>15</v>
      </c>
      <c r="F106" s="50" cm="1" t="str">
        <f t="array" ref="F106:F106">OFFSET(E106,-1,1)</f>
        <v>0</v>
      </c>
      <c r="G106" s="103" t="s">
        <v>1679</v>
      </c>
      <c r="H106" s="103"/>
      <c r="I106" s="103" t="s">
        <v>2346</v>
      </c>
      <c r="J106" s="103"/>
      <c r="K106" s="154" t="s">
        <v>2346</v>
      </c>
      <c r="L106" s="988"/>
      <c r="M106" s="103"/>
      <c r="N106" s="103"/>
      <c r="O106" s="103"/>
      <c r="P106" s="103"/>
      <c r="Q106" s="103"/>
      <c r="R106" s="103"/>
      <c r="S106" s="103"/>
      <c r="T106" s="468" cm="1" t="str">
        <f t="array" ref="T106:T106">T105</f>
        <v>false</v>
      </c>
      <c r="U106" s="103"/>
      <c r="V106" s="103"/>
      <c r="W106" s="103"/>
      <c r="X106" s="1559"/>
      <c r="Y106" s="1297"/>
      <c r="Z106" s="1529"/>
      <c r="AA106" s="1297"/>
      <c r="AB106" s="296" t="s">
        <v>2347</v>
      </c>
      <c r="AC106" s="772" t="s">
        <v>1679</v>
      </c>
      <c r="AD106" s="296" t="s">
        <v>936</v>
      </c>
      <c r="AE106" s="1123">
        <f>_xlfn.SUMIFS('Сбытовые расходы ГО'!AE$25:AE$75,'Сбытовые расходы ГО'!$F$25:$F$75,$F106,'Сбытовые расходы ГО'!$G$25:$G$75,"l1")</f>
        <v>0</v>
      </c>
      <c r="AF106" s="1123">
        <f>_xlfn.SUMIFS('Сбытовые расходы ГО'!AF$25:AF$75,'Сбытовые расходы ГО'!$F$25:$F$75,$F106,'Сбытовые расходы ГО'!$G$25:$G$75,"l1")</f>
        <v>0</v>
      </c>
      <c r="AG106" s="1123">
        <f>_xlfn.SUMIFS('Сбытовые расходы ГО'!AG$25:AG$75,'Сбытовые расходы ГО'!$F$25:$F$75,$F106,'Сбытовые расходы ГО'!$G$25:$G$75,"l1")</f>
        <v>0</v>
      </c>
      <c r="AH106" s="1123">
        <f>AG106-AF106</f>
        <v>0</v>
      </c>
      <c r="AI106" s="1123">
        <f>_xlfn.SUMIFS('Сбытовые расходы ГО'!AH$25:AH$75,'Сбытовые расходы ГО'!$F$25:$F$75,$F106,'Сбытовые расходы ГО'!$G$25:$G$75,"l1")</f>
        <v>0</v>
      </c>
      <c r="AJ106" s="1123">
        <f>_xlfn.SUMIFS('Сбытовые расходы ГО'!AI$25:AI$75,'Сбытовые расходы ГО'!$F$25:$F$75,$F106,'Сбытовые расходы ГО'!$G$25:$G$75,"l1")</f>
        <v>0</v>
      </c>
      <c r="AK106" s="1260"/>
      <c r="AL106" s="1260"/>
      <c r="AM106" s="1260"/>
      <c r="AN106" s="1260"/>
      <c r="AO106" s="1260"/>
      <c r="AP106" s="1260"/>
      <c r="AQ106" s="1260"/>
      <c r="AR106" s="1260"/>
      <c r="AS106" s="1260"/>
      <c r="AT106" s="1123">
        <f>_xlfn.SUMIFS('Сбытовые расходы ГО'!AJ$25:AJ$75,'Сбытовые расходы ГО'!$F$25:$F$75,$F106,'Сбытовые расходы ГО'!$G$25:$G$75,"l1")</f>
        <v>0</v>
      </c>
      <c r="AU106" s="1260"/>
      <c r="AV106" s="1260"/>
      <c r="AW106" s="1260"/>
      <c r="AX106" s="1260"/>
      <c r="AY106" s="1260"/>
      <c r="AZ106" s="1260"/>
      <c r="BA106" s="1260"/>
      <c r="BB106" s="1260"/>
      <c r="BC106" s="1260"/>
      <c r="BD106" s="1123">
        <f>IF(AI106=0,0,(AT106-AI106)/AI106*100)</f>
        <v>0</v>
      </c>
      <c r="BE106" s="1123">
        <f>IF(AT106=0,0,(AU106-AT106)/AT106*100)</f>
        <v>0</v>
      </c>
      <c r="BF106" s="1123">
        <f>IF(AU106=0,0,(AV106-AU106)/AU106*100)</f>
        <v>0</v>
      </c>
      <c r="BG106" s="1123">
        <f>IF(AV106=0,0,(AW106-AV106)/AV106*100)</f>
        <v>0</v>
      </c>
      <c r="BH106" s="1123">
        <f>IF(AW106=0,0,(AX106-AW106)/AW106*100)</f>
        <v>0</v>
      </c>
      <c r="BI106" s="1123">
        <f>IF(AX106=0,0,(AY106-AX106)/AX106*100)</f>
        <v>0</v>
      </c>
      <c r="BJ106" s="1123">
        <f>IF(AY106=0,0,(AZ106-AY106)/AY106*100)</f>
        <v>0</v>
      </c>
      <c r="BK106" s="1123">
        <f>IF(AZ106=0,0,(BA106-AZ106)/AZ106*100)</f>
        <v>0</v>
      </c>
      <c r="BL106" s="1123">
        <f>IF(BA106=0,0,(BB106-BA106)/BA106*100)</f>
        <v>0</v>
      </c>
      <c r="BM106" s="1123">
        <f>IF(BB106=0,0,(BC106-BB106)/BB106*100)</f>
        <v>0</v>
      </c>
      <c r="BN106" s="1257"/>
      <c r="BO106" s="1264" t="str">
        <f>IF(_xlfn.IFERROR(INDEX('Сбытовые расходы ГО'!$K$26:$M$75,MATCH($F106&amp;"komm",'Сбытовые расходы ГО'!$K$26:$K$75,0),2),"")=0,"",_xlfn.IFERROR(INDEX('Сбытовые расходы ГО'!$K$26:$M$75,MATCH($F106&amp;"komm",'Сбытовые расходы ГО'!$K$26:$K$75,0),2),""))</f>
        <v/>
      </c>
      <c r="BP106" s="1257"/>
      <c r="BQ106" s="1297"/>
      <c r="BR106" s="1297"/>
      <c r="BS106" s="1072" t="s">
        <v>2348</v>
      </c>
      <c r="BT106" s="1072"/>
      <c r="BU106" s="1072"/>
      <c r="BV106" s="987"/>
      <c r="BW106" s="987"/>
    </row>
    <row customHeight="1" ht="14.625" hidden="1">
      <c r="A107" s="1297"/>
      <c r="B107" s="986"/>
      <c r="C107" s="103"/>
      <c r="D107" s="103"/>
      <c r="E107" s="626">
        <v>15</v>
      </c>
      <c r="F107" s="50" cm="1" t="str">
        <f t="array" ref="F107:F107">OFFSET(E107,-1,1)</f>
        <v>0</v>
      </c>
      <c r="G107" s="103" t="s">
        <v>1684</v>
      </c>
      <c r="H107" s="103"/>
      <c r="I107" s="103" t="s">
        <v>2349</v>
      </c>
      <c r="J107" s="103"/>
      <c r="K107" s="154" t="s">
        <v>2349</v>
      </c>
      <c r="L107" s="988"/>
      <c r="M107" s="103"/>
      <c r="N107" s="103"/>
      <c r="O107" s="103"/>
      <c r="P107" s="103"/>
      <c r="Q107" s="103"/>
      <c r="R107" s="103"/>
      <c r="S107" s="103"/>
      <c r="T107" s="468" cm="1" t="str">
        <f t="array" ref="T107:T107">T106</f>
        <v>false</v>
      </c>
      <c r="U107" s="103"/>
      <c r="V107" s="103"/>
      <c r="W107" s="103"/>
      <c r="X107" s="1559"/>
      <c r="Y107" s="1297"/>
      <c r="Z107" s="1529"/>
      <c r="AA107" s="1297"/>
      <c r="AB107" s="296" t="s">
        <v>1742</v>
      </c>
      <c r="AC107" s="769" t="s">
        <v>1684</v>
      </c>
      <c r="AD107" s="296" t="s">
        <v>936</v>
      </c>
      <c r="AE107" s="1260"/>
      <c r="AF107" s="1260"/>
      <c r="AG107" s="1260"/>
      <c r="AH107" s="1123">
        <f>AG107-AF107</f>
        <v>0</v>
      </c>
      <c r="AI107" s="1260"/>
      <c r="AJ107" s="1260">
        <f>_xlfn.SUMIFS(Экономия_корр!AE$25:AE$59,Экономия_корр!$F$25:$F$59,$F107,Экономия_корр!$AC$25:$AC$59,"Экономия расходов с учетом ИПЦ")</f>
        <v>0</v>
      </c>
      <c r="AK107" s="1260">
        <f>_xlfn.SUMIFS(Экономия_корр!AF$25:AF$59,Экономия_корр!$F$25:$F$59,$F107,Экономия_корр!$AC$25:$AC$59,"Экономия расходов с учетом ИПЦ")</f>
        <v>0</v>
      </c>
      <c r="AL107" s="1260">
        <f>_xlfn.SUMIFS(Экономия_корр!AG$25:AG$59,Экономия_корр!$F$25:$F$59,$F107,Экономия_корр!$AC$25:$AC$59,"Экономия расходов с учетом ИПЦ")</f>
        <v>0</v>
      </c>
      <c r="AM107" s="1260">
        <f>_xlfn.SUMIFS(Экономия_корр!AH$25:AH$59,Экономия_корр!$F$25:$F$59,$F107,Экономия_корр!$AC$25:$AC$59,"Экономия расходов с учетом ИПЦ")</f>
        <v>0</v>
      </c>
      <c r="AN107" s="1260">
        <f>_xlfn.SUMIFS(Экономия_корр!AI$25:AI$59,Экономия_корр!$F$25:$F$59,$F107,Экономия_корр!$AC$25:$AC$59,"Экономия расходов с учетом ИПЦ")</f>
        <v>0</v>
      </c>
      <c r="AO107" s="1260">
        <f>_xlfn.SUMIFS(Экономия_корр!AJ$25:AJ$59,Экономия_корр!$F$25:$F$59,$F107,Экономия_корр!$AC$25:$AC$59,"Экономия расходов с учетом ИПЦ")</f>
        <v>0</v>
      </c>
      <c r="AP107" s="1260">
        <f>_xlfn.SUMIFS(Экономия_корр!AK$25:AK$59,Экономия_корр!$F$25:$F$59,$F107,Экономия_корр!$AC$25:$AC$59,"Экономия расходов с учетом ИПЦ")</f>
        <v>0</v>
      </c>
      <c r="AQ107" s="1260">
        <f>_xlfn.SUMIFS(Экономия_корр!AL$25:AL$59,Экономия_корр!$F$25:$F$59,$F107,Экономия_корр!$AC$25:$AC$59,"Экономия расходов с учетом ИПЦ")</f>
        <v>0</v>
      </c>
      <c r="AR107" s="1260">
        <f>_xlfn.SUMIFS(Экономия_корр!AM$25:AM$59,Экономия_корр!$F$25:$F$59,$F107,Экономия_корр!$AC$25:$AC$59,"Экономия расходов с учетом ИПЦ")</f>
        <v>0</v>
      </c>
      <c r="AS107" s="1260">
        <f>_xlfn.SUMIFS(Экономия_корр!AN$25:AN$59,Экономия_корр!$F$25:$F$59,$F107,Экономия_корр!$AC$25:$AC$59,"Экономия расходов с учетом ИПЦ")</f>
        <v>0</v>
      </c>
      <c r="AT107" s="1260">
        <f>_xlfn.SUMIFS(Экономия_корр!AO$25:AO$59,Экономия_корр!$F$25:$F$59,$F107,Экономия_корр!$AC$25:$AC$59,"Экономия расходов с учетом ИПЦ")</f>
        <v>0</v>
      </c>
      <c r="AU107" s="1260">
        <f>_xlfn.SUMIFS(Экономия_корр!AP$25:AP$59,Экономия_корр!$F$25:$F$59,$F107,Экономия_корр!$AC$25:$AC$59,"Экономия расходов с учетом ИПЦ")</f>
        <v>0</v>
      </c>
      <c r="AV107" s="1260">
        <f>_xlfn.SUMIFS(Экономия_корр!AQ$25:AQ$59,Экономия_корр!$F$25:$F$59,$F107,Экономия_корр!$AC$25:$AC$59,"Экономия расходов с учетом ИПЦ")</f>
        <v>0</v>
      </c>
      <c r="AW107" s="1260">
        <f>_xlfn.SUMIFS(Экономия_корр!AR$25:AR$59,Экономия_корр!$F$25:$F$59,$F107,Экономия_корр!$AC$25:$AC$59,"Экономия расходов с учетом ИПЦ")</f>
        <v>0</v>
      </c>
      <c r="AX107" s="1260">
        <f>_xlfn.SUMIFS(Экономия_корр!AS$25:AS$59,Экономия_корр!$F$25:$F$59,$F107,Экономия_корр!$AC$25:$AC$59,"Экономия расходов с учетом ИПЦ")</f>
        <v>0</v>
      </c>
      <c r="AY107" s="1260">
        <f>_xlfn.SUMIFS(Экономия_корр!AT$25:AT$59,Экономия_корр!$F$25:$F$59,$F107,Экономия_корр!$AC$25:$AC$59,"Экономия расходов с учетом ИПЦ")</f>
        <v>0</v>
      </c>
      <c r="AZ107" s="1260">
        <f>_xlfn.SUMIFS(Экономия_корр!AU$25:AU$59,Экономия_корр!$F$25:$F$59,$F107,Экономия_корр!$AC$25:$AC$59,"Экономия расходов с учетом ИПЦ")</f>
        <v>0</v>
      </c>
      <c r="BA107" s="1260">
        <f>_xlfn.SUMIFS(Экономия_корр!AV$25:AV$59,Экономия_корр!$F$25:$F$59,$F107,Экономия_корр!$AC$25:$AC$59,"Экономия расходов с учетом ИПЦ")</f>
        <v>0</v>
      </c>
      <c r="BB107" s="1260">
        <f>_xlfn.SUMIFS(Экономия_корр!AW$25:AW$59,Экономия_корр!$F$25:$F$59,$F107,Экономия_корр!$AC$25:$AC$59,"Экономия расходов с учетом ИПЦ")</f>
        <v>0</v>
      </c>
      <c r="BC107" s="1260">
        <f>_xlfn.SUMIFS(Экономия_корр!AX$25:AX$59,Экономия_корр!$F$25:$F$59,$F107,Экономия_корр!$AC$25:$AC$59,"Экономия расходов с учетом ИПЦ")</f>
        <v>0</v>
      </c>
      <c r="BD107" s="1123">
        <f>IF(AI107=0,0,(AT107-AI107)/AI107*100)</f>
        <v>0</v>
      </c>
      <c r="BE107" s="1123">
        <f>IF(AT107=0,0,(AU107-AT107)/AT107*100)</f>
        <v>0</v>
      </c>
      <c r="BF107" s="1123">
        <f>IF(AU107=0,0,(AV107-AU107)/AU107*100)</f>
        <v>0</v>
      </c>
      <c r="BG107" s="1123">
        <f>IF(AV107=0,0,(AW107-AV107)/AV107*100)</f>
        <v>0</v>
      </c>
      <c r="BH107" s="1123">
        <f>IF(AW107=0,0,(AX107-AW107)/AW107*100)</f>
        <v>0</v>
      </c>
      <c r="BI107" s="1123">
        <f>IF(AX107=0,0,(AY107-AX107)/AX107*100)</f>
        <v>0</v>
      </c>
      <c r="BJ107" s="1123">
        <f>IF(AY107=0,0,(AZ107-AY107)/AY107*100)</f>
        <v>0</v>
      </c>
      <c r="BK107" s="1123">
        <f>IF(AZ107=0,0,(BA107-AZ107)/AZ107*100)</f>
        <v>0</v>
      </c>
      <c r="BL107" s="1123">
        <f>IF(BA107=0,0,(BB107-BA107)/BA107*100)</f>
        <v>0</v>
      </c>
      <c r="BM107" s="1123">
        <f>IF(BB107=0,0,(BC107-BB107)/BB107*100)</f>
        <v>0</v>
      </c>
      <c r="BN107" s="1257"/>
      <c r="BO107" s="1257"/>
      <c r="BP107" s="1257"/>
      <c r="BQ107" s="1297"/>
      <c r="BR107" s="1297"/>
      <c r="BS107" s="1072" t="s">
        <v>2350</v>
      </c>
      <c r="BT107" s="1072"/>
      <c r="BU107" s="1072"/>
      <c r="BV107" s="987"/>
      <c r="BW107" s="987"/>
    </row>
    <row customHeight="1" ht="14.625" hidden="1">
      <c r="A108" s="1297"/>
      <c r="B108" s="986"/>
      <c r="C108" s="103"/>
      <c r="D108" s="103"/>
      <c r="E108" s="626">
        <v>15</v>
      </c>
      <c r="F108" s="50" cm="1" t="str">
        <f t="array" ref="F108:F108">OFFSET(E108,-1,1)</f>
        <v>0</v>
      </c>
      <c r="G108" s="103" t="s">
        <v>1689</v>
      </c>
      <c r="H108" s="103"/>
      <c r="I108" s="103" t="s">
        <v>2351</v>
      </c>
      <c r="J108" s="103"/>
      <c r="K108" s="154" t="s">
        <v>2351</v>
      </c>
      <c r="L108" s="988"/>
      <c r="M108" s="103"/>
      <c r="N108" s="103"/>
      <c r="O108" s="103"/>
      <c r="P108" s="103"/>
      <c r="Q108" s="103"/>
      <c r="R108" s="103"/>
      <c r="S108" s="103"/>
      <c r="T108" s="468" cm="1" t="str">
        <f t="array" ref="T108:T108">T107</f>
        <v>false</v>
      </c>
      <c r="U108" s="103"/>
      <c r="V108" s="103"/>
      <c r="W108" s="103"/>
      <c r="X108" s="1559"/>
      <c r="Y108" s="1297"/>
      <c r="Z108" s="1529"/>
      <c r="AA108" s="1297"/>
      <c r="AB108" s="296" t="s">
        <v>2352</v>
      </c>
      <c r="AC108" s="769" t="s">
        <v>1689</v>
      </c>
      <c r="AD108" s="296" t="s">
        <v>936</v>
      </c>
      <c r="AE108" s="1260"/>
      <c r="AF108" s="1260"/>
      <c r="AG108" s="1260"/>
      <c r="AH108" s="1123">
        <f>AG108-AF108</f>
        <v>0</v>
      </c>
      <c r="AI108" s="1260"/>
      <c r="AJ108" s="1260"/>
      <c r="AK108" s="1260"/>
      <c r="AL108" s="1260"/>
      <c r="AM108" s="1260"/>
      <c r="AN108" s="1260"/>
      <c r="AO108" s="1260"/>
      <c r="AP108" s="1260"/>
      <c r="AQ108" s="1260"/>
      <c r="AR108" s="1260"/>
      <c r="AS108" s="1260"/>
      <c r="AT108" s="1260"/>
      <c r="AU108" s="1260"/>
      <c r="AV108" s="1260"/>
      <c r="AW108" s="1260"/>
      <c r="AX108" s="1260"/>
      <c r="AY108" s="1260"/>
      <c r="AZ108" s="1260"/>
      <c r="BA108" s="1260"/>
      <c r="BB108" s="1260"/>
      <c r="BC108" s="1260"/>
      <c r="BD108" s="1123">
        <f>IF(AI108=0,0,(AT108-AI108)/AI108*100)</f>
        <v>0</v>
      </c>
      <c r="BE108" s="1123">
        <f>IF(AT108=0,0,(AU108-AT108)/AT108*100)</f>
        <v>0</v>
      </c>
      <c r="BF108" s="1123">
        <f>IF(AU108=0,0,(AV108-AU108)/AU108*100)</f>
        <v>0</v>
      </c>
      <c r="BG108" s="1123">
        <f>IF(AV108=0,0,(AW108-AV108)/AV108*100)</f>
        <v>0</v>
      </c>
      <c r="BH108" s="1123">
        <f>IF(AW108=0,0,(AX108-AW108)/AW108*100)</f>
        <v>0</v>
      </c>
      <c r="BI108" s="1123">
        <f>IF(AX108=0,0,(AY108-AX108)/AX108*100)</f>
        <v>0</v>
      </c>
      <c r="BJ108" s="1123">
        <f>IF(AY108=0,0,(AZ108-AY108)/AY108*100)</f>
        <v>0</v>
      </c>
      <c r="BK108" s="1123">
        <f>IF(AZ108=0,0,(BA108-AZ108)/AZ108*100)</f>
        <v>0</v>
      </c>
      <c r="BL108" s="1123">
        <f>IF(BA108=0,0,(BB108-BA108)/BA108*100)</f>
        <v>0</v>
      </c>
      <c r="BM108" s="1123">
        <f>IF(BB108=0,0,(BC108-BB108)/BB108*100)</f>
        <v>0</v>
      </c>
      <c r="BN108" s="1257"/>
      <c r="BO108" s="1257"/>
      <c r="BP108" s="1257"/>
      <c r="BQ108" s="1297"/>
      <c r="BR108" s="1297"/>
      <c r="BS108" s="1072" t="s">
        <v>2089</v>
      </c>
      <c r="BT108" s="1072"/>
      <c r="BU108" s="1072"/>
      <c r="BV108" s="987"/>
      <c r="BW108" s="987"/>
    </row>
    <row customHeight="1" ht="14.625" hidden="1">
      <c r="A109" s="1297"/>
      <c r="B109" s="986"/>
      <c r="C109" s="103"/>
      <c r="D109" s="103"/>
      <c r="E109" s="626">
        <v>15</v>
      </c>
      <c r="F109" s="50" cm="1" t="str">
        <f t="array" ref="F109:F109">OFFSET(E109,-1,1)</f>
        <v>0</v>
      </c>
      <c r="G109" s="103" t="s">
        <v>1694</v>
      </c>
      <c r="H109" s="103"/>
      <c r="I109" s="103" t="s">
        <v>2353</v>
      </c>
      <c r="J109" s="103"/>
      <c r="K109" s="154" t="s">
        <v>2353</v>
      </c>
      <c r="L109" s="988"/>
      <c r="M109" s="103"/>
      <c r="N109" s="103"/>
      <c r="O109" s="103"/>
      <c r="P109" s="103"/>
      <c r="Q109" s="103"/>
      <c r="R109" s="103"/>
      <c r="S109" s="103"/>
      <c r="T109" s="468" cm="1" t="str">
        <f t="array" ref="T109:T109">T108</f>
        <v>false</v>
      </c>
      <c r="U109" s="103"/>
      <c r="V109" s="103"/>
      <c r="W109" s="103"/>
      <c r="X109" s="1559"/>
      <c r="Y109" s="1297"/>
      <c r="Z109" s="1529"/>
      <c r="AA109" s="1297"/>
      <c r="AB109" s="296" t="s">
        <v>1761</v>
      </c>
      <c r="AC109" s="769" t="s">
        <v>1694</v>
      </c>
      <c r="AD109" s="296" t="s">
        <v>936</v>
      </c>
      <c r="AE109" s="1260"/>
      <c r="AF109" s="1260"/>
      <c r="AG109" s="1260"/>
      <c r="AH109" s="1123">
        <f>AG109-AF109</f>
        <v>0</v>
      </c>
      <c r="AI109" s="1260"/>
      <c r="AJ109" s="1260"/>
      <c r="AK109" s="1260"/>
      <c r="AL109" s="1260"/>
      <c r="AM109" s="1260"/>
      <c r="AN109" s="1260"/>
      <c r="AO109" s="1260"/>
      <c r="AP109" s="1260"/>
      <c r="AQ109" s="1260"/>
      <c r="AR109" s="1260"/>
      <c r="AS109" s="1260"/>
      <c r="AT109" s="1260"/>
      <c r="AU109" s="1260"/>
      <c r="AV109" s="1260"/>
      <c r="AW109" s="1260"/>
      <c r="AX109" s="1260"/>
      <c r="AY109" s="1260"/>
      <c r="AZ109" s="1260"/>
      <c r="BA109" s="1260"/>
      <c r="BB109" s="1260"/>
      <c r="BC109" s="1260"/>
      <c r="BD109" s="1123">
        <f>IF(AI109=0,0,(AT109-AI109)/AI109*100)</f>
        <v>0</v>
      </c>
      <c r="BE109" s="1123">
        <f>IF(AT109=0,0,(AU109-AT109)/AT109*100)</f>
        <v>0</v>
      </c>
      <c r="BF109" s="1123">
        <f>IF(AU109=0,0,(AV109-AU109)/AU109*100)</f>
        <v>0</v>
      </c>
      <c r="BG109" s="1123">
        <f>IF(AV109=0,0,(AW109-AV109)/AV109*100)</f>
        <v>0</v>
      </c>
      <c r="BH109" s="1123">
        <f>IF(AW109=0,0,(AX109-AW109)/AW109*100)</f>
        <v>0</v>
      </c>
      <c r="BI109" s="1123">
        <f>IF(AX109=0,0,(AY109-AX109)/AX109*100)</f>
        <v>0</v>
      </c>
      <c r="BJ109" s="1123">
        <f>IF(AY109=0,0,(AZ109-AY109)/AY109*100)</f>
        <v>0</v>
      </c>
      <c r="BK109" s="1123">
        <f>IF(AZ109=0,0,(BA109-AZ109)/AZ109*100)</f>
        <v>0</v>
      </c>
      <c r="BL109" s="1123">
        <f>IF(BA109=0,0,(BB109-BA109)/BA109*100)</f>
        <v>0</v>
      </c>
      <c r="BM109" s="1123">
        <f>IF(BB109=0,0,(BC109-BB109)/BB109*100)</f>
        <v>0</v>
      </c>
      <c r="BN109" s="1257"/>
      <c r="BO109" s="1257"/>
      <c r="BP109" s="1257"/>
      <c r="BQ109" s="1297"/>
      <c r="BR109" s="1297"/>
      <c r="BS109" s="1072" t="s">
        <v>2354</v>
      </c>
      <c r="BT109" s="1072"/>
      <c r="BU109" s="1072"/>
      <c r="BV109" s="987"/>
      <c r="BW109" s="987"/>
    </row>
    <row customHeight="1" ht="14.625" hidden="1">
      <c r="A110" s="1297"/>
      <c r="B110" s="986"/>
      <c r="C110" s="103"/>
      <c r="D110" s="103"/>
      <c r="E110" s="626">
        <v>15</v>
      </c>
      <c r="F110" s="50" cm="1" t="str">
        <f t="array" ref="F110:F110">OFFSET(E110,-1,1)</f>
        <v>0</v>
      </c>
      <c r="G110" s="103" t="s">
        <v>1699</v>
      </c>
      <c r="H110" s="103"/>
      <c r="I110" s="103" t="s">
        <v>2355</v>
      </c>
      <c r="J110" s="103"/>
      <c r="K110" s="154" t="s">
        <v>2355</v>
      </c>
      <c r="L110" s="988"/>
      <c r="M110" s="103"/>
      <c r="N110" s="103"/>
      <c r="O110" s="103"/>
      <c r="P110" s="103"/>
      <c r="Q110" s="103"/>
      <c r="R110" s="103"/>
      <c r="S110" s="103"/>
      <c r="T110" s="468" cm="1" t="str">
        <f t="array" ref="T110:T110">T109</f>
        <v>false</v>
      </c>
      <c r="U110" s="103"/>
      <c r="V110" s="103"/>
      <c r="W110" s="103"/>
      <c r="X110" s="1559"/>
      <c r="Y110" s="1297"/>
      <c r="Z110" s="1529"/>
      <c r="AA110" s="1297"/>
      <c r="AB110" s="296" t="s">
        <v>1765</v>
      </c>
      <c r="AC110" s="769" t="s">
        <v>1699</v>
      </c>
      <c r="AD110" s="296" t="s">
        <v>936</v>
      </c>
      <c r="AE110" s="1125">
        <f>SUM(AE111,AE112)</f>
        <v>0</v>
      </c>
      <c r="AF110" s="1123">
        <f>SUM(AF111,AF112)</f>
        <v>0</v>
      </c>
      <c r="AG110" s="1123">
        <f>SUM(AG111,AG112)</f>
        <v>0</v>
      </c>
      <c r="AH110" s="1123">
        <f>AG110-AF110</f>
        <v>0</v>
      </c>
      <c r="AI110" s="1123">
        <f>SUM(AI111,AI112)</f>
        <v>0</v>
      </c>
      <c r="AJ110" s="1125">
        <f>SUM(AJ111,AJ112)</f>
        <v>0</v>
      </c>
      <c r="AK110" s="1123">
        <f>SUM(AK111,AK112)</f>
        <v>0</v>
      </c>
      <c r="AL110" s="1123">
        <f>SUM(AL111,AL112)</f>
        <v>0</v>
      </c>
      <c r="AM110" s="1123">
        <f>SUM(AM111,AM112)</f>
        <v>0</v>
      </c>
      <c r="AN110" s="1123">
        <f>SUM(AN111,AN112)</f>
        <v>0</v>
      </c>
      <c r="AO110" s="1123">
        <f>SUM(AO111,AO112)</f>
        <v>0</v>
      </c>
      <c r="AP110" s="1123">
        <f>SUM(AP111,AP112)</f>
        <v>0</v>
      </c>
      <c r="AQ110" s="1123">
        <f>SUM(AQ111,AQ112)</f>
        <v>0</v>
      </c>
      <c r="AR110" s="1123">
        <f>SUM(AR111,AR112)</f>
        <v>0</v>
      </c>
      <c r="AS110" s="1123">
        <f>SUM(AS111,AS112)</f>
        <v>0</v>
      </c>
      <c r="AT110" s="1125">
        <f>SUM(AT111,AT112)</f>
        <v>0</v>
      </c>
      <c r="AU110" s="1123">
        <f>SUM(AU111,AU112)</f>
        <v>0</v>
      </c>
      <c r="AV110" s="1123">
        <f>SUM(AV111,AV112)</f>
        <v>0</v>
      </c>
      <c r="AW110" s="1123">
        <f>SUM(AW111,AW112)</f>
        <v>0</v>
      </c>
      <c r="AX110" s="1123">
        <f>SUM(AX111,AX112)</f>
        <v>0</v>
      </c>
      <c r="AY110" s="1123">
        <f>SUM(AY111,AY112)</f>
        <v>0</v>
      </c>
      <c r="AZ110" s="1123">
        <f>SUM(AZ111,AZ112)</f>
        <v>0</v>
      </c>
      <c r="BA110" s="1123">
        <f>SUM(BA111,BA112)</f>
        <v>0</v>
      </c>
      <c r="BB110" s="1123">
        <f>SUM(BB111,BB112)</f>
        <v>0</v>
      </c>
      <c r="BC110" s="1123">
        <f>SUM(BC111,BC112)</f>
        <v>0</v>
      </c>
      <c r="BD110" s="1123">
        <f>IF(AI110=0,0,(AT110-AI110)/AI110*100)</f>
        <v>0</v>
      </c>
      <c r="BE110" s="1123">
        <f>IF(AT110=0,0,(AU110-AT110)/AT110*100)</f>
        <v>0</v>
      </c>
      <c r="BF110" s="1123">
        <f>IF(AU110=0,0,(AV110-AU110)/AU110*100)</f>
        <v>0</v>
      </c>
      <c r="BG110" s="1123">
        <f>IF(AV110=0,0,(AW110-AV110)/AV110*100)</f>
        <v>0</v>
      </c>
      <c r="BH110" s="1123">
        <f>IF(AW110=0,0,(AX110-AW110)/AW110*100)</f>
        <v>0</v>
      </c>
      <c r="BI110" s="1123">
        <f>IF(AX110=0,0,(AY110-AX110)/AX110*100)</f>
        <v>0</v>
      </c>
      <c r="BJ110" s="1123">
        <f>IF(AY110=0,0,(AZ110-AY110)/AY110*100)</f>
        <v>0</v>
      </c>
      <c r="BK110" s="1123">
        <f>IF(AZ110=0,0,(BA110-AZ110)/AZ110*100)</f>
        <v>0</v>
      </c>
      <c r="BL110" s="1123">
        <f>IF(BA110=0,0,(BB110-BA110)/BA110*100)</f>
        <v>0</v>
      </c>
      <c r="BM110" s="1123">
        <f>IF(BB110=0,0,(BC110-BB110)/BB110*100)</f>
        <v>0</v>
      </c>
      <c r="BN110" s="1257"/>
      <c r="BO110" s="1257"/>
      <c r="BP110" s="1257"/>
      <c r="BQ110" s="1297"/>
      <c r="BR110" s="1297"/>
      <c r="BS110" s="1072" t="s">
        <v>2356</v>
      </c>
      <c r="BT110" s="1072"/>
      <c r="BU110" s="1072"/>
      <c r="BV110" s="987"/>
      <c r="BW110" s="987"/>
    </row>
    <row customHeight="1" ht="14.625" hidden="1">
      <c r="A111" s="1297"/>
      <c r="B111" s="986"/>
      <c r="C111" s="103"/>
      <c r="D111" s="103"/>
      <c r="E111" s="626">
        <v>15</v>
      </c>
      <c r="F111" s="50" cm="1" t="str">
        <f t="array" ref="F111:F111">OFFSET(E111,-1,1)</f>
        <v>0</v>
      </c>
      <c r="G111" s="103"/>
      <c r="H111" s="103"/>
      <c r="I111" s="103" t="s">
        <v>2357</v>
      </c>
      <c r="J111" s="103"/>
      <c r="K111" s="154" t="s">
        <v>2357</v>
      </c>
      <c r="L111" s="988"/>
      <c r="M111" s="103"/>
      <c r="N111" s="103"/>
      <c r="O111" s="103"/>
      <c r="P111" s="103"/>
      <c r="Q111" s="103"/>
      <c r="R111" s="103"/>
      <c r="S111" s="103"/>
      <c r="T111" s="468" cm="1" t="str">
        <f t="array" ref="T111:T111">T110</f>
        <v>false</v>
      </c>
      <c r="U111" s="103"/>
      <c r="V111" s="103"/>
      <c r="W111" s="103"/>
      <c r="X111" s="1559"/>
      <c r="Y111" s="1297"/>
      <c r="Z111" s="1529"/>
      <c r="AA111" s="1297"/>
      <c r="AB111" s="296" t="s">
        <v>2358</v>
      </c>
      <c r="AC111" s="772" t="s">
        <v>2359</v>
      </c>
      <c r="AD111" s="296" t="s">
        <v>936</v>
      </c>
      <c r="AE111" s="1260"/>
      <c r="AF111" s="1260"/>
      <c r="AG111" s="1260"/>
      <c r="AH111" s="1123">
        <f>AG111-AF111</f>
        <v>0</v>
      </c>
      <c r="AI111" s="1260"/>
      <c r="AJ111" s="1260"/>
      <c r="AK111" s="1260"/>
      <c r="AL111" s="1260"/>
      <c r="AM111" s="1260"/>
      <c r="AN111" s="1260"/>
      <c r="AO111" s="1260"/>
      <c r="AP111" s="1260"/>
      <c r="AQ111" s="1260"/>
      <c r="AR111" s="1260"/>
      <c r="AS111" s="1260"/>
      <c r="AT111" s="1260"/>
      <c r="AU111" s="1260"/>
      <c r="AV111" s="1260"/>
      <c r="AW111" s="1260"/>
      <c r="AX111" s="1260"/>
      <c r="AY111" s="1260"/>
      <c r="AZ111" s="1260"/>
      <c r="BA111" s="1260"/>
      <c r="BB111" s="1260"/>
      <c r="BC111" s="1260"/>
      <c r="BD111" s="1123">
        <f>IF(AI111=0,0,(AT111-AI111)/AI111*100)</f>
        <v>0</v>
      </c>
      <c r="BE111" s="1123">
        <f>IF(AT111=0,0,(AU111-AT111)/AT111*100)</f>
        <v>0</v>
      </c>
      <c r="BF111" s="1123">
        <f>IF(AU111=0,0,(AV111-AU111)/AU111*100)</f>
        <v>0</v>
      </c>
      <c r="BG111" s="1123">
        <f>IF(AV111=0,0,(AW111-AV111)/AV111*100)</f>
        <v>0</v>
      </c>
      <c r="BH111" s="1123">
        <f>IF(AW111=0,0,(AX111-AW111)/AW111*100)</f>
        <v>0</v>
      </c>
      <c r="BI111" s="1123">
        <f>IF(AX111=0,0,(AY111-AX111)/AX111*100)</f>
        <v>0</v>
      </c>
      <c r="BJ111" s="1123">
        <f>IF(AY111=0,0,(AZ111-AY111)/AY111*100)</f>
        <v>0</v>
      </c>
      <c r="BK111" s="1123">
        <f>IF(AZ111=0,0,(BA111-AZ111)/AZ111*100)</f>
        <v>0</v>
      </c>
      <c r="BL111" s="1123">
        <f>IF(BA111=0,0,(BB111-BA111)/BA111*100)</f>
        <v>0</v>
      </c>
      <c r="BM111" s="1123">
        <f>IF(BB111=0,0,(BC111-BB111)/BB111*100)</f>
        <v>0</v>
      </c>
      <c r="BN111" s="1257"/>
      <c r="BO111" s="1257"/>
      <c r="BP111" s="1257"/>
      <c r="BQ111" s="1297"/>
      <c r="BR111" s="1297"/>
      <c r="BS111" s="1072" t="s">
        <v>1456</v>
      </c>
      <c r="BT111" s="1072"/>
      <c r="BU111" s="1072"/>
      <c r="BV111" s="987"/>
      <c r="BW111" s="987"/>
    </row>
    <row customHeight="1" ht="14.625" hidden="1">
      <c r="A112" s="1297"/>
      <c r="B112" s="986"/>
      <c r="C112" s="103"/>
      <c r="D112" s="103"/>
      <c r="E112" s="626">
        <v>15</v>
      </c>
      <c r="F112" s="50" cm="1" t="str">
        <f t="array" ref="F112:F112">OFFSET(E112,-1,1)</f>
        <v>0</v>
      </c>
      <c r="G112" s="103"/>
      <c r="H112" s="103"/>
      <c r="I112" s="103" t="s">
        <v>2360</v>
      </c>
      <c r="J112" s="103"/>
      <c r="K112" s="154" t="s">
        <v>2360</v>
      </c>
      <c r="L112" s="988" t="s">
        <v>1079</v>
      </c>
      <c r="M112" s="103"/>
      <c r="N112" s="103"/>
      <c r="O112" s="103"/>
      <c r="P112" s="103"/>
      <c r="Q112" s="103"/>
      <c r="R112" s="103"/>
      <c r="S112" s="103"/>
      <c r="T112" s="468" cm="1" t="str">
        <f t="array" ref="T112:T112">T111</f>
        <v>false</v>
      </c>
      <c r="U112" s="103"/>
      <c r="V112" s="103"/>
      <c r="W112" s="103"/>
      <c r="X112" s="1559"/>
      <c r="Y112" s="1297"/>
      <c r="Z112" s="1529"/>
      <c r="AA112" s="1297"/>
      <c r="AB112" s="296" t="s">
        <v>2361</v>
      </c>
      <c r="AC112" s="772" t="s">
        <v>2362</v>
      </c>
      <c r="AD112" s="296" t="s">
        <v>936</v>
      </c>
      <c r="AE112" s="1260"/>
      <c r="AF112" s="1260"/>
      <c r="AG112" s="1260"/>
      <c r="AH112" s="1123">
        <f>AG112-AF112</f>
        <v>0</v>
      </c>
      <c r="AI112" s="1260"/>
      <c r="AJ112" s="1260"/>
      <c r="AK112" s="1260"/>
      <c r="AL112" s="1260"/>
      <c r="AM112" s="1260"/>
      <c r="AN112" s="1260"/>
      <c r="AO112" s="1260"/>
      <c r="AP112" s="1260"/>
      <c r="AQ112" s="1260"/>
      <c r="AR112" s="1260"/>
      <c r="AS112" s="1260"/>
      <c r="AT112" s="1260"/>
      <c r="AU112" s="1260"/>
      <c r="AV112" s="1260"/>
      <c r="AW112" s="1260"/>
      <c r="AX112" s="1260"/>
      <c r="AY112" s="1260"/>
      <c r="AZ112" s="1260"/>
      <c r="BA112" s="1260"/>
      <c r="BB112" s="1260"/>
      <c r="BC112" s="1260"/>
      <c r="BD112" s="1123">
        <f>IF(AI112=0,0,(AT112-AI112)/AI112*100)</f>
        <v>0</v>
      </c>
      <c r="BE112" s="1123">
        <f>IF(AT112=0,0,(AU112-AT112)/AT112*100)</f>
        <v>0</v>
      </c>
      <c r="BF112" s="1123">
        <f>IF(AU112=0,0,(AV112-AU112)/AU112*100)</f>
        <v>0</v>
      </c>
      <c r="BG112" s="1123">
        <f>IF(AV112=0,0,(AW112-AV112)/AV112*100)</f>
        <v>0</v>
      </c>
      <c r="BH112" s="1123">
        <f>IF(AW112=0,0,(AX112-AW112)/AW112*100)</f>
        <v>0</v>
      </c>
      <c r="BI112" s="1123">
        <f>IF(AX112=0,0,(AY112-AX112)/AX112*100)</f>
        <v>0</v>
      </c>
      <c r="BJ112" s="1123">
        <f>IF(AY112=0,0,(AZ112-AY112)/AY112*100)</f>
        <v>0</v>
      </c>
      <c r="BK112" s="1123">
        <f>IF(AZ112=0,0,(BA112-AZ112)/AZ112*100)</f>
        <v>0</v>
      </c>
      <c r="BL112" s="1123">
        <f>IF(BA112=0,0,(BB112-BA112)/BA112*100)</f>
        <v>0</v>
      </c>
      <c r="BM112" s="1123">
        <f>IF(BB112=0,0,(BC112-BB112)/BB112*100)</f>
        <v>0</v>
      </c>
      <c r="BN112" s="1257"/>
      <c r="BO112" s="1257"/>
      <c r="BP112" s="1257"/>
      <c r="BQ112" s="1297"/>
      <c r="BR112" s="1297"/>
      <c r="BS112" s="1072" t="s">
        <v>2363</v>
      </c>
      <c r="BT112" s="1072"/>
      <c r="BU112" s="1072"/>
      <c r="BV112" s="987"/>
      <c r="BW112" s="987"/>
    </row>
    <row customHeight="1" ht="21.9375" hidden="1">
      <c r="A113" s="1297"/>
      <c r="B113" s="986"/>
      <c r="C113" s="103"/>
      <c r="D113" s="103"/>
      <c r="E113" s="626">
        <v>22.5</v>
      </c>
      <c r="F113" s="50" cm="1" t="str">
        <f t="array" ref="F113:F113">OFFSET(E113,-1,1)</f>
        <v>0</v>
      </c>
      <c r="G113" s="103" t="s">
        <v>1704</v>
      </c>
      <c r="H113" s="103"/>
      <c r="I113" s="103" t="s">
        <v>2364</v>
      </c>
      <c r="J113" s="103"/>
      <c r="K113" s="154" t="s">
        <v>2364</v>
      </c>
      <c r="L113" s="988"/>
      <c r="M113" s="103"/>
      <c r="N113" s="103"/>
      <c r="O113" s="103"/>
      <c r="P113" s="103"/>
      <c r="Q113" s="103"/>
      <c r="R113" s="103"/>
      <c r="S113" s="103"/>
      <c r="T113" s="468" cm="1" t="str">
        <f t="array" ref="T113:T113">T112</f>
        <v>false</v>
      </c>
      <c r="U113" s="103"/>
      <c r="V113" s="103"/>
      <c r="W113" s="103"/>
      <c r="X113" s="1559"/>
      <c r="Y113" s="1297"/>
      <c r="Z113" s="1529"/>
      <c r="AA113" s="1297"/>
      <c r="AB113" s="296" t="s">
        <v>1768</v>
      </c>
      <c r="AC113" s="769" t="s">
        <v>2365</v>
      </c>
      <c r="AD113" s="296" t="s">
        <v>936</v>
      </c>
      <c r="AE113" s="1260"/>
      <c r="AF113" s="1260"/>
      <c r="AG113" s="1260"/>
      <c r="AH113" s="1123">
        <f>AG113-AF113</f>
        <v>0</v>
      </c>
      <c r="AI113" s="1260"/>
      <c r="AJ113" s="1260"/>
      <c r="AK113" s="1260"/>
      <c r="AL113" s="1260"/>
      <c r="AM113" s="1260"/>
      <c r="AN113" s="1260"/>
      <c r="AO113" s="1260"/>
      <c r="AP113" s="1260"/>
      <c r="AQ113" s="1260"/>
      <c r="AR113" s="1260"/>
      <c r="AS113" s="1260"/>
      <c r="AT113" s="1260"/>
      <c r="AU113" s="1260"/>
      <c r="AV113" s="1260"/>
      <c r="AW113" s="1260"/>
      <c r="AX113" s="1260"/>
      <c r="AY113" s="1260"/>
      <c r="AZ113" s="1260"/>
      <c r="BA113" s="1260"/>
      <c r="BB113" s="1260"/>
      <c r="BC113" s="1260"/>
      <c r="BD113" s="1123">
        <f>IF(AI113=0,0,(AT113-AI113)/AI113*100)</f>
        <v>0</v>
      </c>
      <c r="BE113" s="1123">
        <f>IF(AT113=0,0,(AU113-AT113)/AT113*100)</f>
        <v>0</v>
      </c>
      <c r="BF113" s="1123">
        <f>IF(AU113=0,0,(AV113-AU113)/AU113*100)</f>
        <v>0</v>
      </c>
      <c r="BG113" s="1123">
        <f>IF(AV113=0,0,(AW113-AV113)/AV113*100)</f>
        <v>0</v>
      </c>
      <c r="BH113" s="1123">
        <f>IF(AW113=0,0,(AX113-AW113)/AW113*100)</f>
        <v>0</v>
      </c>
      <c r="BI113" s="1123">
        <f>IF(AX113=0,0,(AY113-AX113)/AX113*100)</f>
        <v>0</v>
      </c>
      <c r="BJ113" s="1123">
        <f>IF(AY113=0,0,(AZ113-AY113)/AY113*100)</f>
        <v>0</v>
      </c>
      <c r="BK113" s="1123">
        <f>IF(AZ113=0,0,(BA113-AZ113)/AZ113*100)</f>
        <v>0</v>
      </c>
      <c r="BL113" s="1123">
        <f>IF(BA113=0,0,(BB113-BA113)/BA113*100)</f>
        <v>0</v>
      </c>
      <c r="BM113" s="1123">
        <f>IF(BB113=0,0,(BC113-BB113)/BB113*100)</f>
        <v>0</v>
      </c>
      <c r="BN113" s="1257"/>
      <c r="BO113" s="1257"/>
      <c r="BP113" s="1257"/>
      <c r="BQ113" s="1297"/>
      <c r="BR113" s="1297"/>
      <c r="BS113" s="1072" t="s">
        <v>2366</v>
      </c>
      <c r="BT113" s="1072"/>
      <c r="BU113" s="1072"/>
      <c r="BV113" s="987"/>
      <c r="BW113" s="987"/>
    </row>
    <row s="706" customFormat="1" customHeight="1" ht="20.475" hidden="1">
      <c r="A114" s="706"/>
      <c r="B114" s="437"/>
      <c r="C114" s="105"/>
      <c r="D114" s="105"/>
      <c r="E114" s="833">
        <v>21</v>
      </c>
      <c r="F114" s="50" cm="1" t="str">
        <f t="array" ref="F114:F114">OFFSET(E114,-1,1)</f>
        <v>0</v>
      </c>
      <c r="G114" s="103" t="s">
        <v>2367</v>
      </c>
      <c r="H114" s="103"/>
      <c r="I114" s="103" t="s">
        <v>346</v>
      </c>
      <c r="J114" s="105"/>
      <c r="K114" s="154" t="s">
        <v>346</v>
      </c>
      <c r="L114" s="993" t="s">
        <v>1550</v>
      </c>
      <c r="M114" s="105"/>
      <c r="N114" s="105"/>
      <c r="O114" s="105"/>
      <c r="P114" s="105"/>
      <c r="Q114" s="105"/>
      <c r="R114" s="105"/>
      <c r="S114" s="105"/>
      <c r="T114" s="468" cm="1" t="str">
        <f t="array" ref="T114:T114">T113</f>
        <v>false</v>
      </c>
      <c r="U114" s="105"/>
      <c r="V114" s="105"/>
      <c r="W114" s="105"/>
      <c r="X114" s="1559"/>
      <c r="Y114" s="706"/>
      <c r="Z114" s="1529"/>
      <c r="AA114" s="706"/>
      <c r="AB114" s="207" t="s">
        <v>234</v>
      </c>
      <c r="AC114" s="208" t="s">
        <v>2368</v>
      </c>
      <c r="AD114" s="207" t="s">
        <v>936</v>
      </c>
      <c r="AE114" s="785">
        <f>_xlfn.SUMIFS(ЭЭ!AE$25:AE$175,ЭЭ!$F$25:$F$175,$F114,ЭЭ!$AC$25:$AC$175,"Всего по тарифу")</f>
        <v>0</v>
      </c>
      <c r="AF114" s="785">
        <f>_xlfn.SUMIFS(ЭЭ!AF$25:AF$175,ЭЭ!$F$25:$F$175,$F114,ЭЭ!$AC$25:$AC$175,"Всего по тарифу")</f>
        <v>0</v>
      </c>
      <c r="AG114" s="785">
        <f>_xlfn.SUMIFS(ЭЭ!AG$25:AG$175,ЭЭ!$F$25:$F$175,$F114,ЭЭ!$AC$25:$AC$175,"Всего по тарифу")</f>
        <v>0</v>
      </c>
      <c r="AH114" s="785">
        <f>AG114-AF114</f>
        <v>0</v>
      </c>
      <c r="AI114" s="785">
        <f>_xlfn.SUMIFS(ЭЭ!AH$25:AH$175,ЭЭ!$F$25:$F$175,$F114,ЭЭ!$AC$25:$AC$175,"Всего по тарифу")</f>
        <v>0</v>
      </c>
      <c r="AJ114" s="785">
        <f>_xlfn.SUMIFS(ЭЭ!AI$25:AI$175,ЭЭ!$F$25:$F$175,$F114,ЭЭ!$AC$25:$AC$175,"Всего по тарифу")</f>
        <v>0</v>
      </c>
      <c r="AK114" s="785">
        <f>_xlfn.SUMIFS(ЭЭ!AJ$25:AJ$175,ЭЭ!$F$25:$F$175,$F114,ЭЭ!$AC$25:$AC$175,"Всего по тарифу")</f>
        <v>0</v>
      </c>
      <c r="AL114" s="785">
        <f>_xlfn.SUMIFS(ЭЭ!AK$25:AK$175,ЭЭ!$F$25:$F$175,$F114,ЭЭ!$AC$25:$AC$175,"Всего по тарифу")</f>
        <v>0</v>
      </c>
      <c r="AM114" s="785">
        <f>_xlfn.SUMIFS(ЭЭ!AL$25:AL$175,ЭЭ!$F$25:$F$175,$F114,ЭЭ!$AC$25:$AC$175,"Всего по тарифу")</f>
        <v>0</v>
      </c>
      <c r="AN114" s="785">
        <f>_xlfn.SUMIFS(ЭЭ!AM$25:AM$175,ЭЭ!$F$25:$F$175,$F114,ЭЭ!$AC$25:$AC$175,"Всего по тарифу")</f>
        <v>0</v>
      </c>
      <c r="AO114" s="785">
        <f>_xlfn.SUMIFS(ЭЭ!AN$25:AN$175,ЭЭ!$F$25:$F$175,$F114,ЭЭ!$AC$25:$AC$175,"Всего по тарифу")</f>
        <v>0</v>
      </c>
      <c r="AP114" s="785">
        <f>_xlfn.SUMIFS(ЭЭ!AO$25:AO$175,ЭЭ!$F$25:$F$175,$F114,ЭЭ!$AC$25:$AC$175,"Всего по тарифу")</f>
        <v>0</v>
      </c>
      <c r="AQ114" s="785">
        <f>_xlfn.SUMIFS(ЭЭ!AP$25:AP$175,ЭЭ!$F$25:$F$175,$F114,ЭЭ!$AC$25:$AC$175,"Всего по тарифу")</f>
        <v>0</v>
      </c>
      <c r="AR114" s="785">
        <f>_xlfn.SUMIFS(ЭЭ!AQ$25:AQ$175,ЭЭ!$F$25:$F$175,$F114,ЭЭ!$AC$25:$AC$175,"Всего по тарифу")</f>
        <v>0</v>
      </c>
      <c r="AS114" s="785">
        <f>_xlfn.SUMIFS(ЭЭ!AR$25:AR$175,ЭЭ!$F$25:$F$175,$F114,ЭЭ!$AC$25:$AC$175,"Всего по тарифу")</f>
        <v>0</v>
      </c>
      <c r="AT114" s="785">
        <f>_xlfn.SUMIFS(ЭЭ!AS$25:AS$175,ЭЭ!$F$25:$F$175,$F114,ЭЭ!$AC$25:$AC$175,"Всего по тарифу")</f>
        <v>0</v>
      </c>
      <c r="AU114" s="785">
        <f>_xlfn.SUMIFS(ЭЭ!AT$25:AT$175,ЭЭ!$F$25:$F$175,$F114,ЭЭ!$AC$25:$AC$175,"Всего по тарифу")</f>
        <v>0</v>
      </c>
      <c r="AV114" s="785">
        <f>_xlfn.SUMIFS(ЭЭ!AU$25:AU$175,ЭЭ!$F$25:$F$175,$F114,ЭЭ!$AC$25:$AC$175,"Всего по тарифу")</f>
        <v>0</v>
      </c>
      <c r="AW114" s="785">
        <f>_xlfn.SUMIFS(ЭЭ!AV$25:AV$175,ЭЭ!$F$25:$F$175,$F114,ЭЭ!$AC$25:$AC$175,"Всего по тарифу")</f>
        <v>0</v>
      </c>
      <c r="AX114" s="785">
        <f>_xlfn.SUMIFS(ЭЭ!AW$25:AW$175,ЭЭ!$F$25:$F$175,$F114,ЭЭ!$AC$25:$AC$175,"Всего по тарифу")</f>
        <v>0</v>
      </c>
      <c r="AY114" s="785">
        <f>_xlfn.SUMIFS(ЭЭ!AX$25:AX$175,ЭЭ!$F$25:$F$175,$F114,ЭЭ!$AC$25:$AC$175,"Всего по тарифу")</f>
        <v>0</v>
      </c>
      <c r="AZ114" s="785">
        <f>_xlfn.SUMIFS(ЭЭ!AY$25:AY$175,ЭЭ!$F$25:$F$175,$F114,ЭЭ!$AC$25:$AC$175,"Всего по тарифу")</f>
        <v>0</v>
      </c>
      <c r="BA114" s="785">
        <f>_xlfn.SUMIFS(ЭЭ!AZ$25:AZ$175,ЭЭ!$F$25:$F$175,$F114,ЭЭ!$AC$25:$AC$175,"Всего по тарифу")</f>
        <v>0</v>
      </c>
      <c r="BB114" s="785">
        <f>_xlfn.SUMIFS(ЭЭ!BA$25:BA$175,ЭЭ!$F$25:$F$175,$F114,ЭЭ!$AC$25:$AC$175,"Всего по тарифу")</f>
        <v>0</v>
      </c>
      <c r="BC114" s="785">
        <f>_xlfn.SUMIFS(ЭЭ!BB$25:BB$175,ЭЭ!$F$25:$F$175,$F114,ЭЭ!$AC$25:$AC$175,"Всего по тарифу")</f>
        <v>0</v>
      </c>
      <c r="BD114" s="785">
        <f>IF(AI114=0,0,(AT114-AI114)/AI114*100)</f>
        <v>0</v>
      </c>
      <c r="BE114" s="785">
        <f>IF(AT114=0,0,(AU114-AT114)/AT114*100)</f>
        <v>0</v>
      </c>
      <c r="BF114" s="785">
        <f>IF(AU114=0,0,(AV114-AU114)/AU114*100)</f>
        <v>0</v>
      </c>
      <c r="BG114" s="785">
        <f>IF(AV114=0,0,(AW114-AV114)/AV114*100)</f>
        <v>0</v>
      </c>
      <c r="BH114" s="785">
        <f>IF(AW114=0,0,(AX114-AW114)/AW114*100)</f>
        <v>0</v>
      </c>
      <c r="BI114" s="785">
        <f>IF(AX114=0,0,(AY114-AX114)/AX114*100)</f>
        <v>0</v>
      </c>
      <c r="BJ114" s="785">
        <f>IF(AY114=0,0,(AZ114-AY114)/AY114*100)</f>
        <v>0</v>
      </c>
      <c r="BK114" s="785">
        <f>IF(AZ114=0,0,(BA114-AZ114)/AZ114*100)</f>
        <v>0</v>
      </c>
      <c r="BL114" s="785">
        <f>IF(BA114=0,0,(BB114-BA114)/BA114*100)</f>
        <v>0</v>
      </c>
      <c r="BM114" s="785">
        <f>IF(BB114=0,0,(BC114-BB114)/BB114*100)</f>
        <v>0</v>
      </c>
      <c r="BN114" s="1257"/>
      <c r="BO114" s="1264" t="str">
        <f>IF(_xlfn.IFERROR(INDEX(ЭЭ!$K$26:$L$175,MATCH($F114&amp;"komm",ЭЭ!$K$26:$K$175,0),2),"")=0,"",_xlfn.IFERROR(INDEX(ЭЭ!$K$26:$L$175,MATCH($F114&amp;"komm",ЭЭ!$K$26:$K$175,0),2),""))</f>
        <v/>
      </c>
      <c r="BP114" s="1257"/>
      <c r="BQ114" s="706"/>
      <c r="BR114" s="706"/>
      <c r="BS114" s="1078" t="s">
        <v>1984</v>
      </c>
      <c r="BT114" s="1078"/>
      <c r="BU114" s="1078"/>
      <c r="BV114" s="713"/>
      <c r="BW114" s="713"/>
    </row>
    <row s="706" customFormat="1" customHeight="1" ht="21.9375" hidden="1">
      <c r="A115" s="706"/>
      <c r="B115" s="158">
        <f>method_reg="Метод индексации"</f>
        <v>1</v>
      </c>
      <c r="C115" s="105"/>
      <c r="D115" s="105"/>
      <c r="E115" s="833">
        <v>22.5</v>
      </c>
      <c r="F115" s="50" cm="1" t="str">
        <f t="array" ref="F115:F115">OFFSET(E115,-1,1)</f>
        <v>0</v>
      </c>
      <c r="G115" s="103" t="s">
        <v>1726</v>
      </c>
      <c r="H115" s="103"/>
      <c r="I115" s="103" t="s">
        <v>348</v>
      </c>
      <c r="J115" s="105"/>
      <c r="K115" s="154"/>
      <c r="L115" s="993" t="s">
        <v>347</v>
      </c>
      <c r="M115" s="105"/>
      <c r="N115" s="105"/>
      <c r="O115" s="105"/>
      <c r="P115" s="105"/>
      <c r="Q115" s="105"/>
      <c r="R115" s="105"/>
      <c r="S115" s="105"/>
      <c r="T115" s="468" cm="1" t="str">
        <f t="array" ref="T115:T115">T114</f>
        <v>false</v>
      </c>
      <c r="U115" s="105"/>
      <c r="V115" s="105"/>
      <c r="W115" s="105"/>
      <c r="X115" s="1559"/>
      <c r="Y115" s="706"/>
      <c r="Z115" s="1529"/>
      <c r="AA115" s="706"/>
      <c r="AB115" s="207" t="s">
        <v>451</v>
      </c>
      <c r="AC115" s="208" t="s">
        <v>2369</v>
      </c>
      <c r="AD115" s="207" t="s">
        <v>936</v>
      </c>
      <c r="AE115" s="785">
        <f>_xlfn.SUMIFS(Амортизация!AE$25:AE$223,Амортизация!$F$25:$F$223,$F115,Амортизация!$AC$25:$AC$223,"Сумма амортизационных отчислений")</f>
        <v>0</v>
      </c>
      <c r="AF115" s="785">
        <f>_xlfn.SUMIFS(Амортизация!AF$25:AF$223,Амортизация!$F$25:$F$223,$F115,Амортизация!$AC$25:$AC$223,"Сумма амортизационных отчислений")</f>
        <v>0</v>
      </c>
      <c r="AG115" s="785">
        <f>_xlfn.SUMIFS(Амортизация!AG$25:AG$223,Амортизация!$F$25:$F$223,$F115,Амортизация!$AC$25:$AC$223,"Сумма амортизационных отчислений")</f>
        <v>0</v>
      </c>
      <c r="AH115" s="785">
        <f>AG115-AF115</f>
        <v>0</v>
      </c>
      <c r="AI115" s="785">
        <f>_xlfn.SUMIFS(Амортизация!AH$25:AH$223,Амортизация!$F$25:$F$223,$F115,Амортизация!$AC$25:$AC$223,"Сумма амортизационных отчислений")</f>
        <v>0</v>
      </c>
      <c r="AJ115" s="785">
        <f>_xlfn.SUMIFS(Амортизация!AI$25:AI$223,Амортизация!$F$25:$F$223,$F115,Амортизация!$AC$25:$AC$223,"Сумма амортизационных отчислений")</f>
        <v>0</v>
      </c>
      <c r="AK115" s="785">
        <f>_xlfn.SUMIFS(Амортизация!AJ$25:AJ$223,Амортизация!$F$25:$F$223,$F115,Амортизация!$AC$25:$AC$223,"Сумма амортизационных отчислений")</f>
        <v>0</v>
      </c>
      <c r="AL115" s="785">
        <f>_xlfn.SUMIFS(Амортизация!AK$25:AK$223,Амортизация!$F$25:$F$223,$F115,Амортизация!$AC$25:$AC$223,"Сумма амортизационных отчислений")</f>
        <v>0</v>
      </c>
      <c r="AM115" s="785">
        <f>_xlfn.SUMIFS(Амортизация!AL$25:AL$223,Амортизация!$F$25:$F$223,$F115,Амортизация!$AC$25:$AC$223,"Сумма амортизационных отчислений")</f>
        <v>0</v>
      </c>
      <c r="AN115" s="785">
        <f>_xlfn.SUMIFS(Амортизация!AM$25:AM$223,Амортизация!$F$25:$F$223,$F115,Амортизация!$AC$25:$AC$223,"Сумма амортизационных отчислений")</f>
        <v>0</v>
      </c>
      <c r="AO115" s="785">
        <f>_xlfn.SUMIFS(Амортизация!AN$25:AN$223,Амортизация!$F$25:$F$223,$F115,Амортизация!$AC$25:$AC$223,"Сумма амортизационных отчислений")</f>
        <v>0</v>
      </c>
      <c r="AP115" s="785">
        <f>_xlfn.SUMIFS(Амортизация!AO$25:AO$223,Амортизация!$F$25:$F$223,$F115,Амортизация!$AC$25:$AC$223,"Сумма амортизационных отчислений")</f>
        <v>0</v>
      </c>
      <c r="AQ115" s="785">
        <f>_xlfn.SUMIFS(Амортизация!AP$25:AP$223,Амортизация!$F$25:$F$223,$F115,Амортизация!$AC$25:$AC$223,"Сумма амортизационных отчислений")</f>
        <v>0</v>
      </c>
      <c r="AR115" s="785">
        <f>_xlfn.SUMIFS(Амортизация!AQ$25:AQ$223,Амортизация!$F$25:$F$223,$F115,Амортизация!$AC$25:$AC$223,"Сумма амортизационных отчислений")</f>
        <v>0</v>
      </c>
      <c r="AS115" s="785">
        <f>_xlfn.SUMIFS(Амортизация!AR$25:AR$223,Амортизация!$F$25:$F$223,$F115,Амортизация!$AC$25:$AC$223,"Сумма амортизационных отчислений")</f>
        <v>0</v>
      </c>
      <c r="AT115" s="785">
        <f>_xlfn.SUMIFS(Амортизация!AS$25:AS$223,Амортизация!$F$25:$F$223,$F115,Амортизация!$AC$25:$AC$223,"Сумма амортизационных отчислений")</f>
        <v>0</v>
      </c>
      <c r="AU115" s="785">
        <f>_xlfn.SUMIFS(Амортизация!AT$25:AT$223,Амортизация!$F$25:$F$223,$F115,Амортизация!$AC$25:$AC$223,"Сумма амортизационных отчислений")</f>
        <v>0</v>
      </c>
      <c r="AV115" s="785">
        <f>_xlfn.SUMIFS(Амортизация!AU$25:AU$223,Амортизация!$F$25:$F$223,$F115,Амортизация!$AC$25:$AC$223,"Сумма амортизационных отчислений")</f>
        <v>0</v>
      </c>
      <c r="AW115" s="785">
        <f>_xlfn.SUMIFS(Амортизация!AV$25:AV$223,Амортизация!$F$25:$F$223,$F115,Амортизация!$AC$25:$AC$223,"Сумма амортизационных отчислений")</f>
        <v>0</v>
      </c>
      <c r="AX115" s="785">
        <f>_xlfn.SUMIFS(Амортизация!AW$25:AW$223,Амортизация!$F$25:$F$223,$F115,Амортизация!$AC$25:$AC$223,"Сумма амортизационных отчислений")</f>
        <v>0</v>
      </c>
      <c r="AY115" s="785">
        <f>_xlfn.SUMIFS(Амортизация!AX$25:AX$223,Амортизация!$F$25:$F$223,$F115,Амортизация!$AC$25:$AC$223,"Сумма амортизационных отчислений")</f>
        <v>0</v>
      </c>
      <c r="AZ115" s="785">
        <f>_xlfn.SUMIFS(Амортизация!AY$25:AY$223,Амортизация!$F$25:$F$223,$F115,Амортизация!$AC$25:$AC$223,"Сумма амортизационных отчислений")</f>
        <v>0</v>
      </c>
      <c r="BA115" s="785">
        <f>_xlfn.SUMIFS(Амортизация!AZ$25:AZ$223,Амортизация!$F$25:$F$223,$F115,Амортизация!$AC$25:$AC$223,"Сумма амортизационных отчислений")</f>
        <v>0</v>
      </c>
      <c r="BB115" s="785">
        <f>_xlfn.SUMIFS(Амортизация!BA$25:BA$223,Амортизация!$F$25:$F$223,$F115,Амортизация!$AC$25:$AC$223,"Сумма амортизационных отчислений")</f>
        <v>0</v>
      </c>
      <c r="BC115" s="785">
        <f>_xlfn.SUMIFS(Амортизация!BB$25:BB$223,Амортизация!$F$25:$F$223,$F115,Амортизация!$AC$25:$AC$223,"Сумма амортизационных отчислений")</f>
        <v>0</v>
      </c>
      <c r="BD115" s="785">
        <f>IF(AI115=0,0,(AT115-AI115)/AI115*100)</f>
        <v>0</v>
      </c>
      <c r="BE115" s="785">
        <f>IF(AT115=0,0,(AU115-AT115)/AT115*100)</f>
        <v>0</v>
      </c>
      <c r="BF115" s="785">
        <f>IF(AU115=0,0,(AV115-AU115)/AU115*100)</f>
        <v>0</v>
      </c>
      <c r="BG115" s="785">
        <f>IF(AV115=0,0,(AW115-AV115)/AV115*100)</f>
        <v>0</v>
      </c>
      <c r="BH115" s="785">
        <f>IF(AW115=0,0,(AX115-AW115)/AW115*100)</f>
        <v>0</v>
      </c>
      <c r="BI115" s="785">
        <f>IF(AX115=0,0,(AY115-AX115)/AX115*100)</f>
        <v>0</v>
      </c>
      <c r="BJ115" s="785">
        <f>IF(AY115=0,0,(AZ115-AY115)/AY115*100)</f>
        <v>0</v>
      </c>
      <c r="BK115" s="785">
        <f>IF(AZ115=0,0,(BA115-AZ115)/AZ115*100)</f>
        <v>0</v>
      </c>
      <c r="BL115" s="785">
        <f>IF(BA115=0,0,(BB115-BA115)/BA115*100)</f>
        <v>0</v>
      </c>
      <c r="BM115" s="785">
        <f>IF(BB115=0,0,(BC115-BB115)/BB115*100)</f>
        <v>0</v>
      </c>
      <c r="BN115" s="1257"/>
      <c r="BO115" s="1261" t="str">
        <f>IF(_xlfn.IFERROR(INDEX(Амортизация!$K$26:$L$223,MATCH($F115&amp;"komm",Амортизация!$K$26:$K$223,0),2),"")=0,"",_xlfn.IFERROR(INDEX(Амортизация!$K$26:$L$223,MATCH($F115&amp;"komm",Амортизация!$K$26:$K$223,0),2),""))</f>
        <v/>
      </c>
      <c r="BP115" s="1257"/>
      <c r="BQ115" s="706"/>
      <c r="BR115" s="706"/>
      <c r="BS115" s="1078" t="s">
        <v>1435</v>
      </c>
      <c r="BT115" s="1078"/>
      <c r="BU115" s="1078"/>
      <c r="BV115" s="713"/>
      <c r="BW115" s="713"/>
    </row>
    <row customHeight="1" ht="14.625" hidden="1">
      <c r="A116" s="1297"/>
      <c r="B116" s="434" cm="1" t="str">
        <f t="array" ref="B116:B116">B115</f>
        <v>true</v>
      </c>
      <c r="C116" s="103"/>
      <c r="D116" s="103"/>
      <c r="E116" s="626">
        <v>15</v>
      </c>
      <c r="F116" s="50" cm="1" t="str">
        <f t="array" ref="F116:F116">OFFSET(E116,-1,1)</f>
        <v>0</v>
      </c>
      <c r="G116" s="103"/>
      <c r="H116" s="103"/>
      <c r="I116" s="103" t="s">
        <v>659</v>
      </c>
      <c r="J116" s="103"/>
      <c r="K116" s="1297"/>
      <c r="L116" s="988" t="s">
        <v>673</v>
      </c>
      <c r="M116" s="103"/>
      <c r="N116" s="103"/>
      <c r="O116" s="103"/>
      <c r="P116" s="103"/>
      <c r="Q116" s="103"/>
      <c r="R116" s="103"/>
      <c r="S116" s="103"/>
      <c r="T116" s="468" cm="1" t="str">
        <f t="array" ref="T116:T116">T115</f>
        <v>false</v>
      </c>
      <c r="U116" s="103"/>
      <c r="V116" s="103"/>
      <c r="W116" s="103"/>
      <c r="X116" s="1559"/>
      <c r="Y116" s="1297"/>
      <c r="Z116" s="1529"/>
      <c r="AA116" s="1297"/>
      <c r="AB116" s="296" t="s">
        <v>794</v>
      </c>
      <c r="AC116" s="769" t="s">
        <v>2076</v>
      </c>
      <c r="AD116" s="296" t="s">
        <v>936</v>
      </c>
      <c r="AE116" s="1260">
        <f>_xlfn.SUMIFS('ИП + источники'!AF$27:AF$174,'ИП + источники'!$F$27:$F$174,$F116,'ИП + источники'!$AC$27:$AC$174,"Амортизационные отчисления")+_xlfn.SUMIFS('ИП + источники'!AF$27:AF$174,'ИП + источники'!$F$27:$F$174,$F116,'ИП + источники'!$AC$27:$AC$174,"погашение займов и кредитов из амортизации")</f>
        <v>0</v>
      </c>
      <c r="AF116" s="1260">
        <f>_xlfn.SUMIFS('ИП + источники'!AG$27:AG$174,'ИП + источники'!$F$27:$F$174,$F116,'ИП + источники'!$AC$27:$AC$174,"Амортизационные отчисления")+_xlfn.SUMIFS('ИП + источники'!AG$27:AG$174,'ИП + источники'!$F$27:$F$174,$F116,'ИП + источники'!$AC$27:$AC$174,"погашение займов и кредитов из амортизации")</f>
        <v>0</v>
      </c>
      <c r="AG116" s="1260">
        <f>_xlfn.SUMIFS('ИП + источники'!AH$27:AH$174,'ИП + источники'!$F$27:$F$174,$F116,'ИП + источники'!$AC$27:$AC$174,"Амортизационные отчисления")+_xlfn.SUMIFS('ИП + источники'!AH$27:AH$174,'ИП + источники'!$F$27:$F$174,$F116,'ИП + источники'!$AC$27:$AC$174,"погашение займов и кредитов из амортизации")</f>
        <v>0</v>
      </c>
      <c r="AH116" s="1123">
        <f>AG116-AF116</f>
        <v>0</v>
      </c>
      <c r="AI116" s="1260">
        <f>_xlfn.SUMIFS('ИП + источники'!AJ$27:AJ$174,'ИП + источники'!$F$27:$F$174,$F116,'ИП + источники'!$AC$27:$AC$174,"Амортизационные отчисления")+_xlfn.SUMIFS('ИП + источники'!AJ$27:AJ$174,'ИП + источники'!$F$27:$F$174,$F116,'ИП + источники'!$AC$27:$AC$174,"погашение займов и кредитов из амортизации")</f>
        <v>0</v>
      </c>
      <c r="AJ116" s="1260">
        <f>_xlfn.SUMIFS('ИП + источники'!AK$27:AK$174,'ИП + источники'!$F$27:$F$174,$F116,'ИП + источники'!$AC$27:$AC$174,"Амортизационные отчисления")+_xlfn.SUMIFS('ИП + источники'!AK$27:AK$174,'ИП + источники'!$F$27:$F$174,$F116,'ИП + источники'!$AC$27:$AC$174,"погашение займов и кредитов из амортизации")</f>
        <v>0</v>
      </c>
      <c r="AK116" s="1260">
        <f>_xlfn.SUMIFS('ИП + источники'!AL$27:AL$174,'ИП + источники'!$F$27:$F$174,$F116,'ИП + источники'!$AC$27:$AC$174,"Амортизационные отчисления")+_xlfn.SUMIFS('ИП + источники'!AL$27:AL$174,'ИП + источники'!$F$27:$F$174,$F116,'ИП + источники'!$AC$27:$AC$174,"погашение займов и кредитов из амортизации")</f>
        <v>0</v>
      </c>
      <c r="AL116" s="1260">
        <f>_xlfn.SUMIFS('ИП + источники'!AM$27:AM$174,'ИП + источники'!$F$27:$F$174,$F116,'ИП + источники'!$AC$27:$AC$174,"Амортизационные отчисления")+_xlfn.SUMIFS('ИП + источники'!AM$27:AM$174,'ИП + источники'!$F$27:$F$174,$F116,'ИП + источники'!$AC$27:$AC$174,"погашение займов и кредитов из амортизации")</f>
        <v>0</v>
      </c>
      <c r="AM116" s="1260">
        <f>_xlfn.SUMIFS('ИП + источники'!AN$27:AN$174,'ИП + источники'!$F$27:$F$174,$F116,'ИП + источники'!$AC$27:$AC$174,"Амортизационные отчисления")+_xlfn.SUMIFS('ИП + источники'!AN$27:AN$174,'ИП + источники'!$F$27:$F$174,$F116,'ИП + источники'!$AC$27:$AC$174,"погашение займов и кредитов из амортизации")</f>
        <v>0</v>
      </c>
      <c r="AN116" s="1260">
        <f>_xlfn.SUMIFS('ИП + источники'!AO$27:AO$174,'ИП + источники'!$F$27:$F$174,$F116,'ИП + источники'!$AC$27:$AC$174,"Амортизационные отчисления")+_xlfn.SUMIFS('ИП + источники'!AO$27:AO$174,'ИП + источники'!$F$27:$F$174,$F116,'ИП + источники'!$AC$27:$AC$174,"погашение займов и кредитов из амортизации")</f>
        <v>0</v>
      </c>
      <c r="AO116" s="1260">
        <f>_xlfn.SUMIFS('ИП + источники'!AP$27:AP$174,'ИП + источники'!$F$27:$F$174,$F116,'ИП + источники'!$AC$27:$AC$174,"Амортизационные отчисления")+_xlfn.SUMIFS('ИП + источники'!AP$27:AP$174,'ИП + источники'!$F$27:$F$174,$F116,'ИП + источники'!$AC$27:$AC$174,"погашение займов и кредитов из амортизации")</f>
        <v>0</v>
      </c>
      <c r="AP116" s="1260">
        <f>_xlfn.SUMIFS('ИП + источники'!AQ$27:AQ$174,'ИП + источники'!$F$27:$F$174,$F116,'ИП + источники'!$AC$27:$AC$174,"Амортизационные отчисления")+_xlfn.SUMIFS('ИП + источники'!AQ$27:AQ$174,'ИП + источники'!$F$27:$F$174,$F116,'ИП + источники'!$AC$27:$AC$174,"погашение займов и кредитов из амортизации")</f>
        <v>0</v>
      </c>
      <c r="AQ116" s="1260">
        <f>_xlfn.SUMIFS('ИП + источники'!AR$27:AR$174,'ИП + источники'!$F$27:$F$174,$F116,'ИП + источники'!$AC$27:$AC$174,"Амортизационные отчисления")+_xlfn.SUMIFS('ИП + источники'!AR$27:AR$174,'ИП + источники'!$F$27:$F$174,$F116,'ИП + источники'!$AC$27:$AC$174,"погашение займов и кредитов из амортизации")</f>
        <v>0</v>
      </c>
      <c r="AR116" s="1260">
        <f>_xlfn.SUMIFS('ИП + источники'!AS$27:AS$174,'ИП + источники'!$F$27:$F$174,$F116,'ИП + источники'!$AC$27:$AC$174,"Амортизационные отчисления")+_xlfn.SUMIFS('ИП + источники'!AS$27:AS$174,'ИП + источники'!$F$27:$F$174,$F116,'ИП + источники'!$AC$27:$AC$174,"погашение займов и кредитов из амортизации")</f>
        <v>0</v>
      </c>
      <c r="AS116" s="1260">
        <f>_xlfn.SUMIFS('ИП + источники'!AT$27:AT$174,'ИП + источники'!$F$27:$F$174,$F116,'ИП + источники'!$AC$27:$AC$174,"Амортизационные отчисления")+_xlfn.SUMIFS('ИП + источники'!AT$27:AT$174,'ИП + источники'!$F$27:$F$174,$F116,'ИП + источники'!$AC$27:$AC$174,"погашение займов и кредитов из амортизации")</f>
        <v>0</v>
      </c>
      <c r="AT116" s="1260">
        <f>_xlfn.SUMIFS('ИП + источники'!AU$27:AU$174,'ИП + источники'!$F$27:$F$174,$F116,'ИП + источники'!$AC$27:$AC$174,"Амортизационные отчисления")+_xlfn.SUMIFS('ИП + источники'!AU$27:AU$174,'ИП + источники'!$F$27:$F$174,$F116,'ИП + источники'!$AC$27:$AC$174,"погашение займов и кредитов из амортизации")</f>
        <v>0</v>
      </c>
      <c r="AU116" s="1260">
        <f>_xlfn.SUMIFS('ИП + источники'!AV$27:AV$174,'ИП + источники'!$F$27:$F$174,$F116,'ИП + источники'!$AC$27:$AC$174,"Амортизационные отчисления")+_xlfn.SUMIFS('ИП + источники'!AV$27:AV$174,'ИП + источники'!$F$27:$F$174,$F116,'ИП + источники'!$AC$27:$AC$174,"погашение займов и кредитов из амортизации")</f>
        <v>0</v>
      </c>
      <c r="AV116" s="1260">
        <f>_xlfn.SUMIFS('ИП + источники'!AW$27:AW$174,'ИП + источники'!$F$27:$F$174,$F116,'ИП + источники'!$AC$27:$AC$174,"Амортизационные отчисления")+_xlfn.SUMIFS('ИП + источники'!AW$27:AW$174,'ИП + источники'!$F$27:$F$174,$F116,'ИП + источники'!$AC$27:$AC$174,"погашение займов и кредитов из амортизации")</f>
        <v>0</v>
      </c>
      <c r="AW116" s="1260">
        <f>_xlfn.SUMIFS('ИП + источники'!AX$27:AX$174,'ИП + источники'!$F$27:$F$174,$F116,'ИП + источники'!$AC$27:$AC$174,"Амортизационные отчисления")+_xlfn.SUMIFS('ИП + источники'!AX$27:AX$174,'ИП + источники'!$F$27:$F$174,$F116,'ИП + источники'!$AC$27:$AC$174,"погашение займов и кредитов из амортизации")</f>
        <v>0</v>
      </c>
      <c r="AX116" s="1260">
        <f>_xlfn.SUMIFS('ИП + источники'!AY$27:AY$174,'ИП + источники'!$F$27:$F$174,$F116,'ИП + источники'!$AC$27:$AC$174,"Амортизационные отчисления")+_xlfn.SUMIFS('ИП + источники'!AY$27:AY$174,'ИП + источники'!$F$27:$F$174,$F116,'ИП + источники'!$AC$27:$AC$174,"погашение займов и кредитов из амортизации")</f>
        <v>0</v>
      </c>
      <c r="AY116" s="1260">
        <f>_xlfn.SUMIFS('ИП + источники'!AZ$27:AZ$174,'ИП + источники'!$F$27:$F$174,$F116,'ИП + источники'!$AC$27:$AC$174,"Амортизационные отчисления")+_xlfn.SUMIFS('ИП + источники'!AZ$27:AZ$174,'ИП + источники'!$F$27:$F$174,$F116,'ИП + источники'!$AC$27:$AC$174,"погашение займов и кредитов из амортизации")</f>
        <v>0</v>
      </c>
      <c r="AZ116" s="1260">
        <f>_xlfn.SUMIFS('ИП + источники'!BA$27:BA$174,'ИП + источники'!$F$27:$F$174,$F116,'ИП + источники'!$AC$27:$AC$174,"Амортизационные отчисления")+_xlfn.SUMIFS('ИП + источники'!BA$27:BA$174,'ИП + источники'!$F$27:$F$174,$F116,'ИП + источники'!$AC$27:$AC$174,"погашение займов и кредитов из амортизации")</f>
        <v>0</v>
      </c>
      <c r="BA116" s="1260">
        <f>_xlfn.SUMIFS('ИП + источники'!BB$27:BB$174,'ИП + источники'!$F$27:$F$174,$F116,'ИП + источники'!$AC$27:$AC$174,"Амортизационные отчисления")+_xlfn.SUMIFS('ИП + источники'!BB$27:BB$174,'ИП + источники'!$F$27:$F$174,$F116,'ИП + источники'!$AC$27:$AC$174,"погашение займов и кредитов из амортизации")</f>
        <v>0</v>
      </c>
      <c r="BB116" s="1260">
        <f>_xlfn.SUMIFS('ИП + источники'!BC$27:BC$174,'ИП + источники'!$F$27:$F$174,$F116,'ИП + источники'!$AC$27:$AC$174,"Амортизационные отчисления")+_xlfn.SUMIFS('ИП + источники'!BC$27:BC$174,'ИП + источники'!$F$27:$F$174,$F116,'ИП + источники'!$AC$27:$AC$174,"погашение займов и кредитов из амортизации")</f>
        <v>0</v>
      </c>
      <c r="BC116" s="1260">
        <f>_xlfn.SUMIFS('ИП + источники'!BD$27:BD$174,'ИП + источники'!$F$27:$F$174,$F116,'ИП + источники'!$AC$27:$AC$174,"Амортизационные отчисления")+_xlfn.SUMIFS('ИП + источники'!BD$27:BD$174,'ИП + источники'!$F$27:$F$174,$F116,'ИП + источники'!$AC$27:$AC$174,"погашение займов и кредитов из амортизации")</f>
        <v>0</v>
      </c>
      <c r="BD116" s="1123">
        <f>IF(AI116=0,0,(AT116-AI116)/AI116*100)</f>
        <v>0</v>
      </c>
      <c r="BE116" s="1123">
        <f>IF(AT116=0,0,(AU116-AT116)/AT116*100)</f>
        <v>0</v>
      </c>
      <c r="BF116" s="1123">
        <f>IF(AU116=0,0,(AV116-AU116)/AU116*100)</f>
        <v>0</v>
      </c>
      <c r="BG116" s="1123">
        <f>IF(AV116=0,0,(AW116-AV116)/AV116*100)</f>
        <v>0</v>
      </c>
      <c r="BH116" s="1123">
        <f>IF(AW116=0,0,(AX116-AW116)/AW116*100)</f>
        <v>0</v>
      </c>
      <c r="BI116" s="1123">
        <f>IF(AX116=0,0,(AY116-AX116)/AX116*100)</f>
        <v>0</v>
      </c>
      <c r="BJ116" s="1123">
        <f>IF(AY116=0,0,(AZ116-AY116)/AY116*100)</f>
        <v>0</v>
      </c>
      <c r="BK116" s="1123">
        <f>IF(AZ116=0,0,(BA116-AZ116)/AZ116*100)</f>
        <v>0</v>
      </c>
      <c r="BL116" s="1123">
        <f>IF(BA116=0,0,(BB116-BA116)/BA116*100)</f>
        <v>0</v>
      </c>
      <c r="BM116" s="1123">
        <f>IF(BB116=0,0,(BC116-BB116)/BB116*100)</f>
        <v>0</v>
      </c>
      <c r="BN116" s="1257"/>
      <c r="BO116" s="1257"/>
      <c r="BP116" s="1257"/>
      <c r="BQ116" s="1297"/>
      <c r="BR116" s="1297"/>
      <c r="BS116" s="1072" t="s">
        <v>2077</v>
      </c>
      <c r="BT116" s="1072"/>
      <c r="BU116" s="1072"/>
      <c r="BV116" s="987"/>
      <c r="BW116" s="987"/>
    </row>
    <row s="706" customFormat="1" customHeight="1" ht="20.475" hidden="1">
      <c r="A117" s="706"/>
      <c r="B117" s="434" cm="1" t="str">
        <f t="array" ref="B117:B117">B116</f>
        <v>true</v>
      </c>
      <c r="C117" s="105"/>
      <c r="D117" s="105"/>
      <c r="E117" s="833">
        <v>21</v>
      </c>
      <c r="F117" s="50" cm="1" t="str">
        <f t="array" ref="F117:F117">OFFSET(E117,-1,1)</f>
        <v>0</v>
      </c>
      <c r="G117" s="103" t="s">
        <v>1730</v>
      </c>
      <c r="H117" s="103"/>
      <c r="I117" s="103" t="s">
        <v>347</v>
      </c>
      <c r="J117" s="105"/>
      <c r="K117" s="154"/>
      <c r="L117" s="993" t="s">
        <v>685</v>
      </c>
      <c r="M117" s="105"/>
      <c r="N117" s="105"/>
      <c r="O117" s="105"/>
      <c r="P117" s="105"/>
      <c r="Q117" s="105"/>
      <c r="R117" s="105"/>
      <c r="S117" s="105"/>
      <c r="T117" s="468" cm="1" t="str">
        <f t="array" ref="T117:T117">T116</f>
        <v>false</v>
      </c>
      <c r="U117" s="105"/>
      <c r="V117" s="105"/>
      <c r="W117" s="105"/>
      <c r="X117" s="1559"/>
      <c r="Y117" s="706"/>
      <c r="Z117" s="1529"/>
      <c r="AA117" s="706"/>
      <c r="AB117" s="207" t="s">
        <v>454</v>
      </c>
      <c r="AC117" s="208" t="s">
        <v>1730</v>
      </c>
      <c r="AD117" s="230" t="s">
        <v>936</v>
      </c>
      <c r="AE117" s="209">
        <f>AE118+AE119+AE120+AE121</f>
        <v>0</v>
      </c>
      <c r="AF117" s="209">
        <f>AF118+AF119+AF120+AF121</f>
        <v>0</v>
      </c>
      <c r="AG117" s="209">
        <f>AG118+AG119+AG120+AG121</f>
        <v>0</v>
      </c>
      <c r="AH117" s="209">
        <f>AG117-AF117</f>
        <v>0</v>
      </c>
      <c r="AI117" s="209">
        <f>AI118+AI119+AI120+AI121</f>
        <v>0</v>
      </c>
      <c r="AJ117" s="209">
        <f>AJ118+AJ119+AJ120+AJ121</f>
        <v>0</v>
      </c>
      <c r="AK117" s="209">
        <f>AK118+AK119+AK120+AK121</f>
        <v>0</v>
      </c>
      <c r="AL117" s="209">
        <f>AL118+AL119+AL120+AL121</f>
        <v>0</v>
      </c>
      <c r="AM117" s="209">
        <f>AM118+AM119+AM120+AM121</f>
        <v>0</v>
      </c>
      <c r="AN117" s="209">
        <f>AN118+AN119+AN120+AN121</f>
        <v>0</v>
      </c>
      <c r="AO117" s="209">
        <f>AO118+AO119+AO120+AO121</f>
        <v>0</v>
      </c>
      <c r="AP117" s="209">
        <f>AP118+AP119+AP120+AP121</f>
        <v>0</v>
      </c>
      <c r="AQ117" s="209">
        <f>AQ118+AQ119+AQ120+AQ121</f>
        <v>0</v>
      </c>
      <c r="AR117" s="209">
        <f>AR118+AR119+AR120+AR121</f>
        <v>0</v>
      </c>
      <c r="AS117" s="209">
        <f>AS118+AS119+AS120+AS121</f>
        <v>0</v>
      </c>
      <c r="AT117" s="209">
        <f>AT118+AT119+AT120+AT121</f>
        <v>0</v>
      </c>
      <c r="AU117" s="209">
        <f>AU118+AU119+AU120+AU121</f>
        <v>0</v>
      </c>
      <c r="AV117" s="209">
        <f>AV118+AV119+AV120+AV121</f>
        <v>0</v>
      </c>
      <c r="AW117" s="209">
        <f>AW118+AW119+AW120+AW121</f>
        <v>0</v>
      </c>
      <c r="AX117" s="209">
        <f>AX118+AX119+AX120+AX121</f>
        <v>0</v>
      </c>
      <c r="AY117" s="209">
        <f>AY118+AY119+AY120+AY121</f>
        <v>0</v>
      </c>
      <c r="AZ117" s="209">
        <f>AZ118+AZ119+AZ120+AZ121</f>
        <v>0</v>
      </c>
      <c r="BA117" s="209">
        <f>BA118+BA119+BA120+BA121</f>
        <v>0</v>
      </c>
      <c r="BB117" s="209">
        <f>BB118+BB119+BB120+BB121</f>
        <v>0</v>
      </c>
      <c r="BC117" s="209">
        <f>BC118+BC119+BC120+BC121</f>
        <v>0</v>
      </c>
      <c r="BD117" s="785">
        <f>IF(AI117=0,0,(AT117-AI117)/AI117*100)</f>
        <v>0</v>
      </c>
      <c r="BE117" s="785">
        <f>IF(AT117=0,0,(AU117-AT117)/AT117*100)</f>
        <v>0</v>
      </c>
      <c r="BF117" s="785">
        <f>IF(AU117=0,0,(AV117-AU117)/AU117*100)</f>
        <v>0</v>
      </c>
      <c r="BG117" s="785">
        <f>IF(AV117=0,0,(AW117-AV117)/AV117*100)</f>
        <v>0</v>
      </c>
      <c r="BH117" s="785">
        <f>IF(AW117=0,0,(AX117-AW117)/AW117*100)</f>
        <v>0</v>
      </c>
      <c r="BI117" s="785">
        <f>IF(AX117=0,0,(AY117-AX117)/AX117*100)</f>
        <v>0</v>
      </c>
      <c r="BJ117" s="785">
        <f>IF(AY117=0,0,(AZ117-AY117)/AY117*100)</f>
        <v>0</v>
      </c>
      <c r="BK117" s="785">
        <f>IF(AZ117=0,0,(BA117-AZ117)/AZ117*100)</f>
        <v>0</v>
      </c>
      <c r="BL117" s="785">
        <f>IF(BA117=0,0,(BB117-BA117)/BA117*100)</f>
        <v>0</v>
      </c>
      <c r="BM117" s="785">
        <f>IF(BB117=0,0,(BC117-BB117)/BB117*100)</f>
        <v>0</v>
      </c>
      <c r="BN117" s="1257"/>
      <c r="BO117" s="1257"/>
      <c r="BP117" s="1257"/>
      <c r="BQ117" s="706"/>
      <c r="BR117" s="706"/>
      <c r="BS117" s="1071" t="s">
        <v>1734</v>
      </c>
      <c r="BT117" s="1078"/>
      <c r="BU117" s="1078"/>
      <c r="BV117" s="713"/>
      <c r="BW117" s="713"/>
    </row>
    <row customHeight="1" ht="14.625" hidden="1">
      <c r="A118" s="1297"/>
      <c r="B118" s="434" cm="1" t="str">
        <f t="array" ref="B118:B118">B117</f>
        <v>true</v>
      </c>
      <c r="C118" s="103"/>
      <c r="D118" s="103"/>
      <c r="E118" s="626">
        <v>15</v>
      </c>
      <c r="F118" s="50" cm="1" t="str">
        <f t="array" ref="F118:F118">OFFSET(E118,-1,1)</f>
        <v>0</v>
      </c>
      <c r="G118" s="103"/>
      <c r="H118" s="103"/>
      <c r="I118" s="103" t="s">
        <v>673</v>
      </c>
      <c r="J118" s="103"/>
      <c r="K118" s="1297"/>
      <c r="L118" s="988"/>
      <c r="M118" s="103"/>
      <c r="N118" s="103"/>
      <c r="O118" s="103"/>
      <c r="P118" s="103"/>
      <c r="Q118" s="103"/>
      <c r="R118" s="103"/>
      <c r="S118" s="103"/>
      <c r="T118" s="468" cm="1" t="str">
        <f t="array" ref="T118:T118">T117</f>
        <v>false</v>
      </c>
      <c r="U118" s="103"/>
      <c r="V118" s="103"/>
      <c r="W118" s="103"/>
      <c r="X118" s="1559"/>
      <c r="Y118" s="1297"/>
      <c r="Z118" s="1529"/>
      <c r="AA118" s="1297"/>
      <c r="AB118" s="296" t="s">
        <v>801</v>
      </c>
      <c r="AC118" s="769" t="s">
        <v>2370</v>
      </c>
      <c r="AD118" s="296" t="s">
        <v>936</v>
      </c>
      <c r="AE118" s="1260">
        <f>_xlfn.SUMIFS('ИП + источники'!AF$27:AF$174,'ИП + источники'!$F$27:$F$174,$F118,'ИП + источники'!$AC$27:$AC$174,"погашение займов и кредитов из нормативной прибыли")</f>
        <v>0</v>
      </c>
      <c r="AF118" s="1260">
        <f>_xlfn.SUMIFS('ИП + источники'!AG$27:AG$174,'ИП + источники'!$F$27:$F$174,$F118,'ИП + источники'!$AC$27:$AC$174,"погашение займов и кредитов из нормативной прибыли")</f>
        <v>0</v>
      </c>
      <c r="AG118" s="1260">
        <f>_xlfn.SUMIFS('ИП + источники'!AH$27:AH$174,'ИП + источники'!$F$27:$F$174,$F118,'ИП + источники'!$AC$27:$AC$174,"погашение займов и кредитов из нормативной прибыли")</f>
        <v>0</v>
      </c>
      <c r="AH118" s="1123">
        <f>AG118-AF118</f>
        <v>0</v>
      </c>
      <c r="AI118" s="1260">
        <f>_xlfn.SUMIFS('ИП + источники'!AJ$27:AJ$174,'ИП + источники'!$F$27:$F$174,$F118,'ИП + источники'!$AC$27:$AC$174,"погашение займов и кредитов из нормативной прибыли")</f>
        <v>0</v>
      </c>
      <c r="AJ118" s="1260">
        <f>_xlfn.SUMIFS('ИП + источники'!AK$27:AK$174,'ИП + источники'!$F$27:$F$174,$F118,'ИП + источники'!$AC$27:$AC$174,"погашение займов и кредитов из нормативной прибыли")</f>
        <v>0</v>
      </c>
      <c r="AK118" s="1260">
        <f>_xlfn.SUMIFS('ИП + источники'!AL$27:AL$174,'ИП + источники'!$F$27:$F$174,$F118,'ИП + источники'!$AC$27:$AC$174,"погашение займов и кредитов из нормативной прибыли")</f>
        <v>0</v>
      </c>
      <c r="AL118" s="1260">
        <f>_xlfn.SUMIFS('ИП + источники'!AM$27:AM$174,'ИП + источники'!$F$27:$F$174,$F118,'ИП + источники'!$AC$27:$AC$174,"погашение займов и кредитов из нормативной прибыли")</f>
        <v>0</v>
      </c>
      <c r="AM118" s="1260">
        <f>_xlfn.SUMIFS('ИП + источники'!AN$27:AN$174,'ИП + источники'!$F$27:$F$174,$F118,'ИП + источники'!$AC$27:$AC$174,"погашение займов и кредитов из нормативной прибыли")</f>
        <v>0</v>
      </c>
      <c r="AN118" s="1260">
        <f>_xlfn.SUMIFS('ИП + источники'!AO$27:AO$174,'ИП + источники'!$F$27:$F$174,$F118,'ИП + источники'!$AC$27:$AC$174,"погашение займов и кредитов из нормативной прибыли")</f>
        <v>0</v>
      </c>
      <c r="AO118" s="1260">
        <f>_xlfn.SUMIFS('ИП + источники'!AP$27:AP$174,'ИП + источники'!$F$27:$F$174,$F118,'ИП + источники'!$AC$27:$AC$174,"погашение займов и кредитов из нормативной прибыли")</f>
        <v>0</v>
      </c>
      <c r="AP118" s="1260">
        <f>_xlfn.SUMIFS('ИП + источники'!AQ$27:AQ$174,'ИП + источники'!$F$27:$F$174,$F118,'ИП + источники'!$AC$27:$AC$174,"погашение займов и кредитов из нормативной прибыли")</f>
        <v>0</v>
      </c>
      <c r="AQ118" s="1260">
        <f>_xlfn.SUMIFS('ИП + источники'!AR$27:AR$174,'ИП + источники'!$F$27:$F$174,$F118,'ИП + источники'!$AC$27:$AC$174,"погашение займов и кредитов из нормативной прибыли")</f>
        <v>0</v>
      </c>
      <c r="AR118" s="1260">
        <f>_xlfn.SUMIFS('ИП + источники'!AS$27:AS$174,'ИП + источники'!$F$27:$F$174,$F118,'ИП + источники'!$AC$27:$AC$174,"погашение займов и кредитов из нормативной прибыли")</f>
        <v>0</v>
      </c>
      <c r="AS118" s="1260">
        <f>_xlfn.SUMIFS('ИП + источники'!AT$27:AT$174,'ИП + источники'!$F$27:$F$174,$F118,'ИП + источники'!$AC$27:$AC$174,"погашение займов и кредитов из нормативной прибыли")</f>
        <v>0</v>
      </c>
      <c r="AT118" s="1260">
        <f>_xlfn.SUMIFS('ИП + источники'!AU$27:AU$174,'ИП + источники'!$F$27:$F$174,$F118,'ИП + источники'!$AC$27:$AC$174,"погашение займов и кредитов из нормативной прибыли")</f>
        <v>0</v>
      </c>
      <c r="AU118" s="1260">
        <f>_xlfn.SUMIFS('ИП + источники'!AV$27:AV$174,'ИП + источники'!$F$27:$F$174,$F118,'ИП + источники'!$AC$27:$AC$174,"погашение займов и кредитов из нормативной прибыли")</f>
        <v>0</v>
      </c>
      <c r="AV118" s="1260">
        <f>_xlfn.SUMIFS('ИП + источники'!AW$27:AW$174,'ИП + источники'!$F$27:$F$174,$F118,'ИП + источники'!$AC$27:$AC$174,"погашение займов и кредитов из нормативной прибыли")</f>
        <v>0</v>
      </c>
      <c r="AW118" s="1260">
        <f>_xlfn.SUMIFS('ИП + источники'!AX$27:AX$174,'ИП + источники'!$F$27:$F$174,$F118,'ИП + источники'!$AC$27:$AC$174,"погашение займов и кредитов из нормативной прибыли")</f>
        <v>0</v>
      </c>
      <c r="AX118" s="1260">
        <f>_xlfn.SUMIFS('ИП + источники'!AY$27:AY$174,'ИП + источники'!$F$27:$F$174,$F118,'ИП + источники'!$AC$27:$AC$174,"погашение займов и кредитов из нормативной прибыли")</f>
        <v>0</v>
      </c>
      <c r="AY118" s="1260">
        <f>_xlfn.SUMIFS('ИП + источники'!AZ$27:AZ$174,'ИП + источники'!$F$27:$F$174,$F118,'ИП + источники'!$AC$27:$AC$174,"погашение займов и кредитов из нормативной прибыли")</f>
        <v>0</v>
      </c>
      <c r="AZ118" s="1260">
        <f>_xlfn.SUMIFS('ИП + источники'!BA$27:BA$174,'ИП + источники'!$F$27:$F$174,$F118,'ИП + источники'!$AC$27:$AC$174,"погашение займов и кредитов из нормативной прибыли")</f>
        <v>0</v>
      </c>
      <c r="BA118" s="1260">
        <f>_xlfn.SUMIFS('ИП + источники'!BB$27:BB$174,'ИП + источники'!$F$27:$F$174,$F118,'ИП + источники'!$AC$27:$AC$174,"погашение займов и кредитов из нормативной прибыли")</f>
        <v>0</v>
      </c>
      <c r="BB118" s="1260">
        <f>_xlfn.SUMIFS('ИП + источники'!BC$27:BC$174,'ИП + источники'!$F$27:$F$174,$F118,'ИП + источники'!$AC$27:$AC$174,"погашение займов и кредитов из нормативной прибыли")</f>
        <v>0</v>
      </c>
      <c r="BC118" s="1260">
        <f>_xlfn.SUMIFS('ИП + источники'!BD$27:BD$174,'ИП + источники'!$F$27:$F$174,$F118,'ИП + источники'!$AC$27:$AC$174,"погашение займов и кредитов из нормативной прибыли")</f>
        <v>0</v>
      </c>
      <c r="BD118" s="1123">
        <f>IF(AI118=0,0,(AT118-AI118)/AI118*100)</f>
        <v>0</v>
      </c>
      <c r="BE118" s="1123">
        <f>IF(AT118=0,0,(AU118-AT118)/AT118*100)</f>
        <v>0</v>
      </c>
      <c r="BF118" s="1123">
        <f>IF(AU118=0,0,(AV118-AU118)/AU118*100)</f>
        <v>0</v>
      </c>
      <c r="BG118" s="1123">
        <f>IF(AV118=0,0,(AW118-AV118)/AV118*100)</f>
        <v>0</v>
      </c>
      <c r="BH118" s="1123">
        <f>IF(AW118=0,0,(AX118-AW118)/AW118*100)</f>
        <v>0</v>
      </c>
      <c r="BI118" s="1123">
        <f>IF(AX118=0,0,(AY118-AX118)/AX118*100)</f>
        <v>0</v>
      </c>
      <c r="BJ118" s="1123">
        <f>IF(AY118=0,0,(AZ118-AY118)/AY118*100)</f>
        <v>0</v>
      </c>
      <c r="BK118" s="1123">
        <f>IF(AZ118=0,0,(BA118-AZ118)/AZ118*100)</f>
        <v>0</v>
      </c>
      <c r="BL118" s="1123">
        <f>IF(BA118=0,0,(BB118-BA118)/BA118*100)</f>
        <v>0</v>
      </c>
      <c r="BM118" s="1123">
        <f>IF(BB118=0,0,(BC118-BB118)/BB118*100)</f>
        <v>0</v>
      </c>
      <c r="BN118" s="1257"/>
      <c r="BO118" s="1261" t="str">
        <f>IF(_xlfn.IFERROR(INDEX('ИП + источники'!$K$57:$L$174,MATCH($F118&amp;"2komm",'ИП + источники'!$K$57:$K$174,0),2),"")=0,"",_xlfn.IFERROR(INDEX('ИП + источники'!$K$57:$L$174,MATCH($F118&amp;"2komm",'ИП + источники'!$K$57:$K$174,0),2),""))</f>
        <v/>
      </c>
      <c r="BP118" s="1257"/>
      <c r="BQ118" s="1297"/>
      <c r="BR118" s="1297"/>
      <c r="BS118" s="1072" t="s">
        <v>2371</v>
      </c>
      <c r="BT118" s="1072"/>
      <c r="BU118" s="1072"/>
      <c r="BV118" s="987"/>
      <c r="BW118" s="987"/>
    </row>
    <row customHeight="1" ht="14.625" hidden="1">
      <c r="A119" s="1297"/>
      <c r="B119" s="434" cm="1" t="str">
        <f t="array" ref="B119:B119">B118</f>
        <v>true</v>
      </c>
      <c r="C119" s="103"/>
      <c r="D119" s="103"/>
      <c r="E119" s="626">
        <v>15</v>
      </c>
      <c r="F119" s="50" cm="1" t="str">
        <f t="array" ref="F119:F119">OFFSET(E119,-1,1)</f>
        <v>0</v>
      </c>
      <c r="G119" s="103"/>
      <c r="H119" s="103"/>
      <c r="I119" s="103" t="s">
        <v>677</v>
      </c>
      <c r="J119" s="103"/>
      <c r="K119" s="1297"/>
      <c r="L119" s="988"/>
      <c r="M119" s="103"/>
      <c r="N119" s="103"/>
      <c r="O119" s="103"/>
      <c r="P119" s="103"/>
      <c r="Q119" s="103"/>
      <c r="R119" s="103"/>
      <c r="S119" s="103"/>
      <c r="T119" s="468" cm="1" t="str">
        <f t="array" ref="T119:T119">T118</f>
        <v>false</v>
      </c>
      <c r="U119" s="103"/>
      <c r="V119" s="103"/>
      <c r="W119" s="103"/>
      <c r="X119" s="1559"/>
      <c r="Y119" s="1297"/>
      <c r="Z119" s="1529"/>
      <c r="AA119" s="1297"/>
      <c r="AB119" s="296" t="s">
        <v>804</v>
      </c>
      <c r="AC119" s="769" t="s">
        <v>2372</v>
      </c>
      <c r="AD119" s="296" t="s">
        <v>936</v>
      </c>
      <c r="AE119" s="1260">
        <f>_xlfn.SUMIFS('ИП + источники'!AF$27:AF$174,'ИП + источники'!$F$27:$F$174,$F119,'ИП + источники'!$AC$27:$AC$174,"уплата процентов по кредитам из нормативной прибыли")</f>
        <v>0</v>
      </c>
      <c r="AF119" s="1260">
        <f>_xlfn.SUMIFS('ИП + источники'!AG$27:AG$174,'ИП + источники'!$F$27:$F$174,$F119,'ИП + источники'!$AC$27:$AC$174,"уплата процентов по кредитам из нормативной прибыли")</f>
        <v>0</v>
      </c>
      <c r="AG119" s="1260">
        <f>_xlfn.SUMIFS('ИП + источники'!AH$27:AH$174,'ИП + источники'!$F$27:$F$174,$F119,'ИП + источники'!$AC$27:$AC$174,"уплата процентов по кредитам из нормативной прибыли")</f>
        <v>0</v>
      </c>
      <c r="AH119" s="1123">
        <f>AG119-AF119</f>
        <v>0</v>
      </c>
      <c r="AI119" s="1260">
        <f>_xlfn.SUMIFS('ИП + источники'!AJ$27:AJ$174,'ИП + источники'!$F$27:$F$174,$F119,'ИП + источники'!$AC$27:$AC$174,"уплата процентов по кредитам из нормативной прибыли")</f>
        <v>0</v>
      </c>
      <c r="AJ119" s="1260">
        <f>_xlfn.SUMIFS('ИП + источники'!AK$27:AK$174,'ИП + источники'!$F$27:$F$174,$F119,'ИП + источники'!$AC$27:$AC$174,"уплата процентов по кредитам из нормативной прибыли")</f>
        <v>0</v>
      </c>
      <c r="AK119" s="1260">
        <f>_xlfn.SUMIFS('ИП + источники'!AL$27:AL$174,'ИП + источники'!$F$27:$F$174,$F119,'ИП + источники'!$AC$27:$AC$174,"уплата процентов по кредитам из нормативной прибыли")</f>
        <v>0</v>
      </c>
      <c r="AL119" s="1260">
        <f>_xlfn.SUMIFS('ИП + источники'!AM$27:AM$174,'ИП + источники'!$F$27:$F$174,$F119,'ИП + источники'!$AC$27:$AC$174,"уплата процентов по кредитам из нормативной прибыли")</f>
        <v>0</v>
      </c>
      <c r="AM119" s="1260">
        <f>_xlfn.SUMIFS('ИП + источники'!AN$27:AN$174,'ИП + источники'!$F$27:$F$174,$F119,'ИП + источники'!$AC$27:$AC$174,"уплата процентов по кредитам из нормативной прибыли")</f>
        <v>0</v>
      </c>
      <c r="AN119" s="1260">
        <f>_xlfn.SUMIFS('ИП + источники'!AO$27:AO$174,'ИП + источники'!$F$27:$F$174,$F119,'ИП + источники'!$AC$27:$AC$174,"уплата процентов по кредитам из нормативной прибыли")</f>
        <v>0</v>
      </c>
      <c r="AO119" s="1260">
        <f>_xlfn.SUMIFS('ИП + источники'!AP$27:AP$174,'ИП + источники'!$F$27:$F$174,$F119,'ИП + источники'!$AC$27:$AC$174,"уплата процентов по кредитам из нормативной прибыли")</f>
        <v>0</v>
      </c>
      <c r="AP119" s="1260">
        <f>_xlfn.SUMIFS('ИП + источники'!AQ$27:AQ$174,'ИП + источники'!$F$27:$F$174,$F119,'ИП + источники'!$AC$27:$AC$174,"уплата процентов по кредитам из нормативной прибыли")</f>
        <v>0</v>
      </c>
      <c r="AQ119" s="1260">
        <f>_xlfn.SUMIFS('ИП + источники'!AR$27:AR$174,'ИП + источники'!$F$27:$F$174,$F119,'ИП + источники'!$AC$27:$AC$174,"уплата процентов по кредитам из нормативной прибыли")</f>
        <v>0</v>
      </c>
      <c r="AR119" s="1260">
        <f>_xlfn.SUMIFS('ИП + источники'!AS$27:AS$174,'ИП + источники'!$F$27:$F$174,$F119,'ИП + источники'!$AC$27:$AC$174,"уплата процентов по кредитам из нормативной прибыли")</f>
        <v>0</v>
      </c>
      <c r="AS119" s="1260">
        <f>_xlfn.SUMIFS('ИП + источники'!AT$27:AT$174,'ИП + источники'!$F$27:$F$174,$F119,'ИП + источники'!$AC$27:$AC$174,"уплата процентов по кредитам из нормативной прибыли")</f>
        <v>0</v>
      </c>
      <c r="AT119" s="1260">
        <f>_xlfn.SUMIFS('ИП + источники'!AU$27:AU$174,'ИП + источники'!$F$27:$F$174,$F119,'ИП + источники'!$AC$27:$AC$174,"уплата процентов по кредитам из нормативной прибыли")</f>
        <v>0</v>
      </c>
      <c r="AU119" s="1260">
        <f>_xlfn.SUMIFS('ИП + источники'!AV$27:AV$174,'ИП + источники'!$F$27:$F$174,$F119,'ИП + источники'!$AC$27:$AC$174,"уплата процентов по кредитам из нормативной прибыли")</f>
        <v>0</v>
      </c>
      <c r="AV119" s="1260">
        <f>_xlfn.SUMIFS('ИП + источники'!AW$27:AW$174,'ИП + источники'!$F$27:$F$174,$F119,'ИП + источники'!$AC$27:$AC$174,"уплата процентов по кредитам из нормативной прибыли")</f>
        <v>0</v>
      </c>
      <c r="AW119" s="1260">
        <f>_xlfn.SUMIFS('ИП + источники'!AX$27:AX$174,'ИП + источники'!$F$27:$F$174,$F119,'ИП + источники'!$AC$27:$AC$174,"уплата процентов по кредитам из нормативной прибыли")</f>
        <v>0</v>
      </c>
      <c r="AX119" s="1260">
        <f>_xlfn.SUMIFS('ИП + источники'!AY$27:AY$174,'ИП + источники'!$F$27:$F$174,$F119,'ИП + источники'!$AC$27:$AC$174,"уплата процентов по кредитам из нормативной прибыли")</f>
        <v>0</v>
      </c>
      <c r="AY119" s="1260">
        <f>_xlfn.SUMIFS('ИП + источники'!AZ$27:AZ$174,'ИП + источники'!$F$27:$F$174,$F119,'ИП + источники'!$AC$27:$AC$174,"уплата процентов по кредитам из нормативной прибыли")</f>
        <v>0</v>
      </c>
      <c r="AZ119" s="1260">
        <f>_xlfn.SUMIFS('ИП + источники'!BA$27:BA$174,'ИП + источники'!$F$27:$F$174,$F119,'ИП + источники'!$AC$27:$AC$174,"уплата процентов по кредитам из нормативной прибыли")</f>
        <v>0</v>
      </c>
      <c r="BA119" s="1260">
        <f>_xlfn.SUMIFS('ИП + источники'!BB$27:BB$174,'ИП + источники'!$F$27:$F$174,$F119,'ИП + источники'!$AC$27:$AC$174,"уплата процентов по кредитам из нормативной прибыли")</f>
        <v>0</v>
      </c>
      <c r="BB119" s="1260">
        <f>_xlfn.SUMIFS('ИП + источники'!BC$27:BC$174,'ИП + источники'!$F$27:$F$174,$F119,'ИП + источники'!$AC$27:$AC$174,"уплата процентов по кредитам из нормативной прибыли")</f>
        <v>0</v>
      </c>
      <c r="BC119" s="1260">
        <f>_xlfn.SUMIFS('ИП + источники'!BD$27:BD$174,'ИП + источники'!$F$27:$F$174,$F119,'ИП + источники'!$AC$27:$AC$174,"уплата процентов по кредитам из нормативной прибыли")</f>
        <v>0</v>
      </c>
      <c r="BD119" s="1123">
        <f>IF(AI119=0,0,(AT119-AI119)/AI119*100)</f>
        <v>0</v>
      </c>
      <c r="BE119" s="1123">
        <f>IF(AT119=0,0,(AU119-AT119)/AT119*100)</f>
        <v>0</v>
      </c>
      <c r="BF119" s="1123">
        <f>IF(AU119=0,0,(AV119-AU119)/AU119*100)</f>
        <v>0</v>
      </c>
      <c r="BG119" s="1123">
        <f>IF(AV119=0,0,(AW119-AV119)/AV119*100)</f>
        <v>0</v>
      </c>
      <c r="BH119" s="1123">
        <f>IF(AW119=0,0,(AX119-AW119)/AW119*100)</f>
        <v>0</v>
      </c>
      <c r="BI119" s="1123">
        <f>IF(AX119=0,0,(AY119-AX119)/AX119*100)</f>
        <v>0</v>
      </c>
      <c r="BJ119" s="1123">
        <f>IF(AY119=0,0,(AZ119-AY119)/AY119*100)</f>
        <v>0</v>
      </c>
      <c r="BK119" s="1123">
        <f>IF(AZ119=0,0,(BA119-AZ119)/AZ119*100)</f>
        <v>0</v>
      </c>
      <c r="BL119" s="1123">
        <f>IF(BA119=0,0,(BB119-BA119)/BA119*100)</f>
        <v>0</v>
      </c>
      <c r="BM119" s="1123">
        <f>IF(BB119=0,0,(BC119-BB119)/BB119*100)</f>
        <v>0</v>
      </c>
      <c r="BN119" s="1257"/>
      <c r="BO119" s="1261" t="str">
        <f>IF(_xlfn.IFERROR(INDEX('ИП + источники'!$K$57:$L$174,MATCH($F119&amp;"3komm",'ИП + источники'!$K$57:$K$174,0),2),"")=0,"",_xlfn.IFERROR(INDEX('ИП + источники'!$K$57:$L$174,MATCH($F119&amp;"3komm",'ИП + источники'!$K$57:$K$174,0),2),""))</f>
        <v/>
      </c>
      <c r="BP119" s="1257"/>
      <c r="BQ119" s="1297"/>
      <c r="BR119" s="1297"/>
      <c r="BS119" s="1072" t="s">
        <v>2373</v>
      </c>
      <c r="BT119" s="1072"/>
      <c r="BU119" s="1072"/>
      <c r="BV119" s="987"/>
      <c r="BW119" s="987"/>
    </row>
    <row customHeight="1" ht="14.625" hidden="1">
      <c r="A120" s="1297"/>
      <c r="B120" s="434" cm="1" t="str">
        <f t="array" ref="B120:B120">B119</f>
        <v>true</v>
      </c>
      <c r="C120" s="103"/>
      <c r="D120" s="103"/>
      <c r="E120" s="626">
        <v>15</v>
      </c>
      <c r="F120" s="50" cm="1" t="str">
        <f t="array" ref="F120:F120">OFFSET(E120,-1,1)</f>
        <v>0</v>
      </c>
      <c r="G120" s="103"/>
      <c r="H120" s="103"/>
      <c r="I120" s="103" t="s">
        <v>889</v>
      </c>
      <c r="J120" s="103"/>
      <c r="K120" s="1297"/>
      <c r="L120" s="988" t="s">
        <v>692</v>
      </c>
      <c r="M120" s="103"/>
      <c r="N120" s="103"/>
      <c r="O120" s="103"/>
      <c r="P120" s="103"/>
      <c r="Q120" s="103"/>
      <c r="R120" s="103"/>
      <c r="S120" s="103"/>
      <c r="T120" s="468" cm="1" t="str">
        <f t="array" ref="T120:T120">T119</f>
        <v>false</v>
      </c>
      <c r="U120" s="103"/>
      <c r="V120" s="103"/>
      <c r="W120" s="103"/>
      <c r="X120" s="1559"/>
      <c r="Y120" s="1297"/>
      <c r="Z120" s="1529"/>
      <c r="AA120" s="1297"/>
      <c r="AB120" s="296" t="s">
        <v>1122</v>
      </c>
      <c r="AC120" s="769" t="s">
        <v>2374</v>
      </c>
      <c r="AD120" s="296" t="s">
        <v>936</v>
      </c>
      <c r="AE120" s="1260">
        <f>_xlfn.SUMIFS('ИП + источники'!AF$27:AF$174,'ИП + источники'!$F$27:$F$174,$F120,'ИП + источники'!$AC$27:$AC$174,"Прибыль на капвложения")</f>
        <v>0</v>
      </c>
      <c r="AF120" s="1260">
        <f>_xlfn.SUMIFS('ИП + источники'!AG$27:AG$174,'ИП + источники'!$F$27:$F$174,$F120,'ИП + источники'!$AC$27:$AC$174,"Прибыль на капвложения")</f>
        <v>0</v>
      </c>
      <c r="AG120" s="1260">
        <f>_xlfn.SUMIFS('ИП + источники'!AH$27:AH$174,'ИП + источники'!$F$27:$F$174,$F120,'ИП + источники'!$AC$27:$AC$174,"Прибыль на капвложения")</f>
        <v>0</v>
      </c>
      <c r="AH120" s="1123">
        <f>AG120-AF120</f>
        <v>0</v>
      </c>
      <c r="AI120" s="1260">
        <f>_xlfn.SUMIFS('ИП + источники'!AJ$27:AJ$174,'ИП + источники'!$F$27:$F$174,$F120,'ИП + источники'!$AC$27:$AC$174,"Прибыль на капвложения")</f>
        <v>0</v>
      </c>
      <c r="AJ120" s="1260">
        <f>_xlfn.SUMIFS('ИП + источники'!AK$27:AK$174,'ИП + источники'!$F$27:$F$174,$F120,'ИП + источники'!$AC$27:$AC$174,"Прибыль на капвложения")</f>
        <v>0</v>
      </c>
      <c r="AK120" s="1260">
        <f>_xlfn.SUMIFS('ИП + источники'!AL$27:AL$174,'ИП + источники'!$F$27:$F$174,$F120,'ИП + источники'!$AC$27:$AC$174,"Прибыль на капвложения")</f>
        <v>0</v>
      </c>
      <c r="AL120" s="1260">
        <f>_xlfn.SUMIFS('ИП + источники'!AM$27:AM$174,'ИП + источники'!$F$27:$F$174,$F120,'ИП + источники'!$AC$27:$AC$174,"Прибыль на капвложения")</f>
        <v>0</v>
      </c>
      <c r="AM120" s="1260">
        <f>_xlfn.SUMIFS('ИП + источники'!AN$27:AN$174,'ИП + источники'!$F$27:$F$174,$F120,'ИП + источники'!$AC$27:$AC$174,"Прибыль на капвложения")</f>
        <v>0</v>
      </c>
      <c r="AN120" s="1260">
        <f>_xlfn.SUMIFS('ИП + источники'!AO$27:AO$174,'ИП + источники'!$F$27:$F$174,$F120,'ИП + источники'!$AC$27:$AC$174,"Прибыль на капвложения")</f>
        <v>0</v>
      </c>
      <c r="AO120" s="1260">
        <f>_xlfn.SUMIFS('ИП + источники'!AP$27:AP$174,'ИП + источники'!$F$27:$F$174,$F120,'ИП + источники'!$AC$27:$AC$174,"Прибыль на капвложения")</f>
        <v>0</v>
      </c>
      <c r="AP120" s="1260">
        <f>_xlfn.SUMIFS('ИП + источники'!AQ$27:AQ$174,'ИП + источники'!$F$27:$F$174,$F120,'ИП + источники'!$AC$27:$AC$174,"Прибыль на капвложения")</f>
        <v>0</v>
      </c>
      <c r="AQ120" s="1260">
        <f>_xlfn.SUMIFS('ИП + источники'!AR$27:AR$174,'ИП + источники'!$F$27:$F$174,$F120,'ИП + источники'!$AC$27:$AC$174,"Прибыль на капвложения")</f>
        <v>0</v>
      </c>
      <c r="AR120" s="1260">
        <f>_xlfn.SUMIFS('ИП + источники'!AS$27:AS$174,'ИП + источники'!$F$27:$F$174,$F120,'ИП + источники'!$AC$27:$AC$174,"Прибыль на капвложения")</f>
        <v>0</v>
      </c>
      <c r="AS120" s="1260">
        <f>_xlfn.SUMIFS('ИП + источники'!AT$27:AT$174,'ИП + источники'!$F$27:$F$174,$F120,'ИП + источники'!$AC$27:$AC$174,"Прибыль на капвложения")</f>
        <v>0</v>
      </c>
      <c r="AT120" s="1260">
        <f>_xlfn.SUMIFS('ИП + источники'!AU$27:AU$174,'ИП + источники'!$F$27:$F$174,$F120,'ИП + источники'!$AC$27:$AC$174,"Прибыль на капвложения")</f>
        <v>0</v>
      </c>
      <c r="AU120" s="1260">
        <f>_xlfn.SUMIFS('ИП + источники'!AV$27:AV$174,'ИП + источники'!$F$27:$F$174,$F120,'ИП + источники'!$AC$27:$AC$174,"Прибыль на капвложения")</f>
        <v>0</v>
      </c>
      <c r="AV120" s="1260">
        <f>_xlfn.SUMIFS('ИП + источники'!AW$27:AW$174,'ИП + источники'!$F$27:$F$174,$F120,'ИП + источники'!$AC$27:$AC$174,"Прибыль на капвложения")</f>
        <v>0</v>
      </c>
      <c r="AW120" s="1260">
        <f>_xlfn.SUMIFS('ИП + источники'!AX$27:AX$174,'ИП + источники'!$F$27:$F$174,$F120,'ИП + источники'!$AC$27:$AC$174,"Прибыль на капвложения")</f>
        <v>0</v>
      </c>
      <c r="AX120" s="1260">
        <f>_xlfn.SUMIFS('ИП + источники'!AY$27:AY$174,'ИП + источники'!$F$27:$F$174,$F120,'ИП + источники'!$AC$27:$AC$174,"Прибыль на капвложения")</f>
        <v>0</v>
      </c>
      <c r="AY120" s="1260">
        <f>_xlfn.SUMIFS('ИП + источники'!AZ$27:AZ$174,'ИП + источники'!$F$27:$F$174,$F120,'ИП + источники'!$AC$27:$AC$174,"Прибыль на капвложения")</f>
        <v>0</v>
      </c>
      <c r="AZ120" s="1260">
        <f>_xlfn.SUMIFS('ИП + источники'!BA$27:BA$174,'ИП + источники'!$F$27:$F$174,$F120,'ИП + источники'!$AC$27:$AC$174,"Прибыль на капвложения")</f>
        <v>0</v>
      </c>
      <c r="BA120" s="1260">
        <f>_xlfn.SUMIFS('ИП + источники'!BB$27:BB$174,'ИП + источники'!$F$27:$F$174,$F120,'ИП + источники'!$AC$27:$AC$174,"Прибыль на капвложения")</f>
        <v>0</v>
      </c>
      <c r="BB120" s="1260">
        <f>_xlfn.SUMIFS('ИП + источники'!BC$27:BC$174,'ИП + источники'!$F$27:$F$174,$F120,'ИП + источники'!$AC$27:$AC$174,"Прибыль на капвложения")</f>
        <v>0</v>
      </c>
      <c r="BC120" s="1260">
        <f>_xlfn.SUMIFS('ИП + источники'!BD$27:BD$174,'ИП + источники'!$F$27:$F$174,$F120,'ИП + источники'!$AC$27:$AC$174,"Прибыль на капвложения")</f>
        <v>0</v>
      </c>
      <c r="BD120" s="1123">
        <f>IF(AI120=0,0,(AT120-AI120)/AI120*100)</f>
        <v>0</v>
      </c>
      <c r="BE120" s="1123">
        <f>IF(AT120=0,0,(AU120-AT120)/AT120*100)</f>
        <v>0</v>
      </c>
      <c r="BF120" s="1123">
        <f>IF(AU120=0,0,(AV120-AU120)/AU120*100)</f>
        <v>0</v>
      </c>
      <c r="BG120" s="1123">
        <f>IF(AV120=0,0,(AW120-AV120)/AV120*100)</f>
        <v>0</v>
      </c>
      <c r="BH120" s="1123">
        <f>IF(AW120=0,0,(AX120-AW120)/AW120*100)</f>
        <v>0</v>
      </c>
      <c r="BI120" s="1123">
        <f>IF(AX120=0,0,(AY120-AX120)/AX120*100)</f>
        <v>0</v>
      </c>
      <c r="BJ120" s="1123">
        <f>IF(AY120=0,0,(AZ120-AY120)/AY120*100)</f>
        <v>0</v>
      </c>
      <c r="BK120" s="1123">
        <f>IF(AZ120=0,0,(BA120-AZ120)/AZ120*100)</f>
        <v>0</v>
      </c>
      <c r="BL120" s="1123">
        <f>IF(BA120=0,0,(BB120-BA120)/BA120*100)</f>
        <v>0</v>
      </c>
      <c r="BM120" s="1123">
        <f>IF(BB120=0,0,(BC120-BB120)/BB120*100)</f>
        <v>0</v>
      </c>
      <c r="BN120" s="1257"/>
      <c r="BO120" s="1261" t="str">
        <f>IF(_xlfn.IFERROR(INDEX('ИП + источники'!$K$57:$L$174,MATCH($F120&amp;"1komm",'ИП + источники'!$K$57:$K$174,0),2),"")=0,"",_xlfn.IFERROR(INDEX('ИП + источники'!$K$57:$L$174,MATCH($F120&amp;"1komm",'ИП + источники'!$K$57:$K$174,0),2),""))</f>
        <v/>
      </c>
      <c r="BP120" s="1257"/>
      <c r="BQ120" s="1297"/>
      <c r="BR120" s="1297"/>
      <c r="BS120" s="1072" t="s">
        <v>2084</v>
      </c>
      <c r="BT120" s="1072"/>
      <c r="BU120" s="1072"/>
      <c r="BV120" s="987"/>
      <c r="BW120" s="987"/>
    </row>
    <row customHeight="1" ht="21.9375" hidden="1">
      <c r="A121" s="1297"/>
      <c r="B121" s="434" cm="1" t="str">
        <f t="array" ref="B121:B121">B120</f>
        <v>true</v>
      </c>
      <c r="C121" s="103"/>
      <c r="D121" s="103"/>
      <c r="E121" s="626">
        <v>22.5</v>
      </c>
      <c r="F121" s="50" cm="1" t="str">
        <f t="array" ref="F121:F121">OFFSET(E121,-1,1)</f>
        <v>0</v>
      </c>
      <c r="G121" s="103" t="s">
        <v>2375</v>
      </c>
      <c r="H121" s="103"/>
      <c r="I121" s="103" t="s">
        <v>1124</v>
      </c>
      <c r="J121" s="103"/>
      <c r="K121" s="1297"/>
      <c r="L121" s="988" t="s">
        <v>696</v>
      </c>
      <c r="M121" s="103"/>
      <c r="N121" s="103"/>
      <c r="O121" s="103"/>
      <c r="P121" s="103"/>
      <c r="Q121" s="103"/>
      <c r="R121" s="103"/>
      <c r="S121" s="103"/>
      <c r="T121" s="468" cm="1" t="str">
        <f t="array" ref="T121:T121">T120</f>
        <v>false</v>
      </c>
      <c r="U121" s="103"/>
      <c r="V121" s="103"/>
      <c r="W121" s="103"/>
      <c r="X121" s="1559"/>
      <c r="Y121" s="1297"/>
      <c r="Z121" s="1529"/>
      <c r="AA121" s="1297"/>
      <c r="AB121" s="296" t="s">
        <v>1125</v>
      </c>
      <c r="AC121" s="769" t="s">
        <v>2376</v>
      </c>
      <c r="AD121" s="296" t="s">
        <v>936</v>
      </c>
      <c r="AE121" s="1260"/>
      <c r="AF121" s="1260"/>
      <c r="AG121" s="1260"/>
      <c r="AH121" s="1123">
        <f>AG121-AF121</f>
        <v>0</v>
      </c>
      <c r="AI121" s="1260"/>
      <c r="AJ121" s="1260"/>
      <c r="AK121" s="1260"/>
      <c r="AL121" s="1260"/>
      <c r="AM121" s="1260"/>
      <c r="AN121" s="1260"/>
      <c r="AO121" s="1260"/>
      <c r="AP121" s="1260"/>
      <c r="AQ121" s="1260"/>
      <c r="AR121" s="1260"/>
      <c r="AS121" s="1260"/>
      <c r="AT121" s="1260"/>
      <c r="AU121" s="1260"/>
      <c r="AV121" s="1260"/>
      <c r="AW121" s="1260"/>
      <c r="AX121" s="1260"/>
      <c r="AY121" s="1260"/>
      <c r="AZ121" s="1260"/>
      <c r="BA121" s="1260"/>
      <c r="BB121" s="1260"/>
      <c r="BC121" s="1260"/>
      <c r="BD121" s="1123">
        <f>IF(AI121=0,0,(AT121-AI121)/AI121*100)</f>
        <v>0</v>
      </c>
      <c r="BE121" s="1123">
        <f>IF(AT121=0,0,(AU121-AT121)/AT121*100)</f>
        <v>0</v>
      </c>
      <c r="BF121" s="1123">
        <f>IF(AU121=0,0,(AV121-AU121)/AU121*100)</f>
        <v>0</v>
      </c>
      <c r="BG121" s="1123">
        <f>IF(AV121=0,0,(AW121-AV121)/AV121*100)</f>
        <v>0</v>
      </c>
      <c r="BH121" s="1123">
        <f>IF(AW121=0,0,(AX121-AW121)/AW121*100)</f>
        <v>0</v>
      </c>
      <c r="BI121" s="1123">
        <f>IF(AX121=0,0,(AY121-AX121)/AX121*100)</f>
        <v>0</v>
      </c>
      <c r="BJ121" s="1123">
        <f>IF(AY121=0,0,(AZ121-AY121)/AY121*100)</f>
        <v>0</v>
      </c>
      <c r="BK121" s="1123">
        <f>IF(AZ121=0,0,(BA121-AZ121)/AZ121*100)</f>
        <v>0</v>
      </c>
      <c r="BL121" s="1123">
        <f>IF(BA121=0,0,(BB121-BA121)/BA121*100)</f>
        <v>0</v>
      </c>
      <c r="BM121" s="1123">
        <f>IF(BB121=0,0,(BC121-BB121)/BB121*100)</f>
        <v>0</v>
      </c>
      <c r="BN121" s="1257"/>
      <c r="BO121" s="1257"/>
      <c r="BP121" s="1257"/>
      <c r="BQ121" s="1297"/>
      <c r="BR121" s="1297"/>
      <c r="BS121" s="1072" t="s">
        <v>2377</v>
      </c>
      <c r="BT121" s="1072"/>
      <c r="BU121" s="1072"/>
      <c r="BV121" s="987"/>
      <c r="BW121" s="987"/>
    </row>
    <row customHeight="1" ht="14.625" hidden="1">
      <c r="A122" s="1297"/>
      <c r="B122" s="434">
        <f>AND(method_reg="Метод индексации",STATUS_GO="да")</f>
        <v>0</v>
      </c>
      <c r="C122" s="103"/>
      <c r="D122" s="103"/>
      <c r="E122" s="626">
        <v>15</v>
      </c>
      <c r="F122" s="50" cm="1" t="str">
        <f t="array" ref="F122:F122">OFFSET(E122,-1,1)</f>
        <v>0</v>
      </c>
      <c r="G122" s="103" t="s">
        <v>2087</v>
      </c>
      <c r="H122" s="103"/>
      <c r="I122" s="103" t="s">
        <v>616</v>
      </c>
      <c r="J122" s="103"/>
      <c r="K122" s="1297"/>
      <c r="L122" s="988" t="s">
        <v>700</v>
      </c>
      <c r="M122" s="103"/>
      <c r="N122" s="103"/>
      <c r="O122" s="103"/>
      <c r="P122" s="103"/>
      <c r="Q122" s="103"/>
      <c r="R122" s="103"/>
      <c r="S122" s="103"/>
      <c r="T122" s="468" cm="1" t="str">
        <f t="array" ref="T122:T122">T121</f>
        <v>false</v>
      </c>
      <c r="U122" s="103"/>
      <c r="V122" s="103"/>
      <c r="W122" s="103"/>
      <c r="X122" s="1559"/>
      <c r="Y122" s="1297"/>
      <c r="Z122" s="1529"/>
      <c r="AA122" s="1297"/>
      <c r="AB122" s="296" t="s">
        <v>457</v>
      </c>
      <c r="AC122" s="454" t="s">
        <v>2087</v>
      </c>
      <c r="AD122" s="296" t="s">
        <v>936</v>
      </c>
      <c r="AE122" s="1260"/>
      <c r="AF122" s="1260"/>
      <c r="AG122" s="1260"/>
      <c r="AH122" s="1123">
        <f>AG122-AF122</f>
        <v>0</v>
      </c>
      <c r="AI122" s="1260"/>
      <c r="AJ122" s="1260"/>
      <c r="AK122" s="1260"/>
      <c r="AL122" s="1260"/>
      <c r="AM122" s="1260"/>
      <c r="AN122" s="1260"/>
      <c r="AO122" s="1260"/>
      <c r="AP122" s="1260"/>
      <c r="AQ122" s="1260"/>
      <c r="AR122" s="1260"/>
      <c r="AS122" s="1260"/>
      <c r="AT122" s="1260"/>
      <c r="AU122" s="1260"/>
      <c r="AV122" s="1260"/>
      <c r="AW122" s="1260"/>
      <c r="AX122" s="1260"/>
      <c r="AY122" s="1260"/>
      <c r="AZ122" s="1260"/>
      <c r="BA122" s="1260"/>
      <c r="BB122" s="1260"/>
      <c r="BC122" s="1260"/>
      <c r="BD122" s="1123">
        <f>IF(AI122=0,0,(AT122-AI122)/AI122*100)</f>
        <v>0</v>
      </c>
      <c r="BE122" s="1123">
        <f>IF(AT122=0,0,(AU122-AT122)/AT122*100)</f>
        <v>0</v>
      </c>
      <c r="BF122" s="1123">
        <f>IF(AU122=0,0,(AV122-AU122)/AU122*100)</f>
        <v>0</v>
      </c>
      <c r="BG122" s="1123">
        <f>IF(AV122=0,0,(AW122-AV122)/AV122*100)</f>
        <v>0</v>
      </c>
      <c r="BH122" s="1123">
        <f>IF(AW122=0,0,(AX122-AW122)/AW122*100)</f>
        <v>0</v>
      </c>
      <c r="BI122" s="1123">
        <f>IF(AX122=0,0,(AY122-AX122)/AX122*100)</f>
        <v>0</v>
      </c>
      <c r="BJ122" s="1123">
        <f>IF(AY122=0,0,(AZ122-AY122)/AY122*100)</f>
        <v>0</v>
      </c>
      <c r="BK122" s="1123">
        <f>IF(AZ122=0,0,(BA122-AZ122)/AZ122*100)</f>
        <v>0</v>
      </c>
      <c r="BL122" s="1123">
        <f>IF(BA122=0,0,(BB122-BA122)/BA122*100)</f>
        <v>0</v>
      </c>
      <c r="BM122" s="1123">
        <f>IF(BB122=0,0,(BC122-BB122)/BB122*100)</f>
        <v>0</v>
      </c>
      <c r="BN122" s="1257"/>
      <c r="BO122" s="1257"/>
      <c r="BP122" s="1257"/>
      <c r="BQ122" s="1297"/>
      <c r="BR122" s="1297"/>
      <c r="BS122" s="1072" t="s">
        <v>2088</v>
      </c>
      <c r="BT122" s="1072"/>
      <c r="BU122" s="1072"/>
      <c r="BV122" s="987"/>
      <c r="BW122" s="987"/>
    </row>
    <row customHeight="1" ht="14.625" hidden="1">
      <c r="A123" s="1297"/>
      <c r="B123" s="867">
        <f>method_reg="Метод обеспечения доходности инвестированного капитала"</f>
        <v>0</v>
      </c>
      <c r="C123" s="103"/>
      <c r="D123" s="103"/>
      <c r="E123" s="626">
        <v>15</v>
      </c>
      <c r="F123" s="50" cm="1" t="str">
        <f t="array" ref="F123:F123">OFFSET(E123,-1,1)</f>
        <v>0</v>
      </c>
      <c r="G123" s="103"/>
      <c r="H123" s="103"/>
      <c r="I123" s="103"/>
      <c r="J123" s="103"/>
      <c r="K123" s="103" t="s">
        <v>348</v>
      </c>
      <c r="L123" s="988"/>
      <c r="M123" s="103"/>
      <c r="N123" s="103"/>
      <c r="O123" s="103"/>
      <c r="P123" s="103"/>
      <c r="Q123" s="103"/>
      <c r="R123" s="103"/>
      <c r="S123" s="103"/>
      <c r="T123" s="867" cm="1" t="str">
        <f t="array" ref="T123:T123">T122</f>
        <v>false</v>
      </c>
      <c r="U123" s="103"/>
      <c r="V123" s="103"/>
      <c r="W123" s="103"/>
      <c r="X123" s="1559"/>
      <c r="Y123" s="1297"/>
      <c r="Z123" s="1529"/>
      <c r="AA123" s="1297"/>
      <c r="AB123" s="801" t="s">
        <v>451</v>
      </c>
      <c r="AC123" s="800" t="s">
        <v>2378</v>
      </c>
      <c r="AD123" s="801" t="s">
        <v>936</v>
      </c>
      <c r="AE123" s="1265"/>
      <c r="AF123" s="1265"/>
      <c r="AG123" s="1265"/>
      <c r="AH123" s="768">
        <f>AG123-AF123</f>
        <v>0</v>
      </c>
      <c r="AI123" s="1265"/>
      <c r="AJ123" s="1265"/>
      <c r="AK123" s="1265"/>
      <c r="AL123" s="1265"/>
      <c r="AM123" s="1265"/>
      <c r="AN123" s="1265"/>
      <c r="AO123" s="1265"/>
      <c r="AP123" s="1265"/>
      <c r="AQ123" s="1265"/>
      <c r="AR123" s="1265"/>
      <c r="AS123" s="1265"/>
      <c r="AT123" s="1265"/>
      <c r="AU123" s="1265"/>
      <c r="AV123" s="1265"/>
      <c r="AW123" s="1265"/>
      <c r="AX123" s="1265"/>
      <c r="AY123" s="1265"/>
      <c r="AZ123" s="1265"/>
      <c r="BA123" s="1265"/>
      <c r="BB123" s="1265"/>
      <c r="BC123" s="1265"/>
      <c r="BD123" s="768">
        <f>IF(AI123=0,0,(AT123-AI123)/AI123*100)</f>
        <v>0</v>
      </c>
      <c r="BE123" s="768">
        <f>IF(AT123=0,0,(AU123-AT123)/AT123*100)</f>
        <v>0</v>
      </c>
      <c r="BF123" s="768">
        <f>IF(AU123=0,0,(AV123-AU123)/AU123*100)</f>
        <v>0</v>
      </c>
      <c r="BG123" s="768">
        <f>IF(AV123=0,0,(AW123-AV123)/AV123*100)</f>
        <v>0</v>
      </c>
      <c r="BH123" s="768">
        <f>IF(AW123=0,0,(AX123-AW123)/AW123*100)</f>
        <v>0</v>
      </c>
      <c r="BI123" s="768">
        <f>IF(AX123=0,0,(AY123-AX123)/AX123*100)</f>
        <v>0</v>
      </c>
      <c r="BJ123" s="768">
        <f>IF(AY123=0,0,(AZ123-AY123)/AY123*100)</f>
        <v>0</v>
      </c>
      <c r="BK123" s="768">
        <f>IF(AZ123=0,0,(BA123-AZ123)/AZ123*100)</f>
        <v>0</v>
      </c>
      <c r="BL123" s="768">
        <f>IF(BA123=0,0,(BB123-BA123)/BA123*100)</f>
        <v>0</v>
      </c>
      <c r="BM123" s="768">
        <f>IF(BB123=0,0,(BC123-BB123)/BB123*100)</f>
        <v>0</v>
      </c>
      <c r="BN123" s="1266"/>
      <c r="BO123" s="1266"/>
      <c r="BP123" s="1266"/>
      <c r="BQ123" s="1297"/>
      <c r="BR123" s="1297"/>
      <c r="BS123" s="1072" t="s">
        <v>2379</v>
      </c>
      <c r="BT123" s="1072"/>
      <c r="BU123" s="1072"/>
      <c r="BV123" s="987"/>
      <c r="BW123" s="987"/>
    </row>
    <row customHeight="1" ht="14.625" hidden="1">
      <c r="A124" s="1297"/>
      <c r="B124" s="867" cm="1" t="str">
        <f t="array" ref="B124:B124">B123</f>
        <v>false</v>
      </c>
      <c r="C124" s="103"/>
      <c r="D124" s="103"/>
      <c r="E124" s="626">
        <v>15</v>
      </c>
      <c r="F124" s="50" cm="1" t="str">
        <f t="array" ref="F124:F124">OFFSET(E124,-1,1)</f>
        <v>0</v>
      </c>
      <c r="G124" s="103"/>
      <c r="H124" s="103"/>
      <c r="I124" s="103"/>
      <c r="J124" s="103"/>
      <c r="K124" s="103" t="s">
        <v>659</v>
      </c>
      <c r="L124" s="988"/>
      <c r="M124" s="103"/>
      <c r="N124" s="103"/>
      <c r="O124" s="103"/>
      <c r="P124" s="103"/>
      <c r="Q124" s="103"/>
      <c r="R124" s="103"/>
      <c r="S124" s="103"/>
      <c r="T124" s="867" cm="1" t="str">
        <f t="array" ref="T124:T124">T123</f>
        <v>false</v>
      </c>
      <c r="U124" s="103"/>
      <c r="V124" s="103"/>
      <c r="W124" s="103"/>
      <c r="X124" s="1559"/>
      <c r="Y124" s="1297"/>
      <c r="Z124" s="1529"/>
      <c r="AA124" s="1297"/>
      <c r="AB124" s="804" t="s">
        <v>794</v>
      </c>
      <c r="AC124" s="803" t="s">
        <v>2380</v>
      </c>
      <c r="AD124" s="804" t="s">
        <v>936</v>
      </c>
      <c r="AE124" s="1267"/>
      <c r="AF124" s="1267"/>
      <c r="AG124" s="1267"/>
      <c r="AH124" s="770"/>
      <c r="AI124" s="1267"/>
      <c r="AJ124" s="1267"/>
      <c r="AK124" s="1267"/>
      <c r="AL124" s="1267"/>
      <c r="AM124" s="1267"/>
      <c r="AN124" s="1267"/>
      <c r="AO124" s="1267"/>
      <c r="AP124" s="1267"/>
      <c r="AQ124" s="1267"/>
      <c r="AR124" s="1267"/>
      <c r="AS124" s="1267"/>
      <c r="AT124" s="1267"/>
      <c r="AU124" s="1267"/>
      <c r="AV124" s="1267"/>
      <c r="AW124" s="1267"/>
      <c r="AX124" s="1267"/>
      <c r="AY124" s="1267"/>
      <c r="AZ124" s="1267"/>
      <c r="BA124" s="1267"/>
      <c r="BB124" s="1267"/>
      <c r="BC124" s="1267"/>
      <c r="BD124" s="770"/>
      <c r="BE124" s="770"/>
      <c r="BF124" s="770"/>
      <c r="BG124" s="770"/>
      <c r="BH124" s="770"/>
      <c r="BI124" s="770"/>
      <c r="BJ124" s="770"/>
      <c r="BK124" s="770"/>
      <c r="BL124" s="770"/>
      <c r="BM124" s="770"/>
      <c r="BN124" s="1268"/>
      <c r="BO124" s="1268"/>
      <c r="BP124" s="1268"/>
      <c r="BQ124" s="1297"/>
      <c r="BR124" s="1297"/>
      <c r="BS124" s="1072" t="s">
        <v>2381</v>
      </c>
      <c r="BT124" s="1072"/>
      <c r="BU124" s="1072"/>
      <c r="BV124" s="987"/>
      <c r="BW124" s="987"/>
    </row>
    <row customHeight="1" ht="14.625" hidden="1">
      <c r="A125" s="1297"/>
      <c r="B125" s="867" cm="1" t="str">
        <f t="array" ref="B125:B125">B124</f>
        <v>false</v>
      </c>
      <c r="C125" s="103"/>
      <c r="D125" s="103"/>
      <c r="E125" s="626">
        <v>15</v>
      </c>
      <c r="F125" s="50" cm="1" t="str">
        <f t="array" ref="F125:F125">OFFSET(E125,-1,1)</f>
        <v>0</v>
      </c>
      <c r="G125" s="103"/>
      <c r="H125" s="103"/>
      <c r="I125" s="103"/>
      <c r="J125" s="103"/>
      <c r="K125" s="103" t="s">
        <v>663</v>
      </c>
      <c r="L125" s="988"/>
      <c r="M125" s="103"/>
      <c r="N125" s="103"/>
      <c r="O125" s="103"/>
      <c r="P125" s="103"/>
      <c r="Q125" s="103"/>
      <c r="R125" s="103"/>
      <c r="S125" s="103"/>
      <c r="T125" s="867" cm="1" t="str">
        <f t="array" ref="T125:T125">T124</f>
        <v>false</v>
      </c>
      <c r="U125" s="103"/>
      <c r="V125" s="103"/>
      <c r="W125" s="103"/>
      <c r="X125" s="1559"/>
      <c r="Y125" s="1297"/>
      <c r="Z125" s="1529"/>
      <c r="AA125" s="1297"/>
      <c r="AB125" s="804" t="s">
        <v>797</v>
      </c>
      <c r="AC125" s="803" t="s">
        <v>2382</v>
      </c>
      <c r="AD125" s="804" t="s">
        <v>2383</v>
      </c>
      <c r="AE125" s="1267"/>
      <c r="AF125" s="1267"/>
      <c r="AG125" s="1267"/>
      <c r="AH125" s="770"/>
      <c r="AI125" s="1267"/>
      <c r="AJ125" s="1267"/>
      <c r="AK125" s="1267"/>
      <c r="AL125" s="1267"/>
      <c r="AM125" s="1267"/>
      <c r="AN125" s="1267"/>
      <c r="AO125" s="1267"/>
      <c r="AP125" s="1267"/>
      <c r="AQ125" s="1267"/>
      <c r="AR125" s="1267"/>
      <c r="AS125" s="1267"/>
      <c r="AT125" s="1267"/>
      <c r="AU125" s="1267"/>
      <c r="AV125" s="1267"/>
      <c r="AW125" s="1267"/>
      <c r="AX125" s="1267"/>
      <c r="AY125" s="1267"/>
      <c r="AZ125" s="1267"/>
      <c r="BA125" s="1267"/>
      <c r="BB125" s="1267"/>
      <c r="BC125" s="1267"/>
      <c r="BD125" s="770"/>
      <c r="BE125" s="770"/>
      <c r="BF125" s="770"/>
      <c r="BG125" s="770"/>
      <c r="BH125" s="770"/>
      <c r="BI125" s="770"/>
      <c r="BJ125" s="770"/>
      <c r="BK125" s="770"/>
      <c r="BL125" s="770"/>
      <c r="BM125" s="770"/>
      <c r="BN125" s="1268"/>
      <c r="BO125" s="1268"/>
      <c r="BP125" s="1268"/>
      <c r="BQ125" s="1297"/>
      <c r="BR125" s="1297"/>
      <c r="BS125" s="1072" t="s">
        <v>2384</v>
      </c>
      <c r="BT125" s="1072"/>
      <c r="BU125" s="1072"/>
      <c r="BV125" s="987"/>
      <c r="BW125" s="987"/>
    </row>
    <row customHeight="1" ht="14.625" hidden="1">
      <c r="A126" s="1297"/>
      <c r="B126" s="867" cm="1" t="str">
        <f t="array" ref="B126:B126">B125</f>
        <v>false</v>
      </c>
      <c r="C126" s="103"/>
      <c r="D126" s="103"/>
      <c r="E126" s="626">
        <v>15</v>
      </c>
      <c r="F126" s="50" cm="1" t="str">
        <f t="array" ref="F126:F126">OFFSET(E126,-1,1)</f>
        <v>0</v>
      </c>
      <c r="G126" s="103"/>
      <c r="H126" s="103"/>
      <c r="I126" s="103"/>
      <c r="J126" s="103"/>
      <c r="K126" s="103" t="s">
        <v>347</v>
      </c>
      <c r="L126" s="988"/>
      <c r="M126" s="103"/>
      <c r="N126" s="103"/>
      <c r="O126" s="103"/>
      <c r="P126" s="103"/>
      <c r="Q126" s="103"/>
      <c r="R126" s="103"/>
      <c r="S126" s="103"/>
      <c r="T126" s="867" cm="1" t="str">
        <f t="array" ref="T126:T126">T125</f>
        <v>false</v>
      </c>
      <c r="U126" s="103"/>
      <c r="V126" s="103"/>
      <c r="W126" s="103"/>
      <c r="X126" s="1559"/>
      <c r="Y126" s="1297"/>
      <c r="Z126" s="1529"/>
      <c r="AA126" s="1297"/>
      <c r="AB126" s="801" t="s">
        <v>454</v>
      </c>
      <c r="AC126" s="800" t="s">
        <v>2385</v>
      </c>
      <c r="AD126" s="801" t="s">
        <v>936</v>
      </c>
      <c r="AE126" s="1265"/>
      <c r="AF126" s="1265"/>
      <c r="AG126" s="1265"/>
      <c r="AH126" s="768">
        <f>AG126-AF126</f>
        <v>0</v>
      </c>
      <c r="AI126" s="1265"/>
      <c r="AJ126" s="1265"/>
      <c r="AK126" s="1265"/>
      <c r="AL126" s="1265"/>
      <c r="AM126" s="1265"/>
      <c r="AN126" s="1265"/>
      <c r="AO126" s="1265"/>
      <c r="AP126" s="1265"/>
      <c r="AQ126" s="1265"/>
      <c r="AR126" s="1265"/>
      <c r="AS126" s="1265"/>
      <c r="AT126" s="1265"/>
      <c r="AU126" s="1265"/>
      <c r="AV126" s="1265"/>
      <c r="AW126" s="1265"/>
      <c r="AX126" s="1265"/>
      <c r="AY126" s="1265"/>
      <c r="AZ126" s="1265"/>
      <c r="BA126" s="1265"/>
      <c r="BB126" s="1265"/>
      <c r="BC126" s="1265"/>
      <c r="BD126" s="768">
        <f>IF(AI126=0,0,(AT126-AI126)/AI126*100)</f>
        <v>0</v>
      </c>
      <c r="BE126" s="768">
        <f>IF(AT126=0,0,(AU126-AT126)/AT126*100)</f>
        <v>0</v>
      </c>
      <c r="BF126" s="768">
        <f>IF(AU126=0,0,(AV126-AU126)/AU126*100)</f>
        <v>0</v>
      </c>
      <c r="BG126" s="768">
        <f>IF(AV126=0,0,(AW126-AV126)/AV126*100)</f>
        <v>0</v>
      </c>
      <c r="BH126" s="768">
        <f>IF(AW126=0,0,(AX126-AW126)/AW126*100)</f>
        <v>0</v>
      </c>
      <c r="BI126" s="768">
        <f>IF(AX126=0,0,(AY126-AX126)/AX126*100)</f>
        <v>0</v>
      </c>
      <c r="BJ126" s="768">
        <f>IF(AY126=0,0,(AZ126-AY126)/AY126*100)</f>
        <v>0</v>
      </c>
      <c r="BK126" s="768">
        <f>IF(AZ126=0,0,(BA126-AZ126)/AZ126*100)</f>
        <v>0</v>
      </c>
      <c r="BL126" s="768">
        <f>IF(BA126=0,0,(BB126-BA126)/BA126*100)</f>
        <v>0</v>
      </c>
      <c r="BM126" s="768">
        <f>IF(BB126=0,0,(BC126-BB126)/BB126*100)</f>
        <v>0</v>
      </c>
      <c r="BN126" s="1266"/>
      <c r="BO126" s="1266"/>
      <c r="BP126" s="1266"/>
      <c r="BQ126" s="1297"/>
      <c r="BR126" s="1297"/>
      <c r="BS126" s="1072" t="s">
        <v>2386</v>
      </c>
      <c r="BT126" s="1072"/>
      <c r="BU126" s="1072"/>
      <c r="BV126" s="987"/>
      <c r="BW126" s="987"/>
    </row>
    <row customHeight="1" ht="14.625" hidden="1">
      <c r="A127" s="1297"/>
      <c r="B127" s="867" cm="1" t="str">
        <f t="array" ref="B127:B127">B126</f>
        <v>false</v>
      </c>
      <c r="C127" s="103"/>
      <c r="D127" s="103"/>
      <c r="E127" s="626">
        <v>15</v>
      </c>
      <c r="F127" s="50" cm="1" t="str">
        <f t="array" ref="F127:F127">OFFSET(E127,-1,1)</f>
        <v>0</v>
      </c>
      <c r="G127" s="103"/>
      <c r="H127" s="103"/>
      <c r="I127" s="103"/>
      <c r="J127" s="103"/>
      <c r="K127" s="103" t="s">
        <v>673</v>
      </c>
      <c r="L127" s="988"/>
      <c r="M127" s="103"/>
      <c r="N127" s="103"/>
      <c r="O127" s="103"/>
      <c r="P127" s="103"/>
      <c r="Q127" s="103"/>
      <c r="R127" s="103"/>
      <c r="S127" s="103"/>
      <c r="T127" s="867" cm="1" t="str">
        <f t="array" ref="T127:T127">T126</f>
        <v>false</v>
      </c>
      <c r="U127" s="103"/>
      <c r="V127" s="103"/>
      <c r="W127" s="103"/>
      <c r="X127" s="1559"/>
      <c r="Y127" s="1297"/>
      <c r="Z127" s="1529"/>
      <c r="AA127" s="1297"/>
      <c r="AB127" s="804" t="s">
        <v>801</v>
      </c>
      <c r="AC127" s="803" t="s">
        <v>2387</v>
      </c>
      <c r="AD127" s="804" t="s">
        <v>936</v>
      </c>
      <c r="AE127" s="1267"/>
      <c r="AF127" s="1267"/>
      <c r="AG127" s="1267"/>
      <c r="AH127" s="770"/>
      <c r="AI127" s="1267"/>
      <c r="AJ127" s="1267"/>
      <c r="AK127" s="1267"/>
      <c r="AL127" s="1267"/>
      <c r="AM127" s="1267"/>
      <c r="AN127" s="1267"/>
      <c r="AO127" s="1267"/>
      <c r="AP127" s="1267"/>
      <c r="AQ127" s="1267"/>
      <c r="AR127" s="1267"/>
      <c r="AS127" s="1267"/>
      <c r="AT127" s="1267"/>
      <c r="AU127" s="1267"/>
      <c r="AV127" s="1267"/>
      <c r="AW127" s="1267"/>
      <c r="AX127" s="1267"/>
      <c r="AY127" s="1267"/>
      <c r="AZ127" s="1267"/>
      <c r="BA127" s="1267"/>
      <c r="BB127" s="1267"/>
      <c r="BC127" s="1267"/>
      <c r="BD127" s="770"/>
      <c r="BE127" s="770"/>
      <c r="BF127" s="770"/>
      <c r="BG127" s="770"/>
      <c r="BH127" s="770"/>
      <c r="BI127" s="770"/>
      <c r="BJ127" s="770"/>
      <c r="BK127" s="770"/>
      <c r="BL127" s="770"/>
      <c r="BM127" s="770"/>
      <c r="BN127" s="1268"/>
      <c r="BO127" s="1268"/>
      <c r="BP127" s="1268"/>
      <c r="BQ127" s="1297"/>
      <c r="BR127" s="1297"/>
      <c r="BS127" s="1072" t="s">
        <v>2388</v>
      </c>
      <c r="BT127" s="1072"/>
      <c r="BU127" s="1072"/>
      <c r="BV127" s="987"/>
      <c r="BW127" s="987"/>
    </row>
    <row customHeight="1" ht="14.625" hidden="1">
      <c r="A128" s="1297"/>
      <c r="B128" s="867" cm="1" t="str">
        <f t="array" ref="B128:B128">B127</f>
        <v>false</v>
      </c>
      <c r="C128" s="103"/>
      <c r="D128" s="103"/>
      <c r="E128" s="626">
        <v>15</v>
      </c>
      <c r="F128" s="50" cm="1" t="str">
        <f t="array" ref="F128:F128">OFFSET(E128,-1,1)</f>
        <v>0</v>
      </c>
      <c r="G128" s="103"/>
      <c r="H128" s="103"/>
      <c r="I128" s="103"/>
      <c r="J128" s="103"/>
      <c r="K128" s="103" t="s">
        <v>677</v>
      </c>
      <c r="L128" s="988"/>
      <c r="M128" s="103"/>
      <c r="N128" s="103"/>
      <c r="O128" s="103"/>
      <c r="P128" s="103"/>
      <c r="Q128" s="103"/>
      <c r="R128" s="103"/>
      <c r="S128" s="103"/>
      <c r="T128" s="867" cm="1" t="str">
        <f t="array" ref="T128:T128">T127</f>
        <v>false</v>
      </c>
      <c r="U128" s="103"/>
      <c r="V128" s="103"/>
      <c r="W128" s="103"/>
      <c r="X128" s="1559"/>
      <c r="Y128" s="1297"/>
      <c r="Z128" s="1529"/>
      <c r="AA128" s="1297"/>
      <c r="AB128" s="804" t="s">
        <v>804</v>
      </c>
      <c r="AC128" s="803" t="s">
        <v>2389</v>
      </c>
      <c r="AD128" s="804" t="s">
        <v>561</v>
      </c>
      <c r="AE128" s="1267"/>
      <c r="AF128" s="1267"/>
      <c r="AG128" s="1267"/>
      <c r="AH128" s="770"/>
      <c r="AI128" s="1267"/>
      <c r="AJ128" s="1267"/>
      <c r="AK128" s="1267"/>
      <c r="AL128" s="1267"/>
      <c r="AM128" s="1267"/>
      <c r="AN128" s="1267"/>
      <c r="AO128" s="1267"/>
      <c r="AP128" s="1267"/>
      <c r="AQ128" s="1267"/>
      <c r="AR128" s="1267"/>
      <c r="AS128" s="1267"/>
      <c r="AT128" s="1267"/>
      <c r="AU128" s="1267"/>
      <c r="AV128" s="1267"/>
      <c r="AW128" s="1267"/>
      <c r="AX128" s="1267"/>
      <c r="AY128" s="1267"/>
      <c r="AZ128" s="1267"/>
      <c r="BA128" s="1267"/>
      <c r="BB128" s="1267"/>
      <c r="BC128" s="1267"/>
      <c r="BD128" s="770"/>
      <c r="BE128" s="770"/>
      <c r="BF128" s="770"/>
      <c r="BG128" s="770"/>
      <c r="BH128" s="770"/>
      <c r="BI128" s="770"/>
      <c r="BJ128" s="770"/>
      <c r="BK128" s="770"/>
      <c r="BL128" s="770"/>
      <c r="BM128" s="770"/>
      <c r="BN128" s="1268"/>
      <c r="BO128" s="1268"/>
      <c r="BP128" s="1268"/>
      <c r="BQ128" s="1297"/>
      <c r="BR128" s="1297"/>
      <c r="BS128" s="1072" t="s">
        <v>2390</v>
      </c>
      <c r="BT128" s="1072"/>
      <c r="BU128" s="1072"/>
      <c r="BV128" s="987"/>
      <c r="BW128" s="987"/>
    </row>
    <row customHeight="1" ht="14.625" hidden="1">
      <c r="A129" s="1297"/>
      <c r="B129" s="867" cm="1" t="str">
        <f t="array" ref="B129:B129">B128</f>
        <v>false</v>
      </c>
      <c r="C129" s="103"/>
      <c r="D129" s="103"/>
      <c r="E129" s="626">
        <v>15</v>
      </c>
      <c r="F129" s="50" cm="1" t="str">
        <f t="array" ref="F129:F129">OFFSET(E129,-1,1)</f>
        <v>0</v>
      </c>
      <c r="G129" s="103"/>
      <c r="H129" s="103"/>
      <c r="I129" s="103"/>
      <c r="J129" s="103"/>
      <c r="K129" s="103" t="s">
        <v>889</v>
      </c>
      <c r="L129" s="988"/>
      <c r="M129" s="103"/>
      <c r="N129" s="103"/>
      <c r="O129" s="103"/>
      <c r="P129" s="103"/>
      <c r="Q129" s="103"/>
      <c r="R129" s="103"/>
      <c r="S129" s="103"/>
      <c r="T129" s="867" cm="1" t="str">
        <f t="array" ref="T129:T129">T128</f>
        <v>false</v>
      </c>
      <c r="U129" s="103"/>
      <c r="V129" s="103"/>
      <c r="W129" s="103"/>
      <c r="X129" s="1559"/>
      <c r="Y129" s="1297"/>
      <c r="Z129" s="1529"/>
      <c r="AA129" s="1297"/>
      <c r="AB129" s="804" t="s">
        <v>1122</v>
      </c>
      <c r="AC129" s="803" t="s">
        <v>2391</v>
      </c>
      <c r="AD129" s="804" t="s">
        <v>936</v>
      </c>
      <c r="AE129" s="1267"/>
      <c r="AF129" s="1267"/>
      <c r="AG129" s="1267"/>
      <c r="AH129" s="770"/>
      <c r="AI129" s="1267"/>
      <c r="AJ129" s="1267"/>
      <c r="AK129" s="1267"/>
      <c r="AL129" s="1267"/>
      <c r="AM129" s="1267"/>
      <c r="AN129" s="1267"/>
      <c r="AO129" s="1267"/>
      <c r="AP129" s="1267"/>
      <c r="AQ129" s="1267"/>
      <c r="AR129" s="1267"/>
      <c r="AS129" s="1267"/>
      <c r="AT129" s="1267"/>
      <c r="AU129" s="1267"/>
      <c r="AV129" s="1267"/>
      <c r="AW129" s="1267"/>
      <c r="AX129" s="1267"/>
      <c r="AY129" s="1267"/>
      <c r="AZ129" s="1267"/>
      <c r="BA129" s="1267"/>
      <c r="BB129" s="1267"/>
      <c r="BC129" s="1267"/>
      <c r="BD129" s="770"/>
      <c r="BE129" s="770"/>
      <c r="BF129" s="770"/>
      <c r="BG129" s="770"/>
      <c r="BH129" s="770"/>
      <c r="BI129" s="770"/>
      <c r="BJ129" s="770"/>
      <c r="BK129" s="770"/>
      <c r="BL129" s="770"/>
      <c r="BM129" s="770"/>
      <c r="BN129" s="1268"/>
      <c r="BO129" s="1268"/>
      <c r="BP129" s="1268"/>
      <c r="BQ129" s="1297"/>
      <c r="BR129" s="1297"/>
      <c r="BS129" s="1072" t="s">
        <v>2392</v>
      </c>
      <c r="BT129" s="1072"/>
      <c r="BU129" s="1072"/>
      <c r="BV129" s="987"/>
      <c r="BW129" s="987"/>
    </row>
    <row customHeight="1" ht="14.625" hidden="1">
      <c r="A130" s="1297"/>
      <c r="B130" s="867" cm="1" t="str">
        <f t="array" ref="B130:B130">B129</f>
        <v>false</v>
      </c>
      <c r="C130" s="103"/>
      <c r="D130" s="103"/>
      <c r="E130" s="626">
        <v>15</v>
      </c>
      <c r="F130" s="50" cm="1" t="str">
        <f t="array" ref="F130:F130">OFFSET(E130,-1,1)</f>
        <v>0</v>
      </c>
      <c r="G130" s="103"/>
      <c r="H130" s="103"/>
      <c r="I130" s="103"/>
      <c r="J130" s="103"/>
      <c r="K130" s="103" t="s">
        <v>1124</v>
      </c>
      <c r="L130" s="988"/>
      <c r="M130" s="103"/>
      <c r="N130" s="103"/>
      <c r="O130" s="103"/>
      <c r="P130" s="103"/>
      <c r="Q130" s="103"/>
      <c r="R130" s="103"/>
      <c r="S130" s="103"/>
      <c r="T130" s="867" cm="1" t="str">
        <f t="array" ref="T130:T130">T129</f>
        <v>false</v>
      </c>
      <c r="U130" s="103"/>
      <c r="V130" s="103"/>
      <c r="W130" s="103"/>
      <c r="X130" s="1559"/>
      <c r="Y130" s="1297"/>
      <c r="Z130" s="1529"/>
      <c r="AA130" s="1297"/>
      <c r="AB130" s="804" t="s">
        <v>1125</v>
      </c>
      <c r="AC130" s="803" t="s">
        <v>2393</v>
      </c>
      <c r="AD130" s="804" t="s">
        <v>936</v>
      </c>
      <c r="AE130" s="1267"/>
      <c r="AF130" s="1267"/>
      <c r="AG130" s="1267"/>
      <c r="AH130" s="770"/>
      <c r="AI130" s="1267"/>
      <c r="AJ130" s="1267"/>
      <c r="AK130" s="1267"/>
      <c r="AL130" s="1267"/>
      <c r="AM130" s="1267"/>
      <c r="AN130" s="1267"/>
      <c r="AO130" s="1267"/>
      <c r="AP130" s="1267"/>
      <c r="AQ130" s="1267"/>
      <c r="AR130" s="1267"/>
      <c r="AS130" s="1267"/>
      <c r="AT130" s="1267"/>
      <c r="AU130" s="1267"/>
      <c r="AV130" s="1267"/>
      <c r="AW130" s="1267"/>
      <c r="AX130" s="1267"/>
      <c r="AY130" s="1267"/>
      <c r="AZ130" s="1267"/>
      <c r="BA130" s="1267"/>
      <c r="BB130" s="1267"/>
      <c r="BC130" s="1267"/>
      <c r="BD130" s="770"/>
      <c r="BE130" s="770"/>
      <c r="BF130" s="770"/>
      <c r="BG130" s="770"/>
      <c r="BH130" s="770"/>
      <c r="BI130" s="770"/>
      <c r="BJ130" s="770"/>
      <c r="BK130" s="770"/>
      <c r="BL130" s="770"/>
      <c r="BM130" s="770"/>
      <c r="BN130" s="1268"/>
      <c r="BO130" s="1268"/>
      <c r="BP130" s="1268"/>
      <c r="BQ130" s="1297"/>
      <c r="BR130" s="1297"/>
      <c r="BS130" s="1072" t="s">
        <v>2394</v>
      </c>
      <c r="BT130" s="1072"/>
      <c r="BU130" s="1072"/>
      <c r="BV130" s="987"/>
      <c r="BW130" s="987"/>
    </row>
    <row customHeight="1" ht="14.625" hidden="1">
      <c r="A131" s="1297"/>
      <c r="B131" s="867" cm="1" t="str">
        <f t="array" ref="B131:B131">B130</f>
        <v>false</v>
      </c>
      <c r="C131" s="103"/>
      <c r="D131" s="103"/>
      <c r="E131" s="626">
        <v>15</v>
      </c>
      <c r="F131" s="50" cm="1" t="str">
        <f t="array" ref="F131:F131">OFFSET(E131,-1,1)</f>
        <v>0</v>
      </c>
      <c r="G131" s="103"/>
      <c r="H131" s="103"/>
      <c r="I131" s="103"/>
      <c r="J131" s="103"/>
      <c r="K131" s="103" t="s">
        <v>2395</v>
      </c>
      <c r="L131" s="988"/>
      <c r="M131" s="103"/>
      <c r="N131" s="103"/>
      <c r="O131" s="103"/>
      <c r="P131" s="103"/>
      <c r="Q131" s="103"/>
      <c r="R131" s="103"/>
      <c r="S131" s="103"/>
      <c r="T131" s="867" cm="1" t="str">
        <f t="array" ref="T131:T131">T130</f>
        <v>false</v>
      </c>
      <c r="U131" s="103"/>
      <c r="V131" s="103"/>
      <c r="W131" s="103"/>
      <c r="X131" s="1559"/>
      <c r="Y131" s="1297"/>
      <c r="Z131" s="1529"/>
      <c r="AA131" s="1297"/>
      <c r="AB131" s="804" t="s">
        <v>2396</v>
      </c>
      <c r="AC131" s="805" t="s">
        <v>2397</v>
      </c>
      <c r="AD131" s="804" t="s">
        <v>561</v>
      </c>
      <c r="AE131" s="1267"/>
      <c r="AF131" s="1267"/>
      <c r="AG131" s="1267"/>
      <c r="AH131" s="770"/>
      <c r="AI131" s="1267"/>
      <c r="AJ131" s="1267"/>
      <c r="AK131" s="1267"/>
      <c r="AL131" s="1267"/>
      <c r="AM131" s="1267"/>
      <c r="AN131" s="1267"/>
      <c r="AO131" s="1267"/>
      <c r="AP131" s="1267"/>
      <c r="AQ131" s="1267"/>
      <c r="AR131" s="1267"/>
      <c r="AS131" s="1267"/>
      <c r="AT131" s="1267"/>
      <c r="AU131" s="1267"/>
      <c r="AV131" s="1267"/>
      <c r="AW131" s="1267"/>
      <c r="AX131" s="1267"/>
      <c r="AY131" s="1267"/>
      <c r="AZ131" s="1267"/>
      <c r="BA131" s="1267"/>
      <c r="BB131" s="1267"/>
      <c r="BC131" s="1267"/>
      <c r="BD131" s="770"/>
      <c r="BE131" s="770"/>
      <c r="BF131" s="770"/>
      <c r="BG131" s="770"/>
      <c r="BH131" s="770"/>
      <c r="BI131" s="770"/>
      <c r="BJ131" s="770"/>
      <c r="BK131" s="770"/>
      <c r="BL131" s="770"/>
      <c r="BM131" s="770"/>
      <c r="BN131" s="1268"/>
      <c r="BO131" s="1268"/>
      <c r="BP131" s="1268"/>
      <c r="BQ131" s="1297"/>
      <c r="BR131" s="1297"/>
      <c r="BS131" s="1072" t="s">
        <v>2398</v>
      </c>
      <c r="BT131" s="1072"/>
      <c r="BU131" s="1072"/>
      <c r="BV131" s="987"/>
      <c r="BW131" s="987"/>
    </row>
    <row customHeight="1" ht="14.625" hidden="1">
      <c r="A132" s="1297"/>
      <c r="B132" s="867" cm="1" t="str">
        <f t="array" ref="B132:B132">B131</f>
        <v>false</v>
      </c>
      <c r="C132" s="103"/>
      <c r="D132" s="103"/>
      <c r="E132" s="626">
        <v>15</v>
      </c>
      <c r="F132" s="50" cm="1" t="str">
        <f t="array" ref="F132:F132">OFFSET(E132,-1,1)</f>
        <v>0</v>
      </c>
      <c r="G132" s="103"/>
      <c r="H132" s="103"/>
      <c r="I132" s="103"/>
      <c r="J132" s="103"/>
      <c r="K132" s="103" t="s">
        <v>1127</v>
      </c>
      <c r="L132" s="988"/>
      <c r="M132" s="103"/>
      <c r="N132" s="103"/>
      <c r="O132" s="103"/>
      <c r="P132" s="103"/>
      <c r="Q132" s="103"/>
      <c r="R132" s="103"/>
      <c r="S132" s="103"/>
      <c r="T132" s="867" cm="1" t="str">
        <f t="array" ref="T132:T132">T131</f>
        <v>false</v>
      </c>
      <c r="U132" s="103"/>
      <c r="V132" s="103"/>
      <c r="W132" s="103"/>
      <c r="X132" s="1559"/>
      <c r="Y132" s="1297"/>
      <c r="Z132" s="1529"/>
      <c r="AA132" s="1297"/>
      <c r="AB132" s="804" t="s">
        <v>1128</v>
      </c>
      <c r="AC132" s="803" t="s">
        <v>2399</v>
      </c>
      <c r="AD132" s="804" t="s">
        <v>561</v>
      </c>
      <c r="AE132" s="1267"/>
      <c r="AF132" s="1267"/>
      <c r="AG132" s="1267"/>
      <c r="AH132" s="770"/>
      <c r="AI132" s="1267"/>
      <c r="AJ132" s="1267"/>
      <c r="AK132" s="1267"/>
      <c r="AL132" s="1267"/>
      <c r="AM132" s="1267"/>
      <c r="AN132" s="1267"/>
      <c r="AO132" s="1267"/>
      <c r="AP132" s="1267"/>
      <c r="AQ132" s="1267"/>
      <c r="AR132" s="1267"/>
      <c r="AS132" s="1267"/>
      <c r="AT132" s="1267"/>
      <c r="AU132" s="1267"/>
      <c r="AV132" s="1267"/>
      <c r="AW132" s="1267"/>
      <c r="AX132" s="1267"/>
      <c r="AY132" s="1267"/>
      <c r="AZ132" s="1267"/>
      <c r="BA132" s="1267"/>
      <c r="BB132" s="1267"/>
      <c r="BC132" s="1267"/>
      <c r="BD132" s="770"/>
      <c r="BE132" s="770"/>
      <c r="BF132" s="770"/>
      <c r="BG132" s="770"/>
      <c r="BH132" s="770"/>
      <c r="BI132" s="770"/>
      <c r="BJ132" s="770"/>
      <c r="BK132" s="770"/>
      <c r="BL132" s="770"/>
      <c r="BM132" s="770"/>
      <c r="BN132" s="1268"/>
      <c r="BO132" s="1268"/>
      <c r="BP132" s="1268"/>
      <c r="BQ132" s="1297"/>
      <c r="BR132" s="1297"/>
      <c r="BS132" s="1072" t="s">
        <v>2400</v>
      </c>
      <c r="BT132" s="1072"/>
      <c r="BU132" s="1072"/>
      <c r="BV132" s="987"/>
      <c r="BW132" s="987"/>
    </row>
    <row customHeight="1" ht="14.625" hidden="1">
      <c r="A133" s="1297"/>
      <c r="B133" s="867" cm="1" t="str">
        <f t="array" ref="B133:B133">B132</f>
        <v>false</v>
      </c>
      <c r="C133" s="103"/>
      <c r="D133" s="103"/>
      <c r="E133" s="626">
        <v>15</v>
      </c>
      <c r="F133" s="50" cm="1" t="str">
        <f t="array" ref="F133:F133">OFFSET(E133,-1,1)</f>
        <v>0</v>
      </c>
      <c r="G133" s="103"/>
      <c r="H133" s="103"/>
      <c r="I133" s="103"/>
      <c r="J133" s="103"/>
      <c r="K133" s="103" t="s">
        <v>2401</v>
      </c>
      <c r="L133" s="988"/>
      <c r="M133" s="103"/>
      <c r="N133" s="103"/>
      <c r="O133" s="103"/>
      <c r="P133" s="103"/>
      <c r="Q133" s="103"/>
      <c r="R133" s="103"/>
      <c r="S133" s="103"/>
      <c r="T133" s="867" cm="1" t="str">
        <f t="array" ref="T133:T133">T132</f>
        <v>false</v>
      </c>
      <c r="U133" s="103"/>
      <c r="V133" s="103"/>
      <c r="W133" s="103"/>
      <c r="X133" s="1559"/>
      <c r="Y133" s="1297"/>
      <c r="Z133" s="1529"/>
      <c r="AA133" s="1297"/>
      <c r="AB133" s="804" t="s">
        <v>2402</v>
      </c>
      <c r="AC133" s="805" t="s">
        <v>2403</v>
      </c>
      <c r="AD133" s="804" t="s">
        <v>561</v>
      </c>
      <c r="AE133" s="1267"/>
      <c r="AF133" s="1267"/>
      <c r="AG133" s="1267"/>
      <c r="AH133" s="770"/>
      <c r="AI133" s="1267"/>
      <c r="AJ133" s="1267"/>
      <c r="AK133" s="1267"/>
      <c r="AL133" s="1267"/>
      <c r="AM133" s="1267"/>
      <c r="AN133" s="1267"/>
      <c r="AO133" s="1267"/>
      <c r="AP133" s="1267"/>
      <c r="AQ133" s="1267"/>
      <c r="AR133" s="1267"/>
      <c r="AS133" s="1267"/>
      <c r="AT133" s="1267"/>
      <c r="AU133" s="1267"/>
      <c r="AV133" s="1267"/>
      <c r="AW133" s="1267"/>
      <c r="AX133" s="1267"/>
      <c r="AY133" s="1267"/>
      <c r="AZ133" s="1267"/>
      <c r="BA133" s="1267"/>
      <c r="BB133" s="1267"/>
      <c r="BC133" s="1267"/>
      <c r="BD133" s="770"/>
      <c r="BE133" s="770"/>
      <c r="BF133" s="770"/>
      <c r="BG133" s="770"/>
      <c r="BH133" s="770"/>
      <c r="BI133" s="770"/>
      <c r="BJ133" s="770"/>
      <c r="BK133" s="770"/>
      <c r="BL133" s="770"/>
      <c r="BM133" s="770"/>
      <c r="BN133" s="1268"/>
      <c r="BO133" s="1268"/>
      <c r="BP133" s="1268"/>
      <c r="BQ133" s="1297"/>
      <c r="BR133" s="1297"/>
      <c r="BS133" s="1072" t="s">
        <v>2404</v>
      </c>
      <c r="BT133" s="1072"/>
      <c r="BU133" s="1072"/>
      <c r="BV133" s="987"/>
      <c r="BW133" s="987"/>
    </row>
    <row customHeight="1" ht="14.625" hidden="1">
      <c r="A134" s="1297"/>
      <c r="B134" s="867" cm="1" t="str">
        <f t="array" ref="B134:B134">B133</f>
        <v>false</v>
      </c>
      <c r="C134" s="103"/>
      <c r="D134" s="103"/>
      <c r="E134" s="626">
        <v>15</v>
      </c>
      <c r="F134" s="50" cm="1" t="str">
        <f t="array" ref="F134:F134">OFFSET(E134,-1,1)</f>
        <v>0</v>
      </c>
      <c r="G134" s="103"/>
      <c r="H134" s="103"/>
      <c r="I134" s="103"/>
      <c r="J134" s="103"/>
      <c r="K134" s="103" t="s">
        <v>2405</v>
      </c>
      <c r="L134" s="988"/>
      <c r="M134" s="103"/>
      <c r="N134" s="103"/>
      <c r="O134" s="103"/>
      <c r="P134" s="103"/>
      <c r="Q134" s="103"/>
      <c r="R134" s="103"/>
      <c r="S134" s="103"/>
      <c r="T134" s="867" cm="1" t="str">
        <f t="array" ref="T134:T134">T133</f>
        <v>false</v>
      </c>
      <c r="U134" s="103"/>
      <c r="V134" s="103"/>
      <c r="W134" s="103"/>
      <c r="X134" s="1559"/>
      <c r="Y134" s="1297"/>
      <c r="Z134" s="1529"/>
      <c r="AA134" s="1297"/>
      <c r="AB134" s="804" t="s">
        <v>2406</v>
      </c>
      <c r="AC134" s="805" t="s">
        <v>2407</v>
      </c>
      <c r="AD134" s="804" t="s">
        <v>561</v>
      </c>
      <c r="AE134" s="1267"/>
      <c r="AF134" s="1267"/>
      <c r="AG134" s="1267"/>
      <c r="AH134" s="770"/>
      <c r="AI134" s="1267"/>
      <c r="AJ134" s="1267"/>
      <c r="AK134" s="1267"/>
      <c r="AL134" s="1267"/>
      <c r="AM134" s="1267"/>
      <c r="AN134" s="1267"/>
      <c r="AO134" s="1267"/>
      <c r="AP134" s="1267"/>
      <c r="AQ134" s="1267"/>
      <c r="AR134" s="1267"/>
      <c r="AS134" s="1267"/>
      <c r="AT134" s="1267"/>
      <c r="AU134" s="1267"/>
      <c r="AV134" s="1267"/>
      <c r="AW134" s="1267"/>
      <c r="AX134" s="1267"/>
      <c r="AY134" s="1267"/>
      <c r="AZ134" s="1267"/>
      <c r="BA134" s="1267"/>
      <c r="BB134" s="1267"/>
      <c r="BC134" s="1267"/>
      <c r="BD134" s="770"/>
      <c r="BE134" s="770"/>
      <c r="BF134" s="770"/>
      <c r="BG134" s="770"/>
      <c r="BH134" s="770"/>
      <c r="BI134" s="770"/>
      <c r="BJ134" s="770"/>
      <c r="BK134" s="770"/>
      <c r="BL134" s="770"/>
      <c r="BM134" s="770"/>
      <c r="BN134" s="1268"/>
      <c r="BO134" s="1268"/>
      <c r="BP134" s="1268"/>
      <c r="BQ134" s="1297"/>
      <c r="BR134" s="1297"/>
      <c r="BS134" s="1072" t="s">
        <v>2408</v>
      </c>
      <c r="BT134" s="1072"/>
      <c r="BU134" s="1072"/>
      <c r="BV134" s="987"/>
      <c r="BW134" s="987"/>
    </row>
    <row s="706" customFormat="1" customHeight="1" ht="20.475" hidden="1">
      <c r="A135" s="706"/>
      <c r="B135" s="437"/>
      <c r="C135" s="105"/>
      <c r="D135" s="105" t="str">
        <f>IF(B134,"6","7")</f>
        <v>7</v>
      </c>
      <c r="E135" s="833">
        <v>21</v>
      </c>
      <c r="F135" s="50" cm="1" t="str">
        <f t="array" ref="F135:F135">OFFSET(E135,-1,1)</f>
        <v>0</v>
      </c>
      <c r="G135" s="103" t="s">
        <v>2409</v>
      </c>
      <c r="H135" s="103"/>
      <c r="I135" s="380" t="s">
        <v>2410</v>
      </c>
      <c r="J135" s="105"/>
      <c r="K135" s="376" t="s">
        <v>2410</v>
      </c>
      <c r="L135" s="993"/>
      <c r="M135" s="105"/>
      <c r="N135" s="105"/>
      <c r="O135" s="105"/>
      <c r="P135" s="105"/>
      <c r="Q135" s="105"/>
      <c r="R135" s="105"/>
      <c r="S135" s="105"/>
      <c r="T135" s="468" cm="1" t="str">
        <f t="array" ref="T135:T135">T134</f>
        <v>false</v>
      </c>
      <c r="U135" s="105"/>
      <c r="V135" s="105"/>
      <c r="W135" s="105"/>
      <c r="X135" s="1559"/>
      <c r="Y135" s="706"/>
      <c r="Z135" s="1529"/>
      <c r="AA135" s="706"/>
      <c r="AB135" s="207" cm="1" t="str">
        <f t="array" ref="AB135:AB135">D135</f>
        <v>7</v>
      </c>
      <c r="AC135" s="215" t="s">
        <v>1815</v>
      </c>
      <c r="AD135" s="207" t="s">
        <v>936</v>
      </c>
      <c r="AE135" s="1256"/>
      <c r="AF135" s="1256"/>
      <c r="AG135" s="1256"/>
      <c r="AH135" s="785">
        <f>AG135-AF135</f>
        <v>0</v>
      </c>
      <c r="AI135" s="1256"/>
      <c r="AJ135" s="6282">
        <f>_xlfn.SUMIFS('Корректировка НВВ'!$AF$25:$AF$231,'Корректировка НВВ'!$F$25:$F$231,$F135,'Корректировка НВВ'!$I$25:$I$231,$G135)</f>
        <v>0</v>
      </c>
      <c r="AK135" s="1256"/>
      <c r="AL135" s="1256"/>
      <c r="AM135" s="1256"/>
      <c r="AN135" s="1256"/>
      <c r="AO135" s="1256"/>
      <c r="AP135" s="1256"/>
      <c r="AQ135" s="1256"/>
      <c r="AR135" s="1256"/>
      <c r="AS135" s="1256"/>
      <c r="AT135" s="6282">
        <f>_xlfn.SUMIFS('Корректировка НВВ'!$AG$25:$AG$231,'Корректировка НВВ'!$F$25:$F$231,$F135,'Корректировка НВВ'!$I$25:$I$231,$G135)</f>
        <v>0</v>
      </c>
      <c r="AU135" s="1256"/>
      <c r="AV135" s="1256"/>
      <c r="AW135" s="1256"/>
      <c r="AX135" s="1256"/>
      <c r="AY135" s="1256"/>
      <c r="AZ135" s="1256"/>
      <c r="BA135" s="1256"/>
      <c r="BB135" s="1256"/>
      <c r="BC135" s="1256"/>
      <c r="BD135" s="785">
        <f>IF(AI135=0,0,(AT135-AI135)/AI135*100)</f>
        <v>0</v>
      </c>
      <c r="BE135" s="785">
        <f>IF(AT135=0,0,(AU135-AT135)/AT135*100)</f>
        <v>0</v>
      </c>
      <c r="BF135" s="785">
        <f>IF(AU135=0,0,(AV135-AU135)/AU135*100)</f>
        <v>0</v>
      </c>
      <c r="BG135" s="785">
        <f>IF(AV135=0,0,(AW135-AV135)/AV135*100)</f>
        <v>0</v>
      </c>
      <c r="BH135" s="785">
        <f>IF(AW135=0,0,(AX135-AW135)/AW135*100)</f>
        <v>0</v>
      </c>
      <c r="BI135" s="785">
        <f>IF(AX135=0,0,(AY135-AX135)/AX135*100)</f>
        <v>0</v>
      </c>
      <c r="BJ135" s="785">
        <f>IF(AY135=0,0,(AZ135-AY135)/AY135*100)</f>
        <v>0</v>
      </c>
      <c r="BK135" s="785">
        <f>IF(AZ135=0,0,(BA135-AZ135)/AZ135*100)</f>
        <v>0</v>
      </c>
      <c r="BL135" s="785">
        <f>IF(BA135=0,0,(BB135-BA135)/BA135*100)</f>
        <v>0</v>
      </c>
      <c r="BM135" s="785">
        <f>IF(BB135=0,0,(BC135-BB135)/BB135*100)</f>
        <v>0</v>
      </c>
      <c r="BN135" s="1259"/>
      <c r="BO135" s="1261" t="str">
        <f>IF(_xlfn.IFERROR(INDEX('Корректировка НВВ'!$K$26:$L$231,MATCH($F135&amp;"11komm",'Корректировка НВВ'!$K$26:$K$231,0),2),"")=0,"",_xlfn.IFERROR(INDEX('Корректировка НВВ'!$K$26:$L$231,MATCH($F135&amp;"11komm",'Корректировка НВВ'!$K$26:$K$231,0),2),""))</f>
        <v/>
      </c>
      <c r="BP135" s="1259"/>
      <c r="BQ135" s="706"/>
      <c r="BR135" s="706"/>
      <c r="BS135" s="1078" t="s">
        <v>2411</v>
      </c>
      <c r="BT135" s="1078"/>
      <c r="BU135" s="1078"/>
      <c r="BV135" s="713"/>
      <c r="BW135" s="713"/>
    </row>
    <row customHeight="1" ht="14.625" hidden="1">
      <c r="A136" s="1297"/>
      <c r="B136" s="986"/>
      <c r="C136" s="103"/>
      <c r="D136" s="103" cm="1" t="str">
        <f t="array" ref="D136:D136">D135</f>
        <v>7</v>
      </c>
      <c r="E136" s="626">
        <v>15</v>
      </c>
      <c r="F136" s="50" cm="1" t="str">
        <f t="array" ref="F136:F136">OFFSET(E136,-1,1)</f>
        <v>0</v>
      </c>
      <c r="G136" s="103"/>
      <c r="H136" s="103"/>
      <c r="I136" s="103"/>
      <c r="J136" s="103"/>
      <c r="K136" s="1297"/>
      <c r="L136" s="988"/>
      <c r="M136" s="103"/>
      <c r="N136" s="103"/>
      <c r="O136" s="103"/>
      <c r="P136" s="103"/>
      <c r="Q136" s="103"/>
      <c r="R136" s="103"/>
      <c r="S136" s="103"/>
      <c r="T136" s="468" cm="1" t="str">
        <f t="array" ref="T136:T136">T135</f>
        <v>false</v>
      </c>
      <c r="U136" s="103"/>
      <c r="V136" s="103"/>
      <c r="W136" s="103"/>
      <c r="X136" s="1559"/>
      <c r="Y136" s="1297"/>
      <c r="Z136" s="1529"/>
      <c r="AA136" s="1297"/>
      <c r="AB136" s="296"/>
      <c r="AC136" s="454" t="s">
        <v>2412</v>
      </c>
      <c r="AD136" s="296"/>
      <c r="AE136" s="1124"/>
      <c r="AF136" s="1124"/>
      <c r="AG136" s="1124"/>
      <c r="AH136" s="1124"/>
      <c r="AI136" s="1124"/>
      <c r="AJ136" s="1124"/>
      <c r="AK136" s="1124"/>
      <c r="AL136" s="1124"/>
      <c r="AM136" s="1124"/>
      <c r="AN136" s="1124"/>
      <c r="AO136" s="1124"/>
      <c r="AP136" s="1124"/>
      <c r="AQ136" s="1124"/>
      <c r="AR136" s="1124"/>
      <c r="AS136" s="1124"/>
      <c r="AT136" s="1124"/>
      <c r="AU136" s="1124"/>
      <c r="AV136" s="1124"/>
      <c r="AW136" s="1124"/>
      <c r="AX136" s="1124"/>
      <c r="AY136" s="1124"/>
      <c r="AZ136" s="1124"/>
      <c r="BA136" s="1124"/>
      <c r="BB136" s="1124"/>
      <c r="BC136" s="1124"/>
      <c r="BD136" s="1124"/>
      <c r="BE136" s="1124"/>
      <c r="BF136" s="1124"/>
      <c r="BG136" s="1124"/>
      <c r="BH136" s="1124"/>
      <c r="BI136" s="1124"/>
      <c r="BJ136" s="1124"/>
      <c r="BK136" s="1124"/>
      <c r="BL136" s="1124"/>
      <c r="BM136" s="1124"/>
      <c r="BN136" s="1126"/>
      <c r="BO136" s="1126"/>
      <c r="BP136" s="1126"/>
      <c r="BQ136" s="1297"/>
      <c r="BR136" s="1297"/>
      <c r="BS136" s="1072"/>
      <c r="BT136" s="1072"/>
      <c r="BU136" s="1072"/>
      <c r="BV136" s="987"/>
      <c r="BW136" s="987"/>
    </row>
    <row customHeight="1" ht="21.9375" hidden="1">
      <c r="A137" s="1297"/>
      <c r="B137" s="986"/>
      <c r="C137" s="103"/>
      <c r="D137" s="103" cm="1" t="str">
        <f t="array" ref="D137:D137">D136</f>
        <v>7</v>
      </c>
      <c r="E137" s="626">
        <v>22.5</v>
      </c>
      <c r="F137" s="50" cm="1" t="str">
        <f t="array" ref="F137:F137">OFFSET(E137,-1,1)</f>
        <v>0</v>
      </c>
      <c r="G137" s="103" t="s">
        <v>386</v>
      </c>
      <c r="H137" s="103"/>
      <c r="I137" s="103" t="s">
        <v>619</v>
      </c>
      <c r="J137" s="103"/>
      <c r="K137" s="154" t="s">
        <v>619</v>
      </c>
      <c r="L137" s="988"/>
      <c r="M137" s="103"/>
      <c r="N137" s="103"/>
      <c r="O137" s="103"/>
      <c r="P137" s="103"/>
      <c r="Q137" s="103"/>
      <c r="R137" s="103"/>
      <c r="S137" s="103"/>
      <c r="T137" s="468" cm="1" t="str">
        <f t="array" ref="T137:T137">T136</f>
        <v>false</v>
      </c>
      <c r="U137" s="103"/>
      <c r="V137" s="103"/>
      <c r="W137" s="103"/>
      <c r="X137" s="1559"/>
      <c r="Y137" s="1297"/>
      <c r="Z137" s="1529"/>
      <c r="AA137" s="1297"/>
      <c r="AB137" s="296" t="str">
        <f>D137&amp;".1"</f>
        <v>7.1</v>
      </c>
      <c r="AC137" s="769" t="s">
        <v>2413</v>
      </c>
      <c r="AD137" s="296" t="s">
        <v>936</v>
      </c>
      <c r="AE137" s="1260"/>
      <c r="AF137" s="1260"/>
      <c r="AG137" s="1260"/>
      <c r="AH137" s="1123">
        <f>AG137-AF137</f>
        <v>0</v>
      </c>
      <c r="AI137" s="1260"/>
      <c r="AJ137" s="1260">
        <f>_xlfn.SUMIFS('Корректировка НВВ'!$AF$25:$AF$231,'Корректировка НВВ'!$F$25:$F$231,$F137,'Корректировка НВВ'!$I$25:$I$231,$G137)</f>
        <v>0</v>
      </c>
      <c r="AK137" s="1260"/>
      <c r="AL137" s="1260"/>
      <c r="AM137" s="1260"/>
      <c r="AN137" s="1260"/>
      <c r="AO137" s="1260"/>
      <c r="AP137" s="1260"/>
      <c r="AQ137" s="1260"/>
      <c r="AR137" s="1260"/>
      <c r="AS137" s="1260"/>
      <c r="AT137" s="1260">
        <f>_xlfn.SUMIFS('Корректировка НВВ'!$AG$25:$AG$231,'Корректировка НВВ'!$F$25:$F$231,$F137,'Корректировка НВВ'!$I$25:$I$231,$G137)</f>
        <v>0</v>
      </c>
      <c r="AU137" s="1260"/>
      <c r="AV137" s="1260"/>
      <c r="AW137" s="1260"/>
      <c r="AX137" s="1260"/>
      <c r="AY137" s="1260"/>
      <c r="AZ137" s="1260"/>
      <c r="BA137" s="1260"/>
      <c r="BB137" s="1260"/>
      <c r="BC137" s="1260"/>
      <c r="BD137" s="1124"/>
      <c r="BE137" s="1124"/>
      <c r="BF137" s="1124"/>
      <c r="BG137" s="1124"/>
      <c r="BH137" s="1124"/>
      <c r="BI137" s="1124"/>
      <c r="BJ137" s="1124"/>
      <c r="BK137" s="1124"/>
      <c r="BL137" s="1124"/>
      <c r="BM137" s="1124"/>
      <c r="BN137" s="1257"/>
      <c r="BO137" s="1261" t="str">
        <f>IF(_xlfn.IFERROR(INDEX('Корректировка НВВ'!$K$26:$L$231,MATCH($F137&amp;"1komm",'Корректировка НВВ'!$K$26:$K$231,0),2),"")=0,"",_xlfn.IFERROR(INDEX('Корректировка НВВ'!$K$26:$L$231,MATCH($F137&amp;"1komm",'Корректировка НВВ'!$K$26:$K$231,0),2),""))</f>
        <v/>
      </c>
      <c r="BP137" s="1257"/>
      <c r="BQ137" s="1297"/>
      <c r="BR137" s="1297"/>
      <c r="BS137" s="1072" t="s">
        <v>2414</v>
      </c>
      <c r="BT137" s="1072"/>
      <c r="BU137" s="1072"/>
      <c r="BV137" s="987"/>
      <c r="BW137" s="987"/>
    </row>
    <row customHeight="1" ht="98.71875" hidden="1">
      <c r="A138" s="1297"/>
      <c r="B138" s="986"/>
      <c r="C138" s="103"/>
      <c r="D138" s="103" cm="1" t="str">
        <f t="array" ref="D138:D138">D137</f>
        <v>7</v>
      </c>
      <c r="E138" s="626">
        <v>101.25</v>
      </c>
      <c r="F138" s="50" cm="1" t="str">
        <f t="array" ref="F138:F138">OFFSET(E138,-1,1)</f>
        <v>0</v>
      </c>
      <c r="G138" s="103" t="s">
        <v>2415</v>
      </c>
      <c r="H138" s="103"/>
      <c r="I138" s="103" t="s">
        <v>685</v>
      </c>
      <c r="J138" s="103"/>
      <c r="K138" s="154" t="s">
        <v>685</v>
      </c>
      <c r="L138" s="988"/>
      <c r="M138" s="103"/>
      <c r="N138" s="103"/>
      <c r="O138" s="103"/>
      <c r="P138" s="103"/>
      <c r="Q138" s="103"/>
      <c r="R138" s="103"/>
      <c r="S138" s="103"/>
      <c r="T138" s="468" cm="1" t="str">
        <f t="array" ref="T138:T138">T137</f>
        <v>false</v>
      </c>
      <c r="U138" s="103"/>
      <c r="V138" s="103"/>
      <c r="W138" s="103"/>
      <c r="X138" s="1559"/>
      <c r="Y138" s="1297"/>
      <c r="Z138" s="1529"/>
      <c r="AA138" s="1297"/>
      <c r="AB138" s="296" t="str">
        <f>D138&amp;".2"</f>
        <v>7.2</v>
      </c>
      <c r="AC138" s="769" t="s">
        <v>2416</v>
      </c>
      <c r="AD138" s="296" t="s">
        <v>936</v>
      </c>
      <c r="AE138" s="1260"/>
      <c r="AF138" s="1260"/>
      <c r="AG138" s="1260"/>
      <c r="AH138" s="1123">
        <f>AG138-AF138</f>
        <v>0</v>
      </c>
      <c r="AI138" s="1260"/>
      <c r="AJ138" s="1260">
        <f>_xlfn.SUMIFS('Корректировка НВВ'!$AF$25:$AF$231,'Корректировка НВВ'!$F$25:$F$231,$F138,'Корректировка НВВ'!$I$25:$I$231,$G138)</f>
        <v>0</v>
      </c>
      <c r="AK138" s="1260"/>
      <c r="AL138" s="1260"/>
      <c r="AM138" s="1260"/>
      <c r="AN138" s="1260"/>
      <c r="AO138" s="1260"/>
      <c r="AP138" s="1260"/>
      <c r="AQ138" s="1260"/>
      <c r="AR138" s="1260"/>
      <c r="AS138" s="1260"/>
      <c r="AT138" s="1260">
        <f>_xlfn.SUMIFS('Корректировка НВВ'!$AG$25:$AG$231,'Корректировка НВВ'!$F$25:$F$231,$F138,'Корректировка НВВ'!$I$25:$I$231,$G138)</f>
        <v>0</v>
      </c>
      <c r="AU138" s="1260"/>
      <c r="AV138" s="1260"/>
      <c r="AW138" s="1260"/>
      <c r="AX138" s="1260"/>
      <c r="AY138" s="1260"/>
      <c r="AZ138" s="1260"/>
      <c r="BA138" s="1260"/>
      <c r="BB138" s="1260"/>
      <c r="BC138" s="1260"/>
      <c r="BD138" s="1124"/>
      <c r="BE138" s="1124"/>
      <c r="BF138" s="1124"/>
      <c r="BG138" s="1124"/>
      <c r="BH138" s="1124"/>
      <c r="BI138" s="1124"/>
      <c r="BJ138" s="1124"/>
      <c r="BK138" s="1124"/>
      <c r="BL138" s="1124"/>
      <c r="BM138" s="1124"/>
      <c r="BN138" s="1257"/>
      <c r="BO138" s="1261" t="str">
        <f>IF(_xlfn.IFERROR(INDEX('Корректировка НВВ'!$K$26:$L$231,MATCH($F138&amp;"2komm",'Корректировка НВВ'!$K$26:$K$231,0),2),"")=0,"",_xlfn.IFERROR(INDEX('Корректировка НВВ'!$K$26:$L$231,MATCH($F138&amp;"2komm",'Корректировка НВВ'!$K$26:$K$231,0),2),""))</f>
        <v/>
      </c>
      <c r="BP138" s="1257"/>
      <c r="BQ138" s="1297"/>
      <c r="BR138" s="1297"/>
      <c r="BS138" s="1072" t="s">
        <v>2417</v>
      </c>
      <c r="BT138" s="1072"/>
      <c r="BU138" s="1072"/>
      <c r="BV138" s="987"/>
      <c r="BW138" s="987"/>
    </row>
    <row customHeight="1" ht="43.875" hidden="1">
      <c r="A139" s="1297"/>
      <c r="B139" s="986"/>
      <c r="C139" s="103"/>
      <c r="D139" s="103" cm="1" t="str">
        <f t="array" ref="D139:D139">D138</f>
        <v>7</v>
      </c>
      <c r="E139" s="626">
        <v>45</v>
      </c>
      <c r="F139" s="50" cm="1" t="str">
        <f t="array" ref="F139:F139">OFFSET(E139,-1,1)</f>
        <v>0</v>
      </c>
      <c r="G139" s="103"/>
      <c r="H139" s="103"/>
      <c r="I139" s="103" t="s">
        <v>700</v>
      </c>
      <c r="J139" s="103"/>
      <c r="K139" s="154" t="s">
        <v>700</v>
      </c>
      <c r="L139" s="988"/>
      <c r="M139" s="103"/>
      <c r="N139" s="103"/>
      <c r="O139" s="103"/>
      <c r="P139" s="103"/>
      <c r="Q139" s="103"/>
      <c r="R139" s="103"/>
      <c r="S139" s="103"/>
      <c r="T139" s="468" cm="1" t="str">
        <f t="array" ref="T139:T139">T138</f>
        <v>false</v>
      </c>
      <c r="U139" s="103"/>
      <c r="V139" s="103"/>
      <c r="W139" s="103"/>
      <c r="X139" s="1559"/>
      <c r="Y139" s="1297"/>
      <c r="Z139" s="1529"/>
      <c r="AA139" s="1297"/>
      <c r="AB139" s="296" t="str">
        <f>D139&amp;".3"</f>
        <v>7.3</v>
      </c>
      <c r="AC139" s="769" t="s">
        <v>2418</v>
      </c>
      <c r="AD139" s="296" t="s">
        <v>936</v>
      </c>
      <c r="AE139" s="1260"/>
      <c r="AF139" s="1260"/>
      <c r="AG139" s="1260"/>
      <c r="AH139" s="1123">
        <f>AG139-AF139</f>
        <v>0</v>
      </c>
      <c r="AI139" s="1260"/>
      <c r="AJ139" s="1260">
        <f>_xlfn.SUMIFS('Корректировка НВВ'!$AF$25:$AF$231,'Корректировка НВВ'!$F$25:$F$231,$F139,'Корректировка НВВ'!$I$25:$I$231,"L1")+_xlfn.SUMIFS('Корректировка НВВ'!$AF$25:$AF$231,'Корректировка НВВ'!$F$25:$F$231,$F139,'Корректировка НВВ'!$I$25:$I$231,"L2")</f>
        <v>0</v>
      </c>
      <c r="AK139" s="1260"/>
      <c r="AL139" s="1260"/>
      <c r="AM139" s="1260"/>
      <c r="AN139" s="1260"/>
      <c r="AO139" s="1260"/>
      <c r="AP139" s="1260"/>
      <c r="AQ139" s="1260"/>
      <c r="AR139" s="1260"/>
      <c r="AS139" s="1260"/>
      <c r="AT139" s="1260">
        <f>_xlfn.SUMIFS('Корректировка НВВ'!$AG$25:$AG$231,'Корректировка НВВ'!$F$25:$F$231,$F139,'Корректировка НВВ'!$I$25:$I$231,"L1")+_xlfn.SUMIFS('Корректировка НВВ'!$AF$25:$AF$231,'Корректировка НВВ'!$F$25:$F$231,$F139,'Корректировка НВВ'!$I$25:$I$231,"L2")</f>
        <v>0</v>
      </c>
      <c r="AU139" s="1260"/>
      <c r="AV139" s="1260"/>
      <c r="AW139" s="1260"/>
      <c r="AX139" s="1260"/>
      <c r="AY139" s="1260"/>
      <c r="AZ139" s="1260"/>
      <c r="BA139" s="1260"/>
      <c r="BB139" s="1260"/>
      <c r="BC139" s="1260"/>
      <c r="BD139" s="1124"/>
      <c r="BE139" s="1124"/>
      <c r="BF139" s="1124"/>
      <c r="BG139" s="1124"/>
      <c r="BH139" s="1124"/>
      <c r="BI139" s="1124"/>
      <c r="BJ139" s="1124"/>
      <c r="BK139" s="1124"/>
      <c r="BL139" s="1124"/>
      <c r="BM139" s="1124"/>
      <c r="BN139" s="1257"/>
      <c r="BO139" s="1261"/>
      <c r="BP139" s="1257"/>
      <c r="BQ139" s="1297"/>
      <c r="BR139" s="1297"/>
      <c r="BS139" s="1072" t="s">
        <v>2419</v>
      </c>
      <c r="BT139" s="1072"/>
      <c r="BU139" s="1072"/>
      <c r="BV139" s="987"/>
      <c r="BW139" s="987"/>
    </row>
    <row customHeight="1" ht="87.75" hidden="1">
      <c r="A140" s="1297"/>
      <c r="B140" s="447">
        <f>S27="Водоотведение"</f>
        <v>0</v>
      </c>
      <c r="C140" s="103"/>
      <c r="D140" s="103" cm="1" t="str">
        <f t="array" ref="D140:D140">D139</f>
        <v>7</v>
      </c>
      <c r="E140" s="626">
        <v>90</v>
      </c>
      <c r="F140" s="50" cm="1" t="str">
        <f t="array" ref="F140:F140">OFFSET(E140,-1,1)</f>
        <v>0</v>
      </c>
      <c r="G140" s="103" t="s">
        <v>2420</v>
      </c>
      <c r="H140" s="855"/>
      <c r="I140" s="103" t="s">
        <v>866</v>
      </c>
      <c r="J140" s="103"/>
      <c r="K140" s="154" t="s">
        <v>866</v>
      </c>
      <c r="L140" s="988" t="s">
        <v>864</v>
      </c>
      <c r="M140" s="103"/>
      <c r="N140" s="103"/>
      <c r="O140" s="103"/>
      <c r="P140" s="103"/>
      <c r="Q140" s="103"/>
      <c r="R140" s="103"/>
      <c r="S140" s="103"/>
      <c r="T140" s="468" cm="1" t="str">
        <f t="array" ref="T140:T140">T139</f>
        <v>false</v>
      </c>
      <c r="U140" s="103"/>
      <c r="V140" s="103"/>
      <c r="W140" s="103"/>
      <c r="X140" s="1559"/>
      <c r="Y140" s="1297"/>
      <c r="Z140" s="1529"/>
      <c r="AA140" s="1297"/>
      <c r="AB140" s="296" t="str">
        <f>D140&amp;".4"</f>
        <v>7.4</v>
      </c>
      <c r="AC140" s="769" t="s">
        <v>2090</v>
      </c>
      <c r="AD140" s="773" t="s">
        <v>936</v>
      </c>
      <c r="AE140" s="1260"/>
      <c r="AF140" s="1260"/>
      <c r="AG140" s="1260"/>
      <c r="AH140" s="1123">
        <f>AG140-AF140</f>
        <v>0</v>
      </c>
      <c r="AI140" s="1260"/>
      <c r="AJ140" s="1260">
        <f>_xlfn.SUMIFS('Корректировка НВВ'!$AF$25:$AF$231,'Корректировка НВВ'!$F$25:$F$231,$F140,'Корректировка НВВ'!$I$25:$I$231,$G140)</f>
        <v>0</v>
      </c>
      <c r="AK140" s="1260"/>
      <c r="AL140" s="1260"/>
      <c r="AM140" s="1260"/>
      <c r="AN140" s="1260"/>
      <c r="AO140" s="1260"/>
      <c r="AP140" s="1260"/>
      <c r="AQ140" s="1260"/>
      <c r="AR140" s="1260"/>
      <c r="AS140" s="1260"/>
      <c r="AT140" s="1260">
        <f>_xlfn.SUMIFS('Корректировка НВВ'!$AG$25:$AG$231,'Корректировка НВВ'!$F$25:$F$231,$F140,'Корректировка НВВ'!$I$25:$I$231,$G140)</f>
        <v>0</v>
      </c>
      <c r="AU140" s="1260"/>
      <c r="AV140" s="1260"/>
      <c r="AW140" s="1260"/>
      <c r="AX140" s="1260"/>
      <c r="AY140" s="1260"/>
      <c r="AZ140" s="1260"/>
      <c r="BA140" s="1260"/>
      <c r="BB140" s="1260"/>
      <c r="BC140" s="1260"/>
      <c r="BD140" s="1124"/>
      <c r="BE140" s="1124"/>
      <c r="BF140" s="1124"/>
      <c r="BG140" s="1124"/>
      <c r="BH140" s="1124"/>
      <c r="BI140" s="1124"/>
      <c r="BJ140" s="1124"/>
      <c r="BK140" s="1124"/>
      <c r="BL140" s="1124"/>
      <c r="BM140" s="1124"/>
      <c r="BN140" s="1257"/>
      <c r="BO140" s="1261" t="str">
        <f>IF(_xlfn.IFERROR(INDEX('Корректировка НВВ'!$K$26:$L$231,MATCH($F140&amp;"3komm",'Корректировка НВВ'!$K$26:$K$231,0),2),"")=0,"",_xlfn.IFERROR(INDEX('Корректировка НВВ'!$K$26:$L$231,MATCH($F140&amp;"3komm",'Корректировка НВВ'!$K$26:$K$231,0),2),""))</f>
        <v/>
      </c>
      <c r="BP140" s="1257"/>
      <c r="BQ140" s="1297"/>
      <c r="BR140" s="1297"/>
      <c r="BS140" s="1072" t="s">
        <v>1580</v>
      </c>
      <c r="BT140" s="1072"/>
      <c r="BU140" s="1072"/>
      <c r="BV140" s="987"/>
      <c r="BW140" s="987"/>
    </row>
    <row customHeight="1" ht="54.84375" hidden="1">
      <c r="A141" s="1297"/>
      <c r="B141" s="447" cm="1" t="str">
        <f t="array" ref="B141:B141">B140</f>
        <v>false</v>
      </c>
      <c r="C141" s="103"/>
      <c r="D141" s="103" cm="1" t="str">
        <f t="array" ref="D141:D141">D140</f>
        <v>7</v>
      </c>
      <c r="E141" s="626">
        <v>56.25</v>
      </c>
      <c r="F141" s="50" cm="1" t="str">
        <f t="array" ref="F141:F141">OFFSET(E141,-1,1)</f>
        <v>0</v>
      </c>
      <c r="G141" s="103" t="s">
        <v>2421</v>
      </c>
      <c r="H141" s="855"/>
      <c r="I141" s="103" t="s">
        <v>914</v>
      </c>
      <c r="J141" s="103"/>
      <c r="K141" s="154" t="s">
        <v>914</v>
      </c>
      <c r="L141" s="988" t="s">
        <v>866</v>
      </c>
      <c r="M141" s="103"/>
      <c r="N141" s="103"/>
      <c r="O141" s="103"/>
      <c r="P141" s="103"/>
      <c r="Q141" s="103"/>
      <c r="R141" s="103"/>
      <c r="S141" s="103"/>
      <c r="T141" s="468" cm="1" t="str">
        <f t="array" ref="T141:T141">T140</f>
        <v>false</v>
      </c>
      <c r="U141" s="103"/>
      <c r="V141" s="103"/>
      <c r="W141" s="103"/>
      <c r="X141" s="1559"/>
      <c r="Y141" s="1297"/>
      <c r="Z141" s="1529"/>
      <c r="AA141" s="1297"/>
      <c r="AB141" s="296" t="str">
        <f>D141&amp;".5"</f>
        <v>7.5</v>
      </c>
      <c r="AC141" s="769" t="s">
        <v>2091</v>
      </c>
      <c r="AD141" s="773" t="s">
        <v>936</v>
      </c>
      <c r="AE141" s="1260"/>
      <c r="AF141" s="1260"/>
      <c r="AG141" s="1260"/>
      <c r="AH141" s="1123">
        <f>AG141-AF141</f>
        <v>0</v>
      </c>
      <c r="AI141" s="1260"/>
      <c r="AJ141" s="1260">
        <f>_xlfn.SUMIFS('Корректировка НВВ'!$AF$25:$AF$231,'Корректировка НВВ'!$F$25:$F$231,$F141,'Корректировка НВВ'!$I$25:$I$231,$G141)</f>
        <v>0</v>
      </c>
      <c r="AK141" s="1260"/>
      <c r="AL141" s="1260"/>
      <c r="AM141" s="1260"/>
      <c r="AN141" s="1260"/>
      <c r="AO141" s="1260"/>
      <c r="AP141" s="1260"/>
      <c r="AQ141" s="1260"/>
      <c r="AR141" s="1260"/>
      <c r="AS141" s="1260"/>
      <c r="AT141" s="1260">
        <f>_xlfn.SUMIFS('Корректировка НВВ'!$AG$25:$AG$231,'Корректировка НВВ'!$F$25:$F$231,$F141,'Корректировка НВВ'!$I$25:$I$231,$G141)</f>
        <v>0</v>
      </c>
      <c r="AU141" s="1260"/>
      <c r="AV141" s="1260"/>
      <c r="AW141" s="1260"/>
      <c r="AX141" s="1260"/>
      <c r="AY141" s="1260"/>
      <c r="AZ141" s="1260"/>
      <c r="BA141" s="1260"/>
      <c r="BB141" s="1260"/>
      <c r="BC141" s="1260"/>
      <c r="BD141" s="1124"/>
      <c r="BE141" s="1124"/>
      <c r="BF141" s="1124"/>
      <c r="BG141" s="1124"/>
      <c r="BH141" s="1124"/>
      <c r="BI141" s="1124"/>
      <c r="BJ141" s="1124"/>
      <c r="BK141" s="1124"/>
      <c r="BL141" s="1124"/>
      <c r="BM141" s="1124"/>
      <c r="BN141" s="1257"/>
      <c r="BO141" s="1261" t="str">
        <f>IF(_xlfn.IFERROR(INDEX('Корректировка НВВ'!$K$26:$L$231,MATCH($F141&amp;"4komm",'Корректировка НВВ'!$K$26:$K$231,0),2),"")=0,"",_xlfn.IFERROR(INDEX('Корректировка НВВ'!$K$26:$L$231,MATCH($F141&amp;"4komm",'Корректировка НВВ'!$K$26:$K$231,0),2),""))</f>
        <v/>
      </c>
      <c r="BP141" s="1257"/>
      <c r="BQ141" s="1297"/>
      <c r="BR141" s="1297"/>
      <c r="BS141" s="1072" t="s">
        <v>1584</v>
      </c>
      <c r="BT141" s="1072"/>
      <c r="BU141" s="1072"/>
      <c r="BV141" s="987"/>
      <c r="BW141" s="987"/>
    </row>
    <row customHeight="1" ht="14.625" hidden="1">
      <c r="A142" s="1297"/>
      <c r="B142" s="429"/>
      <c r="C142" s="103"/>
      <c r="D142" s="103" cm="1" t="str">
        <f t="array" ref="D142:D142">D141</f>
        <v>7</v>
      </c>
      <c r="E142" s="626">
        <v>15</v>
      </c>
      <c r="F142" s="50" cm="1" t="str">
        <f t="array" ref="F142:F142">OFFSET(E142,-1,1)</f>
        <v>0</v>
      </c>
      <c r="G142" s="103" t="s">
        <v>2422</v>
      </c>
      <c r="H142" s="103"/>
      <c r="I142" s="103" t="s">
        <v>915</v>
      </c>
      <c r="J142" s="103"/>
      <c r="K142" s="154" t="s">
        <v>915</v>
      </c>
      <c r="L142" s="988" t="s">
        <v>914</v>
      </c>
      <c r="M142" s="103"/>
      <c r="N142" s="103"/>
      <c r="O142" s="103"/>
      <c r="P142" s="103"/>
      <c r="Q142" s="103"/>
      <c r="R142" s="103"/>
      <c r="S142" s="103"/>
      <c r="T142" s="468" cm="1" t="str">
        <f t="array" ref="T142:T142">T141</f>
        <v>false</v>
      </c>
      <c r="U142" s="103"/>
      <c r="V142" s="103"/>
      <c r="W142" s="103"/>
      <c r="X142" s="1559"/>
      <c r="Y142" s="1297"/>
      <c r="Z142" s="1529"/>
      <c r="AA142" s="1297"/>
      <c r="AB142" s="296" t="str">
        <f>IF(B141,D142&amp;".6",D142&amp;".4")</f>
        <v>7.4</v>
      </c>
      <c r="AC142" s="769" t="s">
        <v>1808</v>
      </c>
      <c r="AD142" s="296" t="s">
        <v>936</v>
      </c>
      <c r="AE142" s="1260"/>
      <c r="AF142" s="1260"/>
      <c r="AG142" s="1260"/>
      <c r="AH142" s="1123">
        <f>AG142-AF142</f>
        <v>0</v>
      </c>
      <c r="AI142" s="1260"/>
      <c r="AJ142" s="1260">
        <f>_xlfn.SUMIFS('Корректировка НВВ'!$AF$25:$AF$231,'Корректировка НВВ'!$F$25:$F$231,$F142,'Корректировка НВВ'!$I$25:$I$231,$G142)</f>
        <v>0</v>
      </c>
      <c r="AK142" s="1260"/>
      <c r="AL142" s="1260"/>
      <c r="AM142" s="1260"/>
      <c r="AN142" s="1260"/>
      <c r="AO142" s="1260"/>
      <c r="AP142" s="1260"/>
      <c r="AQ142" s="1260"/>
      <c r="AR142" s="1260"/>
      <c r="AS142" s="1260"/>
      <c r="AT142" s="1260">
        <f>_xlfn.SUMIFS('Корректировка НВВ'!$AG$25:$AG$231,'Корректировка НВВ'!$F$25:$F$231,$F142,'Корректировка НВВ'!$I$25:$I$231,$G142)</f>
        <v>0</v>
      </c>
      <c r="AU142" s="1260"/>
      <c r="AV142" s="1260"/>
      <c r="AW142" s="1260"/>
      <c r="AX142" s="1260"/>
      <c r="AY142" s="1260"/>
      <c r="AZ142" s="1260"/>
      <c r="BA142" s="1260"/>
      <c r="BB142" s="1260"/>
      <c r="BC142" s="1260"/>
      <c r="BD142" s="1124"/>
      <c r="BE142" s="1124"/>
      <c r="BF142" s="1124"/>
      <c r="BG142" s="1124"/>
      <c r="BH142" s="1124"/>
      <c r="BI142" s="1124"/>
      <c r="BJ142" s="1124"/>
      <c r="BK142" s="1124"/>
      <c r="BL142" s="1124"/>
      <c r="BM142" s="1124"/>
      <c r="BN142" s="1257"/>
      <c r="BO142" s="1261" t="str">
        <f>IF(_xlfn.IFERROR(INDEX('Корректировка НВВ'!$K$26:$L$231,MATCH($F142&amp;"5komm",'Корректировка НВВ'!$K$26:$K$231,0),2),"")=0,"",_xlfn.IFERROR(INDEX('Корректировка НВВ'!$K$26:$L$231,MATCH($F142&amp;"5komm",'Корректировка НВВ'!$K$26:$K$231,0),2),""))</f>
        <v/>
      </c>
      <c r="BP142" s="1257"/>
      <c r="BQ142" s="1297"/>
      <c r="BR142" s="1297"/>
      <c r="BS142" s="1072" t="s">
        <v>2423</v>
      </c>
      <c r="BT142" s="1072"/>
      <c r="BU142" s="1072"/>
      <c r="BV142" s="987"/>
      <c r="BW142" s="987"/>
    </row>
    <row customHeight="1" ht="14.625" hidden="1">
      <c r="A143" s="1297"/>
      <c r="B143" s="986"/>
      <c r="C143" s="103"/>
      <c r="D143" s="103" cm="1" t="str">
        <f t="array" ref="D143:D143">D142</f>
        <v>7</v>
      </c>
      <c r="E143" s="626">
        <v>15</v>
      </c>
      <c r="F143" s="50" cm="1" t="str">
        <f t="array" ref="F143:F143">OFFSET(E143,-1,1)</f>
        <v>0</v>
      </c>
      <c r="G143" s="103" t="s">
        <v>2424</v>
      </c>
      <c r="H143" s="103"/>
      <c r="I143" s="103" t="s">
        <v>2099</v>
      </c>
      <c r="J143" s="103"/>
      <c r="K143" s="154" t="s">
        <v>2099</v>
      </c>
      <c r="L143" s="988" t="s">
        <v>915</v>
      </c>
      <c r="M143" s="103"/>
      <c r="N143" s="103"/>
      <c r="O143" s="103"/>
      <c r="P143" s="103"/>
      <c r="Q143" s="103"/>
      <c r="R143" s="103"/>
      <c r="S143" s="103"/>
      <c r="T143" s="468" cm="1" t="str">
        <f t="array" ref="T143:T143">T142</f>
        <v>false</v>
      </c>
      <c r="U143" s="103"/>
      <c r="V143" s="103"/>
      <c r="W143" s="103"/>
      <c r="X143" s="1559"/>
      <c r="Y143" s="1297"/>
      <c r="Z143" s="1529"/>
      <c r="AA143" s="1297"/>
      <c r="AB143" s="296" t="str">
        <f>IF(B141,D142&amp;".7",D142&amp;".5")</f>
        <v>7.5</v>
      </c>
      <c r="AC143" s="769" t="s">
        <v>1770</v>
      </c>
      <c r="AD143" s="296" t="s">
        <v>936</v>
      </c>
      <c r="AE143" s="1260">
        <f>AE144+AE145</f>
        <v>0</v>
      </c>
      <c r="AF143" s="1260">
        <f>AF144+AF145</f>
        <v>0</v>
      </c>
      <c r="AG143" s="1260">
        <f>AG144+AG145</f>
        <v>0</v>
      </c>
      <c r="AH143" s="1123">
        <f>AG143-AF143</f>
        <v>0</v>
      </c>
      <c r="AI143" s="1260">
        <f>AI144+AI145</f>
        <v>0</v>
      </c>
      <c r="AJ143" s="1260">
        <f>_xlfn.SUMIFS('Корректировка НВВ'!$AF$25:$AF$231,'Корректировка НВВ'!$F$25:$F$231,$F143,'Корректировка НВВ'!$I$25:$I$231,$G143)</f>
        <v>0</v>
      </c>
      <c r="AK143" s="1260">
        <f>AK144+AK145</f>
        <v>0</v>
      </c>
      <c r="AL143" s="1260">
        <f>AL144+AL145</f>
        <v>0</v>
      </c>
      <c r="AM143" s="1260">
        <f>AM144+AM145</f>
        <v>0</v>
      </c>
      <c r="AN143" s="1260">
        <f>AN144+AN145</f>
        <v>0</v>
      </c>
      <c r="AO143" s="1260">
        <f>AO144+AO145</f>
        <v>0</v>
      </c>
      <c r="AP143" s="1260">
        <f>AP144+AP145</f>
        <v>0</v>
      </c>
      <c r="AQ143" s="1260">
        <f>AQ144+AQ145</f>
        <v>0</v>
      </c>
      <c r="AR143" s="1260">
        <f>AR144+AR145</f>
        <v>0</v>
      </c>
      <c r="AS143" s="1260">
        <f>AS144+AS145</f>
        <v>0</v>
      </c>
      <c r="AT143" s="1260">
        <f>_xlfn.SUMIFS('Корректировка НВВ'!$AG$25:$AG$231,'Корректировка НВВ'!$F$25:$F$231,$F143,'Корректировка НВВ'!$I$25:$I$231,$G143)</f>
        <v>0</v>
      </c>
      <c r="AU143" s="1260">
        <f>AU144+AU145</f>
        <v>0</v>
      </c>
      <c r="AV143" s="1260">
        <f>AV144+AV145</f>
        <v>0</v>
      </c>
      <c r="AW143" s="1260">
        <f>AW144+AW145</f>
        <v>0</v>
      </c>
      <c r="AX143" s="1260">
        <f>AX144+AX145</f>
        <v>0</v>
      </c>
      <c r="AY143" s="1260">
        <f>AY144+AY145</f>
        <v>0</v>
      </c>
      <c r="AZ143" s="1260">
        <f>AZ144+AZ145</f>
        <v>0</v>
      </c>
      <c r="BA143" s="1260">
        <f>BA144+BA145</f>
        <v>0</v>
      </c>
      <c r="BB143" s="1260">
        <f>BB144+BB145</f>
        <v>0</v>
      </c>
      <c r="BC143" s="1260">
        <f>BC144+BC145</f>
        <v>0</v>
      </c>
      <c r="BD143" s="1123">
        <f>IF(AI143=0,0,(AT143-AI143)/AI143*100)</f>
        <v>0</v>
      </c>
      <c r="BE143" s="1123">
        <f>IF(AT143=0,0,(AU143-AT143)/AT143*100)</f>
        <v>0</v>
      </c>
      <c r="BF143" s="1123">
        <f>IF(AU143=0,0,(AV143-AU143)/AU143*100)</f>
        <v>0</v>
      </c>
      <c r="BG143" s="1123">
        <f>IF(AV143=0,0,(AW143-AV143)/AV143*100)</f>
        <v>0</v>
      </c>
      <c r="BH143" s="1123">
        <f>IF(AW143=0,0,(AX143-AW143)/AW143*100)</f>
        <v>0</v>
      </c>
      <c r="BI143" s="1123">
        <f>IF(AX143=0,0,(AY143-AX143)/AX143*100)</f>
        <v>0</v>
      </c>
      <c r="BJ143" s="1123">
        <f>IF(AY143=0,0,(AZ143-AY143)/AY143*100)</f>
        <v>0</v>
      </c>
      <c r="BK143" s="1123">
        <f>IF(AZ143=0,0,(BA143-AZ143)/AZ143*100)</f>
        <v>0</v>
      </c>
      <c r="BL143" s="1123">
        <f>IF(BA143=0,0,(BB143-BA143)/BA143*100)</f>
        <v>0</v>
      </c>
      <c r="BM143" s="1123">
        <f>IF(BB143=0,0,(BC143-BB143)/BB143*100)</f>
        <v>0</v>
      </c>
      <c r="BN143" s="1257"/>
      <c r="BO143" s="1261" t="str">
        <f>IF(_xlfn.IFERROR(INDEX('Корректировка НВВ'!$K$26:$L$231,MATCH($F143&amp;"6komm",'Корректировка НВВ'!$K$26:$K$231,0),2),"")=0,"",_xlfn.IFERROR(INDEX('Корректировка НВВ'!$K$26:$L$231,MATCH($F143&amp;"6komm",'Корректировка НВВ'!$K$26:$K$231,0),2),""))</f>
        <v/>
      </c>
      <c r="BP143" s="1257"/>
      <c r="BQ143" s="1297"/>
      <c r="BR143" s="1297"/>
      <c r="BS143" s="1072" t="s">
        <v>1772</v>
      </c>
      <c r="BT143" s="1072"/>
      <c r="BU143" s="1072"/>
      <c r="BV143" s="987"/>
      <c r="BW143" s="987"/>
    </row>
    <row customHeight="1" ht="21.9375" hidden="1">
      <c r="A144" s="1297"/>
      <c r="B144" s="986"/>
      <c r="C144" s="103"/>
      <c r="D144" s="103" cm="1" t="str">
        <f t="array" ref="D144:D144">D143</f>
        <v>7</v>
      </c>
      <c r="E144" s="626">
        <v>22.5</v>
      </c>
      <c r="F144" s="50" cm="1" t="str">
        <f t="array" ref="F144:F144">OFFSET(E144,-1,1)</f>
        <v>0</v>
      </c>
      <c r="G144" s="103" t="s">
        <v>2425</v>
      </c>
      <c r="H144" s="103"/>
      <c r="I144" s="103" t="s">
        <v>2426</v>
      </c>
      <c r="J144" s="103"/>
      <c r="K144" s="154" t="s">
        <v>2426</v>
      </c>
      <c r="L144" s="988" t="s">
        <v>2094</v>
      </c>
      <c r="M144" s="103"/>
      <c r="N144" s="103"/>
      <c r="O144" s="103"/>
      <c r="P144" s="103"/>
      <c r="Q144" s="103"/>
      <c r="R144" s="103"/>
      <c r="S144" s="103"/>
      <c r="T144" s="468" cm="1" t="str">
        <f t="array" ref="T144:T144">T143</f>
        <v>false</v>
      </c>
      <c r="U144" s="103"/>
      <c r="V144" s="103"/>
      <c r="W144" s="103"/>
      <c r="X144" s="1559"/>
      <c r="Y144" s="1297"/>
      <c r="Z144" s="1529"/>
      <c r="AA144" s="1297"/>
      <c r="AB144" s="296" t="str">
        <f>AB143&amp;".1"</f>
        <v>7.5.1</v>
      </c>
      <c r="AC144" s="788" t="s">
        <v>1773</v>
      </c>
      <c r="AD144" s="296" t="s">
        <v>936</v>
      </c>
      <c r="AE144" s="1260"/>
      <c r="AF144" s="1260"/>
      <c r="AG144" s="1260"/>
      <c r="AH144" s="1123">
        <f>AG144-AF144</f>
        <v>0</v>
      </c>
      <c r="AI144" s="1260"/>
      <c r="AJ144" s="1260">
        <f>_xlfn.SUMIFS('Корректировка НВВ'!$AF$25:$AF$231,'Корректировка НВВ'!$F$25:$F$231,$F144,'Корректировка НВВ'!$I$25:$I$231,$G144)</f>
        <v>0</v>
      </c>
      <c r="AK144" s="1260"/>
      <c r="AL144" s="1260"/>
      <c r="AM144" s="1260"/>
      <c r="AN144" s="1260"/>
      <c r="AO144" s="1260"/>
      <c r="AP144" s="1260"/>
      <c r="AQ144" s="1260"/>
      <c r="AR144" s="1260"/>
      <c r="AS144" s="1260"/>
      <c r="AT144" s="1260">
        <f>_xlfn.SUMIFS('Корректировка НВВ'!$AG$25:$AG$231,'Корректировка НВВ'!$F$25:$F$231,$F144,'Корректировка НВВ'!$I$25:$I$231,$G144)</f>
        <v>0</v>
      </c>
      <c r="AU144" s="1260"/>
      <c r="AV144" s="1260"/>
      <c r="AW144" s="1260"/>
      <c r="AX144" s="1260"/>
      <c r="AY144" s="1260"/>
      <c r="AZ144" s="1260"/>
      <c r="BA144" s="1260"/>
      <c r="BB144" s="1260"/>
      <c r="BC144" s="1260"/>
      <c r="BD144" s="1124"/>
      <c r="BE144" s="1124"/>
      <c r="BF144" s="1124"/>
      <c r="BG144" s="1124"/>
      <c r="BH144" s="1124"/>
      <c r="BI144" s="1124"/>
      <c r="BJ144" s="1124"/>
      <c r="BK144" s="1124"/>
      <c r="BL144" s="1124"/>
      <c r="BM144" s="1124"/>
      <c r="BN144" s="1257"/>
      <c r="BO144" s="1261" t="str">
        <f>IF(_xlfn.IFERROR(INDEX('Корректировка НВВ'!$K$26:$L$231,MATCH($F144&amp;"7komm",'Корректировка НВВ'!$K$26:$K$231,0),2),"")=0,"",_xlfn.IFERROR(INDEX('Корректировка НВВ'!$K$26:$L$231,MATCH($F144&amp;"7komm",'Корректировка НВВ'!$K$26:$K$231,0),2),""))</f>
        <v/>
      </c>
      <c r="BP144" s="1257"/>
      <c r="BQ144" s="1297"/>
      <c r="BR144" s="1297"/>
      <c r="BS144" s="1072" t="s">
        <v>1774</v>
      </c>
      <c r="BT144" s="1072"/>
      <c r="BU144" s="1072"/>
      <c r="BV144" s="987"/>
      <c r="BW144" s="987"/>
    </row>
    <row customHeight="1" ht="21.9375" hidden="1">
      <c r="A145" s="1297"/>
      <c r="B145" s="986"/>
      <c r="C145" s="103"/>
      <c r="D145" s="103" cm="1" t="str">
        <f t="array" ref="D145:D145">D144</f>
        <v>7</v>
      </c>
      <c r="E145" s="626">
        <v>22.5</v>
      </c>
      <c r="F145" s="50" cm="1" t="str">
        <f t="array" ref="F145:F145">OFFSET(E145,-1,1)</f>
        <v>0</v>
      </c>
      <c r="G145" s="103" t="s">
        <v>2427</v>
      </c>
      <c r="H145" s="103"/>
      <c r="I145" s="103" t="s">
        <v>2428</v>
      </c>
      <c r="J145" s="103"/>
      <c r="K145" s="154" t="s">
        <v>2428</v>
      </c>
      <c r="L145" s="988" t="s">
        <v>2096</v>
      </c>
      <c r="M145" s="103"/>
      <c r="N145" s="103"/>
      <c r="O145" s="103"/>
      <c r="P145" s="103"/>
      <c r="Q145" s="103"/>
      <c r="R145" s="103"/>
      <c r="S145" s="103"/>
      <c r="T145" s="468" cm="1" t="str">
        <f t="array" ref="T145:T145">T144</f>
        <v>false</v>
      </c>
      <c r="U145" s="103"/>
      <c r="V145" s="103"/>
      <c r="W145" s="103"/>
      <c r="X145" s="1559"/>
      <c r="Y145" s="1297"/>
      <c r="Z145" s="1529"/>
      <c r="AA145" s="1297"/>
      <c r="AB145" s="296" t="str">
        <f>AB143&amp;".2"</f>
        <v>7.5.2</v>
      </c>
      <c r="AC145" s="788" t="s">
        <v>1775</v>
      </c>
      <c r="AD145" s="296" t="s">
        <v>936</v>
      </c>
      <c r="AE145" s="1260"/>
      <c r="AF145" s="1260"/>
      <c r="AG145" s="1260"/>
      <c r="AH145" s="1123">
        <f>AG145-AF145</f>
        <v>0</v>
      </c>
      <c r="AI145" s="1260"/>
      <c r="AJ145" s="1260">
        <f>_xlfn.SUMIFS('Корректировка НВВ'!$AF$25:$AF$231,'Корректировка НВВ'!$F$25:$F$231,$F145,'Корректировка НВВ'!$I$25:$I$231,$G145)</f>
        <v>0</v>
      </c>
      <c r="AK145" s="1260"/>
      <c r="AL145" s="1260"/>
      <c r="AM145" s="1260"/>
      <c r="AN145" s="1260"/>
      <c r="AO145" s="1260"/>
      <c r="AP145" s="1260"/>
      <c r="AQ145" s="1260"/>
      <c r="AR145" s="1260"/>
      <c r="AS145" s="1260"/>
      <c r="AT145" s="1260">
        <f>_xlfn.SUMIFS('Корректировка НВВ'!$AG$25:$AG$231,'Корректировка НВВ'!$F$25:$F$231,$F145,'Корректировка НВВ'!$I$25:$I$231,$G145)</f>
        <v>0</v>
      </c>
      <c r="AU145" s="1260"/>
      <c r="AV145" s="1260"/>
      <c r="AW145" s="1260"/>
      <c r="AX145" s="1260"/>
      <c r="AY145" s="1260"/>
      <c r="AZ145" s="1260"/>
      <c r="BA145" s="1260"/>
      <c r="BB145" s="1260"/>
      <c r="BC145" s="1260"/>
      <c r="BD145" s="1124"/>
      <c r="BE145" s="1124"/>
      <c r="BF145" s="1124"/>
      <c r="BG145" s="1124"/>
      <c r="BH145" s="1124"/>
      <c r="BI145" s="1124"/>
      <c r="BJ145" s="1124"/>
      <c r="BK145" s="1124"/>
      <c r="BL145" s="1124"/>
      <c r="BM145" s="1124"/>
      <c r="BN145" s="1257"/>
      <c r="BO145" s="1261" t="str">
        <f>IF(_xlfn.IFERROR(INDEX('Корректировка НВВ'!$K$26:$L$231,MATCH($F145&amp;"8komm",'Корректировка НВВ'!$K$26:$K$231,0),2),"")=0,"",_xlfn.IFERROR(INDEX('Корректировка НВВ'!$K$26:$L$231,MATCH($F145&amp;"8komm",'Корректировка НВВ'!$K$26:$K$231,0),2),""))</f>
        <v/>
      </c>
      <c r="BP145" s="1257"/>
      <c r="BQ145" s="1297"/>
      <c r="BR145" s="1297"/>
      <c r="BS145" s="1072" t="s">
        <v>1776</v>
      </c>
      <c r="BT145" s="1072"/>
      <c r="BU145" s="1072"/>
      <c r="BV145" s="987"/>
      <c r="BW145" s="987"/>
    </row>
    <row customHeight="1" ht="14.625" hidden="1">
      <c r="A146" s="1297"/>
      <c r="B146" s="986"/>
      <c r="C146" s="103"/>
      <c r="D146" s="103" cm="1" t="str">
        <f t="array" ref="D146:D146">D145</f>
        <v>7</v>
      </c>
      <c r="E146" s="626">
        <v>15</v>
      </c>
      <c r="F146" s="50" cm="1" t="str">
        <f t="array" ref="F146:F146">OFFSET(E146,-1,1)</f>
        <v>0</v>
      </c>
      <c r="G146" s="103" t="s">
        <v>332</v>
      </c>
      <c r="H146" s="103"/>
      <c r="I146" s="103" t="s">
        <v>2100</v>
      </c>
      <c r="J146" s="103"/>
      <c r="K146" s="154" t="s">
        <v>2100</v>
      </c>
      <c r="L146" s="988" t="s">
        <v>2099</v>
      </c>
      <c r="M146" s="103"/>
      <c r="N146" s="103"/>
      <c r="O146" s="103"/>
      <c r="P146" s="103"/>
      <c r="Q146" s="103"/>
      <c r="R146" s="103"/>
      <c r="S146" s="103"/>
      <c r="T146" s="468" cm="1" t="str">
        <f t="array" ref="T146:T146">T145</f>
        <v>false</v>
      </c>
      <c r="U146" s="103"/>
      <c r="V146" s="103"/>
      <c r="W146" s="103"/>
      <c r="X146" s="1559"/>
      <c r="Y146" s="1297"/>
      <c r="Z146" s="1529"/>
      <c r="AA146" s="1297"/>
      <c r="AB146" s="296" t="str">
        <f>IF(B141,D142&amp;".8",D142&amp;".6")</f>
        <v>7.6</v>
      </c>
      <c r="AC146" s="789" t="s">
        <v>1777</v>
      </c>
      <c r="AD146" s="296" t="s">
        <v>936</v>
      </c>
      <c r="AE146" s="1260"/>
      <c r="AF146" s="1260"/>
      <c r="AG146" s="1260"/>
      <c r="AH146" s="1123">
        <f>AG146-AF146</f>
        <v>0</v>
      </c>
      <c r="AI146" s="1260"/>
      <c r="AJ146" s="1260">
        <f>_xlfn.SUMIFS('Корректировка НВВ'!$AF$25:$AF$231,'Корректировка НВВ'!$F$25:$F$231,$F146,'Корректировка НВВ'!$I$25:$I$231,$G146)</f>
        <v>0</v>
      </c>
      <c r="AK146" s="1260"/>
      <c r="AL146" s="1260"/>
      <c r="AM146" s="1260"/>
      <c r="AN146" s="1260"/>
      <c r="AO146" s="1260"/>
      <c r="AP146" s="1260"/>
      <c r="AQ146" s="1260"/>
      <c r="AR146" s="1260"/>
      <c r="AS146" s="1260"/>
      <c r="AT146" s="1260">
        <f>_xlfn.SUMIFS('Корректировка НВВ'!$AG$25:$AG$231,'Корректировка НВВ'!$F$25:$F$231,$F146,'Корректировка НВВ'!$I$25:$I$231,$G146)</f>
        <v>0</v>
      </c>
      <c r="AU146" s="1260"/>
      <c r="AV146" s="1260"/>
      <c r="AW146" s="1260"/>
      <c r="AX146" s="1260"/>
      <c r="AY146" s="1260"/>
      <c r="AZ146" s="1260"/>
      <c r="BA146" s="1260"/>
      <c r="BB146" s="1260"/>
      <c r="BC146" s="1260"/>
      <c r="BD146" s="1124"/>
      <c r="BE146" s="1124"/>
      <c r="BF146" s="1124"/>
      <c r="BG146" s="1124"/>
      <c r="BH146" s="1124"/>
      <c r="BI146" s="1124"/>
      <c r="BJ146" s="1124"/>
      <c r="BK146" s="1124"/>
      <c r="BL146" s="1124"/>
      <c r="BM146" s="1124"/>
      <c r="BN146" s="1257"/>
      <c r="BO146" s="1261" t="str">
        <f>IF(_xlfn.IFERROR(INDEX('Корректировка НВВ'!$K$26:$L$231,MATCH($F146&amp;"9komm",'Корректировка НВВ'!$K$26:$K$231,0),2),"")=0,"",_xlfn.IFERROR(INDEX('Корректировка НВВ'!$K$26:$L$231,MATCH($F146&amp;"9komm",'Корректировка НВВ'!$K$26:$K$231,0),2),""))</f>
        <v/>
      </c>
      <c r="BP146" s="1257"/>
      <c r="BQ146" s="1297"/>
      <c r="BR146" s="1297"/>
      <c r="BS146" s="1072" t="s">
        <v>2429</v>
      </c>
      <c r="BT146" s="1072"/>
      <c r="BU146" s="1072"/>
      <c r="BV146" s="987"/>
      <c r="BW146" s="987"/>
    </row>
    <row customHeight="1" ht="14.625" hidden="1">
      <c r="A147" s="1297"/>
      <c r="B147" s="986"/>
      <c r="C147" s="103"/>
      <c r="D147" s="103" cm="1" t="str">
        <f t="array" ref="D147:D147">D146</f>
        <v>7</v>
      </c>
      <c r="E147" s="626">
        <v>15</v>
      </c>
      <c r="F147" s="50" cm="1" t="str">
        <f t="array" ref="F147:F147">OFFSET(E147,-1,1)</f>
        <v>0</v>
      </c>
      <c r="G147" s="103" t="s">
        <v>2430</v>
      </c>
      <c r="H147" s="103"/>
      <c r="I147" s="103" t="s">
        <v>2101</v>
      </c>
      <c r="J147" s="103"/>
      <c r="K147" s="154" t="s">
        <v>2101</v>
      </c>
      <c r="L147" s="988" t="s">
        <v>2100</v>
      </c>
      <c r="M147" s="103"/>
      <c r="N147" s="103"/>
      <c r="O147" s="103"/>
      <c r="P147" s="103"/>
      <c r="Q147" s="103"/>
      <c r="R147" s="103"/>
      <c r="S147" s="103"/>
      <c r="T147" s="468" cm="1" t="str">
        <f t="array" ref="T147:T147">T146</f>
        <v>false</v>
      </c>
      <c r="U147" s="103"/>
      <c r="V147" s="103"/>
      <c r="W147" s="103"/>
      <c r="X147" s="1559"/>
      <c r="Y147" s="1297"/>
      <c r="Z147" s="1529"/>
      <c r="AA147" s="1297"/>
      <c r="AB147" s="296" t="str">
        <f>IF(B141,D142&amp;".9",D142&amp;".7")</f>
        <v>7.7</v>
      </c>
      <c r="AC147" s="789" t="s">
        <v>1779</v>
      </c>
      <c r="AD147" s="296" t="s">
        <v>936</v>
      </c>
      <c r="AE147" s="1260"/>
      <c r="AF147" s="1260"/>
      <c r="AG147" s="1260"/>
      <c r="AH147" s="1123">
        <f>AG147-AF147</f>
        <v>0</v>
      </c>
      <c r="AI147" s="1260"/>
      <c r="AJ147" s="1260">
        <f>_xlfn.SUMIFS('Корректировка НВВ'!$AF$25:$AF$231,'Корректировка НВВ'!$F$25:$F$231,$F147,'Корректировка НВВ'!$I$25:$I$231,$G147)</f>
        <v>0</v>
      </c>
      <c r="AK147" s="1260"/>
      <c r="AL147" s="1260"/>
      <c r="AM147" s="1260"/>
      <c r="AN147" s="1260"/>
      <c r="AO147" s="1260"/>
      <c r="AP147" s="1260"/>
      <c r="AQ147" s="1260"/>
      <c r="AR147" s="1260"/>
      <c r="AS147" s="1260"/>
      <c r="AT147" s="1260">
        <f>_xlfn.SUMIFS('Корректировка НВВ'!$AG$25:$AG$231,'Корректировка НВВ'!$F$25:$F$231,$F147,'Корректировка НВВ'!$I$25:$I$231,$G147)</f>
        <v>0</v>
      </c>
      <c r="AU147" s="1260"/>
      <c r="AV147" s="1260"/>
      <c r="AW147" s="1260"/>
      <c r="AX147" s="1260"/>
      <c r="AY147" s="1260"/>
      <c r="AZ147" s="1260"/>
      <c r="BA147" s="1260"/>
      <c r="BB147" s="1260"/>
      <c r="BC147" s="1260"/>
      <c r="BD147" s="1124"/>
      <c r="BE147" s="1124"/>
      <c r="BF147" s="1124"/>
      <c r="BG147" s="1124"/>
      <c r="BH147" s="1124"/>
      <c r="BI147" s="1124"/>
      <c r="BJ147" s="1124"/>
      <c r="BK147" s="1124"/>
      <c r="BL147" s="1124"/>
      <c r="BM147" s="1124"/>
      <c r="BN147" s="1257"/>
      <c r="BO147" s="1261" t="str">
        <f>IF(_xlfn.IFERROR(INDEX('Корректировка НВВ'!$K$26:$L$231,MATCH($F147&amp;"10komm",'Корректировка НВВ'!$K$26:$K$231,0),2),"")=0,"",_xlfn.IFERROR(INDEX('Корректировка НВВ'!$K$26:$L$231,MATCH($F147&amp;"10komm",'Корректировка НВВ'!$K$26:$K$231,0),2),""))</f>
        <v/>
      </c>
      <c r="BP147" s="1257"/>
      <c r="BQ147" s="1297"/>
      <c r="BR147" s="1297"/>
      <c r="BS147" s="1072" t="s">
        <v>1780</v>
      </c>
      <c r="BT147" s="1072"/>
      <c r="BU147" s="1072"/>
      <c r="BV147" s="987"/>
      <c r="BW147" s="987"/>
    </row>
    <row s="706" customFormat="1" customHeight="1" ht="20.475" hidden="1">
      <c r="A148" s="706"/>
      <c r="B148" s="437"/>
      <c r="C148" s="105"/>
      <c r="D148" s="105">
        <f>D147+1</f>
        <v>8</v>
      </c>
      <c r="E148" s="833">
        <v>21</v>
      </c>
      <c r="F148" s="50" cm="1" t="str">
        <f t="array" ref="F148:F148">OFFSET(E148,-1,1)</f>
        <v>0</v>
      </c>
      <c r="G148" s="105"/>
      <c r="H148" s="105"/>
      <c r="I148" s="105" t="s">
        <v>707</v>
      </c>
      <c r="J148" s="105"/>
      <c r="K148" s="158" t="s">
        <v>707</v>
      </c>
      <c r="L148" s="993"/>
      <c r="M148" s="105"/>
      <c r="N148" s="105"/>
      <c r="O148" s="105"/>
      <c r="P148" s="105"/>
      <c r="Q148" s="105"/>
      <c r="R148" s="105"/>
      <c r="S148" s="105"/>
      <c r="T148" s="468" cm="1" t="str">
        <f t="array" ref="T148:T148">T147</f>
        <v>false</v>
      </c>
      <c r="U148" s="105"/>
      <c r="V148" s="105"/>
      <c r="W148" s="105"/>
      <c r="X148" s="1559"/>
      <c r="Y148" s="706"/>
      <c r="Z148" s="1529"/>
      <c r="AA148" s="706"/>
      <c r="AB148" s="207" cm="1" t="str">
        <f t="array" ref="AB148:AB148">D148</f>
        <v>8</v>
      </c>
      <c r="AC148" s="208" t="s">
        <v>2431</v>
      </c>
      <c r="AD148" s="207" t="s">
        <v>936</v>
      </c>
      <c r="AE148" s="1256"/>
      <c r="AF148" s="1256"/>
      <c r="AG148" s="1256"/>
      <c r="AH148" s="785">
        <f>AG148-AF148</f>
        <v>0</v>
      </c>
      <c r="AI148" s="1256"/>
      <c r="AJ148" s="1256"/>
      <c r="AK148" s="1256"/>
      <c r="AL148" s="1256"/>
      <c r="AM148" s="1256"/>
      <c r="AN148" s="1256"/>
      <c r="AO148" s="1256"/>
      <c r="AP148" s="1256"/>
      <c r="AQ148" s="1256"/>
      <c r="AR148" s="1256"/>
      <c r="AS148" s="1256"/>
      <c r="AT148" s="1256"/>
      <c r="AU148" s="1256"/>
      <c r="AV148" s="1256"/>
      <c r="AW148" s="1256"/>
      <c r="AX148" s="1256"/>
      <c r="AY148" s="1256"/>
      <c r="AZ148" s="1256"/>
      <c r="BA148" s="1256"/>
      <c r="BB148" s="1256"/>
      <c r="BC148" s="1256"/>
      <c r="BD148" s="212"/>
      <c r="BE148" s="212"/>
      <c r="BF148" s="212"/>
      <c r="BG148" s="212"/>
      <c r="BH148" s="212"/>
      <c r="BI148" s="212"/>
      <c r="BJ148" s="212"/>
      <c r="BK148" s="212"/>
      <c r="BL148" s="212"/>
      <c r="BM148" s="212"/>
      <c r="BN148" s="1259"/>
      <c r="BO148" s="1259"/>
      <c r="BP148" s="1259"/>
      <c r="BQ148" s="706"/>
      <c r="BR148" s="706"/>
      <c r="BS148" s="1078" t="s">
        <v>2432</v>
      </c>
      <c r="BT148" s="1078"/>
      <c r="BU148" s="1078"/>
      <c r="BV148" s="713"/>
      <c r="BW148" s="713"/>
    </row>
    <row customHeight="1" ht="14.625" hidden="1">
      <c r="A149" s="1297"/>
      <c r="B149" s="986"/>
      <c r="C149" s="103"/>
      <c r="D149" s="105" cm="1" t="str">
        <f t="array" ref="D149:D149">D148</f>
        <v>8</v>
      </c>
      <c r="E149" s="626">
        <v>15</v>
      </c>
      <c r="F149" s="50" cm="1" t="str">
        <f t="array" ref="F149:F149">OFFSET(E149,-1,1)</f>
        <v>0</v>
      </c>
      <c r="G149" s="103"/>
      <c r="H149" s="103"/>
      <c r="I149" s="103" t="s">
        <v>710</v>
      </c>
      <c r="J149" s="103"/>
      <c r="K149" s="154" t="s">
        <v>710</v>
      </c>
      <c r="L149" s="988"/>
      <c r="M149" s="103"/>
      <c r="N149" s="103"/>
      <c r="O149" s="103"/>
      <c r="P149" s="103"/>
      <c r="Q149" s="103"/>
      <c r="R149" s="103"/>
      <c r="S149" s="103"/>
      <c r="T149" s="468" cm="1" t="str">
        <f t="array" ref="T149:T149">T148</f>
        <v>false</v>
      </c>
      <c r="U149" s="103"/>
      <c r="V149" s="103"/>
      <c r="W149" s="103"/>
      <c r="X149" s="1559"/>
      <c r="Y149" s="1297"/>
      <c r="Z149" s="1529"/>
      <c r="AA149" s="1297"/>
      <c r="AB149" s="296" t="str">
        <f>D149&amp;".1"</f>
        <v>8.1</v>
      </c>
      <c r="AC149" s="769" t="s">
        <v>2433</v>
      </c>
      <c r="AD149" s="296" t="s">
        <v>561</v>
      </c>
      <c r="AE149" s="1123">
        <f>IF(AE150=0,0,AE148/(AE150+AE135)*100)</f>
        <v>0</v>
      </c>
      <c r="AF149" s="1123">
        <f>IF(AF150=0,0,AF148/(AF150+AF135)*100)</f>
        <v>0</v>
      </c>
      <c r="AG149" s="1123">
        <f>IF(AG150=0,0,AG148/(AG150+AG135)*100)</f>
        <v>0</v>
      </c>
      <c r="AH149" s="1123">
        <f>AG149-AF149</f>
        <v>0</v>
      </c>
      <c r="AI149" s="1123">
        <f>IF(AI150=0,0,AI148/(AI150+AI135)*100)</f>
        <v>0</v>
      </c>
      <c r="AJ149" s="1123">
        <f>IF(AJ150=0,0,AJ148/(AJ150+AJ135)*100)</f>
        <v>0</v>
      </c>
      <c r="AK149" s="1123">
        <f>IF(AK150=0,0,AK148/(AK150+AK135)*100)</f>
        <v>0</v>
      </c>
      <c r="AL149" s="1123">
        <f>IF(AL150=0,0,AL148/(AL150+AL135)*100)</f>
        <v>0</v>
      </c>
      <c r="AM149" s="1123">
        <f>IF(AM150=0,0,AM148/(AM150+AM135)*100)</f>
        <v>0</v>
      </c>
      <c r="AN149" s="1123">
        <f>IF(AN150=0,0,AN148/(AN150+AN135)*100)</f>
        <v>0</v>
      </c>
      <c r="AO149" s="1123">
        <f>IF(AO150=0,0,AO148/(AO150+AO135)*100)</f>
        <v>0</v>
      </c>
      <c r="AP149" s="1123">
        <f>IF(AP150=0,0,AP148/(AP150+AP135)*100)</f>
        <v>0</v>
      </c>
      <c r="AQ149" s="1123">
        <f>IF(AQ150=0,0,AQ148/(AQ150+AQ135)*100)</f>
        <v>0</v>
      </c>
      <c r="AR149" s="1123">
        <f>IF(AR150=0,0,AR148/(AR150+AR135)*100)</f>
        <v>0</v>
      </c>
      <c r="AS149" s="1123">
        <f>IF(AS150=0,0,AS148/(AS150+AS135)*100)</f>
        <v>0</v>
      </c>
      <c r="AT149" s="1123">
        <f>IF(AT150=0,0,AT148/(AT150+AT135)*100)</f>
        <v>0</v>
      </c>
      <c r="AU149" s="1123">
        <f>IF(AU150=0,0,AU148/(AU150+AU135)*100)</f>
        <v>0</v>
      </c>
      <c r="AV149" s="1123">
        <f>IF(AV150=0,0,AV148/(AV150+AV135)*100)</f>
        <v>0</v>
      </c>
      <c r="AW149" s="1123">
        <f>IF(AW150=0,0,AW148/(AW150+AW135)*100)</f>
        <v>0</v>
      </c>
      <c r="AX149" s="1123">
        <f>IF(AX150=0,0,AX148/(AX150+AX135)*100)</f>
        <v>0</v>
      </c>
      <c r="AY149" s="1123">
        <f>IF(AY150=0,0,AY148/(AY150+AY135)*100)</f>
        <v>0</v>
      </c>
      <c r="AZ149" s="1123">
        <f>IF(AZ150=0,0,AZ148/(AZ150+AZ135)*100)</f>
        <v>0</v>
      </c>
      <c r="BA149" s="1123">
        <f>IF(BA150=0,0,BA148/(BA150+BA135)*100)</f>
        <v>0</v>
      </c>
      <c r="BB149" s="1123">
        <f>IF(BB150=0,0,BB148/(BB150+BB135)*100)</f>
        <v>0</v>
      </c>
      <c r="BC149" s="1123">
        <f>IF(BC150=0,0,BC148/(BC150+BC135)*100)</f>
        <v>0</v>
      </c>
      <c r="BD149" s="1124"/>
      <c r="BE149" s="1124"/>
      <c r="BF149" s="1124"/>
      <c r="BG149" s="1124"/>
      <c r="BH149" s="1124"/>
      <c r="BI149" s="1124"/>
      <c r="BJ149" s="1124"/>
      <c r="BK149" s="1124"/>
      <c r="BL149" s="1124"/>
      <c r="BM149" s="1124"/>
      <c r="BN149" s="1257"/>
      <c r="BO149" s="1257"/>
      <c r="BP149" s="1257"/>
      <c r="BQ149" s="1297"/>
      <c r="BR149" s="1297"/>
      <c r="BS149" s="1072" t="s">
        <v>2434</v>
      </c>
      <c r="BT149" s="1072"/>
      <c r="BU149" s="1072"/>
      <c r="BV149" s="987"/>
      <c r="BW149" s="987"/>
    </row>
    <row s="706" customFormat="1" customHeight="1" ht="20.475" hidden="1">
      <c r="A150" s="706"/>
      <c r="B150" s="437"/>
      <c r="C150" s="105"/>
      <c r="D150" s="105">
        <f>D149+1</f>
        <v>9</v>
      </c>
      <c r="E150" s="833">
        <v>21</v>
      </c>
      <c r="F150" s="50" cm="1" t="str">
        <f t="array" ref="F150:F150">OFFSET(E150,-1,1)</f>
        <v>0</v>
      </c>
      <c r="G150" s="105"/>
      <c r="H150" s="103"/>
      <c r="I150" s="103" t="s">
        <v>864</v>
      </c>
      <c r="J150" s="105"/>
      <c r="K150" s="154" t="s">
        <v>864</v>
      </c>
      <c r="L150" s="993" t="s">
        <v>2101</v>
      </c>
      <c r="M150" s="105"/>
      <c r="N150" s="105"/>
      <c r="O150" s="105"/>
      <c r="P150" s="105"/>
      <c r="Q150" s="105"/>
      <c r="R150" s="105"/>
      <c r="S150" s="105"/>
      <c r="T150" s="468" cm="1" t="str">
        <f t="array" ref="T150:T150">T149</f>
        <v>false</v>
      </c>
      <c r="U150" s="105"/>
      <c r="V150" s="105"/>
      <c r="W150" s="105"/>
      <c r="X150" s="1559"/>
      <c r="Y150" s="706"/>
      <c r="Z150" s="1529"/>
      <c r="AA150" s="706"/>
      <c r="AB150" s="207" cm="1" t="str">
        <f t="array" ref="AB150:AB150">D150</f>
        <v>9</v>
      </c>
      <c r="AC150" s="208" t="s">
        <v>2102</v>
      </c>
      <c r="AD150" s="230" t="s">
        <v>936</v>
      </c>
      <c r="AE150" s="209">
        <f>AE28+AE78+AE114+AE115+AE117+AE122+AE123+AE126</f>
        <v>0</v>
      </c>
      <c r="AF150" s="209">
        <f>AF28+AF78+AF114+AF115+AF117+AF122+AF123+AF126</f>
        <v>0</v>
      </c>
      <c r="AG150" s="209">
        <f>AG28+AG78+AG114+AG115+AG117+AG122+AG123+AG126</f>
        <v>0</v>
      </c>
      <c r="AH150" s="785">
        <f>AG150-AF150</f>
        <v>0</v>
      </c>
      <c r="AI150" s="209">
        <f>AI28+AI78+AI114+AI115+AI117+AI122+AI123+AI126</f>
        <v>0</v>
      </c>
      <c r="AJ150" s="209">
        <f>AJ28+AJ78+AJ114+AJ115+AJ117+AJ122+AJ123+AJ126</f>
        <v>0</v>
      </c>
      <c r="AK150" s="209">
        <f>AK28+AK78+AK114+AK115+AK117+AK122+AK123+AK126</f>
        <v>0</v>
      </c>
      <c r="AL150" s="209">
        <f>AL28+AL78+AL114+AL115+AL117+AL122+AL123+AL126</f>
        <v>0</v>
      </c>
      <c r="AM150" s="209">
        <f>AM28+AM78+AM114+AM115+AM117+AM122+AM123+AM126</f>
        <v>0</v>
      </c>
      <c r="AN150" s="209">
        <f>AN28+AN78+AN114+AN115+AN117+AN122+AN123+AN126</f>
        <v>0</v>
      </c>
      <c r="AO150" s="209">
        <f>AO28+AO78+AO114+AO115+AO117+AO122+AO123+AO126</f>
        <v>0</v>
      </c>
      <c r="AP150" s="209">
        <f>AP28+AP78+AP114+AP115+AP117+AP122+AP123+AP126</f>
        <v>0</v>
      </c>
      <c r="AQ150" s="209">
        <f>AQ28+AQ78+AQ114+AQ115+AQ117+AQ122+AQ123+AQ126</f>
        <v>0</v>
      </c>
      <c r="AR150" s="209">
        <f>AR28+AR78+AR114+AR115+AR117+AR122+AR123+AR126</f>
        <v>0</v>
      </c>
      <c r="AS150" s="209">
        <f>AS28+AS78+AS114+AS115+AS117+AS122+AS123+AS126</f>
        <v>0</v>
      </c>
      <c r="AT150" s="209">
        <f>AT28+AT78+AT114+AT115+AT117+AT122+AT123+AT126</f>
        <v>0</v>
      </c>
      <c r="AU150" s="209">
        <f>AU28+AU78+AU114+AU115+AU117+AU122+AU123+AU126</f>
        <v>0</v>
      </c>
      <c r="AV150" s="209">
        <f>AV28+AV78+AV114+AV115+AV117+AV122+AV123+AV126</f>
        <v>0</v>
      </c>
      <c r="AW150" s="209">
        <f>AW28+AW78+AW114+AW115+AW117+AW122+AW123+AW126</f>
        <v>0</v>
      </c>
      <c r="AX150" s="209">
        <f>AX28+AX78+AX114+AX115+AX117+AX122+AX123+AX126</f>
        <v>0</v>
      </c>
      <c r="AY150" s="209">
        <f>AY28+AY78+AY114+AY115+AY117+AY122+AY123+AY126</f>
        <v>0</v>
      </c>
      <c r="AZ150" s="209">
        <f>AZ28+AZ78+AZ114+AZ115+AZ117+AZ122+AZ123+AZ126</f>
        <v>0</v>
      </c>
      <c r="BA150" s="209">
        <f>BA28+BA78+BA114+BA115+BA117+BA122+BA123+BA126</f>
        <v>0</v>
      </c>
      <c r="BB150" s="209">
        <f>BB28+BB78+BB114+BB115+BB117+BB122+BB123+BB126</f>
        <v>0</v>
      </c>
      <c r="BC150" s="209">
        <f>BC28+BC78+BC114+BC115+BC117+BC122+BC123+BC126</f>
        <v>0</v>
      </c>
      <c r="BD150" s="785">
        <f>IF(AI150=0,0,(AT150-AI150)/AI150*100)</f>
        <v>0</v>
      </c>
      <c r="BE150" s="785">
        <f>IF(AT150=0,0,(AU150-AT150)/AT150*100)</f>
        <v>0</v>
      </c>
      <c r="BF150" s="785">
        <f>IF(AU150=0,0,(AV150-AU150)/AU150*100)</f>
        <v>0</v>
      </c>
      <c r="BG150" s="785">
        <f>IF(AV150=0,0,(AW150-AV150)/AV150*100)</f>
        <v>0</v>
      </c>
      <c r="BH150" s="785">
        <f>IF(AW150=0,0,(AX150-AW150)/AW150*100)</f>
        <v>0</v>
      </c>
      <c r="BI150" s="785">
        <f>IF(AX150=0,0,(AY150-AX150)/AX150*100)</f>
        <v>0</v>
      </c>
      <c r="BJ150" s="785">
        <f>IF(AY150=0,0,(AZ150-AY150)/AY150*100)</f>
        <v>0</v>
      </c>
      <c r="BK150" s="785">
        <f>IF(AZ150=0,0,(BA150-AZ150)/AZ150*100)</f>
        <v>0</v>
      </c>
      <c r="BL150" s="785">
        <f>IF(BA150=0,0,(BB150-BA150)/BA150*100)</f>
        <v>0</v>
      </c>
      <c r="BM150" s="785">
        <f>IF(BB150=0,0,(BC150-BB150)/BB150*100)</f>
        <v>0</v>
      </c>
      <c r="BN150" s="1257"/>
      <c r="BO150" s="1257"/>
      <c r="BP150" s="1257"/>
      <c r="BQ150" s="706"/>
      <c r="BR150" s="706"/>
      <c r="BS150" s="1078" t="s">
        <v>2103</v>
      </c>
      <c r="BT150" s="1078"/>
      <c r="BU150" s="1078"/>
      <c r="BV150" s="713"/>
      <c r="BW150" s="713"/>
    </row>
    <row s="706" customFormat="1" customHeight="1" ht="20.475" hidden="1">
      <c r="A151" s="706"/>
      <c r="B151" s="437"/>
      <c r="C151" s="105"/>
      <c r="D151" s="105">
        <f>D150+1</f>
        <v>10</v>
      </c>
      <c r="E151" s="833">
        <v>21</v>
      </c>
      <c r="F151" s="50" cm="1" t="str">
        <f t="array" ref="F151:F151">OFFSET(E151,-1,1)</f>
        <v>0</v>
      </c>
      <c r="G151" s="105"/>
      <c r="H151" s="103"/>
      <c r="I151" s="103" t="s">
        <v>2112</v>
      </c>
      <c r="J151" s="105"/>
      <c r="K151" s="154" t="s">
        <v>2112</v>
      </c>
      <c r="L151" s="993"/>
      <c r="M151" s="105"/>
      <c r="N151" s="105"/>
      <c r="O151" s="105"/>
      <c r="P151" s="105"/>
      <c r="Q151" s="105"/>
      <c r="R151" s="105"/>
      <c r="S151" s="105"/>
      <c r="T151" s="468" cm="1" t="str">
        <f t="array" ref="T151:T151">T150</f>
        <v>false</v>
      </c>
      <c r="U151" s="105"/>
      <c r="V151" s="105"/>
      <c r="W151" s="105"/>
      <c r="X151" s="1559"/>
      <c r="Y151" s="706"/>
      <c r="Z151" s="1529"/>
      <c r="AA151" s="706"/>
      <c r="AB151" s="207" cm="1" t="str">
        <f t="array" ref="AB151:AB151">D151</f>
        <v>10</v>
      </c>
      <c r="AC151" s="208" t="s">
        <v>2435</v>
      </c>
      <c r="AD151" s="207" t="s">
        <v>936</v>
      </c>
      <c r="AE151" s="209">
        <f>AE150+AE135+AE148</f>
        <v>0</v>
      </c>
      <c r="AF151" s="209">
        <f>AF150+AF135+AF148</f>
        <v>0</v>
      </c>
      <c r="AG151" s="209">
        <f>AG150+AG135+AG148</f>
        <v>0</v>
      </c>
      <c r="AH151" s="209">
        <f>AH150+AH135+AH148</f>
        <v>0</v>
      </c>
      <c r="AI151" s="209">
        <f>AI150+AI135+AI148</f>
        <v>0</v>
      </c>
      <c r="AJ151" s="209">
        <f>AJ150+AJ135+AJ148</f>
        <v>0</v>
      </c>
      <c r="AK151" s="209">
        <f>AK150+AK135+AK148</f>
        <v>0</v>
      </c>
      <c r="AL151" s="209">
        <f>AL150+AL135+AL148</f>
        <v>0</v>
      </c>
      <c r="AM151" s="209">
        <f>AM150+AM135+AM148</f>
        <v>0</v>
      </c>
      <c r="AN151" s="209">
        <f>AN150+AN135+AN148</f>
        <v>0</v>
      </c>
      <c r="AO151" s="209">
        <f>AO150+AO135+AO148</f>
        <v>0</v>
      </c>
      <c r="AP151" s="209">
        <f>AP150+AP135+AP148</f>
        <v>0</v>
      </c>
      <c r="AQ151" s="209">
        <f>AQ150+AQ135+AQ148</f>
        <v>0</v>
      </c>
      <c r="AR151" s="209">
        <f>AR150+AR135+AR148</f>
        <v>0</v>
      </c>
      <c r="AS151" s="209">
        <f>AS150+AS135+AS148</f>
        <v>0</v>
      </c>
      <c r="AT151" s="209">
        <f>AT150+AT135+AT148</f>
        <v>0</v>
      </c>
      <c r="AU151" s="209">
        <f>AU150+AU135+AU148</f>
        <v>0</v>
      </c>
      <c r="AV151" s="209">
        <f>AV150+AV135+AV148</f>
        <v>0</v>
      </c>
      <c r="AW151" s="209">
        <f>AW150+AW135+AW148</f>
        <v>0</v>
      </c>
      <c r="AX151" s="209">
        <f>AX150+AX135+AX148</f>
        <v>0</v>
      </c>
      <c r="AY151" s="209">
        <f>AY150+AY135+AY148</f>
        <v>0</v>
      </c>
      <c r="AZ151" s="209">
        <f>AZ150+AZ135+AZ148</f>
        <v>0</v>
      </c>
      <c r="BA151" s="209">
        <f>BA150+BA135+BA148</f>
        <v>0</v>
      </c>
      <c r="BB151" s="209">
        <f>BB150+BB135+BB148</f>
        <v>0</v>
      </c>
      <c r="BC151" s="209">
        <f>BC150+BC135+BC148</f>
        <v>0</v>
      </c>
      <c r="BD151" s="785">
        <f>IF(AI151=0,0,(AT151-AI151)/AI151*100)</f>
        <v>0</v>
      </c>
      <c r="BE151" s="785">
        <f>IF(AT151=0,0,(AU151-AT151)/AT151*100)</f>
        <v>0</v>
      </c>
      <c r="BF151" s="785">
        <f>IF(AU151=0,0,(AV151-AU151)/AU151*100)</f>
        <v>0</v>
      </c>
      <c r="BG151" s="785">
        <f>IF(AV151=0,0,(AW151-AV151)/AV151*100)</f>
        <v>0</v>
      </c>
      <c r="BH151" s="785">
        <f>IF(AW151=0,0,(AX151-AW151)/AW151*100)</f>
        <v>0</v>
      </c>
      <c r="BI151" s="785">
        <f>IF(AX151=0,0,(AY151-AX151)/AX151*100)</f>
        <v>0</v>
      </c>
      <c r="BJ151" s="785">
        <f>IF(AY151=0,0,(AZ151-AY151)/AY151*100)</f>
        <v>0</v>
      </c>
      <c r="BK151" s="785">
        <f>IF(AZ151=0,0,(BA151-AZ151)/AZ151*100)</f>
        <v>0</v>
      </c>
      <c r="BL151" s="785">
        <f>IF(BA151=0,0,(BB151-BA151)/BA151*100)</f>
        <v>0</v>
      </c>
      <c r="BM151" s="785">
        <f>IF(BB151=0,0,(BC151-BB151)/BB151*100)</f>
        <v>0</v>
      </c>
      <c r="BN151" s="1257"/>
      <c r="BO151" s="1257"/>
      <c r="BP151" s="1257"/>
      <c r="BQ151" s="706"/>
      <c r="BR151" s="706"/>
      <c r="BS151" s="1078" t="s">
        <v>2436</v>
      </c>
      <c r="BT151" s="1078"/>
      <c r="BU151" s="1078"/>
      <c r="BV151" s="713"/>
      <c r="BW151" s="713"/>
    </row>
    <row customHeight="1" ht="14.625" hidden="1">
      <c r="A152" s="1297"/>
      <c r="B152" s="447">
        <f>A27="двухставочный"</f>
        <v>0</v>
      </c>
      <c r="C152" s="103"/>
      <c r="D152" s="103" cm="1" t="str">
        <f t="array" ref="D152:D152">D151</f>
        <v>10</v>
      </c>
      <c r="E152" s="626">
        <v>15</v>
      </c>
      <c r="F152" s="50" cm="1" t="str">
        <f t="array" ref="F152:F152">OFFSET(E152,-1,1)</f>
        <v>0</v>
      </c>
      <c r="G152" s="103"/>
      <c r="H152" s="855"/>
      <c r="I152" s="855" t="s">
        <v>2115</v>
      </c>
      <c r="J152" s="103"/>
      <c r="K152" s="375" t="s">
        <v>2115</v>
      </c>
      <c r="L152" s="988" t="s">
        <v>2104</v>
      </c>
      <c r="M152" s="103"/>
      <c r="N152" s="103"/>
      <c r="O152" s="103"/>
      <c r="P152" s="103"/>
      <c r="Q152" s="103"/>
      <c r="R152" s="103"/>
      <c r="S152" s="103"/>
      <c r="T152" s="468" cm="1" t="str">
        <f t="array" ref="T152:T152">T151</f>
        <v>false</v>
      </c>
      <c r="U152" s="103"/>
      <c r="V152" s="103"/>
      <c r="W152" s="103"/>
      <c r="X152" s="1559"/>
      <c r="Y152" s="1297"/>
      <c r="Z152" s="1529"/>
      <c r="AA152" s="1297"/>
      <c r="AB152" s="296" t="str">
        <f>D152&amp;".1"</f>
        <v>10.1</v>
      </c>
      <c r="AC152" s="1121" t="s">
        <v>2106</v>
      </c>
      <c r="AD152" s="296" t="s">
        <v>936</v>
      </c>
      <c r="AE152" s="1260"/>
      <c r="AF152" s="1260"/>
      <c r="AG152" s="1260"/>
      <c r="AH152" s="1123">
        <f>AG152-AF152</f>
        <v>0</v>
      </c>
      <c r="AI152" s="1260"/>
      <c r="AJ152" s="1260"/>
      <c r="AK152" s="1260"/>
      <c r="AL152" s="1260"/>
      <c r="AM152" s="1260"/>
      <c r="AN152" s="1260"/>
      <c r="AO152" s="1260"/>
      <c r="AP152" s="1260"/>
      <c r="AQ152" s="1260"/>
      <c r="AR152" s="1260"/>
      <c r="AS152" s="1260"/>
      <c r="AT152" s="1260"/>
      <c r="AU152" s="1260"/>
      <c r="AV152" s="1260"/>
      <c r="AW152" s="1260"/>
      <c r="AX152" s="1260"/>
      <c r="AY152" s="1260"/>
      <c r="AZ152" s="1260"/>
      <c r="BA152" s="1260"/>
      <c r="BB152" s="1260"/>
      <c r="BC152" s="1260"/>
      <c r="BD152" s="1124"/>
      <c r="BE152" s="1124"/>
      <c r="BF152" s="1124"/>
      <c r="BG152" s="1124"/>
      <c r="BH152" s="1124"/>
      <c r="BI152" s="1124"/>
      <c r="BJ152" s="1124"/>
      <c r="BK152" s="1124"/>
      <c r="BL152" s="1124"/>
      <c r="BM152" s="1124"/>
      <c r="BN152" s="1257"/>
      <c r="BO152" s="1257"/>
      <c r="BP152" s="1257"/>
      <c r="BQ152" s="1297"/>
      <c r="BR152" s="1297"/>
      <c r="BS152" s="1070" t="s">
        <v>2107</v>
      </c>
      <c r="BT152" s="1072"/>
      <c r="BU152" s="1072"/>
      <c r="BV152" s="987"/>
      <c r="BW152" s="987"/>
    </row>
    <row customHeight="1" ht="14.625" hidden="1">
      <c r="A153" s="1297"/>
      <c r="B153" s="447">
        <f>A27="двухставочный"</f>
        <v>0</v>
      </c>
      <c r="C153" s="103"/>
      <c r="D153" s="103" cm="1" t="str">
        <f t="array" ref="D153:D153">D152</f>
        <v>10</v>
      </c>
      <c r="E153" s="626">
        <v>15</v>
      </c>
      <c r="F153" s="50" cm="1" t="str">
        <f t="array" ref="F153:F153">OFFSET(E153,-1,1)</f>
        <v>0</v>
      </c>
      <c r="G153" s="103"/>
      <c r="H153" s="855"/>
      <c r="I153" s="855" t="s">
        <v>2119</v>
      </c>
      <c r="J153" s="103"/>
      <c r="K153" s="375" t="s">
        <v>2119</v>
      </c>
      <c r="L153" s="988" t="s">
        <v>2108</v>
      </c>
      <c r="M153" s="103"/>
      <c r="N153" s="103"/>
      <c r="O153" s="103"/>
      <c r="P153" s="103"/>
      <c r="Q153" s="103"/>
      <c r="R153" s="103"/>
      <c r="S153" s="103"/>
      <c r="T153" s="468" cm="1" t="str">
        <f t="array" ref="T153:T153">T152</f>
        <v>false</v>
      </c>
      <c r="U153" s="103"/>
      <c r="V153" s="103"/>
      <c r="W153" s="103"/>
      <c r="X153" s="1559"/>
      <c r="Y153" s="1297"/>
      <c r="Z153" s="1529"/>
      <c r="AA153" s="1297"/>
      <c r="AB153" s="296" t="str">
        <f>D153&amp;".2"</f>
        <v>10.2</v>
      </c>
      <c r="AC153" s="1121" t="s">
        <v>2110</v>
      </c>
      <c r="AD153" s="296" t="s">
        <v>936</v>
      </c>
      <c r="AE153" s="1260"/>
      <c r="AF153" s="1260"/>
      <c r="AG153" s="1260"/>
      <c r="AH153" s="1123">
        <f>AG153-AF153</f>
        <v>0</v>
      </c>
      <c r="AI153" s="1260"/>
      <c r="AJ153" s="1260"/>
      <c r="AK153" s="1260"/>
      <c r="AL153" s="1260"/>
      <c r="AM153" s="1260"/>
      <c r="AN153" s="1260"/>
      <c r="AO153" s="1260"/>
      <c r="AP153" s="1260"/>
      <c r="AQ153" s="1260"/>
      <c r="AR153" s="1260"/>
      <c r="AS153" s="1260"/>
      <c r="AT153" s="1260"/>
      <c r="AU153" s="1260"/>
      <c r="AV153" s="1260"/>
      <c r="AW153" s="1260"/>
      <c r="AX153" s="1260"/>
      <c r="AY153" s="1260"/>
      <c r="AZ153" s="1260"/>
      <c r="BA153" s="1260"/>
      <c r="BB153" s="1260"/>
      <c r="BC153" s="1260"/>
      <c r="BD153" s="1124"/>
      <c r="BE153" s="1124"/>
      <c r="BF153" s="1124"/>
      <c r="BG153" s="1124"/>
      <c r="BH153" s="1124"/>
      <c r="BI153" s="1124"/>
      <c r="BJ153" s="1124"/>
      <c r="BK153" s="1124"/>
      <c r="BL153" s="1124"/>
      <c r="BM153" s="1124"/>
      <c r="BN153" s="1257"/>
      <c r="BO153" s="1257"/>
      <c r="BP153" s="1257"/>
      <c r="BQ153" s="1297"/>
      <c r="BR153" s="1297"/>
      <c r="BS153" s="1070" t="s">
        <v>2111</v>
      </c>
      <c r="BT153" s="1072"/>
      <c r="BU153" s="1072"/>
      <c r="BV153" s="987"/>
      <c r="BW153" s="987"/>
    </row>
    <row s="706" customFormat="1" customHeight="1" ht="20.475" hidden="1">
      <c r="A154" s="706"/>
      <c r="B154" s="437"/>
      <c r="C154" s="105"/>
      <c r="D154" s="105">
        <f>D153+1</f>
        <v>11</v>
      </c>
      <c r="E154" s="833">
        <v>21</v>
      </c>
      <c r="F154" s="50" cm="1" t="str">
        <f t="array" ref="F154:F154">OFFSET(E154,-1,1)</f>
        <v>0</v>
      </c>
      <c r="G154" s="103" t="s">
        <v>1871</v>
      </c>
      <c r="H154" s="103"/>
      <c r="I154" s="103" t="s">
        <v>2139</v>
      </c>
      <c r="J154" s="105"/>
      <c r="K154" s="154" t="s">
        <v>2139</v>
      </c>
      <c r="L154" s="993" t="s">
        <v>2112</v>
      </c>
      <c r="M154" s="105"/>
      <c r="N154" s="105"/>
      <c r="O154" s="105"/>
      <c r="P154" s="105"/>
      <c r="Q154" s="105"/>
      <c r="R154" s="105"/>
      <c r="S154" s="105"/>
      <c r="T154" s="468" cm="1" t="str">
        <f t="array" ref="T154:T154">T153</f>
        <v>false</v>
      </c>
      <c r="U154" s="105"/>
      <c r="V154" s="105"/>
      <c r="W154" s="105"/>
      <c r="X154" s="1559"/>
      <c r="Y154" s="706"/>
      <c r="Z154" s="1529"/>
      <c r="AA154" s="706"/>
      <c r="AB154" s="207" cm="1" t="str">
        <f t="array" ref="AB154:AB154">D154</f>
        <v>11</v>
      </c>
      <c r="AC154" s="208" t="s">
        <v>2113</v>
      </c>
      <c r="AD154" s="207" t="s">
        <v>657</v>
      </c>
      <c r="AE154" s="792">
        <f>_xlfn.SUMIFS(Баланс!AE$26:AE$391,Баланс!$F$26:$F$391,$F154,Баланс!$G$26:$G$391,"ПО")</f>
        <v>0</v>
      </c>
      <c r="AF154" s="792">
        <f>_xlfn.SUMIFS(Баланс!AF$26:AF$391,Баланс!$F$26:$F$391,$F154,Баланс!$G$26:$G$391,"ПО")</f>
        <v>0</v>
      </c>
      <c r="AG154" s="792">
        <f>_xlfn.SUMIFS(Баланс!AG$26:AG$391,Баланс!$F$26:$F$391,$F154,Баланс!$G$26:$G$391,"ПО")</f>
        <v>0</v>
      </c>
      <c r="AH154" s="792">
        <f>AG154-AF154</f>
        <v>0</v>
      </c>
      <c r="AI154" s="792">
        <f>_xlfn.SUMIFS(Баланс!AH$26:AH$391,Баланс!$F$26:$F$391,$F154,Баланс!$G$26:$G$391,"ПО")</f>
        <v>0</v>
      </c>
      <c r="AJ154" s="792">
        <f>_xlfn.SUMIFS(Баланс!AI$26:AI$391,Баланс!$F$26:$F$391,$F154,Баланс!$G$26:$G$391,"ПО")</f>
        <v>0</v>
      </c>
      <c r="AK154" s="792">
        <f>_xlfn.SUMIFS(Баланс!AJ$26:AJ$391,Баланс!$F$26:$F$391,$F154,Баланс!$G$26:$G$391,"ПО")</f>
        <v>0</v>
      </c>
      <c r="AL154" s="792">
        <f>_xlfn.SUMIFS(Баланс!AK$26:AK$391,Баланс!$F$26:$F$391,$F154,Баланс!$G$26:$G$391,"ПО")</f>
        <v>0</v>
      </c>
      <c r="AM154" s="792">
        <f>_xlfn.SUMIFS(Баланс!AL$26:AL$391,Баланс!$F$26:$F$391,$F154,Баланс!$G$26:$G$391,"ПО")</f>
        <v>0</v>
      </c>
      <c r="AN154" s="792">
        <f>_xlfn.SUMIFS(Баланс!AM$26:AM$391,Баланс!$F$26:$F$391,$F154,Баланс!$G$26:$G$391,"ПО")</f>
        <v>0</v>
      </c>
      <c r="AO154" s="792">
        <f>_xlfn.SUMIFS(Баланс!AN$26:AN$391,Баланс!$F$26:$F$391,$F154,Баланс!$G$26:$G$391,"ПО")</f>
        <v>0</v>
      </c>
      <c r="AP154" s="792">
        <f>_xlfn.SUMIFS(Баланс!AO$26:AO$391,Баланс!$F$26:$F$391,$F154,Баланс!$G$26:$G$391,"ПО")</f>
        <v>0</v>
      </c>
      <c r="AQ154" s="792">
        <f>_xlfn.SUMIFS(Баланс!AP$26:AP$391,Баланс!$F$26:$F$391,$F154,Баланс!$G$26:$G$391,"ПО")</f>
        <v>0</v>
      </c>
      <c r="AR154" s="792">
        <f>_xlfn.SUMIFS(Баланс!AQ$26:AQ$391,Баланс!$F$26:$F$391,$F154,Баланс!$G$26:$G$391,"ПО")</f>
        <v>0</v>
      </c>
      <c r="AS154" s="792">
        <f>_xlfn.SUMIFS(Баланс!AR$26:AR$391,Баланс!$F$26:$F$391,$F154,Баланс!$G$26:$G$391,"ПО")</f>
        <v>0</v>
      </c>
      <c r="AT154" s="792">
        <f>_xlfn.SUMIFS(Баланс!AS$26:AS$391,Баланс!$F$26:$F$391,$F154,Баланс!$G$26:$G$391,"ПО")</f>
        <v>0</v>
      </c>
      <c r="AU154" s="792">
        <f>_xlfn.SUMIFS(Баланс!AT$26:AT$391,Баланс!$F$26:$F$391,$F154,Баланс!$G$26:$G$391,"ПО")</f>
        <v>0</v>
      </c>
      <c r="AV154" s="792">
        <f>_xlfn.SUMIFS(Баланс!AU$26:AU$391,Баланс!$F$26:$F$391,$F154,Баланс!$G$26:$G$391,"ПО")</f>
        <v>0</v>
      </c>
      <c r="AW154" s="792">
        <f>_xlfn.SUMIFS(Баланс!AV$26:AV$391,Баланс!$F$26:$F$391,$F154,Баланс!$G$26:$G$391,"ПО")</f>
        <v>0</v>
      </c>
      <c r="AX154" s="792">
        <f>_xlfn.SUMIFS(Баланс!AW$26:AW$391,Баланс!$F$26:$F$391,$F154,Баланс!$G$26:$G$391,"ПО")</f>
        <v>0</v>
      </c>
      <c r="AY154" s="792">
        <f>_xlfn.SUMIFS(Баланс!AX$26:AX$391,Баланс!$F$26:$F$391,$F154,Баланс!$G$26:$G$391,"ПО")</f>
        <v>0</v>
      </c>
      <c r="AZ154" s="792">
        <f>_xlfn.SUMIFS(Баланс!AY$26:AY$391,Баланс!$F$26:$F$391,$F154,Баланс!$G$26:$G$391,"ПО")</f>
        <v>0</v>
      </c>
      <c r="BA154" s="792">
        <f>_xlfn.SUMIFS(Баланс!AZ$26:AZ$391,Баланс!$F$26:$F$391,$F154,Баланс!$G$26:$G$391,"ПО")</f>
        <v>0</v>
      </c>
      <c r="BB154" s="792">
        <f>_xlfn.SUMIFS(Баланс!BA$26:BA$391,Баланс!$F$26:$F$391,$F154,Баланс!$G$26:$G$391,"ПО")</f>
        <v>0</v>
      </c>
      <c r="BC154" s="792">
        <f>_xlfn.SUMIFS(Баланс!BB$26:BB$391,Баланс!$F$26:$F$391,$F154,Баланс!$G$26:$G$391,"ПО")</f>
        <v>0</v>
      </c>
      <c r="BD154" s="212"/>
      <c r="BE154" s="212"/>
      <c r="BF154" s="212"/>
      <c r="BG154" s="212"/>
      <c r="BH154" s="212"/>
      <c r="BI154" s="212"/>
      <c r="BJ154" s="212"/>
      <c r="BK154" s="212"/>
      <c r="BL154" s="212"/>
      <c r="BM154" s="212"/>
      <c r="BN154" s="1257"/>
      <c r="BO154" s="1257"/>
      <c r="BP154" s="1257"/>
      <c r="BQ154" s="706"/>
      <c r="BR154" s="706"/>
      <c r="BS154" s="1071" t="s">
        <v>2114</v>
      </c>
      <c r="BT154" s="1078"/>
      <c r="BU154" s="1078"/>
      <c r="BV154" s="713"/>
      <c r="BW154" s="713"/>
    </row>
    <row customHeight="1" ht="14.625" hidden="1">
      <c r="A155" s="1297"/>
      <c r="B155" s="986"/>
      <c r="C155" s="103"/>
      <c r="D155" s="103" cm="1" t="str">
        <f t="array" ref="D155:D155">D154</f>
        <v>11</v>
      </c>
      <c r="E155" s="626">
        <v>15</v>
      </c>
      <c r="F155" s="50" cm="1" t="str">
        <f t="array" ref="F155:F155">OFFSET(E155,-1,1)</f>
        <v>0</v>
      </c>
      <c r="G155" s="103" t="s">
        <v>1898</v>
      </c>
      <c r="H155" s="103"/>
      <c r="I155" s="103" t="s">
        <v>2437</v>
      </c>
      <c r="J155" s="103"/>
      <c r="K155" s="154" t="s">
        <v>2437</v>
      </c>
      <c r="L155" s="988" t="s">
        <v>2115</v>
      </c>
      <c r="M155" s="103"/>
      <c r="N155" s="103"/>
      <c r="O155" s="103"/>
      <c r="P155" s="103"/>
      <c r="Q155" s="103"/>
      <c r="R155" s="103"/>
      <c r="S155" s="103"/>
      <c r="T155" s="468" cm="1" t="str">
        <f t="array" ref="T155:T155">T154</f>
        <v>false</v>
      </c>
      <c r="U155" s="103"/>
      <c r="V155" s="103"/>
      <c r="W155" s="103"/>
      <c r="X155" s="1559"/>
      <c r="Y155" s="1297"/>
      <c r="Z155" s="1529"/>
      <c r="AA155" s="1297"/>
      <c r="AB155" s="296" t="str">
        <f>D155&amp;".1"</f>
        <v>11.1</v>
      </c>
      <c r="AC155" s="1120" t="s">
        <v>2117</v>
      </c>
      <c r="AD155" s="296" t="s">
        <v>657</v>
      </c>
      <c r="AE155" s="1258">
        <f>IF(AE$24="2026 год",AE154/12*9,AE154/2)</f>
        <v>0</v>
      </c>
      <c r="AF155" s="1258">
        <f>IF(AF$24="2026 год",AF154/12*9,AF154/2)</f>
        <v>0</v>
      </c>
      <c r="AG155" s="1258">
        <f>IF(AG$24="2026 год",AG154/12*9,AG154/2)</f>
        <v>0</v>
      </c>
      <c r="AH155" s="1122">
        <f>AG155-AF155</f>
        <v>0</v>
      </c>
      <c r="AI155" s="1258">
        <f>IF(AI$24="2026 год",AI154/12*9,AI154/2)</f>
        <v>0</v>
      </c>
      <c r="AJ155" s="1258">
        <f>IF(AJ$24="2026 год",AJ154/12*9,AJ154/2)</f>
        <v>0</v>
      </c>
      <c r="AK155" s="1258">
        <f>IF(AK$24="2026 год",AK154/12*9,AK154/2)</f>
        <v>0</v>
      </c>
      <c r="AL155" s="1258">
        <f>IF(AL$24="2026 год",AL154/12*9,AL154/2)</f>
        <v>0</v>
      </c>
      <c r="AM155" s="1258">
        <f>IF(AM$24="2026 год",AM154/12*9,AM154/2)</f>
        <v>0</v>
      </c>
      <c r="AN155" s="1258">
        <f>IF(AN$24="2026 год",AN154/12*9,AN154/2)</f>
        <v>0</v>
      </c>
      <c r="AO155" s="1258">
        <f>IF(AO$24="2026 год",AO154/12*9,AO154/2)</f>
        <v>0</v>
      </c>
      <c r="AP155" s="1258">
        <f>IF(AP$24="2026 год",AP154/12*9,AP154/2)</f>
        <v>0</v>
      </c>
      <c r="AQ155" s="1258">
        <f>IF(AQ$24="2026 год",AQ154/12*9,AQ154/2)</f>
        <v>0</v>
      </c>
      <c r="AR155" s="1258">
        <f>IF(AR$24="2026 год",AR154/12*9,AR154/2)</f>
        <v>0</v>
      </c>
      <c r="AS155" s="1258">
        <f>IF(AS$24="2026 год",AS154/12*9,AS154/2)</f>
        <v>0</v>
      </c>
      <c r="AT155" s="1280">
        <f>IF(AT$24="2026 год",AT154/12*9,AT154/2)</f>
        <v>0</v>
      </c>
      <c r="AU155" s="1280">
        <f>IF(AU$24="2026 год",AU154/12*9,AU154/2)</f>
        <v>0</v>
      </c>
      <c r="AV155" s="1258">
        <f>IF(AV$24="2026 год",AV154/12*9,AV154/2)</f>
        <v>0</v>
      </c>
      <c r="AW155" s="1258">
        <f>IF(AW$24="2026 год",AW154/12*9,AW154/2)</f>
        <v>0</v>
      </c>
      <c r="AX155" s="1258">
        <f>IF(AX$24="2026 год",AX154/12*9,AX154/2)</f>
        <v>0</v>
      </c>
      <c r="AY155" s="1258">
        <f>IF(AY$24="2026 год",AY154/12*9,AY154/2)</f>
        <v>0</v>
      </c>
      <c r="AZ155" s="1258">
        <f>IF(AZ$24="2026 год",AZ154/12*9,AZ154/2)</f>
        <v>0</v>
      </c>
      <c r="BA155" s="1258">
        <f>IF(BA$24="2026 год",BA154/12*9,BA154/2)</f>
        <v>0</v>
      </c>
      <c r="BB155" s="1258">
        <f>IF(BB$24="2026 год",BB154/12*9,BB154/2)</f>
        <v>0</v>
      </c>
      <c r="BC155" s="1258">
        <f>IF(BC$24="2026 год",BC154/12*9,BC154/2)</f>
        <v>0</v>
      </c>
      <c r="BD155" s="1124"/>
      <c r="BE155" s="1124"/>
      <c r="BF155" s="1124"/>
      <c r="BG155" s="1124"/>
      <c r="BH155" s="1124"/>
      <c r="BI155" s="1124"/>
      <c r="BJ155" s="1124"/>
      <c r="BK155" s="1124"/>
      <c r="BL155" s="1124"/>
      <c r="BM155" s="1124"/>
      <c r="BN155" s="1257"/>
      <c r="BO155" s="1257"/>
      <c r="BP155" s="1257"/>
      <c r="BQ155" s="1297"/>
      <c r="BR155" s="1297"/>
      <c r="BS155" s="1070" t="s">
        <v>2118</v>
      </c>
      <c r="BT155" s="1072"/>
      <c r="BU155" s="1072"/>
      <c r="BV155" s="987"/>
      <c r="BW155" s="987"/>
    </row>
    <row customHeight="1" ht="14.625" hidden="1">
      <c r="A156" s="1297"/>
      <c r="B156" s="986"/>
      <c r="C156" s="103"/>
      <c r="D156" s="103" cm="1" t="str">
        <f t="array" ref="D156:D156">D155</f>
        <v>11</v>
      </c>
      <c r="E156" s="626">
        <v>15</v>
      </c>
      <c r="F156" s="50" cm="1" t="str">
        <f t="array" ref="F156:F156">OFFSET(E156,-1,1)</f>
        <v>0</v>
      </c>
      <c r="G156" s="103" t="s">
        <v>1859</v>
      </c>
      <c r="H156" s="103"/>
      <c r="I156" s="103" t="s">
        <v>2438</v>
      </c>
      <c r="J156" s="103"/>
      <c r="K156" s="154" t="s">
        <v>2438</v>
      </c>
      <c r="L156" s="988" t="s">
        <v>2119</v>
      </c>
      <c r="M156" s="103"/>
      <c r="N156" s="103"/>
      <c r="O156" s="103"/>
      <c r="P156" s="103"/>
      <c r="Q156" s="103"/>
      <c r="R156" s="103"/>
      <c r="S156" s="103"/>
      <c r="T156" s="468" cm="1" t="str">
        <f t="array" ref="T156:T156">T155</f>
        <v>false</v>
      </c>
      <c r="U156" s="103"/>
      <c r="V156" s="103"/>
      <c r="W156" s="103"/>
      <c r="X156" s="1559"/>
      <c r="Y156" s="1297"/>
      <c r="Z156" s="1529"/>
      <c r="AA156" s="1297"/>
      <c r="AB156" s="296" t="str">
        <f>D156&amp;".2"</f>
        <v>11.2</v>
      </c>
      <c r="AC156" s="1120" t="s">
        <v>2121</v>
      </c>
      <c r="AD156" s="296" t="s">
        <v>1862</v>
      </c>
      <c r="AE156" s="1260"/>
      <c r="AF156" s="1260"/>
      <c r="AG156" s="1260"/>
      <c r="AH156" s="1123">
        <f>AG156-AF156</f>
        <v>0</v>
      </c>
      <c r="AI156" s="1260"/>
      <c r="AJ156" s="1260"/>
      <c r="AK156" s="1260"/>
      <c r="AL156" s="1260"/>
      <c r="AM156" s="1260"/>
      <c r="AN156" s="1260"/>
      <c r="AO156" s="1260"/>
      <c r="AP156" s="1260"/>
      <c r="AQ156" s="1260"/>
      <c r="AR156" s="1260"/>
      <c r="AS156" s="1260"/>
      <c r="AT156" s="1260"/>
      <c r="AU156" s="1260" cm="1" t="str">
        <f t="array" ref="AU156:AU156">AT158</f>
        <v>0</v>
      </c>
      <c r="AV156" s="1260" cm="1" t="str">
        <f t="array" ref="AV156:AV156">AU158</f>
        <v>0</v>
      </c>
      <c r="AW156" s="1260" cm="1" t="str">
        <f t="array" ref="AW156:AW156">AV158</f>
        <v>0</v>
      </c>
      <c r="AX156" s="1260" cm="1" t="str">
        <f t="array" ref="AX156:AX156">AW158</f>
        <v>0</v>
      </c>
      <c r="AY156" s="1260" cm="1" t="str">
        <f t="array" ref="AY156:AY156">AX158</f>
        <v>0</v>
      </c>
      <c r="AZ156" s="1260" cm="1" t="str">
        <f t="array" ref="AZ156:AZ156">AY158</f>
        <v>0</v>
      </c>
      <c r="BA156" s="1260" cm="1" t="str">
        <f t="array" ref="BA156:BA156">AZ158</f>
        <v>0</v>
      </c>
      <c r="BB156" s="1260" cm="1" t="str">
        <f t="array" ref="BB156:BB156">BA158</f>
        <v>0</v>
      </c>
      <c r="BC156" s="1260" cm="1" t="str">
        <f t="array" ref="BC156:BC156">BB158</f>
        <v>0</v>
      </c>
      <c r="BD156" s="1124"/>
      <c r="BE156" s="1124"/>
      <c r="BF156" s="1124"/>
      <c r="BG156" s="1124"/>
      <c r="BH156" s="1124"/>
      <c r="BI156" s="1124"/>
      <c r="BJ156" s="1124"/>
      <c r="BK156" s="1124"/>
      <c r="BL156" s="1124"/>
      <c r="BM156" s="1124"/>
      <c r="BN156" s="1257"/>
      <c r="BO156" s="1257"/>
      <c r="BP156" s="1257"/>
      <c r="BQ156" s="1297"/>
      <c r="BR156" s="1297"/>
      <c r="BS156" s="1070" t="s">
        <v>2122</v>
      </c>
      <c r="BT156" s="1072"/>
      <c r="BU156" s="1072"/>
      <c r="BV156" s="987"/>
      <c r="BW156" s="987"/>
    </row>
    <row customHeight="1" ht="14.625" hidden="1">
      <c r="A157" s="1297"/>
      <c r="B157" s="986"/>
      <c r="C157" s="103"/>
      <c r="D157" s="103" cm="1" t="str">
        <f t="array" ref="D157:D157">D156</f>
        <v>11</v>
      </c>
      <c r="E157" s="626">
        <v>15</v>
      </c>
      <c r="F157" s="50" cm="1" t="str">
        <f t="array" ref="F157:F157">OFFSET(E157,-1,1)</f>
        <v>0</v>
      </c>
      <c r="G157" s="103" t="s">
        <v>1911</v>
      </c>
      <c r="H157" s="103"/>
      <c r="I157" s="103" t="s">
        <v>2439</v>
      </c>
      <c r="J157" s="103"/>
      <c r="K157" s="154" t="s">
        <v>2439</v>
      </c>
      <c r="L157" s="988" t="s">
        <v>2123</v>
      </c>
      <c r="M157" s="103"/>
      <c r="N157" s="103"/>
      <c r="O157" s="103"/>
      <c r="P157" s="103"/>
      <c r="Q157" s="103"/>
      <c r="R157" s="103"/>
      <c r="S157" s="103"/>
      <c r="T157" s="468" cm="1" t="str">
        <f t="array" ref="T157:T157">T156</f>
        <v>false</v>
      </c>
      <c r="U157" s="103"/>
      <c r="V157" s="103"/>
      <c r="W157" s="103"/>
      <c r="X157" s="1559"/>
      <c r="Y157" s="1297"/>
      <c r="Z157" s="1529"/>
      <c r="AA157" s="1297"/>
      <c r="AB157" s="296" t="str">
        <f>D157&amp;".3"</f>
        <v>11.3</v>
      </c>
      <c r="AC157" s="1120" t="s">
        <v>2440</v>
      </c>
      <c r="AD157" s="296" t="s">
        <v>657</v>
      </c>
      <c r="AE157" s="1122">
        <f>AE154-AE155</f>
        <v>0</v>
      </c>
      <c r="AF157" s="1122">
        <f>AF154-AF155</f>
        <v>0</v>
      </c>
      <c r="AG157" s="1122">
        <f>AG154-AG155</f>
        <v>0</v>
      </c>
      <c r="AH157" s="1122">
        <f>AG157-AF157</f>
        <v>0</v>
      </c>
      <c r="AI157" s="1122">
        <f>AI154-AI155</f>
        <v>0</v>
      </c>
      <c r="AJ157" s="1122">
        <f>AJ154-AJ155</f>
        <v>0</v>
      </c>
      <c r="AK157" s="1122">
        <f>AK154-AK155</f>
        <v>0</v>
      </c>
      <c r="AL157" s="1122">
        <f>AL154-AL155</f>
        <v>0</v>
      </c>
      <c r="AM157" s="1122">
        <f>AM154-AM155</f>
        <v>0</v>
      </c>
      <c r="AN157" s="1122">
        <f>AN154-AN155</f>
        <v>0</v>
      </c>
      <c r="AO157" s="1122">
        <f>AO154-AO155</f>
        <v>0</v>
      </c>
      <c r="AP157" s="1122">
        <f>AP154-AP155</f>
        <v>0</v>
      </c>
      <c r="AQ157" s="1122">
        <f>AQ154-AQ155</f>
        <v>0</v>
      </c>
      <c r="AR157" s="1122">
        <f>AR154-AR155</f>
        <v>0</v>
      </c>
      <c r="AS157" s="1122">
        <f>AS154-AS155</f>
        <v>0</v>
      </c>
      <c r="AT157" s="1122">
        <f>AT154-AT155</f>
        <v>0</v>
      </c>
      <c r="AU157" s="1122">
        <f>AU154-AU155</f>
        <v>0</v>
      </c>
      <c r="AV157" s="1122">
        <f>AV154-AV155</f>
        <v>0</v>
      </c>
      <c r="AW157" s="1122">
        <f>AW154-AW155</f>
        <v>0</v>
      </c>
      <c r="AX157" s="1122">
        <f>AX154-AX155</f>
        <v>0</v>
      </c>
      <c r="AY157" s="1122">
        <f>AY154-AY155</f>
        <v>0</v>
      </c>
      <c r="AZ157" s="1122">
        <f>AZ154-AZ155</f>
        <v>0</v>
      </c>
      <c r="BA157" s="1122">
        <f>BA154-BA155</f>
        <v>0</v>
      </c>
      <c r="BB157" s="1122">
        <f>BB154-BB155</f>
        <v>0</v>
      </c>
      <c r="BC157" s="1122">
        <f>BC154-BC155</f>
        <v>0</v>
      </c>
      <c r="BD157" s="1124"/>
      <c r="BE157" s="1124"/>
      <c r="BF157" s="1124"/>
      <c r="BG157" s="1124"/>
      <c r="BH157" s="1124"/>
      <c r="BI157" s="1124"/>
      <c r="BJ157" s="1124"/>
      <c r="BK157" s="1124"/>
      <c r="BL157" s="1124"/>
      <c r="BM157" s="1124"/>
      <c r="BN157" s="1257"/>
      <c r="BO157" s="1257"/>
      <c r="BP157" s="1257"/>
      <c r="BQ157" s="1297"/>
      <c r="BR157" s="1297"/>
      <c r="BS157" s="1070" t="s">
        <v>2126</v>
      </c>
      <c r="BT157" s="1072"/>
      <c r="BU157" s="1072"/>
      <c r="BV157" s="987"/>
      <c r="BW157" s="987"/>
    </row>
    <row customHeight="1" ht="14.625" hidden="1">
      <c r="A158" s="1297"/>
      <c r="B158" s="986"/>
      <c r="C158" s="103"/>
      <c r="D158" s="103" cm="1" t="str">
        <f t="array" ref="D158:D158">D157</f>
        <v>11</v>
      </c>
      <c r="E158" s="626">
        <v>15</v>
      </c>
      <c r="F158" s="50" cm="1" t="str">
        <f t="array" ref="F158:F158">OFFSET(E158,-1,1)</f>
        <v>0</v>
      </c>
      <c r="G158" s="103" t="s">
        <v>1864</v>
      </c>
      <c r="H158" s="103"/>
      <c r="I158" s="103" t="s">
        <v>2441</v>
      </c>
      <c r="J158" s="103"/>
      <c r="K158" s="154" t="s">
        <v>2441</v>
      </c>
      <c r="L158" s="988" t="s">
        <v>2127</v>
      </c>
      <c r="M158" s="103"/>
      <c r="N158" s="103"/>
      <c r="O158" s="103"/>
      <c r="P158" s="103"/>
      <c r="Q158" s="103"/>
      <c r="R158" s="103"/>
      <c r="S158" s="103"/>
      <c r="T158" s="468" cm="1" t="str">
        <f t="array" ref="T158:T158">T157</f>
        <v>false</v>
      </c>
      <c r="U158" s="103"/>
      <c r="V158" s="103"/>
      <c r="W158" s="103"/>
      <c r="X158" s="1559"/>
      <c r="Y158" s="1297"/>
      <c r="Z158" s="1529"/>
      <c r="AA158" s="1297"/>
      <c r="AB158" s="296" t="str">
        <f>D158&amp;".4"</f>
        <v>11.4</v>
      </c>
      <c r="AC158" s="1120" t="s">
        <v>2129</v>
      </c>
      <c r="AD158" s="296" t="s">
        <v>1862</v>
      </c>
      <c r="AE158" s="1260">
        <f>IF(AE157=0,0,(AE151-AE155*AE156)/AE157)</f>
        <v>0</v>
      </c>
      <c r="AF158" s="1260">
        <f>IF(AF157=0,0,(AF151-AF155*AF156)/AF157)</f>
        <v>0</v>
      </c>
      <c r="AG158" s="1260">
        <f>IF(AG157=0,0,(AG151-AG155*AG156)/AG157)</f>
        <v>0</v>
      </c>
      <c r="AH158" s="1123">
        <f>AG158-AF158</f>
        <v>0</v>
      </c>
      <c r="AI158" s="1260">
        <f>IF(AI157=0,0,(AI151-AI155*AI156)/AI157)</f>
        <v>0</v>
      </c>
      <c r="AJ158" s="1260">
        <f>IF(AJ157=0,0,(AJ151-AJ155*AJ156)/AJ157)</f>
        <v>0</v>
      </c>
      <c r="AK158" s="1260">
        <f>IF(AK157=0,0,(AK151-AK155*AK156)/AK157)</f>
        <v>0</v>
      </c>
      <c r="AL158" s="1260">
        <f>IF(AL157=0,0,(AL151-AL155*AL156)/AL157)</f>
        <v>0</v>
      </c>
      <c r="AM158" s="1260">
        <f>IF(AM157=0,0,(AM151-AM155*AM156)/AM157)</f>
        <v>0</v>
      </c>
      <c r="AN158" s="1260">
        <f>IF(AN157=0,0,(AN151-AN155*AN156)/AN157)</f>
        <v>0</v>
      </c>
      <c r="AO158" s="1260">
        <f>IF(AO157=0,0,(AO151-AO155*AO156)/AO157)</f>
        <v>0</v>
      </c>
      <c r="AP158" s="1260">
        <f>IF(AP157=0,0,(AP151-AP155*AP156)/AP157)</f>
        <v>0</v>
      </c>
      <c r="AQ158" s="1260">
        <f>IF(AQ157=0,0,(AQ151-AQ155*AQ156)/AQ157)</f>
        <v>0</v>
      </c>
      <c r="AR158" s="1260">
        <f>IF(AR157=0,0,(AR151-AR155*AR156)/AR157)</f>
        <v>0</v>
      </c>
      <c r="AS158" s="1260">
        <f>IF(AS157=0,0,(AS151-AS155*AS156)/AS157)</f>
        <v>0</v>
      </c>
      <c r="AT158" s="1260">
        <f>IF(AT157=0,0,(AT151-AT155*AT156)/AT157)</f>
        <v>0</v>
      </c>
      <c r="AU158" s="1260">
        <f>IF(AU157=0,0,(AU151-AU155*AU156)/AU157)</f>
        <v>0</v>
      </c>
      <c r="AV158" s="1260">
        <f>IF(AV157=0,0,(AV151-AV155*AV156)/AV157)</f>
        <v>0</v>
      </c>
      <c r="AW158" s="1260">
        <f>IF(AW157=0,0,(AW151-AW155*AW156)/AW157)</f>
        <v>0</v>
      </c>
      <c r="AX158" s="1260">
        <f>IF(AX157=0,0,(AX151-AX155*AX156)/AX157)</f>
        <v>0</v>
      </c>
      <c r="AY158" s="1260">
        <f>IF(AY157=0,0,(AY151-AY155*AY156)/AY157)</f>
        <v>0</v>
      </c>
      <c r="AZ158" s="1260">
        <f>IF(AZ157=0,0,(AZ151-AZ155*AZ156)/AZ157)</f>
        <v>0</v>
      </c>
      <c r="BA158" s="1260">
        <f>IF(BA157=0,0,(BA151-BA155*BA156)/BA157)</f>
        <v>0</v>
      </c>
      <c r="BB158" s="1260">
        <f>IF(BB157=0,0,(BB151-BB155*BB156)/BB157)</f>
        <v>0</v>
      </c>
      <c r="BC158" s="1260">
        <f>IF(BC157=0,0,(BC151-BC155*BC156)/BC157)</f>
        <v>0</v>
      </c>
      <c r="BD158" s="1124"/>
      <c r="BE158" s="1124"/>
      <c r="BF158" s="1124"/>
      <c r="BG158" s="1124"/>
      <c r="BH158" s="1124"/>
      <c r="BI158" s="1124"/>
      <c r="BJ158" s="1124"/>
      <c r="BK158" s="1124"/>
      <c r="BL158" s="1124"/>
      <c r="BM158" s="1124"/>
      <c r="BN158" s="1257"/>
      <c r="BO158" s="1257"/>
      <c r="BP158" s="1257"/>
      <c r="BQ158" s="1297"/>
      <c r="BR158" s="1297"/>
      <c r="BS158" s="1070" t="s">
        <v>2130</v>
      </c>
      <c r="BT158" s="1072"/>
      <c r="BU158" s="1072"/>
      <c r="BV158" s="987"/>
      <c r="BW158" s="987"/>
    </row>
    <row customHeight="1" ht="14.625" hidden="1">
      <c r="A159" s="1297"/>
      <c r="B159" s="986"/>
      <c r="C159" s="103"/>
      <c r="D159" s="103" cm="1" t="str">
        <f t="array" ref="D159:D159">D158</f>
        <v>11</v>
      </c>
      <c r="E159" s="626">
        <v>15</v>
      </c>
      <c r="F159" s="50" cm="1" t="str">
        <f t="array" ref="F159:F159">OFFSET(E159,-1,1)</f>
        <v>0</v>
      </c>
      <c r="G159" s="103"/>
      <c r="H159" s="103"/>
      <c r="I159" s="103" t="s">
        <v>2442</v>
      </c>
      <c r="J159" s="103"/>
      <c r="K159" s="154" t="s">
        <v>2442</v>
      </c>
      <c r="L159" s="988" t="s">
        <v>2131</v>
      </c>
      <c r="M159" s="103"/>
      <c r="N159" s="103"/>
      <c r="O159" s="103"/>
      <c r="P159" s="103"/>
      <c r="Q159" s="103"/>
      <c r="R159" s="103"/>
      <c r="S159" s="103"/>
      <c r="T159" s="468" cm="1" t="str">
        <f t="array" ref="T159:T159">T158</f>
        <v>false</v>
      </c>
      <c r="U159" s="103"/>
      <c r="V159" s="103"/>
      <c r="W159" s="103"/>
      <c r="X159" s="1559"/>
      <c r="Y159" s="1297"/>
      <c r="Z159" s="1529"/>
      <c r="AA159" s="1297"/>
      <c r="AB159" s="296" t="str">
        <f>D159&amp;".5"</f>
        <v>11.5</v>
      </c>
      <c r="AC159" s="1120" t="s">
        <v>2133</v>
      </c>
      <c r="AD159" s="296" t="s">
        <v>561</v>
      </c>
      <c r="AE159" s="1123">
        <f>IF(AE156=0,0,AE158/AE156*100)</f>
        <v>0</v>
      </c>
      <c r="AF159" s="1123">
        <f>IF(AF156=0,0,AF158/AF156*100)</f>
        <v>0</v>
      </c>
      <c r="AG159" s="1123">
        <f>IF(AG156=0,0,AG158/AG156*100)</f>
        <v>0</v>
      </c>
      <c r="AH159" s="1124"/>
      <c r="AI159" s="1123">
        <f>IF(AI156=0,0,AI158/AI156*100)</f>
        <v>0</v>
      </c>
      <c r="AJ159" s="1123">
        <f>IF(AJ156=0,0,AJ158/AJ156*100)</f>
        <v>0</v>
      </c>
      <c r="AK159" s="1123">
        <f>IF(AK156=0,0,AK158/AK156*100)</f>
        <v>0</v>
      </c>
      <c r="AL159" s="1123">
        <f>IF(AL156=0,0,AL158/AL156*100)</f>
        <v>0</v>
      </c>
      <c r="AM159" s="1123">
        <f>IF(AM156=0,0,AM158/AM156*100)</f>
        <v>0</v>
      </c>
      <c r="AN159" s="1123">
        <f>IF(AN156=0,0,AN158/AN156*100)</f>
        <v>0</v>
      </c>
      <c r="AO159" s="1123">
        <f>IF(AO156=0,0,AO158/AO156*100)</f>
        <v>0</v>
      </c>
      <c r="AP159" s="1123">
        <f>IF(AP156=0,0,AP158/AP156*100)</f>
        <v>0</v>
      </c>
      <c r="AQ159" s="1123">
        <f>IF(AQ156=0,0,AQ158/AQ156*100)</f>
        <v>0</v>
      </c>
      <c r="AR159" s="1123">
        <f>IF(AR156=0,0,AR158/AR156*100)</f>
        <v>0</v>
      </c>
      <c r="AS159" s="1123">
        <f>IF(AS156=0,0,AS158/AS156*100)</f>
        <v>0</v>
      </c>
      <c r="AT159" s="1123">
        <f>IF(AT156=0,0,AT158/AT156*100)</f>
        <v>0</v>
      </c>
      <c r="AU159" s="1123">
        <f>IF(AU156=0,0,AU158/AU156*100)</f>
        <v>0</v>
      </c>
      <c r="AV159" s="1123">
        <f>IF(AV156=0,0,AV158/AV156*100)</f>
        <v>0</v>
      </c>
      <c r="AW159" s="1123">
        <f>IF(AW156=0,0,AW158/AW156*100)</f>
        <v>0</v>
      </c>
      <c r="AX159" s="1123">
        <f>IF(AX156=0,0,AX158/AX156*100)</f>
        <v>0</v>
      </c>
      <c r="AY159" s="1123">
        <f>IF(AY156=0,0,AY158/AY156*100)</f>
        <v>0</v>
      </c>
      <c r="AZ159" s="1123">
        <f>IF(AZ156=0,0,AZ158/AZ156*100)</f>
        <v>0</v>
      </c>
      <c r="BA159" s="1123">
        <f>IF(BA156=0,0,BA158/BA156*100)</f>
        <v>0</v>
      </c>
      <c r="BB159" s="1123">
        <f>IF(BB156=0,0,BB158/BB156*100)</f>
        <v>0</v>
      </c>
      <c r="BC159" s="1123">
        <f>IF(BC156=0,0,BC158/BC156*100)</f>
        <v>0</v>
      </c>
      <c r="BD159" s="1124"/>
      <c r="BE159" s="1124"/>
      <c r="BF159" s="1124"/>
      <c r="BG159" s="1124"/>
      <c r="BH159" s="1124"/>
      <c r="BI159" s="1124"/>
      <c r="BJ159" s="1124"/>
      <c r="BK159" s="1124"/>
      <c r="BL159" s="1124"/>
      <c r="BM159" s="1124"/>
      <c r="BN159" s="1257"/>
      <c r="BO159" s="1257"/>
      <c r="BP159" s="1257"/>
      <c r="BQ159" s="1297"/>
      <c r="BR159" s="1297"/>
      <c r="BS159" s="1070" t="s">
        <v>2134</v>
      </c>
      <c r="BT159" s="1072"/>
      <c r="BU159" s="1072"/>
      <c r="BV159" s="987"/>
      <c r="BW159" s="987"/>
    </row>
    <row customHeight="1" ht="14.625" hidden="1">
      <c r="A160" s="1297"/>
      <c r="B160" s="986"/>
      <c r="C160" s="103"/>
      <c r="D160" s="103" cm="1" t="str">
        <f t="array" ref="D160:D160">D159</f>
        <v>11</v>
      </c>
      <c r="E160" s="626">
        <v>15</v>
      </c>
      <c r="F160" s="50" cm="1" t="str">
        <f t="array" ref="F160:F160">OFFSET(E160,-1,1)</f>
        <v>0</v>
      </c>
      <c r="G160" s="103"/>
      <c r="H160" s="103"/>
      <c r="I160" s="103" t="s">
        <v>2443</v>
      </c>
      <c r="J160" s="103"/>
      <c r="K160" s="154" t="s">
        <v>2443</v>
      </c>
      <c r="L160" s="988" t="s">
        <v>2135</v>
      </c>
      <c r="M160" s="103"/>
      <c r="N160" s="103"/>
      <c r="O160" s="103"/>
      <c r="P160" s="103"/>
      <c r="Q160" s="103"/>
      <c r="R160" s="103"/>
      <c r="S160" s="103"/>
      <c r="T160" s="468" cm="1" t="str">
        <f t="array" ref="T160:T160">T159</f>
        <v>false</v>
      </c>
      <c r="U160" s="103"/>
      <c r="V160" s="103"/>
      <c r="W160" s="103"/>
      <c r="X160" s="1559"/>
      <c r="Y160" s="1297"/>
      <c r="Z160" s="1529"/>
      <c r="AA160" s="1297"/>
      <c r="AB160" s="296" t="str">
        <f>D160&amp;".6"</f>
        <v>11.6</v>
      </c>
      <c r="AC160" s="1120" t="s">
        <v>2137</v>
      </c>
      <c r="AD160" s="296" t="s">
        <v>1862</v>
      </c>
      <c r="AE160" s="1260">
        <f>IF(AE154=0,0,AE151/AE154)</f>
        <v>0</v>
      </c>
      <c r="AF160" s="1260">
        <f>IF(AF154=0,0,AF151/AF154)</f>
        <v>0</v>
      </c>
      <c r="AG160" s="1260">
        <f>IF(AG154=0,0,AG151/AG154)</f>
        <v>0</v>
      </c>
      <c r="AH160" s="1123">
        <f>AG160-AF160</f>
        <v>0</v>
      </c>
      <c r="AI160" s="1260">
        <f>IF(AI154=0,0,AI151/AI154)</f>
        <v>0</v>
      </c>
      <c r="AJ160" s="1260">
        <f>IF(AJ154=0,0,AJ151/AJ154)</f>
        <v>0</v>
      </c>
      <c r="AK160" s="1260">
        <f>IF(AK154=0,0,AK151/AK154)</f>
        <v>0</v>
      </c>
      <c r="AL160" s="1260">
        <f>IF(AL154=0,0,AL151/AL154)</f>
        <v>0</v>
      </c>
      <c r="AM160" s="1260">
        <f>IF(AM154=0,0,AM151/AM154)</f>
        <v>0</v>
      </c>
      <c r="AN160" s="1260">
        <f>IF(AN154=0,0,AN151/AN154)</f>
        <v>0</v>
      </c>
      <c r="AO160" s="1260">
        <f>IF(AO154=0,0,AO151/AO154)</f>
        <v>0</v>
      </c>
      <c r="AP160" s="1260">
        <f>IF(AP154=0,0,AP151/AP154)</f>
        <v>0</v>
      </c>
      <c r="AQ160" s="1260">
        <f>IF(AQ154=0,0,AQ151/AQ154)</f>
        <v>0</v>
      </c>
      <c r="AR160" s="1260">
        <f>IF(AR154=0,0,AR151/AR154)</f>
        <v>0</v>
      </c>
      <c r="AS160" s="1260">
        <f>IF(AS154=0,0,AS151/AS154)</f>
        <v>0</v>
      </c>
      <c r="AT160" s="1260">
        <f>IF(AT154=0,0,AT151/AT154)</f>
        <v>0</v>
      </c>
      <c r="AU160" s="1260">
        <f>IF(AU154=0,0,AU151/AU154)</f>
        <v>0</v>
      </c>
      <c r="AV160" s="1260">
        <f>IF(AV154=0,0,AV151/AV154)</f>
        <v>0</v>
      </c>
      <c r="AW160" s="1260">
        <f>IF(AW154=0,0,AW151/AW154)</f>
        <v>0</v>
      </c>
      <c r="AX160" s="1260">
        <f>IF(AX154=0,0,AX151/AX154)</f>
        <v>0</v>
      </c>
      <c r="AY160" s="1260">
        <f>IF(AY154=0,0,AY151/AY154)</f>
        <v>0</v>
      </c>
      <c r="AZ160" s="1260">
        <f>IF(AZ154=0,0,AZ151/AZ154)</f>
        <v>0</v>
      </c>
      <c r="BA160" s="1260">
        <f>IF(BA154=0,0,BA151/BA154)</f>
        <v>0</v>
      </c>
      <c r="BB160" s="1260">
        <f>IF(BB154=0,0,BB151/BB154)</f>
        <v>0</v>
      </c>
      <c r="BC160" s="1260">
        <f>IF(BC154=0,0,BC151/BC154)</f>
        <v>0</v>
      </c>
      <c r="BD160" s="1124"/>
      <c r="BE160" s="1124"/>
      <c r="BF160" s="1124"/>
      <c r="BG160" s="1124"/>
      <c r="BH160" s="1124"/>
      <c r="BI160" s="1124"/>
      <c r="BJ160" s="1124"/>
      <c r="BK160" s="1124"/>
      <c r="BL160" s="1124"/>
      <c r="BM160" s="1124"/>
      <c r="BN160" s="1257"/>
      <c r="BO160" s="1257"/>
      <c r="BP160" s="1257"/>
      <c r="BQ160" s="1297"/>
      <c r="BR160" s="1297"/>
      <c r="BS160" s="1070" t="s">
        <v>2138</v>
      </c>
      <c r="BT160" s="1072"/>
      <c r="BU160" s="1072"/>
      <c r="BV160" s="987"/>
      <c r="BW160" s="987"/>
    </row>
    <row s="706" customFormat="1" customHeight="1" ht="20.475" hidden="1">
      <c r="A161" s="706"/>
      <c r="B161" s="437"/>
      <c r="C161" s="105"/>
      <c r="D161" s="105">
        <f>D160+1</f>
        <v>12</v>
      </c>
      <c r="E161" s="833">
        <v>21</v>
      </c>
      <c r="F161" s="50" cm="1" t="str">
        <f t="array" ref="F161:F161">OFFSET(E161,-1,1)</f>
        <v>0</v>
      </c>
      <c r="G161" s="105"/>
      <c r="H161" s="103"/>
      <c r="I161" s="103" t="s">
        <v>2142</v>
      </c>
      <c r="J161" s="105"/>
      <c r="K161" s="154" t="s">
        <v>2142</v>
      </c>
      <c r="L161" s="993" t="s">
        <v>2139</v>
      </c>
      <c r="M161" s="105"/>
      <c r="N161" s="105"/>
      <c r="O161" s="105"/>
      <c r="P161" s="105"/>
      <c r="Q161" s="105"/>
      <c r="R161" s="105"/>
      <c r="S161" s="105"/>
      <c r="T161" s="468" cm="1" t="str">
        <f t="array" ref="T161:T161">T160</f>
        <v>false</v>
      </c>
      <c r="U161" s="105"/>
      <c r="V161" s="105"/>
      <c r="W161" s="105"/>
      <c r="X161" s="1559"/>
      <c r="Y161" s="706"/>
      <c r="Z161" s="1529"/>
      <c r="AA161" s="706"/>
      <c r="AB161" s="207" cm="1" t="str">
        <f t="array" ref="AB161:AB161">D161</f>
        <v>12</v>
      </c>
      <c r="AC161" s="208" t="s">
        <v>2140</v>
      </c>
      <c r="AD161" s="207" t="s">
        <v>936</v>
      </c>
      <c r="AE161" s="1269">
        <f>IF(AE154=0,0,AE151/AE154*AE162)</f>
        <v>0</v>
      </c>
      <c r="AF161" s="1269">
        <f>IF(AF154=0,0,AF151/AF154*AF162)</f>
        <v>0</v>
      </c>
      <c r="AG161" s="1269">
        <f>IF(AG154=0,0,AG151/AG154*AG162)</f>
        <v>0</v>
      </c>
      <c r="AH161" s="209">
        <f>AH163*AH164+AH165*AH166</f>
        <v>0</v>
      </c>
      <c r="AI161" s="1269">
        <f>IF(AI154=0,0,AI151/AI154*AI162)</f>
        <v>0</v>
      </c>
      <c r="AJ161" s="1269">
        <f>IF(AJ154=0,0,AJ151/AJ154*AJ162)</f>
        <v>0</v>
      </c>
      <c r="AK161" s="1269">
        <f>IF(AK154=0,0,AK151/AK154*AK162)</f>
        <v>0</v>
      </c>
      <c r="AL161" s="1269">
        <f>IF(AL154=0,0,AL151/AL154*AL162)</f>
        <v>0</v>
      </c>
      <c r="AM161" s="1269">
        <f>IF(AM154=0,0,AM151/AM154*AM162)</f>
        <v>0</v>
      </c>
      <c r="AN161" s="1269">
        <f>IF(AN154=0,0,AN151/AN154*AN162)</f>
        <v>0</v>
      </c>
      <c r="AO161" s="1269">
        <f>IF(AO154=0,0,AO151/AO154*AO162)</f>
        <v>0</v>
      </c>
      <c r="AP161" s="1269">
        <f>IF(AP154=0,0,AP151/AP154*AP162)</f>
        <v>0</v>
      </c>
      <c r="AQ161" s="1269">
        <f>IF(AQ154=0,0,AQ151/AQ154*AQ162)</f>
        <v>0</v>
      </c>
      <c r="AR161" s="1269">
        <f>IF(AR154=0,0,AR151/AR154*AR162)</f>
        <v>0</v>
      </c>
      <c r="AS161" s="1269">
        <f>IF(AS154=0,0,AS151/AS154*AS162)</f>
        <v>0</v>
      </c>
      <c r="AT161" s="1269">
        <f>IF(AT154=0,0,AT151/AT154*AT162)</f>
        <v>0</v>
      </c>
      <c r="AU161" s="1269">
        <f>IF(AU154=0,0,AU151/AU154*AU162)</f>
        <v>0</v>
      </c>
      <c r="AV161" s="1269">
        <f>IF(AV154=0,0,AV151/AV154*AV162)</f>
        <v>0</v>
      </c>
      <c r="AW161" s="1269">
        <f>IF(AW154=0,0,AW151/AW154*AW162)</f>
        <v>0</v>
      </c>
      <c r="AX161" s="1269">
        <f>IF(AX154=0,0,AX151/AX154*AX162)</f>
        <v>0</v>
      </c>
      <c r="AY161" s="1269">
        <f>IF(AY154=0,0,AY151/AY154*AY162)</f>
        <v>0</v>
      </c>
      <c r="AZ161" s="1269">
        <f>IF(AZ154=0,0,AZ151/AZ154*AZ162)</f>
        <v>0</v>
      </c>
      <c r="BA161" s="1269">
        <f>IF(BA154=0,0,BA151/BA154*BA162)</f>
        <v>0</v>
      </c>
      <c r="BB161" s="1269">
        <f>IF(BB154=0,0,BB151/BB154*BB162)</f>
        <v>0</v>
      </c>
      <c r="BC161" s="1269">
        <f>IF(BC154=0,0,BC151/BC154*BC162)</f>
        <v>0</v>
      </c>
      <c r="BD161" s="785">
        <f>IF(AI161=0,0,(AT161-AI161)/AI161*100)</f>
        <v>0</v>
      </c>
      <c r="BE161" s="785">
        <f>IF(AT161=0,0,(AU161-AT161)/AT161*100)</f>
        <v>0</v>
      </c>
      <c r="BF161" s="785">
        <f>IF(AU161=0,0,(AV161-AU161)/AU161*100)</f>
        <v>0</v>
      </c>
      <c r="BG161" s="785">
        <f>IF(AV161=0,0,(AW161-AV161)/AV161*100)</f>
        <v>0</v>
      </c>
      <c r="BH161" s="785">
        <f>IF(AW161=0,0,(AX161-AW161)/AW161*100)</f>
        <v>0</v>
      </c>
      <c r="BI161" s="785">
        <f>IF(AX161=0,0,(AY161-AX161)/AX161*100)</f>
        <v>0</v>
      </c>
      <c r="BJ161" s="785">
        <f>IF(AY161=0,0,(AZ161-AY161)/AY161*100)</f>
        <v>0</v>
      </c>
      <c r="BK161" s="785">
        <f>IF(AZ161=0,0,(BA161-AZ161)/AZ161*100)</f>
        <v>0</v>
      </c>
      <c r="BL161" s="785">
        <f>IF(BA161=0,0,(BB161-BA161)/BA161*100)</f>
        <v>0</v>
      </c>
      <c r="BM161" s="785">
        <f>IF(BB161=0,0,(BC161-BB161)/BB161*100)</f>
        <v>0</v>
      </c>
      <c r="BN161" s="1257"/>
      <c r="BO161" s="1257"/>
      <c r="BP161" s="1257"/>
      <c r="BQ161" s="706"/>
      <c r="BR161" s="706"/>
      <c r="BS161" s="1071" t="s">
        <v>2141</v>
      </c>
      <c r="BT161" s="1078"/>
      <c r="BU161" s="1078"/>
      <c r="BV161" s="713"/>
      <c r="BW161" s="713"/>
    </row>
    <row s="706" customFormat="1" customHeight="1" ht="20.475" hidden="1">
      <c r="A162" s="706"/>
      <c r="B162" s="437"/>
      <c r="C162" s="105"/>
      <c r="D162" s="105">
        <f>D161+1</f>
        <v>13</v>
      </c>
      <c r="E162" s="833">
        <v>21</v>
      </c>
      <c r="F162" s="50" cm="1" t="str">
        <f t="array" ref="F162:F162">OFFSET(E162,-1,1)</f>
        <v>0</v>
      </c>
      <c r="G162" s="103" t="s">
        <v>1884</v>
      </c>
      <c r="H162" s="103"/>
      <c r="I162" s="103" t="s">
        <v>2444</v>
      </c>
      <c r="J162" s="105"/>
      <c r="K162" s="154" t="s">
        <v>2444</v>
      </c>
      <c r="L162" s="993" t="s">
        <v>2142</v>
      </c>
      <c r="M162" s="105"/>
      <c r="N162" s="105"/>
      <c r="O162" s="105"/>
      <c r="P162" s="105"/>
      <c r="Q162" s="105"/>
      <c r="R162" s="105"/>
      <c r="S162" s="105"/>
      <c r="T162" s="468" cm="1" t="str">
        <f t="array" ref="T162:T162">T161</f>
        <v>false</v>
      </c>
      <c r="U162" s="105"/>
      <c r="V162" s="105"/>
      <c r="W162" s="105"/>
      <c r="X162" s="1559"/>
      <c r="Y162" s="706"/>
      <c r="Z162" s="1529"/>
      <c r="AA162" s="706"/>
      <c r="AB162" s="207" cm="1" t="str">
        <f t="array" ref="AB162:AB162">D162</f>
        <v>13</v>
      </c>
      <c r="AC162" s="208" t="s">
        <v>2143</v>
      </c>
      <c r="AD162" s="207" t="s">
        <v>657</v>
      </c>
      <c r="AE162" s="792">
        <f>_xlfn.SUMIFS(Баланс!AE$26:AE$391,Баланс!$F$26:$F$391,$F162,Баланс!$G$26:$G$391,"население")</f>
        <v>0</v>
      </c>
      <c r="AF162" s="792">
        <f>_xlfn.SUMIFS(Баланс!AF$26:AF$391,Баланс!$F$26:$F$391,$F162,Баланс!$G$26:$G$391,"население")</f>
        <v>0</v>
      </c>
      <c r="AG162" s="792">
        <f>_xlfn.SUMIFS(Баланс!AG$26:AG$391,Баланс!$F$26:$F$391,$F162,Баланс!$G$26:$G$391,"население")</f>
        <v>0</v>
      </c>
      <c r="AH162" s="792">
        <f>AG162-AF162</f>
        <v>0</v>
      </c>
      <c r="AI162" s="792">
        <f>_xlfn.SUMIFS(Баланс!AH$26:AH$391,Баланс!$F$26:$F$391,$F162,Баланс!$G$26:$G$391,"население")</f>
        <v>0</v>
      </c>
      <c r="AJ162" s="792">
        <f>_xlfn.SUMIFS(Баланс!AI$26:AI$391,Баланс!$F$26:$F$391,$F162,Баланс!$G$26:$G$391,"население")</f>
        <v>0</v>
      </c>
      <c r="AK162" s="792">
        <f>_xlfn.SUMIFS(Баланс!AJ$26:AJ$391,Баланс!$F$26:$F$391,$F162,Баланс!$G$26:$G$391,"население")</f>
        <v>0</v>
      </c>
      <c r="AL162" s="792">
        <f>_xlfn.SUMIFS(Баланс!AK$26:AK$391,Баланс!$F$26:$F$391,$F162,Баланс!$G$26:$G$391,"население")</f>
        <v>0</v>
      </c>
      <c r="AM162" s="792">
        <f>_xlfn.SUMIFS(Баланс!AL$26:AL$391,Баланс!$F$26:$F$391,$F162,Баланс!$G$26:$G$391,"население")</f>
        <v>0</v>
      </c>
      <c r="AN162" s="792">
        <f>_xlfn.SUMIFS(Баланс!AM$26:AM$391,Баланс!$F$26:$F$391,$F162,Баланс!$G$26:$G$391,"население")</f>
        <v>0</v>
      </c>
      <c r="AO162" s="792">
        <f>_xlfn.SUMIFS(Баланс!AN$26:AN$391,Баланс!$F$26:$F$391,$F162,Баланс!$G$26:$G$391,"население")</f>
        <v>0</v>
      </c>
      <c r="AP162" s="792">
        <f>_xlfn.SUMIFS(Баланс!AO$26:AO$391,Баланс!$F$26:$F$391,$F162,Баланс!$G$26:$G$391,"население")</f>
        <v>0</v>
      </c>
      <c r="AQ162" s="792">
        <f>_xlfn.SUMIFS(Баланс!AP$26:AP$391,Баланс!$F$26:$F$391,$F162,Баланс!$G$26:$G$391,"население")</f>
        <v>0</v>
      </c>
      <c r="AR162" s="792">
        <f>_xlfn.SUMIFS(Баланс!AQ$26:AQ$391,Баланс!$F$26:$F$391,$F162,Баланс!$G$26:$G$391,"население")</f>
        <v>0</v>
      </c>
      <c r="AS162" s="792">
        <f>_xlfn.SUMIFS(Баланс!AR$26:AR$391,Баланс!$F$26:$F$391,$F162,Баланс!$G$26:$G$391,"население")</f>
        <v>0</v>
      </c>
      <c r="AT162" s="792">
        <f>_xlfn.SUMIFS(Баланс!AS$26:AS$391,Баланс!$F$26:$F$391,$F162,Баланс!$G$26:$G$391,"население")</f>
        <v>0</v>
      </c>
      <c r="AU162" s="792">
        <f>_xlfn.SUMIFS(Баланс!AT$26:AT$391,Баланс!$F$26:$F$391,$F162,Баланс!$G$26:$G$391,"население")</f>
        <v>0</v>
      </c>
      <c r="AV162" s="792">
        <f>_xlfn.SUMIFS(Баланс!AU$26:AU$391,Баланс!$F$26:$F$391,$F162,Баланс!$G$26:$G$391,"население")</f>
        <v>0</v>
      </c>
      <c r="AW162" s="792">
        <f>_xlfn.SUMIFS(Баланс!AV$26:AV$391,Баланс!$F$26:$F$391,$F162,Баланс!$G$26:$G$391,"население")</f>
        <v>0</v>
      </c>
      <c r="AX162" s="792">
        <f>_xlfn.SUMIFS(Баланс!AW$26:AW$391,Баланс!$F$26:$F$391,$F162,Баланс!$G$26:$G$391,"население")</f>
        <v>0</v>
      </c>
      <c r="AY162" s="792">
        <f>_xlfn.SUMIFS(Баланс!AX$26:AX$391,Баланс!$F$26:$F$391,$F162,Баланс!$G$26:$G$391,"население")</f>
        <v>0</v>
      </c>
      <c r="AZ162" s="792">
        <f>_xlfn.SUMIFS(Баланс!AY$26:AY$391,Баланс!$F$26:$F$391,$F162,Баланс!$G$26:$G$391,"население")</f>
        <v>0</v>
      </c>
      <c r="BA162" s="792">
        <f>_xlfn.SUMIFS(Баланс!AZ$26:AZ$391,Баланс!$F$26:$F$391,$F162,Баланс!$G$26:$G$391,"население")</f>
        <v>0</v>
      </c>
      <c r="BB162" s="792">
        <f>_xlfn.SUMIFS(Баланс!BA$26:BA$391,Баланс!$F$26:$F$391,$F162,Баланс!$G$26:$G$391,"население")</f>
        <v>0</v>
      </c>
      <c r="BC162" s="792">
        <f>_xlfn.SUMIFS(Баланс!BB$26:BB$391,Баланс!$F$26:$F$391,$F162,Баланс!$G$26:$G$391,"население")</f>
        <v>0</v>
      </c>
      <c r="BD162" s="212"/>
      <c r="BE162" s="212"/>
      <c r="BF162" s="212"/>
      <c r="BG162" s="212"/>
      <c r="BH162" s="212"/>
      <c r="BI162" s="212"/>
      <c r="BJ162" s="212"/>
      <c r="BK162" s="212"/>
      <c r="BL162" s="212"/>
      <c r="BM162" s="212"/>
      <c r="BN162" s="1257"/>
      <c r="BO162" s="1257"/>
      <c r="BP162" s="1257"/>
      <c r="BQ162" s="706"/>
      <c r="BR162" s="706"/>
      <c r="BS162" s="1071" t="s">
        <v>2144</v>
      </c>
      <c r="BT162" s="1078"/>
      <c r="BU162" s="1078"/>
      <c r="BV162" s="713"/>
      <c r="BW162" s="713"/>
    </row>
    <row customHeight="1" ht="14.625" hidden="1">
      <c r="A163" s="1297"/>
      <c r="B163" s="986"/>
      <c r="C163" s="103"/>
      <c r="D163" s="103" cm="1" t="str">
        <f t="array" ref="D163:D163">D162</f>
        <v>13</v>
      </c>
      <c r="E163" s="626">
        <v>15</v>
      </c>
      <c r="F163" s="50" cm="1" t="str">
        <f t="array" ref="F163:F163">OFFSET(E163,-1,1)</f>
        <v>0</v>
      </c>
      <c r="G163" s="103" t="s">
        <v>1918</v>
      </c>
      <c r="H163" s="103"/>
      <c r="I163" s="103" t="s">
        <v>2445</v>
      </c>
      <c r="J163" s="103"/>
      <c r="K163" s="154" t="s">
        <v>2445</v>
      </c>
      <c r="L163" s="988" t="s">
        <v>2145</v>
      </c>
      <c r="M163" s="103"/>
      <c r="N163" s="103"/>
      <c r="O163" s="103"/>
      <c r="P163" s="103"/>
      <c r="Q163" s="103"/>
      <c r="R163" s="103"/>
      <c r="S163" s="103"/>
      <c r="T163" s="468" cm="1" t="str">
        <f t="array" ref="T163:T163">T162</f>
        <v>false</v>
      </c>
      <c r="U163" s="103"/>
      <c r="V163" s="103"/>
      <c r="W163" s="103"/>
      <c r="X163" s="1559"/>
      <c r="Y163" s="1297"/>
      <c r="Z163" s="1529"/>
      <c r="AA163" s="1297"/>
      <c r="AB163" s="296" t="str">
        <f>D163&amp;".1"</f>
        <v>13.1</v>
      </c>
      <c r="AC163" s="1120" t="s">
        <v>2147</v>
      </c>
      <c r="AD163" s="296" t="s">
        <v>657</v>
      </c>
      <c r="AE163" s="1258">
        <f>IF(AE$24="2026 год",AE162/12*9,AE162/2)</f>
        <v>0</v>
      </c>
      <c r="AF163" s="1258">
        <f>IF(AF$24="2026 год",AF162/12*9,AF162/2)</f>
        <v>0</v>
      </c>
      <c r="AG163" s="1258">
        <f>IF(AG$24="2026 год",AG162/12*9,AG162/2)</f>
        <v>0</v>
      </c>
      <c r="AH163" s="1122">
        <f>AG163-AF163</f>
        <v>0</v>
      </c>
      <c r="AI163" s="1258">
        <f>IF(AI$24="2026 год",AI162/12*9,AI162/2)</f>
        <v>0</v>
      </c>
      <c r="AJ163" s="1258">
        <f>IF(AJ$24="2026 год",AJ162/12*9,AJ162/2)</f>
        <v>0</v>
      </c>
      <c r="AK163" s="1258">
        <f>IF(AK$24="2026 год",AK162/12*9,AK162/2)</f>
        <v>0</v>
      </c>
      <c r="AL163" s="1258">
        <f>IF(AL$24="2026 год",AL162/12*9,AL162/2)</f>
        <v>0</v>
      </c>
      <c r="AM163" s="1258">
        <f>IF(AM$24="2026 год",AM162/12*9,AM162/2)</f>
        <v>0</v>
      </c>
      <c r="AN163" s="1258">
        <f>IF(AN$24="2026 год",AN162/12*9,AN162/2)</f>
        <v>0</v>
      </c>
      <c r="AO163" s="1258">
        <f>IF(AO$24="2026 год",AO162/12*9,AO162/2)</f>
        <v>0</v>
      </c>
      <c r="AP163" s="1258">
        <f>IF(AP$24="2026 год",AP162/12*9,AP162/2)</f>
        <v>0</v>
      </c>
      <c r="AQ163" s="1258">
        <f>IF(AQ$24="2026 год",AQ162/12*9,AQ162/2)</f>
        <v>0</v>
      </c>
      <c r="AR163" s="1258">
        <f>IF(AR$24="2026 год",AR162/12*9,AR162/2)</f>
        <v>0</v>
      </c>
      <c r="AS163" s="1258">
        <f>IF(AS$24="2026 год",AS162/12*9,AS162/2)</f>
        <v>0</v>
      </c>
      <c r="AT163" s="1280">
        <f>IF(AT$24="2026 год",AT162/12*9,AT162/2)</f>
        <v>0</v>
      </c>
      <c r="AU163" s="1280">
        <f>IF(AU$24="2026 год",AU162/12*9,AU162/2)</f>
        <v>0</v>
      </c>
      <c r="AV163" s="1258">
        <f>IF(AV$24="2026 год",AV162/12*9,AV162/2)</f>
        <v>0</v>
      </c>
      <c r="AW163" s="1258">
        <f>IF(AW$24="2026 год",AW162/12*9,AW162/2)</f>
        <v>0</v>
      </c>
      <c r="AX163" s="1258">
        <f>IF(AX$24="2026 год",AX162/12*9,AX162/2)</f>
        <v>0</v>
      </c>
      <c r="AY163" s="1258">
        <f>IF(AY$24="2026 год",AY162/12*9,AY162/2)</f>
        <v>0</v>
      </c>
      <c r="AZ163" s="1258">
        <f>IF(AZ$24="2026 год",AZ162/12*9,AZ162/2)</f>
        <v>0</v>
      </c>
      <c r="BA163" s="1258">
        <f>IF(BA$24="2026 год",BA162/12*9,BA162/2)</f>
        <v>0</v>
      </c>
      <c r="BB163" s="1258">
        <f>IF(BB$24="2026 год",BB162/12*9,BB162/2)</f>
        <v>0</v>
      </c>
      <c r="BC163" s="1258">
        <f>IF(BC$24="2026 год",BC162/12*9,BC162/2)</f>
        <v>0</v>
      </c>
      <c r="BD163" s="1124"/>
      <c r="BE163" s="1124"/>
      <c r="BF163" s="1124"/>
      <c r="BG163" s="1124"/>
      <c r="BH163" s="1124"/>
      <c r="BI163" s="1124"/>
      <c r="BJ163" s="1124"/>
      <c r="BK163" s="1124"/>
      <c r="BL163" s="1124"/>
      <c r="BM163" s="1124"/>
      <c r="BN163" s="1257"/>
      <c r="BO163" s="1257"/>
      <c r="BP163" s="1257"/>
      <c r="BQ163" s="1297"/>
      <c r="BR163" s="1297"/>
      <c r="BS163" s="1070" t="s">
        <v>2148</v>
      </c>
      <c r="BT163" s="1072"/>
      <c r="BU163" s="1072"/>
      <c r="BV163" s="987"/>
      <c r="BW163" s="987"/>
    </row>
    <row customHeight="1" ht="14.625" hidden="1">
      <c r="A164" s="1297"/>
      <c r="B164" s="986"/>
      <c r="C164" s="103"/>
      <c r="D164" s="103" cm="1" t="str">
        <f t="array" ref="D164:D164">D163</f>
        <v>13</v>
      </c>
      <c r="E164" s="626">
        <v>15</v>
      </c>
      <c r="F164" s="50" cm="1" t="str">
        <f t="array" ref="F164:F164">OFFSET(E164,-1,1)</f>
        <v>0</v>
      </c>
      <c r="G164" s="103" t="s">
        <v>1874</v>
      </c>
      <c r="H164" s="103"/>
      <c r="I164" s="103" t="s">
        <v>2446</v>
      </c>
      <c r="J164" s="103"/>
      <c r="K164" s="154" t="s">
        <v>2446</v>
      </c>
      <c r="L164" s="988" t="s">
        <v>2149</v>
      </c>
      <c r="M164" s="103"/>
      <c r="N164" s="103"/>
      <c r="O164" s="103"/>
      <c r="P164" s="103"/>
      <c r="Q164" s="103"/>
      <c r="R164" s="103"/>
      <c r="S164" s="103"/>
      <c r="T164" s="468" cm="1" t="str">
        <f t="array" ref="T164:T164">T163</f>
        <v>false</v>
      </c>
      <c r="U164" s="103"/>
      <c r="V164" s="103"/>
      <c r="W164" s="103"/>
      <c r="X164" s="1559"/>
      <c r="Y164" s="1297"/>
      <c r="Z164" s="1529"/>
      <c r="AA164" s="1297"/>
      <c r="AB164" s="296" t="str">
        <f>D164&amp;".2"</f>
        <v>13.2</v>
      </c>
      <c r="AC164" s="1120" t="s">
        <v>2151</v>
      </c>
      <c r="AD164" s="296" t="s">
        <v>1862</v>
      </c>
      <c r="AE164" s="1260">
        <f>IF(AE162=0,0,AE156*(1+Сценарии!AE$26/100))</f>
        <v>0</v>
      </c>
      <c r="AF164" s="1281">
        <f>IF(AF162=0,0,AF156*(1+Сценарии!AF$26/100))</f>
        <v>0</v>
      </c>
      <c r="AG164" s="1281">
        <f>IF(AG162=0,0,AG156*(1+Сценарии!AG$26/100))</f>
        <v>0</v>
      </c>
      <c r="AH164" s="1123">
        <f>AG164-AF164</f>
        <v>0</v>
      </c>
      <c r="AI164" s="1260">
        <f>IF(AI162=0,0,AI156*(1+Сценарии!AI$26/100))</f>
        <v>0</v>
      </c>
      <c r="AJ164" s="1281">
        <f>IF(AJ162=0,0,AJ156*(1+Сценарии!AJ$26/100))</f>
        <v>0</v>
      </c>
      <c r="AK164" s="1281">
        <f>IF(AK162=0,0,AK156*(1+Сценарии!AO$26/100))</f>
        <v>0</v>
      </c>
      <c r="AL164" s="1281">
        <f>IF(AL162=0,0,AL156*(1+Сценарии!AP$26/100))</f>
        <v>0</v>
      </c>
      <c r="AM164" s="1281">
        <f>IF(AM162=0,0,AM156*(1+Сценарии!AQ$26/100))</f>
        <v>0</v>
      </c>
      <c r="AN164" s="1281">
        <f>IF(AN162=0,0,AN156*(1+Сценарии!AR$26/100))</f>
        <v>0</v>
      </c>
      <c r="AO164" s="1281">
        <f>IF(AO162=0,0,AO156*(1+Сценарии!AS$26/100))</f>
        <v>0</v>
      </c>
      <c r="AP164" s="1281">
        <f>IF(AP162=0,0,AP156*(1+Сценарии!AT$26/100))</f>
        <v>0</v>
      </c>
      <c r="AQ164" s="1281">
        <f>IF(AQ162=0,0,AQ156*(1+Сценарии!AU$26/100))</f>
        <v>0</v>
      </c>
      <c r="AR164" s="1281">
        <f>IF(AR162=0,0,AR156*(1+Сценарии!AV$26/100))</f>
        <v>0</v>
      </c>
      <c r="AS164" s="1281">
        <f>IF(AS162=0,0,AS156*(1+Сценарии!AW$26/100))</f>
        <v>0</v>
      </c>
      <c r="AT164" s="1260">
        <f>IF(AT162=0,0,AT156*(1+Сценарии!AK$26/100))</f>
        <v>0</v>
      </c>
      <c r="AU164" s="1260">
        <f>IF(AU162=0,0,AU156*(1+Сценарии!AX$26/100))</f>
        <v>0</v>
      </c>
      <c r="AV164" s="1281">
        <f>IF(AV162=0,0,AV156*(1+Сценарии!AY$26/100))</f>
        <v>0</v>
      </c>
      <c r="AW164" s="1281">
        <f>IF(AW162=0,0,AW156*(1+Сценарии!AZ$26/100))</f>
        <v>0</v>
      </c>
      <c r="AX164" s="1281">
        <f>IF(AX162=0,0,AX156*(1+Сценарии!BA$26/100))</f>
        <v>0</v>
      </c>
      <c r="AY164" s="1281">
        <f>IF(AY162=0,0,AY156*(1+Сценарии!BB$26/100))</f>
        <v>0</v>
      </c>
      <c r="AZ164" s="1281">
        <f>IF(AZ162=0,0,AZ156*(1+Сценарии!BC$26/100))</f>
        <v>0</v>
      </c>
      <c r="BA164" s="1281">
        <f>IF(BA162=0,0,BA156*(1+Сценарии!BD$26/100))</f>
        <v>0</v>
      </c>
      <c r="BB164" s="1281">
        <f>IF(BB162=0,0,BB156*(1+Сценарии!BE$26/100))</f>
        <v>0</v>
      </c>
      <c r="BC164" s="1281">
        <f>IF(BC162=0,0,BC156*(1+Сценарии!BF$26/100))</f>
        <v>0</v>
      </c>
      <c r="BD164" s="1124"/>
      <c r="BE164" s="1124"/>
      <c r="BF164" s="1124"/>
      <c r="BG164" s="1124"/>
      <c r="BH164" s="1124"/>
      <c r="BI164" s="1124"/>
      <c r="BJ164" s="1124"/>
      <c r="BK164" s="1124"/>
      <c r="BL164" s="1124"/>
      <c r="BM164" s="1124"/>
      <c r="BN164" s="1257"/>
      <c r="BO164" s="1257"/>
      <c r="BP164" s="1257"/>
      <c r="BQ164" s="1297"/>
      <c r="BR164" s="1297"/>
      <c r="BS164" s="1070" t="s">
        <v>2152</v>
      </c>
      <c r="BT164" s="1072"/>
      <c r="BU164" s="1072"/>
      <c r="BV164" s="987"/>
      <c r="BW164" s="987"/>
    </row>
    <row customHeight="1" ht="14.625" hidden="1">
      <c r="A165" s="1297"/>
      <c r="B165" s="986"/>
      <c r="C165" s="103"/>
      <c r="D165" s="103" cm="1" t="str">
        <f t="array" ref="D165:D165">D164</f>
        <v>13</v>
      </c>
      <c r="E165" s="626">
        <v>15</v>
      </c>
      <c r="F165" s="50" cm="1" t="str">
        <f t="array" ref="F165:F165">OFFSET(E165,-1,1)</f>
        <v>0</v>
      </c>
      <c r="G165" s="103" t="s">
        <v>1925</v>
      </c>
      <c r="H165" s="103"/>
      <c r="I165" s="103" t="s">
        <v>2447</v>
      </c>
      <c r="J165" s="103"/>
      <c r="K165" s="103" t="s">
        <v>2447</v>
      </c>
      <c r="L165" s="988" t="s">
        <v>2153</v>
      </c>
      <c r="M165" s="103"/>
      <c r="N165" s="103"/>
      <c r="O165" s="103"/>
      <c r="P165" s="103"/>
      <c r="Q165" s="103"/>
      <c r="R165" s="103"/>
      <c r="S165" s="103"/>
      <c r="T165" s="468" cm="1" t="str">
        <f t="array" ref="T165:T165">T164</f>
        <v>false</v>
      </c>
      <c r="U165" s="103"/>
      <c r="V165" s="103"/>
      <c r="W165" s="103"/>
      <c r="X165" s="1559"/>
      <c r="Y165" s="1297"/>
      <c r="Z165" s="1529"/>
      <c r="AA165" s="1297"/>
      <c r="AB165" s="296" t="str">
        <f>D165&amp;".3"</f>
        <v>13.3</v>
      </c>
      <c r="AC165" s="1120" t="s">
        <v>2125</v>
      </c>
      <c r="AD165" s="296" t="s">
        <v>657</v>
      </c>
      <c r="AE165" s="1122">
        <f>AE162-AE163</f>
        <v>0</v>
      </c>
      <c r="AF165" s="1122">
        <f>AF162-AF163</f>
        <v>0</v>
      </c>
      <c r="AG165" s="1122">
        <f>AG162-AG163</f>
        <v>0</v>
      </c>
      <c r="AH165" s="1122">
        <f>AG165-AF165</f>
        <v>0</v>
      </c>
      <c r="AI165" s="1122">
        <f>AI162-AI163</f>
        <v>0</v>
      </c>
      <c r="AJ165" s="1122">
        <f>AJ162-AJ163</f>
        <v>0</v>
      </c>
      <c r="AK165" s="1122">
        <f>AK162-AK163</f>
        <v>0</v>
      </c>
      <c r="AL165" s="1122">
        <f>AL162-AL163</f>
        <v>0</v>
      </c>
      <c r="AM165" s="1122">
        <f>AM162-AM163</f>
        <v>0</v>
      </c>
      <c r="AN165" s="1122">
        <f>AN162-AN163</f>
        <v>0</v>
      </c>
      <c r="AO165" s="1122">
        <f>AO162-AO163</f>
        <v>0</v>
      </c>
      <c r="AP165" s="1122">
        <f>AP162-AP163</f>
        <v>0</v>
      </c>
      <c r="AQ165" s="1122">
        <f>AQ162-AQ163</f>
        <v>0</v>
      </c>
      <c r="AR165" s="1122">
        <f>AR162-AR163</f>
        <v>0</v>
      </c>
      <c r="AS165" s="1122">
        <f>AS162-AS163</f>
        <v>0</v>
      </c>
      <c r="AT165" s="1122">
        <f>AT162-AT163</f>
        <v>0</v>
      </c>
      <c r="AU165" s="1122">
        <f>AU162-AU163</f>
        <v>0</v>
      </c>
      <c r="AV165" s="1122">
        <f>AV162-AV163</f>
        <v>0</v>
      </c>
      <c r="AW165" s="1122">
        <f>AW162-AW163</f>
        <v>0</v>
      </c>
      <c r="AX165" s="1122">
        <f>AX162-AX163</f>
        <v>0</v>
      </c>
      <c r="AY165" s="1122">
        <f>AY162-AY163</f>
        <v>0</v>
      </c>
      <c r="AZ165" s="1122">
        <f>AZ162-AZ163</f>
        <v>0</v>
      </c>
      <c r="BA165" s="1122">
        <f>BA162-BA163</f>
        <v>0</v>
      </c>
      <c r="BB165" s="1122">
        <f>BB162-BB163</f>
        <v>0</v>
      </c>
      <c r="BC165" s="1122">
        <f>BC162-BC163</f>
        <v>0</v>
      </c>
      <c r="BD165" s="1124"/>
      <c r="BE165" s="1124"/>
      <c r="BF165" s="1124"/>
      <c r="BG165" s="1124"/>
      <c r="BH165" s="1124"/>
      <c r="BI165" s="1124"/>
      <c r="BJ165" s="1124"/>
      <c r="BK165" s="1124"/>
      <c r="BL165" s="1124"/>
      <c r="BM165" s="1124"/>
      <c r="BN165" s="1257"/>
      <c r="BO165" s="1257"/>
      <c r="BP165" s="1257"/>
      <c r="BQ165" s="1297"/>
      <c r="BR165" s="1297"/>
      <c r="BS165" s="1070" t="s">
        <v>2155</v>
      </c>
      <c r="BT165" s="1072"/>
      <c r="BU165" s="1072"/>
      <c r="BV165" s="987"/>
      <c r="BW165" s="987"/>
    </row>
    <row customHeight="1" ht="14.625" hidden="1">
      <c r="A166" s="1297"/>
      <c r="B166" s="986"/>
      <c r="C166" s="103"/>
      <c r="D166" s="103" cm="1" t="str">
        <f t="array" ref="D166:D166">D165</f>
        <v>13</v>
      </c>
      <c r="E166" s="626">
        <v>15</v>
      </c>
      <c r="F166" s="50" cm="1" t="str">
        <f t="array" ref="F166:F166">OFFSET(E166,-1,1)</f>
        <v>0</v>
      </c>
      <c r="G166" s="103" t="s">
        <v>1878</v>
      </c>
      <c r="H166" s="103"/>
      <c r="I166" s="103" t="s">
        <v>2448</v>
      </c>
      <c r="J166" s="103"/>
      <c r="K166" s="103" t="s">
        <v>2448</v>
      </c>
      <c r="L166" s="988" t="s">
        <v>2156</v>
      </c>
      <c r="M166" s="103"/>
      <c r="N166" s="103"/>
      <c r="O166" s="103"/>
      <c r="P166" s="103"/>
      <c r="Q166" s="103"/>
      <c r="R166" s="103"/>
      <c r="S166" s="103"/>
      <c r="T166" s="468" cm="1" t="str">
        <f t="array" ref="T166:T166">T165</f>
        <v>false</v>
      </c>
      <c r="U166" s="103"/>
      <c r="V166" s="103"/>
      <c r="W166" s="103"/>
      <c r="X166" s="1559"/>
      <c r="Y166" s="1297"/>
      <c r="Z166" s="1529"/>
      <c r="AA166" s="1297"/>
      <c r="AB166" s="296" t="str">
        <f>D166&amp;".4"</f>
        <v>13.4</v>
      </c>
      <c r="AC166" s="1120" t="s">
        <v>2129</v>
      </c>
      <c r="AD166" s="296" t="s">
        <v>1862</v>
      </c>
      <c r="AE166" s="1260">
        <f>IF(AE162=0,0,AE158*(1+Сценарии!AE$26/100))</f>
        <v>0</v>
      </c>
      <c r="AF166" s="1281">
        <f>IF(AF162=0,0,AF158*(1+Сценарии!AF$26/100))</f>
        <v>0</v>
      </c>
      <c r="AG166" s="1281">
        <f>IF(AG162=0,0,AG158*(1+Сценарии!AG$26/100))</f>
        <v>0</v>
      </c>
      <c r="AH166" s="1123">
        <f>AG166-AF166</f>
        <v>0</v>
      </c>
      <c r="AI166" s="1260">
        <f>IF(AI162=0,0,AI158*(1+Сценарии!AI$26/100))</f>
        <v>0</v>
      </c>
      <c r="AJ166" s="1281">
        <f>IF(AJ162=0,0,AJ158*(1+Сценарии!AJ$26/100))</f>
        <v>0</v>
      </c>
      <c r="AK166" s="1260">
        <f>IF(AK162=0,0,AK158*(1+Сценарии!AO$26/100))</f>
        <v>0</v>
      </c>
      <c r="AL166" s="1281">
        <f>IF(AL162=0,0,AL158*(1+Сценарии!AP$26/100))</f>
        <v>0</v>
      </c>
      <c r="AM166" s="1281">
        <f>IF(AM162=0,0,AM158*(1+Сценарии!AQ$26/100))</f>
        <v>0</v>
      </c>
      <c r="AN166" s="1281">
        <f>IF(AN162=0,0,AN158*(1+Сценарии!AR$26/100))</f>
        <v>0</v>
      </c>
      <c r="AO166" s="1281">
        <f>IF(AO162=0,0,AO158*(1+Сценарии!AS$26/100))</f>
        <v>0</v>
      </c>
      <c r="AP166" s="1281">
        <f>IF(AP162=0,0,AP158*(1+Сценарии!AT$26/100))</f>
        <v>0</v>
      </c>
      <c r="AQ166" s="1281">
        <f>IF(AQ162=0,0,AQ158*(1+Сценарии!AU$26/100))</f>
        <v>0</v>
      </c>
      <c r="AR166" s="1281">
        <f>IF(AR162=0,0,AR158*(1+Сценарии!AV$26/100))</f>
        <v>0</v>
      </c>
      <c r="AS166" s="1281">
        <f>IF(AS162=0,0,AS158*(1+Сценарии!AW$26/100))</f>
        <v>0</v>
      </c>
      <c r="AT166" s="1260">
        <f>IF(AT162=0,0,AT158*(1+Сценарии!AK$26/100))</f>
        <v>0</v>
      </c>
      <c r="AU166" s="1260">
        <f>IF(AU162=0,0,AU158*(1+Сценарии!AX$26/100))</f>
        <v>0</v>
      </c>
      <c r="AV166" s="1281">
        <f>IF(AV162=0,0,AV158*(1+Сценарии!AY$26/100))</f>
        <v>0</v>
      </c>
      <c r="AW166" s="1281">
        <f>IF(AW162=0,0,AW158*(1+Сценарии!AZ$26/100))</f>
        <v>0</v>
      </c>
      <c r="AX166" s="1281">
        <f>IF(AX162=0,0,AX158*(1+Сценарии!BA$26/100))</f>
        <v>0</v>
      </c>
      <c r="AY166" s="1281">
        <f>IF(AY162=0,0,AY158*(1+Сценарии!BB$26/100))</f>
        <v>0</v>
      </c>
      <c r="AZ166" s="1281">
        <f>IF(AZ162=0,0,AZ158*(1+Сценарии!BC$26/100))</f>
        <v>0</v>
      </c>
      <c r="BA166" s="1281">
        <f>IF(BA162=0,0,BA158*(1+Сценарии!BD$26/100))</f>
        <v>0</v>
      </c>
      <c r="BB166" s="1281">
        <f>IF(BB162=0,0,BB158*(1+Сценарии!BE$26/100))</f>
        <v>0</v>
      </c>
      <c r="BC166" s="1281">
        <f>IF(BC162=0,0,BC158*(1+Сценарии!BF$26/100))</f>
        <v>0</v>
      </c>
      <c r="BD166" s="1124"/>
      <c r="BE166" s="1124"/>
      <c r="BF166" s="1124"/>
      <c r="BG166" s="1124"/>
      <c r="BH166" s="1124"/>
      <c r="BI166" s="1124"/>
      <c r="BJ166" s="1124"/>
      <c r="BK166" s="1124"/>
      <c r="BL166" s="1124"/>
      <c r="BM166" s="1124"/>
      <c r="BN166" s="1257"/>
      <c r="BO166" s="1257"/>
      <c r="BP166" s="1257"/>
      <c r="BQ166" s="1297"/>
      <c r="BR166" s="1297"/>
      <c r="BS166" s="1070" t="s">
        <v>2159</v>
      </c>
      <c r="BT166" s="1072"/>
      <c r="BU166" s="1072"/>
      <c r="BV166" s="987"/>
      <c r="BW166" s="987"/>
    </row>
    <row customHeight="1" ht="14.625" hidden="1">
      <c r="A167" s="1297"/>
      <c r="B167" s="986"/>
      <c r="C167" s="103"/>
      <c r="D167" s="103">
        <f>D166+1</f>
        <v>14</v>
      </c>
      <c r="E167" s="626">
        <v>15</v>
      </c>
      <c r="F167" s="50" cm="1" t="str">
        <f t="array" ref="F167:F167">OFFSET(E167,-1,1)</f>
        <v>0</v>
      </c>
      <c r="G167" s="103"/>
      <c r="H167" s="103"/>
      <c r="I167" s="103"/>
      <c r="J167" s="103"/>
      <c r="K167" s="103"/>
      <c r="L167" s="988"/>
      <c r="M167" s="103"/>
      <c r="N167" s="103"/>
      <c r="O167" s="103"/>
      <c r="P167" s="103"/>
      <c r="Q167" s="103"/>
      <c r="R167" s="103"/>
      <c r="S167" s="103"/>
      <c r="T167" s="468" cm="1" t="str">
        <f t="array" ref="T167:T167">T166</f>
        <v>false</v>
      </c>
      <c r="U167" s="103"/>
      <c r="V167" s="103"/>
      <c r="W167" s="103"/>
      <c r="X167" s="1559"/>
      <c r="Y167" s="1297"/>
      <c r="Z167" s="1529"/>
      <c r="AA167" s="1297"/>
      <c r="AB167" s="207" cm="1" t="str">
        <f t="array" ref="AB167:AB167">D167</f>
        <v>14</v>
      </c>
      <c r="AC167" s="208" t="s">
        <v>2160</v>
      </c>
      <c r="AD167" s="207" t="s">
        <v>936</v>
      </c>
      <c r="AE167" s="1260"/>
      <c r="AF167" s="1260"/>
      <c r="AG167" s="1260"/>
      <c r="AH167" s="1123">
        <f>AG167-AF167</f>
        <v>0</v>
      </c>
      <c r="AI167" s="1260"/>
      <c r="AJ167" s="1260"/>
      <c r="AK167" s="1260"/>
      <c r="AL167" s="1260"/>
      <c r="AM167" s="1260"/>
      <c r="AN167" s="1260"/>
      <c r="AO167" s="1260"/>
      <c r="AP167" s="1260"/>
      <c r="AQ167" s="1260"/>
      <c r="AR167" s="1260"/>
      <c r="AS167" s="1260"/>
      <c r="AT167" s="1260"/>
      <c r="AU167" s="1260"/>
      <c r="AV167" s="1260"/>
      <c r="AW167" s="1260"/>
      <c r="AX167" s="1260"/>
      <c r="AY167" s="1260"/>
      <c r="AZ167" s="1260"/>
      <c r="BA167" s="1260"/>
      <c r="BB167" s="1260"/>
      <c r="BC167" s="1260"/>
      <c r="BD167" s="1124"/>
      <c r="BE167" s="1124"/>
      <c r="BF167" s="1124"/>
      <c r="BG167" s="1124"/>
      <c r="BH167" s="1124"/>
      <c r="BI167" s="1124"/>
      <c r="BJ167" s="1124"/>
      <c r="BK167" s="1124"/>
      <c r="BL167" s="1124"/>
      <c r="BM167" s="1124"/>
      <c r="BN167" s="1257"/>
      <c r="BO167" s="1257"/>
      <c r="BP167" s="1257"/>
      <c r="BQ167" s="1297"/>
      <c r="BR167" s="1297"/>
      <c r="BS167" s="1070" t="s">
        <v>2161</v>
      </c>
      <c r="BT167" s="1072"/>
      <c r="BU167" s="1072"/>
      <c r="BV167" s="987"/>
      <c r="BW167" s="987"/>
    </row>
    <row s="1252" customFormat="1" customHeight="1" ht="20.475" hidden="1">
      <c r="A168" s="1252"/>
      <c r="B168" s="760"/>
      <c r="C168" s="103"/>
      <c r="D168" s="103" cm="1" t="str">
        <f t="array" ref="D168:D168">D167</f>
        <v>14</v>
      </c>
      <c r="E168" s="626">
        <v>21</v>
      </c>
      <c r="F168" s="50" cm="1" t="str">
        <f t="array" ref="F168:F168">OFFSET(E168,-1,1)</f>
        <v>0</v>
      </c>
      <c r="G168" s="103"/>
      <c r="H168" s="103"/>
      <c r="I168" s="103"/>
      <c r="J168" s="103"/>
      <c r="K168" s="103"/>
      <c r="L168" s="988"/>
      <c r="M168" s="103"/>
      <c r="N168" s="103"/>
      <c r="O168" s="103"/>
      <c r="P168" s="103"/>
      <c r="Q168" s="103"/>
      <c r="R168" s="103"/>
      <c r="S168" s="103"/>
      <c r="T168" s="468" cm="1" t="str">
        <f t="array" ref="T168:T168">T167</f>
        <v>false</v>
      </c>
      <c r="U168" s="103"/>
      <c r="V168" s="103"/>
      <c r="W168" s="103"/>
      <c r="X168" s="1559"/>
      <c r="Y168" s="1252"/>
      <c r="Z168" s="1529"/>
      <c r="AA168" s="1252"/>
      <c r="AB168" s="296" t="str">
        <f>D168&amp;".1"</f>
        <v>14.1</v>
      </c>
      <c r="AC168" s="769" t="s">
        <v>2163</v>
      </c>
      <c r="AD168" s="296" t="s">
        <v>936</v>
      </c>
      <c r="AE168" s="1260"/>
      <c r="AF168" s="1260"/>
      <c r="AG168" s="1260"/>
      <c r="AH168" s="1123">
        <f>AG168-AF168</f>
        <v>0</v>
      </c>
      <c r="AI168" s="1260"/>
      <c r="AJ168" s="1260"/>
      <c r="AK168" s="1260"/>
      <c r="AL168" s="1260"/>
      <c r="AM168" s="1260"/>
      <c r="AN168" s="1260"/>
      <c r="AO168" s="1260"/>
      <c r="AP168" s="1260"/>
      <c r="AQ168" s="1260"/>
      <c r="AR168" s="1260"/>
      <c r="AS168" s="1260"/>
      <c r="AT168" s="1260"/>
      <c r="AU168" s="1260"/>
      <c r="AV168" s="1260"/>
      <c r="AW168" s="1260"/>
      <c r="AX168" s="1260"/>
      <c r="AY168" s="1260"/>
      <c r="AZ168" s="1260"/>
      <c r="BA168" s="1260"/>
      <c r="BB168" s="1260"/>
      <c r="BC168" s="1260"/>
      <c r="BD168" s="1124"/>
      <c r="BE168" s="1124"/>
      <c r="BF168" s="1124"/>
      <c r="BG168" s="1124"/>
      <c r="BH168" s="1124"/>
      <c r="BI168" s="1124"/>
      <c r="BJ168" s="1124"/>
      <c r="BK168" s="1124"/>
      <c r="BL168" s="1124"/>
      <c r="BM168" s="1124"/>
      <c r="BN168" s="1257"/>
      <c r="BO168" s="1257"/>
      <c r="BP168" s="1257"/>
      <c r="BQ168" s="1252"/>
      <c r="BR168" s="1252"/>
      <c r="BS168" s="1070" t="s">
        <v>2164</v>
      </c>
      <c r="BT168" s="1079"/>
      <c r="BU168" s="1079"/>
      <c r="BV168" s="1080"/>
      <c r="BW168" s="1080"/>
    </row>
    <row s="1252" customFormat="1" customHeight="1" ht="64.935" hidden="1">
      <c r="A169" s="1252"/>
      <c r="B169" s="760"/>
      <c r="C169" s="103"/>
      <c r="D169" s="103" cm="1" t="str">
        <f t="array" ref="D169:D169">D168</f>
        <v>14</v>
      </c>
      <c r="E169" s="626">
        <v>66.6</v>
      </c>
      <c r="F169" s="50" cm="1" t="str">
        <f t="array" ref="F169:F169">OFFSET(E169,-1,1)</f>
        <v>0</v>
      </c>
      <c r="G169" s="103"/>
      <c r="H169" s="103"/>
      <c r="I169" s="103"/>
      <c r="J169" s="103"/>
      <c r="K169" s="103"/>
      <c r="L169" s="988"/>
      <c r="M169" s="103"/>
      <c r="N169" s="103"/>
      <c r="O169" s="103"/>
      <c r="P169" s="103"/>
      <c r="Q169" s="103"/>
      <c r="R169" s="103"/>
      <c r="S169" s="103"/>
      <c r="T169" s="468" cm="1" t="str">
        <f t="array" ref="T169:T169">T168</f>
        <v>false</v>
      </c>
      <c r="U169" s="103"/>
      <c r="V169" s="103"/>
      <c r="W169" s="103"/>
      <c r="X169" s="1559"/>
      <c r="Y169" s="1252"/>
      <c r="Z169" s="1529"/>
      <c r="AA169" s="1252"/>
      <c r="AB169" s="296" t="str">
        <f>D169&amp;".2"</f>
        <v>14.2</v>
      </c>
      <c r="AC169" s="769" t="s">
        <v>2166</v>
      </c>
      <c r="AD169" s="296" t="s">
        <v>936</v>
      </c>
      <c r="AE169" s="1260"/>
      <c r="AF169" s="1260"/>
      <c r="AG169" s="1260"/>
      <c r="AH169" s="1123">
        <f>AG169-AF169</f>
        <v>0</v>
      </c>
      <c r="AI169" s="1260"/>
      <c r="AJ169" s="1260"/>
      <c r="AK169" s="1260"/>
      <c r="AL169" s="1260"/>
      <c r="AM169" s="1260"/>
      <c r="AN169" s="1260"/>
      <c r="AO169" s="1260"/>
      <c r="AP169" s="1260"/>
      <c r="AQ169" s="1260"/>
      <c r="AR169" s="1260"/>
      <c r="AS169" s="1260"/>
      <c r="AT169" s="1260"/>
      <c r="AU169" s="1260"/>
      <c r="AV169" s="1260"/>
      <c r="AW169" s="1260"/>
      <c r="AX169" s="1260"/>
      <c r="AY169" s="1260"/>
      <c r="AZ169" s="1260"/>
      <c r="BA169" s="1260"/>
      <c r="BB169" s="1260"/>
      <c r="BC169" s="1260"/>
      <c r="BD169" s="1124"/>
      <c r="BE169" s="1124"/>
      <c r="BF169" s="1124"/>
      <c r="BG169" s="1124"/>
      <c r="BH169" s="1124"/>
      <c r="BI169" s="1124"/>
      <c r="BJ169" s="1124"/>
      <c r="BK169" s="1124"/>
      <c r="BL169" s="1124"/>
      <c r="BM169" s="1124"/>
      <c r="BN169" s="1257"/>
      <c r="BO169" s="1257"/>
      <c r="BP169" s="1257"/>
      <c r="BQ169" s="1252"/>
      <c r="BR169" s="1252"/>
      <c r="BS169" s="1070" t="s">
        <v>2167</v>
      </c>
      <c r="BT169" s="1079"/>
      <c r="BU169" s="1079"/>
      <c r="BV169" s="1080"/>
      <c r="BW169" s="1080"/>
    </row>
    <row s="1252" customFormat="1" customHeight="1" ht="44.46" hidden="1">
      <c r="A170" s="1252"/>
      <c r="B170" s="760"/>
      <c r="C170" s="103"/>
      <c r="D170" s="103" cm="1" t="str">
        <f t="array" ref="D170:D170">D169</f>
        <v>14</v>
      </c>
      <c r="E170" s="626">
        <v>45.6</v>
      </c>
      <c r="F170" s="50" cm="1" t="str">
        <f t="array" ref="F170:F170">OFFSET(E170,-1,1)</f>
        <v>0</v>
      </c>
      <c r="G170" s="103"/>
      <c r="H170" s="103"/>
      <c r="I170" s="103"/>
      <c r="J170" s="103"/>
      <c r="K170" s="103"/>
      <c r="L170" s="988"/>
      <c r="M170" s="103"/>
      <c r="N170" s="103"/>
      <c r="O170" s="103"/>
      <c r="P170" s="103"/>
      <c r="Q170" s="103"/>
      <c r="R170" s="103"/>
      <c r="S170" s="103"/>
      <c r="T170" s="468" cm="1" t="str">
        <f t="array" ref="T170:T170">T169</f>
        <v>false</v>
      </c>
      <c r="U170" s="103"/>
      <c r="V170" s="103"/>
      <c r="W170" s="103"/>
      <c r="X170" s="1559"/>
      <c r="Y170" s="1252"/>
      <c r="Z170" s="1529"/>
      <c r="AA170" s="1252"/>
      <c r="AB170" s="296" t="str">
        <f>D170&amp;".3"</f>
        <v>14.3</v>
      </c>
      <c r="AC170" s="769" t="s">
        <v>2449</v>
      </c>
      <c r="AD170" s="296" t="s">
        <v>936</v>
      </c>
      <c r="AE170" s="1124"/>
      <c r="AF170" s="1260"/>
      <c r="AG170" s="1260"/>
      <c r="AH170" s="1123">
        <f>AG170-AF170</f>
        <v>0</v>
      </c>
      <c r="AI170" s="1124"/>
      <c r="AJ170" s="1124"/>
      <c r="AK170" s="1124"/>
      <c r="AL170" s="1124"/>
      <c r="AM170" s="1124"/>
      <c r="AN170" s="1124"/>
      <c r="AO170" s="1124"/>
      <c r="AP170" s="1124"/>
      <c r="AQ170" s="1124"/>
      <c r="AR170" s="1124"/>
      <c r="AS170" s="1124"/>
      <c r="AT170" s="1124"/>
      <c r="AU170" s="1124"/>
      <c r="AV170" s="1124"/>
      <c r="AW170" s="1124"/>
      <c r="AX170" s="1124"/>
      <c r="AY170" s="1124"/>
      <c r="AZ170" s="1124"/>
      <c r="BA170" s="1124"/>
      <c r="BB170" s="1124"/>
      <c r="BC170" s="1124"/>
      <c r="BD170" s="1124"/>
      <c r="BE170" s="1124"/>
      <c r="BF170" s="1124"/>
      <c r="BG170" s="1124"/>
      <c r="BH170" s="1124"/>
      <c r="BI170" s="1124"/>
      <c r="BJ170" s="1124"/>
      <c r="BK170" s="1124"/>
      <c r="BL170" s="1124"/>
      <c r="BM170" s="1124"/>
      <c r="BN170" s="1257"/>
      <c r="BO170" s="1257"/>
      <c r="BP170" s="1257"/>
      <c r="BQ170" s="1252"/>
      <c r="BR170" s="1252"/>
      <c r="BS170" s="1079" t="s">
        <v>2450</v>
      </c>
      <c r="BT170" s="1079"/>
      <c r="BU170" s="1079"/>
      <c r="BV170" s="1080"/>
      <c r="BW170" s="1080"/>
    </row>
    <row s="541" customFormat="1" customHeight="1" ht="14.25">
      <c r="A171" s="1331"/>
      <c r="B171" s="430"/>
      <c r="C171" s="428"/>
      <c r="D171" s="428"/>
      <c r="E171" s="624">
        <v>15</v>
      </c>
      <c r="F171" s="496" cm="1" t="str">
        <f t="array" ref="F171:F171">X171</f>
        <v>1</v>
      </c>
      <c r="G171" s="496" cm="1" t="str">
        <f t="array" ref="G171:G171">INDEX('Общие сведения'!$AK$197:$AK$254,MATCH($X171,'Общие сведения'!$Z$197:$Z$254,0))</f>
        <v>одноставочный</v>
      </c>
      <c r="H171" s="428"/>
      <c r="I171" s="496"/>
      <c r="J171" s="428"/>
      <c r="K171" s="428"/>
      <c r="L171" s="990"/>
      <c r="M171" s="428"/>
      <c r="N171" s="428"/>
      <c r="O171" s="428"/>
      <c r="P171" s="428"/>
      <c r="Q171" s="428"/>
      <c r="R171" s="428"/>
      <c r="S171" s="428" cm="1" t="str">
        <f t="array" ref="S171:S171">INDEX('Общие сведения'!$AE$197:$AE$254,MATCH($X171,'Общие сведения'!$Z$197:$Z$254,0))</f>
        <v>Водоснабжение</v>
      </c>
      <c r="T171" s="468">
        <f>X171&gt;0</f>
        <v>1</v>
      </c>
      <c r="U171" s="428"/>
      <c r="V171" s="428" cm="1" t="str">
        <f t="array" ref="V171:V171">'Калькуляция (МЭОР)'!$AB$112</f>
        <v>Тариф 1 (Водоснабжение) - тариф на питьевую воду (Оказание услуг на территории: город Ленинск-Кузнецкий (ОКТМО: 32719000) - г Ленинск-Кузнецкий, г Полысаево)</v>
      </c>
      <c r="W171" s="428"/>
      <c r="X171" s="1559" t="s">
        <v>290</v>
      </c>
      <c r="Y171" s="1331"/>
      <c r="Z171" s="1529"/>
      <c r="AA171" s="1331"/>
      <c r="AB171" s="377" cm="1" t="str">
        <f t="array" ref="AB171:AB171">'Калькуляция (МЭОР)'!$AB$112</f>
        <v>Тариф 1 (Водоснабжение) - тариф на питьевую воду (Оказание услуг на территории: город Ленинск-Кузнецкий (ОКТМО: 32719000) - г Ленинск-Кузнецкий, г Полысаево)</v>
      </c>
      <c r="AC171" s="248"/>
      <c r="AD171" s="248"/>
      <c r="AE171" s="248"/>
      <c r="AF171" s="248"/>
      <c r="AG171" s="248"/>
      <c r="AH171" s="248"/>
      <c r="AI171" s="248"/>
      <c r="AJ171" s="248"/>
      <c r="AK171" s="248"/>
      <c r="AL171" s="248"/>
      <c r="AM171" s="248"/>
      <c r="AN171" s="248"/>
      <c r="AO171" s="248"/>
      <c r="AP171" s="248"/>
      <c r="AQ171" s="248"/>
      <c r="AR171" s="248"/>
      <c r="AS171" s="248"/>
      <c r="AT171" s="248"/>
      <c r="AU171" s="248"/>
      <c r="AV171" s="248"/>
      <c r="AW171" s="248"/>
      <c r="AX171" s="248"/>
      <c r="AY171" s="248"/>
      <c r="AZ171" s="248"/>
      <c r="BA171" s="248"/>
      <c r="BB171" s="248"/>
      <c r="BC171" s="248"/>
      <c r="BD171" s="248"/>
      <c r="BE171" s="248"/>
      <c r="BF171" s="248"/>
      <c r="BG171" s="248"/>
      <c r="BH171" s="248"/>
      <c r="BI171" s="248"/>
      <c r="BJ171" s="248"/>
      <c r="BK171" s="248"/>
      <c r="BL171" s="248"/>
      <c r="BM171" s="248"/>
      <c r="BN171" s="248"/>
      <c r="BO171" s="248"/>
      <c r="BP171" s="248"/>
      <c r="BQ171" s="1331"/>
      <c r="BR171" s="1331"/>
      <c r="BS171" s="1005"/>
      <c r="BT171" s="1005"/>
      <c r="BU171" s="1005"/>
      <c r="BV171" s="623"/>
      <c r="BW171" s="623"/>
    </row>
    <row s="6289" customFormat="1" customHeight="1" ht="212.25">
      <c r="A172" s="157"/>
      <c r="B172" s="436"/>
      <c r="C172" s="862"/>
      <c r="D172" s="862"/>
      <c r="E172" s="863">
        <v>21</v>
      </c>
      <c r="F172" s="50" cm="1" t="str">
        <f t="array" ref="F172:F172">OFFSET(E172,-1,1)</f>
        <v>1</v>
      </c>
      <c r="G172" s="862"/>
      <c r="H172" s="108"/>
      <c r="I172" s="108" t="s">
        <v>344</v>
      </c>
      <c r="J172" s="862"/>
      <c r="K172" s="373" t="s">
        <v>344</v>
      </c>
      <c r="L172" s="991"/>
      <c r="M172" s="862"/>
      <c r="N172" s="862"/>
      <c r="O172" s="862"/>
      <c r="P172" s="862"/>
      <c r="Q172" s="862"/>
      <c r="R172" s="862"/>
      <c r="S172" s="862"/>
      <c r="T172" s="468" cm="1" t="str">
        <f t="array" ref="T172:T172">T171</f>
        <v>true</v>
      </c>
      <c r="U172" s="862"/>
      <c r="V172" s="862"/>
      <c r="W172" s="862"/>
      <c r="X172" s="1559"/>
      <c r="Y172" s="157"/>
      <c r="Z172" s="1529"/>
      <c r="AA172" s="157"/>
      <c r="AB172" s="230" t="s">
        <v>290</v>
      </c>
      <c r="AC172" s="208" t="s">
        <v>2174</v>
      </c>
      <c r="AD172" s="230" t="s">
        <v>936</v>
      </c>
      <c r="AE172" s="785">
        <f>SUM(AE174,AE191,AE197,AE217,AE218,AE219)</f>
        <v>154017.2</v>
      </c>
      <c r="AF172" s="785">
        <f>SUM(AF174,AF191,AF197,AF217,AF218,AF219)</f>
        <v>0</v>
      </c>
      <c r="AG172" s="785">
        <f>SUM(AG174,AG191,AG197,AG217,AG218,AG219)</f>
        <v>0</v>
      </c>
      <c r="AH172" s="785">
        <f>AG172-AF172</f>
        <v>0</v>
      </c>
      <c r="AI172" s="785">
        <f>SUM(AI174,AI191,AI197,AI217,AI218,AI219)</f>
        <v>0</v>
      </c>
      <c r="AJ172" s="785">
        <f>SUM(AJ174,AJ191,AJ197,AJ217,AJ218,AJ219)</f>
        <v>0</v>
      </c>
      <c r="AK172" s="1256">
        <f>AJ172*AK173</f>
        <v>0</v>
      </c>
      <c r="AL172" s="1256">
        <f>AK172*AL173</f>
        <v>0</v>
      </c>
      <c r="AM172" s="1256">
        <f>AL172*AM173</f>
        <v>0</v>
      </c>
      <c r="AN172" s="1256">
        <f>AM172*AN173</f>
        <v>0</v>
      </c>
      <c r="AO172" s="1256">
        <f>AN172*AO173</f>
        <v>0</v>
      </c>
      <c r="AP172" s="1256">
        <f>AO172*AP173</f>
        <v>0</v>
      </c>
      <c r="AQ172" s="1256">
        <f>AP172*AQ173</f>
        <v>0</v>
      </c>
      <c r="AR172" s="1256">
        <f>AQ172*AR173</f>
        <v>0</v>
      </c>
      <c r="AS172" s="1256">
        <f>AR172*AS173</f>
        <v>0</v>
      </c>
      <c r="AT172" s="785">
        <f>SUM(AT174,AT191,AT197,AT217,AT218,AT219)</f>
        <v>0</v>
      </c>
      <c r="AU172" s="1256">
        <f>AT172*AU173</f>
        <v>0</v>
      </c>
      <c r="AV172" s="1256">
        <f>AU172*AV173</f>
        <v>0</v>
      </c>
      <c r="AW172" s="1256">
        <f>AV172*AW173</f>
        <v>0</v>
      </c>
      <c r="AX172" s="1256">
        <f>AW172*AX173</f>
        <v>0</v>
      </c>
      <c r="AY172" s="1256">
        <f>AX172*AY173</f>
        <v>0</v>
      </c>
      <c r="AZ172" s="1256">
        <f>AY172*AZ173</f>
        <v>0</v>
      </c>
      <c r="BA172" s="1256">
        <f>AZ172*BA173</f>
        <v>0</v>
      </c>
      <c r="BB172" s="1256">
        <f>BA172*BB173</f>
        <v>0</v>
      </c>
      <c r="BC172" s="1256">
        <f>BB172*BC173</f>
        <v>0</v>
      </c>
      <c r="BD172" s="785">
        <f>IF(AI172=0,0,(AT172-AI172)/AI172*100)</f>
        <v>0</v>
      </c>
      <c r="BE172" s="785">
        <f>IF(AT172=0,0,(AU172-AT172)/AT172*100)</f>
        <v>0</v>
      </c>
      <c r="BF172" s="785">
        <f>IF(AU172=0,0,(AV172-AU172)/AU172*100)</f>
        <v>0</v>
      </c>
      <c r="BG172" s="785">
        <f>IF(AV172=0,0,(AW172-AV172)/AV172*100)</f>
        <v>0</v>
      </c>
      <c r="BH172" s="785">
        <f>IF(AW172=0,0,(AX172-AW172)/AW172*100)</f>
        <v>0</v>
      </c>
      <c r="BI172" s="785">
        <f>IF(AX172=0,0,(AY172-AX172)/AX172*100)</f>
        <v>0</v>
      </c>
      <c r="BJ172" s="785">
        <f>IF(AY172=0,0,(AZ172-AY172)/AY172*100)</f>
        <v>0</v>
      </c>
      <c r="BK172" s="785">
        <f>IF(AZ172=0,0,(BA172-AZ172)/AZ172*100)</f>
        <v>0</v>
      </c>
      <c r="BL172" s="785">
        <f>IF(BA172=0,0,(BB172-BA172)/BA172*100)</f>
        <v>0</v>
      </c>
      <c r="BM172" s="785">
        <f>IF(BB172=0,0,(BC172-BB172)/BB172*100)</f>
        <v>0</v>
      </c>
      <c r="BN172" s="6290" t="s">
        <v>2451</v>
      </c>
      <c r="BO172" s="6290" t="s">
        <v>2452</v>
      </c>
      <c r="BP172" s="6290" t="s">
        <v>2453</v>
      </c>
      <c r="BQ172" s="156"/>
      <c r="BR172" s="157"/>
      <c r="BS172" s="1076" t="s">
        <v>649</v>
      </c>
      <c r="BT172" s="1076"/>
      <c r="BU172" s="1076"/>
      <c r="BV172" s="711"/>
      <c r="BW172" s="711"/>
    </row>
    <row s="1656" customFormat="1" customHeight="1" ht="117.75">
      <c r="A173" s="1297"/>
      <c r="B173" s="986"/>
      <c r="C173" s="103"/>
      <c r="D173" s="103"/>
      <c r="E173" s="626">
        <v>15</v>
      </c>
      <c r="F173" s="50" cm="1" t="str">
        <f t="array" ref="F173:F173">OFFSET(E173,-1,1)</f>
        <v>1</v>
      </c>
      <c r="G173" s="103"/>
      <c r="H173" s="864"/>
      <c r="I173" s="864" t="s">
        <v>566</v>
      </c>
      <c r="J173" s="103"/>
      <c r="K173" s="374" t="s">
        <v>566</v>
      </c>
      <c r="L173" s="988"/>
      <c r="M173" s="103"/>
      <c r="N173" s="103"/>
      <c r="O173" s="103"/>
      <c r="P173" s="103"/>
      <c r="Q173" s="103"/>
      <c r="R173" s="103"/>
      <c r="S173" s="103"/>
      <c r="T173" s="468" cm="1" t="str">
        <f t="array" ref="T173:T173">T172</f>
        <v>true</v>
      </c>
      <c r="U173" s="103"/>
      <c r="V173" s="103"/>
      <c r="W173" s="103"/>
      <c r="X173" s="1559"/>
      <c r="Y173" s="1297"/>
      <c r="Z173" s="1529"/>
      <c r="AA173" s="1297"/>
      <c r="AB173" s="296" t="s">
        <v>1067</v>
      </c>
      <c r="AC173" s="769" t="s">
        <v>2175</v>
      </c>
      <c r="AD173" s="296"/>
      <c r="AE173" s="6291">
        <v>1.0583939396</v>
      </c>
      <c r="AF173" s="6291"/>
      <c r="AG173" s="6291"/>
      <c r="AH173" s="1122">
        <f>AG173-AF173</f>
        <v>0</v>
      </c>
      <c r="AI173" s="6291">
        <v>1.0837942003</v>
      </c>
      <c r="AJ173" s="6291"/>
      <c r="AK173" s="1258">
        <f>_xlfn.SUMIFS(INDEX(Сценарии!$AE$25:$BF$136,,MATCH(AK$8,Сценарии!$AE$8:$BF$8,0)),Сценарии!$F$25:$F$136,$F173,Сценарии!$G$25:$G$136,"ИОР")</f>
        <v>1</v>
      </c>
      <c r="AL173" s="1258">
        <f>_xlfn.SUMIFS(INDEX(Сценарии!$AE$25:$BF$136,,MATCH(AL$8,Сценарии!$AE$8:$BF$8,0)),Сценарии!$F$25:$F$136,$F173,Сценарии!$G$25:$G$136,"ИОР")</f>
        <v>1</v>
      </c>
      <c r="AM173" s="1258">
        <f>_xlfn.SUMIFS(INDEX(Сценарии!$AE$25:$BF$136,,MATCH(AM$8,Сценарии!$AE$8:$BF$8,0)),Сценарии!$F$25:$F$136,$F173,Сценарии!$G$25:$G$136,"ИОР")</f>
        <v>1</v>
      </c>
      <c r="AN173" s="1258">
        <f>_xlfn.SUMIFS(INDEX(Сценарии!$AE$25:$BF$136,,MATCH(AN$8,Сценарии!$AE$8:$BF$8,0)),Сценарии!$F$25:$F$136,$F173,Сценарии!$G$25:$G$136,"ИОР")</f>
        <v>1</v>
      </c>
      <c r="AO173" s="1258">
        <f>_xlfn.SUMIFS(INDEX(Сценарии!$AE$25:$BF$136,,MATCH(AO$8,Сценарии!$AE$8:$BF$8,0)),Сценарии!$F$25:$F$136,$F173,Сценарии!$G$25:$G$136,"ИОР")</f>
        <v>1</v>
      </c>
      <c r="AP173" s="1258">
        <f>_xlfn.SUMIFS(INDEX(Сценарии!$AE$25:$BF$136,,MATCH(AP$8,Сценарии!$AE$8:$BF$8,0)),Сценарии!$F$25:$F$136,$F173,Сценарии!$G$25:$G$136,"ИОР")</f>
        <v>1</v>
      </c>
      <c r="AQ173" s="1258">
        <f>_xlfn.SUMIFS(INDEX(Сценарии!$AE$25:$BF$136,,MATCH(AQ$8,Сценарии!$AE$8:$BF$8,0)),Сценарии!$F$25:$F$136,$F173,Сценарии!$G$25:$G$136,"ИОР")</f>
        <v>1</v>
      </c>
      <c r="AR173" s="1258">
        <f>_xlfn.SUMIFS(INDEX(Сценарии!$AE$25:$BF$136,,MATCH(AR$8,Сценарии!$AE$8:$BF$8,0)),Сценарии!$F$25:$F$136,$F173,Сценарии!$G$25:$G$136,"ИОР")</f>
        <v>1</v>
      </c>
      <c r="AS173" s="1258">
        <f>_xlfn.SUMIFS(INDEX(Сценарии!$AE$25:$BF$136,,MATCH(AS$8,Сценарии!$AE$8:$BF$8,0)),Сценарии!$F$25:$F$136,$F173,Сценарии!$G$25:$G$136,"ИОР")</f>
        <v>1</v>
      </c>
      <c r="AT173" s="6291"/>
      <c r="AU173" s="1258">
        <f>_xlfn.SUMIFS(INDEX(Сценарии!$AE$25:$BF$136,,MATCH(AU$8,Сценарии!$AE$8:$BF$8,0)),Сценарии!$F$25:$F$136,$F173,Сценарии!$G$25:$G$136,"ИОР")</f>
        <v>1</v>
      </c>
      <c r="AV173" s="1258">
        <f>_xlfn.SUMIFS(INDEX(Сценарии!$AE$25:$BF$136,,MATCH(AV$8,Сценарии!$AE$8:$BF$8,0)),Сценарии!$F$25:$F$136,$F173,Сценарии!$G$25:$G$136,"ИОР")</f>
        <v>1</v>
      </c>
      <c r="AW173" s="1258">
        <f>_xlfn.SUMIFS(INDEX(Сценарии!$AE$25:$BF$136,,MATCH(AW$8,Сценарии!$AE$8:$BF$8,0)),Сценарии!$F$25:$F$136,$F173,Сценарии!$G$25:$G$136,"ИОР")</f>
        <v>1</v>
      </c>
      <c r="AX173" s="1258">
        <f>_xlfn.SUMIFS(INDEX(Сценарии!$AE$25:$BF$136,,MATCH(AX$8,Сценарии!$AE$8:$BF$8,0)),Сценарии!$F$25:$F$136,$F173,Сценарии!$G$25:$G$136,"ИОР")</f>
        <v>1</v>
      </c>
      <c r="AY173" s="1258">
        <f>_xlfn.SUMIFS(INDEX(Сценарии!$AE$25:$BF$136,,MATCH(AY$8,Сценарии!$AE$8:$BF$8,0)),Сценарии!$F$25:$F$136,$F173,Сценарии!$G$25:$G$136,"ИОР")</f>
        <v>1</v>
      </c>
      <c r="AZ173" s="1258">
        <f>_xlfn.SUMIFS(INDEX(Сценарии!$AE$25:$BF$136,,MATCH(AZ$8,Сценарии!$AE$8:$BF$8,0)),Сценарии!$F$25:$F$136,$F173,Сценарии!$G$25:$G$136,"ИОР")</f>
        <v>1</v>
      </c>
      <c r="BA173" s="1258">
        <f>_xlfn.SUMIFS(INDEX(Сценарии!$AE$25:$BF$136,,MATCH(BA$8,Сценарии!$AE$8:$BF$8,0)),Сценарии!$F$25:$F$136,$F173,Сценарии!$G$25:$G$136,"ИОР")</f>
        <v>1</v>
      </c>
      <c r="BB173" s="1258">
        <f>_xlfn.SUMIFS(INDEX(Сценарии!$AE$25:$BF$136,,MATCH(BB$8,Сценарии!$AE$8:$BF$8,0)),Сценарии!$F$25:$F$136,$F173,Сценарии!$G$25:$G$136,"ИОР")</f>
        <v>1</v>
      </c>
      <c r="BC173" s="1258">
        <f>_xlfn.SUMIFS(INDEX(Сценарии!$AE$25:$BF$136,,MATCH(BC$8,Сценарии!$AE$8:$BF$8,0)),Сценарии!$F$25:$F$136,$F173,Сценарии!$G$25:$G$136,"ИОР")</f>
        <v>1</v>
      </c>
      <c r="BD173" s="1123">
        <f>IF(AI173=0,0,(AT173-AI173)/AI173*100)</f>
        <v>-100</v>
      </c>
      <c r="BE173" s="1124"/>
      <c r="BF173" s="1124"/>
      <c r="BG173" s="1124"/>
      <c r="BH173" s="1124"/>
      <c r="BI173" s="1124"/>
      <c r="BJ173" s="1124"/>
      <c r="BK173" s="1124"/>
      <c r="BL173" s="1124"/>
      <c r="BM173" s="1124"/>
      <c r="BN173" s="6290"/>
      <c r="BO173" s="6290" t="s">
        <v>2454</v>
      </c>
      <c r="BP173" s="6290"/>
      <c r="BQ173" s="1297"/>
      <c r="BR173" s="1297"/>
      <c r="BS173" s="1072" t="s">
        <v>2176</v>
      </c>
      <c r="BT173" s="1072"/>
      <c r="BU173" s="1072"/>
      <c r="BV173" s="987"/>
      <c r="BW173" s="987"/>
    </row>
    <row s="436" customFormat="1" customHeight="1" ht="20.25">
      <c r="A174" s="156"/>
      <c r="B174" s="436"/>
      <c r="C174" s="865"/>
      <c r="D174" s="865"/>
      <c r="E174" s="866">
        <v>21</v>
      </c>
      <c r="F174" s="50" cm="1" t="str">
        <f t="array" ref="F174:F174">OFFSET(E174,-1,1)</f>
        <v>1</v>
      </c>
      <c r="G174" s="865"/>
      <c r="H174" s="108"/>
      <c r="I174" s="108" t="s">
        <v>570</v>
      </c>
      <c r="J174" s="865"/>
      <c r="K174" s="373" t="s">
        <v>570</v>
      </c>
      <c r="L174" s="992" t="s">
        <v>344</v>
      </c>
      <c r="M174" s="865"/>
      <c r="N174" s="865"/>
      <c r="O174" s="865"/>
      <c r="P174" s="865"/>
      <c r="Q174" s="865"/>
      <c r="R174" s="865"/>
      <c r="S174" s="865"/>
      <c r="T174" s="468" cm="1" t="str">
        <f t="array" ref="T174:T174">T173</f>
        <v>true</v>
      </c>
      <c r="U174" s="865"/>
      <c r="V174" s="865"/>
      <c r="W174" s="865"/>
      <c r="X174" s="1559"/>
      <c r="Y174" s="156"/>
      <c r="Z174" s="1529"/>
      <c r="AA174" s="156"/>
      <c r="AB174" s="230" t="s">
        <v>1070</v>
      </c>
      <c r="AC174" s="357" t="s">
        <v>1972</v>
      </c>
      <c r="AD174" s="230" t="s">
        <v>936</v>
      </c>
      <c r="AE174" s="785">
        <f>SUM(AE175,AE178,AE179,AE182,AE183)</f>
        <v>3494.4</v>
      </c>
      <c r="AF174" s="785">
        <f>SUM(AF175,AF178,AF179,AF182,AF183)</f>
        <v>0</v>
      </c>
      <c r="AG174" s="785">
        <f>SUM(AG175,AG178,AG179,AG182,AG183)</f>
        <v>0</v>
      </c>
      <c r="AH174" s="785">
        <f>AG174-AF174</f>
        <v>0</v>
      </c>
      <c r="AI174" s="785">
        <f>SUM(AI175,AI178,AI179,AI182,AI183)</f>
        <v>0</v>
      </c>
      <c r="AJ174" s="785">
        <f>SUM(AJ175,AJ178,AJ179,AJ182,AJ183)</f>
        <v>0</v>
      </c>
      <c r="AK174" s="212"/>
      <c r="AL174" s="212"/>
      <c r="AM174" s="212"/>
      <c r="AN174" s="212"/>
      <c r="AO174" s="212"/>
      <c r="AP174" s="212"/>
      <c r="AQ174" s="212"/>
      <c r="AR174" s="212"/>
      <c r="AS174" s="212"/>
      <c r="AT174" s="785">
        <f>SUM(AT175,AT178,AT179,AT182,AT183)</f>
        <v>0</v>
      </c>
      <c r="AU174" s="212"/>
      <c r="AV174" s="212"/>
      <c r="AW174" s="212"/>
      <c r="AX174" s="212"/>
      <c r="AY174" s="212"/>
      <c r="AZ174" s="212"/>
      <c r="BA174" s="212"/>
      <c r="BB174" s="212"/>
      <c r="BC174" s="212"/>
      <c r="BD174" s="785">
        <f>IF(AI174=0,0,(AT174-AI174)/AI174*100)</f>
        <v>0</v>
      </c>
      <c r="BE174" s="212"/>
      <c r="BF174" s="212"/>
      <c r="BG174" s="212"/>
      <c r="BH174" s="212"/>
      <c r="BI174" s="212"/>
      <c r="BJ174" s="212"/>
      <c r="BK174" s="212"/>
      <c r="BL174" s="212"/>
      <c r="BM174" s="212"/>
      <c r="BN174" s="6292"/>
      <c r="BO174" s="6292"/>
      <c r="BP174" s="6292"/>
      <c r="BQ174" s="156"/>
      <c r="BR174" s="156"/>
      <c r="BS174" s="1070" t="s">
        <v>621</v>
      </c>
      <c r="BT174" s="1077"/>
      <c r="BU174" s="1077"/>
      <c r="BV174" s="712"/>
      <c r="BW174" s="712"/>
    </row>
    <row s="1656" customFormat="1" customHeight="1" ht="14.25">
      <c r="A175" s="1297"/>
      <c r="B175" s="986"/>
      <c r="C175" s="103"/>
      <c r="D175" s="103"/>
      <c r="E175" s="626">
        <v>15</v>
      </c>
      <c r="F175" s="50" cm="1" t="str">
        <f t="array" ref="F175:F175">OFFSET(E175,-1,1)</f>
        <v>1</v>
      </c>
      <c r="G175" s="103"/>
      <c r="H175" s="864"/>
      <c r="I175" s="864" t="s">
        <v>1550</v>
      </c>
      <c r="J175" s="103"/>
      <c r="K175" s="374" t="s">
        <v>1550</v>
      </c>
      <c r="L175" s="988" t="s">
        <v>566</v>
      </c>
      <c r="M175" s="103"/>
      <c r="N175" s="103"/>
      <c r="O175" s="103"/>
      <c r="P175" s="103"/>
      <c r="Q175" s="103"/>
      <c r="R175" s="103"/>
      <c r="S175" s="103"/>
      <c r="T175" s="468" cm="1" t="str">
        <f t="array" ref="T175:T175">T174</f>
        <v>true</v>
      </c>
      <c r="U175" s="103"/>
      <c r="V175" s="103"/>
      <c r="W175" s="103"/>
      <c r="X175" s="1559"/>
      <c r="Y175" s="1297"/>
      <c r="Z175" s="1529"/>
      <c r="AA175" s="1297"/>
      <c r="AB175" s="296" t="s">
        <v>1551</v>
      </c>
      <c r="AC175" s="772" t="s">
        <v>2177</v>
      </c>
      <c r="AD175" s="773" t="s">
        <v>936</v>
      </c>
      <c r="AE175" s="1123">
        <f>SUM(AE176,AE177)</f>
        <v>0</v>
      </c>
      <c r="AF175" s="1123">
        <f>SUM(AF176,AF177)</f>
        <v>0</v>
      </c>
      <c r="AG175" s="1123">
        <f>SUM(AG176,AG177)</f>
        <v>0</v>
      </c>
      <c r="AH175" s="1123">
        <f>AG175-AF175</f>
        <v>0</v>
      </c>
      <c r="AI175" s="1123">
        <f>SUM(AI176,AI177)</f>
        <v>0</v>
      </c>
      <c r="AJ175" s="1123">
        <f>SUM(AJ176,AJ177)</f>
        <v>0</v>
      </c>
      <c r="AK175" s="1124"/>
      <c r="AL175" s="1124"/>
      <c r="AM175" s="1124"/>
      <c r="AN175" s="1124"/>
      <c r="AO175" s="1124"/>
      <c r="AP175" s="1124"/>
      <c r="AQ175" s="1124"/>
      <c r="AR175" s="1124"/>
      <c r="AS175" s="1124"/>
      <c r="AT175" s="1123">
        <f>SUM(AT176,AT177)</f>
        <v>0</v>
      </c>
      <c r="AU175" s="1124"/>
      <c r="AV175" s="1124"/>
      <c r="AW175" s="1124"/>
      <c r="AX175" s="1124"/>
      <c r="AY175" s="1124"/>
      <c r="AZ175" s="1124"/>
      <c r="BA175" s="1124"/>
      <c r="BB175" s="1124"/>
      <c r="BC175" s="1124"/>
      <c r="BD175" s="1123">
        <f>IF(AI175=0,0,(AT175-AI175)/AI175*100)</f>
        <v>0</v>
      </c>
      <c r="BE175" s="1124"/>
      <c r="BF175" s="1124"/>
      <c r="BG175" s="1124"/>
      <c r="BH175" s="1124"/>
      <c r="BI175" s="1124"/>
      <c r="BJ175" s="1124"/>
      <c r="BK175" s="1124"/>
      <c r="BL175" s="1124"/>
      <c r="BM175" s="1124"/>
      <c r="BN175" s="6290"/>
      <c r="BO175" s="6290"/>
      <c r="BP175" s="6290"/>
      <c r="BQ175" s="106"/>
      <c r="BR175" s="1297"/>
      <c r="BS175" s="1071" t="s">
        <v>1974</v>
      </c>
      <c r="BT175" s="1072"/>
      <c r="BU175" s="1072"/>
      <c r="BV175" s="987"/>
      <c r="BW175" s="987"/>
    </row>
    <row s="1656" customFormat="1" customHeight="1" ht="14.25">
      <c r="A176" s="1297"/>
      <c r="B176" s="986"/>
      <c r="C176" s="103"/>
      <c r="D176" s="103"/>
      <c r="E176" s="626">
        <v>15</v>
      </c>
      <c r="F176" s="50" cm="1" t="str">
        <f t="array" ref="F176:F176">OFFSET(E176,-1,1)</f>
        <v>1</v>
      </c>
      <c r="G176" s="103"/>
      <c r="H176" s="864"/>
      <c r="I176" s="864" t="s">
        <v>2178</v>
      </c>
      <c r="J176" s="103"/>
      <c r="K176" s="374" t="s">
        <v>2178</v>
      </c>
      <c r="L176" s="988" t="s">
        <v>1201</v>
      </c>
      <c r="M176" s="103"/>
      <c r="N176" s="103"/>
      <c r="O176" s="103"/>
      <c r="P176" s="103"/>
      <c r="Q176" s="103"/>
      <c r="R176" s="103"/>
      <c r="S176" s="103"/>
      <c r="T176" s="468" cm="1" t="str">
        <f t="array" ref="T176:T176">T175</f>
        <v>true</v>
      </c>
      <c r="U176" s="103"/>
      <c r="V176" s="103"/>
      <c r="W176" s="103"/>
      <c r="X176" s="1559"/>
      <c r="Y176" s="1297"/>
      <c r="Z176" s="1529"/>
      <c r="AA176" s="1297"/>
      <c r="AB176" s="296" t="s">
        <v>2179</v>
      </c>
      <c r="AC176" s="775" t="s">
        <v>1977</v>
      </c>
      <c r="AD176" s="773" t="s">
        <v>936</v>
      </c>
      <c r="AE176" s="6241">
        <f>_xlfn.SUMIFS('Сырье и материалы'!AE$25:AE$111,'Сырье и материалы'!$F$25:$F$111,$F176,'Сырье и материалы'!$I$25:$I$111,"Горюче-смазочные материалы")</f>
        <v>0</v>
      </c>
      <c r="AF176" s="6241">
        <f>_xlfn.SUMIFS('Сырье и материалы'!AF$25:AF$111,'Сырье и материалы'!$F$25:$F$111,$F176,'Сырье и материалы'!$I$25:$I$111,"Горюче-смазочные материалы")</f>
        <v>0</v>
      </c>
      <c r="AG176" s="6241">
        <f>_xlfn.SUMIFS('Сырье и материалы'!AG$25:AG$111,'Сырье и материалы'!$F$25:$F$111,$F176,'Сырье и материалы'!$I$25:$I$111,"Горюче-смазочные материалы")</f>
        <v>0</v>
      </c>
      <c r="AH176" s="1123">
        <f>AG176-AF176</f>
        <v>0</v>
      </c>
      <c r="AI176" s="6241">
        <f>_xlfn.SUMIFS('Сырье и материалы'!AH$25:AH$111,'Сырье и материалы'!$F$25:$F$111,$F176,'Сырье и материалы'!$I$25:$I$111,"Горюче-смазочные материалы")</f>
        <v>0</v>
      </c>
      <c r="AJ176" s="6241">
        <f>_xlfn.SUMIFS('Сырье и материалы'!AI$25:AI$111,'Сырье и материалы'!$F$25:$F$111,$F176,'Сырье и материалы'!$I$25:$I$111,"Горюче-смазочные материалы")</f>
        <v>0</v>
      </c>
      <c r="AK176" s="1124"/>
      <c r="AL176" s="1124"/>
      <c r="AM176" s="1124"/>
      <c r="AN176" s="1124"/>
      <c r="AO176" s="1124"/>
      <c r="AP176" s="1124"/>
      <c r="AQ176" s="1124"/>
      <c r="AR176" s="1124"/>
      <c r="AS176" s="1124"/>
      <c r="AT176" s="6241">
        <f>_xlfn.SUMIFS('Сырье и материалы'!AS$25:AS$111,'Сырье и материалы'!$F$25:$F$111,$F176,'Сырье и материалы'!$I$25:$I$111,"Горюче-смазочные материалы")</f>
        <v>0</v>
      </c>
      <c r="AU176" s="1124"/>
      <c r="AV176" s="1124"/>
      <c r="AW176" s="1124"/>
      <c r="AX176" s="1124"/>
      <c r="AY176" s="1124"/>
      <c r="AZ176" s="1124"/>
      <c r="BA176" s="1124"/>
      <c r="BB176" s="1124"/>
      <c r="BC176" s="1124"/>
      <c r="BD176" s="1123">
        <f>IF(AI176=0,0,(AT176-AI176)/AI176*100)</f>
        <v>0</v>
      </c>
      <c r="BE176" s="1124"/>
      <c r="BF176" s="1124"/>
      <c r="BG176" s="1124"/>
      <c r="BH176" s="1124"/>
      <c r="BI176" s="1124"/>
      <c r="BJ176" s="1124"/>
      <c r="BK176" s="1124"/>
      <c r="BL176" s="1124"/>
      <c r="BM176" s="1124"/>
      <c r="BN176" s="6290"/>
      <c r="BO176" s="6290"/>
      <c r="BP176" s="6290"/>
      <c r="BQ176" s="1297"/>
      <c r="BR176" s="1297"/>
      <c r="BS176" s="1070" t="s">
        <v>1978</v>
      </c>
      <c r="BT176" s="1072"/>
      <c r="BU176" s="1072"/>
      <c r="BV176" s="987"/>
      <c r="BW176" s="987"/>
    </row>
    <row s="1656" customFormat="1" customHeight="1" ht="14.25">
      <c r="A177" s="1297"/>
      <c r="B177" s="986"/>
      <c r="C177" s="103"/>
      <c r="D177" s="103"/>
      <c r="E177" s="626">
        <v>15</v>
      </c>
      <c r="F177" s="50" cm="1" t="str">
        <f t="array" ref="F177:F177">OFFSET(E177,-1,1)</f>
        <v>1</v>
      </c>
      <c r="G177" s="103"/>
      <c r="H177" s="864"/>
      <c r="I177" s="864" t="s">
        <v>2180</v>
      </c>
      <c r="J177" s="103"/>
      <c r="K177" s="374" t="s">
        <v>2180</v>
      </c>
      <c r="L177" s="988" t="s">
        <v>1525</v>
      </c>
      <c r="M177" s="103"/>
      <c r="N177" s="103"/>
      <c r="O177" s="103"/>
      <c r="P177" s="103"/>
      <c r="Q177" s="103"/>
      <c r="R177" s="103"/>
      <c r="S177" s="103"/>
      <c r="T177" s="468" cm="1" t="str">
        <f t="array" ref="T177:T177">T176</f>
        <v>true</v>
      </c>
      <c r="U177" s="103"/>
      <c r="V177" s="103"/>
      <c r="W177" s="103"/>
      <c r="X177" s="1559"/>
      <c r="Y177" s="1297"/>
      <c r="Z177" s="1529"/>
      <c r="AA177" s="1297"/>
      <c r="AB177" s="296" t="s">
        <v>2181</v>
      </c>
      <c r="AC177" s="775" t="s">
        <v>1979</v>
      </c>
      <c r="AD177" s="773" t="s">
        <v>936</v>
      </c>
      <c r="AE177" s="6241">
        <f>_xlfn.SUMIFS('Сырье и материалы'!AE$25:AE$111,'Сырье и материалы'!$F$25:$F$111,$F177,'Сырье и материалы'!$I$25:$I$111,"Материалы")</f>
        <v>0</v>
      </c>
      <c r="AF177" s="6241">
        <f>_xlfn.SUMIFS('Сырье и материалы'!AF$25:AF$111,'Сырье и материалы'!$F$25:$F$111,$F177,'Сырье и материалы'!$I$25:$I$111,"Материалы")</f>
        <v>0</v>
      </c>
      <c r="AG177" s="6241">
        <f>_xlfn.SUMIFS('Сырье и материалы'!AG$25:AG$111,'Сырье и материалы'!$F$25:$F$111,$F177,'Сырье и материалы'!$I$25:$I$111,"Материалы")</f>
        <v>0</v>
      </c>
      <c r="AH177" s="1123">
        <f>AG177-AF177</f>
        <v>0</v>
      </c>
      <c r="AI177" s="6241">
        <f>_xlfn.SUMIFS('Сырье и материалы'!AH$25:AH$111,'Сырье и материалы'!$F$25:$F$111,$F177,'Сырье и материалы'!$I$25:$I$111,"Материалы")</f>
        <v>0</v>
      </c>
      <c r="AJ177" s="6241">
        <f>_xlfn.SUMIFS('Сырье и материалы'!AI$25:AI$111,'Сырье и материалы'!$F$25:$F$111,$F177,'Сырье и материалы'!$I$25:$I$111,"Материалы")</f>
        <v>0</v>
      </c>
      <c r="AK177" s="1124"/>
      <c r="AL177" s="1124"/>
      <c r="AM177" s="1124"/>
      <c r="AN177" s="1124"/>
      <c r="AO177" s="1124"/>
      <c r="AP177" s="1124"/>
      <c r="AQ177" s="1124"/>
      <c r="AR177" s="1124"/>
      <c r="AS177" s="1124"/>
      <c r="AT177" s="6241">
        <f>_xlfn.SUMIFS('Сырье и материалы'!AS$25:AS$111,'Сырье и материалы'!$F$25:$F$111,$F177,'Сырье и материалы'!$I$25:$I$111,"Материалы")</f>
        <v>0</v>
      </c>
      <c r="AU177" s="1124"/>
      <c r="AV177" s="1124"/>
      <c r="AW177" s="1124"/>
      <c r="AX177" s="1124"/>
      <c r="AY177" s="1124"/>
      <c r="AZ177" s="1124"/>
      <c r="BA177" s="1124"/>
      <c r="BB177" s="1124"/>
      <c r="BC177" s="1124"/>
      <c r="BD177" s="1123">
        <f>IF(AI177=0,0,(AT177-AI177)/AI177*100)</f>
        <v>0</v>
      </c>
      <c r="BE177" s="1124"/>
      <c r="BF177" s="1124"/>
      <c r="BG177" s="1124"/>
      <c r="BH177" s="1124"/>
      <c r="BI177" s="1124"/>
      <c r="BJ177" s="1124"/>
      <c r="BK177" s="1124"/>
      <c r="BL177" s="1124"/>
      <c r="BM177" s="1124"/>
      <c r="BN177" s="6290"/>
      <c r="BO177" s="6290"/>
      <c r="BP177" s="6290"/>
      <c r="BQ177" s="1297"/>
      <c r="BR177" s="1297"/>
      <c r="BS177" s="1070" t="s">
        <v>1980</v>
      </c>
      <c r="BT177" s="1072"/>
      <c r="BU177" s="1072"/>
      <c r="BV177" s="987"/>
      <c r="BW177" s="987"/>
    </row>
    <row s="1656" customFormat="1" customHeight="1" ht="21.75">
      <c r="A178" s="1297"/>
      <c r="B178" s="986"/>
      <c r="C178" s="103"/>
      <c r="D178" s="103"/>
      <c r="E178" s="626">
        <v>22.5</v>
      </c>
      <c r="F178" s="50" cm="1" t="str">
        <f t="array" ref="F178:F178">OFFSET(E178,-1,1)</f>
        <v>1</v>
      </c>
      <c r="G178" s="103"/>
      <c r="H178" s="864"/>
      <c r="I178" s="864" t="s">
        <v>1553</v>
      </c>
      <c r="J178" s="103"/>
      <c r="K178" s="374" t="s">
        <v>1553</v>
      </c>
      <c r="L178" s="988" t="s">
        <v>573</v>
      </c>
      <c r="M178" s="103"/>
      <c r="N178" s="103"/>
      <c r="O178" s="103"/>
      <c r="P178" s="103"/>
      <c r="Q178" s="103"/>
      <c r="R178" s="103"/>
      <c r="S178" s="103"/>
      <c r="T178" s="468" cm="1" t="str">
        <f t="array" ref="T178:T178">T177</f>
        <v>true</v>
      </c>
      <c r="U178" s="103"/>
      <c r="V178" s="103"/>
      <c r="W178" s="103"/>
      <c r="X178" s="1559"/>
      <c r="Y178" s="1297"/>
      <c r="Z178" s="1529"/>
      <c r="AA178" s="1297"/>
      <c r="AB178" s="296" t="s">
        <v>1554</v>
      </c>
      <c r="AC178" s="772" t="s">
        <v>2182</v>
      </c>
      <c r="AD178" s="773" t="s">
        <v>936</v>
      </c>
      <c r="AE178" s="6293"/>
      <c r="AF178" s="6293"/>
      <c r="AG178" s="6293"/>
      <c r="AH178" s="1123">
        <f>AG178-AF178</f>
        <v>0</v>
      </c>
      <c r="AI178" s="6293"/>
      <c r="AJ178" s="6293"/>
      <c r="AK178" s="1124"/>
      <c r="AL178" s="1124"/>
      <c r="AM178" s="1124"/>
      <c r="AN178" s="1124"/>
      <c r="AO178" s="1124"/>
      <c r="AP178" s="1124"/>
      <c r="AQ178" s="1124"/>
      <c r="AR178" s="1124"/>
      <c r="AS178" s="1124"/>
      <c r="AT178" s="6293"/>
      <c r="AU178" s="1124"/>
      <c r="AV178" s="1124"/>
      <c r="AW178" s="1124"/>
      <c r="AX178" s="1124"/>
      <c r="AY178" s="1124"/>
      <c r="AZ178" s="1124"/>
      <c r="BA178" s="1124"/>
      <c r="BB178" s="1124"/>
      <c r="BC178" s="1124"/>
      <c r="BD178" s="1123">
        <f>IF(AI178=0,0,(AT178-AI178)/AI178*100)</f>
        <v>0</v>
      </c>
      <c r="BE178" s="1124"/>
      <c r="BF178" s="1124"/>
      <c r="BG178" s="1124"/>
      <c r="BH178" s="1124"/>
      <c r="BI178" s="1124"/>
      <c r="BJ178" s="1124"/>
      <c r="BK178" s="1124"/>
      <c r="BL178" s="1124"/>
      <c r="BM178" s="1124"/>
      <c r="BN178" s="6290"/>
      <c r="BO178" s="6290"/>
      <c r="BP178" s="6290"/>
      <c r="BQ178" s="1297"/>
      <c r="BR178" s="1297"/>
      <c r="BS178" s="1071" t="s">
        <v>2005</v>
      </c>
      <c r="BT178" s="1072"/>
      <c r="BU178" s="1072"/>
      <c r="BV178" s="987"/>
      <c r="BW178" s="987"/>
    </row>
    <row s="1656" customFormat="1" customHeight="1" ht="275.25">
      <c r="A179" s="1297"/>
      <c r="B179" s="986"/>
      <c r="C179" s="103"/>
      <c r="D179" s="103"/>
      <c r="E179" s="626">
        <v>22.5</v>
      </c>
      <c r="F179" s="50" cm="1" t="str">
        <f t="array" ref="F179:F179">OFFSET(E179,-1,1)</f>
        <v>1</v>
      </c>
      <c r="G179" s="103"/>
      <c r="H179" s="864"/>
      <c r="I179" s="864" t="s">
        <v>1557</v>
      </c>
      <c r="J179" s="103"/>
      <c r="K179" s="374" t="s">
        <v>1557</v>
      </c>
      <c r="L179" s="988" t="s">
        <v>577</v>
      </c>
      <c r="M179" s="103"/>
      <c r="N179" s="103"/>
      <c r="O179" s="103"/>
      <c r="P179" s="103"/>
      <c r="Q179" s="103"/>
      <c r="R179" s="103"/>
      <c r="S179" s="103"/>
      <c r="T179" s="468" cm="1" t="str">
        <f t="array" ref="T179:T179">T178</f>
        <v>true</v>
      </c>
      <c r="U179" s="103"/>
      <c r="V179" s="103"/>
      <c r="W179" s="103"/>
      <c r="X179" s="1559"/>
      <c r="Y179" s="1297"/>
      <c r="Z179" s="1529"/>
      <c r="AA179" s="1297"/>
      <c r="AB179" s="296" t="s">
        <v>1558</v>
      </c>
      <c r="AC179" s="772" t="s">
        <v>2183</v>
      </c>
      <c r="AD179" s="773" t="s">
        <v>936</v>
      </c>
      <c r="AE179" s="1125">
        <f>AE180+AE181</f>
        <v>0</v>
      </c>
      <c r="AF179" s="1125">
        <f>AF180+AF181</f>
        <v>0</v>
      </c>
      <c r="AG179" s="1125">
        <f>AG180+AG181</f>
        <v>0</v>
      </c>
      <c r="AH179" s="1123">
        <f>AG179-AF179</f>
        <v>0</v>
      </c>
      <c r="AI179" s="1125">
        <f>AI180+AI181</f>
        <v>0</v>
      </c>
      <c r="AJ179" s="1125">
        <f>AJ180+AJ181</f>
        <v>0</v>
      </c>
      <c r="AK179" s="1124"/>
      <c r="AL179" s="1124"/>
      <c r="AM179" s="1124"/>
      <c r="AN179" s="1124"/>
      <c r="AO179" s="1124"/>
      <c r="AP179" s="1124"/>
      <c r="AQ179" s="1124"/>
      <c r="AR179" s="1124"/>
      <c r="AS179" s="1124"/>
      <c r="AT179" s="1125">
        <f>AT180+AT181</f>
        <v>0</v>
      </c>
      <c r="AU179" s="1124"/>
      <c r="AV179" s="1124"/>
      <c r="AW179" s="1124"/>
      <c r="AX179" s="1124"/>
      <c r="AY179" s="1124"/>
      <c r="AZ179" s="1124"/>
      <c r="BA179" s="1124"/>
      <c r="BB179" s="1124"/>
      <c r="BC179" s="1124"/>
      <c r="BD179" s="1123">
        <f>IF(AI179=0,0,(AT179-AI179)/AI179*100)</f>
        <v>0</v>
      </c>
      <c r="BE179" s="1124"/>
      <c r="BF179" s="1124"/>
      <c r="BG179" s="1124"/>
      <c r="BH179" s="1124"/>
      <c r="BI179" s="1124"/>
      <c r="BJ179" s="1124"/>
      <c r="BK179" s="1124"/>
      <c r="BL179" s="1124"/>
      <c r="BM179" s="1124"/>
      <c r="BN179" s="6290"/>
      <c r="BO179" s="6290" t="s">
        <v>2455</v>
      </c>
      <c r="BP179" s="6290"/>
      <c r="BQ179" s="1297"/>
      <c r="BR179" s="1297"/>
      <c r="BS179" s="1071" t="s">
        <v>2184</v>
      </c>
      <c r="BT179" s="1072"/>
      <c r="BU179" s="1072"/>
      <c r="BV179" s="987"/>
      <c r="BW179" s="987"/>
    </row>
    <row s="1656" customFormat="1" customHeight="1" ht="149.25">
      <c r="A180" s="1297"/>
      <c r="B180" s="986"/>
      <c r="C180" s="103"/>
      <c r="D180" s="103"/>
      <c r="E180" s="626">
        <v>15</v>
      </c>
      <c r="F180" s="50" cm="1" t="str">
        <f t="array" ref="F180:F180">OFFSET(E180,-1,1)</f>
        <v>1</v>
      </c>
      <c r="G180" s="370" t="s">
        <v>1350</v>
      </c>
      <c r="H180" s="864"/>
      <c r="I180" s="864" t="s">
        <v>1712</v>
      </c>
      <c r="J180" s="103"/>
      <c r="K180" s="374" t="s">
        <v>1712</v>
      </c>
      <c r="L180" s="988" t="s">
        <v>1577</v>
      </c>
      <c r="M180" s="103"/>
      <c r="N180" s="103"/>
      <c r="O180" s="103"/>
      <c r="P180" s="103"/>
      <c r="Q180" s="103"/>
      <c r="R180" s="103"/>
      <c r="S180" s="103"/>
      <c r="T180" s="468" cm="1" t="str">
        <f t="array" ref="T180:T180">T179</f>
        <v>true</v>
      </c>
      <c r="U180" s="103"/>
      <c r="V180" s="103"/>
      <c r="W180" s="103"/>
      <c r="X180" s="1559"/>
      <c r="Y180" s="1297"/>
      <c r="Z180" s="1529"/>
      <c r="AA180" s="1297"/>
      <c r="AB180" s="296" t="s">
        <v>2185</v>
      </c>
      <c r="AC180" s="775" t="s">
        <v>2008</v>
      </c>
      <c r="AD180" s="773" t="s">
        <v>936</v>
      </c>
      <c r="AE180" s="1123">
        <f>_xlfn.SUMIFS(ФОТ!AE$25:AE$127,ФОТ!$F$25:$F$127,$F180,ФОТ!$G$25:$G$127,$G180)</f>
        <v>0</v>
      </c>
      <c r="AF180" s="1123">
        <f>_xlfn.SUMIFS(ФОТ!AF$25:AF$127,ФОТ!$F$25:$F$127,$F180,ФОТ!$G$25:$G$127,$G180)</f>
        <v>0</v>
      </c>
      <c r="AG180" s="1123">
        <f>_xlfn.SUMIFS(ФОТ!AG$25:AG$127,ФОТ!$F$25:$F$127,$F180,ФОТ!$G$25:$G$127,$G180)</f>
        <v>0</v>
      </c>
      <c r="AH180" s="1123">
        <f>AG180-AF180</f>
        <v>0</v>
      </c>
      <c r="AI180" s="1123">
        <f>_xlfn.SUMIFS(ФОТ!AH$25:AH$127,ФОТ!$F$25:$F$127,$F180,ФОТ!$G$25:$G$127,$G180)</f>
        <v>0</v>
      </c>
      <c r="AJ180" s="1123">
        <f>_xlfn.SUMIFS(ФОТ!AI$25:AI$127,ФОТ!$F$25:$F$127,$F180,ФОТ!$G$25:$G$127,$G180)</f>
        <v>0</v>
      </c>
      <c r="AK180" s="1124"/>
      <c r="AL180" s="1124"/>
      <c r="AM180" s="1124"/>
      <c r="AN180" s="1124"/>
      <c r="AO180" s="1124"/>
      <c r="AP180" s="1124"/>
      <c r="AQ180" s="1124"/>
      <c r="AR180" s="1124"/>
      <c r="AS180" s="1124"/>
      <c r="AT180" s="1123">
        <f>_xlfn.SUMIFS(ФОТ!AJ$25:AJ$127,ФОТ!$F$25:$F$127,$F180,ФОТ!$G$25:$G$127,$G180)</f>
        <v>0</v>
      </c>
      <c r="AU180" s="1124"/>
      <c r="AV180" s="1124"/>
      <c r="AW180" s="1124"/>
      <c r="AX180" s="1124"/>
      <c r="AY180" s="1124"/>
      <c r="AZ180" s="1124"/>
      <c r="BA180" s="1124"/>
      <c r="BB180" s="1124"/>
      <c r="BC180" s="1124"/>
      <c r="BD180" s="1123">
        <f>IF(AI180=0,0,(AT180-AI180)/AI180*100)</f>
        <v>0</v>
      </c>
      <c r="BE180" s="1124"/>
      <c r="BF180" s="1124"/>
      <c r="BG180" s="1124"/>
      <c r="BH180" s="1124"/>
      <c r="BI180" s="1124"/>
      <c r="BJ180" s="1124"/>
      <c r="BK180" s="1124"/>
      <c r="BL180" s="1124"/>
      <c r="BM180" s="1124"/>
      <c r="BN180" s="6290"/>
      <c r="BO180" s="6294" t="s">
        <v>2456</v>
      </c>
      <c r="BP180" s="6290"/>
      <c r="BQ180" s="1297"/>
      <c r="BR180" s="1297"/>
      <c r="BS180" s="1070" t="s">
        <v>2009</v>
      </c>
      <c r="BT180" s="1072"/>
      <c r="BU180" s="1072"/>
      <c r="BV180" s="987"/>
      <c r="BW180" s="987"/>
    </row>
    <row s="1656" customFormat="1" customHeight="1" ht="21.75">
      <c r="A181" s="1297"/>
      <c r="B181" s="986"/>
      <c r="C181" s="103"/>
      <c r="D181" s="103"/>
      <c r="E181" s="626">
        <v>22.5</v>
      </c>
      <c r="F181" s="50" cm="1" t="str">
        <f t="array" ref="F181:F181">OFFSET(E181,-1,1)</f>
        <v>1</v>
      </c>
      <c r="G181" s="370" t="s">
        <v>1362</v>
      </c>
      <c r="H181" s="864"/>
      <c r="I181" s="864" t="s">
        <v>1716</v>
      </c>
      <c r="J181" s="103"/>
      <c r="K181" s="374" t="s">
        <v>1716</v>
      </c>
      <c r="L181" s="988" t="s">
        <v>1578</v>
      </c>
      <c r="M181" s="103"/>
      <c r="N181" s="103"/>
      <c r="O181" s="103"/>
      <c r="P181" s="103"/>
      <c r="Q181" s="103"/>
      <c r="R181" s="103"/>
      <c r="S181" s="103"/>
      <c r="T181" s="468" cm="1" t="str">
        <f t="array" ref="T181:T181">T180</f>
        <v>true</v>
      </c>
      <c r="U181" s="103"/>
      <c r="V181" s="103"/>
      <c r="W181" s="103"/>
      <c r="X181" s="1559"/>
      <c r="Y181" s="1297"/>
      <c r="Z181" s="1529"/>
      <c r="AA181" s="1297"/>
      <c r="AB181" s="296" t="s">
        <v>2186</v>
      </c>
      <c r="AC181" s="775" t="s">
        <v>2187</v>
      </c>
      <c r="AD181" s="773" t="s">
        <v>936</v>
      </c>
      <c r="AE181" s="1123">
        <f>_xlfn.SUMIFS(ФОТ!AE$25:AE$127,ФОТ!$F$25:$F$127,$F181,ФОТ!$G$25:$G$127,$G181)</f>
        <v>0</v>
      </c>
      <c r="AF181" s="1123">
        <f>_xlfn.SUMIFS(ФОТ!AF$25:AF$127,ФОТ!$F$25:$F$127,$F181,ФОТ!$G$25:$G$127,$G181)</f>
        <v>0</v>
      </c>
      <c r="AG181" s="1123">
        <f>_xlfn.SUMIFS(ФОТ!AG$25:AG$127,ФОТ!$F$25:$F$127,$F181,ФОТ!$G$25:$G$127,$G181)</f>
        <v>0</v>
      </c>
      <c r="AH181" s="1123">
        <f>AG181-AF181</f>
        <v>0</v>
      </c>
      <c r="AI181" s="1123">
        <f>_xlfn.SUMIFS(ФОТ!AH$25:AH$127,ФОТ!$F$25:$F$127,$F181,ФОТ!$G$25:$G$127,$G181)</f>
        <v>0</v>
      </c>
      <c r="AJ181" s="1123">
        <f>_xlfn.SUMIFS(ФОТ!AI$25:AI$127,ФОТ!$F$25:$F$127,$F181,ФОТ!$G$25:$G$127,$G181)</f>
        <v>0</v>
      </c>
      <c r="AK181" s="1124"/>
      <c r="AL181" s="1124"/>
      <c r="AM181" s="1124"/>
      <c r="AN181" s="1124"/>
      <c r="AO181" s="1124"/>
      <c r="AP181" s="1124"/>
      <c r="AQ181" s="1124"/>
      <c r="AR181" s="1124"/>
      <c r="AS181" s="1124"/>
      <c r="AT181" s="1123">
        <f>_xlfn.SUMIFS(ФОТ!AJ$25:AJ$127,ФОТ!$F$25:$F$127,$F181,ФОТ!$G$25:$G$127,$G181)</f>
        <v>0</v>
      </c>
      <c r="AU181" s="1124"/>
      <c r="AV181" s="1124"/>
      <c r="AW181" s="1124"/>
      <c r="AX181" s="1124"/>
      <c r="AY181" s="1124"/>
      <c r="AZ181" s="1124"/>
      <c r="BA181" s="1124"/>
      <c r="BB181" s="1124"/>
      <c r="BC181" s="1124"/>
      <c r="BD181" s="1123">
        <f>IF(AI181=0,0,(AT181-AI181)/AI181*100)</f>
        <v>0</v>
      </c>
      <c r="BE181" s="1124"/>
      <c r="BF181" s="1124"/>
      <c r="BG181" s="1124"/>
      <c r="BH181" s="1124"/>
      <c r="BI181" s="1124"/>
      <c r="BJ181" s="1124"/>
      <c r="BK181" s="1124"/>
      <c r="BL181" s="1124"/>
      <c r="BM181" s="1124"/>
      <c r="BN181" s="6290"/>
      <c r="BO181" s="6294" t="str">
        <f>IF(_xlfn.IFERROR(INDEX(ФОТ!$K$26:$L$127,MATCH($F181&amp;"2komm",ФОТ!$K$26:$K$127,0),2),"")=0,"",_xlfn.IFERROR(INDEX(ФОТ!$K$26:$L$127,MATCH($F181&amp;"2komm",ФОТ!$K$26:$K$127,0),2),""))</f>
        <v/>
      </c>
      <c r="BP181" s="6290"/>
      <c r="BQ181" s="1297"/>
      <c r="BR181" s="1297"/>
      <c r="BS181" s="1070" t="s">
        <v>2011</v>
      </c>
      <c r="BT181" s="1072"/>
      <c r="BU181" s="1072"/>
      <c r="BV181" s="987"/>
      <c r="BW181" s="987"/>
    </row>
    <row s="1656" customFormat="1" customHeight="1" ht="14.625">
      <c r="A182" s="1297"/>
      <c r="B182" s="986"/>
      <c r="C182" s="103"/>
      <c r="D182" s="103"/>
      <c r="E182" s="626">
        <v>15</v>
      </c>
      <c r="F182" s="50" cm="1" t="str">
        <f t="array" ref="F182:F182">OFFSET(E182,-1,1)</f>
        <v>1</v>
      </c>
      <c r="G182" s="103"/>
      <c r="H182" s="864"/>
      <c r="I182" s="864" t="s">
        <v>1727</v>
      </c>
      <c r="J182" s="103"/>
      <c r="K182" s="374" t="s">
        <v>1727</v>
      </c>
      <c r="L182" s="988" t="s">
        <v>2013</v>
      </c>
      <c r="M182" s="103"/>
      <c r="N182" s="103"/>
      <c r="O182" s="103"/>
      <c r="P182" s="103"/>
      <c r="Q182" s="103"/>
      <c r="R182" s="103"/>
      <c r="S182" s="103"/>
      <c r="T182" s="468" cm="1" t="str">
        <f t="array" ref="T182:T182">T181</f>
        <v>true</v>
      </c>
      <c r="U182" s="103"/>
      <c r="V182" s="103"/>
      <c r="W182" s="103"/>
      <c r="X182" s="1559"/>
      <c r="Y182" s="1297"/>
      <c r="Z182" s="1529"/>
      <c r="AA182" s="1297"/>
      <c r="AB182" s="296" t="s">
        <v>1987</v>
      </c>
      <c r="AC182" s="772" t="s">
        <v>2188</v>
      </c>
      <c r="AD182" s="773" t="s">
        <v>936</v>
      </c>
      <c r="AE182" s="6293">
        <v>263.45</v>
      </c>
      <c r="AF182" s="6293"/>
      <c r="AG182" s="6293"/>
      <c r="AH182" s="1123">
        <f>AG182-AF182</f>
        <v>0</v>
      </c>
      <c r="AI182" s="6293"/>
      <c r="AJ182" s="6293"/>
      <c r="AK182" s="1124"/>
      <c r="AL182" s="1124"/>
      <c r="AM182" s="1124"/>
      <c r="AN182" s="1124"/>
      <c r="AO182" s="1124"/>
      <c r="AP182" s="1124"/>
      <c r="AQ182" s="1124"/>
      <c r="AR182" s="1124"/>
      <c r="AS182" s="1124"/>
      <c r="AT182" s="6293"/>
      <c r="AU182" s="1124"/>
      <c r="AV182" s="1124"/>
      <c r="AW182" s="1124"/>
      <c r="AX182" s="1124"/>
      <c r="AY182" s="1124"/>
      <c r="AZ182" s="1124"/>
      <c r="BA182" s="1124"/>
      <c r="BB182" s="1124"/>
      <c r="BC182" s="1124"/>
      <c r="BD182" s="1123">
        <f>IF(AI182=0,0,(AT182-AI182)/AI182*100)</f>
        <v>0</v>
      </c>
      <c r="BE182" s="1124"/>
      <c r="BF182" s="1124"/>
      <c r="BG182" s="1124"/>
      <c r="BH182" s="1124"/>
      <c r="BI182" s="1124"/>
      <c r="BJ182" s="1124"/>
      <c r="BK182" s="1124"/>
      <c r="BL182" s="1124"/>
      <c r="BM182" s="1124"/>
      <c r="BN182" s="6290"/>
      <c r="BO182" s="6290"/>
      <c r="BP182" s="6290"/>
      <c r="BQ182" s="1297"/>
      <c r="BR182" s="1297"/>
      <c r="BS182" s="1071" t="s">
        <v>2016</v>
      </c>
      <c r="BT182" s="1072"/>
      <c r="BU182" s="1072"/>
      <c r="BV182" s="987"/>
      <c r="BW182" s="987"/>
    </row>
    <row s="1656" customFormat="1" customHeight="1" ht="14.25">
      <c r="A183" s="1297"/>
      <c r="B183" s="986"/>
      <c r="C183" s="103"/>
      <c r="D183" s="103"/>
      <c r="E183" s="626">
        <v>15</v>
      </c>
      <c r="F183" s="50" cm="1" t="str">
        <f t="array" ref="F183:F183">OFFSET(E183,-1,1)</f>
        <v>1</v>
      </c>
      <c r="G183" s="103"/>
      <c r="H183" s="864"/>
      <c r="I183" s="864" t="s">
        <v>1731</v>
      </c>
      <c r="J183" s="103"/>
      <c r="K183" s="374" t="s">
        <v>1731</v>
      </c>
      <c r="L183" s="988" t="s">
        <v>2017</v>
      </c>
      <c r="M183" s="1297"/>
      <c r="N183" s="103"/>
      <c r="O183" s="103"/>
      <c r="P183" s="103"/>
      <c r="Q183" s="103"/>
      <c r="R183" s="103"/>
      <c r="S183" s="103"/>
      <c r="T183" s="468" cm="1" t="str">
        <f t="array" ref="T183:T183">T182</f>
        <v>true</v>
      </c>
      <c r="U183" s="103"/>
      <c r="V183" s="103"/>
      <c r="W183" s="103"/>
      <c r="X183" s="1559"/>
      <c r="Y183" s="1297"/>
      <c r="Z183" s="1529"/>
      <c r="AA183" s="1297"/>
      <c r="AB183" s="296" t="s">
        <v>1989</v>
      </c>
      <c r="AC183" s="772" t="s">
        <v>2189</v>
      </c>
      <c r="AD183" s="296" t="s">
        <v>936</v>
      </c>
      <c r="AE183" s="1125">
        <f>SUM(AE184:AE190)</f>
        <v>3230.95</v>
      </c>
      <c r="AF183" s="1125">
        <f>SUM(AF184:AF190)</f>
        <v>0</v>
      </c>
      <c r="AG183" s="1125">
        <f>SUM(AG184:AG190)</f>
        <v>0</v>
      </c>
      <c r="AH183" s="1123">
        <f>AG183-AF183</f>
        <v>0</v>
      </c>
      <c r="AI183" s="1125">
        <f>SUM(AI184:AI190)</f>
        <v>0</v>
      </c>
      <c r="AJ183" s="1125">
        <f>SUM(AJ184:AJ190)</f>
        <v>0</v>
      </c>
      <c r="AK183" s="1124"/>
      <c r="AL183" s="1124"/>
      <c r="AM183" s="1124"/>
      <c r="AN183" s="1124"/>
      <c r="AO183" s="1124"/>
      <c r="AP183" s="1124"/>
      <c r="AQ183" s="1124"/>
      <c r="AR183" s="1124"/>
      <c r="AS183" s="1124"/>
      <c r="AT183" s="1125">
        <f>SUM(AT184:AT190)</f>
        <v>0</v>
      </c>
      <c r="AU183" s="1124"/>
      <c r="AV183" s="1124"/>
      <c r="AW183" s="1124"/>
      <c r="AX183" s="1124"/>
      <c r="AY183" s="1124"/>
      <c r="AZ183" s="1124"/>
      <c r="BA183" s="1124"/>
      <c r="BB183" s="1124"/>
      <c r="BC183" s="1124"/>
      <c r="BD183" s="1123">
        <f>IF(AI183=0,0,(AT183-AI183)/AI183*100)</f>
        <v>0</v>
      </c>
      <c r="BE183" s="1124"/>
      <c r="BF183" s="1124"/>
      <c r="BG183" s="1124"/>
      <c r="BH183" s="1124"/>
      <c r="BI183" s="1124"/>
      <c r="BJ183" s="1124"/>
      <c r="BK183" s="1124"/>
      <c r="BL183" s="1124"/>
      <c r="BM183" s="1124"/>
      <c r="BN183" s="6290"/>
      <c r="BO183" s="6290"/>
      <c r="BP183" s="6290"/>
      <c r="BQ183" s="1297"/>
      <c r="BR183" s="1297"/>
      <c r="BS183" s="1071" t="s">
        <v>2190</v>
      </c>
      <c r="BT183" s="1072"/>
      <c r="BU183" s="1072"/>
      <c r="BV183" s="987"/>
      <c r="BW183" s="987"/>
    </row>
    <row s="1656" customFormat="1" customHeight="1" ht="14.25">
      <c r="A184" s="1297"/>
      <c r="B184" s="986"/>
      <c r="C184" s="103"/>
      <c r="D184" s="103"/>
      <c r="E184" s="626">
        <v>15</v>
      </c>
      <c r="F184" s="50" cm="1" t="str">
        <f t="array" ref="F184:F184">OFFSET(E184,-1,1)</f>
        <v>1</v>
      </c>
      <c r="G184" s="103"/>
      <c r="H184" s="864"/>
      <c r="I184" s="864" t="s">
        <v>2191</v>
      </c>
      <c r="J184" s="103"/>
      <c r="K184" s="374" t="s">
        <v>2191</v>
      </c>
      <c r="L184" s="988" t="s">
        <v>2017</v>
      </c>
      <c r="M184" s="103" t="s">
        <v>2025</v>
      </c>
      <c r="N184" s="103"/>
      <c r="O184" s="103"/>
      <c r="P184" s="103"/>
      <c r="Q184" s="103"/>
      <c r="R184" s="103"/>
      <c r="S184" s="103"/>
      <c r="T184" s="468" cm="1" t="str">
        <f t="array" ref="T184:T184">T183</f>
        <v>true</v>
      </c>
      <c r="U184" s="103"/>
      <c r="V184" s="103"/>
      <c r="W184" s="103"/>
      <c r="X184" s="1559"/>
      <c r="Y184" s="1297"/>
      <c r="Z184" s="1529"/>
      <c r="AA184" s="1297"/>
      <c r="AB184" s="296" t="s">
        <v>2192</v>
      </c>
      <c r="AC184" s="775" t="s">
        <v>2193</v>
      </c>
      <c r="AD184" s="296" t="s">
        <v>936</v>
      </c>
      <c r="AE184" s="6293"/>
      <c r="AF184" s="6293"/>
      <c r="AG184" s="6293"/>
      <c r="AH184" s="1123">
        <f>AG184-AF184</f>
        <v>0</v>
      </c>
      <c r="AI184" s="6293"/>
      <c r="AJ184" s="6293"/>
      <c r="AK184" s="1124"/>
      <c r="AL184" s="1124"/>
      <c r="AM184" s="1124"/>
      <c r="AN184" s="1124"/>
      <c r="AO184" s="1124"/>
      <c r="AP184" s="1124"/>
      <c r="AQ184" s="1124"/>
      <c r="AR184" s="1124"/>
      <c r="AS184" s="1124"/>
      <c r="AT184" s="6293"/>
      <c r="AU184" s="1124"/>
      <c r="AV184" s="1124"/>
      <c r="AW184" s="1124"/>
      <c r="AX184" s="1124"/>
      <c r="AY184" s="1124"/>
      <c r="AZ184" s="1124"/>
      <c r="BA184" s="1124"/>
      <c r="BB184" s="1124"/>
      <c r="BC184" s="1124"/>
      <c r="BD184" s="1123">
        <f>IF(AI184=0,0,(AT184-AI184)/AI184*100)</f>
        <v>0</v>
      </c>
      <c r="BE184" s="1124"/>
      <c r="BF184" s="1124"/>
      <c r="BG184" s="1124"/>
      <c r="BH184" s="1124"/>
      <c r="BI184" s="1124"/>
      <c r="BJ184" s="1124"/>
      <c r="BK184" s="1124"/>
      <c r="BL184" s="1124"/>
      <c r="BM184" s="1124"/>
      <c r="BN184" s="6290"/>
      <c r="BO184" s="6290"/>
      <c r="BP184" s="6290"/>
      <c r="BQ184" s="1297"/>
      <c r="BR184" s="1297"/>
      <c r="BS184" s="1070" t="s">
        <v>2028</v>
      </c>
      <c r="BT184" s="1072"/>
      <c r="BU184" s="1072"/>
      <c r="BV184" s="987"/>
      <c r="BW184" s="987"/>
    </row>
    <row s="1656" customFormat="1" customHeight="1" ht="21.75">
      <c r="A185" s="1297"/>
      <c r="B185" s="986"/>
      <c r="C185" s="103"/>
      <c r="D185" s="103"/>
      <c r="E185" s="626">
        <v>22.5</v>
      </c>
      <c r="F185" s="50" cm="1" t="str">
        <f t="array" ref="F185:F185">OFFSET(E185,-1,1)</f>
        <v>1</v>
      </c>
      <c r="G185" s="103"/>
      <c r="H185" s="864"/>
      <c r="I185" s="864" t="s">
        <v>2194</v>
      </c>
      <c r="J185" s="103"/>
      <c r="K185" s="374" t="s">
        <v>2194</v>
      </c>
      <c r="L185" s="988" t="s">
        <v>2017</v>
      </c>
      <c r="M185" s="103" t="s">
        <v>2021</v>
      </c>
      <c r="N185" s="103"/>
      <c r="O185" s="103"/>
      <c r="P185" s="103"/>
      <c r="Q185" s="103"/>
      <c r="R185" s="103"/>
      <c r="S185" s="103"/>
      <c r="T185" s="468" cm="1" t="str">
        <f t="array" ref="T185:T185">T184</f>
        <v>true</v>
      </c>
      <c r="U185" s="103"/>
      <c r="V185" s="103"/>
      <c r="W185" s="103"/>
      <c r="X185" s="1559"/>
      <c r="Y185" s="1297"/>
      <c r="Z185" s="1529"/>
      <c r="AA185" s="1297"/>
      <c r="AB185" s="296" t="s">
        <v>2195</v>
      </c>
      <c r="AC185" s="775" t="s">
        <v>2196</v>
      </c>
      <c r="AD185" s="296" t="s">
        <v>936</v>
      </c>
      <c r="AE185" s="6293"/>
      <c r="AF185" s="6293"/>
      <c r="AG185" s="6293"/>
      <c r="AH185" s="1123">
        <f>AG185-AF185</f>
        <v>0</v>
      </c>
      <c r="AI185" s="6293"/>
      <c r="AJ185" s="6293"/>
      <c r="AK185" s="1124"/>
      <c r="AL185" s="1124"/>
      <c r="AM185" s="1124"/>
      <c r="AN185" s="1124"/>
      <c r="AO185" s="1124"/>
      <c r="AP185" s="1124"/>
      <c r="AQ185" s="1124"/>
      <c r="AR185" s="1124"/>
      <c r="AS185" s="1124"/>
      <c r="AT185" s="6293"/>
      <c r="AU185" s="1124"/>
      <c r="AV185" s="1124"/>
      <c r="AW185" s="1124"/>
      <c r="AX185" s="1124"/>
      <c r="AY185" s="1124"/>
      <c r="AZ185" s="1124"/>
      <c r="BA185" s="1124"/>
      <c r="BB185" s="1124"/>
      <c r="BC185" s="1124"/>
      <c r="BD185" s="1123">
        <f>IF(AI185=0,0,(AT185-AI185)/AI185*100)</f>
        <v>0</v>
      </c>
      <c r="BE185" s="1124"/>
      <c r="BF185" s="1124"/>
      <c r="BG185" s="1124"/>
      <c r="BH185" s="1124"/>
      <c r="BI185" s="1124"/>
      <c r="BJ185" s="1124"/>
      <c r="BK185" s="1124"/>
      <c r="BL185" s="1124"/>
      <c r="BM185" s="1124"/>
      <c r="BN185" s="6290"/>
      <c r="BO185" s="6290"/>
      <c r="BP185" s="6290"/>
      <c r="BQ185" s="1297"/>
      <c r="BR185" s="1297"/>
      <c r="BS185" s="1072" t="s">
        <v>2197</v>
      </c>
      <c r="BT185" s="1072"/>
      <c r="BU185" s="1072"/>
      <c r="BV185" s="987"/>
      <c r="BW185" s="987"/>
    </row>
    <row s="1656" customFormat="1" customHeight="1" ht="21.75">
      <c r="A186" s="1297"/>
      <c r="B186" s="986"/>
      <c r="C186" s="103"/>
      <c r="D186" s="103"/>
      <c r="E186" s="626">
        <v>22.5</v>
      </c>
      <c r="F186" s="50" cm="1" t="str">
        <f t="array" ref="F186:F186">OFFSET(E186,-1,1)</f>
        <v>1</v>
      </c>
      <c r="G186" s="103"/>
      <c r="H186" s="864"/>
      <c r="I186" s="864" t="s">
        <v>2198</v>
      </c>
      <c r="J186" s="103"/>
      <c r="K186" s="374" t="s">
        <v>2198</v>
      </c>
      <c r="L186" s="1297"/>
      <c r="M186" s="1297"/>
      <c r="N186" s="103"/>
      <c r="O186" s="103"/>
      <c r="P186" s="103"/>
      <c r="Q186" s="103"/>
      <c r="R186" s="103"/>
      <c r="S186" s="103"/>
      <c r="T186" s="468" cm="1" t="str">
        <f t="array" ref="T186:T186">T185</f>
        <v>true</v>
      </c>
      <c r="U186" s="103"/>
      <c r="V186" s="103"/>
      <c r="W186" s="103"/>
      <c r="X186" s="1559"/>
      <c r="Y186" s="1297"/>
      <c r="Z186" s="1529"/>
      <c r="AA186" s="1297"/>
      <c r="AB186" s="296" t="s">
        <v>2199</v>
      </c>
      <c r="AC186" s="776" t="s">
        <v>2200</v>
      </c>
      <c r="AD186" s="296" t="s">
        <v>936</v>
      </c>
      <c r="AE186" s="6293"/>
      <c r="AF186" s="6293"/>
      <c r="AG186" s="6293"/>
      <c r="AH186" s="1123">
        <f>AG186-AF186</f>
        <v>0</v>
      </c>
      <c r="AI186" s="6293"/>
      <c r="AJ186" s="6293"/>
      <c r="AK186" s="1124"/>
      <c r="AL186" s="1124"/>
      <c r="AM186" s="1124"/>
      <c r="AN186" s="1124"/>
      <c r="AO186" s="1124"/>
      <c r="AP186" s="1124"/>
      <c r="AQ186" s="1124"/>
      <c r="AR186" s="1124"/>
      <c r="AS186" s="1124"/>
      <c r="AT186" s="6293"/>
      <c r="AU186" s="1124"/>
      <c r="AV186" s="1124"/>
      <c r="AW186" s="1124"/>
      <c r="AX186" s="1124"/>
      <c r="AY186" s="1124"/>
      <c r="AZ186" s="1124"/>
      <c r="BA186" s="1124"/>
      <c r="BB186" s="1124"/>
      <c r="BC186" s="1124"/>
      <c r="BD186" s="1123">
        <f>IF(AI186=0,0,(AT186-AI186)/AI186*100)</f>
        <v>0</v>
      </c>
      <c r="BE186" s="1124"/>
      <c r="BF186" s="1124"/>
      <c r="BG186" s="1124"/>
      <c r="BH186" s="1124"/>
      <c r="BI186" s="1124"/>
      <c r="BJ186" s="1124"/>
      <c r="BK186" s="1124"/>
      <c r="BL186" s="1124"/>
      <c r="BM186" s="1124"/>
      <c r="BN186" s="6290"/>
      <c r="BO186" s="6290"/>
      <c r="BP186" s="6290"/>
      <c r="BQ186" s="1297"/>
      <c r="BR186" s="1297"/>
      <c r="BS186" s="1072" t="s">
        <v>2201</v>
      </c>
      <c r="BT186" s="1072"/>
      <c r="BU186" s="1072"/>
      <c r="BV186" s="987"/>
      <c r="BW186" s="987"/>
    </row>
    <row s="1656" customFormat="1" customHeight="1" ht="21.75">
      <c r="A187" s="1297"/>
      <c r="B187" s="986"/>
      <c r="C187" s="103"/>
      <c r="D187" s="103"/>
      <c r="E187" s="626">
        <v>22.5</v>
      </c>
      <c r="F187" s="50" cm="1" t="str">
        <f t="array" ref="F187:F187">OFFSET(E187,-1,1)</f>
        <v>1</v>
      </c>
      <c r="G187" s="103"/>
      <c r="H187" s="864"/>
      <c r="I187" s="864" t="s">
        <v>2202</v>
      </c>
      <c r="J187" s="103"/>
      <c r="K187" s="374" t="s">
        <v>2202</v>
      </c>
      <c r="L187" s="988"/>
      <c r="M187" s="1297"/>
      <c r="N187" s="103"/>
      <c r="O187" s="103"/>
      <c r="P187" s="103"/>
      <c r="Q187" s="103"/>
      <c r="R187" s="103"/>
      <c r="S187" s="103"/>
      <c r="T187" s="468" cm="1" t="str">
        <f t="array" ref="T187:T187">T186</f>
        <v>true</v>
      </c>
      <c r="U187" s="103"/>
      <c r="V187" s="103"/>
      <c r="W187" s="103"/>
      <c r="X187" s="1559"/>
      <c r="Y187" s="1297"/>
      <c r="Z187" s="1529"/>
      <c r="AA187" s="1297"/>
      <c r="AB187" s="296" t="s">
        <v>2203</v>
      </c>
      <c r="AC187" s="776" t="s">
        <v>2204</v>
      </c>
      <c r="AD187" s="296" t="s">
        <v>936</v>
      </c>
      <c r="AE187" s="6293"/>
      <c r="AF187" s="6293"/>
      <c r="AG187" s="6293"/>
      <c r="AH187" s="1123">
        <f>AG187-AF187</f>
        <v>0</v>
      </c>
      <c r="AI187" s="6293"/>
      <c r="AJ187" s="6293"/>
      <c r="AK187" s="1124"/>
      <c r="AL187" s="1124"/>
      <c r="AM187" s="1124"/>
      <c r="AN187" s="1124"/>
      <c r="AO187" s="1124"/>
      <c r="AP187" s="1124"/>
      <c r="AQ187" s="1124"/>
      <c r="AR187" s="1124"/>
      <c r="AS187" s="1124"/>
      <c r="AT187" s="6293"/>
      <c r="AU187" s="1124"/>
      <c r="AV187" s="1124"/>
      <c r="AW187" s="1124"/>
      <c r="AX187" s="1124"/>
      <c r="AY187" s="1124"/>
      <c r="AZ187" s="1124"/>
      <c r="BA187" s="1124"/>
      <c r="BB187" s="1124"/>
      <c r="BC187" s="1124"/>
      <c r="BD187" s="1123">
        <f>IF(AI187=0,0,(AT187-AI187)/AI187*100)</f>
        <v>0</v>
      </c>
      <c r="BE187" s="1124"/>
      <c r="BF187" s="1124"/>
      <c r="BG187" s="1124"/>
      <c r="BH187" s="1124"/>
      <c r="BI187" s="1124"/>
      <c r="BJ187" s="1124"/>
      <c r="BK187" s="1124"/>
      <c r="BL187" s="1124"/>
      <c r="BM187" s="1124"/>
      <c r="BN187" s="6290"/>
      <c r="BO187" s="6290"/>
      <c r="BP187" s="6290"/>
      <c r="BQ187" s="1297"/>
      <c r="BR187" s="1297"/>
      <c r="BS187" s="1072" t="s">
        <v>2205</v>
      </c>
      <c r="BT187" s="1072"/>
      <c r="BU187" s="1072"/>
      <c r="BV187" s="987"/>
      <c r="BW187" s="987"/>
    </row>
    <row s="1656" customFormat="1" customHeight="1" ht="43.5">
      <c r="A188" s="1297"/>
      <c r="B188" s="986"/>
      <c r="C188" s="103"/>
      <c r="D188" s="103"/>
      <c r="E188" s="626">
        <v>45</v>
      </c>
      <c r="F188" s="50" cm="1" t="str">
        <f t="array" ref="F188:F188">OFFSET(E188,-1,1)</f>
        <v>1</v>
      </c>
      <c r="G188" s="103"/>
      <c r="H188" s="864"/>
      <c r="I188" s="864" t="s">
        <v>2206</v>
      </c>
      <c r="J188" s="103"/>
      <c r="K188" s="374" t="s">
        <v>2206</v>
      </c>
      <c r="L188" s="988" t="s">
        <v>2017</v>
      </c>
      <c r="M188" s="103" t="s">
        <v>2029</v>
      </c>
      <c r="N188" s="103"/>
      <c r="O188" s="103"/>
      <c r="P188" s="103"/>
      <c r="Q188" s="103"/>
      <c r="R188" s="103"/>
      <c r="S188" s="103"/>
      <c r="T188" s="468" cm="1" t="str">
        <f t="array" ref="T188:T188">T187</f>
        <v>true</v>
      </c>
      <c r="U188" s="103"/>
      <c r="V188" s="103"/>
      <c r="W188" s="103"/>
      <c r="X188" s="1559"/>
      <c r="Y188" s="1297"/>
      <c r="Z188" s="1529"/>
      <c r="AA188" s="1297"/>
      <c r="AB188" s="296" t="s">
        <v>2207</v>
      </c>
      <c r="AC188" s="775" t="s">
        <v>2208</v>
      </c>
      <c r="AD188" s="296" t="s">
        <v>936</v>
      </c>
      <c r="AE188" s="6293"/>
      <c r="AF188" s="6293"/>
      <c r="AG188" s="6293"/>
      <c r="AH188" s="1123">
        <f>AG188-AF188</f>
        <v>0</v>
      </c>
      <c r="AI188" s="6293"/>
      <c r="AJ188" s="6293"/>
      <c r="AK188" s="1124"/>
      <c r="AL188" s="1124"/>
      <c r="AM188" s="1124"/>
      <c r="AN188" s="1124"/>
      <c r="AO188" s="1124"/>
      <c r="AP188" s="1124"/>
      <c r="AQ188" s="1124"/>
      <c r="AR188" s="1124"/>
      <c r="AS188" s="1124"/>
      <c r="AT188" s="6293"/>
      <c r="AU188" s="1124"/>
      <c r="AV188" s="1124"/>
      <c r="AW188" s="1124"/>
      <c r="AX188" s="1124"/>
      <c r="AY188" s="1124"/>
      <c r="AZ188" s="1124"/>
      <c r="BA188" s="1124"/>
      <c r="BB188" s="1124"/>
      <c r="BC188" s="1124"/>
      <c r="BD188" s="1123">
        <f>IF(AI188=0,0,(AT188-AI188)/AI188*100)</f>
        <v>0</v>
      </c>
      <c r="BE188" s="1124"/>
      <c r="BF188" s="1124"/>
      <c r="BG188" s="1124"/>
      <c r="BH188" s="1124"/>
      <c r="BI188" s="1124"/>
      <c r="BJ188" s="1124"/>
      <c r="BK188" s="1124"/>
      <c r="BL188" s="1124"/>
      <c r="BM188" s="1124"/>
      <c r="BN188" s="6290"/>
      <c r="BO188" s="6290"/>
      <c r="BP188" s="6290"/>
      <c r="BQ188" s="1297"/>
      <c r="BR188" s="1297"/>
      <c r="BS188" s="1072" t="s">
        <v>2032</v>
      </c>
      <c r="BT188" s="1072"/>
      <c r="BU188" s="1072"/>
      <c r="BV188" s="987"/>
      <c r="BW188" s="987"/>
    </row>
    <row s="1656" customFormat="1" customHeight="1" ht="14.625">
      <c r="A189" s="1297"/>
      <c r="B189" s="986"/>
      <c r="C189" s="103"/>
      <c r="D189" s="103"/>
      <c r="E189" s="626">
        <v>15</v>
      </c>
      <c r="F189" s="50" cm="1" t="str">
        <f t="array" ref="F189:F189">OFFSET(E189,-1,1)</f>
        <v>1</v>
      </c>
      <c r="G189" s="103"/>
      <c r="H189" s="864"/>
      <c r="I189" s="864" t="s">
        <v>2209</v>
      </c>
      <c r="J189" s="103"/>
      <c r="K189" s="374" t="s">
        <v>2209</v>
      </c>
      <c r="L189" s="988" t="s">
        <v>2017</v>
      </c>
      <c r="M189" s="103" t="s">
        <v>2033</v>
      </c>
      <c r="N189" s="103"/>
      <c r="O189" s="103"/>
      <c r="P189" s="103"/>
      <c r="Q189" s="103"/>
      <c r="R189" s="103"/>
      <c r="S189" s="103"/>
      <c r="T189" s="468" cm="1" t="str">
        <f t="array" ref="T189:T189">T188</f>
        <v>true</v>
      </c>
      <c r="U189" s="103"/>
      <c r="V189" s="103"/>
      <c r="W189" s="103"/>
      <c r="X189" s="1559"/>
      <c r="Y189" s="1297"/>
      <c r="Z189" s="1529"/>
      <c r="AA189" s="1297"/>
      <c r="AB189" s="296" t="s">
        <v>2210</v>
      </c>
      <c r="AC189" s="775" t="s">
        <v>2035</v>
      </c>
      <c r="AD189" s="296" t="s">
        <v>936</v>
      </c>
      <c r="AE189" s="6293">
        <v>3230.95</v>
      </c>
      <c r="AF189" s="6293"/>
      <c r="AG189" s="6293"/>
      <c r="AH189" s="1123">
        <f>AG189-AF189</f>
        <v>0</v>
      </c>
      <c r="AI189" s="6293"/>
      <c r="AJ189" s="6293"/>
      <c r="AK189" s="1124"/>
      <c r="AL189" s="1124"/>
      <c r="AM189" s="1124"/>
      <c r="AN189" s="1124"/>
      <c r="AO189" s="1124"/>
      <c r="AP189" s="1124"/>
      <c r="AQ189" s="1124"/>
      <c r="AR189" s="1124"/>
      <c r="AS189" s="1124"/>
      <c r="AT189" s="6293"/>
      <c r="AU189" s="1124"/>
      <c r="AV189" s="1124"/>
      <c r="AW189" s="1124"/>
      <c r="AX189" s="1124"/>
      <c r="AY189" s="1124"/>
      <c r="AZ189" s="1124"/>
      <c r="BA189" s="1124"/>
      <c r="BB189" s="1124"/>
      <c r="BC189" s="1124"/>
      <c r="BD189" s="1123">
        <f>IF(AI189=0,0,(AT189-AI189)/AI189*100)</f>
        <v>0</v>
      </c>
      <c r="BE189" s="1124"/>
      <c r="BF189" s="1124"/>
      <c r="BG189" s="1124"/>
      <c r="BH189" s="1124"/>
      <c r="BI189" s="1124"/>
      <c r="BJ189" s="1124"/>
      <c r="BK189" s="1124"/>
      <c r="BL189" s="1124"/>
      <c r="BM189" s="1124"/>
      <c r="BN189" s="6290"/>
      <c r="BO189" s="6290"/>
      <c r="BP189" s="6290"/>
      <c r="BQ189" s="1297"/>
      <c r="BR189" s="1297"/>
      <c r="BS189" s="1072" t="s">
        <v>2036</v>
      </c>
      <c r="BT189" s="1072"/>
      <c r="BU189" s="1072"/>
      <c r="BV189" s="987"/>
      <c r="BW189" s="987"/>
    </row>
    <row s="1656" customFormat="1" customHeight="1" ht="14.25">
      <c r="A190" s="1297"/>
      <c r="B190" s="986"/>
      <c r="C190" s="103"/>
      <c r="D190" s="103"/>
      <c r="E190" s="626">
        <v>15</v>
      </c>
      <c r="F190" s="50" cm="1" t="str">
        <f t="array" ref="F190:F190">OFFSET(E190,-1,1)</f>
        <v>1</v>
      </c>
      <c r="G190" s="103"/>
      <c r="H190" s="864"/>
      <c r="I190" s="864" t="s">
        <v>2211</v>
      </c>
      <c r="J190" s="103"/>
      <c r="K190" s="374" t="s">
        <v>2211</v>
      </c>
      <c r="L190" s="988"/>
      <c r="M190" s="103"/>
      <c r="N190" s="103"/>
      <c r="O190" s="103"/>
      <c r="P190" s="103"/>
      <c r="Q190" s="103"/>
      <c r="R190" s="103"/>
      <c r="S190" s="103"/>
      <c r="T190" s="468" cm="1" t="str">
        <f t="array" ref="T190:T190">T189</f>
        <v>true</v>
      </c>
      <c r="U190" s="103"/>
      <c r="V190" s="103"/>
      <c r="W190" s="103"/>
      <c r="X190" s="1559"/>
      <c r="Y190" s="1297"/>
      <c r="Z190" s="1529"/>
      <c r="AA190" s="1297"/>
      <c r="AB190" s="296" t="s">
        <v>2212</v>
      </c>
      <c r="AC190" s="775" t="s">
        <v>2213</v>
      </c>
      <c r="AD190" s="296" t="s">
        <v>936</v>
      </c>
      <c r="AE190" s="6293"/>
      <c r="AF190" s="6293"/>
      <c r="AG190" s="6293"/>
      <c r="AH190" s="1123">
        <f>AG190-AF190</f>
        <v>0</v>
      </c>
      <c r="AI190" s="6293"/>
      <c r="AJ190" s="1377"/>
      <c r="AK190" s="1124"/>
      <c r="AL190" s="1124"/>
      <c r="AM190" s="1124"/>
      <c r="AN190" s="1124"/>
      <c r="AO190" s="1124"/>
      <c r="AP190" s="1124"/>
      <c r="AQ190" s="1124"/>
      <c r="AR190" s="1124"/>
      <c r="AS190" s="1124"/>
      <c r="AT190" s="1447"/>
      <c r="AU190" s="1124"/>
      <c r="AV190" s="1124"/>
      <c r="AW190" s="1124"/>
      <c r="AX190" s="1124"/>
      <c r="AY190" s="1124"/>
      <c r="AZ190" s="1124"/>
      <c r="BA190" s="1124"/>
      <c r="BB190" s="1124"/>
      <c r="BC190" s="1124"/>
      <c r="BD190" s="1123">
        <f>IF(AI190=0,0,(AT190-AI190)/AI190*100)</f>
        <v>0</v>
      </c>
      <c r="BE190" s="1124"/>
      <c r="BF190" s="1124"/>
      <c r="BG190" s="1124"/>
      <c r="BH190" s="1124"/>
      <c r="BI190" s="1124"/>
      <c r="BJ190" s="1124"/>
      <c r="BK190" s="1124"/>
      <c r="BL190" s="1124"/>
      <c r="BM190" s="1124"/>
      <c r="BN190" s="6290"/>
      <c r="BO190" s="6290"/>
      <c r="BP190" s="6290"/>
      <c r="BQ190" s="1297"/>
      <c r="BR190" s="1297"/>
      <c r="BS190" s="1072" t="s">
        <v>2020</v>
      </c>
      <c r="BT190" s="1072"/>
      <c r="BU190" s="1072"/>
      <c r="BV190" s="987"/>
      <c r="BW190" s="987"/>
    </row>
    <row s="6297" customFormat="1" customHeight="1" ht="20.25">
      <c r="A191" s="706"/>
      <c r="B191" s="437"/>
      <c r="C191" s="105"/>
      <c r="D191" s="105"/>
      <c r="E191" s="833">
        <v>21</v>
      </c>
      <c r="F191" s="50" cm="1" t="str">
        <f t="array" ref="F191:F191">OFFSET(E191,-1,1)</f>
        <v>1</v>
      </c>
      <c r="G191" s="105"/>
      <c r="H191" s="864"/>
      <c r="I191" s="864" t="s">
        <v>573</v>
      </c>
      <c r="J191" s="105"/>
      <c r="K191" s="374" t="s">
        <v>573</v>
      </c>
      <c r="L191" s="993"/>
      <c r="M191" s="105"/>
      <c r="N191" s="105"/>
      <c r="O191" s="105"/>
      <c r="P191" s="105"/>
      <c r="Q191" s="105"/>
      <c r="R191" s="105"/>
      <c r="S191" s="105"/>
      <c r="T191" s="468" cm="1" t="str">
        <f t="array" ref="T191:T191">T190</f>
        <v>true</v>
      </c>
      <c r="U191" s="105"/>
      <c r="V191" s="105"/>
      <c r="W191" s="105"/>
      <c r="X191" s="1559"/>
      <c r="Y191" s="706"/>
      <c r="Z191" s="1529"/>
      <c r="AA191" s="706"/>
      <c r="AB191" s="207" t="s">
        <v>1073</v>
      </c>
      <c r="AC191" s="357" t="s">
        <v>2039</v>
      </c>
      <c r="AD191" s="207" t="s">
        <v>936</v>
      </c>
      <c r="AE191" s="209">
        <f>AE192+AE193+AE194</f>
        <v>138049.69</v>
      </c>
      <c r="AF191" s="209">
        <f>AF192+AF193+AF194</f>
        <v>0</v>
      </c>
      <c r="AG191" s="209">
        <f>AG192+AG193+AG194</f>
        <v>0</v>
      </c>
      <c r="AH191" s="785">
        <f>AG191-AF191</f>
        <v>0</v>
      </c>
      <c r="AI191" s="209">
        <f>AI192+AI193+AI194</f>
        <v>0</v>
      </c>
      <c r="AJ191" s="209">
        <f>AJ192+AJ193+AJ194</f>
        <v>0</v>
      </c>
      <c r="AK191" s="212"/>
      <c r="AL191" s="212"/>
      <c r="AM191" s="212"/>
      <c r="AN191" s="212"/>
      <c r="AO191" s="212"/>
      <c r="AP191" s="212"/>
      <c r="AQ191" s="212"/>
      <c r="AR191" s="212"/>
      <c r="AS191" s="212"/>
      <c r="AT191" s="209">
        <f>AT192+AT193+AT194</f>
        <v>0</v>
      </c>
      <c r="AU191" s="212"/>
      <c r="AV191" s="212"/>
      <c r="AW191" s="212"/>
      <c r="AX191" s="212"/>
      <c r="AY191" s="212"/>
      <c r="AZ191" s="212"/>
      <c r="BA191" s="212"/>
      <c r="BB191" s="212"/>
      <c r="BC191" s="212"/>
      <c r="BD191" s="785">
        <f>IF(AI191=0,0,(AT191-AI191)/AI191*100)</f>
        <v>0</v>
      </c>
      <c r="BE191" s="212"/>
      <c r="BF191" s="212"/>
      <c r="BG191" s="212"/>
      <c r="BH191" s="212"/>
      <c r="BI191" s="212"/>
      <c r="BJ191" s="212"/>
      <c r="BK191" s="212"/>
      <c r="BL191" s="212"/>
      <c r="BM191" s="212"/>
      <c r="BN191" s="6292"/>
      <c r="BO191" s="6292"/>
      <c r="BP191" s="6292"/>
      <c r="BQ191" s="706"/>
      <c r="BR191" s="706"/>
      <c r="BS191" s="1071" t="s">
        <v>2040</v>
      </c>
      <c r="BT191" s="1078"/>
      <c r="BU191" s="1078"/>
      <c r="BV191" s="713"/>
      <c r="BW191" s="713"/>
    </row>
    <row s="1656" customFormat="1" customHeight="1" ht="23.25">
      <c r="A192" s="1297"/>
      <c r="B192" s="986"/>
      <c r="C192" s="103"/>
      <c r="D192" s="103"/>
      <c r="E192" s="626">
        <v>22.5</v>
      </c>
      <c r="F192" s="50" cm="1" t="str">
        <f t="array" ref="F192:F192">OFFSET(E192,-1,1)</f>
        <v>1</v>
      </c>
      <c r="G192" s="103"/>
      <c r="H192" s="864"/>
      <c r="I192" s="864" t="s">
        <v>1563</v>
      </c>
      <c r="J192" s="103"/>
      <c r="K192" s="374" t="s">
        <v>1563</v>
      </c>
      <c r="L192" s="988"/>
      <c r="M192" s="103"/>
      <c r="N192" s="103"/>
      <c r="O192" s="103"/>
      <c r="P192" s="103"/>
      <c r="Q192" s="103"/>
      <c r="R192" s="103"/>
      <c r="S192" s="103"/>
      <c r="T192" s="468" cm="1" t="str">
        <f t="array" ref="T192:T192">T191</f>
        <v>true</v>
      </c>
      <c r="U192" s="103"/>
      <c r="V192" s="103"/>
      <c r="W192" s="103"/>
      <c r="X192" s="1559"/>
      <c r="Y192" s="1297"/>
      <c r="Z192" s="1529"/>
      <c r="AA192" s="1297"/>
      <c r="AB192" s="296" t="s">
        <v>1564</v>
      </c>
      <c r="AC192" s="772" t="s">
        <v>2214</v>
      </c>
      <c r="AD192" s="296" t="s">
        <v>936</v>
      </c>
      <c r="AE192" s="6293">
        <v>68835.39</v>
      </c>
      <c r="AF192" s="6293"/>
      <c r="AG192" s="6293"/>
      <c r="AH192" s="1123">
        <f>AG192-AF192</f>
        <v>0</v>
      </c>
      <c r="AI192" s="6293"/>
      <c r="AJ192" s="6293"/>
      <c r="AK192" s="1124"/>
      <c r="AL192" s="1124"/>
      <c r="AM192" s="1124"/>
      <c r="AN192" s="1124"/>
      <c r="AO192" s="1124"/>
      <c r="AP192" s="1124"/>
      <c r="AQ192" s="1124"/>
      <c r="AR192" s="1124"/>
      <c r="AS192" s="1124"/>
      <c r="AT192" s="6293"/>
      <c r="AU192" s="1124"/>
      <c r="AV192" s="1124"/>
      <c r="AW192" s="1124"/>
      <c r="AX192" s="1124"/>
      <c r="AY192" s="1124"/>
      <c r="AZ192" s="1124"/>
      <c r="BA192" s="1124"/>
      <c r="BB192" s="1124"/>
      <c r="BC192" s="1124"/>
      <c r="BD192" s="1123">
        <f>IF(AI192=0,0,(AT192-AI192)/AI192*100)</f>
        <v>0</v>
      </c>
      <c r="BE192" s="1124"/>
      <c r="BF192" s="1124"/>
      <c r="BG192" s="1124"/>
      <c r="BH192" s="1124"/>
      <c r="BI192" s="1124"/>
      <c r="BJ192" s="1124"/>
      <c r="BK192" s="1124"/>
      <c r="BL192" s="1124"/>
      <c r="BM192" s="1124"/>
      <c r="BN192" s="6290"/>
      <c r="BO192" s="6290"/>
      <c r="BP192" s="6290"/>
      <c r="BQ192" s="1297"/>
      <c r="BR192" s="1297"/>
      <c r="BS192" s="1070" t="s">
        <v>2042</v>
      </c>
      <c r="BT192" s="1072"/>
      <c r="BU192" s="1072"/>
      <c r="BV192" s="987"/>
      <c r="BW192" s="987"/>
    </row>
    <row s="1656" customFormat="1" customHeight="1" ht="23.25">
      <c r="A193" s="1297"/>
      <c r="B193" s="986"/>
      <c r="C193" s="103"/>
      <c r="D193" s="103"/>
      <c r="E193" s="626">
        <v>22.5</v>
      </c>
      <c r="F193" s="50" cm="1" t="str">
        <f t="array" ref="F193:F193">OFFSET(E193,-1,1)</f>
        <v>1</v>
      </c>
      <c r="G193" s="103"/>
      <c r="H193" s="864"/>
      <c r="I193" s="864" t="s">
        <v>1567</v>
      </c>
      <c r="J193" s="103"/>
      <c r="K193" s="374" t="s">
        <v>1567</v>
      </c>
      <c r="L193" s="988"/>
      <c r="M193" s="103"/>
      <c r="N193" s="103"/>
      <c r="O193" s="103"/>
      <c r="P193" s="103"/>
      <c r="Q193" s="103"/>
      <c r="R193" s="103"/>
      <c r="S193" s="103"/>
      <c r="T193" s="468" cm="1" t="str">
        <f t="array" ref="T193:T193">T192</f>
        <v>true</v>
      </c>
      <c r="U193" s="103"/>
      <c r="V193" s="103"/>
      <c r="W193" s="103"/>
      <c r="X193" s="1559"/>
      <c r="Y193" s="1297"/>
      <c r="Z193" s="1529"/>
      <c r="AA193" s="1297"/>
      <c r="AB193" s="296" t="s">
        <v>1568</v>
      </c>
      <c r="AC193" s="772" t="s">
        <v>2215</v>
      </c>
      <c r="AD193" s="296" t="s">
        <v>936</v>
      </c>
      <c r="AE193" s="6293">
        <v>69214.3</v>
      </c>
      <c r="AF193" s="6293"/>
      <c r="AG193" s="6293"/>
      <c r="AH193" s="1123">
        <f>AG193-AF193</f>
        <v>0</v>
      </c>
      <c r="AI193" s="6293"/>
      <c r="AJ193" s="6293"/>
      <c r="AK193" s="1124"/>
      <c r="AL193" s="1124"/>
      <c r="AM193" s="1124"/>
      <c r="AN193" s="1124"/>
      <c r="AO193" s="1124"/>
      <c r="AP193" s="1124"/>
      <c r="AQ193" s="1124"/>
      <c r="AR193" s="1124"/>
      <c r="AS193" s="1124"/>
      <c r="AT193" s="6293"/>
      <c r="AU193" s="1124"/>
      <c r="AV193" s="1124"/>
      <c r="AW193" s="1124"/>
      <c r="AX193" s="1124"/>
      <c r="AY193" s="1124"/>
      <c r="AZ193" s="1124"/>
      <c r="BA193" s="1124"/>
      <c r="BB193" s="1124"/>
      <c r="BC193" s="1124"/>
      <c r="BD193" s="1123">
        <f>IF(AI193=0,0,(AT193-AI193)/AI193*100)</f>
        <v>0</v>
      </c>
      <c r="BE193" s="1124"/>
      <c r="BF193" s="1124"/>
      <c r="BG193" s="1124"/>
      <c r="BH193" s="1124"/>
      <c r="BI193" s="1124"/>
      <c r="BJ193" s="1124"/>
      <c r="BK193" s="1124"/>
      <c r="BL193" s="1124"/>
      <c r="BM193" s="1124"/>
      <c r="BN193" s="6290"/>
      <c r="BO193" s="6290"/>
      <c r="BP193" s="6290"/>
      <c r="BQ193" s="1297"/>
      <c r="BR193" s="1297"/>
      <c r="BS193" s="1072" t="s">
        <v>2216</v>
      </c>
      <c r="BT193" s="1072"/>
      <c r="BU193" s="1072"/>
      <c r="BV193" s="987"/>
      <c r="BW193" s="987"/>
    </row>
    <row s="1656" customFormat="1" customHeight="1" ht="21.75">
      <c r="A194" s="1297"/>
      <c r="B194" s="986"/>
      <c r="C194" s="103"/>
      <c r="D194" s="103"/>
      <c r="E194" s="626">
        <v>22.5</v>
      </c>
      <c r="F194" s="50" cm="1" t="str">
        <f t="array" ref="F194:F194">OFFSET(E194,-1,1)</f>
        <v>1</v>
      </c>
      <c r="G194" s="103"/>
      <c r="H194" s="864"/>
      <c r="I194" s="864" t="s">
        <v>1571</v>
      </c>
      <c r="J194" s="103"/>
      <c r="K194" s="374" t="s">
        <v>1571</v>
      </c>
      <c r="L194" s="988" t="s">
        <v>587</v>
      </c>
      <c r="M194" s="103"/>
      <c r="N194" s="103"/>
      <c r="O194" s="103"/>
      <c r="P194" s="103"/>
      <c r="Q194" s="103"/>
      <c r="R194" s="103"/>
      <c r="S194" s="103"/>
      <c r="T194" s="468" cm="1" t="str">
        <f t="array" ref="T194:T194">T193</f>
        <v>true</v>
      </c>
      <c r="U194" s="103"/>
      <c r="V194" s="103"/>
      <c r="W194" s="103"/>
      <c r="X194" s="1559"/>
      <c r="Y194" s="1297"/>
      <c r="Z194" s="1529"/>
      <c r="AA194" s="1297"/>
      <c r="AB194" s="296" t="s">
        <v>1572</v>
      </c>
      <c r="AC194" s="772" t="s">
        <v>2217</v>
      </c>
      <c r="AD194" s="296" t="s">
        <v>936</v>
      </c>
      <c r="AE194" s="1125">
        <f>AE195+AE196</f>
        <v>0</v>
      </c>
      <c r="AF194" s="1125">
        <f>AF195+AF196</f>
        <v>0</v>
      </c>
      <c r="AG194" s="1125">
        <f>AG195+AG196</f>
        <v>0</v>
      </c>
      <c r="AH194" s="1123">
        <f>AG194-AF194</f>
        <v>0</v>
      </c>
      <c r="AI194" s="1125">
        <f>AI195+AI196</f>
        <v>0</v>
      </c>
      <c r="AJ194" s="1125">
        <f>AJ195+AJ196</f>
        <v>0</v>
      </c>
      <c r="AK194" s="1124"/>
      <c r="AL194" s="1124"/>
      <c r="AM194" s="1124"/>
      <c r="AN194" s="1124"/>
      <c r="AO194" s="1124"/>
      <c r="AP194" s="1124"/>
      <c r="AQ194" s="1124"/>
      <c r="AR194" s="1124"/>
      <c r="AS194" s="1124"/>
      <c r="AT194" s="1125">
        <f>AT195+AT196</f>
        <v>0</v>
      </c>
      <c r="AU194" s="1124"/>
      <c r="AV194" s="1124"/>
      <c r="AW194" s="1124"/>
      <c r="AX194" s="1124"/>
      <c r="AY194" s="1124"/>
      <c r="AZ194" s="1124"/>
      <c r="BA194" s="1124"/>
      <c r="BB194" s="1124"/>
      <c r="BC194" s="1124"/>
      <c r="BD194" s="1123">
        <f>IF(AI194=0,0,(AT194-AI194)/AI194*100)</f>
        <v>0</v>
      </c>
      <c r="BE194" s="1124"/>
      <c r="BF194" s="1124"/>
      <c r="BG194" s="1124"/>
      <c r="BH194" s="1124"/>
      <c r="BI194" s="1124"/>
      <c r="BJ194" s="1124"/>
      <c r="BK194" s="1124"/>
      <c r="BL194" s="1124"/>
      <c r="BM194" s="1124"/>
      <c r="BN194" s="6290"/>
      <c r="BO194" s="6290"/>
      <c r="BP194" s="6290"/>
      <c r="BQ194" s="1297"/>
      <c r="BR194" s="1297"/>
      <c r="BS194" s="1070" t="s">
        <v>2044</v>
      </c>
      <c r="BT194" s="1072"/>
      <c r="BU194" s="1072"/>
      <c r="BV194" s="987"/>
      <c r="BW194" s="987"/>
    </row>
    <row s="1656" customFormat="1" customHeight="1" ht="14.25">
      <c r="A195" s="1297"/>
      <c r="B195" s="986"/>
      <c r="C195" s="103"/>
      <c r="D195" s="103"/>
      <c r="E195" s="626">
        <v>15</v>
      </c>
      <c r="F195" s="50" cm="1" t="str">
        <f t="array" ref="F195:F195">OFFSET(E195,-1,1)</f>
        <v>1</v>
      </c>
      <c r="G195" s="855" t="s">
        <v>1365</v>
      </c>
      <c r="H195" s="864"/>
      <c r="I195" s="864" t="s">
        <v>2218</v>
      </c>
      <c r="J195" s="103"/>
      <c r="K195" s="374" t="s">
        <v>2218</v>
      </c>
      <c r="L195" s="988" t="s">
        <v>2045</v>
      </c>
      <c r="M195" s="103"/>
      <c r="N195" s="103"/>
      <c r="O195" s="103"/>
      <c r="P195" s="103"/>
      <c r="Q195" s="103"/>
      <c r="R195" s="103"/>
      <c r="S195" s="103"/>
      <c r="T195" s="468" cm="1" t="str">
        <f t="array" ref="T195:T195">T194</f>
        <v>true</v>
      </c>
      <c r="U195" s="103"/>
      <c r="V195" s="103"/>
      <c r="W195" s="103"/>
      <c r="X195" s="1559"/>
      <c r="Y195" s="1297"/>
      <c r="Z195" s="1529"/>
      <c r="AA195" s="1297"/>
      <c r="AB195" s="296" t="s">
        <v>2219</v>
      </c>
      <c r="AC195" s="775" t="s">
        <v>2046</v>
      </c>
      <c r="AD195" s="296" t="s">
        <v>936</v>
      </c>
      <c r="AE195" s="1123">
        <f>_xlfn.SUMIFS(ФОТ!AE$25:AE$127,ФОТ!$F$25:$F$127,$F195,ФОТ!$G$25:$G$127,$G195)</f>
        <v>0</v>
      </c>
      <c r="AF195" s="1123">
        <f>_xlfn.SUMIFS(ФОТ!AF$25:AF$127,ФОТ!$F$25:$F$127,$F195,ФОТ!$G$25:$G$127,$G195)</f>
        <v>0</v>
      </c>
      <c r="AG195" s="1123">
        <f>_xlfn.SUMIFS(ФОТ!AG$25:AG$127,ФОТ!$F$25:$F$127,$F195,ФОТ!$G$25:$G$127,$G195)</f>
        <v>0</v>
      </c>
      <c r="AH195" s="1123">
        <f>AG195-AF195</f>
        <v>0</v>
      </c>
      <c r="AI195" s="1123">
        <f>_xlfn.SUMIFS(ФОТ!AH$25:AH$127,ФОТ!$F$25:$F$127,$F195,ФОТ!$G$25:$G$127,$G195)</f>
        <v>0</v>
      </c>
      <c r="AJ195" s="1123">
        <f>_xlfn.SUMIFS(ФОТ!AI$25:AI$127,ФОТ!$F$25:$F$127,$F195,ФОТ!$G$25:$G$127,$G195)</f>
        <v>0</v>
      </c>
      <c r="AK195" s="1124"/>
      <c r="AL195" s="1124"/>
      <c r="AM195" s="1124"/>
      <c r="AN195" s="1124"/>
      <c r="AO195" s="1124"/>
      <c r="AP195" s="1124"/>
      <c r="AQ195" s="1124"/>
      <c r="AR195" s="1124"/>
      <c r="AS195" s="1124"/>
      <c r="AT195" s="1123">
        <f>_xlfn.SUMIFS(ФОТ!AJ$25:AJ$127,ФОТ!$F$25:$F$127,$F195,ФОТ!$G$25:$G$127,$G195)</f>
        <v>0</v>
      </c>
      <c r="AU195" s="1124"/>
      <c r="AV195" s="1124"/>
      <c r="AW195" s="1124"/>
      <c r="AX195" s="1124"/>
      <c r="AY195" s="1124"/>
      <c r="AZ195" s="1124"/>
      <c r="BA195" s="1124"/>
      <c r="BB195" s="1124"/>
      <c r="BC195" s="1124"/>
      <c r="BD195" s="1123">
        <f>IF(AI195=0,0,(AT195-AI195)/AI195*100)</f>
        <v>0</v>
      </c>
      <c r="BE195" s="1124"/>
      <c r="BF195" s="1124"/>
      <c r="BG195" s="1124"/>
      <c r="BH195" s="1124"/>
      <c r="BI195" s="1124"/>
      <c r="BJ195" s="1124"/>
      <c r="BK195" s="1124"/>
      <c r="BL195" s="1124"/>
      <c r="BM195" s="1124"/>
      <c r="BN195" s="6290"/>
      <c r="BO195" s="6294" t="str">
        <f>IF(_xlfn.IFERROR(INDEX(ФОТ!$K$26:$L$127,MATCH($F195&amp;"3komm",ФОТ!$K$26:$K$127,0),2),"")=0,"",_xlfn.IFERROR(INDEX(ФОТ!$K$26:$L$127,MATCH($F195&amp;"3komm",ФОТ!$K$26:$K$127,0),2),""))</f>
        <v/>
      </c>
      <c r="BP195" s="6290"/>
      <c r="BQ195" s="1297"/>
      <c r="BR195" s="1297"/>
      <c r="BS195" s="1070" t="s">
        <v>2047</v>
      </c>
      <c r="BT195" s="1072"/>
      <c r="BU195" s="1072"/>
      <c r="BV195" s="987"/>
      <c r="BW195" s="987"/>
    </row>
    <row s="1656" customFormat="1" customHeight="1" ht="21.75">
      <c r="A196" s="1297"/>
      <c r="B196" s="986"/>
      <c r="C196" s="103"/>
      <c r="D196" s="103"/>
      <c r="E196" s="626">
        <v>22.5</v>
      </c>
      <c r="F196" s="50" cm="1" t="str">
        <f t="array" ref="F196:F196">OFFSET(E196,-1,1)</f>
        <v>1</v>
      </c>
      <c r="G196" s="855" t="s">
        <v>1370</v>
      </c>
      <c r="H196" s="864"/>
      <c r="I196" s="864" t="s">
        <v>2220</v>
      </c>
      <c r="J196" s="103"/>
      <c r="K196" s="374" t="s">
        <v>2220</v>
      </c>
      <c r="L196" s="988" t="s">
        <v>2048</v>
      </c>
      <c r="M196" s="103"/>
      <c r="N196" s="103"/>
      <c r="O196" s="103"/>
      <c r="P196" s="103"/>
      <c r="Q196" s="103"/>
      <c r="R196" s="103"/>
      <c r="S196" s="103"/>
      <c r="T196" s="468" cm="1" t="str">
        <f t="array" ref="T196:T196">T195</f>
        <v>true</v>
      </c>
      <c r="U196" s="103"/>
      <c r="V196" s="103"/>
      <c r="W196" s="103"/>
      <c r="X196" s="1559"/>
      <c r="Y196" s="1297"/>
      <c r="Z196" s="1529"/>
      <c r="AA196" s="1297"/>
      <c r="AB196" s="296" t="s">
        <v>2221</v>
      </c>
      <c r="AC196" s="775" t="s">
        <v>2222</v>
      </c>
      <c r="AD196" s="296" t="s">
        <v>936</v>
      </c>
      <c r="AE196" s="1123">
        <f>_xlfn.SUMIFS(ФОТ!AE$25:AE$127,ФОТ!$F$25:$F$127,$F196,ФОТ!$G$25:$G$127,$G196)</f>
        <v>0</v>
      </c>
      <c r="AF196" s="1123">
        <f>_xlfn.SUMIFS(ФОТ!AF$25:AF$127,ФОТ!$F$25:$F$127,$F196,ФОТ!$G$25:$G$127,$G196)</f>
        <v>0</v>
      </c>
      <c r="AG196" s="1123">
        <f>_xlfn.SUMIFS(ФОТ!AG$25:AG$127,ФОТ!$F$25:$F$127,$F196,ФОТ!$G$25:$G$127,$G196)</f>
        <v>0</v>
      </c>
      <c r="AH196" s="1123">
        <f>AG196-AF196</f>
        <v>0</v>
      </c>
      <c r="AI196" s="1123">
        <f>_xlfn.SUMIFS(ФОТ!AH$25:AH$127,ФОТ!$F$25:$F$127,$F196,ФОТ!$G$25:$G$127,$G196)</f>
        <v>0</v>
      </c>
      <c r="AJ196" s="1123">
        <f>_xlfn.SUMIFS(ФОТ!AI$25:AI$127,ФОТ!$F$25:$F$127,$F196,ФОТ!$G$25:$G$127,$G196)</f>
        <v>0</v>
      </c>
      <c r="AK196" s="1124"/>
      <c r="AL196" s="1124"/>
      <c r="AM196" s="1124"/>
      <c r="AN196" s="1124"/>
      <c r="AO196" s="1124"/>
      <c r="AP196" s="1124"/>
      <c r="AQ196" s="1124"/>
      <c r="AR196" s="1124"/>
      <c r="AS196" s="1124"/>
      <c r="AT196" s="1123">
        <f>_xlfn.SUMIFS(ФОТ!AJ$25:AJ$127,ФОТ!$F$25:$F$127,$F196,ФОТ!$G$25:$G$127,$G196)</f>
        <v>0</v>
      </c>
      <c r="AU196" s="1124"/>
      <c r="AV196" s="1124"/>
      <c r="AW196" s="1124"/>
      <c r="AX196" s="1124"/>
      <c r="AY196" s="1124"/>
      <c r="AZ196" s="1124"/>
      <c r="BA196" s="1124"/>
      <c r="BB196" s="1124"/>
      <c r="BC196" s="1124"/>
      <c r="BD196" s="1123">
        <f>IF(AI196=0,0,(AT196-AI196)/AI196*100)</f>
        <v>0</v>
      </c>
      <c r="BE196" s="1124"/>
      <c r="BF196" s="1124"/>
      <c r="BG196" s="1124"/>
      <c r="BH196" s="1124"/>
      <c r="BI196" s="1124"/>
      <c r="BJ196" s="1124"/>
      <c r="BK196" s="1124"/>
      <c r="BL196" s="1124"/>
      <c r="BM196" s="1124"/>
      <c r="BN196" s="6290"/>
      <c r="BO196" s="6294" t="str">
        <f>IF(_xlfn.IFERROR(INDEX(ФОТ!$K$26:$L$127,MATCH($F196&amp;"4komm",ФОТ!$K$26:$K$127,0),2),"")=0,"",_xlfn.IFERROR(INDEX(ФОТ!$K$26:$L$127,MATCH($F196&amp;"4komm",ФОТ!$K$26:$K$127,0),2),""))</f>
        <v/>
      </c>
      <c r="BP196" s="6290"/>
      <c r="BQ196" s="1297"/>
      <c r="BR196" s="1297"/>
      <c r="BS196" s="1070" t="s">
        <v>2050</v>
      </c>
      <c r="BT196" s="1072"/>
      <c r="BU196" s="1072"/>
      <c r="BV196" s="987"/>
      <c r="BW196" s="987"/>
    </row>
    <row s="6298" customFormat="1" customHeight="1" ht="20.25">
      <c r="A197" s="706"/>
      <c r="B197" s="437"/>
      <c r="C197" s="105"/>
      <c r="D197" s="105"/>
      <c r="E197" s="833">
        <v>21</v>
      </c>
      <c r="F197" s="50" cm="1" t="str">
        <f t="array" ref="F197:F197">OFFSET(E197,-1,1)</f>
        <v>1</v>
      </c>
      <c r="G197" s="105"/>
      <c r="H197" s="864"/>
      <c r="I197" s="864" t="s">
        <v>577</v>
      </c>
      <c r="J197" s="105"/>
      <c r="K197" s="374" t="s">
        <v>577</v>
      </c>
      <c r="L197" s="993" t="s">
        <v>346</v>
      </c>
      <c r="M197" s="105"/>
      <c r="N197" s="105"/>
      <c r="O197" s="105"/>
      <c r="P197" s="105"/>
      <c r="Q197" s="105"/>
      <c r="R197" s="105"/>
      <c r="S197" s="105"/>
      <c r="T197" s="468" cm="1" t="str">
        <f t="array" ref="T197:T197">T196</f>
        <v>true</v>
      </c>
      <c r="U197" s="105"/>
      <c r="V197" s="105"/>
      <c r="W197" s="105"/>
      <c r="X197" s="1559"/>
      <c r="Y197" s="706"/>
      <c r="Z197" s="1529"/>
      <c r="AA197" s="706"/>
      <c r="AB197" s="207" t="s">
        <v>1076</v>
      </c>
      <c r="AC197" s="357" t="s">
        <v>2223</v>
      </c>
      <c r="AD197" s="207" t="s">
        <v>936</v>
      </c>
      <c r="AE197" s="209">
        <f>AE198+AE206+AE209+AE210+AE211+AE212+AE213</f>
        <v>0</v>
      </c>
      <c r="AF197" s="209">
        <f>AF198+AF206+AF209+AF210+AF211+AF212+AF213</f>
        <v>0</v>
      </c>
      <c r="AG197" s="209">
        <f>AG198+AG206+AG209+AG210+AG211+AG212+AG213</f>
        <v>0</v>
      </c>
      <c r="AH197" s="785">
        <f>AG197-AF197</f>
        <v>0</v>
      </c>
      <c r="AI197" s="209">
        <f>AI198+AI206+AI209+AI210+AI211+AI212+AI213</f>
        <v>0</v>
      </c>
      <c r="AJ197" s="209">
        <f>AJ198+AJ206+AJ209+AJ210+AJ211+AJ212+AJ213</f>
        <v>0</v>
      </c>
      <c r="AK197" s="212"/>
      <c r="AL197" s="212"/>
      <c r="AM197" s="212"/>
      <c r="AN197" s="212"/>
      <c r="AO197" s="212"/>
      <c r="AP197" s="212"/>
      <c r="AQ197" s="212"/>
      <c r="AR197" s="212"/>
      <c r="AS197" s="212"/>
      <c r="AT197" s="209">
        <f>AT198+AT206+AT209+AT210+AT211+AT212+AT213</f>
        <v>0</v>
      </c>
      <c r="AU197" s="212"/>
      <c r="AV197" s="212"/>
      <c r="AW197" s="212"/>
      <c r="AX197" s="212"/>
      <c r="AY197" s="212"/>
      <c r="AZ197" s="212"/>
      <c r="BA197" s="212"/>
      <c r="BB197" s="212"/>
      <c r="BC197" s="212"/>
      <c r="BD197" s="785">
        <f>IF(AI197=0,0,(AT197-AI197)/AI197*100)</f>
        <v>0</v>
      </c>
      <c r="BE197" s="212"/>
      <c r="BF197" s="212"/>
      <c r="BG197" s="212"/>
      <c r="BH197" s="212"/>
      <c r="BI197" s="212"/>
      <c r="BJ197" s="212"/>
      <c r="BK197" s="212"/>
      <c r="BL197" s="212"/>
      <c r="BM197" s="212"/>
      <c r="BN197" s="6292"/>
      <c r="BO197" s="6292"/>
      <c r="BP197" s="6292"/>
      <c r="BQ197" s="706"/>
      <c r="BR197" s="706"/>
      <c r="BS197" s="1071" t="s">
        <v>2052</v>
      </c>
      <c r="BT197" s="1078"/>
      <c r="BU197" s="1078"/>
      <c r="BV197" s="713"/>
      <c r="BW197" s="713"/>
    </row>
    <row s="1656" customFormat="1" customHeight="1" ht="21.75">
      <c r="A198" s="1297"/>
      <c r="B198" s="986"/>
      <c r="C198" s="103"/>
      <c r="D198" s="103"/>
      <c r="E198" s="626">
        <v>22.5</v>
      </c>
      <c r="F198" s="50" cm="1" t="str">
        <f t="array" ref="F198:F198">OFFSET(E198,-1,1)</f>
        <v>1</v>
      </c>
      <c r="G198" s="103" t="s">
        <v>1391</v>
      </c>
      <c r="H198" s="864"/>
      <c r="I198" s="864" t="s">
        <v>1577</v>
      </c>
      <c r="J198" s="103"/>
      <c r="K198" s="374" t="s">
        <v>1577</v>
      </c>
      <c r="L198" s="988" t="s">
        <v>1097</v>
      </c>
      <c r="M198" s="103"/>
      <c r="N198" s="103"/>
      <c r="O198" s="103"/>
      <c r="P198" s="103"/>
      <c r="Q198" s="103"/>
      <c r="R198" s="103"/>
      <c r="S198" s="103"/>
      <c r="T198" s="468" cm="1" t="str">
        <f t="array" ref="T198:T198">T197</f>
        <v>true</v>
      </c>
      <c r="U198" s="103"/>
      <c r="V198" s="103"/>
      <c r="W198" s="103"/>
      <c r="X198" s="1559"/>
      <c r="Y198" s="1297"/>
      <c r="Z198" s="1529"/>
      <c r="AA198" s="1297"/>
      <c r="AB198" s="296" t="s">
        <v>1214</v>
      </c>
      <c r="AC198" s="772" t="s">
        <v>2224</v>
      </c>
      <c r="AD198" s="296" t="s">
        <v>936</v>
      </c>
      <c r="AE198" s="1123">
        <f>_xlfn.SUMIFS(Административные!AE$25:AE$103,Административные!$F$25:$F$103,$F198,Административные!$G$25:$G$103,$G198)</f>
        <v>0</v>
      </c>
      <c r="AF198" s="1123">
        <f>_xlfn.SUMIFS(Административные!AF$25:AF$103,Административные!$F$25:$F$103,$F198,Административные!$G$25:$G$103,$G198)</f>
        <v>0</v>
      </c>
      <c r="AG198" s="1123">
        <f>_xlfn.SUMIFS(Административные!AG$25:AG$103,Административные!$F$25:$F$103,$F198,Административные!$G$25:$G$103,$G198)</f>
        <v>0</v>
      </c>
      <c r="AH198" s="1123">
        <f>AG198-AF198</f>
        <v>0</v>
      </c>
      <c r="AI198" s="1123">
        <f>_xlfn.SUMIFS(Административные!AH$25:AH$103,Административные!$F$25:$F$103,$F198,Административные!$G$25:$G$103,$G198)</f>
        <v>0</v>
      </c>
      <c r="AJ198" s="1123">
        <f>_xlfn.SUMIFS(Административные!AI$25:AI$103,Административные!$F$25:$F$103,$F198,Административные!$G$25:$G$103,$G198)</f>
        <v>0</v>
      </c>
      <c r="AK198" s="1124"/>
      <c r="AL198" s="1124"/>
      <c r="AM198" s="1124"/>
      <c r="AN198" s="1124"/>
      <c r="AO198" s="1124"/>
      <c r="AP198" s="1124"/>
      <c r="AQ198" s="1124"/>
      <c r="AR198" s="1124"/>
      <c r="AS198" s="1124"/>
      <c r="AT198" s="1123">
        <f>_xlfn.SUMIFS(Административные!AJ$25:AJ$103,Административные!$F$25:$F$103,$F198,Административные!$G$25:$G$103,$G198)</f>
        <v>0</v>
      </c>
      <c r="AU198" s="1124"/>
      <c r="AV198" s="1124"/>
      <c r="AW198" s="1124"/>
      <c r="AX198" s="1124"/>
      <c r="AY198" s="1124"/>
      <c r="AZ198" s="1124"/>
      <c r="BA198" s="1124"/>
      <c r="BB198" s="1124"/>
      <c r="BC198" s="1124"/>
      <c r="BD198" s="1123">
        <f>IF(AI198=0,0,(AT198-AI198)/AI198*100)</f>
        <v>0</v>
      </c>
      <c r="BE198" s="1124"/>
      <c r="BF198" s="1124"/>
      <c r="BG198" s="1124"/>
      <c r="BH198" s="1124"/>
      <c r="BI198" s="1124"/>
      <c r="BJ198" s="1124"/>
      <c r="BK198" s="1124"/>
      <c r="BL198" s="1124"/>
      <c r="BM198" s="1124"/>
      <c r="BN198" s="6290"/>
      <c r="BO198" s="6294" t="str">
        <f>IF(_xlfn.IFERROR(INDEX(Административные!$K$26:$L$103,MATCH($F198&amp;"17komm",Административные!$K$26:$K$103,0),2),"")=0,"",_xlfn.IFERROR(INDEX(Административные!$K$26:$L$103,MATCH($F198&amp;"17komm",Административные!$K$26:$K$103,0),2),""))</f>
        <v/>
      </c>
      <c r="BP198" s="6290"/>
      <c r="BQ198" s="1297"/>
      <c r="BR198" s="1297"/>
      <c r="BS198" s="1070" t="s">
        <v>1393</v>
      </c>
      <c r="BT198" s="1072"/>
      <c r="BU198" s="1072"/>
      <c r="BV198" s="987"/>
      <c r="BW198" s="987"/>
    </row>
    <row s="1656" customFormat="1" customHeight="1" ht="14.25">
      <c r="A199" s="1297"/>
      <c r="B199" s="986"/>
      <c r="C199" s="103"/>
      <c r="D199" s="103"/>
      <c r="E199" s="626">
        <v>15</v>
      </c>
      <c r="F199" s="50" cm="1" t="str">
        <f t="array" ref="F199:F199">OFFSET(E199,-1,1)</f>
        <v>1</v>
      </c>
      <c r="G199" s="103" t="s">
        <v>1394</v>
      </c>
      <c r="H199" s="864"/>
      <c r="I199" s="864" t="s">
        <v>2225</v>
      </c>
      <c r="J199" s="103"/>
      <c r="K199" s="374" t="s">
        <v>2225</v>
      </c>
      <c r="L199" s="988"/>
      <c r="M199" s="103"/>
      <c r="N199" s="103"/>
      <c r="O199" s="103"/>
      <c r="P199" s="103"/>
      <c r="Q199" s="103"/>
      <c r="R199" s="103"/>
      <c r="S199" s="103"/>
      <c r="T199" s="468" cm="1" t="str">
        <f t="array" ref="T199:T199">T198</f>
        <v>true</v>
      </c>
      <c r="U199" s="103"/>
      <c r="V199" s="103"/>
      <c r="W199" s="103"/>
      <c r="X199" s="1559"/>
      <c r="Y199" s="1297"/>
      <c r="Z199" s="1529"/>
      <c r="AA199" s="1297"/>
      <c r="AB199" s="296" t="s">
        <v>2226</v>
      </c>
      <c r="AC199" s="775" t="s">
        <v>1395</v>
      </c>
      <c r="AD199" s="296" t="s">
        <v>936</v>
      </c>
      <c r="AE199" s="1123">
        <f>_xlfn.SUMIFS(Административные!AE$25:AE$103,Административные!$F$25:$F$103,$F199,Административные!$G$25:$G$103,$G199)</f>
        <v>0</v>
      </c>
      <c r="AF199" s="1123">
        <f>_xlfn.SUMIFS(Административные!AF$25:AF$103,Административные!$F$25:$F$103,$F199,Административные!$G$25:$G$103,$G199)</f>
        <v>0</v>
      </c>
      <c r="AG199" s="1123">
        <f>_xlfn.SUMIFS(Административные!AG$25:AG$103,Административные!$F$25:$F$103,$F199,Административные!$G$25:$G$103,$G199)</f>
        <v>0</v>
      </c>
      <c r="AH199" s="1123">
        <f>AG199-AF199</f>
        <v>0</v>
      </c>
      <c r="AI199" s="1123">
        <f>_xlfn.SUMIFS(Административные!AH$25:AH$103,Административные!$F$25:$F$103,$F199,Административные!$G$25:$G$103,$G199)</f>
        <v>0</v>
      </c>
      <c r="AJ199" s="1123">
        <f>_xlfn.SUMIFS(Административные!AI$25:AI$103,Административные!$F$25:$F$103,$F199,Административные!$G$25:$G$103,$G199)</f>
        <v>0</v>
      </c>
      <c r="AK199" s="1124"/>
      <c r="AL199" s="1124"/>
      <c r="AM199" s="1124"/>
      <c r="AN199" s="1124"/>
      <c r="AO199" s="1124"/>
      <c r="AP199" s="1124"/>
      <c r="AQ199" s="1124"/>
      <c r="AR199" s="1124"/>
      <c r="AS199" s="1124"/>
      <c r="AT199" s="1123">
        <f>_xlfn.SUMIFS(Административные!AJ$25:AJ$103,Административные!$F$25:$F$103,$F199,Административные!$G$25:$G$103,$G199)</f>
        <v>0</v>
      </c>
      <c r="AU199" s="1124"/>
      <c r="AV199" s="1124"/>
      <c r="AW199" s="1124"/>
      <c r="AX199" s="1124"/>
      <c r="AY199" s="1124"/>
      <c r="AZ199" s="1124"/>
      <c r="BA199" s="1124"/>
      <c r="BB199" s="1124"/>
      <c r="BC199" s="1124"/>
      <c r="BD199" s="1123">
        <f>IF(AI199=0,0,(AT199-AI199)/AI199*100)</f>
        <v>0</v>
      </c>
      <c r="BE199" s="1124"/>
      <c r="BF199" s="1124"/>
      <c r="BG199" s="1124"/>
      <c r="BH199" s="1124"/>
      <c r="BI199" s="1124"/>
      <c r="BJ199" s="1124"/>
      <c r="BK199" s="1124"/>
      <c r="BL199" s="1124"/>
      <c r="BM199" s="1124"/>
      <c r="BN199" s="6290"/>
      <c r="BO199" s="6294" t="str">
        <f>IF(_xlfn.IFERROR(INDEX(Административные!$K$26:$L$103,MATCH($F199&amp;"18komm",Административные!$K$26:$K$103,0),2),"")=0,"",_xlfn.IFERROR(INDEX(Административные!$K$26:$L$103,MATCH($F199&amp;"18komm",Административные!$K$26:$K$103,0),2),""))</f>
        <v/>
      </c>
      <c r="BP199" s="6290"/>
      <c r="BQ199" s="1297"/>
      <c r="BR199" s="1297"/>
      <c r="BS199" s="1072" t="s">
        <v>1396</v>
      </c>
      <c r="BT199" s="1072"/>
      <c r="BU199" s="1072"/>
      <c r="BV199" s="987"/>
      <c r="BW199" s="987"/>
    </row>
    <row s="1656" customFormat="1" customHeight="1" ht="14.25">
      <c r="A200" s="1297"/>
      <c r="B200" s="986"/>
      <c r="C200" s="103"/>
      <c r="D200" s="103"/>
      <c r="E200" s="626">
        <v>15</v>
      </c>
      <c r="F200" s="50" cm="1" t="str">
        <f t="array" ref="F200:F200">OFFSET(E200,-1,1)</f>
        <v>1</v>
      </c>
      <c r="G200" s="103" t="s">
        <v>1397</v>
      </c>
      <c r="H200" s="864"/>
      <c r="I200" s="864" t="s">
        <v>2227</v>
      </c>
      <c r="J200" s="103"/>
      <c r="K200" s="374" t="s">
        <v>2227</v>
      </c>
      <c r="L200" s="988"/>
      <c r="M200" s="103"/>
      <c r="N200" s="103"/>
      <c r="O200" s="103"/>
      <c r="P200" s="103"/>
      <c r="Q200" s="103"/>
      <c r="R200" s="103"/>
      <c r="S200" s="103"/>
      <c r="T200" s="468" cm="1" t="str">
        <f t="array" ref="T200:T200">T199</f>
        <v>true</v>
      </c>
      <c r="U200" s="103"/>
      <c r="V200" s="103"/>
      <c r="W200" s="103"/>
      <c r="X200" s="1559"/>
      <c r="Y200" s="1297"/>
      <c r="Z200" s="1529"/>
      <c r="AA200" s="1297"/>
      <c r="AB200" s="296" t="s">
        <v>2228</v>
      </c>
      <c r="AC200" s="775" t="s">
        <v>1398</v>
      </c>
      <c r="AD200" s="296" t="s">
        <v>936</v>
      </c>
      <c r="AE200" s="1123">
        <f>_xlfn.SUMIFS(Административные!AE$25:AE$103,Административные!$F$25:$F$103,$F200,Административные!$G$25:$G$103,$G200)</f>
        <v>0</v>
      </c>
      <c r="AF200" s="1123">
        <f>_xlfn.SUMIFS(Административные!AF$25:AF$103,Административные!$F$25:$F$103,$F200,Административные!$G$25:$G$103,$G200)</f>
        <v>0</v>
      </c>
      <c r="AG200" s="1123">
        <f>_xlfn.SUMIFS(Административные!AG$25:AG$103,Административные!$F$25:$F$103,$F200,Административные!$G$25:$G$103,$G200)</f>
        <v>0</v>
      </c>
      <c r="AH200" s="1123">
        <f>AG200-AF200</f>
        <v>0</v>
      </c>
      <c r="AI200" s="1123">
        <f>_xlfn.SUMIFS(Административные!AH$25:AH$103,Административные!$F$25:$F$103,$F200,Административные!$G$25:$G$103,$G200)</f>
        <v>0</v>
      </c>
      <c r="AJ200" s="1123">
        <f>_xlfn.SUMIFS(Административные!AI$25:AI$103,Административные!$F$25:$F$103,$F200,Административные!$G$25:$G$103,$G200)</f>
        <v>0</v>
      </c>
      <c r="AK200" s="1124"/>
      <c r="AL200" s="1124"/>
      <c r="AM200" s="1124"/>
      <c r="AN200" s="1124"/>
      <c r="AO200" s="1124"/>
      <c r="AP200" s="1124"/>
      <c r="AQ200" s="1124"/>
      <c r="AR200" s="1124"/>
      <c r="AS200" s="1124"/>
      <c r="AT200" s="1123">
        <f>_xlfn.SUMIFS(Административные!AJ$25:AJ$103,Административные!$F$25:$F$103,$F200,Административные!$G$25:$G$103,$G200)</f>
        <v>0</v>
      </c>
      <c r="AU200" s="1124"/>
      <c r="AV200" s="1124"/>
      <c r="AW200" s="1124"/>
      <c r="AX200" s="1124"/>
      <c r="AY200" s="1124"/>
      <c r="AZ200" s="1124"/>
      <c r="BA200" s="1124"/>
      <c r="BB200" s="1124"/>
      <c r="BC200" s="1124"/>
      <c r="BD200" s="1123">
        <f>IF(AI200=0,0,(AT200-AI200)/AI200*100)</f>
        <v>0</v>
      </c>
      <c r="BE200" s="1124"/>
      <c r="BF200" s="1124"/>
      <c r="BG200" s="1124"/>
      <c r="BH200" s="1124"/>
      <c r="BI200" s="1124"/>
      <c r="BJ200" s="1124"/>
      <c r="BK200" s="1124"/>
      <c r="BL200" s="1124"/>
      <c r="BM200" s="1124"/>
      <c r="BN200" s="6290"/>
      <c r="BO200" s="6294" t="str">
        <f>IF(_xlfn.IFERROR(INDEX(Административные!$K$26:$L$103,MATCH($F200&amp;"11komm",Административные!$K$26:$K$103,0),2),"")=0,"",_xlfn.IFERROR(INDEX(Административные!$K$26:$L$103,MATCH($F200&amp;"11komm",Административные!$K$26:$K$103,0),2),""))</f>
        <v/>
      </c>
      <c r="BP200" s="6290"/>
      <c r="BQ200" s="1297"/>
      <c r="BR200" s="1297"/>
      <c r="BS200" s="1072" t="s">
        <v>1399</v>
      </c>
      <c r="BT200" s="1072"/>
      <c r="BU200" s="1072"/>
      <c r="BV200" s="987"/>
      <c r="BW200" s="987"/>
    </row>
    <row s="1656" customFormat="1" customHeight="1" ht="14.25">
      <c r="A201" s="1297"/>
      <c r="B201" s="986"/>
      <c r="C201" s="103"/>
      <c r="D201" s="103"/>
      <c r="E201" s="626">
        <v>15</v>
      </c>
      <c r="F201" s="50" cm="1" t="str">
        <f t="array" ref="F201:F201">OFFSET(E201,-1,1)</f>
        <v>1</v>
      </c>
      <c r="G201" s="103" t="s">
        <v>1400</v>
      </c>
      <c r="H201" s="864"/>
      <c r="I201" s="864" t="s">
        <v>2229</v>
      </c>
      <c r="J201" s="103"/>
      <c r="K201" s="374" t="s">
        <v>2229</v>
      </c>
      <c r="L201" s="988"/>
      <c r="M201" s="103"/>
      <c r="N201" s="103"/>
      <c r="O201" s="103"/>
      <c r="P201" s="103"/>
      <c r="Q201" s="103"/>
      <c r="R201" s="103"/>
      <c r="S201" s="103"/>
      <c r="T201" s="468" cm="1" t="str">
        <f t="array" ref="T201:T201">T200</f>
        <v>true</v>
      </c>
      <c r="U201" s="103"/>
      <c r="V201" s="103"/>
      <c r="W201" s="103"/>
      <c r="X201" s="1559"/>
      <c r="Y201" s="1297"/>
      <c r="Z201" s="1529"/>
      <c r="AA201" s="1297"/>
      <c r="AB201" s="296" t="s">
        <v>2230</v>
      </c>
      <c r="AC201" s="775" t="s">
        <v>1401</v>
      </c>
      <c r="AD201" s="296" t="s">
        <v>936</v>
      </c>
      <c r="AE201" s="1123">
        <f>_xlfn.SUMIFS(Административные!AE$25:AE$103,Административные!$F$25:$F$103,$F201,Административные!$G$25:$G$103,$G201)</f>
        <v>0</v>
      </c>
      <c r="AF201" s="1123">
        <f>_xlfn.SUMIFS(Административные!AF$25:AF$103,Административные!$F$25:$F$103,$F201,Административные!$G$25:$G$103,$G201)</f>
        <v>0</v>
      </c>
      <c r="AG201" s="1123">
        <f>_xlfn.SUMIFS(Административные!AG$25:AG$103,Административные!$F$25:$F$103,$F201,Административные!$G$25:$G$103,$G201)</f>
        <v>0</v>
      </c>
      <c r="AH201" s="1123">
        <f>AG201-AF201</f>
        <v>0</v>
      </c>
      <c r="AI201" s="1123">
        <f>_xlfn.SUMIFS(Административные!AH$25:AH$103,Административные!$F$25:$F$103,$F201,Административные!$G$25:$G$103,$G201)</f>
        <v>0</v>
      </c>
      <c r="AJ201" s="1123">
        <f>_xlfn.SUMIFS(Административные!AI$25:AI$103,Административные!$F$25:$F$103,$F201,Административные!$G$25:$G$103,$G201)</f>
        <v>0</v>
      </c>
      <c r="AK201" s="1124"/>
      <c r="AL201" s="1124"/>
      <c r="AM201" s="1124"/>
      <c r="AN201" s="1124"/>
      <c r="AO201" s="1124"/>
      <c r="AP201" s="1124"/>
      <c r="AQ201" s="1124"/>
      <c r="AR201" s="1124"/>
      <c r="AS201" s="1124"/>
      <c r="AT201" s="1123">
        <f>_xlfn.SUMIFS(Административные!AJ$25:AJ$103,Административные!$F$25:$F$103,$F201,Административные!$G$25:$G$103,$G201)</f>
        <v>0</v>
      </c>
      <c r="AU201" s="1124"/>
      <c r="AV201" s="1124"/>
      <c r="AW201" s="1124"/>
      <c r="AX201" s="1124"/>
      <c r="AY201" s="1124"/>
      <c r="AZ201" s="1124"/>
      <c r="BA201" s="1124"/>
      <c r="BB201" s="1124"/>
      <c r="BC201" s="1124"/>
      <c r="BD201" s="1123">
        <f>IF(AI201=0,0,(AT201-AI201)/AI201*100)</f>
        <v>0</v>
      </c>
      <c r="BE201" s="1124"/>
      <c r="BF201" s="1124"/>
      <c r="BG201" s="1124"/>
      <c r="BH201" s="1124"/>
      <c r="BI201" s="1124"/>
      <c r="BJ201" s="1124"/>
      <c r="BK201" s="1124"/>
      <c r="BL201" s="1124"/>
      <c r="BM201" s="1124"/>
      <c r="BN201" s="6290"/>
      <c r="BO201" s="6294" t="str">
        <f>IF(_xlfn.IFERROR(INDEX(Административные!$K$26:$L$103,MATCH($F201&amp;"12komm",Административные!$K$26:$K$103,0),2),"")=0,"",_xlfn.IFERROR(INDEX(Административные!$K$26:$L$103,MATCH($F201&amp;"12komm",Административные!$K$26:$K$103,0),2),""))</f>
        <v/>
      </c>
      <c r="BP201" s="6290"/>
      <c r="BQ201" s="1297"/>
      <c r="BR201" s="1297"/>
      <c r="BS201" s="1072" t="s">
        <v>1402</v>
      </c>
      <c r="BT201" s="1072"/>
      <c r="BU201" s="1072"/>
      <c r="BV201" s="987"/>
      <c r="BW201" s="987"/>
    </row>
    <row s="1656" customFormat="1" customHeight="1" ht="14.25">
      <c r="A202" s="1297"/>
      <c r="B202" s="986"/>
      <c r="C202" s="103"/>
      <c r="D202" s="103"/>
      <c r="E202" s="626">
        <v>15</v>
      </c>
      <c r="F202" s="50" cm="1" t="str">
        <f t="array" ref="F202:F202">OFFSET(E202,-1,1)</f>
        <v>1</v>
      </c>
      <c r="G202" s="103" t="s">
        <v>1403</v>
      </c>
      <c r="H202" s="864"/>
      <c r="I202" s="864" t="s">
        <v>2231</v>
      </c>
      <c r="J202" s="103"/>
      <c r="K202" s="374" t="s">
        <v>2231</v>
      </c>
      <c r="L202" s="988"/>
      <c r="M202" s="103"/>
      <c r="N202" s="103"/>
      <c r="O202" s="103"/>
      <c r="P202" s="103"/>
      <c r="Q202" s="103"/>
      <c r="R202" s="103"/>
      <c r="S202" s="103"/>
      <c r="T202" s="468" cm="1" t="str">
        <f t="array" ref="T202:T202">T201</f>
        <v>true</v>
      </c>
      <c r="U202" s="103"/>
      <c r="V202" s="103"/>
      <c r="W202" s="103"/>
      <c r="X202" s="1559"/>
      <c r="Y202" s="1297"/>
      <c r="Z202" s="1529"/>
      <c r="AA202" s="1297"/>
      <c r="AB202" s="296" t="s">
        <v>2232</v>
      </c>
      <c r="AC202" s="775" t="s">
        <v>1404</v>
      </c>
      <c r="AD202" s="296" t="s">
        <v>936</v>
      </c>
      <c r="AE202" s="1123">
        <f>_xlfn.SUMIFS(Административные!AE$25:AE$103,Административные!$F$25:$F$103,$F202,Административные!$G$25:$G$103,$G202)</f>
        <v>0</v>
      </c>
      <c r="AF202" s="1123">
        <f>_xlfn.SUMIFS(Административные!AF$25:AF$103,Административные!$F$25:$F$103,$F202,Административные!$G$25:$G$103,$G202)</f>
        <v>0</v>
      </c>
      <c r="AG202" s="1123">
        <f>_xlfn.SUMIFS(Административные!AG$25:AG$103,Административные!$F$25:$F$103,$F202,Административные!$G$25:$G$103,$G202)</f>
        <v>0</v>
      </c>
      <c r="AH202" s="1123">
        <f>AG202-AF202</f>
        <v>0</v>
      </c>
      <c r="AI202" s="1123">
        <f>_xlfn.SUMIFS(Административные!AH$25:AH$103,Административные!$F$25:$F$103,$F202,Административные!$G$25:$G$103,$G202)</f>
        <v>0</v>
      </c>
      <c r="AJ202" s="1123">
        <f>_xlfn.SUMIFS(Административные!AI$25:AI$103,Административные!$F$25:$F$103,$F202,Административные!$G$25:$G$103,$G202)</f>
        <v>0</v>
      </c>
      <c r="AK202" s="1124"/>
      <c r="AL202" s="1124"/>
      <c r="AM202" s="1124"/>
      <c r="AN202" s="1124"/>
      <c r="AO202" s="1124"/>
      <c r="AP202" s="1124"/>
      <c r="AQ202" s="1124"/>
      <c r="AR202" s="1124"/>
      <c r="AS202" s="1124"/>
      <c r="AT202" s="1123">
        <f>_xlfn.SUMIFS(Административные!AJ$25:AJ$103,Административные!$F$25:$F$103,$F202,Административные!$G$25:$G$103,$G202)</f>
        <v>0</v>
      </c>
      <c r="AU202" s="1124"/>
      <c r="AV202" s="1124"/>
      <c r="AW202" s="1124"/>
      <c r="AX202" s="1124"/>
      <c r="AY202" s="1124"/>
      <c r="AZ202" s="1124"/>
      <c r="BA202" s="1124"/>
      <c r="BB202" s="1124"/>
      <c r="BC202" s="1124"/>
      <c r="BD202" s="1123">
        <f>IF(AI202=0,0,(AT202-AI202)/AI202*100)</f>
        <v>0</v>
      </c>
      <c r="BE202" s="1124"/>
      <c r="BF202" s="1124"/>
      <c r="BG202" s="1124"/>
      <c r="BH202" s="1124"/>
      <c r="BI202" s="1124"/>
      <c r="BJ202" s="1124"/>
      <c r="BK202" s="1124"/>
      <c r="BL202" s="1124"/>
      <c r="BM202" s="1124"/>
      <c r="BN202" s="6290"/>
      <c r="BO202" s="6294" t="str">
        <f>IF(_xlfn.IFERROR(INDEX(Административные!$K$26:$L$103,MATCH($F202&amp;"13komm",Административные!$K$26:$K$103,0),2),"")=0,"",_xlfn.IFERROR(INDEX(Административные!$K$26:$L$103,MATCH($F202&amp;"13komm",Административные!$K$26:$K$103,0),2),""))</f>
        <v/>
      </c>
      <c r="BP202" s="6290"/>
      <c r="BQ202" s="1297"/>
      <c r="BR202" s="1297"/>
      <c r="BS202" s="1072" t="s">
        <v>1405</v>
      </c>
      <c r="BT202" s="1072"/>
      <c r="BU202" s="1072"/>
      <c r="BV202" s="987"/>
      <c r="BW202" s="987"/>
    </row>
    <row s="1656" customFormat="1" customHeight="1" ht="14.25">
      <c r="A203" s="1297"/>
      <c r="B203" s="986"/>
      <c r="C203" s="103"/>
      <c r="D203" s="103"/>
      <c r="E203" s="626">
        <v>15</v>
      </c>
      <c r="F203" s="50" cm="1" t="str">
        <f t="array" ref="F203:F203">OFFSET(E203,-1,1)</f>
        <v>1</v>
      </c>
      <c r="G203" s="103" t="s">
        <v>1406</v>
      </c>
      <c r="H203" s="864"/>
      <c r="I203" s="864" t="s">
        <v>2233</v>
      </c>
      <c r="J203" s="103"/>
      <c r="K203" s="374" t="s">
        <v>2233</v>
      </c>
      <c r="L203" s="988"/>
      <c r="M203" s="103"/>
      <c r="N203" s="103"/>
      <c r="O203" s="103"/>
      <c r="P203" s="103"/>
      <c r="Q203" s="103"/>
      <c r="R203" s="103"/>
      <c r="S203" s="103"/>
      <c r="T203" s="468" cm="1" t="str">
        <f t="array" ref="T203:T203">T202</f>
        <v>true</v>
      </c>
      <c r="U203" s="103"/>
      <c r="V203" s="103"/>
      <c r="W203" s="103"/>
      <c r="X203" s="1559"/>
      <c r="Y203" s="1297"/>
      <c r="Z203" s="1529"/>
      <c r="AA203" s="1297"/>
      <c r="AB203" s="296" t="s">
        <v>2234</v>
      </c>
      <c r="AC203" s="775" t="s">
        <v>1407</v>
      </c>
      <c r="AD203" s="296" t="s">
        <v>936</v>
      </c>
      <c r="AE203" s="794">
        <f>_xlfn.SUMIFS(Административные!AE$25:AE$103,Административные!$F$25:$F$103,$F203,Административные!$G$25:$G$103,$G203)</f>
        <v>0</v>
      </c>
      <c r="AF203" s="794">
        <f>_xlfn.SUMIFS(Административные!AF$25:AF$103,Административные!$F$25:$F$103,$F203,Административные!$G$25:$G$103,$G203)</f>
        <v>0</v>
      </c>
      <c r="AG203" s="794">
        <f>_xlfn.SUMIFS(Административные!AG$25:AG$103,Административные!$F$25:$F$103,$F203,Административные!$G$25:$G$103,$G203)</f>
        <v>0</v>
      </c>
      <c r="AH203" s="774">
        <f>AG203-AF203</f>
        <v>0</v>
      </c>
      <c r="AI203" s="794">
        <f>_xlfn.SUMIFS(Административные!AH$25:AH$103,Административные!$F$25:$F$103,$F203,Административные!$G$25:$G$103,$G203)</f>
        <v>0</v>
      </c>
      <c r="AJ203" s="794">
        <f>_xlfn.SUMIFS(Административные!AI$25:AI$103,Административные!$F$25:$F$103,$F203,Административные!$G$25:$G$103,$G203)</f>
        <v>0</v>
      </c>
      <c r="AK203" s="770"/>
      <c r="AL203" s="770"/>
      <c r="AM203" s="770"/>
      <c r="AN203" s="770"/>
      <c r="AO203" s="770"/>
      <c r="AP203" s="770"/>
      <c r="AQ203" s="770"/>
      <c r="AR203" s="770"/>
      <c r="AS203" s="770"/>
      <c r="AT203" s="794">
        <f>_xlfn.SUMIFS(Административные!AJ$25:AJ$103,Административные!$F$25:$F$103,$F203,Административные!$G$25:$G$103,$G203)</f>
        <v>0</v>
      </c>
      <c r="AU203" s="1124"/>
      <c r="AV203" s="1124"/>
      <c r="AW203" s="1124"/>
      <c r="AX203" s="1124"/>
      <c r="AY203" s="1124"/>
      <c r="AZ203" s="1124"/>
      <c r="BA203" s="1124"/>
      <c r="BB203" s="1124"/>
      <c r="BC203" s="1124"/>
      <c r="BD203" s="1123">
        <f>IF(AI203=0,0,(AT203-AI203)/AI203*100)</f>
        <v>0</v>
      </c>
      <c r="BE203" s="1124"/>
      <c r="BF203" s="1124"/>
      <c r="BG203" s="1124"/>
      <c r="BH203" s="1124"/>
      <c r="BI203" s="1124"/>
      <c r="BJ203" s="1124"/>
      <c r="BK203" s="1124"/>
      <c r="BL203" s="1124"/>
      <c r="BM203" s="1124"/>
      <c r="BN203" s="6290"/>
      <c r="BO203" s="6294" t="str">
        <f>IF(_xlfn.IFERROR(INDEX(Административные!$K$26:$L$103,MATCH($F203&amp;"14komm",Административные!$K$26:$K$103,0),2),"")=0,"",_xlfn.IFERROR(INDEX(Административные!$K$26:$L$103,MATCH($F203&amp;"14komm",Административные!$K$26:$K$103,0),2),""))</f>
        <v/>
      </c>
      <c r="BP203" s="6290"/>
      <c r="BQ203" s="1297"/>
      <c r="BR203" s="1297"/>
      <c r="BS203" s="1072" t="s">
        <v>2235</v>
      </c>
      <c r="BT203" s="1072"/>
      <c r="BU203" s="1072"/>
      <c r="BV203" s="987"/>
      <c r="BW203" s="987"/>
    </row>
    <row s="1656" customFormat="1" customHeight="1" ht="14.25">
      <c r="A204" s="1297"/>
      <c r="B204" s="986"/>
      <c r="C204" s="103"/>
      <c r="D204" s="103"/>
      <c r="E204" s="626">
        <v>15</v>
      </c>
      <c r="F204" s="50" cm="1" t="str">
        <f t="array" ref="F204:F204">OFFSET(E204,-1,1)</f>
        <v>1</v>
      </c>
      <c r="G204" s="103" t="s">
        <v>1409</v>
      </c>
      <c r="H204" s="864"/>
      <c r="I204" s="864" t="s">
        <v>2236</v>
      </c>
      <c r="J204" s="103"/>
      <c r="K204" s="374" t="s">
        <v>2236</v>
      </c>
      <c r="L204" s="988"/>
      <c r="M204" s="103"/>
      <c r="N204" s="103"/>
      <c r="O204" s="103"/>
      <c r="P204" s="103"/>
      <c r="Q204" s="103"/>
      <c r="R204" s="103"/>
      <c r="S204" s="103"/>
      <c r="T204" s="468" cm="1" t="str">
        <f t="array" ref="T204:T204">T203</f>
        <v>true</v>
      </c>
      <c r="U204" s="103"/>
      <c r="V204" s="103"/>
      <c r="W204" s="103"/>
      <c r="X204" s="1559"/>
      <c r="Y204" s="1297"/>
      <c r="Z204" s="1529"/>
      <c r="AA204" s="1297"/>
      <c r="AB204" s="296" t="s">
        <v>2237</v>
      </c>
      <c r="AC204" s="775" t="s">
        <v>1412</v>
      </c>
      <c r="AD204" s="296" t="s">
        <v>936</v>
      </c>
      <c r="AE204" s="1123">
        <f>_xlfn.SUMIFS(Административные!AE$25:AE$103,Административные!$F$25:$F$103,$F204,Административные!$G$25:$G$103,$G204)</f>
        <v>0</v>
      </c>
      <c r="AF204" s="1123">
        <f>_xlfn.SUMIFS(Административные!AF$25:AF$103,Административные!$F$25:$F$103,$F204,Административные!$G$25:$G$103,$G204)</f>
        <v>0</v>
      </c>
      <c r="AG204" s="1123">
        <f>_xlfn.SUMIFS(Административные!AG$25:AG$103,Административные!$F$25:$F$103,$F204,Административные!$G$25:$G$103,$G204)</f>
        <v>0</v>
      </c>
      <c r="AH204" s="1123">
        <f>AG204-AF204</f>
        <v>0</v>
      </c>
      <c r="AI204" s="1123">
        <f>_xlfn.SUMIFS(Административные!AH$25:AH$103,Административные!$F$25:$F$103,$F204,Административные!$G$25:$G$103,$G204)</f>
        <v>0</v>
      </c>
      <c r="AJ204" s="1123">
        <f>_xlfn.SUMIFS(Административные!AI$25:AI$103,Административные!$F$25:$F$103,$F204,Административные!$G$25:$G$103,$G204)</f>
        <v>0</v>
      </c>
      <c r="AK204" s="1124"/>
      <c r="AL204" s="1124"/>
      <c r="AM204" s="1124"/>
      <c r="AN204" s="1124"/>
      <c r="AO204" s="1124"/>
      <c r="AP204" s="1124"/>
      <c r="AQ204" s="1124"/>
      <c r="AR204" s="1124"/>
      <c r="AS204" s="1124"/>
      <c r="AT204" s="1123">
        <f>_xlfn.SUMIFS(Административные!AJ$25:AJ$103,Административные!$F$25:$F$103,$F204,Административные!$G$25:$G$103,$G204)</f>
        <v>0</v>
      </c>
      <c r="AU204" s="1124"/>
      <c r="AV204" s="1124"/>
      <c r="AW204" s="1124"/>
      <c r="AX204" s="1124"/>
      <c r="AY204" s="1124"/>
      <c r="AZ204" s="1124"/>
      <c r="BA204" s="1124"/>
      <c r="BB204" s="1124"/>
      <c r="BC204" s="1124"/>
      <c r="BD204" s="1123">
        <f>IF(AI204=0,0,(AT204-AI204)/AI204*100)</f>
        <v>0</v>
      </c>
      <c r="BE204" s="1124"/>
      <c r="BF204" s="1124"/>
      <c r="BG204" s="1124"/>
      <c r="BH204" s="1124"/>
      <c r="BI204" s="1124"/>
      <c r="BJ204" s="1124"/>
      <c r="BK204" s="1124"/>
      <c r="BL204" s="1124"/>
      <c r="BM204" s="1124"/>
      <c r="BN204" s="6290"/>
      <c r="BO204" s="6294" t="str">
        <f>IF(_xlfn.IFERROR(INDEX(Административные!$K$26:$L$103,MATCH($F204&amp;"15komm",Административные!$K$26:$K$103,0),2),"")=0,"",_xlfn.IFERROR(INDEX(Административные!$K$26:$L$103,MATCH($F204&amp;"15komm",Административные!$K$26:$K$103,0),2),""))</f>
        <v/>
      </c>
      <c r="BP204" s="6290"/>
      <c r="BQ204" s="1297"/>
      <c r="BR204" s="1297"/>
      <c r="BS204" s="1072" t="s">
        <v>1413</v>
      </c>
      <c r="BT204" s="1072"/>
      <c r="BU204" s="1072"/>
      <c r="BV204" s="987"/>
      <c r="BW204" s="987"/>
    </row>
    <row s="1656" customFormat="1" customHeight="1" ht="14.25">
      <c r="A205" s="1297"/>
      <c r="B205" s="986"/>
      <c r="C205" s="103"/>
      <c r="D205" s="103"/>
      <c r="E205" s="626">
        <v>15</v>
      </c>
      <c r="F205" s="50" cm="1" t="str">
        <f t="array" ref="F205:F205">OFFSET(E205,-1,1)</f>
        <v>1</v>
      </c>
      <c r="G205" s="103" t="s">
        <v>1414</v>
      </c>
      <c r="H205" s="864"/>
      <c r="I205" s="864" t="s">
        <v>2238</v>
      </c>
      <c r="J205" s="103"/>
      <c r="K205" s="374" t="s">
        <v>2238</v>
      </c>
      <c r="L205" s="988"/>
      <c r="M205" s="103"/>
      <c r="N205" s="103"/>
      <c r="O205" s="103"/>
      <c r="P205" s="103"/>
      <c r="Q205" s="103"/>
      <c r="R205" s="103"/>
      <c r="S205" s="103"/>
      <c r="T205" s="468" cm="1" t="str">
        <f t="array" ref="T205:T205">T204</f>
        <v>true</v>
      </c>
      <c r="U205" s="103"/>
      <c r="V205" s="103"/>
      <c r="W205" s="103"/>
      <c r="X205" s="1559"/>
      <c r="Y205" s="1297"/>
      <c r="Z205" s="1529"/>
      <c r="AA205" s="1297"/>
      <c r="AB205" s="296" t="s">
        <v>2239</v>
      </c>
      <c r="AC205" s="775" t="s">
        <v>1417</v>
      </c>
      <c r="AD205" s="296" t="s">
        <v>936</v>
      </c>
      <c r="AE205" s="1123">
        <f>_xlfn.SUMIFS(Административные!AE$25:AE$103,Административные!$F$25:$F$103,$F205,Административные!$G$25:$G$103,$G205)</f>
        <v>0</v>
      </c>
      <c r="AF205" s="1123">
        <f>_xlfn.SUMIFS(Административные!AF$25:AF$103,Административные!$F$25:$F$103,$F205,Административные!$G$25:$G$103,$G205)</f>
        <v>0</v>
      </c>
      <c r="AG205" s="1123">
        <f>_xlfn.SUMIFS(Административные!AG$25:AG$103,Административные!$F$25:$F$103,$F205,Административные!$G$25:$G$103,$G205)</f>
        <v>0</v>
      </c>
      <c r="AH205" s="1123">
        <f>AG205-AF205</f>
        <v>0</v>
      </c>
      <c r="AI205" s="1123">
        <f>_xlfn.SUMIFS(Административные!AH$25:AH$103,Административные!$F$25:$F$103,$F205,Административные!$G$25:$G$103,$G205)</f>
        <v>0</v>
      </c>
      <c r="AJ205" s="1123">
        <f>_xlfn.SUMIFS(Административные!AI$25:AI$103,Административные!$F$25:$F$103,$F205,Административные!$G$25:$G$103,$G205)</f>
        <v>0</v>
      </c>
      <c r="AK205" s="1124"/>
      <c r="AL205" s="1124"/>
      <c r="AM205" s="1124"/>
      <c r="AN205" s="1124"/>
      <c r="AO205" s="1124"/>
      <c r="AP205" s="1124"/>
      <c r="AQ205" s="1124"/>
      <c r="AR205" s="1124"/>
      <c r="AS205" s="1124"/>
      <c r="AT205" s="1123">
        <f>_xlfn.SUMIFS(Административные!AJ$25:AJ$103,Административные!$F$25:$F$103,$F205,Административные!$G$25:$G$103,$G205)</f>
        <v>0</v>
      </c>
      <c r="AU205" s="1124"/>
      <c r="AV205" s="1124"/>
      <c r="AW205" s="1124"/>
      <c r="AX205" s="1124"/>
      <c r="AY205" s="1124"/>
      <c r="AZ205" s="1124"/>
      <c r="BA205" s="1124"/>
      <c r="BB205" s="1124"/>
      <c r="BC205" s="1124"/>
      <c r="BD205" s="1123">
        <f>IF(AI205=0,0,(AT205-AI205)/AI205*100)</f>
        <v>0</v>
      </c>
      <c r="BE205" s="1124"/>
      <c r="BF205" s="1124"/>
      <c r="BG205" s="1124"/>
      <c r="BH205" s="1124"/>
      <c r="BI205" s="1124"/>
      <c r="BJ205" s="1124"/>
      <c r="BK205" s="1124"/>
      <c r="BL205" s="1124"/>
      <c r="BM205" s="1124"/>
      <c r="BN205" s="6290"/>
      <c r="BO205" s="6294" t="str">
        <f>IF(_xlfn.IFERROR(INDEX(Административные!$K$26:$L$103,MATCH($F205&amp;"16komm",Административные!$K$26:$K$103,0),2),"")=0,"",_xlfn.IFERROR(INDEX(Административные!$K$26:$L$103,MATCH($F205&amp;"16komm",Административные!$K$26:$K$103,0),2),""))</f>
        <v/>
      </c>
      <c r="BP205" s="6290"/>
      <c r="BQ205" s="1297"/>
      <c r="BR205" s="1297"/>
      <c r="BS205" s="1072" t="s">
        <v>2240</v>
      </c>
      <c r="BT205" s="1072"/>
      <c r="BU205" s="1072"/>
      <c r="BV205" s="987"/>
      <c r="BW205" s="987"/>
    </row>
    <row s="1656" customFormat="1" customHeight="1" ht="21.75">
      <c r="A206" s="1297"/>
      <c r="B206" s="986"/>
      <c r="C206" s="103"/>
      <c r="D206" s="103"/>
      <c r="E206" s="626">
        <v>22.5</v>
      </c>
      <c r="F206" s="50" cm="1" t="str">
        <f t="array" ref="F206:F206">OFFSET(E206,-1,1)</f>
        <v>1</v>
      </c>
      <c r="G206" s="103"/>
      <c r="H206" s="864"/>
      <c r="I206" s="864" t="s">
        <v>1578</v>
      </c>
      <c r="J206" s="103"/>
      <c r="K206" s="374" t="s">
        <v>1578</v>
      </c>
      <c r="L206" s="988" t="s">
        <v>1099</v>
      </c>
      <c r="M206" s="103"/>
      <c r="N206" s="103"/>
      <c r="O206" s="103"/>
      <c r="P206" s="103"/>
      <c r="Q206" s="103"/>
      <c r="R206" s="103"/>
      <c r="S206" s="103"/>
      <c r="T206" s="468" cm="1" t="str">
        <f t="array" ref="T206:T206">T205</f>
        <v>true</v>
      </c>
      <c r="U206" s="103"/>
      <c r="V206" s="103"/>
      <c r="W206" s="103"/>
      <c r="X206" s="1559"/>
      <c r="Y206" s="1297"/>
      <c r="Z206" s="1529"/>
      <c r="AA206" s="1297"/>
      <c r="AB206" s="296" t="s">
        <v>1217</v>
      </c>
      <c r="AC206" s="772" t="s">
        <v>2241</v>
      </c>
      <c r="AD206" s="296" t="s">
        <v>936</v>
      </c>
      <c r="AE206" s="1125">
        <f>AE207+AE208</f>
        <v>0</v>
      </c>
      <c r="AF206" s="1125">
        <f>AF207+AF208</f>
        <v>0</v>
      </c>
      <c r="AG206" s="1125">
        <f>AG207+AG208</f>
        <v>0</v>
      </c>
      <c r="AH206" s="1123">
        <f>AG206-AF206</f>
        <v>0</v>
      </c>
      <c r="AI206" s="1125">
        <f>AI207+AI208</f>
        <v>0</v>
      </c>
      <c r="AJ206" s="1125">
        <f>AJ207+AJ208</f>
        <v>0</v>
      </c>
      <c r="AK206" s="1124"/>
      <c r="AL206" s="1124"/>
      <c r="AM206" s="1124"/>
      <c r="AN206" s="1124"/>
      <c r="AO206" s="1124"/>
      <c r="AP206" s="1124"/>
      <c r="AQ206" s="1124"/>
      <c r="AR206" s="1124"/>
      <c r="AS206" s="1124"/>
      <c r="AT206" s="1125">
        <f>AT207+AT208</f>
        <v>0</v>
      </c>
      <c r="AU206" s="1124"/>
      <c r="AV206" s="1124"/>
      <c r="AW206" s="1124"/>
      <c r="AX206" s="1124"/>
      <c r="AY206" s="1124"/>
      <c r="AZ206" s="1124"/>
      <c r="BA206" s="1124"/>
      <c r="BB206" s="1124"/>
      <c r="BC206" s="1124"/>
      <c r="BD206" s="1123">
        <f>IF(AI206=0,0,(AT206-AI206)/AI206*100)</f>
        <v>0</v>
      </c>
      <c r="BE206" s="1124"/>
      <c r="BF206" s="1124"/>
      <c r="BG206" s="1124"/>
      <c r="BH206" s="1124"/>
      <c r="BI206" s="1124"/>
      <c r="BJ206" s="1124"/>
      <c r="BK206" s="1124"/>
      <c r="BL206" s="1124"/>
      <c r="BM206" s="1124"/>
      <c r="BN206" s="6290"/>
      <c r="BO206" s="6290"/>
      <c r="BP206" s="6290"/>
      <c r="BQ206" s="1297"/>
      <c r="BR206" s="1297"/>
      <c r="BS206" s="1070" t="s">
        <v>2055</v>
      </c>
      <c r="BT206" s="1072"/>
      <c r="BU206" s="1072"/>
      <c r="BV206" s="987"/>
      <c r="BW206" s="987"/>
    </row>
    <row s="1656" customFormat="1" customHeight="1" ht="14.25">
      <c r="A207" s="1297"/>
      <c r="B207" s="986"/>
      <c r="C207" s="103"/>
      <c r="D207" s="103"/>
      <c r="E207" s="626">
        <v>15</v>
      </c>
      <c r="F207" s="50" cm="1" t="str">
        <f t="array" ref="F207:F207">OFFSET(E207,-1,1)</f>
        <v>1</v>
      </c>
      <c r="G207" s="103" t="s">
        <v>1373</v>
      </c>
      <c r="H207" s="864"/>
      <c r="I207" s="864" t="s">
        <v>2242</v>
      </c>
      <c r="J207" s="103"/>
      <c r="K207" s="374" t="s">
        <v>2242</v>
      </c>
      <c r="L207" s="988" t="s">
        <v>602</v>
      </c>
      <c r="M207" s="103"/>
      <c r="N207" s="103"/>
      <c r="O207" s="103"/>
      <c r="P207" s="103"/>
      <c r="Q207" s="103"/>
      <c r="R207" s="103"/>
      <c r="S207" s="103"/>
      <c r="T207" s="468" cm="1" t="str">
        <f t="array" ref="T207:T207">T206</f>
        <v>true</v>
      </c>
      <c r="U207" s="103"/>
      <c r="V207" s="103"/>
      <c r="W207" s="103"/>
      <c r="X207" s="1559"/>
      <c r="Y207" s="1297"/>
      <c r="Z207" s="1529"/>
      <c r="AA207" s="1297"/>
      <c r="AB207" s="296" t="s">
        <v>2243</v>
      </c>
      <c r="AC207" s="775" t="s">
        <v>2056</v>
      </c>
      <c r="AD207" s="778" t="s">
        <v>936</v>
      </c>
      <c r="AE207" s="1123">
        <f>_xlfn.SUMIFS(ФОТ!AE$25:AE$127,ФОТ!$F$25:$F$127,$F207,ФОТ!$G$25:$G$127,$G207)</f>
        <v>0</v>
      </c>
      <c r="AF207" s="1123">
        <f>_xlfn.SUMIFS(ФОТ!AF$25:AF$127,ФОТ!$F$25:$F$127,$F207,ФОТ!$G$25:$G$127,$G207)</f>
        <v>0</v>
      </c>
      <c r="AG207" s="1123">
        <f>_xlfn.SUMIFS(ФОТ!AG$25:AG$127,ФОТ!$F$25:$F$127,$F207,ФОТ!$G$25:$G$127,$G207)</f>
        <v>0</v>
      </c>
      <c r="AH207" s="1123">
        <f>AG207-AF207</f>
        <v>0</v>
      </c>
      <c r="AI207" s="1123">
        <f>_xlfn.SUMIFS(ФОТ!AH$25:AH$127,ФОТ!$F$25:$F$127,$F207,ФОТ!$G$25:$G$127,$G207)</f>
        <v>0</v>
      </c>
      <c r="AJ207" s="1123">
        <f>_xlfn.SUMIFS(ФОТ!AI$25:AI$127,ФОТ!$F$25:$F$127,$F207,ФОТ!$G$25:$G$127,$G207)</f>
        <v>0</v>
      </c>
      <c r="AK207" s="1124"/>
      <c r="AL207" s="1124"/>
      <c r="AM207" s="1124"/>
      <c r="AN207" s="1124"/>
      <c r="AO207" s="1124"/>
      <c r="AP207" s="1124"/>
      <c r="AQ207" s="1124"/>
      <c r="AR207" s="1124"/>
      <c r="AS207" s="1124"/>
      <c r="AT207" s="1123">
        <f>_xlfn.SUMIFS(ФОТ!AJ$25:AJ$127,ФОТ!$F$25:$F$127,$F207,ФОТ!$G$25:$G$127,$G207)</f>
        <v>0</v>
      </c>
      <c r="AU207" s="1124"/>
      <c r="AV207" s="1124"/>
      <c r="AW207" s="1124"/>
      <c r="AX207" s="1124"/>
      <c r="AY207" s="1124"/>
      <c r="AZ207" s="1124"/>
      <c r="BA207" s="1124"/>
      <c r="BB207" s="1124"/>
      <c r="BC207" s="1124"/>
      <c r="BD207" s="1123">
        <f>IF(AI207=0,0,(AT207-AI207)/AI207*100)</f>
        <v>0</v>
      </c>
      <c r="BE207" s="1124"/>
      <c r="BF207" s="1124"/>
      <c r="BG207" s="1124"/>
      <c r="BH207" s="1124"/>
      <c r="BI207" s="1124"/>
      <c r="BJ207" s="1124"/>
      <c r="BK207" s="1124"/>
      <c r="BL207" s="1124"/>
      <c r="BM207" s="1124"/>
      <c r="BN207" s="6290"/>
      <c r="BO207" s="6294" t="str">
        <f>IF(_xlfn.IFERROR(INDEX(ФОТ!$K$26:$L$127,MATCH($F207&amp;"5komm",ФОТ!$K$26:$K$127,0),2),"")=0,"",_xlfn.IFERROR(INDEX(ФОТ!$K$26:$L$127,MATCH($F207&amp;"5komm",ФОТ!$K$26:$K$127,0),2),""))</f>
        <v/>
      </c>
      <c r="BP207" s="6290"/>
      <c r="BQ207" s="1297"/>
      <c r="BR207" s="1297"/>
      <c r="BS207" s="1070" t="s">
        <v>1390</v>
      </c>
      <c r="BT207" s="1072"/>
      <c r="BU207" s="1072"/>
      <c r="BV207" s="987"/>
      <c r="BW207" s="987"/>
    </row>
    <row s="1656" customFormat="1" customHeight="1" ht="21.75">
      <c r="A208" s="1297"/>
      <c r="B208" s="986"/>
      <c r="C208" s="103"/>
      <c r="D208" s="103"/>
      <c r="E208" s="626">
        <v>22.5</v>
      </c>
      <c r="F208" s="50" cm="1" t="str">
        <f t="array" ref="F208:F208">OFFSET(E208,-1,1)</f>
        <v>1</v>
      </c>
      <c r="G208" s="103" t="s">
        <v>1378</v>
      </c>
      <c r="H208" s="864"/>
      <c r="I208" s="864" t="s">
        <v>2244</v>
      </c>
      <c r="J208" s="103"/>
      <c r="K208" s="374" t="s">
        <v>2244</v>
      </c>
      <c r="L208" s="988" t="s">
        <v>607</v>
      </c>
      <c r="M208" s="103"/>
      <c r="N208" s="103"/>
      <c r="O208" s="103"/>
      <c r="P208" s="103"/>
      <c r="Q208" s="103"/>
      <c r="R208" s="103"/>
      <c r="S208" s="103"/>
      <c r="T208" s="468" cm="1" t="str">
        <f t="array" ref="T208:T208">T207</f>
        <v>true</v>
      </c>
      <c r="U208" s="103"/>
      <c r="V208" s="103"/>
      <c r="W208" s="103"/>
      <c r="X208" s="1559"/>
      <c r="Y208" s="1297"/>
      <c r="Z208" s="1529"/>
      <c r="AA208" s="1297"/>
      <c r="AB208" s="296" t="s">
        <v>2245</v>
      </c>
      <c r="AC208" s="775" t="s">
        <v>2246</v>
      </c>
      <c r="AD208" s="296" t="s">
        <v>936</v>
      </c>
      <c r="AE208" s="1123">
        <f>_xlfn.SUMIFS(ФОТ!AE$25:AE$127,ФОТ!$F$25:$F$127,$F208,ФОТ!$G$25:$G$127,$G208)</f>
        <v>0</v>
      </c>
      <c r="AF208" s="1123">
        <f>_xlfn.SUMIFS(ФОТ!AF$25:AF$127,ФОТ!$F$25:$F$127,$F208,ФОТ!$G$25:$G$127,$G208)</f>
        <v>0</v>
      </c>
      <c r="AG208" s="1123">
        <f>_xlfn.SUMIFS(ФОТ!AG$25:AG$127,ФОТ!$F$25:$F$127,$F208,ФОТ!$G$25:$G$127,$G208)</f>
        <v>0</v>
      </c>
      <c r="AH208" s="1123">
        <f>AG208-AF208</f>
        <v>0</v>
      </c>
      <c r="AI208" s="1123">
        <f>_xlfn.SUMIFS(ФОТ!AH$25:AH$127,ФОТ!$F$25:$F$127,$F208,ФОТ!$G$25:$G$127,$G208)</f>
        <v>0</v>
      </c>
      <c r="AJ208" s="1123">
        <f>_xlfn.SUMIFS(ФОТ!AI$25:AI$127,ФОТ!$F$25:$F$127,$F208,ФОТ!$G$25:$G$127,$G208)</f>
        <v>0</v>
      </c>
      <c r="AK208" s="1124"/>
      <c r="AL208" s="1124"/>
      <c r="AM208" s="1124"/>
      <c r="AN208" s="1124"/>
      <c r="AO208" s="1124"/>
      <c r="AP208" s="1124"/>
      <c r="AQ208" s="1124"/>
      <c r="AR208" s="1124"/>
      <c r="AS208" s="1124"/>
      <c r="AT208" s="1123">
        <f>_xlfn.SUMIFS(ФОТ!AJ$25:AJ$127,ФОТ!$F$25:$F$127,$F208,ФОТ!$G$25:$G$127,$G208)</f>
        <v>0</v>
      </c>
      <c r="AU208" s="1124"/>
      <c r="AV208" s="1124"/>
      <c r="AW208" s="1124"/>
      <c r="AX208" s="1124"/>
      <c r="AY208" s="1124"/>
      <c r="AZ208" s="1124"/>
      <c r="BA208" s="1124"/>
      <c r="BB208" s="1124"/>
      <c r="BC208" s="1124"/>
      <c r="BD208" s="1123">
        <f>IF(AI208=0,0,(AT208-AI208)/AI208*100)</f>
        <v>0</v>
      </c>
      <c r="BE208" s="1124"/>
      <c r="BF208" s="1124"/>
      <c r="BG208" s="1124"/>
      <c r="BH208" s="1124"/>
      <c r="BI208" s="1124"/>
      <c r="BJ208" s="1124"/>
      <c r="BK208" s="1124"/>
      <c r="BL208" s="1124"/>
      <c r="BM208" s="1124"/>
      <c r="BN208" s="6290"/>
      <c r="BO208" s="6294" t="str">
        <f>IF(_xlfn.IFERROR(INDEX(ФОТ!$K$26:$L$127,MATCH($F208&amp;"6komm",ФОТ!$K$26:$K$127,0),2),"")=0,"",_xlfn.IFERROR(INDEX(ФОТ!$K$26:$L$127,MATCH($F208&amp;"6komm",ФОТ!$K$26:$K$127,0),2),""))</f>
        <v/>
      </c>
      <c r="BP208" s="6290"/>
      <c r="BQ208" s="1297"/>
      <c r="BR208" s="1297"/>
      <c r="BS208" s="1070" t="s">
        <v>2058</v>
      </c>
      <c r="BT208" s="1072"/>
      <c r="BU208" s="1072"/>
      <c r="BV208" s="987"/>
      <c r="BW208" s="987"/>
    </row>
    <row s="1656" customFormat="1" customHeight="1" ht="32.25">
      <c r="A209" s="1297"/>
      <c r="B209" s="986"/>
      <c r="C209" s="103"/>
      <c r="D209" s="103"/>
      <c r="E209" s="626">
        <v>33.75</v>
      </c>
      <c r="F209" s="50" cm="1" t="str">
        <f t="array" ref="F209:F209">OFFSET(E209,-1,1)</f>
        <v>1</v>
      </c>
      <c r="G209" s="855" t="s">
        <v>1419</v>
      </c>
      <c r="H209" s="864"/>
      <c r="I209" s="864" t="s">
        <v>1581</v>
      </c>
      <c r="J209" s="103"/>
      <c r="K209" s="374" t="s">
        <v>1581</v>
      </c>
      <c r="L209" s="988" t="s">
        <v>1101</v>
      </c>
      <c r="M209" s="103"/>
      <c r="N209" s="103"/>
      <c r="O209" s="103"/>
      <c r="P209" s="103"/>
      <c r="Q209" s="103"/>
      <c r="R209" s="103"/>
      <c r="S209" s="103"/>
      <c r="T209" s="468" cm="1" t="str">
        <f t="array" ref="T209:T209">T208</f>
        <v>true</v>
      </c>
      <c r="U209" s="103"/>
      <c r="V209" s="103"/>
      <c r="W209" s="103"/>
      <c r="X209" s="1559"/>
      <c r="Y209" s="1297"/>
      <c r="Z209" s="1529"/>
      <c r="AA209" s="1297"/>
      <c r="AB209" s="296" t="s">
        <v>1582</v>
      </c>
      <c r="AC209" s="772" t="s">
        <v>2247</v>
      </c>
      <c r="AD209" s="296" t="s">
        <v>936</v>
      </c>
      <c r="AE209" s="1123">
        <f>_xlfn.SUMIFS(Административные!AE$25:AE$103,Административные!$F$25:$F$103,$F209,Административные!$G$25:$G$103,$G209)</f>
        <v>0</v>
      </c>
      <c r="AF209" s="1123">
        <f>_xlfn.SUMIFS(Административные!AF$25:AF$103,Административные!$F$25:$F$103,$F209,Административные!$G$25:$G$103,$G209)</f>
        <v>0</v>
      </c>
      <c r="AG209" s="1123">
        <f>_xlfn.SUMIFS(Административные!AG$25:AG$103,Административные!$F$25:$F$103,$F209,Административные!$G$25:$G$103,$G209)</f>
        <v>0</v>
      </c>
      <c r="AH209" s="1123">
        <f>AG209-AF209</f>
        <v>0</v>
      </c>
      <c r="AI209" s="1123">
        <f>_xlfn.SUMIFS(Административные!AH$25:AH$103,Административные!$F$25:$F$103,$F209,Административные!$G$25:$G$103,$G209)</f>
        <v>0</v>
      </c>
      <c r="AJ209" s="1123">
        <f>_xlfn.SUMIFS(Административные!AI$25:AI$103,Административные!$F$25:$F$103,$F209,Административные!$G$25:$G$103,$G209)</f>
        <v>0</v>
      </c>
      <c r="AK209" s="1124"/>
      <c r="AL209" s="1124"/>
      <c r="AM209" s="1124"/>
      <c r="AN209" s="1124"/>
      <c r="AO209" s="1124"/>
      <c r="AP209" s="1124"/>
      <c r="AQ209" s="1124"/>
      <c r="AR209" s="1124"/>
      <c r="AS209" s="1124"/>
      <c r="AT209" s="1123">
        <f>_xlfn.SUMIFS(Административные!AJ$25:AJ$103,Административные!$F$25:$F$103,$F209,Административные!$G$25:$G$103,$G209)</f>
        <v>0</v>
      </c>
      <c r="AU209" s="1124"/>
      <c r="AV209" s="1124"/>
      <c r="AW209" s="1124"/>
      <c r="AX209" s="1124"/>
      <c r="AY209" s="1124"/>
      <c r="AZ209" s="1124"/>
      <c r="BA209" s="1124"/>
      <c r="BB209" s="1124"/>
      <c r="BC209" s="1124"/>
      <c r="BD209" s="1123">
        <f>IF(AI209=0,0,(AT209-AI209)/AI209*100)</f>
        <v>0</v>
      </c>
      <c r="BE209" s="1124"/>
      <c r="BF209" s="1124"/>
      <c r="BG209" s="1124"/>
      <c r="BH209" s="1124"/>
      <c r="BI209" s="1124"/>
      <c r="BJ209" s="1124"/>
      <c r="BK209" s="1124"/>
      <c r="BL209" s="1124"/>
      <c r="BM209" s="1124"/>
      <c r="BN209" s="6290"/>
      <c r="BO209" s="6294" t="str">
        <f>IF(_xlfn.IFERROR(INDEX(Административные!$K$26:$L$103,MATCH($F209&amp;"2komm",Административные!$K$26:$K$103,0),2),"")=0,"",_xlfn.IFERROR(INDEX(Административные!$K$26:$L$103,MATCH($F209&amp;"2komm",Административные!$K$26:$K$103,0),2),""))</f>
        <v/>
      </c>
      <c r="BP209" s="6290"/>
      <c r="BQ209" s="1297"/>
      <c r="BR209" s="1297"/>
      <c r="BS209" s="1070" t="s">
        <v>1421</v>
      </c>
      <c r="BT209" s="1072"/>
      <c r="BU209" s="1072"/>
      <c r="BV209" s="987"/>
      <c r="BW209" s="987"/>
    </row>
    <row s="1656" customFormat="1" customHeight="1" ht="14.25">
      <c r="A210" s="1297"/>
      <c r="B210" s="986"/>
      <c r="C210" s="103"/>
      <c r="D210" s="103"/>
      <c r="E210" s="626">
        <v>15</v>
      </c>
      <c r="F210" s="50" cm="1" t="str">
        <f t="array" ref="F210:F210">OFFSET(E210,-1,1)</f>
        <v>1</v>
      </c>
      <c r="G210" s="855" t="s">
        <v>1422</v>
      </c>
      <c r="H210" s="864"/>
      <c r="I210" s="864" t="s">
        <v>1585</v>
      </c>
      <c r="J210" s="103"/>
      <c r="K210" s="374" t="s">
        <v>1585</v>
      </c>
      <c r="L210" s="988" t="s">
        <v>1103</v>
      </c>
      <c r="M210" s="103"/>
      <c r="N210" s="103"/>
      <c r="O210" s="103"/>
      <c r="P210" s="103"/>
      <c r="Q210" s="103"/>
      <c r="R210" s="103"/>
      <c r="S210" s="103"/>
      <c r="T210" s="468" cm="1" t="str">
        <f t="array" ref="T210:T210">T209</f>
        <v>true</v>
      </c>
      <c r="U210" s="103"/>
      <c r="V210" s="103"/>
      <c r="W210" s="103"/>
      <c r="X210" s="1559"/>
      <c r="Y210" s="1297"/>
      <c r="Z210" s="1529"/>
      <c r="AA210" s="1297"/>
      <c r="AB210" s="296" t="s">
        <v>1586</v>
      </c>
      <c r="AC210" s="772" t="s">
        <v>2248</v>
      </c>
      <c r="AD210" s="296" t="s">
        <v>936</v>
      </c>
      <c r="AE210" s="1123">
        <f>_xlfn.SUMIFS(Административные!AE$25:AE$103,Административные!$F$25:$F$103,$F210,Административные!$G$25:$G$103,$G210)</f>
        <v>0</v>
      </c>
      <c r="AF210" s="1123">
        <f>_xlfn.SUMIFS(Административные!AF$25:AF$103,Административные!$F$25:$F$103,$F210,Административные!$G$25:$G$103,$G210)</f>
        <v>0</v>
      </c>
      <c r="AG210" s="1123">
        <f>_xlfn.SUMIFS(Административные!AG$25:AG$103,Административные!$F$25:$F$103,$F210,Административные!$G$25:$G$103,$G210)</f>
        <v>0</v>
      </c>
      <c r="AH210" s="1123">
        <f>AG210-AF210</f>
        <v>0</v>
      </c>
      <c r="AI210" s="1123">
        <f>_xlfn.SUMIFS(Административные!AH$25:AH$103,Административные!$F$25:$F$103,$F210,Административные!$G$25:$G$103,$G210)</f>
        <v>0</v>
      </c>
      <c r="AJ210" s="1123">
        <f>_xlfn.SUMIFS(Административные!AI$25:AI$103,Административные!$F$25:$F$103,$F210,Административные!$G$25:$G$103,$G210)</f>
        <v>0</v>
      </c>
      <c r="AK210" s="1124"/>
      <c r="AL210" s="1124"/>
      <c r="AM210" s="1124"/>
      <c r="AN210" s="1124"/>
      <c r="AO210" s="1124"/>
      <c r="AP210" s="1124"/>
      <c r="AQ210" s="1124"/>
      <c r="AR210" s="1124"/>
      <c r="AS210" s="1124"/>
      <c r="AT210" s="1123">
        <f>_xlfn.SUMIFS(Административные!AJ$25:AJ$103,Административные!$F$25:$F$103,$F210,Административные!$G$25:$G$103,$G210)</f>
        <v>0</v>
      </c>
      <c r="AU210" s="1124"/>
      <c r="AV210" s="1124"/>
      <c r="AW210" s="1124"/>
      <c r="AX210" s="1124"/>
      <c r="AY210" s="1124"/>
      <c r="AZ210" s="1124"/>
      <c r="BA210" s="1124"/>
      <c r="BB210" s="1124"/>
      <c r="BC210" s="1124"/>
      <c r="BD210" s="1123">
        <f>IF(AI210=0,0,(AT210-AI210)/AI210*100)</f>
        <v>0</v>
      </c>
      <c r="BE210" s="1124"/>
      <c r="BF210" s="1124"/>
      <c r="BG210" s="1124"/>
      <c r="BH210" s="1124"/>
      <c r="BI210" s="1124"/>
      <c r="BJ210" s="1124"/>
      <c r="BK210" s="1124"/>
      <c r="BL210" s="1124"/>
      <c r="BM210" s="1124"/>
      <c r="BN210" s="6290"/>
      <c r="BO210" s="6294" t="str">
        <f>IF(_xlfn.IFERROR(INDEX(Административные!$K$26:$L$103,MATCH($F210&amp;"3komm",Административные!$K$26:$K$103,0),2),"")=0,"",_xlfn.IFERROR(INDEX(Административные!$K$26:$L$103,MATCH($F210&amp;"3komm",Административные!$K$26:$K$103,0),2),""))</f>
        <v/>
      </c>
      <c r="BP210" s="6290"/>
      <c r="BQ210" s="1297"/>
      <c r="BR210" s="1297"/>
      <c r="BS210" s="1070" t="s">
        <v>1424</v>
      </c>
      <c r="BT210" s="1072"/>
      <c r="BU210" s="1072"/>
      <c r="BV210" s="987"/>
      <c r="BW210" s="987"/>
    </row>
    <row s="1656" customFormat="1" customHeight="1" ht="14.25">
      <c r="A211" s="1297"/>
      <c r="B211" s="986"/>
      <c r="C211" s="103"/>
      <c r="D211" s="103"/>
      <c r="E211" s="626">
        <v>15</v>
      </c>
      <c r="F211" s="50" cm="1" t="str">
        <f t="array" ref="F211:F211">OFFSET(E211,-1,1)</f>
        <v>1</v>
      </c>
      <c r="G211" s="855" t="s">
        <v>1425</v>
      </c>
      <c r="H211" s="864"/>
      <c r="I211" s="864" t="s">
        <v>2249</v>
      </c>
      <c r="J211" s="103"/>
      <c r="K211" s="374" t="s">
        <v>2249</v>
      </c>
      <c r="L211" s="988" t="s">
        <v>1106</v>
      </c>
      <c r="M211" s="103"/>
      <c r="N211" s="103"/>
      <c r="O211" s="103"/>
      <c r="P211" s="103"/>
      <c r="Q211" s="103"/>
      <c r="R211" s="103"/>
      <c r="S211" s="103"/>
      <c r="T211" s="468" cm="1" t="str">
        <f t="array" ref="T211:T211">T210</f>
        <v>true</v>
      </c>
      <c r="U211" s="103"/>
      <c r="V211" s="103"/>
      <c r="W211" s="103"/>
      <c r="X211" s="1559"/>
      <c r="Y211" s="1297"/>
      <c r="Z211" s="1529"/>
      <c r="AA211" s="1297"/>
      <c r="AB211" s="296" t="s">
        <v>2250</v>
      </c>
      <c r="AC211" s="772" t="s">
        <v>2251</v>
      </c>
      <c r="AD211" s="296" t="s">
        <v>936</v>
      </c>
      <c r="AE211" s="1123">
        <f>_xlfn.SUMIFS(Административные!AE$25:AE$103,Административные!$F$25:$F$103,$F211,Административные!$G$25:$G$103,$G211)</f>
        <v>0</v>
      </c>
      <c r="AF211" s="1123">
        <f>_xlfn.SUMIFS(Административные!AF$25:AF$103,Административные!$F$25:$F$103,$F211,Административные!$G$25:$G$103,$G211)</f>
        <v>0</v>
      </c>
      <c r="AG211" s="1123">
        <f>_xlfn.SUMIFS(Административные!AG$25:AG$103,Административные!$F$25:$F$103,$F211,Административные!$G$25:$G$103,$G211)</f>
        <v>0</v>
      </c>
      <c r="AH211" s="1123">
        <f>AG211-AF211</f>
        <v>0</v>
      </c>
      <c r="AI211" s="1123">
        <f>_xlfn.SUMIFS(Административные!AH$25:AH$103,Административные!$F$25:$F$103,$F211,Административные!$G$25:$G$103,$G211)</f>
        <v>0</v>
      </c>
      <c r="AJ211" s="1123">
        <f>_xlfn.SUMIFS(Административные!AI$25:AI$103,Административные!$F$25:$F$103,$F211,Административные!$G$25:$G$103,$G211)</f>
        <v>0</v>
      </c>
      <c r="AK211" s="1124"/>
      <c r="AL211" s="1124"/>
      <c r="AM211" s="1124"/>
      <c r="AN211" s="1124"/>
      <c r="AO211" s="1124"/>
      <c r="AP211" s="1124"/>
      <c r="AQ211" s="1124"/>
      <c r="AR211" s="1124"/>
      <c r="AS211" s="1124"/>
      <c r="AT211" s="1123">
        <f>_xlfn.SUMIFS(Административные!AJ$25:AJ$103,Административные!$F$25:$F$103,$F211,Административные!$G$25:$G$103,$G211)</f>
        <v>0</v>
      </c>
      <c r="AU211" s="1124"/>
      <c r="AV211" s="1124"/>
      <c r="AW211" s="1124"/>
      <c r="AX211" s="1124"/>
      <c r="AY211" s="1124"/>
      <c r="AZ211" s="1124"/>
      <c r="BA211" s="1124"/>
      <c r="BB211" s="1124"/>
      <c r="BC211" s="1124"/>
      <c r="BD211" s="1123">
        <f>IF(AI211=0,0,(AT211-AI211)/AI211*100)</f>
        <v>0</v>
      </c>
      <c r="BE211" s="1124"/>
      <c r="BF211" s="1124"/>
      <c r="BG211" s="1124"/>
      <c r="BH211" s="1124"/>
      <c r="BI211" s="1124"/>
      <c r="BJ211" s="1124"/>
      <c r="BK211" s="1124"/>
      <c r="BL211" s="1124"/>
      <c r="BM211" s="1124"/>
      <c r="BN211" s="6290"/>
      <c r="BO211" s="6294" t="str">
        <f>IF(_xlfn.IFERROR(INDEX(Административные!$K$26:$L$103,MATCH($F211&amp;"4komm",Административные!$K$26:$K$103,0),2),"")=0,"",_xlfn.IFERROR(INDEX(Административные!$K$26:$L$103,MATCH($F211&amp;"4komm",Административные!$K$26:$K$103,0),2),""))</f>
        <v/>
      </c>
      <c r="BP211" s="6290"/>
      <c r="BQ211" s="1297"/>
      <c r="BR211" s="1297"/>
      <c r="BS211" s="1070" t="s">
        <v>1427</v>
      </c>
      <c r="BT211" s="1072"/>
      <c r="BU211" s="1072"/>
      <c r="BV211" s="987"/>
      <c r="BW211" s="987"/>
    </row>
    <row s="1656" customFormat="1" customHeight="1" ht="14.25">
      <c r="A212" s="1297"/>
      <c r="B212" s="986"/>
      <c r="C212" s="103"/>
      <c r="D212" s="103"/>
      <c r="E212" s="626">
        <v>15</v>
      </c>
      <c r="F212" s="50" cm="1" t="str">
        <f t="array" ref="F212:F212">OFFSET(E212,-1,1)</f>
        <v>1</v>
      </c>
      <c r="G212" s="855" t="s">
        <v>1428</v>
      </c>
      <c r="H212" s="864"/>
      <c r="I212" s="864" t="s">
        <v>2252</v>
      </c>
      <c r="J212" s="103"/>
      <c r="K212" s="374" t="s">
        <v>2252</v>
      </c>
      <c r="L212" s="988" t="s">
        <v>1410</v>
      </c>
      <c r="M212" s="103"/>
      <c r="N212" s="103"/>
      <c r="O212" s="103"/>
      <c r="P212" s="103"/>
      <c r="Q212" s="103"/>
      <c r="R212" s="103"/>
      <c r="S212" s="103"/>
      <c r="T212" s="468" cm="1" t="str">
        <f t="array" ref="T212:T212">T211</f>
        <v>true</v>
      </c>
      <c r="U212" s="103"/>
      <c r="V212" s="103"/>
      <c r="W212" s="103"/>
      <c r="X212" s="1559"/>
      <c r="Y212" s="1297"/>
      <c r="Z212" s="1529"/>
      <c r="AA212" s="1297"/>
      <c r="AB212" s="296" t="s">
        <v>2253</v>
      </c>
      <c r="AC212" s="772" t="s">
        <v>2254</v>
      </c>
      <c r="AD212" s="296" t="s">
        <v>936</v>
      </c>
      <c r="AE212" s="1123">
        <f>_xlfn.SUMIFS(Административные!AE$25:AE$103,Административные!$F$25:$F$103,$F212,Административные!$G$25:$G$103,$G212)</f>
        <v>0</v>
      </c>
      <c r="AF212" s="1123">
        <f>_xlfn.SUMIFS(Административные!AF$25:AF$103,Административные!$F$25:$F$103,$F212,Административные!$G$25:$G$103,$G212)</f>
        <v>0</v>
      </c>
      <c r="AG212" s="1123">
        <f>_xlfn.SUMIFS(Административные!AG$25:AG$103,Административные!$F$25:$F$103,$F212,Административные!$G$25:$G$103,$G212)</f>
        <v>0</v>
      </c>
      <c r="AH212" s="1123">
        <f>AG212-AF212</f>
        <v>0</v>
      </c>
      <c r="AI212" s="1123">
        <f>_xlfn.SUMIFS(Административные!AH$25:AH$103,Административные!$F$25:$F$103,$F212,Административные!$G$25:$G$103,$G212)</f>
        <v>0</v>
      </c>
      <c r="AJ212" s="1123">
        <f>_xlfn.SUMIFS(Административные!AI$25:AI$103,Административные!$F$25:$F$103,$F212,Административные!$G$25:$G$103,$G212)</f>
        <v>0</v>
      </c>
      <c r="AK212" s="1124"/>
      <c r="AL212" s="1124"/>
      <c r="AM212" s="1124"/>
      <c r="AN212" s="1124"/>
      <c r="AO212" s="1124"/>
      <c r="AP212" s="1124"/>
      <c r="AQ212" s="1124"/>
      <c r="AR212" s="1124"/>
      <c r="AS212" s="1124"/>
      <c r="AT212" s="1123">
        <f>_xlfn.SUMIFS(Административные!AJ$25:AJ$103,Административные!$F$25:$F$103,$F212,Административные!$G$25:$G$103,$G212)</f>
        <v>0</v>
      </c>
      <c r="AU212" s="1124"/>
      <c r="AV212" s="1124"/>
      <c r="AW212" s="1124"/>
      <c r="AX212" s="1124"/>
      <c r="AY212" s="1124"/>
      <c r="AZ212" s="1124"/>
      <c r="BA212" s="1124"/>
      <c r="BB212" s="1124"/>
      <c r="BC212" s="1124"/>
      <c r="BD212" s="1123">
        <f>IF(AI212=0,0,(AT212-AI212)/AI212*100)</f>
        <v>0</v>
      </c>
      <c r="BE212" s="1124"/>
      <c r="BF212" s="1124"/>
      <c r="BG212" s="1124"/>
      <c r="BH212" s="1124"/>
      <c r="BI212" s="1124"/>
      <c r="BJ212" s="1124"/>
      <c r="BK212" s="1124"/>
      <c r="BL212" s="1124"/>
      <c r="BM212" s="1124"/>
      <c r="BN212" s="6290"/>
      <c r="BO212" s="6294" t="str">
        <f>IF(_xlfn.IFERROR(INDEX(Административные!$K$26:$L$103,MATCH($F212&amp;"5komm",Административные!$K$26:$K$103,0),2),"")=0,"",_xlfn.IFERROR(INDEX(Административные!$K$26:$L$103,MATCH($F212&amp;"5komm",Административные!$K$26:$K$103,0),2),""))</f>
        <v/>
      </c>
      <c r="BP212" s="6290"/>
      <c r="BQ212" s="1297"/>
      <c r="BR212" s="1297"/>
      <c r="BS212" s="1070" t="s">
        <v>2060</v>
      </c>
      <c r="BT212" s="1072"/>
      <c r="BU212" s="1072"/>
      <c r="BV212" s="987"/>
      <c r="BW212" s="987"/>
    </row>
    <row s="1656" customFormat="1" customHeight="1" ht="14.25">
      <c r="A213" s="1297"/>
      <c r="B213" s="986"/>
      <c r="C213" s="103"/>
      <c r="D213" s="103"/>
      <c r="E213" s="626">
        <v>15</v>
      </c>
      <c r="F213" s="50" cm="1" t="str">
        <f t="array" ref="F213:F213">OFFSET(E213,-1,1)</f>
        <v>1</v>
      </c>
      <c r="G213" s="855" t="s">
        <v>1431</v>
      </c>
      <c r="H213" s="864"/>
      <c r="I213" s="864" t="s">
        <v>2255</v>
      </c>
      <c r="J213" s="103"/>
      <c r="K213" s="374" t="s">
        <v>2255</v>
      </c>
      <c r="L213" s="988" t="s">
        <v>1415</v>
      </c>
      <c r="M213" s="103"/>
      <c r="N213" s="103"/>
      <c r="O213" s="103"/>
      <c r="P213" s="103"/>
      <c r="Q213" s="103"/>
      <c r="R213" s="103"/>
      <c r="S213" s="103"/>
      <c r="T213" s="468" cm="1" t="str">
        <f t="array" ref="T213:T213">T212</f>
        <v>true</v>
      </c>
      <c r="U213" s="103"/>
      <c r="V213" s="103"/>
      <c r="W213" s="103"/>
      <c r="X213" s="1559"/>
      <c r="Y213" s="1297"/>
      <c r="Z213" s="1529"/>
      <c r="AA213" s="1297"/>
      <c r="AB213" s="296" t="s">
        <v>2256</v>
      </c>
      <c r="AC213" s="772" t="s">
        <v>2257</v>
      </c>
      <c r="AD213" s="296" t="s">
        <v>936</v>
      </c>
      <c r="AE213" s="1123">
        <f>_xlfn.SUMIFS(Административные!AE$25:AE$103,Административные!$F$25:$F$103,$F213,Административные!$G$25:$G$103,$G213)</f>
        <v>0</v>
      </c>
      <c r="AF213" s="1123">
        <f>_xlfn.SUMIFS(Административные!AF$25:AF$103,Административные!$F$25:$F$103,$F213,Административные!$G$25:$G$103,$G213)</f>
        <v>0</v>
      </c>
      <c r="AG213" s="1123">
        <f>_xlfn.SUMIFS(Административные!AG$25:AG$103,Административные!$F$25:$F$103,$F213,Административные!$G$25:$G$103,$G213)</f>
        <v>0</v>
      </c>
      <c r="AH213" s="1123">
        <f>AG213-AF213</f>
        <v>0</v>
      </c>
      <c r="AI213" s="1123">
        <f>_xlfn.SUMIFS(Административные!AH$25:AH$103,Административные!$F$25:$F$103,$F213,Административные!$G$25:$G$103,$G213)</f>
        <v>0</v>
      </c>
      <c r="AJ213" s="1123">
        <f>_xlfn.SUMIFS(Административные!AI$25:AI$103,Административные!$F$25:$F$103,$F213,Административные!$G$25:$G$103,$G213)</f>
        <v>0</v>
      </c>
      <c r="AK213" s="1124"/>
      <c r="AL213" s="1124"/>
      <c r="AM213" s="1124"/>
      <c r="AN213" s="1124"/>
      <c r="AO213" s="1124"/>
      <c r="AP213" s="1124"/>
      <c r="AQ213" s="1124"/>
      <c r="AR213" s="1124"/>
      <c r="AS213" s="1124"/>
      <c r="AT213" s="1123">
        <f>_xlfn.SUMIFS(Административные!AJ$25:AJ$103,Административные!$F$25:$F$103,$F213,Административные!$G$25:$G$103,$G213)</f>
        <v>0</v>
      </c>
      <c r="AU213" s="1124"/>
      <c r="AV213" s="1124"/>
      <c r="AW213" s="1124"/>
      <c r="AX213" s="1124"/>
      <c r="AY213" s="1124"/>
      <c r="AZ213" s="1124"/>
      <c r="BA213" s="1124"/>
      <c r="BB213" s="1124"/>
      <c r="BC213" s="1124"/>
      <c r="BD213" s="1123">
        <f>IF(AI213=0,0,(AT213-AI213)/AI213*100)</f>
        <v>0</v>
      </c>
      <c r="BE213" s="1124"/>
      <c r="BF213" s="1124"/>
      <c r="BG213" s="1124"/>
      <c r="BH213" s="1124"/>
      <c r="BI213" s="1124"/>
      <c r="BJ213" s="1124"/>
      <c r="BK213" s="1124"/>
      <c r="BL213" s="1124"/>
      <c r="BM213" s="1124"/>
      <c r="BN213" s="6290"/>
      <c r="BO213" s="6294" t="str">
        <f>IF(_xlfn.IFERROR(INDEX(Административные!$K$26:$L$103,MATCH($F213&amp;"6komm",Административные!$K$26:$K$103,0),2),"")=0,"",_xlfn.IFERROR(INDEX(Административные!$K$26:$L$103,MATCH($F213&amp;"6komm",Административные!$K$26:$K$103,0),2),""))</f>
        <v/>
      </c>
      <c r="BP213" s="6290"/>
      <c r="BQ213" s="1297"/>
      <c r="BR213" s="1297"/>
      <c r="BS213" s="1070" t="s">
        <v>2062</v>
      </c>
      <c r="BT213" s="1072"/>
      <c r="BU213" s="1072"/>
      <c r="BV213" s="987"/>
      <c r="BW213" s="987"/>
    </row>
    <row s="1656" customFormat="1" customHeight="1" ht="14.25">
      <c r="A214" s="1297"/>
      <c r="B214" s="986"/>
      <c r="C214" s="103"/>
      <c r="D214" s="103"/>
      <c r="E214" s="626">
        <v>15</v>
      </c>
      <c r="F214" s="50" cm="1" t="str">
        <f t="array" ref="F214:F214">OFFSET(E214,-1,1)</f>
        <v>1</v>
      </c>
      <c r="G214" s="855" t="s">
        <v>1433</v>
      </c>
      <c r="H214" s="864"/>
      <c r="I214" s="864" t="s">
        <v>2258</v>
      </c>
      <c r="J214" s="103"/>
      <c r="K214" s="374" t="s">
        <v>2258</v>
      </c>
      <c r="L214" s="988" t="s">
        <v>2063</v>
      </c>
      <c r="M214" s="103"/>
      <c r="N214" s="103"/>
      <c r="O214" s="103"/>
      <c r="P214" s="103"/>
      <c r="Q214" s="103"/>
      <c r="R214" s="103"/>
      <c r="S214" s="103"/>
      <c r="T214" s="468" cm="1" t="str">
        <f t="array" ref="T214:T214">T213</f>
        <v>true</v>
      </c>
      <c r="U214" s="103"/>
      <c r="V214" s="103"/>
      <c r="W214" s="103"/>
      <c r="X214" s="1559"/>
      <c r="Y214" s="1297"/>
      <c r="Z214" s="1529"/>
      <c r="AA214" s="1297"/>
      <c r="AB214" s="296" t="s">
        <v>2259</v>
      </c>
      <c r="AC214" s="775" t="s">
        <v>2065</v>
      </c>
      <c r="AD214" s="296" t="s">
        <v>936</v>
      </c>
      <c r="AE214" s="1123">
        <f>_xlfn.SUMIFS(Административные!AE$25:AE$103,Административные!$F$25:$F$103,$F214,Административные!$G$25:$G$103,$G214)</f>
        <v>0</v>
      </c>
      <c r="AF214" s="1123">
        <f>_xlfn.SUMIFS(Административные!AF$25:AF$103,Административные!$F$25:$F$103,$F214,Административные!$G$25:$G$103,$G214)</f>
        <v>0</v>
      </c>
      <c r="AG214" s="1123">
        <f>_xlfn.SUMIFS(Административные!AG$25:AG$103,Административные!$F$25:$F$103,$F214,Административные!$G$25:$G$103,$G214)</f>
        <v>0</v>
      </c>
      <c r="AH214" s="1123">
        <f>AG214-AF214</f>
        <v>0</v>
      </c>
      <c r="AI214" s="1123">
        <f>_xlfn.SUMIFS(Административные!AH$25:AH$103,Административные!$F$25:$F$103,$F214,Административные!$G$25:$G$103,$G214)</f>
        <v>0</v>
      </c>
      <c r="AJ214" s="1123">
        <f>_xlfn.SUMIFS(Административные!AI$25:AI$103,Административные!$F$25:$F$103,$F214,Административные!$G$25:$G$103,$G214)</f>
        <v>0</v>
      </c>
      <c r="AK214" s="1124"/>
      <c r="AL214" s="1124"/>
      <c r="AM214" s="1124"/>
      <c r="AN214" s="1124"/>
      <c r="AO214" s="1124"/>
      <c r="AP214" s="1124"/>
      <c r="AQ214" s="1124"/>
      <c r="AR214" s="1124"/>
      <c r="AS214" s="1124"/>
      <c r="AT214" s="1123">
        <f>_xlfn.SUMIFS(Административные!AJ$25:AJ$103,Административные!$F$25:$F$103,$F214,Административные!$G$25:$G$103,$G214)</f>
        <v>0</v>
      </c>
      <c r="AU214" s="1124"/>
      <c r="AV214" s="1124"/>
      <c r="AW214" s="1124"/>
      <c r="AX214" s="1124"/>
      <c r="AY214" s="1124"/>
      <c r="AZ214" s="1124"/>
      <c r="BA214" s="1124"/>
      <c r="BB214" s="1124"/>
      <c r="BC214" s="1124"/>
      <c r="BD214" s="1123">
        <f>IF(AI214=0,0,(AT214-AI214)/AI214*100)</f>
        <v>0</v>
      </c>
      <c r="BE214" s="1124"/>
      <c r="BF214" s="1124"/>
      <c r="BG214" s="1124"/>
      <c r="BH214" s="1124"/>
      <c r="BI214" s="1124"/>
      <c r="BJ214" s="1124"/>
      <c r="BK214" s="1124"/>
      <c r="BL214" s="1124"/>
      <c r="BM214" s="1124"/>
      <c r="BN214" s="6290"/>
      <c r="BO214" s="6294" t="str">
        <f>IF(_xlfn.IFERROR(INDEX(Административные!$K$26:$L$103,MATCH($F214&amp;"7komm",Административные!$K$26:$K$103,0),2),"")=0,"",_xlfn.IFERROR(INDEX(Административные!$K$26:$L$103,MATCH($F214&amp;"7komm",Административные!$K$26:$K$103,0),2),""))</f>
        <v/>
      </c>
      <c r="BP214" s="6290"/>
      <c r="BQ214" s="1297"/>
      <c r="BR214" s="1297"/>
      <c r="BS214" s="1070" t="s">
        <v>2066</v>
      </c>
      <c r="BT214" s="1072"/>
      <c r="BU214" s="1072"/>
      <c r="BV214" s="987"/>
      <c r="BW214" s="987"/>
    </row>
    <row s="1656" customFormat="1" customHeight="1" ht="14.25">
      <c r="A215" s="1297"/>
      <c r="B215" s="986"/>
      <c r="C215" s="103"/>
      <c r="D215" s="103"/>
      <c r="E215" s="626">
        <v>15</v>
      </c>
      <c r="F215" s="50" cm="1" t="str">
        <f t="array" ref="F215:F215">OFFSET(E215,-1,1)</f>
        <v>1</v>
      </c>
      <c r="G215" s="855" t="s">
        <v>1436</v>
      </c>
      <c r="H215" s="864"/>
      <c r="I215" s="864" t="s">
        <v>2260</v>
      </c>
      <c r="J215" s="103"/>
      <c r="K215" s="374" t="s">
        <v>2260</v>
      </c>
      <c r="L215" s="988" t="s">
        <v>2067</v>
      </c>
      <c r="M215" s="103"/>
      <c r="N215" s="103"/>
      <c r="O215" s="103"/>
      <c r="P215" s="103"/>
      <c r="Q215" s="103"/>
      <c r="R215" s="103"/>
      <c r="S215" s="103"/>
      <c r="T215" s="468" cm="1" t="str">
        <f t="array" ref="T215:T215">T214</f>
        <v>true</v>
      </c>
      <c r="U215" s="103"/>
      <c r="V215" s="103"/>
      <c r="W215" s="103"/>
      <c r="X215" s="1559"/>
      <c r="Y215" s="1297"/>
      <c r="Z215" s="1529"/>
      <c r="AA215" s="1297"/>
      <c r="AB215" s="296" t="s">
        <v>2261</v>
      </c>
      <c r="AC215" s="775" t="s">
        <v>1437</v>
      </c>
      <c r="AD215" s="296" t="s">
        <v>936</v>
      </c>
      <c r="AE215" s="1123">
        <f>_xlfn.SUMIFS(Административные!AE$25:AE$103,Административные!$F$25:$F$103,$F215,Административные!$G$25:$G$103,$G215)</f>
        <v>0</v>
      </c>
      <c r="AF215" s="1123">
        <f>_xlfn.SUMIFS(Административные!AF$25:AF$103,Административные!$F$25:$F$103,$F215,Административные!$G$25:$G$103,$G215)</f>
        <v>0</v>
      </c>
      <c r="AG215" s="1123">
        <f>_xlfn.SUMIFS(Административные!AG$25:AG$103,Административные!$F$25:$F$103,$F215,Административные!$G$25:$G$103,$G215)</f>
        <v>0</v>
      </c>
      <c r="AH215" s="1123">
        <f>AG215-AF215</f>
        <v>0</v>
      </c>
      <c r="AI215" s="1123">
        <f>_xlfn.SUMIFS(Административные!AH$25:AH$103,Административные!$F$25:$F$103,$F215,Административные!$G$25:$G$103,$G215)</f>
        <v>0</v>
      </c>
      <c r="AJ215" s="1123">
        <f>_xlfn.SUMIFS(Административные!AI$25:AI$103,Административные!$F$25:$F$103,$F215,Административные!$G$25:$G$103,$G215)</f>
        <v>0</v>
      </c>
      <c r="AK215" s="1124"/>
      <c r="AL215" s="1124"/>
      <c r="AM215" s="1124"/>
      <c r="AN215" s="1124"/>
      <c r="AO215" s="1124"/>
      <c r="AP215" s="1124"/>
      <c r="AQ215" s="1124"/>
      <c r="AR215" s="1124"/>
      <c r="AS215" s="1124"/>
      <c r="AT215" s="1123">
        <f>_xlfn.SUMIFS(Административные!AJ$25:AJ$103,Административные!$F$25:$F$103,$F215,Административные!$G$25:$G$103,$G215)</f>
        <v>0</v>
      </c>
      <c r="AU215" s="1124"/>
      <c r="AV215" s="1124"/>
      <c r="AW215" s="1124"/>
      <c r="AX215" s="1124"/>
      <c r="AY215" s="1124"/>
      <c r="AZ215" s="1124"/>
      <c r="BA215" s="1124"/>
      <c r="BB215" s="1124"/>
      <c r="BC215" s="1124"/>
      <c r="BD215" s="1123">
        <f>IF(AI215=0,0,(AT215-AI215)/AI215*100)</f>
        <v>0</v>
      </c>
      <c r="BE215" s="1124"/>
      <c r="BF215" s="1124"/>
      <c r="BG215" s="1124"/>
      <c r="BH215" s="1124"/>
      <c r="BI215" s="1124"/>
      <c r="BJ215" s="1124"/>
      <c r="BK215" s="1124"/>
      <c r="BL215" s="1124"/>
      <c r="BM215" s="1124"/>
      <c r="BN215" s="6290"/>
      <c r="BO215" s="6294" t="str">
        <f>IF(_xlfn.IFERROR(INDEX(Административные!$K$26:$L$103,MATCH($F215&amp;"8komm",Административные!$K$26:$K$103,0),2),"")=0,"",_xlfn.IFERROR(INDEX(Административные!$K$26:$L$103,MATCH($F215&amp;"8komm",Административные!$K$26:$K$103,0),2),""))</f>
        <v/>
      </c>
      <c r="BP215" s="6290"/>
      <c r="BQ215" s="1297"/>
      <c r="BR215" s="1297"/>
      <c r="BS215" s="1070" t="s">
        <v>2069</v>
      </c>
      <c r="BT215" s="1072"/>
      <c r="BU215" s="1072"/>
      <c r="BV215" s="987"/>
      <c r="BW215" s="987"/>
    </row>
    <row s="1656" customFormat="1" customHeight="1" ht="14.25">
      <c r="A216" s="1297"/>
      <c r="B216" s="986"/>
      <c r="C216" s="103"/>
      <c r="D216" s="103"/>
      <c r="E216" s="626">
        <v>15</v>
      </c>
      <c r="F216" s="50" cm="1" t="str">
        <f t="array" ref="F216:F216">OFFSET(E216,-1,1)</f>
        <v>1</v>
      </c>
      <c r="G216" s="103" t="s">
        <v>1439</v>
      </c>
      <c r="H216" s="864"/>
      <c r="I216" s="864" t="s">
        <v>2262</v>
      </c>
      <c r="J216" s="103"/>
      <c r="K216" s="374" t="s">
        <v>2262</v>
      </c>
      <c r="L216" s="988" t="s">
        <v>2070</v>
      </c>
      <c r="M216" s="103"/>
      <c r="N216" s="103"/>
      <c r="O216" s="103"/>
      <c r="P216" s="103"/>
      <c r="Q216" s="103"/>
      <c r="R216" s="103"/>
      <c r="S216" s="103"/>
      <c r="T216" s="468" cm="1" t="str">
        <f t="array" ref="T216:T216">T215</f>
        <v>true</v>
      </c>
      <c r="U216" s="103"/>
      <c r="V216" s="103"/>
      <c r="W216" s="103"/>
      <c r="X216" s="1559"/>
      <c r="Y216" s="1297"/>
      <c r="Z216" s="1529"/>
      <c r="AA216" s="1297"/>
      <c r="AB216" s="296" t="s">
        <v>2263</v>
      </c>
      <c r="AC216" s="775" t="s">
        <v>1440</v>
      </c>
      <c r="AD216" s="296" t="s">
        <v>936</v>
      </c>
      <c r="AE216" s="1123">
        <f>_xlfn.SUMIFS(Административные!AE$25:AE$103,Административные!$F$25:$F$103,$F216,Административные!$G$25:$G$103,$G216)</f>
        <v>0</v>
      </c>
      <c r="AF216" s="1123">
        <f>_xlfn.SUMIFS(Административные!AF$25:AF$103,Административные!$F$25:$F$103,$F216,Административные!$G$25:$G$103,$G216)</f>
        <v>0</v>
      </c>
      <c r="AG216" s="1123">
        <f>_xlfn.SUMIFS(Административные!AG$25:AG$103,Административные!$F$25:$F$103,$F216,Административные!$G$25:$G$103,$G216)</f>
        <v>0</v>
      </c>
      <c r="AH216" s="1123">
        <f>AG216-AF216</f>
        <v>0</v>
      </c>
      <c r="AI216" s="1123">
        <f>_xlfn.SUMIFS(Административные!AH$25:AH$103,Административные!$F$25:$F$103,$F216,Административные!$G$25:$G$103,$G216)</f>
        <v>0</v>
      </c>
      <c r="AJ216" s="1125">
        <f>_xlfn.SUMIFS(Административные!AI$25:AI$103,Административные!$F$25:$F$103,$F216,Административные!$G$25:$G$103,$G216)</f>
        <v>0</v>
      </c>
      <c r="AK216" s="1124"/>
      <c r="AL216" s="1124"/>
      <c r="AM216" s="1124"/>
      <c r="AN216" s="1124"/>
      <c r="AO216" s="1124"/>
      <c r="AP216" s="1124"/>
      <c r="AQ216" s="1124"/>
      <c r="AR216" s="1124"/>
      <c r="AS216" s="1124"/>
      <c r="AT216" s="1125">
        <f>_xlfn.SUMIFS(Административные!AJ$25:AJ$103,Административные!$F$25:$F$103,$F216,Административные!$G$25:$G$103,$G216)</f>
        <v>0</v>
      </c>
      <c r="AU216" s="1124"/>
      <c r="AV216" s="1124"/>
      <c r="AW216" s="1124"/>
      <c r="AX216" s="1124"/>
      <c r="AY216" s="1124"/>
      <c r="AZ216" s="1124"/>
      <c r="BA216" s="1124"/>
      <c r="BB216" s="1124"/>
      <c r="BC216" s="1124"/>
      <c r="BD216" s="1123">
        <f>IF(AI216=0,0,(AT216-AI216)/AI216*100)</f>
        <v>0</v>
      </c>
      <c r="BE216" s="1124"/>
      <c r="BF216" s="1124"/>
      <c r="BG216" s="1124"/>
      <c r="BH216" s="1124"/>
      <c r="BI216" s="1124"/>
      <c r="BJ216" s="1124"/>
      <c r="BK216" s="1124"/>
      <c r="BL216" s="1124"/>
      <c r="BM216" s="1124"/>
      <c r="BN216" s="6290"/>
      <c r="BO216" s="6294" t="str">
        <f>IF(_xlfn.IFERROR(INDEX(Административные!$K$26:$L$103,MATCH($F216&amp;"9komm",Административные!$K$26:$K$103,0),2),"")=0,"",_xlfn.IFERROR(INDEX(Административные!$K$26:$L$103,MATCH($F216&amp;"9komm",Административные!$K$26:$K$103,0),2),""))</f>
        <v/>
      </c>
      <c r="BP216" s="6290"/>
      <c r="BQ216" s="1297"/>
      <c r="BR216" s="1297"/>
      <c r="BS216" s="1070" t="s">
        <v>2072</v>
      </c>
      <c r="BT216" s="1072"/>
      <c r="BU216" s="1072"/>
      <c r="BV216" s="987"/>
      <c r="BW216" s="987"/>
    </row>
    <row s="1656" customFormat="1" customHeight="1" ht="21.75">
      <c r="A217" s="1297"/>
      <c r="B217" s="434">
        <f>STATUS_GO="да"</f>
        <v>0</v>
      </c>
      <c r="C217" s="103"/>
      <c r="D217" s="103"/>
      <c r="E217" s="626">
        <v>22.5</v>
      </c>
      <c r="F217" s="50" cm="1" t="str">
        <f t="array" ref="F217:F217">OFFSET(E217,-1,1)</f>
        <v>1</v>
      </c>
      <c r="G217" s="103"/>
      <c r="H217" s="864"/>
      <c r="I217" s="864" t="s">
        <v>1079</v>
      </c>
      <c r="J217" s="103"/>
      <c r="K217" s="374" t="s">
        <v>1079</v>
      </c>
      <c r="L217" s="988" t="s">
        <v>348</v>
      </c>
      <c r="M217" s="103"/>
      <c r="N217" s="103"/>
      <c r="O217" s="103"/>
      <c r="P217" s="103"/>
      <c r="Q217" s="103"/>
      <c r="R217" s="103"/>
      <c r="S217" s="103"/>
      <c r="T217" s="468" cm="1" t="str">
        <f t="array" ref="T217:T217">T216</f>
        <v>true</v>
      </c>
      <c r="U217" s="103"/>
      <c r="V217" s="103"/>
      <c r="W217" s="103"/>
      <c r="X217" s="1559"/>
      <c r="Y217" s="1297"/>
      <c r="Z217" s="1529"/>
      <c r="AA217" s="1297"/>
      <c r="AB217" s="296" t="s">
        <v>1080</v>
      </c>
      <c r="AC217" s="769" t="s">
        <v>2264</v>
      </c>
      <c r="AD217" s="296" t="s">
        <v>936</v>
      </c>
      <c r="AE217" s="1123">
        <f>_xlfn.SUMIFS('Сбытовые расходы ГО'!AE$25:AE$75,'Сбытовые расходы ГО'!$F$25:$F$75,$F217,'Сбытовые расходы ГО'!$G$25:$G$75,"L0")-_xlfn.SUMIFS('Сбытовые расходы ГО'!AE$25:AE$75,'Сбытовые расходы ГО'!$F$25:$F$75,$F217,'Сбытовые расходы ГО'!$G$25:$G$75,"L1")</f>
        <v>0</v>
      </c>
      <c r="AF217" s="1123">
        <f>_xlfn.SUMIFS('Сбытовые расходы ГО'!AF$25:AF$75,'Сбытовые расходы ГО'!$F$25:$F$75,$F217,'Сбытовые расходы ГО'!$G$25:$G$75,"L0")-_xlfn.SUMIFS('Сбытовые расходы ГО'!AF$25:AF$75,'Сбытовые расходы ГО'!$F$25:$F$75,$F217,'Сбытовые расходы ГО'!$G$25:$G$75,"L1")</f>
        <v>0</v>
      </c>
      <c r="AG217" s="1123">
        <f>_xlfn.SUMIFS('Сбытовые расходы ГО'!AG$25:AG$75,'Сбытовые расходы ГО'!$F$25:$F$75,$F217,'Сбытовые расходы ГО'!$G$25:$G$75,"L0")-_xlfn.SUMIFS('Сбытовые расходы ГО'!AG$25:AG$75,'Сбытовые расходы ГО'!$F$25:$F$75,$F217,'Сбытовые расходы ГО'!$G$25:$G$75,"L1")</f>
        <v>0</v>
      </c>
      <c r="AH217" s="1123">
        <f>AG217-AF217</f>
        <v>0</v>
      </c>
      <c r="AI217" s="1123">
        <f>_xlfn.SUMIFS('Сбытовые расходы ГО'!AH$25:AH$75,'Сбытовые расходы ГО'!$F$25:$F$75,$F217,'Сбытовые расходы ГО'!$G$25:$G$75,"L0")-_xlfn.SUMIFS('Сбытовые расходы ГО'!AH$25:AH$75,'Сбытовые расходы ГО'!$F$25:$F$75,$F217,'Сбытовые расходы ГО'!$G$25:$G$75,"L1")</f>
        <v>0</v>
      </c>
      <c r="AJ217" s="1123">
        <f>_xlfn.SUMIFS('Сбытовые расходы ГО'!AI$25:AI$75,'Сбытовые расходы ГО'!$F$25:$F$75,$F217,'Сбытовые расходы ГО'!$G$25:$G$75,"L0")-_xlfn.SUMIFS('Сбытовые расходы ГО'!AI$25:AI$75,'Сбытовые расходы ГО'!$F$25:$F$75,$F217,'Сбытовые расходы ГО'!$G$25:$G$75,"L1")</f>
        <v>0</v>
      </c>
      <c r="AK217" s="1124"/>
      <c r="AL217" s="1124"/>
      <c r="AM217" s="1124"/>
      <c r="AN217" s="1124"/>
      <c r="AO217" s="1124"/>
      <c r="AP217" s="1124"/>
      <c r="AQ217" s="1124"/>
      <c r="AR217" s="1124"/>
      <c r="AS217" s="1124"/>
      <c r="AT217" s="1123">
        <f>_xlfn.SUMIFS('Сбытовые расходы ГО'!AJ$25:AJ$75,'Сбытовые расходы ГО'!$F$25:$F$75,$F217,'Сбытовые расходы ГО'!$G$25:$G$75,"L0")-_xlfn.SUMIFS('Сбытовые расходы ГО'!AJ$25:AJ$75,'Сбытовые расходы ГО'!$F$25:$F$75,$F217,'Сбытовые расходы ГО'!$G$25:$G$75,"L1")</f>
        <v>0</v>
      </c>
      <c r="AU217" s="1124"/>
      <c r="AV217" s="1124"/>
      <c r="AW217" s="1124"/>
      <c r="AX217" s="1124"/>
      <c r="AY217" s="1124"/>
      <c r="AZ217" s="1124"/>
      <c r="BA217" s="1124"/>
      <c r="BB217" s="1124"/>
      <c r="BC217" s="1124"/>
      <c r="BD217" s="1123">
        <f>IF(AI217=0,0,(AT217-AI217)/AI217*100)</f>
        <v>0</v>
      </c>
      <c r="BE217" s="1124"/>
      <c r="BF217" s="1124"/>
      <c r="BG217" s="1124"/>
      <c r="BH217" s="1124"/>
      <c r="BI217" s="1124"/>
      <c r="BJ217" s="1124"/>
      <c r="BK217" s="1124"/>
      <c r="BL217" s="1124"/>
      <c r="BM217" s="1124"/>
      <c r="BN217" s="6290"/>
      <c r="BO217" s="6290"/>
      <c r="BP217" s="6290"/>
      <c r="BQ217" s="1297"/>
      <c r="BR217" s="1297"/>
      <c r="BS217" s="1071" t="s">
        <v>2074</v>
      </c>
      <c r="BT217" s="1072"/>
      <c r="BU217" s="1072"/>
      <c r="BV217" s="987"/>
      <c r="BW217" s="987"/>
    </row>
    <row s="1656" customFormat="1" customHeight="1" ht="14.625">
      <c r="A218" s="1297"/>
      <c r="B218" s="986"/>
      <c r="C218" s="103"/>
      <c r="D218" s="103"/>
      <c r="E218" s="626">
        <v>15</v>
      </c>
      <c r="F218" s="50" cm="1" t="str">
        <f t="array" ref="F218:F218">OFFSET(E218,-1,1)</f>
        <v>1</v>
      </c>
      <c r="G218" s="103"/>
      <c r="H218" s="864"/>
      <c r="I218" s="864" t="s">
        <v>2013</v>
      </c>
      <c r="J218" s="103"/>
      <c r="K218" s="374" t="s">
        <v>2013</v>
      </c>
      <c r="L218" s="988"/>
      <c r="M218" s="103"/>
      <c r="N218" s="103"/>
      <c r="O218" s="103"/>
      <c r="P218" s="103"/>
      <c r="Q218" s="103"/>
      <c r="R218" s="103"/>
      <c r="S218" s="103"/>
      <c r="T218" s="468" cm="1" t="str">
        <f t="array" ref="T218:T218">T217</f>
        <v>true</v>
      </c>
      <c r="U218" s="103"/>
      <c r="V218" s="103"/>
      <c r="W218" s="103"/>
      <c r="X218" s="1559"/>
      <c r="Y218" s="1297"/>
      <c r="Z218" s="1529"/>
      <c r="AA218" s="1297"/>
      <c r="AB218" s="296" t="s">
        <v>2014</v>
      </c>
      <c r="AC218" s="769" t="s">
        <v>2265</v>
      </c>
      <c r="AD218" s="296" t="s">
        <v>936</v>
      </c>
      <c r="AE218" s="6293">
        <v>12473.11</v>
      </c>
      <c r="AF218" s="6293"/>
      <c r="AG218" s="6293"/>
      <c r="AH218" s="1123">
        <f>AG218-AF218</f>
        <v>0</v>
      </c>
      <c r="AI218" s="6293"/>
      <c r="AJ218" s="6293"/>
      <c r="AK218" s="1124"/>
      <c r="AL218" s="1124"/>
      <c r="AM218" s="1124"/>
      <c r="AN218" s="1124"/>
      <c r="AO218" s="1124"/>
      <c r="AP218" s="1124"/>
      <c r="AQ218" s="1124"/>
      <c r="AR218" s="1124"/>
      <c r="AS218" s="1124"/>
      <c r="AT218" s="6293"/>
      <c r="AU218" s="1124"/>
      <c r="AV218" s="1124"/>
      <c r="AW218" s="1124"/>
      <c r="AX218" s="1124"/>
      <c r="AY218" s="1124"/>
      <c r="AZ218" s="1124"/>
      <c r="BA218" s="1124"/>
      <c r="BB218" s="1124"/>
      <c r="BC218" s="1124"/>
      <c r="BD218" s="1123">
        <f>IF(AI218=0,0,(AT218-AI218)/AI218*100)</f>
        <v>0</v>
      </c>
      <c r="BE218" s="1124"/>
      <c r="BF218" s="1124"/>
      <c r="BG218" s="1124"/>
      <c r="BH218" s="1124"/>
      <c r="BI218" s="1124"/>
      <c r="BJ218" s="1124"/>
      <c r="BK218" s="1124"/>
      <c r="BL218" s="1124"/>
      <c r="BM218" s="1124"/>
      <c r="BN218" s="6290"/>
      <c r="BO218" s="6290"/>
      <c r="BP218" s="6290"/>
      <c r="BQ218" s="1297"/>
      <c r="BR218" s="1297"/>
      <c r="BS218" s="1072" t="s">
        <v>2266</v>
      </c>
      <c r="BT218" s="1072"/>
      <c r="BU218" s="1072"/>
      <c r="BV218" s="987"/>
      <c r="BW218" s="987"/>
    </row>
    <row s="6299" customFormat="1" customHeight="1" ht="20.25">
      <c r="A219" s="706"/>
      <c r="B219" s="437"/>
      <c r="C219" s="105"/>
      <c r="D219" s="105"/>
      <c r="E219" s="833">
        <v>21</v>
      </c>
      <c r="F219" s="50" cm="1" t="str">
        <f t="array" ref="F219:F219">OFFSET(E219,-1,1)</f>
        <v>1</v>
      </c>
      <c r="G219" s="105"/>
      <c r="H219" s="864"/>
      <c r="I219" s="864" t="s">
        <v>2017</v>
      </c>
      <c r="J219" s="105"/>
      <c r="K219" s="374" t="s">
        <v>2017</v>
      </c>
      <c r="L219" s="993"/>
      <c r="M219" s="105"/>
      <c r="N219" s="105"/>
      <c r="O219" s="105"/>
      <c r="P219" s="105"/>
      <c r="Q219" s="105"/>
      <c r="R219" s="105"/>
      <c r="S219" s="105"/>
      <c r="T219" s="468">
        <f>AND(F219&gt;0,method_reg="Метод индексации")</f>
        <v>1</v>
      </c>
      <c r="U219" s="105"/>
      <c r="V219" s="105"/>
      <c r="W219" s="105"/>
      <c r="X219" s="1559"/>
      <c r="Y219" s="706"/>
      <c r="Z219" s="1529"/>
      <c r="AA219" s="706"/>
      <c r="AB219" s="207" t="s">
        <v>2018</v>
      </c>
      <c r="AC219" s="357" t="s">
        <v>2267</v>
      </c>
      <c r="AD219" s="207" t="s">
        <v>936</v>
      </c>
      <c r="AE219" s="209">
        <f>SUM(AE220:AE221)</f>
        <v>0</v>
      </c>
      <c r="AF219" s="209">
        <f>SUM(AF220:AF221)</f>
        <v>0</v>
      </c>
      <c r="AG219" s="209">
        <f>SUM(AG220:AG221)</f>
        <v>0</v>
      </c>
      <c r="AH219" s="785">
        <f>AG219-AF219</f>
        <v>0</v>
      </c>
      <c r="AI219" s="209">
        <f>SUM(AI220:AI221)</f>
        <v>0</v>
      </c>
      <c r="AJ219" s="209">
        <f>SUM(AJ220:AJ221)</f>
        <v>0</v>
      </c>
      <c r="AK219" s="212"/>
      <c r="AL219" s="212"/>
      <c r="AM219" s="212"/>
      <c r="AN219" s="212"/>
      <c r="AO219" s="212"/>
      <c r="AP219" s="212"/>
      <c r="AQ219" s="212"/>
      <c r="AR219" s="212"/>
      <c r="AS219" s="212"/>
      <c r="AT219" s="209">
        <f>SUM(AT220:AT221)</f>
        <v>0</v>
      </c>
      <c r="AU219" s="212"/>
      <c r="AV219" s="212"/>
      <c r="AW219" s="212"/>
      <c r="AX219" s="212"/>
      <c r="AY219" s="212"/>
      <c r="AZ219" s="212"/>
      <c r="BA219" s="212"/>
      <c r="BB219" s="212"/>
      <c r="BC219" s="212"/>
      <c r="BD219" s="785">
        <f>IF(AI219=0,0,(AT219-AI219)/AI219*100)</f>
        <v>0</v>
      </c>
      <c r="BE219" s="212"/>
      <c r="BF219" s="212"/>
      <c r="BG219" s="212"/>
      <c r="BH219" s="212"/>
      <c r="BI219" s="212"/>
      <c r="BJ219" s="212"/>
      <c r="BK219" s="212"/>
      <c r="BL219" s="212"/>
      <c r="BM219" s="212"/>
      <c r="BN219" s="6292"/>
      <c r="BO219" s="6292"/>
      <c r="BP219" s="6292"/>
      <c r="BQ219" s="706"/>
      <c r="BR219" s="706"/>
      <c r="BS219" s="1078" t="s">
        <v>2268</v>
      </c>
      <c r="BT219" s="1078"/>
      <c r="BU219" s="1078"/>
      <c r="BV219" s="713"/>
      <c r="BW219" s="713"/>
    </row>
    <row s="1656" customFormat="1" customHeight="1" ht="14.25" hidden="1">
      <c r="A220" s="1297"/>
      <c r="B220" s="434">
        <f>method_reg="Метод индексации"</f>
        <v>1</v>
      </c>
      <c r="C220" s="103"/>
      <c r="D220" s="103"/>
      <c r="E220" s="626">
        <v>15</v>
      </c>
      <c r="F220" s="50" cm="1" t="str">
        <f t="array" ref="F220:F220">OFFSET(E220,-1,1)</f>
        <v>1</v>
      </c>
      <c r="G220" s="103"/>
      <c r="H220" s="103"/>
      <c r="I220" s="864" t="s">
        <v>2017</v>
      </c>
      <c r="J220" s="103" cm="1" t="str">
        <f t="array" ref="J220:J220">AC220</f>
        <v>0</v>
      </c>
      <c r="K220" s="374" t="s">
        <v>2017</v>
      </c>
      <c r="L220" s="988"/>
      <c r="M220" s="103"/>
      <c r="N220" s="103"/>
      <c r="O220" s="103"/>
      <c r="P220" s="103"/>
      <c r="Q220" s="103"/>
      <c r="R220" s="103"/>
      <c r="S220" s="103"/>
      <c r="T220" s="468">
        <f>AND(F220&gt;0,Y220&gt;0)</f>
        <v>0</v>
      </c>
      <c r="U220" s="103"/>
      <c r="V220" s="103"/>
      <c r="W220" s="103" t="s">
        <v>173</v>
      </c>
      <c r="X220" s="1559"/>
      <c r="Y220" s="154">
        <v>0</v>
      </c>
      <c r="Z220" s="1529"/>
      <c r="AA220" s="422" t="s">
        <v>174</v>
      </c>
      <c r="AB220" s="296" t="str">
        <f>"1.7."&amp;Y220</f>
        <v>1.7.0</v>
      </c>
      <c r="AC220" s="1262"/>
      <c r="AD220" s="296" t="s">
        <v>936</v>
      </c>
      <c r="AE220" s="1260"/>
      <c r="AF220" s="1260"/>
      <c r="AG220" s="1260"/>
      <c r="AH220" s="1123">
        <f>AG220-AF220</f>
        <v>0</v>
      </c>
      <c r="AI220" s="1260"/>
      <c r="AJ220" s="1260"/>
      <c r="AK220" s="1124"/>
      <c r="AL220" s="1124"/>
      <c r="AM220" s="1124"/>
      <c r="AN220" s="1124"/>
      <c r="AO220" s="1124"/>
      <c r="AP220" s="1124"/>
      <c r="AQ220" s="1124"/>
      <c r="AR220" s="1124"/>
      <c r="AS220" s="1124"/>
      <c r="AT220" s="1260"/>
      <c r="AU220" s="1124"/>
      <c r="AV220" s="1124"/>
      <c r="AW220" s="1124"/>
      <c r="AX220" s="1124"/>
      <c r="AY220" s="1124"/>
      <c r="AZ220" s="1124"/>
      <c r="BA220" s="1124"/>
      <c r="BB220" s="1124"/>
      <c r="BC220" s="1124"/>
      <c r="BD220" s="1123">
        <f>IF(AI220=0,0,(AT220-AI220)/AI220*100)</f>
        <v>0</v>
      </c>
      <c r="BE220" s="1124"/>
      <c r="BF220" s="1124"/>
      <c r="BG220" s="1124"/>
      <c r="BH220" s="1124"/>
      <c r="BI220" s="1124"/>
      <c r="BJ220" s="1124"/>
      <c r="BK220" s="1124"/>
      <c r="BL220" s="1124"/>
      <c r="BM220" s="1124"/>
      <c r="BN220" s="1257"/>
      <c r="BO220" s="1257"/>
      <c r="BP220" s="1257"/>
      <c r="BQ220" s="1297"/>
      <c r="BR220" s="1297"/>
      <c r="BS220" s="1072" t="s">
        <v>2268</v>
      </c>
      <c r="BT220" s="1072" t="s">
        <v>2269</v>
      </c>
      <c r="BU220" s="1072" cm="1" t="str">
        <f t="array" ref="BU220:BU220">AC220</f>
        <v>0</v>
      </c>
      <c r="BV220" s="987"/>
      <c r="BW220" s="709" t="b">
        <v>1</v>
      </c>
    </row>
    <row s="1656" customFormat="1" customHeight="1" ht="14.25">
      <c r="A221" s="1297"/>
      <c r="B221" s="434" cm="1" t="str">
        <f t="array" ref="B221:B221">B220</f>
        <v>true</v>
      </c>
      <c r="C221" s="103"/>
      <c r="D221" s="103"/>
      <c r="E221" s="626">
        <v>15</v>
      </c>
      <c r="F221" s="50" cm="1" t="str">
        <f t="array" ref="F221:F221">OFFSET(E221,-1,1)</f>
        <v>1</v>
      </c>
      <c r="G221" s="483"/>
      <c r="H221" s="103"/>
      <c r="I221" s="103"/>
      <c r="J221" s="103" t="s">
        <v>2270</v>
      </c>
      <c r="K221" s="1297"/>
      <c r="L221" s="988"/>
      <c r="M221" s="103"/>
      <c r="N221" s="103"/>
      <c r="O221" s="103"/>
      <c r="P221" s="103"/>
      <c r="Q221" s="103"/>
      <c r="R221" s="103"/>
      <c r="S221" s="103"/>
      <c r="T221" s="468">
        <f>F221&gt;0</f>
        <v>1</v>
      </c>
      <c r="U221" s="103"/>
      <c r="V221" s="103"/>
      <c r="W221" s="836" t="s">
        <v>410</v>
      </c>
      <c r="X221" s="1559"/>
      <c r="Y221" s="1297"/>
      <c r="Z221" s="1529"/>
      <c r="AA221" s="1297"/>
      <c r="AB221" s="881"/>
      <c r="AC221" s="256" t="s">
        <v>177</v>
      </c>
      <c r="AD221" s="783"/>
      <c r="AE221" s="783"/>
      <c r="AF221" s="783"/>
      <c r="AG221" s="783"/>
      <c r="AH221" s="783"/>
      <c r="AI221" s="783"/>
      <c r="AJ221" s="783"/>
      <c r="AK221" s="783"/>
      <c r="AL221" s="783"/>
      <c r="AM221" s="783"/>
      <c r="AN221" s="783"/>
      <c r="AO221" s="783"/>
      <c r="AP221" s="783"/>
      <c r="AQ221" s="783"/>
      <c r="AR221" s="783"/>
      <c r="AS221" s="783"/>
      <c r="AT221" s="783"/>
      <c r="AU221" s="783"/>
      <c r="AV221" s="783"/>
      <c r="AW221" s="783"/>
      <c r="AX221" s="783"/>
      <c r="AY221" s="783"/>
      <c r="AZ221" s="783"/>
      <c r="BA221" s="783"/>
      <c r="BB221" s="783"/>
      <c r="BC221" s="783"/>
      <c r="BD221" s="783"/>
      <c r="BE221" s="783"/>
      <c r="BF221" s="783"/>
      <c r="BG221" s="783"/>
      <c r="BH221" s="783"/>
      <c r="BI221" s="783"/>
      <c r="BJ221" s="783"/>
      <c r="BK221" s="783"/>
      <c r="BL221" s="783"/>
      <c r="BM221" s="783"/>
      <c r="BN221" s="783"/>
      <c r="BO221" s="783"/>
      <c r="BP221" s="784"/>
      <c r="BQ221" s="1297"/>
      <c r="BR221" s="1297"/>
      <c r="BS221" s="1072"/>
      <c r="BT221" s="1072"/>
      <c r="BU221" s="1072"/>
      <c r="BV221" s="709" t="s">
        <v>2269</v>
      </c>
      <c r="BW221" s="987"/>
    </row>
    <row s="6341" customFormat="1" customHeight="1" ht="191.25">
      <c r="A222" s="706"/>
      <c r="B222" s="437"/>
      <c r="C222" s="105"/>
      <c r="D222" s="105"/>
      <c r="E222" s="833">
        <v>21</v>
      </c>
      <c r="F222" s="50" cm="1" t="str">
        <f t="array" ref="F222:F222">OFFSET(E222,-1,1)</f>
        <v>1</v>
      </c>
      <c r="G222" s="105"/>
      <c r="H222" s="103"/>
      <c r="I222" s="103" t="s">
        <v>345</v>
      </c>
      <c r="J222" s="105"/>
      <c r="K222" s="154" t="s">
        <v>345</v>
      </c>
      <c r="L222" s="993"/>
      <c r="M222" s="105"/>
      <c r="N222" s="105"/>
      <c r="O222" s="105"/>
      <c r="P222" s="105"/>
      <c r="Q222" s="105"/>
      <c r="R222" s="105"/>
      <c r="S222" s="105"/>
      <c r="T222" s="468">
        <f>F222&gt;0</f>
        <v>1</v>
      </c>
      <c r="U222" s="105"/>
      <c r="V222" s="105"/>
      <c r="W222" s="105"/>
      <c r="X222" s="1559"/>
      <c r="Y222" s="706"/>
      <c r="Z222" s="1529"/>
      <c r="AA222" s="706"/>
      <c r="AB222" s="230" t="s">
        <v>299</v>
      </c>
      <c r="AC222" s="208" t="s">
        <v>2271</v>
      </c>
      <c r="AD222" s="230" t="s">
        <v>936</v>
      </c>
      <c r="AE222" s="209">
        <f>AE223+AE235+AE236++AE247+AE248+AE249+AE251+AE252+AE253+AE254+AE257</f>
        <v>34496.3734715</v>
      </c>
      <c r="AF222" s="209">
        <f>AF223+AF235+AF236++AF247+AF248+AF249+AF251+AF252+AF253+AF254+AF257</f>
        <v>32565.16884</v>
      </c>
      <c r="AG222" s="209">
        <f>AG223+AG235+AG236++AG247+AG248+AG249+AG251+AG252+AG253+AG254+AG257</f>
        <v>32565.16884</v>
      </c>
      <c r="AH222" s="785">
        <f>AG222-AF222</f>
        <v>0</v>
      </c>
      <c r="AI222" s="209">
        <f>AI223+AI235+AI236++AI247+AI248+AI249+AI251+AI252+AI253+AI254+AI257</f>
        <v>43673.7052008</v>
      </c>
      <c r="AJ222" s="209">
        <f>AJ223+AJ235+AJ236++AJ247+AJ248+AJ249+AJ251+AJ252+AJ253+AJ254+AJ257</f>
        <v>42237.05</v>
      </c>
      <c r="AK222" s="209">
        <f>AK223+AK235+AK236++AK247+AK248+AK249+AK251+AK252+AK253+AK254+AK257</f>
        <v>0</v>
      </c>
      <c r="AL222" s="209">
        <f>AL223+AL235+AL236++AL247+AL248+AL249+AL251+AL252+AL253+AL254+AL257</f>
        <v>0</v>
      </c>
      <c r="AM222" s="209">
        <f>AM223+AM235+AM236++AM247+AM248+AM249+AM251+AM252+AM253+AM254+AM257</f>
        <v>0</v>
      </c>
      <c r="AN222" s="209">
        <f>AN223+AN235+AN236++AN247+AN248+AN249+AN251+AN252+AN253+AN254+AN257</f>
        <v>0</v>
      </c>
      <c r="AO222" s="209">
        <f>AO223+AO235+AO236++AO247+AO248+AO249+AO251+AO252+AO253+AO254+AO257</f>
        <v>0</v>
      </c>
      <c r="AP222" s="209">
        <f>AP223+AP235+AP236++AP247+AP248+AP249+AP251+AP252+AP253+AP254+AP257</f>
        <v>0</v>
      </c>
      <c r="AQ222" s="209">
        <f>AQ223+AQ235+AQ236++AQ247+AQ248+AQ249+AQ251+AQ252+AQ253+AQ254+AQ257</f>
        <v>0</v>
      </c>
      <c r="AR222" s="209">
        <f>AR223+AR235+AR236++AR247+AR248+AR249+AR251+AR252+AR253+AR254+AR257</f>
        <v>0</v>
      </c>
      <c r="AS222" s="209">
        <f>AS223+AS235+AS236++AS247+AS248+AS249+AS251+AS252+AS253+AS254+AS257</f>
        <v>0</v>
      </c>
      <c r="AT222" s="209">
        <f>AT223+AT235+AT236++AT247+AT248+AT249+AT251+AT252+AT253+AT254+AT257</f>
        <v>41452.96725</v>
      </c>
      <c r="AU222" s="209">
        <f>AU223+AU235+AU236++AU247+AU248+AU249+AU251+AU252+AU253+AU254+AU257</f>
        <v>0</v>
      </c>
      <c r="AV222" s="209">
        <f>AV223+AV235+AV236++AV247+AV248+AV249+AV251+AV252+AV253+AV254+AV257</f>
        <v>0</v>
      </c>
      <c r="AW222" s="209">
        <f>AW223+AW235+AW236++AW247+AW248+AW249+AW251+AW252+AW253+AW254+AW257</f>
        <v>0</v>
      </c>
      <c r="AX222" s="209">
        <f>AX223+AX235+AX236++AX247+AX248+AX249+AX251+AX252+AX253+AX254+AX257</f>
        <v>0</v>
      </c>
      <c r="AY222" s="209">
        <f>AY223+AY235+AY236++AY247+AY248+AY249+AY251+AY252+AY253+AY254+AY257</f>
        <v>0</v>
      </c>
      <c r="AZ222" s="209">
        <f>AZ223+AZ235+AZ236++AZ247+AZ248+AZ249+AZ251+AZ252+AZ253+AZ254+AZ257</f>
        <v>0</v>
      </c>
      <c r="BA222" s="209">
        <f>BA223+BA235+BA236++BA247+BA248+BA249+BA251+BA252+BA253+BA254+BA257</f>
        <v>0</v>
      </c>
      <c r="BB222" s="209">
        <f>BB223+BB235+BB236++BB247+BB248+BB249+BB251+BB252+BB253+BB254+BB257</f>
        <v>0</v>
      </c>
      <c r="BC222" s="209">
        <f>BC223+BC235+BC236++BC247+BC248+BC249+BC251+BC252+BC253+BC254+BC257</f>
        <v>0</v>
      </c>
      <c r="BD222" s="785">
        <f>IF(AI222=0,0,(AT222-AI222)/AI222*100)</f>
        <v>-5.08483981514653</v>
      </c>
      <c r="BE222" s="785">
        <f>IF(AT222=0,0,(AU222-AT222)/AT222*100)</f>
        <v>-100</v>
      </c>
      <c r="BF222" s="785">
        <f>IF(AU222=0,0,(AV222-AU222)/AU222*100)</f>
        <v>0</v>
      </c>
      <c r="BG222" s="785">
        <f>IF(AV222=0,0,(AW222-AV222)/AV222*100)</f>
        <v>0</v>
      </c>
      <c r="BH222" s="785">
        <f>IF(AW222=0,0,(AX222-AW222)/AW222*100)</f>
        <v>0</v>
      </c>
      <c r="BI222" s="785">
        <f>IF(AX222=0,0,(AY222-AX222)/AX222*100)</f>
        <v>0</v>
      </c>
      <c r="BJ222" s="785">
        <f>IF(AY222=0,0,(AZ222-AY222)/AY222*100)</f>
        <v>0</v>
      </c>
      <c r="BK222" s="785">
        <f>IF(AZ222=0,0,(BA222-AZ222)/AZ222*100)</f>
        <v>0</v>
      </c>
      <c r="BL222" s="785">
        <f>IF(BA222=0,0,(BB222-BA222)/BA222*100)</f>
        <v>0</v>
      </c>
      <c r="BM222" s="785">
        <f>IF(BB222=0,0,(BC222-BB222)/BB222*100)</f>
        <v>0</v>
      </c>
      <c r="BN222" s="6290"/>
      <c r="BO222" s="6290" t="s">
        <v>2452</v>
      </c>
      <c r="BP222" s="6290" t="s">
        <v>2457</v>
      </c>
      <c r="BQ222" s="156"/>
      <c r="BR222" s="706"/>
      <c r="BS222" s="1078" t="s">
        <v>2272</v>
      </c>
      <c r="BT222" s="1078"/>
      <c r="BU222" s="1078"/>
      <c r="BV222" s="713"/>
      <c r="BW222" s="713"/>
    </row>
    <row s="6342" customFormat="1" customHeight="1" ht="21.75">
      <c r="A223" s="706"/>
      <c r="B223" s="437"/>
      <c r="C223" s="105"/>
      <c r="D223" s="105"/>
      <c r="E223" s="833">
        <v>22.5</v>
      </c>
      <c r="F223" s="50" cm="1" t="str">
        <f t="array" ref="F223:F223">OFFSET(E223,-1,1)</f>
        <v>1</v>
      </c>
      <c r="G223" s="370" cm="1" t="str">
        <f t="array" ref="G223:G223">F222</f>
        <v>1</v>
      </c>
      <c r="H223" s="103"/>
      <c r="I223" s="103" t="s">
        <v>584</v>
      </c>
      <c r="J223" s="105"/>
      <c r="K223" s="154" t="s">
        <v>584</v>
      </c>
      <c r="L223" s="993" t="s">
        <v>570</v>
      </c>
      <c r="M223" s="105"/>
      <c r="N223" s="105"/>
      <c r="O223" s="105"/>
      <c r="P223" s="105"/>
      <c r="Q223" s="105"/>
      <c r="R223" s="105"/>
      <c r="S223" s="105"/>
      <c r="T223" s="468" cm="1" t="str">
        <f t="array" ref="T223:T223">T222</f>
        <v>true</v>
      </c>
      <c r="U223" s="105"/>
      <c r="V223" s="105"/>
      <c r="W223" s="105"/>
      <c r="X223" s="1559"/>
      <c r="Y223" s="706"/>
      <c r="Z223" s="1529"/>
      <c r="AA223" s="706"/>
      <c r="AB223" s="207" t="s">
        <v>660</v>
      </c>
      <c r="AC223" s="357" t="s">
        <v>2273</v>
      </c>
      <c r="AD223" s="207" t="s">
        <v>936</v>
      </c>
      <c r="AE223" s="209">
        <f>SUM(AE224:AE234)</f>
        <v>4283.56</v>
      </c>
      <c r="AF223" s="209">
        <f>SUM(AF224:AF234)</f>
        <v>5861.53</v>
      </c>
      <c r="AG223" s="209">
        <f>SUM(AG224:AG234)</f>
        <v>5861.53</v>
      </c>
      <c r="AH223" s="785">
        <f>AG223-AF223</f>
        <v>0</v>
      </c>
      <c r="AI223" s="209">
        <f>SUM(AI224:AI234)</f>
        <v>5465.44</v>
      </c>
      <c r="AJ223" s="209">
        <f>SUM(AJ224:AJ234)</f>
        <v>6900.27</v>
      </c>
      <c r="AK223" s="209">
        <f>SUM(AK224:AK234)</f>
        <v>0</v>
      </c>
      <c r="AL223" s="209">
        <f>SUM(AL224:AL234)</f>
        <v>0</v>
      </c>
      <c r="AM223" s="209">
        <f>SUM(AM224:AM234)</f>
        <v>0</v>
      </c>
      <c r="AN223" s="209">
        <f>SUM(AN224:AN234)</f>
        <v>0</v>
      </c>
      <c r="AO223" s="209">
        <f>SUM(AO224:AO234)</f>
        <v>0</v>
      </c>
      <c r="AP223" s="209">
        <f>SUM(AP224:AP234)</f>
        <v>0</v>
      </c>
      <c r="AQ223" s="209">
        <f>SUM(AQ224:AQ234)</f>
        <v>0</v>
      </c>
      <c r="AR223" s="209">
        <f>SUM(AR224:AR234)</f>
        <v>0</v>
      </c>
      <c r="AS223" s="209">
        <f>SUM(AS224:AS234)</f>
        <v>0</v>
      </c>
      <c r="AT223" s="209">
        <f>SUM(AT224:AT234)</f>
        <v>6763.50725</v>
      </c>
      <c r="AU223" s="209">
        <f>SUM(AU224:AU234)</f>
        <v>0</v>
      </c>
      <c r="AV223" s="209">
        <f>SUM(AV224:AV234)</f>
        <v>0</v>
      </c>
      <c r="AW223" s="209">
        <f>SUM(AW224:AW234)</f>
        <v>0</v>
      </c>
      <c r="AX223" s="209">
        <f>SUM(AX224:AX234)</f>
        <v>0</v>
      </c>
      <c r="AY223" s="209">
        <f>SUM(AY224:AY234)</f>
        <v>0</v>
      </c>
      <c r="AZ223" s="209">
        <f>SUM(AZ224:AZ234)</f>
        <v>0</v>
      </c>
      <c r="BA223" s="209">
        <f>SUM(BA224:BA234)</f>
        <v>0</v>
      </c>
      <c r="BB223" s="209">
        <f>SUM(BB224:BB234)</f>
        <v>0</v>
      </c>
      <c r="BC223" s="209">
        <f>SUM(BC224:BC234)</f>
        <v>0</v>
      </c>
      <c r="BD223" s="785">
        <f>IF(AI223=0,0,(AT223-AI223)/AI223*100)</f>
        <v>23.7504619939108</v>
      </c>
      <c r="BE223" s="785">
        <f>IF(AT223=0,0,(AU223-AT223)/AT223*100)</f>
        <v>-100</v>
      </c>
      <c r="BF223" s="785">
        <f>IF(AU223=0,0,(AV223-AU223)/AU223*100)</f>
        <v>0</v>
      </c>
      <c r="BG223" s="785">
        <f>IF(AV223=0,0,(AW223-AV223)/AV223*100)</f>
        <v>0</v>
      </c>
      <c r="BH223" s="785">
        <f>IF(AW223=0,0,(AX223-AW223)/AW223*100)</f>
        <v>0</v>
      </c>
      <c r="BI223" s="785">
        <f>IF(AX223=0,0,(AY223-AX223)/AX223*100)</f>
        <v>0</v>
      </c>
      <c r="BJ223" s="785">
        <f>IF(AY223=0,0,(AZ223-AY223)/AY223*100)</f>
        <v>0</v>
      </c>
      <c r="BK223" s="785">
        <f>IF(AZ223=0,0,(BA223-AZ223)/AZ223*100)</f>
        <v>0</v>
      </c>
      <c r="BL223" s="785">
        <f>IF(BA223=0,0,(BB223-BA223)/BA223*100)</f>
        <v>0</v>
      </c>
      <c r="BM223" s="785">
        <f>IF(BB223=0,0,(BC223-BB223)/BB223*100)</f>
        <v>0</v>
      </c>
      <c r="BN223" s="6292"/>
      <c r="BO223" s="6292"/>
      <c r="BP223" s="6292"/>
      <c r="BQ223" s="706"/>
      <c r="BR223" s="706"/>
      <c r="BS223" s="1078" t="s">
        <v>2274</v>
      </c>
      <c r="BT223" s="1078"/>
      <c r="BU223" s="1078"/>
      <c r="BV223" s="713"/>
      <c r="BW223" s="713"/>
    </row>
    <row s="1656" customFormat="1" customHeight="1" ht="14.25">
      <c r="A224" s="1297"/>
      <c r="B224" s="986"/>
      <c r="C224" s="103"/>
      <c r="D224" s="103"/>
      <c r="E224" s="626">
        <v>15</v>
      </c>
      <c r="F224" s="50" cm="1" t="str">
        <f t="array" ref="F224:F224">OFFSET(E224,-1,1)</f>
        <v>1</v>
      </c>
      <c r="G224" s="103" t="s">
        <v>1287</v>
      </c>
      <c r="H224" s="103"/>
      <c r="I224" s="103" t="s">
        <v>1787</v>
      </c>
      <c r="J224" s="103"/>
      <c r="K224" s="154" t="s">
        <v>1787</v>
      </c>
      <c r="L224" s="988" t="s">
        <v>1553</v>
      </c>
      <c r="M224" s="103"/>
      <c r="N224" s="103"/>
      <c r="O224" s="103"/>
      <c r="P224" s="103"/>
      <c r="Q224" s="103"/>
      <c r="R224" s="103"/>
      <c r="S224" s="103"/>
      <c r="T224" s="468" cm="1" t="str">
        <f t="array" ref="T224:T224">T223</f>
        <v>true</v>
      </c>
      <c r="U224" s="103"/>
      <c r="V224" s="103"/>
      <c r="W224" s="103"/>
      <c r="X224" s="1559"/>
      <c r="Y224" s="1297"/>
      <c r="Z224" s="1529"/>
      <c r="AA224" s="1297"/>
      <c r="AB224" s="296" t="s">
        <v>592</v>
      </c>
      <c r="AC224" s="772" t="s">
        <v>2275</v>
      </c>
      <c r="AD224" s="296" t="s">
        <v>936</v>
      </c>
      <c r="AE224" s="1123">
        <f>_xlfn.SUMIFS(Покупка!AE$25:AE$327,Покупка!$F$25:$F$327,$F224,Покупка!$AC$25:$AC$327,$G224)</f>
        <v>4283.56</v>
      </c>
      <c r="AF224" s="1123">
        <f>_xlfn.SUMIFS(Покупка!AF$25:AF$327,Покупка!$F$25:$F$327,$F224,Покупка!$AC$25:$AC$327,$G224)</f>
        <v>5861.53</v>
      </c>
      <c r="AG224" s="1123">
        <f>_xlfn.SUMIFS(Покупка!AG$25:AG$327,Покупка!$F$25:$F$327,$F224,Покупка!$AC$25:$AC$327,$G224)</f>
        <v>5861.53</v>
      </c>
      <c r="AH224" s="1123">
        <f>AG224-AF224</f>
        <v>0</v>
      </c>
      <c r="AI224" s="1123">
        <f>_xlfn.SUMIFS(Покупка!AH$25:AH$327,Покупка!$F$25:$F$327,$F224,Покупка!$AC$25:$AC$327,$G224)</f>
        <v>5465.44</v>
      </c>
      <c r="AJ224" s="1123">
        <f>_xlfn.SUMIFS(Покупка!AI$25:AI$327,Покупка!$F$25:$F$327,$F224,Покупка!$AC$25:$AC$327,$G224)</f>
        <v>6900.27</v>
      </c>
      <c r="AK224" s="1123">
        <f>_xlfn.SUMIFS(Покупка!AJ$25:AJ$327,Покупка!$F$25:$F$327,$F224,Покупка!$AC$25:$AC$327,$G224)</f>
        <v>0</v>
      </c>
      <c r="AL224" s="1123">
        <f>_xlfn.SUMIFS(Покупка!AK$25:AK$327,Покупка!$F$25:$F$327,$F224,Покупка!$AC$25:$AC$327,$G224)</f>
        <v>0</v>
      </c>
      <c r="AM224" s="1123">
        <f>_xlfn.SUMIFS(Покупка!AL$25:AL$327,Покупка!$F$25:$F$327,$F224,Покупка!$AC$25:$AC$327,$G224)</f>
        <v>0</v>
      </c>
      <c r="AN224" s="1123">
        <f>_xlfn.SUMIFS(Покупка!AM$25:AM$327,Покупка!$F$25:$F$327,$F224,Покупка!$AC$25:$AC$327,$G224)</f>
        <v>0</v>
      </c>
      <c r="AO224" s="1123">
        <f>_xlfn.SUMIFS(Покупка!AN$25:AN$327,Покупка!$F$25:$F$327,$F224,Покупка!$AC$25:$AC$327,$G224)</f>
        <v>0</v>
      </c>
      <c r="AP224" s="1123">
        <f>_xlfn.SUMIFS(Покупка!AO$25:AO$327,Покупка!$F$25:$F$327,$F224,Покупка!$AC$25:$AC$327,$G224)</f>
        <v>0</v>
      </c>
      <c r="AQ224" s="1123">
        <f>_xlfn.SUMIFS(Покупка!AP$25:AP$327,Покупка!$F$25:$F$327,$F224,Покупка!$AC$25:$AC$327,$G224)</f>
        <v>0</v>
      </c>
      <c r="AR224" s="1123">
        <f>_xlfn.SUMIFS(Покупка!AQ$25:AQ$327,Покупка!$F$25:$F$327,$F224,Покупка!$AC$25:$AC$327,$G224)</f>
        <v>0</v>
      </c>
      <c r="AS224" s="1123">
        <f>_xlfn.SUMIFS(Покупка!AR$25:AR$327,Покупка!$F$25:$F$327,$F224,Покупка!$AC$25:$AC$327,$G224)</f>
        <v>0</v>
      </c>
      <c r="AT224" s="1123">
        <f>_xlfn.SUMIFS(Покупка!AS$25:AS$327,Покупка!$F$25:$F$327,$F224,Покупка!$AC$25:$AC$327,$G224)</f>
        <v>6711.7879</v>
      </c>
      <c r="AU224" s="1123">
        <f>_xlfn.SUMIFS(Покупка!AT$25:AT$327,Покупка!$F$25:$F$327,$F224,Покупка!$AC$25:$AC$327,$G224)</f>
        <v>0</v>
      </c>
      <c r="AV224" s="1123">
        <f>_xlfn.SUMIFS(Покупка!AU$25:AU$327,Покупка!$F$25:$F$327,$F224,Покупка!$AC$25:$AC$327,$G224)</f>
        <v>0</v>
      </c>
      <c r="AW224" s="1123">
        <f>_xlfn.SUMIFS(Покупка!AV$25:AV$327,Покупка!$F$25:$F$327,$F224,Покупка!$AC$25:$AC$327,$G224)</f>
        <v>0</v>
      </c>
      <c r="AX224" s="1123">
        <f>_xlfn.SUMIFS(Покупка!AW$25:AW$327,Покупка!$F$25:$F$327,$F224,Покупка!$AC$25:$AC$327,$G224)</f>
        <v>0</v>
      </c>
      <c r="AY224" s="1123">
        <f>_xlfn.SUMIFS(Покупка!AX$25:AX$327,Покупка!$F$25:$F$327,$F224,Покупка!$AC$25:$AC$327,$G224)</f>
        <v>0</v>
      </c>
      <c r="AZ224" s="1123">
        <f>_xlfn.SUMIFS(Покупка!AY$25:AY$327,Покупка!$F$25:$F$327,$F224,Покупка!$AC$25:$AC$327,$G224)</f>
        <v>0</v>
      </c>
      <c r="BA224" s="1123">
        <f>_xlfn.SUMIFS(Покупка!AZ$25:AZ$327,Покупка!$F$25:$F$327,$F224,Покупка!$AC$25:$AC$327,$G224)</f>
        <v>0</v>
      </c>
      <c r="BB224" s="1123">
        <f>_xlfn.SUMIFS(Покупка!BA$25:BA$327,Покупка!$F$25:$F$327,$F224,Покупка!$AC$25:$AC$327,$G224)</f>
        <v>0</v>
      </c>
      <c r="BC224" s="1123">
        <f>_xlfn.SUMIFS(Покупка!BB$25:BB$327,Покупка!$F$25:$F$327,$F224,Покупка!$AC$25:$AC$327,$G224)</f>
        <v>0</v>
      </c>
      <c r="BD224" s="1123">
        <f>IF(AI224=0,0,(AT224-AI224)/AI224*100)</f>
        <v>22.8041639831377</v>
      </c>
      <c r="BE224" s="1123">
        <f>IF(AT224=0,0,(AU224-AT224)/AT224*100)</f>
        <v>-100</v>
      </c>
      <c r="BF224" s="1123">
        <f>IF(AU224=0,0,(AV224-AU224)/AU224*100)</f>
        <v>0</v>
      </c>
      <c r="BG224" s="1123">
        <f>IF(AV224=0,0,(AW224-AV224)/AV224*100)</f>
        <v>0</v>
      </c>
      <c r="BH224" s="1123">
        <f>IF(AW224=0,0,(AX224-AW224)/AW224*100)</f>
        <v>0</v>
      </c>
      <c r="BI224" s="1123">
        <f>IF(AX224=0,0,(AY224-AX224)/AX224*100)</f>
        <v>0</v>
      </c>
      <c r="BJ224" s="1123">
        <f>IF(AY224=0,0,(AZ224-AY224)/AY224*100)</f>
        <v>0</v>
      </c>
      <c r="BK224" s="1123">
        <f>IF(AZ224=0,0,(BA224-AZ224)/AZ224*100)</f>
        <v>0</v>
      </c>
      <c r="BL224" s="1123">
        <f>IF(BA224=0,0,(BB224-BA224)/BA224*100)</f>
        <v>0</v>
      </c>
      <c r="BM224" s="1123">
        <f>IF(BB224=0,0,(BC224-BB224)/BB224*100)</f>
        <v>0</v>
      </c>
      <c r="BN224" s="6290"/>
      <c r="BO224" s="6294" t="str">
        <f>IF(_xlfn.IFERROR(INDEX(Покупка!$K$26:$L$327,MATCH($F224&amp;"6komm",Покупка!$K$26:$K$327,0),2),"")=0,"",_xlfn.IFERROR(INDEX(Покупка!$K$26:$L$327,MATCH($F224&amp;"6komm",Покупка!$K$26:$K$327,0),2),""))</f>
        <v>П. 49 (1) Методических указаний ФСТ России от 27.12.2013 № 1746-э.</v>
      </c>
      <c r="BP224" s="6290"/>
      <c r="BQ224" s="1297"/>
      <c r="BR224" s="1297"/>
      <c r="BS224" s="1072" t="s">
        <v>1288</v>
      </c>
      <c r="BT224" s="1072"/>
      <c r="BU224" s="1072"/>
      <c r="BV224" s="987"/>
      <c r="BW224" s="987"/>
    </row>
    <row s="1656" customFormat="1" customHeight="1" ht="14.25">
      <c r="A225" s="1297"/>
      <c r="B225" s="986"/>
      <c r="C225" s="103"/>
      <c r="D225" s="103"/>
      <c r="E225" s="626">
        <v>15</v>
      </c>
      <c r="F225" s="50" cm="1" t="str">
        <f t="array" ref="F225:F225">OFFSET(E225,-1,1)</f>
        <v>1</v>
      </c>
      <c r="G225" s="103" t="s">
        <v>1309</v>
      </c>
      <c r="H225" s="103"/>
      <c r="I225" s="103" t="s">
        <v>1791</v>
      </c>
      <c r="J225" s="103"/>
      <c r="K225" s="103" t="s">
        <v>1791</v>
      </c>
      <c r="L225" s="988" t="s">
        <v>1557</v>
      </c>
      <c r="M225" s="103"/>
      <c r="N225" s="103"/>
      <c r="O225" s="103"/>
      <c r="P225" s="103"/>
      <c r="Q225" s="103"/>
      <c r="R225" s="103"/>
      <c r="S225" s="103"/>
      <c r="T225" s="468" cm="1" t="str">
        <f t="array" ref="T225:T225">T224</f>
        <v>true</v>
      </c>
      <c r="U225" s="103"/>
      <c r="V225" s="103"/>
      <c r="W225" s="103"/>
      <c r="X225" s="1559"/>
      <c r="Y225" s="1297"/>
      <c r="Z225" s="1529"/>
      <c r="AA225" s="1297"/>
      <c r="AB225" s="296" t="s">
        <v>2276</v>
      </c>
      <c r="AC225" s="772" t="s">
        <v>2277</v>
      </c>
      <c r="AD225" s="296" t="s">
        <v>936</v>
      </c>
      <c r="AE225" s="1123">
        <f>_xlfn.SUMIFS(Покупка!AE$25:AE$327,Покупка!$F$25:$F$327,$F225,Покупка!$AC$25:$AC$327,$G225)</f>
        <v>0</v>
      </c>
      <c r="AF225" s="1123">
        <f>_xlfn.SUMIFS(Покупка!AF$25:AF$327,Покупка!$F$25:$F$327,$F225,Покупка!$AC$25:$AC$327,$G225)</f>
        <v>0</v>
      </c>
      <c r="AG225" s="1123">
        <f>_xlfn.SUMIFS(Покупка!AG$25:AG$327,Покупка!$F$25:$F$327,$F225,Покупка!$AC$25:$AC$327,$G225)</f>
        <v>0</v>
      </c>
      <c r="AH225" s="1123">
        <f>AG225-AF225</f>
        <v>0</v>
      </c>
      <c r="AI225" s="1123">
        <f>_xlfn.SUMIFS(Покупка!AH$25:AH$327,Покупка!$F$25:$F$327,$F225,Покупка!$AC$25:$AC$327,$G225)</f>
        <v>0</v>
      </c>
      <c r="AJ225" s="1123">
        <f>_xlfn.SUMIFS(Покупка!AI$25:AI$327,Покупка!$F$25:$F$327,$F225,Покупка!$AC$25:$AC$327,$G225)</f>
        <v>0</v>
      </c>
      <c r="AK225" s="1123">
        <f>_xlfn.SUMIFS(Покупка!AJ$25:AJ$327,Покупка!$F$25:$F$327,$F225,Покупка!$AC$25:$AC$327,$G225)</f>
        <v>0</v>
      </c>
      <c r="AL225" s="1123">
        <f>_xlfn.SUMIFS(Покупка!AK$25:AK$327,Покупка!$F$25:$F$327,$F225,Покупка!$AC$25:$AC$327,$G225)</f>
        <v>0</v>
      </c>
      <c r="AM225" s="1123">
        <f>_xlfn.SUMIFS(Покупка!AL$25:AL$327,Покупка!$F$25:$F$327,$F225,Покупка!$AC$25:$AC$327,$G225)</f>
        <v>0</v>
      </c>
      <c r="AN225" s="1123">
        <f>_xlfn.SUMIFS(Покупка!AM$25:AM$327,Покупка!$F$25:$F$327,$F225,Покупка!$AC$25:$AC$327,$G225)</f>
        <v>0</v>
      </c>
      <c r="AO225" s="1123">
        <f>_xlfn.SUMIFS(Покупка!AN$25:AN$327,Покупка!$F$25:$F$327,$F225,Покупка!$AC$25:$AC$327,$G225)</f>
        <v>0</v>
      </c>
      <c r="AP225" s="1123">
        <f>_xlfn.SUMIFS(Покупка!AO$25:AO$327,Покупка!$F$25:$F$327,$F225,Покупка!$AC$25:$AC$327,$G225)</f>
        <v>0</v>
      </c>
      <c r="AQ225" s="1123">
        <f>_xlfn.SUMIFS(Покупка!AP$25:AP$327,Покупка!$F$25:$F$327,$F225,Покупка!$AC$25:$AC$327,$G225)</f>
        <v>0</v>
      </c>
      <c r="AR225" s="1123">
        <f>_xlfn.SUMIFS(Покупка!AQ$25:AQ$327,Покупка!$F$25:$F$327,$F225,Покупка!$AC$25:$AC$327,$G225)</f>
        <v>0</v>
      </c>
      <c r="AS225" s="1123">
        <f>_xlfn.SUMIFS(Покупка!AR$25:AR$327,Покупка!$F$25:$F$327,$F225,Покупка!$AC$25:$AC$327,$G225)</f>
        <v>0</v>
      </c>
      <c r="AT225" s="1123">
        <f>_xlfn.SUMIFS(Покупка!AS$25:AS$327,Покупка!$F$25:$F$327,$F225,Покупка!$AC$25:$AC$327,$G225)</f>
        <v>0</v>
      </c>
      <c r="AU225" s="1123">
        <f>_xlfn.SUMIFS(Покупка!AT$25:AT$327,Покупка!$F$25:$F$327,$F225,Покупка!$AC$25:$AC$327,$G225)</f>
        <v>0</v>
      </c>
      <c r="AV225" s="1123">
        <f>_xlfn.SUMIFS(Покупка!AU$25:AU$327,Покупка!$F$25:$F$327,$F225,Покупка!$AC$25:$AC$327,$G225)</f>
        <v>0</v>
      </c>
      <c r="AW225" s="1123">
        <f>_xlfn.SUMIFS(Покупка!AV$25:AV$327,Покупка!$F$25:$F$327,$F225,Покупка!$AC$25:$AC$327,$G225)</f>
        <v>0</v>
      </c>
      <c r="AX225" s="1123">
        <f>_xlfn.SUMIFS(Покупка!AW$25:AW$327,Покупка!$F$25:$F$327,$F225,Покупка!$AC$25:$AC$327,$G225)</f>
        <v>0</v>
      </c>
      <c r="AY225" s="1123">
        <f>_xlfn.SUMIFS(Покупка!AX$25:AX$327,Покупка!$F$25:$F$327,$F225,Покупка!$AC$25:$AC$327,$G225)</f>
        <v>0</v>
      </c>
      <c r="AZ225" s="1123">
        <f>_xlfn.SUMIFS(Покупка!AY$25:AY$327,Покупка!$F$25:$F$327,$F225,Покупка!$AC$25:$AC$327,$G225)</f>
        <v>0</v>
      </c>
      <c r="BA225" s="1123">
        <f>_xlfn.SUMIFS(Покупка!AZ$25:AZ$327,Покупка!$F$25:$F$327,$F225,Покупка!$AC$25:$AC$327,$G225)</f>
        <v>0</v>
      </c>
      <c r="BB225" s="1123">
        <f>_xlfn.SUMIFS(Покупка!BA$25:BA$327,Покупка!$F$25:$F$327,$F225,Покупка!$AC$25:$AC$327,$G225)</f>
        <v>0</v>
      </c>
      <c r="BC225" s="1123">
        <f>_xlfn.SUMIFS(Покупка!BB$25:BB$327,Покупка!$F$25:$F$327,$F225,Покупка!$AC$25:$AC$327,$G225)</f>
        <v>0</v>
      </c>
      <c r="BD225" s="1123">
        <f>IF(AI225=0,0,(AT225-AI225)/AI225*100)</f>
        <v>0</v>
      </c>
      <c r="BE225" s="1123">
        <f>IF(AT225=0,0,(AU225-AT225)/AT225*100)</f>
        <v>0</v>
      </c>
      <c r="BF225" s="1123">
        <f>IF(AU225=0,0,(AV225-AU225)/AU225*100)</f>
        <v>0</v>
      </c>
      <c r="BG225" s="1123">
        <f>IF(AV225=0,0,(AW225-AV225)/AV225*100)</f>
        <v>0</v>
      </c>
      <c r="BH225" s="1123">
        <f>IF(AW225=0,0,(AX225-AW225)/AW225*100)</f>
        <v>0</v>
      </c>
      <c r="BI225" s="1123">
        <f>IF(AX225=0,0,(AY225-AX225)/AX225*100)</f>
        <v>0</v>
      </c>
      <c r="BJ225" s="1123">
        <f>IF(AY225=0,0,(AZ225-AY225)/AY225*100)</f>
        <v>0</v>
      </c>
      <c r="BK225" s="1123">
        <f>IF(AZ225=0,0,(BA225-AZ225)/AZ225*100)</f>
        <v>0</v>
      </c>
      <c r="BL225" s="1123">
        <f>IF(BA225=0,0,(BB225-BA225)/BA225*100)</f>
        <v>0</v>
      </c>
      <c r="BM225" s="1123">
        <f>IF(BB225=0,0,(BC225-BB225)/BB225*100)</f>
        <v>0</v>
      </c>
      <c r="BN225" s="6290"/>
      <c r="BO225" s="6294" t="str">
        <f>IF(_xlfn.IFERROR(INDEX(Покупка!$K$26:$L$327,MATCH($F225&amp;"7komm",Покупка!$K$26:$K$327,0),2),"")=0,"",_xlfn.IFERROR(INDEX(Покупка!$K$26:$L$327,MATCH($F225&amp;"7komm",Покупка!$K$26:$K$327,0),2),""))</f>
        <v>Постановление РЭК Кемеровской области от 27.12.2019 N 877 (ред. от 25.11.2022) "Об установлении долгосрочных параметров регулирования и долгосрочных тарифов ОАО "Северо-Кузбасская энергетическая компания" на тепловую энергию, реализуемую на потребительском рынке Ленинск-Кузнецкого городского округа, на период 2019 - 2028 годы" (в ред. постановлений РЭК Кузбасса от 18.12.2020 N 744, от 14.12.2021 N 685, от 25.11.2022 N 682, от 05.12.2023 N 478, от 19.12.2024 N 670).</v>
      </c>
      <c r="BP225" s="6290"/>
      <c r="BQ225" s="1297"/>
      <c r="BR225" s="1297"/>
      <c r="BS225" s="1072" t="s">
        <v>1310</v>
      </c>
      <c r="BT225" s="1072"/>
      <c r="BU225" s="1072"/>
      <c r="BV225" s="987"/>
      <c r="BW225" s="987"/>
    </row>
    <row s="1656" customFormat="1" customHeight="1" ht="14.25">
      <c r="A226" s="1297"/>
      <c r="B226" s="986"/>
      <c r="C226" s="103"/>
      <c r="D226" s="103"/>
      <c r="E226" s="626">
        <v>15</v>
      </c>
      <c r="F226" s="50" cm="1" t="str">
        <f t="array" ref="F226:F226">OFFSET(E226,-1,1)</f>
        <v>1</v>
      </c>
      <c r="G226" s="103" t="s">
        <v>1261</v>
      </c>
      <c r="H226" s="103"/>
      <c r="I226" s="103" t="s">
        <v>1899</v>
      </c>
      <c r="J226" s="103"/>
      <c r="K226" s="103" t="s">
        <v>1899</v>
      </c>
      <c r="L226" s="988" t="s">
        <v>1736</v>
      </c>
      <c r="M226" s="103"/>
      <c r="N226" s="103"/>
      <c r="O226" s="103"/>
      <c r="P226" s="103"/>
      <c r="Q226" s="103"/>
      <c r="R226" s="103"/>
      <c r="S226" s="103"/>
      <c r="T226" s="468" cm="1" t="str">
        <f t="array" ref="T226:T226">T225</f>
        <v>true</v>
      </c>
      <c r="U226" s="103"/>
      <c r="V226" s="103"/>
      <c r="W226" s="103"/>
      <c r="X226" s="1559"/>
      <c r="Y226" s="1297"/>
      <c r="Z226" s="1529"/>
      <c r="AA226" s="1297"/>
      <c r="AB226" s="296" t="s">
        <v>2278</v>
      </c>
      <c r="AC226" s="772" t="s">
        <v>2279</v>
      </c>
      <c r="AD226" s="296" t="s">
        <v>936</v>
      </c>
      <c r="AE226" s="1123">
        <f>_xlfn.SUMIFS(Покупка!AE$25:AE$327,Покупка!$F$25:$F$327,$F226,Покупка!$AC$25:$AC$327,$G226)</f>
        <v>0</v>
      </c>
      <c r="AF226" s="1123">
        <f>_xlfn.SUMIFS(Покупка!AF$25:AF$327,Покупка!$F$25:$F$327,$F226,Покупка!$AC$25:$AC$327,$G226)</f>
        <v>0</v>
      </c>
      <c r="AG226" s="1123">
        <f>_xlfn.SUMIFS(Покупка!AG$25:AG$327,Покупка!$F$25:$F$327,$F226,Покупка!$AC$25:$AC$327,$G226)</f>
        <v>0</v>
      </c>
      <c r="AH226" s="1123">
        <f>AG226-AF226</f>
        <v>0</v>
      </c>
      <c r="AI226" s="1123">
        <f>_xlfn.SUMIFS(Покупка!AH$25:AH$327,Покупка!$F$25:$F$327,$F226,Покупка!$AC$25:$AC$327,$G226)</f>
        <v>0</v>
      </c>
      <c r="AJ226" s="1123">
        <f>_xlfn.SUMIFS(Покупка!AI$25:AI$327,Покупка!$F$25:$F$327,$F226,Покупка!$AC$25:$AC$327,$G226)</f>
        <v>0</v>
      </c>
      <c r="AK226" s="1123">
        <f>_xlfn.SUMIFS(Покупка!AJ$25:AJ$327,Покупка!$F$25:$F$327,$F226,Покупка!$AC$25:$AC$327,$G226)</f>
        <v>0</v>
      </c>
      <c r="AL226" s="1123">
        <f>_xlfn.SUMIFS(Покупка!AK$25:AK$327,Покупка!$F$25:$F$327,$F226,Покупка!$AC$25:$AC$327,$G226)</f>
        <v>0</v>
      </c>
      <c r="AM226" s="1123">
        <f>_xlfn.SUMIFS(Покупка!AL$25:AL$327,Покупка!$F$25:$F$327,$F226,Покупка!$AC$25:$AC$327,$G226)</f>
        <v>0</v>
      </c>
      <c r="AN226" s="1123">
        <f>_xlfn.SUMIFS(Покупка!AM$25:AM$327,Покупка!$F$25:$F$327,$F226,Покупка!$AC$25:$AC$327,$G226)</f>
        <v>0</v>
      </c>
      <c r="AO226" s="1123">
        <f>_xlfn.SUMIFS(Покупка!AN$25:AN$327,Покупка!$F$25:$F$327,$F226,Покупка!$AC$25:$AC$327,$G226)</f>
        <v>0</v>
      </c>
      <c r="AP226" s="1123">
        <f>_xlfn.SUMIFS(Покупка!AO$25:AO$327,Покупка!$F$25:$F$327,$F226,Покупка!$AC$25:$AC$327,$G226)</f>
        <v>0</v>
      </c>
      <c r="AQ226" s="1123">
        <f>_xlfn.SUMIFS(Покупка!AP$25:AP$327,Покупка!$F$25:$F$327,$F226,Покупка!$AC$25:$AC$327,$G226)</f>
        <v>0</v>
      </c>
      <c r="AR226" s="1123">
        <f>_xlfn.SUMIFS(Покупка!AQ$25:AQ$327,Покупка!$F$25:$F$327,$F226,Покупка!$AC$25:$AC$327,$G226)</f>
        <v>0</v>
      </c>
      <c r="AS226" s="1123">
        <f>_xlfn.SUMIFS(Покупка!AR$25:AR$327,Покупка!$F$25:$F$327,$F226,Покупка!$AC$25:$AC$327,$G226)</f>
        <v>0</v>
      </c>
      <c r="AT226" s="1123">
        <f>_xlfn.SUMIFS(Покупка!AS$25:AS$327,Покупка!$F$25:$F$327,$F226,Покупка!$AC$25:$AC$327,$G226)</f>
        <v>0</v>
      </c>
      <c r="AU226" s="1123">
        <f>_xlfn.SUMIFS(Покупка!AT$25:AT$327,Покупка!$F$25:$F$327,$F226,Покупка!$AC$25:$AC$327,$G226)</f>
        <v>0</v>
      </c>
      <c r="AV226" s="1123">
        <f>_xlfn.SUMIFS(Покупка!AU$25:AU$327,Покупка!$F$25:$F$327,$F226,Покупка!$AC$25:$AC$327,$G226)</f>
        <v>0</v>
      </c>
      <c r="AW226" s="1123">
        <f>_xlfn.SUMIFS(Покупка!AV$25:AV$327,Покупка!$F$25:$F$327,$F226,Покупка!$AC$25:$AC$327,$G226)</f>
        <v>0</v>
      </c>
      <c r="AX226" s="1123">
        <f>_xlfn.SUMIFS(Покупка!AW$25:AW$327,Покупка!$F$25:$F$327,$F226,Покупка!$AC$25:$AC$327,$G226)</f>
        <v>0</v>
      </c>
      <c r="AY226" s="1123">
        <f>_xlfn.SUMIFS(Покупка!AX$25:AX$327,Покупка!$F$25:$F$327,$F226,Покупка!$AC$25:$AC$327,$G226)</f>
        <v>0</v>
      </c>
      <c r="AZ226" s="1123">
        <f>_xlfn.SUMIFS(Покупка!AY$25:AY$327,Покупка!$F$25:$F$327,$F226,Покупка!$AC$25:$AC$327,$G226)</f>
        <v>0</v>
      </c>
      <c r="BA226" s="1123">
        <f>_xlfn.SUMIFS(Покупка!AZ$25:AZ$327,Покупка!$F$25:$F$327,$F226,Покупка!$AC$25:$AC$327,$G226)</f>
        <v>0</v>
      </c>
      <c r="BB226" s="1123">
        <f>_xlfn.SUMIFS(Покупка!BA$25:BA$327,Покупка!$F$25:$F$327,$F226,Покупка!$AC$25:$AC$327,$G226)</f>
        <v>0</v>
      </c>
      <c r="BC226" s="1123">
        <f>_xlfn.SUMIFS(Покупка!BB$25:BB$327,Покупка!$F$25:$F$327,$F226,Покупка!$AC$25:$AC$327,$G226)</f>
        <v>0</v>
      </c>
      <c r="BD226" s="1123">
        <f>IF(AI226=0,0,(AT226-AI226)/AI226*100)</f>
        <v>0</v>
      </c>
      <c r="BE226" s="1123">
        <f>IF(AT226=0,0,(AU226-AT226)/AT226*100)</f>
        <v>0</v>
      </c>
      <c r="BF226" s="1123">
        <f>IF(AU226=0,0,(AV226-AU226)/AU226*100)</f>
        <v>0</v>
      </c>
      <c r="BG226" s="1123">
        <f>IF(AV226=0,0,(AW226-AV226)/AV226*100)</f>
        <v>0</v>
      </c>
      <c r="BH226" s="1123">
        <f>IF(AW226=0,0,(AX226-AW226)/AW226*100)</f>
        <v>0</v>
      </c>
      <c r="BI226" s="1123">
        <f>IF(AX226=0,0,(AY226-AX226)/AX226*100)</f>
        <v>0</v>
      </c>
      <c r="BJ226" s="1123">
        <f>IF(AY226=0,0,(AZ226-AY226)/AY226*100)</f>
        <v>0</v>
      </c>
      <c r="BK226" s="1123">
        <f>IF(AZ226=0,0,(BA226-AZ226)/AZ226*100)</f>
        <v>0</v>
      </c>
      <c r="BL226" s="1123">
        <f>IF(BA226=0,0,(BB226-BA226)/BA226*100)</f>
        <v>0</v>
      </c>
      <c r="BM226" s="1123">
        <f>IF(BB226=0,0,(BC226-BB226)/BB226*100)</f>
        <v>0</v>
      </c>
      <c r="BN226" s="6290"/>
      <c r="BO226" s="6294" t="str">
        <f>IF(_xlfn.IFERROR(INDEX(Покупка!$K$26:$L$327,MATCH($F226&amp;"2komm",Покупка!$K$26:$K$327,0),2),"")=0,"",_xlfn.IFERROR(INDEX(Покупка!$K$26:$L$327,MATCH($F226&amp;"2komm",Покупка!$K$26:$K$327,0),2),""))</f>
        <v/>
      </c>
      <c r="BP226" s="6290"/>
      <c r="BQ226" s="1297"/>
      <c r="BR226" s="1297"/>
      <c r="BS226" s="1072" t="s">
        <v>2280</v>
      </c>
      <c r="BT226" s="1072"/>
      <c r="BU226" s="1072"/>
      <c r="BV226" s="987"/>
      <c r="BW226" s="987"/>
    </row>
    <row s="1656" customFormat="1" customHeight="1" ht="14.25">
      <c r="A227" s="1297"/>
      <c r="B227" s="986"/>
      <c r="C227" s="103"/>
      <c r="D227" s="103"/>
      <c r="E227" s="626">
        <v>15</v>
      </c>
      <c r="F227" s="50" cm="1" t="str">
        <f t="array" ref="F227:F227">OFFSET(E227,-1,1)</f>
        <v>1</v>
      </c>
      <c r="G227" s="103" t="s">
        <v>1248</v>
      </c>
      <c r="H227" s="103"/>
      <c r="I227" s="103" t="s">
        <v>1901</v>
      </c>
      <c r="J227" s="103"/>
      <c r="K227" s="103" t="s">
        <v>1901</v>
      </c>
      <c r="L227" s="988" t="s">
        <v>1731</v>
      </c>
      <c r="M227" s="103"/>
      <c r="N227" s="103"/>
      <c r="O227" s="103"/>
      <c r="P227" s="103"/>
      <c r="Q227" s="103"/>
      <c r="R227" s="103"/>
      <c r="S227" s="103"/>
      <c r="T227" s="468" cm="1" t="str">
        <f t="array" ref="T227:T227">T226</f>
        <v>true</v>
      </c>
      <c r="U227" s="103"/>
      <c r="V227" s="103"/>
      <c r="W227" s="103"/>
      <c r="X227" s="1559"/>
      <c r="Y227" s="1297"/>
      <c r="Z227" s="1529"/>
      <c r="AA227" s="1297"/>
      <c r="AB227" s="296" t="s">
        <v>2281</v>
      </c>
      <c r="AC227" s="772" t="s">
        <v>2282</v>
      </c>
      <c r="AD227" s="296" t="s">
        <v>936</v>
      </c>
      <c r="AE227" s="1123">
        <f>_xlfn.SUMIFS(Покупка!AE$25:AE$327,Покупка!$F$25:$F$327,$F227,Покупка!$AC$25:$AC$327,$G227)</f>
        <v>0</v>
      </c>
      <c r="AF227" s="1123">
        <f>_xlfn.SUMIFS(Покупка!AF$25:AF$327,Покупка!$F$25:$F$327,$F227,Покупка!$AC$25:$AC$327,$G227)</f>
        <v>0</v>
      </c>
      <c r="AG227" s="1123">
        <f>_xlfn.SUMIFS(Покупка!AG$25:AG$327,Покупка!$F$25:$F$327,$F227,Покупка!$AC$25:$AC$327,$G227)</f>
        <v>0</v>
      </c>
      <c r="AH227" s="1123">
        <f>AG227-AF227</f>
        <v>0</v>
      </c>
      <c r="AI227" s="1123">
        <f>_xlfn.SUMIFS(Покупка!AH$25:AH$327,Покупка!$F$25:$F$327,$F227,Покупка!$AC$25:$AC$327,$G227)</f>
        <v>0</v>
      </c>
      <c r="AJ227" s="1123">
        <f>_xlfn.SUMIFS(Покупка!AI$25:AI$327,Покупка!$F$25:$F$327,$F227,Покупка!$AC$25:$AC$327,$G227)</f>
        <v>0</v>
      </c>
      <c r="AK227" s="1123">
        <f>_xlfn.SUMIFS(Покупка!AJ$25:AJ$327,Покупка!$F$25:$F$327,$F227,Покупка!$AC$25:$AC$327,$G227)</f>
        <v>0</v>
      </c>
      <c r="AL227" s="1123">
        <f>_xlfn.SUMIFS(Покупка!AK$25:AK$327,Покупка!$F$25:$F$327,$F227,Покупка!$AC$25:$AC$327,$G227)</f>
        <v>0</v>
      </c>
      <c r="AM227" s="1123">
        <f>_xlfn.SUMIFS(Покупка!AL$25:AL$327,Покупка!$F$25:$F$327,$F227,Покупка!$AC$25:$AC$327,$G227)</f>
        <v>0</v>
      </c>
      <c r="AN227" s="1123">
        <f>_xlfn.SUMIFS(Покупка!AM$25:AM$327,Покупка!$F$25:$F$327,$F227,Покупка!$AC$25:$AC$327,$G227)</f>
        <v>0</v>
      </c>
      <c r="AO227" s="1123">
        <f>_xlfn.SUMIFS(Покупка!AN$25:AN$327,Покупка!$F$25:$F$327,$F227,Покупка!$AC$25:$AC$327,$G227)</f>
        <v>0</v>
      </c>
      <c r="AP227" s="1123">
        <f>_xlfn.SUMIFS(Покупка!AO$25:AO$327,Покупка!$F$25:$F$327,$F227,Покупка!$AC$25:$AC$327,$G227)</f>
        <v>0</v>
      </c>
      <c r="AQ227" s="1123">
        <f>_xlfn.SUMIFS(Покупка!AP$25:AP$327,Покупка!$F$25:$F$327,$F227,Покупка!$AC$25:$AC$327,$G227)</f>
        <v>0</v>
      </c>
      <c r="AR227" s="1123">
        <f>_xlfn.SUMIFS(Покупка!AQ$25:AQ$327,Покупка!$F$25:$F$327,$F227,Покупка!$AC$25:$AC$327,$G227)</f>
        <v>0</v>
      </c>
      <c r="AS227" s="1123">
        <f>_xlfn.SUMIFS(Покупка!AR$25:AR$327,Покупка!$F$25:$F$327,$F227,Покупка!$AC$25:$AC$327,$G227)</f>
        <v>0</v>
      </c>
      <c r="AT227" s="1123">
        <f>_xlfn.SUMIFS(Покупка!AS$25:AS$327,Покупка!$F$25:$F$327,$F227,Покупка!$AC$25:$AC$327,$G227)</f>
        <v>0</v>
      </c>
      <c r="AU227" s="1123">
        <f>_xlfn.SUMIFS(Покупка!AT$25:AT$327,Покупка!$F$25:$F$327,$F227,Покупка!$AC$25:$AC$327,$G227)</f>
        <v>0</v>
      </c>
      <c r="AV227" s="1123">
        <f>_xlfn.SUMIFS(Покупка!AU$25:AU$327,Покупка!$F$25:$F$327,$F227,Покупка!$AC$25:$AC$327,$G227)</f>
        <v>0</v>
      </c>
      <c r="AW227" s="1123">
        <f>_xlfn.SUMIFS(Покупка!AV$25:AV$327,Покупка!$F$25:$F$327,$F227,Покупка!$AC$25:$AC$327,$G227)</f>
        <v>0</v>
      </c>
      <c r="AX227" s="1123">
        <f>_xlfn.SUMIFS(Покупка!AW$25:AW$327,Покупка!$F$25:$F$327,$F227,Покупка!$AC$25:$AC$327,$G227)</f>
        <v>0</v>
      </c>
      <c r="AY227" s="1123">
        <f>_xlfn.SUMIFS(Покупка!AX$25:AX$327,Покупка!$F$25:$F$327,$F227,Покупка!$AC$25:$AC$327,$G227)</f>
        <v>0</v>
      </c>
      <c r="AZ227" s="1123">
        <f>_xlfn.SUMIFS(Покупка!AY$25:AY$327,Покупка!$F$25:$F$327,$F227,Покупка!$AC$25:$AC$327,$G227)</f>
        <v>0</v>
      </c>
      <c r="BA227" s="1123">
        <f>_xlfn.SUMIFS(Покупка!AZ$25:AZ$327,Покупка!$F$25:$F$327,$F227,Покупка!$AC$25:$AC$327,$G227)</f>
        <v>0</v>
      </c>
      <c r="BB227" s="1123">
        <f>_xlfn.SUMIFS(Покупка!BA$25:BA$327,Покупка!$F$25:$F$327,$F227,Покупка!$AC$25:$AC$327,$G227)</f>
        <v>0</v>
      </c>
      <c r="BC227" s="1123">
        <f>_xlfn.SUMIFS(Покупка!BB$25:BB$327,Покупка!$F$25:$F$327,$F227,Покупка!$AC$25:$AC$327,$G227)</f>
        <v>0</v>
      </c>
      <c r="BD227" s="1123">
        <f>IF(AI227=0,0,(AT227-AI227)/AI227*100)</f>
        <v>0</v>
      </c>
      <c r="BE227" s="1123">
        <f>IF(AT227=0,0,(AU227-AT227)/AT227*100)</f>
        <v>0</v>
      </c>
      <c r="BF227" s="1123">
        <f>IF(AU227=0,0,(AV227-AU227)/AU227*100)</f>
        <v>0</v>
      </c>
      <c r="BG227" s="1123">
        <f>IF(AV227=0,0,(AW227-AV227)/AV227*100)</f>
        <v>0</v>
      </c>
      <c r="BH227" s="1123">
        <f>IF(AW227=0,0,(AX227-AW227)/AW227*100)</f>
        <v>0</v>
      </c>
      <c r="BI227" s="1123">
        <f>IF(AX227=0,0,(AY227-AX227)/AX227*100)</f>
        <v>0</v>
      </c>
      <c r="BJ227" s="1123">
        <f>IF(AY227=0,0,(AZ227-AY227)/AY227*100)</f>
        <v>0</v>
      </c>
      <c r="BK227" s="1123">
        <f>IF(AZ227=0,0,(BA227-AZ227)/AZ227*100)</f>
        <v>0</v>
      </c>
      <c r="BL227" s="1123">
        <f>IF(BA227=0,0,(BB227-BA227)/BA227*100)</f>
        <v>0</v>
      </c>
      <c r="BM227" s="1123">
        <f>IF(BB227=0,0,(BC227-BB227)/BB227*100)</f>
        <v>0</v>
      </c>
      <c r="BN227" s="6290"/>
      <c r="BO227" s="6294" t="str">
        <f>IF(_xlfn.IFERROR(INDEX(Покупка!$K$26:$L$327,MATCH($F227&amp;"1komm",Покупка!$K$26:$K$327,0),2),"")=0,"",_xlfn.IFERROR(INDEX(Покупка!$K$26:$L$327,MATCH($F227&amp;"1komm",Покупка!$K$26:$K$327,0),2),""))</f>
        <v/>
      </c>
      <c r="BP227" s="6290"/>
      <c r="BQ227" s="1297"/>
      <c r="BR227" s="1297"/>
      <c r="BS227" s="1072" t="s">
        <v>2283</v>
      </c>
      <c r="BT227" s="1072"/>
      <c r="BU227" s="1072"/>
      <c r="BV227" s="987"/>
      <c r="BW227" s="987"/>
    </row>
    <row s="1656" customFormat="1" customHeight="1" ht="14.25">
      <c r="A228" s="1297"/>
      <c r="B228" s="986"/>
      <c r="C228" s="103"/>
      <c r="D228" s="103"/>
      <c r="E228" s="626">
        <v>15</v>
      </c>
      <c r="F228" s="50" cm="1" t="str">
        <f t="array" ref="F228:F228">OFFSET(E228,-1,1)</f>
        <v>1</v>
      </c>
      <c r="G228" s="103" t="s">
        <v>1315</v>
      </c>
      <c r="H228" s="103"/>
      <c r="I228" s="103" t="s">
        <v>1904</v>
      </c>
      <c r="J228" s="103"/>
      <c r="K228" s="103" t="s">
        <v>1904</v>
      </c>
      <c r="L228" s="988"/>
      <c r="M228" s="103"/>
      <c r="N228" s="103"/>
      <c r="O228" s="103"/>
      <c r="P228" s="103"/>
      <c r="Q228" s="103"/>
      <c r="R228" s="103"/>
      <c r="S228" s="103"/>
      <c r="T228" s="468" cm="1" t="str">
        <f t="array" ref="T228:T228">T227</f>
        <v>true</v>
      </c>
      <c r="U228" s="103"/>
      <c r="V228" s="103"/>
      <c r="W228" s="103"/>
      <c r="X228" s="1559"/>
      <c r="Y228" s="1297"/>
      <c r="Z228" s="1529"/>
      <c r="AA228" s="1297"/>
      <c r="AB228" s="296" t="s">
        <v>2284</v>
      </c>
      <c r="AC228" s="772" t="s">
        <v>2285</v>
      </c>
      <c r="AD228" s="296" t="s">
        <v>936</v>
      </c>
      <c r="AE228" s="1123">
        <f>_xlfn.SUMIFS(Покупка!AE$25:AE$327,Покупка!$F$25:$F$327,$F228,Покупка!$AC$25:$AC$327,$G228)</f>
        <v>0</v>
      </c>
      <c r="AF228" s="1123">
        <f>_xlfn.SUMIFS(Покупка!AF$25:AF$327,Покупка!$F$25:$F$327,$F228,Покупка!$AC$25:$AC$327,$G228)</f>
        <v>0</v>
      </c>
      <c r="AG228" s="1123">
        <f>_xlfn.SUMIFS(Покупка!AG$25:AG$327,Покупка!$F$25:$F$327,$F228,Покупка!$AC$25:$AC$327,$G228)</f>
        <v>0</v>
      </c>
      <c r="AH228" s="1123">
        <f>AG228-AF228</f>
        <v>0</v>
      </c>
      <c r="AI228" s="1123">
        <f>_xlfn.SUMIFS(Покупка!AH$25:AH$327,Покупка!$F$25:$F$327,$F228,Покупка!$AC$25:$AC$327,$G228)</f>
        <v>0</v>
      </c>
      <c r="AJ228" s="1123">
        <f>_xlfn.SUMIFS(Покупка!AI$25:AI$327,Покупка!$F$25:$F$327,$F228,Покупка!$AC$25:$AC$327,$G228)</f>
        <v>0</v>
      </c>
      <c r="AK228" s="1123">
        <f>_xlfn.SUMIFS(Покупка!AJ$25:AJ$327,Покупка!$F$25:$F$327,$F228,Покупка!$AC$25:$AC$327,$G228)</f>
        <v>0</v>
      </c>
      <c r="AL228" s="1123">
        <f>_xlfn.SUMIFS(Покупка!AK$25:AK$327,Покупка!$F$25:$F$327,$F228,Покупка!$AC$25:$AC$327,$G228)</f>
        <v>0</v>
      </c>
      <c r="AM228" s="1123">
        <f>_xlfn.SUMIFS(Покупка!AL$25:AL$327,Покупка!$F$25:$F$327,$F228,Покупка!$AC$25:$AC$327,$G228)</f>
        <v>0</v>
      </c>
      <c r="AN228" s="1123">
        <f>_xlfn.SUMIFS(Покупка!AM$25:AM$327,Покупка!$F$25:$F$327,$F228,Покупка!$AC$25:$AC$327,$G228)</f>
        <v>0</v>
      </c>
      <c r="AO228" s="1123">
        <f>_xlfn.SUMIFS(Покупка!AN$25:AN$327,Покупка!$F$25:$F$327,$F228,Покупка!$AC$25:$AC$327,$G228)</f>
        <v>0</v>
      </c>
      <c r="AP228" s="1123">
        <f>_xlfn.SUMIFS(Покупка!AO$25:AO$327,Покупка!$F$25:$F$327,$F228,Покупка!$AC$25:$AC$327,$G228)</f>
        <v>0</v>
      </c>
      <c r="AQ228" s="1123">
        <f>_xlfn.SUMIFS(Покупка!AP$25:AP$327,Покупка!$F$25:$F$327,$F228,Покупка!$AC$25:$AC$327,$G228)</f>
        <v>0</v>
      </c>
      <c r="AR228" s="1123">
        <f>_xlfn.SUMIFS(Покупка!AQ$25:AQ$327,Покупка!$F$25:$F$327,$F228,Покупка!$AC$25:$AC$327,$G228)</f>
        <v>0</v>
      </c>
      <c r="AS228" s="1123">
        <f>_xlfn.SUMIFS(Покупка!AR$25:AR$327,Покупка!$F$25:$F$327,$F228,Покупка!$AC$25:$AC$327,$G228)</f>
        <v>0</v>
      </c>
      <c r="AT228" s="1123">
        <f>_xlfn.SUMIFS(Покупка!AS$25:AS$327,Покупка!$F$25:$F$327,$F228,Покупка!$AC$25:$AC$327,$G228)</f>
        <v>0</v>
      </c>
      <c r="AU228" s="1123">
        <f>_xlfn.SUMIFS(Покупка!AT$25:AT$327,Покупка!$F$25:$F$327,$F228,Покупка!$AC$25:$AC$327,$G228)</f>
        <v>0</v>
      </c>
      <c r="AV228" s="1123">
        <f>_xlfn.SUMIFS(Покупка!AU$25:AU$327,Покупка!$F$25:$F$327,$F228,Покупка!$AC$25:$AC$327,$G228)</f>
        <v>0</v>
      </c>
      <c r="AW228" s="1123">
        <f>_xlfn.SUMIFS(Покупка!AV$25:AV$327,Покупка!$F$25:$F$327,$F228,Покупка!$AC$25:$AC$327,$G228)</f>
        <v>0</v>
      </c>
      <c r="AX228" s="1123">
        <f>_xlfn.SUMIFS(Покупка!AW$25:AW$327,Покупка!$F$25:$F$327,$F228,Покупка!$AC$25:$AC$327,$G228)</f>
        <v>0</v>
      </c>
      <c r="AY228" s="1123">
        <f>_xlfn.SUMIFS(Покупка!AX$25:AX$327,Покупка!$F$25:$F$327,$F228,Покупка!$AC$25:$AC$327,$G228)</f>
        <v>0</v>
      </c>
      <c r="AZ228" s="1123">
        <f>_xlfn.SUMIFS(Покупка!AY$25:AY$327,Покупка!$F$25:$F$327,$F228,Покупка!$AC$25:$AC$327,$G228)</f>
        <v>0</v>
      </c>
      <c r="BA228" s="1123">
        <f>_xlfn.SUMIFS(Покупка!AZ$25:AZ$327,Покупка!$F$25:$F$327,$F228,Покупка!$AC$25:$AC$327,$G228)</f>
        <v>0</v>
      </c>
      <c r="BB228" s="1123">
        <f>_xlfn.SUMIFS(Покупка!BA$25:BA$327,Покупка!$F$25:$F$327,$F228,Покупка!$AC$25:$AC$327,$G228)</f>
        <v>0</v>
      </c>
      <c r="BC228" s="1123">
        <f>_xlfn.SUMIFS(Покупка!BB$25:BB$327,Покупка!$F$25:$F$327,$F228,Покупка!$AC$25:$AC$327,$G228)</f>
        <v>0</v>
      </c>
      <c r="BD228" s="1123">
        <f>IF(AI228=0,0,(AT228-AI228)/AI228*100)</f>
        <v>0</v>
      </c>
      <c r="BE228" s="1123">
        <f>IF(AT228=0,0,(AU228-AT228)/AT228*100)</f>
        <v>0</v>
      </c>
      <c r="BF228" s="1123">
        <f>IF(AU228=0,0,(AV228-AU228)/AU228*100)</f>
        <v>0</v>
      </c>
      <c r="BG228" s="1123">
        <f>IF(AV228=0,0,(AW228-AV228)/AV228*100)</f>
        <v>0</v>
      </c>
      <c r="BH228" s="1123">
        <f>IF(AW228=0,0,(AX228-AW228)/AW228*100)</f>
        <v>0</v>
      </c>
      <c r="BI228" s="1123">
        <f>IF(AX228=0,0,(AY228-AX228)/AX228*100)</f>
        <v>0</v>
      </c>
      <c r="BJ228" s="1123">
        <f>IF(AY228=0,0,(AZ228-AY228)/AY228*100)</f>
        <v>0</v>
      </c>
      <c r="BK228" s="1123">
        <f>IF(AZ228=0,0,(BA228-AZ228)/AZ228*100)</f>
        <v>0</v>
      </c>
      <c r="BL228" s="1123">
        <f>IF(BA228=0,0,(BB228-BA228)/BA228*100)</f>
        <v>0</v>
      </c>
      <c r="BM228" s="1123">
        <f>IF(BB228=0,0,(BC228-BB228)/BB228*100)</f>
        <v>0</v>
      </c>
      <c r="BN228" s="6290"/>
      <c r="BO228" s="6294" t="str">
        <f>IF(_xlfn.IFERROR(INDEX(Покупка!$K$26:$L$327,MATCH($F228&amp;"8komm",Покупка!$K$26:$K$327,0),2),"")=0,"",_xlfn.IFERROR(INDEX(Покупка!$K$26:$L$327,MATCH($F228&amp;"8komm",Покупка!$K$26:$K$327,0),2),""))</f>
        <v>Приказ Генерального директора ОАО "СКЭК" от 31.12.2019 № 344 "О внесении изменений в Учетную политику" (Пункт 1.11, об учете и распределении затрат по  тепловой энергии на производственные нужды котельных  НФС и ОСВ г. Ленинск-Кузнецкий).</v>
      </c>
      <c r="BP228" s="6290"/>
      <c r="BQ228" s="1297"/>
      <c r="BR228" s="1297"/>
      <c r="BS228" s="1072" t="s">
        <v>1316</v>
      </c>
      <c r="BT228" s="1072"/>
      <c r="BU228" s="1072"/>
      <c r="BV228" s="987"/>
      <c r="BW228" s="987"/>
    </row>
    <row s="1656" customFormat="1" customHeight="1" ht="14.25">
      <c r="A229" s="1297"/>
      <c r="B229" s="986"/>
      <c r="C229" s="103"/>
      <c r="D229" s="103"/>
      <c r="E229" s="626">
        <v>15</v>
      </c>
      <c r="F229" s="50" cm="1" t="str">
        <f t="array" ref="F229:F229">OFFSET(E229,-1,1)</f>
        <v>1</v>
      </c>
      <c r="G229" s="103"/>
      <c r="H229" s="103"/>
      <c r="I229" s="103" t="s">
        <v>2286</v>
      </c>
      <c r="J229" s="103"/>
      <c r="K229" s="103" t="s">
        <v>2286</v>
      </c>
      <c r="L229" s="988"/>
      <c r="M229" s="103"/>
      <c r="N229" s="103"/>
      <c r="O229" s="103"/>
      <c r="P229" s="103"/>
      <c r="Q229" s="103"/>
      <c r="R229" s="103"/>
      <c r="S229" s="103"/>
      <c r="T229" s="468" cm="1" t="str">
        <f t="array" ref="T229:T229">T228</f>
        <v>true</v>
      </c>
      <c r="U229" s="103"/>
      <c r="V229" s="103"/>
      <c r="W229" s="103"/>
      <c r="X229" s="1559"/>
      <c r="Y229" s="1297"/>
      <c r="Z229" s="1529"/>
      <c r="AA229" s="1297"/>
      <c r="AB229" s="296" t="s">
        <v>2287</v>
      </c>
      <c r="AC229" s="772" t="s">
        <v>2288</v>
      </c>
      <c r="AD229" s="296" t="s">
        <v>936</v>
      </c>
      <c r="AE229" s="6293"/>
      <c r="AF229" s="6293"/>
      <c r="AG229" s="6293"/>
      <c r="AH229" s="1123">
        <f>AG229-AF229</f>
        <v>0</v>
      </c>
      <c r="AI229" s="6293"/>
      <c r="AJ229" s="6293"/>
      <c r="AK229" s="1260"/>
      <c r="AL229" s="1260"/>
      <c r="AM229" s="1260"/>
      <c r="AN229" s="1260"/>
      <c r="AO229" s="1260"/>
      <c r="AP229" s="1260"/>
      <c r="AQ229" s="1260"/>
      <c r="AR229" s="1260"/>
      <c r="AS229" s="1260"/>
      <c r="AT229" s="6293"/>
      <c r="AU229" s="1260"/>
      <c r="AV229" s="1260"/>
      <c r="AW229" s="1260"/>
      <c r="AX229" s="1260"/>
      <c r="AY229" s="1260"/>
      <c r="AZ229" s="1260"/>
      <c r="BA229" s="1260"/>
      <c r="BB229" s="1260"/>
      <c r="BC229" s="1260"/>
      <c r="BD229" s="1123">
        <f>IF(AI229=0,0,(AT229-AI229)/AI229*100)</f>
        <v>0</v>
      </c>
      <c r="BE229" s="1123">
        <f>IF(AT229=0,0,(AU229-AT229)/AT229*100)</f>
        <v>0</v>
      </c>
      <c r="BF229" s="1123">
        <f>IF(AU229=0,0,(AV229-AU229)/AU229*100)</f>
        <v>0</v>
      </c>
      <c r="BG229" s="1123">
        <f>IF(AV229=0,0,(AW229-AV229)/AV229*100)</f>
        <v>0</v>
      </c>
      <c r="BH229" s="1123">
        <f>IF(AW229=0,0,(AX229-AW229)/AW229*100)</f>
        <v>0</v>
      </c>
      <c r="BI229" s="1123">
        <f>IF(AX229=0,0,(AY229-AX229)/AX229*100)</f>
        <v>0</v>
      </c>
      <c r="BJ229" s="1123">
        <f>IF(AY229=0,0,(AZ229-AY229)/AY229*100)</f>
        <v>0</v>
      </c>
      <c r="BK229" s="1123">
        <f>IF(AZ229=0,0,(BA229-AZ229)/AZ229*100)</f>
        <v>0</v>
      </c>
      <c r="BL229" s="1123">
        <f>IF(BA229=0,0,(BB229-BA229)/BA229*100)</f>
        <v>0</v>
      </c>
      <c r="BM229" s="1123">
        <f>IF(BB229=0,0,(BC229-BB229)/BB229*100)</f>
        <v>0</v>
      </c>
      <c r="BN229" s="6290"/>
      <c r="BO229" s="6290"/>
      <c r="BP229" s="6290"/>
      <c r="BQ229" s="1297"/>
      <c r="BR229" s="1297"/>
      <c r="BS229" s="1072" t="s">
        <v>2289</v>
      </c>
      <c r="BT229" s="1072"/>
      <c r="BU229" s="1072"/>
      <c r="BV229" s="987"/>
      <c r="BW229" s="987"/>
    </row>
    <row s="1656" customFormat="1" customHeight="1" ht="14.25">
      <c r="A230" s="1297"/>
      <c r="B230" s="986"/>
      <c r="C230" s="103"/>
      <c r="D230" s="103"/>
      <c r="E230" s="626">
        <v>15</v>
      </c>
      <c r="F230" s="50" cm="1" t="str">
        <f t="array" ref="F230:F230">OFFSET(E230,-1,1)</f>
        <v>1</v>
      </c>
      <c r="G230" s="103"/>
      <c r="H230" s="103"/>
      <c r="I230" s="103" t="s">
        <v>2290</v>
      </c>
      <c r="J230" s="103"/>
      <c r="K230" s="103" t="s">
        <v>2290</v>
      </c>
      <c r="L230" s="988"/>
      <c r="M230" s="103"/>
      <c r="N230" s="103"/>
      <c r="O230" s="103"/>
      <c r="P230" s="103"/>
      <c r="Q230" s="103"/>
      <c r="R230" s="103"/>
      <c r="S230" s="103"/>
      <c r="T230" s="468" cm="1" t="str">
        <f t="array" ref="T230:T230">T229</f>
        <v>true</v>
      </c>
      <c r="U230" s="103"/>
      <c r="V230" s="103"/>
      <c r="W230" s="103"/>
      <c r="X230" s="1559"/>
      <c r="Y230" s="1297"/>
      <c r="Z230" s="1529"/>
      <c r="AA230" s="1297"/>
      <c r="AB230" s="296" t="s">
        <v>2291</v>
      </c>
      <c r="AC230" s="772" t="s">
        <v>2292</v>
      </c>
      <c r="AD230" s="296" t="s">
        <v>936</v>
      </c>
      <c r="AE230" s="6293"/>
      <c r="AF230" s="6293"/>
      <c r="AG230" s="6293"/>
      <c r="AH230" s="1123">
        <f>AG230-AF230</f>
        <v>0</v>
      </c>
      <c r="AI230" s="6293"/>
      <c r="AJ230" s="6293"/>
      <c r="AK230" s="1260"/>
      <c r="AL230" s="1260"/>
      <c r="AM230" s="1260"/>
      <c r="AN230" s="1260"/>
      <c r="AO230" s="1260"/>
      <c r="AP230" s="1260"/>
      <c r="AQ230" s="1260"/>
      <c r="AR230" s="1260"/>
      <c r="AS230" s="1260"/>
      <c r="AT230" s="6293"/>
      <c r="AU230" s="1260"/>
      <c r="AV230" s="1260"/>
      <c r="AW230" s="1260"/>
      <c r="AX230" s="1260"/>
      <c r="AY230" s="1260"/>
      <c r="AZ230" s="1260"/>
      <c r="BA230" s="1260"/>
      <c r="BB230" s="1260"/>
      <c r="BC230" s="1260"/>
      <c r="BD230" s="1123">
        <f>IF(AI230=0,0,(AT230-AI230)/AI230*100)</f>
        <v>0</v>
      </c>
      <c r="BE230" s="1123">
        <f>IF(AT230=0,0,(AU230-AT230)/AT230*100)</f>
        <v>0</v>
      </c>
      <c r="BF230" s="1123">
        <f>IF(AU230=0,0,(AV230-AU230)/AU230*100)</f>
        <v>0</v>
      </c>
      <c r="BG230" s="1123">
        <f>IF(AV230=0,0,(AW230-AV230)/AV230*100)</f>
        <v>0</v>
      </c>
      <c r="BH230" s="1123">
        <f>IF(AW230=0,0,(AX230-AW230)/AW230*100)</f>
        <v>0</v>
      </c>
      <c r="BI230" s="1123">
        <f>IF(AX230=0,0,(AY230-AX230)/AX230*100)</f>
        <v>0</v>
      </c>
      <c r="BJ230" s="1123">
        <f>IF(AY230=0,0,(AZ230-AY230)/AY230*100)</f>
        <v>0</v>
      </c>
      <c r="BK230" s="1123">
        <f>IF(AZ230=0,0,(BA230-AZ230)/AZ230*100)</f>
        <v>0</v>
      </c>
      <c r="BL230" s="1123">
        <f>IF(BA230=0,0,(BB230-BA230)/BA230*100)</f>
        <v>0</v>
      </c>
      <c r="BM230" s="1123">
        <f>IF(BB230=0,0,(BC230-BB230)/BB230*100)</f>
        <v>0</v>
      </c>
      <c r="BN230" s="6290"/>
      <c r="BO230" s="6290"/>
      <c r="BP230" s="6290"/>
      <c r="BQ230" s="1297"/>
      <c r="BR230" s="1297"/>
      <c r="BS230" s="1072" t="s">
        <v>2293</v>
      </c>
      <c r="BT230" s="1072"/>
      <c r="BU230" s="1072"/>
      <c r="BV230" s="987"/>
      <c r="BW230" s="987"/>
    </row>
    <row s="1656" customFormat="1" customHeight="1" ht="14.25">
      <c r="A231" s="1297"/>
      <c r="B231" s="986"/>
      <c r="C231" s="103"/>
      <c r="D231" s="103"/>
      <c r="E231" s="626">
        <v>15</v>
      </c>
      <c r="F231" s="50" cm="1" t="str">
        <f t="array" ref="F231:F231">OFFSET(E231,-1,1)</f>
        <v>1</v>
      </c>
      <c r="G231" s="103" t="s">
        <v>1267</v>
      </c>
      <c r="H231" s="103"/>
      <c r="I231" s="103" t="s">
        <v>2294</v>
      </c>
      <c r="J231" s="103"/>
      <c r="K231" s="103" t="s">
        <v>2294</v>
      </c>
      <c r="L231" s="988" t="s">
        <v>1745</v>
      </c>
      <c r="M231" s="103"/>
      <c r="N231" s="103"/>
      <c r="O231" s="103"/>
      <c r="P231" s="103"/>
      <c r="Q231" s="103"/>
      <c r="R231" s="103"/>
      <c r="S231" s="103"/>
      <c r="T231" s="468" cm="1" t="str">
        <f t="array" ref="T231:T231">T230</f>
        <v>true</v>
      </c>
      <c r="U231" s="103"/>
      <c r="V231" s="103"/>
      <c r="W231" s="103"/>
      <c r="X231" s="1559"/>
      <c r="Y231" s="1297"/>
      <c r="Z231" s="1529"/>
      <c r="AA231" s="1297"/>
      <c r="AB231" s="296" t="s">
        <v>2295</v>
      </c>
      <c r="AC231" s="772" t="s">
        <v>2296</v>
      </c>
      <c r="AD231" s="296" t="s">
        <v>936</v>
      </c>
      <c r="AE231" s="1123">
        <f>_xlfn.SUMIFS(Покупка!AE$25:AE$327,Покупка!$F$25:$F$327,$F231,Покупка!$AC$25:$AC$327,$G231)</f>
        <v>0</v>
      </c>
      <c r="AF231" s="1123">
        <f>_xlfn.SUMIFS(Покупка!AF$25:AF$327,Покупка!$F$25:$F$327,$F231,Покупка!$AC$25:$AC$327,$G231)</f>
        <v>0</v>
      </c>
      <c r="AG231" s="1123">
        <f>_xlfn.SUMIFS(Покупка!AG$25:AG$327,Покупка!$F$25:$F$327,$F231,Покупка!$AC$25:$AC$327,$G231)</f>
        <v>0</v>
      </c>
      <c r="AH231" s="1123">
        <f>AG231-AF231</f>
        <v>0</v>
      </c>
      <c r="AI231" s="1123">
        <f>_xlfn.SUMIFS(Покупка!AH$25:AH$327,Покупка!$F$25:$F$327,$F231,Покупка!$AC$25:$AC$327,$G231)</f>
        <v>0</v>
      </c>
      <c r="AJ231" s="1123">
        <f>_xlfn.SUMIFS(Покупка!AI$25:AI$327,Покупка!$F$25:$F$327,$F231,Покупка!$AC$25:$AC$327,$G231)</f>
        <v>0</v>
      </c>
      <c r="AK231" s="1123">
        <f>_xlfn.SUMIFS(Покупка!AJ$25:AJ$327,Покупка!$F$25:$F$327,$F231,Покупка!$AC$25:$AC$327,$G231)</f>
        <v>0</v>
      </c>
      <c r="AL231" s="1123">
        <f>_xlfn.SUMIFS(Покупка!AK$25:AK$327,Покупка!$F$25:$F$327,$F231,Покупка!$AC$25:$AC$327,$G231)</f>
        <v>0</v>
      </c>
      <c r="AM231" s="1123">
        <f>_xlfn.SUMIFS(Покупка!AL$25:AL$327,Покупка!$F$25:$F$327,$F231,Покупка!$AC$25:$AC$327,$G231)</f>
        <v>0</v>
      </c>
      <c r="AN231" s="1123">
        <f>_xlfn.SUMIFS(Покупка!AM$25:AM$327,Покупка!$F$25:$F$327,$F231,Покупка!$AC$25:$AC$327,$G231)</f>
        <v>0</v>
      </c>
      <c r="AO231" s="1123">
        <f>_xlfn.SUMIFS(Покупка!AN$25:AN$327,Покупка!$F$25:$F$327,$F231,Покупка!$AC$25:$AC$327,$G231)</f>
        <v>0</v>
      </c>
      <c r="AP231" s="1123">
        <f>_xlfn.SUMIFS(Покупка!AO$25:AO$327,Покупка!$F$25:$F$327,$F231,Покупка!$AC$25:$AC$327,$G231)</f>
        <v>0</v>
      </c>
      <c r="AQ231" s="1123">
        <f>_xlfn.SUMIFS(Покупка!AP$25:AP$327,Покупка!$F$25:$F$327,$F231,Покупка!$AC$25:$AC$327,$G231)</f>
        <v>0</v>
      </c>
      <c r="AR231" s="1123">
        <f>_xlfn.SUMIFS(Покупка!AQ$25:AQ$327,Покупка!$F$25:$F$327,$F231,Покупка!$AC$25:$AC$327,$G231)</f>
        <v>0</v>
      </c>
      <c r="AS231" s="1123">
        <f>_xlfn.SUMIFS(Покупка!AR$25:AR$327,Покупка!$F$25:$F$327,$F231,Покупка!$AC$25:$AC$327,$G231)</f>
        <v>0</v>
      </c>
      <c r="AT231" s="1123">
        <f>_xlfn.SUMIFS(Покупка!AS$25:AS$327,Покупка!$F$25:$F$327,$F231,Покупка!$AC$25:$AC$327,$G231)</f>
        <v>0</v>
      </c>
      <c r="AU231" s="1123">
        <f>_xlfn.SUMIFS(Покупка!AT$25:AT$327,Покупка!$F$25:$F$327,$F231,Покупка!$AC$25:$AC$327,$G231)</f>
        <v>0</v>
      </c>
      <c r="AV231" s="1123">
        <f>_xlfn.SUMIFS(Покупка!AU$25:AU$327,Покупка!$F$25:$F$327,$F231,Покупка!$AC$25:$AC$327,$G231)</f>
        <v>0</v>
      </c>
      <c r="AW231" s="1123">
        <f>_xlfn.SUMIFS(Покупка!AV$25:AV$327,Покупка!$F$25:$F$327,$F231,Покупка!$AC$25:$AC$327,$G231)</f>
        <v>0</v>
      </c>
      <c r="AX231" s="1123">
        <f>_xlfn.SUMIFS(Покупка!AW$25:AW$327,Покупка!$F$25:$F$327,$F231,Покупка!$AC$25:$AC$327,$G231)</f>
        <v>0</v>
      </c>
      <c r="AY231" s="1123">
        <f>_xlfn.SUMIFS(Покупка!AX$25:AX$327,Покупка!$F$25:$F$327,$F231,Покупка!$AC$25:$AC$327,$G231)</f>
        <v>0</v>
      </c>
      <c r="AZ231" s="1123">
        <f>_xlfn.SUMIFS(Покупка!AY$25:AY$327,Покупка!$F$25:$F$327,$F231,Покупка!$AC$25:$AC$327,$G231)</f>
        <v>0</v>
      </c>
      <c r="BA231" s="1123">
        <f>_xlfn.SUMIFS(Покупка!AZ$25:AZ$327,Покупка!$F$25:$F$327,$F231,Покупка!$AC$25:$AC$327,$G231)</f>
        <v>0</v>
      </c>
      <c r="BB231" s="1123">
        <f>_xlfn.SUMIFS(Покупка!BA$25:BA$327,Покупка!$F$25:$F$327,$F231,Покупка!$AC$25:$AC$327,$G231)</f>
        <v>0</v>
      </c>
      <c r="BC231" s="1123">
        <f>_xlfn.SUMIFS(Покупка!BB$25:BB$327,Покупка!$F$25:$F$327,$F231,Покупка!$AC$25:$AC$327,$G231)</f>
        <v>0</v>
      </c>
      <c r="BD231" s="1123">
        <f>IF(AI231=0,0,(AT231-AI231)/AI231*100)</f>
        <v>0</v>
      </c>
      <c r="BE231" s="1123">
        <f>IF(AT231=0,0,(AU231-AT231)/AT231*100)</f>
        <v>0</v>
      </c>
      <c r="BF231" s="1123">
        <f>IF(AU231=0,0,(AV231-AU231)/AU231*100)</f>
        <v>0</v>
      </c>
      <c r="BG231" s="1123">
        <f>IF(AV231=0,0,(AW231-AV231)/AV231*100)</f>
        <v>0</v>
      </c>
      <c r="BH231" s="1123">
        <f>IF(AW231=0,0,(AX231-AW231)/AW231*100)</f>
        <v>0</v>
      </c>
      <c r="BI231" s="1123">
        <f>IF(AX231=0,0,(AY231-AX231)/AX231*100)</f>
        <v>0</v>
      </c>
      <c r="BJ231" s="1123">
        <f>IF(AY231=0,0,(AZ231-AY231)/AY231*100)</f>
        <v>0</v>
      </c>
      <c r="BK231" s="1123">
        <f>IF(AZ231=0,0,(BA231-AZ231)/AZ231*100)</f>
        <v>0</v>
      </c>
      <c r="BL231" s="1123">
        <f>IF(BA231=0,0,(BB231-BA231)/BA231*100)</f>
        <v>0</v>
      </c>
      <c r="BM231" s="1123">
        <f>IF(BB231=0,0,(BC231-BB231)/BB231*100)</f>
        <v>0</v>
      </c>
      <c r="BN231" s="6290"/>
      <c r="BO231" s="6294" t="str">
        <f>IF(_xlfn.IFERROR(INDEX(Покупка!$K$26:$L$327,MATCH($F231&amp;"3komm",Покупка!$K$26:$K$327,0),2),"")=0,"",_xlfn.IFERROR(INDEX(Покупка!$K$26:$L$327,MATCH($F231&amp;"3komm",Покупка!$K$26:$K$327,0),2),""))</f>
        <v/>
      </c>
      <c r="BP231" s="6290"/>
      <c r="BQ231" s="1297"/>
      <c r="BR231" s="1297"/>
      <c r="BS231" s="1072" t="s">
        <v>1997</v>
      </c>
      <c r="BT231" s="1072"/>
      <c r="BU231" s="1072"/>
      <c r="BV231" s="987"/>
      <c r="BW231" s="987"/>
    </row>
    <row s="1656" customFormat="1" customHeight="1" ht="14.25">
      <c r="A232" s="1297"/>
      <c r="B232" s="986"/>
      <c r="C232" s="103"/>
      <c r="D232" s="103"/>
      <c r="E232" s="626">
        <v>15</v>
      </c>
      <c r="F232" s="50" cm="1" t="str">
        <f t="array" ref="F232:F232">OFFSET(E232,-1,1)</f>
        <v>1</v>
      </c>
      <c r="G232" s="103" t="s">
        <v>1273</v>
      </c>
      <c r="H232" s="103"/>
      <c r="I232" s="103" t="s">
        <v>2297</v>
      </c>
      <c r="J232" s="103"/>
      <c r="K232" s="103" t="s">
        <v>2297</v>
      </c>
      <c r="L232" s="988" t="s">
        <v>1750</v>
      </c>
      <c r="M232" s="103"/>
      <c r="N232" s="103"/>
      <c r="O232" s="103"/>
      <c r="P232" s="103"/>
      <c r="Q232" s="103"/>
      <c r="R232" s="103"/>
      <c r="S232" s="103"/>
      <c r="T232" s="468" cm="1" t="str">
        <f t="array" ref="T232:T232">T231</f>
        <v>true</v>
      </c>
      <c r="U232" s="103"/>
      <c r="V232" s="103"/>
      <c r="W232" s="103"/>
      <c r="X232" s="1559"/>
      <c r="Y232" s="1297"/>
      <c r="Z232" s="1529"/>
      <c r="AA232" s="1297"/>
      <c r="AB232" s="296" t="s">
        <v>2298</v>
      </c>
      <c r="AC232" s="772" t="s">
        <v>2299</v>
      </c>
      <c r="AD232" s="296" t="s">
        <v>936</v>
      </c>
      <c r="AE232" s="1123">
        <f>_xlfn.SUMIFS(Покупка!AE$25:AE$327,Покупка!$F$25:$F$327,$F232,Покупка!$AC$25:$AC$327,$G232)</f>
        <v>0</v>
      </c>
      <c r="AF232" s="1123">
        <f>_xlfn.SUMIFS(Покупка!AF$25:AF$327,Покупка!$F$25:$F$327,$F232,Покупка!$AC$25:$AC$327,$G232)</f>
        <v>0</v>
      </c>
      <c r="AG232" s="1123">
        <f>_xlfn.SUMIFS(Покупка!AG$25:AG$327,Покупка!$F$25:$F$327,$F232,Покупка!$AC$25:$AC$327,$G232)</f>
        <v>0</v>
      </c>
      <c r="AH232" s="1123">
        <f>AG232-AF232</f>
        <v>0</v>
      </c>
      <c r="AI232" s="1123">
        <f>_xlfn.SUMIFS(Покупка!AH$25:AH$327,Покупка!$F$25:$F$327,$F232,Покупка!$AC$25:$AC$327,$G232)</f>
        <v>0</v>
      </c>
      <c r="AJ232" s="1123">
        <f>_xlfn.SUMIFS(Покупка!AI$25:AI$327,Покупка!$F$25:$F$327,$F232,Покупка!$AC$25:$AC$327,$G232)</f>
        <v>0</v>
      </c>
      <c r="AK232" s="1123">
        <f>_xlfn.SUMIFS(Покупка!AJ$25:AJ$327,Покупка!$F$25:$F$327,$F232,Покупка!$AC$25:$AC$327,$G232)</f>
        <v>0</v>
      </c>
      <c r="AL232" s="1123">
        <f>_xlfn.SUMIFS(Покупка!AK$25:AK$327,Покупка!$F$25:$F$327,$F232,Покупка!$AC$25:$AC$327,$G232)</f>
        <v>0</v>
      </c>
      <c r="AM232" s="1123">
        <f>_xlfn.SUMIFS(Покупка!AL$25:AL$327,Покупка!$F$25:$F$327,$F232,Покупка!$AC$25:$AC$327,$G232)</f>
        <v>0</v>
      </c>
      <c r="AN232" s="1123">
        <f>_xlfn.SUMIFS(Покупка!AM$25:AM$327,Покупка!$F$25:$F$327,$F232,Покупка!$AC$25:$AC$327,$G232)</f>
        <v>0</v>
      </c>
      <c r="AO232" s="1123">
        <f>_xlfn.SUMIFS(Покупка!AN$25:AN$327,Покупка!$F$25:$F$327,$F232,Покупка!$AC$25:$AC$327,$G232)</f>
        <v>0</v>
      </c>
      <c r="AP232" s="1123">
        <f>_xlfn.SUMIFS(Покупка!AO$25:AO$327,Покупка!$F$25:$F$327,$F232,Покупка!$AC$25:$AC$327,$G232)</f>
        <v>0</v>
      </c>
      <c r="AQ232" s="1123">
        <f>_xlfn.SUMIFS(Покупка!AP$25:AP$327,Покупка!$F$25:$F$327,$F232,Покупка!$AC$25:$AC$327,$G232)</f>
        <v>0</v>
      </c>
      <c r="AR232" s="1123">
        <f>_xlfn.SUMIFS(Покупка!AQ$25:AQ$327,Покупка!$F$25:$F$327,$F232,Покупка!$AC$25:$AC$327,$G232)</f>
        <v>0</v>
      </c>
      <c r="AS232" s="1123">
        <f>_xlfn.SUMIFS(Покупка!AR$25:AR$327,Покупка!$F$25:$F$327,$F232,Покупка!$AC$25:$AC$327,$G232)</f>
        <v>0</v>
      </c>
      <c r="AT232" s="1123">
        <f>_xlfn.SUMIFS(Покупка!AS$25:AS$327,Покупка!$F$25:$F$327,$F232,Покупка!$AC$25:$AC$327,$G232)</f>
        <v>0</v>
      </c>
      <c r="AU232" s="1123">
        <f>_xlfn.SUMIFS(Покупка!AT$25:AT$327,Покупка!$F$25:$F$327,$F232,Покупка!$AC$25:$AC$327,$G232)</f>
        <v>0</v>
      </c>
      <c r="AV232" s="1123">
        <f>_xlfn.SUMIFS(Покупка!AU$25:AU$327,Покупка!$F$25:$F$327,$F232,Покупка!$AC$25:$AC$327,$G232)</f>
        <v>0</v>
      </c>
      <c r="AW232" s="1123">
        <f>_xlfn.SUMIFS(Покупка!AV$25:AV$327,Покупка!$F$25:$F$327,$F232,Покупка!$AC$25:$AC$327,$G232)</f>
        <v>0</v>
      </c>
      <c r="AX232" s="1123">
        <f>_xlfn.SUMIFS(Покупка!AW$25:AW$327,Покупка!$F$25:$F$327,$F232,Покупка!$AC$25:$AC$327,$G232)</f>
        <v>0</v>
      </c>
      <c r="AY232" s="1123">
        <f>_xlfn.SUMIFS(Покупка!AX$25:AX$327,Покупка!$F$25:$F$327,$F232,Покупка!$AC$25:$AC$327,$G232)</f>
        <v>0</v>
      </c>
      <c r="AZ232" s="1123">
        <f>_xlfn.SUMIFS(Покупка!AY$25:AY$327,Покупка!$F$25:$F$327,$F232,Покупка!$AC$25:$AC$327,$G232)</f>
        <v>0</v>
      </c>
      <c r="BA232" s="1123">
        <f>_xlfn.SUMIFS(Покупка!AZ$25:AZ$327,Покупка!$F$25:$F$327,$F232,Покупка!$AC$25:$AC$327,$G232)</f>
        <v>0</v>
      </c>
      <c r="BB232" s="1123">
        <f>_xlfn.SUMIFS(Покупка!BA$25:BA$327,Покупка!$F$25:$F$327,$F232,Покупка!$AC$25:$AC$327,$G232)</f>
        <v>0</v>
      </c>
      <c r="BC232" s="1123">
        <f>_xlfn.SUMIFS(Покупка!BB$25:BB$327,Покупка!$F$25:$F$327,$F232,Покупка!$AC$25:$AC$327,$G232)</f>
        <v>0</v>
      </c>
      <c r="BD232" s="1123">
        <f>IF(AI232=0,0,(AT232-AI232)/AI232*100)</f>
        <v>0</v>
      </c>
      <c r="BE232" s="1123">
        <f>IF(AT232=0,0,(AU232-AT232)/AT232*100)</f>
        <v>0</v>
      </c>
      <c r="BF232" s="1123">
        <f>IF(AU232=0,0,(AV232-AU232)/AU232*100)</f>
        <v>0</v>
      </c>
      <c r="BG232" s="1123">
        <f>IF(AV232=0,0,(AW232-AV232)/AV232*100)</f>
        <v>0</v>
      </c>
      <c r="BH232" s="1123">
        <f>IF(AW232=0,0,(AX232-AW232)/AW232*100)</f>
        <v>0</v>
      </c>
      <c r="BI232" s="1123">
        <f>IF(AX232=0,0,(AY232-AX232)/AX232*100)</f>
        <v>0</v>
      </c>
      <c r="BJ232" s="1123">
        <f>IF(AY232=0,0,(AZ232-AY232)/AY232*100)</f>
        <v>0</v>
      </c>
      <c r="BK232" s="1123">
        <f>IF(AZ232=0,0,(BA232-AZ232)/AZ232*100)</f>
        <v>0</v>
      </c>
      <c r="BL232" s="1123">
        <f>IF(BA232=0,0,(BB232-BA232)/BA232*100)</f>
        <v>0</v>
      </c>
      <c r="BM232" s="1123">
        <f>IF(BB232=0,0,(BC232-BB232)/BB232*100)</f>
        <v>0</v>
      </c>
      <c r="BN232" s="6290"/>
      <c r="BO232" s="6294" t="str">
        <f>IF(_xlfn.IFERROR(INDEX(Покупка!$K$26:$L$327,MATCH($F232&amp;"4komm",Покупка!$K$26:$K$327,0),2),"")=0,"",_xlfn.IFERROR(INDEX(Покупка!$K$26:$L$327,MATCH($F231&amp;"3komm",Покупка!$K$26:$K$327,0),2),""))</f>
        <v/>
      </c>
      <c r="BP232" s="6290"/>
      <c r="BQ232" s="1297"/>
      <c r="BR232" s="1297"/>
      <c r="BS232" s="1072" t="s">
        <v>2000</v>
      </c>
      <c r="BT232" s="1072"/>
      <c r="BU232" s="1072"/>
      <c r="BV232" s="987"/>
      <c r="BW232" s="987"/>
    </row>
    <row s="1656" customFormat="1" customHeight="1" ht="14.25">
      <c r="A233" s="1297"/>
      <c r="B233" s="986"/>
      <c r="C233" s="103"/>
      <c r="D233" s="103"/>
      <c r="E233" s="626">
        <v>15</v>
      </c>
      <c r="F233" s="50" cm="1" t="str">
        <f t="array" ref="F233:F233">OFFSET(E233,-1,1)</f>
        <v>1</v>
      </c>
      <c r="G233" s="103" t="s">
        <v>1280</v>
      </c>
      <c r="H233" s="103"/>
      <c r="I233" s="103" t="s">
        <v>2300</v>
      </c>
      <c r="J233" s="103"/>
      <c r="K233" s="103" t="s">
        <v>2300</v>
      </c>
      <c r="L233" s="988" t="s">
        <v>1760</v>
      </c>
      <c r="M233" s="103"/>
      <c r="N233" s="103"/>
      <c r="O233" s="103"/>
      <c r="P233" s="103"/>
      <c r="Q233" s="103"/>
      <c r="R233" s="103"/>
      <c r="S233" s="103"/>
      <c r="T233" s="468" cm="1" t="str">
        <f t="array" ref="T233:T233">T232</f>
        <v>true</v>
      </c>
      <c r="U233" s="103"/>
      <c r="V233" s="103"/>
      <c r="W233" s="103"/>
      <c r="X233" s="1559"/>
      <c r="Y233" s="1297"/>
      <c r="Z233" s="1529"/>
      <c r="AA233" s="1297"/>
      <c r="AB233" s="296" t="s">
        <v>2301</v>
      </c>
      <c r="AC233" s="772" t="s">
        <v>2302</v>
      </c>
      <c r="AD233" s="296" t="s">
        <v>936</v>
      </c>
      <c r="AE233" s="1123">
        <f>_xlfn.SUMIFS(Покупка!AE$25:AE$327,Покупка!$F$25:$F$327,$F233,Покупка!$AC$25:$AC$327,$G233)</f>
        <v>0</v>
      </c>
      <c r="AF233" s="1123">
        <f>_xlfn.SUMIFS(Покупка!AF$25:AF$327,Покупка!$F$25:$F$327,$F233,Покупка!$AC$25:$AC$327,$G233)</f>
        <v>0</v>
      </c>
      <c r="AG233" s="1123">
        <f>_xlfn.SUMIFS(Покупка!AG$25:AG$327,Покупка!$F$25:$F$327,$F233,Покупка!$AC$25:$AC$327,$G233)</f>
        <v>0</v>
      </c>
      <c r="AH233" s="1123">
        <f>AG233-AF233</f>
        <v>0</v>
      </c>
      <c r="AI233" s="1123">
        <f>_xlfn.SUMIFS(Покупка!AH$25:AH$327,Покупка!$F$25:$F$327,$F233,Покупка!$AC$25:$AC$327,$G233)</f>
        <v>0</v>
      </c>
      <c r="AJ233" s="1123">
        <f>_xlfn.SUMIFS(Покупка!AI$25:AI$327,Покупка!$F$25:$F$327,$F233,Покупка!$AC$25:$AC$327,$G233)</f>
        <v>0</v>
      </c>
      <c r="AK233" s="1123">
        <f>_xlfn.SUMIFS(Покупка!AJ$25:AJ$327,Покупка!$F$25:$F$327,$F233,Покупка!$AC$25:$AC$327,$G233)</f>
        <v>0</v>
      </c>
      <c r="AL233" s="1123">
        <f>_xlfn.SUMIFS(Покупка!AK$25:AK$327,Покупка!$F$25:$F$327,$F233,Покупка!$AC$25:$AC$327,$G233)</f>
        <v>0</v>
      </c>
      <c r="AM233" s="1123">
        <f>_xlfn.SUMIFS(Покупка!AL$25:AL$327,Покупка!$F$25:$F$327,$F233,Покупка!$AC$25:$AC$327,$G233)</f>
        <v>0</v>
      </c>
      <c r="AN233" s="1123">
        <f>_xlfn.SUMIFS(Покупка!AM$25:AM$327,Покупка!$F$25:$F$327,$F233,Покупка!$AC$25:$AC$327,$G233)</f>
        <v>0</v>
      </c>
      <c r="AO233" s="1123">
        <f>_xlfn.SUMIFS(Покупка!AN$25:AN$327,Покупка!$F$25:$F$327,$F233,Покупка!$AC$25:$AC$327,$G233)</f>
        <v>0</v>
      </c>
      <c r="AP233" s="1123">
        <f>_xlfn.SUMIFS(Покупка!AO$25:AO$327,Покупка!$F$25:$F$327,$F233,Покупка!$AC$25:$AC$327,$G233)</f>
        <v>0</v>
      </c>
      <c r="AQ233" s="1123">
        <f>_xlfn.SUMIFS(Покупка!AP$25:AP$327,Покупка!$F$25:$F$327,$F233,Покупка!$AC$25:$AC$327,$G233)</f>
        <v>0</v>
      </c>
      <c r="AR233" s="1123">
        <f>_xlfn.SUMIFS(Покупка!AQ$25:AQ$327,Покупка!$F$25:$F$327,$F233,Покупка!$AC$25:$AC$327,$G233)</f>
        <v>0</v>
      </c>
      <c r="AS233" s="1123">
        <f>_xlfn.SUMIFS(Покупка!AR$25:AR$327,Покупка!$F$25:$F$327,$F233,Покупка!$AC$25:$AC$327,$G233)</f>
        <v>0</v>
      </c>
      <c r="AT233" s="1123">
        <f>_xlfn.SUMIFS(Покупка!AS$25:AS$327,Покупка!$F$25:$F$327,$F233,Покупка!$AC$25:$AC$327,$G233)</f>
        <v>0</v>
      </c>
      <c r="AU233" s="1123">
        <f>_xlfn.SUMIFS(Покупка!AT$25:AT$327,Покупка!$F$25:$F$327,$F233,Покупка!$AC$25:$AC$327,$G233)</f>
        <v>0</v>
      </c>
      <c r="AV233" s="1123">
        <f>_xlfn.SUMIFS(Покупка!AU$25:AU$327,Покупка!$F$25:$F$327,$F233,Покупка!$AC$25:$AC$327,$G233)</f>
        <v>0</v>
      </c>
      <c r="AW233" s="1123">
        <f>_xlfn.SUMIFS(Покупка!AV$25:AV$327,Покупка!$F$25:$F$327,$F233,Покупка!$AC$25:$AC$327,$G233)</f>
        <v>0</v>
      </c>
      <c r="AX233" s="1123">
        <f>_xlfn.SUMIFS(Покупка!AW$25:AW$327,Покупка!$F$25:$F$327,$F233,Покупка!$AC$25:$AC$327,$G233)</f>
        <v>0</v>
      </c>
      <c r="AY233" s="1123">
        <f>_xlfn.SUMIFS(Покупка!AX$25:AX$327,Покупка!$F$25:$F$327,$F233,Покупка!$AC$25:$AC$327,$G233)</f>
        <v>0</v>
      </c>
      <c r="AZ233" s="1123">
        <f>_xlfn.SUMIFS(Покупка!AY$25:AY$327,Покупка!$F$25:$F$327,$F233,Покупка!$AC$25:$AC$327,$G233)</f>
        <v>0</v>
      </c>
      <c r="BA233" s="1123">
        <f>_xlfn.SUMIFS(Покупка!AZ$25:AZ$327,Покупка!$F$25:$F$327,$F233,Покупка!$AC$25:$AC$327,$G233)</f>
        <v>0</v>
      </c>
      <c r="BB233" s="1123">
        <f>_xlfn.SUMIFS(Покупка!BA$25:BA$327,Покупка!$F$25:$F$327,$F233,Покупка!$AC$25:$AC$327,$G233)</f>
        <v>0</v>
      </c>
      <c r="BC233" s="1123">
        <f>_xlfn.SUMIFS(Покупка!BB$25:BB$327,Покупка!$F$25:$F$327,$F233,Покупка!$AC$25:$AC$327,$G233)</f>
        <v>0</v>
      </c>
      <c r="BD233" s="1123">
        <f>IF(AI233=0,0,(AT233-AI233)/AI233*100)</f>
        <v>0</v>
      </c>
      <c r="BE233" s="1123">
        <f>IF(AT233=0,0,(AU233-AT233)/AT233*100)</f>
        <v>0</v>
      </c>
      <c r="BF233" s="1123">
        <f>IF(AU233=0,0,(AV233-AU233)/AU233*100)</f>
        <v>0</v>
      </c>
      <c r="BG233" s="1123">
        <f>IF(AV233=0,0,(AW233-AV233)/AV233*100)</f>
        <v>0</v>
      </c>
      <c r="BH233" s="1123">
        <f>IF(AW233=0,0,(AX233-AW233)/AW233*100)</f>
        <v>0</v>
      </c>
      <c r="BI233" s="1123">
        <f>IF(AX233=0,0,(AY233-AX233)/AX233*100)</f>
        <v>0</v>
      </c>
      <c r="BJ233" s="1123">
        <f>IF(AY233=0,0,(AZ233-AY233)/AY233*100)</f>
        <v>0</v>
      </c>
      <c r="BK233" s="1123">
        <f>IF(AZ233=0,0,(BA233-AZ233)/AZ233*100)</f>
        <v>0</v>
      </c>
      <c r="BL233" s="1123">
        <f>IF(BA233=0,0,(BB233-BA233)/BA233*100)</f>
        <v>0</v>
      </c>
      <c r="BM233" s="1123">
        <f>IF(BB233=0,0,(BC233-BB233)/BB233*100)</f>
        <v>0</v>
      </c>
      <c r="BN233" s="6290"/>
      <c r="BO233" s="6294" t="str">
        <f>IF(_xlfn.IFERROR(INDEX(Покупка!$K$26:$L$327,MATCH($F233&amp;"5komm",Покупка!$K$26:$K$327,0),2),"")=0,"",_xlfn.IFERROR(INDEX(Покупка!$K$26:$L$327,MATCH($F233&amp;"5komm",Покупка!$K$26:$K$327,0),2),""))</f>
        <v/>
      </c>
      <c r="BP233" s="6290"/>
      <c r="BQ233" s="1297"/>
      <c r="BR233" s="1297"/>
      <c r="BS233" s="1072" t="s">
        <v>2003</v>
      </c>
      <c r="BT233" s="1072"/>
      <c r="BU233" s="1072"/>
      <c r="BV233" s="987"/>
      <c r="BW233" s="987"/>
    </row>
    <row s="1656" customFormat="1" customHeight="1" ht="14.25">
      <c r="A234" s="1297"/>
      <c r="B234" s="986"/>
      <c r="C234" s="103"/>
      <c r="D234" s="103"/>
      <c r="E234" s="626">
        <v>15</v>
      </c>
      <c r="F234" s="50" cm="1" t="str">
        <f t="array" ref="F234:F234">OFFSET(E234,-1,1)</f>
        <v>1</v>
      </c>
      <c r="G234" s="103" t="s">
        <v>1321</v>
      </c>
      <c r="H234" s="103"/>
      <c r="I234" s="103"/>
      <c r="J234" s="103"/>
      <c r="K234" s="103"/>
      <c r="L234" s="988" t="s">
        <v>1727</v>
      </c>
      <c r="M234" s="103"/>
      <c r="N234" s="103"/>
      <c r="O234" s="103"/>
      <c r="P234" s="103"/>
      <c r="Q234" s="103"/>
      <c r="R234" s="103"/>
      <c r="S234" s="103"/>
      <c r="T234" s="468" cm="1" t="str">
        <f t="array" ref="T234:T234">T233</f>
        <v>true</v>
      </c>
      <c r="U234" s="103"/>
      <c r="V234" s="103"/>
      <c r="W234" s="103"/>
      <c r="X234" s="1559"/>
      <c r="Y234" s="1297"/>
      <c r="Z234" s="1529"/>
      <c r="AA234" s="1297"/>
      <c r="AB234" s="296" t="s">
        <v>2303</v>
      </c>
      <c r="AC234" s="772" t="s">
        <v>2304</v>
      </c>
      <c r="AD234" s="296" t="s">
        <v>936</v>
      </c>
      <c r="AE234" s="1123">
        <f>_xlfn.SUMIFS(Покупка!AE$25:AE$327,Покупка!$F$25:$F$327,$F234,Покупка!$AC$25:$AC$327,$G234)</f>
        <v>0</v>
      </c>
      <c r="AF234" s="1123">
        <f>_xlfn.SUMIFS(Покупка!AF$25:AF$327,Покупка!$F$25:$F$327,$F234,Покупка!$AC$25:$AC$327,$G234)</f>
        <v>0</v>
      </c>
      <c r="AG234" s="1123">
        <f>_xlfn.SUMIFS(Покупка!AG$25:AG$327,Покупка!$F$25:$F$327,$F234,Покупка!$AC$25:$AC$327,$G234)</f>
        <v>0</v>
      </c>
      <c r="AH234" s="1123">
        <f>AG234-AF234</f>
        <v>0</v>
      </c>
      <c r="AI234" s="1123">
        <f>_xlfn.SUMIFS(Покупка!AH$25:AH$327,Покупка!$F$25:$F$327,$F234,Покупка!$AC$25:$AC$327,$G234)</f>
        <v>0</v>
      </c>
      <c r="AJ234" s="1123">
        <f>_xlfn.SUMIFS(Покупка!AI$25:AI$327,Покупка!$F$25:$F$327,$F234,Покупка!$AC$25:$AC$327,$G234)</f>
        <v>0</v>
      </c>
      <c r="AK234" s="1123">
        <f>_xlfn.SUMIFS(Покупка!AJ$25:AJ$327,Покупка!$F$25:$F$327,$F234,Покупка!$AC$25:$AC$327,$G234)</f>
        <v>0</v>
      </c>
      <c r="AL234" s="1123">
        <f>_xlfn.SUMIFS(Покупка!AK$25:AK$327,Покупка!$F$25:$F$327,$F234,Покупка!$AC$25:$AC$327,$G234)</f>
        <v>0</v>
      </c>
      <c r="AM234" s="1123">
        <f>_xlfn.SUMIFS(Покупка!AL$25:AL$327,Покупка!$F$25:$F$327,$F234,Покупка!$AC$25:$AC$327,$G234)</f>
        <v>0</v>
      </c>
      <c r="AN234" s="1123">
        <f>_xlfn.SUMIFS(Покупка!AM$25:AM$327,Покупка!$F$25:$F$327,$F234,Покупка!$AC$25:$AC$327,$G234)</f>
        <v>0</v>
      </c>
      <c r="AO234" s="1123">
        <f>_xlfn.SUMIFS(Покупка!AN$25:AN$327,Покупка!$F$25:$F$327,$F234,Покупка!$AC$25:$AC$327,$G234)</f>
        <v>0</v>
      </c>
      <c r="AP234" s="1123">
        <f>_xlfn.SUMIFS(Покупка!AO$25:AO$327,Покупка!$F$25:$F$327,$F234,Покупка!$AC$25:$AC$327,$G234)</f>
        <v>0</v>
      </c>
      <c r="AQ234" s="1123">
        <f>_xlfn.SUMIFS(Покупка!AP$25:AP$327,Покупка!$F$25:$F$327,$F234,Покупка!$AC$25:$AC$327,$G234)</f>
        <v>0</v>
      </c>
      <c r="AR234" s="1123">
        <f>_xlfn.SUMIFS(Покупка!AQ$25:AQ$327,Покупка!$F$25:$F$327,$F234,Покупка!$AC$25:$AC$327,$G234)</f>
        <v>0</v>
      </c>
      <c r="AS234" s="1123">
        <f>_xlfn.SUMIFS(Покупка!AR$25:AR$327,Покупка!$F$25:$F$327,$F234,Покупка!$AC$25:$AC$327,$G234)</f>
        <v>0</v>
      </c>
      <c r="AT234" s="1123">
        <f>_xlfn.SUMIFS(Покупка!AS$25:AS$327,Покупка!$F$25:$F$327,$F234,Покупка!$AC$25:$AC$327,$G234)</f>
        <v>51.71935</v>
      </c>
      <c r="AU234" s="1123">
        <f>_xlfn.SUMIFS(Покупка!AT$25:AT$327,Покупка!$F$25:$F$327,$F234,Покупка!$AC$25:$AC$327,$G234)</f>
        <v>0</v>
      </c>
      <c r="AV234" s="1123">
        <f>_xlfn.SUMIFS(Покупка!AU$25:AU$327,Покупка!$F$25:$F$327,$F234,Покупка!$AC$25:$AC$327,$G234)</f>
        <v>0</v>
      </c>
      <c r="AW234" s="1123">
        <f>_xlfn.SUMIFS(Покупка!AV$25:AV$327,Покупка!$F$25:$F$327,$F234,Покупка!$AC$25:$AC$327,$G234)</f>
        <v>0</v>
      </c>
      <c r="AX234" s="1123">
        <f>_xlfn.SUMIFS(Покупка!AW$25:AW$327,Покупка!$F$25:$F$327,$F234,Покупка!$AC$25:$AC$327,$G234)</f>
        <v>0</v>
      </c>
      <c r="AY234" s="1123">
        <f>_xlfn.SUMIFS(Покупка!AX$25:AX$327,Покупка!$F$25:$F$327,$F234,Покупка!$AC$25:$AC$327,$G234)</f>
        <v>0</v>
      </c>
      <c r="AZ234" s="1123">
        <f>_xlfn.SUMIFS(Покупка!AY$25:AY$327,Покупка!$F$25:$F$327,$F234,Покупка!$AC$25:$AC$327,$G234)</f>
        <v>0</v>
      </c>
      <c r="BA234" s="1123">
        <f>_xlfn.SUMIFS(Покупка!AZ$25:AZ$327,Покупка!$F$25:$F$327,$F234,Покупка!$AC$25:$AC$327,$G234)</f>
        <v>0</v>
      </c>
      <c r="BB234" s="1123">
        <f>_xlfn.SUMIFS(Покупка!BA$25:BA$327,Покупка!$F$25:$F$327,$F234,Покупка!$AC$25:$AC$327,$G234)</f>
        <v>0</v>
      </c>
      <c r="BC234" s="1123">
        <f>_xlfn.SUMIFS(Покупка!BB$25:BB$327,Покупка!$F$25:$F$327,$F234,Покупка!$AC$25:$AC$327,$G234)</f>
        <v>0</v>
      </c>
      <c r="BD234" s="1123">
        <f>IF(AI234=0,0,(AT234-AI234)/AI234*100)</f>
        <v>0</v>
      </c>
      <c r="BE234" s="1123">
        <f>IF(AT234=0,0,(AU234-AT234)/AT234*100)</f>
        <v>-100</v>
      </c>
      <c r="BF234" s="1123">
        <f>IF(AU234=0,0,(AV234-AU234)/AU234*100)</f>
        <v>0</v>
      </c>
      <c r="BG234" s="1123">
        <f>IF(AV234=0,0,(AW234-AV234)/AV234*100)</f>
        <v>0</v>
      </c>
      <c r="BH234" s="1123">
        <f>IF(AW234=0,0,(AX234-AW234)/AW234*100)</f>
        <v>0</v>
      </c>
      <c r="BI234" s="1123">
        <f>IF(AX234=0,0,(AY234-AX234)/AX234*100)</f>
        <v>0</v>
      </c>
      <c r="BJ234" s="1123">
        <f>IF(AY234=0,0,(AZ234-AY234)/AY234*100)</f>
        <v>0</v>
      </c>
      <c r="BK234" s="1123">
        <f>IF(AZ234=0,0,(BA234-AZ234)/AZ234*100)</f>
        <v>0</v>
      </c>
      <c r="BL234" s="1123">
        <f>IF(BA234=0,0,(BB234-BA234)/BA234*100)</f>
        <v>0</v>
      </c>
      <c r="BM234" s="1123">
        <f>IF(BB234=0,0,(BC234-BB234)/BB234*100)</f>
        <v>0</v>
      </c>
      <c r="BN234" s="6290"/>
      <c r="BO234" s="6294" t="str">
        <f>IF(_xlfn.IFERROR(INDEX(Покупка!$K$26:$L$327,MATCH($F234&amp;"9komm",Покупка!$K$26:$K$327,0),2),"")=0,"",_xlfn.IFERROR(INDEX(Покупка!$K$26:$L$327,MATCH($F234&amp;"9komm",Покупка!$K$26:$K$327,0),2),""))</f>
        <v/>
      </c>
      <c r="BP234" s="6290"/>
      <c r="BQ234" s="1297"/>
      <c r="BR234" s="1297"/>
      <c r="BS234" s="1072" t="s">
        <v>1322</v>
      </c>
      <c r="BT234" s="1072"/>
      <c r="BU234" s="1072"/>
      <c r="BV234" s="987"/>
      <c r="BW234" s="987"/>
    </row>
    <row s="1656" customFormat="1" customHeight="1" ht="14.25">
      <c r="A235" s="1297"/>
      <c r="B235" s="986"/>
      <c r="C235" s="103"/>
      <c r="D235" s="103"/>
      <c r="E235" s="626">
        <v>15</v>
      </c>
      <c r="F235" s="50" cm="1" t="str">
        <f t="array" ref="F235:F235">OFFSET(E235,-1,1)</f>
        <v>1</v>
      </c>
      <c r="G235" s="103"/>
      <c r="H235" s="103"/>
      <c r="I235" s="103" t="s">
        <v>587</v>
      </c>
      <c r="J235" s="103"/>
      <c r="K235" s="103" t="s">
        <v>587</v>
      </c>
      <c r="L235" s="988"/>
      <c r="M235" s="103"/>
      <c r="N235" s="103"/>
      <c r="O235" s="103"/>
      <c r="P235" s="103"/>
      <c r="Q235" s="103"/>
      <c r="R235" s="103"/>
      <c r="S235" s="103"/>
      <c r="T235" s="468" cm="1" t="str">
        <f t="array" ref="T235:T235">T234</f>
        <v>true</v>
      </c>
      <c r="U235" s="103"/>
      <c r="V235" s="103"/>
      <c r="W235" s="103"/>
      <c r="X235" s="1559"/>
      <c r="Y235" s="1297"/>
      <c r="Z235" s="1529"/>
      <c r="AA235" s="1297"/>
      <c r="AB235" s="296" t="s">
        <v>664</v>
      </c>
      <c r="AC235" s="769" t="s">
        <v>2305</v>
      </c>
      <c r="AD235" s="786" t="s">
        <v>936</v>
      </c>
      <c r="AE235" s="1123">
        <f>_xlfn.SUMIFS('Сырье и материалы'!AE$25:AE$111,'Сырье и материалы'!$F$25:$F$111,$F235,'Сырье и материалы'!$I$25:$I$111,"Реагенты")</f>
        <v>0</v>
      </c>
      <c r="AF235" s="1123">
        <f>_xlfn.SUMIFS('Сырье и материалы'!AF$25:AF$111,'Сырье и материалы'!$F$25:$F$111,$F235,'Сырье и материалы'!$I$25:$I$111,"Реагенты")</f>
        <v>0</v>
      </c>
      <c r="AG235" s="1123">
        <f>_xlfn.SUMIFS('Сырье и материалы'!AG$25:AG$111,'Сырье и материалы'!$F$25:$F$111,$F235,'Сырье и материалы'!$I$25:$I$111,"Реагенты")</f>
        <v>0</v>
      </c>
      <c r="AH235" s="1123">
        <f>AG235-AF235</f>
        <v>0</v>
      </c>
      <c r="AI235" s="1123">
        <f>_xlfn.SUMIFS('Сырье и материалы'!AH$25:AH$111,'Сырье и материалы'!$F$25:$F$111,$F235,'Сырье и материалы'!$I$25:$I$111,"Реагенты")</f>
        <v>0</v>
      </c>
      <c r="AJ235" s="1123">
        <f>_xlfn.SUMIFS('Сырье и материалы'!AI$25:AI$111,'Сырье и материалы'!$F$25:$F$111,$F235,'Сырье и материалы'!$I$25:$I$111,"Реагенты")</f>
        <v>0</v>
      </c>
      <c r="AK235" s="1123">
        <f>_xlfn.SUMIFS('Сырье и материалы'!AJ$25:AJ$111,'Сырье и материалы'!$F$25:$F$111,$F235,'Сырье и материалы'!$I$25:$I$111,"Реагенты")</f>
        <v>0</v>
      </c>
      <c r="AL235" s="1123">
        <f>_xlfn.SUMIFS('Сырье и материалы'!AK$25:AK$111,'Сырье и материалы'!$F$25:$F$111,$F235,'Сырье и материалы'!$I$25:$I$111,"Реагенты")</f>
        <v>0</v>
      </c>
      <c r="AM235" s="1123">
        <f>_xlfn.SUMIFS('Сырье и материалы'!AL$25:AL$111,'Сырье и материалы'!$F$25:$F$111,$F235,'Сырье и материалы'!$I$25:$I$111,"Реагенты")</f>
        <v>0</v>
      </c>
      <c r="AN235" s="1123">
        <f>_xlfn.SUMIFS('Сырье и материалы'!AM$25:AM$111,'Сырье и материалы'!$F$25:$F$111,$F235,'Сырье и материалы'!$I$25:$I$111,"Реагенты")</f>
        <v>0</v>
      </c>
      <c r="AO235" s="1123">
        <f>_xlfn.SUMIFS('Сырье и материалы'!AN$25:AN$111,'Сырье и материалы'!$F$25:$F$111,$F235,'Сырье и материалы'!$I$25:$I$111,"Реагенты")</f>
        <v>0</v>
      </c>
      <c r="AP235" s="1123">
        <f>_xlfn.SUMIFS('Сырье и материалы'!AO$25:AO$111,'Сырье и материалы'!$F$25:$F$111,$F235,'Сырье и материалы'!$I$25:$I$111,"Реагенты")</f>
        <v>0</v>
      </c>
      <c r="AQ235" s="1123">
        <f>_xlfn.SUMIFS('Сырье и материалы'!AP$25:AP$111,'Сырье и материалы'!$F$25:$F$111,$F235,'Сырье и материалы'!$I$25:$I$111,"Реагенты")</f>
        <v>0</v>
      </c>
      <c r="AR235" s="1123">
        <f>_xlfn.SUMIFS('Сырье и материалы'!AQ$25:AQ$111,'Сырье и материалы'!$F$25:$F$111,$F235,'Сырье и материалы'!$I$25:$I$111,"Реагенты")</f>
        <v>0</v>
      </c>
      <c r="AS235" s="1123">
        <f>_xlfn.SUMIFS('Сырье и материалы'!AR$25:AR$111,'Сырье и материалы'!$F$25:$F$111,$F235,'Сырье и материалы'!$I$25:$I$111,"Реагенты")</f>
        <v>0</v>
      </c>
      <c r="AT235" s="1123">
        <f>_xlfn.SUMIFS('Сырье и материалы'!AS$25:AS$111,'Сырье и материалы'!$F$25:$F$111,$F235,'Сырье и материалы'!$I$25:$I$111,"Реагенты")</f>
        <v>0</v>
      </c>
      <c r="AU235" s="1123">
        <f>_xlfn.SUMIFS('Сырье и материалы'!AT$25:AT$111,'Сырье и материалы'!$F$25:$F$111,$F235,'Сырье и материалы'!$I$25:$I$111,"Реагенты")</f>
        <v>0</v>
      </c>
      <c r="AV235" s="1123">
        <f>_xlfn.SUMIFS('Сырье и материалы'!AU$25:AU$111,'Сырье и материалы'!$F$25:$F$111,$F235,'Сырье и материалы'!$I$25:$I$111,"Реагенты")</f>
        <v>0</v>
      </c>
      <c r="AW235" s="1123">
        <f>_xlfn.SUMIFS('Сырье и материалы'!AV$25:AV$111,'Сырье и материалы'!$F$25:$F$111,$F235,'Сырье и материалы'!$I$25:$I$111,"Реагенты")</f>
        <v>0</v>
      </c>
      <c r="AX235" s="1123">
        <f>_xlfn.SUMIFS('Сырье и материалы'!AW$25:AW$111,'Сырье и материалы'!$F$25:$F$111,$F235,'Сырье и материалы'!$I$25:$I$111,"Реагенты")</f>
        <v>0</v>
      </c>
      <c r="AY235" s="1123">
        <f>_xlfn.SUMIFS('Сырье и материалы'!AX$25:AX$111,'Сырье и материалы'!$F$25:$F$111,$F235,'Сырье и материалы'!$I$25:$I$111,"Реагенты")</f>
        <v>0</v>
      </c>
      <c r="AZ235" s="1123">
        <f>_xlfn.SUMIFS('Сырье и материалы'!AY$25:AY$111,'Сырье и материалы'!$F$25:$F$111,$F235,'Сырье и материалы'!$I$25:$I$111,"Реагенты")</f>
        <v>0</v>
      </c>
      <c r="BA235" s="1123">
        <f>_xlfn.SUMIFS('Сырье и материалы'!AZ$25:AZ$111,'Сырье и материалы'!$F$25:$F$111,$F235,'Сырье и материалы'!$I$25:$I$111,"Реагенты")</f>
        <v>0</v>
      </c>
      <c r="BB235" s="1123">
        <f>_xlfn.SUMIFS('Сырье и материалы'!BA$25:BA$111,'Сырье и материалы'!$F$25:$F$111,$F235,'Сырье и материалы'!$I$25:$I$111,"Реагенты")</f>
        <v>0</v>
      </c>
      <c r="BC235" s="1123">
        <f>_xlfn.SUMIFS('Сырье и материалы'!BB$25:BB$111,'Сырье и материалы'!$F$25:$F$111,$F235,'Сырье и материалы'!$I$25:$I$111,"Реагенты")</f>
        <v>0</v>
      </c>
      <c r="BD235" s="1123">
        <f>IF(AI235=0,0,(AT235-AI235)/AI235*100)</f>
        <v>0</v>
      </c>
      <c r="BE235" s="1123">
        <f>IF(AT235=0,0,(AU235-AT235)/AT235*100)</f>
        <v>0</v>
      </c>
      <c r="BF235" s="1123">
        <f>IF(AU235=0,0,(AV235-AU235)/AU235*100)</f>
        <v>0</v>
      </c>
      <c r="BG235" s="1123">
        <f>IF(AV235=0,0,(AW235-AV235)/AV235*100)</f>
        <v>0</v>
      </c>
      <c r="BH235" s="1123">
        <f>IF(AW235=0,0,(AX235-AW235)/AW235*100)</f>
        <v>0</v>
      </c>
      <c r="BI235" s="1123">
        <f>IF(AX235=0,0,(AY235-AX235)/AX235*100)</f>
        <v>0</v>
      </c>
      <c r="BJ235" s="1123">
        <f>IF(AY235=0,0,(AZ235-AY235)/AY235*100)</f>
        <v>0</v>
      </c>
      <c r="BK235" s="1123">
        <f>IF(AZ235=0,0,(BA235-AZ235)/AZ235*100)</f>
        <v>0</v>
      </c>
      <c r="BL235" s="1123">
        <f>IF(BA235=0,0,(BB235-BA235)/BA235*100)</f>
        <v>0</v>
      </c>
      <c r="BM235" s="1123">
        <f>IF(BB235=0,0,(BC235-BB235)/BB235*100)</f>
        <v>0</v>
      </c>
      <c r="BN235" s="6290"/>
      <c r="BO235" s="6294" t="str">
        <f>IF(_xlfn.IFERROR(INDEX('Сырье и материалы'!$K$26:$L$111,MATCH($F235&amp;"komm",'Сырье и материалы'!$K$26:$K$111,0),2),"")=0,"",_xlfn.IFERROR(INDEX('Сырье и материалы'!$K$26:$L$111,MATCH($F235&amp;"komm",'Сырье и материалы'!$K$26:$K$111,0),2),""))</f>
        <v/>
      </c>
      <c r="BP235" s="6290"/>
      <c r="BQ235" s="1297"/>
      <c r="BR235" s="1297"/>
      <c r="BS235" s="1072" t="s">
        <v>1976</v>
      </c>
      <c r="BT235" s="1072"/>
      <c r="BU235" s="1072"/>
      <c r="BV235" s="987"/>
      <c r="BW235" s="987"/>
    </row>
    <row s="6343" customFormat="1" customHeight="1" ht="20.25">
      <c r="A236" s="706"/>
      <c r="B236" s="437"/>
      <c r="C236" s="105"/>
      <c r="D236" s="105"/>
      <c r="E236" s="833">
        <v>21</v>
      </c>
      <c r="F236" s="50" cm="1" t="str">
        <f t="array" ref="F236:F236">OFFSET(E236,-1,1)</f>
        <v>1</v>
      </c>
      <c r="G236" s="105"/>
      <c r="H236" s="103"/>
      <c r="I236" s="103" t="s">
        <v>1087</v>
      </c>
      <c r="J236" s="105"/>
      <c r="K236" s="103" t="s">
        <v>1087</v>
      </c>
      <c r="L236" s="993" t="s">
        <v>619</v>
      </c>
      <c r="M236" s="105"/>
      <c r="N236" s="105"/>
      <c r="O236" s="105"/>
      <c r="P236" s="105"/>
      <c r="Q236" s="105"/>
      <c r="R236" s="105"/>
      <c r="S236" s="105"/>
      <c r="T236" s="468" cm="1" t="str">
        <f t="array" ref="T236:T236">T235</f>
        <v>true</v>
      </c>
      <c r="U236" s="105"/>
      <c r="V236" s="105"/>
      <c r="W236" s="105"/>
      <c r="X236" s="1559"/>
      <c r="Y236" s="706"/>
      <c r="Z236" s="1529"/>
      <c r="AA236" s="706"/>
      <c r="AB236" s="207" t="s">
        <v>668</v>
      </c>
      <c r="AC236" s="357" t="s">
        <v>2306</v>
      </c>
      <c r="AD236" s="207" t="s">
        <v>936</v>
      </c>
      <c r="AE236" s="785">
        <f>SUM(AE237:AE246)</f>
        <v>29118.3034715</v>
      </c>
      <c r="AF236" s="785">
        <f>SUM(AF237:AF246)</f>
        <v>25973.68884</v>
      </c>
      <c r="AG236" s="785">
        <f>SUM(AG237:AG246)</f>
        <v>25973.68884</v>
      </c>
      <c r="AH236" s="785">
        <f>AG236-AF236</f>
        <v>0</v>
      </c>
      <c r="AI236" s="785">
        <f>SUM(AI237:AI246)</f>
        <v>29560.6552008</v>
      </c>
      <c r="AJ236" s="209">
        <f>SUM(AJ237:AJ246)</f>
        <v>30903.74</v>
      </c>
      <c r="AK236" s="785">
        <f>SUM(AK237:AK246)</f>
        <v>0</v>
      </c>
      <c r="AL236" s="785">
        <f>SUM(AL237:AL246)</f>
        <v>0</v>
      </c>
      <c r="AM236" s="785">
        <f>SUM(AM237:AM246)</f>
        <v>0</v>
      </c>
      <c r="AN236" s="785">
        <f>SUM(AN237:AN246)</f>
        <v>0</v>
      </c>
      <c r="AO236" s="785">
        <f>SUM(AO237:AO246)</f>
        <v>0</v>
      </c>
      <c r="AP236" s="785">
        <f>SUM(AP237:AP246)</f>
        <v>0</v>
      </c>
      <c r="AQ236" s="785">
        <f>SUM(AQ237:AQ246)</f>
        <v>0</v>
      </c>
      <c r="AR236" s="785">
        <f>SUM(AR237:AR246)</f>
        <v>0</v>
      </c>
      <c r="AS236" s="785">
        <f>SUM(AS237:AS246)</f>
        <v>0</v>
      </c>
      <c r="AT236" s="209">
        <f>SUM(AT237:AT246)</f>
        <v>32540.26</v>
      </c>
      <c r="AU236" s="785">
        <f>SUM(AU237:AU246)</f>
        <v>0</v>
      </c>
      <c r="AV236" s="785">
        <f>SUM(AV237:AV246)</f>
        <v>0</v>
      </c>
      <c r="AW236" s="785">
        <f>SUM(AW237:AW246)</f>
        <v>0</v>
      </c>
      <c r="AX236" s="785">
        <f>SUM(AX237:AX246)</f>
        <v>0</v>
      </c>
      <c r="AY236" s="785">
        <f>SUM(AY237:AY246)</f>
        <v>0</v>
      </c>
      <c r="AZ236" s="785">
        <f>SUM(AZ237:AZ246)</f>
        <v>0</v>
      </c>
      <c r="BA236" s="785">
        <f>SUM(BA237:BA246)</f>
        <v>0</v>
      </c>
      <c r="BB236" s="785">
        <f>SUM(BB237:BB246)</f>
        <v>0</v>
      </c>
      <c r="BC236" s="785">
        <f>SUM(BC237:BC246)</f>
        <v>0</v>
      </c>
      <c r="BD236" s="785">
        <f>IF(AI236=0,0,(AT236-AI236)/AI236*100)</f>
        <v>10.0796304376885</v>
      </c>
      <c r="BE236" s="785">
        <f>IF(AT236=0,0,(AU236-AT236)/AT236*100)</f>
        <v>-100</v>
      </c>
      <c r="BF236" s="785">
        <f>IF(AU236=0,0,(AV236-AU236)/AU236*100)</f>
        <v>0</v>
      </c>
      <c r="BG236" s="785">
        <f>IF(AV236=0,0,(AW236-AV236)/AV236*100)</f>
        <v>0</v>
      </c>
      <c r="BH236" s="785">
        <f>IF(AW236=0,0,(AX236-AW236)/AW236*100)</f>
        <v>0</v>
      </c>
      <c r="BI236" s="785">
        <f>IF(AX236=0,0,(AY236-AX236)/AX236*100)</f>
        <v>0</v>
      </c>
      <c r="BJ236" s="785">
        <f>IF(AY236=0,0,(AZ236-AY236)/AY236*100)</f>
        <v>0</v>
      </c>
      <c r="BK236" s="785">
        <f>IF(AZ236=0,0,(BA236-AZ236)/AZ236*100)</f>
        <v>0</v>
      </c>
      <c r="BL236" s="785">
        <f>IF(BA236=0,0,(BB236-BA236)/BA236*100)</f>
        <v>0</v>
      </c>
      <c r="BM236" s="785">
        <f>IF(BB236=0,0,(BC236-BB236)/BB236*100)</f>
        <v>0</v>
      </c>
      <c r="BN236" s="6292"/>
      <c r="BO236" s="6294" t="str">
        <f>IF(_xlfn.IFERROR(INDEX(Налоги!$K$26:$L$83,MATCH($F236&amp;"komm",Налоги!$K$26:$K$83,0),2),"")=0,"",_xlfn.IFERROR(INDEX(Налоги!$K$26:$L$83,MATCH($F236&amp;"komm",Налоги!$K$26:$K$83,0),2),""))</f>
        <v>П. 49 (2) Методических указаний ФСТ России от 27.12.2013 № 1746-э.</v>
      </c>
      <c r="BP236" s="6292"/>
      <c r="BQ236" s="706"/>
      <c r="BR236" s="706"/>
      <c r="BS236" s="1078" t="s">
        <v>1464</v>
      </c>
      <c r="BT236" s="1078"/>
      <c r="BU236" s="1078"/>
      <c r="BV236" s="713"/>
      <c r="BW236" s="713"/>
    </row>
    <row s="1656" customFormat="1" customHeight="1" ht="14.25">
      <c r="A237" s="1297"/>
      <c r="B237" s="986"/>
      <c r="C237" s="103"/>
      <c r="D237" s="103"/>
      <c r="E237" s="626">
        <v>15</v>
      </c>
      <c r="F237" s="50" cm="1" t="str">
        <f t="array" ref="F237:F237">OFFSET(E237,-1,1)</f>
        <v>1</v>
      </c>
      <c r="G237" s="929">
        <v>7</v>
      </c>
      <c r="H237" s="103"/>
      <c r="I237" s="103" t="s">
        <v>2307</v>
      </c>
      <c r="J237" s="103"/>
      <c r="K237" s="103" t="s">
        <v>2307</v>
      </c>
      <c r="L237" s="988"/>
      <c r="M237" s="103"/>
      <c r="N237" s="103"/>
      <c r="O237" s="103"/>
      <c r="P237" s="103"/>
      <c r="Q237" s="103"/>
      <c r="R237" s="103"/>
      <c r="S237" s="103"/>
      <c r="T237" s="468" cm="1" t="str">
        <f t="array" ref="T237:T237">T236</f>
        <v>true</v>
      </c>
      <c r="U237" s="103"/>
      <c r="V237" s="103"/>
      <c r="W237" s="103"/>
      <c r="X237" s="1559"/>
      <c r="Y237" s="1297"/>
      <c r="Z237" s="1529"/>
      <c r="AA237" s="1297"/>
      <c r="AB237" s="296" t="s">
        <v>603</v>
      </c>
      <c r="AC237" s="772" t="s">
        <v>1478</v>
      </c>
      <c r="AD237" s="296" t="s">
        <v>936</v>
      </c>
      <c r="AE237" s="1123">
        <f>_xlfn.SUMIFS(Налоги!AE$25:AE$83,Налоги!$F$25:$F$83,$F237,Налоги!$AB$25:$AB$83,$G237)</f>
        <v>0</v>
      </c>
      <c r="AF237" s="1123">
        <f>_xlfn.SUMIFS(Налоги!AF$25:AF$83,Налоги!$F$25:$F$83,$F237,Налоги!$AB$25:$AB$83,$G237)</f>
        <v>0</v>
      </c>
      <c r="AG237" s="1123">
        <f>_xlfn.SUMIFS(Налоги!AG$25:AG$83,Налоги!$F$25:$F$83,$F237,Налоги!$AB$25:$AB$83,$G237)</f>
        <v>0</v>
      </c>
      <c r="AH237" s="1123">
        <f>AG237-AF237</f>
        <v>0</v>
      </c>
      <c r="AI237" s="1123">
        <f>_xlfn.SUMIFS(Налоги!AH$25:AH$83,Налоги!$F$25:$F$83,$F237,Налоги!$AB$25:$AB$83,$G237)</f>
        <v>0</v>
      </c>
      <c r="AJ237" s="1123">
        <f>_xlfn.SUMIFS(Налоги!AI$25:AI$83,Налоги!$F$25:$F$83,$F237,Налоги!$AB$25:$AB$83,$G237)</f>
        <v>0</v>
      </c>
      <c r="AK237" s="1123">
        <f>_xlfn.SUMIFS(Налоги!AJ$25:AJ$83,Налоги!$F$25:$F$83,$F237,Налоги!$AB$25:$AB$83,$G237)</f>
        <v>0</v>
      </c>
      <c r="AL237" s="1123">
        <f>_xlfn.SUMIFS(Налоги!AK$25:AK$83,Налоги!$F$25:$F$83,$F237,Налоги!$AB$25:$AB$83,$G237)</f>
        <v>0</v>
      </c>
      <c r="AM237" s="1123">
        <f>_xlfn.SUMIFS(Налоги!AL$25:AL$83,Налоги!$F$25:$F$83,$F237,Налоги!$AB$25:$AB$83,$G237)</f>
        <v>0</v>
      </c>
      <c r="AN237" s="1123">
        <f>_xlfn.SUMIFS(Налоги!AM$25:AM$83,Налоги!$F$25:$F$83,$F237,Налоги!$AB$25:$AB$83,$G237)</f>
        <v>0</v>
      </c>
      <c r="AO237" s="1123">
        <f>_xlfn.SUMIFS(Налоги!AN$25:AN$83,Налоги!$F$25:$F$83,$F237,Налоги!$AB$25:$AB$83,$G237)</f>
        <v>0</v>
      </c>
      <c r="AP237" s="1123">
        <f>_xlfn.SUMIFS(Налоги!AO$25:AO$83,Налоги!$F$25:$F$83,$F237,Налоги!$AB$25:$AB$83,$G237)</f>
        <v>0</v>
      </c>
      <c r="AQ237" s="1123">
        <f>_xlfn.SUMIFS(Налоги!AP$25:AP$83,Налоги!$F$25:$F$83,$F237,Налоги!$AB$25:$AB$83,$G237)</f>
        <v>0</v>
      </c>
      <c r="AR237" s="1123">
        <f>_xlfn.SUMIFS(Налоги!AQ$25:AQ$83,Налоги!$F$25:$F$83,$F237,Налоги!$AB$25:$AB$83,$G237)</f>
        <v>0</v>
      </c>
      <c r="AS237" s="1123">
        <f>_xlfn.SUMIFS(Налоги!AR$25:AR$83,Налоги!$F$25:$F$83,$F237,Налоги!$AB$25:$AB$83,$G237)</f>
        <v>0</v>
      </c>
      <c r="AT237" s="1123">
        <f>_xlfn.SUMIFS(Налоги!AS$25:AS$83,Налоги!$F$25:$F$83,$F237,Налоги!$AB$25:$AB$83,$G237)</f>
        <v>0</v>
      </c>
      <c r="AU237" s="1123">
        <f>_xlfn.SUMIFS(Налоги!AT$25:AT$83,Налоги!$F$25:$F$83,$F237,Налоги!$AB$25:$AB$83,$G237)</f>
        <v>0</v>
      </c>
      <c r="AV237" s="1123">
        <f>_xlfn.SUMIFS(Налоги!AU$25:AU$83,Налоги!$F$25:$F$83,$F237,Налоги!$AB$25:$AB$83,$G237)</f>
        <v>0</v>
      </c>
      <c r="AW237" s="1123">
        <f>_xlfn.SUMIFS(Налоги!AV$25:AV$83,Налоги!$F$25:$F$83,$F237,Налоги!$AB$25:$AB$83,$G237)</f>
        <v>0</v>
      </c>
      <c r="AX237" s="1123">
        <f>_xlfn.SUMIFS(Налоги!AW$25:AW$83,Налоги!$F$25:$F$83,$F237,Налоги!$AB$25:$AB$83,$G237)</f>
        <v>0</v>
      </c>
      <c r="AY237" s="1123">
        <f>_xlfn.SUMIFS(Налоги!AX$25:AX$83,Налоги!$F$25:$F$83,$F237,Налоги!$AB$25:$AB$83,$G237)</f>
        <v>0</v>
      </c>
      <c r="AZ237" s="1123">
        <f>_xlfn.SUMIFS(Налоги!AY$25:AY$83,Налоги!$F$25:$F$83,$F237,Налоги!$AB$25:$AB$83,$G237)</f>
        <v>0</v>
      </c>
      <c r="BA237" s="1123">
        <f>_xlfn.SUMIFS(Налоги!AZ$25:AZ$83,Налоги!$F$25:$F$83,$F237,Налоги!$AB$25:$AB$83,$G237)</f>
        <v>0</v>
      </c>
      <c r="BB237" s="1123">
        <f>_xlfn.SUMIFS(Налоги!BA$25:BA$83,Налоги!$F$25:$F$83,$F237,Налоги!$AB$25:$AB$83,$G237)</f>
        <v>0</v>
      </c>
      <c r="BC237" s="1123">
        <f>_xlfn.SUMIFS(Налоги!BB$25:BB$83,Налоги!$F$25:$F$83,$F237,Налоги!$AB$25:$AB$83,$G237)</f>
        <v>0</v>
      </c>
      <c r="BD237" s="1123">
        <f>IF(AI237=0,0,(AT237-AI237)/AI237*100)</f>
        <v>0</v>
      </c>
      <c r="BE237" s="1123">
        <f>IF(AT237=0,0,(AU237-AT237)/AT237*100)</f>
        <v>0</v>
      </c>
      <c r="BF237" s="1123">
        <f>IF(AU237=0,0,(AV237-AU237)/AU237*100)</f>
        <v>0</v>
      </c>
      <c r="BG237" s="1123">
        <f>IF(AV237=0,0,(AW237-AV237)/AV237*100)</f>
        <v>0</v>
      </c>
      <c r="BH237" s="1123">
        <f>IF(AW237=0,0,(AX237-AW237)/AW237*100)</f>
        <v>0</v>
      </c>
      <c r="BI237" s="1123">
        <f>IF(AX237=0,0,(AY237-AX237)/AX237*100)</f>
        <v>0</v>
      </c>
      <c r="BJ237" s="1123">
        <f>IF(AY237=0,0,(AZ237-AY237)/AY237*100)</f>
        <v>0</v>
      </c>
      <c r="BK237" s="1123">
        <f>IF(AZ237=0,0,(BA237-AZ237)/AZ237*100)</f>
        <v>0</v>
      </c>
      <c r="BL237" s="1123">
        <f>IF(BA237=0,0,(BB237-BA237)/BA237*100)</f>
        <v>0</v>
      </c>
      <c r="BM237" s="1123">
        <f>IF(BB237=0,0,(BC237-BB237)/BB237*100)</f>
        <v>0</v>
      </c>
      <c r="BN237" s="6290"/>
      <c r="BO237" s="6294" t="str">
        <f>IF(_xlfn.IFERROR(INDEX(Налоги!$K$26:$L$83,MATCH($F237&amp;"7komm",Налоги!$K$26:$K$83,0),2),"")=0,"",_xlfn.IFERROR(INDEX(Налоги!$K$26:$L$83,MATCH($F237&amp;"7komm",Налоги!$K$26:$K$83,0),2),""))</f>
        <v>Глава 25 "НАЛОГ НА ПРИБЫЛЬ ОРГАНИЗАЦИЙ" "Налогового кодекса Российской Федерации (часть вторая)" от 05.08.2000 N 117-ФЗ.</v>
      </c>
      <c r="BP237" s="6290"/>
      <c r="BQ237" s="1297"/>
      <c r="BR237" s="1297"/>
      <c r="BS237" s="1072" t="s">
        <v>2308</v>
      </c>
      <c r="BT237" s="1072"/>
      <c r="BU237" s="1072"/>
      <c r="BV237" s="987"/>
      <c r="BW237" s="987"/>
    </row>
    <row s="1656" customFormat="1" customHeight="1" ht="14.25">
      <c r="A238" s="1297"/>
      <c r="B238" s="986"/>
      <c r="C238" s="103"/>
      <c r="D238" s="103"/>
      <c r="E238" s="626">
        <v>15</v>
      </c>
      <c r="F238" s="50" cm="1" t="str">
        <f t="array" ref="F238:F238">OFFSET(E238,-1,1)</f>
        <v>1</v>
      </c>
      <c r="G238" s="929">
        <v>6</v>
      </c>
      <c r="H238" s="103"/>
      <c r="I238" s="103" t="s">
        <v>2309</v>
      </c>
      <c r="J238" s="103"/>
      <c r="K238" s="103" t="s">
        <v>2309</v>
      </c>
      <c r="L238" s="988"/>
      <c r="M238" s="103"/>
      <c r="N238" s="103"/>
      <c r="O238" s="103"/>
      <c r="P238" s="103"/>
      <c r="Q238" s="103"/>
      <c r="R238" s="103"/>
      <c r="S238" s="103"/>
      <c r="T238" s="468" cm="1" t="str">
        <f t="array" ref="T238:T238">T237</f>
        <v>true</v>
      </c>
      <c r="U238" s="103"/>
      <c r="V238" s="103"/>
      <c r="W238" s="103"/>
      <c r="X238" s="1559"/>
      <c r="Y238" s="1297"/>
      <c r="Z238" s="1529"/>
      <c r="AA238" s="1297"/>
      <c r="AB238" s="296" t="s">
        <v>1717</v>
      </c>
      <c r="AC238" s="772" t="s">
        <v>2310</v>
      </c>
      <c r="AD238" s="296" t="s">
        <v>936</v>
      </c>
      <c r="AE238" s="1123">
        <f>_xlfn.SUMIFS(Налоги!AE$25:AE$83,Налоги!$F$25:$F$83,$F238,Налоги!$AB$25:$AB$83,$G238)</f>
        <v>7018.765</v>
      </c>
      <c r="AF238" s="1123">
        <f>_xlfn.SUMIFS(Налоги!AF$25:AF$83,Налоги!$F$25:$F$83,$F238,Налоги!$AB$25:$AB$83,$G238)</f>
        <v>6833.14</v>
      </c>
      <c r="AG238" s="1123">
        <f>_xlfn.SUMIFS(Налоги!AG$25:AG$83,Налоги!$F$25:$F$83,$F238,Налоги!$AB$25:$AB$83,$G238)</f>
        <v>6833.14</v>
      </c>
      <c r="AH238" s="1123">
        <f>AG238-AF238</f>
        <v>0</v>
      </c>
      <c r="AI238" s="1123">
        <f>_xlfn.SUMIFS(Налоги!AH$25:AH$83,Налоги!$F$25:$F$83,$F238,Налоги!$AB$25:$AB$83,$G238)</f>
        <v>5713.71</v>
      </c>
      <c r="AJ238" s="1123">
        <f>_xlfn.SUMIFS(Налоги!AI$25:AI$83,Налоги!$F$25:$F$83,$F238,Налоги!$AB$25:$AB$83,$G238)</f>
        <v>4376.43</v>
      </c>
      <c r="AK238" s="1123">
        <f>_xlfn.SUMIFS(Налоги!AJ$25:AJ$83,Налоги!$F$25:$F$83,$F238,Налоги!$AB$25:$AB$83,$G238)</f>
        <v>0</v>
      </c>
      <c r="AL238" s="1123">
        <f>_xlfn.SUMIFS(Налоги!AK$25:AK$83,Налоги!$F$25:$F$83,$F238,Налоги!$AB$25:$AB$83,$G238)</f>
        <v>0</v>
      </c>
      <c r="AM238" s="1123">
        <f>_xlfn.SUMIFS(Налоги!AL$25:AL$83,Налоги!$F$25:$F$83,$F238,Налоги!$AB$25:$AB$83,$G238)</f>
        <v>0</v>
      </c>
      <c r="AN238" s="1123">
        <f>_xlfn.SUMIFS(Налоги!AM$25:AM$83,Налоги!$F$25:$F$83,$F238,Налоги!$AB$25:$AB$83,$G238)</f>
        <v>0</v>
      </c>
      <c r="AO238" s="1123">
        <f>_xlfn.SUMIFS(Налоги!AN$25:AN$83,Налоги!$F$25:$F$83,$F238,Налоги!$AB$25:$AB$83,$G238)</f>
        <v>0</v>
      </c>
      <c r="AP238" s="1123">
        <f>_xlfn.SUMIFS(Налоги!AO$25:AO$83,Налоги!$F$25:$F$83,$F238,Налоги!$AB$25:$AB$83,$G238)</f>
        <v>0</v>
      </c>
      <c r="AQ238" s="1123">
        <f>_xlfn.SUMIFS(Налоги!AP$25:AP$83,Налоги!$F$25:$F$83,$F238,Налоги!$AB$25:$AB$83,$G238)</f>
        <v>0</v>
      </c>
      <c r="AR238" s="1123">
        <f>_xlfn.SUMIFS(Налоги!AQ$25:AQ$83,Налоги!$F$25:$F$83,$F238,Налоги!$AB$25:$AB$83,$G238)</f>
        <v>0</v>
      </c>
      <c r="AS238" s="1123">
        <f>_xlfn.SUMIFS(Налоги!AR$25:AR$83,Налоги!$F$25:$F$83,$F238,Налоги!$AB$25:$AB$83,$G238)</f>
        <v>0</v>
      </c>
      <c r="AT238" s="1123">
        <f>_xlfn.SUMIFS(Налоги!AS$25:AS$83,Налоги!$F$25:$F$83,$F238,Налоги!$AB$25:$AB$83,$G238)</f>
        <v>4376.52</v>
      </c>
      <c r="AU238" s="1123">
        <f>_xlfn.SUMIFS(Налоги!AT$25:AT$83,Налоги!$F$25:$F$83,$F238,Налоги!$AB$25:$AB$83,$G238)</f>
        <v>0</v>
      </c>
      <c r="AV238" s="1123">
        <f>_xlfn.SUMIFS(Налоги!AU$25:AU$83,Налоги!$F$25:$F$83,$F238,Налоги!$AB$25:$AB$83,$G238)</f>
        <v>0</v>
      </c>
      <c r="AW238" s="1123">
        <f>_xlfn.SUMIFS(Налоги!AV$25:AV$83,Налоги!$F$25:$F$83,$F238,Налоги!$AB$25:$AB$83,$G238)</f>
        <v>0</v>
      </c>
      <c r="AX238" s="1123">
        <f>_xlfn.SUMIFS(Налоги!AW$25:AW$83,Налоги!$F$25:$F$83,$F238,Налоги!$AB$25:$AB$83,$G238)</f>
        <v>0</v>
      </c>
      <c r="AY238" s="1123">
        <f>_xlfn.SUMIFS(Налоги!AX$25:AX$83,Налоги!$F$25:$F$83,$F238,Налоги!$AB$25:$AB$83,$G238)</f>
        <v>0</v>
      </c>
      <c r="AZ238" s="1123">
        <f>_xlfn.SUMIFS(Налоги!AY$25:AY$83,Налоги!$F$25:$F$83,$F238,Налоги!$AB$25:$AB$83,$G238)</f>
        <v>0</v>
      </c>
      <c r="BA238" s="1123">
        <f>_xlfn.SUMIFS(Налоги!AZ$25:AZ$83,Налоги!$F$25:$F$83,$F238,Налоги!$AB$25:$AB$83,$G238)</f>
        <v>0</v>
      </c>
      <c r="BB238" s="1123">
        <f>_xlfn.SUMIFS(Налоги!BA$25:BA$83,Налоги!$F$25:$F$83,$F238,Налоги!$AB$25:$AB$83,$G238)</f>
        <v>0</v>
      </c>
      <c r="BC238" s="1123">
        <f>_xlfn.SUMIFS(Налоги!BB$25:BB$83,Налоги!$F$25:$F$83,$F238,Налоги!$AB$25:$AB$83,$G238)</f>
        <v>0</v>
      </c>
      <c r="BD238" s="1123">
        <f>IF(AI238=0,0,(AT238-AI238)/AI238*100)</f>
        <v>-23.4031828706742</v>
      </c>
      <c r="BE238" s="1123">
        <f>IF(AT238=0,0,(AU238-AT238)/AT238*100)</f>
        <v>-100</v>
      </c>
      <c r="BF238" s="1123">
        <f>IF(AU238=0,0,(AV238-AU238)/AU238*100)</f>
        <v>0</v>
      </c>
      <c r="BG238" s="1123">
        <f>IF(AV238=0,0,(AW238-AV238)/AV238*100)</f>
        <v>0</v>
      </c>
      <c r="BH238" s="1123">
        <f>IF(AW238=0,0,(AX238-AW238)/AW238*100)</f>
        <v>0</v>
      </c>
      <c r="BI238" s="1123">
        <f>IF(AX238=0,0,(AY238-AX238)/AX238*100)</f>
        <v>0</v>
      </c>
      <c r="BJ238" s="1123">
        <f>IF(AY238=0,0,(AZ238-AY238)/AY238*100)</f>
        <v>0</v>
      </c>
      <c r="BK238" s="1123">
        <f>IF(AZ238=0,0,(BA238-AZ238)/AZ238*100)</f>
        <v>0</v>
      </c>
      <c r="BL238" s="1123">
        <f>IF(BA238=0,0,(BB238-BA238)/BA238*100)</f>
        <v>0</v>
      </c>
      <c r="BM238" s="1123">
        <f>IF(BB238=0,0,(BC238-BB238)/BB238*100)</f>
        <v>0</v>
      </c>
      <c r="BN238" s="6290"/>
      <c r="BO238" s="6294" t="str">
        <f>IF(_xlfn.IFERROR(INDEX(Налоги!$K$26:$L$83,MATCH($F238&amp;"6komm",Налоги!$K$26:$K$83,0),2),"")=0,"",_xlfn.IFERROR(INDEX(Налоги!$K$26:$L$83,MATCH($F238&amp;"6komm",Налоги!$K$26:$K$83,0),2),""))</f>
        <v>Глава 30 "НАЛОГ НА ИМУЩЕСТВО ОРГАНИЗАЦИЙ" Налогового кодекса РФ (Часть вторая);  Закон Кемеровской области - Кузбасса от 26.11.2003 N 60-ОЗ (ред. от 05.05.2025 N 47-ОЗ, от 30.06.2025 N 79-ОЗ, от 27.11.2025 N 144-ОЗ) ) "О налоге на имущество организаций".</v>
      </c>
      <c r="BP238" s="6290"/>
      <c r="BQ238" s="1297"/>
      <c r="BR238" s="1297"/>
      <c r="BS238" s="1072" t="s">
        <v>2311</v>
      </c>
      <c r="BT238" s="1072"/>
      <c r="BU238" s="1072"/>
      <c r="BV238" s="987"/>
      <c r="BW238" s="987"/>
    </row>
    <row s="1656" customFormat="1" customHeight="1" ht="14.25">
      <c r="A239" s="1297"/>
      <c r="B239" s="986"/>
      <c r="C239" s="103"/>
      <c r="D239" s="103"/>
      <c r="E239" s="626">
        <v>15</v>
      </c>
      <c r="F239" s="50" cm="1" t="str">
        <f t="array" ref="F239:F239">OFFSET(E239,-1,1)</f>
        <v>1</v>
      </c>
      <c r="G239" s="929">
        <v>2</v>
      </c>
      <c r="H239" s="103"/>
      <c r="I239" s="103" t="s">
        <v>2312</v>
      </c>
      <c r="J239" s="103"/>
      <c r="K239" s="103" t="s">
        <v>2312</v>
      </c>
      <c r="L239" s="988"/>
      <c r="M239" s="103"/>
      <c r="N239" s="103"/>
      <c r="O239" s="103"/>
      <c r="P239" s="103"/>
      <c r="Q239" s="103"/>
      <c r="R239" s="103"/>
      <c r="S239" s="103"/>
      <c r="T239" s="468" cm="1" t="str">
        <f t="array" ref="T239:T239">T238</f>
        <v>true</v>
      </c>
      <c r="U239" s="103"/>
      <c r="V239" s="103"/>
      <c r="W239" s="103"/>
      <c r="X239" s="1559"/>
      <c r="Y239" s="1297"/>
      <c r="Z239" s="1529"/>
      <c r="AA239" s="1297"/>
      <c r="AB239" s="296" t="s">
        <v>1722</v>
      </c>
      <c r="AC239" s="772" t="s">
        <v>2313</v>
      </c>
      <c r="AD239" s="296" t="s">
        <v>936</v>
      </c>
      <c r="AE239" s="1123">
        <f>_xlfn.SUMIFS(Налоги!AE$25:AE$83,Налоги!$F$25:$F$83,$F239,Налоги!$AB$25:$AB$83,$G239)</f>
        <v>2.38</v>
      </c>
      <c r="AF239" s="1123">
        <f>_xlfn.SUMIFS(Налоги!AF$25:AF$83,Налоги!$F$25:$F$83,$F239,Налоги!$AB$25:$AB$83,$G239)</f>
        <v>17.37</v>
      </c>
      <c r="AG239" s="1123">
        <f>_xlfn.SUMIFS(Налоги!AG$25:AG$83,Налоги!$F$25:$F$83,$F239,Налоги!$AB$25:$AB$83,$G239)</f>
        <v>17.37</v>
      </c>
      <c r="AH239" s="1123">
        <f>AG239-AF239</f>
        <v>0</v>
      </c>
      <c r="AI239" s="1123">
        <f>_xlfn.SUMIFS(Налоги!AH$25:AH$83,Налоги!$F$25:$F$83,$F239,Налоги!$AB$25:$AB$83,$G239)</f>
        <v>7.35083</v>
      </c>
      <c r="AJ239" s="1123">
        <f>_xlfn.SUMIFS(Налоги!AI$25:AI$83,Налоги!$F$25:$F$83,$F239,Налоги!$AB$25:$AB$83,$G239)</f>
        <v>17.37</v>
      </c>
      <c r="AK239" s="1123">
        <f>_xlfn.SUMIFS(Налоги!AJ$25:AJ$83,Налоги!$F$25:$F$83,$F239,Налоги!$AB$25:$AB$83,$G239)</f>
        <v>0</v>
      </c>
      <c r="AL239" s="1123">
        <f>_xlfn.SUMIFS(Налоги!AK$25:AK$83,Налоги!$F$25:$F$83,$F239,Налоги!$AB$25:$AB$83,$G239)</f>
        <v>0</v>
      </c>
      <c r="AM239" s="1123">
        <f>_xlfn.SUMIFS(Налоги!AL$25:AL$83,Налоги!$F$25:$F$83,$F239,Налоги!$AB$25:$AB$83,$G239)</f>
        <v>0</v>
      </c>
      <c r="AN239" s="1123">
        <f>_xlfn.SUMIFS(Налоги!AM$25:AM$83,Налоги!$F$25:$F$83,$F239,Налоги!$AB$25:$AB$83,$G239)</f>
        <v>0</v>
      </c>
      <c r="AO239" s="1123">
        <f>_xlfn.SUMIFS(Налоги!AN$25:AN$83,Налоги!$F$25:$F$83,$F239,Налоги!$AB$25:$AB$83,$G239)</f>
        <v>0</v>
      </c>
      <c r="AP239" s="1123">
        <f>_xlfn.SUMIFS(Налоги!AO$25:AO$83,Налоги!$F$25:$F$83,$F239,Налоги!$AB$25:$AB$83,$G239)</f>
        <v>0</v>
      </c>
      <c r="AQ239" s="1123">
        <f>_xlfn.SUMIFS(Налоги!AP$25:AP$83,Налоги!$F$25:$F$83,$F239,Налоги!$AB$25:$AB$83,$G239)</f>
        <v>0</v>
      </c>
      <c r="AR239" s="1123">
        <f>_xlfn.SUMIFS(Налоги!AQ$25:AQ$83,Налоги!$F$25:$F$83,$F239,Налоги!$AB$25:$AB$83,$G239)</f>
        <v>0</v>
      </c>
      <c r="AS239" s="1123">
        <f>_xlfn.SUMIFS(Налоги!AR$25:AR$83,Налоги!$F$25:$F$83,$F239,Налоги!$AB$25:$AB$83,$G239)</f>
        <v>0</v>
      </c>
      <c r="AT239" s="1123">
        <f>_xlfn.SUMIFS(Налоги!AS$25:AS$83,Налоги!$F$25:$F$83,$F239,Налоги!$AB$25:$AB$83,$G239)</f>
        <v>17.37</v>
      </c>
      <c r="AU239" s="1123">
        <f>_xlfn.SUMIFS(Налоги!AT$25:AT$83,Налоги!$F$25:$F$83,$F239,Налоги!$AB$25:$AB$83,$G239)</f>
        <v>0</v>
      </c>
      <c r="AV239" s="1123">
        <f>_xlfn.SUMIFS(Налоги!AU$25:AU$83,Налоги!$F$25:$F$83,$F239,Налоги!$AB$25:$AB$83,$G239)</f>
        <v>0</v>
      </c>
      <c r="AW239" s="1123">
        <f>_xlfn.SUMIFS(Налоги!AV$25:AV$83,Налоги!$F$25:$F$83,$F239,Налоги!$AB$25:$AB$83,$G239)</f>
        <v>0</v>
      </c>
      <c r="AX239" s="1123">
        <f>_xlfn.SUMIFS(Налоги!AW$25:AW$83,Налоги!$F$25:$F$83,$F239,Налоги!$AB$25:$AB$83,$G239)</f>
        <v>0</v>
      </c>
      <c r="AY239" s="1123">
        <f>_xlfn.SUMIFS(Налоги!AX$25:AX$83,Налоги!$F$25:$F$83,$F239,Налоги!$AB$25:$AB$83,$G239)</f>
        <v>0</v>
      </c>
      <c r="AZ239" s="1123">
        <f>_xlfn.SUMIFS(Налоги!AY$25:AY$83,Налоги!$F$25:$F$83,$F239,Налоги!$AB$25:$AB$83,$G239)</f>
        <v>0</v>
      </c>
      <c r="BA239" s="1123">
        <f>_xlfn.SUMIFS(Налоги!AZ$25:AZ$83,Налоги!$F$25:$F$83,$F239,Налоги!$AB$25:$AB$83,$G239)</f>
        <v>0</v>
      </c>
      <c r="BB239" s="1123">
        <f>_xlfn.SUMIFS(Налоги!BA$25:BA$83,Налоги!$F$25:$F$83,$F239,Налоги!$AB$25:$AB$83,$G239)</f>
        <v>0</v>
      </c>
      <c r="BC239" s="1123">
        <f>_xlfn.SUMIFS(Налоги!BB$25:BB$83,Налоги!$F$25:$F$83,$F239,Налоги!$AB$25:$AB$83,$G239)</f>
        <v>0</v>
      </c>
      <c r="BD239" s="1123">
        <f>IF(AI239=0,0,(AT239-AI239)/AI239*100)</f>
        <v>136.299846411902</v>
      </c>
      <c r="BE239" s="1123">
        <f>IF(AT239=0,0,(AU239-AT239)/AT239*100)</f>
        <v>-100</v>
      </c>
      <c r="BF239" s="1123">
        <f>IF(AU239=0,0,(AV239-AU239)/AU239*100)</f>
        <v>0</v>
      </c>
      <c r="BG239" s="1123">
        <f>IF(AV239=0,0,(AW239-AV239)/AV239*100)</f>
        <v>0</v>
      </c>
      <c r="BH239" s="1123">
        <f>IF(AW239=0,0,(AX239-AW239)/AW239*100)</f>
        <v>0</v>
      </c>
      <c r="BI239" s="1123">
        <f>IF(AX239=0,0,(AY239-AX239)/AX239*100)</f>
        <v>0</v>
      </c>
      <c r="BJ239" s="1123">
        <f>IF(AY239=0,0,(AZ239-AY239)/AY239*100)</f>
        <v>0</v>
      </c>
      <c r="BK239" s="1123">
        <f>IF(AZ239=0,0,(BA239-AZ239)/AZ239*100)</f>
        <v>0</v>
      </c>
      <c r="BL239" s="1123">
        <f>IF(BA239=0,0,(BB239-BA239)/BA239*100)</f>
        <v>0</v>
      </c>
      <c r="BM239" s="1123">
        <f>IF(BB239=0,0,(BC239-BB239)/BB239*100)</f>
        <v>0</v>
      </c>
      <c r="BN239" s="6290"/>
      <c r="BO239" s="6294" t="str">
        <f>IF(_xlfn.IFERROR(INDEX(Налоги!$K$26:$L$83,MATCH($F239&amp;"2komm",Налоги!$K$26:$K$83,0),2),"")=0,"",_xlfn.IFERROR(INDEX(Налоги!$K$26:$L$83,MATCH($F239&amp;"2komm",Налоги!$K$26:$K$83,0),2),""))</f>
        <v>1) Глава 31 "ЗЕМЕЛЬНЫЙ НАЛОГ" "Налогового кодекса Российской Федерации (часть вторая)" от 05.08.2000 N 117-ФЗ. 2) Постановление Кемеровского городского Совета народных депутатов от 30.09.2005 N 263 (ред. от 27.06.2025) "Об установлении и введении в действие на территории города Кемерово земельного налога"  (для  затрат на сч. 26). 3)  Приказ ФНС России от 04.09.2019 N ММВ-7-21/440@.</v>
      </c>
      <c r="BP239" s="6290"/>
      <c r="BQ239" s="1297"/>
      <c r="BR239" s="1297"/>
      <c r="BS239" s="1072" t="s">
        <v>2314</v>
      </c>
      <c r="BT239" s="1072"/>
      <c r="BU239" s="1072"/>
      <c r="BV239" s="987"/>
      <c r="BW239" s="987"/>
    </row>
    <row s="1656" customFormat="1" customHeight="1" ht="14.25">
      <c r="A240" s="1297"/>
      <c r="B240" s="986"/>
      <c r="C240" s="103"/>
      <c r="D240" s="103"/>
      <c r="E240" s="626">
        <v>15</v>
      </c>
      <c r="F240" s="50" cm="1" t="str">
        <f t="array" ref="F240:F240">OFFSET(E240,-1,1)</f>
        <v>1</v>
      </c>
      <c r="G240" s="929">
        <v>4</v>
      </c>
      <c r="H240" s="103"/>
      <c r="I240" s="103" t="s">
        <v>2315</v>
      </c>
      <c r="J240" s="103"/>
      <c r="K240" s="103" t="s">
        <v>2315</v>
      </c>
      <c r="L240" s="988"/>
      <c r="M240" s="103"/>
      <c r="N240" s="103"/>
      <c r="O240" s="103"/>
      <c r="P240" s="103"/>
      <c r="Q240" s="103"/>
      <c r="R240" s="103"/>
      <c r="S240" s="103"/>
      <c r="T240" s="468" cm="1" t="str">
        <f t="array" ref="T240:T240">T239</f>
        <v>true</v>
      </c>
      <c r="U240" s="103"/>
      <c r="V240" s="103"/>
      <c r="W240" s="103"/>
      <c r="X240" s="1559"/>
      <c r="Y240" s="1297"/>
      <c r="Z240" s="1529"/>
      <c r="AA240" s="1297"/>
      <c r="AB240" s="296" t="s">
        <v>2316</v>
      </c>
      <c r="AC240" s="772" t="s">
        <v>2317</v>
      </c>
      <c r="AD240" s="296" t="s">
        <v>936</v>
      </c>
      <c r="AE240" s="1123">
        <f>_xlfn.SUMIFS(Налоги!AE$25:AE$83,Налоги!$F$25:$F$83,$F240,Налоги!$AB$25:$AB$83,$G240)</f>
        <v>6.13544</v>
      </c>
      <c r="AF240" s="1123">
        <f>_xlfn.SUMIFS(Налоги!AF$25:AF$83,Налоги!$F$25:$F$83,$F240,Налоги!$AB$25:$AB$83,$G240)</f>
        <v>4.978</v>
      </c>
      <c r="AG240" s="1123">
        <f>_xlfn.SUMIFS(Налоги!AG$25:AG$83,Налоги!$F$25:$F$83,$F240,Налоги!$AB$25:$AB$83,$G240)</f>
        <v>4.978</v>
      </c>
      <c r="AH240" s="1123">
        <f>AG240-AF240</f>
        <v>0</v>
      </c>
      <c r="AI240" s="1123">
        <f>_xlfn.SUMIFS(Налоги!AH$25:AH$83,Налоги!$F$25:$F$83,$F240,Налоги!$AB$25:$AB$83,$G240)</f>
        <v>5.832466</v>
      </c>
      <c r="AJ240" s="1123">
        <f>_xlfn.SUMIFS(Налоги!AI$25:AI$83,Налоги!$F$25:$F$83,$F240,Налоги!$AB$25:$AB$83,$G240)</f>
        <v>0</v>
      </c>
      <c r="AK240" s="1123">
        <f>_xlfn.SUMIFS(Налоги!AJ$25:AJ$83,Налоги!$F$25:$F$83,$F240,Налоги!$AB$25:$AB$83,$G240)</f>
        <v>0</v>
      </c>
      <c r="AL240" s="1123">
        <f>_xlfn.SUMIFS(Налоги!AK$25:AK$83,Налоги!$F$25:$F$83,$F240,Налоги!$AB$25:$AB$83,$G240)</f>
        <v>0</v>
      </c>
      <c r="AM240" s="1123">
        <f>_xlfn.SUMIFS(Налоги!AL$25:AL$83,Налоги!$F$25:$F$83,$F240,Налоги!$AB$25:$AB$83,$G240)</f>
        <v>0</v>
      </c>
      <c r="AN240" s="1123">
        <f>_xlfn.SUMIFS(Налоги!AM$25:AM$83,Налоги!$F$25:$F$83,$F240,Налоги!$AB$25:$AB$83,$G240)</f>
        <v>0</v>
      </c>
      <c r="AO240" s="1123">
        <f>_xlfn.SUMIFS(Налоги!AN$25:AN$83,Налоги!$F$25:$F$83,$F240,Налоги!$AB$25:$AB$83,$G240)</f>
        <v>0</v>
      </c>
      <c r="AP240" s="1123">
        <f>_xlfn.SUMIFS(Налоги!AO$25:AO$83,Налоги!$F$25:$F$83,$F240,Налоги!$AB$25:$AB$83,$G240)</f>
        <v>0</v>
      </c>
      <c r="AQ240" s="1123">
        <f>_xlfn.SUMIFS(Налоги!AP$25:AP$83,Налоги!$F$25:$F$83,$F240,Налоги!$AB$25:$AB$83,$G240)</f>
        <v>0</v>
      </c>
      <c r="AR240" s="1123">
        <f>_xlfn.SUMIFS(Налоги!AQ$25:AQ$83,Налоги!$F$25:$F$83,$F240,Налоги!$AB$25:$AB$83,$G240)</f>
        <v>0</v>
      </c>
      <c r="AS240" s="1123">
        <f>_xlfn.SUMIFS(Налоги!AR$25:AR$83,Налоги!$F$25:$F$83,$F240,Налоги!$AB$25:$AB$83,$G240)</f>
        <v>0</v>
      </c>
      <c r="AT240" s="1123">
        <f>_xlfn.SUMIFS(Налоги!AS$25:AS$83,Налоги!$F$25:$F$83,$F240,Налоги!$AB$25:$AB$83,$G240)</f>
        <v>6.03878325</v>
      </c>
      <c r="AU240" s="1123">
        <f>_xlfn.SUMIFS(Налоги!AT$25:AT$83,Налоги!$F$25:$F$83,$F240,Налоги!$AB$25:$AB$83,$G240)</f>
        <v>0</v>
      </c>
      <c r="AV240" s="1123">
        <f>_xlfn.SUMIFS(Налоги!AU$25:AU$83,Налоги!$F$25:$F$83,$F240,Налоги!$AB$25:$AB$83,$G240)</f>
        <v>0</v>
      </c>
      <c r="AW240" s="1123">
        <f>_xlfn.SUMIFS(Налоги!AV$25:AV$83,Налоги!$F$25:$F$83,$F240,Налоги!$AB$25:$AB$83,$G240)</f>
        <v>0</v>
      </c>
      <c r="AX240" s="1123">
        <f>_xlfn.SUMIFS(Налоги!AW$25:AW$83,Налоги!$F$25:$F$83,$F240,Налоги!$AB$25:$AB$83,$G240)</f>
        <v>0</v>
      </c>
      <c r="AY240" s="1123">
        <f>_xlfn.SUMIFS(Налоги!AX$25:AX$83,Налоги!$F$25:$F$83,$F240,Налоги!$AB$25:$AB$83,$G240)</f>
        <v>0</v>
      </c>
      <c r="AZ240" s="1123">
        <f>_xlfn.SUMIFS(Налоги!AY$25:AY$83,Налоги!$F$25:$F$83,$F240,Налоги!$AB$25:$AB$83,$G240)</f>
        <v>0</v>
      </c>
      <c r="BA240" s="1123">
        <f>_xlfn.SUMIFS(Налоги!AZ$25:AZ$83,Налоги!$F$25:$F$83,$F240,Налоги!$AB$25:$AB$83,$G240)</f>
        <v>0</v>
      </c>
      <c r="BB240" s="1123">
        <f>_xlfn.SUMIFS(Налоги!BA$25:BA$83,Налоги!$F$25:$F$83,$F240,Налоги!$AB$25:$AB$83,$G240)</f>
        <v>0</v>
      </c>
      <c r="BC240" s="1123">
        <f>_xlfn.SUMIFS(Налоги!BB$25:BB$83,Налоги!$F$25:$F$83,$F240,Налоги!$AB$25:$AB$83,$G240)</f>
        <v>0</v>
      </c>
      <c r="BD240" s="1123">
        <f>IF(AI240=0,0,(AT240-AI240)/AI240*100)</f>
        <v>3.53739310267732</v>
      </c>
      <c r="BE240" s="1123">
        <f>IF(AT240=0,0,(AU240-AT240)/AT240*100)</f>
        <v>-100</v>
      </c>
      <c r="BF240" s="1123">
        <f>IF(AU240=0,0,(AV240-AU240)/AU240*100)</f>
        <v>0</v>
      </c>
      <c r="BG240" s="1123">
        <f>IF(AV240=0,0,(AW240-AV240)/AV240*100)</f>
        <v>0</v>
      </c>
      <c r="BH240" s="1123">
        <f>IF(AW240=0,0,(AX240-AW240)/AW240*100)</f>
        <v>0</v>
      </c>
      <c r="BI240" s="1123">
        <f>IF(AX240=0,0,(AY240-AX240)/AX240*100)</f>
        <v>0</v>
      </c>
      <c r="BJ240" s="1123">
        <f>IF(AY240=0,0,(AZ240-AY240)/AY240*100)</f>
        <v>0</v>
      </c>
      <c r="BK240" s="1123">
        <f>IF(AZ240=0,0,(BA240-AZ240)/AZ240*100)</f>
        <v>0</v>
      </c>
      <c r="BL240" s="1123">
        <f>IF(BA240=0,0,(BB240-BA240)/BA240*100)</f>
        <v>0</v>
      </c>
      <c r="BM240" s="1123">
        <f>IF(BB240=0,0,(BC240-BB240)/BB240*100)</f>
        <v>0</v>
      </c>
      <c r="BN240" s="6290"/>
      <c r="BO240" s="6294" t="str">
        <f>IF(_xlfn.IFERROR(INDEX(Налоги!$K$26:$L$83,MATCH($F240&amp;"4komm",Налоги!$K$26:$K$83,0),2),"")=0,"",_xlfn.IFERROR(INDEX(Налоги!$K$26:$L$83,MATCH($F240&amp;"4komm",Налоги!$K$26:$K$83,0),2),""))</f>
        <v>Глава 25.2. "ВОДНЫЙ НАЛОГ" "Налогового кодекса Российской Федерации (часть вторая)" от 05.08.2000 N 117-ФЗ. (ред. от 28.11.2025 N 425-ФЗ)</v>
      </c>
      <c r="BP240" s="6290"/>
      <c r="BQ240" s="1297"/>
      <c r="BR240" s="1297"/>
      <c r="BS240" s="1072" t="s">
        <v>2318</v>
      </c>
      <c r="BT240" s="1072"/>
      <c r="BU240" s="1072"/>
      <c r="BV240" s="987"/>
      <c r="BW240" s="987"/>
    </row>
    <row s="1656" customFormat="1" customHeight="1" ht="14.25">
      <c r="A241" s="1297"/>
      <c r="B241" s="986"/>
      <c r="C241" s="103"/>
      <c r="D241" s="103"/>
      <c r="E241" s="626">
        <v>15</v>
      </c>
      <c r="F241" s="50" cm="1" t="str">
        <f t="array" ref="F241:F241">OFFSET(E241,-1,1)</f>
        <v>1</v>
      </c>
      <c r="G241" s="929">
        <v>5</v>
      </c>
      <c r="H241" s="103"/>
      <c r="I241" s="103" t="s">
        <v>2319</v>
      </c>
      <c r="J241" s="103"/>
      <c r="K241" s="103" t="s">
        <v>2319</v>
      </c>
      <c r="L241" s="988"/>
      <c r="M241" s="103"/>
      <c r="N241" s="103"/>
      <c r="O241" s="103"/>
      <c r="P241" s="103"/>
      <c r="Q241" s="103"/>
      <c r="R241" s="103"/>
      <c r="S241" s="103"/>
      <c r="T241" s="468" cm="1" t="str">
        <f t="array" ref="T241:T241">T240</f>
        <v>true</v>
      </c>
      <c r="U241" s="103"/>
      <c r="V241" s="103"/>
      <c r="W241" s="103"/>
      <c r="X241" s="1559"/>
      <c r="Y241" s="1297"/>
      <c r="Z241" s="1529"/>
      <c r="AA241" s="1297"/>
      <c r="AB241" s="296" t="s">
        <v>2320</v>
      </c>
      <c r="AC241" s="772" t="s">
        <v>2321</v>
      </c>
      <c r="AD241" s="296" t="s">
        <v>936</v>
      </c>
      <c r="AE241" s="1123">
        <f>_xlfn.SUMIFS(Налоги!AE$25:AE$83,Налоги!$F$25:$F$83,$F241,Налоги!$AB$25:$AB$83,$G241)</f>
        <v>22087.9730315</v>
      </c>
      <c r="AF241" s="1123">
        <f>_xlfn.SUMIFS(Налоги!AF$25:AF$83,Налоги!$F$25:$F$83,$F241,Налоги!$AB$25:$AB$83,$G241)</f>
        <v>18944.25084</v>
      </c>
      <c r="AG241" s="1123">
        <f>_xlfn.SUMIFS(Налоги!AG$25:AG$83,Налоги!$F$25:$F$83,$F241,Налоги!$AB$25:$AB$83,$G241)</f>
        <v>18944.25084</v>
      </c>
      <c r="AH241" s="1123">
        <f>AG241-AF241</f>
        <v>0</v>
      </c>
      <c r="AI241" s="1123">
        <f>_xlfn.SUMIFS(Налоги!AH$25:AH$83,Налоги!$F$25:$F$83,$F241,Налоги!$AB$25:$AB$83,$G241)</f>
        <v>23813.3149848</v>
      </c>
      <c r="AJ241" s="1123">
        <f>_xlfn.SUMIFS(Налоги!AI$25:AI$83,Налоги!$F$25:$F$83,$F241,Налоги!$AB$25:$AB$83,$G241)</f>
        <v>26335.99</v>
      </c>
      <c r="AK241" s="1123">
        <f>_xlfn.SUMIFS(Налоги!AJ$25:AJ$83,Налоги!$F$25:$F$83,$F241,Налоги!$AB$25:$AB$83,$G241)</f>
        <v>0</v>
      </c>
      <c r="AL241" s="1123">
        <f>_xlfn.SUMIFS(Налоги!AK$25:AK$83,Налоги!$F$25:$F$83,$F241,Налоги!$AB$25:$AB$83,$G241)</f>
        <v>0</v>
      </c>
      <c r="AM241" s="1123">
        <f>_xlfn.SUMIFS(Налоги!AL$25:AL$83,Налоги!$F$25:$F$83,$F241,Налоги!$AB$25:$AB$83,$G241)</f>
        <v>0</v>
      </c>
      <c r="AN241" s="1123">
        <f>_xlfn.SUMIFS(Налоги!AM$25:AM$83,Налоги!$F$25:$F$83,$F241,Налоги!$AB$25:$AB$83,$G241)</f>
        <v>0</v>
      </c>
      <c r="AO241" s="1123">
        <f>_xlfn.SUMIFS(Налоги!AN$25:AN$83,Налоги!$F$25:$F$83,$F241,Налоги!$AB$25:$AB$83,$G241)</f>
        <v>0</v>
      </c>
      <c r="AP241" s="1123">
        <f>_xlfn.SUMIFS(Налоги!AO$25:AO$83,Налоги!$F$25:$F$83,$F241,Налоги!$AB$25:$AB$83,$G241)</f>
        <v>0</v>
      </c>
      <c r="AQ241" s="1123">
        <f>_xlfn.SUMIFS(Налоги!AP$25:AP$83,Налоги!$F$25:$F$83,$F241,Налоги!$AB$25:$AB$83,$G241)</f>
        <v>0</v>
      </c>
      <c r="AR241" s="1123">
        <f>_xlfn.SUMIFS(Налоги!AQ$25:AQ$83,Налоги!$F$25:$F$83,$F241,Налоги!$AB$25:$AB$83,$G241)</f>
        <v>0</v>
      </c>
      <c r="AS241" s="1123">
        <f>_xlfn.SUMIFS(Налоги!AR$25:AR$83,Налоги!$F$25:$F$83,$F241,Налоги!$AB$25:$AB$83,$G241)</f>
        <v>0</v>
      </c>
      <c r="AT241" s="1123">
        <f>_xlfn.SUMIFS(Налоги!AS$25:AS$83,Налоги!$F$25:$F$83,$F241,Налоги!$AB$25:$AB$83,$G241)</f>
        <v>27966.38121675</v>
      </c>
      <c r="AU241" s="1123">
        <f>_xlfn.SUMIFS(Налоги!AT$25:AT$83,Налоги!$F$25:$F$83,$F241,Налоги!$AB$25:$AB$83,$G241)</f>
        <v>0</v>
      </c>
      <c r="AV241" s="1123">
        <f>_xlfn.SUMIFS(Налоги!AU$25:AU$83,Налоги!$F$25:$F$83,$F241,Налоги!$AB$25:$AB$83,$G241)</f>
        <v>0</v>
      </c>
      <c r="AW241" s="1123">
        <f>_xlfn.SUMIFS(Налоги!AV$25:AV$83,Налоги!$F$25:$F$83,$F241,Налоги!$AB$25:$AB$83,$G241)</f>
        <v>0</v>
      </c>
      <c r="AX241" s="1123">
        <f>_xlfn.SUMIFS(Налоги!AW$25:AW$83,Налоги!$F$25:$F$83,$F241,Налоги!$AB$25:$AB$83,$G241)</f>
        <v>0</v>
      </c>
      <c r="AY241" s="1123">
        <f>_xlfn.SUMIFS(Налоги!AX$25:AX$83,Налоги!$F$25:$F$83,$F241,Налоги!$AB$25:$AB$83,$G241)</f>
        <v>0</v>
      </c>
      <c r="AZ241" s="1123">
        <f>_xlfn.SUMIFS(Налоги!AY$25:AY$83,Налоги!$F$25:$F$83,$F241,Налоги!$AB$25:$AB$83,$G241)</f>
        <v>0</v>
      </c>
      <c r="BA241" s="1123">
        <f>_xlfn.SUMIFS(Налоги!AZ$25:AZ$83,Налоги!$F$25:$F$83,$F241,Налоги!$AB$25:$AB$83,$G241)</f>
        <v>0</v>
      </c>
      <c r="BB241" s="1123">
        <f>_xlfn.SUMIFS(Налоги!BA$25:BA$83,Налоги!$F$25:$F$83,$F241,Налоги!$AB$25:$AB$83,$G241)</f>
        <v>0</v>
      </c>
      <c r="BC241" s="1123">
        <f>_xlfn.SUMIFS(Налоги!BB$25:BB$83,Налоги!$F$25:$F$83,$F241,Налоги!$AB$25:$AB$83,$G241)</f>
        <v>0</v>
      </c>
      <c r="BD241" s="1123">
        <f>IF(AI241=0,0,(AT241-AI241)/AI241*100)</f>
        <v>17.44010119801</v>
      </c>
      <c r="BE241" s="1123">
        <f>IF(AT241=0,0,(AU241-AT241)/AT241*100)</f>
        <v>-100</v>
      </c>
      <c r="BF241" s="1123">
        <f>IF(AU241=0,0,(AV241-AU241)/AU241*100)</f>
        <v>0</v>
      </c>
      <c r="BG241" s="1123">
        <f>IF(AV241=0,0,(AW241-AV241)/AV241*100)</f>
        <v>0</v>
      </c>
      <c r="BH241" s="1123">
        <f>IF(AW241=0,0,(AX241-AW241)/AW241*100)</f>
        <v>0</v>
      </c>
      <c r="BI241" s="1123">
        <f>IF(AX241=0,0,(AY241-AX241)/AX241*100)</f>
        <v>0</v>
      </c>
      <c r="BJ241" s="1123">
        <f>IF(AY241=0,0,(AZ241-AY241)/AY241*100)</f>
        <v>0</v>
      </c>
      <c r="BK241" s="1123">
        <f>IF(AZ241=0,0,(BA241-AZ241)/AZ241*100)</f>
        <v>0</v>
      </c>
      <c r="BL241" s="1123">
        <f>IF(BA241=0,0,(BB241-BA241)/BA241*100)</f>
        <v>0</v>
      </c>
      <c r="BM241" s="1123">
        <f>IF(BB241=0,0,(BC241-BB241)/BB241*100)</f>
        <v>0</v>
      </c>
      <c r="BN241" s="6290"/>
      <c r="BO241" s="6294" t="str">
        <f>IF(_xlfn.IFERROR(INDEX(Налоги!$K$26:$L$83,MATCH($F241&amp;"5komm",Налоги!$K$26:$K$83,0),2),"")=0,"",_xlfn.IFERROR(INDEX(Налоги!$K$26:$L$83,MATCH($F241&amp;"5komm",Налоги!$K$26:$K$83,0),2),""))</f>
        <v>1) Постановление Правительства РФ от 30.12.2006 N 876 (ред. от 29.12.2017) "О ставках платы за пользование водными объектами, находящимися в федеральной собственности"; 2) Постановление Правительства РФ от 26.12.2014 N 1509 (ред. от 21.12.2024) "О ставках платы за пользование водными объектами, находящимися в федеральной собственности, и внесении изменений в раздел I ставок платы за пользование водными объектами, находящимися в федеральной собственности".</v>
      </c>
      <c r="BP241" s="6290"/>
      <c r="BQ241" s="1297"/>
      <c r="BR241" s="1297"/>
      <c r="BS241" s="1072" t="s">
        <v>2322</v>
      </c>
      <c r="BT241" s="1072"/>
      <c r="BU241" s="1072"/>
      <c r="BV241" s="987"/>
      <c r="BW241" s="987"/>
    </row>
    <row s="1656" customFormat="1" customHeight="1" ht="14.25">
      <c r="A242" s="1297"/>
      <c r="B242" s="986"/>
      <c r="C242" s="103"/>
      <c r="D242" s="103"/>
      <c r="E242" s="626">
        <v>15</v>
      </c>
      <c r="F242" s="50" cm="1" t="str">
        <f t="array" ref="F242:F242">OFFSET(E242,-1,1)</f>
        <v>1</v>
      </c>
      <c r="G242" s="929">
        <v>1</v>
      </c>
      <c r="H242" s="103"/>
      <c r="I242" s="103" t="s">
        <v>2323</v>
      </c>
      <c r="J242" s="103"/>
      <c r="K242" s="103" t="s">
        <v>2323</v>
      </c>
      <c r="L242" s="988"/>
      <c r="M242" s="103"/>
      <c r="N242" s="103"/>
      <c r="O242" s="103"/>
      <c r="P242" s="103"/>
      <c r="Q242" s="103"/>
      <c r="R242" s="103"/>
      <c r="S242" s="103"/>
      <c r="T242" s="468" cm="1" t="str">
        <f t="array" ref="T242:T242">T241</f>
        <v>true</v>
      </c>
      <c r="U242" s="103"/>
      <c r="V242" s="103"/>
      <c r="W242" s="103"/>
      <c r="X242" s="1559"/>
      <c r="Y242" s="1297"/>
      <c r="Z242" s="1529"/>
      <c r="AA242" s="1297"/>
      <c r="AB242" s="296" t="s">
        <v>2324</v>
      </c>
      <c r="AC242" s="772" t="s">
        <v>2325</v>
      </c>
      <c r="AD242" s="296" t="s">
        <v>936</v>
      </c>
      <c r="AE242" s="1123">
        <f>_xlfn.SUMIFS(Налоги!AE$25:AE$83,Налоги!$F$25:$F$83,$F242,Налоги!$AB$25:$AB$83,$G242)</f>
        <v>3.05</v>
      </c>
      <c r="AF242" s="1123">
        <f>_xlfn.SUMIFS(Налоги!AF$25:AF$83,Налоги!$F$25:$F$83,$F242,Налоги!$AB$25:$AB$83,$G242)</f>
        <v>173.95</v>
      </c>
      <c r="AG242" s="1123">
        <f>_xlfn.SUMIFS(Налоги!AG$25:AG$83,Налоги!$F$25:$F$83,$F242,Налоги!$AB$25:$AB$83,$G242)</f>
        <v>173.95</v>
      </c>
      <c r="AH242" s="1123">
        <f>AG242-AF242</f>
        <v>0</v>
      </c>
      <c r="AI242" s="1123">
        <f>_xlfn.SUMIFS(Налоги!AH$25:AH$83,Налоги!$F$25:$F$83,$F242,Налоги!$AB$25:$AB$83,$G242)</f>
        <v>20.44692</v>
      </c>
      <c r="AJ242" s="1123">
        <f>_xlfn.SUMIFS(Налоги!AI$25:AI$83,Налоги!$F$25:$F$83,$F242,Налоги!$AB$25:$AB$83,$G242)</f>
        <v>173.95</v>
      </c>
      <c r="AK242" s="1123">
        <f>_xlfn.SUMIFS(Налоги!AJ$25:AJ$83,Налоги!$F$25:$F$83,$F242,Налоги!$AB$25:$AB$83,$G242)</f>
        <v>0</v>
      </c>
      <c r="AL242" s="1123">
        <f>_xlfn.SUMIFS(Налоги!AK$25:AK$83,Налоги!$F$25:$F$83,$F242,Налоги!$AB$25:$AB$83,$G242)</f>
        <v>0</v>
      </c>
      <c r="AM242" s="1123">
        <f>_xlfn.SUMIFS(Налоги!AL$25:AL$83,Налоги!$F$25:$F$83,$F242,Налоги!$AB$25:$AB$83,$G242)</f>
        <v>0</v>
      </c>
      <c r="AN242" s="1123">
        <f>_xlfn.SUMIFS(Налоги!AM$25:AM$83,Налоги!$F$25:$F$83,$F242,Налоги!$AB$25:$AB$83,$G242)</f>
        <v>0</v>
      </c>
      <c r="AO242" s="1123">
        <f>_xlfn.SUMIFS(Налоги!AN$25:AN$83,Налоги!$F$25:$F$83,$F242,Налоги!$AB$25:$AB$83,$G242)</f>
        <v>0</v>
      </c>
      <c r="AP242" s="1123">
        <f>_xlfn.SUMIFS(Налоги!AO$25:AO$83,Налоги!$F$25:$F$83,$F242,Налоги!$AB$25:$AB$83,$G242)</f>
        <v>0</v>
      </c>
      <c r="AQ242" s="1123">
        <f>_xlfn.SUMIFS(Налоги!AP$25:AP$83,Налоги!$F$25:$F$83,$F242,Налоги!$AB$25:$AB$83,$G242)</f>
        <v>0</v>
      </c>
      <c r="AR242" s="1123">
        <f>_xlfn.SUMIFS(Налоги!AQ$25:AQ$83,Налоги!$F$25:$F$83,$F242,Налоги!$AB$25:$AB$83,$G242)</f>
        <v>0</v>
      </c>
      <c r="AS242" s="1123">
        <f>_xlfn.SUMIFS(Налоги!AR$25:AR$83,Налоги!$F$25:$F$83,$F242,Налоги!$AB$25:$AB$83,$G242)</f>
        <v>0</v>
      </c>
      <c r="AT242" s="1123">
        <f>_xlfn.SUMIFS(Налоги!AS$25:AS$83,Налоги!$F$25:$F$83,$F242,Налоги!$AB$25:$AB$83,$G242)</f>
        <v>173.95</v>
      </c>
      <c r="AU242" s="1123">
        <f>_xlfn.SUMIFS(Налоги!AT$25:AT$83,Налоги!$F$25:$F$83,$F242,Налоги!$AB$25:$AB$83,$G242)</f>
        <v>0</v>
      </c>
      <c r="AV242" s="1123">
        <f>_xlfn.SUMIFS(Налоги!AU$25:AU$83,Налоги!$F$25:$F$83,$F242,Налоги!$AB$25:$AB$83,$G242)</f>
        <v>0</v>
      </c>
      <c r="AW242" s="1123">
        <f>_xlfn.SUMIFS(Налоги!AV$25:AV$83,Налоги!$F$25:$F$83,$F242,Налоги!$AB$25:$AB$83,$G242)</f>
        <v>0</v>
      </c>
      <c r="AX242" s="1123">
        <f>_xlfn.SUMIFS(Налоги!AW$25:AW$83,Налоги!$F$25:$F$83,$F242,Налоги!$AB$25:$AB$83,$G242)</f>
        <v>0</v>
      </c>
      <c r="AY242" s="1123">
        <f>_xlfn.SUMIFS(Налоги!AX$25:AX$83,Налоги!$F$25:$F$83,$F242,Налоги!$AB$25:$AB$83,$G242)</f>
        <v>0</v>
      </c>
      <c r="AZ242" s="1123">
        <f>_xlfn.SUMIFS(Налоги!AY$25:AY$83,Налоги!$F$25:$F$83,$F242,Налоги!$AB$25:$AB$83,$G242)</f>
        <v>0</v>
      </c>
      <c r="BA242" s="1123">
        <f>_xlfn.SUMIFS(Налоги!AZ$25:AZ$83,Налоги!$F$25:$F$83,$F242,Налоги!$AB$25:$AB$83,$G242)</f>
        <v>0</v>
      </c>
      <c r="BB242" s="1123">
        <f>_xlfn.SUMIFS(Налоги!BA$25:BA$83,Налоги!$F$25:$F$83,$F242,Налоги!$AB$25:$AB$83,$G242)</f>
        <v>0</v>
      </c>
      <c r="BC242" s="1123">
        <f>_xlfn.SUMIFS(Налоги!BB$25:BB$83,Налоги!$F$25:$F$83,$F242,Налоги!$AB$25:$AB$83,$G242)</f>
        <v>0</v>
      </c>
      <c r="BD242" s="1123">
        <f>IF(AI242=0,0,(AT242-AI242)/AI242*100)</f>
        <v>750.739377862289</v>
      </c>
      <c r="BE242" s="1123">
        <f>IF(AT242=0,0,(AU242-AT242)/AT242*100)</f>
        <v>-100</v>
      </c>
      <c r="BF242" s="1123">
        <f>IF(AU242=0,0,(AV242-AU242)/AU242*100)</f>
        <v>0</v>
      </c>
      <c r="BG242" s="1123">
        <f>IF(AV242=0,0,(AW242-AV242)/AV242*100)</f>
        <v>0</v>
      </c>
      <c r="BH242" s="1123">
        <f>IF(AW242=0,0,(AX242-AW242)/AW242*100)</f>
        <v>0</v>
      </c>
      <c r="BI242" s="1123">
        <f>IF(AX242=0,0,(AY242-AX242)/AX242*100)</f>
        <v>0</v>
      </c>
      <c r="BJ242" s="1123">
        <f>IF(AY242=0,0,(AZ242-AY242)/AY242*100)</f>
        <v>0</v>
      </c>
      <c r="BK242" s="1123">
        <f>IF(AZ242=0,0,(BA242-AZ242)/AZ242*100)</f>
        <v>0</v>
      </c>
      <c r="BL242" s="1123">
        <f>IF(BA242=0,0,(BB242-BA242)/BA242*100)</f>
        <v>0</v>
      </c>
      <c r="BM242" s="1123">
        <f>IF(BB242=0,0,(BC242-BB242)/BB242*100)</f>
        <v>0</v>
      </c>
      <c r="BN242" s="6290"/>
      <c r="BO242" s="6294" t="str">
        <f>IF(_xlfn.IFERROR(INDEX(Налоги!$K$26:$L$83,MATCH($F242&amp;"1komm",Налоги!$K$26:$K$83,0),2),"")=0,"",_xlfn.IFERROR(INDEX(Налоги!$K$26:$L$83,MATCH($F242&amp;"1komm",Налоги!$K$26:$K$83,0),2),""))</f>
        <v>Глава 28 "ТРАНСПОРТНЫЙ НАЛОГ" "Налогового кодекса Российской Федерации (часть вторая)" от 05.08.2000 N 117-ФЗ. 2) Закон Кемеровской области от 28.11.2002 N 95-ОЗ (ред. от 27.11.2025) "О транспортном налоге". 3) Приказ ФНС России от 04.09.2019 N ММВ-7-21/440@.</v>
      </c>
      <c r="BP242" s="6290"/>
      <c r="BQ242" s="1297"/>
      <c r="BR242" s="1297"/>
      <c r="BS242" s="1072" t="s">
        <v>2326</v>
      </c>
      <c r="BT242" s="1072"/>
      <c r="BU242" s="1072"/>
      <c r="BV242" s="987"/>
      <c r="BW242" s="987"/>
    </row>
    <row s="1656" customFormat="1" customHeight="1" ht="14.25">
      <c r="A243" s="1297"/>
      <c r="B243" s="986"/>
      <c r="C243" s="103"/>
      <c r="D243" s="103"/>
      <c r="E243" s="626">
        <v>15</v>
      </c>
      <c r="F243" s="50" cm="1" t="str">
        <f t="array" ref="F243:F243">OFFSET(E243,-1,1)</f>
        <v>1</v>
      </c>
      <c r="G243" s="929">
        <v>3</v>
      </c>
      <c r="H243" s="103"/>
      <c r="I243" s="103" t="s">
        <v>2327</v>
      </c>
      <c r="J243" s="103"/>
      <c r="K243" s="103" t="s">
        <v>2327</v>
      </c>
      <c r="L243" s="988"/>
      <c r="M243" s="103"/>
      <c r="N243" s="103"/>
      <c r="O243" s="103"/>
      <c r="P243" s="103"/>
      <c r="Q243" s="103"/>
      <c r="R243" s="103"/>
      <c r="S243" s="103"/>
      <c r="T243" s="468" cm="1" t="str">
        <f t="array" ref="T243:T243">T242</f>
        <v>true</v>
      </c>
      <c r="U243" s="103"/>
      <c r="V243" s="103"/>
      <c r="W243" s="103"/>
      <c r="X243" s="1559"/>
      <c r="Y243" s="1297"/>
      <c r="Z243" s="1529"/>
      <c r="AA243" s="1297"/>
      <c r="AB243" s="296" t="s">
        <v>2328</v>
      </c>
      <c r="AC243" s="772" t="s">
        <v>2329</v>
      </c>
      <c r="AD243" s="296" t="s">
        <v>936</v>
      </c>
      <c r="AE243" s="1123">
        <f>_xlfn.SUMIFS(Налоги!AE$25:AE$83,Налоги!$F$25:$F$83,$F243,Налоги!$AB$25:$AB$83,$G243)</f>
        <v>0</v>
      </c>
      <c r="AF243" s="1123">
        <f>_xlfn.SUMIFS(Налоги!AF$25:AF$83,Налоги!$F$25:$F$83,$F243,Налоги!$AB$25:$AB$83,$G243)</f>
        <v>0</v>
      </c>
      <c r="AG243" s="1123">
        <f>_xlfn.SUMIFS(Налоги!AG$25:AG$83,Налоги!$F$25:$F$83,$F243,Налоги!$AB$25:$AB$83,$G243)</f>
        <v>0</v>
      </c>
      <c r="AH243" s="1123">
        <f>AG243-AF243</f>
        <v>0</v>
      </c>
      <c r="AI243" s="1123">
        <f>_xlfn.SUMIFS(Налоги!AH$25:AH$83,Налоги!$F$25:$F$83,$F243,Налоги!$AB$25:$AB$83,$G243)</f>
        <v>0</v>
      </c>
      <c r="AJ243" s="1123">
        <f>_xlfn.SUMIFS(Налоги!AI$25:AI$83,Налоги!$F$25:$F$83,$F243,Налоги!$AB$25:$AB$83,$G243)</f>
        <v>0</v>
      </c>
      <c r="AK243" s="1123">
        <f>_xlfn.SUMIFS(Налоги!AJ$25:AJ$83,Налоги!$F$25:$F$83,$F243,Налоги!$AB$25:$AB$83,$G243)</f>
        <v>0</v>
      </c>
      <c r="AL243" s="1123">
        <f>_xlfn.SUMIFS(Налоги!AK$25:AK$83,Налоги!$F$25:$F$83,$F243,Налоги!$AB$25:$AB$83,$G243)</f>
        <v>0</v>
      </c>
      <c r="AM243" s="1123">
        <f>_xlfn.SUMIFS(Налоги!AL$25:AL$83,Налоги!$F$25:$F$83,$F243,Налоги!$AB$25:$AB$83,$G243)</f>
        <v>0</v>
      </c>
      <c r="AN243" s="1123">
        <f>_xlfn.SUMIFS(Налоги!AM$25:AM$83,Налоги!$F$25:$F$83,$F243,Налоги!$AB$25:$AB$83,$G243)</f>
        <v>0</v>
      </c>
      <c r="AO243" s="1123">
        <f>_xlfn.SUMIFS(Налоги!AN$25:AN$83,Налоги!$F$25:$F$83,$F243,Налоги!$AB$25:$AB$83,$G243)</f>
        <v>0</v>
      </c>
      <c r="AP243" s="1123">
        <f>_xlfn.SUMIFS(Налоги!AO$25:AO$83,Налоги!$F$25:$F$83,$F243,Налоги!$AB$25:$AB$83,$G243)</f>
        <v>0</v>
      </c>
      <c r="AQ243" s="1123">
        <f>_xlfn.SUMIFS(Налоги!AP$25:AP$83,Налоги!$F$25:$F$83,$F243,Налоги!$AB$25:$AB$83,$G243)</f>
        <v>0</v>
      </c>
      <c r="AR243" s="1123">
        <f>_xlfn.SUMIFS(Налоги!AQ$25:AQ$83,Налоги!$F$25:$F$83,$F243,Налоги!$AB$25:$AB$83,$G243)</f>
        <v>0</v>
      </c>
      <c r="AS243" s="1123">
        <f>_xlfn.SUMIFS(Налоги!AR$25:AR$83,Налоги!$F$25:$F$83,$F243,Налоги!$AB$25:$AB$83,$G243)</f>
        <v>0</v>
      </c>
      <c r="AT243" s="1123">
        <f>_xlfn.SUMIFS(Налоги!AS$25:AS$83,Налоги!$F$25:$F$83,$F243,Налоги!$AB$25:$AB$83,$G243)</f>
        <v>0</v>
      </c>
      <c r="AU243" s="1123">
        <f>_xlfn.SUMIFS(Налоги!AT$25:AT$83,Налоги!$F$25:$F$83,$F243,Налоги!$AB$25:$AB$83,$G243)</f>
        <v>0</v>
      </c>
      <c r="AV243" s="1123">
        <f>_xlfn.SUMIFS(Налоги!AU$25:AU$83,Налоги!$F$25:$F$83,$F243,Налоги!$AB$25:$AB$83,$G243)</f>
        <v>0</v>
      </c>
      <c r="AW243" s="1123">
        <f>_xlfn.SUMIFS(Налоги!AV$25:AV$83,Налоги!$F$25:$F$83,$F243,Налоги!$AB$25:$AB$83,$G243)</f>
        <v>0</v>
      </c>
      <c r="AX243" s="1123">
        <f>_xlfn.SUMIFS(Налоги!AW$25:AW$83,Налоги!$F$25:$F$83,$F243,Налоги!$AB$25:$AB$83,$G243)</f>
        <v>0</v>
      </c>
      <c r="AY243" s="1123">
        <f>_xlfn.SUMIFS(Налоги!AX$25:AX$83,Налоги!$F$25:$F$83,$F243,Налоги!$AB$25:$AB$83,$G243)</f>
        <v>0</v>
      </c>
      <c r="AZ243" s="1123">
        <f>_xlfn.SUMIFS(Налоги!AY$25:AY$83,Налоги!$F$25:$F$83,$F243,Налоги!$AB$25:$AB$83,$G243)</f>
        <v>0</v>
      </c>
      <c r="BA243" s="1123">
        <f>_xlfn.SUMIFS(Налоги!AZ$25:AZ$83,Налоги!$F$25:$F$83,$F243,Налоги!$AB$25:$AB$83,$G243)</f>
        <v>0</v>
      </c>
      <c r="BB243" s="1123">
        <f>_xlfn.SUMIFS(Налоги!BA$25:BA$83,Налоги!$F$25:$F$83,$F243,Налоги!$AB$25:$AB$83,$G243)</f>
        <v>0</v>
      </c>
      <c r="BC243" s="1123">
        <f>_xlfn.SUMIFS(Налоги!BB$25:BB$83,Налоги!$F$25:$F$83,$F243,Налоги!$AB$25:$AB$83,$G243)</f>
        <v>0</v>
      </c>
      <c r="BD243" s="1123">
        <f>IF(AI243=0,0,(AT243-AI243)/AI243*100)</f>
        <v>0</v>
      </c>
      <c r="BE243" s="1123">
        <f>IF(AT243=0,0,(AU243-AT243)/AT243*100)</f>
        <v>0</v>
      </c>
      <c r="BF243" s="1123">
        <f>IF(AU243=0,0,(AV243-AU243)/AU243*100)</f>
        <v>0</v>
      </c>
      <c r="BG243" s="1123">
        <f>IF(AV243=0,0,(AW243-AV243)/AV243*100)</f>
        <v>0</v>
      </c>
      <c r="BH243" s="1123">
        <f>IF(AW243=0,0,(AX243-AW243)/AW243*100)</f>
        <v>0</v>
      </c>
      <c r="BI243" s="1123">
        <f>IF(AX243=0,0,(AY243-AX243)/AX243*100)</f>
        <v>0</v>
      </c>
      <c r="BJ243" s="1123">
        <f>IF(AY243=0,0,(AZ243-AY243)/AY243*100)</f>
        <v>0</v>
      </c>
      <c r="BK243" s="1123">
        <f>IF(AZ243=0,0,(BA243-AZ243)/AZ243*100)</f>
        <v>0</v>
      </c>
      <c r="BL243" s="1123">
        <f>IF(BA243=0,0,(BB243-BA243)/BA243*100)</f>
        <v>0</v>
      </c>
      <c r="BM243" s="1123">
        <f>IF(BB243=0,0,(BC243-BB243)/BB243*100)</f>
        <v>0</v>
      </c>
      <c r="BN243" s="6290"/>
      <c r="BO243" s="6294" t="str">
        <f>IF(_xlfn.IFERROR(INDEX(Налоги!$K$26:$L$83,MATCH($F243&amp;"5komm",Налоги!$K$26:$K$83,0),2),"")=0,"",_xlfn.IFERROR(INDEX(Налоги!$K$26:$L$83,MATCH($F243&amp;"5komm",Налоги!$K$26:$K$83,0),2),""))</f>
        <v>1) Постановление Правительства РФ от 30.12.2006 N 876 (ред. от 29.12.2017) "О ставках платы за пользование водными объектами, находящимися в федеральной собственности"; 2) Постановление Правительства РФ от 26.12.2014 N 1509 (ред. от 21.12.2024) "О ставках платы за пользование водными объектами, находящимися в федеральной собственности, и внесении изменений в раздел I ставок платы за пользование водными объектами, находящимися в федеральной собственности".</v>
      </c>
      <c r="BP243" s="6290"/>
      <c r="BQ243" s="1297"/>
      <c r="BR243" s="1297"/>
      <c r="BS243" s="1072" t="s">
        <v>2330</v>
      </c>
      <c r="BT243" s="1072"/>
      <c r="BU243" s="1072"/>
      <c r="BV243" s="987"/>
      <c r="BW243" s="987"/>
    </row>
    <row s="1656" customFormat="1" customHeight="1" ht="14.25">
      <c r="A244" s="1297"/>
      <c r="B244" s="986"/>
      <c r="C244" s="103"/>
      <c r="D244" s="103"/>
      <c r="E244" s="626">
        <v>15</v>
      </c>
      <c r="F244" s="50" cm="1" t="str">
        <f t="array" ref="F244:F244">OFFSET(E244,-1,1)</f>
        <v>1</v>
      </c>
      <c r="G244" s="929">
        <v>8</v>
      </c>
      <c r="H244" s="103"/>
      <c r="I244" s="103" t="s">
        <v>2331</v>
      </c>
      <c r="J244" s="103"/>
      <c r="K244" s="103" t="s">
        <v>2331</v>
      </c>
      <c r="L244" s="988"/>
      <c r="M244" s="103"/>
      <c r="N244" s="103"/>
      <c r="O244" s="103"/>
      <c r="P244" s="103"/>
      <c r="Q244" s="103"/>
      <c r="R244" s="103"/>
      <c r="S244" s="103"/>
      <c r="T244" s="468" cm="1" t="str">
        <f t="array" ref="T244:T244">T243</f>
        <v>true</v>
      </c>
      <c r="U244" s="103"/>
      <c r="V244" s="103"/>
      <c r="W244" s="103"/>
      <c r="X244" s="1559"/>
      <c r="Y244" s="1297"/>
      <c r="Z244" s="1529"/>
      <c r="AA244" s="1297"/>
      <c r="AB244" s="296" t="s">
        <v>2332</v>
      </c>
      <c r="AC244" s="772" t="s">
        <v>2333</v>
      </c>
      <c r="AD244" s="296" t="s">
        <v>936</v>
      </c>
      <c r="AE244" s="1123">
        <f>_xlfn.SUMIFS(Налоги!AE$25:AE$83,Налоги!$F$25:$F$83,$F244,Налоги!$AB$25:$AB$83,$G244)</f>
        <v>0</v>
      </c>
      <c r="AF244" s="1123">
        <f>_xlfn.SUMIFS(Налоги!AF$25:AF$83,Налоги!$F$25:$F$83,$F244,Налоги!$AB$25:$AB$83,$G244)</f>
        <v>0</v>
      </c>
      <c r="AG244" s="1123">
        <f>_xlfn.SUMIFS(Налоги!AG$25:AG$83,Налоги!$F$25:$F$83,$F244,Налоги!$AB$25:$AB$83,$G244)</f>
        <v>0</v>
      </c>
      <c r="AH244" s="1123">
        <f>AG244-AF244</f>
        <v>0</v>
      </c>
      <c r="AI244" s="1123">
        <f>_xlfn.SUMIFS(Налоги!AH$25:AH$83,Налоги!$F$25:$F$83,$F244,Налоги!$AB$25:$AB$83,$G244)</f>
        <v>0</v>
      </c>
      <c r="AJ244" s="1123">
        <f>_xlfn.SUMIFS(Налоги!AI$25:AI$83,Налоги!$F$25:$F$83,$F244,Налоги!$AB$25:$AB$83,$G244)</f>
        <v>0</v>
      </c>
      <c r="AK244" s="1123">
        <f>_xlfn.SUMIFS(Налоги!AJ$25:AJ$83,Налоги!$F$25:$F$83,$F244,Налоги!$AB$25:$AB$83,$G244)</f>
        <v>0</v>
      </c>
      <c r="AL244" s="1123">
        <f>_xlfn.SUMIFS(Налоги!AK$25:AK$83,Налоги!$F$25:$F$83,$F244,Налоги!$AB$25:$AB$83,$G244)</f>
        <v>0</v>
      </c>
      <c r="AM244" s="1123">
        <f>_xlfn.SUMIFS(Налоги!AL$25:AL$83,Налоги!$F$25:$F$83,$F244,Налоги!$AB$25:$AB$83,$G244)</f>
        <v>0</v>
      </c>
      <c r="AN244" s="1123">
        <f>_xlfn.SUMIFS(Налоги!AM$25:AM$83,Налоги!$F$25:$F$83,$F244,Налоги!$AB$25:$AB$83,$G244)</f>
        <v>0</v>
      </c>
      <c r="AO244" s="1123">
        <f>_xlfn.SUMIFS(Налоги!AN$25:AN$83,Налоги!$F$25:$F$83,$F244,Налоги!$AB$25:$AB$83,$G244)</f>
        <v>0</v>
      </c>
      <c r="AP244" s="1123">
        <f>_xlfn.SUMIFS(Налоги!AO$25:AO$83,Налоги!$F$25:$F$83,$F244,Налоги!$AB$25:$AB$83,$G244)</f>
        <v>0</v>
      </c>
      <c r="AQ244" s="1123">
        <f>_xlfn.SUMIFS(Налоги!AP$25:AP$83,Налоги!$F$25:$F$83,$F244,Налоги!$AB$25:$AB$83,$G244)</f>
        <v>0</v>
      </c>
      <c r="AR244" s="1123">
        <f>_xlfn.SUMIFS(Налоги!AQ$25:AQ$83,Налоги!$F$25:$F$83,$F244,Налоги!$AB$25:$AB$83,$G244)</f>
        <v>0</v>
      </c>
      <c r="AS244" s="1123">
        <f>_xlfn.SUMIFS(Налоги!AR$25:AR$83,Налоги!$F$25:$F$83,$F244,Налоги!$AB$25:$AB$83,$G244)</f>
        <v>0</v>
      </c>
      <c r="AT244" s="1123">
        <f>_xlfn.SUMIFS(Налоги!AS$25:AS$83,Налоги!$F$25:$F$83,$F244,Налоги!$AB$25:$AB$83,$G244)</f>
        <v>0</v>
      </c>
      <c r="AU244" s="1123">
        <f>_xlfn.SUMIFS(Налоги!AT$25:AT$83,Налоги!$F$25:$F$83,$F244,Налоги!$AB$25:$AB$83,$G244)</f>
        <v>0</v>
      </c>
      <c r="AV244" s="1123">
        <f>_xlfn.SUMIFS(Налоги!AU$25:AU$83,Налоги!$F$25:$F$83,$F244,Налоги!$AB$25:$AB$83,$G244)</f>
        <v>0</v>
      </c>
      <c r="AW244" s="1123">
        <f>_xlfn.SUMIFS(Налоги!AV$25:AV$83,Налоги!$F$25:$F$83,$F244,Налоги!$AB$25:$AB$83,$G244)</f>
        <v>0</v>
      </c>
      <c r="AX244" s="1123">
        <f>_xlfn.SUMIFS(Налоги!AW$25:AW$83,Налоги!$F$25:$F$83,$F244,Налоги!$AB$25:$AB$83,$G244)</f>
        <v>0</v>
      </c>
      <c r="AY244" s="1123">
        <f>_xlfn.SUMIFS(Налоги!AX$25:AX$83,Налоги!$F$25:$F$83,$F244,Налоги!$AB$25:$AB$83,$G244)</f>
        <v>0</v>
      </c>
      <c r="AZ244" s="1123">
        <f>_xlfn.SUMIFS(Налоги!AY$25:AY$83,Налоги!$F$25:$F$83,$F244,Налоги!$AB$25:$AB$83,$G244)</f>
        <v>0</v>
      </c>
      <c r="BA244" s="1123">
        <f>_xlfn.SUMIFS(Налоги!AZ$25:AZ$83,Налоги!$F$25:$F$83,$F244,Налоги!$AB$25:$AB$83,$G244)</f>
        <v>0</v>
      </c>
      <c r="BB244" s="1123">
        <f>_xlfn.SUMIFS(Налоги!BA$25:BA$83,Налоги!$F$25:$F$83,$F244,Налоги!$AB$25:$AB$83,$G244)</f>
        <v>0</v>
      </c>
      <c r="BC244" s="1123">
        <f>_xlfn.SUMIFS(Налоги!BB$25:BB$83,Налоги!$F$25:$F$83,$F244,Налоги!$AB$25:$AB$83,$G244)</f>
        <v>0</v>
      </c>
      <c r="BD244" s="1123">
        <f>IF(AI244=0,0,(AT244-AI244)/AI244*100)</f>
        <v>0</v>
      </c>
      <c r="BE244" s="1123">
        <f>IF(AT244=0,0,(AU244-AT244)/AT244*100)</f>
        <v>0</v>
      </c>
      <c r="BF244" s="1123">
        <f>IF(AU244=0,0,(AV244-AU244)/AU244*100)</f>
        <v>0</v>
      </c>
      <c r="BG244" s="1123">
        <f>IF(AV244=0,0,(AW244-AV244)/AV244*100)</f>
        <v>0</v>
      </c>
      <c r="BH244" s="1123">
        <f>IF(AW244=0,0,(AX244-AW244)/AW244*100)</f>
        <v>0</v>
      </c>
      <c r="BI244" s="1123">
        <f>IF(AX244=0,0,(AY244-AX244)/AX244*100)</f>
        <v>0</v>
      </c>
      <c r="BJ244" s="1123">
        <f>IF(AY244=0,0,(AZ244-AY244)/AY244*100)</f>
        <v>0</v>
      </c>
      <c r="BK244" s="1123">
        <f>IF(AZ244=0,0,(BA244-AZ244)/AZ244*100)</f>
        <v>0</v>
      </c>
      <c r="BL244" s="1123">
        <f>IF(BA244=0,0,(BB244-BA244)/BA244*100)</f>
        <v>0</v>
      </c>
      <c r="BM244" s="1123">
        <f>IF(BB244=0,0,(BC244-BB244)/BB244*100)</f>
        <v>0</v>
      </c>
      <c r="BN244" s="6290"/>
      <c r="BO244" s="6294" t="str">
        <f>IF(_xlfn.IFERROR(INDEX(Налоги!$K$26:$L$83,MATCH($F244&amp;"8komm",Налоги!$K$26:$K$83,0),2),"")=0,"",_xlfn.IFERROR(INDEX(Налоги!$K$26:$L$83,MATCH($F244&amp;"8komm",Налоги!$K$26:$K$83,0),2),""))</f>
        <v>Приказ Генерального директора ОАО "СКЭК" от 30.06.2023 № 166/1 "О внесении изменений в Учетную политику" (Пункт 1.1, внесение изменений в пункт 3.5.3 о распределении общехозяйственных расходов, учитываемых на сч. 26 ).</v>
      </c>
      <c r="BP244" s="6290"/>
      <c r="BQ244" s="1297"/>
      <c r="BR244" s="1297"/>
      <c r="BS244" s="1072" t="s">
        <v>1482</v>
      </c>
      <c r="BT244" s="1072"/>
      <c r="BU244" s="1072"/>
      <c r="BV244" s="987"/>
      <c r="BW244" s="987"/>
    </row>
    <row s="1252" customFormat="1" customHeight="1" ht="14.25">
      <c r="A245" s="1252"/>
      <c r="B245" s="760"/>
      <c r="C245" s="103"/>
      <c r="D245" s="103"/>
      <c r="E245" s="626">
        <v>15</v>
      </c>
      <c r="F245" s="50" cm="1" t="str">
        <f t="array" ref="F245:F245">OFFSET(E245,-1,1)</f>
        <v>1</v>
      </c>
      <c r="G245" s="929">
        <v>9</v>
      </c>
      <c r="H245" s="103"/>
      <c r="I245" s="103"/>
      <c r="J245" s="103"/>
      <c r="K245" s="103"/>
      <c r="L245" s="988"/>
      <c r="M245" s="103"/>
      <c r="N245" s="103"/>
      <c r="O245" s="103"/>
      <c r="P245" s="103"/>
      <c r="Q245" s="103"/>
      <c r="R245" s="103"/>
      <c r="S245" s="103"/>
      <c r="T245" s="468" cm="1" t="str">
        <f t="array" ref="T245:T245">T244</f>
        <v>true</v>
      </c>
      <c r="U245" s="103"/>
      <c r="V245" s="103"/>
      <c r="W245" s="103"/>
      <c r="X245" s="1559"/>
      <c r="Y245" s="1252"/>
      <c r="Z245" s="1529"/>
      <c r="AA245" s="1252"/>
      <c r="AB245" s="296" t="s">
        <v>2334</v>
      </c>
      <c r="AC245" s="787" t="s">
        <v>2335</v>
      </c>
      <c r="AD245" s="296" t="s">
        <v>936</v>
      </c>
      <c r="AE245" s="1123">
        <f>_xlfn.SUMIFS(Налоги!AE$25:AE$83,Налоги!$F$25:$F$83,$F245,Налоги!$AB$25:$AB$83,$G245)</f>
        <v>0</v>
      </c>
      <c r="AF245" s="1123">
        <f>_xlfn.SUMIFS(Налоги!AF$25:AF$83,Налоги!$F$25:$F$83,$F245,Налоги!$AB$25:$AB$83,$G245)</f>
        <v>0</v>
      </c>
      <c r="AG245" s="1123">
        <f>_xlfn.SUMIFS(Налоги!AG$25:AG$83,Налоги!$F$25:$F$83,$F245,Налоги!$AB$25:$AB$83,$G245)</f>
        <v>0</v>
      </c>
      <c r="AH245" s="1123">
        <f>AG245-AF245</f>
        <v>0</v>
      </c>
      <c r="AI245" s="1123">
        <f>_xlfn.SUMIFS(Налоги!AH$25:AH$83,Налоги!$F$25:$F$83,$F245,Налоги!$AB$25:$AB$83,$G245)</f>
        <v>0</v>
      </c>
      <c r="AJ245" s="1123">
        <f>_xlfn.SUMIFS(Налоги!AI$25:AI$83,Налоги!$F$25:$F$83,$F245,Налоги!$AB$25:$AB$83,$G245)</f>
        <v>0</v>
      </c>
      <c r="AK245" s="1123">
        <f>_xlfn.SUMIFS(Налоги!AJ$25:AJ$83,Налоги!$F$25:$F$83,$F245,Налоги!$AB$25:$AB$83,$G245)</f>
        <v>0</v>
      </c>
      <c r="AL245" s="1123">
        <f>_xlfn.SUMIFS(Налоги!AK$25:AK$83,Налоги!$F$25:$F$83,$F245,Налоги!$AB$25:$AB$83,$G245)</f>
        <v>0</v>
      </c>
      <c r="AM245" s="1123">
        <f>_xlfn.SUMIFS(Налоги!AL$25:AL$83,Налоги!$F$25:$F$83,$F245,Налоги!$AB$25:$AB$83,$G245)</f>
        <v>0</v>
      </c>
      <c r="AN245" s="1123">
        <f>_xlfn.SUMIFS(Налоги!AM$25:AM$83,Налоги!$F$25:$F$83,$F245,Налоги!$AB$25:$AB$83,$G245)</f>
        <v>0</v>
      </c>
      <c r="AO245" s="1123">
        <f>_xlfn.SUMIFS(Налоги!AN$25:AN$83,Налоги!$F$25:$F$83,$F245,Налоги!$AB$25:$AB$83,$G245)</f>
        <v>0</v>
      </c>
      <c r="AP245" s="1123">
        <f>_xlfn.SUMIFS(Налоги!AO$25:AO$83,Налоги!$F$25:$F$83,$F245,Налоги!$AB$25:$AB$83,$G245)</f>
        <v>0</v>
      </c>
      <c r="AQ245" s="1123">
        <f>_xlfn.SUMIFS(Налоги!AP$25:AP$83,Налоги!$F$25:$F$83,$F245,Налоги!$AB$25:$AB$83,$G245)</f>
        <v>0</v>
      </c>
      <c r="AR245" s="1123">
        <f>_xlfn.SUMIFS(Налоги!AQ$25:AQ$83,Налоги!$F$25:$F$83,$F245,Налоги!$AB$25:$AB$83,$G245)</f>
        <v>0</v>
      </c>
      <c r="AS245" s="1123">
        <f>_xlfn.SUMIFS(Налоги!AR$25:AR$83,Налоги!$F$25:$F$83,$F245,Налоги!$AB$25:$AB$83,$G245)</f>
        <v>0</v>
      </c>
      <c r="AT245" s="1123">
        <f>_xlfn.SUMIFS(Налоги!AS$25:AS$83,Налоги!$F$25:$F$83,$F245,Налоги!$AB$25:$AB$83,$G245)</f>
        <v>0</v>
      </c>
      <c r="AU245" s="1123">
        <f>_xlfn.SUMIFS(Налоги!AT$25:AT$83,Налоги!$F$25:$F$83,$F245,Налоги!$AB$25:$AB$83,$G245)</f>
        <v>0</v>
      </c>
      <c r="AV245" s="1123">
        <f>_xlfn.SUMIFS(Налоги!AU$25:AU$83,Налоги!$F$25:$F$83,$F245,Налоги!$AB$25:$AB$83,$G245)</f>
        <v>0</v>
      </c>
      <c r="AW245" s="1123">
        <f>_xlfn.SUMIFS(Налоги!AV$25:AV$83,Налоги!$F$25:$F$83,$F245,Налоги!$AB$25:$AB$83,$G245)</f>
        <v>0</v>
      </c>
      <c r="AX245" s="1123">
        <f>_xlfn.SUMIFS(Налоги!AW$25:AW$83,Налоги!$F$25:$F$83,$F245,Налоги!$AB$25:$AB$83,$G245)</f>
        <v>0</v>
      </c>
      <c r="AY245" s="1123">
        <f>_xlfn.SUMIFS(Налоги!AX$25:AX$83,Налоги!$F$25:$F$83,$F245,Налоги!$AB$25:$AB$83,$G245)</f>
        <v>0</v>
      </c>
      <c r="AZ245" s="1123">
        <f>_xlfn.SUMIFS(Налоги!AY$25:AY$83,Налоги!$F$25:$F$83,$F245,Налоги!$AB$25:$AB$83,$G245)</f>
        <v>0</v>
      </c>
      <c r="BA245" s="1123">
        <f>_xlfn.SUMIFS(Налоги!AZ$25:AZ$83,Налоги!$F$25:$F$83,$F245,Налоги!$AB$25:$AB$83,$G245)</f>
        <v>0</v>
      </c>
      <c r="BB245" s="1123">
        <f>_xlfn.SUMIFS(Налоги!BA$25:BA$83,Налоги!$F$25:$F$83,$F245,Налоги!$AB$25:$AB$83,$G245)</f>
        <v>0</v>
      </c>
      <c r="BC245" s="1123">
        <f>_xlfn.SUMIFS(Налоги!BB$25:BB$83,Налоги!$F$25:$F$83,$F245,Налоги!$AB$25:$AB$83,$G245)</f>
        <v>0</v>
      </c>
      <c r="BD245" s="1123">
        <f>IF(AI245=0,0,(AT245-AI245)/AI245*100)</f>
        <v>0</v>
      </c>
      <c r="BE245" s="1123">
        <f>IF(AT245=0,0,(AU245-AT245)/AT245*100)</f>
        <v>0</v>
      </c>
      <c r="BF245" s="1123">
        <f>IF(AU245=0,0,(AV245-AU245)/AU245*100)</f>
        <v>0</v>
      </c>
      <c r="BG245" s="1123">
        <f>IF(AV245=0,0,(AW245-AV245)/AV245*100)</f>
        <v>0</v>
      </c>
      <c r="BH245" s="1123">
        <f>IF(AW245=0,0,(AX245-AW245)/AW245*100)</f>
        <v>0</v>
      </c>
      <c r="BI245" s="1123">
        <f>IF(AX245=0,0,(AY245-AX245)/AX245*100)</f>
        <v>0</v>
      </c>
      <c r="BJ245" s="1123">
        <f>IF(AY245=0,0,(AZ245-AY245)/AY245*100)</f>
        <v>0</v>
      </c>
      <c r="BK245" s="1123">
        <f>IF(AZ245=0,0,(BA245-AZ245)/AZ245*100)</f>
        <v>0</v>
      </c>
      <c r="BL245" s="1123">
        <f>IF(BA245=0,0,(BB245-BA245)/BA245*100)</f>
        <v>0</v>
      </c>
      <c r="BM245" s="1123">
        <f>IF(BB245=0,0,(BC245-BB245)/BB245*100)</f>
        <v>0</v>
      </c>
      <c r="BN245" s="6290"/>
      <c r="BO245" s="6294" t="str">
        <f>IF(_xlfn.IFERROR(INDEX(Налоги!$K$26:$L$83,MATCH($F245&amp;"9komm",Налоги!$K$26:$K$83,0),2),"")=0,"",_xlfn.IFERROR(INDEX(Налоги!$K$26:$L$83,MATCH($F245&amp;"9komm",Налоги!$K$26:$K$83,0),2),""))</f>
        <v/>
      </c>
      <c r="BP245" s="6290"/>
      <c r="BQ245" s="1252"/>
      <c r="BR245" s="1252"/>
      <c r="BS245" s="1079" t="s">
        <v>2336</v>
      </c>
      <c r="BT245" s="1079"/>
      <c r="BU245" s="1079"/>
      <c r="BV245" s="1080"/>
      <c r="BW245" s="1080"/>
    </row>
    <row s="1656" customFormat="1" customHeight="1" ht="14.25">
      <c r="A246" s="1297"/>
      <c r="B246" s="986"/>
      <c r="C246" s="103"/>
      <c r="D246" s="103"/>
      <c r="E246" s="626">
        <v>15</v>
      </c>
      <c r="F246" s="50" cm="1" t="str">
        <f t="array" ref="F246:F246">OFFSET(E246,-1,1)</f>
        <v>1</v>
      </c>
      <c r="G246" s="929">
        <v>10</v>
      </c>
      <c r="H246" s="103"/>
      <c r="I246" s="103" t="s">
        <v>2337</v>
      </c>
      <c r="J246" s="103"/>
      <c r="K246" s="103" t="s">
        <v>2337</v>
      </c>
      <c r="L246" s="988"/>
      <c r="M246" s="103"/>
      <c r="N246" s="103"/>
      <c r="O246" s="103"/>
      <c r="P246" s="103"/>
      <c r="Q246" s="103"/>
      <c r="R246" s="103"/>
      <c r="S246" s="103"/>
      <c r="T246" s="468" cm="1" t="str">
        <f t="array" ref="T246:T246">T245</f>
        <v>true</v>
      </c>
      <c r="U246" s="103"/>
      <c r="V246" s="103"/>
      <c r="W246" s="103"/>
      <c r="X246" s="1559"/>
      <c r="Y246" s="1297"/>
      <c r="Z246" s="1529"/>
      <c r="AA246" s="1297"/>
      <c r="AB246" s="296" t="s">
        <v>2338</v>
      </c>
      <c r="AC246" s="788" t="s">
        <v>2339</v>
      </c>
      <c r="AD246" s="296" t="s">
        <v>936</v>
      </c>
      <c r="AE246" s="1123">
        <f>_xlfn.SUMIFS(Налоги!AE$25:AE$83,Налоги!$F$25:$F$83,$F246,Налоги!$AB$25:$AB$83,$G246)</f>
        <v>0</v>
      </c>
      <c r="AF246" s="1123">
        <f>_xlfn.SUMIFS(Налоги!AF$25:AF$83,Налоги!$F$25:$F$83,$F246,Налоги!$AB$25:$AB$83,$G246)</f>
        <v>0</v>
      </c>
      <c r="AG246" s="1123">
        <f>_xlfn.SUMIFS(Налоги!AG$25:AG$83,Налоги!$F$25:$F$83,$F246,Налоги!$AB$25:$AB$83,$G246)</f>
        <v>0</v>
      </c>
      <c r="AH246" s="1123">
        <f>AG246-AF246</f>
        <v>0</v>
      </c>
      <c r="AI246" s="1123">
        <f>_xlfn.SUMIFS(Налоги!AH$25:AH$83,Налоги!$F$25:$F$83,$F246,Налоги!$AB$25:$AB$83,$G246)</f>
        <v>0</v>
      </c>
      <c r="AJ246" s="1123">
        <f>_xlfn.SUMIFS(Налоги!AI$25:AI$83,Налоги!$F$25:$F$83,$F246,Налоги!$AB$25:$AB$83,$G246)</f>
        <v>0</v>
      </c>
      <c r="AK246" s="1123">
        <f>_xlfn.SUMIFS(Налоги!AJ$25:AJ$83,Налоги!$F$25:$F$83,$F246,Налоги!$AB$25:$AB$83,$G246)</f>
        <v>0</v>
      </c>
      <c r="AL246" s="1123">
        <f>_xlfn.SUMIFS(Налоги!AK$25:AK$83,Налоги!$F$25:$F$83,$F246,Налоги!$AB$25:$AB$83,$G246)</f>
        <v>0</v>
      </c>
      <c r="AM246" s="1123">
        <f>_xlfn.SUMIFS(Налоги!AL$25:AL$83,Налоги!$F$25:$F$83,$F246,Налоги!$AB$25:$AB$83,$G246)</f>
        <v>0</v>
      </c>
      <c r="AN246" s="1123">
        <f>_xlfn.SUMIFS(Налоги!AM$25:AM$83,Налоги!$F$25:$F$83,$F246,Налоги!$AB$25:$AB$83,$G246)</f>
        <v>0</v>
      </c>
      <c r="AO246" s="1123">
        <f>_xlfn.SUMIFS(Налоги!AN$25:AN$83,Налоги!$F$25:$F$83,$F246,Налоги!$AB$25:$AB$83,$G246)</f>
        <v>0</v>
      </c>
      <c r="AP246" s="1123">
        <f>_xlfn.SUMIFS(Налоги!AO$25:AO$83,Налоги!$F$25:$F$83,$F246,Налоги!$AB$25:$AB$83,$G246)</f>
        <v>0</v>
      </c>
      <c r="AQ246" s="1123">
        <f>_xlfn.SUMIFS(Налоги!AP$25:AP$83,Налоги!$F$25:$F$83,$F246,Налоги!$AB$25:$AB$83,$G246)</f>
        <v>0</v>
      </c>
      <c r="AR246" s="1123">
        <f>_xlfn.SUMIFS(Налоги!AQ$25:AQ$83,Налоги!$F$25:$F$83,$F246,Налоги!$AB$25:$AB$83,$G246)</f>
        <v>0</v>
      </c>
      <c r="AS246" s="1123">
        <f>_xlfn.SUMIFS(Налоги!AR$25:AR$83,Налоги!$F$25:$F$83,$F246,Налоги!$AB$25:$AB$83,$G246)</f>
        <v>0</v>
      </c>
      <c r="AT246" s="1123">
        <f>_xlfn.SUMIFS(Налоги!AS$25:AS$83,Налоги!$F$25:$F$83,$F246,Налоги!$AB$25:$AB$83,$G246)</f>
        <v>0</v>
      </c>
      <c r="AU246" s="1123">
        <f>_xlfn.SUMIFS(Налоги!AT$25:AT$83,Налоги!$F$25:$F$83,$F246,Налоги!$AB$25:$AB$83,$G246)</f>
        <v>0</v>
      </c>
      <c r="AV246" s="1123">
        <f>_xlfn.SUMIFS(Налоги!AU$25:AU$83,Налоги!$F$25:$F$83,$F246,Налоги!$AB$25:$AB$83,$G246)</f>
        <v>0</v>
      </c>
      <c r="AW246" s="1123">
        <f>_xlfn.SUMIFS(Налоги!AV$25:AV$83,Налоги!$F$25:$F$83,$F246,Налоги!$AB$25:$AB$83,$G246)</f>
        <v>0</v>
      </c>
      <c r="AX246" s="1123">
        <f>_xlfn.SUMIFS(Налоги!AW$25:AW$83,Налоги!$F$25:$F$83,$F246,Налоги!$AB$25:$AB$83,$G246)</f>
        <v>0</v>
      </c>
      <c r="AY246" s="1123">
        <f>_xlfn.SUMIFS(Налоги!AX$25:AX$83,Налоги!$F$25:$F$83,$F246,Налоги!$AB$25:$AB$83,$G246)</f>
        <v>0</v>
      </c>
      <c r="AZ246" s="1123">
        <f>_xlfn.SUMIFS(Налоги!AY$25:AY$83,Налоги!$F$25:$F$83,$F246,Налоги!$AB$25:$AB$83,$G246)</f>
        <v>0</v>
      </c>
      <c r="BA246" s="1123">
        <f>_xlfn.SUMIFS(Налоги!AZ$25:AZ$83,Налоги!$F$25:$F$83,$F246,Налоги!$AB$25:$AB$83,$G246)</f>
        <v>0</v>
      </c>
      <c r="BB246" s="1123">
        <f>_xlfn.SUMIFS(Налоги!BA$25:BA$83,Налоги!$F$25:$F$83,$F246,Налоги!$AB$25:$AB$83,$G246)</f>
        <v>0</v>
      </c>
      <c r="BC246" s="1123">
        <f>_xlfn.SUMIFS(Налоги!BB$25:BB$83,Налоги!$F$25:$F$83,$F246,Налоги!$AB$25:$AB$83,$G246)</f>
        <v>0</v>
      </c>
      <c r="BD246" s="1123">
        <f>IF(AI246=0,0,(AT246-AI246)/AI246*100)</f>
        <v>0</v>
      </c>
      <c r="BE246" s="1123">
        <f>IF(AT246=0,0,(AU246-AT246)/AT246*100)</f>
        <v>0</v>
      </c>
      <c r="BF246" s="1123">
        <f>IF(AU246=0,0,(AV246-AU246)/AU246*100)</f>
        <v>0</v>
      </c>
      <c r="BG246" s="1123">
        <f>IF(AV246=0,0,(AW246-AV246)/AV246*100)</f>
        <v>0</v>
      </c>
      <c r="BH246" s="1123">
        <f>IF(AW246=0,0,(AX246-AW246)/AW246*100)</f>
        <v>0</v>
      </c>
      <c r="BI246" s="1123">
        <f>IF(AX246=0,0,(AY246-AX246)/AX246*100)</f>
        <v>0</v>
      </c>
      <c r="BJ246" s="1123">
        <f>IF(AY246=0,0,(AZ246-AY246)/AY246*100)</f>
        <v>0</v>
      </c>
      <c r="BK246" s="1123">
        <f>IF(AZ246=0,0,(BA246-AZ246)/AZ246*100)</f>
        <v>0</v>
      </c>
      <c r="BL246" s="1123">
        <f>IF(BA246=0,0,(BB246-BA246)/BA246*100)</f>
        <v>0</v>
      </c>
      <c r="BM246" s="1123">
        <f>IF(BB246=0,0,(BC246-BB246)/BB246*100)</f>
        <v>0</v>
      </c>
      <c r="BN246" s="6290"/>
      <c r="BO246" s="6294" t="str">
        <f>IF(_xlfn.IFERROR(INDEX(Налоги!$K$26:$L$83,MATCH($F246&amp;"10komm",Налоги!$K$26:$K$83,0),2),"")=0,"",_xlfn.IFERROR(INDEX(Налоги!$K$26:$L$83,MATCH($F246&amp;"10komm",Налоги!$K$26:$K$83,0),2),""))</f>
        <v/>
      </c>
      <c r="BP246" s="6290"/>
      <c r="BQ246" s="1297"/>
      <c r="BR246" s="1297"/>
      <c r="BS246" s="1072" t="s">
        <v>2340</v>
      </c>
      <c r="BT246" s="1072"/>
      <c r="BU246" s="1072"/>
      <c r="BV246" s="987"/>
      <c r="BW246" s="987"/>
    </row>
    <row s="1656" customFormat="1" customHeight="1" ht="65.25">
      <c r="A247" s="1297"/>
      <c r="B247" s="986"/>
      <c r="C247" s="103"/>
      <c r="D247" s="103"/>
      <c r="E247" s="626">
        <v>67.5</v>
      </c>
      <c r="F247" s="50" cm="1" t="str">
        <f t="array" ref="F247:F247">OFFSET(E247,-1,1)</f>
        <v>1</v>
      </c>
      <c r="G247" s="103" t="s">
        <v>1670</v>
      </c>
      <c r="H247" s="103"/>
      <c r="I247" s="103" t="s">
        <v>1089</v>
      </c>
      <c r="J247" s="103"/>
      <c r="K247" s="154" t="s">
        <v>1089</v>
      </c>
      <c r="L247" s="988"/>
      <c r="M247" s="103"/>
      <c r="N247" s="103"/>
      <c r="O247" s="103"/>
      <c r="P247" s="103"/>
      <c r="Q247" s="103"/>
      <c r="R247" s="103"/>
      <c r="S247" s="103"/>
      <c r="T247" s="468" cm="1" t="str">
        <f t="array" ref="T247:T247">T246</f>
        <v>true</v>
      </c>
      <c r="U247" s="103"/>
      <c r="V247" s="103"/>
      <c r="W247" s="103"/>
      <c r="X247" s="1559"/>
      <c r="Y247" s="1297"/>
      <c r="Z247" s="1529"/>
      <c r="AA247" s="1297"/>
      <c r="AB247" s="296" t="s">
        <v>1090</v>
      </c>
      <c r="AC247" s="789" t="s">
        <v>1673</v>
      </c>
      <c r="AD247" s="296" t="s">
        <v>936</v>
      </c>
      <c r="AE247" s="6344"/>
      <c r="AF247" s="6344"/>
      <c r="AG247" s="6344"/>
      <c r="AH247" s="1123">
        <f>AG247-AF247</f>
        <v>0</v>
      </c>
      <c r="AI247" s="6344"/>
      <c r="AJ247" s="6344"/>
      <c r="AK247" s="1263"/>
      <c r="AL247" s="1263"/>
      <c r="AM247" s="1263"/>
      <c r="AN247" s="1263"/>
      <c r="AO247" s="1263"/>
      <c r="AP247" s="1263"/>
      <c r="AQ247" s="1263"/>
      <c r="AR247" s="1263"/>
      <c r="AS247" s="1263"/>
      <c r="AT247" s="6344"/>
      <c r="AU247" s="1263"/>
      <c r="AV247" s="1263"/>
      <c r="AW247" s="1263"/>
      <c r="AX247" s="1263"/>
      <c r="AY247" s="1263"/>
      <c r="AZ247" s="1263"/>
      <c r="BA247" s="1263"/>
      <c r="BB247" s="1263"/>
      <c r="BC247" s="1263"/>
      <c r="BD247" s="1123">
        <f>IF(AI247=0,0,(AT247-AI247)/AI247*100)</f>
        <v>0</v>
      </c>
      <c r="BE247" s="1123">
        <f>IF(AT247=0,0,(AU247-AT247)/AT247*100)</f>
        <v>0</v>
      </c>
      <c r="BF247" s="1123">
        <f>IF(AU247=0,0,(AV247-AU247)/AU247*100)</f>
        <v>0</v>
      </c>
      <c r="BG247" s="1123">
        <f>IF(AV247=0,0,(AW247-AV247)/AV247*100)</f>
        <v>0</v>
      </c>
      <c r="BH247" s="1123">
        <f>IF(AW247=0,0,(AX247-AW247)/AW247*100)</f>
        <v>0</v>
      </c>
      <c r="BI247" s="1123">
        <f>IF(AX247=0,0,(AY247-AX247)/AX247*100)</f>
        <v>0</v>
      </c>
      <c r="BJ247" s="1123">
        <f>IF(AY247=0,0,(AZ247-AY247)/AY247*100)</f>
        <v>0</v>
      </c>
      <c r="BK247" s="1123">
        <f>IF(AZ247=0,0,(BA247-AZ247)/AZ247*100)</f>
        <v>0</v>
      </c>
      <c r="BL247" s="1123">
        <f>IF(BA247=0,0,(BB247-BA247)/BA247*100)</f>
        <v>0</v>
      </c>
      <c r="BM247" s="1123">
        <f>IF(BB247=0,0,(BC247-BB247)/BB247*100)</f>
        <v>0</v>
      </c>
      <c r="BN247" s="6290"/>
      <c r="BO247" s="6290"/>
      <c r="BP247" s="6290"/>
      <c r="BQ247" s="1297"/>
      <c r="BR247" s="1297"/>
      <c r="BS247" s="1072" t="s">
        <v>2341</v>
      </c>
      <c r="BT247" s="1072"/>
      <c r="BU247" s="1072"/>
      <c r="BV247" s="987"/>
      <c r="BW247" s="987"/>
    </row>
    <row s="1656" customFormat="1" customHeight="1" ht="14.25">
      <c r="A248" s="1297"/>
      <c r="B248" s="986"/>
      <c r="C248" s="103"/>
      <c r="D248" s="103"/>
      <c r="E248" s="626">
        <v>15</v>
      </c>
      <c r="F248" s="50" cm="1" t="str">
        <f t="array" ref="F248:F248">OFFSET(E248,-1,1)</f>
        <v>1</v>
      </c>
      <c r="G248" s="103" t="s">
        <v>1192</v>
      </c>
      <c r="H248" s="103"/>
      <c r="I248" s="103" t="s">
        <v>1092</v>
      </c>
      <c r="J248" s="103"/>
      <c r="K248" s="154" t="s">
        <v>1092</v>
      </c>
      <c r="L248" s="988" t="s">
        <v>616</v>
      </c>
      <c r="M248" s="103"/>
      <c r="N248" s="103"/>
      <c r="O248" s="103"/>
      <c r="P248" s="103"/>
      <c r="Q248" s="103"/>
      <c r="R248" s="103"/>
      <c r="S248" s="103"/>
      <c r="T248" s="468" cm="1" t="str">
        <f t="array" ref="T248:T248">T247</f>
        <v>true</v>
      </c>
      <c r="U248" s="103"/>
      <c r="V248" s="103"/>
      <c r="W248" s="103"/>
      <c r="X248" s="1559"/>
      <c r="Y248" s="1297"/>
      <c r="Z248" s="1529"/>
      <c r="AA248" s="1297"/>
      <c r="AB248" s="296" t="s">
        <v>1093</v>
      </c>
      <c r="AC248" s="769" t="s">
        <v>1192</v>
      </c>
      <c r="AD248" s="296" t="s">
        <v>936</v>
      </c>
      <c r="AE248" s="1123">
        <f>_xlfn.SUMIFS(Аренда!AE$25:AE$67,Аренда!$F$25:$F$67,$F248,Аренда!$G$25:$G$67,"Арендная и концессионная плата, лизинговые платежи")</f>
        <v>787.58</v>
      </c>
      <c r="AF248" s="1123">
        <f>_xlfn.SUMIFS(Аренда!AF$25:AF$67,Аренда!$F$25:$F$67,$F248,Аренда!$G$25:$G$67,"Арендная и концессионная плата, лизинговые платежи")</f>
        <v>729.95</v>
      </c>
      <c r="AG248" s="1123">
        <f>_xlfn.SUMIFS(Аренда!AG$25:AG$67,Аренда!$F$25:$F$67,$F248,Аренда!$G$25:$G$67,"Арендная и концессионная плата, лизинговые платежи")</f>
        <v>729.95</v>
      </c>
      <c r="AH248" s="1123">
        <f>AG248-AF248</f>
        <v>0</v>
      </c>
      <c r="AI248" s="1123">
        <f>_xlfn.SUMIFS(Аренда!AH$25:AH$67,Аренда!$F$25:$F$67,$F248,Аренда!$G$25:$G$67,"Арендная и концессионная плата, лизинговые платежи")</f>
        <v>729.96</v>
      </c>
      <c r="AJ248" s="1123">
        <f>_xlfn.SUMIFS(Аренда!AI$25:AI$67,Аренда!$F$25:$F$67,$F248,Аренда!$G$25:$G$67,"Арендная и концессионная плата, лизинговые платежи")</f>
        <v>4433.04</v>
      </c>
      <c r="AK248" s="1123">
        <f>_xlfn.SUMIFS(Аренда!AJ$25:AJ$67,Аренда!$F$25:$F$67,$F248,Аренда!$G$25:$G$67,"Арендная и концессионная плата, лизинговые платежи")</f>
        <v>0</v>
      </c>
      <c r="AL248" s="1123">
        <f>_xlfn.SUMIFS(Аренда!AK$25:AK$67,Аренда!$F$25:$F$67,$F248,Аренда!$G$25:$G$67,"Арендная и концессионная плата, лизинговые платежи")</f>
        <v>0</v>
      </c>
      <c r="AM248" s="1123">
        <f>_xlfn.SUMIFS(Аренда!AL$25:AL$67,Аренда!$F$25:$F$67,$F248,Аренда!$G$25:$G$67,"Арендная и концессионная плата, лизинговые платежи")</f>
        <v>0</v>
      </c>
      <c r="AN248" s="1123">
        <f>_xlfn.SUMIFS(Аренда!AM$25:AM$67,Аренда!$F$25:$F$67,$F248,Аренда!$G$25:$G$67,"Арендная и концессионная плата, лизинговые платежи")</f>
        <v>0</v>
      </c>
      <c r="AO248" s="1123">
        <f>_xlfn.SUMIFS(Аренда!AN$25:AN$67,Аренда!$F$25:$F$67,$F248,Аренда!$G$25:$G$67,"Арендная и концессионная плата, лизинговые платежи")</f>
        <v>0</v>
      </c>
      <c r="AP248" s="1123">
        <f>_xlfn.SUMIFS(Аренда!AO$25:AO$67,Аренда!$F$25:$F$67,$F248,Аренда!$G$25:$G$67,"Арендная и концессионная плата, лизинговые платежи")</f>
        <v>0</v>
      </c>
      <c r="AQ248" s="1123">
        <f>_xlfn.SUMIFS(Аренда!AP$25:AP$67,Аренда!$F$25:$F$67,$F248,Аренда!$G$25:$G$67,"Арендная и концессионная плата, лизинговые платежи")</f>
        <v>0</v>
      </c>
      <c r="AR248" s="1123">
        <f>_xlfn.SUMIFS(Аренда!AQ$25:AQ$67,Аренда!$F$25:$F$67,$F248,Аренда!$G$25:$G$67,"Арендная и концессионная плата, лизинговые платежи")</f>
        <v>0</v>
      </c>
      <c r="AS248" s="1123">
        <f>_xlfn.SUMIFS(Аренда!AR$25:AR$67,Аренда!$F$25:$F$67,$F248,Аренда!$G$25:$G$67,"Арендная и концессионная плата, лизинговые платежи")</f>
        <v>0</v>
      </c>
      <c r="AT248" s="1123">
        <f>_xlfn.SUMIFS(Аренда!AS$25:AS$67,Аренда!$F$25:$F$67,$F248,Аренда!$G$25:$G$67,"Арендная и концессионная плата, лизинговые платежи")</f>
        <v>2149.2</v>
      </c>
      <c r="AU248" s="1123">
        <f>_xlfn.SUMIFS(Аренда!AT$25:AT$67,Аренда!$F$25:$F$67,$F248,Аренда!$G$25:$G$67,"Арендная и концессионная плата, лизинговые платежи")</f>
        <v>0</v>
      </c>
      <c r="AV248" s="1123">
        <f>_xlfn.SUMIFS(Аренда!AU$25:AU$67,Аренда!$F$25:$F$67,$F248,Аренда!$G$25:$G$67,"Арендная и концессионная плата, лизинговые платежи")</f>
        <v>0</v>
      </c>
      <c r="AW248" s="1123">
        <f>_xlfn.SUMIFS(Аренда!AV$25:AV$67,Аренда!$F$25:$F$67,$F248,Аренда!$G$25:$G$67,"Арендная и концессионная плата, лизинговые платежи")</f>
        <v>0</v>
      </c>
      <c r="AX248" s="1123">
        <f>_xlfn.SUMIFS(Аренда!AW$25:AW$67,Аренда!$F$25:$F$67,$F248,Аренда!$G$25:$G$67,"Арендная и концессионная плата, лизинговые платежи")</f>
        <v>0</v>
      </c>
      <c r="AY248" s="1123">
        <f>_xlfn.SUMIFS(Аренда!AX$25:AX$67,Аренда!$F$25:$F$67,$F248,Аренда!$G$25:$G$67,"Арендная и концессионная плата, лизинговые платежи")</f>
        <v>0</v>
      </c>
      <c r="AZ248" s="1123">
        <f>_xlfn.SUMIFS(Аренда!AY$25:AY$67,Аренда!$F$25:$F$67,$F248,Аренда!$G$25:$G$67,"Арендная и концессионная плата, лизинговые платежи")</f>
        <v>0</v>
      </c>
      <c r="BA248" s="1123">
        <f>_xlfn.SUMIFS(Аренда!AZ$25:AZ$67,Аренда!$F$25:$F$67,$F248,Аренда!$G$25:$G$67,"Арендная и концессионная плата, лизинговые платежи")</f>
        <v>0</v>
      </c>
      <c r="BB248" s="1123">
        <f>_xlfn.SUMIFS(Аренда!BA$25:BA$67,Аренда!$F$25:$F$67,$F248,Аренда!$G$25:$G$67,"Арендная и концессионная плата, лизинговые платежи")</f>
        <v>0</v>
      </c>
      <c r="BC248" s="1123">
        <f>_xlfn.SUMIFS(Аренда!BB$25:BB$67,Аренда!$F$25:$F$67,$F248,Аренда!$G$25:$G$67,"Арендная и концессионная плата, лизинговые платежи")</f>
        <v>0</v>
      </c>
      <c r="BD248" s="1123">
        <f>IF(AI248=0,0,(AT248-AI248)/AI248*100)</f>
        <v>194.427091895446</v>
      </c>
      <c r="BE248" s="1123">
        <f>IF(AT248=0,0,(AU248-AT248)/AT248*100)</f>
        <v>-100</v>
      </c>
      <c r="BF248" s="1123">
        <f>IF(AU248=0,0,(AV248-AU248)/AU248*100)</f>
        <v>0</v>
      </c>
      <c r="BG248" s="1123">
        <f>IF(AV248=0,0,(AW248-AV248)/AV248*100)</f>
        <v>0</v>
      </c>
      <c r="BH248" s="1123">
        <f>IF(AW248=0,0,(AX248-AW248)/AW248*100)</f>
        <v>0</v>
      </c>
      <c r="BI248" s="1123">
        <f>IF(AX248=0,0,(AY248-AX248)/AX248*100)</f>
        <v>0</v>
      </c>
      <c r="BJ248" s="1123">
        <f>IF(AY248=0,0,(AZ248-AY248)/AY248*100)</f>
        <v>0</v>
      </c>
      <c r="BK248" s="1123">
        <f>IF(AZ248=0,0,(BA248-AZ248)/AZ248*100)</f>
        <v>0</v>
      </c>
      <c r="BL248" s="1123">
        <f>IF(BA248=0,0,(BB248-BA248)/BA248*100)</f>
        <v>0</v>
      </c>
      <c r="BM248" s="1123">
        <f>IF(BB248=0,0,(BC248-BB248)/BB248*100)</f>
        <v>0</v>
      </c>
      <c r="BN248" s="6290"/>
      <c r="BO248" s="6345" t="str">
        <f>IF(_xlfn.IFERROR(INDEX(Аренда!$K$26:$L$67,MATCH($F248&amp;"komm",Аренда!$K$26:$K$67,0),2),"")=0,"",_xlfn.IFERROR(INDEX(Аренда!$K$26:$L$67,MATCH($F248&amp;"komm",Аренда!$K$26:$K$67,0),2),""))</f>
        <v>П. 29 "Методических указаний…" ФСТ России (приказ от 27.12.2013 № 1746-э).</v>
      </c>
      <c r="BP248" s="6290"/>
      <c r="BQ248" s="1297"/>
      <c r="BR248" s="1297"/>
      <c r="BS248" s="1072" t="s">
        <v>2342</v>
      </c>
      <c r="BT248" s="1072"/>
      <c r="BU248" s="1072"/>
      <c r="BV248" s="987"/>
      <c r="BW248" s="987"/>
    </row>
    <row s="1656" customFormat="1" customHeight="1" ht="14.25">
      <c r="A249" s="1297"/>
      <c r="B249" s="434">
        <f>STATUS_GO="да"</f>
        <v>0</v>
      </c>
      <c r="C249" s="103"/>
      <c r="D249" s="103"/>
      <c r="E249" s="626">
        <v>15</v>
      </c>
      <c r="F249" s="50" cm="1" t="str">
        <f t="array" ref="F249:F249">OFFSET(E249,-1,1)</f>
        <v>1</v>
      </c>
      <c r="G249" s="103"/>
      <c r="H249" s="103"/>
      <c r="I249" s="103" t="s">
        <v>2343</v>
      </c>
      <c r="J249" s="103"/>
      <c r="K249" s="154" t="s">
        <v>2343</v>
      </c>
      <c r="L249" s="988"/>
      <c r="M249" s="103"/>
      <c r="N249" s="103"/>
      <c r="O249" s="103"/>
      <c r="P249" s="103"/>
      <c r="Q249" s="103"/>
      <c r="R249" s="103"/>
      <c r="S249" s="103"/>
      <c r="T249" s="468" cm="1" t="str">
        <f t="array" ref="T249:T249">T248</f>
        <v>true</v>
      </c>
      <c r="U249" s="103"/>
      <c r="V249" s="103"/>
      <c r="W249" s="103"/>
      <c r="X249" s="1559"/>
      <c r="Y249" s="1297"/>
      <c r="Z249" s="1529"/>
      <c r="AA249" s="1297"/>
      <c r="AB249" s="296" t="s">
        <v>1737</v>
      </c>
      <c r="AC249" s="769" t="s">
        <v>2344</v>
      </c>
      <c r="AD249" s="296" t="s">
        <v>936</v>
      </c>
      <c r="AE249" s="6293" cm="1" t="str">
        <f t="array" ref="AE249:AE249">AE250</f>
        <v>0</v>
      </c>
      <c r="AF249" s="6293" cm="1" t="str">
        <f t="array" ref="AF249:AF249">AF250</f>
        <v>0</v>
      </c>
      <c r="AG249" s="6293" cm="1" t="str">
        <f t="array" ref="AG249:AG249">AG250</f>
        <v>0</v>
      </c>
      <c r="AH249" s="1123">
        <f>AG249-AF249</f>
        <v>0</v>
      </c>
      <c r="AI249" s="6293" cm="1" t="str">
        <f t="array" ref="AI249:AI249">AI250</f>
        <v>0</v>
      </c>
      <c r="AJ249" s="6293" cm="1" t="str">
        <f t="array" ref="AJ249:AJ249">AJ250</f>
        <v>0</v>
      </c>
      <c r="AK249" s="1260" cm="1" t="str">
        <f t="array" ref="AK249:AK249">AK250</f>
        <v>0</v>
      </c>
      <c r="AL249" s="1260" cm="1" t="str">
        <f t="array" ref="AL249:AL249">AL250</f>
        <v>0</v>
      </c>
      <c r="AM249" s="1260" cm="1" t="str">
        <f t="array" ref="AM249:AM249">AM250</f>
        <v>0</v>
      </c>
      <c r="AN249" s="1260" cm="1" t="str">
        <f t="array" ref="AN249:AN249">AN250</f>
        <v>0</v>
      </c>
      <c r="AO249" s="1260" cm="1" t="str">
        <f t="array" ref="AO249:AO249">AO250</f>
        <v>0</v>
      </c>
      <c r="AP249" s="1260" cm="1" t="str">
        <f t="array" ref="AP249:AP249">AP250</f>
        <v>0</v>
      </c>
      <c r="AQ249" s="1260" cm="1" t="str">
        <f t="array" ref="AQ249:AQ249">AQ250</f>
        <v>0</v>
      </c>
      <c r="AR249" s="1260" cm="1" t="str">
        <f t="array" ref="AR249:AR249">AR250</f>
        <v>0</v>
      </c>
      <c r="AS249" s="1260" cm="1" t="str">
        <f t="array" ref="AS249:AS249">AS250</f>
        <v>0</v>
      </c>
      <c r="AT249" s="6293" cm="1" t="str">
        <f t="array" ref="AT249:AT249">AT250</f>
        <v>0</v>
      </c>
      <c r="AU249" s="1260" cm="1" t="str">
        <f t="array" ref="AU249:AU249">AU250</f>
        <v>0</v>
      </c>
      <c r="AV249" s="1260" cm="1" t="str">
        <f t="array" ref="AV249:AV249">AV250</f>
        <v>0</v>
      </c>
      <c r="AW249" s="1260" cm="1" t="str">
        <f t="array" ref="AW249:AW249">AW250</f>
        <v>0</v>
      </c>
      <c r="AX249" s="1260" cm="1" t="str">
        <f t="array" ref="AX249:AX249">AX250</f>
        <v>0</v>
      </c>
      <c r="AY249" s="1260" cm="1" t="str">
        <f t="array" ref="AY249:AY249">AY250</f>
        <v>0</v>
      </c>
      <c r="AZ249" s="1260" cm="1" t="str">
        <f t="array" ref="AZ249:AZ249">AZ250</f>
        <v>0</v>
      </c>
      <c r="BA249" s="1260" cm="1" t="str">
        <f t="array" ref="BA249:BA249">BA250</f>
        <v>0</v>
      </c>
      <c r="BB249" s="1260" cm="1" t="str">
        <f t="array" ref="BB249:BB249">BB250</f>
        <v>0</v>
      </c>
      <c r="BC249" s="1260" cm="1" t="str">
        <f t="array" ref="BC249:BC249">BC250</f>
        <v>0</v>
      </c>
      <c r="BD249" s="1123">
        <f>IF(AI249=0,0,(AT249-AI249)/AI249*100)</f>
        <v>0</v>
      </c>
      <c r="BE249" s="1123">
        <f>IF(AT249=0,0,(AU249-AT249)/AT249*100)</f>
        <v>0</v>
      </c>
      <c r="BF249" s="1123">
        <f>IF(AU249=0,0,(AV249-AU249)/AU249*100)</f>
        <v>0</v>
      </c>
      <c r="BG249" s="1123">
        <f>IF(AV249=0,0,(AW249-AV249)/AV249*100)</f>
        <v>0</v>
      </c>
      <c r="BH249" s="1123">
        <f>IF(AW249=0,0,(AX249-AW249)/AW249*100)</f>
        <v>0</v>
      </c>
      <c r="BI249" s="1123">
        <f>IF(AX249=0,0,(AY249-AX249)/AX249*100)</f>
        <v>0</v>
      </c>
      <c r="BJ249" s="1123">
        <f>IF(AY249=0,0,(AZ249-AY249)/AY249*100)</f>
        <v>0</v>
      </c>
      <c r="BK249" s="1123">
        <f>IF(AZ249=0,0,(BA249-AZ249)/AZ249*100)</f>
        <v>0</v>
      </c>
      <c r="BL249" s="1123">
        <f>IF(BA249=0,0,(BB249-BA249)/BA249*100)</f>
        <v>0</v>
      </c>
      <c r="BM249" s="1123">
        <f>IF(BB249=0,0,(BC249-BB249)/BB249*100)</f>
        <v>0</v>
      </c>
      <c r="BN249" s="6290"/>
      <c r="BO249" s="6290"/>
      <c r="BP249" s="6290"/>
      <c r="BQ249" s="1297"/>
      <c r="BR249" s="1297"/>
      <c r="BS249" s="1072" t="s">
        <v>2345</v>
      </c>
      <c r="BT249" s="1072"/>
      <c r="BU249" s="1072"/>
      <c r="BV249" s="987"/>
      <c r="BW249" s="987"/>
    </row>
    <row s="1656" customFormat="1" customHeight="1" ht="14.25">
      <c r="A250" s="1297"/>
      <c r="B250" s="434">
        <f>STATUS_GO="да"</f>
        <v>0</v>
      </c>
      <c r="C250" s="103"/>
      <c r="D250" s="103"/>
      <c r="E250" s="626">
        <v>15</v>
      </c>
      <c r="F250" s="50" cm="1" t="str">
        <f t="array" ref="F250:F250">OFFSET(E250,-1,1)</f>
        <v>1</v>
      </c>
      <c r="G250" s="103" t="s">
        <v>1679</v>
      </c>
      <c r="H250" s="103"/>
      <c r="I250" s="103" t="s">
        <v>2346</v>
      </c>
      <c r="J250" s="103"/>
      <c r="K250" s="154" t="s">
        <v>2346</v>
      </c>
      <c r="L250" s="988"/>
      <c r="M250" s="103"/>
      <c r="N250" s="103"/>
      <c r="O250" s="103"/>
      <c r="P250" s="103"/>
      <c r="Q250" s="103"/>
      <c r="R250" s="103"/>
      <c r="S250" s="103"/>
      <c r="T250" s="468" cm="1" t="str">
        <f t="array" ref="T250:T250">T249</f>
        <v>true</v>
      </c>
      <c r="U250" s="103"/>
      <c r="V250" s="103"/>
      <c r="W250" s="103"/>
      <c r="X250" s="1559"/>
      <c r="Y250" s="1297"/>
      <c r="Z250" s="1529"/>
      <c r="AA250" s="1297"/>
      <c r="AB250" s="296" t="s">
        <v>2347</v>
      </c>
      <c r="AC250" s="772" t="s">
        <v>1679</v>
      </c>
      <c r="AD250" s="296" t="s">
        <v>936</v>
      </c>
      <c r="AE250" s="1123">
        <f>_xlfn.SUMIFS('Сбытовые расходы ГО'!AE$25:AE$75,'Сбытовые расходы ГО'!$F$25:$F$75,$F250,'Сбытовые расходы ГО'!$G$25:$G$75,"l1")</f>
        <v>0</v>
      </c>
      <c r="AF250" s="1123">
        <f>_xlfn.SUMIFS('Сбытовые расходы ГО'!AF$25:AF$75,'Сбытовые расходы ГО'!$F$25:$F$75,$F250,'Сбытовые расходы ГО'!$G$25:$G$75,"l1")</f>
        <v>0</v>
      </c>
      <c r="AG250" s="1123">
        <f>_xlfn.SUMIFS('Сбытовые расходы ГО'!AG$25:AG$75,'Сбытовые расходы ГО'!$F$25:$F$75,$F250,'Сбытовые расходы ГО'!$G$25:$G$75,"l1")</f>
        <v>0</v>
      </c>
      <c r="AH250" s="1123">
        <f>AG250-AF250</f>
        <v>0</v>
      </c>
      <c r="AI250" s="1123">
        <f>_xlfn.SUMIFS('Сбытовые расходы ГО'!AH$25:AH$75,'Сбытовые расходы ГО'!$F$25:$F$75,$F250,'Сбытовые расходы ГО'!$G$25:$G$75,"l1")</f>
        <v>0</v>
      </c>
      <c r="AJ250" s="1123">
        <f>_xlfn.SUMIFS('Сбытовые расходы ГО'!AI$25:AI$75,'Сбытовые расходы ГО'!$F$25:$F$75,$F250,'Сбытовые расходы ГО'!$G$25:$G$75,"l1")</f>
        <v>0</v>
      </c>
      <c r="AK250" s="1260"/>
      <c r="AL250" s="1260"/>
      <c r="AM250" s="1260"/>
      <c r="AN250" s="1260"/>
      <c r="AO250" s="1260"/>
      <c r="AP250" s="1260"/>
      <c r="AQ250" s="1260"/>
      <c r="AR250" s="1260"/>
      <c r="AS250" s="1260"/>
      <c r="AT250" s="1123">
        <f>_xlfn.SUMIFS('Сбытовые расходы ГО'!AJ$25:AJ$75,'Сбытовые расходы ГО'!$F$25:$F$75,$F250,'Сбытовые расходы ГО'!$G$25:$G$75,"l1")</f>
        <v>0</v>
      </c>
      <c r="AU250" s="1260"/>
      <c r="AV250" s="1260"/>
      <c r="AW250" s="1260"/>
      <c r="AX250" s="1260"/>
      <c r="AY250" s="1260"/>
      <c r="AZ250" s="1260"/>
      <c r="BA250" s="1260"/>
      <c r="BB250" s="1260"/>
      <c r="BC250" s="1260"/>
      <c r="BD250" s="1123">
        <f>IF(AI250=0,0,(AT250-AI250)/AI250*100)</f>
        <v>0</v>
      </c>
      <c r="BE250" s="1123">
        <f>IF(AT250=0,0,(AU250-AT250)/AT250*100)</f>
        <v>0</v>
      </c>
      <c r="BF250" s="1123">
        <f>IF(AU250=0,0,(AV250-AU250)/AU250*100)</f>
        <v>0</v>
      </c>
      <c r="BG250" s="1123">
        <f>IF(AV250=0,0,(AW250-AV250)/AV250*100)</f>
        <v>0</v>
      </c>
      <c r="BH250" s="1123">
        <f>IF(AW250=0,0,(AX250-AW250)/AW250*100)</f>
        <v>0</v>
      </c>
      <c r="BI250" s="1123">
        <f>IF(AX250=0,0,(AY250-AX250)/AX250*100)</f>
        <v>0</v>
      </c>
      <c r="BJ250" s="1123">
        <f>IF(AY250=0,0,(AZ250-AY250)/AY250*100)</f>
        <v>0</v>
      </c>
      <c r="BK250" s="1123">
        <f>IF(AZ250=0,0,(BA250-AZ250)/AZ250*100)</f>
        <v>0</v>
      </c>
      <c r="BL250" s="1123">
        <f>IF(BA250=0,0,(BB250-BA250)/BA250*100)</f>
        <v>0</v>
      </c>
      <c r="BM250" s="1123">
        <f>IF(BB250=0,0,(BC250-BB250)/BB250*100)</f>
        <v>0</v>
      </c>
      <c r="BN250" s="6290"/>
      <c r="BO250" s="6345" t="str">
        <f>IF(_xlfn.IFERROR(INDEX('Сбытовые расходы ГО'!$K$26:$M$75,MATCH($F250&amp;"komm",'Сбытовые расходы ГО'!$K$26:$K$75,0),2),"")=0,"",_xlfn.IFERROR(INDEX('Сбытовые расходы ГО'!$K$26:$M$75,MATCH($F250&amp;"komm",'Сбытовые расходы ГО'!$K$26:$K$75,0),2),""))</f>
        <v/>
      </c>
      <c r="BP250" s="6290"/>
      <c r="BQ250" s="1297"/>
      <c r="BR250" s="1297"/>
      <c r="BS250" s="1072" t="s">
        <v>2348</v>
      </c>
      <c r="BT250" s="1072"/>
      <c r="BU250" s="1072"/>
      <c r="BV250" s="987"/>
      <c r="BW250" s="987"/>
    </row>
    <row s="1656" customFormat="1" customHeight="1" ht="14.625">
      <c r="A251" s="1297"/>
      <c r="B251" s="986"/>
      <c r="C251" s="103"/>
      <c r="D251" s="103"/>
      <c r="E251" s="626">
        <v>15</v>
      </c>
      <c r="F251" s="50" cm="1" t="str">
        <f t="array" ref="F251:F251">OFFSET(E251,-1,1)</f>
        <v>1</v>
      </c>
      <c r="G251" s="103" t="s">
        <v>1684</v>
      </c>
      <c r="H251" s="103"/>
      <c r="I251" s="103" t="s">
        <v>2349</v>
      </c>
      <c r="J251" s="103"/>
      <c r="K251" s="154" t="s">
        <v>2349</v>
      </c>
      <c r="L251" s="988"/>
      <c r="M251" s="103"/>
      <c r="N251" s="103"/>
      <c r="O251" s="103"/>
      <c r="P251" s="103"/>
      <c r="Q251" s="103"/>
      <c r="R251" s="103"/>
      <c r="S251" s="103"/>
      <c r="T251" s="468" cm="1" t="str">
        <f t="array" ref="T251:T251">T250</f>
        <v>true</v>
      </c>
      <c r="U251" s="103"/>
      <c r="V251" s="103"/>
      <c r="W251" s="103"/>
      <c r="X251" s="1559"/>
      <c r="Y251" s="1297"/>
      <c r="Z251" s="1529"/>
      <c r="AA251" s="1297"/>
      <c r="AB251" s="296" t="s">
        <v>1742</v>
      </c>
      <c r="AC251" s="769" t="s">
        <v>1684</v>
      </c>
      <c r="AD251" s="296" t="s">
        <v>936</v>
      </c>
      <c r="AE251" s="6293">
        <v>0</v>
      </c>
      <c r="AF251" s="6293"/>
      <c r="AG251" s="6293"/>
      <c r="AH251" s="1123">
        <f>AG251-AF251</f>
        <v>0</v>
      </c>
      <c r="AI251" s="6293">
        <v>0</v>
      </c>
      <c r="AJ251" s="6293">
        <f>_xlfn.SUMIFS(Экономия_корр!AE$25:AE$59,Экономия_корр!$F$25:$F$59,$F251,Экономия_корр!$AC$25:$AC$59,"Экономия расходов с учетом ИПЦ")</f>
        <v>0</v>
      </c>
      <c r="AK251" s="1260">
        <f>_xlfn.SUMIFS(Экономия_корр!AF$25:AF$59,Экономия_корр!$F$25:$F$59,$F251,Экономия_корр!$AC$25:$AC$59,"Экономия расходов с учетом ИПЦ")</f>
        <v>0</v>
      </c>
      <c r="AL251" s="1260">
        <f>_xlfn.SUMIFS(Экономия_корр!AG$25:AG$59,Экономия_корр!$F$25:$F$59,$F251,Экономия_корр!$AC$25:$AC$59,"Экономия расходов с учетом ИПЦ")</f>
        <v>0</v>
      </c>
      <c r="AM251" s="1260">
        <f>_xlfn.SUMIFS(Экономия_корр!AH$25:AH$59,Экономия_корр!$F$25:$F$59,$F251,Экономия_корр!$AC$25:$AC$59,"Экономия расходов с учетом ИПЦ")</f>
        <v>0</v>
      </c>
      <c r="AN251" s="1260">
        <f>_xlfn.SUMIFS(Экономия_корр!AI$25:AI$59,Экономия_корр!$F$25:$F$59,$F251,Экономия_корр!$AC$25:$AC$59,"Экономия расходов с учетом ИПЦ")</f>
        <v>0</v>
      </c>
      <c r="AO251" s="1260">
        <f>_xlfn.SUMIFS(Экономия_корр!AJ$25:AJ$59,Экономия_корр!$F$25:$F$59,$F251,Экономия_корр!$AC$25:$AC$59,"Экономия расходов с учетом ИПЦ")</f>
        <v>0</v>
      </c>
      <c r="AP251" s="1260">
        <f>_xlfn.SUMIFS(Экономия_корр!AK$25:AK$59,Экономия_корр!$F$25:$F$59,$F251,Экономия_корр!$AC$25:$AC$59,"Экономия расходов с учетом ИПЦ")</f>
        <v>0</v>
      </c>
      <c r="AQ251" s="1260">
        <f>_xlfn.SUMIFS(Экономия_корр!AL$25:AL$59,Экономия_корр!$F$25:$F$59,$F251,Экономия_корр!$AC$25:$AC$59,"Экономия расходов с учетом ИПЦ")</f>
        <v>0</v>
      </c>
      <c r="AR251" s="1260">
        <f>_xlfn.SUMIFS(Экономия_корр!AM$25:AM$59,Экономия_корр!$F$25:$F$59,$F251,Экономия_корр!$AC$25:$AC$59,"Экономия расходов с учетом ИПЦ")</f>
        <v>0</v>
      </c>
      <c r="AS251" s="1260">
        <f>_xlfn.SUMIFS(Экономия_корр!AN$25:AN$59,Экономия_корр!$F$25:$F$59,$F251,Экономия_корр!$AC$25:$AC$59,"Экономия расходов с учетом ИПЦ")</f>
        <v>0</v>
      </c>
      <c r="AT251" s="6293">
        <f>_xlfn.SUMIFS(Экономия_корр!AO$25:AO$59,Экономия_корр!$F$25:$F$59,$F251,Экономия_корр!$AC$25:$AC$59,"Экономия расходов с учетом ИПЦ")</f>
        <v>0</v>
      </c>
      <c r="AU251" s="1260">
        <f>_xlfn.SUMIFS(Экономия_корр!AP$25:AP$59,Экономия_корр!$F$25:$F$59,$F251,Экономия_корр!$AC$25:$AC$59,"Экономия расходов с учетом ИПЦ")</f>
        <v>0</v>
      </c>
      <c r="AV251" s="1260">
        <f>_xlfn.SUMIFS(Экономия_корр!AQ$25:AQ$59,Экономия_корр!$F$25:$F$59,$F251,Экономия_корр!$AC$25:$AC$59,"Экономия расходов с учетом ИПЦ")</f>
        <v>0</v>
      </c>
      <c r="AW251" s="1260">
        <f>_xlfn.SUMIFS(Экономия_корр!AR$25:AR$59,Экономия_корр!$F$25:$F$59,$F251,Экономия_корр!$AC$25:$AC$59,"Экономия расходов с учетом ИПЦ")</f>
        <v>0</v>
      </c>
      <c r="AX251" s="1260">
        <f>_xlfn.SUMIFS(Экономия_корр!AS$25:AS$59,Экономия_корр!$F$25:$F$59,$F251,Экономия_корр!$AC$25:$AC$59,"Экономия расходов с учетом ИПЦ")</f>
        <v>0</v>
      </c>
      <c r="AY251" s="1260">
        <f>_xlfn.SUMIFS(Экономия_корр!AT$25:AT$59,Экономия_корр!$F$25:$F$59,$F251,Экономия_корр!$AC$25:$AC$59,"Экономия расходов с учетом ИПЦ")</f>
        <v>0</v>
      </c>
      <c r="AZ251" s="1260">
        <f>_xlfn.SUMIFS(Экономия_корр!AU$25:AU$59,Экономия_корр!$F$25:$F$59,$F251,Экономия_корр!$AC$25:$AC$59,"Экономия расходов с учетом ИПЦ")</f>
        <v>0</v>
      </c>
      <c r="BA251" s="1260">
        <f>_xlfn.SUMIFS(Экономия_корр!AV$25:AV$59,Экономия_корр!$F$25:$F$59,$F251,Экономия_корр!$AC$25:$AC$59,"Экономия расходов с учетом ИПЦ")</f>
        <v>0</v>
      </c>
      <c r="BB251" s="1260">
        <f>_xlfn.SUMIFS(Экономия_корр!AW$25:AW$59,Экономия_корр!$F$25:$F$59,$F251,Экономия_корр!$AC$25:$AC$59,"Экономия расходов с учетом ИПЦ")</f>
        <v>0</v>
      </c>
      <c r="BC251" s="1260">
        <f>_xlfn.SUMIFS(Экономия_корр!AX$25:AX$59,Экономия_корр!$F$25:$F$59,$F251,Экономия_корр!$AC$25:$AC$59,"Экономия расходов с учетом ИПЦ")</f>
        <v>0</v>
      </c>
      <c r="BD251" s="1123">
        <f>IF(AI251=0,0,(AT251-AI251)/AI251*100)</f>
        <v>0</v>
      </c>
      <c r="BE251" s="1123">
        <f>IF(AT251=0,0,(AU251-AT251)/AT251*100)</f>
        <v>0</v>
      </c>
      <c r="BF251" s="1123">
        <f>IF(AU251=0,0,(AV251-AU251)/AU251*100)</f>
        <v>0</v>
      </c>
      <c r="BG251" s="1123">
        <f>IF(AV251=0,0,(AW251-AV251)/AV251*100)</f>
        <v>0</v>
      </c>
      <c r="BH251" s="1123">
        <f>IF(AW251=0,0,(AX251-AW251)/AW251*100)</f>
        <v>0</v>
      </c>
      <c r="BI251" s="1123">
        <f>IF(AX251=0,0,(AY251-AX251)/AX251*100)</f>
        <v>0</v>
      </c>
      <c r="BJ251" s="1123">
        <f>IF(AY251=0,0,(AZ251-AY251)/AY251*100)</f>
        <v>0</v>
      </c>
      <c r="BK251" s="1123">
        <f>IF(AZ251=0,0,(BA251-AZ251)/AZ251*100)</f>
        <v>0</v>
      </c>
      <c r="BL251" s="1123">
        <f>IF(BA251=0,0,(BB251-BA251)/BA251*100)</f>
        <v>0</v>
      </c>
      <c r="BM251" s="1123">
        <f>IF(BB251=0,0,(BC251-BB251)/BB251*100)</f>
        <v>0</v>
      </c>
      <c r="BN251" s="6290"/>
      <c r="BO251" s="6290"/>
      <c r="BP251" s="6290"/>
      <c r="BQ251" s="1297"/>
      <c r="BR251" s="1297"/>
      <c r="BS251" s="1072" t="s">
        <v>2350</v>
      </c>
      <c r="BT251" s="1072"/>
      <c r="BU251" s="1072"/>
      <c r="BV251" s="987"/>
      <c r="BW251" s="987"/>
    </row>
    <row s="1656" customFormat="1" customHeight="1" ht="14.25">
      <c r="A252" s="1297"/>
      <c r="B252" s="986"/>
      <c r="C252" s="103"/>
      <c r="D252" s="103"/>
      <c r="E252" s="626">
        <v>15</v>
      </c>
      <c r="F252" s="50" cm="1" t="str">
        <f t="array" ref="F252:F252">OFFSET(E252,-1,1)</f>
        <v>1</v>
      </c>
      <c r="G252" s="103" t="s">
        <v>1689</v>
      </c>
      <c r="H252" s="103"/>
      <c r="I252" s="103" t="s">
        <v>2351</v>
      </c>
      <c r="J252" s="103"/>
      <c r="K252" s="154" t="s">
        <v>2351</v>
      </c>
      <c r="L252" s="988"/>
      <c r="M252" s="103"/>
      <c r="N252" s="103"/>
      <c r="O252" s="103"/>
      <c r="P252" s="103"/>
      <c r="Q252" s="103"/>
      <c r="R252" s="103"/>
      <c r="S252" s="103"/>
      <c r="T252" s="468" cm="1" t="str">
        <f t="array" ref="T252:T252">T251</f>
        <v>true</v>
      </c>
      <c r="U252" s="103"/>
      <c r="V252" s="103"/>
      <c r="W252" s="103"/>
      <c r="X252" s="1559"/>
      <c r="Y252" s="1297"/>
      <c r="Z252" s="1529"/>
      <c r="AA252" s="1297"/>
      <c r="AB252" s="296" t="s">
        <v>2352</v>
      </c>
      <c r="AC252" s="769" t="s">
        <v>1689</v>
      </c>
      <c r="AD252" s="296" t="s">
        <v>936</v>
      </c>
      <c r="AE252" s="6293"/>
      <c r="AF252" s="6293"/>
      <c r="AG252" s="6293"/>
      <c r="AH252" s="1123">
        <f>AG252-AF252</f>
        <v>0</v>
      </c>
      <c r="AI252" s="6293"/>
      <c r="AJ252" s="6293"/>
      <c r="AK252" s="1260"/>
      <c r="AL252" s="1260"/>
      <c r="AM252" s="1260"/>
      <c r="AN252" s="1260"/>
      <c r="AO252" s="1260"/>
      <c r="AP252" s="1260"/>
      <c r="AQ252" s="1260"/>
      <c r="AR252" s="1260"/>
      <c r="AS252" s="1260"/>
      <c r="AT252" s="6293"/>
      <c r="AU252" s="1260"/>
      <c r="AV252" s="1260"/>
      <c r="AW252" s="1260"/>
      <c r="AX252" s="1260"/>
      <c r="AY252" s="1260"/>
      <c r="AZ252" s="1260"/>
      <c r="BA252" s="1260"/>
      <c r="BB252" s="1260"/>
      <c r="BC252" s="1260"/>
      <c r="BD252" s="1123">
        <f>IF(AI252=0,0,(AT252-AI252)/AI252*100)</f>
        <v>0</v>
      </c>
      <c r="BE252" s="1123">
        <f>IF(AT252=0,0,(AU252-AT252)/AT252*100)</f>
        <v>0</v>
      </c>
      <c r="BF252" s="1123">
        <f>IF(AU252=0,0,(AV252-AU252)/AU252*100)</f>
        <v>0</v>
      </c>
      <c r="BG252" s="1123">
        <f>IF(AV252=0,0,(AW252-AV252)/AV252*100)</f>
        <v>0</v>
      </c>
      <c r="BH252" s="1123">
        <f>IF(AW252=0,0,(AX252-AW252)/AW252*100)</f>
        <v>0</v>
      </c>
      <c r="BI252" s="1123">
        <f>IF(AX252=0,0,(AY252-AX252)/AX252*100)</f>
        <v>0</v>
      </c>
      <c r="BJ252" s="1123">
        <f>IF(AY252=0,0,(AZ252-AY252)/AY252*100)</f>
        <v>0</v>
      </c>
      <c r="BK252" s="1123">
        <f>IF(AZ252=0,0,(BA252-AZ252)/AZ252*100)</f>
        <v>0</v>
      </c>
      <c r="BL252" s="1123">
        <f>IF(BA252=0,0,(BB252-BA252)/BA252*100)</f>
        <v>0</v>
      </c>
      <c r="BM252" s="1123">
        <f>IF(BB252=0,0,(BC252-BB252)/BB252*100)</f>
        <v>0</v>
      </c>
      <c r="BN252" s="6290"/>
      <c r="BO252" s="6290"/>
      <c r="BP252" s="6290"/>
      <c r="BQ252" s="1297"/>
      <c r="BR252" s="1297"/>
      <c r="BS252" s="1072" t="s">
        <v>2089</v>
      </c>
      <c r="BT252" s="1072"/>
      <c r="BU252" s="1072"/>
      <c r="BV252" s="987"/>
      <c r="BW252" s="987"/>
    </row>
    <row s="1656" customFormat="1" customHeight="1" ht="14.625">
      <c r="A253" s="1297"/>
      <c r="B253" s="986"/>
      <c r="C253" s="103"/>
      <c r="D253" s="103"/>
      <c r="E253" s="626">
        <v>15</v>
      </c>
      <c r="F253" s="50" cm="1" t="str">
        <f t="array" ref="F253:F253">OFFSET(E253,-1,1)</f>
        <v>1</v>
      </c>
      <c r="G253" s="103" t="s">
        <v>1694</v>
      </c>
      <c r="H253" s="103"/>
      <c r="I253" s="103" t="s">
        <v>2353</v>
      </c>
      <c r="J253" s="103"/>
      <c r="K253" s="154" t="s">
        <v>2353</v>
      </c>
      <c r="L253" s="988"/>
      <c r="M253" s="103"/>
      <c r="N253" s="103"/>
      <c r="O253" s="103"/>
      <c r="P253" s="103"/>
      <c r="Q253" s="103"/>
      <c r="R253" s="103"/>
      <c r="S253" s="103"/>
      <c r="T253" s="468" cm="1" t="str">
        <f t="array" ref="T253:T253">T252</f>
        <v>true</v>
      </c>
      <c r="U253" s="103"/>
      <c r="V253" s="103"/>
      <c r="W253" s="103"/>
      <c r="X253" s="1559"/>
      <c r="Y253" s="1297"/>
      <c r="Z253" s="1529"/>
      <c r="AA253" s="1297"/>
      <c r="AB253" s="296" t="s">
        <v>1761</v>
      </c>
      <c r="AC253" s="769" t="s">
        <v>1694</v>
      </c>
      <c r="AD253" s="296" t="s">
        <v>936</v>
      </c>
      <c r="AE253" s="6293">
        <v>306.93</v>
      </c>
      <c r="AF253" s="6293"/>
      <c r="AG253" s="6293"/>
      <c r="AH253" s="1123">
        <f>AG253-AF253</f>
        <v>0</v>
      </c>
      <c r="AI253" s="6293">
        <v>7917.65</v>
      </c>
      <c r="AJ253" s="6293"/>
      <c r="AK253" s="1260"/>
      <c r="AL253" s="1260"/>
      <c r="AM253" s="1260"/>
      <c r="AN253" s="1260"/>
      <c r="AO253" s="1260"/>
      <c r="AP253" s="1260"/>
      <c r="AQ253" s="1260"/>
      <c r="AR253" s="1260"/>
      <c r="AS253" s="1260"/>
      <c r="AT253" s="6293"/>
      <c r="AU253" s="1260"/>
      <c r="AV253" s="1260"/>
      <c r="AW253" s="1260"/>
      <c r="AX253" s="1260"/>
      <c r="AY253" s="1260"/>
      <c r="AZ253" s="1260"/>
      <c r="BA253" s="1260"/>
      <c r="BB253" s="1260"/>
      <c r="BC253" s="1260"/>
      <c r="BD253" s="1123">
        <f>IF(AI253=0,0,(AT253-AI253)/AI253*100)</f>
        <v>-100</v>
      </c>
      <c r="BE253" s="1123">
        <f>IF(AT253=0,0,(AU253-AT253)/AT253*100)</f>
        <v>0</v>
      </c>
      <c r="BF253" s="1123">
        <f>IF(AU253=0,0,(AV253-AU253)/AU253*100)</f>
        <v>0</v>
      </c>
      <c r="BG253" s="1123">
        <f>IF(AV253=0,0,(AW253-AV253)/AV253*100)</f>
        <v>0</v>
      </c>
      <c r="BH253" s="1123">
        <f>IF(AW253=0,0,(AX253-AW253)/AW253*100)</f>
        <v>0</v>
      </c>
      <c r="BI253" s="1123">
        <f>IF(AX253=0,0,(AY253-AX253)/AX253*100)</f>
        <v>0</v>
      </c>
      <c r="BJ253" s="1123">
        <f>IF(AY253=0,0,(AZ253-AY253)/AY253*100)</f>
        <v>0</v>
      </c>
      <c r="BK253" s="1123">
        <f>IF(AZ253=0,0,(BA253-AZ253)/AZ253*100)</f>
        <v>0</v>
      </c>
      <c r="BL253" s="1123">
        <f>IF(BA253=0,0,(BB253-BA253)/BA253*100)</f>
        <v>0</v>
      </c>
      <c r="BM253" s="1123">
        <f>IF(BB253=0,0,(BC253-BB253)/BB253*100)</f>
        <v>0</v>
      </c>
      <c r="BN253" s="6290"/>
      <c r="BO253" s="6290"/>
      <c r="BP253" s="6290"/>
      <c r="BQ253" s="1297"/>
      <c r="BR253" s="1297"/>
      <c r="BS253" s="1072" t="s">
        <v>2354</v>
      </c>
      <c r="BT253" s="1072"/>
      <c r="BU253" s="1072"/>
      <c r="BV253" s="987"/>
      <c r="BW253" s="987"/>
    </row>
    <row s="1656" customFormat="1" customHeight="1" ht="14.25">
      <c r="A254" s="1297"/>
      <c r="B254" s="986"/>
      <c r="C254" s="103"/>
      <c r="D254" s="103"/>
      <c r="E254" s="626">
        <v>15</v>
      </c>
      <c r="F254" s="50" cm="1" t="str">
        <f t="array" ref="F254:F254">OFFSET(E254,-1,1)</f>
        <v>1</v>
      </c>
      <c r="G254" s="103" t="s">
        <v>1699</v>
      </c>
      <c r="H254" s="103"/>
      <c r="I254" s="103" t="s">
        <v>2355</v>
      </c>
      <c r="J254" s="103"/>
      <c r="K254" s="154" t="s">
        <v>2355</v>
      </c>
      <c r="L254" s="988"/>
      <c r="M254" s="103"/>
      <c r="N254" s="103"/>
      <c r="O254" s="103"/>
      <c r="P254" s="103"/>
      <c r="Q254" s="103"/>
      <c r="R254" s="103"/>
      <c r="S254" s="103"/>
      <c r="T254" s="468" cm="1" t="str">
        <f t="array" ref="T254:T254">T253</f>
        <v>true</v>
      </c>
      <c r="U254" s="103"/>
      <c r="V254" s="103"/>
      <c r="W254" s="103"/>
      <c r="X254" s="1559"/>
      <c r="Y254" s="1297"/>
      <c r="Z254" s="1529"/>
      <c r="AA254" s="1297"/>
      <c r="AB254" s="296" t="s">
        <v>1765</v>
      </c>
      <c r="AC254" s="769" t="s">
        <v>1699</v>
      </c>
      <c r="AD254" s="296" t="s">
        <v>936</v>
      </c>
      <c r="AE254" s="1125">
        <f>SUM(AE255,AE256)</f>
        <v>0</v>
      </c>
      <c r="AF254" s="1123">
        <f>SUM(AF255,AF256)</f>
        <v>0</v>
      </c>
      <c r="AG254" s="1123">
        <f>SUM(AG255,AG256)</f>
        <v>0</v>
      </c>
      <c r="AH254" s="1123">
        <f>AG254-AF254</f>
        <v>0</v>
      </c>
      <c r="AI254" s="1123">
        <f>SUM(AI255,AI256)</f>
        <v>0</v>
      </c>
      <c r="AJ254" s="1125">
        <f>SUM(AJ255,AJ256)</f>
        <v>0</v>
      </c>
      <c r="AK254" s="1123">
        <f>SUM(AK255,AK256)</f>
        <v>0</v>
      </c>
      <c r="AL254" s="1123">
        <f>SUM(AL255,AL256)</f>
        <v>0</v>
      </c>
      <c r="AM254" s="1123">
        <f>SUM(AM255,AM256)</f>
        <v>0</v>
      </c>
      <c r="AN254" s="1123">
        <f>SUM(AN255,AN256)</f>
        <v>0</v>
      </c>
      <c r="AO254" s="1123">
        <f>SUM(AO255,AO256)</f>
        <v>0</v>
      </c>
      <c r="AP254" s="1123">
        <f>SUM(AP255,AP256)</f>
        <v>0</v>
      </c>
      <c r="AQ254" s="1123">
        <f>SUM(AQ255,AQ256)</f>
        <v>0</v>
      </c>
      <c r="AR254" s="1123">
        <f>SUM(AR255,AR256)</f>
        <v>0</v>
      </c>
      <c r="AS254" s="1123">
        <f>SUM(AS255,AS256)</f>
        <v>0</v>
      </c>
      <c r="AT254" s="1125">
        <f>SUM(AT255,AT256)</f>
        <v>0</v>
      </c>
      <c r="AU254" s="1123">
        <f>SUM(AU255,AU256)</f>
        <v>0</v>
      </c>
      <c r="AV254" s="1123">
        <f>SUM(AV255,AV256)</f>
        <v>0</v>
      </c>
      <c r="AW254" s="1123">
        <f>SUM(AW255,AW256)</f>
        <v>0</v>
      </c>
      <c r="AX254" s="1123">
        <f>SUM(AX255,AX256)</f>
        <v>0</v>
      </c>
      <c r="AY254" s="1123">
        <f>SUM(AY255,AY256)</f>
        <v>0</v>
      </c>
      <c r="AZ254" s="1123">
        <f>SUM(AZ255,AZ256)</f>
        <v>0</v>
      </c>
      <c r="BA254" s="1123">
        <f>SUM(BA255,BA256)</f>
        <v>0</v>
      </c>
      <c r="BB254" s="1123">
        <f>SUM(BB255,BB256)</f>
        <v>0</v>
      </c>
      <c r="BC254" s="1123">
        <f>SUM(BC255,BC256)</f>
        <v>0</v>
      </c>
      <c r="BD254" s="1123">
        <f>IF(AI254=0,0,(AT254-AI254)/AI254*100)</f>
        <v>0</v>
      </c>
      <c r="BE254" s="1123">
        <f>IF(AT254=0,0,(AU254-AT254)/AT254*100)</f>
        <v>0</v>
      </c>
      <c r="BF254" s="1123">
        <f>IF(AU254=0,0,(AV254-AU254)/AU254*100)</f>
        <v>0</v>
      </c>
      <c r="BG254" s="1123">
        <f>IF(AV254=0,0,(AW254-AV254)/AV254*100)</f>
        <v>0</v>
      </c>
      <c r="BH254" s="1123">
        <f>IF(AW254=0,0,(AX254-AW254)/AW254*100)</f>
        <v>0</v>
      </c>
      <c r="BI254" s="1123">
        <f>IF(AX254=0,0,(AY254-AX254)/AX254*100)</f>
        <v>0</v>
      </c>
      <c r="BJ254" s="1123">
        <f>IF(AY254=0,0,(AZ254-AY254)/AY254*100)</f>
        <v>0</v>
      </c>
      <c r="BK254" s="1123">
        <f>IF(AZ254=0,0,(BA254-AZ254)/AZ254*100)</f>
        <v>0</v>
      </c>
      <c r="BL254" s="1123">
        <f>IF(BA254=0,0,(BB254-BA254)/BA254*100)</f>
        <v>0</v>
      </c>
      <c r="BM254" s="1123">
        <f>IF(BB254=0,0,(BC254-BB254)/BB254*100)</f>
        <v>0</v>
      </c>
      <c r="BN254" s="6290"/>
      <c r="BO254" s="6290"/>
      <c r="BP254" s="6290"/>
      <c r="BQ254" s="1297"/>
      <c r="BR254" s="1297"/>
      <c r="BS254" s="1072" t="s">
        <v>2356</v>
      </c>
      <c r="BT254" s="1072"/>
      <c r="BU254" s="1072"/>
      <c r="BV254" s="987"/>
      <c r="BW254" s="987"/>
    </row>
    <row s="1656" customFormat="1" customHeight="1" ht="14.625">
      <c r="A255" s="1297"/>
      <c r="B255" s="986"/>
      <c r="C255" s="103"/>
      <c r="D255" s="103"/>
      <c r="E255" s="626">
        <v>15</v>
      </c>
      <c r="F255" s="50" cm="1" t="str">
        <f t="array" ref="F255:F255">OFFSET(E255,-1,1)</f>
        <v>1</v>
      </c>
      <c r="G255" s="103"/>
      <c r="H255" s="103"/>
      <c r="I255" s="103" t="s">
        <v>2357</v>
      </c>
      <c r="J255" s="103"/>
      <c r="K255" s="154" t="s">
        <v>2357</v>
      </c>
      <c r="L255" s="988"/>
      <c r="M255" s="103"/>
      <c r="N255" s="103"/>
      <c r="O255" s="103"/>
      <c r="P255" s="103"/>
      <c r="Q255" s="103"/>
      <c r="R255" s="103"/>
      <c r="S255" s="103"/>
      <c r="T255" s="468" cm="1" t="str">
        <f t="array" ref="T255:T255">T254</f>
        <v>true</v>
      </c>
      <c r="U255" s="103"/>
      <c r="V255" s="103"/>
      <c r="W255" s="103"/>
      <c r="X255" s="1559"/>
      <c r="Y255" s="1297"/>
      <c r="Z255" s="1529"/>
      <c r="AA255" s="1297"/>
      <c r="AB255" s="296" t="s">
        <v>2358</v>
      </c>
      <c r="AC255" s="772" t="s">
        <v>2359</v>
      </c>
      <c r="AD255" s="296" t="s">
        <v>936</v>
      </c>
      <c r="AE255" s="6293"/>
      <c r="AF255" s="6293"/>
      <c r="AG255" s="6293"/>
      <c r="AH255" s="1123">
        <f>AG255-AF255</f>
        <v>0</v>
      </c>
      <c r="AI255" s="6293">
        <v>0</v>
      </c>
      <c r="AJ255" s="6293"/>
      <c r="AK255" s="1260"/>
      <c r="AL255" s="1260"/>
      <c r="AM255" s="1260"/>
      <c r="AN255" s="1260"/>
      <c r="AO255" s="1260"/>
      <c r="AP255" s="1260"/>
      <c r="AQ255" s="1260"/>
      <c r="AR255" s="1260"/>
      <c r="AS255" s="1260"/>
      <c r="AT255" s="6293"/>
      <c r="AU255" s="1260"/>
      <c r="AV255" s="1260"/>
      <c r="AW255" s="1260"/>
      <c r="AX255" s="1260"/>
      <c r="AY255" s="1260"/>
      <c r="AZ255" s="1260"/>
      <c r="BA255" s="1260"/>
      <c r="BB255" s="1260"/>
      <c r="BC255" s="1260"/>
      <c r="BD255" s="1123">
        <f>IF(AI255=0,0,(AT255-AI255)/AI255*100)</f>
        <v>0</v>
      </c>
      <c r="BE255" s="1123">
        <f>IF(AT255=0,0,(AU255-AT255)/AT255*100)</f>
        <v>0</v>
      </c>
      <c r="BF255" s="1123">
        <f>IF(AU255=0,0,(AV255-AU255)/AU255*100)</f>
        <v>0</v>
      </c>
      <c r="BG255" s="1123">
        <f>IF(AV255=0,0,(AW255-AV255)/AV255*100)</f>
        <v>0</v>
      </c>
      <c r="BH255" s="1123">
        <f>IF(AW255=0,0,(AX255-AW255)/AW255*100)</f>
        <v>0</v>
      </c>
      <c r="BI255" s="1123">
        <f>IF(AX255=0,0,(AY255-AX255)/AX255*100)</f>
        <v>0</v>
      </c>
      <c r="BJ255" s="1123">
        <f>IF(AY255=0,0,(AZ255-AY255)/AY255*100)</f>
        <v>0</v>
      </c>
      <c r="BK255" s="1123">
        <f>IF(AZ255=0,0,(BA255-AZ255)/AZ255*100)</f>
        <v>0</v>
      </c>
      <c r="BL255" s="1123">
        <f>IF(BA255=0,0,(BB255-BA255)/BA255*100)</f>
        <v>0</v>
      </c>
      <c r="BM255" s="1123">
        <f>IF(BB255=0,0,(BC255-BB255)/BB255*100)</f>
        <v>0</v>
      </c>
      <c r="BN255" s="6290"/>
      <c r="BO255" s="6290"/>
      <c r="BP255" s="6290"/>
      <c r="BQ255" s="1297"/>
      <c r="BR255" s="1297"/>
      <c r="BS255" s="1072" t="s">
        <v>1456</v>
      </c>
      <c r="BT255" s="1072"/>
      <c r="BU255" s="1072"/>
      <c r="BV255" s="987"/>
      <c r="BW255" s="987"/>
    </row>
    <row s="1656" customFormat="1" customHeight="1" ht="14.25">
      <c r="A256" s="1297"/>
      <c r="B256" s="986"/>
      <c r="C256" s="103"/>
      <c r="D256" s="103"/>
      <c r="E256" s="626">
        <v>15</v>
      </c>
      <c r="F256" s="50" cm="1" t="str">
        <f t="array" ref="F256:F256">OFFSET(E256,-1,1)</f>
        <v>1</v>
      </c>
      <c r="G256" s="103"/>
      <c r="H256" s="103"/>
      <c r="I256" s="103" t="s">
        <v>2360</v>
      </c>
      <c r="J256" s="103"/>
      <c r="K256" s="154" t="s">
        <v>2360</v>
      </c>
      <c r="L256" s="988" t="s">
        <v>1079</v>
      </c>
      <c r="M256" s="103"/>
      <c r="N256" s="103"/>
      <c r="O256" s="103"/>
      <c r="P256" s="103"/>
      <c r="Q256" s="103"/>
      <c r="R256" s="103"/>
      <c r="S256" s="103"/>
      <c r="T256" s="468" cm="1" t="str">
        <f t="array" ref="T256:T256">T255</f>
        <v>true</v>
      </c>
      <c r="U256" s="103"/>
      <c r="V256" s="103"/>
      <c r="W256" s="103"/>
      <c r="X256" s="1559"/>
      <c r="Y256" s="1297"/>
      <c r="Z256" s="1529"/>
      <c r="AA256" s="1297"/>
      <c r="AB256" s="296" t="s">
        <v>2361</v>
      </c>
      <c r="AC256" s="772" t="s">
        <v>2362</v>
      </c>
      <c r="AD256" s="296" t="s">
        <v>936</v>
      </c>
      <c r="AE256" s="6293"/>
      <c r="AF256" s="6293"/>
      <c r="AG256" s="6293"/>
      <c r="AH256" s="1123">
        <f>AG256-AF256</f>
        <v>0</v>
      </c>
      <c r="AI256" s="6293"/>
      <c r="AJ256" s="6293"/>
      <c r="AK256" s="1260"/>
      <c r="AL256" s="1260"/>
      <c r="AM256" s="1260"/>
      <c r="AN256" s="1260"/>
      <c r="AO256" s="1260"/>
      <c r="AP256" s="1260"/>
      <c r="AQ256" s="1260"/>
      <c r="AR256" s="1260"/>
      <c r="AS256" s="1260"/>
      <c r="AT256" s="6293"/>
      <c r="AU256" s="1260"/>
      <c r="AV256" s="1260"/>
      <c r="AW256" s="1260"/>
      <c r="AX256" s="1260"/>
      <c r="AY256" s="1260"/>
      <c r="AZ256" s="1260"/>
      <c r="BA256" s="1260"/>
      <c r="BB256" s="1260"/>
      <c r="BC256" s="1260"/>
      <c r="BD256" s="1123">
        <f>IF(AI256=0,0,(AT256-AI256)/AI256*100)</f>
        <v>0</v>
      </c>
      <c r="BE256" s="1123">
        <f>IF(AT256=0,0,(AU256-AT256)/AT256*100)</f>
        <v>0</v>
      </c>
      <c r="BF256" s="1123">
        <f>IF(AU256=0,0,(AV256-AU256)/AU256*100)</f>
        <v>0</v>
      </c>
      <c r="BG256" s="1123">
        <f>IF(AV256=0,0,(AW256-AV256)/AV256*100)</f>
        <v>0</v>
      </c>
      <c r="BH256" s="1123">
        <f>IF(AW256=0,0,(AX256-AW256)/AW256*100)</f>
        <v>0</v>
      </c>
      <c r="BI256" s="1123">
        <f>IF(AX256=0,0,(AY256-AX256)/AX256*100)</f>
        <v>0</v>
      </c>
      <c r="BJ256" s="1123">
        <f>IF(AY256=0,0,(AZ256-AY256)/AY256*100)</f>
        <v>0</v>
      </c>
      <c r="BK256" s="1123">
        <f>IF(AZ256=0,0,(BA256-AZ256)/AZ256*100)</f>
        <v>0</v>
      </c>
      <c r="BL256" s="1123">
        <f>IF(BA256=0,0,(BB256-BA256)/BA256*100)</f>
        <v>0</v>
      </c>
      <c r="BM256" s="1123">
        <f>IF(BB256=0,0,(BC256-BB256)/BB256*100)</f>
        <v>0</v>
      </c>
      <c r="BN256" s="6290"/>
      <c r="BO256" s="6290"/>
      <c r="BP256" s="6290"/>
      <c r="BQ256" s="1297"/>
      <c r="BR256" s="1297"/>
      <c r="BS256" s="1072" t="s">
        <v>2363</v>
      </c>
      <c r="BT256" s="1072"/>
      <c r="BU256" s="1072"/>
      <c r="BV256" s="987"/>
      <c r="BW256" s="987"/>
    </row>
    <row s="1656" customFormat="1" customHeight="1" ht="21.75">
      <c r="A257" s="1297"/>
      <c r="B257" s="986"/>
      <c r="C257" s="103"/>
      <c r="D257" s="103"/>
      <c r="E257" s="626">
        <v>22.5</v>
      </c>
      <c r="F257" s="50" cm="1" t="str">
        <f t="array" ref="F257:F257">OFFSET(E257,-1,1)</f>
        <v>1</v>
      </c>
      <c r="G257" s="103" t="s">
        <v>1704</v>
      </c>
      <c r="H257" s="103"/>
      <c r="I257" s="103" t="s">
        <v>2364</v>
      </c>
      <c r="J257" s="103"/>
      <c r="K257" s="154" t="s">
        <v>2364</v>
      </c>
      <c r="L257" s="988"/>
      <c r="M257" s="103"/>
      <c r="N257" s="103"/>
      <c r="O257" s="103"/>
      <c r="P257" s="103"/>
      <c r="Q257" s="103"/>
      <c r="R257" s="103"/>
      <c r="S257" s="103"/>
      <c r="T257" s="468" cm="1" t="str">
        <f t="array" ref="T257:T257">T256</f>
        <v>true</v>
      </c>
      <c r="U257" s="103"/>
      <c r="V257" s="103"/>
      <c r="W257" s="103"/>
      <c r="X257" s="1559"/>
      <c r="Y257" s="1297"/>
      <c r="Z257" s="1529"/>
      <c r="AA257" s="1297"/>
      <c r="AB257" s="296" t="s">
        <v>1768</v>
      </c>
      <c r="AC257" s="769" t="s">
        <v>2365</v>
      </c>
      <c r="AD257" s="296" t="s">
        <v>936</v>
      </c>
      <c r="AE257" s="6293"/>
      <c r="AF257" s="6293"/>
      <c r="AG257" s="6293"/>
      <c r="AH257" s="1123">
        <f>AG257-AF257</f>
        <v>0</v>
      </c>
      <c r="AI257" s="6293"/>
      <c r="AJ257" s="6293"/>
      <c r="AK257" s="1260"/>
      <c r="AL257" s="1260"/>
      <c r="AM257" s="1260"/>
      <c r="AN257" s="1260"/>
      <c r="AO257" s="1260"/>
      <c r="AP257" s="1260"/>
      <c r="AQ257" s="1260"/>
      <c r="AR257" s="1260"/>
      <c r="AS257" s="1260"/>
      <c r="AT257" s="6293"/>
      <c r="AU257" s="1260"/>
      <c r="AV257" s="1260"/>
      <c r="AW257" s="1260"/>
      <c r="AX257" s="1260"/>
      <c r="AY257" s="1260"/>
      <c r="AZ257" s="1260"/>
      <c r="BA257" s="1260"/>
      <c r="BB257" s="1260"/>
      <c r="BC257" s="1260"/>
      <c r="BD257" s="1123">
        <f>IF(AI257=0,0,(AT257-AI257)/AI257*100)</f>
        <v>0</v>
      </c>
      <c r="BE257" s="1123">
        <f>IF(AT257=0,0,(AU257-AT257)/AT257*100)</f>
        <v>0</v>
      </c>
      <c r="BF257" s="1123">
        <f>IF(AU257=0,0,(AV257-AU257)/AU257*100)</f>
        <v>0</v>
      </c>
      <c r="BG257" s="1123">
        <f>IF(AV257=0,0,(AW257-AV257)/AV257*100)</f>
        <v>0</v>
      </c>
      <c r="BH257" s="1123">
        <f>IF(AW257=0,0,(AX257-AW257)/AW257*100)</f>
        <v>0</v>
      </c>
      <c r="BI257" s="1123">
        <f>IF(AX257=0,0,(AY257-AX257)/AX257*100)</f>
        <v>0</v>
      </c>
      <c r="BJ257" s="1123">
        <f>IF(AY257=0,0,(AZ257-AY257)/AY257*100)</f>
        <v>0</v>
      </c>
      <c r="BK257" s="1123">
        <f>IF(AZ257=0,0,(BA257-AZ257)/AZ257*100)</f>
        <v>0</v>
      </c>
      <c r="BL257" s="1123">
        <f>IF(BA257=0,0,(BB257-BA257)/BA257*100)</f>
        <v>0</v>
      </c>
      <c r="BM257" s="1123">
        <f>IF(BB257=0,0,(BC257-BB257)/BB257*100)</f>
        <v>0</v>
      </c>
      <c r="BN257" s="6290"/>
      <c r="BO257" s="6290"/>
      <c r="BP257" s="6290"/>
      <c r="BQ257" s="1297"/>
      <c r="BR257" s="1297"/>
      <c r="BS257" s="1072" t="s">
        <v>2366</v>
      </c>
      <c r="BT257" s="1072"/>
      <c r="BU257" s="1072"/>
      <c r="BV257" s="987"/>
      <c r="BW257" s="987"/>
    </row>
    <row s="6346" customFormat="1" customHeight="1" ht="191.25">
      <c r="A258" s="706"/>
      <c r="B258" s="437"/>
      <c r="C258" s="105"/>
      <c r="D258" s="105"/>
      <c r="E258" s="833">
        <v>21</v>
      </c>
      <c r="F258" s="50" cm="1" t="str">
        <f t="array" ref="F258:F258">OFFSET(E258,-1,1)</f>
        <v>1</v>
      </c>
      <c r="G258" s="103" t="s">
        <v>2367</v>
      </c>
      <c r="H258" s="103"/>
      <c r="I258" s="103" t="s">
        <v>346</v>
      </c>
      <c r="J258" s="105"/>
      <c r="K258" s="154" t="s">
        <v>346</v>
      </c>
      <c r="L258" s="993" t="s">
        <v>1550</v>
      </c>
      <c r="M258" s="105"/>
      <c r="N258" s="105"/>
      <c r="O258" s="105"/>
      <c r="P258" s="105"/>
      <c r="Q258" s="105"/>
      <c r="R258" s="105"/>
      <c r="S258" s="105"/>
      <c r="T258" s="468" cm="1" t="str">
        <f t="array" ref="T258:T258">T257</f>
        <v>true</v>
      </c>
      <c r="U258" s="105"/>
      <c r="V258" s="105"/>
      <c r="W258" s="105"/>
      <c r="X258" s="1559"/>
      <c r="Y258" s="706"/>
      <c r="Z258" s="1529"/>
      <c r="AA258" s="706"/>
      <c r="AB258" s="207" t="s">
        <v>234</v>
      </c>
      <c r="AC258" s="208" t="s">
        <v>2368</v>
      </c>
      <c r="AD258" s="207" t="s">
        <v>936</v>
      </c>
      <c r="AE258" s="785">
        <f>_xlfn.SUMIFS(ЭЭ!AE$25:AE$175,ЭЭ!$F$25:$F$175,$F258,ЭЭ!$AC$25:$AC$175,"Всего по тарифу")</f>
        <v>165515.502199654</v>
      </c>
      <c r="AF258" s="785">
        <f>_xlfn.SUMIFS(ЭЭ!AF$25:AF$175,ЭЭ!$F$25:$F$175,$F258,ЭЭ!$AC$25:$AC$175,"Всего по тарифу")</f>
        <v>169094.54</v>
      </c>
      <c r="AG258" s="785">
        <f>_xlfn.SUMIFS(ЭЭ!AG$25:AG$175,ЭЭ!$F$25:$F$175,$F258,ЭЭ!$AC$25:$AC$175,"Всего по тарифу")</f>
        <v>148569.63</v>
      </c>
      <c r="AH258" s="785">
        <f>AG258-AF258</f>
        <v>-20524.91</v>
      </c>
      <c r="AI258" s="785">
        <f>_xlfn.SUMIFS(ЭЭ!AH$25:AH$175,ЭЭ!$F$25:$F$175,$F258,ЭЭ!$AC$25:$AC$175,"Всего по тарифу")</f>
        <v>167046.93</v>
      </c>
      <c r="AJ258" s="785">
        <f>_xlfn.SUMIFS(ЭЭ!AI$25:AI$175,ЭЭ!$F$25:$F$175,$F258,ЭЭ!$AC$25:$AC$175,"Всего по тарифу")</f>
        <v>178534.03</v>
      </c>
      <c r="AK258" s="785">
        <f>_xlfn.SUMIFS(ЭЭ!AJ$25:AJ$175,ЭЭ!$F$25:$F$175,$F258,ЭЭ!$AC$25:$AC$175,"Всего по тарифу")</f>
        <v>0</v>
      </c>
      <c r="AL258" s="785">
        <f>_xlfn.SUMIFS(ЭЭ!AK$25:AK$175,ЭЭ!$F$25:$F$175,$F258,ЭЭ!$AC$25:$AC$175,"Всего по тарифу")</f>
        <v>0</v>
      </c>
      <c r="AM258" s="785">
        <f>_xlfn.SUMIFS(ЭЭ!AL$25:AL$175,ЭЭ!$F$25:$F$175,$F258,ЭЭ!$AC$25:$AC$175,"Всего по тарифу")</f>
        <v>0</v>
      </c>
      <c r="AN258" s="785">
        <f>_xlfn.SUMIFS(ЭЭ!AM$25:AM$175,ЭЭ!$F$25:$F$175,$F258,ЭЭ!$AC$25:$AC$175,"Всего по тарифу")</f>
        <v>0</v>
      </c>
      <c r="AO258" s="785">
        <f>_xlfn.SUMIFS(ЭЭ!AN$25:AN$175,ЭЭ!$F$25:$F$175,$F258,ЭЭ!$AC$25:$AC$175,"Всего по тарифу")</f>
        <v>0</v>
      </c>
      <c r="AP258" s="785">
        <f>_xlfn.SUMIFS(ЭЭ!AO$25:AO$175,ЭЭ!$F$25:$F$175,$F258,ЭЭ!$AC$25:$AC$175,"Всего по тарифу")</f>
        <v>0</v>
      </c>
      <c r="AQ258" s="785">
        <f>_xlfn.SUMIFS(ЭЭ!AP$25:AP$175,ЭЭ!$F$25:$F$175,$F258,ЭЭ!$AC$25:$AC$175,"Всего по тарифу")</f>
        <v>0</v>
      </c>
      <c r="AR258" s="785">
        <f>_xlfn.SUMIFS(ЭЭ!AQ$25:AQ$175,ЭЭ!$F$25:$F$175,$F258,ЭЭ!$AC$25:$AC$175,"Всего по тарифу")</f>
        <v>0</v>
      </c>
      <c r="AS258" s="785">
        <f>_xlfn.SUMIFS(ЭЭ!AR$25:AR$175,ЭЭ!$F$25:$F$175,$F258,ЭЭ!$AC$25:$AC$175,"Всего по тарифу")</f>
        <v>0</v>
      </c>
      <c r="AT258" s="785">
        <f>_xlfn.SUMIFS(ЭЭ!AS$25:AS$175,ЭЭ!$F$25:$F$175,$F258,ЭЭ!$AC$25:$AC$175,"Всего по тарифу")</f>
        <v>209643.27</v>
      </c>
      <c r="AU258" s="785">
        <f>_xlfn.SUMIFS(ЭЭ!AT$25:AT$175,ЭЭ!$F$25:$F$175,$F258,ЭЭ!$AC$25:$AC$175,"Всего по тарифу")</f>
        <v>0</v>
      </c>
      <c r="AV258" s="785">
        <f>_xlfn.SUMIFS(ЭЭ!AU$25:AU$175,ЭЭ!$F$25:$F$175,$F258,ЭЭ!$AC$25:$AC$175,"Всего по тарифу")</f>
        <v>0</v>
      </c>
      <c r="AW258" s="785">
        <f>_xlfn.SUMIFS(ЭЭ!AV$25:AV$175,ЭЭ!$F$25:$F$175,$F258,ЭЭ!$AC$25:$AC$175,"Всего по тарифу")</f>
        <v>0</v>
      </c>
      <c r="AX258" s="785">
        <f>_xlfn.SUMIFS(ЭЭ!AW$25:AW$175,ЭЭ!$F$25:$F$175,$F258,ЭЭ!$AC$25:$AC$175,"Всего по тарифу")</f>
        <v>0</v>
      </c>
      <c r="AY258" s="785">
        <f>_xlfn.SUMIFS(ЭЭ!AX$25:AX$175,ЭЭ!$F$25:$F$175,$F258,ЭЭ!$AC$25:$AC$175,"Всего по тарифу")</f>
        <v>0</v>
      </c>
      <c r="AZ258" s="785">
        <f>_xlfn.SUMIFS(ЭЭ!AY$25:AY$175,ЭЭ!$F$25:$F$175,$F258,ЭЭ!$AC$25:$AC$175,"Всего по тарифу")</f>
        <v>0</v>
      </c>
      <c r="BA258" s="785">
        <f>_xlfn.SUMIFS(ЭЭ!AZ$25:AZ$175,ЭЭ!$F$25:$F$175,$F258,ЭЭ!$AC$25:$AC$175,"Всего по тарифу")</f>
        <v>0</v>
      </c>
      <c r="BB258" s="785">
        <f>_xlfn.SUMIFS(ЭЭ!BA$25:BA$175,ЭЭ!$F$25:$F$175,$F258,ЭЭ!$AC$25:$AC$175,"Всего по тарифу")</f>
        <v>0</v>
      </c>
      <c r="BC258" s="785">
        <f>_xlfn.SUMIFS(ЭЭ!BB$25:BB$175,ЭЭ!$F$25:$F$175,$F258,ЭЭ!$AC$25:$AC$175,"Всего по тарифу")</f>
        <v>0</v>
      </c>
      <c r="BD258" s="785">
        <f>IF(AI258=0,0,(AT258-AI258)/AI258*100)</f>
        <v>25.4996245665814</v>
      </c>
      <c r="BE258" s="785">
        <f>IF(AT258=0,0,(AU258-AT258)/AT258*100)</f>
        <v>-100</v>
      </c>
      <c r="BF258" s="785">
        <f>IF(AU258=0,0,(AV258-AU258)/AU258*100)</f>
        <v>0</v>
      </c>
      <c r="BG258" s="785">
        <f>IF(AV258=0,0,(AW258-AV258)/AV258*100)</f>
        <v>0</v>
      </c>
      <c r="BH258" s="785">
        <f>IF(AW258=0,0,(AX258-AW258)/AW258*100)</f>
        <v>0</v>
      </c>
      <c r="BI258" s="785">
        <f>IF(AX258=0,0,(AY258-AX258)/AX258*100)</f>
        <v>0</v>
      </c>
      <c r="BJ258" s="785">
        <f>IF(AY258=0,0,(AZ258-AY258)/AY258*100)</f>
        <v>0</v>
      </c>
      <c r="BK258" s="785">
        <f>IF(AZ258=0,0,(BA258-AZ258)/AZ258*100)</f>
        <v>0</v>
      </c>
      <c r="BL258" s="785">
        <f>IF(BA258=0,0,(BB258-BA258)/BA258*100)</f>
        <v>0</v>
      </c>
      <c r="BM258" s="785">
        <f>IF(BB258=0,0,(BC258-BB258)/BB258*100)</f>
        <v>0</v>
      </c>
      <c r="BN258" s="6290"/>
      <c r="BO258" s="6345" t="s">
        <v>2452</v>
      </c>
      <c r="BP258" s="6290" t="s">
        <v>2457</v>
      </c>
      <c r="BQ258" s="706"/>
      <c r="BR258" s="706"/>
      <c r="BS258" s="1078" t="s">
        <v>1984</v>
      </c>
      <c r="BT258" s="1078"/>
      <c r="BU258" s="1078"/>
      <c r="BV258" s="713"/>
      <c r="BW258" s="713"/>
    </row>
    <row s="6347" customFormat="1" customHeight="1" ht="21.75">
      <c r="A259" s="706"/>
      <c r="B259" s="158">
        <f>method_reg="Метод индексации"</f>
        <v>1</v>
      </c>
      <c r="C259" s="105"/>
      <c r="D259" s="105"/>
      <c r="E259" s="833">
        <v>22.5</v>
      </c>
      <c r="F259" s="50" cm="1" t="str">
        <f t="array" ref="F259:F259">OFFSET(E259,-1,1)</f>
        <v>1</v>
      </c>
      <c r="G259" s="103" t="s">
        <v>1726</v>
      </c>
      <c r="H259" s="103"/>
      <c r="I259" s="103" t="s">
        <v>348</v>
      </c>
      <c r="J259" s="105"/>
      <c r="K259" s="154"/>
      <c r="L259" s="993" t="s">
        <v>347</v>
      </c>
      <c r="M259" s="105"/>
      <c r="N259" s="105"/>
      <c r="O259" s="105"/>
      <c r="P259" s="105"/>
      <c r="Q259" s="105"/>
      <c r="R259" s="105"/>
      <c r="S259" s="105"/>
      <c r="T259" s="468" cm="1" t="str">
        <f t="array" ref="T259:T259">T258</f>
        <v>true</v>
      </c>
      <c r="U259" s="105"/>
      <c r="V259" s="105"/>
      <c r="W259" s="105"/>
      <c r="X259" s="1559"/>
      <c r="Y259" s="706"/>
      <c r="Z259" s="1529"/>
      <c r="AA259" s="706"/>
      <c r="AB259" s="207" t="s">
        <v>451</v>
      </c>
      <c r="AC259" s="208" t="s">
        <v>2369</v>
      </c>
      <c r="AD259" s="207" t="s">
        <v>936</v>
      </c>
      <c r="AE259" s="785">
        <f>_xlfn.SUMIFS(Амортизация!AE$25:AE$223,Амортизация!$F$25:$F$223,$F259,Амортизация!$AC$25:$AC$223,"Сумма амортизационных отчислений")</f>
        <v>3868.42</v>
      </c>
      <c r="AF259" s="785">
        <f>_xlfn.SUMIFS(Амортизация!AF$25:AF$223,Амортизация!$F$25:$F$223,$F259,Амортизация!$AC$25:$AC$223,"Сумма амортизационных отчислений")</f>
        <v>3645.56142</v>
      </c>
      <c r="AG259" s="785">
        <f>_xlfn.SUMIFS(Амортизация!AG$25:AG$223,Амортизация!$F$25:$F$223,$F259,Амортизация!$AC$25:$AC$223,"Сумма амортизационных отчислений")</f>
        <v>3947.46702</v>
      </c>
      <c r="AH259" s="785">
        <f>AG259-AF259</f>
        <v>301.9056</v>
      </c>
      <c r="AI259" s="785">
        <f>_xlfn.SUMIFS(Амортизация!AH$25:AH$223,Амортизация!$F$25:$F$223,$F259,Амортизация!$AC$25:$AC$223,"Сумма амортизационных отчислений")</f>
        <v>5849.5</v>
      </c>
      <c r="AJ259" s="785">
        <f>_xlfn.SUMIFS(Амортизация!AI$25:AI$223,Амортизация!$F$25:$F$223,$F259,Амортизация!$AC$25:$AC$223,"Сумма амортизационных отчислений")</f>
        <v>9730.74</v>
      </c>
      <c r="AK259" s="785">
        <f>_xlfn.SUMIFS(Амортизация!AJ$25:AJ$223,Амортизация!$F$25:$F$223,$F259,Амортизация!$AC$25:$AC$223,"Сумма амортизационных отчислений")</f>
        <v>0</v>
      </c>
      <c r="AL259" s="785">
        <f>_xlfn.SUMIFS(Амортизация!AK$25:AK$223,Амортизация!$F$25:$F$223,$F259,Амортизация!$AC$25:$AC$223,"Сумма амортизационных отчислений")</f>
        <v>0</v>
      </c>
      <c r="AM259" s="785">
        <f>_xlfn.SUMIFS(Амортизация!AL$25:AL$223,Амортизация!$F$25:$F$223,$F259,Амортизация!$AC$25:$AC$223,"Сумма амортизационных отчислений")</f>
        <v>0</v>
      </c>
      <c r="AN259" s="785">
        <f>_xlfn.SUMIFS(Амортизация!AM$25:AM$223,Амортизация!$F$25:$F$223,$F259,Амортизация!$AC$25:$AC$223,"Сумма амортизационных отчислений")</f>
        <v>0</v>
      </c>
      <c r="AO259" s="785">
        <f>_xlfn.SUMIFS(Амортизация!AN$25:AN$223,Амортизация!$F$25:$F$223,$F259,Амортизация!$AC$25:$AC$223,"Сумма амортизационных отчислений")</f>
        <v>0</v>
      </c>
      <c r="AP259" s="785">
        <f>_xlfn.SUMIFS(Амортизация!AO$25:AO$223,Амортизация!$F$25:$F$223,$F259,Амортизация!$AC$25:$AC$223,"Сумма амортизационных отчислений")</f>
        <v>0</v>
      </c>
      <c r="AQ259" s="785">
        <f>_xlfn.SUMIFS(Амортизация!AP$25:AP$223,Амортизация!$F$25:$F$223,$F259,Амортизация!$AC$25:$AC$223,"Сумма амортизационных отчислений")</f>
        <v>0</v>
      </c>
      <c r="AR259" s="785">
        <f>_xlfn.SUMIFS(Амортизация!AQ$25:AQ$223,Амортизация!$F$25:$F$223,$F259,Амортизация!$AC$25:$AC$223,"Сумма амортизационных отчислений")</f>
        <v>0</v>
      </c>
      <c r="AS259" s="785">
        <f>_xlfn.SUMIFS(Амортизация!AR$25:AR$223,Амортизация!$F$25:$F$223,$F259,Амортизация!$AC$25:$AC$223,"Сумма амортизационных отчислений")</f>
        <v>0</v>
      </c>
      <c r="AT259" s="785">
        <f>_xlfn.SUMIFS(Амортизация!AS$25:AS$223,Амортизация!$F$25:$F$223,$F259,Амортизация!$AC$25:$AC$223,"Сумма амортизационных отчислений")</f>
        <v>9730.74</v>
      </c>
      <c r="AU259" s="785">
        <f>_xlfn.SUMIFS(Амортизация!AT$25:AT$223,Амортизация!$F$25:$F$223,$F259,Амортизация!$AC$25:$AC$223,"Сумма амортизационных отчислений")</f>
        <v>0</v>
      </c>
      <c r="AV259" s="785">
        <f>_xlfn.SUMIFS(Амортизация!AU$25:AU$223,Амортизация!$F$25:$F$223,$F259,Амортизация!$AC$25:$AC$223,"Сумма амортизационных отчислений")</f>
        <v>0</v>
      </c>
      <c r="AW259" s="785">
        <f>_xlfn.SUMIFS(Амортизация!AV$25:AV$223,Амортизация!$F$25:$F$223,$F259,Амортизация!$AC$25:$AC$223,"Сумма амортизационных отчислений")</f>
        <v>0</v>
      </c>
      <c r="AX259" s="785">
        <f>_xlfn.SUMIFS(Амортизация!AW$25:AW$223,Амортизация!$F$25:$F$223,$F259,Амортизация!$AC$25:$AC$223,"Сумма амортизационных отчислений")</f>
        <v>0</v>
      </c>
      <c r="AY259" s="785">
        <f>_xlfn.SUMIFS(Амортизация!AX$25:AX$223,Амортизация!$F$25:$F$223,$F259,Амортизация!$AC$25:$AC$223,"Сумма амортизационных отчислений")</f>
        <v>0</v>
      </c>
      <c r="AZ259" s="785">
        <f>_xlfn.SUMIFS(Амортизация!AY$25:AY$223,Амортизация!$F$25:$F$223,$F259,Амортизация!$AC$25:$AC$223,"Сумма амортизационных отчислений")</f>
        <v>0</v>
      </c>
      <c r="BA259" s="785">
        <f>_xlfn.SUMIFS(Амортизация!AZ$25:AZ$223,Амортизация!$F$25:$F$223,$F259,Амортизация!$AC$25:$AC$223,"Сумма амортизационных отчислений")</f>
        <v>0</v>
      </c>
      <c r="BB259" s="785">
        <f>_xlfn.SUMIFS(Амортизация!BA$25:BA$223,Амортизация!$F$25:$F$223,$F259,Амортизация!$AC$25:$AC$223,"Сумма амортизационных отчислений")</f>
        <v>0</v>
      </c>
      <c r="BC259" s="785">
        <f>_xlfn.SUMIFS(Амортизация!BB$25:BB$223,Амортизация!$F$25:$F$223,$F259,Амортизация!$AC$25:$AC$223,"Сумма амортизационных отчислений")</f>
        <v>0</v>
      </c>
      <c r="BD259" s="785">
        <f>IF(AI259=0,0,(AT259-AI259)/AI259*100)</f>
        <v>66.3516539875203</v>
      </c>
      <c r="BE259" s="785">
        <f>IF(AT259=0,0,(AU259-AT259)/AT259*100)</f>
        <v>-100</v>
      </c>
      <c r="BF259" s="785">
        <f>IF(AU259=0,0,(AV259-AU259)/AU259*100)</f>
        <v>0</v>
      </c>
      <c r="BG259" s="785">
        <f>IF(AV259=0,0,(AW259-AV259)/AV259*100)</f>
        <v>0</v>
      </c>
      <c r="BH259" s="785">
        <f>IF(AW259=0,0,(AX259-AW259)/AW259*100)</f>
        <v>0</v>
      </c>
      <c r="BI259" s="785">
        <f>IF(AX259=0,0,(AY259-AX259)/AX259*100)</f>
        <v>0</v>
      </c>
      <c r="BJ259" s="785">
        <f>IF(AY259=0,0,(AZ259-AY259)/AY259*100)</f>
        <v>0</v>
      </c>
      <c r="BK259" s="785">
        <f>IF(AZ259=0,0,(BA259-AZ259)/AZ259*100)</f>
        <v>0</v>
      </c>
      <c r="BL259" s="785">
        <f>IF(BA259=0,0,(BB259-BA259)/BA259*100)</f>
        <v>0</v>
      </c>
      <c r="BM259" s="785">
        <f>IF(BB259=0,0,(BC259-BB259)/BB259*100)</f>
        <v>0</v>
      </c>
      <c r="BN259" s="6290"/>
      <c r="BO259" s="6294" t="str">
        <f>IF(_xlfn.IFERROR(INDEX(Амортизация!$K$26:$L$223,MATCH($F259&amp;"komm",Амортизация!$K$26:$K$223,0),2),"")=0,"",_xlfn.IFERROR(INDEX(Амортизация!$K$26:$L$223,MATCH($F259&amp;"komm",Амортизация!$K$26:$K$223,0),2),""))</f>
        <v/>
      </c>
      <c r="BP259" s="6290"/>
      <c r="BQ259" s="706"/>
      <c r="BR259" s="706"/>
      <c r="BS259" s="1078" t="s">
        <v>1435</v>
      </c>
      <c r="BT259" s="1078"/>
      <c r="BU259" s="1078"/>
      <c r="BV259" s="713"/>
      <c r="BW259" s="713"/>
    </row>
    <row s="1656" customFormat="1" customHeight="1" ht="14.25">
      <c r="A260" s="1297"/>
      <c r="B260" s="434" cm="1" t="str">
        <f t="array" ref="B260:B260">B259</f>
        <v>true</v>
      </c>
      <c r="C260" s="103"/>
      <c r="D260" s="103"/>
      <c r="E260" s="626">
        <v>15</v>
      </c>
      <c r="F260" s="50" cm="1" t="str">
        <f t="array" ref="F260:F260">OFFSET(E260,-1,1)</f>
        <v>1</v>
      </c>
      <c r="G260" s="103"/>
      <c r="H260" s="103"/>
      <c r="I260" s="103" t="s">
        <v>659</v>
      </c>
      <c r="J260" s="103"/>
      <c r="K260" s="1297"/>
      <c r="L260" s="988" t="s">
        <v>673</v>
      </c>
      <c r="M260" s="103"/>
      <c r="N260" s="103"/>
      <c r="O260" s="103"/>
      <c r="P260" s="103"/>
      <c r="Q260" s="103"/>
      <c r="R260" s="103"/>
      <c r="S260" s="103"/>
      <c r="T260" s="468" cm="1" t="str">
        <f t="array" ref="T260:T260">T259</f>
        <v>true</v>
      </c>
      <c r="U260" s="103"/>
      <c r="V260" s="103"/>
      <c r="W260" s="103"/>
      <c r="X260" s="1559"/>
      <c r="Y260" s="1297"/>
      <c r="Z260" s="1529"/>
      <c r="AA260" s="1297"/>
      <c r="AB260" s="296" t="s">
        <v>794</v>
      </c>
      <c r="AC260" s="769" t="s">
        <v>2076</v>
      </c>
      <c r="AD260" s="296" t="s">
        <v>936</v>
      </c>
      <c r="AE260" s="6293">
        <f>_xlfn.SUMIFS('ИП + источники'!AF$27:AF$174,'ИП + источники'!$F$27:$F$174,$F260,'ИП + источники'!$AC$27:$AC$174,"Амортизационные отчисления")+_xlfn.SUMIFS('ИП + источники'!AF$27:AF$174,'ИП + источники'!$F$27:$F$174,$F260,'ИП + источники'!$AC$27:$AC$174,"погашение займов и кредитов из амортизации")</f>
        <v>3780.74</v>
      </c>
      <c r="AF260" s="6293">
        <f>_xlfn.SUMIFS('ИП + источники'!AG$27:AG$174,'ИП + источники'!$F$27:$F$174,$F260,'ИП + источники'!$AC$27:$AC$174,"Амортизационные отчисления")+_xlfn.SUMIFS('ИП + источники'!AG$27:AG$174,'ИП + источники'!$F$27:$F$174,$F260,'ИП + источники'!$AC$27:$AC$174,"погашение займов и кредитов из амортизации")</f>
        <v>3478.84</v>
      </c>
      <c r="AG260" s="6293">
        <f>_xlfn.SUMIFS('ИП + источники'!AH$27:AH$174,'ИП + источники'!$F$27:$F$174,$F260,'ИП + источники'!$AC$27:$AC$174,"Амортизационные отчисления")+_xlfn.SUMIFS('ИП + источники'!AH$27:AH$174,'ИП + источники'!$F$27:$F$174,$F260,'ИП + источники'!$AC$27:$AC$174,"погашение займов и кредитов из амортизации")</f>
        <v>3780.74</v>
      </c>
      <c r="AH260" s="1123">
        <f>AG260-AF260</f>
        <v>301.9</v>
      </c>
      <c r="AI260" s="6293">
        <f>_xlfn.SUMIFS('ИП + источники'!AJ$27:AJ$174,'ИП + источники'!$F$27:$F$174,$F260,'ИП + источники'!$AC$27:$AC$174,"Амортизационные отчисления")+_xlfn.SUMIFS('ИП + источники'!AJ$27:AJ$174,'ИП + источники'!$F$27:$F$174,$F260,'ИП + источники'!$AC$27:$AC$174,"погашение займов и кредитов из амортизации")</f>
        <v>5733.09</v>
      </c>
      <c r="AJ260" s="6293">
        <f>_xlfn.SUMIFS('ИП + источники'!AK$27:AK$174,'ИП + источники'!$F$27:$F$174,$F260,'ИП + источники'!$AC$27:$AC$174,"Амортизационные отчисления")+_xlfn.SUMIFS('ИП + источники'!AK$27:AK$174,'ИП + источники'!$F$27:$F$174,$F260,'ИП + источники'!$AC$27:$AC$174,"погашение займов и кредитов из амортизации")</f>
        <v>82872.98</v>
      </c>
      <c r="AK260" s="1260">
        <f>_xlfn.SUMIFS('ИП + источники'!AL$27:AL$174,'ИП + источники'!$F$27:$F$174,$F260,'ИП + источники'!$AC$27:$AC$174,"Амортизационные отчисления")+_xlfn.SUMIFS('ИП + источники'!AL$27:AL$174,'ИП + источники'!$F$27:$F$174,$F260,'ИП + источники'!$AC$27:$AC$174,"погашение займов и кредитов из амортизации")</f>
        <v>0</v>
      </c>
      <c r="AL260" s="1260">
        <f>_xlfn.SUMIFS('ИП + источники'!AM$27:AM$174,'ИП + источники'!$F$27:$F$174,$F260,'ИП + источники'!$AC$27:$AC$174,"Амортизационные отчисления")+_xlfn.SUMIFS('ИП + источники'!AM$27:AM$174,'ИП + источники'!$F$27:$F$174,$F260,'ИП + источники'!$AC$27:$AC$174,"погашение займов и кредитов из амортизации")</f>
        <v>0</v>
      </c>
      <c r="AM260" s="1260">
        <f>_xlfn.SUMIFS('ИП + источники'!AN$27:AN$174,'ИП + источники'!$F$27:$F$174,$F260,'ИП + источники'!$AC$27:$AC$174,"Амортизационные отчисления")+_xlfn.SUMIFS('ИП + источники'!AN$27:AN$174,'ИП + источники'!$F$27:$F$174,$F260,'ИП + источники'!$AC$27:$AC$174,"погашение займов и кредитов из амортизации")</f>
        <v>0</v>
      </c>
      <c r="AN260" s="1260">
        <f>_xlfn.SUMIFS('ИП + источники'!AO$27:AO$174,'ИП + источники'!$F$27:$F$174,$F260,'ИП + источники'!$AC$27:$AC$174,"Амортизационные отчисления")+_xlfn.SUMIFS('ИП + источники'!AO$27:AO$174,'ИП + источники'!$F$27:$F$174,$F260,'ИП + источники'!$AC$27:$AC$174,"погашение займов и кредитов из амортизации")</f>
        <v>0</v>
      </c>
      <c r="AO260" s="1260">
        <f>_xlfn.SUMIFS('ИП + источники'!AP$27:AP$174,'ИП + источники'!$F$27:$F$174,$F260,'ИП + источники'!$AC$27:$AC$174,"Амортизационные отчисления")+_xlfn.SUMIFS('ИП + источники'!AP$27:AP$174,'ИП + источники'!$F$27:$F$174,$F260,'ИП + источники'!$AC$27:$AC$174,"погашение займов и кредитов из амортизации")</f>
        <v>0</v>
      </c>
      <c r="AP260" s="1260">
        <f>_xlfn.SUMIFS('ИП + источники'!AQ$27:AQ$174,'ИП + источники'!$F$27:$F$174,$F260,'ИП + источники'!$AC$27:$AC$174,"Амортизационные отчисления")+_xlfn.SUMIFS('ИП + источники'!AQ$27:AQ$174,'ИП + источники'!$F$27:$F$174,$F260,'ИП + источники'!$AC$27:$AC$174,"погашение займов и кредитов из амортизации")</f>
        <v>0</v>
      </c>
      <c r="AQ260" s="1260">
        <f>_xlfn.SUMIFS('ИП + источники'!AR$27:AR$174,'ИП + источники'!$F$27:$F$174,$F260,'ИП + источники'!$AC$27:$AC$174,"Амортизационные отчисления")+_xlfn.SUMIFS('ИП + источники'!AR$27:AR$174,'ИП + источники'!$F$27:$F$174,$F260,'ИП + источники'!$AC$27:$AC$174,"погашение займов и кредитов из амортизации")</f>
        <v>0</v>
      </c>
      <c r="AR260" s="1260">
        <f>_xlfn.SUMIFS('ИП + источники'!AS$27:AS$174,'ИП + источники'!$F$27:$F$174,$F260,'ИП + источники'!$AC$27:$AC$174,"Амортизационные отчисления")+_xlfn.SUMIFS('ИП + источники'!AS$27:AS$174,'ИП + источники'!$F$27:$F$174,$F260,'ИП + источники'!$AC$27:$AC$174,"погашение займов и кредитов из амортизации")</f>
        <v>0</v>
      </c>
      <c r="AS260" s="1260">
        <f>_xlfn.SUMIFS('ИП + источники'!AT$27:AT$174,'ИП + источники'!$F$27:$F$174,$F260,'ИП + источники'!$AC$27:$AC$174,"Амортизационные отчисления")+_xlfn.SUMIFS('ИП + источники'!AT$27:AT$174,'ИП + источники'!$F$27:$F$174,$F260,'ИП + источники'!$AC$27:$AC$174,"погашение займов и кредитов из амортизации")</f>
        <v>0</v>
      </c>
      <c r="AT260" s="6293">
        <f>_xlfn.SUMIFS('ИП + источники'!AU$27:AU$174,'ИП + источники'!$F$27:$F$174,$F260,'ИП + источники'!$AC$27:$AC$174,"Амортизационные отчисления")+_xlfn.SUMIFS('ИП + источники'!AU$27:AU$174,'ИП + источники'!$F$27:$F$174,$F260,'ИП + источники'!$AC$27:$AC$174,"погашение займов и кредитов из амортизации")</f>
        <v>82872.98</v>
      </c>
      <c r="AU260" s="1260">
        <f>_xlfn.SUMIFS('ИП + источники'!AV$27:AV$174,'ИП + источники'!$F$27:$F$174,$F260,'ИП + источники'!$AC$27:$AC$174,"Амортизационные отчисления")+_xlfn.SUMIFS('ИП + источники'!AV$27:AV$174,'ИП + источники'!$F$27:$F$174,$F260,'ИП + источники'!$AC$27:$AC$174,"погашение займов и кредитов из амортизации")</f>
        <v>0</v>
      </c>
      <c r="AV260" s="1260">
        <f>_xlfn.SUMIFS('ИП + источники'!AW$27:AW$174,'ИП + источники'!$F$27:$F$174,$F260,'ИП + источники'!$AC$27:$AC$174,"Амортизационные отчисления")+_xlfn.SUMIFS('ИП + источники'!AW$27:AW$174,'ИП + источники'!$F$27:$F$174,$F260,'ИП + источники'!$AC$27:$AC$174,"погашение займов и кредитов из амортизации")</f>
        <v>0</v>
      </c>
      <c r="AW260" s="1260">
        <f>_xlfn.SUMIFS('ИП + источники'!AX$27:AX$174,'ИП + источники'!$F$27:$F$174,$F260,'ИП + источники'!$AC$27:$AC$174,"Амортизационные отчисления")+_xlfn.SUMIFS('ИП + источники'!AX$27:AX$174,'ИП + источники'!$F$27:$F$174,$F260,'ИП + источники'!$AC$27:$AC$174,"погашение займов и кредитов из амортизации")</f>
        <v>0</v>
      </c>
      <c r="AX260" s="1260">
        <f>_xlfn.SUMIFS('ИП + источники'!AY$27:AY$174,'ИП + источники'!$F$27:$F$174,$F260,'ИП + источники'!$AC$27:$AC$174,"Амортизационные отчисления")+_xlfn.SUMIFS('ИП + источники'!AY$27:AY$174,'ИП + источники'!$F$27:$F$174,$F260,'ИП + источники'!$AC$27:$AC$174,"погашение займов и кредитов из амортизации")</f>
        <v>0</v>
      </c>
      <c r="AY260" s="1260">
        <f>_xlfn.SUMIFS('ИП + источники'!AZ$27:AZ$174,'ИП + источники'!$F$27:$F$174,$F260,'ИП + источники'!$AC$27:$AC$174,"Амортизационные отчисления")+_xlfn.SUMIFS('ИП + источники'!AZ$27:AZ$174,'ИП + источники'!$F$27:$F$174,$F260,'ИП + источники'!$AC$27:$AC$174,"погашение займов и кредитов из амортизации")</f>
        <v>0</v>
      </c>
      <c r="AZ260" s="1260">
        <f>_xlfn.SUMIFS('ИП + источники'!BA$27:BA$174,'ИП + источники'!$F$27:$F$174,$F260,'ИП + источники'!$AC$27:$AC$174,"Амортизационные отчисления")+_xlfn.SUMIFS('ИП + источники'!BA$27:BA$174,'ИП + источники'!$F$27:$F$174,$F260,'ИП + источники'!$AC$27:$AC$174,"погашение займов и кредитов из амортизации")</f>
        <v>0</v>
      </c>
      <c r="BA260" s="1260">
        <f>_xlfn.SUMIFS('ИП + источники'!BB$27:BB$174,'ИП + источники'!$F$27:$F$174,$F260,'ИП + источники'!$AC$27:$AC$174,"Амортизационные отчисления")+_xlfn.SUMIFS('ИП + источники'!BB$27:BB$174,'ИП + источники'!$F$27:$F$174,$F260,'ИП + источники'!$AC$27:$AC$174,"погашение займов и кредитов из амортизации")</f>
        <v>0</v>
      </c>
      <c r="BB260" s="1260">
        <f>_xlfn.SUMIFS('ИП + источники'!BC$27:BC$174,'ИП + источники'!$F$27:$F$174,$F260,'ИП + источники'!$AC$27:$AC$174,"Амортизационные отчисления")+_xlfn.SUMIFS('ИП + источники'!BC$27:BC$174,'ИП + источники'!$F$27:$F$174,$F260,'ИП + источники'!$AC$27:$AC$174,"погашение займов и кредитов из амортизации")</f>
        <v>0</v>
      </c>
      <c r="BC260" s="1260">
        <f>_xlfn.SUMIFS('ИП + источники'!BD$27:BD$174,'ИП + источники'!$F$27:$F$174,$F260,'ИП + источники'!$AC$27:$AC$174,"Амортизационные отчисления")+_xlfn.SUMIFS('ИП + источники'!BD$27:BD$174,'ИП + источники'!$F$27:$F$174,$F260,'ИП + источники'!$AC$27:$AC$174,"погашение займов и кредитов из амортизации")</f>
        <v>0</v>
      </c>
      <c r="BD260" s="1123">
        <f>IF(AI260=0,0,(AT260-AI260)/AI260*100)</f>
        <v>1345.52030405942</v>
      </c>
      <c r="BE260" s="1123">
        <f>IF(AT260=0,0,(AU260-AT260)/AT260*100)</f>
        <v>-100</v>
      </c>
      <c r="BF260" s="1123">
        <f>IF(AU260=0,0,(AV260-AU260)/AU260*100)</f>
        <v>0</v>
      </c>
      <c r="BG260" s="1123">
        <f>IF(AV260=0,0,(AW260-AV260)/AV260*100)</f>
        <v>0</v>
      </c>
      <c r="BH260" s="1123">
        <f>IF(AW260=0,0,(AX260-AW260)/AW260*100)</f>
        <v>0</v>
      </c>
      <c r="BI260" s="1123">
        <f>IF(AX260=0,0,(AY260-AX260)/AX260*100)</f>
        <v>0</v>
      </c>
      <c r="BJ260" s="1123">
        <f>IF(AY260=0,0,(AZ260-AY260)/AY260*100)</f>
        <v>0</v>
      </c>
      <c r="BK260" s="1123">
        <f>IF(AZ260=0,0,(BA260-AZ260)/AZ260*100)</f>
        <v>0</v>
      </c>
      <c r="BL260" s="1123">
        <f>IF(BA260=0,0,(BB260-BA260)/BA260*100)</f>
        <v>0</v>
      </c>
      <c r="BM260" s="1123">
        <f>IF(BB260=0,0,(BC260-BB260)/BB260*100)</f>
        <v>0</v>
      </c>
      <c r="BN260" s="6290"/>
      <c r="BO260" s="6290"/>
      <c r="BP260" s="6290"/>
      <c r="BQ260" s="1297"/>
      <c r="BR260" s="1297"/>
      <c r="BS260" s="1072" t="s">
        <v>2077</v>
      </c>
      <c r="BT260" s="1072"/>
      <c r="BU260" s="1072"/>
      <c r="BV260" s="987"/>
      <c r="BW260" s="987"/>
    </row>
    <row s="6348" customFormat="1" customHeight="1" ht="20.25">
      <c r="A261" s="706"/>
      <c r="B261" s="434" cm="1" t="str">
        <f t="array" ref="B261:B261">B260</f>
        <v>true</v>
      </c>
      <c r="C261" s="105"/>
      <c r="D261" s="105"/>
      <c r="E261" s="833">
        <v>21</v>
      </c>
      <c r="F261" s="50" cm="1" t="str">
        <f t="array" ref="F261:F261">OFFSET(E261,-1,1)</f>
        <v>1</v>
      </c>
      <c r="G261" s="103" t="s">
        <v>1730</v>
      </c>
      <c r="H261" s="103"/>
      <c r="I261" s="103" t="s">
        <v>347</v>
      </c>
      <c r="J261" s="105"/>
      <c r="K261" s="154"/>
      <c r="L261" s="993" t="s">
        <v>685</v>
      </c>
      <c r="M261" s="105"/>
      <c r="N261" s="105"/>
      <c r="O261" s="105"/>
      <c r="P261" s="105"/>
      <c r="Q261" s="105"/>
      <c r="R261" s="105"/>
      <c r="S261" s="105"/>
      <c r="T261" s="468" cm="1" t="str">
        <f t="array" ref="T261:T261">T260</f>
        <v>true</v>
      </c>
      <c r="U261" s="105"/>
      <c r="V261" s="105"/>
      <c r="W261" s="105"/>
      <c r="X261" s="1559"/>
      <c r="Y261" s="706"/>
      <c r="Z261" s="1529"/>
      <c r="AA261" s="706"/>
      <c r="AB261" s="207" t="s">
        <v>454</v>
      </c>
      <c r="AC261" s="208" t="s">
        <v>1730</v>
      </c>
      <c r="AD261" s="230" t="s">
        <v>936</v>
      </c>
      <c r="AE261" s="209">
        <f>AE262+AE263+AE264+AE265</f>
        <v>47538.86</v>
      </c>
      <c r="AF261" s="209">
        <f>AF262+AF263+AF264+AF265</f>
        <v>48655.65</v>
      </c>
      <c r="AG261" s="209">
        <f>AG262+AG263+AG264+AG265</f>
        <v>47402.42</v>
      </c>
      <c r="AH261" s="209">
        <f>AG261-AF261</f>
        <v>-1253.23</v>
      </c>
      <c r="AI261" s="209">
        <f>AI262+AI263+AI264+AI265</f>
        <v>76868.51</v>
      </c>
      <c r="AJ261" s="209">
        <f>AJ262+AJ263+AJ264+AJ265</f>
        <v>9540.52</v>
      </c>
      <c r="AK261" s="209">
        <f>AK262+AK263+AK264+AK265</f>
        <v>0</v>
      </c>
      <c r="AL261" s="209">
        <f>AL262+AL263+AL264+AL265</f>
        <v>0</v>
      </c>
      <c r="AM261" s="209">
        <f>AM262+AM263+AM264+AM265</f>
        <v>0</v>
      </c>
      <c r="AN261" s="209">
        <f>AN262+AN263+AN264+AN265</f>
        <v>0</v>
      </c>
      <c r="AO261" s="209">
        <f>AO262+AO263+AO264+AO265</f>
        <v>0</v>
      </c>
      <c r="AP261" s="209">
        <f>AP262+AP263+AP264+AP265</f>
        <v>0</v>
      </c>
      <c r="AQ261" s="209">
        <f>AQ262+AQ263+AQ264+AQ265</f>
        <v>0</v>
      </c>
      <c r="AR261" s="209">
        <f>AR262+AR263+AR264+AR265</f>
        <v>0</v>
      </c>
      <c r="AS261" s="209">
        <f>AS262+AS263+AS264+AS265</f>
        <v>0</v>
      </c>
      <c r="AT261" s="209">
        <f>AT262+AT263+AT264+AT265</f>
        <v>9540.52</v>
      </c>
      <c r="AU261" s="209">
        <f>AU262+AU263+AU264+AU265</f>
        <v>0</v>
      </c>
      <c r="AV261" s="209">
        <f>AV262+AV263+AV264+AV265</f>
        <v>0</v>
      </c>
      <c r="AW261" s="209">
        <f>AW262+AW263+AW264+AW265</f>
        <v>0</v>
      </c>
      <c r="AX261" s="209">
        <f>AX262+AX263+AX264+AX265</f>
        <v>0</v>
      </c>
      <c r="AY261" s="209">
        <f>AY262+AY263+AY264+AY265</f>
        <v>0</v>
      </c>
      <c r="AZ261" s="209">
        <f>AZ262+AZ263+AZ264+AZ265</f>
        <v>0</v>
      </c>
      <c r="BA261" s="209">
        <f>BA262+BA263+BA264+BA265</f>
        <v>0</v>
      </c>
      <c r="BB261" s="209">
        <f>BB262+BB263+BB264+BB265</f>
        <v>0</v>
      </c>
      <c r="BC261" s="209">
        <f>BC262+BC263+BC264+BC265</f>
        <v>0</v>
      </c>
      <c r="BD261" s="785">
        <f>IF(AI261=0,0,(AT261-AI261)/AI261*100)</f>
        <v>-87.588519668197</v>
      </c>
      <c r="BE261" s="785">
        <f>IF(AT261=0,0,(AU261-AT261)/AT261*100)</f>
        <v>-100</v>
      </c>
      <c r="BF261" s="785">
        <f>IF(AU261=0,0,(AV261-AU261)/AU261*100)</f>
        <v>0</v>
      </c>
      <c r="BG261" s="785">
        <f>IF(AV261=0,0,(AW261-AV261)/AV261*100)</f>
        <v>0</v>
      </c>
      <c r="BH261" s="785">
        <f>IF(AW261=0,0,(AX261-AW261)/AW261*100)</f>
        <v>0</v>
      </c>
      <c r="BI261" s="785">
        <f>IF(AX261=0,0,(AY261-AX261)/AX261*100)</f>
        <v>0</v>
      </c>
      <c r="BJ261" s="785">
        <f>IF(AY261=0,0,(AZ261-AY261)/AY261*100)</f>
        <v>0</v>
      </c>
      <c r="BK261" s="785">
        <f>IF(AZ261=0,0,(BA261-AZ261)/AZ261*100)</f>
        <v>0</v>
      </c>
      <c r="BL261" s="785">
        <f>IF(BA261=0,0,(BB261-BA261)/BA261*100)</f>
        <v>0</v>
      </c>
      <c r="BM261" s="785">
        <f>IF(BB261=0,0,(BC261-BB261)/BB261*100)</f>
        <v>0</v>
      </c>
      <c r="BN261" s="6290"/>
      <c r="BO261" s="6290"/>
      <c r="BP261" s="6290"/>
      <c r="BQ261" s="706"/>
      <c r="BR261" s="706"/>
      <c r="BS261" s="1071" t="s">
        <v>1734</v>
      </c>
      <c r="BT261" s="1078"/>
      <c r="BU261" s="1078"/>
      <c r="BV261" s="713"/>
      <c r="BW261" s="713"/>
    </row>
    <row s="1656" customFormat="1" customHeight="1" ht="14.25">
      <c r="A262" s="1297"/>
      <c r="B262" s="434" cm="1" t="str">
        <f t="array" ref="B262:B262">B261</f>
        <v>true</v>
      </c>
      <c r="C262" s="103"/>
      <c r="D262" s="103"/>
      <c r="E262" s="626">
        <v>15</v>
      </c>
      <c r="F262" s="50" cm="1" t="str">
        <f t="array" ref="F262:F262">OFFSET(E262,-1,1)</f>
        <v>1</v>
      </c>
      <c r="G262" s="103"/>
      <c r="H262" s="103"/>
      <c r="I262" s="103" t="s">
        <v>673</v>
      </c>
      <c r="J262" s="103"/>
      <c r="K262" s="1297"/>
      <c r="L262" s="988"/>
      <c r="M262" s="103"/>
      <c r="N262" s="103"/>
      <c r="O262" s="103"/>
      <c r="P262" s="103"/>
      <c r="Q262" s="103"/>
      <c r="R262" s="103"/>
      <c r="S262" s="103"/>
      <c r="T262" s="468" cm="1" t="str">
        <f t="array" ref="T262:T262">T261</f>
        <v>true</v>
      </c>
      <c r="U262" s="103"/>
      <c r="V262" s="103"/>
      <c r="W262" s="103"/>
      <c r="X262" s="1559"/>
      <c r="Y262" s="1297"/>
      <c r="Z262" s="1529"/>
      <c r="AA262" s="1297"/>
      <c r="AB262" s="296" t="s">
        <v>801</v>
      </c>
      <c r="AC262" s="769" t="s">
        <v>2370</v>
      </c>
      <c r="AD262" s="296" t="s">
        <v>936</v>
      </c>
      <c r="AE262" s="6293">
        <f>_xlfn.SUMIFS('ИП + источники'!AF$27:AF$174,'ИП + источники'!$F$27:$F$174,$F262,'ИП + источники'!$AC$27:$AC$174,"погашение займов и кредитов из нормативной прибыли")</f>
        <v>0</v>
      </c>
      <c r="AF262" s="6293">
        <f>_xlfn.SUMIFS('ИП + источники'!AG$27:AG$174,'ИП + источники'!$F$27:$F$174,$F262,'ИП + источники'!$AC$27:$AC$174,"погашение займов и кредитов из нормативной прибыли")</f>
        <v>0</v>
      </c>
      <c r="AG262" s="6293">
        <f>_xlfn.SUMIFS('ИП + источники'!AH$27:AH$174,'ИП + источники'!$F$27:$F$174,$F262,'ИП + источники'!$AC$27:$AC$174,"погашение займов и кредитов из нормативной прибыли")</f>
        <v>0</v>
      </c>
      <c r="AH262" s="1123">
        <f>AG262-AF262</f>
        <v>0</v>
      </c>
      <c r="AI262" s="6293">
        <f>_xlfn.SUMIFS('ИП + источники'!AJ$27:AJ$174,'ИП + источники'!$F$27:$F$174,$F262,'ИП + источники'!$AC$27:$AC$174,"погашение займов и кредитов из нормативной прибыли")</f>
        <v>0</v>
      </c>
      <c r="AJ262" s="6293">
        <f>_xlfn.SUMIFS('ИП + источники'!AK$27:AK$174,'ИП + источники'!$F$27:$F$174,$F262,'ИП + источники'!$AC$27:$AC$174,"погашение займов и кредитов из нормативной прибыли")</f>
        <v>0</v>
      </c>
      <c r="AK262" s="1260">
        <f>_xlfn.SUMIFS('ИП + источники'!AL$27:AL$174,'ИП + источники'!$F$27:$F$174,$F262,'ИП + источники'!$AC$27:$AC$174,"погашение займов и кредитов из нормативной прибыли")</f>
        <v>0</v>
      </c>
      <c r="AL262" s="1260">
        <f>_xlfn.SUMIFS('ИП + источники'!AM$27:AM$174,'ИП + источники'!$F$27:$F$174,$F262,'ИП + источники'!$AC$27:$AC$174,"погашение займов и кредитов из нормативной прибыли")</f>
        <v>0</v>
      </c>
      <c r="AM262" s="1260">
        <f>_xlfn.SUMIFS('ИП + источники'!AN$27:AN$174,'ИП + источники'!$F$27:$F$174,$F262,'ИП + источники'!$AC$27:$AC$174,"погашение займов и кредитов из нормативной прибыли")</f>
        <v>0</v>
      </c>
      <c r="AN262" s="1260">
        <f>_xlfn.SUMIFS('ИП + источники'!AO$27:AO$174,'ИП + источники'!$F$27:$F$174,$F262,'ИП + источники'!$AC$27:$AC$174,"погашение займов и кредитов из нормативной прибыли")</f>
        <v>0</v>
      </c>
      <c r="AO262" s="1260">
        <f>_xlfn.SUMIFS('ИП + источники'!AP$27:AP$174,'ИП + источники'!$F$27:$F$174,$F262,'ИП + источники'!$AC$27:$AC$174,"погашение займов и кредитов из нормативной прибыли")</f>
        <v>0</v>
      </c>
      <c r="AP262" s="1260">
        <f>_xlfn.SUMIFS('ИП + источники'!AQ$27:AQ$174,'ИП + источники'!$F$27:$F$174,$F262,'ИП + источники'!$AC$27:$AC$174,"погашение займов и кредитов из нормативной прибыли")</f>
        <v>0</v>
      </c>
      <c r="AQ262" s="1260">
        <f>_xlfn.SUMIFS('ИП + источники'!AR$27:AR$174,'ИП + источники'!$F$27:$F$174,$F262,'ИП + источники'!$AC$27:$AC$174,"погашение займов и кредитов из нормативной прибыли")</f>
        <v>0</v>
      </c>
      <c r="AR262" s="1260">
        <f>_xlfn.SUMIFS('ИП + источники'!AS$27:AS$174,'ИП + источники'!$F$27:$F$174,$F262,'ИП + источники'!$AC$27:$AC$174,"погашение займов и кредитов из нормативной прибыли")</f>
        <v>0</v>
      </c>
      <c r="AS262" s="1260">
        <f>_xlfn.SUMIFS('ИП + источники'!AT$27:AT$174,'ИП + источники'!$F$27:$F$174,$F262,'ИП + источники'!$AC$27:$AC$174,"погашение займов и кредитов из нормативной прибыли")</f>
        <v>0</v>
      </c>
      <c r="AT262" s="6293">
        <f>_xlfn.SUMIFS('ИП + источники'!AU$27:AU$174,'ИП + источники'!$F$27:$F$174,$F262,'ИП + источники'!$AC$27:$AC$174,"погашение займов и кредитов из нормативной прибыли")</f>
        <v>0</v>
      </c>
      <c r="AU262" s="1260">
        <f>_xlfn.SUMIFS('ИП + источники'!AV$27:AV$174,'ИП + источники'!$F$27:$F$174,$F262,'ИП + источники'!$AC$27:$AC$174,"погашение займов и кредитов из нормативной прибыли")</f>
        <v>0</v>
      </c>
      <c r="AV262" s="1260">
        <f>_xlfn.SUMIFS('ИП + источники'!AW$27:AW$174,'ИП + источники'!$F$27:$F$174,$F262,'ИП + источники'!$AC$27:$AC$174,"погашение займов и кредитов из нормативной прибыли")</f>
        <v>0</v>
      </c>
      <c r="AW262" s="1260">
        <f>_xlfn.SUMIFS('ИП + источники'!AX$27:AX$174,'ИП + источники'!$F$27:$F$174,$F262,'ИП + источники'!$AC$27:$AC$174,"погашение займов и кредитов из нормативной прибыли")</f>
        <v>0</v>
      </c>
      <c r="AX262" s="1260">
        <f>_xlfn.SUMIFS('ИП + источники'!AY$27:AY$174,'ИП + источники'!$F$27:$F$174,$F262,'ИП + источники'!$AC$27:$AC$174,"погашение займов и кредитов из нормативной прибыли")</f>
        <v>0</v>
      </c>
      <c r="AY262" s="1260">
        <f>_xlfn.SUMIFS('ИП + источники'!AZ$27:AZ$174,'ИП + источники'!$F$27:$F$174,$F262,'ИП + источники'!$AC$27:$AC$174,"погашение займов и кредитов из нормативной прибыли")</f>
        <v>0</v>
      </c>
      <c r="AZ262" s="1260">
        <f>_xlfn.SUMIFS('ИП + источники'!BA$27:BA$174,'ИП + источники'!$F$27:$F$174,$F262,'ИП + источники'!$AC$27:$AC$174,"погашение займов и кредитов из нормативной прибыли")</f>
        <v>0</v>
      </c>
      <c r="BA262" s="1260">
        <f>_xlfn.SUMIFS('ИП + источники'!BB$27:BB$174,'ИП + источники'!$F$27:$F$174,$F262,'ИП + источники'!$AC$27:$AC$174,"погашение займов и кредитов из нормативной прибыли")</f>
        <v>0</v>
      </c>
      <c r="BB262" s="1260">
        <f>_xlfn.SUMIFS('ИП + источники'!BC$27:BC$174,'ИП + источники'!$F$27:$F$174,$F262,'ИП + источники'!$AC$27:$AC$174,"погашение займов и кредитов из нормативной прибыли")</f>
        <v>0</v>
      </c>
      <c r="BC262" s="1260">
        <f>_xlfn.SUMIFS('ИП + источники'!BD$27:BD$174,'ИП + источники'!$F$27:$F$174,$F262,'ИП + источники'!$AC$27:$AC$174,"погашение займов и кредитов из нормативной прибыли")</f>
        <v>0</v>
      </c>
      <c r="BD262" s="1123">
        <f>IF(AI262=0,0,(AT262-AI262)/AI262*100)</f>
        <v>0</v>
      </c>
      <c r="BE262" s="1123">
        <f>IF(AT262=0,0,(AU262-AT262)/AT262*100)</f>
        <v>0</v>
      </c>
      <c r="BF262" s="1123">
        <f>IF(AU262=0,0,(AV262-AU262)/AU262*100)</f>
        <v>0</v>
      </c>
      <c r="BG262" s="1123">
        <f>IF(AV262=0,0,(AW262-AV262)/AV262*100)</f>
        <v>0</v>
      </c>
      <c r="BH262" s="1123">
        <f>IF(AW262=0,0,(AX262-AW262)/AW262*100)</f>
        <v>0</v>
      </c>
      <c r="BI262" s="1123">
        <f>IF(AX262=0,0,(AY262-AX262)/AX262*100)</f>
        <v>0</v>
      </c>
      <c r="BJ262" s="1123">
        <f>IF(AY262=0,0,(AZ262-AY262)/AY262*100)</f>
        <v>0</v>
      </c>
      <c r="BK262" s="1123">
        <f>IF(AZ262=0,0,(BA262-AZ262)/AZ262*100)</f>
        <v>0</v>
      </c>
      <c r="BL262" s="1123">
        <f>IF(BA262=0,0,(BB262-BA262)/BA262*100)</f>
        <v>0</v>
      </c>
      <c r="BM262" s="1123">
        <f>IF(BB262=0,0,(BC262-BB262)/BB262*100)</f>
        <v>0</v>
      </c>
      <c r="BN262" s="6290"/>
      <c r="BO262" s="6294" t="str">
        <f>IF(_xlfn.IFERROR(INDEX('ИП + источники'!$K$57:$L$174,MATCH($F262&amp;"2komm",'ИП + источники'!$K$57:$K$174,0),2),"")=0,"",_xlfn.IFERROR(INDEX('ИП + источники'!$K$57:$L$174,MATCH($F262&amp;"2komm",'ИП + источники'!$K$57:$K$174,0),2),""))</f>
        <v/>
      </c>
      <c r="BP262" s="6290"/>
      <c r="BQ262" s="1297"/>
      <c r="BR262" s="1297"/>
      <c r="BS262" s="1072" t="s">
        <v>2371</v>
      </c>
      <c r="BT262" s="1072"/>
      <c r="BU262" s="1072"/>
      <c r="BV262" s="987"/>
      <c r="BW262" s="987"/>
    </row>
    <row s="1656" customFormat="1" customHeight="1" ht="14.25">
      <c r="A263" s="1297"/>
      <c r="B263" s="434" cm="1" t="str">
        <f t="array" ref="B263:B263">B262</f>
        <v>true</v>
      </c>
      <c r="C263" s="103"/>
      <c r="D263" s="103"/>
      <c r="E263" s="626">
        <v>15</v>
      </c>
      <c r="F263" s="50" cm="1" t="str">
        <f t="array" ref="F263:F263">OFFSET(E263,-1,1)</f>
        <v>1</v>
      </c>
      <c r="G263" s="103"/>
      <c r="H263" s="103"/>
      <c r="I263" s="103" t="s">
        <v>677</v>
      </c>
      <c r="J263" s="103"/>
      <c r="K263" s="1297"/>
      <c r="L263" s="988"/>
      <c r="M263" s="103"/>
      <c r="N263" s="103"/>
      <c r="O263" s="103"/>
      <c r="P263" s="103"/>
      <c r="Q263" s="103"/>
      <c r="R263" s="103"/>
      <c r="S263" s="103"/>
      <c r="T263" s="468" cm="1" t="str">
        <f t="array" ref="T263:T263">T262</f>
        <v>true</v>
      </c>
      <c r="U263" s="103"/>
      <c r="V263" s="103"/>
      <c r="W263" s="103"/>
      <c r="X263" s="1559"/>
      <c r="Y263" s="1297"/>
      <c r="Z263" s="1529"/>
      <c r="AA263" s="1297"/>
      <c r="AB263" s="296" t="s">
        <v>804</v>
      </c>
      <c r="AC263" s="769" t="s">
        <v>2372</v>
      </c>
      <c r="AD263" s="296" t="s">
        <v>936</v>
      </c>
      <c r="AE263" s="6293">
        <f>_xlfn.SUMIFS('ИП + источники'!AF$27:AF$174,'ИП + источники'!$F$27:$F$174,$F263,'ИП + источники'!$AC$27:$AC$174,"уплата процентов по кредитам из нормативной прибыли")</f>
        <v>0</v>
      </c>
      <c r="AF263" s="6293">
        <f>_xlfn.SUMIFS('ИП + источники'!AG$27:AG$174,'ИП + источники'!$F$27:$F$174,$F263,'ИП + источники'!$AC$27:$AC$174,"уплата процентов по кредитам из нормативной прибыли")</f>
        <v>0</v>
      </c>
      <c r="AG263" s="6293">
        <f>_xlfn.SUMIFS('ИП + источники'!AH$27:AH$174,'ИП + источники'!$F$27:$F$174,$F263,'ИП + источники'!$AC$27:$AC$174,"уплата процентов по кредитам из нормативной прибыли")</f>
        <v>0</v>
      </c>
      <c r="AH263" s="1123">
        <f>AG263-AF263</f>
        <v>0</v>
      </c>
      <c r="AI263" s="6293">
        <f>_xlfn.SUMIFS('ИП + источники'!AJ$27:AJ$174,'ИП + источники'!$F$27:$F$174,$F263,'ИП + источники'!$AC$27:$AC$174,"уплата процентов по кредитам из нормативной прибыли")</f>
        <v>0</v>
      </c>
      <c r="AJ263" s="6293">
        <f>_xlfn.SUMIFS('ИП + источники'!AK$27:AK$174,'ИП + источники'!$F$27:$F$174,$F263,'ИП + источники'!$AC$27:$AC$174,"уплата процентов по кредитам из нормативной прибыли")</f>
        <v>0</v>
      </c>
      <c r="AK263" s="1260">
        <f>_xlfn.SUMIFS('ИП + источники'!AL$27:AL$174,'ИП + источники'!$F$27:$F$174,$F263,'ИП + источники'!$AC$27:$AC$174,"уплата процентов по кредитам из нормативной прибыли")</f>
        <v>0</v>
      </c>
      <c r="AL263" s="1260">
        <f>_xlfn.SUMIFS('ИП + источники'!AM$27:AM$174,'ИП + источники'!$F$27:$F$174,$F263,'ИП + источники'!$AC$27:$AC$174,"уплата процентов по кредитам из нормативной прибыли")</f>
        <v>0</v>
      </c>
      <c r="AM263" s="1260">
        <f>_xlfn.SUMIFS('ИП + источники'!AN$27:AN$174,'ИП + источники'!$F$27:$F$174,$F263,'ИП + источники'!$AC$27:$AC$174,"уплата процентов по кредитам из нормативной прибыли")</f>
        <v>0</v>
      </c>
      <c r="AN263" s="1260">
        <f>_xlfn.SUMIFS('ИП + источники'!AO$27:AO$174,'ИП + источники'!$F$27:$F$174,$F263,'ИП + источники'!$AC$27:$AC$174,"уплата процентов по кредитам из нормативной прибыли")</f>
        <v>0</v>
      </c>
      <c r="AO263" s="1260">
        <f>_xlfn.SUMIFS('ИП + источники'!AP$27:AP$174,'ИП + источники'!$F$27:$F$174,$F263,'ИП + источники'!$AC$27:$AC$174,"уплата процентов по кредитам из нормативной прибыли")</f>
        <v>0</v>
      </c>
      <c r="AP263" s="1260">
        <f>_xlfn.SUMIFS('ИП + источники'!AQ$27:AQ$174,'ИП + источники'!$F$27:$F$174,$F263,'ИП + источники'!$AC$27:$AC$174,"уплата процентов по кредитам из нормативной прибыли")</f>
        <v>0</v>
      </c>
      <c r="AQ263" s="1260">
        <f>_xlfn.SUMIFS('ИП + источники'!AR$27:AR$174,'ИП + источники'!$F$27:$F$174,$F263,'ИП + источники'!$AC$27:$AC$174,"уплата процентов по кредитам из нормативной прибыли")</f>
        <v>0</v>
      </c>
      <c r="AR263" s="1260">
        <f>_xlfn.SUMIFS('ИП + источники'!AS$27:AS$174,'ИП + источники'!$F$27:$F$174,$F263,'ИП + источники'!$AC$27:$AC$174,"уплата процентов по кредитам из нормативной прибыли")</f>
        <v>0</v>
      </c>
      <c r="AS263" s="1260">
        <f>_xlfn.SUMIFS('ИП + источники'!AT$27:AT$174,'ИП + источники'!$F$27:$F$174,$F263,'ИП + источники'!$AC$27:$AC$174,"уплата процентов по кредитам из нормативной прибыли")</f>
        <v>0</v>
      </c>
      <c r="AT263" s="6293">
        <f>_xlfn.SUMIFS('ИП + источники'!AU$27:AU$174,'ИП + источники'!$F$27:$F$174,$F263,'ИП + источники'!$AC$27:$AC$174,"уплата процентов по кредитам из нормативной прибыли")</f>
        <v>0</v>
      </c>
      <c r="AU263" s="1260">
        <f>_xlfn.SUMIFS('ИП + источники'!AV$27:AV$174,'ИП + источники'!$F$27:$F$174,$F263,'ИП + источники'!$AC$27:$AC$174,"уплата процентов по кредитам из нормативной прибыли")</f>
        <v>0</v>
      </c>
      <c r="AV263" s="1260">
        <f>_xlfn.SUMIFS('ИП + источники'!AW$27:AW$174,'ИП + источники'!$F$27:$F$174,$F263,'ИП + источники'!$AC$27:$AC$174,"уплата процентов по кредитам из нормативной прибыли")</f>
        <v>0</v>
      </c>
      <c r="AW263" s="1260">
        <f>_xlfn.SUMIFS('ИП + источники'!AX$27:AX$174,'ИП + источники'!$F$27:$F$174,$F263,'ИП + источники'!$AC$27:$AC$174,"уплата процентов по кредитам из нормативной прибыли")</f>
        <v>0</v>
      </c>
      <c r="AX263" s="1260">
        <f>_xlfn.SUMIFS('ИП + источники'!AY$27:AY$174,'ИП + источники'!$F$27:$F$174,$F263,'ИП + источники'!$AC$27:$AC$174,"уплата процентов по кредитам из нормативной прибыли")</f>
        <v>0</v>
      </c>
      <c r="AY263" s="1260">
        <f>_xlfn.SUMIFS('ИП + источники'!AZ$27:AZ$174,'ИП + источники'!$F$27:$F$174,$F263,'ИП + источники'!$AC$27:$AC$174,"уплата процентов по кредитам из нормативной прибыли")</f>
        <v>0</v>
      </c>
      <c r="AZ263" s="1260">
        <f>_xlfn.SUMIFS('ИП + источники'!BA$27:BA$174,'ИП + источники'!$F$27:$F$174,$F263,'ИП + источники'!$AC$27:$AC$174,"уплата процентов по кредитам из нормативной прибыли")</f>
        <v>0</v>
      </c>
      <c r="BA263" s="1260">
        <f>_xlfn.SUMIFS('ИП + источники'!BB$27:BB$174,'ИП + источники'!$F$27:$F$174,$F263,'ИП + источники'!$AC$27:$AC$174,"уплата процентов по кредитам из нормативной прибыли")</f>
        <v>0</v>
      </c>
      <c r="BB263" s="1260">
        <f>_xlfn.SUMIFS('ИП + источники'!BC$27:BC$174,'ИП + источники'!$F$27:$F$174,$F263,'ИП + источники'!$AC$27:$AC$174,"уплата процентов по кредитам из нормативной прибыли")</f>
        <v>0</v>
      </c>
      <c r="BC263" s="1260">
        <f>_xlfn.SUMIFS('ИП + источники'!BD$27:BD$174,'ИП + источники'!$F$27:$F$174,$F263,'ИП + источники'!$AC$27:$AC$174,"уплата процентов по кредитам из нормативной прибыли")</f>
        <v>0</v>
      </c>
      <c r="BD263" s="1123">
        <f>IF(AI263=0,0,(AT263-AI263)/AI263*100)</f>
        <v>0</v>
      </c>
      <c r="BE263" s="1123">
        <f>IF(AT263=0,0,(AU263-AT263)/AT263*100)</f>
        <v>0</v>
      </c>
      <c r="BF263" s="1123">
        <f>IF(AU263=0,0,(AV263-AU263)/AU263*100)</f>
        <v>0</v>
      </c>
      <c r="BG263" s="1123">
        <f>IF(AV263=0,0,(AW263-AV263)/AV263*100)</f>
        <v>0</v>
      </c>
      <c r="BH263" s="1123">
        <f>IF(AW263=0,0,(AX263-AW263)/AW263*100)</f>
        <v>0</v>
      </c>
      <c r="BI263" s="1123">
        <f>IF(AX263=0,0,(AY263-AX263)/AX263*100)</f>
        <v>0</v>
      </c>
      <c r="BJ263" s="1123">
        <f>IF(AY263=0,0,(AZ263-AY263)/AY263*100)</f>
        <v>0</v>
      </c>
      <c r="BK263" s="1123">
        <f>IF(AZ263=0,0,(BA263-AZ263)/AZ263*100)</f>
        <v>0</v>
      </c>
      <c r="BL263" s="1123">
        <f>IF(BA263=0,0,(BB263-BA263)/BA263*100)</f>
        <v>0</v>
      </c>
      <c r="BM263" s="1123">
        <f>IF(BB263=0,0,(BC263-BB263)/BB263*100)</f>
        <v>0</v>
      </c>
      <c r="BN263" s="6290"/>
      <c r="BO263" s="6294" t="str">
        <f>IF(_xlfn.IFERROR(INDEX('ИП + источники'!$K$57:$L$174,MATCH($F263&amp;"3komm",'ИП + источники'!$K$57:$K$174,0),2),"")=0,"",_xlfn.IFERROR(INDEX('ИП + источники'!$K$57:$L$174,MATCH($F263&amp;"3komm",'ИП + источники'!$K$57:$K$174,0),2),""))</f>
        <v/>
      </c>
      <c r="BP263" s="6290"/>
      <c r="BQ263" s="1297"/>
      <c r="BR263" s="1297"/>
      <c r="BS263" s="1072" t="s">
        <v>2373</v>
      </c>
      <c r="BT263" s="1072"/>
      <c r="BU263" s="1072"/>
      <c r="BV263" s="987"/>
      <c r="BW263" s="987"/>
    </row>
    <row s="1656" customFormat="1" customHeight="1" ht="14.25">
      <c r="A264" s="1297"/>
      <c r="B264" s="434" cm="1" t="str">
        <f t="array" ref="B264:B264">B263</f>
        <v>true</v>
      </c>
      <c r="C264" s="103"/>
      <c r="D264" s="103"/>
      <c r="E264" s="626">
        <v>15</v>
      </c>
      <c r="F264" s="50" cm="1" t="str">
        <f t="array" ref="F264:F264">OFFSET(E264,-1,1)</f>
        <v>1</v>
      </c>
      <c r="G264" s="103"/>
      <c r="H264" s="103"/>
      <c r="I264" s="103" t="s">
        <v>889</v>
      </c>
      <c r="J264" s="103"/>
      <c r="K264" s="1297"/>
      <c r="L264" s="988" t="s">
        <v>692</v>
      </c>
      <c r="M264" s="103"/>
      <c r="N264" s="103"/>
      <c r="O264" s="103"/>
      <c r="P264" s="103"/>
      <c r="Q264" s="103"/>
      <c r="R264" s="103"/>
      <c r="S264" s="103"/>
      <c r="T264" s="468" cm="1" t="str">
        <f t="array" ref="T264:T264">T263</f>
        <v>true</v>
      </c>
      <c r="U264" s="103"/>
      <c r="V264" s="103"/>
      <c r="W264" s="103"/>
      <c r="X264" s="1559"/>
      <c r="Y264" s="1297"/>
      <c r="Z264" s="1529"/>
      <c r="AA264" s="1297"/>
      <c r="AB264" s="296" t="s">
        <v>1122</v>
      </c>
      <c r="AC264" s="769" t="s">
        <v>2374</v>
      </c>
      <c r="AD264" s="296" t="s">
        <v>936</v>
      </c>
      <c r="AE264" s="6293">
        <f>_xlfn.SUMIFS('ИП + источники'!AF$27:AF$174,'ИП + источники'!$F$27:$F$174,$F264,'ИП + источники'!$AC$27:$AC$174,"Прибыль на капвложения")</f>
        <v>47538.86</v>
      </c>
      <c r="AF264" s="6293">
        <f>_xlfn.SUMIFS('ИП + источники'!AG$27:AG$174,'ИП + источники'!$F$27:$F$174,$F264,'ИП + источники'!$AC$27:$AC$174,"Прибыль на капвложения")</f>
        <v>48655.65</v>
      </c>
      <c r="AG264" s="6293">
        <f>_xlfn.SUMIFS('ИП + источники'!AH$27:AH$174,'ИП + источники'!$F$27:$F$174,$F264,'ИП + источники'!$AC$27:$AC$174,"Прибыль на капвложения")</f>
        <v>47402.42</v>
      </c>
      <c r="AH264" s="1123">
        <f>AG264-AF264</f>
        <v>-1253.23</v>
      </c>
      <c r="AI264" s="6293">
        <f>_xlfn.SUMIFS('ИП + источники'!AJ$27:AJ$174,'ИП + источники'!$F$27:$F$174,$F264,'ИП + источники'!$AC$27:$AC$174,"Прибыль на капвложения")</f>
        <v>76868.51</v>
      </c>
      <c r="AJ264" s="6293">
        <f>_xlfn.SUMIFS('ИП + источники'!AK$27:AK$174,'ИП + источники'!$F$27:$F$174,$F264,'ИП + источники'!$AC$27:$AC$174,"Прибыль на капвложения")</f>
        <v>9540.52</v>
      </c>
      <c r="AK264" s="1260">
        <f>_xlfn.SUMIFS('ИП + источники'!AL$27:AL$174,'ИП + источники'!$F$27:$F$174,$F264,'ИП + источники'!$AC$27:$AC$174,"Прибыль на капвложения")</f>
        <v>0</v>
      </c>
      <c r="AL264" s="1260">
        <f>_xlfn.SUMIFS('ИП + источники'!AM$27:AM$174,'ИП + источники'!$F$27:$F$174,$F264,'ИП + источники'!$AC$27:$AC$174,"Прибыль на капвложения")</f>
        <v>0</v>
      </c>
      <c r="AM264" s="1260">
        <f>_xlfn.SUMIFS('ИП + источники'!AN$27:AN$174,'ИП + источники'!$F$27:$F$174,$F264,'ИП + источники'!$AC$27:$AC$174,"Прибыль на капвложения")</f>
        <v>0</v>
      </c>
      <c r="AN264" s="1260">
        <f>_xlfn.SUMIFS('ИП + источники'!AO$27:AO$174,'ИП + источники'!$F$27:$F$174,$F264,'ИП + источники'!$AC$27:$AC$174,"Прибыль на капвложения")</f>
        <v>0</v>
      </c>
      <c r="AO264" s="1260">
        <f>_xlfn.SUMIFS('ИП + источники'!AP$27:AP$174,'ИП + источники'!$F$27:$F$174,$F264,'ИП + источники'!$AC$27:$AC$174,"Прибыль на капвложения")</f>
        <v>0</v>
      </c>
      <c r="AP264" s="1260">
        <f>_xlfn.SUMIFS('ИП + источники'!AQ$27:AQ$174,'ИП + источники'!$F$27:$F$174,$F264,'ИП + источники'!$AC$27:$AC$174,"Прибыль на капвложения")</f>
        <v>0</v>
      </c>
      <c r="AQ264" s="1260">
        <f>_xlfn.SUMIFS('ИП + источники'!AR$27:AR$174,'ИП + источники'!$F$27:$F$174,$F264,'ИП + источники'!$AC$27:$AC$174,"Прибыль на капвложения")</f>
        <v>0</v>
      </c>
      <c r="AR264" s="1260">
        <f>_xlfn.SUMIFS('ИП + источники'!AS$27:AS$174,'ИП + источники'!$F$27:$F$174,$F264,'ИП + источники'!$AC$27:$AC$174,"Прибыль на капвложения")</f>
        <v>0</v>
      </c>
      <c r="AS264" s="1260">
        <f>_xlfn.SUMIFS('ИП + источники'!AT$27:AT$174,'ИП + источники'!$F$27:$F$174,$F264,'ИП + источники'!$AC$27:$AC$174,"Прибыль на капвложения")</f>
        <v>0</v>
      </c>
      <c r="AT264" s="6293">
        <f>_xlfn.SUMIFS('ИП + источники'!AU$27:AU$174,'ИП + источники'!$F$27:$F$174,$F264,'ИП + источники'!$AC$27:$AC$174,"Прибыль на капвложения")</f>
        <v>9540.52</v>
      </c>
      <c r="AU264" s="1260">
        <f>_xlfn.SUMIFS('ИП + источники'!AV$27:AV$174,'ИП + источники'!$F$27:$F$174,$F264,'ИП + источники'!$AC$27:$AC$174,"Прибыль на капвложения")</f>
        <v>0</v>
      </c>
      <c r="AV264" s="1260">
        <f>_xlfn.SUMIFS('ИП + источники'!AW$27:AW$174,'ИП + источники'!$F$27:$F$174,$F264,'ИП + источники'!$AC$27:$AC$174,"Прибыль на капвложения")</f>
        <v>0</v>
      </c>
      <c r="AW264" s="1260">
        <f>_xlfn.SUMIFS('ИП + источники'!AX$27:AX$174,'ИП + источники'!$F$27:$F$174,$F264,'ИП + источники'!$AC$27:$AC$174,"Прибыль на капвложения")</f>
        <v>0</v>
      </c>
      <c r="AX264" s="1260">
        <f>_xlfn.SUMIFS('ИП + источники'!AY$27:AY$174,'ИП + источники'!$F$27:$F$174,$F264,'ИП + источники'!$AC$27:$AC$174,"Прибыль на капвложения")</f>
        <v>0</v>
      </c>
      <c r="AY264" s="1260">
        <f>_xlfn.SUMIFS('ИП + источники'!AZ$27:AZ$174,'ИП + источники'!$F$27:$F$174,$F264,'ИП + источники'!$AC$27:$AC$174,"Прибыль на капвложения")</f>
        <v>0</v>
      </c>
      <c r="AZ264" s="1260">
        <f>_xlfn.SUMIFS('ИП + источники'!BA$27:BA$174,'ИП + источники'!$F$27:$F$174,$F264,'ИП + источники'!$AC$27:$AC$174,"Прибыль на капвложения")</f>
        <v>0</v>
      </c>
      <c r="BA264" s="1260">
        <f>_xlfn.SUMIFS('ИП + источники'!BB$27:BB$174,'ИП + источники'!$F$27:$F$174,$F264,'ИП + источники'!$AC$27:$AC$174,"Прибыль на капвложения")</f>
        <v>0</v>
      </c>
      <c r="BB264" s="1260">
        <f>_xlfn.SUMIFS('ИП + источники'!BC$27:BC$174,'ИП + источники'!$F$27:$F$174,$F264,'ИП + источники'!$AC$27:$AC$174,"Прибыль на капвложения")</f>
        <v>0</v>
      </c>
      <c r="BC264" s="1260">
        <f>_xlfn.SUMIFS('ИП + источники'!BD$27:BD$174,'ИП + источники'!$F$27:$F$174,$F264,'ИП + источники'!$AC$27:$AC$174,"Прибыль на капвложения")</f>
        <v>0</v>
      </c>
      <c r="BD264" s="1123">
        <f>IF(AI264=0,0,(AT264-AI264)/AI264*100)</f>
        <v>-87.588519668197</v>
      </c>
      <c r="BE264" s="1123">
        <f>IF(AT264=0,0,(AU264-AT264)/AT264*100)</f>
        <v>-100</v>
      </c>
      <c r="BF264" s="1123">
        <f>IF(AU264=0,0,(AV264-AU264)/AU264*100)</f>
        <v>0</v>
      </c>
      <c r="BG264" s="1123">
        <f>IF(AV264=0,0,(AW264-AV264)/AV264*100)</f>
        <v>0</v>
      </c>
      <c r="BH264" s="1123">
        <f>IF(AW264=0,0,(AX264-AW264)/AW264*100)</f>
        <v>0</v>
      </c>
      <c r="BI264" s="1123">
        <f>IF(AX264=0,0,(AY264-AX264)/AX264*100)</f>
        <v>0</v>
      </c>
      <c r="BJ264" s="1123">
        <f>IF(AY264=0,0,(AZ264-AY264)/AY264*100)</f>
        <v>0</v>
      </c>
      <c r="BK264" s="1123">
        <f>IF(AZ264=0,0,(BA264-AZ264)/AZ264*100)</f>
        <v>0</v>
      </c>
      <c r="BL264" s="1123">
        <f>IF(BA264=0,0,(BB264-BA264)/BA264*100)</f>
        <v>0</v>
      </c>
      <c r="BM264" s="1123">
        <f>IF(BB264=0,0,(BC264-BB264)/BB264*100)</f>
        <v>0</v>
      </c>
      <c r="BN264" s="6290"/>
      <c r="BO264" s="6294" t="str">
        <f>IF(_xlfn.IFERROR(INDEX('ИП + источники'!$K$57:$L$174,MATCH($F264&amp;"1komm",'ИП + источники'!$K$57:$K$174,0),2),"")=0,"",_xlfn.IFERROR(INDEX('ИП + источники'!$K$57:$L$174,MATCH($F264&amp;"1komm",'ИП + источники'!$K$57:$K$174,0),2),""))</f>
        <v>1) Фактическая суммарная экономия по инвестиционным мероприятиям г. Ленинск-Кузнецкий составила (-136,44 ) тыс. руб. 2)  Фактическая экономия по  ЗАВЕРШЕННЫМ мероприятиям в  г. Полысаево (п. 1.4.2.1.4.) составила  (-343,49) тыс. руб. , ; сумма перерасхода по прочим мероприятиям  - (+1294,82) тыс. руб. Итоговая величина перерасхода к учету не принята  в связи с тем, что данные мероприятия  по состоянию на конец отчетного периода НЕ ЗАВЕРШЕНЫ.</v>
      </c>
      <c r="BP264" s="6290"/>
      <c r="BQ264" s="1297"/>
      <c r="BR264" s="1297"/>
      <c r="BS264" s="1072" t="s">
        <v>2084</v>
      </c>
      <c r="BT264" s="1072"/>
      <c r="BU264" s="1072"/>
      <c r="BV264" s="987"/>
      <c r="BW264" s="987"/>
    </row>
    <row s="1656" customFormat="1" customHeight="1" ht="21.75">
      <c r="A265" s="1297"/>
      <c r="B265" s="434" cm="1" t="str">
        <f t="array" ref="B265:B265">B264</f>
        <v>true</v>
      </c>
      <c r="C265" s="103"/>
      <c r="D265" s="103"/>
      <c r="E265" s="626">
        <v>22.5</v>
      </c>
      <c r="F265" s="50" cm="1" t="str">
        <f t="array" ref="F265:F265">OFFSET(E265,-1,1)</f>
        <v>1</v>
      </c>
      <c r="G265" s="103" t="s">
        <v>2375</v>
      </c>
      <c r="H265" s="103"/>
      <c r="I265" s="103" t="s">
        <v>1124</v>
      </c>
      <c r="J265" s="103"/>
      <c r="K265" s="1297"/>
      <c r="L265" s="988" t="s">
        <v>696</v>
      </c>
      <c r="M265" s="103"/>
      <c r="N265" s="103"/>
      <c r="O265" s="103"/>
      <c r="P265" s="103"/>
      <c r="Q265" s="103"/>
      <c r="R265" s="103"/>
      <c r="S265" s="103"/>
      <c r="T265" s="468" cm="1" t="str">
        <f t="array" ref="T265:T265">T264</f>
        <v>true</v>
      </c>
      <c r="U265" s="103"/>
      <c r="V265" s="103"/>
      <c r="W265" s="103"/>
      <c r="X265" s="1559"/>
      <c r="Y265" s="1297"/>
      <c r="Z265" s="1529"/>
      <c r="AA265" s="1297"/>
      <c r="AB265" s="296" t="s">
        <v>1125</v>
      </c>
      <c r="AC265" s="769" t="s">
        <v>2376</v>
      </c>
      <c r="AD265" s="296" t="s">
        <v>936</v>
      </c>
      <c r="AE265" s="6293"/>
      <c r="AF265" s="6293"/>
      <c r="AG265" s="6293"/>
      <c r="AH265" s="1123">
        <f>AG265-AF265</f>
        <v>0</v>
      </c>
      <c r="AI265" s="6293"/>
      <c r="AJ265" s="6293"/>
      <c r="AK265" s="1260"/>
      <c r="AL265" s="1260"/>
      <c r="AM265" s="1260"/>
      <c r="AN265" s="1260"/>
      <c r="AO265" s="1260"/>
      <c r="AP265" s="1260"/>
      <c r="AQ265" s="1260"/>
      <c r="AR265" s="1260"/>
      <c r="AS265" s="1260"/>
      <c r="AT265" s="6293"/>
      <c r="AU265" s="1260"/>
      <c r="AV265" s="1260"/>
      <c r="AW265" s="1260"/>
      <c r="AX265" s="1260"/>
      <c r="AY265" s="1260"/>
      <c r="AZ265" s="1260"/>
      <c r="BA265" s="1260"/>
      <c r="BB265" s="1260"/>
      <c r="BC265" s="1260"/>
      <c r="BD265" s="1123">
        <f>IF(AI265=0,0,(AT265-AI265)/AI265*100)</f>
        <v>0</v>
      </c>
      <c r="BE265" s="1123">
        <f>IF(AT265=0,0,(AU265-AT265)/AT265*100)</f>
        <v>0</v>
      </c>
      <c r="BF265" s="1123">
        <f>IF(AU265=0,0,(AV265-AU265)/AU265*100)</f>
        <v>0</v>
      </c>
      <c r="BG265" s="1123">
        <f>IF(AV265=0,0,(AW265-AV265)/AV265*100)</f>
        <v>0</v>
      </c>
      <c r="BH265" s="1123">
        <f>IF(AW265=0,0,(AX265-AW265)/AW265*100)</f>
        <v>0</v>
      </c>
      <c r="BI265" s="1123">
        <f>IF(AX265=0,0,(AY265-AX265)/AX265*100)</f>
        <v>0</v>
      </c>
      <c r="BJ265" s="1123">
        <f>IF(AY265=0,0,(AZ265-AY265)/AY265*100)</f>
        <v>0</v>
      </c>
      <c r="BK265" s="1123">
        <f>IF(AZ265=0,0,(BA265-AZ265)/AZ265*100)</f>
        <v>0</v>
      </c>
      <c r="BL265" s="1123">
        <f>IF(BA265=0,0,(BB265-BA265)/BA265*100)</f>
        <v>0</v>
      </c>
      <c r="BM265" s="1123">
        <f>IF(BB265=0,0,(BC265-BB265)/BB265*100)</f>
        <v>0</v>
      </c>
      <c r="BN265" s="6290"/>
      <c r="BO265" s="6290"/>
      <c r="BP265" s="6290"/>
      <c r="BQ265" s="1297"/>
      <c r="BR265" s="1297"/>
      <c r="BS265" s="1072" t="s">
        <v>2377</v>
      </c>
      <c r="BT265" s="1072"/>
      <c r="BU265" s="1072"/>
      <c r="BV265" s="987"/>
      <c r="BW265" s="987"/>
    </row>
    <row s="1656" customFormat="1" customHeight="1" ht="14.25">
      <c r="A266" s="1297"/>
      <c r="B266" s="434">
        <f>AND(method_reg="Метод индексации",STATUS_GO="да")</f>
        <v>0</v>
      </c>
      <c r="C266" s="103"/>
      <c r="D266" s="103"/>
      <c r="E266" s="626">
        <v>15</v>
      </c>
      <c r="F266" s="50" cm="1" t="str">
        <f t="array" ref="F266:F266">OFFSET(E266,-1,1)</f>
        <v>1</v>
      </c>
      <c r="G266" s="103" t="s">
        <v>2087</v>
      </c>
      <c r="H266" s="103"/>
      <c r="I266" s="103" t="s">
        <v>616</v>
      </c>
      <c r="J266" s="103"/>
      <c r="K266" s="1297"/>
      <c r="L266" s="988" t="s">
        <v>700</v>
      </c>
      <c r="M266" s="103"/>
      <c r="N266" s="103"/>
      <c r="O266" s="103"/>
      <c r="P266" s="103"/>
      <c r="Q266" s="103"/>
      <c r="R266" s="103"/>
      <c r="S266" s="103"/>
      <c r="T266" s="468" cm="1" t="str">
        <f t="array" ref="T266:T266">T265</f>
        <v>true</v>
      </c>
      <c r="U266" s="103"/>
      <c r="V266" s="103"/>
      <c r="W266" s="103"/>
      <c r="X266" s="1559"/>
      <c r="Y266" s="1297"/>
      <c r="Z266" s="1529"/>
      <c r="AA266" s="1297"/>
      <c r="AB266" s="296" t="s">
        <v>457</v>
      </c>
      <c r="AC266" s="454" t="s">
        <v>2087</v>
      </c>
      <c r="AD266" s="296" t="s">
        <v>936</v>
      </c>
      <c r="AE266" s="6293"/>
      <c r="AF266" s="6293"/>
      <c r="AG266" s="6293"/>
      <c r="AH266" s="1123">
        <f>AG266-AF266</f>
        <v>0</v>
      </c>
      <c r="AI266" s="6293"/>
      <c r="AJ266" s="6293"/>
      <c r="AK266" s="1260"/>
      <c r="AL266" s="1260"/>
      <c r="AM266" s="1260"/>
      <c r="AN266" s="1260"/>
      <c r="AO266" s="1260"/>
      <c r="AP266" s="1260"/>
      <c r="AQ266" s="1260"/>
      <c r="AR266" s="1260"/>
      <c r="AS266" s="1260"/>
      <c r="AT266" s="6293"/>
      <c r="AU266" s="1260"/>
      <c r="AV266" s="1260"/>
      <c r="AW266" s="1260"/>
      <c r="AX266" s="1260"/>
      <c r="AY266" s="1260"/>
      <c r="AZ266" s="1260"/>
      <c r="BA266" s="1260"/>
      <c r="BB266" s="1260"/>
      <c r="BC266" s="1260"/>
      <c r="BD266" s="1123">
        <f>IF(AI266=0,0,(AT266-AI266)/AI266*100)</f>
        <v>0</v>
      </c>
      <c r="BE266" s="1123">
        <f>IF(AT266=0,0,(AU266-AT266)/AT266*100)</f>
        <v>0</v>
      </c>
      <c r="BF266" s="1123">
        <f>IF(AU266=0,0,(AV266-AU266)/AU266*100)</f>
        <v>0</v>
      </c>
      <c r="BG266" s="1123">
        <f>IF(AV266=0,0,(AW266-AV266)/AV266*100)</f>
        <v>0</v>
      </c>
      <c r="BH266" s="1123">
        <f>IF(AW266=0,0,(AX266-AW266)/AW266*100)</f>
        <v>0</v>
      </c>
      <c r="BI266" s="1123">
        <f>IF(AX266=0,0,(AY266-AX266)/AX266*100)</f>
        <v>0</v>
      </c>
      <c r="BJ266" s="1123">
        <f>IF(AY266=0,0,(AZ266-AY266)/AY266*100)</f>
        <v>0</v>
      </c>
      <c r="BK266" s="1123">
        <f>IF(AZ266=0,0,(BA266-AZ266)/AZ266*100)</f>
        <v>0</v>
      </c>
      <c r="BL266" s="1123">
        <f>IF(BA266=0,0,(BB266-BA266)/BA266*100)</f>
        <v>0</v>
      </c>
      <c r="BM266" s="1123">
        <f>IF(BB266=0,0,(BC266-BB266)/BB266*100)</f>
        <v>0</v>
      </c>
      <c r="BN266" s="6290"/>
      <c r="BO266" s="6290"/>
      <c r="BP266" s="6290"/>
      <c r="BQ266" s="1297"/>
      <c r="BR266" s="1297"/>
      <c r="BS266" s="1072" t="s">
        <v>2088</v>
      </c>
      <c r="BT266" s="1072"/>
      <c r="BU266" s="1072"/>
      <c r="BV266" s="987"/>
      <c r="BW266" s="987"/>
    </row>
    <row s="1656" customFormat="1" customHeight="1" ht="14.25" hidden="1">
      <c r="A267" s="1297"/>
      <c r="B267" s="867">
        <f>method_reg="Метод обеспечения доходности инвестированного капитала"</f>
        <v>0</v>
      </c>
      <c r="C267" s="103"/>
      <c r="D267" s="103"/>
      <c r="E267" s="626">
        <v>15</v>
      </c>
      <c r="F267" s="50" cm="1" t="str">
        <f t="array" ref="F267:F267">OFFSET(E267,-1,1)</f>
        <v>1</v>
      </c>
      <c r="G267" s="103"/>
      <c r="H267" s="103"/>
      <c r="I267" s="103"/>
      <c r="J267" s="103"/>
      <c r="K267" s="103" t="s">
        <v>348</v>
      </c>
      <c r="L267" s="988"/>
      <c r="M267" s="103"/>
      <c r="N267" s="103"/>
      <c r="O267" s="103"/>
      <c r="P267" s="103"/>
      <c r="Q267" s="103"/>
      <c r="R267" s="103"/>
      <c r="S267" s="103"/>
      <c r="T267" s="867" cm="1" t="str">
        <f t="array" ref="T267:T267">T266</f>
        <v>true</v>
      </c>
      <c r="U267" s="103"/>
      <c r="V267" s="103"/>
      <c r="W267" s="103"/>
      <c r="X267" s="1559"/>
      <c r="Y267" s="1297"/>
      <c r="Z267" s="1529"/>
      <c r="AA267" s="1297"/>
      <c r="AB267" s="801" t="s">
        <v>451</v>
      </c>
      <c r="AC267" s="800" t="s">
        <v>2378</v>
      </c>
      <c r="AD267" s="801" t="s">
        <v>936</v>
      </c>
      <c r="AE267" s="1265"/>
      <c r="AF267" s="1265"/>
      <c r="AG267" s="1265"/>
      <c r="AH267" s="768">
        <f>AG267-AF267</f>
        <v>0</v>
      </c>
      <c r="AI267" s="1265"/>
      <c r="AJ267" s="1265"/>
      <c r="AK267" s="1265"/>
      <c r="AL267" s="1265"/>
      <c r="AM267" s="1265"/>
      <c r="AN267" s="1265"/>
      <c r="AO267" s="1265"/>
      <c r="AP267" s="1265"/>
      <c r="AQ267" s="1265"/>
      <c r="AR267" s="1265"/>
      <c r="AS267" s="1265"/>
      <c r="AT267" s="1265"/>
      <c r="AU267" s="1265"/>
      <c r="AV267" s="1265"/>
      <c r="AW267" s="1265"/>
      <c r="AX267" s="1265"/>
      <c r="AY267" s="1265"/>
      <c r="AZ267" s="1265"/>
      <c r="BA267" s="1265"/>
      <c r="BB267" s="1265"/>
      <c r="BC267" s="1265"/>
      <c r="BD267" s="768">
        <f>IF(AI267=0,0,(AT267-AI267)/AI267*100)</f>
        <v>0</v>
      </c>
      <c r="BE267" s="768">
        <f>IF(AT267=0,0,(AU267-AT267)/AT267*100)</f>
        <v>0</v>
      </c>
      <c r="BF267" s="768">
        <f>IF(AU267=0,0,(AV267-AU267)/AU267*100)</f>
        <v>0</v>
      </c>
      <c r="BG267" s="768">
        <f>IF(AV267=0,0,(AW267-AV267)/AV267*100)</f>
        <v>0</v>
      </c>
      <c r="BH267" s="768">
        <f>IF(AW267=0,0,(AX267-AW267)/AW267*100)</f>
        <v>0</v>
      </c>
      <c r="BI267" s="768">
        <f>IF(AX267=0,0,(AY267-AX267)/AX267*100)</f>
        <v>0</v>
      </c>
      <c r="BJ267" s="768">
        <f>IF(AY267=0,0,(AZ267-AY267)/AY267*100)</f>
        <v>0</v>
      </c>
      <c r="BK267" s="768">
        <f>IF(AZ267=0,0,(BA267-AZ267)/AZ267*100)</f>
        <v>0</v>
      </c>
      <c r="BL267" s="768">
        <f>IF(BA267=0,0,(BB267-BA267)/BA267*100)</f>
        <v>0</v>
      </c>
      <c r="BM267" s="768">
        <f>IF(BB267=0,0,(BC267-BB267)/BB267*100)</f>
        <v>0</v>
      </c>
      <c r="BN267" s="1266"/>
      <c r="BO267" s="1266"/>
      <c r="BP267" s="1266"/>
      <c r="BQ267" s="1297"/>
      <c r="BR267" s="1297"/>
      <c r="BS267" s="1072" t="s">
        <v>2379</v>
      </c>
      <c r="BT267" s="1072"/>
      <c r="BU267" s="1072"/>
      <c r="BV267" s="987"/>
      <c r="BW267" s="987"/>
    </row>
    <row s="1656" customFormat="1" customHeight="1" ht="14.25" hidden="1">
      <c r="A268" s="1297"/>
      <c r="B268" s="867" cm="1" t="str">
        <f t="array" ref="B268:B268">B267</f>
        <v>false</v>
      </c>
      <c r="C268" s="103"/>
      <c r="D268" s="103"/>
      <c r="E268" s="626">
        <v>15</v>
      </c>
      <c r="F268" s="50" cm="1" t="str">
        <f t="array" ref="F268:F268">OFFSET(E268,-1,1)</f>
        <v>1</v>
      </c>
      <c r="G268" s="103"/>
      <c r="H268" s="103"/>
      <c r="I268" s="103"/>
      <c r="J268" s="103"/>
      <c r="K268" s="103" t="s">
        <v>659</v>
      </c>
      <c r="L268" s="988"/>
      <c r="M268" s="103"/>
      <c r="N268" s="103"/>
      <c r="O268" s="103"/>
      <c r="P268" s="103"/>
      <c r="Q268" s="103"/>
      <c r="R268" s="103"/>
      <c r="S268" s="103"/>
      <c r="T268" s="867" cm="1" t="str">
        <f t="array" ref="T268:T268">T267</f>
        <v>true</v>
      </c>
      <c r="U268" s="103"/>
      <c r="V268" s="103"/>
      <c r="W268" s="103"/>
      <c r="X268" s="1559"/>
      <c r="Y268" s="1297"/>
      <c r="Z268" s="1529"/>
      <c r="AA268" s="1297"/>
      <c r="AB268" s="804" t="s">
        <v>794</v>
      </c>
      <c r="AC268" s="803" t="s">
        <v>2380</v>
      </c>
      <c r="AD268" s="804" t="s">
        <v>936</v>
      </c>
      <c r="AE268" s="1267"/>
      <c r="AF268" s="1267"/>
      <c r="AG268" s="1267"/>
      <c r="AH268" s="770"/>
      <c r="AI268" s="1267"/>
      <c r="AJ268" s="1267"/>
      <c r="AK268" s="1267"/>
      <c r="AL268" s="1267"/>
      <c r="AM268" s="1267"/>
      <c r="AN268" s="1267"/>
      <c r="AO268" s="1267"/>
      <c r="AP268" s="1267"/>
      <c r="AQ268" s="1267"/>
      <c r="AR268" s="1267"/>
      <c r="AS268" s="1267"/>
      <c r="AT268" s="1267"/>
      <c r="AU268" s="1267"/>
      <c r="AV268" s="1267"/>
      <c r="AW268" s="1267"/>
      <c r="AX268" s="1267"/>
      <c r="AY268" s="1267"/>
      <c r="AZ268" s="1267"/>
      <c r="BA268" s="1267"/>
      <c r="BB268" s="1267"/>
      <c r="BC268" s="1267"/>
      <c r="BD268" s="770"/>
      <c r="BE268" s="770"/>
      <c r="BF268" s="770"/>
      <c r="BG268" s="770"/>
      <c r="BH268" s="770"/>
      <c r="BI268" s="770"/>
      <c r="BJ268" s="770"/>
      <c r="BK268" s="770"/>
      <c r="BL268" s="770"/>
      <c r="BM268" s="770"/>
      <c r="BN268" s="1268"/>
      <c r="BO268" s="1268"/>
      <c r="BP268" s="1268"/>
      <c r="BQ268" s="1297"/>
      <c r="BR268" s="1297"/>
      <c r="BS268" s="1072" t="s">
        <v>2381</v>
      </c>
      <c r="BT268" s="1072"/>
      <c r="BU268" s="1072"/>
      <c r="BV268" s="987"/>
      <c r="BW268" s="987"/>
    </row>
    <row s="1656" customFormat="1" customHeight="1" ht="14.25" hidden="1">
      <c r="A269" s="1297"/>
      <c r="B269" s="867" cm="1" t="str">
        <f t="array" ref="B269:B269">B268</f>
        <v>false</v>
      </c>
      <c r="C269" s="103"/>
      <c r="D269" s="103"/>
      <c r="E269" s="626">
        <v>15</v>
      </c>
      <c r="F269" s="50" cm="1" t="str">
        <f t="array" ref="F269:F269">OFFSET(E269,-1,1)</f>
        <v>1</v>
      </c>
      <c r="G269" s="103"/>
      <c r="H269" s="103"/>
      <c r="I269" s="103"/>
      <c r="J269" s="103"/>
      <c r="K269" s="103" t="s">
        <v>663</v>
      </c>
      <c r="L269" s="988"/>
      <c r="M269" s="103"/>
      <c r="N269" s="103"/>
      <c r="O269" s="103"/>
      <c r="P269" s="103"/>
      <c r="Q269" s="103"/>
      <c r="R269" s="103"/>
      <c r="S269" s="103"/>
      <c r="T269" s="867" cm="1" t="str">
        <f t="array" ref="T269:T269">T268</f>
        <v>true</v>
      </c>
      <c r="U269" s="103"/>
      <c r="V269" s="103"/>
      <c r="W269" s="103"/>
      <c r="X269" s="1559"/>
      <c r="Y269" s="1297"/>
      <c r="Z269" s="1529"/>
      <c r="AA269" s="1297"/>
      <c r="AB269" s="804" t="s">
        <v>797</v>
      </c>
      <c r="AC269" s="803" t="s">
        <v>2382</v>
      </c>
      <c r="AD269" s="804" t="s">
        <v>2383</v>
      </c>
      <c r="AE269" s="1267"/>
      <c r="AF269" s="1267"/>
      <c r="AG269" s="1267"/>
      <c r="AH269" s="770"/>
      <c r="AI269" s="1267"/>
      <c r="AJ269" s="1267"/>
      <c r="AK269" s="1267"/>
      <c r="AL269" s="1267"/>
      <c r="AM269" s="1267"/>
      <c r="AN269" s="1267"/>
      <c r="AO269" s="1267"/>
      <c r="AP269" s="1267"/>
      <c r="AQ269" s="1267"/>
      <c r="AR269" s="1267"/>
      <c r="AS269" s="1267"/>
      <c r="AT269" s="1267"/>
      <c r="AU269" s="1267"/>
      <c r="AV269" s="1267"/>
      <c r="AW269" s="1267"/>
      <c r="AX269" s="1267"/>
      <c r="AY269" s="1267"/>
      <c r="AZ269" s="1267"/>
      <c r="BA269" s="1267"/>
      <c r="BB269" s="1267"/>
      <c r="BC269" s="1267"/>
      <c r="BD269" s="770"/>
      <c r="BE269" s="770"/>
      <c r="BF269" s="770"/>
      <c r="BG269" s="770"/>
      <c r="BH269" s="770"/>
      <c r="BI269" s="770"/>
      <c r="BJ269" s="770"/>
      <c r="BK269" s="770"/>
      <c r="BL269" s="770"/>
      <c r="BM269" s="770"/>
      <c r="BN269" s="1268"/>
      <c r="BO269" s="1268"/>
      <c r="BP269" s="1268"/>
      <c r="BQ269" s="1297"/>
      <c r="BR269" s="1297"/>
      <c r="BS269" s="1072" t="s">
        <v>2384</v>
      </c>
      <c r="BT269" s="1072"/>
      <c r="BU269" s="1072"/>
      <c r="BV269" s="987"/>
      <c r="BW269" s="987"/>
    </row>
    <row s="1656" customFormat="1" customHeight="1" ht="14.25" hidden="1">
      <c r="A270" s="1297"/>
      <c r="B270" s="867" cm="1" t="str">
        <f t="array" ref="B270:B270">B269</f>
        <v>false</v>
      </c>
      <c r="C270" s="103"/>
      <c r="D270" s="103"/>
      <c r="E270" s="626">
        <v>15</v>
      </c>
      <c r="F270" s="50" cm="1" t="str">
        <f t="array" ref="F270:F270">OFFSET(E270,-1,1)</f>
        <v>1</v>
      </c>
      <c r="G270" s="103"/>
      <c r="H270" s="103"/>
      <c r="I270" s="103"/>
      <c r="J270" s="103"/>
      <c r="K270" s="103" t="s">
        <v>347</v>
      </c>
      <c r="L270" s="988"/>
      <c r="M270" s="103"/>
      <c r="N270" s="103"/>
      <c r="O270" s="103"/>
      <c r="P270" s="103"/>
      <c r="Q270" s="103"/>
      <c r="R270" s="103"/>
      <c r="S270" s="103"/>
      <c r="T270" s="867" cm="1" t="str">
        <f t="array" ref="T270:T270">T269</f>
        <v>true</v>
      </c>
      <c r="U270" s="103"/>
      <c r="V270" s="103"/>
      <c r="W270" s="103"/>
      <c r="X270" s="1559"/>
      <c r="Y270" s="1297"/>
      <c r="Z270" s="1529"/>
      <c r="AA270" s="1297"/>
      <c r="AB270" s="801" t="s">
        <v>454</v>
      </c>
      <c r="AC270" s="800" t="s">
        <v>2385</v>
      </c>
      <c r="AD270" s="801" t="s">
        <v>936</v>
      </c>
      <c r="AE270" s="1265"/>
      <c r="AF270" s="1265"/>
      <c r="AG270" s="1265"/>
      <c r="AH270" s="768">
        <f>AG270-AF270</f>
        <v>0</v>
      </c>
      <c r="AI270" s="1265"/>
      <c r="AJ270" s="1265"/>
      <c r="AK270" s="1265"/>
      <c r="AL270" s="1265"/>
      <c r="AM270" s="1265"/>
      <c r="AN270" s="1265"/>
      <c r="AO270" s="1265"/>
      <c r="AP270" s="1265"/>
      <c r="AQ270" s="1265"/>
      <c r="AR270" s="1265"/>
      <c r="AS270" s="1265"/>
      <c r="AT270" s="1265"/>
      <c r="AU270" s="1265"/>
      <c r="AV270" s="1265"/>
      <c r="AW270" s="1265"/>
      <c r="AX270" s="1265"/>
      <c r="AY270" s="1265"/>
      <c r="AZ270" s="1265"/>
      <c r="BA270" s="1265"/>
      <c r="BB270" s="1265"/>
      <c r="BC270" s="1265"/>
      <c r="BD270" s="768">
        <f>IF(AI270=0,0,(AT270-AI270)/AI270*100)</f>
        <v>0</v>
      </c>
      <c r="BE270" s="768">
        <f>IF(AT270=0,0,(AU270-AT270)/AT270*100)</f>
        <v>0</v>
      </c>
      <c r="BF270" s="768">
        <f>IF(AU270=0,0,(AV270-AU270)/AU270*100)</f>
        <v>0</v>
      </c>
      <c r="BG270" s="768">
        <f>IF(AV270=0,0,(AW270-AV270)/AV270*100)</f>
        <v>0</v>
      </c>
      <c r="BH270" s="768">
        <f>IF(AW270=0,0,(AX270-AW270)/AW270*100)</f>
        <v>0</v>
      </c>
      <c r="BI270" s="768">
        <f>IF(AX270=0,0,(AY270-AX270)/AX270*100)</f>
        <v>0</v>
      </c>
      <c r="BJ270" s="768">
        <f>IF(AY270=0,0,(AZ270-AY270)/AY270*100)</f>
        <v>0</v>
      </c>
      <c r="BK270" s="768">
        <f>IF(AZ270=0,0,(BA270-AZ270)/AZ270*100)</f>
        <v>0</v>
      </c>
      <c r="BL270" s="768">
        <f>IF(BA270=0,0,(BB270-BA270)/BA270*100)</f>
        <v>0</v>
      </c>
      <c r="BM270" s="768">
        <f>IF(BB270=0,0,(BC270-BB270)/BB270*100)</f>
        <v>0</v>
      </c>
      <c r="BN270" s="1266"/>
      <c r="BO270" s="1266"/>
      <c r="BP270" s="1266"/>
      <c r="BQ270" s="1297"/>
      <c r="BR270" s="1297"/>
      <c r="BS270" s="1072" t="s">
        <v>2386</v>
      </c>
      <c r="BT270" s="1072"/>
      <c r="BU270" s="1072"/>
      <c r="BV270" s="987"/>
      <c r="BW270" s="987"/>
    </row>
    <row s="1656" customFormat="1" customHeight="1" ht="14.25" hidden="1">
      <c r="A271" s="1297"/>
      <c r="B271" s="867" cm="1" t="str">
        <f t="array" ref="B271:B271">B270</f>
        <v>false</v>
      </c>
      <c r="C271" s="103"/>
      <c r="D271" s="103"/>
      <c r="E271" s="626">
        <v>15</v>
      </c>
      <c r="F271" s="50" cm="1" t="str">
        <f t="array" ref="F271:F271">OFFSET(E271,-1,1)</f>
        <v>1</v>
      </c>
      <c r="G271" s="103"/>
      <c r="H271" s="103"/>
      <c r="I271" s="103"/>
      <c r="J271" s="103"/>
      <c r="K271" s="103" t="s">
        <v>673</v>
      </c>
      <c r="L271" s="988"/>
      <c r="M271" s="103"/>
      <c r="N271" s="103"/>
      <c r="O271" s="103"/>
      <c r="P271" s="103"/>
      <c r="Q271" s="103"/>
      <c r="R271" s="103"/>
      <c r="S271" s="103"/>
      <c r="T271" s="867" cm="1" t="str">
        <f t="array" ref="T271:T271">T270</f>
        <v>true</v>
      </c>
      <c r="U271" s="103"/>
      <c r="V271" s="103"/>
      <c r="W271" s="103"/>
      <c r="X271" s="1559"/>
      <c r="Y271" s="1297"/>
      <c r="Z271" s="1529"/>
      <c r="AA271" s="1297"/>
      <c r="AB271" s="804" t="s">
        <v>801</v>
      </c>
      <c r="AC271" s="803" t="s">
        <v>2387</v>
      </c>
      <c r="AD271" s="804" t="s">
        <v>936</v>
      </c>
      <c r="AE271" s="1267"/>
      <c r="AF271" s="1267"/>
      <c r="AG271" s="1267"/>
      <c r="AH271" s="770"/>
      <c r="AI271" s="1267"/>
      <c r="AJ271" s="1267"/>
      <c r="AK271" s="1267"/>
      <c r="AL271" s="1267"/>
      <c r="AM271" s="1267"/>
      <c r="AN271" s="1267"/>
      <c r="AO271" s="1267"/>
      <c r="AP271" s="1267"/>
      <c r="AQ271" s="1267"/>
      <c r="AR271" s="1267"/>
      <c r="AS271" s="1267"/>
      <c r="AT271" s="1267"/>
      <c r="AU271" s="1267"/>
      <c r="AV271" s="1267"/>
      <c r="AW271" s="1267"/>
      <c r="AX271" s="1267"/>
      <c r="AY271" s="1267"/>
      <c r="AZ271" s="1267"/>
      <c r="BA271" s="1267"/>
      <c r="BB271" s="1267"/>
      <c r="BC271" s="1267"/>
      <c r="BD271" s="770"/>
      <c r="BE271" s="770"/>
      <c r="BF271" s="770"/>
      <c r="BG271" s="770"/>
      <c r="BH271" s="770"/>
      <c r="BI271" s="770"/>
      <c r="BJ271" s="770"/>
      <c r="BK271" s="770"/>
      <c r="BL271" s="770"/>
      <c r="BM271" s="770"/>
      <c r="BN271" s="1268"/>
      <c r="BO271" s="1268"/>
      <c r="BP271" s="1268"/>
      <c r="BQ271" s="1297"/>
      <c r="BR271" s="1297"/>
      <c r="BS271" s="1072" t="s">
        <v>2388</v>
      </c>
      <c r="BT271" s="1072"/>
      <c r="BU271" s="1072"/>
      <c r="BV271" s="987"/>
      <c r="BW271" s="987"/>
    </row>
    <row s="1656" customFormat="1" customHeight="1" ht="14.25" hidden="1">
      <c r="A272" s="1297"/>
      <c r="B272" s="867" cm="1" t="str">
        <f t="array" ref="B272:B272">B271</f>
        <v>false</v>
      </c>
      <c r="C272" s="103"/>
      <c r="D272" s="103"/>
      <c r="E272" s="626">
        <v>15</v>
      </c>
      <c r="F272" s="50" cm="1" t="str">
        <f t="array" ref="F272:F272">OFFSET(E272,-1,1)</f>
        <v>1</v>
      </c>
      <c r="G272" s="103"/>
      <c r="H272" s="103"/>
      <c r="I272" s="103"/>
      <c r="J272" s="103"/>
      <c r="K272" s="103" t="s">
        <v>677</v>
      </c>
      <c r="L272" s="988"/>
      <c r="M272" s="103"/>
      <c r="N272" s="103"/>
      <c r="O272" s="103"/>
      <c r="P272" s="103"/>
      <c r="Q272" s="103"/>
      <c r="R272" s="103"/>
      <c r="S272" s="103"/>
      <c r="T272" s="867" cm="1" t="str">
        <f t="array" ref="T272:T272">T271</f>
        <v>true</v>
      </c>
      <c r="U272" s="103"/>
      <c r="V272" s="103"/>
      <c r="W272" s="103"/>
      <c r="X272" s="1559"/>
      <c r="Y272" s="1297"/>
      <c r="Z272" s="1529"/>
      <c r="AA272" s="1297"/>
      <c r="AB272" s="804" t="s">
        <v>804</v>
      </c>
      <c r="AC272" s="803" t="s">
        <v>2389</v>
      </c>
      <c r="AD272" s="804" t="s">
        <v>561</v>
      </c>
      <c r="AE272" s="1267"/>
      <c r="AF272" s="1267"/>
      <c r="AG272" s="1267"/>
      <c r="AH272" s="770"/>
      <c r="AI272" s="1267"/>
      <c r="AJ272" s="1267"/>
      <c r="AK272" s="1267"/>
      <c r="AL272" s="1267"/>
      <c r="AM272" s="1267"/>
      <c r="AN272" s="1267"/>
      <c r="AO272" s="1267"/>
      <c r="AP272" s="1267"/>
      <c r="AQ272" s="1267"/>
      <c r="AR272" s="1267"/>
      <c r="AS272" s="1267"/>
      <c r="AT272" s="1267"/>
      <c r="AU272" s="1267"/>
      <c r="AV272" s="1267"/>
      <c r="AW272" s="1267"/>
      <c r="AX272" s="1267"/>
      <c r="AY272" s="1267"/>
      <c r="AZ272" s="1267"/>
      <c r="BA272" s="1267"/>
      <c r="BB272" s="1267"/>
      <c r="BC272" s="1267"/>
      <c r="BD272" s="770"/>
      <c r="BE272" s="770"/>
      <c r="BF272" s="770"/>
      <c r="BG272" s="770"/>
      <c r="BH272" s="770"/>
      <c r="BI272" s="770"/>
      <c r="BJ272" s="770"/>
      <c r="BK272" s="770"/>
      <c r="BL272" s="770"/>
      <c r="BM272" s="770"/>
      <c r="BN272" s="1268"/>
      <c r="BO272" s="1268"/>
      <c r="BP272" s="1268"/>
      <c r="BQ272" s="1297"/>
      <c r="BR272" s="1297"/>
      <c r="BS272" s="1072" t="s">
        <v>2390</v>
      </c>
      <c r="BT272" s="1072"/>
      <c r="BU272" s="1072"/>
      <c r="BV272" s="987"/>
      <c r="BW272" s="987"/>
    </row>
    <row s="1656" customFormat="1" customHeight="1" ht="14.25" hidden="1">
      <c r="A273" s="1297"/>
      <c r="B273" s="867" cm="1" t="str">
        <f t="array" ref="B273:B273">B272</f>
        <v>false</v>
      </c>
      <c r="C273" s="103"/>
      <c r="D273" s="103"/>
      <c r="E273" s="626">
        <v>15</v>
      </c>
      <c r="F273" s="50" cm="1" t="str">
        <f t="array" ref="F273:F273">OFFSET(E273,-1,1)</f>
        <v>1</v>
      </c>
      <c r="G273" s="103"/>
      <c r="H273" s="103"/>
      <c r="I273" s="103"/>
      <c r="J273" s="103"/>
      <c r="K273" s="103" t="s">
        <v>889</v>
      </c>
      <c r="L273" s="988"/>
      <c r="M273" s="103"/>
      <c r="N273" s="103"/>
      <c r="O273" s="103"/>
      <c r="P273" s="103"/>
      <c r="Q273" s="103"/>
      <c r="R273" s="103"/>
      <c r="S273" s="103"/>
      <c r="T273" s="867" cm="1" t="str">
        <f t="array" ref="T273:T273">T272</f>
        <v>true</v>
      </c>
      <c r="U273" s="103"/>
      <c r="V273" s="103"/>
      <c r="W273" s="103"/>
      <c r="X273" s="1559"/>
      <c r="Y273" s="1297"/>
      <c r="Z273" s="1529"/>
      <c r="AA273" s="1297"/>
      <c r="AB273" s="804" t="s">
        <v>1122</v>
      </c>
      <c r="AC273" s="803" t="s">
        <v>2391</v>
      </c>
      <c r="AD273" s="804" t="s">
        <v>936</v>
      </c>
      <c r="AE273" s="1267"/>
      <c r="AF273" s="1267"/>
      <c r="AG273" s="1267"/>
      <c r="AH273" s="770"/>
      <c r="AI273" s="1267"/>
      <c r="AJ273" s="1267"/>
      <c r="AK273" s="1267"/>
      <c r="AL273" s="1267"/>
      <c r="AM273" s="1267"/>
      <c r="AN273" s="1267"/>
      <c r="AO273" s="1267"/>
      <c r="AP273" s="1267"/>
      <c r="AQ273" s="1267"/>
      <c r="AR273" s="1267"/>
      <c r="AS273" s="1267"/>
      <c r="AT273" s="1267"/>
      <c r="AU273" s="1267"/>
      <c r="AV273" s="1267"/>
      <c r="AW273" s="1267"/>
      <c r="AX273" s="1267"/>
      <c r="AY273" s="1267"/>
      <c r="AZ273" s="1267"/>
      <c r="BA273" s="1267"/>
      <c r="BB273" s="1267"/>
      <c r="BC273" s="1267"/>
      <c r="BD273" s="770"/>
      <c r="BE273" s="770"/>
      <c r="BF273" s="770"/>
      <c r="BG273" s="770"/>
      <c r="BH273" s="770"/>
      <c r="BI273" s="770"/>
      <c r="BJ273" s="770"/>
      <c r="BK273" s="770"/>
      <c r="BL273" s="770"/>
      <c r="BM273" s="770"/>
      <c r="BN273" s="1268"/>
      <c r="BO273" s="1268"/>
      <c r="BP273" s="1268"/>
      <c r="BQ273" s="1297"/>
      <c r="BR273" s="1297"/>
      <c r="BS273" s="1072" t="s">
        <v>2392</v>
      </c>
      <c r="BT273" s="1072"/>
      <c r="BU273" s="1072"/>
      <c r="BV273" s="987"/>
      <c r="BW273" s="987"/>
    </row>
    <row s="1656" customFormat="1" customHeight="1" ht="14.25" hidden="1">
      <c r="A274" s="1297"/>
      <c r="B274" s="867" cm="1" t="str">
        <f t="array" ref="B274:B274">B273</f>
        <v>false</v>
      </c>
      <c r="C274" s="103"/>
      <c r="D274" s="103"/>
      <c r="E274" s="626">
        <v>15</v>
      </c>
      <c r="F274" s="50" cm="1" t="str">
        <f t="array" ref="F274:F274">OFFSET(E274,-1,1)</f>
        <v>1</v>
      </c>
      <c r="G274" s="103"/>
      <c r="H274" s="103"/>
      <c r="I274" s="103"/>
      <c r="J274" s="103"/>
      <c r="K274" s="103" t="s">
        <v>1124</v>
      </c>
      <c r="L274" s="988"/>
      <c r="M274" s="103"/>
      <c r="N274" s="103"/>
      <c r="O274" s="103"/>
      <c r="P274" s="103"/>
      <c r="Q274" s="103"/>
      <c r="R274" s="103"/>
      <c r="S274" s="103"/>
      <c r="T274" s="867" cm="1" t="str">
        <f t="array" ref="T274:T274">T273</f>
        <v>true</v>
      </c>
      <c r="U274" s="103"/>
      <c r="V274" s="103"/>
      <c r="W274" s="103"/>
      <c r="X274" s="1559"/>
      <c r="Y274" s="1297"/>
      <c r="Z274" s="1529"/>
      <c r="AA274" s="1297"/>
      <c r="AB274" s="804" t="s">
        <v>1125</v>
      </c>
      <c r="AC274" s="803" t="s">
        <v>2393</v>
      </c>
      <c r="AD274" s="804" t="s">
        <v>936</v>
      </c>
      <c r="AE274" s="1267"/>
      <c r="AF274" s="1267"/>
      <c r="AG274" s="1267"/>
      <c r="AH274" s="770"/>
      <c r="AI274" s="1267"/>
      <c r="AJ274" s="1267"/>
      <c r="AK274" s="1267"/>
      <c r="AL274" s="1267"/>
      <c r="AM274" s="1267"/>
      <c r="AN274" s="1267"/>
      <c r="AO274" s="1267"/>
      <c r="AP274" s="1267"/>
      <c r="AQ274" s="1267"/>
      <c r="AR274" s="1267"/>
      <c r="AS274" s="1267"/>
      <c r="AT274" s="1267"/>
      <c r="AU274" s="1267"/>
      <c r="AV274" s="1267"/>
      <c r="AW274" s="1267"/>
      <c r="AX274" s="1267"/>
      <c r="AY274" s="1267"/>
      <c r="AZ274" s="1267"/>
      <c r="BA274" s="1267"/>
      <c r="BB274" s="1267"/>
      <c r="BC274" s="1267"/>
      <c r="BD274" s="770"/>
      <c r="BE274" s="770"/>
      <c r="BF274" s="770"/>
      <c r="BG274" s="770"/>
      <c r="BH274" s="770"/>
      <c r="BI274" s="770"/>
      <c r="BJ274" s="770"/>
      <c r="BK274" s="770"/>
      <c r="BL274" s="770"/>
      <c r="BM274" s="770"/>
      <c r="BN274" s="1268"/>
      <c r="BO274" s="1268"/>
      <c r="BP274" s="1268"/>
      <c r="BQ274" s="1297"/>
      <c r="BR274" s="1297"/>
      <c r="BS274" s="1072" t="s">
        <v>2394</v>
      </c>
      <c r="BT274" s="1072"/>
      <c r="BU274" s="1072"/>
      <c r="BV274" s="987"/>
      <c r="BW274" s="987"/>
    </row>
    <row s="1656" customFormat="1" customHeight="1" ht="14.25" hidden="1">
      <c r="A275" s="1297"/>
      <c r="B275" s="867" cm="1" t="str">
        <f t="array" ref="B275:B275">B274</f>
        <v>false</v>
      </c>
      <c r="C275" s="103"/>
      <c r="D275" s="103"/>
      <c r="E275" s="626">
        <v>15</v>
      </c>
      <c r="F275" s="50" cm="1" t="str">
        <f t="array" ref="F275:F275">OFFSET(E275,-1,1)</f>
        <v>1</v>
      </c>
      <c r="G275" s="103"/>
      <c r="H275" s="103"/>
      <c r="I275" s="103"/>
      <c r="J275" s="103"/>
      <c r="K275" s="103" t="s">
        <v>2395</v>
      </c>
      <c r="L275" s="988"/>
      <c r="M275" s="103"/>
      <c r="N275" s="103"/>
      <c r="O275" s="103"/>
      <c r="P275" s="103"/>
      <c r="Q275" s="103"/>
      <c r="R275" s="103"/>
      <c r="S275" s="103"/>
      <c r="T275" s="867" cm="1" t="str">
        <f t="array" ref="T275:T275">T274</f>
        <v>true</v>
      </c>
      <c r="U275" s="103"/>
      <c r="V275" s="103"/>
      <c r="W275" s="103"/>
      <c r="X275" s="1559"/>
      <c r="Y275" s="1297"/>
      <c r="Z275" s="1529"/>
      <c r="AA275" s="1297"/>
      <c r="AB275" s="804" t="s">
        <v>2396</v>
      </c>
      <c r="AC275" s="805" t="s">
        <v>2397</v>
      </c>
      <c r="AD275" s="804" t="s">
        <v>561</v>
      </c>
      <c r="AE275" s="1267"/>
      <c r="AF275" s="1267"/>
      <c r="AG275" s="1267"/>
      <c r="AH275" s="770"/>
      <c r="AI275" s="1267"/>
      <c r="AJ275" s="1267"/>
      <c r="AK275" s="1267"/>
      <c r="AL275" s="1267"/>
      <c r="AM275" s="1267"/>
      <c r="AN275" s="1267"/>
      <c r="AO275" s="1267"/>
      <c r="AP275" s="1267"/>
      <c r="AQ275" s="1267"/>
      <c r="AR275" s="1267"/>
      <c r="AS275" s="1267"/>
      <c r="AT275" s="1267"/>
      <c r="AU275" s="1267"/>
      <c r="AV275" s="1267"/>
      <c r="AW275" s="1267"/>
      <c r="AX275" s="1267"/>
      <c r="AY275" s="1267"/>
      <c r="AZ275" s="1267"/>
      <c r="BA275" s="1267"/>
      <c r="BB275" s="1267"/>
      <c r="BC275" s="1267"/>
      <c r="BD275" s="770"/>
      <c r="BE275" s="770"/>
      <c r="BF275" s="770"/>
      <c r="BG275" s="770"/>
      <c r="BH275" s="770"/>
      <c r="BI275" s="770"/>
      <c r="BJ275" s="770"/>
      <c r="BK275" s="770"/>
      <c r="BL275" s="770"/>
      <c r="BM275" s="770"/>
      <c r="BN275" s="1268"/>
      <c r="BO275" s="1268"/>
      <c r="BP275" s="1268"/>
      <c r="BQ275" s="1297"/>
      <c r="BR275" s="1297"/>
      <c r="BS275" s="1072" t="s">
        <v>2398</v>
      </c>
      <c r="BT275" s="1072"/>
      <c r="BU275" s="1072"/>
      <c r="BV275" s="987"/>
      <c r="BW275" s="987"/>
    </row>
    <row s="1656" customFormat="1" customHeight="1" ht="14.25" hidden="1">
      <c r="A276" s="1297"/>
      <c r="B276" s="867" cm="1" t="str">
        <f t="array" ref="B276:B276">B275</f>
        <v>false</v>
      </c>
      <c r="C276" s="103"/>
      <c r="D276" s="103"/>
      <c r="E276" s="626">
        <v>15</v>
      </c>
      <c r="F276" s="50" cm="1" t="str">
        <f t="array" ref="F276:F276">OFFSET(E276,-1,1)</f>
        <v>1</v>
      </c>
      <c r="G276" s="103"/>
      <c r="H276" s="103"/>
      <c r="I276" s="103"/>
      <c r="J276" s="103"/>
      <c r="K276" s="103" t="s">
        <v>1127</v>
      </c>
      <c r="L276" s="988"/>
      <c r="M276" s="103"/>
      <c r="N276" s="103"/>
      <c r="O276" s="103"/>
      <c r="P276" s="103"/>
      <c r="Q276" s="103"/>
      <c r="R276" s="103"/>
      <c r="S276" s="103"/>
      <c r="T276" s="867" cm="1" t="str">
        <f t="array" ref="T276:T276">T275</f>
        <v>true</v>
      </c>
      <c r="U276" s="103"/>
      <c r="V276" s="103"/>
      <c r="W276" s="103"/>
      <c r="X276" s="1559"/>
      <c r="Y276" s="1297"/>
      <c r="Z276" s="1529"/>
      <c r="AA276" s="1297"/>
      <c r="AB276" s="804" t="s">
        <v>1128</v>
      </c>
      <c r="AC276" s="803" t="s">
        <v>2399</v>
      </c>
      <c r="AD276" s="804" t="s">
        <v>561</v>
      </c>
      <c r="AE276" s="1267"/>
      <c r="AF276" s="1267"/>
      <c r="AG276" s="1267"/>
      <c r="AH276" s="770"/>
      <c r="AI276" s="1267"/>
      <c r="AJ276" s="1267"/>
      <c r="AK276" s="1267"/>
      <c r="AL276" s="1267"/>
      <c r="AM276" s="1267"/>
      <c r="AN276" s="1267"/>
      <c r="AO276" s="1267"/>
      <c r="AP276" s="1267"/>
      <c r="AQ276" s="1267"/>
      <c r="AR276" s="1267"/>
      <c r="AS276" s="1267"/>
      <c r="AT276" s="1267"/>
      <c r="AU276" s="1267"/>
      <c r="AV276" s="1267"/>
      <c r="AW276" s="1267"/>
      <c r="AX276" s="1267"/>
      <c r="AY276" s="1267"/>
      <c r="AZ276" s="1267"/>
      <c r="BA276" s="1267"/>
      <c r="BB276" s="1267"/>
      <c r="BC276" s="1267"/>
      <c r="BD276" s="770"/>
      <c r="BE276" s="770"/>
      <c r="BF276" s="770"/>
      <c r="BG276" s="770"/>
      <c r="BH276" s="770"/>
      <c r="BI276" s="770"/>
      <c r="BJ276" s="770"/>
      <c r="BK276" s="770"/>
      <c r="BL276" s="770"/>
      <c r="BM276" s="770"/>
      <c r="BN276" s="1268"/>
      <c r="BO276" s="1268"/>
      <c r="BP276" s="1268"/>
      <c r="BQ276" s="1297"/>
      <c r="BR276" s="1297"/>
      <c r="BS276" s="1072" t="s">
        <v>2400</v>
      </c>
      <c r="BT276" s="1072"/>
      <c r="BU276" s="1072"/>
      <c r="BV276" s="987"/>
      <c r="BW276" s="987"/>
    </row>
    <row s="1656" customFormat="1" customHeight="1" ht="14.25" hidden="1">
      <c r="A277" s="1297"/>
      <c r="B277" s="867" cm="1" t="str">
        <f t="array" ref="B277:B277">B276</f>
        <v>false</v>
      </c>
      <c r="C277" s="103"/>
      <c r="D277" s="103"/>
      <c r="E277" s="626">
        <v>15</v>
      </c>
      <c r="F277" s="50" cm="1" t="str">
        <f t="array" ref="F277:F277">OFFSET(E277,-1,1)</f>
        <v>1</v>
      </c>
      <c r="G277" s="103"/>
      <c r="H277" s="103"/>
      <c r="I277" s="103"/>
      <c r="J277" s="103"/>
      <c r="K277" s="103" t="s">
        <v>2401</v>
      </c>
      <c r="L277" s="988"/>
      <c r="M277" s="103"/>
      <c r="N277" s="103"/>
      <c r="O277" s="103"/>
      <c r="P277" s="103"/>
      <c r="Q277" s="103"/>
      <c r="R277" s="103"/>
      <c r="S277" s="103"/>
      <c r="T277" s="867" cm="1" t="str">
        <f t="array" ref="T277:T277">T276</f>
        <v>true</v>
      </c>
      <c r="U277" s="103"/>
      <c r="V277" s="103"/>
      <c r="W277" s="103"/>
      <c r="X277" s="1559"/>
      <c r="Y277" s="1297"/>
      <c r="Z277" s="1529"/>
      <c r="AA277" s="1297"/>
      <c r="AB277" s="804" t="s">
        <v>2402</v>
      </c>
      <c r="AC277" s="805" t="s">
        <v>2403</v>
      </c>
      <c r="AD277" s="804" t="s">
        <v>561</v>
      </c>
      <c r="AE277" s="1267"/>
      <c r="AF277" s="1267"/>
      <c r="AG277" s="1267"/>
      <c r="AH277" s="770"/>
      <c r="AI277" s="1267"/>
      <c r="AJ277" s="1267"/>
      <c r="AK277" s="1267"/>
      <c r="AL277" s="1267"/>
      <c r="AM277" s="1267"/>
      <c r="AN277" s="1267"/>
      <c r="AO277" s="1267"/>
      <c r="AP277" s="1267"/>
      <c r="AQ277" s="1267"/>
      <c r="AR277" s="1267"/>
      <c r="AS277" s="1267"/>
      <c r="AT277" s="1267"/>
      <c r="AU277" s="1267"/>
      <c r="AV277" s="1267"/>
      <c r="AW277" s="1267"/>
      <c r="AX277" s="1267"/>
      <c r="AY277" s="1267"/>
      <c r="AZ277" s="1267"/>
      <c r="BA277" s="1267"/>
      <c r="BB277" s="1267"/>
      <c r="BC277" s="1267"/>
      <c r="BD277" s="770"/>
      <c r="BE277" s="770"/>
      <c r="BF277" s="770"/>
      <c r="BG277" s="770"/>
      <c r="BH277" s="770"/>
      <c r="BI277" s="770"/>
      <c r="BJ277" s="770"/>
      <c r="BK277" s="770"/>
      <c r="BL277" s="770"/>
      <c r="BM277" s="770"/>
      <c r="BN277" s="1268"/>
      <c r="BO277" s="1268"/>
      <c r="BP277" s="1268"/>
      <c r="BQ277" s="1297"/>
      <c r="BR277" s="1297"/>
      <c r="BS277" s="1072" t="s">
        <v>2404</v>
      </c>
      <c r="BT277" s="1072"/>
      <c r="BU277" s="1072"/>
      <c r="BV277" s="987"/>
      <c r="BW277" s="987"/>
    </row>
    <row s="1656" customFormat="1" customHeight="1" ht="14.25" hidden="1">
      <c r="A278" s="1297"/>
      <c r="B278" s="867" cm="1" t="str">
        <f t="array" ref="B278:B278">B277</f>
        <v>false</v>
      </c>
      <c r="C278" s="103"/>
      <c r="D278" s="103"/>
      <c r="E278" s="626">
        <v>15</v>
      </c>
      <c r="F278" s="50" cm="1" t="str">
        <f t="array" ref="F278:F278">OFFSET(E278,-1,1)</f>
        <v>1</v>
      </c>
      <c r="G278" s="103"/>
      <c r="H278" s="103"/>
      <c r="I278" s="103"/>
      <c r="J278" s="103"/>
      <c r="K278" s="103" t="s">
        <v>2405</v>
      </c>
      <c r="L278" s="988"/>
      <c r="M278" s="103"/>
      <c r="N278" s="103"/>
      <c r="O278" s="103"/>
      <c r="P278" s="103"/>
      <c r="Q278" s="103"/>
      <c r="R278" s="103"/>
      <c r="S278" s="103"/>
      <c r="T278" s="867" cm="1" t="str">
        <f t="array" ref="T278:T278">T277</f>
        <v>true</v>
      </c>
      <c r="U278" s="103"/>
      <c r="V278" s="103"/>
      <c r="W278" s="103"/>
      <c r="X278" s="1559"/>
      <c r="Y278" s="1297"/>
      <c r="Z278" s="1529"/>
      <c r="AA278" s="1297"/>
      <c r="AB278" s="804" t="s">
        <v>2406</v>
      </c>
      <c r="AC278" s="805" t="s">
        <v>2407</v>
      </c>
      <c r="AD278" s="804" t="s">
        <v>561</v>
      </c>
      <c r="AE278" s="1267"/>
      <c r="AF278" s="1267"/>
      <c r="AG278" s="1267"/>
      <c r="AH278" s="770"/>
      <c r="AI278" s="1267"/>
      <c r="AJ278" s="1267"/>
      <c r="AK278" s="1267"/>
      <c r="AL278" s="1267"/>
      <c r="AM278" s="1267"/>
      <c r="AN278" s="1267"/>
      <c r="AO278" s="1267"/>
      <c r="AP278" s="1267"/>
      <c r="AQ278" s="1267"/>
      <c r="AR278" s="1267"/>
      <c r="AS278" s="1267"/>
      <c r="AT278" s="1267"/>
      <c r="AU278" s="1267"/>
      <c r="AV278" s="1267"/>
      <c r="AW278" s="1267"/>
      <c r="AX278" s="1267"/>
      <c r="AY278" s="1267"/>
      <c r="AZ278" s="1267"/>
      <c r="BA278" s="1267"/>
      <c r="BB278" s="1267"/>
      <c r="BC278" s="1267"/>
      <c r="BD278" s="770"/>
      <c r="BE278" s="770"/>
      <c r="BF278" s="770"/>
      <c r="BG278" s="770"/>
      <c r="BH278" s="770"/>
      <c r="BI278" s="770"/>
      <c r="BJ278" s="770"/>
      <c r="BK278" s="770"/>
      <c r="BL278" s="770"/>
      <c r="BM278" s="770"/>
      <c r="BN278" s="1268"/>
      <c r="BO278" s="1268"/>
      <c r="BP278" s="1268"/>
      <c r="BQ278" s="1297"/>
      <c r="BR278" s="1297"/>
      <c r="BS278" s="1072" t="s">
        <v>2408</v>
      </c>
      <c r="BT278" s="1072"/>
      <c r="BU278" s="1072"/>
      <c r="BV278" s="987"/>
      <c r="BW278" s="987"/>
    </row>
    <row s="6349" customFormat="1" customHeight="1" ht="191.25">
      <c r="A279" s="706"/>
      <c r="B279" s="437"/>
      <c r="C279" s="105"/>
      <c r="D279" s="105" t="str">
        <f>IF(B278,"6","7")</f>
        <v>7</v>
      </c>
      <c r="E279" s="833">
        <v>21</v>
      </c>
      <c r="F279" s="50" cm="1" t="str">
        <f t="array" ref="F279:F279">OFFSET(E279,-1,1)</f>
        <v>1</v>
      </c>
      <c r="G279" s="103" t="s">
        <v>2409</v>
      </c>
      <c r="H279" s="103"/>
      <c r="I279" s="380" t="s">
        <v>2410</v>
      </c>
      <c r="J279" s="105"/>
      <c r="K279" s="376" t="s">
        <v>2410</v>
      </c>
      <c r="L279" s="993"/>
      <c r="M279" s="105"/>
      <c r="N279" s="105"/>
      <c r="O279" s="105"/>
      <c r="P279" s="105"/>
      <c r="Q279" s="105"/>
      <c r="R279" s="105"/>
      <c r="S279" s="105"/>
      <c r="T279" s="468" cm="1" t="str">
        <f t="array" ref="T279:T279">T278</f>
        <v>true</v>
      </c>
      <c r="U279" s="105"/>
      <c r="V279" s="105"/>
      <c r="W279" s="105"/>
      <c r="X279" s="1559"/>
      <c r="Y279" s="706"/>
      <c r="Z279" s="1529"/>
      <c r="AA279" s="706"/>
      <c r="AB279" s="207" cm="1" t="str">
        <f t="array" ref="AB279:AB279">D279</f>
        <v>7</v>
      </c>
      <c r="AC279" s="215" t="s">
        <v>1815</v>
      </c>
      <c r="AD279" s="207" t="s">
        <v>936</v>
      </c>
      <c r="AE279" s="6350">
        <v>14298.96</v>
      </c>
      <c r="AF279" s="6350"/>
      <c r="AG279" s="6350"/>
      <c r="AH279" s="785">
        <f>AG279-AF279</f>
        <v>0</v>
      </c>
      <c r="AI279" s="6350">
        <v>17254.78366</v>
      </c>
      <c r="AJ279" s="6351">
        <f>_xlfn.SUMIFS('Корректировка НВВ'!$AF$25:$AF$231,'Корректировка НВВ'!$F$25:$F$231,$F279,'Корректировка НВВ'!$I$25:$I$231,$G279)</f>
        <v>59159.77442</v>
      </c>
      <c r="AK279" s="1256"/>
      <c r="AL279" s="1256"/>
      <c r="AM279" s="1256"/>
      <c r="AN279" s="1256"/>
      <c r="AO279" s="1256"/>
      <c r="AP279" s="1256"/>
      <c r="AQ279" s="1256"/>
      <c r="AR279" s="1256"/>
      <c r="AS279" s="1256"/>
      <c r="AT279" s="6351">
        <f>_xlfn.SUMIFS('Корректировка НВВ'!$AG$25:$AG$231,'Корректировка НВВ'!$F$25:$F$231,$F279,'Корректировка НВВ'!$I$25:$I$231,$G279)</f>
        <v>28855.2000199999</v>
      </c>
      <c r="AU279" s="1256"/>
      <c r="AV279" s="1256"/>
      <c r="AW279" s="1256"/>
      <c r="AX279" s="1256"/>
      <c r="AY279" s="1256"/>
      <c r="AZ279" s="1256"/>
      <c r="BA279" s="1256"/>
      <c r="BB279" s="1256"/>
      <c r="BC279" s="1256"/>
      <c r="BD279" s="785">
        <f>IF(AI279=0,0,(AT279-AI279)/AI279*100)</f>
        <v>67.230146657196</v>
      </c>
      <c r="BE279" s="785">
        <f>IF(AT279=0,0,(AU279-AT279)/AT279*100)</f>
        <v>-100</v>
      </c>
      <c r="BF279" s="785">
        <f>IF(AU279=0,0,(AV279-AU279)/AU279*100)</f>
        <v>0</v>
      </c>
      <c r="BG279" s="785">
        <f>IF(AV279=0,0,(AW279-AV279)/AV279*100)</f>
        <v>0</v>
      </c>
      <c r="BH279" s="785">
        <f>IF(AW279=0,0,(AX279-AW279)/AW279*100)</f>
        <v>0</v>
      </c>
      <c r="BI279" s="785">
        <f>IF(AX279=0,0,(AY279-AX279)/AX279*100)</f>
        <v>0</v>
      </c>
      <c r="BJ279" s="785">
        <f>IF(AY279=0,0,(AZ279-AY279)/AY279*100)</f>
        <v>0</v>
      </c>
      <c r="BK279" s="785">
        <f>IF(AZ279=0,0,(BA279-AZ279)/AZ279*100)</f>
        <v>0</v>
      </c>
      <c r="BL279" s="785">
        <f>IF(BA279=0,0,(BB279-BA279)/BA279*100)</f>
        <v>0</v>
      </c>
      <c r="BM279" s="785">
        <f>IF(BB279=0,0,(BC279-BB279)/BB279*100)</f>
        <v>0</v>
      </c>
      <c r="BN279" s="6292"/>
      <c r="BO279" s="6294" t="s">
        <v>2452</v>
      </c>
      <c r="BP279" s="6292" t="s">
        <v>2457</v>
      </c>
      <c r="BQ279" s="706"/>
      <c r="BR279" s="706"/>
      <c r="BS279" s="1078" t="s">
        <v>2411</v>
      </c>
      <c r="BT279" s="1078"/>
      <c r="BU279" s="1078"/>
      <c r="BV279" s="713"/>
      <c r="BW279" s="713"/>
    </row>
    <row s="1656" customFormat="1" customHeight="1" ht="14.25">
      <c r="A280" s="1297"/>
      <c r="B280" s="986"/>
      <c r="C280" s="103"/>
      <c r="D280" s="103" cm="1" t="str">
        <f t="array" ref="D280:D280">D279</f>
        <v>7</v>
      </c>
      <c r="E280" s="626">
        <v>15</v>
      </c>
      <c r="F280" s="50" cm="1" t="str">
        <f t="array" ref="F280:F280">OFFSET(E280,-1,1)</f>
        <v>1</v>
      </c>
      <c r="G280" s="103"/>
      <c r="H280" s="103"/>
      <c r="I280" s="103"/>
      <c r="J280" s="103"/>
      <c r="K280" s="1297"/>
      <c r="L280" s="988"/>
      <c r="M280" s="103"/>
      <c r="N280" s="103"/>
      <c r="O280" s="103"/>
      <c r="P280" s="103"/>
      <c r="Q280" s="103"/>
      <c r="R280" s="103"/>
      <c r="S280" s="103"/>
      <c r="T280" s="468" cm="1" t="str">
        <f t="array" ref="T280:T280">T279</f>
        <v>true</v>
      </c>
      <c r="U280" s="103"/>
      <c r="V280" s="103"/>
      <c r="W280" s="103"/>
      <c r="X280" s="1559"/>
      <c r="Y280" s="1297"/>
      <c r="Z280" s="1529"/>
      <c r="AA280" s="1297"/>
      <c r="AB280" s="296"/>
      <c r="AC280" s="454" t="s">
        <v>2412</v>
      </c>
      <c r="AD280" s="296"/>
      <c r="AE280" s="1124"/>
      <c r="AF280" s="1124"/>
      <c r="AG280" s="1124"/>
      <c r="AH280" s="1124"/>
      <c r="AI280" s="1124"/>
      <c r="AJ280" s="1124"/>
      <c r="AK280" s="1124"/>
      <c r="AL280" s="1124"/>
      <c r="AM280" s="1124"/>
      <c r="AN280" s="1124"/>
      <c r="AO280" s="1124"/>
      <c r="AP280" s="1124"/>
      <c r="AQ280" s="1124"/>
      <c r="AR280" s="1124"/>
      <c r="AS280" s="1124"/>
      <c r="AT280" s="1124"/>
      <c r="AU280" s="1124"/>
      <c r="AV280" s="1124"/>
      <c r="AW280" s="1124"/>
      <c r="AX280" s="1124"/>
      <c r="AY280" s="1124"/>
      <c r="AZ280" s="1124"/>
      <c r="BA280" s="1124"/>
      <c r="BB280" s="1124"/>
      <c r="BC280" s="1124"/>
      <c r="BD280" s="1124"/>
      <c r="BE280" s="1124"/>
      <c r="BF280" s="1124"/>
      <c r="BG280" s="1124"/>
      <c r="BH280" s="1124"/>
      <c r="BI280" s="1124"/>
      <c r="BJ280" s="1124"/>
      <c r="BK280" s="1124"/>
      <c r="BL280" s="1124"/>
      <c r="BM280" s="1124"/>
      <c r="BN280" s="1126"/>
      <c r="BO280" s="1126"/>
      <c r="BP280" s="1126"/>
      <c r="BQ280" s="1297"/>
      <c r="BR280" s="1297"/>
      <c r="BS280" s="1072"/>
      <c r="BT280" s="1072"/>
      <c r="BU280" s="1072"/>
      <c r="BV280" s="987"/>
      <c r="BW280" s="987"/>
    </row>
    <row s="1656" customFormat="1" customHeight="1" ht="23.25">
      <c r="A281" s="1297"/>
      <c r="B281" s="986"/>
      <c r="C281" s="103"/>
      <c r="D281" s="103" cm="1" t="str">
        <f t="array" ref="D281:D281">D280</f>
        <v>7</v>
      </c>
      <c r="E281" s="626">
        <v>22.5</v>
      </c>
      <c r="F281" s="50" cm="1" t="str">
        <f t="array" ref="F281:F281">OFFSET(E281,-1,1)</f>
        <v>1</v>
      </c>
      <c r="G281" s="103" t="s">
        <v>386</v>
      </c>
      <c r="H281" s="103"/>
      <c r="I281" s="103" t="s">
        <v>619</v>
      </c>
      <c r="J281" s="103"/>
      <c r="K281" s="154" t="s">
        <v>619</v>
      </c>
      <c r="L281" s="988"/>
      <c r="M281" s="103"/>
      <c r="N281" s="103"/>
      <c r="O281" s="103"/>
      <c r="P281" s="103"/>
      <c r="Q281" s="103"/>
      <c r="R281" s="103"/>
      <c r="S281" s="103"/>
      <c r="T281" s="468" cm="1" t="str">
        <f t="array" ref="T281:T281">T280</f>
        <v>true</v>
      </c>
      <c r="U281" s="103"/>
      <c r="V281" s="103"/>
      <c r="W281" s="103"/>
      <c r="X281" s="1559"/>
      <c r="Y281" s="1297"/>
      <c r="Z281" s="1529"/>
      <c r="AA281" s="1297"/>
      <c r="AB281" s="296" t="str">
        <f>D281&amp;".1"</f>
        <v>7.1</v>
      </c>
      <c r="AC281" s="769" t="s">
        <v>2413</v>
      </c>
      <c r="AD281" s="296" t="s">
        <v>936</v>
      </c>
      <c r="AE281" s="6293">
        <v>0</v>
      </c>
      <c r="AF281" s="6293"/>
      <c r="AG281" s="6293"/>
      <c r="AH281" s="1123">
        <f>AG281-AF281</f>
        <v>0</v>
      </c>
      <c r="AI281" s="6293">
        <v>-668.07</v>
      </c>
      <c r="AJ281" s="6293">
        <f>_xlfn.SUMIFS('Корректировка НВВ'!$AF$25:$AF$231,'Корректировка НВВ'!$F$25:$F$231,$F281,'Корректировка НВВ'!$I$25:$I$231,$G281)</f>
        <v>0</v>
      </c>
      <c r="AK281" s="1260"/>
      <c r="AL281" s="1260"/>
      <c r="AM281" s="1260"/>
      <c r="AN281" s="1260"/>
      <c r="AO281" s="1260"/>
      <c r="AP281" s="1260"/>
      <c r="AQ281" s="1260"/>
      <c r="AR281" s="1260"/>
      <c r="AS281" s="1260"/>
      <c r="AT281" s="6293">
        <f>_xlfn.SUMIFS('Корректировка НВВ'!$AG$25:$AG$231,'Корректировка НВВ'!$F$25:$F$231,$F281,'Корректировка НВВ'!$I$25:$I$231,$G281)</f>
        <v>0</v>
      </c>
      <c r="AU281" s="1260"/>
      <c r="AV281" s="1260"/>
      <c r="AW281" s="1260"/>
      <c r="AX281" s="1260"/>
      <c r="AY281" s="1260"/>
      <c r="AZ281" s="1260"/>
      <c r="BA281" s="1260"/>
      <c r="BB281" s="1260"/>
      <c r="BC281" s="1260"/>
      <c r="BD281" s="1124"/>
      <c r="BE281" s="1124"/>
      <c r="BF281" s="1124"/>
      <c r="BG281" s="1124"/>
      <c r="BH281" s="1124"/>
      <c r="BI281" s="1124"/>
      <c r="BJ281" s="1124"/>
      <c r="BK281" s="1124"/>
      <c r="BL281" s="1124"/>
      <c r="BM281" s="1124"/>
      <c r="BN281" s="6290"/>
      <c r="BO281" s="6294" t="str">
        <f>IF(_xlfn.IFERROR(INDEX('Корректировка НВВ'!$K$26:$L$231,MATCH($F281&amp;"1komm",'Корректировка НВВ'!$K$26:$K$231,0),2),"")=0,"",_xlfn.IFERROR(INDEX('Корректировка НВВ'!$K$26:$L$231,MATCH($F281&amp;"1komm",'Корректировка НВВ'!$K$26:$K$231,0),2),""))</f>
        <v/>
      </c>
      <c r="BP281" s="6290"/>
      <c r="BQ281" s="1297"/>
      <c r="BR281" s="1297"/>
      <c r="BS281" s="1072" t="s">
        <v>2414</v>
      </c>
      <c r="BT281" s="1072"/>
      <c r="BU281" s="1072"/>
      <c r="BV281" s="987"/>
      <c r="BW281" s="987"/>
    </row>
    <row s="1656" customFormat="1" customHeight="1" ht="98.71875">
      <c r="A282" s="1297"/>
      <c r="B282" s="986"/>
      <c r="C282" s="103"/>
      <c r="D282" s="103" cm="1" t="str">
        <f t="array" ref="D282:D282">D281</f>
        <v>7</v>
      </c>
      <c r="E282" s="626">
        <v>101.25</v>
      </c>
      <c r="F282" s="50" cm="1" t="str">
        <f t="array" ref="F282:F282">OFFSET(E282,-1,1)</f>
        <v>1</v>
      </c>
      <c r="G282" s="103" t="s">
        <v>2415</v>
      </c>
      <c r="H282" s="103"/>
      <c r="I282" s="103" t="s">
        <v>685</v>
      </c>
      <c r="J282" s="103"/>
      <c r="K282" s="154" t="s">
        <v>685</v>
      </c>
      <c r="L282" s="988"/>
      <c r="M282" s="103"/>
      <c r="N282" s="103"/>
      <c r="O282" s="103"/>
      <c r="P282" s="103"/>
      <c r="Q282" s="103"/>
      <c r="R282" s="103"/>
      <c r="S282" s="103"/>
      <c r="T282" s="468" cm="1" t="str">
        <f t="array" ref="T282:T282">T281</f>
        <v>true</v>
      </c>
      <c r="U282" s="103"/>
      <c r="V282" s="103"/>
      <c r="W282" s="103"/>
      <c r="X282" s="1559"/>
      <c r="Y282" s="1297"/>
      <c r="Z282" s="1529"/>
      <c r="AA282" s="1297"/>
      <c r="AB282" s="296" t="str">
        <f>D282&amp;".2"</f>
        <v>7.2</v>
      </c>
      <c r="AC282" s="769" t="s">
        <v>2416</v>
      </c>
      <c r="AD282" s="296" t="s">
        <v>936</v>
      </c>
      <c r="AE282" s="6293">
        <v>0</v>
      </c>
      <c r="AF282" s="6293"/>
      <c r="AG282" s="6293"/>
      <c r="AH282" s="1123">
        <f>AG282-AF282</f>
        <v>0</v>
      </c>
      <c r="AI282" s="6293">
        <v>0</v>
      </c>
      <c r="AJ282" s="6293">
        <f>_xlfn.SUMIFS('Корректировка НВВ'!$AF$25:$AF$231,'Корректировка НВВ'!$F$25:$F$231,$F282,'Корректировка НВВ'!$I$25:$I$231,$G282)</f>
        <v>0</v>
      </c>
      <c r="AK282" s="1260"/>
      <c r="AL282" s="1260"/>
      <c r="AM282" s="1260"/>
      <c r="AN282" s="1260"/>
      <c r="AO282" s="1260"/>
      <c r="AP282" s="1260"/>
      <c r="AQ282" s="1260"/>
      <c r="AR282" s="1260"/>
      <c r="AS282" s="1260"/>
      <c r="AT282" s="6293">
        <f>_xlfn.SUMIFS('Корректировка НВВ'!$AG$25:$AG$231,'Корректировка НВВ'!$F$25:$F$231,$F282,'Корректировка НВВ'!$I$25:$I$231,$G282)</f>
        <v>0</v>
      </c>
      <c r="AU282" s="1260"/>
      <c r="AV282" s="1260"/>
      <c r="AW282" s="1260"/>
      <c r="AX282" s="1260"/>
      <c r="AY282" s="1260"/>
      <c r="AZ282" s="1260"/>
      <c r="BA282" s="1260"/>
      <c r="BB282" s="1260"/>
      <c r="BC282" s="1260"/>
      <c r="BD282" s="1124"/>
      <c r="BE282" s="1124"/>
      <c r="BF282" s="1124"/>
      <c r="BG282" s="1124"/>
      <c r="BH282" s="1124"/>
      <c r="BI282" s="1124"/>
      <c r="BJ282" s="1124"/>
      <c r="BK282" s="1124"/>
      <c r="BL282" s="1124"/>
      <c r="BM282" s="1124"/>
      <c r="BN282" s="6290"/>
      <c r="BO282" s="6294" t="str">
        <f>IF(_xlfn.IFERROR(INDEX('Корректировка НВВ'!$K$26:$L$231,MATCH($F282&amp;"2komm",'Корректировка НВВ'!$K$26:$K$231,0),2),"")=0,"",_xlfn.IFERROR(INDEX('Корректировка НВВ'!$K$26:$L$231,MATCH($F282&amp;"2komm",'Корректировка НВВ'!$K$26:$K$231,0),2),""))</f>
        <v/>
      </c>
      <c r="BP282" s="6290"/>
      <c r="BQ282" s="1297"/>
      <c r="BR282" s="1297"/>
      <c r="BS282" s="1072" t="s">
        <v>2417</v>
      </c>
      <c r="BT282" s="1072"/>
      <c r="BU282" s="1072"/>
      <c r="BV282" s="987"/>
      <c r="BW282" s="987"/>
    </row>
    <row s="1656" customFormat="1" customHeight="1" ht="43.875">
      <c r="A283" s="1297"/>
      <c r="B283" s="986"/>
      <c r="C283" s="103"/>
      <c r="D283" s="103" cm="1" t="str">
        <f t="array" ref="D283:D283">D282</f>
        <v>7</v>
      </c>
      <c r="E283" s="626">
        <v>45</v>
      </c>
      <c r="F283" s="50" cm="1" t="str">
        <f t="array" ref="F283:F283">OFFSET(E283,-1,1)</f>
        <v>1</v>
      </c>
      <c r="G283" s="103"/>
      <c r="H283" s="103"/>
      <c r="I283" s="103" t="s">
        <v>700</v>
      </c>
      <c r="J283" s="103"/>
      <c r="K283" s="154" t="s">
        <v>700</v>
      </c>
      <c r="L283" s="988"/>
      <c r="M283" s="103"/>
      <c r="N283" s="103"/>
      <c r="O283" s="103"/>
      <c r="P283" s="103"/>
      <c r="Q283" s="103"/>
      <c r="R283" s="103"/>
      <c r="S283" s="103"/>
      <c r="T283" s="468" cm="1" t="str">
        <f t="array" ref="T283:T283">T282</f>
        <v>true</v>
      </c>
      <c r="U283" s="103"/>
      <c r="V283" s="103"/>
      <c r="W283" s="103"/>
      <c r="X283" s="1559"/>
      <c r="Y283" s="1297"/>
      <c r="Z283" s="1529"/>
      <c r="AA283" s="1297"/>
      <c r="AB283" s="296" t="str">
        <f>D283&amp;".3"</f>
        <v>7.3</v>
      </c>
      <c r="AC283" s="769" t="s">
        <v>2418</v>
      </c>
      <c r="AD283" s="296" t="s">
        <v>936</v>
      </c>
      <c r="AE283" s="6293">
        <v>0</v>
      </c>
      <c r="AF283" s="6293"/>
      <c r="AG283" s="6293"/>
      <c r="AH283" s="1123">
        <f>AG283-AF283</f>
        <v>0</v>
      </c>
      <c r="AI283" s="6293">
        <v>40967.07366</v>
      </c>
      <c r="AJ283" s="6293">
        <f>_xlfn.SUMIFS('Корректировка НВВ'!$AF$25:$AF$231,'Корректировка НВВ'!$F$25:$F$231,$F283,'Корректировка НВВ'!$I$25:$I$231,"L1")+_xlfn.SUMIFS('Корректировка НВВ'!$AF$25:$AF$231,'Корректировка НВВ'!$F$25:$F$231,$F283,'Корректировка НВВ'!$I$25:$I$231,"L2")</f>
        <v>59159.77442</v>
      </c>
      <c r="AK283" s="1260"/>
      <c r="AL283" s="1260"/>
      <c r="AM283" s="1260"/>
      <c r="AN283" s="1260"/>
      <c r="AO283" s="1260"/>
      <c r="AP283" s="1260"/>
      <c r="AQ283" s="1260"/>
      <c r="AR283" s="1260"/>
      <c r="AS283" s="1260"/>
      <c r="AT283" s="6293">
        <f>_xlfn.SUMIFS('Корректировка НВВ'!$AG$25:$AG$231,'Корректировка НВВ'!$F$25:$F$231,$F283,'Корректировка НВВ'!$I$25:$I$231,"L1")+_xlfn.SUMIFS('Корректировка НВВ'!$AF$25:$AF$231,'Корректировка НВВ'!$F$25:$F$231,$F283,'Корректировка НВВ'!$I$25:$I$231,"L2")</f>
        <v>28855.2000199999</v>
      </c>
      <c r="AU283" s="1260"/>
      <c r="AV283" s="1260"/>
      <c r="AW283" s="1260"/>
      <c r="AX283" s="1260"/>
      <c r="AY283" s="1260"/>
      <c r="AZ283" s="1260"/>
      <c r="BA283" s="1260"/>
      <c r="BB283" s="1260"/>
      <c r="BC283" s="1260"/>
      <c r="BD283" s="1124"/>
      <c r="BE283" s="1124"/>
      <c r="BF283" s="1124"/>
      <c r="BG283" s="1124"/>
      <c r="BH283" s="1124"/>
      <c r="BI283" s="1124"/>
      <c r="BJ283" s="1124"/>
      <c r="BK283" s="1124"/>
      <c r="BL283" s="1124"/>
      <c r="BM283" s="1124"/>
      <c r="BN283" s="6290"/>
      <c r="BO283" s="6294"/>
      <c r="BP283" s="6290"/>
      <c r="BQ283" s="1297"/>
      <c r="BR283" s="1297"/>
      <c r="BS283" s="1072" t="s">
        <v>2419</v>
      </c>
      <c r="BT283" s="1072"/>
      <c r="BU283" s="1072"/>
      <c r="BV283" s="987"/>
      <c r="BW283" s="987"/>
    </row>
    <row s="1656" customFormat="1" customHeight="1" ht="87.75" hidden="1">
      <c r="A284" s="1297"/>
      <c r="B284" s="447">
        <f>S171="Водоотведение"</f>
        <v>0</v>
      </c>
      <c r="C284" s="103"/>
      <c r="D284" s="103" cm="1" t="str">
        <f t="array" ref="D284:D284">D283</f>
        <v>7</v>
      </c>
      <c r="E284" s="626">
        <v>90</v>
      </c>
      <c r="F284" s="50" cm="1" t="str">
        <f t="array" ref="F284:F284">OFFSET(E284,-1,1)</f>
        <v>1</v>
      </c>
      <c r="G284" s="103" t="s">
        <v>2420</v>
      </c>
      <c r="H284" s="855"/>
      <c r="I284" s="103" t="s">
        <v>866</v>
      </c>
      <c r="J284" s="103"/>
      <c r="K284" s="154" t="s">
        <v>866</v>
      </c>
      <c r="L284" s="988" t="s">
        <v>864</v>
      </c>
      <c r="M284" s="103"/>
      <c r="N284" s="103"/>
      <c r="O284" s="103"/>
      <c r="P284" s="103"/>
      <c r="Q284" s="103"/>
      <c r="R284" s="103"/>
      <c r="S284" s="103"/>
      <c r="T284" s="468" cm="1" t="str">
        <f t="array" ref="T284:T284">T283</f>
        <v>true</v>
      </c>
      <c r="U284" s="103"/>
      <c r="V284" s="103"/>
      <c r="W284" s="103"/>
      <c r="X284" s="1559"/>
      <c r="Y284" s="1297"/>
      <c r="Z284" s="1529"/>
      <c r="AA284" s="1297"/>
      <c r="AB284" s="296" t="str">
        <f>D284&amp;".4"</f>
        <v>7.4</v>
      </c>
      <c r="AC284" s="769" t="s">
        <v>2090</v>
      </c>
      <c r="AD284" s="773" t="s">
        <v>936</v>
      </c>
      <c r="AE284" s="1260"/>
      <c r="AF284" s="1260"/>
      <c r="AG284" s="1260"/>
      <c r="AH284" s="1123">
        <f>AG284-AF284</f>
        <v>0</v>
      </c>
      <c r="AI284" s="1260"/>
      <c r="AJ284" s="1260">
        <f>_xlfn.SUMIFS('Корректировка НВВ'!$AF$25:$AF$231,'Корректировка НВВ'!$F$25:$F$231,$F284,'Корректировка НВВ'!$I$25:$I$231,$G284)</f>
        <v>0</v>
      </c>
      <c r="AK284" s="1260"/>
      <c r="AL284" s="1260"/>
      <c r="AM284" s="1260"/>
      <c r="AN284" s="1260"/>
      <c r="AO284" s="1260"/>
      <c r="AP284" s="1260"/>
      <c r="AQ284" s="1260"/>
      <c r="AR284" s="1260"/>
      <c r="AS284" s="1260"/>
      <c r="AT284" s="1260">
        <f>_xlfn.SUMIFS('Корректировка НВВ'!$AG$25:$AG$231,'Корректировка НВВ'!$F$25:$F$231,$F284,'Корректировка НВВ'!$I$25:$I$231,$G284)</f>
        <v>0</v>
      </c>
      <c r="AU284" s="1260"/>
      <c r="AV284" s="1260"/>
      <c r="AW284" s="1260"/>
      <c r="AX284" s="1260"/>
      <c r="AY284" s="1260"/>
      <c r="AZ284" s="1260"/>
      <c r="BA284" s="1260"/>
      <c r="BB284" s="1260"/>
      <c r="BC284" s="1260"/>
      <c r="BD284" s="1124"/>
      <c r="BE284" s="1124"/>
      <c r="BF284" s="1124"/>
      <c r="BG284" s="1124"/>
      <c r="BH284" s="1124"/>
      <c r="BI284" s="1124"/>
      <c r="BJ284" s="1124"/>
      <c r="BK284" s="1124"/>
      <c r="BL284" s="1124"/>
      <c r="BM284" s="1124"/>
      <c r="BN284" s="1257"/>
      <c r="BO284" s="1261" t="str">
        <f>IF(_xlfn.IFERROR(INDEX('Корректировка НВВ'!$K$26:$L$231,MATCH($F284&amp;"3komm",'Корректировка НВВ'!$K$26:$K$231,0),2),"")=0,"",_xlfn.IFERROR(INDEX('Корректировка НВВ'!$K$26:$L$231,MATCH($F284&amp;"3komm",'Корректировка НВВ'!$K$26:$K$231,0),2),""))</f>
        <v/>
      </c>
      <c r="BP284" s="1257"/>
      <c r="BQ284" s="1297"/>
      <c r="BR284" s="1297"/>
      <c r="BS284" s="1072" t="s">
        <v>1580</v>
      </c>
      <c r="BT284" s="1072"/>
      <c r="BU284" s="1072"/>
      <c r="BV284" s="987"/>
      <c r="BW284" s="987"/>
    </row>
    <row s="1656" customFormat="1" customHeight="1" ht="54.75" hidden="1">
      <c r="A285" s="1297"/>
      <c r="B285" s="447" cm="1" t="str">
        <f t="array" ref="B285:B285">B284</f>
        <v>false</v>
      </c>
      <c r="C285" s="103"/>
      <c r="D285" s="103" cm="1" t="str">
        <f t="array" ref="D285:D285">D284</f>
        <v>7</v>
      </c>
      <c r="E285" s="626">
        <v>56.25</v>
      </c>
      <c r="F285" s="50" cm="1" t="str">
        <f t="array" ref="F285:F285">OFFSET(E285,-1,1)</f>
        <v>1</v>
      </c>
      <c r="G285" s="103" t="s">
        <v>2421</v>
      </c>
      <c r="H285" s="855"/>
      <c r="I285" s="103" t="s">
        <v>914</v>
      </c>
      <c r="J285" s="103"/>
      <c r="K285" s="154" t="s">
        <v>914</v>
      </c>
      <c r="L285" s="988" t="s">
        <v>866</v>
      </c>
      <c r="M285" s="103"/>
      <c r="N285" s="103"/>
      <c r="O285" s="103"/>
      <c r="P285" s="103"/>
      <c r="Q285" s="103"/>
      <c r="R285" s="103"/>
      <c r="S285" s="103"/>
      <c r="T285" s="468" cm="1" t="str">
        <f t="array" ref="T285:T285">T284</f>
        <v>true</v>
      </c>
      <c r="U285" s="103"/>
      <c r="V285" s="103"/>
      <c r="W285" s="103"/>
      <c r="X285" s="1559"/>
      <c r="Y285" s="1297"/>
      <c r="Z285" s="1529"/>
      <c r="AA285" s="1297"/>
      <c r="AB285" s="296" t="str">
        <f>D285&amp;".5"</f>
        <v>7.5</v>
      </c>
      <c r="AC285" s="769" t="s">
        <v>2091</v>
      </c>
      <c r="AD285" s="773" t="s">
        <v>936</v>
      </c>
      <c r="AE285" s="1260"/>
      <c r="AF285" s="1260"/>
      <c r="AG285" s="1260"/>
      <c r="AH285" s="1123">
        <f>AG285-AF285</f>
        <v>0</v>
      </c>
      <c r="AI285" s="1260"/>
      <c r="AJ285" s="1260">
        <f>_xlfn.SUMIFS('Корректировка НВВ'!$AF$25:$AF$231,'Корректировка НВВ'!$F$25:$F$231,$F285,'Корректировка НВВ'!$I$25:$I$231,$G285)</f>
        <v>0</v>
      </c>
      <c r="AK285" s="1260"/>
      <c r="AL285" s="1260"/>
      <c r="AM285" s="1260"/>
      <c r="AN285" s="1260"/>
      <c r="AO285" s="1260"/>
      <c r="AP285" s="1260"/>
      <c r="AQ285" s="1260"/>
      <c r="AR285" s="1260"/>
      <c r="AS285" s="1260"/>
      <c r="AT285" s="1260">
        <f>_xlfn.SUMIFS('Корректировка НВВ'!$AG$25:$AG$231,'Корректировка НВВ'!$F$25:$F$231,$F285,'Корректировка НВВ'!$I$25:$I$231,$G285)</f>
        <v>0</v>
      </c>
      <c r="AU285" s="1260"/>
      <c r="AV285" s="1260"/>
      <c r="AW285" s="1260"/>
      <c r="AX285" s="1260"/>
      <c r="AY285" s="1260"/>
      <c r="AZ285" s="1260"/>
      <c r="BA285" s="1260"/>
      <c r="BB285" s="1260"/>
      <c r="BC285" s="1260"/>
      <c r="BD285" s="1124"/>
      <c r="BE285" s="1124"/>
      <c r="BF285" s="1124"/>
      <c r="BG285" s="1124"/>
      <c r="BH285" s="1124"/>
      <c r="BI285" s="1124"/>
      <c r="BJ285" s="1124"/>
      <c r="BK285" s="1124"/>
      <c r="BL285" s="1124"/>
      <c r="BM285" s="1124"/>
      <c r="BN285" s="1257"/>
      <c r="BO285" s="1261" t="str">
        <f>IF(_xlfn.IFERROR(INDEX('Корректировка НВВ'!$K$26:$L$231,MATCH($F285&amp;"4komm",'Корректировка НВВ'!$K$26:$K$231,0),2),"")=0,"",_xlfn.IFERROR(INDEX('Корректировка НВВ'!$K$26:$L$231,MATCH($F285&amp;"4komm",'Корректировка НВВ'!$K$26:$K$231,0),2),""))</f>
        <v/>
      </c>
      <c r="BP285" s="1257"/>
      <c r="BQ285" s="1297"/>
      <c r="BR285" s="1297"/>
      <c r="BS285" s="1072" t="s">
        <v>1584</v>
      </c>
      <c r="BT285" s="1072"/>
      <c r="BU285" s="1072"/>
      <c r="BV285" s="987"/>
      <c r="BW285" s="987"/>
    </row>
    <row s="1656" customFormat="1" customHeight="1" ht="14.625">
      <c r="A286" s="1297"/>
      <c r="B286" s="429"/>
      <c r="C286" s="103"/>
      <c r="D286" s="103" cm="1" t="str">
        <f t="array" ref="D286:D286">D285</f>
        <v>7</v>
      </c>
      <c r="E286" s="626">
        <v>15</v>
      </c>
      <c r="F286" s="50" cm="1" t="str">
        <f t="array" ref="F286:F286">OFFSET(E286,-1,1)</f>
        <v>1</v>
      </c>
      <c r="G286" s="103" t="s">
        <v>2422</v>
      </c>
      <c r="H286" s="103"/>
      <c r="I286" s="103" t="s">
        <v>915</v>
      </c>
      <c r="J286" s="103"/>
      <c r="K286" s="154" t="s">
        <v>915</v>
      </c>
      <c r="L286" s="988" t="s">
        <v>914</v>
      </c>
      <c r="M286" s="103"/>
      <c r="N286" s="103"/>
      <c r="O286" s="103"/>
      <c r="P286" s="103"/>
      <c r="Q286" s="103"/>
      <c r="R286" s="103"/>
      <c r="S286" s="103"/>
      <c r="T286" s="468" cm="1" t="str">
        <f t="array" ref="T286:T286">T285</f>
        <v>true</v>
      </c>
      <c r="U286" s="103"/>
      <c r="V286" s="103"/>
      <c r="W286" s="103"/>
      <c r="X286" s="1559"/>
      <c r="Y286" s="1297"/>
      <c r="Z286" s="1529"/>
      <c r="AA286" s="1297"/>
      <c r="AB286" s="296" t="str">
        <f>IF(B285,D286&amp;".6",D286&amp;".4")</f>
        <v>7.4</v>
      </c>
      <c r="AC286" s="769" t="s">
        <v>1808</v>
      </c>
      <c r="AD286" s="296" t="s">
        <v>936</v>
      </c>
      <c r="AE286" s="6293">
        <v>34747.15</v>
      </c>
      <c r="AF286" s="6293"/>
      <c r="AG286" s="6293"/>
      <c r="AH286" s="1123">
        <f>AG286-AF286</f>
        <v>0</v>
      </c>
      <c r="AI286" s="6293">
        <v>0</v>
      </c>
      <c r="AJ286" s="6293">
        <f>_xlfn.SUMIFS('Корректировка НВВ'!$AF$25:$AF$231,'Корректировка НВВ'!$F$25:$F$231,$F286,'Корректировка НВВ'!$I$25:$I$231,$G286)</f>
        <v>0</v>
      </c>
      <c r="AK286" s="1260"/>
      <c r="AL286" s="1260"/>
      <c r="AM286" s="1260"/>
      <c r="AN286" s="1260"/>
      <c r="AO286" s="1260"/>
      <c r="AP286" s="1260"/>
      <c r="AQ286" s="1260"/>
      <c r="AR286" s="1260"/>
      <c r="AS286" s="1260"/>
      <c r="AT286" s="6293">
        <f>_xlfn.SUMIFS('Корректировка НВВ'!$AG$25:$AG$231,'Корректировка НВВ'!$F$25:$F$231,$F286,'Корректировка НВВ'!$I$25:$I$231,$G286)</f>
        <v>0</v>
      </c>
      <c r="AU286" s="1260"/>
      <c r="AV286" s="1260"/>
      <c r="AW286" s="1260"/>
      <c r="AX286" s="1260"/>
      <c r="AY286" s="1260"/>
      <c r="AZ286" s="1260"/>
      <c r="BA286" s="1260"/>
      <c r="BB286" s="1260"/>
      <c r="BC286" s="1260"/>
      <c r="BD286" s="1124"/>
      <c r="BE286" s="1124"/>
      <c r="BF286" s="1124"/>
      <c r="BG286" s="1124"/>
      <c r="BH286" s="1124"/>
      <c r="BI286" s="1124"/>
      <c r="BJ286" s="1124"/>
      <c r="BK286" s="1124"/>
      <c r="BL286" s="1124"/>
      <c r="BM286" s="1124"/>
      <c r="BN286" s="6290"/>
      <c r="BO286" s="6294" t="str">
        <f>IF(_xlfn.IFERROR(INDEX('Корректировка НВВ'!$K$26:$L$231,MATCH($F286&amp;"5komm",'Корректировка НВВ'!$K$26:$K$231,0),2),"")=0,"",_xlfn.IFERROR(INDEX('Корректировка НВВ'!$K$26:$L$231,MATCH($F286&amp;"5komm",'Корректировка НВВ'!$K$26:$K$231,0),2),""))</f>
        <v/>
      </c>
      <c r="BP286" s="6290"/>
      <c r="BQ286" s="1297"/>
      <c r="BR286" s="1297"/>
      <c r="BS286" s="1072" t="s">
        <v>2423</v>
      </c>
      <c r="BT286" s="1072"/>
      <c r="BU286" s="1072"/>
      <c r="BV286" s="987"/>
      <c r="BW286" s="987"/>
    </row>
    <row s="1656" customFormat="1" customHeight="1" ht="14.625">
      <c r="A287" s="1297"/>
      <c r="B287" s="986"/>
      <c r="C287" s="103"/>
      <c r="D287" s="103" cm="1" t="str">
        <f t="array" ref="D287:D287">D286</f>
        <v>7</v>
      </c>
      <c r="E287" s="626">
        <v>15</v>
      </c>
      <c r="F287" s="50" cm="1" t="str">
        <f t="array" ref="F287:F287">OFFSET(E287,-1,1)</f>
        <v>1</v>
      </c>
      <c r="G287" s="103" t="s">
        <v>2424</v>
      </c>
      <c r="H287" s="103"/>
      <c r="I287" s="103" t="s">
        <v>2099</v>
      </c>
      <c r="J287" s="103"/>
      <c r="K287" s="154" t="s">
        <v>2099</v>
      </c>
      <c r="L287" s="988" t="s">
        <v>915</v>
      </c>
      <c r="M287" s="103"/>
      <c r="N287" s="103"/>
      <c r="O287" s="103"/>
      <c r="P287" s="103"/>
      <c r="Q287" s="103"/>
      <c r="R287" s="103"/>
      <c r="S287" s="103"/>
      <c r="T287" s="468" cm="1" t="str">
        <f t="array" ref="T287:T287">T286</f>
        <v>true</v>
      </c>
      <c r="U287" s="103"/>
      <c r="V287" s="103"/>
      <c r="W287" s="103"/>
      <c r="X287" s="1559"/>
      <c r="Y287" s="1297"/>
      <c r="Z287" s="1529"/>
      <c r="AA287" s="1297"/>
      <c r="AB287" s="296" t="str">
        <f>IF(B285,D286&amp;".7",D286&amp;".5")</f>
        <v>7.5</v>
      </c>
      <c r="AC287" s="769" t="s">
        <v>1770</v>
      </c>
      <c r="AD287" s="296" t="s">
        <v>936</v>
      </c>
      <c r="AE287" s="6293">
        <v>20448.19</v>
      </c>
      <c r="AF287" s="6293">
        <f>AF288+AF289</f>
        <v>0</v>
      </c>
      <c r="AG287" s="6293">
        <f>AG288+AG289</f>
        <v>0</v>
      </c>
      <c r="AH287" s="1123">
        <f>AG287-AF287</f>
        <v>0</v>
      </c>
      <c r="AI287" s="6293">
        <v>7859.57</v>
      </c>
      <c r="AJ287" s="6293">
        <f>_xlfn.SUMIFS('Корректировка НВВ'!$AF$25:$AF$231,'Корректировка НВВ'!$F$25:$F$231,$F287,'Корректировка НВВ'!$I$25:$I$231,$G287)</f>
        <v>0</v>
      </c>
      <c r="AK287" s="1260">
        <f>AK288+AK289</f>
        <v>0</v>
      </c>
      <c r="AL287" s="1260">
        <f>AL288+AL289</f>
        <v>0</v>
      </c>
      <c r="AM287" s="1260">
        <f>AM288+AM289</f>
        <v>0</v>
      </c>
      <c r="AN287" s="1260">
        <f>AN288+AN289</f>
        <v>0</v>
      </c>
      <c r="AO287" s="1260">
        <f>AO288+AO289</f>
        <v>0</v>
      </c>
      <c r="AP287" s="1260">
        <f>AP288+AP289</f>
        <v>0</v>
      </c>
      <c r="AQ287" s="1260">
        <f>AQ288+AQ289</f>
        <v>0</v>
      </c>
      <c r="AR287" s="1260">
        <f>AR288+AR289</f>
        <v>0</v>
      </c>
      <c r="AS287" s="1260">
        <f>AS288+AS289</f>
        <v>0</v>
      </c>
      <c r="AT287" s="6293">
        <f>_xlfn.SUMIFS('Корректировка НВВ'!$AG$25:$AG$231,'Корректировка НВВ'!$F$25:$F$231,$F287,'Корректировка НВВ'!$I$25:$I$231,$G287)</f>
        <v>0</v>
      </c>
      <c r="AU287" s="1260">
        <f>AU288+AU289</f>
        <v>0</v>
      </c>
      <c r="AV287" s="1260">
        <f>AV288+AV289</f>
        <v>0</v>
      </c>
      <c r="AW287" s="1260">
        <f>AW288+AW289</f>
        <v>0</v>
      </c>
      <c r="AX287" s="1260">
        <f>AX288+AX289</f>
        <v>0</v>
      </c>
      <c r="AY287" s="1260">
        <f>AY288+AY289</f>
        <v>0</v>
      </c>
      <c r="AZ287" s="1260">
        <f>AZ288+AZ289</f>
        <v>0</v>
      </c>
      <c r="BA287" s="1260">
        <f>BA288+BA289</f>
        <v>0</v>
      </c>
      <c r="BB287" s="1260">
        <f>BB288+BB289</f>
        <v>0</v>
      </c>
      <c r="BC287" s="1260">
        <f>BC288+BC289</f>
        <v>0</v>
      </c>
      <c r="BD287" s="1123">
        <f>IF(AI287=0,0,(AT287-AI287)/AI287*100)</f>
        <v>-100</v>
      </c>
      <c r="BE287" s="1123">
        <f>IF(AT287=0,0,(AU287-AT287)/AT287*100)</f>
        <v>0</v>
      </c>
      <c r="BF287" s="1123">
        <f>IF(AU287=0,0,(AV287-AU287)/AU287*100)</f>
        <v>0</v>
      </c>
      <c r="BG287" s="1123">
        <f>IF(AV287=0,0,(AW287-AV287)/AV287*100)</f>
        <v>0</v>
      </c>
      <c r="BH287" s="1123">
        <f>IF(AW287=0,0,(AX287-AW287)/AW287*100)</f>
        <v>0</v>
      </c>
      <c r="BI287" s="1123">
        <f>IF(AX287=0,0,(AY287-AX287)/AX287*100)</f>
        <v>0</v>
      </c>
      <c r="BJ287" s="1123">
        <f>IF(AY287=0,0,(AZ287-AY287)/AY287*100)</f>
        <v>0</v>
      </c>
      <c r="BK287" s="1123">
        <f>IF(AZ287=0,0,(BA287-AZ287)/AZ287*100)</f>
        <v>0</v>
      </c>
      <c r="BL287" s="1123">
        <f>IF(BA287=0,0,(BB287-BA287)/BA287*100)</f>
        <v>0</v>
      </c>
      <c r="BM287" s="1123">
        <f>IF(BB287=0,0,(BC287-BB287)/BB287*100)</f>
        <v>0</v>
      </c>
      <c r="BN287" s="6290"/>
      <c r="BO287" s="6294" t="str">
        <f>IF(_xlfn.IFERROR(INDEX('Корректировка НВВ'!$K$26:$L$231,MATCH($F287&amp;"6komm",'Корректировка НВВ'!$K$26:$K$231,0),2),"")=0,"",_xlfn.IFERROR(INDEX('Корректировка НВВ'!$K$26:$L$231,MATCH($F287&amp;"6komm",'Корректировка НВВ'!$K$26:$K$231,0),2),""))</f>
        <v/>
      </c>
      <c r="BP287" s="6290"/>
      <c r="BQ287" s="1297"/>
      <c r="BR287" s="1297"/>
      <c r="BS287" s="1072" t="s">
        <v>1772</v>
      </c>
      <c r="BT287" s="1072"/>
      <c r="BU287" s="1072"/>
      <c r="BV287" s="987"/>
      <c r="BW287" s="987"/>
    </row>
    <row s="1656" customFormat="1" customHeight="1" ht="191.25">
      <c r="A288" s="1297"/>
      <c r="B288" s="986"/>
      <c r="C288" s="103"/>
      <c r="D288" s="103" cm="1" t="str">
        <f t="array" ref="D288:D288">D287</f>
        <v>7</v>
      </c>
      <c r="E288" s="626">
        <v>22.5</v>
      </c>
      <c r="F288" s="50" cm="1" t="str">
        <f t="array" ref="F288:F288">OFFSET(E288,-1,1)</f>
        <v>1</v>
      </c>
      <c r="G288" s="103" t="s">
        <v>2425</v>
      </c>
      <c r="H288" s="103"/>
      <c r="I288" s="103" t="s">
        <v>2426</v>
      </c>
      <c r="J288" s="103"/>
      <c r="K288" s="154" t="s">
        <v>2426</v>
      </c>
      <c r="L288" s="988" t="s">
        <v>2094</v>
      </c>
      <c r="M288" s="103"/>
      <c r="N288" s="103"/>
      <c r="O288" s="103"/>
      <c r="P288" s="103"/>
      <c r="Q288" s="103"/>
      <c r="R288" s="103"/>
      <c r="S288" s="103"/>
      <c r="T288" s="468" cm="1" t="str">
        <f t="array" ref="T288:T288">T287</f>
        <v>true</v>
      </c>
      <c r="U288" s="103"/>
      <c r="V288" s="103"/>
      <c r="W288" s="103"/>
      <c r="X288" s="1559"/>
      <c r="Y288" s="1297"/>
      <c r="Z288" s="1529"/>
      <c r="AA288" s="1297"/>
      <c r="AB288" s="296" t="str">
        <f>AB287&amp;".1"</f>
        <v>7.5.1</v>
      </c>
      <c r="AC288" s="788" t="s">
        <v>1773</v>
      </c>
      <c r="AD288" s="296" t="s">
        <v>936</v>
      </c>
      <c r="AE288" s="6293">
        <v>20448.19</v>
      </c>
      <c r="AF288" s="6293"/>
      <c r="AG288" s="6293"/>
      <c r="AH288" s="1123">
        <f>AG288-AF288</f>
        <v>0</v>
      </c>
      <c r="AI288" s="6293">
        <v>15184.65</v>
      </c>
      <c r="AJ288" s="6293">
        <f>_xlfn.SUMIFS('Корректировка НВВ'!$AF$25:$AF$231,'Корректировка НВВ'!$F$25:$F$231,$F288,'Корректировка НВВ'!$I$25:$I$231,$G288)</f>
        <v>0</v>
      </c>
      <c r="AK288" s="1260"/>
      <c r="AL288" s="1260"/>
      <c r="AM288" s="1260"/>
      <c r="AN288" s="1260"/>
      <c r="AO288" s="1260"/>
      <c r="AP288" s="1260"/>
      <c r="AQ288" s="1260"/>
      <c r="AR288" s="1260"/>
      <c r="AS288" s="1260"/>
      <c r="AT288" s="6293">
        <f>_xlfn.SUMIFS('Корректировка НВВ'!$AG$25:$AG$231,'Корректировка НВВ'!$F$25:$F$231,$F288,'Корректировка НВВ'!$I$25:$I$231,$G288)</f>
        <v>0</v>
      </c>
      <c r="AU288" s="1260"/>
      <c r="AV288" s="1260"/>
      <c r="AW288" s="1260"/>
      <c r="AX288" s="1260"/>
      <c r="AY288" s="1260"/>
      <c r="AZ288" s="1260"/>
      <c r="BA288" s="1260"/>
      <c r="BB288" s="1260"/>
      <c r="BC288" s="1260"/>
      <c r="BD288" s="1124"/>
      <c r="BE288" s="1124"/>
      <c r="BF288" s="1124"/>
      <c r="BG288" s="1124"/>
      <c r="BH288" s="1124"/>
      <c r="BI288" s="1124"/>
      <c r="BJ288" s="1124"/>
      <c r="BK288" s="1124"/>
      <c r="BL288" s="1124"/>
      <c r="BM288" s="1124"/>
      <c r="BN288" s="6290"/>
      <c r="BO288" s="6294" t="s">
        <v>2452</v>
      </c>
      <c r="BP288" s="6290" t="s">
        <v>2457</v>
      </c>
      <c r="BQ288" s="1297"/>
      <c r="BR288" s="1297"/>
      <c r="BS288" s="1072" t="s">
        <v>1774</v>
      </c>
      <c r="BT288" s="1072"/>
      <c r="BU288" s="1072"/>
      <c r="BV288" s="987"/>
      <c r="BW288" s="987"/>
    </row>
    <row s="1656" customFormat="1" customHeight="1" ht="21.9375">
      <c r="A289" s="1297"/>
      <c r="B289" s="986"/>
      <c r="C289" s="103"/>
      <c r="D289" s="103" cm="1" t="str">
        <f t="array" ref="D289:D289">D288</f>
        <v>7</v>
      </c>
      <c r="E289" s="626">
        <v>22.5</v>
      </c>
      <c r="F289" s="50" cm="1" t="str">
        <f t="array" ref="F289:F289">OFFSET(E289,-1,1)</f>
        <v>1</v>
      </c>
      <c r="G289" s="103" t="s">
        <v>2427</v>
      </c>
      <c r="H289" s="103"/>
      <c r="I289" s="103" t="s">
        <v>2428</v>
      </c>
      <c r="J289" s="103"/>
      <c r="K289" s="154" t="s">
        <v>2428</v>
      </c>
      <c r="L289" s="988" t="s">
        <v>2096</v>
      </c>
      <c r="M289" s="103"/>
      <c r="N289" s="103"/>
      <c r="O289" s="103"/>
      <c r="P289" s="103"/>
      <c r="Q289" s="103"/>
      <c r="R289" s="103"/>
      <c r="S289" s="103"/>
      <c r="T289" s="468" cm="1" t="str">
        <f t="array" ref="T289:T289">T288</f>
        <v>true</v>
      </c>
      <c r="U289" s="103"/>
      <c r="V289" s="103"/>
      <c r="W289" s="103"/>
      <c r="X289" s="1559"/>
      <c r="Y289" s="1297"/>
      <c r="Z289" s="1529"/>
      <c r="AA289" s="1297"/>
      <c r="AB289" s="296" t="str">
        <f>AB287&amp;".2"</f>
        <v>7.5.2</v>
      </c>
      <c r="AC289" s="788" t="s">
        <v>1775</v>
      </c>
      <c r="AD289" s="296" t="s">
        <v>936</v>
      </c>
      <c r="AE289" s="6293">
        <v>0</v>
      </c>
      <c r="AF289" s="6293"/>
      <c r="AG289" s="6293"/>
      <c r="AH289" s="1123">
        <f>AG289-AF289</f>
        <v>0</v>
      </c>
      <c r="AI289" s="6293">
        <v>0</v>
      </c>
      <c r="AJ289" s="6293">
        <f>_xlfn.SUMIFS('Корректировка НВВ'!$AF$25:$AF$231,'Корректировка НВВ'!$F$25:$F$231,$F289,'Корректировка НВВ'!$I$25:$I$231,$G289)</f>
        <v>0</v>
      </c>
      <c r="AK289" s="1260"/>
      <c r="AL289" s="1260"/>
      <c r="AM289" s="1260"/>
      <c r="AN289" s="1260"/>
      <c r="AO289" s="1260"/>
      <c r="AP289" s="1260"/>
      <c r="AQ289" s="1260"/>
      <c r="AR289" s="1260"/>
      <c r="AS289" s="1260"/>
      <c r="AT289" s="6293">
        <f>_xlfn.SUMIFS('Корректировка НВВ'!$AG$25:$AG$231,'Корректировка НВВ'!$F$25:$F$231,$F289,'Корректировка НВВ'!$I$25:$I$231,$G289)</f>
        <v>0</v>
      </c>
      <c r="AU289" s="1260"/>
      <c r="AV289" s="1260"/>
      <c r="AW289" s="1260"/>
      <c r="AX289" s="1260"/>
      <c r="AY289" s="1260"/>
      <c r="AZ289" s="1260"/>
      <c r="BA289" s="1260"/>
      <c r="BB289" s="1260"/>
      <c r="BC289" s="1260"/>
      <c r="BD289" s="1124"/>
      <c r="BE289" s="1124"/>
      <c r="BF289" s="1124"/>
      <c r="BG289" s="1124"/>
      <c r="BH289" s="1124"/>
      <c r="BI289" s="1124"/>
      <c r="BJ289" s="1124"/>
      <c r="BK289" s="1124"/>
      <c r="BL289" s="1124"/>
      <c r="BM289" s="1124"/>
      <c r="BN289" s="6290"/>
      <c r="BO289" s="6294" t="str">
        <f>IF(_xlfn.IFERROR(INDEX('Корректировка НВВ'!$K$26:$L$231,MATCH($F289&amp;"8komm",'Корректировка НВВ'!$K$26:$K$231,0),2),"")=0,"",_xlfn.IFERROR(INDEX('Корректировка НВВ'!$K$26:$L$231,MATCH($F289&amp;"8komm",'Корректировка НВВ'!$K$26:$K$231,0),2),""))</f>
        <v/>
      </c>
      <c r="BP289" s="6290"/>
      <c r="BQ289" s="1297"/>
      <c r="BR289" s="1297"/>
      <c r="BS289" s="1072" t="s">
        <v>1776</v>
      </c>
      <c r="BT289" s="1072"/>
      <c r="BU289" s="1072"/>
      <c r="BV289" s="987"/>
      <c r="BW289" s="987"/>
    </row>
    <row s="1656" customFormat="1" customHeight="1" ht="14.625">
      <c r="A290" s="1297"/>
      <c r="B290" s="986"/>
      <c r="C290" s="103"/>
      <c r="D290" s="103" cm="1" t="str">
        <f t="array" ref="D290:D290">D289</f>
        <v>7</v>
      </c>
      <c r="E290" s="626">
        <v>15</v>
      </c>
      <c r="F290" s="50" cm="1" t="str">
        <f t="array" ref="F290:F290">OFFSET(E290,-1,1)</f>
        <v>1</v>
      </c>
      <c r="G290" s="103" t="s">
        <v>332</v>
      </c>
      <c r="H290" s="103"/>
      <c r="I290" s="103" t="s">
        <v>2100</v>
      </c>
      <c r="J290" s="103"/>
      <c r="K290" s="154" t="s">
        <v>2100</v>
      </c>
      <c r="L290" s="988" t="s">
        <v>2099</v>
      </c>
      <c r="M290" s="103"/>
      <c r="N290" s="103"/>
      <c r="O290" s="103"/>
      <c r="P290" s="103"/>
      <c r="Q290" s="103"/>
      <c r="R290" s="103"/>
      <c r="S290" s="103"/>
      <c r="T290" s="468" cm="1" t="str">
        <f t="array" ref="T290:T290">T289</f>
        <v>true</v>
      </c>
      <c r="U290" s="103"/>
      <c r="V290" s="103"/>
      <c r="W290" s="103"/>
      <c r="X290" s="1559"/>
      <c r="Y290" s="1297"/>
      <c r="Z290" s="1529"/>
      <c r="AA290" s="1297"/>
      <c r="AB290" s="296" t="str">
        <f>IF(B285,D286&amp;".8",D286&amp;".6")</f>
        <v>7.6</v>
      </c>
      <c r="AC290" s="789" t="s">
        <v>1777</v>
      </c>
      <c r="AD290" s="296" t="s">
        <v>936</v>
      </c>
      <c r="AE290" s="6293">
        <v>0</v>
      </c>
      <c r="AF290" s="6293"/>
      <c r="AG290" s="6293"/>
      <c r="AH290" s="1123">
        <f>AG290-AF290</f>
        <v>0</v>
      </c>
      <c r="AI290" s="6293">
        <v>0</v>
      </c>
      <c r="AJ290" s="6293">
        <f>_xlfn.SUMIFS('Корректировка НВВ'!$AF$25:$AF$231,'Корректировка НВВ'!$F$25:$F$231,$F290,'Корректировка НВВ'!$I$25:$I$231,$G290)</f>
        <v>0</v>
      </c>
      <c r="AK290" s="1260"/>
      <c r="AL290" s="1260"/>
      <c r="AM290" s="1260"/>
      <c r="AN290" s="1260"/>
      <c r="AO290" s="1260"/>
      <c r="AP290" s="1260"/>
      <c r="AQ290" s="1260"/>
      <c r="AR290" s="1260"/>
      <c r="AS290" s="1260"/>
      <c r="AT290" s="6293">
        <f>_xlfn.SUMIFS('Корректировка НВВ'!$AG$25:$AG$231,'Корректировка НВВ'!$F$25:$F$231,$F290,'Корректировка НВВ'!$I$25:$I$231,$G290)</f>
        <v>0</v>
      </c>
      <c r="AU290" s="1260"/>
      <c r="AV290" s="1260"/>
      <c r="AW290" s="1260"/>
      <c r="AX290" s="1260"/>
      <c r="AY290" s="1260"/>
      <c r="AZ290" s="1260"/>
      <c r="BA290" s="1260"/>
      <c r="BB290" s="1260"/>
      <c r="BC290" s="1260"/>
      <c r="BD290" s="1124"/>
      <c r="BE290" s="1124"/>
      <c r="BF290" s="1124"/>
      <c r="BG290" s="1124"/>
      <c r="BH290" s="1124"/>
      <c r="BI290" s="1124"/>
      <c r="BJ290" s="1124"/>
      <c r="BK290" s="1124"/>
      <c r="BL290" s="1124"/>
      <c r="BM290" s="1124"/>
      <c r="BN290" s="6290"/>
      <c r="BO290" s="6294" t="str">
        <f>IF(_xlfn.IFERROR(INDEX('Корректировка НВВ'!$K$26:$L$231,MATCH($F290&amp;"9komm",'Корректировка НВВ'!$K$26:$K$231,0),2),"")=0,"",_xlfn.IFERROR(INDEX('Корректировка НВВ'!$K$26:$L$231,MATCH($F290&amp;"9komm",'Корректировка НВВ'!$K$26:$K$231,0),2),""))</f>
        <v/>
      </c>
      <c r="BP290" s="6290"/>
      <c r="BQ290" s="1297"/>
      <c r="BR290" s="1297"/>
      <c r="BS290" s="1072" t="s">
        <v>2429</v>
      </c>
      <c r="BT290" s="1072"/>
      <c r="BU290" s="1072"/>
      <c r="BV290" s="987"/>
      <c r="BW290" s="987"/>
    </row>
    <row s="1656" customFormat="1" customHeight="1" ht="14.625">
      <c r="A291" s="1297"/>
      <c r="B291" s="986"/>
      <c r="C291" s="103"/>
      <c r="D291" s="103" cm="1" t="str">
        <f t="array" ref="D291:D291">D290</f>
        <v>7</v>
      </c>
      <c r="E291" s="626">
        <v>15</v>
      </c>
      <c r="F291" s="50" cm="1" t="str">
        <f t="array" ref="F291:F291">OFFSET(E291,-1,1)</f>
        <v>1</v>
      </c>
      <c r="G291" s="103" t="s">
        <v>2430</v>
      </c>
      <c r="H291" s="103"/>
      <c r="I291" s="103" t="s">
        <v>2101</v>
      </c>
      <c r="J291" s="103"/>
      <c r="K291" s="154" t="s">
        <v>2101</v>
      </c>
      <c r="L291" s="988" t="s">
        <v>2100</v>
      </c>
      <c r="M291" s="103"/>
      <c r="N291" s="103"/>
      <c r="O291" s="103"/>
      <c r="P291" s="103"/>
      <c r="Q291" s="103"/>
      <c r="R291" s="103"/>
      <c r="S291" s="103"/>
      <c r="T291" s="468" cm="1" t="str">
        <f t="array" ref="T291:T291">T290</f>
        <v>true</v>
      </c>
      <c r="U291" s="103"/>
      <c r="V291" s="103"/>
      <c r="W291" s="103"/>
      <c r="X291" s="1559"/>
      <c r="Y291" s="1297"/>
      <c r="Z291" s="1529"/>
      <c r="AA291" s="1297"/>
      <c r="AB291" s="296" t="str">
        <f>IF(B285,D286&amp;".9",D286&amp;".7")</f>
        <v>7.7</v>
      </c>
      <c r="AC291" s="789" t="s">
        <v>1779</v>
      </c>
      <c r="AD291" s="296" t="s">
        <v>936</v>
      </c>
      <c r="AE291" s="6293">
        <v>0</v>
      </c>
      <c r="AF291" s="6293"/>
      <c r="AG291" s="6293"/>
      <c r="AH291" s="1123">
        <f>AG291-AF291</f>
        <v>0</v>
      </c>
      <c r="AI291" s="6293">
        <v>0</v>
      </c>
      <c r="AJ291" s="6293">
        <f>_xlfn.SUMIFS('Корректировка НВВ'!$AF$25:$AF$231,'Корректировка НВВ'!$F$25:$F$231,$F291,'Корректировка НВВ'!$I$25:$I$231,$G291)</f>
        <v>0</v>
      </c>
      <c r="AK291" s="1260"/>
      <c r="AL291" s="1260"/>
      <c r="AM291" s="1260"/>
      <c r="AN291" s="1260"/>
      <c r="AO291" s="1260"/>
      <c r="AP291" s="1260"/>
      <c r="AQ291" s="1260"/>
      <c r="AR291" s="1260"/>
      <c r="AS291" s="1260"/>
      <c r="AT291" s="6293">
        <f>_xlfn.SUMIFS('Корректировка НВВ'!$AG$25:$AG$231,'Корректировка НВВ'!$F$25:$F$231,$F291,'Корректировка НВВ'!$I$25:$I$231,$G291)</f>
        <v>0</v>
      </c>
      <c r="AU291" s="1260"/>
      <c r="AV291" s="1260"/>
      <c r="AW291" s="1260"/>
      <c r="AX291" s="1260"/>
      <c r="AY291" s="1260"/>
      <c r="AZ291" s="1260"/>
      <c r="BA291" s="1260"/>
      <c r="BB291" s="1260"/>
      <c r="BC291" s="1260"/>
      <c r="BD291" s="1124"/>
      <c r="BE291" s="1124"/>
      <c r="BF291" s="1124"/>
      <c r="BG291" s="1124"/>
      <c r="BH291" s="1124"/>
      <c r="BI291" s="1124"/>
      <c r="BJ291" s="1124"/>
      <c r="BK291" s="1124"/>
      <c r="BL291" s="1124"/>
      <c r="BM291" s="1124"/>
      <c r="BN291" s="6290"/>
      <c r="BO291" s="6294" t="str">
        <f>IF(_xlfn.IFERROR(INDEX('Корректировка НВВ'!$K$26:$L$231,MATCH($F291&amp;"10komm",'Корректировка НВВ'!$K$26:$K$231,0),2),"")=0,"",_xlfn.IFERROR(INDEX('Корректировка НВВ'!$K$26:$L$231,MATCH($F291&amp;"10komm",'Корректировка НВВ'!$K$26:$K$231,0),2),""))</f>
        <v/>
      </c>
      <c r="BP291" s="6290"/>
      <c r="BQ291" s="1297"/>
      <c r="BR291" s="1297"/>
      <c r="BS291" s="1072" t="s">
        <v>1780</v>
      </c>
      <c r="BT291" s="1072"/>
      <c r="BU291" s="1072"/>
      <c r="BV291" s="987"/>
      <c r="BW291" s="987"/>
    </row>
    <row s="6352" customFormat="1" customHeight="1" ht="33.75">
      <c r="A292" s="706"/>
      <c r="B292" s="437"/>
      <c r="C292" s="105"/>
      <c r="D292" s="105">
        <f>D291+1</f>
        <v>8</v>
      </c>
      <c r="E292" s="833">
        <v>21</v>
      </c>
      <c r="F292" s="50" cm="1" t="str">
        <f t="array" ref="F292:F292">OFFSET(E292,-1,1)</f>
        <v>1</v>
      </c>
      <c r="G292" s="105"/>
      <c r="H292" s="105"/>
      <c r="I292" s="105" t="s">
        <v>707</v>
      </c>
      <c r="J292" s="105"/>
      <c r="K292" s="158" t="s">
        <v>707</v>
      </c>
      <c r="L292" s="993"/>
      <c r="M292" s="105"/>
      <c r="N292" s="105"/>
      <c r="O292" s="105"/>
      <c r="P292" s="105"/>
      <c r="Q292" s="105"/>
      <c r="R292" s="105"/>
      <c r="S292" s="105"/>
      <c r="T292" s="468" cm="1" t="str">
        <f t="array" ref="T292:T292">T291</f>
        <v>true</v>
      </c>
      <c r="U292" s="105"/>
      <c r="V292" s="105"/>
      <c r="W292" s="105"/>
      <c r="X292" s="1559"/>
      <c r="Y292" s="706"/>
      <c r="Z292" s="1529"/>
      <c r="AA292" s="706"/>
      <c r="AB292" s="207" cm="1" t="str">
        <f t="array" ref="AB292:AB292">D292</f>
        <v>8</v>
      </c>
      <c r="AC292" s="208" t="s">
        <v>2431</v>
      </c>
      <c r="AD292" s="207" t="s">
        <v>936</v>
      </c>
      <c r="AE292" s="6350">
        <v>-59493.595</v>
      </c>
      <c r="AF292" s="6350"/>
      <c r="AG292" s="6350"/>
      <c r="AH292" s="785">
        <f>AG292-AF292</f>
        <v>0</v>
      </c>
      <c r="AI292" s="6350">
        <v>-75616.7962891397</v>
      </c>
      <c r="AJ292" s="6350"/>
      <c r="AK292" s="1256"/>
      <c r="AL292" s="1256"/>
      <c r="AM292" s="1256"/>
      <c r="AN292" s="1256"/>
      <c r="AO292" s="1256"/>
      <c r="AP292" s="1256"/>
      <c r="AQ292" s="1256"/>
      <c r="AR292" s="1256"/>
      <c r="AS292" s="1256"/>
      <c r="AT292" s="6350"/>
      <c r="AU292" s="1256"/>
      <c r="AV292" s="1256"/>
      <c r="AW292" s="1256"/>
      <c r="AX292" s="1256"/>
      <c r="AY292" s="1256"/>
      <c r="AZ292" s="1256"/>
      <c r="BA292" s="1256"/>
      <c r="BB292" s="1256"/>
      <c r="BC292" s="1256"/>
      <c r="BD292" s="212"/>
      <c r="BE292" s="212"/>
      <c r="BF292" s="212"/>
      <c r="BG292" s="212"/>
      <c r="BH292" s="212"/>
      <c r="BI292" s="212"/>
      <c r="BJ292" s="212"/>
      <c r="BK292" s="212"/>
      <c r="BL292" s="212"/>
      <c r="BM292" s="212"/>
      <c r="BN292" s="6292"/>
      <c r="BO292" s="6292" t="s">
        <v>2458</v>
      </c>
      <c r="BP292" s="6292" t="s">
        <v>2459</v>
      </c>
      <c r="BQ292" s="706"/>
      <c r="BR292" s="706"/>
      <c r="BS292" s="1078" t="s">
        <v>2432</v>
      </c>
      <c r="BT292" s="1078"/>
      <c r="BU292" s="1078"/>
      <c r="BV292" s="713"/>
      <c r="BW292" s="713"/>
    </row>
    <row s="1656" customFormat="1" customHeight="1" ht="14.25">
      <c r="A293" s="1297"/>
      <c r="B293" s="986"/>
      <c r="C293" s="103"/>
      <c r="D293" s="105" cm="1" t="str">
        <f t="array" ref="D293:D293">D292</f>
        <v>8</v>
      </c>
      <c r="E293" s="626">
        <v>15</v>
      </c>
      <c r="F293" s="50" cm="1" t="str">
        <f t="array" ref="F293:F293">OFFSET(E293,-1,1)</f>
        <v>1</v>
      </c>
      <c r="G293" s="103"/>
      <c r="H293" s="103"/>
      <c r="I293" s="103" t="s">
        <v>710</v>
      </c>
      <c r="J293" s="103"/>
      <c r="K293" s="154" t="s">
        <v>710</v>
      </c>
      <c r="L293" s="988"/>
      <c r="M293" s="103"/>
      <c r="N293" s="103"/>
      <c r="O293" s="103"/>
      <c r="P293" s="103"/>
      <c r="Q293" s="103"/>
      <c r="R293" s="103"/>
      <c r="S293" s="103"/>
      <c r="T293" s="468" cm="1" t="str">
        <f t="array" ref="T293:T293">T292</f>
        <v>true</v>
      </c>
      <c r="U293" s="103"/>
      <c r="V293" s="103"/>
      <c r="W293" s="103"/>
      <c r="X293" s="1559"/>
      <c r="Y293" s="1297"/>
      <c r="Z293" s="1529"/>
      <c r="AA293" s="1297"/>
      <c r="AB293" s="296" t="str">
        <f>D293&amp;".1"</f>
        <v>8.1</v>
      </c>
      <c r="AC293" s="769" t="s">
        <v>2433</v>
      </c>
      <c r="AD293" s="296" t="s">
        <v>561</v>
      </c>
      <c r="AE293" s="1123">
        <f>IF(AE294=0,0,AE292/(AE294+AE279)*100)</f>
        <v>-14.1740741793123</v>
      </c>
      <c r="AF293" s="1123">
        <f>IF(AF294=0,0,AF292/(AF294+AF279)*100)</f>
        <v>0</v>
      </c>
      <c r="AG293" s="1123">
        <f>IF(AG294=0,0,AG292/(AG294+AG279)*100)</f>
        <v>0</v>
      </c>
      <c r="AH293" s="1123">
        <f>AG293-AF293</f>
        <v>0</v>
      </c>
      <c r="AI293" s="1123">
        <f>IF(AI294=0,0,AI292/(AI294+AI279)*100)</f>
        <v>-24.3380738905226</v>
      </c>
      <c r="AJ293" s="1123">
        <f>IF(AJ294=0,0,AJ292/(AJ294+AJ279)*100)</f>
        <v>0</v>
      </c>
      <c r="AK293" s="1123">
        <f>IF(AK294=0,0,AK292/(AK294+AK279)*100)</f>
        <v>0</v>
      </c>
      <c r="AL293" s="1123">
        <f>IF(AL294=0,0,AL292/(AL294+AL279)*100)</f>
        <v>0</v>
      </c>
      <c r="AM293" s="1123">
        <f>IF(AM294=0,0,AM292/(AM294+AM279)*100)</f>
        <v>0</v>
      </c>
      <c r="AN293" s="1123">
        <f>IF(AN294=0,0,AN292/(AN294+AN279)*100)</f>
        <v>0</v>
      </c>
      <c r="AO293" s="1123">
        <f>IF(AO294=0,0,AO292/(AO294+AO279)*100)</f>
        <v>0</v>
      </c>
      <c r="AP293" s="1123">
        <f>IF(AP294=0,0,AP292/(AP294+AP279)*100)</f>
        <v>0</v>
      </c>
      <c r="AQ293" s="1123">
        <f>IF(AQ294=0,0,AQ292/(AQ294+AQ279)*100)</f>
        <v>0</v>
      </c>
      <c r="AR293" s="1123">
        <f>IF(AR294=0,0,AR292/(AR294+AR279)*100)</f>
        <v>0</v>
      </c>
      <c r="AS293" s="1123">
        <f>IF(AS294=0,0,AS292/(AS294+AS279)*100)</f>
        <v>0</v>
      </c>
      <c r="AT293" s="1123">
        <f>IF(AT294=0,0,AT292/(AT294+AT279)*100)</f>
        <v>0</v>
      </c>
      <c r="AU293" s="1123">
        <f>IF(AU294=0,0,AU292/(AU294+AU279)*100)</f>
        <v>0</v>
      </c>
      <c r="AV293" s="1123">
        <f>IF(AV294=0,0,AV292/(AV294+AV279)*100)</f>
        <v>0</v>
      </c>
      <c r="AW293" s="1123">
        <f>IF(AW294=0,0,AW292/(AW294+AW279)*100)</f>
        <v>0</v>
      </c>
      <c r="AX293" s="1123">
        <f>IF(AX294=0,0,AX292/(AX294+AX279)*100)</f>
        <v>0</v>
      </c>
      <c r="AY293" s="1123">
        <f>IF(AY294=0,0,AY292/(AY294+AY279)*100)</f>
        <v>0</v>
      </c>
      <c r="AZ293" s="1123">
        <f>IF(AZ294=0,0,AZ292/(AZ294+AZ279)*100)</f>
        <v>0</v>
      </c>
      <c r="BA293" s="1123">
        <f>IF(BA294=0,0,BA292/(BA294+BA279)*100)</f>
        <v>0</v>
      </c>
      <c r="BB293" s="1123">
        <f>IF(BB294=0,0,BB292/(BB294+BB279)*100)</f>
        <v>0</v>
      </c>
      <c r="BC293" s="1123">
        <f>IF(BC294=0,0,BC292/(BC294+BC279)*100)</f>
        <v>0</v>
      </c>
      <c r="BD293" s="1124"/>
      <c r="BE293" s="1124"/>
      <c r="BF293" s="1124"/>
      <c r="BG293" s="1124"/>
      <c r="BH293" s="1124"/>
      <c r="BI293" s="1124"/>
      <c r="BJ293" s="1124"/>
      <c r="BK293" s="1124"/>
      <c r="BL293" s="1124"/>
      <c r="BM293" s="1124"/>
      <c r="BN293" s="6290"/>
      <c r="BO293" s="6290"/>
      <c r="BP293" s="6290"/>
      <c r="BQ293" s="1297"/>
      <c r="BR293" s="1297"/>
      <c r="BS293" s="1072" t="s">
        <v>2434</v>
      </c>
      <c r="BT293" s="1072"/>
      <c r="BU293" s="1072"/>
      <c r="BV293" s="987"/>
      <c r="BW293" s="987"/>
    </row>
    <row s="6353" customFormat="1" customHeight="1" ht="20.25">
      <c r="A294" s="706"/>
      <c r="B294" s="437"/>
      <c r="C294" s="105"/>
      <c r="D294" s="105">
        <f>D293+1</f>
        <v>9</v>
      </c>
      <c r="E294" s="833">
        <v>21</v>
      </c>
      <c r="F294" s="50" cm="1" t="str">
        <f t="array" ref="F294:F294">OFFSET(E294,-1,1)</f>
        <v>1</v>
      </c>
      <c r="G294" s="105"/>
      <c r="H294" s="103"/>
      <c r="I294" s="103" t="s">
        <v>864</v>
      </c>
      <c r="J294" s="105"/>
      <c r="K294" s="154" t="s">
        <v>864</v>
      </c>
      <c r="L294" s="993" t="s">
        <v>2101</v>
      </c>
      <c r="M294" s="105"/>
      <c r="N294" s="105"/>
      <c r="O294" s="105"/>
      <c r="P294" s="105"/>
      <c r="Q294" s="105"/>
      <c r="R294" s="105"/>
      <c r="S294" s="105"/>
      <c r="T294" s="468" cm="1" t="str">
        <f t="array" ref="T294:T294">T293</f>
        <v>true</v>
      </c>
      <c r="U294" s="105"/>
      <c r="V294" s="105"/>
      <c r="W294" s="105"/>
      <c r="X294" s="1559"/>
      <c r="Y294" s="706"/>
      <c r="Z294" s="1529"/>
      <c r="AA294" s="706"/>
      <c r="AB294" s="207" cm="1" t="str">
        <f t="array" ref="AB294:AB294">D294</f>
        <v>9</v>
      </c>
      <c r="AC294" s="208" t="s">
        <v>2102</v>
      </c>
      <c r="AD294" s="230" t="s">
        <v>936</v>
      </c>
      <c r="AE294" s="209">
        <f>AE172+AE222+AE258+AE259+AE261+AE266+AE267+AE270</f>
        <v>405436.355671154</v>
      </c>
      <c r="AF294" s="209">
        <f>AF172+AF222+AF258+AF259+AF261+AF266+AF267+AF270</f>
        <v>253960.92026</v>
      </c>
      <c r="AG294" s="209">
        <f>AG172+AG222+AG258+AG259+AG261+AG266+AG267+AG270</f>
        <v>232484.68586</v>
      </c>
      <c r="AH294" s="785">
        <f>AG294-AF294</f>
        <v>-21476.2344</v>
      </c>
      <c r="AI294" s="209">
        <f>AI172+AI222+AI258+AI259+AI261+AI266+AI267+AI270</f>
        <v>293438.6452008</v>
      </c>
      <c r="AJ294" s="209">
        <f>AJ172+AJ222+AJ258+AJ259+AJ261+AJ266+AJ267+AJ270</f>
        <v>240042.34</v>
      </c>
      <c r="AK294" s="209">
        <f>AK172+AK222+AK258+AK259+AK261+AK266+AK267+AK270</f>
        <v>0</v>
      </c>
      <c r="AL294" s="209">
        <f>AL172+AL222+AL258+AL259+AL261+AL266+AL267+AL270</f>
        <v>0</v>
      </c>
      <c r="AM294" s="209">
        <f>AM172+AM222+AM258+AM259+AM261+AM266+AM267+AM270</f>
        <v>0</v>
      </c>
      <c r="AN294" s="209">
        <f>AN172+AN222+AN258+AN259+AN261+AN266+AN267+AN270</f>
        <v>0</v>
      </c>
      <c r="AO294" s="209">
        <f>AO172+AO222+AO258+AO259+AO261+AO266+AO267+AO270</f>
        <v>0</v>
      </c>
      <c r="AP294" s="209">
        <f>AP172+AP222+AP258+AP259+AP261+AP266+AP267+AP270</f>
        <v>0</v>
      </c>
      <c r="AQ294" s="209">
        <f>AQ172+AQ222+AQ258+AQ259+AQ261+AQ266+AQ267+AQ270</f>
        <v>0</v>
      </c>
      <c r="AR294" s="209">
        <f>AR172+AR222+AR258+AR259+AR261+AR266+AR267+AR270</f>
        <v>0</v>
      </c>
      <c r="AS294" s="209">
        <f>AS172+AS222+AS258+AS259+AS261+AS266+AS267+AS270</f>
        <v>0</v>
      </c>
      <c r="AT294" s="209">
        <f>AT172+AT222+AT258+AT259+AT261+AT266+AT267+AT270</f>
        <v>270367.49725</v>
      </c>
      <c r="AU294" s="209">
        <f>AU172+AU222+AU258+AU259+AU261+AU266+AU267+AU270</f>
        <v>0</v>
      </c>
      <c r="AV294" s="209">
        <f>AV172+AV222+AV258+AV259+AV261+AV266+AV267+AV270</f>
        <v>0</v>
      </c>
      <c r="AW294" s="209">
        <f>AW172+AW222+AW258+AW259+AW261+AW266+AW267+AW270</f>
        <v>0</v>
      </c>
      <c r="AX294" s="209">
        <f>AX172+AX222+AX258+AX259+AX261+AX266+AX267+AX270</f>
        <v>0</v>
      </c>
      <c r="AY294" s="209">
        <f>AY172+AY222+AY258+AY259+AY261+AY266+AY267+AY270</f>
        <v>0</v>
      </c>
      <c r="AZ294" s="209">
        <f>AZ172+AZ222+AZ258+AZ259+AZ261+AZ266+AZ267+AZ270</f>
        <v>0</v>
      </c>
      <c r="BA294" s="209">
        <f>BA172+BA222+BA258+BA259+BA261+BA266+BA267+BA270</f>
        <v>0</v>
      </c>
      <c r="BB294" s="209">
        <f>BB172+BB222+BB258+BB259+BB261+BB266+BB267+BB270</f>
        <v>0</v>
      </c>
      <c r="BC294" s="209">
        <f>BC172+BC222+BC258+BC259+BC261+BC266+BC267+BC270</f>
        <v>0</v>
      </c>
      <c r="BD294" s="785">
        <f>IF(AI294=0,0,(AT294-AI294)/AI294*100)</f>
        <v>-7.86234135419088</v>
      </c>
      <c r="BE294" s="785">
        <f>IF(AT294=0,0,(AU294-AT294)/AT294*100)</f>
        <v>-100</v>
      </c>
      <c r="BF294" s="785">
        <f>IF(AU294=0,0,(AV294-AU294)/AU294*100)</f>
        <v>0</v>
      </c>
      <c r="BG294" s="785">
        <f>IF(AV294=0,0,(AW294-AV294)/AV294*100)</f>
        <v>0</v>
      </c>
      <c r="BH294" s="785">
        <f>IF(AW294=0,0,(AX294-AW294)/AW294*100)</f>
        <v>0</v>
      </c>
      <c r="BI294" s="785">
        <f>IF(AX294=0,0,(AY294-AX294)/AX294*100)</f>
        <v>0</v>
      </c>
      <c r="BJ294" s="785">
        <f>IF(AY294=0,0,(AZ294-AY294)/AY294*100)</f>
        <v>0</v>
      </c>
      <c r="BK294" s="785">
        <f>IF(AZ294=0,0,(BA294-AZ294)/AZ294*100)</f>
        <v>0</v>
      </c>
      <c r="BL294" s="785">
        <f>IF(BA294=0,0,(BB294-BA294)/BA294*100)</f>
        <v>0</v>
      </c>
      <c r="BM294" s="785">
        <f>IF(BB294=0,0,(BC294-BB294)/BB294*100)</f>
        <v>0</v>
      </c>
      <c r="BN294" s="6290"/>
      <c r="BO294" s="6290"/>
      <c r="BP294" s="6290"/>
      <c r="BQ294" s="706"/>
      <c r="BR294" s="706"/>
      <c r="BS294" s="1078" t="s">
        <v>2103</v>
      </c>
      <c r="BT294" s="1078"/>
      <c r="BU294" s="1078"/>
      <c r="BV294" s="713"/>
      <c r="BW294" s="713"/>
    </row>
    <row s="6354" customFormat="1" customHeight="1" ht="20.25">
      <c r="A295" s="706"/>
      <c r="B295" s="437"/>
      <c r="C295" s="105"/>
      <c r="D295" s="105">
        <f>D294+1</f>
        <v>10</v>
      </c>
      <c r="E295" s="833">
        <v>21</v>
      </c>
      <c r="F295" s="50" cm="1" t="str">
        <f t="array" ref="F295:F295">OFFSET(E295,-1,1)</f>
        <v>1</v>
      </c>
      <c r="G295" s="105"/>
      <c r="H295" s="103"/>
      <c r="I295" s="103" t="s">
        <v>2112</v>
      </c>
      <c r="J295" s="105"/>
      <c r="K295" s="154" t="s">
        <v>2112</v>
      </c>
      <c r="L295" s="993"/>
      <c r="M295" s="105"/>
      <c r="N295" s="105"/>
      <c r="O295" s="105"/>
      <c r="P295" s="105"/>
      <c r="Q295" s="105"/>
      <c r="R295" s="105"/>
      <c r="S295" s="105"/>
      <c r="T295" s="468" cm="1" t="str">
        <f t="array" ref="T295:T295">T294</f>
        <v>true</v>
      </c>
      <c r="U295" s="105"/>
      <c r="V295" s="105"/>
      <c r="W295" s="105"/>
      <c r="X295" s="1559"/>
      <c r="Y295" s="706"/>
      <c r="Z295" s="1529"/>
      <c r="AA295" s="706"/>
      <c r="AB295" s="207" cm="1" t="str">
        <f t="array" ref="AB295:AB295">D295</f>
        <v>10</v>
      </c>
      <c r="AC295" s="208" t="s">
        <v>2435</v>
      </c>
      <c r="AD295" s="207" t="s">
        <v>936</v>
      </c>
      <c r="AE295" s="209">
        <f>AE294+AE279+AE292</f>
        <v>360241.720671154</v>
      </c>
      <c r="AF295" s="209">
        <f>AF294+AF279+AF292</f>
        <v>253960.92026</v>
      </c>
      <c r="AG295" s="209">
        <f>AG294+AG279+AG292</f>
        <v>232484.68586</v>
      </c>
      <c r="AH295" s="209">
        <f>AH294+AH279+AH292</f>
        <v>-21476.2344</v>
      </c>
      <c r="AI295" s="209">
        <f>AI294+AI279+AI292</f>
        <v>235076.63257166</v>
      </c>
      <c r="AJ295" s="209">
        <f>AJ294+AJ279+AJ292</f>
        <v>299202.11442</v>
      </c>
      <c r="AK295" s="209">
        <f>AK294+AK279+AK292</f>
        <v>0</v>
      </c>
      <c r="AL295" s="209">
        <f>AL294+AL279+AL292</f>
        <v>0</v>
      </c>
      <c r="AM295" s="209">
        <f>AM294+AM279+AM292</f>
        <v>0</v>
      </c>
      <c r="AN295" s="209">
        <f>AN294+AN279+AN292</f>
        <v>0</v>
      </c>
      <c r="AO295" s="209">
        <f>AO294+AO279+AO292</f>
        <v>0</v>
      </c>
      <c r="AP295" s="209">
        <f>AP294+AP279+AP292</f>
        <v>0</v>
      </c>
      <c r="AQ295" s="209">
        <f>AQ294+AQ279+AQ292</f>
        <v>0</v>
      </c>
      <c r="AR295" s="209">
        <f>AR294+AR279+AR292</f>
        <v>0</v>
      </c>
      <c r="AS295" s="209">
        <f>AS294+AS279+AS292</f>
        <v>0</v>
      </c>
      <c r="AT295" s="209">
        <f>AT294+AT279+AT292</f>
        <v>299222.69727</v>
      </c>
      <c r="AU295" s="209">
        <f>AU294+AU279+AU292</f>
        <v>0</v>
      </c>
      <c r="AV295" s="209">
        <f>AV294+AV279+AV292</f>
        <v>0</v>
      </c>
      <c r="AW295" s="209">
        <f>AW294+AW279+AW292</f>
        <v>0</v>
      </c>
      <c r="AX295" s="209">
        <f>AX294+AX279+AX292</f>
        <v>0</v>
      </c>
      <c r="AY295" s="209">
        <f>AY294+AY279+AY292</f>
        <v>0</v>
      </c>
      <c r="AZ295" s="209">
        <f>AZ294+AZ279+AZ292</f>
        <v>0</v>
      </c>
      <c r="BA295" s="209">
        <f>BA294+BA279+BA292</f>
        <v>0</v>
      </c>
      <c r="BB295" s="209">
        <f>BB294+BB279+BB292</f>
        <v>0</v>
      </c>
      <c r="BC295" s="209">
        <f>BC294+BC279+BC292</f>
        <v>0</v>
      </c>
      <c r="BD295" s="785">
        <f>IF(AI295=0,0,(AT295-AI295)/AI295*100)</f>
        <v>27.2872994634147</v>
      </c>
      <c r="BE295" s="785">
        <f>IF(AT295=0,0,(AU295-AT295)/AT295*100)</f>
        <v>-100</v>
      </c>
      <c r="BF295" s="785">
        <f>IF(AU295=0,0,(AV295-AU295)/AU295*100)</f>
        <v>0</v>
      </c>
      <c r="BG295" s="785">
        <f>IF(AV295=0,0,(AW295-AV295)/AV295*100)</f>
        <v>0</v>
      </c>
      <c r="BH295" s="785">
        <f>IF(AW295=0,0,(AX295-AW295)/AW295*100)</f>
        <v>0</v>
      </c>
      <c r="BI295" s="785">
        <f>IF(AX295=0,0,(AY295-AX295)/AX295*100)</f>
        <v>0</v>
      </c>
      <c r="BJ295" s="785">
        <f>IF(AY295=0,0,(AZ295-AY295)/AY295*100)</f>
        <v>0</v>
      </c>
      <c r="BK295" s="785">
        <f>IF(AZ295=0,0,(BA295-AZ295)/AZ295*100)</f>
        <v>0</v>
      </c>
      <c r="BL295" s="785">
        <f>IF(BA295=0,0,(BB295-BA295)/BA295*100)</f>
        <v>0</v>
      </c>
      <c r="BM295" s="785">
        <f>IF(BB295=0,0,(BC295-BB295)/BB295*100)</f>
        <v>0</v>
      </c>
      <c r="BN295" s="6290"/>
      <c r="BO295" s="6290"/>
      <c r="BP295" s="6290"/>
      <c r="BQ295" s="706"/>
      <c r="BR295" s="706"/>
      <c r="BS295" s="1078" t="s">
        <v>2436</v>
      </c>
      <c r="BT295" s="1078"/>
      <c r="BU295" s="1078"/>
      <c r="BV295" s="713"/>
      <c r="BW295" s="713"/>
    </row>
    <row s="1656" customFormat="1" customHeight="1" ht="14.25" hidden="1">
      <c r="A296" s="1297"/>
      <c r="B296" s="447">
        <f>A171="двухставочный"</f>
        <v>0</v>
      </c>
      <c r="C296" s="103"/>
      <c r="D296" s="103" cm="1" t="str">
        <f t="array" ref="D296:D296">D295</f>
        <v>10</v>
      </c>
      <c r="E296" s="626">
        <v>15</v>
      </c>
      <c r="F296" s="50" cm="1" t="str">
        <f t="array" ref="F296:F296">OFFSET(E296,-1,1)</f>
        <v>1</v>
      </c>
      <c r="G296" s="103"/>
      <c r="H296" s="855"/>
      <c r="I296" s="855" t="s">
        <v>2115</v>
      </c>
      <c r="J296" s="103"/>
      <c r="K296" s="375" t="s">
        <v>2115</v>
      </c>
      <c r="L296" s="988" t="s">
        <v>2104</v>
      </c>
      <c r="M296" s="103"/>
      <c r="N296" s="103"/>
      <c r="O296" s="103"/>
      <c r="P296" s="103"/>
      <c r="Q296" s="103"/>
      <c r="R296" s="103"/>
      <c r="S296" s="103"/>
      <c r="T296" s="468" cm="1" t="str">
        <f t="array" ref="T296:T296">T295</f>
        <v>true</v>
      </c>
      <c r="U296" s="103"/>
      <c r="V296" s="103"/>
      <c r="W296" s="103"/>
      <c r="X296" s="1559"/>
      <c r="Y296" s="1297"/>
      <c r="Z296" s="1529"/>
      <c r="AA296" s="1297"/>
      <c r="AB296" s="296" t="str">
        <f>D296&amp;".1"</f>
        <v>10.1</v>
      </c>
      <c r="AC296" s="1121" t="s">
        <v>2106</v>
      </c>
      <c r="AD296" s="296" t="s">
        <v>936</v>
      </c>
      <c r="AE296" s="1260"/>
      <c r="AF296" s="1260"/>
      <c r="AG296" s="1260"/>
      <c r="AH296" s="1123">
        <f>AG296-AF296</f>
        <v>0</v>
      </c>
      <c r="AI296" s="1260"/>
      <c r="AJ296" s="1260"/>
      <c r="AK296" s="1260"/>
      <c r="AL296" s="1260"/>
      <c r="AM296" s="1260"/>
      <c r="AN296" s="1260"/>
      <c r="AO296" s="1260"/>
      <c r="AP296" s="1260"/>
      <c r="AQ296" s="1260"/>
      <c r="AR296" s="1260"/>
      <c r="AS296" s="1260"/>
      <c r="AT296" s="1260"/>
      <c r="AU296" s="1260"/>
      <c r="AV296" s="1260"/>
      <c r="AW296" s="1260"/>
      <c r="AX296" s="1260"/>
      <c r="AY296" s="1260"/>
      <c r="AZ296" s="1260"/>
      <c r="BA296" s="1260"/>
      <c r="BB296" s="1260"/>
      <c r="BC296" s="1260"/>
      <c r="BD296" s="1124"/>
      <c r="BE296" s="1124"/>
      <c r="BF296" s="1124"/>
      <c r="BG296" s="1124"/>
      <c r="BH296" s="1124"/>
      <c r="BI296" s="1124"/>
      <c r="BJ296" s="1124"/>
      <c r="BK296" s="1124"/>
      <c r="BL296" s="1124"/>
      <c r="BM296" s="1124"/>
      <c r="BN296" s="1257"/>
      <c r="BO296" s="1257"/>
      <c r="BP296" s="1257"/>
      <c r="BQ296" s="1297"/>
      <c r="BR296" s="1297"/>
      <c r="BS296" s="1070" t="s">
        <v>2107</v>
      </c>
      <c r="BT296" s="1072"/>
      <c r="BU296" s="1072"/>
      <c r="BV296" s="987"/>
      <c r="BW296" s="987"/>
    </row>
    <row s="1656" customFormat="1" customHeight="1" ht="14.25" hidden="1">
      <c r="A297" s="1297"/>
      <c r="B297" s="447">
        <f>A171="двухставочный"</f>
        <v>0</v>
      </c>
      <c r="C297" s="103"/>
      <c r="D297" s="103" cm="1" t="str">
        <f t="array" ref="D297:D297">D296</f>
        <v>10</v>
      </c>
      <c r="E297" s="626">
        <v>15</v>
      </c>
      <c r="F297" s="50" cm="1" t="str">
        <f t="array" ref="F297:F297">OFFSET(E297,-1,1)</f>
        <v>1</v>
      </c>
      <c r="G297" s="103"/>
      <c r="H297" s="855"/>
      <c r="I297" s="855" t="s">
        <v>2119</v>
      </c>
      <c r="J297" s="103"/>
      <c r="K297" s="375" t="s">
        <v>2119</v>
      </c>
      <c r="L297" s="988" t="s">
        <v>2108</v>
      </c>
      <c r="M297" s="103"/>
      <c r="N297" s="103"/>
      <c r="O297" s="103"/>
      <c r="P297" s="103"/>
      <c r="Q297" s="103"/>
      <c r="R297" s="103"/>
      <c r="S297" s="103"/>
      <c r="T297" s="468" cm="1" t="str">
        <f t="array" ref="T297:T297">T296</f>
        <v>true</v>
      </c>
      <c r="U297" s="103"/>
      <c r="V297" s="103"/>
      <c r="W297" s="103"/>
      <c r="X297" s="1559"/>
      <c r="Y297" s="1297"/>
      <c r="Z297" s="1529"/>
      <c r="AA297" s="1297"/>
      <c r="AB297" s="296" t="str">
        <f>D297&amp;".2"</f>
        <v>10.2</v>
      </c>
      <c r="AC297" s="1121" t="s">
        <v>2110</v>
      </c>
      <c r="AD297" s="296" t="s">
        <v>936</v>
      </c>
      <c r="AE297" s="1260"/>
      <c r="AF297" s="1260"/>
      <c r="AG297" s="1260"/>
      <c r="AH297" s="1123">
        <f>AG297-AF297</f>
        <v>0</v>
      </c>
      <c r="AI297" s="1260"/>
      <c r="AJ297" s="1260"/>
      <c r="AK297" s="1260"/>
      <c r="AL297" s="1260"/>
      <c r="AM297" s="1260"/>
      <c r="AN297" s="1260"/>
      <c r="AO297" s="1260"/>
      <c r="AP297" s="1260"/>
      <c r="AQ297" s="1260"/>
      <c r="AR297" s="1260"/>
      <c r="AS297" s="1260"/>
      <c r="AT297" s="1260"/>
      <c r="AU297" s="1260"/>
      <c r="AV297" s="1260"/>
      <c r="AW297" s="1260"/>
      <c r="AX297" s="1260"/>
      <c r="AY297" s="1260"/>
      <c r="AZ297" s="1260"/>
      <c r="BA297" s="1260"/>
      <c r="BB297" s="1260"/>
      <c r="BC297" s="1260"/>
      <c r="BD297" s="1124"/>
      <c r="BE297" s="1124"/>
      <c r="BF297" s="1124"/>
      <c r="BG297" s="1124"/>
      <c r="BH297" s="1124"/>
      <c r="BI297" s="1124"/>
      <c r="BJ297" s="1124"/>
      <c r="BK297" s="1124"/>
      <c r="BL297" s="1124"/>
      <c r="BM297" s="1124"/>
      <c r="BN297" s="1257"/>
      <c r="BO297" s="1257"/>
      <c r="BP297" s="1257"/>
      <c r="BQ297" s="1297"/>
      <c r="BR297" s="1297"/>
      <c r="BS297" s="1070" t="s">
        <v>2111</v>
      </c>
      <c r="BT297" s="1072"/>
      <c r="BU297" s="1072"/>
      <c r="BV297" s="987"/>
      <c r="BW297" s="987"/>
    </row>
    <row s="6355" customFormat="1" customHeight="1" ht="20.25">
      <c r="A298" s="706"/>
      <c r="B298" s="437"/>
      <c r="C298" s="105"/>
      <c r="D298" s="105">
        <f>D297+1</f>
        <v>11</v>
      </c>
      <c r="E298" s="833">
        <v>21</v>
      </c>
      <c r="F298" s="50" cm="1" t="str">
        <f t="array" ref="F298:F298">OFFSET(E298,-1,1)</f>
        <v>1</v>
      </c>
      <c r="G298" s="103" t="s">
        <v>1871</v>
      </c>
      <c r="H298" s="103"/>
      <c r="I298" s="103" t="s">
        <v>2139</v>
      </c>
      <c r="J298" s="105"/>
      <c r="K298" s="154" t="s">
        <v>2139</v>
      </c>
      <c r="L298" s="993" t="s">
        <v>2112</v>
      </c>
      <c r="M298" s="105"/>
      <c r="N298" s="105"/>
      <c r="O298" s="105"/>
      <c r="P298" s="105"/>
      <c r="Q298" s="105"/>
      <c r="R298" s="105"/>
      <c r="S298" s="105"/>
      <c r="T298" s="468" cm="1" t="str">
        <f t="array" ref="T298:T298">T297</f>
        <v>true</v>
      </c>
      <c r="U298" s="105"/>
      <c r="V298" s="105"/>
      <c r="W298" s="105"/>
      <c r="X298" s="1559"/>
      <c r="Y298" s="706"/>
      <c r="Z298" s="1529"/>
      <c r="AA298" s="706"/>
      <c r="AB298" s="207" cm="1" t="str">
        <f t="array" ref="AB298:AB298">D298</f>
        <v>11</v>
      </c>
      <c r="AC298" s="208" t="s">
        <v>2113</v>
      </c>
      <c r="AD298" s="207" t="s">
        <v>657</v>
      </c>
      <c r="AE298" s="792">
        <f>_xlfn.SUMIFS(Баланс!AE$26:AE$391,Баланс!$F$26:$F$391,$F298,Баланс!$G$26:$G$391,"ПО")</f>
        <v>11968.79029</v>
      </c>
      <c r="AF298" s="792">
        <f>_xlfn.SUMIFS(Баланс!AF$26:AF$391,Баланс!$F$26:$F$391,$F298,Баланс!$G$26:$G$391,"ПО")</f>
        <v>10968.8492</v>
      </c>
      <c r="AG298" s="792">
        <f>_xlfn.SUMIFS(Баланс!AG$26:AG$391,Баланс!$F$26:$F$391,$F298,Баланс!$G$26:$G$391,"ПО")</f>
        <v>10968.84875</v>
      </c>
      <c r="AH298" s="792">
        <f>AG298-AF298</f>
        <v>-0.00045000000136497</v>
      </c>
      <c r="AI298" s="792">
        <f>_xlfn.SUMIFS(Баланс!AH$26:AH$391,Баланс!$F$26:$F$391,$F298,Баланс!$G$26:$G$391,"ПО")</f>
        <v>11274.18929</v>
      </c>
      <c r="AJ298" s="792">
        <f>_xlfn.SUMIFS(Баланс!AI$26:AI$391,Баланс!$F$26:$F$391,$F298,Баланс!$G$26:$G$391,"ПО")</f>
        <v>10839.59791</v>
      </c>
      <c r="AK298" s="792">
        <f>_xlfn.SUMIFS(Баланс!AJ$26:AJ$391,Баланс!$F$26:$F$391,$F298,Баланс!$G$26:$G$391,"ПО")</f>
        <v>0</v>
      </c>
      <c r="AL298" s="792">
        <f>_xlfn.SUMIFS(Баланс!AK$26:AK$391,Баланс!$F$26:$F$391,$F298,Баланс!$G$26:$G$391,"ПО")</f>
        <v>0</v>
      </c>
      <c r="AM298" s="792">
        <f>_xlfn.SUMIFS(Баланс!AL$26:AL$391,Баланс!$F$26:$F$391,$F298,Баланс!$G$26:$G$391,"ПО")</f>
        <v>0</v>
      </c>
      <c r="AN298" s="792">
        <f>_xlfn.SUMIFS(Баланс!AM$26:AM$391,Баланс!$F$26:$F$391,$F298,Баланс!$G$26:$G$391,"ПО")</f>
        <v>0</v>
      </c>
      <c r="AO298" s="792">
        <f>_xlfn.SUMIFS(Баланс!AN$26:AN$391,Баланс!$F$26:$F$391,$F298,Баланс!$G$26:$G$391,"ПО")</f>
        <v>0</v>
      </c>
      <c r="AP298" s="792">
        <f>_xlfn.SUMIFS(Баланс!AO$26:AO$391,Баланс!$F$26:$F$391,$F298,Баланс!$G$26:$G$391,"ПО")</f>
        <v>0</v>
      </c>
      <c r="AQ298" s="792">
        <f>_xlfn.SUMIFS(Баланс!AP$26:AP$391,Баланс!$F$26:$F$391,$F298,Баланс!$G$26:$G$391,"ПО")</f>
        <v>0</v>
      </c>
      <c r="AR298" s="792">
        <f>_xlfn.SUMIFS(Баланс!AQ$26:AQ$391,Баланс!$F$26:$F$391,$F298,Баланс!$G$26:$G$391,"ПО")</f>
        <v>0</v>
      </c>
      <c r="AS298" s="792">
        <f>_xlfn.SUMIFS(Баланс!AR$26:AR$391,Баланс!$F$26:$F$391,$F298,Баланс!$G$26:$G$391,"ПО")</f>
        <v>0</v>
      </c>
      <c r="AT298" s="792">
        <f>_xlfn.SUMIFS(Баланс!AS$26:AS$391,Баланс!$F$26:$F$391,$F298,Баланс!$G$26:$G$391,"ПО")</f>
        <v>11287.60815</v>
      </c>
      <c r="AU298" s="792">
        <f>_xlfn.SUMIFS(Баланс!AT$26:AT$391,Баланс!$F$26:$F$391,$F298,Баланс!$G$26:$G$391,"ПО")</f>
        <v>0</v>
      </c>
      <c r="AV298" s="792">
        <f>_xlfn.SUMIFS(Баланс!AU$26:AU$391,Баланс!$F$26:$F$391,$F298,Баланс!$G$26:$G$391,"ПО")</f>
        <v>0</v>
      </c>
      <c r="AW298" s="792">
        <f>_xlfn.SUMIFS(Баланс!AV$26:AV$391,Баланс!$F$26:$F$391,$F298,Баланс!$G$26:$G$391,"ПО")</f>
        <v>0</v>
      </c>
      <c r="AX298" s="792">
        <f>_xlfn.SUMIFS(Баланс!AW$26:AW$391,Баланс!$F$26:$F$391,$F298,Баланс!$G$26:$G$391,"ПО")</f>
        <v>0</v>
      </c>
      <c r="AY298" s="792">
        <f>_xlfn.SUMIFS(Баланс!AX$26:AX$391,Баланс!$F$26:$F$391,$F298,Баланс!$G$26:$G$391,"ПО")</f>
        <v>0</v>
      </c>
      <c r="AZ298" s="792">
        <f>_xlfn.SUMIFS(Баланс!AY$26:AY$391,Баланс!$F$26:$F$391,$F298,Баланс!$G$26:$G$391,"ПО")</f>
        <v>0</v>
      </c>
      <c r="BA298" s="792">
        <f>_xlfn.SUMIFS(Баланс!AZ$26:AZ$391,Баланс!$F$26:$F$391,$F298,Баланс!$G$26:$G$391,"ПО")</f>
        <v>0</v>
      </c>
      <c r="BB298" s="792">
        <f>_xlfn.SUMIFS(Баланс!BA$26:BA$391,Баланс!$F$26:$F$391,$F298,Баланс!$G$26:$G$391,"ПО")</f>
        <v>0</v>
      </c>
      <c r="BC298" s="792">
        <f>_xlfn.SUMIFS(Баланс!BB$26:BB$391,Баланс!$F$26:$F$391,$F298,Баланс!$G$26:$G$391,"ПО")</f>
        <v>0</v>
      </c>
      <c r="BD298" s="212"/>
      <c r="BE298" s="212"/>
      <c r="BF298" s="212"/>
      <c r="BG298" s="212"/>
      <c r="BH298" s="212"/>
      <c r="BI298" s="212"/>
      <c r="BJ298" s="212"/>
      <c r="BK298" s="212"/>
      <c r="BL298" s="212"/>
      <c r="BM298" s="212"/>
      <c r="BN298" s="6290"/>
      <c r="BO298" s="6290"/>
      <c r="BP298" s="6290"/>
      <c r="BQ298" s="706"/>
      <c r="BR298" s="706"/>
      <c r="BS298" s="1071" t="s">
        <v>2114</v>
      </c>
      <c r="BT298" s="1078"/>
      <c r="BU298" s="1078"/>
      <c r="BV298" s="713"/>
      <c r="BW298" s="713"/>
    </row>
    <row s="1656" customFormat="1" customHeight="1" ht="14.625">
      <c r="A299" s="1297"/>
      <c r="B299" s="986"/>
      <c r="C299" s="103"/>
      <c r="D299" s="103" cm="1" t="str">
        <f t="array" ref="D299:D299">D298</f>
        <v>11</v>
      </c>
      <c r="E299" s="626">
        <v>15</v>
      </c>
      <c r="F299" s="50" cm="1" t="str">
        <f t="array" ref="F299:F299">OFFSET(E299,-1,1)</f>
        <v>1</v>
      </c>
      <c r="G299" s="103" t="s">
        <v>1898</v>
      </c>
      <c r="H299" s="103"/>
      <c r="I299" s="103" t="s">
        <v>2437</v>
      </c>
      <c r="J299" s="103"/>
      <c r="K299" s="154" t="s">
        <v>2437</v>
      </c>
      <c r="L299" s="988" t="s">
        <v>2115</v>
      </c>
      <c r="M299" s="103"/>
      <c r="N299" s="103"/>
      <c r="O299" s="103"/>
      <c r="P299" s="103"/>
      <c r="Q299" s="103"/>
      <c r="R299" s="103"/>
      <c r="S299" s="103"/>
      <c r="T299" s="468" cm="1" t="str">
        <f t="array" ref="T299:T299">T298</f>
        <v>true</v>
      </c>
      <c r="U299" s="103"/>
      <c r="V299" s="103"/>
      <c r="W299" s="103"/>
      <c r="X299" s="1559"/>
      <c r="Y299" s="1297"/>
      <c r="Z299" s="1529"/>
      <c r="AA299" s="1297"/>
      <c r="AB299" s="296" t="str">
        <f>D299&amp;".1"</f>
        <v>11.1</v>
      </c>
      <c r="AC299" s="1120" t="s">
        <v>2117</v>
      </c>
      <c r="AD299" s="296" t="s">
        <v>657</v>
      </c>
      <c r="AE299" s="6291">
        <v>5984.395145</v>
      </c>
      <c r="AF299" s="6291">
        <f>IF(AF$24="2026 год",AF298/12*9,AF298/2)</f>
        <v>5484.4246</v>
      </c>
      <c r="AG299" s="6291">
        <f>IF(AG$24="2026 год",AG298/12*9,AG298/2)</f>
        <v>5484.424375</v>
      </c>
      <c r="AH299" s="1122">
        <f>AG299-AF299</f>
        <v>-0.000225000000682485</v>
      </c>
      <c r="AI299" s="6291">
        <v>5637.094645</v>
      </c>
      <c r="AJ299" s="6291">
        <f>IF(AJ$24="2026 год",AJ298/12*9,AJ298/2)</f>
        <v>8129.6984325</v>
      </c>
      <c r="AK299" s="1258">
        <f>IF(AK$24="2026 год",AK298/12*9,AK298/2)</f>
        <v>0</v>
      </c>
      <c r="AL299" s="1258">
        <f>IF(AL$24="2026 год",AL298/12*9,AL298/2)</f>
        <v>0</v>
      </c>
      <c r="AM299" s="1258">
        <f>IF(AM$24="2026 год",AM298/12*9,AM298/2)</f>
        <v>0</v>
      </c>
      <c r="AN299" s="1258">
        <f>IF(AN$24="2026 год",AN298/12*9,AN298/2)</f>
        <v>0</v>
      </c>
      <c r="AO299" s="1258">
        <f>IF(AO$24="2026 год",AO298/12*9,AO298/2)</f>
        <v>0</v>
      </c>
      <c r="AP299" s="1258">
        <f>IF(AP$24="2026 год",AP298/12*9,AP298/2)</f>
        <v>0</v>
      </c>
      <c r="AQ299" s="1258">
        <f>IF(AQ$24="2026 год",AQ298/12*9,AQ298/2)</f>
        <v>0</v>
      </c>
      <c r="AR299" s="1258">
        <f>IF(AR$24="2026 год",AR298/12*9,AR298/2)</f>
        <v>0</v>
      </c>
      <c r="AS299" s="1258">
        <f>IF(AS$24="2026 год",AS298/12*9,AS298/2)</f>
        <v>0</v>
      </c>
      <c r="AT299" s="6356">
        <f>IF(AT$24="2026 год",AT298/12*9,AT298/2)</f>
        <v>8465.7061125</v>
      </c>
      <c r="AU299" s="1280">
        <f>IF(AU$24="2026 год",AU298/12*9,AU298/2)</f>
        <v>0</v>
      </c>
      <c r="AV299" s="1258">
        <f>IF(AV$24="2026 год",AV298/12*9,AV298/2)</f>
        <v>0</v>
      </c>
      <c r="AW299" s="1258">
        <f>IF(AW$24="2026 год",AW298/12*9,AW298/2)</f>
        <v>0</v>
      </c>
      <c r="AX299" s="1258">
        <f>IF(AX$24="2026 год",AX298/12*9,AX298/2)</f>
        <v>0</v>
      </c>
      <c r="AY299" s="1258">
        <f>IF(AY$24="2026 год",AY298/12*9,AY298/2)</f>
        <v>0</v>
      </c>
      <c r="AZ299" s="1258">
        <f>IF(AZ$24="2026 год",AZ298/12*9,AZ298/2)</f>
        <v>0</v>
      </c>
      <c r="BA299" s="1258">
        <f>IF(BA$24="2026 год",BA298/12*9,BA298/2)</f>
        <v>0</v>
      </c>
      <c r="BB299" s="1258">
        <f>IF(BB$24="2026 год",BB298/12*9,BB298/2)</f>
        <v>0</v>
      </c>
      <c r="BC299" s="1258">
        <f>IF(BC$24="2026 год",BC298/12*9,BC298/2)</f>
        <v>0</v>
      </c>
      <c r="BD299" s="1124"/>
      <c r="BE299" s="1124"/>
      <c r="BF299" s="1124"/>
      <c r="BG299" s="1124"/>
      <c r="BH299" s="1124"/>
      <c r="BI299" s="1124"/>
      <c r="BJ299" s="1124"/>
      <c r="BK299" s="1124"/>
      <c r="BL299" s="1124"/>
      <c r="BM299" s="1124"/>
      <c r="BN299" s="6290"/>
      <c r="BO299" s="6290"/>
      <c r="BP299" s="6290"/>
      <c r="BQ299" s="1297"/>
      <c r="BR299" s="1297"/>
      <c r="BS299" s="1070" t="s">
        <v>2118</v>
      </c>
      <c r="BT299" s="1072"/>
      <c r="BU299" s="1072"/>
      <c r="BV299" s="987"/>
      <c r="BW299" s="987"/>
    </row>
    <row s="1656" customFormat="1" customHeight="1" ht="128.25">
      <c r="A300" s="1297"/>
      <c r="B300" s="986"/>
      <c r="C300" s="103"/>
      <c r="D300" s="103" cm="1" t="str">
        <f t="array" ref="D300:D300">D299</f>
        <v>11</v>
      </c>
      <c r="E300" s="626">
        <v>15</v>
      </c>
      <c r="F300" s="50" cm="1" t="str">
        <f t="array" ref="F300:F300">OFFSET(E300,-1,1)</f>
        <v>1</v>
      </c>
      <c r="G300" s="103" t="s">
        <v>1859</v>
      </c>
      <c r="H300" s="103"/>
      <c r="I300" s="103" t="s">
        <v>2438</v>
      </c>
      <c r="J300" s="103"/>
      <c r="K300" s="154" t="s">
        <v>2438</v>
      </c>
      <c r="L300" s="988" t="s">
        <v>2119</v>
      </c>
      <c r="M300" s="103"/>
      <c r="N300" s="103"/>
      <c r="O300" s="103"/>
      <c r="P300" s="103"/>
      <c r="Q300" s="103"/>
      <c r="R300" s="103"/>
      <c r="S300" s="103"/>
      <c r="T300" s="468" cm="1" t="str">
        <f t="array" ref="T300:T300">T299</f>
        <v>true</v>
      </c>
      <c r="U300" s="103"/>
      <c r="V300" s="103"/>
      <c r="W300" s="103"/>
      <c r="X300" s="1559"/>
      <c r="Y300" s="1297"/>
      <c r="Z300" s="1529"/>
      <c r="AA300" s="1297"/>
      <c r="AB300" s="296" t="str">
        <f>D300&amp;".2"</f>
        <v>11.2</v>
      </c>
      <c r="AC300" s="1120" t="s">
        <v>2121</v>
      </c>
      <c r="AD300" s="296" t="s">
        <v>1862</v>
      </c>
      <c r="AE300" s="6293">
        <v>42.35</v>
      </c>
      <c r="AF300" s="6293"/>
      <c r="AG300" s="6293"/>
      <c r="AH300" s="1123">
        <f>AG300-AF300</f>
        <v>0</v>
      </c>
      <c r="AI300" s="6293">
        <v>47.8</v>
      </c>
      <c r="AJ300" s="6293"/>
      <c r="AK300" s="1260"/>
      <c r="AL300" s="1260"/>
      <c r="AM300" s="1260"/>
      <c r="AN300" s="1260"/>
      <c r="AO300" s="1260"/>
      <c r="AP300" s="1260"/>
      <c r="AQ300" s="1260"/>
      <c r="AR300" s="1260"/>
      <c r="AS300" s="1260"/>
      <c r="AT300" s="6293"/>
      <c r="AU300" s="1260" cm="1" t="str">
        <f t="array" ref="AU300:AU300">AT302</f>
        <v>106.035820270745</v>
      </c>
      <c r="AV300" s="1260" cm="1" t="str">
        <f t="array" ref="AV300:AV300">AU302</f>
        <v>0</v>
      </c>
      <c r="AW300" s="1260" cm="1" t="str">
        <f t="array" ref="AW300:AW300">AV302</f>
        <v>0</v>
      </c>
      <c r="AX300" s="1260" cm="1" t="str">
        <f t="array" ref="AX300:AX300">AW302</f>
        <v>0</v>
      </c>
      <c r="AY300" s="1260" cm="1" t="str">
        <f t="array" ref="AY300:AY300">AX302</f>
        <v>0</v>
      </c>
      <c r="AZ300" s="1260" cm="1" t="str">
        <f t="array" ref="AZ300:AZ300">AY302</f>
        <v>0</v>
      </c>
      <c r="BA300" s="1260" cm="1" t="str">
        <f t="array" ref="BA300:BA300">AZ302</f>
        <v>0</v>
      </c>
      <c r="BB300" s="1260" cm="1" t="str">
        <f t="array" ref="BB300:BB300">BA302</f>
        <v>0</v>
      </c>
      <c r="BC300" s="1260" cm="1" t="str">
        <f t="array" ref="BC300:BC300">BB302</f>
        <v>0</v>
      </c>
      <c r="BD300" s="1124"/>
      <c r="BE300" s="1124"/>
      <c r="BF300" s="1124"/>
      <c r="BG300" s="1124"/>
      <c r="BH300" s="1124"/>
      <c r="BI300" s="1124"/>
      <c r="BJ300" s="1124"/>
      <c r="BK300" s="1124"/>
      <c r="BL300" s="1124"/>
      <c r="BM300" s="1124"/>
      <c r="BN300" s="6290"/>
      <c r="BO300" s="6290" t="s">
        <v>2460</v>
      </c>
      <c r="BP300" s="6290" t="s">
        <v>2461</v>
      </c>
      <c r="BQ300" s="1297"/>
      <c r="BR300" s="1297"/>
      <c r="BS300" s="1070" t="s">
        <v>2122</v>
      </c>
      <c r="BT300" s="1072"/>
      <c r="BU300" s="1072"/>
      <c r="BV300" s="987"/>
      <c r="BW300" s="987"/>
    </row>
    <row s="1656" customFormat="1" customHeight="1" ht="14.25">
      <c r="A301" s="1297"/>
      <c r="B301" s="986"/>
      <c r="C301" s="103"/>
      <c r="D301" s="103" cm="1" t="str">
        <f t="array" ref="D301:D301">D300</f>
        <v>11</v>
      </c>
      <c r="E301" s="626">
        <v>15</v>
      </c>
      <c r="F301" s="50" cm="1" t="str">
        <f t="array" ref="F301:F301">OFFSET(E301,-1,1)</f>
        <v>1</v>
      </c>
      <c r="G301" s="103" t="s">
        <v>1911</v>
      </c>
      <c r="H301" s="103"/>
      <c r="I301" s="103" t="s">
        <v>2439</v>
      </c>
      <c r="J301" s="103"/>
      <c r="K301" s="154" t="s">
        <v>2439</v>
      </c>
      <c r="L301" s="988" t="s">
        <v>2123</v>
      </c>
      <c r="M301" s="103"/>
      <c r="N301" s="103"/>
      <c r="O301" s="103"/>
      <c r="P301" s="103"/>
      <c r="Q301" s="103"/>
      <c r="R301" s="103"/>
      <c r="S301" s="103"/>
      <c r="T301" s="468" cm="1" t="str">
        <f t="array" ref="T301:T301">T300</f>
        <v>true</v>
      </c>
      <c r="U301" s="103"/>
      <c r="V301" s="103"/>
      <c r="W301" s="103"/>
      <c r="X301" s="1559"/>
      <c r="Y301" s="1297"/>
      <c r="Z301" s="1529"/>
      <c r="AA301" s="1297"/>
      <c r="AB301" s="296" t="str">
        <f>D301&amp;".3"</f>
        <v>11.3</v>
      </c>
      <c r="AC301" s="1120" t="s">
        <v>2440</v>
      </c>
      <c r="AD301" s="296" t="s">
        <v>657</v>
      </c>
      <c r="AE301" s="1122">
        <f>AE298-AE299</f>
        <v>5984.395145</v>
      </c>
      <c r="AF301" s="1122">
        <f>AF298-AF299</f>
        <v>5484.4246</v>
      </c>
      <c r="AG301" s="1122">
        <f>AG298-AG299</f>
        <v>5484.424375</v>
      </c>
      <c r="AH301" s="1122">
        <f>AG301-AF301</f>
        <v>-0.000225000000682485</v>
      </c>
      <c r="AI301" s="1122">
        <f>AI298-AI299</f>
        <v>5637.094645</v>
      </c>
      <c r="AJ301" s="1122">
        <f>AJ298-AJ299</f>
        <v>2709.8994775</v>
      </c>
      <c r="AK301" s="1122">
        <f>AK298-AK299</f>
        <v>0</v>
      </c>
      <c r="AL301" s="1122">
        <f>AL298-AL299</f>
        <v>0</v>
      </c>
      <c r="AM301" s="1122">
        <f>AM298-AM299</f>
        <v>0</v>
      </c>
      <c r="AN301" s="1122">
        <f>AN298-AN299</f>
        <v>0</v>
      </c>
      <c r="AO301" s="1122">
        <f>AO298-AO299</f>
        <v>0</v>
      </c>
      <c r="AP301" s="1122">
        <f>AP298-AP299</f>
        <v>0</v>
      </c>
      <c r="AQ301" s="1122">
        <f>AQ298-AQ299</f>
        <v>0</v>
      </c>
      <c r="AR301" s="1122">
        <f>AR298-AR299</f>
        <v>0</v>
      </c>
      <c r="AS301" s="1122">
        <f>AS298-AS299</f>
        <v>0</v>
      </c>
      <c r="AT301" s="1122">
        <f>AT298-AT299</f>
        <v>2821.9020375</v>
      </c>
      <c r="AU301" s="1122">
        <f>AU298-AU299</f>
        <v>0</v>
      </c>
      <c r="AV301" s="1122">
        <f>AV298-AV299</f>
        <v>0</v>
      </c>
      <c r="AW301" s="1122">
        <f>AW298-AW299</f>
        <v>0</v>
      </c>
      <c r="AX301" s="1122">
        <f>AX298-AX299</f>
        <v>0</v>
      </c>
      <c r="AY301" s="1122">
        <f>AY298-AY299</f>
        <v>0</v>
      </c>
      <c r="AZ301" s="1122">
        <f>AZ298-AZ299</f>
        <v>0</v>
      </c>
      <c r="BA301" s="1122">
        <f>BA298-BA299</f>
        <v>0</v>
      </c>
      <c r="BB301" s="1122">
        <f>BB298-BB299</f>
        <v>0</v>
      </c>
      <c r="BC301" s="1122">
        <f>BC298-BC299</f>
        <v>0</v>
      </c>
      <c r="BD301" s="1124"/>
      <c r="BE301" s="1124"/>
      <c r="BF301" s="1124"/>
      <c r="BG301" s="1124"/>
      <c r="BH301" s="1124"/>
      <c r="BI301" s="1124"/>
      <c r="BJ301" s="1124"/>
      <c r="BK301" s="1124"/>
      <c r="BL301" s="1124"/>
      <c r="BM301" s="1124"/>
      <c r="BN301" s="6290"/>
      <c r="BO301" s="6290"/>
      <c r="BP301" s="6290"/>
      <c r="BQ301" s="1297"/>
      <c r="BR301" s="1297"/>
      <c r="BS301" s="1070" t="s">
        <v>2126</v>
      </c>
      <c r="BT301" s="1072"/>
      <c r="BU301" s="1072"/>
      <c r="BV301" s="987"/>
      <c r="BW301" s="987"/>
    </row>
    <row s="1656" customFormat="1" customHeight="1" ht="33.75">
      <c r="A302" s="1297"/>
      <c r="B302" s="986"/>
      <c r="C302" s="103"/>
      <c r="D302" s="103" cm="1" t="str">
        <f t="array" ref="D302:D302">D301</f>
        <v>11</v>
      </c>
      <c r="E302" s="626">
        <v>15</v>
      </c>
      <c r="F302" s="50" cm="1" t="str">
        <f t="array" ref="F302:F302">OFFSET(E302,-1,1)</f>
        <v>1</v>
      </c>
      <c r="G302" s="103" t="s">
        <v>1864</v>
      </c>
      <c r="H302" s="103"/>
      <c r="I302" s="103" t="s">
        <v>2441</v>
      </c>
      <c r="J302" s="103"/>
      <c r="K302" s="154" t="s">
        <v>2441</v>
      </c>
      <c r="L302" s="988" t="s">
        <v>2127</v>
      </c>
      <c r="M302" s="103"/>
      <c r="N302" s="103"/>
      <c r="O302" s="103"/>
      <c r="P302" s="103"/>
      <c r="Q302" s="103"/>
      <c r="R302" s="103"/>
      <c r="S302" s="103"/>
      <c r="T302" s="468" cm="1" t="str">
        <f t="array" ref="T302:T302">T301</f>
        <v>true</v>
      </c>
      <c r="U302" s="103"/>
      <c r="V302" s="103"/>
      <c r="W302" s="103"/>
      <c r="X302" s="1559"/>
      <c r="Y302" s="1297"/>
      <c r="Z302" s="1529"/>
      <c r="AA302" s="1297"/>
      <c r="AB302" s="296" t="str">
        <f>D302&amp;".4"</f>
        <v>11.4</v>
      </c>
      <c r="AC302" s="1120" t="s">
        <v>2129</v>
      </c>
      <c r="AD302" s="296" t="s">
        <v>1862</v>
      </c>
      <c r="AE302" s="6293">
        <v>46.4217546014</v>
      </c>
      <c r="AF302" s="6293">
        <f>IF(AF301=0,0,(AF295-AF299*AF300)/AF301)</f>
        <v>46.3058458785266</v>
      </c>
      <c r="AG302" s="6293">
        <f>IF(AG301=0,0,(AG295-AG299*AG300)/AG301)</f>
        <v>42.3899884406739</v>
      </c>
      <c r="AH302" s="1123">
        <f>AG302-AF302</f>
        <v>-3.91585743785269</v>
      </c>
      <c r="AI302" s="6293">
        <v>53.5276145857</v>
      </c>
      <c r="AJ302" s="6293">
        <f>IF(AJ301=0,0,(AJ295-AJ299*AJ300)/AJ301)</f>
        <v>110.410779774026</v>
      </c>
      <c r="AK302" s="1260">
        <f>IF(AK301=0,0,(AK295-AK299*AK300)/AK301)</f>
        <v>0</v>
      </c>
      <c r="AL302" s="1260">
        <f>IF(AL301=0,0,(AL295-AL299*AL300)/AL301)</f>
        <v>0</v>
      </c>
      <c r="AM302" s="1260">
        <f>IF(AM301=0,0,(AM295-AM299*AM300)/AM301)</f>
        <v>0</v>
      </c>
      <c r="AN302" s="1260">
        <f>IF(AN301=0,0,(AN295-AN299*AN300)/AN301)</f>
        <v>0</v>
      </c>
      <c r="AO302" s="1260">
        <f>IF(AO301=0,0,(AO295-AO299*AO300)/AO301)</f>
        <v>0</v>
      </c>
      <c r="AP302" s="1260">
        <f>IF(AP301=0,0,(AP295-AP299*AP300)/AP301)</f>
        <v>0</v>
      </c>
      <c r="AQ302" s="1260">
        <f>IF(AQ301=0,0,(AQ295-AQ299*AQ300)/AQ301)</f>
        <v>0</v>
      </c>
      <c r="AR302" s="1260">
        <f>IF(AR301=0,0,(AR295-AR299*AR300)/AR301)</f>
        <v>0</v>
      </c>
      <c r="AS302" s="1260">
        <f>IF(AS301=0,0,(AS295-AS299*AS300)/AS301)</f>
        <v>0</v>
      </c>
      <c r="AT302" s="6293">
        <f>IF(AT301=0,0,(AT295-AT299*AT300)/AT301)</f>
        <v>106.035820270745</v>
      </c>
      <c r="AU302" s="1260">
        <f>IF(AU301=0,0,(AU295-AU299*AU300)/AU301)</f>
        <v>0</v>
      </c>
      <c r="AV302" s="1260">
        <f>IF(AV301=0,0,(AV295-AV299*AV300)/AV301)</f>
        <v>0</v>
      </c>
      <c r="AW302" s="1260">
        <f>IF(AW301=0,0,(AW295-AW299*AW300)/AW301)</f>
        <v>0</v>
      </c>
      <c r="AX302" s="1260">
        <f>IF(AX301=0,0,(AX295-AX299*AX300)/AX301)</f>
        <v>0</v>
      </c>
      <c r="AY302" s="1260">
        <f>IF(AY301=0,0,(AY295-AY299*AY300)/AY301)</f>
        <v>0</v>
      </c>
      <c r="AZ302" s="1260">
        <f>IF(AZ301=0,0,(AZ295-AZ299*AZ300)/AZ301)</f>
        <v>0</v>
      </c>
      <c r="BA302" s="1260">
        <f>IF(BA301=0,0,(BA295-BA299*BA300)/BA301)</f>
        <v>0</v>
      </c>
      <c r="BB302" s="1260">
        <f>IF(BB301=0,0,(BB295-BB299*BB300)/BB301)</f>
        <v>0</v>
      </c>
      <c r="BC302" s="1260">
        <f>IF(BC301=0,0,(BC295-BC299*BC300)/BC301)</f>
        <v>0</v>
      </c>
      <c r="BD302" s="1124"/>
      <c r="BE302" s="1124"/>
      <c r="BF302" s="1124"/>
      <c r="BG302" s="1124"/>
      <c r="BH302" s="1124"/>
      <c r="BI302" s="1124"/>
      <c r="BJ302" s="1124"/>
      <c r="BK302" s="1124"/>
      <c r="BL302" s="1124"/>
      <c r="BM302" s="1124"/>
      <c r="BN302" s="6290"/>
      <c r="BO302" s="6290"/>
      <c r="BP302" s="6290" t="s">
        <v>2461</v>
      </c>
      <c r="BQ302" s="1297"/>
      <c r="BR302" s="1297"/>
      <c r="BS302" s="1070" t="s">
        <v>2130</v>
      </c>
      <c r="BT302" s="1072"/>
      <c r="BU302" s="1072"/>
      <c r="BV302" s="987"/>
      <c r="BW302" s="987"/>
    </row>
    <row s="1656" customFormat="1" customHeight="1" ht="14.25">
      <c r="A303" s="1297"/>
      <c r="B303" s="986"/>
      <c r="C303" s="103"/>
      <c r="D303" s="103" cm="1" t="str">
        <f t="array" ref="D303:D303">D302</f>
        <v>11</v>
      </c>
      <c r="E303" s="626">
        <v>15</v>
      </c>
      <c r="F303" s="50" cm="1" t="str">
        <f t="array" ref="F303:F303">OFFSET(E303,-1,1)</f>
        <v>1</v>
      </c>
      <c r="G303" s="103"/>
      <c r="H303" s="103"/>
      <c r="I303" s="103" t="s">
        <v>2442</v>
      </c>
      <c r="J303" s="103"/>
      <c r="K303" s="154" t="s">
        <v>2442</v>
      </c>
      <c r="L303" s="988" t="s">
        <v>2131</v>
      </c>
      <c r="M303" s="103"/>
      <c r="N303" s="103"/>
      <c r="O303" s="103"/>
      <c r="P303" s="103"/>
      <c r="Q303" s="103"/>
      <c r="R303" s="103"/>
      <c r="S303" s="103"/>
      <c r="T303" s="468" cm="1" t="str">
        <f t="array" ref="T303:T303">T302</f>
        <v>true</v>
      </c>
      <c r="U303" s="103"/>
      <c r="V303" s="103"/>
      <c r="W303" s="103"/>
      <c r="X303" s="1559"/>
      <c r="Y303" s="1297"/>
      <c r="Z303" s="1529"/>
      <c r="AA303" s="1297"/>
      <c r="AB303" s="296" t="str">
        <f>D303&amp;".5"</f>
        <v>11.5</v>
      </c>
      <c r="AC303" s="1120" t="s">
        <v>2133</v>
      </c>
      <c r="AD303" s="296" t="s">
        <v>561</v>
      </c>
      <c r="AE303" s="1123">
        <f>IF(AE300=0,0,AE302/AE300*100)</f>
        <v>109.614532706966</v>
      </c>
      <c r="AF303" s="1123">
        <f>IF(AF300=0,0,AF302/AF300*100)</f>
        <v>0</v>
      </c>
      <c r="AG303" s="1123">
        <f>IF(AG300=0,0,AG302/AG300*100)</f>
        <v>0</v>
      </c>
      <c r="AH303" s="1124"/>
      <c r="AI303" s="1123">
        <f>IF(AI300=0,0,AI302/AI300*100)</f>
        <v>111.982457292259</v>
      </c>
      <c r="AJ303" s="1123">
        <f>IF(AJ300=0,0,AJ302/AJ300*100)</f>
        <v>0</v>
      </c>
      <c r="AK303" s="1123">
        <f>IF(AK300=0,0,AK302/AK300*100)</f>
        <v>0</v>
      </c>
      <c r="AL303" s="1123">
        <f>IF(AL300=0,0,AL302/AL300*100)</f>
        <v>0</v>
      </c>
      <c r="AM303" s="1123">
        <f>IF(AM300=0,0,AM302/AM300*100)</f>
        <v>0</v>
      </c>
      <c r="AN303" s="1123">
        <f>IF(AN300=0,0,AN302/AN300*100)</f>
        <v>0</v>
      </c>
      <c r="AO303" s="1123">
        <f>IF(AO300=0,0,AO302/AO300*100)</f>
        <v>0</v>
      </c>
      <c r="AP303" s="1123">
        <f>IF(AP300=0,0,AP302/AP300*100)</f>
        <v>0</v>
      </c>
      <c r="AQ303" s="1123">
        <f>IF(AQ300=0,0,AQ302/AQ300*100)</f>
        <v>0</v>
      </c>
      <c r="AR303" s="1123">
        <f>IF(AR300=0,0,AR302/AR300*100)</f>
        <v>0</v>
      </c>
      <c r="AS303" s="1123">
        <f>IF(AS300=0,0,AS302/AS300*100)</f>
        <v>0</v>
      </c>
      <c r="AT303" s="1123">
        <f>IF(AT300=0,0,AT302/AT300*100)</f>
        <v>0</v>
      </c>
      <c r="AU303" s="1123">
        <f>IF(AU300=0,0,AU302/AU300*100)</f>
        <v>0</v>
      </c>
      <c r="AV303" s="1123">
        <f>IF(AV300=0,0,AV302/AV300*100)</f>
        <v>0</v>
      </c>
      <c r="AW303" s="1123">
        <f>IF(AW300=0,0,AW302/AW300*100)</f>
        <v>0</v>
      </c>
      <c r="AX303" s="1123">
        <f>IF(AX300=0,0,AX302/AX300*100)</f>
        <v>0</v>
      </c>
      <c r="AY303" s="1123">
        <f>IF(AY300=0,0,AY302/AY300*100)</f>
        <v>0</v>
      </c>
      <c r="AZ303" s="1123">
        <f>IF(AZ300=0,0,AZ302/AZ300*100)</f>
        <v>0</v>
      </c>
      <c r="BA303" s="1123">
        <f>IF(BA300=0,0,BA302/BA300*100)</f>
        <v>0</v>
      </c>
      <c r="BB303" s="1123">
        <f>IF(BB300=0,0,BB302/BB300*100)</f>
        <v>0</v>
      </c>
      <c r="BC303" s="1123">
        <f>IF(BC300=0,0,BC302/BC300*100)</f>
        <v>0</v>
      </c>
      <c r="BD303" s="1124"/>
      <c r="BE303" s="1124"/>
      <c r="BF303" s="1124"/>
      <c r="BG303" s="1124"/>
      <c r="BH303" s="1124"/>
      <c r="BI303" s="1124"/>
      <c r="BJ303" s="1124"/>
      <c r="BK303" s="1124"/>
      <c r="BL303" s="1124"/>
      <c r="BM303" s="1124"/>
      <c r="BN303" s="6290"/>
      <c r="BO303" s="6290"/>
      <c r="BP303" s="6290"/>
      <c r="BQ303" s="1297"/>
      <c r="BR303" s="1297"/>
      <c r="BS303" s="1070" t="s">
        <v>2134</v>
      </c>
      <c r="BT303" s="1072"/>
      <c r="BU303" s="1072"/>
      <c r="BV303" s="987"/>
      <c r="BW303" s="987"/>
    </row>
    <row s="1656" customFormat="1" customHeight="1" ht="33.75">
      <c r="A304" s="1297"/>
      <c r="B304" s="986"/>
      <c r="C304" s="103"/>
      <c r="D304" s="103" cm="1" t="str">
        <f t="array" ref="D304:D304">D303</f>
        <v>11</v>
      </c>
      <c r="E304" s="626">
        <v>15</v>
      </c>
      <c r="F304" s="50" cm="1" t="str">
        <f t="array" ref="F304:F304">OFFSET(E304,-1,1)</f>
        <v>1</v>
      </c>
      <c r="G304" s="103"/>
      <c r="H304" s="103"/>
      <c r="I304" s="103" t="s">
        <v>2443</v>
      </c>
      <c r="J304" s="103"/>
      <c r="K304" s="154" t="s">
        <v>2443</v>
      </c>
      <c r="L304" s="988" t="s">
        <v>2135</v>
      </c>
      <c r="M304" s="103"/>
      <c r="N304" s="103"/>
      <c r="O304" s="103"/>
      <c r="P304" s="103"/>
      <c r="Q304" s="103"/>
      <c r="R304" s="103"/>
      <c r="S304" s="103"/>
      <c r="T304" s="468" cm="1" t="str">
        <f t="array" ref="T304:T304">T303</f>
        <v>true</v>
      </c>
      <c r="U304" s="103"/>
      <c r="V304" s="103"/>
      <c r="W304" s="103"/>
      <c r="X304" s="1559"/>
      <c r="Y304" s="1297"/>
      <c r="Z304" s="1529"/>
      <c r="AA304" s="1297"/>
      <c r="AB304" s="296" t="str">
        <f>D304&amp;".6"</f>
        <v>11.6</v>
      </c>
      <c r="AC304" s="1120" t="s">
        <v>2137</v>
      </c>
      <c r="AD304" s="296" t="s">
        <v>1862</v>
      </c>
      <c r="AE304" s="6293">
        <v>44.3858773007</v>
      </c>
      <c r="AF304" s="6293">
        <f>IF(AF298=0,0,AF295/AF298)</f>
        <v>23.1529229392633</v>
      </c>
      <c r="AG304" s="6293">
        <f>IF(AG298=0,0,AG295/AG298)</f>
        <v>21.1949942203369</v>
      </c>
      <c r="AH304" s="1123">
        <f>AG304-AF304</f>
        <v>-1.9579287189264</v>
      </c>
      <c r="AI304" s="6293">
        <v>50.6638072928</v>
      </c>
      <c r="AJ304" s="6293">
        <f>IF(AJ298=0,0,AJ295/AJ298)</f>
        <v>27.6026949435064</v>
      </c>
      <c r="AK304" s="1260">
        <f>IF(AK298=0,0,AK295/AK298)</f>
        <v>0</v>
      </c>
      <c r="AL304" s="1260">
        <f>IF(AL298=0,0,AL295/AL298)</f>
        <v>0</v>
      </c>
      <c r="AM304" s="1260">
        <f>IF(AM298=0,0,AM295/AM298)</f>
        <v>0</v>
      </c>
      <c r="AN304" s="1260">
        <f>IF(AN298=0,0,AN295/AN298)</f>
        <v>0</v>
      </c>
      <c r="AO304" s="1260">
        <f>IF(AO298=0,0,AO295/AO298)</f>
        <v>0</v>
      </c>
      <c r="AP304" s="1260">
        <f>IF(AP298=0,0,AP295/AP298)</f>
        <v>0</v>
      </c>
      <c r="AQ304" s="1260">
        <f>IF(AQ298=0,0,AQ295/AQ298)</f>
        <v>0</v>
      </c>
      <c r="AR304" s="1260">
        <f>IF(AR298=0,0,AR295/AR298)</f>
        <v>0</v>
      </c>
      <c r="AS304" s="1260">
        <f>IF(AS298=0,0,AS295/AS298)</f>
        <v>0</v>
      </c>
      <c r="AT304" s="6293">
        <f>IF(AT298=0,0,AT295/AT298)</f>
        <v>26.5089550676863</v>
      </c>
      <c r="AU304" s="1260">
        <f>IF(AU298=0,0,AU295/AU298)</f>
        <v>0</v>
      </c>
      <c r="AV304" s="1260">
        <f>IF(AV298=0,0,AV295/AV298)</f>
        <v>0</v>
      </c>
      <c r="AW304" s="1260">
        <f>IF(AW298=0,0,AW295/AW298)</f>
        <v>0</v>
      </c>
      <c r="AX304" s="1260">
        <f>IF(AX298=0,0,AX295/AX298)</f>
        <v>0</v>
      </c>
      <c r="AY304" s="1260">
        <f>IF(AY298=0,0,AY295/AY298)</f>
        <v>0</v>
      </c>
      <c r="AZ304" s="1260">
        <f>IF(AZ298=0,0,AZ295/AZ298)</f>
        <v>0</v>
      </c>
      <c r="BA304" s="1260">
        <f>IF(BA298=0,0,BA295/BA298)</f>
        <v>0</v>
      </c>
      <c r="BB304" s="1260">
        <f>IF(BB298=0,0,BB295/BB298)</f>
        <v>0</v>
      </c>
      <c r="BC304" s="1260">
        <f>IF(BC298=0,0,BC295/BC298)</f>
        <v>0</v>
      </c>
      <c r="BD304" s="1124"/>
      <c r="BE304" s="1124"/>
      <c r="BF304" s="1124"/>
      <c r="BG304" s="1124"/>
      <c r="BH304" s="1124"/>
      <c r="BI304" s="1124"/>
      <c r="BJ304" s="1124"/>
      <c r="BK304" s="1124"/>
      <c r="BL304" s="1124"/>
      <c r="BM304" s="1124"/>
      <c r="BN304" s="6290"/>
      <c r="BO304" s="6290"/>
      <c r="BP304" s="6290" t="s">
        <v>2461</v>
      </c>
      <c r="BQ304" s="1297"/>
      <c r="BR304" s="1297"/>
      <c r="BS304" s="1070" t="s">
        <v>2138</v>
      </c>
      <c r="BT304" s="1072"/>
      <c r="BU304" s="1072"/>
      <c r="BV304" s="987"/>
      <c r="BW304" s="987"/>
    </row>
    <row s="6357" customFormat="1" customHeight="1" ht="20.475">
      <c r="A305" s="706"/>
      <c r="B305" s="437"/>
      <c r="C305" s="105"/>
      <c r="D305" s="105">
        <f>D304+1</f>
        <v>12</v>
      </c>
      <c r="E305" s="833">
        <v>21</v>
      </c>
      <c r="F305" s="50" cm="1" t="str">
        <f t="array" ref="F305:F305">OFFSET(E305,-1,1)</f>
        <v>1</v>
      </c>
      <c r="G305" s="105"/>
      <c r="H305" s="103"/>
      <c r="I305" s="103" t="s">
        <v>2142</v>
      </c>
      <c r="J305" s="105"/>
      <c r="K305" s="154" t="s">
        <v>2142</v>
      </c>
      <c r="L305" s="993" t="s">
        <v>2139</v>
      </c>
      <c r="M305" s="105"/>
      <c r="N305" s="105"/>
      <c r="O305" s="105"/>
      <c r="P305" s="105"/>
      <c r="Q305" s="105"/>
      <c r="R305" s="105"/>
      <c r="S305" s="105"/>
      <c r="T305" s="468" cm="1" t="str">
        <f t="array" ref="T305:T305">T304</f>
        <v>true</v>
      </c>
      <c r="U305" s="105"/>
      <c r="V305" s="105"/>
      <c r="W305" s="105"/>
      <c r="X305" s="1559"/>
      <c r="Y305" s="706"/>
      <c r="Z305" s="1529"/>
      <c r="AA305" s="706"/>
      <c r="AB305" s="207" cm="1" t="str">
        <f t="array" ref="AB305:AB305">D305</f>
        <v>12</v>
      </c>
      <c r="AC305" s="208" t="s">
        <v>2140</v>
      </c>
      <c r="AD305" s="207" t="s">
        <v>936</v>
      </c>
      <c r="AE305" s="6358">
        <v>186090.365833666</v>
      </c>
      <c r="AF305" s="6358">
        <f>IF(AF298=0,0,AF295/AF298*AF306)</f>
        <v>98135.781907458</v>
      </c>
      <c r="AG305" s="6358">
        <f>IF(AG298=0,0,AG295/AG298*AG306)</f>
        <v>89836.9219209694</v>
      </c>
      <c r="AH305" s="209">
        <f>AH307*AH308+AH309*AH310</f>
        <v>0</v>
      </c>
      <c r="AI305" s="6358">
        <v>211791.830238126</v>
      </c>
      <c r="AJ305" s="6358">
        <f>IF(AJ298=0,0,AJ295/AJ298*AJ306)</f>
        <v>109151.608040874</v>
      </c>
      <c r="AK305" s="1269">
        <f>IF(AK298=0,0,AK295/AK298*AK306)</f>
        <v>0</v>
      </c>
      <c r="AL305" s="1269">
        <f>IF(AL298=0,0,AL295/AL298*AL306)</f>
        <v>0</v>
      </c>
      <c r="AM305" s="1269">
        <f>IF(AM298=0,0,AM295/AM298*AM306)</f>
        <v>0</v>
      </c>
      <c r="AN305" s="1269">
        <f>IF(AN298=0,0,AN295/AN298*AN306)</f>
        <v>0</v>
      </c>
      <c r="AO305" s="1269">
        <f>IF(AO298=0,0,AO295/AO298*AO306)</f>
        <v>0</v>
      </c>
      <c r="AP305" s="1269">
        <f>IF(AP298=0,0,AP295/AP298*AP306)</f>
        <v>0</v>
      </c>
      <c r="AQ305" s="1269">
        <f>IF(AQ298=0,0,AQ295/AQ298*AQ306)</f>
        <v>0</v>
      </c>
      <c r="AR305" s="1269">
        <f>IF(AR298=0,0,AR295/AR298*AR306)</f>
        <v>0</v>
      </c>
      <c r="AS305" s="1269">
        <f>IF(AS298=0,0,AS295/AS298*AS306)</f>
        <v>0</v>
      </c>
      <c r="AT305" s="6358">
        <f>IF(AT298=0,0,AT295/AT298*AT306)</f>
        <v>110549.564731971</v>
      </c>
      <c r="AU305" s="1269">
        <f>IF(AU298=0,0,AU295/AU298*AU306)</f>
        <v>0</v>
      </c>
      <c r="AV305" s="1269">
        <f>IF(AV298=0,0,AV295/AV298*AV306)</f>
        <v>0</v>
      </c>
      <c r="AW305" s="1269">
        <f>IF(AW298=0,0,AW295/AW298*AW306)</f>
        <v>0</v>
      </c>
      <c r="AX305" s="1269">
        <f>IF(AX298=0,0,AX295/AX298*AX306)</f>
        <v>0</v>
      </c>
      <c r="AY305" s="1269">
        <f>IF(AY298=0,0,AY295/AY298*AY306)</f>
        <v>0</v>
      </c>
      <c r="AZ305" s="1269">
        <f>IF(AZ298=0,0,AZ295/AZ298*AZ306)</f>
        <v>0</v>
      </c>
      <c r="BA305" s="1269">
        <f>IF(BA298=0,0,BA295/BA298*BA306)</f>
        <v>0</v>
      </c>
      <c r="BB305" s="1269">
        <f>IF(BB298=0,0,BB295/BB298*BB306)</f>
        <v>0</v>
      </c>
      <c r="BC305" s="1269">
        <f>IF(BC298=0,0,BC295/BC298*BC306)</f>
        <v>0</v>
      </c>
      <c r="BD305" s="785">
        <f>IF(AI305=0,0,(AT305-AI305)/AI305*100)</f>
        <v>-47.8027246812704</v>
      </c>
      <c r="BE305" s="785">
        <f>IF(AT305=0,0,(AU305-AT305)/AT305*100)</f>
        <v>-100</v>
      </c>
      <c r="BF305" s="785">
        <f>IF(AU305=0,0,(AV305-AU305)/AU305*100)</f>
        <v>0</v>
      </c>
      <c r="BG305" s="785">
        <f>IF(AV305=0,0,(AW305-AV305)/AV305*100)</f>
        <v>0</v>
      </c>
      <c r="BH305" s="785">
        <f>IF(AW305=0,0,(AX305-AW305)/AW305*100)</f>
        <v>0</v>
      </c>
      <c r="BI305" s="785">
        <f>IF(AX305=0,0,(AY305-AX305)/AX305*100)</f>
        <v>0</v>
      </c>
      <c r="BJ305" s="785">
        <f>IF(AY305=0,0,(AZ305-AY305)/AY305*100)</f>
        <v>0</v>
      </c>
      <c r="BK305" s="785">
        <f>IF(AZ305=0,0,(BA305-AZ305)/AZ305*100)</f>
        <v>0</v>
      </c>
      <c r="BL305" s="785">
        <f>IF(BA305=0,0,(BB305-BA305)/BA305*100)</f>
        <v>0</v>
      </c>
      <c r="BM305" s="785">
        <f>IF(BB305=0,0,(BC305-BB305)/BB305*100)</f>
        <v>0</v>
      </c>
      <c r="BN305" s="6290"/>
      <c r="BO305" s="6290"/>
      <c r="BP305" s="6290"/>
      <c r="BQ305" s="706"/>
      <c r="BR305" s="706"/>
      <c r="BS305" s="1071" t="s">
        <v>2141</v>
      </c>
      <c r="BT305" s="1078"/>
      <c r="BU305" s="1078"/>
      <c r="BV305" s="713"/>
      <c r="BW305" s="713"/>
    </row>
    <row s="6359" customFormat="1" customHeight="1" ht="20.25">
      <c r="A306" s="706"/>
      <c r="B306" s="437"/>
      <c r="C306" s="105"/>
      <c r="D306" s="105">
        <f>D305+1</f>
        <v>13</v>
      </c>
      <c r="E306" s="833">
        <v>21</v>
      </c>
      <c r="F306" s="50" cm="1" t="str">
        <f t="array" ref="F306:F306">OFFSET(E306,-1,1)</f>
        <v>1</v>
      </c>
      <c r="G306" s="103" t="s">
        <v>1884</v>
      </c>
      <c r="H306" s="103"/>
      <c r="I306" s="103" t="s">
        <v>2444</v>
      </c>
      <c r="J306" s="105"/>
      <c r="K306" s="154" t="s">
        <v>2444</v>
      </c>
      <c r="L306" s="993" t="s">
        <v>2142</v>
      </c>
      <c r="M306" s="105"/>
      <c r="N306" s="105"/>
      <c r="O306" s="105"/>
      <c r="P306" s="105"/>
      <c r="Q306" s="105"/>
      <c r="R306" s="105"/>
      <c r="S306" s="105"/>
      <c r="T306" s="468" cm="1" t="str">
        <f t="array" ref="T306:T306">T305</f>
        <v>true</v>
      </c>
      <c r="U306" s="105"/>
      <c r="V306" s="105"/>
      <c r="W306" s="105"/>
      <c r="X306" s="1559"/>
      <c r="Y306" s="706"/>
      <c r="Z306" s="1529"/>
      <c r="AA306" s="706"/>
      <c r="AB306" s="207" cm="1" t="str">
        <f t="array" ref="AB306:AB306">D306</f>
        <v>13</v>
      </c>
      <c r="AC306" s="208" t="s">
        <v>2143</v>
      </c>
      <c r="AD306" s="207" t="s">
        <v>657</v>
      </c>
      <c r="AE306" s="792">
        <f>_xlfn.SUMIFS(Баланс!AE$26:AE$391,Баланс!$F$26:$F$391,$F306,Баланс!$G$26:$G$391,"население")</f>
        <v>4192.558</v>
      </c>
      <c r="AF306" s="792">
        <f>_xlfn.SUMIFS(Баланс!AF$26:AF$391,Баланс!$F$26:$F$391,$F306,Баланс!$G$26:$G$391,"население")</f>
        <v>4238.59148</v>
      </c>
      <c r="AG306" s="792">
        <f>_xlfn.SUMIFS(Баланс!AG$26:AG$391,Баланс!$F$26:$F$391,$F306,Баланс!$G$26:$G$391,"население")</f>
        <v>4238.59148</v>
      </c>
      <c r="AH306" s="792">
        <f>AG306-AF306</f>
        <v>0</v>
      </c>
      <c r="AI306" s="792">
        <f>_xlfn.SUMIFS(Баланс!AH$26:AH$391,Баланс!$F$26:$F$391,$F306,Баланс!$G$26:$G$391,"население")</f>
        <v>4180.33783</v>
      </c>
      <c r="AJ306" s="792">
        <f>_xlfn.SUMIFS(Баланс!AI$26:AI$391,Баланс!$F$26:$F$391,$F306,Баланс!$G$26:$G$391,"население")</f>
        <v>3954.38229</v>
      </c>
      <c r="AK306" s="792">
        <f>_xlfn.SUMIFS(Баланс!AJ$26:AJ$391,Баланс!$F$26:$F$391,$F306,Баланс!$G$26:$G$391,"население")</f>
        <v>0</v>
      </c>
      <c r="AL306" s="792">
        <f>_xlfn.SUMIFS(Баланс!AK$26:AK$391,Баланс!$F$26:$F$391,$F306,Баланс!$G$26:$G$391,"население")</f>
        <v>0</v>
      </c>
      <c r="AM306" s="792">
        <f>_xlfn.SUMIFS(Баланс!AL$26:AL$391,Баланс!$F$26:$F$391,$F306,Баланс!$G$26:$G$391,"население")</f>
        <v>0</v>
      </c>
      <c r="AN306" s="792">
        <f>_xlfn.SUMIFS(Баланс!AM$26:AM$391,Баланс!$F$26:$F$391,$F306,Баланс!$G$26:$G$391,"население")</f>
        <v>0</v>
      </c>
      <c r="AO306" s="792">
        <f>_xlfn.SUMIFS(Баланс!AN$26:AN$391,Баланс!$F$26:$F$391,$F306,Баланс!$G$26:$G$391,"население")</f>
        <v>0</v>
      </c>
      <c r="AP306" s="792">
        <f>_xlfn.SUMIFS(Баланс!AO$26:AO$391,Баланс!$F$26:$F$391,$F306,Баланс!$G$26:$G$391,"население")</f>
        <v>0</v>
      </c>
      <c r="AQ306" s="792">
        <f>_xlfn.SUMIFS(Баланс!AP$26:AP$391,Баланс!$F$26:$F$391,$F306,Баланс!$G$26:$G$391,"население")</f>
        <v>0</v>
      </c>
      <c r="AR306" s="792">
        <f>_xlfn.SUMIFS(Баланс!AQ$26:AQ$391,Баланс!$F$26:$F$391,$F306,Баланс!$G$26:$G$391,"население")</f>
        <v>0</v>
      </c>
      <c r="AS306" s="792">
        <f>_xlfn.SUMIFS(Баланс!AR$26:AR$391,Баланс!$F$26:$F$391,$F306,Баланс!$G$26:$G$391,"население")</f>
        <v>0</v>
      </c>
      <c r="AT306" s="792">
        <f>_xlfn.SUMIFS(Баланс!AS$26:AS$391,Баланс!$F$26:$F$391,$F306,Баланс!$G$26:$G$391,"население")</f>
        <v>4170.27244</v>
      </c>
      <c r="AU306" s="792">
        <f>_xlfn.SUMIFS(Баланс!AT$26:AT$391,Баланс!$F$26:$F$391,$F306,Баланс!$G$26:$G$391,"население")</f>
        <v>0</v>
      </c>
      <c r="AV306" s="792">
        <f>_xlfn.SUMIFS(Баланс!AU$26:AU$391,Баланс!$F$26:$F$391,$F306,Баланс!$G$26:$G$391,"население")</f>
        <v>0</v>
      </c>
      <c r="AW306" s="792">
        <f>_xlfn.SUMIFS(Баланс!AV$26:AV$391,Баланс!$F$26:$F$391,$F306,Баланс!$G$26:$G$391,"население")</f>
        <v>0</v>
      </c>
      <c r="AX306" s="792">
        <f>_xlfn.SUMIFS(Баланс!AW$26:AW$391,Баланс!$F$26:$F$391,$F306,Баланс!$G$26:$G$391,"население")</f>
        <v>0</v>
      </c>
      <c r="AY306" s="792">
        <f>_xlfn.SUMIFS(Баланс!AX$26:AX$391,Баланс!$F$26:$F$391,$F306,Баланс!$G$26:$G$391,"население")</f>
        <v>0</v>
      </c>
      <c r="AZ306" s="792">
        <f>_xlfn.SUMIFS(Баланс!AY$26:AY$391,Баланс!$F$26:$F$391,$F306,Баланс!$G$26:$G$391,"население")</f>
        <v>0</v>
      </c>
      <c r="BA306" s="792">
        <f>_xlfn.SUMIFS(Баланс!AZ$26:AZ$391,Баланс!$F$26:$F$391,$F306,Баланс!$G$26:$G$391,"население")</f>
        <v>0</v>
      </c>
      <c r="BB306" s="792">
        <f>_xlfn.SUMIFS(Баланс!BA$26:BA$391,Баланс!$F$26:$F$391,$F306,Баланс!$G$26:$G$391,"население")</f>
        <v>0</v>
      </c>
      <c r="BC306" s="792">
        <f>_xlfn.SUMIFS(Баланс!BB$26:BB$391,Баланс!$F$26:$F$391,$F306,Баланс!$G$26:$G$391,"население")</f>
        <v>0</v>
      </c>
      <c r="BD306" s="212"/>
      <c r="BE306" s="212"/>
      <c r="BF306" s="212"/>
      <c r="BG306" s="212"/>
      <c r="BH306" s="212"/>
      <c r="BI306" s="212"/>
      <c r="BJ306" s="212"/>
      <c r="BK306" s="212"/>
      <c r="BL306" s="212"/>
      <c r="BM306" s="212"/>
      <c r="BN306" s="6290"/>
      <c r="BO306" s="6290"/>
      <c r="BP306" s="6290"/>
      <c r="BQ306" s="706"/>
      <c r="BR306" s="706"/>
      <c r="BS306" s="1071" t="s">
        <v>2144</v>
      </c>
      <c r="BT306" s="1078"/>
      <c r="BU306" s="1078"/>
      <c r="BV306" s="713"/>
      <c r="BW306" s="713"/>
    </row>
    <row s="1656" customFormat="1" customHeight="1" ht="14.625">
      <c r="A307" s="1297"/>
      <c r="B307" s="986"/>
      <c r="C307" s="103"/>
      <c r="D307" s="103" cm="1" t="str">
        <f t="array" ref="D307:D307">D306</f>
        <v>13</v>
      </c>
      <c r="E307" s="626">
        <v>15</v>
      </c>
      <c r="F307" s="50" cm="1" t="str">
        <f t="array" ref="F307:F307">OFFSET(E307,-1,1)</f>
        <v>1</v>
      </c>
      <c r="G307" s="103" t="s">
        <v>1918</v>
      </c>
      <c r="H307" s="103"/>
      <c r="I307" s="103" t="s">
        <v>2445</v>
      </c>
      <c r="J307" s="103"/>
      <c r="K307" s="154" t="s">
        <v>2445</v>
      </c>
      <c r="L307" s="988" t="s">
        <v>2145</v>
      </c>
      <c r="M307" s="103"/>
      <c r="N307" s="103"/>
      <c r="O307" s="103"/>
      <c r="P307" s="103"/>
      <c r="Q307" s="103"/>
      <c r="R307" s="103"/>
      <c r="S307" s="103"/>
      <c r="T307" s="468" cm="1" t="str">
        <f t="array" ref="T307:T307">T306</f>
        <v>true</v>
      </c>
      <c r="U307" s="103"/>
      <c r="V307" s="103"/>
      <c r="W307" s="103"/>
      <c r="X307" s="1559"/>
      <c r="Y307" s="1297"/>
      <c r="Z307" s="1529"/>
      <c r="AA307" s="1297"/>
      <c r="AB307" s="296" t="str">
        <f>D307&amp;".1"</f>
        <v>13.1</v>
      </c>
      <c r="AC307" s="1120" t="s">
        <v>2147</v>
      </c>
      <c r="AD307" s="296" t="s">
        <v>657</v>
      </c>
      <c r="AE307" s="6291">
        <v>2096.279</v>
      </c>
      <c r="AF307" s="6291">
        <f>IF(AF$24="2026 год",AF306/12*9,AF306/2)</f>
        <v>2119.29574</v>
      </c>
      <c r="AG307" s="6291">
        <f>IF(AG$24="2026 год",AG306/12*9,AG306/2)</f>
        <v>2119.29574</v>
      </c>
      <c r="AH307" s="1122">
        <f>AG307-AF307</f>
        <v>0</v>
      </c>
      <c r="AI307" s="6291">
        <v>2090.168915</v>
      </c>
      <c r="AJ307" s="6291">
        <f>IF(AJ$24="2026 год",AJ306/12*9,AJ306/2)</f>
        <v>2965.7867175</v>
      </c>
      <c r="AK307" s="1258">
        <f>IF(AK$24="2026 год",AK306/12*9,AK306/2)</f>
        <v>0</v>
      </c>
      <c r="AL307" s="1258">
        <f>IF(AL$24="2026 год",AL306/12*9,AL306/2)</f>
        <v>0</v>
      </c>
      <c r="AM307" s="1258">
        <f>IF(AM$24="2026 год",AM306/12*9,AM306/2)</f>
        <v>0</v>
      </c>
      <c r="AN307" s="1258">
        <f>IF(AN$24="2026 год",AN306/12*9,AN306/2)</f>
        <v>0</v>
      </c>
      <c r="AO307" s="1258">
        <f>IF(AO$24="2026 год",AO306/12*9,AO306/2)</f>
        <v>0</v>
      </c>
      <c r="AP307" s="1258">
        <f>IF(AP$24="2026 год",AP306/12*9,AP306/2)</f>
        <v>0</v>
      </c>
      <c r="AQ307" s="1258">
        <f>IF(AQ$24="2026 год",AQ306/12*9,AQ306/2)</f>
        <v>0</v>
      </c>
      <c r="AR307" s="1258">
        <f>IF(AR$24="2026 год",AR306/12*9,AR306/2)</f>
        <v>0</v>
      </c>
      <c r="AS307" s="1258">
        <f>IF(AS$24="2026 год",AS306/12*9,AS306/2)</f>
        <v>0</v>
      </c>
      <c r="AT307" s="6356">
        <f>IF(AT$24="2026 год",AT306/12*9,AT306/2)</f>
        <v>3127.70433</v>
      </c>
      <c r="AU307" s="1280">
        <f>IF(AU$24="2026 год",AU306/12*9,AU306/2)</f>
        <v>0</v>
      </c>
      <c r="AV307" s="1258">
        <f>IF(AV$24="2026 год",AV306/12*9,AV306/2)</f>
        <v>0</v>
      </c>
      <c r="AW307" s="1258">
        <f>IF(AW$24="2026 год",AW306/12*9,AW306/2)</f>
        <v>0</v>
      </c>
      <c r="AX307" s="1258">
        <f>IF(AX$24="2026 год",AX306/12*9,AX306/2)</f>
        <v>0</v>
      </c>
      <c r="AY307" s="1258">
        <f>IF(AY$24="2026 год",AY306/12*9,AY306/2)</f>
        <v>0</v>
      </c>
      <c r="AZ307" s="1258">
        <f>IF(AZ$24="2026 год",AZ306/12*9,AZ306/2)</f>
        <v>0</v>
      </c>
      <c r="BA307" s="1258">
        <f>IF(BA$24="2026 год",BA306/12*9,BA306/2)</f>
        <v>0</v>
      </c>
      <c r="BB307" s="1258">
        <f>IF(BB$24="2026 год",BB306/12*9,BB306/2)</f>
        <v>0</v>
      </c>
      <c r="BC307" s="1258">
        <f>IF(BC$24="2026 год",BC306/12*9,BC306/2)</f>
        <v>0</v>
      </c>
      <c r="BD307" s="1124"/>
      <c r="BE307" s="1124"/>
      <c r="BF307" s="1124"/>
      <c r="BG307" s="1124"/>
      <c r="BH307" s="1124"/>
      <c r="BI307" s="1124"/>
      <c r="BJ307" s="1124"/>
      <c r="BK307" s="1124"/>
      <c r="BL307" s="1124"/>
      <c r="BM307" s="1124"/>
      <c r="BN307" s="6290"/>
      <c r="BO307" s="6290"/>
      <c r="BP307" s="6290"/>
      <c r="BQ307" s="1297"/>
      <c r="BR307" s="1297"/>
      <c r="BS307" s="1070" t="s">
        <v>2148</v>
      </c>
      <c r="BT307" s="1072"/>
      <c r="BU307" s="1072"/>
      <c r="BV307" s="987"/>
      <c r="BW307" s="987"/>
    </row>
    <row s="1656" customFormat="1" customHeight="1" ht="14.625">
      <c r="A308" s="1297"/>
      <c r="B308" s="986"/>
      <c r="C308" s="103"/>
      <c r="D308" s="103" cm="1" t="str">
        <f t="array" ref="D308:D308">D307</f>
        <v>13</v>
      </c>
      <c r="E308" s="626">
        <v>15</v>
      </c>
      <c r="F308" s="50" cm="1" t="str">
        <f t="array" ref="F308:F308">OFFSET(E308,-1,1)</f>
        <v>1</v>
      </c>
      <c r="G308" s="103" t="s">
        <v>1874</v>
      </c>
      <c r="H308" s="103"/>
      <c r="I308" s="103" t="s">
        <v>2446</v>
      </c>
      <c r="J308" s="103"/>
      <c r="K308" s="154" t="s">
        <v>2446</v>
      </c>
      <c r="L308" s="988" t="s">
        <v>2149</v>
      </c>
      <c r="M308" s="103"/>
      <c r="N308" s="103"/>
      <c r="O308" s="103"/>
      <c r="P308" s="103"/>
      <c r="Q308" s="103"/>
      <c r="R308" s="103"/>
      <c r="S308" s="103"/>
      <c r="T308" s="468" cm="1" t="str">
        <f t="array" ref="T308:T308">T307</f>
        <v>true</v>
      </c>
      <c r="U308" s="103"/>
      <c r="V308" s="103"/>
      <c r="W308" s="103"/>
      <c r="X308" s="1559"/>
      <c r="Y308" s="1297"/>
      <c r="Z308" s="1529"/>
      <c r="AA308" s="1297"/>
      <c r="AB308" s="296" t="str">
        <f>D308&amp;".2"</f>
        <v>13.2</v>
      </c>
      <c r="AC308" s="1120" t="s">
        <v>2151</v>
      </c>
      <c r="AD308" s="296" t="s">
        <v>1862</v>
      </c>
      <c r="AE308" s="6293">
        <v>50.82</v>
      </c>
      <c r="AF308" s="6360">
        <f>IF(AF306=0,0,AF300*(1+Сценарии!AF$26/100))</f>
        <v>0</v>
      </c>
      <c r="AG308" s="6360">
        <f>IF(AG306=0,0,AG300*(1+Сценарии!AG$26/100))</f>
        <v>0</v>
      </c>
      <c r="AH308" s="1123">
        <f>AG308-AF308</f>
        <v>0</v>
      </c>
      <c r="AI308" s="6293">
        <v>57.36</v>
      </c>
      <c r="AJ308" s="6360">
        <f>IF(AJ306=0,0,AJ300*(1+Сценарии!AJ$26/100))</f>
        <v>0</v>
      </c>
      <c r="AK308" s="1281">
        <f>IF(AK306=0,0,AK300*(1+Сценарии!AO$26/100))</f>
        <v>0</v>
      </c>
      <c r="AL308" s="1281">
        <f>IF(AL306=0,0,AL300*(1+Сценарии!AP$26/100))</f>
        <v>0</v>
      </c>
      <c r="AM308" s="1281">
        <f>IF(AM306=0,0,AM300*(1+Сценарии!AQ$26/100))</f>
        <v>0</v>
      </c>
      <c r="AN308" s="1281">
        <f>IF(AN306=0,0,AN300*(1+Сценарии!AR$26/100))</f>
        <v>0</v>
      </c>
      <c r="AO308" s="1281">
        <f>IF(AO306=0,0,AO300*(1+Сценарии!AS$26/100))</f>
        <v>0</v>
      </c>
      <c r="AP308" s="1281">
        <f>IF(AP306=0,0,AP300*(1+Сценарии!AT$26/100))</f>
        <v>0</v>
      </c>
      <c r="AQ308" s="1281">
        <f>IF(AQ306=0,0,AQ300*(1+Сценарии!AU$26/100))</f>
        <v>0</v>
      </c>
      <c r="AR308" s="1281">
        <f>IF(AR306=0,0,AR300*(1+Сценарии!AV$26/100))</f>
        <v>0</v>
      </c>
      <c r="AS308" s="1281">
        <f>IF(AS306=0,0,AS300*(1+Сценарии!AW$26/100))</f>
        <v>0</v>
      </c>
      <c r="AT308" s="6293">
        <f>IF(AT306=0,0,AT300*(1+Сценарии!AK$26/100))</f>
        <v>0</v>
      </c>
      <c r="AU308" s="1260">
        <f>IF(AU306=0,0,AU300*(1+Сценарии!AX$26/100))</f>
        <v>0</v>
      </c>
      <c r="AV308" s="1281">
        <f>IF(AV306=0,0,AV300*(1+Сценарии!AY$26/100))</f>
        <v>0</v>
      </c>
      <c r="AW308" s="1281">
        <f>IF(AW306=0,0,AW300*(1+Сценарии!AZ$26/100))</f>
        <v>0</v>
      </c>
      <c r="AX308" s="1281">
        <f>IF(AX306=0,0,AX300*(1+Сценарии!BA$26/100))</f>
        <v>0</v>
      </c>
      <c r="AY308" s="1281">
        <f>IF(AY306=0,0,AY300*(1+Сценарии!BB$26/100))</f>
        <v>0</v>
      </c>
      <c r="AZ308" s="1281">
        <f>IF(AZ306=0,0,AZ300*(1+Сценарии!BC$26/100))</f>
        <v>0</v>
      </c>
      <c r="BA308" s="1281">
        <f>IF(BA306=0,0,BA300*(1+Сценарии!BD$26/100))</f>
        <v>0</v>
      </c>
      <c r="BB308" s="1281">
        <f>IF(BB306=0,0,BB300*(1+Сценарии!BE$26/100))</f>
        <v>0</v>
      </c>
      <c r="BC308" s="1281">
        <f>IF(BC306=0,0,BC300*(1+Сценарии!BF$26/100))</f>
        <v>0</v>
      </c>
      <c r="BD308" s="1124"/>
      <c r="BE308" s="1124"/>
      <c r="BF308" s="1124"/>
      <c r="BG308" s="1124"/>
      <c r="BH308" s="1124"/>
      <c r="BI308" s="1124"/>
      <c r="BJ308" s="1124"/>
      <c r="BK308" s="1124"/>
      <c r="BL308" s="1124"/>
      <c r="BM308" s="1124"/>
      <c r="BN308" s="6290"/>
      <c r="BO308" s="6290"/>
      <c r="BP308" s="6290"/>
      <c r="BQ308" s="1297"/>
      <c r="BR308" s="1297"/>
      <c r="BS308" s="1070" t="s">
        <v>2152</v>
      </c>
      <c r="BT308" s="1072"/>
      <c r="BU308" s="1072"/>
      <c r="BV308" s="987"/>
      <c r="BW308" s="987"/>
    </row>
    <row s="1656" customFormat="1" customHeight="1" ht="14.25">
      <c r="A309" s="1297"/>
      <c r="B309" s="986"/>
      <c r="C309" s="103"/>
      <c r="D309" s="103" cm="1" t="str">
        <f t="array" ref="D309:D309">D308</f>
        <v>13</v>
      </c>
      <c r="E309" s="626">
        <v>15</v>
      </c>
      <c r="F309" s="50" cm="1" t="str">
        <f t="array" ref="F309:F309">OFFSET(E309,-1,1)</f>
        <v>1</v>
      </c>
      <c r="G309" s="103" t="s">
        <v>1925</v>
      </c>
      <c r="H309" s="103"/>
      <c r="I309" s="103" t="s">
        <v>2447</v>
      </c>
      <c r="J309" s="103"/>
      <c r="K309" s="103" t="s">
        <v>2447</v>
      </c>
      <c r="L309" s="988" t="s">
        <v>2153</v>
      </c>
      <c r="M309" s="103"/>
      <c r="N309" s="103"/>
      <c r="O309" s="103"/>
      <c r="P309" s="103"/>
      <c r="Q309" s="103"/>
      <c r="R309" s="103"/>
      <c r="S309" s="103"/>
      <c r="T309" s="468" cm="1" t="str">
        <f t="array" ref="T309:T309">T308</f>
        <v>true</v>
      </c>
      <c r="U309" s="103"/>
      <c r="V309" s="103"/>
      <c r="W309" s="103"/>
      <c r="X309" s="1559"/>
      <c r="Y309" s="1297"/>
      <c r="Z309" s="1529"/>
      <c r="AA309" s="1297"/>
      <c r="AB309" s="296" t="str">
        <f>D309&amp;".3"</f>
        <v>13.3</v>
      </c>
      <c r="AC309" s="1120" t="s">
        <v>2125</v>
      </c>
      <c r="AD309" s="296" t="s">
        <v>657</v>
      </c>
      <c r="AE309" s="1122">
        <f>AE306-AE307</f>
        <v>2096.279</v>
      </c>
      <c r="AF309" s="1122">
        <f>AF306-AF307</f>
        <v>2119.29574</v>
      </c>
      <c r="AG309" s="1122">
        <f>AG306-AG307</f>
        <v>2119.29574</v>
      </c>
      <c r="AH309" s="1122">
        <f>AG309-AF309</f>
        <v>0</v>
      </c>
      <c r="AI309" s="1122">
        <f>AI306-AI307</f>
        <v>2090.168915</v>
      </c>
      <c r="AJ309" s="1122">
        <f>AJ306-AJ307</f>
        <v>988.5955725</v>
      </c>
      <c r="AK309" s="1122">
        <f>AK306-AK307</f>
        <v>0</v>
      </c>
      <c r="AL309" s="1122">
        <f>AL306-AL307</f>
        <v>0</v>
      </c>
      <c r="AM309" s="1122">
        <f>AM306-AM307</f>
        <v>0</v>
      </c>
      <c r="AN309" s="1122">
        <f>AN306-AN307</f>
        <v>0</v>
      </c>
      <c r="AO309" s="1122">
        <f>AO306-AO307</f>
        <v>0</v>
      </c>
      <c r="AP309" s="1122">
        <f>AP306-AP307</f>
        <v>0</v>
      </c>
      <c r="AQ309" s="1122">
        <f>AQ306-AQ307</f>
        <v>0</v>
      </c>
      <c r="AR309" s="1122">
        <f>AR306-AR307</f>
        <v>0</v>
      </c>
      <c r="AS309" s="1122">
        <f>AS306-AS307</f>
        <v>0</v>
      </c>
      <c r="AT309" s="1122">
        <f>AT306-AT307</f>
        <v>1042.56811</v>
      </c>
      <c r="AU309" s="1122">
        <f>AU306-AU307</f>
        <v>0</v>
      </c>
      <c r="AV309" s="1122">
        <f>AV306-AV307</f>
        <v>0</v>
      </c>
      <c r="AW309" s="1122">
        <f>AW306-AW307</f>
        <v>0</v>
      </c>
      <c r="AX309" s="1122">
        <f>AX306-AX307</f>
        <v>0</v>
      </c>
      <c r="AY309" s="1122">
        <f>AY306-AY307</f>
        <v>0</v>
      </c>
      <c r="AZ309" s="1122">
        <f>AZ306-AZ307</f>
        <v>0</v>
      </c>
      <c r="BA309" s="1122">
        <f>BA306-BA307</f>
        <v>0</v>
      </c>
      <c r="BB309" s="1122">
        <f>BB306-BB307</f>
        <v>0</v>
      </c>
      <c r="BC309" s="1122">
        <f>BC306-BC307</f>
        <v>0</v>
      </c>
      <c r="BD309" s="1124"/>
      <c r="BE309" s="1124"/>
      <c r="BF309" s="1124"/>
      <c r="BG309" s="1124"/>
      <c r="BH309" s="1124"/>
      <c r="BI309" s="1124"/>
      <c r="BJ309" s="1124"/>
      <c r="BK309" s="1124"/>
      <c r="BL309" s="1124"/>
      <c r="BM309" s="1124"/>
      <c r="BN309" s="6290"/>
      <c r="BO309" s="6290"/>
      <c r="BP309" s="6290"/>
      <c r="BQ309" s="1297"/>
      <c r="BR309" s="1297"/>
      <c r="BS309" s="1070" t="s">
        <v>2155</v>
      </c>
      <c r="BT309" s="1072"/>
      <c r="BU309" s="1072"/>
      <c r="BV309" s="987"/>
      <c r="BW309" s="987"/>
    </row>
    <row s="1656" customFormat="1" customHeight="1" ht="14.625">
      <c r="A310" s="1297"/>
      <c r="B310" s="986"/>
      <c r="C310" s="103"/>
      <c r="D310" s="103" cm="1" t="str">
        <f t="array" ref="D310:D310">D309</f>
        <v>13</v>
      </c>
      <c r="E310" s="626">
        <v>15</v>
      </c>
      <c r="F310" s="50" cm="1" t="str">
        <f t="array" ref="F310:F310">OFFSET(E310,-1,1)</f>
        <v>1</v>
      </c>
      <c r="G310" s="103" t="s">
        <v>1878</v>
      </c>
      <c r="H310" s="103"/>
      <c r="I310" s="103" t="s">
        <v>2448</v>
      </c>
      <c r="J310" s="103"/>
      <c r="K310" s="103" t="s">
        <v>2448</v>
      </c>
      <c r="L310" s="988" t="s">
        <v>2156</v>
      </c>
      <c r="M310" s="103"/>
      <c r="N310" s="103"/>
      <c r="O310" s="103"/>
      <c r="P310" s="103"/>
      <c r="Q310" s="103"/>
      <c r="R310" s="103"/>
      <c r="S310" s="103"/>
      <c r="T310" s="468" cm="1" t="str">
        <f t="array" ref="T310:T310">T309</f>
        <v>true</v>
      </c>
      <c r="U310" s="103"/>
      <c r="V310" s="103"/>
      <c r="W310" s="103"/>
      <c r="X310" s="1559"/>
      <c r="Y310" s="1297"/>
      <c r="Z310" s="1529"/>
      <c r="AA310" s="1297"/>
      <c r="AB310" s="296" t="str">
        <f>D310&amp;".4"</f>
        <v>13.4</v>
      </c>
      <c r="AC310" s="1120" t="s">
        <v>2129</v>
      </c>
      <c r="AD310" s="296" t="s">
        <v>1862</v>
      </c>
      <c r="AE310" s="6293">
        <v>55.7061055217</v>
      </c>
      <c r="AF310" s="6360">
        <f>IF(AF306=0,0,AF302*(1+Сценарии!AF$26/100))</f>
        <v>46.3058458785266</v>
      </c>
      <c r="AG310" s="6360">
        <f>IF(AG306=0,0,AG302*(1+Сценарии!AG$26/100))</f>
        <v>42.3899884406739</v>
      </c>
      <c r="AH310" s="1123">
        <f>AG310-AF310</f>
        <v>-3.91585743785269</v>
      </c>
      <c r="AI310" s="6293">
        <v>64.2331375028</v>
      </c>
      <c r="AJ310" s="6360">
        <f>IF(AJ306=0,0,AJ302*(1+Сценарии!AJ$26/100))</f>
        <v>110.410779774026</v>
      </c>
      <c r="AK310" s="1260">
        <f>IF(AK306=0,0,AK302*(1+Сценарии!AO$26/100))</f>
        <v>0</v>
      </c>
      <c r="AL310" s="1281">
        <f>IF(AL306=0,0,AL302*(1+Сценарии!AP$26/100))</f>
        <v>0</v>
      </c>
      <c r="AM310" s="1281">
        <f>IF(AM306=0,0,AM302*(1+Сценарии!AQ$26/100))</f>
        <v>0</v>
      </c>
      <c r="AN310" s="1281">
        <f>IF(AN306=0,0,AN302*(1+Сценарии!AR$26/100))</f>
        <v>0</v>
      </c>
      <c r="AO310" s="1281">
        <f>IF(AO306=0,0,AO302*(1+Сценарии!AS$26/100))</f>
        <v>0</v>
      </c>
      <c r="AP310" s="1281">
        <f>IF(AP306=0,0,AP302*(1+Сценарии!AT$26/100))</f>
        <v>0</v>
      </c>
      <c r="AQ310" s="1281">
        <f>IF(AQ306=0,0,AQ302*(1+Сценарии!AU$26/100))</f>
        <v>0</v>
      </c>
      <c r="AR310" s="1281">
        <f>IF(AR306=0,0,AR302*(1+Сценарии!AV$26/100))</f>
        <v>0</v>
      </c>
      <c r="AS310" s="1281">
        <f>IF(AS306=0,0,AS302*(1+Сценарии!AW$26/100))</f>
        <v>0</v>
      </c>
      <c r="AT310" s="6293">
        <f>IF(AT306=0,0,AT302*(1+Сценарии!AK$26/100))</f>
        <v>106.035820270745</v>
      </c>
      <c r="AU310" s="1260">
        <f>IF(AU306=0,0,AU302*(1+Сценарии!AX$26/100))</f>
        <v>0</v>
      </c>
      <c r="AV310" s="1281">
        <f>IF(AV306=0,0,AV302*(1+Сценарии!AY$26/100))</f>
        <v>0</v>
      </c>
      <c r="AW310" s="1281">
        <f>IF(AW306=0,0,AW302*(1+Сценарии!AZ$26/100))</f>
        <v>0</v>
      </c>
      <c r="AX310" s="1281">
        <f>IF(AX306=0,0,AX302*(1+Сценарии!BA$26/100))</f>
        <v>0</v>
      </c>
      <c r="AY310" s="1281">
        <f>IF(AY306=0,0,AY302*(1+Сценарии!BB$26/100))</f>
        <v>0</v>
      </c>
      <c r="AZ310" s="1281">
        <f>IF(AZ306=0,0,AZ302*(1+Сценарии!BC$26/100))</f>
        <v>0</v>
      </c>
      <c r="BA310" s="1281">
        <f>IF(BA306=0,0,BA302*(1+Сценарии!BD$26/100))</f>
        <v>0</v>
      </c>
      <c r="BB310" s="1281">
        <f>IF(BB306=0,0,BB302*(1+Сценарии!BE$26/100))</f>
        <v>0</v>
      </c>
      <c r="BC310" s="1281">
        <f>IF(BC306=0,0,BC302*(1+Сценарии!BF$26/100))</f>
        <v>0</v>
      </c>
      <c r="BD310" s="1124"/>
      <c r="BE310" s="1124"/>
      <c r="BF310" s="1124"/>
      <c r="BG310" s="1124"/>
      <c r="BH310" s="1124"/>
      <c r="BI310" s="1124"/>
      <c r="BJ310" s="1124"/>
      <c r="BK310" s="1124"/>
      <c r="BL310" s="1124"/>
      <c r="BM310" s="1124"/>
      <c r="BN310" s="6290"/>
      <c r="BO310" s="6290"/>
      <c r="BP310" s="6290"/>
      <c r="BQ310" s="1297"/>
      <c r="BR310" s="1297"/>
      <c r="BS310" s="1070" t="s">
        <v>2159</v>
      </c>
      <c r="BT310" s="1072"/>
      <c r="BU310" s="1072"/>
      <c r="BV310" s="987"/>
      <c r="BW310" s="987"/>
    </row>
    <row s="1656" customFormat="1" customHeight="1" ht="14.25">
      <c r="A311" s="1297"/>
      <c r="B311" s="986"/>
      <c r="C311" s="103"/>
      <c r="D311" s="103">
        <f>D310+1</f>
        <v>14</v>
      </c>
      <c r="E311" s="626">
        <v>15</v>
      </c>
      <c r="F311" s="50" cm="1" t="str">
        <f t="array" ref="F311:F311">OFFSET(E311,-1,1)</f>
        <v>1</v>
      </c>
      <c r="G311" s="103"/>
      <c r="H311" s="103"/>
      <c r="I311" s="103"/>
      <c r="J311" s="103"/>
      <c r="K311" s="103"/>
      <c r="L311" s="988"/>
      <c r="M311" s="103"/>
      <c r="N311" s="103"/>
      <c r="O311" s="103"/>
      <c r="P311" s="103"/>
      <c r="Q311" s="103"/>
      <c r="R311" s="103"/>
      <c r="S311" s="103"/>
      <c r="T311" s="468" cm="1" t="str">
        <f t="array" ref="T311:T311">T310</f>
        <v>true</v>
      </c>
      <c r="U311" s="103"/>
      <c r="V311" s="103"/>
      <c r="W311" s="103"/>
      <c r="X311" s="1559"/>
      <c r="Y311" s="1297"/>
      <c r="Z311" s="1529"/>
      <c r="AA311" s="1297"/>
      <c r="AB311" s="207" cm="1" t="str">
        <f t="array" ref="AB311:AB311">D311</f>
        <v>14</v>
      </c>
      <c r="AC311" s="208" t="s">
        <v>2160</v>
      </c>
      <c r="AD311" s="207" t="s">
        <v>936</v>
      </c>
      <c r="AE311" s="6293"/>
      <c r="AF311" s="6293"/>
      <c r="AG311" s="6293"/>
      <c r="AH311" s="1123">
        <f>AG311-AF311</f>
        <v>0</v>
      </c>
      <c r="AI311" s="6293"/>
      <c r="AJ311" s="6293"/>
      <c r="AK311" s="1260"/>
      <c r="AL311" s="1260"/>
      <c r="AM311" s="1260"/>
      <c r="AN311" s="1260"/>
      <c r="AO311" s="1260"/>
      <c r="AP311" s="1260"/>
      <c r="AQ311" s="1260"/>
      <c r="AR311" s="1260"/>
      <c r="AS311" s="1260"/>
      <c r="AT311" s="6293"/>
      <c r="AU311" s="1260"/>
      <c r="AV311" s="1260"/>
      <c r="AW311" s="1260"/>
      <c r="AX311" s="1260"/>
      <c r="AY311" s="1260"/>
      <c r="AZ311" s="1260"/>
      <c r="BA311" s="1260"/>
      <c r="BB311" s="1260"/>
      <c r="BC311" s="1260"/>
      <c r="BD311" s="1124"/>
      <c r="BE311" s="1124"/>
      <c r="BF311" s="1124"/>
      <c r="BG311" s="1124"/>
      <c r="BH311" s="1124"/>
      <c r="BI311" s="1124"/>
      <c r="BJ311" s="1124"/>
      <c r="BK311" s="1124"/>
      <c r="BL311" s="1124"/>
      <c r="BM311" s="1124"/>
      <c r="BN311" s="6290"/>
      <c r="BO311" s="6290"/>
      <c r="BP311" s="6290"/>
      <c r="BQ311" s="1297"/>
      <c r="BR311" s="1297"/>
      <c r="BS311" s="1070" t="s">
        <v>2161</v>
      </c>
      <c r="BT311" s="1072"/>
      <c r="BU311" s="1072"/>
      <c r="BV311" s="987"/>
      <c r="BW311" s="987"/>
    </row>
    <row s="1252" customFormat="1" customHeight="1" ht="20.25">
      <c r="A312" s="1252"/>
      <c r="B312" s="760"/>
      <c r="C312" s="103"/>
      <c r="D312" s="103" cm="1" t="str">
        <f t="array" ref="D312:D312">D311</f>
        <v>14</v>
      </c>
      <c r="E312" s="626">
        <v>21</v>
      </c>
      <c r="F312" s="50" cm="1" t="str">
        <f t="array" ref="F312:F312">OFFSET(E312,-1,1)</f>
        <v>1</v>
      </c>
      <c r="G312" s="103"/>
      <c r="H312" s="103"/>
      <c r="I312" s="103"/>
      <c r="J312" s="103"/>
      <c r="K312" s="103"/>
      <c r="L312" s="988"/>
      <c r="M312" s="103"/>
      <c r="N312" s="103"/>
      <c r="O312" s="103"/>
      <c r="P312" s="103"/>
      <c r="Q312" s="103"/>
      <c r="R312" s="103"/>
      <c r="S312" s="103"/>
      <c r="T312" s="468" cm="1" t="str">
        <f t="array" ref="T312:T312">T311</f>
        <v>true</v>
      </c>
      <c r="U312" s="103"/>
      <c r="V312" s="103"/>
      <c r="W312" s="103"/>
      <c r="X312" s="1559"/>
      <c r="Y312" s="1252"/>
      <c r="Z312" s="1529"/>
      <c r="AA312" s="1252"/>
      <c r="AB312" s="296" t="str">
        <f>D312&amp;".1"</f>
        <v>14.1</v>
      </c>
      <c r="AC312" s="769" t="s">
        <v>2163</v>
      </c>
      <c r="AD312" s="296" t="s">
        <v>936</v>
      </c>
      <c r="AE312" s="6293"/>
      <c r="AF312" s="6293"/>
      <c r="AG312" s="6293"/>
      <c r="AH312" s="1123">
        <f>AG312-AF312</f>
        <v>0</v>
      </c>
      <c r="AI312" s="6293"/>
      <c r="AJ312" s="6293"/>
      <c r="AK312" s="1260"/>
      <c r="AL312" s="1260"/>
      <c r="AM312" s="1260"/>
      <c r="AN312" s="1260"/>
      <c r="AO312" s="1260"/>
      <c r="AP312" s="1260"/>
      <c r="AQ312" s="1260"/>
      <c r="AR312" s="1260"/>
      <c r="AS312" s="1260"/>
      <c r="AT312" s="6293"/>
      <c r="AU312" s="1260"/>
      <c r="AV312" s="1260"/>
      <c r="AW312" s="1260"/>
      <c r="AX312" s="1260"/>
      <c r="AY312" s="1260"/>
      <c r="AZ312" s="1260"/>
      <c r="BA312" s="1260"/>
      <c r="BB312" s="1260"/>
      <c r="BC312" s="1260"/>
      <c r="BD312" s="1124"/>
      <c r="BE312" s="1124"/>
      <c r="BF312" s="1124"/>
      <c r="BG312" s="1124"/>
      <c r="BH312" s="1124"/>
      <c r="BI312" s="1124"/>
      <c r="BJ312" s="1124"/>
      <c r="BK312" s="1124"/>
      <c r="BL312" s="1124"/>
      <c r="BM312" s="1124"/>
      <c r="BN312" s="6290"/>
      <c r="BO312" s="6290"/>
      <c r="BP312" s="6290"/>
      <c r="BQ312" s="1252"/>
      <c r="BR312" s="1252"/>
      <c r="BS312" s="1070" t="s">
        <v>2164</v>
      </c>
      <c r="BT312" s="1079"/>
      <c r="BU312" s="1079"/>
      <c r="BV312" s="1080"/>
      <c r="BW312" s="1080"/>
    </row>
    <row s="1252" customFormat="1" customHeight="1" ht="64.5">
      <c r="A313" s="1252"/>
      <c r="B313" s="760"/>
      <c r="C313" s="103"/>
      <c r="D313" s="103" cm="1" t="str">
        <f t="array" ref="D313:D313">D312</f>
        <v>14</v>
      </c>
      <c r="E313" s="626">
        <v>66.6</v>
      </c>
      <c r="F313" s="50" cm="1" t="str">
        <f t="array" ref="F313:F313">OFFSET(E313,-1,1)</f>
        <v>1</v>
      </c>
      <c r="G313" s="103"/>
      <c r="H313" s="103"/>
      <c r="I313" s="103"/>
      <c r="J313" s="103"/>
      <c r="K313" s="103"/>
      <c r="L313" s="988"/>
      <c r="M313" s="103"/>
      <c r="N313" s="103"/>
      <c r="O313" s="103"/>
      <c r="P313" s="103"/>
      <c r="Q313" s="103"/>
      <c r="R313" s="103"/>
      <c r="S313" s="103"/>
      <c r="T313" s="468" cm="1" t="str">
        <f t="array" ref="T313:T313">T312</f>
        <v>true</v>
      </c>
      <c r="U313" s="103"/>
      <c r="V313" s="103"/>
      <c r="W313" s="103"/>
      <c r="X313" s="1559"/>
      <c r="Y313" s="1252"/>
      <c r="Z313" s="1529"/>
      <c r="AA313" s="1252"/>
      <c r="AB313" s="296" t="str">
        <f>D313&amp;".2"</f>
        <v>14.2</v>
      </c>
      <c r="AC313" s="769" t="s">
        <v>2166</v>
      </c>
      <c r="AD313" s="296" t="s">
        <v>936</v>
      </c>
      <c r="AE313" s="6293"/>
      <c r="AF313" s="6293"/>
      <c r="AG313" s="6293"/>
      <c r="AH313" s="1123">
        <f>AG313-AF313</f>
        <v>0</v>
      </c>
      <c r="AI313" s="6293"/>
      <c r="AJ313" s="6293"/>
      <c r="AK313" s="1260"/>
      <c r="AL313" s="1260"/>
      <c r="AM313" s="1260"/>
      <c r="AN313" s="1260"/>
      <c r="AO313" s="1260"/>
      <c r="AP313" s="1260"/>
      <c r="AQ313" s="1260"/>
      <c r="AR313" s="1260"/>
      <c r="AS313" s="1260"/>
      <c r="AT313" s="6293"/>
      <c r="AU313" s="1260"/>
      <c r="AV313" s="1260"/>
      <c r="AW313" s="1260"/>
      <c r="AX313" s="1260"/>
      <c r="AY313" s="1260"/>
      <c r="AZ313" s="1260"/>
      <c r="BA313" s="1260"/>
      <c r="BB313" s="1260"/>
      <c r="BC313" s="1260"/>
      <c r="BD313" s="1124"/>
      <c r="BE313" s="1124"/>
      <c r="BF313" s="1124"/>
      <c r="BG313" s="1124"/>
      <c r="BH313" s="1124"/>
      <c r="BI313" s="1124"/>
      <c r="BJ313" s="1124"/>
      <c r="BK313" s="1124"/>
      <c r="BL313" s="1124"/>
      <c r="BM313" s="1124"/>
      <c r="BN313" s="6290"/>
      <c r="BO313" s="6290"/>
      <c r="BP313" s="6290"/>
      <c r="BQ313" s="1252"/>
      <c r="BR313" s="1252"/>
      <c r="BS313" s="1070" t="s">
        <v>2167</v>
      </c>
      <c r="BT313" s="1079"/>
      <c r="BU313" s="1079"/>
      <c r="BV313" s="1080"/>
      <c r="BW313" s="1080"/>
    </row>
    <row s="1252" customFormat="1" customHeight="1" ht="44.25">
      <c r="A314" s="1252"/>
      <c r="B314" s="760"/>
      <c r="C314" s="103"/>
      <c r="D314" s="103" cm="1" t="str">
        <f t="array" ref="D314:D314">D313</f>
        <v>14</v>
      </c>
      <c r="E314" s="626">
        <v>45.6</v>
      </c>
      <c r="F314" s="50" cm="1" t="str">
        <f t="array" ref="F314:F314">OFFSET(E314,-1,1)</f>
        <v>1</v>
      </c>
      <c r="G314" s="103"/>
      <c r="H314" s="103"/>
      <c r="I314" s="103"/>
      <c r="J314" s="103"/>
      <c r="K314" s="103"/>
      <c r="L314" s="988"/>
      <c r="M314" s="103"/>
      <c r="N314" s="103"/>
      <c r="O314" s="103"/>
      <c r="P314" s="103"/>
      <c r="Q314" s="103"/>
      <c r="R314" s="103"/>
      <c r="S314" s="103"/>
      <c r="T314" s="468" cm="1" t="str">
        <f t="array" ref="T314:T314">T313</f>
        <v>true</v>
      </c>
      <c r="U314" s="103"/>
      <c r="V314" s="103"/>
      <c r="W314" s="103"/>
      <c r="X314" s="1559"/>
      <c r="Y314" s="1252"/>
      <c r="Z314" s="1529"/>
      <c r="AA314" s="1252"/>
      <c r="AB314" s="296" t="str">
        <f>D314&amp;".3"</f>
        <v>14.3</v>
      </c>
      <c r="AC314" s="769" t="s">
        <v>2449</v>
      </c>
      <c r="AD314" s="296" t="s">
        <v>936</v>
      </c>
      <c r="AE314" s="1124"/>
      <c r="AF314" s="6293"/>
      <c r="AG314" s="6293"/>
      <c r="AH314" s="1123">
        <f>AG314-AF314</f>
        <v>0</v>
      </c>
      <c r="AI314" s="1124"/>
      <c r="AJ314" s="1124"/>
      <c r="AK314" s="1124"/>
      <c r="AL314" s="1124"/>
      <c r="AM314" s="1124"/>
      <c r="AN314" s="1124"/>
      <c r="AO314" s="1124"/>
      <c r="AP314" s="1124"/>
      <c r="AQ314" s="1124"/>
      <c r="AR314" s="1124"/>
      <c r="AS314" s="1124"/>
      <c r="AT314" s="1124"/>
      <c r="AU314" s="1124"/>
      <c r="AV314" s="1124"/>
      <c r="AW314" s="1124"/>
      <c r="AX314" s="1124"/>
      <c r="AY314" s="1124"/>
      <c r="AZ314" s="1124"/>
      <c r="BA314" s="1124"/>
      <c r="BB314" s="1124"/>
      <c r="BC314" s="1124"/>
      <c r="BD314" s="1124"/>
      <c r="BE314" s="1124"/>
      <c r="BF314" s="1124"/>
      <c r="BG314" s="1124"/>
      <c r="BH314" s="1124"/>
      <c r="BI314" s="1124"/>
      <c r="BJ314" s="1124"/>
      <c r="BK314" s="1124"/>
      <c r="BL314" s="1124"/>
      <c r="BM314" s="1124"/>
      <c r="BN314" s="6290"/>
      <c r="BO314" s="6290"/>
      <c r="BP314" s="6290"/>
      <c r="BQ314" s="1252"/>
      <c r="BR314" s="1252"/>
      <c r="BS314" s="1079" t="s">
        <v>2450</v>
      </c>
      <c r="BT314" s="1079"/>
      <c r="BU314" s="1079"/>
      <c r="BV314" s="1080"/>
      <c r="BW314" s="1080"/>
    </row>
    <row s="541" customFormat="1" customHeight="1" ht="14.25">
      <c r="A315" s="1331"/>
      <c r="B315" s="430"/>
      <c r="C315" s="428"/>
      <c r="D315" s="428"/>
      <c r="E315" s="624">
        <v>15</v>
      </c>
      <c r="F315" s="496" cm="1" t="str">
        <f t="array" ref="F315:F315">X315</f>
        <v>2</v>
      </c>
      <c r="G315" s="496" cm="1" t="str">
        <f t="array" ref="G315:G315">INDEX('Общие сведения'!$AK$197:$AK$254,MATCH($X315,'Общие сведения'!$Z$197:$Z$254,0))</f>
        <v>одноставочный</v>
      </c>
      <c r="H315" s="428"/>
      <c r="I315" s="496"/>
      <c r="J315" s="428"/>
      <c r="K315" s="428"/>
      <c r="L315" s="990"/>
      <c r="M315" s="428"/>
      <c r="N315" s="428"/>
      <c r="O315" s="428"/>
      <c r="P315" s="428"/>
      <c r="Q315" s="428"/>
      <c r="R315" s="428"/>
      <c r="S315" s="428" cm="1" t="str">
        <f t="array" ref="S315:S315">INDEX('Общие сведения'!$AE$197:$AE$254,MATCH($X315,'Общие сведения'!$Z$197:$Z$254,0))</f>
        <v>Водоотведение</v>
      </c>
      <c r="T315" s="468">
        <f>X315&gt;0</f>
        <v>1</v>
      </c>
      <c r="U315" s="428"/>
      <c r="V315" s="428" cm="1" t="str">
        <f t="array" ref="V315:V315">'Калькуляция (МЭОР)'!$AB$197</f>
        <v>Тариф 2 (Водоотведение) - тариф на водоотведение (Оказание услуг на территории: город Ленинск-Кузнецкий (ОКТМО: 32719000) - г Ленинск-Кузнецкий)</v>
      </c>
      <c r="W315" s="428"/>
      <c r="X315" s="1559" t="s">
        <v>299</v>
      </c>
      <c r="Y315" s="1331"/>
      <c r="Z315" s="1529"/>
      <c r="AA315" s="1331"/>
      <c r="AB315" s="377" cm="1" t="str">
        <f t="array" ref="AB315:AB315">'Калькуляция (МЭОР)'!$AB$197</f>
        <v>Тариф 2 (Водоотведение) - тариф на водоотведение (Оказание услуг на территории: город Ленинск-Кузнецкий (ОКТМО: 32719000) - г Ленинск-Кузнецкий)</v>
      </c>
      <c r="AC315" s="248"/>
      <c r="AD315" s="248"/>
      <c r="AE315" s="248"/>
      <c r="AF315" s="248"/>
      <c r="AG315" s="248"/>
      <c r="AH315" s="248"/>
      <c r="AI315" s="248"/>
      <c r="AJ315" s="248"/>
      <c r="AK315" s="248"/>
      <c r="AL315" s="248"/>
      <c r="AM315" s="248"/>
      <c r="AN315" s="248"/>
      <c r="AO315" s="248"/>
      <c r="AP315" s="248"/>
      <c r="AQ315" s="248"/>
      <c r="AR315" s="248"/>
      <c r="AS315" s="248"/>
      <c r="AT315" s="248"/>
      <c r="AU315" s="248"/>
      <c r="AV315" s="248"/>
      <c r="AW315" s="248"/>
      <c r="AX315" s="248"/>
      <c r="AY315" s="248"/>
      <c r="AZ315" s="248"/>
      <c r="BA315" s="248"/>
      <c r="BB315" s="248"/>
      <c r="BC315" s="248"/>
      <c r="BD315" s="248"/>
      <c r="BE315" s="248"/>
      <c r="BF315" s="248"/>
      <c r="BG315" s="248"/>
      <c r="BH315" s="248"/>
      <c r="BI315" s="248"/>
      <c r="BJ315" s="248"/>
      <c r="BK315" s="248"/>
      <c r="BL315" s="248"/>
      <c r="BM315" s="248"/>
      <c r="BN315" s="248"/>
      <c r="BO315" s="248"/>
      <c r="BP315" s="248"/>
      <c r="BQ315" s="1331"/>
      <c r="BR315" s="1331"/>
      <c r="BS315" s="1005"/>
      <c r="BT315" s="1005"/>
      <c r="BU315" s="1005"/>
      <c r="BV315" s="623"/>
      <c r="BW315" s="623"/>
    </row>
    <row s="6361" customFormat="1" customHeight="1" ht="212.25">
      <c r="A316" s="157"/>
      <c r="B316" s="436"/>
      <c r="C316" s="862"/>
      <c r="D316" s="862"/>
      <c r="E316" s="863">
        <v>21</v>
      </c>
      <c r="F316" s="50" cm="1" t="str">
        <f t="array" ref="F316:F316">OFFSET(E316,-1,1)</f>
        <v>2</v>
      </c>
      <c r="G316" s="862"/>
      <c r="H316" s="108"/>
      <c r="I316" s="108" t="s">
        <v>344</v>
      </c>
      <c r="J316" s="862"/>
      <c r="K316" s="373" t="s">
        <v>344</v>
      </c>
      <c r="L316" s="991"/>
      <c r="M316" s="862"/>
      <c r="N316" s="862"/>
      <c r="O316" s="862"/>
      <c r="P316" s="862"/>
      <c r="Q316" s="862"/>
      <c r="R316" s="862"/>
      <c r="S316" s="862"/>
      <c r="T316" s="468" cm="1" t="str">
        <f t="array" ref="T316:T316">T315</f>
        <v>true</v>
      </c>
      <c r="U316" s="862"/>
      <c r="V316" s="862"/>
      <c r="W316" s="862"/>
      <c r="X316" s="1559"/>
      <c r="Y316" s="157"/>
      <c r="Z316" s="1529"/>
      <c r="AA316" s="157"/>
      <c r="AB316" s="230" t="s">
        <v>290</v>
      </c>
      <c r="AC316" s="208" t="s">
        <v>2174</v>
      </c>
      <c r="AD316" s="230" t="s">
        <v>936</v>
      </c>
      <c r="AE316" s="785">
        <f>SUM(AE318,AE335,AE341,AE361,AE362,AE363)</f>
        <v>76169.06</v>
      </c>
      <c r="AF316" s="785">
        <f>SUM(AF318,AF335,AF341,AF361,AF362,AF363)</f>
        <v>0</v>
      </c>
      <c r="AG316" s="785">
        <f>SUM(AG318,AG335,AG341,AG361,AG362,AG363)</f>
        <v>0</v>
      </c>
      <c r="AH316" s="785">
        <f>AG316-AF316</f>
        <v>0</v>
      </c>
      <c r="AI316" s="785">
        <f>SUM(AI318,AI335,AI341,AI361,AI362,AI363)</f>
        <v>0</v>
      </c>
      <c r="AJ316" s="785">
        <f>SUM(AJ318,AJ335,AJ341,AJ361,AJ362,AJ363)</f>
        <v>0</v>
      </c>
      <c r="AK316" s="1256">
        <f>AJ316*AK317</f>
        <v>0</v>
      </c>
      <c r="AL316" s="1256">
        <f>AK316*AL317</f>
        <v>0</v>
      </c>
      <c r="AM316" s="1256">
        <f>AL316*AM317</f>
        <v>0</v>
      </c>
      <c r="AN316" s="1256">
        <f>AM316*AN317</f>
        <v>0</v>
      </c>
      <c r="AO316" s="1256">
        <f>AN316*AO317</f>
        <v>0</v>
      </c>
      <c r="AP316" s="1256">
        <f>AO316*AP317</f>
        <v>0</v>
      </c>
      <c r="AQ316" s="1256">
        <f>AP316*AQ317</f>
        <v>0</v>
      </c>
      <c r="AR316" s="1256">
        <f>AQ316*AR317</f>
        <v>0</v>
      </c>
      <c r="AS316" s="1256">
        <f>AR316*AS317</f>
        <v>0</v>
      </c>
      <c r="AT316" s="785">
        <f>SUM(AT318,AT335,AT341,AT361,AT362,AT363)</f>
        <v>0</v>
      </c>
      <c r="AU316" s="1256">
        <f>AT316*AU317</f>
        <v>0</v>
      </c>
      <c r="AV316" s="1256">
        <f>AU316*AV317</f>
        <v>0</v>
      </c>
      <c r="AW316" s="1256">
        <f>AV316*AW317</f>
        <v>0</v>
      </c>
      <c r="AX316" s="1256">
        <f>AW316*AX317</f>
        <v>0</v>
      </c>
      <c r="AY316" s="1256">
        <f>AX316*AY317</f>
        <v>0</v>
      </c>
      <c r="AZ316" s="1256">
        <f>AY316*AZ317</f>
        <v>0</v>
      </c>
      <c r="BA316" s="1256">
        <f>AZ316*BA317</f>
        <v>0</v>
      </c>
      <c r="BB316" s="1256">
        <f>BA316*BB317</f>
        <v>0</v>
      </c>
      <c r="BC316" s="1256">
        <f>BB316*BC317</f>
        <v>0</v>
      </c>
      <c r="BD316" s="785">
        <f>IF(AI316=0,0,(AT316-AI316)/AI316*100)</f>
        <v>0</v>
      </c>
      <c r="BE316" s="785">
        <f>IF(AT316=0,0,(AU316-AT316)/AT316*100)</f>
        <v>0</v>
      </c>
      <c r="BF316" s="785">
        <f>IF(AU316=0,0,(AV316-AU316)/AU316*100)</f>
        <v>0</v>
      </c>
      <c r="BG316" s="785">
        <f>IF(AV316=0,0,(AW316-AV316)/AV316*100)</f>
        <v>0</v>
      </c>
      <c r="BH316" s="785">
        <f>IF(AW316=0,0,(AX316-AW316)/AW316*100)</f>
        <v>0</v>
      </c>
      <c r="BI316" s="785">
        <f>IF(AX316=0,0,(AY316-AX316)/AX316*100)</f>
        <v>0</v>
      </c>
      <c r="BJ316" s="785">
        <f>IF(AY316=0,0,(AZ316-AY316)/AY316*100)</f>
        <v>0</v>
      </c>
      <c r="BK316" s="785">
        <f>IF(AZ316=0,0,(BA316-AZ316)/AZ316*100)</f>
        <v>0</v>
      </c>
      <c r="BL316" s="785">
        <f>IF(BA316=0,0,(BB316-BA316)/BA316*100)</f>
        <v>0</v>
      </c>
      <c r="BM316" s="785">
        <f>IF(BB316=0,0,(BC316-BB316)/BB316*100)</f>
        <v>0</v>
      </c>
      <c r="BN316" s="6290" t="s">
        <v>2451</v>
      </c>
      <c r="BO316" s="6290" t="s">
        <v>2452</v>
      </c>
      <c r="BP316" s="6290" t="s">
        <v>2462</v>
      </c>
      <c r="BQ316" s="156"/>
      <c r="BR316" s="157"/>
      <c r="BS316" s="1076" t="s">
        <v>649</v>
      </c>
      <c r="BT316" s="1076"/>
      <c r="BU316" s="1076"/>
      <c r="BV316" s="711"/>
      <c r="BW316" s="711"/>
    </row>
    <row s="1656" customFormat="1" customHeight="1" ht="117.75">
      <c r="A317" s="1297"/>
      <c r="B317" s="986"/>
      <c r="C317" s="103"/>
      <c r="D317" s="103"/>
      <c r="E317" s="626">
        <v>15</v>
      </c>
      <c r="F317" s="50" cm="1" t="str">
        <f t="array" ref="F317:F317">OFFSET(E317,-1,1)</f>
        <v>2</v>
      </c>
      <c r="G317" s="103"/>
      <c r="H317" s="864"/>
      <c r="I317" s="864" t="s">
        <v>566</v>
      </c>
      <c r="J317" s="103"/>
      <c r="K317" s="374" t="s">
        <v>566</v>
      </c>
      <c r="L317" s="988"/>
      <c r="M317" s="103"/>
      <c r="N317" s="103"/>
      <c r="O317" s="103"/>
      <c r="P317" s="103"/>
      <c r="Q317" s="103"/>
      <c r="R317" s="103"/>
      <c r="S317" s="103"/>
      <c r="T317" s="468" cm="1" t="str">
        <f t="array" ref="T317:T317">T316</f>
        <v>true</v>
      </c>
      <c r="U317" s="103"/>
      <c r="V317" s="103"/>
      <c r="W317" s="103"/>
      <c r="X317" s="1559"/>
      <c r="Y317" s="1297"/>
      <c r="Z317" s="1529"/>
      <c r="AA317" s="1297"/>
      <c r="AB317" s="296" t="s">
        <v>1067</v>
      </c>
      <c r="AC317" s="769" t="s">
        <v>2175</v>
      </c>
      <c r="AD317" s="296"/>
      <c r="AE317" s="6291">
        <v>1.0585449463</v>
      </c>
      <c r="AF317" s="6291"/>
      <c r="AG317" s="6291"/>
      <c r="AH317" s="1122">
        <f>AG317-AF317</f>
        <v>0</v>
      </c>
      <c r="AI317" s="6291">
        <v>1.058</v>
      </c>
      <c r="AJ317" s="6291"/>
      <c r="AK317" s="1258">
        <f>_xlfn.SUMIFS(INDEX(Сценарии!$AE$25:$BF$136,,MATCH(AK$8,Сценарии!$AE$8:$BF$8,0)),Сценарии!$F$25:$F$136,$F317,Сценарии!$G$25:$G$136,"ИОР")</f>
        <v>1</v>
      </c>
      <c r="AL317" s="1258">
        <f>_xlfn.SUMIFS(INDEX(Сценарии!$AE$25:$BF$136,,MATCH(AL$8,Сценарии!$AE$8:$BF$8,0)),Сценарии!$F$25:$F$136,$F317,Сценарии!$G$25:$G$136,"ИОР")</f>
        <v>1</v>
      </c>
      <c r="AM317" s="1258">
        <f>_xlfn.SUMIFS(INDEX(Сценарии!$AE$25:$BF$136,,MATCH(AM$8,Сценарии!$AE$8:$BF$8,0)),Сценарии!$F$25:$F$136,$F317,Сценарии!$G$25:$G$136,"ИОР")</f>
        <v>1</v>
      </c>
      <c r="AN317" s="1258">
        <f>_xlfn.SUMIFS(INDEX(Сценарии!$AE$25:$BF$136,,MATCH(AN$8,Сценарии!$AE$8:$BF$8,0)),Сценарии!$F$25:$F$136,$F317,Сценарии!$G$25:$G$136,"ИОР")</f>
        <v>1</v>
      </c>
      <c r="AO317" s="1258">
        <f>_xlfn.SUMIFS(INDEX(Сценарии!$AE$25:$BF$136,,MATCH(AO$8,Сценарии!$AE$8:$BF$8,0)),Сценарии!$F$25:$F$136,$F317,Сценарии!$G$25:$G$136,"ИОР")</f>
        <v>1</v>
      </c>
      <c r="AP317" s="1258">
        <f>_xlfn.SUMIFS(INDEX(Сценарии!$AE$25:$BF$136,,MATCH(AP$8,Сценарии!$AE$8:$BF$8,0)),Сценарии!$F$25:$F$136,$F317,Сценарии!$G$25:$G$136,"ИОР")</f>
        <v>1</v>
      </c>
      <c r="AQ317" s="1258">
        <f>_xlfn.SUMIFS(INDEX(Сценарии!$AE$25:$BF$136,,MATCH(AQ$8,Сценарии!$AE$8:$BF$8,0)),Сценарии!$F$25:$F$136,$F317,Сценарии!$G$25:$G$136,"ИОР")</f>
        <v>1</v>
      </c>
      <c r="AR317" s="1258">
        <f>_xlfn.SUMIFS(INDEX(Сценарии!$AE$25:$BF$136,,MATCH(AR$8,Сценарии!$AE$8:$BF$8,0)),Сценарии!$F$25:$F$136,$F317,Сценарии!$G$25:$G$136,"ИОР")</f>
        <v>1</v>
      </c>
      <c r="AS317" s="1258">
        <f>_xlfn.SUMIFS(INDEX(Сценарии!$AE$25:$BF$136,,MATCH(AS$8,Сценарии!$AE$8:$BF$8,0)),Сценарии!$F$25:$F$136,$F317,Сценарии!$G$25:$G$136,"ИОР")</f>
        <v>1</v>
      </c>
      <c r="AT317" s="6291"/>
      <c r="AU317" s="1258">
        <f>_xlfn.SUMIFS(INDEX(Сценарии!$AE$25:$BF$136,,MATCH(AU$8,Сценарии!$AE$8:$BF$8,0)),Сценарии!$F$25:$F$136,$F317,Сценарии!$G$25:$G$136,"ИОР")</f>
        <v>1</v>
      </c>
      <c r="AV317" s="1258">
        <f>_xlfn.SUMIFS(INDEX(Сценарии!$AE$25:$BF$136,,MATCH(AV$8,Сценарии!$AE$8:$BF$8,0)),Сценарии!$F$25:$F$136,$F317,Сценарии!$G$25:$G$136,"ИОР")</f>
        <v>1</v>
      </c>
      <c r="AW317" s="1258">
        <f>_xlfn.SUMIFS(INDEX(Сценарии!$AE$25:$BF$136,,MATCH(AW$8,Сценарии!$AE$8:$BF$8,0)),Сценарии!$F$25:$F$136,$F317,Сценарии!$G$25:$G$136,"ИОР")</f>
        <v>1</v>
      </c>
      <c r="AX317" s="1258">
        <f>_xlfn.SUMIFS(INDEX(Сценарии!$AE$25:$BF$136,,MATCH(AX$8,Сценарии!$AE$8:$BF$8,0)),Сценарии!$F$25:$F$136,$F317,Сценарии!$G$25:$G$136,"ИОР")</f>
        <v>1</v>
      </c>
      <c r="AY317" s="1258">
        <f>_xlfn.SUMIFS(INDEX(Сценарии!$AE$25:$BF$136,,MATCH(AY$8,Сценарии!$AE$8:$BF$8,0)),Сценарии!$F$25:$F$136,$F317,Сценарии!$G$25:$G$136,"ИОР")</f>
        <v>1</v>
      </c>
      <c r="AZ317" s="1258">
        <f>_xlfn.SUMIFS(INDEX(Сценарии!$AE$25:$BF$136,,MATCH(AZ$8,Сценарии!$AE$8:$BF$8,0)),Сценарии!$F$25:$F$136,$F317,Сценарии!$G$25:$G$136,"ИОР")</f>
        <v>1</v>
      </c>
      <c r="BA317" s="1258">
        <f>_xlfn.SUMIFS(INDEX(Сценарии!$AE$25:$BF$136,,MATCH(BA$8,Сценарии!$AE$8:$BF$8,0)),Сценарии!$F$25:$F$136,$F317,Сценарии!$G$25:$G$136,"ИОР")</f>
        <v>1</v>
      </c>
      <c r="BB317" s="1258">
        <f>_xlfn.SUMIFS(INDEX(Сценарии!$AE$25:$BF$136,,MATCH(BB$8,Сценарии!$AE$8:$BF$8,0)),Сценарии!$F$25:$F$136,$F317,Сценарии!$G$25:$G$136,"ИОР")</f>
        <v>1</v>
      </c>
      <c r="BC317" s="1258">
        <f>_xlfn.SUMIFS(INDEX(Сценарии!$AE$25:$BF$136,,MATCH(BC$8,Сценарии!$AE$8:$BF$8,0)),Сценарии!$F$25:$F$136,$F317,Сценарии!$G$25:$G$136,"ИОР")</f>
        <v>1</v>
      </c>
      <c r="BD317" s="1123">
        <f>IF(AI317=0,0,(AT317-AI317)/AI317*100)</f>
        <v>-100</v>
      </c>
      <c r="BE317" s="1124"/>
      <c r="BF317" s="1124"/>
      <c r="BG317" s="1124"/>
      <c r="BH317" s="1124"/>
      <c r="BI317" s="1124"/>
      <c r="BJ317" s="1124"/>
      <c r="BK317" s="1124"/>
      <c r="BL317" s="1124"/>
      <c r="BM317" s="1124"/>
      <c r="BN317" s="6290"/>
      <c r="BO317" s="6290" t="s">
        <v>2454</v>
      </c>
      <c r="BP317" s="6290"/>
      <c r="BQ317" s="1297"/>
      <c r="BR317" s="1297"/>
      <c r="BS317" s="1072" t="s">
        <v>2176</v>
      </c>
      <c r="BT317" s="1072"/>
      <c r="BU317" s="1072"/>
      <c r="BV317" s="987"/>
      <c r="BW317" s="987"/>
    </row>
    <row s="436" customFormat="1" customHeight="1" ht="20.25">
      <c r="A318" s="156"/>
      <c r="B318" s="436"/>
      <c r="C318" s="865"/>
      <c r="D318" s="865"/>
      <c r="E318" s="866">
        <v>21</v>
      </c>
      <c r="F318" s="50" cm="1" t="str">
        <f t="array" ref="F318:F318">OFFSET(E318,-1,1)</f>
        <v>2</v>
      </c>
      <c r="G318" s="865"/>
      <c r="H318" s="108"/>
      <c r="I318" s="108" t="s">
        <v>570</v>
      </c>
      <c r="J318" s="865"/>
      <c r="K318" s="373" t="s">
        <v>570</v>
      </c>
      <c r="L318" s="992" t="s">
        <v>344</v>
      </c>
      <c r="M318" s="865"/>
      <c r="N318" s="865"/>
      <c r="O318" s="865"/>
      <c r="P318" s="865"/>
      <c r="Q318" s="865"/>
      <c r="R318" s="865"/>
      <c r="S318" s="865"/>
      <c r="T318" s="468" cm="1" t="str">
        <f t="array" ref="T318:T318">T317</f>
        <v>true</v>
      </c>
      <c r="U318" s="865"/>
      <c r="V318" s="865"/>
      <c r="W318" s="865"/>
      <c r="X318" s="1559"/>
      <c r="Y318" s="156"/>
      <c r="Z318" s="1529"/>
      <c r="AA318" s="156"/>
      <c r="AB318" s="230" t="s">
        <v>1070</v>
      </c>
      <c r="AC318" s="357" t="s">
        <v>1972</v>
      </c>
      <c r="AD318" s="230" t="s">
        <v>936</v>
      </c>
      <c r="AE318" s="785">
        <f>SUM(AE319,AE322,AE323,AE326,AE327)</f>
        <v>2497.35</v>
      </c>
      <c r="AF318" s="785">
        <f>SUM(AF319,AF322,AF323,AF326,AF327)</f>
        <v>0</v>
      </c>
      <c r="AG318" s="785">
        <f>SUM(AG319,AG322,AG323,AG326,AG327)</f>
        <v>0</v>
      </c>
      <c r="AH318" s="785">
        <f>AG318-AF318</f>
        <v>0</v>
      </c>
      <c r="AI318" s="785">
        <f>SUM(AI319,AI322,AI323,AI326,AI327)</f>
        <v>0</v>
      </c>
      <c r="AJ318" s="785">
        <f>SUM(AJ319,AJ322,AJ323,AJ326,AJ327)</f>
        <v>0</v>
      </c>
      <c r="AK318" s="212"/>
      <c r="AL318" s="212"/>
      <c r="AM318" s="212"/>
      <c r="AN318" s="212"/>
      <c r="AO318" s="212"/>
      <c r="AP318" s="212"/>
      <c r="AQ318" s="212"/>
      <c r="AR318" s="212"/>
      <c r="AS318" s="212"/>
      <c r="AT318" s="785">
        <f>SUM(AT319,AT322,AT323,AT326,AT327)</f>
        <v>0</v>
      </c>
      <c r="AU318" s="212"/>
      <c r="AV318" s="212"/>
      <c r="AW318" s="212"/>
      <c r="AX318" s="212"/>
      <c r="AY318" s="212"/>
      <c r="AZ318" s="212"/>
      <c r="BA318" s="212"/>
      <c r="BB318" s="212"/>
      <c r="BC318" s="212"/>
      <c r="BD318" s="785">
        <f>IF(AI318=0,0,(AT318-AI318)/AI318*100)</f>
        <v>0</v>
      </c>
      <c r="BE318" s="212"/>
      <c r="BF318" s="212"/>
      <c r="BG318" s="212"/>
      <c r="BH318" s="212"/>
      <c r="BI318" s="212"/>
      <c r="BJ318" s="212"/>
      <c r="BK318" s="212"/>
      <c r="BL318" s="212"/>
      <c r="BM318" s="212"/>
      <c r="BN318" s="6292"/>
      <c r="BO318" s="6292"/>
      <c r="BP318" s="6292"/>
      <c r="BQ318" s="156"/>
      <c r="BR318" s="156"/>
      <c r="BS318" s="1070" t="s">
        <v>621</v>
      </c>
      <c r="BT318" s="1077"/>
      <c r="BU318" s="1077"/>
      <c r="BV318" s="712"/>
      <c r="BW318" s="712"/>
    </row>
    <row s="1656" customFormat="1" customHeight="1" ht="14.25">
      <c r="A319" s="1297"/>
      <c r="B319" s="986"/>
      <c r="C319" s="103"/>
      <c r="D319" s="103"/>
      <c r="E319" s="626">
        <v>15</v>
      </c>
      <c r="F319" s="50" cm="1" t="str">
        <f t="array" ref="F319:F319">OFFSET(E319,-1,1)</f>
        <v>2</v>
      </c>
      <c r="G319" s="103"/>
      <c r="H319" s="864"/>
      <c r="I319" s="864" t="s">
        <v>1550</v>
      </c>
      <c r="J319" s="103"/>
      <c r="K319" s="374" t="s">
        <v>1550</v>
      </c>
      <c r="L319" s="988" t="s">
        <v>566</v>
      </c>
      <c r="M319" s="103"/>
      <c r="N319" s="103"/>
      <c r="O319" s="103"/>
      <c r="P319" s="103"/>
      <c r="Q319" s="103"/>
      <c r="R319" s="103"/>
      <c r="S319" s="103"/>
      <c r="T319" s="468" cm="1" t="str">
        <f t="array" ref="T319:T319">T318</f>
        <v>true</v>
      </c>
      <c r="U319" s="103"/>
      <c r="V319" s="103"/>
      <c r="W319" s="103"/>
      <c r="X319" s="1559"/>
      <c r="Y319" s="1297"/>
      <c r="Z319" s="1529"/>
      <c r="AA319" s="1297"/>
      <c r="AB319" s="296" t="s">
        <v>1551</v>
      </c>
      <c r="AC319" s="772" t="s">
        <v>2177</v>
      </c>
      <c r="AD319" s="773" t="s">
        <v>936</v>
      </c>
      <c r="AE319" s="1123">
        <f>SUM(AE320,AE321)</f>
        <v>0</v>
      </c>
      <c r="AF319" s="1123">
        <f>SUM(AF320,AF321)</f>
        <v>0</v>
      </c>
      <c r="AG319" s="1123">
        <f>SUM(AG320,AG321)</f>
        <v>0</v>
      </c>
      <c r="AH319" s="1123">
        <f>AG319-AF319</f>
        <v>0</v>
      </c>
      <c r="AI319" s="1123">
        <f>SUM(AI320,AI321)</f>
        <v>0</v>
      </c>
      <c r="AJ319" s="1123">
        <f>SUM(AJ320,AJ321)</f>
        <v>0</v>
      </c>
      <c r="AK319" s="1124"/>
      <c r="AL319" s="1124"/>
      <c r="AM319" s="1124"/>
      <c r="AN319" s="1124"/>
      <c r="AO319" s="1124"/>
      <c r="AP319" s="1124"/>
      <c r="AQ319" s="1124"/>
      <c r="AR319" s="1124"/>
      <c r="AS319" s="1124"/>
      <c r="AT319" s="1123">
        <f>SUM(AT320,AT321)</f>
        <v>0</v>
      </c>
      <c r="AU319" s="1124"/>
      <c r="AV319" s="1124"/>
      <c r="AW319" s="1124"/>
      <c r="AX319" s="1124"/>
      <c r="AY319" s="1124"/>
      <c r="AZ319" s="1124"/>
      <c r="BA319" s="1124"/>
      <c r="BB319" s="1124"/>
      <c r="BC319" s="1124"/>
      <c r="BD319" s="1123">
        <f>IF(AI319=0,0,(AT319-AI319)/AI319*100)</f>
        <v>0</v>
      </c>
      <c r="BE319" s="1124"/>
      <c r="BF319" s="1124"/>
      <c r="BG319" s="1124"/>
      <c r="BH319" s="1124"/>
      <c r="BI319" s="1124"/>
      <c r="BJ319" s="1124"/>
      <c r="BK319" s="1124"/>
      <c r="BL319" s="1124"/>
      <c r="BM319" s="1124"/>
      <c r="BN319" s="6290"/>
      <c r="BO319" s="6290"/>
      <c r="BP319" s="6290"/>
      <c r="BQ319" s="106"/>
      <c r="BR319" s="1297"/>
      <c r="BS319" s="1071" t="s">
        <v>1974</v>
      </c>
      <c r="BT319" s="1072"/>
      <c r="BU319" s="1072"/>
      <c r="BV319" s="987"/>
      <c r="BW319" s="987"/>
    </row>
    <row s="1656" customFormat="1" customHeight="1" ht="14.25">
      <c r="A320" s="1297"/>
      <c r="B320" s="986"/>
      <c r="C320" s="103"/>
      <c r="D320" s="103"/>
      <c r="E320" s="626">
        <v>15</v>
      </c>
      <c r="F320" s="50" cm="1" t="str">
        <f t="array" ref="F320:F320">OFFSET(E320,-1,1)</f>
        <v>2</v>
      </c>
      <c r="G320" s="103"/>
      <c r="H320" s="864"/>
      <c r="I320" s="864" t="s">
        <v>2178</v>
      </c>
      <c r="J320" s="103"/>
      <c r="K320" s="374" t="s">
        <v>2178</v>
      </c>
      <c r="L320" s="988" t="s">
        <v>1201</v>
      </c>
      <c r="M320" s="103"/>
      <c r="N320" s="103"/>
      <c r="O320" s="103"/>
      <c r="P320" s="103"/>
      <c r="Q320" s="103"/>
      <c r="R320" s="103"/>
      <c r="S320" s="103"/>
      <c r="T320" s="468" cm="1" t="str">
        <f t="array" ref="T320:T320">T319</f>
        <v>true</v>
      </c>
      <c r="U320" s="103"/>
      <c r="V320" s="103"/>
      <c r="W320" s="103"/>
      <c r="X320" s="1559"/>
      <c r="Y320" s="1297"/>
      <c r="Z320" s="1529"/>
      <c r="AA320" s="1297"/>
      <c r="AB320" s="296" t="s">
        <v>2179</v>
      </c>
      <c r="AC320" s="775" t="s">
        <v>1977</v>
      </c>
      <c r="AD320" s="773" t="s">
        <v>936</v>
      </c>
      <c r="AE320" s="6241">
        <f>_xlfn.SUMIFS('Сырье и материалы'!AE$25:AE$111,'Сырье и материалы'!$F$25:$F$111,$F320,'Сырье и материалы'!$I$25:$I$111,"Горюче-смазочные материалы")</f>
        <v>0</v>
      </c>
      <c r="AF320" s="6241">
        <f>_xlfn.SUMIFS('Сырье и материалы'!AF$25:AF$111,'Сырье и материалы'!$F$25:$F$111,$F320,'Сырье и материалы'!$I$25:$I$111,"Горюче-смазочные материалы")</f>
        <v>0</v>
      </c>
      <c r="AG320" s="6241">
        <f>_xlfn.SUMIFS('Сырье и материалы'!AG$25:AG$111,'Сырье и материалы'!$F$25:$F$111,$F320,'Сырье и материалы'!$I$25:$I$111,"Горюче-смазочные материалы")</f>
        <v>0</v>
      </c>
      <c r="AH320" s="1123">
        <f>AG320-AF320</f>
        <v>0</v>
      </c>
      <c r="AI320" s="6241">
        <f>_xlfn.SUMIFS('Сырье и материалы'!AH$25:AH$111,'Сырье и материалы'!$F$25:$F$111,$F320,'Сырье и материалы'!$I$25:$I$111,"Горюче-смазочные материалы")</f>
        <v>0</v>
      </c>
      <c r="AJ320" s="6241">
        <f>_xlfn.SUMIFS('Сырье и материалы'!AI$25:AI$111,'Сырье и материалы'!$F$25:$F$111,$F320,'Сырье и материалы'!$I$25:$I$111,"Горюче-смазочные материалы")</f>
        <v>0</v>
      </c>
      <c r="AK320" s="1124"/>
      <c r="AL320" s="1124"/>
      <c r="AM320" s="1124"/>
      <c r="AN320" s="1124"/>
      <c r="AO320" s="1124"/>
      <c r="AP320" s="1124"/>
      <c r="AQ320" s="1124"/>
      <c r="AR320" s="1124"/>
      <c r="AS320" s="1124"/>
      <c r="AT320" s="6241">
        <f>_xlfn.SUMIFS('Сырье и материалы'!AS$25:AS$111,'Сырье и материалы'!$F$25:$F$111,$F320,'Сырье и материалы'!$I$25:$I$111,"Горюче-смазочные материалы")</f>
        <v>0</v>
      </c>
      <c r="AU320" s="1124"/>
      <c r="AV320" s="1124"/>
      <c r="AW320" s="1124"/>
      <c r="AX320" s="1124"/>
      <c r="AY320" s="1124"/>
      <c r="AZ320" s="1124"/>
      <c r="BA320" s="1124"/>
      <c r="BB320" s="1124"/>
      <c r="BC320" s="1124"/>
      <c r="BD320" s="1123">
        <f>IF(AI320=0,0,(AT320-AI320)/AI320*100)</f>
        <v>0</v>
      </c>
      <c r="BE320" s="1124"/>
      <c r="BF320" s="1124"/>
      <c r="BG320" s="1124"/>
      <c r="BH320" s="1124"/>
      <c r="BI320" s="1124"/>
      <c r="BJ320" s="1124"/>
      <c r="BK320" s="1124"/>
      <c r="BL320" s="1124"/>
      <c r="BM320" s="1124"/>
      <c r="BN320" s="6290"/>
      <c r="BO320" s="6290"/>
      <c r="BP320" s="6290"/>
      <c r="BQ320" s="1297"/>
      <c r="BR320" s="1297"/>
      <c r="BS320" s="1070" t="s">
        <v>1978</v>
      </c>
      <c r="BT320" s="1072"/>
      <c r="BU320" s="1072"/>
      <c r="BV320" s="987"/>
      <c r="BW320" s="987"/>
    </row>
    <row s="1656" customFormat="1" customHeight="1" ht="14.25">
      <c r="A321" s="1297"/>
      <c r="B321" s="986"/>
      <c r="C321" s="103"/>
      <c r="D321" s="103"/>
      <c r="E321" s="626">
        <v>15</v>
      </c>
      <c r="F321" s="50" cm="1" t="str">
        <f t="array" ref="F321:F321">OFFSET(E321,-1,1)</f>
        <v>2</v>
      </c>
      <c r="G321" s="103"/>
      <c r="H321" s="864"/>
      <c r="I321" s="864" t="s">
        <v>2180</v>
      </c>
      <c r="J321" s="103"/>
      <c r="K321" s="374" t="s">
        <v>2180</v>
      </c>
      <c r="L321" s="988" t="s">
        <v>1525</v>
      </c>
      <c r="M321" s="103"/>
      <c r="N321" s="103"/>
      <c r="O321" s="103"/>
      <c r="P321" s="103"/>
      <c r="Q321" s="103"/>
      <c r="R321" s="103"/>
      <c r="S321" s="103"/>
      <c r="T321" s="468" cm="1" t="str">
        <f t="array" ref="T321:T321">T320</f>
        <v>true</v>
      </c>
      <c r="U321" s="103"/>
      <c r="V321" s="103"/>
      <c r="W321" s="103"/>
      <c r="X321" s="1559"/>
      <c r="Y321" s="1297"/>
      <c r="Z321" s="1529"/>
      <c r="AA321" s="1297"/>
      <c r="AB321" s="296" t="s">
        <v>2181</v>
      </c>
      <c r="AC321" s="775" t="s">
        <v>1979</v>
      </c>
      <c r="AD321" s="773" t="s">
        <v>936</v>
      </c>
      <c r="AE321" s="6241">
        <f>_xlfn.SUMIFS('Сырье и материалы'!AE$25:AE$111,'Сырье и материалы'!$F$25:$F$111,$F321,'Сырье и материалы'!$I$25:$I$111,"Материалы")</f>
        <v>0</v>
      </c>
      <c r="AF321" s="6241">
        <f>_xlfn.SUMIFS('Сырье и материалы'!AF$25:AF$111,'Сырье и материалы'!$F$25:$F$111,$F321,'Сырье и материалы'!$I$25:$I$111,"Материалы")</f>
        <v>0</v>
      </c>
      <c r="AG321" s="6241">
        <f>_xlfn.SUMIFS('Сырье и материалы'!AG$25:AG$111,'Сырье и материалы'!$F$25:$F$111,$F321,'Сырье и материалы'!$I$25:$I$111,"Материалы")</f>
        <v>0</v>
      </c>
      <c r="AH321" s="1123">
        <f>AG321-AF321</f>
        <v>0</v>
      </c>
      <c r="AI321" s="6241">
        <f>_xlfn.SUMIFS('Сырье и материалы'!AH$25:AH$111,'Сырье и материалы'!$F$25:$F$111,$F321,'Сырье и материалы'!$I$25:$I$111,"Материалы")</f>
        <v>0</v>
      </c>
      <c r="AJ321" s="6241">
        <f>_xlfn.SUMIFS('Сырье и материалы'!AI$25:AI$111,'Сырье и материалы'!$F$25:$F$111,$F321,'Сырье и материалы'!$I$25:$I$111,"Материалы")</f>
        <v>0</v>
      </c>
      <c r="AK321" s="1124"/>
      <c r="AL321" s="1124"/>
      <c r="AM321" s="1124"/>
      <c r="AN321" s="1124"/>
      <c r="AO321" s="1124"/>
      <c r="AP321" s="1124"/>
      <c r="AQ321" s="1124"/>
      <c r="AR321" s="1124"/>
      <c r="AS321" s="1124"/>
      <c r="AT321" s="6241">
        <f>_xlfn.SUMIFS('Сырье и материалы'!AS$25:AS$111,'Сырье и материалы'!$F$25:$F$111,$F321,'Сырье и материалы'!$I$25:$I$111,"Материалы")</f>
        <v>0</v>
      </c>
      <c r="AU321" s="1124"/>
      <c r="AV321" s="1124"/>
      <c r="AW321" s="1124"/>
      <c r="AX321" s="1124"/>
      <c r="AY321" s="1124"/>
      <c r="AZ321" s="1124"/>
      <c r="BA321" s="1124"/>
      <c r="BB321" s="1124"/>
      <c r="BC321" s="1124"/>
      <c r="BD321" s="1123">
        <f>IF(AI321=0,0,(AT321-AI321)/AI321*100)</f>
        <v>0</v>
      </c>
      <c r="BE321" s="1124"/>
      <c r="BF321" s="1124"/>
      <c r="BG321" s="1124"/>
      <c r="BH321" s="1124"/>
      <c r="BI321" s="1124"/>
      <c r="BJ321" s="1124"/>
      <c r="BK321" s="1124"/>
      <c r="BL321" s="1124"/>
      <c r="BM321" s="1124"/>
      <c r="BN321" s="6290"/>
      <c r="BO321" s="6290"/>
      <c r="BP321" s="6290"/>
      <c r="BQ321" s="1297"/>
      <c r="BR321" s="1297"/>
      <c r="BS321" s="1070" t="s">
        <v>1980</v>
      </c>
      <c r="BT321" s="1072"/>
      <c r="BU321" s="1072"/>
      <c r="BV321" s="987"/>
      <c r="BW321" s="987"/>
    </row>
    <row s="1656" customFormat="1" customHeight="1" ht="21.75">
      <c r="A322" s="1297"/>
      <c r="B322" s="986"/>
      <c r="C322" s="103"/>
      <c r="D322" s="103"/>
      <c r="E322" s="626">
        <v>22.5</v>
      </c>
      <c r="F322" s="50" cm="1" t="str">
        <f t="array" ref="F322:F322">OFFSET(E322,-1,1)</f>
        <v>2</v>
      </c>
      <c r="G322" s="103"/>
      <c r="H322" s="864"/>
      <c r="I322" s="864" t="s">
        <v>1553</v>
      </c>
      <c r="J322" s="103"/>
      <c r="K322" s="374" t="s">
        <v>1553</v>
      </c>
      <c r="L322" s="988" t="s">
        <v>573</v>
      </c>
      <c r="M322" s="103"/>
      <c r="N322" s="103"/>
      <c r="O322" s="103"/>
      <c r="P322" s="103"/>
      <c r="Q322" s="103"/>
      <c r="R322" s="103"/>
      <c r="S322" s="103"/>
      <c r="T322" s="468" cm="1" t="str">
        <f t="array" ref="T322:T322">T321</f>
        <v>true</v>
      </c>
      <c r="U322" s="103"/>
      <c r="V322" s="103"/>
      <c r="W322" s="103"/>
      <c r="X322" s="1559"/>
      <c r="Y322" s="1297"/>
      <c r="Z322" s="1529"/>
      <c r="AA322" s="1297"/>
      <c r="AB322" s="296" t="s">
        <v>1554</v>
      </c>
      <c r="AC322" s="772" t="s">
        <v>2182</v>
      </c>
      <c r="AD322" s="773" t="s">
        <v>936</v>
      </c>
      <c r="AE322" s="6293"/>
      <c r="AF322" s="6293"/>
      <c r="AG322" s="6293"/>
      <c r="AH322" s="1123">
        <f>AG322-AF322</f>
        <v>0</v>
      </c>
      <c r="AI322" s="6293"/>
      <c r="AJ322" s="6293"/>
      <c r="AK322" s="1124"/>
      <c r="AL322" s="1124"/>
      <c r="AM322" s="1124"/>
      <c r="AN322" s="1124"/>
      <c r="AO322" s="1124"/>
      <c r="AP322" s="1124"/>
      <c r="AQ322" s="1124"/>
      <c r="AR322" s="1124"/>
      <c r="AS322" s="1124"/>
      <c r="AT322" s="6293"/>
      <c r="AU322" s="1124"/>
      <c r="AV322" s="1124"/>
      <c r="AW322" s="1124"/>
      <c r="AX322" s="1124"/>
      <c r="AY322" s="1124"/>
      <c r="AZ322" s="1124"/>
      <c r="BA322" s="1124"/>
      <c r="BB322" s="1124"/>
      <c r="BC322" s="1124"/>
      <c r="BD322" s="1123">
        <f>IF(AI322=0,0,(AT322-AI322)/AI322*100)</f>
        <v>0</v>
      </c>
      <c r="BE322" s="1124"/>
      <c r="BF322" s="1124"/>
      <c r="BG322" s="1124"/>
      <c r="BH322" s="1124"/>
      <c r="BI322" s="1124"/>
      <c r="BJ322" s="1124"/>
      <c r="BK322" s="1124"/>
      <c r="BL322" s="1124"/>
      <c r="BM322" s="1124"/>
      <c r="BN322" s="6290"/>
      <c r="BO322" s="6290"/>
      <c r="BP322" s="6290"/>
      <c r="BQ322" s="1297"/>
      <c r="BR322" s="1297"/>
      <c r="BS322" s="1071" t="s">
        <v>2005</v>
      </c>
      <c r="BT322" s="1072"/>
      <c r="BU322" s="1072"/>
      <c r="BV322" s="987"/>
      <c r="BW322" s="987"/>
    </row>
    <row s="1656" customFormat="1" customHeight="1" ht="275.25">
      <c r="A323" s="1297"/>
      <c r="B323" s="986"/>
      <c r="C323" s="103"/>
      <c r="D323" s="103"/>
      <c r="E323" s="626">
        <v>22.5</v>
      </c>
      <c r="F323" s="50" cm="1" t="str">
        <f t="array" ref="F323:F323">OFFSET(E323,-1,1)</f>
        <v>2</v>
      </c>
      <c r="G323" s="103"/>
      <c r="H323" s="864"/>
      <c r="I323" s="864" t="s">
        <v>1557</v>
      </c>
      <c r="J323" s="103"/>
      <c r="K323" s="374" t="s">
        <v>1557</v>
      </c>
      <c r="L323" s="988" t="s">
        <v>577</v>
      </c>
      <c r="M323" s="103"/>
      <c r="N323" s="103"/>
      <c r="O323" s="103"/>
      <c r="P323" s="103"/>
      <c r="Q323" s="103"/>
      <c r="R323" s="103"/>
      <c r="S323" s="103"/>
      <c r="T323" s="468" cm="1" t="str">
        <f t="array" ref="T323:T323">T322</f>
        <v>true</v>
      </c>
      <c r="U323" s="103"/>
      <c r="V323" s="103"/>
      <c r="W323" s="103"/>
      <c r="X323" s="1559"/>
      <c r="Y323" s="1297"/>
      <c r="Z323" s="1529"/>
      <c r="AA323" s="1297"/>
      <c r="AB323" s="296" t="s">
        <v>1558</v>
      </c>
      <c r="AC323" s="772" t="s">
        <v>2183</v>
      </c>
      <c r="AD323" s="773" t="s">
        <v>936</v>
      </c>
      <c r="AE323" s="1125">
        <f>AE324+AE325</f>
        <v>0</v>
      </c>
      <c r="AF323" s="1125">
        <f>AF324+AF325</f>
        <v>0</v>
      </c>
      <c r="AG323" s="1125">
        <f>AG324+AG325</f>
        <v>0</v>
      </c>
      <c r="AH323" s="1123">
        <f>AG323-AF323</f>
        <v>0</v>
      </c>
      <c r="AI323" s="1125">
        <f>AI324+AI325</f>
        <v>0</v>
      </c>
      <c r="AJ323" s="1125">
        <f>AJ324+AJ325</f>
        <v>0</v>
      </c>
      <c r="AK323" s="1124"/>
      <c r="AL323" s="1124"/>
      <c r="AM323" s="1124"/>
      <c r="AN323" s="1124"/>
      <c r="AO323" s="1124"/>
      <c r="AP323" s="1124"/>
      <c r="AQ323" s="1124"/>
      <c r="AR323" s="1124"/>
      <c r="AS323" s="1124"/>
      <c r="AT323" s="1125">
        <f>AT324+AT325</f>
        <v>0</v>
      </c>
      <c r="AU323" s="1124"/>
      <c r="AV323" s="1124"/>
      <c r="AW323" s="1124"/>
      <c r="AX323" s="1124"/>
      <c r="AY323" s="1124"/>
      <c r="AZ323" s="1124"/>
      <c r="BA323" s="1124"/>
      <c r="BB323" s="1124"/>
      <c r="BC323" s="1124"/>
      <c r="BD323" s="1123">
        <f>IF(AI323=0,0,(AT323-AI323)/AI323*100)</f>
        <v>0</v>
      </c>
      <c r="BE323" s="1124"/>
      <c r="BF323" s="1124"/>
      <c r="BG323" s="1124"/>
      <c r="BH323" s="1124"/>
      <c r="BI323" s="1124"/>
      <c r="BJ323" s="1124"/>
      <c r="BK323" s="1124"/>
      <c r="BL323" s="1124"/>
      <c r="BM323" s="1124"/>
      <c r="BN323" s="6290"/>
      <c r="BO323" s="6290" t="s">
        <v>2455</v>
      </c>
      <c r="BP323" s="6290"/>
      <c r="BQ323" s="1297"/>
      <c r="BR323" s="1297"/>
      <c r="BS323" s="1071" t="s">
        <v>2184</v>
      </c>
      <c r="BT323" s="1072"/>
      <c r="BU323" s="1072"/>
      <c r="BV323" s="987"/>
      <c r="BW323" s="987"/>
    </row>
    <row s="1656" customFormat="1" customHeight="1" ht="149.25">
      <c r="A324" s="1297"/>
      <c r="B324" s="986"/>
      <c r="C324" s="103"/>
      <c r="D324" s="103"/>
      <c r="E324" s="626">
        <v>15</v>
      </c>
      <c r="F324" s="50" cm="1" t="str">
        <f t="array" ref="F324:F324">OFFSET(E324,-1,1)</f>
        <v>2</v>
      </c>
      <c r="G324" s="370" t="s">
        <v>1350</v>
      </c>
      <c r="H324" s="864"/>
      <c r="I324" s="864" t="s">
        <v>1712</v>
      </c>
      <c r="J324" s="103"/>
      <c r="K324" s="374" t="s">
        <v>1712</v>
      </c>
      <c r="L324" s="988" t="s">
        <v>1577</v>
      </c>
      <c r="M324" s="103"/>
      <c r="N324" s="103"/>
      <c r="O324" s="103"/>
      <c r="P324" s="103"/>
      <c r="Q324" s="103"/>
      <c r="R324" s="103"/>
      <c r="S324" s="103"/>
      <c r="T324" s="468" cm="1" t="str">
        <f t="array" ref="T324:T324">T323</f>
        <v>true</v>
      </c>
      <c r="U324" s="103"/>
      <c r="V324" s="103"/>
      <c r="W324" s="103"/>
      <c r="X324" s="1559"/>
      <c r="Y324" s="1297"/>
      <c r="Z324" s="1529"/>
      <c r="AA324" s="1297"/>
      <c r="AB324" s="296" t="s">
        <v>2185</v>
      </c>
      <c r="AC324" s="775" t="s">
        <v>2008</v>
      </c>
      <c r="AD324" s="773" t="s">
        <v>936</v>
      </c>
      <c r="AE324" s="1123">
        <f>_xlfn.SUMIFS(ФОТ!AE$25:AE$127,ФОТ!$F$25:$F$127,$F324,ФОТ!$G$25:$G$127,$G324)</f>
        <v>0</v>
      </c>
      <c r="AF324" s="1123">
        <f>_xlfn.SUMIFS(ФОТ!AF$25:AF$127,ФОТ!$F$25:$F$127,$F324,ФОТ!$G$25:$G$127,$G324)</f>
        <v>0</v>
      </c>
      <c r="AG324" s="1123">
        <f>_xlfn.SUMIFS(ФОТ!AG$25:AG$127,ФОТ!$F$25:$F$127,$F324,ФОТ!$G$25:$G$127,$G324)</f>
        <v>0</v>
      </c>
      <c r="AH324" s="1123">
        <f>AG324-AF324</f>
        <v>0</v>
      </c>
      <c r="AI324" s="1123">
        <f>_xlfn.SUMIFS(ФОТ!AH$25:AH$127,ФОТ!$F$25:$F$127,$F324,ФОТ!$G$25:$G$127,$G324)</f>
        <v>0</v>
      </c>
      <c r="AJ324" s="1123">
        <f>_xlfn.SUMIFS(ФОТ!AI$25:AI$127,ФОТ!$F$25:$F$127,$F324,ФОТ!$G$25:$G$127,$G324)</f>
        <v>0</v>
      </c>
      <c r="AK324" s="1124"/>
      <c r="AL324" s="1124"/>
      <c r="AM324" s="1124"/>
      <c r="AN324" s="1124"/>
      <c r="AO324" s="1124"/>
      <c r="AP324" s="1124"/>
      <c r="AQ324" s="1124"/>
      <c r="AR324" s="1124"/>
      <c r="AS324" s="1124"/>
      <c r="AT324" s="1123">
        <f>_xlfn.SUMIFS(ФОТ!AJ$25:AJ$127,ФОТ!$F$25:$F$127,$F324,ФОТ!$G$25:$G$127,$G324)</f>
        <v>0</v>
      </c>
      <c r="AU324" s="1124"/>
      <c r="AV324" s="1124"/>
      <c r="AW324" s="1124"/>
      <c r="AX324" s="1124"/>
      <c r="AY324" s="1124"/>
      <c r="AZ324" s="1124"/>
      <c r="BA324" s="1124"/>
      <c r="BB324" s="1124"/>
      <c r="BC324" s="1124"/>
      <c r="BD324" s="1123">
        <f>IF(AI324=0,0,(AT324-AI324)/AI324*100)</f>
        <v>0</v>
      </c>
      <c r="BE324" s="1124"/>
      <c r="BF324" s="1124"/>
      <c r="BG324" s="1124"/>
      <c r="BH324" s="1124"/>
      <c r="BI324" s="1124"/>
      <c r="BJ324" s="1124"/>
      <c r="BK324" s="1124"/>
      <c r="BL324" s="1124"/>
      <c r="BM324" s="1124"/>
      <c r="BN324" s="6290"/>
      <c r="BO324" s="6294" t="s">
        <v>2456</v>
      </c>
      <c r="BP324" s="6290"/>
      <c r="BQ324" s="1297"/>
      <c r="BR324" s="1297"/>
      <c r="BS324" s="1070" t="s">
        <v>2009</v>
      </c>
      <c r="BT324" s="1072"/>
      <c r="BU324" s="1072"/>
      <c r="BV324" s="987"/>
      <c r="BW324" s="987"/>
    </row>
    <row s="1656" customFormat="1" customHeight="1" ht="21.75">
      <c r="A325" s="1297"/>
      <c r="B325" s="986"/>
      <c r="C325" s="103"/>
      <c r="D325" s="103"/>
      <c r="E325" s="626">
        <v>22.5</v>
      </c>
      <c r="F325" s="50" cm="1" t="str">
        <f t="array" ref="F325:F325">OFFSET(E325,-1,1)</f>
        <v>2</v>
      </c>
      <c r="G325" s="370" t="s">
        <v>1362</v>
      </c>
      <c r="H325" s="864"/>
      <c r="I325" s="864" t="s">
        <v>1716</v>
      </c>
      <c r="J325" s="103"/>
      <c r="K325" s="374" t="s">
        <v>1716</v>
      </c>
      <c r="L325" s="988" t="s">
        <v>1578</v>
      </c>
      <c r="M325" s="103"/>
      <c r="N325" s="103"/>
      <c r="O325" s="103"/>
      <c r="P325" s="103"/>
      <c r="Q325" s="103"/>
      <c r="R325" s="103"/>
      <c r="S325" s="103"/>
      <c r="T325" s="468" cm="1" t="str">
        <f t="array" ref="T325:T325">T324</f>
        <v>true</v>
      </c>
      <c r="U325" s="103"/>
      <c r="V325" s="103"/>
      <c r="W325" s="103"/>
      <c r="X325" s="1559"/>
      <c r="Y325" s="1297"/>
      <c r="Z325" s="1529"/>
      <c r="AA325" s="1297"/>
      <c r="AB325" s="296" t="s">
        <v>2186</v>
      </c>
      <c r="AC325" s="775" t="s">
        <v>2187</v>
      </c>
      <c r="AD325" s="773" t="s">
        <v>936</v>
      </c>
      <c r="AE325" s="1123">
        <f>_xlfn.SUMIFS(ФОТ!AE$25:AE$127,ФОТ!$F$25:$F$127,$F325,ФОТ!$G$25:$G$127,$G325)</f>
        <v>0</v>
      </c>
      <c r="AF325" s="1123">
        <f>_xlfn.SUMIFS(ФОТ!AF$25:AF$127,ФОТ!$F$25:$F$127,$F325,ФОТ!$G$25:$G$127,$G325)</f>
        <v>0</v>
      </c>
      <c r="AG325" s="1123">
        <f>_xlfn.SUMIFS(ФОТ!AG$25:AG$127,ФОТ!$F$25:$F$127,$F325,ФОТ!$G$25:$G$127,$G325)</f>
        <v>0</v>
      </c>
      <c r="AH325" s="1123">
        <f>AG325-AF325</f>
        <v>0</v>
      </c>
      <c r="AI325" s="1123">
        <f>_xlfn.SUMIFS(ФОТ!AH$25:AH$127,ФОТ!$F$25:$F$127,$F325,ФОТ!$G$25:$G$127,$G325)</f>
        <v>0</v>
      </c>
      <c r="AJ325" s="1123">
        <f>_xlfn.SUMIFS(ФОТ!AI$25:AI$127,ФОТ!$F$25:$F$127,$F325,ФОТ!$G$25:$G$127,$G325)</f>
        <v>0</v>
      </c>
      <c r="AK325" s="1124"/>
      <c r="AL325" s="1124"/>
      <c r="AM325" s="1124"/>
      <c r="AN325" s="1124"/>
      <c r="AO325" s="1124"/>
      <c r="AP325" s="1124"/>
      <c r="AQ325" s="1124"/>
      <c r="AR325" s="1124"/>
      <c r="AS325" s="1124"/>
      <c r="AT325" s="1123">
        <f>_xlfn.SUMIFS(ФОТ!AJ$25:AJ$127,ФОТ!$F$25:$F$127,$F325,ФОТ!$G$25:$G$127,$G325)</f>
        <v>0</v>
      </c>
      <c r="AU325" s="1124"/>
      <c r="AV325" s="1124"/>
      <c r="AW325" s="1124"/>
      <c r="AX325" s="1124"/>
      <c r="AY325" s="1124"/>
      <c r="AZ325" s="1124"/>
      <c r="BA325" s="1124"/>
      <c r="BB325" s="1124"/>
      <c r="BC325" s="1124"/>
      <c r="BD325" s="1123">
        <f>IF(AI325=0,0,(AT325-AI325)/AI325*100)</f>
        <v>0</v>
      </c>
      <c r="BE325" s="1124"/>
      <c r="BF325" s="1124"/>
      <c r="BG325" s="1124"/>
      <c r="BH325" s="1124"/>
      <c r="BI325" s="1124"/>
      <c r="BJ325" s="1124"/>
      <c r="BK325" s="1124"/>
      <c r="BL325" s="1124"/>
      <c r="BM325" s="1124"/>
      <c r="BN325" s="6290"/>
      <c r="BO325" s="6294" t="str">
        <f>IF(_xlfn.IFERROR(INDEX(ФОТ!$K$26:$L$127,MATCH($F325&amp;"2komm",ФОТ!$K$26:$K$127,0),2),"")=0,"",_xlfn.IFERROR(INDEX(ФОТ!$K$26:$L$127,MATCH($F325&amp;"2komm",ФОТ!$K$26:$K$127,0),2),""))</f>
        <v/>
      </c>
      <c r="BP325" s="6290"/>
      <c r="BQ325" s="1297"/>
      <c r="BR325" s="1297"/>
      <c r="BS325" s="1070" t="s">
        <v>2011</v>
      </c>
      <c r="BT325" s="1072"/>
      <c r="BU325" s="1072"/>
      <c r="BV325" s="987"/>
      <c r="BW325" s="987"/>
    </row>
    <row s="1656" customFormat="1" customHeight="1" ht="14.625">
      <c r="A326" s="1297"/>
      <c r="B326" s="986"/>
      <c r="C326" s="103"/>
      <c r="D326" s="103"/>
      <c r="E326" s="626">
        <v>15</v>
      </c>
      <c r="F326" s="50" cm="1" t="str">
        <f t="array" ref="F326:F326">OFFSET(E326,-1,1)</f>
        <v>2</v>
      </c>
      <c r="G326" s="103"/>
      <c r="H326" s="864"/>
      <c r="I326" s="864" t="s">
        <v>1727</v>
      </c>
      <c r="J326" s="103"/>
      <c r="K326" s="374" t="s">
        <v>1727</v>
      </c>
      <c r="L326" s="988" t="s">
        <v>2013</v>
      </c>
      <c r="M326" s="103"/>
      <c r="N326" s="103"/>
      <c r="O326" s="103"/>
      <c r="P326" s="103"/>
      <c r="Q326" s="103"/>
      <c r="R326" s="103"/>
      <c r="S326" s="103"/>
      <c r="T326" s="468" cm="1" t="str">
        <f t="array" ref="T326:T326">T325</f>
        <v>true</v>
      </c>
      <c r="U326" s="103"/>
      <c r="V326" s="103"/>
      <c r="W326" s="103"/>
      <c r="X326" s="1559"/>
      <c r="Y326" s="1297"/>
      <c r="Z326" s="1529"/>
      <c r="AA326" s="1297"/>
      <c r="AB326" s="296" t="s">
        <v>1987</v>
      </c>
      <c r="AC326" s="772" t="s">
        <v>2188</v>
      </c>
      <c r="AD326" s="773" t="s">
        <v>936</v>
      </c>
      <c r="AE326" s="6293">
        <v>110.75</v>
      </c>
      <c r="AF326" s="6293"/>
      <c r="AG326" s="6293"/>
      <c r="AH326" s="1123">
        <f>AG326-AF326</f>
        <v>0</v>
      </c>
      <c r="AI326" s="6293"/>
      <c r="AJ326" s="6293"/>
      <c r="AK326" s="1124"/>
      <c r="AL326" s="1124"/>
      <c r="AM326" s="1124"/>
      <c r="AN326" s="1124"/>
      <c r="AO326" s="1124"/>
      <c r="AP326" s="1124"/>
      <c r="AQ326" s="1124"/>
      <c r="AR326" s="1124"/>
      <c r="AS326" s="1124"/>
      <c r="AT326" s="6293"/>
      <c r="AU326" s="1124"/>
      <c r="AV326" s="1124"/>
      <c r="AW326" s="1124"/>
      <c r="AX326" s="1124"/>
      <c r="AY326" s="1124"/>
      <c r="AZ326" s="1124"/>
      <c r="BA326" s="1124"/>
      <c r="BB326" s="1124"/>
      <c r="BC326" s="1124"/>
      <c r="BD326" s="1123">
        <f>IF(AI326=0,0,(AT326-AI326)/AI326*100)</f>
        <v>0</v>
      </c>
      <c r="BE326" s="1124"/>
      <c r="BF326" s="1124"/>
      <c r="BG326" s="1124"/>
      <c r="BH326" s="1124"/>
      <c r="BI326" s="1124"/>
      <c r="BJ326" s="1124"/>
      <c r="BK326" s="1124"/>
      <c r="BL326" s="1124"/>
      <c r="BM326" s="1124"/>
      <c r="BN326" s="6290"/>
      <c r="BO326" s="6290"/>
      <c r="BP326" s="6290"/>
      <c r="BQ326" s="1297"/>
      <c r="BR326" s="1297"/>
      <c r="BS326" s="1071" t="s">
        <v>2016</v>
      </c>
      <c r="BT326" s="1072"/>
      <c r="BU326" s="1072"/>
      <c r="BV326" s="987"/>
      <c r="BW326" s="987"/>
    </row>
    <row s="1656" customFormat="1" customHeight="1" ht="14.25">
      <c r="A327" s="1297"/>
      <c r="B327" s="986"/>
      <c r="C327" s="103"/>
      <c r="D327" s="103"/>
      <c r="E327" s="626">
        <v>15</v>
      </c>
      <c r="F327" s="50" cm="1" t="str">
        <f t="array" ref="F327:F327">OFFSET(E327,-1,1)</f>
        <v>2</v>
      </c>
      <c r="G327" s="103"/>
      <c r="H327" s="864"/>
      <c r="I327" s="864" t="s">
        <v>1731</v>
      </c>
      <c r="J327" s="103"/>
      <c r="K327" s="374" t="s">
        <v>1731</v>
      </c>
      <c r="L327" s="988" t="s">
        <v>2017</v>
      </c>
      <c r="M327" s="1297"/>
      <c r="N327" s="103"/>
      <c r="O327" s="103"/>
      <c r="P327" s="103"/>
      <c r="Q327" s="103"/>
      <c r="R327" s="103"/>
      <c r="S327" s="103"/>
      <c r="T327" s="468" cm="1" t="str">
        <f t="array" ref="T327:T327">T326</f>
        <v>true</v>
      </c>
      <c r="U327" s="103"/>
      <c r="V327" s="103"/>
      <c r="W327" s="103"/>
      <c r="X327" s="1559"/>
      <c r="Y327" s="1297"/>
      <c r="Z327" s="1529"/>
      <c r="AA327" s="1297"/>
      <c r="AB327" s="296" t="s">
        <v>1989</v>
      </c>
      <c r="AC327" s="772" t="s">
        <v>2189</v>
      </c>
      <c r="AD327" s="296" t="s">
        <v>936</v>
      </c>
      <c r="AE327" s="1125">
        <f>SUM(AE328:AE334)</f>
        <v>2386.6</v>
      </c>
      <c r="AF327" s="1125">
        <f>SUM(AF328:AF334)</f>
        <v>0</v>
      </c>
      <c r="AG327" s="1125">
        <f>SUM(AG328:AG334)</f>
        <v>0</v>
      </c>
      <c r="AH327" s="1123">
        <f>AG327-AF327</f>
        <v>0</v>
      </c>
      <c r="AI327" s="1125">
        <f>SUM(AI328:AI334)</f>
        <v>0</v>
      </c>
      <c r="AJ327" s="1125">
        <f>SUM(AJ328:AJ334)</f>
        <v>0</v>
      </c>
      <c r="AK327" s="1124"/>
      <c r="AL327" s="1124"/>
      <c r="AM327" s="1124"/>
      <c r="AN327" s="1124"/>
      <c r="AO327" s="1124"/>
      <c r="AP327" s="1124"/>
      <c r="AQ327" s="1124"/>
      <c r="AR327" s="1124"/>
      <c r="AS327" s="1124"/>
      <c r="AT327" s="1125">
        <f>SUM(AT328:AT334)</f>
        <v>0</v>
      </c>
      <c r="AU327" s="1124"/>
      <c r="AV327" s="1124"/>
      <c r="AW327" s="1124"/>
      <c r="AX327" s="1124"/>
      <c r="AY327" s="1124"/>
      <c r="AZ327" s="1124"/>
      <c r="BA327" s="1124"/>
      <c r="BB327" s="1124"/>
      <c r="BC327" s="1124"/>
      <c r="BD327" s="1123">
        <f>IF(AI327=0,0,(AT327-AI327)/AI327*100)</f>
        <v>0</v>
      </c>
      <c r="BE327" s="1124"/>
      <c r="BF327" s="1124"/>
      <c r="BG327" s="1124"/>
      <c r="BH327" s="1124"/>
      <c r="BI327" s="1124"/>
      <c r="BJ327" s="1124"/>
      <c r="BK327" s="1124"/>
      <c r="BL327" s="1124"/>
      <c r="BM327" s="1124"/>
      <c r="BN327" s="6290"/>
      <c r="BO327" s="6290"/>
      <c r="BP327" s="6290"/>
      <c r="BQ327" s="1297"/>
      <c r="BR327" s="1297"/>
      <c r="BS327" s="1071" t="s">
        <v>2190</v>
      </c>
      <c r="BT327" s="1072"/>
      <c r="BU327" s="1072"/>
      <c r="BV327" s="987"/>
      <c r="BW327" s="987"/>
    </row>
    <row s="1656" customFormat="1" customHeight="1" ht="14.25">
      <c r="A328" s="1297"/>
      <c r="B328" s="986"/>
      <c r="C328" s="103"/>
      <c r="D328" s="103"/>
      <c r="E328" s="626">
        <v>15</v>
      </c>
      <c r="F328" s="50" cm="1" t="str">
        <f t="array" ref="F328:F328">OFFSET(E328,-1,1)</f>
        <v>2</v>
      </c>
      <c r="G328" s="103"/>
      <c r="H328" s="864"/>
      <c r="I328" s="864" t="s">
        <v>2191</v>
      </c>
      <c r="J328" s="103"/>
      <c r="K328" s="374" t="s">
        <v>2191</v>
      </c>
      <c r="L328" s="988" t="s">
        <v>2017</v>
      </c>
      <c r="M328" s="103" t="s">
        <v>2025</v>
      </c>
      <c r="N328" s="103"/>
      <c r="O328" s="103"/>
      <c r="P328" s="103"/>
      <c r="Q328" s="103"/>
      <c r="R328" s="103"/>
      <c r="S328" s="103"/>
      <c r="T328" s="468" cm="1" t="str">
        <f t="array" ref="T328:T328">T327</f>
        <v>true</v>
      </c>
      <c r="U328" s="103"/>
      <c r="V328" s="103"/>
      <c r="W328" s="103"/>
      <c r="X328" s="1559"/>
      <c r="Y328" s="1297"/>
      <c r="Z328" s="1529"/>
      <c r="AA328" s="1297"/>
      <c r="AB328" s="296" t="s">
        <v>2192</v>
      </c>
      <c r="AC328" s="775" t="s">
        <v>2193</v>
      </c>
      <c r="AD328" s="296" t="s">
        <v>936</v>
      </c>
      <c r="AE328" s="6293"/>
      <c r="AF328" s="6293"/>
      <c r="AG328" s="6293"/>
      <c r="AH328" s="1123">
        <f>AG328-AF328</f>
        <v>0</v>
      </c>
      <c r="AI328" s="6293"/>
      <c r="AJ328" s="6293"/>
      <c r="AK328" s="1124"/>
      <c r="AL328" s="1124"/>
      <c r="AM328" s="1124"/>
      <c r="AN328" s="1124"/>
      <c r="AO328" s="1124"/>
      <c r="AP328" s="1124"/>
      <c r="AQ328" s="1124"/>
      <c r="AR328" s="1124"/>
      <c r="AS328" s="1124"/>
      <c r="AT328" s="6293"/>
      <c r="AU328" s="1124"/>
      <c r="AV328" s="1124"/>
      <c r="AW328" s="1124"/>
      <c r="AX328" s="1124"/>
      <c r="AY328" s="1124"/>
      <c r="AZ328" s="1124"/>
      <c r="BA328" s="1124"/>
      <c r="BB328" s="1124"/>
      <c r="BC328" s="1124"/>
      <c r="BD328" s="1123">
        <f>IF(AI328=0,0,(AT328-AI328)/AI328*100)</f>
        <v>0</v>
      </c>
      <c r="BE328" s="1124"/>
      <c r="BF328" s="1124"/>
      <c r="BG328" s="1124"/>
      <c r="BH328" s="1124"/>
      <c r="BI328" s="1124"/>
      <c r="BJ328" s="1124"/>
      <c r="BK328" s="1124"/>
      <c r="BL328" s="1124"/>
      <c r="BM328" s="1124"/>
      <c r="BN328" s="6290"/>
      <c r="BO328" s="6290"/>
      <c r="BP328" s="6290"/>
      <c r="BQ328" s="1297"/>
      <c r="BR328" s="1297"/>
      <c r="BS328" s="1070" t="s">
        <v>2028</v>
      </c>
      <c r="BT328" s="1072"/>
      <c r="BU328" s="1072"/>
      <c r="BV328" s="987"/>
      <c r="BW328" s="987"/>
    </row>
    <row s="1656" customFormat="1" customHeight="1" ht="21.75">
      <c r="A329" s="1297"/>
      <c r="B329" s="986"/>
      <c r="C329" s="103"/>
      <c r="D329" s="103"/>
      <c r="E329" s="626">
        <v>22.5</v>
      </c>
      <c r="F329" s="50" cm="1" t="str">
        <f t="array" ref="F329:F329">OFFSET(E329,-1,1)</f>
        <v>2</v>
      </c>
      <c r="G329" s="103"/>
      <c r="H329" s="864"/>
      <c r="I329" s="864" t="s">
        <v>2194</v>
      </c>
      <c r="J329" s="103"/>
      <c r="K329" s="374" t="s">
        <v>2194</v>
      </c>
      <c r="L329" s="988" t="s">
        <v>2017</v>
      </c>
      <c r="M329" s="103" t="s">
        <v>2021</v>
      </c>
      <c r="N329" s="103"/>
      <c r="O329" s="103"/>
      <c r="P329" s="103"/>
      <c r="Q329" s="103"/>
      <c r="R329" s="103"/>
      <c r="S329" s="103"/>
      <c r="T329" s="468" cm="1" t="str">
        <f t="array" ref="T329:T329">T328</f>
        <v>true</v>
      </c>
      <c r="U329" s="103"/>
      <c r="V329" s="103"/>
      <c r="W329" s="103"/>
      <c r="X329" s="1559"/>
      <c r="Y329" s="1297"/>
      <c r="Z329" s="1529"/>
      <c r="AA329" s="1297"/>
      <c r="AB329" s="296" t="s">
        <v>2195</v>
      </c>
      <c r="AC329" s="775" t="s">
        <v>2196</v>
      </c>
      <c r="AD329" s="296" t="s">
        <v>936</v>
      </c>
      <c r="AE329" s="6293"/>
      <c r="AF329" s="6293"/>
      <c r="AG329" s="6293"/>
      <c r="AH329" s="1123">
        <f>AG329-AF329</f>
        <v>0</v>
      </c>
      <c r="AI329" s="6293"/>
      <c r="AJ329" s="6293"/>
      <c r="AK329" s="1124"/>
      <c r="AL329" s="1124"/>
      <c r="AM329" s="1124"/>
      <c r="AN329" s="1124"/>
      <c r="AO329" s="1124"/>
      <c r="AP329" s="1124"/>
      <c r="AQ329" s="1124"/>
      <c r="AR329" s="1124"/>
      <c r="AS329" s="1124"/>
      <c r="AT329" s="6293"/>
      <c r="AU329" s="1124"/>
      <c r="AV329" s="1124"/>
      <c r="AW329" s="1124"/>
      <c r="AX329" s="1124"/>
      <c r="AY329" s="1124"/>
      <c r="AZ329" s="1124"/>
      <c r="BA329" s="1124"/>
      <c r="BB329" s="1124"/>
      <c r="BC329" s="1124"/>
      <c r="BD329" s="1123">
        <f>IF(AI329=0,0,(AT329-AI329)/AI329*100)</f>
        <v>0</v>
      </c>
      <c r="BE329" s="1124"/>
      <c r="BF329" s="1124"/>
      <c r="BG329" s="1124"/>
      <c r="BH329" s="1124"/>
      <c r="BI329" s="1124"/>
      <c r="BJ329" s="1124"/>
      <c r="BK329" s="1124"/>
      <c r="BL329" s="1124"/>
      <c r="BM329" s="1124"/>
      <c r="BN329" s="6290"/>
      <c r="BO329" s="6290"/>
      <c r="BP329" s="6290"/>
      <c r="BQ329" s="1297"/>
      <c r="BR329" s="1297"/>
      <c r="BS329" s="1072" t="s">
        <v>2197</v>
      </c>
      <c r="BT329" s="1072"/>
      <c r="BU329" s="1072"/>
      <c r="BV329" s="987"/>
      <c r="BW329" s="987"/>
    </row>
    <row s="1656" customFormat="1" customHeight="1" ht="21.75">
      <c r="A330" s="1297"/>
      <c r="B330" s="986"/>
      <c r="C330" s="103"/>
      <c r="D330" s="103"/>
      <c r="E330" s="626">
        <v>22.5</v>
      </c>
      <c r="F330" s="50" cm="1" t="str">
        <f t="array" ref="F330:F330">OFFSET(E330,-1,1)</f>
        <v>2</v>
      </c>
      <c r="G330" s="103"/>
      <c r="H330" s="864"/>
      <c r="I330" s="864" t="s">
        <v>2198</v>
      </c>
      <c r="J330" s="103"/>
      <c r="K330" s="374" t="s">
        <v>2198</v>
      </c>
      <c r="L330" s="1297"/>
      <c r="M330" s="1297"/>
      <c r="N330" s="103"/>
      <c r="O330" s="103"/>
      <c r="P330" s="103"/>
      <c r="Q330" s="103"/>
      <c r="R330" s="103"/>
      <c r="S330" s="103"/>
      <c r="T330" s="468" cm="1" t="str">
        <f t="array" ref="T330:T330">T329</f>
        <v>true</v>
      </c>
      <c r="U330" s="103"/>
      <c r="V330" s="103"/>
      <c r="W330" s="103"/>
      <c r="X330" s="1559"/>
      <c r="Y330" s="1297"/>
      <c r="Z330" s="1529"/>
      <c r="AA330" s="1297"/>
      <c r="AB330" s="296" t="s">
        <v>2199</v>
      </c>
      <c r="AC330" s="776" t="s">
        <v>2200</v>
      </c>
      <c r="AD330" s="296" t="s">
        <v>936</v>
      </c>
      <c r="AE330" s="6293"/>
      <c r="AF330" s="6293"/>
      <c r="AG330" s="6293"/>
      <c r="AH330" s="1123">
        <f>AG330-AF330</f>
        <v>0</v>
      </c>
      <c r="AI330" s="6293"/>
      <c r="AJ330" s="6293"/>
      <c r="AK330" s="1124"/>
      <c r="AL330" s="1124"/>
      <c r="AM330" s="1124"/>
      <c r="AN330" s="1124"/>
      <c r="AO330" s="1124"/>
      <c r="AP330" s="1124"/>
      <c r="AQ330" s="1124"/>
      <c r="AR330" s="1124"/>
      <c r="AS330" s="1124"/>
      <c r="AT330" s="6293"/>
      <c r="AU330" s="1124"/>
      <c r="AV330" s="1124"/>
      <c r="AW330" s="1124"/>
      <c r="AX330" s="1124"/>
      <c r="AY330" s="1124"/>
      <c r="AZ330" s="1124"/>
      <c r="BA330" s="1124"/>
      <c r="BB330" s="1124"/>
      <c r="BC330" s="1124"/>
      <c r="BD330" s="1123">
        <f>IF(AI330=0,0,(AT330-AI330)/AI330*100)</f>
        <v>0</v>
      </c>
      <c r="BE330" s="1124"/>
      <c r="BF330" s="1124"/>
      <c r="BG330" s="1124"/>
      <c r="BH330" s="1124"/>
      <c r="BI330" s="1124"/>
      <c r="BJ330" s="1124"/>
      <c r="BK330" s="1124"/>
      <c r="BL330" s="1124"/>
      <c r="BM330" s="1124"/>
      <c r="BN330" s="6290"/>
      <c r="BO330" s="6290"/>
      <c r="BP330" s="6290"/>
      <c r="BQ330" s="1297"/>
      <c r="BR330" s="1297"/>
      <c r="BS330" s="1072" t="s">
        <v>2201</v>
      </c>
      <c r="BT330" s="1072"/>
      <c r="BU330" s="1072"/>
      <c r="BV330" s="987"/>
      <c r="BW330" s="987"/>
    </row>
    <row s="1656" customFormat="1" customHeight="1" ht="21.75">
      <c r="A331" s="1297"/>
      <c r="B331" s="986"/>
      <c r="C331" s="103"/>
      <c r="D331" s="103"/>
      <c r="E331" s="626">
        <v>22.5</v>
      </c>
      <c r="F331" s="50" cm="1" t="str">
        <f t="array" ref="F331:F331">OFFSET(E331,-1,1)</f>
        <v>2</v>
      </c>
      <c r="G331" s="103"/>
      <c r="H331" s="864"/>
      <c r="I331" s="864" t="s">
        <v>2202</v>
      </c>
      <c r="J331" s="103"/>
      <c r="K331" s="374" t="s">
        <v>2202</v>
      </c>
      <c r="L331" s="988"/>
      <c r="M331" s="1297"/>
      <c r="N331" s="103"/>
      <c r="O331" s="103"/>
      <c r="P331" s="103"/>
      <c r="Q331" s="103"/>
      <c r="R331" s="103"/>
      <c r="S331" s="103"/>
      <c r="T331" s="468" cm="1" t="str">
        <f t="array" ref="T331:T331">T330</f>
        <v>true</v>
      </c>
      <c r="U331" s="103"/>
      <c r="V331" s="103"/>
      <c r="W331" s="103"/>
      <c r="X331" s="1559"/>
      <c r="Y331" s="1297"/>
      <c r="Z331" s="1529"/>
      <c r="AA331" s="1297"/>
      <c r="AB331" s="296" t="s">
        <v>2203</v>
      </c>
      <c r="AC331" s="776" t="s">
        <v>2204</v>
      </c>
      <c r="AD331" s="296" t="s">
        <v>936</v>
      </c>
      <c r="AE331" s="6293"/>
      <c r="AF331" s="6293"/>
      <c r="AG331" s="6293"/>
      <c r="AH331" s="1123">
        <f>AG331-AF331</f>
        <v>0</v>
      </c>
      <c r="AI331" s="6293"/>
      <c r="AJ331" s="6293"/>
      <c r="AK331" s="1124"/>
      <c r="AL331" s="1124"/>
      <c r="AM331" s="1124"/>
      <c r="AN331" s="1124"/>
      <c r="AO331" s="1124"/>
      <c r="AP331" s="1124"/>
      <c r="AQ331" s="1124"/>
      <c r="AR331" s="1124"/>
      <c r="AS331" s="1124"/>
      <c r="AT331" s="6293"/>
      <c r="AU331" s="1124"/>
      <c r="AV331" s="1124"/>
      <c r="AW331" s="1124"/>
      <c r="AX331" s="1124"/>
      <c r="AY331" s="1124"/>
      <c r="AZ331" s="1124"/>
      <c r="BA331" s="1124"/>
      <c r="BB331" s="1124"/>
      <c r="BC331" s="1124"/>
      <c r="BD331" s="1123">
        <f>IF(AI331=0,0,(AT331-AI331)/AI331*100)</f>
        <v>0</v>
      </c>
      <c r="BE331" s="1124"/>
      <c r="BF331" s="1124"/>
      <c r="BG331" s="1124"/>
      <c r="BH331" s="1124"/>
      <c r="BI331" s="1124"/>
      <c r="BJ331" s="1124"/>
      <c r="BK331" s="1124"/>
      <c r="BL331" s="1124"/>
      <c r="BM331" s="1124"/>
      <c r="BN331" s="6290"/>
      <c r="BO331" s="6290"/>
      <c r="BP331" s="6290"/>
      <c r="BQ331" s="1297"/>
      <c r="BR331" s="1297"/>
      <c r="BS331" s="1072" t="s">
        <v>2205</v>
      </c>
      <c r="BT331" s="1072"/>
      <c r="BU331" s="1072"/>
      <c r="BV331" s="987"/>
      <c r="BW331" s="987"/>
    </row>
    <row s="1656" customFormat="1" customHeight="1" ht="43.5">
      <c r="A332" s="1297"/>
      <c r="B332" s="986"/>
      <c r="C332" s="103"/>
      <c r="D332" s="103"/>
      <c r="E332" s="626">
        <v>45</v>
      </c>
      <c r="F332" s="50" cm="1" t="str">
        <f t="array" ref="F332:F332">OFFSET(E332,-1,1)</f>
        <v>2</v>
      </c>
      <c r="G332" s="103"/>
      <c r="H332" s="864"/>
      <c r="I332" s="864" t="s">
        <v>2206</v>
      </c>
      <c r="J332" s="103"/>
      <c r="K332" s="374" t="s">
        <v>2206</v>
      </c>
      <c r="L332" s="988" t="s">
        <v>2017</v>
      </c>
      <c r="M332" s="103" t="s">
        <v>2029</v>
      </c>
      <c r="N332" s="103"/>
      <c r="O332" s="103"/>
      <c r="P332" s="103"/>
      <c r="Q332" s="103"/>
      <c r="R332" s="103"/>
      <c r="S332" s="103"/>
      <c r="T332" s="468" cm="1" t="str">
        <f t="array" ref="T332:T332">T331</f>
        <v>true</v>
      </c>
      <c r="U332" s="103"/>
      <c r="V332" s="103"/>
      <c r="W332" s="103"/>
      <c r="X332" s="1559"/>
      <c r="Y332" s="1297"/>
      <c r="Z332" s="1529"/>
      <c r="AA332" s="1297"/>
      <c r="AB332" s="296" t="s">
        <v>2207</v>
      </c>
      <c r="AC332" s="775" t="s">
        <v>2208</v>
      </c>
      <c r="AD332" s="296" t="s">
        <v>936</v>
      </c>
      <c r="AE332" s="6293"/>
      <c r="AF332" s="6293"/>
      <c r="AG332" s="6293"/>
      <c r="AH332" s="1123">
        <f>AG332-AF332</f>
        <v>0</v>
      </c>
      <c r="AI332" s="6293"/>
      <c r="AJ332" s="6293"/>
      <c r="AK332" s="1124"/>
      <c r="AL332" s="1124"/>
      <c r="AM332" s="1124"/>
      <c r="AN332" s="1124"/>
      <c r="AO332" s="1124"/>
      <c r="AP332" s="1124"/>
      <c r="AQ332" s="1124"/>
      <c r="AR332" s="1124"/>
      <c r="AS332" s="1124"/>
      <c r="AT332" s="6293"/>
      <c r="AU332" s="1124"/>
      <c r="AV332" s="1124"/>
      <c r="AW332" s="1124"/>
      <c r="AX332" s="1124"/>
      <c r="AY332" s="1124"/>
      <c r="AZ332" s="1124"/>
      <c r="BA332" s="1124"/>
      <c r="BB332" s="1124"/>
      <c r="BC332" s="1124"/>
      <c r="BD332" s="1123">
        <f>IF(AI332=0,0,(AT332-AI332)/AI332*100)</f>
        <v>0</v>
      </c>
      <c r="BE332" s="1124"/>
      <c r="BF332" s="1124"/>
      <c r="BG332" s="1124"/>
      <c r="BH332" s="1124"/>
      <c r="BI332" s="1124"/>
      <c r="BJ332" s="1124"/>
      <c r="BK332" s="1124"/>
      <c r="BL332" s="1124"/>
      <c r="BM332" s="1124"/>
      <c r="BN332" s="6290"/>
      <c r="BO332" s="6290"/>
      <c r="BP332" s="6290"/>
      <c r="BQ332" s="1297"/>
      <c r="BR332" s="1297"/>
      <c r="BS332" s="1072" t="s">
        <v>2032</v>
      </c>
      <c r="BT332" s="1072"/>
      <c r="BU332" s="1072"/>
      <c r="BV332" s="987"/>
      <c r="BW332" s="987"/>
    </row>
    <row s="1656" customFormat="1" customHeight="1" ht="14.625">
      <c r="A333" s="1297"/>
      <c r="B333" s="986"/>
      <c r="C333" s="103"/>
      <c r="D333" s="103"/>
      <c r="E333" s="626">
        <v>15</v>
      </c>
      <c r="F333" s="50" cm="1" t="str">
        <f t="array" ref="F333:F333">OFFSET(E333,-1,1)</f>
        <v>2</v>
      </c>
      <c r="G333" s="103"/>
      <c r="H333" s="864"/>
      <c r="I333" s="864" t="s">
        <v>2209</v>
      </c>
      <c r="J333" s="103"/>
      <c r="K333" s="374" t="s">
        <v>2209</v>
      </c>
      <c r="L333" s="988" t="s">
        <v>2017</v>
      </c>
      <c r="M333" s="103" t="s">
        <v>2033</v>
      </c>
      <c r="N333" s="103"/>
      <c r="O333" s="103"/>
      <c r="P333" s="103"/>
      <c r="Q333" s="103"/>
      <c r="R333" s="103"/>
      <c r="S333" s="103"/>
      <c r="T333" s="468" cm="1" t="str">
        <f t="array" ref="T333:T333">T332</f>
        <v>true</v>
      </c>
      <c r="U333" s="103"/>
      <c r="V333" s="103"/>
      <c r="W333" s="103"/>
      <c r="X333" s="1559"/>
      <c r="Y333" s="1297"/>
      <c r="Z333" s="1529"/>
      <c r="AA333" s="1297"/>
      <c r="AB333" s="296" t="s">
        <v>2210</v>
      </c>
      <c r="AC333" s="775" t="s">
        <v>2035</v>
      </c>
      <c r="AD333" s="296" t="s">
        <v>936</v>
      </c>
      <c r="AE333" s="6293">
        <v>2386.6</v>
      </c>
      <c r="AF333" s="6293"/>
      <c r="AG333" s="6293"/>
      <c r="AH333" s="1123">
        <f>AG333-AF333</f>
        <v>0</v>
      </c>
      <c r="AI333" s="6293"/>
      <c r="AJ333" s="6293"/>
      <c r="AK333" s="1124"/>
      <c r="AL333" s="1124"/>
      <c r="AM333" s="1124"/>
      <c r="AN333" s="1124"/>
      <c r="AO333" s="1124"/>
      <c r="AP333" s="1124"/>
      <c r="AQ333" s="1124"/>
      <c r="AR333" s="1124"/>
      <c r="AS333" s="1124"/>
      <c r="AT333" s="6293"/>
      <c r="AU333" s="1124"/>
      <c r="AV333" s="1124"/>
      <c r="AW333" s="1124"/>
      <c r="AX333" s="1124"/>
      <c r="AY333" s="1124"/>
      <c r="AZ333" s="1124"/>
      <c r="BA333" s="1124"/>
      <c r="BB333" s="1124"/>
      <c r="BC333" s="1124"/>
      <c r="BD333" s="1123">
        <f>IF(AI333=0,0,(AT333-AI333)/AI333*100)</f>
        <v>0</v>
      </c>
      <c r="BE333" s="1124"/>
      <c r="BF333" s="1124"/>
      <c r="BG333" s="1124"/>
      <c r="BH333" s="1124"/>
      <c r="BI333" s="1124"/>
      <c r="BJ333" s="1124"/>
      <c r="BK333" s="1124"/>
      <c r="BL333" s="1124"/>
      <c r="BM333" s="1124"/>
      <c r="BN333" s="6290"/>
      <c r="BO333" s="6290"/>
      <c r="BP333" s="6290"/>
      <c r="BQ333" s="1297"/>
      <c r="BR333" s="1297"/>
      <c r="BS333" s="1072" t="s">
        <v>2036</v>
      </c>
      <c r="BT333" s="1072"/>
      <c r="BU333" s="1072"/>
      <c r="BV333" s="987"/>
      <c r="BW333" s="987"/>
    </row>
    <row s="1656" customFormat="1" customHeight="1" ht="14.25">
      <c r="A334" s="1297"/>
      <c r="B334" s="986"/>
      <c r="C334" s="103"/>
      <c r="D334" s="103"/>
      <c r="E334" s="626">
        <v>15</v>
      </c>
      <c r="F334" s="50" cm="1" t="str">
        <f t="array" ref="F334:F334">OFFSET(E334,-1,1)</f>
        <v>2</v>
      </c>
      <c r="G334" s="103"/>
      <c r="H334" s="864"/>
      <c r="I334" s="864" t="s">
        <v>2211</v>
      </c>
      <c r="J334" s="103"/>
      <c r="K334" s="374" t="s">
        <v>2211</v>
      </c>
      <c r="L334" s="988"/>
      <c r="M334" s="103"/>
      <c r="N334" s="103"/>
      <c r="O334" s="103"/>
      <c r="P334" s="103"/>
      <c r="Q334" s="103"/>
      <c r="R334" s="103"/>
      <c r="S334" s="103"/>
      <c r="T334" s="468" cm="1" t="str">
        <f t="array" ref="T334:T334">T333</f>
        <v>true</v>
      </c>
      <c r="U334" s="103"/>
      <c r="V334" s="103"/>
      <c r="W334" s="103"/>
      <c r="X334" s="1559"/>
      <c r="Y334" s="1297"/>
      <c r="Z334" s="1529"/>
      <c r="AA334" s="1297"/>
      <c r="AB334" s="296" t="s">
        <v>2212</v>
      </c>
      <c r="AC334" s="775" t="s">
        <v>2213</v>
      </c>
      <c r="AD334" s="296" t="s">
        <v>936</v>
      </c>
      <c r="AE334" s="6293"/>
      <c r="AF334" s="6293"/>
      <c r="AG334" s="6293"/>
      <c r="AH334" s="1123">
        <f>AG334-AF334</f>
        <v>0</v>
      </c>
      <c r="AI334" s="6293"/>
      <c r="AJ334" s="1377"/>
      <c r="AK334" s="1124"/>
      <c r="AL334" s="1124"/>
      <c r="AM334" s="1124"/>
      <c r="AN334" s="1124"/>
      <c r="AO334" s="1124"/>
      <c r="AP334" s="1124"/>
      <c r="AQ334" s="1124"/>
      <c r="AR334" s="1124"/>
      <c r="AS334" s="1124"/>
      <c r="AT334" s="1447"/>
      <c r="AU334" s="1124"/>
      <c r="AV334" s="1124"/>
      <c r="AW334" s="1124"/>
      <c r="AX334" s="1124"/>
      <c r="AY334" s="1124"/>
      <c r="AZ334" s="1124"/>
      <c r="BA334" s="1124"/>
      <c r="BB334" s="1124"/>
      <c r="BC334" s="1124"/>
      <c r="BD334" s="1123">
        <f>IF(AI334=0,0,(AT334-AI334)/AI334*100)</f>
        <v>0</v>
      </c>
      <c r="BE334" s="1124"/>
      <c r="BF334" s="1124"/>
      <c r="BG334" s="1124"/>
      <c r="BH334" s="1124"/>
      <c r="BI334" s="1124"/>
      <c r="BJ334" s="1124"/>
      <c r="BK334" s="1124"/>
      <c r="BL334" s="1124"/>
      <c r="BM334" s="1124"/>
      <c r="BN334" s="6290"/>
      <c r="BO334" s="6290"/>
      <c r="BP334" s="6290"/>
      <c r="BQ334" s="1297"/>
      <c r="BR334" s="1297"/>
      <c r="BS334" s="1072" t="s">
        <v>2020</v>
      </c>
      <c r="BT334" s="1072"/>
      <c r="BU334" s="1072"/>
      <c r="BV334" s="987"/>
      <c r="BW334" s="987"/>
    </row>
    <row s="6362" customFormat="1" customHeight="1" ht="20.25">
      <c r="A335" s="706"/>
      <c r="B335" s="437"/>
      <c r="C335" s="105"/>
      <c r="D335" s="105"/>
      <c r="E335" s="833">
        <v>21</v>
      </c>
      <c r="F335" s="50" cm="1" t="str">
        <f t="array" ref="F335:F335">OFFSET(E335,-1,1)</f>
        <v>2</v>
      </c>
      <c r="G335" s="105"/>
      <c r="H335" s="864"/>
      <c r="I335" s="864" t="s">
        <v>573</v>
      </c>
      <c r="J335" s="105"/>
      <c r="K335" s="374" t="s">
        <v>573</v>
      </c>
      <c r="L335" s="993"/>
      <c r="M335" s="105"/>
      <c r="N335" s="105"/>
      <c r="O335" s="105"/>
      <c r="P335" s="105"/>
      <c r="Q335" s="105"/>
      <c r="R335" s="105"/>
      <c r="S335" s="105"/>
      <c r="T335" s="468" cm="1" t="str">
        <f t="array" ref="T335:T335">T334</f>
        <v>true</v>
      </c>
      <c r="U335" s="105"/>
      <c r="V335" s="105"/>
      <c r="W335" s="105"/>
      <c r="X335" s="1559"/>
      <c r="Y335" s="706"/>
      <c r="Z335" s="1529"/>
      <c r="AA335" s="706"/>
      <c r="AB335" s="207" t="s">
        <v>1073</v>
      </c>
      <c r="AC335" s="357" t="s">
        <v>2039</v>
      </c>
      <c r="AD335" s="207" t="s">
        <v>936</v>
      </c>
      <c r="AE335" s="209">
        <f>AE336+AE337+AE338</f>
        <v>69591.96</v>
      </c>
      <c r="AF335" s="209">
        <f>AF336+AF337+AF338</f>
        <v>0</v>
      </c>
      <c r="AG335" s="209">
        <f>AG336+AG337+AG338</f>
        <v>0</v>
      </c>
      <c r="AH335" s="785">
        <f>AG335-AF335</f>
        <v>0</v>
      </c>
      <c r="AI335" s="209">
        <f>AI336+AI337+AI338</f>
        <v>0</v>
      </c>
      <c r="AJ335" s="209">
        <f>AJ336+AJ337+AJ338</f>
        <v>0</v>
      </c>
      <c r="AK335" s="212"/>
      <c r="AL335" s="212"/>
      <c r="AM335" s="212"/>
      <c r="AN335" s="212"/>
      <c r="AO335" s="212"/>
      <c r="AP335" s="212"/>
      <c r="AQ335" s="212"/>
      <c r="AR335" s="212"/>
      <c r="AS335" s="212"/>
      <c r="AT335" s="209">
        <f>AT336+AT337+AT338</f>
        <v>0</v>
      </c>
      <c r="AU335" s="212"/>
      <c r="AV335" s="212"/>
      <c r="AW335" s="212"/>
      <c r="AX335" s="212"/>
      <c r="AY335" s="212"/>
      <c r="AZ335" s="212"/>
      <c r="BA335" s="212"/>
      <c r="BB335" s="212"/>
      <c r="BC335" s="212"/>
      <c r="BD335" s="785">
        <f>IF(AI335=0,0,(AT335-AI335)/AI335*100)</f>
        <v>0</v>
      </c>
      <c r="BE335" s="212"/>
      <c r="BF335" s="212"/>
      <c r="BG335" s="212"/>
      <c r="BH335" s="212"/>
      <c r="BI335" s="212"/>
      <c r="BJ335" s="212"/>
      <c r="BK335" s="212"/>
      <c r="BL335" s="212"/>
      <c r="BM335" s="212"/>
      <c r="BN335" s="6292"/>
      <c r="BO335" s="6292"/>
      <c r="BP335" s="6292"/>
      <c r="BQ335" s="706"/>
      <c r="BR335" s="706"/>
      <c r="BS335" s="1071" t="s">
        <v>2040</v>
      </c>
      <c r="BT335" s="1078"/>
      <c r="BU335" s="1078"/>
      <c r="BV335" s="713"/>
      <c r="BW335" s="713"/>
    </row>
    <row s="1656" customFormat="1" customHeight="1" ht="23.25">
      <c r="A336" s="1297"/>
      <c r="B336" s="986"/>
      <c r="C336" s="103"/>
      <c r="D336" s="103"/>
      <c r="E336" s="626">
        <v>22.5</v>
      </c>
      <c r="F336" s="50" cm="1" t="str">
        <f t="array" ref="F336:F336">OFFSET(E336,-1,1)</f>
        <v>2</v>
      </c>
      <c r="G336" s="103"/>
      <c r="H336" s="864"/>
      <c r="I336" s="864" t="s">
        <v>1563</v>
      </c>
      <c r="J336" s="103"/>
      <c r="K336" s="374" t="s">
        <v>1563</v>
      </c>
      <c r="L336" s="988"/>
      <c r="M336" s="103"/>
      <c r="N336" s="103"/>
      <c r="O336" s="103"/>
      <c r="P336" s="103"/>
      <c r="Q336" s="103"/>
      <c r="R336" s="103"/>
      <c r="S336" s="103"/>
      <c r="T336" s="468" cm="1" t="str">
        <f t="array" ref="T336:T336">T335</f>
        <v>true</v>
      </c>
      <c r="U336" s="103"/>
      <c r="V336" s="103"/>
      <c r="W336" s="103"/>
      <c r="X336" s="1559"/>
      <c r="Y336" s="1297"/>
      <c r="Z336" s="1529"/>
      <c r="AA336" s="1297"/>
      <c r="AB336" s="296" t="s">
        <v>1564</v>
      </c>
      <c r="AC336" s="772" t="s">
        <v>2214</v>
      </c>
      <c r="AD336" s="296" t="s">
        <v>936</v>
      </c>
      <c r="AE336" s="6293">
        <v>29290.08</v>
      </c>
      <c r="AF336" s="6293"/>
      <c r="AG336" s="6293"/>
      <c r="AH336" s="1123">
        <f>AG336-AF336</f>
        <v>0</v>
      </c>
      <c r="AI336" s="6293"/>
      <c r="AJ336" s="6293"/>
      <c r="AK336" s="1124"/>
      <c r="AL336" s="1124"/>
      <c r="AM336" s="1124"/>
      <c r="AN336" s="1124"/>
      <c r="AO336" s="1124"/>
      <c r="AP336" s="1124"/>
      <c r="AQ336" s="1124"/>
      <c r="AR336" s="1124"/>
      <c r="AS336" s="1124"/>
      <c r="AT336" s="6293"/>
      <c r="AU336" s="1124"/>
      <c r="AV336" s="1124"/>
      <c r="AW336" s="1124"/>
      <c r="AX336" s="1124"/>
      <c r="AY336" s="1124"/>
      <c r="AZ336" s="1124"/>
      <c r="BA336" s="1124"/>
      <c r="BB336" s="1124"/>
      <c r="BC336" s="1124"/>
      <c r="BD336" s="1123">
        <f>IF(AI336=0,0,(AT336-AI336)/AI336*100)</f>
        <v>0</v>
      </c>
      <c r="BE336" s="1124"/>
      <c r="BF336" s="1124"/>
      <c r="BG336" s="1124"/>
      <c r="BH336" s="1124"/>
      <c r="BI336" s="1124"/>
      <c r="BJ336" s="1124"/>
      <c r="BK336" s="1124"/>
      <c r="BL336" s="1124"/>
      <c r="BM336" s="1124"/>
      <c r="BN336" s="6290"/>
      <c r="BO336" s="6290"/>
      <c r="BP336" s="6290"/>
      <c r="BQ336" s="1297"/>
      <c r="BR336" s="1297"/>
      <c r="BS336" s="1070" t="s">
        <v>2042</v>
      </c>
      <c r="BT336" s="1072"/>
      <c r="BU336" s="1072"/>
      <c r="BV336" s="987"/>
      <c r="BW336" s="987"/>
    </row>
    <row s="1656" customFormat="1" customHeight="1" ht="23.25">
      <c r="A337" s="1297"/>
      <c r="B337" s="986"/>
      <c r="C337" s="103"/>
      <c r="D337" s="103"/>
      <c r="E337" s="626">
        <v>22.5</v>
      </c>
      <c r="F337" s="50" cm="1" t="str">
        <f t="array" ref="F337:F337">OFFSET(E337,-1,1)</f>
        <v>2</v>
      </c>
      <c r="G337" s="103"/>
      <c r="H337" s="864"/>
      <c r="I337" s="864" t="s">
        <v>1567</v>
      </c>
      <c r="J337" s="103"/>
      <c r="K337" s="374" t="s">
        <v>1567</v>
      </c>
      <c r="L337" s="988"/>
      <c r="M337" s="103"/>
      <c r="N337" s="103"/>
      <c r="O337" s="103"/>
      <c r="P337" s="103"/>
      <c r="Q337" s="103"/>
      <c r="R337" s="103"/>
      <c r="S337" s="103"/>
      <c r="T337" s="468" cm="1" t="str">
        <f t="array" ref="T337:T337">T336</f>
        <v>true</v>
      </c>
      <c r="U337" s="103"/>
      <c r="V337" s="103"/>
      <c r="W337" s="103"/>
      <c r="X337" s="1559"/>
      <c r="Y337" s="1297"/>
      <c r="Z337" s="1529"/>
      <c r="AA337" s="1297"/>
      <c r="AB337" s="296" t="s">
        <v>1568</v>
      </c>
      <c r="AC337" s="772" t="s">
        <v>2215</v>
      </c>
      <c r="AD337" s="296" t="s">
        <v>936</v>
      </c>
      <c r="AE337" s="6293">
        <v>40301.88</v>
      </c>
      <c r="AF337" s="6293"/>
      <c r="AG337" s="6293"/>
      <c r="AH337" s="1123">
        <f>AG337-AF337</f>
        <v>0</v>
      </c>
      <c r="AI337" s="6293"/>
      <c r="AJ337" s="6293"/>
      <c r="AK337" s="1124"/>
      <c r="AL337" s="1124"/>
      <c r="AM337" s="1124"/>
      <c r="AN337" s="1124"/>
      <c r="AO337" s="1124"/>
      <c r="AP337" s="1124"/>
      <c r="AQ337" s="1124"/>
      <c r="AR337" s="1124"/>
      <c r="AS337" s="1124"/>
      <c r="AT337" s="6293"/>
      <c r="AU337" s="1124"/>
      <c r="AV337" s="1124"/>
      <c r="AW337" s="1124"/>
      <c r="AX337" s="1124"/>
      <c r="AY337" s="1124"/>
      <c r="AZ337" s="1124"/>
      <c r="BA337" s="1124"/>
      <c r="BB337" s="1124"/>
      <c r="BC337" s="1124"/>
      <c r="BD337" s="1123">
        <f>IF(AI337=0,0,(AT337-AI337)/AI337*100)</f>
        <v>0</v>
      </c>
      <c r="BE337" s="1124"/>
      <c r="BF337" s="1124"/>
      <c r="BG337" s="1124"/>
      <c r="BH337" s="1124"/>
      <c r="BI337" s="1124"/>
      <c r="BJ337" s="1124"/>
      <c r="BK337" s="1124"/>
      <c r="BL337" s="1124"/>
      <c r="BM337" s="1124"/>
      <c r="BN337" s="6290"/>
      <c r="BO337" s="6290"/>
      <c r="BP337" s="6290"/>
      <c r="BQ337" s="1297"/>
      <c r="BR337" s="1297"/>
      <c r="BS337" s="1072" t="s">
        <v>2216</v>
      </c>
      <c r="BT337" s="1072"/>
      <c r="BU337" s="1072"/>
      <c r="BV337" s="987"/>
      <c r="BW337" s="987"/>
    </row>
    <row s="1656" customFormat="1" customHeight="1" ht="21.75">
      <c r="A338" s="1297"/>
      <c r="B338" s="986"/>
      <c r="C338" s="103"/>
      <c r="D338" s="103"/>
      <c r="E338" s="626">
        <v>22.5</v>
      </c>
      <c r="F338" s="50" cm="1" t="str">
        <f t="array" ref="F338:F338">OFFSET(E338,-1,1)</f>
        <v>2</v>
      </c>
      <c r="G338" s="103"/>
      <c r="H338" s="864"/>
      <c r="I338" s="864" t="s">
        <v>1571</v>
      </c>
      <c r="J338" s="103"/>
      <c r="K338" s="374" t="s">
        <v>1571</v>
      </c>
      <c r="L338" s="988" t="s">
        <v>587</v>
      </c>
      <c r="M338" s="103"/>
      <c r="N338" s="103"/>
      <c r="O338" s="103"/>
      <c r="P338" s="103"/>
      <c r="Q338" s="103"/>
      <c r="R338" s="103"/>
      <c r="S338" s="103"/>
      <c r="T338" s="468" cm="1" t="str">
        <f t="array" ref="T338:T338">T337</f>
        <v>true</v>
      </c>
      <c r="U338" s="103"/>
      <c r="V338" s="103"/>
      <c r="W338" s="103"/>
      <c r="X338" s="1559"/>
      <c r="Y338" s="1297"/>
      <c r="Z338" s="1529"/>
      <c r="AA338" s="1297"/>
      <c r="AB338" s="296" t="s">
        <v>1572</v>
      </c>
      <c r="AC338" s="772" t="s">
        <v>2217</v>
      </c>
      <c r="AD338" s="296" t="s">
        <v>936</v>
      </c>
      <c r="AE338" s="1125">
        <f>AE339+AE340</f>
        <v>0</v>
      </c>
      <c r="AF338" s="1125">
        <f>AF339+AF340</f>
        <v>0</v>
      </c>
      <c r="AG338" s="1125">
        <f>AG339+AG340</f>
        <v>0</v>
      </c>
      <c r="AH338" s="1123">
        <f>AG338-AF338</f>
        <v>0</v>
      </c>
      <c r="AI338" s="1125">
        <f>AI339+AI340</f>
        <v>0</v>
      </c>
      <c r="AJ338" s="1125">
        <f>AJ339+AJ340</f>
        <v>0</v>
      </c>
      <c r="AK338" s="1124"/>
      <c r="AL338" s="1124"/>
      <c r="AM338" s="1124"/>
      <c r="AN338" s="1124"/>
      <c r="AO338" s="1124"/>
      <c r="AP338" s="1124"/>
      <c r="AQ338" s="1124"/>
      <c r="AR338" s="1124"/>
      <c r="AS338" s="1124"/>
      <c r="AT338" s="1125">
        <f>AT339+AT340</f>
        <v>0</v>
      </c>
      <c r="AU338" s="1124"/>
      <c r="AV338" s="1124"/>
      <c r="AW338" s="1124"/>
      <c r="AX338" s="1124"/>
      <c r="AY338" s="1124"/>
      <c r="AZ338" s="1124"/>
      <c r="BA338" s="1124"/>
      <c r="BB338" s="1124"/>
      <c r="BC338" s="1124"/>
      <c r="BD338" s="1123">
        <f>IF(AI338=0,0,(AT338-AI338)/AI338*100)</f>
        <v>0</v>
      </c>
      <c r="BE338" s="1124"/>
      <c r="BF338" s="1124"/>
      <c r="BG338" s="1124"/>
      <c r="BH338" s="1124"/>
      <c r="BI338" s="1124"/>
      <c r="BJ338" s="1124"/>
      <c r="BK338" s="1124"/>
      <c r="BL338" s="1124"/>
      <c r="BM338" s="1124"/>
      <c r="BN338" s="6290"/>
      <c r="BO338" s="6290"/>
      <c r="BP338" s="6290"/>
      <c r="BQ338" s="1297"/>
      <c r="BR338" s="1297"/>
      <c r="BS338" s="1070" t="s">
        <v>2044</v>
      </c>
      <c r="BT338" s="1072"/>
      <c r="BU338" s="1072"/>
      <c r="BV338" s="987"/>
      <c r="BW338" s="987"/>
    </row>
    <row s="1656" customFormat="1" customHeight="1" ht="14.25">
      <c r="A339" s="1297"/>
      <c r="B339" s="986"/>
      <c r="C339" s="103"/>
      <c r="D339" s="103"/>
      <c r="E339" s="626">
        <v>15</v>
      </c>
      <c r="F339" s="50" cm="1" t="str">
        <f t="array" ref="F339:F339">OFFSET(E339,-1,1)</f>
        <v>2</v>
      </c>
      <c r="G339" s="855" t="s">
        <v>1365</v>
      </c>
      <c r="H339" s="864"/>
      <c r="I339" s="864" t="s">
        <v>2218</v>
      </c>
      <c r="J339" s="103"/>
      <c r="K339" s="374" t="s">
        <v>2218</v>
      </c>
      <c r="L339" s="988" t="s">
        <v>2045</v>
      </c>
      <c r="M339" s="103"/>
      <c r="N339" s="103"/>
      <c r="O339" s="103"/>
      <c r="P339" s="103"/>
      <c r="Q339" s="103"/>
      <c r="R339" s="103"/>
      <c r="S339" s="103"/>
      <c r="T339" s="468" cm="1" t="str">
        <f t="array" ref="T339:T339">T338</f>
        <v>true</v>
      </c>
      <c r="U339" s="103"/>
      <c r="V339" s="103"/>
      <c r="W339" s="103"/>
      <c r="X339" s="1559"/>
      <c r="Y339" s="1297"/>
      <c r="Z339" s="1529"/>
      <c r="AA339" s="1297"/>
      <c r="AB339" s="296" t="s">
        <v>2219</v>
      </c>
      <c r="AC339" s="775" t="s">
        <v>2046</v>
      </c>
      <c r="AD339" s="296" t="s">
        <v>936</v>
      </c>
      <c r="AE339" s="1123">
        <f>_xlfn.SUMIFS(ФОТ!AE$25:AE$127,ФОТ!$F$25:$F$127,$F339,ФОТ!$G$25:$G$127,$G339)</f>
        <v>0</v>
      </c>
      <c r="AF339" s="1123">
        <f>_xlfn.SUMIFS(ФОТ!AF$25:AF$127,ФОТ!$F$25:$F$127,$F339,ФОТ!$G$25:$G$127,$G339)</f>
        <v>0</v>
      </c>
      <c r="AG339" s="1123">
        <f>_xlfn.SUMIFS(ФОТ!AG$25:AG$127,ФОТ!$F$25:$F$127,$F339,ФОТ!$G$25:$G$127,$G339)</f>
        <v>0</v>
      </c>
      <c r="AH339" s="1123">
        <f>AG339-AF339</f>
        <v>0</v>
      </c>
      <c r="AI339" s="1123">
        <f>_xlfn.SUMIFS(ФОТ!AH$25:AH$127,ФОТ!$F$25:$F$127,$F339,ФОТ!$G$25:$G$127,$G339)</f>
        <v>0</v>
      </c>
      <c r="AJ339" s="1123">
        <f>_xlfn.SUMIFS(ФОТ!AI$25:AI$127,ФОТ!$F$25:$F$127,$F339,ФОТ!$G$25:$G$127,$G339)</f>
        <v>0</v>
      </c>
      <c r="AK339" s="1124"/>
      <c r="AL339" s="1124"/>
      <c r="AM339" s="1124"/>
      <c r="AN339" s="1124"/>
      <c r="AO339" s="1124"/>
      <c r="AP339" s="1124"/>
      <c r="AQ339" s="1124"/>
      <c r="AR339" s="1124"/>
      <c r="AS339" s="1124"/>
      <c r="AT339" s="1123">
        <f>_xlfn.SUMIFS(ФОТ!AJ$25:AJ$127,ФОТ!$F$25:$F$127,$F339,ФОТ!$G$25:$G$127,$G339)</f>
        <v>0</v>
      </c>
      <c r="AU339" s="1124"/>
      <c r="AV339" s="1124"/>
      <c r="AW339" s="1124"/>
      <c r="AX339" s="1124"/>
      <c r="AY339" s="1124"/>
      <c r="AZ339" s="1124"/>
      <c r="BA339" s="1124"/>
      <c r="BB339" s="1124"/>
      <c r="BC339" s="1124"/>
      <c r="BD339" s="1123">
        <f>IF(AI339=0,0,(AT339-AI339)/AI339*100)</f>
        <v>0</v>
      </c>
      <c r="BE339" s="1124"/>
      <c r="BF339" s="1124"/>
      <c r="BG339" s="1124"/>
      <c r="BH339" s="1124"/>
      <c r="BI339" s="1124"/>
      <c r="BJ339" s="1124"/>
      <c r="BK339" s="1124"/>
      <c r="BL339" s="1124"/>
      <c r="BM339" s="1124"/>
      <c r="BN339" s="6290"/>
      <c r="BO339" s="6294" t="str">
        <f>IF(_xlfn.IFERROR(INDEX(ФОТ!$K$26:$L$127,MATCH($F339&amp;"3komm",ФОТ!$K$26:$K$127,0),2),"")=0,"",_xlfn.IFERROR(INDEX(ФОТ!$K$26:$L$127,MATCH($F339&amp;"3komm",ФОТ!$K$26:$K$127,0),2),""))</f>
        <v/>
      </c>
      <c r="BP339" s="6290"/>
      <c r="BQ339" s="1297"/>
      <c r="BR339" s="1297"/>
      <c r="BS339" s="1070" t="s">
        <v>2047</v>
      </c>
      <c r="BT339" s="1072"/>
      <c r="BU339" s="1072"/>
      <c r="BV339" s="987"/>
      <c r="BW339" s="987"/>
    </row>
    <row s="1656" customFormat="1" customHeight="1" ht="21.75">
      <c r="A340" s="1297"/>
      <c r="B340" s="986"/>
      <c r="C340" s="103"/>
      <c r="D340" s="103"/>
      <c r="E340" s="626">
        <v>22.5</v>
      </c>
      <c r="F340" s="50" cm="1" t="str">
        <f t="array" ref="F340:F340">OFFSET(E340,-1,1)</f>
        <v>2</v>
      </c>
      <c r="G340" s="855" t="s">
        <v>1370</v>
      </c>
      <c r="H340" s="864"/>
      <c r="I340" s="864" t="s">
        <v>2220</v>
      </c>
      <c r="J340" s="103"/>
      <c r="K340" s="374" t="s">
        <v>2220</v>
      </c>
      <c r="L340" s="988" t="s">
        <v>2048</v>
      </c>
      <c r="M340" s="103"/>
      <c r="N340" s="103"/>
      <c r="O340" s="103"/>
      <c r="P340" s="103"/>
      <c r="Q340" s="103"/>
      <c r="R340" s="103"/>
      <c r="S340" s="103"/>
      <c r="T340" s="468" cm="1" t="str">
        <f t="array" ref="T340:T340">T339</f>
        <v>true</v>
      </c>
      <c r="U340" s="103"/>
      <c r="V340" s="103"/>
      <c r="W340" s="103"/>
      <c r="X340" s="1559"/>
      <c r="Y340" s="1297"/>
      <c r="Z340" s="1529"/>
      <c r="AA340" s="1297"/>
      <c r="AB340" s="296" t="s">
        <v>2221</v>
      </c>
      <c r="AC340" s="775" t="s">
        <v>2222</v>
      </c>
      <c r="AD340" s="296" t="s">
        <v>936</v>
      </c>
      <c r="AE340" s="1123">
        <f>_xlfn.SUMIFS(ФОТ!AE$25:AE$127,ФОТ!$F$25:$F$127,$F340,ФОТ!$G$25:$G$127,$G340)</f>
        <v>0</v>
      </c>
      <c r="AF340" s="1123">
        <f>_xlfn.SUMIFS(ФОТ!AF$25:AF$127,ФОТ!$F$25:$F$127,$F340,ФОТ!$G$25:$G$127,$G340)</f>
        <v>0</v>
      </c>
      <c r="AG340" s="1123">
        <f>_xlfn.SUMIFS(ФОТ!AG$25:AG$127,ФОТ!$F$25:$F$127,$F340,ФОТ!$G$25:$G$127,$G340)</f>
        <v>0</v>
      </c>
      <c r="AH340" s="1123">
        <f>AG340-AF340</f>
        <v>0</v>
      </c>
      <c r="AI340" s="1123">
        <f>_xlfn.SUMIFS(ФОТ!AH$25:AH$127,ФОТ!$F$25:$F$127,$F340,ФОТ!$G$25:$G$127,$G340)</f>
        <v>0</v>
      </c>
      <c r="AJ340" s="1123">
        <f>_xlfn.SUMIFS(ФОТ!AI$25:AI$127,ФОТ!$F$25:$F$127,$F340,ФОТ!$G$25:$G$127,$G340)</f>
        <v>0</v>
      </c>
      <c r="AK340" s="1124"/>
      <c r="AL340" s="1124"/>
      <c r="AM340" s="1124"/>
      <c r="AN340" s="1124"/>
      <c r="AO340" s="1124"/>
      <c r="AP340" s="1124"/>
      <c r="AQ340" s="1124"/>
      <c r="AR340" s="1124"/>
      <c r="AS340" s="1124"/>
      <c r="AT340" s="1123">
        <f>_xlfn.SUMIFS(ФОТ!AJ$25:AJ$127,ФОТ!$F$25:$F$127,$F340,ФОТ!$G$25:$G$127,$G340)</f>
        <v>0</v>
      </c>
      <c r="AU340" s="1124"/>
      <c r="AV340" s="1124"/>
      <c r="AW340" s="1124"/>
      <c r="AX340" s="1124"/>
      <c r="AY340" s="1124"/>
      <c r="AZ340" s="1124"/>
      <c r="BA340" s="1124"/>
      <c r="BB340" s="1124"/>
      <c r="BC340" s="1124"/>
      <c r="BD340" s="1123">
        <f>IF(AI340=0,0,(AT340-AI340)/AI340*100)</f>
        <v>0</v>
      </c>
      <c r="BE340" s="1124"/>
      <c r="BF340" s="1124"/>
      <c r="BG340" s="1124"/>
      <c r="BH340" s="1124"/>
      <c r="BI340" s="1124"/>
      <c r="BJ340" s="1124"/>
      <c r="BK340" s="1124"/>
      <c r="BL340" s="1124"/>
      <c r="BM340" s="1124"/>
      <c r="BN340" s="6290"/>
      <c r="BO340" s="6294" t="str">
        <f>IF(_xlfn.IFERROR(INDEX(ФОТ!$K$26:$L$127,MATCH($F340&amp;"4komm",ФОТ!$K$26:$K$127,0),2),"")=0,"",_xlfn.IFERROR(INDEX(ФОТ!$K$26:$L$127,MATCH($F340&amp;"4komm",ФОТ!$K$26:$K$127,0),2),""))</f>
        <v/>
      </c>
      <c r="BP340" s="6290"/>
      <c r="BQ340" s="1297"/>
      <c r="BR340" s="1297"/>
      <c r="BS340" s="1070" t="s">
        <v>2050</v>
      </c>
      <c r="BT340" s="1072"/>
      <c r="BU340" s="1072"/>
      <c r="BV340" s="987"/>
      <c r="BW340" s="987"/>
    </row>
    <row s="6363" customFormat="1" customHeight="1" ht="20.25">
      <c r="A341" s="706"/>
      <c r="B341" s="437"/>
      <c r="C341" s="105"/>
      <c r="D341" s="105"/>
      <c r="E341" s="833">
        <v>21</v>
      </c>
      <c r="F341" s="50" cm="1" t="str">
        <f t="array" ref="F341:F341">OFFSET(E341,-1,1)</f>
        <v>2</v>
      </c>
      <c r="G341" s="105"/>
      <c r="H341" s="864"/>
      <c r="I341" s="864" t="s">
        <v>577</v>
      </c>
      <c r="J341" s="105"/>
      <c r="K341" s="374" t="s">
        <v>577</v>
      </c>
      <c r="L341" s="993" t="s">
        <v>346</v>
      </c>
      <c r="M341" s="105"/>
      <c r="N341" s="105"/>
      <c r="O341" s="105"/>
      <c r="P341" s="105"/>
      <c r="Q341" s="105"/>
      <c r="R341" s="105"/>
      <c r="S341" s="105"/>
      <c r="T341" s="468" cm="1" t="str">
        <f t="array" ref="T341:T341">T340</f>
        <v>true</v>
      </c>
      <c r="U341" s="105"/>
      <c r="V341" s="105"/>
      <c r="W341" s="105"/>
      <c r="X341" s="1559"/>
      <c r="Y341" s="706"/>
      <c r="Z341" s="1529"/>
      <c r="AA341" s="706"/>
      <c r="AB341" s="207" t="s">
        <v>1076</v>
      </c>
      <c r="AC341" s="357" t="s">
        <v>2223</v>
      </c>
      <c r="AD341" s="207" t="s">
        <v>936</v>
      </c>
      <c r="AE341" s="209">
        <f>AE342+AE350+AE353+AE354+AE355+AE356+AE357</f>
        <v>0</v>
      </c>
      <c r="AF341" s="209">
        <f>AF342+AF350+AF353+AF354+AF355+AF356+AF357</f>
        <v>0</v>
      </c>
      <c r="AG341" s="209">
        <f>AG342+AG350+AG353+AG354+AG355+AG356+AG357</f>
        <v>0</v>
      </c>
      <c r="AH341" s="785">
        <f>AG341-AF341</f>
        <v>0</v>
      </c>
      <c r="AI341" s="209">
        <f>AI342+AI350+AI353+AI354+AI355+AI356+AI357</f>
        <v>0</v>
      </c>
      <c r="AJ341" s="209">
        <f>AJ342+AJ350+AJ353+AJ354+AJ355+AJ356+AJ357</f>
        <v>0</v>
      </c>
      <c r="AK341" s="212"/>
      <c r="AL341" s="212"/>
      <c r="AM341" s="212"/>
      <c r="AN341" s="212"/>
      <c r="AO341" s="212"/>
      <c r="AP341" s="212"/>
      <c r="AQ341" s="212"/>
      <c r="AR341" s="212"/>
      <c r="AS341" s="212"/>
      <c r="AT341" s="209">
        <f>AT342+AT350+AT353+AT354+AT355+AT356+AT357</f>
        <v>0</v>
      </c>
      <c r="AU341" s="212"/>
      <c r="AV341" s="212"/>
      <c r="AW341" s="212"/>
      <c r="AX341" s="212"/>
      <c r="AY341" s="212"/>
      <c r="AZ341" s="212"/>
      <c r="BA341" s="212"/>
      <c r="BB341" s="212"/>
      <c r="BC341" s="212"/>
      <c r="BD341" s="785">
        <f>IF(AI341=0,0,(AT341-AI341)/AI341*100)</f>
        <v>0</v>
      </c>
      <c r="BE341" s="212"/>
      <c r="BF341" s="212"/>
      <c r="BG341" s="212"/>
      <c r="BH341" s="212"/>
      <c r="BI341" s="212"/>
      <c r="BJ341" s="212"/>
      <c r="BK341" s="212"/>
      <c r="BL341" s="212"/>
      <c r="BM341" s="212"/>
      <c r="BN341" s="6292"/>
      <c r="BO341" s="6292"/>
      <c r="BP341" s="6292"/>
      <c r="BQ341" s="706"/>
      <c r="BR341" s="706"/>
      <c r="BS341" s="1071" t="s">
        <v>2052</v>
      </c>
      <c r="BT341" s="1078"/>
      <c r="BU341" s="1078"/>
      <c r="BV341" s="713"/>
      <c r="BW341" s="713"/>
    </row>
    <row s="1656" customFormat="1" customHeight="1" ht="21.75">
      <c r="A342" s="1297"/>
      <c r="B342" s="986"/>
      <c r="C342" s="103"/>
      <c r="D342" s="103"/>
      <c r="E342" s="626">
        <v>22.5</v>
      </c>
      <c r="F342" s="50" cm="1" t="str">
        <f t="array" ref="F342:F342">OFFSET(E342,-1,1)</f>
        <v>2</v>
      </c>
      <c r="G342" s="103" t="s">
        <v>1391</v>
      </c>
      <c r="H342" s="864"/>
      <c r="I342" s="864" t="s">
        <v>1577</v>
      </c>
      <c r="J342" s="103"/>
      <c r="K342" s="374" t="s">
        <v>1577</v>
      </c>
      <c r="L342" s="988" t="s">
        <v>1097</v>
      </c>
      <c r="M342" s="103"/>
      <c r="N342" s="103"/>
      <c r="O342" s="103"/>
      <c r="P342" s="103"/>
      <c r="Q342" s="103"/>
      <c r="R342" s="103"/>
      <c r="S342" s="103"/>
      <c r="T342" s="468" cm="1" t="str">
        <f t="array" ref="T342:T342">T341</f>
        <v>true</v>
      </c>
      <c r="U342" s="103"/>
      <c r="V342" s="103"/>
      <c r="W342" s="103"/>
      <c r="X342" s="1559"/>
      <c r="Y342" s="1297"/>
      <c r="Z342" s="1529"/>
      <c r="AA342" s="1297"/>
      <c r="AB342" s="296" t="s">
        <v>1214</v>
      </c>
      <c r="AC342" s="772" t="s">
        <v>2224</v>
      </c>
      <c r="AD342" s="296" t="s">
        <v>936</v>
      </c>
      <c r="AE342" s="1123">
        <f>_xlfn.SUMIFS(Административные!AE$25:AE$103,Административные!$F$25:$F$103,$F342,Административные!$G$25:$G$103,$G342)</f>
        <v>0</v>
      </c>
      <c r="AF342" s="1123">
        <f>_xlfn.SUMIFS(Административные!AF$25:AF$103,Административные!$F$25:$F$103,$F342,Административные!$G$25:$G$103,$G342)</f>
        <v>0</v>
      </c>
      <c r="AG342" s="1123">
        <f>_xlfn.SUMIFS(Административные!AG$25:AG$103,Административные!$F$25:$F$103,$F342,Административные!$G$25:$G$103,$G342)</f>
        <v>0</v>
      </c>
      <c r="AH342" s="1123">
        <f>AG342-AF342</f>
        <v>0</v>
      </c>
      <c r="AI342" s="1123">
        <f>_xlfn.SUMIFS(Административные!AH$25:AH$103,Административные!$F$25:$F$103,$F342,Административные!$G$25:$G$103,$G342)</f>
        <v>0</v>
      </c>
      <c r="AJ342" s="1123">
        <f>_xlfn.SUMIFS(Административные!AI$25:AI$103,Административные!$F$25:$F$103,$F342,Административные!$G$25:$G$103,$G342)</f>
        <v>0</v>
      </c>
      <c r="AK342" s="1124"/>
      <c r="AL342" s="1124"/>
      <c r="AM342" s="1124"/>
      <c r="AN342" s="1124"/>
      <c r="AO342" s="1124"/>
      <c r="AP342" s="1124"/>
      <c r="AQ342" s="1124"/>
      <c r="AR342" s="1124"/>
      <c r="AS342" s="1124"/>
      <c r="AT342" s="1123">
        <f>_xlfn.SUMIFS(Административные!AJ$25:AJ$103,Административные!$F$25:$F$103,$F342,Административные!$G$25:$G$103,$G342)</f>
        <v>0</v>
      </c>
      <c r="AU342" s="1124"/>
      <c r="AV342" s="1124"/>
      <c r="AW342" s="1124"/>
      <c r="AX342" s="1124"/>
      <c r="AY342" s="1124"/>
      <c r="AZ342" s="1124"/>
      <c r="BA342" s="1124"/>
      <c r="BB342" s="1124"/>
      <c r="BC342" s="1124"/>
      <c r="BD342" s="1123">
        <f>IF(AI342=0,0,(AT342-AI342)/AI342*100)</f>
        <v>0</v>
      </c>
      <c r="BE342" s="1124"/>
      <c r="BF342" s="1124"/>
      <c r="BG342" s="1124"/>
      <c r="BH342" s="1124"/>
      <c r="BI342" s="1124"/>
      <c r="BJ342" s="1124"/>
      <c r="BK342" s="1124"/>
      <c r="BL342" s="1124"/>
      <c r="BM342" s="1124"/>
      <c r="BN342" s="6290"/>
      <c r="BO342" s="6294" t="str">
        <f>IF(_xlfn.IFERROR(INDEX(Административные!$K$26:$L$103,MATCH($F342&amp;"17komm",Административные!$K$26:$K$103,0),2),"")=0,"",_xlfn.IFERROR(INDEX(Административные!$K$26:$L$103,MATCH($F342&amp;"17komm",Административные!$K$26:$K$103,0),2),""))</f>
        <v/>
      </c>
      <c r="BP342" s="6290"/>
      <c r="BQ342" s="1297"/>
      <c r="BR342" s="1297"/>
      <c r="BS342" s="1070" t="s">
        <v>1393</v>
      </c>
      <c r="BT342" s="1072"/>
      <c r="BU342" s="1072"/>
      <c r="BV342" s="987"/>
      <c r="BW342" s="987"/>
    </row>
    <row s="1656" customFormat="1" customHeight="1" ht="14.25">
      <c r="A343" s="1297"/>
      <c r="B343" s="986"/>
      <c r="C343" s="103"/>
      <c r="D343" s="103"/>
      <c r="E343" s="626">
        <v>15</v>
      </c>
      <c r="F343" s="50" cm="1" t="str">
        <f t="array" ref="F343:F343">OFFSET(E343,-1,1)</f>
        <v>2</v>
      </c>
      <c r="G343" s="103" t="s">
        <v>1394</v>
      </c>
      <c r="H343" s="864"/>
      <c r="I343" s="864" t="s">
        <v>2225</v>
      </c>
      <c r="J343" s="103"/>
      <c r="K343" s="374" t="s">
        <v>2225</v>
      </c>
      <c r="L343" s="988"/>
      <c r="M343" s="103"/>
      <c r="N343" s="103"/>
      <c r="O343" s="103"/>
      <c r="P343" s="103"/>
      <c r="Q343" s="103"/>
      <c r="R343" s="103"/>
      <c r="S343" s="103"/>
      <c r="T343" s="468" cm="1" t="str">
        <f t="array" ref="T343:T343">T342</f>
        <v>true</v>
      </c>
      <c r="U343" s="103"/>
      <c r="V343" s="103"/>
      <c r="W343" s="103"/>
      <c r="X343" s="1559"/>
      <c r="Y343" s="1297"/>
      <c r="Z343" s="1529"/>
      <c r="AA343" s="1297"/>
      <c r="AB343" s="296" t="s">
        <v>2226</v>
      </c>
      <c r="AC343" s="775" t="s">
        <v>1395</v>
      </c>
      <c r="AD343" s="296" t="s">
        <v>936</v>
      </c>
      <c r="AE343" s="1123">
        <f>_xlfn.SUMIFS(Административные!AE$25:AE$103,Административные!$F$25:$F$103,$F343,Административные!$G$25:$G$103,$G343)</f>
        <v>0</v>
      </c>
      <c r="AF343" s="1123">
        <f>_xlfn.SUMIFS(Административные!AF$25:AF$103,Административные!$F$25:$F$103,$F343,Административные!$G$25:$G$103,$G343)</f>
        <v>0</v>
      </c>
      <c r="AG343" s="1123">
        <f>_xlfn.SUMIFS(Административные!AG$25:AG$103,Административные!$F$25:$F$103,$F343,Административные!$G$25:$G$103,$G343)</f>
        <v>0</v>
      </c>
      <c r="AH343" s="1123">
        <f>AG343-AF343</f>
        <v>0</v>
      </c>
      <c r="AI343" s="1123">
        <f>_xlfn.SUMIFS(Административные!AH$25:AH$103,Административные!$F$25:$F$103,$F343,Административные!$G$25:$G$103,$G343)</f>
        <v>0</v>
      </c>
      <c r="AJ343" s="1123">
        <f>_xlfn.SUMIFS(Административные!AI$25:AI$103,Административные!$F$25:$F$103,$F343,Административные!$G$25:$G$103,$G343)</f>
        <v>0</v>
      </c>
      <c r="AK343" s="1124"/>
      <c r="AL343" s="1124"/>
      <c r="AM343" s="1124"/>
      <c r="AN343" s="1124"/>
      <c r="AO343" s="1124"/>
      <c r="AP343" s="1124"/>
      <c r="AQ343" s="1124"/>
      <c r="AR343" s="1124"/>
      <c r="AS343" s="1124"/>
      <c r="AT343" s="1123">
        <f>_xlfn.SUMIFS(Административные!AJ$25:AJ$103,Административные!$F$25:$F$103,$F343,Административные!$G$25:$G$103,$G343)</f>
        <v>0</v>
      </c>
      <c r="AU343" s="1124"/>
      <c r="AV343" s="1124"/>
      <c r="AW343" s="1124"/>
      <c r="AX343" s="1124"/>
      <c r="AY343" s="1124"/>
      <c r="AZ343" s="1124"/>
      <c r="BA343" s="1124"/>
      <c r="BB343" s="1124"/>
      <c r="BC343" s="1124"/>
      <c r="BD343" s="1123">
        <f>IF(AI343=0,0,(AT343-AI343)/AI343*100)</f>
        <v>0</v>
      </c>
      <c r="BE343" s="1124"/>
      <c r="BF343" s="1124"/>
      <c r="BG343" s="1124"/>
      <c r="BH343" s="1124"/>
      <c r="BI343" s="1124"/>
      <c r="BJ343" s="1124"/>
      <c r="BK343" s="1124"/>
      <c r="BL343" s="1124"/>
      <c r="BM343" s="1124"/>
      <c r="BN343" s="6290"/>
      <c r="BO343" s="6294" t="str">
        <f>IF(_xlfn.IFERROR(INDEX(Административные!$K$26:$L$103,MATCH($F343&amp;"18komm",Административные!$K$26:$K$103,0),2),"")=0,"",_xlfn.IFERROR(INDEX(Административные!$K$26:$L$103,MATCH($F343&amp;"18komm",Административные!$K$26:$K$103,0),2),""))</f>
        <v/>
      </c>
      <c r="BP343" s="6290"/>
      <c r="BQ343" s="1297"/>
      <c r="BR343" s="1297"/>
      <c r="BS343" s="1072" t="s">
        <v>1396</v>
      </c>
      <c r="BT343" s="1072"/>
      <c r="BU343" s="1072"/>
      <c r="BV343" s="987"/>
      <c r="BW343" s="987"/>
    </row>
    <row s="1656" customFormat="1" customHeight="1" ht="14.25">
      <c r="A344" s="1297"/>
      <c r="B344" s="986"/>
      <c r="C344" s="103"/>
      <c r="D344" s="103"/>
      <c r="E344" s="626">
        <v>15</v>
      </c>
      <c r="F344" s="50" cm="1" t="str">
        <f t="array" ref="F344:F344">OFFSET(E344,-1,1)</f>
        <v>2</v>
      </c>
      <c r="G344" s="103" t="s">
        <v>1397</v>
      </c>
      <c r="H344" s="864"/>
      <c r="I344" s="864" t="s">
        <v>2227</v>
      </c>
      <c r="J344" s="103"/>
      <c r="K344" s="374" t="s">
        <v>2227</v>
      </c>
      <c r="L344" s="988"/>
      <c r="M344" s="103"/>
      <c r="N344" s="103"/>
      <c r="O344" s="103"/>
      <c r="P344" s="103"/>
      <c r="Q344" s="103"/>
      <c r="R344" s="103"/>
      <c r="S344" s="103"/>
      <c r="T344" s="468" cm="1" t="str">
        <f t="array" ref="T344:T344">T343</f>
        <v>true</v>
      </c>
      <c r="U344" s="103"/>
      <c r="V344" s="103"/>
      <c r="W344" s="103"/>
      <c r="X344" s="1559"/>
      <c r="Y344" s="1297"/>
      <c r="Z344" s="1529"/>
      <c r="AA344" s="1297"/>
      <c r="AB344" s="296" t="s">
        <v>2228</v>
      </c>
      <c r="AC344" s="775" t="s">
        <v>1398</v>
      </c>
      <c r="AD344" s="296" t="s">
        <v>936</v>
      </c>
      <c r="AE344" s="1123">
        <f>_xlfn.SUMIFS(Административные!AE$25:AE$103,Административные!$F$25:$F$103,$F344,Административные!$G$25:$G$103,$G344)</f>
        <v>0</v>
      </c>
      <c r="AF344" s="1123">
        <f>_xlfn.SUMIFS(Административные!AF$25:AF$103,Административные!$F$25:$F$103,$F344,Административные!$G$25:$G$103,$G344)</f>
        <v>0</v>
      </c>
      <c r="AG344" s="1123">
        <f>_xlfn.SUMIFS(Административные!AG$25:AG$103,Административные!$F$25:$F$103,$F344,Административные!$G$25:$G$103,$G344)</f>
        <v>0</v>
      </c>
      <c r="AH344" s="1123">
        <f>AG344-AF344</f>
        <v>0</v>
      </c>
      <c r="AI344" s="1123">
        <f>_xlfn.SUMIFS(Административные!AH$25:AH$103,Административные!$F$25:$F$103,$F344,Административные!$G$25:$G$103,$G344)</f>
        <v>0</v>
      </c>
      <c r="AJ344" s="1123">
        <f>_xlfn.SUMIFS(Административные!AI$25:AI$103,Административные!$F$25:$F$103,$F344,Административные!$G$25:$G$103,$G344)</f>
        <v>0</v>
      </c>
      <c r="AK344" s="1124"/>
      <c r="AL344" s="1124"/>
      <c r="AM344" s="1124"/>
      <c r="AN344" s="1124"/>
      <c r="AO344" s="1124"/>
      <c r="AP344" s="1124"/>
      <c r="AQ344" s="1124"/>
      <c r="AR344" s="1124"/>
      <c r="AS344" s="1124"/>
      <c r="AT344" s="1123">
        <f>_xlfn.SUMIFS(Административные!AJ$25:AJ$103,Административные!$F$25:$F$103,$F344,Административные!$G$25:$G$103,$G344)</f>
        <v>0</v>
      </c>
      <c r="AU344" s="1124"/>
      <c r="AV344" s="1124"/>
      <c r="AW344" s="1124"/>
      <c r="AX344" s="1124"/>
      <c r="AY344" s="1124"/>
      <c r="AZ344" s="1124"/>
      <c r="BA344" s="1124"/>
      <c r="BB344" s="1124"/>
      <c r="BC344" s="1124"/>
      <c r="BD344" s="1123">
        <f>IF(AI344=0,0,(AT344-AI344)/AI344*100)</f>
        <v>0</v>
      </c>
      <c r="BE344" s="1124"/>
      <c r="BF344" s="1124"/>
      <c r="BG344" s="1124"/>
      <c r="BH344" s="1124"/>
      <c r="BI344" s="1124"/>
      <c r="BJ344" s="1124"/>
      <c r="BK344" s="1124"/>
      <c r="BL344" s="1124"/>
      <c r="BM344" s="1124"/>
      <c r="BN344" s="6290"/>
      <c r="BO344" s="6294" t="str">
        <f>IF(_xlfn.IFERROR(INDEX(Административные!$K$26:$L$103,MATCH($F344&amp;"11komm",Административные!$K$26:$K$103,0),2),"")=0,"",_xlfn.IFERROR(INDEX(Административные!$K$26:$L$103,MATCH($F344&amp;"11komm",Административные!$K$26:$K$103,0),2),""))</f>
        <v/>
      </c>
      <c r="BP344" s="6290"/>
      <c r="BQ344" s="1297"/>
      <c r="BR344" s="1297"/>
      <c r="BS344" s="1072" t="s">
        <v>1399</v>
      </c>
      <c r="BT344" s="1072"/>
      <c r="BU344" s="1072"/>
      <c r="BV344" s="987"/>
      <c r="BW344" s="987"/>
    </row>
    <row s="1656" customFormat="1" customHeight="1" ht="14.25">
      <c r="A345" s="1297"/>
      <c r="B345" s="986"/>
      <c r="C345" s="103"/>
      <c r="D345" s="103"/>
      <c r="E345" s="626">
        <v>15</v>
      </c>
      <c r="F345" s="50" cm="1" t="str">
        <f t="array" ref="F345:F345">OFFSET(E345,-1,1)</f>
        <v>2</v>
      </c>
      <c r="G345" s="103" t="s">
        <v>1400</v>
      </c>
      <c r="H345" s="864"/>
      <c r="I345" s="864" t="s">
        <v>2229</v>
      </c>
      <c r="J345" s="103"/>
      <c r="K345" s="374" t="s">
        <v>2229</v>
      </c>
      <c r="L345" s="988"/>
      <c r="M345" s="103"/>
      <c r="N345" s="103"/>
      <c r="O345" s="103"/>
      <c r="P345" s="103"/>
      <c r="Q345" s="103"/>
      <c r="R345" s="103"/>
      <c r="S345" s="103"/>
      <c r="T345" s="468" cm="1" t="str">
        <f t="array" ref="T345:T345">T344</f>
        <v>true</v>
      </c>
      <c r="U345" s="103"/>
      <c r="V345" s="103"/>
      <c r="W345" s="103"/>
      <c r="X345" s="1559"/>
      <c r="Y345" s="1297"/>
      <c r="Z345" s="1529"/>
      <c r="AA345" s="1297"/>
      <c r="AB345" s="296" t="s">
        <v>2230</v>
      </c>
      <c r="AC345" s="775" t="s">
        <v>1401</v>
      </c>
      <c r="AD345" s="296" t="s">
        <v>936</v>
      </c>
      <c r="AE345" s="1123">
        <f>_xlfn.SUMIFS(Административные!AE$25:AE$103,Административные!$F$25:$F$103,$F345,Административные!$G$25:$G$103,$G345)</f>
        <v>0</v>
      </c>
      <c r="AF345" s="1123">
        <f>_xlfn.SUMIFS(Административные!AF$25:AF$103,Административные!$F$25:$F$103,$F345,Административные!$G$25:$G$103,$G345)</f>
        <v>0</v>
      </c>
      <c r="AG345" s="1123">
        <f>_xlfn.SUMIFS(Административные!AG$25:AG$103,Административные!$F$25:$F$103,$F345,Административные!$G$25:$G$103,$G345)</f>
        <v>0</v>
      </c>
      <c r="AH345" s="1123">
        <f>AG345-AF345</f>
        <v>0</v>
      </c>
      <c r="AI345" s="1123">
        <f>_xlfn.SUMIFS(Административные!AH$25:AH$103,Административные!$F$25:$F$103,$F345,Административные!$G$25:$G$103,$G345)</f>
        <v>0</v>
      </c>
      <c r="AJ345" s="1123">
        <f>_xlfn.SUMIFS(Административные!AI$25:AI$103,Административные!$F$25:$F$103,$F345,Административные!$G$25:$G$103,$G345)</f>
        <v>0</v>
      </c>
      <c r="AK345" s="1124"/>
      <c r="AL345" s="1124"/>
      <c r="AM345" s="1124"/>
      <c r="AN345" s="1124"/>
      <c r="AO345" s="1124"/>
      <c r="AP345" s="1124"/>
      <c r="AQ345" s="1124"/>
      <c r="AR345" s="1124"/>
      <c r="AS345" s="1124"/>
      <c r="AT345" s="1123">
        <f>_xlfn.SUMIFS(Административные!AJ$25:AJ$103,Административные!$F$25:$F$103,$F345,Административные!$G$25:$G$103,$G345)</f>
        <v>0</v>
      </c>
      <c r="AU345" s="1124"/>
      <c r="AV345" s="1124"/>
      <c r="AW345" s="1124"/>
      <c r="AX345" s="1124"/>
      <c r="AY345" s="1124"/>
      <c r="AZ345" s="1124"/>
      <c r="BA345" s="1124"/>
      <c r="BB345" s="1124"/>
      <c r="BC345" s="1124"/>
      <c r="BD345" s="1123">
        <f>IF(AI345=0,0,(AT345-AI345)/AI345*100)</f>
        <v>0</v>
      </c>
      <c r="BE345" s="1124"/>
      <c r="BF345" s="1124"/>
      <c r="BG345" s="1124"/>
      <c r="BH345" s="1124"/>
      <c r="BI345" s="1124"/>
      <c r="BJ345" s="1124"/>
      <c r="BK345" s="1124"/>
      <c r="BL345" s="1124"/>
      <c r="BM345" s="1124"/>
      <c r="BN345" s="6290"/>
      <c r="BO345" s="6294" t="str">
        <f>IF(_xlfn.IFERROR(INDEX(Административные!$K$26:$L$103,MATCH($F345&amp;"12komm",Административные!$K$26:$K$103,0),2),"")=0,"",_xlfn.IFERROR(INDEX(Административные!$K$26:$L$103,MATCH($F345&amp;"12komm",Административные!$K$26:$K$103,0),2),""))</f>
        <v/>
      </c>
      <c r="BP345" s="6290"/>
      <c r="BQ345" s="1297"/>
      <c r="BR345" s="1297"/>
      <c r="BS345" s="1072" t="s">
        <v>1402</v>
      </c>
      <c r="BT345" s="1072"/>
      <c r="BU345" s="1072"/>
      <c r="BV345" s="987"/>
      <c r="BW345" s="987"/>
    </row>
    <row s="1656" customFormat="1" customHeight="1" ht="14.25">
      <c r="A346" s="1297"/>
      <c r="B346" s="986"/>
      <c r="C346" s="103"/>
      <c r="D346" s="103"/>
      <c r="E346" s="626">
        <v>15</v>
      </c>
      <c r="F346" s="50" cm="1" t="str">
        <f t="array" ref="F346:F346">OFFSET(E346,-1,1)</f>
        <v>2</v>
      </c>
      <c r="G346" s="103" t="s">
        <v>1403</v>
      </c>
      <c r="H346" s="864"/>
      <c r="I346" s="864" t="s">
        <v>2231</v>
      </c>
      <c r="J346" s="103"/>
      <c r="K346" s="374" t="s">
        <v>2231</v>
      </c>
      <c r="L346" s="988"/>
      <c r="M346" s="103"/>
      <c r="N346" s="103"/>
      <c r="O346" s="103"/>
      <c r="P346" s="103"/>
      <c r="Q346" s="103"/>
      <c r="R346" s="103"/>
      <c r="S346" s="103"/>
      <c r="T346" s="468" cm="1" t="str">
        <f t="array" ref="T346:T346">T345</f>
        <v>true</v>
      </c>
      <c r="U346" s="103"/>
      <c r="V346" s="103"/>
      <c r="W346" s="103"/>
      <c r="X346" s="1559"/>
      <c r="Y346" s="1297"/>
      <c r="Z346" s="1529"/>
      <c r="AA346" s="1297"/>
      <c r="AB346" s="296" t="s">
        <v>2232</v>
      </c>
      <c r="AC346" s="775" t="s">
        <v>1404</v>
      </c>
      <c r="AD346" s="296" t="s">
        <v>936</v>
      </c>
      <c r="AE346" s="1123">
        <f>_xlfn.SUMIFS(Административные!AE$25:AE$103,Административные!$F$25:$F$103,$F346,Административные!$G$25:$G$103,$G346)</f>
        <v>0</v>
      </c>
      <c r="AF346" s="1123">
        <f>_xlfn.SUMIFS(Административные!AF$25:AF$103,Административные!$F$25:$F$103,$F346,Административные!$G$25:$G$103,$G346)</f>
        <v>0</v>
      </c>
      <c r="AG346" s="1123">
        <f>_xlfn.SUMIFS(Административные!AG$25:AG$103,Административные!$F$25:$F$103,$F346,Административные!$G$25:$G$103,$G346)</f>
        <v>0</v>
      </c>
      <c r="AH346" s="1123">
        <f>AG346-AF346</f>
        <v>0</v>
      </c>
      <c r="AI346" s="1123">
        <f>_xlfn.SUMIFS(Административные!AH$25:AH$103,Административные!$F$25:$F$103,$F346,Административные!$G$25:$G$103,$G346)</f>
        <v>0</v>
      </c>
      <c r="AJ346" s="1123">
        <f>_xlfn.SUMIFS(Административные!AI$25:AI$103,Административные!$F$25:$F$103,$F346,Административные!$G$25:$G$103,$G346)</f>
        <v>0</v>
      </c>
      <c r="AK346" s="1124"/>
      <c r="AL346" s="1124"/>
      <c r="AM346" s="1124"/>
      <c r="AN346" s="1124"/>
      <c r="AO346" s="1124"/>
      <c r="AP346" s="1124"/>
      <c r="AQ346" s="1124"/>
      <c r="AR346" s="1124"/>
      <c r="AS346" s="1124"/>
      <c r="AT346" s="1123">
        <f>_xlfn.SUMIFS(Административные!AJ$25:AJ$103,Административные!$F$25:$F$103,$F346,Административные!$G$25:$G$103,$G346)</f>
        <v>0</v>
      </c>
      <c r="AU346" s="1124"/>
      <c r="AV346" s="1124"/>
      <c r="AW346" s="1124"/>
      <c r="AX346" s="1124"/>
      <c r="AY346" s="1124"/>
      <c r="AZ346" s="1124"/>
      <c r="BA346" s="1124"/>
      <c r="BB346" s="1124"/>
      <c r="BC346" s="1124"/>
      <c r="BD346" s="1123">
        <f>IF(AI346=0,0,(AT346-AI346)/AI346*100)</f>
        <v>0</v>
      </c>
      <c r="BE346" s="1124"/>
      <c r="BF346" s="1124"/>
      <c r="BG346" s="1124"/>
      <c r="BH346" s="1124"/>
      <c r="BI346" s="1124"/>
      <c r="BJ346" s="1124"/>
      <c r="BK346" s="1124"/>
      <c r="BL346" s="1124"/>
      <c r="BM346" s="1124"/>
      <c r="BN346" s="6290"/>
      <c r="BO346" s="6294" t="str">
        <f>IF(_xlfn.IFERROR(INDEX(Административные!$K$26:$L$103,MATCH($F346&amp;"13komm",Административные!$K$26:$K$103,0),2),"")=0,"",_xlfn.IFERROR(INDEX(Административные!$K$26:$L$103,MATCH($F346&amp;"13komm",Административные!$K$26:$K$103,0),2),""))</f>
        <v/>
      </c>
      <c r="BP346" s="6290"/>
      <c r="BQ346" s="1297"/>
      <c r="BR346" s="1297"/>
      <c r="BS346" s="1072" t="s">
        <v>1405</v>
      </c>
      <c r="BT346" s="1072"/>
      <c r="BU346" s="1072"/>
      <c r="BV346" s="987"/>
      <c r="BW346" s="987"/>
    </row>
    <row s="1656" customFormat="1" customHeight="1" ht="14.25">
      <c r="A347" s="1297"/>
      <c r="B347" s="986"/>
      <c r="C347" s="103"/>
      <c r="D347" s="103"/>
      <c r="E347" s="626">
        <v>15</v>
      </c>
      <c r="F347" s="50" cm="1" t="str">
        <f t="array" ref="F347:F347">OFFSET(E347,-1,1)</f>
        <v>2</v>
      </c>
      <c r="G347" s="103" t="s">
        <v>1406</v>
      </c>
      <c r="H347" s="864"/>
      <c r="I347" s="864" t="s">
        <v>2233</v>
      </c>
      <c r="J347" s="103"/>
      <c r="K347" s="374" t="s">
        <v>2233</v>
      </c>
      <c r="L347" s="988"/>
      <c r="M347" s="103"/>
      <c r="N347" s="103"/>
      <c r="O347" s="103"/>
      <c r="P347" s="103"/>
      <c r="Q347" s="103"/>
      <c r="R347" s="103"/>
      <c r="S347" s="103"/>
      <c r="T347" s="468" cm="1" t="str">
        <f t="array" ref="T347:T347">T346</f>
        <v>true</v>
      </c>
      <c r="U347" s="103"/>
      <c r="V347" s="103"/>
      <c r="W347" s="103"/>
      <c r="X347" s="1559"/>
      <c r="Y347" s="1297"/>
      <c r="Z347" s="1529"/>
      <c r="AA347" s="1297"/>
      <c r="AB347" s="296" t="s">
        <v>2234</v>
      </c>
      <c r="AC347" s="775" t="s">
        <v>1407</v>
      </c>
      <c r="AD347" s="296" t="s">
        <v>936</v>
      </c>
      <c r="AE347" s="794">
        <f>_xlfn.SUMIFS(Административные!AE$25:AE$103,Административные!$F$25:$F$103,$F347,Административные!$G$25:$G$103,$G347)</f>
        <v>0</v>
      </c>
      <c r="AF347" s="794">
        <f>_xlfn.SUMIFS(Административные!AF$25:AF$103,Административные!$F$25:$F$103,$F347,Административные!$G$25:$G$103,$G347)</f>
        <v>0</v>
      </c>
      <c r="AG347" s="794">
        <f>_xlfn.SUMIFS(Административные!AG$25:AG$103,Административные!$F$25:$F$103,$F347,Административные!$G$25:$G$103,$G347)</f>
        <v>0</v>
      </c>
      <c r="AH347" s="774">
        <f>AG347-AF347</f>
        <v>0</v>
      </c>
      <c r="AI347" s="794">
        <f>_xlfn.SUMIFS(Административные!AH$25:AH$103,Административные!$F$25:$F$103,$F347,Административные!$G$25:$G$103,$G347)</f>
        <v>0</v>
      </c>
      <c r="AJ347" s="794">
        <f>_xlfn.SUMIFS(Административные!AI$25:AI$103,Административные!$F$25:$F$103,$F347,Административные!$G$25:$G$103,$G347)</f>
        <v>0</v>
      </c>
      <c r="AK347" s="770"/>
      <c r="AL347" s="770"/>
      <c r="AM347" s="770"/>
      <c r="AN347" s="770"/>
      <c r="AO347" s="770"/>
      <c r="AP347" s="770"/>
      <c r="AQ347" s="770"/>
      <c r="AR347" s="770"/>
      <c r="AS347" s="770"/>
      <c r="AT347" s="794">
        <f>_xlfn.SUMIFS(Административные!AJ$25:AJ$103,Административные!$F$25:$F$103,$F347,Административные!$G$25:$G$103,$G347)</f>
        <v>0</v>
      </c>
      <c r="AU347" s="1124"/>
      <c r="AV347" s="1124"/>
      <c r="AW347" s="1124"/>
      <c r="AX347" s="1124"/>
      <c r="AY347" s="1124"/>
      <c r="AZ347" s="1124"/>
      <c r="BA347" s="1124"/>
      <c r="BB347" s="1124"/>
      <c r="BC347" s="1124"/>
      <c r="BD347" s="1123">
        <f>IF(AI347=0,0,(AT347-AI347)/AI347*100)</f>
        <v>0</v>
      </c>
      <c r="BE347" s="1124"/>
      <c r="BF347" s="1124"/>
      <c r="BG347" s="1124"/>
      <c r="BH347" s="1124"/>
      <c r="BI347" s="1124"/>
      <c r="BJ347" s="1124"/>
      <c r="BK347" s="1124"/>
      <c r="BL347" s="1124"/>
      <c r="BM347" s="1124"/>
      <c r="BN347" s="6290"/>
      <c r="BO347" s="6294" t="str">
        <f>IF(_xlfn.IFERROR(INDEX(Административные!$K$26:$L$103,MATCH($F347&amp;"14komm",Административные!$K$26:$K$103,0),2),"")=0,"",_xlfn.IFERROR(INDEX(Административные!$K$26:$L$103,MATCH($F347&amp;"14komm",Административные!$K$26:$K$103,0),2),""))</f>
        <v/>
      </c>
      <c r="BP347" s="6290"/>
      <c r="BQ347" s="1297"/>
      <c r="BR347" s="1297"/>
      <c r="BS347" s="1072" t="s">
        <v>2235</v>
      </c>
      <c r="BT347" s="1072"/>
      <c r="BU347" s="1072"/>
      <c r="BV347" s="987"/>
      <c r="BW347" s="987"/>
    </row>
    <row s="1656" customFormat="1" customHeight="1" ht="14.25">
      <c r="A348" s="1297"/>
      <c r="B348" s="986"/>
      <c r="C348" s="103"/>
      <c r="D348" s="103"/>
      <c r="E348" s="626">
        <v>15</v>
      </c>
      <c r="F348" s="50" cm="1" t="str">
        <f t="array" ref="F348:F348">OFFSET(E348,-1,1)</f>
        <v>2</v>
      </c>
      <c r="G348" s="103" t="s">
        <v>1409</v>
      </c>
      <c r="H348" s="864"/>
      <c r="I348" s="864" t="s">
        <v>2236</v>
      </c>
      <c r="J348" s="103"/>
      <c r="K348" s="374" t="s">
        <v>2236</v>
      </c>
      <c r="L348" s="988"/>
      <c r="M348" s="103"/>
      <c r="N348" s="103"/>
      <c r="O348" s="103"/>
      <c r="P348" s="103"/>
      <c r="Q348" s="103"/>
      <c r="R348" s="103"/>
      <c r="S348" s="103"/>
      <c r="T348" s="468" cm="1" t="str">
        <f t="array" ref="T348:T348">T347</f>
        <v>true</v>
      </c>
      <c r="U348" s="103"/>
      <c r="V348" s="103"/>
      <c r="W348" s="103"/>
      <c r="X348" s="1559"/>
      <c r="Y348" s="1297"/>
      <c r="Z348" s="1529"/>
      <c r="AA348" s="1297"/>
      <c r="AB348" s="296" t="s">
        <v>2237</v>
      </c>
      <c r="AC348" s="775" t="s">
        <v>1412</v>
      </c>
      <c r="AD348" s="296" t="s">
        <v>936</v>
      </c>
      <c r="AE348" s="1123">
        <f>_xlfn.SUMIFS(Административные!AE$25:AE$103,Административные!$F$25:$F$103,$F348,Административные!$G$25:$G$103,$G348)</f>
        <v>0</v>
      </c>
      <c r="AF348" s="1123">
        <f>_xlfn.SUMIFS(Административные!AF$25:AF$103,Административные!$F$25:$F$103,$F348,Административные!$G$25:$G$103,$G348)</f>
        <v>0</v>
      </c>
      <c r="AG348" s="1123">
        <f>_xlfn.SUMIFS(Административные!AG$25:AG$103,Административные!$F$25:$F$103,$F348,Административные!$G$25:$G$103,$G348)</f>
        <v>0</v>
      </c>
      <c r="AH348" s="1123">
        <f>AG348-AF348</f>
        <v>0</v>
      </c>
      <c r="AI348" s="1123">
        <f>_xlfn.SUMIFS(Административные!AH$25:AH$103,Административные!$F$25:$F$103,$F348,Административные!$G$25:$G$103,$G348)</f>
        <v>0</v>
      </c>
      <c r="AJ348" s="1123">
        <f>_xlfn.SUMIFS(Административные!AI$25:AI$103,Административные!$F$25:$F$103,$F348,Административные!$G$25:$G$103,$G348)</f>
        <v>0</v>
      </c>
      <c r="AK348" s="1124"/>
      <c r="AL348" s="1124"/>
      <c r="AM348" s="1124"/>
      <c r="AN348" s="1124"/>
      <c r="AO348" s="1124"/>
      <c r="AP348" s="1124"/>
      <c r="AQ348" s="1124"/>
      <c r="AR348" s="1124"/>
      <c r="AS348" s="1124"/>
      <c r="AT348" s="1123">
        <f>_xlfn.SUMIFS(Административные!AJ$25:AJ$103,Административные!$F$25:$F$103,$F348,Административные!$G$25:$G$103,$G348)</f>
        <v>0</v>
      </c>
      <c r="AU348" s="1124"/>
      <c r="AV348" s="1124"/>
      <c r="AW348" s="1124"/>
      <c r="AX348" s="1124"/>
      <c r="AY348" s="1124"/>
      <c r="AZ348" s="1124"/>
      <c r="BA348" s="1124"/>
      <c r="BB348" s="1124"/>
      <c r="BC348" s="1124"/>
      <c r="BD348" s="1123">
        <f>IF(AI348=0,0,(AT348-AI348)/AI348*100)</f>
        <v>0</v>
      </c>
      <c r="BE348" s="1124"/>
      <c r="BF348" s="1124"/>
      <c r="BG348" s="1124"/>
      <c r="BH348" s="1124"/>
      <c r="BI348" s="1124"/>
      <c r="BJ348" s="1124"/>
      <c r="BK348" s="1124"/>
      <c r="BL348" s="1124"/>
      <c r="BM348" s="1124"/>
      <c r="BN348" s="6290"/>
      <c r="BO348" s="6294" t="str">
        <f>IF(_xlfn.IFERROR(INDEX(Административные!$K$26:$L$103,MATCH($F348&amp;"15komm",Административные!$K$26:$K$103,0),2),"")=0,"",_xlfn.IFERROR(INDEX(Административные!$K$26:$L$103,MATCH($F348&amp;"15komm",Административные!$K$26:$K$103,0),2),""))</f>
        <v/>
      </c>
      <c r="BP348" s="6290"/>
      <c r="BQ348" s="1297"/>
      <c r="BR348" s="1297"/>
      <c r="BS348" s="1072" t="s">
        <v>1413</v>
      </c>
      <c r="BT348" s="1072"/>
      <c r="BU348" s="1072"/>
      <c r="BV348" s="987"/>
      <c r="BW348" s="987"/>
    </row>
    <row s="1656" customFormat="1" customHeight="1" ht="14.25">
      <c r="A349" s="1297"/>
      <c r="B349" s="986"/>
      <c r="C349" s="103"/>
      <c r="D349" s="103"/>
      <c r="E349" s="626">
        <v>15</v>
      </c>
      <c r="F349" s="50" cm="1" t="str">
        <f t="array" ref="F349:F349">OFFSET(E349,-1,1)</f>
        <v>2</v>
      </c>
      <c r="G349" s="103" t="s">
        <v>1414</v>
      </c>
      <c r="H349" s="864"/>
      <c r="I349" s="864" t="s">
        <v>2238</v>
      </c>
      <c r="J349" s="103"/>
      <c r="K349" s="374" t="s">
        <v>2238</v>
      </c>
      <c r="L349" s="988"/>
      <c r="M349" s="103"/>
      <c r="N349" s="103"/>
      <c r="O349" s="103"/>
      <c r="P349" s="103"/>
      <c r="Q349" s="103"/>
      <c r="R349" s="103"/>
      <c r="S349" s="103"/>
      <c r="T349" s="468" cm="1" t="str">
        <f t="array" ref="T349:T349">T348</f>
        <v>true</v>
      </c>
      <c r="U349" s="103"/>
      <c r="V349" s="103"/>
      <c r="W349" s="103"/>
      <c r="X349" s="1559"/>
      <c r="Y349" s="1297"/>
      <c r="Z349" s="1529"/>
      <c r="AA349" s="1297"/>
      <c r="AB349" s="296" t="s">
        <v>2239</v>
      </c>
      <c r="AC349" s="775" t="s">
        <v>1417</v>
      </c>
      <c r="AD349" s="296" t="s">
        <v>936</v>
      </c>
      <c r="AE349" s="1123">
        <f>_xlfn.SUMIFS(Административные!AE$25:AE$103,Административные!$F$25:$F$103,$F349,Административные!$G$25:$G$103,$G349)</f>
        <v>0</v>
      </c>
      <c r="AF349" s="1123">
        <f>_xlfn.SUMIFS(Административные!AF$25:AF$103,Административные!$F$25:$F$103,$F349,Административные!$G$25:$G$103,$G349)</f>
        <v>0</v>
      </c>
      <c r="AG349" s="1123">
        <f>_xlfn.SUMIFS(Административные!AG$25:AG$103,Административные!$F$25:$F$103,$F349,Административные!$G$25:$G$103,$G349)</f>
        <v>0</v>
      </c>
      <c r="AH349" s="1123">
        <f>AG349-AF349</f>
        <v>0</v>
      </c>
      <c r="AI349" s="1123">
        <f>_xlfn.SUMIFS(Административные!AH$25:AH$103,Административные!$F$25:$F$103,$F349,Административные!$G$25:$G$103,$G349)</f>
        <v>0</v>
      </c>
      <c r="AJ349" s="1123">
        <f>_xlfn.SUMIFS(Административные!AI$25:AI$103,Административные!$F$25:$F$103,$F349,Административные!$G$25:$G$103,$G349)</f>
        <v>0</v>
      </c>
      <c r="AK349" s="1124"/>
      <c r="AL349" s="1124"/>
      <c r="AM349" s="1124"/>
      <c r="AN349" s="1124"/>
      <c r="AO349" s="1124"/>
      <c r="AP349" s="1124"/>
      <c r="AQ349" s="1124"/>
      <c r="AR349" s="1124"/>
      <c r="AS349" s="1124"/>
      <c r="AT349" s="1123">
        <f>_xlfn.SUMIFS(Административные!AJ$25:AJ$103,Административные!$F$25:$F$103,$F349,Административные!$G$25:$G$103,$G349)</f>
        <v>0</v>
      </c>
      <c r="AU349" s="1124"/>
      <c r="AV349" s="1124"/>
      <c r="AW349" s="1124"/>
      <c r="AX349" s="1124"/>
      <c r="AY349" s="1124"/>
      <c r="AZ349" s="1124"/>
      <c r="BA349" s="1124"/>
      <c r="BB349" s="1124"/>
      <c r="BC349" s="1124"/>
      <c r="BD349" s="1123">
        <f>IF(AI349=0,0,(AT349-AI349)/AI349*100)</f>
        <v>0</v>
      </c>
      <c r="BE349" s="1124"/>
      <c r="BF349" s="1124"/>
      <c r="BG349" s="1124"/>
      <c r="BH349" s="1124"/>
      <c r="BI349" s="1124"/>
      <c r="BJ349" s="1124"/>
      <c r="BK349" s="1124"/>
      <c r="BL349" s="1124"/>
      <c r="BM349" s="1124"/>
      <c r="BN349" s="6290"/>
      <c r="BO349" s="6294" t="str">
        <f>IF(_xlfn.IFERROR(INDEX(Административные!$K$26:$L$103,MATCH($F349&amp;"16komm",Административные!$K$26:$K$103,0),2),"")=0,"",_xlfn.IFERROR(INDEX(Административные!$K$26:$L$103,MATCH($F349&amp;"16komm",Административные!$K$26:$K$103,0),2),""))</f>
        <v/>
      </c>
      <c r="BP349" s="6290"/>
      <c r="BQ349" s="1297"/>
      <c r="BR349" s="1297"/>
      <c r="BS349" s="1072" t="s">
        <v>2240</v>
      </c>
      <c r="BT349" s="1072"/>
      <c r="BU349" s="1072"/>
      <c r="BV349" s="987"/>
      <c r="BW349" s="987"/>
    </row>
    <row s="1656" customFormat="1" customHeight="1" ht="21.75">
      <c r="A350" s="1297"/>
      <c r="B350" s="986"/>
      <c r="C350" s="103"/>
      <c r="D350" s="103"/>
      <c r="E350" s="626">
        <v>22.5</v>
      </c>
      <c r="F350" s="50" cm="1" t="str">
        <f t="array" ref="F350:F350">OFFSET(E350,-1,1)</f>
        <v>2</v>
      </c>
      <c r="G350" s="103"/>
      <c r="H350" s="864"/>
      <c r="I350" s="864" t="s">
        <v>1578</v>
      </c>
      <c r="J350" s="103"/>
      <c r="K350" s="374" t="s">
        <v>1578</v>
      </c>
      <c r="L350" s="988" t="s">
        <v>1099</v>
      </c>
      <c r="M350" s="103"/>
      <c r="N350" s="103"/>
      <c r="O350" s="103"/>
      <c r="P350" s="103"/>
      <c r="Q350" s="103"/>
      <c r="R350" s="103"/>
      <c r="S350" s="103"/>
      <c r="T350" s="468" cm="1" t="str">
        <f t="array" ref="T350:T350">T349</f>
        <v>true</v>
      </c>
      <c r="U350" s="103"/>
      <c r="V350" s="103"/>
      <c r="W350" s="103"/>
      <c r="X350" s="1559"/>
      <c r="Y350" s="1297"/>
      <c r="Z350" s="1529"/>
      <c r="AA350" s="1297"/>
      <c r="AB350" s="296" t="s">
        <v>1217</v>
      </c>
      <c r="AC350" s="772" t="s">
        <v>2241</v>
      </c>
      <c r="AD350" s="296" t="s">
        <v>936</v>
      </c>
      <c r="AE350" s="1125">
        <f>AE351+AE352</f>
        <v>0</v>
      </c>
      <c r="AF350" s="1125">
        <f>AF351+AF352</f>
        <v>0</v>
      </c>
      <c r="AG350" s="1125">
        <f>AG351+AG352</f>
        <v>0</v>
      </c>
      <c r="AH350" s="1123">
        <f>AG350-AF350</f>
        <v>0</v>
      </c>
      <c r="AI350" s="1125">
        <f>AI351+AI352</f>
        <v>0</v>
      </c>
      <c r="AJ350" s="1125">
        <f>AJ351+AJ352</f>
        <v>0</v>
      </c>
      <c r="AK350" s="1124"/>
      <c r="AL350" s="1124"/>
      <c r="AM350" s="1124"/>
      <c r="AN350" s="1124"/>
      <c r="AO350" s="1124"/>
      <c r="AP350" s="1124"/>
      <c r="AQ350" s="1124"/>
      <c r="AR350" s="1124"/>
      <c r="AS350" s="1124"/>
      <c r="AT350" s="1125">
        <f>AT351+AT352</f>
        <v>0</v>
      </c>
      <c r="AU350" s="1124"/>
      <c r="AV350" s="1124"/>
      <c r="AW350" s="1124"/>
      <c r="AX350" s="1124"/>
      <c r="AY350" s="1124"/>
      <c r="AZ350" s="1124"/>
      <c r="BA350" s="1124"/>
      <c r="BB350" s="1124"/>
      <c r="BC350" s="1124"/>
      <c r="BD350" s="1123">
        <f>IF(AI350=0,0,(AT350-AI350)/AI350*100)</f>
        <v>0</v>
      </c>
      <c r="BE350" s="1124"/>
      <c r="BF350" s="1124"/>
      <c r="BG350" s="1124"/>
      <c r="BH350" s="1124"/>
      <c r="BI350" s="1124"/>
      <c r="BJ350" s="1124"/>
      <c r="BK350" s="1124"/>
      <c r="BL350" s="1124"/>
      <c r="BM350" s="1124"/>
      <c r="BN350" s="6290"/>
      <c r="BO350" s="6290"/>
      <c r="BP350" s="6290"/>
      <c r="BQ350" s="1297"/>
      <c r="BR350" s="1297"/>
      <c r="BS350" s="1070" t="s">
        <v>2055</v>
      </c>
      <c r="BT350" s="1072"/>
      <c r="BU350" s="1072"/>
      <c r="BV350" s="987"/>
      <c r="BW350" s="987"/>
    </row>
    <row s="1656" customFormat="1" customHeight="1" ht="14.25">
      <c r="A351" s="1297"/>
      <c r="B351" s="986"/>
      <c r="C351" s="103"/>
      <c r="D351" s="103"/>
      <c r="E351" s="626">
        <v>15</v>
      </c>
      <c r="F351" s="50" cm="1" t="str">
        <f t="array" ref="F351:F351">OFFSET(E351,-1,1)</f>
        <v>2</v>
      </c>
      <c r="G351" s="103" t="s">
        <v>1373</v>
      </c>
      <c r="H351" s="864"/>
      <c r="I351" s="864" t="s">
        <v>2242</v>
      </c>
      <c r="J351" s="103"/>
      <c r="K351" s="374" t="s">
        <v>2242</v>
      </c>
      <c r="L351" s="988" t="s">
        <v>602</v>
      </c>
      <c r="M351" s="103"/>
      <c r="N351" s="103"/>
      <c r="O351" s="103"/>
      <c r="P351" s="103"/>
      <c r="Q351" s="103"/>
      <c r="R351" s="103"/>
      <c r="S351" s="103"/>
      <c r="T351" s="468" cm="1" t="str">
        <f t="array" ref="T351:T351">T350</f>
        <v>true</v>
      </c>
      <c r="U351" s="103"/>
      <c r="V351" s="103"/>
      <c r="W351" s="103"/>
      <c r="X351" s="1559"/>
      <c r="Y351" s="1297"/>
      <c r="Z351" s="1529"/>
      <c r="AA351" s="1297"/>
      <c r="AB351" s="296" t="s">
        <v>2243</v>
      </c>
      <c r="AC351" s="775" t="s">
        <v>2056</v>
      </c>
      <c r="AD351" s="778" t="s">
        <v>936</v>
      </c>
      <c r="AE351" s="1123">
        <f>_xlfn.SUMIFS(ФОТ!AE$25:AE$127,ФОТ!$F$25:$F$127,$F351,ФОТ!$G$25:$G$127,$G351)</f>
        <v>0</v>
      </c>
      <c r="AF351" s="1123">
        <f>_xlfn.SUMIFS(ФОТ!AF$25:AF$127,ФОТ!$F$25:$F$127,$F351,ФОТ!$G$25:$G$127,$G351)</f>
        <v>0</v>
      </c>
      <c r="AG351" s="1123">
        <f>_xlfn.SUMIFS(ФОТ!AG$25:AG$127,ФОТ!$F$25:$F$127,$F351,ФОТ!$G$25:$G$127,$G351)</f>
        <v>0</v>
      </c>
      <c r="AH351" s="1123">
        <f>AG351-AF351</f>
        <v>0</v>
      </c>
      <c r="AI351" s="1123">
        <f>_xlfn.SUMIFS(ФОТ!AH$25:AH$127,ФОТ!$F$25:$F$127,$F351,ФОТ!$G$25:$G$127,$G351)</f>
        <v>0</v>
      </c>
      <c r="AJ351" s="1123">
        <f>_xlfn.SUMIFS(ФОТ!AI$25:AI$127,ФОТ!$F$25:$F$127,$F351,ФОТ!$G$25:$G$127,$G351)</f>
        <v>0</v>
      </c>
      <c r="AK351" s="1124"/>
      <c r="AL351" s="1124"/>
      <c r="AM351" s="1124"/>
      <c r="AN351" s="1124"/>
      <c r="AO351" s="1124"/>
      <c r="AP351" s="1124"/>
      <c r="AQ351" s="1124"/>
      <c r="AR351" s="1124"/>
      <c r="AS351" s="1124"/>
      <c r="AT351" s="1123">
        <f>_xlfn.SUMIFS(ФОТ!AJ$25:AJ$127,ФОТ!$F$25:$F$127,$F351,ФОТ!$G$25:$G$127,$G351)</f>
        <v>0</v>
      </c>
      <c r="AU351" s="1124"/>
      <c r="AV351" s="1124"/>
      <c r="AW351" s="1124"/>
      <c r="AX351" s="1124"/>
      <c r="AY351" s="1124"/>
      <c r="AZ351" s="1124"/>
      <c r="BA351" s="1124"/>
      <c r="BB351" s="1124"/>
      <c r="BC351" s="1124"/>
      <c r="BD351" s="1123">
        <f>IF(AI351=0,0,(AT351-AI351)/AI351*100)</f>
        <v>0</v>
      </c>
      <c r="BE351" s="1124"/>
      <c r="BF351" s="1124"/>
      <c r="BG351" s="1124"/>
      <c r="BH351" s="1124"/>
      <c r="BI351" s="1124"/>
      <c r="BJ351" s="1124"/>
      <c r="BK351" s="1124"/>
      <c r="BL351" s="1124"/>
      <c r="BM351" s="1124"/>
      <c r="BN351" s="6290"/>
      <c r="BO351" s="6294" t="str">
        <f>IF(_xlfn.IFERROR(INDEX(ФОТ!$K$26:$L$127,MATCH($F351&amp;"5komm",ФОТ!$K$26:$K$127,0),2),"")=0,"",_xlfn.IFERROR(INDEX(ФОТ!$K$26:$L$127,MATCH($F351&amp;"5komm",ФОТ!$K$26:$K$127,0),2),""))</f>
        <v/>
      </c>
      <c r="BP351" s="6290"/>
      <c r="BQ351" s="1297"/>
      <c r="BR351" s="1297"/>
      <c r="BS351" s="1070" t="s">
        <v>1390</v>
      </c>
      <c r="BT351" s="1072"/>
      <c r="BU351" s="1072"/>
      <c r="BV351" s="987"/>
      <c r="BW351" s="987"/>
    </row>
    <row s="1656" customFormat="1" customHeight="1" ht="21.75">
      <c r="A352" s="1297"/>
      <c r="B352" s="986"/>
      <c r="C352" s="103"/>
      <c r="D352" s="103"/>
      <c r="E352" s="626">
        <v>22.5</v>
      </c>
      <c r="F352" s="50" cm="1" t="str">
        <f t="array" ref="F352:F352">OFFSET(E352,-1,1)</f>
        <v>2</v>
      </c>
      <c r="G352" s="103" t="s">
        <v>1378</v>
      </c>
      <c r="H352" s="864"/>
      <c r="I352" s="864" t="s">
        <v>2244</v>
      </c>
      <c r="J352" s="103"/>
      <c r="K352" s="374" t="s">
        <v>2244</v>
      </c>
      <c r="L352" s="988" t="s">
        <v>607</v>
      </c>
      <c r="M352" s="103"/>
      <c r="N352" s="103"/>
      <c r="O352" s="103"/>
      <c r="P352" s="103"/>
      <c r="Q352" s="103"/>
      <c r="R352" s="103"/>
      <c r="S352" s="103"/>
      <c r="T352" s="468" cm="1" t="str">
        <f t="array" ref="T352:T352">T351</f>
        <v>true</v>
      </c>
      <c r="U352" s="103"/>
      <c r="V352" s="103"/>
      <c r="W352" s="103"/>
      <c r="X352" s="1559"/>
      <c r="Y352" s="1297"/>
      <c r="Z352" s="1529"/>
      <c r="AA352" s="1297"/>
      <c r="AB352" s="296" t="s">
        <v>2245</v>
      </c>
      <c r="AC352" s="775" t="s">
        <v>2246</v>
      </c>
      <c r="AD352" s="296" t="s">
        <v>936</v>
      </c>
      <c r="AE352" s="1123">
        <f>_xlfn.SUMIFS(ФОТ!AE$25:AE$127,ФОТ!$F$25:$F$127,$F352,ФОТ!$G$25:$G$127,$G352)</f>
        <v>0</v>
      </c>
      <c r="AF352" s="1123">
        <f>_xlfn.SUMIFS(ФОТ!AF$25:AF$127,ФОТ!$F$25:$F$127,$F352,ФОТ!$G$25:$G$127,$G352)</f>
        <v>0</v>
      </c>
      <c r="AG352" s="1123">
        <f>_xlfn.SUMIFS(ФОТ!AG$25:AG$127,ФОТ!$F$25:$F$127,$F352,ФОТ!$G$25:$G$127,$G352)</f>
        <v>0</v>
      </c>
      <c r="AH352" s="1123">
        <f>AG352-AF352</f>
        <v>0</v>
      </c>
      <c r="AI352" s="1123">
        <f>_xlfn.SUMIFS(ФОТ!AH$25:AH$127,ФОТ!$F$25:$F$127,$F352,ФОТ!$G$25:$G$127,$G352)</f>
        <v>0</v>
      </c>
      <c r="AJ352" s="1123">
        <f>_xlfn.SUMIFS(ФОТ!AI$25:AI$127,ФОТ!$F$25:$F$127,$F352,ФОТ!$G$25:$G$127,$G352)</f>
        <v>0</v>
      </c>
      <c r="AK352" s="1124"/>
      <c r="AL352" s="1124"/>
      <c r="AM352" s="1124"/>
      <c r="AN352" s="1124"/>
      <c r="AO352" s="1124"/>
      <c r="AP352" s="1124"/>
      <c r="AQ352" s="1124"/>
      <c r="AR352" s="1124"/>
      <c r="AS352" s="1124"/>
      <c r="AT352" s="1123">
        <f>_xlfn.SUMIFS(ФОТ!AJ$25:AJ$127,ФОТ!$F$25:$F$127,$F352,ФОТ!$G$25:$G$127,$G352)</f>
        <v>0</v>
      </c>
      <c r="AU352" s="1124"/>
      <c r="AV352" s="1124"/>
      <c r="AW352" s="1124"/>
      <c r="AX352" s="1124"/>
      <c r="AY352" s="1124"/>
      <c r="AZ352" s="1124"/>
      <c r="BA352" s="1124"/>
      <c r="BB352" s="1124"/>
      <c r="BC352" s="1124"/>
      <c r="BD352" s="1123">
        <f>IF(AI352=0,0,(AT352-AI352)/AI352*100)</f>
        <v>0</v>
      </c>
      <c r="BE352" s="1124"/>
      <c r="BF352" s="1124"/>
      <c r="BG352" s="1124"/>
      <c r="BH352" s="1124"/>
      <c r="BI352" s="1124"/>
      <c r="BJ352" s="1124"/>
      <c r="BK352" s="1124"/>
      <c r="BL352" s="1124"/>
      <c r="BM352" s="1124"/>
      <c r="BN352" s="6290"/>
      <c r="BO352" s="6294" t="str">
        <f>IF(_xlfn.IFERROR(INDEX(ФОТ!$K$26:$L$127,MATCH($F352&amp;"6komm",ФОТ!$K$26:$K$127,0),2),"")=0,"",_xlfn.IFERROR(INDEX(ФОТ!$K$26:$L$127,MATCH($F352&amp;"6komm",ФОТ!$K$26:$K$127,0),2),""))</f>
        <v/>
      </c>
      <c r="BP352" s="6290"/>
      <c r="BQ352" s="1297"/>
      <c r="BR352" s="1297"/>
      <c r="BS352" s="1070" t="s">
        <v>2058</v>
      </c>
      <c r="BT352" s="1072"/>
      <c r="BU352" s="1072"/>
      <c r="BV352" s="987"/>
      <c r="BW352" s="987"/>
    </row>
    <row s="1656" customFormat="1" customHeight="1" ht="32.25">
      <c r="A353" s="1297"/>
      <c r="B353" s="986"/>
      <c r="C353" s="103"/>
      <c r="D353" s="103"/>
      <c r="E353" s="626">
        <v>33.75</v>
      </c>
      <c r="F353" s="50" cm="1" t="str">
        <f t="array" ref="F353:F353">OFFSET(E353,-1,1)</f>
        <v>2</v>
      </c>
      <c r="G353" s="855" t="s">
        <v>1419</v>
      </c>
      <c r="H353" s="864"/>
      <c r="I353" s="864" t="s">
        <v>1581</v>
      </c>
      <c r="J353" s="103"/>
      <c r="K353" s="374" t="s">
        <v>1581</v>
      </c>
      <c r="L353" s="988" t="s">
        <v>1101</v>
      </c>
      <c r="M353" s="103"/>
      <c r="N353" s="103"/>
      <c r="O353" s="103"/>
      <c r="P353" s="103"/>
      <c r="Q353" s="103"/>
      <c r="R353" s="103"/>
      <c r="S353" s="103"/>
      <c r="T353" s="468" cm="1" t="str">
        <f t="array" ref="T353:T353">T352</f>
        <v>true</v>
      </c>
      <c r="U353" s="103"/>
      <c r="V353" s="103"/>
      <c r="W353" s="103"/>
      <c r="X353" s="1559"/>
      <c r="Y353" s="1297"/>
      <c r="Z353" s="1529"/>
      <c r="AA353" s="1297"/>
      <c r="AB353" s="296" t="s">
        <v>1582</v>
      </c>
      <c r="AC353" s="772" t="s">
        <v>2247</v>
      </c>
      <c r="AD353" s="296" t="s">
        <v>936</v>
      </c>
      <c r="AE353" s="1123">
        <f>_xlfn.SUMIFS(Административные!AE$25:AE$103,Административные!$F$25:$F$103,$F353,Административные!$G$25:$G$103,$G353)</f>
        <v>0</v>
      </c>
      <c r="AF353" s="1123">
        <f>_xlfn.SUMIFS(Административные!AF$25:AF$103,Административные!$F$25:$F$103,$F353,Административные!$G$25:$G$103,$G353)</f>
        <v>0</v>
      </c>
      <c r="AG353" s="1123">
        <f>_xlfn.SUMIFS(Административные!AG$25:AG$103,Административные!$F$25:$F$103,$F353,Административные!$G$25:$G$103,$G353)</f>
        <v>0</v>
      </c>
      <c r="AH353" s="1123">
        <f>AG353-AF353</f>
        <v>0</v>
      </c>
      <c r="AI353" s="1123">
        <f>_xlfn.SUMIFS(Административные!AH$25:AH$103,Административные!$F$25:$F$103,$F353,Административные!$G$25:$G$103,$G353)</f>
        <v>0</v>
      </c>
      <c r="AJ353" s="1123">
        <f>_xlfn.SUMIFS(Административные!AI$25:AI$103,Административные!$F$25:$F$103,$F353,Административные!$G$25:$G$103,$G353)</f>
        <v>0</v>
      </c>
      <c r="AK353" s="1124"/>
      <c r="AL353" s="1124"/>
      <c r="AM353" s="1124"/>
      <c r="AN353" s="1124"/>
      <c r="AO353" s="1124"/>
      <c r="AP353" s="1124"/>
      <c r="AQ353" s="1124"/>
      <c r="AR353" s="1124"/>
      <c r="AS353" s="1124"/>
      <c r="AT353" s="1123">
        <f>_xlfn.SUMIFS(Административные!AJ$25:AJ$103,Административные!$F$25:$F$103,$F353,Административные!$G$25:$G$103,$G353)</f>
        <v>0</v>
      </c>
      <c r="AU353" s="1124"/>
      <c r="AV353" s="1124"/>
      <c r="AW353" s="1124"/>
      <c r="AX353" s="1124"/>
      <c r="AY353" s="1124"/>
      <c r="AZ353" s="1124"/>
      <c r="BA353" s="1124"/>
      <c r="BB353" s="1124"/>
      <c r="BC353" s="1124"/>
      <c r="BD353" s="1123">
        <f>IF(AI353=0,0,(AT353-AI353)/AI353*100)</f>
        <v>0</v>
      </c>
      <c r="BE353" s="1124"/>
      <c r="BF353" s="1124"/>
      <c r="BG353" s="1124"/>
      <c r="BH353" s="1124"/>
      <c r="BI353" s="1124"/>
      <c r="BJ353" s="1124"/>
      <c r="BK353" s="1124"/>
      <c r="BL353" s="1124"/>
      <c r="BM353" s="1124"/>
      <c r="BN353" s="6290"/>
      <c r="BO353" s="6294" t="str">
        <f>IF(_xlfn.IFERROR(INDEX(Административные!$K$26:$L$103,MATCH($F353&amp;"2komm",Административные!$K$26:$K$103,0),2),"")=0,"",_xlfn.IFERROR(INDEX(Административные!$K$26:$L$103,MATCH($F353&amp;"2komm",Административные!$K$26:$K$103,0),2),""))</f>
        <v/>
      </c>
      <c r="BP353" s="6290"/>
      <c r="BQ353" s="1297"/>
      <c r="BR353" s="1297"/>
      <c r="BS353" s="1070" t="s">
        <v>1421</v>
      </c>
      <c r="BT353" s="1072"/>
      <c r="BU353" s="1072"/>
      <c r="BV353" s="987"/>
      <c r="BW353" s="987"/>
    </row>
    <row s="1656" customFormat="1" customHeight="1" ht="14.25">
      <c r="A354" s="1297"/>
      <c r="B354" s="986"/>
      <c r="C354" s="103"/>
      <c r="D354" s="103"/>
      <c r="E354" s="626">
        <v>15</v>
      </c>
      <c r="F354" s="50" cm="1" t="str">
        <f t="array" ref="F354:F354">OFFSET(E354,-1,1)</f>
        <v>2</v>
      </c>
      <c r="G354" s="855" t="s">
        <v>1422</v>
      </c>
      <c r="H354" s="864"/>
      <c r="I354" s="864" t="s">
        <v>1585</v>
      </c>
      <c r="J354" s="103"/>
      <c r="K354" s="374" t="s">
        <v>1585</v>
      </c>
      <c r="L354" s="988" t="s">
        <v>1103</v>
      </c>
      <c r="M354" s="103"/>
      <c r="N354" s="103"/>
      <c r="O354" s="103"/>
      <c r="P354" s="103"/>
      <c r="Q354" s="103"/>
      <c r="R354" s="103"/>
      <c r="S354" s="103"/>
      <c r="T354" s="468" cm="1" t="str">
        <f t="array" ref="T354:T354">T353</f>
        <v>true</v>
      </c>
      <c r="U354" s="103"/>
      <c r="V354" s="103"/>
      <c r="W354" s="103"/>
      <c r="X354" s="1559"/>
      <c r="Y354" s="1297"/>
      <c r="Z354" s="1529"/>
      <c r="AA354" s="1297"/>
      <c r="AB354" s="296" t="s">
        <v>1586</v>
      </c>
      <c r="AC354" s="772" t="s">
        <v>2248</v>
      </c>
      <c r="AD354" s="296" t="s">
        <v>936</v>
      </c>
      <c r="AE354" s="1123">
        <f>_xlfn.SUMIFS(Административные!AE$25:AE$103,Административные!$F$25:$F$103,$F354,Административные!$G$25:$G$103,$G354)</f>
        <v>0</v>
      </c>
      <c r="AF354" s="1123">
        <f>_xlfn.SUMIFS(Административные!AF$25:AF$103,Административные!$F$25:$F$103,$F354,Административные!$G$25:$G$103,$G354)</f>
        <v>0</v>
      </c>
      <c r="AG354" s="1123">
        <f>_xlfn.SUMIFS(Административные!AG$25:AG$103,Административные!$F$25:$F$103,$F354,Административные!$G$25:$G$103,$G354)</f>
        <v>0</v>
      </c>
      <c r="AH354" s="1123">
        <f>AG354-AF354</f>
        <v>0</v>
      </c>
      <c r="AI354" s="1123">
        <f>_xlfn.SUMIFS(Административные!AH$25:AH$103,Административные!$F$25:$F$103,$F354,Административные!$G$25:$G$103,$G354)</f>
        <v>0</v>
      </c>
      <c r="AJ354" s="1123">
        <f>_xlfn.SUMIFS(Административные!AI$25:AI$103,Административные!$F$25:$F$103,$F354,Административные!$G$25:$G$103,$G354)</f>
        <v>0</v>
      </c>
      <c r="AK354" s="1124"/>
      <c r="AL354" s="1124"/>
      <c r="AM354" s="1124"/>
      <c r="AN354" s="1124"/>
      <c r="AO354" s="1124"/>
      <c r="AP354" s="1124"/>
      <c r="AQ354" s="1124"/>
      <c r="AR354" s="1124"/>
      <c r="AS354" s="1124"/>
      <c r="AT354" s="1123">
        <f>_xlfn.SUMIFS(Административные!AJ$25:AJ$103,Административные!$F$25:$F$103,$F354,Административные!$G$25:$G$103,$G354)</f>
        <v>0</v>
      </c>
      <c r="AU354" s="1124"/>
      <c r="AV354" s="1124"/>
      <c r="AW354" s="1124"/>
      <c r="AX354" s="1124"/>
      <c r="AY354" s="1124"/>
      <c r="AZ354" s="1124"/>
      <c r="BA354" s="1124"/>
      <c r="BB354" s="1124"/>
      <c r="BC354" s="1124"/>
      <c r="BD354" s="1123">
        <f>IF(AI354=0,0,(AT354-AI354)/AI354*100)</f>
        <v>0</v>
      </c>
      <c r="BE354" s="1124"/>
      <c r="BF354" s="1124"/>
      <c r="BG354" s="1124"/>
      <c r="BH354" s="1124"/>
      <c r="BI354" s="1124"/>
      <c r="BJ354" s="1124"/>
      <c r="BK354" s="1124"/>
      <c r="BL354" s="1124"/>
      <c r="BM354" s="1124"/>
      <c r="BN354" s="6290"/>
      <c r="BO354" s="6294" t="str">
        <f>IF(_xlfn.IFERROR(INDEX(Административные!$K$26:$L$103,MATCH($F354&amp;"3komm",Административные!$K$26:$K$103,0),2),"")=0,"",_xlfn.IFERROR(INDEX(Административные!$K$26:$L$103,MATCH($F354&amp;"3komm",Административные!$K$26:$K$103,0),2),""))</f>
        <v/>
      </c>
      <c r="BP354" s="6290"/>
      <c r="BQ354" s="1297"/>
      <c r="BR354" s="1297"/>
      <c r="BS354" s="1070" t="s">
        <v>1424</v>
      </c>
      <c r="BT354" s="1072"/>
      <c r="BU354" s="1072"/>
      <c r="BV354" s="987"/>
      <c r="BW354" s="987"/>
    </row>
    <row s="1656" customFormat="1" customHeight="1" ht="14.25">
      <c r="A355" s="1297"/>
      <c r="B355" s="986"/>
      <c r="C355" s="103"/>
      <c r="D355" s="103"/>
      <c r="E355" s="626">
        <v>15</v>
      </c>
      <c r="F355" s="50" cm="1" t="str">
        <f t="array" ref="F355:F355">OFFSET(E355,-1,1)</f>
        <v>2</v>
      </c>
      <c r="G355" s="855" t="s">
        <v>1425</v>
      </c>
      <c r="H355" s="864"/>
      <c r="I355" s="864" t="s">
        <v>2249</v>
      </c>
      <c r="J355" s="103"/>
      <c r="K355" s="374" t="s">
        <v>2249</v>
      </c>
      <c r="L355" s="988" t="s">
        <v>1106</v>
      </c>
      <c r="M355" s="103"/>
      <c r="N355" s="103"/>
      <c r="O355" s="103"/>
      <c r="P355" s="103"/>
      <c r="Q355" s="103"/>
      <c r="R355" s="103"/>
      <c r="S355" s="103"/>
      <c r="T355" s="468" cm="1" t="str">
        <f t="array" ref="T355:T355">T354</f>
        <v>true</v>
      </c>
      <c r="U355" s="103"/>
      <c r="V355" s="103"/>
      <c r="W355" s="103"/>
      <c r="X355" s="1559"/>
      <c r="Y355" s="1297"/>
      <c r="Z355" s="1529"/>
      <c r="AA355" s="1297"/>
      <c r="AB355" s="296" t="s">
        <v>2250</v>
      </c>
      <c r="AC355" s="772" t="s">
        <v>2251</v>
      </c>
      <c r="AD355" s="296" t="s">
        <v>936</v>
      </c>
      <c r="AE355" s="1123">
        <f>_xlfn.SUMIFS(Административные!AE$25:AE$103,Административные!$F$25:$F$103,$F355,Административные!$G$25:$G$103,$G355)</f>
        <v>0</v>
      </c>
      <c r="AF355" s="1123">
        <f>_xlfn.SUMIFS(Административные!AF$25:AF$103,Административные!$F$25:$F$103,$F355,Административные!$G$25:$G$103,$G355)</f>
        <v>0</v>
      </c>
      <c r="AG355" s="1123">
        <f>_xlfn.SUMIFS(Административные!AG$25:AG$103,Административные!$F$25:$F$103,$F355,Административные!$G$25:$G$103,$G355)</f>
        <v>0</v>
      </c>
      <c r="AH355" s="1123">
        <f>AG355-AF355</f>
        <v>0</v>
      </c>
      <c r="AI355" s="1123">
        <f>_xlfn.SUMIFS(Административные!AH$25:AH$103,Административные!$F$25:$F$103,$F355,Административные!$G$25:$G$103,$G355)</f>
        <v>0</v>
      </c>
      <c r="AJ355" s="1123">
        <f>_xlfn.SUMIFS(Административные!AI$25:AI$103,Административные!$F$25:$F$103,$F355,Административные!$G$25:$G$103,$G355)</f>
        <v>0</v>
      </c>
      <c r="AK355" s="1124"/>
      <c r="AL355" s="1124"/>
      <c r="AM355" s="1124"/>
      <c r="AN355" s="1124"/>
      <c r="AO355" s="1124"/>
      <c r="AP355" s="1124"/>
      <c r="AQ355" s="1124"/>
      <c r="AR355" s="1124"/>
      <c r="AS355" s="1124"/>
      <c r="AT355" s="1123">
        <f>_xlfn.SUMIFS(Административные!AJ$25:AJ$103,Административные!$F$25:$F$103,$F355,Административные!$G$25:$G$103,$G355)</f>
        <v>0</v>
      </c>
      <c r="AU355" s="1124"/>
      <c r="AV355" s="1124"/>
      <c r="AW355" s="1124"/>
      <c r="AX355" s="1124"/>
      <c r="AY355" s="1124"/>
      <c r="AZ355" s="1124"/>
      <c r="BA355" s="1124"/>
      <c r="BB355" s="1124"/>
      <c r="BC355" s="1124"/>
      <c r="BD355" s="1123">
        <f>IF(AI355=0,0,(AT355-AI355)/AI355*100)</f>
        <v>0</v>
      </c>
      <c r="BE355" s="1124"/>
      <c r="BF355" s="1124"/>
      <c r="BG355" s="1124"/>
      <c r="BH355" s="1124"/>
      <c r="BI355" s="1124"/>
      <c r="BJ355" s="1124"/>
      <c r="BK355" s="1124"/>
      <c r="BL355" s="1124"/>
      <c r="BM355" s="1124"/>
      <c r="BN355" s="6290"/>
      <c r="BO355" s="6294" t="str">
        <f>IF(_xlfn.IFERROR(INDEX(Административные!$K$26:$L$103,MATCH($F355&amp;"4komm",Административные!$K$26:$K$103,0),2),"")=0,"",_xlfn.IFERROR(INDEX(Административные!$K$26:$L$103,MATCH($F355&amp;"4komm",Административные!$K$26:$K$103,0),2),""))</f>
        <v/>
      </c>
      <c r="BP355" s="6290"/>
      <c r="BQ355" s="1297"/>
      <c r="BR355" s="1297"/>
      <c r="BS355" s="1070" t="s">
        <v>1427</v>
      </c>
      <c r="BT355" s="1072"/>
      <c r="BU355" s="1072"/>
      <c r="BV355" s="987"/>
      <c r="BW355" s="987"/>
    </row>
    <row s="1656" customFormat="1" customHeight="1" ht="14.25">
      <c r="A356" s="1297"/>
      <c r="B356" s="986"/>
      <c r="C356" s="103"/>
      <c r="D356" s="103"/>
      <c r="E356" s="626">
        <v>15</v>
      </c>
      <c r="F356" s="50" cm="1" t="str">
        <f t="array" ref="F356:F356">OFFSET(E356,-1,1)</f>
        <v>2</v>
      </c>
      <c r="G356" s="855" t="s">
        <v>1428</v>
      </c>
      <c r="H356" s="864"/>
      <c r="I356" s="864" t="s">
        <v>2252</v>
      </c>
      <c r="J356" s="103"/>
      <c r="K356" s="374" t="s">
        <v>2252</v>
      </c>
      <c r="L356" s="988" t="s">
        <v>1410</v>
      </c>
      <c r="M356" s="103"/>
      <c r="N356" s="103"/>
      <c r="O356" s="103"/>
      <c r="P356" s="103"/>
      <c r="Q356" s="103"/>
      <c r="R356" s="103"/>
      <c r="S356" s="103"/>
      <c r="T356" s="468" cm="1" t="str">
        <f t="array" ref="T356:T356">T355</f>
        <v>true</v>
      </c>
      <c r="U356" s="103"/>
      <c r="V356" s="103"/>
      <c r="W356" s="103"/>
      <c r="X356" s="1559"/>
      <c r="Y356" s="1297"/>
      <c r="Z356" s="1529"/>
      <c r="AA356" s="1297"/>
      <c r="AB356" s="296" t="s">
        <v>2253</v>
      </c>
      <c r="AC356" s="772" t="s">
        <v>2254</v>
      </c>
      <c r="AD356" s="296" t="s">
        <v>936</v>
      </c>
      <c r="AE356" s="1123">
        <f>_xlfn.SUMIFS(Административные!AE$25:AE$103,Административные!$F$25:$F$103,$F356,Административные!$G$25:$G$103,$G356)</f>
        <v>0</v>
      </c>
      <c r="AF356" s="1123">
        <f>_xlfn.SUMIFS(Административные!AF$25:AF$103,Административные!$F$25:$F$103,$F356,Административные!$G$25:$G$103,$G356)</f>
        <v>0</v>
      </c>
      <c r="AG356" s="1123">
        <f>_xlfn.SUMIFS(Административные!AG$25:AG$103,Административные!$F$25:$F$103,$F356,Административные!$G$25:$G$103,$G356)</f>
        <v>0</v>
      </c>
      <c r="AH356" s="1123">
        <f>AG356-AF356</f>
        <v>0</v>
      </c>
      <c r="AI356" s="1123">
        <f>_xlfn.SUMIFS(Административные!AH$25:AH$103,Административные!$F$25:$F$103,$F356,Административные!$G$25:$G$103,$G356)</f>
        <v>0</v>
      </c>
      <c r="AJ356" s="1123">
        <f>_xlfn.SUMIFS(Административные!AI$25:AI$103,Административные!$F$25:$F$103,$F356,Административные!$G$25:$G$103,$G356)</f>
        <v>0</v>
      </c>
      <c r="AK356" s="1124"/>
      <c r="AL356" s="1124"/>
      <c r="AM356" s="1124"/>
      <c r="AN356" s="1124"/>
      <c r="AO356" s="1124"/>
      <c r="AP356" s="1124"/>
      <c r="AQ356" s="1124"/>
      <c r="AR356" s="1124"/>
      <c r="AS356" s="1124"/>
      <c r="AT356" s="1123">
        <f>_xlfn.SUMIFS(Административные!AJ$25:AJ$103,Административные!$F$25:$F$103,$F356,Административные!$G$25:$G$103,$G356)</f>
        <v>0</v>
      </c>
      <c r="AU356" s="1124"/>
      <c r="AV356" s="1124"/>
      <c r="AW356" s="1124"/>
      <c r="AX356" s="1124"/>
      <c r="AY356" s="1124"/>
      <c r="AZ356" s="1124"/>
      <c r="BA356" s="1124"/>
      <c r="BB356" s="1124"/>
      <c r="BC356" s="1124"/>
      <c r="BD356" s="1123">
        <f>IF(AI356=0,0,(AT356-AI356)/AI356*100)</f>
        <v>0</v>
      </c>
      <c r="BE356" s="1124"/>
      <c r="BF356" s="1124"/>
      <c r="BG356" s="1124"/>
      <c r="BH356" s="1124"/>
      <c r="BI356" s="1124"/>
      <c r="BJ356" s="1124"/>
      <c r="BK356" s="1124"/>
      <c r="BL356" s="1124"/>
      <c r="BM356" s="1124"/>
      <c r="BN356" s="6290"/>
      <c r="BO356" s="6294" t="str">
        <f>IF(_xlfn.IFERROR(INDEX(Административные!$K$26:$L$103,MATCH($F356&amp;"5komm",Административные!$K$26:$K$103,0),2),"")=0,"",_xlfn.IFERROR(INDEX(Административные!$K$26:$L$103,MATCH($F356&amp;"5komm",Административные!$K$26:$K$103,0),2),""))</f>
        <v/>
      </c>
      <c r="BP356" s="6290"/>
      <c r="BQ356" s="1297"/>
      <c r="BR356" s="1297"/>
      <c r="BS356" s="1070" t="s">
        <v>2060</v>
      </c>
      <c r="BT356" s="1072"/>
      <c r="BU356" s="1072"/>
      <c r="BV356" s="987"/>
      <c r="BW356" s="987"/>
    </row>
    <row s="1656" customFormat="1" customHeight="1" ht="14.25">
      <c r="A357" s="1297"/>
      <c r="B357" s="986"/>
      <c r="C357" s="103"/>
      <c r="D357" s="103"/>
      <c r="E357" s="626">
        <v>15</v>
      </c>
      <c r="F357" s="50" cm="1" t="str">
        <f t="array" ref="F357:F357">OFFSET(E357,-1,1)</f>
        <v>2</v>
      </c>
      <c r="G357" s="855" t="s">
        <v>1431</v>
      </c>
      <c r="H357" s="864"/>
      <c r="I357" s="864" t="s">
        <v>2255</v>
      </c>
      <c r="J357" s="103"/>
      <c r="K357" s="374" t="s">
        <v>2255</v>
      </c>
      <c r="L357" s="988" t="s">
        <v>1415</v>
      </c>
      <c r="M357" s="103"/>
      <c r="N357" s="103"/>
      <c r="O357" s="103"/>
      <c r="P357" s="103"/>
      <c r="Q357" s="103"/>
      <c r="R357" s="103"/>
      <c r="S357" s="103"/>
      <c r="T357" s="468" cm="1" t="str">
        <f t="array" ref="T357:T357">T356</f>
        <v>true</v>
      </c>
      <c r="U357" s="103"/>
      <c r="V357" s="103"/>
      <c r="W357" s="103"/>
      <c r="X357" s="1559"/>
      <c r="Y357" s="1297"/>
      <c r="Z357" s="1529"/>
      <c r="AA357" s="1297"/>
      <c r="AB357" s="296" t="s">
        <v>2256</v>
      </c>
      <c r="AC357" s="772" t="s">
        <v>2257</v>
      </c>
      <c r="AD357" s="296" t="s">
        <v>936</v>
      </c>
      <c r="AE357" s="1123">
        <f>_xlfn.SUMIFS(Административные!AE$25:AE$103,Административные!$F$25:$F$103,$F357,Административные!$G$25:$G$103,$G357)</f>
        <v>0</v>
      </c>
      <c r="AF357" s="1123">
        <f>_xlfn.SUMIFS(Административные!AF$25:AF$103,Административные!$F$25:$F$103,$F357,Административные!$G$25:$G$103,$G357)</f>
        <v>0</v>
      </c>
      <c r="AG357" s="1123">
        <f>_xlfn.SUMIFS(Административные!AG$25:AG$103,Административные!$F$25:$F$103,$F357,Административные!$G$25:$G$103,$G357)</f>
        <v>0</v>
      </c>
      <c r="AH357" s="1123">
        <f>AG357-AF357</f>
        <v>0</v>
      </c>
      <c r="AI357" s="1123">
        <f>_xlfn.SUMIFS(Административные!AH$25:AH$103,Административные!$F$25:$F$103,$F357,Административные!$G$25:$G$103,$G357)</f>
        <v>0</v>
      </c>
      <c r="AJ357" s="1123">
        <f>_xlfn.SUMIFS(Административные!AI$25:AI$103,Административные!$F$25:$F$103,$F357,Административные!$G$25:$G$103,$G357)</f>
        <v>0</v>
      </c>
      <c r="AK357" s="1124"/>
      <c r="AL357" s="1124"/>
      <c r="AM357" s="1124"/>
      <c r="AN357" s="1124"/>
      <c r="AO357" s="1124"/>
      <c r="AP357" s="1124"/>
      <c r="AQ357" s="1124"/>
      <c r="AR357" s="1124"/>
      <c r="AS357" s="1124"/>
      <c r="AT357" s="1123">
        <f>_xlfn.SUMIFS(Административные!AJ$25:AJ$103,Административные!$F$25:$F$103,$F357,Административные!$G$25:$G$103,$G357)</f>
        <v>0</v>
      </c>
      <c r="AU357" s="1124"/>
      <c r="AV357" s="1124"/>
      <c r="AW357" s="1124"/>
      <c r="AX357" s="1124"/>
      <c r="AY357" s="1124"/>
      <c r="AZ357" s="1124"/>
      <c r="BA357" s="1124"/>
      <c r="BB357" s="1124"/>
      <c r="BC357" s="1124"/>
      <c r="BD357" s="1123">
        <f>IF(AI357=0,0,(AT357-AI357)/AI357*100)</f>
        <v>0</v>
      </c>
      <c r="BE357" s="1124"/>
      <c r="BF357" s="1124"/>
      <c r="BG357" s="1124"/>
      <c r="BH357" s="1124"/>
      <c r="BI357" s="1124"/>
      <c r="BJ357" s="1124"/>
      <c r="BK357" s="1124"/>
      <c r="BL357" s="1124"/>
      <c r="BM357" s="1124"/>
      <c r="BN357" s="6290"/>
      <c r="BO357" s="6294" t="str">
        <f>IF(_xlfn.IFERROR(INDEX(Административные!$K$26:$L$103,MATCH($F357&amp;"6komm",Административные!$K$26:$K$103,0),2),"")=0,"",_xlfn.IFERROR(INDEX(Административные!$K$26:$L$103,MATCH($F357&amp;"6komm",Административные!$K$26:$K$103,0),2),""))</f>
        <v/>
      </c>
      <c r="BP357" s="6290"/>
      <c r="BQ357" s="1297"/>
      <c r="BR357" s="1297"/>
      <c r="BS357" s="1070" t="s">
        <v>2062</v>
      </c>
      <c r="BT357" s="1072"/>
      <c r="BU357" s="1072"/>
      <c r="BV357" s="987"/>
      <c r="BW357" s="987"/>
    </row>
    <row s="1656" customFormat="1" customHeight="1" ht="14.25">
      <c r="A358" s="1297"/>
      <c r="B358" s="986"/>
      <c r="C358" s="103"/>
      <c r="D358" s="103"/>
      <c r="E358" s="626">
        <v>15</v>
      </c>
      <c r="F358" s="50" cm="1" t="str">
        <f t="array" ref="F358:F358">OFFSET(E358,-1,1)</f>
        <v>2</v>
      </c>
      <c r="G358" s="855" t="s">
        <v>1433</v>
      </c>
      <c r="H358" s="864"/>
      <c r="I358" s="864" t="s">
        <v>2258</v>
      </c>
      <c r="J358" s="103"/>
      <c r="K358" s="374" t="s">
        <v>2258</v>
      </c>
      <c r="L358" s="988" t="s">
        <v>2063</v>
      </c>
      <c r="M358" s="103"/>
      <c r="N358" s="103"/>
      <c r="O358" s="103"/>
      <c r="P358" s="103"/>
      <c r="Q358" s="103"/>
      <c r="R358" s="103"/>
      <c r="S358" s="103"/>
      <c r="T358" s="468" cm="1" t="str">
        <f t="array" ref="T358:T358">T357</f>
        <v>true</v>
      </c>
      <c r="U358" s="103"/>
      <c r="V358" s="103"/>
      <c r="W358" s="103"/>
      <c r="X358" s="1559"/>
      <c r="Y358" s="1297"/>
      <c r="Z358" s="1529"/>
      <c r="AA358" s="1297"/>
      <c r="AB358" s="296" t="s">
        <v>2259</v>
      </c>
      <c r="AC358" s="775" t="s">
        <v>2065</v>
      </c>
      <c r="AD358" s="296" t="s">
        <v>936</v>
      </c>
      <c r="AE358" s="1123">
        <f>_xlfn.SUMIFS(Административные!AE$25:AE$103,Административные!$F$25:$F$103,$F358,Административные!$G$25:$G$103,$G358)</f>
        <v>0</v>
      </c>
      <c r="AF358" s="1123">
        <f>_xlfn.SUMIFS(Административные!AF$25:AF$103,Административные!$F$25:$F$103,$F358,Административные!$G$25:$G$103,$G358)</f>
        <v>0</v>
      </c>
      <c r="AG358" s="1123">
        <f>_xlfn.SUMIFS(Административные!AG$25:AG$103,Административные!$F$25:$F$103,$F358,Административные!$G$25:$G$103,$G358)</f>
        <v>0</v>
      </c>
      <c r="AH358" s="1123">
        <f>AG358-AF358</f>
        <v>0</v>
      </c>
      <c r="AI358" s="1123">
        <f>_xlfn.SUMIFS(Административные!AH$25:AH$103,Административные!$F$25:$F$103,$F358,Административные!$G$25:$G$103,$G358)</f>
        <v>0</v>
      </c>
      <c r="AJ358" s="1123">
        <f>_xlfn.SUMIFS(Административные!AI$25:AI$103,Административные!$F$25:$F$103,$F358,Административные!$G$25:$G$103,$G358)</f>
        <v>0</v>
      </c>
      <c r="AK358" s="1124"/>
      <c r="AL358" s="1124"/>
      <c r="AM358" s="1124"/>
      <c r="AN358" s="1124"/>
      <c r="AO358" s="1124"/>
      <c r="AP358" s="1124"/>
      <c r="AQ358" s="1124"/>
      <c r="AR358" s="1124"/>
      <c r="AS358" s="1124"/>
      <c r="AT358" s="1123">
        <f>_xlfn.SUMIFS(Административные!AJ$25:AJ$103,Административные!$F$25:$F$103,$F358,Административные!$G$25:$G$103,$G358)</f>
        <v>0</v>
      </c>
      <c r="AU358" s="1124"/>
      <c r="AV358" s="1124"/>
      <c r="AW358" s="1124"/>
      <c r="AX358" s="1124"/>
      <c r="AY358" s="1124"/>
      <c r="AZ358" s="1124"/>
      <c r="BA358" s="1124"/>
      <c r="BB358" s="1124"/>
      <c r="BC358" s="1124"/>
      <c r="BD358" s="1123">
        <f>IF(AI358=0,0,(AT358-AI358)/AI358*100)</f>
        <v>0</v>
      </c>
      <c r="BE358" s="1124"/>
      <c r="BF358" s="1124"/>
      <c r="BG358" s="1124"/>
      <c r="BH358" s="1124"/>
      <c r="BI358" s="1124"/>
      <c r="BJ358" s="1124"/>
      <c r="BK358" s="1124"/>
      <c r="BL358" s="1124"/>
      <c r="BM358" s="1124"/>
      <c r="BN358" s="6290"/>
      <c r="BO358" s="6294" t="str">
        <f>IF(_xlfn.IFERROR(INDEX(Административные!$K$26:$L$103,MATCH($F358&amp;"7komm",Административные!$K$26:$K$103,0),2),"")=0,"",_xlfn.IFERROR(INDEX(Административные!$K$26:$L$103,MATCH($F358&amp;"7komm",Административные!$K$26:$K$103,0),2),""))</f>
        <v/>
      </c>
      <c r="BP358" s="6290"/>
      <c r="BQ358" s="1297"/>
      <c r="BR358" s="1297"/>
      <c r="BS358" s="1070" t="s">
        <v>2066</v>
      </c>
      <c r="BT358" s="1072"/>
      <c r="BU358" s="1072"/>
      <c r="BV358" s="987"/>
      <c r="BW358" s="987"/>
    </row>
    <row s="1656" customFormat="1" customHeight="1" ht="14.25">
      <c r="A359" s="1297"/>
      <c r="B359" s="986"/>
      <c r="C359" s="103"/>
      <c r="D359" s="103"/>
      <c r="E359" s="626">
        <v>15</v>
      </c>
      <c r="F359" s="50" cm="1" t="str">
        <f t="array" ref="F359:F359">OFFSET(E359,-1,1)</f>
        <v>2</v>
      </c>
      <c r="G359" s="855" t="s">
        <v>1436</v>
      </c>
      <c r="H359" s="864"/>
      <c r="I359" s="864" t="s">
        <v>2260</v>
      </c>
      <c r="J359" s="103"/>
      <c r="K359" s="374" t="s">
        <v>2260</v>
      </c>
      <c r="L359" s="988" t="s">
        <v>2067</v>
      </c>
      <c r="M359" s="103"/>
      <c r="N359" s="103"/>
      <c r="O359" s="103"/>
      <c r="P359" s="103"/>
      <c r="Q359" s="103"/>
      <c r="R359" s="103"/>
      <c r="S359" s="103"/>
      <c r="T359" s="468" cm="1" t="str">
        <f t="array" ref="T359:T359">T358</f>
        <v>true</v>
      </c>
      <c r="U359" s="103"/>
      <c r="V359" s="103"/>
      <c r="W359" s="103"/>
      <c r="X359" s="1559"/>
      <c r="Y359" s="1297"/>
      <c r="Z359" s="1529"/>
      <c r="AA359" s="1297"/>
      <c r="AB359" s="296" t="s">
        <v>2261</v>
      </c>
      <c r="AC359" s="775" t="s">
        <v>1437</v>
      </c>
      <c r="AD359" s="296" t="s">
        <v>936</v>
      </c>
      <c r="AE359" s="1123">
        <f>_xlfn.SUMIFS(Административные!AE$25:AE$103,Административные!$F$25:$F$103,$F359,Административные!$G$25:$G$103,$G359)</f>
        <v>0</v>
      </c>
      <c r="AF359" s="1123">
        <f>_xlfn.SUMIFS(Административные!AF$25:AF$103,Административные!$F$25:$F$103,$F359,Административные!$G$25:$G$103,$G359)</f>
        <v>0</v>
      </c>
      <c r="AG359" s="1123">
        <f>_xlfn.SUMIFS(Административные!AG$25:AG$103,Административные!$F$25:$F$103,$F359,Административные!$G$25:$G$103,$G359)</f>
        <v>0</v>
      </c>
      <c r="AH359" s="1123">
        <f>AG359-AF359</f>
        <v>0</v>
      </c>
      <c r="AI359" s="1123">
        <f>_xlfn.SUMIFS(Административные!AH$25:AH$103,Административные!$F$25:$F$103,$F359,Административные!$G$25:$G$103,$G359)</f>
        <v>0</v>
      </c>
      <c r="AJ359" s="1123">
        <f>_xlfn.SUMIFS(Административные!AI$25:AI$103,Административные!$F$25:$F$103,$F359,Административные!$G$25:$G$103,$G359)</f>
        <v>0</v>
      </c>
      <c r="AK359" s="1124"/>
      <c r="AL359" s="1124"/>
      <c r="AM359" s="1124"/>
      <c r="AN359" s="1124"/>
      <c r="AO359" s="1124"/>
      <c r="AP359" s="1124"/>
      <c r="AQ359" s="1124"/>
      <c r="AR359" s="1124"/>
      <c r="AS359" s="1124"/>
      <c r="AT359" s="1123">
        <f>_xlfn.SUMIFS(Административные!AJ$25:AJ$103,Административные!$F$25:$F$103,$F359,Административные!$G$25:$G$103,$G359)</f>
        <v>0</v>
      </c>
      <c r="AU359" s="1124"/>
      <c r="AV359" s="1124"/>
      <c r="AW359" s="1124"/>
      <c r="AX359" s="1124"/>
      <c r="AY359" s="1124"/>
      <c r="AZ359" s="1124"/>
      <c r="BA359" s="1124"/>
      <c r="BB359" s="1124"/>
      <c r="BC359" s="1124"/>
      <c r="BD359" s="1123">
        <f>IF(AI359=0,0,(AT359-AI359)/AI359*100)</f>
        <v>0</v>
      </c>
      <c r="BE359" s="1124"/>
      <c r="BF359" s="1124"/>
      <c r="BG359" s="1124"/>
      <c r="BH359" s="1124"/>
      <c r="BI359" s="1124"/>
      <c r="BJ359" s="1124"/>
      <c r="BK359" s="1124"/>
      <c r="BL359" s="1124"/>
      <c r="BM359" s="1124"/>
      <c r="BN359" s="6290"/>
      <c r="BO359" s="6294" t="str">
        <f>IF(_xlfn.IFERROR(INDEX(Административные!$K$26:$L$103,MATCH($F359&amp;"8komm",Административные!$K$26:$K$103,0),2),"")=0,"",_xlfn.IFERROR(INDEX(Административные!$K$26:$L$103,MATCH($F359&amp;"8komm",Административные!$K$26:$K$103,0),2),""))</f>
        <v/>
      </c>
      <c r="BP359" s="6290"/>
      <c r="BQ359" s="1297"/>
      <c r="BR359" s="1297"/>
      <c r="BS359" s="1070" t="s">
        <v>2069</v>
      </c>
      <c r="BT359" s="1072"/>
      <c r="BU359" s="1072"/>
      <c r="BV359" s="987"/>
      <c r="BW359" s="987"/>
    </row>
    <row s="1656" customFormat="1" customHeight="1" ht="14.25">
      <c r="A360" s="1297"/>
      <c r="B360" s="986"/>
      <c r="C360" s="103"/>
      <c r="D360" s="103"/>
      <c r="E360" s="626">
        <v>15</v>
      </c>
      <c r="F360" s="50" cm="1" t="str">
        <f t="array" ref="F360:F360">OFFSET(E360,-1,1)</f>
        <v>2</v>
      </c>
      <c r="G360" s="103" t="s">
        <v>1439</v>
      </c>
      <c r="H360" s="864"/>
      <c r="I360" s="864" t="s">
        <v>2262</v>
      </c>
      <c r="J360" s="103"/>
      <c r="K360" s="374" t="s">
        <v>2262</v>
      </c>
      <c r="L360" s="988" t="s">
        <v>2070</v>
      </c>
      <c r="M360" s="103"/>
      <c r="N360" s="103"/>
      <c r="O360" s="103"/>
      <c r="P360" s="103"/>
      <c r="Q360" s="103"/>
      <c r="R360" s="103"/>
      <c r="S360" s="103"/>
      <c r="T360" s="468" cm="1" t="str">
        <f t="array" ref="T360:T360">T359</f>
        <v>true</v>
      </c>
      <c r="U360" s="103"/>
      <c r="V360" s="103"/>
      <c r="W360" s="103"/>
      <c r="X360" s="1559"/>
      <c r="Y360" s="1297"/>
      <c r="Z360" s="1529"/>
      <c r="AA360" s="1297"/>
      <c r="AB360" s="296" t="s">
        <v>2263</v>
      </c>
      <c r="AC360" s="775" t="s">
        <v>1440</v>
      </c>
      <c r="AD360" s="296" t="s">
        <v>936</v>
      </c>
      <c r="AE360" s="1123">
        <f>_xlfn.SUMIFS(Административные!AE$25:AE$103,Административные!$F$25:$F$103,$F360,Административные!$G$25:$G$103,$G360)</f>
        <v>0</v>
      </c>
      <c r="AF360" s="1123">
        <f>_xlfn.SUMIFS(Административные!AF$25:AF$103,Административные!$F$25:$F$103,$F360,Административные!$G$25:$G$103,$G360)</f>
        <v>0</v>
      </c>
      <c r="AG360" s="1123">
        <f>_xlfn.SUMIFS(Административные!AG$25:AG$103,Административные!$F$25:$F$103,$F360,Административные!$G$25:$G$103,$G360)</f>
        <v>0</v>
      </c>
      <c r="AH360" s="1123">
        <f>AG360-AF360</f>
        <v>0</v>
      </c>
      <c r="AI360" s="1123">
        <f>_xlfn.SUMIFS(Административные!AH$25:AH$103,Административные!$F$25:$F$103,$F360,Административные!$G$25:$G$103,$G360)</f>
        <v>0</v>
      </c>
      <c r="AJ360" s="1125">
        <f>_xlfn.SUMIFS(Административные!AI$25:AI$103,Административные!$F$25:$F$103,$F360,Административные!$G$25:$G$103,$G360)</f>
        <v>0</v>
      </c>
      <c r="AK360" s="1124"/>
      <c r="AL360" s="1124"/>
      <c r="AM360" s="1124"/>
      <c r="AN360" s="1124"/>
      <c r="AO360" s="1124"/>
      <c r="AP360" s="1124"/>
      <c r="AQ360" s="1124"/>
      <c r="AR360" s="1124"/>
      <c r="AS360" s="1124"/>
      <c r="AT360" s="1125">
        <f>_xlfn.SUMIFS(Административные!AJ$25:AJ$103,Административные!$F$25:$F$103,$F360,Административные!$G$25:$G$103,$G360)</f>
        <v>0</v>
      </c>
      <c r="AU360" s="1124"/>
      <c r="AV360" s="1124"/>
      <c r="AW360" s="1124"/>
      <c r="AX360" s="1124"/>
      <c r="AY360" s="1124"/>
      <c r="AZ360" s="1124"/>
      <c r="BA360" s="1124"/>
      <c r="BB360" s="1124"/>
      <c r="BC360" s="1124"/>
      <c r="BD360" s="1123">
        <f>IF(AI360=0,0,(AT360-AI360)/AI360*100)</f>
        <v>0</v>
      </c>
      <c r="BE360" s="1124"/>
      <c r="BF360" s="1124"/>
      <c r="BG360" s="1124"/>
      <c r="BH360" s="1124"/>
      <c r="BI360" s="1124"/>
      <c r="BJ360" s="1124"/>
      <c r="BK360" s="1124"/>
      <c r="BL360" s="1124"/>
      <c r="BM360" s="1124"/>
      <c r="BN360" s="6290"/>
      <c r="BO360" s="6294" t="str">
        <f>IF(_xlfn.IFERROR(INDEX(Административные!$K$26:$L$103,MATCH($F360&amp;"9komm",Административные!$K$26:$K$103,0),2),"")=0,"",_xlfn.IFERROR(INDEX(Административные!$K$26:$L$103,MATCH($F360&amp;"9komm",Административные!$K$26:$K$103,0),2),""))</f>
        <v/>
      </c>
      <c r="BP360" s="6290"/>
      <c r="BQ360" s="1297"/>
      <c r="BR360" s="1297"/>
      <c r="BS360" s="1070" t="s">
        <v>2072</v>
      </c>
      <c r="BT360" s="1072"/>
      <c r="BU360" s="1072"/>
      <c r="BV360" s="987"/>
      <c r="BW360" s="987"/>
    </row>
    <row s="1656" customFormat="1" customHeight="1" ht="21.75">
      <c r="A361" s="1297"/>
      <c r="B361" s="434">
        <f>STATUS_GO="да"</f>
        <v>0</v>
      </c>
      <c r="C361" s="103"/>
      <c r="D361" s="103"/>
      <c r="E361" s="626">
        <v>22.5</v>
      </c>
      <c r="F361" s="50" cm="1" t="str">
        <f t="array" ref="F361:F361">OFFSET(E361,-1,1)</f>
        <v>2</v>
      </c>
      <c r="G361" s="103"/>
      <c r="H361" s="864"/>
      <c r="I361" s="864" t="s">
        <v>1079</v>
      </c>
      <c r="J361" s="103"/>
      <c r="K361" s="374" t="s">
        <v>1079</v>
      </c>
      <c r="L361" s="988" t="s">
        <v>348</v>
      </c>
      <c r="M361" s="103"/>
      <c r="N361" s="103"/>
      <c r="O361" s="103"/>
      <c r="P361" s="103"/>
      <c r="Q361" s="103"/>
      <c r="R361" s="103"/>
      <c r="S361" s="103"/>
      <c r="T361" s="468" cm="1" t="str">
        <f t="array" ref="T361:T361">T360</f>
        <v>true</v>
      </c>
      <c r="U361" s="103"/>
      <c r="V361" s="103"/>
      <c r="W361" s="103"/>
      <c r="X361" s="1559"/>
      <c r="Y361" s="1297"/>
      <c r="Z361" s="1529"/>
      <c r="AA361" s="1297"/>
      <c r="AB361" s="296" t="s">
        <v>1080</v>
      </c>
      <c r="AC361" s="769" t="s">
        <v>2264</v>
      </c>
      <c r="AD361" s="296" t="s">
        <v>936</v>
      </c>
      <c r="AE361" s="1123">
        <f>_xlfn.SUMIFS('Сбытовые расходы ГО'!AE$25:AE$75,'Сбытовые расходы ГО'!$F$25:$F$75,$F361,'Сбытовые расходы ГО'!$G$25:$G$75,"L0")-_xlfn.SUMIFS('Сбытовые расходы ГО'!AE$25:AE$75,'Сбытовые расходы ГО'!$F$25:$F$75,$F361,'Сбытовые расходы ГО'!$G$25:$G$75,"L1")</f>
        <v>0</v>
      </c>
      <c r="AF361" s="1123">
        <f>_xlfn.SUMIFS('Сбытовые расходы ГО'!AF$25:AF$75,'Сбытовые расходы ГО'!$F$25:$F$75,$F361,'Сбытовые расходы ГО'!$G$25:$G$75,"L0")-_xlfn.SUMIFS('Сбытовые расходы ГО'!AF$25:AF$75,'Сбытовые расходы ГО'!$F$25:$F$75,$F361,'Сбытовые расходы ГО'!$G$25:$G$75,"L1")</f>
        <v>0</v>
      </c>
      <c r="AG361" s="1123">
        <f>_xlfn.SUMIFS('Сбытовые расходы ГО'!AG$25:AG$75,'Сбытовые расходы ГО'!$F$25:$F$75,$F361,'Сбытовые расходы ГО'!$G$25:$G$75,"L0")-_xlfn.SUMIFS('Сбытовые расходы ГО'!AG$25:AG$75,'Сбытовые расходы ГО'!$F$25:$F$75,$F361,'Сбытовые расходы ГО'!$G$25:$G$75,"L1")</f>
        <v>0</v>
      </c>
      <c r="AH361" s="1123">
        <f>AG361-AF361</f>
        <v>0</v>
      </c>
      <c r="AI361" s="1123">
        <f>_xlfn.SUMIFS('Сбытовые расходы ГО'!AH$25:AH$75,'Сбытовые расходы ГО'!$F$25:$F$75,$F361,'Сбытовые расходы ГО'!$G$25:$G$75,"L0")-_xlfn.SUMIFS('Сбытовые расходы ГО'!AH$25:AH$75,'Сбытовые расходы ГО'!$F$25:$F$75,$F361,'Сбытовые расходы ГО'!$G$25:$G$75,"L1")</f>
        <v>0</v>
      </c>
      <c r="AJ361" s="1123">
        <f>_xlfn.SUMIFS('Сбытовые расходы ГО'!AI$25:AI$75,'Сбытовые расходы ГО'!$F$25:$F$75,$F361,'Сбытовые расходы ГО'!$G$25:$G$75,"L0")-_xlfn.SUMIFS('Сбытовые расходы ГО'!AI$25:AI$75,'Сбытовые расходы ГО'!$F$25:$F$75,$F361,'Сбытовые расходы ГО'!$G$25:$G$75,"L1")</f>
        <v>0</v>
      </c>
      <c r="AK361" s="1124"/>
      <c r="AL361" s="1124"/>
      <c r="AM361" s="1124"/>
      <c r="AN361" s="1124"/>
      <c r="AO361" s="1124"/>
      <c r="AP361" s="1124"/>
      <c r="AQ361" s="1124"/>
      <c r="AR361" s="1124"/>
      <c r="AS361" s="1124"/>
      <c r="AT361" s="1123">
        <f>_xlfn.SUMIFS('Сбытовые расходы ГО'!AJ$25:AJ$75,'Сбытовые расходы ГО'!$F$25:$F$75,$F361,'Сбытовые расходы ГО'!$G$25:$G$75,"L0")-_xlfn.SUMIFS('Сбытовые расходы ГО'!AJ$25:AJ$75,'Сбытовые расходы ГО'!$F$25:$F$75,$F361,'Сбытовые расходы ГО'!$G$25:$G$75,"L1")</f>
        <v>0</v>
      </c>
      <c r="AU361" s="1124"/>
      <c r="AV361" s="1124"/>
      <c r="AW361" s="1124"/>
      <c r="AX361" s="1124"/>
      <c r="AY361" s="1124"/>
      <c r="AZ361" s="1124"/>
      <c r="BA361" s="1124"/>
      <c r="BB361" s="1124"/>
      <c r="BC361" s="1124"/>
      <c r="BD361" s="1123">
        <f>IF(AI361=0,0,(AT361-AI361)/AI361*100)</f>
        <v>0</v>
      </c>
      <c r="BE361" s="1124"/>
      <c r="BF361" s="1124"/>
      <c r="BG361" s="1124"/>
      <c r="BH361" s="1124"/>
      <c r="BI361" s="1124"/>
      <c r="BJ361" s="1124"/>
      <c r="BK361" s="1124"/>
      <c r="BL361" s="1124"/>
      <c r="BM361" s="1124"/>
      <c r="BN361" s="6290"/>
      <c r="BO361" s="6290"/>
      <c r="BP361" s="6290"/>
      <c r="BQ361" s="1297"/>
      <c r="BR361" s="1297"/>
      <c r="BS361" s="1071" t="s">
        <v>2074</v>
      </c>
      <c r="BT361" s="1072"/>
      <c r="BU361" s="1072"/>
      <c r="BV361" s="987"/>
      <c r="BW361" s="987"/>
    </row>
    <row s="1656" customFormat="1" customHeight="1" ht="14.625">
      <c r="A362" s="1297"/>
      <c r="B362" s="986"/>
      <c r="C362" s="103"/>
      <c r="D362" s="103"/>
      <c r="E362" s="626">
        <v>15</v>
      </c>
      <c r="F362" s="50" cm="1" t="str">
        <f t="array" ref="F362:F362">OFFSET(E362,-1,1)</f>
        <v>2</v>
      </c>
      <c r="G362" s="103"/>
      <c r="H362" s="864"/>
      <c r="I362" s="864" t="s">
        <v>2013</v>
      </c>
      <c r="J362" s="103"/>
      <c r="K362" s="374" t="s">
        <v>2013</v>
      </c>
      <c r="L362" s="988"/>
      <c r="M362" s="103"/>
      <c r="N362" s="103"/>
      <c r="O362" s="103"/>
      <c r="P362" s="103"/>
      <c r="Q362" s="103"/>
      <c r="R362" s="103"/>
      <c r="S362" s="103"/>
      <c r="T362" s="468" cm="1" t="str">
        <f t="array" ref="T362:T362">T361</f>
        <v>true</v>
      </c>
      <c r="U362" s="103"/>
      <c r="V362" s="103"/>
      <c r="W362" s="103"/>
      <c r="X362" s="1559"/>
      <c r="Y362" s="1297"/>
      <c r="Z362" s="1529"/>
      <c r="AA362" s="1297"/>
      <c r="AB362" s="296" t="s">
        <v>2014</v>
      </c>
      <c r="AC362" s="769" t="s">
        <v>2265</v>
      </c>
      <c r="AD362" s="296" t="s">
        <v>936</v>
      </c>
      <c r="AE362" s="6293">
        <v>4079.75</v>
      </c>
      <c r="AF362" s="6293"/>
      <c r="AG362" s="6293"/>
      <c r="AH362" s="1123">
        <f>AG362-AF362</f>
        <v>0</v>
      </c>
      <c r="AI362" s="6293"/>
      <c r="AJ362" s="6293"/>
      <c r="AK362" s="1124"/>
      <c r="AL362" s="1124"/>
      <c r="AM362" s="1124"/>
      <c r="AN362" s="1124"/>
      <c r="AO362" s="1124"/>
      <c r="AP362" s="1124"/>
      <c r="AQ362" s="1124"/>
      <c r="AR362" s="1124"/>
      <c r="AS362" s="1124"/>
      <c r="AT362" s="6293"/>
      <c r="AU362" s="1124"/>
      <c r="AV362" s="1124"/>
      <c r="AW362" s="1124"/>
      <c r="AX362" s="1124"/>
      <c r="AY362" s="1124"/>
      <c r="AZ362" s="1124"/>
      <c r="BA362" s="1124"/>
      <c r="BB362" s="1124"/>
      <c r="BC362" s="1124"/>
      <c r="BD362" s="1123">
        <f>IF(AI362=0,0,(AT362-AI362)/AI362*100)</f>
        <v>0</v>
      </c>
      <c r="BE362" s="1124"/>
      <c r="BF362" s="1124"/>
      <c r="BG362" s="1124"/>
      <c r="BH362" s="1124"/>
      <c r="BI362" s="1124"/>
      <c r="BJ362" s="1124"/>
      <c r="BK362" s="1124"/>
      <c r="BL362" s="1124"/>
      <c r="BM362" s="1124"/>
      <c r="BN362" s="6290"/>
      <c r="BO362" s="6290"/>
      <c r="BP362" s="6290"/>
      <c r="BQ362" s="1297"/>
      <c r="BR362" s="1297"/>
      <c r="BS362" s="1072" t="s">
        <v>2266</v>
      </c>
      <c r="BT362" s="1072"/>
      <c r="BU362" s="1072"/>
      <c r="BV362" s="987"/>
      <c r="BW362" s="987"/>
    </row>
    <row s="6364" customFormat="1" customHeight="1" ht="20.25">
      <c r="A363" s="706"/>
      <c r="B363" s="437"/>
      <c r="C363" s="105"/>
      <c r="D363" s="105"/>
      <c r="E363" s="833">
        <v>21</v>
      </c>
      <c r="F363" s="50" cm="1" t="str">
        <f t="array" ref="F363:F363">OFFSET(E363,-1,1)</f>
        <v>2</v>
      </c>
      <c r="G363" s="105"/>
      <c r="H363" s="864"/>
      <c r="I363" s="864" t="s">
        <v>2017</v>
      </c>
      <c r="J363" s="105"/>
      <c r="K363" s="374" t="s">
        <v>2017</v>
      </c>
      <c r="L363" s="993"/>
      <c r="M363" s="105"/>
      <c r="N363" s="105"/>
      <c r="O363" s="105"/>
      <c r="P363" s="105"/>
      <c r="Q363" s="105"/>
      <c r="R363" s="105"/>
      <c r="S363" s="105"/>
      <c r="T363" s="468">
        <f>AND(F363&gt;0,method_reg="Метод индексации")</f>
        <v>1</v>
      </c>
      <c r="U363" s="105"/>
      <c r="V363" s="105"/>
      <c r="W363" s="105"/>
      <c r="X363" s="1559"/>
      <c r="Y363" s="706"/>
      <c r="Z363" s="1529"/>
      <c r="AA363" s="706"/>
      <c r="AB363" s="207" t="s">
        <v>2018</v>
      </c>
      <c r="AC363" s="357" t="s">
        <v>2267</v>
      </c>
      <c r="AD363" s="207" t="s">
        <v>936</v>
      </c>
      <c r="AE363" s="209">
        <f>SUM(AE364:AE365)</f>
        <v>0</v>
      </c>
      <c r="AF363" s="209">
        <f>SUM(AF364:AF365)</f>
        <v>0</v>
      </c>
      <c r="AG363" s="209">
        <f>SUM(AG364:AG365)</f>
        <v>0</v>
      </c>
      <c r="AH363" s="785">
        <f>AG363-AF363</f>
        <v>0</v>
      </c>
      <c r="AI363" s="209">
        <f>SUM(AI364:AI365)</f>
        <v>0</v>
      </c>
      <c r="AJ363" s="209">
        <f>SUM(AJ364:AJ365)</f>
        <v>0</v>
      </c>
      <c r="AK363" s="212"/>
      <c r="AL363" s="212"/>
      <c r="AM363" s="212"/>
      <c r="AN363" s="212"/>
      <c r="AO363" s="212"/>
      <c r="AP363" s="212"/>
      <c r="AQ363" s="212"/>
      <c r="AR363" s="212"/>
      <c r="AS363" s="212"/>
      <c r="AT363" s="209">
        <f>SUM(AT364:AT365)</f>
        <v>0</v>
      </c>
      <c r="AU363" s="212"/>
      <c r="AV363" s="212"/>
      <c r="AW363" s="212"/>
      <c r="AX363" s="212"/>
      <c r="AY363" s="212"/>
      <c r="AZ363" s="212"/>
      <c r="BA363" s="212"/>
      <c r="BB363" s="212"/>
      <c r="BC363" s="212"/>
      <c r="BD363" s="785">
        <f>IF(AI363=0,0,(AT363-AI363)/AI363*100)</f>
        <v>0</v>
      </c>
      <c r="BE363" s="212"/>
      <c r="BF363" s="212"/>
      <c r="BG363" s="212"/>
      <c r="BH363" s="212"/>
      <c r="BI363" s="212"/>
      <c r="BJ363" s="212"/>
      <c r="BK363" s="212"/>
      <c r="BL363" s="212"/>
      <c r="BM363" s="212"/>
      <c r="BN363" s="6292"/>
      <c r="BO363" s="6292"/>
      <c r="BP363" s="6292"/>
      <c r="BQ363" s="706"/>
      <c r="BR363" s="706"/>
      <c r="BS363" s="1078" t="s">
        <v>2268</v>
      </c>
      <c r="BT363" s="1078"/>
      <c r="BU363" s="1078"/>
      <c r="BV363" s="713"/>
      <c r="BW363" s="713"/>
    </row>
    <row s="1656" customFormat="1" customHeight="1" ht="14.25" hidden="1">
      <c r="A364" s="1297"/>
      <c r="B364" s="434">
        <f>method_reg="Метод индексации"</f>
        <v>1</v>
      </c>
      <c r="C364" s="103"/>
      <c r="D364" s="103"/>
      <c r="E364" s="626">
        <v>15</v>
      </c>
      <c r="F364" s="50" cm="1" t="str">
        <f t="array" ref="F364:F364">OFFSET(E364,-1,1)</f>
        <v>2</v>
      </c>
      <c r="G364" s="103"/>
      <c r="H364" s="103"/>
      <c r="I364" s="864" t="s">
        <v>2017</v>
      </c>
      <c r="J364" s="103" cm="1" t="str">
        <f t="array" ref="J364:J364">AC364</f>
        <v>0</v>
      </c>
      <c r="K364" s="374" t="s">
        <v>2017</v>
      </c>
      <c r="L364" s="988"/>
      <c r="M364" s="103"/>
      <c r="N364" s="103"/>
      <c r="O364" s="103"/>
      <c r="P364" s="103"/>
      <c r="Q364" s="103"/>
      <c r="R364" s="103"/>
      <c r="S364" s="103"/>
      <c r="T364" s="468">
        <f>AND(F364&gt;0,Y364&gt;0)</f>
        <v>0</v>
      </c>
      <c r="U364" s="103"/>
      <c r="V364" s="103"/>
      <c r="W364" s="103" t="s">
        <v>173</v>
      </c>
      <c r="X364" s="1559"/>
      <c r="Y364" s="154">
        <v>0</v>
      </c>
      <c r="Z364" s="1529"/>
      <c r="AA364" s="422" t="s">
        <v>174</v>
      </c>
      <c r="AB364" s="296" t="str">
        <f>"1.7."&amp;Y364</f>
        <v>1.7.0</v>
      </c>
      <c r="AC364" s="1262"/>
      <c r="AD364" s="296" t="s">
        <v>936</v>
      </c>
      <c r="AE364" s="1260"/>
      <c r="AF364" s="1260"/>
      <c r="AG364" s="1260"/>
      <c r="AH364" s="1123">
        <f>AG364-AF364</f>
        <v>0</v>
      </c>
      <c r="AI364" s="1260"/>
      <c r="AJ364" s="1260"/>
      <c r="AK364" s="1124"/>
      <c r="AL364" s="1124"/>
      <c r="AM364" s="1124"/>
      <c r="AN364" s="1124"/>
      <c r="AO364" s="1124"/>
      <c r="AP364" s="1124"/>
      <c r="AQ364" s="1124"/>
      <c r="AR364" s="1124"/>
      <c r="AS364" s="1124"/>
      <c r="AT364" s="1260"/>
      <c r="AU364" s="1124"/>
      <c r="AV364" s="1124"/>
      <c r="AW364" s="1124"/>
      <c r="AX364" s="1124"/>
      <c r="AY364" s="1124"/>
      <c r="AZ364" s="1124"/>
      <c r="BA364" s="1124"/>
      <c r="BB364" s="1124"/>
      <c r="BC364" s="1124"/>
      <c r="BD364" s="1123">
        <f>IF(AI364=0,0,(AT364-AI364)/AI364*100)</f>
        <v>0</v>
      </c>
      <c r="BE364" s="1124"/>
      <c r="BF364" s="1124"/>
      <c r="BG364" s="1124"/>
      <c r="BH364" s="1124"/>
      <c r="BI364" s="1124"/>
      <c r="BJ364" s="1124"/>
      <c r="BK364" s="1124"/>
      <c r="BL364" s="1124"/>
      <c r="BM364" s="1124"/>
      <c r="BN364" s="1257"/>
      <c r="BO364" s="1257"/>
      <c r="BP364" s="1257"/>
      <c r="BQ364" s="1297"/>
      <c r="BR364" s="1297"/>
      <c r="BS364" s="1072" t="s">
        <v>2268</v>
      </c>
      <c r="BT364" s="1072" t="s">
        <v>2269</v>
      </c>
      <c r="BU364" s="1072" cm="1" t="str">
        <f t="array" ref="BU364:BU364">AC364</f>
        <v>0</v>
      </c>
      <c r="BV364" s="987"/>
      <c r="BW364" s="709" t="b">
        <v>1</v>
      </c>
    </row>
    <row s="1656" customFormat="1" customHeight="1" ht="14.25">
      <c r="A365" s="1297"/>
      <c r="B365" s="434" cm="1" t="str">
        <f t="array" ref="B365:B365">B364</f>
        <v>true</v>
      </c>
      <c r="C365" s="103"/>
      <c r="D365" s="103"/>
      <c r="E365" s="626">
        <v>15</v>
      </c>
      <c r="F365" s="50" cm="1" t="str">
        <f t="array" ref="F365:F365">OFFSET(E365,-1,1)</f>
        <v>2</v>
      </c>
      <c r="G365" s="483"/>
      <c r="H365" s="103"/>
      <c r="I365" s="103"/>
      <c r="J365" s="103" t="s">
        <v>2270</v>
      </c>
      <c r="K365" s="1297"/>
      <c r="L365" s="988"/>
      <c r="M365" s="103"/>
      <c r="N365" s="103"/>
      <c r="O365" s="103"/>
      <c r="P365" s="103"/>
      <c r="Q365" s="103"/>
      <c r="R365" s="103"/>
      <c r="S365" s="103"/>
      <c r="T365" s="468">
        <f>F365&gt;0</f>
        <v>1</v>
      </c>
      <c r="U365" s="103"/>
      <c r="V365" s="103"/>
      <c r="W365" s="836" t="s">
        <v>410</v>
      </c>
      <c r="X365" s="1559"/>
      <c r="Y365" s="1297"/>
      <c r="Z365" s="1529"/>
      <c r="AA365" s="1297"/>
      <c r="AB365" s="881"/>
      <c r="AC365" s="256" t="s">
        <v>177</v>
      </c>
      <c r="AD365" s="783"/>
      <c r="AE365" s="783"/>
      <c r="AF365" s="783"/>
      <c r="AG365" s="783"/>
      <c r="AH365" s="783"/>
      <c r="AI365" s="783"/>
      <c r="AJ365" s="783"/>
      <c r="AK365" s="783"/>
      <c r="AL365" s="783"/>
      <c r="AM365" s="783"/>
      <c r="AN365" s="783"/>
      <c r="AO365" s="783"/>
      <c r="AP365" s="783"/>
      <c r="AQ365" s="783"/>
      <c r="AR365" s="783"/>
      <c r="AS365" s="783"/>
      <c r="AT365" s="783"/>
      <c r="AU365" s="783"/>
      <c r="AV365" s="783"/>
      <c r="AW365" s="783"/>
      <c r="AX365" s="783"/>
      <c r="AY365" s="783"/>
      <c r="AZ365" s="783"/>
      <c r="BA365" s="783"/>
      <c r="BB365" s="783"/>
      <c r="BC365" s="783"/>
      <c r="BD365" s="783"/>
      <c r="BE365" s="783"/>
      <c r="BF365" s="783"/>
      <c r="BG365" s="783"/>
      <c r="BH365" s="783"/>
      <c r="BI365" s="783"/>
      <c r="BJ365" s="783"/>
      <c r="BK365" s="783"/>
      <c r="BL365" s="783"/>
      <c r="BM365" s="783"/>
      <c r="BN365" s="783"/>
      <c r="BO365" s="783"/>
      <c r="BP365" s="784"/>
      <c r="BQ365" s="1297"/>
      <c r="BR365" s="1297"/>
      <c r="BS365" s="1072"/>
      <c r="BT365" s="1072"/>
      <c r="BU365" s="1072"/>
      <c r="BV365" s="709" t="s">
        <v>2269</v>
      </c>
      <c r="BW365" s="987"/>
    </row>
    <row s="6406" customFormat="1" customHeight="1" ht="191.25">
      <c r="A366" s="706"/>
      <c r="B366" s="437"/>
      <c r="C366" s="105"/>
      <c r="D366" s="105"/>
      <c r="E366" s="833">
        <v>21</v>
      </c>
      <c r="F366" s="50" cm="1" t="str">
        <f t="array" ref="F366:F366">OFFSET(E366,-1,1)</f>
        <v>2</v>
      </c>
      <c r="G366" s="105"/>
      <c r="H366" s="103"/>
      <c r="I366" s="103" t="s">
        <v>345</v>
      </c>
      <c r="J366" s="105"/>
      <c r="K366" s="154" t="s">
        <v>345</v>
      </c>
      <c r="L366" s="993"/>
      <c r="M366" s="105"/>
      <c r="N366" s="105"/>
      <c r="O366" s="105"/>
      <c r="P366" s="105"/>
      <c r="Q366" s="105"/>
      <c r="R366" s="105"/>
      <c r="S366" s="105"/>
      <c r="T366" s="468">
        <f>F366&gt;0</f>
        <v>1</v>
      </c>
      <c r="U366" s="105"/>
      <c r="V366" s="105"/>
      <c r="W366" s="105"/>
      <c r="X366" s="1559"/>
      <c r="Y366" s="706"/>
      <c r="Z366" s="1529"/>
      <c r="AA366" s="706"/>
      <c r="AB366" s="230" t="s">
        <v>299</v>
      </c>
      <c r="AC366" s="208" t="s">
        <v>2271</v>
      </c>
      <c r="AD366" s="230" t="s">
        <v>936</v>
      </c>
      <c r="AE366" s="209">
        <f>AE367+AE379+AE380++AE391+AE392+AE393+AE395+AE396+AE397+AE398+AE401</f>
        <v>3479.54</v>
      </c>
      <c r="AF366" s="209">
        <f>AF367+AF379+AF380++AF391+AF392+AF393+AF395+AF396+AF397+AF398+AF401</f>
        <v>2953.75</v>
      </c>
      <c r="AG366" s="209">
        <f>AG367+AG379+AG380++AG391+AG392+AG393+AG395+AG396+AG397+AG398+AG401</f>
        <v>2952.13</v>
      </c>
      <c r="AH366" s="785">
        <f>AG366-AF366</f>
        <v>-1.61999999999989</v>
      </c>
      <c r="AI366" s="209">
        <f>AI367+AI379+AI380++AI391+AI392+AI393+AI395+AI396+AI397+AI398+AI401</f>
        <v>3464.81</v>
      </c>
      <c r="AJ366" s="209">
        <f>AJ367+AJ379+AJ380++AJ391+AJ392+AJ393+AJ395+AJ396+AJ397+AJ398+AJ401</f>
        <v>8191.33</v>
      </c>
      <c r="AK366" s="209">
        <f>AK367+AK379+AK380++AK391+AK392+AK393+AK395+AK396+AK397+AK398+AK401</f>
        <v>0</v>
      </c>
      <c r="AL366" s="209">
        <f>AL367+AL379+AL380++AL391+AL392+AL393+AL395+AL396+AL397+AL398+AL401</f>
        <v>0</v>
      </c>
      <c r="AM366" s="209">
        <f>AM367+AM379+AM380++AM391+AM392+AM393+AM395+AM396+AM397+AM398+AM401</f>
        <v>0</v>
      </c>
      <c r="AN366" s="209">
        <f>AN367+AN379+AN380++AN391+AN392+AN393+AN395+AN396+AN397+AN398+AN401</f>
        <v>0</v>
      </c>
      <c r="AO366" s="209">
        <f>AO367+AO379+AO380++AO391+AO392+AO393+AO395+AO396+AO397+AO398+AO401</f>
        <v>0</v>
      </c>
      <c r="AP366" s="209">
        <f>AP367+AP379+AP380++AP391+AP392+AP393+AP395+AP396+AP397+AP398+AP401</f>
        <v>0</v>
      </c>
      <c r="AQ366" s="209">
        <f>AQ367+AQ379+AQ380++AQ391+AQ392+AQ393+AQ395+AQ396+AQ397+AQ398+AQ401</f>
        <v>0</v>
      </c>
      <c r="AR366" s="209">
        <f>AR367+AR379+AR380++AR391+AR392+AR393+AR395+AR396+AR397+AR398+AR401</f>
        <v>0</v>
      </c>
      <c r="AS366" s="209">
        <f>AS367+AS379+AS380++AS391+AS392+AS393+AS395+AS396+AS397+AS398+AS401</f>
        <v>0</v>
      </c>
      <c r="AT366" s="209">
        <f>AT367+AT379+AT380++AT391+AT392+AT393+AT395+AT396+AT397+AT398+AT401</f>
        <v>8137.89418</v>
      </c>
      <c r="AU366" s="209">
        <f>AU367+AU379+AU380++AU391+AU392+AU393+AU395+AU396+AU397+AU398+AU401</f>
        <v>0</v>
      </c>
      <c r="AV366" s="209">
        <f>AV367+AV379+AV380++AV391+AV392+AV393+AV395+AV396+AV397+AV398+AV401</f>
        <v>0</v>
      </c>
      <c r="AW366" s="209">
        <f>AW367+AW379+AW380++AW391+AW392+AW393+AW395+AW396+AW397+AW398+AW401</f>
        <v>0</v>
      </c>
      <c r="AX366" s="209">
        <f>AX367+AX379+AX380++AX391+AX392+AX393+AX395+AX396+AX397+AX398+AX401</f>
        <v>0</v>
      </c>
      <c r="AY366" s="209">
        <f>AY367+AY379+AY380++AY391+AY392+AY393+AY395+AY396+AY397+AY398+AY401</f>
        <v>0</v>
      </c>
      <c r="AZ366" s="209">
        <f>AZ367+AZ379+AZ380++AZ391+AZ392+AZ393+AZ395+AZ396+AZ397+AZ398+AZ401</f>
        <v>0</v>
      </c>
      <c r="BA366" s="209">
        <f>BA367+BA379+BA380++BA391+BA392+BA393+BA395+BA396+BA397+BA398+BA401</f>
        <v>0</v>
      </c>
      <c r="BB366" s="209">
        <f>BB367+BB379+BB380++BB391+BB392+BB393+BB395+BB396+BB397+BB398+BB401</f>
        <v>0</v>
      </c>
      <c r="BC366" s="209">
        <f>BC367+BC379+BC380++BC391+BC392+BC393+BC395+BC396+BC397+BC398+BC401</f>
        <v>0</v>
      </c>
      <c r="BD366" s="785">
        <f>IF(AI366=0,0,(AT366-AI366)/AI366*100)</f>
        <v>134.872739919361</v>
      </c>
      <c r="BE366" s="785">
        <f>IF(AT366=0,0,(AU366-AT366)/AT366*100)</f>
        <v>-100</v>
      </c>
      <c r="BF366" s="785">
        <f>IF(AU366=0,0,(AV366-AU366)/AU366*100)</f>
        <v>0</v>
      </c>
      <c r="BG366" s="785">
        <f>IF(AV366=0,0,(AW366-AV366)/AV366*100)</f>
        <v>0</v>
      </c>
      <c r="BH366" s="785">
        <f>IF(AW366=0,0,(AX366-AW366)/AW366*100)</f>
        <v>0</v>
      </c>
      <c r="BI366" s="785">
        <f>IF(AX366=0,0,(AY366-AX366)/AX366*100)</f>
        <v>0</v>
      </c>
      <c r="BJ366" s="785">
        <f>IF(AY366=0,0,(AZ366-AY366)/AY366*100)</f>
        <v>0</v>
      </c>
      <c r="BK366" s="785">
        <f>IF(AZ366=0,0,(BA366-AZ366)/AZ366*100)</f>
        <v>0</v>
      </c>
      <c r="BL366" s="785">
        <f>IF(BA366=0,0,(BB366-BA366)/BA366*100)</f>
        <v>0</v>
      </c>
      <c r="BM366" s="785">
        <f>IF(BB366=0,0,(BC366-BB366)/BB366*100)</f>
        <v>0</v>
      </c>
      <c r="BN366" s="6290"/>
      <c r="BO366" s="6290" t="s">
        <v>2452</v>
      </c>
      <c r="BP366" s="6290" t="s">
        <v>2457</v>
      </c>
      <c r="BQ366" s="156"/>
      <c r="BR366" s="706"/>
      <c r="BS366" s="1078" t="s">
        <v>2272</v>
      </c>
      <c r="BT366" s="1078"/>
      <c r="BU366" s="1078"/>
      <c r="BV366" s="713"/>
      <c r="BW366" s="713"/>
    </row>
    <row s="6407" customFormat="1" customHeight="1" ht="21.75">
      <c r="A367" s="706"/>
      <c r="B367" s="437"/>
      <c r="C367" s="105"/>
      <c r="D367" s="105"/>
      <c r="E367" s="833">
        <v>22.5</v>
      </c>
      <c r="F367" s="50" cm="1" t="str">
        <f t="array" ref="F367:F367">OFFSET(E367,-1,1)</f>
        <v>2</v>
      </c>
      <c r="G367" s="370" cm="1" t="str">
        <f t="array" ref="G367:G367">F366</f>
        <v>2</v>
      </c>
      <c r="H367" s="103"/>
      <c r="I367" s="103" t="s">
        <v>584</v>
      </c>
      <c r="J367" s="105"/>
      <c r="K367" s="154" t="s">
        <v>584</v>
      </c>
      <c r="L367" s="993" t="s">
        <v>570</v>
      </c>
      <c r="M367" s="105"/>
      <c r="N367" s="105"/>
      <c r="O367" s="105"/>
      <c r="P367" s="105"/>
      <c r="Q367" s="105"/>
      <c r="R367" s="105"/>
      <c r="S367" s="105"/>
      <c r="T367" s="468" cm="1" t="str">
        <f t="array" ref="T367:T367">T366</f>
        <v>true</v>
      </c>
      <c r="U367" s="105"/>
      <c r="V367" s="105"/>
      <c r="W367" s="105"/>
      <c r="X367" s="1559"/>
      <c r="Y367" s="706"/>
      <c r="Z367" s="1529"/>
      <c r="AA367" s="706"/>
      <c r="AB367" s="207" t="s">
        <v>660</v>
      </c>
      <c r="AC367" s="357" t="s">
        <v>2273</v>
      </c>
      <c r="AD367" s="207" t="s">
        <v>936</v>
      </c>
      <c r="AE367" s="209">
        <f>SUM(AE368:AE378)</f>
        <v>1612.61</v>
      </c>
      <c r="AF367" s="209">
        <f>SUM(AF368:AF378)</f>
        <v>961.18</v>
      </c>
      <c r="AG367" s="209">
        <f>SUM(AG368:AG378)</f>
        <v>961.18</v>
      </c>
      <c r="AH367" s="785">
        <f>AG367-AF367</f>
        <v>0</v>
      </c>
      <c r="AI367" s="209">
        <f>SUM(AI368:AI378)</f>
        <v>1873.14</v>
      </c>
      <c r="AJ367" s="209">
        <f>SUM(AJ368:AJ378)</f>
        <v>1927.94</v>
      </c>
      <c r="AK367" s="209">
        <f>SUM(AK368:AK378)</f>
        <v>0</v>
      </c>
      <c r="AL367" s="209">
        <f>SUM(AL368:AL378)</f>
        <v>0</v>
      </c>
      <c r="AM367" s="209">
        <f>SUM(AM368:AM378)</f>
        <v>0</v>
      </c>
      <c r="AN367" s="209">
        <f>SUM(AN368:AN378)</f>
        <v>0</v>
      </c>
      <c r="AO367" s="209">
        <f>SUM(AO368:AO378)</f>
        <v>0</v>
      </c>
      <c r="AP367" s="209">
        <f>SUM(AP368:AP378)</f>
        <v>0</v>
      </c>
      <c r="AQ367" s="209">
        <f>SUM(AQ368:AQ378)</f>
        <v>0</v>
      </c>
      <c r="AR367" s="209">
        <f>SUM(AR368:AR378)</f>
        <v>0</v>
      </c>
      <c r="AS367" s="209">
        <f>SUM(AS368:AS378)</f>
        <v>0</v>
      </c>
      <c r="AT367" s="209">
        <f>SUM(AT368:AT378)</f>
        <v>1874.45418</v>
      </c>
      <c r="AU367" s="209">
        <f>SUM(AU368:AU378)</f>
        <v>0</v>
      </c>
      <c r="AV367" s="209">
        <f>SUM(AV368:AV378)</f>
        <v>0</v>
      </c>
      <c r="AW367" s="209">
        <f>SUM(AW368:AW378)</f>
        <v>0</v>
      </c>
      <c r="AX367" s="209">
        <f>SUM(AX368:AX378)</f>
        <v>0</v>
      </c>
      <c r="AY367" s="209">
        <f>SUM(AY368:AY378)</f>
        <v>0</v>
      </c>
      <c r="AZ367" s="209">
        <f>SUM(AZ368:AZ378)</f>
        <v>0</v>
      </c>
      <c r="BA367" s="209">
        <f>SUM(BA368:BA378)</f>
        <v>0</v>
      </c>
      <c r="BB367" s="209">
        <f>SUM(BB368:BB378)</f>
        <v>0</v>
      </c>
      <c r="BC367" s="209">
        <f>SUM(BC368:BC378)</f>
        <v>0</v>
      </c>
      <c r="BD367" s="785">
        <f>IF(AI367=0,0,(AT367-AI367)/AI367*100)</f>
        <v>0.070159197924333</v>
      </c>
      <c r="BE367" s="785">
        <f>IF(AT367=0,0,(AU367-AT367)/AT367*100)</f>
        <v>-100</v>
      </c>
      <c r="BF367" s="785">
        <f>IF(AU367=0,0,(AV367-AU367)/AU367*100)</f>
        <v>0</v>
      </c>
      <c r="BG367" s="785">
        <f>IF(AV367=0,0,(AW367-AV367)/AV367*100)</f>
        <v>0</v>
      </c>
      <c r="BH367" s="785">
        <f>IF(AW367=0,0,(AX367-AW367)/AW367*100)</f>
        <v>0</v>
      </c>
      <c r="BI367" s="785">
        <f>IF(AX367=0,0,(AY367-AX367)/AX367*100)</f>
        <v>0</v>
      </c>
      <c r="BJ367" s="785">
        <f>IF(AY367=0,0,(AZ367-AY367)/AY367*100)</f>
        <v>0</v>
      </c>
      <c r="BK367" s="785">
        <f>IF(AZ367=0,0,(BA367-AZ367)/AZ367*100)</f>
        <v>0</v>
      </c>
      <c r="BL367" s="785">
        <f>IF(BA367=0,0,(BB367-BA367)/BA367*100)</f>
        <v>0</v>
      </c>
      <c r="BM367" s="785">
        <f>IF(BB367=0,0,(BC367-BB367)/BB367*100)</f>
        <v>0</v>
      </c>
      <c r="BN367" s="6292"/>
      <c r="BO367" s="6292"/>
      <c r="BP367" s="6292"/>
      <c r="BQ367" s="706"/>
      <c r="BR367" s="706"/>
      <c r="BS367" s="1078" t="s">
        <v>2274</v>
      </c>
      <c r="BT367" s="1078"/>
      <c r="BU367" s="1078"/>
      <c r="BV367" s="713"/>
      <c r="BW367" s="713"/>
    </row>
    <row s="1656" customFormat="1" customHeight="1" ht="14.25">
      <c r="A368" s="1297"/>
      <c r="B368" s="986"/>
      <c r="C368" s="103"/>
      <c r="D368" s="103"/>
      <c r="E368" s="626">
        <v>15</v>
      </c>
      <c r="F368" s="50" cm="1" t="str">
        <f t="array" ref="F368:F368">OFFSET(E368,-1,1)</f>
        <v>2</v>
      </c>
      <c r="G368" s="103" t="s">
        <v>1287</v>
      </c>
      <c r="H368" s="103"/>
      <c r="I368" s="103" t="s">
        <v>1787</v>
      </c>
      <c r="J368" s="103"/>
      <c r="K368" s="154" t="s">
        <v>1787</v>
      </c>
      <c r="L368" s="988" t="s">
        <v>1553</v>
      </c>
      <c r="M368" s="103"/>
      <c r="N368" s="103"/>
      <c r="O368" s="103"/>
      <c r="P368" s="103"/>
      <c r="Q368" s="103"/>
      <c r="R368" s="103"/>
      <c r="S368" s="103"/>
      <c r="T368" s="468" cm="1" t="str">
        <f t="array" ref="T368:T368">T367</f>
        <v>true</v>
      </c>
      <c r="U368" s="103"/>
      <c r="V368" s="103"/>
      <c r="W368" s="103"/>
      <c r="X368" s="1559"/>
      <c r="Y368" s="1297"/>
      <c r="Z368" s="1529"/>
      <c r="AA368" s="1297"/>
      <c r="AB368" s="296" t="s">
        <v>592</v>
      </c>
      <c r="AC368" s="772" t="s">
        <v>2275</v>
      </c>
      <c r="AD368" s="296" t="s">
        <v>936</v>
      </c>
      <c r="AE368" s="1123">
        <f>_xlfn.SUMIFS(Покупка!AE$25:AE$327,Покупка!$F$25:$F$327,$F368,Покупка!$AC$25:$AC$327,$G368)</f>
        <v>1612.61</v>
      </c>
      <c r="AF368" s="1123">
        <f>_xlfn.SUMIFS(Покупка!AF$25:AF$327,Покупка!$F$25:$F$327,$F368,Покупка!$AC$25:$AC$327,$G368)</f>
        <v>961.18</v>
      </c>
      <c r="AG368" s="1123">
        <f>_xlfn.SUMIFS(Покупка!AG$25:AG$327,Покупка!$F$25:$F$327,$F368,Покупка!$AC$25:$AC$327,$G368)</f>
        <v>961.18</v>
      </c>
      <c r="AH368" s="1123">
        <f>AG368-AF368</f>
        <v>0</v>
      </c>
      <c r="AI368" s="1123">
        <f>_xlfn.SUMIFS(Покупка!AH$25:AH$327,Покупка!$F$25:$F$327,$F368,Покупка!$AC$25:$AC$327,$G368)</f>
        <v>1873.14</v>
      </c>
      <c r="AJ368" s="1123">
        <f>_xlfn.SUMIFS(Покупка!AI$25:AI$327,Покупка!$F$25:$F$327,$F368,Покупка!$AC$25:$AC$327,$G368)</f>
        <v>1927.94</v>
      </c>
      <c r="AK368" s="1123">
        <f>_xlfn.SUMIFS(Покупка!AJ$25:AJ$327,Покупка!$F$25:$F$327,$F368,Покупка!$AC$25:$AC$327,$G368)</f>
        <v>0</v>
      </c>
      <c r="AL368" s="1123">
        <f>_xlfn.SUMIFS(Покупка!AK$25:AK$327,Покупка!$F$25:$F$327,$F368,Покупка!$AC$25:$AC$327,$G368)</f>
        <v>0</v>
      </c>
      <c r="AM368" s="1123">
        <f>_xlfn.SUMIFS(Покупка!AL$25:AL$327,Покупка!$F$25:$F$327,$F368,Покупка!$AC$25:$AC$327,$G368)</f>
        <v>0</v>
      </c>
      <c r="AN368" s="1123">
        <f>_xlfn.SUMIFS(Покупка!AM$25:AM$327,Покупка!$F$25:$F$327,$F368,Покупка!$AC$25:$AC$327,$G368)</f>
        <v>0</v>
      </c>
      <c r="AO368" s="1123">
        <f>_xlfn.SUMIFS(Покупка!AN$25:AN$327,Покупка!$F$25:$F$327,$F368,Покупка!$AC$25:$AC$327,$G368)</f>
        <v>0</v>
      </c>
      <c r="AP368" s="1123">
        <f>_xlfn.SUMIFS(Покупка!AO$25:AO$327,Покупка!$F$25:$F$327,$F368,Покупка!$AC$25:$AC$327,$G368)</f>
        <v>0</v>
      </c>
      <c r="AQ368" s="1123">
        <f>_xlfn.SUMIFS(Покупка!AP$25:AP$327,Покупка!$F$25:$F$327,$F368,Покупка!$AC$25:$AC$327,$G368)</f>
        <v>0</v>
      </c>
      <c r="AR368" s="1123">
        <f>_xlfn.SUMIFS(Покупка!AQ$25:AQ$327,Покупка!$F$25:$F$327,$F368,Покупка!$AC$25:$AC$327,$G368)</f>
        <v>0</v>
      </c>
      <c r="AS368" s="1123">
        <f>_xlfn.SUMIFS(Покупка!AR$25:AR$327,Покупка!$F$25:$F$327,$F368,Покупка!$AC$25:$AC$327,$G368)</f>
        <v>0</v>
      </c>
      <c r="AT368" s="1123">
        <f>_xlfn.SUMIFS(Покупка!AS$25:AS$327,Покупка!$F$25:$F$327,$F368,Покупка!$AC$25:$AC$327,$G368)</f>
        <v>1863.77491</v>
      </c>
      <c r="AU368" s="1123">
        <f>_xlfn.SUMIFS(Покупка!AT$25:AT$327,Покупка!$F$25:$F$327,$F368,Покупка!$AC$25:$AC$327,$G368)</f>
        <v>0</v>
      </c>
      <c r="AV368" s="1123">
        <f>_xlfn.SUMIFS(Покупка!AU$25:AU$327,Покупка!$F$25:$F$327,$F368,Покупка!$AC$25:$AC$327,$G368)</f>
        <v>0</v>
      </c>
      <c r="AW368" s="1123">
        <f>_xlfn.SUMIFS(Покупка!AV$25:AV$327,Покупка!$F$25:$F$327,$F368,Покупка!$AC$25:$AC$327,$G368)</f>
        <v>0</v>
      </c>
      <c r="AX368" s="1123">
        <f>_xlfn.SUMIFS(Покупка!AW$25:AW$327,Покупка!$F$25:$F$327,$F368,Покупка!$AC$25:$AC$327,$G368)</f>
        <v>0</v>
      </c>
      <c r="AY368" s="1123">
        <f>_xlfn.SUMIFS(Покупка!AX$25:AX$327,Покупка!$F$25:$F$327,$F368,Покупка!$AC$25:$AC$327,$G368)</f>
        <v>0</v>
      </c>
      <c r="AZ368" s="1123">
        <f>_xlfn.SUMIFS(Покупка!AY$25:AY$327,Покупка!$F$25:$F$327,$F368,Покупка!$AC$25:$AC$327,$G368)</f>
        <v>0</v>
      </c>
      <c r="BA368" s="1123">
        <f>_xlfn.SUMIFS(Покупка!AZ$25:AZ$327,Покупка!$F$25:$F$327,$F368,Покупка!$AC$25:$AC$327,$G368)</f>
        <v>0</v>
      </c>
      <c r="BB368" s="1123">
        <f>_xlfn.SUMIFS(Покупка!BA$25:BA$327,Покупка!$F$25:$F$327,$F368,Покупка!$AC$25:$AC$327,$G368)</f>
        <v>0</v>
      </c>
      <c r="BC368" s="1123">
        <f>_xlfn.SUMIFS(Покупка!BB$25:BB$327,Покупка!$F$25:$F$327,$F368,Покупка!$AC$25:$AC$327,$G368)</f>
        <v>0</v>
      </c>
      <c r="BD368" s="1123">
        <f>IF(AI368=0,0,(AT368-AI368)/AI368*100)</f>
        <v>-0.499967434361554</v>
      </c>
      <c r="BE368" s="1123">
        <f>IF(AT368=0,0,(AU368-AT368)/AT368*100)</f>
        <v>-100</v>
      </c>
      <c r="BF368" s="1123">
        <f>IF(AU368=0,0,(AV368-AU368)/AU368*100)</f>
        <v>0</v>
      </c>
      <c r="BG368" s="1123">
        <f>IF(AV368=0,0,(AW368-AV368)/AV368*100)</f>
        <v>0</v>
      </c>
      <c r="BH368" s="1123">
        <f>IF(AW368=0,0,(AX368-AW368)/AW368*100)</f>
        <v>0</v>
      </c>
      <c r="BI368" s="1123">
        <f>IF(AX368=0,0,(AY368-AX368)/AX368*100)</f>
        <v>0</v>
      </c>
      <c r="BJ368" s="1123">
        <f>IF(AY368=0,0,(AZ368-AY368)/AY368*100)</f>
        <v>0</v>
      </c>
      <c r="BK368" s="1123">
        <f>IF(AZ368=0,0,(BA368-AZ368)/AZ368*100)</f>
        <v>0</v>
      </c>
      <c r="BL368" s="1123">
        <f>IF(BA368=0,0,(BB368-BA368)/BA368*100)</f>
        <v>0</v>
      </c>
      <c r="BM368" s="1123">
        <f>IF(BB368=0,0,(BC368-BB368)/BB368*100)</f>
        <v>0</v>
      </c>
      <c r="BN368" s="6290"/>
      <c r="BO368" s="6294" t="str">
        <f>IF(_xlfn.IFERROR(INDEX(Покупка!$K$26:$L$327,MATCH($F368&amp;"6komm",Покупка!$K$26:$K$327,0),2),"")=0,"",_xlfn.IFERROR(INDEX(Покупка!$K$26:$L$327,MATCH($F368&amp;"6komm",Покупка!$K$26:$K$327,0),2),""))</f>
        <v>П. 49 Методических указаний ФСТ России от 27.12.2013 № 1746-э.</v>
      </c>
      <c r="BP368" s="6290"/>
      <c r="BQ368" s="1297"/>
      <c r="BR368" s="1297"/>
      <c r="BS368" s="1072" t="s">
        <v>1288</v>
      </c>
      <c r="BT368" s="1072"/>
      <c r="BU368" s="1072"/>
      <c r="BV368" s="987"/>
      <c r="BW368" s="987"/>
    </row>
    <row s="1656" customFormat="1" customHeight="1" ht="264.75">
      <c r="A369" s="1297"/>
      <c r="B369" s="986"/>
      <c r="C369" s="103"/>
      <c r="D369" s="103"/>
      <c r="E369" s="626">
        <v>15</v>
      </c>
      <c r="F369" s="50" cm="1" t="str">
        <f t="array" ref="F369:F369">OFFSET(E369,-1,1)</f>
        <v>2</v>
      </c>
      <c r="G369" s="103" t="s">
        <v>1309</v>
      </c>
      <c r="H369" s="103"/>
      <c r="I369" s="103" t="s">
        <v>1791</v>
      </c>
      <c r="J369" s="103"/>
      <c r="K369" s="103" t="s">
        <v>1791</v>
      </c>
      <c r="L369" s="988" t="s">
        <v>1557</v>
      </c>
      <c r="M369" s="103"/>
      <c r="N369" s="103"/>
      <c r="O369" s="103"/>
      <c r="P369" s="103"/>
      <c r="Q369" s="103"/>
      <c r="R369" s="103"/>
      <c r="S369" s="103"/>
      <c r="T369" s="468" cm="1" t="str">
        <f t="array" ref="T369:T369">T368</f>
        <v>true</v>
      </c>
      <c r="U369" s="103"/>
      <c r="V369" s="103"/>
      <c r="W369" s="103"/>
      <c r="X369" s="1559"/>
      <c r="Y369" s="1297"/>
      <c r="Z369" s="1529"/>
      <c r="AA369" s="1297"/>
      <c r="AB369" s="296" t="s">
        <v>2276</v>
      </c>
      <c r="AC369" s="772" t="s">
        <v>2277</v>
      </c>
      <c r="AD369" s="296" t="s">
        <v>936</v>
      </c>
      <c r="AE369" s="1123">
        <f>_xlfn.SUMIFS(Покупка!AE$25:AE$327,Покупка!$F$25:$F$327,$F369,Покупка!$AC$25:$AC$327,$G369)</f>
        <v>0</v>
      </c>
      <c r="AF369" s="1123">
        <f>_xlfn.SUMIFS(Покупка!AF$25:AF$327,Покупка!$F$25:$F$327,$F369,Покупка!$AC$25:$AC$327,$G369)</f>
        <v>0</v>
      </c>
      <c r="AG369" s="1123">
        <f>_xlfn.SUMIFS(Покупка!AG$25:AG$327,Покупка!$F$25:$F$327,$F369,Покупка!$AC$25:$AC$327,$G369)</f>
        <v>0</v>
      </c>
      <c r="AH369" s="1123">
        <f>AG369-AF369</f>
        <v>0</v>
      </c>
      <c r="AI369" s="1123">
        <f>_xlfn.SUMIFS(Покупка!AH$25:AH$327,Покупка!$F$25:$F$327,$F369,Покупка!$AC$25:$AC$327,$G369)</f>
        <v>0</v>
      </c>
      <c r="AJ369" s="1123">
        <f>_xlfn.SUMIFS(Покупка!AI$25:AI$327,Покупка!$F$25:$F$327,$F369,Покупка!$AC$25:$AC$327,$G369)</f>
        <v>0</v>
      </c>
      <c r="AK369" s="1123">
        <f>_xlfn.SUMIFS(Покупка!AJ$25:AJ$327,Покупка!$F$25:$F$327,$F369,Покупка!$AC$25:$AC$327,$G369)</f>
        <v>0</v>
      </c>
      <c r="AL369" s="1123">
        <f>_xlfn.SUMIFS(Покупка!AK$25:AK$327,Покупка!$F$25:$F$327,$F369,Покупка!$AC$25:$AC$327,$G369)</f>
        <v>0</v>
      </c>
      <c r="AM369" s="1123">
        <f>_xlfn.SUMIFS(Покупка!AL$25:AL$327,Покупка!$F$25:$F$327,$F369,Покупка!$AC$25:$AC$327,$G369)</f>
        <v>0</v>
      </c>
      <c r="AN369" s="1123">
        <f>_xlfn.SUMIFS(Покупка!AM$25:AM$327,Покупка!$F$25:$F$327,$F369,Покупка!$AC$25:$AC$327,$G369)</f>
        <v>0</v>
      </c>
      <c r="AO369" s="1123">
        <f>_xlfn.SUMIFS(Покупка!AN$25:AN$327,Покупка!$F$25:$F$327,$F369,Покупка!$AC$25:$AC$327,$G369)</f>
        <v>0</v>
      </c>
      <c r="AP369" s="1123">
        <f>_xlfn.SUMIFS(Покупка!AO$25:AO$327,Покупка!$F$25:$F$327,$F369,Покупка!$AC$25:$AC$327,$G369)</f>
        <v>0</v>
      </c>
      <c r="AQ369" s="1123">
        <f>_xlfn.SUMIFS(Покупка!AP$25:AP$327,Покупка!$F$25:$F$327,$F369,Покупка!$AC$25:$AC$327,$G369)</f>
        <v>0</v>
      </c>
      <c r="AR369" s="1123">
        <f>_xlfn.SUMIFS(Покупка!AQ$25:AQ$327,Покупка!$F$25:$F$327,$F369,Покупка!$AC$25:$AC$327,$G369)</f>
        <v>0</v>
      </c>
      <c r="AS369" s="1123">
        <f>_xlfn.SUMIFS(Покупка!AR$25:AR$327,Покупка!$F$25:$F$327,$F369,Покупка!$AC$25:$AC$327,$G369)</f>
        <v>0</v>
      </c>
      <c r="AT369" s="1123">
        <f>_xlfn.SUMIFS(Покупка!AS$25:AS$327,Покупка!$F$25:$F$327,$F369,Покупка!$AC$25:$AC$327,$G369)</f>
        <v>0</v>
      </c>
      <c r="AU369" s="1123">
        <f>_xlfn.SUMIFS(Покупка!AT$25:AT$327,Покупка!$F$25:$F$327,$F369,Покупка!$AC$25:$AC$327,$G369)</f>
        <v>0</v>
      </c>
      <c r="AV369" s="1123">
        <f>_xlfn.SUMIFS(Покупка!AU$25:AU$327,Покупка!$F$25:$F$327,$F369,Покупка!$AC$25:$AC$327,$G369)</f>
        <v>0</v>
      </c>
      <c r="AW369" s="1123">
        <f>_xlfn.SUMIFS(Покупка!AV$25:AV$327,Покупка!$F$25:$F$327,$F369,Покупка!$AC$25:$AC$327,$G369)</f>
        <v>0</v>
      </c>
      <c r="AX369" s="1123">
        <f>_xlfn.SUMIFS(Покупка!AW$25:AW$327,Покупка!$F$25:$F$327,$F369,Покупка!$AC$25:$AC$327,$G369)</f>
        <v>0</v>
      </c>
      <c r="AY369" s="1123">
        <f>_xlfn.SUMIFS(Покупка!AX$25:AX$327,Покупка!$F$25:$F$327,$F369,Покупка!$AC$25:$AC$327,$G369)</f>
        <v>0</v>
      </c>
      <c r="AZ369" s="1123">
        <f>_xlfn.SUMIFS(Покупка!AY$25:AY$327,Покупка!$F$25:$F$327,$F369,Покупка!$AC$25:$AC$327,$G369)</f>
        <v>0</v>
      </c>
      <c r="BA369" s="1123">
        <f>_xlfn.SUMIFS(Покупка!AZ$25:AZ$327,Покупка!$F$25:$F$327,$F369,Покупка!$AC$25:$AC$327,$G369)</f>
        <v>0</v>
      </c>
      <c r="BB369" s="1123">
        <f>_xlfn.SUMIFS(Покупка!BA$25:BA$327,Покупка!$F$25:$F$327,$F369,Покупка!$AC$25:$AC$327,$G369)</f>
        <v>0</v>
      </c>
      <c r="BC369" s="1123">
        <f>_xlfn.SUMIFS(Покупка!BB$25:BB$327,Покупка!$F$25:$F$327,$F369,Покупка!$AC$25:$AC$327,$G369)</f>
        <v>0</v>
      </c>
      <c r="BD369" s="1123">
        <f>IF(AI369=0,0,(AT369-AI369)/AI369*100)</f>
        <v>0</v>
      </c>
      <c r="BE369" s="1123">
        <f>IF(AT369=0,0,(AU369-AT369)/AT369*100)</f>
        <v>0</v>
      </c>
      <c r="BF369" s="1123">
        <f>IF(AU369=0,0,(AV369-AU369)/AU369*100)</f>
        <v>0</v>
      </c>
      <c r="BG369" s="1123">
        <f>IF(AV369=0,0,(AW369-AV369)/AV369*100)</f>
        <v>0</v>
      </c>
      <c r="BH369" s="1123">
        <f>IF(AW369=0,0,(AX369-AW369)/AW369*100)</f>
        <v>0</v>
      </c>
      <c r="BI369" s="1123">
        <f>IF(AX369=0,0,(AY369-AX369)/AX369*100)</f>
        <v>0</v>
      </c>
      <c r="BJ369" s="1123">
        <f>IF(AY369=0,0,(AZ369-AY369)/AY369*100)</f>
        <v>0</v>
      </c>
      <c r="BK369" s="1123">
        <f>IF(AZ369=0,0,(BA369-AZ369)/AZ369*100)</f>
        <v>0</v>
      </c>
      <c r="BL369" s="1123">
        <f>IF(BA369=0,0,(BB369-BA369)/BA369*100)</f>
        <v>0</v>
      </c>
      <c r="BM369" s="1123">
        <f>IF(BB369=0,0,(BC369-BB369)/BB369*100)</f>
        <v>0</v>
      </c>
      <c r="BN369" s="6290" t="s">
        <v>2463</v>
      </c>
      <c r="BO369" s="6294" t="str">
        <f>IF(_xlfn.IFERROR(INDEX(Покупка!$K$26:$L$327,MATCH($F369&amp;"7komm",Покупка!$K$26:$K$327,0),2),"")=0,"",_xlfn.IFERROR(INDEX(Покупка!$K$26:$L$327,MATCH($F369&amp;"7komm",Покупка!$K$26:$K$327,0),2),""))</f>
        <v/>
      </c>
      <c r="BP369" s="6290"/>
      <c r="BQ369" s="1297"/>
      <c r="BR369" s="1297"/>
      <c r="BS369" s="1072" t="s">
        <v>1310</v>
      </c>
      <c r="BT369" s="1072"/>
      <c r="BU369" s="1072"/>
      <c r="BV369" s="987"/>
      <c r="BW369" s="987"/>
    </row>
    <row s="1656" customFormat="1" customHeight="1" ht="14.25">
      <c r="A370" s="1297"/>
      <c r="B370" s="986"/>
      <c r="C370" s="103"/>
      <c r="D370" s="103"/>
      <c r="E370" s="626">
        <v>15</v>
      </c>
      <c r="F370" s="50" cm="1" t="str">
        <f t="array" ref="F370:F370">OFFSET(E370,-1,1)</f>
        <v>2</v>
      </c>
      <c r="G370" s="103" t="s">
        <v>1261</v>
      </c>
      <c r="H370" s="103"/>
      <c r="I370" s="103" t="s">
        <v>1899</v>
      </c>
      <c r="J370" s="103"/>
      <c r="K370" s="103" t="s">
        <v>1899</v>
      </c>
      <c r="L370" s="988" t="s">
        <v>1736</v>
      </c>
      <c r="M370" s="103"/>
      <c r="N370" s="103"/>
      <c r="O370" s="103"/>
      <c r="P370" s="103"/>
      <c r="Q370" s="103"/>
      <c r="R370" s="103"/>
      <c r="S370" s="103"/>
      <c r="T370" s="468" cm="1" t="str">
        <f t="array" ref="T370:T370">T369</f>
        <v>true</v>
      </c>
      <c r="U370" s="103"/>
      <c r="V370" s="103"/>
      <c r="W370" s="103"/>
      <c r="X370" s="1559"/>
      <c r="Y370" s="1297"/>
      <c r="Z370" s="1529"/>
      <c r="AA370" s="1297"/>
      <c r="AB370" s="296" t="s">
        <v>2278</v>
      </c>
      <c r="AC370" s="772" t="s">
        <v>2279</v>
      </c>
      <c r="AD370" s="296" t="s">
        <v>936</v>
      </c>
      <c r="AE370" s="1123">
        <f>_xlfn.SUMIFS(Покупка!AE$25:AE$327,Покупка!$F$25:$F$327,$F370,Покупка!$AC$25:$AC$327,$G370)</f>
        <v>0</v>
      </c>
      <c r="AF370" s="1123">
        <f>_xlfn.SUMIFS(Покупка!AF$25:AF$327,Покупка!$F$25:$F$327,$F370,Покупка!$AC$25:$AC$327,$G370)</f>
        <v>0</v>
      </c>
      <c r="AG370" s="1123">
        <f>_xlfn.SUMIFS(Покупка!AG$25:AG$327,Покупка!$F$25:$F$327,$F370,Покупка!$AC$25:$AC$327,$G370)</f>
        <v>0</v>
      </c>
      <c r="AH370" s="1123">
        <f>AG370-AF370</f>
        <v>0</v>
      </c>
      <c r="AI370" s="1123">
        <f>_xlfn.SUMIFS(Покупка!AH$25:AH$327,Покупка!$F$25:$F$327,$F370,Покупка!$AC$25:$AC$327,$G370)</f>
        <v>0</v>
      </c>
      <c r="AJ370" s="1123">
        <f>_xlfn.SUMIFS(Покупка!AI$25:AI$327,Покупка!$F$25:$F$327,$F370,Покупка!$AC$25:$AC$327,$G370)</f>
        <v>0</v>
      </c>
      <c r="AK370" s="1123">
        <f>_xlfn.SUMIFS(Покупка!AJ$25:AJ$327,Покупка!$F$25:$F$327,$F370,Покупка!$AC$25:$AC$327,$G370)</f>
        <v>0</v>
      </c>
      <c r="AL370" s="1123">
        <f>_xlfn.SUMIFS(Покупка!AK$25:AK$327,Покупка!$F$25:$F$327,$F370,Покупка!$AC$25:$AC$327,$G370)</f>
        <v>0</v>
      </c>
      <c r="AM370" s="1123">
        <f>_xlfn.SUMIFS(Покупка!AL$25:AL$327,Покупка!$F$25:$F$327,$F370,Покупка!$AC$25:$AC$327,$G370)</f>
        <v>0</v>
      </c>
      <c r="AN370" s="1123">
        <f>_xlfn.SUMIFS(Покупка!AM$25:AM$327,Покупка!$F$25:$F$327,$F370,Покупка!$AC$25:$AC$327,$G370)</f>
        <v>0</v>
      </c>
      <c r="AO370" s="1123">
        <f>_xlfn.SUMIFS(Покупка!AN$25:AN$327,Покупка!$F$25:$F$327,$F370,Покупка!$AC$25:$AC$327,$G370)</f>
        <v>0</v>
      </c>
      <c r="AP370" s="1123">
        <f>_xlfn.SUMIFS(Покупка!AO$25:AO$327,Покупка!$F$25:$F$327,$F370,Покупка!$AC$25:$AC$327,$G370)</f>
        <v>0</v>
      </c>
      <c r="AQ370" s="1123">
        <f>_xlfn.SUMIFS(Покупка!AP$25:AP$327,Покупка!$F$25:$F$327,$F370,Покупка!$AC$25:$AC$327,$G370)</f>
        <v>0</v>
      </c>
      <c r="AR370" s="1123">
        <f>_xlfn.SUMIFS(Покупка!AQ$25:AQ$327,Покупка!$F$25:$F$327,$F370,Покупка!$AC$25:$AC$327,$G370)</f>
        <v>0</v>
      </c>
      <c r="AS370" s="1123">
        <f>_xlfn.SUMIFS(Покупка!AR$25:AR$327,Покупка!$F$25:$F$327,$F370,Покупка!$AC$25:$AC$327,$G370)</f>
        <v>0</v>
      </c>
      <c r="AT370" s="1123">
        <f>_xlfn.SUMIFS(Покупка!AS$25:AS$327,Покупка!$F$25:$F$327,$F370,Покупка!$AC$25:$AC$327,$G370)</f>
        <v>0</v>
      </c>
      <c r="AU370" s="1123">
        <f>_xlfn.SUMIFS(Покупка!AT$25:AT$327,Покупка!$F$25:$F$327,$F370,Покупка!$AC$25:$AC$327,$G370)</f>
        <v>0</v>
      </c>
      <c r="AV370" s="1123">
        <f>_xlfn.SUMIFS(Покупка!AU$25:AU$327,Покупка!$F$25:$F$327,$F370,Покупка!$AC$25:$AC$327,$G370)</f>
        <v>0</v>
      </c>
      <c r="AW370" s="1123">
        <f>_xlfn.SUMIFS(Покупка!AV$25:AV$327,Покупка!$F$25:$F$327,$F370,Покупка!$AC$25:$AC$327,$G370)</f>
        <v>0</v>
      </c>
      <c r="AX370" s="1123">
        <f>_xlfn.SUMIFS(Покупка!AW$25:AW$327,Покупка!$F$25:$F$327,$F370,Покупка!$AC$25:$AC$327,$G370)</f>
        <v>0</v>
      </c>
      <c r="AY370" s="1123">
        <f>_xlfn.SUMIFS(Покупка!AX$25:AX$327,Покупка!$F$25:$F$327,$F370,Покупка!$AC$25:$AC$327,$G370)</f>
        <v>0</v>
      </c>
      <c r="AZ370" s="1123">
        <f>_xlfn.SUMIFS(Покупка!AY$25:AY$327,Покупка!$F$25:$F$327,$F370,Покупка!$AC$25:$AC$327,$G370)</f>
        <v>0</v>
      </c>
      <c r="BA370" s="1123">
        <f>_xlfn.SUMIFS(Покупка!AZ$25:AZ$327,Покупка!$F$25:$F$327,$F370,Покупка!$AC$25:$AC$327,$G370)</f>
        <v>0</v>
      </c>
      <c r="BB370" s="1123">
        <f>_xlfn.SUMIFS(Покупка!BA$25:BA$327,Покупка!$F$25:$F$327,$F370,Покупка!$AC$25:$AC$327,$G370)</f>
        <v>0</v>
      </c>
      <c r="BC370" s="1123">
        <f>_xlfn.SUMIFS(Покупка!BB$25:BB$327,Покупка!$F$25:$F$327,$F370,Покупка!$AC$25:$AC$327,$G370)</f>
        <v>0</v>
      </c>
      <c r="BD370" s="1123">
        <f>IF(AI370=0,0,(AT370-AI370)/AI370*100)</f>
        <v>0</v>
      </c>
      <c r="BE370" s="1123">
        <f>IF(AT370=0,0,(AU370-AT370)/AT370*100)</f>
        <v>0</v>
      </c>
      <c r="BF370" s="1123">
        <f>IF(AU370=0,0,(AV370-AU370)/AU370*100)</f>
        <v>0</v>
      </c>
      <c r="BG370" s="1123">
        <f>IF(AV370=0,0,(AW370-AV370)/AV370*100)</f>
        <v>0</v>
      </c>
      <c r="BH370" s="1123">
        <f>IF(AW370=0,0,(AX370-AW370)/AW370*100)</f>
        <v>0</v>
      </c>
      <c r="BI370" s="1123">
        <f>IF(AX370=0,0,(AY370-AX370)/AX370*100)</f>
        <v>0</v>
      </c>
      <c r="BJ370" s="1123">
        <f>IF(AY370=0,0,(AZ370-AY370)/AY370*100)</f>
        <v>0</v>
      </c>
      <c r="BK370" s="1123">
        <f>IF(AZ370=0,0,(BA370-AZ370)/AZ370*100)</f>
        <v>0</v>
      </c>
      <c r="BL370" s="1123">
        <f>IF(BA370=0,0,(BB370-BA370)/BA370*100)</f>
        <v>0</v>
      </c>
      <c r="BM370" s="1123">
        <f>IF(BB370=0,0,(BC370-BB370)/BB370*100)</f>
        <v>0</v>
      </c>
      <c r="BN370" s="6290"/>
      <c r="BO370" s="6294" t="str">
        <f>IF(_xlfn.IFERROR(INDEX(Покупка!$K$26:$L$327,MATCH($F370&amp;"2komm",Покупка!$K$26:$K$327,0),2),"")=0,"",_xlfn.IFERROR(INDEX(Покупка!$K$26:$L$327,MATCH($F370&amp;"2komm",Покупка!$K$26:$K$327,0),2),""))</f>
        <v/>
      </c>
      <c r="BP370" s="6290"/>
      <c r="BQ370" s="1297"/>
      <c r="BR370" s="1297"/>
      <c r="BS370" s="1072" t="s">
        <v>2280</v>
      </c>
      <c r="BT370" s="1072"/>
      <c r="BU370" s="1072"/>
      <c r="BV370" s="987"/>
      <c r="BW370" s="987"/>
    </row>
    <row s="1656" customFormat="1" customHeight="1" ht="14.25">
      <c r="A371" s="1297"/>
      <c r="B371" s="986"/>
      <c r="C371" s="103"/>
      <c r="D371" s="103"/>
      <c r="E371" s="626">
        <v>15</v>
      </c>
      <c r="F371" s="50" cm="1" t="str">
        <f t="array" ref="F371:F371">OFFSET(E371,-1,1)</f>
        <v>2</v>
      </c>
      <c r="G371" s="103" t="s">
        <v>1248</v>
      </c>
      <c r="H371" s="103"/>
      <c r="I371" s="103" t="s">
        <v>1901</v>
      </c>
      <c r="J371" s="103"/>
      <c r="K371" s="103" t="s">
        <v>1901</v>
      </c>
      <c r="L371" s="988" t="s">
        <v>1731</v>
      </c>
      <c r="M371" s="103"/>
      <c r="N371" s="103"/>
      <c r="O371" s="103"/>
      <c r="P371" s="103"/>
      <c r="Q371" s="103"/>
      <c r="R371" s="103"/>
      <c r="S371" s="103"/>
      <c r="T371" s="468" cm="1" t="str">
        <f t="array" ref="T371:T371">T370</f>
        <v>true</v>
      </c>
      <c r="U371" s="103"/>
      <c r="V371" s="103"/>
      <c r="W371" s="103"/>
      <c r="X371" s="1559"/>
      <c r="Y371" s="1297"/>
      <c r="Z371" s="1529"/>
      <c r="AA371" s="1297"/>
      <c r="AB371" s="296" t="s">
        <v>2281</v>
      </c>
      <c r="AC371" s="772" t="s">
        <v>2282</v>
      </c>
      <c r="AD371" s="296" t="s">
        <v>936</v>
      </c>
      <c r="AE371" s="1123">
        <f>_xlfn.SUMIFS(Покупка!AE$25:AE$327,Покупка!$F$25:$F$327,$F371,Покупка!$AC$25:$AC$327,$G371)</f>
        <v>0</v>
      </c>
      <c r="AF371" s="1123">
        <f>_xlfn.SUMIFS(Покупка!AF$25:AF$327,Покупка!$F$25:$F$327,$F371,Покупка!$AC$25:$AC$327,$G371)</f>
        <v>0</v>
      </c>
      <c r="AG371" s="1123">
        <f>_xlfn.SUMIFS(Покупка!AG$25:AG$327,Покупка!$F$25:$F$327,$F371,Покупка!$AC$25:$AC$327,$G371)</f>
        <v>0</v>
      </c>
      <c r="AH371" s="1123">
        <f>AG371-AF371</f>
        <v>0</v>
      </c>
      <c r="AI371" s="1123">
        <f>_xlfn.SUMIFS(Покупка!AH$25:AH$327,Покупка!$F$25:$F$327,$F371,Покупка!$AC$25:$AC$327,$G371)</f>
        <v>0</v>
      </c>
      <c r="AJ371" s="1123">
        <f>_xlfn.SUMIFS(Покупка!AI$25:AI$327,Покупка!$F$25:$F$327,$F371,Покупка!$AC$25:$AC$327,$G371)</f>
        <v>0</v>
      </c>
      <c r="AK371" s="1123">
        <f>_xlfn.SUMIFS(Покупка!AJ$25:AJ$327,Покупка!$F$25:$F$327,$F371,Покупка!$AC$25:$AC$327,$G371)</f>
        <v>0</v>
      </c>
      <c r="AL371" s="1123">
        <f>_xlfn.SUMIFS(Покупка!AK$25:AK$327,Покупка!$F$25:$F$327,$F371,Покупка!$AC$25:$AC$327,$G371)</f>
        <v>0</v>
      </c>
      <c r="AM371" s="1123">
        <f>_xlfn.SUMIFS(Покупка!AL$25:AL$327,Покупка!$F$25:$F$327,$F371,Покупка!$AC$25:$AC$327,$G371)</f>
        <v>0</v>
      </c>
      <c r="AN371" s="1123">
        <f>_xlfn.SUMIFS(Покупка!AM$25:AM$327,Покупка!$F$25:$F$327,$F371,Покупка!$AC$25:$AC$327,$G371)</f>
        <v>0</v>
      </c>
      <c r="AO371" s="1123">
        <f>_xlfn.SUMIFS(Покупка!AN$25:AN$327,Покупка!$F$25:$F$327,$F371,Покупка!$AC$25:$AC$327,$G371)</f>
        <v>0</v>
      </c>
      <c r="AP371" s="1123">
        <f>_xlfn.SUMIFS(Покупка!AO$25:AO$327,Покупка!$F$25:$F$327,$F371,Покупка!$AC$25:$AC$327,$G371)</f>
        <v>0</v>
      </c>
      <c r="AQ371" s="1123">
        <f>_xlfn.SUMIFS(Покупка!AP$25:AP$327,Покупка!$F$25:$F$327,$F371,Покупка!$AC$25:$AC$327,$G371)</f>
        <v>0</v>
      </c>
      <c r="AR371" s="1123">
        <f>_xlfn.SUMIFS(Покупка!AQ$25:AQ$327,Покупка!$F$25:$F$327,$F371,Покупка!$AC$25:$AC$327,$G371)</f>
        <v>0</v>
      </c>
      <c r="AS371" s="1123">
        <f>_xlfn.SUMIFS(Покупка!AR$25:AR$327,Покупка!$F$25:$F$327,$F371,Покупка!$AC$25:$AC$327,$G371)</f>
        <v>0</v>
      </c>
      <c r="AT371" s="1123">
        <f>_xlfn.SUMIFS(Покупка!AS$25:AS$327,Покупка!$F$25:$F$327,$F371,Покупка!$AC$25:$AC$327,$G371)</f>
        <v>0</v>
      </c>
      <c r="AU371" s="1123">
        <f>_xlfn.SUMIFS(Покупка!AT$25:AT$327,Покупка!$F$25:$F$327,$F371,Покупка!$AC$25:$AC$327,$G371)</f>
        <v>0</v>
      </c>
      <c r="AV371" s="1123">
        <f>_xlfn.SUMIFS(Покупка!AU$25:AU$327,Покупка!$F$25:$F$327,$F371,Покупка!$AC$25:$AC$327,$G371)</f>
        <v>0</v>
      </c>
      <c r="AW371" s="1123">
        <f>_xlfn.SUMIFS(Покупка!AV$25:AV$327,Покупка!$F$25:$F$327,$F371,Покупка!$AC$25:$AC$327,$G371)</f>
        <v>0</v>
      </c>
      <c r="AX371" s="1123">
        <f>_xlfn.SUMIFS(Покупка!AW$25:AW$327,Покупка!$F$25:$F$327,$F371,Покупка!$AC$25:$AC$327,$G371)</f>
        <v>0</v>
      </c>
      <c r="AY371" s="1123">
        <f>_xlfn.SUMIFS(Покупка!AX$25:AX$327,Покупка!$F$25:$F$327,$F371,Покупка!$AC$25:$AC$327,$G371)</f>
        <v>0</v>
      </c>
      <c r="AZ371" s="1123">
        <f>_xlfn.SUMIFS(Покупка!AY$25:AY$327,Покупка!$F$25:$F$327,$F371,Покупка!$AC$25:$AC$327,$G371)</f>
        <v>0</v>
      </c>
      <c r="BA371" s="1123">
        <f>_xlfn.SUMIFS(Покупка!AZ$25:AZ$327,Покупка!$F$25:$F$327,$F371,Покупка!$AC$25:$AC$327,$G371)</f>
        <v>0</v>
      </c>
      <c r="BB371" s="1123">
        <f>_xlfn.SUMIFS(Покупка!BA$25:BA$327,Покупка!$F$25:$F$327,$F371,Покупка!$AC$25:$AC$327,$G371)</f>
        <v>0</v>
      </c>
      <c r="BC371" s="1123">
        <f>_xlfn.SUMIFS(Покупка!BB$25:BB$327,Покупка!$F$25:$F$327,$F371,Покупка!$AC$25:$AC$327,$G371)</f>
        <v>0</v>
      </c>
      <c r="BD371" s="1123">
        <f>IF(AI371=0,0,(AT371-AI371)/AI371*100)</f>
        <v>0</v>
      </c>
      <c r="BE371" s="1123">
        <f>IF(AT371=0,0,(AU371-AT371)/AT371*100)</f>
        <v>0</v>
      </c>
      <c r="BF371" s="1123">
        <f>IF(AU371=0,0,(AV371-AU371)/AU371*100)</f>
        <v>0</v>
      </c>
      <c r="BG371" s="1123">
        <f>IF(AV371=0,0,(AW371-AV371)/AV371*100)</f>
        <v>0</v>
      </c>
      <c r="BH371" s="1123">
        <f>IF(AW371=0,0,(AX371-AW371)/AW371*100)</f>
        <v>0</v>
      </c>
      <c r="BI371" s="1123">
        <f>IF(AX371=0,0,(AY371-AX371)/AX371*100)</f>
        <v>0</v>
      </c>
      <c r="BJ371" s="1123">
        <f>IF(AY371=0,0,(AZ371-AY371)/AY371*100)</f>
        <v>0</v>
      </c>
      <c r="BK371" s="1123">
        <f>IF(AZ371=0,0,(BA371-AZ371)/AZ371*100)</f>
        <v>0</v>
      </c>
      <c r="BL371" s="1123">
        <f>IF(BA371=0,0,(BB371-BA371)/BA371*100)</f>
        <v>0</v>
      </c>
      <c r="BM371" s="1123">
        <f>IF(BB371=0,0,(BC371-BB371)/BB371*100)</f>
        <v>0</v>
      </c>
      <c r="BN371" s="6290"/>
      <c r="BO371" s="6294" t="str">
        <f>IF(_xlfn.IFERROR(INDEX(Покупка!$K$26:$L$327,MATCH($F371&amp;"1komm",Покупка!$K$26:$K$327,0),2),"")=0,"",_xlfn.IFERROR(INDEX(Покупка!$K$26:$L$327,MATCH($F371&amp;"1komm",Покупка!$K$26:$K$327,0),2),""))</f>
        <v/>
      </c>
      <c r="BP371" s="6290"/>
      <c r="BQ371" s="1297"/>
      <c r="BR371" s="1297"/>
      <c r="BS371" s="1072" t="s">
        <v>2283</v>
      </c>
      <c r="BT371" s="1072"/>
      <c r="BU371" s="1072"/>
      <c r="BV371" s="987"/>
      <c r="BW371" s="987"/>
    </row>
    <row s="1656" customFormat="1" customHeight="1" ht="14.25">
      <c r="A372" s="1297"/>
      <c r="B372" s="986"/>
      <c r="C372" s="103"/>
      <c r="D372" s="103"/>
      <c r="E372" s="626">
        <v>15</v>
      </c>
      <c r="F372" s="50" cm="1" t="str">
        <f t="array" ref="F372:F372">OFFSET(E372,-1,1)</f>
        <v>2</v>
      </c>
      <c r="G372" s="103" t="s">
        <v>1315</v>
      </c>
      <c r="H372" s="103"/>
      <c r="I372" s="103" t="s">
        <v>1904</v>
      </c>
      <c r="J372" s="103"/>
      <c r="K372" s="103" t="s">
        <v>1904</v>
      </c>
      <c r="L372" s="988"/>
      <c r="M372" s="103"/>
      <c r="N372" s="103"/>
      <c r="O372" s="103"/>
      <c r="P372" s="103"/>
      <c r="Q372" s="103"/>
      <c r="R372" s="103"/>
      <c r="S372" s="103"/>
      <c r="T372" s="468" cm="1" t="str">
        <f t="array" ref="T372:T372">T371</f>
        <v>true</v>
      </c>
      <c r="U372" s="103"/>
      <c r="V372" s="103"/>
      <c r="W372" s="103"/>
      <c r="X372" s="1559"/>
      <c r="Y372" s="1297"/>
      <c r="Z372" s="1529"/>
      <c r="AA372" s="1297"/>
      <c r="AB372" s="296" t="s">
        <v>2284</v>
      </c>
      <c r="AC372" s="772" t="s">
        <v>2285</v>
      </c>
      <c r="AD372" s="296" t="s">
        <v>936</v>
      </c>
      <c r="AE372" s="1123">
        <f>_xlfn.SUMIFS(Покупка!AE$25:AE$327,Покупка!$F$25:$F$327,$F372,Покупка!$AC$25:$AC$327,$G372)</f>
        <v>0</v>
      </c>
      <c r="AF372" s="1123">
        <f>_xlfn.SUMIFS(Покупка!AF$25:AF$327,Покупка!$F$25:$F$327,$F372,Покупка!$AC$25:$AC$327,$G372)</f>
        <v>0</v>
      </c>
      <c r="AG372" s="1123">
        <f>_xlfn.SUMIFS(Покупка!AG$25:AG$327,Покупка!$F$25:$F$327,$F372,Покупка!$AC$25:$AC$327,$G372)</f>
        <v>0</v>
      </c>
      <c r="AH372" s="1123">
        <f>AG372-AF372</f>
        <v>0</v>
      </c>
      <c r="AI372" s="1123">
        <f>_xlfn.SUMIFS(Покупка!AH$25:AH$327,Покупка!$F$25:$F$327,$F372,Покупка!$AC$25:$AC$327,$G372)</f>
        <v>0</v>
      </c>
      <c r="AJ372" s="1123">
        <f>_xlfn.SUMIFS(Покупка!AI$25:AI$327,Покупка!$F$25:$F$327,$F372,Покупка!$AC$25:$AC$327,$G372)</f>
        <v>0</v>
      </c>
      <c r="AK372" s="1123">
        <f>_xlfn.SUMIFS(Покупка!AJ$25:AJ$327,Покупка!$F$25:$F$327,$F372,Покупка!$AC$25:$AC$327,$G372)</f>
        <v>0</v>
      </c>
      <c r="AL372" s="1123">
        <f>_xlfn.SUMIFS(Покупка!AK$25:AK$327,Покупка!$F$25:$F$327,$F372,Покупка!$AC$25:$AC$327,$G372)</f>
        <v>0</v>
      </c>
      <c r="AM372" s="1123">
        <f>_xlfn.SUMIFS(Покупка!AL$25:AL$327,Покупка!$F$25:$F$327,$F372,Покупка!$AC$25:$AC$327,$G372)</f>
        <v>0</v>
      </c>
      <c r="AN372" s="1123">
        <f>_xlfn.SUMIFS(Покупка!AM$25:AM$327,Покупка!$F$25:$F$327,$F372,Покупка!$AC$25:$AC$327,$G372)</f>
        <v>0</v>
      </c>
      <c r="AO372" s="1123">
        <f>_xlfn.SUMIFS(Покупка!AN$25:AN$327,Покупка!$F$25:$F$327,$F372,Покупка!$AC$25:$AC$327,$G372)</f>
        <v>0</v>
      </c>
      <c r="AP372" s="1123">
        <f>_xlfn.SUMIFS(Покупка!AO$25:AO$327,Покупка!$F$25:$F$327,$F372,Покупка!$AC$25:$AC$327,$G372)</f>
        <v>0</v>
      </c>
      <c r="AQ372" s="1123">
        <f>_xlfn.SUMIFS(Покупка!AP$25:AP$327,Покупка!$F$25:$F$327,$F372,Покупка!$AC$25:$AC$327,$G372)</f>
        <v>0</v>
      </c>
      <c r="AR372" s="1123">
        <f>_xlfn.SUMIFS(Покупка!AQ$25:AQ$327,Покупка!$F$25:$F$327,$F372,Покупка!$AC$25:$AC$327,$G372)</f>
        <v>0</v>
      </c>
      <c r="AS372" s="1123">
        <f>_xlfn.SUMIFS(Покупка!AR$25:AR$327,Покупка!$F$25:$F$327,$F372,Покупка!$AC$25:$AC$327,$G372)</f>
        <v>0</v>
      </c>
      <c r="AT372" s="1123">
        <f>_xlfn.SUMIFS(Покупка!AS$25:AS$327,Покупка!$F$25:$F$327,$F372,Покупка!$AC$25:$AC$327,$G372)</f>
        <v>0</v>
      </c>
      <c r="AU372" s="1123">
        <f>_xlfn.SUMIFS(Покупка!AT$25:AT$327,Покупка!$F$25:$F$327,$F372,Покупка!$AC$25:$AC$327,$G372)</f>
        <v>0</v>
      </c>
      <c r="AV372" s="1123">
        <f>_xlfn.SUMIFS(Покупка!AU$25:AU$327,Покупка!$F$25:$F$327,$F372,Покупка!$AC$25:$AC$327,$G372)</f>
        <v>0</v>
      </c>
      <c r="AW372" s="1123">
        <f>_xlfn.SUMIFS(Покупка!AV$25:AV$327,Покупка!$F$25:$F$327,$F372,Покупка!$AC$25:$AC$327,$G372)</f>
        <v>0</v>
      </c>
      <c r="AX372" s="1123">
        <f>_xlfn.SUMIFS(Покупка!AW$25:AW$327,Покупка!$F$25:$F$327,$F372,Покупка!$AC$25:$AC$327,$G372)</f>
        <v>0</v>
      </c>
      <c r="AY372" s="1123">
        <f>_xlfn.SUMIFS(Покупка!AX$25:AX$327,Покупка!$F$25:$F$327,$F372,Покупка!$AC$25:$AC$327,$G372)</f>
        <v>0</v>
      </c>
      <c r="AZ372" s="1123">
        <f>_xlfn.SUMIFS(Покупка!AY$25:AY$327,Покупка!$F$25:$F$327,$F372,Покупка!$AC$25:$AC$327,$G372)</f>
        <v>0</v>
      </c>
      <c r="BA372" s="1123">
        <f>_xlfn.SUMIFS(Покупка!AZ$25:AZ$327,Покупка!$F$25:$F$327,$F372,Покупка!$AC$25:$AC$327,$G372)</f>
        <v>0</v>
      </c>
      <c r="BB372" s="1123">
        <f>_xlfn.SUMIFS(Покупка!BA$25:BA$327,Покупка!$F$25:$F$327,$F372,Покупка!$AC$25:$AC$327,$G372)</f>
        <v>0</v>
      </c>
      <c r="BC372" s="1123">
        <f>_xlfn.SUMIFS(Покупка!BB$25:BB$327,Покупка!$F$25:$F$327,$F372,Покупка!$AC$25:$AC$327,$G372)</f>
        <v>0</v>
      </c>
      <c r="BD372" s="1123">
        <f>IF(AI372=0,0,(AT372-AI372)/AI372*100)</f>
        <v>0</v>
      </c>
      <c r="BE372" s="1123">
        <f>IF(AT372=0,0,(AU372-AT372)/AT372*100)</f>
        <v>0</v>
      </c>
      <c r="BF372" s="1123">
        <f>IF(AU372=0,0,(AV372-AU372)/AU372*100)</f>
        <v>0</v>
      </c>
      <c r="BG372" s="1123">
        <f>IF(AV372=0,0,(AW372-AV372)/AV372*100)</f>
        <v>0</v>
      </c>
      <c r="BH372" s="1123">
        <f>IF(AW372=0,0,(AX372-AW372)/AW372*100)</f>
        <v>0</v>
      </c>
      <c r="BI372" s="1123">
        <f>IF(AX372=0,0,(AY372-AX372)/AX372*100)</f>
        <v>0</v>
      </c>
      <c r="BJ372" s="1123">
        <f>IF(AY372=0,0,(AZ372-AY372)/AY372*100)</f>
        <v>0</v>
      </c>
      <c r="BK372" s="1123">
        <f>IF(AZ372=0,0,(BA372-AZ372)/AZ372*100)</f>
        <v>0</v>
      </c>
      <c r="BL372" s="1123">
        <f>IF(BA372=0,0,(BB372-BA372)/BA372*100)</f>
        <v>0</v>
      </c>
      <c r="BM372" s="1123">
        <f>IF(BB372=0,0,(BC372-BB372)/BB372*100)</f>
        <v>0</v>
      </c>
      <c r="BN372" s="6290"/>
      <c r="BO372" s="6294" t="str">
        <f>IF(_xlfn.IFERROR(INDEX(Покупка!$K$26:$L$327,MATCH($F372&amp;"8komm",Покупка!$K$26:$K$327,0),2),"")=0,"",_xlfn.IFERROR(INDEX(Покупка!$K$26:$L$327,MATCH($F372&amp;"8komm",Покупка!$K$26:$K$327,0),2),""))</f>
        <v>Приказ Генерального директора ОАО "СКЭК" от 31.12.2019 № 344 "О внесении изменений в Учетную политику" (Пункт 1.11, об учете и распределении затрат по  тепловой энергии на производственные нужды котельных  НФС и ОСВ г. Ленинск-Кузнецкий).</v>
      </c>
      <c r="BP372" s="6290"/>
      <c r="BQ372" s="1297"/>
      <c r="BR372" s="1297"/>
      <c r="BS372" s="1072" t="s">
        <v>1316</v>
      </c>
      <c r="BT372" s="1072"/>
      <c r="BU372" s="1072"/>
      <c r="BV372" s="987"/>
      <c r="BW372" s="987"/>
    </row>
    <row s="1656" customFormat="1" customHeight="1" ht="14.25">
      <c r="A373" s="1297"/>
      <c r="B373" s="986"/>
      <c r="C373" s="103"/>
      <c r="D373" s="103"/>
      <c r="E373" s="626">
        <v>15</v>
      </c>
      <c r="F373" s="50" cm="1" t="str">
        <f t="array" ref="F373:F373">OFFSET(E373,-1,1)</f>
        <v>2</v>
      </c>
      <c r="G373" s="103"/>
      <c r="H373" s="103"/>
      <c r="I373" s="103" t="s">
        <v>2286</v>
      </c>
      <c r="J373" s="103"/>
      <c r="K373" s="103" t="s">
        <v>2286</v>
      </c>
      <c r="L373" s="988"/>
      <c r="M373" s="103"/>
      <c r="N373" s="103"/>
      <c r="O373" s="103"/>
      <c r="P373" s="103"/>
      <c r="Q373" s="103"/>
      <c r="R373" s="103"/>
      <c r="S373" s="103"/>
      <c r="T373" s="468" cm="1" t="str">
        <f t="array" ref="T373:T373">T372</f>
        <v>true</v>
      </c>
      <c r="U373" s="103"/>
      <c r="V373" s="103"/>
      <c r="W373" s="103"/>
      <c r="X373" s="1559"/>
      <c r="Y373" s="1297"/>
      <c r="Z373" s="1529"/>
      <c r="AA373" s="1297"/>
      <c r="AB373" s="296" t="s">
        <v>2287</v>
      </c>
      <c r="AC373" s="772" t="s">
        <v>2288</v>
      </c>
      <c r="AD373" s="296" t="s">
        <v>936</v>
      </c>
      <c r="AE373" s="6293"/>
      <c r="AF373" s="6293"/>
      <c r="AG373" s="6293"/>
      <c r="AH373" s="1123">
        <f>AG373-AF373</f>
        <v>0</v>
      </c>
      <c r="AI373" s="6293"/>
      <c r="AJ373" s="6293"/>
      <c r="AK373" s="1260"/>
      <c r="AL373" s="1260"/>
      <c r="AM373" s="1260"/>
      <c r="AN373" s="1260"/>
      <c r="AO373" s="1260"/>
      <c r="AP373" s="1260"/>
      <c r="AQ373" s="1260"/>
      <c r="AR373" s="1260"/>
      <c r="AS373" s="1260"/>
      <c r="AT373" s="6293"/>
      <c r="AU373" s="1260"/>
      <c r="AV373" s="1260"/>
      <c r="AW373" s="1260"/>
      <c r="AX373" s="1260"/>
      <c r="AY373" s="1260"/>
      <c r="AZ373" s="1260"/>
      <c r="BA373" s="1260"/>
      <c r="BB373" s="1260"/>
      <c r="BC373" s="1260"/>
      <c r="BD373" s="1123">
        <f>IF(AI373=0,0,(AT373-AI373)/AI373*100)</f>
        <v>0</v>
      </c>
      <c r="BE373" s="1123">
        <f>IF(AT373=0,0,(AU373-AT373)/AT373*100)</f>
        <v>0</v>
      </c>
      <c r="BF373" s="1123">
        <f>IF(AU373=0,0,(AV373-AU373)/AU373*100)</f>
        <v>0</v>
      </c>
      <c r="BG373" s="1123">
        <f>IF(AV373=0,0,(AW373-AV373)/AV373*100)</f>
        <v>0</v>
      </c>
      <c r="BH373" s="1123">
        <f>IF(AW373=0,0,(AX373-AW373)/AW373*100)</f>
        <v>0</v>
      </c>
      <c r="BI373" s="1123">
        <f>IF(AX373=0,0,(AY373-AX373)/AX373*100)</f>
        <v>0</v>
      </c>
      <c r="BJ373" s="1123">
        <f>IF(AY373=0,0,(AZ373-AY373)/AY373*100)</f>
        <v>0</v>
      </c>
      <c r="BK373" s="1123">
        <f>IF(AZ373=0,0,(BA373-AZ373)/AZ373*100)</f>
        <v>0</v>
      </c>
      <c r="BL373" s="1123">
        <f>IF(BA373=0,0,(BB373-BA373)/BA373*100)</f>
        <v>0</v>
      </c>
      <c r="BM373" s="1123">
        <f>IF(BB373=0,0,(BC373-BB373)/BB373*100)</f>
        <v>0</v>
      </c>
      <c r="BN373" s="6290"/>
      <c r="BO373" s="6290"/>
      <c r="BP373" s="6290"/>
      <c r="BQ373" s="1297"/>
      <c r="BR373" s="1297"/>
      <c r="BS373" s="1072" t="s">
        <v>2289</v>
      </c>
      <c r="BT373" s="1072"/>
      <c r="BU373" s="1072"/>
      <c r="BV373" s="987"/>
      <c r="BW373" s="987"/>
    </row>
    <row s="1656" customFormat="1" customHeight="1" ht="14.25">
      <c r="A374" s="1297"/>
      <c r="B374" s="986"/>
      <c r="C374" s="103"/>
      <c r="D374" s="103"/>
      <c r="E374" s="626">
        <v>15</v>
      </c>
      <c r="F374" s="50" cm="1" t="str">
        <f t="array" ref="F374:F374">OFFSET(E374,-1,1)</f>
        <v>2</v>
      </c>
      <c r="G374" s="103"/>
      <c r="H374" s="103"/>
      <c r="I374" s="103" t="s">
        <v>2290</v>
      </c>
      <c r="J374" s="103"/>
      <c r="K374" s="103" t="s">
        <v>2290</v>
      </c>
      <c r="L374" s="988"/>
      <c r="M374" s="103"/>
      <c r="N374" s="103"/>
      <c r="O374" s="103"/>
      <c r="P374" s="103"/>
      <c r="Q374" s="103"/>
      <c r="R374" s="103"/>
      <c r="S374" s="103"/>
      <c r="T374" s="468" cm="1" t="str">
        <f t="array" ref="T374:T374">T373</f>
        <v>true</v>
      </c>
      <c r="U374" s="103"/>
      <c r="V374" s="103"/>
      <c r="W374" s="103"/>
      <c r="X374" s="1559"/>
      <c r="Y374" s="1297"/>
      <c r="Z374" s="1529"/>
      <c r="AA374" s="1297"/>
      <c r="AB374" s="296" t="s">
        <v>2291</v>
      </c>
      <c r="AC374" s="772" t="s">
        <v>2292</v>
      </c>
      <c r="AD374" s="296" t="s">
        <v>936</v>
      </c>
      <c r="AE374" s="6293"/>
      <c r="AF374" s="6293"/>
      <c r="AG374" s="6293"/>
      <c r="AH374" s="1123">
        <f>AG374-AF374</f>
        <v>0</v>
      </c>
      <c r="AI374" s="6293"/>
      <c r="AJ374" s="6293"/>
      <c r="AK374" s="1260"/>
      <c r="AL374" s="1260"/>
      <c r="AM374" s="1260"/>
      <c r="AN374" s="1260"/>
      <c r="AO374" s="1260"/>
      <c r="AP374" s="1260"/>
      <c r="AQ374" s="1260"/>
      <c r="AR374" s="1260"/>
      <c r="AS374" s="1260"/>
      <c r="AT374" s="6293"/>
      <c r="AU374" s="1260"/>
      <c r="AV374" s="1260"/>
      <c r="AW374" s="1260"/>
      <c r="AX374" s="1260"/>
      <c r="AY374" s="1260"/>
      <c r="AZ374" s="1260"/>
      <c r="BA374" s="1260"/>
      <c r="BB374" s="1260"/>
      <c r="BC374" s="1260"/>
      <c r="BD374" s="1123">
        <f>IF(AI374=0,0,(AT374-AI374)/AI374*100)</f>
        <v>0</v>
      </c>
      <c r="BE374" s="1123">
        <f>IF(AT374=0,0,(AU374-AT374)/AT374*100)</f>
        <v>0</v>
      </c>
      <c r="BF374" s="1123">
        <f>IF(AU374=0,0,(AV374-AU374)/AU374*100)</f>
        <v>0</v>
      </c>
      <c r="BG374" s="1123">
        <f>IF(AV374=0,0,(AW374-AV374)/AV374*100)</f>
        <v>0</v>
      </c>
      <c r="BH374" s="1123">
        <f>IF(AW374=0,0,(AX374-AW374)/AW374*100)</f>
        <v>0</v>
      </c>
      <c r="BI374" s="1123">
        <f>IF(AX374=0,0,(AY374-AX374)/AX374*100)</f>
        <v>0</v>
      </c>
      <c r="BJ374" s="1123">
        <f>IF(AY374=0,0,(AZ374-AY374)/AY374*100)</f>
        <v>0</v>
      </c>
      <c r="BK374" s="1123">
        <f>IF(AZ374=0,0,(BA374-AZ374)/AZ374*100)</f>
        <v>0</v>
      </c>
      <c r="BL374" s="1123">
        <f>IF(BA374=0,0,(BB374-BA374)/BA374*100)</f>
        <v>0</v>
      </c>
      <c r="BM374" s="1123">
        <f>IF(BB374=0,0,(BC374-BB374)/BB374*100)</f>
        <v>0</v>
      </c>
      <c r="BN374" s="6290"/>
      <c r="BO374" s="6290"/>
      <c r="BP374" s="6290"/>
      <c r="BQ374" s="1297"/>
      <c r="BR374" s="1297"/>
      <c r="BS374" s="1072" t="s">
        <v>2293</v>
      </c>
      <c r="BT374" s="1072"/>
      <c r="BU374" s="1072"/>
      <c r="BV374" s="987"/>
      <c r="BW374" s="987"/>
    </row>
    <row s="1656" customFormat="1" customHeight="1" ht="14.25">
      <c r="A375" s="1297"/>
      <c r="B375" s="986"/>
      <c r="C375" s="103"/>
      <c r="D375" s="103"/>
      <c r="E375" s="626">
        <v>15</v>
      </c>
      <c r="F375" s="50" cm="1" t="str">
        <f t="array" ref="F375:F375">OFFSET(E375,-1,1)</f>
        <v>2</v>
      </c>
      <c r="G375" s="103" t="s">
        <v>1267</v>
      </c>
      <c r="H375" s="103"/>
      <c r="I375" s="103" t="s">
        <v>2294</v>
      </c>
      <c r="J375" s="103"/>
      <c r="K375" s="103" t="s">
        <v>2294</v>
      </c>
      <c r="L375" s="988" t="s">
        <v>1745</v>
      </c>
      <c r="M375" s="103"/>
      <c r="N375" s="103"/>
      <c r="O375" s="103"/>
      <c r="P375" s="103"/>
      <c r="Q375" s="103"/>
      <c r="R375" s="103"/>
      <c r="S375" s="103"/>
      <c r="T375" s="468" cm="1" t="str">
        <f t="array" ref="T375:T375">T374</f>
        <v>true</v>
      </c>
      <c r="U375" s="103"/>
      <c r="V375" s="103"/>
      <c r="W375" s="103"/>
      <c r="X375" s="1559"/>
      <c r="Y375" s="1297"/>
      <c r="Z375" s="1529"/>
      <c r="AA375" s="1297"/>
      <c r="AB375" s="296" t="s">
        <v>2295</v>
      </c>
      <c r="AC375" s="772" t="s">
        <v>2296</v>
      </c>
      <c r="AD375" s="296" t="s">
        <v>936</v>
      </c>
      <c r="AE375" s="1123">
        <f>_xlfn.SUMIFS(Покупка!AE$25:AE$327,Покупка!$F$25:$F$327,$F375,Покупка!$AC$25:$AC$327,$G375)</f>
        <v>0</v>
      </c>
      <c r="AF375" s="1123">
        <f>_xlfn.SUMIFS(Покупка!AF$25:AF$327,Покупка!$F$25:$F$327,$F375,Покупка!$AC$25:$AC$327,$G375)</f>
        <v>0</v>
      </c>
      <c r="AG375" s="1123">
        <f>_xlfn.SUMIFS(Покупка!AG$25:AG$327,Покупка!$F$25:$F$327,$F375,Покупка!$AC$25:$AC$327,$G375)</f>
        <v>0</v>
      </c>
      <c r="AH375" s="1123">
        <f>AG375-AF375</f>
        <v>0</v>
      </c>
      <c r="AI375" s="1123">
        <f>_xlfn.SUMIFS(Покупка!AH$25:AH$327,Покупка!$F$25:$F$327,$F375,Покупка!$AC$25:$AC$327,$G375)</f>
        <v>0</v>
      </c>
      <c r="AJ375" s="1123">
        <f>_xlfn.SUMIFS(Покупка!AI$25:AI$327,Покупка!$F$25:$F$327,$F375,Покупка!$AC$25:$AC$327,$G375)</f>
        <v>0</v>
      </c>
      <c r="AK375" s="1123">
        <f>_xlfn.SUMIFS(Покупка!AJ$25:AJ$327,Покупка!$F$25:$F$327,$F375,Покупка!$AC$25:$AC$327,$G375)</f>
        <v>0</v>
      </c>
      <c r="AL375" s="1123">
        <f>_xlfn.SUMIFS(Покупка!AK$25:AK$327,Покупка!$F$25:$F$327,$F375,Покупка!$AC$25:$AC$327,$G375)</f>
        <v>0</v>
      </c>
      <c r="AM375" s="1123">
        <f>_xlfn.SUMIFS(Покупка!AL$25:AL$327,Покупка!$F$25:$F$327,$F375,Покупка!$AC$25:$AC$327,$G375)</f>
        <v>0</v>
      </c>
      <c r="AN375" s="1123">
        <f>_xlfn.SUMIFS(Покупка!AM$25:AM$327,Покупка!$F$25:$F$327,$F375,Покупка!$AC$25:$AC$327,$G375)</f>
        <v>0</v>
      </c>
      <c r="AO375" s="1123">
        <f>_xlfn.SUMIFS(Покупка!AN$25:AN$327,Покупка!$F$25:$F$327,$F375,Покупка!$AC$25:$AC$327,$G375)</f>
        <v>0</v>
      </c>
      <c r="AP375" s="1123">
        <f>_xlfn.SUMIFS(Покупка!AO$25:AO$327,Покупка!$F$25:$F$327,$F375,Покупка!$AC$25:$AC$327,$G375)</f>
        <v>0</v>
      </c>
      <c r="AQ375" s="1123">
        <f>_xlfn.SUMIFS(Покупка!AP$25:AP$327,Покупка!$F$25:$F$327,$F375,Покупка!$AC$25:$AC$327,$G375)</f>
        <v>0</v>
      </c>
      <c r="AR375" s="1123">
        <f>_xlfn.SUMIFS(Покупка!AQ$25:AQ$327,Покупка!$F$25:$F$327,$F375,Покупка!$AC$25:$AC$327,$G375)</f>
        <v>0</v>
      </c>
      <c r="AS375" s="1123">
        <f>_xlfn.SUMIFS(Покупка!AR$25:AR$327,Покупка!$F$25:$F$327,$F375,Покупка!$AC$25:$AC$327,$G375)</f>
        <v>0</v>
      </c>
      <c r="AT375" s="1123">
        <f>_xlfn.SUMIFS(Покупка!AS$25:AS$327,Покупка!$F$25:$F$327,$F375,Покупка!$AC$25:$AC$327,$G375)</f>
        <v>0</v>
      </c>
      <c r="AU375" s="1123">
        <f>_xlfn.SUMIFS(Покупка!AT$25:AT$327,Покупка!$F$25:$F$327,$F375,Покупка!$AC$25:$AC$327,$G375)</f>
        <v>0</v>
      </c>
      <c r="AV375" s="1123">
        <f>_xlfn.SUMIFS(Покупка!AU$25:AU$327,Покупка!$F$25:$F$327,$F375,Покупка!$AC$25:$AC$327,$G375)</f>
        <v>0</v>
      </c>
      <c r="AW375" s="1123">
        <f>_xlfn.SUMIFS(Покупка!AV$25:AV$327,Покупка!$F$25:$F$327,$F375,Покупка!$AC$25:$AC$327,$G375)</f>
        <v>0</v>
      </c>
      <c r="AX375" s="1123">
        <f>_xlfn.SUMIFS(Покупка!AW$25:AW$327,Покупка!$F$25:$F$327,$F375,Покупка!$AC$25:$AC$327,$G375)</f>
        <v>0</v>
      </c>
      <c r="AY375" s="1123">
        <f>_xlfn.SUMIFS(Покупка!AX$25:AX$327,Покупка!$F$25:$F$327,$F375,Покупка!$AC$25:$AC$327,$G375)</f>
        <v>0</v>
      </c>
      <c r="AZ375" s="1123">
        <f>_xlfn.SUMIFS(Покупка!AY$25:AY$327,Покупка!$F$25:$F$327,$F375,Покупка!$AC$25:$AC$327,$G375)</f>
        <v>0</v>
      </c>
      <c r="BA375" s="1123">
        <f>_xlfn.SUMIFS(Покупка!AZ$25:AZ$327,Покупка!$F$25:$F$327,$F375,Покупка!$AC$25:$AC$327,$G375)</f>
        <v>0</v>
      </c>
      <c r="BB375" s="1123">
        <f>_xlfn.SUMIFS(Покупка!BA$25:BA$327,Покупка!$F$25:$F$327,$F375,Покупка!$AC$25:$AC$327,$G375)</f>
        <v>0</v>
      </c>
      <c r="BC375" s="1123">
        <f>_xlfn.SUMIFS(Покупка!BB$25:BB$327,Покупка!$F$25:$F$327,$F375,Покупка!$AC$25:$AC$327,$G375)</f>
        <v>0</v>
      </c>
      <c r="BD375" s="1123">
        <f>IF(AI375=0,0,(AT375-AI375)/AI375*100)</f>
        <v>0</v>
      </c>
      <c r="BE375" s="1123">
        <f>IF(AT375=0,0,(AU375-AT375)/AT375*100)</f>
        <v>0</v>
      </c>
      <c r="BF375" s="1123">
        <f>IF(AU375=0,0,(AV375-AU375)/AU375*100)</f>
        <v>0</v>
      </c>
      <c r="BG375" s="1123">
        <f>IF(AV375=0,0,(AW375-AV375)/AV375*100)</f>
        <v>0</v>
      </c>
      <c r="BH375" s="1123">
        <f>IF(AW375=0,0,(AX375-AW375)/AW375*100)</f>
        <v>0</v>
      </c>
      <c r="BI375" s="1123">
        <f>IF(AX375=0,0,(AY375-AX375)/AX375*100)</f>
        <v>0</v>
      </c>
      <c r="BJ375" s="1123">
        <f>IF(AY375=0,0,(AZ375-AY375)/AY375*100)</f>
        <v>0</v>
      </c>
      <c r="BK375" s="1123">
        <f>IF(AZ375=0,0,(BA375-AZ375)/AZ375*100)</f>
        <v>0</v>
      </c>
      <c r="BL375" s="1123">
        <f>IF(BA375=0,0,(BB375-BA375)/BA375*100)</f>
        <v>0</v>
      </c>
      <c r="BM375" s="1123">
        <f>IF(BB375=0,0,(BC375-BB375)/BB375*100)</f>
        <v>0</v>
      </c>
      <c r="BN375" s="6290"/>
      <c r="BO375" s="6294" t="str">
        <f>IF(_xlfn.IFERROR(INDEX(Покупка!$K$26:$L$327,MATCH($F375&amp;"3komm",Покупка!$K$26:$K$327,0),2),"")=0,"",_xlfn.IFERROR(INDEX(Покупка!$K$26:$L$327,MATCH($F375&amp;"3komm",Покупка!$K$26:$K$327,0),2),""))</f>
        <v/>
      </c>
      <c r="BP375" s="6290"/>
      <c r="BQ375" s="1297"/>
      <c r="BR375" s="1297"/>
      <c r="BS375" s="1072" t="s">
        <v>1997</v>
      </c>
      <c r="BT375" s="1072"/>
      <c r="BU375" s="1072"/>
      <c r="BV375" s="987"/>
      <c r="BW375" s="987"/>
    </row>
    <row s="1656" customFormat="1" customHeight="1" ht="14.25">
      <c r="A376" s="1297"/>
      <c r="B376" s="986"/>
      <c r="C376" s="103"/>
      <c r="D376" s="103"/>
      <c r="E376" s="626">
        <v>15</v>
      </c>
      <c r="F376" s="50" cm="1" t="str">
        <f t="array" ref="F376:F376">OFFSET(E376,-1,1)</f>
        <v>2</v>
      </c>
      <c r="G376" s="103" t="s">
        <v>1273</v>
      </c>
      <c r="H376" s="103"/>
      <c r="I376" s="103" t="s">
        <v>2297</v>
      </c>
      <c r="J376" s="103"/>
      <c r="K376" s="103" t="s">
        <v>2297</v>
      </c>
      <c r="L376" s="988" t="s">
        <v>1750</v>
      </c>
      <c r="M376" s="103"/>
      <c r="N376" s="103"/>
      <c r="O376" s="103"/>
      <c r="P376" s="103"/>
      <c r="Q376" s="103"/>
      <c r="R376" s="103"/>
      <c r="S376" s="103"/>
      <c r="T376" s="468" cm="1" t="str">
        <f t="array" ref="T376:T376">T375</f>
        <v>true</v>
      </c>
      <c r="U376" s="103"/>
      <c r="V376" s="103"/>
      <c r="W376" s="103"/>
      <c r="X376" s="1559"/>
      <c r="Y376" s="1297"/>
      <c r="Z376" s="1529"/>
      <c r="AA376" s="1297"/>
      <c r="AB376" s="296" t="s">
        <v>2298</v>
      </c>
      <c r="AC376" s="772" t="s">
        <v>2299</v>
      </c>
      <c r="AD376" s="296" t="s">
        <v>936</v>
      </c>
      <c r="AE376" s="1123">
        <f>_xlfn.SUMIFS(Покупка!AE$25:AE$327,Покупка!$F$25:$F$327,$F376,Покупка!$AC$25:$AC$327,$G376)</f>
        <v>0</v>
      </c>
      <c r="AF376" s="1123">
        <f>_xlfn.SUMIFS(Покупка!AF$25:AF$327,Покупка!$F$25:$F$327,$F376,Покупка!$AC$25:$AC$327,$G376)</f>
        <v>0</v>
      </c>
      <c r="AG376" s="1123">
        <f>_xlfn.SUMIFS(Покупка!AG$25:AG$327,Покупка!$F$25:$F$327,$F376,Покупка!$AC$25:$AC$327,$G376)</f>
        <v>0</v>
      </c>
      <c r="AH376" s="1123">
        <f>AG376-AF376</f>
        <v>0</v>
      </c>
      <c r="AI376" s="1123">
        <f>_xlfn.SUMIFS(Покупка!AH$25:AH$327,Покупка!$F$25:$F$327,$F376,Покупка!$AC$25:$AC$327,$G376)</f>
        <v>0</v>
      </c>
      <c r="AJ376" s="1123">
        <f>_xlfn.SUMIFS(Покупка!AI$25:AI$327,Покупка!$F$25:$F$327,$F376,Покупка!$AC$25:$AC$327,$G376)</f>
        <v>0</v>
      </c>
      <c r="AK376" s="1123">
        <f>_xlfn.SUMIFS(Покупка!AJ$25:AJ$327,Покупка!$F$25:$F$327,$F376,Покупка!$AC$25:$AC$327,$G376)</f>
        <v>0</v>
      </c>
      <c r="AL376" s="1123">
        <f>_xlfn.SUMIFS(Покупка!AK$25:AK$327,Покупка!$F$25:$F$327,$F376,Покупка!$AC$25:$AC$327,$G376)</f>
        <v>0</v>
      </c>
      <c r="AM376" s="1123">
        <f>_xlfn.SUMIFS(Покупка!AL$25:AL$327,Покупка!$F$25:$F$327,$F376,Покупка!$AC$25:$AC$327,$G376)</f>
        <v>0</v>
      </c>
      <c r="AN376" s="1123">
        <f>_xlfn.SUMIFS(Покупка!AM$25:AM$327,Покупка!$F$25:$F$327,$F376,Покупка!$AC$25:$AC$327,$G376)</f>
        <v>0</v>
      </c>
      <c r="AO376" s="1123">
        <f>_xlfn.SUMIFS(Покупка!AN$25:AN$327,Покупка!$F$25:$F$327,$F376,Покупка!$AC$25:$AC$327,$G376)</f>
        <v>0</v>
      </c>
      <c r="AP376" s="1123">
        <f>_xlfn.SUMIFS(Покупка!AO$25:AO$327,Покупка!$F$25:$F$327,$F376,Покупка!$AC$25:$AC$327,$G376)</f>
        <v>0</v>
      </c>
      <c r="AQ376" s="1123">
        <f>_xlfn.SUMIFS(Покупка!AP$25:AP$327,Покупка!$F$25:$F$327,$F376,Покупка!$AC$25:$AC$327,$G376)</f>
        <v>0</v>
      </c>
      <c r="AR376" s="1123">
        <f>_xlfn.SUMIFS(Покупка!AQ$25:AQ$327,Покупка!$F$25:$F$327,$F376,Покупка!$AC$25:$AC$327,$G376)</f>
        <v>0</v>
      </c>
      <c r="AS376" s="1123">
        <f>_xlfn.SUMIFS(Покупка!AR$25:AR$327,Покупка!$F$25:$F$327,$F376,Покупка!$AC$25:$AC$327,$G376)</f>
        <v>0</v>
      </c>
      <c r="AT376" s="1123">
        <f>_xlfn.SUMIFS(Покупка!AS$25:AS$327,Покупка!$F$25:$F$327,$F376,Покупка!$AC$25:$AC$327,$G376)</f>
        <v>0</v>
      </c>
      <c r="AU376" s="1123">
        <f>_xlfn.SUMIFS(Покупка!AT$25:AT$327,Покупка!$F$25:$F$327,$F376,Покупка!$AC$25:$AC$327,$G376)</f>
        <v>0</v>
      </c>
      <c r="AV376" s="1123">
        <f>_xlfn.SUMIFS(Покупка!AU$25:AU$327,Покупка!$F$25:$F$327,$F376,Покупка!$AC$25:$AC$327,$G376)</f>
        <v>0</v>
      </c>
      <c r="AW376" s="1123">
        <f>_xlfn.SUMIFS(Покупка!AV$25:AV$327,Покупка!$F$25:$F$327,$F376,Покупка!$AC$25:$AC$327,$G376)</f>
        <v>0</v>
      </c>
      <c r="AX376" s="1123">
        <f>_xlfn.SUMIFS(Покупка!AW$25:AW$327,Покупка!$F$25:$F$327,$F376,Покупка!$AC$25:$AC$327,$G376)</f>
        <v>0</v>
      </c>
      <c r="AY376" s="1123">
        <f>_xlfn.SUMIFS(Покупка!AX$25:AX$327,Покупка!$F$25:$F$327,$F376,Покупка!$AC$25:$AC$327,$G376)</f>
        <v>0</v>
      </c>
      <c r="AZ376" s="1123">
        <f>_xlfn.SUMIFS(Покупка!AY$25:AY$327,Покупка!$F$25:$F$327,$F376,Покупка!$AC$25:$AC$327,$G376)</f>
        <v>0</v>
      </c>
      <c r="BA376" s="1123">
        <f>_xlfn.SUMIFS(Покупка!AZ$25:AZ$327,Покупка!$F$25:$F$327,$F376,Покупка!$AC$25:$AC$327,$G376)</f>
        <v>0</v>
      </c>
      <c r="BB376" s="1123">
        <f>_xlfn.SUMIFS(Покупка!BA$25:BA$327,Покупка!$F$25:$F$327,$F376,Покупка!$AC$25:$AC$327,$G376)</f>
        <v>0</v>
      </c>
      <c r="BC376" s="1123">
        <f>_xlfn.SUMIFS(Покупка!BB$25:BB$327,Покупка!$F$25:$F$327,$F376,Покупка!$AC$25:$AC$327,$G376)</f>
        <v>0</v>
      </c>
      <c r="BD376" s="1123">
        <f>IF(AI376=0,0,(AT376-AI376)/AI376*100)</f>
        <v>0</v>
      </c>
      <c r="BE376" s="1123">
        <f>IF(AT376=0,0,(AU376-AT376)/AT376*100)</f>
        <v>0</v>
      </c>
      <c r="BF376" s="1123">
        <f>IF(AU376=0,0,(AV376-AU376)/AU376*100)</f>
        <v>0</v>
      </c>
      <c r="BG376" s="1123">
        <f>IF(AV376=0,0,(AW376-AV376)/AV376*100)</f>
        <v>0</v>
      </c>
      <c r="BH376" s="1123">
        <f>IF(AW376=0,0,(AX376-AW376)/AW376*100)</f>
        <v>0</v>
      </c>
      <c r="BI376" s="1123">
        <f>IF(AX376=0,0,(AY376-AX376)/AX376*100)</f>
        <v>0</v>
      </c>
      <c r="BJ376" s="1123">
        <f>IF(AY376=0,0,(AZ376-AY376)/AY376*100)</f>
        <v>0</v>
      </c>
      <c r="BK376" s="1123">
        <f>IF(AZ376=0,0,(BA376-AZ376)/AZ376*100)</f>
        <v>0</v>
      </c>
      <c r="BL376" s="1123">
        <f>IF(BA376=0,0,(BB376-BA376)/BA376*100)</f>
        <v>0</v>
      </c>
      <c r="BM376" s="1123">
        <f>IF(BB376=0,0,(BC376-BB376)/BB376*100)</f>
        <v>0</v>
      </c>
      <c r="BN376" s="6290"/>
      <c r="BO376" s="6294" t="str">
        <f>IF(_xlfn.IFERROR(INDEX(Покупка!$K$26:$L$327,MATCH($F376&amp;"4komm",Покупка!$K$26:$K$327,0),2),"")=0,"",_xlfn.IFERROR(INDEX(Покупка!$K$26:$L$327,MATCH($F375&amp;"3komm",Покупка!$K$26:$K$327,0),2),""))</f>
        <v/>
      </c>
      <c r="BP376" s="6290"/>
      <c r="BQ376" s="1297"/>
      <c r="BR376" s="1297"/>
      <c r="BS376" s="1072" t="s">
        <v>2000</v>
      </c>
      <c r="BT376" s="1072"/>
      <c r="BU376" s="1072"/>
      <c r="BV376" s="987"/>
      <c r="BW376" s="987"/>
    </row>
    <row s="1656" customFormat="1" customHeight="1" ht="14.25">
      <c r="A377" s="1297"/>
      <c r="B377" s="986"/>
      <c r="C377" s="103"/>
      <c r="D377" s="103"/>
      <c r="E377" s="626">
        <v>15</v>
      </c>
      <c r="F377" s="50" cm="1" t="str">
        <f t="array" ref="F377:F377">OFFSET(E377,-1,1)</f>
        <v>2</v>
      </c>
      <c r="G377" s="103" t="s">
        <v>1280</v>
      </c>
      <c r="H377" s="103"/>
      <c r="I377" s="103" t="s">
        <v>2300</v>
      </c>
      <c r="J377" s="103"/>
      <c r="K377" s="103" t="s">
        <v>2300</v>
      </c>
      <c r="L377" s="988" t="s">
        <v>1760</v>
      </c>
      <c r="M377" s="103"/>
      <c r="N377" s="103"/>
      <c r="O377" s="103"/>
      <c r="P377" s="103"/>
      <c r="Q377" s="103"/>
      <c r="R377" s="103"/>
      <c r="S377" s="103"/>
      <c r="T377" s="468" cm="1" t="str">
        <f t="array" ref="T377:T377">T376</f>
        <v>true</v>
      </c>
      <c r="U377" s="103"/>
      <c r="V377" s="103"/>
      <c r="W377" s="103"/>
      <c r="X377" s="1559"/>
      <c r="Y377" s="1297"/>
      <c r="Z377" s="1529"/>
      <c r="AA377" s="1297"/>
      <c r="AB377" s="296" t="s">
        <v>2301</v>
      </c>
      <c r="AC377" s="772" t="s">
        <v>2302</v>
      </c>
      <c r="AD377" s="296" t="s">
        <v>936</v>
      </c>
      <c r="AE377" s="1123">
        <f>_xlfn.SUMIFS(Покупка!AE$25:AE$327,Покупка!$F$25:$F$327,$F377,Покупка!$AC$25:$AC$327,$G377)</f>
        <v>0</v>
      </c>
      <c r="AF377" s="1123">
        <f>_xlfn.SUMIFS(Покупка!AF$25:AF$327,Покупка!$F$25:$F$327,$F377,Покупка!$AC$25:$AC$327,$G377)</f>
        <v>0</v>
      </c>
      <c r="AG377" s="1123">
        <f>_xlfn.SUMIFS(Покупка!AG$25:AG$327,Покупка!$F$25:$F$327,$F377,Покупка!$AC$25:$AC$327,$G377)</f>
        <v>0</v>
      </c>
      <c r="AH377" s="1123">
        <f>AG377-AF377</f>
        <v>0</v>
      </c>
      <c r="AI377" s="1123">
        <f>_xlfn.SUMIFS(Покупка!AH$25:AH$327,Покупка!$F$25:$F$327,$F377,Покупка!$AC$25:$AC$327,$G377)</f>
        <v>0</v>
      </c>
      <c r="AJ377" s="1123">
        <f>_xlfn.SUMIFS(Покупка!AI$25:AI$327,Покупка!$F$25:$F$327,$F377,Покупка!$AC$25:$AC$327,$G377)</f>
        <v>0</v>
      </c>
      <c r="AK377" s="1123">
        <f>_xlfn.SUMIFS(Покупка!AJ$25:AJ$327,Покупка!$F$25:$F$327,$F377,Покупка!$AC$25:$AC$327,$G377)</f>
        <v>0</v>
      </c>
      <c r="AL377" s="1123">
        <f>_xlfn.SUMIFS(Покупка!AK$25:AK$327,Покупка!$F$25:$F$327,$F377,Покупка!$AC$25:$AC$327,$G377)</f>
        <v>0</v>
      </c>
      <c r="AM377" s="1123">
        <f>_xlfn.SUMIFS(Покупка!AL$25:AL$327,Покупка!$F$25:$F$327,$F377,Покупка!$AC$25:$AC$327,$G377)</f>
        <v>0</v>
      </c>
      <c r="AN377" s="1123">
        <f>_xlfn.SUMIFS(Покупка!AM$25:AM$327,Покупка!$F$25:$F$327,$F377,Покупка!$AC$25:$AC$327,$G377)</f>
        <v>0</v>
      </c>
      <c r="AO377" s="1123">
        <f>_xlfn.SUMIFS(Покупка!AN$25:AN$327,Покупка!$F$25:$F$327,$F377,Покупка!$AC$25:$AC$327,$G377)</f>
        <v>0</v>
      </c>
      <c r="AP377" s="1123">
        <f>_xlfn.SUMIFS(Покупка!AO$25:AO$327,Покупка!$F$25:$F$327,$F377,Покупка!$AC$25:$AC$327,$G377)</f>
        <v>0</v>
      </c>
      <c r="AQ377" s="1123">
        <f>_xlfn.SUMIFS(Покупка!AP$25:AP$327,Покупка!$F$25:$F$327,$F377,Покупка!$AC$25:$AC$327,$G377)</f>
        <v>0</v>
      </c>
      <c r="AR377" s="1123">
        <f>_xlfn.SUMIFS(Покупка!AQ$25:AQ$327,Покупка!$F$25:$F$327,$F377,Покупка!$AC$25:$AC$327,$G377)</f>
        <v>0</v>
      </c>
      <c r="AS377" s="1123">
        <f>_xlfn.SUMIFS(Покупка!AR$25:AR$327,Покупка!$F$25:$F$327,$F377,Покупка!$AC$25:$AC$327,$G377)</f>
        <v>0</v>
      </c>
      <c r="AT377" s="1123">
        <f>_xlfn.SUMIFS(Покупка!AS$25:AS$327,Покупка!$F$25:$F$327,$F377,Покупка!$AC$25:$AC$327,$G377)</f>
        <v>0</v>
      </c>
      <c r="AU377" s="1123">
        <f>_xlfn.SUMIFS(Покупка!AT$25:AT$327,Покупка!$F$25:$F$327,$F377,Покупка!$AC$25:$AC$327,$G377)</f>
        <v>0</v>
      </c>
      <c r="AV377" s="1123">
        <f>_xlfn.SUMIFS(Покупка!AU$25:AU$327,Покупка!$F$25:$F$327,$F377,Покупка!$AC$25:$AC$327,$G377)</f>
        <v>0</v>
      </c>
      <c r="AW377" s="1123">
        <f>_xlfn.SUMIFS(Покупка!AV$25:AV$327,Покупка!$F$25:$F$327,$F377,Покупка!$AC$25:$AC$327,$G377)</f>
        <v>0</v>
      </c>
      <c r="AX377" s="1123">
        <f>_xlfn.SUMIFS(Покупка!AW$25:AW$327,Покупка!$F$25:$F$327,$F377,Покупка!$AC$25:$AC$327,$G377)</f>
        <v>0</v>
      </c>
      <c r="AY377" s="1123">
        <f>_xlfn.SUMIFS(Покупка!AX$25:AX$327,Покупка!$F$25:$F$327,$F377,Покупка!$AC$25:$AC$327,$G377)</f>
        <v>0</v>
      </c>
      <c r="AZ377" s="1123">
        <f>_xlfn.SUMIFS(Покупка!AY$25:AY$327,Покупка!$F$25:$F$327,$F377,Покупка!$AC$25:$AC$327,$G377)</f>
        <v>0</v>
      </c>
      <c r="BA377" s="1123">
        <f>_xlfn.SUMIFS(Покупка!AZ$25:AZ$327,Покупка!$F$25:$F$327,$F377,Покупка!$AC$25:$AC$327,$G377)</f>
        <v>0</v>
      </c>
      <c r="BB377" s="1123">
        <f>_xlfn.SUMIFS(Покупка!BA$25:BA$327,Покупка!$F$25:$F$327,$F377,Покупка!$AC$25:$AC$327,$G377)</f>
        <v>0</v>
      </c>
      <c r="BC377" s="1123">
        <f>_xlfn.SUMIFS(Покупка!BB$25:BB$327,Покупка!$F$25:$F$327,$F377,Покупка!$AC$25:$AC$327,$G377)</f>
        <v>0</v>
      </c>
      <c r="BD377" s="1123">
        <f>IF(AI377=0,0,(AT377-AI377)/AI377*100)</f>
        <v>0</v>
      </c>
      <c r="BE377" s="1123">
        <f>IF(AT377=0,0,(AU377-AT377)/AT377*100)</f>
        <v>0</v>
      </c>
      <c r="BF377" s="1123">
        <f>IF(AU377=0,0,(AV377-AU377)/AU377*100)</f>
        <v>0</v>
      </c>
      <c r="BG377" s="1123">
        <f>IF(AV377=0,0,(AW377-AV377)/AV377*100)</f>
        <v>0</v>
      </c>
      <c r="BH377" s="1123">
        <f>IF(AW377=0,0,(AX377-AW377)/AW377*100)</f>
        <v>0</v>
      </c>
      <c r="BI377" s="1123">
        <f>IF(AX377=0,0,(AY377-AX377)/AX377*100)</f>
        <v>0</v>
      </c>
      <c r="BJ377" s="1123">
        <f>IF(AY377=0,0,(AZ377-AY377)/AY377*100)</f>
        <v>0</v>
      </c>
      <c r="BK377" s="1123">
        <f>IF(AZ377=0,0,(BA377-AZ377)/AZ377*100)</f>
        <v>0</v>
      </c>
      <c r="BL377" s="1123">
        <f>IF(BA377=0,0,(BB377-BA377)/BA377*100)</f>
        <v>0</v>
      </c>
      <c r="BM377" s="1123">
        <f>IF(BB377=0,0,(BC377-BB377)/BB377*100)</f>
        <v>0</v>
      </c>
      <c r="BN377" s="6290"/>
      <c r="BO377" s="6294" t="str">
        <f>IF(_xlfn.IFERROR(INDEX(Покупка!$K$26:$L$327,MATCH($F377&amp;"5komm",Покупка!$K$26:$K$327,0),2),"")=0,"",_xlfn.IFERROR(INDEX(Покупка!$K$26:$L$327,MATCH($F377&amp;"5komm",Покупка!$K$26:$K$327,0),2),""))</f>
        <v/>
      </c>
      <c r="BP377" s="6290"/>
      <c r="BQ377" s="1297"/>
      <c r="BR377" s="1297"/>
      <c r="BS377" s="1072" t="s">
        <v>2003</v>
      </c>
      <c r="BT377" s="1072"/>
      <c r="BU377" s="1072"/>
      <c r="BV377" s="987"/>
      <c r="BW377" s="987"/>
    </row>
    <row s="1656" customFormat="1" customHeight="1" ht="14.25">
      <c r="A378" s="1297"/>
      <c r="B378" s="986"/>
      <c r="C378" s="103"/>
      <c r="D378" s="103"/>
      <c r="E378" s="626">
        <v>15</v>
      </c>
      <c r="F378" s="50" cm="1" t="str">
        <f t="array" ref="F378:F378">OFFSET(E378,-1,1)</f>
        <v>2</v>
      </c>
      <c r="G378" s="103" t="s">
        <v>1321</v>
      </c>
      <c r="H378" s="103"/>
      <c r="I378" s="103"/>
      <c r="J378" s="103"/>
      <c r="K378" s="103"/>
      <c r="L378" s="988" t="s">
        <v>1727</v>
      </c>
      <c r="M378" s="103"/>
      <c r="N378" s="103"/>
      <c r="O378" s="103"/>
      <c r="P378" s="103"/>
      <c r="Q378" s="103"/>
      <c r="R378" s="103"/>
      <c r="S378" s="103"/>
      <c r="T378" s="468" cm="1" t="str">
        <f t="array" ref="T378:T378">T377</f>
        <v>true</v>
      </c>
      <c r="U378" s="103"/>
      <c r="V378" s="103"/>
      <c r="W378" s="103"/>
      <c r="X378" s="1559"/>
      <c r="Y378" s="1297"/>
      <c r="Z378" s="1529"/>
      <c r="AA378" s="1297"/>
      <c r="AB378" s="296" t="s">
        <v>2303</v>
      </c>
      <c r="AC378" s="772" t="s">
        <v>2304</v>
      </c>
      <c r="AD378" s="296" t="s">
        <v>936</v>
      </c>
      <c r="AE378" s="1123">
        <f>_xlfn.SUMIFS(Покупка!AE$25:AE$327,Покупка!$F$25:$F$327,$F378,Покупка!$AC$25:$AC$327,$G378)</f>
        <v>0</v>
      </c>
      <c r="AF378" s="1123">
        <f>_xlfn.SUMIFS(Покупка!AF$25:AF$327,Покупка!$F$25:$F$327,$F378,Покупка!$AC$25:$AC$327,$G378)</f>
        <v>0</v>
      </c>
      <c r="AG378" s="1123">
        <f>_xlfn.SUMIFS(Покупка!AG$25:AG$327,Покупка!$F$25:$F$327,$F378,Покупка!$AC$25:$AC$327,$G378)</f>
        <v>0</v>
      </c>
      <c r="AH378" s="1123">
        <f>AG378-AF378</f>
        <v>0</v>
      </c>
      <c r="AI378" s="1123">
        <f>_xlfn.SUMIFS(Покупка!AH$25:AH$327,Покупка!$F$25:$F$327,$F378,Покупка!$AC$25:$AC$327,$G378)</f>
        <v>0</v>
      </c>
      <c r="AJ378" s="1123">
        <f>_xlfn.SUMIFS(Покупка!AI$25:AI$327,Покупка!$F$25:$F$327,$F378,Покупка!$AC$25:$AC$327,$G378)</f>
        <v>0</v>
      </c>
      <c r="AK378" s="1123">
        <f>_xlfn.SUMIFS(Покупка!AJ$25:AJ$327,Покупка!$F$25:$F$327,$F378,Покупка!$AC$25:$AC$327,$G378)</f>
        <v>0</v>
      </c>
      <c r="AL378" s="1123">
        <f>_xlfn.SUMIFS(Покупка!AK$25:AK$327,Покупка!$F$25:$F$327,$F378,Покупка!$AC$25:$AC$327,$G378)</f>
        <v>0</v>
      </c>
      <c r="AM378" s="1123">
        <f>_xlfn.SUMIFS(Покупка!AL$25:AL$327,Покупка!$F$25:$F$327,$F378,Покупка!$AC$25:$AC$327,$G378)</f>
        <v>0</v>
      </c>
      <c r="AN378" s="1123">
        <f>_xlfn.SUMIFS(Покупка!AM$25:AM$327,Покупка!$F$25:$F$327,$F378,Покупка!$AC$25:$AC$327,$G378)</f>
        <v>0</v>
      </c>
      <c r="AO378" s="1123">
        <f>_xlfn.SUMIFS(Покупка!AN$25:AN$327,Покупка!$F$25:$F$327,$F378,Покупка!$AC$25:$AC$327,$G378)</f>
        <v>0</v>
      </c>
      <c r="AP378" s="1123">
        <f>_xlfn.SUMIFS(Покупка!AO$25:AO$327,Покупка!$F$25:$F$327,$F378,Покупка!$AC$25:$AC$327,$G378)</f>
        <v>0</v>
      </c>
      <c r="AQ378" s="1123">
        <f>_xlfn.SUMIFS(Покупка!AP$25:AP$327,Покупка!$F$25:$F$327,$F378,Покупка!$AC$25:$AC$327,$G378)</f>
        <v>0</v>
      </c>
      <c r="AR378" s="1123">
        <f>_xlfn.SUMIFS(Покупка!AQ$25:AQ$327,Покупка!$F$25:$F$327,$F378,Покупка!$AC$25:$AC$327,$G378)</f>
        <v>0</v>
      </c>
      <c r="AS378" s="1123">
        <f>_xlfn.SUMIFS(Покупка!AR$25:AR$327,Покупка!$F$25:$F$327,$F378,Покупка!$AC$25:$AC$327,$G378)</f>
        <v>0</v>
      </c>
      <c r="AT378" s="1123">
        <f>_xlfn.SUMIFS(Покупка!AS$25:AS$327,Покупка!$F$25:$F$327,$F378,Покупка!$AC$25:$AC$327,$G378)</f>
        <v>10.67927</v>
      </c>
      <c r="AU378" s="1123">
        <f>_xlfn.SUMIFS(Покупка!AT$25:AT$327,Покупка!$F$25:$F$327,$F378,Покупка!$AC$25:$AC$327,$G378)</f>
        <v>0</v>
      </c>
      <c r="AV378" s="1123">
        <f>_xlfn.SUMIFS(Покупка!AU$25:AU$327,Покупка!$F$25:$F$327,$F378,Покупка!$AC$25:$AC$327,$G378)</f>
        <v>0</v>
      </c>
      <c r="AW378" s="1123">
        <f>_xlfn.SUMIFS(Покупка!AV$25:AV$327,Покупка!$F$25:$F$327,$F378,Покупка!$AC$25:$AC$327,$G378)</f>
        <v>0</v>
      </c>
      <c r="AX378" s="1123">
        <f>_xlfn.SUMIFS(Покупка!AW$25:AW$327,Покупка!$F$25:$F$327,$F378,Покупка!$AC$25:$AC$327,$G378)</f>
        <v>0</v>
      </c>
      <c r="AY378" s="1123">
        <f>_xlfn.SUMIFS(Покупка!AX$25:AX$327,Покупка!$F$25:$F$327,$F378,Покупка!$AC$25:$AC$327,$G378)</f>
        <v>0</v>
      </c>
      <c r="AZ378" s="1123">
        <f>_xlfn.SUMIFS(Покупка!AY$25:AY$327,Покупка!$F$25:$F$327,$F378,Покупка!$AC$25:$AC$327,$G378)</f>
        <v>0</v>
      </c>
      <c r="BA378" s="1123">
        <f>_xlfn.SUMIFS(Покупка!AZ$25:AZ$327,Покупка!$F$25:$F$327,$F378,Покупка!$AC$25:$AC$327,$G378)</f>
        <v>0</v>
      </c>
      <c r="BB378" s="1123">
        <f>_xlfn.SUMIFS(Покупка!BA$25:BA$327,Покупка!$F$25:$F$327,$F378,Покупка!$AC$25:$AC$327,$G378)</f>
        <v>0</v>
      </c>
      <c r="BC378" s="1123">
        <f>_xlfn.SUMIFS(Покупка!BB$25:BB$327,Покупка!$F$25:$F$327,$F378,Покупка!$AC$25:$AC$327,$G378)</f>
        <v>0</v>
      </c>
      <c r="BD378" s="1123">
        <f>IF(AI378=0,0,(AT378-AI378)/AI378*100)</f>
        <v>0</v>
      </c>
      <c r="BE378" s="1123">
        <f>IF(AT378=0,0,(AU378-AT378)/AT378*100)</f>
        <v>-100</v>
      </c>
      <c r="BF378" s="1123">
        <f>IF(AU378=0,0,(AV378-AU378)/AU378*100)</f>
        <v>0</v>
      </c>
      <c r="BG378" s="1123">
        <f>IF(AV378=0,0,(AW378-AV378)/AV378*100)</f>
        <v>0</v>
      </c>
      <c r="BH378" s="1123">
        <f>IF(AW378=0,0,(AX378-AW378)/AW378*100)</f>
        <v>0</v>
      </c>
      <c r="BI378" s="1123">
        <f>IF(AX378=0,0,(AY378-AX378)/AX378*100)</f>
        <v>0</v>
      </c>
      <c r="BJ378" s="1123">
        <f>IF(AY378=0,0,(AZ378-AY378)/AY378*100)</f>
        <v>0</v>
      </c>
      <c r="BK378" s="1123">
        <f>IF(AZ378=0,0,(BA378-AZ378)/AZ378*100)</f>
        <v>0</v>
      </c>
      <c r="BL378" s="1123">
        <f>IF(BA378=0,0,(BB378-BA378)/BA378*100)</f>
        <v>0</v>
      </c>
      <c r="BM378" s="1123">
        <f>IF(BB378=0,0,(BC378-BB378)/BB378*100)</f>
        <v>0</v>
      </c>
      <c r="BN378" s="6290"/>
      <c r="BO378" s="6294" t="str">
        <f>IF(_xlfn.IFERROR(INDEX(Покупка!$K$26:$L$327,MATCH($F378&amp;"9komm",Покупка!$K$26:$K$327,0),2),"")=0,"",_xlfn.IFERROR(INDEX(Покупка!$K$26:$L$327,MATCH($F378&amp;"9komm",Покупка!$K$26:$K$327,0),2),""))</f>
        <v/>
      </c>
      <c r="BP378" s="6290"/>
      <c r="BQ378" s="1297"/>
      <c r="BR378" s="1297"/>
      <c r="BS378" s="1072" t="s">
        <v>1322</v>
      </c>
      <c r="BT378" s="1072"/>
      <c r="BU378" s="1072"/>
      <c r="BV378" s="987"/>
      <c r="BW378" s="987"/>
    </row>
    <row s="1656" customFormat="1" customHeight="1" ht="14.25">
      <c r="A379" s="1297"/>
      <c r="B379" s="986"/>
      <c r="C379" s="103"/>
      <c r="D379" s="103"/>
      <c r="E379" s="626">
        <v>15</v>
      </c>
      <c r="F379" s="50" cm="1" t="str">
        <f t="array" ref="F379:F379">OFFSET(E379,-1,1)</f>
        <v>2</v>
      </c>
      <c r="G379" s="103"/>
      <c r="H379" s="103"/>
      <c r="I379" s="103" t="s">
        <v>587</v>
      </c>
      <c r="J379" s="103"/>
      <c r="K379" s="103" t="s">
        <v>587</v>
      </c>
      <c r="L379" s="988"/>
      <c r="M379" s="103"/>
      <c r="N379" s="103"/>
      <c r="O379" s="103"/>
      <c r="P379" s="103"/>
      <c r="Q379" s="103"/>
      <c r="R379" s="103"/>
      <c r="S379" s="103"/>
      <c r="T379" s="468" cm="1" t="str">
        <f t="array" ref="T379:T379">T378</f>
        <v>true</v>
      </c>
      <c r="U379" s="103"/>
      <c r="V379" s="103"/>
      <c r="W379" s="103"/>
      <c r="X379" s="1559"/>
      <c r="Y379" s="1297"/>
      <c r="Z379" s="1529"/>
      <c r="AA379" s="1297"/>
      <c r="AB379" s="296" t="s">
        <v>664</v>
      </c>
      <c r="AC379" s="769" t="s">
        <v>2305</v>
      </c>
      <c r="AD379" s="786" t="s">
        <v>936</v>
      </c>
      <c r="AE379" s="1123">
        <f>_xlfn.SUMIFS('Сырье и материалы'!AE$25:AE$111,'Сырье и материалы'!$F$25:$F$111,$F379,'Сырье и материалы'!$I$25:$I$111,"Реагенты")</f>
        <v>0</v>
      </c>
      <c r="AF379" s="1123">
        <f>_xlfn.SUMIFS('Сырье и материалы'!AF$25:AF$111,'Сырье и материалы'!$F$25:$F$111,$F379,'Сырье и материалы'!$I$25:$I$111,"Реагенты")</f>
        <v>0</v>
      </c>
      <c r="AG379" s="1123">
        <f>_xlfn.SUMIFS('Сырье и материалы'!AG$25:AG$111,'Сырье и материалы'!$F$25:$F$111,$F379,'Сырье и материалы'!$I$25:$I$111,"Реагенты")</f>
        <v>0</v>
      </c>
      <c r="AH379" s="1123">
        <f>AG379-AF379</f>
        <v>0</v>
      </c>
      <c r="AI379" s="1123">
        <f>_xlfn.SUMIFS('Сырье и материалы'!AH$25:AH$111,'Сырье и материалы'!$F$25:$F$111,$F379,'Сырье и материалы'!$I$25:$I$111,"Реагенты")</f>
        <v>0</v>
      </c>
      <c r="AJ379" s="1123">
        <f>_xlfn.SUMIFS('Сырье и материалы'!AI$25:AI$111,'Сырье и материалы'!$F$25:$F$111,$F379,'Сырье и материалы'!$I$25:$I$111,"Реагенты")</f>
        <v>0</v>
      </c>
      <c r="AK379" s="1123">
        <f>_xlfn.SUMIFS('Сырье и материалы'!AJ$25:AJ$111,'Сырье и материалы'!$F$25:$F$111,$F379,'Сырье и материалы'!$I$25:$I$111,"Реагенты")</f>
        <v>0</v>
      </c>
      <c r="AL379" s="1123">
        <f>_xlfn.SUMIFS('Сырье и материалы'!AK$25:AK$111,'Сырье и материалы'!$F$25:$F$111,$F379,'Сырье и материалы'!$I$25:$I$111,"Реагенты")</f>
        <v>0</v>
      </c>
      <c r="AM379" s="1123">
        <f>_xlfn.SUMIFS('Сырье и материалы'!AL$25:AL$111,'Сырье и материалы'!$F$25:$F$111,$F379,'Сырье и материалы'!$I$25:$I$111,"Реагенты")</f>
        <v>0</v>
      </c>
      <c r="AN379" s="1123">
        <f>_xlfn.SUMIFS('Сырье и материалы'!AM$25:AM$111,'Сырье и материалы'!$F$25:$F$111,$F379,'Сырье и материалы'!$I$25:$I$111,"Реагенты")</f>
        <v>0</v>
      </c>
      <c r="AO379" s="1123">
        <f>_xlfn.SUMIFS('Сырье и материалы'!AN$25:AN$111,'Сырье и материалы'!$F$25:$F$111,$F379,'Сырье и материалы'!$I$25:$I$111,"Реагенты")</f>
        <v>0</v>
      </c>
      <c r="AP379" s="1123">
        <f>_xlfn.SUMIFS('Сырье и материалы'!AO$25:AO$111,'Сырье и материалы'!$F$25:$F$111,$F379,'Сырье и материалы'!$I$25:$I$111,"Реагенты")</f>
        <v>0</v>
      </c>
      <c r="AQ379" s="1123">
        <f>_xlfn.SUMIFS('Сырье и материалы'!AP$25:AP$111,'Сырье и материалы'!$F$25:$F$111,$F379,'Сырье и материалы'!$I$25:$I$111,"Реагенты")</f>
        <v>0</v>
      </c>
      <c r="AR379" s="1123">
        <f>_xlfn.SUMIFS('Сырье и материалы'!AQ$25:AQ$111,'Сырье и материалы'!$F$25:$F$111,$F379,'Сырье и материалы'!$I$25:$I$111,"Реагенты")</f>
        <v>0</v>
      </c>
      <c r="AS379" s="1123">
        <f>_xlfn.SUMIFS('Сырье и материалы'!AR$25:AR$111,'Сырье и материалы'!$F$25:$F$111,$F379,'Сырье и материалы'!$I$25:$I$111,"Реагенты")</f>
        <v>0</v>
      </c>
      <c r="AT379" s="1123">
        <f>_xlfn.SUMIFS('Сырье и материалы'!AS$25:AS$111,'Сырье и материалы'!$F$25:$F$111,$F379,'Сырье и материалы'!$I$25:$I$111,"Реагенты")</f>
        <v>0</v>
      </c>
      <c r="AU379" s="1123">
        <f>_xlfn.SUMIFS('Сырье и материалы'!AT$25:AT$111,'Сырье и материалы'!$F$25:$F$111,$F379,'Сырье и материалы'!$I$25:$I$111,"Реагенты")</f>
        <v>0</v>
      </c>
      <c r="AV379" s="1123">
        <f>_xlfn.SUMIFS('Сырье и материалы'!AU$25:AU$111,'Сырье и материалы'!$F$25:$F$111,$F379,'Сырье и материалы'!$I$25:$I$111,"Реагенты")</f>
        <v>0</v>
      </c>
      <c r="AW379" s="1123">
        <f>_xlfn.SUMIFS('Сырье и материалы'!AV$25:AV$111,'Сырье и материалы'!$F$25:$F$111,$F379,'Сырье и материалы'!$I$25:$I$111,"Реагенты")</f>
        <v>0</v>
      </c>
      <c r="AX379" s="1123">
        <f>_xlfn.SUMIFS('Сырье и материалы'!AW$25:AW$111,'Сырье и материалы'!$F$25:$F$111,$F379,'Сырье и материалы'!$I$25:$I$111,"Реагенты")</f>
        <v>0</v>
      </c>
      <c r="AY379" s="1123">
        <f>_xlfn.SUMIFS('Сырье и материалы'!AX$25:AX$111,'Сырье и материалы'!$F$25:$F$111,$F379,'Сырье и материалы'!$I$25:$I$111,"Реагенты")</f>
        <v>0</v>
      </c>
      <c r="AZ379" s="1123">
        <f>_xlfn.SUMIFS('Сырье и материалы'!AY$25:AY$111,'Сырье и материалы'!$F$25:$F$111,$F379,'Сырье и материалы'!$I$25:$I$111,"Реагенты")</f>
        <v>0</v>
      </c>
      <c r="BA379" s="1123">
        <f>_xlfn.SUMIFS('Сырье и материалы'!AZ$25:AZ$111,'Сырье и материалы'!$F$25:$F$111,$F379,'Сырье и материалы'!$I$25:$I$111,"Реагенты")</f>
        <v>0</v>
      </c>
      <c r="BB379" s="1123">
        <f>_xlfn.SUMIFS('Сырье и материалы'!BA$25:BA$111,'Сырье и материалы'!$F$25:$F$111,$F379,'Сырье и материалы'!$I$25:$I$111,"Реагенты")</f>
        <v>0</v>
      </c>
      <c r="BC379" s="1123">
        <f>_xlfn.SUMIFS('Сырье и материалы'!BB$25:BB$111,'Сырье и материалы'!$F$25:$F$111,$F379,'Сырье и материалы'!$I$25:$I$111,"Реагенты")</f>
        <v>0</v>
      </c>
      <c r="BD379" s="1123">
        <f>IF(AI379=0,0,(AT379-AI379)/AI379*100)</f>
        <v>0</v>
      </c>
      <c r="BE379" s="1123">
        <f>IF(AT379=0,0,(AU379-AT379)/AT379*100)</f>
        <v>0</v>
      </c>
      <c r="BF379" s="1123">
        <f>IF(AU379=0,0,(AV379-AU379)/AU379*100)</f>
        <v>0</v>
      </c>
      <c r="BG379" s="1123">
        <f>IF(AV379=0,0,(AW379-AV379)/AV379*100)</f>
        <v>0</v>
      </c>
      <c r="BH379" s="1123">
        <f>IF(AW379=0,0,(AX379-AW379)/AW379*100)</f>
        <v>0</v>
      </c>
      <c r="BI379" s="1123">
        <f>IF(AX379=0,0,(AY379-AX379)/AX379*100)</f>
        <v>0</v>
      </c>
      <c r="BJ379" s="1123">
        <f>IF(AY379=0,0,(AZ379-AY379)/AY379*100)</f>
        <v>0</v>
      </c>
      <c r="BK379" s="1123">
        <f>IF(AZ379=0,0,(BA379-AZ379)/AZ379*100)</f>
        <v>0</v>
      </c>
      <c r="BL379" s="1123">
        <f>IF(BA379=0,0,(BB379-BA379)/BA379*100)</f>
        <v>0</v>
      </c>
      <c r="BM379" s="1123">
        <f>IF(BB379=0,0,(BC379-BB379)/BB379*100)</f>
        <v>0</v>
      </c>
      <c r="BN379" s="6290"/>
      <c r="BO379" s="6294" t="str">
        <f>IF(_xlfn.IFERROR(INDEX('Сырье и материалы'!$K$26:$L$111,MATCH($F379&amp;"komm",'Сырье и материалы'!$K$26:$K$111,0),2),"")=0,"",_xlfn.IFERROR(INDEX('Сырье и материалы'!$K$26:$L$111,MATCH($F379&amp;"komm",'Сырье и материалы'!$K$26:$K$111,0),2),""))</f>
        <v/>
      </c>
      <c r="BP379" s="6290"/>
      <c r="BQ379" s="1297"/>
      <c r="BR379" s="1297"/>
      <c r="BS379" s="1072" t="s">
        <v>1976</v>
      </c>
      <c r="BT379" s="1072"/>
      <c r="BU379" s="1072"/>
      <c r="BV379" s="987"/>
      <c r="BW379" s="987"/>
    </row>
    <row s="6408" customFormat="1" customHeight="1" ht="20.25">
      <c r="A380" s="706"/>
      <c r="B380" s="437"/>
      <c r="C380" s="105"/>
      <c r="D380" s="105"/>
      <c r="E380" s="833">
        <v>21</v>
      </c>
      <c r="F380" s="50" cm="1" t="str">
        <f t="array" ref="F380:F380">OFFSET(E380,-1,1)</f>
        <v>2</v>
      </c>
      <c r="G380" s="105"/>
      <c r="H380" s="103"/>
      <c r="I380" s="103" t="s">
        <v>1087</v>
      </c>
      <c r="J380" s="105"/>
      <c r="K380" s="103" t="s">
        <v>1087</v>
      </c>
      <c r="L380" s="993" t="s">
        <v>619</v>
      </c>
      <c r="M380" s="105"/>
      <c r="N380" s="105"/>
      <c r="O380" s="105"/>
      <c r="P380" s="105"/>
      <c r="Q380" s="105"/>
      <c r="R380" s="105"/>
      <c r="S380" s="105"/>
      <c r="T380" s="468" cm="1" t="str">
        <f t="array" ref="T380:T380">T379</f>
        <v>true</v>
      </c>
      <c r="U380" s="105"/>
      <c r="V380" s="105"/>
      <c r="W380" s="105"/>
      <c r="X380" s="1559"/>
      <c r="Y380" s="706"/>
      <c r="Z380" s="1529"/>
      <c r="AA380" s="706"/>
      <c r="AB380" s="207" t="s">
        <v>668</v>
      </c>
      <c r="AC380" s="357" t="s">
        <v>2306</v>
      </c>
      <c r="AD380" s="207" t="s">
        <v>936</v>
      </c>
      <c r="AE380" s="785">
        <f>SUM(AE381:AE390)</f>
        <v>1571.83</v>
      </c>
      <c r="AF380" s="785">
        <f>SUM(AF381:AF390)</f>
        <v>1674.18</v>
      </c>
      <c r="AG380" s="785">
        <f>SUM(AG381:AG390)</f>
        <v>1672.56</v>
      </c>
      <c r="AH380" s="785">
        <f>AG380-AF380</f>
        <v>-1.62000000000012</v>
      </c>
      <c r="AI380" s="785">
        <f>SUM(AI381:AI390)</f>
        <v>1273.28</v>
      </c>
      <c r="AJ380" s="209">
        <f>SUM(AJ381:AJ390)</f>
        <v>5916.92</v>
      </c>
      <c r="AK380" s="785">
        <f>SUM(AK381:AK390)</f>
        <v>0</v>
      </c>
      <c r="AL380" s="785">
        <f>SUM(AL381:AL390)</f>
        <v>0</v>
      </c>
      <c r="AM380" s="785">
        <f>SUM(AM381:AM390)</f>
        <v>0</v>
      </c>
      <c r="AN380" s="785">
        <f>SUM(AN381:AN390)</f>
        <v>0</v>
      </c>
      <c r="AO380" s="785">
        <f>SUM(AO381:AO390)</f>
        <v>0</v>
      </c>
      <c r="AP380" s="785">
        <f>SUM(AP381:AP390)</f>
        <v>0</v>
      </c>
      <c r="AQ380" s="785">
        <f>SUM(AQ381:AQ390)</f>
        <v>0</v>
      </c>
      <c r="AR380" s="785">
        <f>SUM(AR381:AR390)</f>
        <v>0</v>
      </c>
      <c r="AS380" s="785">
        <f>SUM(AS381:AS390)</f>
        <v>0</v>
      </c>
      <c r="AT380" s="209">
        <f>SUM(AT381:AT390)</f>
        <v>5916.97</v>
      </c>
      <c r="AU380" s="785">
        <f>SUM(AU381:AU390)</f>
        <v>0</v>
      </c>
      <c r="AV380" s="785">
        <f>SUM(AV381:AV390)</f>
        <v>0</v>
      </c>
      <c r="AW380" s="785">
        <f>SUM(AW381:AW390)</f>
        <v>0</v>
      </c>
      <c r="AX380" s="785">
        <f>SUM(AX381:AX390)</f>
        <v>0</v>
      </c>
      <c r="AY380" s="785">
        <f>SUM(AY381:AY390)</f>
        <v>0</v>
      </c>
      <c r="AZ380" s="785">
        <f>SUM(AZ381:AZ390)</f>
        <v>0</v>
      </c>
      <c r="BA380" s="785">
        <f>SUM(BA381:BA390)</f>
        <v>0</v>
      </c>
      <c r="BB380" s="785">
        <f>SUM(BB381:BB390)</f>
        <v>0</v>
      </c>
      <c r="BC380" s="785">
        <f>SUM(BC381:BC390)</f>
        <v>0</v>
      </c>
      <c r="BD380" s="785">
        <f>IF(AI380=0,0,(AT380-AI380)/AI380*100)</f>
        <v>364.702971852224</v>
      </c>
      <c r="BE380" s="785">
        <f>IF(AT380=0,0,(AU380-AT380)/AT380*100)</f>
        <v>-100</v>
      </c>
      <c r="BF380" s="785">
        <f>IF(AU380=0,0,(AV380-AU380)/AU380*100)</f>
        <v>0</v>
      </c>
      <c r="BG380" s="785">
        <f>IF(AV380=0,0,(AW380-AV380)/AV380*100)</f>
        <v>0</v>
      </c>
      <c r="BH380" s="785">
        <f>IF(AW380=0,0,(AX380-AW380)/AW380*100)</f>
        <v>0</v>
      </c>
      <c r="BI380" s="785">
        <f>IF(AX380=0,0,(AY380-AX380)/AX380*100)</f>
        <v>0</v>
      </c>
      <c r="BJ380" s="785">
        <f>IF(AY380=0,0,(AZ380-AY380)/AY380*100)</f>
        <v>0</v>
      </c>
      <c r="BK380" s="785">
        <f>IF(AZ380=0,0,(BA380-AZ380)/AZ380*100)</f>
        <v>0</v>
      </c>
      <c r="BL380" s="785">
        <f>IF(BA380=0,0,(BB380-BA380)/BA380*100)</f>
        <v>0</v>
      </c>
      <c r="BM380" s="785">
        <f>IF(BB380=0,0,(BC380-BB380)/BB380*100)</f>
        <v>0</v>
      </c>
      <c r="BN380" s="6292"/>
      <c r="BO380" s="6294" t="str">
        <f>IF(_xlfn.IFERROR(INDEX(Налоги!$K$26:$L$83,MATCH($F380&amp;"komm",Налоги!$K$26:$K$83,0),2),"")=0,"",_xlfn.IFERROR(INDEX(Налоги!$K$26:$L$83,MATCH($F380&amp;"komm",Налоги!$K$26:$K$83,0),2),""))</f>
        <v>П. 49 (2) Методических указаний ФСТ России от 27.12.2013 № 1746-э.</v>
      </c>
      <c r="BP380" s="6292"/>
      <c r="BQ380" s="706"/>
      <c r="BR380" s="706"/>
      <c r="BS380" s="1078" t="s">
        <v>1464</v>
      </c>
      <c r="BT380" s="1078"/>
      <c r="BU380" s="1078"/>
      <c r="BV380" s="713"/>
      <c r="BW380" s="713"/>
    </row>
    <row s="1656" customFormat="1" customHeight="1" ht="14.25">
      <c r="A381" s="1297"/>
      <c r="B381" s="986"/>
      <c r="C381" s="103"/>
      <c r="D381" s="103"/>
      <c r="E381" s="626">
        <v>15</v>
      </c>
      <c r="F381" s="50" cm="1" t="str">
        <f t="array" ref="F381:F381">OFFSET(E381,-1,1)</f>
        <v>2</v>
      </c>
      <c r="G381" s="929">
        <v>7</v>
      </c>
      <c r="H381" s="103"/>
      <c r="I381" s="103" t="s">
        <v>2307</v>
      </c>
      <c r="J381" s="103"/>
      <c r="K381" s="103" t="s">
        <v>2307</v>
      </c>
      <c r="L381" s="988"/>
      <c r="M381" s="103"/>
      <c r="N381" s="103"/>
      <c r="O381" s="103"/>
      <c r="P381" s="103"/>
      <c r="Q381" s="103"/>
      <c r="R381" s="103"/>
      <c r="S381" s="103"/>
      <c r="T381" s="468" cm="1" t="str">
        <f t="array" ref="T381:T381">T380</f>
        <v>true</v>
      </c>
      <c r="U381" s="103"/>
      <c r="V381" s="103"/>
      <c r="W381" s="103"/>
      <c r="X381" s="1559"/>
      <c r="Y381" s="1297"/>
      <c r="Z381" s="1529"/>
      <c r="AA381" s="1297"/>
      <c r="AB381" s="296" t="s">
        <v>603</v>
      </c>
      <c r="AC381" s="772" t="s">
        <v>1478</v>
      </c>
      <c r="AD381" s="296" t="s">
        <v>936</v>
      </c>
      <c r="AE381" s="1123">
        <f>_xlfn.SUMIFS(Налоги!AE$25:AE$83,Налоги!$F$25:$F$83,$F381,Налоги!$AB$25:$AB$83,$G381)</f>
        <v>0</v>
      </c>
      <c r="AF381" s="1123">
        <f>_xlfn.SUMIFS(Налоги!AF$25:AF$83,Налоги!$F$25:$F$83,$F381,Налоги!$AB$25:$AB$83,$G381)</f>
        <v>0</v>
      </c>
      <c r="AG381" s="1123">
        <f>_xlfn.SUMIFS(Налоги!AG$25:AG$83,Налоги!$F$25:$F$83,$F381,Налоги!$AB$25:$AB$83,$G381)</f>
        <v>0</v>
      </c>
      <c r="AH381" s="1123">
        <f>AG381-AF381</f>
        <v>0</v>
      </c>
      <c r="AI381" s="1123">
        <f>_xlfn.SUMIFS(Налоги!AH$25:AH$83,Налоги!$F$25:$F$83,$F381,Налоги!$AB$25:$AB$83,$G381)</f>
        <v>0</v>
      </c>
      <c r="AJ381" s="1123">
        <f>_xlfn.SUMIFS(Налоги!AI$25:AI$83,Налоги!$F$25:$F$83,$F381,Налоги!$AB$25:$AB$83,$G381)</f>
        <v>0</v>
      </c>
      <c r="AK381" s="1123">
        <f>_xlfn.SUMIFS(Налоги!AJ$25:AJ$83,Налоги!$F$25:$F$83,$F381,Налоги!$AB$25:$AB$83,$G381)</f>
        <v>0</v>
      </c>
      <c r="AL381" s="1123">
        <f>_xlfn.SUMIFS(Налоги!AK$25:AK$83,Налоги!$F$25:$F$83,$F381,Налоги!$AB$25:$AB$83,$G381)</f>
        <v>0</v>
      </c>
      <c r="AM381" s="1123">
        <f>_xlfn.SUMIFS(Налоги!AL$25:AL$83,Налоги!$F$25:$F$83,$F381,Налоги!$AB$25:$AB$83,$G381)</f>
        <v>0</v>
      </c>
      <c r="AN381" s="1123">
        <f>_xlfn.SUMIFS(Налоги!AM$25:AM$83,Налоги!$F$25:$F$83,$F381,Налоги!$AB$25:$AB$83,$G381)</f>
        <v>0</v>
      </c>
      <c r="AO381" s="1123">
        <f>_xlfn.SUMIFS(Налоги!AN$25:AN$83,Налоги!$F$25:$F$83,$F381,Налоги!$AB$25:$AB$83,$G381)</f>
        <v>0</v>
      </c>
      <c r="AP381" s="1123">
        <f>_xlfn.SUMIFS(Налоги!AO$25:AO$83,Налоги!$F$25:$F$83,$F381,Налоги!$AB$25:$AB$83,$G381)</f>
        <v>0</v>
      </c>
      <c r="AQ381" s="1123">
        <f>_xlfn.SUMIFS(Налоги!AP$25:AP$83,Налоги!$F$25:$F$83,$F381,Налоги!$AB$25:$AB$83,$G381)</f>
        <v>0</v>
      </c>
      <c r="AR381" s="1123">
        <f>_xlfn.SUMIFS(Налоги!AQ$25:AQ$83,Налоги!$F$25:$F$83,$F381,Налоги!$AB$25:$AB$83,$G381)</f>
        <v>0</v>
      </c>
      <c r="AS381" s="1123">
        <f>_xlfn.SUMIFS(Налоги!AR$25:AR$83,Налоги!$F$25:$F$83,$F381,Налоги!$AB$25:$AB$83,$G381)</f>
        <v>0</v>
      </c>
      <c r="AT381" s="1123">
        <f>_xlfn.SUMIFS(Налоги!AS$25:AS$83,Налоги!$F$25:$F$83,$F381,Налоги!$AB$25:$AB$83,$G381)</f>
        <v>0</v>
      </c>
      <c r="AU381" s="1123">
        <f>_xlfn.SUMIFS(Налоги!AT$25:AT$83,Налоги!$F$25:$F$83,$F381,Налоги!$AB$25:$AB$83,$G381)</f>
        <v>0</v>
      </c>
      <c r="AV381" s="1123">
        <f>_xlfn.SUMIFS(Налоги!AU$25:AU$83,Налоги!$F$25:$F$83,$F381,Налоги!$AB$25:$AB$83,$G381)</f>
        <v>0</v>
      </c>
      <c r="AW381" s="1123">
        <f>_xlfn.SUMIFS(Налоги!AV$25:AV$83,Налоги!$F$25:$F$83,$F381,Налоги!$AB$25:$AB$83,$G381)</f>
        <v>0</v>
      </c>
      <c r="AX381" s="1123">
        <f>_xlfn.SUMIFS(Налоги!AW$25:AW$83,Налоги!$F$25:$F$83,$F381,Налоги!$AB$25:$AB$83,$G381)</f>
        <v>0</v>
      </c>
      <c r="AY381" s="1123">
        <f>_xlfn.SUMIFS(Налоги!AX$25:AX$83,Налоги!$F$25:$F$83,$F381,Налоги!$AB$25:$AB$83,$G381)</f>
        <v>0</v>
      </c>
      <c r="AZ381" s="1123">
        <f>_xlfn.SUMIFS(Налоги!AY$25:AY$83,Налоги!$F$25:$F$83,$F381,Налоги!$AB$25:$AB$83,$G381)</f>
        <v>0</v>
      </c>
      <c r="BA381" s="1123">
        <f>_xlfn.SUMIFS(Налоги!AZ$25:AZ$83,Налоги!$F$25:$F$83,$F381,Налоги!$AB$25:$AB$83,$G381)</f>
        <v>0</v>
      </c>
      <c r="BB381" s="1123">
        <f>_xlfn.SUMIFS(Налоги!BA$25:BA$83,Налоги!$F$25:$F$83,$F381,Налоги!$AB$25:$AB$83,$G381)</f>
        <v>0</v>
      </c>
      <c r="BC381" s="1123">
        <f>_xlfn.SUMIFS(Налоги!BB$25:BB$83,Налоги!$F$25:$F$83,$F381,Налоги!$AB$25:$AB$83,$G381)</f>
        <v>0</v>
      </c>
      <c r="BD381" s="1123">
        <f>IF(AI381=0,0,(AT381-AI381)/AI381*100)</f>
        <v>0</v>
      </c>
      <c r="BE381" s="1123">
        <f>IF(AT381=0,0,(AU381-AT381)/AT381*100)</f>
        <v>0</v>
      </c>
      <c r="BF381" s="1123">
        <f>IF(AU381=0,0,(AV381-AU381)/AU381*100)</f>
        <v>0</v>
      </c>
      <c r="BG381" s="1123">
        <f>IF(AV381=0,0,(AW381-AV381)/AV381*100)</f>
        <v>0</v>
      </c>
      <c r="BH381" s="1123">
        <f>IF(AW381=0,0,(AX381-AW381)/AW381*100)</f>
        <v>0</v>
      </c>
      <c r="BI381" s="1123">
        <f>IF(AX381=0,0,(AY381-AX381)/AX381*100)</f>
        <v>0</v>
      </c>
      <c r="BJ381" s="1123">
        <f>IF(AY381=0,0,(AZ381-AY381)/AY381*100)</f>
        <v>0</v>
      </c>
      <c r="BK381" s="1123">
        <f>IF(AZ381=0,0,(BA381-AZ381)/AZ381*100)</f>
        <v>0</v>
      </c>
      <c r="BL381" s="1123">
        <f>IF(BA381=0,0,(BB381-BA381)/BA381*100)</f>
        <v>0</v>
      </c>
      <c r="BM381" s="1123">
        <f>IF(BB381=0,0,(BC381-BB381)/BB381*100)</f>
        <v>0</v>
      </c>
      <c r="BN381" s="6290"/>
      <c r="BO381" s="6294" t="str">
        <f>IF(_xlfn.IFERROR(INDEX(Налоги!$K$26:$L$83,MATCH($F381&amp;"7komm",Налоги!$K$26:$K$83,0),2),"")=0,"",_xlfn.IFERROR(INDEX(Налоги!$K$26:$L$83,MATCH($F381&amp;"7komm",Налоги!$K$26:$K$83,0),2),""))</f>
        <v>Глава 25 "НАЛОГ НА ПРИБЫЛЬ ОРГАНИЗАЦИЙ" "Налогового кодекса Российской Федерации (часть вторая)" от 05.08.2000 N 117-ФЗ.</v>
      </c>
      <c r="BP381" s="6290"/>
      <c r="BQ381" s="1297"/>
      <c r="BR381" s="1297"/>
      <c r="BS381" s="1072" t="s">
        <v>2308</v>
      </c>
      <c r="BT381" s="1072"/>
      <c r="BU381" s="1072"/>
      <c r="BV381" s="987"/>
      <c r="BW381" s="987"/>
    </row>
    <row s="1656" customFormat="1" customHeight="1" ht="14.25">
      <c r="A382" s="1297"/>
      <c r="B382" s="986"/>
      <c r="C382" s="103"/>
      <c r="D382" s="103"/>
      <c r="E382" s="626">
        <v>15</v>
      </c>
      <c r="F382" s="50" cm="1" t="str">
        <f t="array" ref="F382:F382">OFFSET(E382,-1,1)</f>
        <v>2</v>
      </c>
      <c r="G382" s="929">
        <v>6</v>
      </c>
      <c r="H382" s="103"/>
      <c r="I382" s="103" t="s">
        <v>2309</v>
      </c>
      <c r="J382" s="103"/>
      <c r="K382" s="103" t="s">
        <v>2309</v>
      </c>
      <c r="L382" s="988"/>
      <c r="M382" s="103"/>
      <c r="N382" s="103"/>
      <c r="O382" s="103"/>
      <c r="P382" s="103"/>
      <c r="Q382" s="103"/>
      <c r="R382" s="103"/>
      <c r="S382" s="103"/>
      <c r="T382" s="468" cm="1" t="str">
        <f t="array" ref="T382:T382">T381</f>
        <v>true</v>
      </c>
      <c r="U382" s="103"/>
      <c r="V382" s="103"/>
      <c r="W382" s="103"/>
      <c r="X382" s="1559"/>
      <c r="Y382" s="1297"/>
      <c r="Z382" s="1529"/>
      <c r="AA382" s="1297"/>
      <c r="AB382" s="296" t="s">
        <v>1717</v>
      </c>
      <c r="AC382" s="772" t="s">
        <v>2310</v>
      </c>
      <c r="AD382" s="296" t="s">
        <v>936</v>
      </c>
      <c r="AE382" s="1123">
        <f>_xlfn.SUMIFS(Налоги!AE$25:AE$83,Налоги!$F$25:$F$83,$F382,Налоги!$AB$25:$AB$83,$G382)</f>
        <v>1533.89</v>
      </c>
      <c r="AF382" s="1123">
        <f>_xlfn.SUMIFS(Налоги!AF$25:AF$83,Налоги!$F$25:$F$83,$F382,Налоги!$AB$25:$AB$83,$G382)</f>
        <v>1578.68</v>
      </c>
      <c r="AG382" s="1123">
        <f>_xlfn.SUMIFS(Налоги!AG$25:AG$83,Налоги!$F$25:$F$83,$F382,Налоги!$AB$25:$AB$83,$G382)</f>
        <v>1578.66</v>
      </c>
      <c r="AH382" s="1123">
        <f>AG382-AF382</f>
        <v>-0.0199999999999818</v>
      </c>
      <c r="AI382" s="1123">
        <f>_xlfn.SUMIFS(Налоги!AH$25:AH$83,Налоги!$F$25:$F$83,$F382,Налоги!$AB$25:$AB$83,$G382)</f>
        <v>1229.56</v>
      </c>
      <c r="AJ382" s="1123">
        <f>_xlfn.SUMIFS(Налоги!AI$25:AI$83,Налоги!$F$25:$F$83,$F382,Налоги!$AB$25:$AB$83,$G382)</f>
        <v>905</v>
      </c>
      <c r="AK382" s="1123">
        <f>_xlfn.SUMIFS(Налоги!AJ$25:AJ$83,Налоги!$F$25:$F$83,$F382,Налоги!$AB$25:$AB$83,$G382)</f>
        <v>0</v>
      </c>
      <c r="AL382" s="1123">
        <f>_xlfn.SUMIFS(Налоги!AK$25:AK$83,Налоги!$F$25:$F$83,$F382,Налоги!$AB$25:$AB$83,$G382)</f>
        <v>0</v>
      </c>
      <c r="AM382" s="1123">
        <f>_xlfn.SUMIFS(Налоги!AL$25:AL$83,Налоги!$F$25:$F$83,$F382,Налоги!$AB$25:$AB$83,$G382)</f>
        <v>0</v>
      </c>
      <c r="AN382" s="1123">
        <f>_xlfn.SUMIFS(Налоги!AM$25:AM$83,Налоги!$F$25:$F$83,$F382,Налоги!$AB$25:$AB$83,$G382)</f>
        <v>0</v>
      </c>
      <c r="AO382" s="1123">
        <f>_xlfn.SUMIFS(Налоги!AN$25:AN$83,Налоги!$F$25:$F$83,$F382,Налоги!$AB$25:$AB$83,$G382)</f>
        <v>0</v>
      </c>
      <c r="AP382" s="1123">
        <f>_xlfn.SUMIFS(Налоги!AO$25:AO$83,Налоги!$F$25:$F$83,$F382,Налоги!$AB$25:$AB$83,$G382)</f>
        <v>0</v>
      </c>
      <c r="AQ382" s="1123">
        <f>_xlfn.SUMIFS(Налоги!AP$25:AP$83,Налоги!$F$25:$F$83,$F382,Налоги!$AB$25:$AB$83,$G382)</f>
        <v>0</v>
      </c>
      <c r="AR382" s="1123">
        <f>_xlfn.SUMIFS(Налоги!AQ$25:AQ$83,Налоги!$F$25:$F$83,$F382,Налоги!$AB$25:$AB$83,$G382)</f>
        <v>0</v>
      </c>
      <c r="AS382" s="1123">
        <f>_xlfn.SUMIFS(Налоги!AR$25:AR$83,Налоги!$F$25:$F$83,$F382,Налоги!$AB$25:$AB$83,$G382)</f>
        <v>0</v>
      </c>
      <c r="AT382" s="1123">
        <f>_xlfn.SUMIFS(Налоги!AS$25:AS$83,Налоги!$F$25:$F$83,$F382,Налоги!$AB$25:$AB$83,$G382)</f>
        <v>905.05</v>
      </c>
      <c r="AU382" s="1123">
        <f>_xlfn.SUMIFS(Налоги!AT$25:AT$83,Налоги!$F$25:$F$83,$F382,Налоги!$AB$25:$AB$83,$G382)</f>
        <v>0</v>
      </c>
      <c r="AV382" s="1123">
        <f>_xlfn.SUMIFS(Налоги!AU$25:AU$83,Налоги!$F$25:$F$83,$F382,Налоги!$AB$25:$AB$83,$G382)</f>
        <v>0</v>
      </c>
      <c r="AW382" s="1123">
        <f>_xlfn.SUMIFS(Налоги!AV$25:AV$83,Налоги!$F$25:$F$83,$F382,Налоги!$AB$25:$AB$83,$G382)</f>
        <v>0</v>
      </c>
      <c r="AX382" s="1123">
        <f>_xlfn.SUMIFS(Налоги!AW$25:AW$83,Налоги!$F$25:$F$83,$F382,Налоги!$AB$25:$AB$83,$G382)</f>
        <v>0</v>
      </c>
      <c r="AY382" s="1123">
        <f>_xlfn.SUMIFS(Налоги!AX$25:AX$83,Налоги!$F$25:$F$83,$F382,Налоги!$AB$25:$AB$83,$G382)</f>
        <v>0</v>
      </c>
      <c r="AZ382" s="1123">
        <f>_xlfn.SUMIFS(Налоги!AY$25:AY$83,Налоги!$F$25:$F$83,$F382,Налоги!$AB$25:$AB$83,$G382)</f>
        <v>0</v>
      </c>
      <c r="BA382" s="1123">
        <f>_xlfn.SUMIFS(Налоги!AZ$25:AZ$83,Налоги!$F$25:$F$83,$F382,Налоги!$AB$25:$AB$83,$G382)</f>
        <v>0</v>
      </c>
      <c r="BB382" s="1123">
        <f>_xlfn.SUMIFS(Налоги!BA$25:BA$83,Налоги!$F$25:$F$83,$F382,Налоги!$AB$25:$AB$83,$G382)</f>
        <v>0</v>
      </c>
      <c r="BC382" s="1123">
        <f>_xlfn.SUMIFS(Налоги!BB$25:BB$83,Налоги!$F$25:$F$83,$F382,Налоги!$AB$25:$AB$83,$G382)</f>
        <v>0</v>
      </c>
      <c r="BD382" s="1123">
        <f>IF(AI382=0,0,(AT382-AI382)/AI382*100)</f>
        <v>-26.3923680015615</v>
      </c>
      <c r="BE382" s="1123">
        <f>IF(AT382=0,0,(AU382-AT382)/AT382*100)</f>
        <v>-100</v>
      </c>
      <c r="BF382" s="1123">
        <f>IF(AU382=0,0,(AV382-AU382)/AU382*100)</f>
        <v>0</v>
      </c>
      <c r="BG382" s="1123">
        <f>IF(AV382=0,0,(AW382-AV382)/AV382*100)</f>
        <v>0</v>
      </c>
      <c r="BH382" s="1123">
        <f>IF(AW382=0,0,(AX382-AW382)/AW382*100)</f>
        <v>0</v>
      </c>
      <c r="BI382" s="1123">
        <f>IF(AX382=0,0,(AY382-AX382)/AX382*100)</f>
        <v>0</v>
      </c>
      <c r="BJ382" s="1123">
        <f>IF(AY382=0,0,(AZ382-AY382)/AY382*100)</f>
        <v>0</v>
      </c>
      <c r="BK382" s="1123">
        <f>IF(AZ382=0,0,(BA382-AZ382)/AZ382*100)</f>
        <v>0</v>
      </c>
      <c r="BL382" s="1123">
        <f>IF(BA382=0,0,(BB382-BA382)/BA382*100)</f>
        <v>0</v>
      </c>
      <c r="BM382" s="1123">
        <f>IF(BB382=0,0,(BC382-BB382)/BB382*100)</f>
        <v>0</v>
      </c>
      <c r="BN382" s="6290"/>
      <c r="BO382" s="6294" t="str">
        <f>IF(_xlfn.IFERROR(INDEX(Налоги!$K$26:$L$83,MATCH($F382&amp;"6komm",Налоги!$K$26:$K$83,0),2),"")=0,"",_xlfn.IFERROR(INDEX(Налоги!$K$26:$L$83,MATCH($F382&amp;"6komm",Налоги!$K$26:$K$83,0),2),""))</f>
        <v>Глава 30 "НАЛОГ НА ИМУЩЕСТВО ОРГАНИЗАЦИЙ" Налогового кодекса РФ (Часть вторая);  Закон Кемеровской области - Кузбасса от 26.11.2003 N 60-ОЗ (ред. от 05.05.2025 N 47-ОЗ, от 30.06.2025 N 79-ОЗ, от 27.11.2025 N 144-ОЗ) ) "О налоге на имущество организаций".</v>
      </c>
      <c r="BP382" s="6290"/>
      <c r="BQ382" s="1297"/>
      <c r="BR382" s="1297"/>
      <c r="BS382" s="1072" t="s">
        <v>2311</v>
      </c>
      <c r="BT382" s="1072"/>
      <c r="BU382" s="1072"/>
      <c r="BV382" s="987"/>
      <c r="BW382" s="987"/>
    </row>
    <row s="1656" customFormat="1" customHeight="1" ht="14.25">
      <c r="A383" s="1297"/>
      <c r="B383" s="986"/>
      <c r="C383" s="103"/>
      <c r="D383" s="103"/>
      <c r="E383" s="626">
        <v>15</v>
      </c>
      <c r="F383" s="50" cm="1" t="str">
        <f t="array" ref="F383:F383">OFFSET(E383,-1,1)</f>
        <v>2</v>
      </c>
      <c r="G383" s="929">
        <v>2</v>
      </c>
      <c r="H383" s="103"/>
      <c r="I383" s="103" t="s">
        <v>2312</v>
      </c>
      <c r="J383" s="103"/>
      <c r="K383" s="103" t="s">
        <v>2312</v>
      </c>
      <c r="L383" s="988"/>
      <c r="M383" s="103"/>
      <c r="N383" s="103"/>
      <c r="O383" s="103"/>
      <c r="P383" s="103"/>
      <c r="Q383" s="103"/>
      <c r="R383" s="103"/>
      <c r="S383" s="103"/>
      <c r="T383" s="468" cm="1" t="str">
        <f t="array" ref="T383:T383">T382</f>
        <v>true</v>
      </c>
      <c r="U383" s="103"/>
      <c r="V383" s="103"/>
      <c r="W383" s="103"/>
      <c r="X383" s="1559"/>
      <c r="Y383" s="1297"/>
      <c r="Z383" s="1529"/>
      <c r="AA383" s="1297"/>
      <c r="AB383" s="296" t="s">
        <v>1722</v>
      </c>
      <c r="AC383" s="772" t="s">
        <v>2313</v>
      </c>
      <c r="AD383" s="296" t="s">
        <v>936</v>
      </c>
      <c r="AE383" s="1123">
        <f>_xlfn.SUMIFS(Налоги!AE$25:AE$83,Налоги!$F$25:$F$83,$F383,Налоги!$AB$25:$AB$83,$G383)</f>
        <v>1.53</v>
      </c>
      <c r="AF383" s="1123">
        <f>_xlfn.SUMIFS(Налоги!AF$25:AF$83,Налоги!$F$25:$F$83,$F383,Налоги!$AB$25:$AB$83,$G383)</f>
        <v>4.56</v>
      </c>
      <c r="AG383" s="1123">
        <f>_xlfn.SUMIFS(Налоги!AG$25:AG$83,Налоги!$F$25:$F$83,$F383,Налоги!$AB$25:$AB$83,$G383)</f>
        <v>4.56</v>
      </c>
      <c r="AH383" s="1123">
        <f>AG383-AF383</f>
        <v>0</v>
      </c>
      <c r="AI383" s="1123">
        <f>_xlfn.SUMIFS(Налоги!AH$25:AH$83,Налоги!$F$25:$F$83,$F383,Налоги!$AB$25:$AB$83,$G383)</f>
        <v>2.45</v>
      </c>
      <c r="AJ383" s="1123">
        <f>_xlfn.SUMIFS(Налоги!AI$25:AI$83,Налоги!$F$25:$F$83,$F383,Налоги!$AB$25:$AB$83,$G383)</f>
        <v>4.56</v>
      </c>
      <c r="AK383" s="1123">
        <f>_xlfn.SUMIFS(Налоги!AJ$25:AJ$83,Налоги!$F$25:$F$83,$F383,Налоги!$AB$25:$AB$83,$G383)</f>
        <v>0</v>
      </c>
      <c r="AL383" s="1123">
        <f>_xlfn.SUMIFS(Налоги!AK$25:AK$83,Налоги!$F$25:$F$83,$F383,Налоги!$AB$25:$AB$83,$G383)</f>
        <v>0</v>
      </c>
      <c r="AM383" s="1123">
        <f>_xlfn.SUMIFS(Налоги!AL$25:AL$83,Налоги!$F$25:$F$83,$F383,Налоги!$AB$25:$AB$83,$G383)</f>
        <v>0</v>
      </c>
      <c r="AN383" s="1123">
        <f>_xlfn.SUMIFS(Налоги!AM$25:AM$83,Налоги!$F$25:$F$83,$F383,Налоги!$AB$25:$AB$83,$G383)</f>
        <v>0</v>
      </c>
      <c r="AO383" s="1123">
        <f>_xlfn.SUMIFS(Налоги!AN$25:AN$83,Налоги!$F$25:$F$83,$F383,Налоги!$AB$25:$AB$83,$G383)</f>
        <v>0</v>
      </c>
      <c r="AP383" s="1123">
        <f>_xlfn.SUMIFS(Налоги!AO$25:AO$83,Налоги!$F$25:$F$83,$F383,Налоги!$AB$25:$AB$83,$G383)</f>
        <v>0</v>
      </c>
      <c r="AQ383" s="1123">
        <f>_xlfn.SUMIFS(Налоги!AP$25:AP$83,Налоги!$F$25:$F$83,$F383,Налоги!$AB$25:$AB$83,$G383)</f>
        <v>0</v>
      </c>
      <c r="AR383" s="1123">
        <f>_xlfn.SUMIFS(Налоги!AQ$25:AQ$83,Налоги!$F$25:$F$83,$F383,Налоги!$AB$25:$AB$83,$G383)</f>
        <v>0</v>
      </c>
      <c r="AS383" s="1123">
        <f>_xlfn.SUMIFS(Налоги!AR$25:AR$83,Налоги!$F$25:$F$83,$F383,Налоги!$AB$25:$AB$83,$G383)</f>
        <v>0</v>
      </c>
      <c r="AT383" s="1123">
        <f>_xlfn.SUMIFS(Налоги!AS$25:AS$83,Налоги!$F$25:$F$83,$F383,Налоги!$AB$25:$AB$83,$G383)</f>
        <v>4.56</v>
      </c>
      <c r="AU383" s="1123">
        <f>_xlfn.SUMIFS(Налоги!AT$25:AT$83,Налоги!$F$25:$F$83,$F383,Налоги!$AB$25:$AB$83,$G383)</f>
        <v>0</v>
      </c>
      <c r="AV383" s="1123">
        <f>_xlfn.SUMIFS(Налоги!AU$25:AU$83,Налоги!$F$25:$F$83,$F383,Налоги!$AB$25:$AB$83,$G383)</f>
        <v>0</v>
      </c>
      <c r="AW383" s="1123">
        <f>_xlfn.SUMIFS(Налоги!AV$25:AV$83,Налоги!$F$25:$F$83,$F383,Налоги!$AB$25:$AB$83,$G383)</f>
        <v>0</v>
      </c>
      <c r="AX383" s="1123">
        <f>_xlfn.SUMIFS(Налоги!AW$25:AW$83,Налоги!$F$25:$F$83,$F383,Налоги!$AB$25:$AB$83,$G383)</f>
        <v>0</v>
      </c>
      <c r="AY383" s="1123">
        <f>_xlfn.SUMIFS(Налоги!AX$25:AX$83,Налоги!$F$25:$F$83,$F383,Налоги!$AB$25:$AB$83,$G383)</f>
        <v>0</v>
      </c>
      <c r="AZ383" s="1123">
        <f>_xlfn.SUMIFS(Налоги!AY$25:AY$83,Налоги!$F$25:$F$83,$F383,Налоги!$AB$25:$AB$83,$G383)</f>
        <v>0</v>
      </c>
      <c r="BA383" s="1123">
        <f>_xlfn.SUMIFS(Налоги!AZ$25:AZ$83,Налоги!$F$25:$F$83,$F383,Налоги!$AB$25:$AB$83,$G383)</f>
        <v>0</v>
      </c>
      <c r="BB383" s="1123">
        <f>_xlfn.SUMIFS(Налоги!BA$25:BA$83,Налоги!$F$25:$F$83,$F383,Налоги!$AB$25:$AB$83,$G383)</f>
        <v>0</v>
      </c>
      <c r="BC383" s="1123">
        <f>_xlfn.SUMIFS(Налоги!BB$25:BB$83,Налоги!$F$25:$F$83,$F383,Налоги!$AB$25:$AB$83,$G383)</f>
        <v>0</v>
      </c>
      <c r="BD383" s="1123">
        <f>IF(AI383=0,0,(AT383-AI383)/AI383*100)</f>
        <v>86.1224489795918</v>
      </c>
      <c r="BE383" s="1123">
        <f>IF(AT383=0,0,(AU383-AT383)/AT383*100)</f>
        <v>-100</v>
      </c>
      <c r="BF383" s="1123">
        <f>IF(AU383=0,0,(AV383-AU383)/AU383*100)</f>
        <v>0</v>
      </c>
      <c r="BG383" s="1123">
        <f>IF(AV383=0,0,(AW383-AV383)/AV383*100)</f>
        <v>0</v>
      </c>
      <c r="BH383" s="1123">
        <f>IF(AW383=0,0,(AX383-AW383)/AW383*100)</f>
        <v>0</v>
      </c>
      <c r="BI383" s="1123">
        <f>IF(AX383=0,0,(AY383-AX383)/AX383*100)</f>
        <v>0</v>
      </c>
      <c r="BJ383" s="1123">
        <f>IF(AY383=0,0,(AZ383-AY383)/AY383*100)</f>
        <v>0</v>
      </c>
      <c r="BK383" s="1123">
        <f>IF(AZ383=0,0,(BA383-AZ383)/AZ383*100)</f>
        <v>0</v>
      </c>
      <c r="BL383" s="1123">
        <f>IF(BA383=0,0,(BB383-BA383)/BA383*100)</f>
        <v>0</v>
      </c>
      <c r="BM383" s="1123">
        <f>IF(BB383=0,0,(BC383-BB383)/BB383*100)</f>
        <v>0</v>
      </c>
      <c r="BN383" s="6290"/>
      <c r="BO383" s="6294" t="str">
        <f>IF(_xlfn.IFERROR(INDEX(Налоги!$K$26:$L$83,MATCH($F383&amp;"2komm",Налоги!$K$26:$K$83,0),2),"")=0,"",_xlfn.IFERROR(INDEX(Налоги!$K$26:$L$83,MATCH($F383&amp;"2komm",Налоги!$K$26:$K$83,0),2),""))</f>
        <v>1) Глава 31 "ЗЕМЕЛЬНЫЙ НАЛОГ" "Налогового кодекса Российской Федерации (часть вторая)" от 05.08.2000 N 117-ФЗ. 2) Постановление Кемеровского городского Совета народных депутатов от 30.09.2005 N 263 (ред. от 27.06.2025) "Об установлении и введении в действие на территории города Кемерово земельного налога"  (для  затрат на сч. 26). 3)  Приказ ФНС России от 04.09.2019 N ММВ-7-21/440@.</v>
      </c>
      <c r="BP383" s="6290"/>
      <c r="BQ383" s="1297"/>
      <c r="BR383" s="1297"/>
      <c r="BS383" s="1072" t="s">
        <v>2314</v>
      </c>
      <c r="BT383" s="1072"/>
      <c r="BU383" s="1072"/>
      <c r="BV383" s="987"/>
      <c r="BW383" s="987"/>
    </row>
    <row s="1656" customFormat="1" customHeight="1" ht="14.25">
      <c r="A384" s="1297"/>
      <c r="B384" s="986"/>
      <c r="C384" s="103"/>
      <c r="D384" s="103"/>
      <c r="E384" s="626">
        <v>15</v>
      </c>
      <c r="F384" s="50" cm="1" t="str">
        <f t="array" ref="F384:F384">OFFSET(E384,-1,1)</f>
        <v>2</v>
      </c>
      <c r="G384" s="929">
        <v>4</v>
      </c>
      <c r="H384" s="103"/>
      <c r="I384" s="103" t="s">
        <v>2315</v>
      </c>
      <c r="J384" s="103"/>
      <c r="K384" s="103" t="s">
        <v>2315</v>
      </c>
      <c r="L384" s="988"/>
      <c r="M384" s="103"/>
      <c r="N384" s="103"/>
      <c r="O384" s="103"/>
      <c r="P384" s="103"/>
      <c r="Q384" s="103"/>
      <c r="R384" s="103"/>
      <c r="S384" s="103"/>
      <c r="T384" s="468" cm="1" t="str">
        <f t="array" ref="T384:T384">T383</f>
        <v>true</v>
      </c>
      <c r="U384" s="103"/>
      <c r="V384" s="103"/>
      <c r="W384" s="103"/>
      <c r="X384" s="1559"/>
      <c r="Y384" s="1297"/>
      <c r="Z384" s="1529"/>
      <c r="AA384" s="1297"/>
      <c r="AB384" s="296" t="s">
        <v>2316</v>
      </c>
      <c r="AC384" s="772" t="s">
        <v>2317</v>
      </c>
      <c r="AD384" s="296" t="s">
        <v>936</v>
      </c>
      <c r="AE384" s="1123">
        <f>_xlfn.SUMIFS(Налоги!AE$25:AE$83,Налоги!$F$25:$F$83,$F384,Налоги!$AB$25:$AB$83,$G384)</f>
        <v>0</v>
      </c>
      <c r="AF384" s="1123">
        <f>_xlfn.SUMIFS(Налоги!AF$25:AF$83,Налоги!$F$25:$F$83,$F384,Налоги!$AB$25:$AB$83,$G384)</f>
        <v>0</v>
      </c>
      <c r="AG384" s="1123">
        <f>_xlfn.SUMIFS(Налоги!AG$25:AG$83,Налоги!$F$25:$F$83,$F384,Налоги!$AB$25:$AB$83,$G384)</f>
        <v>0</v>
      </c>
      <c r="AH384" s="1123">
        <f>AG384-AF384</f>
        <v>0</v>
      </c>
      <c r="AI384" s="1123">
        <f>_xlfn.SUMIFS(Налоги!AH$25:AH$83,Налоги!$F$25:$F$83,$F384,Налоги!$AB$25:$AB$83,$G384)</f>
        <v>0</v>
      </c>
      <c r="AJ384" s="1123">
        <f>_xlfn.SUMIFS(Налоги!AI$25:AI$83,Налоги!$F$25:$F$83,$F384,Налоги!$AB$25:$AB$83,$G384)</f>
        <v>0</v>
      </c>
      <c r="AK384" s="1123">
        <f>_xlfn.SUMIFS(Налоги!AJ$25:AJ$83,Налоги!$F$25:$F$83,$F384,Налоги!$AB$25:$AB$83,$G384)</f>
        <v>0</v>
      </c>
      <c r="AL384" s="1123">
        <f>_xlfn.SUMIFS(Налоги!AK$25:AK$83,Налоги!$F$25:$F$83,$F384,Налоги!$AB$25:$AB$83,$G384)</f>
        <v>0</v>
      </c>
      <c r="AM384" s="1123">
        <f>_xlfn.SUMIFS(Налоги!AL$25:AL$83,Налоги!$F$25:$F$83,$F384,Налоги!$AB$25:$AB$83,$G384)</f>
        <v>0</v>
      </c>
      <c r="AN384" s="1123">
        <f>_xlfn.SUMIFS(Налоги!AM$25:AM$83,Налоги!$F$25:$F$83,$F384,Налоги!$AB$25:$AB$83,$G384)</f>
        <v>0</v>
      </c>
      <c r="AO384" s="1123">
        <f>_xlfn.SUMIFS(Налоги!AN$25:AN$83,Налоги!$F$25:$F$83,$F384,Налоги!$AB$25:$AB$83,$G384)</f>
        <v>0</v>
      </c>
      <c r="AP384" s="1123">
        <f>_xlfn.SUMIFS(Налоги!AO$25:AO$83,Налоги!$F$25:$F$83,$F384,Налоги!$AB$25:$AB$83,$G384)</f>
        <v>0</v>
      </c>
      <c r="AQ384" s="1123">
        <f>_xlfn.SUMIFS(Налоги!AP$25:AP$83,Налоги!$F$25:$F$83,$F384,Налоги!$AB$25:$AB$83,$G384)</f>
        <v>0</v>
      </c>
      <c r="AR384" s="1123">
        <f>_xlfn.SUMIFS(Налоги!AQ$25:AQ$83,Налоги!$F$25:$F$83,$F384,Налоги!$AB$25:$AB$83,$G384)</f>
        <v>0</v>
      </c>
      <c r="AS384" s="1123">
        <f>_xlfn.SUMIFS(Налоги!AR$25:AR$83,Налоги!$F$25:$F$83,$F384,Налоги!$AB$25:$AB$83,$G384)</f>
        <v>0</v>
      </c>
      <c r="AT384" s="1123">
        <f>_xlfn.SUMIFS(Налоги!AS$25:AS$83,Налоги!$F$25:$F$83,$F384,Налоги!$AB$25:$AB$83,$G384)</f>
        <v>0</v>
      </c>
      <c r="AU384" s="1123">
        <f>_xlfn.SUMIFS(Налоги!AT$25:AT$83,Налоги!$F$25:$F$83,$F384,Налоги!$AB$25:$AB$83,$G384)</f>
        <v>0</v>
      </c>
      <c r="AV384" s="1123">
        <f>_xlfn.SUMIFS(Налоги!AU$25:AU$83,Налоги!$F$25:$F$83,$F384,Налоги!$AB$25:$AB$83,$G384)</f>
        <v>0</v>
      </c>
      <c r="AW384" s="1123">
        <f>_xlfn.SUMIFS(Налоги!AV$25:AV$83,Налоги!$F$25:$F$83,$F384,Налоги!$AB$25:$AB$83,$G384)</f>
        <v>0</v>
      </c>
      <c r="AX384" s="1123">
        <f>_xlfn.SUMIFS(Налоги!AW$25:AW$83,Налоги!$F$25:$F$83,$F384,Налоги!$AB$25:$AB$83,$G384)</f>
        <v>0</v>
      </c>
      <c r="AY384" s="1123">
        <f>_xlfn.SUMIFS(Налоги!AX$25:AX$83,Налоги!$F$25:$F$83,$F384,Налоги!$AB$25:$AB$83,$G384)</f>
        <v>0</v>
      </c>
      <c r="AZ384" s="1123">
        <f>_xlfn.SUMIFS(Налоги!AY$25:AY$83,Налоги!$F$25:$F$83,$F384,Налоги!$AB$25:$AB$83,$G384)</f>
        <v>0</v>
      </c>
      <c r="BA384" s="1123">
        <f>_xlfn.SUMIFS(Налоги!AZ$25:AZ$83,Налоги!$F$25:$F$83,$F384,Налоги!$AB$25:$AB$83,$G384)</f>
        <v>0</v>
      </c>
      <c r="BB384" s="1123">
        <f>_xlfn.SUMIFS(Налоги!BA$25:BA$83,Налоги!$F$25:$F$83,$F384,Налоги!$AB$25:$AB$83,$G384)</f>
        <v>0</v>
      </c>
      <c r="BC384" s="1123">
        <f>_xlfn.SUMIFS(Налоги!BB$25:BB$83,Налоги!$F$25:$F$83,$F384,Налоги!$AB$25:$AB$83,$G384)</f>
        <v>0</v>
      </c>
      <c r="BD384" s="1123">
        <f>IF(AI384=0,0,(AT384-AI384)/AI384*100)</f>
        <v>0</v>
      </c>
      <c r="BE384" s="1123">
        <f>IF(AT384=0,0,(AU384-AT384)/AT384*100)</f>
        <v>0</v>
      </c>
      <c r="BF384" s="1123">
        <f>IF(AU384=0,0,(AV384-AU384)/AU384*100)</f>
        <v>0</v>
      </c>
      <c r="BG384" s="1123">
        <f>IF(AV384=0,0,(AW384-AV384)/AV384*100)</f>
        <v>0</v>
      </c>
      <c r="BH384" s="1123">
        <f>IF(AW384=0,0,(AX384-AW384)/AW384*100)</f>
        <v>0</v>
      </c>
      <c r="BI384" s="1123">
        <f>IF(AX384=0,0,(AY384-AX384)/AX384*100)</f>
        <v>0</v>
      </c>
      <c r="BJ384" s="1123">
        <f>IF(AY384=0,0,(AZ384-AY384)/AY384*100)</f>
        <v>0</v>
      </c>
      <c r="BK384" s="1123">
        <f>IF(AZ384=0,0,(BA384-AZ384)/AZ384*100)</f>
        <v>0</v>
      </c>
      <c r="BL384" s="1123">
        <f>IF(BA384=0,0,(BB384-BA384)/BA384*100)</f>
        <v>0</v>
      </c>
      <c r="BM384" s="1123">
        <f>IF(BB384=0,0,(BC384-BB384)/BB384*100)</f>
        <v>0</v>
      </c>
      <c r="BN384" s="6290"/>
      <c r="BO384" s="6294" t="str">
        <f>IF(_xlfn.IFERROR(INDEX(Налоги!$K$26:$L$83,MATCH($F384&amp;"4komm",Налоги!$K$26:$K$83,0),2),"")=0,"",_xlfn.IFERROR(INDEX(Налоги!$K$26:$L$83,MATCH($F384&amp;"4komm",Налоги!$K$26:$K$83,0),2),""))</f>
        <v>Приказ Первого заместителя Генерального директора ОАО "СКЭК" от 31.12.2023 № 375 "О внесении изменений в Учетную политику" (Пункт 1.1).</v>
      </c>
      <c r="BP384" s="6290"/>
      <c r="BQ384" s="1297"/>
      <c r="BR384" s="1297"/>
      <c r="BS384" s="1072" t="s">
        <v>2318</v>
      </c>
      <c r="BT384" s="1072"/>
      <c r="BU384" s="1072"/>
      <c r="BV384" s="987"/>
      <c r="BW384" s="987"/>
    </row>
    <row s="1656" customFormat="1" customHeight="1" ht="14.25">
      <c r="A385" s="1297"/>
      <c r="B385" s="986"/>
      <c r="C385" s="103"/>
      <c r="D385" s="103"/>
      <c r="E385" s="626">
        <v>15</v>
      </c>
      <c r="F385" s="50" cm="1" t="str">
        <f t="array" ref="F385:F385">OFFSET(E385,-1,1)</f>
        <v>2</v>
      </c>
      <c r="G385" s="929">
        <v>5</v>
      </c>
      <c r="H385" s="103"/>
      <c r="I385" s="103" t="s">
        <v>2319</v>
      </c>
      <c r="J385" s="103"/>
      <c r="K385" s="103" t="s">
        <v>2319</v>
      </c>
      <c r="L385" s="988"/>
      <c r="M385" s="103"/>
      <c r="N385" s="103"/>
      <c r="O385" s="103"/>
      <c r="P385" s="103"/>
      <c r="Q385" s="103"/>
      <c r="R385" s="103"/>
      <c r="S385" s="103"/>
      <c r="T385" s="468" cm="1" t="str">
        <f t="array" ref="T385:T385">T384</f>
        <v>true</v>
      </c>
      <c r="U385" s="103"/>
      <c r="V385" s="103"/>
      <c r="W385" s="103"/>
      <c r="X385" s="1559"/>
      <c r="Y385" s="1297"/>
      <c r="Z385" s="1529"/>
      <c r="AA385" s="1297"/>
      <c r="AB385" s="296" t="s">
        <v>2320</v>
      </c>
      <c r="AC385" s="772" t="s">
        <v>2321</v>
      </c>
      <c r="AD385" s="296" t="s">
        <v>936</v>
      </c>
      <c r="AE385" s="1123">
        <f>_xlfn.SUMIFS(Налоги!AE$25:AE$83,Налоги!$F$25:$F$83,$F385,Налоги!$AB$25:$AB$83,$G385)</f>
        <v>0</v>
      </c>
      <c r="AF385" s="1123">
        <f>_xlfn.SUMIFS(Налоги!AF$25:AF$83,Налоги!$F$25:$F$83,$F385,Налоги!$AB$25:$AB$83,$G385)</f>
        <v>0</v>
      </c>
      <c r="AG385" s="1123">
        <f>_xlfn.SUMIFS(Налоги!AG$25:AG$83,Налоги!$F$25:$F$83,$F385,Налоги!$AB$25:$AB$83,$G385)</f>
        <v>0</v>
      </c>
      <c r="AH385" s="1123">
        <f>AG385-AF385</f>
        <v>0</v>
      </c>
      <c r="AI385" s="1123">
        <f>_xlfn.SUMIFS(Налоги!AH$25:AH$83,Налоги!$F$25:$F$83,$F385,Налоги!$AB$25:$AB$83,$G385)</f>
        <v>0</v>
      </c>
      <c r="AJ385" s="1123">
        <f>_xlfn.SUMIFS(Налоги!AI$25:AI$83,Налоги!$F$25:$F$83,$F385,Налоги!$AB$25:$AB$83,$G385)</f>
        <v>0</v>
      </c>
      <c r="AK385" s="1123">
        <f>_xlfn.SUMIFS(Налоги!AJ$25:AJ$83,Налоги!$F$25:$F$83,$F385,Налоги!$AB$25:$AB$83,$G385)</f>
        <v>0</v>
      </c>
      <c r="AL385" s="1123">
        <f>_xlfn.SUMIFS(Налоги!AK$25:AK$83,Налоги!$F$25:$F$83,$F385,Налоги!$AB$25:$AB$83,$G385)</f>
        <v>0</v>
      </c>
      <c r="AM385" s="1123">
        <f>_xlfn.SUMIFS(Налоги!AL$25:AL$83,Налоги!$F$25:$F$83,$F385,Налоги!$AB$25:$AB$83,$G385)</f>
        <v>0</v>
      </c>
      <c r="AN385" s="1123">
        <f>_xlfn.SUMIFS(Налоги!AM$25:AM$83,Налоги!$F$25:$F$83,$F385,Налоги!$AB$25:$AB$83,$G385)</f>
        <v>0</v>
      </c>
      <c r="AO385" s="1123">
        <f>_xlfn.SUMIFS(Налоги!AN$25:AN$83,Налоги!$F$25:$F$83,$F385,Налоги!$AB$25:$AB$83,$G385)</f>
        <v>0</v>
      </c>
      <c r="AP385" s="1123">
        <f>_xlfn.SUMIFS(Налоги!AO$25:AO$83,Налоги!$F$25:$F$83,$F385,Налоги!$AB$25:$AB$83,$G385)</f>
        <v>0</v>
      </c>
      <c r="AQ385" s="1123">
        <f>_xlfn.SUMIFS(Налоги!AP$25:AP$83,Налоги!$F$25:$F$83,$F385,Налоги!$AB$25:$AB$83,$G385)</f>
        <v>0</v>
      </c>
      <c r="AR385" s="1123">
        <f>_xlfn.SUMIFS(Налоги!AQ$25:AQ$83,Налоги!$F$25:$F$83,$F385,Налоги!$AB$25:$AB$83,$G385)</f>
        <v>0</v>
      </c>
      <c r="AS385" s="1123">
        <f>_xlfn.SUMIFS(Налоги!AR$25:AR$83,Налоги!$F$25:$F$83,$F385,Налоги!$AB$25:$AB$83,$G385)</f>
        <v>0</v>
      </c>
      <c r="AT385" s="1123">
        <f>_xlfn.SUMIFS(Налоги!AS$25:AS$83,Налоги!$F$25:$F$83,$F385,Налоги!$AB$25:$AB$83,$G385)</f>
        <v>0</v>
      </c>
      <c r="AU385" s="1123">
        <f>_xlfn.SUMIFS(Налоги!AT$25:AT$83,Налоги!$F$25:$F$83,$F385,Налоги!$AB$25:$AB$83,$G385)</f>
        <v>0</v>
      </c>
      <c r="AV385" s="1123">
        <f>_xlfn.SUMIFS(Налоги!AU$25:AU$83,Налоги!$F$25:$F$83,$F385,Налоги!$AB$25:$AB$83,$G385)</f>
        <v>0</v>
      </c>
      <c r="AW385" s="1123">
        <f>_xlfn.SUMIFS(Налоги!AV$25:AV$83,Налоги!$F$25:$F$83,$F385,Налоги!$AB$25:$AB$83,$G385)</f>
        <v>0</v>
      </c>
      <c r="AX385" s="1123">
        <f>_xlfn.SUMIFS(Налоги!AW$25:AW$83,Налоги!$F$25:$F$83,$F385,Налоги!$AB$25:$AB$83,$G385)</f>
        <v>0</v>
      </c>
      <c r="AY385" s="1123">
        <f>_xlfn.SUMIFS(Налоги!AX$25:AX$83,Налоги!$F$25:$F$83,$F385,Налоги!$AB$25:$AB$83,$G385)</f>
        <v>0</v>
      </c>
      <c r="AZ385" s="1123">
        <f>_xlfn.SUMIFS(Налоги!AY$25:AY$83,Налоги!$F$25:$F$83,$F385,Налоги!$AB$25:$AB$83,$G385)</f>
        <v>0</v>
      </c>
      <c r="BA385" s="1123">
        <f>_xlfn.SUMIFS(Налоги!AZ$25:AZ$83,Налоги!$F$25:$F$83,$F385,Налоги!$AB$25:$AB$83,$G385)</f>
        <v>0</v>
      </c>
      <c r="BB385" s="1123">
        <f>_xlfn.SUMIFS(Налоги!BA$25:BA$83,Налоги!$F$25:$F$83,$F385,Налоги!$AB$25:$AB$83,$G385)</f>
        <v>0</v>
      </c>
      <c r="BC385" s="1123">
        <f>_xlfn.SUMIFS(Налоги!BB$25:BB$83,Налоги!$F$25:$F$83,$F385,Налоги!$AB$25:$AB$83,$G385)</f>
        <v>0</v>
      </c>
      <c r="BD385" s="1123">
        <f>IF(AI385=0,0,(AT385-AI385)/AI385*100)</f>
        <v>0</v>
      </c>
      <c r="BE385" s="1123">
        <f>IF(AT385=0,0,(AU385-AT385)/AT385*100)</f>
        <v>0</v>
      </c>
      <c r="BF385" s="1123">
        <f>IF(AU385=0,0,(AV385-AU385)/AU385*100)</f>
        <v>0</v>
      </c>
      <c r="BG385" s="1123">
        <f>IF(AV385=0,0,(AW385-AV385)/AV385*100)</f>
        <v>0</v>
      </c>
      <c r="BH385" s="1123">
        <f>IF(AW385=0,0,(AX385-AW385)/AW385*100)</f>
        <v>0</v>
      </c>
      <c r="BI385" s="1123">
        <f>IF(AX385=0,0,(AY385-AX385)/AX385*100)</f>
        <v>0</v>
      </c>
      <c r="BJ385" s="1123">
        <f>IF(AY385=0,0,(AZ385-AY385)/AY385*100)</f>
        <v>0</v>
      </c>
      <c r="BK385" s="1123">
        <f>IF(AZ385=0,0,(BA385-AZ385)/AZ385*100)</f>
        <v>0</v>
      </c>
      <c r="BL385" s="1123">
        <f>IF(BA385=0,0,(BB385-BA385)/BA385*100)</f>
        <v>0</v>
      </c>
      <c r="BM385" s="1123">
        <f>IF(BB385=0,0,(BC385-BB385)/BB385*100)</f>
        <v>0</v>
      </c>
      <c r="BN385" s="6290"/>
      <c r="BO385" s="6294" t="str">
        <f>IF(_xlfn.IFERROR(INDEX(Налоги!$K$26:$L$83,MATCH($F385&amp;"5komm",Налоги!$K$26:$K$83,0),2),"")=0,"",_xlfn.IFERROR(INDEX(Налоги!$K$26:$L$83,MATCH($F385&amp;"5komm",Налоги!$K$26:$K$83,0),2),""))</f>
        <v/>
      </c>
      <c r="BP385" s="6290"/>
      <c r="BQ385" s="1297"/>
      <c r="BR385" s="1297"/>
      <c r="BS385" s="1072" t="s">
        <v>2322</v>
      </c>
      <c r="BT385" s="1072"/>
      <c r="BU385" s="1072"/>
      <c r="BV385" s="987"/>
      <c r="BW385" s="987"/>
    </row>
    <row s="1656" customFormat="1" customHeight="1" ht="14.25">
      <c r="A386" s="1297"/>
      <c r="B386" s="986"/>
      <c r="C386" s="103"/>
      <c r="D386" s="103"/>
      <c r="E386" s="626">
        <v>15</v>
      </c>
      <c r="F386" s="50" cm="1" t="str">
        <f t="array" ref="F386:F386">OFFSET(E386,-1,1)</f>
        <v>2</v>
      </c>
      <c r="G386" s="929">
        <v>1</v>
      </c>
      <c r="H386" s="103"/>
      <c r="I386" s="103" t="s">
        <v>2323</v>
      </c>
      <c r="J386" s="103"/>
      <c r="K386" s="103" t="s">
        <v>2323</v>
      </c>
      <c r="L386" s="988"/>
      <c r="M386" s="103"/>
      <c r="N386" s="103"/>
      <c r="O386" s="103"/>
      <c r="P386" s="103"/>
      <c r="Q386" s="103"/>
      <c r="R386" s="103"/>
      <c r="S386" s="103"/>
      <c r="T386" s="468" cm="1" t="str">
        <f t="array" ref="T386:T386">T385</f>
        <v>true</v>
      </c>
      <c r="U386" s="103"/>
      <c r="V386" s="103"/>
      <c r="W386" s="103"/>
      <c r="X386" s="1559"/>
      <c r="Y386" s="1297"/>
      <c r="Z386" s="1529"/>
      <c r="AA386" s="1297"/>
      <c r="AB386" s="296" t="s">
        <v>2324</v>
      </c>
      <c r="AC386" s="772" t="s">
        <v>2325</v>
      </c>
      <c r="AD386" s="296" t="s">
        <v>936</v>
      </c>
      <c r="AE386" s="1123">
        <f>_xlfn.SUMIFS(Налоги!AE$25:AE$83,Налоги!$F$25:$F$83,$F386,Налоги!$AB$25:$AB$83,$G386)</f>
        <v>1.96</v>
      </c>
      <c r="AF386" s="1123">
        <f>_xlfn.SUMIFS(Налоги!AF$25:AF$83,Налоги!$F$25:$F$83,$F386,Налоги!$AB$25:$AB$83,$G386)</f>
        <v>45.7</v>
      </c>
      <c r="AG386" s="1123">
        <f>_xlfn.SUMIFS(Налоги!AG$25:AG$83,Налоги!$F$25:$F$83,$F386,Налоги!$AB$25:$AB$83,$G386)</f>
        <v>45.7</v>
      </c>
      <c r="AH386" s="1123">
        <f>AG386-AF386</f>
        <v>0</v>
      </c>
      <c r="AI386" s="1123">
        <f>_xlfn.SUMIFS(Налоги!AH$25:AH$83,Налоги!$F$25:$F$83,$F386,Налоги!$AB$25:$AB$83,$G386)</f>
        <v>6.82</v>
      </c>
      <c r="AJ386" s="1123">
        <f>_xlfn.SUMIFS(Налоги!AI$25:AI$83,Налоги!$F$25:$F$83,$F386,Налоги!$AB$25:$AB$83,$G386)</f>
        <v>45.7</v>
      </c>
      <c r="AK386" s="1123">
        <f>_xlfn.SUMIFS(Налоги!AJ$25:AJ$83,Налоги!$F$25:$F$83,$F386,Налоги!$AB$25:$AB$83,$G386)</f>
        <v>0</v>
      </c>
      <c r="AL386" s="1123">
        <f>_xlfn.SUMIFS(Налоги!AK$25:AK$83,Налоги!$F$25:$F$83,$F386,Налоги!$AB$25:$AB$83,$G386)</f>
        <v>0</v>
      </c>
      <c r="AM386" s="1123">
        <f>_xlfn.SUMIFS(Налоги!AL$25:AL$83,Налоги!$F$25:$F$83,$F386,Налоги!$AB$25:$AB$83,$G386)</f>
        <v>0</v>
      </c>
      <c r="AN386" s="1123">
        <f>_xlfn.SUMIFS(Налоги!AM$25:AM$83,Налоги!$F$25:$F$83,$F386,Налоги!$AB$25:$AB$83,$G386)</f>
        <v>0</v>
      </c>
      <c r="AO386" s="1123">
        <f>_xlfn.SUMIFS(Налоги!AN$25:AN$83,Налоги!$F$25:$F$83,$F386,Налоги!$AB$25:$AB$83,$G386)</f>
        <v>0</v>
      </c>
      <c r="AP386" s="1123">
        <f>_xlfn.SUMIFS(Налоги!AO$25:AO$83,Налоги!$F$25:$F$83,$F386,Налоги!$AB$25:$AB$83,$G386)</f>
        <v>0</v>
      </c>
      <c r="AQ386" s="1123">
        <f>_xlfn.SUMIFS(Налоги!AP$25:AP$83,Налоги!$F$25:$F$83,$F386,Налоги!$AB$25:$AB$83,$G386)</f>
        <v>0</v>
      </c>
      <c r="AR386" s="1123">
        <f>_xlfn.SUMIFS(Налоги!AQ$25:AQ$83,Налоги!$F$25:$F$83,$F386,Налоги!$AB$25:$AB$83,$G386)</f>
        <v>0</v>
      </c>
      <c r="AS386" s="1123">
        <f>_xlfn.SUMIFS(Налоги!AR$25:AR$83,Налоги!$F$25:$F$83,$F386,Налоги!$AB$25:$AB$83,$G386)</f>
        <v>0</v>
      </c>
      <c r="AT386" s="1123">
        <f>_xlfn.SUMIFS(Налоги!AS$25:AS$83,Налоги!$F$25:$F$83,$F386,Налоги!$AB$25:$AB$83,$G386)</f>
        <v>45.7</v>
      </c>
      <c r="AU386" s="1123">
        <f>_xlfn.SUMIFS(Налоги!AT$25:AT$83,Налоги!$F$25:$F$83,$F386,Налоги!$AB$25:$AB$83,$G386)</f>
        <v>0</v>
      </c>
      <c r="AV386" s="1123">
        <f>_xlfn.SUMIFS(Налоги!AU$25:AU$83,Налоги!$F$25:$F$83,$F386,Налоги!$AB$25:$AB$83,$G386)</f>
        <v>0</v>
      </c>
      <c r="AW386" s="1123">
        <f>_xlfn.SUMIFS(Налоги!AV$25:AV$83,Налоги!$F$25:$F$83,$F386,Налоги!$AB$25:$AB$83,$G386)</f>
        <v>0</v>
      </c>
      <c r="AX386" s="1123">
        <f>_xlfn.SUMIFS(Налоги!AW$25:AW$83,Налоги!$F$25:$F$83,$F386,Налоги!$AB$25:$AB$83,$G386)</f>
        <v>0</v>
      </c>
      <c r="AY386" s="1123">
        <f>_xlfn.SUMIFS(Налоги!AX$25:AX$83,Налоги!$F$25:$F$83,$F386,Налоги!$AB$25:$AB$83,$G386)</f>
        <v>0</v>
      </c>
      <c r="AZ386" s="1123">
        <f>_xlfn.SUMIFS(Налоги!AY$25:AY$83,Налоги!$F$25:$F$83,$F386,Налоги!$AB$25:$AB$83,$G386)</f>
        <v>0</v>
      </c>
      <c r="BA386" s="1123">
        <f>_xlfn.SUMIFS(Налоги!AZ$25:AZ$83,Налоги!$F$25:$F$83,$F386,Налоги!$AB$25:$AB$83,$G386)</f>
        <v>0</v>
      </c>
      <c r="BB386" s="1123">
        <f>_xlfn.SUMIFS(Налоги!BA$25:BA$83,Налоги!$F$25:$F$83,$F386,Налоги!$AB$25:$AB$83,$G386)</f>
        <v>0</v>
      </c>
      <c r="BC386" s="1123">
        <f>_xlfn.SUMIFS(Налоги!BB$25:BB$83,Налоги!$F$25:$F$83,$F386,Налоги!$AB$25:$AB$83,$G386)</f>
        <v>0</v>
      </c>
      <c r="BD386" s="1123">
        <f>IF(AI386=0,0,(AT386-AI386)/AI386*100)</f>
        <v>570.087976539589</v>
      </c>
      <c r="BE386" s="1123">
        <f>IF(AT386=0,0,(AU386-AT386)/AT386*100)</f>
        <v>-100</v>
      </c>
      <c r="BF386" s="1123">
        <f>IF(AU386=0,0,(AV386-AU386)/AU386*100)</f>
        <v>0</v>
      </c>
      <c r="BG386" s="1123">
        <f>IF(AV386=0,0,(AW386-AV386)/AV386*100)</f>
        <v>0</v>
      </c>
      <c r="BH386" s="1123">
        <f>IF(AW386=0,0,(AX386-AW386)/AW386*100)</f>
        <v>0</v>
      </c>
      <c r="BI386" s="1123">
        <f>IF(AX386=0,0,(AY386-AX386)/AX386*100)</f>
        <v>0</v>
      </c>
      <c r="BJ386" s="1123">
        <f>IF(AY386=0,0,(AZ386-AY386)/AY386*100)</f>
        <v>0</v>
      </c>
      <c r="BK386" s="1123">
        <f>IF(AZ386=0,0,(BA386-AZ386)/AZ386*100)</f>
        <v>0</v>
      </c>
      <c r="BL386" s="1123">
        <f>IF(BA386=0,0,(BB386-BA386)/BA386*100)</f>
        <v>0</v>
      </c>
      <c r="BM386" s="1123">
        <f>IF(BB386=0,0,(BC386-BB386)/BB386*100)</f>
        <v>0</v>
      </c>
      <c r="BN386" s="6290"/>
      <c r="BO386" s="6294" t="str">
        <f>IF(_xlfn.IFERROR(INDEX(Налоги!$K$26:$L$83,MATCH($F386&amp;"1komm",Налоги!$K$26:$K$83,0),2),"")=0,"",_xlfn.IFERROR(INDEX(Налоги!$K$26:$L$83,MATCH($F386&amp;"1komm",Налоги!$K$26:$K$83,0),2),""))</f>
        <v>1) Глава 28 "ТРАНСПОРТНЫЙ НАЛОГ" "Налогового кодекса Российской Федерации (часть вторая)" от 05.08.2000 N 117-ФЗ. 2) Закон Кемеровской области от 28.11.2002 N 95-ОЗ (ред. от 27.11.2025) "О транспортном налоге". 3) Приказ ФНС России от 04.09.2019 N ММВ-7-21/440@.</v>
      </c>
      <c r="BP386" s="6290"/>
      <c r="BQ386" s="1297"/>
      <c r="BR386" s="1297"/>
      <c r="BS386" s="1072" t="s">
        <v>2326</v>
      </c>
      <c r="BT386" s="1072"/>
      <c r="BU386" s="1072"/>
      <c r="BV386" s="987"/>
      <c r="BW386" s="987"/>
    </row>
    <row s="1656" customFormat="1" customHeight="1" ht="14.25">
      <c r="A387" s="1297"/>
      <c r="B387" s="986"/>
      <c r="C387" s="103"/>
      <c r="D387" s="103"/>
      <c r="E387" s="626">
        <v>15</v>
      </c>
      <c r="F387" s="50" cm="1" t="str">
        <f t="array" ref="F387:F387">OFFSET(E387,-1,1)</f>
        <v>2</v>
      </c>
      <c r="G387" s="929">
        <v>3</v>
      </c>
      <c r="H387" s="103"/>
      <c r="I387" s="103" t="s">
        <v>2327</v>
      </c>
      <c r="J387" s="103"/>
      <c r="K387" s="103" t="s">
        <v>2327</v>
      </c>
      <c r="L387" s="988"/>
      <c r="M387" s="103"/>
      <c r="N387" s="103"/>
      <c r="O387" s="103"/>
      <c r="P387" s="103"/>
      <c r="Q387" s="103"/>
      <c r="R387" s="103"/>
      <c r="S387" s="103"/>
      <c r="T387" s="468" cm="1" t="str">
        <f t="array" ref="T387:T387">T386</f>
        <v>true</v>
      </c>
      <c r="U387" s="103"/>
      <c r="V387" s="103"/>
      <c r="W387" s="103"/>
      <c r="X387" s="1559"/>
      <c r="Y387" s="1297"/>
      <c r="Z387" s="1529"/>
      <c r="AA387" s="1297"/>
      <c r="AB387" s="296" t="s">
        <v>2328</v>
      </c>
      <c r="AC387" s="772" t="s">
        <v>2329</v>
      </c>
      <c r="AD387" s="296" t="s">
        <v>936</v>
      </c>
      <c r="AE387" s="1123">
        <f>_xlfn.SUMIFS(Налоги!AE$25:AE$83,Налоги!$F$25:$F$83,$F387,Налоги!$AB$25:$AB$83,$G387)</f>
        <v>34.45</v>
      </c>
      <c r="AF387" s="1123">
        <f>_xlfn.SUMIFS(Налоги!AF$25:AF$83,Налоги!$F$25:$F$83,$F387,Налоги!$AB$25:$AB$83,$G387)</f>
        <v>45.24</v>
      </c>
      <c r="AG387" s="1123">
        <f>_xlfn.SUMIFS(Налоги!AG$25:AG$83,Налоги!$F$25:$F$83,$F387,Налоги!$AB$25:$AB$83,$G387)</f>
        <v>43.64</v>
      </c>
      <c r="AH387" s="1123">
        <f>AG387-AF387</f>
        <v>-1.6</v>
      </c>
      <c r="AI387" s="1123">
        <f>_xlfn.SUMIFS(Налоги!AH$25:AH$83,Налоги!$F$25:$F$83,$F387,Налоги!$AB$25:$AB$83,$G387)</f>
        <v>34.45</v>
      </c>
      <c r="AJ387" s="1123">
        <f>_xlfn.SUMIFS(Налоги!AI$25:AI$83,Налоги!$F$25:$F$83,$F387,Налоги!$AB$25:$AB$83,$G387)</f>
        <v>4961.66</v>
      </c>
      <c r="AK387" s="1123">
        <f>_xlfn.SUMIFS(Налоги!AJ$25:AJ$83,Налоги!$F$25:$F$83,$F387,Налоги!$AB$25:$AB$83,$G387)</f>
        <v>0</v>
      </c>
      <c r="AL387" s="1123">
        <f>_xlfn.SUMIFS(Налоги!AK$25:AK$83,Налоги!$F$25:$F$83,$F387,Налоги!$AB$25:$AB$83,$G387)</f>
        <v>0</v>
      </c>
      <c r="AM387" s="1123">
        <f>_xlfn.SUMIFS(Налоги!AL$25:AL$83,Налоги!$F$25:$F$83,$F387,Налоги!$AB$25:$AB$83,$G387)</f>
        <v>0</v>
      </c>
      <c r="AN387" s="1123">
        <f>_xlfn.SUMIFS(Налоги!AM$25:AM$83,Налоги!$F$25:$F$83,$F387,Налоги!$AB$25:$AB$83,$G387)</f>
        <v>0</v>
      </c>
      <c r="AO387" s="1123">
        <f>_xlfn.SUMIFS(Налоги!AN$25:AN$83,Налоги!$F$25:$F$83,$F387,Налоги!$AB$25:$AB$83,$G387)</f>
        <v>0</v>
      </c>
      <c r="AP387" s="1123">
        <f>_xlfn.SUMIFS(Налоги!AO$25:AO$83,Налоги!$F$25:$F$83,$F387,Налоги!$AB$25:$AB$83,$G387)</f>
        <v>0</v>
      </c>
      <c r="AQ387" s="1123">
        <f>_xlfn.SUMIFS(Налоги!AP$25:AP$83,Налоги!$F$25:$F$83,$F387,Налоги!$AB$25:$AB$83,$G387)</f>
        <v>0</v>
      </c>
      <c r="AR387" s="1123">
        <f>_xlfn.SUMIFS(Налоги!AQ$25:AQ$83,Налоги!$F$25:$F$83,$F387,Налоги!$AB$25:$AB$83,$G387)</f>
        <v>0</v>
      </c>
      <c r="AS387" s="1123">
        <f>_xlfn.SUMIFS(Налоги!AR$25:AR$83,Налоги!$F$25:$F$83,$F387,Налоги!$AB$25:$AB$83,$G387)</f>
        <v>0</v>
      </c>
      <c r="AT387" s="1123">
        <f>_xlfn.SUMIFS(Налоги!AS$25:AS$83,Налоги!$F$25:$F$83,$F387,Налоги!$AB$25:$AB$83,$G387)</f>
        <v>4961.66</v>
      </c>
      <c r="AU387" s="1123">
        <f>_xlfn.SUMIFS(Налоги!AT$25:AT$83,Налоги!$F$25:$F$83,$F387,Налоги!$AB$25:$AB$83,$G387)</f>
        <v>0</v>
      </c>
      <c r="AV387" s="1123">
        <f>_xlfn.SUMIFS(Налоги!AU$25:AU$83,Налоги!$F$25:$F$83,$F387,Налоги!$AB$25:$AB$83,$G387)</f>
        <v>0</v>
      </c>
      <c r="AW387" s="1123">
        <f>_xlfn.SUMIFS(Налоги!AV$25:AV$83,Налоги!$F$25:$F$83,$F387,Налоги!$AB$25:$AB$83,$G387)</f>
        <v>0</v>
      </c>
      <c r="AX387" s="1123">
        <f>_xlfn.SUMIFS(Налоги!AW$25:AW$83,Налоги!$F$25:$F$83,$F387,Налоги!$AB$25:$AB$83,$G387)</f>
        <v>0</v>
      </c>
      <c r="AY387" s="1123">
        <f>_xlfn.SUMIFS(Налоги!AX$25:AX$83,Налоги!$F$25:$F$83,$F387,Налоги!$AB$25:$AB$83,$G387)</f>
        <v>0</v>
      </c>
      <c r="AZ387" s="1123">
        <f>_xlfn.SUMIFS(Налоги!AY$25:AY$83,Налоги!$F$25:$F$83,$F387,Налоги!$AB$25:$AB$83,$G387)</f>
        <v>0</v>
      </c>
      <c r="BA387" s="1123">
        <f>_xlfn.SUMIFS(Налоги!AZ$25:AZ$83,Налоги!$F$25:$F$83,$F387,Налоги!$AB$25:$AB$83,$G387)</f>
        <v>0</v>
      </c>
      <c r="BB387" s="1123">
        <f>_xlfn.SUMIFS(Налоги!BA$25:BA$83,Налоги!$F$25:$F$83,$F387,Налоги!$AB$25:$AB$83,$G387)</f>
        <v>0</v>
      </c>
      <c r="BC387" s="1123">
        <f>_xlfn.SUMIFS(Налоги!BB$25:BB$83,Налоги!$F$25:$F$83,$F387,Налоги!$AB$25:$AB$83,$G387)</f>
        <v>0</v>
      </c>
      <c r="BD387" s="1123">
        <f>IF(AI387=0,0,(AT387-AI387)/AI387*100)</f>
        <v>14302.496371553</v>
      </c>
      <c r="BE387" s="1123">
        <f>IF(AT387=0,0,(AU387-AT387)/AT387*100)</f>
        <v>-100</v>
      </c>
      <c r="BF387" s="1123">
        <f>IF(AU387=0,0,(AV387-AU387)/AU387*100)</f>
        <v>0</v>
      </c>
      <c r="BG387" s="1123">
        <f>IF(AV387=0,0,(AW387-AV387)/AV387*100)</f>
        <v>0</v>
      </c>
      <c r="BH387" s="1123">
        <f>IF(AW387=0,0,(AX387-AW387)/AW387*100)</f>
        <v>0</v>
      </c>
      <c r="BI387" s="1123">
        <f>IF(AX387=0,0,(AY387-AX387)/AX387*100)</f>
        <v>0</v>
      </c>
      <c r="BJ387" s="1123">
        <f>IF(AY387=0,0,(AZ387-AY387)/AY387*100)</f>
        <v>0</v>
      </c>
      <c r="BK387" s="1123">
        <f>IF(AZ387=0,0,(BA387-AZ387)/AZ387*100)</f>
        <v>0</v>
      </c>
      <c r="BL387" s="1123">
        <f>IF(BA387=0,0,(BB387-BA387)/BA387*100)</f>
        <v>0</v>
      </c>
      <c r="BM387" s="1123">
        <f>IF(BB387=0,0,(BC387-BB387)/BB387*100)</f>
        <v>0</v>
      </c>
      <c r="BN387" s="6290"/>
      <c r="BO387" s="6294" t="str">
        <f>IF(_xlfn.IFERROR(INDEX(Налоги!$K$26:$L$83,MATCH($F387&amp;"5komm",Налоги!$K$26:$K$83,0),2),"")=0,"",_xlfn.IFERROR(INDEX(Налоги!$K$26:$L$83,MATCH($F387&amp;"5komm",Налоги!$K$26:$K$83,0),2),""))</f>
        <v/>
      </c>
      <c r="BP387" s="6290"/>
      <c r="BQ387" s="1297"/>
      <c r="BR387" s="1297"/>
      <c r="BS387" s="1072" t="s">
        <v>2330</v>
      </c>
      <c r="BT387" s="1072"/>
      <c r="BU387" s="1072"/>
      <c r="BV387" s="987"/>
      <c r="BW387" s="987"/>
    </row>
    <row s="1656" customFormat="1" customHeight="1" ht="14.25">
      <c r="A388" s="1297"/>
      <c r="B388" s="986"/>
      <c r="C388" s="103"/>
      <c r="D388" s="103"/>
      <c r="E388" s="626">
        <v>15</v>
      </c>
      <c r="F388" s="50" cm="1" t="str">
        <f t="array" ref="F388:F388">OFFSET(E388,-1,1)</f>
        <v>2</v>
      </c>
      <c r="G388" s="929">
        <v>8</v>
      </c>
      <c r="H388" s="103"/>
      <c r="I388" s="103" t="s">
        <v>2331</v>
      </c>
      <c r="J388" s="103"/>
      <c r="K388" s="103" t="s">
        <v>2331</v>
      </c>
      <c r="L388" s="988"/>
      <c r="M388" s="103"/>
      <c r="N388" s="103"/>
      <c r="O388" s="103"/>
      <c r="P388" s="103"/>
      <c r="Q388" s="103"/>
      <c r="R388" s="103"/>
      <c r="S388" s="103"/>
      <c r="T388" s="468" cm="1" t="str">
        <f t="array" ref="T388:T388">T387</f>
        <v>true</v>
      </c>
      <c r="U388" s="103"/>
      <c r="V388" s="103"/>
      <c r="W388" s="103"/>
      <c r="X388" s="1559"/>
      <c r="Y388" s="1297"/>
      <c r="Z388" s="1529"/>
      <c r="AA388" s="1297"/>
      <c r="AB388" s="296" t="s">
        <v>2332</v>
      </c>
      <c r="AC388" s="772" t="s">
        <v>2333</v>
      </c>
      <c r="AD388" s="296" t="s">
        <v>936</v>
      </c>
      <c r="AE388" s="1123">
        <f>_xlfn.SUMIFS(Налоги!AE$25:AE$83,Налоги!$F$25:$F$83,$F388,Налоги!$AB$25:$AB$83,$G388)</f>
        <v>0</v>
      </c>
      <c r="AF388" s="1123">
        <f>_xlfn.SUMIFS(Налоги!AF$25:AF$83,Налоги!$F$25:$F$83,$F388,Налоги!$AB$25:$AB$83,$G388)</f>
        <v>0</v>
      </c>
      <c r="AG388" s="1123">
        <f>_xlfn.SUMIFS(Налоги!AG$25:AG$83,Налоги!$F$25:$F$83,$F388,Налоги!$AB$25:$AB$83,$G388)</f>
        <v>0</v>
      </c>
      <c r="AH388" s="1123">
        <f>AG388-AF388</f>
        <v>0</v>
      </c>
      <c r="AI388" s="1123">
        <f>_xlfn.SUMIFS(Налоги!AH$25:AH$83,Налоги!$F$25:$F$83,$F388,Налоги!$AB$25:$AB$83,$G388)</f>
        <v>0</v>
      </c>
      <c r="AJ388" s="1123">
        <f>_xlfn.SUMIFS(Налоги!AI$25:AI$83,Налоги!$F$25:$F$83,$F388,Налоги!$AB$25:$AB$83,$G388)</f>
        <v>0</v>
      </c>
      <c r="AK388" s="1123">
        <f>_xlfn.SUMIFS(Налоги!AJ$25:AJ$83,Налоги!$F$25:$F$83,$F388,Налоги!$AB$25:$AB$83,$G388)</f>
        <v>0</v>
      </c>
      <c r="AL388" s="1123">
        <f>_xlfn.SUMIFS(Налоги!AK$25:AK$83,Налоги!$F$25:$F$83,$F388,Налоги!$AB$25:$AB$83,$G388)</f>
        <v>0</v>
      </c>
      <c r="AM388" s="1123">
        <f>_xlfn.SUMIFS(Налоги!AL$25:AL$83,Налоги!$F$25:$F$83,$F388,Налоги!$AB$25:$AB$83,$G388)</f>
        <v>0</v>
      </c>
      <c r="AN388" s="1123">
        <f>_xlfn.SUMIFS(Налоги!AM$25:AM$83,Налоги!$F$25:$F$83,$F388,Налоги!$AB$25:$AB$83,$G388)</f>
        <v>0</v>
      </c>
      <c r="AO388" s="1123">
        <f>_xlfn.SUMIFS(Налоги!AN$25:AN$83,Налоги!$F$25:$F$83,$F388,Налоги!$AB$25:$AB$83,$G388)</f>
        <v>0</v>
      </c>
      <c r="AP388" s="1123">
        <f>_xlfn.SUMIFS(Налоги!AO$25:AO$83,Налоги!$F$25:$F$83,$F388,Налоги!$AB$25:$AB$83,$G388)</f>
        <v>0</v>
      </c>
      <c r="AQ388" s="1123">
        <f>_xlfn.SUMIFS(Налоги!AP$25:AP$83,Налоги!$F$25:$F$83,$F388,Налоги!$AB$25:$AB$83,$G388)</f>
        <v>0</v>
      </c>
      <c r="AR388" s="1123">
        <f>_xlfn.SUMIFS(Налоги!AQ$25:AQ$83,Налоги!$F$25:$F$83,$F388,Налоги!$AB$25:$AB$83,$G388)</f>
        <v>0</v>
      </c>
      <c r="AS388" s="1123">
        <f>_xlfn.SUMIFS(Налоги!AR$25:AR$83,Налоги!$F$25:$F$83,$F388,Налоги!$AB$25:$AB$83,$G388)</f>
        <v>0</v>
      </c>
      <c r="AT388" s="1123">
        <f>_xlfn.SUMIFS(Налоги!AS$25:AS$83,Налоги!$F$25:$F$83,$F388,Налоги!$AB$25:$AB$83,$G388)</f>
        <v>0</v>
      </c>
      <c r="AU388" s="1123">
        <f>_xlfn.SUMIFS(Налоги!AT$25:AT$83,Налоги!$F$25:$F$83,$F388,Налоги!$AB$25:$AB$83,$G388)</f>
        <v>0</v>
      </c>
      <c r="AV388" s="1123">
        <f>_xlfn.SUMIFS(Налоги!AU$25:AU$83,Налоги!$F$25:$F$83,$F388,Налоги!$AB$25:$AB$83,$G388)</f>
        <v>0</v>
      </c>
      <c r="AW388" s="1123">
        <f>_xlfn.SUMIFS(Налоги!AV$25:AV$83,Налоги!$F$25:$F$83,$F388,Налоги!$AB$25:$AB$83,$G388)</f>
        <v>0</v>
      </c>
      <c r="AX388" s="1123">
        <f>_xlfn.SUMIFS(Налоги!AW$25:AW$83,Налоги!$F$25:$F$83,$F388,Налоги!$AB$25:$AB$83,$G388)</f>
        <v>0</v>
      </c>
      <c r="AY388" s="1123">
        <f>_xlfn.SUMIFS(Налоги!AX$25:AX$83,Налоги!$F$25:$F$83,$F388,Налоги!$AB$25:$AB$83,$G388)</f>
        <v>0</v>
      </c>
      <c r="AZ388" s="1123">
        <f>_xlfn.SUMIFS(Налоги!AY$25:AY$83,Налоги!$F$25:$F$83,$F388,Налоги!$AB$25:$AB$83,$G388)</f>
        <v>0</v>
      </c>
      <c r="BA388" s="1123">
        <f>_xlfn.SUMIFS(Налоги!AZ$25:AZ$83,Налоги!$F$25:$F$83,$F388,Налоги!$AB$25:$AB$83,$G388)</f>
        <v>0</v>
      </c>
      <c r="BB388" s="1123">
        <f>_xlfn.SUMIFS(Налоги!BA$25:BA$83,Налоги!$F$25:$F$83,$F388,Налоги!$AB$25:$AB$83,$G388)</f>
        <v>0</v>
      </c>
      <c r="BC388" s="1123">
        <f>_xlfn.SUMIFS(Налоги!BB$25:BB$83,Налоги!$F$25:$F$83,$F388,Налоги!$AB$25:$AB$83,$G388)</f>
        <v>0</v>
      </c>
      <c r="BD388" s="1123">
        <f>IF(AI388=0,0,(AT388-AI388)/AI388*100)</f>
        <v>0</v>
      </c>
      <c r="BE388" s="1123">
        <f>IF(AT388=0,0,(AU388-AT388)/AT388*100)</f>
        <v>0</v>
      </c>
      <c r="BF388" s="1123">
        <f>IF(AU388=0,0,(AV388-AU388)/AU388*100)</f>
        <v>0</v>
      </c>
      <c r="BG388" s="1123">
        <f>IF(AV388=0,0,(AW388-AV388)/AV388*100)</f>
        <v>0</v>
      </c>
      <c r="BH388" s="1123">
        <f>IF(AW388=0,0,(AX388-AW388)/AW388*100)</f>
        <v>0</v>
      </c>
      <c r="BI388" s="1123">
        <f>IF(AX388=0,0,(AY388-AX388)/AX388*100)</f>
        <v>0</v>
      </c>
      <c r="BJ388" s="1123">
        <f>IF(AY388=0,0,(AZ388-AY388)/AY388*100)</f>
        <v>0</v>
      </c>
      <c r="BK388" s="1123">
        <f>IF(AZ388=0,0,(BA388-AZ388)/AZ388*100)</f>
        <v>0</v>
      </c>
      <c r="BL388" s="1123">
        <f>IF(BA388=0,0,(BB388-BA388)/BA388*100)</f>
        <v>0</v>
      </c>
      <c r="BM388" s="1123">
        <f>IF(BB388=0,0,(BC388-BB388)/BB388*100)</f>
        <v>0</v>
      </c>
      <c r="BN388" s="6290"/>
      <c r="BO388" s="6294" t="str">
        <f>IF(_xlfn.IFERROR(INDEX(Налоги!$K$26:$L$83,MATCH($F388&amp;"8komm",Налоги!$K$26:$K$83,0),2),"")=0,"",_xlfn.IFERROR(INDEX(Налоги!$K$26:$L$83,MATCH($F388&amp;"8komm",Налоги!$K$26:$K$83,0),2),""))</f>
        <v>Приказ Генерального директора ОАО "СКЭК" от 30.06.2023 № 166/1 "О внесении изменений в Учетную политику" (Пункт 1.1, внесение изменений в пункт 3.5.3 о распределении общехозяйственных расходов, учитываемых на сч. 26 ).</v>
      </c>
      <c r="BP388" s="6290"/>
      <c r="BQ388" s="1297"/>
      <c r="BR388" s="1297"/>
      <c r="BS388" s="1072" t="s">
        <v>1482</v>
      </c>
      <c r="BT388" s="1072"/>
      <c r="BU388" s="1072"/>
      <c r="BV388" s="987"/>
      <c r="BW388" s="987"/>
    </row>
    <row s="1252" customFormat="1" customHeight="1" ht="14.25">
      <c r="A389" s="1252"/>
      <c r="B389" s="760"/>
      <c r="C389" s="103"/>
      <c r="D389" s="103"/>
      <c r="E389" s="626">
        <v>15</v>
      </c>
      <c r="F389" s="50" cm="1" t="str">
        <f t="array" ref="F389:F389">OFFSET(E389,-1,1)</f>
        <v>2</v>
      </c>
      <c r="G389" s="929">
        <v>9</v>
      </c>
      <c r="H389" s="103"/>
      <c r="I389" s="103"/>
      <c r="J389" s="103"/>
      <c r="K389" s="103"/>
      <c r="L389" s="988"/>
      <c r="M389" s="103"/>
      <c r="N389" s="103"/>
      <c r="O389" s="103"/>
      <c r="P389" s="103"/>
      <c r="Q389" s="103"/>
      <c r="R389" s="103"/>
      <c r="S389" s="103"/>
      <c r="T389" s="468" cm="1" t="str">
        <f t="array" ref="T389:T389">T388</f>
        <v>true</v>
      </c>
      <c r="U389" s="103"/>
      <c r="V389" s="103"/>
      <c r="W389" s="103"/>
      <c r="X389" s="1559"/>
      <c r="Y389" s="1252"/>
      <c r="Z389" s="1529"/>
      <c r="AA389" s="1252"/>
      <c r="AB389" s="296" t="s">
        <v>2334</v>
      </c>
      <c r="AC389" s="787" t="s">
        <v>2335</v>
      </c>
      <c r="AD389" s="296" t="s">
        <v>936</v>
      </c>
      <c r="AE389" s="1123">
        <f>_xlfn.SUMIFS(Налоги!AE$25:AE$83,Налоги!$F$25:$F$83,$F389,Налоги!$AB$25:$AB$83,$G389)</f>
        <v>0</v>
      </c>
      <c r="AF389" s="1123">
        <f>_xlfn.SUMIFS(Налоги!AF$25:AF$83,Налоги!$F$25:$F$83,$F389,Налоги!$AB$25:$AB$83,$G389)</f>
        <v>0</v>
      </c>
      <c r="AG389" s="1123">
        <f>_xlfn.SUMIFS(Налоги!AG$25:AG$83,Налоги!$F$25:$F$83,$F389,Налоги!$AB$25:$AB$83,$G389)</f>
        <v>0</v>
      </c>
      <c r="AH389" s="1123">
        <f>AG389-AF389</f>
        <v>0</v>
      </c>
      <c r="AI389" s="1123">
        <f>_xlfn.SUMIFS(Налоги!AH$25:AH$83,Налоги!$F$25:$F$83,$F389,Налоги!$AB$25:$AB$83,$G389)</f>
        <v>0</v>
      </c>
      <c r="AJ389" s="1123">
        <f>_xlfn.SUMIFS(Налоги!AI$25:AI$83,Налоги!$F$25:$F$83,$F389,Налоги!$AB$25:$AB$83,$G389)</f>
        <v>0</v>
      </c>
      <c r="AK389" s="1123">
        <f>_xlfn.SUMIFS(Налоги!AJ$25:AJ$83,Налоги!$F$25:$F$83,$F389,Налоги!$AB$25:$AB$83,$G389)</f>
        <v>0</v>
      </c>
      <c r="AL389" s="1123">
        <f>_xlfn.SUMIFS(Налоги!AK$25:AK$83,Налоги!$F$25:$F$83,$F389,Налоги!$AB$25:$AB$83,$G389)</f>
        <v>0</v>
      </c>
      <c r="AM389" s="1123">
        <f>_xlfn.SUMIFS(Налоги!AL$25:AL$83,Налоги!$F$25:$F$83,$F389,Налоги!$AB$25:$AB$83,$G389)</f>
        <v>0</v>
      </c>
      <c r="AN389" s="1123">
        <f>_xlfn.SUMIFS(Налоги!AM$25:AM$83,Налоги!$F$25:$F$83,$F389,Налоги!$AB$25:$AB$83,$G389)</f>
        <v>0</v>
      </c>
      <c r="AO389" s="1123">
        <f>_xlfn.SUMIFS(Налоги!AN$25:AN$83,Налоги!$F$25:$F$83,$F389,Налоги!$AB$25:$AB$83,$G389)</f>
        <v>0</v>
      </c>
      <c r="AP389" s="1123">
        <f>_xlfn.SUMIFS(Налоги!AO$25:AO$83,Налоги!$F$25:$F$83,$F389,Налоги!$AB$25:$AB$83,$G389)</f>
        <v>0</v>
      </c>
      <c r="AQ389" s="1123">
        <f>_xlfn.SUMIFS(Налоги!AP$25:AP$83,Налоги!$F$25:$F$83,$F389,Налоги!$AB$25:$AB$83,$G389)</f>
        <v>0</v>
      </c>
      <c r="AR389" s="1123">
        <f>_xlfn.SUMIFS(Налоги!AQ$25:AQ$83,Налоги!$F$25:$F$83,$F389,Налоги!$AB$25:$AB$83,$G389)</f>
        <v>0</v>
      </c>
      <c r="AS389" s="1123">
        <f>_xlfn.SUMIFS(Налоги!AR$25:AR$83,Налоги!$F$25:$F$83,$F389,Налоги!$AB$25:$AB$83,$G389)</f>
        <v>0</v>
      </c>
      <c r="AT389" s="1123">
        <f>_xlfn.SUMIFS(Налоги!AS$25:AS$83,Налоги!$F$25:$F$83,$F389,Налоги!$AB$25:$AB$83,$G389)</f>
        <v>0</v>
      </c>
      <c r="AU389" s="1123">
        <f>_xlfn.SUMIFS(Налоги!AT$25:AT$83,Налоги!$F$25:$F$83,$F389,Налоги!$AB$25:$AB$83,$G389)</f>
        <v>0</v>
      </c>
      <c r="AV389" s="1123">
        <f>_xlfn.SUMIFS(Налоги!AU$25:AU$83,Налоги!$F$25:$F$83,$F389,Налоги!$AB$25:$AB$83,$G389)</f>
        <v>0</v>
      </c>
      <c r="AW389" s="1123">
        <f>_xlfn.SUMIFS(Налоги!AV$25:AV$83,Налоги!$F$25:$F$83,$F389,Налоги!$AB$25:$AB$83,$G389)</f>
        <v>0</v>
      </c>
      <c r="AX389" s="1123">
        <f>_xlfn.SUMIFS(Налоги!AW$25:AW$83,Налоги!$F$25:$F$83,$F389,Налоги!$AB$25:$AB$83,$G389)</f>
        <v>0</v>
      </c>
      <c r="AY389" s="1123">
        <f>_xlfn.SUMIFS(Налоги!AX$25:AX$83,Налоги!$F$25:$F$83,$F389,Налоги!$AB$25:$AB$83,$G389)</f>
        <v>0</v>
      </c>
      <c r="AZ389" s="1123">
        <f>_xlfn.SUMIFS(Налоги!AY$25:AY$83,Налоги!$F$25:$F$83,$F389,Налоги!$AB$25:$AB$83,$G389)</f>
        <v>0</v>
      </c>
      <c r="BA389" s="1123">
        <f>_xlfn.SUMIFS(Налоги!AZ$25:AZ$83,Налоги!$F$25:$F$83,$F389,Налоги!$AB$25:$AB$83,$G389)</f>
        <v>0</v>
      </c>
      <c r="BB389" s="1123">
        <f>_xlfn.SUMIFS(Налоги!BA$25:BA$83,Налоги!$F$25:$F$83,$F389,Налоги!$AB$25:$AB$83,$G389)</f>
        <v>0</v>
      </c>
      <c r="BC389" s="1123">
        <f>_xlfn.SUMIFS(Налоги!BB$25:BB$83,Налоги!$F$25:$F$83,$F389,Налоги!$AB$25:$AB$83,$G389)</f>
        <v>0</v>
      </c>
      <c r="BD389" s="1123">
        <f>IF(AI389=0,0,(AT389-AI389)/AI389*100)</f>
        <v>0</v>
      </c>
      <c r="BE389" s="1123">
        <f>IF(AT389=0,0,(AU389-AT389)/AT389*100)</f>
        <v>0</v>
      </c>
      <c r="BF389" s="1123">
        <f>IF(AU389=0,0,(AV389-AU389)/AU389*100)</f>
        <v>0</v>
      </c>
      <c r="BG389" s="1123">
        <f>IF(AV389=0,0,(AW389-AV389)/AV389*100)</f>
        <v>0</v>
      </c>
      <c r="BH389" s="1123">
        <f>IF(AW389=0,0,(AX389-AW389)/AW389*100)</f>
        <v>0</v>
      </c>
      <c r="BI389" s="1123">
        <f>IF(AX389=0,0,(AY389-AX389)/AX389*100)</f>
        <v>0</v>
      </c>
      <c r="BJ389" s="1123">
        <f>IF(AY389=0,0,(AZ389-AY389)/AY389*100)</f>
        <v>0</v>
      </c>
      <c r="BK389" s="1123">
        <f>IF(AZ389=0,0,(BA389-AZ389)/AZ389*100)</f>
        <v>0</v>
      </c>
      <c r="BL389" s="1123">
        <f>IF(BA389=0,0,(BB389-BA389)/BA389*100)</f>
        <v>0</v>
      </c>
      <c r="BM389" s="1123">
        <f>IF(BB389=0,0,(BC389-BB389)/BB389*100)</f>
        <v>0</v>
      </c>
      <c r="BN389" s="6290"/>
      <c r="BO389" s="6294" t="str">
        <f>IF(_xlfn.IFERROR(INDEX(Налоги!$K$26:$L$83,MATCH($F389&amp;"9komm",Налоги!$K$26:$K$83,0),2),"")=0,"",_xlfn.IFERROR(INDEX(Налоги!$K$26:$L$83,MATCH($F389&amp;"9komm",Налоги!$K$26:$K$83,0),2),""))</f>
        <v/>
      </c>
      <c r="BP389" s="6290"/>
      <c r="BQ389" s="1252"/>
      <c r="BR389" s="1252"/>
      <c r="BS389" s="1079" t="s">
        <v>2336</v>
      </c>
      <c r="BT389" s="1079"/>
      <c r="BU389" s="1079"/>
      <c r="BV389" s="1080"/>
      <c r="BW389" s="1080"/>
    </row>
    <row s="1656" customFormat="1" customHeight="1" ht="14.25">
      <c r="A390" s="1297"/>
      <c r="B390" s="986"/>
      <c r="C390" s="103"/>
      <c r="D390" s="103"/>
      <c r="E390" s="626">
        <v>15</v>
      </c>
      <c r="F390" s="50" cm="1" t="str">
        <f t="array" ref="F390:F390">OFFSET(E390,-1,1)</f>
        <v>2</v>
      </c>
      <c r="G390" s="929">
        <v>10</v>
      </c>
      <c r="H390" s="103"/>
      <c r="I390" s="103" t="s">
        <v>2337</v>
      </c>
      <c r="J390" s="103"/>
      <c r="K390" s="103" t="s">
        <v>2337</v>
      </c>
      <c r="L390" s="988"/>
      <c r="M390" s="103"/>
      <c r="N390" s="103"/>
      <c r="O390" s="103"/>
      <c r="P390" s="103"/>
      <c r="Q390" s="103"/>
      <c r="R390" s="103"/>
      <c r="S390" s="103"/>
      <c r="T390" s="468" cm="1" t="str">
        <f t="array" ref="T390:T390">T389</f>
        <v>true</v>
      </c>
      <c r="U390" s="103"/>
      <c r="V390" s="103"/>
      <c r="W390" s="103"/>
      <c r="X390" s="1559"/>
      <c r="Y390" s="1297"/>
      <c r="Z390" s="1529"/>
      <c r="AA390" s="1297"/>
      <c r="AB390" s="296" t="s">
        <v>2338</v>
      </c>
      <c r="AC390" s="788" t="s">
        <v>2339</v>
      </c>
      <c r="AD390" s="296" t="s">
        <v>936</v>
      </c>
      <c r="AE390" s="1123">
        <f>_xlfn.SUMIFS(Налоги!AE$25:AE$83,Налоги!$F$25:$F$83,$F390,Налоги!$AB$25:$AB$83,$G390)</f>
        <v>0</v>
      </c>
      <c r="AF390" s="1123">
        <f>_xlfn.SUMIFS(Налоги!AF$25:AF$83,Налоги!$F$25:$F$83,$F390,Налоги!$AB$25:$AB$83,$G390)</f>
        <v>0</v>
      </c>
      <c r="AG390" s="1123">
        <f>_xlfn.SUMIFS(Налоги!AG$25:AG$83,Налоги!$F$25:$F$83,$F390,Налоги!$AB$25:$AB$83,$G390)</f>
        <v>0</v>
      </c>
      <c r="AH390" s="1123">
        <f>AG390-AF390</f>
        <v>0</v>
      </c>
      <c r="AI390" s="1123">
        <f>_xlfn.SUMIFS(Налоги!AH$25:AH$83,Налоги!$F$25:$F$83,$F390,Налоги!$AB$25:$AB$83,$G390)</f>
        <v>0</v>
      </c>
      <c r="AJ390" s="1123">
        <f>_xlfn.SUMIFS(Налоги!AI$25:AI$83,Налоги!$F$25:$F$83,$F390,Налоги!$AB$25:$AB$83,$G390)</f>
        <v>0</v>
      </c>
      <c r="AK390" s="1123">
        <f>_xlfn.SUMIFS(Налоги!AJ$25:AJ$83,Налоги!$F$25:$F$83,$F390,Налоги!$AB$25:$AB$83,$G390)</f>
        <v>0</v>
      </c>
      <c r="AL390" s="1123">
        <f>_xlfn.SUMIFS(Налоги!AK$25:AK$83,Налоги!$F$25:$F$83,$F390,Налоги!$AB$25:$AB$83,$G390)</f>
        <v>0</v>
      </c>
      <c r="AM390" s="1123">
        <f>_xlfn.SUMIFS(Налоги!AL$25:AL$83,Налоги!$F$25:$F$83,$F390,Налоги!$AB$25:$AB$83,$G390)</f>
        <v>0</v>
      </c>
      <c r="AN390" s="1123">
        <f>_xlfn.SUMIFS(Налоги!AM$25:AM$83,Налоги!$F$25:$F$83,$F390,Налоги!$AB$25:$AB$83,$G390)</f>
        <v>0</v>
      </c>
      <c r="AO390" s="1123">
        <f>_xlfn.SUMIFS(Налоги!AN$25:AN$83,Налоги!$F$25:$F$83,$F390,Налоги!$AB$25:$AB$83,$G390)</f>
        <v>0</v>
      </c>
      <c r="AP390" s="1123">
        <f>_xlfn.SUMIFS(Налоги!AO$25:AO$83,Налоги!$F$25:$F$83,$F390,Налоги!$AB$25:$AB$83,$G390)</f>
        <v>0</v>
      </c>
      <c r="AQ390" s="1123">
        <f>_xlfn.SUMIFS(Налоги!AP$25:AP$83,Налоги!$F$25:$F$83,$F390,Налоги!$AB$25:$AB$83,$G390)</f>
        <v>0</v>
      </c>
      <c r="AR390" s="1123">
        <f>_xlfn.SUMIFS(Налоги!AQ$25:AQ$83,Налоги!$F$25:$F$83,$F390,Налоги!$AB$25:$AB$83,$G390)</f>
        <v>0</v>
      </c>
      <c r="AS390" s="1123">
        <f>_xlfn.SUMIFS(Налоги!AR$25:AR$83,Налоги!$F$25:$F$83,$F390,Налоги!$AB$25:$AB$83,$G390)</f>
        <v>0</v>
      </c>
      <c r="AT390" s="1123">
        <f>_xlfn.SUMIFS(Налоги!AS$25:AS$83,Налоги!$F$25:$F$83,$F390,Налоги!$AB$25:$AB$83,$G390)</f>
        <v>0</v>
      </c>
      <c r="AU390" s="1123">
        <f>_xlfn.SUMIFS(Налоги!AT$25:AT$83,Налоги!$F$25:$F$83,$F390,Налоги!$AB$25:$AB$83,$G390)</f>
        <v>0</v>
      </c>
      <c r="AV390" s="1123">
        <f>_xlfn.SUMIFS(Налоги!AU$25:AU$83,Налоги!$F$25:$F$83,$F390,Налоги!$AB$25:$AB$83,$G390)</f>
        <v>0</v>
      </c>
      <c r="AW390" s="1123">
        <f>_xlfn.SUMIFS(Налоги!AV$25:AV$83,Налоги!$F$25:$F$83,$F390,Налоги!$AB$25:$AB$83,$G390)</f>
        <v>0</v>
      </c>
      <c r="AX390" s="1123">
        <f>_xlfn.SUMIFS(Налоги!AW$25:AW$83,Налоги!$F$25:$F$83,$F390,Налоги!$AB$25:$AB$83,$G390)</f>
        <v>0</v>
      </c>
      <c r="AY390" s="1123">
        <f>_xlfn.SUMIFS(Налоги!AX$25:AX$83,Налоги!$F$25:$F$83,$F390,Налоги!$AB$25:$AB$83,$G390)</f>
        <v>0</v>
      </c>
      <c r="AZ390" s="1123">
        <f>_xlfn.SUMIFS(Налоги!AY$25:AY$83,Налоги!$F$25:$F$83,$F390,Налоги!$AB$25:$AB$83,$G390)</f>
        <v>0</v>
      </c>
      <c r="BA390" s="1123">
        <f>_xlfn.SUMIFS(Налоги!AZ$25:AZ$83,Налоги!$F$25:$F$83,$F390,Налоги!$AB$25:$AB$83,$G390)</f>
        <v>0</v>
      </c>
      <c r="BB390" s="1123">
        <f>_xlfn.SUMIFS(Налоги!BA$25:BA$83,Налоги!$F$25:$F$83,$F390,Налоги!$AB$25:$AB$83,$G390)</f>
        <v>0</v>
      </c>
      <c r="BC390" s="1123">
        <f>_xlfn.SUMIFS(Налоги!BB$25:BB$83,Налоги!$F$25:$F$83,$F390,Налоги!$AB$25:$AB$83,$G390)</f>
        <v>0</v>
      </c>
      <c r="BD390" s="1123">
        <f>IF(AI390=0,0,(AT390-AI390)/AI390*100)</f>
        <v>0</v>
      </c>
      <c r="BE390" s="1123">
        <f>IF(AT390=0,0,(AU390-AT390)/AT390*100)</f>
        <v>0</v>
      </c>
      <c r="BF390" s="1123">
        <f>IF(AU390=0,0,(AV390-AU390)/AU390*100)</f>
        <v>0</v>
      </c>
      <c r="BG390" s="1123">
        <f>IF(AV390=0,0,(AW390-AV390)/AV390*100)</f>
        <v>0</v>
      </c>
      <c r="BH390" s="1123">
        <f>IF(AW390=0,0,(AX390-AW390)/AW390*100)</f>
        <v>0</v>
      </c>
      <c r="BI390" s="1123">
        <f>IF(AX390=0,0,(AY390-AX390)/AX390*100)</f>
        <v>0</v>
      </c>
      <c r="BJ390" s="1123">
        <f>IF(AY390=0,0,(AZ390-AY390)/AY390*100)</f>
        <v>0</v>
      </c>
      <c r="BK390" s="1123">
        <f>IF(AZ390=0,0,(BA390-AZ390)/AZ390*100)</f>
        <v>0</v>
      </c>
      <c r="BL390" s="1123">
        <f>IF(BA390=0,0,(BB390-BA390)/BA390*100)</f>
        <v>0</v>
      </c>
      <c r="BM390" s="1123">
        <f>IF(BB390=0,0,(BC390-BB390)/BB390*100)</f>
        <v>0</v>
      </c>
      <c r="BN390" s="6290"/>
      <c r="BO390" s="6294" t="str">
        <f>IF(_xlfn.IFERROR(INDEX(Налоги!$K$26:$L$83,MATCH($F390&amp;"10komm",Налоги!$K$26:$K$83,0),2),"")=0,"",_xlfn.IFERROR(INDEX(Налоги!$K$26:$L$83,MATCH($F390&amp;"10komm",Налоги!$K$26:$K$83,0),2),""))</f>
        <v/>
      </c>
      <c r="BP390" s="6290"/>
      <c r="BQ390" s="1297"/>
      <c r="BR390" s="1297"/>
      <c r="BS390" s="1072" t="s">
        <v>2340</v>
      </c>
      <c r="BT390" s="1072"/>
      <c r="BU390" s="1072"/>
      <c r="BV390" s="987"/>
      <c r="BW390" s="987"/>
    </row>
    <row s="1656" customFormat="1" customHeight="1" ht="65.25">
      <c r="A391" s="1297"/>
      <c r="B391" s="986"/>
      <c r="C391" s="103"/>
      <c r="D391" s="103"/>
      <c r="E391" s="626">
        <v>67.5</v>
      </c>
      <c r="F391" s="50" cm="1" t="str">
        <f t="array" ref="F391:F391">OFFSET(E391,-1,1)</f>
        <v>2</v>
      </c>
      <c r="G391" s="103" t="s">
        <v>1670</v>
      </c>
      <c r="H391" s="103"/>
      <c r="I391" s="103" t="s">
        <v>1089</v>
      </c>
      <c r="J391" s="103"/>
      <c r="K391" s="154" t="s">
        <v>1089</v>
      </c>
      <c r="L391" s="988"/>
      <c r="M391" s="103"/>
      <c r="N391" s="103"/>
      <c r="O391" s="103"/>
      <c r="P391" s="103"/>
      <c r="Q391" s="103"/>
      <c r="R391" s="103"/>
      <c r="S391" s="103"/>
      <c r="T391" s="468" cm="1" t="str">
        <f t="array" ref="T391:T391">T390</f>
        <v>true</v>
      </c>
      <c r="U391" s="103"/>
      <c r="V391" s="103"/>
      <c r="W391" s="103"/>
      <c r="X391" s="1559"/>
      <c r="Y391" s="1297"/>
      <c r="Z391" s="1529"/>
      <c r="AA391" s="1297"/>
      <c r="AB391" s="296" t="s">
        <v>1090</v>
      </c>
      <c r="AC391" s="789" t="s">
        <v>1673</v>
      </c>
      <c r="AD391" s="296" t="s">
        <v>936</v>
      </c>
      <c r="AE391" s="6344"/>
      <c r="AF391" s="6344"/>
      <c r="AG391" s="6344"/>
      <c r="AH391" s="1123">
        <f>AG391-AF391</f>
        <v>0</v>
      </c>
      <c r="AI391" s="6344"/>
      <c r="AJ391" s="6344"/>
      <c r="AK391" s="1263"/>
      <c r="AL391" s="1263"/>
      <c r="AM391" s="1263"/>
      <c r="AN391" s="1263"/>
      <c r="AO391" s="1263"/>
      <c r="AP391" s="1263"/>
      <c r="AQ391" s="1263"/>
      <c r="AR391" s="1263"/>
      <c r="AS391" s="1263"/>
      <c r="AT391" s="6344"/>
      <c r="AU391" s="1263"/>
      <c r="AV391" s="1263"/>
      <c r="AW391" s="1263"/>
      <c r="AX391" s="1263"/>
      <c r="AY391" s="1263"/>
      <c r="AZ391" s="1263"/>
      <c r="BA391" s="1263"/>
      <c r="BB391" s="1263"/>
      <c r="BC391" s="1263"/>
      <c r="BD391" s="1123">
        <f>IF(AI391=0,0,(AT391-AI391)/AI391*100)</f>
        <v>0</v>
      </c>
      <c r="BE391" s="1123">
        <f>IF(AT391=0,0,(AU391-AT391)/AT391*100)</f>
        <v>0</v>
      </c>
      <c r="BF391" s="1123">
        <f>IF(AU391=0,0,(AV391-AU391)/AU391*100)</f>
        <v>0</v>
      </c>
      <c r="BG391" s="1123">
        <f>IF(AV391=0,0,(AW391-AV391)/AV391*100)</f>
        <v>0</v>
      </c>
      <c r="BH391" s="1123">
        <f>IF(AW391=0,0,(AX391-AW391)/AW391*100)</f>
        <v>0</v>
      </c>
      <c r="BI391" s="1123">
        <f>IF(AX391=0,0,(AY391-AX391)/AX391*100)</f>
        <v>0</v>
      </c>
      <c r="BJ391" s="1123">
        <f>IF(AY391=0,0,(AZ391-AY391)/AY391*100)</f>
        <v>0</v>
      </c>
      <c r="BK391" s="1123">
        <f>IF(AZ391=0,0,(BA391-AZ391)/AZ391*100)</f>
        <v>0</v>
      </c>
      <c r="BL391" s="1123">
        <f>IF(BA391=0,0,(BB391-BA391)/BA391*100)</f>
        <v>0</v>
      </c>
      <c r="BM391" s="1123">
        <f>IF(BB391=0,0,(BC391-BB391)/BB391*100)</f>
        <v>0</v>
      </c>
      <c r="BN391" s="6290"/>
      <c r="BO391" s="6290"/>
      <c r="BP391" s="6290"/>
      <c r="BQ391" s="1297"/>
      <c r="BR391" s="1297"/>
      <c r="BS391" s="1072" t="s">
        <v>2341</v>
      </c>
      <c r="BT391" s="1072"/>
      <c r="BU391" s="1072"/>
      <c r="BV391" s="987"/>
      <c r="BW391" s="987"/>
    </row>
    <row s="1656" customFormat="1" customHeight="1" ht="14.25">
      <c r="A392" s="1297"/>
      <c r="B392" s="986"/>
      <c r="C392" s="103"/>
      <c r="D392" s="103"/>
      <c r="E392" s="626">
        <v>15</v>
      </c>
      <c r="F392" s="50" cm="1" t="str">
        <f t="array" ref="F392:F392">OFFSET(E392,-1,1)</f>
        <v>2</v>
      </c>
      <c r="G392" s="103" t="s">
        <v>1192</v>
      </c>
      <c r="H392" s="103"/>
      <c r="I392" s="103" t="s">
        <v>1092</v>
      </c>
      <c r="J392" s="103"/>
      <c r="K392" s="154" t="s">
        <v>1092</v>
      </c>
      <c r="L392" s="988" t="s">
        <v>616</v>
      </c>
      <c r="M392" s="103"/>
      <c r="N392" s="103"/>
      <c r="O392" s="103"/>
      <c r="P392" s="103"/>
      <c r="Q392" s="103"/>
      <c r="R392" s="103"/>
      <c r="S392" s="103"/>
      <c r="T392" s="468" cm="1" t="str">
        <f t="array" ref="T392:T392">T391</f>
        <v>true</v>
      </c>
      <c r="U392" s="103"/>
      <c r="V392" s="103"/>
      <c r="W392" s="103"/>
      <c r="X392" s="1559"/>
      <c r="Y392" s="1297"/>
      <c r="Z392" s="1529"/>
      <c r="AA392" s="1297"/>
      <c r="AB392" s="296" t="s">
        <v>1093</v>
      </c>
      <c r="AC392" s="769" t="s">
        <v>1192</v>
      </c>
      <c r="AD392" s="296" t="s">
        <v>936</v>
      </c>
      <c r="AE392" s="1123">
        <f>_xlfn.SUMIFS(Аренда!AE$25:AE$67,Аренда!$F$25:$F$67,$F392,Аренда!$G$25:$G$67,"Арендная и концессионная плата, лизинговые платежи")</f>
        <v>295.1</v>
      </c>
      <c r="AF392" s="1123">
        <f>_xlfn.SUMIFS(Аренда!AF$25:AF$67,Аренда!$F$25:$F$67,$F392,Аренда!$G$25:$G$67,"Арендная и концессионная плата, лизинговые платежи")</f>
        <v>318.39</v>
      </c>
      <c r="AG392" s="1123">
        <f>_xlfn.SUMIFS(Аренда!AG$25:AG$67,Аренда!$F$25:$F$67,$F392,Аренда!$G$25:$G$67,"Арендная и концессионная плата, лизинговые платежи")</f>
        <v>318.39</v>
      </c>
      <c r="AH392" s="1123">
        <f>AG392-AF392</f>
        <v>0</v>
      </c>
      <c r="AI392" s="1123">
        <f>_xlfn.SUMIFS(Аренда!AH$25:AH$67,Аренда!$F$25:$F$67,$F392,Аренда!$G$25:$G$67,"Арендная и концессионная плата, лизинговые платежи")</f>
        <v>318.39</v>
      </c>
      <c r="AJ392" s="1123">
        <f>_xlfn.SUMIFS(Аренда!AI$25:AI$67,Аренда!$F$25:$F$67,$F392,Аренда!$G$25:$G$67,"Арендная и концессионная плата, лизинговые платежи")</f>
        <v>346.47</v>
      </c>
      <c r="AK392" s="1123">
        <f>_xlfn.SUMIFS(Аренда!AJ$25:AJ$67,Аренда!$F$25:$F$67,$F392,Аренда!$G$25:$G$67,"Арендная и концессионная плата, лизинговые платежи")</f>
        <v>0</v>
      </c>
      <c r="AL392" s="1123">
        <f>_xlfn.SUMIFS(Аренда!AK$25:AK$67,Аренда!$F$25:$F$67,$F392,Аренда!$G$25:$G$67,"Арендная и концессионная плата, лизинговые платежи")</f>
        <v>0</v>
      </c>
      <c r="AM392" s="1123">
        <f>_xlfn.SUMIFS(Аренда!AL$25:AL$67,Аренда!$F$25:$F$67,$F392,Аренда!$G$25:$G$67,"Арендная и концессионная плата, лизинговые платежи")</f>
        <v>0</v>
      </c>
      <c r="AN392" s="1123">
        <f>_xlfn.SUMIFS(Аренда!AM$25:AM$67,Аренда!$F$25:$F$67,$F392,Аренда!$G$25:$G$67,"Арендная и концессионная плата, лизинговые платежи")</f>
        <v>0</v>
      </c>
      <c r="AO392" s="1123">
        <f>_xlfn.SUMIFS(Аренда!AN$25:AN$67,Аренда!$F$25:$F$67,$F392,Аренда!$G$25:$G$67,"Арендная и концессионная плата, лизинговые платежи")</f>
        <v>0</v>
      </c>
      <c r="AP392" s="1123">
        <f>_xlfn.SUMIFS(Аренда!AO$25:AO$67,Аренда!$F$25:$F$67,$F392,Аренда!$G$25:$G$67,"Арендная и концессионная плата, лизинговые платежи")</f>
        <v>0</v>
      </c>
      <c r="AQ392" s="1123">
        <f>_xlfn.SUMIFS(Аренда!AP$25:AP$67,Аренда!$F$25:$F$67,$F392,Аренда!$G$25:$G$67,"Арендная и концессионная плата, лизинговые платежи")</f>
        <v>0</v>
      </c>
      <c r="AR392" s="1123">
        <f>_xlfn.SUMIFS(Аренда!AQ$25:AQ$67,Аренда!$F$25:$F$67,$F392,Аренда!$G$25:$G$67,"Арендная и концессионная плата, лизинговые платежи")</f>
        <v>0</v>
      </c>
      <c r="AS392" s="1123">
        <f>_xlfn.SUMIFS(Аренда!AR$25:AR$67,Аренда!$F$25:$F$67,$F392,Аренда!$G$25:$G$67,"Арендная и концессионная плата, лизинговые платежи")</f>
        <v>0</v>
      </c>
      <c r="AT392" s="1123">
        <f>_xlfn.SUMIFS(Аренда!AS$25:AS$67,Аренда!$F$25:$F$67,$F392,Аренда!$G$25:$G$67,"Арендная и концессионная плата, лизинговые платежи")</f>
        <v>346.47</v>
      </c>
      <c r="AU392" s="1123">
        <f>_xlfn.SUMIFS(Аренда!AT$25:AT$67,Аренда!$F$25:$F$67,$F392,Аренда!$G$25:$G$67,"Арендная и концессионная плата, лизинговые платежи")</f>
        <v>0</v>
      </c>
      <c r="AV392" s="1123">
        <f>_xlfn.SUMIFS(Аренда!AU$25:AU$67,Аренда!$F$25:$F$67,$F392,Аренда!$G$25:$G$67,"Арендная и концессионная плата, лизинговые платежи")</f>
        <v>0</v>
      </c>
      <c r="AW392" s="1123">
        <f>_xlfn.SUMIFS(Аренда!AV$25:AV$67,Аренда!$F$25:$F$67,$F392,Аренда!$G$25:$G$67,"Арендная и концессионная плата, лизинговые платежи")</f>
        <v>0</v>
      </c>
      <c r="AX392" s="1123">
        <f>_xlfn.SUMIFS(Аренда!AW$25:AW$67,Аренда!$F$25:$F$67,$F392,Аренда!$G$25:$G$67,"Арендная и концессионная плата, лизинговые платежи")</f>
        <v>0</v>
      </c>
      <c r="AY392" s="1123">
        <f>_xlfn.SUMIFS(Аренда!AX$25:AX$67,Аренда!$F$25:$F$67,$F392,Аренда!$G$25:$G$67,"Арендная и концессионная плата, лизинговые платежи")</f>
        <v>0</v>
      </c>
      <c r="AZ392" s="1123">
        <f>_xlfn.SUMIFS(Аренда!AY$25:AY$67,Аренда!$F$25:$F$67,$F392,Аренда!$G$25:$G$67,"Арендная и концессионная плата, лизинговые платежи")</f>
        <v>0</v>
      </c>
      <c r="BA392" s="1123">
        <f>_xlfn.SUMIFS(Аренда!AZ$25:AZ$67,Аренда!$F$25:$F$67,$F392,Аренда!$G$25:$G$67,"Арендная и концессионная плата, лизинговые платежи")</f>
        <v>0</v>
      </c>
      <c r="BB392" s="1123">
        <f>_xlfn.SUMIFS(Аренда!BA$25:BA$67,Аренда!$F$25:$F$67,$F392,Аренда!$G$25:$G$67,"Арендная и концессионная плата, лизинговые платежи")</f>
        <v>0</v>
      </c>
      <c r="BC392" s="1123">
        <f>_xlfn.SUMIFS(Аренда!BB$25:BB$67,Аренда!$F$25:$F$67,$F392,Аренда!$G$25:$G$67,"Арендная и концессионная плата, лизинговые платежи")</f>
        <v>0</v>
      </c>
      <c r="BD392" s="1123">
        <f>IF(AI392=0,0,(AT392-AI392)/AI392*100)</f>
        <v>8.81937246772827</v>
      </c>
      <c r="BE392" s="1123">
        <f>IF(AT392=0,0,(AU392-AT392)/AT392*100)</f>
        <v>-100</v>
      </c>
      <c r="BF392" s="1123">
        <f>IF(AU392=0,0,(AV392-AU392)/AU392*100)</f>
        <v>0</v>
      </c>
      <c r="BG392" s="1123">
        <f>IF(AV392=0,0,(AW392-AV392)/AV392*100)</f>
        <v>0</v>
      </c>
      <c r="BH392" s="1123">
        <f>IF(AW392=0,0,(AX392-AW392)/AW392*100)</f>
        <v>0</v>
      </c>
      <c r="BI392" s="1123">
        <f>IF(AX392=0,0,(AY392-AX392)/AX392*100)</f>
        <v>0</v>
      </c>
      <c r="BJ392" s="1123">
        <f>IF(AY392=0,0,(AZ392-AY392)/AY392*100)</f>
        <v>0</v>
      </c>
      <c r="BK392" s="1123">
        <f>IF(AZ392=0,0,(BA392-AZ392)/AZ392*100)</f>
        <v>0</v>
      </c>
      <c r="BL392" s="1123">
        <f>IF(BA392=0,0,(BB392-BA392)/BA392*100)</f>
        <v>0</v>
      </c>
      <c r="BM392" s="1123">
        <f>IF(BB392=0,0,(BC392-BB392)/BB392*100)</f>
        <v>0</v>
      </c>
      <c r="BN392" s="6290"/>
      <c r="BO392" s="6345" t="str">
        <f>IF(_xlfn.IFERROR(INDEX(Аренда!$K$26:$L$67,MATCH($F392&amp;"komm",Аренда!$K$26:$K$67,0),2),"")=0,"",_xlfn.IFERROR(INDEX(Аренда!$K$26:$L$67,MATCH($F392&amp;"komm",Аренда!$K$26:$K$67,0),2),""))</f>
        <v>П. 29 "Методических указаний…" ФСТ России (приказ от 27.12.2013 № 1746-э).</v>
      </c>
      <c r="BP392" s="6290"/>
      <c r="BQ392" s="1297"/>
      <c r="BR392" s="1297"/>
      <c r="BS392" s="1072" t="s">
        <v>2342</v>
      </c>
      <c r="BT392" s="1072"/>
      <c r="BU392" s="1072"/>
      <c r="BV392" s="987"/>
      <c r="BW392" s="987"/>
    </row>
    <row s="1656" customFormat="1" customHeight="1" ht="14.25">
      <c r="A393" s="1297"/>
      <c r="B393" s="434">
        <f>STATUS_GO="да"</f>
        <v>0</v>
      </c>
      <c r="C393" s="103"/>
      <c r="D393" s="103"/>
      <c r="E393" s="626">
        <v>15</v>
      </c>
      <c r="F393" s="50" cm="1" t="str">
        <f t="array" ref="F393:F393">OFFSET(E393,-1,1)</f>
        <v>2</v>
      </c>
      <c r="G393" s="103"/>
      <c r="H393" s="103"/>
      <c r="I393" s="103" t="s">
        <v>2343</v>
      </c>
      <c r="J393" s="103"/>
      <c r="K393" s="154" t="s">
        <v>2343</v>
      </c>
      <c r="L393" s="988"/>
      <c r="M393" s="103"/>
      <c r="N393" s="103"/>
      <c r="O393" s="103"/>
      <c r="P393" s="103"/>
      <c r="Q393" s="103"/>
      <c r="R393" s="103"/>
      <c r="S393" s="103"/>
      <c r="T393" s="468" cm="1" t="str">
        <f t="array" ref="T393:T393">T392</f>
        <v>true</v>
      </c>
      <c r="U393" s="103"/>
      <c r="V393" s="103"/>
      <c r="W393" s="103"/>
      <c r="X393" s="1559"/>
      <c r="Y393" s="1297"/>
      <c r="Z393" s="1529"/>
      <c r="AA393" s="1297"/>
      <c r="AB393" s="296" t="s">
        <v>1737</v>
      </c>
      <c r="AC393" s="769" t="s">
        <v>2344</v>
      </c>
      <c r="AD393" s="296" t="s">
        <v>936</v>
      </c>
      <c r="AE393" s="6293" cm="1" t="str">
        <f t="array" ref="AE393:AE393">AE394</f>
        <v>0</v>
      </c>
      <c r="AF393" s="6293" cm="1" t="str">
        <f t="array" ref="AF393:AF393">AF394</f>
        <v>0</v>
      </c>
      <c r="AG393" s="6293" cm="1" t="str">
        <f t="array" ref="AG393:AG393">AG394</f>
        <v>0</v>
      </c>
      <c r="AH393" s="1123">
        <f>AG393-AF393</f>
        <v>0</v>
      </c>
      <c r="AI393" s="6293" cm="1" t="str">
        <f t="array" ref="AI393:AI393">AI394</f>
        <v>0</v>
      </c>
      <c r="AJ393" s="6293" cm="1" t="str">
        <f t="array" ref="AJ393:AJ393">AJ394</f>
        <v>0</v>
      </c>
      <c r="AK393" s="1260" cm="1" t="str">
        <f t="array" ref="AK393:AK393">AK394</f>
        <v>0</v>
      </c>
      <c r="AL393" s="1260" cm="1" t="str">
        <f t="array" ref="AL393:AL393">AL394</f>
        <v>0</v>
      </c>
      <c r="AM393" s="1260" cm="1" t="str">
        <f t="array" ref="AM393:AM393">AM394</f>
        <v>0</v>
      </c>
      <c r="AN393" s="1260" cm="1" t="str">
        <f t="array" ref="AN393:AN393">AN394</f>
        <v>0</v>
      </c>
      <c r="AO393" s="1260" cm="1" t="str">
        <f t="array" ref="AO393:AO393">AO394</f>
        <v>0</v>
      </c>
      <c r="AP393" s="1260" cm="1" t="str">
        <f t="array" ref="AP393:AP393">AP394</f>
        <v>0</v>
      </c>
      <c r="AQ393" s="1260" cm="1" t="str">
        <f t="array" ref="AQ393:AQ393">AQ394</f>
        <v>0</v>
      </c>
      <c r="AR393" s="1260" cm="1" t="str">
        <f t="array" ref="AR393:AR393">AR394</f>
        <v>0</v>
      </c>
      <c r="AS393" s="1260" cm="1" t="str">
        <f t="array" ref="AS393:AS393">AS394</f>
        <v>0</v>
      </c>
      <c r="AT393" s="6293" cm="1" t="str">
        <f t="array" ref="AT393:AT393">AT394</f>
        <v>0</v>
      </c>
      <c r="AU393" s="1260" cm="1" t="str">
        <f t="array" ref="AU393:AU393">AU394</f>
        <v>0</v>
      </c>
      <c r="AV393" s="1260" cm="1" t="str">
        <f t="array" ref="AV393:AV393">AV394</f>
        <v>0</v>
      </c>
      <c r="AW393" s="1260" cm="1" t="str">
        <f t="array" ref="AW393:AW393">AW394</f>
        <v>0</v>
      </c>
      <c r="AX393" s="1260" cm="1" t="str">
        <f t="array" ref="AX393:AX393">AX394</f>
        <v>0</v>
      </c>
      <c r="AY393" s="1260" cm="1" t="str">
        <f t="array" ref="AY393:AY393">AY394</f>
        <v>0</v>
      </c>
      <c r="AZ393" s="1260" cm="1" t="str">
        <f t="array" ref="AZ393:AZ393">AZ394</f>
        <v>0</v>
      </c>
      <c r="BA393" s="1260" cm="1" t="str">
        <f t="array" ref="BA393:BA393">BA394</f>
        <v>0</v>
      </c>
      <c r="BB393" s="1260" cm="1" t="str">
        <f t="array" ref="BB393:BB393">BB394</f>
        <v>0</v>
      </c>
      <c r="BC393" s="1260" cm="1" t="str">
        <f t="array" ref="BC393:BC393">BC394</f>
        <v>0</v>
      </c>
      <c r="BD393" s="1123">
        <f>IF(AI393=0,0,(AT393-AI393)/AI393*100)</f>
        <v>0</v>
      </c>
      <c r="BE393" s="1123">
        <f>IF(AT393=0,0,(AU393-AT393)/AT393*100)</f>
        <v>0</v>
      </c>
      <c r="BF393" s="1123">
        <f>IF(AU393=0,0,(AV393-AU393)/AU393*100)</f>
        <v>0</v>
      </c>
      <c r="BG393" s="1123">
        <f>IF(AV393=0,0,(AW393-AV393)/AV393*100)</f>
        <v>0</v>
      </c>
      <c r="BH393" s="1123">
        <f>IF(AW393=0,0,(AX393-AW393)/AW393*100)</f>
        <v>0</v>
      </c>
      <c r="BI393" s="1123">
        <f>IF(AX393=0,0,(AY393-AX393)/AX393*100)</f>
        <v>0</v>
      </c>
      <c r="BJ393" s="1123">
        <f>IF(AY393=0,0,(AZ393-AY393)/AY393*100)</f>
        <v>0</v>
      </c>
      <c r="BK393" s="1123">
        <f>IF(AZ393=0,0,(BA393-AZ393)/AZ393*100)</f>
        <v>0</v>
      </c>
      <c r="BL393" s="1123">
        <f>IF(BA393=0,0,(BB393-BA393)/BA393*100)</f>
        <v>0</v>
      </c>
      <c r="BM393" s="1123">
        <f>IF(BB393=0,0,(BC393-BB393)/BB393*100)</f>
        <v>0</v>
      </c>
      <c r="BN393" s="6290"/>
      <c r="BO393" s="6290"/>
      <c r="BP393" s="6290"/>
      <c r="BQ393" s="1297"/>
      <c r="BR393" s="1297"/>
      <c r="BS393" s="1072" t="s">
        <v>2345</v>
      </c>
      <c r="BT393" s="1072"/>
      <c r="BU393" s="1072"/>
      <c r="BV393" s="987"/>
      <c r="BW393" s="987"/>
    </row>
    <row s="1656" customFormat="1" customHeight="1" ht="14.25">
      <c r="A394" s="1297"/>
      <c r="B394" s="434">
        <f>STATUS_GO="да"</f>
        <v>0</v>
      </c>
      <c r="C394" s="103"/>
      <c r="D394" s="103"/>
      <c r="E394" s="626">
        <v>15</v>
      </c>
      <c r="F394" s="50" cm="1" t="str">
        <f t="array" ref="F394:F394">OFFSET(E394,-1,1)</f>
        <v>2</v>
      </c>
      <c r="G394" s="103" t="s">
        <v>1679</v>
      </c>
      <c r="H394" s="103"/>
      <c r="I394" s="103" t="s">
        <v>2346</v>
      </c>
      <c r="J394" s="103"/>
      <c r="K394" s="154" t="s">
        <v>2346</v>
      </c>
      <c r="L394" s="988"/>
      <c r="M394" s="103"/>
      <c r="N394" s="103"/>
      <c r="O394" s="103"/>
      <c r="P394" s="103"/>
      <c r="Q394" s="103"/>
      <c r="R394" s="103"/>
      <c r="S394" s="103"/>
      <c r="T394" s="468" cm="1" t="str">
        <f t="array" ref="T394:T394">T393</f>
        <v>true</v>
      </c>
      <c r="U394" s="103"/>
      <c r="V394" s="103"/>
      <c r="W394" s="103"/>
      <c r="X394" s="1559"/>
      <c r="Y394" s="1297"/>
      <c r="Z394" s="1529"/>
      <c r="AA394" s="1297"/>
      <c r="AB394" s="296" t="s">
        <v>2347</v>
      </c>
      <c r="AC394" s="772" t="s">
        <v>1679</v>
      </c>
      <c r="AD394" s="296" t="s">
        <v>936</v>
      </c>
      <c r="AE394" s="1123">
        <f>_xlfn.SUMIFS('Сбытовые расходы ГО'!AE$25:AE$75,'Сбытовые расходы ГО'!$F$25:$F$75,$F394,'Сбытовые расходы ГО'!$G$25:$G$75,"l1")</f>
        <v>0</v>
      </c>
      <c r="AF394" s="1123">
        <f>_xlfn.SUMIFS('Сбытовые расходы ГО'!AF$25:AF$75,'Сбытовые расходы ГО'!$F$25:$F$75,$F394,'Сбытовые расходы ГО'!$G$25:$G$75,"l1")</f>
        <v>0</v>
      </c>
      <c r="AG394" s="1123">
        <f>_xlfn.SUMIFS('Сбытовые расходы ГО'!AG$25:AG$75,'Сбытовые расходы ГО'!$F$25:$F$75,$F394,'Сбытовые расходы ГО'!$G$25:$G$75,"l1")</f>
        <v>0</v>
      </c>
      <c r="AH394" s="1123">
        <f>AG394-AF394</f>
        <v>0</v>
      </c>
      <c r="AI394" s="1123">
        <f>_xlfn.SUMIFS('Сбытовые расходы ГО'!AH$25:AH$75,'Сбытовые расходы ГО'!$F$25:$F$75,$F394,'Сбытовые расходы ГО'!$G$25:$G$75,"l1")</f>
        <v>0</v>
      </c>
      <c r="AJ394" s="1123">
        <f>_xlfn.SUMIFS('Сбытовые расходы ГО'!AI$25:AI$75,'Сбытовые расходы ГО'!$F$25:$F$75,$F394,'Сбытовые расходы ГО'!$G$25:$G$75,"l1")</f>
        <v>0</v>
      </c>
      <c r="AK394" s="1260"/>
      <c r="AL394" s="1260"/>
      <c r="AM394" s="1260"/>
      <c r="AN394" s="1260"/>
      <c r="AO394" s="1260"/>
      <c r="AP394" s="1260"/>
      <c r="AQ394" s="1260"/>
      <c r="AR394" s="1260"/>
      <c r="AS394" s="1260"/>
      <c r="AT394" s="1123">
        <f>_xlfn.SUMIFS('Сбытовые расходы ГО'!AJ$25:AJ$75,'Сбытовые расходы ГО'!$F$25:$F$75,$F394,'Сбытовые расходы ГО'!$G$25:$G$75,"l1")</f>
        <v>0</v>
      </c>
      <c r="AU394" s="1260"/>
      <c r="AV394" s="1260"/>
      <c r="AW394" s="1260"/>
      <c r="AX394" s="1260"/>
      <c r="AY394" s="1260"/>
      <c r="AZ394" s="1260"/>
      <c r="BA394" s="1260"/>
      <c r="BB394" s="1260"/>
      <c r="BC394" s="1260"/>
      <c r="BD394" s="1123">
        <f>IF(AI394=0,0,(AT394-AI394)/AI394*100)</f>
        <v>0</v>
      </c>
      <c r="BE394" s="1123">
        <f>IF(AT394=0,0,(AU394-AT394)/AT394*100)</f>
        <v>0</v>
      </c>
      <c r="BF394" s="1123">
        <f>IF(AU394=0,0,(AV394-AU394)/AU394*100)</f>
        <v>0</v>
      </c>
      <c r="BG394" s="1123">
        <f>IF(AV394=0,0,(AW394-AV394)/AV394*100)</f>
        <v>0</v>
      </c>
      <c r="BH394" s="1123">
        <f>IF(AW394=0,0,(AX394-AW394)/AW394*100)</f>
        <v>0</v>
      </c>
      <c r="BI394" s="1123">
        <f>IF(AX394=0,0,(AY394-AX394)/AX394*100)</f>
        <v>0</v>
      </c>
      <c r="BJ394" s="1123">
        <f>IF(AY394=0,0,(AZ394-AY394)/AY394*100)</f>
        <v>0</v>
      </c>
      <c r="BK394" s="1123">
        <f>IF(AZ394=0,0,(BA394-AZ394)/AZ394*100)</f>
        <v>0</v>
      </c>
      <c r="BL394" s="1123">
        <f>IF(BA394=0,0,(BB394-BA394)/BA394*100)</f>
        <v>0</v>
      </c>
      <c r="BM394" s="1123">
        <f>IF(BB394=0,0,(BC394-BB394)/BB394*100)</f>
        <v>0</v>
      </c>
      <c r="BN394" s="6290"/>
      <c r="BO394" s="6345" t="str">
        <f>IF(_xlfn.IFERROR(INDEX('Сбытовые расходы ГО'!$K$26:$M$75,MATCH($F394&amp;"komm",'Сбытовые расходы ГО'!$K$26:$K$75,0),2),"")=0,"",_xlfn.IFERROR(INDEX('Сбытовые расходы ГО'!$K$26:$M$75,MATCH($F394&amp;"komm",'Сбытовые расходы ГО'!$K$26:$K$75,0),2),""))</f>
        <v/>
      </c>
      <c r="BP394" s="6290"/>
      <c r="BQ394" s="1297"/>
      <c r="BR394" s="1297"/>
      <c r="BS394" s="1072" t="s">
        <v>2348</v>
      </c>
      <c r="BT394" s="1072"/>
      <c r="BU394" s="1072"/>
      <c r="BV394" s="987"/>
      <c r="BW394" s="987"/>
    </row>
    <row s="1656" customFormat="1" customHeight="1" ht="14.625">
      <c r="A395" s="1297"/>
      <c r="B395" s="986"/>
      <c r="C395" s="103"/>
      <c r="D395" s="103"/>
      <c r="E395" s="626">
        <v>15</v>
      </c>
      <c r="F395" s="50" cm="1" t="str">
        <f t="array" ref="F395:F395">OFFSET(E395,-1,1)</f>
        <v>2</v>
      </c>
      <c r="G395" s="103" t="s">
        <v>1684</v>
      </c>
      <c r="H395" s="103"/>
      <c r="I395" s="103" t="s">
        <v>2349</v>
      </c>
      <c r="J395" s="103"/>
      <c r="K395" s="154" t="s">
        <v>2349</v>
      </c>
      <c r="L395" s="988"/>
      <c r="M395" s="103"/>
      <c r="N395" s="103"/>
      <c r="O395" s="103"/>
      <c r="P395" s="103"/>
      <c r="Q395" s="103"/>
      <c r="R395" s="103"/>
      <c r="S395" s="103"/>
      <c r="T395" s="468" cm="1" t="str">
        <f t="array" ref="T395:T395">T394</f>
        <v>true</v>
      </c>
      <c r="U395" s="103"/>
      <c r="V395" s="103"/>
      <c r="W395" s="103"/>
      <c r="X395" s="1559"/>
      <c r="Y395" s="1297"/>
      <c r="Z395" s="1529"/>
      <c r="AA395" s="1297"/>
      <c r="AB395" s="296" t="s">
        <v>1742</v>
      </c>
      <c r="AC395" s="769" t="s">
        <v>1684</v>
      </c>
      <c r="AD395" s="296" t="s">
        <v>936</v>
      </c>
      <c r="AE395" s="6293">
        <v>0</v>
      </c>
      <c r="AF395" s="6293"/>
      <c r="AG395" s="6293"/>
      <c r="AH395" s="1123">
        <f>AG395-AF395</f>
        <v>0</v>
      </c>
      <c r="AI395" s="6293">
        <v>0</v>
      </c>
      <c r="AJ395" s="6293">
        <f>_xlfn.SUMIFS(Экономия_корр!AE$25:AE$59,Экономия_корр!$F$25:$F$59,$F395,Экономия_корр!$AC$25:$AC$59,"Экономия расходов с учетом ИПЦ")</f>
        <v>0</v>
      </c>
      <c r="AK395" s="1260">
        <f>_xlfn.SUMIFS(Экономия_корр!AF$25:AF$59,Экономия_корр!$F$25:$F$59,$F395,Экономия_корр!$AC$25:$AC$59,"Экономия расходов с учетом ИПЦ")</f>
        <v>0</v>
      </c>
      <c r="AL395" s="1260">
        <f>_xlfn.SUMIFS(Экономия_корр!AG$25:AG$59,Экономия_корр!$F$25:$F$59,$F395,Экономия_корр!$AC$25:$AC$59,"Экономия расходов с учетом ИПЦ")</f>
        <v>0</v>
      </c>
      <c r="AM395" s="1260">
        <f>_xlfn.SUMIFS(Экономия_корр!AH$25:AH$59,Экономия_корр!$F$25:$F$59,$F395,Экономия_корр!$AC$25:$AC$59,"Экономия расходов с учетом ИПЦ")</f>
        <v>0</v>
      </c>
      <c r="AN395" s="1260">
        <f>_xlfn.SUMIFS(Экономия_корр!AI$25:AI$59,Экономия_корр!$F$25:$F$59,$F395,Экономия_корр!$AC$25:$AC$59,"Экономия расходов с учетом ИПЦ")</f>
        <v>0</v>
      </c>
      <c r="AO395" s="1260">
        <f>_xlfn.SUMIFS(Экономия_корр!AJ$25:AJ$59,Экономия_корр!$F$25:$F$59,$F395,Экономия_корр!$AC$25:$AC$59,"Экономия расходов с учетом ИПЦ")</f>
        <v>0</v>
      </c>
      <c r="AP395" s="1260">
        <f>_xlfn.SUMIFS(Экономия_корр!AK$25:AK$59,Экономия_корр!$F$25:$F$59,$F395,Экономия_корр!$AC$25:$AC$59,"Экономия расходов с учетом ИПЦ")</f>
        <v>0</v>
      </c>
      <c r="AQ395" s="1260">
        <f>_xlfn.SUMIFS(Экономия_корр!AL$25:AL$59,Экономия_корр!$F$25:$F$59,$F395,Экономия_корр!$AC$25:$AC$59,"Экономия расходов с учетом ИПЦ")</f>
        <v>0</v>
      </c>
      <c r="AR395" s="1260">
        <f>_xlfn.SUMIFS(Экономия_корр!AM$25:AM$59,Экономия_корр!$F$25:$F$59,$F395,Экономия_корр!$AC$25:$AC$59,"Экономия расходов с учетом ИПЦ")</f>
        <v>0</v>
      </c>
      <c r="AS395" s="1260">
        <f>_xlfn.SUMIFS(Экономия_корр!AN$25:AN$59,Экономия_корр!$F$25:$F$59,$F395,Экономия_корр!$AC$25:$AC$59,"Экономия расходов с учетом ИПЦ")</f>
        <v>0</v>
      </c>
      <c r="AT395" s="6293">
        <f>_xlfn.SUMIFS(Экономия_корр!AO$25:AO$59,Экономия_корр!$F$25:$F$59,$F395,Экономия_корр!$AC$25:$AC$59,"Экономия расходов с учетом ИПЦ")</f>
        <v>0</v>
      </c>
      <c r="AU395" s="1260">
        <f>_xlfn.SUMIFS(Экономия_корр!AP$25:AP$59,Экономия_корр!$F$25:$F$59,$F395,Экономия_корр!$AC$25:$AC$59,"Экономия расходов с учетом ИПЦ")</f>
        <v>0</v>
      </c>
      <c r="AV395" s="1260">
        <f>_xlfn.SUMIFS(Экономия_корр!AQ$25:AQ$59,Экономия_корр!$F$25:$F$59,$F395,Экономия_корр!$AC$25:$AC$59,"Экономия расходов с учетом ИПЦ")</f>
        <v>0</v>
      </c>
      <c r="AW395" s="1260">
        <f>_xlfn.SUMIFS(Экономия_корр!AR$25:AR$59,Экономия_корр!$F$25:$F$59,$F395,Экономия_корр!$AC$25:$AC$59,"Экономия расходов с учетом ИПЦ")</f>
        <v>0</v>
      </c>
      <c r="AX395" s="1260">
        <f>_xlfn.SUMIFS(Экономия_корр!AS$25:AS$59,Экономия_корр!$F$25:$F$59,$F395,Экономия_корр!$AC$25:$AC$59,"Экономия расходов с учетом ИПЦ")</f>
        <v>0</v>
      </c>
      <c r="AY395" s="1260">
        <f>_xlfn.SUMIFS(Экономия_корр!AT$25:AT$59,Экономия_корр!$F$25:$F$59,$F395,Экономия_корр!$AC$25:$AC$59,"Экономия расходов с учетом ИПЦ")</f>
        <v>0</v>
      </c>
      <c r="AZ395" s="1260">
        <f>_xlfn.SUMIFS(Экономия_корр!AU$25:AU$59,Экономия_корр!$F$25:$F$59,$F395,Экономия_корр!$AC$25:$AC$59,"Экономия расходов с учетом ИПЦ")</f>
        <v>0</v>
      </c>
      <c r="BA395" s="1260">
        <f>_xlfn.SUMIFS(Экономия_корр!AV$25:AV$59,Экономия_корр!$F$25:$F$59,$F395,Экономия_корр!$AC$25:$AC$59,"Экономия расходов с учетом ИПЦ")</f>
        <v>0</v>
      </c>
      <c r="BB395" s="1260">
        <f>_xlfn.SUMIFS(Экономия_корр!AW$25:AW$59,Экономия_корр!$F$25:$F$59,$F395,Экономия_корр!$AC$25:$AC$59,"Экономия расходов с учетом ИПЦ")</f>
        <v>0</v>
      </c>
      <c r="BC395" s="1260">
        <f>_xlfn.SUMIFS(Экономия_корр!AX$25:AX$59,Экономия_корр!$F$25:$F$59,$F395,Экономия_корр!$AC$25:$AC$59,"Экономия расходов с учетом ИПЦ")</f>
        <v>0</v>
      </c>
      <c r="BD395" s="1123">
        <f>IF(AI395=0,0,(AT395-AI395)/AI395*100)</f>
        <v>0</v>
      </c>
      <c r="BE395" s="1123">
        <f>IF(AT395=0,0,(AU395-AT395)/AT395*100)</f>
        <v>0</v>
      </c>
      <c r="BF395" s="1123">
        <f>IF(AU395=0,0,(AV395-AU395)/AU395*100)</f>
        <v>0</v>
      </c>
      <c r="BG395" s="1123">
        <f>IF(AV395=0,0,(AW395-AV395)/AV395*100)</f>
        <v>0</v>
      </c>
      <c r="BH395" s="1123">
        <f>IF(AW395=0,0,(AX395-AW395)/AW395*100)</f>
        <v>0</v>
      </c>
      <c r="BI395" s="1123">
        <f>IF(AX395=0,0,(AY395-AX395)/AX395*100)</f>
        <v>0</v>
      </c>
      <c r="BJ395" s="1123">
        <f>IF(AY395=0,0,(AZ395-AY395)/AY395*100)</f>
        <v>0</v>
      </c>
      <c r="BK395" s="1123">
        <f>IF(AZ395=0,0,(BA395-AZ395)/AZ395*100)</f>
        <v>0</v>
      </c>
      <c r="BL395" s="1123">
        <f>IF(BA395=0,0,(BB395-BA395)/BA395*100)</f>
        <v>0</v>
      </c>
      <c r="BM395" s="1123">
        <f>IF(BB395=0,0,(BC395-BB395)/BB395*100)</f>
        <v>0</v>
      </c>
      <c r="BN395" s="6290"/>
      <c r="BO395" s="6290"/>
      <c r="BP395" s="6290"/>
      <c r="BQ395" s="1297"/>
      <c r="BR395" s="1297"/>
      <c r="BS395" s="1072" t="s">
        <v>2350</v>
      </c>
      <c r="BT395" s="1072"/>
      <c r="BU395" s="1072"/>
      <c r="BV395" s="987"/>
      <c r="BW395" s="987"/>
    </row>
    <row s="1656" customFormat="1" customHeight="1" ht="14.25">
      <c r="A396" s="1297"/>
      <c r="B396" s="986"/>
      <c r="C396" s="103"/>
      <c r="D396" s="103"/>
      <c r="E396" s="626">
        <v>15</v>
      </c>
      <c r="F396" s="50" cm="1" t="str">
        <f t="array" ref="F396:F396">OFFSET(E396,-1,1)</f>
        <v>2</v>
      </c>
      <c r="G396" s="103" t="s">
        <v>1689</v>
      </c>
      <c r="H396" s="103"/>
      <c r="I396" s="103" t="s">
        <v>2351</v>
      </c>
      <c r="J396" s="103"/>
      <c r="K396" s="154" t="s">
        <v>2351</v>
      </c>
      <c r="L396" s="988"/>
      <c r="M396" s="103"/>
      <c r="N396" s="103"/>
      <c r="O396" s="103"/>
      <c r="P396" s="103"/>
      <c r="Q396" s="103"/>
      <c r="R396" s="103"/>
      <c r="S396" s="103"/>
      <c r="T396" s="468" cm="1" t="str">
        <f t="array" ref="T396:T396">T395</f>
        <v>true</v>
      </c>
      <c r="U396" s="103"/>
      <c r="V396" s="103"/>
      <c r="W396" s="103"/>
      <c r="X396" s="1559"/>
      <c r="Y396" s="1297"/>
      <c r="Z396" s="1529"/>
      <c r="AA396" s="1297"/>
      <c r="AB396" s="296" t="s">
        <v>2352</v>
      </c>
      <c r="AC396" s="769" t="s">
        <v>1689</v>
      </c>
      <c r="AD396" s="296" t="s">
        <v>936</v>
      </c>
      <c r="AE396" s="6293"/>
      <c r="AF396" s="6293"/>
      <c r="AG396" s="6293"/>
      <c r="AH396" s="1123">
        <f>AG396-AF396</f>
        <v>0</v>
      </c>
      <c r="AI396" s="6293"/>
      <c r="AJ396" s="6293"/>
      <c r="AK396" s="1260"/>
      <c r="AL396" s="1260"/>
      <c r="AM396" s="1260"/>
      <c r="AN396" s="1260"/>
      <c r="AO396" s="1260"/>
      <c r="AP396" s="1260"/>
      <c r="AQ396" s="1260"/>
      <c r="AR396" s="1260"/>
      <c r="AS396" s="1260"/>
      <c r="AT396" s="6293"/>
      <c r="AU396" s="1260"/>
      <c r="AV396" s="1260"/>
      <c r="AW396" s="1260"/>
      <c r="AX396" s="1260"/>
      <c r="AY396" s="1260"/>
      <c r="AZ396" s="1260"/>
      <c r="BA396" s="1260"/>
      <c r="BB396" s="1260"/>
      <c r="BC396" s="1260"/>
      <c r="BD396" s="1123">
        <f>IF(AI396=0,0,(AT396-AI396)/AI396*100)</f>
        <v>0</v>
      </c>
      <c r="BE396" s="1123">
        <f>IF(AT396=0,0,(AU396-AT396)/AT396*100)</f>
        <v>0</v>
      </c>
      <c r="BF396" s="1123">
        <f>IF(AU396=0,0,(AV396-AU396)/AU396*100)</f>
        <v>0</v>
      </c>
      <c r="BG396" s="1123">
        <f>IF(AV396=0,0,(AW396-AV396)/AV396*100)</f>
        <v>0</v>
      </c>
      <c r="BH396" s="1123">
        <f>IF(AW396=0,0,(AX396-AW396)/AW396*100)</f>
        <v>0</v>
      </c>
      <c r="BI396" s="1123">
        <f>IF(AX396=0,0,(AY396-AX396)/AX396*100)</f>
        <v>0</v>
      </c>
      <c r="BJ396" s="1123">
        <f>IF(AY396=0,0,(AZ396-AY396)/AY396*100)</f>
        <v>0</v>
      </c>
      <c r="BK396" s="1123">
        <f>IF(AZ396=0,0,(BA396-AZ396)/AZ396*100)</f>
        <v>0</v>
      </c>
      <c r="BL396" s="1123">
        <f>IF(BA396=0,0,(BB396-BA396)/BA396*100)</f>
        <v>0</v>
      </c>
      <c r="BM396" s="1123">
        <f>IF(BB396=0,0,(BC396-BB396)/BB396*100)</f>
        <v>0</v>
      </c>
      <c r="BN396" s="6290"/>
      <c r="BO396" s="6290"/>
      <c r="BP396" s="6290"/>
      <c r="BQ396" s="1297"/>
      <c r="BR396" s="1297"/>
      <c r="BS396" s="1072" t="s">
        <v>2089</v>
      </c>
      <c r="BT396" s="1072"/>
      <c r="BU396" s="1072"/>
      <c r="BV396" s="987"/>
      <c r="BW396" s="987"/>
    </row>
    <row s="1656" customFormat="1" customHeight="1" ht="14.625">
      <c r="A397" s="1297"/>
      <c r="B397" s="986"/>
      <c r="C397" s="103"/>
      <c r="D397" s="103"/>
      <c r="E397" s="626">
        <v>15</v>
      </c>
      <c r="F397" s="50" cm="1" t="str">
        <f t="array" ref="F397:F397">OFFSET(E397,-1,1)</f>
        <v>2</v>
      </c>
      <c r="G397" s="103" t="s">
        <v>1694</v>
      </c>
      <c r="H397" s="103"/>
      <c r="I397" s="103" t="s">
        <v>2353</v>
      </c>
      <c r="J397" s="103"/>
      <c r="K397" s="154" t="s">
        <v>2353</v>
      </c>
      <c r="L397" s="988"/>
      <c r="M397" s="103"/>
      <c r="N397" s="103"/>
      <c r="O397" s="103"/>
      <c r="P397" s="103"/>
      <c r="Q397" s="103"/>
      <c r="R397" s="103"/>
      <c r="S397" s="103"/>
      <c r="T397" s="468" cm="1" t="str">
        <f t="array" ref="T397:T397">T396</f>
        <v>true</v>
      </c>
      <c r="U397" s="103"/>
      <c r="V397" s="103"/>
      <c r="W397" s="103"/>
      <c r="X397" s="1559"/>
      <c r="Y397" s="1297"/>
      <c r="Z397" s="1529"/>
      <c r="AA397" s="1297"/>
      <c r="AB397" s="296" t="s">
        <v>1761</v>
      </c>
      <c r="AC397" s="769" t="s">
        <v>1694</v>
      </c>
      <c r="AD397" s="296" t="s">
        <v>936</v>
      </c>
      <c r="AE397" s="6293"/>
      <c r="AF397" s="6293"/>
      <c r="AG397" s="6293"/>
      <c r="AH397" s="1123">
        <f>AG397-AF397</f>
        <v>0</v>
      </c>
      <c r="AI397" s="6293">
        <v>0</v>
      </c>
      <c r="AJ397" s="6293"/>
      <c r="AK397" s="1260"/>
      <c r="AL397" s="1260"/>
      <c r="AM397" s="1260"/>
      <c r="AN397" s="1260"/>
      <c r="AO397" s="1260"/>
      <c r="AP397" s="1260"/>
      <c r="AQ397" s="1260"/>
      <c r="AR397" s="1260"/>
      <c r="AS397" s="1260"/>
      <c r="AT397" s="6293"/>
      <c r="AU397" s="1260"/>
      <c r="AV397" s="1260"/>
      <c r="AW397" s="1260"/>
      <c r="AX397" s="1260"/>
      <c r="AY397" s="1260"/>
      <c r="AZ397" s="1260"/>
      <c r="BA397" s="1260"/>
      <c r="BB397" s="1260"/>
      <c r="BC397" s="1260"/>
      <c r="BD397" s="1123">
        <f>IF(AI397=0,0,(AT397-AI397)/AI397*100)</f>
        <v>0</v>
      </c>
      <c r="BE397" s="1123">
        <f>IF(AT397=0,0,(AU397-AT397)/AT397*100)</f>
        <v>0</v>
      </c>
      <c r="BF397" s="1123">
        <f>IF(AU397=0,0,(AV397-AU397)/AU397*100)</f>
        <v>0</v>
      </c>
      <c r="BG397" s="1123">
        <f>IF(AV397=0,0,(AW397-AV397)/AV397*100)</f>
        <v>0</v>
      </c>
      <c r="BH397" s="1123">
        <f>IF(AW397=0,0,(AX397-AW397)/AW397*100)</f>
        <v>0</v>
      </c>
      <c r="BI397" s="1123">
        <f>IF(AX397=0,0,(AY397-AX397)/AX397*100)</f>
        <v>0</v>
      </c>
      <c r="BJ397" s="1123">
        <f>IF(AY397=0,0,(AZ397-AY397)/AY397*100)</f>
        <v>0</v>
      </c>
      <c r="BK397" s="1123">
        <f>IF(AZ397=0,0,(BA397-AZ397)/AZ397*100)</f>
        <v>0</v>
      </c>
      <c r="BL397" s="1123">
        <f>IF(BA397=0,0,(BB397-BA397)/BA397*100)</f>
        <v>0</v>
      </c>
      <c r="BM397" s="1123">
        <f>IF(BB397=0,0,(BC397-BB397)/BB397*100)</f>
        <v>0</v>
      </c>
      <c r="BN397" s="6290"/>
      <c r="BO397" s="6290"/>
      <c r="BP397" s="6290"/>
      <c r="BQ397" s="1297"/>
      <c r="BR397" s="1297"/>
      <c r="BS397" s="1072" t="s">
        <v>2354</v>
      </c>
      <c r="BT397" s="1072"/>
      <c r="BU397" s="1072"/>
      <c r="BV397" s="987"/>
      <c r="BW397" s="987"/>
    </row>
    <row s="1656" customFormat="1" customHeight="1" ht="14.25">
      <c r="A398" s="1297"/>
      <c r="B398" s="986"/>
      <c r="C398" s="103"/>
      <c r="D398" s="103"/>
      <c r="E398" s="626">
        <v>15</v>
      </c>
      <c r="F398" s="50" cm="1" t="str">
        <f t="array" ref="F398:F398">OFFSET(E398,-1,1)</f>
        <v>2</v>
      </c>
      <c r="G398" s="103" t="s">
        <v>1699</v>
      </c>
      <c r="H398" s="103"/>
      <c r="I398" s="103" t="s">
        <v>2355</v>
      </c>
      <c r="J398" s="103"/>
      <c r="K398" s="154" t="s">
        <v>2355</v>
      </c>
      <c r="L398" s="988"/>
      <c r="M398" s="103"/>
      <c r="N398" s="103"/>
      <c r="O398" s="103"/>
      <c r="P398" s="103"/>
      <c r="Q398" s="103"/>
      <c r="R398" s="103"/>
      <c r="S398" s="103"/>
      <c r="T398" s="468" cm="1" t="str">
        <f t="array" ref="T398:T398">T397</f>
        <v>true</v>
      </c>
      <c r="U398" s="103"/>
      <c r="V398" s="103"/>
      <c r="W398" s="103"/>
      <c r="X398" s="1559"/>
      <c r="Y398" s="1297"/>
      <c r="Z398" s="1529"/>
      <c r="AA398" s="1297"/>
      <c r="AB398" s="296" t="s">
        <v>1765</v>
      </c>
      <c r="AC398" s="769" t="s">
        <v>1699</v>
      </c>
      <c r="AD398" s="296" t="s">
        <v>936</v>
      </c>
      <c r="AE398" s="1125">
        <f>SUM(AE399,AE400)</f>
        <v>0</v>
      </c>
      <c r="AF398" s="1123">
        <f>SUM(AF399,AF400)</f>
        <v>0</v>
      </c>
      <c r="AG398" s="1123">
        <f>SUM(AG399,AG400)</f>
        <v>0</v>
      </c>
      <c r="AH398" s="1123">
        <f>AG398-AF398</f>
        <v>0</v>
      </c>
      <c r="AI398" s="1123">
        <f>SUM(AI399,AI400)</f>
        <v>0</v>
      </c>
      <c r="AJ398" s="1125">
        <f>SUM(AJ399,AJ400)</f>
        <v>0</v>
      </c>
      <c r="AK398" s="1123">
        <f>SUM(AK399,AK400)</f>
        <v>0</v>
      </c>
      <c r="AL398" s="1123">
        <f>SUM(AL399,AL400)</f>
        <v>0</v>
      </c>
      <c r="AM398" s="1123">
        <f>SUM(AM399,AM400)</f>
        <v>0</v>
      </c>
      <c r="AN398" s="1123">
        <f>SUM(AN399,AN400)</f>
        <v>0</v>
      </c>
      <c r="AO398" s="1123">
        <f>SUM(AO399,AO400)</f>
        <v>0</v>
      </c>
      <c r="AP398" s="1123">
        <f>SUM(AP399,AP400)</f>
        <v>0</v>
      </c>
      <c r="AQ398" s="1123">
        <f>SUM(AQ399,AQ400)</f>
        <v>0</v>
      </c>
      <c r="AR398" s="1123">
        <f>SUM(AR399,AR400)</f>
        <v>0</v>
      </c>
      <c r="AS398" s="1123">
        <f>SUM(AS399,AS400)</f>
        <v>0</v>
      </c>
      <c r="AT398" s="1125">
        <f>SUM(AT399,AT400)</f>
        <v>0</v>
      </c>
      <c r="AU398" s="1123">
        <f>SUM(AU399,AU400)</f>
        <v>0</v>
      </c>
      <c r="AV398" s="1123">
        <f>SUM(AV399,AV400)</f>
        <v>0</v>
      </c>
      <c r="AW398" s="1123">
        <f>SUM(AW399,AW400)</f>
        <v>0</v>
      </c>
      <c r="AX398" s="1123">
        <f>SUM(AX399,AX400)</f>
        <v>0</v>
      </c>
      <c r="AY398" s="1123">
        <f>SUM(AY399,AY400)</f>
        <v>0</v>
      </c>
      <c r="AZ398" s="1123">
        <f>SUM(AZ399,AZ400)</f>
        <v>0</v>
      </c>
      <c r="BA398" s="1123">
        <f>SUM(BA399,BA400)</f>
        <v>0</v>
      </c>
      <c r="BB398" s="1123">
        <f>SUM(BB399,BB400)</f>
        <v>0</v>
      </c>
      <c r="BC398" s="1123">
        <f>SUM(BC399,BC400)</f>
        <v>0</v>
      </c>
      <c r="BD398" s="1123">
        <f>IF(AI398=0,0,(AT398-AI398)/AI398*100)</f>
        <v>0</v>
      </c>
      <c r="BE398" s="1123">
        <f>IF(AT398=0,0,(AU398-AT398)/AT398*100)</f>
        <v>0</v>
      </c>
      <c r="BF398" s="1123">
        <f>IF(AU398=0,0,(AV398-AU398)/AU398*100)</f>
        <v>0</v>
      </c>
      <c r="BG398" s="1123">
        <f>IF(AV398=0,0,(AW398-AV398)/AV398*100)</f>
        <v>0</v>
      </c>
      <c r="BH398" s="1123">
        <f>IF(AW398=0,0,(AX398-AW398)/AW398*100)</f>
        <v>0</v>
      </c>
      <c r="BI398" s="1123">
        <f>IF(AX398=0,0,(AY398-AX398)/AX398*100)</f>
        <v>0</v>
      </c>
      <c r="BJ398" s="1123">
        <f>IF(AY398=0,0,(AZ398-AY398)/AY398*100)</f>
        <v>0</v>
      </c>
      <c r="BK398" s="1123">
        <f>IF(AZ398=0,0,(BA398-AZ398)/AZ398*100)</f>
        <v>0</v>
      </c>
      <c r="BL398" s="1123">
        <f>IF(BA398=0,0,(BB398-BA398)/BA398*100)</f>
        <v>0</v>
      </c>
      <c r="BM398" s="1123">
        <f>IF(BB398=0,0,(BC398-BB398)/BB398*100)</f>
        <v>0</v>
      </c>
      <c r="BN398" s="6290"/>
      <c r="BO398" s="6290"/>
      <c r="BP398" s="6290"/>
      <c r="BQ398" s="1297"/>
      <c r="BR398" s="1297"/>
      <c r="BS398" s="1072" t="s">
        <v>2356</v>
      </c>
      <c r="BT398" s="1072"/>
      <c r="BU398" s="1072"/>
      <c r="BV398" s="987"/>
      <c r="BW398" s="987"/>
    </row>
    <row s="1656" customFormat="1" customHeight="1" ht="14.625">
      <c r="A399" s="1297"/>
      <c r="B399" s="986"/>
      <c r="C399" s="103"/>
      <c r="D399" s="103"/>
      <c r="E399" s="626">
        <v>15</v>
      </c>
      <c r="F399" s="50" cm="1" t="str">
        <f t="array" ref="F399:F399">OFFSET(E399,-1,1)</f>
        <v>2</v>
      </c>
      <c r="G399" s="103"/>
      <c r="H399" s="103"/>
      <c r="I399" s="103" t="s">
        <v>2357</v>
      </c>
      <c r="J399" s="103"/>
      <c r="K399" s="154" t="s">
        <v>2357</v>
      </c>
      <c r="L399" s="988"/>
      <c r="M399" s="103"/>
      <c r="N399" s="103"/>
      <c r="O399" s="103"/>
      <c r="P399" s="103"/>
      <c r="Q399" s="103"/>
      <c r="R399" s="103"/>
      <c r="S399" s="103"/>
      <c r="T399" s="468" cm="1" t="str">
        <f t="array" ref="T399:T399">T398</f>
        <v>true</v>
      </c>
      <c r="U399" s="103"/>
      <c r="V399" s="103"/>
      <c r="W399" s="103"/>
      <c r="X399" s="1559"/>
      <c r="Y399" s="1297"/>
      <c r="Z399" s="1529"/>
      <c r="AA399" s="1297"/>
      <c r="AB399" s="296" t="s">
        <v>2358</v>
      </c>
      <c r="AC399" s="772" t="s">
        <v>2359</v>
      </c>
      <c r="AD399" s="296" t="s">
        <v>936</v>
      </c>
      <c r="AE399" s="6293"/>
      <c r="AF399" s="6293"/>
      <c r="AG399" s="6293"/>
      <c r="AH399" s="1123">
        <f>AG399-AF399</f>
        <v>0</v>
      </c>
      <c r="AI399" s="6293">
        <v>0</v>
      </c>
      <c r="AJ399" s="6293"/>
      <c r="AK399" s="1260"/>
      <c r="AL399" s="1260"/>
      <c r="AM399" s="1260"/>
      <c r="AN399" s="1260"/>
      <c r="AO399" s="1260"/>
      <c r="AP399" s="1260"/>
      <c r="AQ399" s="1260"/>
      <c r="AR399" s="1260"/>
      <c r="AS399" s="1260"/>
      <c r="AT399" s="6293"/>
      <c r="AU399" s="1260"/>
      <c r="AV399" s="1260"/>
      <c r="AW399" s="1260"/>
      <c r="AX399" s="1260"/>
      <c r="AY399" s="1260"/>
      <c r="AZ399" s="1260"/>
      <c r="BA399" s="1260"/>
      <c r="BB399" s="1260"/>
      <c r="BC399" s="1260"/>
      <c r="BD399" s="1123">
        <f>IF(AI399=0,0,(AT399-AI399)/AI399*100)</f>
        <v>0</v>
      </c>
      <c r="BE399" s="1123">
        <f>IF(AT399=0,0,(AU399-AT399)/AT399*100)</f>
        <v>0</v>
      </c>
      <c r="BF399" s="1123">
        <f>IF(AU399=0,0,(AV399-AU399)/AU399*100)</f>
        <v>0</v>
      </c>
      <c r="BG399" s="1123">
        <f>IF(AV399=0,0,(AW399-AV399)/AV399*100)</f>
        <v>0</v>
      </c>
      <c r="BH399" s="1123">
        <f>IF(AW399=0,0,(AX399-AW399)/AW399*100)</f>
        <v>0</v>
      </c>
      <c r="BI399" s="1123">
        <f>IF(AX399=0,0,(AY399-AX399)/AX399*100)</f>
        <v>0</v>
      </c>
      <c r="BJ399" s="1123">
        <f>IF(AY399=0,0,(AZ399-AY399)/AY399*100)</f>
        <v>0</v>
      </c>
      <c r="BK399" s="1123">
        <f>IF(AZ399=0,0,(BA399-AZ399)/AZ399*100)</f>
        <v>0</v>
      </c>
      <c r="BL399" s="1123">
        <f>IF(BA399=0,0,(BB399-BA399)/BA399*100)</f>
        <v>0</v>
      </c>
      <c r="BM399" s="1123">
        <f>IF(BB399=0,0,(BC399-BB399)/BB399*100)</f>
        <v>0</v>
      </c>
      <c r="BN399" s="6290"/>
      <c r="BO399" s="6290"/>
      <c r="BP399" s="6290"/>
      <c r="BQ399" s="1297"/>
      <c r="BR399" s="1297"/>
      <c r="BS399" s="1072" t="s">
        <v>1456</v>
      </c>
      <c r="BT399" s="1072"/>
      <c r="BU399" s="1072"/>
      <c r="BV399" s="987"/>
      <c r="BW399" s="987"/>
    </row>
    <row s="1656" customFormat="1" customHeight="1" ht="14.25">
      <c r="A400" s="1297"/>
      <c r="B400" s="986"/>
      <c r="C400" s="103"/>
      <c r="D400" s="103"/>
      <c r="E400" s="626">
        <v>15</v>
      </c>
      <c r="F400" s="50" cm="1" t="str">
        <f t="array" ref="F400:F400">OFFSET(E400,-1,1)</f>
        <v>2</v>
      </c>
      <c r="G400" s="103"/>
      <c r="H400" s="103"/>
      <c r="I400" s="103" t="s">
        <v>2360</v>
      </c>
      <c r="J400" s="103"/>
      <c r="K400" s="154" t="s">
        <v>2360</v>
      </c>
      <c r="L400" s="988" t="s">
        <v>1079</v>
      </c>
      <c r="M400" s="103"/>
      <c r="N400" s="103"/>
      <c r="O400" s="103"/>
      <c r="P400" s="103"/>
      <c r="Q400" s="103"/>
      <c r="R400" s="103"/>
      <c r="S400" s="103"/>
      <c r="T400" s="468" cm="1" t="str">
        <f t="array" ref="T400:T400">T399</f>
        <v>true</v>
      </c>
      <c r="U400" s="103"/>
      <c r="V400" s="103"/>
      <c r="W400" s="103"/>
      <c r="X400" s="1559"/>
      <c r="Y400" s="1297"/>
      <c r="Z400" s="1529"/>
      <c r="AA400" s="1297"/>
      <c r="AB400" s="296" t="s">
        <v>2361</v>
      </c>
      <c r="AC400" s="772" t="s">
        <v>2362</v>
      </c>
      <c r="AD400" s="296" t="s">
        <v>936</v>
      </c>
      <c r="AE400" s="6293"/>
      <c r="AF400" s="6293"/>
      <c r="AG400" s="6293"/>
      <c r="AH400" s="1123">
        <f>AG400-AF400</f>
        <v>0</v>
      </c>
      <c r="AI400" s="6293"/>
      <c r="AJ400" s="6293"/>
      <c r="AK400" s="1260"/>
      <c r="AL400" s="1260"/>
      <c r="AM400" s="1260"/>
      <c r="AN400" s="1260"/>
      <c r="AO400" s="1260"/>
      <c r="AP400" s="1260"/>
      <c r="AQ400" s="1260"/>
      <c r="AR400" s="1260"/>
      <c r="AS400" s="1260"/>
      <c r="AT400" s="6293"/>
      <c r="AU400" s="1260"/>
      <c r="AV400" s="1260"/>
      <c r="AW400" s="1260"/>
      <c r="AX400" s="1260"/>
      <c r="AY400" s="1260"/>
      <c r="AZ400" s="1260"/>
      <c r="BA400" s="1260"/>
      <c r="BB400" s="1260"/>
      <c r="BC400" s="1260"/>
      <c r="BD400" s="1123">
        <f>IF(AI400=0,0,(AT400-AI400)/AI400*100)</f>
        <v>0</v>
      </c>
      <c r="BE400" s="1123">
        <f>IF(AT400=0,0,(AU400-AT400)/AT400*100)</f>
        <v>0</v>
      </c>
      <c r="BF400" s="1123">
        <f>IF(AU400=0,0,(AV400-AU400)/AU400*100)</f>
        <v>0</v>
      </c>
      <c r="BG400" s="1123">
        <f>IF(AV400=0,0,(AW400-AV400)/AV400*100)</f>
        <v>0</v>
      </c>
      <c r="BH400" s="1123">
        <f>IF(AW400=0,0,(AX400-AW400)/AW400*100)</f>
        <v>0</v>
      </c>
      <c r="BI400" s="1123">
        <f>IF(AX400=0,0,(AY400-AX400)/AX400*100)</f>
        <v>0</v>
      </c>
      <c r="BJ400" s="1123">
        <f>IF(AY400=0,0,(AZ400-AY400)/AY400*100)</f>
        <v>0</v>
      </c>
      <c r="BK400" s="1123">
        <f>IF(AZ400=0,0,(BA400-AZ400)/AZ400*100)</f>
        <v>0</v>
      </c>
      <c r="BL400" s="1123">
        <f>IF(BA400=0,0,(BB400-BA400)/BA400*100)</f>
        <v>0</v>
      </c>
      <c r="BM400" s="1123">
        <f>IF(BB400=0,0,(BC400-BB400)/BB400*100)</f>
        <v>0</v>
      </c>
      <c r="BN400" s="6290"/>
      <c r="BO400" s="6290"/>
      <c r="BP400" s="6290"/>
      <c r="BQ400" s="1297"/>
      <c r="BR400" s="1297"/>
      <c r="BS400" s="1072" t="s">
        <v>2363</v>
      </c>
      <c r="BT400" s="1072"/>
      <c r="BU400" s="1072"/>
      <c r="BV400" s="987"/>
      <c r="BW400" s="987"/>
    </row>
    <row s="1656" customFormat="1" customHeight="1" ht="21.75">
      <c r="A401" s="1297"/>
      <c r="B401" s="986"/>
      <c r="C401" s="103"/>
      <c r="D401" s="103"/>
      <c r="E401" s="626">
        <v>22.5</v>
      </c>
      <c r="F401" s="50" cm="1" t="str">
        <f t="array" ref="F401:F401">OFFSET(E401,-1,1)</f>
        <v>2</v>
      </c>
      <c r="G401" s="103" t="s">
        <v>1704</v>
      </c>
      <c r="H401" s="103"/>
      <c r="I401" s="103" t="s">
        <v>2364</v>
      </c>
      <c r="J401" s="103"/>
      <c r="K401" s="154" t="s">
        <v>2364</v>
      </c>
      <c r="L401" s="988"/>
      <c r="M401" s="103"/>
      <c r="N401" s="103"/>
      <c r="O401" s="103"/>
      <c r="P401" s="103"/>
      <c r="Q401" s="103"/>
      <c r="R401" s="103"/>
      <c r="S401" s="103"/>
      <c r="T401" s="468" cm="1" t="str">
        <f t="array" ref="T401:T401">T400</f>
        <v>true</v>
      </c>
      <c r="U401" s="103"/>
      <c r="V401" s="103"/>
      <c r="W401" s="103"/>
      <c r="X401" s="1559"/>
      <c r="Y401" s="1297"/>
      <c r="Z401" s="1529"/>
      <c r="AA401" s="1297"/>
      <c r="AB401" s="296" t="s">
        <v>1768</v>
      </c>
      <c r="AC401" s="769" t="s">
        <v>2365</v>
      </c>
      <c r="AD401" s="296" t="s">
        <v>936</v>
      </c>
      <c r="AE401" s="6293"/>
      <c r="AF401" s="6293"/>
      <c r="AG401" s="6293"/>
      <c r="AH401" s="1123">
        <f>AG401-AF401</f>
        <v>0</v>
      </c>
      <c r="AI401" s="6293"/>
      <c r="AJ401" s="6293"/>
      <c r="AK401" s="1260"/>
      <c r="AL401" s="1260"/>
      <c r="AM401" s="1260"/>
      <c r="AN401" s="1260"/>
      <c r="AO401" s="1260"/>
      <c r="AP401" s="1260"/>
      <c r="AQ401" s="1260"/>
      <c r="AR401" s="1260"/>
      <c r="AS401" s="1260"/>
      <c r="AT401" s="6293"/>
      <c r="AU401" s="1260"/>
      <c r="AV401" s="1260"/>
      <c r="AW401" s="1260"/>
      <c r="AX401" s="1260"/>
      <c r="AY401" s="1260"/>
      <c r="AZ401" s="1260"/>
      <c r="BA401" s="1260"/>
      <c r="BB401" s="1260"/>
      <c r="BC401" s="1260"/>
      <c r="BD401" s="1123">
        <f>IF(AI401=0,0,(AT401-AI401)/AI401*100)</f>
        <v>0</v>
      </c>
      <c r="BE401" s="1123">
        <f>IF(AT401=0,0,(AU401-AT401)/AT401*100)</f>
        <v>0</v>
      </c>
      <c r="BF401" s="1123">
        <f>IF(AU401=0,0,(AV401-AU401)/AU401*100)</f>
        <v>0</v>
      </c>
      <c r="BG401" s="1123">
        <f>IF(AV401=0,0,(AW401-AV401)/AV401*100)</f>
        <v>0</v>
      </c>
      <c r="BH401" s="1123">
        <f>IF(AW401=0,0,(AX401-AW401)/AW401*100)</f>
        <v>0</v>
      </c>
      <c r="BI401" s="1123">
        <f>IF(AX401=0,0,(AY401-AX401)/AX401*100)</f>
        <v>0</v>
      </c>
      <c r="BJ401" s="1123">
        <f>IF(AY401=0,0,(AZ401-AY401)/AY401*100)</f>
        <v>0</v>
      </c>
      <c r="BK401" s="1123">
        <f>IF(AZ401=0,0,(BA401-AZ401)/AZ401*100)</f>
        <v>0</v>
      </c>
      <c r="BL401" s="1123">
        <f>IF(BA401=0,0,(BB401-BA401)/BA401*100)</f>
        <v>0</v>
      </c>
      <c r="BM401" s="1123">
        <f>IF(BB401=0,0,(BC401-BB401)/BB401*100)</f>
        <v>0</v>
      </c>
      <c r="BN401" s="6290"/>
      <c r="BO401" s="6290"/>
      <c r="BP401" s="6290"/>
      <c r="BQ401" s="1297"/>
      <c r="BR401" s="1297"/>
      <c r="BS401" s="1072" t="s">
        <v>2366</v>
      </c>
      <c r="BT401" s="1072"/>
      <c r="BU401" s="1072"/>
      <c r="BV401" s="987"/>
      <c r="BW401" s="987"/>
    </row>
    <row s="6409" customFormat="1" customHeight="1" ht="191.25">
      <c r="A402" s="706"/>
      <c r="B402" s="437"/>
      <c r="C402" s="105"/>
      <c r="D402" s="105"/>
      <c r="E402" s="833">
        <v>21</v>
      </c>
      <c r="F402" s="50" cm="1" t="str">
        <f t="array" ref="F402:F402">OFFSET(E402,-1,1)</f>
        <v>2</v>
      </c>
      <c r="G402" s="103" t="s">
        <v>2367</v>
      </c>
      <c r="H402" s="103"/>
      <c r="I402" s="103" t="s">
        <v>346</v>
      </c>
      <c r="J402" s="105"/>
      <c r="K402" s="154" t="s">
        <v>346</v>
      </c>
      <c r="L402" s="993" t="s">
        <v>1550</v>
      </c>
      <c r="M402" s="105"/>
      <c r="N402" s="105"/>
      <c r="O402" s="105"/>
      <c r="P402" s="105"/>
      <c r="Q402" s="105"/>
      <c r="R402" s="105"/>
      <c r="S402" s="105"/>
      <c r="T402" s="468" cm="1" t="str">
        <f t="array" ref="T402:T402">T401</f>
        <v>true</v>
      </c>
      <c r="U402" s="105"/>
      <c r="V402" s="105"/>
      <c r="W402" s="105"/>
      <c r="X402" s="1559"/>
      <c r="Y402" s="706"/>
      <c r="Z402" s="1529"/>
      <c r="AA402" s="706"/>
      <c r="AB402" s="207" t="s">
        <v>234</v>
      </c>
      <c r="AC402" s="208" t="s">
        <v>2368</v>
      </c>
      <c r="AD402" s="207" t="s">
        <v>936</v>
      </c>
      <c r="AE402" s="785">
        <f>_xlfn.SUMIFS(ЭЭ!AE$25:AE$175,ЭЭ!$F$25:$F$175,$F402,ЭЭ!$AC$25:$AC$175,"Всего по тарифу")</f>
        <v>27467.85</v>
      </c>
      <c r="AF402" s="785">
        <f>_xlfn.SUMIFS(ЭЭ!AF$25:AF$175,ЭЭ!$F$25:$F$175,$F402,ЭЭ!$AC$25:$AC$175,"Всего по тарифу")</f>
        <v>25260.05</v>
      </c>
      <c r="AG402" s="785">
        <f>_xlfn.SUMIFS(ЭЭ!AG$25:AG$175,ЭЭ!$F$25:$F$175,$F402,ЭЭ!$AC$25:$AC$175,"Всего по тарифу")</f>
        <v>25321.4724704908</v>
      </c>
      <c r="AH402" s="785">
        <f>AG402-AF402</f>
        <v>61.4224704908011</v>
      </c>
      <c r="AI402" s="785">
        <f>_xlfn.SUMIFS(ЭЭ!AH$25:AH$175,ЭЭ!$F$25:$F$175,$F402,ЭЭ!$AC$25:$AC$175,"Всего по тарифу")</f>
        <v>28677.03</v>
      </c>
      <c r="AJ402" s="785">
        <f>_xlfn.SUMIFS(ЭЭ!AI$25:AI$175,ЭЭ!$F$25:$F$175,$F402,ЭЭ!$AC$25:$AC$175,"Всего по тарифу")</f>
        <v>30380.09</v>
      </c>
      <c r="AK402" s="785">
        <f>_xlfn.SUMIFS(ЭЭ!AJ$25:AJ$175,ЭЭ!$F$25:$F$175,$F402,ЭЭ!$AC$25:$AC$175,"Всего по тарифу")</f>
        <v>0</v>
      </c>
      <c r="AL402" s="785">
        <f>_xlfn.SUMIFS(ЭЭ!AK$25:AK$175,ЭЭ!$F$25:$F$175,$F402,ЭЭ!$AC$25:$AC$175,"Всего по тарифу")</f>
        <v>0</v>
      </c>
      <c r="AM402" s="785">
        <f>_xlfn.SUMIFS(ЭЭ!AL$25:AL$175,ЭЭ!$F$25:$F$175,$F402,ЭЭ!$AC$25:$AC$175,"Всего по тарифу")</f>
        <v>0</v>
      </c>
      <c r="AN402" s="785">
        <f>_xlfn.SUMIFS(ЭЭ!AM$25:AM$175,ЭЭ!$F$25:$F$175,$F402,ЭЭ!$AC$25:$AC$175,"Всего по тарифу")</f>
        <v>0</v>
      </c>
      <c r="AO402" s="785">
        <f>_xlfn.SUMIFS(ЭЭ!AN$25:AN$175,ЭЭ!$F$25:$F$175,$F402,ЭЭ!$AC$25:$AC$175,"Всего по тарифу")</f>
        <v>0</v>
      </c>
      <c r="AP402" s="785">
        <f>_xlfn.SUMIFS(ЭЭ!AO$25:AO$175,ЭЭ!$F$25:$F$175,$F402,ЭЭ!$AC$25:$AC$175,"Всего по тарифу")</f>
        <v>0</v>
      </c>
      <c r="AQ402" s="785">
        <f>_xlfn.SUMIFS(ЭЭ!AP$25:AP$175,ЭЭ!$F$25:$F$175,$F402,ЭЭ!$AC$25:$AC$175,"Всего по тарифу")</f>
        <v>0</v>
      </c>
      <c r="AR402" s="785">
        <f>_xlfn.SUMIFS(ЭЭ!AQ$25:AQ$175,ЭЭ!$F$25:$F$175,$F402,ЭЭ!$AC$25:$AC$175,"Всего по тарифу")</f>
        <v>0</v>
      </c>
      <c r="AS402" s="785">
        <f>_xlfn.SUMIFS(ЭЭ!AR$25:AR$175,ЭЭ!$F$25:$F$175,$F402,ЭЭ!$AC$25:$AC$175,"Всего по тарифу")</f>
        <v>0</v>
      </c>
      <c r="AT402" s="785">
        <f>_xlfn.SUMIFS(ЭЭ!AS$25:AS$175,ЭЭ!$F$25:$F$175,$F402,ЭЭ!$AC$25:$AC$175,"Всего по тарифу")</f>
        <v>32342.06</v>
      </c>
      <c r="AU402" s="785">
        <f>_xlfn.SUMIFS(ЭЭ!AT$25:AT$175,ЭЭ!$F$25:$F$175,$F402,ЭЭ!$AC$25:$AC$175,"Всего по тарифу")</f>
        <v>0</v>
      </c>
      <c r="AV402" s="785">
        <f>_xlfn.SUMIFS(ЭЭ!AU$25:AU$175,ЭЭ!$F$25:$F$175,$F402,ЭЭ!$AC$25:$AC$175,"Всего по тарифу")</f>
        <v>0</v>
      </c>
      <c r="AW402" s="785">
        <f>_xlfn.SUMIFS(ЭЭ!AV$25:AV$175,ЭЭ!$F$25:$F$175,$F402,ЭЭ!$AC$25:$AC$175,"Всего по тарифу")</f>
        <v>0</v>
      </c>
      <c r="AX402" s="785">
        <f>_xlfn.SUMIFS(ЭЭ!AW$25:AW$175,ЭЭ!$F$25:$F$175,$F402,ЭЭ!$AC$25:$AC$175,"Всего по тарифу")</f>
        <v>0</v>
      </c>
      <c r="AY402" s="785">
        <f>_xlfn.SUMIFS(ЭЭ!AX$25:AX$175,ЭЭ!$F$25:$F$175,$F402,ЭЭ!$AC$25:$AC$175,"Всего по тарифу")</f>
        <v>0</v>
      </c>
      <c r="AZ402" s="785">
        <f>_xlfn.SUMIFS(ЭЭ!AY$25:AY$175,ЭЭ!$F$25:$F$175,$F402,ЭЭ!$AC$25:$AC$175,"Всего по тарифу")</f>
        <v>0</v>
      </c>
      <c r="BA402" s="785">
        <f>_xlfn.SUMIFS(ЭЭ!AZ$25:AZ$175,ЭЭ!$F$25:$F$175,$F402,ЭЭ!$AC$25:$AC$175,"Всего по тарифу")</f>
        <v>0</v>
      </c>
      <c r="BB402" s="785">
        <f>_xlfn.SUMIFS(ЭЭ!BA$25:BA$175,ЭЭ!$F$25:$F$175,$F402,ЭЭ!$AC$25:$AC$175,"Всего по тарифу")</f>
        <v>0</v>
      </c>
      <c r="BC402" s="785">
        <f>_xlfn.SUMIFS(ЭЭ!BB$25:BB$175,ЭЭ!$F$25:$F$175,$F402,ЭЭ!$AC$25:$AC$175,"Всего по тарифу")</f>
        <v>0</v>
      </c>
      <c r="BD402" s="785">
        <f>IF(AI402=0,0,(AT402-AI402)/AI402*100)</f>
        <v>12.7803681204086</v>
      </c>
      <c r="BE402" s="785">
        <f>IF(AT402=0,0,(AU402-AT402)/AT402*100)</f>
        <v>-100</v>
      </c>
      <c r="BF402" s="785">
        <f>IF(AU402=0,0,(AV402-AU402)/AU402*100)</f>
        <v>0</v>
      </c>
      <c r="BG402" s="785">
        <f>IF(AV402=0,0,(AW402-AV402)/AV402*100)</f>
        <v>0</v>
      </c>
      <c r="BH402" s="785">
        <f>IF(AW402=0,0,(AX402-AW402)/AW402*100)</f>
        <v>0</v>
      </c>
      <c r="BI402" s="785">
        <f>IF(AX402=0,0,(AY402-AX402)/AX402*100)</f>
        <v>0</v>
      </c>
      <c r="BJ402" s="785">
        <f>IF(AY402=0,0,(AZ402-AY402)/AY402*100)</f>
        <v>0</v>
      </c>
      <c r="BK402" s="785">
        <f>IF(AZ402=0,0,(BA402-AZ402)/AZ402*100)</f>
        <v>0</v>
      </c>
      <c r="BL402" s="785">
        <f>IF(BA402=0,0,(BB402-BA402)/BA402*100)</f>
        <v>0</v>
      </c>
      <c r="BM402" s="785">
        <f>IF(BB402=0,0,(BC402-BB402)/BB402*100)</f>
        <v>0</v>
      </c>
      <c r="BN402" s="6290"/>
      <c r="BO402" s="6345" t="s">
        <v>2452</v>
      </c>
      <c r="BP402" s="6290" t="s">
        <v>2457</v>
      </c>
      <c r="BQ402" s="706"/>
      <c r="BR402" s="706"/>
      <c r="BS402" s="1078" t="s">
        <v>1984</v>
      </c>
      <c r="BT402" s="1078"/>
      <c r="BU402" s="1078"/>
      <c r="BV402" s="713"/>
      <c r="BW402" s="713"/>
    </row>
    <row s="6410" customFormat="1" customHeight="1" ht="21.75">
      <c r="A403" s="706"/>
      <c r="B403" s="158">
        <f>method_reg="Метод индексации"</f>
        <v>1</v>
      </c>
      <c r="C403" s="105"/>
      <c r="D403" s="105"/>
      <c r="E403" s="833">
        <v>22.5</v>
      </c>
      <c r="F403" s="50" cm="1" t="str">
        <f t="array" ref="F403:F403">OFFSET(E403,-1,1)</f>
        <v>2</v>
      </c>
      <c r="G403" s="103" t="s">
        <v>1726</v>
      </c>
      <c r="H403" s="103"/>
      <c r="I403" s="103" t="s">
        <v>348</v>
      </c>
      <c r="J403" s="105"/>
      <c r="K403" s="154"/>
      <c r="L403" s="993" t="s">
        <v>347</v>
      </c>
      <c r="M403" s="105"/>
      <c r="N403" s="105"/>
      <c r="O403" s="105"/>
      <c r="P403" s="105"/>
      <c r="Q403" s="105"/>
      <c r="R403" s="105"/>
      <c r="S403" s="105"/>
      <c r="T403" s="468" cm="1" t="str">
        <f t="array" ref="T403:T403">T402</f>
        <v>true</v>
      </c>
      <c r="U403" s="105"/>
      <c r="V403" s="105"/>
      <c r="W403" s="105"/>
      <c r="X403" s="1559"/>
      <c r="Y403" s="706"/>
      <c r="Z403" s="1529"/>
      <c r="AA403" s="706"/>
      <c r="AB403" s="207" t="s">
        <v>451</v>
      </c>
      <c r="AC403" s="208" t="s">
        <v>2369</v>
      </c>
      <c r="AD403" s="207" t="s">
        <v>936</v>
      </c>
      <c r="AE403" s="785">
        <f>_xlfn.SUMIFS(Амортизация!AE$25:AE$223,Амортизация!$F$25:$F$223,$F403,Амортизация!$AC$25:$AC$223,"Сумма амортизационных отчислений")</f>
        <v>33.97</v>
      </c>
      <c r="AF403" s="785">
        <f>_xlfn.SUMIFS(Амортизация!AF$25:AF$223,Амортизация!$F$25:$F$223,$F403,Амортизация!$AC$25:$AC$223,"Сумма амортизационных отчислений")</f>
        <v>43.7922</v>
      </c>
      <c r="AG403" s="785">
        <f>_xlfn.SUMIFS(Амортизация!AG$25:AG$223,Амортизация!$F$25:$F$223,$F403,Амортизация!$AC$25:$AC$223,"Сумма амортизационных отчислений")</f>
        <v>43.7922</v>
      </c>
      <c r="AH403" s="785">
        <f>AG403-AF403</f>
        <v>0</v>
      </c>
      <c r="AI403" s="785">
        <f>_xlfn.SUMIFS(Амортизация!AH$25:AH$223,Амортизация!$F$25:$F$223,$F403,Амортизация!$AC$25:$AC$223,"Сумма амортизационных отчислений")</f>
        <v>34.2715</v>
      </c>
      <c r="AJ403" s="785">
        <f>_xlfn.SUMIFS(Амортизация!AI$25:AI$223,Амортизация!$F$25:$F$223,$F403,Амортизация!$AC$25:$AC$223,"Сумма амортизационных отчислений")</f>
        <v>48.52</v>
      </c>
      <c r="AK403" s="785">
        <f>_xlfn.SUMIFS(Амортизация!AJ$25:AJ$223,Амортизация!$F$25:$F$223,$F403,Амортизация!$AC$25:$AC$223,"Сумма амортизационных отчислений")</f>
        <v>0</v>
      </c>
      <c r="AL403" s="785">
        <f>_xlfn.SUMIFS(Амортизация!AK$25:AK$223,Амортизация!$F$25:$F$223,$F403,Амортизация!$AC$25:$AC$223,"Сумма амортизационных отчислений")</f>
        <v>0</v>
      </c>
      <c r="AM403" s="785">
        <f>_xlfn.SUMIFS(Амортизация!AL$25:AL$223,Амортизация!$F$25:$F$223,$F403,Амортизация!$AC$25:$AC$223,"Сумма амортизационных отчислений")</f>
        <v>0</v>
      </c>
      <c r="AN403" s="785">
        <f>_xlfn.SUMIFS(Амортизация!AM$25:AM$223,Амортизация!$F$25:$F$223,$F403,Амортизация!$AC$25:$AC$223,"Сумма амортизационных отчислений")</f>
        <v>0</v>
      </c>
      <c r="AO403" s="785">
        <f>_xlfn.SUMIFS(Амортизация!AN$25:AN$223,Амортизация!$F$25:$F$223,$F403,Амортизация!$AC$25:$AC$223,"Сумма амортизационных отчислений")</f>
        <v>0</v>
      </c>
      <c r="AP403" s="785">
        <f>_xlfn.SUMIFS(Амортизация!AO$25:AO$223,Амортизация!$F$25:$F$223,$F403,Амортизация!$AC$25:$AC$223,"Сумма амортизационных отчислений")</f>
        <v>0</v>
      </c>
      <c r="AQ403" s="785">
        <f>_xlfn.SUMIFS(Амортизация!AP$25:AP$223,Амортизация!$F$25:$F$223,$F403,Амортизация!$AC$25:$AC$223,"Сумма амортизационных отчислений")</f>
        <v>0</v>
      </c>
      <c r="AR403" s="785">
        <f>_xlfn.SUMIFS(Амортизация!AQ$25:AQ$223,Амортизация!$F$25:$F$223,$F403,Амортизация!$AC$25:$AC$223,"Сумма амортизационных отчислений")</f>
        <v>0</v>
      </c>
      <c r="AS403" s="785">
        <f>_xlfn.SUMIFS(Амортизация!AR$25:AR$223,Амортизация!$F$25:$F$223,$F403,Амортизация!$AC$25:$AC$223,"Сумма амортизационных отчислений")</f>
        <v>0</v>
      </c>
      <c r="AT403" s="785">
        <f>_xlfn.SUMIFS(Амортизация!AS$25:AS$223,Амортизация!$F$25:$F$223,$F403,Амортизация!$AC$25:$AC$223,"Сумма амортизационных отчислений")</f>
        <v>48.52</v>
      </c>
      <c r="AU403" s="785">
        <f>_xlfn.SUMIFS(Амортизация!AT$25:AT$223,Амортизация!$F$25:$F$223,$F403,Амортизация!$AC$25:$AC$223,"Сумма амортизационных отчислений")</f>
        <v>0</v>
      </c>
      <c r="AV403" s="785">
        <f>_xlfn.SUMIFS(Амортизация!AU$25:AU$223,Амортизация!$F$25:$F$223,$F403,Амортизация!$AC$25:$AC$223,"Сумма амортизационных отчислений")</f>
        <v>0</v>
      </c>
      <c r="AW403" s="785">
        <f>_xlfn.SUMIFS(Амортизация!AV$25:AV$223,Амортизация!$F$25:$F$223,$F403,Амортизация!$AC$25:$AC$223,"Сумма амортизационных отчислений")</f>
        <v>0</v>
      </c>
      <c r="AX403" s="785">
        <f>_xlfn.SUMIFS(Амортизация!AW$25:AW$223,Амортизация!$F$25:$F$223,$F403,Амортизация!$AC$25:$AC$223,"Сумма амортизационных отчислений")</f>
        <v>0</v>
      </c>
      <c r="AY403" s="785">
        <f>_xlfn.SUMIFS(Амортизация!AX$25:AX$223,Амортизация!$F$25:$F$223,$F403,Амортизация!$AC$25:$AC$223,"Сумма амортизационных отчислений")</f>
        <v>0</v>
      </c>
      <c r="AZ403" s="785">
        <f>_xlfn.SUMIFS(Амортизация!AY$25:AY$223,Амортизация!$F$25:$F$223,$F403,Амортизация!$AC$25:$AC$223,"Сумма амортизационных отчислений")</f>
        <v>0</v>
      </c>
      <c r="BA403" s="785">
        <f>_xlfn.SUMIFS(Амортизация!AZ$25:AZ$223,Амортизация!$F$25:$F$223,$F403,Амортизация!$AC$25:$AC$223,"Сумма амортизационных отчислений")</f>
        <v>0</v>
      </c>
      <c r="BB403" s="785">
        <f>_xlfn.SUMIFS(Амортизация!BA$25:BA$223,Амортизация!$F$25:$F$223,$F403,Амортизация!$AC$25:$AC$223,"Сумма амортизационных отчислений")</f>
        <v>0</v>
      </c>
      <c r="BC403" s="785">
        <f>_xlfn.SUMIFS(Амортизация!BB$25:BB$223,Амортизация!$F$25:$F$223,$F403,Амортизация!$AC$25:$AC$223,"Сумма амортизационных отчислений")</f>
        <v>0</v>
      </c>
      <c r="BD403" s="785">
        <f>IF(AI403=0,0,(AT403-AI403)/AI403*100)</f>
        <v>41.5753614519353</v>
      </c>
      <c r="BE403" s="785">
        <f>IF(AT403=0,0,(AU403-AT403)/AT403*100)</f>
        <v>-100</v>
      </c>
      <c r="BF403" s="785">
        <f>IF(AU403=0,0,(AV403-AU403)/AU403*100)</f>
        <v>0</v>
      </c>
      <c r="BG403" s="785">
        <f>IF(AV403=0,0,(AW403-AV403)/AV403*100)</f>
        <v>0</v>
      </c>
      <c r="BH403" s="785">
        <f>IF(AW403=0,0,(AX403-AW403)/AW403*100)</f>
        <v>0</v>
      </c>
      <c r="BI403" s="785">
        <f>IF(AX403=0,0,(AY403-AX403)/AX403*100)</f>
        <v>0</v>
      </c>
      <c r="BJ403" s="785">
        <f>IF(AY403=0,0,(AZ403-AY403)/AY403*100)</f>
        <v>0</v>
      </c>
      <c r="BK403" s="785">
        <f>IF(AZ403=0,0,(BA403-AZ403)/AZ403*100)</f>
        <v>0</v>
      </c>
      <c r="BL403" s="785">
        <f>IF(BA403=0,0,(BB403-BA403)/BA403*100)</f>
        <v>0</v>
      </c>
      <c r="BM403" s="785">
        <f>IF(BB403=0,0,(BC403-BB403)/BB403*100)</f>
        <v>0</v>
      </c>
      <c r="BN403" s="6290"/>
      <c r="BO403" s="6294" t="str">
        <f>IF(_xlfn.IFERROR(INDEX(Амортизация!$K$26:$L$223,MATCH($F403&amp;"komm",Амортизация!$K$26:$K$223,0),2),"")=0,"",_xlfn.IFERROR(INDEX(Амортизация!$K$26:$L$223,MATCH($F403&amp;"komm",Амортизация!$K$26:$K$223,0),2),""))</f>
        <v>Постановление РЭК Кемеровской области от 17.12.2019 N 600 (ред. от 17.11.2022) "Об утверждении инвестиционной программы ОАО "Северо-Кузбасская энергетическая компания" в сфере холодного водоснабжения и водоотведения Ленинск-Кузнецкого городского округа на 2019 - 2028 годы" (в ред. постановления РЭК Кемеровской области от 26.12.2019 N 864, постановления РЭК Кузбасса от 17.11.2022 N 383).</v>
      </c>
      <c r="BP403" s="6290"/>
      <c r="BQ403" s="706"/>
      <c r="BR403" s="706"/>
      <c r="BS403" s="1078" t="s">
        <v>1435</v>
      </c>
      <c r="BT403" s="1078"/>
      <c r="BU403" s="1078"/>
      <c r="BV403" s="713"/>
      <c r="BW403" s="713"/>
    </row>
    <row s="1656" customFormat="1" customHeight="1" ht="14.25">
      <c r="A404" s="1297"/>
      <c r="B404" s="434" cm="1" t="str">
        <f t="array" ref="B404:B404">B403</f>
        <v>true</v>
      </c>
      <c r="C404" s="103"/>
      <c r="D404" s="103"/>
      <c r="E404" s="626">
        <v>15</v>
      </c>
      <c r="F404" s="50" cm="1" t="str">
        <f t="array" ref="F404:F404">OFFSET(E404,-1,1)</f>
        <v>2</v>
      </c>
      <c r="G404" s="103"/>
      <c r="H404" s="103"/>
      <c r="I404" s="103" t="s">
        <v>659</v>
      </c>
      <c r="J404" s="103"/>
      <c r="K404" s="1297"/>
      <c r="L404" s="988" t="s">
        <v>673</v>
      </c>
      <c r="M404" s="103"/>
      <c r="N404" s="103"/>
      <c r="O404" s="103"/>
      <c r="P404" s="103"/>
      <c r="Q404" s="103"/>
      <c r="R404" s="103"/>
      <c r="S404" s="103"/>
      <c r="T404" s="468" cm="1" t="str">
        <f t="array" ref="T404:T404">T403</f>
        <v>true</v>
      </c>
      <c r="U404" s="103"/>
      <c r="V404" s="103"/>
      <c r="W404" s="103"/>
      <c r="X404" s="1559"/>
      <c r="Y404" s="1297"/>
      <c r="Z404" s="1529"/>
      <c r="AA404" s="1297"/>
      <c r="AB404" s="296" t="s">
        <v>794</v>
      </c>
      <c r="AC404" s="769" t="s">
        <v>2076</v>
      </c>
      <c r="AD404" s="296" t="s">
        <v>936</v>
      </c>
      <c r="AE404" s="6293">
        <f>_xlfn.SUMIFS('ИП + источники'!AF$27:AF$174,'ИП + источники'!$F$27:$F$174,$F404,'ИП + источники'!$AC$27:$AC$174,"Амортизационные отчисления")+_xlfn.SUMIFS('ИП + источники'!AF$27:AF$174,'ИП + источники'!$F$27:$F$174,$F404,'ИП + источники'!$AC$27:$AC$174,"погашение займов и кредитов из амортизации")</f>
        <v>0</v>
      </c>
      <c r="AF404" s="6293">
        <f>_xlfn.SUMIFS('ИП + источники'!AG$27:AG$174,'ИП + источники'!$F$27:$F$174,$F404,'ИП + источники'!$AC$27:$AC$174,"Амортизационные отчисления")+_xlfn.SUMIFS('ИП + источники'!AG$27:AG$174,'ИП + источники'!$F$27:$F$174,$F404,'ИП + источники'!$AC$27:$AC$174,"погашение займов и кредитов из амортизации")</f>
        <v>0</v>
      </c>
      <c r="AG404" s="6293">
        <f>_xlfn.SUMIFS('ИП + источники'!AH$27:AH$174,'ИП + источники'!$F$27:$F$174,$F404,'ИП + источники'!$AC$27:$AC$174,"Амортизационные отчисления")+_xlfn.SUMIFS('ИП + источники'!AH$27:AH$174,'ИП + источники'!$F$27:$F$174,$F404,'ИП + источники'!$AC$27:$AC$174,"погашение займов и кредитов из амортизации")</f>
        <v>0</v>
      </c>
      <c r="AH404" s="1123">
        <f>AG404-AF404</f>
        <v>0</v>
      </c>
      <c r="AI404" s="6293">
        <f>_xlfn.SUMIFS('ИП + источники'!AJ$27:AJ$174,'ИП + источники'!$F$27:$F$174,$F404,'ИП + источники'!$AC$27:$AC$174,"Амортизационные отчисления")+_xlfn.SUMIFS('ИП + источники'!AJ$27:AJ$174,'ИП + источники'!$F$27:$F$174,$F404,'ИП + источники'!$AC$27:$AC$174,"погашение займов и кредитов из амортизации")</f>
        <v>0</v>
      </c>
      <c r="AJ404" s="6293">
        <f>_xlfn.SUMIFS('ИП + источники'!AK$27:AK$174,'ИП + источники'!$F$27:$F$174,$F404,'ИП + источники'!$AC$27:$AC$174,"Амортизационные отчисления")+_xlfn.SUMIFS('ИП + источники'!AK$27:AK$174,'ИП + источники'!$F$27:$F$174,$F404,'ИП + источники'!$AC$27:$AC$174,"погашение займов и кредитов из амортизации")</f>
        <v>0</v>
      </c>
      <c r="AK404" s="1260">
        <f>_xlfn.SUMIFS('ИП + источники'!AL$27:AL$174,'ИП + источники'!$F$27:$F$174,$F404,'ИП + источники'!$AC$27:$AC$174,"Амортизационные отчисления")+_xlfn.SUMIFS('ИП + источники'!AL$27:AL$174,'ИП + источники'!$F$27:$F$174,$F404,'ИП + источники'!$AC$27:$AC$174,"погашение займов и кредитов из амортизации")</f>
        <v>0</v>
      </c>
      <c r="AL404" s="1260">
        <f>_xlfn.SUMIFS('ИП + источники'!AM$27:AM$174,'ИП + источники'!$F$27:$F$174,$F404,'ИП + источники'!$AC$27:$AC$174,"Амортизационные отчисления")+_xlfn.SUMIFS('ИП + источники'!AM$27:AM$174,'ИП + источники'!$F$27:$F$174,$F404,'ИП + источники'!$AC$27:$AC$174,"погашение займов и кредитов из амортизации")</f>
        <v>0</v>
      </c>
      <c r="AM404" s="1260">
        <f>_xlfn.SUMIFS('ИП + источники'!AN$27:AN$174,'ИП + источники'!$F$27:$F$174,$F404,'ИП + источники'!$AC$27:$AC$174,"Амортизационные отчисления")+_xlfn.SUMIFS('ИП + источники'!AN$27:AN$174,'ИП + источники'!$F$27:$F$174,$F404,'ИП + источники'!$AC$27:$AC$174,"погашение займов и кредитов из амортизации")</f>
        <v>0</v>
      </c>
      <c r="AN404" s="1260">
        <f>_xlfn.SUMIFS('ИП + источники'!AO$27:AO$174,'ИП + источники'!$F$27:$F$174,$F404,'ИП + источники'!$AC$27:$AC$174,"Амортизационные отчисления")+_xlfn.SUMIFS('ИП + источники'!AO$27:AO$174,'ИП + источники'!$F$27:$F$174,$F404,'ИП + источники'!$AC$27:$AC$174,"погашение займов и кредитов из амортизации")</f>
        <v>0</v>
      </c>
      <c r="AO404" s="1260">
        <f>_xlfn.SUMIFS('ИП + источники'!AP$27:AP$174,'ИП + источники'!$F$27:$F$174,$F404,'ИП + источники'!$AC$27:$AC$174,"Амортизационные отчисления")+_xlfn.SUMIFS('ИП + источники'!AP$27:AP$174,'ИП + источники'!$F$27:$F$174,$F404,'ИП + источники'!$AC$27:$AC$174,"погашение займов и кредитов из амортизации")</f>
        <v>0</v>
      </c>
      <c r="AP404" s="1260">
        <f>_xlfn.SUMIFS('ИП + источники'!AQ$27:AQ$174,'ИП + источники'!$F$27:$F$174,$F404,'ИП + источники'!$AC$27:$AC$174,"Амортизационные отчисления")+_xlfn.SUMIFS('ИП + источники'!AQ$27:AQ$174,'ИП + источники'!$F$27:$F$174,$F404,'ИП + источники'!$AC$27:$AC$174,"погашение займов и кредитов из амортизации")</f>
        <v>0</v>
      </c>
      <c r="AQ404" s="1260">
        <f>_xlfn.SUMIFS('ИП + источники'!AR$27:AR$174,'ИП + источники'!$F$27:$F$174,$F404,'ИП + источники'!$AC$27:$AC$174,"Амортизационные отчисления")+_xlfn.SUMIFS('ИП + источники'!AR$27:AR$174,'ИП + источники'!$F$27:$F$174,$F404,'ИП + источники'!$AC$27:$AC$174,"погашение займов и кредитов из амортизации")</f>
        <v>0</v>
      </c>
      <c r="AR404" s="1260">
        <f>_xlfn.SUMIFS('ИП + источники'!AS$27:AS$174,'ИП + источники'!$F$27:$F$174,$F404,'ИП + источники'!$AC$27:$AC$174,"Амортизационные отчисления")+_xlfn.SUMIFS('ИП + источники'!AS$27:AS$174,'ИП + источники'!$F$27:$F$174,$F404,'ИП + источники'!$AC$27:$AC$174,"погашение займов и кредитов из амортизации")</f>
        <v>0</v>
      </c>
      <c r="AS404" s="1260">
        <f>_xlfn.SUMIFS('ИП + источники'!AT$27:AT$174,'ИП + источники'!$F$27:$F$174,$F404,'ИП + источники'!$AC$27:$AC$174,"Амортизационные отчисления")+_xlfn.SUMIFS('ИП + источники'!AT$27:AT$174,'ИП + источники'!$F$27:$F$174,$F404,'ИП + источники'!$AC$27:$AC$174,"погашение займов и кредитов из амортизации")</f>
        <v>0</v>
      </c>
      <c r="AT404" s="6293">
        <f>_xlfn.SUMIFS('ИП + источники'!AU$27:AU$174,'ИП + источники'!$F$27:$F$174,$F404,'ИП + источники'!$AC$27:$AC$174,"Амортизационные отчисления")+_xlfn.SUMIFS('ИП + источники'!AU$27:AU$174,'ИП + источники'!$F$27:$F$174,$F404,'ИП + источники'!$AC$27:$AC$174,"погашение займов и кредитов из амортизации")</f>
        <v>0</v>
      </c>
      <c r="AU404" s="1260">
        <f>_xlfn.SUMIFS('ИП + источники'!AV$27:AV$174,'ИП + источники'!$F$27:$F$174,$F404,'ИП + источники'!$AC$27:$AC$174,"Амортизационные отчисления")+_xlfn.SUMIFS('ИП + источники'!AV$27:AV$174,'ИП + источники'!$F$27:$F$174,$F404,'ИП + источники'!$AC$27:$AC$174,"погашение займов и кредитов из амортизации")</f>
        <v>0</v>
      </c>
      <c r="AV404" s="1260">
        <f>_xlfn.SUMIFS('ИП + источники'!AW$27:AW$174,'ИП + источники'!$F$27:$F$174,$F404,'ИП + источники'!$AC$27:$AC$174,"Амортизационные отчисления")+_xlfn.SUMIFS('ИП + источники'!AW$27:AW$174,'ИП + источники'!$F$27:$F$174,$F404,'ИП + источники'!$AC$27:$AC$174,"погашение займов и кредитов из амортизации")</f>
        <v>0</v>
      </c>
      <c r="AW404" s="1260">
        <f>_xlfn.SUMIFS('ИП + источники'!AX$27:AX$174,'ИП + источники'!$F$27:$F$174,$F404,'ИП + источники'!$AC$27:$AC$174,"Амортизационные отчисления")+_xlfn.SUMIFS('ИП + источники'!AX$27:AX$174,'ИП + источники'!$F$27:$F$174,$F404,'ИП + источники'!$AC$27:$AC$174,"погашение займов и кредитов из амортизации")</f>
        <v>0</v>
      </c>
      <c r="AX404" s="1260">
        <f>_xlfn.SUMIFS('ИП + источники'!AY$27:AY$174,'ИП + источники'!$F$27:$F$174,$F404,'ИП + источники'!$AC$27:$AC$174,"Амортизационные отчисления")+_xlfn.SUMIFS('ИП + источники'!AY$27:AY$174,'ИП + источники'!$F$27:$F$174,$F404,'ИП + источники'!$AC$27:$AC$174,"погашение займов и кредитов из амортизации")</f>
        <v>0</v>
      </c>
      <c r="AY404" s="1260">
        <f>_xlfn.SUMIFS('ИП + источники'!AZ$27:AZ$174,'ИП + источники'!$F$27:$F$174,$F404,'ИП + источники'!$AC$27:$AC$174,"Амортизационные отчисления")+_xlfn.SUMIFS('ИП + источники'!AZ$27:AZ$174,'ИП + источники'!$F$27:$F$174,$F404,'ИП + источники'!$AC$27:$AC$174,"погашение займов и кредитов из амортизации")</f>
        <v>0</v>
      </c>
      <c r="AZ404" s="1260">
        <f>_xlfn.SUMIFS('ИП + источники'!BA$27:BA$174,'ИП + источники'!$F$27:$F$174,$F404,'ИП + источники'!$AC$27:$AC$174,"Амортизационные отчисления")+_xlfn.SUMIFS('ИП + источники'!BA$27:BA$174,'ИП + источники'!$F$27:$F$174,$F404,'ИП + источники'!$AC$27:$AC$174,"погашение займов и кредитов из амортизации")</f>
        <v>0</v>
      </c>
      <c r="BA404" s="1260">
        <f>_xlfn.SUMIFS('ИП + источники'!BB$27:BB$174,'ИП + источники'!$F$27:$F$174,$F404,'ИП + источники'!$AC$27:$AC$174,"Амортизационные отчисления")+_xlfn.SUMIFS('ИП + источники'!BB$27:BB$174,'ИП + источники'!$F$27:$F$174,$F404,'ИП + источники'!$AC$27:$AC$174,"погашение займов и кредитов из амортизации")</f>
        <v>0</v>
      </c>
      <c r="BB404" s="1260">
        <f>_xlfn.SUMIFS('ИП + источники'!BC$27:BC$174,'ИП + источники'!$F$27:$F$174,$F404,'ИП + источники'!$AC$27:$AC$174,"Амортизационные отчисления")+_xlfn.SUMIFS('ИП + источники'!BC$27:BC$174,'ИП + источники'!$F$27:$F$174,$F404,'ИП + источники'!$AC$27:$AC$174,"погашение займов и кредитов из амортизации")</f>
        <v>0</v>
      </c>
      <c r="BC404" s="1260">
        <f>_xlfn.SUMIFS('ИП + источники'!BD$27:BD$174,'ИП + источники'!$F$27:$F$174,$F404,'ИП + источники'!$AC$27:$AC$174,"Амортизационные отчисления")+_xlfn.SUMIFS('ИП + источники'!BD$27:BD$174,'ИП + источники'!$F$27:$F$174,$F404,'ИП + источники'!$AC$27:$AC$174,"погашение займов и кредитов из амортизации")</f>
        <v>0</v>
      </c>
      <c r="BD404" s="1123">
        <f>IF(AI404=0,0,(AT404-AI404)/AI404*100)</f>
        <v>0</v>
      </c>
      <c r="BE404" s="1123">
        <f>IF(AT404=0,0,(AU404-AT404)/AT404*100)</f>
        <v>0</v>
      </c>
      <c r="BF404" s="1123">
        <f>IF(AU404=0,0,(AV404-AU404)/AU404*100)</f>
        <v>0</v>
      </c>
      <c r="BG404" s="1123">
        <f>IF(AV404=0,0,(AW404-AV404)/AV404*100)</f>
        <v>0</v>
      </c>
      <c r="BH404" s="1123">
        <f>IF(AW404=0,0,(AX404-AW404)/AW404*100)</f>
        <v>0</v>
      </c>
      <c r="BI404" s="1123">
        <f>IF(AX404=0,0,(AY404-AX404)/AX404*100)</f>
        <v>0</v>
      </c>
      <c r="BJ404" s="1123">
        <f>IF(AY404=0,0,(AZ404-AY404)/AY404*100)</f>
        <v>0</v>
      </c>
      <c r="BK404" s="1123">
        <f>IF(AZ404=0,0,(BA404-AZ404)/AZ404*100)</f>
        <v>0</v>
      </c>
      <c r="BL404" s="1123">
        <f>IF(BA404=0,0,(BB404-BA404)/BA404*100)</f>
        <v>0</v>
      </c>
      <c r="BM404" s="1123">
        <f>IF(BB404=0,0,(BC404-BB404)/BB404*100)</f>
        <v>0</v>
      </c>
      <c r="BN404" s="6290"/>
      <c r="BO404" s="6290"/>
      <c r="BP404" s="6290"/>
      <c r="BQ404" s="1297"/>
      <c r="BR404" s="1297"/>
      <c r="BS404" s="1072" t="s">
        <v>2077</v>
      </c>
      <c r="BT404" s="1072"/>
      <c r="BU404" s="1072"/>
      <c r="BV404" s="987"/>
      <c r="BW404" s="987"/>
    </row>
    <row s="6411" customFormat="1" customHeight="1" ht="20.25">
      <c r="A405" s="706"/>
      <c r="B405" s="434" cm="1" t="str">
        <f t="array" ref="B405:B405">B404</f>
        <v>true</v>
      </c>
      <c r="C405" s="105"/>
      <c r="D405" s="105"/>
      <c r="E405" s="833">
        <v>21</v>
      </c>
      <c r="F405" s="50" cm="1" t="str">
        <f t="array" ref="F405:F405">OFFSET(E405,-1,1)</f>
        <v>2</v>
      </c>
      <c r="G405" s="103" t="s">
        <v>1730</v>
      </c>
      <c r="H405" s="103"/>
      <c r="I405" s="103" t="s">
        <v>347</v>
      </c>
      <c r="J405" s="105"/>
      <c r="K405" s="154"/>
      <c r="L405" s="993" t="s">
        <v>685</v>
      </c>
      <c r="M405" s="105"/>
      <c r="N405" s="105"/>
      <c r="O405" s="105"/>
      <c r="P405" s="105"/>
      <c r="Q405" s="105"/>
      <c r="R405" s="105"/>
      <c r="S405" s="105"/>
      <c r="T405" s="468" cm="1" t="str">
        <f t="array" ref="T405:T405">T404</f>
        <v>true</v>
      </c>
      <c r="U405" s="105"/>
      <c r="V405" s="105"/>
      <c r="W405" s="105"/>
      <c r="X405" s="1559"/>
      <c r="Y405" s="706"/>
      <c r="Z405" s="1529"/>
      <c r="AA405" s="706"/>
      <c r="AB405" s="207" t="s">
        <v>454</v>
      </c>
      <c r="AC405" s="208" t="s">
        <v>1730</v>
      </c>
      <c r="AD405" s="230" t="s">
        <v>936</v>
      </c>
      <c r="AE405" s="209">
        <f>AE406+AE407+AE408+AE409</f>
        <v>1248.5</v>
      </c>
      <c r="AF405" s="209">
        <f>AF406+AF407+AF408+AF409</f>
        <v>1248.91</v>
      </c>
      <c r="AG405" s="209">
        <f>AG406+AG407+AG408+AG409</f>
        <v>1248.5</v>
      </c>
      <c r="AH405" s="209">
        <f>AG405-AF405</f>
        <v>-0.410000000000082</v>
      </c>
      <c r="AI405" s="209">
        <f>AI406+AI407+AI408+AI409</f>
        <v>1214.9</v>
      </c>
      <c r="AJ405" s="209">
        <f>AJ406+AJ407+AJ408+AJ409</f>
        <v>2777.8</v>
      </c>
      <c r="AK405" s="209">
        <f>AK406+AK407+AK408+AK409</f>
        <v>0</v>
      </c>
      <c r="AL405" s="209">
        <f>AL406+AL407+AL408+AL409</f>
        <v>0</v>
      </c>
      <c r="AM405" s="209">
        <f>AM406+AM407+AM408+AM409</f>
        <v>0</v>
      </c>
      <c r="AN405" s="209">
        <f>AN406+AN407+AN408+AN409</f>
        <v>0</v>
      </c>
      <c r="AO405" s="209">
        <f>AO406+AO407+AO408+AO409</f>
        <v>0</v>
      </c>
      <c r="AP405" s="209">
        <f>AP406+AP407+AP408+AP409</f>
        <v>0</v>
      </c>
      <c r="AQ405" s="209">
        <f>AQ406+AQ407+AQ408+AQ409</f>
        <v>0</v>
      </c>
      <c r="AR405" s="209">
        <f>AR406+AR407+AR408+AR409</f>
        <v>0</v>
      </c>
      <c r="AS405" s="209">
        <f>AS406+AS407+AS408+AS409</f>
        <v>0</v>
      </c>
      <c r="AT405" s="209">
        <f>AT406+AT407+AT408+AT409</f>
        <v>2227.8</v>
      </c>
      <c r="AU405" s="209">
        <f>AU406+AU407+AU408+AU409</f>
        <v>0</v>
      </c>
      <c r="AV405" s="209">
        <f>AV406+AV407+AV408+AV409</f>
        <v>0</v>
      </c>
      <c r="AW405" s="209">
        <f>AW406+AW407+AW408+AW409</f>
        <v>0</v>
      </c>
      <c r="AX405" s="209">
        <f>AX406+AX407+AX408+AX409</f>
        <v>0</v>
      </c>
      <c r="AY405" s="209">
        <f>AY406+AY407+AY408+AY409</f>
        <v>0</v>
      </c>
      <c r="AZ405" s="209">
        <f>AZ406+AZ407+AZ408+AZ409</f>
        <v>0</v>
      </c>
      <c r="BA405" s="209">
        <f>BA406+BA407+BA408+BA409</f>
        <v>0</v>
      </c>
      <c r="BB405" s="209">
        <f>BB406+BB407+BB408+BB409</f>
        <v>0</v>
      </c>
      <c r="BC405" s="209">
        <f>BC406+BC407+BC408+BC409</f>
        <v>0</v>
      </c>
      <c r="BD405" s="785">
        <f>IF(AI405=0,0,(AT405-AI405)/AI405*100)</f>
        <v>83.3731171289818</v>
      </c>
      <c r="BE405" s="785">
        <f>IF(AT405=0,0,(AU405-AT405)/AT405*100)</f>
        <v>-100</v>
      </c>
      <c r="BF405" s="785">
        <f>IF(AU405=0,0,(AV405-AU405)/AU405*100)</f>
        <v>0</v>
      </c>
      <c r="BG405" s="785">
        <f>IF(AV405=0,0,(AW405-AV405)/AV405*100)</f>
        <v>0</v>
      </c>
      <c r="BH405" s="785">
        <f>IF(AW405=0,0,(AX405-AW405)/AW405*100)</f>
        <v>0</v>
      </c>
      <c r="BI405" s="785">
        <f>IF(AX405=0,0,(AY405-AX405)/AX405*100)</f>
        <v>0</v>
      </c>
      <c r="BJ405" s="785">
        <f>IF(AY405=0,0,(AZ405-AY405)/AY405*100)</f>
        <v>0</v>
      </c>
      <c r="BK405" s="785">
        <f>IF(AZ405=0,0,(BA405-AZ405)/AZ405*100)</f>
        <v>0</v>
      </c>
      <c r="BL405" s="785">
        <f>IF(BA405=0,0,(BB405-BA405)/BA405*100)</f>
        <v>0</v>
      </c>
      <c r="BM405" s="785">
        <f>IF(BB405=0,0,(BC405-BB405)/BB405*100)</f>
        <v>0</v>
      </c>
      <c r="BN405" s="6290"/>
      <c r="BO405" s="6290"/>
      <c r="BP405" s="6290"/>
      <c r="BQ405" s="706"/>
      <c r="BR405" s="706"/>
      <c r="BS405" s="1071" t="s">
        <v>1734</v>
      </c>
      <c r="BT405" s="1078"/>
      <c r="BU405" s="1078"/>
      <c r="BV405" s="713"/>
      <c r="BW405" s="713"/>
    </row>
    <row s="1656" customFormat="1" customHeight="1" ht="14.25">
      <c r="A406" s="1297"/>
      <c r="B406" s="434" cm="1" t="str">
        <f t="array" ref="B406:B406">B405</f>
        <v>true</v>
      </c>
      <c r="C406" s="103"/>
      <c r="D406" s="103"/>
      <c r="E406" s="626">
        <v>15</v>
      </c>
      <c r="F406" s="50" cm="1" t="str">
        <f t="array" ref="F406:F406">OFFSET(E406,-1,1)</f>
        <v>2</v>
      </c>
      <c r="G406" s="103"/>
      <c r="H406" s="103"/>
      <c r="I406" s="103" t="s">
        <v>673</v>
      </c>
      <c r="J406" s="103"/>
      <c r="K406" s="1297"/>
      <c r="L406" s="988"/>
      <c r="M406" s="103"/>
      <c r="N406" s="103"/>
      <c r="O406" s="103"/>
      <c r="P406" s="103"/>
      <c r="Q406" s="103"/>
      <c r="R406" s="103"/>
      <c r="S406" s="103"/>
      <c r="T406" s="468" cm="1" t="str">
        <f t="array" ref="T406:T406">T405</f>
        <v>true</v>
      </c>
      <c r="U406" s="103"/>
      <c r="V406" s="103"/>
      <c r="W406" s="103"/>
      <c r="X406" s="1559"/>
      <c r="Y406" s="1297"/>
      <c r="Z406" s="1529"/>
      <c r="AA406" s="1297"/>
      <c r="AB406" s="296" t="s">
        <v>801</v>
      </c>
      <c r="AC406" s="769" t="s">
        <v>2370</v>
      </c>
      <c r="AD406" s="296" t="s">
        <v>936</v>
      </c>
      <c r="AE406" s="6293">
        <f>_xlfn.SUMIFS('ИП + источники'!AF$27:AF$174,'ИП + источники'!$F$27:$F$174,$F406,'ИП + источники'!$AC$27:$AC$174,"погашение займов и кредитов из нормативной прибыли")</f>
        <v>0</v>
      </c>
      <c r="AF406" s="6293">
        <f>_xlfn.SUMIFS('ИП + источники'!AG$27:AG$174,'ИП + источники'!$F$27:$F$174,$F406,'ИП + источники'!$AC$27:$AC$174,"погашение займов и кредитов из нормативной прибыли")</f>
        <v>0</v>
      </c>
      <c r="AG406" s="6293">
        <f>_xlfn.SUMIFS('ИП + источники'!AH$27:AH$174,'ИП + источники'!$F$27:$F$174,$F406,'ИП + источники'!$AC$27:$AC$174,"погашение займов и кредитов из нормативной прибыли")</f>
        <v>0</v>
      </c>
      <c r="AH406" s="1123">
        <f>AG406-AF406</f>
        <v>0</v>
      </c>
      <c r="AI406" s="6293">
        <f>_xlfn.SUMIFS('ИП + источники'!AJ$27:AJ$174,'ИП + источники'!$F$27:$F$174,$F406,'ИП + источники'!$AC$27:$AC$174,"погашение займов и кредитов из нормативной прибыли")</f>
        <v>0</v>
      </c>
      <c r="AJ406" s="6293">
        <f>_xlfn.SUMIFS('ИП + источники'!AK$27:AK$174,'ИП + источники'!$F$27:$F$174,$F406,'ИП + источники'!$AC$27:$AC$174,"погашение займов и кредитов из нормативной прибыли")</f>
        <v>0</v>
      </c>
      <c r="AK406" s="1260">
        <f>_xlfn.SUMIFS('ИП + источники'!AL$27:AL$174,'ИП + источники'!$F$27:$F$174,$F406,'ИП + источники'!$AC$27:$AC$174,"погашение займов и кредитов из нормативной прибыли")</f>
        <v>0</v>
      </c>
      <c r="AL406" s="1260">
        <f>_xlfn.SUMIFS('ИП + источники'!AM$27:AM$174,'ИП + источники'!$F$27:$F$174,$F406,'ИП + источники'!$AC$27:$AC$174,"погашение займов и кредитов из нормативной прибыли")</f>
        <v>0</v>
      </c>
      <c r="AM406" s="1260">
        <f>_xlfn.SUMIFS('ИП + источники'!AN$27:AN$174,'ИП + источники'!$F$27:$F$174,$F406,'ИП + источники'!$AC$27:$AC$174,"погашение займов и кредитов из нормативной прибыли")</f>
        <v>0</v>
      </c>
      <c r="AN406" s="1260">
        <f>_xlfn.SUMIFS('ИП + источники'!AO$27:AO$174,'ИП + источники'!$F$27:$F$174,$F406,'ИП + источники'!$AC$27:$AC$174,"погашение займов и кредитов из нормативной прибыли")</f>
        <v>0</v>
      </c>
      <c r="AO406" s="1260">
        <f>_xlfn.SUMIFS('ИП + источники'!AP$27:AP$174,'ИП + источники'!$F$27:$F$174,$F406,'ИП + источники'!$AC$27:$AC$174,"погашение займов и кредитов из нормативной прибыли")</f>
        <v>0</v>
      </c>
      <c r="AP406" s="1260">
        <f>_xlfn.SUMIFS('ИП + источники'!AQ$27:AQ$174,'ИП + источники'!$F$27:$F$174,$F406,'ИП + источники'!$AC$27:$AC$174,"погашение займов и кредитов из нормативной прибыли")</f>
        <v>0</v>
      </c>
      <c r="AQ406" s="1260">
        <f>_xlfn.SUMIFS('ИП + источники'!AR$27:AR$174,'ИП + источники'!$F$27:$F$174,$F406,'ИП + источники'!$AC$27:$AC$174,"погашение займов и кредитов из нормативной прибыли")</f>
        <v>0</v>
      </c>
      <c r="AR406" s="1260">
        <f>_xlfn.SUMIFS('ИП + источники'!AS$27:AS$174,'ИП + источники'!$F$27:$F$174,$F406,'ИП + источники'!$AC$27:$AC$174,"погашение займов и кредитов из нормативной прибыли")</f>
        <v>0</v>
      </c>
      <c r="AS406" s="1260">
        <f>_xlfn.SUMIFS('ИП + источники'!AT$27:AT$174,'ИП + источники'!$F$27:$F$174,$F406,'ИП + источники'!$AC$27:$AC$174,"погашение займов и кредитов из нормативной прибыли")</f>
        <v>0</v>
      </c>
      <c r="AT406" s="6293">
        <f>_xlfn.SUMIFS('ИП + источники'!AU$27:AU$174,'ИП + источники'!$F$27:$F$174,$F406,'ИП + источники'!$AC$27:$AC$174,"погашение займов и кредитов из нормативной прибыли")</f>
        <v>0</v>
      </c>
      <c r="AU406" s="1260">
        <f>_xlfn.SUMIFS('ИП + источники'!AV$27:AV$174,'ИП + источники'!$F$27:$F$174,$F406,'ИП + источники'!$AC$27:$AC$174,"погашение займов и кредитов из нормативной прибыли")</f>
        <v>0</v>
      </c>
      <c r="AV406" s="1260">
        <f>_xlfn.SUMIFS('ИП + источники'!AW$27:AW$174,'ИП + источники'!$F$27:$F$174,$F406,'ИП + источники'!$AC$27:$AC$174,"погашение займов и кредитов из нормативной прибыли")</f>
        <v>0</v>
      </c>
      <c r="AW406" s="1260">
        <f>_xlfn.SUMIFS('ИП + источники'!AX$27:AX$174,'ИП + источники'!$F$27:$F$174,$F406,'ИП + источники'!$AC$27:$AC$174,"погашение займов и кредитов из нормативной прибыли")</f>
        <v>0</v>
      </c>
      <c r="AX406" s="1260">
        <f>_xlfn.SUMIFS('ИП + источники'!AY$27:AY$174,'ИП + источники'!$F$27:$F$174,$F406,'ИП + источники'!$AC$27:$AC$174,"погашение займов и кредитов из нормативной прибыли")</f>
        <v>0</v>
      </c>
      <c r="AY406" s="1260">
        <f>_xlfn.SUMIFS('ИП + источники'!AZ$27:AZ$174,'ИП + источники'!$F$27:$F$174,$F406,'ИП + источники'!$AC$27:$AC$174,"погашение займов и кредитов из нормативной прибыли")</f>
        <v>0</v>
      </c>
      <c r="AZ406" s="1260">
        <f>_xlfn.SUMIFS('ИП + источники'!BA$27:BA$174,'ИП + источники'!$F$27:$F$174,$F406,'ИП + источники'!$AC$27:$AC$174,"погашение займов и кредитов из нормативной прибыли")</f>
        <v>0</v>
      </c>
      <c r="BA406" s="1260">
        <f>_xlfn.SUMIFS('ИП + источники'!BB$27:BB$174,'ИП + источники'!$F$27:$F$174,$F406,'ИП + источники'!$AC$27:$AC$174,"погашение займов и кредитов из нормативной прибыли")</f>
        <v>0</v>
      </c>
      <c r="BB406" s="1260">
        <f>_xlfn.SUMIFS('ИП + источники'!BC$27:BC$174,'ИП + источники'!$F$27:$F$174,$F406,'ИП + источники'!$AC$27:$AC$174,"погашение займов и кредитов из нормативной прибыли")</f>
        <v>0</v>
      </c>
      <c r="BC406" s="1260">
        <f>_xlfn.SUMIFS('ИП + источники'!BD$27:BD$174,'ИП + источники'!$F$27:$F$174,$F406,'ИП + источники'!$AC$27:$AC$174,"погашение займов и кредитов из нормативной прибыли")</f>
        <v>0</v>
      </c>
      <c r="BD406" s="1123">
        <f>IF(AI406=0,0,(AT406-AI406)/AI406*100)</f>
        <v>0</v>
      </c>
      <c r="BE406" s="1123">
        <f>IF(AT406=0,0,(AU406-AT406)/AT406*100)</f>
        <v>0</v>
      </c>
      <c r="BF406" s="1123">
        <f>IF(AU406=0,0,(AV406-AU406)/AU406*100)</f>
        <v>0</v>
      </c>
      <c r="BG406" s="1123">
        <f>IF(AV406=0,0,(AW406-AV406)/AV406*100)</f>
        <v>0</v>
      </c>
      <c r="BH406" s="1123">
        <f>IF(AW406=0,0,(AX406-AW406)/AW406*100)</f>
        <v>0</v>
      </c>
      <c r="BI406" s="1123">
        <f>IF(AX406=0,0,(AY406-AX406)/AX406*100)</f>
        <v>0</v>
      </c>
      <c r="BJ406" s="1123">
        <f>IF(AY406=0,0,(AZ406-AY406)/AY406*100)</f>
        <v>0</v>
      </c>
      <c r="BK406" s="1123">
        <f>IF(AZ406=0,0,(BA406-AZ406)/AZ406*100)</f>
        <v>0</v>
      </c>
      <c r="BL406" s="1123">
        <f>IF(BA406=0,0,(BB406-BA406)/BA406*100)</f>
        <v>0</v>
      </c>
      <c r="BM406" s="1123">
        <f>IF(BB406=0,0,(BC406-BB406)/BB406*100)</f>
        <v>0</v>
      </c>
      <c r="BN406" s="6290"/>
      <c r="BO406" s="6294" t="str">
        <f>IF(_xlfn.IFERROR(INDEX('ИП + источники'!$K$57:$L$174,MATCH($F406&amp;"2komm",'ИП + источники'!$K$57:$K$174,0),2),"")=0,"",_xlfn.IFERROR(INDEX('ИП + источники'!$K$57:$L$174,MATCH($F406&amp;"2komm",'ИП + источники'!$K$57:$K$174,0),2),""))</f>
        <v/>
      </c>
      <c r="BP406" s="6290"/>
      <c r="BQ406" s="1297"/>
      <c r="BR406" s="1297"/>
      <c r="BS406" s="1072" t="s">
        <v>2371</v>
      </c>
      <c r="BT406" s="1072"/>
      <c r="BU406" s="1072"/>
      <c r="BV406" s="987"/>
      <c r="BW406" s="987"/>
    </row>
    <row s="1656" customFormat="1" customHeight="1" ht="14.25">
      <c r="A407" s="1297"/>
      <c r="B407" s="434" cm="1" t="str">
        <f t="array" ref="B407:B407">B406</f>
        <v>true</v>
      </c>
      <c r="C407" s="103"/>
      <c r="D407" s="103"/>
      <c r="E407" s="626">
        <v>15</v>
      </c>
      <c r="F407" s="50" cm="1" t="str">
        <f t="array" ref="F407:F407">OFFSET(E407,-1,1)</f>
        <v>2</v>
      </c>
      <c r="G407" s="103"/>
      <c r="H407" s="103"/>
      <c r="I407" s="103" t="s">
        <v>677</v>
      </c>
      <c r="J407" s="103"/>
      <c r="K407" s="1297"/>
      <c r="L407" s="988"/>
      <c r="M407" s="103"/>
      <c r="N407" s="103"/>
      <c r="O407" s="103"/>
      <c r="P407" s="103"/>
      <c r="Q407" s="103"/>
      <c r="R407" s="103"/>
      <c r="S407" s="103"/>
      <c r="T407" s="468" cm="1" t="str">
        <f t="array" ref="T407:T407">T406</f>
        <v>true</v>
      </c>
      <c r="U407" s="103"/>
      <c r="V407" s="103"/>
      <c r="W407" s="103"/>
      <c r="X407" s="1559"/>
      <c r="Y407" s="1297"/>
      <c r="Z407" s="1529"/>
      <c r="AA407" s="1297"/>
      <c r="AB407" s="296" t="s">
        <v>804</v>
      </c>
      <c r="AC407" s="769" t="s">
        <v>2372</v>
      </c>
      <c r="AD407" s="296" t="s">
        <v>936</v>
      </c>
      <c r="AE407" s="6293">
        <f>_xlfn.SUMIFS('ИП + источники'!AF$27:AF$174,'ИП + источники'!$F$27:$F$174,$F407,'ИП + источники'!$AC$27:$AC$174,"уплата процентов по кредитам из нормативной прибыли")</f>
        <v>0</v>
      </c>
      <c r="AF407" s="6293">
        <f>_xlfn.SUMIFS('ИП + источники'!AG$27:AG$174,'ИП + источники'!$F$27:$F$174,$F407,'ИП + источники'!$AC$27:$AC$174,"уплата процентов по кредитам из нормативной прибыли")</f>
        <v>0</v>
      </c>
      <c r="AG407" s="6293">
        <f>_xlfn.SUMIFS('ИП + источники'!AH$27:AH$174,'ИП + источники'!$F$27:$F$174,$F407,'ИП + источники'!$AC$27:$AC$174,"уплата процентов по кредитам из нормативной прибыли")</f>
        <v>0</v>
      </c>
      <c r="AH407" s="1123">
        <f>AG407-AF407</f>
        <v>0</v>
      </c>
      <c r="AI407" s="6293">
        <f>_xlfn.SUMIFS('ИП + источники'!AJ$27:AJ$174,'ИП + источники'!$F$27:$F$174,$F407,'ИП + источники'!$AC$27:$AC$174,"уплата процентов по кредитам из нормативной прибыли")</f>
        <v>0</v>
      </c>
      <c r="AJ407" s="6293">
        <f>_xlfn.SUMIFS('ИП + источники'!AK$27:AK$174,'ИП + источники'!$F$27:$F$174,$F407,'ИП + источники'!$AC$27:$AC$174,"уплата процентов по кредитам из нормативной прибыли")</f>
        <v>0</v>
      </c>
      <c r="AK407" s="1260">
        <f>_xlfn.SUMIFS('ИП + источники'!AL$27:AL$174,'ИП + источники'!$F$27:$F$174,$F407,'ИП + источники'!$AC$27:$AC$174,"уплата процентов по кредитам из нормативной прибыли")</f>
        <v>0</v>
      </c>
      <c r="AL407" s="1260">
        <f>_xlfn.SUMIFS('ИП + источники'!AM$27:AM$174,'ИП + источники'!$F$27:$F$174,$F407,'ИП + источники'!$AC$27:$AC$174,"уплата процентов по кредитам из нормативной прибыли")</f>
        <v>0</v>
      </c>
      <c r="AM407" s="1260">
        <f>_xlfn.SUMIFS('ИП + источники'!AN$27:AN$174,'ИП + источники'!$F$27:$F$174,$F407,'ИП + источники'!$AC$27:$AC$174,"уплата процентов по кредитам из нормативной прибыли")</f>
        <v>0</v>
      </c>
      <c r="AN407" s="1260">
        <f>_xlfn.SUMIFS('ИП + источники'!AO$27:AO$174,'ИП + источники'!$F$27:$F$174,$F407,'ИП + источники'!$AC$27:$AC$174,"уплата процентов по кредитам из нормативной прибыли")</f>
        <v>0</v>
      </c>
      <c r="AO407" s="1260">
        <f>_xlfn.SUMIFS('ИП + источники'!AP$27:AP$174,'ИП + источники'!$F$27:$F$174,$F407,'ИП + источники'!$AC$27:$AC$174,"уплата процентов по кредитам из нормативной прибыли")</f>
        <v>0</v>
      </c>
      <c r="AP407" s="1260">
        <f>_xlfn.SUMIFS('ИП + источники'!AQ$27:AQ$174,'ИП + источники'!$F$27:$F$174,$F407,'ИП + источники'!$AC$27:$AC$174,"уплата процентов по кредитам из нормативной прибыли")</f>
        <v>0</v>
      </c>
      <c r="AQ407" s="1260">
        <f>_xlfn.SUMIFS('ИП + источники'!AR$27:AR$174,'ИП + источники'!$F$27:$F$174,$F407,'ИП + источники'!$AC$27:$AC$174,"уплата процентов по кредитам из нормативной прибыли")</f>
        <v>0</v>
      </c>
      <c r="AR407" s="1260">
        <f>_xlfn.SUMIFS('ИП + источники'!AS$27:AS$174,'ИП + источники'!$F$27:$F$174,$F407,'ИП + источники'!$AC$27:$AC$174,"уплата процентов по кредитам из нормативной прибыли")</f>
        <v>0</v>
      </c>
      <c r="AS407" s="1260">
        <f>_xlfn.SUMIFS('ИП + источники'!AT$27:AT$174,'ИП + источники'!$F$27:$F$174,$F407,'ИП + источники'!$AC$27:$AC$174,"уплата процентов по кредитам из нормативной прибыли")</f>
        <v>0</v>
      </c>
      <c r="AT407" s="6293">
        <f>_xlfn.SUMIFS('ИП + источники'!AU$27:AU$174,'ИП + источники'!$F$27:$F$174,$F407,'ИП + источники'!$AC$27:$AC$174,"уплата процентов по кредитам из нормативной прибыли")</f>
        <v>0</v>
      </c>
      <c r="AU407" s="1260">
        <f>_xlfn.SUMIFS('ИП + источники'!AV$27:AV$174,'ИП + источники'!$F$27:$F$174,$F407,'ИП + источники'!$AC$27:$AC$174,"уплата процентов по кредитам из нормативной прибыли")</f>
        <v>0</v>
      </c>
      <c r="AV407" s="1260">
        <f>_xlfn.SUMIFS('ИП + источники'!AW$27:AW$174,'ИП + источники'!$F$27:$F$174,$F407,'ИП + источники'!$AC$27:$AC$174,"уплата процентов по кредитам из нормативной прибыли")</f>
        <v>0</v>
      </c>
      <c r="AW407" s="1260">
        <f>_xlfn.SUMIFS('ИП + источники'!AX$27:AX$174,'ИП + источники'!$F$27:$F$174,$F407,'ИП + источники'!$AC$27:$AC$174,"уплата процентов по кредитам из нормативной прибыли")</f>
        <v>0</v>
      </c>
      <c r="AX407" s="1260">
        <f>_xlfn.SUMIFS('ИП + источники'!AY$27:AY$174,'ИП + источники'!$F$27:$F$174,$F407,'ИП + источники'!$AC$27:$AC$174,"уплата процентов по кредитам из нормативной прибыли")</f>
        <v>0</v>
      </c>
      <c r="AY407" s="1260">
        <f>_xlfn.SUMIFS('ИП + источники'!AZ$27:AZ$174,'ИП + источники'!$F$27:$F$174,$F407,'ИП + источники'!$AC$27:$AC$174,"уплата процентов по кредитам из нормативной прибыли")</f>
        <v>0</v>
      </c>
      <c r="AZ407" s="1260">
        <f>_xlfn.SUMIFS('ИП + источники'!BA$27:BA$174,'ИП + источники'!$F$27:$F$174,$F407,'ИП + источники'!$AC$27:$AC$174,"уплата процентов по кредитам из нормативной прибыли")</f>
        <v>0</v>
      </c>
      <c r="BA407" s="1260">
        <f>_xlfn.SUMIFS('ИП + источники'!BB$27:BB$174,'ИП + источники'!$F$27:$F$174,$F407,'ИП + источники'!$AC$27:$AC$174,"уплата процентов по кредитам из нормативной прибыли")</f>
        <v>0</v>
      </c>
      <c r="BB407" s="1260">
        <f>_xlfn.SUMIFS('ИП + источники'!BC$27:BC$174,'ИП + источники'!$F$27:$F$174,$F407,'ИП + источники'!$AC$27:$AC$174,"уплата процентов по кредитам из нормативной прибыли")</f>
        <v>0</v>
      </c>
      <c r="BC407" s="1260">
        <f>_xlfn.SUMIFS('ИП + источники'!BD$27:BD$174,'ИП + источники'!$F$27:$F$174,$F407,'ИП + источники'!$AC$27:$AC$174,"уплата процентов по кредитам из нормативной прибыли")</f>
        <v>0</v>
      </c>
      <c r="BD407" s="1123">
        <f>IF(AI407=0,0,(AT407-AI407)/AI407*100)</f>
        <v>0</v>
      </c>
      <c r="BE407" s="1123">
        <f>IF(AT407=0,0,(AU407-AT407)/AT407*100)</f>
        <v>0</v>
      </c>
      <c r="BF407" s="1123">
        <f>IF(AU407=0,0,(AV407-AU407)/AU407*100)</f>
        <v>0</v>
      </c>
      <c r="BG407" s="1123">
        <f>IF(AV407=0,0,(AW407-AV407)/AV407*100)</f>
        <v>0</v>
      </c>
      <c r="BH407" s="1123">
        <f>IF(AW407=0,0,(AX407-AW407)/AW407*100)</f>
        <v>0</v>
      </c>
      <c r="BI407" s="1123">
        <f>IF(AX407=0,0,(AY407-AX407)/AX407*100)</f>
        <v>0</v>
      </c>
      <c r="BJ407" s="1123">
        <f>IF(AY407=0,0,(AZ407-AY407)/AY407*100)</f>
        <v>0</v>
      </c>
      <c r="BK407" s="1123">
        <f>IF(AZ407=0,0,(BA407-AZ407)/AZ407*100)</f>
        <v>0</v>
      </c>
      <c r="BL407" s="1123">
        <f>IF(BA407=0,0,(BB407-BA407)/BA407*100)</f>
        <v>0</v>
      </c>
      <c r="BM407" s="1123">
        <f>IF(BB407=0,0,(BC407-BB407)/BB407*100)</f>
        <v>0</v>
      </c>
      <c r="BN407" s="6290"/>
      <c r="BO407" s="6294" t="str">
        <f>IF(_xlfn.IFERROR(INDEX('ИП + источники'!$K$57:$L$174,MATCH($F407&amp;"3komm",'ИП + источники'!$K$57:$K$174,0),2),"")=0,"",_xlfn.IFERROR(INDEX('ИП + источники'!$K$57:$L$174,MATCH($F407&amp;"3komm",'ИП + источники'!$K$57:$K$174,0),2),""))</f>
        <v/>
      </c>
      <c r="BP407" s="6290"/>
      <c r="BQ407" s="1297"/>
      <c r="BR407" s="1297"/>
      <c r="BS407" s="1072" t="s">
        <v>2373</v>
      </c>
      <c r="BT407" s="1072"/>
      <c r="BU407" s="1072"/>
      <c r="BV407" s="987"/>
      <c r="BW407" s="987"/>
    </row>
    <row s="1656" customFormat="1" customHeight="1" ht="14.25">
      <c r="A408" s="1297"/>
      <c r="B408" s="434" cm="1" t="str">
        <f t="array" ref="B408:B408">B407</f>
        <v>true</v>
      </c>
      <c r="C408" s="103"/>
      <c r="D408" s="103"/>
      <c r="E408" s="626">
        <v>15</v>
      </c>
      <c r="F408" s="50" cm="1" t="str">
        <f t="array" ref="F408:F408">OFFSET(E408,-1,1)</f>
        <v>2</v>
      </c>
      <c r="G408" s="103"/>
      <c r="H408" s="103"/>
      <c r="I408" s="103" t="s">
        <v>889</v>
      </c>
      <c r="J408" s="103"/>
      <c r="K408" s="1297"/>
      <c r="L408" s="988" t="s">
        <v>692</v>
      </c>
      <c r="M408" s="103"/>
      <c r="N408" s="103"/>
      <c r="O408" s="103"/>
      <c r="P408" s="103"/>
      <c r="Q408" s="103"/>
      <c r="R408" s="103"/>
      <c r="S408" s="103"/>
      <c r="T408" s="468" cm="1" t="str">
        <f t="array" ref="T408:T408">T407</f>
        <v>true</v>
      </c>
      <c r="U408" s="103"/>
      <c r="V408" s="103"/>
      <c r="W408" s="103"/>
      <c r="X408" s="1559"/>
      <c r="Y408" s="1297"/>
      <c r="Z408" s="1529"/>
      <c r="AA408" s="1297"/>
      <c r="AB408" s="296" t="s">
        <v>1122</v>
      </c>
      <c r="AC408" s="769" t="s">
        <v>2374</v>
      </c>
      <c r="AD408" s="296" t="s">
        <v>936</v>
      </c>
      <c r="AE408" s="6293">
        <f>_xlfn.SUMIFS('ИП + источники'!AF$27:AF$174,'ИП + источники'!$F$27:$F$174,$F408,'ИП + источники'!$AC$27:$AC$174,"Прибыль на капвложения")</f>
        <v>1248.5</v>
      </c>
      <c r="AF408" s="6293">
        <f>_xlfn.SUMIFS('ИП + источники'!AG$27:AG$174,'ИП + источники'!$F$27:$F$174,$F408,'ИП + источники'!$AC$27:$AC$174,"Прибыль на капвложения")</f>
        <v>1248.91</v>
      </c>
      <c r="AG408" s="6293">
        <f>_xlfn.SUMIFS('ИП + источники'!AH$27:AH$174,'ИП + источники'!$F$27:$F$174,$F408,'ИП + источники'!$AC$27:$AC$174,"Прибыль на капвложения")</f>
        <v>1248.5</v>
      </c>
      <c r="AH408" s="1123">
        <f>AG408-AF408</f>
        <v>-0.410000000000082</v>
      </c>
      <c r="AI408" s="6293">
        <f>_xlfn.SUMIFS('ИП + источники'!AJ$27:AJ$174,'ИП + источники'!$F$27:$F$174,$F408,'ИП + источники'!$AC$27:$AC$174,"Прибыль на капвложения")</f>
        <v>1214.9</v>
      </c>
      <c r="AJ408" s="6293">
        <f>_xlfn.SUMIFS('ИП + источники'!AK$27:AK$174,'ИП + источники'!$F$27:$F$174,$F408,'ИП + источники'!$AC$27:$AC$174,"Прибыль на капвложения")</f>
        <v>2777.8</v>
      </c>
      <c r="AK408" s="1260">
        <f>_xlfn.SUMIFS('ИП + источники'!AL$27:AL$174,'ИП + источники'!$F$27:$F$174,$F408,'ИП + источники'!$AC$27:$AC$174,"Прибыль на капвложения")</f>
        <v>0</v>
      </c>
      <c r="AL408" s="1260">
        <f>_xlfn.SUMIFS('ИП + источники'!AM$27:AM$174,'ИП + источники'!$F$27:$F$174,$F408,'ИП + источники'!$AC$27:$AC$174,"Прибыль на капвложения")</f>
        <v>0</v>
      </c>
      <c r="AM408" s="1260">
        <f>_xlfn.SUMIFS('ИП + источники'!AN$27:AN$174,'ИП + источники'!$F$27:$F$174,$F408,'ИП + источники'!$AC$27:$AC$174,"Прибыль на капвложения")</f>
        <v>0</v>
      </c>
      <c r="AN408" s="1260">
        <f>_xlfn.SUMIFS('ИП + источники'!AO$27:AO$174,'ИП + источники'!$F$27:$F$174,$F408,'ИП + источники'!$AC$27:$AC$174,"Прибыль на капвложения")</f>
        <v>0</v>
      </c>
      <c r="AO408" s="1260">
        <f>_xlfn.SUMIFS('ИП + источники'!AP$27:AP$174,'ИП + источники'!$F$27:$F$174,$F408,'ИП + источники'!$AC$27:$AC$174,"Прибыль на капвложения")</f>
        <v>0</v>
      </c>
      <c r="AP408" s="1260">
        <f>_xlfn.SUMIFS('ИП + источники'!AQ$27:AQ$174,'ИП + источники'!$F$27:$F$174,$F408,'ИП + источники'!$AC$27:$AC$174,"Прибыль на капвложения")</f>
        <v>0</v>
      </c>
      <c r="AQ408" s="1260">
        <f>_xlfn.SUMIFS('ИП + источники'!AR$27:AR$174,'ИП + источники'!$F$27:$F$174,$F408,'ИП + источники'!$AC$27:$AC$174,"Прибыль на капвложения")</f>
        <v>0</v>
      </c>
      <c r="AR408" s="1260">
        <f>_xlfn.SUMIFS('ИП + источники'!AS$27:AS$174,'ИП + источники'!$F$27:$F$174,$F408,'ИП + источники'!$AC$27:$AC$174,"Прибыль на капвложения")</f>
        <v>0</v>
      </c>
      <c r="AS408" s="1260">
        <f>_xlfn.SUMIFS('ИП + источники'!AT$27:AT$174,'ИП + источники'!$F$27:$F$174,$F408,'ИП + источники'!$AC$27:$AC$174,"Прибыль на капвложения")</f>
        <v>0</v>
      </c>
      <c r="AT408" s="6293">
        <f>_xlfn.SUMIFS('ИП + источники'!AU$27:AU$174,'ИП + источники'!$F$27:$F$174,$F408,'ИП + источники'!$AC$27:$AC$174,"Прибыль на капвложения")</f>
        <v>2227.8</v>
      </c>
      <c r="AU408" s="1260">
        <f>_xlfn.SUMIFS('ИП + источники'!AV$27:AV$174,'ИП + источники'!$F$27:$F$174,$F408,'ИП + источники'!$AC$27:$AC$174,"Прибыль на капвложения")</f>
        <v>0</v>
      </c>
      <c r="AV408" s="1260">
        <f>_xlfn.SUMIFS('ИП + источники'!AW$27:AW$174,'ИП + источники'!$F$27:$F$174,$F408,'ИП + источники'!$AC$27:$AC$174,"Прибыль на капвложения")</f>
        <v>0</v>
      </c>
      <c r="AW408" s="1260">
        <f>_xlfn.SUMIFS('ИП + источники'!AX$27:AX$174,'ИП + источники'!$F$27:$F$174,$F408,'ИП + источники'!$AC$27:$AC$174,"Прибыль на капвложения")</f>
        <v>0</v>
      </c>
      <c r="AX408" s="1260">
        <f>_xlfn.SUMIFS('ИП + источники'!AY$27:AY$174,'ИП + источники'!$F$27:$F$174,$F408,'ИП + источники'!$AC$27:$AC$174,"Прибыль на капвложения")</f>
        <v>0</v>
      </c>
      <c r="AY408" s="1260">
        <f>_xlfn.SUMIFS('ИП + источники'!AZ$27:AZ$174,'ИП + источники'!$F$27:$F$174,$F408,'ИП + источники'!$AC$27:$AC$174,"Прибыль на капвложения")</f>
        <v>0</v>
      </c>
      <c r="AZ408" s="1260">
        <f>_xlfn.SUMIFS('ИП + источники'!BA$27:BA$174,'ИП + источники'!$F$27:$F$174,$F408,'ИП + источники'!$AC$27:$AC$174,"Прибыль на капвложения")</f>
        <v>0</v>
      </c>
      <c r="BA408" s="1260">
        <f>_xlfn.SUMIFS('ИП + источники'!BB$27:BB$174,'ИП + источники'!$F$27:$F$174,$F408,'ИП + источники'!$AC$27:$AC$174,"Прибыль на капвложения")</f>
        <v>0</v>
      </c>
      <c r="BB408" s="1260">
        <f>_xlfn.SUMIFS('ИП + источники'!BC$27:BC$174,'ИП + источники'!$F$27:$F$174,$F408,'ИП + источники'!$AC$27:$AC$174,"Прибыль на капвложения")</f>
        <v>0</v>
      </c>
      <c r="BC408" s="1260">
        <f>_xlfn.SUMIFS('ИП + источники'!BD$27:BD$174,'ИП + источники'!$F$27:$F$174,$F408,'ИП + источники'!$AC$27:$AC$174,"Прибыль на капвложения")</f>
        <v>0</v>
      </c>
      <c r="BD408" s="1123">
        <f>IF(AI408=0,0,(AT408-AI408)/AI408*100)</f>
        <v>83.3731171289818</v>
      </c>
      <c r="BE408" s="1123">
        <f>IF(AT408=0,0,(AU408-AT408)/AT408*100)</f>
        <v>-100</v>
      </c>
      <c r="BF408" s="1123">
        <f>IF(AU408=0,0,(AV408-AU408)/AU408*100)</f>
        <v>0</v>
      </c>
      <c r="BG408" s="1123">
        <f>IF(AV408=0,0,(AW408-AV408)/AV408*100)</f>
        <v>0</v>
      </c>
      <c r="BH408" s="1123">
        <f>IF(AW408=0,0,(AX408-AW408)/AW408*100)</f>
        <v>0</v>
      </c>
      <c r="BI408" s="1123">
        <f>IF(AX408=0,0,(AY408-AX408)/AX408*100)</f>
        <v>0</v>
      </c>
      <c r="BJ408" s="1123">
        <f>IF(AY408=0,0,(AZ408-AY408)/AY408*100)</f>
        <v>0</v>
      </c>
      <c r="BK408" s="1123">
        <f>IF(AZ408=0,0,(BA408-AZ408)/AZ408*100)</f>
        <v>0</v>
      </c>
      <c r="BL408" s="1123">
        <f>IF(BA408=0,0,(BB408-BA408)/BA408*100)</f>
        <v>0</v>
      </c>
      <c r="BM408" s="1123">
        <f>IF(BB408=0,0,(BC408-BB408)/BB408*100)</f>
        <v>0</v>
      </c>
      <c r="BN408" s="6290"/>
      <c r="BO408" s="6294" t="str">
        <f>IF(_xlfn.IFERROR(INDEX('ИП + источники'!$K$57:$L$174,MATCH($F408&amp;"1komm",'ИП + источники'!$K$57:$K$174,0),2),"")=0,"",_xlfn.IFERROR(INDEX('ИП + источники'!$K$57:$L$174,MATCH($F408&amp;"1komm",'ИП + источники'!$K$57:$K$174,0),2),""))</f>
        <v>ФАКТ 2024 г.: Перерасход в размере (+0,41) тыс. руб. к учету НЕ ПРИНЯТ, так как по состоянию на конец отчетного периода   данное мероприятие НЕ ЗАВЕРШЕНО.  ПЛАН НА 2026 ГОД принят в соответствии  с утвержденной  Инвестиционной программой в сфере водоотведения.</v>
      </c>
      <c r="BP408" s="6290"/>
      <c r="BQ408" s="1297"/>
      <c r="BR408" s="1297"/>
      <c r="BS408" s="1072" t="s">
        <v>2084</v>
      </c>
      <c r="BT408" s="1072"/>
      <c r="BU408" s="1072"/>
      <c r="BV408" s="987"/>
      <c r="BW408" s="987"/>
    </row>
    <row s="1656" customFormat="1" customHeight="1" ht="21.75">
      <c r="A409" s="1297"/>
      <c r="B409" s="434" cm="1" t="str">
        <f t="array" ref="B409:B409">B408</f>
        <v>true</v>
      </c>
      <c r="C409" s="103"/>
      <c r="D409" s="103"/>
      <c r="E409" s="626">
        <v>22.5</v>
      </c>
      <c r="F409" s="50" cm="1" t="str">
        <f t="array" ref="F409:F409">OFFSET(E409,-1,1)</f>
        <v>2</v>
      </c>
      <c r="G409" s="103" t="s">
        <v>2375</v>
      </c>
      <c r="H409" s="103"/>
      <c r="I409" s="103" t="s">
        <v>1124</v>
      </c>
      <c r="J409" s="103"/>
      <c r="K409" s="1297"/>
      <c r="L409" s="988" t="s">
        <v>696</v>
      </c>
      <c r="M409" s="103"/>
      <c r="N409" s="103"/>
      <c r="O409" s="103"/>
      <c r="P409" s="103"/>
      <c r="Q409" s="103"/>
      <c r="R409" s="103"/>
      <c r="S409" s="103"/>
      <c r="T409" s="468" cm="1" t="str">
        <f t="array" ref="T409:T409">T408</f>
        <v>true</v>
      </c>
      <c r="U409" s="103"/>
      <c r="V409" s="103"/>
      <c r="W409" s="103"/>
      <c r="X409" s="1559"/>
      <c r="Y409" s="1297"/>
      <c r="Z409" s="1529"/>
      <c r="AA409" s="1297"/>
      <c r="AB409" s="296" t="s">
        <v>1125</v>
      </c>
      <c r="AC409" s="769" t="s">
        <v>2376</v>
      </c>
      <c r="AD409" s="296" t="s">
        <v>936</v>
      </c>
      <c r="AE409" s="6293"/>
      <c r="AF409" s="6293"/>
      <c r="AG409" s="6293"/>
      <c r="AH409" s="1123">
        <f>AG409-AF409</f>
        <v>0</v>
      </c>
      <c r="AI409" s="6293"/>
      <c r="AJ409" s="6293"/>
      <c r="AK409" s="1260"/>
      <c r="AL409" s="1260"/>
      <c r="AM409" s="1260"/>
      <c r="AN409" s="1260"/>
      <c r="AO409" s="1260"/>
      <c r="AP409" s="1260"/>
      <c r="AQ409" s="1260"/>
      <c r="AR409" s="1260"/>
      <c r="AS409" s="1260"/>
      <c r="AT409" s="6293"/>
      <c r="AU409" s="1260"/>
      <c r="AV409" s="1260"/>
      <c r="AW409" s="1260"/>
      <c r="AX409" s="1260"/>
      <c r="AY409" s="1260"/>
      <c r="AZ409" s="1260"/>
      <c r="BA409" s="1260"/>
      <c r="BB409" s="1260"/>
      <c r="BC409" s="1260"/>
      <c r="BD409" s="1123">
        <f>IF(AI409=0,0,(AT409-AI409)/AI409*100)</f>
        <v>0</v>
      </c>
      <c r="BE409" s="1123">
        <f>IF(AT409=0,0,(AU409-AT409)/AT409*100)</f>
        <v>0</v>
      </c>
      <c r="BF409" s="1123">
        <f>IF(AU409=0,0,(AV409-AU409)/AU409*100)</f>
        <v>0</v>
      </c>
      <c r="BG409" s="1123">
        <f>IF(AV409=0,0,(AW409-AV409)/AV409*100)</f>
        <v>0</v>
      </c>
      <c r="BH409" s="1123">
        <f>IF(AW409=0,0,(AX409-AW409)/AW409*100)</f>
        <v>0</v>
      </c>
      <c r="BI409" s="1123">
        <f>IF(AX409=0,0,(AY409-AX409)/AX409*100)</f>
        <v>0</v>
      </c>
      <c r="BJ409" s="1123">
        <f>IF(AY409=0,0,(AZ409-AY409)/AY409*100)</f>
        <v>0</v>
      </c>
      <c r="BK409" s="1123">
        <f>IF(AZ409=0,0,(BA409-AZ409)/AZ409*100)</f>
        <v>0</v>
      </c>
      <c r="BL409" s="1123">
        <f>IF(BA409=0,0,(BB409-BA409)/BA409*100)</f>
        <v>0</v>
      </c>
      <c r="BM409" s="1123">
        <f>IF(BB409=0,0,(BC409-BB409)/BB409*100)</f>
        <v>0</v>
      </c>
      <c r="BN409" s="6290"/>
      <c r="BO409" s="6290"/>
      <c r="BP409" s="6290"/>
      <c r="BQ409" s="1297"/>
      <c r="BR409" s="1297"/>
      <c r="BS409" s="1072" t="s">
        <v>2377</v>
      </c>
      <c r="BT409" s="1072"/>
      <c r="BU409" s="1072"/>
      <c r="BV409" s="987"/>
      <c r="BW409" s="987"/>
    </row>
    <row s="1656" customFormat="1" customHeight="1" ht="14.25">
      <c r="A410" s="1297"/>
      <c r="B410" s="434">
        <f>AND(method_reg="Метод индексации",STATUS_GO="да")</f>
        <v>0</v>
      </c>
      <c r="C410" s="103"/>
      <c r="D410" s="103"/>
      <c r="E410" s="626">
        <v>15</v>
      </c>
      <c r="F410" s="50" cm="1" t="str">
        <f t="array" ref="F410:F410">OFFSET(E410,-1,1)</f>
        <v>2</v>
      </c>
      <c r="G410" s="103" t="s">
        <v>2087</v>
      </c>
      <c r="H410" s="103"/>
      <c r="I410" s="103" t="s">
        <v>616</v>
      </c>
      <c r="J410" s="103"/>
      <c r="K410" s="1297"/>
      <c r="L410" s="988" t="s">
        <v>700</v>
      </c>
      <c r="M410" s="103"/>
      <c r="N410" s="103"/>
      <c r="O410" s="103"/>
      <c r="P410" s="103"/>
      <c r="Q410" s="103"/>
      <c r="R410" s="103"/>
      <c r="S410" s="103"/>
      <c r="T410" s="468" cm="1" t="str">
        <f t="array" ref="T410:T410">T409</f>
        <v>true</v>
      </c>
      <c r="U410" s="103"/>
      <c r="V410" s="103"/>
      <c r="W410" s="103"/>
      <c r="X410" s="1559"/>
      <c r="Y410" s="1297"/>
      <c r="Z410" s="1529"/>
      <c r="AA410" s="1297"/>
      <c r="AB410" s="296" t="s">
        <v>457</v>
      </c>
      <c r="AC410" s="454" t="s">
        <v>2087</v>
      </c>
      <c r="AD410" s="296" t="s">
        <v>936</v>
      </c>
      <c r="AE410" s="6293"/>
      <c r="AF410" s="6293"/>
      <c r="AG410" s="6293"/>
      <c r="AH410" s="1123">
        <f>AG410-AF410</f>
        <v>0</v>
      </c>
      <c r="AI410" s="6293"/>
      <c r="AJ410" s="6293"/>
      <c r="AK410" s="1260"/>
      <c r="AL410" s="1260"/>
      <c r="AM410" s="1260"/>
      <c r="AN410" s="1260"/>
      <c r="AO410" s="1260"/>
      <c r="AP410" s="1260"/>
      <c r="AQ410" s="1260"/>
      <c r="AR410" s="1260"/>
      <c r="AS410" s="1260"/>
      <c r="AT410" s="6293"/>
      <c r="AU410" s="1260"/>
      <c r="AV410" s="1260"/>
      <c r="AW410" s="1260"/>
      <c r="AX410" s="1260"/>
      <c r="AY410" s="1260"/>
      <c r="AZ410" s="1260"/>
      <c r="BA410" s="1260"/>
      <c r="BB410" s="1260"/>
      <c r="BC410" s="1260"/>
      <c r="BD410" s="1123">
        <f>IF(AI410=0,0,(AT410-AI410)/AI410*100)</f>
        <v>0</v>
      </c>
      <c r="BE410" s="1123">
        <f>IF(AT410=0,0,(AU410-AT410)/AT410*100)</f>
        <v>0</v>
      </c>
      <c r="BF410" s="1123">
        <f>IF(AU410=0,0,(AV410-AU410)/AU410*100)</f>
        <v>0</v>
      </c>
      <c r="BG410" s="1123">
        <f>IF(AV410=0,0,(AW410-AV410)/AV410*100)</f>
        <v>0</v>
      </c>
      <c r="BH410" s="1123">
        <f>IF(AW410=0,0,(AX410-AW410)/AW410*100)</f>
        <v>0</v>
      </c>
      <c r="BI410" s="1123">
        <f>IF(AX410=0,0,(AY410-AX410)/AX410*100)</f>
        <v>0</v>
      </c>
      <c r="BJ410" s="1123">
        <f>IF(AY410=0,0,(AZ410-AY410)/AY410*100)</f>
        <v>0</v>
      </c>
      <c r="BK410" s="1123">
        <f>IF(AZ410=0,0,(BA410-AZ410)/AZ410*100)</f>
        <v>0</v>
      </c>
      <c r="BL410" s="1123">
        <f>IF(BA410=0,0,(BB410-BA410)/BA410*100)</f>
        <v>0</v>
      </c>
      <c r="BM410" s="1123">
        <f>IF(BB410=0,0,(BC410-BB410)/BB410*100)</f>
        <v>0</v>
      </c>
      <c r="BN410" s="6290"/>
      <c r="BO410" s="6290"/>
      <c r="BP410" s="6290"/>
      <c r="BQ410" s="1297"/>
      <c r="BR410" s="1297"/>
      <c r="BS410" s="1072" t="s">
        <v>2088</v>
      </c>
      <c r="BT410" s="1072"/>
      <c r="BU410" s="1072"/>
      <c r="BV410" s="987"/>
      <c r="BW410" s="987"/>
    </row>
    <row s="1656" customFormat="1" customHeight="1" ht="14.25" hidden="1">
      <c r="A411" s="1297"/>
      <c r="B411" s="867">
        <f>method_reg="Метод обеспечения доходности инвестированного капитала"</f>
        <v>0</v>
      </c>
      <c r="C411" s="103"/>
      <c r="D411" s="103"/>
      <c r="E411" s="626">
        <v>15</v>
      </c>
      <c r="F411" s="50" cm="1" t="str">
        <f t="array" ref="F411:F411">OFFSET(E411,-1,1)</f>
        <v>2</v>
      </c>
      <c r="G411" s="103"/>
      <c r="H411" s="103"/>
      <c r="I411" s="103"/>
      <c r="J411" s="103"/>
      <c r="K411" s="103" t="s">
        <v>348</v>
      </c>
      <c r="L411" s="988"/>
      <c r="M411" s="103"/>
      <c r="N411" s="103"/>
      <c r="O411" s="103"/>
      <c r="P411" s="103"/>
      <c r="Q411" s="103"/>
      <c r="R411" s="103"/>
      <c r="S411" s="103"/>
      <c r="T411" s="867" cm="1" t="str">
        <f t="array" ref="T411:T411">T410</f>
        <v>true</v>
      </c>
      <c r="U411" s="103"/>
      <c r="V411" s="103"/>
      <c r="W411" s="103"/>
      <c r="X411" s="1559"/>
      <c r="Y411" s="1297"/>
      <c r="Z411" s="1529"/>
      <c r="AA411" s="1297"/>
      <c r="AB411" s="801" t="s">
        <v>451</v>
      </c>
      <c r="AC411" s="800" t="s">
        <v>2378</v>
      </c>
      <c r="AD411" s="801" t="s">
        <v>936</v>
      </c>
      <c r="AE411" s="1265"/>
      <c r="AF411" s="1265"/>
      <c r="AG411" s="1265"/>
      <c r="AH411" s="768">
        <f>AG411-AF411</f>
        <v>0</v>
      </c>
      <c r="AI411" s="1265"/>
      <c r="AJ411" s="1265"/>
      <c r="AK411" s="1265"/>
      <c r="AL411" s="1265"/>
      <c r="AM411" s="1265"/>
      <c r="AN411" s="1265"/>
      <c r="AO411" s="1265"/>
      <c r="AP411" s="1265"/>
      <c r="AQ411" s="1265"/>
      <c r="AR411" s="1265"/>
      <c r="AS411" s="1265"/>
      <c r="AT411" s="1265"/>
      <c r="AU411" s="1265"/>
      <c r="AV411" s="1265"/>
      <c r="AW411" s="1265"/>
      <c r="AX411" s="1265"/>
      <c r="AY411" s="1265"/>
      <c r="AZ411" s="1265"/>
      <c r="BA411" s="1265"/>
      <c r="BB411" s="1265"/>
      <c r="BC411" s="1265"/>
      <c r="BD411" s="768">
        <f>IF(AI411=0,0,(AT411-AI411)/AI411*100)</f>
        <v>0</v>
      </c>
      <c r="BE411" s="768">
        <f>IF(AT411=0,0,(AU411-AT411)/AT411*100)</f>
        <v>0</v>
      </c>
      <c r="BF411" s="768">
        <f>IF(AU411=0,0,(AV411-AU411)/AU411*100)</f>
        <v>0</v>
      </c>
      <c r="BG411" s="768">
        <f>IF(AV411=0,0,(AW411-AV411)/AV411*100)</f>
        <v>0</v>
      </c>
      <c r="BH411" s="768">
        <f>IF(AW411=0,0,(AX411-AW411)/AW411*100)</f>
        <v>0</v>
      </c>
      <c r="BI411" s="768">
        <f>IF(AX411=0,0,(AY411-AX411)/AX411*100)</f>
        <v>0</v>
      </c>
      <c r="BJ411" s="768">
        <f>IF(AY411=0,0,(AZ411-AY411)/AY411*100)</f>
        <v>0</v>
      </c>
      <c r="BK411" s="768">
        <f>IF(AZ411=0,0,(BA411-AZ411)/AZ411*100)</f>
        <v>0</v>
      </c>
      <c r="BL411" s="768">
        <f>IF(BA411=0,0,(BB411-BA411)/BA411*100)</f>
        <v>0</v>
      </c>
      <c r="BM411" s="768">
        <f>IF(BB411=0,0,(BC411-BB411)/BB411*100)</f>
        <v>0</v>
      </c>
      <c r="BN411" s="1266"/>
      <c r="BO411" s="1266"/>
      <c r="BP411" s="1266"/>
      <c r="BQ411" s="1297"/>
      <c r="BR411" s="1297"/>
      <c r="BS411" s="1072" t="s">
        <v>2379</v>
      </c>
      <c r="BT411" s="1072"/>
      <c r="BU411" s="1072"/>
      <c r="BV411" s="987"/>
      <c r="BW411" s="987"/>
    </row>
    <row s="1656" customFormat="1" customHeight="1" ht="14.25" hidden="1">
      <c r="A412" s="1297"/>
      <c r="B412" s="867" cm="1" t="str">
        <f t="array" ref="B412:B412">B411</f>
        <v>false</v>
      </c>
      <c r="C412" s="103"/>
      <c r="D412" s="103"/>
      <c r="E412" s="626">
        <v>15</v>
      </c>
      <c r="F412" s="50" cm="1" t="str">
        <f t="array" ref="F412:F412">OFFSET(E412,-1,1)</f>
        <v>2</v>
      </c>
      <c r="G412" s="103"/>
      <c r="H412" s="103"/>
      <c r="I412" s="103"/>
      <c r="J412" s="103"/>
      <c r="K412" s="103" t="s">
        <v>659</v>
      </c>
      <c r="L412" s="988"/>
      <c r="M412" s="103"/>
      <c r="N412" s="103"/>
      <c r="O412" s="103"/>
      <c r="P412" s="103"/>
      <c r="Q412" s="103"/>
      <c r="R412" s="103"/>
      <c r="S412" s="103"/>
      <c r="T412" s="867" cm="1" t="str">
        <f t="array" ref="T412:T412">T411</f>
        <v>true</v>
      </c>
      <c r="U412" s="103"/>
      <c r="V412" s="103"/>
      <c r="W412" s="103"/>
      <c r="X412" s="1559"/>
      <c r="Y412" s="1297"/>
      <c r="Z412" s="1529"/>
      <c r="AA412" s="1297"/>
      <c r="AB412" s="804" t="s">
        <v>794</v>
      </c>
      <c r="AC412" s="803" t="s">
        <v>2380</v>
      </c>
      <c r="AD412" s="804" t="s">
        <v>936</v>
      </c>
      <c r="AE412" s="1267"/>
      <c r="AF412" s="1267"/>
      <c r="AG412" s="1267"/>
      <c r="AH412" s="770"/>
      <c r="AI412" s="1267"/>
      <c r="AJ412" s="1267"/>
      <c r="AK412" s="1267"/>
      <c r="AL412" s="1267"/>
      <c r="AM412" s="1267"/>
      <c r="AN412" s="1267"/>
      <c r="AO412" s="1267"/>
      <c r="AP412" s="1267"/>
      <c r="AQ412" s="1267"/>
      <c r="AR412" s="1267"/>
      <c r="AS412" s="1267"/>
      <c r="AT412" s="1267"/>
      <c r="AU412" s="1267"/>
      <c r="AV412" s="1267"/>
      <c r="AW412" s="1267"/>
      <c r="AX412" s="1267"/>
      <c r="AY412" s="1267"/>
      <c r="AZ412" s="1267"/>
      <c r="BA412" s="1267"/>
      <c r="BB412" s="1267"/>
      <c r="BC412" s="1267"/>
      <c r="BD412" s="770"/>
      <c r="BE412" s="770"/>
      <c r="BF412" s="770"/>
      <c r="BG412" s="770"/>
      <c r="BH412" s="770"/>
      <c r="BI412" s="770"/>
      <c r="BJ412" s="770"/>
      <c r="BK412" s="770"/>
      <c r="BL412" s="770"/>
      <c r="BM412" s="770"/>
      <c r="BN412" s="1268"/>
      <c r="BO412" s="1268"/>
      <c r="BP412" s="1268"/>
      <c r="BQ412" s="1297"/>
      <c r="BR412" s="1297"/>
      <c r="BS412" s="1072" t="s">
        <v>2381</v>
      </c>
      <c r="BT412" s="1072"/>
      <c r="BU412" s="1072"/>
      <c r="BV412" s="987"/>
      <c r="BW412" s="987"/>
    </row>
    <row s="1656" customFormat="1" customHeight="1" ht="14.25" hidden="1">
      <c r="A413" s="1297"/>
      <c r="B413" s="867" cm="1" t="str">
        <f t="array" ref="B413:B413">B412</f>
        <v>false</v>
      </c>
      <c r="C413" s="103"/>
      <c r="D413" s="103"/>
      <c r="E413" s="626">
        <v>15</v>
      </c>
      <c r="F413" s="50" cm="1" t="str">
        <f t="array" ref="F413:F413">OFFSET(E413,-1,1)</f>
        <v>2</v>
      </c>
      <c r="G413" s="103"/>
      <c r="H413" s="103"/>
      <c r="I413" s="103"/>
      <c r="J413" s="103"/>
      <c r="K413" s="103" t="s">
        <v>663</v>
      </c>
      <c r="L413" s="988"/>
      <c r="M413" s="103"/>
      <c r="N413" s="103"/>
      <c r="O413" s="103"/>
      <c r="P413" s="103"/>
      <c r="Q413" s="103"/>
      <c r="R413" s="103"/>
      <c r="S413" s="103"/>
      <c r="T413" s="867" cm="1" t="str">
        <f t="array" ref="T413:T413">T412</f>
        <v>true</v>
      </c>
      <c r="U413" s="103"/>
      <c r="V413" s="103"/>
      <c r="W413" s="103"/>
      <c r="X413" s="1559"/>
      <c r="Y413" s="1297"/>
      <c r="Z413" s="1529"/>
      <c r="AA413" s="1297"/>
      <c r="AB413" s="804" t="s">
        <v>797</v>
      </c>
      <c r="AC413" s="803" t="s">
        <v>2382</v>
      </c>
      <c r="AD413" s="804" t="s">
        <v>2383</v>
      </c>
      <c r="AE413" s="1267"/>
      <c r="AF413" s="1267"/>
      <c r="AG413" s="1267"/>
      <c r="AH413" s="770"/>
      <c r="AI413" s="1267"/>
      <c r="AJ413" s="1267"/>
      <c r="AK413" s="1267"/>
      <c r="AL413" s="1267"/>
      <c r="AM413" s="1267"/>
      <c r="AN413" s="1267"/>
      <c r="AO413" s="1267"/>
      <c r="AP413" s="1267"/>
      <c r="AQ413" s="1267"/>
      <c r="AR413" s="1267"/>
      <c r="AS413" s="1267"/>
      <c r="AT413" s="1267"/>
      <c r="AU413" s="1267"/>
      <c r="AV413" s="1267"/>
      <c r="AW413" s="1267"/>
      <c r="AX413" s="1267"/>
      <c r="AY413" s="1267"/>
      <c r="AZ413" s="1267"/>
      <c r="BA413" s="1267"/>
      <c r="BB413" s="1267"/>
      <c r="BC413" s="1267"/>
      <c r="BD413" s="770"/>
      <c r="BE413" s="770"/>
      <c r="BF413" s="770"/>
      <c r="BG413" s="770"/>
      <c r="BH413" s="770"/>
      <c r="BI413" s="770"/>
      <c r="BJ413" s="770"/>
      <c r="BK413" s="770"/>
      <c r="BL413" s="770"/>
      <c r="BM413" s="770"/>
      <c r="BN413" s="1268"/>
      <c r="BO413" s="1268"/>
      <c r="BP413" s="1268"/>
      <c r="BQ413" s="1297"/>
      <c r="BR413" s="1297"/>
      <c r="BS413" s="1072" t="s">
        <v>2384</v>
      </c>
      <c r="BT413" s="1072"/>
      <c r="BU413" s="1072"/>
      <c r="BV413" s="987"/>
      <c r="BW413" s="987"/>
    </row>
    <row s="1656" customFormat="1" customHeight="1" ht="14.25" hidden="1">
      <c r="A414" s="1297"/>
      <c r="B414" s="867" cm="1" t="str">
        <f t="array" ref="B414:B414">B413</f>
        <v>false</v>
      </c>
      <c r="C414" s="103"/>
      <c r="D414" s="103"/>
      <c r="E414" s="626">
        <v>15</v>
      </c>
      <c r="F414" s="50" cm="1" t="str">
        <f t="array" ref="F414:F414">OFFSET(E414,-1,1)</f>
        <v>2</v>
      </c>
      <c r="G414" s="103"/>
      <c r="H414" s="103"/>
      <c r="I414" s="103"/>
      <c r="J414" s="103"/>
      <c r="K414" s="103" t="s">
        <v>347</v>
      </c>
      <c r="L414" s="988"/>
      <c r="M414" s="103"/>
      <c r="N414" s="103"/>
      <c r="O414" s="103"/>
      <c r="P414" s="103"/>
      <c r="Q414" s="103"/>
      <c r="R414" s="103"/>
      <c r="S414" s="103"/>
      <c r="T414" s="867" cm="1" t="str">
        <f t="array" ref="T414:T414">T413</f>
        <v>true</v>
      </c>
      <c r="U414" s="103"/>
      <c r="V414" s="103"/>
      <c r="W414" s="103"/>
      <c r="X414" s="1559"/>
      <c r="Y414" s="1297"/>
      <c r="Z414" s="1529"/>
      <c r="AA414" s="1297"/>
      <c r="AB414" s="801" t="s">
        <v>454</v>
      </c>
      <c r="AC414" s="800" t="s">
        <v>2385</v>
      </c>
      <c r="AD414" s="801" t="s">
        <v>936</v>
      </c>
      <c r="AE414" s="1265"/>
      <c r="AF414" s="1265"/>
      <c r="AG414" s="1265"/>
      <c r="AH414" s="768">
        <f>AG414-AF414</f>
        <v>0</v>
      </c>
      <c r="AI414" s="1265"/>
      <c r="AJ414" s="1265"/>
      <c r="AK414" s="1265"/>
      <c r="AL414" s="1265"/>
      <c r="AM414" s="1265"/>
      <c r="AN414" s="1265"/>
      <c r="AO414" s="1265"/>
      <c r="AP414" s="1265"/>
      <c r="AQ414" s="1265"/>
      <c r="AR414" s="1265"/>
      <c r="AS414" s="1265"/>
      <c r="AT414" s="1265"/>
      <c r="AU414" s="1265"/>
      <c r="AV414" s="1265"/>
      <c r="AW414" s="1265"/>
      <c r="AX414" s="1265"/>
      <c r="AY414" s="1265"/>
      <c r="AZ414" s="1265"/>
      <c r="BA414" s="1265"/>
      <c r="BB414" s="1265"/>
      <c r="BC414" s="1265"/>
      <c r="BD414" s="768">
        <f>IF(AI414=0,0,(AT414-AI414)/AI414*100)</f>
        <v>0</v>
      </c>
      <c r="BE414" s="768">
        <f>IF(AT414=0,0,(AU414-AT414)/AT414*100)</f>
        <v>0</v>
      </c>
      <c r="BF414" s="768">
        <f>IF(AU414=0,0,(AV414-AU414)/AU414*100)</f>
        <v>0</v>
      </c>
      <c r="BG414" s="768">
        <f>IF(AV414=0,0,(AW414-AV414)/AV414*100)</f>
        <v>0</v>
      </c>
      <c r="BH414" s="768">
        <f>IF(AW414=0,0,(AX414-AW414)/AW414*100)</f>
        <v>0</v>
      </c>
      <c r="BI414" s="768">
        <f>IF(AX414=0,0,(AY414-AX414)/AX414*100)</f>
        <v>0</v>
      </c>
      <c r="BJ414" s="768">
        <f>IF(AY414=0,0,(AZ414-AY414)/AY414*100)</f>
        <v>0</v>
      </c>
      <c r="BK414" s="768">
        <f>IF(AZ414=0,0,(BA414-AZ414)/AZ414*100)</f>
        <v>0</v>
      </c>
      <c r="BL414" s="768">
        <f>IF(BA414=0,0,(BB414-BA414)/BA414*100)</f>
        <v>0</v>
      </c>
      <c r="BM414" s="768">
        <f>IF(BB414=0,0,(BC414-BB414)/BB414*100)</f>
        <v>0</v>
      </c>
      <c r="BN414" s="1266"/>
      <c r="BO414" s="1266"/>
      <c r="BP414" s="1266"/>
      <c r="BQ414" s="1297"/>
      <c r="BR414" s="1297"/>
      <c r="BS414" s="1072" t="s">
        <v>2386</v>
      </c>
      <c r="BT414" s="1072"/>
      <c r="BU414" s="1072"/>
      <c r="BV414" s="987"/>
      <c r="BW414" s="987"/>
    </row>
    <row s="1656" customFormat="1" customHeight="1" ht="14.25" hidden="1">
      <c r="A415" s="1297"/>
      <c r="B415" s="867" cm="1" t="str">
        <f t="array" ref="B415:B415">B414</f>
        <v>false</v>
      </c>
      <c r="C415" s="103"/>
      <c r="D415" s="103"/>
      <c r="E415" s="626">
        <v>15</v>
      </c>
      <c r="F415" s="50" cm="1" t="str">
        <f t="array" ref="F415:F415">OFFSET(E415,-1,1)</f>
        <v>2</v>
      </c>
      <c r="G415" s="103"/>
      <c r="H415" s="103"/>
      <c r="I415" s="103"/>
      <c r="J415" s="103"/>
      <c r="K415" s="103" t="s">
        <v>673</v>
      </c>
      <c r="L415" s="988"/>
      <c r="M415" s="103"/>
      <c r="N415" s="103"/>
      <c r="O415" s="103"/>
      <c r="P415" s="103"/>
      <c r="Q415" s="103"/>
      <c r="R415" s="103"/>
      <c r="S415" s="103"/>
      <c r="T415" s="867" cm="1" t="str">
        <f t="array" ref="T415:T415">T414</f>
        <v>true</v>
      </c>
      <c r="U415" s="103"/>
      <c r="V415" s="103"/>
      <c r="W415" s="103"/>
      <c r="X415" s="1559"/>
      <c r="Y415" s="1297"/>
      <c r="Z415" s="1529"/>
      <c r="AA415" s="1297"/>
      <c r="AB415" s="804" t="s">
        <v>801</v>
      </c>
      <c r="AC415" s="803" t="s">
        <v>2387</v>
      </c>
      <c r="AD415" s="804" t="s">
        <v>936</v>
      </c>
      <c r="AE415" s="1267"/>
      <c r="AF415" s="1267"/>
      <c r="AG415" s="1267"/>
      <c r="AH415" s="770"/>
      <c r="AI415" s="1267"/>
      <c r="AJ415" s="1267"/>
      <c r="AK415" s="1267"/>
      <c r="AL415" s="1267"/>
      <c r="AM415" s="1267"/>
      <c r="AN415" s="1267"/>
      <c r="AO415" s="1267"/>
      <c r="AP415" s="1267"/>
      <c r="AQ415" s="1267"/>
      <c r="AR415" s="1267"/>
      <c r="AS415" s="1267"/>
      <c r="AT415" s="1267"/>
      <c r="AU415" s="1267"/>
      <c r="AV415" s="1267"/>
      <c r="AW415" s="1267"/>
      <c r="AX415" s="1267"/>
      <c r="AY415" s="1267"/>
      <c r="AZ415" s="1267"/>
      <c r="BA415" s="1267"/>
      <c r="BB415" s="1267"/>
      <c r="BC415" s="1267"/>
      <c r="BD415" s="770"/>
      <c r="BE415" s="770"/>
      <c r="BF415" s="770"/>
      <c r="BG415" s="770"/>
      <c r="BH415" s="770"/>
      <c r="BI415" s="770"/>
      <c r="BJ415" s="770"/>
      <c r="BK415" s="770"/>
      <c r="BL415" s="770"/>
      <c r="BM415" s="770"/>
      <c r="BN415" s="1268"/>
      <c r="BO415" s="1268"/>
      <c r="BP415" s="1268"/>
      <c r="BQ415" s="1297"/>
      <c r="BR415" s="1297"/>
      <c r="BS415" s="1072" t="s">
        <v>2388</v>
      </c>
      <c r="BT415" s="1072"/>
      <c r="BU415" s="1072"/>
      <c r="BV415" s="987"/>
      <c r="BW415" s="987"/>
    </row>
    <row s="1656" customFormat="1" customHeight="1" ht="14.25" hidden="1">
      <c r="A416" s="1297"/>
      <c r="B416" s="867" cm="1" t="str">
        <f t="array" ref="B416:B416">B415</f>
        <v>false</v>
      </c>
      <c r="C416" s="103"/>
      <c r="D416" s="103"/>
      <c r="E416" s="626">
        <v>15</v>
      </c>
      <c r="F416" s="50" cm="1" t="str">
        <f t="array" ref="F416:F416">OFFSET(E416,-1,1)</f>
        <v>2</v>
      </c>
      <c r="G416" s="103"/>
      <c r="H416" s="103"/>
      <c r="I416" s="103"/>
      <c r="J416" s="103"/>
      <c r="K416" s="103" t="s">
        <v>677</v>
      </c>
      <c r="L416" s="988"/>
      <c r="M416" s="103"/>
      <c r="N416" s="103"/>
      <c r="O416" s="103"/>
      <c r="P416" s="103"/>
      <c r="Q416" s="103"/>
      <c r="R416" s="103"/>
      <c r="S416" s="103"/>
      <c r="T416" s="867" cm="1" t="str">
        <f t="array" ref="T416:T416">T415</f>
        <v>true</v>
      </c>
      <c r="U416" s="103"/>
      <c r="V416" s="103"/>
      <c r="W416" s="103"/>
      <c r="X416" s="1559"/>
      <c r="Y416" s="1297"/>
      <c r="Z416" s="1529"/>
      <c r="AA416" s="1297"/>
      <c r="AB416" s="804" t="s">
        <v>804</v>
      </c>
      <c r="AC416" s="803" t="s">
        <v>2389</v>
      </c>
      <c r="AD416" s="804" t="s">
        <v>561</v>
      </c>
      <c r="AE416" s="1267"/>
      <c r="AF416" s="1267"/>
      <c r="AG416" s="1267"/>
      <c r="AH416" s="770"/>
      <c r="AI416" s="1267"/>
      <c r="AJ416" s="1267"/>
      <c r="AK416" s="1267"/>
      <c r="AL416" s="1267"/>
      <c r="AM416" s="1267"/>
      <c r="AN416" s="1267"/>
      <c r="AO416" s="1267"/>
      <c r="AP416" s="1267"/>
      <c r="AQ416" s="1267"/>
      <c r="AR416" s="1267"/>
      <c r="AS416" s="1267"/>
      <c r="AT416" s="1267"/>
      <c r="AU416" s="1267"/>
      <c r="AV416" s="1267"/>
      <c r="AW416" s="1267"/>
      <c r="AX416" s="1267"/>
      <c r="AY416" s="1267"/>
      <c r="AZ416" s="1267"/>
      <c r="BA416" s="1267"/>
      <c r="BB416" s="1267"/>
      <c r="BC416" s="1267"/>
      <c r="BD416" s="770"/>
      <c r="BE416" s="770"/>
      <c r="BF416" s="770"/>
      <c r="BG416" s="770"/>
      <c r="BH416" s="770"/>
      <c r="BI416" s="770"/>
      <c r="BJ416" s="770"/>
      <c r="BK416" s="770"/>
      <c r="BL416" s="770"/>
      <c r="BM416" s="770"/>
      <c r="BN416" s="1268"/>
      <c r="BO416" s="1268"/>
      <c r="BP416" s="1268"/>
      <c r="BQ416" s="1297"/>
      <c r="BR416" s="1297"/>
      <c r="BS416" s="1072" t="s">
        <v>2390</v>
      </c>
      <c r="BT416" s="1072"/>
      <c r="BU416" s="1072"/>
      <c r="BV416" s="987"/>
      <c r="BW416" s="987"/>
    </row>
    <row s="1656" customFormat="1" customHeight="1" ht="14.25" hidden="1">
      <c r="A417" s="1297"/>
      <c r="B417" s="867" cm="1" t="str">
        <f t="array" ref="B417:B417">B416</f>
        <v>false</v>
      </c>
      <c r="C417" s="103"/>
      <c r="D417" s="103"/>
      <c r="E417" s="626">
        <v>15</v>
      </c>
      <c r="F417" s="50" cm="1" t="str">
        <f t="array" ref="F417:F417">OFFSET(E417,-1,1)</f>
        <v>2</v>
      </c>
      <c r="G417" s="103"/>
      <c r="H417" s="103"/>
      <c r="I417" s="103"/>
      <c r="J417" s="103"/>
      <c r="K417" s="103" t="s">
        <v>889</v>
      </c>
      <c r="L417" s="988"/>
      <c r="M417" s="103"/>
      <c r="N417" s="103"/>
      <c r="O417" s="103"/>
      <c r="P417" s="103"/>
      <c r="Q417" s="103"/>
      <c r="R417" s="103"/>
      <c r="S417" s="103"/>
      <c r="T417" s="867" cm="1" t="str">
        <f t="array" ref="T417:T417">T416</f>
        <v>true</v>
      </c>
      <c r="U417" s="103"/>
      <c r="V417" s="103"/>
      <c r="W417" s="103"/>
      <c r="X417" s="1559"/>
      <c r="Y417" s="1297"/>
      <c r="Z417" s="1529"/>
      <c r="AA417" s="1297"/>
      <c r="AB417" s="804" t="s">
        <v>1122</v>
      </c>
      <c r="AC417" s="803" t="s">
        <v>2391</v>
      </c>
      <c r="AD417" s="804" t="s">
        <v>936</v>
      </c>
      <c r="AE417" s="1267"/>
      <c r="AF417" s="1267"/>
      <c r="AG417" s="1267"/>
      <c r="AH417" s="770"/>
      <c r="AI417" s="1267"/>
      <c r="AJ417" s="1267"/>
      <c r="AK417" s="1267"/>
      <c r="AL417" s="1267"/>
      <c r="AM417" s="1267"/>
      <c r="AN417" s="1267"/>
      <c r="AO417" s="1267"/>
      <c r="AP417" s="1267"/>
      <c r="AQ417" s="1267"/>
      <c r="AR417" s="1267"/>
      <c r="AS417" s="1267"/>
      <c r="AT417" s="1267"/>
      <c r="AU417" s="1267"/>
      <c r="AV417" s="1267"/>
      <c r="AW417" s="1267"/>
      <c r="AX417" s="1267"/>
      <c r="AY417" s="1267"/>
      <c r="AZ417" s="1267"/>
      <c r="BA417" s="1267"/>
      <c r="BB417" s="1267"/>
      <c r="BC417" s="1267"/>
      <c r="BD417" s="770"/>
      <c r="BE417" s="770"/>
      <c r="BF417" s="770"/>
      <c r="BG417" s="770"/>
      <c r="BH417" s="770"/>
      <c r="BI417" s="770"/>
      <c r="BJ417" s="770"/>
      <c r="BK417" s="770"/>
      <c r="BL417" s="770"/>
      <c r="BM417" s="770"/>
      <c r="BN417" s="1268"/>
      <c r="BO417" s="1268"/>
      <c r="BP417" s="1268"/>
      <c r="BQ417" s="1297"/>
      <c r="BR417" s="1297"/>
      <c r="BS417" s="1072" t="s">
        <v>2392</v>
      </c>
      <c r="BT417" s="1072"/>
      <c r="BU417" s="1072"/>
      <c r="BV417" s="987"/>
      <c r="BW417" s="987"/>
    </row>
    <row s="1656" customFormat="1" customHeight="1" ht="14.25" hidden="1">
      <c r="A418" s="1297"/>
      <c r="B418" s="867" cm="1" t="str">
        <f t="array" ref="B418:B418">B417</f>
        <v>false</v>
      </c>
      <c r="C418" s="103"/>
      <c r="D418" s="103"/>
      <c r="E418" s="626">
        <v>15</v>
      </c>
      <c r="F418" s="50" cm="1" t="str">
        <f t="array" ref="F418:F418">OFFSET(E418,-1,1)</f>
        <v>2</v>
      </c>
      <c r="G418" s="103"/>
      <c r="H418" s="103"/>
      <c r="I418" s="103"/>
      <c r="J418" s="103"/>
      <c r="K418" s="103" t="s">
        <v>1124</v>
      </c>
      <c r="L418" s="988"/>
      <c r="M418" s="103"/>
      <c r="N418" s="103"/>
      <c r="O418" s="103"/>
      <c r="P418" s="103"/>
      <c r="Q418" s="103"/>
      <c r="R418" s="103"/>
      <c r="S418" s="103"/>
      <c r="T418" s="867" cm="1" t="str">
        <f t="array" ref="T418:T418">T417</f>
        <v>true</v>
      </c>
      <c r="U418" s="103"/>
      <c r="V418" s="103"/>
      <c r="W418" s="103"/>
      <c r="X418" s="1559"/>
      <c r="Y418" s="1297"/>
      <c r="Z418" s="1529"/>
      <c r="AA418" s="1297"/>
      <c r="AB418" s="804" t="s">
        <v>1125</v>
      </c>
      <c r="AC418" s="803" t="s">
        <v>2393</v>
      </c>
      <c r="AD418" s="804" t="s">
        <v>936</v>
      </c>
      <c r="AE418" s="1267"/>
      <c r="AF418" s="1267"/>
      <c r="AG418" s="1267"/>
      <c r="AH418" s="770"/>
      <c r="AI418" s="1267"/>
      <c r="AJ418" s="1267"/>
      <c r="AK418" s="1267"/>
      <c r="AL418" s="1267"/>
      <c r="AM418" s="1267"/>
      <c r="AN418" s="1267"/>
      <c r="AO418" s="1267"/>
      <c r="AP418" s="1267"/>
      <c r="AQ418" s="1267"/>
      <c r="AR418" s="1267"/>
      <c r="AS418" s="1267"/>
      <c r="AT418" s="1267"/>
      <c r="AU418" s="1267"/>
      <c r="AV418" s="1267"/>
      <c r="AW418" s="1267"/>
      <c r="AX418" s="1267"/>
      <c r="AY418" s="1267"/>
      <c r="AZ418" s="1267"/>
      <c r="BA418" s="1267"/>
      <c r="BB418" s="1267"/>
      <c r="BC418" s="1267"/>
      <c r="BD418" s="770"/>
      <c r="BE418" s="770"/>
      <c r="BF418" s="770"/>
      <c r="BG418" s="770"/>
      <c r="BH418" s="770"/>
      <c r="BI418" s="770"/>
      <c r="BJ418" s="770"/>
      <c r="BK418" s="770"/>
      <c r="BL418" s="770"/>
      <c r="BM418" s="770"/>
      <c r="BN418" s="1268"/>
      <c r="BO418" s="1268"/>
      <c r="BP418" s="1268"/>
      <c r="BQ418" s="1297"/>
      <c r="BR418" s="1297"/>
      <c r="BS418" s="1072" t="s">
        <v>2394</v>
      </c>
      <c r="BT418" s="1072"/>
      <c r="BU418" s="1072"/>
      <c r="BV418" s="987"/>
      <c r="BW418" s="987"/>
    </row>
    <row s="1656" customFormat="1" customHeight="1" ht="14.25" hidden="1">
      <c r="A419" s="1297"/>
      <c r="B419" s="867" cm="1" t="str">
        <f t="array" ref="B419:B419">B418</f>
        <v>false</v>
      </c>
      <c r="C419" s="103"/>
      <c r="D419" s="103"/>
      <c r="E419" s="626">
        <v>15</v>
      </c>
      <c r="F419" s="50" cm="1" t="str">
        <f t="array" ref="F419:F419">OFFSET(E419,-1,1)</f>
        <v>2</v>
      </c>
      <c r="G419" s="103"/>
      <c r="H419" s="103"/>
      <c r="I419" s="103"/>
      <c r="J419" s="103"/>
      <c r="K419" s="103" t="s">
        <v>2395</v>
      </c>
      <c r="L419" s="988"/>
      <c r="M419" s="103"/>
      <c r="N419" s="103"/>
      <c r="O419" s="103"/>
      <c r="P419" s="103"/>
      <c r="Q419" s="103"/>
      <c r="R419" s="103"/>
      <c r="S419" s="103"/>
      <c r="T419" s="867" cm="1" t="str">
        <f t="array" ref="T419:T419">T418</f>
        <v>true</v>
      </c>
      <c r="U419" s="103"/>
      <c r="V419" s="103"/>
      <c r="W419" s="103"/>
      <c r="X419" s="1559"/>
      <c r="Y419" s="1297"/>
      <c r="Z419" s="1529"/>
      <c r="AA419" s="1297"/>
      <c r="AB419" s="804" t="s">
        <v>2396</v>
      </c>
      <c r="AC419" s="805" t="s">
        <v>2397</v>
      </c>
      <c r="AD419" s="804" t="s">
        <v>561</v>
      </c>
      <c r="AE419" s="1267"/>
      <c r="AF419" s="1267"/>
      <c r="AG419" s="1267"/>
      <c r="AH419" s="770"/>
      <c r="AI419" s="1267"/>
      <c r="AJ419" s="1267"/>
      <c r="AK419" s="1267"/>
      <c r="AL419" s="1267"/>
      <c r="AM419" s="1267"/>
      <c r="AN419" s="1267"/>
      <c r="AO419" s="1267"/>
      <c r="AP419" s="1267"/>
      <c r="AQ419" s="1267"/>
      <c r="AR419" s="1267"/>
      <c r="AS419" s="1267"/>
      <c r="AT419" s="1267"/>
      <c r="AU419" s="1267"/>
      <c r="AV419" s="1267"/>
      <c r="AW419" s="1267"/>
      <c r="AX419" s="1267"/>
      <c r="AY419" s="1267"/>
      <c r="AZ419" s="1267"/>
      <c r="BA419" s="1267"/>
      <c r="BB419" s="1267"/>
      <c r="BC419" s="1267"/>
      <c r="BD419" s="770"/>
      <c r="BE419" s="770"/>
      <c r="BF419" s="770"/>
      <c r="BG419" s="770"/>
      <c r="BH419" s="770"/>
      <c r="BI419" s="770"/>
      <c r="BJ419" s="770"/>
      <c r="BK419" s="770"/>
      <c r="BL419" s="770"/>
      <c r="BM419" s="770"/>
      <c r="BN419" s="1268"/>
      <c r="BO419" s="1268"/>
      <c r="BP419" s="1268"/>
      <c r="BQ419" s="1297"/>
      <c r="BR419" s="1297"/>
      <c r="BS419" s="1072" t="s">
        <v>2398</v>
      </c>
      <c r="BT419" s="1072"/>
      <c r="BU419" s="1072"/>
      <c r="BV419" s="987"/>
      <c r="BW419" s="987"/>
    </row>
    <row s="1656" customFormat="1" customHeight="1" ht="14.25" hidden="1">
      <c r="A420" s="1297"/>
      <c r="B420" s="867" cm="1" t="str">
        <f t="array" ref="B420:B420">B419</f>
        <v>false</v>
      </c>
      <c r="C420" s="103"/>
      <c r="D420" s="103"/>
      <c r="E420" s="626">
        <v>15</v>
      </c>
      <c r="F420" s="50" cm="1" t="str">
        <f t="array" ref="F420:F420">OFFSET(E420,-1,1)</f>
        <v>2</v>
      </c>
      <c r="G420" s="103"/>
      <c r="H420" s="103"/>
      <c r="I420" s="103"/>
      <c r="J420" s="103"/>
      <c r="K420" s="103" t="s">
        <v>1127</v>
      </c>
      <c r="L420" s="988"/>
      <c r="M420" s="103"/>
      <c r="N420" s="103"/>
      <c r="O420" s="103"/>
      <c r="P420" s="103"/>
      <c r="Q420" s="103"/>
      <c r="R420" s="103"/>
      <c r="S420" s="103"/>
      <c r="T420" s="867" cm="1" t="str">
        <f t="array" ref="T420:T420">T419</f>
        <v>true</v>
      </c>
      <c r="U420" s="103"/>
      <c r="V420" s="103"/>
      <c r="W420" s="103"/>
      <c r="X420" s="1559"/>
      <c r="Y420" s="1297"/>
      <c r="Z420" s="1529"/>
      <c r="AA420" s="1297"/>
      <c r="AB420" s="804" t="s">
        <v>1128</v>
      </c>
      <c r="AC420" s="803" t="s">
        <v>2399</v>
      </c>
      <c r="AD420" s="804" t="s">
        <v>561</v>
      </c>
      <c r="AE420" s="1267"/>
      <c r="AF420" s="1267"/>
      <c r="AG420" s="1267"/>
      <c r="AH420" s="770"/>
      <c r="AI420" s="1267"/>
      <c r="AJ420" s="1267"/>
      <c r="AK420" s="1267"/>
      <c r="AL420" s="1267"/>
      <c r="AM420" s="1267"/>
      <c r="AN420" s="1267"/>
      <c r="AO420" s="1267"/>
      <c r="AP420" s="1267"/>
      <c r="AQ420" s="1267"/>
      <c r="AR420" s="1267"/>
      <c r="AS420" s="1267"/>
      <c r="AT420" s="1267"/>
      <c r="AU420" s="1267"/>
      <c r="AV420" s="1267"/>
      <c r="AW420" s="1267"/>
      <c r="AX420" s="1267"/>
      <c r="AY420" s="1267"/>
      <c r="AZ420" s="1267"/>
      <c r="BA420" s="1267"/>
      <c r="BB420" s="1267"/>
      <c r="BC420" s="1267"/>
      <c r="BD420" s="770"/>
      <c r="BE420" s="770"/>
      <c r="BF420" s="770"/>
      <c r="BG420" s="770"/>
      <c r="BH420" s="770"/>
      <c r="BI420" s="770"/>
      <c r="BJ420" s="770"/>
      <c r="BK420" s="770"/>
      <c r="BL420" s="770"/>
      <c r="BM420" s="770"/>
      <c r="BN420" s="1268"/>
      <c r="BO420" s="1268"/>
      <c r="BP420" s="1268"/>
      <c r="BQ420" s="1297"/>
      <c r="BR420" s="1297"/>
      <c r="BS420" s="1072" t="s">
        <v>2400</v>
      </c>
      <c r="BT420" s="1072"/>
      <c r="BU420" s="1072"/>
      <c r="BV420" s="987"/>
      <c r="BW420" s="987"/>
    </row>
    <row s="1656" customFormat="1" customHeight="1" ht="14.25" hidden="1">
      <c r="A421" s="1297"/>
      <c r="B421" s="867" cm="1" t="str">
        <f t="array" ref="B421:B421">B420</f>
        <v>false</v>
      </c>
      <c r="C421" s="103"/>
      <c r="D421" s="103"/>
      <c r="E421" s="626">
        <v>15</v>
      </c>
      <c r="F421" s="50" cm="1" t="str">
        <f t="array" ref="F421:F421">OFFSET(E421,-1,1)</f>
        <v>2</v>
      </c>
      <c r="G421" s="103"/>
      <c r="H421" s="103"/>
      <c r="I421" s="103"/>
      <c r="J421" s="103"/>
      <c r="K421" s="103" t="s">
        <v>2401</v>
      </c>
      <c r="L421" s="988"/>
      <c r="M421" s="103"/>
      <c r="N421" s="103"/>
      <c r="O421" s="103"/>
      <c r="P421" s="103"/>
      <c r="Q421" s="103"/>
      <c r="R421" s="103"/>
      <c r="S421" s="103"/>
      <c r="T421" s="867" cm="1" t="str">
        <f t="array" ref="T421:T421">T420</f>
        <v>true</v>
      </c>
      <c r="U421" s="103"/>
      <c r="V421" s="103"/>
      <c r="W421" s="103"/>
      <c r="X421" s="1559"/>
      <c r="Y421" s="1297"/>
      <c r="Z421" s="1529"/>
      <c r="AA421" s="1297"/>
      <c r="AB421" s="804" t="s">
        <v>2402</v>
      </c>
      <c r="AC421" s="805" t="s">
        <v>2403</v>
      </c>
      <c r="AD421" s="804" t="s">
        <v>561</v>
      </c>
      <c r="AE421" s="1267"/>
      <c r="AF421" s="1267"/>
      <c r="AG421" s="1267"/>
      <c r="AH421" s="770"/>
      <c r="AI421" s="1267"/>
      <c r="AJ421" s="1267"/>
      <c r="AK421" s="1267"/>
      <c r="AL421" s="1267"/>
      <c r="AM421" s="1267"/>
      <c r="AN421" s="1267"/>
      <c r="AO421" s="1267"/>
      <c r="AP421" s="1267"/>
      <c r="AQ421" s="1267"/>
      <c r="AR421" s="1267"/>
      <c r="AS421" s="1267"/>
      <c r="AT421" s="1267"/>
      <c r="AU421" s="1267"/>
      <c r="AV421" s="1267"/>
      <c r="AW421" s="1267"/>
      <c r="AX421" s="1267"/>
      <c r="AY421" s="1267"/>
      <c r="AZ421" s="1267"/>
      <c r="BA421" s="1267"/>
      <c r="BB421" s="1267"/>
      <c r="BC421" s="1267"/>
      <c r="BD421" s="770"/>
      <c r="BE421" s="770"/>
      <c r="BF421" s="770"/>
      <c r="BG421" s="770"/>
      <c r="BH421" s="770"/>
      <c r="BI421" s="770"/>
      <c r="BJ421" s="770"/>
      <c r="BK421" s="770"/>
      <c r="BL421" s="770"/>
      <c r="BM421" s="770"/>
      <c r="BN421" s="1268"/>
      <c r="BO421" s="1268"/>
      <c r="BP421" s="1268"/>
      <c r="BQ421" s="1297"/>
      <c r="BR421" s="1297"/>
      <c r="BS421" s="1072" t="s">
        <v>2404</v>
      </c>
      <c r="BT421" s="1072"/>
      <c r="BU421" s="1072"/>
      <c r="BV421" s="987"/>
      <c r="BW421" s="987"/>
    </row>
    <row s="1656" customFormat="1" customHeight="1" ht="14.25" hidden="1">
      <c r="A422" s="1297"/>
      <c r="B422" s="867" cm="1" t="str">
        <f t="array" ref="B422:B422">B421</f>
        <v>false</v>
      </c>
      <c r="C422" s="103"/>
      <c r="D422" s="103"/>
      <c r="E422" s="626">
        <v>15</v>
      </c>
      <c r="F422" s="50" cm="1" t="str">
        <f t="array" ref="F422:F422">OFFSET(E422,-1,1)</f>
        <v>2</v>
      </c>
      <c r="G422" s="103"/>
      <c r="H422" s="103"/>
      <c r="I422" s="103"/>
      <c r="J422" s="103"/>
      <c r="K422" s="103" t="s">
        <v>2405</v>
      </c>
      <c r="L422" s="988"/>
      <c r="M422" s="103"/>
      <c r="N422" s="103"/>
      <c r="O422" s="103"/>
      <c r="P422" s="103"/>
      <c r="Q422" s="103"/>
      <c r="R422" s="103"/>
      <c r="S422" s="103"/>
      <c r="T422" s="867" cm="1" t="str">
        <f t="array" ref="T422:T422">T421</f>
        <v>true</v>
      </c>
      <c r="U422" s="103"/>
      <c r="V422" s="103"/>
      <c r="W422" s="103"/>
      <c r="X422" s="1559"/>
      <c r="Y422" s="1297"/>
      <c r="Z422" s="1529"/>
      <c r="AA422" s="1297"/>
      <c r="AB422" s="804" t="s">
        <v>2406</v>
      </c>
      <c r="AC422" s="805" t="s">
        <v>2407</v>
      </c>
      <c r="AD422" s="804" t="s">
        <v>561</v>
      </c>
      <c r="AE422" s="1267"/>
      <c r="AF422" s="1267"/>
      <c r="AG422" s="1267"/>
      <c r="AH422" s="770"/>
      <c r="AI422" s="1267"/>
      <c r="AJ422" s="1267"/>
      <c r="AK422" s="1267"/>
      <c r="AL422" s="1267"/>
      <c r="AM422" s="1267"/>
      <c r="AN422" s="1267"/>
      <c r="AO422" s="1267"/>
      <c r="AP422" s="1267"/>
      <c r="AQ422" s="1267"/>
      <c r="AR422" s="1267"/>
      <c r="AS422" s="1267"/>
      <c r="AT422" s="1267"/>
      <c r="AU422" s="1267"/>
      <c r="AV422" s="1267"/>
      <c r="AW422" s="1267"/>
      <c r="AX422" s="1267"/>
      <c r="AY422" s="1267"/>
      <c r="AZ422" s="1267"/>
      <c r="BA422" s="1267"/>
      <c r="BB422" s="1267"/>
      <c r="BC422" s="1267"/>
      <c r="BD422" s="770"/>
      <c r="BE422" s="770"/>
      <c r="BF422" s="770"/>
      <c r="BG422" s="770"/>
      <c r="BH422" s="770"/>
      <c r="BI422" s="770"/>
      <c r="BJ422" s="770"/>
      <c r="BK422" s="770"/>
      <c r="BL422" s="770"/>
      <c r="BM422" s="770"/>
      <c r="BN422" s="1268"/>
      <c r="BO422" s="1268"/>
      <c r="BP422" s="1268"/>
      <c r="BQ422" s="1297"/>
      <c r="BR422" s="1297"/>
      <c r="BS422" s="1072" t="s">
        <v>2408</v>
      </c>
      <c r="BT422" s="1072"/>
      <c r="BU422" s="1072"/>
      <c r="BV422" s="987"/>
      <c r="BW422" s="987"/>
    </row>
    <row s="6412" customFormat="1" customHeight="1" ht="191.25">
      <c r="A423" s="706"/>
      <c r="B423" s="437"/>
      <c r="C423" s="105"/>
      <c r="D423" s="105" t="str">
        <f>IF(B422,"6","7")</f>
        <v>7</v>
      </c>
      <c r="E423" s="833">
        <v>21</v>
      </c>
      <c r="F423" s="50" cm="1" t="str">
        <f t="array" ref="F423:F423">OFFSET(E423,-1,1)</f>
        <v>2</v>
      </c>
      <c r="G423" s="103" t="s">
        <v>2409</v>
      </c>
      <c r="H423" s="103"/>
      <c r="I423" s="380" t="s">
        <v>2410</v>
      </c>
      <c r="J423" s="105"/>
      <c r="K423" s="376" t="s">
        <v>2410</v>
      </c>
      <c r="L423" s="993"/>
      <c r="M423" s="105"/>
      <c r="N423" s="105"/>
      <c r="O423" s="105"/>
      <c r="P423" s="105"/>
      <c r="Q423" s="105"/>
      <c r="R423" s="105"/>
      <c r="S423" s="105"/>
      <c r="T423" s="468" cm="1" t="str">
        <f t="array" ref="T423:T423">T422</f>
        <v>true</v>
      </c>
      <c r="U423" s="105"/>
      <c r="V423" s="105"/>
      <c r="W423" s="105"/>
      <c r="X423" s="1559"/>
      <c r="Y423" s="706"/>
      <c r="Z423" s="1529"/>
      <c r="AA423" s="706"/>
      <c r="AB423" s="207" cm="1" t="str">
        <f t="array" ref="AB423:AB423">D423</f>
        <v>7</v>
      </c>
      <c r="AC423" s="215" t="s">
        <v>1815</v>
      </c>
      <c r="AD423" s="207" t="s">
        <v>936</v>
      </c>
      <c r="AE423" s="6350">
        <v>-3075.5023102667</v>
      </c>
      <c r="AF423" s="6350"/>
      <c r="AG423" s="6350"/>
      <c r="AH423" s="785">
        <f>AG423-AF423</f>
        <v>0</v>
      </c>
      <c r="AI423" s="6350">
        <v>11685.90708</v>
      </c>
      <c r="AJ423" s="6351">
        <f>_xlfn.SUMIFS('Корректировка НВВ'!$AF$25:$AF$231,'Корректировка НВВ'!$F$25:$F$231,$F423,'Корректировка НВВ'!$I$25:$I$231,$G423)</f>
        <v>20706.86</v>
      </c>
      <c r="AK423" s="1256"/>
      <c r="AL423" s="1256"/>
      <c r="AM423" s="1256"/>
      <c r="AN423" s="1256"/>
      <c r="AO423" s="1256"/>
      <c r="AP423" s="1256"/>
      <c r="AQ423" s="1256"/>
      <c r="AR423" s="1256"/>
      <c r="AS423" s="1256"/>
      <c r="AT423" s="6351">
        <f>_xlfn.SUMIFS('Корректировка НВВ'!$AG$25:$AG$231,'Корректировка НВВ'!$F$25:$F$231,$F423,'Корректировка НВВ'!$I$25:$I$231,$G423)</f>
        <v>21603.54</v>
      </c>
      <c r="AU423" s="1256"/>
      <c r="AV423" s="1256"/>
      <c r="AW423" s="1256"/>
      <c r="AX423" s="1256"/>
      <c r="AY423" s="1256"/>
      <c r="AZ423" s="1256"/>
      <c r="BA423" s="1256"/>
      <c r="BB423" s="1256"/>
      <c r="BC423" s="1256"/>
      <c r="BD423" s="785">
        <f>IF(AI423=0,0,(AT423-AI423)/AI423*100)</f>
        <v>84.8683191822881</v>
      </c>
      <c r="BE423" s="785">
        <f>IF(AT423=0,0,(AU423-AT423)/AT423*100)</f>
        <v>-100</v>
      </c>
      <c r="BF423" s="785">
        <f>IF(AU423=0,0,(AV423-AU423)/AU423*100)</f>
        <v>0</v>
      </c>
      <c r="BG423" s="785">
        <f>IF(AV423=0,0,(AW423-AV423)/AV423*100)</f>
        <v>0</v>
      </c>
      <c r="BH423" s="785">
        <f>IF(AW423=0,0,(AX423-AW423)/AW423*100)</f>
        <v>0</v>
      </c>
      <c r="BI423" s="785">
        <f>IF(AX423=0,0,(AY423-AX423)/AX423*100)</f>
        <v>0</v>
      </c>
      <c r="BJ423" s="785">
        <f>IF(AY423=0,0,(AZ423-AY423)/AY423*100)</f>
        <v>0</v>
      </c>
      <c r="BK423" s="785">
        <f>IF(AZ423=0,0,(BA423-AZ423)/AZ423*100)</f>
        <v>0</v>
      </c>
      <c r="BL423" s="785">
        <f>IF(BA423=0,0,(BB423-BA423)/BA423*100)</f>
        <v>0</v>
      </c>
      <c r="BM423" s="785">
        <f>IF(BB423=0,0,(BC423-BB423)/BB423*100)</f>
        <v>0</v>
      </c>
      <c r="BN423" s="6292"/>
      <c r="BO423" s="6294" t="s">
        <v>2452</v>
      </c>
      <c r="BP423" s="6292" t="s">
        <v>2464</v>
      </c>
      <c r="BQ423" s="706"/>
      <c r="BR423" s="706"/>
      <c r="BS423" s="1078" t="s">
        <v>2411</v>
      </c>
      <c r="BT423" s="1078"/>
      <c r="BU423" s="1078"/>
      <c r="BV423" s="713"/>
      <c r="BW423" s="713"/>
    </row>
    <row s="1656" customFormat="1" customHeight="1" ht="14.25">
      <c r="A424" s="1297"/>
      <c r="B424" s="986"/>
      <c r="C424" s="103"/>
      <c r="D424" s="103" cm="1" t="str">
        <f t="array" ref="D424:D424">D423</f>
        <v>7</v>
      </c>
      <c r="E424" s="626">
        <v>15</v>
      </c>
      <c r="F424" s="50" cm="1" t="str">
        <f t="array" ref="F424:F424">OFFSET(E424,-1,1)</f>
        <v>2</v>
      </c>
      <c r="G424" s="103"/>
      <c r="H424" s="103"/>
      <c r="I424" s="103"/>
      <c r="J424" s="103"/>
      <c r="K424" s="1297"/>
      <c r="L424" s="988"/>
      <c r="M424" s="103"/>
      <c r="N424" s="103"/>
      <c r="O424" s="103"/>
      <c r="P424" s="103"/>
      <c r="Q424" s="103"/>
      <c r="R424" s="103"/>
      <c r="S424" s="103"/>
      <c r="T424" s="468" cm="1" t="str">
        <f t="array" ref="T424:T424">T423</f>
        <v>true</v>
      </c>
      <c r="U424" s="103"/>
      <c r="V424" s="103"/>
      <c r="W424" s="103"/>
      <c r="X424" s="1559"/>
      <c r="Y424" s="1297"/>
      <c r="Z424" s="1529"/>
      <c r="AA424" s="1297"/>
      <c r="AB424" s="296"/>
      <c r="AC424" s="454" t="s">
        <v>2412</v>
      </c>
      <c r="AD424" s="296"/>
      <c r="AE424" s="1124"/>
      <c r="AF424" s="1124"/>
      <c r="AG424" s="1124"/>
      <c r="AH424" s="1124"/>
      <c r="AI424" s="1124"/>
      <c r="AJ424" s="1124"/>
      <c r="AK424" s="1124"/>
      <c r="AL424" s="1124"/>
      <c r="AM424" s="1124"/>
      <c r="AN424" s="1124"/>
      <c r="AO424" s="1124"/>
      <c r="AP424" s="1124"/>
      <c r="AQ424" s="1124"/>
      <c r="AR424" s="1124"/>
      <c r="AS424" s="1124"/>
      <c r="AT424" s="1124"/>
      <c r="AU424" s="1124"/>
      <c r="AV424" s="1124"/>
      <c r="AW424" s="1124"/>
      <c r="AX424" s="1124"/>
      <c r="AY424" s="1124"/>
      <c r="AZ424" s="1124"/>
      <c r="BA424" s="1124"/>
      <c r="BB424" s="1124"/>
      <c r="BC424" s="1124"/>
      <c r="BD424" s="1124"/>
      <c r="BE424" s="1124"/>
      <c r="BF424" s="1124"/>
      <c r="BG424" s="1124"/>
      <c r="BH424" s="1124"/>
      <c r="BI424" s="1124"/>
      <c r="BJ424" s="1124"/>
      <c r="BK424" s="1124"/>
      <c r="BL424" s="1124"/>
      <c r="BM424" s="1124"/>
      <c r="BN424" s="1126"/>
      <c r="BO424" s="1126"/>
      <c r="BP424" s="1126"/>
      <c r="BQ424" s="1297"/>
      <c r="BR424" s="1297"/>
      <c r="BS424" s="1072"/>
      <c r="BT424" s="1072"/>
      <c r="BU424" s="1072"/>
      <c r="BV424" s="987"/>
      <c r="BW424" s="987"/>
    </row>
    <row s="1656" customFormat="1" customHeight="1" ht="23.25">
      <c r="A425" s="1297"/>
      <c r="B425" s="986"/>
      <c r="C425" s="103"/>
      <c r="D425" s="103" cm="1" t="str">
        <f t="array" ref="D425:D425">D424</f>
        <v>7</v>
      </c>
      <c r="E425" s="626">
        <v>22.5</v>
      </c>
      <c r="F425" s="50" cm="1" t="str">
        <f t="array" ref="F425:F425">OFFSET(E425,-1,1)</f>
        <v>2</v>
      </c>
      <c r="G425" s="103" t="s">
        <v>386</v>
      </c>
      <c r="H425" s="103"/>
      <c r="I425" s="103" t="s">
        <v>619</v>
      </c>
      <c r="J425" s="103"/>
      <c r="K425" s="154" t="s">
        <v>619</v>
      </c>
      <c r="L425" s="988"/>
      <c r="M425" s="103"/>
      <c r="N425" s="103"/>
      <c r="O425" s="103"/>
      <c r="P425" s="103"/>
      <c r="Q425" s="103"/>
      <c r="R425" s="103"/>
      <c r="S425" s="103"/>
      <c r="T425" s="468" cm="1" t="str">
        <f t="array" ref="T425:T425">T424</f>
        <v>true</v>
      </c>
      <c r="U425" s="103"/>
      <c r="V425" s="103"/>
      <c r="W425" s="103"/>
      <c r="X425" s="1559"/>
      <c r="Y425" s="1297"/>
      <c r="Z425" s="1529"/>
      <c r="AA425" s="1297"/>
      <c r="AB425" s="296" t="str">
        <f>D425&amp;".1"</f>
        <v>7.1</v>
      </c>
      <c r="AC425" s="769" t="s">
        <v>2413</v>
      </c>
      <c r="AD425" s="296" t="s">
        <v>936</v>
      </c>
      <c r="AE425" s="6293">
        <v>0</v>
      </c>
      <c r="AF425" s="6293"/>
      <c r="AG425" s="6293"/>
      <c r="AH425" s="1123">
        <f>AG425-AF425</f>
        <v>0</v>
      </c>
      <c r="AI425" s="6293">
        <v>0</v>
      </c>
      <c r="AJ425" s="6293">
        <f>_xlfn.SUMIFS('Корректировка НВВ'!$AF$25:$AF$231,'Корректировка НВВ'!$F$25:$F$231,$F425,'Корректировка НВВ'!$I$25:$I$231,$G425)</f>
        <v>0</v>
      </c>
      <c r="AK425" s="1260"/>
      <c r="AL425" s="1260"/>
      <c r="AM425" s="1260"/>
      <c r="AN425" s="1260"/>
      <c r="AO425" s="1260"/>
      <c r="AP425" s="1260"/>
      <c r="AQ425" s="1260"/>
      <c r="AR425" s="1260"/>
      <c r="AS425" s="1260"/>
      <c r="AT425" s="6293">
        <f>_xlfn.SUMIFS('Корректировка НВВ'!$AG$25:$AG$231,'Корректировка НВВ'!$F$25:$F$231,$F425,'Корректировка НВВ'!$I$25:$I$231,$G425)</f>
        <v>0</v>
      </c>
      <c r="AU425" s="1260"/>
      <c r="AV425" s="1260"/>
      <c r="AW425" s="1260"/>
      <c r="AX425" s="1260"/>
      <c r="AY425" s="1260"/>
      <c r="AZ425" s="1260"/>
      <c r="BA425" s="1260"/>
      <c r="BB425" s="1260"/>
      <c r="BC425" s="1260"/>
      <c r="BD425" s="1124"/>
      <c r="BE425" s="1124"/>
      <c r="BF425" s="1124"/>
      <c r="BG425" s="1124"/>
      <c r="BH425" s="1124"/>
      <c r="BI425" s="1124"/>
      <c r="BJ425" s="1124"/>
      <c r="BK425" s="1124"/>
      <c r="BL425" s="1124"/>
      <c r="BM425" s="1124"/>
      <c r="BN425" s="6290"/>
      <c r="BO425" s="6294" t="str">
        <f>IF(_xlfn.IFERROR(INDEX('Корректировка НВВ'!$K$26:$L$231,MATCH($F425&amp;"1komm",'Корректировка НВВ'!$K$26:$K$231,0),2),"")=0,"",_xlfn.IFERROR(INDEX('Корректировка НВВ'!$K$26:$L$231,MATCH($F425&amp;"1komm",'Корректировка НВВ'!$K$26:$K$231,0),2),""))</f>
        <v/>
      </c>
      <c r="BP425" s="6290"/>
      <c r="BQ425" s="1297"/>
      <c r="BR425" s="1297"/>
      <c r="BS425" s="1072" t="s">
        <v>2414</v>
      </c>
      <c r="BT425" s="1072"/>
      <c r="BU425" s="1072"/>
      <c r="BV425" s="987"/>
      <c r="BW425" s="987"/>
    </row>
    <row s="1656" customFormat="1" customHeight="1" ht="98.71875">
      <c r="A426" s="1297"/>
      <c r="B426" s="986"/>
      <c r="C426" s="103"/>
      <c r="D426" s="103" cm="1" t="str">
        <f t="array" ref="D426:D426">D425</f>
        <v>7</v>
      </c>
      <c r="E426" s="626">
        <v>101.25</v>
      </c>
      <c r="F426" s="50" cm="1" t="str">
        <f t="array" ref="F426:F426">OFFSET(E426,-1,1)</f>
        <v>2</v>
      </c>
      <c r="G426" s="103" t="s">
        <v>2415</v>
      </c>
      <c r="H426" s="103"/>
      <c r="I426" s="103" t="s">
        <v>685</v>
      </c>
      <c r="J426" s="103"/>
      <c r="K426" s="154" t="s">
        <v>685</v>
      </c>
      <c r="L426" s="988"/>
      <c r="M426" s="103"/>
      <c r="N426" s="103"/>
      <c r="O426" s="103"/>
      <c r="P426" s="103"/>
      <c r="Q426" s="103"/>
      <c r="R426" s="103"/>
      <c r="S426" s="103"/>
      <c r="T426" s="468" cm="1" t="str">
        <f t="array" ref="T426:T426">T425</f>
        <v>true</v>
      </c>
      <c r="U426" s="103"/>
      <c r="V426" s="103"/>
      <c r="W426" s="103"/>
      <c r="X426" s="1559"/>
      <c r="Y426" s="1297"/>
      <c r="Z426" s="1529"/>
      <c r="AA426" s="1297"/>
      <c r="AB426" s="296" t="str">
        <f>D426&amp;".2"</f>
        <v>7.2</v>
      </c>
      <c r="AC426" s="769" t="s">
        <v>2416</v>
      </c>
      <c r="AD426" s="296" t="s">
        <v>936</v>
      </c>
      <c r="AE426" s="6293">
        <v>0</v>
      </c>
      <c r="AF426" s="6293"/>
      <c r="AG426" s="6293"/>
      <c r="AH426" s="1123">
        <f>AG426-AF426</f>
        <v>0</v>
      </c>
      <c r="AI426" s="6293">
        <v>0</v>
      </c>
      <c r="AJ426" s="6293">
        <f>_xlfn.SUMIFS('Корректировка НВВ'!$AF$25:$AF$231,'Корректировка НВВ'!$F$25:$F$231,$F426,'Корректировка НВВ'!$I$25:$I$231,$G426)</f>
        <v>0</v>
      </c>
      <c r="AK426" s="1260"/>
      <c r="AL426" s="1260"/>
      <c r="AM426" s="1260"/>
      <c r="AN426" s="1260"/>
      <c r="AO426" s="1260"/>
      <c r="AP426" s="1260"/>
      <c r="AQ426" s="1260"/>
      <c r="AR426" s="1260"/>
      <c r="AS426" s="1260"/>
      <c r="AT426" s="6293">
        <f>_xlfn.SUMIFS('Корректировка НВВ'!$AG$25:$AG$231,'Корректировка НВВ'!$F$25:$F$231,$F426,'Корректировка НВВ'!$I$25:$I$231,$G426)</f>
        <v>0</v>
      </c>
      <c r="AU426" s="1260"/>
      <c r="AV426" s="1260"/>
      <c r="AW426" s="1260"/>
      <c r="AX426" s="1260"/>
      <c r="AY426" s="1260"/>
      <c r="AZ426" s="1260"/>
      <c r="BA426" s="1260"/>
      <c r="BB426" s="1260"/>
      <c r="BC426" s="1260"/>
      <c r="BD426" s="1124"/>
      <c r="BE426" s="1124"/>
      <c r="BF426" s="1124"/>
      <c r="BG426" s="1124"/>
      <c r="BH426" s="1124"/>
      <c r="BI426" s="1124"/>
      <c r="BJ426" s="1124"/>
      <c r="BK426" s="1124"/>
      <c r="BL426" s="1124"/>
      <c r="BM426" s="1124"/>
      <c r="BN426" s="6290"/>
      <c r="BO426" s="6294" t="str">
        <f>IF(_xlfn.IFERROR(INDEX('Корректировка НВВ'!$K$26:$L$231,MATCH($F426&amp;"2komm",'Корректировка НВВ'!$K$26:$K$231,0),2),"")=0,"",_xlfn.IFERROR(INDEX('Корректировка НВВ'!$K$26:$L$231,MATCH($F426&amp;"2komm",'Корректировка НВВ'!$K$26:$K$231,0),2),""))</f>
        <v/>
      </c>
      <c r="BP426" s="6290"/>
      <c r="BQ426" s="1297"/>
      <c r="BR426" s="1297"/>
      <c r="BS426" s="1072" t="s">
        <v>2417</v>
      </c>
      <c r="BT426" s="1072"/>
      <c r="BU426" s="1072"/>
      <c r="BV426" s="987"/>
      <c r="BW426" s="987"/>
    </row>
    <row s="1656" customFormat="1" customHeight="1" ht="43.875">
      <c r="A427" s="1297"/>
      <c r="B427" s="986"/>
      <c r="C427" s="103"/>
      <c r="D427" s="103" cm="1" t="str">
        <f t="array" ref="D427:D427">D426</f>
        <v>7</v>
      </c>
      <c r="E427" s="626">
        <v>45</v>
      </c>
      <c r="F427" s="50" cm="1" t="str">
        <f t="array" ref="F427:F427">OFFSET(E427,-1,1)</f>
        <v>2</v>
      </c>
      <c r="G427" s="103"/>
      <c r="H427" s="103"/>
      <c r="I427" s="103" t="s">
        <v>700</v>
      </c>
      <c r="J427" s="103"/>
      <c r="K427" s="154" t="s">
        <v>700</v>
      </c>
      <c r="L427" s="988"/>
      <c r="M427" s="103"/>
      <c r="N427" s="103"/>
      <c r="O427" s="103"/>
      <c r="P427" s="103"/>
      <c r="Q427" s="103"/>
      <c r="R427" s="103"/>
      <c r="S427" s="103"/>
      <c r="T427" s="468" cm="1" t="str">
        <f t="array" ref="T427:T427">T426</f>
        <v>true</v>
      </c>
      <c r="U427" s="103"/>
      <c r="V427" s="103"/>
      <c r="W427" s="103"/>
      <c r="X427" s="1559"/>
      <c r="Y427" s="1297"/>
      <c r="Z427" s="1529"/>
      <c r="AA427" s="1297"/>
      <c r="AB427" s="296" t="str">
        <f>D427&amp;".3"</f>
        <v>7.3</v>
      </c>
      <c r="AC427" s="769" t="s">
        <v>2418</v>
      </c>
      <c r="AD427" s="296" t="s">
        <v>936</v>
      </c>
      <c r="AE427" s="6293">
        <v>0</v>
      </c>
      <c r="AF427" s="6293"/>
      <c r="AG427" s="6293"/>
      <c r="AH427" s="1123">
        <f>AG427-AF427</f>
        <v>0</v>
      </c>
      <c r="AI427" s="6293">
        <v>12279.43708</v>
      </c>
      <c r="AJ427" s="6293">
        <f>_xlfn.SUMIFS('Корректировка НВВ'!$AF$25:$AF$231,'Корректировка НВВ'!$F$25:$F$231,$F427,'Корректировка НВВ'!$I$25:$I$231,"L1")+_xlfn.SUMIFS('Корректировка НВВ'!$AF$25:$AF$231,'Корректировка НВВ'!$F$25:$F$231,$F427,'Корректировка НВВ'!$I$25:$I$231,"L2")</f>
        <v>20706.86</v>
      </c>
      <c r="AK427" s="1260"/>
      <c r="AL427" s="1260"/>
      <c r="AM427" s="1260"/>
      <c r="AN427" s="1260"/>
      <c r="AO427" s="1260"/>
      <c r="AP427" s="1260"/>
      <c r="AQ427" s="1260"/>
      <c r="AR427" s="1260"/>
      <c r="AS427" s="1260"/>
      <c r="AT427" s="6293">
        <f>_xlfn.SUMIFS('Корректировка НВВ'!$AG$25:$AG$231,'Корректировка НВВ'!$F$25:$F$231,$F427,'Корректировка НВВ'!$I$25:$I$231,"L1")+_xlfn.SUMIFS('Корректировка НВВ'!$AF$25:$AF$231,'Корректировка НВВ'!$F$25:$F$231,$F427,'Корректировка НВВ'!$I$25:$I$231,"L2")</f>
        <v>21603.54</v>
      </c>
      <c r="AU427" s="1260"/>
      <c r="AV427" s="1260"/>
      <c r="AW427" s="1260"/>
      <c r="AX427" s="1260"/>
      <c r="AY427" s="1260"/>
      <c r="AZ427" s="1260"/>
      <c r="BA427" s="1260"/>
      <c r="BB427" s="1260"/>
      <c r="BC427" s="1260"/>
      <c r="BD427" s="1124"/>
      <c r="BE427" s="1124"/>
      <c r="BF427" s="1124"/>
      <c r="BG427" s="1124"/>
      <c r="BH427" s="1124"/>
      <c r="BI427" s="1124"/>
      <c r="BJ427" s="1124"/>
      <c r="BK427" s="1124"/>
      <c r="BL427" s="1124"/>
      <c r="BM427" s="1124"/>
      <c r="BN427" s="6290"/>
      <c r="BO427" s="6294"/>
      <c r="BP427" s="6290"/>
      <c r="BQ427" s="1297"/>
      <c r="BR427" s="1297"/>
      <c r="BS427" s="1072" t="s">
        <v>2419</v>
      </c>
      <c r="BT427" s="1072"/>
      <c r="BU427" s="1072"/>
      <c r="BV427" s="987"/>
      <c r="BW427" s="987"/>
    </row>
    <row s="1656" customFormat="1" customHeight="1" ht="87.75">
      <c r="A428" s="1297"/>
      <c r="B428" s="447">
        <f>S315="Водоотведение"</f>
        <v>1</v>
      </c>
      <c r="C428" s="103"/>
      <c r="D428" s="103" cm="1" t="str">
        <f t="array" ref="D428:D428">D427</f>
        <v>7</v>
      </c>
      <c r="E428" s="626">
        <v>90</v>
      </c>
      <c r="F428" s="50" cm="1" t="str">
        <f t="array" ref="F428:F428">OFFSET(E428,-1,1)</f>
        <v>2</v>
      </c>
      <c r="G428" s="103" t="s">
        <v>2420</v>
      </c>
      <c r="H428" s="855"/>
      <c r="I428" s="103" t="s">
        <v>866</v>
      </c>
      <c r="J428" s="103"/>
      <c r="K428" s="154" t="s">
        <v>866</v>
      </c>
      <c r="L428" s="988" t="s">
        <v>864</v>
      </c>
      <c r="M428" s="103"/>
      <c r="N428" s="103"/>
      <c r="O428" s="103"/>
      <c r="P428" s="103"/>
      <c r="Q428" s="103"/>
      <c r="R428" s="103"/>
      <c r="S428" s="103"/>
      <c r="T428" s="468" cm="1" t="str">
        <f t="array" ref="T428:T428">T427</f>
        <v>true</v>
      </c>
      <c r="U428" s="103"/>
      <c r="V428" s="103"/>
      <c r="W428" s="103"/>
      <c r="X428" s="1559"/>
      <c r="Y428" s="1297"/>
      <c r="Z428" s="1529"/>
      <c r="AA428" s="1297"/>
      <c r="AB428" s="296" t="str">
        <f>D428&amp;".4"</f>
        <v>7.4</v>
      </c>
      <c r="AC428" s="769" t="s">
        <v>2090</v>
      </c>
      <c r="AD428" s="773" t="s">
        <v>936</v>
      </c>
      <c r="AE428" s="6293">
        <v>0</v>
      </c>
      <c r="AF428" s="6293"/>
      <c r="AG428" s="6293"/>
      <c r="AH428" s="1123">
        <f>AG428-AF428</f>
        <v>0</v>
      </c>
      <c r="AI428" s="6293">
        <v>0</v>
      </c>
      <c r="AJ428" s="6293">
        <f>_xlfn.SUMIFS('Корректировка НВВ'!$AF$25:$AF$231,'Корректировка НВВ'!$F$25:$F$231,$F428,'Корректировка НВВ'!$I$25:$I$231,$G428)</f>
        <v>0</v>
      </c>
      <c r="AK428" s="1260"/>
      <c r="AL428" s="1260"/>
      <c r="AM428" s="1260"/>
      <c r="AN428" s="1260"/>
      <c r="AO428" s="1260"/>
      <c r="AP428" s="1260"/>
      <c r="AQ428" s="1260"/>
      <c r="AR428" s="1260"/>
      <c r="AS428" s="1260"/>
      <c r="AT428" s="6293">
        <f>_xlfn.SUMIFS('Корректировка НВВ'!$AG$25:$AG$231,'Корректировка НВВ'!$F$25:$F$231,$F428,'Корректировка НВВ'!$I$25:$I$231,$G428)</f>
        <v>0</v>
      </c>
      <c r="AU428" s="1260"/>
      <c r="AV428" s="1260"/>
      <c r="AW428" s="1260"/>
      <c r="AX428" s="1260"/>
      <c r="AY428" s="1260"/>
      <c r="AZ428" s="1260"/>
      <c r="BA428" s="1260"/>
      <c r="BB428" s="1260"/>
      <c r="BC428" s="1260"/>
      <c r="BD428" s="1124"/>
      <c r="BE428" s="1124"/>
      <c r="BF428" s="1124"/>
      <c r="BG428" s="1124"/>
      <c r="BH428" s="1124"/>
      <c r="BI428" s="1124"/>
      <c r="BJ428" s="1124"/>
      <c r="BK428" s="1124"/>
      <c r="BL428" s="1124"/>
      <c r="BM428" s="1124"/>
      <c r="BN428" s="6290"/>
      <c r="BO428" s="6294" t="str">
        <f>IF(_xlfn.IFERROR(INDEX('Корректировка НВВ'!$K$26:$L$231,MATCH($F428&amp;"3komm",'Корректировка НВВ'!$K$26:$K$231,0),2),"")=0,"",_xlfn.IFERROR(INDEX('Корректировка НВВ'!$K$26:$L$231,MATCH($F428&amp;"3komm",'Корректировка НВВ'!$K$26:$K$231,0),2),""))</f>
        <v/>
      </c>
      <c r="BP428" s="6290"/>
      <c r="BQ428" s="1297"/>
      <c r="BR428" s="1297"/>
      <c r="BS428" s="1072" t="s">
        <v>1580</v>
      </c>
      <c r="BT428" s="1072"/>
      <c r="BU428" s="1072"/>
      <c r="BV428" s="987"/>
      <c r="BW428" s="987"/>
    </row>
    <row s="1656" customFormat="1" customHeight="1" ht="54.84375">
      <c r="A429" s="1297"/>
      <c r="B429" s="447" cm="1" t="str">
        <f t="array" ref="B429:B429">B428</f>
        <v>true</v>
      </c>
      <c r="C429" s="103"/>
      <c r="D429" s="103" cm="1" t="str">
        <f t="array" ref="D429:D429">D428</f>
        <v>7</v>
      </c>
      <c r="E429" s="626">
        <v>56.25</v>
      </c>
      <c r="F429" s="50" cm="1" t="str">
        <f t="array" ref="F429:F429">OFFSET(E429,-1,1)</f>
        <v>2</v>
      </c>
      <c r="G429" s="103" t="s">
        <v>2421</v>
      </c>
      <c r="H429" s="855"/>
      <c r="I429" s="103" t="s">
        <v>914</v>
      </c>
      <c r="J429" s="103"/>
      <c r="K429" s="154" t="s">
        <v>914</v>
      </c>
      <c r="L429" s="988" t="s">
        <v>866</v>
      </c>
      <c r="M429" s="103"/>
      <c r="N429" s="103"/>
      <c r="O429" s="103"/>
      <c r="P429" s="103"/>
      <c r="Q429" s="103"/>
      <c r="R429" s="103"/>
      <c r="S429" s="103"/>
      <c r="T429" s="468" cm="1" t="str">
        <f t="array" ref="T429:T429">T428</f>
        <v>true</v>
      </c>
      <c r="U429" s="103"/>
      <c r="V429" s="103"/>
      <c r="W429" s="103"/>
      <c r="X429" s="1559"/>
      <c r="Y429" s="1297"/>
      <c r="Z429" s="1529"/>
      <c r="AA429" s="1297"/>
      <c r="AB429" s="296" t="str">
        <f>D429&amp;".5"</f>
        <v>7.5</v>
      </c>
      <c r="AC429" s="769" t="s">
        <v>2091</v>
      </c>
      <c r="AD429" s="773" t="s">
        <v>936</v>
      </c>
      <c r="AE429" s="6293">
        <v>0</v>
      </c>
      <c r="AF429" s="6293"/>
      <c r="AG429" s="6293"/>
      <c r="AH429" s="1123">
        <f>AG429-AF429</f>
        <v>0</v>
      </c>
      <c r="AI429" s="6293">
        <v>0</v>
      </c>
      <c r="AJ429" s="6293">
        <f>_xlfn.SUMIFS('Корректировка НВВ'!$AF$25:$AF$231,'Корректировка НВВ'!$F$25:$F$231,$F429,'Корректировка НВВ'!$I$25:$I$231,$G429)</f>
        <v>0</v>
      </c>
      <c r="AK429" s="1260"/>
      <c r="AL429" s="1260"/>
      <c r="AM429" s="1260"/>
      <c r="AN429" s="1260"/>
      <c r="AO429" s="1260"/>
      <c r="AP429" s="1260"/>
      <c r="AQ429" s="1260"/>
      <c r="AR429" s="1260"/>
      <c r="AS429" s="1260"/>
      <c r="AT429" s="6293">
        <f>_xlfn.SUMIFS('Корректировка НВВ'!$AG$25:$AG$231,'Корректировка НВВ'!$F$25:$F$231,$F429,'Корректировка НВВ'!$I$25:$I$231,$G429)</f>
        <v>0</v>
      </c>
      <c r="AU429" s="1260"/>
      <c r="AV429" s="1260"/>
      <c r="AW429" s="1260"/>
      <c r="AX429" s="1260"/>
      <c r="AY429" s="1260"/>
      <c r="AZ429" s="1260"/>
      <c r="BA429" s="1260"/>
      <c r="BB429" s="1260"/>
      <c r="BC429" s="1260"/>
      <c r="BD429" s="1124"/>
      <c r="BE429" s="1124"/>
      <c r="BF429" s="1124"/>
      <c r="BG429" s="1124"/>
      <c r="BH429" s="1124"/>
      <c r="BI429" s="1124"/>
      <c r="BJ429" s="1124"/>
      <c r="BK429" s="1124"/>
      <c r="BL429" s="1124"/>
      <c r="BM429" s="1124"/>
      <c r="BN429" s="6290"/>
      <c r="BO429" s="6294" t="str">
        <f>IF(_xlfn.IFERROR(INDEX('Корректировка НВВ'!$K$26:$L$231,MATCH($F429&amp;"4komm",'Корректировка НВВ'!$K$26:$K$231,0),2),"")=0,"",_xlfn.IFERROR(INDEX('Корректировка НВВ'!$K$26:$L$231,MATCH($F429&amp;"4komm",'Корректировка НВВ'!$K$26:$K$231,0),2),""))</f>
        <v/>
      </c>
      <c r="BP429" s="6290"/>
      <c r="BQ429" s="1297"/>
      <c r="BR429" s="1297"/>
      <c r="BS429" s="1072" t="s">
        <v>1584</v>
      </c>
      <c r="BT429" s="1072"/>
      <c r="BU429" s="1072"/>
      <c r="BV429" s="987"/>
      <c r="BW429" s="987"/>
    </row>
    <row s="1656" customFormat="1" customHeight="1" ht="14.625">
      <c r="A430" s="1297"/>
      <c r="B430" s="429"/>
      <c r="C430" s="103"/>
      <c r="D430" s="103" cm="1" t="str">
        <f t="array" ref="D430:D430">D429</f>
        <v>7</v>
      </c>
      <c r="E430" s="626">
        <v>15</v>
      </c>
      <c r="F430" s="50" cm="1" t="str">
        <f t="array" ref="F430:F430">OFFSET(E430,-1,1)</f>
        <v>2</v>
      </c>
      <c r="G430" s="103" t="s">
        <v>2422</v>
      </c>
      <c r="H430" s="103"/>
      <c r="I430" s="103" t="s">
        <v>915</v>
      </c>
      <c r="J430" s="103"/>
      <c r="K430" s="154" t="s">
        <v>915</v>
      </c>
      <c r="L430" s="988" t="s">
        <v>914</v>
      </c>
      <c r="M430" s="103"/>
      <c r="N430" s="103"/>
      <c r="O430" s="103"/>
      <c r="P430" s="103"/>
      <c r="Q430" s="103"/>
      <c r="R430" s="103"/>
      <c r="S430" s="103"/>
      <c r="T430" s="468" cm="1" t="str">
        <f t="array" ref="T430:T430">T429</f>
        <v>true</v>
      </c>
      <c r="U430" s="103"/>
      <c r="V430" s="103"/>
      <c r="W430" s="103"/>
      <c r="X430" s="1559"/>
      <c r="Y430" s="1297"/>
      <c r="Z430" s="1529"/>
      <c r="AA430" s="1297"/>
      <c r="AB430" s="296" t="str">
        <f>IF(B429,D430&amp;".6",D430&amp;".4")</f>
        <v>7.6</v>
      </c>
      <c r="AC430" s="769" t="s">
        <v>1808</v>
      </c>
      <c r="AD430" s="296" t="s">
        <v>936</v>
      </c>
      <c r="AE430" s="6293">
        <v>10368.0876897333</v>
      </c>
      <c r="AF430" s="6293"/>
      <c r="AG430" s="6293"/>
      <c r="AH430" s="1123">
        <f>AG430-AF430</f>
        <v>0</v>
      </c>
      <c r="AI430" s="6293"/>
      <c r="AJ430" s="6293">
        <f>_xlfn.SUMIFS('Корректировка НВВ'!$AF$25:$AF$231,'Корректировка НВВ'!$F$25:$F$231,$F430,'Корректировка НВВ'!$I$25:$I$231,$G430)</f>
        <v>0</v>
      </c>
      <c r="AK430" s="1260"/>
      <c r="AL430" s="1260"/>
      <c r="AM430" s="1260"/>
      <c r="AN430" s="1260"/>
      <c r="AO430" s="1260"/>
      <c r="AP430" s="1260"/>
      <c r="AQ430" s="1260"/>
      <c r="AR430" s="1260"/>
      <c r="AS430" s="1260"/>
      <c r="AT430" s="6293">
        <f>_xlfn.SUMIFS('Корректировка НВВ'!$AG$25:$AG$231,'Корректировка НВВ'!$F$25:$F$231,$F430,'Корректировка НВВ'!$I$25:$I$231,$G430)</f>
        <v>0</v>
      </c>
      <c r="AU430" s="1260"/>
      <c r="AV430" s="1260"/>
      <c r="AW430" s="1260"/>
      <c r="AX430" s="1260"/>
      <c r="AY430" s="1260"/>
      <c r="AZ430" s="1260"/>
      <c r="BA430" s="1260"/>
      <c r="BB430" s="1260"/>
      <c r="BC430" s="1260"/>
      <c r="BD430" s="1124"/>
      <c r="BE430" s="1124"/>
      <c r="BF430" s="1124"/>
      <c r="BG430" s="1124"/>
      <c r="BH430" s="1124"/>
      <c r="BI430" s="1124"/>
      <c r="BJ430" s="1124"/>
      <c r="BK430" s="1124"/>
      <c r="BL430" s="1124"/>
      <c r="BM430" s="1124"/>
      <c r="BN430" s="6290"/>
      <c r="BO430" s="6294" t="str">
        <f>IF(_xlfn.IFERROR(INDEX('Корректировка НВВ'!$K$26:$L$231,MATCH($F430&amp;"5komm",'Корректировка НВВ'!$K$26:$K$231,0),2),"")=0,"",_xlfn.IFERROR(INDEX('Корректировка НВВ'!$K$26:$L$231,MATCH($F430&amp;"5komm",'Корректировка НВВ'!$K$26:$K$231,0),2),""))</f>
        <v/>
      </c>
      <c r="BP430" s="6290"/>
      <c r="BQ430" s="1297"/>
      <c r="BR430" s="1297"/>
      <c r="BS430" s="1072" t="s">
        <v>2423</v>
      </c>
      <c r="BT430" s="1072"/>
      <c r="BU430" s="1072"/>
      <c r="BV430" s="987"/>
      <c r="BW430" s="987"/>
    </row>
    <row s="1656" customFormat="1" customHeight="1" ht="14.625">
      <c r="A431" s="1297"/>
      <c r="B431" s="986"/>
      <c r="C431" s="103"/>
      <c r="D431" s="103" cm="1" t="str">
        <f t="array" ref="D431:D431">D430</f>
        <v>7</v>
      </c>
      <c r="E431" s="626">
        <v>15</v>
      </c>
      <c r="F431" s="50" cm="1" t="str">
        <f t="array" ref="F431:F431">OFFSET(E431,-1,1)</f>
        <v>2</v>
      </c>
      <c r="G431" s="103" t="s">
        <v>2424</v>
      </c>
      <c r="H431" s="103"/>
      <c r="I431" s="103" t="s">
        <v>2099</v>
      </c>
      <c r="J431" s="103"/>
      <c r="K431" s="154" t="s">
        <v>2099</v>
      </c>
      <c r="L431" s="988" t="s">
        <v>915</v>
      </c>
      <c r="M431" s="103"/>
      <c r="N431" s="103"/>
      <c r="O431" s="103"/>
      <c r="P431" s="103"/>
      <c r="Q431" s="103"/>
      <c r="R431" s="103"/>
      <c r="S431" s="103"/>
      <c r="T431" s="468" cm="1" t="str">
        <f t="array" ref="T431:T431">T430</f>
        <v>true</v>
      </c>
      <c r="U431" s="103"/>
      <c r="V431" s="103"/>
      <c r="W431" s="103"/>
      <c r="X431" s="1559"/>
      <c r="Y431" s="1297"/>
      <c r="Z431" s="1529"/>
      <c r="AA431" s="1297"/>
      <c r="AB431" s="296" t="str">
        <f>IF(B429,D430&amp;".7",D430&amp;".5")</f>
        <v>7.7</v>
      </c>
      <c r="AC431" s="769" t="s">
        <v>1770</v>
      </c>
      <c r="AD431" s="296" t="s">
        <v>936</v>
      </c>
      <c r="AE431" s="6293">
        <v>13443.59</v>
      </c>
      <c r="AF431" s="6293">
        <f>AF432+AF433</f>
        <v>0</v>
      </c>
      <c r="AG431" s="6293">
        <f>AG432+AG433</f>
        <v>0</v>
      </c>
      <c r="AH431" s="1123">
        <f>AG431-AF431</f>
        <v>0</v>
      </c>
      <c r="AI431" s="6293">
        <v>237.01</v>
      </c>
      <c r="AJ431" s="6293">
        <f>_xlfn.SUMIFS('Корректировка НВВ'!$AF$25:$AF$231,'Корректировка НВВ'!$F$25:$F$231,$F431,'Корректировка НВВ'!$I$25:$I$231,$G431)</f>
        <v>0</v>
      </c>
      <c r="AK431" s="1260">
        <f>AK432+AK433</f>
        <v>0</v>
      </c>
      <c r="AL431" s="1260">
        <f>AL432+AL433</f>
        <v>0</v>
      </c>
      <c r="AM431" s="1260">
        <f>AM432+AM433</f>
        <v>0</v>
      </c>
      <c r="AN431" s="1260">
        <f>AN432+AN433</f>
        <v>0</v>
      </c>
      <c r="AO431" s="1260">
        <f>AO432+AO433</f>
        <v>0</v>
      </c>
      <c r="AP431" s="1260">
        <f>AP432+AP433</f>
        <v>0</v>
      </c>
      <c r="AQ431" s="1260">
        <f>AQ432+AQ433</f>
        <v>0</v>
      </c>
      <c r="AR431" s="1260">
        <f>AR432+AR433</f>
        <v>0</v>
      </c>
      <c r="AS431" s="1260">
        <f>AS432+AS433</f>
        <v>0</v>
      </c>
      <c r="AT431" s="6293">
        <f>_xlfn.SUMIFS('Корректировка НВВ'!$AG$25:$AG$231,'Корректировка НВВ'!$F$25:$F$231,$F431,'Корректировка НВВ'!$I$25:$I$231,$G431)</f>
        <v>0</v>
      </c>
      <c r="AU431" s="1260">
        <f>AU432+AU433</f>
        <v>0</v>
      </c>
      <c r="AV431" s="1260">
        <f>AV432+AV433</f>
        <v>0</v>
      </c>
      <c r="AW431" s="1260">
        <f>AW432+AW433</f>
        <v>0</v>
      </c>
      <c r="AX431" s="1260">
        <f>AX432+AX433</f>
        <v>0</v>
      </c>
      <c r="AY431" s="1260">
        <f>AY432+AY433</f>
        <v>0</v>
      </c>
      <c r="AZ431" s="1260">
        <f>AZ432+AZ433</f>
        <v>0</v>
      </c>
      <c r="BA431" s="1260">
        <f>BA432+BA433</f>
        <v>0</v>
      </c>
      <c r="BB431" s="1260">
        <f>BB432+BB433</f>
        <v>0</v>
      </c>
      <c r="BC431" s="1260">
        <f>BC432+BC433</f>
        <v>0</v>
      </c>
      <c r="BD431" s="1123">
        <f>IF(AI431=0,0,(AT431-AI431)/AI431*100)</f>
        <v>-100</v>
      </c>
      <c r="BE431" s="1123">
        <f>IF(AT431=0,0,(AU431-AT431)/AT431*100)</f>
        <v>0</v>
      </c>
      <c r="BF431" s="1123">
        <f>IF(AU431=0,0,(AV431-AU431)/AU431*100)</f>
        <v>0</v>
      </c>
      <c r="BG431" s="1123">
        <f>IF(AV431=0,0,(AW431-AV431)/AV431*100)</f>
        <v>0</v>
      </c>
      <c r="BH431" s="1123">
        <f>IF(AW431=0,0,(AX431-AW431)/AW431*100)</f>
        <v>0</v>
      </c>
      <c r="BI431" s="1123">
        <f>IF(AX431=0,0,(AY431-AX431)/AX431*100)</f>
        <v>0</v>
      </c>
      <c r="BJ431" s="1123">
        <f>IF(AY431=0,0,(AZ431-AY431)/AY431*100)</f>
        <v>0</v>
      </c>
      <c r="BK431" s="1123">
        <f>IF(AZ431=0,0,(BA431-AZ431)/AZ431*100)</f>
        <v>0</v>
      </c>
      <c r="BL431" s="1123">
        <f>IF(BA431=0,0,(BB431-BA431)/BA431*100)</f>
        <v>0</v>
      </c>
      <c r="BM431" s="1123">
        <f>IF(BB431=0,0,(BC431-BB431)/BB431*100)</f>
        <v>0</v>
      </c>
      <c r="BN431" s="6290"/>
      <c r="BO431" s="6294" t="str">
        <f>IF(_xlfn.IFERROR(INDEX('Корректировка НВВ'!$K$26:$L$231,MATCH($F431&amp;"6komm",'Корректировка НВВ'!$K$26:$K$231,0),2),"")=0,"",_xlfn.IFERROR(INDEX('Корректировка НВВ'!$K$26:$L$231,MATCH($F431&amp;"6komm",'Корректировка НВВ'!$K$26:$K$231,0),2),""))</f>
        <v/>
      </c>
      <c r="BP431" s="6290"/>
      <c r="BQ431" s="1297"/>
      <c r="BR431" s="1297"/>
      <c r="BS431" s="1072" t="s">
        <v>1772</v>
      </c>
      <c r="BT431" s="1072"/>
      <c r="BU431" s="1072"/>
      <c r="BV431" s="987"/>
      <c r="BW431" s="987"/>
    </row>
    <row s="1656" customFormat="1" customHeight="1" ht="21.9375">
      <c r="A432" s="1297"/>
      <c r="B432" s="986"/>
      <c r="C432" s="103"/>
      <c r="D432" s="103" cm="1" t="str">
        <f t="array" ref="D432:D432">D431</f>
        <v>7</v>
      </c>
      <c r="E432" s="626">
        <v>22.5</v>
      </c>
      <c r="F432" s="50" cm="1" t="str">
        <f t="array" ref="F432:F432">OFFSET(E432,-1,1)</f>
        <v>2</v>
      </c>
      <c r="G432" s="103" t="s">
        <v>2425</v>
      </c>
      <c r="H432" s="103"/>
      <c r="I432" s="103" t="s">
        <v>2426</v>
      </c>
      <c r="J432" s="103"/>
      <c r="K432" s="154" t="s">
        <v>2426</v>
      </c>
      <c r="L432" s="988" t="s">
        <v>2094</v>
      </c>
      <c r="M432" s="103"/>
      <c r="N432" s="103"/>
      <c r="O432" s="103"/>
      <c r="P432" s="103"/>
      <c r="Q432" s="103"/>
      <c r="R432" s="103"/>
      <c r="S432" s="103"/>
      <c r="T432" s="468" cm="1" t="str">
        <f t="array" ref="T432:T432">T431</f>
        <v>true</v>
      </c>
      <c r="U432" s="103"/>
      <c r="V432" s="103"/>
      <c r="W432" s="103"/>
      <c r="X432" s="1559"/>
      <c r="Y432" s="1297"/>
      <c r="Z432" s="1529"/>
      <c r="AA432" s="1297"/>
      <c r="AB432" s="296" t="str">
        <f>AB431&amp;".1"</f>
        <v>7.7.1</v>
      </c>
      <c r="AC432" s="788" t="s">
        <v>1773</v>
      </c>
      <c r="AD432" s="296" t="s">
        <v>936</v>
      </c>
      <c r="AE432" s="6293">
        <v>13443.59</v>
      </c>
      <c r="AF432" s="6293"/>
      <c r="AG432" s="6293"/>
      <c r="AH432" s="1123">
        <f>AG432-AF432</f>
        <v>0</v>
      </c>
      <c r="AI432" s="6293">
        <v>356.52</v>
      </c>
      <c r="AJ432" s="6293">
        <f>_xlfn.SUMIFS('Корректировка НВВ'!$AF$25:$AF$231,'Корректировка НВВ'!$F$25:$F$231,$F432,'Корректировка НВВ'!$I$25:$I$231,$G432)</f>
        <v>0</v>
      </c>
      <c r="AK432" s="1260"/>
      <c r="AL432" s="1260"/>
      <c r="AM432" s="1260"/>
      <c r="AN432" s="1260"/>
      <c r="AO432" s="1260"/>
      <c r="AP432" s="1260"/>
      <c r="AQ432" s="1260"/>
      <c r="AR432" s="1260"/>
      <c r="AS432" s="1260"/>
      <c r="AT432" s="6293">
        <f>_xlfn.SUMIFS('Корректировка НВВ'!$AG$25:$AG$231,'Корректировка НВВ'!$F$25:$F$231,$F432,'Корректировка НВВ'!$I$25:$I$231,$G432)</f>
        <v>0</v>
      </c>
      <c r="AU432" s="1260"/>
      <c r="AV432" s="1260"/>
      <c r="AW432" s="1260"/>
      <c r="AX432" s="1260"/>
      <c r="AY432" s="1260"/>
      <c r="AZ432" s="1260"/>
      <c r="BA432" s="1260"/>
      <c r="BB432" s="1260"/>
      <c r="BC432" s="1260"/>
      <c r="BD432" s="1124"/>
      <c r="BE432" s="1124"/>
      <c r="BF432" s="1124"/>
      <c r="BG432" s="1124"/>
      <c r="BH432" s="1124"/>
      <c r="BI432" s="1124"/>
      <c r="BJ432" s="1124"/>
      <c r="BK432" s="1124"/>
      <c r="BL432" s="1124"/>
      <c r="BM432" s="1124"/>
      <c r="BN432" s="6290"/>
      <c r="BO432" s="6294" t="str">
        <f>IF(_xlfn.IFERROR(INDEX('Корректировка НВВ'!$K$26:$L$231,MATCH($F432&amp;"7komm",'Корректировка НВВ'!$K$26:$K$231,0),2),"")=0,"",_xlfn.IFERROR(INDEX('Корректировка НВВ'!$K$26:$L$231,MATCH($F432&amp;"7komm",'Корректировка НВВ'!$K$26:$K$231,0),2),""))</f>
        <v/>
      </c>
      <c r="BP432" s="6290"/>
      <c r="BQ432" s="1297"/>
      <c r="BR432" s="1297"/>
      <c r="BS432" s="1072" t="s">
        <v>1774</v>
      </c>
      <c r="BT432" s="1072"/>
      <c r="BU432" s="1072"/>
      <c r="BV432" s="987"/>
      <c r="BW432" s="987"/>
    </row>
    <row s="1656" customFormat="1" customHeight="1" ht="21.9375">
      <c r="A433" s="1297"/>
      <c r="B433" s="986"/>
      <c r="C433" s="103"/>
      <c r="D433" s="103" cm="1" t="str">
        <f t="array" ref="D433:D433">D432</f>
        <v>7</v>
      </c>
      <c r="E433" s="626">
        <v>22.5</v>
      </c>
      <c r="F433" s="50" cm="1" t="str">
        <f t="array" ref="F433:F433">OFFSET(E433,-1,1)</f>
        <v>2</v>
      </c>
      <c r="G433" s="103" t="s">
        <v>2427</v>
      </c>
      <c r="H433" s="103"/>
      <c r="I433" s="103" t="s">
        <v>2428</v>
      </c>
      <c r="J433" s="103"/>
      <c r="K433" s="154" t="s">
        <v>2428</v>
      </c>
      <c r="L433" s="988" t="s">
        <v>2096</v>
      </c>
      <c r="M433" s="103"/>
      <c r="N433" s="103"/>
      <c r="O433" s="103"/>
      <c r="P433" s="103"/>
      <c r="Q433" s="103"/>
      <c r="R433" s="103"/>
      <c r="S433" s="103"/>
      <c r="T433" s="468" cm="1" t="str">
        <f t="array" ref="T433:T433">T432</f>
        <v>true</v>
      </c>
      <c r="U433" s="103"/>
      <c r="V433" s="103"/>
      <c r="W433" s="103"/>
      <c r="X433" s="1559"/>
      <c r="Y433" s="1297"/>
      <c r="Z433" s="1529"/>
      <c r="AA433" s="1297"/>
      <c r="AB433" s="296" t="str">
        <f>AB431&amp;".2"</f>
        <v>7.7.2</v>
      </c>
      <c r="AC433" s="788" t="s">
        <v>1775</v>
      </c>
      <c r="AD433" s="296" t="s">
        <v>936</v>
      </c>
      <c r="AE433" s="6293">
        <v>0</v>
      </c>
      <c r="AF433" s="6293"/>
      <c r="AG433" s="6293"/>
      <c r="AH433" s="1123">
        <f>AG433-AF433</f>
        <v>0</v>
      </c>
      <c r="AI433" s="6293">
        <v>0</v>
      </c>
      <c r="AJ433" s="6293">
        <f>_xlfn.SUMIFS('Корректировка НВВ'!$AF$25:$AF$231,'Корректировка НВВ'!$F$25:$F$231,$F433,'Корректировка НВВ'!$I$25:$I$231,$G433)</f>
        <v>0</v>
      </c>
      <c r="AK433" s="1260"/>
      <c r="AL433" s="1260"/>
      <c r="AM433" s="1260"/>
      <c r="AN433" s="1260"/>
      <c r="AO433" s="1260"/>
      <c r="AP433" s="1260"/>
      <c r="AQ433" s="1260"/>
      <c r="AR433" s="1260"/>
      <c r="AS433" s="1260"/>
      <c r="AT433" s="6293">
        <f>_xlfn.SUMIFS('Корректировка НВВ'!$AG$25:$AG$231,'Корректировка НВВ'!$F$25:$F$231,$F433,'Корректировка НВВ'!$I$25:$I$231,$G433)</f>
        <v>0</v>
      </c>
      <c r="AU433" s="1260"/>
      <c r="AV433" s="1260"/>
      <c r="AW433" s="1260"/>
      <c r="AX433" s="1260"/>
      <c r="AY433" s="1260"/>
      <c r="AZ433" s="1260"/>
      <c r="BA433" s="1260"/>
      <c r="BB433" s="1260"/>
      <c r="BC433" s="1260"/>
      <c r="BD433" s="1124"/>
      <c r="BE433" s="1124"/>
      <c r="BF433" s="1124"/>
      <c r="BG433" s="1124"/>
      <c r="BH433" s="1124"/>
      <c r="BI433" s="1124"/>
      <c r="BJ433" s="1124"/>
      <c r="BK433" s="1124"/>
      <c r="BL433" s="1124"/>
      <c r="BM433" s="1124"/>
      <c r="BN433" s="6290"/>
      <c r="BO433" s="6294" t="str">
        <f>IF(_xlfn.IFERROR(INDEX('Корректировка НВВ'!$K$26:$L$231,MATCH($F433&amp;"8komm",'Корректировка НВВ'!$K$26:$K$231,0),2),"")=0,"",_xlfn.IFERROR(INDEX('Корректировка НВВ'!$K$26:$L$231,MATCH($F433&amp;"8komm",'Корректировка НВВ'!$K$26:$K$231,0),2),""))</f>
        <v/>
      </c>
      <c r="BP433" s="6290"/>
      <c r="BQ433" s="1297"/>
      <c r="BR433" s="1297"/>
      <c r="BS433" s="1072" t="s">
        <v>1776</v>
      </c>
      <c r="BT433" s="1072"/>
      <c r="BU433" s="1072"/>
      <c r="BV433" s="987"/>
      <c r="BW433" s="987"/>
    </row>
    <row s="1656" customFormat="1" customHeight="1" ht="14.625">
      <c r="A434" s="1297"/>
      <c r="B434" s="986"/>
      <c r="C434" s="103"/>
      <c r="D434" s="103" cm="1" t="str">
        <f t="array" ref="D434:D434">D433</f>
        <v>7</v>
      </c>
      <c r="E434" s="626">
        <v>15</v>
      </c>
      <c r="F434" s="50" cm="1" t="str">
        <f t="array" ref="F434:F434">OFFSET(E434,-1,1)</f>
        <v>2</v>
      </c>
      <c r="G434" s="103" t="s">
        <v>332</v>
      </c>
      <c r="H434" s="103"/>
      <c r="I434" s="103" t="s">
        <v>2100</v>
      </c>
      <c r="J434" s="103"/>
      <c r="K434" s="154" t="s">
        <v>2100</v>
      </c>
      <c r="L434" s="988" t="s">
        <v>2099</v>
      </c>
      <c r="M434" s="103"/>
      <c r="N434" s="103"/>
      <c r="O434" s="103"/>
      <c r="P434" s="103"/>
      <c r="Q434" s="103"/>
      <c r="R434" s="103"/>
      <c r="S434" s="103"/>
      <c r="T434" s="468" cm="1" t="str">
        <f t="array" ref="T434:T434">T433</f>
        <v>true</v>
      </c>
      <c r="U434" s="103"/>
      <c r="V434" s="103"/>
      <c r="W434" s="103"/>
      <c r="X434" s="1559"/>
      <c r="Y434" s="1297"/>
      <c r="Z434" s="1529"/>
      <c r="AA434" s="1297"/>
      <c r="AB434" s="296" t="str">
        <f>IF(B429,D430&amp;".8",D430&amp;".6")</f>
        <v>7.8</v>
      </c>
      <c r="AC434" s="789" t="s">
        <v>1777</v>
      </c>
      <c r="AD434" s="296" t="s">
        <v>936</v>
      </c>
      <c r="AE434" s="6293">
        <v>0</v>
      </c>
      <c r="AF434" s="6293"/>
      <c r="AG434" s="6293"/>
      <c r="AH434" s="1123">
        <f>AG434-AF434</f>
        <v>0</v>
      </c>
      <c r="AI434" s="6293">
        <v>0</v>
      </c>
      <c r="AJ434" s="6293">
        <f>_xlfn.SUMIFS('Корректировка НВВ'!$AF$25:$AF$231,'Корректировка НВВ'!$F$25:$F$231,$F434,'Корректировка НВВ'!$I$25:$I$231,$G434)</f>
        <v>0</v>
      </c>
      <c r="AK434" s="1260"/>
      <c r="AL434" s="1260"/>
      <c r="AM434" s="1260"/>
      <c r="AN434" s="1260"/>
      <c r="AO434" s="1260"/>
      <c r="AP434" s="1260"/>
      <c r="AQ434" s="1260"/>
      <c r="AR434" s="1260"/>
      <c r="AS434" s="1260"/>
      <c r="AT434" s="6293">
        <f>_xlfn.SUMIFS('Корректировка НВВ'!$AG$25:$AG$231,'Корректировка НВВ'!$F$25:$F$231,$F434,'Корректировка НВВ'!$I$25:$I$231,$G434)</f>
        <v>0</v>
      </c>
      <c r="AU434" s="1260"/>
      <c r="AV434" s="1260"/>
      <c r="AW434" s="1260"/>
      <c r="AX434" s="1260"/>
      <c r="AY434" s="1260"/>
      <c r="AZ434" s="1260"/>
      <c r="BA434" s="1260"/>
      <c r="BB434" s="1260"/>
      <c r="BC434" s="1260"/>
      <c r="BD434" s="1124"/>
      <c r="BE434" s="1124"/>
      <c r="BF434" s="1124"/>
      <c r="BG434" s="1124"/>
      <c r="BH434" s="1124"/>
      <c r="BI434" s="1124"/>
      <c r="BJ434" s="1124"/>
      <c r="BK434" s="1124"/>
      <c r="BL434" s="1124"/>
      <c r="BM434" s="1124"/>
      <c r="BN434" s="6290"/>
      <c r="BO434" s="6294" t="str">
        <f>IF(_xlfn.IFERROR(INDEX('Корректировка НВВ'!$K$26:$L$231,MATCH($F434&amp;"9komm",'Корректировка НВВ'!$K$26:$K$231,0),2),"")=0,"",_xlfn.IFERROR(INDEX('Корректировка НВВ'!$K$26:$L$231,MATCH($F434&amp;"9komm",'Корректировка НВВ'!$K$26:$K$231,0),2),""))</f>
        <v/>
      </c>
      <c r="BP434" s="6290"/>
      <c r="BQ434" s="1297"/>
      <c r="BR434" s="1297"/>
      <c r="BS434" s="1072" t="s">
        <v>2429</v>
      </c>
      <c r="BT434" s="1072"/>
      <c r="BU434" s="1072"/>
      <c r="BV434" s="987"/>
      <c r="BW434" s="987"/>
    </row>
    <row s="1656" customFormat="1" customHeight="1" ht="14.625">
      <c r="A435" s="1297"/>
      <c r="B435" s="986"/>
      <c r="C435" s="103"/>
      <c r="D435" s="103" cm="1" t="str">
        <f t="array" ref="D435:D435">D434</f>
        <v>7</v>
      </c>
      <c r="E435" s="626">
        <v>15</v>
      </c>
      <c r="F435" s="50" cm="1" t="str">
        <f t="array" ref="F435:F435">OFFSET(E435,-1,1)</f>
        <v>2</v>
      </c>
      <c r="G435" s="103" t="s">
        <v>2430</v>
      </c>
      <c r="H435" s="103"/>
      <c r="I435" s="103" t="s">
        <v>2101</v>
      </c>
      <c r="J435" s="103"/>
      <c r="K435" s="154" t="s">
        <v>2101</v>
      </c>
      <c r="L435" s="988" t="s">
        <v>2100</v>
      </c>
      <c r="M435" s="103"/>
      <c r="N435" s="103"/>
      <c r="O435" s="103"/>
      <c r="P435" s="103"/>
      <c r="Q435" s="103"/>
      <c r="R435" s="103"/>
      <c r="S435" s="103"/>
      <c r="T435" s="468" cm="1" t="str">
        <f t="array" ref="T435:T435">T434</f>
        <v>true</v>
      </c>
      <c r="U435" s="103"/>
      <c r="V435" s="103"/>
      <c r="W435" s="103"/>
      <c r="X435" s="1559"/>
      <c r="Y435" s="1297"/>
      <c r="Z435" s="1529"/>
      <c r="AA435" s="1297"/>
      <c r="AB435" s="296" t="str">
        <f>IF(B429,D430&amp;".9",D430&amp;".7")</f>
        <v>7.9</v>
      </c>
      <c r="AC435" s="789" t="s">
        <v>1779</v>
      </c>
      <c r="AD435" s="296" t="s">
        <v>936</v>
      </c>
      <c r="AE435" s="6293">
        <v>0</v>
      </c>
      <c r="AF435" s="6293"/>
      <c r="AG435" s="6293"/>
      <c r="AH435" s="1123">
        <f>AG435-AF435</f>
        <v>0</v>
      </c>
      <c r="AI435" s="6293">
        <v>0</v>
      </c>
      <c r="AJ435" s="6293">
        <f>_xlfn.SUMIFS('Корректировка НВВ'!$AF$25:$AF$231,'Корректировка НВВ'!$F$25:$F$231,$F435,'Корректировка НВВ'!$I$25:$I$231,$G435)</f>
        <v>0</v>
      </c>
      <c r="AK435" s="1260"/>
      <c r="AL435" s="1260"/>
      <c r="AM435" s="1260"/>
      <c r="AN435" s="1260"/>
      <c r="AO435" s="1260"/>
      <c r="AP435" s="1260"/>
      <c r="AQ435" s="1260"/>
      <c r="AR435" s="1260"/>
      <c r="AS435" s="1260"/>
      <c r="AT435" s="6293">
        <f>_xlfn.SUMIFS('Корректировка НВВ'!$AG$25:$AG$231,'Корректировка НВВ'!$F$25:$F$231,$F435,'Корректировка НВВ'!$I$25:$I$231,$G435)</f>
        <v>0</v>
      </c>
      <c r="AU435" s="1260"/>
      <c r="AV435" s="1260"/>
      <c r="AW435" s="1260"/>
      <c r="AX435" s="1260"/>
      <c r="AY435" s="1260"/>
      <c r="AZ435" s="1260"/>
      <c r="BA435" s="1260"/>
      <c r="BB435" s="1260"/>
      <c r="BC435" s="1260"/>
      <c r="BD435" s="1124"/>
      <c r="BE435" s="1124"/>
      <c r="BF435" s="1124"/>
      <c r="BG435" s="1124"/>
      <c r="BH435" s="1124"/>
      <c r="BI435" s="1124"/>
      <c r="BJ435" s="1124"/>
      <c r="BK435" s="1124"/>
      <c r="BL435" s="1124"/>
      <c r="BM435" s="1124"/>
      <c r="BN435" s="6290"/>
      <c r="BO435" s="6294" t="str">
        <f>IF(_xlfn.IFERROR(INDEX('Корректировка НВВ'!$K$26:$L$231,MATCH($F435&amp;"10komm",'Корректировка НВВ'!$K$26:$K$231,0),2),"")=0,"",_xlfn.IFERROR(INDEX('Корректировка НВВ'!$K$26:$L$231,MATCH($F435&amp;"10komm",'Корректировка НВВ'!$K$26:$K$231,0),2),""))</f>
        <v/>
      </c>
      <c r="BP435" s="6290"/>
      <c r="BQ435" s="1297"/>
      <c r="BR435" s="1297"/>
      <c r="BS435" s="1072" t="s">
        <v>1780</v>
      </c>
      <c r="BT435" s="1072"/>
      <c r="BU435" s="1072"/>
      <c r="BV435" s="987"/>
      <c r="BW435" s="987"/>
    </row>
    <row s="6413" customFormat="1" customHeight="1" ht="33.75">
      <c r="A436" s="706"/>
      <c r="B436" s="437"/>
      <c r="C436" s="105"/>
      <c r="D436" s="105">
        <f>D435+1</f>
        <v>8</v>
      </c>
      <c r="E436" s="833">
        <v>21</v>
      </c>
      <c r="F436" s="50" cm="1" t="str">
        <f t="array" ref="F436:F436">OFFSET(E436,-1,1)</f>
        <v>2</v>
      </c>
      <c r="G436" s="105"/>
      <c r="H436" s="105"/>
      <c r="I436" s="105" t="s">
        <v>707</v>
      </c>
      <c r="J436" s="105"/>
      <c r="K436" s="158" t="s">
        <v>707</v>
      </c>
      <c r="L436" s="993"/>
      <c r="M436" s="105"/>
      <c r="N436" s="105"/>
      <c r="O436" s="105"/>
      <c r="P436" s="105"/>
      <c r="Q436" s="105"/>
      <c r="R436" s="105"/>
      <c r="S436" s="105"/>
      <c r="T436" s="468" cm="1" t="str">
        <f t="array" ref="T436:T436">T435</f>
        <v>true</v>
      </c>
      <c r="U436" s="105"/>
      <c r="V436" s="105"/>
      <c r="W436" s="105"/>
      <c r="X436" s="1559"/>
      <c r="Y436" s="706"/>
      <c r="Z436" s="1529"/>
      <c r="AA436" s="706"/>
      <c r="AB436" s="207" cm="1" t="str">
        <f t="array" ref="AB436:AB436">D436</f>
        <v>8</v>
      </c>
      <c r="AC436" s="208" t="s">
        <v>2431</v>
      </c>
      <c r="AD436" s="207" t="s">
        <v>936</v>
      </c>
      <c r="AE436" s="6350">
        <v>-4794.3152</v>
      </c>
      <c r="AF436" s="6350"/>
      <c r="AG436" s="6350"/>
      <c r="AH436" s="785">
        <f>AG436-AF436</f>
        <v>0</v>
      </c>
      <c r="AI436" s="6350">
        <v>-18241.21</v>
      </c>
      <c r="AJ436" s="6350"/>
      <c r="AK436" s="1256"/>
      <c r="AL436" s="1256"/>
      <c r="AM436" s="1256"/>
      <c r="AN436" s="1256"/>
      <c r="AO436" s="1256"/>
      <c r="AP436" s="1256"/>
      <c r="AQ436" s="1256"/>
      <c r="AR436" s="1256"/>
      <c r="AS436" s="1256"/>
      <c r="AT436" s="6350"/>
      <c r="AU436" s="1256"/>
      <c r="AV436" s="1256"/>
      <c r="AW436" s="1256"/>
      <c r="AX436" s="1256"/>
      <c r="AY436" s="1256"/>
      <c r="AZ436" s="1256"/>
      <c r="BA436" s="1256"/>
      <c r="BB436" s="1256"/>
      <c r="BC436" s="1256"/>
      <c r="BD436" s="212"/>
      <c r="BE436" s="212"/>
      <c r="BF436" s="212"/>
      <c r="BG436" s="212"/>
      <c r="BH436" s="212"/>
      <c r="BI436" s="212"/>
      <c r="BJ436" s="212"/>
      <c r="BK436" s="212"/>
      <c r="BL436" s="212"/>
      <c r="BM436" s="212"/>
      <c r="BN436" s="6292"/>
      <c r="BO436" s="6292" t="s">
        <v>2465</v>
      </c>
      <c r="BP436" s="6292" t="s">
        <v>2466</v>
      </c>
      <c r="BQ436" s="706"/>
      <c r="BR436" s="706"/>
      <c r="BS436" s="1078" t="s">
        <v>2432</v>
      </c>
      <c r="BT436" s="1078"/>
      <c r="BU436" s="1078"/>
      <c r="BV436" s="713"/>
      <c r="BW436" s="713"/>
    </row>
    <row s="1656" customFormat="1" customHeight="1" ht="14.25">
      <c r="A437" s="1297"/>
      <c r="B437" s="986"/>
      <c r="C437" s="103"/>
      <c r="D437" s="105" cm="1" t="str">
        <f t="array" ref="D437:D437">D436</f>
        <v>8</v>
      </c>
      <c r="E437" s="626">
        <v>15</v>
      </c>
      <c r="F437" s="50" cm="1" t="str">
        <f t="array" ref="F437:F437">OFFSET(E437,-1,1)</f>
        <v>2</v>
      </c>
      <c r="G437" s="103"/>
      <c r="H437" s="103"/>
      <c r="I437" s="103" t="s">
        <v>710</v>
      </c>
      <c r="J437" s="103"/>
      <c r="K437" s="154" t="s">
        <v>710</v>
      </c>
      <c r="L437" s="988"/>
      <c r="M437" s="103"/>
      <c r="N437" s="103"/>
      <c r="O437" s="103"/>
      <c r="P437" s="103"/>
      <c r="Q437" s="103"/>
      <c r="R437" s="103"/>
      <c r="S437" s="103"/>
      <c r="T437" s="468" cm="1" t="str">
        <f t="array" ref="T437:T437">T436</f>
        <v>true</v>
      </c>
      <c r="U437" s="103"/>
      <c r="V437" s="103"/>
      <c r="W437" s="103"/>
      <c r="X437" s="1559"/>
      <c r="Y437" s="1297"/>
      <c r="Z437" s="1529"/>
      <c r="AA437" s="1297"/>
      <c r="AB437" s="296" t="str">
        <f>D437&amp;".1"</f>
        <v>8.1</v>
      </c>
      <c r="AC437" s="769" t="s">
        <v>2433</v>
      </c>
      <c r="AD437" s="296" t="s">
        <v>561</v>
      </c>
      <c r="AE437" s="1123">
        <f>IF(AE438=0,0,AE436/(AE438+AE423)*100)</f>
        <v>-4.55199356910665</v>
      </c>
      <c r="AF437" s="1123">
        <f>IF(AF438=0,0,AF436/(AF438+AF423)*100)</f>
        <v>0</v>
      </c>
      <c r="AG437" s="1123">
        <f>IF(AG438=0,0,AG436/(AG438+AG423)*100)</f>
        <v>0</v>
      </c>
      <c r="AH437" s="1123">
        <f>AG437-AF437</f>
        <v>0</v>
      </c>
      <c r="AI437" s="1123">
        <f>IF(AI438=0,0,AI436/(AI438+AI423)*100)</f>
        <v>-40.4668521598843</v>
      </c>
      <c r="AJ437" s="1123">
        <f>IF(AJ438=0,0,AJ436/(AJ438+AJ423)*100)</f>
        <v>0</v>
      </c>
      <c r="AK437" s="1123">
        <f>IF(AK438=0,0,AK436/(AK438+AK423)*100)</f>
        <v>0</v>
      </c>
      <c r="AL437" s="1123">
        <f>IF(AL438=0,0,AL436/(AL438+AL423)*100)</f>
        <v>0</v>
      </c>
      <c r="AM437" s="1123">
        <f>IF(AM438=0,0,AM436/(AM438+AM423)*100)</f>
        <v>0</v>
      </c>
      <c r="AN437" s="1123">
        <f>IF(AN438=0,0,AN436/(AN438+AN423)*100)</f>
        <v>0</v>
      </c>
      <c r="AO437" s="1123">
        <f>IF(AO438=0,0,AO436/(AO438+AO423)*100)</f>
        <v>0</v>
      </c>
      <c r="AP437" s="1123">
        <f>IF(AP438=0,0,AP436/(AP438+AP423)*100)</f>
        <v>0</v>
      </c>
      <c r="AQ437" s="1123">
        <f>IF(AQ438=0,0,AQ436/(AQ438+AQ423)*100)</f>
        <v>0</v>
      </c>
      <c r="AR437" s="1123">
        <f>IF(AR438=0,0,AR436/(AR438+AR423)*100)</f>
        <v>0</v>
      </c>
      <c r="AS437" s="1123">
        <f>IF(AS438=0,0,AS436/(AS438+AS423)*100)</f>
        <v>0</v>
      </c>
      <c r="AT437" s="1123">
        <f>IF(AT438=0,0,AT436/(AT438+AT423)*100)</f>
        <v>0</v>
      </c>
      <c r="AU437" s="1123">
        <f>IF(AU438=0,0,AU436/(AU438+AU423)*100)</f>
        <v>0</v>
      </c>
      <c r="AV437" s="1123">
        <f>IF(AV438=0,0,AV436/(AV438+AV423)*100)</f>
        <v>0</v>
      </c>
      <c r="AW437" s="1123">
        <f>IF(AW438=0,0,AW436/(AW438+AW423)*100)</f>
        <v>0</v>
      </c>
      <c r="AX437" s="1123">
        <f>IF(AX438=0,0,AX436/(AX438+AX423)*100)</f>
        <v>0</v>
      </c>
      <c r="AY437" s="1123">
        <f>IF(AY438=0,0,AY436/(AY438+AY423)*100)</f>
        <v>0</v>
      </c>
      <c r="AZ437" s="1123">
        <f>IF(AZ438=0,0,AZ436/(AZ438+AZ423)*100)</f>
        <v>0</v>
      </c>
      <c r="BA437" s="1123">
        <f>IF(BA438=0,0,BA436/(BA438+BA423)*100)</f>
        <v>0</v>
      </c>
      <c r="BB437" s="1123">
        <f>IF(BB438=0,0,BB436/(BB438+BB423)*100)</f>
        <v>0</v>
      </c>
      <c r="BC437" s="1123">
        <f>IF(BC438=0,0,BC436/(BC438+BC423)*100)</f>
        <v>0</v>
      </c>
      <c r="BD437" s="1124"/>
      <c r="BE437" s="1124"/>
      <c r="BF437" s="1124"/>
      <c r="BG437" s="1124"/>
      <c r="BH437" s="1124"/>
      <c r="BI437" s="1124"/>
      <c r="BJ437" s="1124"/>
      <c r="BK437" s="1124"/>
      <c r="BL437" s="1124"/>
      <c r="BM437" s="1124"/>
      <c r="BN437" s="6290"/>
      <c r="BO437" s="6290"/>
      <c r="BP437" s="6290"/>
      <c r="BQ437" s="1297"/>
      <c r="BR437" s="1297"/>
      <c r="BS437" s="1072" t="s">
        <v>2434</v>
      </c>
      <c r="BT437" s="1072"/>
      <c r="BU437" s="1072"/>
      <c r="BV437" s="987"/>
      <c r="BW437" s="987"/>
    </row>
    <row s="6414" customFormat="1" customHeight="1" ht="20.25">
      <c r="A438" s="706"/>
      <c r="B438" s="437"/>
      <c r="C438" s="105"/>
      <c r="D438" s="105">
        <f>D437+1</f>
        <v>9</v>
      </c>
      <c r="E438" s="833">
        <v>21</v>
      </c>
      <c r="F438" s="50" cm="1" t="str">
        <f t="array" ref="F438:F438">OFFSET(E438,-1,1)</f>
        <v>2</v>
      </c>
      <c r="G438" s="105"/>
      <c r="H438" s="103"/>
      <c r="I438" s="103" t="s">
        <v>864</v>
      </c>
      <c r="J438" s="105"/>
      <c r="K438" s="154" t="s">
        <v>864</v>
      </c>
      <c r="L438" s="993" t="s">
        <v>2101</v>
      </c>
      <c r="M438" s="105"/>
      <c r="N438" s="105"/>
      <c r="O438" s="105"/>
      <c r="P438" s="105"/>
      <c r="Q438" s="105"/>
      <c r="R438" s="105"/>
      <c r="S438" s="105"/>
      <c r="T438" s="468" cm="1" t="str">
        <f t="array" ref="T438:T438">T437</f>
        <v>true</v>
      </c>
      <c r="U438" s="105"/>
      <c r="V438" s="105"/>
      <c r="W438" s="105"/>
      <c r="X438" s="1559"/>
      <c r="Y438" s="706"/>
      <c r="Z438" s="1529"/>
      <c r="AA438" s="706"/>
      <c r="AB438" s="207" cm="1" t="str">
        <f t="array" ref="AB438:AB438">D438</f>
        <v>9</v>
      </c>
      <c r="AC438" s="208" t="s">
        <v>2102</v>
      </c>
      <c r="AD438" s="230" t="s">
        <v>936</v>
      </c>
      <c r="AE438" s="209">
        <f>AE316+AE366+AE402+AE403+AE405+AE410+AE411+AE414</f>
        <v>108398.92</v>
      </c>
      <c r="AF438" s="209">
        <f>AF316+AF366+AF402+AF403+AF405+AF410+AF411+AF414</f>
        <v>29506.5022</v>
      </c>
      <c r="AG438" s="209">
        <f>AG316+AG366+AG402+AG403+AG405+AG410+AG411+AG414</f>
        <v>29565.8946704908</v>
      </c>
      <c r="AH438" s="785">
        <f>AG438-AF438</f>
        <v>59.3924704908022</v>
      </c>
      <c r="AI438" s="209">
        <f>AI316+AI366+AI402+AI403+AI405+AI410+AI411+AI414</f>
        <v>33391.0115</v>
      </c>
      <c r="AJ438" s="209">
        <f>AJ316+AJ366+AJ402+AJ403+AJ405+AJ410+AJ411+AJ414</f>
        <v>41397.74</v>
      </c>
      <c r="AK438" s="209">
        <f>AK316+AK366+AK402+AK403+AK405+AK410+AK411+AK414</f>
        <v>0</v>
      </c>
      <c r="AL438" s="209">
        <f>AL316+AL366+AL402+AL403+AL405+AL410+AL411+AL414</f>
        <v>0</v>
      </c>
      <c r="AM438" s="209">
        <f>AM316+AM366+AM402+AM403+AM405+AM410+AM411+AM414</f>
        <v>0</v>
      </c>
      <c r="AN438" s="209">
        <f>AN316+AN366+AN402+AN403+AN405+AN410+AN411+AN414</f>
        <v>0</v>
      </c>
      <c r="AO438" s="209">
        <f>AO316+AO366+AO402+AO403+AO405+AO410+AO411+AO414</f>
        <v>0</v>
      </c>
      <c r="AP438" s="209">
        <f>AP316+AP366+AP402+AP403+AP405+AP410+AP411+AP414</f>
        <v>0</v>
      </c>
      <c r="AQ438" s="209">
        <f>AQ316+AQ366+AQ402+AQ403+AQ405+AQ410+AQ411+AQ414</f>
        <v>0</v>
      </c>
      <c r="AR438" s="209">
        <f>AR316+AR366+AR402+AR403+AR405+AR410+AR411+AR414</f>
        <v>0</v>
      </c>
      <c r="AS438" s="209">
        <f>AS316+AS366+AS402+AS403+AS405+AS410+AS411+AS414</f>
        <v>0</v>
      </c>
      <c r="AT438" s="209">
        <f>AT316+AT366+AT402+AT403+AT405+AT410+AT411+AT414</f>
        <v>42756.27418</v>
      </c>
      <c r="AU438" s="209">
        <f>AU316+AU366+AU402+AU403+AU405+AU410+AU411+AU414</f>
        <v>0</v>
      </c>
      <c r="AV438" s="209">
        <f>AV316+AV366+AV402+AV403+AV405+AV410+AV411+AV414</f>
        <v>0</v>
      </c>
      <c r="AW438" s="209">
        <f>AW316+AW366+AW402+AW403+AW405+AW410+AW411+AW414</f>
        <v>0</v>
      </c>
      <c r="AX438" s="209">
        <f>AX316+AX366+AX402+AX403+AX405+AX410+AX411+AX414</f>
        <v>0</v>
      </c>
      <c r="AY438" s="209">
        <f>AY316+AY366+AY402+AY403+AY405+AY410+AY411+AY414</f>
        <v>0</v>
      </c>
      <c r="AZ438" s="209">
        <f>AZ316+AZ366+AZ402+AZ403+AZ405+AZ410+AZ411+AZ414</f>
        <v>0</v>
      </c>
      <c r="BA438" s="209">
        <f>BA316+BA366+BA402+BA403+BA405+BA410+BA411+BA414</f>
        <v>0</v>
      </c>
      <c r="BB438" s="209">
        <f>BB316+BB366+BB402+BB403+BB405+BB410+BB411+BB414</f>
        <v>0</v>
      </c>
      <c r="BC438" s="209">
        <f>BC316+BC366+BC402+BC403+BC405+BC410+BC411+BC414</f>
        <v>0</v>
      </c>
      <c r="BD438" s="785">
        <f>IF(AI438=0,0,(AT438-AI438)/AI438*100)</f>
        <v>28.0472566097616</v>
      </c>
      <c r="BE438" s="785">
        <f>IF(AT438=0,0,(AU438-AT438)/AT438*100)</f>
        <v>-100</v>
      </c>
      <c r="BF438" s="785">
        <f>IF(AU438=0,0,(AV438-AU438)/AU438*100)</f>
        <v>0</v>
      </c>
      <c r="BG438" s="785">
        <f>IF(AV438=0,0,(AW438-AV438)/AV438*100)</f>
        <v>0</v>
      </c>
      <c r="BH438" s="785">
        <f>IF(AW438=0,0,(AX438-AW438)/AW438*100)</f>
        <v>0</v>
      </c>
      <c r="BI438" s="785">
        <f>IF(AX438=0,0,(AY438-AX438)/AX438*100)</f>
        <v>0</v>
      </c>
      <c r="BJ438" s="785">
        <f>IF(AY438=0,0,(AZ438-AY438)/AY438*100)</f>
        <v>0</v>
      </c>
      <c r="BK438" s="785">
        <f>IF(AZ438=0,0,(BA438-AZ438)/AZ438*100)</f>
        <v>0</v>
      </c>
      <c r="BL438" s="785">
        <f>IF(BA438=0,0,(BB438-BA438)/BA438*100)</f>
        <v>0</v>
      </c>
      <c r="BM438" s="785">
        <f>IF(BB438=0,0,(BC438-BB438)/BB438*100)</f>
        <v>0</v>
      </c>
      <c r="BN438" s="6290"/>
      <c r="BO438" s="6290"/>
      <c r="BP438" s="6290"/>
      <c r="BQ438" s="706"/>
      <c r="BR438" s="706"/>
      <c r="BS438" s="1078" t="s">
        <v>2103</v>
      </c>
      <c r="BT438" s="1078"/>
      <c r="BU438" s="1078"/>
      <c r="BV438" s="713"/>
      <c r="BW438" s="713"/>
    </row>
    <row s="6415" customFormat="1" customHeight="1" ht="20.25">
      <c r="A439" s="706"/>
      <c r="B439" s="437"/>
      <c r="C439" s="105"/>
      <c r="D439" s="105">
        <f>D438+1</f>
        <v>10</v>
      </c>
      <c r="E439" s="833">
        <v>21</v>
      </c>
      <c r="F439" s="50" cm="1" t="str">
        <f t="array" ref="F439:F439">OFFSET(E439,-1,1)</f>
        <v>2</v>
      </c>
      <c r="G439" s="105"/>
      <c r="H439" s="103"/>
      <c r="I439" s="103" t="s">
        <v>2112</v>
      </c>
      <c r="J439" s="105"/>
      <c r="K439" s="154" t="s">
        <v>2112</v>
      </c>
      <c r="L439" s="993"/>
      <c r="M439" s="105"/>
      <c r="N439" s="105"/>
      <c r="O439" s="105"/>
      <c r="P439" s="105"/>
      <c r="Q439" s="105"/>
      <c r="R439" s="105"/>
      <c r="S439" s="105"/>
      <c r="T439" s="468" cm="1" t="str">
        <f t="array" ref="T439:T439">T438</f>
        <v>true</v>
      </c>
      <c r="U439" s="105"/>
      <c r="V439" s="105"/>
      <c r="W439" s="105"/>
      <c r="X439" s="1559"/>
      <c r="Y439" s="706"/>
      <c r="Z439" s="1529"/>
      <c r="AA439" s="706"/>
      <c r="AB439" s="207" cm="1" t="str">
        <f t="array" ref="AB439:AB439">D439</f>
        <v>10</v>
      </c>
      <c r="AC439" s="208" t="s">
        <v>2435</v>
      </c>
      <c r="AD439" s="207" t="s">
        <v>936</v>
      </c>
      <c r="AE439" s="209">
        <f>AE438+AE423+AE436</f>
        <v>100529.102489733</v>
      </c>
      <c r="AF439" s="209">
        <f>AF438+AF423+AF436</f>
        <v>29506.5022</v>
      </c>
      <c r="AG439" s="209">
        <f>AG438+AG423+AG436</f>
        <v>29565.8946704908</v>
      </c>
      <c r="AH439" s="209">
        <f>AH438+AH423+AH436</f>
        <v>59.3924704908022</v>
      </c>
      <c r="AI439" s="209">
        <f>AI438+AI423+AI436</f>
        <v>26835.70858</v>
      </c>
      <c r="AJ439" s="209">
        <f>AJ438+AJ423+AJ436</f>
        <v>62104.6</v>
      </c>
      <c r="AK439" s="209">
        <f>AK438+AK423+AK436</f>
        <v>0</v>
      </c>
      <c r="AL439" s="209">
        <f>AL438+AL423+AL436</f>
        <v>0</v>
      </c>
      <c r="AM439" s="209">
        <f>AM438+AM423+AM436</f>
        <v>0</v>
      </c>
      <c r="AN439" s="209">
        <f>AN438+AN423+AN436</f>
        <v>0</v>
      </c>
      <c r="AO439" s="209">
        <f>AO438+AO423+AO436</f>
        <v>0</v>
      </c>
      <c r="AP439" s="209">
        <f>AP438+AP423+AP436</f>
        <v>0</v>
      </c>
      <c r="AQ439" s="209">
        <f>AQ438+AQ423+AQ436</f>
        <v>0</v>
      </c>
      <c r="AR439" s="209">
        <f>AR438+AR423+AR436</f>
        <v>0</v>
      </c>
      <c r="AS439" s="209">
        <f>AS438+AS423+AS436</f>
        <v>0</v>
      </c>
      <c r="AT439" s="209">
        <f>AT438+AT423+AT436</f>
        <v>64359.81418</v>
      </c>
      <c r="AU439" s="209">
        <f>AU438+AU423+AU436</f>
        <v>0</v>
      </c>
      <c r="AV439" s="209">
        <f>AV438+AV423+AV436</f>
        <v>0</v>
      </c>
      <c r="AW439" s="209">
        <f>AW438+AW423+AW436</f>
        <v>0</v>
      </c>
      <c r="AX439" s="209">
        <f>AX438+AX423+AX436</f>
        <v>0</v>
      </c>
      <c r="AY439" s="209">
        <f>AY438+AY423+AY436</f>
        <v>0</v>
      </c>
      <c r="AZ439" s="209">
        <f>AZ438+AZ423+AZ436</f>
        <v>0</v>
      </c>
      <c r="BA439" s="209">
        <f>BA438+BA423+BA436</f>
        <v>0</v>
      </c>
      <c r="BB439" s="209">
        <f>BB438+BB423+BB436</f>
        <v>0</v>
      </c>
      <c r="BC439" s="209">
        <f>BC438+BC423+BC436</f>
        <v>0</v>
      </c>
      <c r="BD439" s="785">
        <f>IF(AI439=0,0,(AT439-AI439)/AI439*100)</f>
        <v>139.829009873679</v>
      </c>
      <c r="BE439" s="785">
        <f>IF(AT439=0,0,(AU439-AT439)/AT439*100)</f>
        <v>-100</v>
      </c>
      <c r="BF439" s="785">
        <f>IF(AU439=0,0,(AV439-AU439)/AU439*100)</f>
        <v>0</v>
      </c>
      <c r="BG439" s="785">
        <f>IF(AV439=0,0,(AW439-AV439)/AV439*100)</f>
        <v>0</v>
      </c>
      <c r="BH439" s="785">
        <f>IF(AW439=0,0,(AX439-AW439)/AW439*100)</f>
        <v>0</v>
      </c>
      <c r="BI439" s="785">
        <f>IF(AX439=0,0,(AY439-AX439)/AX439*100)</f>
        <v>0</v>
      </c>
      <c r="BJ439" s="785">
        <f>IF(AY439=0,0,(AZ439-AY439)/AY439*100)</f>
        <v>0</v>
      </c>
      <c r="BK439" s="785">
        <f>IF(AZ439=0,0,(BA439-AZ439)/AZ439*100)</f>
        <v>0</v>
      </c>
      <c r="BL439" s="785">
        <f>IF(BA439=0,0,(BB439-BA439)/BA439*100)</f>
        <v>0</v>
      </c>
      <c r="BM439" s="785">
        <f>IF(BB439=0,0,(BC439-BB439)/BB439*100)</f>
        <v>0</v>
      </c>
      <c r="BN439" s="6290"/>
      <c r="BO439" s="6290"/>
      <c r="BP439" s="6290"/>
      <c r="BQ439" s="706"/>
      <c r="BR439" s="706"/>
      <c r="BS439" s="1078" t="s">
        <v>2436</v>
      </c>
      <c r="BT439" s="1078"/>
      <c r="BU439" s="1078"/>
      <c r="BV439" s="713"/>
      <c r="BW439" s="713"/>
    </row>
    <row s="1656" customFormat="1" customHeight="1" ht="14.25" hidden="1">
      <c r="A440" s="1297"/>
      <c r="B440" s="447">
        <f>A315="двухставочный"</f>
        <v>0</v>
      </c>
      <c r="C440" s="103"/>
      <c r="D440" s="103" cm="1" t="str">
        <f t="array" ref="D440:D440">D439</f>
        <v>10</v>
      </c>
      <c r="E440" s="626">
        <v>15</v>
      </c>
      <c r="F440" s="50" cm="1" t="str">
        <f t="array" ref="F440:F440">OFFSET(E440,-1,1)</f>
        <v>2</v>
      </c>
      <c r="G440" s="103"/>
      <c r="H440" s="855"/>
      <c r="I440" s="855" t="s">
        <v>2115</v>
      </c>
      <c r="J440" s="103"/>
      <c r="K440" s="375" t="s">
        <v>2115</v>
      </c>
      <c r="L440" s="988" t="s">
        <v>2104</v>
      </c>
      <c r="M440" s="103"/>
      <c r="N440" s="103"/>
      <c r="O440" s="103"/>
      <c r="P440" s="103"/>
      <c r="Q440" s="103"/>
      <c r="R440" s="103"/>
      <c r="S440" s="103"/>
      <c r="T440" s="468" cm="1" t="str">
        <f t="array" ref="T440:T440">T439</f>
        <v>true</v>
      </c>
      <c r="U440" s="103"/>
      <c r="V440" s="103"/>
      <c r="W440" s="103"/>
      <c r="X440" s="1559"/>
      <c r="Y440" s="1297"/>
      <c r="Z440" s="1529"/>
      <c r="AA440" s="1297"/>
      <c r="AB440" s="296" t="str">
        <f>D440&amp;".1"</f>
        <v>10.1</v>
      </c>
      <c r="AC440" s="1121" t="s">
        <v>2106</v>
      </c>
      <c r="AD440" s="296" t="s">
        <v>936</v>
      </c>
      <c r="AE440" s="1260"/>
      <c r="AF440" s="1260"/>
      <c r="AG440" s="1260"/>
      <c r="AH440" s="1123">
        <f>AG440-AF440</f>
        <v>0</v>
      </c>
      <c r="AI440" s="1260"/>
      <c r="AJ440" s="1260"/>
      <c r="AK440" s="1260"/>
      <c r="AL440" s="1260"/>
      <c r="AM440" s="1260"/>
      <c r="AN440" s="1260"/>
      <c r="AO440" s="1260"/>
      <c r="AP440" s="1260"/>
      <c r="AQ440" s="1260"/>
      <c r="AR440" s="1260"/>
      <c r="AS440" s="1260"/>
      <c r="AT440" s="1260"/>
      <c r="AU440" s="1260"/>
      <c r="AV440" s="1260"/>
      <c r="AW440" s="1260"/>
      <c r="AX440" s="1260"/>
      <c r="AY440" s="1260"/>
      <c r="AZ440" s="1260"/>
      <c r="BA440" s="1260"/>
      <c r="BB440" s="1260"/>
      <c r="BC440" s="1260"/>
      <c r="BD440" s="1124"/>
      <c r="BE440" s="1124"/>
      <c r="BF440" s="1124"/>
      <c r="BG440" s="1124"/>
      <c r="BH440" s="1124"/>
      <c r="BI440" s="1124"/>
      <c r="BJ440" s="1124"/>
      <c r="BK440" s="1124"/>
      <c r="BL440" s="1124"/>
      <c r="BM440" s="1124"/>
      <c r="BN440" s="1257"/>
      <c r="BO440" s="1257"/>
      <c r="BP440" s="1257"/>
      <c r="BQ440" s="1297"/>
      <c r="BR440" s="1297"/>
      <c r="BS440" s="1070" t="s">
        <v>2107</v>
      </c>
      <c r="BT440" s="1072"/>
      <c r="BU440" s="1072"/>
      <c r="BV440" s="987"/>
      <c r="BW440" s="987"/>
    </row>
    <row s="1656" customFormat="1" customHeight="1" ht="14.25" hidden="1">
      <c r="A441" s="1297"/>
      <c r="B441" s="447">
        <f>A315="двухставочный"</f>
        <v>0</v>
      </c>
      <c r="C441" s="103"/>
      <c r="D441" s="103" cm="1" t="str">
        <f t="array" ref="D441:D441">D440</f>
        <v>10</v>
      </c>
      <c r="E441" s="626">
        <v>15</v>
      </c>
      <c r="F441" s="50" cm="1" t="str">
        <f t="array" ref="F441:F441">OFFSET(E441,-1,1)</f>
        <v>2</v>
      </c>
      <c r="G441" s="103"/>
      <c r="H441" s="855"/>
      <c r="I441" s="855" t="s">
        <v>2119</v>
      </c>
      <c r="J441" s="103"/>
      <c r="K441" s="375" t="s">
        <v>2119</v>
      </c>
      <c r="L441" s="988" t="s">
        <v>2108</v>
      </c>
      <c r="M441" s="103"/>
      <c r="N441" s="103"/>
      <c r="O441" s="103"/>
      <c r="P441" s="103"/>
      <c r="Q441" s="103"/>
      <c r="R441" s="103"/>
      <c r="S441" s="103"/>
      <c r="T441" s="468" cm="1" t="str">
        <f t="array" ref="T441:T441">T440</f>
        <v>true</v>
      </c>
      <c r="U441" s="103"/>
      <c r="V441" s="103"/>
      <c r="W441" s="103"/>
      <c r="X441" s="1559"/>
      <c r="Y441" s="1297"/>
      <c r="Z441" s="1529"/>
      <c r="AA441" s="1297"/>
      <c r="AB441" s="296" t="str">
        <f>D441&amp;".2"</f>
        <v>10.2</v>
      </c>
      <c r="AC441" s="1121" t="s">
        <v>2110</v>
      </c>
      <c r="AD441" s="296" t="s">
        <v>936</v>
      </c>
      <c r="AE441" s="1260"/>
      <c r="AF441" s="1260"/>
      <c r="AG441" s="1260"/>
      <c r="AH441" s="1123">
        <f>AG441-AF441</f>
        <v>0</v>
      </c>
      <c r="AI441" s="1260"/>
      <c r="AJ441" s="1260"/>
      <c r="AK441" s="1260"/>
      <c r="AL441" s="1260"/>
      <c r="AM441" s="1260"/>
      <c r="AN441" s="1260"/>
      <c r="AO441" s="1260"/>
      <c r="AP441" s="1260"/>
      <c r="AQ441" s="1260"/>
      <c r="AR441" s="1260"/>
      <c r="AS441" s="1260"/>
      <c r="AT441" s="1260"/>
      <c r="AU441" s="1260"/>
      <c r="AV441" s="1260"/>
      <c r="AW441" s="1260"/>
      <c r="AX441" s="1260"/>
      <c r="AY441" s="1260"/>
      <c r="AZ441" s="1260"/>
      <c r="BA441" s="1260"/>
      <c r="BB441" s="1260"/>
      <c r="BC441" s="1260"/>
      <c r="BD441" s="1124"/>
      <c r="BE441" s="1124"/>
      <c r="BF441" s="1124"/>
      <c r="BG441" s="1124"/>
      <c r="BH441" s="1124"/>
      <c r="BI441" s="1124"/>
      <c r="BJ441" s="1124"/>
      <c r="BK441" s="1124"/>
      <c r="BL441" s="1124"/>
      <c r="BM441" s="1124"/>
      <c r="BN441" s="1257"/>
      <c r="BO441" s="1257"/>
      <c r="BP441" s="1257"/>
      <c r="BQ441" s="1297"/>
      <c r="BR441" s="1297"/>
      <c r="BS441" s="1070" t="s">
        <v>2111</v>
      </c>
      <c r="BT441" s="1072"/>
      <c r="BU441" s="1072"/>
      <c r="BV441" s="987"/>
      <c r="BW441" s="987"/>
    </row>
    <row s="6416" customFormat="1" customHeight="1" ht="20.25">
      <c r="A442" s="706"/>
      <c r="B442" s="437"/>
      <c r="C442" s="105"/>
      <c r="D442" s="105">
        <f>D441+1</f>
        <v>11</v>
      </c>
      <c r="E442" s="833">
        <v>21</v>
      </c>
      <c r="F442" s="50" cm="1" t="str">
        <f t="array" ref="F442:F442">OFFSET(E442,-1,1)</f>
        <v>2</v>
      </c>
      <c r="G442" s="103" t="s">
        <v>1871</v>
      </c>
      <c r="H442" s="103"/>
      <c r="I442" s="103" t="s">
        <v>2139</v>
      </c>
      <c r="J442" s="105"/>
      <c r="K442" s="154" t="s">
        <v>2139</v>
      </c>
      <c r="L442" s="993" t="s">
        <v>2112</v>
      </c>
      <c r="M442" s="105"/>
      <c r="N442" s="105"/>
      <c r="O442" s="105"/>
      <c r="P442" s="105"/>
      <c r="Q442" s="105"/>
      <c r="R442" s="105"/>
      <c r="S442" s="105"/>
      <c r="T442" s="468" cm="1" t="str">
        <f t="array" ref="T442:T442">T441</f>
        <v>true</v>
      </c>
      <c r="U442" s="105"/>
      <c r="V442" s="105"/>
      <c r="W442" s="105"/>
      <c r="X442" s="1559"/>
      <c r="Y442" s="706"/>
      <c r="Z442" s="1529"/>
      <c r="AA442" s="706"/>
      <c r="AB442" s="207" cm="1" t="str">
        <f t="array" ref="AB442:AB442">D442</f>
        <v>11</v>
      </c>
      <c r="AC442" s="208" t="s">
        <v>2113</v>
      </c>
      <c r="AD442" s="207" t="s">
        <v>657</v>
      </c>
      <c r="AE442" s="792">
        <f>_xlfn.SUMIFS(Баланс!AE$26:AE$391,Баланс!$F$26:$F$391,$F442,Баланс!$G$26:$G$391,"ПО")</f>
        <v>4990.56819</v>
      </c>
      <c r="AF442" s="792">
        <f>_xlfn.SUMIFS(Баланс!AF$26:AF$391,Баланс!$F$26:$F$391,$F442,Баланс!$G$26:$G$391,"ПО")</f>
        <v>4761.725</v>
      </c>
      <c r="AG442" s="792">
        <f>_xlfn.SUMIFS(Баланс!AG$26:AG$391,Баланс!$F$26:$F$391,$F442,Баланс!$G$26:$G$391,"ПО")</f>
        <v>4761.725</v>
      </c>
      <c r="AH442" s="792">
        <f>AG442-AF442</f>
        <v>0</v>
      </c>
      <c r="AI442" s="792">
        <f>_xlfn.SUMIFS(Баланс!AH$26:AH$391,Баланс!$F$26:$F$391,$F442,Баланс!$G$26:$G$391,"ПО")</f>
        <v>4897.85523</v>
      </c>
      <c r="AJ442" s="792">
        <f>_xlfn.SUMIFS(Баланс!AI$26:AI$391,Баланс!$F$26:$F$391,$F442,Баланс!$G$26:$G$391,"ПО")</f>
        <v>4766.327</v>
      </c>
      <c r="AK442" s="792">
        <f>_xlfn.SUMIFS(Баланс!AJ$26:AJ$391,Баланс!$F$26:$F$391,$F442,Баланс!$G$26:$G$391,"ПО")</f>
        <v>0</v>
      </c>
      <c r="AL442" s="792">
        <f>_xlfn.SUMIFS(Баланс!AK$26:AK$391,Баланс!$F$26:$F$391,$F442,Баланс!$G$26:$G$391,"ПО")</f>
        <v>0</v>
      </c>
      <c r="AM442" s="792">
        <f>_xlfn.SUMIFS(Баланс!AL$26:AL$391,Баланс!$F$26:$F$391,$F442,Баланс!$G$26:$G$391,"ПО")</f>
        <v>0</v>
      </c>
      <c r="AN442" s="792">
        <f>_xlfn.SUMIFS(Баланс!AM$26:AM$391,Баланс!$F$26:$F$391,$F442,Баланс!$G$26:$G$391,"ПО")</f>
        <v>0</v>
      </c>
      <c r="AO442" s="792">
        <f>_xlfn.SUMIFS(Баланс!AN$26:AN$391,Баланс!$F$26:$F$391,$F442,Баланс!$G$26:$G$391,"ПО")</f>
        <v>0</v>
      </c>
      <c r="AP442" s="792">
        <f>_xlfn.SUMIFS(Баланс!AO$26:AO$391,Баланс!$F$26:$F$391,$F442,Баланс!$G$26:$G$391,"ПО")</f>
        <v>0</v>
      </c>
      <c r="AQ442" s="792">
        <f>_xlfn.SUMIFS(Баланс!AP$26:AP$391,Баланс!$F$26:$F$391,$F442,Баланс!$G$26:$G$391,"ПО")</f>
        <v>0</v>
      </c>
      <c r="AR442" s="792">
        <f>_xlfn.SUMIFS(Баланс!AQ$26:AQ$391,Баланс!$F$26:$F$391,$F442,Баланс!$G$26:$G$391,"ПО")</f>
        <v>0</v>
      </c>
      <c r="AS442" s="792">
        <f>_xlfn.SUMIFS(Баланс!AR$26:AR$391,Баланс!$F$26:$F$391,$F442,Баланс!$G$26:$G$391,"ПО")</f>
        <v>0</v>
      </c>
      <c r="AT442" s="792">
        <f>_xlfn.SUMIFS(Баланс!AS$26:AS$391,Баланс!$F$26:$F$391,$F442,Баланс!$G$26:$G$391,"ПО")</f>
        <v>4589.80103</v>
      </c>
      <c r="AU442" s="792">
        <f>_xlfn.SUMIFS(Баланс!AT$26:AT$391,Баланс!$F$26:$F$391,$F442,Баланс!$G$26:$G$391,"ПО")</f>
        <v>0</v>
      </c>
      <c r="AV442" s="792">
        <f>_xlfn.SUMIFS(Баланс!AU$26:AU$391,Баланс!$F$26:$F$391,$F442,Баланс!$G$26:$G$391,"ПО")</f>
        <v>0</v>
      </c>
      <c r="AW442" s="792">
        <f>_xlfn.SUMIFS(Баланс!AV$26:AV$391,Баланс!$F$26:$F$391,$F442,Баланс!$G$26:$G$391,"ПО")</f>
        <v>0</v>
      </c>
      <c r="AX442" s="792">
        <f>_xlfn.SUMIFS(Баланс!AW$26:AW$391,Баланс!$F$26:$F$391,$F442,Баланс!$G$26:$G$391,"ПО")</f>
        <v>0</v>
      </c>
      <c r="AY442" s="792">
        <f>_xlfn.SUMIFS(Баланс!AX$26:AX$391,Баланс!$F$26:$F$391,$F442,Баланс!$G$26:$G$391,"ПО")</f>
        <v>0</v>
      </c>
      <c r="AZ442" s="792">
        <f>_xlfn.SUMIFS(Баланс!AY$26:AY$391,Баланс!$F$26:$F$391,$F442,Баланс!$G$26:$G$391,"ПО")</f>
        <v>0</v>
      </c>
      <c r="BA442" s="792">
        <f>_xlfn.SUMIFS(Баланс!AZ$26:AZ$391,Баланс!$F$26:$F$391,$F442,Баланс!$G$26:$G$391,"ПО")</f>
        <v>0</v>
      </c>
      <c r="BB442" s="792">
        <f>_xlfn.SUMIFS(Баланс!BA$26:BA$391,Баланс!$F$26:$F$391,$F442,Баланс!$G$26:$G$391,"ПО")</f>
        <v>0</v>
      </c>
      <c r="BC442" s="792">
        <f>_xlfn.SUMIFS(Баланс!BB$26:BB$391,Баланс!$F$26:$F$391,$F442,Баланс!$G$26:$G$391,"ПО")</f>
        <v>0</v>
      </c>
      <c r="BD442" s="212"/>
      <c r="BE442" s="212"/>
      <c r="BF442" s="212"/>
      <c r="BG442" s="212"/>
      <c r="BH442" s="212"/>
      <c r="BI442" s="212"/>
      <c r="BJ442" s="212"/>
      <c r="BK442" s="212"/>
      <c r="BL442" s="212"/>
      <c r="BM442" s="212"/>
      <c r="BN442" s="6290"/>
      <c r="BO442" s="6290"/>
      <c r="BP442" s="6290"/>
      <c r="BQ442" s="706"/>
      <c r="BR442" s="706"/>
      <c r="BS442" s="1071" t="s">
        <v>2114</v>
      </c>
      <c r="BT442" s="1078"/>
      <c r="BU442" s="1078"/>
      <c r="BV442" s="713"/>
      <c r="BW442" s="713"/>
    </row>
    <row s="1656" customFormat="1" customHeight="1" ht="14.625">
      <c r="A443" s="1297"/>
      <c r="B443" s="986"/>
      <c r="C443" s="103"/>
      <c r="D443" s="103" cm="1" t="str">
        <f t="array" ref="D443:D443">D442</f>
        <v>11</v>
      </c>
      <c r="E443" s="626">
        <v>15</v>
      </c>
      <c r="F443" s="50" cm="1" t="str">
        <f t="array" ref="F443:F443">OFFSET(E443,-1,1)</f>
        <v>2</v>
      </c>
      <c r="G443" s="103" t="s">
        <v>1898</v>
      </c>
      <c r="H443" s="103"/>
      <c r="I443" s="103" t="s">
        <v>2437</v>
      </c>
      <c r="J443" s="103"/>
      <c r="K443" s="154" t="s">
        <v>2437</v>
      </c>
      <c r="L443" s="988" t="s">
        <v>2115</v>
      </c>
      <c r="M443" s="103"/>
      <c r="N443" s="103"/>
      <c r="O443" s="103"/>
      <c r="P443" s="103"/>
      <c r="Q443" s="103"/>
      <c r="R443" s="103"/>
      <c r="S443" s="103"/>
      <c r="T443" s="468" cm="1" t="str">
        <f t="array" ref="T443:T443">T442</f>
        <v>true</v>
      </c>
      <c r="U443" s="103"/>
      <c r="V443" s="103"/>
      <c r="W443" s="103"/>
      <c r="X443" s="1559"/>
      <c r="Y443" s="1297"/>
      <c r="Z443" s="1529"/>
      <c r="AA443" s="1297"/>
      <c r="AB443" s="296" t="str">
        <f>D443&amp;".1"</f>
        <v>11.1</v>
      </c>
      <c r="AC443" s="1120" t="s">
        <v>2117</v>
      </c>
      <c r="AD443" s="296" t="s">
        <v>657</v>
      </c>
      <c r="AE443" s="6291">
        <v>2495.284095</v>
      </c>
      <c r="AF443" s="6291">
        <f>IF(AF$24="2026 год",AF442/12*9,AF442/2)</f>
        <v>2380.8625</v>
      </c>
      <c r="AG443" s="6291">
        <f>IF(AG$24="2026 год",AG442/12*9,AG442/2)</f>
        <v>2380.8625</v>
      </c>
      <c r="AH443" s="1122">
        <f>AG443-AF443</f>
        <v>0</v>
      </c>
      <c r="AI443" s="6291">
        <v>2448.927615</v>
      </c>
      <c r="AJ443" s="6291">
        <f>IF(AJ$24="2026 год",AJ442/12*9,AJ442/2)</f>
        <v>3574.74525</v>
      </c>
      <c r="AK443" s="1258">
        <f>IF(AK$24="2026 год",AK442/12*9,AK442/2)</f>
        <v>0</v>
      </c>
      <c r="AL443" s="1258">
        <f>IF(AL$24="2026 год",AL442/12*9,AL442/2)</f>
        <v>0</v>
      </c>
      <c r="AM443" s="1258">
        <f>IF(AM$24="2026 год",AM442/12*9,AM442/2)</f>
        <v>0</v>
      </c>
      <c r="AN443" s="1258">
        <f>IF(AN$24="2026 год",AN442/12*9,AN442/2)</f>
        <v>0</v>
      </c>
      <c r="AO443" s="1258">
        <f>IF(AO$24="2026 год",AO442/12*9,AO442/2)</f>
        <v>0</v>
      </c>
      <c r="AP443" s="1258">
        <f>IF(AP$24="2026 год",AP442/12*9,AP442/2)</f>
        <v>0</v>
      </c>
      <c r="AQ443" s="1258">
        <f>IF(AQ$24="2026 год",AQ442/12*9,AQ442/2)</f>
        <v>0</v>
      </c>
      <c r="AR443" s="1258">
        <f>IF(AR$24="2026 год",AR442/12*9,AR442/2)</f>
        <v>0</v>
      </c>
      <c r="AS443" s="1258">
        <f>IF(AS$24="2026 год",AS442/12*9,AS442/2)</f>
        <v>0</v>
      </c>
      <c r="AT443" s="6356">
        <f>IF(AT$24="2026 год",AT442/12*9,AT442/2)</f>
        <v>3442.3507725</v>
      </c>
      <c r="AU443" s="1280">
        <f>IF(AU$24="2026 год",AU442/12*9,AU442/2)</f>
        <v>0</v>
      </c>
      <c r="AV443" s="1258">
        <f>IF(AV$24="2026 год",AV442/12*9,AV442/2)</f>
        <v>0</v>
      </c>
      <c r="AW443" s="1258">
        <f>IF(AW$24="2026 год",AW442/12*9,AW442/2)</f>
        <v>0</v>
      </c>
      <c r="AX443" s="1258">
        <f>IF(AX$24="2026 год",AX442/12*9,AX442/2)</f>
        <v>0</v>
      </c>
      <c r="AY443" s="1258">
        <f>IF(AY$24="2026 год",AY442/12*9,AY442/2)</f>
        <v>0</v>
      </c>
      <c r="AZ443" s="1258">
        <f>IF(AZ$24="2026 год",AZ442/12*9,AZ442/2)</f>
        <v>0</v>
      </c>
      <c r="BA443" s="1258">
        <f>IF(BA$24="2026 год",BA442/12*9,BA442/2)</f>
        <v>0</v>
      </c>
      <c r="BB443" s="1258">
        <f>IF(BB$24="2026 год",BB442/12*9,BB442/2)</f>
        <v>0</v>
      </c>
      <c r="BC443" s="1258">
        <f>IF(BC$24="2026 год",BC442/12*9,BC442/2)</f>
        <v>0</v>
      </c>
      <c r="BD443" s="1124"/>
      <c r="BE443" s="1124"/>
      <c r="BF443" s="1124"/>
      <c r="BG443" s="1124"/>
      <c r="BH443" s="1124"/>
      <c r="BI443" s="1124"/>
      <c r="BJ443" s="1124"/>
      <c r="BK443" s="1124"/>
      <c r="BL443" s="1124"/>
      <c r="BM443" s="1124"/>
      <c r="BN443" s="6290"/>
      <c r="BO443" s="6290"/>
      <c r="BP443" s="6290"/>
      <c r="BQ443" s="1297"/>
      <c r="BR443" s="1297"/>
      <c r="BS443" s="1070" t="s">
        <v>2118</v>
      </c>
      <c r="BT443" s="1072"/>
      <c r="BU443" s="1072"/>
      <c r="BV443" s="987"/>
      <c r="BW443" s="987"/>
    </row>
    <row s="1656" customFormat="1" customHeight="1" ht="128.25">
      <c r="A444" s="1297"/>
      <c r="B444" s="986"/>
      <c r="C444" s="103"/>
      <c r="D444" s="103" cm="1" t="str">
        <f t="array" ref="D444:D444">D443</f>
        <v>11</v>
      </c>
      <c r="E444" s="626">
        <v>15</v>
      </c>
      <c r="F444" s="50" cm="1" t="str">
        <f t="array" ref="F444:F444">OFFSET(E444,-1,1)</f>
        <v>2</v>
      </c>
      <c r="G444" s="103" t="s">
        <v>1859</v>
      </c>
      <c r="H444" s="103"/>
      <c r="I444" s="103" t="s">
        <v>2438</v>
      </c>
      <c r="J444" s="103"/>
      <c r="K444" s="154" t="s">
        <v>2438</v>
      </c>
      <c r="L444" s="988" t="s">
        <v>2119</v>
      </c>
      <c r="M444" s="103"/>
      <c r="N444" s="103"/>
      <c r="O444" s="103"/>
      <c r="P444" s="103"/>
      <c r="Q444" s="103"/>
      <c r="R444" s="103"/>
      <c r="S444" s="103"/>
      <c r="T444" s="468" cm="1" t="str">
        <f t="array" ref="T444:T444">T443</f>
        <v>true</v>
      </c>
      <c r="U444" s="103"/>
      <c r="V444" s="103"/>
      <c r="W444" s="103"/>
      <c r="X444" s="1559"/>
      <c r="Y444" s="1297"/>
      <c r="Z444" s="1529"/>
      <c r="AA444" s="1297"/>
      <c r="AB444" s="296" t="str">
        <f>D444&amp;".2"</f>
        <v>11.2</v>
      </c>
      <c r="AC444" s="1120" t="s">
        <v>2121</v>
      </c>
      <c r="AD444" s="296" t="s">
        <v>1862</v>
      </c>
      <c r="AE444" s="6293">
        <v>37.01</v>
      </c>
      <c r="AF444" s="6293"/>
      <c r="AG444" s="6293"/>
      <c r="AH444" s="1123">
        <f>AG444-AF444</f>
        <v>0</v>
      </c>
      <c r="AI444" s="6293">
        <v>40.56</v>
      </c>
      <c r="AJ444" s="6293"/>
      <c r="AK444" s="1260"/>
      <c r="AL444" s="1260"/>
      <c r="AM444" s="1260"/>
      <c r="AN444" s="1260"/>
      <c r="AO444" s="1260"/>
      <c r="AP444" s="1260"/>
      <c r="AQ444" s="1260"/>
      <c r="AR444" s="1260"/>
      <c r="AS444" s="1260"/>
      <c r="AT444" s="6293"/>
      <c r="AU444" s="1260" cm="1" t="str">
        <f t="array" ref="AU444:AU444">AT446</f>
        <v>56.0894154315879</v>
      </c>
      <c r="AV444" s="1260" cm="1" t="str">
        <f t="array" ref="AV444:AV444">AU446</f>
        <v>0</v>
      </c>
      <c r="AW444" s="1260" cm="1" t="str">
        <f t="array" ref="AW444:AW444">AV446</f>
        <v>0</v>
      </c>
      <c r="AX444" s="1260" cm="1" t="str">
        <f t="array" ref="AX444:AX444">AW446</f>
        <v>0</v>
      </c>
      <c r="AY444" s="1260" cm="1" t="str">
        <f t="array" ref="AY444:AY444">AX446</f>
        <v>0</v>
      </c>
      <c r="AZ444" s="1260" cm="1" t="str">
        <f t="array" ref="AZ444:AZ444">AY446</f>
        <v>0</v>
      </c>
      <c r="BA444" s="1260" cm="1" t="str">
        <f t="array" ref="BA444:BA444">AZ446</f>
        <v>0</v>
      </c>
      <c r="BB444" s="1260" cm="1" t="str">
        <f t="array" ref="BB444:BB444">BA446</f>
        <v>0</v>
      </c>
      <c r="BC444" s="1260" cm="1" t="str">
        <f t="array" ref="BC444:BC444">BB446</f>
        <v>0</v>
      </c>
      <c r="BD444" s="1124"/>
      <c r="BE444" s="1124"/>
      <c r="BF444" s="1124"/>
      <c r="BG444" s="1124"/>
      <c r="BH444" s="1124"/>
      <c r="BI444" s="1124"/>
      <c r="BJ444" s="1124"/>
      <c r="BK444" s="1124"/>
      <c r="BL444" s="1124"/>
      <c r="BM444" s="1124"/>
      <c r="BN444" s="6290"/>
      <c r="BO444" s="6290" t="s">
        <v>2467</v>
      </c>
      <c r="BP444" s="6290"/>
      <c r="BQ444" s="1297"/>
      <c r="BR444" s="1297"/>
      <c r="BS444" s="1070" t="s">
        <v>2122</v>
      </c>
      <c r="BT444" s="1072"/>
      <c r="BU444" s="1072"/>
      <c r="BV444" s="987"/>
      <c r="BW444" s="987"/>
    </row>
    <row s="1656" customFormat="1" customHeight="1" ht="14.25">
      <c r="A445" s="1297"/>
      <c r="B445" s="986"/>
      <c r="C445" s="103"/>
      <c r="D445" s="103" cm="1" t="str">
        <f t="array" ref="D445:D445">D444</f>
        <v>11</v>
      </c>
      <c r="E445" s="626">
        <v>15</v>
      </c>
      <c r="F445" s="50" cm="1" t="str">
        <f t="array" ref="F445:F445">OFFSET(E445,-1,1)</f>
        <v>2</v>
      </c>
      <c r="G445" s="103" t="s">
        <v>1911</v>
      </c>
      <c r="H445" s="103"/>
      <c r="I445" s="103" t="s">
        <v>2439</v>
      </c>
      <c r="J445" s="103"/>
      <c r="K445" s="154" t="s">
        <v>2439</v>
      </c>
      <c r="L445" s="988" t="s">
        <v>2123</v>
      </c>
      <c r="M445" s="103"/>
      <c r="N445" s="103"/>
      <c r="O445" s="103"/>
      <c r="P445" s="103"/>
      <c r="Q445" s="103"/>
      <c r="R445" s="103"/>
      <c r="S445" s="103"/>
      <c r="T445" s="468" cm="1" t="str">
        <f t="array" ref="T445:T445">T444</f>
        <v>true</v>
      </c>
      <c r="U445" s="103"/>
      <c r="V445" s="103"/>
      <c r="W445" s="103"/>
      <c r="X445" s="1559"/>
      <c r="Y445" s="1297"/>
      <c r="Z445" s="1529"/>
      <c r="AA445" s="1297"/>
      <c r="AB445" s="296" t="str">
        <f>D445&amp;".3"</f>
        <v>11.3</v>
      </c>
      <c r="AC445" s="1120" t="s">
        <v>2440</v>
      </c>
      <c r="AD445" s="296" t="s">
        <v>657</v>
      </c>
      <c r="AE445" s="1122">
        <f>AE442-AE443</f>
        <v>2495.284095</v>
      </c>
      <c r="AF445" s="1122">
        <f>AF442-AF443</f>
        <v>2380.8625</v>
      </c>
      <c r="AG445" s="1122">
        <f>AG442-AG443</f>
        <v>2380.8625</v>
      </c>
      <c r="AH445" s="1122">
        <f>AG445-AF445</f>
        <v>0</v>
      </c>
      <c r="AI445" s="1122">
        <f>AI442-AI443</f>
        <v>2448.927615</v>
      </c>
      <c r="AJ445" s="1122">
        <f>AJ442-AJ443</f>
        <v>1191.58175</v>
      </c>
      <c r="AK445" s="1122">
        <f>AK442-AK443</f>
        <v>0</v>
      </c>
      <c r="AL445" s="1122">
        <f>AL442-AL443</f>
        <v>0</v>
      </c>
      <c r="AM445" s="1122">
        <f>AM442-AM443</f>
        <v>0</v>
      </c>
      <c r="AN445" s="1122">
        <f>AN442-AN443</f>
        <v>0</v>
      </c>
      <c r="AO445" s="1122">
        <f>AO442-AO443</f>
        <v>0</v>
      </c>
      <c r="AP445" s="1122">
        <f>AP442-AP443</f>
        <v>0</v>
      </c>
      <c r="AQ445" s="1122">
        <f>AQ442-AQ443</f>
        <v>0</v>
      </c>
      <c r="AR445" s="1122">
        <f>AR442-AR443</f>
        <v>0</v>
      </c>
      <c r="AS445" s="1122">
        <f>AS442-AS443</f>
        <v>0</v>
      </c>
      <c r="AT445" s="1122">
        <f>AT442-AT443</f>
        <v>1147.4502575</v>
      </c>
      <c r="AU445" s="1122">
        <f>AU442-AU443</f>
        <v>0</v>
      </c>
      <c r="AV445" s="1122">
        <f>AV442-AV443</f>
        <v>0</v>
      </c>
      <c r="AW445" s="1122">
        <f>AW442-AW443</f>
        <v>0</v>
      </c>
      <c r="AX445" s="1122">
        <f>AX442-AX443</f>
        <v>0</v>
      </c>
      <c r="AY445" s="1122">
        <f>AY442-AY443</f>
        <v>0</v>
      </c>
      <c r="AZ445" s="1122">
        <f>AZ442-AZ443</f>
        <v>0</v>
      </c>
      <c r="BA445" s="1122">
        <f>BA442-BA443</f>
        <v>0</v>
      </c>
      <c r="BB445" s="1122">
        <f>BB442-BB443</f>
        <v>0</v>
      </c>
      <c r="BC445" s="1122">
        <f>BC442-BC443</f>
        <v>0</v>
      </c>
      <c r="BD445" s="1124"/>
      <c r="BE445" s="1124"/>
      <c r="BF445" s="1124"/>
      <c r="BG445" s="1124"/>
      <c r="BH445" s="1124"/>
      <c r="BI445" s="1124"/>
      <c r="BJ445" s="1124"/>
      <c r="BK445" s="1124"/>
      <c r="BL445" s="1124"/>
      <c r="BM445" s="1124"/>
      <c r="BN445" s="6290"/>
      <c r="BO445" s="6290"/>
      <c r="BP445" s="6290"/>
      <c r="BQ445" s="1297"/>
      <c r="BR445" s="1297"/>
      <c r="BS445" s="1070" t="s">
        <v>2126</v>
      </c>
      <c r="BT445" s="1072"/>
      <c r="BU445" s="1072"/>
      <c r="BV445" s="987"/>
      <c r="BW445" s="987"/>
    </row>
    <row s="1656" customFormat="1" customHeight="1" ht="14.625">
      <c r="A446" s="1297"/>
      <c r="B446" s="986"/>
      <c r="C446" s="103"/>
      <c r="D446" s="103" cm="1" t="str">
        <f t="array" ref="D446:D446">D445</f>
        <v>11</v>
      </c>
      <c r="E446" s="626">
        <v>15</v>
      </c>
      <c r="F446" s="50" cm="1" t="str">
        <f t="array" ref="F446:F446">OFFSET(E446,-1,1)</f>
        <v>2</v>
      </c>
      <c r="G446" s="103" t="s">
        <v>1864</v>
      </c>
      <c r="H446" s="103"/>
      <c r="I446" s="103" t="s">
        <v>2441</v>
      </c>
      <c r="J446" s="103"/>
      <c r="K446" s="154" t="s">
        <v>2441</v>
      </c>
      <c r="L446" s="988" t="s">
        <v>2127</v>
      </c>
      <c r="M446" s="103"/>
      <c r="N446" s="103"/>
      <c r="O446" s="103"/>
      <c r="P446" s="103"/>
      <c r="Q446" s="103"/>
      <c r="R446" s="103"/>
      <c r="S446" s="103"/>
      <c r="T446" s="468" cm="1" t="str">
        <f t="array" ref="T446:T446">T445</f>
        <v>true</v>
      </c>
      <c r="U446" s="103"/>
      <c r="V446" s="103"/>
      <c r="W446" s="103"/>
      <c r="X446" s="1559"/>
      <c r="Y446" s="1297"/>
      <c r="Z446" s="1529"/>
      <c r="AA446" s="1297"/>
      <c r="AB446" s="296" t="str">
        <f>D446&amp;".4"</f>
        <v>11.4</v>
      </c>
      <c r="AC446" s="1120" t="s">
        <v>2129</v>
      </c>
      <c r="AD446" s="296" t="s">
        <v>1862</v>
      </c>
      <c r="AE446" s="6293">
        <v>40.5599985768</v>
      </c>
      <c r="AF446" s="6293">
        <f>IF(AF445=0,0,(AF439-AF443*AF444)/AF445)</f>
        <v>12.3931987672535</v>
      </c>
      <c r="AG446" s="6293">
        <f>IF(AG445=0,0,(AG439-AG443*AG444)/AG445)</f>
        <v>12.4181445465628</v>
      </c>
      <c r="AH446" s="1123">
        <f>AG446-AF446</f>
        <v>0.0249457793093004</v>
      </c>
      <c r="AI446" s="6293">
        <v>45.4299971278</v>
      </c>
      <c r="AJ446" s="6293">
        <f>IF(AJ445=0,0,(AJ439-AJ443*AJ444)/AJ445)</f>
        <v>52.1194622190211</v>
      </c>
      <c r="AK446" s="1260">
        <f>IF(AK445=0,0,(AK439-AK443*AK444)/AK445)</f>
        <v>0</v>
      </c>
      <c r="AL446" s="1260">
        <f>IF(AL445=0,0,(AL439-AL443*AL444)/AL445)</f>
        <v>0</v>
      </c>
      <c r="AM446" s="1260">
        <f>IF(AM445=0,0,(AM439-AM443*AM444)/AM445)</f>
        <v>0</v>
      </c>
      <c r="AN446" s="1260">
        <f>IF(AN445=0,0,(AN439-AN443*AN444)/AN445)</f>
        <v>0</v>
      </c>
      <c r="AO446" s="1260">
        <f>IF(AO445=0,0,(AO439-AO443*AO444)/AO445)</f>
        <v>0</v>
      </c>
      <c r="AP446" s="1260">
        <f>IF(AP445=0,0,(AP439-AP443*AP444)/AP445)</f>
        <v>0</v>
      </c>
      <c r="AQ446" s="1260">
        <f>IF(AQ445=0,0,(AQ439-AQ443*AQ444)/AQ445)</f>
        <v>0</v>
      </c>
      <c r="AR446" s="1260">
        <f>IF(AR445=0,0,(AR439-AR443*AR444)/AR445)</f>
        <v>0</v>
      </c>
      <c r="AS446" s="1260">
        <f>IF(AS445=0,0,(AS439-AS443*AS444)/AS445)</f>
        <v>0</v>
      </c>
      <c r="AT446" s="6293">
        <f>IF(AT445=0,0,(AT439-AT443*AT444)/AT445)</f>
        <v>56.0894154315879</v>
      </c>
      <c r="AU446" s="1260">
        <f>IF(AU445=0,0,(AU439-AU443*AU444)/AU445)</f>
        <v>0</v>
      </c>
      <c r="AV446" s="1260">
        <f>IF(AV445=0,0,(AV439-AV443*AV444)/AV445)</f>
        <v>0</v>
      </c>
      <c r="AW446" s="1260">
        <f>IF(AW445=0,0,(AW439-AW443*AW444)/AW445)</f>
        <v>0</v>
      </c>
      <c r="AX446" s="1260">
        <f>IF(AX445=0,0,(AX439-AX443*AX444)/AX445)</f>
        <v>0</v>
      </c>
      <c r="AY446" s="1260">
        <f>IF(AY445=0,0,(AY439-AY443*AY444)/AY445)</f>
        <v>0</v>
      </c>
      <c r="AZ446" s="1260">
        <f>IF(AZ445=0,0,(AZ439-AZ443*AZ444)/AZ445)</f>
        <v>0</v>
      </c>
      <c r="BA446" s="1260">
        <f>IF(BA445=0,0,(BA439-BA443*BA444)/BA445)</f>
        <v>0</v>
      </c>
      <c r="BB446" s="1260">
        <f>IF(BB445=0,0,(BB439-BB443*BB444)/BB445)</f>
        <v>0</v>
      </c>
      <c r="BC446" s="1260">
        <f>IF(BC445=0,0,(BC439-BC443*BC444)/BC445)</f>
        <v>0</v>
      </c>
      <c r="BD446" s="1124"/>
      <c r="BE446" s="1124"/>
      <c r="BF446" s="1124"/>
      <c r="BG446" s="1124"/>
      <c r="BH446" s="1124"/>
      <c r="BI446" s="1124"/>
      <c r="BJ446" s="1124"/>
      <c r="BK446" s="1124"/>
      <c r="BL446" s="1124"/>
      <c r="BM446" s="1124"/>
      <c r="BN446" s="6290"/>
      <c r="BO446" s="6290"/>
      <c r="BP446" s="6290"/>
      <c r="BQ446" s="1297"/>
      <c r="BR446" s="1297"/>
      <c r="BS446" s="1070" t="s">
        <v>2130</v>
      </c>
      <c r="BT446" s="1072"/>
      <c r="BU446" s="1072"/>
      <c r="BV446" s="987"/>
      <c r="BW446" s="987"/>
    </row>
    <row s="1656" customFormat="1" customHeight="1" ht="14.25">
      <c r="A447" s="1297"/>
      <c r="B447" s="986"/>
      <c r="C447" s="103"/>
      <c r="D447" s="103" cm="1" t="str">
        <f t="array" ref="D447:D447">D446</f>
        <v>11</v>
      </c>
      <c r="E447" s="626">
        <v>15</v>
      </c>
      <c r="F447" s="50" cm="1" t="str">
        <f t="array" ref="F447:F447">OFFSET(E447,-1,1)</f>
        <v>2</v>
      </c>
      <c r="G447" s="103"/>
      <c r="H447" s="103"/>
      <c r="I447" s="103" t="s">
        <v>2442</v>
      </c>
      <c r="J447" s="103"/>
      <c r="K447" s="154" t="s">
        <v>2442</v>
      </c>
      <c r="L447" s="988" t="s">
        <v>2131</v>
      </c>
      <c r="M447" s="103"/>
      <c r="N447" s="103"/>
      <c r="O447" s="103"/>
      <c r="P447" s="103"/>
      <c r="Q447" s="103"/>
      <c r="R447" s="103"/>
      <c r="S447" s="103"/>
      <c r="T447" s="468" cm="1" t="str">
        <f t="array" ref="T447:T447">T446</f>
        <v>true</v>
      </c>
      <c r="U447" s="103"/>
      <c r="V447" s="103"/>
      <c r="W447" s="103"/>
      <c r="X447" s="1559"/>
      <c r="Y447" s="1297"/>
      <c r="Z447" s="1529"/>
      <c r="AA447" s="1297"/>
      <c r="AB447" s="296" t="str">
        <f>D447&amp;".5"</f>
        <v>11.5</v>
      </c>
      <c r="AC447" s="1120" t="s">
        <v>2133</v>
      </c>
      <c r="AD447" s="296" t="s">
        <v>561</v>
      </c>
      <c r="AE447" s="1123">
        <f>IF(AE444=0,0,AE446/AE444*100)</f>
        <v>109.591998316131</v>
      </c>
      <c r="AF447" s="1123">
        <f>IF(AF444=0,0,AF446/AF444*100)</f>
        <v>0</v>
      </c>
      <c r="AG447" s="1123">
        <f>IF(AG444=0,0,AG446/AG444*100)</f>
        <v>0</v>
      </c>
      <c r="AH447" s="1124"/>
      <c r="AI447" s="1123">
        <f>IF(AI444=0,0,AI446/AI444*100)</f>
        <v>112.006896271696</v>
      </c>
      <c r="AJ447" s="1123">
        <f>IF(AJ444=0,0,AJ446/AJ444*100)</f>
        <v>0</v>
      </c>
      <c r="AK447" s="1123">
        <f>IF(AK444=0,0,AK446/AK444*100)</f>
        <v>0</v>
      </c>
      <c r="AL447" s="1123">
        <f>IF(AL444=0,0,AL446/AL444*100)</f>
        <v>0</v>
      </c>
      <c r="AM447" s="1123">
        <f>IF(AM444=0,0,AM446/AM444*100)</f>
        <v>0</v>
      </c>
      <c r="AN447" s="1123">
        <f>IF(AN444=0,0,AN446/AN444*100)</f>
        <v>0</v>
      </c>
      <c r="AO447" s="1123">
        <f>IF(AO444=0,0,AO446/AO444*100)</f>
        <v>0</v>
      </c>
      <c r="AP447" s="1123">
        <f>IF(AP444=0,0,AP446/AP444*100)</f>
        <v>0</v>
      </c>
      <c r="AQ447" s="1123">
        <f>IF(AQ444=0,0,AQ446/AQ444*100)</f>
        <v>0</v>
      </c>
      <c r="AR447" s="1123">
        <f>IF(AR444=0,0,AR446/AR444*100)</f>
        <v>0</v>
      </c>
      <c r="AS447" s="1123">
        <f>IF(AS444=0,0,AS446/AS444*100)</f>
        <v>0</v>
      </c>
      <c r="AT447" s="1123">
        <f>IF(AT444=0,0,AT446/AT444*100)</f>
        <v>0</v>
      </c>
      <c r="AU447" s="1123">
        <f>IF(AU444=0,0,AU446/AU444*100)</f>
        <v>0</v>
      </c>
      <c r="AV447" s="1123">
        <f>IF(AV444=0,0,AV446/AV444*100)</f>
        <v>0</v>
      </c>
      <c r="AW447" s="1123">
        <f>IF(AW444=0,0,AW446/AW444*100)</f>
        <v>0</v>
      </c>
      <c r="AX447" s="1123">
        <f>IF(AX444=0,0,AX446/AX444*100)</f>
        <v>0</v>
      </c>
      <c r="AY447" s="1123">
        <f>IF(AY444=0,0,AY446/AY444*100)</f>
        <v>0</v>
      </c>
      <c r="AZ447" s="1123">
        <f>IF(AZ444=0,0,AZ446/AZ444*100)</f>
        <v>0</v>
      </c>
      <c r="BA447" s="1123">
        <f>IF(BA444=0,0,BA446/BA444*100)</f>
        <v>0</v>
      </c>
      <c r="BB447" s="1123">
        <f>IF(BB444=0,0,BB446/BB444*100)</f>
        <v>0</v>
      </c>
      <c r="BC447" s="1123">
        <f>IF(BC444=0,0,BC446/BC444*100)</f>
        <v>0</v>
      </c>
      <c r="BD447" s="1124"/>
      <c r="BE447" s="1124"/>
      <c r="BF447" s="1124"/>
      <c r="BG447" s="1124"/>
      <c r="BH447" s="1124"/>
      <c r="BI447" s="1124"/>
      <c r="BJ447" s="1124"/>
      <c r="BK447" s="1124"/>
      <c r="BL447" s="1124"/>
      <c r="BM447" s="1124"/>
      <c r="BN447" s="6290"/>
      <c r="BO447" s="6290"/>
      <c r="BP447" s="6290"/>
      <c r="BQ447" s="1297"/>
      <c r="BR447" s="1297"/>
      <c r="BS447" s="1070" t="s">
        <v>2134</v>
      </c>
      <c r="BT447" s="1072"/>
      <c r="BU447" s="1072"/>
      <c r="BV447" s="987"/>
      <c r="BW447" s="987"/>
    </row>
    <row s="1656" customFormat="1" customHeight="1" ht="14.625">
      <c r="A448" s="1297"/>
      <c r="B448" s="986"/>
      <c r="C448" s="103"/>
      <c r="D448" s="103" cm="1" t="str">
        <f t="array" ref="D448:D448">D447</f>
        <v>11</v>
      </c>
      <c r="E448" s="626">
        <v>15</v>
      </c>
      <c r="F448" s="50" cm="1" t="str">
        <f t="array" ref="F448:F448">OFFSET(E448,-1,1)</f>
        <v>2</v>
      </c>
      <c r="G448" s="103"/>
      <c r="H448" s="103"/>
      <c r="I448" s="103" t="s">
        <v>2443</v>
      </c>
      <c r="J448" s="103"/>
      <c r="K448" s="154" t="s">
        <v>2443</v>
      </c>
      <c r="L448" s="988" t="s">
        <v>2135</v>
      </c>
      <c r="M448" s="103"/>
      <c r="N448" s="103"/>
      <c r="O448" s="103"/>
      <c r="P448" s="103"/>
      <c r="Q448" s="103"/>
      <c r="R448" s="103"/>
      <c r="S448" s="103"/>
      <c r="T448" s="468" cm="1" t="str">
        <f t="array" ref="T448:T448">T447</f>
        <v>true</v>
      </c>
      <c r="U448" s="103"/>
      <c r="V448" s="103"/>
      <c r="W448" s="103"/>
      <c r="X448" s="1559"/>
      <c r="Y448" s="1297"/>
      <c r="Z448" s="1529"/>
      <c r="AA448" s="1297"/>
      <c r="AB448" s="296" t="str">
        <f>D448&amp;".6"</f>
        <v>11.6</v>
      </c>
      <c r="AC448" s="1120" t="s">
        <v>2137</v>
      </c>
      <c r="AD448" s="296" t="s">
        <v>1862</v>
      </c>
      <c r="AE448" s="6293">
        <v>38.7849992884</v>
      </c>
      <c r="AF448" s="6293">
        <f>IF(AF442=0,0,AF439/AF442)</f>
        <v>6.19659938362673</v>
      </c>
      <c r="AG448" s="6293">
        <f>IF(AG442=0,0,AG439/AG442)</f>
        <v>6.20907227328138</v>
      </c>
      <c r="AH448" s="1123">
        <f>AG448-AF448</f>
        <v>0.0124728896546493</v>
      </c>
      <c r="AI448" s="6293">
        <v>42.9949985639</v>
      </c>
      <c r="AJ448" s="6293">
        <f>IF(AJ442=0,0,AJ439/AJ442)</f>
        <v>13.0298655547553</v>
      </c>
      <c r="AK448" s="1260">
        <f>IF(AK442=0,0,AK439/AK442)</f>
        <v>0</v>
      </c>
      <c r="AL448" s="1260">
        <f>IF(AL442=0,0,AL439/AL442)</f>
        <v>0</v>
      </c>
      <c r="AM448" s="1260">
        <f>IF(AM442=0,0,AM439/AM442)</f>
        <v>0</v>
      </c>
      <c r="AN448" s="1260">
        <f>IF(AN442=0,0,AN439/AN442)</f>
        <v>0</v>
      </c>
      <c r="AO448" s="1260">
        <f>IF(AO442=0,0,AO439/AO442)</f>
        <v>0</v>
      </c>
      <c r="AP448" s="1260">
        <f>IF(AP442=0,0,AP439/AP442)</f>
        <v>0</v>
      </c>
      <c r="AQ448" s="1260">
        <f>IF(AQ442=0,0,AQ439/AQ442)</f>
        <v>0</v>
      </c>
      <c r="AR448" s="1260">
        <f>IF(AR442=0,0,AR439/AR442)</f>
        <v>0</v>
      </c>
      <c r="AS448" s="1260">
        <f>IF(AS442=0,0,AS439/AS442)</f>
        <v>0</v>
      </c>
      <c r="AT448" s="6293">
        <f>IF(AT442=0,0,AT439/AT442)</f>
        <v>14.022353857897</v>
      </c>
      <c r="AU448" s="1260">
        <f>IF(AU442=0,0,AU439/AU442)</f>
        <v>0</v>
      </c>
      <c r="AV448" s="1260">
        <f>IF(AV442=0,0,AV439/AV442)</f>
        <v>0</v>
      </c>
      <c r="AW448" s="1260">
        <f>IF(AW442=0,0,AW439/AW442)</f>
        <v>0</v>
      </c>
      <c r="AX448" s="1260">
        <f>IF(AX442=0,0,AX439/AX442)</f>
        <v>0</v>
      </c>
      <c r="AY448" s="1260">
        <f>IF(AY442=0,0,AY439/AY442)</f>
        <v>0</v>
      </c>
      <c r="AZ448" s="1260">
        <f>IF(AZ442=0,0,AZ439/AZ442)</f>
        <v>0</v>
      </c>
      <c r="BA448" s="1260">
        <f>IF(BA442=0,0,BA439/BA442)</f>
        <v>0</v>
      </c>
      <c r="BB448" s="1260">
        <f>IF(BB442=0,0,BB439/BB442)</f>
        <v>0</v>
      </c>
      <c r="BC448" s="1260">
        <f>IF(BC442=0,0,BC439/BC442)</f>
        <v>0</v>
      </c>
      <c r="BD448" s="1124"/>
      <c r="BE448" s="1124"/>
      <c r="BF448" s="1124"/>
      <c r="BG448" s="1124"/>
      <c r="BH448" s="1124"/>
      <c r="BI448" s="1124"/>
      <c r="BJ448" s="1124"/>
      <c r="BK448" s="1124"/>
      <c r="BL448" s="1124"/>
      <c r="BM448" s="1124"/>
      <c r="BN448" s="6290"/>
      <c r="BO448" s="6290"/>
      <c r="BP448" s="6290"/>
      <c r="BQ448" s="1297"/>
      <c r="BR448" s="1297"/>
      <c r="BS448" s="1070" t="s">
        <v>2138</v>
      </c>
      <c r="BT448" s="1072"/>
      <c r="BU448" s="1072"/>
      <c r="BV448" s="987"/>
      <c r="BW448" s="987"/>
    </row>
    <row s="6417" customFormat="1" customHeight="1" ht="20.475">
      <c r="A449" s="706"/>
      <c r="B449" s="437"/>
      <c r="C449" s="105"/>
      <c r="D449" s="105">
        <f>D448+1</f>
        <v>12</v>
      </c>
      <c r="E449" s="833">
        <v>21</v>
      </c>
      <c r="F449" s="50" cm="1" t="str">
        <f t="array" ref="F449:F449">OFFSET(E449,-1,1)</f>
        <v>2</v>
      </c>
      <c r="G449" s="105"/>
      <c r="H449" s="103"/>
      <c r="I449" s="103" t="s">
        <v>2142</v>
      </c>
      <c r="J449" s="105"/>
      <c r="K449" s="154" t="s">
        <v>2142</v>
      </c>
      <c r="L449" s="993" t="s">
        <v>2139</v>
      </c>
      <c r="M449" s="105"/>
      <c r="N449" s="105"/>
      <c r="O449" s="105"/>
      <c r="P449" s="105"/>
      <c r="Q449" s="105"/>
      <c r="R449" s="105"/>
      <c r="S449" s="105"/>
      <c r="T449" s="468" cm="1" t="str">
        <f t="array" ref="T449:T449">T448</f>
        <v>true</v>
      </c>
      <c r="U449" s="105"/>
      <c r="V449" s="105"/>
      <c r="W449" s="105"/>
      <c r="X449" s="1559"/>
      <c r="Y449" s="706"/>
      <c r="Z449" s="1529"/>
      <c r="AA449" s="706"/>
      <c r="AB449" s="207" cm="1" t="str">
        <f t="array" ref="AB449:AB449">D449</f>
        <v>12</v>
      </c>
      <c r="AC449" s="208" t="s">
        <v>2140</v>
      </c>
      <c r="AD449" s="207" t="s">
        <v>936</v>
      </c>
      <c r="AE449" s="6358">
        <v>120012.357778072</v>
      </c>
      <c r="AF449" s="6358">
        <f>IF(AF442=0,0,AF439/AF442*AF450)</f>
        <v>18350.5970214734</v>
      </c>
      <c r="AG449" s="6358">
        <f>IF(AG442=0,0,AG439/AG442*AG450)</f>
        <v>18387.5342119509</v>
      </c>
      <c r="AH449" s="209">
        <f>AH451*AH452+AH453*AH454</f>
        <v>0</v>
      </c>
      <c r="AI449" s="6358">
        <v>123499.734620143</v>
      </c>
      <c r="AJ449" s="6358">
        <f>IF(AJ442=0,0,AJ439/AJ442*AJ450)</f>
        <v>38586.6177941211</v>
      </c>
      <c r="AK449" s="1269">
        <f>IF(AK442=0,0,AK439/AK442*AK450)</f>
        <v>0</v>
      </c>
      <c r="AL449" s="1269">
        <f>IF(AL442=0,0,AL439/AL442*AL450)</f>
        <v>0</v>
      </c>
      <c r="AM449" s="1269">
        <f>IF(AM442=0,0,AM439/AM442*AM450)</f>
        <v>0</v>
      </c>
      <c r="AN449" s="1269">
        <f>IF(AN442=0,0,AN439/AN442*AN450)</f>
        <v>0</v>
      </c>
      <c r="AO449" s="1269">
        <f>IF(AO442=0,0,AO439/AO442*AO450)</f>
        <v>0</v>
      </c>
      <c r="AP449" s="1269">
        <f>IF(AP442=0,0,AP439/AP442*AP450)</f>
        <v>0</v>
      </c>
      <c r="AQ449" s="1269">
        <f>IF(AQ442=0,0,AQ439/AQ442*AQ450)</f>
        <v>0</v>
      </c>
      <c r="AR449" s="1269">
        <f>IF(AR442=0,0,AR439/AR442*AR450)</f>
        <v>0</v>
      </c>
      <c r="AS449" s="1269">
        <f>IF(AS442=0,0,AS439/AS442*AS450)</f>
        <v>0</v>
      </c>
      <c r="AT449" s="6358">
        <f>IF(AT442=0,0,AT439/AT442*AT450)</f>
        <v>39600.1875248762</v>
      </c>
      <c r="AU449" s="1269">
        <f>IF(AU442=0,0,AU439/AU442*AU450)</f>
        <v>0</v>
      </c>
      <c r="AV449" s="1269">
        <f>IF(AV442=0,0,AV439/AV442*AV450)</f>
        <v>0</v>
      </c>
      <c r="AW449" s="1269">
        <f>IF(AW442=0,0,AW439/AW442*AW450)</f>
        <v>0</v>
      </c>
      <c r="AX449" s="1269">
        <f>IF(AX442=0,0,AX439/AX442*AX450)</f>
        <v>0</v>
      </c>
      <c r="AY449" s="1269">
        <f>IF(AY442=0,0,AY439/AY442*AY450)</f>
        <v>0</v>
      </c>
      <c r="AZ449" s="1269">
        <f>IF(AZ442=0,0,AZ439/AZ442*AZ450)</f>
        <v>0</v>
      </c>
      <c r="BA449" s="1269">
        <f>IF(BA442=0,0,BA439/BA442*BA450)</f>
        <v>0</v>
      </c>
      <c r="BB449" s="1269">
        <f>IF(BB442=0,0,BB439/BB442*BB450)</f>
        <v>0</v>
      </c>
      <c r="BC449" s="1269">
        <f>IF(BC442=0,0,BC439/BC442*BC450)</f>
        <v>0</v>
      </c>
      <c r="BD449" s="785">
        <f>IF(AI449=0,0,(AT449-AI449)/AI449*100)</f>
        <v>-67.9350019279982</v>
      </c>
      <c r="BE449" s="785">
        <f>IF(AT449=0,0,(AU449-AT449)/AT449*100)</f>
        <v>-100</v>
      </c>
      <c r="BF449" s="785">
        <f>IF(AU449=0,0,(AV449-AU449)/AU449*100)</f>
        <v>0</v>
      </c>
      <c r="BG449" s="785">
        <f>IF(AV449=0,0,(AW449-AV449)/AV449*100)</f>
        <v>0</v>
      </c>
      <c r="BH449" s="785">
        <f>IF(AW449=0,0,(AX449-AW449)/AW449*100)</f>
        <v>0</v>
      </c>
      <c r="BI449" s="785">
        <f>IF(AX449=0,0,(AY449-AX449)/AX449*100)</f>
        <v>0</v>
      </c>
      <c r="BJ449" s="785">
        <f>IF(AY449=0,0,(AZ449-AY449)/AY449*100)</f>
        <v>0</v>
      </c>
      <c r="BK449" s="785">
        <f>IF(AZ449=0,0,(BA449-AZ449)/AZ449*100)</f>
        <v>0</v>
      </c>
      <c r="BL449" s="785">
        <f>IF(BA449=0,0,(BB449-BA449)/BA449*100)</f>
        <v>0</v>
      </c>
      <c r="BM449" s="785">
        <f>IF(BB449=0,0,(BC449-BB449)/BB449*100)</f>
        <v>0</v>
      </c>
      <c r="BN449" s="6290"/>
      <c r="BO449" s="6290"/>
      <c r="BP449" s="6290"/>
      <c r="BQ449" s="706"/>
      <c r="BR449" s="706"/>
      <c r="BS449" s="1071" t="s">
        <v>2141</v>
      </c>
      <c r="BT449" s="1078"/>
      <c r="BU449" s="1078"/>
      <c r="BV449" s="713"/>
      <c r="BW449" s="713"/>
    </row>
    <row s="6418" customFormat="1" customHeight="1" ht="20.25">
      <c r="A450" s="706"/>
      <c r="B450" s="437"/>
      <c r="C450" s="105"/>
      <c r="D450" s="105">
        <f>D449+1</f>
        <v>13</v>
      </c>
      <c r="E450" s="833">
        <v>21</v>
      </c>
      <c r="F450" s="50" cm="1" t="str">
        <f t="array" ref="F450:F450">OFFSET(E450,-1,1)</f>
        <v>2</v>
      </c>
      <c r="G450" s="103" t="s">
        <v>1884</v>
      </c>
      <c r="H450" s="103"/>
      <c r="I450" s="103" t="s">
        <v>2444</v>
      </c>
      <c r="J450" s="105"/>
      <c r="K450" s="154" t="s">
        <v>2444</v>
      </c>
      <c r="L450" s="993" t="s">
        <v>2142</v>
      </c>
      <c r="M450" s="105"/>
      <c r="N450" s="105"/>
      <c r="O450" s="105"/>
      <c r="P450" s="105"/>
      <c r="Q450" s="105"/>
      <c r="R450" s="105"/>
      <c r="S450" s="105"/>
      <c r="T450" s="468" cm="1" t="str">
        <f t="array" ref="T450:T450">T449</f>
        <v>true</v>
      </c>
      <c r="U450" s="105"/>
      <c r="V450" s="105"/>
      <c r="W450" s="105"/>
      <c r="X450" s="1559"/>
      <c r="Y450" s="706"/>
      <c r="Z450" s="1529"/>
      <c r="AA450" s="706"/>
      <c r="AB450" s="207" cm="1" t="str">
        <f t="array" ref="AB450:AB450">D450</f>
        <v>13</v>
      </c>
      <c r="AC450" s="208" t="s">
        <v>2143</v>
      </c>
      <c r="AD450" s="207" t="s">
        <v>657</v>
      </c>
      <c r="AE450" s="792">
        <f>_xlfn.SUMIFS(Баланс!AE$26:AE$391,Баланс!$F$26:$F$391,$F450,Баланс!$G$26:$G$391,"население")</f>
        <v>3094.29833</v>
      </c>
      <c r="AF450" s="792">
        <f>_xlfn.SUMIFS(Баланс!AF$26:AF$391,Баланс!$F$26:$F$391,$F450,Баланс!$G$26:$G$391,"население")</f>
        <v>2961.398</v>
      </c>
      <c r="AG450" s="792">
        <f>_xlfn.SUMIFS(Баланс!AG$26:AG$391,Баланс!$F$26:$F$391,$F450,Баланс!$G$26:$G$391,"население")</f>
        <v>2961.398</v>
      </c>
      <c r="AH450" s="792">
        <f>AG450-AF450</f>
        <v>0</v>
      </c>
      <c r="AI450" s="792">
        <f>_xlfn.SUMIFS(Баланс!AH$26:AH$391,Баланс!$F$26:$F$391,$F450,Баланс!$G$26:$G$391,"население")</f>
        <v>2872.42095</v>
      </c>
      <c r="AJ450" s="792">
        <f>_xlfn.SUMIFS(Баланс!AI$26:AI$391,Баланс!$F$26:$F$391,$F450,Баланс!$G$26:$G$391,"население")</f>
        <v>2961.398</v>
      </c>
      <c r="AK450" s="792">
        <f>_xlfn.SUMIFS(Баланс!AJ$26:AJ$391,Баланс!$F$26:$F$391,$F450,Баланс!$G$26:$G$391,"население")</f>
        <v>0</v>
      </c>
      <c r="AL450" s="792">
        <f>_xlfn.SUMIFS(Баланс!AK$26:AK$391,Баланс!$F$26:$F$391,$F450,Баланс!$G$26:$G$391,"население")</f>
        <v>0</v>
      </c>
      <c r="AM450" s="792">
        <f>_xlfn.SUMIFS(Баланс!AL$26:AL$391,Баланс!$F$26:$F$391,$F450,Баланс!$G$26:$G$391,"население")</f>
        <v>0</v>
      </c>
      <c r="AN450" s="792">
        <f>_xlfn.SUMIFS(Баланс!AM$26:AM$391,Баланс!$F$26:$F$391,$F450,Баланс!$G$26:$G$391,"население")</f>
        <v>0</v>
      </c>
      <c r="AO450" s="792">
        <f>_xlfn.SUMIFS(Баланс!AN$26:AN$391,Баланс!$F$26:$F$391,$F450,Баланс!$G$26:$G$391,"население")</f>
        <v>0</v>
      </c>
      <c r="AP450" s="792">
        <f>_xlfn.SUMIFS(Баланс!AO$26:AO$391,Баланс!$F$26:$F$391,$F450,Баланс!$G$26:$G$391,"население")</f>
        <v>0</v>
      </c>
      <c r="AQ450" s="792">
        <f>_xlfn.SUMIFS(Баланс!AP$26:AP$391,Баланс!$F$26:$F$391,$F450,Баланс!$G$26:$G$391,"население")</f>
        <v>0</v>
      </c>
      <c r="AR450" s="792">
        <f>_xlfn.SUMIFS(Баланс!AQ$26:AQ$391,Баланс!$F$26:$F$391,$F450,Баланс!$G$26:$G$391,"население")</f>
        <v>0</v>
      </c>
      <c r="AS450" s="792">
        <f>_xlfn.SUMIFS(Баланс!AR$26:AR$391,Баланс!$F$26:$F$391,$F450,Баланс!$G$26:$G$391,"население")</f>
        <v>0</v>
      </c>
      <c r="AT450" s="792">
        <f>_xlfn.SUMIFS(Баланс!AS$26:AS$391,Баланс!$F$26:$F$391,$F450,Баланс!$G$26:$G$391,"население")</f>
        <v>2824.07561</v>
      </c>
      <c r="AU450" s="792">
        <f>_xlfn.SUMIFS(Баланс!AT$26:AT$391,Баланс!$F$26:$F$391,$F450,Баланс!$G$26:$G$391,"население")</f>
        <v>0</v>
      </c>
      <c r="AV450" s="792">
        <f>_xlfn.SUMIFS(Баланс!AU$26:AU$391,Баланс!$F$26:$F$391,$F450,Баланс!$G$26:$G$391,"население")</f>
        <v>0</v>
      </c>
      <c r="AW450" s="792">
        <f>_xlfn.SUMIFS(Баланс!AV$26:AV$391,Баланс!$F$26:$F$391,$F450,Баланс!$G$26:$G$391,"население")</f>
        <v>0</v>
      </c>
      <c r="AX450" s="792">
        <f>_xlfn.SUMIFS(Баланс!AW$26:AW$391,Баланс!$F$26:$F$391,$F450,Баланс!$G$26:$G$391,"население")</f>
        <v>0</v>
      </c>
      <c r="AY450" s="792">
        <f>_xlfn.SUMIFS(Баланс!AX$26:AX$391,Баланс!$F$26:$F$391,$F450,Баланс!$G$26:$G$391,"население")</f>
        <v>0</v>
      </c>
      <c r="AZ450" s="792">
        <f>_xlfn.SUMIFS(Баланс!AY$26:AY$391,Баланс!$F$26:$F$391,$F450,Баланс!$G$26:$G$391,"население")</f>
        <v>0</v>
      </c>
      <c r="BA450" s="792">
        <f>_xlfn.SUMIFS(Баланс!AZ$26:AZ$391,Баланс!$F$26:$F$391,$F450,Баланс!$G$26:$G$391,"население")</f>
        <v>0</v>
      </c>
      <c r="BB450" s="792">
        <f>_xlfn.SUMIFS(Баланс!BA$26:BA$391,Баланс!$F$26:$F$391,$F450,Баланс!$G$26:$G$391,"население")</f>
        <v>0</v>
      </c>
      <c r="BC450" s="792">
        <f>_xlfn.SUMIFS(Баланс!BB$26:BB$391,Баланс!$F$26:$F$391,$F450,Баланс!$G$26:$G$391,"население")</f>
        <v>0</v>
      </c>
      <c r="BD450" s="212"/>
      <c r="BE450" s="212"/>
      <c r="BF450" s="212"/>
      <c r="BG450" s="212"/>
      <c r="BH450" s="212"/>
      <c r="BI450" s="212"/>
      <c r="BJ450" s="212"/>
      <c r="BK450" s="212"/>
      <c r="BL450" s="212"/>
      <c r="BM450" s="212"/>
      <c r="BN450" s="6290"/>
      <c r="BO450" s="6290"/>
      <c r="BP450" s="6290"/>
      <c r="BQ450" s="706"/>
      <c r="BR450" s="706"/>
      <c r="BS450" s="1071" t="s">
        <v>2144</v>
      </c>
      <c r="BT450" s="1078"/>
      <c r="BU450" s="1078"/>
      <c r="BV450" s="713"/>
      <c r="BW450" s="713"/>
    </row>
    <row s="1656" customFormat="1" customHeight="1" ht="14.625">
      <c r="A451" s="1297"/>
      <c r="B451" s="986"/>
      <c r="C451" s="103"/>
      <c r="D451" s="103" cm="1" t="str">
        <f t="array" ref="D451:D451">D450</f>
        <v>13</v>
      </c>
      <c r="E451" s="626">
        <v>15</v>
      </c>
      <c r="F451" s="50" cm="1" t="str">
        <f t="array" ref="F451:F451">OFFSET(E451,-1,1)</f>
        <v>2</v>
      </c>
      <c r="G451" s="103" t="s">
        <v>1918</v>
      </c>
      <c r="H451" s="103"/>
      <c r="I451" s="103" t="s">
        <v>2445</v>
      </c>
      <c r="J451" s="103"/>
      <c r="K451" s="154" t="s">
        <v>2445</v>
      </c>
      <c r="L451" s="988" t="s">
        <v>2145</v>
      </c>
      <c r="M451" s="103"/>
      <c r="N451" s="103"/>
      <c r="O451" s="103"/>
      <c r="P451" s="103"/>
      <c r="Q451" s="103"/>
      <c r="R451" s="103"/>
      <c r="S451" s="103"/>
      <c r="T451" s="468" cm="1" t="str">
        <f t="array" ref="T451:T451">T450</f>
        <v>true</v>
      </c>
      <c r="U451" s="103"/>
      <c r="V451" s="103"/>
      <c r="W451" s="103"/>
      <c r="X451" s="1559"/>
      <c r="Y451" s="1297"/>
      <c r="Z451" s="1529"/>
      <c r="AA451" s="1297"/>
      <c r="AB451" s="296" t="str">
        <f>D451&amp;".1"</f>
        <v>13.1</v>
      </c>
      <c r="AC451" s="1120" t="s">
        <v>2147</v>
      </c>
      <c r="AD451" s="296" t="s">
        <v>657</v>
      </c>
      <c r="AE451" s="6291">
        <v>1547.149165</v>
      </c>
      <c r="AF451" s="6291">
        <f>IF(AF$24="2026 год",AF450/12*9,AF450/2)</f>
        <v>1480.699</v>
      </c>
      <c r="AG451" s="6291">
        <f>IF(AG$24="2026 год",AG450/12*9,AG450/2)</f>
        <v>1480.699</v>
      </c>
      <c r="AH451" s="1122">
        <f>AG451-AF451</f>
        <v>0</v>
      </c>
      <c r="AI451" s="6291">
        <v>1436.210475</v>
      </c>
      <c r="AJ451" s="6291">
        <f>IF(AJ$24="2026 год",AJ450/12*9,AJ450/2)</f>
        <v>2221.0485</v>
      </c>
      <c r="AK451" s="1258">
        <f>IF(AK$24="2026 год",AK450/12*9,AK450/2)</f>
        <v>0</v>
      </c>
      <c r="AL451" s="1258">
        <f>IF(AL$24="2026 год",AL450/12*9,AL450/2)</f>
        <v>0</v>
      </c>
      <c r="AM451" s="1258">
        <f>IF(AM$24="2026 год",AM450/12*9,AM450/2)</f>
        <v>0</v>
      </c>
      <c r="AN451" s="1258">
        <f>IF(AN$24="2026 год",AN450/12*9,AN450/2)</f>
        <v>0</v>
      </c>
      <c r="AO451" s="1258">
        <f>IF(AO$24="2026 год",AO450/12*9,AO450/2)</f>
        <v>0</v>
      </c>
      <c r="AP451" s="1258">
        <f>IF(AP$24="2026 год",AP450/12*9,AP450/2)</f>
        <v>0</v>
      </c>
      <c r="AQ451" s="1258">
        <f>IF(AQ$24="2026 год",AQ450/12*9,AQ450/2)</f>
        <v>0</v>
      </c>
      <c r="AR451" s="1258">
        <f>IF(AR$24="2026 год",AR450/12*9,AR450/2)</f>
        <v>0</v>
      </c>
      <c r="AS451" s="1258">
        <f>IF(AS$24="2026 год",AS450/12*9,AS450/2)</f>
        <v>0</v>
      </c>
      <c r="AT451" s="6356">
        <f>IF(AT$24="2026 год",AT450/12*9,AT450/2)</f>
        <v>2118.0567075</v>
      </c>
      <c r="AU451" s="1280">
        <f>IF(AU$24="2026 год",AU450/12*9,AU450/2)</f>
        <v>0</v>
      </c>
      <c r="AV451" s="1258">
        <f>IF(AV$24="2026 год",AV450/12*9,AV450/2)</f>
        <v>0</v>
      </c>
      <c r="AW451" s="1258">
        <f>IF(AW$24="2026 год",AW450/12*9,AW450/2)</f>
        <v>0</v>
      </c>
      <c r="AX451" s="1258">
        <f>IF(AX$24="2026 год",AX450/12*9,AX450/2)</f>
        <v>0</v>
      </c>
      <c r="AY451" s="1258">
        <f>IF(AY$24="2026 год",AY450/12*9,AY450/2)</f>
        <v>0</v>
      </c>
      <c r="AZ451" s="1258">
        <f>IF(AZ$24="2026 год",AZ450/12*9,AZ450/2)</f>
        <v>0</v>
      </c>
      <c r="BA451" s="1258">
        <f>IF(BA$24="2026 год",BA450/12*9,BA450/2)</f>
        <v>0</v>
      </c>
      <c r="BB451" s="1258">
        <f>IF(BB$24="2026 год",BB450/12*9,BB450/2)</f>
        <v>0</v>
      </c>
      <c r="BC451" s="1258">
        <f>IF(BC$24="2026 год",BC450/12*9,BC450/2)</f>
        <v>0</v>
      </c>
      <c r="BD451" s="1124"/>
      <c r="BE451" s="1124"/>
      <c r="BF451" s="1124"/>
      <c r="BG451" s="1124"/>
      <c r="BH451" s="1124"/>
      <c r="BI451" s="1124"/>
      <c r="BJ451" s="1124"/>
      <c r="BK451" s="1124"/>
      <c r="BL451" s="1124"/>
      <c r="BM451" s="1124"/>
      <c r="BN451" s="6290"/>
      <c r="BO451" s="6290"/>
      <c r="BP451" s="6290"/>
      <c r="BQ451" s="1297"/>
      <c r="BR451" s="1297"/>
      <c r="BS451" s="1070" t="s">
        <v>2148</v>
      </c>
      <c r="BT451" s="1072"/>
      <c r="BU451" s="1072"/>
      <c r="BV451" s="987"/>
      <c r="BW451" s="987"/>
    </row>
    <row s="1656" customFormat="1" customHeight="1" ht="14.625">
      <c r="A452" s="1297"/>
      <c r="B452" s="986"/>
      <c r="C452" s="103"/>
      <c r="D452" s="103" cm="1" t="str">
        <f t="array" ref="D452:D452">D451</f>
        <v>13</v>
      </c>
      <c r="E452" s="626">
        <v>15</v>
      </c>
      <c r="F452" s="50" cm="1" t="str">
        <f t="array" ref="F452:F452">OFFSET(E452,-1,1)</f>
        <v>2</v>
      </c>
      <c r="G452" s="103" t="s">
        <v>1874</v>
      </c>
      <c r="H452" s="103"/>
      <c r="I452" s="103" t="s">
        <v>2446</v>
      </c>
      <c r="J452" s="103"/>
      <c r="K452" s="154" t="s">
        <v>2446</v>
      </c>
      <c r="L452" s="988" t="s">
        <v>2149</v>
      </c>
      <c r="M452" s="103"/>
      <c r="N452" s="103"/>
      <c r="O452" s="103"/>
      <c r="P452" s="103"/>
      <c r="Q452" s="103"/>
      <c r="R452" s="103"/>
      <c r="S452" s="103"/>
      <c r="T452" s="468" cm="1" t="str">
        <f t="array" ref="T452:T452">T451</f>
        <v>true</v>
      </c>
      <c r="U452" s="103"/>
      <c r="V452" s="103"/>
      <c r="W452" s="103"/>
      <c r="X452" s="1559"/>
      <c r="Y452" s="1297"/>
      <c r="Z452" s="1529"/>
      <c r="AA452" s="1297"/>
      <c r="AB452" s="296" t="str">
        <f>D452&amp;".2"</f>
        <v>13.2</v>
      </c>
      <c r="AC452" s="1120" t="s">
        <v>2151</v>
      </c>
      <c r="AD452" s="296" t="s">
        <v>1862</v>
      </c>
      <c r="AE452" s="6293">
        <v>44.412</v>
      </c>
      <c r="AF452" s="6360">
        <f>IF(AF450=0,0,AF444*(1+Сценарии!AF$26/100))</f>
        <v>0</v>
      </c>
      <c r="AG452" s="6360">
        <f>IF(AG450=0,0,AG444*(1+Сценарии!AG$26/100))</f>
        <v>0</v>
      </c>
      <c r="AH452" s="1123">
        <f>AG452-AF452</f>
        <v>0</v>
      </c>
      <c r="AI452" s="6293">
        <v>48.672</v>
      </c>
      <c r="AJ452" s="6360">
        <f>IF(AJ450=0,0,AJ444*(1+Сценарии!AJ$26/100))</f>
        <v>0</v>
      </c>
      <c r="AK452" s="1281">
        <f>IF(AK450=0,0,AK444*(1+Сценарии!AO$26/100))</f>
        <v>0</v>
      </c>
      <c r="AL452" s="1281">
        <f>IF(AL450=0,0,AL444*(1+Сценарии!AP$26/100))</f>
        <v>0</v>
      </c>
      <c r="AM452" s="1281">
        <f>IF(AM450=0,0,AM444*(1+Сценарии!AQ$26/100))</f>
        <v>0</v>
      </c>
      <c r="AN452" s="1281">
        <f>IF(AN450=0,0,AN444*(1+Сценарии!AR$26/100))</f>
        <v>0</v>
      </c>
      <c r="AO452" s="1281">
        <f>IF(AO450=0,0,AO444*(1+Сценарии!AS$26/100))</f>
        <v>0</v>
      </c>
      <c r="AP452" s="1281">
        <f>IF(AP450=0,0,AP444*(1+Сценарии!AT$26/100))</f>
        <v>0</v>
      </c>
      <c r="AQ452" s="1281">
        <f>IF(AQ450=0,0,AQ444*(1+Сценарии!AU$26/100))</f>
        <v>0</v>
      </c>
      <c r="AR452" s="1281">
        <f>IF(AR450=0,0,AR444*(1+Сценарии!AV$26/100))</f>
        <v>0</v>
      </c>
      <c r="AS452" s="1281">
        <f>IF(AS450=0,0,AS444*(1+Сценарии!AW$26/100))</f>
        <v>0</v>
      </c>
      <c r="AT452" s="6293">
        <f>IF(AT450=0,0,AT444*(1+Сценарии!AK$26/100))</f>
        <v>0</v>
      </c>
      <c r="AU452" s="1260">
        <f>IF(AU450=0,0,AU444*(1+Сценарии!AX$26/100))</f>
        <v>0</v>
      </c>
      <c r="AV452" s="1281">
        <f>IF(AV450=0,0,AV444*(1+Сценарии!AY$26/100))</f>
        <v>0</v>
      </c>
      <c r="AW452" s="1281">
        <f>IF(AW450=0,0,AW444*(1+Сценарии!AZ$26/100))</f>
        <v>0</v>
      </c>
      <c r="AX452" s="1281">
        <f>IF(AX450=0,0,AX444*(1+Сценарии!BA$26/100))</f>
        <v>0</v>
      </c>
      <c r="AY452" s="1281">
        <f>IF(AY450=0,0,AY444*(1+Сценарии!BB$26/100))</f>
        <v>0</v>
      </c>
      <c r="AZ452" s="1281">
        <f>IF(AZ450=0,0,AZ444*(1+Сценарии!BC$26/100))</f>
        <v>0</v>
      </c>
      <c r="BA452" s="1281">
        <f>IF(BA450=0,0,BA444*(1+Сценарии!BD$26/100))</f>
        <v>0</v>
      </c>
      <c r="BB452" s="1281">
        <f>IF(BB450=0,0,BB444*(1+Сценарии!BE$26/100))</f>
        <v>0</v>
      </c>
      <c r="BC452" s="1281">
        <f>IF(BC450=0,0,BC444*(1+Сценарии!BF$26/100))</f>
        <v>0</v>
      </c>
      <c r="BD452" s="1124"/>
      <c r="BE452" s="1124"/>
      <c r="BF452" s="1124"/>
      <c r="BG452" s="1124"/>
      <c r="BH452" s="1124"/>
      <c r="BI452" s="1124"/>
      <c r="BJ452" s="1124"/>
      <c r="BK452" s="1124"/>
      <c r="BL452" s="1124"/>
      <c r="BM452" s="1124"/>
      <c r="BN452" s="6290"/>
      <c r="BO452" s="6290"/>
      <c r="BP452" s="6290"/>
      <c r="BQ452" s="1297"/>
      <c r="BR452" s="1297"/>
      <c r="BS452" s="1070" t="s">
        <v>2152</v>
      </c>
      <c r="BT452" s="1072"/>
      <c r="BU452" s="1072"/>
      <c r="BV452" s="987"/>
      <c r="BW452" s="987"/>
    </row>
    <row s="1656" customFormat="1" customHeight="1" ht="14.25">
      <c r="A453" s="1297"/>
      <c r="B453" s="986"/>
      <c r="C453" s="103"/>
      <c r="D453" s="103" cm="1" t="str">
        <f t="array" ref="D453:D453">D452</f>
        <v>13</v>
      </c>
      <c r="E453" s="626">
        <v>15</v>
      </c>
      <c r="F453" s="50" cm="1" t="str">
        <f t="array" ref="F453:F453">OFFSET(E453,-1,1)</f>
        <v>2</v>
      </c>
      <c r="G453" s="103" t="s">
        <v>1925</v>
      </c>
      <c r="H453" s="103"/>
      <c r="I453" s="103" t="s">
        <v>2447</v>
      </c>
      <c r="J453" s="103"/>
      <c r="K453" s="103" t="s">
        <v>2447</v>
      </c>
      <c r="L453" s="988" t="s">
        <v>2153</v>
      </c>
      <c r="M453" s="103"/>
      <c r="N453" s="103"/>
      <c r="O453" s="103"/>
      <c r="P453" s="103"/>
      <c r="Q453" s="103"/>
      <c r="R453" s="103"/>
      <c r="S453" s="103"/>
      <c r="T453" s="468" cm="1" t="str">
        <f t="array" ref="T453:T453">T452</f>
        <v>true</v>
      </c>
      <c r="U453" s="103"/>
      <c r="V453" s="103"/>
      <c r="W453" s="103"/>
      <c r="X453" s="1559"/>
      <c r="Y453" s="1297"/>
      <c r="Z453" s="1529"/>
      <c r="AA453" s="1297"/>
      <c r="AB453" s="296" t="str">
        <f>D453&amp;".3"</f>
        <v>13.3</v>
      </c>
      <c r="AC453" s="1120" t="s">
        <v>2125</v>
      </c>
      <c r="AD453" s="296" t="s">
        <v>657</v>
      </c>
      <c r="AE453" s="1122">
        <f>AE450-AE451</f>
        <v>1547.149165</v>
      </c>
      <c r="AF453" s="1122">
        <f>AF450-AF451</f>
        <v>1480.699</v>
      </c>
      <c r="AG453" s="1122">
        <f>AG450-AG451</f>
        <v>1480.699</v>
      </c>
      <c r="AH453" s="1122">
        <f>AG453-AF453</f>
        <v>0</v>
      </c>
      <c r="AI453" s="1122">
        <f>AI450-AI451</f>
        <v>1436.210475</v>
      </c>
      <c r="AJ453" s="1122">
        <f>AJ450-AJ451</f>
        <v>740.3495</v>
      </c>
      <c r="AK453" s="1122">
        <f>AK450-AK451</f>
        <v>0</v>
      </c>
      <c r="AL453" s="1122">
        <f>AL450-AL451</f>
        <v>0</v>
      </c>
      <c r="AM453" s="1122">
        <f>AM450-AM451</f>
        <v>0</v>
      </c>
      <c r="AN453" s="1122">
        <f>AN450-AN451</f>
        <v>0</v>
      </c>
      <c r="AO453" s="1122">
        <f>AO450-AO451</f>
        <v>0</v>
      </c>
      <c r="AP453" s="1122">
        <f>AP450-AP451</f>
        <v>0</v>
      </c>
      <c r="AQ453" s="1122">
        <f>AQ450-AQ451</f>
        <v>0</v>
      </c>
      <c r="AR453" s="1122">
        <f>AR450-AR451</f>
        <v>0</v>
      </c>
      <c r="AS453" s="1122">
        <f>AS450-AS451</f>
        <v>0</v>
      </c>
      <c r="AT453" s="1122">
        <f>AT450-AT451</f>
        <v>706.0189025</v>
      </c>
      <c r="AU453" s="1122">
        <f>AU450-AU451</f>
        <v>0</v>
      </c>
      <c r="AV453" s="1122">
        <f>AV450-AV451</f>
        <v>0</v>
      </c>
      <c r="AW453" s="1122">
        <f>AW450-AW451</f>
        <v>0</v>
      </c>
      <c r="AX453" s="1122">
        <f>AX450-AX451</f>
        <v>0</v>
      </c>
      <c r="AY453" s="1122">
        <f>AY450-AY451</f>
        <v>0</v>
      </c>
      <c r="AZ453" s="1122">
        <f>AZ450-AZ451</f>
        <v>0</v>
      </c>
      <c r="BA453" s="1122">
        <f>BA450-BA451</f>
        <v>0</v>
      </c>
      <c r="BB453" s="1122">
        <f>BB450-BB451</f>
        <v>0</v>
      </c>
      <c r="BC453" s="1122">
        <f>BC450-BC451</f>
        <v>0</v>
      </c>
      <c r="BD453" s="1124"/>
      <c r="BE453" s="1124"/>
      <c r="BF453" s="1124"/>
      <c r="BG453" s="1124"/>
      <c r="BH453" s="1124"/>
      <c r="BI453" s="1124"/>
      <c r="BJ453" s="1124"/>
      <c r="BK453" s="1124"/>
      <c r="BL453" s="1124"/>
      <c r="BM453" s="1124"/>
      <c r="BN453" s="6290"/>
      <c r="BO453" s="6290"/>
      <c r="BP453" s="6290"/>
      <c r="BQ453" s="1297"/>
      <c r="BR453" s="1297"/>
      <c r="BS453" s="1070" t="s">
        <v>2155</v>
      </c>
      <c r="BT453" s="1072"/>
      <c r="BU453" s="1072"/>
      <c r="BV453" s="987"/>
      <c r="BW453" s="987"/>
    </row>
    <row s="1656" customFormat="1" customHeight="1" ht="14.625">
      <c r="A454" s="1297"/>
      <c r="B454" s="986"/>
      <c r="C454" s="103"/>
      <c r="D454" s="103" cm="1" t="str">
        <f t="array" ref="D454:D454">D453</f>
        <v>13</v>
      </c>
      <c r="E454" s="626">
        <v>15</v>
      </c>
      <c r="F454" s="50" cm="1" t="str">
        <f t="array" ref="F454:F454">OFFSET(E454,-1,1)</f>
        <v>2</v>
      </c>
      <c r="G454" s="103" t="s">
        <v>1878</v>
      </c>
      <c r="H454" s="103"/>
      <c r="I454" s="103" t="s">
        <v>2448</v>
      </c>
      <c r="J454" s="103"/>
      <c r="K454" s="103" t="s">
        <v>2448</v>
      </c>
      <c r="L454" s="988" t="s">
        <v>2156</v>
      </c>
      <c r="M454" s="103"/>
      <c r="N454" s="103"/>
      <c r="O454" s="103"/>
      <c r="P454" s="103"/>
      <c r="Q454" s="103"/>
      <c r="R454" s="103"/>
      <c r="S454" s="103"/>
      <c r="T454" s="468" cm="1" t="str">
        <f t="array" ref="T454:T454">T453</f>
        <v>true</v>
      </c>
      <c r="U454" s="103"/>
      <c r="V454" s="103"/>
      <c r="W454" s="103"/>
      <c r="X454" s="1559"/>
      <c r="Y454" s="1297"/>
      <c r="Z454" s="1529"/>
      <c r="AA454" s="1297"/>
      <c r="AB454" s="296" t="str">
        <f>D454&amp;".4"</f>
        <v>13.4</v>
      </c>
      <c r="AC454" s="1120" t="s">
        <v>2129</v>
      </c>
      <c r="AD454" s="296" t="s">
        <v>1862</v>
      </c>
      <c r="AE454" s="6293">
        <v>48.6719982922</v>
      </c>
      <c r="AF454" s="6360">
        <f>IF(AF450=0,0,AF446*(1+Сценарии!AF$26/100))</f>
        <v>12.3931987672535</v>
      </c>
      <c r="AG454" s="6360">
        <f>IF(AG450=0,0,AG446*(1+Сценарии!AG$26/100))</f>
        <v>12.4181445465628</v>
      </c>
      <c r="AH454" s="1123">
        <f>AG454-AF454</f>
        <v>0.0249457793093004</v>
      </c>
      <c r="AI454" s="6293">
        <v>54.5159965533</v>
      </c>
      <c r="AJ454" s="6360">
        <f>IF(AJ450=0,0,AJ446*(1+Сценарии!AJ$26/100))</f>
        <v>52.1194622190211</v>
      </c>
      <c r="AK454" s="1260">
        <f>IF(AK450=0,0,AK446*(1+Сценарии!AO$26/100))</f>
        <v>0</v>
      </c>
      <c r="AL454" s="1281">
        <f>IF(AL450=0,0,AL446*(1+Сценарии!AP$26/100))</f>
        <v>0</v>
      </c>
      <c r="AM454" s="1281">
        <f>IF(AM450=0,0,AM446*(1+Сценарии!AQ$26/100))</f>
        <v>0</v>
      </c>
      <c r="AN454" s="1281">
        <f>IF(AN450=0,0,AN446*(1+Сценарии!AR$26/100))</f>
        <v>0</v>
      </c>
      <c r="AO454" s="1281">
        <f>IF(AO450=0,0,AO446*(1+Сценарии!AS$26/100))</f>
        <v>0</v>
      </c>
      <c r="AP454" s="1281">
        <f>IF(AP450=0,0,AP446*(1+Сценарии!AT$26/100))</f>
        <v>0</v>
      </c>
      <c r="AQ454" s="1281">
        <f>IF(AQ450=0,0,AQ446*(1+Сценарии!AU$26/100))</f>
        <v>0</v>
      </c>
      <c r="AR454" s="1281">
        <f>IF(AR450=0,0,AR446*(1+Сценарии!AV$26/100))</f>
        <v>0</v>
      </c>
      <c r="AS454" s="1281">
        <f>IF(AS450=0,0,AS446*(1+Сценарии!AW$26/100))</f>
        <v>0</v>
      </c>
      <c r="AT454" s="6293">
        <f>IF(AT450=0,0,AT446*(1+Сценарии!AK$26/100))</f>
        <v>56.0894154315879</v>
      </c>
      <c r="AU454" s="1260">
        <f>IF(AU450=0,0,AU446*(1+Сценарии!AX$26/100))</f>
        <v>0</v>
      </c>
      <c r="AV454" s="1281">
        <f>IF(AV450=0,0,AV446*(1+Сценарии!AY$26/100))</f>
        <v>0</v>
      </c>
      <c r="AW454" s="1281">
        <f>IF(AW450=0,0,AW446*(1+Сценарии!AZ$26/100))</f>
        <v>0</v>
      </c>
      <c r="AX454" s="1281">
        <f>IF(AX450=0,0,AX446*(1+Сценарии!BA$26/100))</f>
        <v>0</v>
      </c>
      <c r="AY454" s="1281">
        <f>IF(AY450=0,0,AY446*(1+Сценарии!BB$26/100))</f>
        <v>0</v>
      </c>
      <c r="AZ454" s="1281">
        <f>IF(AZ450=0,0,AZ446*(1+Сценарии!BC$26/100))</f>
        <v>0</v>
      </c>
      <c r="BA454" s="1281">
        <f>IF(BA450=0,0,BA446*(1+Сценарии!BD$26/100))</f>
        <v>0</v>
      </c>
      <c r="BB454" s="1281">
        <f>IF(BB450=0,0,BB446*(1+Сценарии!BE$26/100))</f>
        <v>0</v>
      </c>
      <c r="BC454" s="1281">
        <f>IF(BC450=0,0,BC446*(1+Сценарии!BF$26/100))</f>
        <v>0</v>
      </c>
      <c r="BD454" s="1124"/>
      <c r="BE454" s="1124"/>
      <c r="BF454" s="1124"/>
      <c r="BG454" s="1124"/>
      <c r="BH454" s="1124"/>
      <c r="BI454" s="1124"/>
      <c r="BJ454" s="1124"/>
      <c r="BK454" s="1124"/>
      <c r="BL454" s="1124"/>
      <c r="BM454" s="1124"/>
      <c r="BN454" s="6290"/>
      <c r="BO454" s="6290"/>
      <c r="BP454" s="6290"/>
      <c r="BQ454" s="1297"/>
      <c r="BR454" s="1297"/>
      <c r="BS454" s="1070" t="s">
        <v>2159</v>
      </c>
      <c r="BT454" s="1072"/>
      <c r="BU454" s="1072"/>
      <c r="BV454" s="987"/>
      <c r="BW454" s="987"/>
    </row>
    <row s="1656" customFormat="1" customHeight="1" ht="14.25">
      <c r="A455" s="1297"/>
      <c r="B455" s="986"/>
      <c r="C455" s="103"/>
      <c r="D455" s="103">
        <f>D454+1</f>
        <v>14</v>
      </c>
      <c r="E455" s="626">
        <v>15</v>
      </c>
      <c r="F455" s="50" cm="1" t="str">
        <f t="array" ref="F455:F455">OFFSET(E455,-1,1)</f>
        <v>2</v>
      </c>
      <c r="G455" s="103"/>
      <c r="H455" s="103"/>
      <c r="I455" s="103"/>
      <c r="J455" s="103"/>
      <c r="K455" s="103"/>
      <c r="L455" s="988"/>
      <c r="M455" s="103"/>
      <c r="N455" s="103"/>
      <c r="O455" s="103"/>
      <c r="P455" s="103"/>
      <c r="Q455" s="103"/>
      <c r="R455" s="103"/>
      <c r="S455" s="103"/>
      <c r="T455" s="468" cm="1" t="str">
        <f t="array" ref="T455:T455">T454</f>
        <v>true</v>
      </c>
      <c r="U455" s="103"/>
      <c r="V455" s="103"/>
      <c r="W455" s="103"/>
      <c r="X455" s="1559"/>
      <c r="Y455" s="1297"/>
      <c r="Z455" s="1529"/>
      <c r="AA455" s="1297"/>
      <c r="AB455" s="207" cm="1" t="str">
        <f t="array" ref="AB455:AB455">D455</f>
        <v>14</v>
      </c>
      <c r="AC455" s="208" t="s">
        <v>2160</v>
      </c>
      <c r="AD455" s="207" t="s">
        <v>936</v>
      </c>
      <c r="AE455" s="6293"/>
      <c r="AF455" s="6293"/>
      <c r="AG455" s="6293"/>
      <c r="AH455" s="1123">
        <f>AG455-AF455</f>
        <v>0</v>
      </c>
      <c r="AI455" s="6293"/>
      <c r="AJ455" s="6293"/>
      <c r="AK455" s="1260"/>
      <c r="AL455" s="1260"/>
      <c r="AM455" s="1260"/>
      <c r="AN455" s="1260"/>
      <c r="AO455" s="1260"/>
      <c r="AP455" s="1260"/>
      <c r="AQ455" s="1260"/>
      <c r="AR455" s="1260"/>
      <c r="AS455" s="1260"/>
      <c r="AT455" s="6293"/>
      <c r="AU455" s="1260"/>
      <c r="AV455" s="1260"/>
      <c r="AW455" s="1260"/>
      <c r="AX455" s="1260"/>
      <c r="AY455" s="1260"/>
      <c r="AZ455" s="1260"/>
      <c r="BA455" s="1260"/>
      <c r="BB455" s="1260"/>
      <c r="BC455" s="1260"/>
      <c r="BD455" s="1124"/>
      <c r="BE455" s="1124"/>
      <c r="BF455" s="1124"/>
      <c r="BG455" s="1124"/>
      <c r="BH455" s="1124"/>
      <c r="BI455" s="1124"/>
      <c r="BJ455" s="1124"/>
      <c r="BK455" s="1124"/>
      <c r="BL455" s="1124"/>
      <c r="BM455" s="1124"/>
      <c r="BN455" s="6290"/>
      <c r="BO455" s="6290"/>
      <c r="BP455" s="6290"/>
      <c r="BQ455" s="1297"/>
      <c r="BR455" s="1297"/>
      <c r="BS455" s="1070" t="s">
        <v>2161</v>
      </c>
      <c r="BT455" s="1072"/>
      <c r="BU455" s="1072"/>
      <c r="BV455" s="987"/>
      <c r="BW455" s="987"/>
    </row>
    <row s="1252" customFormat="1" customHeight="1" ht="20.25">
      <c r="A456" s="1252"/>
      <c r="B456" s="760"/>
      <c r="C456" s="103"/>
      <c r="D456" s="103" cm="1" t="str">
        <f t="array" ref="D456:D456">D455</f>
        <v>14</v>
      </c>
      <c r="E456" s="626">
        <v>21</v>
      </c>
      <c r="F456" s="50" cm="1" t="str">
        <f t="array" ref="F456:F456">OFFSET(E456,-1,1)</f>
        <v>2</v>
      </c>
      <c r="G456" s="103"/>
      <c r="H456" s="103"/>
      <c r="I456" s="103"/>
      <c r="J456" s="103"/>
      <c r="K456" s="103"/>
      <c r="L456" s="988"/>
      <c r="M456" s="103"/>
      <c r="N456" s="103"/>
      <c r="O456" s="103"/>
      <c r="P456" s="103"/>
      <c r="Q456" s="103"/>
      <c r="R456" s="103"/>
      <c r="S456" s="103"/>
      <c r="T456" s="468" cm="1" t="str">
        <f t="array" ref="T456:T456">T455</f>
        <v>true</v>
      </c>
      <c r="U456" s="103"/>
      <c r="V456" s="103"/>
      <c r="W456" s="103"/>
      <c r="X456" s="1559"/>
      <c r="Y456" s="1252"/>
      <c r="Z456" s="1529"/>
      <c r="AA456" s="1252"/>
      <c r="AB456" s="296" t="str">
        <f>D456&amp;".1"</f>
        <v>14.1</v>
      </c>
      <c r="AC456" s="769" t="s">
        <v>2163</v>
      </c>
      <c r="AD456" s="296" t="s">
        <v>936</v>
      </c>
      <c r="AE456" s="6293"/>
      <c r="AF456" s="6293"/>
      <c r="AG456" s="6293"/>
      <c r="AH456" s="1123">
        <f>AG456-AF456</f>
        <v>0</v>
      </c>
      <c r="AI456" s="6293"/>
      <c r="AJ456" s="6293"/>
      <c r="AK456" s="1260"/>
      <c r="AL456" s="1260"/>
      <c r="AM456" s="1260"/>
      <c r="AN456" s="1260"/>
      <c r="AO456" s="1260"/>
      <c r="AP456" s="1260"/>
      <c r="AQ456" s="1260"/>
      <c r="AR456" s="1260"/>
      <c r="AS456" s="1260"/>
      <c r="AT456" s="6293"/>
      <c r="AU456" s="1260"/>
      <c r="AV456" s="1260"/>
      <c r="AW456" s="1260"/>
      <c r="AX456" s="1260"/>
      <c r="AY456" s="1260"/>
      <c r="AZ456" s="1260"/>
      <c r="BA456" s="1260"/>
      <c r="BB456" s="1260"/>
      <c r="BC456" s="1260"/>
      <c r="BD456" s="1124"/>
      <c r="BE456" s="1124"/>
      <c r="BF456" s="1124"/>
      <c r="BG456" s="1124"/>
      <c r="BH456" s="1124"/>
      <c r="BI456" s="1124"/>
      <c r="BJ456" s="1124"/>
      <c r="BK456" s="1124"/>
      <c r="BL456" s="1124"/>
      <c r="BM456" s="1124"/>
      <c r="BN456" s="6290"/>
      <c r="BO456" s="6290"/>
      <c r="BP456" s="6290"/>
      <c r="BQ456" s="1252"/>
      <c r="BR456" s="1252"/>
      <c r="BS456" s="1070" t="s">
        <v>2164</v>
      </c>
      <c r="BT456" s="1079"/>
      <c r="BU456" s="1079"/>
      <c r="BV456" s="1080"/>
      <c r="BW456" s="1080"/>
    </row>
    <row s="1252" customFormat="1" customHeight="1" ht="64.5">
      <c r="A457" s="1252"/>
      <c r="B457" s="760"/>
      <c r="C457" s="103"/>
      <c r="D457" s="103" cm="1" t="str">
        <f t="array" ref="D457:D457">D456</f>
        <v>14</v>
      </c>
      <c r="E457" s="626">
        <v>66.6</v>
      </c>
      <c r="F457" s="50" cm="1" t="str">
        <f t="array" ref="F457:F457">OFFSET(E457,-1,1)</f>
        <v>2</v>
      </c>
      <c r="G457" s="103"/>
      <c r="H457" s="103"/>
      <c r="I457" s="103"/>
      <c r="J457" s="103"/>
      <c r="K457" s="103"/>
      <c r="L457" s="988"/>
      <c r="M457" s="103"/>
      <c r="N457" s="103"/>
      <c r="O457" s="103"/>
      <c r="P457" s="103"/>
      <c r="Q457" s="103"/>
      <c r="R457" s="103"/>
      <c r="S457" s="103"/>
      <c r="T457" s="468" cm="1" t="str">
        <f t="array" ref="T457:T457">T456</f>
        <v>true</v>
      </c>
      <c r="U457" s="103"/>
      <c r="V457" s="103"/>
      <c r="W457" s="103"/>
      <c r="X457" s="1559"/>
      <c r="Y457" s="1252"/>
      <c r="Z457" s="1529"/>
      <c r="AA457" s="1252"/>
      <c r="AB457" s="296" t="str">
        <f>D457&amp;".2"</f>
        <v>14.2</v>
      </c>
      <c r="AC457" s="769" t="s">
        <v>2166</v>
      </c>
      <c r="AD457" s="296" t="s">
        <v>936</v>
      </c>
      <c r="AE457" s="6293"/>
      <c r="AF457" s="6293"/>
      <c r="AG457" s="6293"/>
      <c r="AH457" s="1123">
        <f>AG457-AF457</f>
        <v>0</v>
      </c>
      <c r="AI457" s="6293"/>
      <c r="AJ457" s="6293"/>
      <c r="AK457" s="1260"/>
      <c r="AL457" s="1260"/>
      <c r="AM457" s="1260"/>
      <c r="AN457" s="1260"/>
      <c r="AO457" s="1260"/>
      <c r="AP457" s="1260"/>
      <c r="AQ457" s="1260"/>
      <c r="AR457" s="1260"/>
      <c r="AS457" s="1260"/>
      <c r="AT457" s="6293"/>
      <c r="AU457" s="1260"/>
      <c r="AV457" s="1260"/>
      <c r="AW457" s="1260"/>
      <c r="AX457" s="1260"/>
      <c r="AY457" s="1260"/>
      <c r="AZ457" s="1260"/>
      <c r="BA457" s="1260"/>
      <c r="BB457" s="1260"/>
      <c r="BC457" s="1260"/>
      <c r="BD457" s="1124"/>
      <c r="BE457" s="1124"/>
      <c r="BF457" s="1124"/>
      <c r="BG457" s="1124"/>
      <c r="BH457" s="1124"/>
      <c r="BI457" s="1124"/>
      <c r="BJ457" s="1124"/>
      <c r="BK457" s="1124"/>
      <c r="BL457" s="1124"/>
      <c r="BM457" s="1124"/>
      <c r="BN457" s="6290"/>
      <c r="BO457" s="6290"/>
      <c r="BP457" s="6290"/>
      <c r="BQ457" s="1252"/>
      <c r="BR457" s="1252"/>
      <c r="BS457" s="1070" t="s">
        <v>2167</v>
      </c>
      <c r="BT457" s="1079"/>
      <c r="BU457" s="1079"/>
      <c r="BV457" s="1080"/>
      <c r="BW457" s="1080"/>
    </row>
    <row s="1252" customFormat="1" customHeight="1" ht="44.25">
      <c r="A458" s="1252"/>
      <c r="B458" s="760"/>
      <c r="C458" s="103"/>
      <c r="D458" s="103" cm="1" t="str">
        <f t="array" ref="D458:D458">D457</f>
        <v>14</v>
      </c>
      <c r="E458" s="626">
        <v>45.6</v>
      </c>
      <c r="F458" s="50" cm="1" t="str">
        <f t="array" ref="F458:F458">OFFSET(E458,-1,1)</f>
        <v>2</v>
      </c>
      <c r="G458" s="103"/>
      <c r="H458" s="103"/>
      <c r="I458" s="103"/>
      <c r="J458" s="103"/>
      <c r="K458" s="103"/>
      <c r="L458" s="988"/>
      <c r="M458" s="103"/>
      <c r="N458" s="103"/>
      <c r="O458" s="103"/>
      <c r="P458" s="103"/>
      <c r="Q458" s="103"/>
      <c r="R458" s="103"/>
      <c r="S458" s="103"/>
      <c r="T458" s="468" cm="1" t="str">
        <f t="array" ref="T458:T458">T457</f>
        <v>true</v>
      </c>
      <c r="U458" s="103"/>
      <c r="V458" s="103"/>
      <c r="W458" s="103"/>
      <c r="X458" s="1559"/>
      <c r="Y458" s="1252"/>
      <c r="Z458" s="1529"/>
      <c r="AA458" s="1252"/>
      <c r="AB458" s="296" t="str">
        <f>D458&amp;".3"</f>
        <v>14.3</v>
      </c>
      <c r="AC458" s="769" t="s">
        <v>2449</v>
      </c>
      <c r="AD458" s="296" t="s">
        <v>936</v>
      </c>
      <c r="AE458" s="1124"/>
      <c r="AF458" s="6293"/>
      <c r="AG458" s="6293"/>
      <c r="AH458" s="1123">
        <f>AG458-AF458</f>
        <v>0</v>
      </c>
      <c r="AI458" s="1124"/>
      <c r="AJ458" s="1124"/>
      <c r="AK458" s="1124"/>
      <c r="AL458" s="1124"/>
      <c r="AM458" s="1124"/>
      <c r="AN458" s="1124"/>
      <c r="AO458" s="1124"/>
      <c r="AP458" s="1124"/>
      <c r="AQ458" s="1124"/>
      <c r="AR458" s="1124"/>
      <c r="AS458" s="1124"/>
      <c r="AT458" s="1124"/>
      <c r="AU458" s="1124"/>
      <c r="AV458" s="1124"/>
      <c r="AW458" s="1124"/>
      <c r="AX458" s="1124"/>
      <c r="AY458" s="1124"/>
      <c r="AZ458" s="1124"/>
      <c r="BA458" s="1124"/>
      <c r="BB458" s="1124"/>
      <c r="BC458" s="1124"/>
      <c r="BD458" s="1124"/>
      <c r="BE458" s="1124"/>
      <c r="BF458" s="1124"/>
      <c r="BG458" s="1124"/>
      <c r="BH458" s="1124"/>
      <c r="BI458" s="1124"/>
      <c r="BJ458" s="1124"/>
      <c r="BK458" s="1124"/>
      <c r="BL458" s="1124"/>
      <c r="BM458" s="1124"/>
      <c r="BN458" s="6290"/>
      <c r="BO458" s="6290"/>
      <c r="BP458" s="6290"/>
      <c r="BQ458" s="1252"/>
      <c r="BR458" s="1252"/>
      <c r="BS458" s="1079" t="s">
        <v>2450</v>
      </c>
      <c r="BT458" s="1079"/>
      <c r="BU458" s="1079"/>
      <c r="BV458" s="1080"/>
      <c r="BW458" s="1080"/>
    </row>
    <row s="541" customFormat="1" customHeight="1" ht="14.25">
      <c r="A459" s="1331"/>
      <c r="B459" s="430"/>
      <c r="C459" s="428"/>
      <c r="D459" s="428"/>
      <c r="E459" s="624">
        <v>15</v>
      </c>
      <c r="F459" s="496" cm="1" t="str">
        <f t="array" ref="F459:F459">X459</f>
        <v>3</v>
      </c>
      <c r="G459" s="496" cm="1" t="str">
        <f t="array" ref="G459:G459">INDEX('Общие сведения'!$AK$197:$AK$254,MATCH($X459,'Общие сведения'!$Z$197:$Z$254,0))</f>
        <v>одноставочный</v>
      </c>
      <c r="H459" s="428"/>
      <c r="I459" s="496"/>
      <c r="J459" s="428"/>
      <c r="K459" s="428"/>
      <c r="L459" s="990"/>
      <c r="M459" s="428"/>
      <c r="N459" s="428"/>
      <c r="O459" s="428"/>
      <c r="P459" s="428"/>
      <c r="Q459" s="428"/>
      <c r="R459" s="428"/>
      <c r="S459" s="428" cm="1" t="str">
        <f t="array" ref="S459:S459">INDEX('Общие сведения'!$AE$197:$AE$254,MATCH($X459,'Общие сведения'!$Z$197:$Z$254,0))</f>
        <v>Водоотведение</v>
      </c>
      <c r="T459" s="468">
        <f>X459&gt;0</f>
        <v>1</v>
      </c>
      <c r="U459" s="428"/>
      <c r="V459" s="428" cm="1" t="str">
        <f t="array" ref="V459:V459">'Калькуляция (МЭОР)'!$AB$282</f>
        <v>Тариф 3 (Водоотведение) - тариф на водоотведение (Оказание услуг на территории: город Полысаево (ОКТМО: 32732000) - г Полысаево)</v>
      </c>
      <c r="W459" s="428"/>
      <c r="X459" s="1559" t="s">
        <v>234</v>
      </c>
      <c r="Y459" s="1331"/>
      <c r="Z459" s="1529"/>
      <c r="AA459" s="1331"/>
      <c r="AB459" s="377" cm="1" t="str">
        <f t="array" ref="AB459:AB459">'Калькуляция (МЭОР)'!$AB$282</f>
        <v>Тариф 3 (Водоотведение) - тариф на водоотведение (Оказание услуг на территории: город Полысаево (ОКТМО: 32732000) - г Полысаево)</v>
      </c>
      <c r="AC459" s="248"/>
      <c r="AD459" s="248"/>
      <c r="AE459" s="248"/>
      <c r="AF459" s="248"/>
      <c r="AG459" s="248"/>
      <c r="AH459" s="248"/>
      <c r="AI459" s="248"/>
      <c r="AJ459" s="248"/>
      <c r="AK459" s="248"/>
      <c r="AL459" s="248"/>
      <c r="AM459" s="248"/>
      <c r="AN459" s="248"/>
      <c r="AO459" s="248"/>
      <c r="AP459" s="248"/>
      <c r="AQ459" s="248"/>
      <c r="AR459" s="248"/>
      <c r="AS459" s="248"/>
      <c r="AT459" s="248"/>
      <c r="AU459" s="248"/>
      <c r="AV459" s="248"/>
      <c r="AW459" s="248"/>
      <c r="AX459" s="248"/>
      <c r="AY459" s="248"/>
      <c r="AZ459" s="248"/>
      <c r="BA459" s="248"/>
      <c r="BB459" s="248"/>
      <c r="BC459" s="248"/>
      <c r="BD459" s="248"/>
      <c r="BE459" s="248"/>
      <c r="BF459" s="248"/>
      <c r="BG459" s="248"/>
      <c r="BH459" s="248"/>
      <c r="BI459" s="248"/>
      <c r="BJ459" s="248"/>
      <c r="BK459" s="248"/>
      <c r="BL459" s="248"/>
      <c r="BM459" s="248"/>
      <c r="BN459" s="248"/>
      <c r="BO459" s="248"/>
      <c r="BP459" s="248"/>
      <c r="BQ459" s="1331"/>
      <c r="BR459" s="1331"/>
      <c r="BS459" s="1005"/>
      <c r="BT459" s="1005"/>
      <c r="BU459" s="1005"/>
      <c r="BV459" s="623"/>
      <c r="BW459" s="623"/>
    </row>
    <row s="6419" customFormat="1" customHeight="1" ht="212.25">
      <c r="A460" s="157"/>
      <c r="B460" s="436"/>
      <c r="C460" s="862"/>
      <c r="D460" s="862"/>
      <c r="E460" s="863">
        <v>21</v>
      </c>
      <c r="F460" s="50" cm="1" t="str">
        <f t="array" ref="F460:F460">OFFSET(E460,-1,1)</f>
        <v>3</v>
      </c>
      <c r="G460" s="862"/>
      <c r="H460" s="108"/>
      <c r="I460" s="108" t="s">
        <v>344</v>
      </c>
      <c r="J460" s="862"/>
      <c r="K460" s="373" t="s">
        <v>344</v>
      </c>
      <c r="L460" s="991"/>
      <c r="M460" s="862"/>
      <c r="N460" s="862"/>
      <c r="O460" s="862"/>
      <c r="P460" s="862"/>
      <c r="Q460" s="862"/>
      <c r="R460" s="862"/>
      <c r="S460" s="862"/>
      <c r="T460" s="468" cm="1" t="str">
        <f t="array" ref="T460:T460">T459</f>
        <v>true</v>
      </c>
      <c r="U460" s="862"/>
      <c r="V460" s="862"/>
      <c r="W460" s="862"/>
      <c r="X460" s="1559"/>
      <c r="Y460" s="157"/>
      <c r="Z460" s="1529"/>
      <c r="AA460" s="157"/>
      <c r="AB460" s="230" t="s">
        <v>290</v>
      </c>
      <c r="AC460" s="208" t="s">
        <v>2174</v>
      </c>
      <c r="AD460" s="230" t="s">
        <v>936</v>
      </c>
      <c r="AE460" s="785">
        <f>SUM(AE462,AE479,AE485,AE505,AE506,AE507)</f>
        <v>11519.72</v>
      </c>
      <c r="AF460" s="785">
        <f>SUM(AF462,AF479,AF485,AF505,AF506,AF507)</f>
        <v>0</v>
      </c>
      <c r="AG460" s="785">
        <f>SUM(AG462,AG479,AG485,AG505,AG506,AG507)</f>
        <v>0</v>
      </c>
      <c r="AH460" s="785">
        <f>AG460-AF460</f>
        <v>0</v>
      </c>
      <c r="AI460" s="785">
        <f>SUM(AI462,AI479,AI485,AI505,AI506,AI507)</f>
        <v>0</v>
      </c>
      <c r="AJ460" s="785">
        <f>SUM(AJ462,AJ479,AJ485,AJ505,AJ506,AJ507)</f>
        <v>0</v>
      </c>
      <c r="AK460" s="1256">
        <f>AJ460*AK461</f>
        <v>0</v>
      </c>
      <c r="AL460" s="1256">
        <f>AK460*AL461</f>
        <v>0</v>
      </c>
      <c r="AM460" s="1256">
        <f>AL460*AM461</f>
        <v>0</v>
      </c>
      <c r="AN460" s="1256">
        <f>AM460*AN461</f>
        <v>0</v>
      </c>
      <c r="AO460" s="1256">
        <f>AN460*AO461</f>
        <v>0</v>
      </c>
      <c r="AP460" s="1256">
        <f>AO460*AP461</f>
        <v>0</v>
      </c>
      <c r="AQ460" s="1256">
        <f>AP460*AQ461</f>
        <v>0</v>
      </c>
      <c r="AR460" s="1256">
        <f>AQ460*AR461</f>
        <v>0</v>
      </c>
      <c r="AS460" s="1256">
        <f>AR460*AS461</f>
        <v>0</v>
      </c>
      <c r="AT460" s="785">
        <f>SUM(AT462,AT479,AT485,AT505,AT506,AT507)</f>
        <v>0</v>
      </c>
      <c r="AU460" s="1256">
        <f>AT460*AU461</f>
        <v>0</v>
      </c>
      <c r="AV460" s="1256">
        <f>AU460*AV461</f>
        <v>0</v>
      </c>
      <c r="AW460" s="1256">
        <f>AV460*AW461</f>
        <v>0</v>
      </c>
      <c r="AX460" s="1256">
        <f>AW460*AX461</f>
        <v>0</v>
      </c>
      <c r="AY460" s="1256">
        <f>AX460*AY461</f>
        <v>0</v>
      </c>
      <c r="AZ460" s="1256">
        <f>AY460*AZ461</f>
        <v>0</v>
      </c>
      <c r="BA460" s="1256">
        <f>AZ460*BA461</f>
        <v>0</v>
      </c>
      <c r="BB460" s="1256">
        <f>BA460*BB461</f>
        <v>0</v>
      </c>
      <c r="BC460" s="1256">
        <f>BB460*BC461</f>
        <v>0</v>
      </c>
      <c r="BD460" s="785">
        <f>IF(AI460=0,0,(AT460-AI460)/AI460*100)</f>
        <v>0</v>
      </c>
      <c r="BE460" s="785">
        <f>IF(AT460=0,0,(AU460-AT460)/AT460*100)</f>
        <v>0</v>
      </c>
      <c r="BF460" s="785">
        <f>IF(AU460=0,0,(AV460-AU460)/AU460*100)</f>
        <v>0</v>
      </c>
      <c r="BG460" s="785">
        <f>IF(AV460=0,0,(AW460-AV460)/AV460*100)</f>
        <v>0</v>
      </c>
      <c r="BH460" s="785">
        <f>IF(AW460=0,0,(AX460-AW460)/AW460*100)</f>
        <v>0</v>
      </c>
      <c r="BI460" s="785">
        <f>IF(AX460=0,0,(AY460-AX460)/AX460*100)</f>
        <v>0</v>
      </c>
      <c r="BJ460" s="785">
        <f>IF(AY460=0,0,(AZ460-AY460)/AY460*100)</f>
        <v>0</v>
      </c>
      <c r="BK460" s="785">
        <f>IF(AZ460=0,0,(BA460-AZ460)/AZ460*100)</f>
        <v>0</v>
      </c>
      <c r="BL460" s="785">
        <f>IF(BA460=0,0,(BB460-BA460)/BA460*100)</f>
        <v>0</v>
      </c>
      <c r="BM460" s="785">
        <f>IF(BB460=0,0,(BC460-BB460)/BB460*100)</f>
        <v>0</v>
      </c>
      <c r="BN460" s="6290" t="s">
        <v>2451</v>
      </c>
      <c r="BO460" s="6290" t="s">
        <v>2452</v>
      </c>
      <c r="BP460" s="6290" t="s">
        <v>2468</v>
      </c>
      <c r="BQ460" s="156"/>
      <c r="BR460" s="157"/>
      <c r="BS460" s="1076" t="s">
        <v>649</v>
      </c>
      <c r="BT460" s="1076"/>
      <c r="BU460" s="1076"/>
      <c r="BV460" s="711"/>
      <c r="BW460" s="711"/>
    </row>
    <row s="1656" customFormat="1" customHeight="1" ht="117.75">
      <c r="A461" s="1297"/>
      <c r="B461" s="986"/>
      <c r="C461" s="103"/>
      <c r="D461" s="103"/>
      <c r="E461" s="626">
        <v>15</v>
      </c>
      <c r="F461" s="50" cm="1" t="str">
        <f t="array" ref="F461:F461">OFFSET(E461,-1,1)</f>
        <v>3</v>
      </c>
      <c r="G461" s="103"/>
      <c r="H461" s="864"/>
      <c r="I461" s="864" t="s">
        <v>566</v>
      </c>
      <c r="J461" s="103"/>
      <c r="K461" s="374" t="s">
        <v>566</v>
      </c>
      <c r="L461" s="988"/>
      <c r="M461" s="103"/>
      <c r="N461" s="103"/>
      <c r="O461" s="103"/>
      <c r="P461" s="103"/>
      <c r="Q461" s="103"/>
      <c r="R461" s="103"/>
      <c r="S461" s="103"/>
      <c r="T461" s="468" cm="1" t="str">
        <f t="array" ref="T461:T461">T460</f>
        <v>true</v>
      </c>
      <c r="U461" s="103"/>
      <c r="V461" s="103"/>
      <c r="W461" s="103"/>
      <c r="X461" s="1559"/>
      <c r="Y461" s="1297"/>
      <c r="Z461" s="1529"/>
      <c r="AA461" s="1297"/>
      <c r="AB461" s="296" t="s">
        <v>1067</v>
      </c>
      <c r="AC461" s="769" t="s">
        <v>2175</v>
      </c>
      <c r="AD461" s="296"/>
      <c r="AE461" s="6291">
        <v>1.0700662876</v>
      </c>
      <c r="AF461" s="6291"/>
      <c r="AG461" s="6291"/>
      <c r="AH461" s="1122">
        <f>AG461-AF461</f>
        <v>0</v>
      </c>
      <c r="AI461" s="6291">
        <v>1.1239381398</v>
      </c>
      <c r="AJ461" s="6291"/>
      <c r="AK461" s="1258">
        <f>_xlfn.SUMIFS(INDEX(Сценарии!$AE$25:$BF$136,,MATCH(AK$8,Сценарии!$AE$8:$BF$8,0)),Сценарии!$F$25:$F$136,$F461,Сценарии!$G$25:$G$136,"ИОР")</f>
        <v>1</v>
      </c>
      <c r="AL461" s="1258">
        <f>_xlfn.SUMIFS(INDEX(Сценарии!$AE$25:$BF$136,,MATCH(AL$8,Сценарии!$AE$8:$BF$8,0)),Сценарии!$F$25:$F$136,$F461,Сценарии!$G$25:$G$136,"ИОР")</f>
        <v>1</v>
      </c>
      <c r="AM461" s="1258">
        <f>_xlfn.SUMIFS(INDEX(Сценарии!$AE$25:$BF$136,,MATCH(AM$8,Сценарии!$AE$8:$BF$8,0)),Сценарии!$F$25:$F$136,$F461,Сценарии!$G$25:$G$136,"ИОР")</f>
        <v>1</v>
      </c>
      <c r="AN461" s="1258">
        <f>_xlfn.SUMIFS(INDEX(Сценарии!$AE$25:$BF$136,,MATCH(AN$8,Сценарии!$AE$8:$BF$8,0)),Сценарии!$F$25:$F$136,$F461,Сценарии!$G$25:$G$136,"ИОР")</f>
        <v>1</v>
      </c>
      <c r="AO461" s="1258">
        <f>_xlfn.SUMIFS(INDEX(Сценарии!$AE$25:$BF$136,,MATCH(AO$8,Сценарии!$AE$8:$BF$8,0)),Сценарии!$F$25:$F$136,$F461,Сценарии!$G$25:$G$136,"ИОР")</f>
        <v>1</v>
      </c>
      <c r="AP461" s="1258">
        <f>_xlfn.SUMIFS(INDEX(Сценарии!$AE$25:$BF$136,,MATCH(AP$8,Сценарии!$AE$8:$BF$8,0)),Сценарии!$F$25:$F$136,$F461,Сценарии!$G$25:$G$136,"ИОР")</f>
        <v>1</v>
      </c>
      <c r="AQ461" s="1258">
        <f>_xlfn.SUMIFS(INDEX(Сценарии!$AE$25:$BF$136,,MATCH(AQ$8,Сценарии!$AE$8:$BF$8,0)),Сценарии!$F$25:$F$136,$F461,Сценарии!$G$25:$G$136,"ИОР")</f>
        <v>1</v>
      </c>
      <c r="AR461" s="1258">
        <f>_xlfn.SUMIFS(INDEX(Сценарии!$AE$25:$BF$136,,MATCH(AR$8,Сценарии!$AE$8:$BF$8,0)),Сценарии!$F$25:$F$136,$F461,Сценарии!$G$25:$G$136,"ИОР")</f>
        <v>1</v>
      </c>
      <c r="AS461" s="1258">
        <f>_xlfn.SUMIFS(INDEX(Сценарии!$AE$25:$BF$136,,MATCH(AS$8,Сценарии!$AE$8:$BF$8,0)),Сценарии!$F$25:$F$136,$F461,Сценарии!$G$25:$G$136,"ИОР")</f>
        <v>1</v>
      </c>
      <c r="AT461" s="6291"/>
      <c r="AU461" s="1258">
        <f>_xlfn.SUMIFS(INDEX(Сценарии!$AE$25:$BF$136,,MATCH(AU$8,Сценарии!$AE$8:$BF$8,0)),Сценарии!$F$25:$F$136,$F461,Сценарии!$G$25:$G$136,"ИОР")</f>
        <v>1</v>
      </c>
      <c r="AV461" s="1258">
        <f>_xlfn.SUMIFS(INDEX(Сценарии!$AE$25:$BF$136,,MATCH(AV$8,Сценарии!$AE$8:$BF$8,0)),Сценарии!$F$25:$F$136,$F461,Сценарии!$G$25:$G$136,"ИОР")</f>
        <v>1</v>
      </c>
      <c r="AW461" s="1258">
        <f>_xlfn.SUMIFS(INDEX(Сценарии!$AE$25:$BF$136,,MATCH(AW$8,Сценарии!$AE$8:$BF$8,0)),Сценарии!$F$25:$F$136,$F461,Сценарии!$G$25:$G$136,"ИОР")</f>
        <v>1</v>
      </c>
      <c r="AX461" s="1258">
        <f>_xlfn.SUMIFS(INDEX(Сценарии!$AE$25:$BF$136,,MATCH(AX$8,Сценарии!$AE$8:$BF$8,0)),Сценарии!$F$25:$F$136,$F461,Сценарии!$G$25:$G$136,"ИОР")</f>
        <v>1</v>
      </c>
      <c r="AY461" s="1258">
        <f>_xlfn.SUMIFS(INDEX(Сценарии!$AE$25:$BF$136,,MATCH(AY$8,Сценарии!$AE$8:$BF$8,0)),Сценарии!$F$25:$F$136,$F461,Сценарии!$G$25:$G$136,"ИОР")</f>
        <v>1</v>
      </c>
      <c r="AZ461" s="1258">
        <f>_xlfn.SUMIFS(INDEX(Сценарии!$AE$25:$BF$136,,MATCH(AZ$8,Сценарии!$AE$8:$BF$8,0)),Сценарии!$F$25:$F$136,$F461,Сценарии!$G$25:$G$136,"ИОР")</f>
        <v>1</v>
      </c>
      <c r="BA461" s="1258">
        <f>_xlfn.SUMIFS(INDEX(Сценарии!$AE$25:$BF$136,,MATCH(BA$8,Сценарии!$AE$8:$BF$8,0)),Сценарии!$F$25:$F$136,$F461,Сценарии!$G$25:$G$136,"ИОР")</f>
        <v>1</v>
      </c>
      <c r="BB461" s="1258">
        <f>_xlfn.SUMIFS(INDEX(Сценарии!$AE$25:$BF$136,,MATCH(BB$8,Сценарии!$AE$8:$BF$8,0)),Сценарии!$F$25:$F$136,$F461,Сценарии!$G$25:$G$136,"ИОР")</f>
        <v>1</v>
      </c>
      <c r="BC461" s="1258">
        <f>_xlfn.SUMIFS(INDEX(Сценарии!$AE$25:$BF$136,,MATCH(BC$8,Сценарии!$AE$8:$BF$8,0)),Сценарии!$F$25:$F$136,$F461,Сценарии!$G$25:$G$136,"ИОР")</f>
        <v>1</v>
      </c>
      <c r="BD461" s="1123">
        <f>IF(AI461=0,0,(AT461-AI461)/AI461*100)</f>
        <v>-100</v>
      </c>
      <c r="BE461" s="1124"/>
      <c r="BF461" s="1124"/>
      <c r="BG461" s="1124"/>
      <c r="BH461" s="1124"/>
      <c r="BI461" s="1124"/>
      <c r="BJ461" s="1124"/>
      <c r="BK461" s="1124"/>
      <c r="BL461" s="1124"/>
      <c r="BM461" s="1124"/>
      <c r="BN461" s="6290"/>
      <c r="BO461" s="6290" t="s">
        <v>2454</v>
      </c>
      <c r="BP461" s="6290"/>
      <c r="BQ461" s="1297"/>
      <c r="BR461" s="1297"/>
      <c r="BS461" s="1072" t="s">
        <v>2176</v>
      </c>
      <c r="BT461" s="1072"/>
      <c r="BU461" s="1072"/>
      <c r="BV461" s="987"/>
      <c r="BW461" s="987"/>
    </row>
    <row s="436" customFormat="1" customHeight="1" ht="20.25">
      <c r="A462" s="156"/>
      <c r="B462" s="436"/>
      <c r="C462" s="865"/>
      <c r="D462" s="865"/>
      <c r="E462" s="866">
        <v>21</v>
      </c>
      <c r="F462" s="50" cm="1" t="str">
        <f t="array" ref="F462:F462">OFFSET(E462,-1,1)</f>
        <v>3</v>
      </c>
      <c r="G462" s="865"/>
      <c r="H462" s="108"/>
      <c r="I462" s="108" t="s">
        <v>570</v>
      </c>
      <c r="J462" s="865"/>
      <c r="K462" s="373" t="s">
        <v>570</v>
      </c>
      <c r="L462" s="992" t="s">
        <v>344</v>
      </c>
      <c r="M462" s="865"/>
      <c r="N462" s="865"/>
      <c r="O462" s="865"/>
      <c r="P462" s="865"/>
      <c r="Q462" s="865"/>
      <c r="R462" s="865"/>
      <c r="S462" s="865"/>
      <c r="T462" s="468" cm="1" t="str">
        <f t="array" ref="T462:T462">T461</f>
        <v>true</v>
      </c>
      <c r="U462" s="865"/>
      <c r="V462" s="865"/>
      <c r="W462" s="865"/>
      <c r="X462" s="1559"/>
      <c r="Y462" s="156"/>
      <c r="Z462" s="1529"/>
      <c r="AA462" s="156"/>
      <c r="AB462" s="230" t="s">
        <v>1070</v>
      </c>
      <c r="AC462" s="357" t="s">
        <v>1972</v>
      </c>
      <c r="AD462" s="230" t="s">
        <v>936</v>
      </c>
      <c r="AE462" s="785">
        <f>SUM(AE463,AE466,AE467,AE470,AE471)</f>
        <v>738.59</v>
      </c>
      <c r="AF462" s="785">
        <f>SUM(AF463,AF466,AF467,AF470,AF471)</f>
        <v>0</v>
      </c>
      <c r="AG462" s="785">
        <f>SUM(AG463,AG466,AG467,AG470,AG471)</f>
        <v>0</v>
      </c>
      <c r="AH462" s="785">
        <f>AG462-AF462</f>
        <v>0</v>
      </c>
      <c r="AI462" s="785">
        <f>SUM(AI463,AI466,AI467,AI470,AI471)</f>
        <v>0</v>
      </c>
      <c r="AJ462" s="785">
        <f>SUM(AJ463,AJ466,AJ467,AJ470,AJ471)</f>
        <v>0</v>
      </c>
      <c r="AK462" s="212"/>
      <c r="AL462" s="212"/>
      <c r="AM462" s="212"/>
      <c r="AN462" s="212"/>
      <c r="AO462" s="212"/>
      <c r="AP462" s="212"/>
      <c r="AQ462" s="212"/>
      <c r="AR462" s="212"/>
      <c r="AS462" s="212"/>
      <c r="AT462" s="785">
        <f>SUM(AT463,AT466,AT467,AT470,AT471)</f>
        <v>0</v>
      </c>
      <c r="AU462" s="212"/>
      <c r="AV462" s="212"/>
      <c r="AW462" s="212"/>
      <c r="AX462" s="212"/>
      <c r="AY462" s="212"/>
      <c r="AZ462" s="212"/>
      <c r="BA462" s="212"/>
      <c r="BB462" s="212"/>
      <c r="BC462" s="212"/>
      <c r="BD462" s="785">
        <f>IF(AI462=0,0,(AT462-AI462)/AI462*100)</f>
        <v>0</v>
      </c>
      <c r="BE462" s="212"/>
      <c r="BF462" s="212"/>
      <c r="BG462" s="212"/>
      <c r="BH462" s="212"/>
      <c r="BI462" s="212"/>
      <c r="BJ462" s="212"/>
      <c r="BK462" s="212"/>
      <c r="BL462" s="212"/>
      <c r="BM462" s="212"/>
      <c r="BN462" s="6292"/>
      <c r="BO462" s="6292"/>
      <c r="BP462" s="6292"/>
      <c r="BQ462" s="156"/>
      <c r="BR462" s="156"/>
      <c r="BS462" s="1070" t="s">
        <v>621</v>
      </c>
      <c r="BT462" s="1077"/>
      <c r="BU462" s="1077"/>
      <c r="BV462" s="712"/>
      <c r="BW462" s="712"/>
    </row>
    <row s="1656" customFormat="1" customHeight="1" ht="14.25">
      <c r="A463" s="1297"/>
      <c r="B463" s="986"/>
      <c r="C463" s="103"/>
      <c r="D463" s="103"/>
      <c r="E463" s="626">
        <v>15</v>
      </c>
      <c r="F463" s="50" cm="1" t="str">
        <f t="array" ref="F463:F463">OFFSET(E463,-1,1)</f>
        <v>3</v>
      </c>
      <c r="G463" s="103"/>
      <c r="H463" s="864"/>
      <c r="I463" s="864" t="s">
        <v>1550</v>
      </c>
      <c r="J463" s="103"/>
      <c r="K463" s="374" t="s">
        <v>1550</v>
      </c>
      <c r="L463" s="988" t="s">
        <v>566</v>
      </c>
      <c r="M463" s="103"/>
      <c r="N463" s="103"/>
      <c r="O463" s="103"/>
      <c r="P463" s="103"/>
      <c r="Q463" s="103"/>
      <c r="R463" s="103"/>
      <c r="S463" s="103"/>
      <c r="T463" s="468" cm="1" t="str">
        <f t="array" ref="T463:T463">T462</f>
        <v>true</v>
      </c>
      <c r="U463" s="103"/>
      <c r="V463" s="103"/>
      <c r="W463" s="103"/>
      <c r="X463" s="1559"/>
      <c r="Y463" s="1297"/>
      <c r="Z463" s="1529"/>
      <c r="AA463" s="1297"/>
      <c r="AB463" s="296" t="s">
        <v>1551</v>
      </c>
      <c r="AC463" s="772" t="s">
        <v>2177</v>
      </c>
      <c r="AD463" s="773" t="s">
        <v>936</v>
      </c>
      <c r="AE463" s="1123">
        <f>SUM(AE464,AE465)</f>
        <v>0</v>
      </c>
      <c r="AF463" s="1123">
        <f>SUM(AF464,AF465)</f>
        <v>0</v>
      </c>
      <c r="AG463" s="1123">
        <f>SUM(AG464,AG465)</f>
        <v>0</v>
      </c>
      <c r="AH463" s="1123">
        <f>AG463-AF463</f>
        <v>0</v>
      </c>
      <c r="AI463" s="1123">
        <f>SUM(AI464,AI465)</f>
        <v>0</v>
      </c>
      <c r="AJ463" s="1123">
        <f>SUM(AJ464,AJ465)</f>
        <v>0</v>
      </c>
      <c r="AK463" s="1124"/>
      <c r="AL463" s="1124"/>
      <c r="AM463" s="1124"/>
      <c r="AN463" s="1124"/>
      <c r="AO463" s="1124"/>
      <c r="AP463" s="1124"/>
      <c r="AQ463" s="1124"/>
      <c r="AR463" s="1124"/>
      <c r="AS463" s="1124"/>
      <c r="AT463" s="1123">
        <f>SUM(AT464,AT465)</f>
        <v>0</v>
      </c>
      <c r="AU463" s="1124"/>
      <c r="AV463" s="1124"/>
      <c r="AW463" s="1124"/>
      <c r="AX463" s="1124"/>
      <c r="AY463" s="1124"/>
      <c r="AZ463" s="1124"/>
      <c r="BA463" s="1124"/>
      <c r="BB463" s="1124"/>
      <c r="BC463" s="1124"/>
      <c r="BD463" s="1123">
        <f>IF(AI463=0,0,(AT463-AI463)/AI463*100)</f>
        <v>0</v>
      </c>
      <c r="BE463" s="1124"/>
      <c r="BF463" s="1124"/>
      <c r="BG463" s="1124"/>
      <c r="BH463" s="1124"/>
      <c r="BI463" s="1124"/>
      <c r="BJ463" s="1124"/>
      <c r="BK463" s="1124"/>
      <c r="BL463" s="1124"/>
      <c r="BM463" s="1124"/>
      <c r="BN463" s="6290"/>
      <c r="BO463" s="6290"/>
      <c r="BP463" s="6290"/>
      <c r="BQ463" s="106"/>
      <c r="BR463" s="1297"/>
      <c r="BS463" s="1071" t="s">
        <v>1974</v>
      </c>
      <c r="BT463" s="1072"/>
      <c r="BU463" s="1072"/>
      <c r="BV463" s="987"/>
      <c r="BW463" s="987"/>
    </row>
    <row s="1656" customFormat="1" customHeight="1" ht="14.25">
      <c r="A464" s="1297"/>
      <c r="B464" s="986"/>
      <c r="C464" s="103"/>
      <c r="D464" s="103"/>
      <c r="E464" s="626">
        <v>15</v>
      </c>
      <c r="F464" s="50" cm="1" t="str">
        <f t="array" ref="F464:F464">OFFSET(E464,-1,1)</f>
        <v>3</v>
      </c>
      <c r="G464" s="103"/>
      <c r="H464" s="864"/>
      <c r="I464" s="864" t="s">
        <v>2178</v>
      </c>
      <c r="J464" s="103"/>
      <c r="K464" s="374" t="s">
        <v>2178</v>
      </c>
      <c r="L464" s="988" t="s">
        <v>1201</v>
      </c>
      <c r="M464" s="103"/>
      <c r="N464" s="103"/>
      <c r="O464" s="103"/>
      <c r="P464" s="103"/>
      <c r="Q464" s="103"/>
      <c r="R464" s="103"/>
      <c r="S464" s="103"/>
      <c r="T464" s="468" cm="1" t="str">
        <f t="array" ref="T464:T464">T463</f>
        <v>true</v>
      </c>
      <c r="U464" s="103"/>
      <c r="V464" s="103"/>
      <c r="W464" s="103"/>
      <c r="X464" s="1559"/>
      <c r="Y464" s="1297"/>
      <c r="Z464" s="1529"/>
      <c r="AA464" s="1297"/>
      <c r="AB464" s="296" t="s">
        <v>2179</v>
      </c>
      <c r="AC464" s="775" t="s">
        <v>1977</v>
      </c>
      <c r="AD464" s="773" t="s">
        <v>936</v>
      </c>
      <c r="AE464" s="6241">
        <f>_xlfn.SUMIFS('Сырье и материалы'!AE$25:AE$111,'Сырье и материалы'!$F$25:$F$111,$F464,'Сырье и материалы'!$I$25:$I$111,"Горюче-смазочные материалы")</f>
        <v>0</v>
      </c>
      <c r="AF464" s="6241">
        <f>_xlfn.SUMIFS('Сырье и материалы'!AF$25:AF$111,'Сырье и материалы'!$F$25:$F$111,$F464,'Сырье и материалы'!$I$25:$I$111,"Горюче-смазочные материалы")</f>
        <v>0</v>
      </c>
      <c r="AG464" s="6241">
        <f>_xlfn.SUMIFS('Сырье и материалы'!AG$25:AG$111,'Сырье и материалы'!$F$25:$F$111,$F464,'Сырье и материалы'!$I$25:$I$111,"Горюче-смазочные материалы")</f>
        <v>0</v>
      </c>
      <c r="AH464" s="1123">
        <f>AG464-AF464</f>
        <v>0</v>
      </c>
      <c r="AI464" s="6241">
        <f>_xlfn.SUMIFS('Сырье и материалы'!AH$25:AH$111,'Сырье и материалы'!$F$25:$F$111,$F464,'Сырье и материалы'!$I$25:$I$111,"Горюче-смазочные материалы")</f>
        <v>0</v>
      </c>
      <c r="AJ464" s="6241">
        <f>_xlfn.SUMIFS('Сырье и материалы'!AI$25:AI$111,'Сырье и материалы'!$F$25:$F$111,$F464,'Сырье и материалы'!$I$25:$I$111,"Горюче-смазочные материалы")</f>
        <v>0</v>
      </c>
      <c r="AK464" s="1124"/>
      <c r="AL464" s="1124"/>
      <c r="AM464" s="1124"/>
      <c r="AN464" s="1124"/>
      <c r="AO464" s="1124"/>
      <c r="AP464" s="1124"/>
      <c r="AQ464" s="1124"/>
      <c r="AR464" s="1124"/>
      <c r="AS464" s="1124"/>
      <c r="AT464" s="6241">
        <f>_xlfn.SUMIFS('Сырье и материалы'!AS$25:AS$111,'Сырье и материалы'!$F$25:$F$111,$F464,'Сырье и материалы'!$I$25:$I$111,"Горюче-смазочные материалы")</f>
        <v>0</v>
      </c>
      <c r="AU464" s="1124"/>
      <c r="AV464" s="1124"/>
      <c r="AW464" s="1124"/>
      <c r="AX464" s="1124"/>
      <c r="AY464" s="1124"/>
      <c r="AZ464" s="1124"/>
      <c r="BA464" s="1124"/>
      <c r="BB464" s="1124"/>
      <c r="BC464" s="1124"/>
      <c r="BD464" s="1123">
        <f>IF(AI464=0,0,(AT464-AI464)/AI464*100)</f>
        <v>0</v>
      </c>
      <c r="BE464" s="1124"/>
      <c r="BF464" s="1124"/>
      <c r="BG464" s="1124"/>
      <c r="BH464" s="1124"/>
      <c r="BI464" s="1124"/>
      <c r="BJ464" s="1124"/>
      <c r="BK464" s="1124"/>
      <c r="BL464" s="1124"/>
      <c r="BM464" s="1124"/>
      <c r="BN464" s="6290"/>
      <c r="BO464" s="6290"/>
      <c r="BP464" s="6290"/>
      <c r="BQ464" s="1297"/>
      <c r="BR464" s="1297"/>
      <c r="BS464" s="1070" t="s">
        <v>1978</v>
      </c>
      <c r="BT464" s="1072"/>
      <c r="BU464" s="1072"/>
      <c r="BV464" s="987"/>
      <c r="BW464" s="987"/>
    </row>
    <row s="1656" customFormat="1" customHeight="1" ht="14.25">
      <c r="A465" s="1297"/>
      <c r="B465" s="986"/>
      <c r="C465" s="103"/>
      <c r="D465" s="103"/>
      <c r="E465" s="626">
        <v>15</v>
      </c>
      <c r="F465" s="50" cm="1" t="str">
        <f t="array" ref="F465:F465">OFFSET(E465,-1,1)</f>
        <v>3</v>
      </c>
      <c r="G465" s="103"/>
      <c r="H465" s="864"/>
      <c r="I465" s="864" t="s">
        <v>2180</v>
      </c>
      <c r="J465" s="103"/>
      <c r="K465" s="374" t="s">
        <v>2180</v>
      </c>
      <c r="L465" s="988" t="s">
        <v>1525</v>
      </c>
      <c r="M465" s="103"/>
      <c r="N465" s="103"/>
      <c r="O465" s="103"/>
      <c r="P465" s="103"/>
      <c r="Q465" s="103"/>
      <c r="R465" s="103"/>
      <c r="S465" s="103"/>
      <c r="T465" s="468" cm="1" t="str">
        <f t="array" ref="T465:T465">T464</f>
        <v>true</v>
      </c>
      <c r="U465" s="103"/>
      <c r="V465" s="103"/>
      <c r="W465" s="103"/>
      <c r="X465" s="1559"/>
      <c r="Y465" s="1297"/>
      <c r="Z465" s="1529"/>
      <c r="AA465" s="1297"/>
      <c r="AB465" s="296" t="s">
        <v>2181</v>
      </c>
      <c r="AC465" s="775" t="s">
        <v>1979</v>
      </c>
      <c r="AD465" s="773" t="s">
        <v>936</v>
      </c>
      <c r="AE465" s="6241">
        <f>_xlfn.SUMIFS('Сырье и материалы'!AE$25:AE$111,'Сырье и материалы'!$F$25:$F$111,$F465,'Сырье и материалы'!$I$25:$I$111,"Материалы")</f>
        <v>0</v>
      </c>
      <c r="AF465" s="6241">
        <f>_xlfn.SUMIFS('Сырье и материалы'!AF$25:AF$111,'Сырье и материалы'!$F$25:$F$111,$F465,'Сырье и материалы'!$I$25:$I$111,"Материалы")</f>
        <v>0</v>
      </c>
      <c r="AG465" s="6241">
        <f>_xlfn.SUMIFS('Сырье и материалы'!AG$25:AG$111,'Сырье и материалы'!$F$25:$F$111,$F465,'Сырье и материалы'!$I$25:$I$111,"Материалы")</f>
        <v>0</v>
      </c>
      <c r="AH465" s="1123">
        <f>AG465-AF465</f>
        <v>0</v>
      </c>
      <c r="AI465" s="6241">
        <f>_xlfn.SUMIFS('Сырье и материалы'!AH$25:AH$111,'Сырье и материалы'!$F$25:$F$111,$F465,'Сырье и материалы'!$I$25:$I$111,"Материалы")</f>
        <v>0</v>
      </c>
      <c r="AJ465" s="6241">
        <f>_xlfn.SUMIFS('Сырье и материалы'!AI$25:AI$111,'Сырье и материалы'!$F$25:$F$111,$F465,'Сырье и материалы'!$I$25:$I$111,"Материалы")</f>
        <v>0</v>
      </c>
      <c r="AK465" s="1124"/>
      <c r="AL465" s="1124"/>
      <c r="AM465" s="1124"/>
      <c r="AN465" s="1124"/>
      <c r="AO465" s="1124"/>
      <c r="AP465" s="1124"/>
      <c r="AQ465" s="1124"/>
      <c r="AR465" s="1124"/>
      <c r="AS465" s="1124"/>
      <c r="AT465" s="6241">
        <f>_xlfn.SUMIFS('Сырье и материалы'!AS$25:AS$111,'Сырье и материалы'!$F$25:$F$111,$F465,'Сырье и материалы'!$I$25:$I$111,"Материалы")</f>
        <v>0</v>
      </c>
      <c r="AU465" s="1124"/>
      <c r="AV465" s="1124"/>
      <c r="AW465" s="1124"/>
      <c r="AX465" s="1124"/>
      <c r="AY465" s="1124"/>
      <c r="AZ465" s="1124"/>
      <c r="BA465" s="1124"/>
      <c r="BB465" s="1124"/>
      <c r="BC465" s="1124"/>
      <c r="BD465" s="1123">
        <f>IF(AI465=0,0,(AT465-AI465)/AI465*100)</f>
        <v>0</v>
      </c>
      <c r="BE465" s="1124"/>
      <c r="BF465" s="1124"/>
      <c r="BG465" s="1124"/>
      <c r="BH465" s="1124"/>
      <c r="BI465" s="1124"/>
      <c r="BJ465" s="1124"/>
      <c r="BK465" s="1124"/>
      <c r="BL465" s="1124"/>
      <c r="BM465" s="1124"/>
      <c r="BN465" s="6290"/>
      <c r="BO465" s="6290"/>
      <c r="BP465" s="6290"/>
      <c r="BQ465" s="1297"/>
      <c r="BR465" s="1297"/>
      <c r="BS465" s="1070" t="s">
        <v>1980</v>
      </c>
      <c r="BT465" s="1072"/>
      <c r="BU465" s="1072"/>
      <c r="BV465" s="987"/>
      <c r="BW465" s="987"/>
    </row>
    <row s="1656" customFormat="1" customHeight="1" ht="21.75">
      <c r="A466" s="1297"/>
      <c r="B466" s="986"/>
      <c r="C466" s="103"/>
      <c r="D466" s="103"/>
      <c r="E466" s="626">
        <v>22.5</v>
      </c>
      <c r="F466" s="50" cm="1" t="str">
        <f t="array" ref="F466:F466">OFFSET(E466,-1,1)</f>
        <v>3</v>
      </c>
      <c r="G466" s="103"/>
      <c r="H466" s="864"/>
      <c r="I466" s="864" t="s">
        <v>1553</v>
      </c>
      <c r="J466" s="103"/>
      <c r="K466" s="374" t="s">
        <v>1553</v>
      </c>
      <c r="L466" s="988" t="s">
        <v>573</v>
      </c>
      <c r="M466" s="103"/>
      <c r="N466" s="103"/>
      <c r="O466" s="103"/>
      <c r="P466" s="103"/>
      <c r="Q466" s="103"/>
      <c r="R466" s="103"/>
      <c r="S466" s="103"/>
      <c r="T466" s="468" cm="1" t="str">
        <f t="array" ref="T466:T466">T465</f>
        <v>true</v>
      </c>
      <c r="U466" s="103"/>
      <c r="V466" s="103"/>
      <c r="W466" s="103"/>
      <c r="X466" s="1559"/>
      <c r="Y466" s="1297"/>
      <c r="Z466" s="1529"/>
      <c r="AA466" s="1297"/>
      <c r="AB466" s="296" t="s">
        <v>1554</v>
      </c>
      <c r="AC466" s="772" t="s">
        <v>2182</v>
      </c>
      <c r="AD466" s="773" t="s">
        <v>936</v>
      </c>
      <c r="AE466" s="6293"/>
      <c r="AF466" s="6293"/>
      <c r="AG466" s="6293"/>
      <c r="AH466" s="1123">
        <f>AG466-AF466</f>
        <v>0</v>
      </c>
      <c r="AI466" s="6293"/>
      <c r="AJ466" s="6293"/>
      <c r="AK466" s="1124"/>
      <c r="AL466" s="1124"/>
      <c r="AM466" s="1124"/>
      <c r="AN466" s="1124"/>
      <c r="AO466" s="1124"/>
      <c r="AP466" s="1124"/>
      <c r="AQ466" s="1124"/>
      <c r="AR466" s="1124"/>
      <c r="AS466" s="1124"/>
      <c r="AT466" s="6293"/>
      <c r="AU466" s="1124"/>
      <c r="AV466" s="1124"/>
      <c r="AW466" s="1124"/>
      <c r="AX466" s="1124"/>
      <c r="AY466" s="1124"/>
      <c r="AZ466" s="1124"/>
      <c r="BA466" s="1124"/>
      <c r="BB466" s="1124"/>
      <c r="BC466" s="1124"/>
      <c r="BD466" s="1123">
        <f>IF(AI466=0,0,(AT466-AI466)/AI466*100)</f>
        <v>0</v>
      </c>
      <c r="BE466" s="1124"/>
      <c r="BF466" s="1124"/>
      <c r="BG466" s="1124"/>
      <c r="BH466" s="1124"/>
      <c r="BI466" s="1124"/>
      <c r="BJ466" s="1124"/>
      <c r="BK466" s="1124"/>
      <c r="BL466" s="1124"/>
      <c r="BM466" s="1124"/>
      <c r="BN466" s="6290"/>
      <c r="BO466" s="6290"/>
      <c r="BP466" s="6290"/>
      <c r="BQ466" s="1297"/>
      <c r="BR466" s="1297"/>
      <c r="BS466" s="1071" t="s">
        <v>2005</v>
      </c>
      <c r="BT466" s="1072"/>
      <c r="BU466" s="1072"/>
      <c r="BV466" s="987"/>
      <c r="BW466" s="987"/>
    </row>
    <row s="1656" customFormat="1" customHeight="1" ht="275.25">
      <c r="A467" s="1297"/>
      <c r="B467" s="986"/>
      <c r="C467" s="103"/>
      <c r="D467" s="103"/>
      <c r="E467" s="626">
        <v>22.5</v>
      </c>
      <c r="F467" s="50" cm="1" t="str">
        <f t="array" ref="F467:F467">OFFSET(E467,-1,1)</f>
        <v>3</v>
      </c>
      <c r="G467" s="103"/>
      <c r="H467" s="864"/>
      <c r="I467" s="864" t="s">
        <v>1557</v>
      </c>
      <c r="J467" s="103"/>
      <c r="K467" s="374" t="s">
        <v>1557</v>
      </c>
      <c r="L467" s="988" t="s">
        <v>577</v>
      </c>
      <c r="M467" s="103"/>
      <c r="N467" s="103"/>
      <c r="O467" s="103"/>
      <c r="P467" s="103"/>
      <c r="Q467" s="103"/>
      <c r="R467" s="103"/>
      <c r="S467" s="103"/>
      <c r="T467" s="468" cm="1" t="str">
        <f t="array" ref="T467:T467">T466</f>
        <v>true</v>
      </c>
      <c r="U467" s="103"/>
      <c r="V467" s="103"/>
      <c r="W467" s="103"/>
      <c r="X467" s="1559"/>
      <c r="Y467" s="1297"/>
      <c r="Z467" s="1529"/>
      <c r="AA467" s="1297"/>
      <c r="AB467" s="296" t="s">
        <v>1558</v>
      </c>
      <c r="AC467" s="772" t="s">
        <v>2183</v>
      </c>
      <c r="AD467" s="773" t="s">
        <v>936</v>
      </c>
      <c r="AE467" s="1125">
        <f>AE468+AE469</f>
        <v>0</v>
      </c>
      <c r="AF467" s="1125">
        <f>AF468+AF469</f>
        <v>0</v>
      </c>
      <c r="AG467" s="1125">
        <f>AG468+AG469</f>
        <v>0</v>
      </c>
      <c r="AH467" s="1123">
        <f>AG467-AF467</f>
        <v>0</v>
      </c>
      <c r="AI467" s="1125">
        <f>AI468+AI469</f>
        <v>0</v>
      </c>
      <c r="AJ467" s="1125">
        <f>AJ468+AJ469</f>
        <v>0</v>
      </c>
      <c r="AK467" s="1124"/>
      <c r="AL467" s="1124"/>
      <c r="AM467" s="1124"/>
      <c r="AN467" s="1124"/>
      <c r="AO467" s="1124"/>
      <c r="AP467" s="1124"/>
      <c r="AQ467" s="1124"/>
      <c r="AR467" s="1124"/>
      <c r="AS467" s="1124"/>
      <c r="AT467" s="1125">
        <f>AT468+AT469</f>
        <v>0</v>
      </c>
      <c r="AU467" s="1124"/>
      <c r="AV467" s="1124"/>
      <c r="AW467" s="1124"/>
      <c r="AX467" s="1124"/>
      <c r="AY467" s="1124"/>
      <c r="AZ467" s="1124"/>
      <c r="BA467" s="1124"/>
      <c r="BB467" s="1124"/>
      <c r="BC467" s="1124"/>
      <c r="BD467" s="1123">
        <f>IF(AI467=0,0,(AT467-AI467)/AI467*100)</f>
        <v>0</v>
      </c>
      <c r="BE467" s="1124"/>
      <c r="BF467" s="1124"/>
      <c r="BG467" s="1124"/>
      <c r="BH467" s="1124"/>
      <c r="BI467" s="1124"/>
      <c r="BJ467" s="1124"/>
      <c r="BK467" s="1124"/>
      <c r="BL467" s="1124"/>
      <c r="BM467" s="1124"/>
      <c r="BN467" s="6290"/>
      <c r="BO467" s="6290" t="s">
        <v>2455</v>
      </c>
      <c r="BP467" s="6290"/>
      <c r="BQ467" s="1297"/>
      <c r="BR467" s="1297"/>
      <c r="BS467" s="1071" t="s">
        <v>2184</v>
      </c>
      <c r="BT467" s="1072"/>
      <c r="BU467" s="1072"/>
      <c r="BV467" s="987"/>
      <c r="BW467" s="987"/>
    </row>
    <row s="1656" customFormat="1" customHeight="1" ht="149.25">
      <c r="A468" s="1297"/>
      <c r="B468" s="986"/>
      <c r="C468" s="103"/>
      <c r="D468" s="103"/>
      <c r="E468" s="626">
        <v>15</v>
      </c>
      <c r="F468" s="50" cm="1" t="str">
        <f t="array" ref="F468:F468">OFFSET(E468,-1,1)</f>
        <v>3</v>
      </c>
      <c r="G468" s="370" t="s">
        <v>1350</v>
      </c>
      <c r="H468" s="864"/>
      <c r="I468" s="864" t="s">
        <v>1712</v>
      </c>
      <c r="J468" s="103"/>
      <c r="K468" s="374" t="s">
        <v>1712</v>
      </c>
      <c r="L468" s="988" t="s">
        <v>1577</v>
      </c>
      <c r="M468" s="103"/>
      <c r="N468" s="103"/>
      <c r="O468" s="103"/>
      <c r="P468" s="103"/>
      <c r="Q468" s="103"/>
      <c r="R468" s="103"/>
      <c r="S468" s="103"/>
      <c r="T468" s="468" cm="1" t="str">
        <f t="array" ref="T468:T468">T467</f>
        <v>true</v>
      </c>
      <c r="U468" s="103"/>
      <c r="V468" s="103"/>
      <c r="W468" s="103"/>
      <c r="X468" s="1559"/>
      <c r="Y468" s="1297"/>
      <c r="Z468" s="1529"/>
      <c r="AA468" s="1297"/>
      <c r="AB468" s="296" t="s">
        <v>2185</v>
      </c>
      <c r="AC468" s="775" t="s">
        <v>2008</v>
      </c>
      <c r="AD468" s="773" t="s">
        <v>936</v>
      </c>
      <c r="AE468" s="1123">
        <f>_xlfn.SUMIFS(ФОТ!AE$25:AE$127,ФОТ!$F$25:$F$127,$F468,ФОТ!$G$25:$G$127,$G468)</f>
        <v>0</v>
      </c>
      <c r="AF468" s="1123">
        <f>_xlfn.SUMIFS(ФОТ!AF$25:AF$127,ФОТ!$F$25:$F$127,$F468,ФОТ!$G$25:$G$127,$G468)</f>
        <v>0</v>
      </c>
      <c r="AG468" s="1123">
        <f>_xlfn.SUMIFS(ФОТ!AG$25:AG$127,ФОТ!$F$25:$F$127,$F468,ФОТ!$G$25:$G$127,$G468)</f>
        <v>0</v>
      </c>
      <c r="AH468" s="1123">
        <f>AG468-AF468</f>
        <v>0</v>
      </c>
      <c r="AI468" s="1123">
        <f>_xlfn.SUMIFS(ФОТ!AH$25:AH$127,ФОТ!$F$25:$F$127,$F468,ФОТ!$G$25:$G$127,$G468)</f>
        <v>0</v>
      </c>
      <c r="AJ468" s="1123">
        <f>_xlfn.SUMIFS(ФОТ!AI$25:AI$127,ФОТ!$F$25:$F$127,$F468,ФОТ!$G$25:$G$127,$G468)</f>
        <v>0</v>
      </c>
      <c r="AK468" s="1124"/>
      <c r="AL468" s="1124"/>
      <c r="AM468" s="1124"/>
      <c r="AN468" s="1124"/>
      <c r="AO468" s="1124"/>
      <c r="AP468" s="1124"/>
      <c r="AQ468" s="1124"/>
      <c r="AR468" s="1124"/>
      <c r="AS468" s="1124"/>
      <c r="AT468" s="1123">
        <f>_xlfn.SUMIFS(ФОТ!AJ$25:AJ$127,ФОТ!$F$25:$F$127,$F468,ФОТ!$G$25:$G$127,$G468)</f>
        <v>0</v>
      </c>
      <c r="AU468" s="1124"/>
      <c r="AV468" s="1124"/>
      <c r="AW468" s="1124"/>
      <c r="AX468" s="1124"/>
      <c r="AY468" s="1124"/>
      <c r="AZ468" s="1124"/>
      <c r="BA468" s="1124"/>
      <c r="BB468" s="1124"/>
      <c r="BC468" s="1124"/>
      <c r="BD468" s="1123">
        <f>IF(AI468=0,0,(AT468-AI468)/AI468*100)</f>
        <v>0</v>
      </c>
      <c r="BE468" s="1124"/>
      <c r="BF468" s="1124"/>
      <c r="BG468" s="1124"/>
      <c r="BH468" s="1124"/>
      <c r="BI468" s="1124"/>
      <c r="BJ468" s="1124"/>
      <c r="BK468" s="1124"/>
      <c r="BL468" s="1124"/>
      <c r="BM468" s="1124"/>
      <c r="BN468" s="6290"/>
      <c r="BO468" s="6294" t="s">
        <v>2456</v>
      </c>
      <c r="BP468" s="6290"/>
      <c r="BQ468" s="1297"/>
      <c r="BR468" s="1297"/>
      <c r="BS468" s="1070" t="s">
        <v>2009</v>
      </c>
      <c r="BT468" s="1072"/>
      <c r="BU468" s="1072"/>
      <c r="BV468" s="987"/>
      <c r="BW468" s="987"/>
    </row>
    <row s="1656" customFormat="1" customHeight="1" ht="21.75">
      <c r="A469" s="1297"/>
      <c r="B469" s="986"/>
      <c r="C469" s="103"/>
      <c r="D469" s="103"/>
      <c r="E469" s="626">
        <v>22.5</v>
      </c>
      <c r="F469" s="50" cm="1" t="str">
        <f t="array" ref="F469:F469">OFFSET(E469,-1,1)</f>
        <v>3</v>
      </c>
      <c r="G469" s="370" t="s">
        <v>1362</v>
      </c>
      <c r="H469" s="864"/>
      <c r="I469" s="864" t="s">
        <v>1716</v>
      </c>
      <c r="J469" s="103"/>
      <c r="K469" s="374" t="s">
        <v>1716</v>
      </c>
      <c r="L469" s="988" t="s">
        <v>1578</v>
      </c>
      <c r="M469" s="103"/>
      <c r="N469" s="103"/>
      <c r="O469" s="103"/>
      <c r="P469" s="103"/>
      <c r="Q469" s="103"/>
      <c r="R469" s="103"/>
      <c r="S469" s="103"/>
      <c r="T469" s="468" cm="1" t="str">
        <f t="array" ref="T469:T469">T468</f>
        <v>true</v>
      </c>
      <c r="U469" s="103"/>
      <c r="V469" s="103"/>
      <c r="W469" s="103"/>
      <c r="X469" s="1559"/>
      <c r="Y469" s="1297"/>
      <c r="Z469" s="1529"/>
      <c r="AA469" s="1297"/>
      <c r="AB469" s="296" t="s">
        <v>2186</v>
      </c>
      <c r="AC469" s="775" t="s">
        <v>2187</v>
      </c>
      <c r="AD469" s="773" t="s">
        <v>936</v>
      </c>
      <c r="AE469" s="1123">
        <f>_xlfn.SUMIFS(ФОТ!AE$25:AE$127,ФОТ!$F$25:$F$127,$F469,ФОТ!$G$25:$G$127,$G469)</f>
        <v>0</v>
      </c>
      <c r="AF469" s="1123">
        <f>_xlfn.SUMIFS(ФОТ!AF$25:AF$127,ФОТ!$F$25:$F$127,$F469,ФОТ!$G$25:$G$127,$G469)</f>
        <v>0</v>
      </c>
      <c r="AG469" s="1123">
        <f>_xlfn.SUMIFS(ФОТ!AG$25:AG$127,ФОТ!$F$25:$F$127,$F469,ФОТ!$G$25:$G$127,$G469)</f>
        <v>0</v>
      </c>
      <c r="AH469" s="1123">
        <f>AG469-AF469</f>
        <v>0</v>
      </c>
      <c r="AI469" s="1123">
        <f>_xlfn.SUMIFS(ФОТ!AH$25:AH$127,ФОТ!$F$25:$F$127,$F469,ФОТ!$G$25:$G$127,$G469)</f>
        <v>0</v>
      </c>
      <c r="AJ469" s="1123">
        <f>_xlfn.SUMIFS(ФОТ!AI$25:AI$127,ФОТ!$F$25:$F$127,$F469,ФОТ!$G$25:$G$127,$G469)</f>
        <v>0</v>
      </c>
      <c r="AK469" s="1124"/>
      <c r="AL469" s="1124"/>
      <c r="AM469" s="1124"/>
      <c r="AN469" s="1124"/>
      <c r="AO469" s="1124"/>
      <c r="AP469" s="1124"/>
      <c r="AQ469" s="1124"/>
      <c r="AR469" s="1124"/>
      <c r="AS469" s="1124"/>
      <c r="AT469" s="1123">
        <f>_xlfn.SUMIFS(ФОТ!AJ$25:AJ$127,ФОТ!$F$25:$F$127,$F469,ФОТ!$G$25:$G$127,$G469)</f>
        <v>0</v>
      </c>
      <c r="AU469" s="1124"/>
      <c r="AV469" s="1124"/>
      <c r="AW469" s="1124"/>
      <c r="AX469" s="1124"/>
      <c r="AY469" s="1124"/>
      <c r="AZ469" s="1124"/>
      <c r="BA469" s="1124"/>
      <c r="BB469" s="1124"/>
      <c r="BC469" s="1124"/>
      <c r="BD469" s="1123">
        <f>IF(AI469=0,0,(AT469-AI469)/AI469*100)</f>
        <v>0</v>
      </c>
      <c r="BE469" s="1124"/>
      <c r="BF469" s="1124"/>
      <c r="BG469" s="1124"/>
      <c r="BH469" s="1124"/>
      <c r="BI469" s="1124"/>
      <c r="BJ469" s="1124"/>
      <c r="BK469" s="1124"/>
      <c r="BL469" s="1124"/>
      <c r="BM469" s="1124"/>
      <c r="BN469" s="6290"/>
      <c r="BO469" s="6294" t="str">
        <f>IF(_xlfn.IFERROR(INDEX(ФОТ!$K$26:$L$127,MATCH($F469&amp;"2komm",ФОТ!$K$26:$K$127,0),2),"")=0,"",_xlfn.IFERROR(INDEX(ФОТ!$K$26:$L$127,MATCH($F469&amp;"2komm",ФОТ!$K$26:$K$127,0),2),""))</f>
        <v/>
      </c>
      <c r="BP469" s="6290"/>
      <c r="BQ469" s="1297"/>
      <c r="BR469" s="1297"/>
      <c r="BS469" s="1070" t="s">
        <v>2011</v>
      </c>
      <c r="BT469" s="1072"/>
      <c r="BU469" s="1072"/>
      <c r="BV469" s="987"/>
      <c r="BW469" s="987"/>
    </row>
    <row s="1656" customFormat="1" customHeight="1" ht="14.25">
      <c r="A470" s="1297"/>
      <c r="B470" s="986"/>
      <c r="C470" s="103"/>
      <c r="D470" s="103"/>
      <c r="E470" s="626">
        <v>15</v>
      </c>
      <c r="F470" s="50" cm="1" t="str">
        <f t="array" ref="F470:F470">OFFSET(E470,-1,1)</f>
        <v>3</v>
      </c>
      <c r="G470" s="103"/>
      <c r="H470" s="864"/>
      <c r="I470" s="864" t="s">
        <v>1727</v>
      </c>
      <c r="J470" s="103"/>
      <c r="K470" s="374" t="s">
        <v>1727</v>
      </c>
      <c r="L470" s="988" t="s">
        <v>2013</v>
      </c>
      <c r="M470" s="103"/>
      <c r="N470" s="103"/>
      <c r="O470" s="103"/>
      <c r="P470" s="103"/>
      <c r="Q470" s="103"/>
      <c r="R470" s="103"/>
      <c r="S470" s="103"/>
      <c r="T470" s="468" cm="1" t="str">
        <f t="array" ref="T470:T470">T469</f>
        <v>true</v>
      </c>
      <c r="U470" s="103"/>
      <c r="V470" s="103"/>
      <c r="W470" s="103"/>
      <c r="X470" s="1559"/>
      <c r="Y470" s="1297"/>
      <c r="Z470" s="1529"/>
      <c r="AA470" s="1297"/>
      <c r="AB470" s="296" t="s">
        <v>1987</v>
      </c>
      <c r="AC470" s="772" t="s">
        <v>2188</v>
      </c>
      <c r="AD470" s="773" t="s">
        <v>936</v>
      </c>
      <c r="AE470" s="6293"/>
      <c r="AF470" s="6293"/>
      <c r="AG470" s="6293"/>
      <c r="AH470" s="1123">
        <f>AG470-AF470</f>
        <v>0</v>
      </c>
      <c r="AI470" s="6293"/>
      <c r="AJ470" s="6293"/>
      <c r="AK470" s="1124"/>
      <c r="AL470" s="1124"/>
      <c r="AM470" s="1124"/>
      <c r="AN470" s="1124"/>
      <c r="AO470" s="1124"/>
      <c r="AP470" s="1124"/>
      <c r="AQ470" s="1124"/>
      <c r="AR470" s="1124"/>
      <c r="AS470" s="1124"/>
      <c r="AT470" s="6293"/>
      <c r="AU470" s="1124"/>
      <c r="AV470" s="1124"/>
      <c r="AW470" s="1124"/>
      <c r="AX470" s="1124"/>
      <c r="AY470" s="1124"/>
      <c r="AZ470" s="1124"/>
      <c r="BA470" s="1124"/>
      <c r="BB470" s="1124"/>
      <c r="BC470" s="1124"/>
      <c r="BD470" s="1123">
        <f>IF(AI470=0,0,(AT470-AI470)/AI470*100)</f>
        <v>0</v>
      </c>
      <c r="BE470" s="1124"/>
      <c r="BF470" s="1124"/>
      <c r="BG470" s="1124"/>
      <c r="BH470" s="1124"/>
      <c r="BI470" s="1124"/>
      <c r="BJ470" s="1124"/>
      <c r="BK470" s="1124"/>
      <c r="BL470" s="1124"/>
      <c r="BM470" s="1124"/>
      <c r="BN470" s="6290"/>
      <c r="BO470" s="6290"/>
      <c r="BP470" s="6290"/>
      <c r="BQ470" s="1297"/>
      <c r="BR470" s="1297"/>
      <c r="BS470" s="1071" t="s">
        <v>2016</v>
      </c>
      <c r="BT470" s="1072"/>
      <c r="BU470" s="1072"/>
      <c r="BV470" s="987"/>
      <c r="BW470" s="987"/>
    </row>
    <row s="1656" customFormat="1" customHeight="1" ht="14.25">
      <c r="A471" s="1297"/>
      <c r="B471" s="986"/>
      <c r="C471" s="103"/>
      <c r="D471" s="103"/>
      <c r="E471" s="626">
        <v>15</v>
      </c>
      <c r="F471" s="50" cm="1" t="str">
        <f t="array" ref="F471:F471">OFFSET(E471,-1,1)</f>
        <v>3</v>
      </c>
      <c r="G471" s="103"/>
      <c r="H471" s="864"/>
      <c r="I471" s="864" t="s">
        <v>1731</v>
      </c>
      <c r="J471" s="103"/>
      <c r="K471" s="374" t="s">
        <v>1731</v>
      </c>
      <c r="L471" s="988" t="s">
        <v>2017</v>
      </c>
      <c r="M471" s="1297"/>
      <c r="N471" s="103"/>
      <c r="O471" s="103"/>
      <c r="P471" s="103"/>
      <c r="Q471" s="103"/>
      <c r="R471" s="103"/>
      <c r="S471" s="103"/>
      <c r="T471" s="468" cm="1" t="str">
        <f t="array" ref="T471:T471">T470</f>
        <v>true</v>
      </c>
      <c r="U471" s="103"/>
      <c r="V471" s="103"/>
      <c r="W471" s="103"/>
      <c r="X471" s="1559"/>
      <c r="Y471" s="1297"/>
      <c r="Z471" s="1529"/>
      <c r="AA471" s="1297"/>
      <c r="AB471" s="296" t="s">
        <v>1989</v>
      </c>
      <c r="AC471" s="772" t="s">
        <v>2189</v>
      </c>
      <c r="AD471" s="296" t="s">
        <v>936</v>
      </c>
      <c r="AE471" s="1125">
        <f>SUM(AE472:AE478)</f>
        <v>738.59</v>
      </c>
      <c r="AF471" s="1125">
        <f>SUM(AF472:AF478)</f>
        <v>0</v>
      </c>
      <c r="AG471" s="1125">
        <f>SUM(AG472:AG478)</f>
        <v>0</v>
      </c>
      <c r="AH471" s="1123">
        <f>AG471-AF471</f>
        <v>0</v>
      </c>
      <c r="AI471" s="1125">
        <f>SUM(AI472:AI478)</f>
        <v>0</v>
      </c>
      <c r="AJ471" s="1125">
        <f>SUM(AJ472:AJ478)</f>
        <v>0</v>
      </c>
      <c r="AK471" s="1124"/>
      <c r="AL471" s="1124"/>
      <c r="AM471" s="1124"/>
      <c r="AN471" s="1124"/>
      <c r="AO471" s="1124"/>
      <c r="AP471" s="1124"/>
      <c r="AQ471" s="1124"/>
      <c r="AR471" s="1124"/>
      <c r="AS471" s="1124"/>
      <c r="AT471" s="1125">
        <f>SUM(AT472:AT478)</f>
        <v>0</v>
      </c>
      <c r="AU471" s="1124"/>
      <c r="AV471" s="1124"/>
      <c r="AW471" s="1124"/>
      <c r="AX471" s="1124"/>
      <c r="AY471" s="1124"/>
      <c r="AZ471" s="1124"/>
      <c r="BA471" s="1124"/>
      <c r="BB471" s="1124"/>
      <c r="BC471" s="1124"/>
      <c r="BD471" s="1123">
        <f>IF(AI471=0,0,(AT471-AI471)/AI471*100)</f>
        <v>0</v>
      </c>
      <c r="BE471" s="1124"/>
      <c r="BF471" s="1124"/>
      <c r="BG471" s="1124"/>
      <c r="BH471" s="1124"/>
      <c r="BI471" s="1124"/>
      <c r="BJ471" s="1124"/>
      <c r="BK471" s="1124"/>
      <c r="BL471" s="1124"/>
      <c r="BM471" s="1124"/>
      <c r="BN471" s="6290"/>
      <c r="BO471" s="6290"/>
      <c r="BP471" s="6290"/>
      <c r="BQ471" s="1297"/>
      <c r="BR471" s="1297"/>
      <c r="BS471" s="1071" t="s">
        <v>2190</v>
      </c>
      <c r="BT471" s="1072"/>
      <c r="BU471" s="1072"/>
      <c r="BV471" s="987"/>
      <c r="BW471" s="987"/>
    </row>
    <row s="1656" customFormat="1" customHeight="1" ht="14.25">
      <c r="A472" s="1297"/>
      <c r="B472" s="986"/>
      <c r="C472" s="103"/>
      <c r="D472" s="103"/>
      <c r="E472" s="626">
        <v>15</v>
      </c>
      <c r="F472" s="50" cm="1" t="str">
        <f t="array" ref="F472:F472">OFFSET(E472,-1,1)</f>
        <v>3</v>
      </c>
      <c r="G472" s="103"/>
      <c r="H472" s="864"/>
      <c r="I472" s="864" t="s">
        <v>2191</v>
      </c>
      <c r="J472" s="103"/>
      <c r="K472" s="374" t="s">
        <v>2191</v>
      </c>
      <c r="L472" s="988" t="s">
        <v>2017</v>
      </c>
      <c r="M472" s="103" t="s">
        <v>2025</v>
      </c>
      <c r="N472" s="103"/>
      <c r="O472" s="103"/>
      <c r="P472" s="103"/>
      <c r="Q472" s="103"/>
      <c r="R472" s="103"/>
      <c r="S472" s="103"/>
      <c r="T472" s="468" cm="1" t="str">
        <f t="array" ref="T472:T472">T471</f>
        <v>true</v>
      </c>
      <c r="U472" s="103"/>
      <c r="V472" s="103"/>
      <c r="W472" s="103"/>
      <c r="X472" s="1559"/>
      <c r="Y472" s="1297"/>
      <c r="Z472" s="1529"/>
      <c r="AA472" s="1297"/>
      <c r="AB472" s="296" t="s">
        <v>2192</v>
      </c>
      <c r="AC472" s="775" t="s">
        <v>2193</v>
      </c>
      <c r="AD472" s="296" t="s">
        <v>936</v>
      </c>
      <c r="AE472" s="6293"/>
      <c r="AF472" s="6293"/>
      <c r="AG472" s="6293"/>
      <c r="AH472" s="1123">
        <f>AG472-AF472</f>
        <v>0</v>
      </c>
      <c r="AI472" s="6293"/>
      <c r="AJ472" s="6293"/>
      <c r="AK472" s="1124"/>
      <c r="AL472" s="1124"/>
      <c r="AM472" s="1124"/>
      <c r="AN472" s="1124"/>
      <c r="AO472" s="1124"/>
      <c r="AP472" s="1124"/>
      <c r="AQ472" s="1124"/>
      <c r="AR472" s="1124"/>
      <c r="AS472" s="1124"/>
      <c r="AT472" s="6293"/>
      <c r="AU472" s="1124"/>
      <c r="AV472" s="1124"/>
      <c r="AW472" s="1124"/>
      <c r="AX472" s="1124"/>
      <c r="AY472" s="1124"/>
      <c r="AZ472" s="1124"/>
      <c r="BA472" s="1124"/>
      <c r="BB472" s="1124"/>
      <c r="BC472" s="1124"/>
      <c r="BD472" s="1123">
        <f>IF(AI472=0,0,(AT472-AI472)/AI472*100)</f>
        <v>0</v>
      </c>
      <c r="BE472" s="1124"/>
      <c r="BF472" s="1124"/>
      <c r="BG472" s="1124"/>
      <c r="BH472" s="1124"/>
      <c r="BI472" s="1124"/>
      <c r="BJ472" s="1124"/>
      <c r="BK472" s="1124"/>
      <c r="BL472" s="1124"/>
      <c r="BM472" s="1124"/>
      <c r="BN472" s="6290"/>
      <c r="BO472" s="6290"/>
      <c r="BP472" s="6290"/>
      <c r="BQ472" s="1297"/>
      <c r="BR472" s="1297"/>
      <c r="BS472" s="1070" t="s">
        <v>2028</v>
      </c>
      <c r="BT472" s="1072"/>
      <c r="BU472" s="1072"/>
      <c r="BV472" s="987"/>
      <c r="BW472" s="987"/>
    </row>
    <row s="1656" customFormat="1" customHeight="1" ht="21.75">
      <c r="A473" s="1297"/>
      <c r="B473" s="986"/>
      <c r="C473" s="103"/>
      <c r="D473" s="103"/>
      <c r="E473" s="626">
        <v>22.5</v>
      </c>
      <c r="F473" s="50" cm="1" t="str">
        <f t="array" ref="F473:F473">OFFSET(E473,-1,1)</f>
        <v>3</v>
      </c>
      <c r="G473" s="103"/>
      <c r="H473" s="864"/>
      <c r="I473" s="864" t="s">
        <v>2194</v>
      </c>
      <c r="J473" s="103"/>
      <c r="K473" s="374" t="s">
        <v>2194</v>
      </c>
      <c r="L473" s="988" t="s">
        <v>2017</v>
      </c>
      <c r="M473" s="103" t="s">
        <v>2021</v>
      </c>
      <c r="N473" s="103"/>
      <c r="O473" s="103"/>
      <c r="P473" s="103"/>
      <c r="Q473" s="103"/>
      <c r="R473" s="103"/>
      <c r="S473" s="103"/>
      <c r="T473" s="468" cm="1" t="str">
        <f t="array" ref="T473:T473">T472</f>
        <v>true</v>
      </c>
      <c r="U473" s="103"/>
      <c r="V473" s="103"/>
      <c r="W473" s="103"/>
      <c r="X473" s="1559"/>
      <c r="Y473" s="1297"/>
      <c r="Z473" s="1529"/>
      <c r="AA473" s="1297"/>
      <c r="AB473" s="296" t="s">
        <v>2195</v>
      </c>
      <c r="AC473" s="775" t="s">
        <v>2196</v>
      </c>
      <c r="AD473" s="296" t="s">
        <v>936</v>
      </c>
      <c r="AE473" s="6293"/>
      <c r="AF473" s="6293"/>
      <c r="AG473" s="6293"/>
      <c r="AH473" s="1123">
        <f>AG473-AF473</f>
        <v>0</v>
      </c>
      <c r="AI473" s="6293"/>
      <c r="AJ473" s="6293"/>
      <c r="AK473" s="1124"/>
      <c r="AL473" s="1124"/>
      <c r="AM473" s="1124"/>
      <c r="AN473" s="1124"/>
      <c r="AO473" s="1124"/>
      <c r="AP473" s="1124"/>
      <c r="AQ473" s="1124"/>
      <c r="AR473" s="1124"/>
      <c r="AS473" s="1124"/>
      <c r="AT473" s="6293"/>
      <c r="AU473" s="1124"/>
      <c r="AV473" s="1124"/>
      <c r="AW473" s="1124"/>
      <c r="AX473" s="1124"/>
      <c r="AY473" s="1124"/>
      <c r="AZ473" s="1124"/>
      <c r="BA473" s="1124"/>
      <c r="BB473" s="1124"/>
      <c r="BC473" s="1124"/>
      <c r="BD473" s="1123">
        <f>IF(AI473=0,0,(AT473-AI473)/AI473*100)</f>
        <v>0</v>
      </c>
      <c r="BE473" s="1124"/>
      <c r="BF473" s="1124"/>
      <c r="BG473" s="1124"/>
      <c r="BH473" s="1124"/>
      <c r="BI473" s="1124"/>
      <c r="BJ473" s="1124"/>
      <c r="BK473" s="1124"/>
      <c r="BL473" s="1124"/>
      <c r="BM473" s="1124"/>
      <c r="BN473" s="6290"/>
      <c r="BO473" s="6290"/>
      <c r="BP473" s="6290"/>
      <c r="BQ473" s="1297"/>
      <c r="BR473" s="1297"/>
      <c r="BS473" s="1072" t="s">
        <v>2197</v>
      </c>
      <c r="BT473" s="1072"/>
      <c r="BU473" s="1072"/>
      <c r="BV473" s="987"/>
      <c r="BW473" s="987"/>
    </row>
    <row s="1656" customFormat="1" customHeight="1" ht="21.75">
      <c r="A474" s="1297"/>
      <c r="B474" s="986"/>
      <c r="C474" s="103"/>
      <c r="D474" s="103"/>
      <c r="E474" s="626">
        <v>22.5</v>
      </c>
      <c r="F474" s="50" cm="1" t="str">
        <f t="array" ref="F474:F474">OFFSET(E474,-1,1)</f>
        <v>3</v>
      </c>
      <c r="G474" s="103"/>
      <c r="H474" s="864"/>
      <c r="I474" s="864" t="s">
        <v>2198</v>
      </c>
      <c r="J474" s="103"/>
      <c r="K474" s="374" t="s">
        <v>2198</v>
      </c>
      <c r="L474" s="1297"/>
      <c r="M474" s="1297"/>
      <c r="N474" s="103"/>
      <c r="O474" s="103"/>
      <c r="P474" s="103"/>
      <c r="Q474" s="103"/>
      <c r="R474" s="103"/>
      <c r="S474" s="103"/>
      <c r="T474" s="468" cm="1" t="str">
        <f t="array" ref="T474:T474">T473</f>
        <v>true</v>
      </c>
      <c r="U474" s="103"/>
      <c r="V474" s="103"/>
      <c r="W474" s="103"/>
      <c r="X474" s="1559"/>
      <c r="Y474" s="1297"/>
      <c r="Z474" s="1529"/>
      <c r="AA474" s="1297"/>
      <c r="AB474" s="296" t="s">
        <v>2199</v>
      </c>
      <c r="AC474" s="776" t="s">
        <v>2200</v>
      </c>
      <c r="AD474" s="296" t="s">
        <v>936</v>
      </c>
      <c r="AE474" s="6293"/>
      <c r="AF474" s="6293"/>
      <c r="AG474" s="6293"/>
      <c r="AH474" s="1123">
        <f>AG474-AF474</f>
        <v>0</v>
      </c>
      <c r="AI474" s="6293"/>
      <c r="AJ474" s="6293"/>
      <c r="AK474" s="1124"/>
      <c r="AL474" s="1124"/>
      <c r="AM474" s="1124"/>
      <c r="AN474" s="1124"/>
      <c r="AO474" s="1124"/>
      <c r="AP474" s="1124"/>
      <c r="AQ474" s="1124"/>
      <c r="AR474" s="1124"/>
      <c r="AS474" s="1124"/>
      <c r="AT474" s="6293"/>
      <c r="AU474" s="1124"/>
      <c r="AV474" s="1124"/>
      <c r="AW474" s="1124"/>
      <c r="AX474" s="1124"/>
      <c r="AY474" s="1124"/>
      <c r="AZ474" s="1124"/>
      <c r="BA474" s="1124"/>
      <c r="BB474" s="1124"/>
      <c r="BC474" s="1124"/>
      <c r="BD474" s="1123">
        <f>IF(AI474=0,0,(AT474-AI474)/AI474*100)</f>
        <v>0</v>
      </c>
      <c r="BE474" s="1124"/>
      <c r="BF474" s="1124"/>
      <c r="BG474" s="1124"/>
      <c r="BH474" s="1124"/>
      <c r="BI474" s="1124"/>
      <c r="BJ474" s="1124"/>
      <c r="BK474" s="1124"/>
      <c r="BL474" s="1124"/>
      <c r="BM474" s="1124"/>
      <c r="BN474" s="6290"/>
      <c r="BO474" s="6290"/>
      <c r="BP474" s="6290"/>
      <c r="BQ474" s="1297"/>
      <c r="BR474" s="1297"/>
      <c r="BS474" s="1072" t="s">
        <v>2201</v>
      </c>
      <c r="BT474" s="1072"/>
      <c r="BU474" s="1072"/>
      <c r="BV474" s="987"/>
      <c r="BW474" s="987"/>
    </row>
    <row s="1656" customFormat="1" customHeight="1" ht="21.75">
      <c r="A475" s="1297"/>
      <c r="B475" s="986"/>
      <c r="C475" s="103"/>
      <c r="D475" s="103"/>
      <c r="E475" s="626">
        <v>22.5</v>
      </c>
      <c r="F475" s="50" cm="1" t="str">
        <f t="array" ref="F475:F475">OFFSET(E475,-1,1)</f>
        <v>3</v>
      </c>
      <c r="G475" s="103"/>
      <c r="H475" s="864"/>
      <c r="I475" s="864" t="s">
        <v>2202</v>
      </c>
      <c r="J475" s="103"/>
      <c r="K475" s="374" t="s">
        <v>2202</v>
      </c>
      <c r="L475" s="988"/>
      <c r="M475" s="1297"/>
      <c r="N475" s="103"/>
      <c r="O475" s="103"/>
      <c r="P475" s="103"/>
      <c r="Q475" s="103"/>
      <c r="R475" s="103"/>
      <c r="S475" s="103"/>
      <c r="T475" s="468" cm="1" t="str">
        <f t="array" ref="T475:T475">T474</f>
        <v>true</v>
      </c>
      <c r="U475" s="103"/>
      <c r="V475" s="103"/>
      <c r="W475" s="103"/>
      <c r="X475" s="1559"/>
      <c r="Y475" s="1297"/>
      <c r="Z475" s="1529"/>
      <c r="AA475" s="1297"/>
      <c r="AB475" s="296" t="s">
        <v>2203</v>
      </c>
      <c r="AC475" s="776" t="s">
        <v>2204</v>
      </c>
      <c r="AD475" s="296" t="s">
        <v>936</v>
      </c>
      <c r="AE475" s="6293"/>
      <c r="AF475" s="6293"/>
      <c r="AG475" s="6293"/>
      <c r="AH475" s="1123">
        <f>AG475-AF475</f>
        <v>0</v>
      </c>
      <c r="AI475" s="6293"/>
      <c r="AJ475" s="6293"/>
      <c r="AK475" s="1124"/>
      <c r="AL475" s="1124"/>
      <c r="AM475" s="1124"/>
      <c r="AN475" s="1124"/>
      <c r="AO475" s="1124"/>
      <c r="AP475" s="1124"/>
      <c r="AQ475" s="1124"/>
      <c r="AR475" s="1124"/>
      <c r="AS475" s="1124"/>
      <c r="AT475" s="6293"/>
      <c r="AU475" s="1124"/>
      <c r="AV475" s="1124"/>
      <c r="AW475" s="1124"/>
      <c r="AX475" s="1124"/>
      <c r="AY475" s="1124"/>
      <c r="AZ475" s="1124"/>
      <c r="BA475" s="1124"/>
      <c r="BB475" s="1124"/>
      <c r="BC475" s="1124"/>
      <c r="BD475" s="1123">
        <f>IF(AI475=0,0,(AT475-AI475)/AI475*100)</f>
        <v>0</v>
      </c>
      <c r="BE475" s="1124"/>
      <c r="BF475" s="1124"/>
      <c r="BG475" s="1124"/>
      <c r="BH475" s="1124"/>
      <c r="BI475" s="1124"/>
      <c r="BJ475" s="1124"/>
      <c r="BK475" s="1124"/>
      <c r="BL475" s="1124"/>
      <c r="BM475" s="1124"/>
      <c r="BN475" s="6290"/>
      <c r="BO475" s="6290"/>
      <c r="BP475" s="6290"/>
      <c r="BQ475" s="1297"/>
      <c r="BR475" s="1297"/>
      <c r="BS475" s="1072" t="s">
        <v>2205</v>
      </c>
      <c r="BT475" s="1072"/>
      <c r="BU475" s="1072"/>
      <c r="BV475" s="987"/>
      <c r="BW475" s="987"/>
    </row>
    <row s="1656" customFormat="1" customHeight="1" ht="43.5">
      <c r="A476" s="1297"/>
      <c r="B476" s="986"/>
      <c r="C476" s="103"/>
      <c r="D476" s="103"/>
      <c r="E476" s="626">
        <v>45</v>
      </c>
      <c r="F476" s="50" cm="1" t="str">
        <f t="array" ref="F476:F476">OFFSET(E476,-1,1)</f>
        <v>3</v>
      </c>
      <c r="G476" s="103"/>
      <c r="H476" s="864"/>
      <c r="I476" s="864" t="s">
        <v>2206</v>
      </c>
      <c r="J476" s="103"/>
      <c r="K476" s="374" t="s">
        <v>2206</v>
      </c>
      <c r="L476" s="988" t="s">
        <v>2017</v>
      </c>
      <c r="M476" s="103" t="s">
        <v>2029</v>
      </c>
      <c r="N476" s="103"/>
      <c r="O476" s="103"/>
      <c r="P476" s="103"/>
      <c r="Q476" s="103"/>
      <c r="R476" s="103"/>
      <c r="S476" s="103"/>
      <c r="T476" s="468" cm="1" t="str">
        <f t="array" ref="T476:T476">T475</f>
        <v>true</v>
      </c>
      <c r="U476" s="103"/>
      <c r="V476" s="103"/>
      <c r="W476" s="103"/>
      <c r="X476" s="1559"/>
      <c r="Y476" s="1297"/>
      <c r="Z476" s="1529"/>
      <c r="AA476" s="1297"/>
      <c r="AB476" s="296" t="s">
        <v>2207</v>
      </c>
      <c r="AC476" s="775" t="s">
        <v>2208</v>
      </c>
      <c r="AD476" s="296" t="s">
        <v>936</v>
      </c>
      <c r="AE476" s="6293"/>
      <c r="AF476" s="6293"/>
      <c r="AG476" s="6293"/>
      <c r="AH476" s="1123">
        <f>AG476-AF476</f>
        <v>0</v>
      </c>
      <c r="AI476" s="6293"/>
      <c r="AJ476" s="6293"/>
      <c r="AK476" s="1124"/>
      <c r="AL476" s="1124"/>
      <c r="AM476" s="1124"/>
      <c r="AN476" s="1124"/>
      <c r="AO476" s="1124"/>
      <c r="AP476" s="1124"/>
      <c r="AQ476" s="1124"/>
      <c r="AR476" s="1124"/>
      <c r="AS476" s="1124"/>
      <c r="AT476" s="6293"/>
      <c r="AU476" s="1124"/>
      <c r="AV476" s="1124"/>
      <c r="AW476" s="1124"/>
      <c r="AX476" s="1124"/>
      <c r="AY476" s="1124"/>
      <c r="AZ476" s="1124"/>
      <c r="BA476" s="1124"/>
      <c r="BB476" s="1124"/>
      <c r="BC476" s="1124"/>
      <c r="BD476" s="1123">
        <f>IF(AI476=0,0,(AT476-AI476)/AI476*100)</f>
        <v>0</v>
      </c>
      <c r="BE476" s="1124"/>
      <c r="BF476" s="1124"/>
      <c r="BG476" s="1124"/>
      <c r="BH476" s="1124"/>
      <c r="BI476" s="1124"/>
      <c r="BJ476" s="1124"/>
      <c r="BK476" s="1124"/>
      <c r="BL476" s="1124"/>
      <c r="BM476" s="1124"/>
      <c r="BN476" s="6290"/>
      <c r="BO476" s="6290"/>
      <c r="BP476" s="6290"/>
      <c r="BQ476" s="1297"/>
      <c r="BR476" s="1297"/>
      <c r="BS476" s="1072" t="s">
        <v>2032</v>
      </c>
      <c r="BT476" s="1072"/>
      <c r="BU476" s="1072"/>
      <c r="BV476" s="987"/>
      <c r="BW476" s="987"/>
    </row>
    <row s="1656" customFormat="1" customHeight="1" ht="14.625">
      <c r="A477" s="1297"/>
      <c r="B477" s="986"/>
      <c r="C477" s="103"/>
      <c r="D477" s="103"/>
      <c r="E477" s="626">
        <v>15</v>
      </c>
      <c r="F477" s="50" cm="1" t="str">
        <f t="array" ref="F477:F477">OFFSET(E477,-1,1)</f>
        <v>3</v>
      </c>
      <c r="G477" s="103"/>
      <c r="H477" s="864"/>
      <c r="I477" s="864" t="s">
        <v>2209</v>
      </c>
      <c r="J477" s="103"/>
      <c r="K477" s="374" t="s">
        <v>2209</v>
      </c>
      <c r="L477" s="988" t="s">
        <v>2017</v>
      </c>
      <c r="M477" s="103" t="s">
        <v>2033</v>
      </c>
      <c r="N477" s="103"/>
      <c r="O477" s="103"/>
      <c r="P477" s="103"/>
      <c r="Q477" s="103"/>
      <c r="R477" s="103"/>
      <c r="S477" s="103"/>
      <c r="T477" s="468" cm="1" t="str">
        <f t="array" ref="T477:T477">T476</f>
        <v>true</v>
      </c>
      <c r="U477" s="103"/>
      <c r="V477" s="103"/>
      <c r="W477" s="103"/>
      <c r="X477" s="1559"/>
      <c r="Y477" s="1297"/>
      <c r="Z477" s="1529"/>
      <c r="AA477" s="1297"/>
      <c r="AB477" s="296" t="s">
        <v>2210</v>
      </c>
      <c r="AC477" s="775" t="s">
        <v>2035</v>
      </c>
      <c r="AD477" s="296" t="s">
        <v>936</v>
      </c>
      <c r="AE477" s="6293">
        <v>738.59</v>
      </c>
      <c r="AF477" s="6293"/>
      <c r="AG477" s="6293"/>
      <c r="AH477" s="1123">
        <f>AG477-AF477</f>
        <v>0</v>
      </c>
      <c r="AI477" s="6293"/>
      <c r="AJ477" s="6293"/>
      <c r="AK477" s="1124"/>
      <c r="AL477" s="1124"/>
      <c r="AM477" s="1124"/>
      <c r="AN477" s="1124"/>
      <c r="AO477" s="1124"/>
      <c r="AP477" s="1124"/>
      <c r="AQ477" s="1124"/>
      <c r="AR477" s="1124"/>
      <c r="AS477" s="1124"/>
      <c r="AT477" s="6293"/>
      <c r="AU477" s="1124"/>
      <c r="AV477" s="1124"/>
      <c r="AW477" s="1124"/>
      <c r="AX477" s="1124"/>
      <c r="AY477" s="1124"/>
      <c r="AZ477" s="1124"/>
      <c r="BA477" s="1124"/>
      <c r="BB477" s="1124"/>
      <c r="BC477" s="1124"/>
      <c r="BD477" s="1123">
        <f>IF(AI477=0,0,(AT477-AI477)/AI477*100)</f>
        <v>0</v>
      </c>
      <c r="BE477" s="1124"/>
      <c r="BF477" s="1124"/>
      <c r="BG477" s="1124"/>
      <c r="BH477" s="1124"/>
      <c r="BI477" s="1124"/>
      <c r="BJ477" s="1124"/>
      <c r="BK477" s="1124"/>
      <c r="BL477" s="1124"/>
      <c r="BM477" s="1124"/>
      <c r="BN477" s="6290"/>
      <c r="BO477" s="6290"/>
      <c r="BP477" s="6290"/>
      <c r="BQ477" s="1297"/>
      <c r="BR477" s="1297"/>
      <c r="BS477" s="1072" t="s">
        <v>2036</v>
      </c>
      <c r="BT477" s="1072"/>
      <c r="BU477" s="1072"/>
      <c r="BV477" s="987"/>
      <c r="BW477" s="987"/>
    </row>
    <row s="1656" customFormat="1" customHeight="1" ht="14.25">
      <c r="A478" s="1297"/>
      <c r="B478" s="986"/>
      <c r="C478" s="103"/>
      <c r="D478" s="103"/>
      <c r="E478" s="626">
        <v>15</v>
      </c>
      <c r="F478" s="50" cm="1" t="str">
        <f t="array" ref="F478:F478">OFFSET(E478,-1,1)</f>
        <v>3</v>
      </c>
      <c r="G478" s="103"/>
      <c r="H478" s="864"/>
      <c r="I478" s="864" t="s">
        <v>2211</v>
      </c>
      <c r="J478" s="103"/>
      <c r="K478" s="374" t="s">
        <v>2211</v>
      </c>
      <c r="L478" s="988"/>
      <c r="M478" s="103"/>
      <c r="N478" s="103"/>
      <c r="O478" s="103"/>
      <c r="P478" s="103"/>
      <c r="Q478" s="103"/>
      <c r="R478" s="103"/>
      <c r="S478" s="103"/>
      <c r="T478" s="468" cm="1" t="str">
        <f t="array" ref="T478:T478">T477</f>
        <v>true</v>
      </c>
      <c r="U478" s="103"/>
      <c r="V478" s="103"/>
      <c r="W478" s="103"/>
      <c r="X478" s="1559"/>
      <c r="Y478" s="1297"/>
      <c r="Z478" s="1529"/>
      <c r="AA478" s="1297"/>
      <c r="AB478" s="296" t="s">
        <v>2212</v>
      </c>
      <c r="AC478" s="775" t="s">
        <v>2213</v>
      </c>
      <c r="AD478" s="296" t="s">
        <v>936</v>
      </c>
      <c r="AE478" s="6293"/>
      <c r="AF478" s="6293"/>
      <c r="AG478" s="6293"/>
      <c r="AH478" s="1123">
        <f>AG478-AF478</f>
        <v>0</v>
      </c>
      <c r="AI478" s="6293"/>
      <c r="AJ478" s="1377"/>
      <c r="AK478" s="1124"/>
      <c r="AL478" s="1124"/>
      <c r="AM478" s="1124"/>
      <c r="AN478" s="1124"/>
      <c r="AO478" s="1124"/>
      <c r="AP478" s="1124"/>
      <c r="AQ478" s="1124"/>
      <c r="AR478" s="1124"/>
      <c r="AS478" s="1124"/>
      <c r="AT478" s="1447"/>
      <c r="AU478" s="1124"/>
      <c r="AV478" s="1124"/>
      <c r="AW478" s="1124"/>
      <c r="AX478" s="1124"/>
      <c r="AY478" s="1124"/>
      <c r="AZ478" s="1124"/>
      <c r="BA478" s="1124"/>
      <c r="BB478" s="1124"/>
      <c r="BC478" s="1124"/>
      <c r="BD478" s="1123">
        <f>IF(AI478=0,0,(AT478-AI478)/AI478*100)</f>
        <v>0</v>
      </c>
      <c r="BE478" s="1124"/>
      <c r="BF478" s="1124"/>
      <c r="BG478" s="1124"/>
      <c r="BH478" s="1124"/>
      <c r="BI478" s="1124"/>
      <c r="BJ478" s="1124"/>
      <c r="BK478" s="1124"/>
      <c r="BL478" s="1124"/>
      <c r="BM478" s="1124"/>
      <c r="BN478" s="6290"/>
      <c r="BO478" s="6290"/>
      <c r="BP478" s="6290"/>
      <c r="BQ478" s="1297"/>
      <c r="BR478" s="1297"/>
      <c r="BS478" s="1072" t="s">
        <v>2020</v>
      </c>
      <c r="BT478" s="1072"/>
      <c r="BU478" s="1072"/>
      <c r="BV478" s="987"/>
      <c r="BW478" s="987"/>
    </row>
    <row s="6420" customFormat="1" customHeight="1" ht="20.25">
      <c r="A479" s="706"/>
      <c r="B479" s="437"/>
      <c r="C479" s="105"/>
      <c r="D479" s="105"/>
      <c r="E479" s="833">
        <v>21</v>
      </c>
      <c r="F479" s="50" cm="1" t="str">
        <f t="array" ref="F479:F479">OFFSET(E479,-1,1)</f>
        <v>3</v>
      </c>
      <c r="G479" s="105"/>
      <c r="H479" s="864"/>
      <c r="I479" s="864" t="s">
        <v>573</v>
      </c>
      <c r="J479" s="105"/>
      <c r="K479" s="374" t="s">
        <v>573</v>
      </c>
      <c r="L479" s="993"/>
      <c r="M479" s="105"/>
      <c r="N479" s="105"/>
      <c r="O479" s="105"/>
      <c r="P479" s="105"/>
      <c r="Q479" s="105"/>
      <c r="R479" s="105"/>
      <c r="S479" s="105"/>
      <c r="T479" s="468" cm="1" t="str">
        <f t="array" ref="T479:T479">T478</f>
        <v>true</v>
      </c>
      <c r="U479" s="105"/>
      <c r="V479" s="105"/>
      <c r="W479" s="105"/>
      <c r="X479" s="1559"/>
      <c r="Y479" s="706"/>
      <c r="Z479" s="1529"/>
      <c r="AA479" s="706"/>
      <c r="AB479" s="207" t="s">
        <v>1073</v>
      </c>
      <c r="AC479" s="357" t="s">
        <v>2039</v>
      </c>
      <c r="AD479" s="207" t="s">
        <v>936</v>
      </c>
      <c r="AE479" s="209">
        <f>AE480+AE481+AE482</f>
        <v>10229.49</v>
      </c>
      <c r="AF479" s="209">
        <f>AF480+AF481+AF482</f>
        <v>0</v>
      </c>
      <c r="AG479" s="209">
        <f>AG480+AG481+AG482</f>
        <v>0</v>
      </c>
      <c r="AH479" s="785">
        <f>AG479-AF479</f>
        <v>0</v>
      </c>
      <c r="AI479" s="209">
        <f>AI480+AI481+AI482</f>
        <v>0</v>
      </c>
      <c r="AJ479" s="209">
        <f>AJ480+AJ481+AJ482</f>
        <v>0</v>
      </c>
      <c r="AK479" s="212"/>
      <c r="AL479" s="212"/>
      <c r="AM479" s="212"/>
      <c r="AN479" s="212"/>
      <c r="AO479" s="212"/>
      <c r="AP479" s="212"/>
      <c r="AQ479" s="212"/>
      <c r="AR479" s="212"/>
      <c r="AS479" s="212"/>
      <c r="AT479" s="209">
        <f>AT480+AT481+AT482</f>
        <v>0</v>
      </c>
      <c r="AU479" s="212"/>
      <c r="AV479" s="212"/>
      <c r="AW479" s="212"/>
      <c r="AX479" s="212"/>
      <c r="AY479" s="212"/>
      <c r="AZ479" s="212"/>
      <c r="BA479" s="212"/>
      <c r="BB479" s="212"/>
      <c r="BC479" s="212"/>
      <c r="BD479" s="785">
        <f>IF(AI479=0,0,(AT479-AI479)/AI479*100)</f>
        <v>0</v>
      </c>
      <c r="BE479" s="212"/>
      <c r="BF479" s="212"/>
      <c r="BG479" s="212"/>
      <c r="BH479" s="212"/>
      <c r="BI479" s="212"/>
      <c r="BJ479" s="212"/>
      <c r="BK479" s="212"/>
      <c r="BL479" s="212"/>
      <c r="BM479" s="212"/>
      <c r="BN479" s="6292"/>
      <c r="BO479" s="6292"/>
      <c r="BP479" s="6292"/>
      <c r="BQ479" s="706"/>
      <c r="BR479" s="706"/>
      <c r="BS479" s="1071" t="s">
        <v>2040</v>
      </c>
      <c r="BT479" s="1078"/>
      <c r="BU479" s="1078"/>
      <c r="BV479" s="713"/>
      <c r="BW479" s="713"/>
    </row>
    <row s="1656" customFormat="1" customHeight="1" ht="23.25">
      <c r="A480" s="1297"/>
      <c r="B480" s="986"/>
      <c r="C480" s="103"/>
      <c r="D480" s="103"/>
      <c r="E480" s="626">
        <v>22.5</v>
      </c>
      <c r="F480" s="50" cm="1" t="str">
        <f t="array" ref="F480:F480">OFFSET(E480,-1,1)</f>
        <v>3</v>
      </c>
      <c r="G480" s="103"/>
      <c r="H480" s="864"/>
      <c r="I480" s="864" t="s">
        <v>1563</v>
      </c>
      <c r="J480" s="103"/>
      <c r="K480" s="374" t="s">
        <v>1563</v>
      </c>
      <c r="L480" s="988"/>
      <c r="M480" s="103"/>
      <c r="N480" s="103"/>
      <c r="O480" s="103"/>
      <c r="P480" s="103"/>
      <c r="Q480" s="103"/>
      <c r="R480" s="103"/>
      <c r="S480" s="103"/>
      <c r="T480" s="468" cm="1" t="str">
        <f t="array" ref="T480:T480">T479</f>
        <v>true</v>
      </c>
      <c r="U480" s="103"/>
      <c r="V480" s="103"/>
      <c r="W480" s="103"/>
      <c r="X480" s="1559"/>
      <c r="Y480" s="1297"/>
      <c r="Z480" s="1529"/>
      <c r="AA480" s="1297"/>
      <c r="AB480" s="296" t="s">
        <v>1564</v>
      </c>
      <c r="AC480" s="772" t="s">
        <v>2214</v>
      </c>
      <c r="AD480" s="296" t="s">
        <v>936</v>
      </c>
      <c r="AE480" s="6293">
        <v>9050.49</v>
      </c>
      <c r="AF480" s="6293"/>
      <c r="AG480" s="6293"/>
      <c r="AH480" s="1123">
        <f>AG480-AF480</f>
        <v>0</v>
      </c>
      <c r="AI480" s="6293"/>
      <c r="AJ480" s="6293"/>
      <c r="AK480" s="1124"/>
      <c r="AL480" s="1124"/>
      <c r="AM480" s="1124"/>
      <c r="AN480" s="1124"/>
      <c r="AO480" s="1124"/>
      <c r="AP480" s="1124"/>
      <c r="AQ480" s="1124"/>
      <c r="AR480" s="1124"/>
      <c r="AS480" s="1124"/>
      <c r="AT480" s="6293"/>
      <c r="AU480" s="1124"/>
      <c r="AV480" s="1124"/>
      <c r="AW480" s="1124"/>
      <c r="AX480" s="1124"/>
      <c r="AY480" s="1124"/>
      <c r="AZ480" s="1124"/>
      <c r="BA480" s="1124"/>
      <c r="BB480" s="1124"/>
      <c r="BC480" s="1124"/>
      <c r="BD480" s="1123">
        <f>IF(AI480=0,0,(AT480-AI480)/AI480*100)</f>
        <v>0</v>
      </c>
      <c r="BE480" s="1124"/>
      <c r="BF480" s="1124"/>
      <c r="BG480" s="1124"/>
      <c r="BH480" s="1124"/>
      <c r="BI480" s="1124"/>
      <c r="BJ480" s="1124"/>
      <c r="BK480" s="1124"/>
      <c r="BL480" s="1124"/>
      <c r="BM480" s="1124"/>
      <c r="BN480" s="6290"/>
      <c r="BO480" s="6290"/>
      <c r="BP480" s="6290"/>
      <c r="BQ480" s="1297"/>
      <c r="BR480" s="1297"/>
      <c r="BS480" s="1070" t="s">
        <v>2042</v>
      </c>
      <c r="BT480" s="1072"/>
      <c r="BU480" s="1072"/>
      <c r="BV480" s="987"/>
      <c r="BW480" s="987"/>
    </row>
    <row s="1656" customFormat="1" customHeight="1" ht="23.25">
      <c r="A481" s="1297"/>
      <c r="B481" s="986"/>
      <c r="C481" s="103"/>
      <c r="D481" s="103"/>
      <c r="E481" s="626">
        <v>22.5</v>
      </c>
      <c r="F481" s="50" cm="1" t="str">
        <f t="array" ref="F481:F481">OFFSET(E481,-1,1)</f>
        <v>3</v>
      </c>
      <c r="G481" s="103"/>
      <c r="H481" s="864"/>
      <c r="I481" s="864" t="s">
        <v>1567</v>
      </c>
      <c r="J481" s="103"/>
      <c r="K481" s="374" t="s">
        <v>1567</v>
      </c>
      <c r="L481" s="988"/>
      <c r="M481" s="103"/>
      <c r="N481" s="103"/>
      <c r="O481" s="103"/>
      <c r="P481" s="103"/>
      <c r="Q481" s="103"/>
      <c r="R481" s="103"/>
      <c r="S481" s="103"/>
      <c r="T481" s="468" cm="1" t="str">
        <f t="array" ref="T481:T481">T480</f>
        <v>true</v>
      </c>
      <c r="U481" s="103"/>
      <c r="V481" s="103"/>
      <c r="W481" s="103"/>
      <c r="X481" s="1559"/>
      <c r="Y481" s="1297"/>
      <c r="Z481" s="1529"/>
      <c r="AA481" s="1297"/>
      <c r="AB481" s="296" t="s">
        <v>1568</v>
      </c>
      <c r="AC481" s="772" t="s">
        <v>2215</v>
      </c>
      <c r="AD481" s="296" t="s">
        <v>936</v>
      </c>
      <c r="AE481" s="6293">
        <v>1179</v>
      </c>
      <c r="AF481" s="6293"/>
      <c r="AG481" s="6293"/>
      <c r="AH481" s="1123">
        <f>AG481-AF481</f>
        <v>0</v>
      </c>
      <c r="AI481" s="6293"/>
      <c r="AJ481" s="6293"/>
      <c r="AK481" s="1124"/>
      <c r="AL481" s="1124"/>
      <c r="AM481" s="1124"/>
      <c r="AN481" s="1124"/>
      <c r="AO481" s="1124"/>
      <c r="AP481" s="1124"/>
      <c r="AQ481" s="1124"/>
      <c r="AR481" s="1124"/>
      <c r="AS481" s="1124"/>
      <c r="AT481" s="6293"/>
      <c r="AU481" s="1124"/>
      <c r="AV481" s="1124"/>
      <c r="AW481" s="1124"/>
      <c r="AX481" s="1124"/>
      <c r="AY481" s="1124"/>
      <c r="AZ481" s="1124"/>
      <c r="BA481" s="1124"/>
      <c r="BB481" s="1124"/>
      <c r="BC481" s="1124"/>
      <c r="BD481" s="1123">
        <f>IF(AI481=0,0,(AT481-AI481)/AI481*100)</f>
        <v>0</v>
      </c>
      <c r="BE481" s="1124"/>
      <c r="BF481" s="1124"/>
      <c r="BG481" s="1124"/>
      <c r="BH481" s="1124"/>
      <c r="BI481" s="1124"/>
      <c r="BJ481" s="1124"/>
      <c r="BK481" s="1124"/>
      <c r="BL481" s="1124"/>
      <c r="BM481" s="1124"/>
      <c r="BN481" s="6290"/>
      <c r="BO481" s="6290"/>
      <c r="BP481" s="6290"/>
      <c r="BQ481" s="1297"/>
      <c r="BR481" s="1297"/>
      <c r="BS481" s="1072" t="s">
        <v>2216</v>
      </c>
      <c r="BT481" s="1072"/>
      <c r="BU481" s="1072"/>
      <c r="BV481" s="987"/>
      <c r="BW481" s="987"/>
    </row>
    <row s="1656" customFormat="1" customHeight="1" ht="21.75">
      <c r="A482" s="1297"/>
      <c r="B482" s="986"/>
      <c r="C482" s="103"/>
      <c r="D482" s="103"/>
      <c r="E482" s="626">
        <v>22.5</v>
      </c>
      <c r="F482" s="50" cm="1" t="str">
        <f t="array" ref="F482:F482">OFFSET(E482,-1,1)</f>
        <v>3</v>
      </c>
      <c r="G482" s="103"/>
      <c r="H482" s="864"/>
      <c r="I482" s="864" t="s">
        <v>1571</v>
      </c>
      <c r="J482" s="103"/>
      <c r="K482" s="374" t="s">
        <v>1571</v>
      </c>
      <c r="L482" s="988" t="s">
        <v>587</v>
      </c>
      <c r="M482" s="103"/>
      <c r="N482" s="103"/>
      <c r="O482" s="103"/>
      <c r="P482" s="103"/>
      <c r="Q482" s="103"/>
      <c r="R482" s="103"/>
      <c r="S482" s="103"/>
      <c r="T482" s="468" cm="1" t="str">
        <f t="array" ref="T482:T482">T481</f>
        <v>true</v>
      </c>
      <c r="U482" s="103"/>
      <c r="V482" s="103"/>
      <c r="W482" s="103"/>
      <c r="X482" s="1559"/>
      <c r="Y482" s="1297"/>
      <c r="Z482" s="1529"/>
      <c r="AA482" s="1297"/>
      <c r="AB482" s="296" t="s">
        <v>1572</v>
      </c>
      <c r="AC482" s="772" t="s">
        <v>2217</v>
      </c>
      <c r="AD482" s="296" t="s">
        <v>936</v>
      </c>
      <c r="AE482" s="1125">
        <f>AE483+AE484</f>
        <v>0</v>
      </c>
      <c r="AF482" s="1125">
        <f>AF483+AF484</f>
        <v>0</v>
      </c>
      <c r="AG482" s="1125">
        <f>AG483+AG484</f>
        <v>0</v>
      </c>
      <c r="AH482" s="1123">
        <f>AG482-AF482</f>
        <v>0</v>
      </c>
      <c r="AI482" s="1125">
        <f>AI483+AI484</f>
        <v>0</v>
      </c>
      <c r="AJ482" s="1125">
        <f>AJ483+AJ484</f>
        <v>0</v>
      </c>
      <c r="AK482" s="1124"/>
      <c r="AL482" s="1124"/>
      <c r="AM482" s="1124"/>
      <c r="AN482" s="1124"/>
      <c r="AO482" s="1124"/>
      <c r="AP482" s="1124"/>
      <c r="AQ482" s="1124"/>
      <c r="AR482" s="1124"/>
      <c r="AS482" s="1124"/>
      <c r="AT482" s="1125">
        <f>AT483+AT484</f>
        <v>0</v>
      </c>
      <c r="AU482" s="1124"/>
      <c r="AV482" s="1124"/>
      <c r="AW482" s="1124"/>
      <c r="AX482" s="1124"/>
      <c r="AY482" s="1124"/>
      <c r="AZ482" s="1124"/>
      <c r="BA482" s="1124"/>
      <c r="BB482" s="1124"/>
      <c r="BC482" s="1124"/>
      <c r="BD482" s="1123">
        <f>IF(AI482=0,0,(AT482-AI482)/AI482*100)</f>
        <v>0</v>
      </c>
      <c r="BE482" s="1124"/>
      <c r="BF482" s="1124"/>
      <c r="BG482" s="1124"/>
      <c r="BH482" s="1124"/>
      <c r="BI482" s="1124"/>
      <c r="BJ482" s="1124"/>
      <c r="BK482" s="1124"/>
      <c r="BL482" s="1124"/>
      <c r="BM482" s="1124"/>
      <c r="BN482" s="6290"/>
      <c r="BO482" s="6290"/>
      <c r="BP482" s="6290"/>
      <c r="BQ482" s="1297"/>
      <c r="BR482" s="1297"/>
      <c r="BS482" s="1070" t="s">
        <v>2044</v>
      </c>
      <c r="BT482" s="1072"/>
      <c r="BU482" s="1072"/>
      <c r="BV482" s="987"/>
      <c r="BW482" s="987"/>
    </row>
    <row s="1656" customFormat="1" customHeight="1" ht="14.25">
      <c r="A483" s="1297"/>
      <c r="B483" s="986"/>
      <c r="C483" s="103"/>
      <c r="D483" s="103"/>
      <c r="E483" s="626">
        <v>15</v>
      </c>
      <c r="F483" s="50" cm="1" t="str">
        <f t="array" ref="F483:F483">OFFSET(E483,-1,1)</f>
        <v>3</v>
      </c>
      <c r="G483" s="855" t="s">
        <v>1365</v>
      </c>
      <c r="H483" s="864"/>
      <c r="I483" s="864" t="s">
        <v>2218</v>
      </c>
      <c r="J483" s="103"/>
      <c r="K483" s="374" t="s">
        <v>2218</v>
      </c>
      <c r="L483" s="988" t="s">
        <v>2045</v>
      </c>
      <c r="M483" s="103"/>
      <c r="N483" s="103"/>
      <c r="O483" s="103"/>
      <c r="P483" s="103"/>
      <c r="Q483" s="103"/>
      <c r="R483" s="103"/>
      <c r="S483" s="103"/>
      <c r="T483" s="468" cm="1" t="str">
        <f t="array" ref="T483:T483">T482</f>
        <v>true</v>
      </c>
      <c r="U483" s="103"/>
      <c r="V483" s="103"/>
      <c r="W483" s="103"/>
      <c r="X483" s="1559"/>
      <c r="Y483" s="1297"/>
      <c r="Z483" s="1529"/>
      <c r="AA483" s="1297"/>
      <c r="AB483" s="296" t="s">
        <v>2219</v>
      </c>
      <c r="AC483" s="775" t="s">
        <v>2046</v>
      </c>
      <c r="AD483" s="296" t="s">
        <v>936</v>
      </c>
      <c r="AE483" s="1123">
        <f>_xlfn.SUMIFS(ФОТ!AE$25:AE$127,ФОТ!$F$25:$F$127,$F483,ФОТ!$G$25:$G$127,$G483)</f>
        <v>0</v>
      </c>
      <c r="AF483" s="1123">
        <f>_xlfn.SUMIFS(ФОТ!AF$25:AF$127,ФОТ!$F$25:$F$127,$F483,ФОТ!$G$25:$G$127,$G483)</f>
        <v>0</v>
      </c>
      <c r="AG483" s="1123">
        <f>_xlfn.SUMIFS(ФОТ!AG$25:AG$127,ФОТ!$F$25:$F$127,$F483,ФОТ!$G$25:$G$127,$G483)</f>
        <v>0</v>
      </c>
      <c r="AH483" s="1123">
        <f>AG483-AF483</f>
        <v>0</v>
      </c>
      <c r="AI483" s="1123">
        <f>_xlfn.SUMIFS(ФОТ!AH$25:AH$127,ФОТ!$F$25:$F$127,$F483,ФОТ!$G$25:$G$127,$G483)</f>
        <v>0</v>
      </c>
      <c r="AJ483" s="1123">
        <f>_xlfn.SUMIFS(ФОТ!AI$25:AI$127,ФОТ!$F$25:$F$127,$F483,ФОТ!$G$25:$G$127,$G483)</f>
        <v>0</v>
      </c>
      <c r="AK483" s="1124"/>
      <c r="AL483" s="1124"/>
      <c r="AM483" s="1124"/>
      <c r="AN483" s="1124"/>
      <c r="AO483" s="1124"/>
      <c r="AP483" s="1124"/>
      <c r="AQ483" s="1124"/>
      <c r="AR483" s="1124"/>
      <c r="AS483" s="1124"/>
      <c r="AT483" s="1123">
        <f>_xlfn.SUMIFS(ФОТ!AJ$25:AJ$127,ФОТ!$F$25:$F$127,$F483,ФОТ!$G$25:$G$127,$G483)</f>
        <v>0</v>
      </c>
      <c r="AU483" s="1124"/>
      <c r="AV483" s="1124"/>
      <c r="AW483" s="1124"/>
      <c r="AX483" s="1124"/>
      <c r="AY483" s="1124"/>
      <c r="AZ483" s="1124"/>
      <c r="BA483" s="1124"/>
      <c r="BB483" s="1124"/>
      <c r="BC483" s="1124"/>
      <c r="BD483" s="1123">
        <f>IF(AI483=0,0,(AT483-AI483)/AI483*100)</f>
        <v>0</v>
      </c>
      <c r="BE483" s="1124"/>
      <c r="BF483" s="1124"/>
      <c r="BG483" s="1124"/>
      <c r="BH483" s="1124"/>
      <c r="BI483" s="1124"/>
      <c r="BJ483" s="1124"/>
      <c r="BK483" s="1124"/>
      <c r="BL483" s="1124"/>
      <c r="BM483" s="1124"/>
      <c r="BN483" s="6290"/>
      <c r="BO483" s="6294" t="str">
        <f>IF(_xlfn.IFERROR(INDEX(ФОТ!$K$26:$L$127,MATCH($F483&amp;"3komm",ФОТ!$K$26:$K$127,0),2),"")=0,"",_xlfn.IFERROR(INDEX(ФОТ!$K$26:$L$127,MATCH($F483&amp;"3komm",ФОТ!$K$26:$K$127,0),2),""))</f>
        <v/>
      </c>
      <c r="BP483" s="6290"/>
      <c r="BQ483" s="1297"/>
      <c r="BR483" s="1297"/>
      <c r="BS483" s="1070" t="s">
        <v>2047</v>
      </c>
      <c r="BT483" s="1072"/>
      <c r="BU483" s="1072"/>
      <c r="BV483" s="987"/>
      <c r="BW483" s="987"/>
    </row>
    <row s="1656" customFormat="1" customHeight="1" ht="21.75">
      <c r="A484" s="1297"/>
      <c r="B484" s="986"/>
      <c r="C484" s="103"/>
      <c r="D484" s="103"/>
      <c r="E484" s="626">
        <v>22.5</v>
      </c>
      <c r="F484" s="50" cm="1" t="str">
        <f t="array" ref="F484:F484">OFFSET(E484,-1,1)</f>
        <v>3</v>
      </c>
      <c r="G484" s="855" t="s">
        <v>1370</v>
      </c>
      <c r="H484" s="864"/>
      <c r="I484" s="864" t="s">
        <v>2220</v>
      </c>
      <c r="J484" s="103"/>
      <c r="K484" s="374" t="s">
        <v>2220</v>
      </c>
      <c r="L484" s="988" t="s">
        <v>2048</v>
      </c>
      <c r="M484" s="103"/>
      <c r="N484" s="103"/>
      <c r="O484" s="103"/>
      <c r="P484" s="103"/>
      <c r="Q484" s="103"/>
      <c r="R484" s="103"/>
      <c r="S484" s="103"/>
      <c r="T484" s="468" cm="1" t="str">
        <f t="array" ref="T484:T484">T483</f>
        <v>true</v>
      </c>
      <c r="U484" s="103"/>
      <c r="V484" s="103"/>
      <c r="W484" s="103"/>
      <c r="X484" s="1559"/>
      <c r="Y484" s="1297"/>
      <c r="Z484" s="1529"/>
      <c r="AA484" s="1297"/>
      <c r="AB484" s="296" t="s">
        <v>2221</v>
      </c>
      <c r="AC484" s="775" t="s">
        <v>2222</v>
      </c>
      <c r="AD484" s="296" t="s">
        <v>936</v>
      </c>
      <c r="AE484" s="1123">
        <f>_xlfn.SUMIFS(ФОТ!AE$25:AE$127,ФОТ!$F$25:$F$127,$F484,ФОТ!$G$25:$G$127,$G484)</f>
        <v>0</v>
      </c>
      <c r="AF484" s="1123">
        <f>_xlfn.SUMIFS(ФОТ!AF$25:AF$127,ФОТ!$F$25:$F$127,$F484,ФОТ!$G$25:$G$127,$G484)</f>
        <v>0</v>
      </c>
      <c r="AG484" s="1123">
        <f>_xlfn.SUMIFS(ФОТ!AG$25:AG$127,ФОТ!$F$25:$F$127,$F484,ФОТ!$G$25:$G$127,$G484)</f>
        <v>0</v>
      </c>
      <c r="AH484" s="1123">
        <f>AG484-AF484</f>
        <v>0</v>
      </c>
      <c r="AI484" s="1123">
        <f>_xlfn.SUMIFS(ФОТ!AH$25:AH$127,ФОТ!$F$25:$F$127,$F484,ФОТ!$G$25:$G$127,$G484)</f>
        <v>0</v>
      </c>
      <c r="AJ484" s="1123">
        <f>_xlfn.SUMIFS(ФОТ!AI$25:AI$127,ФОТ!$F$25:$F$127,$F484,ФОТ!$G$25:$G$127,$G484)</f>
        <v>0</v>
      </c>
      <c r="AK484" s="1124"/>
      <c r="AL484" s="1124"/>
      <c r="AM484" s="1124"/>
      <c r="AN484" s="1124"/>
      <c r="AO484" s="1124"/>
      <c r="AP484" s="1124"/>
      <c r="AQ484" s="1124"/>
      <c r="AR484" s="1124"/>
      <c r="AS484" s="1124"/>
      <c r="AT484" s="1123">
        <f>_xlfn.SUMIFS(ФОТ!AJ$25:AJ$127,ФОТ!$F$25:$F$127,$F484,ФОТ!$G$25:$G$127,$G484)</f>
        <v>0</v>
      </c>
      <c r="AU484" s="1124"/>
      <c r="AV484" s="1124"/>
      <c r="AW484" s="1124"/>
      <c r="AX484" s="1124"/>
      <c r="AY484" s="1124"/>
      <c r="AZ484" s="1124"/>
      <c r="BA484" s="1124"/>
      <c r="BB484" s="1124"/>
      <c r="BC484" s="1124"/>
      <c r="BD484" s="1123">
        <f>IF(AI484=0,0,(AT484-AI484)/AI484*100)</f>
        <v>0</v>
      </c>
      <c r="BE484" s="1124"/>
      <c r="BF484" s="1124"/>
      <c r="BG484" s="1124"/>
      <c r="BH484" s="1124"/>
      <c r="BI484" s="1124"/>
      <c r="BJ484" s="1124"/>
      <c r="BK484" s="1124"/>
      <c r="BL484" s="1124"/>
      <c r="BM484" s="1124"/>
      <c r="BN484" s="6290"/>
      <c r="BO484" s="6294" t="str">
        <f>IF(_xlfn.IFERROR(INDEX(ФОТ!$K$26:$L$127,MATCH($F484&amp;"4komm",ФОТ!$K$26:$K$127,0),2),"")=0,"",_xlfn.IFERROR(INDEX(ФОТ!$K$26:$L$127,MATCH($F484&amp;"4komm",ФОТ!$K$26:$K$127,0),2),""))</f>
        <v/>
      </c>
      <c r="BP484" s="6290"/>
      <c r="BQ484" s="1297"/>
      <c r="BR484" s="1297"/>
      <c r="BS484" s="1070" t="s">
        <v>2050</v>
      </c>
      <c r="BT484" s="1072"/>
      <c r="BU484" s="1072"/>
      <c r="BV484" s="987"/>
      <c r="BW484" s="987"/>
    </row>
    <row s="6421" customFormat="1" customHeight="1" ht="20.25">
      <c r="A485" s="706"/>
      <c r="B485" s="437"/>
      <c r="C485" s="105"/>
      <c r="D485" s="105"/>
      <c r="E485" s="833">
        <v>21</v>
      </c>
      <c r="F485" s="50" cm="1" t="str">
        <f t="array" ref="F485:F485">OFFSET(E485,-1,1)</f>
        <v>3</v>
      </c>
      <c r="G485" s="105"/>
      <c r="H485" s="864"/>
      <c r="I485" s="864" t="s">
        <v>577</v>
      </c>
      <c r="J485" s="105"/>
      <c r="K485" s="374" t="s">
        <v>577</v>
      </c>
      <c r="L485" s="993" t="s">
        <v>346</v>
      </c>
      <c r="M485" s="105"/>
      <c r="N485" s="105"/>
      <c r="O485" s="105"/>
      <c r="P485" s="105"/>
      <c r="Q485" s="105"/>
      <c r="R485" s="105"/>
      <c r="S485" s="105"/>
      <c r="T485" s="468" cm="1" t="str">
        <f t="array" ref="T485:T485">T484</f>
        <v>true</v>
      </c>
      <c r="U485" s="105"/>
      <c r="V485" s="105"/>
      <c r="W485" s="105"/>
      <c r="X485" s="1559"/>
      <c r="Y485" s="706"/>
      <c r="Z485" s="1529"/>
      <c r="AA485" s="706"/>
      <c r="AB485" s="207" t="s">
        <v>1076</v>
      </c>
      <c r="AC485" s="357" t="s">
        <v>2223</v>
      </c>
      <c r="AD485" s="207" t="s">
        <v>936</v>
      </c>
      <c r="AE485" s="209">
        <f>AE486+AE494+AE497+AE498+AE499+AE500+AE501</f>
        <v>0</v>
      </c>
      <c r="AF485" s="209">
        <f>AF486+AF494+AF497+AF498+AF499+AF500+AF501</f>
        <v>0</v>
      </c>
      <c r="AG485" s="209">
        <f>AG486+AG494+AG497+AG498+AG499+AG500+AG501</f>
        <v>0</v>
      </c>
      <c r="AH485" s="785">
        <f>AG485-AF485</f>
        <v>0</v>
      </c>
      <c r="AI485" s="209">
        <f>AI486+AI494+AI497+AI498+AI499+AI500+AI501</f>
        <v>0</v>
      </c>
      <c r="AJ485" s="209">
        <f>AJ486+AJ494+AJ497+AJ498+AJ499+AJ500+AJ501</f>
        <v>0</v>
      </c>
      <c r="AK485" s="212"/>
      <c r="AL485" s="212"/>
      <c r="AM485" s="212"/>
      <c r="AN485" s="212"/>
      <c r="AO485" s="212"/>
      <c r="AP485" s="212"/>
      <c r="AQ485" s="212"/>
      <c r="AR485" s="212"/>
      <c r="AS485" s="212"/>
      <c r="AT485" s="209">
        <f>AT486+AT494+AT497+AT498+AT499+AT500+AT501</f>
        <v>0</v>
      </c>
      <c r="AU485" s="212"/>
      <c r="AV485" s="212"/>
      <c r="AW485" s="212"/>
      <c r="AX485" s="212"/>
      <c r="AY485" s="212"/>
      <c r="AZ485" s="212"/>
      <c r="BA485" s="212"/>
      <c r="BB485" s="212"/>
      <c r="BC485" s="212"/>
      <c r="BD485" s="785">
        <f>IF(AI485=0,0,(AT485-AI485)/AI485*100)</f>
        <v>0</v>
      </c>
      <c r="BE485" s="212"/>
      <c r="BF485" s="212"/>
      <c r="BG485" s="212"/>
      <c r="BH485" s="212"/>
      <c r="BI485" s="212"/>
      <c r="BJ485" s="212"/>
      <c r="BK485" s="212"/>
      <c r="BL485" s="212"/>
      <c r="BM485" s="212"/>
      <c r="BN485" s="6292"/>
      <c r="BO485" s="6292"/>
      <c r="BP485" s="6292"/>
      <c r="BQ485" s="706"/>
      <c r="BR485" s="706"/>
      <c r="BS485" s="1071" t="s">
        <v>2052</v>
      </c>
      <c r="BT485" s="1078"/>
      <c r="BU485" s="1078"/>
      <c r="BV485" s="713"/>
      <c r="BW485" s="713"/>
    </row>
    <row s="1656" customFormat="1" customHeight="1" ht="21.75">
      <c r="A486" s="1297"/>
      <c r="B486" s="986"/>
      <c r="C486" s="103"/>
      <c r="D486" s="103"/>
      <c r="E486" s="626">
        <v>22.5</v>
      </c>
      <c r="F486" s="50" cm="1" t="str">
        <f t="array" ref="F486:F486">OFFSET(E486,-1,1)</f>
        <v>3</v>
      </c>
      <c r="G486" s="103" t="s">
        <v>1391</v>
      </c>
      <c r="H486" s="864"/>
      <c r="I486" s="864" t="s">
        <v>1577</v>
      </c>
      <c r="J486" s="103"/>
      <c r="K486" s="374" t="s">
        <v>1577</v>
      </c>
      <c r="L486" s="988" t="s">
        <v>1097</v>
      </c>
      <c r="M486" s="103"/>
      <c r="N486" s="103"/>
      <c r="O486" s="103"/>
      <c r="P486" s="103"/>
      <c r="Q486" s="103"/>
      <c r="R486" s="103"/>
      <c r="S486" s="103"/>
      <c r="T486" s="468" cm="1" t="str">
        <f t="array" ref="T486:T486">T485</f>
        <v>true</v>
      </c>
      <c r="U486" s="103"/>
      <c r="V486" s="103"/>
      <c r="W486" s="103"/>
      <c r="X486" s="1559"/>
      <c r="Y486" s="1297"/>
      <c r="Z486" s="1529"/>
      <c r="AA486" s="1297"/>
      <c r="AB486" s="296" t="s">
        <v>1214</v>
      </c>
      <c r="AC486" s="772" t="s">
        <v>2224</v>
      </c>
      <c r="AD486" s="296" t="s">
        <v>936</v>
      </c>
      <c r="AE486" s="1123">
        <f>_xlfn.SUMIFS(Административные!AE$25:AE$103,Административные!$F$25:$F$103,$F486,Административные!$G$25:$G$103,$G486)</f>
        <v>0</v>
      </c>
      <c r="AF486" s="1123">
        <f>_xlfn.SUMIFS(Административные!AF$25:AF$103,Административные!$F$25:$F$103,$F486,Административные!$G$25:$G$103,$G486)</f>
        <v>0</v>
      </c>
      <c r="AG486" s="1123">
        <f>_xlfn.SUMIFS(Административные!AG$25:AG$103,Административные!$F$25:$F$103,$F486,Административные!$G$25:$G$103,$G486)</f>
        <v>0</v>
      </c>
      <c r="AH486" s="1123">
        <f>AG486-AF486</f>
        <v>0</v>
      </c>
      <c r="AI486" s="1123">
        <f>_xlfn.SUMIFS(Административные!AH$25:AH$103,Административные!$F$25:$F$103,$F486,Административные!$G$25:$G$103,$G486)</f>
        <v>0</v>
      </c>
      <c r="AJ486" s="1123">
        <f>_xlfn.SUMIFS(Административные!AI$25:AI$103,Административные!$F$25:$F$103,$F486,Административные!$G$25:$G$103,$G486)</f>
        <v>0</v>
      </c>
      <c r="AK486" s="1124"/>
      <c r="AL486" s="1124"/>
      <c r="AM486" s="1124"/>
      <c r="AN486" s="1124"/>
      <c r="AO486" s="1124"/>
      <c r="AP486" s="1124"/>
      <c r="AQ486" s="1124"/>
      <c r="AR486" s="1124"/>
      <c r="AS486" s="1124"/>
      <c r="AT486" s="1123">
        <f>_xlfn.SUMIFS(Административные!AJ$25:AJ$103,Административные!$F$25:$F$103,$F486,Административные!$G$25:$G$103,$G486)</f>
        <v>0</v>
      </c>
      <c r="AU486" s="1124"/>
      <c r="AV486" s="1124"/>
      <c r="AW486" s="1124"/>
      <c r="AX486" s="1124"/>
      <c r="AY486" s="1124"/>
      <c r="AZ486" s="1124"/>
      <c r="BA486" s="1124"/>
      <c r="BB486" s="1124"/>
      <c r="BC486" s="1124"/>
      <c r="BD486" s="1123">
        <f>IF(AI486=0,0,(AT486-AI486)/AI486*100)</f>
        <v>0</v>
      </c>
      <c r="BE486" s="1124"/>
      <c r="BF486" s="1124"/>
      <c r="BG486" s="1124"/>
      <c r="BH486" s="1124"/>
      <c r="BI486" s="1124"/>
      <c r="BJ486" s="1124"/>
      <c r="BK486" s="1124"/>
      <c r="BL486" s="1124"/>
      <c r="BM486" s="1124"/>
      <c r="BN486" s="6290"/>
      <c r="BO486" s="6294" t="str">
        <f>IF(_xlfn.IFERROR(INDEX(Административные!$K$26:$L$103,MATCH($F486&amp;"17komm",Административные!$K$26:$K$103,0),2),"")=0,"",_xlfn.IFERROR(INDEX(Административные!$K$26:$L$103,MATCH($F486&amp;"17komm",Административные!$K$26:$K$103,0),2),""))</f>
        <v/>
      </c>
      <c r="BP486" s="6290"/>
      <c r="BQ486" s="1297"/>
      <c r="BR486" s="1297"/>
      <c r="BS486" s="1070" t="s">
        <v>1393</v>
      </c>
      <c r="BT486" s="1072"/>
      <c r="BU486" s="1072"/>
      <c r="BV486" s="987"/>
      <c r="BW486" s="987"/>
    </row>
    <row s="1656" customFormat="1" customHeight="1" ht="14.25">
      <c r="A487" s="1297"/>
      <c r="B487" s="986"/>
      <c r="C487" s="103"/>
      <c r="D487" s="103"/>
      <c r="E487" s="626">
        <v>15</v>
      </c>
      <c r="F487" s="50" cm="1" t="str">
        <f t="array" ref="F487:F487">OFFSET(E487,-1,1)</f>
        <v>3</v>
      </c>
      <c r="G487" s="103" t="s">
        <v>1394</v>
      </c>
      <c r="H487" s="864"/>
      <c r="I487" s="864" t="s">
        <v>2225</v>
      </c>
      <c r="J487" s="103"/>
      <c r="K487" s="374" t="s">
        <v>2225</v>
      </c>
      <c r="L487" s="988"/>
      <c r="M487" s="103"/>
      <c r="N487" s="103"/>
      <c r="O487" s="103"/>
      <c r="P487" s="103"/>
      <c r="Q487" s="103"/>
      <c r="R487" s="103"/>
      <c r="S487" s="103"/>
      <c r="T487" s="468" cm="1" t="str">
        <f t="array" ref="T487:T487">T486</f>
        <v>true</v>
      </c>
      <c r="U487" s="103"/>
      <c r="V487" s="103"/>
      <c r="W487" s="103"/>
      <c r="X487" s="1559"/>
      <c r="Y487" s="1297"/>
      <c r="Z487" s="1529"/>
      <c r="AA487" s="1297"/>
      <c r="AB487" s="296" t="s">
        <v>2226</v>
      </c>
      <c r="AC487" s="775" t="s">
        <v>1395</v>
      </c>
      <c r="AD487" s="296" t="s">
        <v>936</v>
      </c>
      <c r="AE487" s="1123">
        <f>_xlfn.SUMIFS(Административные!AE$25:AE$103,Административные!$F$25:$F$103,$F487,Административные!$G$25:$G$103,$G487)</f>
        <v>0</v>
      </c>
      <c r="AF487" s="1123">
        <f>_xlfn.SUMIFS(Административные!AF$25:AF$103,Административные!$F$25:$F$103,$F487,Административные!$G$25:$G$103,$G487)</f>
        <v>0</v>
      </c>
      <c r="AG487" s="1123">
        <f>_xlfn.SUMIFS(Административные!AG$25:AG$103,Административные!$F$25:$F$103,$F487,Административные!$G$25:$G$103,$G487)</f>
        <v>0</v>
      </c>
      <c r="AH487" s="1123">
        <f>AG487-AF487</f>
        <v>0</v>
      </c>
      <c r="AI487" s="1123">
        <f>_xlfn.SUMIFS(Административные!AH$25:AH$103,Административные!$F$25:$F$103,$F487,Административные!$G$25:$G$103,$G487)</f>
        <v>0</v>
      </c>
      <c r="AJ487" s="1123">
        <f>_xlfn.SUMIFS(Административные!AI$25:AI$103,Административные!$F$25:$F$103,$F487,Административные!$G$25:$G$103,$G487)</f>
        <v>0</v>
      </c>
      <c r="AK487" s="1124"/>
      <c r="AL487" s="1124"/>
      <c r="AM487" s="1124"/>
      <c r="AN487" s="1124"/>
      <c r="AO487" s="1124"/>
      <c r="AP487" s="1124"/>
      <c r="AQ487" s="1124"/>
      <c r="AR487" s="1124"/>
      <c r="AS487" s="1124"/>
      <c r="AT487" s="1123">
        <f>_xlfn.SUMIFS(Административные!AJ$25:AJ$103,Административные!$F$25:$F$103,$F487,Административные!$G$25:$G$103,$G487)</f>
        <v>0</v>
      </c>
      <c r="AU487" s="1124"/>
      <c r="AV487" s="1124"/>
      <c r="AW487" s="1124"/>
      <c r="AX487" s="1124"/>
      <c r="AY487" s="1124"/>
      <c r="AZ487" s="1124"/>
      <c r="BA487" s="1124"/>
      <c r="BB487" s="1124"/>
      <c r="BC487" s="1124"/>
      <c r="BD487" s="1123">
        <f>IF(AI487=0,0,(AT487-AI487)/AI487*100)</f>
        <v>0</v>
      </c>
      <c r="BE487" s="1124"/>
      <c r="BF487" s="1124"/>
      <c r="BG487" s="1124"/>
      <c r="BH487" s="1124"/>
      <c r="BI487" s="1124"/>
      <c r="BJ487" s="1124"/>
      <c r="BK487" s="1124"/>
      <c r="BL487" s="1124"/>
      <c r="BM487" s="1124"/>
      <c r="BN487" s="6290"/>
      <c r="BO487" s="6294" t="str">
        <f>IF(_xlfn.IFERROR(INDEX(Административные!$K$26:$L$103,MATCH($F487&amp;"18komm",Административные!$K$26:$K$103,0),2),"")=0,"",_xlfn.IFERROR(INDEX(Административные!$K$26:$L$103,MATCH($F487&amp;"18komm",Административные!$K$26:$K$103,0),2),""))</f>
        <v/>
      </c>
      <c r="BP487" s="6290"/>
      <c r="BQ487" s="1297"/>
      <c r="BR487" s="1297"/>
      <c r="BS487" s="1072" t="s">
        <v>1396</v>
      </c>
      <c r="BT487" s="1072"/>
      <c r="BU487" s="1072"/>
      <c r="BV487" s="987"/>
      <c r="BW487" s="987"/>
    </row>
    <row s="1656" customFormat="1" customHeight="1" ht="14.25">
      <c r="A488" s="1297"/>
      <c r="B488" s="986"/>
      <c r="C488" s="103"/>
      <c r="D488" s="103"/>
      <c r="E488" s="626">
        <v>15</v>
      </c>
      <c r="F488" s="50" cm="1" t="str">
        <f t="array" ref="F488:F488">OFFSET(E488,-1,1)</f>
        <v>3</v>
      </c>
      <c r="G488" s="103" t="s">
        <v>1397</v>
      </c>
      <c r="H488" s="864"/>
      <c r="I488" s="864" t="s">
        <v>2227</v>
      </c>
      <c r="J488" s="103"/>
      <c r="K488" s="374" t="s">
        <v>2227</v>
      </c>
      <c r="L488" s="988"/>
      <c r="M488" s="103"/>
      <c r="N488" s="103"/>
      <c r="O488" s="103"/>
      <c r="P488" s="103"/>
      <c r="Q488" s="103"/>
      <c r="R488" s="103"/>
      <c r="S488" s="103"/>
      <c r="T488" s="468" cm="1" t="str">
        <f t="array" ref="T488:T488">T487</f>
        <v>true</v>
      </c>
      <c r="U488" s="103"/>
      <c r="V488" s="103"/>
      <c r="W488" s="103"/>
      <c r="X488" s="1559"/>
      <c r="Y488" s="1297"/>
      <c r="Z488" s="1529"/>
      <c r="AA488" s="1297"/>
      <c r="AB488" s="296" t="s">
        <v>2228</v>
      </c>
      <c r="AC488" s="775" t="s">
        <v>1398</v>
      </c>
      <c r="AD488" s="296" t="s">
        <v>936</v>
      </c>
      <c r="AE488" s="1123">
        <f>_xlfn.SUMIFS(Административные!AE$25:AE$103,Административные!$F$25:$F$103,$F488,Административные!$G$25:$G$103,$G488)</f>
        <v>0</v>
      </c>
      <c r="AF488" s="1123">
        <f>_xlfn.SUMIFS(Административные!AF$25:AF$103,Административные!$F$25:$F$103,$F488,Административные!$G$25:$G$103,$G488)</f>
        <v>0</v>
      </c>
      <c r="AG488" s="1123">
        <f>_xlfn.SUMIFS(Административные!AG$25:AG$103,Административные!$F$25:$F$103,$F488,Административные!$G$25:$G$103,$G488)</f>
        <v>0</v>
      </c>
      <c r="AH488" s="1123">
        <f>AG488-AF488</f>
        <v>0</v>
      </c>
      <c r="AI488" s="1123">
        <f>_xlfn.SUMIFS(Административные!AH$25:AH$103,Административные!$F$25:$F$103,$F488,Административные!$G$25:$G$103,$G488)</f>
        <v>0</v>
      </c>
      <c r="AJ488" s="1123">
        <f>_xlfn.SUMIFS(Административные!AI$25:AI$103,Административные!$F$25:$F$103,$F488,Административные!$G$25:$G$103,$G488)</f>
        <v>0</v>
      </c>
      <c r="AK488" s="1124"/>
      <c r="AL488" s="1124"/>
      <c r="AM488" s="1124"/>
      <c r="AN488" s="1124"/>
      <c r="AO488" s="1124"/>
      <c r="AP488" s="1124"/>
      <c r="AQ488" s="1124"/>
      <c r="AR488" s="1124"/>
      <c r="AS488" s="1124"/>
      <c r="AT488" s="1123">
        <f>_xlfn.SUMIFS(Административные!AJ$25:AJ$103,Административные!$F$25:$F$103,$F488,Административные!$G$25:$G$103,$G488)</f>
        <v>0</v>
      </c>
      <c r="AU488" s="1124"/>
      <c r="AV488" s="1124"/>
      <c r="AW488" s="1124"/>
      <c r="AX488" s="1124"/>
      <c r="AY488" s="1124"/>
      <c r="AZ488" s="1124"/>
      <c r="BA488" s="1124"/>
      <c r="BB488" s="1124"/>
      <c r="BC488" s="1124"/>
      <c r="BD488" s="1123">
        <f>IF(AI488=0,0,(AT488-AI488)/AI488*100)</f>
        <v>0</v>
      </c>
      <c r="BE488" s="1124"/>
      <c r="BF488" s="1124"/>
      <c r="BG488" s="1124"/>
      <c r="BH488" s="1124"/>
      <c r="BI488" s="1124"/>
      <c r="BJ488" s="1124"/>
      <c r="BK488" s="1124"/>
      <c r="BL488" s="1124"/>
      <c r="BM488" s="1124"/>
      <c r="BN488" s="6290"/>
      <c r="BO488" s="6294" t="str">
        <f>IF(_xlfn.IFERROR(INDEX(Административные!$K$26:$L$103,MATCH($F488&amp;"11komm",Административные!$K$26:$K$103,0),2),"")=0,"",_xlfn.IFERROR(INDEX(Административные!$K$26:$L$103,MATCH($F488&amp;"11komm",Административные!$K$26:$K$103,0),2),""))</f>
        <v/>
      </c>
      <c r="BP488" s="6290"/>
      <c r="BQ488" s="1297"/>
      <c r="BR488" s="1297"/>
      <c r="BS488" s="1072" t="s">
        <v>1399</v>
      </c>
      <c r="BT488" s="1072"/>
      <c r="BU488" s="1072"/>
      <c r="BV488" s="987"/>
      <c r="BW488" s="987"/>
    </row>
    <row s="1656" customFormat="1" customHeight="1" ht="14.25">
      <c r="A489" s="1297"/>
      <c r="B489" s="986"/>
      <c r="C489" s="103"/>
      <c r="D489" s="103"/>
      <c r="E489" s="626">
        <v>15</v>
      </c>
      <c r="F489" s="50" cm="1" t="str">
        <f t="array" ref="F489:F489">OFFSET(E489,-1,1)</f>
        <v>3</v>
      </c>
      <c r="G489" s="103" t="s">
        <v>1400</v>
      </c>
      <c r="H489" s="864"/>
      <c r="I489" s="864" t="s">
        <v>2229</v>
      </c>
      <c r="J489" s="103"/>
      <c r="K489" s="374" t="s">
        <v>2229</v>
      </c>
      <c r="L489" s="988"/>
      <c r="M489" s="103"/>
      <c r="N489" s="103"/>
      <c r="O489" s="103"/>
      <c r="P489" s="103"/>
      <c r="Q489" s="103"/>
      <c r="R489" s="103"/>
      <c r="S489" s="103"/>
      <c r="T489" s="468" cm="1" t="str">
        <f t="array" ref="T489:T489">T488</f>
        <v>true</v>
      </c>
      <c r="U489" s="103"/>
      <c r="V489" s="103"/>
      <c r="W489" s="103"/>
      <c r="X489" s="1559"/>
      <c r="Y489" s="1297"/>
      <c r="Z489" s="1529"/>
      <c r="AA489" s="1297"/>
      <c r="AB489" s="296" t="s">
        <v>2230</v>
      </c>
      <c r="AC489" s="775" t="s">
        <v>1401</v>
      </c>
      <c r="AD489" s="296" t="s">
        <v>936</v>
      </c>
      <c r="AE489" s="1123">
        <f>_xlfn.SUMIFS(Административные!AE$25:AE$103,Административные!$F$25:$F$103,$F489,Административные!$G$25:$G$103,$G489)</f>
        <v>0</v>
      </c>
      <c r="AF489" s="1123">
        <f>_xlfn.SUMIFS(Административные!AF$25:AF$103,Административные!$F$25:$F$103,$F489,Административные!$G$25:$G$103,$G489)</f>
        <v>0</v>
      </c>
      <c r="AG489" s="1123">
        <f>_xlfn.SUMIFS(Административные!AG$25:AG$103,Административные!$F$25:$F$103,$F489,Административные!$G$25:$G$103,$G489)</f>
        <v>0</v>
      </c>
      <c r="AH489" s="1123">
        <f>AG489-AF489</f>
        <v>0</v>
      </c>
      <c r="AI489" s="1123">
        <f>_xlfn.SUMIFS(Административные!AH$25:AH$103,Административные!$F$25:$F$103,$F489,Административные!$G$25:$G$103,$G489)</f>
        <v>0</v>
      </c>
      <c r="AJ489" s="1123">
        <f>_xlfn.SUMIFS(Административные!AI$25:AI$103,Административные!$F$25:$F$103,$F489,Административные!$G$25:$G$103,$G489)</f>
        <v>0</v>
      </c>
      <c r="AK489" s="1124"/>
      <c r="AL489" s="1124"/>
      <c r="AM489" s="1124"/>
      <c r="AN489" s="1124"/>
      <c r="AO489" s="1124"/>
      <c r="AP489" s="1124"/>
      <c r="AQ489" s="1124"/>
      <c r="AR489" s="1124"/>
      <c r="AS489" s="1124"/>
      <c r="AT489" s="1123">
        <f>_xlfn.SUMIFS(Административные!AJ$25:AJ$103,Административные!$F$25:$F$103,$F489,Административные!$G$25:$G$103,$G489)</f>
        <v>0</v>
      </c>
      <c r="AU489" s="1124"/>
      <c r="AV489" s="1124"/>
      <c r="AW489" s="1124"/>
      <c r="AX489" s="1124"/>
      <c r="AY489" s="1124"/>
      <c r="AZ489" s="1124"/>
      <c r="BA489" s="1124"/>
      <c r="BB489" s="1124"/>
      <c r="BC489" s="1124"/>
      <c r="BD489" s="1123">
        <f>IF(AI489=0,0,(AT489-AI489)/AI489*100)</f>
        <v>0</v>
      </c>
      <c r="BE489" s="1124"/>
      <c r="BF489" s="1124"/>
      <c r="BG489" s="1124"/>
      <c r="BH489" s="1124"/>
      <c r="BI489" s="1124"/>
      <c r="BJ489" s="1124"/>
      <c r="BK489" s="1124"/>
      <c r="BL489" s="1124"/>
      <c r="BM489" s="1124"/>
      <c r="BN489" s="6290"/>
      <c r="BO489" s="6294" t="str">
        <f>IF(_xlfn.IFERROR(INDEX(Административные!$K$26:$L$103,MATCH($F489&amp;"12komm",Административные!$K$26:$K$103,0),2),"")=0,"",_xlfn.IFERROR(INDEX(Административные!$K$26:$L$103,MATCH($F489&amp;"12komm",Административные!$K$26:$K$103,0),2),""))</f>
        <v/>
      </c>
      <c r="BP489" s="6290"/>
      <c r="BQ489" s="1297"/>
      <c r="BR489" s="1297"/>
      <c r="BS489" s="1072" t="s">
        <v>1402</v>
      </c>
      <c r="BT489" s="1072"/>
      <c r="BU489" s="1072"/>
      <c r="BV489" s="987"/>
      <c r="BW489" s="987"/>
    </row>
    <row s="1656" customFormat="1" customHeight="1" ht="14.25">
      <c r="A490" s="1297"/>
      <c r="B490" s="986"/>
      <c r="C490" s="103"/>
      <c r="D490" s="103"/>
      <c r="E490" s="626">
        <v>15</v>
      </c>
      <c r="F490" s="50" cm="1" t="str">
        <f t="array" ref="F490:F490">OFFSET(E490,-1,1)</f>
        <v>3</v>
      </c>
      <c r="G490" s="103" t="s">
        <v>1403</v>
      </c>
      <c r="H490" s="864"/>
      <c r="I490" s="864" t="s">
        <v>2231</v>
      </c>
      <c r="J490" s="103"/>
      <c r="K490" s="374" t="s">
        <v>2231</v>
      </c>
      <c r="L490" s="988"/>
      <c r="M490" s="103"/>
      <c r="N490" s="103"/>
      <c r="O490" s="103"/>
      <c r="P490" s="103"/>
      <c r="Q490" s="103"/>
      <c r="R490" s="103"/>
      <c r="S490" s="103"/>
      <c r="T490" s="468" cm="1" t="str">
        <f t="array" ref="T490:T490">T489</f>
        <v>true</v>
      </c>
      <c r="U490" s="103"/>
      <c r="V490" s="103"/>
      <c r="W490" s="103"/>
      <c r="X490" s="1559"/>
      <c r="Y490" s="1297"/>
      <c r="Z490" s="1529"/>
      <c r="AA490" s="1297"/>
      <c r="AB490" s="296" t="s">
        <v>2232</v>
      </c>
      <c r="AC490" s="775" t="s">
        <v>1404</v>
      </c>
      <c r="AD490" s="296" t="s">
        <v>936</v>
      </c>
      <c r="AE490" s="1123">
        <f>_xlfn.SUMIFS(Административные!AE$25:AE$103,Административные!$F$25:$F$103,$F490,Административные!$G$25:$G$103,$G490)</f>
        <v>0</v>
      </c>
      <c r="AF490" s="1123">
        <f>_xlfn.SUMIFS(Административные!AF$25:AF$103,Административные!$F$25:$F$103,$F490,Административные!$G$25:$G$103,$G490)</f>
        <v>0</v>
      </c>
      <c r="AG490" s="1123">
        <f>_xlfn.SUMIFS(Административные!AG$25:AG$103,Административные!$F$25:$F$103,$F490,Административные!$G$25:$G$103,$G490)</f>
        <v>0</v>
      </c>
      <c r="AH490" s="1123">
        <f>AG490-AF490</f>
        <v>0</v>
      </c>
      <c r="AI490" s="1123">
        <f>_xlfn.SUMIFS(Административные!AH$25:AH$103,Административные!$F$25:$F$103,$F490,Административные!$G$25:$G$103,$G490)</f>
        <v>0</v>
      </c>
      <c r="AJ490" s="1123">
        <f>_xlfn.SUMIFS(Административные!AI$25:AI$103,Административные!$F$25:$F$103,$F490,Административные!$G$25:$G$103,$G490)</f>
        <v>0</v>
      </c>
      <c r="AK490" s="1124"/>
      <c r="AL490" s="1124"/>
      <c r="AM490" s="1124"/>
      <c r="AN490" s="1124"/>
      <c r="AO490" s="1124"/>
      <c r="AP490" s="1124"/>
      <c r="AQ490" s="1124"/>
      <c r="AR490" s="1124"/>
      <c r="AS490" s="1124"/>
      <c r="AT490" s="1123">
        <f>_xlfn.SUMIFS(Административные!AJ$25:AJ$103,Административные!$F$25:$F$103,$F490,Административные!$G$25:$G$103,$G490)</f>
        <v>0</v>
      </c>
      <c r="AU490" s="1124"/>
      <c r="AV490" s="1124"/>
      <c r="AW490" s="1124"/>
      <c r="AX490" s="1124"/>
      <c r="AY490" s="1124"/>
      <c r="AZ490" s="1124"/>
      <c r="BA490" s="1124"/>
      <c r="BB490" s="1124"/>
      <c r="BC490" s="1124"/>
      <c r="BD490" s="1123">
        <f>IF(AI490=0,0,(AT490-AI490)/AI490*100)</f>
        <v>0</v>
      </c>
      <c r="BE490" s="1124"/>
      <c r="BF490" s="1124"/>
      <c r="BG490" s="1124"/>
      <c r="BH490" s="1124"/>
      <c r="BI490" s="1124"/>
      <c r="BJ490" s="1124"/>
      <c r="BK490" s="1124"/>
      <c r="BL490" s="1124"/>
      <c r="BM490" s="1124"/>
      <c r="BN490" s="6290"/>
      <c r="BO490" s="6294" t="str">
        <f>IF(_xlfn.IFERROR(INDEX(Административные!$K$26:$L$103,MATCH($F490&amp;"13komm",Административные!$K$26:$K$103,0),2),"")=0,"",_xlfn.IFERROR(INDEX(Административные!$K$26:$L$103,MATCH($F490&amp;"13komm",Административные!$K$26:$K$103,0),2),""))</f>
        <v/>
      </c>
      <c r="BP490" s="6290"/>
      <c r="BQ490" s="1297"/>
      <c r="BR490" s="1297"/>
      <c r="BS490" s="1072" t="s">
        <v>1405</v>
      </c>
      <c r="BT490" s="1072"/>
      <c r="BU490" s="1072"/>
      <c r="BV490" s="987"/>
      <c r="BW490" s="987"/>
    </row>
    <row s="1656" customFormat="1" customHeight="1" ht="14.25">
      <c r="A491" s="1297"/>
      <c r="B491" s="986"/>
      <c r="C491" s="103"/>
      <c r="D491" s="103"/>
      <c r="E491" s="626">
        <v>15</v>
      </c>
      <c r="F491" s="50" cm="1" t="str">
        <f t="array" ref="F491:F491">OFFSET(E491,-1,1)</f>
        <v>3</v>
      </c>
      <c r="G491" s="103" t="s">
        <v>1406</v>
      </c>
      <c r="H491" s="864"/>
      <c r="I491" s="864" t="s">
        <v>2233</v>
      </c>
      <c r="J491" s="103"/>
      <c r="K491" s="374" t="s">
        <v>2233</v>
      </c>
      <c r="L491" s="988"/>
      <c r="M491" s="103"/>
      <c r="N491" s="103"/>
      <c r="O491" s="103"/>
      <c r="P491" s="103"/>
      <c r="Q491" s="103"/>
      <c r="R491" s="103"/>
      <c r="S491" s="103"/>
      <c r="T491" s="468" cm="1" t="str">
        <f t="array" ref="T491:T491">T490</f>
        <v>true</v>
      </c>
      <c r="U491" s="103"/>
      <c r="V491" s="103"/>
      <c r="W491" s="103"/>
      <c r="X491" s="1559"/>
      <c r="Y491" s="1297"/>
      <c r="Z491" s="1529"/>
      <c r="AA491" s="1297"/>
      <c r="AB491" s="296" t="s">
        <v>2234</v>
      </c>
      <c r="AC491" s="775" t="s">
        <v>1407</v>
      </c>
      <c r="AD491" s="296" t="s">
        <v>936</v>
      </c>
      <c r="AE491" s="794">
        <f>_xlfn.SUMIFS(Административные!AE$25:AE$103,Административные!$F$25:$F$103,$F491,Административные!$G$25:$G$103,$G491)</f>
        <v>0</v>
      </c>
      <c r="AF491" s="794">
        <f>_xlfn.SUMIFS(Административные!AF$25:AF$103,Административные!$F$25:$F$103,$F491,Административные!$G$25:$G$103,$G491)</f>
        <v>0</v>
      </c>
      <c r="AG491" s="794">
        <f>_xlfn.SUMIFS(Административные!AG$25:AG$103,Административные!$F$25:$F$103,$F491,Административные!$G$25:$G$103,$G491)</f>
        <v>0</v>
      </c>
      <c r="AH491" s="774">
        <f>AG491-AF491</f>
        <v>0</v>
      </c>
      <c r="AI491" s="794">
        <f>_xlfn.SUMIFS(Административные!AH$25:AH$103,Административные!$F$25:$F$103,$F491,Административные!$G$25:$G$103,$G491)</f>
        <v>0</v>
      </c>
      <c r="AJ491" s="794">
        <f>_xlfn.SUMIFS(Административные!AI$25:AI$103,Административные!$F$25:$F$103,$F491,Административные!$G$25:$G$103,$G491)</f>
        <v>0</v>
      </c>
      <c r="AK491" s="770"/>
      <c r="AL491" s="770"/>
      <c r="AM491" s="770"/>
      <c r="AN491" s="770"/>
      <c r="AO491" s="770"/>
      <c r="AP491" s="770"/>
      <c r="AQ491" s="770"/>
      <c r="AR491" s="770"/>
      <c r="AS491" s="770"/>
      <c r="AT491" s="794">
        <f>_xlfn.SUMIFS(Административные!AJ$25:AJ$103,Административные!$F$25:$F$103,$F491,Административные!$G$25:$G$103,$G491)</f>
        <v>0</v>
      </c>
      <c r="AU491" s="1124"/>
      <c r="AV491" s="1124"/>
      <c r="AW491" s="1124"/>
      <c r="AX491" s="1124"/>
      <c r="AY491" s="1124"/>
      <c r="AZ491" s="1124"/>
      <c r="BA491" s="1124"/>
      <c r="BB491" s="1124"/>
      <c r="BC491" s="1124"/>
      <c r="BD491" s="1123">
        <f>IF(AI491=0,0,(AT491-AI491)/AI491*100)</f>
        <v>0</v>
      </c>
      <c r="BE491" s="1124"/>
      <c r="BF491" s="1124"/>
      <c r="BG491" s="1124"/>
      <c r="BH491" s="1124"/>
      <c r="BI491" s="1124"/>
      <c r="BJ491" s="1124"/>
      <c r="BK491" s="1124"/>
      <c r="BL491" s="1124"/>
      <c r="BM491" s="1124"/>
      <c r="BN491" s="6290"/>
      <c r="BO491" s="6294" t="str">
        <f>IF(_xlfn.IFERROR(INDEX(Административные!$K$26:$L$103,MATCH($F491&amp;"14komm",Административные!$K$26:$K$103,0),2),"")=0,"",_xlfn.IFERROR(INDEX(Административные!$K$26:$L$103,MATCH($F491&amp;"14komm",Административные!$K$26:$K$103,0),2),""))</f>
        <v/>
      </c>
      <c r="BP491" s="6290"/>
      <c r="BQ491" s="1297"/>
      <c r="BR491" s="1297"/>
      <c r="BS491" s="1072" t="s">
        <v>2235</v>
      </c>
      <c r="BT491" s="1072"/>
      <c r="BU491" s="1072"/>
      <c r="BV491" s="987"/>
      <c r="BW491" s="987"/>
    </row>
    <row s="1656" customFormat="1" customHeight="1" ht="14.25">
      <c r="A492" s="1297"/>
      <c r="B492" s="986"/>
      <c r="C492" s="103"/>
      <c r="D492" s="103"/>
      <c r="E492" s="626">
        <v>15</v>
      </c>
      <c r="F492" s="50" cm="1" t="str">
        <f t="array" ref="F492:F492">OFFSET(E492,-1,1)</f>
        <v>3</v>
      </c>
      <c r="G492" s="103" t="s">
        <v>1409</v>
      </c>
      <c r="H492" s="864"/>
      <c r="I492" s="864" t="s">
        <v>2236</v>
      </c>
      <c r="J492" s="103"/>
      <c r="K492" s="374" t="s">
        <v>2236</v>
      </c>
      <c r="L492" s="988"/>
      <c r="M492" s="103"/>
      <c r="N492" s="103"/>
      <c r="O492" s="103"/>
      <c r="P492" s="103"/>
      <c r="Q492" s="103"/>
      <c r="R492" s="103"/>
      <c r="S492" s="103"/>
      <c r="T492" s="468" cm="1" t="str">
        <f t="array" ref="T492:T492">T491</f>
        <v>true</v>
      </c>
      <c r="U492" s="103"/>
      <c r="V492" s="103"/>
      <c r="W492" s="103"/>
      <c r="X492" s="1559"/>
      <c r="Y492" s="1297"/>
      <c r="Z492" s="1529"/>
      <c r="AA492" s="1297"/>
      <c r="AB492" s="296" t="s">
        <v>2237</v>
      </c>
      <c r="AC492" s="775" t="s">
        <v>1412</v>
      </c>
      <c r="AD492" s="296" t="s">
        <v>936</v>
      </c>
      <c r="AE492" s="1123">
        <f>_xlfn.SUMIFS(Административные!AE$25:AE$103,Административные!$F$25:$F$103,$F492,Административные!$G$25:$G$103,$G492)</f>
        <v>0</v>
      </c>
      <c r="AF492" s="1123">
        <f>_xlfn.SUMIFS(Административные!AF$25:AF$103,Административные!$F$25:$F$103,$F492,Административные!$G$25:$G$103,$G492)</f>
        <v>0</v>
      </c>
      <c r="AG492" s="1123">
        <f>_xlfn.SUMIFS(Административные!AG$25:AG$103,Административные!$F$25:$F$103,$F492,Административные!$G$25:$G$103,$G492)</f>
        <v>0</v>
      </c>
      <c r="AH492" s="1123">
        <f>AG492-AF492</f>
        <v>0</v>
      </c>
      <c r="AI492" s="1123">
        <f>_xlfn.SUMIFS(Административные!AH$25:AH$103,Административные!$F$25:$F$103,$F492,Административные!$G$25:$G$103,$G492)</f>
        <v>0</v>
      </c>
      <c r="AJ492" s="1123">
        <f>_xlfn.SUMIFS(Административные!AI$25:AI$103,Административные!$F$25:$F$103,$F492,Административные!$G$25:$G$103,$G492)</f>
        <v>0</v>
      </c>
      <c r="AK492" s="1124"/>
      <c r="AL492" s="1124"/>
      <c r="AM492" s="1124"/>
      <c r="AN492" s="1124"/>
      <c r="AO492" s="1124"/>
      <c r="AP492" s="1124"/>
      <c r="AQ492" s="1124"/>
      <c r="AR492" s="1124"/>
      <c r="AS492" s="1124"/>
      <c r="AT492" s="1123">
        <f>_xlfn.SUMIFS(Административные!AJ$25:AJ$103,Административные!$F$25:$F$103,$F492,Административные!$G$25:$G$103,$G492)</f>
        <v>0</v>
      </c>
      <c r="AU492" s="1124"/>
      <c r="AV492" s="1124"/>
      <c r="AW492" s="1124"/>
      <c r="AX492" s="1124"/>
      <c r="AY492" s="1124"/>
      <c r="AZ492" s="1124"/>
      <c r="BA492" s="1124"/>
      <c r="BB492" s="1124"/>
      <c r="BC492" s="1124"/>
      <c r="BD492" s="1123">
        <f>IF(AI492=0,0,(AT492-AI492)/AI492*100)</f>
        <v>0</v>
      </c>
      <c r="BE492" s="1124"/>
      <c r="BF492" s="1124"/>
      <c r="BG492" s="1124"/>
      <c r="BH492" s="1124"/>
      <c r="BI492" s="1124"/>
      <c r="BJ492" s="1124"/>
      <c r="BK492" s="1124"/>
      <c r="BL492" s="1124"/>
      <c r="BM492" s="1124"/>
      <c r="BN492" s="6290"/>
      <c r="BO492" s="6294" t="str">
        <f>IF(_xlfn.IFERROR(INDEX(Административные!$K$26:$L$103,MATCH($F492&amp;"15komm",Административные!$K$26:$K$103,0),2),"")=0,"",_xlfn.IFERROR(INDEX(Административные!$K$26:$L$103,MATCH($F492&amp;"15komm",Административные!$K$26:$K$103,0),2),""))</f>
        <v/>
      </c>
      <c r="BP492" s="6290"/>
      <c r="BQ492" s="1297"/>
      <c r="BR492" s="1297"/>
      <c r="BS492" s="1072" t="s">
        <v>1413</v>
      </c>
      <c r="BT492" s="1072"/>
      <c r="BU492" s="1072"/>
      <c r="BV492" s="987"/>
      <c r="BW492" s="987"/>
    </row>
    <row s="1656" customFormat="1" customHeight="1" ht="14.25">
      <c r="A493" s="1297"/>
      <c r="B493" s="986"/>
      <c r="C493" s="103"/>
      <c r="D493" s="103"/>
      <c r="E493" s="626">
        <v>15</v>
      </c>
      <c r="F493" s="50" cm="1" t="str">
        <f t="array" ref="F493:F493">OFFSET(E493,-1,1)</f>
        <v>3</v>
      </c>
      <c r="G493" s="103" t="s">
        <v>1414</v>
      </c>
      <c r="H493" s="864"/>
      <c r="I493" s="864" t="s">
        <v>2238</v>
      </c>
      <c r="J493" s="103"/>
      <c r="K493" s="374" t="s">
        <v>2238</v>
      </c>
      <c r="L493" s="988"/>
      <c r="M493" s="103"/>
      <c r="N493" s="103"/>
      <c r="O493" s="103"/>
      <c r="P493" s="103"/>
      <c r="Q493" s="103"/>
      <c r="R493" s="103"/>
      <c r="S493" s="103"/>
      <c r="T493" s="468" cm="1" t="str">
        <f t="array" ref="T493:T493">T492</f>
        <v>true</v>
      </c>
      <c r="U493" s="103"/>
      <c r="V493" s="103"/>
      <c r="W493" s="103"/>
      <c r="X493" s="1559"/>
      <c r="Y493" s="1297"/>
      <c r="Z493" s="1529"/>
      <c r="AA493" s="1297"/>
      <c r="AB493" s="296" t="s">
        <v>2239</v>
      </c>
      <c r="AC493" s="775" t="s">
        <v>1417</v>
      </c>
      <c r="AD493" s="296" t="s">
        <v>936</v>
      </c>
      <c r="AE493" s="1123">
        <f>_xlfn.SUMIFS(Административные!AE$25:AE$103,Административные!$F$25:$F$103,$F493,Административные!$G$25:$G$103,$G493)</f>
        <v>0</v>
      </c>
      <c r="AF493" s="1123">
        <f>_xlfn.SUMIFS(Административные!AF$25:AF$103,Административные!$F$25:$F$103,$F493,Административные!$G$25:$G$103,$G493)</f>
        <v>0</v>
      </c>
      <c r="AG493" s="1123">
        <f>_xlfn.SUMIFS(Административные!AG$25:AG$103,Административные!$F$25:$F$103,$F493,Административные!$G$25:$G$103,$G493)</f>
        <v>0</v>
      </c>
      <c r="AH493" s="1123">
        <f>AG493-AF493</f>
        <v>0</v>
      </c>
      <c r="AI493" s="1123">
        <f>_xlfn.SUMIFS(Административные!AH$25:AH$103,Административные!$F$25:$F$103,$F493,Административные!$G$25:$G$103,$G493)</f>
        <v>0</v>
      </c>
      <c r="AJ493" s="1123">
        <f>_xlfn.SUMIFS(Административные!AI$25:AI$103,Административные!$F$25:$F$103,$F493,Административные!$G$25:$G$103,$G493)</f>
        <v>0</v>
      </c>
      <c r="AK493" s="1124"/>
      <c r="AL493" s="1124"/>
      <c r="AM493" s="1124"/>
      <c r="AN493" s="1124"/>
      <c r="AO493" s="1124"/>
      <c r="AP493" s="1124"/>
      <c r="AQ493" s="1124"/>
      <c r="AR493" s="1124"/>
      <c r="AS493" s="1124"/>
      <c r="AT493" s="1123">
        <f>_xlfn.SUMIFS(Административные!AJ$25:AJ$103,Административные!$F$25:$F$103,$F493,Административные!$G$25:$G$103,$G493)</f>
        <v>0</v>
      </c>
      <c r="AU493" s="1124"/>
      <c r="AV493" s="1124"/>
      <c r="AW493" s="1124"/>
      <c r="AX493" s="1124"/>
      <c r="AY493" s="1124"/>
      <c r="AZ493" s="1124"/>
      <c r="BA493" s="1124"/>
      <c r="BB493" s="1124"/>
      <c r="BC493" s="1124"/>
      <c r="BD493" s="1123">
        <f>IF(AI493=0,0,(AT493-AI493)/AI493*100)</f>
        <v>0</v>
      </c>
      <c r="BE493" s="1124"/>
      <c r="BF493" s="1124"/>
      <c r="BG493" s="1124"/>
      <c r="BH493" s="1124"/>
      <c r="BI493" s="1124"/>
      <c r="BJ493" s="1124"/>
      <c r="BK493" s="1124"/>
      <c r="BL493" s="1124"/>
      <c r="BM493" s="1124"/>
      <c r="BN493" s="6290"/>
      <c r="BO493" s="6294" t="str">
        <f>IF(_xlfn.IFERROR(INDEX(Административные!$K$26:$L$103,MATCH($F493&amp;"16komm",Административные!$K$26:$K$103,0),2),"")=0,"",_xlfn.IFERROR(INDEX(Административные!$K$26:$L$103,MATCH($F493&amp;"16komm",Административные!$K$26:$K$103,0),2),""))</f>
        <v/>
      </c>
      <c r="BP493" s="6290"/>
      <c r="BQ493" s="1297"/>
      <c r="BR493" s="1297"/>
      <c r="BS493" s="1072" t="s">
        <v>2240</v>
      </c>
      <c r="BT493" s="1072"/>
      <c r="BU493" s="1072"/>
      <c r="BV493" s="987"/>
      <c r="BW493" s="987"/>
    </row>
    <row s="1656" customFormat="1" customHeight="1" ht="21.75">
      <c r="A494" s="1297"/>
      <c r="B494" s="986"/>
      <c r="C494" s="103"/>
      <c r="D494" s="103"/>
      <c r="E494" s="626">
        <v>22.5</v>
      </c>
      <c r="F494" s="50" cm="1" t="str">
        <f t="array" ref="F494:F494">OFFSET(E494,-1,1)</f>
        <v>3</v>
      </c>
      <c r="G494" s="103"/>
      <c r="H494" s="864"/>
      <c r="I494" s="864" t="s">
        <v>1578</v>
      </c>
      <c r="J494" s="103"/>
      <c r="K494" s="374" t="s">
        <v>1578</v>
      </c>
      <c r="L494" s="988" t="s">
        <v>1099</v>
      </c>
      <c r="M494" s="103"/>
      <c r="N494" s="103"/>
      <c r="O494" s="103"/>
      <c r="P494" s="103"/>
      <c r="Q494" s="103"/>
      <c r="R494" s="103"/>
      <c r="S494" s="103"/>
      <c r="T494" s="468" cm="1" t="str">
        <f t="array" ref="T494:T494">T493</f>
        <v>true</v>
      </c>
      <c r="U494" s="103"/>
      <c r="V494" s="103"/>
      <c r="W494" s="103"/>
      <c r="X494" s="1559"/>
      <c r="Y494" s="1297"/>
      <c r="Z494" s="1529"/>
      <c r="AA494" s="1297"/>
      <c r="AB494" s="296" t="s">
        <v>1217</v>
      </c>
      <c r="AC494" s="772" t="s">
        <v>2241</v>
      </c>
      <c r="AD494" s="296" t="s">
        <v>936</v>
      </c>
      <c r="AE494" s="1125">
        <f>AE495+AE496</f>
        <v>0</v>
      </c>
      <c r="AF494" s="1125">
        <f>AF495+AF496</f>
        <v>0</v>
      </c>
      <c r="AG494" s="1125">
        <f>AG495+AG496</f>
        <v>0</v>
      </c>
      <c r="AH494" s="1123">
        <f>AG494-AF494</f>
        <v>0</v>
      </c>
      <c r="AI494" s="1125">
        <f>AI495+AI496</f>
        <v>0</v>
      </c>
      <c r="AJ494" s="1125">
        <f>AJ495+AJ496</f>
        <v>0</v>
      </c>
      <c r="AK494" s="1124"/>
      <c r="AL494" s="1124"/>
      <c r="AM494" s="1124"/>
      <c r="AN494" s="1124"/>
      <c r="AO494" s="1124"/>
      <c r="AP494" s="1124"/>
      <c r="AQ494" s="1124"/>
      <c r="AR494" s="1124"/>
      <c r="AS494" s="1124"/>
      <c r="AT494" s="1125">
        <f>AT495+AT496</f>
        <v>0</v>
      </c>
      <c r="AU494" s="1124"/>
      <c r="AV494" s="1124"/>
      <c r="AW494" s="1124"/>
      <c r="AX494" s="1124"/>
      <c r="AY494" s="1124"/>
      <c r="AZ494" s="1124"/>
      <c r="BA494" s="1124"/>
      <c r="BB494" s="1124"/>
      <c r="BC494" s="1124"/>
      <c r="BD494" s="1123">
        <f>IF(AI494=0,0,(AT494-AI494)/AI494*100)</f>
        <v>0</v>
      </c>
      <c r="BE494" s="1124"/>
      <c r="BF494" s="1124"/>
      <c r="BG494" s="1124"/>
      <c r="BH494" s="1124"/>
      <c r="BI494" s="1124"/>
      <c r="BJ494" s="1124"/>
      <c r="BK494" s="1124"/>
      <c r="BL494" s="1124"/>
      <c r="BM494" s="1124"/>
      <c r="BN494" s="6290"/>
      <c r="BO494" s="6290"/>
      <c r="BP494" s="6290"/>
      <c r="BQ494" s="1297"/>
      <c r="BR494" s="1297"/>
      <c r="BS494" s="1070" t="s">
        <v>2055</v>
      </c>
      <c r="BT494" s="1072"/>
      <c r="BU494" s="1072"/>
      <c r="BV494" s="987"/>
      <c r="BW494" s="987"/>
    </row>
    <row s="1656" customFormat="1" customHeight="1" ht="14.25">
      <c r="A495" s="1297"/>
      <c r="B495" s="986"/>
      <c r="C495" s="103"/>
      <c r="D495" s="103"/>
      <c r="E495" s="626">
        <v>15</v>
      </c>
      <c r="F495" s="50" cm="1" t="str">
        <f t="array" ref="F495:F495">OFFSET(E495,-1,1)</f>
        <v>3</v>
      </c>
      <c r="G495" s="103" t="s">
        <v>1373</v>
      </c>
      <c r="H495" s="864"/>
      <c r="I495" s="864" t="s">
        <v>2242</v>
      </c>
      <c r="J495" s="103"/>
      <c r="K495" s="374" t="s">
        <v>2242</v>
      </c>
      <c r="L495" s="988" t="s">
        <v>602</v>
      </c>
      <c r="M495" s="103"/>
      <c r="N495" s="103"/>
      <c r="O495" s="103"/>
      <c r="P495" s="103"/>
      <c r="Q495" s="103"/>
      <c r="R495" s="103"/>
      <c r="S495" s="103"/>
      <c r="T495" s="468" cm="1" t="str">
        <f t="array" ref="T495:T495">T494</f>
        <v>true</v>
      </c>
      <c r="U495" s="103"/>
      <c r="V495" s="103"/>
      <c r="W495" s="103"/>
      <c r="X495" s="1559"/>
      <c r="Y495" s="1297"/>
      <c r="Z495" s="1529"/>
      <c r="AA495" s="1297"/>
      <c r="AB495" s="296" t="s">
        <v>2243</v>
      </c>
      <c r="AC495" s="775" t="s">
        <v>2056</v>
      </c>
      <c r="AD495" s="778" t="s">
        <v>936</v>
      </c>
      <c r="AE495" s="1123">
        <f>_xlfn.SUMIFS(ФОТ!AE$25:AE$127,ФОТ!$F$25:$F$127,$F495,ФОТ!$G$25:$G$127,$G495)</f>
        <v>0</v>
      </c>
      <c r="AF495" s="1123">
        <f>_xlfn.SUMIFS(ФОТ!AF$25:AF$127,ФОТ!$F$25:$F$127,$F495,ФОТ!$G$25:$G$127,$G495)</f>
        <v>0</v>
      </c>
      <c r="AG495" s="1123">
        <f>_xlfn.SUMIFS(ФОТ!AG$25:AG$127,ФОТ!$F$25:$F$127,$F495,ФОТ!$G$25:$G$127,$G495)</f>
        <v>0</v>
      </c>
      <c r="AH495" s="1123">
        <f>AG495-AF495</f>
        <v>0</v>
      </c>
      <c r="AI495" s="1123">
        <f>_xlfn.SUMIFS(ФОТ!AH$25:AH$127,ФОТ!$F$25:$F$127,$F495,ФОТ!$G$25:$G$127,$G495)</f>
        <v>0</v>
      </c>
      <c r="AJ495" s="1123">
        <f>_xlfn.SUMIFS(ФОТ!AI$25:AI$127,ФОТ!$F$25:$F$127,$F495,ФОТ!$G$25:$G$127,$G495)</f>
        <v>0</v>
      </c>
      <c r="AK495" s="1124"/>
      <c r="AL495" s="1124"/>
      <c r="AM495" s="1124"/>
      <c r="AN495" s="1124"/>
      <c r="AO495" s="1124"/>
      <c r="AP495" s="1124"/>
      <c r="AQ495" s="1124"/>
      <c r="AR495" s="1124"/>
      <c r="AS495" s="1124"/>
      <c r="AT495" s="1123">
        <f>_xlfn.SUMIFS(ФОТ!AJ$25:AJ$127,ФОТ!$F$25:$F$127,$F495,ФОТ!$G$25:$G$127,$G495)</f>
        <v>0</v>
      </c>
      <c r="AU495" s="1124"/>
      <c r="AV495" s="1124"/>
      <c r="AW495" s="1124"/>
      <c r="AX495" s="1124"/>
      <c r="AY495" s="1124"/>
      <c r="AZ495" s="1124"/>
      <c r="BA495" s="1124"/>
      <c r="BB495" s="1124"/>
      <c r="BC495" s="1124"/>
      <c r="BD495" s="1123">
        <f>IF(AI495=0,0,(AT495-AI495)/AI495*100)</f>
        <v>0</v>
      </c>
      <c r="BE495" s="1124"/>
      <c r="BF495" s="1124"/>
      <c r="BG495" s="1124"/>
      <c r="BH495" s="1124"/>
      <c r="BI495" s="1124"/>
      <c r="BJ495" s="1124"/>
      <c r="BK495" s="1124"/>
      <c r="BL495" s="1124"/>
      <c r="BM495" s="1124"/>
      <c r="BN495" s="6290"/>
      <c r="BO495" s="6294" t="str">
        <f>IF(_xlfn.IFERROR(INDEX(ФОТ!$K$26:$L$127,MATCH($F495&amp;"5komm",ФОТ!$K$26:$K$127,0),2),"")=0,"",_xlfn.IFERROR(INDEX(ФОТ!$K$26:$L$127,MATCH($F495&amp;"5komm",ФОТ!$K$26:$K$127,0),2),""))</f>
        <v/>
      </c>
      <c r="BP495" s="6290"/>
      <c r="BQ495" s="1297"/>
      <c r="BR495" s="1297"/>
      <c r="BS495" s="1070" t="s">
        <v>1390</v>
      </c>
      <c r="BT495" s="1072"/>
      <c r="BU495" s="1072"/>
      <c r="BV495" s="987"/>
      <c r="BW495" s="987"/>
    </row>
    <row s="1656" customFormat="1" customHeight="1" ht="21.75">
      <c r="A496" s="1297"/>
      <c r="B496" s="986"/>
      <c r="C496" s="103"/>
      <c r="D496" s="103"/>
      <c r="E496" s="626">
        <v>22.5</v>
      </c>
      <c r="F496" s="50" cm="1" t="str">
        <f t="array" ref="F496:F496">OFFSET(E496,-1,1)</f>
        <v>3</v>
      </c>
      <c r="G496" s="103" t="s">
        <v>1378</v>
      </c>
      <c r="H496" s="864"/>
      <c r="I496" s="864" t="s">
        <v>2244</v>
      </c>
      <c r="J496" s="103"/>
      <c r="K496" s="374" t="s">
        <v>2244</v>
      </c>
      <c r="L496" s="988" t="s">
        <v>607</v>
      </c>
      <c r="M496" s="103"/>
      <c r="N496" s="103"/>
      <c r="O496" s="103"/>
      <c r="P496" s="103"/>
      <c r="Q496" s="103"/>
      <c r="R496" s="103"/>
      <c r="S496" s="103"/>
      <c r="T496" s="468" cm="1" t="str">
        <f t="array" ref="T496:T496">T495</f>
        <v>true</v>
      </c>
      <c r="U496" s="103"/>
      <c r="V496" s="103"/>
      <c r="W496" s="103"/>
      <c r="X496" s="1559"/>
      <c r="Y496" s="1297"/>
      <c r="Z496" s="1529"/>
      <c r="AA496" s="1297"/>
      <c r="AB496" s="296" t="s">
        <v>2245</v>
      </c>
      <c r="AC496" s="775" t="s">
        <v>2246</v>
      </c>
      <c r="AD496" s="296" t="s">
        <v>936</v>
      </c>
      <c r="AE496" s="1123">
        <f>_xlfn.SUMIFS(ФОТ!AE$25:AE$127,ФОТ!$F$25:$F$127,$F496,ФОТ!$G$25:$G$127,$G496)</f>
        <v>0</v>
      </c>
      <c r="AF496" s="1123">
        <f>_xlfn.SUMIFS(ФОТ!AF$25:AF$127,ФОТ!$F$25:$F$127,$F496,ФОТ!$G$25:$G$127,$G496)</f>
        <v>0</v>
      </c>
      <c r="AG496" s="1123">
        <f>_xlfn.SUMIFS(ФОТ!AG$25:AG$127,ФОТ!$F$25:$F$127,$F496,ФОТ!$G$25:$G$127,$G496)</f>
        <v>0</v>
      </c>
      <c r="AH496" s="1123">
        <f>AG496-AF496</f>
        <v>0</v>
      </c>
      <c r="AI496" s="1123">
        <f>_xlfn.SUMIFS(ФОТ!AH$25:AH$127,ФОТ!$F$25:$F$127,$F496,ФОТ!$G$25:$G$127,$G496)</f>
        <v>0</v>
      </c>
      <c r="AJ496" s="1123">
        <f>_xlfn.SUMIFS(ФОТ!AI$25:AI$127,ФОТ!$F$25:$F$127,$F496,ФОТ!$G$25:$G$127,$G496)</f>
        <v>0</v>
      </c>
      <c r="AK496" s="1124"/>
      <c r="AL496" s="1124"/>
      <c r="AM496" s="1124"/>
      <c r="AN496" s="1124"/>
      <c r="AO496" s="1124"/>
      <c r="AP496" s="1124"/>
      <c r="AQ496" s="1124"/>
      <c r="AR496" s="1124"/>
      <c r="AS496" s="1124"/>
      <c r="AT496" s="1123">
        <f>_xlfn.SUMIFS(ФОТ!AJ$25:AJ$127,ФОТ!$F$25:$F$127,$F496,ФОТ!$G$25:$G$127,$G496)</f>
        <v>0</v>
      </c>
      <c r="AU496" s="1124"/>
      <c r="AV496" s="1124"/>
      <c r="AW496" s="1124"/>
      <c r="AX496" s="1124"/>
      <c r="AY496" s="1124"/>
      <c r="AZ496" s="1124"/>
      <c r="BA496" s="1124"/>
      <c r="BB496" s="1124"/>
      <c r="BC496" s="1124"/>
      <c r="BD496" s="1123">
        <f>IF(AI496=0,0,(AT496-AI496)/AI496*100)</f>
        <v>0</v>
      </c>
      <c r="BE496" s="1124"/>
      <c r="BF496" s="1124"/>
      <c r="BG496" s="1124"/>
      <c r="BH496" s="1124"/>
      <c r="BI496" s="1124"/>
      <c r="BJ496" s="1124"/>
      <c r="BK496" s="1124"/>
      <c r="BL496" s="1124"/>
      <c r="BM496" s="1124"/>
      <c r="BN496" s="6290"/>
      <c r="BO496" s="6294" t="str">
        <f>IF(_xlfn.IFERROR(INDEX(ФОТ!$K$26:$L$127,MATCH($F496&amp;"6komm",ФОТ!$K$26:$K$127,0),2),"")=0,"",_xlfn.IFERROR(INDEX(ФОТ!$K$26:$L$127,MATCH($F496&amp;"6komm",ФОТ!$K$26:$K$127,0),2),""))</f>
        <v/>
      </c>
      <c r="BP496" s="6290"/>
      <c r="BQ496" s="1297"/>
      <c r="BR496" s="1297"/>
      <c r="BS496" s="1070" t="s">
        <v>2058</v>
      </c>
      <c r="BT496" s="1072"/>
      <c r="BU496" s="1072"/>
      <c r="BV496" s="987"/>
      <c r="BW496" s="987"/>
    </row>
    <row s="1656" customFormat="1" customHeight="1" ht="32.25">
      <c r="A497" s="1297"/>
      <c r="B497" s="986"/>
      <c r="C497" s="103"/>
      <c r="D497" s="103"/>
      <c r="E497" s="626">
        <v>33.75</v>
      </c>
      <c r="F497" s="50" cm="1" t="str">
        <f t="array" ref="F497:F497">OFFSET(E497,-1,1)</f>
        <v>3</v>
      </c>
      <c r="G497" s="855" t="s">
        <v>1419</v>
      </c>
      <c r="H497" s="864"/>
      <c r="I497" s="864" t="s">
        <v>1581</v>
      </c>
      <c r="J497" s="103"/>
      <c r="K497" s="374" t="s">
        <v>1581</v>
      </c>
      <c r="L497" s="988" t="s">
        <v>1101</v>
      </c>
      <c r="M497" s="103"/>
      <c r="N497" s="103"/>
      <c r="O497" s="103"/>
      <c r="P497" s="103"/>
      <c r="Q497" s="103"/>
      <c r="R497" s="103"/>
      <c r="S497" s="103"/>
      <c r="T497" s="468" cm="1" t="str">
        <f t="array" ref="T497:T497">T496</f>
        <v>true</v>
      </c>
      <c r="U497" s="103"/>
      <c r="V497" s="103"/>
      <c r="W497" s="103"/>
      <c r="X497" s="1559"/>
      <c r="Y497" s="1297"/>
      <c r="Z497" s="1529"/>
      <c r="AA497" s="1297"/>
      <c r="AB497" s="296" t="s">
        <v>1582</v>
      </c>
      <c r="AC497" s="772" t="s">
        <v>2247</v>
      </c>
      <c r="AD497" s="296" t="s">
        <v>936</v>
      </c>
      <c r="AE497" s="1123">
        <f>_xlfn.SUMIFS(Административные!AE$25:AE$103,Административные!$F$25:$F$103,$F497,Административные!$G$25:$G$103,$G497)</f>
        <v>0</v>
      </c>
      <c r="AF497" s="1123">
        <f>_xlfn.SUMIFS(Административные!AF$25:AF$103,Административные!$F$25:$F$103,$F497,Административные!$G$25:$G$103,$G497)</f>
        <v>0</v>
      </c>
      <c r="AG497" s="1123">
        <f>_xlfn.SUMIFS(Административные!AG$25:AG$103,Административные!$F$25:$F$103,$F497,Административные!$G$25:$G$103,$G497)</f>
        <v>0</v>
      </c>
      <c r="AH497" s="1123">
        <f>AG497-AF497</f>
        <v>0</v>
      </c>
      <c r="AI497" s="1123">
        <f>_xlfn.SUMIFS(Административные!AH$25:AH$103,Административные!$F$25:$F$103,$F497,Административные!$G$25:$G$103,$G497)</f>
        <v>0</v>
      </c>
      <c r="AJ497" s="1123">
        <f>_xlfn.SUMIFS(Административные!AI$25:AI$103,Административные!$F$25:$F$103,$F497,Административные!$G$25:$G$103,$G497)</f>
        <v>0</v>
      </c>
      <c r="AK497" s="1124"/>
      <c r="AL497" s="1124"/>
      <c r="AM497" s="1124"/>
      <c r="AN497" s="1124"/>
      <c r="AO497" s="1124"/>
      <c r="AP497" s="1124"/>
      <c r="AQ497" s="1124"/>
      <c r="AR497" s="1124"/>
      <c r="AS497" s="1124"/>
      <c r="AT497" s="1123">
        <f>_xlfn.SUMIFS(Административные!AJ$25:AJ$103,Административные!$F$25:$F$103,$F497,Административные!$G$25:$G$103,$G497)</f>
        <v>0</v>
      </c>
      <c r="AU497" s="1124"/>
      <c r="AV497" s="1124"/>
      <c r="AW497" s="1124"/>
      <c r="AX497" s="1124"/>
      <c r="AY497" s="1124"/>
      <c r="AZ497" s="1124"/>
      <c r="BA497" s="1124"/>
      <c r="BB497" s="1124"/>
      <c r="BC497" s="1124"/>
      <c r="BD497" s="1123">
        <f>IF(AI497=0,0,(AT497-AI497)/AI497*100)</f>
        <v>0</v>
      </c>
      <c r="BE497" s="1124"/>
      <c r="BF497" s="1124"/>
      <c r="BG497" s="1124"/>
      <c r="BH497" s="1124"/>
      <c r="BI497" s="1124"/>
      <c r="BJ497" s="1124"/>
      <c r="BK497" s="1124"/>
      <c r="BL497" s="1124"/>
      <c r="BM497" s="1124"/>
      <c r="BN497" s="6290"/>
      <c r="BO497" s="6294" t="str">
        <f>IF(_xlfn.IFERROR(INDEX(Административные!$K$26:$L$103,MATCH($F497&amp;"2komm",Административные!$K$26:$K$103,0),2),"")=0,"",_xlfn.IFERROR(INDEX(Административные!$K$26:$L$103,MATCH($F497&amp;"2komm",Административные!$K$26:$K$103,0),2),""))</f>
        <v/>
      </c>
      <c r="BP497" s="6290"/>
      <c r="BQ497" s="1297"/>
      <c r="BR497" s="1297"/>
      <c r="BS497" s="1070" t="s">
        <v>1421</v>
      </c>
      <c r="BT497" s="1072"/>
      <c r="BU497" s="1072"/>
      <c r="BV497" s="987"/>
      <c r="BW497" s="987"/>
    </row>
    <row s="1656" customFormat="1" customHeight="1" ht="14.25">
      <c r="A498" s="1297"/>
      <c r="B498" s="986"/>
      <c r="C498" s="103"/>
      <c r="D498" s="103"/>
      <c r="E498" s="626">
        <v>15</v>
      </c>
      <c r="F498" s="50" cm="1" t="str">
        <f t="array" ref="F498:F498">OFFSET(E498,-1,1)</f>
        <v>3</v>
      </c>
      <c r="G498" s="855" t="s">
        <v>1422</v>
      </c>
      <c r="H498" s="864"/>
      <c r="I498" s="864" t="s">
        <v>1585</v>
      </c>
      <c r="J498" s="103"/>
      <c r="K498" s="374" t="s">
        <v>1585</v>
      </c>
      <c r="L498" s="988" t="s">
        <v>1103</v>
      </c>
      <c r="M498" s="103"/>
      <c r="N498" s="103"/>
      <c r="O498" s="103"/>
      <c r="P498" s="103"/>
      <c r="Q498" s="103"/>
      <c r="R498" s="103"/>
      <c r="S498" s="103"/>
      <c r="T498" s="468" cm="1" t="str">
        <f t="array" ref="T498:T498">T497</f>
        <v>true</v>
      </c>
      <c r="U498" s="103"/>
      <c r="V498" s="103"/>
      <c r="W498" s="103"/>
      <c r="X498" s="1559"/>
      <c r="Y498" s="1297"/>
      <c r="Z498" s="1529"/>
      <c r="AA498" s="1297"/>
      <c r="AB498" s="296" t="s">
        <v>1586</v>
      </c>
      <c r="AC498" s="772" t="s">
        <v>2248</v>
      </c>
      <c r="AD498" s="296" t="s">
        <v>936</v>
      </c>
      <c r="AE498" s="1123">
        <f>_xlfn.SUMIFS(Административные!AE$25:AE$103,Административные!$F$25:$F$103,$F498,Административные!$G$25:$G$103,$G498)</f>
        <v>0</v>
      </c>
      <c r="AF498" s="1123">
        <f>_xlfn.SUMIFS(Административные!AF$25:AF$103,Административные!$F$25:$F$103,$F498,Административные!$G$25:$G$103,$G498)</f>
        <v>0</v>
      </c>
      <c r="AG498" s="1123">
        <f>_xlfn.SUMIFS(Административные!AG$25:AG$103,Административные!$F$25:$F$103,$F498,Административные!$G$25:$G$103,$G498)</f>
        <v>0</v>
      </c>
      <c r="AH498" s="1123">
        <f>AG498-AF498</f>
        <v>0</v>
      </c>
      <c r="AI498" s="1123">
        <f>_xlfn.SUMIFS(Административные!AH$25:AH$103,Административные!$F$25:$F$103,$F498,Административные!$G$25:$G$103,$G498)</f>
        <v>0</v>
      </c>
      <c r="AJ498" s="1123">
        <f>_xlfn.SUMIFS(Административные!AI$25:AI$103,Административные!$F$25:$F$103,$F498,Административные!$G$25:$G$103,$G498)</f>
        <v>0</v>
      </c>
      <c r="AK498" s="1124"/>
      <c r="AL498" s="1124"/>
      <c r="AM498" s="1124"/>
      <c r="AN498" s="1124"/>
      <c r="AO498" s="1124"/>
      <c r="AP498" s="1124"/>
      <c r="AQ498" s="1124"/>
      <c r="AR498" s="1124"/>
      <c r="AS498" s="1124"/>
      <c r="AT498" s="1123">
        <f>_xlfn.SUMIFS(Административные!AJ$25:AJ$103,Административные!$F$25:$F$103,$F498,Административные!$G$25:$G$103,$G498)</f>
        <v>0</v>
      </c>
      <c r="AU498" s="1124"/>
      <c r="AV498" s="1124"/>
      <c r="AW498" s="1124"/>
      <c r="AX498" s="1124"/>
      <c r="AY498" s="1124"/>
      <c r="AZ498" s="1124"/>
      <c r="BA498" s="1124"/>
      <c r="BB498" s="1124"/>
      <c r="BC498" s="1124"/>
      <c r="BD498" s="1123">
        <f>IF(AI498=0,0,(AT498-AI498)/AI498*100)</f>
        <v>0</v>
      </c>
      <c r="BE498" s="1124"/>
      <c r="BF498" s="1124"/>
      <c r="BG498" s="1124"/>
      <c r="BH498" s="1124"/>
      <c r="BI498" s="1124"/>
      <c r="BJ498" s="1124"/>
      <c r="BK498" s="1124"/>
      <c r="BL498" s="1124"/>
      <c r="BM498" s="1124"/>
      <c r="BN498" s="6290"/>
      <c r="BO498" s="6294" t="str">
        <f>IF(_xlfn.IFERROR(INDEX(Административные!$K$26:$L$103,MATCH($F498&amp;"3komm",Административные!$K$26:$K$103,0),2),"")=0,"",_xlfn.IFERROR(INDEX(Административные!$K$26:$L$103,MATCH($F498&amp;"3komm",Административные!$K$26:$K$103,0),2),""))</f>
        <v/>
      </c>
      <c r="BP498" s="6290"/>
      <c r="BQ498" s="1297"/>
      <c r="BR498" s="1297"/>
      <c r="BS498" s="1070" t="s">
        <v>1424</v>
      </c>
      <c r="BT498" s="1072"/>
      <c r="BU498" s="1072"/>
      <c r="BV498" s="987"/>
      <c r="BW498" s="987"/>
    </row>
    <row s="1656" customFormat="1" customHeight="1" ht="14.25">
      <c r="A499" s="1297"/>
      <c r="B499" s="986"/>
      <c r="C499" s="103"/>
      <c r="D499" s="103"/>
      <c r="E499" s="626">
        <v>15</v>
      </c>
      <c r="F499" s="50" cm="1" t="str">
        <f t="array" ref="F499:F499">OFFSET(E499,-1,1)</f>
        <v>3</v>
      </c>
      <c r="G499" s="855" t="s">
        <v>1425</v>
      </c>
      <c r="H499" s="864"/>
      <c r="I499" s="864" t="s">
        <v>2249</v>
      </c>
      <c r="J499" s="103"/>
      <c r="K499" s="374" t="s">
        <v>2249</v>
      </c>
      <c r="L499" s="988" t="s">
        <v>1106</v>
      </c>
      <c r="M499" s="103"/>
      <c r="N499" s="103"/>
      <c r="O499" s="103"/>
      <c r="P499" s="103"/>
      <c r="Q499" s="103"/>
      <c r="R499" s="103"/>
      <c r="S499" s="103"/>
      <c r="T499" s="468" cm="1" t="str">
        <f t="array" ref="T499:T499">T498</f>
        <v>true</v>
      </c>
      <c r="U499" s="103"/>
      <c r="V499" s="103"/>
      <c r="W499" s="103"/>
      <c r="X499" s="1559"/>
      <c r="Y499" s="1297"/>
      <c r="Z499" s="1529"/>
      <c r="AA499" s="1297"/>
      <c r="AB499" s="296" t="s">
        <v>2250</v>
      </c>
      <c r="AC499" s="772" t="s">
        <v>2251</v>
      </c>
      <c r="AD499" s="296" t="s">
        <v>936</v>
      </c>
      <c r="AE499" s="1123">
        <f>_xlfn.SUMIFS(Административные!AE$25:AE$103,Административные!$F$25:$F$103,$F499,Административные!$G$25:$G$103,$G499)</f>
        <v>0</v>
      </c>
      <c r="AF499" s="1123">
        <f>_xlfn.SUMIFS(Административные!AF$25:AF$103,Административные!$F$25:$F$103,$F499,Административные!$G$25:$G$103,$G499)</f>
        <v>0</v>
      </c>
      <c r="AG499" s="1123">
        <f>_xlfn.SUMIFS(Административные!AG$25:AG$103,Административные!$F$25:$F$103,$F499,Административные!$G$25:$G$103,$G499)</f>
        <v>0</v>
      </c>
      <c r="AH499" s="1123">
        <f>AG499-AF499</f>
        <v>0</v>
      </c>
      <c r="AI499" s="1123">
        <f>_xlfn.SUMIFS(Административные!AH$25:AH$103,Административные!$F$25:$F$103,$F499,Административные!$G$25:$G$103,$G499)</f>
        <v>0</v>
      </c>
      <c r="AJ499" s="1123">
        <f>_xlfn.SUMIFS(Административные!AI$25:AI$103,Административные!$F$25:$F$103,$F499,Административные!$G$25:$G$103,$G499)</f>
        <v>0</v>
      </c>
      <c r="AK499" s="1124"/>
      <c r="AL499" s="1124"/>
      <c r="AM499" s="1124"/>
      <c r="AN499" s="1124"/>
      <c r="AO499" s="1124"/>
      <c r="AP499" s="1124"/>
      <c r="AQ499" s="1124"/>
      <c r="AR499" s="1124"/>
      <c r="AS499" s="1124"/>
      <c r="AT499" s="1123">
        <f>_xlfn.SUMIFS(Административные!AJ$25:AJ$103,Административные!$F$25:$F$103,$F499,Административные!$G$25:$G$103,$G499)</f>
        <v>0</v>
      </c>
      <c r="AU499" s="1124"/>
      <c r="AV499" s="1124"/>
      <c r="AW499" s="1124"/>
      <c r="AX499" s="1124"/>
      <c r="AY499" s="1124"/>
      <c r="AZ499" s="1124"/>
      <c r="BA499" s="1124"/>
      <c r="BB499" s="1124"/>
      <c r="BC499" s="1124"/>
      <c r="BD499" s="1123">
        <f>IF(AI499=0,0,(AT499-AI499)/AI499*100)</f>
        <v>0</v>
      </c>
      <c r="BE499" s="1124"/>
      <c r="BF499" s="1124"/>
      <c r="BG499" s="1124"/>
      <c r="BH499" s="1124"/>
      <c r="BI499" s="1124"/>
      <c r="BJ499" s="1124"/>
      <c r="BK499" s="1124"/>
      <c r="BL499" s="1124"/>
      <c r="BM499" s="1124"/>
      <c r="BN499" s="6290"/>
      <c r="BO499" s="6294" t="str">
        <f>IF(_xlfn.IFERROR(INDEX(Административные!$K$26:$L$103,MATCH($F499&amp;"4komm",Административные!$K$26:$K$103,0),2),"")=0,"",_xlfn.IFERROR(INDEX(Административные!$K$26:$L$103,MATCH($F499&amp;"4komm",Административные!$K$26:$K$103,0),2),""))</f>
        <v/>
      </c>
      <c r="BP499" s="6290"/>
      <c r="BQ499" s="1297"/>
      <c r="BR499" s="1297"/>
      <c r="BS499" s="1070" t="s">
        <v>1427</v>
      </c>
      <c r="BT499" s="1072"/>
      <c r="BU499" s="1072"/>
      <c r="BV499" s="987"/>
      <c r="BW499" s="987"/>
    </row>
    <row s="1656" customFormat="1" customHeight="1" ht="14.25">
      <c r="A500" s="1297"/>
      <c r="B500" s="986"/>
      <c r="C500" s="103"/>
      <c r="D500" s="103"/>
      <c r="E500" s="626">
        <v>15</v>
      </c>
      <c r="F500" s="50" cm="1" t="str">
        <f t="array" ref="F500:F500">OFFSET(E500,-1,1)</f>
        <v>3</v>
      </c>
      <c r="G500" s="855" t="s">
        <v>1428</v>
      </c>
      <c r="H500" s="864"/>
      <c r="I500" s="864" t="s">
        <v>2252</v>
      </c>
      <c r="J500" s="103"/>
      <c r="K500" s="374" t="s">
        <v>2252</v>
      </c>
      <c r="L500" s="988" t="s">
        <v>1410</v>
      </c>
      <c r="M500" s="103"/>
      <c r="N500" s="103"/>
      <c r="O500" s="103"/>
      <c r="P500" s="103"/>
      <c r="Q500" s="103"/>
      <c r="R500" s="103"/>
      <c r="S500" s="103"/>
      <c r="T500" s="468" cm="1" t="str">
        <f t="array" ref="T500:T500">T499</f>
        <v>true</v>
      </c>
      <c r="U500" s="103"/>
      <c r="V500" s="103"/>
      <c r="W500" s="103"/>
      <c r="X500" s="1559"/>
      <c r="Y500" s="1297"/>
      <c r="Z500" s="1529"/>
      <c r="AA500" s="1297"/>
      <c r="AB500" s="296" t="s">
        <v>2253</v>
      </c>
      <c r="AC500" s="772" t="s">
        <v>2254</v>
      </c>
      <c r="AD500" s="296" t="s">
        <v>936</v>
      </c>
      <c r="AE500" s="1123">
        <f>_xlfn.SUMIFS(Административные!AE$25:AE$103,Административные!$F$25:$F$103,$F500,Административные!$G$25:$G$103,$G500)</f>
        <v>0</v>
      </c>
      <c r="AF500" s="1123">
        <f>_xlfn.SUMIFS(Административные!AF$25:AF$103,Административные!$F$25:$F$103,$F500,Административные!$G$25:$G$103,$G500)</f>
        <v>0</v>
      </c>
      <c r="AG500" s="1123">
        <f>_xlfn.SUMIFS(Административные!AG$25:AG$103,Административные!$F$25:$F$103,$F500,Административные!$G$25:$G$103,$G500)</f>
        <v>0</v>
      </c>
      <c r="AH500" s="1123">
        <f>AG500-AF500</f>
        <v>0</v>
      </c>
      <c r="AI500" s="1123">
        <f>_xlfn.SUMIFS(Административные!AH$25:AH$103,Административные!$F$25:$F$103,$F500,Административные!$G$25:$G$103,$G500)</f>
        <v>0</v>
      </c>
      <c r="AJ500" s="1123">
        <f>_xlfn.SUMIFS(Административные!AI$25:AI$103,Административные!$F$25:$F$103,$F500,Административные!$G$25:$G$103,$G500)</f>
        <v>0</v>
      </c>
      <c r="AK500" s="1124"/>
      <c r="AL500" s="1124"/>
      <c r="AM500" s="1124"/>
      <c r="AN500" s="1124"/>
      <c r="AO500" s="1124"/>
      <c r="AP500" s="1124"/>
      <c r="AQ500" s="1124"/>
      <c r="AR500" s="1124"/>
      <c r="AS500" s="1124"/>
      <c r="AT500" s="1123">
        <f>_xlfn.SUMIFS(Административные!AJ$25:AJ$103,Административные!$F$25:$F$103,$F500,Административные!$G$25:$G$103,$G500)</f>
        <v>0</v>
      </c>
      <c r="AU500" s="1124"/>
      <c r="AV500" s="1124"/>
      <c r="AW500" s="1124"/>
      <c r="AX500" s="1124"/>
      <c r="AY500" s="1124"/>
      <c r="AZ500" s="1124"/>
      <c r="BA500" s="1124"/>
      <c r="BB500" s="1124"/>
      <c r="BC500" s="1124"/>
      <c r="BD500" s="1123">
        <f>IF(AI500=0,0,(AT500-AI500)/AI500*100)</f>
        <v>0</v>
      </c>
      <c r="BE500" s="1124"/>
      <c r="BF500" s="1124"/>
      <c r="BG500" s="1124"/>
      <c r="BH500" s="1124"/>
      <c r="BI500" s="1124"/>
      <c r="BJ500" s="1124"/>
      <c r="BK500" s="1124"/>
      <c r="BL500" s="1124"/>
      <c r="BM500" s="1124"/>
      <c r="BN500" s="6290"/>
      <c r="BO500" s="6294" t="str">
        <f>IF(_xlfn.IFERROR(INDEX(Административные!$K$26:$L$103,MATCH($F500&amp;"5komm",Административные!$K$26:$K$103,0),2),"")=0,"",_xlfn.IFERROR(INDEX(Административные!$K$26:$L$103,MATCH($F500&amp;"5komm",Административные!$K$26:$K$103,0),2),""))</f>
        <v/>
      </c>
      <c r="BP500" s="6290"/>
      <c r="BQ500" s="1297"/>
      <c r="BR500" s="1297"/>
      <c r="BS500" s="1070" t="s">
        <v>2060</v>
      </c>
      <c r="BT500" s="1072"/>
      <c r="BU500" s="1072"/>
      <c r="BV500" s="987"/>
      <c r="BW500" s="987"/>
    </row>
    <row s="1656" customFormat="1" customHeight="1" ht="14.25">
      <c r="A501" s="1297"/>
      <c r="B501" s="986"/>
      <c r="C501" s="103"/>
      <c r="D501" s="103"/>
      <c r="E501" s="626">
        <v>15</v>
      </c>
      <c r="F501" s="50" cm="1" t="str">
        <f t="array" ref="F501:F501">OFFSET(E501,-1,1)</f>
        <v>3</v>
      </c>
      <c r="G501" s="855" t="s">
        <v>1431</v>
      </c>
      <c r="H501" s="864"/>
      <c r="I501" s="864" t="s">
        <v>2255</v>
      </c>
      <c r="J501" s="103"/>
      <c r="K501" s="374" t="s">
        <v>2255</v>
      </c>
      <c r="L501" s="988" t="s">
        <v>1415</v>
      </c>
      <c r="M501" s="103"/>
      <c r="N501" s="103"/>
      <c r="O501" s="103"/>
      <c r="P501" s="103"/>
      <c r="Q501" s="103"/>
      <c r="R501" s="103"/>
      <c r="S501" s="103"/>
      <c r="T501" s="468" cm="1" t="str">
        <f t="array" ref="T501:T501">T500</f>
        <v>true</v>
      </c>
      <c r="U501" s="103"/>
      <c r="V501" s="103"/>
      <c r="W501" s="103"/>
      <c r="X501" s="1559"/>
      <c r="Y501" s="1297"/>
      <c r="Z501" s="1529"/>
      <c r="AA501" s="1297"/>
      <c r="AB501" s="296" t="s">
        <v>2256</v>
      </c>
      <c r="AC501" s="772" t="s">
        <v>2257</v>
      </c>
      <c r="AD501" s="296" t="s">
        <v>936</v>
      </c>
      <c r="AE501" s="1123">
        <f>_xlfn.SUMIFS(Административные!AE$25:AE$103,Административные!$F$25:$F$103,$F501,Административные!$G$25:$G$103,$G501)</f>
        <v>0</v>
      </c>
      <c r="AF501" s="1123">
        <f>_xlfn.SUMIFS(Административные!AF$25:AF$103,Административные!$F$25:$F$103,$F501,Административные!$G$25:$G$103,$G501)</f>
        <v>0</v>
      </c>
      <c r="AG501" s="1123">
        <f>_xlfn.SUMIFS(Административные!AG$25:AG$103,Административные!$F$25:$F$103,$F501,Административные!$G$25:$G$103,$G501)</f>
        <v>0</v>
      </c>
      <c r="AH501" s="1123">
        <f>AG501-AF501</f>
        <v>0</v>
      </c>
      <c r="AI501" s="1123">
        <f>_xlfn.SUMIFS(Административные!AH$25:AH$103,Административные!$F$25:$F$103,$F501,Административные!$G$25:$G$103,$G501)</f>
        <v>0</v>
      </c>
      <c r="AJ501" s="1123">
        <f>_xlfn.SUMIFS(Административные!AI$25:AI$103,Административные!$F$25:$F$103,$F501,Административные!$G$25:$G$103,$G501)</f>
        <v>0</v>
      </c>
      <c r="AK501" s="1124"/>
      <c r="AL501" s="1124"/>
      <c r="AM501" s="1124"/>
      <c r="AN501" s="1124"/>
      <c r="AO501" s="1124"/>
      <c r="AP501" s="1124"/>
      <c r="AQ501" s="1124"/>
      <c r="AR501" s="1124"/>
      <c r="AS501" s="1124"/>
      <c r="AT501" s="1123">
        <f>_xlfn.SUMIFS(Административные!AJ$25:AJ$103,Административные!$F$25:$F$103,$F501,Административные!$G$25:$G$103,$G501)</f>
        <v>0</v>
      </c>
      <c r="AU501" s="1124"/>
      <c r="AV501" s="1124"/>
      <c r="AW501" s="1124"/>
      <c r="AX501" s="1124"/>
      <c r="AY501" s="1124"/>
      <c r="AZ501" s="1124"/>
      <c r="BA501" s="1124"/>
      <c r="BB501" s="1124"/>
      <c r="BC501" s="1124"/>
      <c r="BD501" s="1123">
        <f>IF(AI501=0,0,(AT501-AI501)/AI501*100)</f>
        <v>0</v>
      </c>
      <c r="BE501" s="1124"/>
      <c r="BF501" s="1124"/>
      <c r="BG501" s="1124"/>
      <c r="BH501" s="1124"/>
      <c r="BI501" s="1124"/>
      <c r="BJ501" s="1124"/>
      <c r="BK501" s="1124"/>
      <c r="BL501" s="1124"/>
      <c r="BM501" s="1124"/>
      <c r="BN501" s="6290"/>
      <c r="BO501" s="6294" t="str">
        <f>IF(_xlfn.IFERROR(INDEX(Административные!$K$26:$L$103,MATCH($F501&amp;"6komm",Административные!$K$26:$K$103,0),2),"")=0,"",_xlfn.IFERROR(INDEX(Административные!$K$26:$L$103,MATCH($F501&amp;"6komm",Административные!$K$26:$K$103,0),2),""))</f>
        <v/>
      </c>
      <c r="BP501" s="6290"/>
      <c r="BQ501" s="1297"/>
      <c r="BR501" s="1297"/>
      <c r="BS501" s="1070" t="s">
        <v>2062</v>
      </c>
      <c r="BT501" s="1072"/>
      <c r="BU501" s="1072"/>
      <c r="BV501" s="987"/>
      <c r="BW501" s="987"/>
    </row>
    <row s="1656" customFormat="1" customHeight="1" ht="14.25">
      <c r="A502" s="1297"/>
      <c r="B502" s="986"/>
      <c r="C502" s="103"/>
      <c r="D502" s="103"/>
      <c r="E502" s="626">
        <v>15</v>
      </c>
      <c r="F502" s="50" cm="1" t="str">
        <f t="array" ref="F502:F502">OFFSET(E502,-1,1)</f>
        <v>3</v>
      </c>
      <c r="G502" s="855" t="s">
        <v>1433</v>
      </c>
      <c r="H502" s="864"/>
      <c r="I502" s="864" t="s">
        <v>2258</v>
      </c>
      <c r="J502" s="103"/>
      <c r="K502" s="374" t="s">
        <v>2258</v>
      </c>
      <c r="L502" s="988" t="s">
        <v>2063</v>
      </c>
      <c r="M502" s="103"/>
      <c r="N502" s="103"/>
      <c r="O502" s="103"/>
      <c r="P502" s="103"/>
      <c r="Q502" s="103"/>
      <c r="R502" s="103"/>
      <c r="S502" s="103"/>
      <c r="T502" s="468" cm="1" t="str">
        <f t="array" ref="T502:T502">T501</f>
        <v>true</v>
      </c>
      <c r="U502" s="103"/>
      <c r="V502" s="103"/>
      <c r="W502" s="103"/>
      <c r="X502" s="1559"/>
      <c r="Y502" s="1297"/>
      <c r="Z502" s="1529"/>
      <c r="AA502" s="1297"/>
      <c r="AB502" s="296" t="s">
        <v>2259</v>
      </c>
      <c r="AC502" s="775" t="s">
        <v>2065</v>
      </c>
      <c r="AD502" s="296" t="s">
        <v>936</v>
      </c>
      <c r="AE502" s="1123">
        <f>_xlfn.SUMIFS(Административные!AE$25:AE$103,Административные!$F$25:$F$103,$F502,Административные!$G$25:$G$103,$G502)</f>
        <v>0</v>
      </c>
      <c r="AF502" s="1123">
        <f>_xlfn.SUMIFS(Административные!AF$25:AF$103,Административные!$F$25:$F$103,$F502,Административные!$G$25:$G$103,$G502)</f>
        <v>0</v>
      </c>
      <c r="AG502" s="1123">
        <f>_xlfn.SUMIFS(Административные!AG$25:AG$103,Административные!$F$25:$F$103,$F502,Административные!$G$25:$G$103,$G502)</f>
        <v>0</v>
      </c>
      <c r="AH502" s="1123">
        <f>AG502-AF502</f>
        <v>0</v>
      </c>
      <c r="AI502" s="1123">
        <f>_xlfn.SUMIFS(Административные!AH$25:AH$103,Административные!$F$25:$F$103,$F502,Административные!$G$25:$G$103,$G502)</f>
        <v>0</v>
      </c>
      <c r="AJ502" s="1123">
        <f>_xlfn.SUMIFS(Административные!AI$25:AI$103,Административные!$F$25:$F$103,$F502,Административные!$G$25:$G$103,$G502)</f>
        <v>0</v>
      </c>
      <c r="AK502" s="1124"/>
      <c r="AL502" s="1124"/>
      <c r="AM502" s="1124"/>
      <c r="AN502" s="1124"/>
      <c r="AO502" s="1124"/>
      <c r="AP502" s="1124"/>
      <c r="AQ502" s="1124"/>
      <c r="AR502" s="1124"/>
      <c r="AS502" s="1124"/>
      <c r="AT502" s="1123">
        <f>_xlfn.SUMIFS(Административные!AJ$25:AJ$103,Административные!$F$25:$F$103,$F502,Административные!$G$25:$G$103,$G502)</f>
        <v>0</v>
      </c>
      <c r="AU502" s="1124"/>
      <c r="AV502" s="1124"/>
      <c r="AW502" s="1124"/>
      <c r="AX502" s="1124"/>
      <c r="AY502" s="1124"/>
      <c r="AZ502" s="1124"/>
      <c r="BA502" s="1124"/>
      <c r="BB502" s="1124"/>
      <c r="BC502" s="1124"/>
      <c r="BD502" s="1123">
        <f>IF(AI502=0,0,(AT502-AI502)/AI502*100)</f>
        <v>0</v>
      </c>
      <c r="BE502" s="1124"/>
      <c r="BF502" s="1124"/>
      <c r="BG502" s="1124"/>
      <c r="BH502" s="1124"/>
      <c r="BI502" s="1124"/>
      <c r="BJ502" s="1124"/>
      <c r="BK502" s="1124"/>
      <c r="BL502" s="1124"/>
      <c r="BM502" s="1124"/>
      <c r="BN502" s="6290"/>
      <c r="BO502" s="6294" t="str">
        <f>IF(_xlfn.IFERROR(INDEX(Административные!$K$26:$L$103,MATCH($F502&amp;"7komm",Административные!$K$26:$K$103,0),2),"")=0,"",_xlfn.IFERROR(INDEX(Административные!$K$26:$L$103,MATCH($F502&amp;"7komm",Административные!$K$26:$K$103,0),2),""))</f>
        <v/>
      </c>
      <c r="BP502" s="6290"/>
      <c r="BQ502" s="1297"/>
      <c r="BR502" s="1297"/>
      <c r="BS502" s="1070" t="s">
        <v>2066</v>
      </c>
      <c r="BT502" s="1072"/>
      <c r="BU502" s="1072"/>
      <c r="BV502" s="987"/>
      <c r="BW502" s="987"/>
    </row>
    <row s="1656" customFormat="1" customHeight="1" ht="14.25">
      <c r="A503" s="1297"/>
      <c r="B503" s="986"/>
      <c r="C503" s="103"/>
      <c r="D503" s="103"/>
      <c r="E503" s="626">
        <v>15</v>
      </c>
      <c r="F503" s="50" cm="1" t="str">
        <f t="array" ref="F503:F503">OFFSET(E503,-1,1)</f>
        <v>3</v>
      </c>
      <c r="G503" s="855" t="s">
        <v>1436</v>
      </c>
      <c r="H503" s="864"/>
      <c r="I503" s="864" t="s">
        <v>2260</v>
      </c>
      <c r="J503" s="103"/>
      <c r="K503" s="374" t="s">
        <v>2260</v>
      </c>
      <c r="L503" s="988" t="s">
        <v>2067</v>
      </c>
      <c r="M503" s="103"/>
      <c r="N503" s="103"/>
      <c r="O503" s="103"/>
      <c r="P503" s="103"/>
      <c r="Q503" s="103"/>
      <c r="R503" s="103"/>
      <c r="S503" s="103"/>
      <c r="T503" s="468" cm="1" t="str">
        <f t="array" ref="T503:T503">T502</f>
        <v>true</v>
      </c>
      <c r="U503" s="103"/>
      <c r="V503" s="103"/>
      <c r="W503" s="103"/>
      <c r="X503" s="1559"/>
      <c r="Y503" s="1297"/>
      <c r="Z503" s="1529"/>
      <c r="AA503" s="1297"/>
      <c r="AB503" s="296" t="s">
        <v>2261</v>
      </c>
      <c r="AC503" s="775" t="s">
        <v>1437</v>
      </c>
      <c r="AD503" s="296" t="s">
        <v>936</v>
      </c>
      <c r="AE503" s="1123">
        <f>_xlfn.SUMIFS(Административные!AE$25:AE$103,Административные!$F$25:$F$103,$F503,Административные!$G$25:$G$103,$G503)</f>
        <v>0</v>
      </c>
      <c r="AF503" s="1123">
        <f>_xlfn.SUMIFS(Административные!AF$25:AF$103,Административные!$F$25:$F$103,$F503,Административные!$G$25:$G$103,$G503)</f>
        <v>0</v>
      </c>
      <c r="AG503" s="1123">
        <f>_xlfn.SUMIFS(Административные!AG$25:AG$103,Административные!$F$25:$F$103,$F503,Административные!$G$25:$G$103,$G503)</f>
        <v>0</v>
      </c>
      <c r="AH503" s="1123">
        <f>AG503-AF503</f>
        <v>0</v>
      </c>
      <c r="AI503" s="1123">
        <f>_xlfn.SUMIFS(Административные!AH$25:AH$103,Административные!$F$25:$F$103,$F503,Административные!$G$25:$G$103,$G503)</f>
        <v>0</v>
      </c>
      <c r="AJ503" s="1123">
        <f>_xlfn.SUMIFS(Административные!AI$25:AI$103,Административные!$F$25:$F$103,$F503,Административные!$G$25:$G$103,$G503)</f>
        <v>0</v>
      </c>
      <c r="AK503" s="1124"/>
      <c r="AL503" s="1124"/>
      <c r="AM503" s="1124"/>
      <c r="AN503" s="1124"/>
      <c r="AO503" s="1124"/>
      <c r="AP503" s="1124"/>
      <c r="AQ503" s="1124"/>
      <c r="AR503" s="1124"/>
      <c r="AS503" s="1124"/>
      <c r="AT503" s="1123">
        <f>_xlfn.SUMIFS(Административные!AJ$25:AJ$103,Административные!$F$25:$F$103,$F503,Административные!$G$25:$G$103,$G503)</f>
        <v>0</v>
      </c>
      <c r="AU503" s="1124"/>
      <c r="AV503" s="1124"/>
      <c r="AW503" s="1124"/>
      <c r="AX503" s="1124"/>
      <c r="AY503" s="1124"/>
      <c r="AZ503" s="1124"/>
      <c r="BA503" s="1124"/>
      <c r="BB503" s="1124"/>
      <c r="BC503" s="1124"/>
      <c r="BD503" s="1123">
        <f>IF(AI503=0,0,(AT503-AI503)/AI503*100)</f>
        <v>0</v>
      </c>
      <c r="BE503" s="1124"/>
      <c r="BF503" s="1124"/>
      <c r="BG503" s="1124"/>
      <c r="BH503" s="1124"/>
      <c r="BI503" s="1124"/>
      <c r="BJ503" s="1124"/>
      <c r="BK503" s="1124"/>
      <c r="BL503" s="1124"/>
      <c r="BM503" s="1124"/>
      <c r="BN503" s="6290"/>
      <c r="BO503" s="6294" t="str">
        <f>IF(_xlfn.IFERROR(INDEX(Административные!$K$26:$L$103,MATCH($F503&amp;"8komm",Административные!$K$26:$K$103,0),2),"")=0,"",_xlfn.IFERROR(INDEX(Административные!$K$26:$L$103,MATCH($F503&amp;"8komm",Административные!$K$26:$K$103,0),2),""))</f>
        <v/>
      </c>
      <c r="BP503" s="6290"/>
      <c r="BQ503" s="1297"/>
      <c r="BR503" s="1297"/>
      <c r="BS503" s="1070" t="s">
        <v>2069</v>
      </c>
      <c r="BT503" s="1072"/>
      <c r="BU503" s="1072"/>
      <c r="BV503" s="987"/>
      <c r="BW503" s="987"/>
    </row>
    <row s="1656" customFormat="1" customHeight="1" ht="14.25">
      <c r="A504" s="1297"/>
      <c r="B504" s="986"/>
      <c r="C504" s="103"/>
      <c r="D504" s="103"/>
      <c r="E504" s="626">
        <v>15</v>
      </c>
      <c r="F504" s="50" cm="1" t="str">
        <f t="array" ref="F504:F504">OFFSET(E504,-1,1)</f>
        <v>3</v>
      </c>
      <c r="G504" s="103" t="s">
        <v>1439</v>
      </c>
      <c r="H504" s="864"/>
      <c r="I504" s="864" t="s">
        <v>2262</v>
      </c>
      <c r="J504" s="103"/>
      <c r="K504" s="374" t="s">
        <v>2262</v>
      </c>
      <c r="L504" s="988" t="s">
        <v>2070</v>
      </c>
      <c r="M504" s="103"/>
      <c r="N504" s="103"/>
      <c r="O504" s="103"/>
      <c r="P504" s="103"/>
      <c r="Q504" s="103"/>
      <c r="R504" s="103"/>
      <c r="S504" s="103"/>
      <c r="T504" s="468" cm="1" t="str">
        <f t="array" ref="T504:T504">T503</f>
        <v>true</v>
      </c>
      <c r="U504" s="103"/>
      <c r="V504" s="103"/>
      <c r="W504" s="103"/>
      <c r="X504" s="1559"/>
      <c r="Y504" s="1297"/>
      <c r="Z504" s="1529"/>
      <c r="AA504" s="1297"/>
      <c r="AB504" s="296" t="s">
        <v>2263</v>
      </c>
      <c r="AC504" s="775" t="s">
        <v>1440</v>
      </c>
      <c r="AD504" s="296" t="s">
        <v>936</v>
      </c>
      <c r="AE504" s="1123">
        <f>_xlfn.SUMIFS(Административные!AE$25:AE$103,Административные!$F$25:$F$103,$F504,Административные!$G$25:$G$103,$G504)</f>
        <v>0</v>
      </c>
      <c r="AF504" s="1123">
        <f>_xlfn.SUMIFS(Административные!AF$25:AF$103,Административные!$F$25:$F$103,$F504,Административные!$G$25:$G$103,$G504)</f>
        <v>0</v>
      </c>
      <c r="AG504" s="1123">
        <f>_xlfn.SUMIFS(Административные!AG$25:AG$103,Административные!$F$25:$F$103,$F504,Административные!$G$25:$G$103,$G504)</f>
        <v>0</v>
      </c>
      <c r="AH504" s="1123">
        <f>AG504-AF504</f>
        <v>0</v>
      </c>
      <c r="AI504" s="1123">
        <f>_xlfn.SUMIFS(Административные!AH$25:AH$103,Административные!$F$25:$F$103,$F504,Административные!$G$25:$G$103,$G504)</f>
        <v>0</v>
      </c>
      <c r="AJ504" s="1125">
        <f>_xlfn.SUMIFS(Административные!AI$25:AI$103,Административные!$F$25:$F$103,$F504,Административные!$G$25:$G$103,$G504)</f>
        <v>0</v>
      </c>
      <c r="AK504" s="1124"/>
      <c r="AL504" s="1124"/>
      <c r="AM504" s="1124"/>
      <c r="AN504" s="1124"/>
      <c r="AO504" s="1124"/>
      <c r="AP504" s="1124"/>
      <c r="AQ504" s="1124"/>
      <c r="AR504" s="1124"/>
      <c r="AS504" s="1124"/>
      <c r="AT504" s="1125">
        <f>_xlfn.SUMIFS(Административные!AJ$25:AJ$103,Административные!$F$25:$F$103,$F504,Административные!$G$25:$G$103,$G504)</f>
        <v>0</v>
      </c>
      <c r="AU504" s="1124"/>
      <c r="AV504" s="1124"/>
      <c r="AW504" s="1124"/>
      <c r="AX504" s="1124"/>
      <c r="AY504" s="1124"/>
      <c r="AZ504" s="1124"/>
      <c r="BA504" s="1124"/>
      <c r="BB504" s="1124"/>
      <c r="BC504" s="1124"/>
      <c r="BD504" s="1123">
        <f>IF(AI504=0,0,(AT504-AI504)/AI504*100)</f>
        <v>0</v>
      </c>
      <c r="BE504" s="1124"/>
      <c r="BF504" s="1124"/>
      <c r="BG504" s="1124"/>
      <c r="BH504" s="1124"/>
      <c r="BI504" s="1124"/>
      <c r="BJ504" s="1124"/>
      <c r="BK504" s="1124"/>
      <c r="BL504" s="1124"/>
      <c r="BM504" s="1124"/>
      <c r="BN504" s="6290"/>
      <c r="BO504" s="6294" t="str">
        <f>IF(_xlfn.IFERROR(INDEX(Административные!$K$26:$L$103,MATCH($F504&amp;"9komm",Административные!$K$26:$K$103,0),2),"")=0,"",_xlfn.IFERROR(INDEX(Административные!$K$26:$L$103,MATCH($F504&amp;"9komm",Административные!$K$26:$K$103,0),2),""))</f>
        <v/>
      </c>
      <c r="BP504" s="6290"/>
      <c r="BQ504" s="1297"/>
      <c r="BR504" s="1297"/>
      <c r="BS504" s="1070" t="s">
        <v>2072</v>
      </c>
      <c r="BT504" s="1072"/>
      <c r="BU504" s="1072"/>
      <c r="BV504" s="987"/>
      <c r="BW504" s="987"/>
    </row>
    <row s="1656" customFormat="1" customHeight="1" ht="21.75">
      <c r="A505" s="1297"/>
      <c r="B505" s="434">
        <f>STATUS_GO="да"</f>
        <v>0</v>
      </c>
      <c r="C505" s="103"/>
      <c r="D505" s="103"/>
      <c r="E505" s="626">
        <v>22.5</v>
      </c>
      <c r="F505" s="50" cm="1" t="str">
        <f t="array" ref="F505:F505">OFFSET(E505,-1,1)</f>
        <v>3</v>
      </c>
      <c r="G505" s="103"/>
      <c r="H505" s="864"/>
      <c r="I505" s="864" t="s">
        <v>1079</v>
      </c>
      <c r="J505" s="103"/>
      <c r="K505" s="374" t="s">
        <v>1079</v>
      </c>
      <c r="L505" s="988" t="s">
        <v>348</v>
      </c>
      <c r="M505" s="103"/>
      <c r="N505" s="103"/>
      <c r="O505" s="103"/>
      <c r="P505" s="103"/>
      <c r="Q505" s="103"/>
      <c r="R505" s="103"/>
      <c r="S505" s="103"/>
      <c r="T505" s="468" cm="1" t="str">
        <f t="array" ref="T505:T505">T504</f>
        <v>true</v>
      </c>
      <c r="U505" s="103"/>
      <c r="V505" s="103"/>
      <c r="W505" s="103"/>
      <c r="X505" s="1559"/>
      <c r="Y505" s="1297"/>
      <c r="Z505" s="1529"/>
      <c r="AA505" s="1297"/>
      <c r="AB505" s="296" t="s">
        <v>1080</v>
      </c>
      <c r="AC505" s="769" t="s">
        <v>2264</v>
      </c>
      <c r="AD505" s="296" t="s">
        <v>936</v>
      </c>
      <c r="AE505" s="1123">
        <f>_xlfn.SUMIFS('Сбытовые расходы ГО'!AE$25:AE$75,'Сбытовые расходы ГО'!$F$25:$F$75,$F505,'Сбытовые расходы ГО'!$G$25:$G$75,"L0")-_xlfn.SUMIFS('Сбытовые расходы ГО'!AE$25:AE$75,'Сбытовые расходы ГО'!$F$25:$F$75,$F505,'Сбытовые расходы ГО'!$G$25:$G$75,"L1")</f>
        <v>0</v>
      </c>
      <c r="AF505" s="1123">
        <f>_xlfn.SUMIFS('Сбытовые расходы ГО'!AF$25:AF$75,'Сбытовые расходы ГО'!$F$25:$F$75,$F505,'Сбытовые расходы ГО'!$G$25:$G$75,"L0")-_xlfn.SUMIFS('Сбытовые расходы ГО'!AF$25:AF$75,'Сбытовые расходы ГО'!$F$25:$F$75,$F505,'Сбытовые расходы ГО'!$G$25:$G$75,"L1")</f>
        <v>0</v>
      </c>
      <c r="AG505" s="1123">
        <f>_xlfn.SUMIFS('Сбытовые расходы ГО'!AG$25:AG$75,'Сбытовые расходы ГО'!$F$25:$F$75,$F505,'Сбытовые расходы ГО'!$G$25:$G$75,"L0")-_xlfn.SUMIFS('Сбытовые расходы ГО'!AG$25:AG$75,'Сбытовые расходы ГО'!$F$25:$F$75,$F505,'Сбытовые расходы ГО'!$G$25:$G$75,"L1")</f>
        <v>0</v>
      </c>
      <c r="AH505" s="1123">
        <f>AG505-AF505</f>
        <v>0</v>
      </c>
      <c r="AI505" s="1123">
        <f>_xlfn.SUMIFS('Сбытовые расходы ГО'!AH$25:AH$75,'Сбытовые расходы ГО'!$F$25:$F$75,$F505,'Сбытовые расходы ГО'!$G$25:$G$75,"L0")-_xlfn.SUMIFS('Сбытовые расходы ГО'!AH$25:AH$75,'Сбытовые расходы ГО'!$F$25:$F$75,$F505,'Сбытовые расходы ГО'!$G$25:$G$75,"L1")</f>
        <v>0</v>
      </c>
      <c r="AJ505" s="1123">
        <f>_xlfn.SUMIFS('Сбытовые расходы ГО'!AI$25:AI$75,'Сбытовые расходы ГО'!$F$25:$F$75,$F505,'Сбытовые расходы ГО'!$G$25:$G$75,"L0")-_xlfn.SUMIFS('Сбытовые расходы ГО'!AI$25:AI$75,'Сбытовые расходы ГО'!$F$25:$F$75,$F505,'Сбытовые расходы ГО'!$G$25:$G$75,"L1")</f>
        <v>0</v>
      </c>
      <c r="AK505" s="1124"/>
      <c r="AL505" s="1124"/>
      <c r="AM505" s="1124"/>
      <c r="AN505" s="1124"/>
      <c r="AO505" s="1124"/>
      <c r="AP505" s="1124"/>
      <c r="AQ505" s="1124"/>
      <c r="AR505" s="1124"/>
      <c r="AS505" s="1124"/>
      <c r="AT505" s="1123">
        <f>_xlfn.SUMIFS('Сбытовые расходы ГО'!AJ$25:AJ$75,'Сбытовые расходы ГО'!$F$25:$F$75,$F505,'Сбытовые расходы ГО'!$G$25:$G$75,"L0")-_xlfn.SUMIFS('Сбытовые расходы ГО'!AJ$25:AJ$75,'Сбытовые расходы ГО'!$F$25:$F$75,$F505,'Сбытовые расходы ГО'!$G$25:$G$75,"L1")</f>
        <v>0</v>
      </c>
      <c r="AU505" s="1124"/>
      <c r="AV505" s="1124"/>
      <c r="AW505" s="1124"/>
      <c r="AX505" s="1124"/>
      <c r="AY505" s="1124"/>
      <c r="AZ505" s="1124"/>
      <c r="BA505" s="1124"/>
      <c r="BB505" s="1124"/>
      <c r="BC505" s="1124"/>
      <c r="BD505" s="1123">
        <f>IF(AI505=0,0,(AT505-AI505)/AI505*100)</f>
        <v>0</v>
      </c>
      <c r="BE505" s="1124"/>
      <c r="BF505" s="1124"/>
      <c r="BG505" s="1124"/>
      <c r="BH505" s="1124"/>
      <c r="BI505" s="1124"/>
      <c r="BJ505" s="1124"/>
      <c r="BK505" s="1124"/>
      <c r="BL505" s="1124"/>
      <c r="BM505" s="1124"/>
      <c r="BN505" s="6290"/>
      <c r="BO505" s="6290"/>
      <c r="BP505" s="6290"/>
      <c r="BQ505" s="1297"/>
      <c r="BR505" s="1297"/>
      <c r="BS505" s="1071" t="s">
        <v>2074</v>
      </c>
      <c r="BT505" s="1072"/>
      <c r="BU505" s="1072"/>
      <c r="BV505" s="987"/>
      <c r="BW505" s="987"/>
    </row>
    <row s="1656" customFormat="1" customHeight="1" ht="14.625">
      <c r="A506" s="1297"/>
      <c r="B506" s="986"/>
      <c r="C506" s="103"/>
      <c r="D506" s="103"/>
      <c r="E506" s="626">
        <v>15</v>
      </c>
      <c r="F506" s="50" cm="1" t="str">
        <f t="array" ref="F506:F506">OFFSET(E506,-1,1)</f>
        <v>3</v>
      </c>
      <c r="G506" s="103"/>
      <c r="H506" s="864"/>
      <c r="I506" s="864" t="s">
        <v>2013</v>
      </c>
      <c r="J506" s="103"/>
      <c r="K506" s="374" t="s">
        <v>2013</v>
      </c>
      <c r="L506" s="988"/>
      <c r="M506" s="103"/>
      <c r="N506" s="103"/>
      <c r="O506" s="103"/>
      <c r="P506" s="103"/>
      <c r="Q506" s="103"/>
      <c r="R506" s="103"/>
      <c r="S506" s="103"/>
      <c r="T506" s="468" cm="1" t="str">
        <f t="array" ref="T506:T506">T505</f>
        <v>true</v>
      </c>
      <c r="U506" s="103"/>
      <c r="V506" s="103"/>
      <c r="W506" s="103"/>
      <c r="X506" s="1559"/>
      <c r="Y506" s="1297"/>
      <c r="Z506" s="1529"/>
      <c r="AA506" s="1297"/>
      <c r="AB506" s="296" t="s">
        <v>2014</v>
      </c>
      <c r="AC506" s="769" t="s">
        <v>2265</v>
      </c>
      <c r="AD506" s="296" t="s">
        <v>936</v>
      </c>
      <c r="AE506" s="6293">
        <v>551.64</v>
      </c>
      <c r="AF506" s="6293"/>
      <c r="AG506" s="6293"/>
      <c r="AH506" s="1123">
        <f>AG506-AF506</f>
        <v>0</v>
      </c>
      <c r="AI506" s="6293"/>
      <c r="AJ506" s="6293"/>
      <c r="AK506" s="1124"/>
      <c r="AL506" s="1124"/>
      <c r="AM506" s="1124"/>
      <c r="AN506" s="1124"/>
      <c r="AO506" s="1124"/>
      <c r="AP506" s="1124"/>
      <c r="AQ506" s="1124"/>
      <c r="AR506" s="1124"/>
      <c r="AS506" s="1124"/>
      <c r="AT506" s="6293"/>
      <c r="AU506" s="1124"/>
      <c r="AV506" s="1124"/>
      <c r="AW506" s="1124"/>
      <c r="AX506" s="1124"/>
      <c r="AY506" s="1124"/>
      <c r="AZ506" s="1124"/>
      <c r="BA506" s="1124"/>
      <c r="BB506" s="1124"/>
      <c r="BC506" s="1124"/>
      <c r="BD506" s="1123">
        <f>IF(AI506=0,0,(AT506-AI506)/AI506*100)</f>
        <v>0</v>
      </c>
      <c r="BE506" s="1124"/>
      <c r="BF506" s="1124"/>
      <c r="BG506" s="1124"/>
      <c r="BH506" s="1124"/>
      <c r="BI506" s="1124"/>
      <c r="BJ506" s="1124"/>
      <c r="BK506" s="1124"/>
      <c r="BL506" s="1124"/>
      <c r="BM506" s="1124"/>
      <c r="BN506" s="6290"/>
      <c r="BO506" s="6290"/>
      <c r="BP506" s="6290"/>
      <c r="BQ506" s="1297"/>
      <c r="BR506" s="1297"/>
      <c r="BS506" s="1072" t="s">
        <v>2266</v>
      </c>
      <c r="BT506" s="1072"/>
      <c r="BU506" s="1072"/>
      <c r="BV506" s="987"/>
      <c r="BW506" s="987"/>
    </row>
    <row s="6422" customFormat="1" customHeight="1" ht="20.25">
      <c r="A507" s="706"/>
      <c r="B507" s="437"/>
      <c r="C507" s="105"/>
      <c r="D507" s="105"/>
      <c r="E507" s="833">
        <v>21</v>
      </c>
      <c r="F507" s="50" cm="1" t="str">
        <f t="array" ref="F507:F507">OFFSET(E507,-1,1)</f>
        <v>3</v>
      </c>
      <c r="G507" s="105"/>
      <c r="H507" s="864"/>
      <c r="I507" s="864" t="s">
        <v>2017</v>
      </c>
      <c r="J507" s="105"/>
      <c r="K507" s="374" t="s">
        <v>2017</v>
      </c>
      <c r="L507" s="993"/>
      <c r="M507" s="105"/>
      <c r="N507" s="105"/>
      <c r="O507" s="105"/>
      <c r="P507" s="105"/>
      <c r="Q507" s="105"/>
      <c r="R507" s="105"/>
      <c r="S507" s="105"/>
      <c r="T507" s="468">
        <f>AND(F507&gt;0,method_reg="Метод индексации")</f>
        <v>1</v>
      </c>
      <c r="U507" s="105"/>
      <c r="V507" s="105"/>
      <c r="W507" s="105"/>
      <c r="X507" s="1559"/>
      <c r="Y507" s="706"/>
      <c r="Z507" s="1529"/>
      <c r="AA507" s="706"/>
      <c r="AB507" s="207" t="s">
        <v>2018</v>
      </c>
      <c r="AC507" s="357" t="s">
        <v>2267</v>
      </c>
      <c r="AD507" s="207" t="s">
        <v>936</v>
      </c>
      <c r="AE507" s="209">
        <f>SUM(AE508:AE509)</f>
        <v>0</v>
      </c>
      <c r="AF507" s="209">
        <f>SUM(AF508:AF509)</f>
        <v>0</v>
      </c>
      <c r="AG507" s="209">
        <f>SUM(AG508:AG509)</f>
        <v>0</v>
      </c>
      <c r="AH507" s="785">
        <f>AG507-AF507</f>
        <v>0</v>
      </c>
      <c r="AI507" s="209">
        <f>SUM(AI508:AI509)</f>
        <v>0</v>
      </c>
      <c r="AJ507" s="209">
        <f>SUM(AJ508:AJ509)</f>
        <v>0</v>
      </c>
      <c r="AK507" s="212"/>
      <c r="AL507" s="212"/>
      <c r="AM507" s="212"/>
      <c r="AN507" s="212"/>
      <c r="AO507" s="212"/>
      <c r="AP507" s="212"/>
      <c r="AQ507" s="212"/>
      <c r="AR507" s="212"/>
      <c r="AS507" s="212"/>
      <c r="AT507" s="209">
        <f>SUM(AT508:AT509)</f>
        <v>0</v>
      </c>
      <c r="AU507" s="212"/>
      <c r="AV507" s="212"/>
      <c r="AW507" s="212"/>
      <c r="AX507" s="212"/>
      <c r="AY507" s="212"/>
      <c r="AZ507" s="212"/>
      <c r="BA507" s="212"/>
      <c r="BB507" s="212"/>
      <c r="BC507" s="212"/>
      <c r="BD507" s="785">
        <f>IF(AI507=0,0,(AT507-AI507)/AI507*100)</f>
        <v>0</v>
      </c>
      <c r="BE507" s="212"/>
      <c r="BF507" s="212"/>
      <c r="BG507" s="212"/>
      <c r="BH507" s="212"/>
      <c r="BI507" s="212"/>
      <c r="BJ507" s="212"/>
      <c r="BK507" s="212"/>
      <c r="BL507" s="212"/>
      <c r="BM507" s="212"/>
      <c r="BN507" s="6292"/>
      <c r="BO507" s="6292"/>
      <c r="BP507" s="6292"/>
      <c r="BQ507" s="706"/>
      <c r="BR507" s="706"/>
      <c r="BS507" s="1078" t="s">
        <v>2268</v>
      </c>
      <c r="BT507" s="1078"/>
      <c r="BU507" s="1078"/>
      <c r="BV507" s="713"/>
      <c r="BW507" s="713"/>
    </row>
    <row s="1656" customFormat="1" customHeight="1" ht="14.25" hidden="1">
      <c r="A508" s="1297"/>
      <c r="B508" s="434">
        <f>method_reg="Метод индексации"</f>
        <v>1</v>
      </c>
      <c r="C508" s="103"/>
      <c r="D508" s="103"/>
      <c r="E508" s="626">
        <v>15</v>
      </c>
      <c r="F508" s="50" cm="1" t="str">
        <f t="array" ref="F508:F508">OFFSET(E508,-1,1)</f>
        <v>3</v>
      </c>
      <c r="G508" s="103"/>
      <c r="H508" s="103"/>
      <c r="I508" s="864" t="s">
        <v>2017</v>
      </c>
      <c r="J508" s="103" cm="1" t="str">
        <f t="array" ref="J508:J508">AC508</f>
        <v>0</v>
      </c>
      <c r="K508" s="374" t="s">
        <v>2017</v>
      </c>
      <c r="L508" s="988"/>
      <c r="M508" s="103"/>
      <c r="N508" s="103"/>
      <c r="O508" s="103"/>
      <c r="P508" s="103"/>
      <c r="Q508" s="103"/>
      <c r="R508" s="103"/>
      <c r="S508" s="103"/>
      <c r="T508" s="468">
        <f>AND(F508&gt;0,Y508&gt;0)</f>
        <v>0</v>
      </c>
      <c r="U508" s="103"/>
      <c r="V508" s="103"/>
      <c r="W508" s="103" t="s">
        <v>173</v>
      </c>
      <c r="X508" s="1559"/>
      <c r="Y508" s="154">
        <v>0</v>
      </c>
      <c r="Z508" s="1529"/>
      <c r="AA508" s="422" t="s">
        <v>174</v>
      </c>
      <c r="AB508" s="296" t="str">
        <f>"1.7."&amp;Y508</f>
        <v>1.7.0</v>
      </c>
      <c r="AC508" s="1262"/>
      <c r="AD508" s="296" t="s">
        <v>936</v>
      </c>
      <c r="AE508" s="1260"/>
      <c r="AF508" s="1260"/>
      <c r="AG508" s="1260"/>
      <c r="AH508" s="1123">
        <f>AG508-AF508</f>
        <v>0</v>
      </c>
      <c r="AI508" s="1260"/>
      <c r="AJ508" s="1260"/>
      <c r="AK508" s="1124"/>
      <c r="AL508" s="1124"/>
      <c r="AM508" s="1124"/>
      <c r="AN508" s="1124"/>
      <c r="AO508" s="1124"/>
      <c r="AP508" s="1124"/>
      <c r="AQ508" s="1124"/>
      <c r="AR508" s="1124"/>
      <c r="AS508" s="1124"/>
      <c r="AT508" s="1260"/>
      <c r="AU508" s="1124"/>
      <c r="AV508" s="1124"/>
      <c r="AW508" s="1124"/>
      <c r="AX508" s="1124"/>
      <c r="AY508" s="1124"/>
      <c r="AZ508" s="1124"/>
      <c r="BA508" s="1124"/>
      <c r="BB508" s="1124"/>
      <c r="BC508" s="1124"/>
      <c r="BD508" s="1123">
        <f>IF(AI508=0,0,(AT508-AI508)/AI508*100)</f>
        <v>0</v>
      </c>
      <c r="BE508" s="1124"/>
      <c r="BF508" s="1124"/>
      <c r="BG508" s="1124"/>
      <c r="BH508" s="1124"/>
      <c r="BI508" s="1124"/>
      <c r="BJ508" s="1124"/>
      <c r="BK508" s="1124"/>
      <c r="BL508" s="1124"/>
      <c r="BM508" s="1124"/>
      <c r="BN508" s="1257"/>
      <c r="BO508" s="1257"/>
      <c r="BP508" s="1257"/>
      <c r="BQ508" s="1297"/>
      <c r="BR508" s="1297"/>
      <c r="BS508" s="1072" t="s">
        <v>2268</v>
      </c>
      <c r="BT508" s="1072" t="s">
        <v>2269</v>
      </c>
      <c r="BU508" s="1072" cm="1" t="str">
        <f t="array" ref="BU508:BU508">AC508</f>
        <v>0</v>
      </c>
      <c r="BV508" s="987"/>
      <c r="BW508" s="709" t="b">
        <v>1</v>
      </c>
    </row>
    <row s="1656" customFormat="1" customHeight="1" ht="14.25">
      <c r="A509" s="1297"/>
      <c r="B509" s="434" cm="1" t="str">
        <f t="array" ref="B509:B509">B508</f>
        <v>true</v>
      </c>
      <c r="C509" s="103"/>
      <c r="D509" s="103"/>
      <c r="E509" s="626">
        <v>15</v>
      </c>
      <c r="F509" s="50" cm="1" t="str">
        <f t="array" ref="F509:F509">OFFSET(E509,-1,1)</f>
        <v>3</v>
      </c>
      <c r="G509" s="483"/>
      <c r="H509" s="103"/>
      <c r="I509" s="103"/>
      <c r="J509" s="103" t="s">
        <v>2270</v>
      </c>
      <c r="K509" s="1297"/>
      <c r="L509" s="988"/>
      <c r="M509" s="103"/>
      <c r="N509" s="103"/>
      <c r="O509" s="103"/>
      <c r="P509" s="103"/>
      <c r="Q509" s="103"/>
      <c r="R509" s="103"/>
      <c r="S509" s="103"/>
      <c r="T509" s="468">
        <f>F509&gt;0</f>
        <v>1</v>
      </c>
      <c r="U509" s="103"/>
      <c r="V509" s="103"/>
      <c r="W509" s="836" t="s">
        <v>410</v>
      </c>
      <c r="X509" s="1559"/>
      <c r="Y509" s="1297"/>
      <c r="Z509" s="1529"/>
      <c r="AA509" s="1297"/>
      <c r="AB509" s="881"/>
      <c r="AC509" s="256" t="s">
        <v>177</v>
      </c>
      <c r="AD509" s="783"/>
      <c r="AE509" s="783"/>
      <c r="AF509" s="783"/>
      <c r="AG509" s="783"/>
      <c r="AH509" s="783"/>
      <c r="AI509" s="783"/>
      <c r="AJ509" s="783"/>
      <c r="AK509" s="783"/>
      <c r="AL509" s="783"/>
      <c r="AM509" s="783"/>
      <c r="AN509" s="783"/>
      <c r="AO509" s="783"/>
      <c r="AP509" s="783"/>
      <c r="AQ509" s="783"/>
      <c r="AR509" s="783"/>
      <c r="AS509" s="783"/>
      <c r="AT509" s="783"/>
      <c r="AU509" s="783"/>
      <c r="AV509" s="783"/>
      <c r="AW509" s="783"/>
      <c r="AX509" s="783"/>
      <c r="AY509" s="783"/>
      <c r="AZ509" s="783"/>
      <c r="BA509" s="783"/>
      <c r="BB509" s="783"/>
      <c r="BC509" s="783"/>
      <c r="BD509" s="783"/>
      <c r="BE509" s="783"/>
      <c r="BF509" s="783"/>
      <c r="BG509" s="783"/>
      <c r="BH509" s="783"/>
      <c r="BI509" s="783"/>
      <c r="BJ509" s="783"/>
      <c r="BK509" s="783"/>
      <c r="BL509" s="783"/>
      <c r="BM509" s="783"/>
      <c r="BN509" s="783"/>
      <c r="BO509" s="783"/>
      <c r="BP509" s="784"/>
      <c r="BQ509" s="1297"/>
      <c r="BR509" s="1297"/>
      <c r="BS509" s="1072"/>
      <c r="BT509" s="1072"/>
      <c r="BU509" s="1072"/>
      <c r="BV509" s="709" t="s">
        <v>2269</v>
      </c>
      <c r="BW509" s="987"/>
    </row>
    <row s="6464" customFormat="1" customHeight="1" ht="191.25">
      <c r="A510" s="706"/>
      <c r="B510" s="437"/>
      <c r="C510" s="105"/>
      <c r="D510" s="105"/>
      <c r="E510" s="833">
        <v>21</v>
      </c>
      <c r="F510" s="50" cm="1" t="str">
        <f t="array" ref="F510:F510">OFFSET(E510,-1,1)</f>
        <v>3</v>
      </c>
      <c r="G510" s="105"/>
      <c r="H510" s="103"/>
      <c r="I510" s="103" t="s">
        <v>345</v>
      </c>
      <c r="J510" s="105"/>
      <c r="K510" s="154" t="s">
        <v>345</v>
      </c>
      <c r="L510" s="993"/>
      <c r="M510" s="105"/>
      <c r="N510" s="105"/>
      <c r="O510" s="105"/>
      <c r="P510" s="105"/>
      <c r="Q510" s="105"/>
      <c r="R510" s="105"/>
      <c r="S510" s="105"/>
      <c r="T510" s="468">
        <f>F510&gt;0</f>
        <v>1</v>
      </c>
      <c r="U510" s="105"/>
      <c r="V510" s="105"/>
      <c r="W510" s="105"/>
      <c r="X510" s="1559"/>
      <c r="Y510" s="706"/>
      <c r="Z510" s="1529"/>
      <c r="AA510" s="706"/>
      <c r="AB510" s="230" t="s">
        <v>299</v>
      </c>
      <c r="AC510" s="208" t="s">
        <v>2271</v>
      </c>
      <c r="AD510" s="230" t="s">
        <v>936</v>
      </c>
      <c r="AE510" s="209">
        <f>AE511+AE523+AE524++AE535+AE536+AE537+AE539+AE540+AE541+AE542+AE545</f>
        <v>1982.23894</v>
      </c>
      <c r="AF510" s="209">
        <f>AF511+AF523+AF524++AF535+AF536+AF537+AF539+AF540+AF541+AF542+AF545</f>
        <v>1487.42</v>
      </c>
      <c r="AG510" s="209">
        <f>AG511+AG523+AG524++AG535+AG536+AG537+AG539+AG540+AG541+AG542+AG545</f>
        <v>1487.42</v>
      </c>
      <c r="AH510" s="785">
        <f>AG510-AF510</f>
        <v>0</v>
      </c>
      <c r="AI510" s="209">
        <f>AI511+AI523+AI524++AI535+AI536+AI537+AI539+AI540+AI541+AI542+AI545</f>
        <v>1581</v>
      </c>
      <c r="AJ510" s="209">
        <f>AJ511+AJ523+AJ524++AJ535+AJ536+AJ537+AJ539+AJ540+AJ541+AJ542+AJ545</f>
        <v>9487.46</v>
      </c>
      <c r="AK510" s="209">
        <f>AK511+AK523+AK524++AK535+AK536+AK537+AK539+AK540+AK541+AK542+AK545</f>
        <v>0</v>
      </c>
      <c r="AL510" s="209">
        <f>AL511+AL523+AL524++AL535+AL536+AL537+AL539+AL540+AL541+AL542+AL545</f>
        <v>0</v>
      </c>
      <c r="AM510" s="209">
        <f>AM511+AM523+AM524++AM535+AM536+AM537+AM539+AM540+AM541+AM542+AM545</f>
        <v>0</v>
      </c>
      <c r="AN510" s="209">
        <f>AN511+AN523+AN524++AN535+AN536+AN537+AN539+AN540+AN541+AN542+AN545</f>
        <v>0</v>
      </c>
      <c r="AO510" s="209">
        <f>AO511+AO523+AO524++AO535+AO536+AO537+AO539+AO540+AO541+AO542+AO545</f>
        <v>0</v>
      </c>
      <c r="AP510" s="209">
        <f>AP511+AP523+AP524++AP535+AP536+AP537+AP539+AP540+AP541+AP542+AP545</f>
        <v>0</v>
      </c>
      <c r="AQ510" s="209">
        <f>AQ511+AQ523+AQ524++AQ535+AQ536+AQ537+AQ539+AQ540+AQ541+AQ542+AQ545</f>
        <v>0</v>
      </c>
      <c r="AR510" s="209">
        <f>AR511+AR523+AR524++AR535+AR536+AR537+AR539+AR540+AR541+AR542+AR545</f>
        <v>0</v>
      </c>
      <c r="AS510" s="209">
        <f>AS511+AS523+AS524++AS535+AS536+AS537+AS539+AS540+AS541+AS542+AS545</f>
        <v>0</v>
      </c>
      <c r="AT510" s="209">
        <f>AT511+AT523+AT524++AT535+AT536+AT537+AT539+AT540+AT541+AT542+AT545</f>
        <v>9463.59</v>
      </c>
      <c r="AU510" s="209">
        <f>AU511+AU523+AU524++AU535+AU536+AU537+AU539+AU540+AU541+AU542+AU545</f>
        <v>0</v>
      </c>
      <c r="AV510" s="209">
        <f>AV511+AV523+AV524++AV535+AV536+AV537+AV539+AV540+AV541+AV542+AV545</f>
        <v>0</v>
      </c>
      <c r="AW510" s="209">
        <f>AW511+AW523+AW524++AW535+AW536+AW537+AW539+AW540+AW541+AW542+AW545</f>
        <v>0</v>
      </c>
      <c r="AX510" s="209">
        <f>AX511+AX523+AX524++AX535+AX536+AX537+AX539+AX540+AX541+AX542+AX545</f>
        <v>0</v>
      </c>
      <c r="AY510" s="209">
        <f>AY511+AY523+AY524++AY535+AY536+AY537+AY539+AY540+AY541+AY542+AY545</f>
        <v>0</v>
      </c>
      <c r="AZ510" s="209">
        <f>AZ511+AZ523+AZ524++AZ535+AZ536+AZ537+AZ539+AZ540+AZ541+AZ542+AZ545</f>
        <v>0</v>
      </c>
      <c r="BA510" s="209">
        <f>BA511+BA523+BA524++BA535+BA536+BA537+BA539+BA540+BA541+BA542+BA545</f>
        <v>0</v>
      </c>
      <c r="BB510" s="209">
        <f>BB511+BB523+BB524++BB535+BB536+BB537+BB539+BB540+BB541+BB542+BB545</f>
        <v>0</v>
      </c>
      <c r="BC510" s="209">
        <f>BC511+BC523+BC524++BC535+BC536+BC537+BC539+BC540+BC541+BC542+BC545</f>
        <v>0</v>
      </c>
      <c r="BD510" s="785">
        <f>IF(AI510=0,0,(AT510-AI510)/AI510*100)</f>
        <v>498.582542694497</v>
      </c>
      <c r="BE510" s="785">
        <f>IF(AT510=0,0,(AU510-AT510)/AT510*100)</f>
        <v>-100</v>
      </c>
      <c r="BF510" s="785">
        <f>IF(AU510=0,0,(AV510-AU510)/AU510*100)</f>
        <v>0</v>
      </c>
      <c r="BG510" s="785">
        <f>IF(AV510=0,0,(AW510-AV510)/AV510*100)</f>
        <v>0</v>
      </c>
      <c r="BH510" s="785">
        <f>IF(AW510=0,0,(AX510-AW510)/AW510*100)</f>
        <v>0</v>
      </c>
      <c r="BI510" s="785">
        <f>IF(AX510=0,0,(AY510-AX510)/AX510*100)</f>
        <v>0</v>
      </c>
      <c r="BJ510" s="785">
        <f>IF(AY510=0,0,(AZ510-AY510)/AY510*100)</f>
        <v>0</v>
      </c>
      <c r="BK510" s="785">
        <f>IF(AZ510=0,0,(BA510-AZ510)/AZ510*100)</f>
        <v>0</v>
      </c>
      <c r="BL510" s="785">
        <f>IF(BA510=0,0,(BB510-BA510)/BA510*100)</f>
        <v>0</v>
      </c>
      <c r="BM510" s="785">
        <f>IF(BB510=0,0,(BC510-BB510)/BB510*100)</f>
        <v>0</v>
      </c>
      <c r="BN510" s="6290"/>
      <c r="BO510" s="6290" t="s">
        <v>2452</v>
      </c>
      <c r="BP510" s="6290" t="s">
        <v>2457</v>
      </c>
      <c r="BQ510" s="156"/>
      <c r="BR510" s="706"/>
      <c r="BS510" s="1078" t="s">
        <v>2272</v>
      </c>
      <c r="BT510" s="1078"/>
      <c r="BU510" s="1078"/>
      <c r="BV510" s="713"/>
      <c r="BW510" s="713"/>
    </row>
    <row s="6465" customFormat="1" customHeight="1" ht="21.75">
      <c r="A511" s="706"/>
      <c r="B511" s="437"/>
      <c r="C511" s="105"/>
      <c r="D511" s="105"/>
      <c r="E511" s="833">
        <v>22.5</v>
      </c>
      <c r="F511" s="50" cm="1" t="str">
        <f t="array" ref="F511:F511">OFFSET(E511,-1,1)</f>
        <v>3</v>
      </c>
      <c r="G511" s="370" cm="1" t="str">
        <f t="array" ref="G511:G511">F510</f>
        <v>3</v>
      </c>
      <c r="H511" s="103"/>
      <c r="I511" s="103" t="s">
        <v>584</v>
      </c>
      <c r="J511" s="105"/>
      <c r="K511" s="154" t="s">
        <v>584</v>
      </c>
      <c r="L511" s="993" t="s">
        <v>570</v>
      </c>
      <c r="M511" s="105"/>
      <c r="N511" s="105"/>
      <c r="O511" s="105"/>
      <c r="P511" s="105"/>
      <c r="Q511" s="105"/>
      <c r="R511" s="105"/>
      <c r="S511" s="105"/>
      <c r="T511" s="468" cm="1" t="str">
        <f t="array" ref="T511:T511">T510</f>
        <v>true</v>
      </c>
      <c r="U511" s="105"/>
      <c r="V511" s="105"/>
      <c r="W511" s="105"/>
      <c r="X511" s="1559"/>
      <c r="Y511" s="706"/>
      <c r="Z511" s="1529"/>
      <c r="AA511" s="706"/>
      <c r="AB511" s="207" t="s">
        <v>660</v>
      </c>
      <c r="AC511" s="357" t="s">
        <v>2273</v>
      </c>
      <c r="AD511" s="207" t="s">
        <v>936</v>
      </c>
      <c r="AE511" s="209">
        <f>SUM(AE512:AE522)</f>
        <v>0</v>
      </c>
      <c r="AF511" s="209">
        <f>SUM(AF512:AF522)</f>
        <v>0</v>
      </c>
      <c r="AG511" s="209">
        <f>SUM(AG512:AG522)</f>
        <v>0</v>
      </c>
      <c r="AH511" s="785">
        <f>AG511-AF511</f>
        <v>0</v>
      </c>
      <c r="AI511" s="209">
        <f>SUM(AI512:AI522)</f>
        <v>0</v>
      </c>
      <c r="AJ511" s="209">
        <f>SUM(AJ512:AJ522)</f>
        <v>0</v>
      </c>
      <c r="AK511" s="209">
        <f>SUM(AK512:AK522)</f>
        <v>0</v>
      </c>
      <c r="AL511" s="209">
        <f>SUM(AL512:AL522)</f>
        <v>0</v>
      </c>
      <c r="AM511" s="209">
        <f>SUM(AM512:AM522)</f>
        <v>0</v>
      </c>
      <c r="AN511" s="209">
        <f>SUM(AN512:AN522)</f>
        <v>0</v>
      </c>
      <c r="AO511" s="209">
        <f>SUM(AO512:AO522)</f>
        <v>0</v>
      </c>
      <c r="AP511" s="209">
        <f>SUM(AP512:AP522)</f>
        <v>0</v>
      </c>
      <c r="AQ511" s="209">
        <f>SUM(AQ512:AQ522)</f>
        <v>0</v>
      </c>
      <c r="AR511" s="209">
        <f>SUM(AR512:AR522)</f>
        <v>0</v>
      </c>
      <c r="AS511" s="209">
        <f>SUM(AS512:AS522)</f>
        <v>0</v>
      </c>
      <c r="AT511" s="209">
        <f>SUM(AT512:AT522)</f>
        <v>0</v>
      </c>
      <c r="AU511" s="209">
        <f>SUM(AU512:AU522)</f>
        <v>0</v>
      </c>
      <c r="AV511" s="209">
        <f>SUM(AV512:AV522)</f>
        <v>0</v>
      </c>
      <c r="AW511" s="209">
        <f>SUM(AW512:AW522)</f>
        <v>0</v>
      </c>
      <c r="AX511" s="209">
        <f>SUM(AX512:AX522)</f>
        <v>0</v>
      </c>
      <c r="AY511" s="209">
        <f>SUM(AY512:AY522)</f>
        <v>0</v>
      </c>
      <c r="AZ511" s="209">
        <f>SUM(AZ512:AZ522)</f>
        <v>0</v>
      </c>
      <c r="BA511" s="209">
        <f>SUM(BA512:BA522)</f>
        <v>0</v>
      </c>
      <c r="BB511" s="209">
        <f>SUM(BB512:BB522)</f>
        <v>0</v>
      </c>
      <c r="BC511" s="209">
        <f>SUM(BC512:BC522)</f>
        <v>0</v>
      </c>
      <c r="BD511" s="785">
        <f>IF(AI511=0,0,(AT511-AI511)/AI511*100)</f>
        <v>0</v>
      </c>
      <c r="BE511" s="785">
        <f>IF(AT511=0,0,(AU511-AT511)/AT511*100)</f>
        <v>0</v>
      </c>
      <c r="BF511" s="785">
        <f>IF(AU511=0,0,(AV511-AU511)/AU511*100)</f>
        <v>0</v>
      </c>
      <c r="BG511" s="785">
        <f>IF(AV511=0,0,(AW511-AV511)/AV511*100)</f>
        <v>0</v>
      </c>
      <c r="BH511" s="785">
        <f>IF(AW511=0,0,(AX511-AW511)/AW511*100)</f>
        <v>0</v>
      </c>
      <c r="BI511" s="785">
        <f>IF(AX511=0,0,(AY511-AX511)/AX511*100)</f>
        <v>0</v>
      </c>
      <c r="BJ511" s="785">
        <f>IF(AY511=0,0,(AZ511-AY511)/AY511*100)</f>
        <v>0</v>
      </c>
      <c r="BK511" s="785">
        <f>IF(AZ511=0,0,(BA511-AZ511)/AZ511*100)</f>
        <v>0</v>
      </c>
      <c r="BL511" s="785">
        <f>IF(BA511=0,0,(BB511-BA511)/BA511*100)</f>
        <v>0</v>
      </c>
      <c r="BM511" s="785">
        <f>IF(BB511=0,0,(BC511-BB511)/BB511*100)</f>
        <v>0</v>
      </c>
      <c r="BN511" s="6292"/>
      <c r="BO511" s="6292"/>
      <c r="BP511" s="6292"/>
      <c r="BQ511" s="706"/>
      <c r="BR511" s="706"/>
      <c r="BS511" s="1078" t="s">
        <v>2274</v>
      </c>
      <c r="BT511" s="1078"/>
      <c r="BU511" s="1078"/>
      <c r="BV511" s="713"/>
      <c r="BW511" s="713"/>
    </row>
    <row s="1656" customFormat="1" customHeight="1" ht="14.25">
      <c r="A512" s="1297"/>
      <c r="B512" s="986"/>
      <c r="C512" s="103"/>
      <c r="D512" s="103"/>
      <c r="E512" s="626">
        <v>15</v>
      </c>
      <c r="F512" s="50" cm="1" t="str">
        <f t="array" ref="F512:F512">OFFSET(E512,-1,1)</f>
        <v>3</v>
      </c>
      <c r="G512" s="103" t="s">
        <v>1287</v>
      </c>
      <c r="H512" s="103"/>
      <c r="I512" s="103" t="s">
        <v>1787</v>
      </c>
      <c r="J512" s="103"/>
      <c r="K512" s="154" t="s">
        <v>1787</v>
      </c>
      <c r="L512" s="988" t="s">
        <v>1553</v>
      </c>
      <c r="M512" s="103"/>
      <c r="N512" s="103"/>
      <c r="O512" s="103"/>
      <c r="P512" s="103"/>
      <c r="Q512" s="103"/>
      <c r="R512" s="103"/>
      <c r="S512" s="103"/>
      <c r="T512" s="468" cm="1" t="str">
        <f t="array" ref="T512:T512">T511</f>
        <v>true</v>
      </c>
      <c r="U512" s="103"/>
      <c r="V512" s="103"/>
      <c r="W512" s="103"/>
      <c r="X512" s="1559"/>
      <c r="Y512" s="1297"/>
      <c r="Z512" s="1529"/>
      <c r="AA512" s="1297"/>
      <c r="AB512" s="296" t="s">
        <v>592</v>
      </c>
      <c r="AC512" s="772" t="s">
        <v>2275</v>
      </c>
      <c r="AD512" s="296" t="s">
        <v>936</v>
      </c>
      <c r="AE512" s="1123">
        <f>_xlfn.SUMIFS(Покупка!AE$25:AE$327,Покупка!$F$25:$F$327,$F512,Покупка!$AC$25:$AC$327,$G512)</f>
        <v>0</v>
      </c>
      <c r="AF512" s="1123">
        <f>_xlfn.SUMIFS(Покупка!AF$25:AF$327,Покупка!$F$25:$F$327,$F512,Покупка!$AC$25:$AC$327,$G512)</f>
        <v>0</v>
      </c>
      <c r="AG512" s="1123">
        <f>_xlfn.SUMIFS(Покупка!AG$25:AG$327,Покупка!$F$25:$F$327,$F512,Покупка!$AC$25:$AC$327,$G512)</f>
        <v>0</v>
      </c>
      <c r="AH512" s="1123">
        <f>AG512-AF512</f>
        <v>0</v>
      </c>
      <c r="AI512" s="1123">
        <f>_xlfn.SUMIFS(Покупка!AH$25:AH$327,Покупка!$F$25:$F$327,$F512,Покупка!$AC$25:$AC$327,$G512)</f>
        <v>0</v>
      </c>
      <c r="AJ512" s="1123">
        <f>_xlfn.SUMIFS(Покупка!AI$25:AI$327,Покупка!$F$25:$F$327,$F512,Покупка!$AC$25:$AC$327,$G512)</f>
        <v>0</v>
      </c>
      <c r="AK512" s="1123">
        <f>_xlfn.SUMIFS(Покупка!AJ$25:AJ$327,Покупка!$F$25:$F$327,$F512,Покупка!$AC$25:$AC$327,$G512)</f>
        <v>0</v>
      </c>
      <c r="AL512" s="1123">
        <f>_xlfn.SUMIFS(Покупка!AK$25:AK$327,Покупка!$F$25:$F$327,$F512,Покупка!$AC$25:$AC$327,$G512)</f>
        <v>0</v>
      </c>
      <c r="AM512" s="1123">
        <f>_xlfn.SUMIFS(Покупка!AL$25:AL$327,Покупка!$F$25:$F$327,$F512,Покупка!$AC$25:$AC$327,$G512)</f>
        <v>0</v>
      </c>
      <c r="AN512" s="1123">
        <f>_xlfn.SUMIFS(Покупка!AM$25:AM$327,Покупка!$F$25:$F$327,$F512,Покупка!$AC$25:$AC$327,$G512)</f>
        <v>0</v>
      </c>
      <c r="AO512" s="1123">
        <f>_xlfn.SUMIFS(Покупка!AN$25:AN$327,Покупка!$F$25:$F$327,$F512,Покупка!$AC$25:$AC$327,$G512)</f>
        <v>0</v>
      </c>
      <c r="AP512" s="1123">
        <f>_xlfn.SUMIFS(Покупка!AO$25:AO$327,Покупка!$F$25:$F$327,$F512,Покупка!$AC$25:$AC$327,$G512)</f>
        <v>0</v>
      </c>
      <c r="AQ512" s="1123">
        <f>_xlfn.SUMIFS(Покупка!AP$25:AP$327,Покупка!$F$25:$F$327,$F512,Покупка!$AC$25:$AC$327,$G512)</f>
        <v>0</v>
      </c>
      <c r="AR512" s="1123">
        <f>_xlfn.SUMIFS(Покупка!AQ$25:AQ$327,Покупка!$F$25:$F$327,$F512,Покупка!$AC$25:$AC$327,$G512)</f>
        <v>0</v>
      </c>
      <c r="AS512" s="1123">
        <f>_xlfn.SUMIFS(Покупка!AR$25:AR$327,Покупка!$F$25:$F$327,$F512,Покупка!$AC$25:$AC$327,$G512)</f>
        <v>0</v>
      </c>
      <c r="AT512" s="1123">
        <f>_xlfn.SUMIFS(Покупка!AS$25:AS$327,Покупка!$F$25:$F$327,$F512,Покупка!$AC$25:$AC$327,$G512)</f>
        <v>0</v>
      </c>
      <c r="AU512" s="1123">
        <f>_xlfn.SUMIFS(Покупка!AT$25:AT$327,Покупка!$F$25:$F$327,$F512,Покупка!$AC$25:$AC$327,$G512)</f>
        <v>0</v>
      </c>
      <c r="AV512" s="1123">
        <f>_xlfn.SUMIFS(Покупка!AU$25:AU$327,Покупка!$F$25:$F$327,$F512,Покупка!$AC$25:$AC$327,$G512)</f>
        <v>0</v>
      </c>
      <c r="AW512" s="1123">
        <f>_xlfn.SUMIFS(Покупка!AV$25:AV$327,Покупка!$F$25:$F$327,$F512,Покупка!$AC$25:$AC$327,$G512)</f>
        <v>0</v>
      </c>
      <c r="AX512" s="1123">
        <f>_xlfn.SUMIFS(Покупка!AW$25:AW$327,Покупка!$F$25:$F$327,$F512,Покупка!$AC$25:$AC$327,$G512)</f>
        <v>0</v>
      </c>
      <c r="AY512" s="1123">
        <f>_xlfn.SUMIFS(Покупка!AX$25:AX$327,Покупка!$F$25:$F$327,$F512,Покупка!$AC$25:$AC$327,$G512)</f>
        <v>0</v>
      </c>
      <c r="AZ512" s="1123">
        <f>_xlfn.SUMIFS(Покупка!AY$25:AY$327,Покупка!$F$25:$F$327,$F512,Покупка!$AC$25:$AC$327,$G512)</f>
        <v>0</v>
      </c>
      <c r="BA512" s="1123">
        <f>_xlfn.SUMIFS(Покупка!AZ$25:AZ$327,Покупка!$F$25:$F$327,$F512,Покупка!$AC$25:$AC$327,$G512)</f>
        <v>0</v>
      </c>
      <c r="BB512" s="1123">
        <f>_xlfn.SUMIFS(Покупка!BA$25:BA$327,Покупка!$F$25:$F$327,$F512,Покупка!$AC$25:$AC$327,$G512)</f>
        <v>0</v>
      </c>
      <c r="BC512" s="1123">
        <f>_xlfn.SUMIFS(Покупка!BB$25:BB$327,Покупка!$F$25:$F$327,$F512,Покупка!$AC$25:$AC$327,$G512)</f>
        <v>0</v>
      </c>
      <c r="BD512" s="1123">
        <f>IF(AI512=0,0,(AT512-AI512)/AI512*100)</f>
        <v>0</v>
      </c>
      <c r="BE512" s="1123">
        <f>IF(AT512=0,0,(AU512-AT512)/AT512*100)</f>
        <v>0</v>
      </c>
      <c r="BF512" s="1123">
        <f>IF(AU512=0,0,(AV512-AU512)/AU512*100)</f>
        <v>0</v>
      </c>
      <c r="BG512" s="1123">
        <f>IF(AV512=0,0,(AW512-AV512)/AV512*100)</f>
        <v>0</v>
      </c>
      <c r="BH512" s="1123">
        <f>IF(AW512=0,0,(AX512-AW512)/AW512*100)</f>
        <v>0</v>
      </c>
      <c r="BI512" s="1123">
        <f>IF(AX512=0,0,(AY512-AX512)/AX512*100)</f>
        <v>0</v>
      </c>
      <c r="BJ512" s="1123">
        <f>IF(AY512=0,0,(AZ512-AY512)/AY512*100)</f>
        <v>0</v>
      </c>
      <c r="BK512" s="1123">
        <f>IF(AZ512=0,0,(BA512-AZ512)/AZ512*100)</f>
        <v>0</v>
      </c>
      <c r="BL512" s="1123">
        <f>IF(BA512=0,0,(BB512-BA512)/BA512*100)</f>
        <v>0</v>
      </c>
      <c r="BM512" s="1123">
        <f>IF(BB512=0,0,(BC512-BB512)/BB512*100)</f>
        <v>0</v>
      </c>
      <c r="BN512" s="6290"/>
      <c r="BO512" s="6294" t="str">
        <f>IF(_xlfn.IFERROR(INDEX(Покупка!$K$26:$L$327,MATCH($F512&amp;"6komm",Покупка!$K$26:$K$327,0),2),"")=0,"",_xlfn.IFERROR(INDEX(Покупка!$K$26:$L$327,MATCH($F512&amp;"6komm",Покупка!$K$26:$K$327,0),2),""))</f>
        <v>П. 49 Методических указаний ФСТ России от 27.12.2013 № 1746-э.</v>
      </c>
      <c r="BP512" s="6290"/>
      <c r="BQ512" s="1297"/>
      <c r="BR512" s="1297"/>
      <c r="BS512" s="1072" t="s">
        <v>1288</v>
      </c>
      <c r="BT512" s="1072"/>
      <c r="BU512" s="1072"/>
      <c r="BV512" s="987"/>
      <c r="BW512" s="987"/>
    </row>
    <row s="1656" customFormat="1" customHeight="1" ht="14.25">
      <c r="A513" s="1297"/>
      <c r="B513" s="986"/>
      <c r="C513" s="103"/>
      <c r="D513" s="103"/>
      <c r="E513" s="626">
        <v>15</v>
      </c>
      <c r="F513" s="50" cm="1" t="str">
        <f t="array" ref="F513:F513">OFFSET(E513,-1,1)</f>
        <v>3</v>
      </c>
      <c r="G513" s="103" t="s">
        <v>1309</v>
      </c>
      <c r="H513" s="103"/>
      <c r="I513" s="103" t="s">
        <v>1791</v>
      </c>
      <c r="J513" s="103"/>
      <c r="K513" s="103" t="s">
        <v>1791</v>
      </c>
      <c r="L513" s="988" t="s">
        <v>1557</v>
      </c>
      <c r="M513" s="103"/>
      <c r="N513" s="103"/>
      <c r="O513" s="103"/>
      <c r="P513" s="103"/>
      <c r="Q513" s="103"/>
      <c r="R513" s="103"/>
      <c r="S513" s="103"/>
      <c r="T513" s="468" cm="1" t="str">
        <f t="array" ref="T513:T513">T512</f>
        <v>true</v>
      </c>
      <c r="U513" s="103"/>
      <c r="V513" s="103"/>
      <c r="W513" s="103"/>
      <c r="X513" s="1559"/>
      <c r="Y513" s="1297"/>
      <c r="Z513" s="1529"/>
      <c r="AA513" s="1297"/>
      <c r="AB513" s="296" t="s">
        <v>2276</v>
      </c>
      <c r="AC513" s="772" t="s">
        <v>2277</v>
      </c>
      <c r="AD513" s="296" t="s">
        <v>936</v>
      </c>
      <c r="AE513" s="1123">
        <f>_xlfn.SUMIFS(Покупка!AE$25:AE$327,Покупка!$F$25:$F$327,$F513,Покупка!$AC$25:$AC$327,$G513)</f>
        <v>0</v>
      </c>
      <c r="AF513" s="1123">
        <f>_xlfn.SUMIFS(Покупка!AF$25:AF$327,Покупка!$F$25:$F$327,$F513,Покупка!$AC$25:$AC$327,$G513)</f>
        <v>0</v>
      </c>
      <c r="AG513" s="1123">
        <f>_xlfn.SUMIFS(Покупка!AG$25:AG$327,Покупка!$F$25:$F$327,$F513,Покупка!$AC$25:$AC$327,$G513)</f>
        <v>0</v>
      </c>
      <c r="AH513" s="1123">
        <f>AG513-AF513</f>
        <v>0</v>
      </c>
      <c r="AI513" s="1123">
        <f>_xlfn.SUMIFS(Покупка!AH$25:AH$327,Покупка!$F$25:$F$327,$F513,Покупка!$AC$25:$AC$327,$G513)</f>
        <v>0</v>
      </c>
      <c r="AJ513" s="1123">
        <f>_xlfn.SUMIFS(Покупка!AI$25:AI$327,Покупка!$F$25:$F$327,$F513,Покупка!$AC$25:$AC$327,$G513)</f>
        <v>0</v>
      </c>
      <c r="AK513" s="1123">
        <f>_xlfn.SUMIFS(Покупка!AJ$25:AJ$327,Покупка!$F$25:$F$327,$F513,Покупка!$AC$25:$AC$327,$G513)</f>
        <v>0</v>
      </c>
      <c r="AL513" s="1123">
        <f>_xlfn.SUMIFS(Покупка!AK$25:AK$327,Покупка!$F$25:$F$327,$F513,Покупка!$AC$25:$AC$327,$G513)</f>
        <v>0</v>
      </c>
      <c r="AM513" s="1123">
        <f>_xlfn.SUMIFS(Покупка!AL$25:AL$327,Покупка!$F$25:$F$327,$F513,Покупка!$AC$25:$AC$327,$G513)</f>
        <v>0</v>
      </c>
      <c r="AN513" s="1123">
        <f>_xlfn.SUMIFS(Покупка!AM$25:AM$327,Покупка!$F$25:$F$327,$F513,Покупка!$AC$25:$AC$327,$G513)</f>
        <v>0</v>
      </c>
      <c r="AO513" s="1123">
        <f>_xlfn.SUMIFS(Покупка!AN$25:AN$327,Покупка!$F$25:$F$327,$F513,Покупка!$AC$25:$AC$327,$G513)</f>
        <v>0</v>
      </c>
      <c r="AP513" s="1123">
        <f>_xlfn.SUMIFS(Покупка!AO$25:AO$327,Покупка!$F$25:$F$327,$F513,Покупка!$AC$25:$AC$327,$G513)</f>
        <v>0</v>
      </c>
      <c r="AQ513" s="1123">
        <f>_xlfn.SUMIFS(Покупка!AP$25:AP$327,Покупка!$F$25:$F$327,$F513,Покупка!$AC$25:$AC$327,$G513)</f>
        <v>0</v>
      </c>
      <c r="AR513" s="1123">
        <f>_xlfn.SUMIFS(Покупка!AQ$25:AQ$327,Покупка!$F$25:$F$327,$F513,Покупка!$AC$25:$AC$327,$G513)</f>
        <v>0</v>
      </c>
      <c r="AS513" s="1123">
        <f>_xlfn.SUMIFS(Покупка!AR$25:AR$327,Покупка!$F$25:$F$327,$F513,Покупка!$AC$25:$AC$327,$G513)</f>
        <v>0</v>
      </c>
      <c r="AT513" s="1123">
        <f>_xlfn.SUMIFS(Покупка!AS$25:AS$327,Покупка!$F$25:$F$327,$F513,Покупка!$AC$25:$AC$327,$G513)</f>
        <v>0</v>
      </c>
      <c r="AU513" s="1123">
        <f>_xlfn.SUMIFS(Покупка!AT$25:AT$327,Покупка!$F$25:$F$327,$F513,Покупка!$AC$25:$AC$327,$G513)</f>
        <v>0</v>
      </c>
      <c r="AV513" s="1123">
        <f>_xlfn.SUMIFS(Покупка!AU$25:AU$327,Покупка!$F$25:$F$327,$F513,Покупка!$AC$25:$AC$327,$G513)</f>
        <v>0</v>
      </c>
      <c r="AW513" s="1123">
        <f>_xlfn.SUMIFS(Покупка!AV$25:AV$327,Покупка!$F$25:$F$327,$F513,Покупка!$AC$25:$AC$327,$G513)</f>
        <v>0</v>
      </c>
      <c r="AX513" s="1123">
        <f>_xlfn.SUMIFS(Покупка!AW$25:AW$327,Покупка!$F$25:$F$327,$F513,Покупка!$AC$25:$AC$327,$G513)</f>
        <v>0</v>
      </c>
      <c r="AY513" s="1123">
        <f>_xlfn.SUMIFS(Покупка!AX$25:AX$327,Покупка!$F$25:$F$327,$F513,Покупка!$AC$25:$AC$327,$G513)</f>
        <v>0</v>
      </c>
      <c r="AZ513" s="1123">
        <f>_xlfn.SUMIFS(Покупка!AY$25:AY$327,Покупка!$F$25:$F$327,$F513,Покупка!$AC$25:$AC$327,$G513)</f>
        <v>0</v>
      </c>
      <c r="BA513" s="1123">
        <f>_xlfn.SUMIFS(Покупка!AZ$25:AZ$327,Покупка!$F$25:$F$327,$F513,Покупка!$AC$25:$AC$327,$G513)</f>
        <v>0</v>
      </c>
      <c r="BB513" s="1123">
        <f>_xlfn.SUMIFS(Покупка!BA$25:BA$327,Покупка!$F$25:$F$327,$F513,Покупка!$AC$25:$AC$327,$G513)</f>
        <v>0</v>
      </c>
      <c r="BC513" s="1123">
        <f>_xlfn.SUMIFS(Покупка!BB$25:BB$327,Покупка!$F$25:$F$327,$F513,Покупка!$AC$25:$AC$327,$G513)</f>
        <v>0</v>
      </c>
      <c r="BD513" s="1123">
        <f>IF(AI513=0,0,(AT513-AI513)/AI513*100)</f>
        <v>0</v>
      </c>
      <c r="BE513" s="1123">
        <f>IF(AT513=0,0,(AU513-AT513)/AT513*100)</f>
        <v>0</v>
      </c>
      <c r="BF513" s="1123">
        <f>IF(AU513=0,0,(AV513-AU513)/AU513*100)</f>
        <v>0</v>
      </c>
      <c r="BG513" s="1123">
        <f>IF(AV513=0,0,(AW513-AV513)/AV513*100)</f>
        <v>0</v>
      </c>
      <c r="BH513" s="1123">
        <f>IF(AW513=0,0,(AX513-AW513)/AW513*100)</f>
        <v>0</v>
      </c>
      <c r="BI513" s="1123">
        <f>IF(AX513=0,0,(AY513-AX513)/AX513*100)</f>
        <v>0</v>
      </c>
      <c r="BJ513" s="1123">
        <f>IF(AY513=0,0,(AZ513-AY513)/AY513*100)</f>
        <v>0</v>
      </c>
      <c r="BK513" s="1123">
        <f>IF(AZ513=0,0,(BA513-AZ513)/AZ513*100)</f>
        <v>0</v>
      </c>
      <c r="BL513" s="1123">
        <f>IF(BA513=0,0,(BB513-BA513)/BA513*100)</f>
        <v>0</v>
      </c>
      <c r="BM513" s="1123">
        <f>IF(BB513=0,0,(BC513-BB513)/BB513*100)</f>
        <v>0</v>
      </c>
      <c r="BN513" s="6290"/>
      <c r="BO513" s="6294" t="str">
        <f>IF(_xlfn.IFERROR(INDEX(Покупка!$K$26:$L$327,MATCH($F513&amp;"7komm",Покупка!$K$26:$K$327,0),2),"")=0,"",_xlfn.IFERROR(INDEX(Покупка!$K$26:$L$327,MATCH($F513&amp;"7komm",Покупка!$K$26:$K$327,0),2),""))</f>
        <v/>
      </c>
      <c r="BP513" s="6290"/>
      <c r="BQ513" s="1297"/>
      <c r="BR513" s="1297"/>
      <c r="BS513" s="1072" t="s">
        <v>1310</v>
      </c>
      <c r="BT513" s="1072"/>
      <c r="BU513" s="1072"/>
      <c r="BV513" s="987"/>
      <c r="BW513" s="987"/>
    </row>
    <row s="1656" customFormat="1" customHeight="1" ht="14.25">
      <c r="A514" s="1297"/>
      <c r="B514" s="986"/>
      <c r="C514" s="103"/>
      <c r="D514" s="103"/>
      <c r="E514" s="626">
        <v>15</v>
      </c>
      <c r="F514" s="50" cm="1" t="str">
        <f t="array" ref="F514:F514">OFFSET(E514,-1,1)</f>
        <v>3</v>
      </c>
      <c r="G514" s="103" t="s">
        <v>1261</v>
      </c>
      <c r="H514" s="103"/>
      <c r="I514" s="103" t="s">
        <v>1899</v>
      </c>
      <c r="J514" s="103"/>
      <c r="K514" s="103" t="s">
        <v>1899</v>
      </c>
      <c r="L514" s="988" t="s">
        <v>1736</v>
      </c>
      <c r="M514" s="103"/>
      <c r="N514" s="103"/>
      <c r="O514" s="103"/>
      <c r="P514" s="103"/>
      <c r="Q514" s="103"/>
      <c r="R514" s="103"/>
      <c r="S514" s="103"/>
      <c r="T514" s="468" cm="1" t="str">
        <f t="array" ref="T514:T514">T513</f>
        <v>true</v>
      </c>
      <c r="U514" s="103"/>
      <c r="V514" s="103"/>
      <c r="W514" s="103"/>
      <c r="X514" s="1559"/>
      <c r="Y514" s="1297"/>
      <c r="Z514" s="1529"/>
      <c r="AA514" s="1297"/>
      <c r="AB514" s="296" t="s">
        <v>2278</v>
      </c>
      <c r="AC514" s="772" t="s">
        <v>2279</v>
      </c>
      <c r="AD514" s="296" t="s">
        <v>936</v>
      </c>
      <c r="AE514" s="1123">
        <f>_xlfn.SUMIFS(Покупка!AE$25:AE$327,Покупка!$F$25:$F$327,$F514,Покупка!$AC$25:$AC$327,$G514)</f>
        <v>0</v>
      </c>
      <c r="AF514" s="1123">
        <f>_xlfn.SUMIFS(Покупка!AF$25:AF$327,Покупка!$F$25:$F$327,$F514,Покупка!$AC$25:$AC$327,$G514)</f>
        <v>0</v>
      </c>
      <c r="AG514" s="1123">
        <f>_xlfn.SUMIFS(Покупка!AG$25:AG$327,Покупка!$F$25:$F$327,$F514,Покупка!$AC$25:$AC$327,$G514)</f>
        <v>0</v>
      </c>
      <c r="AH514" s="1123">
        <f>AG514-AF514</f>
        <v>0</v>
      </c>
      <c r="AI514" s="1123">
        <f>_xlfn.SUMIFS(Покупка!AH$25:AH$327,Покупка!$F$25:$F$327,$F514,Покупка!$AC$25:$AC$327,$G514)</f>
        <v>0</v>
      </c>
      <c r="AJ514" s="1123">
        <f>_xlfn.SUMIFS(Покупка!AI$25:AI$327,Покупка!$F$25:$F$327,$F514,Покупка!$AC$25:$AC$327,$G514)</f>
        <v>0</v>
      </c>
      <c r="AK514" s="1123">
        <f>_xlfn.SUMIFS(Покупка!AJ$25:AJ$327,Покупка!$F$25:$F$327,$F514,Покупка!$AC$25:$AC$327,$G514)</f>
        <v>0</v>
      </c>
      <c r="AL514" s="1123">
        <f>_xlfn.SUMIFS(Покупка!AK$25:AK$327,Покупка!$F$25:$F$327,$F514,Покупка!$AC$25:$AC$327,$G514)</f>
        <v>0</v>
      </c>
      <c r="AM514" s="1123">
        <f>_xlfn.SUMIFS(Покупка!AL$25:AL$327,Покупка!$F$25:$F$327,$F514,Покупка!$AC$25:$AC$327,$G514)</f>
        <v>0</v>
      </c>
      <c r="AN514" s="1123">
        <f>_xlfn.SUMIFS(Покупка!AM$25:AM$327,Покупка!$F$25:$F$327,$F514,Покупка!$AC$25:$AC$327,$G514)</f>
        <v>0</v>
      </c>
      <c r="AO514" s="1123">
        <f>_xlfn.SUMIFS(Покупка!AN$25:AN$327,Покупка!$F$25:$F$327,$F514,Покупка!$AC$25:$AC$327,$G514)</f>
        <v>0</v>
      </c>
      <c r="AP514" s="1123">
        <f>_xlfn.SUMIFS(Покупка!AO$25:AO$327,Покупка!$F$25:$F$327,$F514,Покупка!$AC$25:$AC$327,$G514)</f>
        <v>0</v>
      </c>
      <c r="AQ514" s="1123">
        <f>_xlfn.SUMIFS(Покупка!AP$25:AP$327,Покупка!$F$25:$F$327,$F514,Покупка!$AC$25:$AC$327,$G514)</f>
        <v>0</v>
      </c>
      <c r="AR514" s="1123">
        <f>_xlfn.SUMIFS(Покупка!AQ$25:AQ$327,Покупка!$F$25:$F$327,$F514,Покупка!$AC$25:$AC$327,$G514)</f>
        <v>0</v>
      </c>
      <c r="AS514" s="1123">
        <f>_xlfn.SUMIFS(Покупка!AR$25:AR$327,Покупка!$F$25:$F$327,$F514,Покупка!$AC$25:$AC$327,$G514)</f>
        <v>0</v>
      </c>
      <c r="AT514" s="1123">
        <f>_xlfn.SUMIFS(Покупка!AS$25:AS$327,Покупка!$F$25:$F$327,$F514,Покупка!$AC$25:$AC$327,$G514)</f>
        <v>0</v>
      </c>
      <c r="AU514" s="1123">
        <f>_xlfn.SUMIFS(Покупка!AT$25:AT$327,Покупка!$F$25:$F$327,$F514,Покупка!$AC$25:$AC$327,$G514)</f>
        <v>0</v>
      </c>
      <c r="AV514" s="1123">
        <f>_xlfn.SUMIFS(Покупка!AU$25:AU$327,Покупка!$F$25:$F$327,$F514,Покупка!$AC$25:$AC$327,$G514)</f>
        <v>0</v>
      </c>
      <c r="AW514" s="1123">
        <f>_xlfn.SUMIFS(Покупка!AV$25:AV$327,Покупка!$F$25:$F$327,$F514,Покупка!$AC$25:$AC$327,$G514)</f>
        <v>0</v>
      </c>
      <c r="AX514" s="1123">
        <f>_xlfn.SUMIFS(Покупка!AW$25:AW$327,Покупка!$F$25:$F$327,$F514,Покупка!$AC$25:$AC$327,$G514)</f>
        <v>0</v>
      </c>
      <c r="AY514" s="1123">
        <f>_xlfn.SUMIFS(Покупка!AX$25:AX$327,Покупка!$F$25:$F$327,$F514,Покупка!$AC$25:$AC$327,$G514)</f>
        <v>0</v>
      </c>
      <c r="AZ514" s="1123">
        <f>_xlfn.SUMIFS(Покупка!AY$25:AY$327,Покупка!$F$25:$F$327,$F514,Покупка!$AC$25:$AC$327,$G514)</f>
        <v>0</v>
      </c>
      <c r="BA514" s="1123">
        <f>_xlfn.SUMIFS(Покупка!AZ$25:AZ$327,Покупка!$F$25:$F$327,$F514,Покупка!$AC$25:$AC$327,$G514)</f>
        <v>0</v>
      </c>
      <c r="BB514" s="1123">
        <f>_xlfn.SUMIFS(Покупка!BA$25:BA$327,Покупка!$F$25:$F$327,$F514,Покупка!$AC$25:$AC$327,$G514)</f>
        <v>0</v>
      </c>
      <c r="BC514" s="1123">
        <f>_xlfn.SUMIFS(Покупка!BB$25:BB$327,Покупка!$F$25:$F$327,$F514,Покупка!$AC$25:$AC$327,$G514)</f>
        <v>0</v>
      </c>
      <c r="BD514" s="1123">
        <f>IF(AI514=0,0,(AT514-AI514)/AI514*100)</f>
        <v>0</v>
      </c>
      <c r="BE514" s="1123">
        <f>IF(AT514=0,0,(AU514-AT514)/AT514*100)</f>
        <v>0</v>
      </c>
      <c r="BF514" s="1123">
        <f>IF(AU514=0,0,(AV514-AU514)/AU514*100)</f>
        <v>0</v>
      </c>
      <c r="BG514" s="1123">
        <f>IF(AV514=0,0,(AW514-AV514)/AV514*100)</f>
        <v>0</v>
      </c>
      <c r="BH514" s="1123">
        <f>IF(AW514=0,0,(AX514-AW514)/AW514*100)</f>
        <v>0</v>
      </c>
      <c r="BI514" s="1123">
        <f>IF(AX514=0,0,(AY514-AX514)/AX514*100)</f>
        <v>0</v>
      </c>
      <c r="BJ514" s="1123">
        <f>IF(AY514=0,0,(AZ514-AY514)/AY514*100)</f>
        <v>0</v>
      </c>
      <c r="BK514" s="1123">
        <f>IF(AZ514=0,0,(BA514-AZ514)/AZ514*100)</f>
        <v>0</v>
      </c>
      <c r="BL514" s="1123">
        <f>IF(BA514=0,0,(BB514-BA514)/BA514*100)</f>
        <v>0</v>
      </c>
      <c r="BM514" s="1123">
        <f>IF(BB514=0,0,(BC514-BB514)/BB514*100)</f>
        <v>0</v>
      </c>
      <c r="BN514" s="6290"/>
      <c r="BO514" s="6294" t="str">
        <f>IF(_xlfn.IFERROR(INDEX(Покупка!$K$26:$L$327,MATCH($F514&amp;"2komm",Покупка!$K$26:$K$327,0),2),"")=0,"",_xlfn.IFERROR(INDEX(Покупка!$K$26:$L$327,MATCH($F514&amp;"2komm",Покупка!$K$26:$K$327,0),2),""))</f>
        <v/>
      </c>
      <c r="BP514" s="6290"/>
      <c r="BQ514" s="1297"/>
      <c r="BR514" s="1297"/>
      <c r="BS514" s="1072" t="s">
        <v>2280</v>
      </c>
      <c r="BT514" s="1072"/>
      <c r="BU514" s="1072"/>
      <c r="BV514" s="987"/>
      <c r="BW514" s="987"/>
    </row>
    <row s="1656" customFormat="1" customHeight="1" ht="14.25">
      <c r="A515" s="1297"/>
      <c r="B515" s="986"/>
      <c r="C515" s="103"/>
      <c r="D515" s="103"/>
      <c r="E515" s="626">
        <v>15</v>
      </c>
      <c r="F515" s="50" cm="1" t="str">
        <f t="array" ref="F515:F515">OFFSET(E515,-1,1)</f>
        <v>3</v>
      </c>
      <c r="G515" s="103" t="s">
        <v>1248</v>
      </c>
      <c r="H515" s="103"/>
      <c r="I515" s="103" t="s">
        <v>1901</v>
      </c>
      <c r="J515" s="103"/>
      <c r="K515" s="103" t="s">
        <v>1901</v>
      </c>
      <c r="L515" s="988" t="s">
        <v>1731</v>
      </c>
      <c r="M515" s="103"/>
      <c r="N515" s="103"/>
      <c r="O515" s="103"/>
      <c r="P515" s="103"/>
      <c r="Q515" s="103"/>
      <c r="R515" s="103"/>
      <c r="S515" s="103"/>
      <c r="T515" s="468" cm="1" t="str">
        <f t="array" ref="T515:T515">T514</f>
        <v>true</v>
      </c>
      <c r="U515" s="103"/>
      <c r="V515" s="103"/>
      <c r="W515" s="103"/>
      <c r="X515" s="1559"/>
      <c r="Y515" s="1297"/>
      <c r="Z515" s="1529"/>
      <c r="AA515" s="1297"/>
      <c r="AB515" s="296" t="s">
        <v>2281</v>
      </c>
      <c r="AC515" s="772" t="s">
        <v>2282</v>
      </c>
      <c r="AD515" s="296" t="s">
        <v>936</v>
      </c>
      <c r="AE515" s="1123">
        <f>_xlfn.SUMIFS(Покупка!AE$25:AE$327,Покупка!$F$25:$F$327,$F515,Покупка!$AC$25:$AC$327,$G515)</f>
        <v>0</v>
      </c>
      <c r="AF515" s="1123">
        <f>_xlfn.SUMIFS(Покупка!AF$25:AF$327,Покупка!$F$25:$F$327,$F515,Покупка!$AC$25:$AC$327,$G515)</f>
        <v>0</v>
      </c>
      <c r="AG515" s="1123">
        <f>_xlfn.SUMIFS(Покупка!AG$25:AG$327,Покупка!$F$25:$F$327,$F515,Покупка!$AC$25:$AC$327,$G515)</f>
        <v>0</v>
      </c>
      <c r="AH515" s="1123">
        <f>AG515-AF515</f>
        <v>0</v>
      </c>
      <c r="AI515" s="1123">
        <f>_xlfn.SUMIFS(Покупка!AH$25:AH$327,Покупка!$F$25:$F$327,$F515,Покупка!$AC$25:$AC$327,$G515)</f>
        <v>0</v>
      </c>
      <c r="AJ515" s="1123">
        <f>_xlfn.SUMIFS(Покупка!AI$25:AI$327,Покупка!$F$25:$F$327,$F515,Покупка!$AC$25:$AC$327,$G515)</f>
        <v>0</v>
      </c>
      <c r="AK515" s="1123">
        <f>_xlfn.SUMIFS(Покупка!AJ$25:AJ$327,Покупка!$F$25:$F$327,$F515,Покупка!$AC$25:$AC$327,$G515)</f>
        <v>0</v>
      </c>
      <c r="AL515" s="1123">
        <f>_xlfn.SUMIFS(Покупка!AK$25:AK$327,Покупка!$F$25:$F$327,$F515,Покупка!$AC$25:$AC$327,$G515)</f>
        <v>0</v>
      </c>
      <c r="AM515" s="1123">
        <f>_xlfn.SUMIFS(Покупка!AL$25:AL$327,Покупка!$F$25:$F$327,$F515,Покупка!$AC$25:$AC$327,$G515)</f>
        <v>0</v>
      </c>
      <c r="AN515" s="1123">
        <f>_xlfn.SUMIFS(Покупка!AM$25:AM$327,Покупка!$F$25:$F$327,$F515,Покупка!$AC$25:$AC$327,$G515)</f>
        <v>0</v>
      </c>
      <c r="AO515" s="1123">
        <f>_xlfn.SUMIFS(Покупка!AN$25:AN$327,Покупка!$F$25:$F$327,$F515,Покупка!$AC$25:$AC$327,$G515)</f>
        <v>0</v>
      </c>
      <c r="AP515" s="1123">
        <f>_xlfn.SUMIFS(Покупка!AO$25:AO$327,Покупка!$F$25:$F$327,$F515,Покупка!$AC$25:$AC$327,$G515)</f>
        <v>0</v>
      </c>
      <c r="AQ515" s="1123">
        <f>_xlfn.SUMIFS(Покупка!AP$25:AP$327,Покупка!$F$25:$F$327,$F515,Покупка!$AC$25:$AC$327,$G515)</f>
        <v>0</v>
      </c>
      <c r="AR515" s="1123">
        <f>_xlfn.SUMIFS(Покупка!AQ$25:AQ$327,Покупка!$F$25:$F$327,$F515,Покупка!$AC$25:$AC$327,$G515)</f>
        <v>0</v>
      </c>
      <c r="AS515" s="1123">
        <f>_xlfn.SUMIFS(Покупка!AR$25:AR$327,Покупка!$F$25:$F$327,$F515,Покупка!$AC$25:$AC$327,$G515)</f>
        <v>0</v>
      </c>
      <c r="AT515" s="1123">
        <f>_xlfn.SUMIFS(Покупка!AS$25:AS$327,Покупка!$F$25:$F$327,$F515,Покупка!$AC$25:$AC$327,$G515)</f>
        <v>0</v>
      </c>
      <c r="AU515" s="1123">
        <f>_xlfn.SUMIFS(Покупка!AT$25:AT$327,Покупка!$F$25:$F$327,$F515,Покупка!$AC$25:$AC$327,$G515)</f>
        <v>0</v>
      </c>
      <c r="AV515" s="1123">
        <f>_xlfn.SUMIFS(Покупка!AU$25:AU$327,Покупка!$F$25:$F$327,$F515,Покупка!$AC$25:$AC$327,$G515)</f>
        <v>0</v>
      </c>
      <c r="AW515" s="1123">
        <f>_xlfn.SUMIFS(Покупка!AV$25:AV$327,Покупка!$F$25:$F$327,$F515,Покупка!$AC$25:$AC$327,$G515)</f>
        <v>0</v>
      </c>
      <c r="AX515" s="1123">
        <f>_xlfn.SUMIFS(Покупка!AW$25:AW$327,Покупка!$F$25:$F$327,$F515,Покупка!$AC$25:$AC$327,$G515)</f>
        <v>0</v>
      </c>
      <c r="AY515" s="1123">
        <f>_xlfn.SUMIFS(Покупка!AX$25:AX$327,Покупка!$F$25:$F$327,$F515,Покупка!$AC$25:$AC$327,$G515)</f>
        <v>0</v>
      </c>
      <c r="AZ515" s="1123">
        <f>_xlfn.SUMIFS(Покупка!AY$25:AY$327,Покупка!$F$25:$F$327,$F515,Покупка!$AC$25:$AC$327,$G515)</f>
        <v>0</v>
      </c>
      <c r="BA515" s="1123">
        <f>_xlfn.SUMIFS(Покупка!AZ$25:AZ$327,Покупка!$F$25:$F$327,$F515,Покупка!$AC$25:$AC$327,$G515)</f>
        <v>0</v>
      </c>
      <c r="BB515" s="1123">
        <f>_xlfn.SUMIFS(Покупка!BA$25:BA$327,Покупка!$F$25:$F$327,$F515,Покупка!$AC$25:$AC$327,$G515)</f>
        <v>0</v>
      </c>
      <c r="BC515" s="1123">
        <f>_xlfn.SUMIFS(Покупка!BB$25:BB$327,Покупка!$F$25:$F$327,$F515,Покупка!$AC$25:$AC$327,$G515)</f>
        <v>0</v>
      </c>
      <c r="BD515" s="1123">
        <f>IF(AI515=0,0,(AT515-AI515)/AI515*100)</f>
        <v>0</v>
      </c>
      <c r="BE515" s="1123">
        <f>IF(AT515=0,0,(AU515-AT515)/AT515*100)</f>
        <v>0</v>
      </c>
      <c r="BF515" s="1123">
        <f>IF(AU515=0,0,(AV515-AU515)/AU515*100)</f>
        <v>0</v>
      </c>
      <c r="BG515" s="1123">
        <f>IF(AV515=0,0,(AW515-AV515)/AV515*100)</f>
        <v>0</v>
      </c>
      <c r="BH515" s="1123">
        <f>IF(AW515=0,0,(AX515-AW515)/AW515*100)</f>
        <v>0</v>
      </c>
      <c r="BI515" s="1123">
        <f>IF(AX515=0,0,(AY515-AX515)/AX515*100)</f>
        <v>0</v>
      </c>
      <c r="BJ515" s="1123">
        <f>IF(AY515=0,0,(AZ515-AY515)/AY515*100)</f>
        <v>0</v>
      </c>
      <c r="BK515" s="1123">
        <f>IF(AZ515=0,0,(BA515-AZ515)/AZ515*100)</f>
        <v>0</v>
      </c>
      <c r="BL515" s="1123">
        <f>IF(BA515=0,0,(BB515-BA515)/BA515*100)</f>
        <v>0</v>
      </c>
      <c r="BM515" s="1123">
        <f>IF(BB515=0,0,(BC515-BB515)/BB515*100)</f>
        <v>0</v>
      </c>
      <c r="BN515" s="6290"/>
      <c r="BO515" s="6294" t="str">
        <f>IF(_xlfn.IFERROR(INDEX(Покупка!$K$26:$L$327,MATCH($F515&amp;"1komm",Покупка!$K$26:$K$327,0),2),"")=0,"",_xlfn.IFERROR(INDEX(Покупка!$K$26:$L$327,MATCH($F515&amp;"1komm",Покупка!$K$26:$K$327,0),2),""))</f>
        <v/>
      </c>
      <c r="BP515" s="6290"/>
      <c r="BQ515" s="1297"/>
      <c r="BR515" s="1297"/>
      <c r="BS515" s="1072" t="s">
        <v>2283</v>
      </c>
      <c r="BT515" s="1072"/>
      <c r="BU515" s="1072"/>
      <c r="BV515" s="987"/>
      <c r="BW515" s="987"/>
    </row>
    <row s="1656" customFormat="1" customHeight="1" ht="14.25">
      <c r="A516" s="1297"/>
      <c r="B516" s="986"/>
      <c r="C516" s="103"/>
      <c r="D516" s="103"/>
      <c r="E516" s="626">
        <v>15</v>
      </c>
      <c r="F516" s="50" cm="1" t="str">
        <f t="array" ref="F516:F516">OFFSET(E516,-1,1)</f>
        <v>3</v>
      </c>
      <c r="G516" s="103" t="s">
        <v>1315</v>
      </c>
      <c r="H516" s="103"/>
      <c r="I516" s="103" t="s">
        <v>1904</v>
      </c>
      <c r="J516" s="103"/>
      <c r="K516" s="103" t="s">
        <v>1904</v>
      </c>
      <c r="L516" s="988"/>
      <c r="M516" s="103"/>
      <c r="N516" s="103"/>
      <c r="O516" s="103"/>
      <c r="P516" s="103"/>
      <c r="Q516" s="103"/>
      <c r="R516" s="103"/>
      <c r="S516" s="103"/>
      <c r="T516" s="468" cm="1" t="str">
        <f t="array" ref="T516:T516">T515</f>
        <v>true</v>
      </c>
      <c r="U516" s="103"/>
      <c r="V516" s="103"/>
      <c r="W516" s="103"/>
      <c r="X516" s="1559"/>
      <c r="Y516" s="1297"/>
      <c r="Z516" s="1529"/>
      <c r="AA516" s="1297"/>
      <c r="AB516" s="296" t="s">
        <v>2284</v>
      </c>
      <c r="AC516" s="772" t="s">
        <v>2285</v>
      </c>
      <c r="AD516" s="296" t="s">
        <v>936</v>
      </c>
      <c r="AE516" s="1123">
        <f>_xlfn.SUMIFS(Покупка!AE$25:AE$327,Покупка!$F$25:$F$327,$F516,Покупка!$AC$25:$AC$327,$G516)</f>
        <v>0</v>
      </c>
      <c r="AF516" s="1123">
        <f>_xlfn.SUMIFS(Покупка!AF$25:AF$327,Покупка!$F$25:$F$327,$F516,Покупка!$AC$25:$AC$327,$G516)</f>
        <v>0</v>
      </c>
      <c r="AG516" s="1123">
        <f>_xlfn.SUMIFS(Покупка!AG$25:AG$327,Покупка!$F$25:$F$327,$F516,Покупка!$AC$25:$AC$327,$G516)</f>
        <v>0</v>
      </c>
      <c r="AH516" s="1123">
        <f>AG516-AF516</f>
        <v>0</v>
      </c>
      <c r="AI516" s="1123">
        <f>_xlfn.SUMIFS(Покупка!AH$25:AH$327,Покупка!$F$25:$F$327,$F516,Покупка!$AC$25:$AC$327,$G516)</f>
        <v>0</v>
      </c>
      <c r="AJ516" s="1123">
        <f>_xlfn.SUMIFS(Покупка!AI$25:AI$327,Покупка!$F$25:$F$327,$F516,Покупка!$AC$25:$AC$327,$G516)</f>
        <v>0</v>
      </c>
      <c r="AK516" s="1123">
        <f>_xlfn.SUMIFS(Покупка!AJ$25:AJ$327,Покупка!$F$25:$F$327,$F516,Покупка!$AC$25:$AC$327,$G516)</f>
        <v>0</v>
      </c>
      <c r="AL516" s="1123">
        <f>_xlfn.SUMIFS(Покупка!AK$25:AK$327,Покупка!$F$25:$F$327,$F516,Покупка!$AC$25:$AC$327,$G516)</f>
        <v>0</v>
      </c>
      <c r="AM516" s="1123">
        <f>_xlfn.SUMIFS(Покупка!AL$25:AL$327,Покупка!$F$25:$F$327,$F516,Покупка!$AC$25:$AC$327,$G516)</f>
        <v>0</v>
      </c>
      <c r="AN516" s="1123">
        <f>_xlfn.SUMIFS(Покупка!AM$25:AM$327,Покупка!$F$25:$F$327,$F516,Покупка!$AC$25:$AC$327,$G516)</f>
        <v>0</v>
      </c>
      <c r="AO516" s="1123">
        <f>_xlfn.SUMIFS(Покупка!AN$25:AN$327,Покупка!$F$25:$F$327,$F516,Покупка!$AC$25:$AC$327,$G516)</f>
        <v>0</v>
      </c>
      <c r="AP516" s="1123">
        <f>_xlfn.SUMIFS(Покупка!AO$25:AO$327,Покупка!$F$25:$F$327,$F516,Покупка!$AC$25:$AC$327,$G516)</f>
        <v>0</v>
      </c>
      <c r="AQ516" s="1123">
        <f>_xlfn.SUMIFS(Покупка!AP$25:AP$327,Покупка!$F$25:$F$327,$F516,Покупка!$AC$25:$AC$327,$G516)</f>
        <v>0</v>
      </c>
      <c r="AR516" s="1123">
        <f>_xlfn.SUMIFS(Покупка!AQ$25:AQ$327,Покупка!$F$25:$F$327,$F516,Покупка!$AC$25:$AC$327,$G516)</f>
        <v>0</v>
      </c>
      <c r="AS516" s="1123">
        <f>_xlfn.SUMIFS(Покупка!AR$25:AR$327,Покупка!$F$25:$F$327,$F516,Покупка!$AC$25:$AC$327,$G516)</f>
        <v>0</v>
      </c>
      <c r="AT516" s="1123">
        <f>_xlfn.SUMIFS(Покупка!AS$25:AS$327,Покупка!$F$25:$F$327,$F516,Покупка!$AC$25:$AC$327,$G516)</f>
        <v>0</v>
      </c>
      <c r="AU516" s="1123">
        <f>_xlfn.SUMIFS(Покупка!AT$25:AT$327,Покупка!$F$25:$F$327,$F516,Покупка!$AC$25:$AC$327,$G516)</f>
        <v>0</v>
      </c>
      <c r="AV516" s="1123">
        <f>_xlfn.SUMIFS(Покупка!AU$25:AU$327,Покупка!$F$25:$F$327,$F516,Покупка!$AC$25:$AC$327,$G516)</f>
        <v>0</v>
      </c>
      <c r="AW516" s="1123">
        <f>_xlfn.SUMIFS(Покупка!AV$25:AV$327,Покупка!$F$25:$F$327,$F516,Покупка!$AC$25:$AC$327,$G516)</f>
        <v>0</v>
      </c>
      <c r="AX516" s="1123">
        <f>_xlfn.SUMIFS(Покупка!AW$25:AW$327,Покупка!$F$25:$F$327,$F516,Покупка!$AC$25:$AC$327,$G516)</f>
        <v>0</v>
      </c>
      <c r="AY516" s="1123">
        <f>_xlfn.SUMIFS(Покупка!AX$25:AX$327,Покупка!$F$25:$F$327,$F516,Покупка!$AC$25:$AC$327,$G516)</f>
        <v>0</v>
      </c>
      <c r="AZ516" s="1123">
        <f>_xlfn.SUMIFS(Покупка!AY$25:AY$327,Покупка!$F$25:$F$327,$F516,Покупка!$AC$25:$AC$327,$G516)</f>
        <v>0</v>
      </c>
      <c r="BA516" s="1123">
        <f>_xlfn.SUMIFS(Покупка!AZ$25:AZ$327,Покупка!$F$25:$F$327,$F516,Покупка!$AC$25:$AC$327,$G516)</f>
        <v>0</v>
      </c>
      <c r="BB516" s="1123">
        <f>_xlfn.SUMIFS(Покупка!BA$25:BA$327,Покупка!$F$25:$F$327,$F516,Покупка!$AC$25:$AC$327,$G516)</f>
        <v>0</v>
      </c>
      <c r="BC516" s="1123">
        <f>_xlfn.SUMIFS(Покупка!BB$25:BB$327,Покупка!$F$25:$F$327,$F516,Покупка!$AC$25:$AC$327,$G516)</f>
        <v>0</v>
      </c>
      <c r="BD516" s="1123">
        <f>IF(AI516=0,0,(AT516-AI516)/AI516*100)</f>
        <v>0</v>
      </c>
      <c r="BE516" s="1123">
        <f>IF(AT516=0,0,(AU516-AT516)/AT516*100)</f>
        <v>0</v>
      </c>
      <c r="BF516" s="1123">
        <f>IF(AU516=0,0,(AV516-AU516)/AU516*100)</f>
        <v>0</v>
      </c>
      <c r="BG516" s="1123">
        <f>IF(AV516=0,0,(AW516-AV516)/AV516*100)</f>
        <v>0</v>
      </c>
      <c r="BH516" s="1123">
        <f>IF(AW516=0,0,(AX516-AW516)/AW516*100)</f>
        <v>0</v>
      </c>
      <c r="BI516" s="1123">
        <f>IF(AX516=0,0,(AY516-AX516)/AX516*100)</f>
        <v>0</v>
      </c>
      <c r="BJ516" s="1123">
        <f>IF(AY516=0,0,(AZ516-AY516)/AY516*100)</f>
        <v>0</v>
      </c>
      <c r="BK516" s="1123">
        <f>IF(AZ516=0,0,(BA516-AZ516)/AZ516*100)</f>
        <v>0</v>
      </c>
      <c r="BL516" s="1123">
        <f>IF(BA516=0,0,(BB516-BA516)/BA516*100)</f>
        <v>0</v>
      </c>
      <c r="BM516" s="1123">
        <f>IF(BB516=0,0,(BC516-BB516)/BB516*100)</f>
        <v>0</v>
      </c>
      <c r="BN516" s="6290"/>
      <c r="BO516" s="6294" t="str">
        <f>IF(_xlfn.IFERROR(INDEX(Покупка!$K$26:$L$327,MATCH($F516&amp;"8komm",Покупка!$K$26:$K$327,0),2),"")=0,"",_xlfn.IFERROR(INDEX(Покупка!$K$26:$L$327,MATCH($F516&amp;"8komm",Покупка!$K$26:$K$327,0),2),""))</f>
        <v/>
      </c>
      <c r="BP516" s="6290"/>
      <c r="BQ516" s="1297"/>
      <c r="BR516" s="1297"/>
      <c r="BS516" s="1072" t="s">
        <v>1316</v>
      </c>
      <c r="BT516" s="1072"/>
      <c r="BU516" s="1072"/>
      <c r="BV516" s="987"/>
      <c r="BW516" s="987"/>
    </row>
    <row s="1656" customFormat="1" customHeight="1" ht="14.25">
      <c r="A517" s="1297"/>
      <c r="B517" s="986"/>
      <c r="C517" s="103"/>
      <c r="D517" s="103"/>
      <c r="E517" s="626">
        <v>15</v>
      </c>
      <c r="F517" s="50" cm="1" t="str">
        <f t="array" ref="F517:F517">OFFSET(E517,-1,1)</f>
        <v>3</v>
      </c>
      <c r="G517" s="103"/>
      <c r="H517" s="103"/>
      <c r="I517" s="103" t="s">
        <v>2286</v>
      </c>
      <c r="J517" s="103"/>
      <c r="K517" s="103" t="s">
        <v>2286</v>
      </c>
      <c r="L517" s="988"/>
      <c r="M517" s="103"/>
      <c r="N517" s="103"/>
      <c r="O517" s="103"/>
      <c r="P517" s="103"/>
      <c r="Q517" s="103"/>
      <c r="R517" s="103"/>
      <c r="S517" s="103"/>
      <c r="T517" s="468" cm="1" t="str">
        <f t="array" ref="T517:T517">T516</f>
        <v>true</v>
      </c>
      <c r="U517" s="103"/>
      <c r="V517" s="103"/>
      <c r="W517" s="103"/>
      <c r="X517" s="1559"/>
      <c r="Y517" s="1297"/>
      <c r="Z517" s="1529"/>
      <c r="AA517" s="1297"/>
      <c r="AB517" s="296" t="s">
        <v>2287</v>
      </c>
      <c r="AC517" s="772" t="s">
        <v>2288</v>
      </c>
      <c r="AD517" s="296" t="s">
        <v>936</v>
      </c>
      <c r="AE517" s="6293"/>
      <c r="AF517" s="6293"/>
      <c r="AG517" s="6293"/>
      <c r="AH517" s="1123">
        <f>AG517-AF517</f>
        <v>0</v>
      </c>
      <c r="AI517" s="6293"/>
      <c r="AJ517" s="6293"/>
      <c r="AK517" s="1260"/>
      <c r="AL517" s="1260"/>
      <c r="AM517" s="1260"/>
      <c r="AN517" s="1260"/>
      <c r="AO517" s="1260"/>
      <c r="AP517" s="1260"/>
      <c r="AQ517" s="1260"/>
      <c r="AR517" s="1260"/>
      <c r="AS517" s="1260"/>
      <c r="AT517" s="6293"/>
      <c r="AU517" s="1260"/>
      <c r="AV517" s="1260"/>
      <c r="AW517" s="1260"/>
      <c r="AX517" s="1260"/>
      <c r="AY517" s="1260"/>
      <c r="AZ517" s="1260"/>
      <c r="BA517" s="1260"/>
      <c r="BB517" s="1260"/>
      <c r="BC517" s="1260"/>
      <c r="BD517" s="1123">
        <f>IF(AI517=0,0,(AT517-AI517)/AI517*100)</f>
        <v>0</v>
      </c>
      <c r="BE517" s="1123">
        <f>IF(AT517=0,0,(AU517-AT517)/AT517*100)</f>
        <v>0</v>
      </c>
      <c r="BF517" s="1123">
        <f>IF(AU517=0,0,(AV517-AU517)/AU517*100)</f>
        <v>0</v>
      </c>
      <c r="BG517" s="1123">
        <f>IF(AV517=0,0,(AW517-AV517)/AV517*100)</f>
        <v>0</v>
      </c>
      <c r="BH517" s="1123">
        <f>IF(AW517=0,0,(AX517-AW517)/AW517*100)</f>
        <v>0</v>
      </c>
      <c r="BI517" s="1123">
        <f>IF(AX517=0,0,(AY517-AX517)/AX517*100)</f>
        <v>0</v>
      </c>
      <c r="BJ517" s="1123">
        <f>IF(AY517=0,0,(AZ517-AY517)/AY517*100)</f>
        <v>0</v>
      </c>
      <c r="BK517" s="1123">
        <f>IF(AZ517=0,0,(BA517-AZ517)/AZ517*100)</f>
        <v>0</v>
      </c>
      <c r="BL517" s="1123">
        <f>IF(BA517=0,0,(BB517-BA517)/BA517*100)</f>
        <v>0</v>
      </c>
      <c r="BM517" s="1123">
        <f>IF(BB517=0,0,(BC517-BB517)/BB517*100)</f>
        <v>0</v>
      </c>
      <c r="BN517" s="6290"/>
      <c r="BO517" s="6290"/>
      <c r="BP517" s="6290"/>
      <c r="BQ517" s="1297"/>
      <c r="BR517" s="1297"/>
      <c r="BS517" s="1072" t="s">
        <v>2289</v>
      </c>
      <c r="BT517" s="1072"/>
      <c r="BU517" s="1072"/>
      <c r="BV517" s="987"/>
      <c r="BW517" s="987"/>
    </row>
    <row s="1656" customFormat="1" customHeight="1" ht="14.25">
      <c r="A518" s="1297"/>
      <c r="B518" s="986"/>
      <c r="C518" s="103"/>
      <c r="D518" s="103"/>
      <c r="E518" s="626">
        <v>15</v>
      </c>
      <c r="F518" s="50" cm="1" t="str">
        <f t="array" ref="F518:F518">OFFSET(E518,-1,1)</f>
        <v>3</v>
      </c>
      <c r="G518" s="103"/>
      <c r="H518" s="103"/>
      <c r="I518" s="103" t="s">
        <v>2290</v>
      </c>
      <c r="J518" s="103"/>
      <c r="K518" s="103" t="s">
        <v>2290</v>
      </c>
      <c r="L518" s="988"/>
      <c r="M518" s="103"/>
      <c r="N518" s="103"/>
      <c r="O518" s="103"/>
      <c r="P518" s="103"/>
      <c r="Q518" s="103"/>
      <c r="R518" s="103"/>
      <c r="S518" s="103"/>
      <c r="T518" s="468" cm="1" t="str">
        <f t="array" ref="T518:T518">T517</f>
        <v>true</v>
      </c>
      <c r="U518" s="103"/>
      <c r="V518" s="103"/>
      <c r="W518" s="103"/>
      <c r="X518" s="1559"/>
      <c r="Y518" s="1297"/>
      <c r="Z518" s="1529"/>
      <c r="AA518" s="1297"/>
      <c r="AB518" s="296" t="s">
        <v>2291</v>
      </c>
      <c r="AC518" s="772" t="s">
        <v>2292</v>
      </c>
      <c r="AD518" s="296" t="s">
        <v>936</v>
      </c>
      <c r="AE518" s="6293"/>
      <c r="AF518" s="6293"/>
      <c r="AG518" s="6293"/>
      <c r="AH518" s="1123">
        <f>AG518-AF518</f>
        <v>0</v>
      </c>
      <c r="AI518" s="6293"/>
      <c r="AJ518" s="6293"/>
      <c r="AK518" s="1260"/>
      <c r="AL518" s="1260"/>
      <c r="AM518" s="1260"/>
      <c r="AN518" s="1260"/>
      <c r="AO518" s="1260"/>
      <c r="AP518" s="1260"/>
      <c r="AQ518" s="1260"/>
      <c r="AR518" s="1260"/>
      <c r="AS518" s="1260"/>
      <c r="AT518" s="6293"/>
      <c r="AU518" s="1260"/>
      <c r="AV518" s="1260"/>
      <c r="AW518" s="1260"/>
      <c r="AX518" s="1260"/>
      <c r="AY518" s="1260"/>
      <c r="AZ518" s="1260"/>
      <c r="BA518" s="1260"/>
      <c r="BB518" s="1260"/>
      <c r="BC518" s="1260"/>
      <c r="BD518" s="1123">
        <f>IF(AI518=0,0,(AT518-AI518)/AI518*100)</f>
        <v>0</v>
      </c>
      <c r="BE518" s="1123">
        <f>IF(AT518=0,0,(AU518-AT518)/AT518*100)</f>
        <v>0</v>
      </c>
      <c r="BF518" s="1123">
        <f>IF(AU518=0,0,(AV518-AU518)/AU518*100)</f>
        <v>0</v>
      </c>
      <c r="BG518" s="1123">
        <f>IF(AV518=0,0,(AW518-AV518)/AV518*100)</f>
        <v>0</v>
      </c>
      <c r="BH518" s="1123">
        <f>IF(AW518=0,0,(AX518-AW518)/AW518*100)</f>
        <v>0</v>
      </c>
      <c r="BI518" s="1123">
        <f>IF(AX518=0,0,(AY518-AX518)/AX518*100)</f>
        <v>0</v>
      </c>
      <c r="BJ518" s="1123">
        <f>IF(AY518=0,0,(AZ518-AY518)/AY518*100)</f>
        <v>0</v>
      </c>
      <c r="BK518" s="1123">
        <f>IF(AZ518=0,0,(BA518-AZ518)/AZ518*100)</f>
        <v>0</v>
      </c>
      <c r="BL518" s="1123">
        <f>IF(BA518=0,0,(BB518-BA518)/BA518*100)</f>
        <v>0</v>
      </c>
      <c r="BM518" s="1123">
        <f>IF(BB518=0,0,(BC518-BB518)/BB518*100)</f>
        <v>0</v>
      </c>
      <c r="BN518" s="6290"/>
      <c r="BO518" s="6290"/>
      <c r="BP518" s="6290"/>
      <c r="BQ518" s="1297"/>
      <c r="BR518" s="1297"/>
      <c r="BS518" s="1072" t="s">
        <v>2293</v>
      </c>
      <c r="BT518" s="1072"/>
      <c r="BU518" s="1072"/>
      <c r="BV518" s="987"/>
      <c r="BW518" s="987"/>
    </row>
    <row s="1656" customFormat="1" customHeight="1" ht="14.25">
      <c r="A519" s="1297"/>
      <c r="B519" s="986"/>
      <c r="C519" s="103"/>
      <c r="D519" s="103"/>
      <c r="E519" s="626">
        <v>15</v>
      </c>
      <c r="F519" s="50" cm="1" t="str">
        <f t="array" ref="F519:F519">OFFSET(E519,-1,1)</f>
        <v>3</v>
      </c>
      <c r="G519" s="103" t="s">
        <v>1267</v>
      </c>
      <c r="H519" s="103"/>
      <c r="I519" s="103" t="s">
        <v>2294</v>
      </c>
      <c r="J519" s="103"/>
      <c r="K519" s="103" t="s">
        <v>2294</v>
      </c>
      <c r="L519" s="988" t="s">
        <v>1745</v>
      </c>
      <c r="M519" s="103"/>
      <c r="N519" s="103"/>
      <c r="O519" s="103"/>
      <c r="P519" s="103"/>
      <c r="Q519" s="103"/>
      <c r="R519" s="103"/>
      <c r="S519" s="103"/>
      <c r="T519" s="468" cm="1" t="str">
        <f t="array" ref="T519:T519">T518</f>
        <v>true</v>
      </c>
      <c r="U519" s="103"/>
      <c r="V519" s="103"/>
      <c r="W519" s="103"/>
      <c r="X519" s="1559"/>
      <c r="Y519" s="1297"/>
      <c r="Z519" s="1529"/>
      <c r="AA519" s="1297"/>
      <c r="AB519" s="296" t="s">
        <v>2295</v>
      </c>
      <c r="AC519" s="772" t="s">
        <v>2296</v>
      </c>
      <c r="AD519" s="296" t="s">
        <v>936</v>
      </c>
      <c r="AE519" s="1123">
        <f>_xlfn.SUMIFS(Покупка!AE$25:AE$327,Покупка!$F$25:$F$327,$F519,Покупка!$AC$25:$AC$327,$G519)</f>
        <v>0</v>
      </c>
      <c r="AF519" s="1123">
        <f>_xlfn.SUMIFS(Покупка!AF$25:AF$327,Покупка!$F$25:$F$327,$F519,Покупка!$AC$25:$AC$327,$G519)</f>
        <v>0</v>
      </c>
      <c r="AG519" s="1123">
        <f>_xlfn.SUMIFS(Покупка!AG$25:AG$327,Покупка!$F$25:$F$327,$F519,Покупка!$AC$25:$AC$327,$G519)</f>
        <v>0</v>
      </c>
      <c r="AH519" s="1123">
        <f>AG519-AF519</f>
        <v>0</v>
      </c>
      <c r="AI519" s="1123">
        <f>_xlfn.SUMIFS(Покупка!AH$25:AH$327,Покупка!$F$25:$F$327,$F519,Покупка!$AC$25:$AC$327,$G519)</f>
        <v>0</v>
      </c>
      <c r="AJ519" s="1123">
        <f>_xlfn.SUMIFS(Покупка!AI$25:AI$327,Покупка!$F$25:$F$327,$F519,Покупка!$AC$25:$AC$327,$G519)</f>
        <v>0</v>
      </c>
      <c r="AK519" s="1123">
        <f>_xlfn.SUMIFS(Покупка!AJ$25:AJ$327,Покупка!$F$25:$F$327,$F519,Покупка!$AC$25:$AC$327,$G519)</f>
        <v>0</v>
      </c>
      <c r="AL519" s="1123">
        <f>_xlfn.SUMIFS(Покупка!AK$25:AK$327,Покупка!$F$25:$F$327,$F519,Покупка!$AC$25:$AC$327,$G519)</f>
        <v>0</v>
      </c>
      <c r="AM519" s="1123">
        <f>_xlfn.SUMIFS(Покупка!AL$25:AL$327,Покупка!$F$25:$F$327,$F519,Покупка!$AC$25:$AC$327,$G519)</f>
        <v>0</v>
      </c>
      <c r="AN519" s="1123">
        <f>_xlfn.SUMIFS(Покупка!AM$25:AM$327,Покупка!$F$25:$F$327,$F519,Покупка!$AC$25:$AC$327,$G519)</f>
        <v>0</v>
      </c>
      <c r="AO519" s="1123">
        <f>_xlfn.SUMIFS(Покупка!AN$25:AN$327,Покупка!$F$25:$F$327,$F519,Покупка!$AC$25:$AC$327,$G519)</f>
        <v>0</v>
      </c>
      <c r="AP519" s="1123">
        <f>_xlfn.SUMIFS(Покупка!AO$25:AO$327,Покупка!$F$25:$F$327,$F519,Покупка!$AC$25:$AC$327,$G519)</f>
        <v>0</v>
      </c>
      <c r="AQ519" s="1123">
        <f>_xlfn.SUMIFS(Покупка!AP$25:AP$327,Покупка!$F$25:$F$327,$F519,Покупка!$AC$25:$AC$327,$G519)</f>
        <v>0</v>
      </c>
      <c r="AR519" s="1123">
        <f>_xlfn.SUMIFS(Покупка!AQ$25:AQ$327,Покупка!$F$25:$F$327,$F519,Покупка!$AC$25:$AC$327,$G519)</f>
        <v>0</v>
      </c>
      <c r="AS519" s="1123">
        <f>_xlfn.SUMIFS(Покупка!AR$25:AR$327,Покупка!$F$25:$F$327,$F519,Покупка!$AC$25:$AC$327,$G519)</f>
        <v>0</v>
      </c>
      <c r="AT519" s="1123">
        <f>_xlfn.SUMIFS(Покупка!AS$25:AS$327,Покупка!$F$25:$F$327,$F519,Покупка!$AC$25:$AC$327,$G519)</f>
        <v>0</v>
      </c>
      <c r="AU519" s="1123">
        <f>_xlfn.SUMIFS(Покупка!AT$25:AT$327,Покупка!$F$25:$F$327,$F519,Покупка!$AC$25:$AC$327,$G519)</f>
        <v>0</v>
      </c>
      <c r="AV519" s="1123">
        <f>_xlfn.SUMIFS(Покупка!AU$25:AU$327,Покупка!$F$25:$F$327,$F519,Покупка!$AC$25:$AC$327,$G519)</f>
        <v>0</v>
      </c>
      <c r="AW519" s="1123">
        <f>_xlfn.SUMIFS(Покупка!AV$25:AV$327,Покупка!$F$25:$F$327,$F519,Покупка!$AC$25:$AC$327,$G519)</f>
        <v>0</v>
      </c>
      <c r="AX519" s="1123">
        <f>_xlfn.SUMIFS(Покупка!AW$25:AW$327,Покупка!$F$25:$F$327,$F519,Покупка!$AC$25:$AC$327,$G519)</f>
        <v>0</v>
      </c>
      <c r="AY519" s="1123">
        <f>_xlfn.SUMIFS(Покупка!AX$25:AX$327,Покупка!$F$25:$F$327,$F519,Покупка!$AC$25:$AC$327,$G519)</f>
        <v>0</v>
      </c>
      <c r="AZ519" s="1123">
        <f>_xlfn.SUMIFS(Покупка!AY$25:AY$327,Покупка!$F$25:$F$327,$F519,Покупка!$AC$25:$AC$327,$G519)</f>
        <v>0</v>
      </c>
      <c r="BA519" s="1123">
        <f>_xlfn.SUMIFS(Покупка!AZ$25:AZ$327,Покупка!$F$25:$F$327,$F519,Покупка!$AC$25:$AC$327,$G519)</f>
        <v>0</v>
      </c>
      <c r="BB519" s="1123">
        <f>_xlfn.SUMIFS(Покупка!BA$25:BA$327,Покупка!$F$25:$F$327,$F519,Покупка!$AC$25:$AC$327,$G519)</f>
        <v>0</v>
      </c>
      <c r="BC519" s="1123">
        <f>_xlfn.SUMIFS(Покупка!BB$25:BB$327,Покупка!$F$25:$F$327,$F519,Покупка!$AC$25:$AC$327,$G519)</f>
        <v>0</v>
      </c>
      <c r="BD519" s="1123">
        <f>IF(AI519=0,0,(AT519-AI519)/AI519*100)</f>
        <v>0</v>
      </c>
      <c r="BE519" s="1123">
        <f>IF(AT519=0,0,(AU519-AT519)/AT519*100)</f>
        <v>0</v>
      </c>
      <c r="BF519" s="1123">
        <f>IF(AU519=0,0,(AV519-AU519)/AU519*100)</f>
        <v>0</v>
      </c>
      <c r="BG519" s="1123">
        <f>IF(AV519=0,0,(AW519-AV519)/AV519*100)</f>
        <v>0</v>
      </c>
      <c r="BH519" s="1123">
        <f>IF(AW519=0,0,(AX519-AW519)/AW519*100)</f>
        <v>0</v>
      </c>
      <c r="BI519" s="1123">
        <f>IF(AX519=0,0,(AY519-AX519)/AX519*100)</f>
        <v>0</v>
      </c>
      <c r="BJ519" s="1123">
        <f>IF(AY519=0,0,(AZ519-AY519)/AY519*100)</f>
        <v>0</v>
      </c>
      <c r="BK519" s="1123">
        <f>IF(AZ519=0,0,(BA519-AZ519)/AZ519*100)</f>
        <v>0</v>
      </c>
      <c r="BL519" s="1123">
        <f>IF(BA519=0,0,(BB519-BA519)/BA519*100)</f>
        <v>0</v>
      </c>
      <c r="BM519" s="1123">
        <f>IF(BB519=0,0,(BC519-BB519)/BB519*100)</f>
        <v>0</v>
      </c>
      <c r="BN519" s="6290"/>
      <c r="BO519" s="6294" t="str">
        <f>IF(_xlfn.IFERROR(INDEX(Покупка!$K$26:$L$327,MATCH($F519&amp;"3komm",Покупка!$K$26:$K$327,0),2),"")=0,"",_xlfn.IFERROR(INDEX(Покупка!$K$26:$L$327,MATCH($F519&amp;"3komm",Покупка!$K$26:$K$327,0),2),""))</f>
        <v/>
      </c>
      <c r="BP519" s="6290"/>
      <c r="BQ519" s="1297"/>
      <c r="BR519" s="1297"/>
      <c r="BS519" s="1072" t="s">
        <v>1997</v>
      </c>
      <c r="BT519" s="1072"/>
      <c r="BU519" s="1072"/>
      <c r="BV519" s="987"/>
      <c r="BW519" s="987"/>
    </row>
    <row s="1656" customFormat="1" customHeight="1" ht="14.25">
      <c r="A520" s="1297"/>
      <c r="B520" s="986"/>
      <c r="C520" s="103"/>
      <c r="D520" s="103"/>
      <c r="E520" s="626">
        <v>15</v>
      </c>
      <c r="F520" s="50" cm="1" t="str">
        <f t="array" ref="F520:F520">OFFSET(E520,-1,1)</f>
        <v>3</v>
      </c>
      <c r="G520" s="103" t="s">
        <v>1273</v>
      </c>
      <c r="H520" s="103"/>
      <c r="I520" s="103" t="s">
        <v>2297</v>
      </c>
      <c r="J520" s="103"/>
      <c r="K520" s="103" t="s">
        <v>2297</v>
      </c>
      <c r="L520" s="988" t="s">
        <v>1750</v>
      </c>
      <c r="M520" s="103"/>
      <c r="N520" s="103"/>
      <c r="O520" s="103"/>
      <c r="P520" s="103"/>
      <c r="Q520" s="103"/>
      <c r="R520" s="103"/>
      <c r="S520" s="103"/>
      <c r="T520" s="468" cm="1" t="str">
        <f t="array" ref="T520:T520">T519</f>
        <v>true</v>
      </c>
      <c r="U520" s="103"/>
      <c r="V520" s="103"/>
      <c r="W520" s="103"/>
      <c r="X520" s="1559"/>
      <c r="Y520" s="1297"/>
      <c r="Z520" s="1529"/>
      <c r="AA520" s="1297"/>
      <c r="AB520" s="296" t="s">
        <v>2298</v>
      </c>
      <c r="AC520" s="772" t="s">
        <v>2299</v>
      </c>
      <c r="AD520" s="296" t="s">
        <v>936</v>
      </c>
      <c r="AE520" s="1123">
        <f>_xlfn.SUMIFS(Покупка!AE$25:AE$327,Покупка!$F$25:$F$327,$F520,Покупка!$AC$25:$AC$327,$G520)</f>
        <v>0</v>
      </c>
      <c r="AF520" s="1123">
        <f>_xlfn.SUMIFS(Покупка!AF$25:AF$327,Покупка!$F$25:$F$327,$F520,Покупка!$AC$25:$AC$327,$G520)</f>
        <v>0</v>
      </c>
      <c r="AG520" s="1123">
        <f>_xlfn.SUMIFS(Покупка!AG$25:AG$327,Покупка!$F$25:$F$327,$F520,Покупка!$AC$25:$AC$327,$G520)</f>
        <v>0</v>
      </c>
      <c r="AH520" s="1123">
        <f>AG520-AF520</f>
        <v>0</v>
      </c>
      <c r="AI520" s="1123">
        <f>_xlfn.SUMIFS(Покупка!AH$25:AH$327,Покупка!$F$25:$F$327,$F520,Покупка!$AC$25:$AC$327,$G520)</f>
        <v>0</v>
      </c>
      <c r="AJ520" s="1123">
        <f>_xlfn.SUMIFS(Покупка!AI$25:AI$327,Покупка!$F$25:$F$327,$F520,Покупка!$AC$25:$AC$327,$G520)</f>
        <v>0</v>
      </c>
      <c r="AK520" s="1123">
        <f>_xlfn.SUMIFS(Покупка!AJ$25:AJ$327,Покупка!$F$25:$F$327,$F520,Покупка!$AC$25:$AC$327,$G520)</f>
        <v>0</v>
      </c>
      <c r="AL520" s="1123">
        <f>_xlfn.SUMIFS(Покупка!AK$25:AK$327,Покупка!$F$25:$F$327,$F520,Покупка!$AC$25:$AC$327,$G520)</f>
        <v>0</v>
      </c>
      <c r="AM520" s="1123">
        <f>_xlfn.SUMIFS(Покупка!AL$25:AL$327,Покупка!$F$25:$F$327,$F520,Покупка!$AC$25:$AC$327,$G520)</f>
        <v>0</v>
      </c>
      <c r="AN520" s="1123">
        <f>_xlfn.SUMIFS(Покупка!AM$25:AM$327,Покупка!$F$25:$F$327,$F520,Покупка!$AC$25:$AC$327,$G520)</f>
        <v>0</v>
      </c>
      <c r="AO520" s="1123">
        <f>_xlfn.SUMIFS(Покупка!AN$25:AN$327,Покупка!$F$25:$F$327,$F520,Покупка!$AC$25:$AC$327,$G520)</f>
        <v>0</v>
      </c>
      <c r="AP520" s="1123">
        <f>_xlfn.SUMIFS(Покупка!AO$25:AO$327,Покупка!$F$25:$F$327,$F520,Покупка!$AC$25:$AC$327,$G520)</f>
        <v>0</v>
      </c>
      <c r="AQ520" s="1123">
        <f>_xlfn.SUMIFS(Покупка!AP$25:AP$327,Покупка!$F$25:$F$327,$F520,Покупка!$AC$25:$AC$327,$G520)</f>
        <v>0</v>
      </c>
      <c r="AR520" s="1123">
        <f>_xlfn.SUMIFS(Покупка!AQ$25:AQ$327,Покупка!$F$25:$F$327,$F520,Покупка!$AC$25:$AC$327,$G520)</f>
        <v>0</v>
      </c>
      <c r="AS520" s="1123">
        <f>_xlfn.SUMIFS(Покупка!AR$25:AR$327,Покупка!$F$25:$F$327,$F520,Покупка!$AC$25:$AC$327,$G520)</f>
        <v>0</v>
      </c>
      <c r="AT520" s="1123">
        <f>_xlfn.SUMIFS(Покупка!AS$25:AS$327,Покупка!$F$25:$F$327,$F520,Покупка!$AC$25:$AC$327,$G520)</f>
        <v>0</v>
      </c>
      <c r="AU520" s="1123">
        <f>_xlfn.SUMIFS(Покупка!AT$25:AT$327,Покупка!$F$25:$F$327,$F520,Покупка!$AC$25:$AC$327,$G520)</f>
        <v>0</v>
      </c>
      <c r="AV520" s="1123">
        <f>_xlfn.SUMIFS(Покупка!AU$25:AU$327,Покупка!$F$25:$F$327,$F520,Покупка!$AC$25:$AC$327,$G520)</f>
        <v>0</v>
      </c>
      <c r="AW520" s="1123">
        <f>_xlfn.SUMIFS(Покупка!AV$25:AV$327,Покупка!$F$25:$F$327,$F520,Покупка!$AC$25:$AC$327,$G520)</f>
        <v>0</v>
      </c>
      <c r="AX520" s="1123">
        <f>_xlfn.SUMIFS(Покупка!AW$25:AW$327,Покупка!$F$25:$F$327,$F520,Покупка!$AC$25:$AC$327,$G520)</f>
        <v>0</v>
      </c>
      <c r="AY520" s="1123">
        <f>_xlfn.SUMIFS(Покупка!AX$25:AX$327,Покупка!$F$25:$F$327,$F520,Покупка!$AC$25:$AC$327,$G520)</f>
        <v>0</v>
      </c>
      <c r="AZ520" s="1123">
        <f>_xlfn.SUMIFS(Покупка!AY$25:AY$327,Покупка!$F$25:$F$327,$F520,Покупка!$AC$25:$AC$327,$G520)</f>
        <v>0</v>
      </c>
      <c r="BA520" s="1123">
        <f>_xlfn.SUMIFS(Покупка!AZ$25:AZ$327,Покупка!$F$25:$F$327,$F520,Покупка!$AC$25:$AC$327,$G520)</f>
        <v>0</v>
      </c>
      <c r="BB520" s="1123">
        <f>_xlfn.SUMIFS(Покупка!BA$25:BA$327,Покупка!$F$25:$F$327,$F520,Покупка!$AC$25:$AC$327,$G520)</f>
        <v>0</v>
      </c>
      <c r="BC520" s="1123">
        <f>_xlfn.SUMIFS(Покупка!BB$25:BB$327,Покупка!$F$25:$F$327,$F520,Покупка!$AC$25:$AC$327,$G520)</f>
        <v>0</v>
      </c>
      <c r="BD520" s="1123">
        <f>IF(AI520=0,0,(AT520-AI520)/AI520*100)</f>
        <v>0</v>
      </c>
      <c r="BE520" s="1123">
        <f>IF(AT520=0,0,(AU520-AT520)/AT520*100)</f>
        <v>0</v>
      </c>
      <c r="BF520" s="1123">
        <f>IF(AU520=0,0,(AV520-AU520)/AU520*100)</f>
        <v>0</v>
      </c>
      <c r="BG520" s="1123">
        <f>IF(AV520=0,0,(AW520-AV520)/AV520*100)</f>
        <v>0</v>
      </c>
      <c r="BH520" s="1123">
        <f>IF(AW520=0,0,(AX520-AW520)/AW520*100)</f>
        <v>0</v>
      </c>
      <c r="BI520" s="1123">
        <f>IF(AX520=0,0,(AY520-AX520)/AX520*100)</f>
        <v>0</v>
      </c>
      <c r="BJ520" s="1123">
        <f>IF(AY520=0,0,(AZ520-AY520)/AY520*100)</f>
        <v>0</v>
      </c>
      <c r="BK520" s="1123">
        <f>IF(AZ520=0,0,(BA520-AZ520)/AZ520*100)</f>
        <v>0</v>
      </c>
      <c r="BL520" s="1123">
        <f>IF(BA520=0,0,(BB520-BA520)/BA520*100)</f>
        <v>0</v>
      </c>
      <c r="BM520" s="1123">
        <f>IF(BB520=0,0,(BC520-BB520)/BB520*100)</f>
        <v>0</v>
      </c>
      <c r="BN520" s="6290"/>
      <c r="BO520" s="6294" t="str">
        <f>IF(_xlfn.IFERROR(INDEX(Покупка!$K$26:$L$327,MATCH($F520&amp;"4komm",Покупка!$K$26:$K$327,0),2),"")=0,"",_xlfn.IFERROR(INDEX(Покупка!$K$26:$L$327,MATCH($F519&amp;"3komm",Покупка!$K$26:$K$327,0),2),""))</f>
        <v/>
      </c>
      <c r="BP520" s="6290"/>
      <c r="BQ520" s="1297"/>
      <c r="BR520" s="1297"/>
      <c r="BS520" s="1072" t="s">
        <v>2000</v>
      </c>
      <c r="BT520" s="1072"/>
      <c r="BU520" s="1072"/>
      <c r="BV520" s="987"/>
      <c r="BW520" s="987"/>
    </row>
    <row s="1656" customFormat="1" customHeight="1" ht="14.25">
      <c r="A521" s="1297"/>
      <c r="B521" s="986"/>
      <c r="C521" s="103"/>
      <c r="D521" s="103"/>
      <c r="E521" s="626">
        <v>15</v>
      </c>
      <c r="F521" s="50" cm="1" t="str">
        <f t="array" ref="F521:F521">OFFSET(E521,-1,1)</f>
        <v>3</v>
      </c>
      <c r="G521" s="103" t="s">
        <v>1280</v>
      </c>
      <c r="H521" s="103"/>
      <c r="I521" s="103" t="s">
        <v>2300</v>
      </c>
      <c r="J521" s="103"/>
      <c r="K521" s="103" t="s">
        <v>2300</v>
      </c>
      <c r="L521" s="988" t="s">
        <v>1760</v>
      </c>
      <c r="M521" s="103"/>
      <c r="N521" s="103"/>
      <c r="O521" s="103"/>
      <c r="P521" s="103"/>
      <c r="Q521" s="103"/>
      <c r="R521" s="103"/>
      <c r="S521" s="103"/>
      <c r="T521" s="468" cm="1" t="str">
        <f t="array" ref="T521:T521">T520</f>
        <v>true</v>
      </c>
      <c r="U521" s="103"/>
      <c r="V521" s="103"/>
      <c r="W521" s="103"/>
      <c r="X521" s="1559"/>
      <c r="Y521" s="1297"/>
      <c r="Z521" s="1529"/>
      <c r="AA521" s="1297"/>
      <c r="AB521" s="296" t="s">
        <v>2301</v>
      </c>
      <c r="AC521" s="772" t="s">
        <v>2302</v>
      </c>
      <c r="AD521" s="296" t="s">
        <v>936</v>
      </c>
      <c r="AE521" s="1123">
        <f>_xlfn.SUMIFS(Покупка!AE$25:AE$327,Покупка!$F$25:$F$327,$F521,Покупка!$AC$25:$AC$327,$G521)</f>
        <v>0</v>
      </c>
      <c r="AF521" s="1123">
        <f>_xlfn.SUMIFS(Покупка!AF$25:AF$327,Покупка!$F$25:$F$327,$F521,Покупка!$AC$25:$AC$327,$G521)</f>
        <v>0</v>
      </c>
      <c r="AG521" s="1123">
        <f>_xlfn.SUMIFS(Покупка!AG$25:AG$327,Покупка!$F$25:$F$327,$F521,Покупка!$AC$25:$AC$327,$G521)</f>
        <v>0</v>
      </c>
      <c r="AH521" s="1123">
        <f>AG521-AF521</f>
        <v>0</v>
      </c>
      <c r="AI521" s="1123">
        <f>_xlfn.SUMIFS(Покупка!AH$25:AH$327,Покупка!$F$25:$F$327,$F521,Покупка!$AC$25:$AC$327,$G521)</f>
        <v>0</v>
      </c>
      <c r="AJ521" s="1123">
        <f>_xlfn.SUMIFS(Покупка!AI$25:AI$327,Покупка!$F$25:$F$327,$F521,Покупка!$AC$25:$AC$327,$G521)</f>
        <v>0</v>
      </c>
      <c r="AK521" s="1123">
        <f>_xlfn.SUMIFS(Покупка!AJ$25:AJ$327,Покупка!$F$25:$F$327,$F521,Покупка!$AC$25:$AC$327,$G521)</f>
        <v>0</v>
      </c>
      <c r="AL521" s="1123">
        <f>_xlfn.SUMIFS(Покупка!AK$25:AK$327,Покупка!$F$25:$F$327,$F521,Покупка!$AC$25:$AC$327,$G521)</f>
        <v>0</v>
      </c>
      <c r="AM521" s="1123">
        <f>_xlfn.SUMIFS(Покупка!AL$25:AL$327,Покупка!$F$25:$F$327,$F521,Покупка!$AC$25:$AC$327,$G521)</f>
        <v>0</v>
      </c>
      <c r="AN521" s="1123">
        <f>_xlfn.SUMIFS(Покупка!AM$25:AM$327,Покупка!$F$25:$F$327,$F521,Покупка!$AC$25:$AC$327,$G521)</f>
        <v>0</v>
      </c>
      <c r="AO521" s="1123">
        <f>_xlfn.SUMIFS(Покупка!AN$25:AN$327,Покупка!$F$25:$F$327,$F521,Покупка!$AC$25:$AC$327,$G521)</f>
        <v>0</v>
      </c>
      <c r="AP521" s="1123">
        <f>_xlfn.SUMIFS(Покупка!AO$25:AO$327,Покупка!$F$25:$F$327,$F521,Покупка!$AC$25:$AC$327,$G521)</f>
        <v>0</v>
      </c>
      <c r="AQ521" s="1123">
        <f>_xlfn.SUMIFS(Покупка!AP$25:AP$327,Покупка!$F$25:$F$327,$F521,Покупка!$AC$25:$AC$327,$G521)</f>
        <v>0</v>
      </c>
      <c r="AR521" s="1123">
        <f>_xlfn.SUMIFS(Покупка!AQ$25:AQ$327,Покупка!$F$25:$F$327,$F521,Покупка!$AC$25:$AC$327,$G521)</f>
        <v>0</v>
      </c>
      <c r="AS521" s="1123">
        <f>_xlfn.SUMIFS(Покупка!AR$25:AR$327,Покупка!$F$25:$F$327,$F521,Покупка!$AC$25:$AC$327,$G521)</f>
        <v>0</v>
      </c>
      <c r="AT521" s="1123">
        <f>_xlfn.SUMIFS(Покупка!AS$25:AS$327,Покупка!$F$25:$F$327,$F521,Покупка!$AC$25:$AC$327,$G521)</f>
        <v>0</v>
      </c>
      <c r="AU521" s="1123">
        <f>_xlfn.SUMIFS(Покупка!AT$25:AT$327,Покупка!$F$25:$F$327,$F521,Покупка!$AC$25:$AC$327,$G521)</f>
        <v>0</v>
      </c>
      <c r="AV521" s="1123">
        <f>_xlfn.SUMIFS(Покупка!AU$25:AU$327,Покупка!$F$25:$F$327,$F521,Покупка!$AC$25:$AC$327,$G521)</f>
        <v>0</v>
      </c>
      <c r="AW521" s="1123">
        <f>_xlfn.SUMIFS(Покупка!AV$25:AV$327,Покупка!$F$25:$F$327,$F521,Покупка!$AC$25:$AC$327,$G521)</f>
        <v>0</v>
      </c>
      <c r="AX521" s="1123">
        <f>_xlfn.SUMIFS(Покупка!AW$25:AW$327,Покупка!$F$25:$F$327,$F521,Покупка!$AC$25:$AC$327,$G521)</f>
        <v>0</v>
      </c>
      <c r="AY521" s="1123">
        <f>_xlfn.SUMIFS(Покупка!AX$25:AX$327,Покупка!$F$25:$F$327,$F521,Покупка!$AC$25:$AC$327,$G521)</f>
        <v>0</v>
      </c>
      <c r="AZ521" s="1123">
        <f>_xlfn.SUMIFS(Покупка!AY$25:AY$327,Покупка!$F$25:$F$327,$F521,Покупка!$AC$25:$AC$327,$G521)</f>
        <v>0</v>
      </c>
      <c r="BA521" s="1123">
        <f>_xlfn.SUMIFS(Покупка!AZ$25:AZ$327,Покупка!$F$25:$F$327,$F521,Покупка!$AC$25:$AC$327,$G521)</f>
        <v>0</v>
      </c>
      <c r="BB521" s="1123">
        <f>_xlfn.SUMIFS(Покупка!BA$25:BA$327,Покупка!$F$25:$F$327,$F521,Покупка!$AC$25:$AC$327,$G521)</f>
        <v>0</v>
      </c>
      <c r="BC521" s="1123">
        <f>_xlfn.SUMIFS(Покупка!BB$25:BB$327,Покупка!$F$25:$F$327,$F521,Покупка!$AC$25:$AC$327,$G521)</f>
        <v>0</v>
      </c>
      <c r="BD521" s="1123">
        <f>IF(AI521=0,0,(AT521-AI521)/AI521*100)</f>
        <v>0</v>
      </c>
      <c r="BE521" s="1123">
        <f>IF(AT521=0,0,(AU521-AT521)/AT521*100)</f>
        <v>0</v>
      </c>
      <c r="BF521" s="1123">
        <f>IF(AU521=0,0,(AV521-AU521)/AU521*100)</f>
        <v>0</v>
      </c>
      <c r="BG521" s="1123">
        <f>IF(AV521=0,0,(AW521-AV521)/AV521*100)</f>
        <v>0</v>
      </c>
      <c r="BH521" s="1123">
        <f>IF(AW521=0,0,(AX521-AW521)/AW521*100)</f>
        <v>0</v>
      </c>
      <c r="BI521" s="1123">
        <f>IF(AX521=0,0,(AY521-AX521)/AX521*100)</f>
        <v>0</v>
      </c>
      <c r="BJ521" s="1123">
        <f>IF(AY521=0,0,(AZ521-AY521)/AY521*100)</f>
        <v>0</v>
      </c>
      <c r="BK521" s="1123">
        <f>IF(AZ521=0,0,(BA521-AZ521)/AZ521*100)</f>
        <v>0</v>
      </c>
      <c r="BL521" s="1123">
        <f>IF(BA521=0,0,(BB521-BA521)/BA521*100)</f>
        <v>0</v>
      </c>
      <c r="BM521" s="1123">
        <f>IF(BB521=0,0,(BC521-BB521)/BB521*100)</f>
        <v>0</v>
      </c>
      <c r="BN521" s="6290"/>
      <c r="BO521" s="6294" t="str">
        <f>IF(_xlfn.IFERROR(INDEX(Покупка!$K$26:$L$327,MATCH($F521&amp;"5komm",Покупка!$K$26:$K$327,0),2),"")=0,"",_xlfn.IFERROR(INDEX(Покупка!$K$26:$L$327,MATCH($F521&amp;"5komm",Покупка!$K$26:$K$327,0),2),""))</f>
        <v/>
      </c>
      <c r="BP521" s="6290"/>
      <c r="BQ521" s="1297"/>
      <c r="BR521" s="1297"/>
      <c r="BS521" s="1072" t="s">
        <v>2003</v>
      </c>
      <c r="BT521" s="1072"/>
      <c r="BU521" s="1072"/>
      <c r="BV521" s="987"/>
      <c r="BW521" s="987"/>
    </row>
    <row s="1656" customFormat="1" customHeight="1" ht="14.25">
      <c r="A522" s="1297"/>
      <c r="B522" s="986"/>
      <c r="C522" s="103"/>
      <c r="D522" s="103"/>
      <c r="E522" s="626">
        <v>15</v>
      </c>
      <c r="F522" s="50" cm="1" t="str">
        <f t="array" ref="F522:F522">OFFSET(E522,-1,1)</f>
        <v>3</v>
      </c>
      <c r="G522" s="103" t="s">
        <v>1321</v>
      </c>
      <c r="H522" s="103"/>
      <c r="I522" s="103"/>
      <c r="J522" s="103"/>
      <c r="K522" s="103"/>
      <c r="L522" s="988" t="s">
        <v>1727</v>
      </c>
      <c r="M522" s="103"/>
      <c r="N522" s="103"/>
      <c r="O522" s="103"/>
      <c r="P522" s="103"/>
      <c r="Q522" s="103"/>
      <c r="R522" s="103"/>
      <c r="S522" s="103"/>
      <c r="T522" s="468" cm="1" t="str">
        <f t="array" ref="T522:T522">T521</f>
        <v>true</v>
      </c>
      <c r="U522" s="103"/>
      <c r="V522" s="103"/>
      <c r="W522" s="103"/>
      <c r="X522" s="1559"/>
      <c r="Y522" s="1297"/>
      <c r="Z522" s="1529"/>
      <c r="AA522" s="1297"/>
      <c r="AB522" s="296" t="s">
        <v>2303</v>
      </c>
      <c r="AC522" s="772" t="s">
        <v>2304</v>
      </c>
      <c r="AD522" s="296" t="s">
        <v>936</v>
      </c>
      <c r="AE522" s="1123">
        <f>_xlfn.SUMIFS(Покупка!AE$25:AE$327,Покупка!$F$25:$F$327,$F522,Покупка!$AC$25:$AC$327,$G522)</f>
        <v>0</v>
      </c>
      <c r="AF522" s="1123">
        <f>_xlfn.SUMIFS(Покупка!AF$25:AF$327,Покупка!$F$25:$F$327,$F522,Покупка!$AC$25:$AC$327,$G522)</f>
        <v>0</v>
      </c>
      <c r="AG522" s="1123">
        <f>_xlfn.SUMIFS(Покупка!AG$25:AG$327,Покупка!$F$25:$F$327,$F522,Покупка!$AC$25:$AC$327,$G522)</f>
        <v>0</v>
      </c>
      <c r="AH522" s="1123">
        <f>AG522-AF522</f>
        <v>0</v>
      </c>
      <c r="AI522" s="1123">
        <f>_xlfn.SUMIFS(Покупка!AH$25:AH$327,Покупка!$F$25:$F$327,$F522,Покупка!$AC$25:$AC$327,$G522)</f>
        <v>0</v>
      </c>
      <c r="AJ522" s="1123">
        <f>_xlfn.SUMIFS(Покупка!AI$25:AI$327,Покупка!$F$25:$F$327,$F522,Покупка!$AC$25:$AC$327,$G522)</f>
        <v>0</v>
      </c>
      <c r="AK522" s="1123">
        <f>_xlfn.SUMIFS(Покупка!AJ$25:AJ$327,Покупка!$F$25:$F$327,$F522,Покупка!$AC$25:$AC$327,$G522)</f>
        <v>0</v>
      </c>
      <c r="AL522" s="1123">
        <f>_xlfn.SUMIFS(Покупка!AK$25:AK$327,Покупка!$F$25:$F$327,$F522,Покупка!$AC$25:$AC$327,$G522)</f>
        <v>0</v>
      </c>
      <c r="AM522" s="1123">
        <f>_xlfn.SUMIFS(Покупка!AL$25:AL$327,Покупка!$F$25:$F$327,$F522,Покупка!$AC$25:$AC$327,$G522)</f>
        <v>0</v>
      </c>
      <c r="AN522" s="1123">
        <f>_xlfn.SUMIFS(Покупка!AM$25:AM$327,Покупка!$F$25:$F$327,$F522,Покупка!$AC$25:$AC$327,$G522)</f>
        <v>0</v>
      </c>
      <c r="AO522" s="1123">
        <f>_xlfn.SUMIFS(Покупка!AN$25:AN$327,Покупка!$F$25:$F$327,$F522,Покупка!$AC$25:$AC$327,$G522)</f>
        <v>0</v>
      </c>
      <c r="AP522" s="1123">
        <f>_xlfn.SUMIFS(Покупка!AO$25:AO$327,Покупка!$F$25:$F$327,$F522,Покупка!$AC$25:$AC$327,$G522)</f>
        <v>0</v>
      </c>
      <c r="AQ522" s="1123">
        <f>_xlfn.SUMIFS(Покупка!AP$25:AP$327,Покупка!$F$25:$F$327,$F522,Покупка!$AC$25:$AC$327,$G522)</f>
        <v>0</v>
      </c>
      <c r="AR522" s="1123">
        <f>_xlfn.SUMIFS(Покупка!AQ$25:AQ$327,Покупка!$F$25:$F$327,$F522,Покупка!$AC$25:$AC$327,$G522)</f>
        <v>0</v>
      </c>
      <c r="AS522" s="1123">
        <f>_xlfn.SUMIFS(Покупка!AR$25:AR$327,Покупка!$F$25:$F$327,$F522,Покупка!$AC$25:$AC$327,$G522)</f>
        <v>0</v>
      </c>
      <c r="AT522" s="1123">
        <f>_xlfn.SUMIFS(Покупка!AS$25:AS$327,Покупка!$F$25:$F$327,$F522,Покупка!$AC$25:$AC$327,$G522)</f>
        <v>0</v>
      </c>
      <c r="AU522" s="1123">
        <f>_xlfn.SUMIFS(Покупка!AT$25:AT$327,Покупка!$F$25:$F$327,$F522,Покупка!$AC$25:$AC$327,$G522)</f>
        <v>0</v>
      </c>
      <c r="AV522" s="1123">
        <f>_xlfn.SUMIFS(Покупка!AU$25:AU$327,Покупка!$F$25:$F$327,$F522,Покупка!$AC$25:$AC$327,$G522)</f>
        <v>0</v>
      </c>
      <c r="AW522" s="1123">
        <f>_xlfn.SUMIFS(Покупка!AV$25:AV$327,Покупка!$F$25:$F$327,$F522,Покупка!$AC$25:$AC$327,$G522)</f>
        <v>0</v>
      </c>
      <c r="AX522" s="1123">
        <f>_xlfn.SUMIFS(Покупка!AW$25:AW$327,Покупка!$F$25:$F$327,$F522,Покупка!$AC$25:$AC$327,$G522)</f>
        <v>0</v>
      </c>
      <c r="AY522" s="1123">
        <f>_xlfn.SUMIFS(Покупка!AX$25:AX$327,Покупка!$F$25:$F$327,$F522,Покупка!$AC$25:$AC$327,$G522)</f>
        <v>0</v>
      </c>
      <c r="AZ522" s="1123">
        <f>_xlfn.SUMIFS(Покупка!AY$25:AY$327,Покупка!$F$25:$F$327,$F522,Покупка!$AC$25:$AC$327,$G522)</f>
        <v>0</v>
      </c>
      <c r="BA522" s="1123">
        <f>_xlfn.SUMIFS(Покупка!AZ$25:AZ$327,Покупка!$F$25:$F$327,$F522,Покупка!$AC$25:$AC$327,$G522)</f>
        <v>0</v>
      </c>
      <c r="BB522" s="1123">
        <f>_xlfn.SUMIFS(Покупка!BA$25:BA$327,Покупка!$F$25:$F$327,$F522,Покупка!$AC$25:$AC$327,$G522)</f>
        <v>0</v>
      </c>
      <c r="BC522" s="1123">
        <f>_xlfn.SUMIFS(Покупка!BB$25:BB$327,Покупка!$F$25:$F$327,$F522,Покупка!$AC$25:$AC$327,$G522)</f>
        <v>0</v>
      </c>
      <c r="BD522" s="1123">
        <f>IF(AI522=0,0,(AT522-AI522)/AI522*100)</f>
        <v>0</v>
      </c>
      <c r="BE522" s="1123">
        <f>IF(AT522=0,0,(AU522-AT522)/AT522*100)</f>
        <v>0</v>
      </c>
      <c r="BF522" s="1123">
        <f>IF(AU522=0,0,(AV522-AU522)/AU522*100)</f>
        <v>0</v>
      </c>
      <c r="BG522" s="1123">
        <f>IF(AV522=0,0,(AW522-AV522)/AV522*100)</f>
        <v>0</v>
      </c>
      <c r="BH522" s="1123">
        <f>IF(AW522=0,0,(AX522-AW522)/AW522*100)</f>
        <v>0</v>
      </c>
      <c r="BI522" s="1123">
        <f>IF(AX522=0,0,(AY522-AX522)/AX522*100)</f>
        <v>0</v>
      </c>
      <c r="BJ522" s="1123">
        <f>IF(AY522=0,0,(AZ522-AY522)/AY522*100)</f>
        <v>0</v>
      </c>
      <c r="BK522" s="1123">
        <f>IF(AZ522=0,0,(BA522-AZ522)/AZ522*100)</f>
        <v>0</v>
      </c>
      <c r="BL522" s="1123">
        <f>IF(BA522=0,0,(BB522-BA522)/BA522*100)</f>
        <v>0</v>
      </c>
      <c r="BM522" s="1123">
        <f>IF(BB522=0,0,(BC522-BB522)/BB522*100)</f>
        <v>0</v>
      </c>
      <c r="BN522" s="6290"/>
      <c r="BO522" s="6294" t="str">
        <f>IF(_xlfn.IFERROR(INDEX(Покупка!$K$26:$L$327,MATCH($F522&amp;"9komm",Покупка!$K$26:$K$327,0),2),"")=0,"",_xlfn.IFERROR(INDEX(Покупка!$K$26:$L$327,MATCH($F522&amp;"9komm",Покупка!$K$26:$K$327,0),2),""))</f>
        <v/>
      </c>
      <c r="BP522" s="6290"/>
      <c r="BQ522" s="1297"/>
      <c r="BR522" s="1297"/>
      <c r="BS522" s="1072" t="s">
        <v>1322</v>
      </c>
      <c r="BT522" s="1072"/>
      <c r="BU522" s="1072"/>
      <c r="BV522" s="987"/>
      <c r="BW522" s="987"/>
    </row>
    <row s="1656" customFormat="1" customHeight="1" ht="14.25">
      <c r="A523" s="1297"/>
      <c r="B523" s="986"/>
      <c r="C523" s="103"/>
      <c r="D523" s="103"/>
      <c r="E523" s="626">
        <v>15</v>
      </c>
      <c r="F523" s="50" cm="1" t="str">
        <f t="array" ref="F523:F523">OFFSET(E523,-1,1)</f>
        <v>3</v>
      </c>
      <c r="G523" s="103"/>
      <c r="H523" s="103"/>
      <c r="I523" s="103" t="s">
        <v>587</v>
      </c>
      <c r="J523" s="103"/>
      <c r="K523" s="103" t="s">
        <v>587</v>
      </c>
      <c r="L523" s="988"/>
      <c r="M523" s="103"/>
      <c r="N523" s="103"/>
      <c r="O523" s="103"/>
      <c r="P523" s="103"/>
      <c r="Q523" s="103"/>
      <c r="R523" s="103"/>
      <c r="S523" s="103"/>
      <c r="T523" s="468" cm="1" t="str">
        <f t="array" ref="T523:T523">T522</f>
        <v>true</v>
      </c>
      <c r="U523" s="103"/>
      <c r="V523" s="103"/>
      <c r="W523" s="103"/>
      <c r="X523" s="1559"/>
      <c r="Y523" s="1297"/>
      <c r="Z523" s="1529"/>
      <c r="AA523" s="1297"/>
      <c r="AB523" s="296" t="s">
        <v>664</v>
      </c>
      <c r="AC523" s="769" t="s">
        <v>2305</v>
      </c>
      <c r="AD523" s="786" t="s">
        <v>936</v>
      </c>
      <c r="AE523" s="1123">
        <f>_xlfn.SUMIFS('Сырье и материалы'!AE$25:AE$111,'Сырье и материалы'!$F$25:$F$111,$F523,'Сырье и материалы'!$I$25:$I$111,"Реагенты")</f>
        <v>0</v>
      </c>
      <c r="AF523" s="1123">
        <f>_xlfn.SUMIFS('Сырье и материалы'!AF$25:AF$111,'Сырье и материалы'!$F$25:$F$111,$F523,'Сырье и материалы'!$I$25:$I$111,"Реагенты")</f>
        <v>0</v>
      </c>
      <c r="AG523" s="1123">
        <f>_xlfn.SUMIFS('Сырье и материалы'!AG$25:AG$111,'Сырье и материалы'!$F$25:$F$111,$F523,'Сырье и материалы'!$I$25:$I$111,"Реагенты")</f>
        <v>0</v>
      </c>
      <c r="AH523" s="1123">
        <f>AG523-AF523</f>
        <v>0</v>
      </c>
      <c r="AI523" s="1123">
        <f>_xlfn.SUMIFS('Сырье и материалы'!AH$25:AH$111,'Сырье и материалы'!$F$25:$F$111,$F523,'Сырье и материалы'!$I$25:$I$111,"Реагенты")</f>
        <v>0</v>
      </c>
      <c r="AJ523" s="1123">
        <f>_xlfn.SUMIFS('Сырье и материалы'!AI$25:AI$111,'Сырье и материалы'!$F$25:$F$111,$F523,'Сырье и материалы'!$I$25:$I$111,"Реагенты")</f>
        <v>0</v>
      </c>
      <c r="AK523" s="1123">
        <f>_xlfn.SUMIFS('Сырье и материалы'!AJ$25:AJ$111,'Сырье и материалы'!$F$25:$F$111,$F523,'Сырье и материалы'!$I$25:$I$111,"Реагенты")</f>
        <v>0</v>
      </c>
      <c r="AL523" s="1123">
        <f>_xlfn.SUMIFS('Сырье и материалы'!AK$25:AK$111,'Сырье и материалы'!$F$25:$F$111,$F523,'Сырье и материалы'!$I$25:$I$111,"Реагенты")</f>
        <v>0</v>
      </c>
      <c r="AM523" s="1123">
        <f>_xlfn.SUMIFS('Сырье и материалы'!AL$25:AL$111,'Сырье и материалы'!$F$25:$F$111,$F523,'Сырье и материалы'!$I$25:$I$111,"Реагенты")</f>
        <v>0</v>
      </c>
      <c r="AN523" s="1123">
        <f>_xlfn.SUMIFS('Сырье и материалы'!AM$25:AM$111,'Сырье и материалы'!$F$25:$F$111,$F523,'Сырье и материалы'!$I$25:$I$111,"Реагенты")</f>
        <v>0</v>
      </c>
      <c r="AO523" s="1123">
        <f>_xlfn.SUMIFS('Сырье и материалы'!AN$25:AN$111,'Сырье и материалы'!$F$25:$F$111,$F523,'Сырье и материалы'!$I$25:$I$111,"Реагенты")</f>
        <v>0</v>
      </c>
      <c r="AP523" s="1123">
        <f>_xlfn.SUMIFS('Сырье и материалы'!AO$25:AO$111,'Сырье и материалы'!$F$25:$F$111,$F523,'Сырье и материалы'!$I$25:$I$111,"Реагенты")</f>
        <v>0</v>
      </c>
      <c r="AQ523" s="1123">
        <f>_xlfn.SUMIFS('Сырье и материалы'!AP$25:AP$111,'Сырье и материалы'!$F$25:$F$111,$F523,'Сырье и материалы'!$I$25:$I$111,"Реагенты")</f>
        <v>0</v>
      </c>
      <c r="AR523" s="1123">
        <f>_xlfn.SUMIFS('Сырье и материалы'!AQ$25:AQ$111,'Сырье и материалы'!$F$25:$F$111,$F523,'Сырье и материалы'!$I$25:$I$111,"Реагенты")</f>
        <v>0</v>
      </c>
      <c r="AS523" s="1123">
        <f>_xlfn.SUMIFS('Сырье и материалы'!AR$25:AR$111,'Сырье и материалы'!$F$25:$F$111,$F523,'Сырье и материалы'!$I$25:$I$111,"Реагенты")</f>
        <v>0</v>
      </c>
      <c r="AT523" s="1123">
        <f>_xlfn.SUMIFS('Сырье и материалы'!AS$25:AS$111,'Сырье и материалы'!$F$25:$F$111,$F523,'Сырье и материалы'!$I$25:$I$111,"Реагенты")</f>
        <v>0</v>
      </c>
      <c r="AU523" s="1123">
        <f>_xlfn.SUMIFS('Сырье и материалы'!AT$25:AT$111,'Сырье и материалы'!$F$25:$F$111,$F523,'Сырье и материалы'!$I$25:$I$111,"Реагенты")</f>
        <v>0</v>
      </c>
      <c r="AV523" s="1123">
        <f>_xlfn.SUMIFS('Сырье и материалы'!AU$25:AU$111,'Сырье и материалы'!$F$25:$F$111,$F523,'Сырье и материалы'!$I$25:$I$111,"Реагенты")</f>
        <v>0</v>
      </c>
      <c r="AW523" s="1123">
        <f>_xlfn.SUMIFS('Сырье и материалы'!AV$25:AV$111,'Сырье и материалы'!$F$25:$F$111,$F523,'Сырье и материалы'!$I$25:$I$111,"Реагенты")</f>
        <v>0</v>
      </c>
      <c r="AX523" s="1123">
        <f>_xlfn.SUMIFS('Сырье и материалы'!AW$25:AW$111,'Сырье и материалы'!$F$25:$F$111,$F523,'Сырье и материалы'!$I$25:$I$111,"Реагенты")</f>
        <v>0</v>
      </c>
      <c r="AY523" s="1123">
        <f>_xlfn.SUMIFS('Сырье и материалы'!AX$25:AX$111,'Сырье и материалы'!$F$25:$F$111,$F523,'Сырье и материалы'!$I$25:$I$111,"Реагенты")</f>
        <v>0</v>
      </c>
      <c r="AZ523" s="1123">
        <f>_xlfn.SUMIFS('Сырье и материалы'!AY$25:AY$111,'Сырье и материалы'!$F$25:$F$111,$F523,'Сырье и материалы'!$I$25:$I$111,"Реагенты")</f>
        <v>0</v>
      </c>
      <c r="BA523" s="1123">
        <f>_xlfn.SUMIFS('Сырье и материалы'!AZ$25:AZ$111,'Сырье и материалы'!$F$25:$F$111,$F523,'Сырье и материалы'!$I$25:$I$111,"Реагенты")</f>
        <v>0</v>
      </c>
      <c r="BB523" s="1123">
        <f>_xlfn.SUMIFS('Сырье и материалы'!BA$25:BA$111,'Сырье и материалы'!$F$25:$F$111,$F523,'Сырье и материалы'!$I$25:$I$111,"Реагенты")</f>
        <v>0</v>
      </c>
      <c r="BC523" s="1123">
        <f>_xlfn.SUMIFS('Сырье и материалы'!BB$25:BB$111,'Сырье и материалы'!$F$25:$F$111,$F523,'Сырье и материалы'!$I$25:$I$111,"Реагенты")</f>
        <v>0</v>
      </c>
      <c r="BD523" s="1123">
        <f>IF(AI523=0,0,(AT523-AI523)/AI523*100)</f>
        <v>0</v>
      </c>
      <c r="BE523" s="1123">
        <f>IF(AT523=0,0,(AU523-AT523)/AT523*100)</f>
        <v>0</v>
      </c>
      <c r="BF523" s="1123">
        <f>IF(AU523=0,0,(AV523-AU523)/AU523*100)</f>
        <v>0</v>
      </c>
      <c r="BG523" s="1123">
        <f>IF(AV523=0,0,(AW523-AV523)/AV523*100)</f>
        <v>0</v>
      </c>
      <c r="BH523" s="1123">
        <f>IF(AW523=0,0,(AX523-AW523)/AW523*100)</f>
        <v>0</v>
      </c>
      <c r="BI523" s="1123">
        <f>IF(AX523=0,0,(AY523-AX523)/AX523*100)</f>
        <v>0</v>
      </c>
      <c r="BJ523" s="1123">
        <f>IF(AY523=0,0,(AZ523-AY523)/AY523*100)</f>
        <v>0</v>
      </c>
      <c r="BK523" s="1123">
        <f>IF(AZ523=0,0,(BA523-AZ523)/AZ523*100)</f>
        <v>0</v>
      </c>
      <c r="BL523" s="1123">
        <f>IF(BA523=0,0,(BB523-BA523)/BA523*100)</f>
        <v>0</v>
      </c>
      <c r="BM523" s="1123">
        <f>IF(BB523=0,0,(BC523-BB523)/BB523*100)</f>
        <v>0</v>
      </c>
      <c r="BN523" s="6290"/>
      <c r="BO523" s="6294" t="str">
        <f>IF(_xlfn.IFERROR(INDEX('Сырье и материалы'!$K$26:$L$111,MATCH($F523&amp;"komm",'Сырье и материалы'!$K$26:$K$111,0),2),"")=0,"",_xlfn.IFERROR(INDEX('Сырье и материалы'!$K$26:$L$111,MATCH($F523&amp;"komm",'Сырье и материалы'!$K$26:$K$111,0),2),""))</f>
        <v/>
      </c>
      <c r="BP523" s="6290"/>
      <c r="BQ523" s="1297"/>
      <c r="BR523" s="1297"/>
      <c r="BS523" s="1072" t="s">
        <v>1976</v>
      </c>
      <c r="BT523" s="1072"/>
      <c r="BU523" s="1072"/>
      <c r="BV523" s="987"/>
      <c r="BW523" s="987"/>
    </row>
    <row s="6466" customFormat="1" customHeight="1" ht="20.25">
      <c r="A524" s="706"/>
      <c r="B524" s="437"/>
      <c r="C524" s="105"/>
      <c r="D524" s="105"/>
      <c r="E524" s="833">
        <v>21</v>
      </c>
      <c r="F524" s="50" cm="1" t="str">
        <f t="array" ref="F524:F524">OFFSET(E524,-1,1)</f>
        <v>3</v>
      </c>
      <c r="G524" s="105"/>
      <c r="H524" s="103"/>
      <c r="I524" s="103" t="s">
        <v>1087</v>
      </c>
      <c r="J524" s="105"/>
      <c r="K524" s="103" t="s">
        <v>1087</v>
      </c>
      <c r="L524" s="993" t="s">
        <v>619</v>
      </c>
      <c r="M524" s="105"/>
      <c r="N524" s="105"/>
      <c r="O524" s="105"/>
      <c r="P524" s="105"/>
      <c r="Q524" s="105"/>
      <c r="R524" s="105"/>
      <c r="S524" s="105"/>
      <c r="T524" s="468" cm="1" t="str">
        <f t="array" ref="T524:T524">T523</f>
        <v>true</v>
      </c>
      <c r="U524" s="105"/>
      <c r="V524" s="105"/>
      <c r="W524" s="105"/>
      <c r="X524" s="1559"/>
      <c r="Y524" s="706"/>
      <c r="Z524" s="1529"/>
      <c r="AA524" s="706"/>
      <c r="AB524" s="207" t="s">
        <v>668</v>
      </c>
      <c r="AC524" s="357" t="s">
        <v>2306</v>
      </c>
      <c r="AD524" s="207" t="s">
        <v>936</v>
      </c>
      <c r="AE524" s="785">
        <f>SUM(AE525:AE534)</f>
        <v>1248.91894</v>
      </c>
      <c r="AF524" s="785">
        <f>SUM(AF525:AF534)</f>
        <v>905.47</v>
      </c>
      <c r="AG524" s="785">
        <f>SUM(AG525:AG534)</f>
        <v>905.47</v>
      </c>
      <c r="AH524" s="785">
        <f>AG524-AF524</f>
        <v>0</v>
      </c>
      <c r="AI524" s="785">
        <f>SUM(AI525:AI534)</f>
        <v>999.05</v>
      </c>
      <c r="AJ524" s="209">
        <f>SUM(AJ525:AJ534)</f>
        <v>8905.51</v>
      </c>
      <c r="AK524" s="785">
        <f>SUM(AK525:AK534)</f>
        <v>0</v>
      </c>
      <c r="AL524" s="785">
        <f>SUM(AL525:AL534)</f>
        <v>0</v>
      </c>
      <c r="AM524" s="785">
        <f>SUM(AM525:AM534)</f>
        <v>0</v>
      </c>
      <c r="AN524" s="785">
        <f>SUM(AN525:AN534)</f>
        <v>0</v>
      </c>
      <c r="AO524" s="785">
        <f>SUM(AO525:AO534)</f>
        <v>0</v>
      </c>
      <c r="AP524" s="785">
        <f>SUM(AP525:AP534)</f>
        <v>0</v>
      </c>
      <c r="AQ524" s="785">
        <f>SUM(AQ525:AQ534)</f>
        <v>0</v>
      </c>
      <c r="AR524" s="785">
        <f>SUM(AR525:AR534)</f>
        <v>0</v>
      </c>
      <c r="AS524" s="785">
        <f>SUM(AS525:AS534)</f>
        <v>0</v>
      </c>
      <c r="AT524" s="209">
        <f>SUM(AT525:AT534)</f>
        <v>8881.64</v>
      </c>
      <c r="AU524" s="785">
        <f>SUM(AU525:AU534)</f>
        <v>0</v>
      </c>
      <c r="AV524" s="785">
        <f>SUM(AV525:AV534)</f>
        <v>0</v>
      </c>
      <c r="AW524" s="785">
        <f>SUM(AW525:AW534)</f>
        <v>0</v>
      </c>
      <c r="AX524" s="785">
        <f>SUM(AX525:AX534)</f>
        <v>0</v>
      </c>
      <c r="AY524" s="785">
        <f>SUM(AY525:AY534)</f>
        <v>0</v>
      </c>
      <c r="AZ524" s="785">
        <f>SUM(AZ525:AZ534)</f>
        <v>0</v>
      </c>
      <c r="BA524" s="785">
        <f>SUM(BA525:BA534)</f>
        <v>0</v>
      </c>
      <c r="BB524" s="785">
        <f>SUM(BB525:BB534)</f>
        <v>0</v>
      </c>
      <c r="BC524" s="785">
        <f>SUM(BC525:BC534)</f>
        <v>0</v>
      </c>
      <c r="BD524" s="785">
        <f>IF(AI524=0,0,(AT524-AI524)/AI524*100)</f>
        <v>789.008558130224</v>
      </c>
      <c r="BE524" s="785">
        <f>IF(AT524=0,0,(AU524-AT524)/AT524*100)</f>
        <v>-100</v>
      </c>
      <c r="BF524" s="785">
        <f>IF(AU524=0,0,(AV524-AU524)/AU524*100)</f>
        <v>0</v>
      </c>
      <c r="BG524" s="785">
        <f>IF(AV524=0,0,(AW524-AV524)/AV524*100)</f>
        <v>0</v>
      </c>
      <c r="BH524" s="785">
        <f>IF(AW524=0,0,(AX524-AW524)/AW524*100)</f>
        <v>0</v>
      </c>
      <c r="BI524" s="785">
        <f>IF(AX524=0,0,(AY524-AX524)/AX524*100)</f>
        <v>0</v>
      </c>
      <c r="BJ524" s="785">
        <f>IF(AY524=0,0,(AZ524-AY524)/AY524*100)</f>
        <v>0</v>
      </c>
      <c r="BK524" s="785">
        <f>IF(AZ524=0,0,(BA524-AZ524)/AZ524*100)</f>
        <v>0</v>
      </c>
      <c r="BL524" s="785">
        <f>IF(BA524=0,0,(BB524-BA524)/BA524*100)</f>
        <v>0</v>
      </c>
      <c r="BM524" s="785">
        <f>IF(BB524=0,0,(BC524-BB524)/BB524*100)</f>
        <v>0</v>
      </c>
      <c r="BN524" s="6292"/>
      <c r="BO524" s="6294" t="str">
        <f>IF(_xlfn.IFERROR(INDEX(Налоги!$K$26:$L$83,MATCH($F524&amp;"komm",Налоги!$K$26:$K$83,0),2),"")=0,"",_xlfn.IFERROR(INDEX(Налоги!$K$26:$L$83,MATCH($F524&amp;"komm",Налоги!$K$26:$K$83,0),2),""))</f>
        <v>П. 49 (2) Методических указаний ФСТ России от 27.12.2013 № 1746-э.</v>
      </c>
      <c r="BP524" s="6292"/>
      <c r="BQ524" s="706"/>
      <c r="BR524" s="706"/>
      <c r="BS524" s="1078" t="s">
        <v>1464</v>
      </c>
      <c r="BT524" s="1078"/>
      <c r="BU524" s="1078"/>
      <c r="BV524" s="713"/>
      <c r="BW524" s="713"/>
    </row>
    <row s="1656" customFormat="1" customHeight="1" ht="14.25">
      <c r="A525" s="1297"/>
      <c r="B525" s="986"/>
      <c r="C525" s="103"/>
      <c r="D525" s="103"/>
      <c r="E525" s="626">
        <v>15</v>
      </c>
      <c r="F525" s="50" cm="1" t="str">
        <f t="array" ref="F525:F525">OFFSET(E525,-1,1)</f>
        <v>3</v>
      </c>
      <c r="G525" s="929">
        <v>7</v>
      </c>
      <c r="H525" s="103"/>
      <c r="I525" s="103" t="s">
        <v>2307</v>
      </c>
      <c r="J525" s="103"/>
      <c r="K525" s="103" t="s">
        <v>2307</v>
      </c>
      <c r="L525" s="988"/>
      <c r="M525" s="103"/>
      <c r="N525" s="103"/>
      <c r="O525" s="103"/>
      <c r="P525" s="103"/>
      <c r="Q525" s="103"/>
      <c r="R525" s="103"/>
      <c r="S525" s="103"/>
      <c r="T525" s="468" cm="1" t="str">
        <f t="array" ref="T525:T525">T524</f>
        <v>true</v>
      </c>
      <c r="U525" s="103"/>
      <c r="V525" s="103"/>
      <c r="W525" s="103"/>
      <c r="X525" s="1559"/>
      <c r="Y525" s="1297"/>
      <c r="Z525" s="1529"/>
      <c r="AA525" s="1297"/>
      <c r="AB525" s="296" t="s">
        <v>603</v>
      </c>
      <c r="AC525" s="772" t="s">
        <v>1478</v>
      </c>
      <c r="AD525" s="296" t="s">
        <v>936</v>
      </c>
      <c r="AE525" s="1123">
        <f>_xlfn.SUMIFS(Налоги!AE$25:AE$83,Налоги!$F$25:$F$83,$F525,Налоги!$AB$25:$AB$83,$G525)</f>
        <v>0</v>
      </c>
      <c r="AF525" s="1123">
        <f>_xlfn.SUMIFS(Налоги!AF$25:AF$83,Налоги!$F$25:$F$83,$F525,Налоги!$AB$25:$AB$83,$G525)</f>
        <v>0</v>
      </c>
      <c r="AG525" s="1123">
        <f>_xlfn.SUMIFS(Налоги!AG$25:AG$83,Налоги!$F$25:$F$83,$F525,Налоги!$AB$25:$AB$83,$G525)</f>
        <v>0</v>
      </c>
      <c r="AH525" s="1123">
        <f>AG525-AF525</f>
        <v>0</v>
      </c>
      <c r="AI525" s="1123">
        <f>_xlfn.SUMIFS(Налоги!AH$25:AH$83,Налоги!$F$25:$F$83,$F525,Налоги!$AB$25:$AB$83,$G525)</f>
        <v>0</v>
      </c>
      <c r="AJ525" s="1123">
        <f>_xlfn.SUMIFS(Налоги!AI$25:AI$83,Налоги!$F$25:$F$83,$F525,Налоги!$AB$25:$AB$83,$G525)</f>
        <v>0</v>
      </c>
      <c r="AK525" s="1123">
        <f>_xlfn.SUMIFS(Налоги!AJ$25:AJ$83,Налоги!$F$25:$F$83,$F525,Налоги!$AB$25:$AB$83,$G525)</f>
        <v>0</v>
      </c>
      <c r="AL525" s="1123">
        <f>_xlfn.SUMIFS(Налоги!AK$25:AK$83,Налоги!$F$25:$F$83,$F525,Налоги!$AB$25:$AB$83,$G525)</f>
        <v>0</v>
      </c>
      <c r="AM525" s="1123">
        <f>_xlfn.SUMIFS(Налоги!AL$25:AL$83,Налоги!$F$25:$F$83,$F525,Налоги!$AB$25:$AB$83,$G525)</f>
        <v>0</v>
      </c>
      <c r="AN525" s="1123">
        <f>_xlfn.SUMIFS(Налоги!AM$25:AM$83,Налоги!$F$25:$F$83,$F525,Налоги!$AB$25:$AB$83,$G525)</f>
        <v>0</v>
      </c>
      <c r="AO525" s="1123">
        <f>_xlfn.SUMIFS(Налоги!AN$25:AN$83,Налоги!$F$25:$F$83,$F525,Налоги!$AB$25:$AB$83,$G525)</f>
        <v>0</v>
      </c>
      <c r="AP525" s="1123">
        <f>_xlfn.SUMIFS(Налоги!AO$25:AO$83,Налоги!$F$25:$F$83,$F525,Налоги!$AB$25:$AB$83,$G525)</f>
        <v>0</v>
      </c>
      <c r="AQ525" s="1123">
        <f>_xlfn.SUMIFS(Налоги!AP$25:AP$83,Налоги!$F$25:$F$83,$F525,Налоги!$AB$25:$AB$83,$G525)</f>
        <v>0</v>
      </c>
      <c r="AR525" s="1123">
        <f>_xlfn.SUMIFS(Налоги!AQ$25:AQ$83,Налоги!$F$25:$F$83,$F525,Налоги!$AB$25:$AB$83,$G525)</f>
        <v>0</v>
      </c>
      <c r="AS525" s="1123">
        <f>_xlfn.SUMIFS(Налоги!AR$25:AR$83,Налоги!$F$25:$F$83,$F525,Налоги!$AB$25:$AB$83,$G525)</f>
        <v>0</v>
      </c>
      <c r="AT525" s="1123">
        <f>_xlfn.SUMIFS(Налоги!AS$25:AS$83,Налоги!$F$25:$F$83,$F525,Налоги!$AB$25:$AB$83,$G525)</f>
        <v>0</v>
      </c>
      <c r="AU525" s="1123">
        <f>_xlfn.SUMIFS(Налоги!AT$25:AT$83,Налоги!$F$25:$F$83,$F525,Налоги!$AB$25:$AB$83,$G525)</f>
        <v>0</v>
      </c>
      <c r="AV525" s="1123">
        <f>_xlfn.SUMIFS(Налоги!AU$25:AU$83,Налоги!$F$25:$F$83,$F525,Налоги!$AB$25:$AB$83,$G525)</f>
        <v>0</v>
      </c>
      <c r="AW525" s="1123">
        <f>_xlfn.SUMIFS(Налоги!AV$25:AV$83,Налоги!$F$25:$F$83,$F525,Налоги!$AB$25:$AB$83,$G525)</f>
        <v>0</v>
      </c>
      <c r="AX525" s="1123">
        <f>_xlfn.SUMIFS(Налоги!AW$25:AW$83,Налоги!$F$25:$F$83,$F525,Налоги!$AB$25:$AB$83,$G525)</f>
        <v>0</v>
      </c>
      <c r="AY525" s="1123">
        <f>_xlfn.SUMIFS(Налоги!AX$25:AX$83,Налоги!$F$25:$F$83,$F525,Налоги!$AB$25:$AB$83,$G525)</f>
        <v>0</v>
      </c>
      <c r="AZ525" s="1123">
        <f>_xlfn.SUMIFS(Налоги!AY$25:AY$83,Налоги!$F$25:$F$83,$F525,Налоги!$AB$25:$AB$83,$G525)</f>
        <v>0</v>
      </c>
      <c r="BA525" s="1123">
        <f>_xlfn.SUMIFS(Налоги!AZ$25:AZ$83,Налоги!$F$25:$F$83,$F525,Налоги!$AB$25:$AB$83,$G525)</f>
        <v>0</v>
      </c>
      <c r="BB525" s="1123">
        <f>_xlfn.SUMIFS(Налоги!BA$25:BA$83,Налоги!$F$25:$F$83,$F525,Налоги!$AB$25:$AB$83,$G525)</f>
        <v>0</v>
      </c>
      <c r="BC525" s="1123">
        <f>_xlfn.SUMIFS(Налоги!BB$25:BB$83,Налоги!$F$25:$F$83,$F525,Налоги!$AB$25:$AB$83,$G525)</f>
        <v>0</v>
      </c>
      <c r="BD525" s="1123">
        <f>IF(AI525=0,0,(AT525-AI525)/AI525*100)</f>
        <v>0</v>
      </c>
      <c r="BE525" s="1123">
        <f>IF(AT525=0,0,(AU525-AT525)/AT525*100)</f>
        <v>0</v>
      </c>
      <c r="BF525" s="1123">
        <f>IF(AU525=0,0,(AV525-AU525)/AU525*100)</f>
        <v>0</v>
      </c>
      <c r="BG525" s="1123">
        <f>IF(AV525=0,0,(AW525-AV525)/AV525*100)</f>
        <v>0</v>
      </c>
      <c r="BH525" s="1123">
        <f>IF(AW525=0,0,(AX525-AW525)/AW525*100)</f>
        <v>0</v>
      </c>
      <c r="BI525" s="1123">
        <f>IF(AX525=0,0,(AY525-AX525)/AX525*100)</f>
        <v>0</v>
      </c>
      <c r="BJ525" s="1123">
        <f>IF(AY525=0,0,(AZ525-AY525)/AY525*100)</f>
        <v>0</v>
      </c>
      <c r="BK525" s="1123">
        <f>IF(AZ525=0,0,(BA525-AZ525)/AZ525*100)</f>
        <v>0</v>
      </c>
      <c r="BL525" s="1123">
        <f>IF(BA525=0,0,(BB525-BA525)/BA525*100)</f>
        <v>0</v>
      </c>
      <c r="BM525" s="1123">
        <f>IF(BB525=0,0,(BC525-BB525)/BB525*100)</f>
        <v>0</v>
      </c>
      <c r="BN525" s="6290"/>
      <c r="BO525" s="6294" t="str">
        <f>IF(_xlfn.IFERROR(INDEX(Налоги!$K$26:$L$83,MATCH($F525&amp;"7komm",Налоги!$K$26:$K$83,0),2),"")=0,"",_xlfn.IFERROR(INDEX(Налоги!$K$26:$L$83,MATCH($F525&amp;"7komm",Налоги!$K$26:$K$83,0),2),""))</f>
        <v>Глава 25 "НАЛОГ НА ПРИБЫЛЬ ОРГАНИЗАЦИЙ" "Налогового кодекса Российской Федерации (часть вторая)" от 05.08.2000 N 117-ФЗ.</v>
      </c>
      <c r="BP525" s="6290"/>
      <c r="BQ525" s="1297"/>
      <c r="BR525" s="1297"/>
      <c r="BS525" s="1072" t="s">
        <v>2308</v>
      </c>
      <c r="BT525" s="1072"/>
      <c r="BU525" s="1072"/>
      <c r="BV525" s="987"/>
      <c r="BW525" s="987"/>
    </row>
    <row s="1656" customFormat="1" customHeight="1" ht="14.25">
      <c r="A526" s="1297"/>
      <c r="B526" s="986"/>
      <c r="C526" s="103"/>
      <c r="D526" s="103"/>
      <c r="E526" s="626">
        <v>15</v>
      </c>
      <c r="F526" s="50" cm="1" t="str">
        <f t="array" ref="F526:F526">OFFSET(E526,-1,1)</f>
        <v>3</v>
      </c>
      <c r="G526" s="929">
        <v>6</v>
      </c>
      <c r="H526" s="103"/>
      <c r="I526" s="103" t="s">
        <v>2309</v>
      </c>
      <c r="J526" s="103"/>
      <c r="K526" s="103" t="s">
        <v>2309</v>
      </c>
      <c r="L526" s="988"/>
      <c r="M526" s="103"/>
      <c r="N526" s="103"/>
      <c r="O526" s="103"/>
      <c r="P526" s="103"/>
      <c r="Q526" s="103"/>
      <c r="R526" s="103"/>
      <c r="S526" s="103"/>
      <c r="T526" s="468" cm="1" t="str">
        <f t="array" ref="T526:T526">T525</f>
        <v>true</v>
      </c>
      <c r="U526" s="103"/>
      <c r="V526" s="103"/>
      <c r="W526" s="103"/>
      <c r="X526" s="1559"/>
      <c r="Y526" s="1297"/>
      <c r="Z526" s="1529"/>
      <c r="AA526" s="1297"/>
      <c r="AB526" s="296" t="s">
        <v>1717</v>
      </c>
      <c r="AC526" s="772" t="s">
        <v>2310</v>
      </c>
      <c r="AD526" s="296" t="s">
        <v>936</v>
      </c>
      <c r="AE526" s="1123">
        <f>_xlfn.SUMIFS(Налоги!AE$25:AE$83,Налоги!$F$25:$F$83,$F526,Налоги!$AB$25:$AB$83,$G526)</f>
        <v>1229.67894</v>
      </c>
      <c r="AF526" s="1123">
        <f>_xlfn.SUMIFS(Налоги!AF$25:AF$83,Налоги!$F$25:$F$83,$F526,Налоги!$AB$25:$AB$83,$G526)</f>
        <v>585.29</v>
      </c>
      <c r="AG526" s="1123">
        <f>_xlfn.SUMIFS(Налоги!AG$25:AG$83,Налоги!$F$25:$F$83,$F526,Налоги!$AB$25:$AB$83,$G526)</f>
        <v>585.29</v>
      </c>
      <c r="AH526" s="1123">
        <f>AG526-AF526</f>
        <v>0</v>
      </c>
      <c r="AI526" s="1123">
        <f>_xlfn.SUMIFS(Налоги!AH$25:AH$83,Налоги!$F$25:$F$83,$F526,Налоги!$AB$25:$AB$83,$G526)</f>
        <v>976.88</v>
      </c>
      <c r="AJ526" s="1123">
        <f>_xlfn.SUMIFS(Налоги!AI$25:AI$83,Налоги!$F$25:$F$83,$F526,Налоги!$AB$25:$AB$83,$G526)</f>
        <v>642.5</v>
      </c>
      <c r="AK526" s="1123">
        <f>_xlfn.SUMIFS(Налоги!AJ$25:AJ$83,Налоги!$F$25:$F$83,$F526,Налоги!$AB$25:$AB$83,$G526)</f>
        <v>0</v>
      </c>
      <c r="AL526" s="1123">
        <f>_xlfn.SUMIFS(Налоги!AK$25:AK$83,Налоги!$F$25:$F$83,$F526,Налоги!$AB$25:$AB$83,$G526)</f>
        <v>0</v>
      </c>
      <c r="AM526" s="1123">
        <f>_xlfn.SUMIFS(Налоги!AL$25:AL$83,Налоги!$F$25:$F$83,$F526,Налоги!$AB$25:$AB$83,$G526)</f>
        <v>0</v>
      </c>
      <c r="AN526" s="1123">
        <f>_xlfn.SUMIFS(Налоги!AM$25:AM$83,Налоги!$F$25:$F$83,$F526,Налоги!$AB$25:$AB$83,$G526)</f>
        <v>0</v>
      </c>
      <c r="AO526" s="1123">
        <f>_xlfn.SUMIFS(Налоги!AN$25:AN$83,Налоги!$F$25:$F$83,$F526,Налоги!$AB$25:$AB$83,$G526)</f>
        <v>0</v>
      </c>
      <c r="AP526" s="1123">
        <f>_xlfn.SUMIFS(Налоги!AO$25:AO$83,Налоги!$F$25:$F$83,$F526,Налоги!$AB$25:$AB$83,$G526)</f>
        <v>0</v>
      </c>
      <c r="AQ526" s="1123">
        <f>_xlfn.SUMIFS(Налоги!AP$25:AP$83,Налоги!$F$25:$F$83,$F526,Налоги!$AB$25:$AB$83,$G526)</f>
        <v>0</v>
      </c>
      <c r="AR526" s="1123">
        <f>_xlfn.SUMIFS(Налоги!AQ$25:AQ$83,Налоги!$F$25:$F$83,$F526,Налоги!$AB$25:$AB$83,$G526)</f>
        <v>0</v>
      </c>
      <c r="AS526" s="1123">
        <f>_xlfn.SUMIFS(Налоги!AR$25:AR$83,Налоги!$F$25:$F$83,$F526,Налоги!$AB$25:$AB$83,$G526)</f>
        <v>0</v>
      </c>
      <c r="AT526" s="1123">
        <f>_xlfn.SUMIFS(Налоги!AS$25:AS$83,Налоги!$F$25:$F$83,$F526,Налоги!$AB$25:$AB$83,$G526)</f>
        <v>618.63</v>
      </c>
      <c r="AU526" s="1123">
        <f>_xlfn.SUMIFS(Налоги!AT$25:AT$83,Налоги!$F$25:$F$83,$F526,Налоги!$AB$25:$AB$83,$G526)</f>
        <v>0</v>
      </c>
      <c r="AV526" s="1123">
        <f>_xlfn.SUMIFS(Налоги!AU$25:AU$83,Налоги!$F$25:$F$83,$F526,Налоги!$AB$25:$AB$83,$G526)</f>
        <v>0</v>
      </c>
      <c r="AW526" s="1123">
        <f>_xlfn.SUMIFS(Налоги!AV$25:AV$83,Налоги!$F$25:$F$83,$F526,Налоги!$AB$25:$AB$83,$G526)</f>
        <v>0</v>
      </c>
      <c r="AX526" s="1123">
        <f>_xlfn.SUMIFS(Налоги!AW$25:AW$83,Налоги!$F$25:$F$83,$F526,Налоги!$AB$25:$AB$83,$G526)</f>
        <v>0</v>
      </c>
      <c r="AY526" s="1123">
        <f>_xlfn.SUMIFS(Налоги!AX$25:AX$83,Налоги!$F$25:$F$83,$F526,Налоги!$AB$25:$AB$83,$G526)</f>
        <v>0</v>
      </c>
      <c r="AZ526" s="1123">
        <f>_xlfn.SUMIFS(Налоги!AY$25:AY$83,Налоги!$F$25:$F$83,$F526,Налоги!$AB$25:$AB$83,$G526)</f>
        <v>0</v>
      </c>
      <c r="BA526" s="1123">
        <f>_xlfn.SUMIFS(Налоги!AZ$25:AZ$83,Налоги!$F$25:$F$83,$F526,Налоги!$AB$25:$AB$83,$G526)</f>
        <v>0</v>
      </c>
      <c r="BB526" s="1123">
        <f>_xlfn.SUMIFS(Налоги!BA$25:BA$83,Налоги!$F$25:$F$83,$F526,Налоги!$AB$25:$AB$83,$G526)</f>
        <v>0</v>
      </c>
      <c r="BC526" s="1123">
        <f>_xlfn.SUMIFS(Налоги!BB$25:BB$83,Налоги!$F$25:$F$83,$F526,Налоги!$AB$25:$AB$83,$G526)</f>
        <v>0</v>
      </c>
      <c r="BD526" s="1123">
        <f>IF(AI526=0,0,(AT526-AI526)/AI526*100)</f>
        <v>-36.6728769142576</v>
      </c>
      <c r="BE526" s="1123">
        <f>IF(AT526=0,0,(AU526-AT526)/AT526*100)</f>
        <v>-100</v>
      </c>
      <c r="BF526" s="1123">
        <f>IF(AU526=0,0,(AV526-AU526)/AU526*100)</f>
        <v>0</v>
      </c>
      <c r="BG526" s="1123">
        <f>IF(AV526=0,0,(AW526-AV526)/AV526*100)</f>
        <v>0</v>
      </c>
      <c r="BH526" s="1123">
        <f>IF(AW526=0,0,(AX526-AW526)/AW526*100)</f>
        <v>0</v>
      </c>
      <c r="BI526" s="1123">
        <f>IF(AX526=0,0,(AY526-AX526)/AX526*100)</f>
        <v>0</v>
      </c>
      <c r="BJ526" s="1123">
        <f>IF(AY526=0,0,(AZ526-AY526)/AY526*100)</f>
        <v>0</v>
      </c>
      <c r="BK526" s="1123">
        <f>IF(AZ526=0,0,(BA526-AZ526)/AZ526*100)</f>
        <v>0</v>
      </c>
      <c r="BL526" s="1123">
        <f>IF(BA526=0,0,(BB526-BA526)/BA526*100)</f>
        <v>0</v>
      </c>
      <c r="BM526" s="1123">
        <f>IF(BB526=0,0,(BC526-BB526)/BB526*100)</f>
        <v>0</v>
      </c>
      <c r="BN526" s="6290"/>
      <c r="BO526" s="6294" t="str">
        <f>IF(_xlfn.IFERROR(INDEX(Налоги!$K$26:$L$83,MATCH($F526&amp;"6komm",Налоги!$K$26:$K$83,0),2),"")=0,"",_xlfn.IFERROR(INDEX(Налоги!$K$26:$L$83,MATCH($F526&amp;"6komm",Налоги!$K$26:$K$83,0),2),""))</f>
        <v>Глава 30 "НАЛОГ НА ИМУЩЕСТВО ОРГАНИЗАЦИЙ" Налогового кодекса РФ (Часть вторая);  Закон Кемеровской области - Кузбасса от 26.11.2003 N 60-ОЗ (ред. от 04.09.2023) "О налоге на имущество организаций".</v>
      </c>
      <c r="BP526" s="6290"/>
      <c r="BQ526" s="1297"/>
      <c r="BR526" s="1297"/>
      <c r="BS526" s="1072" t="s">
        <v>2311</v>
      </c>
      <c r="BT526" s="1072"/>
      <c r="BU526" s="1072"/>
      <c r="BV526" s="987"/>
      <c r="BW526" s="987"/>
    </row>
    <row s="1656" customFormat="1" customHeight="1" ht="14.25">
      <c r="A527" s="1297"/>
      <c r="B527" s="986"/>
      <c r="C527" s="103"/>
      <c r="D527" s="103"/>
      <c r="E527" s="626">
        <v>15</v>
      </c>
      <c r="F527" s="50" cm="1" t="str">
        <f t="array" ref="F527:F527">OFFSET(E527,-1,1)</f>
        <v>3</v>
      </c>
      <c r="G527" s="929">
        <v>2</v>
      </c>
      <c r="H527" s="103"/>
      <c r="I527" s="103" t="s">
        <v>2312</v>
      </c>
      <c r="J527" s="103"/>
      <c r="K527" s="103" t="s">
        <v>2312</v>
      </c>
      <c r="L527" s="988"/>
      <c r="M527" s="103"/>
      <c r="N527" s="103"/>
      <c r="O527" s="103"/>
      <c r="P527" s="103"/>
      <c r="Q527" s="103"/>
      <c r="R527" s="103"/>
      <c r="S527" s="103"/>
      <c r="T527" s="468" cm="1" t="str">
        <f t="array" ref="T527:T527">T526</f>
        <v>true</v>
      </c>
      <c r="U527" s="103"/>
      <c r="V527" s="103"/>
      <c r="W527" s="103"/>
      <c r="X527" s="1559"/>
      <c r="Y527" s="1297"/>
      <c r="Z527" s="1529"/>
      <c r="AA527" s="1297"/>
      <c r="AB527" s="296" t="s">
        <v>1722</v>
      </c>
      <c r="AC527" s="772" t="s">
        <v>2313</v>
      </c>
      <c r="AD527" s="296" t="s">
        <v>936</v>
      </c>
      <c r="AE527" s="1123">
        <f>_xlfn.SUMIFS(Налоги!AE$25:AE$83,Налоги!$F$25:$F$83,$F527,Налоги!$AB$25:$AB$83,$G527)</f>
        <v>0.73</v>
      </c>
      <c r="AF527" s="1123">
        <f>_xlfn.SUMIFS(Налоги!AF$25:AF$83,Налоги!$F$25:$F$83,$F527,Налоги!$AB$25:$AB$83,$G527)</f>
        <v>6.7</v>
      </c>
      <c r="AG527" s="1123">
        <f>_xlfn.SUMIFS(Налоги!AG$25:AG$83,Налоги!$F$25:$F$83,$F527,Налоги!$AB$25:$AB$83,$G527)</f>
        <v>6.7</v>
      </c>
      <c r="AH527" s="1123">
        <f>AG527-AF527</f>
        <v>0</v>
      </c>
      <c r="AI527" s="1123">
        <f>_xlfn.SUMIFS(Налоги!AH$25:AH$83,Налоги!$F$25:$F$83,$F527,Налоги!$AB$25:$AB$83,$G527)</f>
        <v>1.22</v>
      </c>
      <c r="AJ527" s="1123">
        <f>_xlfn.SUMIFS(Налоги!AI$25:AI$83,Налоги!$F$25:$F$83,$F527,Налоги!$AB$25:$AB$83,$G527)</f>
        <v>6.7</v>
      </c>
      <c r="AK527" s="1123">
        <f>_xlfn.SUMIFS(Налоги!AJ$25:AJ$83,Налоги!$F$25:$F$83,$F527,Налоги!$AB$25:$AB$83,$G527)</f>
        <v>0</v>
      </c>
      <c r="AL527" s="1123">
        <f>_xlfn.SUMIFS(Налоги!AK$25:AK$83,Налоги!$F$25:$F$83,$F527,Налоги!$AB$25:$AB$83,$G527)</f>
        <v>0</v>
      </c>
      <c r="AM527" s="1123">
        <f>_xlfn.SUMIFS(Налоги!AL$25:AL$83,Налоги!$F$25:$F$83,$F527,Налоги!$AB$25:$AB$83,$G527)</f>
        <v>0</v>
      </c>
      <c r="AN527" s="1123">
        <f>_xlfn.SUMIFS(Налоги!AM$25:AM$83,Налоги!$F$25:$F$83,$F527,Налоги!$AB$25:$AB$83,$G527)</f>
        <v>0</v>
      </c>
      <c r="AO527" s="1123">
        <f>_xlfn.SUMIFS(Налоги!AN$25:AN$83,Налоги!$F$25:$F$83,$F527,Налоги!$AB$25:$AB$83,$G527)</f>
        <v>0</v>
      </c>
      <c r="AP527" s="1123">
        <f>_xlfn.SUMIFS(Налоги!AO$25:AO$83,Налоги!$F$25:$F$83,$F527,Налоги!$AB$25:$AB$83,$G527)</f>
        <v>0</v>
      </c>
      <c r="AQ527" s="1123">
        <f>_xlfn.SUMIFS(Налоги!AP$25:AP$83,Налоги!$F$25:$F$83,$F527,Налоги!$AB$25:$AB$83,$G527)</f>
        <v>0</v>
      </c>
      <c r="AR527" s="1123">
        <f>_xlfn.SUMIFS(Налоги!AQ$25:AQ$83,Налоги!$F$25:$F$83,$F527,Налоги!$AB$25:$AB$83,$G527)</f>
        <v>0</v>
      </c>
      <c r="AS527" s="1123">
        <f>_xlfn.SUMIFS(Налоги!AR$25:AR$83,Налоги!$F$25:$F$83,$F527,Налоги!$AB$25:$AB$83,$G527)</f>
        <v>0</v>
      </c>
      <c r="AT527" s="1123">
        <f>_xlfn.SUMIFS(Налоги!AS$25:AS$83,Налоги!$F$25:$F$83,$F527,Налоги!$AB$25:$AB$83,$G527)</f>
        <v>6.7</v>
      </c>
      <c r="AU527" s="1123">
        <f>_xlfn.SUMIFS(Налоги!AT$25:AT$83,Налоги!$F$25:$F$83,$F527,Налоги!$AB$25:$AB$83,$G527)</f>
        <v>0</v>
      </c>
      <c r="AV527" s="1123">
        <f>_xlfn.SUMIFS(Налоги!AU$25:AU$83,Налоги!$F$25:$F$83,$F527,Налоги!$AB$25:$AB$83,$G527)</f>
        <v>0</v>
      </c>
      <c r="AW527" s="1123">
        <f>_xlfn.SUMIFS(Налоги!AV$25:AV$83,Налоги!$F$25:$F$83,$F527,Налоги!$AB$25:$AB$83,$G527)</f>
        <v>0</v>
      </c>
      <c r="AX527" s="1123">
        <f>_xlfn.SUMIFS(Налоги!AW$25:AW$83,Налоги!$F$25:$F$83,$F527,Налоги!$AB$25:$AB$83,$G527)</f>
        <v>0</v>
      </c>
      <c r="AY527" s="1123">
        <f>_xlfn.SUMIFS(Налоги!AX$25:AX$83,Налоги!$F$25:$F$83,$F527,Налоги!$AB$25:$AB$83,$G527)</f>
        <v>0</v>
      </c>
      <c r="AZ527" s="1123">
        <f>_xlfn.SUMIFS(Налоги!AY$25:AY$83,Налоги!$F$25:$F$83,$F527,Налоги!$AB$25:$AB$83,$G527)</f>
        <v>0</v>
      </c>
      <c r="BA527" s="1123">
        <f>_xlfn.SUMIFS(Налоги!AZ$25:AZ$83,Налоги!$F$25:$F$83,$F527,Налоги!$AB$25:$AB$83,$G527)</f>
        <v>0</v>
      </c>
      <c r="BB527" s="1123">
        <f>_xlfn.SUMIFS(Налоги!BA$25:BA$83,Налоги!$F$25:$F$83,$F527,Налоги!$AB$25:$AB$83,$G527)</f>
        <v>0</v>
      </c>
      <c r="BC527" s="1123">
        <f>_xlfn.SUMIFS(Налоги!BB$25:BB$83,Налоги!$F$25:$F$83,$F527,Налоги!$AB$25:$AB$83,$G527)</f>
        <v>0</v>
      </c>
      <c r="BD527" s="1123">
        <f>IF(AI527=0,0,(AT527-AI527)/AI527*100)</f>
        <v>449.180327868852</v>
      </c>
      <c r="BE527" s="1123">
        <f>IF(AT527=0,0,(AU527-AT527)/AT527*100)</f>
        <v>-100</v>
      </c>
      <c r="BF527" s="1123">
        <f>IF(AU527=0,0,(AV527-AU527)/AU527*100)</f>
        <v>0</v>
      </c>
      <c r="BG527" s="1123">
        <f>IF(AV527=0,0,(AW527-AV527)/AV527*100)</f>
        <v>0</v>
      </c>
      <c r="BH527" s="1123">
        <f>IF(AW527=0,0,(AX527-AW527)/AW527*100)</f>
        <v>0</v>
      </c>
      <c r="BI527" s="1123">
        <f>IF(AX527=0,0,(AY527-AX527)/AX527*100)</f>
        <v>0</v>
      </c>
      <c r="BJ527" s="1123">
        <f>IF(AY527=0,0,(AZ527-AY527)/AY527*100)</f>
        <v>0</v>
      </c>
      <c r="BK527" s="1123">
        <f>IF(AZ527=0,0,(BA527-AZ527)/AZ527*100)</f>
        <v>0</v>
      </c>
      <c r="BL527" s="1123">
        <f>IF(BA527=0,0,(BB527-BA527)/BA527*100)</f>
        <v>0</v>
      </c>
      <c r="BM527" s="1123">
        <f>IF(BB527=0,0,(BC527-BB527)/BB527*100)</f>
        <v>0</v>
      </c>
      <c r="BN527" s="6290"/>
      <c r="BO527" s="6294" t="str">
        <f>IF(_xlfn.IFERROR(INDEX(Налоги!$K$26:$L$83,MATCH($F527&amp;"2komm",Налоги!$K$26:$K$83,0),2),"")=0,"",_xlfn.IFERROR(INDEX(Налоги!$K$26:$L$83,MATCH($F527&amp;"2komm",Налоги!$K$26:$K$83,0),2),""))</f>
        <v>1) Глава 31 "ЗЕМЕЛЬНЫЙ НАЛОГ" "Налогового кодекса Российской Федерации (часть вторая)" от 05.08.2000 N 117-ФЗ. 2) Постановление Кемеровского городского Совета народных депутатов от 30.09.2005 N 263 (ред. от 27.06.2025) "Об установлении и введении в действие на территории города Кемерово земельного налога"  (для  затрат на сч. 26). 3)  Приказ ФНС России от 04.09.2019 N ММВ-7-21/440@.</v>
      </c>
      <c r="BP527" s="6290"/>
      <c r="BQ527" s="1297"/>
      <c r="BR527" s="1297"/>
      <c r="BS527" s="1072" t="s">
        <v>2314</v>
      </c>
      <c r="BT527" s="1072"/>
      <c r="BU527" s="1072"/>
      <c r="BV527" s="987"/>
      <c r="BW527" s="987"/>
    </row>
    <row s="1656" customFormat="1" customHeight="1" ht="14.25">
      <c r="A528" s="1297"/>
      <c r="B528" s="986"/>
      <c r="C528" s="103"/>
      <c r="D528" s="103"/>
      <c r="E528" s="626">
        <v>15</v>
      </c>
      <c r="F528" s="50" cm="1" t="str">
        <f t="array" ref="F528:F528">OFFSET(E528,-1,1)</f>
        <v>3</v>
      </c>
      <c r="G528" s="929">
        <v>4</v>
      </c>
      <c r="H528" s="103"/>
      <c r="I528" s="103" t="s">
        <v>2315</v>
      </c>
      <c r="J528" s="103"/>
      <c r="K528" s="103" t="s">
        <v>2315</v>
      </c>
      <c r="L528" s="988"/>
      <c r="M528" s="103"/>
      <c r="N528" s="103"/>
      <c r="O528" s="103"/>
      <c r="P528" s="103"/>
      <c r="Q528" s="103"/>
      <c r="R528" s="103"/>
      <c r="S528" s="103"/>
      <c r="T528" s="468" cm="1" t="str">
        <f t="array" ref="T528:T528">T527</f>
        <v>true</v>
      </c>
      <c r="U528" s="103"/>
      <c r="V528" s="103"/>
      <c r="W528" s="103"/>
      <c r="X528" s="1559"/>
      <c r="Y528" s="1297"/>
      <c r="Z528" s="1529"/>
      <c r="AA528" s="1297"/>
      <c r="AB528" s="296" t="s">
        <v>2316</v>
      </c>
      <c r="AC528" s="772" t="s">
        <v>2317</v>
      </c>
      <c r="AD528" s="296" t="s">
        <v>936</v>
      </c>
      <c r="AE528" s="1123">
        <f>_xlfn.SUMIFS(Налоги!AE$25:AE$83,Налоги!$F$25:$F$83,$F528,Налоги!$AB$25:$AB$83,$G528)</f>
        <v>0</v>
      </c>
      <c r="AF528" s="1123">
        <f>_xlfn.SUMIFS(Налоги!AF$25:AF$83,Налоги!$F$25:$F$83,$F528,Налоги!$AB$25:$AB$83,$G528)</f>
        <v>0</v>
      </c>
      <c r="AG528" s="1123">
        <f>_xlfn.SUMIFS(Налоги!AG$25:AG$83,Налоги!$F$25:$F$83,$F528,Налоги!$AB$25:$AB$83,$G528)</f>
        <v>0</v>
      </c>
      <c r="AH528" s="1123">
        <f>AG528-AF528</f>
        <v>0</v>
      </c>
      <c r="AI528" s="1123">
        <f>_xlfn.SUMIFS(Налоги!AH$25:AH$83,Налоги!$F$25:$F$83,$F528,Налоги!$AB$25:$AB$83,$G528)</f>
        <v>0</v>
      </c>
      <c r="AJ528" s="1123">
        <f>_xlfn.SUMIFS(Налоги!AI$25:AI$83,Налоги!$F$25:$F$83,$F528,Налоги!$AB$25:$AB$83,$G528)</f>
        <v>0</v>
      </c>
      <c r="AK528" s="1123">
        <f>_xlfn.SUMIFS(Налоги!AJ$25:AJ$83,Налоги!$F$25:$F$83,$F528,Налоги!$AB$25:$AB$83,$G528)</f>
        <v>0</v>
      </c>
      <c r="AL528" s="1123">
        <f>_xlfn.SUMIFS(Налоги!AK$25:AK$83,Налоги!$F$25:$F$83,$F528,Налоги!$AB$25:$AB$83,$G528)</f>
        <v>0</v>
      </c>
      <c r="AM528" s="1123">
        <f>_xlfn.SUMIFS(Налоги!AL$25:AL$83,Налоги!$F$25:$F$83,$F528,Налоги!$AB$25:$AB$83,$G528)</f>
        <v>0</v>
      </c>
      <c r="AN528" s="1123">
        <f>_xlfn.SUMIFS(Налоги!AM$25:AM$83,Налоги!$F$25:$F$83,$F528,Налоги!$AB$25:$AB$83,$G528)</f>
        <v>0</v>
      </c>
      <c r="AO528" s="1123">
        <f>_xlfn.SUMIFS(Налоги!AN$25:AN$83,Налоги!$F$25:$F$83,$F528,Налоги!$AB$25:$AB$83,$G528)</f>
        <v>0</v>
      </c>
      <c r="AP528" s="1123">
        <f>_xlfn.SUMIFS(Налоги!AO$25:AO$83,Налоги!$F$25:$F$83,$F528,Налоги!$AB$25:$AB$83,$G528)</f>
        <v>0</v>
      </c>
      <c r="AQ528" s="1123">
        <f>_xlfn.SUMIFS(Налоги!AP$25:AP$83,Налоги!$F$25:$F$83,$F528,Налоги!$AB$25:$AB$83,$G528)</f>
        <v>0</v>
      </c>
      <c r="AR528" s="1123">
        <f>_xlfn.SUMIFS(Налоги!AQ$25:AQ$83,Налоги!$F$25:$F$83,$F528,Налоги!$AB$25:$AB$83,$G528)</f>
        <v>0</v>
      </c>
      <c r="AS528" s="1123">
        <f>_xlfn.SUMIFS(Налоги!AR$25:AR$83,Налоги!$F$25:$F$83,$F528,Налоги!$AB$25:$AB$83,$G528)</f>
        <v>0</v>
      </c>
      <c r="AT528" s="1123">
        <f>_xlfn.SUMIFS(Налоги!AS$25:AS$83,Налоги!$F$25:$F$83,$F528,Налоги!$AB$25:$AB$83,$G528)</f>
        <v>0</v>
      </c>
      <c r="AU528" s="1123">
        <f>_xlfn.SUMIFS(Налоги!AT$25:AT$83,Налоги!$F$25:$F$83,$F528,Налоги!$AB$25:$AB$83,$G528)</f>
        <v>0</v>
      </c>
      <c r="AV528" s="1123">
        <f>_xlfn.SUMIFS(Налоги!AU$25:AU$83,Налоги!$F$25:$F$83,$F528,Налоги!$AB$25:$AB$83,$G528)</f>
        <v>0</v>
      </c>
      <c r="AW528" s="1123">
        <f>_xlfn.SUMIFS(Налоги!AV$25:AV$83,Налоги!$F$25:$F$83,$F528,Налоги!$AB$25:$AB$83,$G528)</f>
        <v>0</v>
      </c>
      <c r="AX528" s="1123">
        <f>_xlfn.SUMIFS(Налоги!AW$25:AW$83,Налоги!$F$25:$F$83,$F528,Налоги!$AB$25:$AB$83,$G528)</f>
        <v>0</v>
      </c>
      <c r="AY528" s="1123">
        <f>_xlfn.SUMIFS(Налоги!AX$25:AX$83,Налоги!$F$25:$F$83,$F528,Налоги!$AB$25:$AB$83,$G528)</f>
        <v>0</v>
      </c>
      <c r="AZ528" s="1123">
        <f>_xlfn.SUMIFS(Налоги!AY$25:AY$83,Налоги!$F$25:$F$83,$F528,Налоги!$AB$25:$AB$83,$G528)</f>
        <v>0</v>
      </c>
      <c r="BA528" s="1123">
        <f>_xlfn.SUMIFS(Налоги!AZ$25:AZ$83,Налоги!$F$25:$F$83,$F528,Налоги!$AB$25:$AB$83,$G528)</f>
        <v>0</v>
      </c>
      <c r="BB528" s="1123">
        <f>_xlfn.SUMIFS(Налоги!BA$25:BA$83,Налоги!$F$25:$F$83,$F528,Налоги!$AB$25:$AB$83,$G528)</f>
        <v>0</v>
      </c>
      <c r="BC528" s="1123">
        <f>_xlfn.SUMIFS(Налоги!BB$25:BB$83,Налоги!$F$25:$F$83,$F528,Налоги!$AB$25:$AB$83,$G528)</f>
        <v>0</v>
      </c>
      <c r="BD528" s="1123">
        <f>IF(AI528=0,0,(AT528-AI528)/AI528*100)</f>
        <v>0</v>
      </c>
      <c r="BE528" s="1123">
        <f>IF(AT528=0,0,(AU528-AT528)/AT528*100)</f>
        <v>0</v>
      </c>
      <c r="BF528" s="1123">
        <f>IF(AU528=0,0,(AV528-AU528)/AU528*100)</f>
        <v>0</v>
      </c>
      <c r="BG528" s="1123">
        <f>IF(AV528=0,0,(AW528-AV528)/AV528*100)</f>
        <v>0</v>
      </c>
      <c r="BH528" s="1123">
        <f>IF(AW528=0,0,(AX528-AW528)/AW528*100)</f>
        <v>0</v>
      </c>
      <c r="BI528" s="1123">
        <f>IF(AX528=0,0,(AY528-AX528)/AX528*100)</f>
        <v>0</v>
      </c>
      <c r="BJ528" s="1123">
        <f>IF(AY528=0,0,(AZ528-AY528)/AY528*100)</f>
        <v>0</v>
      </c>
      <c r="BK528" s="1123">
        <f>IF(AZ528=0,0,(BA528-AZ528)/AZ528*100)</f>
        <v>0</v>
      </c>
      <c r="BL528" s="1123">
        <f>IF(BA528=0,0,(BB528-BA528)/BA528*100)</f>
        <v>0</v>
      </c>
      <c r="BM528" s="1123">
        <f>IF(BB528=0,0,(BC528-BB528)/BB528*100)</f>
        <v>0</v>
      </c>
      <c r="BN528" s="6290"/>
      <c r="BO528" s="6294" t="str">
        <f>IF(_xlfn.IFERROR(INDEX(Налоги!$K$26:$L$83,MATCH($F528&amp;"4komm",Налоги!$K$26:$K$83,0),2),"")=0,"",_xlfn.IFERROR(INDEX(Налоги!$K$26:$L$83,MATCH($F528&amp;"4komm",Налоги!$K$26:$K$83,0),2),""))</f>
        <v/>
      </c>
      <c r="BP528" s="6290"/>
      <c r="BQ528" s="1297"/>
      <c r="BR528" s="1297"/>
      <c r="BS528" s="1072" t="s">
        <v>2318</v>
      </c>
      <c r="BT528" s="1072"/>
      <c r="BU528" s="1072"/>
      <c r="BV528" s="987"/>
      <c r="BW528" s="987"/>
    </row>
    <row s="1656" customFormat="1" customHeight="1" ht="14.25">
      <c r="A529" s="1297"/>
      <c r="B529" s="986"/>
      <c r="C529" s="103"/>
      <c r="D529" s="103"/>
      <c r="E529" s="626">
        <v>15</v>
      </c>
      <c r="F529" s="50" cm="1" t="str">
        <f t="array" ref="F529:F529">OFFSET(E529,-1,1)</f>
        <v>3</v>
      </c>
      <c r="G529" s="929">
        <v>5</v>
      </c>
      <c r="H529" s="103"/>
      <c r="I529" s="103" t="s">
        <v>2319</v>
      </c>
      <c r="J529" s="103"/>
      <c r="K529" s="103" t="s">
        <v>2319</v>
      </c>
      <c r="L529" s="988"/>
      <c r="M529" s="103"/>
      <c r="N529" s="103"/>
      <c r="O529" s="103"/>
      <c r="P529" s="103"/>
      <c r="Q529" s="103"/>
      <c r="R529" s="103"/>
      <c r="S529" s="103"/>
      <c r="T529" s="468" cm="1" t="str">
        <f t="array" ref="T529:T529">T528</f>
        <v>true</v>
      </c>
      <c r="U529" s="103"/>
      <c r="V529" s="103"/>
      <c r="W529" s="103"/>
      <c r="X529" s="1559"/>
      <c r="Y529" s="1297"/>
      <c r="Z529" s="1529"/>
      <c r="AA529" s="1297"/>
      <c r="AB529" s="296" t="s">
        <v>2320</v>
      </c>
      <c r="AC529" s="772" t="s">
        <v>2321</v>
      </c>
      <c r="AD529" s="296" t="s">
        <v>936</v>
      </c>
      <c r="AE529" s="1123">
        <f>_xlfn.SUMIFS(Налоги!AE$25:AE$83,Налоги!$F$25:$F$83,$F529,Налоги!$AB$25:$AB$83,$G529)</f>
        <v>0</v>
      </c>
      <c r="AF529" s="1123">
        <f>_xlfn.SUMIFS(Налоги!AF$25:AF$83,Налоги!$F$25:$F$83,$F529,Налоги!$AB$25:$AB$83,$G529)</f>
        <v>0</v>
      </c>
      <c r="AG529" s="1123">
        <f>_xlfn.SUMIFS(Налоги!AG$25:AG$83,Налоги!$F$25:$F$83,$F529,Налоги!$AB$25:$AB$83,$G529)</f>
        <v>0</v>
      </c>
      <c r="AH529" s="1123">
        <f>AG529-AF529</f>
        <v>0</v>
      </c>
      <c r="AI529" s="1123">
        <f>_xlfn.SUMIFS(Налоги!AH$25:AH$83,Налоги!$F$25:$F$83,$F529,Налоги!$AB$25:$AB$83,$G529)</f>
        <v>0</v>
      </c>
      <c r="AJ529" s="1123">
        <f>_xlfn.SUMIFS(Налоги!AI$25:AI$83,Налоги!$F$25:$F$83,$F529,Налоги!$AB$25:$AB$83,$G529)</f>
        <v>0</v>
      </c>
      <c r="AK529" s="1123">
        <f>_xlfn.SUMIFS(Налоги!AJ$25:AJ$83,Налоги!$F$25:$F$83,$F529,Налоги!$AB$25:$AB$83,$G529)</f>
        <v>0</v>
      </c>
      <c r="AL529" s="1123">
        <f>_xlfn.SUMIFS(Налоги!AK$25:AK$83,Налоги!$F$25:$F$83,$F529,Налоги!$AB$25:$AB$83,$G529)</f>
        <v>0</v>
      </c>
      <c r="AM529" s="1123">
        <f>_xlfn.SUMIFS(Налоги!AL$25:AL$83,Налоги!$F$25:$F$83,$F529,Налоги!$AB$25:$AB$83,$G529)</f>
        <v>0</v>
      </c>
      <c r="AN529" s="1123">
        <f>_xlfn.SUMIFS(Налоги!AM$25:AM$83,Налоги!$F$25:$F$83,$F529,Налоги!$AB$25:$AB$83,$G529)</f>
        <v>0</v>
      </c>
      <c r="AO529" s="1123">
        <f>_xlfn.SUMIFS(Налоги!AN$25:AN$83,Налоги!$F$25:$F$83,$F529,Налоги!$AB$25:$AB$83,$G529)</f>
        <v>0</v>
      </c>
      <c r="AP529" s="1123">
        <f>_xlfn.SUMIFS(Налоги!AO$25:AO$83,Налоги!$F$25:$F$83,$F529,Налоги!$AB$25:$AB$83,$G529)</f>
        <v>0</v>
      </c>
      <c r="AQ529" s="1123">
        <f>_xlfn.SUMIFS(Налоги!AP$25:AP$83,Налоги!$F$25:$F$83,$F529,Налоги!$AB$25:$AB$83,$G529)</f>
        <v>0</v>
      </c>
      <c r="AR529" s="1123">
        <f>_xlfn.SUMIFS(Налоги!AQ$25:AQ$83,Налоги!$F$25:$F$83,$F529,Налоги!$AB$25:$AB$83,$G529)</f>
        <v>0</v>
      </c>
      <c r="AS529" s="1123">
        <f>_xlfn.SUMIFS(Налоги!AR$25:AR$83,Налоги!$F$25:$F$83,$F529,Налоги!$AB$25:$AB$83,$G529)</f>
        <v>0</v>
      </c>
      <c r="AT529" s="1123">
        <f>_xlfn.SUMIFS(Налоги!AS$25:AS$83,Налоги!$F$25:$F$83,$F529,Налоги!$AB$25:$AB$83,$G529)</f>
        <v>0</v>
      </c>
      <c r="AU529" s="1123">
        <f>_xlfn.SUMIFS(Налоги!AT$25:AT$83,Налоги!$F$25:$F$83,$F529,Налоги!$AB$25:$AB$83,$G529)</f>
        <v>0</v>
      </c>
      <c r="AV529" s="1123">
        <f>_xlfn.SUMIFS(Налоги!AU$25:AU$83,Налоги!$F$25:$F$83,$F529,Налоги!$AB$25:$AB$83,$G529)</f>
        <v>0</v>
      </c>
      <c r="AW529" s="1123">
        <f>_xlfn.SUMIFS(Налоги!AV$25:AV$83,Налоги!$F$25:$F$83,$F529,Налоги!$AB$25:$AB$83,$G529)</f>
        <v>0</v>
      </c>
      <c r="AX529" s="1123">
        <f>_xlfn.SUMIFS(Налоги!AW$25:AW$83,Налоги!$F$25:$F$83,$F529,Налоги!$AB$25:$AB$83,$G529)</f>
        <v>0</v>
      </c>
      <c r="AY529" s="1123">
        <f>_xlfn.SUMIFS(Налоги!AX$25:AX$83,Налоги!$F$25:$F$83,$F529,Налоги!$AB$25:$AB$83,$G529)</f>
        <v>0</v>
      </c>
      <c r="AZ529" s="1123">
        <f>_xlfn.SUMIFS(Налоги!AY$25:AY$83,Налоги!$F$25:$F$83,$F529,Налоги!$AB$25:$AB$83,$G529)</f>
        <v>0</v>
      </c>
      <c r="BA529" s="1123">
        <f>_xlfn.SUMIFS(Налоги!AZ$25:AZ$83,Налоги!$F$25:$F$83,$F529,Налоги!$AB$25:$AB$83,$G529)</f>
        <v>0</v>
      </c>
      <c r="BB529" s="1123">
        <f>_xlfn.SUMIFS(Налоги!BA$25:BA$83,Налоги!$F$25:$F$83,$F529,Налоги!$AB$25:$AB$83,$G529)</f>
        <v>0</v>
      </c>
      <c r="BC529" s="1123">
        <f>_xlfn.SUMIFS(Налоги!BB$25:BB$83,Налоги!$F$25:$F$83,$F529,Налоги!$AB$25:$AB$83,$G529)</f>
        <v>0</v>
      </c>
      <c r="BD529" s="1123">
        <f>IF(AI529=0,0,(AT529-AI529)/AI529*100)</f>
        <v>0</v>
      </c>
      <c r="BE529" s="1123">
        <f>IF(AT529=0,0,(AU529-AT529)/AT529*100)</f>
        <v>0</v>
      </c>
      <c r="BF529" s="1123">
        <f>IF(AU529=0,0,(AV529-AU529)/AU529*100)</f>
        <v>0</v>
      </c>
      <c r="BG529" s="1123">
        <f>IF(AV529=0,0,(AW529-AV529)/AV529*100)</f>
        <v>0</v>
      </c>
      <c r="BH529" s="1123">
        <f>IF(AW529=0,0,(AX529-AW529)/AW529*100)</f>
        <v>0</v>
      </c>
      <c r="BI529" s="1123">
        <f>IF(AX529=0,0,(AY529-AX529)/AX529*100)</f>
        <v>0</v>
      </c>
      <c r="BJ529" s="1123">
        <f>IF(AY529=0,0,(AZ529-AY529)/AY529*100)</f>
        <v>0</v>
      </c>
      <c r="BK529" s="1123">
        <f>IF(AZ529=0,0,(BA529-AZ529)/AZ529*100)</f>
        <v>0</v>
      </c>
      <c r="BL529" s="1123">
        <f>IF(BA529=0,0,(BB529-BA529)/BA529*100)</f>
        <v>0</v>
      </c>
      <c r="BM529" s="1123">
        <f>IF(BB529=0,0,(BC529-BB529)/BB529*100)</f>
        <v>0</v>
      </c>
      <c r="BN529" s="6290"/>
      <c r="BO529" s="6294" t="str">
        <f>IF(_xlfn.IFERROR(INDEX(Налоги!$K$26:$L$83,MATCH($F529&amp;"5komm",Налоги!$K$26:$K$83,0),2),"")=0,"",_xlfn.IFERROR(INDEX(Налоги!$K$26:$L$83,MATCH($F529&amp;"5komm",Налоги!$K$26:$K$83,0),2),""))</f>
        <v/>
      </c>
      <c r="BP529" s="6290"/>
      <c r="BQ529" s="1297"/>
      <c r="BR529" s="1297"/>
      <c r="BS529" s="1072" t="s">
        <v>2322</v>
      </c>
      <c r="BT529" s="1072"/>
      <c r="BU529" s="1072"/>
      <c r="BV529" s="987"/>
      <c r="BW529" s="987"/>
    </row>
    <row s="1656" customFormat="1" customHeight="1" ht="14.25">
      <c r="A530" s="1297"/>
      <c r="B530" s="986"/>
      <c r="C530" s="103"/>
      <c r="D530" s="103"/>
      <c r="E530" s="626">
        <v>15</v>
      </c>
      <c r="F530" s="50" cm="1" t="str">
        <f t="array" ref="F530:F530">OFFSET(E530,-1,1)</f>
        <v>3</v>
      </c>
      <c r="G530" s="929">
        <v>1</v>
      </c>
      <c r="H530" s="103"/>
      <c r="I530" s="103" t="s">
        <v>2323</v>
      </c>
      <c r="J530" s="103"/>
      <c r="K530" s="103" t="s">
        <v>2323</v>
      </c>
      <c r="L530" s="988"/>
      <c r="M530" s="103"/>
      <c r="N530" s="103"/>
      <c r="O530" s="103"/>
      <c r="P530" s="103"/>
      <c r="Q530" s="103"/>
      <c r="R530" s="103"/>
      <c r="S530" s="103"/>
      <c r="T530" s="468" cm="1" t="str">
        <f t="array" ref="T530:T530">T529</f>
        <v>true</v>
      </c>
      <c r="U530" s="103"/>
      <c r="V530" s="103"/>
      <c r="W530" s="103"/>
      <c r="X530" s="1559"/>
      <c r="Y530" s="1297"/>
      <c r="Z530" s="1529"/>
      <c r="AA530" s="1297"/>
      <c r="AB530" s="296" t="s">
        <v>2324</v>
      </c>
      <c r="AC530" s="772" t="s">
        <v>2325</v>
      </c>
      <c r="AD530" s="296" t="s">
        <v>936</v>
      </c>
      <c r="AE530" s="1123">
        <f>_xlfn.SUMIFS(Налоги!AE$25:AE$83,Налоги!$F$25:$F$83,$F530,Налоги!$AB$25:$AB$83,$G530)</f>
        <v>0.94</v>
      </c>
      <c r="AF530" s="1123">
        <f>_xlfn.SUMIFS(Налоги!AF$25:AF$83,Налоги!$F$25:$F$83,$F530,Налоги!$AB$25:$AB$83,$G530)</f>
        <v>67.14</v>
      </c>
      <c r="AG530" s="1123">
        <f>_xlfn.SUMIFS(Налоги!AG$25:AG$83,Налоги!$F$25:$F$83,$F530,Налоги!$AB$25:$AB$83,$G530)</f>
        <v>67.14</v>
      </c>
      <c r="AH530" s="1123">
        <f>AG530-AF530</f>
        <v>0</v>
      </c>
      <c r="AI530" s="1123">
        <f>_xlfn.SUMIFS(Налоги!AH$25:AH$83,Налоги!$F$25:$F$83,$F530,Налоги!$AB$25:$AB$83,$G530)</f>
        <v>3.38</v>
      </c>
      <c r="AJ530" s="1123">
        <f>_xlfn.SUMIFS(Налоги!AI$25:AI$83,Налоги!$F$25:$F$83,$F530,Налоги!$AB$25:$AB$83,$G530)</f>
        <v>67.14</v>
      </c>
      <c r="AK530" s="1123">
        <f>_xlfn.SUMIFS(Налоги!AJ$25:AJ$83,Налоги!$F$25:$F$83,$F530,Налоги!$AB$25:$AB$83,$G530)</f>
        <v>0</v>
      </c>
      <c r="AL530" s="1123">
        <f>_xlfn.SUMIFS(Налоги!AK$25:AK$83,Налоги!$F$25:$F$83,$F530,Налоги!$AB$25:$AB$83,$G530)</f>
        <v>0</v>
      </c>
      <c r="AM530" s="1123">
        <f>_xlfn.SUMIFS(Налоги!AL$25:AL$83,Налоги!$F$25:$F$83,$F530,Налоги!$AB$25:$AB$83,$G530)</f>
        <v>0</v>
      </c>
      <c r="AN530" s="1123">
        <f>_xlfn.SUMIFS(Налоги!AM$25:AM$83,Налоги!$F$25:$F$83,$F530,Налоги!$AB$25:$AB$83,$G530)</f>
        <v>0</v>
      </c>
      <c r="AO530" s="1123">
        <f>_xlfn.SUMIFS(Налоги!AN$25:AN$83,Налоги!$F$25:$F$83,$F530,Налоги!$AB$25:$AB$83,$G530)</f>
        <v>0</v>
      </c>
      <c r="AP530" s="1123">
        <f>_xlfn.SUMIFS(Налоги!AO$25:AO$83,Налоги!$F$25:$F$83,$F530,Налоги!$AB$25:$AB$83,$G530)</f>
        <v>0</v>
      </c>
      <c r="AQ530" s="1123">
        <f>_xlfn.SUMIFS(Налоги!AP$25:AP$83,Налоги!$F$25:$F$83,$F530,Налоги!$AB$25:$AB$83,$G530)</f>
        <v>0</v>
      </c>
      <c r="AR530" s="1123">
        <f>_xlfn.SUMIFS(Налоги!AQ$25:AQ$83,Налоги!$F$25:$F$83,$F530,Налоги!$AB$25:$AB$83,$G530)</f>
        <v>0</v>
      </c>
      <c r="AS530" s="1123">
        <f>_xlfn.SUMIFS(Налоги!AR$25:AR$83,Налоги!$F$25:$F$83,$F530,Налоги!$AB$25:$AB$83,$G530)</f>
        <v>0</v>
      </c>
      <c r="AT530" s="1123">
        <f>_xlfn.SUMIFS(Налоги!AS$25:AS$83,Налоги!$F$25:$F$83,$F530,Налоги!$AB$25:$AB$83,$G530)</f>
        <v>67.14</v>
      </c>
      <c r="AU530" s="1123">
        <f>_xlfn.SUMIFS(Налоги!AT$25:AT$83,Налоги!$F$25:$F$83,$F530,Налоги!$AB$25:$AB$83,$G530)</f>
        <v>0</v>
      </c>
      <c r="AV530" s="1123">
        <f>_xlfn.SUMIFS(Налоги!AU$25:AU$83,Налоги!$F$25:$F$83,$F530,Налоги!$AB$25:$AB$83,$G530)</f>
        <v>0</v>
      </c>
      <c r="AW530" s="1123">
        <f>_xlfn.SUMIFS(Налоги!AV$25:AV$83,Налоги!$F$25:$F$83,$F530,Налоги!$AB$25:$AB$83,$G530)</f>
        <v>0</v>
      </c>
      <c r="AX530" s="1123">
        <f>_xlfn.SUMIFS(Налоги!AW$25:AW$83,Налоги!$F$25:$F$83,$F530,Налоги!$AB$25:$AB$83,$G530)</f>
        <v>0</v>
      </c>
      <c r="AY530" s="1123">
        <f>_xlfn.SUMIFS(Налоги!AX$25:AX$83,Налоги!$F$25:$F$83,$F530,Налоги!$AB$25:$AB$83,$G530)</f>
        <v>0</v>
      </c>
      <c r="AZ530" s="1123">
        <f>_xlfn.SUMIFS(Налоги!AY$25:AY$83,Налоги!$F$25:$F$83,$F530,Налоги!$AB$25:$AB$83,$G530)</f>
        <v>0</v>
      </c>
      <c r="BA530" s="1123">
        <f>_xlfn.SUMIFS(Налоги!AZ$25:AZ$83,Налоги!$F$25:$F$83,$F530,Налоги!$AB$25:$AB$83,$G530)</f>
        <v>0</v>
      </c>
      <c r="BB530" s="1123">
        <f>_xlfn.SUMIFS(Налоги!BA$25:BA$83,Налоги!$F$25:$F$83,$F530,Налоги!$AB$25:$AB$83,$G530)</f>
        <v>0</v>
      </c>
      <c r="BC530" s="1123">
        <f>_xlfn.SUMIFS(Налоги!BB$25:BB$83,Налоги!$F$25:$F$83,$F530,Налоги!$AB$25:$AB$83,$G530)</f>
        <v>0</v>
      </c>
      <c r="BD530" s="1123">
        <f>IF(AI530=0,0,(AT530-AI530)/AI530*100)</f>
        <v>1886.39053254438</v>
      </c>
      <c r="BE530" s="1123">
        <f>IF(AT530=0,0,(AU530-AT530)/AT530*100)</f>
        <v>-100</v>
      </c>
      <c r="BF530" s="1123">
        <f>IF(AU530=0,0,(AV530-AU530)/AU530*100)</f>
        <v>0</v>
      </c>
      <c r="BG530" s="1123">
        <f>IF(AV530=0,0,(AW530-AV530)/AV530*100)</f>
        <v>0</v>
      </c>
      <c r="BH530" s="1123">
        <f>IF(AW530=0,0,(AX530-AW530)/AW530*100)</f>
        <v>0</v>
      </c>
      <c r="BI530" s="1123">
        <f>IF(AX530=0,0,(AY530-AX530)/AX530*100)</f>
        <v>0</v>
      </c>
      <c r="BJ530" s="1123">
        <f>IF(AY530=0,0,(AZ530-AY530)/AY530*100)</f>
        <v>0</v>
      </c>
      <c r="BK530" s="1123">
        <f>IF(AZ530=0,0,(BA530-AZ530)/AZ530*100)</f>
        <v>0</v>
      </c>
      <c r="BL530" s="1123">
        <f>IF(BA530=0,0,(BB530-BA530)/BA530*100)</f>
        <v>0</v>
      </c>
      <c r="BM530" s="1123">
        <f>IF(BB530=0,0,(BC530-BB530)/BB530*100)</f>
        <v>0</v>
      </c>
      <c r="BN530" s="6290"/>
      <c r="BO530" s="6294" t="str">
        <f>IF(_xlfn.IFERROR(INDEX(Налоги!$K$26:$L$83,MATCH($F530&amp;"1komm",Налоги!$K$26:$K$83,0),2),"")=0,"",_xlfn.IFERROR(INDEX(Налоги!$K$26:$L$83,MATCH($F530&amp;"1komm",Налоги!$K$26:$K$83,0),2),""))</f>
        <v>) Глава 28 "ТРАНСПОРТНЫЙ НАЛОГ" "Налогового кодекса Российской Федерации (часть вторая)" от 05.08.2000 N 117-ФЗ. 2) Закон Кемеровской области от 28.11.2002 N 95-ОЗ (ред. от 27.11.2025) "О транспортном налоге". 3) Приказ ФНС России от 04.09.2019 N ММВ-7-21/440@.</v>
      </c>
      <c r="BP530" s="6290"/>
      <c r="BQ530" s="1297"/>
      <c r="BR530" s="1297"/>
      <c r="BS530" s="1072" t="s">
        <v>2326</v>
      </c>
      <c r="BT530" s="1072"/>
      <c r="BU530" s="1072"/>
      <c r="BV530" s="987"/>
      <c r="BW530" s="987"/>
    </row>
    <row s="1656" customFormat="1" customHeight="1" ht="14.25">
      <c r="A531" s="1297"/>
      <c r="B531" s="986"/>
      <c r="C531" s="103"/>
      <c r="D531" s="103"/>
      <c r="E531" s="626">
        <v>15</v>
      </c>
      <c r="F531" s="50" cm="1" t="str">
        <f t="array" ref="F531:F531">OFFSET(E531,-1,1)</f>
        <v>3</v>
      </c>
      <c r="G531" s="929">
        <v>3</v>
      </c>
      <c r="H531" s="103"/>
      <c r="I531" s="103" t="s">
        <v>2327</v>
      </c>
      <c r="J531" s="103"/>
      <c r="K531" s="103" t="s">
        <v>2327</v>
      </c>
      <c r="L531" s="988"/>
      <c r="M531" s="103"/>
      <c r="N531" s="103"/>
      <c r="O531" s="103"/>
      <c r="P531" s="103"/>
      <c r="Q531" s="103"/>
      <c r="R531" s="103"/>
      <c r="S531" s="103"/>
      <c r="T531" s="468" cm="1" t="str">
        <f t="array" ref="T531:T531">T530</f>
        <v>true</v>
      </c>
      <c r="U531" s="103"/>
      <c r="V531" s="103"/>
      <c r="W531" s="103"/>
      <c r="X531" s="1559"/>
      <c r="Y531" s="1297"/>
      <c r="Z531" s="1529"/>
      <c r="AA531" s="1297"/>
      <c r="AB531" s="296" t="s">
        <v>2328</v>
      </c>
      <c r="AC531" s="772" t="s">
        <v>2329</v>
      </c>
      <c r="AD531" s="296" t="s">
        <v>936</v>
      </c>
      <c r="AE531" s="1123">
        <f>_xlfn.SUMIFS(Налоги!AE$25:AE$83,Налоги!$F$25:$F$83,$F531,Налоги!$AB$25:$AB$83,$G531)</f>
        <v>17.57</v>
      </c>
      <c r="AF531" s="1123">
        <f>_xlfn.SUMIFS(Налоги!AF$25:AF$83,Налоги!$F$25:$F$83,$F531,Налоги!$AB$25:$AB$83,$G531)</f>
        <v>246.34</v>
      </c>
      <c r="AG531" s="1123">
        <f>_xlfn.SUMIFS(Налоги!AG$25:AG$83,Налоги!$F$25:$F$83,$F531,Налоги!$AB$25:$AB$83,$G531)</f>
        <v>246.34</v>
      </c>
      <c r="AH531" s="1123">
        <f>AG531-AF531</f>
        <v>0</v>
      </c>
      <c r="AI531" s="1123">
        <f>_xlfn.SUMIFS(Налоги!AH$25:AH$83,Налоги!$F$25:$F$83,$F531,Налоги!$AB$25:$AB$83,$G531)</f>
        <v>17.57</v>
      </c>
      <c r="AJ531" s="1123">
        <f>_xlfn.SUMIFS(Налоги!AI$25:AI$83,Налоги!$F$25:$F$83,$F531,Налоги!$AB$25:$AB$83,$G531)</f>
        <v>8189.17</v>
      </c>
      <c r="AK531" s="1123">
        <f>_xlfn.SUMIFS(Налоги!AJ$25:AJ$83,Налоги!$F$25:$F$83,$F531,Налоги!$AB$25:$AB$83,$G531)</f>
        <v>0</v>
      </c>
      <c r="AL531" s="1123">
        <f>_xlfn.SUMIFS(Налоги!AK$25:AK$83,Налоги!$F$25:$F$83,$F531,Налоги!$AB$25:$AB$83,$G531)</f>
        <v>0</v>
      </c>
      <c r="AM531" s="1123">
        <f>_xlfn.SUMIFS(Налоги!AL$25:AL$83,Налоги!$F$25:$F$83,$F531,Налоги!$AB$25:$AB$83,$G531)</f>
        <v>0</v>
      </c>
      <c r="AN531" s="1123">
        <f>_xlfn.SUMIFS(Налоги!AM$25:AM$83,Налоги!$F$25:$F$83,$F531,Налоги!$AB$25:$AB$83,$G531)</f>
        <v>0</v>
      </c>
      <c r="AO531" s="1123">
        <f>_xlfn.SUMIFS(Налоги!AN$25:AN$83,Налоги!$F$25:$F$83,$F531,Налоги!$AB$25:$AB$83,$G531)</f>
        <v>0</v>
      </c>
      <c r="AP531" s="1123">
        <f>_xlfn.SUMIFS(Налоги!AO$25:AO$83,Налоги!$F$25:$F$83,$F531,Налоги!$AB$25:$AB$83,$G531)</f>
        <v>0</v>
      </c>
      <c r="AQ531" s="1123">
        <f>_xlfn.SUMIFS(Налоги!AP$25:AP$83,Налоги!$F$25:$F$83,$F531,Налоги!$AB$25:$AB$83,$G531)</f>
        <v>0</v>
      </c>
      <c r="AR531" s="1123">
        <f>_xlfn.SUMIFS(Налоги!AQ$25:AQ$83,Налоги!$F$25:$F$83,$F531,Налоги!$AB$25:$AB$83,$G531)</f>
        <v>0</v>
      </c>
      <c r="AS531" s="1123">
        <f>_xlfn.SUMIFS(Налоги!AR$25:AR$83,Налоги!$F$25:$F$83,$F531,Налоги!$AB$25:$AB$83,$G531)</f>
        <v>0</v>
      </c>
      <c r="AT531" s="1123">
        <f>_xlfn.SUMIFS(Налоги!AS$25:AS$83,Налоги!$F$25:$F$83,$F531,Налоги!$AB$25:$AB$83,$G531)</f>
        <v>8189.17</v>
      </c>
      <c r="AU531" s="1123">
        <f>_xlfn.SUMIFS(Налоги!AT$25:AT$83,Налоги!$F$25:$F$83,$F531,Налоги!$AB$25:$AB$83,$G531)</f>
        <v>0</v>
      </c>
      <c r="AV531" s="1123">
        <f>_xlfn.SUMIFS(Налоги!AU$25:AU$83,Налоги!$F$25:$F$83,$F531,Налоги!$AB$25:$AB$83,$G531)</f>
        <v>0</v>
      </c>
      <c r="AW531" s="1123">
        <f>_xlfn.SUMIFS(Налоги!AV$25:AV$83,Налоги!$F$25:$F$83,$F531,Налоги!$AB$25:$AB$83,$G531)</f>
        <v>0</v>
      </c>
      <c r="AX531" s="1123">
        <f>_xlfn.SUMIFS(Налоги!AW$25:AW$83,Налоги!$F$25:$F$83,$F531,Налоги!$AB$25:$AB$83,$G531)</f>
        <v>0</v>
      </c>
      <c r="AY531" s="1123">
        <f>_xlfn.SUMIFS(Налоги!AX$25:AX$83,Налоги!$F$25:$F$83,$F531,Налоги!$AB$25:$AB$83,$G531)</f>
        <v>0</v>
      </c>
      <c r="AZ531" s="1123">
        <f>_xlfn.SUMIFS(Налоги!AY$25:AY$83,Налоги!$F$25:$F$83,$F531,Налоги!$AB$25:$AB$83,$G531)</f>
        <v>0</v>
      </c>
      <c r="BA531" s="1123">
        <f>_xlfn.SUMIFS(Налоги!AZ$25:AZ$83,Налоги!$F$25:$F$83,$F531,Налоги!$AB$25:$AB$83,$G531)</f>
        <v>0</v>
      </c>
      <c r="BB531" s="1123">
        <f>_xlfn.SUMIFS(Налоги!BA$25:BA$83,Налоги!$F$25:$F$83,$F531,Налоги!$AB$25:$AB$83,$G531)</f>
        <v>0</v>
      </c>
      <c r="BC531" s="1123">
        <f>_xlfn.SUMIFS(Налоги!BB$25:BB$83,Налоги!$F$25:$F$83,$F531,Налоги!$AB$25:$AB$83,$G531)</f>
        <v>0</v>
      </c>
      <c r="BD531" s="1123">
        <f>IF(AI531=0,0,(AT531-AI531)/AI531*100)</f>
        <v>46508.8218554354</v>
      </c>
      <c r="BE531" s="1123">
        <f>IF(AT531=0,0,(AU531-AT531)/AT531*100)</f>
        <v>-100</v>
      </c>
      <c r="BF531" s="1123">
        <f>IF(AU531=0,0,(AV531-AU531)/AU531*100)</f>
        <v>0</v>
      </c>
      <c r="BG531" s="1123">
        <f>IF(AV531=0,0,(AW531-AV531)/AV531*100)</f>
        <v>0</v>
      </c>
      <c r="BH531" s="1123">
        <f>IF(AW531=0,0,(AX531-AW531)/AW531*100)</f>
        <v>0</v>
      </c>
      <c r="BI531" s="1123">
        <f>IF(AX531=0,0,(AY531-AX531)/AX531*100)</f>
        <v>0</v>
      </c>
      <c r="BJ531" s="1123">
        <f>IF(AY531=0,0,(AZ531-AY531)/AY531*100)</f>
        <v>0</v>
      </c>
      <c r="BK531" s="1123">
        <f>IF(AZ531=0,0,(BA531-AZ531)/AZ531*100)</f>
        <v>0</v>
      </c>
      <c r="BL531" s="1123">
        <f>IF(BA531=0,0,(BB531-BA531)/BA531*100)</f>
        <v>0</v>
      </c>
      <c r="BM531" s="1123">
        <f>IF(BB531=0,0,(BC531-BB531)/BB531*100)</f>
        <v>0</v>
      </c>
      <c r="BN531" s="6290"/>
      <c r="BO531" s="6294" t="str">
        <f>IF(_xlfn.IFERROR(INDEX(Налоги!$K$26:$L$83,MATCH($F531&amp;"5komm",Налоги!$K$26:$K$83,0),2),"")=0,"",_xlfn.IFERROR(INDEX(Налоги!$K$26:$L$83,MATCH($F531&amp;"5komm",Налоги!$K$26:$K$83,0),2),""))</f>
        <v/>
      </c>
      <c r="BP531" s="6290"/>
      <c r="BQ531" s="1297"/>
      <c r="BR531" s="1297"/>
      <c r="BS531" s="1072" t="s">
        <v>2330</v>
      </c>
      <c r="BT531" s="1072"/>
      <c r="BU531" s="1072"/>
      <c r="BV531" s="987"/>
      <c r="BW531" s="987"/>
    </row>
    <row s="1656" customFormat="1" customHeight="1" ht="14.25">
      <c r="A532" s="1297"/>
      <c r="B532" s="986"/>
      <c r="C532" s="103"/>
      <c r="D532" s="103"/>
      <c r="E532" s="626">
        <v>15</v>
      </c>
      <c r="F532" s="50" cm="1" t="str">
        <f t="array" ref="F532:F532">OFFSET(E532,-1,1)</f>
        <v>3</v>
      </c>
      <c r="G532" s="929">
        <v>8</v>
      </c>
      <c r="H532" s="103"/>
      <c r="I532" s="103" t="s">
        <v>2331</v>
      </c>
      <c r="J532" s="103"/>
      <c r="K532" s="103" t="s">
        <v>2331</v>
      </c>
      <c r="L532" s="988"/>
      <c r="M532" s="103"/>
      <c r="N532" s="103"/>
      <c r="O532" s="103"/>
      <c r="P532" s="103"/>
      <c r="Q532" s="103"/>
      <c r="R532" s="103"/>
      <c r="S532" s="103"/>
      <c r="T532" s="468" cm="1" t="str">
        <f t="array" ref="T532:T532">T531</f>
        <v>true</v>
      </c>
      <c r="U532" s="103"/>
      <c r="V532" s="103"/>
      <c r="W532" s="103"/>
      <c r="X532" s="1559"/>
      <c r="Y532" s="1297"/>
      <c r="Z532" s="1529"/>
      <c r="AA532" s="1297"/>
      <c r="AB532" s="296" t="s">
        <v>2332</v>
      </c>
      <c r="AC532" s="772" t="s">
        <v>2333</v>
      </c>
      <c r="AD532" s="296" t="s">
        <v>936</v>
      </c>
      <c r="AE532" s="1123">
        <f>_xlfn.SUMIFS(Налоги!AE$25:AE$83,Налоги!$F$25:$F$83,$F532,Налоги!$AB$25:$AB$83,$G532)</f>
        <v>0</v>
      </c>
      <c r="AF532" s="1123">
        <f>_xlfn.SUMIFS(Налоги!AF$25:AF$83,Налоги!$F$25:$F$83,$F532,Налоги!$AB$25:$AB$83,$G532)</f>
        <v>0</v>
      </c>
      <c r="AG532" s="1123">
        <f>_xlfn.SUMIFS(Налоги!AG$25:AG$83,Налоги!$F$25:$F$83,$F532,Налоги!$AB$25:$AB$83,$G532)</f>
        <v>0</v>
      </c>
      <c r="AH532" s="1123">
        <f>AG532-AF532</f>
        <v>0</v>
      </c>
      <c r="AI532" s="1123">
        <f>_xlfn.SUMIFS(Налоги!AH$25:AH$83,Налоги!$F$25:$F$83,$F532,Налоги!$AB$25:$AB$83,$G532)</f>
        <v>0</v>
      </c>
      <c r="AJ532" s="1123">
        <f>_xlfn.SUMIFS(Налоги!AI$25:AI$83,Налоги!$F$25:$F$83,$F532,Налоги!$AB$25:$AB$83,$G532)</f>
        <v>0</v>
      </c>
      <c r="AK532" s="1123">
        <f>_xlfn.SUMIFS(Налоги!AJ$25:AJ$83,Налоги!$F$25:$F$83,$F532,Налоги!$AB$25:$AB$83,$G532)</f>
        <v>0</v>
      </c>
      <c r="AL532" s="1123">
        <f>_xlfn.SUMIFS(Налоги!AK$25:AK$83,Налоги!$F$25:$F$83,$F532,Налоги!$AB$25:$AB$83,$G532)</f>
        <v>0</v>
      </c>
      <c r="AM532" s="1123">
        <f>_xlfn.SUMIFS(Налоги!AL$25:AL$83,Налоги!$F$25:$F$83,$F532,Налоги!$AB$25:$AB$83,$G532)</f>
        <v>0</v>
      </c>
      <c r="AN532" s="1123">
        <f>_xlfn.SUMIFS(Налоги!AM$25:AM$83,Налоги!$F$25:$F$83,$F532,Налоги!$AB$25:$AB$83,$G532)</f>
        <v>0</v>
      </c>
      <c r="AO532" s="1123">
        <f>_xlfn.SUMIFS(Налоги!AN$25:AN$83,Налоги!$F$25:$F$83,$F532,Налоги!$AB$25:$AB$83,$G532)</f>
        <v>0</v>
      </c>
      <c r="AP532" s="1123">
        <f>_xlfn.SUMIFS(Налоги!AO$25:AO$83,Налоги!$F$25:$F$83,$F532,Налоги!$AB$25:$AB$83,$G532)</f>
        <v>0</v>
      </c>
      <c r="AQ532" s="1123">
        <f>_xlfn.SUMIFS(Налоги!AP$25:AP$83,Налоги!$F$25:$F$83,$F532,Налоги!$AB$25:$AB$83,$G532)</f>
        <v>0</v>
      </c>
      <c r="AR532" s="1123">
        <f>_xlfn.SUMIFS(Налоги!AQ$25:AQ$83,Налоги!$F$25:$F$83,$F532,Налоги!$AB$25:$AB$83,$G532)</f>
        <v>0</v>
      </c>
      <c r="AS532" s="1123">
        <f>_xlfn.SUMIFS(Налоги!AR$25:AR$83,Налоги!$F$25:$F$83,$F532,Налоги!$AB$25:$AB$83,$G532)</f>
        <v>0</v>
      </c>
      <c r="AT532" s="1123">
        <f>_xlfn.SUMIFS(Налоги!AS$25:AS$83,Налоги!$F$25:$F$83,$F532,Налоги!$AB$25:$AB$83,$G532)</f>
        <v>0</v>
      </c>
      <c r="AU532" s="1123">
        <f>_xlfn.SUMIFS(Налоги!AT$25:AT$83,Налоги!$F$25:$F$83,$F532,Налоги!$AB$25:$AB$83,$G532)</f>
        <v>0</v>
      </c>
      <c r="AV532" s="1123">
        <f>_xlfn.SUMIFS(Налоги!AU$25:AU$83,Налоги!$F$25:$F$83,$F532,Налоги!$AB$25:$AB$83,$G532)</f>
        <v>0</v>
      </c>
      <c r="AW532" s="1123">
        <f>_xlfn.SUMIFS(Налоги!AV$25:AV$83,Налоги!$F$25:$F$83,$F532,Налоги!$AB$25:$AB$83,$G532)</f>
        <v>0</v>
      </c>
      <c r="AX532" s="1123">
        <f>_xlfn.SUMIFS(Налоги!AW$25:AW$83,Налоги!$F$25:$F$83,$F532,Налоги!$AB$25:$AB$83,$G532)</f>
        <v>0</v>
      </c>
      <c r="AY532" s="1123">
        <f>_xlfn.SUMIFS(Налоги!AX$25:AX$83,Налоги!$F$25:$F$83,$F532,Налоги!$AB$25:$AB$83,$G532)</f>
        <v>0</v>
      </c>
      <c r="AZ532" s="1123">
        <f>_xlfn.SUMIFS(Налоги!AY$25:AY$83,Налоги!$F$25:$F$83,$F532,Налоги!$AB$25:$AB$83,$G532)</f>
        <v>0</v>
      </c>
      <c r="BA532" s="1123">
        <f>_xlfn.SUMIFS(Налоги!AZ$25:AZ$83,Налоги!$F$25:$F$83,$F532,Налоги!$AB$25:$AB$83,$G532)</f>
        <v>0</v>
      </c>
      <c r="BB532" s="1123">
        <f>_xlfn.SUMIFS(Налоги!BA$25:BA$83,Налоги!$F$25:$F$83,$F532,Налоги!$AB$25:$AB$83,$G532)</f>
        <v>0</v>
      </c>
      <c r="BC532" s="1123">
        <f>_xlfn.SUMIFS(Налоги!BB$25:BB$83,Налоги!$F$25:$F$83,$F532,Налоги!$AB$25:$AB$83,$G532)</f>
        <v>0</v>
      </c>
      <c r="BD532" s="1123">
        <f>IF(AI532=0,0,(AT532-AI532)/AI532*100)</f>
        <v>0</v>
      </c>
      <c r="BE532" s="1123">
        <f>IF(AT532=0,0,(AU532-AT532)/AT532*100)</f>
        <v>0</v>
      </c>
      <c r="BF532" s="1123">
        <f>IF(AU532=0,0,(AV532-AU532)/AU532*100)</f>
        <v>0</v>
      </c>
      <c r="BG532" s="1123">
        <f>IF(AV532=0,0,(AW532-AV532)/AV532*100)</f>
        <v>0</v>
      </c>
      <c r="BH532" s="1123">
        <f>IF(AW532=0,0,(AX532-AW532)/AW532*100)</f>
        <v>0</v>
      </c>
      <c r="BI532" s="1123">
        <f>IF(AX532=0,0,(AY532-AX532)/AX532*100)</f>
        <v>0</v>
      </c>
      <c r="BJ532" s="1123">
        <f>IF(AY532=0,0,(AZ532-AY532)/AY532*100)</f>
        <v>0</v>
      </c>
      <c r="BK532" s="1123">
        <f>IF(AZ532=0,0,(BA532-AZ532)/AZ532*100)</f>
        <v>0</v>
      </c>
      <c r="BL532" s="1123">
        <f>IF(BA532=0,0,(BB532-BA532)/BA532*100)</f>
        <v>0</v>
      </c>
      <c r="BM532" s="1123">
        <f>IF(BB532=0,0,(BC532-BB532)/BB532*100)</f>
        <v>0</v>
      </c>
      <c r="BN532" s="6290"/>
      <c r="BO532" s="6294" t="str">
        <f>IF(_xlfn.IFERROR(INDEX(Налоги!$K$26:$L$83,MATCH($F532&amp;"8komm",Налоги!$K$26:$K$83,0),2),"")=0,"",_xlfn.IFERROR(INDEX(Налоги!$K$26:$L$83,MATCH($F532&amp;"8komm",Налоги!$K$26:$K$83,0),2),""))</f>
        <v>Приказ Генерального директора ОАО "СКЭК" от 30.06.2023 № 166/1 "О внесении изменений в Учетную политику" (Пункт 1.1, внесение изменений в пункт 3.5.3 о распределении общехозяйственных расходов, учитываемых на сч. 26 ).</v>
      </c>
      <c r="BP532" s="6290"/>
      <c r="BQ532" s="1297"/>
      <c r="BR532" s="1297"/>
      <c r="BS532" s="1072" t="s">
        <v>1482</v>
      </c>
      <c r="BT532" s="1072"/>
      <c r="BU532" s="1072"/>
      <c r="BV532" s="987"/>
      <c r="BW532" s="987"/>
    </row>
    <row s="1252" customFormat="1" customHeight="1" ht="14.25">
      <c r="A533" s="1252"/>
      <c r="B533" s="760"/>
      <c r="C533" s="103"/>
      <c r="D533" s="103"/>
      <c r="E533" s="626">
        <v>15</v>
      </c>
      <c r="F533" s="50" cm="1" t="str">
        <f t="array" ref="F533:F533">OFFSET(E533,-1,1)</f>
        <v>3</v>
      </c>
      <c r="G533" s="929">
        <v>9</v>
      </c>
      <c r="H533" s="103"/>
      <c r="I533" s="103"/>
      <c r="J533" s="103"/>
      <c r="K533" s="103"/>
      <c r="L533" s="988"/>
      <c r="M533" s="103"/>
      <c r="N533" s="103"/>
      <c r="O533" s="103"/>
      <c r="P533" s="103"/>
      <c r="Q533" s="103"/>
      <c r="R533" s="103"/>
      <c r="S533" s="103"/>
      <c r="T533" s="468" cm="1" t="str">
        <f t="array" ref="T533:T533">T532</f>
        <v>true</v>
      </c>
      <c r="U533" s="103"/>
      <c r="V533" s="103"/>
      <c r="W533" s="103"/>
      <c r="X533" s="1559"/>
      <c r="Y533" s="1252"/>
      <c r="Z533" s="1529"/>
      <c r="AA533" s="1252"/>
      <c r="AB533" s="296" t="s">
        <v>2334</v>
      </c>
      <c r="AC533" s="787" t="s">
        <v>2335</v>
      </c>
      <c r="AD533" s="296" t="s">
        <v>936</v>
      </c>
      <c r="AE533" s="1123">
        <f>_xlfn.SUMIFS(Налоги!AE$25:AE$83,Налоги!$F$25:$F$83,$F533,Налоги!$AB$25:$AB$83,$G533)</f>
        <v>0</v>
      </c>
      <c r="AF533" s="1123">
        <f>_xlfn.SUMIFS(Налоги!AF$25:AF$83,Налоги!$F$25:$F$83,$F533,Налоги!$AB$25:$AB$83,$G533)</f>
        <v>0</v>
      </c>
      <c r="AG533" s="1123">
        <f>_xlfn.SUMIFS(Налоги!AG$25:AG$83,Налоги!$F$25:$F$83,$F533,Налоги!$AB$25:$AB$83,$G533)</f>
        <v>0</v>
      </c>
      <c r="AH533" s="1123">
        <f>AG533-AF533</f>
        <v>0</v>
      </c>
      <c r="AI533" s="1123">
        <f>_xlfn.SUMIFS(Налоги!AH$25:AH$83,Налоги!$F$25:$F$83,$F533,Налоги!$AB$25:$AB$83,$G533)</f>
        <v>0</v>
      </c>
      <c r="AJ533" s="1123">
        <f>_xlfn.SUMIFS(Налоги!AI$25:AI$83,Налоги!$F$25:$F$83,$F533,Налоги!$AB$25:$AB$83,$G533)</f>
        <v>0</v>
      </c>
      <c r="AK533" s="1123">
        <f>_xlfn.SUMIFS(Налоги!AJ$25:AJ$83,Налоги!$F$25:$F$83,$F533,Налоги!$AB$25:$AB$83,$G533)</f>
        <v>0</v>
      </c>
      <c r="AL533" s="1123">
        <f>_xlfn.SUMIFS(Налоги!AK$25:AK$83,Налоги!$F$25:$F$83,$F533,Налоги!$AB$25:$AB$83,$G533)</f>
        <v>0</v>
      </c>
      <c r="AM533" s="1123">
        <f>_xlfn.SUMIFS(Налоги!AL$25:AL$83,Налоги!$F$25:$F$83,$F533,Налоги!$AB$25:$AB$83,$G533)</f>
        <v>0</v>
      </c>
      <c r="AN533" s="1123">
        <f>_xlfn.SUMIFS(Налоги!AM$25:AM$83,Налоги!$F$25:$F$83,$F533,Налоги!$AB$25:$AB$83,$G533)</f>
        <v>0</v>
      </c>
      <c r="AO533" s="1123">
        <f>_xlfn.SUMIFS(Налоги!AN$25:AN$83,Налоги!$F$25:$F$83,$F533,Налоги!$AB$25:$AB$83,$G533)</f>
        <v>0</v>
      </c>
      <c r="AP533" s="1123">
        <f>_xlfn.SUMIFS(Налоги!AO$25:AO$83,Налоги!$F$25:$F$83,$F533,Налоги!$AB$25:$AB$83,$G533)</f>
        <v>0</v>
      </c>
      <c r="AQ533" s="1123">
        <f>_xlfn.SUMIFS(Налоги!AP$25:AP$83,Налоги!$F$25:$F$83,$F533,Налоги!$AB$25:$AB$83,$G533)</f>
        <v>0</v>
      </c>
      <c r="AR533" s="1123">
        <f>_xlfn.SUMIFS(Налоги!AQ$25:AQ$83,Налоги!$F$25:$F$83,$F533,Налоги!$AB$25:$AB$83,$G533)</f>
        <v>0</v>
      </c>
      <c r="AS533" s="1123">
        <f>_xlfn.SUMIFS(Налоги!AR$25:AR$83,Налоги!$F$25:$F$83,$F533,Налоги!$AB$25:$AB$83,$G533)</f>
        <v>0</v>
      </c>
      <c r="AT533" s="1123">
        <f>_xlfn.SUMIFS(Налоги!AS$25:AS$83,Налоги!$F$25:$F$83,$F533,Налоги!$AB$25:$AB$83,$G533)</f>
        <v>0</v>
      </c>
      <c r="AU533" s="1123">
        <f>_xlfn.SUMIFS(Налоги!AT$25:AT$83,Налоги!$F$25:$F$83,$F533,Налоги!$AB$25:$AB$83,$G533)</f>
        <v>0</v>
      </c>
      <c r="AV533" s="1123">
        <f>_xlfn.SUMIFS(Налоги!AU$25:AU$83,Налоги!$F$25:$F$83,$F533,Налоги!$AB$25:$AB$83,$G533)</f>
        <v>0</v>
      </c>
      <c r="AW533" s="1123">
        <f>_xlfn.SUMIFS(Налоги!AV$25:AV$83,Налоги!$F$25:$F$83,$F533,Налоги!$AB$25:$AB$83,$G533)</f>
        <v>0</v>
      </c>
      <c r="AX533" s="1123">
        <f>_xlfn.SUMIFS(Налоги!AW$25:AW$83,Налоги!$F$25:$F$83,$F533,Налоги!$AB$25:$AB$83,$G533)</f>
        <v>0</v>
      </c>
      <c r="AY533" s="1123">
        <f>_xlfn.SUMIFS(Налоги!AX$25:AX$83,Налоги!$F$25:$F$83,$F533,Налоги!$AB$25:$AB$83,$G533)</f>
        <v>0</v>
      </c>
      <c r="AZ533" s="1123">
        <f>_xlfn.SUMIFS(Налоги!AY$25:AY$83,Налоги!$F$25:$F$83,$F533,Налоги!$AB$25:$AB$83,$G533)</f>
        <v>0</v>
      </c>
      <c r="BA533" s="1123">
        <f>_xlfn.SUMIFS(Налоги!AZ$25:AZ$83,Налоги!$F$25:$F$83,$F533,Налоги!$AB$25:$AB$83,$G533)</f>
        <v>0</v>
      </c>
      <c r="BB533" s="1123">
        <f>_xlfn.SUMIFS(Налоги!BA$25:BA$83,Налоги!$F$25:$F$83,$F533,Налоги!$AB$25:$AB$83,$G533)</f>
        <v>0</v>
      </c>
      <c r="BC533" s="1123">
        <f>_xlfn.SUMIFS(Налоги!BB$25:BB$83,Налоги!$F$25:$F$83,$F533,Налоги!$AB$25:$AB$83,$G533)</f>
        <v>0</v>
      </c>
      <c r="BD533" s="1123">
        <f>IF(AI533=0,0,(AT533-AI533)/AI533*100)</f>
        <v>0</v>
      </c>
      <c r="BE533" s="1123">
        <f>IF(AT533=0,0,(AU533-AT533)/AT533*100)</f>
        <v>0</v>
      </c>
      <c r="BF533" s="1123">
        <f>IF(AU533=0,0,(AV533-AU533)/AU533*100)</f>
        <v>0</v>
      </c>
      <c r="BG533" s="1123">
        <f>IF(AV533=0,0,(AW533-AV533)/AV533*100)</f>
        <v>0</v>
      </c>
      <c r="BH533" s="1123">
        <f>IF(AW533=0,0,(AX533-AW533)/AW533*100)</f>
        <v>0</v>
      </c>
      <c r="BI533" s="1123">
        <f>IF(AX533=0,0,(AY533-AX533)/AX533*100)</f>
        <v>0</v>
      </c>
      <c r="BJ533" s="1123">
        <f>IF(AY533=0,0,(AZ533-AY533)/AY533*100)</f>
        <v>0</v>
      </c>
      <c r="BK533" s="1123">
        <f>IF(AZ533=0,0,(BA533-AZ533)/AZ533*100)</f>
        <v>0</v>
      </c>
      <c r="BL533" s="1123">
        <f>IF(BA533=0,0,(BB533-BA533)/BA533*100)</f>
        <v>0</v>
      </c>
      <c r="BM533" s="1123">
        <f>IF(BB533=0,0,(BC533-BB533)/BB533*100)</f>
        <v>0</v>
      </c>
      <c r="BN533" s="6290"/>
      <c r="BO533" s="6294" t="str">
        <f>IF(_xlfn.IFERROR(INDEX(Налоги!$K$26:$L$83,MATCH($F533&amp;"9komm",Налоги!$K$26:$K$83,0),2),"")=0,"",_xlfn.IFERROR(INDEX(Налоги!$K$26:$L$83,MATCH($F533&amp;"9komm",Налоги!$K$26:$K$83,0),2),""))</f>
        <v/>
      </c>
      <c r="BP533" s="6290"/>
      <c r="BQ533" s="1252"/>
      <c r="BR533" s="1252"/>
      <c r="BS533" s="1079" t="s">
        <v>2336</v>
      </c>
      <c r="BT533" s="1079"/>
      <c r="BU533" s="1079"/>
      <c r="BV533" s="1080"/>
      <c r="BW533" s="1080"/>
    </row>
    <row s="1656" customFormat="1" customHeight="1" ht="14.25">
      <c r="A534" s="1297"/>
      <c r="B534" s="986"/>
      <c r="C534" s="103"/>
      <c r="D534" s="103"/>
      <c r="E534" s="626">
        <v>15</v>
      </c>
      <c r="F534" s="50" cm="1" t="str">
        <f t="array" ref="F534:F534">OFFSET(E534,-1,1)</f>
        <v>3</v>
      </c>
      <c r="G534" s="929">
        <v>10</v>
      </c>
      <c r="H534" s="103"/>
      <c r="I534" s="103" t="s">
        <v>2337</v>
      </c>
      <c r="J534" s="103"/>
      <c r="K534" s="103" t="s">
        <v>2337</v>
      </c>
      <c r="L534" s="988"/>
      <c r="M534" s="103"/>
      <c r="N534" s="103"/>
      <c r="O534" s="103"/>
      <c r="P534" s="103"/>
      <c r="Q534" s="103"/>
      <c r="R534" s="103"/>
      <c r="S534" s="103"/>
      <c r="T534" s="468" cm="1" t="str">
        <f t="array" ref="T534:T534">T533</f>
        <v>true</v>
      </c>
      <c r="U534" s="103"/>
      <c r="V534" s="103"/>
      <c r="W534" s="103"/>
      <c r="X534" s="1559"/>
      <c r="Y534" s="1297"/>
      <c r="Z534" s="1529"/>
      <c r="AA534" s="1297"/>
      <c r="AB534" s="296" t="s">
        <v>2338</v>
      </c>
      <c r="AC534" s="788" t="s">
        <v>2339</v>
      </c>
      <c r="AD534" s="296" t="s">
        <v>936</v>
      </c>
      <c r="AE534" s="1123">
        <f>_xlfn.SUMIFS(Налоги!AE$25:AE$83,Налоги!$F$25:$F$83,$F534,Налоги!$AB$25:$AB$83,$G534)</f>
        <v>0</v>
      </c>
      <c r="AF534" s="1123">
        <f>_xlfn.SUMIFS(Налоги!AF$25:AF$83,Налоги!$F$25:$F$83,$F534,Налоги!$AB$25:$AB$83,$G534)</f>
        <v>0</v>
      </c>
      <c r="AG534" s="1123">
        <f>_xlfn.SUMIFS(Налоги!AG$25:AG$83,Налоги!$F$25:$F$83,$F534,Налоги!$AB$25:$AB$83,$G534)</f>
        <v>0</v>
      </c>
      <c r="AH534" s="1123">
        <f>AG534-AF534</f>
        <v>0</v>
      </c>
      <c r="AI534" s="1123">
        <f>_xlfn.SUMIFS(Налоги!AH$25:AH$83,Налоги!$F$25:$F$83,$F534,Налоги!$AB$25:$AB$83,$G534)</f>
        <v>0</v>
      </c>
      <c r="AJ534" s="1123">
        <f>_xlfn.SUMIFS(Налоги!AI$25:AI$83,Налоги!$F$25:$F$83,$F534,Налоги!$AB$25:$AB$83,$G534)</f>
        <v>0</v>
      </c>
      <c r="AK534" s="1123">
        <f>_xlfn.SUMIFS(Налоги!AJ$25:AJ$83,Налоги!$F$25:$F$83,$F534,Налоги!$AB$25:$AB$83,$G534)</f>
        <v>0</v>
      </c>
      <c r="AL534" s="1123">
        <f>_xlfn.SUMIFS(Налоги!AK$25:AK$83,Налоги!$F$25:$F$83,$F534,Налоги!$AB$25:$AB$83,$G534)</f>
        <v>0</v>
      </c>
      <c r="AM534" s="1123">
        <f>_xlfn.SUMIFS(Налоги!AL$25:AL$83,Налоги!$F$25:$F$83,$F534,Налоги!$AB$25:$AB$83,$G534)</f>
        <v>0</v>
      </c>
      <c r="AN534" s="1123">
        <f>_xlfn.SUMIFS(Налоги!AM$25:AM$83,Налоги!$F$25:$F$83,$F534,Налоги!$AB$25:$AB$83,$G534)</f>
        <v>0</v>
      </c>
      <c r="AO534" s="1123">
        <f>_xlfn.SUMIFS(Налоги!AN$25:AN$83,Налоги!$F$25:$F$83,$F534,Налоги!$AB$25:$AB$83,$G534)</f>
        <v>0</v>
      </c>
      <c r="AP534" s="1123">
        <f>_xlfn.SUMIFS(Налоги!AO$25:AO$83,Налоги!$F$25:$F$83,$F534,Налоги!$AB$25:$AB$83,$G534)</f>
        <v>0</v>
      </c>
      <c r="AQ534" s="1123">
        <f>_xlfn.SUMIFS(Налоги!AP$25:AP$83,Налоги!$F$25:$F$83,$F534,Налоги!$AB$25:$AB$83,$G534)</f>
        <v>0</v>
      </c>
      <c r="AR534" s="1123">
        <f>_xlfn.SUMIFS(Налоги!AQ$25:AQ$83,Налоги!$F$25:$F$83,$F534,Налоги!$AB$25:$AB$83,$G534)</f>
        <v>0</v>
      </c>
      <c r="AS534" s="1123">
        <f>_xlfn.SUMIFS(Налоги!AR$25:AR$83,Налоги!$F$25:$F$83,$F534,Налоги!$AB$25:$AB$83,$G534)</f>
        <v>0</v>
      </c>
      <c r="AT534" s="1123">
        <f>_xlfn.SUMIFS(Налоги!AS$25:AS$83,Налоги!$F$25:$F$83,$F534,Налоги!$AB$25:$AB$83,$G534)</f>
        <v>0</v>
      </c>
      <c r="AU534" s="1123">
        <f>_xlfn.SUMIFS(Налоги!AT$25:AT$83,Налоги!$F$25:$F$83,$F534,Налоги!$AB$25:$AB$83,$G534)</f>
        <v>0</v>
      </c>
      <c r="AV534" s="1123">
        <f>_xlfn.SUMIFS(Налоги!AU$25:AU$83,Налоги!$F$25:$F$83,$F534,Налоги!$AB$25:$AB$83,$G534)</f>
        <v>0</v>
      </c>
      <c r="AW534" s="1123">
        <f>_xlfn.SUMIFS(Налоги!AV$25:AV$83,Налоги!$F$25:$F$83,$F534,Налоги!$AB$25:$AB$83,$G534)</f>
        <v>0</v>
      </c>
      <c r="AX534" s="1123">
        <f>_xlfn.SUMIFS(Налоги!AW$25:AW$83,Налоги!$F$25:$F$83,$F534,Налоги!$AB$25:$AB$83,$G534)</f>
        <v>0</v>
      </c>
      <c r="AY534" s="1123">
        <f>_xlfn.SUMIFS(Налоги!AX$25:AX$83,Налоги!$F$25:$F$83,$F534,Налоги!$AB$25:$AB$83,$G534)</f>
        <v>0</v>
      </c>
      <c r="AZ534" s="1123">
        <f>_xlfn.SUMIFS(Налоги!AY$25:AY$83,Налоги!$F$25:$F$83,$F534,Налоги!$AB$25:$AB$83,$G534)</f>
        <v>0</v>
      </c>
      <c r="BA534" s="1123">
        <f>_xlfn.SUMIFS(Налоги!AZ$25:AZ$83,Налоги!$F$25:$F$83,$F534,Налоги!$AB$25:$AB$83,$G534)</f>
        <v>0</v>
      </c>
      <c r="BB534" s="1123">
        <f>_xlfn.SUMIFS(Налоги!BA$25:BA$83,Налоги!$F$25:$F$83,$F534,Налоги!$AB$25:$AB$83,$G534)</f>
        <v>0</v>
      </c>
      <c r="BC534" s="1123">
        <f>_xlfn.SUMIFS(Налоги!BB$25:BB$83,Налоги!$F$25:$F$83,$F534,Налоги!$AB$25:$AB$83,$G534)</f>
        <v>0</v>
      </c>
      <c r="BD534" s="1123">
        <f>IF(AI534=0,0,(AT534-AI534)/AI534*100)</f>
        <v>0</v>
      </c>
      <c r="BE534" s="1123">
        <f>IF(AT534=0,0,(AU534-AT534)/AT534*100)</f>
        <v>0</v>
      </c>
      <c r="BF534" s="1123">
        <f>IF(AU534=0,0,(AV534-AU534)/AU534*100)</f>
        <v>0</v>
      </c>
      <c r="BG534" s="1123">
        <f>IF(AV534=0,0,(AW534-AV534)/AV534*100)</f>
        <v>0</v>
      </c>
      <c r="BH534" s="1123">
        <f>IF(AW534=0,0,(AX534-AW534)/AW534*100)</f>
        <v>0</v>
      </c>
      <c r="BI534" s="1123">
        <f>IF(AX534=0,0,(AY534-AX534)/AX534*100)</f>
        <v>0</v>
      </c>
      <c r="BJ534" s="1123">
        <f>IF(AY534=0,0,(AZ534-AY534)/AY534*100)</f>
        <v>0</v>
      </c>
      <c r="BK534" s="1123">
        <f>IF(AZ534=0,0,(BA534-AZ534)/AZ534*100)</f>
        <v>0</v>
      </c>
      <c r="BL534" s="1123">
        <f>IF(BA534=0,0,(BB534-BA534)/BA534*100)</f>
        <v>0</v>
      </c>
      <c r="BM534" s="1123">
        <f>IF(BB534=0,0,(BC534-BB534)/BB534*100)</f>
        <v>0</v>
      </c>
      <c r="BN534" s="6290"/>
      <c r="BO534" s="6294" t="str">
        <f>IF(_xlfn.IFERROR(INDEX(Налоги!$K$26:$L$83,MATCH($F534&amp;"10komm",Налоги!$K$26:$K$83,0),2),"")=0,"",_xlfn.IFERROR(INDEX(Налоги!$K$26:$L$83,MATCH($F534&amp;"10komm",Налоги!$K$26:$K$83,0),2),""))</f>
        <v/>
      </c>
      <c r="BP534" s="6290"/>
      <c r="BQ534" s="1297"/>
      <c r="BR534" s="1297"/>
      <c r="BS534" s="1072" t="s">
        <v>2340</v>
      </c>
      <c r="BT534" s="1072"/>
      <c r="BU534" s="1072"/>
      <c r="BV534" s="987"/>
      <c r="BW534" s="987"/>
    </row>
    <row s="1656" customFormat="1" customHeight="1" ht="65.25">
      <c r="A535" s="1297"/>
      <c r="B535" s="986"/>
      <c r="C535" s="103"/>
      <c r="D535" s="103"/>
      <c r="E535" s="626">
        <v>67.5</v>
      </c>
      <c r="F535" s="50" cm="1" t="str">
        <f t="array" ref="F535:F535">OFFSET(E535,-1,1)</f>
        <v>3</v>
      </c>
      <c r="G535" s="103" t="s">
        <v>1670</v>
      </c>
      <c r="H535" s="103"/>
      <c r="I535" s="103" t="s">
        <v>1089</v>
      </c>
      <c r="J535" s="103"/>
      <c r="K535" s="154" t="s">
        <v>1089</v>
      </c>
      <c r="L535" s="988"/>
      <c r="M535" s="103"/>
      <c r="N535" s="103"/>
      <c r="O535" s="103"/>
      <c r="P535" s="103"/>
      <c r="Q535" s="103"/>
      <c r="R535" s="103"/>
      <c r="S535" s="103"/>
      <c r="T535" s="468" cm="1" t="str">
        <f t="array" ref="T535:T535">T534</f>
        <v>true</v>
      </c>
      <c r="U535" s="103"/>
      <c r="V535" s="103"/>
      <c r="W535" s="103"/>
      <c r="X535" s="1559"/>
      <c r="Y535" s="1297"/>
      <c r="Z535" s="1529"/>
      <c r="AA535" s="1297"/>
      <c r="AB535" s="296" t="s">
        <v>1090</v>
      </c>
      <c r="AC535" s="789" t="s">
        <v>1673</v>
      </c>
      <c r="AD535" s="296" t="s">
        <v>936</v>
      </c>
      <c r="AE535" s="6344"/>
      <c r="AF535" s="6344"/>
      <c r="AG535" s="6344"/>
      <c r="AH535" s="1123">
        <f>AG535-AF535</f>
        <v>0</v>
      </c>
      <c r="AI535" s="6344"/>
      <c r="AJ535" s="6344"/>
      <c r="AK535" s="1263"/>
      <c r="AL535" s="1263"/>
      <c r="AM535" s="1263"/>
      <c r="AN535" s="1263"/>
      <c r="AO535" s="1263"/>
      <c r="AP535" s="1263"/>
      <c r="AQ535" s="1263"/>
      <c r="AR535" s="1263"/>
      <c r="AS535" s="1263"/>
      <c r="AT535" s="6344"/>
      <c r="AU535" s="1263"/>
      <c r="AV535" s="1263"/>
      <c r="AW535" s="1263"/>
      <c r="AX535" s="1263"/>
      <c r="AY535" s="1263"/>
      <c r="AZ535" s="1263"/>
      <c r="BA535" s="1263"/>
      <c r="BB535" s="1263"/>
      <c r="BC535" s="1263"/>
      <c r="BD535" s="1123">
        <f>IF(AI535=0,0,(AT535-AI535)/AI535*100)</f>
        <v>0</v>
      </c>
      <c r="BE535" s="1123">
        <f>IF(AT535=0,0,(AU535-AT535)/AT535*100)</f>
        <v>0</v>
      </c>
      <c r="BF535" s="1123">
        <f>IF(AU535=0,0,(AV535-AU535)/AU535*100)</f>
        <v>0</v>
      </c>
      <c r="BG535" s="1123">
        <f>IF(AV535=0,0,(AW535-AV535)/AV535*100)</f>
        <v>0</v>
      </c>
      <c r="BH535" s="1123">
        <f>IF(AW535=0,0,(AX535-AW535)/AW535*100)</f>
        <v>0</v>
      </c>
      <c r="BI535" s="1123">
        <f>IF(AX535=0,0,(AY535-AX535)/AX535*100)</f>
        <v>0</v>
      </c>
      <c r="BJ535" s="1123">
        <f>IF(AY535=0,0,(AZ535-AY535)/AY535*100)</f>
        <v>0</v>
      </c>
      <c r="BK535" s="1123">
        <f>IF(AZ535=0,0,(BA535-AZ535)/AZ535*100)</f>
        <v>0</v>
      </c>
      <c r="BL535" s="1123">
        <f>IF(BA535=0,0,(BB535-BA535)/BA535*100)</f>
        <v>0</v>
      </c>
      <c r="BM535" s="1123">
        <f>IF(BB535=0,0,(BC535-BB535)/BB535*100)</f>
        <v>0</v>
      </c>
      <c r="BN535" s="6290"/>
      <c r="BO535" s="6290"/>
      <c r="BP535" s="6290"/>
      <c r="BQ535" s="1297"/>
      <c r="BR535" s="1297"/>
      <c r="BS535" s="1072" t="s">
        <v>2341</v>
      </c>
      <c r="BT535" s="1072"/>
      <c r="BU535" s="1072"/>
      <c r="BV535" s="987"/>
      <c r="BW535" s="987"/>
    </row>
    <row s="1656" customFormat="1" customHeight="1" ht="14.25">
      <c r="A536" s="1297"/>
      <c r="B536" s="986"/>
      <c r="C536" s="103"/>
      <c r="D536" s="103"/>
      <c r="E536" s="626">
        <v>15</v>
      </c>
      <c r="F536" s="50" cm="1" t="str">
        <f t="array" ref="F536:F536">OFFSET(E536,-1,1)</f>
        <v>3</v>
      </c>
      <c r="G536" s="103" t="s">
        <v>1192</v>
      </c>
      <c r="H536" s="103"/>
      <c r="I536" s="103" t="s">
        <v>1092</v>
      </c>
      <c r="J536" s="103"/>
      <c r="K536" s="154" t="s">
        <v>1092</v>
      </c>
      <c r="L536" s="988" t="s">
        <v>616</v>
      </c>
      <c r="M536" s="103"/>
      <c r="N536" s="103"/>
      <c r="O536" s="103"/>
      <c r="P536" s="103"/>
      <c r="Q536" s="103"/>
      <c r="R536" s="103"/>
      <c r="S536" s="103"/>
      <c r="T536" s="468" cm="1" t="str">
        <f t="array" ref="T536:T536">T535</f>
        <v>true</v>
      </c>
      <c r="U536" s="103"/>
      <c r="V536" s="103"/>
      <c r="W536" s="103"/>
      <c r="X536" s="1559"/>
      <c r="Y536" s="1297"/>
      <c r="Z536" s="1529"/>
      <c r="AA536" s="1297"/>
      <c r="AB536" s="296" t="s">
        <v>1093</v>
      </c>
      <c r="AC536" s="769" t="s">
        <v>1192</v>
      </c>
      <c r="AD536" s="296" t="s">
        <v>936</v>
      </c>
      <c r="AE536" s="1123">
        <f>_xlfn.SUMIFS(Аренда!AE$25:AE$67,Аренда!$F$25:$F$67,$F536,Аренда!$G$25:$G$67,"Арендная и концессионная плата, лизинговые платежи")</f>
        <v>733.32</v>
      </c>
      <c r="AF536" s="1123">
        <f>_xlfn.SUMIFS(Аренда!AF$25:AF$67,Аренда!$F$25:$F$67,$F536,Аренда!$G$25:$G$67,"Арендная и концессионная плата, лизинговые платежи")</f>
        <v>581.95</v>
      </c>
      <c r="AG536" s="1123">
        <f>_xlfn.SUMIFS(Аренда!AG$25:AG$67,Аренда!$F$25:$F$67,$F536,Аренда!$G$25:$G$67,"Арендная и концессионная плата, лизинговые платежи")</f>
        <v>581.95</v>
      </c>
      <c r="AH536" s="1123">
        <f>AG536-AF536</f>
        <v>0</v>
      </c>
      <c r="AI536" s="1123">
        <f>_xlfn.SUMIFS(Аренда!AH$25:AH$67,Аренда!$F$25:$F$67,$F536,Аренда!$G$25:$G$67,"Арендная и концессионная плата, лизинговые платежи")</f>
        <v>581.95</v>
      </c>
      <c r="AJ536" s="1123">
        <f>_xlfn.SUMIFS(Аренда!AI$25:AI$67,Аренда!$F$25:$F$67,$F536,Аренда!$G$25:$G$67,"Арендная и концессионная плата, лизинговые платежи")</f>
        <v>581.95</v>
      </c>
      <c r="AK536" s="1123">
        <f>_xlfn.SUMIFS(Аренда!AJ$25:AJ$67,Аренда!$F$25:$F$67,$F536,Аренда!$G$25:$G$67,"Арендная и концессионная плата, лизинговые платежи")</f>
        <v>0</v>
      </c>
      <c r="AL536" s="1123">
        <f>_xlfn.SUMIFS(Аренда!AK$25:AK$67,Аренда!$F$25:$F$67,$F536,Аренда!$G$25:$G$67,"Арендная и концессионная плата, лизинговые платежи")</f>
        <v>0</v>
      </c>
      <c r="AM536" s="1123">
        <f>_xlfn.SUMIFS(Аренда!AL$25:AL$67,Аренда!$F$25:$F$67,$F536,Аренда!$G$25:$G$67,"Арендная и концессионная плата, лизинговые платежи")</f>
        <v>0</v>
      </c>
      <c r="AN536" s="1123">
        <f>_xlfn.SUMIFS(Аренда!AM$25:AM$67,Аренда!$F$25:$F$67,$F536,Аренда!$G$25:$G$67,"Арендная и концессионная плата, лизинговые платежи")</f>
        <v>0</v>
      </c>
      <c r="AO536" s="1123">
        <f>_xlfn.SUMIFS(Аренда!AN$25:AN$67,Аренда!$F$25:$F$67,$F536,Аренда!$G$25:$G$67,"Арендная и концессионная плата, лизинговые платежи")</f>
        <v>0</v>
      </c>
      <c r="AP536" s="1123">
        <f>_xlfn.SUMIFS(Аренда!AO$25:AO$67,Аренда!$F$25:$F$67,$F536,Аренда!$G$25:$G$67,"Арендная и концессионная плата, лизинговые платежи")</f>
        <v>0</v>
      </c>
      <c r="AQ536" s="1123">
        <f>_xlfn.SUMIFS(Аренда!AP$25:AP$67,Аренда!$F$25:$F$67,$F536,Аренда!$G$25:$G$67,"Арендная и концессионная плата, лизинговые платежи")</f>
        <v>0</v>
      </c>
      <c r="AR536" s="1123">
        <f>_xlfn.SUMIFS(Аренда!AQ$25:AQ$67,Аренда!$F$25:$F$67,$F536,Аренда!$G$25:$G$67,"Арендная и концессионная плата, лизинговые платежи")</f>
        <v>0</v>
      </c>
      <c r="AS536" s="1123">
        <f>_xlfn.SUMIFS(Аренда!AR$25:AR$67,Аренда!$F$25:$F$67,$F536,Аренда!$G$25:$G$67,"Арендная и концессионная плата, лизинговые платежи")</f>
        <v>0</v>
      </c>
      <c r="AT536" s="1123">
        <f>_xlfn.SUMIFS(Аренда!AS$25:AS$67,Аренда!$F$25:$F$67,$F536,Аренда!$G$25:$G$67,"Арендная и концессионная плата, лизинговые платежи")</f>
        <v>581.95</v>
      </c>
      <c r="AU536" s="1123">
        <f>_xlfn.SUMIFS(Аренда!AT$25:AT$67,Аренда!$F$25:$F$67,$F536,Аренда!$G$25:$G$67,"Арендная и концессионная плата, лизинговые платежи")</f>
        <v>0</v>
      </c>
      <c r="AV536" s="1123">
        <f>_xlfn.SUMIFS(Аренда!AU$25:AU$67,Аренда!$F$25:$F$67,$F536,Аренда!$G$25:$G$67,"Арендная и концессионная плата, лизинговые платежи")</f>
        <v>0</v>
      </c>
      <c r="AW536" s="1123">
        <f>_xlfn.SUMIFS(Аренда!AV$25:AV$67,Аренда!$F$25:$F$67,$F536,Аренда!$G$25:$G$67,"Арендная и концессионная плата, лизинговые платежи")</f>
        <v>0</v>
      </c>
      <c r="AX536" s="1123">
        <f>_xlfn.SUMIFS(Аренда!AW$25:AW$67,Аренда!$F$25:$F$67,$F536,Аренда!$G$25:$G$67,"Арендная и концессионная плата, лизинговые платежи")</f>
        <v>0</v>
      </c>
      <c r="AY536" s="1123">
        <f>_xlfn.SUMIFS(Аренда!AX$25:AX$67,Аренда!$F$25:$F$67,$F536,Аренда!$G$25:$G$67,"Арендная и концессионная плата, лизинговые платежи")</f>
        <v>0</v>
      </c>
      <c r="AZ536" s="1123">
        <f>_xlfn.SUMIFS(Аренда!AY$25:AY$67,Аренда!$F$25:$F$67,$F536,Аренда!$G$25:$G$67,"Арендная и концессионная плата, лизинговые платежи")</f>
        <v>0</v>
      </c>
      <c r="BA536" s="1123">
        <f>_xlfn.SUMIFS(Аренда!AZ$25:AZ$67,Аренда!$F$25:$F$67,$F536,Аренда!$G$25:$G$67,"Арендная и концессионная плата, лизинговые платежи")</f>
        <v>0</v>
      </c>
      <c r="BB536" s="1123">
        <f>_xlfn.SUMIFS(Аренда!BA$25:BA$67,Аренда!$F$25:$F$67,$F536,Аренда!$G$25:$G$67,"Арендная и концессионная плата, лизинговые платежи")</f>
        <v>0</v>
      </c>
      <c r="BC536" s="1123">
        <f>_xlfn.SUMIFS(Аренда!BB$25:BB$67,Аренда!$F$25:$F$67,$F536,Аренда!$G$25:$G$67,"Арендная и концессионная плата, лизинговые платежи")</f>
        <v>0</v>
      </c>
      <c r="BD536" s="1123">
        <f>IF(AI536=0,0,(AT536-AI536)/AI536*100)</f>
        <v>0</v>
      </c>
      <c r="BE536" s="1123">
        <f>IF(AT536=0,0,(AU536-AT536)/AT536*100)</f>
        <v>-100</v>
      </c>
      <c r="BF536" s="1123">
        <f>IF(AU536=0,0,(AV536-AU536)/AU536*100)</f>
        <v>0</v>
      </c>
      <c r="BG536" s="1123">
        <f>IF(AV536=0,0,(AW536-AV536)/AV536*100)</f>
        <v>0</v>
      </c>
      <c r="BH536" s="1123">
        <f>IF(AW536=0,0,(AX536-AW536)/AW536*100)</f>
        <v>0</v>
      </c>
      <c r="BI536" s="1123">
        <f>IF(AX536=0,0,(AY536-AX536)/AX536*100)</f>
        <v>0</v>
      </c>
      <c r="BJ536" s="1123">
        <f>IF(AY536=0,0,(AZ536-AY536)/AY536*100)</f>
        <v>0</v>
      </c>
      <c r="BK536" s="1123">
        <f>IF(AZ536=0,0,(BA536-AZ536)/AZ536*100)</f>
        <v>0</v>
      </c>
      <c r="BL536" s="1123">
        <f>IF(BA536=0,0,(BB536-BA536)/BA536*100)</f>
        <v>0</v>
      </c>
      <c r="BM536" s="1123">
        <f>IF(BB536=0,0,(BC536-BB536)/BB536*100)</f>
        <v>0</v>
      </c>
      <c r="BN536" s="6290"/>
      <c r="BO536" s="6345" t="str">
        <f>IF(_xlfn.IFERROR(INDEX(Аренда!$K$26:$L$67,MATCH($F536&amp;"komm",Аренда!$K$26:$K$67,0),2),"")=0,"",_xlfn.IFERROR(INDEX(Аренда!$K$26:$L$67,MATCH($F536&amp;"komm",Аренда!$K$26:$K$67,0),2),""))</f>
        <v>П. 29 "Методических указаний…" ФСТ России (приказ от 27.12.2013 № 1746-э).</v>
      </c>
      <c r="BP536" s="6290"/>
      <c r="BQ536" s="1297"/>
      <c r="BR536" s="1297"/>
      <c r="BS536" s="1072" t="s">
        <v>2342</v>
      </c>
      <c r="BT536" s="1072"/>
      <c r="BU536" s="1072"/>
      <c r="BV536" s="987"/>
      <c r="BW536" s="987"/>
    </row>
    <row s="1656" customFormat="1" customHeight="1" ht="14.25">
      <c r="A537" s="1297"/>
      <c r="B537" s="434">
        <f>STATUS_GO="да"</f>
        <v>0</v>
      </c>
      <c r="C537" s="103"/>
      <c r="D537" s="103"/>
      <c r="E537" s="626">
        <v>15</v>
      </c>
      <c r="F537" s="50" cm="1" t="str">
        <f t="array" ref="F537:F537">OFFSET(E537,-1,1)</f>
        <v>3</v>
      </c>
      <c r="G537" s="103"/>
      <c r="H537" s="103"/>
      <c r="I537" s="103" t="s">
        <v>2343</v>
      </c>
      <c r="J537" s="103"/>
      <c r="K537" s="154" t="s">
        <v>2343</v>
      </c>
      <c r="L537" s="988"/>
      <c r="M537" s="103"/>
      <c r="N537" s="103"/>
      <c r="O537" s="103"/>
      <c r="P537" s="103"/>
      <c r="Q537" s="103"/>
      <c r="R537" s="103"/>
      <c r="S537" s="103"/>
      <c r="T537" s="468" cm="1" t="str">
        <f t="array" ref="T537:T537">T536</f>
        <v>true</v>
      </c>
      <c r="U537" s="103"/>
      <c r="V537" s="103"/>
      <c r="W537" s="103"/>
      <c r="X537" s="1559"/>
      <c r="Y537" s="1297"/>
      <c r="Z537" s="1529"/>
      <c r="AA537" s="1297"/>
      <c r="AB537" s="296" t="s">
        <v>1737</v>
      </c>
      <c r="AC537" s="769" t="s">
        <v>2344</v>
      </c>
      <c r="AD537" s="296" t="s">
        <v>936</v>
      </c>
      <c r="AE537" s="6293" cm="1" t="str">
        <f t="array" ref="AE537:AE537">AE538</f>
        <v>0</v>
      </c>
      <c r="AF537" s="6293" cm="1" t="str">
        <f t="array" ref="AF537:AF537">AF538</f>
        <v>0</v>
      </c>
      <c r="AG537" s="6293" cm="1" t="str">
        <f t="array" ref="AG537:AG537">AG538</f>
        <v>0</v>
      </c>
      <c r="AH537" s="1123">
        <f>AG537-AF537</f>
        <v>0</v>
      </c>
      <c r="AI537" s="6293" cm="1" t="str">
        <f t="array" ref="AI537:AI537">AI538</f>
        <v>0</v>
      </c>
      <c r="AJ537" s="6293" cm="1" t="str">
        <f t="array" ref="AJ537:AJ537">AJ538</f>
        <v>0</v>
      </c>
      <c r="AK537" s="1260" cm="1" t="str">
        <f t="array" ref="AK537:AK537">AK538</f>
        <v>0</v>
      </c>
      <c r="AL537" s="1260" cm="1" t="str">
        <f t="array" ref="AL537:AL537">AL538</f>
        <v>0</v>
      </c>
      <c r="AM537" s="1260" cm="1" t="str">
        <f t="array" ref="AM537:AM537">AM538</f>
        <v>0</v>
      </c>
      <c r="AN537" s="1260" cm="1" t="str">
        <f t="array" ref="AN537:AN537">AN538</f>
        <v>0</v>
      </c>
      <c r="AO537" s="1260" cm="1" t="str">
        <f t="array" ref="AO537:AO537">AO538</f>
        <v>0</v>
      </c>
      <c r="AP537" s="1260" cm="1" t="str">
        <f t="array" ref="AP537:AP537">AP538</f>
        <v>0</v>
      </c>
      <c r="AQ537" s="1260" cm="1" t="str">
        <f t="array" ref="AQ537:AQ537">AQ538</f>
        <v>0</v>
      </c>
      <c r="AR537" s="1260" cm="1" t="str">
        <f t="array" ref="AR537:AR537">AR538</f>
        <v>0</v>
      </c>
      <c r="AS537" s="1260" cm="1" t="str">
        <f t="array" ref="AS537:AS537">AS538</f>
        <v>0</v>
      </c>
      <c r="AT537" s="6293" cm="1" t="str">
        <f t="array" ref="AT537:AT537">AT538</f>
        <v>0</v>
      </c>
      <c r="AU537" s="1260" cm="1" t="str">
        <f t="array" ref="AU537:AU537">AU538</f>
        <v>0</v>
      </c>
      <c r="AV537" s="1260" cm="1" t="str">
        <f t="array" ref="AV537:AV537">AV538</f>
        <v>0</v>
      </c>
      <c r="AW537" s="1260" cm="1" t="str">
        <f t="array" ref="AW537:AW537">AW538</f>
        <v>0</v>
      </c>
      <c r="AX537" s="1260" cm="1" t="str">
        <f t="array" ref="AX537:AX537">AX538</f>
        <v>0</v>
      </c>
      <c r="AY537" s="1260" cm="1" t="str">
        <f t="array" ref="AY537:AY537">AY538</f>
        <v>0</v>
      </c>
      <c r="AZ537" s="1260" cm="1" t="str">
        <f t="array" ref="AZ537:AZ537">AZ538</f>
        <v>0</v>
      </c>
      <c r="BA537" s="1260" cm="1" t="str">
        <f t="array" ref="BA537:BA537">BA538</f>
        <v>0</v>
      </c>
      <c r="BB537" s="1260" cm="1" t="str">
        <f t="array" ref="BB537:BB537">BB538</f>
        <v>0</v>
      </c>
      <c r="BC537" s="1260" cm="1" t="str">
        <f t="array" ref="BC537:BC537">BC538</f>
        <v>0</v>
      </c>
      <c r="BD537" s="1123">
        <f>IF(AI537=0,0,(AT537-AI537)/AI537*100)</f>
        <v>0</v>
      </c>
      <c r="BE537" s="1123">
        <f>IF(AT537=0,0,(AU537-AT537)/AT537*100)</f>
        <v>0</v>
      </c>
      <c r="BF537" s="1123">
        <f>IF(AU537=0,0,(AV537-AU537)/AU537*100)</f>
        <v>0</v>
      </c>
      <c r="BG537" s="1123">
        <f>IF(AV537=0,0,(AW537-AV537)/AV537*100)</f>
        <v>0</v>
      </c>
      <c r="BH537" s="1123">
        <f>IF(AW537=0,0,(AX537-AW537)/AW537*100)</f>
        <v>0</v>
      </c>
      <c r="BI537" s="1123">
        <f>IF(AX537=0,0,(AY537-AX537)/AX537*100)</f>
        <v>0</v>
      </c>
      <c r="BJ537" s="1123">
        <f>IF(AY537=0,0,(AZ537-AY537)/AY537*100)</f>
        <v>0</v>
      </c>
      <c r="BK537" s="1123">
        <f>IF(AZ537=0,0,(BA537-AZ537)/AZ537*100)</f>
        <v>0</v>
      </c>
      <c r="BL537" s="1123">
        <f>IF(BA537=0,0,(BB537-BA537)/BA537*100)</f>
        <v>0</v>
      </c>
      <c r="BM537" s="1123">
        <f>IF(BB537=0,0,(BC537-BB537)/BB537*100)</f>
        <v>0</v>
      </c>
      <c r="BN537" s="6290"/>
      <c r="BO537" s="6290"/>
      <c r="BP537" s="6290"/>
      <c r="BQ537" s="1297"/>
      <c r="BR537" s="1297"/>
      <c r="BS537" s="1072" t="s">
        <v>2345</v>
      </c>
      <c r="BT537" s="1072"/>
      <c r="BU537" s="1072"/>
      <c r="BV537" s="987"/>
      <c r="BW537" s="987"/>
    </row>
    <row s="1656" customFormat="1" customHeight="1" ht="14.25">
      <c r="A538" s="1297"/>
      <c r="B538" s="434">
        <f>STATUS_GO="да"</f>
        <v>0</v>
      </c>
      <c r="C538" s="103"/>
      <c r="D538" s="103"/>
      <c r="E538" s="626">
        <v>15</v>
      </c>
      <c r="F538" s="50" cm="1" t="str">
        <f t="array" ref="F538:F538">OFFSET(E538,-1,1)</f>
        <v>3</v>
      </c>
      <c r="G538" s="103" t="s">
        <v>1679</v>
      </c>
      <c r="H538" s="103"/>
      <c r="I538" s="103" t="s">
        <v>2346</v>
      </c>
      <c r="J538" s="103"/>
      <c r="K538" s="154" t="s">
        <v>2346</v>
      </c>
      <c r="L538" s="988"/>
      <c r="M538" s="103"/>
      <c r="N538" s="103"/>
      <c r="O538" s="103"/>
      <c r="P538" s="103"/>
      <c r="Q538" s="103"/>
      <c r="R538" s="103"/>
      <c r="S538" s="103"/>
      <c r="T538" s="468" cm="1" t="str">
        <f t="array" ref="T538:T538">T537</f>
        <v>true</v>
      </c>
      <c r="U538" s="103"/>
      <c r="V538" s="103"/>
      <c r="W538" s="103"/>
      <c r="X538" s="1559"/>
      <c r="Y538" s="1297"/>
      <c r="Z538" s="1529"/>
      <c r="AA538" s="1297"/>
      <c r="AB538" s="296" t="s">
        <v>2347</v>
      </c>
      <c r="AC538" s="772" t="s">
        <v>1679</v>
      </c>
      <c r="AD538" s="296" t="s">
        <v>936</v>
      </c>
      <c r="AE538" s="1123">
        <f>_xlfn.SUMIFS('Сбытовые расходы ГО'!AE$25:AE$75,'Сбытовые расходы ГО'!$F$25:$F$75,$F538,'Сбытовые расходы ГО'!$G$25:$G$75,"l1")</f>
        <v>0</v>
      </c>
      <c r="AF538" s="1123">
        <f>_xlfn.SUMIFS('Сбытовые расходы ГО'!AF$25:AF$75,'Сбытовые расходы ГО'!$F$25:$F$75,$F538,'Сбытовые расходы ГО'!$G$25:$G$75,"l1")</f>
        <v>0</v>
      </c>
      <c r="AG538" s="1123">
        <f>_xlfn.SUMIFS('Сбытовые расходы ГО'!AG$25:AG$75,'Сбытовые расходы ГО'!$F$25:$F$75,$F538,'Сбытовые расходы ГО'!$G$25:$G$75,"l1")</f>
        <v>0</v>
      </c>
      <c r="AH538" s="1123">
        <f>AG538-AF538</f>
        <v>0</v>
      </c>
      <c r="AI538" s="1123">
        <f>_xlfn.SUMIFS('Сбытовые расходы ГО'!AH$25:AH$75,'Сбытовые расходы ГО'!$F$25:$F$75,$F538,'Сбытовые расходы ГО'!$G$25:$G$75,"l1")</f>
        <v>0</v>
      </c>
      <c r="AJ538" s="1123">
        <f>_xlfn.SUMIFS('Сбытовые расходы ГО'!AI$25:AI$75,'Сбытовые расходы ГО'!$F$25:$F$75,$F538,'Сбытовые расходы ГО'!$G$25:$G$75,"l1")</f>
        <v>0</v>
      </c>
      <c r="AK538" s="1260"/>
      <c r="AL538" s="1260"/>
      <c r="AM538" s="1260"/>
      <c r="AN538" s="1260"/>
      <c r="AO538" s="1260"/>
      <c r="AP538" s="1260"/>
      <c r="AQ538" s="1260"/>
      <c r="AR538" s="1260"/>
      <c r="AS538" s="1260"/>
      <c r="AT538" s="1123">
        <f>_xlfn.SUMIFS('Сбытовые расходы ГО'!AJ$25:AJ$75,'Сбытовые расходы ГО'!$F$25:$F$75,$F538,'Сбытовые расходы ГО'!$G$25:$G$75,"l1")</f>
        <v>0</v>
      </c>
      <c r="AU538" s="1260"/>
      <c r="AV538" s="1260"/>
      <c r="AW538" s="1260"/>
      <c r="AX538" s="1260"/>
      <c r="AY538" s="1260"/>
      <c r="AZ538" s="1260"/>
      <c r="BA538" s="1260"/>
      <c r="BB538" s="1260"/>
      <c r="BC538" s="1260"/>
      <c r="BD538" s="1123">
        <f>IF(AI538=0,0,(AT538-AI538)/AI538*100)</f>
        <v>0</v>
      </c>
      <c r="BE538" s="1123">
        <f>IF(AT538=0,0,(AU538-AT538)/AT538*100)</f>
        <v>0</v>
      </c>
      <c r="BF538" s="1123">
        <f>IF(AU538=0,0,(AV538-AU538)/AU538*100)</f>
        <v>0</v>
      </c>
      <c r="BG538" s="1123">
        <f>IF(AV538=0,0,(AW538-AV538)/AV538*100)</f>
        <v>0</v>
      </c>
      <c r="BH538" s="1123">
        <f>IF(AW538=0,0,(AX538-AW538)/AW538*100)</f>
        <v>0</v>
      </c>
      <c r="BI538" s="1123">
        <f>IF(AX538=0,0,(AY538-AX538)/AX538*100)</f>
        <v>0</v>
      </c>
      <c r="BJ538" s="1123">
        <f>IF(AY538=0,0,(AZ538-AY538)/AY538*100)</f>
        <v>0</v>
      </c>
      <c r="BK538" s="1123">
        <f>IF(AZ538=0,0,(BA538-AZ538)/AZ538*100)</f>
        <v>0</v>
      </c>
      <c r="BL538" s="1123">
        <f>IF(BA538=0,0,(BB538-BA538)/BA538*100)</f>
        <v>0</v>
      </c>
      <c r="BM538" s="1123">
        <f>IF(BB538=0,0,(BC538-BB538)/BB538*100)</f>
        <v>0</v>
      </c>
      <c r="BN538" s="6290"/>
      <c r="BO538" s="6345" t="str">
        <f>IF(_xlfn.IFERROR(INDEX('Сбытовые расходы ГО'!$K$26:$M$75,MATCH($F538&amp;"komm",'Сбытовые расходы ГО'!$K$26:$K$75,0),2),"")=0,"",_xlfn.IFERROR(INDEX('Сбытовые расходы ГО'!$K$26:$M$75,MATCH($F538&amp;"komm",'Сбытовые расходы ГО'!$K$26:$K$75,0),2),""))</f>
        <v/>
      </c>
      <c r="BP538" s="6290"/>
      <c r="BQ538" s="1297"/>
      <c r="BR538" s="1297"/>
      <c r="BS538" s="1072" t="s">
        <v>2348</v>
      </c>
      <c r="BT538" s="1072"/>
      <c r="BU538" s="1072"/>
      <c r="BV538" s="987"/>
      <c r="BW538" s="987"/>
    </row>
    <row s="1656" customFormat="1" customHeight="1" ht="14.625">
      <c r="A539" s="1297"/>
      <c r="B539" s="986"/>
      <c r="C539" s="103"/>
      <c r="D539" s="103"/>
      <c r="E539" s="626">
        <v>15</v>
      </c>
      <c r="F539" s="50" cm="1" t="str">
        <f t="array" ref="F539:F539">OFFSET(E539,-1,1)</f>
        <v>3</v>
      </c>
      <c r="G539" s="103" t="s">
        <v>1684</v>
      </c>
      <c r="H539" s="103"/>
      <c r="I539" s="103" t="s">
        <v>2349</v>
      </c>
      <c r="J539" s="103"/>
      <c r="K539" s="154" t="s">
        <v>2349</v>
      </c>
      <c r="L539" s="988"/>
      <c r="M539" s="103"/>
      <c r="N539" s="103"/>
      <c r="O539" s="103"/>
      <c r="P539" s="103"/>
      <c r="Q539" s="103"/>
      <c r="R539" s="103"/>
      <c r="S539" s="103"/>
      <c r="T539" s="468" cm="1" t="str">
        <f t="array" ref="T539:T539">T538</f>
        <v>true</v>
      </c>
      <c r="U539" s="103"/>
      <c r="V539" s="103"/>
      <c r="W539" s="103"/>
      <c r="X539" s="1559"/>
      <c r="Y539" s="1297"/>
      <c r="Z539" s="1529"/>
      <c r="AA539" s="1297"/>
      <c r="AB539" s="296" t="s">
        <v>1742</v>
      </c>
      <c r="AC539" s="769" t="s">
        <v>1684</v>
      </c>
      <c r="AD539" s="296" t="s">
        <v>936</v>
      </c>
      <c r="AE539" s="6293">
        <v>0</v>
      </c>
      <c r="AF539" s="6293"/>
      <c r="AG539" s="6293"/>
      <c r="AH539" s="1123">
        <f>AG539-AF539</f>
        <v>0</v>
      </c>
      <c r="AI539" s="6293">
        <v>0</v>
      </c>
      <c r="AJ539" s="6293">
        <f>_xlfn.SUMIFS(Экономия_корр!AE$25:AE$59,Экономия_корр!$F$25:$F$59,$F539,Экономия_корр!$AC$25:$AC$59,"Экономия расходов с учетом ИПЦ")</f>
        <v>0</v>
      </c>
      <c r="AK539" s="1260">
        <f>_xlfn.SUMIFS(Экономия_корр!AF$25:AF$59,Экономия_корр!$F$25:$F$59,$F539,Экономия_корр!$AC$25:$AC$59,"Экономия расходов с учетом ИПЦ")</f>
        <v>0</v>
      </c>
      <c r="AL539" s="1260">
        <f>_xlfn.SUMIFS(Экономия_корр!AG$25:AG$59,Экономия_корр!$F$25:$F$59,$F539,Экономия_корр!$AC$25:$AC$59,"Экономия расходов с учетом ИПЦ")</f>
        <v>0</v>
      </c>
      <c r="AM539" s="1260">
        <f>_xlfn.SUMIFS(Экономия_корр!AH$25:AH$59,Экономия_корр!$F$25:$F$59,$F539,Экономия_корр!$AC$25:$AC$59,"Экономия расходов с учетом ИПЦ")</f>
        <v>0</v>
      </c>
      <c r="AN539" s="1260">
        <f>_xlfn.SUMIFS(Экономия_корр!AI$25:AI$59,Экономия_корр!$F$25:$F$59,$F539,Экономия_корр!$AC$25:$AC$59,"Экономия расходов с учетом ИПЦ")</f>
        <v>0</v>
      </c>
      <c r="AO539" s="1260">
        <f>_xlfn.SUMIFS(Экономия_корр!AJ$25:AJ$59,Экономия_корр!$F$25:$F$59,$F539,Экономия_корр!$AC$25:$AC$59,"Экономия расходов с учетом ИПЦ")</f>
        <v>0</v>
      </c>
      <c r="AP539" s="1260">
        <f>_xlfn.SUMIFS(Экономия_корр!AK$25:AK$59,Экономия_корр!$F$25:$F$59,$F539,Экономия_корр!$AC$25:$AC$59,"Экономия расходов с учетом ИПЦ")</f>
        <v>0</v>
      </c>
      <c r="AQ539" s="1260">
        <f>_xlfn.SUMIFS(Экономия_корр!AL$25:AL$59,Экономия_корр!$F$25:$F$59,$F539,Экономия_корр!$AC$25:$AC$59,"Экономия расходов с учетом ИПЦ")</f>
        <v>0</v>
      </c>
      <c r="AR539" s="1260">
        <f>_xlfn.SUMIFS(Экономия_корр!AM$25:AM$59,Экономия_корр!$F$25:$F$59,$F539,Экономия_корр!$AC$25:$AC$59,"Экономия расходов с учетом ИПЦ")</f>
        <v>0</v>
      </c>
      <c r="AS539" s="1260">
        <f>_xlfn.SUMIFS(Экономия_корр!AN$25:AN$59,Экономия_корр!$F$25:$F$59,$F539,Экономия_корр!$AC$25:$AC$59,"Экономия расходов с учетом ИПЦ")</f>
        <v>0</v>
      </c>
      <c r="AT539" s="6293">
        <f>_xlfn.SUMIFS(Экономия_корр!AO$25:AO$59,Экономия_корр!$F$25:$F$59,$F539,Экономия_корр!$AC$25:$AC$59,"Экономия расходов с учетом ИПЦ")</f>
        <v>0</v>
      </c>
      <c r="AU539" s="1260">
        <f>_xlfn.SUMIFS(Экономия_корр!AP$25:AP$59,Экономия_корр!$F$25:$F$59,$F539,Экономия_корр!$AC$25:$AC$59,"Экономия расходов с учетом ИПЦ")</f>
        <v>0</v>
      </c>
      <c r="AV539" s="1260">
        <f>_xlfn.SUMIFS(Экономия_корр!AQ$25:AQ$59,Экономия_корр!$F$25:$F$59,$F539,Экономия_корр!$AC$25:$AC$59,"Экономия расходов с учетом ИПЦ")</f>
        <v>0</v>
      </c>
      <c r="AW539" s="1260">
        <f>_xlfn.SUMIFS(Экономия_корр!AR$25:AR$59,Экономия_корр!$F$25:$F$59,$F539,Экономия_корр!$AC$25:$AC$59,"Экономия расходов с учетом ИПЦ")</f>
        <v>0</v>
      </c>
      <c r="AX539" s="1260">
        <f>_xlfn.SUMIFS(Экономия_корр!AS$25:AS$59,Экономия_корр!$F$25:$F$59,$F539,Экономия_корр!$AC$25:$AC$59,"Экономия расходов с учетом ИПЦ")</f>
        <v>0</v>
      </c>
      <c r="AY539" s="1260">
        <f>_xlfn.SUMIFS(Экономия_корр!AT$25:AT$59,Экономия_корр!$F$25:$F$59,$F539,Экономия_корр!$AC$25:$AC$59,"Экономия расходов с учетом ИПЦ")</f>
        <v>0</v>
      </c>
      <c r="AZ539" s="1260">
        <f>_xlfn.SUMIFS(Экономия_корр!AU$25:AU$59,Экономия_корр!$F$25:$F$59,$F539,Экономия_корр!$AC$25:$AC$59,"Экономия расходов с учетом ИПЦ")</f>
        <v>0</v>
      </c>
      <c r="BA539" s="1260">
        <f>_xlfn.SUMIFS(Экономия_корр!AV$25:AV$59,Экономия_корр!$F$25:$F$59,$F539,Экономия_корр!$AC$25:$AC$59,"Экономия расходов с учетом ИПЦ")</f>
        <v>0</v>
      </c>
      <c r="BB539" s="1260">
        <f>_xlfn.SUMIFS(Экономия_корр!AW$25:AW$59,Экономия_корр!$F$25:$F$59,$F539,Экономия_корр!$AC$25:$AC$59,"Экономия расходов с учетом ИПЦ")</f>
        <v>0</v>
      </c>
      <c r="BC539" s="1260">
        <f>_xlfn.SUMIFS(Экономия_корр!AX$25:AX$59,Экономия_корр!$F$25:$F$59,$F539,Экономия_корр!$AC$25:$AC$59,"Экономия расходов с учетом ИПЦ")</f>
        <v>0</v>
      </c>
      <c r="BD539" s="1123">
        <f>IF(AI539=0,0,(AT539-AI539)/AI539*100)</f>
        <v>0</v>
      </c>
      <c r="BE539" s="1123">
        <f>IF(AT539=0,0,(AU539-AT539)/AT539*100)</f>
        <v>0</v>
      </c>
      <c r="BF539" s="1123">
        <f>IF(AU539=0,0,(AV539-AU539)/AU539*100)</f>
        <v>0</v>
      </c>
      <c r="BG539" s="1123">
        <f>IF(AV539=0,0,(AW539-AV539)/AV539*100)</f>
        <v>0</v>
      </c>
      <c r="BH539" s="1123">
        <f>IF(AW539=0,0,(AX539-AW539)/AW539*100)</f>
        <v>0</v>
      </c>
      <c r="BI539" s="1123">
        <f>IF(AX539=0,0,(AY539-AX539)/AX539*100)</f>
        <v>0</v>
      </c>
      <c r="BJ539" s="1123">
        <f>IF(AY539=0,0,(AZ539-AY539)/AY539*100)</f>
        <v>0</v>
      </c>
      <c r="BK539" s="1123">
        <f>IF(AZ539=0,0,(BA539-AZ539)/AZ539*100)</f>
        <v>0</v>
      </c>
      <c r="BL539" s="1123">
        <f>IF(BA539=0,0,(BB539-BA539)/BA539*100)</f>
        <v>0</v>
      </c>
      <c r="BM539" s="1123">
        <f>IF(BB539=0,0,(BC539-BB539)/BB539*100)</f>
        <v>0</v>
      </c>
      <c r="BN539" s="6290"/>
      <c r="BO539" s="6290"/>
      <c r="BP539" s="6290"/>
      <c r="BQ539" s="1297"/>
      <c r="BR539" s="1297"/>
      <c r="BS539" s="1072" t="s">
        <v>2350</v>
      </c>
      <c r="BT539" s="1072"/>
      <c r="BU539" s="1072"/>
      <c r="BV539" s="987"/>
      <c r="BW539" s="987"/>
    </row>
    <row s="1656" customFormat="1" customHeight="1" ht="14.25">
      <c r="A540" s="1297"/>
      <c r="B540" s="986"/>
      <c r="C540" s="103"/>
      <c r="D540" s="103"/>
      <c r="E540" s="626">
        <v>15</v>
      </c>
      <c r="F540" s="50" cm="1" t="str">
        <f t="array" ref="F540:F540">OFFSET(E540,-1,1)</f>
        <v>3</v>
      </c>
      <c r="G540" s="103" t="s">
        <v>1689</v>
      </c>
      <c r="H540" s="103"/>
      <c r="I540" s="103" t="s">
        <v>2351</v>
      </c>
      <c r="J540" s="103"/>
      <c r="K540" s="154" t="s">
        <v>2351</v>
      </c>
      <c r="L540" s="988"/>
      <c r="M540" s="103"/>
      <c r="N540" s="103"/>
      <c r="O540" s="103"/>
      <c r="P540" s="103"/>
      <c r="Q540" s="103"/>
      <c r="R540" s="103"/>
      <c r="S540" s="103"/>
      <c r="T540" s="468" cm="1" t="str">
        <f t="array" ref="T540:T540">T539</f>
        <v>true</v>
      </c>
      <c r="U540" s="103"/>
      <c r="V540" s="103"/>
      <c r="W540" s="103"/>
      <c r="X540" s="1559"/>
      <c r="Y540" s="1297"/>
      <c r="Z540" s="1529"/>
      <c r="AA540" s="1297"/>
      <c r="AB540" s="296" t="s">
        <v>2352</v>
      </c>
      <c r="AC540" s="769" t="s">
        <v>1689</v>
      </c>
      <c r="AD540" s="296" t="s">
        <v>936</v>
      </c>
      <c r="AE540" s="6293"/>
      <c r="AF540" s="6293"/>
      <c r="AG540" s="6293"/>
      <c r="AH540" s="1123">
        <f>AG540-AF540</f>
        <v>0</v>
      </c>
      <c r="AI540" s="6293"/>
      <c r="AJ540" s="6293"/>
      <c r="AK540" s="1260"/>
      <c r="AL540" s="1260"/>
      <c r="AM540" s="1260"/>
      <c r="AN540" s="1260"/>
      <c r="AO540" s="1260"/>
      <c r="AP540" s="1260"/>
      <c r="AQ540" s="1260"/>
      <c r="AR540" s="1260"/>
      <c r="AS540" s="1260"/>
      <c r="AT540" s="6293"/>
      <c r="AU540" s="1260"/>
      <c r="AV540" s="1260"/>
      <c r="AW540" s="1260"/>
      <c r="AX540" s="1260"/>
      <c r="AY540" s="1260"/>
      <c r="AZ540" s="1260"/>
      <c r="BA540" s="1260"/>
      <c r="BB540" s="1260"/>
      <c r="BC540" s="1260"/>
      <c r="BD540" s="1123">
        <f>IF(AI540=0,0,(AT540-AI540)/AI540*100)</f>
        <v>0</v>
      </c>
      <c r="BE540" s="1123">
        <f>IF(AT540=0,0,(AU540-AT540)/AT540*100)</f>
        <v>0</v>
      </c>
      <c r="BF540" s="1123">
        <f>IF(AU540=0,0,(AV540-AU540)/AU540*100)</f>
        <v>0</v>
      </c>
      <c r="BG540" s="1123">
        <f>IF(AV540=0,0,(AW540-AV540)/AV540*100)</f>
        <v>0</v>
      </c>
      <c r="BH540" s="1123">
        <f>IF(AW540=0,0,(AX540-AW540)/AW540*100)</f>
        <v>0</v>
      </c>
      <c r="BI540" s="1123">
        <f>IF(AX540=0,0,(AY540-AX540)/AX540*100)</f>
        <v>0</v>
      </c>
      <c r="BJ540" s="1123">
        <f>IF(AY540=0,0,(AZ540-AY540)/AY540*100)</f>
        <v>0</v>
      </c>
      <c r="BK540" s="1123">
        <f>IF(AZ540=0,0,(BA540-AZ540)/AZ540*100)</f>
        <v>0</v>
      </c>
      <c r="BL540" s="1123">
        <f>IF(BA540=0,0,(BB540-BA540)/BA540*100)</f>
        <v>0</v>
      </c>
      <c r="BM540" s="1123">
        <f>IF(BB540=0,0,(BC540-BB540)/BB540*100)</f>
        <v>0</v>
      </c>
      <c r="BN540" s="6290"/>
      <c r="BO540" s="6290"/>
      <c r="BP540" s="6290"/>
      <c r="BQ540" s="1297"/>
      <c r="BR540" s="1297"/>
      <c r="BS540" s="1072" t="s">
        <v>2089</v>
      </c>
      <c r="BT540" s="1072"/>
      <c r="BU540" s="1072"/>
      <c r="BV540" s="987"/>
      <c r="BW540" s="987"/>
    </row>
    <row s="1656" customFormat="1" customHeight="1" ht="14.25">
      <c r="A541" s="1297"/>
      <c r="B541" s="986"/>
      <c r="C541" s="103"/>
      <c r="D541" s="103"/>
      <c r="E541" s="626">
        <v>15</v>
      </c>
      <c r="F541" s="50" cm="1" t="str">
        <f t="array" ref="F541:F541">OFFSET(E541,-1,1)</f>
        <v>3</v>
      </c>
      <c r="G541" s="103" t="s">
        <v>1694</v>
      </c>
      <c r="H541" s="103"/>
      <c r="I541" s="103" t="s">
        <v>2353</v>
      </c>
      <c r="J541" s="103"/>
      <c r="K541" s="154" t="s">
        <v>2353</v>
      </c>
      <c r="L541" s="988"/>
      <c r="M541" s="103"/>
      <c r="N541" s="103"/>
      <c r="O541" s="103"/>
      <c r="P541" s="103"/>
      <c r="Q541" s="103"/>
      <c r="R541" s="103"/>
      <c r="S541" s="103"/>
      <c r="T541" s="468" cm="1" t="str">
        <f t="array" ref="T541:T541">T540</f>
        <v>true</v>
      </c>
      <c r="U541" s="103"/>
      <c r="V541" s="103"/>
      <c r="W541" s="103"/>
      <c r="X541" s="1559"/>
      <c r="Y541" s="1297"/>
      <c r="Z541" s="1529"/>
      <c r="AA541" s="1297"/>
      <c r="AB541" s="296" t="s">
        <v>1761</v>
      </c>
      <c r="AC541" s="769" t="s">
        <v>1694</v>
      </c>
      <c r="AD541" s="296" t="s">
        <v>936</v>
      </c>
      <c r="AE541" s="6293"/>
      <c r="AF541" s="6293"/>
      <c r="AG541" s="6293"/>
      <c r="AH541" s="1123">
        <f>AG541-AF541</f>
        <v>0</v>
      </c>
      <c r="AI541" s="6293"/>
      <c r="AJ541" s="6293"/>
      <c r="AK541" s="1260"/>
      <c r="AL541" s="1260"/>
      <c r="AM541" s="1260"/>
      <c r="AN541" s="1260"/>
      <c r="AO541" s="1260"/>
      <c r="AP541" s="1260"/>
      <c r="AQ541" s="1260"/>
      <c r="AR541" s="1260"/>
      <c r="AS541" s="1260"/>
      <c r="AT541" s="6293"/>
      <c r="AU541" s="1260"/>
      <c r="AV541" s="1260"/>
      <c r="AW541" s="1260"/>
      <c r="AX541" s="1260"/>
      <c r="AY541" s="1260"/>
      <c r="AZ541" s="1260"/>
      <c r="BA541" s="1260"/>
      <c r="BB541" s="1260"/>
      <c r="BC541" s="1260"/>
      <c r="BD541" s="1123">
        <f>IF(AI541=0,0,(AT541-AI541)/AI541*100)</f>
        <v>0</v>
      </c>
      <c r="BE541" s="1123">
        <f>IF(AT541=0,0,(AU541-AT541)/AT541*100)</f>
        <v>0</v>
      </c>
      <c r="BF541" s="1123">
        <f>IF(AU541=0,0,(AV541-AU541)/AU541*100)</f>
        <v>0</v>
      </c>
      <c r="BG541" s="1123">
        <f>IF(AV541=0,0,(AW541-AV541)/AV541*100)</f>
        <v>0</v>
      </c>
      <c r="BH541" s="1123">
        <f>IF(AW541=0,0,(AX541-AW541)/AW541*100)</f>
        <v>0</v>
      </c>
      <c r="BI541" s="1123">
        <f>IF(AX541=0,0,(AY541-AX541)/AX541*100)</f>
        <v>0</v>
      </c>
      <c r="BJ541" s="1123">
        <f>IF(AY541=0,0,(AZ541-AY541)/AY541*100)</f>
        <v>0</v>
      </c>
      <c r="BK541" s="1123">
        <f>IF(AZ541=0,0,(BA541-AZ541)/AZ541*100)</f>
        <v>0</v>
      </c>
      <c r="BL541" s="1123">
        <f>IF(BA541=0,0,(BB541-BA541)/BA541*100)</f>
        <v>0</v>
      </c>
      <c r="BM541" s="1123">
        <f>IF(BB541=0,0,(BC541-BB541)/BB541*100)</f>
        <v>0</v>
      </c>
      <c r="BN541" s="6290"/>
      <c r="BO541" s="6290"/>
      <c r="BP541" s="6290"/>
      <c r="BQ541" s="1297"/>
      <c r="BR541" s="1297"/>
      <c r="BS541" s="1072" t="s">
        <v>2354</v>
      </c>
      <c r="BT541" s="1072"/>
      <c r="BU541" s="1072"/>
      <c r="BV541" s="987"/>
      <c r="BW541" s="987"/>
    </row>
    <row s="1656" customFormat="1" customHeight="1" ht="14.25">
      <c r="A542" s="1297"/>
      <c r="B542" s="986"/>
      <c r="C542" s="103"/>
      <c r="D542" s="103"/>
      <c r="E542" s="626">
        <v>15</v>
      </c>
      <c r="F542" s="50" cm="1" t="str">
        <f t="array" ref="F542:F542">OFFSET(E542,-1,1)</f>
        <v>3</v>
      </c>
      <c r="G542" s="103" t="s">
        <v>1699</v>
      </c>
      <c r="H542" s="103"/>
      <c r="I542" s="103" t="s">
        <v>2355</v>
      </c>
      <c r="J542" s="103"/>
      <c r="K542" s="154" t="s">
        <v>2355</v>
      </c>
      <c r="L542" s="988"/>
      <c r="M542" s="103"/>
      <c r="N542" s="103"/>
      <c r="O542" s="103"/>
      <c r="P542" s="103"/>
      <c r="Q542" s="103"/>
      <c r="R542" s="103"/>
      <c r="S542" s="103"/>
      <c r="T542" s="468" cm="1" t="str">
        <f t="array" ref="T542:T542">T541</f>
        <v>true</v>
      </c>
      <c r="U542" s="103"/>
      <c r="V542" s="103"/>
      <c r="W542" s="103"/>
      <c r="X542" s="1559"/>
      <c r="Y542" s="1297"/>
      <c r="Z542" s="1529"/>
      <c r="AA542" s="1297"/>
      <c r="AB542" s="296" t="s">
        <v>1765</v>
      </c>
      <c r="AC542" s="769" t="s">
        <v>1699</v>
      </c>
      <c r="AD542" s="296" t="s">
        <v>936</v>
      </c>
      <c r="AE542" s="1125">
        <f>SUM(AE543,AE544)</f>
        <v>0</v>
      </c>
      <c r="AF542" s="1123">
        <f>SUM(AF543,AF544)</f>
        <v>0</v>
      </c>
      <c r="AG542" s="1123">
        <f>SUM(AG543,AG544)</f>
        <v>0</v>
      </c>
      <c r="AH542" s="1123">
        <f>AG542-AF542</f>
        <v>0</v>
      </c>
      <c r="AI542" s="1123">
        <f>SUM(AI543,AI544)</f>
        <v>0</v>
      </c>
      <c r="AJ542" s="1125">
        <f>SUM(AJ543,AJ544)</f>
        <v>0</v>
      </c>
      <c r="AK542" s="1123">
        <f>SUM(AK543,AK544)</f>
        <v>0</v>
      </c>
      <c r="AL542" s="1123">
        <f>SUM(AL543,AL544)</f>
        <v>0</v>
      </c>
      <c r="AM542" s="1123">
        <f>SUM(AM543,AM544)</f>
        <v>0</v>
      </c>
      <c r="AN542" s="1123">
        <f>SUM(AN543,AN544)</f>
        <v>0</v>
      </c>
      <c r="AO542" s="1123">
        <f>SUM(AO543,AO544)</f>
        <v>0</v>
      </c>
      <c r="AP542" s="1123">
        <f>SUM(AP543,AP544)</f>
        <v>0</v>
      </c>
      <c r="AQ542" s="1123">
        <f>SUM(AQ543,AQ544)</f>
        <v>0</v>
      </c>
      <c r="AR542" s="1123">
        <f>SUM(AR543,AR544)</f>
        <v>0</v>
      </c>
      <c r="AS542" s="1123">
        <f>SUM(AS543,AS544)</f>
        <v>0</v>
      </c>
      <c r="AT542" s="1125">
        <f>SUM(AT543,AT544)</f>
        <v>0</v>
      </c>
      <c r="AU542" s="1123">
        <f>SUM(AU543,AU544)</f>
        <v>0</v>
      </c>
      <c r="AV542" s="1123">
        <f>SUM(AV543,AV544)</f>
        <v>0</v>
      </c>
      <c r="AW542" s="1123">
        <f>SUM(AW543,AW544)</f>
        <v>0</v>
      </c>
      <c r="AX542" s="1123">
        <f>SUM(AX543,AX544)</f>
        <v>0</v>
      </c>
      <c r="AY542" s="1123">
        <f>SUM(AY543,AY544)</f>
        <v>0</v>
      </c>
      <c r="AZ542" s="1123">
        <f>SUM(AZ543,AZ544)</f>
        <v>0</v>
      </c>
      <c r="BA542" s="1123">
        <f>SUM(BA543,BA544)</f>
        <v>0</v>
      </c>
      <c r="BB542" s="1123">
        <f>SUM(BB543,BB544)</f>
        <v>0</v>
      </c>
      <c r="BC542" s="1123">
        <f>SUM(BC543,BC544)</f>
        <v>0</v>
      </c>
      <c r="BD542" s="1123">
        <f>IF(AI542=0,0,(AT542-AI542)/AI542*100)</f>
        <v>0</v>
      </c>
      <c r="BE542" s="1123">
        <f>IF(AT542=0,0,(AU542-AT542)/AT542*100)</f>
        <v>0</v>
      </c>
      <c r="BF542" s="1123">
        <f>IF(AU542=0,0,(AV542-AU542)/AU542*100)</f>
        <v>0</v>
      </c>
      <c r="BG542" s="1123">
        <f>IF(AV542=0,0,(AW542-AV542)/AV542*100)</f>
        <v>0</v>
      </c>
      <c r="BH542" s="1123">
        <f>IF(AW542=0,0,(AX542-AW542)/AW542*100)</f>
        <v>0</v>
      </c>
      <c r="BI542" s="1123">
        <f>IF(AX542=0,0,(AY542-AX542)/AX542*100)</f>
        <v>0</v>
      </c>
      <c r="BJ542" s="1123">
        <f>IF(AY542=0,0,(AZ542-AY542)/AY542*100)</f>
        <v>0</v>
      </c>
      <c r="BK542" s="1123">
        <f>IF(AZ542=0,0,(BA542-AZ542)/AZ542*100)</f>
        <v>0</v>
      </c>
      <c r="BL542" s="1123">
        <f>IF(BA542=0,0,(BB542-BA542)/BA542*100)</f>
        <v>0</v>
      </c>
      <c r="BM542" s="1123">
        <f>IF(BB542=0,0,(BC542-BB542)/BB542*100)</f>
        <v>0</v>
      </c>
      <c r="BN542" s="6290"/>
      <c r="BO542" s="6290"/>
      <c r="BP542" s="6290"/>
      <c r="BQ542" s="1297"/>
      <c r="BR542" s="1297"/>
      <c r="BS542" s="1072" t="s">
        <v>2356</v>
      </c>
      <c r="BT542" s="1072"/>
      <c r="BU542" s="1072"/>
      <c r="BV542" s="987"/>
      <c r="BW542" s="987"/>
    </row>
    <row s="1656" customFormat="1" customHeight="1" ht="14.625">
      <c r="A543" s="1297"/>
      <c r="B543" s="986"/>
      <c r="C543" s="103"/>
      <c r="D543" s="103"/>
      <c r="E543" s="626">
        <v>15</v>
      </c>
      <c r="F543" s="50" cm="1" t="str">
        <f t="array" ref="F543:F543">OFFSET(E543,-1,1)</f>
        <v>3</v>
      </c>
      <c r="G543" s="103"/>
      <c r="H543" s="103"/>
      <c r="I543" s="103" t="s">
        <v>2357</v>
      </c>
      <c r="J543" s="103"/>
      <c r="K543" s="154" t="s">
        <v>2357</v>
      </c>
      <c r="L543" s="988"/>
      <c r="M543" s="103"/>
      <c r="N543" s="103"/>
      <c r="O543" s="103"/>
      <c r="P543" s="103"/>
      <c r="Q543" s="103"/>
      <c r="R543" s="103"/>
      <c r="S543" s="103"/>
      <c r="T543" s="468" cm="1" t="str">
        <f t="array" ref="T543:T543">T542</f>
        <v>true</v>
      </c>
      <c r="U543" s="103"/>
      <c r="V543" s="103"/>
      <c r="W543" s="103"/>
      <c r="X543" s="1559"/>
      <c r="Y543" s="1297"/>
      <c r="Z543" s="1529"/>
      <c r="AA543" s="1297"/>
      <c r="AB543" s="296" t="s">
        <v>2358</v>
      </c>
      <c r="AC543" s="772" t="s">
        <v>2359</v>
      </c>
      <c r="AD543" s="296" t="s">
        <v>936</v>
      </c>
      <c r="AE543" s="6293"/>
      <c r="AF543" s="6293"/>
      <c r="AG543" s="6293"/>
      <c r="AH543" s="1123">
        <f>AG543-AF543</f>
        <v>0</v>
      </c>
      <c r="AI543" s="6293">
        <v>0</v>
      </c>
      <c r="AJ543" s="6293"/>
      <c r="AK543" s="1260"/>
      <c r="AL543" s="1260"/>
      <c r="AM543" s="1260"/>
      <c r="AN543" s="1260"/>
      <c r="AO543" s="1260"/>
      <c r="AP543" s="1260"/>
      <c r="AQ543" s="1260"/>
      <c r="AR543" s="1260"/>
      <c r="AS543" s="1260"/>
      <c r="AT543" s="6293"/>
      <c r="AU543" s="1260"/>
      <c r="AV543" s="1260"/>
      <c r="AW543" s="1260"/>
      <c r="AX543" s="1260"/>
      <c r="AY543" s="1260"/>
      <c r="AZ543" s="1260"/>
      <c r="BA543" s="1260"/>
      <c r="BB543" s="1260"/>
      <c r="BC543" s="1260"/>
      <c r="BD543" s="1123">
        <f>IF(AI543=0,0,(AT543-AI543)/AI543*100)</f>
        <v>0</v>
      </c>
      <c r="BE543" s="1123">
        <f>IF(AT543=0,0,(AU543-AT543)/AT543*100)</f>
        <v>0</v>
      </c>
      <c r="BF543" s="1123">
        <f>IF(AU543=0,0,(AV543-AU543)/AU543*100)</f>
        <v>0</v>
      </c>
      <c r="BG543" s="1123">
        <f>IF(AV543=0,0,(AW543-AV543)/AV543*100)</f>
        <v>0</v>
      </c>
      <c r="BH543" s="1123">
        <f>IF(AW543=0,0,(AX543-AW543)/AW543*100)</f>
        <v>0</v>
      </c>
      <c r="BI543" s="1123">
        <f>IF(AX543=0,0,(AY543-AX543)/AX543*100)</f>
        <v>0</v>
      </c>
      <c r="BJ543" s="1123">
        <f>IF(AY543=0,0,(AZ543-AY543)/AY543*100)</f>
        <v>0</v>
      </c>
      <c r="BK543" s="1123">
        <f>IF(AZ543=0,0,(BA543-AZ543)/AZ543*100)</f>
        <v>0</v>
      </c>
      <c r="BL543" s="1123">
        <f>IF(BA543=0,0,(BB543-BA543)/BA543*100)</f>
        <v>0</v>
      </c>
      <c r="BM543" s="1123">
        <f>IF(BB543=0,0,(BC543-BB543)/BB543*100)</f>
        <v>0</v>
      </c>
      <c r="BN543" s="6290"/>
      <c r="BO543" s="6290"/>
      <c r="BP543" s="6290"/>
      <c r="BQ543" s="1297"/>
      <c r="BR543" s="1297"/>
      <c r="BS543" s="1072" t="s">
        <v>1456</v>
      </c>
      <c r="BT543" s="1072"/>
      <c r="BU543" s="1072"/>
      <c r="BV543" s="987"/>
      <c r="BW543" s="987"/>
    </row>
    <row s="1656" customFormat="1" customHeight="1" ht="14.25">
      <c r="A544" s="1297"/>
      <c r="B544" s="986"/>
      <c r="C544" s="103"/>
      <c r="D544" s="103"/>
      <c r="E544" s="626">
        <v>15</v>
      </c>
      <c r="F544" s="50" cm="1" t="str">
        <f t="array" ref="F544:F544">OFFSET(E544,-1,1)</f>
        <v>3</v>
      </c>
      <c r="G544" s="103"/>
      <c r="H544" s="103"/>
      <c r="I544" s="103" t="s">
        <v>2360</v>
      </c>
      <c r="J544" s="103"/>
      <c r="K544" s="154" t="s">
        <v>2360</v>
      </c>
      <c r="L544" s="988" t="s">
        <v>1079</v>
      </c>
      <c r="M544" s="103"/>
      <c r="N544" s="103"/>
      <c r="O544" s="103"/>
      <c r="P544" s="103"/>
      <c r="Q544" s="103"/>
      <c r="R544" s="103"/>
      <c r="S544" s="103"/>
      <c r="T544" s="468" cm="1" t="str">
        <f t="array" ref="T544:T544">T543</f>
        <v>true</v>
      </c>
      <c r="U544" s="103"/>
      <c r="V544" s="103"/>
      <c r="W544" s="103"/>
      <c r="X544" s="1559"/>
      <c r="Y544" s="1297"/>
      <c r="Z544" s="1529"/>
      <c r="AA544" s="1297"/>
      <c r="AB544" s="296" t="s">
        <v>2361</v>
      </c>
      <c r="AC544" s="772" t="s">
        <v>2362</v>
      </c>
      <c r="AD544" s="296" t="s">
        <v>936</v>
      </c>
      <c r="AE544" s="6293"/>
      <c r="AF544" s="6293"/>
      <c r="AG544" s="6293"/>
      <c r="AH544" s="1123">
        <f>AG544-AF544</f>
        <v>0</v>
      </c>
      <c r="AI544" s="6293"/>
      <c r="AJ544" s="6293"/>
      <c r="AK544" s="1260"/>
      <c r="AL544" s="1260"/>
      <c r="AM544" s="1260"/>
      <c r="AN544" s="1260"/>
      <c r="AO544" s="1260"/>
      <c r="AP544" s="1260"/>
      <c r="AQ544" s="1260"/>
      <c r="AR544" s="1260"/>
      <c r="AS544" s="1260"/>
      <c r="AT544" s="6293"/>
      <c r="AU544" s="1260"/>
      <c r="AV544" s="1260"/>
      <c r="AW544" s="1260"/>
      <c r="AX544" s="1260"/>
      <c r="AY544" s="1260"/>
      <c r="AZ544" s="1260"/>
      <c r="BA544" s="1260"/>
      <c r="BB544" s="1260"/>
      <c r="BC544" s="1260"/>
      <c r="BD544" s="1123">
        <f>IF(AI544=0,0,(AT544-AI544)/AI544*100)</f>
        <v>0</v>
      </c>
      <c r="BE544" s="1123">
        <f>IF(AT544=0,0,(AU544-AT544)/AT544*100)</f>
        <v>0</v>
      </c>
      <c r="BF544" s="1123">
        <f>IF(AU544=0,0,(AV544-AU544)/AU544*100)</f>
        <v>0</v>
      </c>
      <c r="BG544" s="1123">
        <f>IF(AV544=0,0,(AW544-AV544)/AV544*100)</f>
        <v>0</v>
      </c>
      <c r="BH544" s="1123">
        <f>IF(AW544=0,0,(AX544-AW544)/AW544*100)</f>
        <v>0</v>
      </c>
      <c r="BI544" s="1123">
        <f>IF(AX544=0,0,(AY544-AX544)/AX544*100)</f>
        <v>0</v>
      </c>
      <c r="BJ544" s="1123">
        <f>IF(AY544=0,0,(AZ544-AY544)/AY544*100)</f>
        <v>0</v>
      </c>
      <c r="BK544" s="1123">
        <f>IF(AZ544=0,0,(BA544-AZ544)/AZ544*100)</f>
        <v>0</v>
      </c>
      <c r="BL544" s="1123">
        <f>IF(BA544=0,0,(BB544-BA544)/BA544*100)</f>
        <v>0</v>
      </c>
      <c r="BM544" s="1123">
        <f>IF(BB544=0,0,(BC544-BB544)/BB544*100)</f>
        <v>0</v>
      </c>
      <c r="BN544" s="6290"/>
      <c r="BO544" s="6290"/>
      <c r="BP544" s="6290"/>
      <c r="BQ544" s="1297"/>
      <c r="BR544" s="1297"/>
      <c r="BS544" s="1072" t="s">
        <v>2363</v>
      </c>
      <c r="BT544" s="1072"/>
      <c r="BU544" s="1072"/>
      <c r="BV544" s="987"/>
      <c r="BW544" s="987"/>
    </row>
    <row s="1656" customFormat="1" customHeight="1" ht="21.75">
      <c r="A545" s="1297"/>
      <c r="B545" s="986"/>
      <c r="C545" s="103"/>
      <c r="D545" s="103"/>
      <c r="E545" s="626">
        <v>22.5</v>
      </c>
      <c r="F545" s="50" cm="1" t="str">
        <f t="array" ref="F545:F545">OFFSET(E545,-1,1)</f>
        <v>3</v>
      </c>
      <c r="G545" s="103" t="s">
        <v>1704</v>
      </c>
      <c r="H545" s="103"/>
      <c r="I545" s="103" t="s">
        <v>2364</v>
      </c>
      <c r="J545" s="103"/>
      <c r="K545" s="154" t="s">
        <v>2364</v>
      </c>
      <c r="L545" s="988"/>
      <c r="M545" s="103"/>
      <c r="N545" s="103"/>
      <c r="O545" s="103"/>
      <c r="P545" s="103"/>
      <c r="Q545" s="103"/>
      <c r="R545" s="103"/>
      <c r="S545" s="103"/>
      <c r="T545" s="468" cm="1" t="str">
        <f t="array" ref="T545:T545">T544</f>
        <v>true</v>
      </c>
      <c r="U545" s="103"/>
      <c r="V545" s="103"/>
      <c r="W545" s="103"/>
      <c r="X545" s="1559"/>
      <c r="Y545" s="1297"/>
      <c r="Z545" s="1529"/>
      <c r="AA545" s="1297"/>
      <c r="AB545" s="296" t="s">
        <v>1768</v>
      </c>
      <c r="AC545" s="769" t="s">
        <v>2365</v>
      </c>
      <c r="AD545" s="296" t="s">
        <v>936</v>
      </c>
      <c r="AE545" s="6293"/>
      <c r="AF545" s="6293"/>
      <c r="AG545" s="6293"/>
      <c r="AH545" s="1123">
        <f>AG545-AF545</f>
        <v>0</v>
      </c>
      <c r="AI545" s="6293"/>
      <c r="AJ545" s="6293"/>
      <c r="AK545" s="1260"/>
      <c r="AL545" s="1260"/>
      <c r="AM545" s="1260"/>
      <c r="AN545" s="1260"/>
      <c r="AO545" s="1260"/>
      <c r="AP545" s="1260"/>
      <c r="AQ545" s="1260"/>
      <c r="AR545" s="1260"/>
      <c r="AS545" s="1260"/>
      <c r="AT545" s="6293"/>
      <c r="AU545" s="1260"/>
      <c r="AV545" s="1260"/>
      <c r="AW545" s="1260"/>
      <c r="AX545" s="1260"/>
      <c r="AY545" s="1260"/>
      <c r="AZ545" s="1260"/>
      <c r="BA545" s="1260"/>
      <c r="BB545" s="1260"/>
      <c r="BC545" s="1260"/>
      <c r="BD545" s="1123">
        <f>IF(AI545=0,0,(AT545-AI545)/AI545*100)</f>
        <v>0</v>
      </c>
      <c r="BE545" s="1123">
        <f>IF(AT545=0,0,(AU545-AT545)/AT545*100)</f>
        <v>0</v>
      </c>
      <c r="BF545" s="1123">
        <f>IF(AU545=0,0,(AV545-AU545)/AU545*100)</f>
        <v>0</v>
      </c>
      <c r="BG545" s="1123">
        <f>IF(AV545=0,0,(AW545-AV545)/AV545*100)</f>
        <v>0</v>
      </c>
      <c r="BH545" s="1123">
        <f>IF(AW545=0,0,(AX545-AW545)/AW545*100)</f>
        <v>0</v>
      </c>
      <c r="BI545" s="1123">
        <f>IF(AX545=0,0,(AY545-AX545)/AX545*100)</f>
        <v>0</v>
      </c>
      <c r="BJ545" s="1123">
        <f>IF(AY545=0,0,(AZ545-AY545)/AY545*100)</f>
        <v>0</v>
      </c>
      <c r="BK545" s="1123">
        <f>IF(AZ545=0,0,(BA545-AZ545)/AZ545*100)</f>
        <v>0</v>
      </c>
      <c r="BL545" s="1123">
        <f>IF(BA545=0,0,(BB545-BA545)/BA545*100)</f>
        <v>0</v>
      </c>
      <c r="BM545" s="1123">
        <f>IF(BB545=0,0,(BC545-BB545)/BB545*100)</f>
        <v>0</v>
      </c>
      <c r="BN545" s="6290"/>
      <c r="BO545" s="6290"/>
      <c r="BP545" s="6290"/>
      <c r="BQ545" s="1297"/>
      <c r="BR545" s="1297"/>
      <c r="BS545" s="1072" t="s">
        <v>2366</v>
      </c>
      <c r="BT545" s="1072"/>
      <c r="BU545" s="1072"/>
      <c r="BV545" s="987"/>
      <c r="BW545" s="987"/>
    </row>
    <row s="6467" customFormat="1" customHeight="1" ht="191.25">
      <c r="A546" s="706"/>
      <c r="B546" s="437"/>
      <c r="C546" s="105"/>
      <c r="D546" s="105"/>
      <c r="E546" s="833">
        <v>21</v>
      </c>
      <c r="F546" s="50" cm="1" t="str">
        <f t="array" ref="F546:F546">OFFSET(E546,-1,1)</f>
        <v>3</v>
      </c>
      <c r="G546" s="103" t="s">
        <v>2367</v>
      </c>
      <c r="H546" s="103"/>
      <c r="I546" s="103" t="s">
        <v>346</v>
      </c>
      <c r="J546" s="105"/>
      <c r="K546" s="154" t="s">
        <v>346</v>
      </c>
      <c r="L546" s="993" t="s">
        <v>1550</v>
      </c>
      <c r="M546" s="105"/>
      <c r="N546" s="105"/>
      <c r="O546" s="105"/>
      <c r="P546" s="105"/>
      <c r="Q546" s="105"/>
      <c r="R546" s="105"/>
      <c r="S546" s="105"/>
      <c r="T546" s="468" cm="1" t="str">
        <f t="array" ref="T546:T546">T545</f>
        <v>true</v>
      </c>
      <c r="U546" s="105"/>
      <c r="V546" s="105"/>
      <c r="W546" s="105"/>
      <c r="X546" s="1559"/>
      <c r="Y546" s="706"/>
      <c r="Z546" s="1529"/>
      <c r="AA546" s="706"/>
      <c r="AB546" s="207" t="s">
        <v>234</v>
      </c>
      <c r="AC546" s="208" t="s">
        <v>2368</v>
      </c>
      <c r="AD546" s="207" t="s">
        <v>936</v>
      </c>
      <c r="AE546" s="785">
        <f>_xlfn.SUMIFS(ЭЭ!AE$25:AE$175,ЭЭ!$F$25:$F$175,$F546,ЭЭ!$AC$25:$AC$175,"Всего по тарифу")</f>
        <v>5618.414</v>
      </c>
      <c r="AF546" s="785">
        <f>_xlfn.SUMIFS(ЭЭ!AF$25:AF$175,ЭЭ!$F$25:$F$175,$F546,ЭЭ!$AC$25:$AC$175,"Всего по тарифу")</f>
        <v>6367.79</v>
      </c>
      <c r="AG546" s="785">
        <f>_xlfn.SUMIFS(ЭЭ!AG$25:AG$175,ЭЭ!$F$25:$F$175,$F546,ЭЭ!$AC$25:$AC$175,"Всего по тарифу")</f>
        <v>4503.607732016</v>
      </c>
      <c r="AH546" s="785">
        <f>AG546-AF546</f>
        <v>-1864.182267984</v>
      </c>
      <c r="AI546" s="785">
        <f>_xlfn.SUMIFS(ЭЭ!AH$25:AH$175,ЭЭ!$F$25:$F$175,$F546,ЭЭ!$AC$25:$AC$175,"Всего по тарифу")</f>
        <v>6103.59</v>
      </c>
      <c r="AJ546" s="785">
        <f>_xlfn.SUMIFS(ЭЭ!AI$25:AI$175,ЭЭ!$F$25:$F$175,$F546,ЭЭ!$AC$25:$AC$175,"Всего по тарифу")</f>
        <v>6618.24</v>
      </c>
      <c r="AK546" s="785">
        <f>_xlfn.SUMIFS(ЭЭ!AJ$25:AJ$175,ЭЭ!$F$25:$F$175,$F546,ЭЭ!$AC$25:$AC$175,"Всего по тарифу")</f>
        <v>0</v>
      </c>
      <c r="AL546" s="785">
        <f>_xlfn.SUMIFS(ЭЭ!AK$25:AK$175,ЭЭ!$F$25:$F$175,$F546,ЭЭ!$AC$25:$AC$175,"Всего по тарифу")</f>
        <v>0</v>
      </c>
      <c r="AM546" s="785">
        <f>_xlfn.SUMIFS(ЭЭ!AL$25:AL$175,ЭЭ!$F$25:$F$175,$F546,ЭЭ!$AC$25:$AC$175,"Всего по тарифу")</f>
        <v>0</v>
      </c>
      <c r="AN546" s="785">
        <f>_xlfn.SUMIFS(ЭЭ!AM$25:AM$175,ЭЭ!$F$25:$F$175,$F546,ЭЭ!$AC$25:$AC$175,"Всего по тарифу")</f>
        <v>0</v>
      </c>
      <c r="AO546" s="785">
        <f>_xlfn.SUMIFS(ЭЭ!AN$25:AN$175,ЭЭ!$F$25:$F$175,$F546,ЭЭ!$AC$25:$AC$175,"Всего по тарифу")</f>
        <v>0</v>
      </c>
      <c r="AP546" s="785">
        <f>_xlfn.SUMIFS(ЭЭ!AO$25:AO$175,ЭЭ!$F$25:$F$175,$F546,ЭЭ!$AC$25:$AC$175,"Всего по тарифу")</f>
        <v>0</v>
      </c>
      <c r="AQ546" s="785">
        <f>_xlfn.SUMIFS(ЭЭ!AP$25:AP$175,ЭЭ!$F$25:$F$175,$F546,ЭЭ!$AC$25:$AC$175,"Всего по тарифу")</f>
        <v>0</v>
      </c>
      <c r="AR546" s="785">
        <f>_xlfn.SUMIFS(ЭЭ!AQ$25:AQ$175,ЭЭ!$F$25:$F$175,$F546,ЭЭ!$AC$25:$AC$175,"Всего по тарифу")</f>
        <v>0</v>
      </c>
      <c r="AS546" s="785">
        <f>_xlfn.SUMIFS(ЭЭ!AR$25:AR$175,ЭЭ!$F$25:$F$175,$F546,ЭЭ!$AC$25:$AC$175,"Всего по тарифу")</f>
        <v>0</v>
      </c>
      <c r="AT546" s="785">
        <f>_xlfn.SUMIFS(ЭЭ!AS$25:AS$175,ЭЭ!$F$25:$F$175,$F546,ЭЭ!$AC$25:$AC$175,"Всего по тарифу")</f>
        <v>6876.7</v>
      </c>
      <c r="AU546" s="785">
        <f>_xlfn.SUMIFS(ЭЭ!AT$25:AT$175,ЭЭ!$F$25:$F$175,$F546,ЭЭ!$AC$25:$AC$175,"Всего по тарифу")</f>
        <v>0</v>
      </c>
      <c r="AV546" s="785">
        <f>_xlfn.SUMIFS(ЭЭ!AU$25:AU$175,ЭЭ!$F$25:$F$175,$F546,ЭЭ!$AC$25:$AC$175,"Всего по тарифу")</f>
        <v>0</v>
      </c>
      <c r="AW546" s="785">
        <f>_xlfn.SUMIFS(ЭЭ!AV$25:AV$175,ЭЭ!$F$25:$F$175,$F546,ЭЭ!$AC$25:$AC$175,"Всего по тарифу")</f>
        <v>0</v>
      </c>
      <c r="AX546" s="785">
        <f>_xlfn.SUMIFS(ЭЭ!AW$25:AW$175,ЭЭ!$F$25:$F$175,$F546,ЭЭ!$AC$25:$AC$175,"Всего по тарифу")</f>
        <v>0</v>
      </c>
      <c r="AY546" s="785">
        <f>_xlfn.SUMIFS(ЭЭ!AX$25:AX$175,ЭЭ!$F$25:$F$175,$F546,ЭЭ!$AC$25:$AC$175,"Всего по тарифу")</f>
        <v>0</v>
      </c>
      <c r="AZ546" s="785">
        <f>_xlfn.SUMIFS(ЭЭ!AY$25:AY$175,ЭЭ!$F$25:$F$175,$F546,ЭЭ!$AC$25:$AC$175,"Всего по тарифу")</f>
        <v>0</v>
      </c>
      <c r="BA546" s="785">
        <f>_xlfn.SUMIFS(ЭЭ!AZ$25:AZ$175,ЭЭ!$F$25:$F$175,$F546,ЭЭ!$AC$25:$AC$175,"Всего по тарифу")</f>
        <v>0</v>
      </c>
      <c r="BB546" s="785">
        <f>_xlfn.SUMIFS(ЭЭ!BA$25:BA$175,ЭЭ!$F$25:$F$175,$F546,ЭЭ!$AC$25:$AC$175,"Всего по тарифу")</f>
        <v>0</v>
      </c>
      <c r="BC546" s="785">
        <f>_xlfn.SUMIFS(ЭЭ!BB$25:BB$175,ЭЭ!$F$25:$F$175,$F546,ЭЭ!$AC$25:$AC$175,"Всего по тарифу")</f>
        <v>0</v>
      </c>
      <c r="BD546" s="785">
        <f>IF(AI546=0,0,(AT546-AI546)/AI546*100)</f>
        <v>12.6664798913426</v>
      </c>
      <c r="BE546" s="785">
        <f>IF(AT546=0,0,(AU546-AT546)/AT546*100)</f>
        <v>-100</v>
      </c>
      <c r="BF546" s="785">
        <f>IF(AU546=0,0,(AV546-AU546)/AU546*100)</f>
        <v>0</v>
      </c>
      <c r="BG546" s="785">
        <f>IF(AV546=0,0,(AW546-AV546)/AV546*100)</f>
        <v>0</v>
      </c>
      <c r="BH546" s="785">
        <f>IF(AW546=0,0,(AX546-AW546)/AW546*100)</f>
        <v>0</v>
      </c>
      <c r="BI546" s="785">
        <f>IF(AX546=0,0,(AY546-AX546)/AX546*100)</f>
        <v>0</v>
      </c>
      <c r="BJ546" s="785">
        <f>IF(AY546=0,0,(AZ546-AY546)/AY546*100)</f>
        <v>0</v>
      </c>
      <c r="BK546" s="785">
        <f>IF(AZ546=0,0,(BA546-AZ546)/AZ546*100)</f>
        <v>0</v>
      </c>
      <c r="BL546" s="785">
        <f>IF(BA546=0,0,(BB546-BA546)/BA546*100)</f>
        <v>0</v>
      </c>
      <c r="BM546" s="785">
        <f>IF(BB546=0,0,(BC546-BB546)/BB546*100)</f>
        <v>0</v>
      </c>
      <c r="BN546" s="6290"/>
      <c r="BO546" s="6345" t="s">
        <v>2452</v>
      </c>
      <c r="BP546" s="6290" t="s">
        <v>2457</v>
      </c>
      <c r="BQ546" s="706"/>
      <c r="BR546" s="706"/>
      <c r="BS546" s="1078" t="s">
        <v>1984</v>
      </c>
      <c r="BT546" s="1078"/>
      <c r="BU546" s="1078"/>
      <c r="BV546" s="713"/>
      <c r="BW546" s="713"/>
    </row>
    <row s="6468" customFormat="1" customHeight="1" ht="21.75">
      <c r="A547" s="706"/>
      <c r="B547" s="158">
        <f>method_reg="Метод индексации"</f>
        <v>1</v>
      </c>
      <c r="C547" s="105"/>
      <c r="D547" s="105"/>
      <c r="E547" s="833">
        <v>22.5</v>
      </c>
      <c r="F547" s="50" cm="1" t="str">
        <f t="array" ref="F547:F547">OFFSET(E547,-1,1)</f>
        <v>3</v>
      </c>
      <c r="G547" s="103" t="s">
        <v>1726</v>
      </c>
      <c r="H547" s="103"/>
      <c r="I547" s="103" t="s">
        <v>348</v>
      </c>
      <c r="J547" s="105"/>
      <c r="K547" s="154"/>
      <c r="L547" s="993" t="s">
        <v>347</v>
      </c>
      <c r="M547" s="105"/>
      <c r="N547" s="105"/>
      <c r="O547" s="105"/>
      <c r="P547" s="105"/>
      <c r="Q547" s="105"/>
      <c r="R547" s="105"/>
      <c r="S547" s="105"/>
      <c r="T547" s="468" cm="1" t="str">
        <f t="array" ref="T547:T547">T546</f>
        <v>true</v>
      </c>
      <c r="U547" s="105"/>
      <c r="V547" s="105"/>
      <c r="W547" s="105"/>
      <c r="X547" s="1559"/>
      <c r="Y547" s="706"/>
      <c r="Z547" s="1529"/>
      <c r="AA547" s="706"/>
      <c r="AB547" s="207" t="s">
        <v>451</v>
      </c>
      <c r="AC547" s="208" t="s">
        <v>2369</v>
      </c>
      <c r="AD547" s="207" t="s">
        <v>936</v>
      </c>
      <c r="AE547" s="785">
        <f>_xlfn.SUMIFS(Амортизация!AE$25:AE$223,Амортизация!$F$25:$F$223,$F547,Амортизация!$AC$25:$AC$223,"Сумма амортизационных отчислений")</f>
        <v>7218.43</v>
      </c>
      <c r="AF547" s="785">
        <f>_xlfn.SUMIFS(Амортизация!AF$25:AF$223,Амортизация!$F$25:$F$223,$F547,Амортизация!$AC$25:$AC$223,"Сумма амортизационных отчислений")</f>
        <v>2435.28</v>
      </c>
      <c r="AG547" s="785">
        <f>_xlfn.SUMIFS(Амортизация!AG$25:AG$223,Амортизация!$F$25:$F$223,$F547,Амортизация!$AC$25:$AC$223,"Сумма амортизационных отчислений")</f>
        <v>7258.66</v>
      </c>
      <c r="AH547" s="785">
        <f>AG547-AF547</f>
        <v>4823.38</v>
      </c>
      <c r="AI547" s="785">
        <f>_xlfn.SUMIFS(Амортизация!AH$25:AH$223,Амортизация!$F$25:$F$223,$F547,Амортизация!$AC$25:$AC$223,"Сумма амортизационных отчислений")</f>
        <v>7258.66</v>
      </c>
      <c r="AJ547" s="785">
        <f>_xlfn.SUMIFS(Амортизация!AI$25:AI$223,Амортизация!$F$25:$F$223,$F547,Амортизация!$AC$25:$AC$223,"Сумма амортизационных отчислений")</f>
        <v>7258.66</v>
      </c>
      <c r="AK547" s="785">
        <f>_xlfn.SUMIFS(Амортизация!AJ$25:AJ$223,Амортизация!$F$25:$F$223,$F547,Амортизация!$AC$25:$AC$223,"Сумма амортизационных отчислений")</f>
        <v>0</v>
      </c>
      <c r="AL547" s="785">
        <f>_xlfn.SUMIFS(Амортизация!AK$25:AK$223,Амортизация!$F$25:$F$223,$F547,Амортизация!$AC$25:$AC$223,"Сумма амортизационных отчислений")</f>
        <v>0</v>
      </c>
      <c r="AM547" s="785">
        <f>_xlfn.SUMIFS(Амортизация!AL$25:AL$223,Амортизация!$F$25:$F$223,$F547,Амортизация!$AC$25:$AC$223,"Сумма амортизационных отчислений")</f>
        <v>0</v>
      </c>
      <c r="AN547" s="785">
        <f>_xlfn.SUMIFS(Амортизация!AM$25:AM$223,Амортизация!$F$25:$F$223,$F547,Амортизация!$AC$25:$AC$223,"Сумма амортизационных отчислений")</f>
        <v>0</v>
      </c>
      <c r="AO547" s="785">
        <f>_xlfn.SUMIFS(Амортизация!AN$25:AN$223,Амортизация!$F$25:$F$223,$F547,Амортизация!$AC$25:$AC$223,"Сумма амортизационных отчислений")</f>
        <v>0</v>
      </c>
      <c r="AP547" s="785">
        <f>_xlfn.SUMIFS(Амортизация!AO$25:AO$223,Амортизация!$F$25:$F$223,$F547,Амортизация!$AC$25:$AC$223,"Сумма амортизационных отчислений")</f>
        <v>0</v>
      </c>
      <c r="AQ547" s="785">
        <f>_xlfn.SUMIFS(Амортизация!AP$25:AP$223,Амортизация!$F$25:$F$223,$F547,Амортизация!$AC$25:$AC$223,"Сумма амортизационных отчислений")</f>
        <v>0</v>
      </c>
      <c r="AR547" s="785">
        <f>_xlfn.SUMIFS(Амортизация!AQ$25:AQ$223,Амортизация!$F$25:$F$223,$F547,Амортизация!$AC$25:$AC$223,"Сумма амортизационных отчислений")</f>
        <v>0</v>
      </c>
      <c r="AS547" s="785">
        <f>_xlfn.SUMIFS(Амортизация!AR$25:AR$223,Амортизация!$F$25:$F$223,$F547,Амортизация!$AC$25:$AC$223,"Сумма амортизационных отчислений")</f>
        <v>0</v>
      </c>
      <c r="AT547" s="785">
        <f>_xlfn.SUMIFS(Амортизация!AS$25:AS$223,Амортизация!$F$25:$F$223,$F547,Амортизация!$AC$25:$AC$223,"Сумма амортизационных отчислений")</f>
        <v>7258.66</v>
      </c>
      <c r="AU547" s="785">
        <f>_xlfn.SUMIFS(Амортизация!AT$25:AT$223,Амортизация!$F$25:$F$223,$F547,Амортизация!$AC$25:$AC$223,"Сумма амортизационных отчислений")</f>
        <v>0</v>
      </c>
      <c r="AV547" s="785">
        <f>_xlfn.SUMIFS(Амортизация!AU$25:AU$223,Амортизация!$F$25:$F$223,$F547,Амортизация!$AC$25:$AC$223,"Сумма амортизационных отчислений")</f>
        <v>0</v>
      </c>
      <c r="AW547" s="785">
        <f>_xlfn.SUMIFS(Амортизация!AV$25:AV$223,Амортизация!$F$25:$F$223,$F547,Амортизация!$AC$25:$AC$223,"Сумма амортизационных отчислений")</f>
        <v>0</v>
      </c>
      <c r="AX547" s="785">
        <f>_xlfn.SUMIFS(Амортизация!AW$25:AW$223,Амортизация!$F$25:$F$223,$F547,Амортизация!$AC$25:$AC$223,"Сумма амортизационных отчислений")</f>
        <v>0</v>
      </c>
      <c r="AY547" s="785">
        <f>_xlfn.SUMIFS(Амортизация!AX$25:AX$223,Амортизация!$F$25:$F$223,$F547,Амортизация!$AC$25:$AC$223,"Сумма амортизационных отчислений")</f>
        <v>0</v>
      </c>
      <c r="AZ547" s="785">
        <f>_xlfn.SUMIFS(Амортизация!AY$25:AY$223,Амортизация!$F$25:$F$223,$F547,Амортизация!$AC$25:$AC$223,"Сумма амортизационных отчислений")</f>
        <v>0</v>
      </c>
      <c r="BA547" s="785">
        <f>_xlfn.SUMIFS(Амортизация!AZ$25:AZ$223,Амортизация!$F$25:$F$223,$F547,Амортизация!$AC$25:$AC$223,"Сумма амортизационных отчислений")</f>
        <v>0</v>
      </c>
      <c r="BB547" s="785">
        <f>_xlfn.SUMIFS(Амортизация!BA$25:BA$223,Амортизация!$F$25:$F$223,$F547,Амортизация!$AC$25:$AC$223,"Сумма амортизационных отчислений")</f>
        <v>0</v>
      </c>
      <c r="BC547" s="785">
        <f>_xlfn.SUMIFS(Амортизация!BB$25:BB$223,Амортизация!$F$25:$F$223,$F547,Амортизация!$AC$25:$AC$223,"Сумма амортизационных отчислений")</f>
        <v>0</v>
      </c>
      <c r="BD547" s="785">
        <f>IF(AI547=0,0,(AT547-AI547)/AI547*100)</f>
        <v>0</v>
      </c>
      <c r="BE547" s="785">
        <f>IF(AT547=0,0,(AU547-AT547)/AT547*100)</f>
        <v>-100</v>
      </c>
      <c r="BF547" s="785">
        <f>IF(AU547=0,0,(AV547-AU547)/AU547*100)</f>
        <v>0</v>
      </c>
      <c r="BG547" s="785">
        <f>IF(AV547=0,0,(AW547-AV547)/AV547*100)</f>
        <v>0</v>
      </c>
      <c r="BH547" s="785">
        <f>IF(AW547=0,0,(AX547-AW547)/AW547*100)</f>
        <v>0</v>
      </c>
      <c r="BI547" s="785">
        <f>IF(AX547=0,0,(AY547-AX547)/AX547*100)</f>
        <v>0</v>
      </c>
      <c r="BJ547" s="785">
        <f>IF(AY547=0,0,(AZ547-AY547)/AY547*100)</f>
        <v>0</v>
      </c>
      <c r="BK547" s="785">
        <f>IF(AZ547=0,0,(BA547-AZ547)/AZ547*100)</f>
        <v>0</v>
      </c>
      <c r="BL547" s="785">
        <f>IF(BA547=0,0,(BB547-BA547)/BA547*100)</f>
        <v>0</v>
      </c>
      <c r="BM547" s="785">
        <f>IF(BB547=0,0,(BC547-BB547)/BB547*100)</f>
        <v>0</v>
      </c>
      <c r="BN547" s="6290"/>
      <c r="BO547" s="6294" t="str">
        <f>IF(_xlfn.IFERROR(INDEX(Амортизация!$K$26:$L$223,MATCH($F547&amp;"komm",Амортизация!$K$26:$K$223,0),2),"")=0,"",_xlfn.IFERROR(INDEX(Амортизация!$K$26:$L$223,MATCH($F547&amp;"komm",Амортизация!$K$26:$K$223,0),2),""))</f>
        <v/>
      </c>
      <c r="BP547" s="6290"/>
      <c r="BQ547" s="706"/>
      <c r="BR547" s="706"/>
      <c r="BS547" s="1078" t="s">
        <v>1435</v>
      </c>
      <c r="BT547" s="1078"/>
      <c r="BU547" s="1078"/>
      <c r="BV547" s="713"/>
      <c r="BW547" s="713"/>
    </row>
    <row s="1656" customFormat="1" customHeight="1" ht="14.25">
      <c r="A548" s="1297"/>
      <c r="B548" s="434" cm="1" t="str">
        <f t="array" ref="B548:B548">B547</f>
        <v>true</v>
      </c>
      <c r="C548" s="103"/>
      <c r="D548" s="103"/>
      <c r="E548" s="626">
        <v>15</v>
      </c>
      <c r="F548" s="50" cm="1" t="str">
        <f t="array" ref="F548:F548">OFFSET(E548,-1,1)</f>
        <v>3</v>
      </c>
      <c r="G548" s="103"/>
      <c r="H548" s="103"/>
      <c r="I548" s="103" t="s">
        <v>659</v>
      </c>
      <c r="J548" s="103"/>
      <c r="K548" s="1297"/>
      <c r="L548" s="988" t="s">
        <v>673</v>
      </c>
      <c r="M548" s="103"/>
      <c r="N548" s="103"/>
      <c r="O548" s="103"/>
      <c r="P548" s="103"/>
      <c r="Q548" s="103"/>
      <c r="R548" s="103"/>
      <c r="S548" s="103"/>
      <c r="T548" s="468" cm="1" t="str">
        <f t="array" ref="T548:T548">T547</f>
        <v>true</v>
      </c>
      <c r="U548" s="103"/>
      <c r="V548" s="103"/>
      <c r="W548" s="103"/>
      <c r="X548" s="1559"/>
      <c r="Y548" s="1297"/>
      <c r="Z548" s="1529"/>
      <c r="AA548" s="1297"/>
      <c r="AB548" s="296" t="s">
        <v>794</v>
      </c>
      <c r="AC548" s="769" t="s">
        <v>2076</v>
      </c>
      <c r="AD548" s="296" t="s">
        <v>936</v>
      </c>
      <c r="AE548" s="6293">
        <f>_xlfn.SUMIFS('ИП + источники'!AF$27:AF$174,'ИП + источники'!$F$27:$F$174,$F548,'ИП + источники'!$AC$27:$AC$174,"Амортизационные отчисления")+_xlfn.SUMIFS('ИП + источники'!AF$27:AF$174,'ИП + источники'!$F$27:$F$174,$F548,'ИП + источники'!$AC$27:$AC$174,"погашение займов и кредитов из амортизации")</f>
        <v>7215.87</v>
      </c>
      <c r="AF548" s="6293">
        <f>_xlfn.SUMIFS('ИП + источники'!AG$27:AG$174,'ИП + источники'!$F$27:$F$174,$F548,'ИП + источники'!$AC$27:$AC$174,"Амортизационные отчисления")+_xlfn.SUMIFS('ИП + источники'!AG$27:AG$174,'ИП + источники'!$F$27:$F$174,$F548,'ИП + источники'!$AC$27:$AC$174,"погашение займов и кредитов из амортизации")</f>
        <v>7215.87</v>
      </c>
      <c r="AG548" s="6293">
        <f>_xlfn.SUMIFS('ИП + источники'!AH$27:AH$174,'ИП + источники'!$F$27:$F$174,$F548,'ИП + источники'!$AC$27:$AC$174,"Амортизационные отчисления")+_xlfn.SUMIFS('ИП + источники'!AH$27:AH$174,'ИП + источники'!$F$27:$F$174,$F548,'ИП + источники'!$AC$27:$AC$174,"погашение займов и кредитов из амортизации")</f>
        <v>7215.87</v>
      </c>
      <c r="AH548" s="1123">
        <f>AG548-AF548</f>
        <v>0</v>
      </c>
      <c r="AI548" s="6293">
        <f>_xlfn.SUMIFS('ИП + источники'!AJ$27:AJ$174,'ИП + источники'!$F$27:$F$174,$F548,'ИП + источники'!$AC$27:$AC$174,"Амортизационные отчисления")+_xlfn.SUMIFS('ИП + источники'!AJ$27:AJ$174,'ИП + источники'!$F$27:$F$174,$F548,'ИП + источники'!$AC$27:$AC$174,"погашение займов и кредитов из амортизации")</f>
        <v>7215.87</v>
      </c>
      <c r="AJ548" s="6293">
        <f>_xlfn.SUMIFS('ИП + источники'!AK$27:AK$174,'ИП + источники'!$F$27:$F$174,$F548,'ИП + источники'!$AC$27:$AC$174,"Амортизационные отчисления")+_xlfn.SUMIFS('ИП + источники'!AK$27:AK$174,'ИП + источники'!$F$27:$F$174,$F548,'ИП + источники'!$AC$27:$AC$174,"погашение займов и кредитов из амортизации")</f>
        <v>7215.87</v>
      </c>
      <c r="AK548" s="1260">
        <f>_xlfn.SUMIFS('ИП + источники'!AL$27:AL$174,'ИП + источники'!$F$27:$F$174,$F548,'ИП + источники'!$AC$27:$AC$174,"Амортизационные отчисления")+_xlfn.SUMIFS('ИП + источники'!AL$27:AL$174,'ИП + источники'!$F$27:$F$174,$F548,'ИП + источники'!$AC$27:$AC$174,"погашение займов и кредитов из амортизации")</f>
        <v>0</v>
      </c>
      <c r="AL548" s="1260">
        <f>_xlfn.SUMIFS('ИП + источники'!AM$27:AM$174,'ИП + источники'!$F$27:$F$174,$F548,'ИП + источники'!$AC$27:$AC$174,"Амортизационные отчисления")+_xlfn.SUMIFS('ИП + источники'!AM$27:AM$174,'ИП + источники'!$F$27:$F$174,$F548,'ИП + источники'!$AC$27:$AC$174,"погашение займов и кредитов из амортизации")</f>
        <v>0</v>
      </c>
      <c r="AM548" s="1260">
        <f>_xlfn.SUMIFS('ИП + источники'!AN$27:AN$174,'ИП + источники'!$F$27:$F$174,$F548,'ИП + источники'!$AC$27:$AC$174,"Амортизационные отчисления")+_xlfn.SUMIFS('ИП + источники'!AN$27:AN$174,'ИП + источники'!$F$27:$F$174,$F548,'ИП + источники'!$AC$27:$AC$174,"погашение займов и кредитов из амортизации")</f>
        <v>0</v>
      </c>
      <c r="AN548" s="1260">
        <f>_xlfn.SUMIFS('ИП + источники'!AO$27:AO$174,'ИП + источники'!$F$27:$F$174,$F548,'ИП + источники'!$AC$27:$AC$174,"Амортизационные отчисления")+_xlfn.SUMIFS('ИП + источники'!AO$27:AO$174,'ИП + источники'!$F$27:$F$174,$F548,'ИП + источники'!$AC$27:$AC$174,"погашение займов и кредитов из амортизации")</f>
        <v>0</v>
      </c>
      <c r="AO548" s="1260">
        <f>_xlfn.SUMIFS('ИП + источники'!AP$27:AP$174,'ИП + источники'!$F$27:$F$174,$F548,'ИП + источники'!$AC$27:$AC$174,"Амортизационные отчисления")+_xlfn.SUMIFS('ИП + источники'!AP$27:AP$174,'ИП + источники'!$F$27:$F$174,$F548,'ИП + источники'!$AC$27:$AC$174,"погашение займов и кредитов из амортизации")</f>
        <v>0</v>
      </c>
      <c r="AP548" s="1260">
        <f>_xlfn.SUMIFS('ИП + источники'!AQ$27:AQ$174,'ИП + источники'!$F$27:$F$174,$F548,'ИП + источники'!$AC$27:$AC$174,"Амортизационные отчисления")+_xlfn.SUMIFS('ИП + источники'!AQ$27:AQ$174,'ИП + источники'!$F$27:$F$174,$F548,'ИП + источники'!$AC$27:$AC$174,"погашение займов и кредитов из амортизации")</f>
        <v>0</v>
      </c>
      <c r="AQ548" s="1260">
        <f>_xlfn.SUMIFS('ИП + источники'!AR$27:AR$174,'ИП + источники'!$F$27:$F$174,$F548,'ИП + источники'!$AC$27:$AC$174,"Амортизационные отчисления")+_xlfn.SUMIFS('ИП + источники'!AR$27:AR$174,'ИП + источники'!$F$27:$F$174,$F548,'ИП + источники'!$AC$27:$AC$174,"погашение займов и кредитов из амортизации")</f>
        <v>0</v>
      </c>
      <c r="AR548" s="1260">
        <f>_xlfn.SUMIFS('ИП + источники'!AS$27:AS$174,'ИП + источники'!$F$27:$F$174,$F548,'ИП + источники'!$AC$27:$AC$174,"Амортизационные отчисления")+_xlfn.SUMIFS('ИП + источники'!AS$27:AS$174,'ИП + источники'!$F$27:$F$174,$F548,'ИП + источники'!$AC$27:$AC$174,"погашение займов и кредитов из амортизации")</f>
        <v>0</v>
      </c>
      <c r="AS548" s="1260">
        <f>_xlfn.SUMIFS('ИП + источники'!AT$27:AT$174,'ИП + источники'!$F$27:$F$174,$F548,'ИП + источники'!$AC$27:$AC$174,"Амортизационные отчисления")+_xlfn.SUMIFS('ИП + источники'!AT$27:AT$174,'ИП + источники'!$F$27:$F$174,$F548,'ИП + источники'!$AC$27:$AC$174,"погашение займов и кредитов из амортизации")</f>
        <v>0</v>
      </c>
      <c r="AT548" s="6293">
        <f>_xlfn.SUMIFS('ИП + источники'!AU$27:AU$174,'ИП + источники'!$F$27:$F$174,$F548,'ИП + источники'!$AC$27:$AC$174,"Амортизационные отчисления")+_xlfn.SUMIFS('ИП + источники'!AU$27:AU$174,'ИП + источники'!$F$27:$F$174,$F548,'ИП + источники'!$AC$27:$AC$174,"погашение займов и кредитов из амортизации")</f>
        <v>7215.87</v>
      </c>
      <c r="AU548" s="1260">
        <f>_xlfn.SUMIFS('ИП + источники'!AV$27:AV$174,'ИП + источники'!$F$27:$F$174,$F548,'ИП + источники'!$AC$27:$AC$174,"Амортизационные отчисления")+_xlfn.SUMIFS('ИП + источники'!AV$27:AV$174,'ИП + источники'!$F$27:$F$174,$F548,'ИП + источники'!$AC$27:$AC$174,"погашение займов и кредитов из амортизации")</f>
        <v>0</v>
      </c>
      <c r="AV548" s="1260">
        <f>_xlfn.SUMIFS('ИП + источники'!AW$27:AW$174,'ИП + источники'!$F$27:$F$174,$F548,'ИП + источники'!$AC$27:$AC$174,"Амортизационные отчисления")+_xlfn.SUMIFS('ИП + источники'!AW$27:AW$174,'ИП + источники'!$F$27:$F$174,$F548,'ИП + источники'!$AC$27:$AC$174,"погашение займов и кредитов из амортизации")</f>
        <v>0</v>
      </c>
      <c r="AW548" s="1260">
        <f>_xlfn.SUMIFS('ИП + источники'!AX$27:AX$174,'ИП + источники'!$F$27:$F$174,$F548,'ИП + источники'!$AC$27:$AC$174,"Амортизационные отчисления")+_xlfn.SUMIFS('ИП + источники'!AX$27:AX$174,'ИП + источники'!$F$27:$F$174,$F548,'ИП + источники'!$AC$27:$AC$174,"погашение займов и кредитов из амортизации")</f>
        <v>0</v>
      </c>
      <c r="AX548" s="1260">
        <f>_xlfn.SUMIFS('ИП + источники'!AY$27:AY$174,'ИП + источники'!$F$27:$F$174,$F548,'ИП + источники'!$AC$27:$AC$174,"Амортизационные отчисления")+_xlfn.SUMIFS('ИП + источники'!AY$27:AY$174,'ИП + источники'!$F$27:$F$174,$F548,'ИП + источники'!$AC$27:$AC$174,"погашение займов и кредитов из амортизации")</f>
        <v>0</v>
      </c>
      <c r="AY548" s="1260">
        <f>_xlfn.SUMIFS('ИП + источники'!AZ$27:AZ$174,'ИП + источники'!$F$27:$F$174,$F548,'ИП + источники'!$AC$27:$AC$174,"Амортизационные отчисления")+_xlfn.SUMIFS('ИП + источники'!AZ$27:AZ$174,'ИП + источники'!$F$27:$F$174,$F548,'ИП + источники'!$AC$27:$AC$174,"погашение займов и кредитов из амортизации")</f>
        <v>0</v>
      </c>
      <c r="AZ548" s="1260">
        <f>_xlfn.SUMIFS('ИП + источники'!BA$27:BA$174,'ИП + источники'!$F$27:$F$174,$F548,'ИП + источники'!$AC$27:$AC$174,"Амортизационные отчисления")+_xlfn.SUMIFS('ИП + источники'!BA$27:BA$174,'ИП + источники'!$F$27:$F$174,$F548,'ИП + источники'!$AC$27:$AC$174,"погашение займов и кредитов из амортизации")</f>
        <v>0</v>
      </c>
      <c r="BA548" s="1260">
        <f>_xlfn.SUMIFS('ИП + источники'!BB$27:BB$174,'ИП + источники'!$F$27:$F$174,$F548,'ИП + источники'!$AC$27:$AC$174,"Амортизационные отчисления")+_xlfn.SUMIFS('ИП + источники'!BB$27:BB$174,'ИП + источники'!$F$27:$F$174,$F548,'ИП + источники'!$AC$27:$AC$174,"погашение займов и кредитов из амортизации")</f>
        <v>0</v>
      </c>
      <c r="BB548" s="1260">
        <f>_xlfn.SUMIFS('ИП + источники'!BC$27:BC$174,'ИП + источники'!$F$27:$F$174,$F548,'ИП + источники'!$AC$27:$AC$174,"Амортизационные отчисления")+_xlfn.SUMIFS('ИП + источники'!BC$27:BC$174,'ИП + источники'!$F$27:$F$174,$F548,'ИП + источники'!$AC$27:$AC$174,"погашение займов и кредитов из амортизации")</f>
        <v>0</v>
      </c>
      <c r="BC548" s="1260">
        <f>_xlfn.SUMIFS('ИП + источники'!BD$27:BD$174,'ИП + источники'!$F$27:$F$174,$F548,'ИП + источники'!$AC$27:$AC$174,"Амортизационные отчисления")+_xlfn.SUMIFS('ИП + источники'!BD$27:BD$174,'ИП + источники'!$F$27:$F$174,$F548,'ИП + источники'!$AC$27:$AC$174,"погашение займов и кредитов из амортизации")</f>
        <v>0</v>
      </c>
      <c r="BD548" s="1123">
        <f>IF(AI548=0,0,(AT548-AI548)/AI548*100)</f>
        <v>0</v>
      </c>
      <c r="BE548" s="1123">
        <f>IF(AT548=0,0,(AU548-AT548)/AT548*100)</f>
        <v>-100</v>
      </c>
      <c r="BF548" s="1123">
        <f>IF(AU548=0,0,(AV548-AU548)/AU548*100)</f>
        <v>0</v>
      </c>
      <c r="BG548" s="1123">
        <f>IF(AV548=0,0,(AW548-AV548)/AV548*100)</f>
        <v>0</v>
      </c>
      <c r="BH548" s="1123">
        <f>IF(AW548=0,0,(AX548-AW548)/AW548*100)</f>
        <v>0</v>
      </c>
      <c r="BI548" s="1123">
        <f>IF(AX548=0,0,(AY548-AX548)/AX548*100)</f>
        <v>0</v>
      </c>
      <c r="BJ548" s="1123">
        <f>IF(AY548=0,0,(AZ548-AY548)/AY548*100)</f>
        <v>0</v>
      </c>
      <c r="BK548" s="1123">
        <f>IF(AZ548=0,0,(BA548-AZ548)/AZ548*100)</f>
        <v>0</v>
      </c>
      <c r="BL548" s="1123">
        <f>IF(BA548=0,0,(BB548-BA548)/BA548*100)</f>
        <v>0</v>
      </c>
      <c r="BM548" s="1123">
        <f>IF(BB548=0,0,(BC548-BB548)/BB548*100)</f>
        <v>0</v>
      </c>
      <c r="BN548" s="6290"/>
      <c r="BO548" s="6290"/>
      <c r="BP548" s="6290"/>
      <c r="BQ548" s="1297"/>
      <c r="BR548" s="1297"/>
      <c r="BS548" s="1072" t="s">
        <v>2077</v>
      </c>
      <c r="BT548" s="1072"/>
      <c r="BU548" s="1072"/>
      <c r="BV548" s="987"/>
      <c r="BW548" s="987"/>
    </row>
    <row s="6469" customFormat="1" customHeight="1" ht="20.25">
      <c r="A549" s="706"/>
      <c r="B549" s="434" cm="1" t="str">
        <f t="array" ref="B549:B549">B548</f>
        <v>true</v>
      </c>
      <c r="C549" s="105"/>
      <c r="D549" s="105"/>
      <c r="E549" s="833">
        <v>21</v>
      </c>
      <c r="F549" s="50" cm="1" t="str">
        <f t="array" ref="F549:F549">OFFSET(E549,-1,1)</f>
        <v>3</v>
      </c>
      <c r="G549" s="103" t="s">
        <v>1730</v>
      </c>
      <c r="H549" s="103"/>
      <c r="I549" s="103" t="s">
        <v>347</v>
      </c>
      <c r="J549" s="105"/>
      <c r="K549" s="154"/>
      <c r="L549" s="993" t="s">
        <v>685</v>
      </c>
      <c r="M549" s="105"/>
      <c r="N549" s="105"/>
      <c r="O549" s="105"/>
      <c r="P549" s="105"/>
      <c r="Q549" s="105"/>
      <c r="R549" s="105"/>
      <c r="S549" s="105"/>
      <c r="T549" s="468" cm="1" t="str">
        <f t="array" ref="T549:T549">T548</f>
        <v>true</v>
      </c>
      <c r="U549" s="105"/>
      <c r="V549" s="105"/>
      <c r="W549" s="105"/>
      <c r="X549" s="1559"/>
      <c r="Y549" s="706"/>
      <c r="Z549" s="1529"/>
      <c r="AA549" s="706"/>
      <c r="AB549" s="207" t="s">
        <v>454</v>
      </c>
      <c r="AC549" s="208" t="s">
        <v>1730</v>
      </c>
      <c r="AD549" s="230" t="s">
        <v>936</v>
      </c>
      <c r="AE549" s="209">
        <f>AE550+AE551+AE552+AE553</f>
        <v>16788.33</v>
      </c>
      <c r="AF549" s="209">
        <f>AF550+AF551+AF552+AF553</f>
        <v>16788.33</v>
      </c>
      <c r="AG549" s="209">
        <f>AG550+AG551+AG552+AG553</f>
        <v>16788.33</v>
      </c>
      <c r="AH549" s="209">
        <f>AG549-AF549</f>
        <v>0</v>
      </c>
      <c r="AI549" s="209">
        <f>AI550+AI551+AI552+AI553</f>
        <v>26193.53</v>
      </c>
      <c r="AJ549" s="209">
        <f>AJ550+AJ551+AJ552+AJ553</f>
        <v>37808.43</v>
      </c>
      <c r="AK549" s="209">
        <f>AK550+AK551+AK552+AK553</f>
        <v>0</v>
      </c>
      <c r="AL549" s="209">
        <f>AL550+AL551+AL552+AL553</f>
        <v>0</v>
      </c>
      <c r="AM549" s="209">
        <f>AM550+AM551+AM552+AM553</f>
        <v>0</v>
      </c>
      <c r="AN549" s="209">
        <f>AN550+AN551+AN552+AN553</f>
        <v>0</v>
      </c>
      <c r="AO549" s="209">
        <f>AO550+AO551+AO552+AO553</f>
        <v>0</v>
      </c>
      <c r="AP549" s="209">
        <f>AP550+AP551+AP552+AP553</f>
        <v>0</v>
      </c>
      <c r="AQ549" s="209">
        <f>AQ550+AQ551+AQ552+AQ553</f>
        <v>0</v>
      </c>
      <c r="AR549" s="209">
        <f>AR550+AR551+AR552+AR553</f>
        <v>0</v>
      </c>
      <c r="AS549" s="209">
        <f>AS550+AS551+AS552+AS553</f>
        <v>0</v>
      </c>
      <c r="AT549" s="209">
        <f>AT550+AT551+AT552+AT553</f>
        <v>37808.43</v>
      </c>
      <c r="AU549" s="209">
        <f>AU550+AU551+AU552+AU553</f>
        <v>0</v>
      </c>
      <c r="AV549" s="209">
        <f>AV550+AV551+AV552+AV553</f>
        <v>0</v>
      </c>
      <c r="AW549" s="209">
        <f>AW550+AW551+AW552+AW553</f>
        <v>0</v>
      </c>
      <c r="AX549" s="209">
        <f>AX550+AX551+AX552+AX553</f>
        <v>0</v>
      </c>
      <c r="AY549" s="209">
        <f>AY550+AY551+AY552+AY553</f>
        <v>0</v>
      </c>
      <c r="AZ549" s="209">
        <f>AZ550+AZ551+AZ552+AZ553</f>
        <v>0</v>
      </c>
      <c r="BA549" s="209">
        <f>BA550+BA551+BA552+BA553</f>
        <v>0</v>
      </c>
      <c r="BB549" s="209">
        <f>BB550+BB551+BB552+BB553</f>
        <v>0</v>
      </c>
      <c r="BC549" s="209">
        <f>BC550+BC551+BC552+BC553</f>
        <v>0</v>
      </c>
      <c r="BD549" s="785">
        <f>IF(AI549=0,0,(AT549-AI549)/AI549*100)</f>
        <v>44.3426296493829</v>
      </c>
      <c r="BE549" s="785">
        <f>IF(AT549=0,0,(AU549-AT549)/AT549*100)</f>
        <v>-100</v>
      </c>
      <c r="BF549" s="785">
        <f>IF(AU549=0,0,(AV549-AU549)/AU549*100)</f>
        <v>0</v>
      </c>
      <c r="BG549" s="785">
        <f>IF(AV549=0,0,(AW549-AV549)/AV549*100)</f>
        <v>0</v>
      </c>
      <c r="BH549" s="785">
        <f>IF(AW549=0,0,(AX549-AW549)/AW549*100)</f>
        <v>0</v>
      </c>
      <c r="BI549" s="785">
        <f>IF(AX549=0,0,(AY549-AX549)/AX549*100)</f>
        <v>0</v>
      </c>
      <c r="BJ549" s="785">
        <f>IF(AY549=0,0,(AZ549-AY549)/AY549*100)</f>
        <v>0</v>
      </c>
      <c r="BK549" s="785">
        <f>IF(AZ549=0,0,(BA549-AZ549)/AZ549*100)</f>
        <v>0</v>
      </c>
      <c r="BL549" s="785">
        <f>IF(BA549=0,0,(BB549-BA549)/BA549*100)</f>
        <v>0</v>
      </c>
      <c r="BM549" s="785">
        <f>IF(BB549=0,0,(BC549-BB549)/BB549*100)</f>
        <v>0</v>
      </c>
      <c r="BN549" s="6290"/>
      <c r="BO549" s="6290"/>
      <c r="BP549" s="6290"/>
      <c r="BQ549" s="706"/>
      <c r="BR549" s="706"/>
      <c r="BS549" s="1071" t="s">
        <v>1734</v>
      </c>
      <c r="BT549" s="1078"/>
      <c r="BU549" s="1078"/>
      <c r="BV549" s="713"/>
      <c r="BW549" s="713"/>
    </row>
    <row s="1656" customFormat="1" customHeight="1" ht="14.25">
      <c r="A550" s="1297"/>
      <c r="B550" s="434" cm="1" t="str">
        <f t="array" ref="B550:B550">B549</f>
        <v>true</v>
      </c>
      <c r="C550" s="103"/>
      <c r="D550" s="103"/>
      <c r="E550" s="626">
        <v>15</v>
      </c>
      <c r="F550" s="50" cm="1" t="str">
        <f t="array" ref="F550:F550">OFFSET(E550,-1,1)</f>
        <v>3</v>
      </c>
      <c r="G550" s="103"/>
      <c r="H550" s="103"/>
      <c r="I550" s="103" t="s">
        <v>673</v>
      </c>
      <c r="J550" s="103"/>
      <c r="K550" s="1297"/>
      <c r="L550" s="988"/>
      <c r="M550" s="103"/>
      <c r="N550" s="103"/>
      <c r="O550" s="103"/>
      <c r="P550" s="103"/>
      <c r="Q550" s="103"/>
      <c r="R550" s="103"/>
      <c r="S550" s="103"/>
      <c r="T550" s="468" cm="1" t="str">
        <f t="array" ref="T550:T550">T549</f>
        <v>true</v>
      </c>
      <c r="U550" s="103"/>
      <c r="V550" s="103"/>
      <c r="W550" s="103"/>
      <c r="X550" s="1559"/>
      <c r="Y550" s="1297"/>
      <c r="Z550" s="1529"/>
      <c r="AA550" s="1297"/>
      <c r="AB550" s="296" t="s">
        <v>801</v>
      </c>
      <c r="AC550" s="769" t="s">
        <v>2370</v>
      </c>
      <c r="AD550" s="296" t="s">
        <v>936</v>
      </c>
      <c r="AE550" s="6293">
        <f>_xlfn.SUMIFS('ИП + источники'!AF$27:AF$174,'ИП + источники'!$F$27:$F$174,$F550,'ИП + источники'!$AC$27:$AC$174,"погашение займов и кредитов из нормативной прибыли")</f>
        <v>0</v>
      </c>
      <c r="AF550" s="6293">
        <f>_xlfn.SUMIFS('ИП + источники'!AG$27:AG$174,'ИП + источники'!$F$27:$F$174,$F550,'ИП + источники'!$AC$27:$AC$174,"погашение займов и кредитов из нормативной прибыли")</f>
        <v>0</v>
      </c>
      <c r="AG550" s="6293">
        <f>_xlfn.SUMIFS('ИП + источники'!AH$27:AH$174,'ИП + источники'!$F$27:$F$174,$F550,'ИП + источники'!$AC$27:$AC$174,"погашение займов и кредитов из нормативной прибыли")</f>
        <v>0</v>
      </c>
      <c r="AH550" s="1123">
        <f>AG550-AF550</f>
        <v>0</v>
      </c>
      <c r="AI550" s="6293">
        <f>_xlfn.SUMIFS('ИП + источники'!AJ$27:AJ$174,'ИП + источники'!$F$27:$F$174,$F550,'ИП + источники'!$AC$27:$AC$174,"погашение займов и кредитов из нормативной прибыли")</f>
        <v>0</v>
      </c>
      <c r="AJ550" s="6293">
        <f>_xlfn.SUMIFS('ИП + источники'!AK$27:AK$174,'ИП + источники'!$F$27:$F$174,$F550,'ИП + источники'!$AC$27:$AC$174,"погашение займов и кредитов из нормативной прибыли")</f>
        <v>0</v>
      </c>
      <c r="AK550" s="1260">
        <f>_xlfn.SUMIFS('ИП + источники'!AL$27:AL$174,'ИП + источники'!$F$27:$F$174,$F550,'ИП + источники'!$AC$27:$AC$174,"погашение займов и кредитов из нормативной прибыли")</f>
        <v>0</v>
      </c>
      <c r="AL550" s="1260">
        <f>_xlfn.SUMIFS('ИП + источники'!AM$27:AM$174,'ИП + источники'!$F$27:$F$174,$F550,'ИП + источники'!$AC$27:$AC$174,"погашение займов и кредитов из нормативной прибыли")</f>
        <v>0</v>
      </c>
      <c r="AM550" s="1260">
        <f>_xlfn.SUMIFS('ИП + источники'!AN$27:AN$174,'ИП + источники'!$F$27:$F$174,$F550,'ИП + источники'!$AC$27:$AC$174,"погашение займов и кредитов из нормативной прибыли")</f>
        <v>0</v>
      </c>
      <c r="AN550" s="1260">
        <f>_xlfn.SUMIFS('ИП + источники'!AO$27:AO$174,'ИП + источники'!$F$27:$F$174,$F550,'ИП + источники'!$AC$27:$AC$174,"погашение займов и кредитов из нормативной прибыли")</f>
        <v>0</v>
      </c>
      <c r="AO550" s="1260">
        <f>_xlfn.SUMIFS('ИП + источники'!AP$27:AP$174,'ИП + источники'!$F$27:$F$174,$F550,'ИП + источники'!$AC$27:$AC$174,"погашение займов и кредитов из нормативной прибыли")</f>
        <v>0</v>
      </c>
      <c r="AP550" s="1260">
        <f>_xlfn.SUMIFS('ИП + источники'!AQ$27:AQ$174,'ИП + источники'!$F$27:$F$174,$F550,'ИП + источники'!$AC$27:$AC$174,"погашение займов и кредитов из нормативной прибыли")</f>
        <v>0</v>
      </c>
      <c r="AQ550" s="1260">
        <f>_xlfn.SUMIFS('ИП + источники'!AR$27:AR$174,'ИП + источники'!$F$27:$F$174,$F550,'ИП + источники'!$AC$27:$AC$174,"погашение займов и кредитов из нормативной прибыли")</f>
        <v>0</v>
      </c>
      <c r="AR550" s="1260">
        <f>_xlfn.SUMIFS('ИП + источники'!AS$27:AS$174,'ИП + источники'!$F$27:$F$174,$F550,'ИП + источники'!$AC$27:$AC$174,"погашение займов и кредитов из нормативной прибыли")</f>
        <v>0</v>
      </c>
      <c r="AS550" s="1260">
        <f>_xlfn.SUMIFS('ИП + источники'!AT$27:AT$174,'ИП + источники'!$F$27:$F$174,$F550,'ИП + источники'!$AC$27:$AC$174,"погашение займов и кредитов из нормативной прибыли")</f>
        <v>0</v>
      </c>
      <c r="AT550" s="6293">
        <f>_xlfn.SUMIFS('ИП + источники'!AU$27:AU$174,'ИП + источники'!$F$27:$F$174,$F550,'ИП + источники'!$AC$27:$AC$174,"погашение займов и кредитов из нормативной прибыли")</f>
        <v>0</v>
      </c>
      <c r="AU550" s="1260">
        <f>_xlfn.SUMIFS('ИП + источники'!AV$27:AV$174,'ИП + источники'!$F$27:$F$174,$F550,'ИП + источники'!$AC$27:$AC$174,"погашение займов и кредитов из нормативной прибыли")</f>
        <v>0</v>
      </c>
      <c r="AV550" s="1260">
        <f>_xlfn.SUMIFS('ИП + источники'!AW$27:AW$174,'ИП + источники'!$F$27:$F$174,$F550,'ИП + источники'!$AC$27:$AC$174,"погашение займов и кредитов из нормативной прибыли")</f>
        <v>0</v>
      </c>
      <c r="AW550" s="1260">
        <f>_xlfn.SUMIFS('ИП + источники'!AX$27:AX$174,'ИП + источники'!$F$27:$F$174,$F550,'ИП + источники'!$AC$27:$AC$174,"погашение займов и кредитов из нормативной прибыли")</f>
        <v>0</v>
      </c>
      <c r="AX550" s="1260">
        <f>_xlfn.SUMIFS('ИП + источники'!AY$27:AY$174,'ИП + источники'!$F$27:$F$174,$F550,'ИП + источники'!$AC$27:$AC$174,"погашение займов и кредитов из нормативной прибыли")</f>
        <v>0</v>
      </c>
      <c r="AY550" s="1260">
        <f>_xlfn.SUMIFS('ИП + источники'!AZ$27:AZ$174,'ИП + источники'!$F$27:$F$174,$F550,'ИП + источники'!$AC$27:$AC$174,"погашение займов и кредитов из нормативной прибыли")</f>
        <v>0</v>
      </c>
      <c r="AZ550" s="1260">
        <f>_xlfn.SUMIFS('ИП + источники'!BA$27:BA$174,'ИП + источники'!$F$27:$F$174,$F550,'ИП + источники'!$AC$27:$AC$174,"погашение займов и кредитов из нормативной прибыли")</f>
        <v>0</v>
      </c>
      <c r="BA550" s="1260">
        <f>_xlfn.SUMIFS('ИП + источники'!BB$27:BB$174,'ИП + источники'!$F$27:$F$174,$F550,'ИП + источники'!$AC$27:$AC$174,"погашение займов и кредитов из нормативной прибыли")</f>
        <v>0</v>
      </c>
      <c r="BB550" s="1260">
        <f>_xlfn.SUMIFS('ИП + источники'!BC$27:BC$174,'ИП + источники'!$F$27:$F$174,$F550,'ИП + источники'!$AC$27:$AC$174,"погашение займов и кредитов из нормативной прибыли")</f>
        <v>0</v>
      </c>
      <c r="BC550" s="1260">
        <f>_xlfn.SUMIFS('ИП + источники'!BD$27:BD$174,'ИП + источники'!$F$27:$F$174,$F550,'ИП + источники'!$AC$27:$AC$174,"погашение займов и кредитов из нормативной прибыли")</f>
        <v>0</v>
      </c>
      <c r="BD550" s="1123">
        <f>IF(AI550=0,0,(AT550-AI550)/AI550*100)</f>
        <v>0</v>
      </c>
      <c r="BE550" s="1123">
        <f>IF(AT550=0,0,(AU550-AT550)/AT550*100)</f>
        <v>0</v>
      </c>
      <c r="BF550" s="1123">
        <f>IF(AU550=0,0,(AV550-AU550)/AU550*100)</f>
        <v>0</v>
      </c>
      <c r="BG550" s="1123">
        <f>IF(AV550=0,0,(AW550-AV550)/AV550*100)</f>
        <v>0</v>
      </c>
      <c r="BH550" s="1123">
        <f>IF(AW550=0,0,(AX550-AW550)/AW550*100)</f>
        <v>0</v>
      </c>
      <c r="BI550" s="1123">
        <f>IF(AX550=0,0,(AY550-AX550)/AX550*100)</f>
        <v>0</v>
      </c>
      <c r="BJ550" s="1123">
        <f>IF(AY550=0,0,(AZ550-AY550)/AY550*100)</f>
        <v>0</v>
      </c>
      <c r="BK550" s="1123">
        <f>IF(AZ550=0,0,(BA550-AZ550)/AZ550*100)</f>
        <v>0</v>
      </c>
      <c r="BL550" s="1123">
        <f>IF(BA550=0,0,(BB550-BA550)/BA550*100)</f>
        <v>0</v>
      </c>
      <c r="BM550" s="1123">
        <f>IF(BB550=0,0,(BC550-BB550)/BB550*100)</f>
        <v>0</v>
      </c>
      <c r="BN550" s="6290"/>
      <c r="BO550" s="6294" t="str">
        <f>IF(_xlfn.IFERROR(INDEX('ИП + источники'!$K$57:$L$174,MATCH($F550&amp;"2komm",'ИП + источники'!$K$57:$K$174,0),2),"")=0,"",_xlfn.IFERROR(INDEX('ИП + источники'!$K$57:$L$174,MATCH($F550&amp;"2komm",'ИП + источники'!$K$57:$K$174,0),2),""))</f>
        <v/>
      </c>
      <c r="BP550" s="6290"/>
      <c r="BQ550" s="1297"/>
      <c r="BR550" s="1297"/>
      <c r="BS550" s="1072" t="s">
        <v>2371</v>
      </c>
      <c r="BT550" s="1072"/>
      <c r="BU550" s="1072"/>
      <c r="BV550" s="987"/>
      <c r="BW550" s="987"/>
    </row>
    <row s="1656" customFormat="1" customHeight="1" ht="14.25">
      <c r="A551" s="1297"/>
      <c r="B551" s="434" cm="1" t="str">
        <f t="array" ref="B551:B551">B550</f>
        <v>true</v>
      </c>
      <c r="C551" s="103"/>
      <c r="D551" s="103"/>
      <c r="E551" s="626">
        <v>15</v>
      </c>
      <c r="F551" s="50" cm="1" t="str">
        <f t="array" ref="F551:F551">OFFSET(E551,-1,1)</f>
        <v>3</v>
      </c>
      <c r="G551" s="103"/>
      <c r="H551" s="103"/>
      <c r="I551" s="103" t="s">
        <v>677</v>
      </c>
      <c r="J551" s="103"/>
      <c r="K551" s="1297"/>
      <c r="L551" s="988"/>
      <c r="M551" s="103"/>
      <c r="N551" s="103"/>
      <c r="O551" s="103"/>
      <c r="P551" s="103"/>
      <c r="Q551" s="103"/>
      <c r="R551" s="103"/>
      <c r="S551" s="103"/>
      <c r="T551" s="468" cm="1" t="str">
        <f t="array" ref="T551:T551">T550</f>
        <v>true</v>
      </c>
      <c r="U551" s="103"/>
      <c r="V551" s="103"/>
      <c r="W551" s="103"/>
      <c r="X551" s="1559"/>
      <c r="Y551" s="1297"/>
      <c r="Z551" s="1529"/>
      <c r="AA551" s="1297"/>
      <c r="AB551" s="296" t="s">
        <v>804</v>
      </c>
      <c r="AC551" s="769" t="s">
        <v>2372</v>
      </c>
      <c r="AD551" s="296" t="s">
        <v>936</v>
      </c>
      <c r="AE551" s="6293">
        <f>_xlfn.SUMIFS('ИП + источники'!AF$27:AF$174,'ИП + источники'!$F$27:$F$174,$F551,'ИП + источники'!$AC$27:$AC$174,"уплата процентов по кредитам из нормативной прибыли")</f>
        <v>0</v>
      </c>
      <c r="AF551" s="6293">
        <f>_xlfn.SUMIFS('ИП + источники'!AG$27:AG$174,'ИП + источники'!$F$27:$F$174,$F551,'ИП + источники'!$AC$27:$AC$174,"уплата процентов по кредитам из нормативной прибыли")</f>
        <v>0</v>
      </c>
      <c r="AG551" s="6293">
        <f>_xlfn.SUMIFS('ИП + источники'!AH$27:AH$174,'ИП + источники'!$F$27:$F$174,$F551,'ИП + источники'!$AC$27:$AC$174,"уплата процентов по кредитам из нормативной прибыли")</f>
        <v>0</v>
      </c>
      <c r="AH551" s="1123">
        <f>AG551-AF551</f>
        <v>0</v>
      </c>
      <c r="AI551" s="6293">
        <f>_xlfn.SUMIFS('ИП + источники'!AJ$27:AJ$174,'ИП + источники'!$F$27:$F$174,$F551,'ИП + источники'!$AC$27:$AC$174,"уплата процентов по кредитам из нормативной прибыли")</f>
        <v>0</v>
      </c>
      <c r="AJ551" s="6293">
        <f>_xlfn.SUMIFS('ИП + источники'!AK$27:AK$174,'ИП + источники'!$F$27:$F$174,$F551,'ИП + источники'!$AC$27:$AC$174,"уплата процентов по кредитам из нормативной прибыли")</f>
        <v>0</v>
      </c>
      <c r="AK551" s="1260">
        <f>_xlfn.SUMIFS('ИП + источники'!AL$27:AL$174,'ИП + источники'!$F$27:$F$174,$F551,'ИП + источники'!$AC$27:$AC$174,"уплата процентов по кредитам из нормативной прибыли")</f>
        <v>0</v>
      </c>
      <c r="AL551" s="1260">
        <f>_xlfn.SUMIFS('ИП + источники'!AM$27:AM$174,'ИП + источники'!$F$27:$F$174,$F551,'ИП + источники'!$AC$27:$AC$174,"уплата процентов по кредитам из нормативной прибыли")</f>
        <v>0</v>
      </c>
      <c r="AM551" s="1260">
        <f>_xlfn.SUMIFS('ИП + источники'!AN$27:AN$174,'ИП + источники'!$F$27:$F$174,$F551,'ИП + источники'!$AC$27:$AC$174,"уплата процентов по кредитам из нормативной прибыли")</f>
        <v>0</v>
      </c>
      <c r="AN551" s="1260">
        <f>_xlfn.SUMIFS('ИП + источники'!AO$27:AO$174,'ИП + источники'!$F$27:$F$174,$F551,'ИП + источники'!$AC$27:$AC$174,"уплата процентов по кредитам из нормативной прибыли")</f>
        <v>0</v>
      </c>
      <c r="AO551" s="1260">
        <f>_xlfn.SUMIFS('ИП + источники'!AP$27:AP$174,'ИП + источники'!$F$27:$F$174,$F551,'ИП + источники'!$AC$27:$AC$174,"уплата процентов по кредитам из нормативной прибыли")</f>
        <v>0</v>
      </c>
      <c r="AP551" s="1260">
        <f>_xlfn.SUMIFS('ИП + источники'!AQ$27:AQ$174,'ИП + источники'!$F$27:$F$174,$F551,'ИП + источники'!$AC$27:$AC$174,"уплата процентов по кредитам из нормативной прибыли")</f>
        <v>0</v>
      </c>
      <c r="AQ551" s="1260">
        <f>_xlfn.SUMIFS('ИП + источники'!AR$27:AR$174,'ИП + источники'!$F$27:$F$174,$F551,'ИП + источники'!$AC$27:$AC$174,"уплата процентов по кредитам из нормативной прибыли")</f>
        <v>0</v>
      </c>
      <c r="AR551" s="1260">
        <f>_xlfn.SUMIFS('ИП + источники'!AS$27:AS$174,'ИП + источники'!$F$27:$F$174,$F551,'ИП + источники'!$AC$27:$AC$174,"уплата процентов по кредитам из нормативной прибыли")</f>
        <v>0</v>
      </c>
      <c r="AS551" s="1260">
        <f>_xlfn.SUMIFS('ИП + источники'!AT$27:AT$174,'ИП + источники'!$F$27:$F$174,$F551,'ИП + источники'!$AC$27:$AC$174,"уплата процентов по кредитам из нормативной прибыли")</f>
        <v>0</v>
      </c>
      <c r="AT551" s="6293">
        <f>_xlfn.SUMIFS('ИП + источники'!AU$27:AU$174,'ИП + источники'!$F$27:$F$174,$F551,'ИП + источники'!$AC$27:$AC$174,"уплата процентов по кредитам из нормативной прибыли")</f>
        <v>0</v>
      </c>
      <c r="AU551" s="1260">
        <f>_xlfn.SUMIFS('ИП + источники'!AV$27:AV$174,'ИП + источники'!$F$27:$F$174,$F551,'ИП + источники'!$AC$27:$AC$174,"уплата процентов по кредитам из нормативной прибыли")</f>
        <v>0</v>
      </c>
      <c r="AV551" s="1260">
        <f>_xlfn.SUMIFS('ИП + источники'!AW$27:AW$174,'ИП + источники'!$F$27:$F$174,$F551,'ИП + источники'!$AC$27:$AC$174,"уплата процентов по кредитам из нормативной прибыли")</f>
        <v>0</v>
      </c>
      <c r="AW551" s="1260">
        <f>_xlfn.SUMIFS('ИП + источники'!AX$27:AX$174,'ИП + источники'!$F$27:$F$174,$F551,'ИП + источники'!$AC$27:$AC$174,"уплата процентов по кредитам из нормативной прибыли")</f>
        <v>0</v>
      </c>
      <c r="AX551" s="1260">
        <f>_xlfn.SUMIFS('ИП + источники'!AY$27:AY$174,'ИП + источники'!$F$27:$F$174,$F551,'ИП + источники'!$AC$27:$AC$174,"уплата процентов по кредитам из нормативной прибыли")</f>
        <v>0</v>
      </c>
      <c r="AY551" s="1260">
        <f>_xlfn.SUMIFS('ИП + источники'!AZ$27:AZ$174,'ИП + источники'!$F$27:$F$174,$F551,'ИП + источники'!$AC$27:$AC$174,"уплата процентов по кредитам из нормативной прибыли")</f>
        <v>0</v>
      </c>
      <c r="AZ551" s="1260">
        <f>_xlfn.SUMIFS('ИП + источники'!BA$27:BA$174,'ИП + источники'!$F$27:$F$174,$F551,'ИП + источники'!$AC$27:$AC$174,"уплата процентов по кредитам из нормативной прибыли")</f>
        <v>0</v>
      </c>
      <c r="BA551" s="1260">
        <f>_xlfn.SUMIFS('ИП + источники'!BB$27:BB$174,'ИП + источники'!$F$27:$F$174,$F551,'ИП + источники'!$AC$27:$AC$174,"уплата процентов по кредитам из нормативной прибыли")</f>
        <v>0</v>
      </c>
      <c r="BB551" s="1260">
        <f>_xlfn.SUMIFS('ИП + источники'!BC$27:BC$174,'ИП + источники'!$F$27:$F$174,$F551,'ИП + источники'!$AC$27:$AC$174,"уплата процентов по кредитам из нормативной прибыли")</f>
        <v>0</v>
      </c>
      <c r="BC551" s="1260">
        <f>_xlfn.SUMIFS('ИП + источники'!BD$27:BD$174,'ИП + источники'!$F$27:$F$174,$F551,'ИП + источники'!$AC$27:$AC$174,"уплата процентов по кредитам из нормативной прибыли")</f>
        <v>0</v>
      </c>
      <c r="BD551" s="1123">
        <f>IF(AI551=0,0,(AT551-AI551)/AI551*100)</f>
        <v>0</v>
      </c>
      <c r="BE551" s="1123">
        <f>IF(AT551=0,0,(AU551-AT551)/AT551*100)</f>
        <v>0</v>
      </c>
      <c r="BF551" s="1123">
        <f>IF(AU551=0,0,(AV551-AU551)/AU551*100)</f>
        <v>0</v>
      </c>
      <c r="BG551" s="1123">
        <f>IF(AV551=0,0,(AW551-AV551)/AV551*100)</f>
        <v>0</v>
      </c>
      <c r="BH551" s="1123">
        <f>IF(AW551=0,0,(AX551-AW551)/AW551*100)</f>
        <v>0</v>
      </c>
      <c r="BI551" s="1123">
        <f>IF(AX551=0,0,(AY551-AX551)/AX551*100)</f>
        <v>0</v>
      </c>
      <c r="BJ551" s="1123">
        <f>IF(AY551=0,0,(AZ551-AY551)/AY551*100)</f>
        <v>0</v>
      </c>
      <c r="BK551" s="1123">
        <f>IF(AZ551=0,0,(BA551-AZ551)/AZ551*100)</f>
        <v>0</v>
      </c>
      <c r="BL551" s="1123">
        <f>IF(BA551=0,0,(BB551-BA551)/BA551*100)</f>
        <v>0</v>
      </c>
      <c r="BM551" s="1123">
        <f>IF(BB551=0,0,(BC551-BB551)/BB551*100)</f>
        <v>0</v>
      </c>
      <c r="BN551" s="6290"/>
      <c r="BO551" s="6294" t="str">
        <f>IF(_xlfn.IFERROR(INDEX('ИП + источники'!$K$57:$L$174,MATCH($F551&amp;"3komm",'ИП + источники'!$K$57:$K$174,0),2),"")=0,"",_xlfn.IFERROR(INDEX('ИП + источники'!$K$57:$L$174,MATCH($F551&amp;"3komm",'ИП + источники'!$K$57:$K$174,0),2),""))</f>
        <v/>
      </c>
      <c r="BP551" s="6290"/>
      <c r="BQ551" s="1297"/>
      <c r="BR551" s="1297"/>
      <c r="BS551" s="1072" t="s">
        <v>2373</v>
      </c>
      <c r="BT551" s="1072"/>
      <c r="BU551" s="1072"/>
      <c r="BV551" s="987"/>
      <c r="BW551" s="987"/>
    </row>
    <row s="1656" customFormat="1" customHeight="1" ht="14.25">
      <c r="A552" s="1297"/>
      <c r="B552" s="434" cm="1" t="str">
        <f t="array" ref="B552:B552">B551</f>
        <v>true</v>
      </c>
      <c r="C552" s="103"/>
      <c r="D552" s="103"/>
      <c r="E552" s="626">
        <v>15</v>
      </c>
      <c r="F552" s="50" cm="1" t="str">
        <f t="array" ref="F552:F552">OFFSET(E552,-1,1)</f>
        <v>3</v>
      </c>
      <c r="G552" s="103"/>
      <c r="H552" s="103"/>
      <c r="I552" s="103" t="s">
        <v>889</v>
      </c>
      <c r="J552" s="103"/>
      <c r="K552" s="1297"/>
      <c r="L552" s="988" t="s">
        <v>692</v>
      </c>
      <c r="M552" s="103"/>
      <c r="N552" s="103"/>
      <c r="O552" s="103"/>
      <c r="P552" s="103"/>
      <c r="Q552" s="103"/>
      <c r="R552" s="103"/>
      <c r="S552" s="103"/>
      <c r="T552" s="468" cm="1" t="str">
        <f t="array" ref="T552:T552">T551</f>
        <v>true</v>
      </c>
      <c r="U552" s="103"/>
      <c r="V552" s="103"/>
      <c r="W552" s="103"/>
      <c r="X552" s="1559"/>
      <c r="Y552" s="1297"/>
      <c r="Z552" s="1529"/>
      <c r="AA552" s="1297"/>
      <c r="AB552" s="296" t="s">
        <v>1122</v>
      </c>
      <c r="AC552" s="769" t="s">
        <v>2374</v>
      </c>
      <c r="AD552" s="296" t="s">
        <v>936</v>
      </c>
      <c r="AE552" s="6293">
        <f>_xlfn.SUMIFS('ИП + источники'!AF$27:AF$174,'ИП + источники'!$F$27:$F$174,$F552,'ИП + источники'!$AC$27:$AC$174,"Прибыль на капвложения")</f>
        <v>16788.33</v>
      </c>
      <c r="AF552" s="6293">
        <f>_xlfn.SUMIFS('ИП + источники'!AG$27:AG$174,'ИП + источники'!$F$27:$F$174,$F552,'ИП + источники'!$AC$27:$AC$174,"Прибыль на капвложения")</f>
        <v>16788.33</v>
      </c>
      <c r="AG552" s="6293">
        <f>_xlfn.SUMIFS('ИП + источники'!AH$27:AH$174,'ИП + источники'!$F$27:$F$174,$F552,'ИП + источники'!$AC$27:$AC$174,"Прибыль на капвложения")</f>
        <v>16788.33</v>
      </c>
      <c r="AH552" s="1123">
        <f>AG552-AF552</f>
        <v>0</v>
      </c>
      <c r="AI552" s="6293">
        <f>_xlfn.SUMIFS('ИП + источники'!AJ$27:AJ$174,'ИП + источники'!$F$27:$F$174,$F552,'ИП + источники'!$AC$27:$AC$174,"Прибыль на капвложения")</f>
        <v>26193.53</v>
      </c>
      <c r="AJ552" s="6293">
        <f>_xlfn.SUMIFS('ИП + источники'!AK$27:AK$174,'ИП + источники'!$F$27:$F$174,$F552,'ИП + источники'!$AC$27:$AC$174,"Прибыль на капвложения")</f>
        <v>37808.43</v>
      </c>
      <c r="AK552" s="1260">
        <f>_xlfn.SUMIFS('ИП + источники'!AL$27:AL$174,'ИП + источники'!$F$27:$F$174,$F552,'ИП + источники'!$AC$27:$AC$174,"Прибыль на капвложения")</f>
        <v>0</v>
      </c>
      <c r="AL552" s="1260">
        <f>_xlfn.SUMIFS('ИП + источники'!AM$27:AM$174,'ИП + источники'!$F$27:$F$174,$F552,'ИП + источники'!$AC$27:$AC$174,"Прибыль на капвложения")</f>
        <v>0</v>
      </c>
      <c r="AM552" s="1260">
        <f>_xlfn.SUMIFS('ИП + источники'!AN$27:AN$174,'ИП + источники'!$F$27:$F$174,$F552,'ИП + источники'!$AC$27:$AC$174,"Прибыль на капвложения")</f>
        <v>0</v>
      </c>
      <c r="AN552" s="1260">
        <f>_xlfn.SUMIFS('ИП + источники'!AO$27:AO$174,'ИП + источники'!$F$27:$F$174,$F552,'ИП + источники'!$AC$27:$AC$174,"Прибыль на капвложения")</f>
        <v>0</v>
      </c>
      <c r="AO552" s="1260">
        <f>_xlfn.SUMIFS('ИП + источники'!AP$27:AP$174,'ИП + источники'!$F$27:$F$174,$F552,'ИП + источники'!$AC$27:$AC$174,"Прибыль на капвложения")</f>
        <v>0</v>
      </c>
      <c r="AP552" s="1260">
        <f>_xlfn.SUMIFS('ИП + источники'!AQ$27:AQ$174,'ИП + источники'!$F$27:$F$174,$F552,'ИП + источники'!$AC$27:$AC$174,"Прибыль на капвложения")</f>
        <v>0</v>
      </c>
      <c r="AQ552" s="1260">
        <f>_xlfn.SUMIFS('ИП + источники'!AR$27:AR$174,'ИП + источники'!$F$27:$F$174,$F552,'ИП + источники'!$AC$27:$AC$174,"Прибыль на капвложения")</f>
        <v>0</v>
      </c>
      <c r="AR552" s="1260">
        <f>_xlfn.SUMIFS('ИП + источники'!AS$27:AS$174,'ИП + источники'!$F$27:$F$174,$F552,'ИП + источники'!$AC$27:$AC$174,"Прибыль на капвложения")</f>
        <v>0</v>
      </c>
      <c r="AS552" s="1260">
        <f>_xlfn.SUMIFS('ИП + источники'!AT$27:AT$174,'ИП + источники'!$F$27:$F$174,$F552,'ИП + источники'!$AC$27:$AC$174,"Прибыль на капвложения")</f>
        <v>0</v>
      </c>
      <c r="AT552" s="6293">
        <f>_xlfn.SUMIFS('ИП + источники'!AU$27:AU$174,'ИП + источники'!$F$27:$F$174,$F552,'ИП + источники'!$AC$27:$AC$174,"Прибыль на капвложения")</f>
        <v>37808.43</v>
      </c>
      <c r="AU552" s="1260">
        <f>_xlfn.SUMIFS('ИП + источники'!AV$27:AV$174,'ИП + источники'!$F$27:$F$174,$F552,'ИП + источники'!$AC$27:$AC$174,"Прибыль на капвложения")</f>
        <v>0</v>
      </c>
      <c r="AV552" s="1260">
        <f>_xlfn.SUMIFS('ИП + источники'!AW$27:AW$174,'ИП + источники'!$F$27:$F$174,$F552,'ИП + источники'!$AC$27:$AC$174,"Прибыль на капвложения")</f>
        <v>0</v>
      </c>
      <c r="AW552" s="1260">
        <f>_xlfn.SUMIFS('ИП + источники'!AX$27:AX$174,'ИП + источники'!$F$27:$F$174,$F552,'ИП + источники'!$AC$27:$AC$174,"Прибыль на капвложения")</f>
        <v>0</v>
      </c>
      <c r="AX552" s="1260">
        <f>_xlfn.SUMIFS('ИП + источники'!AY$27:AY$174,'ИП + источники'!$F$27:$F$174,$F552,'ИП + источники'!$AC$27:$AC$174,"Прибыль на капвложения")</f>
        <v>0</v>
      </c>
      <c r="AY552" s="1260">
        <f>_xlfn.SUMIFS('ИП + источники'!AZ$27:AZ$174,'ИП + источники'!$F$27:$F$174,$F552,'ИП + источники'!$AC$27:$AC$174,"Прибыль на капвложения")</f>
        <v>0</v>
      </c>
      <c r="AZ552" s="1260">
        <f>_xlfn.SUMIFS('ИП + источники'!BA$27:BA$174,'ИП + источники'!$F$27:$F$174,$F552,'ИП + источники'!$AC$27:$AC$174,"Прибыль на капвложения")</f>
        <v>0</v>
      </c>
      <c r="BA552" s="1260">
        <f>_xlfn.SUMIFS('ИП + источники'!BB$27:BB$174,'ИП + источники'!$F$27:$F$174,$F552,'ИП + источники'!$AC$27:$AC$174,"Прибыль на капвложения")</f>
        <v>0</v>
      </c>
      <c r="BB552" s="1260">
        <f>_xlfn.SUMIFS('ИП + источники'!BC$27:BC$174,'ИП + источники'!$F$27:$F$174,$F552,'ИП + источники'!$AC$27:$AC$174,"Прибыль на капвложения")</f>
        <v>0</v>
      </c>
      <c r="BC552" s="1260">
        <f>_xlfn.SUMIFS('ИП + источники'!BD$27:BD$174,'ИП + источники'!$F$27:$F$174,$F552,'ИП + источники'!$AC$27:$AC$174,"Прибыль на капвложения")</f>
        <v>0</v>
      </c>
      <c r="BD552" s="1123">
        <f>IF(AI552=0,0,(AT552-AI552)/AI552*100)</f>
        <v>44.3426296493829</v>
      </c>
      <c r="BE552" s="1123">
        <f>IF(AT552=0,0,(AU552-AT552)/AT552*100)</f>
        <v>-100</v>
      </c>
      <c r="BF552" s="1123">
        <f>IF(AU552=0,0,(AV552-AU552)/AU552*100)</f>
        <v>0</v>
      </c>
      <c r="BG552" s="1123">
        <f>IF(AV552=0,0,(AW552-AV552)/AV552*100)</f>
        <v>0</v>
      </c>
      <c r="BH552" s="1123">
        <f>IF(AW552=0,0,(AX552-AW552)/AW552*100)</f>
        <v>0</v>
      </c>
      <c r="BI552" s="1123">
        <f>IF(AX552=0,0,(AY552-AX552)/AX552*100)</f>
        <v>0</v>
      </c>
      <c r="BJ552" s="1123">
        <f>IF(AY552=0,0,(AZ552-AY552)/AY552*100)</f>
        <v>0</v>
      </c>
      <c r="BK552" s="1123">
        <f>IF(AZ552=0,0,(BA552-AZ552)/AZ552*100)</f>
        <v>0</v>
      </c>
      <c r="BL552" s="1123">
        <f>IF(BA552=0,0,(BB552-BA552)/BA552*100)</f>
        <v>0</v>
      </c>
      <c r="BM552" s="1123">
        <f>IF(BB552=0,0,(BC552-BB552)/BB552*100)</f>
        <v>0</v>
      </c>
      <c r="BN552" s="6290"/>
      <c r="BO552" s="6294" t="str">
        <f>IF(_xlfn.IFERROR(INDEX('ИП + источники'!$K$57:$L$174,MATCH($F552&amp;"1komm",'ИП + источники'!$K$57:$K$174,0),2),"")=0,"",_xlfn.IFERROR(INDEX('ИП + источники'!$K$57:$L$174,MATCH($F552&amp;"1komm",'ИП + источники'!$K$57:$K$174,0),2),""))</f>
        <v>Фактическая экономия по ЗАВЕРШЕННЫМ инвестиционным мероприятиям (ПРОЕКТИРОВАНИЕ Очистных сооружений) составила  (-5480,61) тыс. руб.; перерасход по прочим мероприятиям (СТРОИТЕЛЬСТВО ОЧИСТНЫХ СООРУЖЕНИЙ) - (+5502,00) тыс. руб. (в том числе в счет плана будущих периодов - 5502,00 тыс. руб.). Так как оба мероприятия относятся к одному  и тому же объекту, сумма перерасхода принята в пределах плановой величины  стоимости инвестиционных мероприятий отчетного периода (экономия в части проектирования направлена на финансирование строительства объекта, итоговая фактическая стоимость будет определяться после полного завершения работ).  </v>
      </c>
      <c r="BP552" s="6290"/>
      <c r="BQ552" s="1297"/>
      <c r="BR552" s="1297"/>
      <c r="BS552" s="1072" t="s">
        <v>2084</v>
      </c>
      <c r="BT552" s="1072"/>
      <c r="BU552" s="1072"/>
      <c r="BV552" s="987"/>
      <c r="BW552" s="987"/>
    </row>
    <row s="1656" customFormat="1" customHeight="1" ht="21.75">
      <c r="A553" s="1297"/>
      <c r="B553" s="434" cm="1" t="str">
        <f t="array" ref="B553:B553">B552</f>
        <v>true</v>
      </c>
      <c r="C553" s="103"/>
      <c r="D553" s="103"/>
      <c r="E553" s="626">
        <v>22.5</v>
      </c>
      <c r="F553" s="50" cm="1" t="str">
        <f t="array" ref="F553:F553">OFFSET(E553,-1,1)</f>
        <v>3</v>
      </c>
      <c r="G553" s="103" t="s">
        <v>2375</v>
      </c>
      <c r="H553" s="103"/>
      <c r="I553" s="103" t="s">
        <v>1124</v>
      </c>
      <c r="J553" s="103"/>
      <c r="K553" s="1297"/>
      <c r="L553" s="988" t="s">
        <v>696</v>
      </c>
      <c r="M553" s="103"/>
      <c r="N553" s="103"/>
      <c r="O553" s="103"/>
      <c r="P553" s="103"/>
      <c r="Q553" s="103"/>
      <c r="R553" s="103"/>
      <c r="S553" s="103"/>
      <c r="T553" s="468" cm="1" t="str">
        <f t="array" ref="T553:T553">T552</f>
        <v>true</v>
      </c>
      <c r="U553" s="103"/>
      <c r="V553" s="103"/>
      <c r="W553" s="103"/>
      <c r="X553" s="1559"/>
      <c r="Y553" s="1297"/>
      <c r="Z553" s="1529"/>
      <c r="AA553" s="1297"/>
      <c r="AB553" s="296" t="s">
        <v>1125</v>
      </c>
      <c r="AC553" s="769" t="s">
        <v>2376</v>
      </c>
      <c r="AD553" s="296" t="s">
        <v>936</v>
      </c>
      <c r="AE553" s="6293"/>
      <c r="AF553" s="6293"/>
      <c r="AG553" s="6293"/>
      <c r="AH553" s="1123">
        <f>AG553-AF553</f>
        <v>0</v>
      </c>
      <c r="AI553" s="6293"/>
      <c r="AJ553" s="6293"/>
      <c r="AK553" s="1260"/>
      <c r="AL553" s="1260"/>
      <c r="AM553" s="1260"/>
      <c r="AN553" s="1260"/>
      <c r="AO553" s="1260"/>
      <c r="AP553" s="1260"/>
      <c r="AQ553" s="1260"/>
      <c r="AR553" s="1260"/>
      <c r="AS553" s="1260"/>
      <c r="AT553" s="6293"/>
      <c r="AU553" s="1260"/>
      <c r="AV553" s="1260"/>
      <c r="AW553" s="1260"/>
      <c r="AX553" s="1260"/>
      <c r="AY553" s="1260"/>
      <c r="AZ553" s="1260"/>
      <c r="BA553" s="1260"/>
      <c r="BB553" s="1260"/>
      <c r="BC553" s="1260"/>
      <c r="BD553" s="1123">
        <f>IF(AI553=0,0,(AT553-AI553)/AI553*100)</f>
        <v>0</v>
      </c>
      <c r="BE553" s="1123">
        <f>IF(AT553=0,0,(AU553-AT553)/AT553*100)</f>
        <v>0</v>
      </c>
      <c r="BF553" s="1123">
        <f>IF(AU553=0,0,(AV553-AU553)/AU553*100)</f>
        <v>0</v>
      </c>
      <c r="BG553" s="1123">
        <f>IF(AV553=0,0,(AW553-AV553)/AV553*100)</f>
        <v>0</v>
      </c>
      <c r="BH553" s="1123">
        <f>IF(AW553=0,0,(AX553-AW553)/AW553*100)</f>
        <v>0</v>
      </c>
      <c r="BI553" s="1123">
        <f>IF(AX553=0,0,(AY553-AX553)/AX553*100)</f>
        <v>0</v>
      </c>
      <c r="BJ553" s="1123">
        <f>IF(AY553=0,0,(AZ553-AY553)/AY553*100)</f>
        <v>0</v>
      </c>
      <c r="BK553" s="1123">
        <f>IF(AZ553=0,0,(BA553-AZ553)/AZ553*100)</f>
        <v>0</v>
      </c>
      <c r="BL553" s="1123">
        <f>IF(BA553=0,0,(BB553-BA553)/BA553*100)</f>
        <v>0</v>
      </c>
      <c r="BM553" s="1123">
        <f>IF(BB553=0,0,(BC553-BB553)/BB553*100)</f>
        <v>0</v>
      </c>
      <c r="BN553" s="6290"/>
      <c r="BO553" s="6290"/>
      <c r="BP553" s="6290"/>
      <c r="BQ553" s="1297"/>
      <c r="BR553" s="1297"/>
      <c r="BS553" s="1072" t="s">
        <v>2377</v>
      </c>
      <c r="BT553" s="1072"/>
      <c r="BU553" s="1072"/>
      <c r="BV553" s="987"/>
      <c r="BW553" s="987"/>
    </row>
    <row s="1656" customFormat="1" customHeight="1" ht="14.25">
      <c r="A554" s="1297"/>
      <c r="B554" s="434">
        <f>AND(method_reg="Метод индексации",STATUS_GO="да")</f>
        <v>0</v>
      </c>
      <c r="C554" s="103"/>
      <c r="D554" s="103"/>
      <c r="E554" s="626">
        <v>15</v>
      </c>
      <c r="F554" s="50" cm="1" t="str">
        <f t="array" ref="F554:F554">OFFSET(E554,-1,1)</f>
        <v>3</v>
      </c>
      <c r="G554" s="103" t="s">
        <v>2087</v>
      </c>
      <c r="H554" s="103"/>
      <c r="I554" s="103" t="s">
        <v>616</v>
      </c>
      <c r="J554" s="103"/>
      <c r="K554" s="1297"/>
      <c r="L554" s="988" t="s">
        <v>700</v>
      </c>
      <c r="M554" s="103"/>
      <c r="N554" s="103"/>
      <c r="O554" s="103"/>
      <c r="P554" s="103"/>
      <c r="Q554" s="103"/>
      <c r="R554" s="103"/>
      <c r="S554" s="103"/>
      <c r="T554" s="468" cm="1" t="str">
        <f t="array" ref="T554:T554">T553</f>
        <v>true</v>
      </c>
      <c r="U554" s="103"/>
      <c r="V554" s="103"/>
      <c r="W554" s="103"/>
      <c r="X554" s="1559"/>
      <c r="Y554" s="1297"/>
      <c r="Z554" s="1529"/>
      <c r="AA554" s="1297"/>
      <c r="AB554" s="296" t="s">
        <v>457</v>
      </c>
      <c r="AC554" s="454" t="s">
        <v>2087</v>
      </c>
      <c r="AD554" s="296" t="s">
        <v>936</v>
      </c>
      <c r="AE554" s="6293"/>
      <c r="AF554" s="6293"/>
      <c r="AG554" s="6293"/>
      <c r="AH554" s="1123">
        <f>AG554-AF554</f>
        <v>0</v>
      </c>
      <c r="AI554" s="6293"/>
      <c r="AJ554" s="6293"/>
      <c r="AK554" s="1260"/>
      <c r="AL554" s="1260"/>
      <c r="AM554" s="1260"/>
      <c r="AN554" s="1260"/>
      <c r="AO554" s="1260"/>
      <c r="AP554" s="1260"/>
      <c r="AQ554" s="1260"/>
      <c r="AR554" s="1260"/>
      <c r="AS554" s="1260"/>
      <c r="AT554" s="6293"/>
      <c r="AU554" s="1260"/>
      <c r="AV554" s="1260"/>
      <c r="AW554" s="1260"/>
      <c r="AX554" s="1260"/>
      <c r="AY554" s="1260"/>
      <c r="AZ554" s="1260"/>
      <c r="BA554" s="1260"/>
      <c r="BB554" s="1260"/>
      <c r="BC554" s="1260"/>
      <c r="BD554" s="1123">
        <f>IF(AI554=0,0,(AT554-AI554)/AI554*100)</f>
        <v>0</v>
      </c>
      <c r="BE554" s="1123">
        <f>IF(AT554=0,0,(AU554-AT554)/AT554*100)</f>
        <v>0</v>
      </c>
      <c r="BF554" s="1123">
        <f>IF(AU554=0,0,(AV554-AU554)/AU554*100)</f>
        <v>0</v>
      </c>
      <c r="BG554" s="1123">
        <f>IF(AV554=0,0,(AW554-AV554)/AV554*100)</f>
        <v>0</v>
      </c>
      <c r="BH554" s="1123">
        <f>IF(AW554=0,0,(AX554-AW554)/AW554*100)</f>
        <v>0</v>
      </c>
      <c r="BI554" s="1123">
        <f>IF(AX554=0,0,(AY554-AX554)/AX554*100)</f>
        <v>0</v>
      </c>
      <c r="BJ554" s="1123">
        <f>IF(AY554=0,0,(AZ554-AY554)/AY554*100)</f>
        <v>0</v>
      </c>
      <c r="BK554" s="1123">
        <f>IF(AZ554=0,0,(BA554-AZ554)/AZ554*100)</f>
        <v>0</v>
      </c>
      <c r="BL554" s="1123">
        <f>IF(BA554=0,0,(BB554-BA554)/BA554*100)</f>
        <v>0</v>
      </c>
      <c r="BM554" s="1123">
        <f>IF(BB554=0,0,(BC554-BB554)/BB554*100)</f>
        <v>0</v>
      </c>
      <c r="BN554" s="6290"/>
      <c r="BO554" s="6290"/>
      <c r="BP554" s="6290"/>
      <c r="BQ554" s="1297"/>
      <c r="BR554" s="1297"/>
      <c r="BS554" s="1072" t="s">
        <v>2088</v>
      </c>
      <c r="BT554" s="1072"/>
      <c r="BU554" s="1072"/>
      <c r="BV554" s="987"/>
      <c r="BW554" s="987"/>
    </row>
    <row s="1656" customFormat="1" customHeight="1" ht="14.25" hidden="1">
      <c r="A555" s="1297"/>
      <c r="B555" s="867">
        <f>method_reg="Метод обеспечения доходности инвестированного капитала"</f>
        <v>0</v>
      </c>
      <c r="C555" s="103"/>
      <c r="D555" s="103"/>
      <c r="E555" s="626">
        <v>15</v>
      </c>
      <c r="F555" s="50" cm="1" t="str">
        <f t="array" ref="F555:F555">OFFSET(E555,-1,1)</f>
        <v>3</v>
      </c>
      <c r="G555" s="103"/>
      <c r="H555" s="103"/>
      <c r="I555" s="103"/>
      <c r="J555" s="103"/>
      <c r="K555" s="103" t="s">
        <v>348</v>
      </c>
      <c r="L555" s="988"/>
      <c r="M555" s="103"/>
      <c r="N555" s="103"/>
      <c r="O555" s="103"/>
      <c r="P555" s="103"/>
      <c r="Q555" s="103"/>
      <c r="R555" s="103"/>
      <c r="S555" s="103"/>
      <c r="T555" s="867" cm="1" t="str">
        <f t="array" ref="T555:T555">T554</f>
        <v>true</v>
      </c>
      <c r="U555" s="103"/>
      <c r="V555" s="103"/>
      <c r="W555" s="103"/>
      <c r="X555" s="1559"/>
      <c r="Y555" s="1297"/>
      <c r="Z555" s="1529"/>
      <c r="AA555" s="1297"/>
      <c r="AB555" s="801" t="s">
        <v>451</v>
      </c>
      <c r="AC555" s="800" t="s">
        <v>2378</v>
      </c>
      <c r="AD555" s="801" t="s">
        <v>936</v>
      </c>
      <c r="AE555" s="1265"/>
      <c r="AF555" s="1265"/>
      <c r="AG555" s="1265"/>
      <c r="AH555" s="768">
        <f>AG555-AF555</f>
        <v>0</v>
      </c>
      <c r="AI555" s="1265"/>
      <c r="AJ555" s="1265"/>
      <c r="AK555" s="1265"/>
      <c r="AL555" s="1265"/>
      <c r="AM555" s="1265"/>
      <c r="AN555" s="1265"/>
      <c r="AO555" s="1265"/>
      <c r="AP555" s="1265"/>
      <c r="AQ555" s="1265"/>
      <c r="AR555" s="1265"/>
      <c r="AS555" s="1265"/>
      <c r="AT555" s="1265"/>
      <c r="AU555" s="1265"/>
      <c r="AV555" s="1265"/>
      <c r="AW555" s="1265"/>
      <c r="AX555" s="1265"/>
      <c r="AY555" s="1265"/>
      <c r="AZ555" s="1265"/>
      <c r="BA555" s="1265"/>
      <c r="BB555" s="1265"/>
      <c r="BC555" s="1265"/>
      <c r="BD555" s="768">
        <f>IF(AI555=0,0,(AT555-AI555)/AI555*100)</f>
        <v>0</v>
      </c>
      <c r="BE555" s="768">
        <f>IF(AT555=0,0,(AU555-AT555)/AT555*100)</f>
        <v>0</v>
      </c>
      <c r="BF555" s="768">
        <f>IF(AU555=0,0,(AV555-AU555)/AU555*100)</f>
        <v>0</v>
      </c>
      <c r="BG555" s="768">
        <f>IF(AV555=0,0,(AW555-AV555)/AV555*100)</f>
        <v>0</v>
      </c>
      <c r="BH555" s="768">
        <f>IF(AW555=0,0,(AX555-AW555)/AW555*100)</f>
        <v>0</v>
      </c>
      <c r="BI555" s="768">
        <f>IF(AX555=0,0,(AY555-AX555)/AX555*100)</f>
        <v>0</v>
      </c>
      <c r="BJ555" s="768">
        <f>IF(AY555=0,0,(AZ555-AY555)/AY555*100)</f>
        <v>0</v>
      </c>
      <c r="BK555" s="768">
        <f>IF(AZ555=0,0,(BA555-AZ555)/AZ555*100)</f>
        <v>0</v>
      </c>
      <c r="BL555" s="768">
        <f>IF(BA555=0,0,(BB555-BA555)/BA555*100)</f>
        <v>0</v>
      </c>
      <c r="BM555" s="768">
        <f>IF(BB555=0,0,(BC555-BB555)/BB555*100)</f>
        <v>0</v>
      </c>
      <c r="BN555" s="1266"/>
      <c r="BO555" s="1266"/>
      <c r="BP555" s="1266"/>
      <c r="BQ555" s="1297"/>
      <c r="BR555" s="1297"/>
      <c r="BS555" s="1072" t="s">
        <v>2379</v>
      </c>
      <c r="BT555" s="1072"/>
      <c r="BU555" s="1072"/>
      <c r="BV555" s="987"/>
      <c r="BW555" s="987"/>
    </row>
    <row s="1656" customFormat="1" customHeight="1" ht="14.25" hidden="1">
      <c r="A556" s="1297"/>
      <c r="B556" s="867" cm="1" t="str">
        <f t="array" ref="B556:B556">B555</f>
        <v>false</v>
      </c>
      <c r="C556" s="103"/>
      <c r="D556" s="103"/>
      <c r="E556" s="626">
        <v>15</v>
      </c>
      <c r="F556" s="50" cm="1" t="str">
        <f t="array" ref="F556:F556">OFFSET(E556,-1,1)</f>
        <v>3</v>
      </c>
      <c r="G556" s="103"/>
      <c r="H556" s="103"/>
      <c r="I556" s="103"/>
      <c r="J556" s="103"/>
      <c r="K556" s="103" t="s">
        <v>659</v>
      </c>
      <c r="L556" s="988"/>
      <c r="M556" s="103"/>
      <c r="N556" s="103"/>
      <c r="O556" s="103"/>
      <c r="P556" s="103"/>
      <c r="Q556" s="103"/>
      <c r="R556" s="103"/>
      <c r="S556" s="103"/>
      <c r="T556" s="867" cm="1" t="str">
        <f t="array" ref="T556:T556">T555</f>
        <v>true</v>
      </c>
      <c r="U556" s="103"/>
      <c r="V556" s="103"/>
      <c r="W556" s="103"/>
      <c r="X556" s="1559"/>
      <c r="Y556" s="1297"/>
      <c r="Z556" s="1529"/>
      <c r="AA556" s="1297"/>
      <c r="AB556" s="804" t="s">
        <v>794</v>
      </c>
      <c r="AC556" s="803" t="s">
        <v>2380</v>
      </c>
      <c r="AD556" s="804" t="s">
        <v>936</v>
      </c>
      <c r="AE556" s="1267"/>
      <c r="AF556" s="1267"/>
      <c r="AG556" s="1267"/>
      <c r="AH556" s="770"/>
      <c r="AI556" s="1267"/>
      <c r="AJ556" s="1267"/>
      <c r="AK556" s="1267"/>
      <c r="AL556" s="1267"/>
      <c r="AM556" s="1267"/>
      <c r="AN556" s="1267"/>
      <c r="AO556" s="1267"/>
      <c r="AP556" s="1267"/>
      <c r="AQ556" s="1267"/>
      <c r="AR556" s="1267"/>
      <c r="AS556" s="1267"/>
      <c r="AT556" s="1267"/>
      <c r="AU556" s="1267"/>
      <c r="AV556" s="1267"/>
      <c r="AW556" s="1267"/>
      <c r="AX556" s="1267"/>
      <c r="AY556" s="1267"/>
      <c r="AZ556" s="1267"/>
      <c r="BA556" s="1267"/>
      <c r="BB556" s="1267"/>
      <c r="BC556" s="1267"/>
      <c r="BD556" s="770"/>
      <c r="BE556" s="770"/>
      <c r="BF556" s="770"/>
      <c r="BG556" s="770"/>
      <c r="BH556" s="770"/>
      <c r="BI556" s="770"/>
      <c r="BJ556" s="770"/>
      <c r="BK556" s="770"/>
      <c r="BL556" s="770"/>
      <c r="BM556" s="770"/>
      <c r="BN556" s="1268"/>
      <c r="BO556" s="1268"/>
      <c r="BP556" s="1268"/>
      <c r="BQ556" s="1297"/>
      <c r="BR556" s="1297"/>
      <c r="BS556" s="1072" t="s">
        <v>2381</v>
      </c>
      <c r="BT556" s="1072"/>
      <c r="BU556" s="1072"/>
      <c r="BV556" s="987"/>
      <c r="BW556" s="987"/>
    </row>
    <row s="1656" customFormat="1" customHeight="1" ht="14.25" hidden="1">
      <c r="A557" s="1297"/>
      <c r="B557" s="867" cm="1" t="str">
        <f t="array" ref="B557:B557">B556</f>
        <v>false</v>
      </c>
      <c r="C557" s="103"/>
      <c r="D557" s="103"/>
      <c r="E557" s="626">
        <v>15</v>
      </c>
      <c r="F557" s="50" cm="1" t="str">
        <f t="array" ref="F557:F557">OFFSET(E557,-1,1)</f>
        <v>3</v>
      </c>
      <c r="G557" s="103"/>
      <c r="H557" s="103"/>
      <c r="I557" s="103"/>
      <c r="J557" s="103"/>
      <c r="K557" s="103" t="s">
        <v>663</v>
      </c>
      <c r="L557" s="988"/>
      <c r="M557" s="103"/>
      <c r="N557" s="103"/>
      <c r="O557" s="103"/>
      <c r="P557" s="103"/>
      <c r="Q557" s="103"/>
      <c r="R557" s="103"/>
      <c r="S557" s="103"/>
      <c r="T557" s="867" cm="1" t="str">
        <f t="array" ref="T557:T557">T556</f>
        <v>true</v>
      </c>
      <c r="U557" s="103"/>
      <c r="V557" s="103"/>
      <c r="W557" s="103"/>
      <c r="X557" s="1559"/>
      <c r="Y557" s="1297"/>
      <c r="Z557" s="1529"/>
      <c r="AA557" s="1297"/>
      <c r="AB557" s="804" t="s">
        <v>797</v>
      </c>
      <c r="AC557" s="803" t="s">
        <v>2382</v>
      </c>
      <c r="AD557" s="804" t="s">
        <v>2383</v>
      </c>
      <c r="AE557" s="1267"/>
      <c r="AF557" s="1267"/>
      <c r="AG557" s="1267"/>
      <c r="AH557" s="770"/>
      <c r="AI557" s="1267"/>
      <c r="AJ557" s="1267"/>
      <c r="AK557" s="1267"/>
      <c r="AL557" s="1267"/>
      <c r="AM557" s="1267"/>
      <c r="AN557" s="1267"/>
      <c r="AO557" s="1267"/>
      <c r="AP557" s="1267"/>
      <c r="AQ557" s="1267"/>
      <c r="AR557" s="1267"/>
      <c r="AS557" s="1267"/>
      <c r="AT557" s="1267"/>
      <c r="AU557" s="1267"/>
      <c r="AV557" s="1267"/>
      <c r="AW557" s="1267"/>
      <c r="AX557" s="1267"/>
      <c r="AY557" s="1267"/>
      <c r="AZ557" s="1267"/>
      <c r="BA557" s="1267"/>
      <c r="BB557" s="1267"/>
      <c r="BC557" s="1267"/>
      <c r="BD557" s="770"/>
      <c r="BE557" s="770"/>
      <c r="BF557" s="770"/>
      <c r="BG557" s="770"/>
      <c r="BH557" s="770"/>
      <c r="BI557" s="770"/>
      <c r="BJ557" s="770"/>
      <c r="BK557" s="770"/>
      <c r="BL557" s="770"/>
      <c r="BM557" s="770"/>
      <c r="BN557" s="1268"/>
      <c r="BO557" s="1268"/>
      <c r="BP557" s="1268"/>
      <c r="BQ557" s="1297"/>
      <c r="BR557" s="1297"/>
      <c r="BS557" s="1072" t="s">
        <v>2384</v>
      </c>
      <c r="BT557" s="1072"/>
      <c r="BU557" s="1072"/>
      <c r="BV557" s="987"/>
      <c r="BW557" s="987"/>
    </row>
    <row s="1656" customFormat="1" customHeight="1" ht="14.25" hidden="1">
      <c r="A558" s="1297"/>
      <c r="B558" s="867" cm="1" t="str">
        <f t="array" ref="B558:B558">B557</f>
        <v>false</v>
      </c>
      <c r="C558" s="103"/>
      <c r="D558" s="103"/>
      <c r="E558" s="626">
        <v>15</v>
      </c>
      <c r="F558" s="50" cm="1" t="str">
        <f t="array" ref="F558:F558">OFFSET(E558,-1,1)</f>
        <v>3</v>
      </c>
      <c r="G558" s="103"/>
      <c r="H558" s="103"/>
      <c r="I558" s="103"/>
      <c r="J558" s="103"/>
      <c r="K558" s="103" t="s">
        <v>347</v>
      </c>
      <c r="L558" s="988"/>
      <c r="M558" s="103"/>
      <c r="N558" s="103"/>
      <c r="O558" s="103"/>
      <c r="P558" s="103"/>
      <c r="Q558" s="103"/>
      <c r="R558" s="103"/>
      <c r="S558" s="103"/>
      <c r="T558" s="867" cm="1" t="str">
        <f t="array" ref="T558:T558">T557</f>
        <v>true</v>
      </c>
      <c r="U558" s="103"/>
      <c r="V558" s="103"/>
      <c r="W558" s="103"/>
      <c r="X558" s="1559"/>
      <c r="Y558" s="1297"/>
      <c r="Z558" s="1529"/>
      <c r="AA558" s="1297"/>
      <c r="AB558" s="801" t="s">
        <v>454</v>
      </c>
      <c r="AC558" s="800" t="s">
        <v>2385</v>
      </c>
      <c r="AD558" s="801" t="s">
        <v>936</v>
      </c>
      <c r="AE558" s="1265"/>
      <c r="AF558" s="1265"/>
      <c r="AG558" s="1265"/>
      <c r="AH558" s="768">
        <f>AG558-AF558</f>
        <v>0</v>
      </c>
      <c r="AI558" s="1265"/>
      <c r="AJ558" s="1265"/>
      <c r="AK558" s="1265"/>
      <c r="AL558" s="1265"/>
      <c r="AM558" s="1265"/>
      <c r="AN558" s="1265"/>
      <c r="AO558" s="1265"/>
      <c r="AP558" s="1265"/>
      <c r="AQ558" s="1265"/>
      <c r="AR558" s="1265"/>
      <c r="AS558" s="1265"/>
      <c r="AT558" s="1265"/>
      <c r="AU558" s="1265"/>
      <c r="AV558" s="1265"/>
      <c r="AW558" s="1265"/>
      <c r="AX558" s="1265"/>
      <c r="AY558" s="1265"/>
      <c r="AZ558" s="1265"/>
      <c r="BA558" s="1265"/>
      <c r="BB558" s="1265"/>
      <c r="BC558" s="1265"/>
      <c r="BD558" s="768">
        <f>IF(AI558=0,0,(AT558-AI558)/AI558*100)</f>
        <v>0</v>
      </c>
      <c r="BE558" s="768">
        <f>IF(AT558=0,0,(AU558-AT558)/AT558*100)</f>
        <v>0</v>
      </c>
      <c r="BF558" s="768">
        <f>IF(AU558=0,0,(AV558-AU558)/AU558*100)</f>
        <v>0</v>
      </c>
      <c r="BG558" s="768">
        <f>IF(AV558=0,0,(AW558-AV558)/AV558*100)</f>
        <v>0</v>
      </c>
      <c r="BH558" s="768">
        <f>IF(AW558=0,0,(AX558-AW558)/AW558*100)</f>
        <v>0</v>
      </c>
      <c r="BI558" s="768">
        <f>IF(AX558=0,0,(AY558-AX558)/AX558*100)</f>
        <v>0</v>
      </c>
      <c r="BJ558" s="768">
        <f>IF(AY558=0,0,(AZ558-AY558)/AY558*100)</f>
        <v>0</v>
      </c>
      <c r="BK558" s="768">
        <f>IF(AZ558=0,0,(BA558-AZ558)/AZ558*100)</f>
        <v>0</v>
      </c>
      <c r="BL558" s="768">
        <f>IF(BA558=0,0,(BB558-BA558)/BA558*100)</f>
        <v>0</v>
      </c>
      <c r="BM558" s="768">
        <f>IF(BB558=0,0,(BC558-BB558)/BB558*100)</f>
        <v>0</v>
      </c>
      <c r="BN558" s="1266"/>
      <c r="BO558" s="1266"/>
      <c r="BP558" s="1266"/>
      <c r="BQ558" s="1297"/>
      <c r="BR558" s="1297"/>
      <c r="BS558" s="1072" t="s">
        <v>2386</v>
      </c>
      <c r="BT558" s="1072"/>
      <c r="BU558" s="1072"/>
      <c r="BV558" s="987"/>
      <c r="BW558" s="987"/>
    </row>
    <row s="1656" customFormat="1" customHeight="1" ht="14.25" hidden="1">
      <c r="A559" s="1297"/>
      <c r="B559" s="867" cm="1" t="str">
        <f t="array" ref="B559:B559">B558</f>
        <v>false</v>
      </c>
      <c r="C559" s="103"/>
      <c r="D559" s="103"/>
      <c r="E559" s="626">
        <v>15</v>
      </c>
      <c r="F559" s="50" cm="1" t="str">
        <f t="array" ref="F559:F559">OFFSET(E559,-1,1)</f>
        <v>3</v>
      </c>
      <c r="G559" s="103"/>
      <c r="H559" s="103"/>
      <c r="I559" s="103"/>
      <c r="J559" s="103"/>
      <c r="K559" s="103" t="s">
        <v>673</v>
      </c>
      <c r="L559" s="988"/>
      <c r="M559" s="103"/>
      <c r="N559" s="103"/>
      <c r="O559" s="103"/>
      <c r="P559" s="103"/>
      <c r="Q559" s="103"/>
      <c r="R559" s="103"/>
      <c r="S559" s="103"/>
      <c r="T559" s="867" cm="1" t="str">
        <f t="array" ref="T559:T559">T558</f>
        <v>true</v>
      </c>
      <c r="U559" s="103"/>
      <c r="V559" s="103"/>
      <c r="W559" s="103"/>
      <c r="X559" s="1559"/>
      <c r="Y559" s="1297"/>
      <c r="Z559" s="1529"/>
      <c r="AA559" s="1297"/>
      <c r="AB559" s="804" t="s">
        <v>801</v>
      </c>
      <c r="AC559" s="803" t="s">
        <v>2387</v>
      </c>
      <c r="AD559" s="804" t="s">
        <v>936</v>
      </c>
      <c r="AE559" s="1267"/>
      <c r="AF559" s="1267"/>
      <c r="AG559" s="1267"/>
      <c r="AH559" s="770"/>
      <c r="AI559" s="1267"/>
      <c r="AJ559" s="1267"/>
      <c r="AK559" s="1267"/>
      <c r="AL559" s="1267"/>
      <c r="AM559" s="1267"/>
      <c r="AN559" s="1267"/>
      <c r="AO559" s="1267"/>
      <c r="AP559" s="1267"/>
      <c r="AQ559" s="1267"/>
      <c r="AR559" s="1267"/>
      <c r="AS559" s="1267"/>
      <c r="AT559" s="1267"/>
      <c r="AU559" s="1267"/>
      <c r="AV559" s="1267"/>
      <c r="AW559" s="1267"/>
      <c r="AX559" s="1267"/>
      <c r="AY559" s="1267"/>
      <c r="AZ559" s="1267"/>
      <c r="BA559" s="1267"/>
      <c r="BB559" s="1267"/>
      <c r="BC559" s="1267"/>
      <c r="BD559" s="770"/>
      <c r="BE559" s="770"/>
      <c r="BF559" s="770"/>
      <c r="BG559" s="770"/>
      <c r="BH559" s="770"/>
      <c r="BI559" s="770"/>
      <c r="BJ559" s="770"/>
      <c r="BK559" s="770"/>
      <c r="BL559" s="770"/>
      <c r="BM559" s="770"/>
      <c r="BN559" s="1268"/>
      <c r="BO559" s="1268"/>
      <c r="BP559" s="1268"/>
      <c r="BQ559" s="1297"/>
      <c r="BR559" s="1297"/>
      <c r="BS559" s="1072" t="s">
        <v>2388</v>
      </c>
      <c r="BT559" s="1072"/>
      <c r="BU559" s="1072"/>
      <c r="BV559" s="987"/>
      <c r="BW559" s="987"/>
    </row>
    <row s="1656" customFormat="1" customHeight="1" ht="14.25" hidden="1">
      <c r="A560" s="1297"/>
      <c r="B560" s="867" cm="1" t="str">
        <f t="array" ref="B560:B560">B559</f>
        <v>false</v>
      </c>
      <c r="C560" s="103"/>
      <c r="D560" s="103"/>
      <c r="E560" s="626">
        <v>15</v>
      </c>
      <c r="F560" s="50" cm="1" t="str">
        <f t="array" ref="F560:F560">OFFSET(E560,-1,1)</f>
        <v>3</v>
      </c>
      <c r="G560" s="103"/>
      <c r="H560" s="103"/>
      <c r="I560" s="103"/>
      <c r="J560" s="103"/>
      <c r="K560" s="103" t="s">
        <v>677</v>
      </c>
      <c r="L560" s="988"/>
      <c r="M560" s="103"/>
      <c r="N560" s="103"/>
      <c r="O560" s="103"/>
      <c r="P560" s="103"/>
      <c r="Q560" s="103"/>
      <c r="R560" s="103"/>
      <c r="S560" s="103"/>
      <c r="T560" s="867" cm="1" t="str">
        <f t="array" ref="T560:T560">T559</f>
        <v>true</v>
      </c>
      <c r="U560" s="103"/>
      <c r="V560" s="103"/>
      <c r="W560" s="103"/>
      <c r="X560" s="1559"/>
      <c r="Y560" s="1297"/>
      <c r="Z560" s="1529"/>
      <c r="AA560" s="1297"/>
      <c r="AB560" s="804" t="s">
        <v>804</v>
      </c>
      <c r="AC560" s="803" t="s">
        <v>2389</v>
      </c>
      <c r="AD560" s="804" t="s">
        <v>561</v>
      </c>
      <c r="AE560" s="1267"/>
      <c r="AF560" s="1267"/>
      <c r="AG560" s="1267"/>
      <c r="AH560" s="770"/>
      <c r="AI560" s="1267"/>
      <c r="AJ560" s="1267"/>
      <c r="AK560" s="1267"/>
      <c r="AL560" s="1267"/>
      <c r="AM560" s="1267"/>
      <c r="AN560" s="1267"/>
      <c r="AO560" s="1267"/>
      <c r="AP560" s="1267"/>
      <c r="AQ560" s="1267"/>
      <c r="AR560" s="1267"/>
      <c r="AS560" s="1267"/>
      <c r="AT560" s="1267"/>
      <c r="AU560" s="1267"/>
      <c r="AV560" s="1267"/>
      <c r="AW560" s="1267"/>
      <c r="AX560" s="1267"/>
      <c r="AY560" s="1267"/>
      <c r="AZ560" s="1267"/>
      <c r="BA560" s="1267"/>
      <c r="BB560" s="1267"/>
      <c r="BC560" s="1267"/>
      <c r="BD560" s="770"/>
      <c r="BE560" s="770"/>
      <c r="BF560" s="770"/>
      <c r="BG560" s="770"/>
      <c r="BH560" s="770"/>
      <c r="BI560" s="770"/>
      <c r="BJ560" s="770"/>
      <c r="BK560" s="770"/>
      <c r="BL560" s="770"/>
      <c r="BM560" s="770"/>
      <c r="BN560" s="1268"/>
      <c r="BO560" s="1268"/>
      <c r="BP560" s="1268"/>
      <c r="BQ560" s="1297"/>
      <c r="BR560" s="1297"/>
      <c r="BS560" s="1072" t="s">
        <v>2390</v>
      </c>
      <c r="BT560" s="1072"/>
      <c r="BU560" s="1072"/>
      <c r="BV560" s="987"/>
      <c r="BW560" s="987"/>
    </row>
    <row s="1656" customFormat="1" customHeight="1" ht="14.25" hidden="1">
      <c r="A561" s="1297"/>
      <c r="B561" s="867" cm="1" t="str">
        <f t="array" ref="B561:B561">B560</f>
        <v>false</v>
      </c>
      <c r="C561" s="103"/>
      <c r="D561" s="103"/>
      <c r="E561" s="626">
        <v>15</v>
      </c>
      <c r="F561" s="50" cm="1" t="str">
        <f t="array" ref="F561:F561">OFFSET(E561,-1,1)</f>
        <v>3</v>
      </c>
      <c r="G561" s="103"/>
      <c r="H561" s="103"/>
      <c r="I561" s="103"/>
      <c r="J561" s="103"/>
      <c r="K561" s="103" t="s">
        <v>889</v>
      </c>
      <c r="L561" s="988"/>
      <c r="M561" s="103"/>
      <c r="N561" s="103"/>
      <c r="O561" s="103"/>
      <c r="P561" s="103"/>
      <c r="Q561" s="103"/>
      <c r="R561" s="103"/>
      <c r="S561" s="103"/>
      <c r="T561" s="867" cm="1" t="str">
        <f t="array" ref="T561:T561">T560</f>
        <v>true</v>
      </c>
      <c r="U561" s="103"/>
      <c r="V561" s="103"/>
      <c r="W561" s="103"/>
      <c r="X561" s="1559"/>
      <c r="Y561" s="1297"/>
      <c r="Z561" s="1529"/>
      <c r="AA561" s="1297"/>
      <c r="AB561" s="804" t="s">
        <v>1122</v>
      </c>
      <c r="AC561" s="803" t="s">
        <v>2391</v>
      </c>
      <c r="AD561" s="804" t="s">
        <v>936</v>
      </c>
      <c r="AE561" s="1267"/>
      <c r="AF561" s="1267"/>
      <c r="AG561" s="1267"/>
      <c r="AH561" s="770"/>
      <c r="AI561" s="1267"/>
      <c r="AJ561" s="1267"/>
      <c r="AK561" s="1267"/>
      <c r="AL561" s="1267"/>
      <c r="AM561" s="1267"/>
      <c r="AN561" s="1267"/>
      <c r="AO561" s="1267"/>
      <c r="AP561" s="1267"/>
      <c r="AQ561" s="1267"/>
      <c r="AR561" s="1267"/>
      <c r="AS561" s="1267"/>
      <c r="AT561" s="1267"/>
      <c r="AU561" s="1267"/>
      <c r="AV561" s="1267"/>
      <c r="AW561" s="1267"/>
      <c r="AX561" s="1267"/>
      <c r="AY561" s="1267"/>
      <c r="AZ561" s="1267"/>
      <c r="BA561" s="1267"/>
      <c r="BB561" s="1267"/>
      <c r="BC561" s="1267"/>
      <c r="BD561" s="770"/>
      <c r="BE561" s="770"/>
      <c r="BF561" s="770"/>
      <c r="BG561" s="770"/>
      <c r="BH561" s="770"/>
      <c r="BI561" s="770"/>
      <c r="BJ561" s="770"/>
      <c r="BK561" s="770"/>
      <c r="BL561" s="770"/>
      <c r="BM561" s="770"/>
      <c r="BN561" s="1268"/>
      <c r="BO561" s="1268"/>
      <c r="BP561" s="1268"/>
      <c r="BQ561" s="1297"/>
      <c r="BR561" s="1297"/>
      <c r="BS561" s="1072" t="s">
        <v>2392</v>
      </c>
      <c r="BT561" s="1072"/>
      <c r="BU561" s="1072"/>
      <c r="BV561" s="987"/>
      <c r="BW561" s="987"/>
    </row>
    <row s="1656" customFormat="1" customHeight="1" ht="14.25" hidden="1">
      <c r="A562" s="1297"/>
      <c r="B562" s="867" cm="1" t="str">
        <f t="array" ref="B562:B562">B561</f>
        <v>false</v>
      </c>
      <c r="C562" s="103"/>
      <c r="D562" s="103"/>
      <c r="E562" s="626">
        <v>15</v>
      </c>
      <c r="F562" s="50" cm="1" t="str">
        <f t="array" ref="F562:F562">OFFSET(E562,-1,1)</f>
        <v>3</v>
      </c>
      <c r="G562" s="103"/>
      <c r="H562" s="103"/>
      <c r="I562" s="103"/>
      <c r="J562" s="103"/>
      <c r="K562" s="103" t="s">
        <v>1124</v>
      </c>
      <c r="L562" s="988"/>
      <c r="M562" s="103"/>
      <c r="N562" s="103"/>
      <c r="O562" s="103"/>
      <c r="P562" s="103"/>
      <c r="Q562" s="103"/>
      <c r="R562" s="103"/>
      <c r="S562" s="103"/>
      <c r="T562" s="867" cm="1" t="str">
        <f t="array" ref="T562:T562">T561</f>
        <v>true</v>
      </c>
      <c r="U562" s="103"/>
      <c r="V562" s="103"/>
      <c r="W562" s="103"/>
      <c r="X562" s="1559"/>
      <c r="Y562" s="1297"/>
      <c r="Z562" s="1529"/>
      <c r="AA562" s="1297"/>
      <c r="AB562" s="804" t="s">
        <v>1125</v>
      </c>
      <c r="AC562" s="803" t="s">
        <v>2393</v>
      </c>
      <c r="AD562" s="804" t="s">
        <v>936</v>
      </c>
      <c r="AE562" s="1267"/>
      <c r="AF562" s="1267"/>
      <c r="AG562" s="1267"/>
      <c r="AH562" s="770"/>
      <c r="AI562" s="1267"/>
      <c r="AJ562" s="1267"/>
      <c r="AK562" s="1267"/>
      <c r="AL562" s="1267"/>
      <c r="AM562" s="1267"/>
      <c r="AN562" s="1267"/>
      <c r="AO562" s="1267"/>
      <c r="AP562" s="1267"/>
      <c r="AQ562" s="1267"/>
      <c r="AR562" s="1267"/>
      <c r="AS562" s="1267"/>
      <c r="AT562" s="1267"/>
      <c r="AU562" s="1267"/>
      <c r="AV562" s="1267"/>
      <c r="AW562" s="1267"/>
      <c r="AX562" s="1267"/>
      <c r="AY562" s="1267"/>
      <c r="AZ562" s="1267"/>
      <c r="BA562" s="1267"/>
      <c r="BB562" s="1267"/>
      <c r="BC562" s="1267"/>
      <c r="BD562" s="770"/>
      <c r="BE562" s="770"/>
      <c r="BF562" s="770"/>
      <c r="BG562" s="770"/>
      <c r="BH562" s="770"/>
      <c r="BI562" s="770"/>
      <c r="BJ562" s="770"/>
      <c r="BK562" s="770"/>
      <c r="BL562" s="770"/>
      <c r="BM562" s="770"/>
      <c r="BN562" s="1268"/>
      <c r="BO562" s="1268"/>
      <c r="BP562" s="1268"/>
      <c r="BQ562" s="1297"/>
      <c r="BR562" s="1297"/>
      <c r="BS562" s="1072" t="s">
        <v>2394</v>
      </c>
      <c r="BT562" s="1072"/>
      <c r="BU562" s="1072"/>
      <c r="BV562" s="987"/>
      <c r="BW562" s="987"/>
    </row>
    <row s="1656" customFormat="1" customHeight="1" ht="14.25" hidden="1">
      <c r="A563" s="1297"/>
      <c r="B563" s="867" cm="1" t="str">
        <f t="array" ref="B563:B563">B562</f>
        <v>false</v>
      </c>
      <c r="C563" s="103"/>
      <c r="D563" s="103"/>
      <c r="E563" s="626">
        <v>15</v>
      </c>
      <c r="F563" s="50" cm="1" t="str">
        <f t="array" ref="F563:F563">OFFSET(E563,-1,1)</f>
        <v>3</v>
      </c>
      <c r="G563" s="103"/>
      <c r="H563" s="103"/>
      <c r="I563" s="103"/>
      <c r="J563" s="103"/>
      <c r="K563" s="103" t="s">
        <v>2395</v>
      </c>
      <c r="L563" s="988"/>
      <c r="M563" s="103"/>
      <c r="N563" s="103"/>
      <c r="O563" s="103"/>
      <c r="P563" s="103"/>
      <c r="Q563" s="103"/>
      <c r="R563" s="103"/>
      <c r="S563" s="103"/>
      <c r="T563" s="867" cm="1" t="str">
        <f t="array" ref="T563:T563">T562</f>
        <v>true</v>
      </c>
      <c r="U563" s="103"/>
      <c r="V563" s="103"/>
      <c r="W563" s="103"/>
      <c r="X563" s="1559"/>
      <c r="Y563" s="1297"/>
      <c r="Z563" s="1529"/>
      <c r="AA563" s="1297"/>
      <c r="AB563" s="804" t="s">
        <v>2396</v>
      </c>
      <c r="AC563" s="805" t="s">
        <v>2397</v>
      </c>
      <c r="AD563" s="804" t="s">
        <v>561</v>
      </c>
      <c r="AE563" s="1267"/>
      <c r="AF563" s="1267"/>
      <c r="AG563" s="1267"/>
      <c r="AH563" s="770"/>
      <c r="AI563" s="1267"/>
      <c r="AJ563" s="1267"/>
      <c r="AK563" s="1267"/>
      <c r="AL563" s="1267"/>
      <c r="AM563" s="1267"/>
      <c r="AN563" s="1267"/>
      <c r="AO563" s="1267"/>
      <c r="AP563" s="1267"/>
      <c r="AQ563" s="1267"/>
      <c r="AR563" s="1267"/>
      <c r="AS563" s="1267"/>
      <c r="AT563" s="1267"/>
      <c r="AU563" s="1267"/>
      <c r="AV563" s="1267"/>
      <c r="AW563" s="1267"/>
      <c r="AX563" s="1267"/>
      <c r="AY563" s="1267"/>
      <c r="AZ563" s="1267"/>
      <c r="BA563" s="1267"/>
      <c r="BB563" s="1267"/>
      <c r="BC563" s="1267"/>
      <c r="BD563" s="770"/>
      <c r="BE563" s="770"/>
      <c r="BF563" s="770"/>
      <c r="BG563" s="770"/>
      <c r="BH563" s="770"/>
      <c r="BI563" s="770"/>
      <c r="BJ563" s="770"/>
      <c r="BK563" s="770"/>
      <c r="BL563" s="770"/>
      <c r="BM563" s="770"/>
      <c r="BN563" s="1268"/>
      <c r="BO563" s="1268"/>
      <c r="BP563" s="1268"/>
      <c r="BQ563" s="1297"/>
      <c r="BR563" s="1297"/>
      <c r="BS563" s="1072" t="s">
        <v>2398</v>
      </c>
      <c r="BT563" s="1072"/>
      <c r="BU563" s="1072"/>
      <c r="BV563" s="987"/>
      <c r="BW563" s="987"/>
    </row>
    <row s="1656" customFormat="1" customHeight="1" ht="14.25" hidden="1">
      <c r="A564" s="1297"/>
      <c r="B564" s="867" cm="1" t="str">
        <f t="array" ref="B564:B564">B563</f>
        <v>false</v>
      </c>
      <c r="C564" s="103"/>
      <c r="D564" s="103"/>
      <c r="E564" s="626">
        <v>15</v>
      </c>
      <c r="F564" s="50" cm="1" t="str">
        <f t="array" ref="F564:F564">OFFSET(E564,-1,1)</f>
        <v>3</v>
      </c>
      <c r="G564" s="103"/>
      <c r="H564" s="103"/>
      <c r="I564" s="103"/>
      <c r="J564" s="103"/>
      <c r="K564" s="103" t="s">
        <v>1127</v>
      </c>
      <c r="L564" s="988"/>
      <c r="M564" s="103"/>
      <c r="N564" s="103"/>
      <c r="O564" s="103"/>
      <c r="P564" s="103"/>
      <c r="Q564" s="103"/>
      <c r="R564" s="103"/>
      <c r="S564" s="103"/>
      <c r="T564" s="867" cm="1" t="str">
        <f t="array" ref="T564:T564">T563</f>
        <v>true</v>
      </c>
      <c r="U564" s="103"/>
      <c r="V564" s="103"/>
      <c r="W564" s="103"/>
      <c r="X564" s="1559"/>
      <c r="Y564" s="1297"/>
      <c r="Z564" s="1529"/>
      <c r="AA564" s="1297"/>
      <c r="AB564" s="804" t="s">
        <v>1128</v>
      </c>
      <c r="AC564" s="803" t="s">
        <v>2399</v>
      </c>
      <c r="AD564" s="804" t="s">
        <v>561</v>
      </c>
      <c r="AE564" s="1267"/>
      <c r="AF564" s="1267"/>
      <c r="AG564" s="1267"/>
      <c r="AH564" s="770"/>
      <c r="AI564" s="1267"/>
      <c r="AJ564" s="1267"/>
      <c r="AK564" s="1267"/>
      <c r="AL564" s="1267"/>
      <c r="AM564" s="1267"/>
      <c r="AN564" s="1267"/>
      <c r="AO564" s="1267"/>
      <c r="AP564" s="1267"/>
      <c r="AQ564" s="1267"/>
      <c r="AR564" s="1267"/>
      <c r="AS564" s="1267"/>
      <c r="AT564" s="1267"/>
      <c r="AU564" s="1267"/>
      <c r="AV564" s="1267"/>
      <c r="AW564" s="1267"/>
      <c r="AX564" s="1267"/>
      <c r="AY564" s="1267"/>
      <c r="AZ564" s="1267"/>
      <c r="BA564" s="1267"/>
      <c r="BB564" s="1267"/>
      <c r="BC564" s="1267"/>
      <c r="BD564" s="770"/>
      <c r="BE564" s="770"/>
      <c r="BF564" s="770"/>
      <c r="BG564" s="770"/>
      <c r="BH564" s="770"/>
      <c r="BI564" s="770"/>
      <c r="BJ564" s="770"/>
      <c r="BK564" s="770"/>
      <c r="BL564" s="770"/>
      <c r="BM564" s="770"/>
      <c r="BN564" s="1268"/>
      <c r="BO564" s="1268"/>
      <c r="BP564" s="1268"/>
      <c r="BQ564" s="1297"/>
      <c r="BR564" s="1297"/>
      <c r="BS564" s="1072" t="s">
        <v>2400</v>
      </c>
      <c r="BT564" s="1072"/>
      <c r="BU564" s="1072"/>
      <c r="BV564" s="987"/>
      <c r="BW564" s="987"/>
    </row>
    <row s="1656" customFormat="1" customHeight="1" ht="14.25" hidden="1">
      <c r="A565" s="1297"/>
      <c r="B565" s="867" cm="1" t="str">
        <f t="array" ref="B565:B565">B564</f>
        <v>false</v>
      </c>
      <c r="C565" s="103"/>
      <c r="D565" s="103"/>
      <c r="E565" s="626">
        <v>15</v>
      </c>
      <c r="F565" s="50" cm="1" t="str">
        <f t="array" ref="F565:F565">OFFSET(E565,-1,1)</f>
        <v>3</v>
      </c>
      <c r="G565" s="103"/>
      <c r="H565" s="103"/>
      <c r="I565" s="103"/>
      <c r="J565" s="103"/>
      <c r="K565" s="103" t="s">
        <v>2401</v>
      </c>
      <c r="L565" s="988"/>
      <c r="M565" s="103"/>
      <c r="N565" s="103"/>
      <c r="O565" s="103"/>
      <c r="P565" s="103"/>
      <c r="Q565" s="103"/>
      <c r="R565" s="103"/>
      <c r="S565" s="103"/>
      <c r="T565" s="867" cm="1" t="str">
        <f t="array" ref="T565:T565">T564</f>
        <v>true</v>
      </c>
      <c r="U565" s="103"/>
      <c r="V565" s="103"/>
      <c r="W565" s="103"/>
      <c r="X565" s="1559"/>
      <c r="Y565" s="1297"/>
      <c r="Z565" s="1529"/>
      <c r="AA565" s="1297"/>
      <c r="AB565" s="804" t="s">
        <v>2402</v>
      </c>
      <c r="AC565" s="805" t="s">
        <v>2403</v>
      </c>
      <c r="AD565" s="804" t="s">
        <v>561</v>
      </c>
      <c r="AE565" s="1267"/>
      <c r="AF565" s="1267"/>
      <c r="AG565" s="1267"/>
      <c r="AH565" s="770"/>
      <c r="AI565" s="1267"/>
      <c r="AJ565" s="1267"/>
      <c r="AK565" s="1267"/>
      <c r="AL565" s="1267"/>
      <c r="AM565" s="1267"/>
      <c r="AN565" s="1267"/>
      <c r="AO565" s="1267"/>
      <c r="AP565" s="1267"/>
      <c r="AQ565" s="1267"/>
      <c r="AR565" s="1267"/>
      <c r="AS565" s="1267"/>
      <c r="AT565" s="1267"/>
      <c r="AU565" s="1267"/>
      <c r="AV565" s="1267"/>
      <c r="AW565" s="1267"/>
      <c r="AX565" s="1267"/>
      <c r="AY565" s="1267"/>
      <c r="AZ565" s="1267"/>
      <c r="BA565" s="1267"/>
      <c r="BB565" s="1267"/>
      <c r="BC565" s="1267"/>
      <c r="BD565" s="770"/>
      <c r="BE565" s="770"/>
      <c r="BF565" s="770"/>
      <c r="BG565" s="770"/>
      <c r="BH565" s="770"/>
      <c r="BI565" s="770"/>
      <c r="BJ565" s="770"/>
      <c r="BK565" s="770"/>
      <c r="BL565" s="770"/>
      <c r="BM565" s="770"/>
      <c r="BN565" s="1268"/>
      <c r="BO565" s="1268"/>
      <c r="BP565" s="1268"/>
      <c r="BQ565" s="1297"/>
      <c r="BR565" s="1297"/>
      <c r="BS565" s="1072" t="s">
        <v>2404</v>
      </c>
      <c r="BT565" s="1072"/>
      <c r="BU565" s="1072"/>
      <c r="BV565" s="987"/>
      <c r="BW565" s="987"/>
    </row>
    <row s="1656" customFormat="1" customHeight="1" ht="14.25" hidden="1">
      <c r="A566" s="1297"/>
      <c r="B566" s="867" cm="1" t="str">
        <f t="array" ref="B566:B566">B565</f>
        <v>false</v>
      </c>
      <c r="C566" s="103"/>
      <c r="D566" s="103"/>
      <c r="E566" s="626">
        <v>15</v>
      </c>
      <c r="F566" s="50" cm="1" t="str">
        <f t="array" ref="F566:F566">OFFSET(E566,-1,1)</f>
        <v>3</v>
      </c>
      <c r="G566" s="103"/>
      <c r="H566" s="103"/>
      <c r="I566" s="103"/>
      <c r="J566" s="103"/>
      <c r="K566" s="103" t="s">
        <v>2405</v>
      </c>
      <c r="L566" s="988"/>
      <c r="M566" s="103"/>
      <c r="N566" s="103"/>
      <c r="O566" s="103"/>
      <c r="P566" s="103"/>
      <c r="Q566" s="103"/>
      <c r="R566" s="103"/>
      <c r="S566" s="103"/>
      <c r="T566" s="867" cm="1" t="str">
        <f t="array" ref="T566:T566">T565</f>
        <v>true</v>
      </c>
      <c r="U566" s="103"/>
      <c r="V566" s="103"/>
      <c r="W566" s="103"/>
      <c r="X566" s="1559"/>
      <c r="Y566" s="1297"/>
      <c r="Z566" s="1529"/>
      <c r="AA566" s="1297"/>
      <c r="AB566" s="804" t="s">
        <v>2406</v>
      </c>
      <c r="AC566" s="805" t="s">
        <v>2407</v>
      </c>
      <c r="AD566" s="804" t="s">
        <v>561</v>
      </c>
      <c r="AE566" s="1267"/>
      <c r="AF566" s="1267"/>
      <c r="AG566" s="1267"/>
      <c r="AH566" s="770"/>
      <c r="AI566" s="1267"/>
      <c r="AJ566" s="1267"/>
      <c r="AK566" s="1267"/>
      <c r="AL566" s="1267"/>
      <c r="AM566" s="1267"/>
      <c r="AN566" s="1267"/>
      <c r="AO566" s="1267"/>
      <c r="AP566" s="1267"/>
      <c r="AQ566" s="1267"/>
      <c r="AR566" s="1267"/>
      <c r="AS566" s="1267"/>
      <c r="AT566" s="1267"/>
      <c r="AU566" s="1267"/>
      <c r="AV566" s="1267"/>
      <c r="AW566" s="1267"/>
      <c r="AX566" s="1267"/>
      <c r="AY566" s="1267"/>
      <c r="AZ566" s="1267"/>
      <c r="BA566" s="1267"/>
      <c r="BB566" s="1267"/>
      <c r="BC566" s="1267"/>
      <c r="BD566" s="770"/>
      <c r="BE566" s="770"/>
      <c r="BF566" s="770"/>
      <c r="BG566" s="770"/>
      <c r="BH566" s="770"/>
      <c r="BI566" s="770"/>
      <c r="BJ566" s="770"/>
      <c r="BK566" s="770"/>
      <c r="BL566" s="770"/>
      <c r="BM566" s="770"/>
      <c r="BN566" s="1268"/>
      <c r="BO566" s="1268"/>
      <c r="BP566" s="1268"/>
      <c r="BQ566" s="1297"/>
      <c r="BR566" s="1297"/>
      <c r="BS566" s="1072" t="s">
        <v>2408</v>
      </c>
      <c r="BT566" s="1072"/>
      <c r="BU566" s="1072"/>
      <c r="BV566" s="987"/>
      <c r="BW566" s="987"/>
    </row>
    <row s="6470" customFormat="1" customHeight="1" ht="191.25">
      <c r="A567" s="706"/>
      <c r="B567" s="437"/>
      <c r="C567" s="105"/>
      <c r="D567" s="105" t="str">
        <f>IF(B566,"6","7")</f>
        <v>7</v>
      </c>
      <c r="E567" s="833">
        <v>21</v>
      </c>
      <c r="F567" s="50" cm="1" t="str">
        <f t="array" ref="F567:F567">OFFSET(E567,-1,1)</f>
        <v>3</v>
      </c>
      <c r="G567" s="103" t="s">
        <v>2409</v>
      </c>
      <c r="H567" s="103"/>
      <c r="I567" s="380" t="s">
        <v>2410</v>
      </c>
      <c r="J567" s="105"/>
      <c r="K567" s="376" t="s">
        <v>2410</v>
      </c>
      <c r="L567" s="993"/>
      <c r="M567" s="105"/>
      <c r="N567" s="105"/>
      <c r="O567" s="105"/>
      <c r="P567" s="105"/>
      <c r="Q567" s="105"/>
      <c r="R567" s="105"/>
      <c r="S567" s="105"/>
      <c r="T567" s="468" cm="1" t="str">
        <f t="array" ref="T567:T567">T566</f>
        <v>true</v>
      </c>
      <c r="U567" s="105"/>
      <c r="V567" s="105"/>
      <c r="W567" s="105"/>
      <c r="X567" s="1559"/>
      <c r="Y567" s="706"/>
      <c r="Z567" s="1529"/>
      <c r="AA567" s="706"/>
      <c r="AB567" s="207" cm="1" t="str">
        <f t="array" ref="AB567:AB567">D567</f>
        <v>7</v>
      </c>
      <c r="AC567" s="215" t="s">
        <v>1815</v>
      </c>
      <c r="AD567" s="207" t="s">
        <v>936</v>
      </c>
      <c r="AE567" s="6350">
        <v>-7471.67795</v>
      </c>
      <c r="AF567" s="6350"/>
      <c r="AG567" s="6350"/>
      <c r="AH567" s="785">
        <f>AG567-AF567</f>
        <v>0</v>
      </c>
      <c r="AI567" s="6350">
        <v>6667.9850890542</v>
      </c>
      <c r="AJ567" s="6351">
        <f>_xlfn.SUMIFS('Корректировка НВВ'!$AF$25:$AF$231,'Корректировка НВВ'!$F$25:$F$231,$F567,'Корректировка НВВ'!$I$25:$I$231,$G567)</f>
        <v>21647.5</v>
      </c>
      <c r="AK567" s="1256"/>
      <c r="AL567" s="1256"/>
      <c r="AM567" s="1256"/>
      <c r="AN567" s="1256"/>
      <c r="AO567" s="1256"/>
      <c r="AP567" s="1256"/>
      <c r="AQ567" s="1256"/>
      <c r="AR567" s="1256"/>
      <c r="AS567" s="1256"/>
      <c r="AT567" s="6351">
        <f>_xlfn.SUMIFS('Корректировка НВВ'!$AG$25:$AG$231,'Корректировка НВВ'!$F$25:$F$231,$F567,'Корректировка НВВ'!$I$25:$I$231,$G567)</f>
        <v>21032.02</v>
      </c>
      <c r="AU567" s="1256"/>
      <c r="AV567" s="1256"/>
      <c r="AW567" s="1256"/>
      <c r="AX567" s="1256"/>
      <c r="AY567" s="1256"/>
      <c r="AZ567" s="1256"/>
      <c r="BA567" s="1256"/>
      <c r="BB567" s="1256"/>
      <c r="BC567" s="1256"/>
      <c r="BD567" s="785">
        <f>IF(AI567=0,0,(AT567-AI567)/AI567*100)</f>
        <v>215.417921892552</v>
      </c>
      <c r="BE567" s="785">
        <f>IF(AT567=0,0,(AU567-AT567)/AT567*100)</f>
        <v>-100</v>
      </c>
      <c r="BF567" s="785">
        <f>IF(AU567=0,0,(AV567-AU567)/AU567*100)</f>
        <v>0</v>
      </c>
      <c r="BG567" s="785">
        <f>IF(AV567=0,0,(AW567-AV567)/AV567*100)</f>
        <v>0</v>
      </c>
      <c r="BH567" s="785">
        <f>IF(AW567=0,0,(AX567-AW567)/AW567*100)</f>
        <v>0</v>
      </c>
      <c r="BI567" s="785">
        <f>IF(AX567=0,0,(AY567-AX567)/AX567*100)</f>
        <v>0</v>
      </c>
      <c r="BJ567" s="785">
        <f>IF(AY567=0,0,(AZ567-AY567)/AY567*100)</f>
        <v>0</v>
      </c>
      <c r="BK567" s="785">
        <f>IF(AZ567=0,0,(BA567-AZ567)/AZ567*100)</f>
        <v>0</v>
      </c>
      <c r="BL567" s="785">
        <f>IF(BA567=0,0,(BB567-BA567)/BA567*100)</f>
        <v>0</v>
      </c>
      <c r="BM567" s="785">
        <f>IF(BB567=0,0,(BC567-BB567)/BB567*100)</f>
        <v>0</v>
      </c>
      <c r="BN567" s="6292"/>
      <c r="BO567" s="6294" t="s">
        <v>2452</v>
      </c>
      <c r="BP567" s="6292" t="s">
        <v>2457</v>
      </c>
      <c r="BQ567" s="706"/>
      <c r="BR567" s="706"/>
      <c r="BS567" s="1078" t="s">
        <v>2411</v>
      </c>
      <c r="BT567" s="1078"/>
      <c r="BU567" s="1078"/>
      <c r="BV567" s="713"/>
      <c r="BW567" s="713"/>
    </row>
    <row s="1656" customFormat="1" customHeight="1" ht="14.25">
      <c r="A568" s="1297"/>
      <c r="B568" s="986"/>
      <c r="C568" s="103"/>
      <c r="D568" s="103" cm="1" t="str">
        <f t="array" ref="D568:D568">D567</f>
        <v>7</v>
      </c>
      <c r="E568" s="626">
        <v>15</v>
      </c>
      <c r="F568" s="50" cm="1" t="str">
        <f t="array" ref="F568:F568">OFFSET(E568,-1,1)</f>
        <v>3</v>
      </c>
      <c r="G568" s="103"/>
      <c r="H568" s="103"/>
      <c r="I568" s="103"/>
      <c r="J568" s="103"/>
      <c r="K568" s="1297"/>
      <c r="L568" s="988"/>
      <c r="M568" s="103"/>
      <c r="N568" s="103"/>
      <c r="O568" s="103"/>
      <c r="P568" s="103"/>
      <c r="Q568" s="103"/>
      <c r="R568" s="103"/>
      <c r="S568" s="103"/>
      <c r="T568" s="468" cm="1" t="str">
        <f t="array" ref="T568:T568">T567</f>
        <v>true</v>
      </c>
      <c r="U568" s="103"/>
      <c r="V568" s="103"/>
      <c r="W568" s="103"/>
      <c r="X568" s="1559"/>
      <c r="Y568" s="1297"/>
      <c r="Z568" s="1529"/>
      <c r="AA568" s="1297"/>
      <c r="AB568" s="296"/>
      <c r="AC568" s="454" t="s">
        <v>2412</v>
      </c>
      <c r="AD568" s="296"/>
      <c r="AE568" s="1124"/>
      <c r="AF568" s="1124"/>
      <c r="AG568" s="1124"/>
      <c r="AH568" s="1124"/>
      <c r="AI568" s="1124"/>
      <c r="AJ568" s="1124"/>
      <c r="AK568" s="1124"/>
      <c r="AL568" s="1124"/>
      <c r="AM568" s="1124"/>
      <c r="AN568" s="1124"/>
      <c r="AO568" s="1124"/>
      <c r="AP568" s="1124"/>
      <c r="AQ568" s="1124"/>
      <c r="AR568" s="1124"/>
      <c r="AS568" s="1124"/>
      <c r="AT568" s="1124"/>
      <c r="AU568" s="1124"/>
      <c r="AV568" s="1124"/>
      <c r="AW568" s="1124"/>
      <c r="AX568" s="1124"/>
      <c r="AY568" s="1124"/>
      <c r="AZ568" s="1124"/>
      <c r="BA568" s="1124"/>
      <c r="BB568" s="1124"/>
      <c r="BC568" s="1124"/>
      <c r="BD568" s="1124"/>
      <c r="BE568" s="1124"/>
      <c r="BF568" s="1124"/>
      <c r="BG568" s="1124"/>
      <c r="BH568" s="1124"/>
      <c r="BI568" s="1124"/>
      <c r="BJ568" s="1124"/>
      <c r="BK568" s="1124"/>
      <c r="BL568" s="1124"/>
      <c r="BM568" s="1124"/>
      <c r="BN568" s="1126"/>
      <c r="BO568" s="1126"/>
      <c r="BP568" s="1126"/>
      <c r="BQ568" s="1297"/>
      <c r="BR568" s="1297"/>
      <c r="BS568" s="1072"/>
      <c r="BT568" s="1072"/>
      <c r="BU568" s="1072"/>
      <c r="BV568" s="987"/>
      <c r="BW568" s="987"/>
    </row>
    <row s="1656" customFormat="1" customHeight="1" ht="23.25">
      <c r="A569" s="1297"/>
      <c r="B569" s="986"/>
      <c r="C569" s="103"/>
      <c r="D569" s="103" cm="1" t="str">
        <f t="array" ref="D569:D569">D568</f>
        <v>7</v>
      </c>
      <c r="E569" s="626">
        <v>22.5</v>
      </c>
      <c r="F569" s="50" cm="1" t="str">
        <f t="array" ref="F569:F569">OFFSET(E569,-1,1)</f>
        <v>3</v>
      </c>
      <c r="G569" s="103" t="s">
        <v>386</v>
      </c>
      <c r="H569" s="103"/>
      <c r="I569" s="103" t="s">
        <v>619</v>
      </c>
      <c r="J569" s="103"/>
      <c r="K569" s="154" t="s">
        <v>619</v>
      </c>
      <c r="L569" s="988"/>
      <c r="M569" s="103"/>
      <c r="N569" s="103"/>
      <c r="O569" s="103"/>
      <c r="P569" s="103"/>
      <c r="Q569" s="103"/>
      <c r="R569" s="103"/>
      <c r="S569" s="103"/>
      <c r="T569" s="468" cm="1" t="str">
        <f t="array" ref="T569:T569">T568</f>
        <v>true</v>
      </c>
      <c r="U569" s="103"/>
      <c r="V569" s="103"/>
      <c r="W569" s="103"/>
      <c r="X569" s="1559"/>
      <c r="Y569" s="1297"/>
      <c r="Z569" s="1529"/>
      <c r="AA569" s="1297"/>
      <c r="AB569" s="296" t="str">
        <f>D569&amp;".1"</f>
        <v>7.1</v>
      </c>
      <c r="AC569" s="769" t="s">
        <v>2413</v>
      </c>
      <c r="AD569" s="296" t="s">
        <v>936</v>
      </c>
      <c r="AE569" s="6293">
        <v>0</v>
      </c>
      <c r="AF569" s="6293"/>
      <c r="AG569" s="6293"/>
      <c r="AH569" s="1123">
        <f>AG569-AF569</f>
        <v>0</v>
      </c>
      <c r="AI569" s="6293">
        <v>0</v>
      </c>
      <c r="AJ569" s="6293">
        <f>_xlfn.SUMIFS('Корректировка НВВ'!$AF$25:$AF$231,'Корректировка НВВ'!$F$25:$F$231,$F569,'Корректировка НВВ'!$I$25:$I$231,$G569)</f>
        <v>0</v>
      </c>
      <c r="AK569" s="1260"/>
      <c r="AL569" s="1260"/>
      <c r="AM569" s="1260"/>
      <c r="AN569" s="1260"/>
      <c r="AO569" s="1260"/>
      <c r="AP569" s="1260"/>
      <c r="AQ569" s="1260"/>
      <c r="AR569" s="1260"/>
      <c r="AS569" s="1260"/>
      <c r="AT569" s="6293">
        <f>_xlfn.SUMIFS('Корректировка НВВ'!$AG$25:$AG$231,'Корректировка НВВ'!$F$25:$F$231,$F569,'Корректировка НВВ'!$I$25:$I$231,$G569)</f>
        <v>0</v>
      </c>
      <c r="AU569" s="1260"/>
      <c r="AV569" s="1260"/>
      <c r="AW569" s="1260"/>
      <c r="AX569" s="1260"/>
      <c r="AY569" s="1260"/>
      <c r="AZ569" s="1260"/>
      <c r="BA569" s="1260"/>
      <c r="BB569" s="1260"/>
      <c r="BC569" s="1260"/>
      <c r="BD569" s="1124"/>
      <c r="BE569" s="1124"/>
      <c r="BF569" s="1124"/>
      <c r="BG569" s="1124"/>
      <c r="BH569" s="1124"/>
      <c r="BI569" s="1124"/>
      <c r="BJ569" s="1124"/>
      <c r="BK569" s="1124"/>
      <c r="BL569" s="1124"/>
      <c r="BM569" s="1124"/>
      <c r="BN569" s="6290"/>
      <c r="BO569" s="6294" t="str">
        <f>IF(_xlfn.IFERROR(INDEX('Корректировка НВВ'!$K$26:$L$231,MATCH($F569&amp;"1komm",'Корректировка НВВ'!$K$26:$K$231,0),2),"")=0,"",_xlfn.IFERROR(INDEX('Корректировка НВВ'!$K$26:$L$231,MATCH($F569&amp;"1komm",'Корректировка НВВ'!$K$26:$K$231,0),2),""))</f>
        <v/>
      </c>
      <c r="BP569" s="6290"/>
      <c r="BQ569" s="1297"/>
      <c r="BR569" s="1297"/>
      <c r="BS569" s="1072" t="s">
        <v>2414</v>
      </c>
      <c r="BT569" s="1072"/>
      <c r="BU569" s="1072"/>
      <c r="BV569" s="987"/>
      <c r="BW569" s="987"/>
    </row>
    <row s="1656" customFormat="1" customHeight="1" ht="98.71875">
      <c r="A570" s="1297"/>
      <c r="B570" s="986"/>
      <c r="C570" s="103"/>
      <c r="D570" s="103" cm="1" t="str">
        <f t="array" ref="D570:D570">D569</f>
        <v>7</v>
      </c>
      <c r="E570" s="626">
        <v>101.25</v>
      </c>
      <c r="F570" s="50" cm="1" t="str">
        <f t="array" ref="F570:F570">OFFSET(E570,-1,1)</f>
        <v>3</v>
      </c>
      <c r="G570" s="103" t="s">
        <v>2415</v>
      </c>
      <c r="H570" s="103"/>
      <c r="I570" s="103" t="s">
        <v>685</v>
      </c>
      <c r="J570" s="103"/>
      <c r="K570" s="154" t="s">
        <v>685</v>
      </c>
      <c r="L570" s="988"/>
      <c r="M570" s="103"/>
      <c r="N570" s="103"/>
      <c r="O570" s="103"/>
      <c r="P570" s="103"/>
      <c r="Q570" s="103"/>
      <c r="R570" s="103"/>
      <c r="S570" s="103"/>
      <c r="T570" s="468" cm="1" t="str">
        <f t="array" ref="T570:T570">T569</f>
        <v>true</v>
      </c>
      <c r="U570" s="103"/>
      <c r="V570" s="103"/>
      <c r="W570" s="103"/>
      <c r="X570" s="1559"/>
      <c r="Y570" s="1297"/>
      <c r="Z570" s="1529"/>
      <c r="AA570" s="1297"/>
      <c r="AB570" s="296" t="str">
        <f>D570&amp;".2"</f>
        <v>7.2</v>
      </c>
      <c r="AC570" s="769" t="s">
        <v>2416</v>
      </c>
      <c r="AD570" s="296" t="s">
        <v>936</v>
      </c>
      <c r="AE570" s="6293">
        <v>0</v>
      </c>
      <c r="AF570" s="6293"/>
      <c r="AG570" s="6293"/>
      <c r="AH570" s="1123">
        <f>AG570-AF570</f>
        <v>0</v>
      </c>
      <c r="AI570" s="6293">
        <v>0</v>
      </c>
      <c r="AJ570" s="6293">
        <f>_xlfn.SUMIFS('Корректировка НВВ'!$AF$25:$AF$231,'Корректировка НВВ'!$F$25:$F$231,$F570,'Корректировка НВВ'!$I$25:$I$231,$G570)</f>
        <v>0</v>
      </c>
      <c r="AK570" s="1260"/>
      <c r="AL570" s="1260"/>
      <c r="AM570" s="1260"/>
      <c r="AN570" s="1260"/>
      <c r="AO570" s="1260"/>
      <c r="AP570" s="1260"/>
      <c r="AQ570" s="1260"/>
      <c r="AR570" s="1260"/>
      <c r="AS570" s="1260"/>
      <c r="AT570" s="6293">
        <f>_xlfn.SUMIFS('Корректировка НВВ'!$AG$25:$AG$231,'Корректировка НВВ'!$F$25:$F$231,$F570,'Корректировка НВВ'!$I$25:$I$231,$G570)</f>
        <v>0</v>
      </c>
      <c r="AU570" s="1260"/>
      <c r="AV570" s="1260"/>
      <c r="AW570" s="1260"/>
      <c r="AX570" s="1260"/>
      <c r="AY570" s="1260"/>
      <c r="AZ570" s="1260"/>
      <c r="BA570" s="1260"/>
      <c r="BB570" s="1260"/>
      <c r="BC570" s="1260"/>
      <c r="BD570" s="1124"/>
      <c r="BE570" s="1124"/>
      <c r="BF570" s="1124"/>
      <c r="BG570" s="1124"/>
      <c r="BH570" s="1124"/>
      <c r="BI570" s="1124"/>
      <c r="BJ570" s="1124"/>
      <c r="BK570" s="1124"/>
      <c r="BL570" s="1124"/>
      <c r="BM570" s="1124"/>
      <c r="BN570" s="6290"/>
      <c r="BO570" s="6294" t="str">
        <f>IF(_xlfn.IFERROR(INDEX('Корректировка НВВ'!$K$26:$L$231,MATCH($F570&amp;"2komm",'Корректировка НВВ'!$K$26:$K$231,0),2),"")=0,"",_xlfn.IFERROR(INDEX('Корректировка НВВ'!$K$26:$L$231,MATCH($F570&amp;"2komm",'Корректировка НВВ'!$K$26:$K$231,0),2),""))</f>
        <v/>
      </c>
      <c r="BP570" s="6290"/>
      <c r="BQ570" s="1297"/>
      <c r="BR570" s="1297"/>
      <c r="BS570" s="1072" t="s">
        <v>2417</v>
      </c>
      <c r="BT570" s="1072"/>
      <c r="BU570" s="1072"/>
      <c r="BV570" s="987"/>
      <c r="BW570" s="987"/>
    </row>
    <row s="1656" customFormat="1" customHeight="1" ht="43.875">
      <c r="A571" s="1297"/>
      <c r="B571" s="986"/>
      <c r="C571" s="103"/>
      <c r="D571" s="103" cm="1" t="str">
        <f t="array" ref="D571:D571">D570</f>
        <v>7</v>
      </c>
      <c r="E571" s="626">
        <v>45</v>
      </c>
      <c r="F571" s="50" cm="1" t="str">
        <f t="array" ref="F571:F571">OFFSET(E571,-1,1)</f>
        <v>3</v>
      </c>
      <c r="G571" s="103"/>
      <c r="H571" s="103"/>
      <c r="I571" s="103" t="s">
        <v>700</v>
      </c>
      <c r="J571" s="103"/>
      <c r="K571" s="154" t="s">
        <v>700</v>
      </c>
      <c r="L571" s="988"/>
      <c r="M571" s="103"/>
      <c r="N571" s="103"/>
      <c r="O571" s="103"/>
      <c r="P571" s="103"/>
      <c r="Q571" s="103"/>
      <c r="R571" s="103"/>
      <c r="S571" s="103"/>
      <c r="T571" s="468" cm="1" t="str">
        <f t="array" ref="T571:T571">T570</f>
        <v>true</v>
      </c>
      <c r="U571" s="103"/>
      <c r="V571" s="103"/>
      <c r="W571" s="103"/>
      <c r="X571" s="1559"/>
      <c r="Y571" s="1297"/>
      <c r="Z571" s="1529"/>
      <c r="AA571" s="1297"/>
      <c r="AB571" s="296" t="str">
        <f>D571&amp;".3"</f>
        <v>7.3</v>
      </c>
      <c r="AC571" s="769" t="s">
        <v>2418</v>
      </c>
      <c r="AD571" s="296" t="s">
        <v>936</v>
      </c>
      <c r="AE571" s="6293">
        <v>0</v>
      </c>
      <c r="AF571" s="6293"/>
      <c r="AG571" s="6293"/>
      <c r="AH571" s="1123">
        <f>AG571-AF571</f>
        <v>0</v>
      </c>
      <c r="AI571" s="6293">
        <v>21187.2266890542</v>
      </c>
      <c r="AJ571" s="6293">
        <f>_xlfn.SUMIFS('Корректировка НВВ'!$AF$25:$AF$231,'Корректировка НВВ'!$F$25:$F$231,$F571,'Корректировка НВВ'!$I$25:$I$231,"L1")+_xlfn.SUMIFS('Корректировка НВВ'!$AF$25:$AF$231,'Корректировка НВВ'!$F$25:$F$231,$F571,'Корректировка НВВ'!$I$25:$I$231,"L2")</f>
        <v>21647.5</v>
      </c>
      <c r="AK571" s="1260"/>
      <c r="AL571" s="1260"/>
      <c r="AM571" s="1260"/>
      <c r="AN571" s="1260"/>
      <c r="AO571" s="1260"/>
      <c r="AP571" s="1260"/>
      <c r="AQ571" s="1260"/>
      <c r="AR571" s="1260"/>
      <c r="AS571" s="1260"/>
      <c r="AT571" s="6293">
        <f>_xlfn.SUMIFS('Корректировка НВВ'!$AG$25:$AG$231,'Корректировка НВВ'!$F$25:$F$231,$F571,'Корректировка НВВ'!$I$25:$I$231,"L1")+_xlfn.SUMIFS('Корректировка НВВ'!$AF$25:$AF$231,'Корректировка НВВ'!$F$25:$F$231,$F571,'Корректировка НВВ'!$I$25:$I$231,"L2")</f>
        <v>21032.02</v>
      </c>
      <c r="AU571" s="1260"/>
      <c r="AV571" s="1260"/>
      <c r="AW571" s="1260"/>
      <c r="AX571" s="1260"/>
      <c r="AY571" s="1260"/>
      <c r="AZ571" s="1260"/>
      <c r="BA571" s="1260"/>
      <c r="BB571" s="1260"/>
      <c r="BC571" s="1260"/>
      <c r="BD571" s="1124"/>
      <c r="BE571" s="1124"/>
      <c r="BF571" s="1124"/>
      <c r="BG571" s="1124"/>
      <c r="BH571" s="1124"/>
      <c r="BI571" s="1124"/>
      <c r="BJ571" s="1124"/>
      <c r="BK571" s="1124"/>
      <c r="BL571" s="1124"/>
      <c r="BM571" s="1124"/>
      <c r="BN571" s="6290"/>
      <c r="BO571" s="6294"/>
      <c r="BP571" s="6290"/>
      <c r="BQ571" s="1297"/>
      <c r="BR571" s="1297"/>
      <c r="BS571" s="1072" t="s">
        <v>2419</v>
      </c>
      <c r="BT571" s="1072"/>
      <c r="BU571" s="1072"/>
      <c r="BV571" s="987"/>
      <c r="BW571" s="987"/>
    </row>
    <row s="1656" customFormat="1" customHeight="1" ht="87.75">
      <c r="A572" s="1297"/>
      <c r="B572" s="447">
        <f>S459="Водоотведение"</f>
        <v>1</v>
      </c>
      <c r="C572" s="103"/>
      <c r="D572" s="103" cm="1" t="str">
        <f t="array" ref="D572:D572">D571</f>
        <v>7</v>
      </c>
      <c r="E572" s="626">
        <v>90</v>
      </c>
      <c r="F572" s="50" cm="1" t="str">
        <f t="array" ref="F572:F572">OFFSET(E572,-1,1)</f>
        <v>3</v>
      </c>
      <c r="G572" s="103" t="s">
        <v>2420</v>
      </c>
      <c r="H572" s="855"/>
      <c r="I572" s="103" t="s">
        <v>866</v>
      </c>
      <c r="J572" s="103"/>
      <c r="K572" s="154" t="s">
        <v>866</v>
      </c>
      <c r="L572" s="988" t="s">
        <v>864</v>
      </c>
      <c r="M572" s="103"/>
      <c r="N572" s="103"/>
      <c r="O572" s="103"/>
      <c r="P572" s="103"/>
      <c r="Q572" s="103"/>
      <c r="R572" s="103"/>
      <c r="S572" s="103"/>
      <c r="T572" s="468" cm="1" t="str">
        <f t="array" ref="T572:T572">T571</f>
        <v>true</v>
      </c>
      <c r="U572" s="103"/>
      <c r="V572" s="103"/>
      <c r="W572" s="103"/>
      <c r="X572" s="1559"/>
      <c r="Y572" s="1297"/>
      <c r="Z572" s="1529"/>
      <c r="AA572" s="1297"/>
      <c r="AB572" s="296" t="str">
        <f>D572&amp;".4"</f>
        <v>7.4</v>
      </c>
      <c r="AC572" s="769" t="s">
        <v>2090</v>
      </c>
      <c r="AD572" s="773" t="s">
        <v>936</v>
      </c>
      <c r="AE572" s="6293">
        <v>19907.77795</v>
      </c>
      <c r="AF572" s="6293"/>
      <c r="AG572" s="6293"/>
      <c r="AH572" s="1123">
        <f>AG572-AF572</f>
        <v>0</v>
      </c>
      <c r="AI572" s="6293">
        <v>7249.722</v>
      </c>
      <c r="AJ572" s="6293">
        <f>_xlfn.SUMIFS('Корректировка НВВ'!$AF$25:$AF$231,'Корректировка НВВ'!$F$25:$F$231,$F572,'Корректировка НВВ'!$I$25:$I$231,$G572)</f>
        <v>0</v>
      </c>
      <c r="AK572" s="1260"/>
      <c r="AL572" s="1260"/>
      <c r="AM572" s="1260"/>
      <c r="AN572" s="1260"/>
      <c r="AO572" s="1260"/>
      <c r="AP572" s="1260"/>
      <c r="AQ572" s="1260"/>
      <c r="AR572" s="1260"/>
      <c r="AS572" s="1260"/>
      <c r="AT572" s="6293">
        <f>_xlfn.SUMIFS('Корректировка НВВ'!$AG$25:$AG$231,'Корректировка НВВ'!$F$25:$F$231,$F572,'Корректировка НВВ'!$I$25:$I$231,$G572)</f>
        <v>0</v>
      </c>
      <c r="AU572" s="1260"/>
      <c r="AV572" s="1260"/>
      <c r="AW572" s="1260"/>
      <c r="AX572" s="1260"/>
      <c r="AY572" s="1260"/>
      <c r="AZ572" s="1260"/>
      <c r="BA572" s="1260"/>
      <c r="BB572" s="1260"/>
      <c r="BC572" s="1260"/>
      <c r="BD572" s="1124"/>
      <c r="BE572" s="1124"/>
      <c r="BF572" s="1124"/>
      <c r="BG572" s="1124"/>
      <c r="BH572" s="1124"/>
      <c r="BI572" s="1124"/>
      <c r="BJ572" s="1124"/>
      <c r="BK572" s="1124"/>
      <c r="BL572" s="1124"/>
      <c r="BM572" s="1124"/>
      <c r="BN572" s="6290"/>
      <c r="BO572" s="6294" t="str">
        <f>IF(_xlfn.IFERROR(INDEX('Корректировка НВВ'!$K$26:$L$231,MATCH($F572&amp;"3komm",'Корректировка НВВ'!$K$26:$K$231,0),2),"")=0,"",_xlfn.IFERROR(INDEX('Корректировка НВВ'!$K$26:$L$231,MATCH($F572&amp;"3komm",'Корректировка НВВ'!$K$26:$K$231,0),2),""))</f>
        <v/>
      </c>
      <c r="BP572" s="6290"/>
      <c r="BQ572" s="1297"/>
      <c r="BR572" s="1297"/>
      <c r="BS572" s="1072" t="s">
        <v>1580</v>
      </c>
      <c r="BT572" s="1072"/>
      <c r="BU572" s="1072"/>
      <c r="BV572" s="987"/>
      <c r="BW572" s="987"/>
    </row>
    <row s="1656" customFormat="1" customHeight="1" ht="54.84375">
      <c r="A573" s="1297"/>
      <c r="B573" s="447" cm="1" t="str">
        <f t="array" ref="B573:B573">B572</f>
        <v>true</v>
      </c>
      <c r="C573" s="103"/>
      <c r="D573" s="103" cm="1" t="str">
        <f t="array" ref="D573:D573">D572</f>
        <v>7</v>
      </c>
      <c r="E573" s="626">
        <v>56.25</v>
      </c>
      <c r="F573" s="50" cm="1" t="str">
        <f t="array" ref="F573:F573">OFFSET(E573,-1,1)</f>
        <v>3</v>
      </c>
      <c r="G573" s="103" t="s">
        <v>2421</v>
      </c>
      <c r="H573" s="855"/>
      <c r="I573" s="103" t="s">
        <v>914</v>
      </c>
      <c r="J573" s="103"/>
      <c r="K573" s="154" t="s">
        <v>914</v>
      </c>
      <c r="L573" s="988" t="s">
        <v>866</v>
      </c>
      <c r="M573" s="103"/>
      <c r="N573" s="103"/>
      <c r="O573" s="103"/>
      <c r="P573" s="103"/>
      <c r="Q573" s="103"/>
      <c r="R573" s="103"/>
      <c r="S573" s="103"/>
      <c r="T573" s="468" cm="1" t="str">
        <f t="array" ref="T573:T573">T572</f>
        <v>true</v>
      </c>
      <c r="U573" s="103"/>
      <c r="V573" s="103"/>
      <c r="W573" s="103"/>
      <c r="X573" s="1559"/>
      <c r="Y573" s="1297"/>
      <c r="Z573" s="1529"/>
      <c r="AA573" s="1297"/>
      <c r="AB573" s="296" t="str">
        <f>D573&amp;".5"</f>
        <v>7.5</v>
      </c>
      <c r="AC573" s="769" t="s">
        <v>2091</v>
      </c>
      <c r="AD573" s="773" t="s">
        <v>936</v>
      </c>
      <c r="AE573" s="6293">
        <v>0</v>
      </c>
      <c r="AF573" s="6293"/>
      <c r="AG573" s="6293"/>
      <c r="AH573" s="1123">
        <f>AG573-AF573</f>
        <v>0</v>
      </c>
      <c r="AI573" s="6293">
        <v>16598.5336</v>
      </c>
      <c r="AJ573" s="6293">
        <f>_xlfn.SUMIFS('Корректировка НВВ'!$AF$25:$AF$231,'Корректировка НВВ'!$F$25:$F$231,$F573,'Корректировка НВВ'!$I$25:$I$231,$G573)</f>
        <v>0</v>
      </c>
      <c r="AK573" s="1260"/>
      <c r="AL573" s="1260"/>
      <c r="AM573" s="1260"/>
      <c r="AN573" s="1260"/>
      <c r="AO573" s="1260"/>
      <c r="AP573" s="1260"/>
      <c r="AQ573" s="1260"/>
      <c r="AR573" s="1260"/>
      <c r="AS573" s="1260"/>
      <c r="AT573" s="6293">
        <f>_xlfn.SUMIFS('Корректировка НВВ'!$AG$25:$AG$231,'Корректировка НВВ'!$F$25:$F$231,$F573,'Корректировка НВВ'!$I$25:$I$231,$G573)</f>
        <v>0</v>
      </c>
      <c r="AU573" s="1260"/>
      <c r="AV573" s="1260"/>
      <c r="AW573" s="1260"/>
      <c r="AX573" s="1260"/>
      <c r="AY573" s="1260"/>
      <c r="AZ573" s="1260"/>
      <c r="BA573" s="1260"/>
      <c r="BB573" s="1260"/>
      <c r="BC573" s="1260"/>
      <c r="BD573" s="1124"/>
      <c r="BE573" s="1124"/>
      <c r="BF573" s="1124"/>
      <c r="BG573" s="1124"/>
      <c r="BH573" s="1124"/>
      <c r="BI573" s="1124"/>
      <c r="BJ573" s="1124"/>
      <c r="BK573" s="1124"/>
      <c r="BL573" s="1124"/>
      <c r="BM573" s="1124"/>
      <c r="BN573" s="6290"/>
      <c r="BO573" s="6294" t="str">
        <f>IF(_xlfn.IFERROR(INDEX('Корректировка НВВ'!$K$26:$L$231,MATCH($F573&amp;"4komm",'Корректировка НВВ'!$K$26:$K$231,0),2),"")=0,"",_xlfn.IFERROR(INDEX('Корректировка НВВ'!$K$26:$L$231,MATCH($F573&amp;"4komm",'Корректировка НВВ'!$K$26:$K$231,0),2),""))</f>
        <v/>
      </c>
      <c r="BP573" s="6290"/>
      <c r="BQ573" s="1297"/>
      <c r="BR573" s="1297"/>
      <c r="BS573" s="1072" t="s">
        <v>1584</v>
      </c>
      <c r="BT573" s="1072"/>
      <c r="BU573" s="1072"/>
      <c r="BV573" s="987"/>
      <c r="BW573" s="987"/>
    </row>
    <row s="1656" customFormat="1" customHeight="1" ht="14.625">
      <c r="A574" s="1297"/>
      <c r="B574" s="429"/>
      <c r="C574" s="103"/>
      <c r="D574" s="103" cm="1" t="str">
        <f t="array" ref="D574:D574">D573</f>
        <v>7</v>
      </c>
      <c r="E574" s="626">
        <v>15</v>
      </c>
      <c r="F574" s="50" cm="1" t="str">
        <f t="array" ref="F574:F574">OFFSET(E574,-1,1)</f>
        <v>3</v>
      </c>
      <c r="G574" s="103" t="s">
        <v>2422</v>
      </c>
      <c r="H574" s="103"/>
      <c r="I574" s="103" t="s">
        <v>915</v>
      </c>
      <c r="J574" s="103"/>
      <c r="K574" s="154" t="s">
        <v>915</v>
      </c>
      <c r="L574" s="988" t="s">
        <v>914</v>
      </c>
      <c r="M574" s="103"/>
      <c r="N574" s="103"/>
      <c r="O574" s="103"/>
      <c r="P574" s="103"/>
      <c r="Q574" s="103"/>
      <c r="R574" s="103"/>
      <c r="S574" s="103"/>
      <c r="T574" s="468" cm="1" t="str">
        <f t="array" ref="T574:T574">T573</f>
        <v>true</v>
      </c>
      <c r="U574" s="103"/>
      <c r="V574" s="103"/>
      <c r="W574" s="103"/>
      <c r="X574" s="1559"/>
      <c r="Y574" s="1297"/>
      <c r="Z574" s="1529"/>
      <c r="AA574" s="1297"/>
      <c r="AB574" s="296" t="str">
        <f>IF(B573,D574&amp;".6",D574&amp;".4")</f>
        <v>7.6</v>
      </c>
      <c r="AC574" s="769" t="s">
        <v>1808</v>
      </c>
      <c r="AD574" s="296" t="s">
        <v>936</v>
      </c>
      <c r="AE574" s="6293">
        <v>12436.1</v>
      </c>
      <c r="AF574" s="6293"/>
      <c r="AG574" s="6293"/>
      <c r="AH574" s="1123">
        <f>AG574-AF574</f>
        <v>0</v>
      </c>
      <c r="AI574" s="6293">
        <v>9374.931</v>
      </c>
      <c r="AJ574" s="6293">
        <f>_xlfn.SUMIFS('Корректировка НВВ'!$AF$25:$AF$231,'Корректировка НВВ'!$F$25:$F$231,$F574,'Корректировка НВВ'!$I$25:$I$231,$G574)</f>
        <v>0</v>
      </c>
      <c r="AK574" s="1260"/>
      <c r="AL574" s="1260"/>
      <c r="AM574" s="1260"/>
      <c r="AN574" s="1260"/>
      <c r="AO574" s="1260"/>
      <c r="AP574" s="1260"/>
      <c r="AQ574" s="1260"/>
      <c r="AR574" s="1260"/>
      <c r="AS574" s="1260"/>
      <c r="AT574" s="6293">
        <f>_xlfn.SUMIFS('Корректировка НВВ'!$AG$25:$AG$231,'Корректировка НВВ'!$F$25:$F$231,$F574,'Корректировка НВВ'!$I$25:$I$231,$G574)</f>
        <v>0</v>
      </c>
      <c r="AU574" s="1260"/>
      <c r="AV574" s="1260"/>
      <c r="AW574" s="1260"/>
      <c r="AX574" s="1260"/>
      <c r="AY574" s="1260"/>
      <c r="AZ574" s="1260"/>
      <c r="BA574" s="1260"/>
      <c r="BB574" s="1260"/>
      <c r="BC574" s="1260"/>
      <c r="BD574" s="1124"/>
      <c r="BE574" s="1124"/>
      <c r="BF574" s="1124"/>
      <c r="BG574" s="1124"/>
      <c r="BH574" s="1124"/>
      <c r="BI574" s="1124"/>
      <c r="BJ574" s="1124"/>
      <c r="BK574" s="1124"/>
      <c r="BL574" s="1124"/>
      <c r="BM574" s="1124"/>
      <c r="BN574" s="6290"/>
      <c r="BO574" s="6294" t="str">
        <f>IF(_xlfn.IFERROR(INDEX('Корректировка НВВ'!$K$26:$L$231,MATCH($F574&amp;"5komm",'Корректировка НВВ'!$K$26:$K$231,0),2),"")=0,"",_xlfn.IFERROR(INDEX('Корректировка НВВ'!$K$26:$L$231,MATCH($F574&amp;"5komm",'Корректировка НВВ'!$K$26:$K$231,0),2),""))</f>
        <v/>
      </c>
      <c r="BP574" s="6290"/>
      <c r="BQ574" s="1297"/>
      <c r="BR574" s="1297"/>
      <c r="BS574" s="1072" t="s">
        <v>2423</v>
      </c>
      <c r="BT574" s="1072"/>
      <c r="BU574" s="1072"/>
      <c r="BV574" s="987"/>
      <c r="BW574" s="987"/>
    </row>
    <row s="1656" customFormat="1" customHeight="1" ht="14.25">
      <c r="A575" s="1297"/>
      <c r="B575" s="986"/>
      <c r="C575" s="103"/>
      <c r="D575" s="103" cm="1" t="str">
        <f t="array" ref="D575:D575">D574</f>
        <v>7</v>
      </c>
      <c r="E575" s="626">
        <v>15</v>
      </c>
      <c r="F575" s="50" cm="1" t="str">
        <f t="array" ref="F575:F575">OFFSET(E575,-1,1)</f>
        <v>3</v>
      </c>
      <c r="G575" s="103" t="s">
        <v>2424</v>
      </c>
      <c r="H575" s="103"/>
      <c r="I575" s="103" t="s">
        <v>2099</v>
      </c>
      <c r="J575" s="103"/>
      <c r="K575" s="154" t="s">
        <v>2099</v>
      </c>
      <c r="L575" s="988" t="s">
        <v>915</v>
      </c>
      <c r="M575" s="103"/>
      <c r="N575" s="103"/>
      <c r="O575" s="103"/>
      <c r="P575" s="103"/>
      <c r="Q575" s="103"/>
      <c r="R575" s="103"/>
      <c r="S575" s="103"/>
      <c r="T575" s="468" cm="1" t="str">
        <f t="array" ref="T575:T575">T574</f>
        <v>true</v>
      </c>
      <c r="U575" s="103"/>
      <c r="V575" s="103"/>
      <c r="W575" s="103"/>
      <c r="X575" s="1559"/>
      <c r="Y575" s="1297"/>
      <c r="Z575" s="1529"/>
      <c r="AA575" s="1297"/>
      <c r="AB575" s="296" t="str">
        <f>IF(B573,D574&amp;".7",D574&amp;".5")</f>
        <v>7.7</v>
      </c>
      <c r="AC575" s="769" t="s">
        <v>1770</v>
      </c>
      <c r="AD575" s="296" t="s">
        <v>936</v>
      </c>
      <c r="AE575" s="6293">
        <f>AE576+AE577</f>
        <v>0</v>
      </c>
      <c r="AF575" s="6293">
        <f>AF576+AF577</f>
        <v>0</v>
      </c>
      <c r="AG575" s="6293">
        <f>AG576+AG577</f>
        <v>0</v>
      </c>
      <c r="AH575" s="1123">
        <f>AG575-AF575</f>
        <v>0</v>
      </c>
      <c r="AI575" s="6293">
        <f>AI576+AI577</f>
        <v>45.917</v>
      </c>
      <c r="AJ575" s="6293">
        <f>_xlfn.SUMIFS('Корректировка НВВ'!$AF$25:$AF$231,'Корректировка НВВ'!$F$25:$F$231,$F575,'Корректировка НВВ'!$I$25:$I$231,$G575)</f>
        <v>0</v>
      </c>
      <c r="AK575" s="1260">
        <f>AK576+AK577</f>
        <v>0</v>
      </c>
      <c r="AL575" s="1260">
        <f>AL576+AL577</f>
        <v>0</v>
      </c>
      <c r="AM575" s="1260">
        <f>AM576+AM577</f>
        <v>0</v>
      </c>
      <c r="AN575" s="1260">
        <f>AN576+AN577</f>
        <v>0</v>
      </c>
      <c r="AO575" s="1260">
        <f>AO576+AO577</f>
        <v>0</v>
      </c>
      <c r="AP575" s="1260">
        <f>AP576+AP577</f>
        <v>0</v>
      </c>
      <c r="AQ575" s="1260">
        <f>AQ576+AQ577</f>
        <v>0</v>
      </c>
      <c r="AR575" s="1260">
        <f>AR576+AR577</f>
        <v>0</v>
      </c>
      <c r="AS575" s="1260">
        <f>AS576+AS577</f>
        <v>0</v>
      </c>
      <c r="AT575" s="6293">
        <f>_xlfn.SUMIFS('Корректировка НВВ'!$AG$25:$AG$231,'Корректировка НВВ'!$F$25:$F$231,$F575,'Корректировка НВВ'!$I$25:$I$231,$G575)</f>
        <v>0</v>
      </c>
      <c r="AU575" s="1260">
        <f>AU576+AU577</f>
        <v>0</v>
      </c>
      <c r="AV575" s="1260">
        <f>AV576+AV577</f>
        <v>0</v>
      </c>
      <c r="AW575" s="1260">
        <f>AW576+AW577</f>
        <v>0</v>
      </c>
      <c r="AX575" s="1260">
        <f>AX576+AX577</f>
        <v>0</v>
      </c>
      <c r="AY575" s="1260">
        <f>AY576+AY577</f>
        <v>0</v>
      </c>
      <c r="AZ575" s="1260">
        <f>AZ576+AZ577</f>
        <v>0</v>
      </c>
      <c r="BA575" s="1260">
        <f>BA576+BA577</f>
        <v>0</v>
      </c>
      <c r="BB575" s="1260">
        <f>BB576+BB577</f>
        <v>0</v>
      </c>
      <c r="BC575" s="1260">
        <f>BC576+BC577</f>
        <v>0</v>
      </c>
      <c r="BD575" s="1123">
        <f>IF(AI575=0,0,(AT575-AI575)/AI575*100)</f>
        <v>-100</v>
      </c>
      <c r="BE575" s="1123">
        <f>IF(AT575=0,0,(AU575-AT575)/AT575*100)</f>
        <v>0</v>
      </c>
      <c r="BF575" s="1123">
        <f>IF(AU575=0,0,(AV575-AU575)/AU575*100)</f>
        <v>0</v>
      </c>
      <c r="BG575" s="1123">
        <f>IF(AV575=0,0,(AW575-AV575)/AV575*100)</f>
        <v>0</v>
      </c>
      <c r="BH575" s="1123">
        <f>IF(AW575=0,0,(AX575-AW575)/AW575*100)</f>
        <v>0</v>
      </c>
      <c r="BI575" s="1123">
        <f>IF(AX575=0,0,(AY575-AX575)/AX575*100)</f>
        <v>0</v>
      </c>
      <c r="BJ575" s="1123">
        <f>IF(AY575=0,0,(AZ575-AY575)/AY575*100)</f>
        <v>0</v>
      </c>
      <c r="BK575" s="1123">
        <f>IF(AZ575=0,0,(BA575-AZ575)/AZ575*100)</f>
        <v>0</v>
      </c>
      <c r="BL575" s="1123">
        <f>IF(BA575=0,0,(BB575-BA575)/BA575*100)</f>
        <v>0</v>
      </c>
      <c r="BM575" s="1123">
        <f>IF(BB575=0,0,(BC575-BB575)/BB575*100)</f>
        <v>0</v>
      </c>
      <c r="BN575" s="6290"/>
      <c r="BO575" s="6294" t="str">
        <f>IF(_xlfn.IFERROR(INDEX('Корректировка НВВ'!$K$26:$L$231,MATCH($F575&amp;"6komm",'Корректировка НВВ'!$K$26:$K$231,0),2),"")=0,"",_xlfn.IFERROR(INDEX('Корректировка НВВ'!$K$26:$L$231,MATCH($F575&amp;"6komm",'Корректировка НВВ'!$K$26:$K$231,0),2),""))</f>
        <v/>
      </c>
      <c r="BP575" s="6290"/>
      <c r="BQ575" s="1297"/>
      <c r="BR575" s="1297"/>
      <c r="BS575" s="1072" t="s">
        <v>1772</v>
      </c>
      <c r="BT575" s="1072"/>
      <c r="BU575" s="1072"/>
      <c r="BV575" s="987"/>
      <c r="BW575" s="987"/>
    </row>
    <row s="1656" customFormat="1" customHeight="1" ht="21.9375">
      <c r="A576" s="1297"/>
      <c r="B576" s="986"/>
      <c r="C576" s="103"/>
      <c r="D576" s="103" cm="1" t="str">
        <f t="array" ref="D576:D576">D575</f>
        <v>7</v>
      </c>
      <c r="E576" s="626">
        <v>22.5</v>
      </c>
      <c r="F576" s="50" cm="1" t="str">
        <f t="array" ref="F576:F576">OFFSET(E576,-1,1)</f>
        <v>3</v>
      </c>
      <c r="G576" s="103" t="s">
        <v>2425</v>
      </c>
      <c r="H576" s="103"/>
      <c r="I576" s="103" t="s">
        <v>2426</v>
      </c>
      <c r="J576" s="103"/>
      <c r="K576" s="154" t="s">
        <v>2426</v>
      </c>
      <c r="L576" s="988" t="s">
        <v>2094</v>
      </c>
      <c r="M576" s="103"/>
      <c r="N576" s="103"/>
      <c r="O576" s="103"/>
      <c r="P576" s="103"/>
      <c r="Q576" s="103"/>
      <c r="R576" s="103"/>
      <c r="S576" s="103"/>
      <c r="T576" s="468" cm="1" t="str">
        <f t="array" ref="T576:T576">T575</f>
        <v>true</v>
      </c>
      <c r="U576" s="103"/>
      <c r="V576" s="103"/>
      <c r="W576" s="103"/>
      <c r="X576" s="1559"/>
      <c r="Y576" s="1297"/>
      <c r="Z576" s="1529"/>
      <c r="AA576" s="1297"/>
      <c r="AB576" s="296" t="str">
        <f>AB575&amp;".1"</f>
        <v>7.7.1</v>
      </c>
      <c r="AC576" s="788" t="s">
        <v>1773</v>
      </c>
      <c r="AD576" s="296" t="s">
        <v>936</v>
      </c>
      <c r="AE576" s="6293">
        <v>0</v>
      </c>
      <c r="AF576" s="6293"/>
      <c r="AG576" s="6293"/>
      <c r="AH576" s="1123">
        <f>AG576-AF576</f>
        <v>0</v>
      </c>
      <c r="AI576" s="6293">
        <v>45.917</v>
      </c>
      <c r="AJ576" s="6293">
        <f>_xlfn.SUMIFS('Корректировка НВВ'!$AF$25:$AF$231,'Корректировка НВВ'!$F$25:$F$231,$F576,'Корректировка НВВ'!$I$25:$I$231,$G576)</f>
        <v>0</v>
      </c>
      <c r="AK576" s="1260"/>
      <c r="AL576" s="1260"/>
      <c r="AM576" s="1260"/>
      <c r="AN576" s="1260"/>
      <c r="AO576" s="1260"/>
      <c r="AP576" s="1260"/>
      <c r="AQ576" s="1260"/>
      <c r="AR576" s="1260"/>
      <c r="AS576" s="1260"/>
      <c r="AT576" s="6293">
        <f>_xlfn.SUMIFS('Корректировка НВВ'!$AG$25:$AG$231,'Корректировка НВВ'!$F$25:$F$231,$F576,'Корректировка НВВ'!$I$25:$I$231,$G576)</f>
        <v>0</v>
      </c>
      <c r="AU576" s="1260"/>
      <c r="AV576" s="1260"/>
      <c r="AW576" s="1260"/>
      <c r="AX576" s="1260"/>
      <c r="AY576" s="1260"/>
      <c r="AZ576" s="1260"/>
      <c r="BA576" s="1260"/>
      <c r="BB576" s="1260"/>
      <c r="BC576" s="1260"/>
      <c r="BD576" s="1124"/>
      <c r="BE576" s="1124"/>
      <c r="BF576" s="1124"/>
      <c r="BG576" s="1124"/>
      <c r="BH576" s="1124"/>
      <c r="BI576" s="1124"/>
      <c r="BJ576" s="1124"/>
      <c r="BK576" s="1124"/>
      <c r="BL576" s="1124"/>
      <c r="BM576" s="1124"/>
      <c r="BN576" s="6290"/>
      <c r="BO576" s="6294" t="str">
        <f>IF(_xlfn.IFERROR(INDEX('Корректировка НВВ'!$K$26:$L$231,MATCH($F576&amp;"7komm",'Корректировка НВВ'!$K$26:$K$231,0),2),"")=0,"",_xlfn.IFERROR(INDEX('Корректировка НВВ'!$K$26:$L$231,MATCH($F576&amp;"7komm",'Корректировка НВВ'!$K$26:$K$231,0),2),""))</f>
        <v/>
      </c>
      <c r="BP576" s="6290"/>
      <c r="BQ576" s="1297"/>
      <c r="BR576" s="1297"/>
      <c r="BS576" s="1072" t="s">
        <v>1774</v>
      </c>
      <c r="BT576" s="1072"/>
      <c r="BU576" s="1072"/>
      <c r="BV576" s="987"/>
      <c r="BW576" s="987"/>
    </row>
    <row s="1656" customFormat="1" customHeight="1" ht="21.9375">
      <c r="A577" s="1297"/>
      <c r="B577" s="986"/>
      <c r="C577" s="103"/>
      <c r="D577" s="103" cm="1" t="str">
        <f t="array" ref="D577:D577">D576</f>
        <v>7</v>
      </c>
      <c r="E577" s="626">
        <v>22.5</v>
      </c>
      <c r="F577" s="50" cm="1" t="str">
        <f t="array" ref="F577:F577">OFFSET(E577,-1,1)</f>
        <v>3</v>
      </c>
      <c r="G577" s="103" t="s">
        <v>2427</v>
      </c>
      <c r="H577" s="103"/>
      <c r="I577" s="103" t="s">
        <v>2428</v>
      </c>
      <c r="J577" s="103"/>
      <c r="K577" s="154" t="s">
        <v>2428</v>
      </c>
      <c r="L577" s="988" t="s">
        <v>2096</v>
      </c>
      <c r="M577" s="103"/>
      <c r="N577" s="103"/>
      <c r="O577" s="103"/>
      <c r="P577" s="103"/>
      <c r="Q577" s="103"/>
      <c r="R577" s="103"/>
      <c r="S577" s="103"/>
      <c r="T577" s="468" cm="1" t="str">
        <f t="array" ref="T577:T577">T576</f>
        <v>true</v>
      </c>
      <c r="U577" s="103"/>
      <c r="V577" s="103"/>
      <c r="W577" s="103"/>
      <c r="X577" s="1559"/>
      <c r="Y577" s="1297"/>
      <c r="Z577" s="1529"/>
      <c r="AA577" s="1297"/>
      <c r="AB577" s="296" t="str">
        <f>AB575&amp;".2"</f>
        <v>7.7.2</v>
      </c>
      <c r="AC577" s="788" t="s">
        <v>1775</v>
      </c>
      <c r="AD577" s="296" t="s">
        <v>936</v>
      </c>
      <c r="AE577" s="6293">
        <v>0</v>
      </c>
      <c r="AF577" s="6293"/>
      <c r="AG577" s="6293"/>
      <c r="AH577" s="1123">
        <f>AG577-AF577</f>
        <v>0</v>
      </c>
      <c r="AI577" s="6293">
        <v>0</v>
      </c>
      <c r="AJ577" s="6293">
        <f>_xlfn.SUMIFS('Корректировка НВВ'!$AF$25:$AF$231,'Корректировка НВВ'!$F$25:$F$231,$F577,'Корректировка НВВ'!$I$25:$I$231,$G577)</f>
        <v>0</v>
      </c>
      <c r="AK577" s="1260"/>
      <c r="AL577" s="1260"/>
      <c r="AM577" s="1260"/>
      <c r="AN577" s="1260"/>
      <c r="AO577" s="1260"/>
      <c r="AP577" s="1260"/>
      <c r="AQ577" s="1260"/>
      <c r="AR577" s="1260"/>
      <c r="AS577" s="1260"/>
      <c r="AT577" s="6293">
        <f>_xlfn.SUMIFS('Корректировка НВВ'!$AG$25:$AG$231,'Корректировка НВВ'!$F$25:$F$231,$F577,'Корректировка НВВ'!$I$25:$I$231,$G577)</f>
        <v>0</v>
      </c>
      <c r="AU577" s="1260"/>
      <c r="AV577" s="1260"/>
      <c r="AW577" s="1260"/>
      <c r="AX577" s="1260"/>
      <c r="AY577" s="1260"/>
      <c r="AZ577" s="1260"/>
      <c r="BA577" s="1260"/>
      <c r="BB577" s="1260"/>
      <c r="BC577" s="1260"/>
      <c r="BD577" s="1124"/>
      <c r="BE577" s="1124"/>
      <c r="BF577" s="1124"/>
      <c r="BG577" s="1124"/>
      <c r="BH577" s="1124"/>
      <c r="BI577" s="1124"/>
      <c r="BJ577" s="1124"/>
      <c r="BK577" s="1124"/>
      <c r="BL577" s="1124"/>
      <c r="BM577" s="1124"/>
      <c r="BN577" s="6290"/>
      <c r="BO577" s="6294" t="str">
        <f>IF(_xlfn.IFERROR(INDEX('Корректировка НВВ'!$K$26:$L$231,MATCH($F577&amp;"8komm",'Корректировка НВВ'!$K$26:$K$231,0),2),"")=0,"",_xlfn.IFERROR(INDEX('Корректировка НВВ'!$K$26:$L$231,MATCH($F577&amp;"8komm",'Корректировка НВВ'!$K$26:$K$231,0),2),""))</f>
        <v/>
      </c>
      <c r="BP577" s="6290"/>
      <c r="BQ577" s="1297"/>
      <c r="BR577" s="1297"/>
      <c r="BS577" s="1072" t="s">
        <v>1776</v>
      </c>
      <c r="BT577" s="1072"/>
      <c r="BU577" s="1072"/>
      <c r="BV577" s="987"/>
      <c r="BW577" s="987"/>
    </row>
    <row s="1656" customFormat="1" customHeight="1" ht="14.625">
      <c r="A578" s="1297"/>
      <c r="B578" s="986"/>
      <c r="C578" s="103"/>
      <c r="D578" s="103" cm="1" t="str">
        <f t="array" ref="D578:D578">D577</f>
        <v>7</v>
      </c>
      <c r="E578" s="626">
        <v>15</v>
      </c>
      <c r="F578" s="50" cm="1" t="str">
        <f t="array" ref="F578:F578">OFFSET(E578,-1,1)</f>
        <v>3</v>
      </c>
      <c r="G578" s="103" t="s">
        <v>332</v>
      </c>
      <c r="H578" s="103"/>
      <c r="I578" s="103" t="s">
        <v>2100</v>
      </c>
      <c r="J578" s="103"/>
      <c r="K578" s="154" t="s">
        <v>2100</v>
      </c>
      <c r="L578" s="988" t="s">
        <v>2099</v>
      </c>
      <c r="M578" s="103"/>
      <c r="N578" s="103"/>
      <c r="O578" s="103"/>
      <c r="P578" s="103"/>
      <c r="Q578" s="103"/>
      <c r="R578" s="103"/>
      <c r="S578" s="103"/>
      <c r="T578" s="468" cm="1" t="str">
        <f t="array" ref="T578:T578">T577</f>
        <v>true</v>
      </c>
      <c r="U578" s="103"/>
      <c r="V578" s="103"/>
      <c r="W578" s="103"/>
      <c r="X578" s="1559"/>
      <c r="Y578" s="1297"/>
      <c r="Z578" s="1529"/>
      <c r="AA578" s="1297"/>
      <c r="AB578" s="296" t="str">
        <f>IF(B573,D574&amp;".8",D574&amp;".6")</f>
        <v>7.8</v>
      </c>
      <c r="AC578" s="789" t="s">
        <v>1777</v>
      </c>
      <c r="AD578" s="296" t="s">
        <v>936</v>
      </c>
      <c r="AE578" s="6293">
        <v>0</v>
      </c>
      <c r="AF578" s="6293"/>
      <c r="AG578" s="6293"/>
      <c r="AH578" s="1123">
        <f>AG578-AF578</f>
        <v>0</v>
      </c>
      <c r="AI578" s="6293">
        <v>0</v>
      </c>
      <c r="AJ578" s="6293">
        <f>_xlfn.SUMIFS('Корректировка НВВ'!$AF$25:$AF$231,'Корректировка НВВ'!$F$25:$F$231,$F578,'Корректировка НВВ'!$I$25:$I$231,$G578)</f>
        <v>0</v>
      </c>
      <c r="AK578" s="1260"/>
      <c r="AL578" s="1260"/>
      <c r="AM578" s="1260"/>
      <c r="AN578" s="1260"/>
      <c r="AO578" s="1260"/>
      <c r="AP578" s="1260"/>
      <c r="AQ578" s="1260"/>
      <c r="AR578" s="1260"/>
      <c r="AS578" s="1260"/>
      <c r="AT578" s="6293">
        <f>_xlfn.SUMIFS('Корректировка НВВ'!$AG$25:$AG$231,'Корректировка НВВ'!$F$25:$F$231,$F578,'Корректировка НВВ'!$I$25:$I$231,$G578)</f>
        <v>0</v>
      </c>
      <c r="AU578" s="1260"/>
      <c r="AV578" s="1260"/>
      <c r="AW578" s="1260"/>
      <c r="AX578" s="1260"/>
      <c r="AY578" s="1260"/>
      <c r="AZ578" s="1260"/>
      <c r="BA578" s="1260"/>
      <c r="BB578" s="1260"/>
      <c r="BC578" s="1260"/>
      <c r="BD578" s="1124"/>
      <c r="BE578" s="1124"/>
      <c r="BF578" s="1124"/>
      <c r="BG578" s="1124"/>
      <c r="BH578" s="1124"/>
      <c r="BI578" s="1124"/>
      <c r="BJ578" s="1124"/>
      <c r="BK578" s="1124"/>
      <c r="BL578" s="1124"/>
      <c r="BM578" s="1124"/>
      <c r="BN578" s="6290"/>
      <c r="BO578" s="6294" t="str">
        <f>IF(_xlfn.IFERROR(INDEX('Корректировка НВВ'!$K$26:$L$231,MATCH($F578&amp;"9komm",'Корректировка НВВ'!$K$26:$K$231,0),2),"")=0,"",_xlfn.IFERROR(INDEX('Корректировка НВВ'!$K$26:$L$231,MATCH($F578&amp;"9komm",'Корректировка НВВ'!$K$26:$K$231,0),2),""))</f>
        <v/>
      </c>
      <c r="BP578" s="6290"/>
      <c r="BQ578" s="1297"/>
      <c r="BR578" s="1297"/>
      <c r="BS578" s="1072" t="s">
        <v>2429</v>
      </c>
      <c r="BT578" s="1072"/>
      <c r="BU578" s="1072"/>
      <c r="BV578" s="987"/>
      <c r="BW578" s="987"/>
    </row>
    <row s="1656" customFormat="1" customHeight="1" ht="14.625">
      <c r="A579" s="1297"/>
      <c r="B579" s="986"/>
      <c r="C579" s="103"/>
      <c r="D579" s="103" cm="1" t="str">
        <f t="array" ref="D579:D579">D578</f>
        <v>7</v>
      </c>
      <c r="E579" s="626">
        <v>15</v>
      </c>
      <c r="F579" s="50" cm="1" t="str">
        <f t="array" ref="F579:F579">OFFSET(E579,-1,1)</f>
        <v>3</v>
      </c>
      <c r="G579" s="103" t="s">
        <v>2430</v>
      </c>
      <c r="H579" s="103"/>
      <c r="I579" s="103" t="s">
        <v>2101</v>
      </c>
      <c r="J579" s="103"/>
      <c r="K579" s="154" t="s">
        <v>2101</v>
      </c>
      <c r="L579" s="988" t="s">
        <v>2100</v>
      </c>
      <c r="M579" s="103"/>
      <c r="N579" s="103"/>
      <c r="O579" s="103"/>
      <c r="P579" s="103"/>
      <c r="Q579" s="103"/>
      <c r="R579" s="103"/>
      <c r="S579" s="103"/>
      <c r="T579" s="468" cm="1" t="str">
        <f t="array" ref="T579:T579">T578</f>
        <v>true</v>
      </c>
      <c r="U579" s="103"/>
      <c r="V579" s="103"/>
      <c r="W579" s="103"/>
      <c r="X579" s="1559"/>
      <c r="Y579" s="1297"/>
      <c r="Z579" s="1529"/>
      <c r="AA579" s="1297"/>
      <c r="AB579" s="296" t="str">
        <f>IF(B573,D574&amp;".9",D574&amp;".7")</f>
        <v>7.9</v>
      </c>
      <c r="AC579" s="789" t="s">
        <v>1779</v>
      </c>
      <c r="AD579" s="296" t="s">
        <v>936</v>
      </c>
      <c r="AE579" s="6293">
        <v>0</v>
      </c>
      <c r="AF579" s="6293"/>
      <c r="AG579" s="6293"/>
      <c r="AH579" s="1123">
        <f>AG579-AF579</f>
        <v>0</v>
      </c>
      <c r="AI579" s="6293">
        <v>0</v>
      </c>
      <c r="AJ579" s="6293">
        <f>_xlfn.SUMIFS('Корректировка НВВ'!$AF$25:$AF$231,'Корректировка НВВ'!$F$25:$F$231,$F579,'Корректировка НВВ'!$I$25:$I$231,$G579)</f>
        <v>0</v>
      </c>
      <c r="AK579" s="1260"/>
      <c r="AL579" s="1260"/>
      <c r="AM579" s="1260"/>
      <c r="AN579" s="1260"/>
      <c r="AO579" s="1260"/>
      <c r="AP579" s="1260"/>
      <c r="AQ579" s="1260"/>
      <c r="AR579" s="1260"/>
      <c r="AS579" s="1260"/>
      <c r="AT579" s="6293">
        <f>_xlfn.SUMIFS('Корректировка НВВ'!$AG$25:$AG$231,'Корректировка НВВ'!$F$25:$F$231,$F579,'Корректировка НВВ'!$I$25:$I$231,$G579)</f>
        <v>0</v>
      </c>
      <c r="AU579" s="1260"/>
      <c r="AV579" s="1260"/>
      <c r="AW579" s="1260"/>
      <c r="AX579" s="1260"/>
      <c r="AY579" s="1260"/>
      <c r="AZ579" s="1260"/>
      <c r="BA579" s="1260"/>
      <c r="BB579" s="1260"/>
      <c r="BC579" s="1260"/>
      <c r="BD579" s="1124"/>
      <c r="BE579" s="1124"/>
      <c r="BF579" s="1124"/>
      <c r="BG579" s="1124"/>
      <c r="BH579" s="1124"/>
      <c r="BI579" s="1124"/>
      <c r="BJ579" s="1124"/>
      <c r="BK579" s="1124"/>
      <c r="BL579" s="1124"/>
      <c r="BM579" s="1124"/>
      <c r="BN579" s="6290"/>
      <c r="BO579" s="6294" t="str">
        <f>IF(_xlfn.IFERROR(INDEX('Корректировка НВВ'!$K$26:$L$231,MATCH($F579&amp;"10komm",'Корректировка НВВ'!$K$26:$K$231,0),2),"")=0,"",_xlfn.IFERROR(INDEX('Корректировка НВВ'!$K$26:$L$231,MATCH($F579&amp;"10komm",'Корректировка НВВ'!$K$26:$K$231,0),2),""))</f>
        <v/>
      </c>
      <c r="BP579" s="6290"/>
      <c r="BQ579" s="1297"/>
      <c r="BR579" s="1297"/>
      <c r="BS579" s="1072" t="s">
        <v>1780</v>
      </c>
      <c r="BT579" s="1072"/>
      <c r="BU579" s="1072"/>
      <c r="BV579" s="987"/>
      <c r="BW579" s="987"/>
    </row>
    <row s="6471" customFormat="1" customHeight="1" ht="33.75">
      <c r="A580" s="706"/>
      <c r="B580" s="437"/>
      <c r="C580" s="105"/>
      <c r="D580" s="105">
        <f>D579+1</f>
        <v>8</v>
      </c>
      <c r="E580" s="833">
        <v>21</v>
      </c>
      <c r="F580" s="50" cm="1" t="str">
        <f t="array" ref="F580:F580">OFFSET(E580,-1,1)</f>
        <v>3</v>
      </c>
      <c r="G580" s="105"/>
      <c r="H580" s="105"/>
      <c r="I580" s="105" t="s">
        <v>707</v>
      </c>
      <c r="J580" s="105"/>
      <c r="K580" s="158" t="s">
        <v>707</v>
      </c>
      <c r="L580" s="993"/>
      <c r="M580" s="105"/>
      <c r="N580" s="105"/>
      <c r="O580" s="105"/>
      <c r="P580" s="105"/>
      <c r="Q580" s="105"/>
      <c r="R580" s="105"/>
      <c r="S580" s="105"/>
      <c r="T580" s="468" cm="1" t="str">
        <f t="array" ref="T580:T580">T579</f>
        <v>true</v>
      </c>
      <c r="U580" s="105"/>
      <c r="V580" s="105"/>
      <c r="W580" s="105"/>
      <c r="X580" s="1559"/>
      <c r="Y580" s="706"/>
      <c r="Z580" s="1529"/>
      <c r="AA580" s="706"/>
      <c r="AB580" s="207" cm="1" t="str">
        <f t="array" ref="AB580:AB580">D580</f>
        <v>8</v>
      </c>
      <c r="AC580" s="208" t="s">
        <v>2431</v>
      </c>
      <c r="AD580" s="207" t="s">
        <v>936</v>
      </c>
      <c r="AE580" s="6350">
        <v>-8873.1132</v>
      </c>
      <c r="AF580" s="6350"/>
      <c r="AG580" s="6350"/>
      <c r="AH580" s="785">
        <f>AG580-AF580</f>
        <v>0</v>
      </c>
      <c r="AI580" s="6350">
        <v>-32476.15</v>
      </c>
      <c r="AJ580" s="6350"/>
      <c r="AK580" s="1256"/>
      <c r="AL580" s="1256"/>
      <c r="AM580" s="1256"/>
      <c r="AN580" s="1256"/>
      <c r="AO580" s="1256"/>
      <c r="AP580" s="1256"/>
      <c r="AQ580" s="1256"/>
      <c r="AR580" s="1256"/>
      <c r="AS580" s="1256"/>
      <c r="AT580" s="6350"/>
      <c r="AU580" s="1256"/>
      <c r="AV580" s="1256"/>
      <c r="AW580" s="1256"/>
      <c r="AX580" s="1256"/>
      <c r="AY580" s="1256"/>
      <c r="AZ580" s="1256"/>
      <c r="BA580" s="1256"/>
      <c r="BB580" s="1256"/>
      <c r="BC580" s="1256"/>
      <c r="BD580" s="212"/>
      <c r="BE580" s="212"/>
      <c r="BF580" s="212"/>
      <c r="BG580" s="212"/>
      <c r="BH580" s="212"/>
      <c r="BI580" s="212"/>
      <c r="BJ580" s="212"/>
      <c r="BK580" s="212"/>
      <c r="BL580" s="212"/>
      <c r="BM580" s="212"/>
      <c r="BN580" s="6292"/>
      <c r="BO580" s="6292" t="s">
        <v>2465</v>
      </c>
      <c r="BP580" s="6292"/>
      <c r="BQ580" s="706"/>
      <c r="BR580" s="706"/>
      <c r="BS580" s="1078" t="s">
        <v>2432</v>
      </c>
      <c r="BT580" s="1078"/>
      <c r="BU580" s="1078"/>
      <c r="BV580" s="713"/>
      <c r="BW580" s="713"/>
    </row>
    <row s="1656" customFormat="1" customHeight="1" ht="14.25">
      <c r="A581" s="1297"/>
      <c r="B581" s="986"/>
      <c r="C581" s="103"/>
      <c r="D581" s="105" cm="1" t="str">
        <f t="array" ref="D581:D581">D580</f>
        <v>8</v>
      </c>
      <c r="E581" s="626">
        <v>15</v>
      </c>
      <c r="F581" s="50" cm="1" t="str">
        <f t="array" ref="F581:F581">OFFSET(E581,-1,1)</f>
        <v>3</v>
      </c>
      <c r="G581" s="103"/>
      <c r="H581" s="103"/>
      <c r="I581" s="103" t="s">
        <v>710</v>
      </c>
      <c r="J581" s="103"/>
      <c r="K581" s="154" t="s">
        <v>710</v>
      </c>
      <c r="L581" s="988"/>
      <c r="M581" s="103"/>
      <c r="N581" s="103"/>
      <c r="O581" s="103"/>
      <c r="P581" s="103"/>
      <c r="Q581" s="103"/>
      <c r="R581" s="103"/>
      <c r="S581" s="103"/>
      <c r="T581" s="468" cm="1" t="str">
        <f t="array" ref="T581:T581">T580</f>
        <v>true</v>
      </c>
      <c r="U581" s="103"/>
      <c r="V581" s="103"/>
      <c r="W581" s="103"/>
      <c r="X581" s="1559"/>
      <c r="Y581" s="1297"/>
      <c r="Z581" s="1529"/>
      <c r="AA581" s="1297"/>
      <c r="AB581" s="296" t="str">
        <f>D581&amp;".1"</f>
        <v>8.1</v>
      </c>
      <c r="AC581" s="769" t="s">
        <v>2433</v>
      </c>
      <c r="AD581" s="296" t="s">
        <v>561</v>
      </c>
      <c r="AE581" s="1123">
        <f>IF(AE582=0,0,AE580/(AE582+AE567)*100)</f>
        <v>-24.8857102019553</v>
      </c>
      <c r="AF581" s="1123">
        <f>IF(AF582=0,0,AF580/(AF582+AF567)*100)</f>
        <v>0</v>
      </c>
      <c r="AG581" s="1123">
        <f>IF(AG582=0,0,AG580/(AG582+AG567)*100)</f>
        <v>0</v>
      </c>
      <c r="AH581" s="1123">
        <f>AG581-AF581</f>
        <v>0</v>
      </c>
      <c r="AI581" s="1123">
        <f>IF(AI582=0,0,AI580/(AI582+AI567)*100)</f>
        <v>-67.9349640972005</v>
      </c>
      <c r="AJ581" s="1123">
        <f>IF(AJ582=0,0,AJ580/(AJ582+AJ567)*100)</f>
        <v>0</v>
      </c>
      <c r="AK581" s="1123">
        <f>IF(AK582=0,0,AK580/(AK582+AK567)*100)</f>
        <v>0</v>
      </c>
      <c r="AL581" s="1123">
        <f>IF(AL582=0,0,AL580/(AL582+AL567)*100)</f>
        <v>0</v>
      </c>
      <c r="AM581" s="1123">
        <f>IF(AM582=0,0,AM580/(AM582+AM567)*100)</f>
        <v>0</v>
      </c>
      <c r="AN581" s="1123">
        <f>IF(AN582=0,0,AN580/(AN582+AN567)*100)</f>
        <v>0</v>
      </c>
      <c r="AO581" s="1123">
        <f>IF(AO582=0,0,AO580/(AO582+AO567)*100)</f>
        <v>0</v>
      </c>
      <c r="AP581" s="1123">
        <f>IF(AP582=0,0,AP580/(AP582+AP567)*100)</f>
        <v>0</v>
      </c>
      <c r="AQ581" s="1123">
        <f>IF(AQ582=0,0,AQ580/(AQ582+AQ567)*100)</f>
        <v>0</v>
      </c>
      <c r="AR581" s="1123">
        <f>IF(AR582=0,0,AR580/(AR582+AR567)*100)</f>
        <v>0</v>
      </c>
      <c r="AS581" s="1123">
        <f>IF(AS582=0,0,AS580/(AS582+AS567)*100)</f>
        <v>0</v>
      </c>
      <c r="AT581" s="1123">
        <f>IF(AT582=0,0,AT580/(AT582+AT567)*100)</f>
        <v>0</v>
      </c>
      <c r="AU581" s="1123">
        <f>IF(AU582=0,0,AU580/(AU582+AU567)*100)</f>
        <v>0</v>
      </c>
      <c r="AV581" s="1123">
        <f>IF(AV582=0,0,AV580/(AV582+AV567)*100)</f>
        <v>0</v>
      </c>
      <c r="AW581" s="1123">
        <f>IF(AW582=0,0,AW580/(AW582+AW567)*100)</f>
        <v>0</v>
      </c>
      <c r="AX581" s="1123">
        <f>IF(AX582=0,0,AX580/(AX582+AX567)*100)</f>
        <v>0</v>
      </c>
      <c r="AY581" s="1123">
        <f>IF(AY582=0,0,AY580/(AY582+AY567)*100)</f>
        <v>0</v>
      </c>
      <c r="AZ581" s="1123">
        <f>IF(AZ582=0,0,AZ580/(AZ582+AZ567)*100)</f>
        <v>0</v>
      </c>
      <c r="BA581" s="1123">
        <f>IF(BA582=0,0,BA580/(BA582+BA567)*100)</f>
        <v>0</v>
      </c>
      <c r="BB581" s="1123">
        <f>IF(BB582=0,0,BB580/(BB582+BB567)*100)</f>
        <v>0</v>
      </c>
      <c r="BC581" s="1123">
        <f>IF(BC582=0,0,BC580/(BC582+BC567)*100)</f>
        <v>0</v>
      </c>
      <c r="BD581" s="1124"/>
      <c r="BE581" s="1124"/>
      <c r="BF581" s="1124"/>
      <c r="BG581" s="1124"/>
      <c r="BH581" s="1124"/>
      <c r="BI581" s="1124"/>
      <c r="BJ581" s="1124"/>
      <c r="BK581" s="1124"/>
      <c r="BL581" s="1124"/>
      <c r="BM581" s="1124"/>
      <c r="BN581" s="6290"/>
      <c r="BO581" s="6290"/>
      <c r="BP581" s="6290"/>
      <c r="BQ581" s="1297"/>
      <c r="BR581" s="1297"/>
      <c r="BS581" s="1072" t="s">
        <v>2434</v>
      </c>
      <c r="BT581" s="1072"/>
      <c r="BU581" s="1072"/>
      <c r="BV581" s="987"/>
      <c r="BW581" s="987"/>
    </row>
    <row s="6472" customFormat="1" customHeight="1" ht="20.25">
      <c r="A582" s="706"/>
      <c r="B582" s="437"/>
      <c r="C582" s="105"/>
      <c r="D582" s="105">
        <f>D581+1</f>
        <v>9</v>
      </c>
      <c r="E582" s="833">
        <v>21</v>
      </c>
      <c r="F582" s="50" cm="1" t="str">
        <f t="array" ref="F582:F582">OFFSET(E582,-1,1)</f>
        <v>3</v>
      </c>
      <c r="G582" s="105"/>
      <c r="H582" s="103"/>
      <c r="I582" s="103" t="s">
        <v>864</v>
      </c>
      <c r="J582" s="105"/>
      <c r="K582" s="154" t="s">
        <v>864</v>
      </c>
      <c r="L582" s="993" t="s">
        <v>2101</v>
      </c>
      <c r="M582" s="105"/>
      <c r="N582" s="105"/>
      <c r="O582" s="105"/>
      <c r="P582" s="105"/>
      <c r="Q582" s="105"/>
      <c r="R582" s="105"/>
      <c r="S582" s="105"/>
      <c r="T582" s="468" cm="1" t="str">
        <f t="array" ref="T582:T582">T581</f>
        <v>true</v>
      </c>
      <c r="U582" s="105"/>
      <c r="V582" s="105"/>
      <c r="W582" s="105"/>
      <c r="X582" s="1559"/>
      <c r="Y582" s="706"/>
      <c r="Z582" s="1529"/>
      <c r="AA582" s="706"/>
      <c r="AB582" s="207" cm="1" t="str">
        <f t="array" ref="AB582:AB582">D582</f>
        <v>9</v>
      </c>
      <c r="AC582" s="208" t="s">
        <v>2102</v>
      </c>
      <c r="AD582" s="230" t="s">
        <v>936</v>
      </c>
      <c r="AE582" s="209">
        <f>AE460+AE510+AE546+AE547+AE549+AE554+AE555+AE558</f>
        <v>43127.13294</v>
      </c>
      <c r="AF582" s="209">
        <f>AF460+AF510+AF546+AF547+AF549+AF554+AF555+AF558</f>
        <v>27078.82</v>
      </c>
      <c r="AG582" s="209">
        <f>AG460+AG510+AG546+AG547+AG549+AG554+AG555+AG558</f>
        <v>30038.017732016</v>
      </c>
      <c r="AH582" s="785">
        <f>AG582-AF582</f>
        <v>2959.197732016</v>
      </c>
      <c r="AI582" s="209">
        <f>AI460+AI510+AI546+AI547+AI549+AI554+AI555+AI558</f>
        <v>41136.78</v>
      </c>
      <c r="AJ582" s="209">
        <f>AJ460+AJ510+AJ546+AJ547+AJ549+AJ554+AJ555+AJ558</f>
        <v>61172.79</v>
      </c>
      <c r="AK582" s="209">
        <f>AK460+AK510+AK546+AK547+AK549+AK554+AK555+AK558</f>
        <v>0</v>
      </c>
      <c r="AL582" s="209">
        <f>AL460+AL510+AL546+AL547+AL549+AL554+AL555+AL558</f>
        <v>0</v>
      </c>
      <c r="AM582" s="209">
        <f>AM460+AM510+AM546+AM547+AM549+AM554+AM555+AM558</f>
        <v>0</v>
      </c>
      <c r="AN582" s="209">
        <f>AN460+AN510+AN546+AN547+AN549+AN554+AN555+AN558</f>
        <v>0</v>
      </c>
      <c r="AO582" s="209">
        <f>AO460+AO510+AO546+AO547+AO549+AO554+AO555+AO558</f>
        <v>0</v>
      </c>
      <c r="AP582" s="209">
        <f>AP460+AP510+AP546+AP547+AP549+AP554+AP555+AP558</f>
        <v>0</v>
      </c>
      <c r="AQ582" s="209">
        <f>AQ460+AQ510+AQ546+AQ547+AQ549+AQ554+AQ555+AQ558</f>
        <v>0</v>
      </c>
      <c r="AR582" s="209">
        <f>AR460+AR510+AR546+AR547+AR549+AR554+AR555+AR558</f>
        <v>0</v>
      </c>
      <c r="AS582" s="209">
        <f>AS460+AS510+AS546+AS547+AS549+AS554+AS555+AS558</f>
        <v>0</v>
      </c>
      <c r="AT582" s="209">
        <f>AT460+AT510+AT546+AT547+AT549+AT554+AT555+AT558</f>
        <v>61407.38</v>
      </c>
      <c r="AU582" s="209">
        <f>AU460+AU510+AU546+AU547+AU549+AU554+AU555+AU558</f>
        <v>0</v>
      </c>
      <c r="AV582" s="209">
        <f>AV460+AV510+AV546+AV547+AV549+AV554+AV555+AV558</f>
        <v>0</v>
      </c>
      <c r="AW582" s="209">
        <f>AW460+AW510+AW546+AW547+AW549+AW554+AW555+AW558</f>
        <v>0</v>
      </c>
      <c r="AX582" s="209">
        <f>AX460+AX510+AX546+AX547+AX549+AX554+AX555+AX558</f>
        <v>0</v>
      </c>
      <c r="AY582" s="209">
        <f>AY460+AY510+AY546+AY547+AY549+AY554+AY555+AY558</f>
        <v>0</v>
      </c>
      <c r="AZ582" s="209">
        <f>AZ460+AZ510+AZ546+AZ547+AZ549+AZ554+AZ555+AZ558</f>
        <v>0</v>
      </c>
      <c r="BA582" s="209">
        <f>BA460+BA510+BA546+BA547+BA549+BA554+BA555+BA558</f>
        <v>0</v>
      </c>
      <c r="BB582" s="209">
        <f>BB460+BB510+BB546+BB547+BB549+BB554+BB555+BB558</f>
        <v>0</v>
      </c>
      <c r="BC582" s="209">
        <f>BC460+BC510+BC546+BC547+BC549+BC554+BC555+BC558</f>
        <v>0</v>
      </c>
      <c r="BD582" s="785">
        <f>IF(AI582=0,0,(AT582-AI582)/AI582*100)</f>
        <v>49.2760979347436</v>
      </c>
      <c r="BE582" s="785">
        <f>IF(AT582=0,0,(AU582-AT582)/AT582*100)</f>
        <v>-100</v>
      </c>
      <c r="BF582" s="785">
        <f>IF(AU582=0,0,(AV582-AU582)/AU582*100)</f>
        <v>0</v>
      </c>
      <c r="BG582" s="785">
        <f>IF(AV582=0,0,(AW582-AV582)/AV582*100)</f>
        <v>0</v>
      </c>
      <c r="BH582" s="785">
        <f>IF(AW582=0,0,(AX582-AW582)/AW582*100)</f>
        <v>0</v>
      </c>
      <c r="BI582" s="785">
        <f>IF(AX582=0,0,(AY582-AX582)/AX582*100)</f>
        <v>0</v>
      </c>
      <c r="BJ582" s="785">
        <f>IF(AY582=0,0,(AZ582-AY582)/AY582*100)</f>
        <v>0</v>
      </c>
      <c r="BK582" s="785">
        <f>IF(AZ582=0,0,(BA582-AZ582)/AZ582*100)</f>
        <v>0</v>
      </c>
      <c r="BL582" s="785">
        <f>IF(BA582=0,0,(BB582-BA582)/BA582*100)</f>
        <v>0</v>
      </c>
      <c r="BM582" s="785">
        <f>IF(BB582=0,0,(BC582-BB582)/BB582*100)</f>
        <v>0</v>
      </c>
      <c r="BN582" s="6290"/>
      <c r="BO582" s="6290"/>
      <c r="BP582" s="6290"/>
      <c r="BQ582" s="706"/>
      <c r="BR582" s="706"/>
      <c r="BS582" s="1078" t="s">
        <v>2103</v>
      </c>
      <c r="BT582" s="1078"/>
      <c r="BU582" s="1078"/>
      <c r="BV582" s="713"/>
      <c r="BW582" s="713"/>
    </row>
    <row s="6473" customFormat="1" customHeight="1" ht="20.25">
      <c r="A583" s="706"/>
      <c r="B583" s="437"/>
      <c r="C583" s="105"/>
      <c r="D583" s="105">
        <f>D582+1</f>
        <v>10</v>
      </c>
      <c r="E583" s="833">
        <v>21</v>
      </c>
      <c r="F583" s="50" cm="1" t="str">
        <f t="array" ref="F583:F583">OFFSET(E583,-1,1)</f>
        <v>3</v>
      </c>
      <c r="G583" s="105"/>
      <c r="H583" s="103"/>
      <c r="I583" s="103" t="s">
        <v>2112</v>
      </c>
      <c r="J583" s="105"/>
      <c r="K583" s="154" t="s">
        <v>2112</v>
      </c>
      <c r="L583" s="993"/>
      <c r="M583" s="105"/>
      <c r="N583" s="105"/>
      <c r="O583" s="105"/>
      <c r="P583" s="105"/>
      <c r="Q583" s="105"/>
      <c r="R583" s="105"/>
      <c r="S583" s="105"/>
      <c r="T583" s="468" cm="1" t="str">
        <f t="array" ref="T583:T583">T582</f>
        <v>true</v>
      </c>
      <c r="U583" s="105"/>
      <c r="V583" s="105"/>
      <c r="W583" s="105"/>
      <c r="X583" s="1559"/>
      <c r="Y583" s="706"/>
      <c r="Z583" s="1529"/>
      <c r="AA583" s="706"/>
      <c r="AB583" s="207" cm="1" t="str">
        <f t="array" ref="AB583:AB583">D583</f>
        <v>10</v>
      </c>
      <c r="AC583" s="208" t="s">
        <v>2435</v>
      </c>
      <c r="AD583" s="207" t="s">
        <v>936</v>
      </c>
      <c r="AE583" s="209">
        <f>AE582+AE567+AE580</f>
        <v>26782.34179</v>
      </c>
      <c r="AF583" s="209">
        <f>AF582+AF567+AF580</f>
        <v>27078.82</v>
      </c>
      <c r="AG583" s="209">
        <f>AG582+AG567+AG580</f>
        <v>30038.017732016</v>
      </c>
      <c r="AH583" s="209">
        <f>AH582+AH567+AH580</f>
        <v>2959.197732016</v>
      </c>
      <c r="AI583" s="209">
        <f>AI582+AI567+AI580</f>
        <v>15328.6150890542</v>
      </c>
      <c r="AJ583" s="209">
        <f>AJ582+AJ567+AJ580</f>
        <v>82820.29</v>
      </c>
      <c r="AK583" s="209">
        <f>AK582+AK567+AK580</f>
        <v>0</v>
      </c>
      <c r="AL583" s="209">
        <f>AL582+AL567+AL580</f>
        <v>0</v>
      </c>
      <c r="AM583" s="209">
        <f>AM582+AM567+AM580</f>
        <v>0</v>
      </c>
      <c r="AN583" s="209">
        <f>AN582+AN567+AN580</f>
        <v>0</v>
      </c>
      <c r="AO583" s="209">
        <f>AO582+AO567+AO580</f>
        <v>0</v>
      </c>
      <c r="AP583" s="209">
        <f>AP582+AP567+AP580</f>
        <v>0</v>
      </c>
      <c r="AQ583" s="209">
        <f>AQ582+AQ567+AQ580</f>
        <v>0</v>
      </c>
      <c r="AR583" s="209">
        <f>AR582+AR567+AR580</f>
        <v>0</v>
      </c>
      <c r="AS583" s="209">
        <f>AS582+AS567+AS580</f>
        <v>0</v>
      </c>
      <c r="AT583" s="209">
        <f>AT582+AT567+AT580</f>
        <v>82439.4</v>
      </c>
      <c r="AU583" s="209">
        <f>AU582+AU567+AU580</f>
        <v>0</v>
      </c>
      <c r="AV583" s="209">
        <f>AV582+AV567+AV580</f>
        <v>0</v>
      </c>
      <c r="AW583" s="209">
        <f>AW582+AW567+AW580</f>
        <v>0</v>
      </c>
      <c r="AX583" s="209">
        <f>AX582+AX567+AX580</f>
        <v>0</v>
      </c>
      <c r="AY583" s="209">
        <f>AY582+AY567+AY580</f>
        <v>0</v>
      </c>
      <c r="AZ583" s="209">
        <f>AZ582+AZ567+AZ580</f>
        <v>0</v>
      </c>
      <c r="BA583" s="209">
        <f>BA582+BA567+BA580</f>
        <v>0</v>
      </c>
      <c r="BB583" s="209">
        <f>BB582+BB567+BB580</f>
        <v>0</v>
      </c>
      <c r="BC583" s="209">
        <f>BC582+BC567+BC580</f>
        <v>0</v>
      </c>
      <c r="BD583" s="785">
        <f>IF(AI583=0,0,(AT583-AI583)/AI583*100)</f>
        <v>437.813752390899</v>
      </c>
      <c r="BE583" s="785">
        <f>IF(AT583=0,0,(AU583-AT583)/AT583*100)</f>
        <v>-100</v>
      </c>
      <c r="BF583" s="785">
        <f>IF(AU583=0,0,(AV583-AU583)/AU583*100)</f>
        <v>0</v>
      </c>
      <c r="BG583" s="785">
        <f>IF(AV583=0,0,(AW583-AV583)/AV583*100)</f>
        <v>0</v>
      </c>
      <c r="BH583" s="785">
        <f>IF(AW583=0,0,(AX583-AW583)/AW583*100)</f>
        <v>0</v>
      </c>
      <c r="BI583" s="785">
        <f>IF(AX583=0,0,(AY583-AX583)/AX583*100)</f>
        <v>0</v>
      </c>
      <c r="BJ583" s="785">
        <f>IF(AY583=0,0,(AZ583-AY583)/AY583*100)</f>
        <v>0</v>
      </c>
      <c r="BK583" s="785">
        <f>IF(AZ583=0,0,(BA583-AZ583)/AZ583*100)</f>
        <v>0</v>
      </c>
      <c r="BL583" s="785">
        <f>IF(BA583=0,0,(BB583-BA583)/BA583*100)</f>
        <v>0</v>
      </c>
      <c r="BM583" s="785">
        <f>IF(BB583=0,0,(BC583-BB583)/BB583*100)</f>
        <v>0</v>
      </c>
      <c r="BN583" s="6290"/>
      <c r="BO583" s="6290"/>
      <c r="BP583" s="6290"/>
      <c r="BQ583" s="706"/>
      <c r="BR583" s="706"/>
      <c r="BS583" s="1078" t="s">
        <v>2436</v>
      </c>
      <c r="BT583" s="1078"/>
      <c r="BU583" s="1078"/>
      <c r="BV583" s="713"/>
      <c r="BW583" s="713"/>
    </row>
    <row s="1656" customFormat="1" customHeight="1" ht="14.25" hidden="1">
      <c r="A584" s="1297"/>
      <c r="B584" s="447">
        <f>A459="двухставочный"</f>
        <v>0</v>
      </c>
      <c r="C584" s="103"/>
      <c r="D584" s="103" cm="1" t="str">
        <f t="array" ref="D584:D584">D583</f>
        <v>10</v>
      </c>
      <c r="E584" s="626">
        <v>15</v>
      </c>
      <c r="F584" s="50" cm="1" t="str">
        <f t="array" ref="F584:F584">OFFSET(E584,-1,1)</f>
        <v>3</v>
      </c>
      <c r="G584" s="103"/>
      <c r="H584" s="855"/>
      <c r="I584" s="855" t="s">
        <v>2115</v>
      </c>
      <c r="J584" s="103"/>
      <c r="K584" s="375" t="s">
        <v>2115</v>
      </c>
      <c r="L584" s="988" t="s">
        <v>2104</v>
      </c>
      <c r="M584" s="103"/>
      <c r="N584" s="103"/>
      <c r="O584" s="103"/>
      <c r="P584" s="103"/>
      <c r="Q584" s="103"/>
      <c r="R584" s="103"/>
      <c r="S584" s="103"/>
      <c r="T584" s="468" cm="1" t="str">
        <f t="array" ref="T584:T584">T583</f>
        <v>true</v>
      </c>
      <c r="U584" s="103"/>
      <c r="V584" s="103"/>
      <c r="W584" s="103"/>
      <c r="X584" s="1559"/>
      <c r="Y584" s="1297"/>
      <c r="Z584" s="1529"/>
      <c r="AA584" s="1297"/>
      <c r="AB584" s="296" t="str">
        <f>D584&amp;".1"</f>
        <v>10.1</v>
      </c>
      <c r="AC584" s="1121" t="s">
        <v>2106</v>
      </c>
      <c r="AD584" s="296" t="s">
        <v>936</v>
      </c>
      <c r="AE584" s="1260"/>
      <c r="AF584" s="1260"/>
      <c r="AG584" s="1260"/>
      <c r="AH584" s="1123">
        <f>AG584-AF584</f>
        <v>0</v>
      </c>
      <c r="AI584" s="1260"/>
      <c r="AJ584" s="1260"/>
      <c r="AK584" s="1260"/>
      <c r="AL584" s="1260"/>
      <c r="AM584" s="1260"/>
      <c r="AN584" s="1260"/>
      <c r="AO584" s="1260"/>
      <c r="AP584" s="1260"/>
      <c r="AQ584" s="1260"/>
      <c r="AR584" s="1260"/>
      <c r="AS584" s="1260"/>
      <c r="AT584" s="1260"/>
      <c r="AU584" s="1260"/>
      <c r="AV584" s="1260"/>
      <c r="AW584" s="1260"/>
      <c r="AX584" s="1260"/>
      <c r="AY584" s="1260"/>
      <c r="AZ584" s="1260"/>
      <c r="BA584" s="1260"/>
      <c r="BB584" s="1260"/>
      <c r="BC584" s="1260"/>
      <c r="BD584" s="1124"/>
      <c r="BE584" s="1124"/>
      <c r="BF584" s="1124"/>
      <c r="BG584" s="1124"/>
      <c r="BH584" s="1124"/>
      <c r="BI584" s="1124"/>
      <c r="BJ584" s="1124"/>
      <c r="BK584" s="1124"/>
      <c r="BL584" s="1124"/>
      <c r="BM584" s="1124"/>
      <c r="BN584" s="1257"/>
      <c r="BO584" s="1257"/>
      <c r="BP584" s="1257"/>
      <c r="BQ584" s="1297"/>
      <c r="BR584" s="1297"/>
      <c r="BS584" s="1070" t="s">
        <v>2107</v>
      </c>
      <c r="BT584" s="1072"/>
      <c r="BU584" s="1072"/>
      <c r="BV584" s="987"/>
      <c r="BW584" s="987"/>
    </row>
    <row s="1656" customFormat="1" customHeight="1" ht="14.25" hidden="1">
      <c r="A585" s="1297"/>
      <c r="B585" s="447">
        <f>A459="двухставочный"</f>
        <v>0</v>
      </c>
      <c r="C585" s="103"/>
      <c r="D585" s="103" cm="1" t="str">
        <f t="array" ref="D585:D585">D584</f>
        <v>10</v>
      </c>
      <c r="E585" s="626">
        <v>15</v>
      </c>
      <c r="F585" s="50" cm="1" t="str">
        <f t="array" ref="F585:F585">OFFSET(E585,-1,1)</f>
        <v>3</v>
      </c>
      <c r="G585" s="103"/>
      <c r="H585" s="855"/>
      <c r="I585" s="855" t="s">
        <v>2119</v>
      </c>
      <c r="J585" s="103"/>
      <c r="K585" s="375" t="s">
        <v>2119</v>
      </c>
      <c r="L585" s="988" t="s">
        <v>2108</v>
      </c>
      <c r="M585" s="103"/>
      <c r="N585" s="103"/>
      <c r="O585" s="103"/>
      <c r="P585" s="103"/>
      <c r="Q585" s="103"/>
      <c r="R585" s="103"/>
      <c r="S585" s="103"/>
      <c r="T585" s="468" cm="1" t="str">
        <f t="array" ref="T585:T585">T584</f>
        <v>true</v>
      </c>
      <c r="U585" s="103"/>
      <c r="V585" s="103"/>
      <c r="W585" s="103"/>
      <c r="X585" s="1559"/>
      <c r="Y585" s="1297"/>
      <c r="Z585" s="1529"/>
      <c r="AA585" s="1297"/>
      <c r="AB585" s="296" t="str">
        <f>D585&amp;".2"</f>
        <v>10.2</v>
      </c>
      <c r="AC585" s="1121" t="s">
        <v>2110</v>
      </c>
      <c r="AD585" s="296" t="s">
        <v>936</v>
      </c>
      <c r="AE585" s="1260"/>
      <c r="AF585" s="1260"/>
      <c r="AG585" s="1260"/>
      <c r="AH585" s="1123">
        <f>AG585-AF585</f>
        <v>0</v>
      </c>
      <c r="AI585" s="1260"/>
      <c r="AJ585" s="1260"/>
      <c r="AK585" s="1260"/>
      <c r="AL585" s="1260"/>
      <c r="AM585" s="1260"/>
      <c r="AN585" s="1260"/>
      <c r="AO585" s="1260"/>
      <c r="AP585" s="1260"/>
      <c r="AQ585" s="1260"/>
      <c r="AR585" s="1260"/>
      <c r="AS585" s="1260"/>
      <c r="AT585" s="1260"/>
      <c r="AU585" s="1260"/>
      <c r="AV585" s="1260"/>
      <c r="AW585" s="1260"/>
      <c r="AX585" s="1260"/>
      <c r="AY585" s="1260"/>
      <c r="AZ585" s="1260"/>
      <c r="BA585" s="1260"/>
      <c r="BB585" s="1260"/>
      <c r="BC585" s="1260"/>
      <c r="BD585" s="1124"/>
      <c r="BE585" s="1124"/>
      <c r="BF585" s="1124"/>
      <c r="BG585" s="1124"/>
      <c r="BH585" s="1124"/>
      <c r="BI585" s="1124"/>
      <c r="BJ585" s="1124"/>
      <c r="BK585" s="1124"/>
      <c r="BL585" s="1124"/>
      <c r="BM585" s="1124"/>
      <c r="BN585" s="1257"/>
      <c r="BO585" s="1257"/>
      <c r="BP585" s="1257"/>
      <c r="BQ585" s="1297"/>
      <c r="BR585" s="1297"/>
      <c r="BS585" s="1070" t="s">
        <v>2111</v>
      </c>
      <c r="BT585" s="1072"/>
      <c r="BU585" s="1072"/>
      <c r="BV585" s="987"/>
      <c r="BW585" s="987"/>
    </row>
    <row s="6474" customFormat="1" customHeight="1" ht="20.25">
      <c r="A586" s="706"/>
      <c r="B586" s="437"/>
      <c r="C586" s="105"/>
      <c r="D586" s="105">
        <f>D585+1</f>
        <v>11</v>
      </c>
      <c r="E586" s="833">
        <v>21</v>
      </c>
      <c r="F586" s="50" cm="1" t="str">
        <f t="array" ref="F586:F586">OFFSET(E586,-1,1)</f>
        <v>3</v>
      </c>
      <c r="G586" s="103" t="s">
        <v>1871</v>
      </c>
      <c r="H586" s="103"/>
      <c r="I586" s="103" t="s">
        <v>2139</v>
      </c>
      <c r="J586" s="105"/>
      <c r="K586" s="154" t="s">
        <v>2139</v>
      </c>
      <c r="L586" s="993" t="s">
        <v>2112</v>
      </c>
      <c r="M586" s="105"/>
      <c r="N586" s="105"/>
      <c r="O586" s="105"/>
      <c r="P586" s="105"/>
      <c r="Q586" s="105"/>
      <c r="R586" s="105"/>
      <c r="S586" s="105"/>
      <c r="T586" s="468" cm="1" t="str">
        <f t="array" ref="T586:T586">T585</f>
        <v>true</v>
      </c>
      <c r="U586" s="105"/>
      <c r="V586" s="105"/>
      <c r="W586" s="105"/>
      <c r="X586" s="1559"/>
      <c r="Y586" s="706"/>
      <c r="Z586" s="1529"/>
      <c r="AA586" s="706"/>
      <c r="AB586" s="207" cm="1" t="str">
        <f t="array" ref="AB586:AB586">D586</f>
        <v>11</v>
      </c>
      <c r="AC586" s="208" t="s">
        <v>2113</v>
      </c>
      <c r="AD586" s="207" t="s">
        <v>657</v>
      </c>
      <c r="AE586" s="792">
        <f>_xlfn.SUMIFS(Баланс!AE$26:AE$391,Баланс!$F$26:$F$391,$F586,Баланс!$G$26:$G$391,"ПО")</f>
        <v>1530.84022</v>
      </c>
      <c r="AF586" s="792">
        <f>_xlfn.SUMIFS(Баланс!AF$26:AF$391,Баланс!$F$26:$F$391,$F586,Баланс!$G$26:$G$391,"ПО")</f>
        <v>1106.15104</v>
      </c>
      <c r="AG586" s="792">
        <f>_xlfn.SUMIFS(Баланс!AG$26:AG$391,Баланс!$F$26:$F$391,$F586,Баланс!$G$26:$G$391,"ПО")</f>
        <v>1106.15104</v>
      </c>
      <c r="AH586" s="792">
        <f>AG586-AF586</f>
        <v>0</v>
      </c>
      <c r="AI586" s="792">
        <f>_xlfn.SUMIFS(Баланс!AH$26:AH$391,Баланс!$F$26:$F$391,$F586,Баланс!$G$26:$G$391,"ПО")</f>
        <v>1456.5032</v>
      </c>
      <c r="AJ586" s="792">
        <f>_xlfn.SUMIFS(Баланс!AI$26:AI$391,Баланс!$F$26:$F$391,$F586,Баланс!$G$26:$G$391,"ПО")</f>
        <v>1458.9532</v>
      </c>
      <c r="AK586" s="792">
        <f>_xlfn.SUMIFS(Баланс!AJ$26:AJ$391,Баланс!$F$26:$F$391,$F586,Баланс!$G$26:$G$391,"ПО")</f>
        <v>0</v>
      </c>
      <c r="AL586" s="792">
        <f>_xlfn.SUMIFS(Баланс!AK$26:AK$391,Баланс!$F$26:$F$391,$F586,Баланс!$G$26:$G$391,"ПО")</f>
        <v>0</v>
      </c>
      <c r="AM586" s="792">
        <f>_xlfn.SUMIFS(Баланс!AL$26:AL$391,Баланс!$F$26:$F$391,$F586,Баланс!$G$26:$G$391,"ПО")</f>
        <v>0</v>
      </c>
      <c r="AN586" s="792">
        <f>_xlfn.SUMIFS(Баланс!AM$26:AM$391,Баланс!$F$26:$F$391,$F586,Баланс!$G$26:$G$391,"ПО")</f>
        <v>0</v>
      </c>
      <c r="AO586" s="792">
        <f>_xlfn.SUMIFS(Баланс!AN$26:AN$391,Баланс!$F$26:$F$391,$F586,Баланс!$G$26:$G$391,"ПО")</f>
        <v>0</v>
      </c>
      <c r="AP586" s="792">
        <f>_xlfn.SUMIFS(Баланс!AO$26:AO$391,Баланс!$F$26:$F$391,$F586,Баланс!$G$26:$G$391,"ПО")</f>
        <v>0</v>
      </c>
      <c r="AQ586" s="792">
        <f>_xlfn.SUMIFS(Баланс!AP$26:AP$391,Баланс!$F$26:$F$391,$F586,Баланс!$G$26:$G$391,"ПО")</f>
        <v>0</v>
      </c>
      <c r="AR586" s="792">
        <f>_xlfn.SUMIFS(Баланс!AQ$26:AQ$391,Баланс!$F$26:$F$391,$F586,Баланс!$G$26:$G$391,"ПО")</f>
        <v>0</v>
      </c>
      <c r="AS586" s="792">
        <f>_xlfn.SUMIFS(Баланс!AR$26:AR$391,Баланс!$F$26:$F$391,$F586,Баланс!$G$26:$G$391,"ПО")</f>
        <v>0</v>
      </c>
      <c r="AT586" s="792">
        <f>_xlfn.SUMIFS(Баланс!AS$26:AS$391,Баланс!$F$26:$F$391,$F586,Баланс!$G$26:$G$391,"ПО")</f>
        <v>1387.33054</v>
      </c>
      <c r="AU586" s="792">
        <f>_xlfn.SUMIFS(Баланс!AT$26:AT$391,Баланс!$F$26:$F$391,$F586,Баланс!$G$26:$G$391,"ПО")</f>
        <v>0</v>
      </c>
      <c r="AV586" s="792">
        <f>_xlfn.SUMIFS(Баланс!AU$26:AU$391,Баланс!$F$26:$F$391,$F586,Баланс!$G$26:$G$391,"ПО")</f>
        <v>0</v>
      </c>
      <c r="AW586" s="792">
        <f>_xlfn.SUMIFS(Баланс!AV$26:AV$391,Баланс!$F$26:$F$391,$F586,Баланс!$G$26:$G$391,"ПО")</f>
        <v>0</v>
      </c>
      <c r="AX586" s="792">
        <f>_xlfn.SUMIFS(Баланс!AW$26:AW$391,Баланс!$F$26:$F$391,$F586,Баланс!$G$26:$G$391,"ПО")</f>
        <v>0</v>
      </c>
      <c r="AY586" s="792">
        <f>_xlfn.SUMIFS(Баланс!AX$26:AX$391,Баланс!$F$26:$F$391,$F586,Баланс!$G$26:$G$391,"ПО")</f>
        <v>0</v>
      </c>
      <c r="AZ586" s="792">
        <f>_xlfn.SUMIFS(Баланс!AY$26:AY$391,Баланс!$F$26:$F$391,$F586,Баланс!$G$26:$G$391,"ПО")</f>
        <v>0</v>
      </c>
      <c r="BA586" s="792">
        <f>_xlfn.SUMIFS(Баланс!AZ$26:AZ$391,Баланс!$F$26:$F$391,$F586,Баланс!$G$26:$G$391,"ПО")</f>
        <v>0</v>
      </c>
      <c r="BB586" s="792">
        <f>_xlfn.SUMIFS(Баланс!BA$26:BA$391,Баланс!$F$26:$F$391,$F586,Баланс!$G$26:$G$391,"ПО")</f>
        <v>0</v>
      </c>
      <c r="BC586" s="792">
        <f>_xlfn.SUMIFS(Баланс!BB$26:BB$391,Баланс!$F$26:$F$391,$F586,Баланс!$G$26:$G$391,"ПО")</f>
        <v>0</v>
      </c>
      <c r="BD586" s="212"/>
      <c r="BE586" s="212"/>
      <c r="BF586" s="212"/>
      <c r="BG586" s="212"/>
      <c r="BH586" s="212"/>
      <c r="BI586" s="212"/>
      <c r="BJ586" s="212"/>
      <c r="BK586" s="212"/>
      <c r="BL586" s="212"/>
      <c r="BM586" s="212"/>
      <c r="BN586" s="6290"/>
      <c r="BO586" s="6290"/>
      <c r="BP586" s="6290"/>
      <c r="BQ586" s="706"/>
      <c r="BR586" s="706"/>
      <c r="BS586" s="1071" t="s">
        <v>2114</v>
      </c>
      <c r="BT586" s="1078"/>
      <c r="BU586" s="1078"/>
      <c r="BV586" s="713"/>
      <c r="BW586" s="713"/>
    </row>
    <row s="1656" customFormat="1" customHeight="1" ht="14.625">
      <c r="A587" s="1297"/>
      <c r="B587" s="986"/>
      <c r="C587" s="103"/>
      <c r="D587" s="103" cm="1" t="str">
        <f t="array" ref="D587:D587">D586</f>
        <v>11</v>
      </c>
      <c r="E587" s="626">
        <v>15</v>
      </c>
      <c r="F587" s="50" cm="1" t="str">
        <f t="array" ref="F587:F587">OFFSET(E587,-1,1)</f>
        <v>3</v>
      </c>
      <c r="G587" s="103" t="s">
        <v>1898</v>
      </c>
      <c r="H587" s="103"/>
      <c r="I587" s="103" t="s">
        <v>2437</v>
      </c>
      <c r="J587" s="103"/>
      <c r="K587" s="154" t="s">
        <v>2437</v>
      </c>
      <c r="L587" s="988" t="s">
        <v>2115</v>
      </c>
      <c r="M587" s="103"/>
      <c r="N587" s="103"/>
      <c r="O587" s="103"/>
      <c r="P587" s="103"/>
      <c r="Q587" s="103"/>
      <c r="R587" s="103"/>
      <c r="S587" s="103"/>
      <c r="T587" s="468" cm="1" t="str">
        <f t="array" ref="T587:T587">T586</f>
        <v>true</v>
      </c>
      <c r="U587" s="103"/>
      <c r="V587" s="103"/>
      <c r="W587" s="103"/>
      <c r="X587" s="1559"/>
      <c r="Y587" s="1297"/>
      <c r="Z587" s="1529"/>
      <c r="AA587" s="1297"/>
      <c r="AB587" s="296" t="str">
        <f>D587&amp;".1"</f>
        <v>11.1</v>
      </c>
      <c r="AC587" s="1120" t="s">
        <v>2117</v>
      </c>
      <c r="AD587" s="296" t="s">
        <v>657</v>
      </c>
      <c r="AE587" s="6291">
        <v>765.42011</v>
      </c>
      <c r="AF587" s="6291">
        <f>IF(AF$24="2026 год",AF586/12*9,AF586/2)</f>
        <v>553.07552</v>
      </c>
      <c r="AG587" s="6291">
        <f>IF(AG$24="2026 год",AG586/12*9,AG586/2)</f>
        <v>553.07552</v>
      </c>
      <c r="AH587" s="1122">
        <f>AG587-AF587</f>
        <v>0</v>
      </c>
      <c r="AI587" s="6291">
        <v>728.2516</v>
      </c>
      <c r="AJ587" s="6291">
        <f>IF(AJ$24="2026 год",AJ586/12*9,AJ586/2)</f>
        <v>1094.2149</v>
      </c>
      <c r="AK587" s="1258">
        <f>IF(AK$24="2026 год",AK586/12*9,AK586/2)</f>
        <v>0</v>
      </c>
      <c r="AL587" s="1258">
        <f>IF(AL$24="2026 год",AL586/12*9,AL586/2)</f>
        <v>0</v>
      </c>
      <c r="AM587" s="1258">
        <f>IF(AM$24="2026 год",AM586/12*9,AM586/2)</f>
        <v>0</v>
      </c>
      <c r="AN587" s="1258">
        <f>IF(AN$24="2026 год",AN586/12*9,AN586/2)</f>
        <v>0</v>
      </c>
      <c r="AO587" s="1258">
        <f>IF(AO$24="2026 год",AO586/12*9,AO586/2)</f>
        <v>0</v>
      </c>
      <c r="AP587" s="1258">
        <f>IF(AP$24="2026 год",AP586/12*9,AP586/2)</f>
        <v>0</v>
      </c>
      <c r="AQ587" s="1258">
        <f>IF(AQ$24="2026 год",AQ586/12*9,AQ586/2)</f>
        <v>0</v>
      </c>
      <c r="AR587" s="1258">
        <f>IF(AR$24="2026 год",AR586/12*9,AR586/2)</f>
        <v>0</v>
      </c>
      <c r="AS587" s="1258">
        <f>IF(AS$24="2026 год",AS586/12*9,AS586/2)</f>
        <v>0</v>
      </c>
      <c r="AT587" s="6356">
        <f>IF(AT$24="2026 год",AT586/12*9,AT586/2)</f>
        <v>1040.497905</v>
      </c>
      <c r="AU587" s="1280">
        <f>IF(AU$24="2026 год",AU586/12*9,AU586/2)</f>
        <v>0</v>
      </c>
      <c r="AV587" s="1258">
        <f>IF(AV$24="2026 год",AV586/12*9,AV586/2)</f>
        <v>0</v>
      </c>
      <c r="AW587" s="1258">
        <f>IF(AW$24="2026 год",AW586/12*9,AW586/2)</f>
        <v>0</v>
      </c>
      <c r="AX587" s="1258">
        <f>IF(AX$24="2026 год",AX586/12*9,AX586/2)</f>
        <v>0</v>
      </c>
      <c r="AY587" s="1258">
        <f>IF(AY$24="2026 год",AY586/12*9,AY586/2)</f>
        <v>0</v>
      </c>
      <c r="AZ587" s="1258">
        <f>IF(AZ$24="2026 год",AZ586/12*9,AZ586/2)</f>
        <v>0</v>
      </c>
      <c r="BA587" s="1258">
        <f>IF(BA$24="2026 год",BA586/12*9,BA586/2)</f>
        <v>0</v>
      </c>
      <c r="BB587" s="1258">
        <f>IF(BB$24="2026 год",BB586/12*9,BB586/2)</f>
        <v>0</v>
      </c>
      <c r="BC587" s="1258">
        <f>IF(BC$24="2026 год",BC586/12*9,BC586/2)</f>
        <v>0</v>
      </c>
      <c r="BD587" s="1124"/>
      <c r="BE587" s="1124"/>
      <c r="BF587" s="1124"/>
      <c r="BG587" s="1124"/>
      <c r="BH587" s="1124"/>
      <c r="BI587" s="1124"/>
      <c r="BJ587" s="1124"/>
      <c r="BK587" s="1124"/>
      <c r="BL587" s="1124"/>
      <c r="BM587" s="1124"/>
      <c r="BN587" s="6290"/>
      <c r="BO587" s="6290"/>
      <c r="BP587" s="6290"/>
      <c r="BQ587" s="1297"/>
      <c r="BR587" s="1297"/>
      <c r="BS587" s="1070" t="s">
        <v>2118</v>
      </c>
      <c r="BT587" s="1072"/>
      <c r="BU587" s="1072"/>
      <c r="BV587" s="987"/>
      <c r="BW587" s="987"/>
    </row>
    <row s="1656" customFormat="1" customHeight="1" ht="128.25">
      <c r="A588" s="1297"/>
      <c r="B588" s="986"/>
      <c r="C588" s="103"/>
      <c r="D588" s="103" cm="1" t="str">
        <f t="array" ref="D588:D588">D587</f>
        <v>11</v>
      </c>
      <c r="E588" s="626">
        <v>15</v>
      </c>
      <c r="F588" s="50" cm="1" t="str">
        <f t="array" ref="F588:F588">OFFSET(E588,-1,1)</f>
        <v>3</v>
      </c>
      <c r="G588" s="103" t="s">
        <v>1859</v>
      </c>
      <c r="H588" s="103"/>
      <c r="I588" s="103" t="s">
        <v>2438</v>
      </c>
      <c r="J588" s="103"/>
      <c r="K588" s="154" t="s">
        <v>2438</v>
      </c>
      <c r="L588" s="988" t="s">
        <v>2119</v>
      </c>
      <c r="M588" s="103"/>
      <c r="N588" s="103"/>
      <c r="O588" s="103"/>
      <c r="P588" s="103"/>
      <c r="Q588" s="103"/>
      <c r="R588" s="103"/>
      <c r="S588" s="103"/>
      <c r="T588" s="468" cm="1" t="str">
        <f t="array" ref="T588:T588">T587</f>
        <v>true</v>
      </c>
      <c r="U588" s="103"/>
      <c r="V588" s="103"/>
      <c r="W588" s="103"/>
      <c r="X588" s="1559"/>
      <c r="Y588" s="1297"/>
      <c r="Z588" s="1529"/>
      <c r="AA588" s="1297"/>
      <c r="AB588" s="296" t="str">
        <f>D588&amp;".2"</f>
        <v>11.2</v>
      </c>
      <c r="AC588" s="1120" t="s">
        <v>2121</v>
      </c>
      <c r="AD588" s="296" t="s">
        <v>1862</v>
      </c>
      <c r="AE588" s="6293">
        <v>44.27</v>
      </c>
      <c r="AF588" s="6293"/>
      <c r="AG588" s="6293"/>
      <c r="AH588" s="1123">
        <f>AG588-AF588</f>
        <v>0</v>
      </c>
      <c r="AI588" s="6293">
        <v>48.52</v>
      </c>
      <c r="AJ588" s="6293"/>
      <c r="AK588" s="1260"/>
      <c r="AL588" s="1260"/>
      <c r="AM588" s="1260"/>
      <c r="AN588" s="1260"/>
      <c r="AO588" s="1260"/>
      <c r="AP588" s="1260"/>
      <c r="AQ588" s="1260"/>
      <c r="AR588" s="1260"/>
      <c r="AS588" s="1260"/>
      <c r="AT588" s="6293"/>
      <c r="AU588" s="1260" cm="1" t="str">
        <f t="array" ref="AU588:AU588">AT590</f>
        <v>237.692165271587</v>
      </c>
      <c r="AV588" s="1260" cm="1" t="str">
        <f t="array" ref="AV588:AV588">AU590</f>
        <v>0</v>
      </c>
      <c r="AW588" s="1260" cm="1" t="str">
        <f t="array" ref="AW588:AW588">AV590</f>
        <v>0</v>
      </c>
      <c r="AX588" s="1260" cm="1" t="str">
        <f t="array" ref="AX588:AX588">AW590</f>
        <v>0</v>
      </c>
      <c r="AY588" s="1260" cm="1" t="str">
        <f t="array" ref="AY588:AY588">AX590</f>
        <v>0</v>
      </c>
      <c r="AZ588" s="1260" cm="1" t="str">
        <f t="array" ref="AZ588:AZ588">AY590</f>
        <v>0</v>
      </c>
      <c r="BA588" s="1260" cm="1" t="str">
        <f t="array" ref="BA588:BA588">AZ590</f>
        <v>0</v>
      </c>
      <c r="BB588" s="1260" cm="1" t="str">
        <f t="array" ref="BB588:BB588">BA590</f>
        <v>0</v>
      </c>
      <c r="BC588" s="1260" cm="1" t="str">
        <f t="array" ref="BC588:BC588">BB590</f>
        <v>0</v>
      </c>
      <c r="BD588" s="1124"/>
      <c r="BE588" s="1124"/>
      <c r="BF588" s="1124"/>
      <c r="BG588" s="1124"/>
      <c r="BH588" s="1124"/>
      <c r="BI588" s="1124"/>
      <c r="BJ588" s="1124"/>
      <c r="BK588" s="1124"/>
      <c r="BL588" s="1124"/>
      <c r="BM588" s="1124"/>
      <c r="BN588" s="6290"/>
      <c r="BO588" s="6290" t="s">
        <v>2467</v>
      </c>
      <c r="BP588" s="6290"/>
      <c r="BQ588" s="1297"/>
      <c r="BR588" s="1297"/>
      <c r="BS588" s="1070" t="s">
        <v>2122</v>
      </c>
      <c r="BT588" s="1072"/>
      <c r="BU588" s="1072"/>
      <c r="BV588" s="987"/>
      <c r="BW588" s="987"/>
    </row>
    <row s="1656" customFormat="1" customHeight="1" ht="14.25">
      <c r="A589" s="1297"/>
      <c r="B589" s="986"/>
      <c r="C589" s="103"/>
      <c r="D589" s="103" cm="1" t="str">
        <f t="array" ref="D589:D589">D588</f>
        <v>11</v>
      </c>
      <c r="E589" s="626">
        <v>15</v>
      </c>
      <c r="F589" s="50" cm="1" t="str">
        <f t="array" ref="F589:F589">OFFSET(E589,-1,1)</f>
        <v>3</v>
      </c>
      <c r="G589" s="103" t="s">
        <v>1911</v>
      </c>
      <c r="H589" s="103"/>
      <c r="I589" s="103" t="s">
        <v>2439</v>
      </c>
      <c r="J589" s="103"/>
      <c r="K589" s="154" t="s">
        <v>2439</v>
      </c>
      <c r="L589" s="988" t="s">
        <v>2123</v>
      </c>
      <c r="M589" s="103"/>
      <c r="N589" s="103"/>
      <c r="O589" s="103"/>
      <c r="P589" s="103"/>
      <c r="Q589" s="103"/>
      <c r="R589" s="103"/>
      <c r="S589" s="103"/>
      <c r="T589" s="468" cm="1" t="str">
        <f t="array" ref="T589:T589">T588</f>
        <v>true</v>
      </c>
      <c r="U589" s="103"/>
      <c r="V589" s="103"/>
      <c r="W589" s="103"/>
      <c r="X589" s="1559"/>
      <c r="Y589" s="1297"/>
      <c r="Z589" s="1529"/>
      <c r="AA589" s="1297"/>
      <c r="AB589" s="296" t="str">
        <f>D589&amp;".3"</f>
        <v>11.3</v>
      </c>
      <c r="AC589" s="1120" t="s">
        <v>2440</v>
      </c>
      <c r="AD589" s="296" t="s">
        <v>657</v>
      </c>
      <c r="AE589" s="1122">
        <f>AE586-AE587</f>
        <v>765.42011</v>
      </c>
      <c r="AF589" s="1122">
        <f>AF586-AF587</f>
        <v>553.07552</v>
      </c>
      <c r="AG589" s="1122">
        <f>AG586-AG587</f>
        <v>553.07552</v>
      </c>
      <c r="AH589" s="1122">
        <f>AG589-AF589</f>
        <v>0</v>
      </c>
      <c r="AI589" s="1122">
        <f>AI586-AI587</f>
        <v>728.2516</v>
      </c>
      <c r="AJ589" s="1122">
        <f>AJ586-AJ587</f>
        <v>364.7383</v>
      </c>
      <c r="AK589" s="1122">
        <f>AK586-AK587</f>
        <v>0</v>
      </c>
      <c r="AL589" s="1122">
        <f>AL586-AL587</f>
        <v>0</v>
      </c>
      <c r="AM589" s="1122">
        <f>AM586-AM587</f>
        <v>0</v>
      </c>
      <c r="AN589" s="1122">
        <f>AN586-AN587</f>
        <v>0</v>
      </c>
      <c r="AO589" s="1122">
        <f>AO586-AO587</f>
        <v>0</v>
      </c>
      <c r="AP589" s="1122">
        <f>AP586-AP587</f>
        <v>0</v>
      </c>
      <c r="AQ589" s="1122">
        <f>AQ586-AQ587</f>
        <v>0</v>
      </c>
      <c r="AR589" s="1122">
        <f>AR586-AR587</f>
        <v>0</v>
      </c>
      <c r="AS589" s="1122">
        <f>AS586-AS587</f>
        <v>0</v>
      </c>
      <c r="AT589" s="1122">
        <f>AT586-AT587</f>
        <v>346.832635</v>
      </c>
      <c r="AU589" s="1122">
        <f>AU586-AU587</f>
        <v>0</v>
      </c>
      <c r="AV589" s="1122">
        <f>AV586-AV587</f>
        <v>0</v>
      </c>
      <c r="AW589" s="1122">
        <f>AW586-AW587</f>
        <v>0</v>
      </c>
      <c r="AX589" s="1122">
        <f>AX586-AX587</f>
        <v>0</v>
      </c>
      <c r="AY589" s="1122">
        <f>AY586-AY587</f>
        <v>0</v>
      </c>
      <c r="AZ589" s="1122">
        <f>AZ586-AZ587</f>
        <v>0</v>
      </c>
      <c r="BA589" s="1122">
        <f>BA586-BA587</f>
        <v>0</v>
      </c>
      <c r="BB589" s="1122">
        <f>BB586-BB587</f>
        <v>0</v>
      </c>
      <c r="BC589" s="1122">
        <f>BC586-BC587</f>
        <v>0</v>
      </c>
      <c r="BD589" s="1124"/>
      <c r="BE589" s="1124"/>
      <c r="BF589" s="1124"/>
      <c r="BG589" s="1124"/>
      <c r="BH589" s="1124"/>
      <c r="BI589" s="1124"/>
      <c r="BJ589" s="1124"/>
      <c r="BK589" s="1124"/>
      <c r="BL589" s="1124"/>
      <c r="BM589" s="1124"/>
      <c r="BN589" s="6290"/>
      <c r="BO589" s="6290"/>
      <c r="BP589" s="6290"/>
      <c r="BQ589" s="1297"/>
      <c r="BR589" s="1297"/>
      <c r="BS589" s="1070" t="s">
        <v>2126</v>
      </c>
      <c r="BT589" s="1072"/>
      <c r="BU589" s="1072"/>
      <c r="BV589" s="987"/>
      <c r="BW589" s="987"/>
    </row>
    <row s="1656" customFormat="1" customHeight="1" ht="14.625">
      <c r="A590" s="1297"/>
      <c r="B590" s="986"/>
      <c r="C590" s="103"/>
      <c r="D590" s="103" cm="1" t="str">
        <f t="array" ref="D590:D590">D589</f>
        <v>11</v>
      </c>
      <c r="E590" s="626">
        <v>15</v>
      </c>
      <c r="F590" s="50" cm="1" t="str">
        <f t="array" ref="F590:F590">OFFSET(E590,-1,1)</f>
        <v>3</v>
      </c>
      <c r="G590" s="103" t="s">
        <v>1864</v>
      </c>
      <c r="H590" s="103"/>
      <c r="I590" s="103" t="s">
        <v>2441</v>
      </c>
      <c r="J590" s="103"/>
      <c r="K590" s="154" t="s">
        <v>2441</v>
      </c>
      <c r="L590" s="988" t="s">
        <v>2127</v>
      </c>
      <c r="M590" s="103"/>
      <c r="N590" s="103"/>
      <c r="O590" s="103"/>
      <c r="P590" s="103"/>
      <c r="Q590" s="103"/>
      <c r="R590" s="103"/>
      <c r="S590" s="103"/>
      <c r="T590" s="468" cm="1" t="str">
        <f t="array" ref="T590:T590">T589</f>
        <v>true</v>
      </c>
      <c r="U590" s="103"/>
      <c r="V590" s="103"/>
      <c r="W590" s="103"/>
      <c r="X590" s="1559"/>
      <c r="Y590" s="1297"/>
      <c r="Z590" s="1529"/>
      <c r="AA590" s="1297"/>
      <c r="AB590" s="296" t="str">
        <f>D590&amp;".4"</f>
        <v>11.4</v>
      </c>
      <c r="AC590" s="1120" t="s">
        <v>2129</v>
      </c>
      <c r="AD590" s="296" t="s">
        <v>1862</v>
      </c>
      <c r="AE590" s="6293">
        <v>48.5199915469</v>
      </c>
      <c r="AF590" s="6293">
        <f>IF(AF589=0,0,(AF583-AF587*AF588)/AF589)</f>
        <v>48.9604385310708</v>
      </c>
      <c r="AG590" s="6293">
        <f>IF(AG589=0,0,(AG583-AG587*AG588)/AG589)</f>
        <v>54.3108791580868</v>
      </c>
      <c r="AH590" s="1123">
        <f>AG590-AF590</f>
        <v>5.350440627016</v>
      </c>
      <c r="AI590" s="6293">
        <v>54.3399938387</v>
      </c>
      <c r="AJ590" s="6293">
        <f>IF(AJ589=0,0,(AJ583-AJ587*AJ588)/AJ589)</f>
        <v>227.0677085461</v>
      </c>
      <c r="AK590" s="1260">
        <f>IF(AK589=0,0,(AK583-AK587*AK588)/AK589)</f>
        <v>0</v>
      </c>
      <c r="AL590" s="1260">
        <f>IF(AL589=0,0,(AL583-AL587*AL588)/AL589)</f>
        <v>0</v>
      </c>
      <c r="AM590" s="1260">
        <f>IF(AM589=0,0,(AM583-AM587*AM588)/AM589)</f>
        <v>0</v>
      </c>
      <c r="AN590" s="1260">
        <f>IF(AN589=0,0,(AN583-AN587*AN588)/AN589)</f>
        <v>0</v>
      </c>
      <c r="AO590" s="1260">
        <f>IF(AO589=0,0,(AO583-AO587*AO588)/AO589)</f>
        <v>0</v>
      </c>
      <c r="AP590" s="1260">
        <f>IF(AP589=0,0,(AP583-AP587*AP588)/AP589)</f>
        <v>0</v>
      </c>
      <c r="AQ590" s="1260">
        <f>IF(AQ589=0,0,(AQ583-AQ587*AQ588)/AQ589)</f>
        <v>0</v>
      </c>
      <c r="AR590" s="1260">
        <f>IF(AR589=0,0,(AR583-AR587*AR588)/AR589)</f>
        <v>0</v>
      </c>
      <c r="AS590" s="1260">
        <f>IF(AS589=0,0,(AS583-AS587*AS588)/AS589)</f>
        <v>0</v>
      </c>
      <c r="AT590" s="6293">
        <f>IF(AT589=0,0,(AT583-AT587*AT588)/AT589)</f>
        <v>237.692165271587</v>
      </c>
      <c r="AU590" s="1260">
        <f>IF(AU589=0,0,(AU583-AU587*AU588)/AU589)</f>
        <v>0</v>
      </c>
      <c r="AV590" s="1260">
        <f>IF(AV589=0,0,(AV583-AV587*AV588)/AV589)</f>
        <v>0</v>
      </c>
      <c r="AW590" s="1260">
        <f>IF(AW589=0,0,(AW583-AW587*AW588)/AW589)</f>
        <v>0</v>
      </c>
      <c r="AX590" s="1260">
        <f>IF(AX589=0,0,(AX583-AX587*AX588)/AX589)</f>
        <v>0</v>
      </c>
      <c r="AY590" s="1260">
        <f>IF(AY589=0,0,(AY583-AY587*AY588)/AY589)</f>
        <v>0</v>
      </c>
      <c r="AZ590" s="1260">
        <f>IF(AZ589=0,0,(AZ583-AZ587*AZ588)/AZ589)</f>
        <v>0</v>
      </c>
      <c r="BA590" s="1260">
        <f>IF(BA589=0,0,(BA583-BA587*BA588)/BA589)</f>
        <v>0</v>
      </c>
      <c r="BB590" s="1260">
        <f>IF(BB589=0,0,(BB583-BB587*BB588)/BB589)</f>
        <v>0</v>
      </c>
      <c r="BC590" s="1260">
        <f>IF(BC589=0,0,(BC583-BC587*BC588)/BC589)</f>
        <v>0</v>
      </c>
      <c r="BD590" s="1124"/>
      <c r="BE590" s="1124"/>
      <c r="BF590" s="1124"/>
      <c r="BG590" s="1124"/>
      <c r="BH590" s="1124"/>
      <c r="BI590" s="1124"/>
      <c r="BJ590" s="1124"/>
      <c r="BK590" s="1124"/>
      <c r="BL590" s="1124"/>
      <c r="BM590" s="1124"/>
      <c r="BN590" s="6290"/>
      <c r="BO590" s="6290"/>
      <c r="BP590" s="6290"/>
      <c r="BQ590" s="1297"/>
      <c r="BR590" s="1297"/>
      <c r="BS590" s="1070" t="s">
        <v>2130</v>
      </c>
      <c r="BT590" s="1072"/>
      <c r="BU590" s="1072"/>
      <c r="BV590" s="987"/>
      <c r="BW590" s="987"/>
    </row>
    <row s="1656" customFormat="1" customHeight="1" ht="14.25">
      <c r="A591" s="1297"/>
      <c r="B591" s="986"/>
      <c r="C591" s="103"/>
      <c r="D591" s="103" cm="1" t="str">
        <f t="array" ref="D591:D591">D590</f>
        <v>11</v>
      </c>
      <c r="E591" s="626">
        <v>15</v>
      </c>
      <c r="F591" s="50" cm="1" t="str">
        <f t="array" ref="F591:F591">OFFSET(E591,-1,1)</f>
        <v>3</v>
      </c>
      <c r="G591" s="103"/>
      <c r="H591" s="103"/>
      <c r="I591" s="103" t="s">
        <v>2442</v>
      </c>
      <c r="J591" s="103"/>
      <c r="K591" s="154" t="s">
        <v>2442</v>
      </c>
      <c r="L591" s="988" t="s">
        <v>2131</v>
      </c>
      <c r="M591" s="103"/>
      <c r="N591" s="103"/>
      <c r="O591" s="103"/>
      <c r="P591" s="103"/>
      <c r="Q591" s="103"/>
      <c r="R591" s="103"/>
      <c r="S591" s="103"/>
      <c r="T591" s="468" cm="1" t="str">
        <f t="array" ref="T591:T591">T590</f>
        <v>true</v>
      </c>
      <c r="U591" s="103"/>
      <c r="V591" s="103"/>
      <c r="W591" s="103"/>
      <c r="X591" s="1559"/>
      <c r="Y591" s="1297"/>
      <c r="Z591" s="1529"/>
      <c r="AA591" s="1297"/>
      <c r="AB591" s="296" t="str">
        <f>D591&amp;".5"</f>
        <v>11.5</v>
      </c>
      <c r="AC591" s="1120" t="s">
        <v>2133</v>
      </c>
      <c r="AD591" s="296" t="s">
        <v>561</v>
      </c>
      <c r="AE591" s="1123">
        <f>IF(AE588=0,0,AE590/AE588*100)</f>
        <v>109.600161614863</v>
      </c>
      <c r="AF591" s="1123">
        <f>IF(AF588=0,0,AF590/AF588*100)</f>
        <v>0</v>
      </c>
      <c r="AG591" s="1123">
        <f>IF(AG588=0,0,AG590/AG588*100)</f>
        <v>0</v>
      </c>
      <c r="AH591" s="1124"/>
      <c r="AI591" s="1123">
        <f>IF(AI588=0,0,AI590/AI588*100)</f>
        <v>111.995040887675</v>
      </c>
      <c r="AJ591" s="1123">
        <f>IF(AJ588=0,0,AJ590/AJ588*100)</f>
        <v>0</v>
      </c>
      <c r="AK591" s="1123">
        <f>IF(AK588=0,0,AK590/AK588*100)</f>
        <v>0</v>
      </c>
      <c r="AL591" s="1123">
        <f>IF(AL588=0,0,AL590/AL588*100)</f>
        <v>0</v>
      </c>
      <c r="AM591" s="1123">
        <f>IF(AM588=0,0,AM590/AM588*100)</f>
        <v>0</v>
      </c>
      <c r="AN591" s="1123">
        <f>IF(AN588=0,0,AN590/AN588*100)</f>
        <v>0</v>
      </c>
      <c r="AO591" s="1123">
        <f>IF(AO588=0,0,AO590/AO588*100)</f>
        <v>0</v>
      </c>
      <c r="AP591" s="1123">
        <f>IF(AP588=0,0,AP590/AP588*100)</f>
        <v>0</v>
      </c>
      <c r="AQ591" s="1123">
        <f>IF(AQ588=0,0,AQ590/AQ588*100)</f>
        <v>0</v>
      </c>
      <c r="AR591" s="1123">
        <f>IF(AR588=0,0,AR590/AR588*100)</f>
        <v>0</v>
      </c>
      <c r="AS591" s="1123">
        <f>IF(AS588=0,0,AS590/AS588*100)</f>
        <v>0</v>
      </c>
      <c r="AT591" s="1123">
        <f>IF(AT588=0,0,AT590/AT588*100)</f>
        <v>0</v>
      </c>
      <c r="AU591" s="1123">
        <f>IF(AU588=0,0,AU590/AU588*100)</f>
        <v>0</v>
      </c>
      <c r="AV591" s="1123">
        <f>IF(AV588=0,0,AV590/AV588*100)</f>
        <v>0</v>
      </c>
      <c r="AW591" s="1123">
        <f>IF(AW588=0,0,AW590/AW588*100)</f>
        <v>0</v>
      </c>
      <c r="AX591" s="1123">
        <f>IF(AX588=0,0,AX590/AX588*100)</f>
        <v>0</v>
      </c>
      <c r="AY591" s="1123">
        <f>IF(AY588=0,0,AY590/AY588*100)</f>
        <v>0</v>
      </c>
      <c r="AZ591" s="1123">
        <f>IF(AZ588=0,0,AZ590/AZ588*100)</f>
        <v>0</v>
      </c>
      <c r="BA591" s="1123">
        <f>IF(BA588=0,0,BA590/BA588*100)</f>
        <v>0</v>
      </c>
      <c r="BB591" s="1123">
        <f>IF(BB588=0,0,BB590/BB588*100)</f>
        <v>0</v>
      </c>
      <c r="BC591" s="1123">
        <f>IF(BC588=0,0,BC590/BC588*100)</f>
        <v>0</v>
      </c>
      <c r="BD591" s="1124"/>
      <c r="BE591" s="1124"/>
      <c r="BF591" s="1124"/>
      <c r="BG591" s="1124"/>
      <c r="BH591" s="1124"/>
      <c r="BI591" s="1124"/>
      <c r="BJ591" s="1124"/>
      <c r="BK591" s="1124"/>
      <c r="BL591" s="1124"/>
      <c r="BM591" s="1124"/>
      <c r="BN591" s="6290"/>
      <c r="BO591" s="6290"/>
      <c r="BP591" s="6290"/>
      <c r="BQ591" s="1297"/>
      <c r="BR591" s="1297"/>
      <c r="BS591" s="1070" t="s">
        <v>2134</v>
      </c>
      <c r="BT591" s="1072"/>
      <c r="BU591" s="1072"/>
      <c r="BV591" s="987"/>
      <c r="BW591" s="987"/>
    </row>
    <row s="1656" customFormat="1" customHeight="1" ht="14.625">
      <c r="A592" s="1297"/>
      <c r="B592" s="986"/>
      <c r="C592" s="103"/>
      <c r="D592" s="103" cm="1" t="str">
        <f t="array" ref="D592:D592">D591</f>
        <v>11</v>
      </c>
      <c r="E592" s="626">
        <v>15</v>
      </c>
      <c r="F592" s="50" cm="1" t="str">
        <f t="array" ref="F592:F592">OFFSET(E592,-1,1)</f>
        <v>3</v>
      </c>
      <c r="G592" s="103"/>
      <c r="H592" s="103"/>
      <c r="I592" s="103" t="s">
        <v>2443</v>
      </c>
      <c r="J592" s="103"/>
      <c r="K592" s="154" t="s">
        <v>2443</v>
      </c>
      <c r="L592" s="988" t="s">
        <v>2135</v>
      </c>
      <c r="M592" s="103"/>
      <c r="N592" s="103"/>
      <c r="O592" s="103"/>
      <c r="P592" s="103"/>
      <c r="Q592" s="103"/>
      <c r="R592" s="103"/>
      <c r="S592" s="103"/>
      <c r="T592" s="468" cm="1" t="str">
        <f t="array" ref="T592:T592">T591</f>
        <v>true</v>
      </c>
      <c r="U592" s="103"/>
      <c r="V592" s="103"/>
      <c r="W592" s="103"/>
      <c r="X592" s="1559"/>
      <c r="Y592" s="1297"/>
      <c r="Z592" s="1529"/>
      <c r="AA592" s="1297"/>
      <c r="AB592" s="296" t="str">
        <f>D592&amp;".6"</f>
        <v>11.6</v>
      </c>
      <c r="AC592" s="1120" t="s">
        <v>2137</v>
      </c>
      <c r="AD592" s="296" t="s">
        <v>1862</v>
      </c>
      <c r="AE592" s="6293">
        <v>46.3949957734</v>
      </c>
      <c r="AF592" s="6293">
        <f>IF(AF586=0,0,AF583/AF586)</f>
        <v>24.4802192655354</v>
      </c>
      <c r="AG592" s="6293">
        <f>IF(AG586=0,0,AG583/AG586)</f>
        <v>27.1554395790434</v>
      </c>
      <c r="AH592" s="1123">
        <f>AG592-AF592</f>
        <v>2.675220313508</v>
      </c>
      <c r="AI592" s="6293">
        <v>51.4299969194</v>
      </c>
      <c r="AJ592" s="6293">
        <f>IF(AJ586=0,0,AJ583/AJ586)</f>
        <v>56.766927136525</v>
      </c>
      <c r="AK592" s="1260">
        <f>IF(AK586=0,0,AK583/AK586)</f>
        <v>0</v>
      </c>
      <c r="AL592" s="1260">
        <f>IF(AL586=0,0,AL583/AL586)</f>
        <v>0</v>
      </c>
      <c r="AM592" s="1260">
        <f>IF(AM586=0,0,AM583/AM586)</f>
        <v>0</v>
      </c>
      <c r="AN592" s="1260">
        <f>IF(AN586=0,0,AN583/AN586)</f>
        <v>0</v>
      </c>
      <c r="AO592" s="1260">
        <f>IF(AO586=0,0,AO583/AO586)</f>
        <v>0</v>
      </c>
      <c r="AP592" s="1260">
        <f>IF(AP586=0,0,AP583/AP586)</f>
        <v>0</v>
      </c>
      <c r="AQ592" s="1260">
        <f>IF(AQ586=0,0,AQ583/AQ586)</f>
        <v>0</v>
      </c>
      <c r="AR592" s="1260">
        <f>IF(AR586=0,0,AR583/AR586)</f>
        <v>0</v>
      </c>
      <c r="AS592" s="1260">
        <f>IF(AS586=0,0,AS583/AS586)</f>
        <v>0</v>
      </c>
      <c r="AT592" s="6293">
        <f>IF(AT586=0,0,AT583/AT586)</f>
        <v>59.4230413178967</v>
      </c>
      <c r="AU592" s="1260">
        <f>IF(AU586=0,0,AU583/AU586)</f>
        <v>0</v>
      </c>
      <c r="AV592" s="1260">
        <f>IF(AV586=0,0,AV583/AV586)</f>
        <v>0</v>
      </c>
      <c r="AW592" s="1260">
        <f>IF(AW586=0,0,AW583/AW586)</f>
        <v>0</v>
      </c>
      <c r="AX592" s="1260">
        <f>IF(AX586=0,0,AX583/AX586)</f>
        <v>0</v>
      </c>
      <c r="AY592" s="1260">
        <f>IF(AY586=0,0,AY583/AY586)</f>
        <v>0</v>
      </c>
      <c r="AZ592" s="1260">
        <f>IF(AZ586=0,0,AZ583/AZ586)</f>
        <v>0</v>
      </c>
      <c r="BA592" s="1260">
        <f>IF(BA586=0,0,BA583/BA586)</f>
        <v>0</v>
      </c>
      <c r="BB592" s="1260">
        <f>IF(BB586=0,0,BB583/BB586)</f>
        <v>0</v>
      </c>
      <c r="BC592" s="1260">
        <f>IF(BC586=0,0,BC583/BC586)</f>
        <v>0</v>
      </c>
      <c r="BD592" s="1124"/>
      <c r="BE592" s="1124"/>
      <c r="BF592" s="1124"/>
      <c r="BG592" s="1124"/>
      <c r="BH592" s="1124"/>
      <c r="BI592" s="1124"/>
      <c r="BJ592" s="1124"/>
      <c r="BK592" s="1124"/>
      <c r="BL592" s="1124"/>
      <c r="BM592" s="1124"/>
      <c r="BN592" s="6290"/>
      <c r="BO592" s="6290"/>
      <c r="BP592" s="6290"/>
      <c r="BQ592" s="1297"/>
      <c r="BR592" s="1297"/>
      <c r="BS592" s="1070" t="s">
        <v>2138</v>
      </c>
      <c r="BT592" s="1072"/>
      <c r="BU592" s="1072"/>
      <c r="BV592" s="987"/>
      <c r="BW592" s="987"/>
    </row>
    <row s="6475" customFormat="1" customHeight="1" ht="20.475">
      <c r="A593" s="706"/>
      <c r="B593" s="437"/>
      <c r="C593" s="105"/>
      <c r="D593" s="105">
        <f>D592+1</f>
        <v>12</v>
      </c>
      <c r="E593" s="833">
        <v>21</v>
      </c>
      <c r="F593" s="50" cm="1" t="str">
        <f t="array" ref="F593:F593">OFFSET(E593,-1,1)</f>
        <v>3</v>
      </c>
      <c r="G593" s="105"/>
      <c r="H593" s="103"/>
      <c r="I593" s="103" t="s">
        <v>2142</v>
      </c>
      <c r="J593" s="105"/>
      <c r="K593" s="154" t="s">
        <v>2142</v>
      </c>
      <c r="L593" s="993" t="s">
        <v>2139</v>
      </c>
      <c r="M593" s="105"/>
      <c r="N593" s="105"/>
      <c r="O593" s="105"/>
      <c r="P593" s="105"/>
      <c r="Q593" s="105"/>
      <c r="R593" s="105"/>
      <c r="S593" s="105"/>
      <c r="T593" s="468" cm="1" t="str">
        <f t="array" ref="T593:T593">T592</f>
        <v>true</v>
      </c>
      <c r="U593" s="105"/>
      <c r="V593" s="105"/>
      <c r="W593" s="105"/>
      <c r="X593" s="1559"/>
      <c r="Y593" s="706"/>
      <c r="Z593" s="1529"/>
      <c r="AA593" s="706"/>
      <c r="AB593" s="207" cm="1" t="str">
        <f t="array" ref="AB593:AB593">D593</f>
        <v>12</v>
      </c>
      <c r="AC593" s="208" t="s">
        <v>2140</v>
      </c>
      <c r="AD593" s="207" t="s">
        <v>936</v>
      </c>
      <c r="AE593" s="6358">
        <v>44073.9238845678</v>
      </c>
      <c r="AF593" s="6358">
        <f>IF(AF586=0,0,AF583/AF586*AF594)</f>
        <v>19707.6805666449</v>
      </c>
      <c r="AG593" s="6358">
        <f>IF(AG586=0,0,AG583/AG586*AG594)</f>
        <v>21861.3535714549</v>
      </c>
      <c r="AH593" s="209">
        <f>AH595*AH596+AH597*AH598</f>
        <v>0</v>
      </c>
      <c r="AI593" s="6358">
        <v>46414.1800097158</v>
      </c>
      <c r="AJ593" s="6358">
        <f>IF(AJ586=0,0,AJ583/AJ586*AJ594)</f>
        <v>51230.6150599962</v>
      </c>
      <c r="AK593" s="1269">
        <f>IF(AK586=0,0,AK583/AK586*AK594)</f>
        <v>0</v>
      </c>
      <c r="AL593" s="1269">
        <f>IF(AL586=0,0,AL583/AL586*AL594)</f>
        <v>0</v>
      </c>
      <c r="AM593" s="1269">
        <f>IF(AM586=0,0,AM583/AM586*AM594)</f>
        <v>0</v>
      </c>
      <c r="AN593" s="1269">
        <f>IF(AN586=0,0,AN583/AN586*AN594)</f>
        <v>0</v>
      </c>
      <c r="AO593" s="1269">
        <f>IF(AO586=0,0,AO583/AO586*AO594)</f>
        <v>0</v>
      </c>
      <c r="AP593" s="1269">
        <f>IF(AP586=0,0,AP583/AP586*AP594)</f>
        <v>0</v>
      </c>
      <c r="AQ593" s="1269">
        <f>IF(AQ586=0,0,AQ583/AQ586*AQ594)</f>
        <v>0</v>
      </c>
      <c r="AR593" s="1269">
        <f>IF(AR586=0,0,AR583/AR586*AR594)</f>
        <v>0</v>
      </c>
      <c r="AS593" s="1269">
        <f>IF(AS586=0,0,AS583/AS586*AS594)</f>
        <v>0</v>
      </c>
      <c r="AT593" s="6358">
        <f>IF(AT586=0,0,AT583/AT586*AT594)</f>
        <v>50946.301689309</v>
      </c>
      <c r="AU593" s="1269">
        <f>IF(AU586=0,0,AU583/AU586*AU594)</f>
        <v>0</v>
      </c>
      <c r="AV593" s="1269">
        <f>IF(AV586=0,0,AV583/AV586*AV594)</f>
        <v>0</v>
      </c>
      <c r="AW593" s="1269">
        <f>IF(AW586=0,0,AW583/AW586*AW594)</f>
        <v>0</v>
      </c>
      <c r="AX593" s="1269">
        <f>IF(AX586=0,0,AX583/AX586*AX594)</f>
        <v>0</v>
      </c>
      <c r="AY593" s="1269">
        <f>IF(AY586=0,0,AY583/AY586*AY594)</f>
        <v>0</v>
      </c>
      <c r="AZ593" s="1269">
        <f>IF(AZ586=0,0,AZ583/AZ586*AZ594)</f>
        <v>0</v>
      </c>
      <c r="BA593" s="1269">
        <f>IF(BA586=0,0,BA583/BA586*BA594)</f>
        <v>0</v>
      </c>
      <c r="BB593" s="1269">
        <f>IF(BB586=0,0,BB583/BB586*BB594)</f>
        <v>0</v>
      </c>
      <c r="BC593" s="1269">
        <f>IF(BC586=0,0,BC583/BC586*BC594)</f>
        <v>0</v>
      </c>
      <c r="BD593" s="785">
        <f>IF(AI593=0,0,(AT593-AI593)/AI593*100)</f>
        <v>9.76451954692403</v>
      </c>
      <c r="BE593" s="785">
        <f>IF(AT593=0,0,(AU593-AT593)/AT593*100)</f>
        <v>-100</v>
      </c>
      <c r="BF593" s="785">
        <f>IF(AU593=0,0,(AV593-AU593)/AU593*100)</f>
        <v>0</v>
      </c>
      <c r="BG593" s="785">
        <f>IF(AV593=0,0,(AW593-AV593)/AV593*100)</f>
        <v>0</v>
      </c>
      <c r="BH593" s="785">
        <f>IF(AW593=0,0,(AX593-AW593)/AW593*100)</f>
        <v>0</v>
      </c>
      <c r="BI593" s="785">
        <f>IF(AX593=0,0,(AY593-AX593)/AX593*100)</f>
        <v>0</v>
      </c>
      <c r="BJ593" s="785">
        <f>IF(AY593=0,0,(AZ593-AY593)/AY593*100)</f>
        <v>0</v>
      </c>
      <c r="BK593" s="785">
        <f>IF(AZ593=0,0,(BA593-AZ593)/AZ593*100)</f>
        <v>0</v>
      </c>
      <c r="BL593" s="785">
        <f>IF(BA593=0,0,(BB593-BA593)/BA593*100)</f>
        <v>0</v>
      </c>
      <c r="BM593" s="785">
        <f>IF(BB593=0,0,(BC593-BB593)/BB593*100)</f>
        <v>0</v>
      </c>
      <c r="BN593" s="6290"/>
      <c r="BO593" s="6290"/>
      <c r="BP593" s="6290"/>
      <c r="BQ593" s="706"/>
      <c r="BR593" s="706"/>
      <c r="BS593" s="1071" t="s">
        <v>2141</v>
      </c>
      <c r="BT593" s="1078"/>
      <c r="BU593" s="1078"/>
      <c r="BV593" s="713"/>
      <c r="BW593" s="713"/>
    </row>
    <row s="6476" customFormat="1" customHeight="1" ht="20.25">
      <c r="A594" s="706"/>
      <c r="B594" s="437"/>
      <c r="C594" s="105"/>
      <c r="D594" s="105">
        <f>D593+1</f>
        <v>13</v>
      </c>
      <c r="E594" s="833">
        <v>21</v>
      </c>
      <c r="F594" s="50" cm="1" t="str">
        <f t="array" ref="F594:F594">OFFSET(E594,-1,1)</f>
        <v>3</v>
      </c>
      <c r="G594" s="103" t="s">
        <v>1884</v>
      </c>
      <c r="H594" s="103"/>
      <c r="I594" s="103" t="s">
        <v>2444</v>
      </c>
      <c r="J594" s="105"/>
      <c r="K594" s="154" t="s">
        <v>2444</v>
      </c>
      <c r="L594" s="993" t="s">
        <v>2142</v>
      </c>
      <c r="M594" s="105"/>
      <c r="N594" s="105"/>
      <c r="O594" s="105"/>
      <c r="P594" s="105"/>
      <c r="Q594" s="105"/>
      <c r="R594" s="105"/>
      <c r="S594" s="105"/>
      <c r="T594" s="468" cm="1" t="str">
        <f t="array" ref="T594:T594">T593</f>
        <v>true</v>
      </c>
      <c r="U594" s="105"/>
      <c r="V594" s="105"/>
      <c r="W594" s="105"/>
      <c r="X594" s="1559"/>
      <c r="Y594" s="706"/>
      <c r="Z594" s="1529"/>
      <c r="AA594" s="706"/>
      <c r="AB594" s="207" cm="1" t="str">
        <f t="array" ref="AB594:AB594">D594</f>
        <v>13</v>
      </c>
      <c r="AC594" s="208" t="s">
        <v>2143</v>
      </c>
      <c r="AD594" s="207" t="s">
        <v>657</v>
      </c>
      <c r="AE594" s="792">
        <f>_xlfn.SUMIFS(Баланс!AE$26:AE$391,Баланс!$F$26:$F$391,$F594,Баланс!$G$26:$G$391,"население")</f>
        <v>949.9715</v>
      </c>
      <c r="AF594" s="792">
        <f>_xlfn.SUMIFS(Баланс!AF$26:AF$391,Баланс!$F$26:$F$391,$F594,Баланс!$G$26:$G$391,"население")</f>
        <v>805.0451</v>
      </c>
      <c r="AG594" s="792">
        <f>_xlfn.SUMIFS(Баланс!AG$26:AG$391,Баланс!$F$26:$F$391,$F594,Баланс!$G$26:$G$391,"население")</f>
        <v>805.0451</v>
      </c>
      <c r="AH594" s="792">
        <f>AG594-AF594</f>
        <v>0</v>
      </c>
      <c r="AI594" s="792">
        <f>_xlfn.SUMIFS(Баланс!AH$26:AH$391,Баланс!$F$26:$F$391,$F594,Баланс!$G$26:$G$391,"население")</f>
        <v>902.47293</v>
      </c>
      <c r="AJ594" s="792">
        <f>_xlfn.SUMIFS(Баланс!AI$26:AI$391,Баланс!$F$26:$F$391,$F594,Баланс!$G$26:$G$391,"население")</f>
        <v>902.47293</v>
      </c>
      <c r="AK594" s="792">
        <f>_xlfn.SUMIFS(Баланс!AJ$26:AJ$391,Баланс!$F$26:$F$391,$F594,Баланс!$G$26:$G$391,"население")</f>
        <v>0</v>
      </c>
      <c r="AL594" s="792">
        <f>_xlfn.SUMIFS(Баланс!AK$26:AK$391,Баланс!$F$26:$F$391,$F594,Баланс!$G$26:$G$391,"население")</f>
        <v>0</v>
      </c>
      <c r="AM594" s="792">
        <f>_xlfn.SUMIFS(Баланс!AL$26:AL$391,Баланс!$F$26:$F$391,$F594,Баланс!$G$26:$G$391,"население")</f>
        <v>0</v>
      </c>
      <c r="AN594" s="792">
        <f>_xlfn.SUMIFS(Баланс!AM$26:AM$391,Баланс!$F$26:$F$391,$F594,Баланс!$G$26:$G$391,"население")</f>
        <v>0</v>
      </c>
      <c r="AO594" s="792">
        <f>_xlfn.SUMIFS(Баланс!AN$26:AN$391,Баланс!$F$26:$F$391,$F594,Баланс!$G$26:$G$391,"население")</f>
        <v>0</v>
      </c>
      <c r="AP594" s="792">
        <f>_xlfn.SUMIFS(Баланс!AO$26:AO$391,Баланс!$F$26:$F$391,$F594,Баланс!$G$26:$G$391,"население")</f>
        <v>0</v>
      </c>
      <c r="AQ594" s="792">
        <f>_xlfn.SUMIFS(Баланс!AP$26:AP$391,Баланс!$F$26:$F$391,$F594,Баланс!$G$26:$G$391,"население")</f>
        <v>0</v>
      </c>
      <c r="AR594" s="792">
        <f>_xlfn.SUMIFS(Баланс!AQ$26:AQ$391,Баланс!$F$26:$F$391,$F594,Баланс!$G$26:$G$391,"население")</f>
        <v>0</v>
      </c>
      <c r="AS594" s="792">
        <f>_xlfn.SUMIFS(Баланс!AR$26:AR$391,Баланс!$F$26:$F$391,$F594,Баланс!$G$26:$G$391,"население")</f>
        <v>0</v>
      </c>
      <c r="AT594" s="792">
        <f>_xlfn.SUMIFS(Баланс!AS$26:AS$391,Баланс!$F$26:$F$391,$F594,Баланс!$G$26:$G$391,"население")</f>
        <v>857.34928</v>
      </c>
      <c r="AU594" s="792">
        <f>_xlfn.SUMIFS(Баланс!AT$26:AT$391,Баланс!$F$26:$F$391,$F594,Баланс!$G$26:$G$391,"население")</f>
        <v>0</v>
      </c>
      <c r="AV594" s="792">
        <f>_xlfn.SUMIFS(Баланс!AU$26:AU$391,Баланс!$F$26:$F$391,$F594,Баланс!$G$26:$G$391,"население")</f>
        <v>0</v>
      </c>
      <c r="AW594" s="792">
        <f>_xlfn.SUMIFS(Баланс!AV$26:AV$391,Баланс!$F$26:$F$391,$F594,Баланс!$G$26:$G$391,"население")</f>
        <v>0</v>
      </c>
      <c r="AX594" s="792">
        <f>_xlfn.SUMIFS(Баланс!AW$26:AW$391,Баланс!$F$26:$F$391,$F594,Баланс!$G$26:$G$391,"население")</f>
        <v>0</v>
      </c>
      <c r="AY594" s="792">
        <f>_xlfn.SUMIFS(Баланс!AX$26:AX$391,Баланс!$F$26:$F$391,$F594,Баланс!$G$26:$G$391,"население")</f>
        <v>0</v>
      </c>
      <c r="AZ594" s="792">
        <f>_xlfn.SUMIFS(Баланс!AY$26:AY$391,Баланс!$F$26:$F$391,$F594,Баланс!$G$26:$G$391,"население")</f>
        <v>0</v>
      </c>
      <c r="BA594" s="792">
        <f>_xlfn.SUMIFS(Баланс!AZ$26:AZ$391,Баланс!$F$26:$F$391,$F594,Баланс!$G$26:$G$391,"население")</f>
        <v>0</v>
      </c>
      <c r="BB594" s="792">
        <f>_xlfn.SUMIFS(Баланс!BA$26:BA$391,Баланс!$F$26:$F$391,$F594,Баланс!$G$26:$G$391,"население")</f>
        <v>0</v>
      </c>
      <c r="BC594" s="792">
        <f>_xlfn.SUMIFS(Баланс!BB$26:BB$391,Баланс!$F$26:$F$391,$F594,Баланс!$G$26:$G$391,"население")</f>
        <v>0</v>
      </c>
      <c r="BD594" s="212"/>
      <c r="BE594" s="212"/>
      <c r="BF594" s="212"/>
      <c r="BG594" s="212"/>
      <c r="BH594" s="212"/>
      <c r="BI594" s="212"/>
      <c r="BJ594" s="212"/>
      <c r="BK594" s="212"/>
      <c r="BL594" s="212"/>
      <c r="BM594" s="212"/>
      <c r="BN594" s="6290"/>
      <c r="BO594" s="6290"/>
      <c r="BP594" s="6290"/>
      <c r="BQ594" s="706"/>
      <c r="BR594" s="706"/>
      <c r="BS594" s="1071" t="s">
        <v>2144</v>
      </c>
      <c r="BT594" s="1078"/>
      <c r="BU594" s="1078"/>
      <c r="BV594" s="713"/>
      <c r="BW594" s="713"/>
    </row>
    <row s="1656" customFormat="1" customHeight="1" ht="14.625">
      <c r="A595" s="1297"/>
      <c r="B595" s="986"/>
      <c r="C595" s="103"/>
      <c r="D595" s="103" cm="1" t="str">
        <f t="array" ref="D595:D595">D594</f>
        <v>13</v>
      </c>
      <c r="E595" s="626">
        <v>15</v>
      </c>
      <c r="F595" s="50" cm="1" t="str">
        <f t="array" ref="F595:F595">OFFSET(E595,-1,1)</f>
        <v>3</v>
      </c>
      <c r="G595" s="103" t="s">
        <v>1918</v>
      </c>
      <c r="H595" s="103"/>
      <c r="I595" s="103" t="s">
        <v>2445</v>
      </c>
      <c r="J595" s="103"/>
      <c r="K595" s="154" t="s">
        <v>2445</v>
      </c>
      <c r="L595" s="988" t="s">
        <v>2145</v>
      </c>
      <c r="M595" s="103"/>
      <c r="N595" s="103"/>
      <c r="O595" s="103"/>
      <c r="P595" s="103"/>
      <c r="Q595" s="103"/>
      <c r="R595" s="103"/>
      <c r="S595" s="103"/>
      <c r="T595" s="468" cm="1" t="str">
        <f t="array" ref="T595:T595">T594</f>
        <v>true</v>
      </c>
      <c r="U595" s="103"/>
      <c r="V595" s="103"/>
      <c r="W595" s="103"/>
      <c r="X595" s="1559"/>
      <c r="Y595" s="1297"/>
      <c r="Z595" s="1529"/>
      <c r="AA595" s="1297"/>
      <c r="AB595" s="296" t="str">
        <f>D595&amp;".1"</f>
        <v>13.1</v>
      </c>
      <c r="AC595" s="1120" t="s">
        <v>2147</v>
      </c>
      <c r="AD595" s="296" t="s">
        <v>657</v>
      </c>
      <c r="AE595" s="6291">
        <v>474.98575</v>
      </c>
      <c r="AF595" s="6291">
        <f>IF(AF$24="2026 год",AF594/12*9,AF594/2)</f>
        <v>402.52255</v>
      </c>
      <c r="AG595" s="6291">
        <f>IF(AG$24="2026 год",AG594/12*9,AG594/2)</f>
        <v>402.52255</v>
      </c>
      <c r="AH595" s="1122">
        <f>AG595-AF595</f>
        <v>0</v>
      </c>
      <c r="AI595" s="6291">
        <v>451.236465</v>
      </c>
      <c r="AJ595" s="6291">
        <f>IF(AJ$24="2026 год",AJ594/12*9,AJ594/2)</f>
        <v>676.8546975</v>
      </c>
      <c r="AK595" s="1258">
        <f>IF(AK$24="2026 год",AK594/12*9,AK594/2)</f>
        <v>0</v>
      </c>
      <c r="AL595" s="1258">
        <f>IF(AL$24="2026 год",AL594/12*9,AL594/2)</f>
        <v>0</v>
      </c>
      <c r="AM595" s="1258">
        <f>IF(AM$24="2026 год",AM594/12*9,AM594/2)</f>
        <v>0</v>
      </c>
      <c r="AN595" s="1258">
        <f>IF(AN$24="2026 год",AN594/12*9,AN594/2)</f>
        <v>0</v>
      </c>
      <c r="AO595" s="1258">
        <f>IF(AO$24="2026 год",AO594/12*9,AO594/2)</f>
        <v>0</v>
      </c>
      <c r="AP595" s="1258">
        <f>IF(AP$24="2026 год",AP594/12*9,AP594/2)</f>
        <v>0</v>
      </c>
      <c r="AQ595" s="1258">
        <f>IF(AQ$24="2026 год",AQ594/12*9,AQ594/2)</f>
        <v>0</v>
      </c>
      <c r="AR595" s="1258">
        <f>IF(AR$24="2026 год",AR594/12*9,AR594/2)</f>
        <v>0</v>
      </c>
      <c r="AS595" s="1258">
        <f>IF(AS$24="2026 год",AS594/12*9,AS594/2)</f>
        <v>0</v>
      </c>
      <c r="AT595" s="6356">
        <f>IF(AT$24="2026 год",AT594/12*9,AT594/2)</f>
        <v>643.01196</v>
      </c>
      <c r="AU595" s="1280">
        <f>IF(AU$24="2026 год",AU594/12*9,AU594/2)</f>
        <v>0</v>
      </c>
      <c r="AV595" s="1258">
        <f>IF(AV$24="2026 год",AV594/12*9,AV594/2)</f>
        <v>0</v>
      </c>
      <c r="AW595" s="1258">
        <f>IF(AW$24="2026 год",AW594/12*9,AW594/2)</f>
        <v>0</v>
      </c>
      <c r="AX595" s="1258">
        <f>IF(AX$24="2026 год",AX594/12*9,AX594/2)</f>
        <v>0</v>
      </c>
      <c r="AY595" s="1258">
        <f>IF(AY$24="2026 год",AY594/12*9,AY594/2)</f>
        <v>0</v>
      </c>
      <c r="AZ595" s="1258">
        <f>IF(AZ$24="2026 год",AZ594/12*9,AZ594/2)</f>
        <v>0</v>
      </c>
      <c r="BA595" s="1258">
        <f>IF(BA$24="2026 год",BA594/12*9,BA594/2)</f>
        <v>0</v>
      </c>
      <c r="BB595" s="1258">
        <f>IF(BB$24="2026 год",BB594/12*9,BB594/2)</f>
        <v>0</v>
      </c>
      <c r="BC595" s="1258">
        <f>IF(BC$24="2026 год",BC594/12*9,BC594/2)</f>
        <v>0</v>
      </c>
      <c r="BD595" s="1124"/>
      <c r="BE595" s="1124"/>
      <c r="BF595" s="1124"/>
      <c r="BG595" s="1124"/>
      <c r="BH595" s="1124"/>
      <c r="BI595" s="1124"/>
      <c r="BJ595" s="1124"/>
      <c r="BK595" s="1124"/>
      <c r="BL595" s="1124"/>
      <c r="BM595" s="1124"/>
      <c r="BN595" s="6290"/>
      <c r="BO595" s="6290"/>
      <c r="BP595" s="6290"/>
      <c r="BQ595" s="1297"/>
      <c r="BR595" s="1297"/>
      <c r="BS595" s="1070" t="s">
        <v>2148</v>
      </c>
      <c r="BT595" s="1072"/>
      <c r="BU595" s="1072"/>
      <c r="BV595" s="987"/>
      <c r="BW595" s="987"/>
    </row>
    <row s="1656" customFormat="1" customHeight="1" ht="14.625">
      <c r="A596" s="1297"/>
      <c r="B596" s="986"/>
      <c r="C596" s="103"/>
      <c r="D596" s="103" cm="1" t="str">
        <f t="array" ref="D596:D596">D595</f>
        <v>13</v>
      </c>
      <c r="E596" s="626">
        <v>15</v>
      </c>
      <c r="F596" s="50" cm="1" t="str">
        <f t="array" ref="F596:F596">OFFSET(E596,-1,1)</f>
        <v>3</v>
      </c>
      <c r="G596" s="103" t="s">
        <v>1874</v>
      </c>
      <c r="H596" s="103"/>
      <c r="I596" s="103" t="s">
        <v>2446</v>
      </c>
      <c r="J596" s="103"/>
      <c r="K596" s="154" t="s">
        <v>2446</v>
      </c>
      <c r="L596" s="988" t="s">
        <v>2149</v>
      </c>
      <c r="M596" s="103"/>
      <c r="N596" s="103"/>
      <c r="O596" s="103"/>
      <c r="P596" s="103"/>
      <c r="Q596" s="103"/>
      <c r="R596" s="103"/>
      <c r="S596" s="103"/>
      <c r="T596" s="468" cm="1" t="str">
        <f t="array" ref="T596:T596">T595</f>
        <v>true</v>
      </c>
      <c r="U596" s="103"/>
      <c r="V596" s="103"/>
      <c r="W596" s="103"/>
      <c r="X596" s="1559"/>
      <c r="Y596" s="1297"/>
      <c r="Z596" s="1529"/>
      <c r="AA596" s="1297"/>
      <c r="AB596" s="296" t="str">
        <f>D596&amp;".2"</f>
        <v>13.2</v>
      </c>
      <c r="AC596" s="1120" t="s">
        <v>2151</v>
      </c>
      <c r="AD596" s="296" t="s">
        <v>1862</v>
      </c>
      <c r="AE596" s="6293">
        <v>53.124</v>
      </c>
      <c r="AF596" s="6360">
        <f>IF(AF594=0,0,AF588*(1+Сценарии!AF$26/100))</f>
        <v>0</v>
      </c>
      <c r="AG596" s="6360">
        <f>IF(AG594=0,0,AG588*(1+Сценарии!AG$26/100))</f>
        <v>0</v>
      </c>
      <c r="AH596" s="1123">
        <f>AG596-AF596</f>
        <v>0</v>
      </c>
      <c r="AI596" s="6293">
        <v>58.224</v>
      </c>
      <c r="AJ596" s="6360">
        <f>IF(AJ594=0,0,AJ588*(1+Сценарии!AJ$26/100))</f>
        <v>0</v>
      </c>
      <c r="AK596" s="1281">
        <f>IF(AK594=0,0,AK588*(1+Сценарии!AO$26/100))</f>
        <v>0</v>
      </c>
      <c r="AL596" s="1281">
        <f>IF(AL594=0,0,AL588*(1+Сценарии!AP$26/100))</f>
        <v>0</v>
      </c>
      <c r="AM596" s="1281">
        <f>IF(AM594=0,0,AM588*(1+Сценарии!AQ$26/100))</f>
        <v>0</v>
      </c>
      <c r="AN596" s="1281">
        <f>IF(AN594=0,0,AN588*(1+Сценарии!AR$26/100))</f>
        <v>0</v>
      </c>
      <c r="AO596" s="1281">
        <f>IF(AO594=0,0,AO588*(1+Сценарии!AS$26/100))</f>
        <v>0</v>
      </c>
      <c r="AP596" s="1281">
        <f>IF(AP594=0,0,AP588*(1+Сценарии!AT$26/100))</f>
        <v>0</v>
      </c>
      <c r="AQ596" s="1281">
        <f>IF(AQ594=0,0,AQ588*(1+Сценарии!AU$26/100))</f>
        <v>0</v>
      </c>
      <c r="AR596" s="1281">
        <f>IF(AR594=0,0,AR588*(1+Сценарии!AV$26/100))</f>
        <v>0</v>
      </c>
      <c r="AS596" s="1281">
        <f>IF(AS594=0,0,AS588*(1+Сценарии!AW$26/100))</f>
        <v>0</v>
      </c>
      <c r="AT596" s="6293">
        <f>IF(AT594=0,0,AT588*(1+Сценарии!AK$26/100))</f>
        <v>0</v>
      </c>
      <c r="AU596" s="1260">
        <f>IF(AU594=0,0,AU588*(1+Сценарии!AX$26/100))</f>
        <v>0</v>
      </c>
      <c r="AV596" s="1281">
        <f>IF(AV594=0,0,AV588*(1+Сценарии!AY$26/100))</f>
        <v>0</v>
      </c>
      <c r="AW596" s="1281">
        <f>IF(AW594=0,0,AW588*(1+Сценарии!AZ$26/100))</f>
        <v>0</v>
      </c>
      <c r="AX596" s="1281">
        <f>IF(AX594=0,0,AX588*(1+Сценарии!BA$26/100))</f>
        <v>0</v>
      </c>
      <c r="AY596" s="1281">
        <f>IF(AY594=0,0,AY588*(1+Сценарии!BB$26/100))</f>
        <v>0</v>
      </c>
      <c r="AZ596" s="1281">
        <f>IF(AZ594=0,0,AZ588*(1+Сценарии!BC$26/100))</f>
        <v>0</v>
      </c>
      <c r="BA596" s="1281">
        <f>IF(BA594=0,0,BA588*(1+Сценарии!BD$26/100))</f>
        <v>0</v>
      </c>
      <c r="BB596" s="1281">
        <f>IF(BB594=0,0,BB588*(1+Сценарии!BE$26/100))</f>
        <v>0</v>
      </c>
      <c r="BC596" s="1281">
        <f>IF(BC594=0,0,BC588*(1+Сценарии!BF$26/100))</f>
        <v>0</v>
      </c>
      <c r="BD596" s="1124"/>
      <c r="BE596" s="1124"/>
      <c r="BF596" s="1124"/>
      <c r="BG596" s="1124"/>
      <c r="BH596" s="1124"/>
      <c r="BI596" s="1124"/>
      <c r="BJ596" s="1124"/>
      <c r="BK596" s="1124"/>
      <c r="BL596" s="1124"/>
      <c r="BM596" s="1124"/>
      <c r="BN596" s="6290"/>
      <c r="BO596" s="6290"/>
      <c r="BP596" s="6290"/>
      <c r="BQ596" s="1297"/>
      <c r="BR596" s="1297"/>
      <c r="BS596" s="1070" t="s">
        <v>2152</v>
      </c>
      <c r="BT596" s="1072"/>
      <c r="BU596" s="1072"/>
      <c r="BV596" s="987"/>
      <c r="BW596" s="987"/>
    </row>
    <row s="1656" customFormat="1" customHeight="1" ht="14.25">
      <c r="A597" s="1297"/>
      <c r="B597" s="986"/>
      <c r="C597" s="103"/>
      <c r="D597" s="103" cm="1" t="str">
        <f t="array" ref="D597:D597">D596</f>
        <v>13</v>
      </c>
      <c r="E597" s="626">
        <v>15</v>
      </c>
      <c r="F597" s="50" cm="1" t="str">
        <f t="array" ref="F597:F597">OFFSET(E597,-1,1)</f>
        <v>3</v>
      </c>
      <c r="G597" s="103" t="s">
        <v>1925</v>
      </c>
      <c r="H597" s="103"/>
      <c r="I597" s="103" t="s">
        <v>2447</v>
      </c>
      <c r="J597" s="103"/>
      <c r="K597" s="103" t="s">
        <v>2447</v>
      </c>
      <c r="L597" s="988" t="s">
        <v>2153</v>
      </c>
      <c r="M597" s="103"/>
      <c r="N597" s="103"/>
      <c r="O597" s="103"/>
      <c r="P597" s="103"/>
      <c r="Q597" s="103"/>
      <c r="R597" s="103"/>
      <c r="S597" s="103"/>
      <c r="T597" s="468" cm="1" t="str">
        <f t="array" ref="T597:T597">T596</f>
        <v>true</v>
      </c>
      <c r="U597" s="103"/>
      <c r="V597" s="103"/>
      <c r="W597" s="103"/>
      <c r="X597" s="1559"/>
      <c r="Y597" s="1297"/>
      <c r="Z597" s="1529"/>
      <c r="AA597" s="1297"/>
      <c r="AB597" s="296" t="str">
        <f>D597&amp;".3"</f>
        <v>13.3</v>
      </c>
      <c r="AC597" s="1120" t="s">
        <v>2125</v>
      </c>
      <c r="AD597" s="296" t="s">
        <v>657</v>
      </c>
      <c r="AE597" s="1122">
        <f>AE594-AE595</f>
        <v>474.98575</v>
      </c>
      <c r="AF597" s="1122">
        <f>AF594-AF595</f>
        <v>402.52255</v>
      </c>
      <c r="AG597" s="1122">
        <f>AG594-AG595</f>
        <v>402.52255</v>
      </c>
      <c r="AH597" s="1122">
        <f>AG597-AF597</f>
        <v>0</v>
      </c>
      <c r="AI597" s="1122">
        <f>AI594-AI595</f>
        <v>451.236465</v>
      </c>
      <c r="AJ597" s="1122">
        <f>AJ594-AJ595</f>
        <v>225.6182325</v>
      </c>
      <c r="AK597" s="1122">
        <f>AK594-AK595</f>
        <v>0</v>
      </c>
      <c r="AL597" s="1122">
        <f>AL594-AL595</f>
        <v>0</v>
      </c>
      <c r="AM597" s="1122">
        <f>AM594-AM595</f>
        <v>0</v>
      </c>
      <c r="AN597" s="1122">
        <f>AN594-AN595</f>
        <v>0</v>
      </c>
      <c r="AO597" s="1122">
        <f>AO594-AO595</f>
        <v>0</v>
      </c>
      <c r="AP597" s="1122">
        <f>AP594-AP595</f>
        <v>0</v>
      </c>
      <c r="AQ597" s="1122">
        <f>AQ594-AQ595</f>
        <v>0</v>
      </c>
      <c r="AR597" s="1122">
        <f>AR594-AR595</f>
        <v>0</v>
      </c>
      <c r="AS597" s="1122">
        <f>AS594-AS595</f>
        <v>0</v>
      </c>
      <c r="AT597" s="1122">
        <f>AT594-AT595</f>
        <v>214.33732</v>
      </c>
      <c r="AU597" s="1122">
        <f>AU594-AU595</f>
        <v>0</v>
      </c>
      <c r="AV597" s="1122">
        <f>AV594-AV595</f>
        <v>0</v>
      </c>
      <c r="AW597" s="1122">
        <f>AW594-AW595</f>
        <v>0</v>
      </c>
      <c r="AX597" s="1122">
        <f>AX594-AX595</f>
        <v>0</v>
      </c>
      <c r="AY597" s="1122">
        <f>AY594-AY595</f>
        <v>0</v>
      </c>
      <c r="AZ597" s="1122">
        <f>AZ594-AZ595</f>
        <v>0</v>
      </c>
      <c r="BA597" s="1122">
        <f>BA594-BA595</f>
        <v>0</v>
      </c>
      <c r="BB597" s="1122">
        <f>BB594-BB595</f>
        <v>0</v>
      </c>
      <c r="BC597" s="1122">
        <f>BC594-BC595</f>
        <v>0</v>
      </c>
      <c r="BD597" s="1124"/>
      <c r="BE597" s="1124"/>
      <c r="BF597" s="1124"/>
      <c r="BG597" s="1124"/>
      <c r="BH597" s="1124"/>
      <c r="BI597" s="1124"/>
      <c r="BJ597" s="1124"/>
      <c r="BK597" s="1124"/>
      <c r="BL597" s="1124"/>
      <c r="BM597" s="1124"/>
      <c r="BN597" s="6290"/>
      <c r="BO597" s="6290"/>
      <c r="BP597" s="6290"/>
      <c r="BQ597" s="1297"/>
      <c r="BR597" s="1297"/>
      <c r="BS597" s="1070" t="s">
        <v>2155</v>
      </c>
      <c r="BT597" s="1072"/>
      <c r="BU597" s="1072"/>
      <c r="BV597" s="987"/>
      <c r="BW597" s="987"/>
    </row>
    <row s="1656" customFormat="1" customHeight="1" ht="14.625">
      <c r="A598" s="1297"/>
      <c r="B598" s="986"/>
      <c r="C598" s="103"/>
      <c r="D598" s="103" cm="1" t="str">
        <f t="array" ref="D598:D598">D597</f>
        <v>13</v>
      </c>
      <c r="E598" s="626">
        <v>15</v>
      </c>
      <c r="F598" s="50" cm="1" t="str">
        <f t="array" ref="F598:F598">OFFSET(E598,-1,1)</f>
        <v>3</v>
      </c>
      <c r="G598" s="103" t="s">
        <v>1878</v>
      </c>
      <c r="H598" s="103"/>
      <c r="I598" s="103" t="s">
        <v>2448</v>
      </c>
      <c r="J598" s="103"/>
      <c r="K598" s="103" t="s">
        <v>2448</v>
      </c>
      <c r="L598" s="988" t="s">
        <v>2156</v>
      </c>
      <c r="M598" s="103"/>
      <c r="N598" s="103"/>
      <c r="O598" s="103"/>
      <c r="P598" s="103"/>
      <c r="Q598" s="103"/>
      <c r="R598" s="103"/>
      <c r="S598" s="103"/>
      <c r="T598" s="468" cm="1" t="str">
        <f t="array" ref="T598:T598">T597</f>
        <v>true</v>
      </c>
      <c r="U598" s="103"/>
      <c r="V598" s="103"/>
      <c r="W598" s="103"/>
      <c r="X598" s="1559"/>
      <c r="Y598" s="1297"/>
      <c r="Z598" s="1529"/>
      <c r="AA598" s="1297"/>
      <c r="AB598" s="296" t="str">
        <f>D598&amp;".4"</f>
        <v>13.4</v>
      </c>
      <c r="AC598" s="1120" t="s">
        <v>2129</v>
      </c>
      <c r="AD598" s="296" t="s">
        <v>1862</v>
      </c>
      <c r="AE598" s="6293">
        <v>58.2239898562</v>
      </c>
      <c r="AF598" s="6360">
        <f>IF(AF594=0,0,AF590*(1+Сценарии!AF$26/100))</f>
        <v>48.9604385310708</v>
      </c>
      <c r="AG598" s="6360">
        <f>IF(AG594=0,0,AG590*(1+Сценарии!AG$26/100))</f>
        <v>54.3108791580868</v>
      </c>
      <c r="AH598" s="1123">
        <f>AG598-AF598</f>
        <v>5.350440627016</v>
      </c>
      <c r="AI598" s="6293">
        <v>65.2079926065</v>
      </c>
      <c r="AJ598" s="6360">
        <f>IF(AJ594=0,0,AJ590*(1+Сценарии!AJ$26/100))</f>
        <v>227.0677085461</v>
      </c>
      <c r="AK598" s="1260">
        <f>IF(AK594=0,0,AK590*(1+Сценарии!AO$26/100))</f>
        <v>0</v>
      </c>
      <c r="AL598" s="1281">
        <f>IF(AL594=0,0,AL590*(1+Сценарии!AP$26/100))</f>
        <v>0</v>
      </c>
      <c r="AM598" s="1281">
        <f>IF(AM594=0,0,AM590*(1+Сценарии!AQ$26/100))</f>
        <v>0</v>
      </c>
      <c r="AN598" s="1281">
        <f>IF(AN594=0,0,AN590*(1+Сценарии!AR$26/100))</f>
        <v>0</v>
      </c>
      <c r="AO598" s="1281">
        <f>IF(AO594=0,0,AO590*(1+Сценарии!AS$26/100))</f>
        <v>0</v>
      </c>
      <c r="AP598" s="1281">
        <f>IF(AP594=0,0,AP590*(1+Сценарии!AT$26/100))</f>
        <v>0</v>
      </c>
      <c r="AQ598" s="1281">
        <f>IF(AQ594=0,0,AQ590*(1+Сценарии!AU$26/100))</f>
        <v>0</v>
      </c>
      <c r="AR598" s="1281">
        <f>IF(AR594=0,0,AR590*(1+Сценарии!AV$26/100))</f>
        <v>0</v>
      </c>
      <c r="AS598" s="1281">
        <f>IF(AS594=0,0,AS590*(1+Сценарии!AW$26/100))</f>
        <v>0</v>
      </c>
      <c r="AT598" s="6293">
        <f>IF(AT594=0,0,AT590*(1+Сценарии!AK$26/100))</f>
        <v>237.692165271587</v>
      </c>
      <c r="AU598" s="1260">
        <f>IF(AU594=0,0,AU590*(1+Сценарии!AX$26/100))</f>
        <v>0</v>
      </c>
      <c r="AV598" s="1281">
        <f>IF(AV594=0,0,AV590*(1+Сценарии!AY$26/100))</f>
        <v>0</v>
      </c>
      <c r="AW598" s="1281">
        <f>IF(AW594=0,0,AW590*(1+Сценарии!AZ$26/100))</f>
        <v>0</v>
      </c>
      <c r="AX598" s="1281">
        <f>IF(AX594=0,0,AX590*(1+Сценарии!BA$26/100))</f>
        <v>0</v>
      </c>
      <c r="AY598" s="1281">
        <f>IF(AY594=0,0,AY590*(1+Сценарии!BB$26/100))</f>
        <v>0</v>
      </c>
      <c r="AZ598" s="1281">
        <f>IF(AZ594=0,0,AZ590*(1+Сценарии!BC$26/100))</f>
        <v>0</v>
      </c>
      <c r="BA598" s="1281">
        <f>IF(BA594=0,0,BA590*(1+Сценарии!BD$26/100))</f>
        <v>0</v>
      </c>
      <c r="BB598" s="1281">
        <f>IF(BB594=0,0,BB590*(1+Сценарии!BE$26/100))</f>
        <v>0</v>
      </c>
      <c r="BC598" s="1281">
        <f>IF(BC594=0,0,BC590*(1+Сценарии!BF$26/100))</f>
        <v>0</v>
      </c>
      <c r="BD598" s="1124"/>
      <c r="BE598" s="1124"/>
      <c r="BF598" s="1124"/>
      <c r="BG598" s="1124"/>
      <c r="BH598" s="1124"/>
      <c r="BI598" s="1124"/>
      <c r="BJ598" s="1124"/>
      <c r="BK598" s="1124"/>
      <c r="BL598" s="1124"/>
      <c r="BM598" s="1124"/>
      <c r="BN598" s="6290"/>
      <c r="BO598" s="6290"/>
      <c r="BP598" s="6290"/>
      <c r="BQ598" s="1297"/>
      <c r="BR598" s="1297"/>
      <c r="BS598" s="1070" t="s">
        <v>2159</v>
      </c>
      <c r="BT598" s="1072"/>
      <c r="BU598" s="1072"/>
      <c r="BV598" s="987"/>
      <c r="BW598" s="987"/>
    </row>
    <row s="1656" customFormat="1" customHeight="1" ht="14.25">
      <c r="A599" s="1297"/>
      <c r="B599" s="986"/>
      <c r="C599" s="103"/>
      <c r="D599" s="103">
        <f>D598+1</f>
        <v>14</v>
      </c>
      <c r="E599" s="626">
        <v>15</v>
      </c>
      <c r="F599" s="50" cm="1" t="str">
        <f t="array" ref="F599:F599">OFFSET(E599,-1,1)</f>
        <v>3</v>
      </c>
      <c r="G599" s="103"/>
      <c r="H599" s="103"/>
      <c r="I599" s="103"/>
      <c r="J599" s="103"/>
      <c r="K599" s="103"/>
      <c r="L599" s="988"/>
      <c r="M599" s="103"/>
      <c r="N599" s="103"/>
      <c r="O599" s="103"/>
      <c r="P599" s="103"/>
      <c r="Q599" s="103"/>
      <c r="R599" s="103"/>
      <c r="S599" s="103"/>
      <c r="T599" s="468" cm="1" t="str">
        <f t="array" ref="T599:T599">T598</f>
        <v>true</v>
      </c>
      <c r="U599" s="103"/>
      <c r="V599" s="103"/>
      <c r="W599" s="103"/>
      <c r="X599" s="1559"/>
      <c r="Y599" s="1297"/>
      <c r="Z599" s="1529"/>
      <c r="AA599" s="1297"/>
      <c r="AB599" s="207" cm="1" t="str">
        <f t="array" ref="AB599:AB599">D599</f>
        <v>14</v>
      </c>
      <c r="AC599" s="208" t="s">
        <v>2160</v>
      </c>
      <c r="AD599" s="207" t="s">
        <v>936</v>
      </c>
      <c r="AE599" s="6293"/>
      <c r="AF599" s="6293"/>
      <c r="AG599" s="6293"/>
      <c r="AH599" s="1123">
        <f>AG599-AF599</f>
        <v>0</v>
      </c>
      <c r="AI599" s="6293"/>
      <c r="AJ599" s="6293"/>
      <c r="AK599" s="1260"/>
      <c r="AL599" s="1260"/>
      <c r="AM599" s="1260"/>
      <c r="AN599" s="1260"/>
      <c r="AO599" s="1260"/>
      <c r="AP599" s="1260"/>
      <c r="AQ599" s="1260"/>
      <c r="AR599" s="1260"/>
      <c r="AS599" s="1260"/>
      <c r="AT599" s="6293"/>
      <c r="AU599" s="1260"/>
      <c r="AV599" s="1260"/>
      <c r="AW599" s="1260"/>
      <c r="AX599" s="1260"/>
      <c r="AY599" s="1260"/>
      <c r="AZ599" s="1260"/>
      <c r="BA599" s="1260"/>
      <c r="BB599" s="1260"/>
      <c r="BC599" s="1260"/>
      <c r="BD599" s="1124"/>
      <c r="BE599" s="1124"/>
      <c r="BF599" s="1124"/>
      <c r="BG599" s="1124"/>
      <c r="BH599" s="1124"/>
      <c r="BI599" s="1124"/>
      <c r="BJ599" s="1124"/>
      <c r="BK599" s="1124"/>
      <c r="BL599" s="1124"/>
      <c r="BM599" s="1124"/>
      <c r="BN599" s="6290"/>
      <c r="BO599" s="6290"/>
      <c r="BP599" s="6290"/>
      <c r="BQ599" s="1297"/>
      <c r="BR599" s="1297"/>
      <c r="BS599" s="1070" t="s">
        <v>2161</v>
      </c>
      <c r="BT599" s="1072"/>
      <c r="BU599" s="1072"/>
      <c r="BV599" s="987"/>
      <c r="BW599" s="987"/>
    </row>
    <row s="1252" customFormat="1" customHeight="1" ht="20.25">
      <c r="A600" s="1252"/>
      <c r="B600" s="760"/>
      <c r="C600" s="103"/>
      <c r="D600" s="103" cm="1" t="str">
        <f t="array" ref="D600:D600">D599</f>
        <v>14</v>
      </c>
      <c r="E600" s="626">
        <v>21</v>
      </c>
      <c r="F600" s="50" cm="1" t="str">
        <f t="array" ref="F600:F600">OFFSET(E600,-1,1)</f>
        <v>3</v>
      </c>
      <c r="G600" s="103"/>
      <c r="H600" s="103"/>
      <c r="I600" s="103"/>
      <c r="J600" s="103"/>
      <c r="K600" s="103"/>
      <c r="L600" s="988"/>
      <c r="M600" s="103"/>
      <c r="N600" s="103"/>
      <c r="O600" s="103"/>
      <c r="P600" s="103"/>
      <c r="Q600" s="103"/>
      <c r="R600" s="103"/>
      <c r="S600" s="103"/>
      <c r="T600" s="468" cm="1" t="str">
        <f t="array" ref="T600:T600">T599</f>
        <v>true</v>
      </c>
      <c r="U600" s="103"/>
      <c r="V600" s="103"/>
      <c r="W600" s="103"/>
      <c r="X600" s="1559"/>
      <c r="Y600" s="1252"/>
      <c r="Z600" s="1529"/>
      <c r="AA600" s="1252"/>
      <c r="AB600" s="296" t="str">
        <f>D600&amp;".1"</f>
        <v>14.1</v>
      </c>
      <c r="AC600" s="769" t="s">
        <v>2163</v>
      </c>
      <c r="AD600" s="296" t="s">
        <v>936</v>
      </c>
      <c r="AE600" s="6293"/>
      <c r="AF600" s="6293"/>
      <c r="AG600" s="6293"/>
      <c r="AH600" s="1123">
        <f>AG600-AF600</f>
        <v>0</v>
      </c>
      <c r="AI600" s="6293"/>
      <c r="AJ600" s="6293"/>
      <c r="AK600" s="1260"/>
      <c r="AL600" s="1260"/>
      <c r="AM600" s="1260"/>
      <c r="AN600" s="1260"/>
      <c r="AO600" s="1260"/>
      <c r="AP600" s="1260"/>
      <c r="AQ600" s="1260"/>
      <c r="AR600" s="1260"/>
      <c r="AS600" s="1260"/>
      <c r="AT600" s="6293"/>
      <c r="AU600" s="1260"/>
      <c r="AV600" s="1260"/>
      <c r="AW600" s="1260"/>
      <c r="AX600" s="1260"/>
      <c r="AY600" s="1260"/>
      <c r="AZ600" s="1260"/>
      <c r="BA600" s="1260"/>
      <c r="BB600" s="1260"/>
      <c r="BC600" s="1260"/>
      <c r="BD600" s="1124"/>
      <c r="BE600" s="1124"/>
      <c r="BF600" s="1124"/>
      <c r="BG600" s="1124"/>
      <c r="BH600" s="1124"/>
      <c r="BI600" s="1124"/>
      <c r="BJ600" s="1124"/>
      <c r="BK600" s="1124"/>
      <c r="BL600" s="1124"/>
      <c r="BM600" s="1124"/>
      <c r="BN600" s="6290"/>
      <c r="BO600" s="6290"/>
      <c r="BP600" s="6290"/>
      <c r="BQ600" s="1252"/>
      <c r="BR600" s="1252"/>
      <c r="BS600" s="1070" t="s">
        <v>2164</v>
      </c>
      <c r="BT600" s="1079"/>
      <c r="BU600" s="1079"/>
      <c r="BV600" s="1080"/>
      <c r="BW600" s="1080"/>
    </row>
    <row s="1252" customFormat="1" customHeight="1" ht="64.5">
      <c r="A601" s="1252"/>
      <c r="B601" s="760"/>
      <c r="C601" s="103"/>
      <c r="D601" s="103" cm="1" t="str">
        <f t="array" ref="D601:D601">D600</f>
        <v>14</v>
      </c>
      <c r="E601" s="626">
        <v>66.6</v>
      </c>
      <c r="F601" s="50" cm="1" t="str">
        <f t="array" ref="F601:F601">OFFSET(E601,-1,1)</f>
        <v>3</v>
      </c>
      <c r="G601" s="103"/>
      <c r="H601" s="103"/>
      <c r="I601" s="103"/>
      <c r="J601" s="103"/>
      <c r="K601" s="103"/>
      <c r="L601" s="988"/>
      <c r="M601" s="103"/>
      <c r="N601" s="103"/>
      <c r="O601" s="103"/>
      <c r="P601" s="103"/>
      <c r="Q601" s="103"/>
      <c r="R601" s="103"/>
      <c r="S601" s="103"/>
      <c r="T601" s="468" cm="1" t="str">
        <f t="array" ref="T601:T601">T600</f>
        <v>true</v>
      </c>
      <c r="U601" s="103"/>
      <c r="V601" s="103"/>
      <c r="W601" s="103"/>
      <c r="X601" s="1559"/>
      <c r="Y601" s="1252"/>
      <c r="Z601" s="1529"/>
      <c r="AA601" s="1252"/>
      <c r="AB601" s="296" t="str">
        <f>D601&amp;".2"</f>
        <v>14.2</v>
      </c>
      <c r="AC601" s="769" t="s">
        <v>2166</v>
      </c>
      <c r="AD601" s="296" t="s">
        <v>936</v>
      </c>
      <c r="AE601" s="6293"/>
      <c r="AF601" s="6293"/>
      <c r="AG601" s="6293"/>
      <c r="AH601" s="1123">
        <f>AG601-AF601</f>
        <v>0</v>
      </c>
      <c r="AI601" s="6293"/>
      <c r="AJ601" s="6293"/>
      <c r="AK601" s="1260"/>
      <c r="AL601" s="1260"/>
      <c r="AM601" s="1260"/>
      <c r="AN601" s="1260"/>
      <c r="AO601" s="1260"/>
      <c r="AP601" s="1260"/>
      <c r="AQ601" s="1260"/>
      <c r="AR601" s="1260"/>
      <c r="AS601" s="1260"/>
      <c r="AT601" s="6293"/>
      <c r="AU601" s="1260"/>
      <c r="AV601" s="1260"/>
      <c r="AW601" s="1260"/>
      <c r="AX601" s="1260"/>
      <c r="AY601" s="1260"/>
      <c r="AZ601" s="1260"/>
      <c r="BA601" s="1260"/>
      <c r="BB601" s="1260"/>
      <c r="BC601" s="1260"/>
      <c r="BD601" s="1124"/>
      <c r="BE601" s="1124"/>
      <c r="BF601" s="1124"/>
      <c r="BG601" s="1124"/>
      <c r="BH601" s="1124"/>
      <c r="BI601" s="1124"/>
      <c r="BJ601" s="1124"/>
      <c r="BK601" s="1124"/>
      <c r="BL601" s="1124"/>
      <c r="BM601" s="1124"/>
      <c r="BN601" s="6290"/>
      <c r="BO601" s="6290"/>
      <c r="BP601" s="6290"/>
      <c r="BQ601" s="1252"/>
      <c r="BR601" s="1252"/>
      <c r="BS601" s="1070" t="s">
        <v>2167</v>
      </c>
      <c r="BT601" s="1079"/>
      <c r="BU601" s="1079"/>
      <c r="BV601" s="1080"/>
      <c r="BW601" s="1080"/>
    </row>
    <row s="1252" customFormat="1" customHeight="1" ht="44.25">
      <c r="A602" s="1252"/>
      <c r="B602" s="760"/>
      <c r="C602" s="103"/>
      <c r="D602" s="103" cm="1" t="str">
        <f t="array" ref="D602:D602">D601</f>
        <v>14</v>
      </c>
      <c r="E602" s="626">
        <v>45.6</v>
      </c>
      <c r="F602" s="50" cm="1" t="str">
        <f t="array" ref="F602:F602">OFFSET(E602,-1,1)</f>
        <v>3</v>
      </c>
      <c r="G602" s="103"/>
      <c r="H602" s="103"/>
      <c r="I602" s="103"/>
      <c r="J602" s="103"/>
      <c r="K602" s="103"/>
      <c r="L602" s="988"/>
      <c r="M602" s="103"/>
      <c r="N602" s="103"/>
      <c r="O602" s="103"/>
      <c r="P602" s="103"/>
      <c r="Q602" s="103"/>
      <c r="R602" s="103"/>
      <c r="S602" s="103"/>
      <c r="T602" s="468" cm="1" t="str">
        <f t="array" ref="T602:T602">T601</f>
        <v>true</v>
      </c>
      <c r="U602" s="103"/>
      <c r="V602" s="103"/>
      <c r="W602" s="103"/>
      <c r="X602" s="1559"/>
      <c r="Y602" s="1252"/>
      <c r="Z602" s="1529"/>
      <c r="AA602" s="1252"/>
      <c r="AB602" s="296" t="str">
        <f>D602&amp;".3"</f>
        <v>14.3</v>
      </c>
      <c r="AC602" s="769" t="s">
        <v>2449</v>
      </c>
      <c r="AD602" s="296" t="s">
        <v>936</v>
      </c>
      <c r="AE602" s="1124"/>
      <c r="AF602" s="6293"/>
      <c r="AG602" s="6293"/>
      <c r="AH602" s="1123">
        <f>AG602-AF602</f>
        <v>0</v>
      </c>
      <c r="AI602" s="1124"/>
      <c r="AJ602" s="1124"/>
      <c r="AK602" s="1124"/>
      <c r="AL602" s="1124"/>
      <c r="AM602" s="1124"/>
      <c r="AN602" s="1124"/>
      <c r="AO602" s="1124"/>
      <c r="AP602" s="1124"/>
      <c r="AQ602" s="1124"/>
      <c r="AR602" s="1124"/>
      <c r="AS602" s="1124"/>
      <c r="AT602" s="1124"/>
      <c r="AU602" s="1124"/>
      <c r="AV602" s="1124"/>
      <c r="AW602" s="1124"/>
      <c r="AX602" s="1124"/>
      <c r="AY602" s="1124"/>
      <c r="AZ602" s="1124"/>
      <c r="BA602" s="1124"/>
      <c r="BB602" s="1124"/>
      <c r="BC602" s="1124"/>
      <c r="BD602" s="1124"/>
      <c r="BE602" s="1124"/>
      <c r="BF602" s="1124"/>
      <c r="BG602" s="1124"/>
      <c r="BH602" s="1124"/>
      <c r="BI602" s="1124"/>
      <c r="BJ602" s="1124"/>
      <c r="BK602" s="1124"/>
      <c r="BL602" s="1124"/>
      <c r="BM602" s="1124"/>
      <c r="BN602" s="6290"/>
      <c r="BO602" s="6290"/>
      <c r="BP602" s="6290"/>
      <c r="BQ602" s="1252"/>
      <c r="BR602" s="1252"/>
      <c r="BS602" s="1079" t="s">
        <v>2450</v>
      </c>
      <c r="BT602" s="1079"/>
      <c r="BU602" s="1079"/>
      <c r="BV602" s="1080"/>
      <c r="BW602" s="1080"/>
    </row>
    <row s="1656" customFormat="1" customHeight="1" ht="10.96875">
      <c r="B603" s="432"/>
      <c r="C603" s="0"/>
      <c r="D603" s="0"/>
      <c r="E603" s="677">
        <v>11.25</v>
      </c>
      <c r="F603" s="81"/>
      <c r="G603" s="0"/>
      <c r="H603" s="0"/>
      <c r="I603" s="0"/>
      <c r="J603" s="0"/>
      <c r="K603" s="0"/>
      <c r="L603" s="0"/>
      <c r="M603" s="0"/>
      <c r="N603" s="0"/>
      <c r="O603" s="0"/>
      <c r="P603" s="0"/>
      <c r="Q603" s="0"/>
      <c r="R603" s="0"/>
      <c r="S603" s="0"/>
      <c r="T603" s="0"/>
      <c r="U603" s="0" t="s">
        <v>177</v>
      </c>
      <c r="V603" s="835" t="s">
        <v>2469</v>
      </c>
      <c r="W603" s="0"/>
      <c r="X603" s="0"/>
      <c r="AB603" s="502"/>
      <c r="AC603" s="96"/>
      <c r="AD603" s="96"/>
      <c r="AE603" s="1117"/>
      <c r="AF603" s="1117"/>
      <c r="AG603" s="0"/>
      <c r="AH603" s="0"/>
      <c r="AI603" s="0"/>
      <c r="AJ603" s="47"/>
      <c r="AK603" s="47"/>
      <c r="AL603" s="47"/>
      <c r="AM603" s="47"/>
      <c r="AN603" s="47"/>
      <c r="AO603" s="47"/>
      <c r="AP603" s="47"/>
      <c r="AQ603" s="47"/>
      <c r="AR603" s="47"/>
      <c r="AS603" s="47"/>
      <c r="AT603" s="47"/>
      <c r="AU603" s="47"/>
      <c r="AV603" s="47"/>
      <c r="AW603" s="47"/>
      <c r="AX603" s="47"/>
      <c r="AY603" s="47"/>
      <c r="AZ603" s="47"/>
      <c r="BA603" s="47"/>
      <c r="BB603" s="47"/>
      <c r="BC603" s="47"/>
      <c r="BD603" s="47"/>
      <c r="BE603" s="47"/>
      <c r="BF603" s="47"/>
      <c r="BG603" s="47"/>
      <c r="BH603" s="47"/>
      <c r="BI603" s="47"/>
      <c r="BJ603" s="47"/>
      <c r="BK603" s="47"/>
      <c r="BL603" s="47"/>
      <c r="BM603" s="47"/>
      <c r="BN603" s="0"/>
      <c r="BO603" s="0"/>
      <c r="BP603" s="0"/>
      <c r="BS603" s="1012"/>
      <c r="BT603" s="1012"/>
      <c r="BU603" s="1012"/>
      <c r="BV603" s="629"/>
      <c r="BW603" s="629"/>
    </row>
    <row customHeight="1" ht="14.625">
      <c r="C604" s="103"/>
      <c r="D604" s="103"/>
      <c r="E604" s="626">
        <v>15</v>
      </c>
      <c r="F604" s="103"/>
      <c r="G604" s="103"/>
      <c r="H604" s="103"/>
      <c r="I604" s="103"/>
      <c r="J604" s="103"/>
      <c r="K604" s="103"/>
      <c r="L604" s="988"/>
      <c r="M604" s="103"/>
      <c r="N604" s="103"/>
      <c r="O604" s="103"/>
      <c r="P604" s="103"/>
      <c r="Q604" s="103"/>
      <c r="R604" s="103"/>
      <c r="S604" s="103"/>
      <c r="T604" s="103"/>
      <c r="U604" s="103"/>
      <c r="V604" s="103"/>
      <c r="W604" s="103"/>
      <c r="X604" s="103"/>
      <c r="AB604" s="1553" t="s">
        <v>420</v>
      </c>
      <c r="AC604" s="1553"/>
      <c r="AD604" s="1553"/>
      <c r="AE604" s="1553"/>
      <c r="AF604" s="1553"/>
      <c r="AG604" s="1553"/>
      <c r="AH604" s="1553"/>
      <c r="AI604" s="1553"/>
      <c r="AJ604" s="1553"/>
      <c r="AK604" s="1553"/>
      <c r="AL604" s="1553"/>
      <c r="AM604" s="1553"/>
      <c r="AN604" s="1553"/>
      <c r="AO604" s="1553"/>
      <c r="AP604" s="1553"/>
      <c r="AQ604" s="1553"/>
      <c r="AR604" s="1553"/>
      <c r="AS604" s="1553"/>
      <c r="AT604" s="1553"/>
      <c r="AU604" s="1553"/>
      <c r="AV604" s="1553"/>
      <c r="AW604" s="1553"/>
      <c r="AX604" s="1553"/>
      <c r="AY604" s="1553"/>
      <c r="AZ604" s="1553"/>
      <c r="BA604" s="1553"/>
      <c r="BB604" s="1553"/>
      <c r="BC604" s="1553"/>
      <c r="BD604" s="1553"/>
      <c r="BE604" s="1553"/>
      <c r="BF604" s="1553"/>
      <c r="BG604" s="1553"/>
      <c r="BH604" s="1553"/>
      <c r="BI604" s="1553"/>
      <c r="BJ604" s="1553"/>
      <c r="BK604" s="1553"/>
      <c r="BL604" s="1553"/>
      <c r="BM604" s="1553"/>
      <c r="BN604" s="1553"/>
      <c r="BO604" s="1553"/>
      <c r="BP604" s="1553"/>
    </row>
    <row customHeight="1" ht="14.625">
      <c r="E605" s="709">
        <v>15</v>
      </c>
      <c r="AA605" s="169"/>
      <c r="AB605" s="1602"/>
      <c r="AC605" s="1605"/>
      <c r="AD605" s="1605"/>
      <c r="AE605" s="1605"/>
      <c r="AF605" s="1605"/>
      <c r="AG605" s="1605"/>
      <c r="AH605" s="1605"/>
      <c r="AI605" s="1605"/>
      <c r="AJ605" s="1605"/>
      <c r="AK605" s="1605"/>
      <c r="AL605" s="1605"/>
      <c r="AM605" s="1605"/>
      <c r="AN605" s="1605"/>
      <c r="AO605" s="1605"/>
      <c r="AP605" s="1605"/>
      <c r="AQ605" s="1605"/>
      <c r="AR605" s="1605"/>
      <c r="AS605" s="1605"/>
      <c r="AT605" s="1605"/>
      <c r="AU605" s="1605"/>
      <c r="AV605" s="1605"/>
      <c r="AW605" s="1605"/>
      <c r="AX605" s="1605"/>
      <c r="AY605" s="1605"/>
      <c r="AZ605" s="1605"/>
      <c r="BA605" s="1605"/>
      <c r="BB605" s="1605"/>
      <c r="BC605" s="1605"/>
      <c r="BD605" s="1605"/>
      <c r="BE605" s="1605"/>
      <c r="BF605" s="1605"/>
      <c r="BG605" s="1605"/>
      <c r="BH605" s="1605"/>
      <c r="BI605" s="1605"/>
      <c r="BJ605" s="1605"/>
      <c r="BK605" s="1605"/>
      <c r="BL605" s="1605"/>
      <c r="BM605" s="1605"/>
      <c r="BN605" s="1605"/>
      <c r="BO605" s="1605"/>
      <c r="BP605" s="1605"/>
    </row>
    <row customHeight="1" ht="14.625" hidden="1">
      <c r="A606" s="1297"/>
      <c r="B606" s="986"/>
      <c r="C606" s="1297"/>
      <c r="D606" s="1297"/>
      <c r="E606" s="709">
        <v>15</v>
      </c>
      <c r="F606" s="1297"/>
      <c r="G606" s="1297"/>
      <c r="H606" s="1297"/>
      <c r="I606" s="1297"/>
      <c r="J606" s="1297"/>
      <c r="K606" s="1297"/>
      <c r="L606" s="1297"/>
      <c r="M606" s="1297"/>
      <c r="N606" s="1297"/>
      <c r="O606" s="1297"/>
      <c r="P606" s="1297"/>
      <c r="Q606" s="1297"/>
      <c r="R606" s="1297"/>
      <c r="S606" s="1297"/>
      <c r="T606" s="468">
        <f>ROW(W606)&gt;ROW(W$606)</f>
        <v>0</v>
      </c>
      <c r="U606" s="1297"/>
      <c r="V606" s="1297"/>
      <c r="W606" s="154" t="s">
        <v>173</v>
      </c>
      <c r="X606" s="1297"/>
      <c r="Y606" s="1297"/>
      <c r="Z606" s="1297"/>
      <c r="AA606" s="422" t="s">
        <v>174</v>
      </c>
      <c r="AB606" s="1619" t="s">
        <v>240</v>
      </c>
      <c r="AC606" s="1605"/>
      <c r="AD606" s="1605"/>
      <c r="AE606" s="1605"/>
      <c r="AF606" s="1605"/>
      <c r="AG606" s="1605"/>
      <c r="AH606" s="1605"/>
      <c r="AI606" s="1605"/>
      <c r="AJ606" s="1605"/>
      <c r="AK606" s="1605"/>
      <c r="AL606" s="1605"/>
      <c r="AM606" s="1605"/>
      <c r="AN606" s="1605"/>
      <c r="AO606" s="1605"/>
      <c r="AP606" s="1605"/>
      <c r="AQ606" s="1605"/>
      <c r="AR606" s="1605"/>
      <c r="AS606" s="1605"/>
      <c r="AT606" s="1605"/>
      <c r="AU606" s="1605"/>
      <c r="AV606" s="1605"/>
      <c r="AW606" s="1605"/>
      <c r="AX606" s="1605"/>
      <c r="AY606" s="1605"/>
      <c r="AZ606" s="1605"/>
      <c r="BA606" s="1605"/>
      <c r="BB606" s="1605"/>
      <c r="BC606" s="1605"/>
      <c r="BD606" s="1605"/>
      <c r="BE606" s="1605"/>
      <c r="BF606" s="1605"/>
      <c r="BG606" s="1605"/>
      <c r="BH606" s="1605"/>
      <c r="BI606" s="1605"/>
      <c r="BJ606" s="1605"/>
      <c r="BK606" s="1605"/>
      <c r="BL606" s="1605"/>
      <c r="BM606" s="1605"/>
      <c r="BN606" s="1605"/>
      <c r="BO606" s="1605"/>
      <c r="BP606" s="1605"/>
      <c r="BQ606" s="1297"/>
      <c r="BR606" s="1297"/>
      <c r="BS606" s="1072"/>
      <c r="BT606" s="1072"/>
      <c r="BU606" s="1072"/>
      <c r="BV606" s="987"/>
      <c r="BW606" s="987"/>
    </row>
    <row customHeight="1" ht="14.625">
      <c r="E607" s="709">
        <v>15</v>
      </c>
      <c r="W607" s="836" t="s">
        <v>421</v>
      </c>
      <c r="AB607" s="688"/>
      <c r="AC607" s="517" t="s">
        <v>422</v>
      </c>
      <c r="AD607" s="306"/>
      <c r="AE607" s="306"/>
      <c r="AF607" s="306"/>
      <c r="AG607" s="306"/>
      <c r="AH607" s="306"/>
      <c r="AI607" s="306"/>
      <c r="AJ607" s="306"/>
      <c r="AK607" s="306"/>
      <c r="AL607" s="306"/>
      <c r="AM607" s="306"/>
      <c r="AN607" s="306"/>
      <c r="AO607" s="306"/>
      <c r="AP607" s="306"/>
      <c r="AQ607" s="306"/>
      <c r="AR607" s="306"/>
      <c r="AS607" s="306"/>
      <c r="AT607" s="306"/>
      <c r="AU607" s="306"/>
      <c r="AV607" s="306"/>
      <c r="AW607" s="306"/>
      <c r="AX607" s="306"/>
      <c r="AY607" s="306"/>
      <c r="AZ607" s="306"/>
      <c r="BA607" s="306"/>
      <c r="BB607" s="306"/>
      <c r="BC607" s="306"/>
      <c r="BD607" s="306"/>
      <c r="BE607" s="306"/>
      <c r="BF607" s="306"/>
      <c r="BG607" s="306"/>
      <c r="BH607" s="306"/>
      <c r="BI607" s="306"/>
      <c r="BJ607" s="306"/>
      <c r="BK607" s="306"/>
      <c r="BL607" s="306"/>
      <c r="BM607" s="306"/>
      <c r="BN607" s="306"/>
      <c r="BO607" s="306"/>
      <c r="BP607" s="271"/>
    </row>
    <row customHeight="1" ht="10.96875">
      <c r="E608" s="709">
        <v>11.25</v>
      </c>
      <c r="AJ608" s="1297"/>
      <c r="AK608" s="1297"/>
      <c r="AL608" s="1297"/>
      <c r="AM608" s="1297"/>
      <c r="AN608" s="1297"/>
      <c r="AO608" s="1297"/>
      <c r="AP608" s="1297"/>
      <c r="AQ608" s="1297"/>
      <c r="AR608" s="1297"/>
      <c r="AS608" s="1297"/>
      <c r="AT608" s="1297"/>
      <c r="AU608" s="1297"/>
      <c r="AV608" s="1297"/>
      <c r="AW608" s="1297"/>
      <c r="AX608" s="1297"/>
      <c r="AY608" s="1297"/>
      <c r="AZ608" s="1297"/>
      <c r="BA608" s="1297"/>
      <c r="BB608" s="1297"/>
      <c r="BC608" s="1297"/>
      <c r="BD608" s="1297"/>
      <c r="BE608" s="1297"/>
      <c r="BF608" s="1297"/>
      <c r="BG608" s="1297"/>
      <c r="BH608" s="1297"/>
      <c r="BI608" s="1297"/>
      <c r="BJ608" s="1297"/>
      <c r="BK608" s="1297"/>
      <c r="BL608" s="1297"/>
      <c r="BM608" s="1297"/>
      <c r="BQ608" s="428"/>
    </row>
  </sheetData>
  <sheetProtection formatColumns="0" formatRows="0" insertRows="0" deleteColumns="0" deleteRows="0" sort="0" autoFilter="0" insertColumns="1"/>
  <mergeCells count="18">
    <mergeCell ref="X27:X170"/>
    <mergeCell ref="Z27:Z170"/>
    <mergeCell ref="AB606:BP606"/>
    <mergeCell ref="AB605:BP605"/>
    <mergeCell ref="BP24:BP25"/>
    <mergeCell ref="BN24:BN25"/>
    <mergeCell ref="BO24:BO25"/>
    <mergeCell ref="AB604:BP604"/>
    <mergeCell ref="AB24:AB25"/>
    <mergeCell ref="AC24:AC25"/>
    <mergeCell ref="AD24:AD25"/>
    <mergeCell ref="BD25:BM25"/>
    <mergeCell ref="X171:X314"/>
    <mergeCell ref="Z171:Z314"/>
    <mergeCell ref="X315:X458"/>
    <mergeCell ref="Z315:Z458"/>
    <mergeCell ref="X459:X602"/>
    <mergeCell ref="Z459:Z602"/>
  </mergeCells>
  <dataValidations count="2">
    <dataValidation type="decimal" allowBlank="1" showErrorMessage="1" errorTitle="Ошибка" error="Допускается ввод только действительных чисел!" sqref="AE123:AG134 AI123:BC134 AE267 AF267 AG267 AI267 AJ267 AK267 AL267 AM267 AN267 AO267 AP267 AQ267 AR267 AS267 AT267 AU267 AV267 AW267 AX267 AY267 AZ267 BA267 BB267 BC267 AE268 AF268 AG268 AI268 AJ268 AK268 AL268 AM268 AN268 AO268 AP268 AQ268 AR268 AS268 AT268 AU268 AV268 AW268 AX268 AY268 AZ268 BA268 BB268 BC268 AE269 AF269 AG269 AI269 AJ269 AK269 AL269 AM269 AN269 AO269 AP269 AQ269 AR269 AS269 AT269 AU269 AV269 AW269 AX269 AY269 AZ269 BA269 BB269 BC269 AE270 AF270 AG270 AI270 AJ270 AK270 AL270 AM270 AN270 AO270 AP270 AQ270 AR270 AS270 AT270 AU270 AV270 AW270 AX270 AY270 AZ270 BA270 BB270 BC270 AE271 AF271 AG271 AI271 AJ271 AK271 AL271 AM271 AN271 AO271 AP271 AQ271 AR271 AS271 AT271 AU271 AV271 AW271 AX271 AY271 AZ271 BA271 BB271 BC271 AE272 AF272 AG272 AI272 AJ272 AK272 AL272 AM272 AN272 AO272 AP272 AQ272 AR272 AS272 AT272 AU272 AV272 AW272 AX272 AY272 AZ272 BA272 BB272 BC272 AE273 AF273 AG273 AI273 AJ273 AK273 AL273 AM273 AN273 AO273 AP273 AQ273 AR273 AS273 AT273 AU273 AV273 AW273 AX273 AY273 AZ273 BA273 BB273 BC273 AE274 AF274 AG274 AI274 AJ274 AK274 AL274 AM274 AN274 AO274 AP274 AQ274 AR274 AS274 AT274 AU274 AV274 AW274 AX274 AY274 AZ274 BA274 BB274 BC274 AE275 AF275 AG275 AI275 AJ275 AK275 AL275 AM275 AN275 AO275 AP275 AQ275 AR275 AS275 AT275 AU275 AV275 AW275 AX275 AY275 AZ275 BA275 BB275 BC275 AE276 AF276 AG276 AI276 AJ276 AK276 AL276 AM276 AN276 AO276 AP276 AQ276 AR276 AS276 AT276 AU276 AV276 AW276 AX276 AY276 AZ276 BA276 BB276 BC276 AE277 AF277 AG277 AI277 AJ277 AK277 AL277 AM277 AN277 AO277 AP277 AQ277 AR277 AS277 AT277 AU277 AV277 AW277 AX277 AY277 AZ277 BA277 BB277 BC277 AE278 AF278 AG278 AI278 AJ278 AK278 AL278 AM278 AN278 AO278 AP278 AQ278 AR278 AS278 AT278 AU278 AV278 AW278 AX278 AY278 AZ278 BA278 BB278 BC278 AE411 AF411 AG411 AI411 AJ411 AK411 AL411 AM411 AN411 AO411 AP411 AQ411 AR411 AS411 AT411 AU411 AV411 AW411 AX411 AY411 AZ411 BA411 BB411 BC411 AE412 AF412 AG412 AI412 AJ412 AK412 AL412 AM412 AN412 AO412 AP412 AQ412 AR412 AS412 AT412 AU412 AV412 AW412 AX412 AY412 AZ412 BA412 BB412 BC412 AE413 AF413 AG413 AI413 AJ413 AK413 AL413 AM413 AN413 AO413 AP413 AQ413 AR413 AS413 AT413 AU413 AV413 AW413 AX413 AY413 AZ413 BA413 BB413 BC413 AE414 AF414 AG414 AI414 AJ414 AK414 AL414 AM414 AN414 AO414 AP414 AQ414 AR414 AS414 AT414 AU414 AV414 AW414 AX414 AY414 AZ414 BA414 BB414 BC414 AE415 AF415 AG415 AI415 AJ415 AK415 AL415 AM415 AN415 AO415 AP415 AQ415 AR415 AS415 AT415 AU415 AV415 AW415 AX415 AY415 AZ415 BA415 BB415 BC415 AE416 AF416 AG416 AI416 AJ416 AK416 AL416 AM416 AN416 AO416 AP416 AQ416 AR416 AS416 AT416 AU416 AV416 AW416 AX416 AY416 AZ416 BA416 BB416 BC416 AE417 AF417 AG417 AI417 AJ417 AK417 AL417 AM417 AN417 AO417 AP417 AQ417 AR417 AS417 AT417 AU417 AV417 AW417 AX417 AY417 AZ417 BA417 BB417 BC417 AE418 AF418 AG418 AI418 AJ418 AK418 AL418 AM418 AN418 AO418 AP418 AQ418 AR418 AS418 AT418 AU418 AV418 AW418 AX418 AY418 AZ418 BA418 BB418 BC418 AE419 AF419 AG419 AI419 AJ419 AK419 AL419 AM419 AN419 AO419 AP419 AQ419 AR419 AS419 AT419 AU419 AV419 AW419 AX419 AY419 AZ419 BA419 BB419 BC419 AE420 AF420 AG420 AI420 AJ420 AK420 AL420 AM420 AN420 AO420 AP420 AQ420 AR420 AS420 AT420 AU420 AV420 AW420 AX420 AY420 AZ420 BA420 BB420 BC420 AE421 AF421 AG421 AI421 AJ421 AK421 AL421 AM421 AN421 AO421 AP421 AQ421 AR421 AS421 AT421 AU421 AV421 AW421 AX421 AY421 AZ421 BA421 BB421 BC421 AE422 AF422 AG422 AI422 AJ422 AK422 AL422 AM422 AN422 AO422 AP422 AQ422 AR422 AS422 AT422 AU422 AV422 AW422 AX422 AY422 AZ422 BA422 BB422 BC422 AE555 AF555 AG555 AI555 AJ555 AK555 AL555 AM555 AN555 AO555 AP555 AQ555 AR555 AS555 AT555 AU555 AV555 AW555 AX555 AY555 AZ555 BA555 BB555 BC555 AE556 AF556 AG556 AI556 AJ556 AK556 AL556 AM556 AN556 AO556 AP556 AQ556 AR556 AS556 AT556 AU556 AV556 AW556 AX556 AY556 AZ556 BA556 BB556 BC556 AE557 AF557 AG557 AI557 AJ557 AK557 AL557 AM557 AN557 AO557 AP557 AQ557 AR557 AS557 AT557 AU557 AV557 AW557 AX557 AY557 AZ557 BA557 BB557 BC557 AE558 AF558 AG558 AI558 AJ558 AK558 AL558 AM558 AN558 AO558 AP558 AQ558 AR558 AS558 AT558 AU558 AV558 AW558 AX558 AY558 AZ558 BA558 BB558 BC558 AE559 AF559 AG559 AI559 AJ559 AK559 AL559 AM559 AN559 AO559 AP559 AQ559 AR559 AS559 AT559 AU559 AV559 AW559 AX559 AY559 AZ559 BA559 BB559 BC559 AE560 AF560 AG560 AI560 AJ560 AK560 AL560 AM560 AN560 AO560 AP560 AQ560 AR560 AS560 AT560 AU560 AV560 AW560 AX560 AY560 AZ560 BA560 BB560 BC560 AE561 AF561 AG561 AI561 AJ561 AK561 AL561 AM561 AN561 AO561 AP561 AQ561 AR561 AS561 AT561 AU561 AV561 AW561 AX561 AY561 AZ561 BA561 BB561 BC561 AE562 AF562 AG562 AI562 AJ562 AK562 AL562 AM562 AN562 AO562 AP562 AQ562 AR562 AS562 AT562 AU562 AV562 AW562 AX562 AY562 AZ562 BA562 BB562 BC562 AE563 AF563 AG563 AI563 AJ563 AK563 AL563 AM563 AN563 AO563 AP563 AQ563 AR563 AS563 AT563 AU563 AV563 AW563 AX563 AY563 AZ563 BA563 BB563 BC563 AE564 AF564 AG564 AI564 AJ564 AK564 AL564 AM564 AN564 AO564 AP564 AQ564 AR564 AS564 AT564 AU564 AV564 AW564 AX564 AY564 AZ564 BA564 BB564 BC564 AE565 AF565 AG565 AI565 AJ565 AK565 AL565 AM565 AN565 AO565 AP565 AQ565 AR565 AS565 AT565 AU565 AV565 AW565 AX565 AY565 AZ565 BA565 BB565 BC565 AE566 AF566 AG566 AI566 AJ566 AK566 AL566 AM566 AN566 AO566 AP566 AQ566 AR566 AS566 AT566 AU566 AV566 AW566 AX566 AY566 AZ566 BA566 BB566 BC566">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BN123:BP134 BN267 BO267 BP267 BN268 BO268 BP268 BN269 BO269 BP269 BN270 BO270 BP270 BN271 BO271 BP271 BN272 BO272 BP272 BN273 BO273 BP273 BN274 BO274 BP274 BN275 BO275 BP275 BN276 BO276 BP276 BN277 BO277 BP277 BN278 BO278 BP278 BN411 BO411 BP411 BN412 BO412 BP412 BN413 BO413 BP413 BN414 BO414 BP414 BN415 BO415 BP415 BN416 BO416 BP416 BN417 BO417 BP417 BN418 BO418 BP418 BN419 BO419 BP419 BN420 BO420 BP420 BN421 BO421 BP421 BN422 BO422 BP422 BN555 BO555 BP555 BN556 BO556 BP556 BN557 BO557 BP557 BN558 BO558 BP558 BN559 BO559 BP559 BN560 BO560 BP560 BN561 BO561 BP561 BN562 BO562 BP562 BN563 BO563 BP563 BN564 BO564 BP564 BN565 BO565 BP565 BN566 BO566 BP566">
      <formula1>900</formula1>
    </dataValidation>
  </dataValidations>
  <printOptions horizontalCentered="1"/>
  <pageMargins left="0.35" right="0.35" top="0.40" bottom="0.40" header="0.08" footer="0.08"/>
  <pageSetup paperSize="9" scale="42" firstPageNumber="13" fitToHeight="0" pageOrder="downThenOver" orientation="landscape" useFirstPageNumber="1"/>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6C5C237-1CE4-78DC-BC1B-7D536D264888}" mc:Ignorable="x14ac xr xr2 xr3">
  <sheetPr>
    <tabColor rgb="FF92D050"/>
    <outlinePr summaryRight="0" summaryBelow="0"/>
    <pageSetUpPr fitToPage="1"/>
  </sheetPr>
  <dimension ref="A1:BW647"/>
  <sheetViews>
    <sheetView showGridLines="0" zoomScale="110" workbookViewId="0">
      <pane xSplit="30" ySplit="25" topLeftCell="AE638" activePane="bottomRight" state="frozen"/>
      <selection pane="bottomLeft" activeCell="A26" sqref="A26"/>
      <selection pane="topRight" activeCell="AE1" sqref="AE1"/>
      <selection pane="bottomRight" activeCell="AB617" sqref="AB617:BP617"/>
    </sheetView>
  </sheetViews>
  <sheetFormatPr defaultColWidth="9.140625" customHeight="1" defaultRowHeight="10.5"/>
  <cols>
    <col min="1" max="1" style="1297" width="3.57421875" hidden="1" customWidth="1"/>
    <col min="2" max="2" style="986" width="8.57421875" hidden="1" customWidth="1"/>
    <col min="3" max="4" style="1297" width="3.57421875" hidden="1" customWidth="1"/>
    <col min="5" max="5" style="987" width="3.57421875" hidden="1" customWidth="1"/>
    <col min="6" max="6" style="1297" width="3.57421875" hidden="1" customWidth="1"/>
    <col min="7" max="7" style="1297" width="12.28125" hidden="1" customWidth="1"/>
    <col min="8" max="11" style="1297" width="3.57421875" hidden="1" customWidth="1"/>
    <col min="12" max="12" style="1297" width="6.57421875" hidden="1" customWidth="1"/>
    <col min="13" max="16" style="1297" width="3.57421875" hidden="1" customWidth="1"/>
    <col min="17" max="17" style="1297" width="8.00390625" hidden="1" customWidth="1"/>
    <col min="18" max="18" style="1297" width="6.421875" hidden="1" customWidth="1"/>
    <col min="19" max="19" style="1297" width="11.140625" hidden="1" customWidth="1"/>
    <col min="20" max="20" style="1297" width="10.421875" hidden="1" customWidth="1"/>
    <col min="21" max="21" style="1297" width="5.8515625" hidden="1" customWidth="1"/>
    <col min="22" max="23" style="1297" width="6.140625" hidden="1" customWidth="1"/>
    <col min="24" max="25" style="1297" width="5.57421875" hidden="1" customWidth="1"/>
    <col min="26" max="26" style="1297" width="5.28125" hidden="1" customWidth="1"/>
    <col min="27" max="27" style="1297" width="3.00390625" customWidth="1"/>
    <col min="28" max="28" style="596" width="6.82421875" customWidth="1"/>
    <col min="29" max="29" style="989" width="28.8828125" customWidth="1"/>
    <col min="30" max="30" style="596" width="12.00390625" customWidth="1"/>
    <col min="31" max="33" style="1297" width="12.57421875" customWidth="1"/>
    <col min="34" max="34" style="1297" width="12.00390625" customWidth="1"/>
    <col min="35" max="35" style="1297" width="12.57421875" customWidth="1"/>
    <col min="36" max="36" style="1297" width="13.4921875" customWidth="1"/>
    <col min="37" max="45" style="1297" width="12.57421875" hidden="1" customWidth="1"/>
    <col min="46" max="46" style="1297" width="12.8515625" customWidth="1"/>
    <col min="47" max="55" style="1297" width="12.57421875" hidden="1" customWidth="1"/>
    <col min="56" max="56" style="1297" width="12.57421875" customWidth="1"/>
    <col min="57" max="65" style="1297" width="12.57421875" hidden="1" customWidth="1"/>
    <col min="66" max="66" style="1297" width="41.94140625" customWidth="1"/>
    <col min="67" max="67" style="1297" width="40.15234375" customWidth="1"/>
    <col min="68" max="68" style="1297" width="44.921875" customWidth="1"/>
    <col min="69" max="69" style="1297" width="3.00390625" customWidth="1"/>
    <col min="70" max="70" style="1297" width="9.140625" hidden="1"/>
    <col min="71" max="73" style="1072" width="9.140625" hidden="1"/>
    <col min="74" max="75" style="987" width="9.140625" hidden="1"/>
  </cols>
  <sheetData>
    <row customHeight="1" ht="11.25" hidden="1">
      <c r="E1" s="154"/>
      <c r="F1" s="154" t="s">
        <v>333</v>
      </c>
      <c r="I1" s="154" t="s">
        <v>2169</v>
      </c>
      <c r="J1" s="154" t="s">
        <v>368</v>
      </c>
      <c r="K1" s="154" t="s">
        <v>2170</v>
      </c>
      <c r="L1" s="985" t="s">
        <v>2171</v>
      </c>
      <c r="M1" s="154" t="s">
        <v>2172</v>
      </c>
      <c r="T1" s="468" t="s">
        <v>93</v>
      </c>
      <c r="U1" s="468" t="s">
        <v>98</v>
      </c>
      <c r="V1" s="468" t="s">
        <v>94</v>
      </c>
      <c r="W1" s="468" t="s">
        <v>95</v>
      </c>
      <c r="X1" s="468" t="s">
        <v>96</v>
      </c>
      <c r="Y1" s="470" t="s">
        <v>335</v>
      </c>
      <c r="Z1" s="468" t="s">
        <v>100</v>
      </c>
      <c r="AA1" s="469" t="s">
        <v>97</v>
      </c>
      <c r="AB1" s="81"/>
      <c r="AC1" s="469" t="s">
        <v>99</v>
      </c>
      <c r="AJ1" s="1297"/>
      <c r="AK1" s="1297"/>
      <c r="AL1" s="1297"/>
      <c r="AM1" s="1297"/>
      <c r="AN1" s="1297"/>
      <c r="AO1" s="1297"/>
      <c r="AP1" s="1297"/>
      <c r="AQ1" s="1297"/>
      <c r="AR1" s="1297"/>
      <c r="AS1" s="1297"/>
      <c r="AT1" s="1297"/>
      <c r="AU1" s="1297"/>
      <c r="AV1" s="1297"/>
      <c r="AW1" s="1297"/>
      <c r="AX1" s="1297"/>
      <c r="AY1" s="1297"/>
      <c r="AZ1" s="1297"/>
      <c r="BA1" s="1297"/>
      <c r="BB1" s="1297"/>
      <c r="BC1" s="1297"/>
      <c r="BD1" s="1297"/>
      <c r="BE1" s="1297"/>
      <c r="BF1" s="1297"/>
      <c r="BG1" s="1297"/>
      <c r="BH1" s="1297"/>
      <c r="BI1" s="1297"/>
      <c r="BJ1" s="1297"/>
      <c r="BK1" s="1297"/>
      <c r="BL1" s="1297"/>
      <c r="BM1" s="1297"/>
      <c r="BS1" s="1072" t="s">
        <v>336</v>
      </c>
      <c r="BT1" s="1072" t="s">
        <v>337</v>
      </c>
      <c r="BU1" s="1072" t="s">
        <v>338</v>
      </c>
      <c r="BV1" s="709" t="s">
        <v>341</v>
      </c>
      <c r="BW1" s="709" t="s">
        <v>342</v>
      </c>
    </row>
    <row s="986" customFormat="1" customHeight="1" ht="11.25" hidden="1">
      <c r="B2" s="447" t="s">
        <v>19</v>
      </c>
      <c r="AC2" s="435"/>
      <c r="AF2" s="986" cm="1" t="str">
        <f t="array" ref="AF2:AF2">isOrgDeclare</f>
        <v>true</v>
      </c>
      <c r="AH2" s="986" cm="1" t="str">
        <f t="array" ref="AH2:AH2">isOrgDeclare</f>
        <v>true</v>
      </c>
      <c r="AJ2" s="448">
        <f>AND(AJ6&lt;=last_year_vis,isOrgDeclare)</f>
        <v>1</v>
      </c>
      <c r="AK2" s="448">
        <f>AND(AK6&lt;=last_year_vis,isOrgDeclare)</f>
        <v>0</v>
      </c>
      <c r="AL2" s="448">
        <f>AND(AL6&lt;=last_year_vis,isOrgDeclare)</f>
        <v>0</v>
      </c>
      <c r="AM2" s="448">
        <f>AND(AM6&lt;=last_year_vis,isOrgDeclare)</f>
        <v>0</v>
      </c>
      <c r="AN2" s="448">
        <f>AND(AN6&lt;=last_year_vis,isOrgDeclare)</f>
        <v>0</v>
      </c>
      <c r="AO2" s="448">
        <f>AND(AO6&lt;=last_year_vis,isOrgDeclare)</f>
        <v>0</v>
      </c>
      <c r="AP2" s="448">
        <f>AND(AP6&lt;=last_year_vis,isOrgDeclare)</f>
        <v>0</v>
      </c>
      <c r="AQ2" s="448">
        <f>AND(AQ6&lt;=last_year_vis,isOrgDeclare)</f>
        <v>0</v>
      </c>
      <c r="AR2" s="448">
        <f>AND(AR6&lt;=last_year_vis,isOrgDeclare)</f>
        <v>0</v>
      </c>
      <c r="AS2" s="448">
        <f>AND(AS6&lt;=last_year_vis,isOrgDeclare)</f>
        <v>0</v>
      </c>
      <c r="AT2" s="448">
        <f>AT6&lt;=last_year_vis</f>
        <v>1</v>
      </c>
      <c r="AU2" s="448">
        <f>AU6&lt;=last_year_vis</f>
        <v>0</v>
      </c>
      <c r="AV2" s="448">
        <f>AV6&lt;=last_year_vis</f>
        <v>0</v>
      </c>
      <c r="AW2" s="448">
        <f>AW6&lt;=last_year_vis</f>
        <v>0</v>
      </c>
      <c r="AX2" s="448">
        <f>AX6&lt;=last_year_vis</f>
        <v>0</v>
      </c>
      <c r="AY2" s="448">
        <f>AY6&lt;=last_year_vis</f>
        <v>0</v>
      </c>
      <c r="AZ2" s="448">
        <f>AZ6&lt;=last_year_vis</f>
        <v>0</v>
      </c>
      <c r="BA2" s="448">
        <f>BA6&lt;=last_year_vis</f>
        <v>0</v>
      </c>
      <c r="BB2" s="448">
        <f>BB6&lt;=last_year_vis</f>
        <v>0</v>
      </c>
      <c r="BC2" s="448">
        <f>BC6&lt;=last_year_vis</f>
        <v>0</v>
      </c>
      <c r="BD2" s="448">
        <f>BD6&lt;=last_year_vis</f>
        <v>1</v>
      </c>
      <c r="BE2" s="448">
        <f>BE6&lt;=last_year_vis</f>
        <v>0</v>
      </c>
      <c r="BF2" s="448">
        <f>BF6&lt;=last_year_vis</f>
        <v>0</v>
      </c>
      <c r="BG2" s="448">
        <f>BG6&lt;=last_year_vis</f>
        <v>0</v>
      </c>
      <c r="BH2" s="448">
        <f>BH6&lt;=last_year_vis</f>
        <v>0</v>
      </c>
      <c r="BI2" s="448">
        <f>BI6&lt;=last_year_vis</f>
        <v>0</v>
      </c>
      <c r="BJ2" s="448">
        <f>BJ6&lt;=last_year_vis</f>
        <v>0</v>
      </c>
      <c r="BK2" s="448">
        <f>BK6&lt;=last_year_vis</f>
        <v>0</v>
      </c>
      <c r="BL2" s="448">
        <f>BL6&lt;=last_year_vis</f>
        <v>0</v>
      </c>
      <c r="BM2" s="448">
        <f>BM6&lt;=last_year_vis</f>
        <v>0</v>
      </c>
      <c r="BS2" s="1073"/>
      <c r="BT2" s="1073"/>
      <c r="BU2" s="1073"/>
      <c r="BV2" s="627"/>
      <c r="BW2" s="627"/>
    </row>
    <row customHeight="1" ht="11.25" hidden="1">
      <c r="E3" s="154"/>
      <c r="R3" s="447" t="b">
        <v>0</v>
      </c>
      <c r="AJ3" s="1297"/>
      <c r="AK3" s="1297"/>
      <c r="AL3" s="1297"/>
      <c r="AM3" s="1297"/>
      <c r="AN3" s="1297"/>
      <c r="AO3" s="1297"/>
      <c r="AP3" s="1297"/>
      <c r="AQ3" s="1297"/>
      <c r="AR3" s="1297"/>
      <c r="AS3" s="1297"/>
      <c r="AT3" s="1297"/>
      <c r="AU3" s="1297"/>
      <c r="AV3" s="1297"/>
      <c r="AW3" s="1297"/>
      <c r="AX3" s="1297"/>
      <c r="AY3" s="1297"/>
      <c r="AZ3" s="1297"/>
      <c r="BA3" s="1297"/>
      <c r="BB3" s="1297"/>
      <c r="BC3" s="1297"/>
      <c r="BD3" s="1297"/>
      <c r="BE3" s="1297"/>
      <c r="BF3" s="1297"/>
      <c r="BG3" s="1297"/>
      <c r="BH3" s="1297"/>
      <c r="BI3" s="1297"/>
      <c r="BJ3" s="1297"/>
      <c r="BK3" s="1297"/>
      <c r="BL3" s="1297"/>
      <c r="BM3" s="1297"/>
    </row>
    <row customHeight="1" ht="11.25" hidden="1">
      <c r="E4" s="154"/>
      <c r="AJ4" s="1297"/>
      <c r="AK4" s="1297"/>
      <c r="AL4" s="1297"/>
      <c r="AM4" s="1297"/>
      <c r="AN4" s="1297"/>
      <c r="AO4" s="1297"/>
      <c r="AP4" s="1297"/>
      <c r="AQ4" s="1297"/>
      <c r="AR4" s="1297"/>
      <c r="AS4" s="1297"/>
      <c r="AT4" s="1297"/>
      <c r="AU4" s="1297"/>
      <c r="AV4" s="1297"/>
      <c r="AW4" s="1297"/>
      <c r="AX4" s="1297"/>
      <c r="AY4" s="1297"/>
      <c r="AZ4" s="1297"/>
      <c r="BA4" s="1297"/>
      <c r="BB4" s="1297"/>
      <c r="BC4" s="1297"/>
      <c r="BD4" s="1297"/>
      <c r="BE4" s="1297"/>
      <c r="BF4" s="1297"/>
      <c r="BG4" s="1297"/>
      <c r="BH4" s="1297"/>
      <c r="BI4" s="1297"/>
      <c r="BJ4" s="1297"/>
      <c r="BK4" s="1297"/>
      <c r="BL4" s="1297"/>
      <c r="BM4" s="1297"/>
    </row>
    <row s="987" customFormat="1" customHeight="1" ht="11.25" hidden="1">
      <c r="A5" s="154"/>
      <c r="B5" s="434"/>
      <c r="C5" s="154"/>
      <c r="D5" s="154"/>
      <c r="E5" s="709" t="s">
        <v>20</v>
      </c>
      <c r="AA5" s="709">
        <v>3</v>
      </c>
      <c r="AB5" s="714">
        <v>11</v>
      </c>
      <c r="AC5" s="710">
        <v>75</v>
      </c>
      <c r="AD5" s="714">
        <v>12</v>
      </c>
      <c r="AE5" s="709">
        <v>12.57</v>
      </c>
      <c r="AF5" s="709">
        <v>12.57</v>
      </c>
      <c r="AG5" s="709">
        <v>12.57</v>
      </c>
      <c r="AH5" s="709">
        <v>21</v>
      </c>
      <c r="AI5" s="709">
        <v>12.57</v>
      </c>
      <c r="AJ5" s="709">
        <v>12.57</v>
      </c>
      <c r="AK5" s="709">
        <v>12.57</v>
      </c>
      <c r="AL5" s="709">
        <v>12.57</v>
      </c>
      <c r="AM5" s="709">
        <v>12.57</v>
      </c>
      <c r="AN5" s="709">
        <v>12.57</v>
      </c>
      <c r="AO5" s="709">
        <v>12.57</v>
      </c>
      <c r="AP5" s="709">
        <v>12.57</v>
      </c>
      <c r="AQ5" s="709">
        <v>12.57</v>
      </c>
      <c r="AR5" s="709">
        <v>12.57</v>
      </c>
      <c r="AS5" s="709">
        <v>12.57</v>
      </c>
      <c r="AT5" s="709">
        <v>12.57</v>
      </c>
      <c r="AU5" s="709">
        <v>12.57</v>
      </c>
      <c r="AV5" s="709">
        <v>12.57</v>
      </c>
      <c r="AW5" s="709">
        <v>12.57</v>
      </c>
      <c r="AX5" s="709">
        <v>12.57</v>
      </c>
      <c r="AY5" s="709">
        <v>12.57</v>
      </c>
      <c r="AZ5" s="709">
        <v>12.57</v>
      </c>
      <c r="BA5" s="709">
        <v>12.57</v>
      </c>
      <c r="BB5" s="709">
        <v>12.57</v>
      </c>
      <c r="BC5" s="709">
        <v>12.57</v>
      </c>
      <c r="BD5" s="709">
        <v>12.57</v>
      </c>
      <c r="BE5" s="709">
        <v>12.57</v>
      </c>
      <c r="BF5" s="709">
        <v>12.57</v>
      </c>
      <c r="BG5" s="709">
        <v>12.57</v>
      </c>
      <c r="BH5" s="709">
        <v>12.57</v>
      </c>
      <c r="BI5" s="709">
        <v>12.57</v>
      </c>
      <c r="BJ5" s="709">
        <v>12.57</v>
      </c>
      <c r="BK5" s="709">
        <v>12.57</v>
      </c>
      <c r="BL5" s="709">
        <v>12.57</v>
      </c>
      <c r="BM5" s="709">
        <v>12.57</v>
      </c>
      <c r="BN5" s="709">
        <v>20</v>
      </c>
      <c r="BO5" s="709">
        <v>20</v>
      </c>
      <c r="BP5" s="709">
        <v>42</v>
      </c>
      <c r="BQ5" s="709">
        <v>3</v>
      </c>
      <c r="BS5" s="1072"/>
      <c r="BT5" s="1072"/>
      <c r="BU5" s="1072"/>
    </row>
    <row customHeight="1" ht="11.25" hidden="1">
      <c r="A6" s="154" t="s">
        <v>371</v>
      </c>
      <c r="AE6" s="154">
        <f>god-2</f>
        <v>2024</v>
      </c>
      <c r="AF6" s="154">
        <f>god-2</f>
        <v>2024</v>
      </c>
      <c r="AG6" s="154">
        <f>god-2</f>
        <v>2024</v>
      </c>
      <c r="AH6" s="154">
        <f>god-2</f>
        <v>2024</v>
      </c>
      <c r="AI6" s="94">
        <f>god-1</f>
        <v>2025</v>
      </c>
      <c r="AJ6" s="94" cm="1" t="str">
        <f t="array" ref="AJ6:AJ6">god</f>
        <v>2026</v>
      </c>
      <c r="AK6" s="94">
        <f>god+1</f>
        <v>2027</v>
      </c>
      <c r="AL6" s="94">
        <f>god+2</f>
        <v>2028</v>
      </c>
      <c r="AM6" s="94">
        <f>god+3</f>
        <v>2029</v>
      </c>
      <c r="AN6" s="94">
        <f>god+4</f>
        <v>2030</v>
      </c>
      <c r="AO6" s="94">
        <f>god+5</f>
        <v>2031</v>
      </c>
      <c r="AP6" s="94">
        <f>god+6</f>
        <v>2032</v>
      </c>
      <c r="AQ6" s="94">
        <f>god+7</f>
        <v>2033</v>
      </c>
      <c r="AR6" s="94">
        <f>god+8</f>
        <v>2034</v>
      </c>
      <c r="AS6" s="94">
        <f>god+9</f>
        <v>2035</v>
      </c>
      <c r="AT6" s="94" cm="1" t="str">
        <f t="array" ref="AT6:AT6">god</f>
        <v>2026</v>
      </c>
      <c r="AU6" s="94">
        <f>god+1</f>
        <v>2027</v>
      </c>
      <c r="AV6" s="94">
        <f>god+2</f>
        <v>2028</v>
      </c>
      <c r="AW6" s="94">
        <f>god+3</f>
        <v>2029</v>
      </c>
      <c r="AX6" s="94">
        <f>god+4</f>
        <v>2030</v>
      </c>
      <c r="AY6" s="94">
        <f>god+5</f>
        <v>2031</v>
      </c>
      <c r="AZ6" s="94">
        <f>god+6</f>
        <v>2032</v>
      </c>
      <c r="BA6" s="94">
        <f>god+7</f>
        <v>2033</v>
      </c>
      <c r="BB6" s="94">
        <f>god+8</f>
        <v>2034</v>
      </c>
      <c r="BC6" s="94">
        <f>god+9</f>
        <v>2035</v>
      </c>
      <c r="BD6" s="94" cm="1" t="str">
        <f t="array" ref="BD6:BD6">god</f>
        <v>2026</v>
      </c>
      <c r="BE6" s="94">
        <f>god+1</f>
        <v>2027</v>
      </c>
      <c r="BF6" s="94">
        <f>god+2</f>
        <v>2028</v>
      </c>
      <c r="BG6" s="94">
        <f>god+3</f>
        <v>2029</v>
      </c>
      <c r="BH6" s="94">
        <f>god+4</f>
        <v>2030</v>
      </c>
      <c r="BI6" s="94">
        <f>god+5</f>
        <v>2031</v>
      </c>
      <c r="BJ6" s="94">
        <f>god+6</f>
        <v>2032</v>
      </c>
      <c r="BK6" s="94">
        <f>god+7</f>
        <v>2033</v>
      </c>
      <c r="BL6" s="94">
        <f>god+8</f>
        <v>2034</v>
      </c>
      <c r="BM6" s="94">
        <f>god+9</f>
        <v>2035</v>
      </c>
    </row>
    <row customHeight="1" ht="11.25" hidden="1">
      <c r="A7" s="154" t="s">
        <v>372</v>
      </c>
      <c r="AE7" s="94" cm="1" t="str">
        <f t="array" ref="AE7:AE7">AE25</f>
        <v>Принято органом регулирования</v>
      </c>
      <c r="AF7" s="94" cm="1" t="str">
        <f t="array" ref="AF7:AF7">AF25</f>
        <v>Факт по данным организации</v>
      </c>
      <c r="AG7" s="94" cm="1" t="str">
        <f t="array" ref="AG7:AG7">AG25</f>
        <v>Факт, принятый органом регулирования</v>
      </c>
      <c r="AH7" s="94" cm="1" t="str">
        <f t="array" ref="AH7:AH7">AH25</f>
        <v>отклонение факта по данным организации к факту принятому органом регулирования</v>
      </c>
      <c r="AI7" s="94" cm="1" t="str">
        <f t="array" ref="AI7:AI7">AI25</f>
        <v>Принято органом регулирования</v>
      </c>
      <c r="AJ7" s="94" cm="1" t="str">
        <f t="array" ref="AJ7:AJ7">$AJ$25</f>
        <v>Предложение организации</v>
      </c>
      <c r="AK7" s="94" cm="1" t="str">
        <f t="array" ref="AK7:AK7">$AJ$25</f>
        <v>Предложение организации</v>
      </c>
      <c r="AL7" s="94" cm="1" t="str">
        <f t="array" ref="AL7:AL7">$AJ$25</f>
        <v>Предложение организации</v>
      </c>
      <c r="AM7" s="94" cm="1" t="str">
        <f t="array" ref="AM7:AM7">$AJ$25</f>
        <v>Предложение организации</v>
      </c>
      <c r="AN7" s="94" cm="1" t="str">
        <f t="array" ref="AN7:AN7">$AJ$25</f>
        <v>Предложение организации</v>
      </c>
      <c r="AO7" s="94" cm="1" t="str">
        <f t="array" ref="AO7:AO7">$AJ$25</f>
        <v>Предложение организации</v>
      </c>
      <c r="AP7" s="94" cm="1" t="str">
        <f t="array" ref="AP7:AP7">$AJ$25</f>
        <v>Предложение организации</v>
      </c>
      <c r="AQ7" s="94" cm="1" t="str">
        <f t="array" ref="AQ7:AQ7">$AJ$25</f>
        <v>Предложение организации</v>
      </c>
      <c r="AR7" s="94" cm="1" t="str">
        <f t="array" ref="AR7:AR7">$AJ$25</f>
        <v>Предложение организации</v>
      </c>
      <c r="AS7" s="94" cm="1" t="str">
        <f t="array" ref="AS7:AS7">$AJ$25</f>
        <v>Предложение организации</v>
      </c>
      <c r="AT7" s="94" cm="1" t="str">
        <f t="array" ref="AT7:AT7">$AT$25</f>
        <v>Принято органом регулирования</v>
      </c>
      <c r="AU7" s="94" cm="1" t="str">
        <f t="array" ref="AU7:AU7">$AT$25</f>
        <v>Принято органом регулирования</v>
      </c>
      <c r="AV7" s="94" cm="1" t="str">
        <f t="array" ref="AV7:AV7">$AT$25</f>
        <v>Принято органом регулирования</v>
      </c>
      <c r="AW7" s="94" cm="1" t="str">
        <f t="array" ref="AW7:AW7">$AT$25</f>
        <v>Принято органом регулирования</v>
      </c>
      <c r="AX7" s="94" cm="1" t="str">
        <f t="array" ref="AX7:AX7">$AT$25</f>
        <v>Принято органом регулирования</v>
      </c>
      <c r="AY7" s="94" cm="1" t="str">
        <f t="array" ref="AY7:AY7">$AT$25</f>
        <v>Принято органом регулирования</v>
      </c>
      <c r="AZ7" s="94" cm="1" t="str">
        <f t="array" ref="AZ7:AZ7">$AT$25</f>
        <v>Принято органом регулирования</v>
      </c>
      <c r="BA7" s="94" cm="1" t="str">
        <f t="array" ref="BA7:BA7">$AT$25</f>
        <v>Принято органом регулирования</v>
      </c>
      <c r="BB7" s="94" cm="1" t="str">
        <f t="array" ref="BB7:BB7">$AT$25</f>
        <v>Принято органом регулирования</v>
      </c>
      <c r="BC7" s="94" cm="1" t="str">
        <f t="array" ref="BC7:BC7">$AT$25</f>
        <v>Принято органом регулирования</v>
      </c>
      <c r="BD7" s="94"/>
      <c r="BE7" s="94"/>
      <c r="BF7" s="94"/>
      <c r="BG7" s="94"/>
      <c r="BH7" s="94"/>
      <c r="BI7" s="94"/>
      <c r="BJ7" s="94"/>
      <c r="BK7" s="94"/>
      <c r="BL7" s="94"/>
      <c r="BM7" s="94"/>
    </row>
    <row customHeight="1" ht="11.25" hidden="1">
      <c r="AE8" s="94" t="str">
        <f>AE6&amp;AE7</f>
        <v>2024Принято органом регулирования</v>
      </c>
      <c r="AF8" s="94" t="str">
        <f>AF6&amp;AF7</f>
        <v>2024Факт по данным организации</v>
      </c>
      <c r="AG8" s="94" t="str">
        <f>AG6&amp;AG7</f>
        <v>2024Факт, принятый органом регулирования</v>
      </c>
      <c r="AH8" s="94" t="str">
        <f>AH6&amp;AH7</f>
        <v>2024отклонение факта по данным организации к факту принятому органом регулирования</v>
      </c>
      <c r="AI8" s="94" t="str">
        <f>AI6&amp;AI7</f>
        <v>2025Принято органом регулирования</v>
      </c>
      <c r="AJ8" s="94" t="str">
        <f>AJ6&amp;AJ7</f>
        <v>2026Предложение организации</v>
      </c>
      <c r="AK8" s="94" t="str">
        <f>AK6&amp;AK7</f>
        <v>2027Предложение организации</v>
      </c>
      <c r="AL8" s="94" t="str">
        <f>AL6&amp;AL7</f>
        <v>2028Предложение организации</v>
      </c>
      <c r="AM8" s="94" t="str">
        <f>AM6&amp;AM7</f>
        <v>2029Предложение организации</v>
      </c>
      <c r="AN8" s="94" t="str">
        <f>AN6&amp;AN7</f>
        <v>2030Предложение организации</v>
      </c>
      <c r="AO8" s="94" t="str">
        <f>AO6&amp;AO7</f>
        <v>2031Предложение организации</v>
      </c>
      <c r="AP8" s="94" t="str">
        <f>AP6&amp;AP7</f>
        <v>2032Предложение организации</v>
      </c>
      <c r="AQ8" s="94" t="str">
        <f>AQ6&amp;AQ7</f>
        <v>2033Предложение организации</v>
      </c>
      <c r="AR8" s="94" t="str">
        <f>AR6&amp;AR7</f>
        <v>2034Предложение организации</v>
      </c>
      <c r="AS8" s="94" t="str">
        <f>AS6&amp;AS7</f>
        <v>2035Предложение организации</v>
      </c>
      <c r="AT8" s="94" t="str">
        <f>AT6&amp;AT7</f>
        <v>2026Принято органом регулирования</v>
      </c>
      <c r="AU8" s="94" t="str">
        <f>AU6&amp;AU7</f>
        <v>2027Принято органом регулирования</v>
      </c>
      <c r="AV8" s="94" t="str">
        <f>AV6&amp;AV7</f>
        <v>2028Принято органом регулирования</v>
      </c>
      <c r="AW8" s="94" t="str">
        <f>AW6&amp;AW7</f>
        <v>2029Принято органом регулирования</v>
      </c>
      <c r="AX8" s="94" t="str">
        <f>AX6&amp;AX7</f>
        <v>2030Принято органом регулирования</v>
      </c>
      <c r="AY8" s="94" t="str">
        <f>AY6&amp;AY7</f>
        <v>2031Принято органом регулирования</v>
      </c>
      <c r="AZ8" s="94" t="str">
        <f>AZ6&amp;AZ7</f>
        <v>2032Принято органом регулирования</v>
      </c>
      <c r="BA8" s="94" t="str">
        <f>BA6&amp;BA7</f>
        <v>2033Принято органом регулирования</v>
      </c>
      <c r="BB8" s="94" t="str">
        <f>BB6&amp;BB7</f>
        <v>2034Принято органом регулирования</v>
      </c>
      <c r="BC8" s="94" t="str">
        <f>BC6&amp;BC7</f>
        <v>2035Принято органом регулирования</v>
      </c>
      <c r="BD8" s="94"/>
      <c r="BE8" s="94"/>
      <c r="BF8" s="94"/>
      <c r="BG8" s="94"/>
      <c r="BH8" s="94"/>
      <c r="BI8" s="94"/>
      <c r="BJ8" s="94"/>
      <c r="BK8" s="94"/>
      <c r="BL8" s="94"/>
      <c r="BM8" s="94"/>
    </row>
    <row s="1072" customFormat="1" customHeight="1" ht="11.25" hidden="1">
      <c r="A9" s="1005" t="s">
        <v>376</v>
      </c>
      <c r="B9" s="1068"/>
      <c r="C9" s="1068"/>
      <c r="D9" s="1068"/>
      <c r="E9" s="1068"/>
      <c r="F9" s="1068"/>
      <c r="G9" s="1068"/>
      <c r="H9" s="1068"/>
      <c r="I9" s="1068"/>
      <c r="J9" s="1068"/>
      <c r="K9" s="1068"/>
      <c r="L9" s="1068"/>
      <c r="M9" s="1068"/>
      <c r="N9" s="1068"/>
      <c r="O9" s="1068"/>
      <c r="P9" s="1068"/>
      <c r="Q9" s="1068"/>
      <c r="R9" s="1068"/>
      <c r="S9" s="1068"/>
      <c r="T9" s="1068"/>
      <c r="U9" s="1068"/>
      <c r="V9" s="1068"/>
      <c r="W9" s="1068"/>
      <c r="X9" s="1068"/>
      <c r="Y9" s="1068"/>
      <c r="Z9" s="1068"/>
      <c r="AA9" s="1068"/>
      <c r="AB9" s="1068"/>
      <c r="AC9" s="1068"/>
      <c r="AD9" s="1068"/>
      <c r="AE9" s="1069" cm="1" t="str">
        <f t="array" ref="AE9:AE9">AE6</f>
        <v>2024</v>
      </c>
      <c r="AF9" s="1069" cm="1" t="str">
        <f t="array" ref="AF9:AF9">AF6</f>
        <v>2024</v>
      </c>
      <c r="AG9" s="1069" cm="1" t="str">
        <f t="array" ref="AG9:AG9">AG6</f>
        <v>2024</v>
      </c>
      <c r="AH9" s="1069" cm="1" t="str">
        <f t="array" ref="AH9:AH9">AH6</f>
        <v>2024</v>
      </c>
      <c r="AI9" s="1069" cm="1" t="str">
        <f t="array" ref="AI9:AI9">AI6</f>
        <v>2025</v>
      </c>
      <c r="AJ9" s="1069" cm="1" t="str">
        <f t="array" ref="AJ9:AJ9">AJ6</f>
        <v>2026</v>
      </c>
      <c r="AK9" s="1069" cm="1" t="str">
        <f t="array" ref="AK9:AK9">AK6</f>
        <v>2027</v>
      </c>
      <c r="AL9" s="1069" cm="1" t="str">
        <f t="array" ref="AL9:AL9">AL6</f>
        <v>2028</v>
      </c>
      <c r="AM9" s="1069" cm="1" t="str">
        <f t="array" ref="AM9:AM9">AM6</f>
        <v>2029</v>
      </c>
      <c r="AN9" s="1069" cm="1" t="str">
        <f t="array" ref="AN9:AN9">AN6</f>
        <v>2030</v>
      </c>
      <c r="AO9" s="1069" cm="1" t="str">
        <f t="array" ref="AO9:AO9">AO6</f>
        <v>2031</v>
      </c>
      <c r="AP9" s="1069" cm="1" t="str">
        <f t="array" ref="AP9:AP9">AP6</f>
        <v>2032</v>
      </c>
      <c r="AQ9" s="1069" cm="1" t="str">
        <f t="array" ref="AQ9:AQ9">AQ6</f>
        <v>2033</v>
      </c>
      <c r="AR9" s="1069" cm="1" t="str">
        <f t="array" ref="AR9:AR9">AR6</f>
        <v>2034</v>
      </c>
      <c r="AS9" s="1069" cm="1" t="str">
        <f t="array" ref="AS9:AS9">AS6</f>
        <v>2035</v>
      </c>
      <c r="AT9" s="1069" cm="1" t="str">
        <f t="array" ref="AT9:AT9">AT6</f>
        <v>2026</v>
      </c>
      <c r="AU9" s="1069" cm="1" t="str">
        <f t="array" ref="AU9:AU9">AU6</f>
        <v>2027</v>
      </c>
      <c r="AV9" s="1069" cm="1" t="str">
        <f t="array" ref="AV9:AV9">AV6</f>
        <v>2028</v>
      </c>
      <c r="AW9" s="1069" cm="1" t="str">
        <f t="array" ref="AW9:AW9">AW6</f>
        <v>2029</v>
      </c>
      <c r="AX9" s="1069" cm="1" t="str">
        <f t="array" ref="AX9:AX9">AX6</f>
        <v>2030</v>
      </c>
      <c r="AY9" s="1069" cm="1" t="str">
        <f t="array" ref="AY9:AY9">AY6</f>
        <v>2031</v>
      </c>
      <c r="AZ9" s="1069" cm="1" t="str">
        <f t="array" ref="AZ9:AZ9">AZ6</f>
        <v>2032</v>
      </c>
      <c r="BA9" s="1069" cm="1" t="str">
        <f t="array" ref="BA9:BA9">BA6</f>
        <v>2033</v>
      </c>
      <c r="BB9" s="1069" cm="1" t="str">
        <f t="array" ref="BB9:BB9">BB6</f>
        <v>2034</v>
      </c>
      <c r="BC9" s="1069" cm="1" t="str">
        <f t="array" ref="BC9:BC9">BC6</f>
        <v>2035</v>
      </c>
      <c r="BD9" s="1069" cm="1" t="str">
        <f t="array" ref="BD9:BD9">BD6</f>
        <v>2026</v>
      </c>
      <c r="BE9" s="1069" cm="1" t="str">
        <f t="array" ref="BE9:BE9">BE6</f>
        <v>2027</v>
      </c>
      <c r="BF9" s="1069" cm="1" t="str">
        <f t="array" ref="BF9:BF9">BF6</f>
        <v>2028</v>
      </c>
      <c r="BG9" s="1069" cm="1" t="str">
        <f t="array" ref="BG9:BG9">BG6</f>
        <v>2029</v>
      </c>
      <c r="BH9" s="1069" cm="1" t="str">
        <f t="array" ref="BH9:BH9">BH6</f>
        <v>2030</v>
      </c>
      <c r="BI9" s="1069" cm="1" t="str">
        <f t="array" ref="BI9:BI9">BI6</f>
        <v>2031</v>
      </c>
      <c r="BJ9" s="1069" cm="1" t="str">
        <f t="array" ref="BJ9:BJ9">BJ6</f>
        <v>2032</v>
      </c>
      <c r="BK9" s="1069" cm="1" t="str">
        <f t="array" ref="BK9:BK9">BK6</f>
        <v>2033</v>
      </c>
      <c r="BL9" s="1069" cm="1" t="str">
        <f t="array" ref="BL9:BL9">BL6</f>
        <v>2034</v>
      </c>
      <c r="BM9" s="1069" cm="1" t="str">
        <f t="array" ref="BM9:BM9">BM6</f>
        <v>2035</v>
      </c>
      <c r="BV9" s="709"/>
      <c r="BW9" s="709"/>
    </row>
    <row s="1072" customFormat="1" customHeight="1" ht="11.25" hidden="1">
      <c r="A10" s="1005" t="s">
        <v>377</v>
      </c>
      <c r="B10" s="1068"/>
      <c r="C10" s="1068"/>
      <c r="D10" s="1068"/>
      <c r="E10" s="1068"/>
      <c r="F10" s="1068"/>
      <c r="G10" s="1068"/>
      <c r="H10" s="1068"/>
      <c r="I10" s="1068"/>
      <c r="J10" s="1068"/>
      <c r="K10" s="1068"/>
      <c r="L10" s="1068"/>
      <c r="M10" s="1068"/>
      <c r="N10" s="1068"/>
      <c r="O10" s="1068"/>
      <c r="P10" s="1068"/>
      <c r="Q10" s="1068"/>
      <c r="R10" s="1068"/>
      <c r="S10" s="1068"/>
      <c r="T10" s="1068"/>
      <c r="U10" s="1068"/>
      <c r="V10" s="1068"/>
      <c r="W10" s="1068"/>
      <c r="X10" s="1068"/>
      <c r="Y10" s="1068"/>
      <c r="Z10" s="1068"/>
      <c r="AA10" s="1068"/>
      <c r="AB10" s="1068"/>
      <c r="AC10" s="1068"/>
      <c r="AD10" s="1068"/>
      <c r="AE10" s="1069" cm="1" t="str">
        <f t="array" ref="AE10:AE10">AE25</f>
        <v>Принято органом регулирования</v>
      </c>
      <c r="AF10" s="1069" cm="1" t="str">
        <f t="array" ref="AF10:AF10">AF25</f>
        <v>Факт по данным организации</v>
      </c>
      <c r="AG10" s="1069" cm="1" t="str">
        <f t="array" ref="AG10:AG10">AG25</f>
        <v>Факт, принятый органом регулирования</v>
      </c>
      <c r="AH10" s="1069" cm="1" t="str">
        <f t="array" ref="AH10:AH10">AH25</f>
        <v>отклонение факта по данным организации к факту принятому органом регулирования</v>
      </c>
      <c r="AI10" s="1069" cm="1" t="str">
        <f t="array" ref="AI10:AI10">AI25</f>
        <v>Принято органом регулирования</v>
      </c>
      <c r="AJ10" s="1069" cm="1" t="str">
        <f t="array" ref="AJ10:AJ10">AJ25</f>
        <v>Предложение организации</v>
      </c>
      <c r="AK10" s="1069" cm="1" t="str">
        <f t="array" ref="AK10:AK10">AK25</f>
        <v>Предложение организации</v>
      </c>
      <c r="AL10" s="1069" cm="1" t="str">
        <f t="array" ref="AL10:AL10">AL25</f>
        <v>Предложение организации</v>
      </c>
      <c r="AM10" s="1069" cm="1" t="str">
        <f t="array" ref="AM10:AM10">AM25</f>
        <v>Предложение организации</v>
      </c>
      <c r="AN10" s="1069" cm="1" t="str">
        <f t="array" ref="AN10:AN10">AN25</f>
        <v>Предложение организации</v>
      </c>
      <c r="AO10" s="1069" cm="1" t="str">
        <f t="array" ref="AO10:AO10">AO25</f>
        <v>Предложение организации</v>
      </c>
      <c r="AP10" s="1069" cm="1" t="str">
        <f t="array" ref="AP10:AP10">AP25</f>
        <v>Предложение организации</v>
      </c>
      <c r="AQ10" s="1069" cm="1" t="str">
        <f t="array" ref="AQ10:AQ10">AQ25</f>
        <v>Предложение организации</v>
      </c>
      <c r="AR10" s="1069" cm="1" t="str">
        <f t="array" ref="AR10:AR10">AR25</f>
        <v>Предложение организации</v>
      </c>
      <c r="AS10" s="1069" cm="1" t="str">
        <f t="array" ref="AS10:AS10">AS25</f>
        <v>Предложение организации</v>
      </c>
      <c r="AT10" s="1069" cm="1" t="str">
        <f t="array" ref="AT10:AT10">AT25</f>
        <v>Принято органом регулирования</v>
      </c>
      <c r="AU10" s="1069" cm="1" t="str">
        <f t="array" ref="AU10:AU10">AU25</f>
        <v>Принято органом регулирования</v>
      </c>
      <c r="AV10" s="1069" cm="1" t="str">
        <f t="array" ref="AV10:AV10">AV25</f>
        <v>Принято органом регулирования</v>
      </c>
      <c r="AW10" s="1069" cm="1" t="str">
        <f t="array" ref="AW10:AW10">AW25</f>
        <v>Принято органом регулирования</v>
      </c>
      <c r="AX10" s="1069" cm="1" t="str">
        <f t="array" ref="AX10:AX10">AX25</f>
        <v>Принято органом регулирования</v>
      </c>
      <c r="AY10" s="1069" cm="1" t="str">
        <f t="array" ref="AY10:AY10">AY25</f>
        <v>Принято органом регулирования</v>
      </c>
      <c r="AZ10" s="1069" cm="1" t="str">
        <f t="array" ref="AZ10:AZ10">AZ25</f>
        <v>Принято органом регулирования</v>
      </c>
      <c r="BA10" s="1069" cm="1" t="str">
        <f t="array" ref="BA10:BA10">BA25</f>
        <v>Принято органом регулирования</v>
      </c>
      <c r="BB10" s="1069" cm="1" t="str">
        <f t="array" ref="BB10:BB10">BB25</f>
        <v>Принято органом регулирования</v>
      </c>
      <c r="BC10" s="1069" cm="1" t="str">
        <f t="array" ref="BC10:BC10">BC25</f>
        <v>Принято органом регулирования</v>
      </c>
      <c r="BD10" s="1069" cm="1" t="str">
        <f t="array" ref="BD10:BD10">BD25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E10" s="1069" cm="1" t="str">
        <f t="array" ref="BE10:BE10">BE25</f>
        <v>0</v>
      </c>
      <c r="BF10" s="1069" cm="1" t="str">
        <f t="array" ref="BF10:BF10">BF25</f>
        <v>0</v>
      </c>
      <c r="BG10" s="1069" cm="1" t="str">
        <f t="array" ref="BG10:BG10">BG25</f>
        <v>0</v>
      </c>
      <c r="BH10" s="1069" cm="1" t="str">
        <f t="array" ref="BH10:BH10">BH25</f>
        <v>0</v>
      </c>
      <c r="BI10" s="1069" cm="1" t="str">
        <f t="array" ref="BI10:BI10">BI25</f>
        <v>0</v>
      </c>
      <c r="BJ10" s="1069" cm="1" t="str">
        <f t="array" ref="BJ10:BJ10">BJ25</f>
        <v>0</v>
      </c>
      <c r="BK10" s="1069" cm="1" t="str">
        <f t="array" ref="BK10:BK10">BK25</f>
        <v>0</v>
      </c>
      <c r="BL10" s="1069" cm="1" t="str">
        <f t="array" ref="BL10:BL10">BL25</f>
        <v>0</v>
      </c>
      <c r="BM10" s="1069" cm="1" t="str">
        <f t="array" ref="BM10:BM10">BM25</f>
        <v>0</v>
      </c>
      <c r="BV10" s="709"/>
      <c r="BW10" s="709"/>
    </row>
    <row s="1072" customFormat="1" customHeight="1" ht="11.25" hidden="1">
      <c r="A11" s="1005" t="s">
        <v>378</v>
      </c>
      <c r="B11" s="1068"/>
      <c r="C11" s="1068"/>
      <c r="D11" s="1068"/>
      <c r="E11" s="1068"/>
      <c r="F11" s="1068"/>
      <c r="G11" s="1068"/>
      <c r="H11" s="1068"/>
      <c r="I11" s="1068"/>
      <c r="J11" s="1068"/>
      <c r="K11" s="1068"/>
      <c r="L11" s="1068"/>
      <c r="M11" s="1068"/>
      <c r="N11" s="1068"/>
      <c r="O11" s="1068"/>
      <c r="P11" s="1068"/>
      <c r="Q11" s="1068"/>
      <c r="R11" s="1068"/>
      <c r="S11" s="1068"/>
      <c r="T11" s="1068"/>
      <c r="U11" s="1068"/>
      <c r="V11" s="1068"/>
      <c r="W11" s="1068"/>
      <c r="X11" s="1068"/>
      <c r="Y11" s="1068"/>
      <c r="Z11" s="1068"/>
      <c r="AA11" s="1068"/>
      <c r="AB11" s="1068"/>
      <c r="AC11" s="1068"/>
      <c r="AD11" s="1068"/>
      <c r="AE11" s="1069"/>
      <c r="AJ11" s="1072"/>
      <c r="AK11" s="1072"/>
      <c r="AL11" s="1072"/>
      <c r="AM11" s="1072"/>
      <c r="AN11" s="1072"/>
      <c r="AO11" s="1072"/>
      <c r="AP11" s="1072"/>
      <c r="AQ11" s="1072"/>
      <c r="AR11" s="1072"/>
      <c r="AS11" s="1072"/>
      <c r="AT11" s="1072"/>
      <c r="AU11" s="1072"/>
      <c r="AV11" s="1072"/>
      <c r="AW11" s="1072"/>
      <c r="AX11" s="1072"/>
      <c r="AY11" s="1072"/>
      <c r="AZ11" s="1072"/>
      <c r="BA11" s="1072"/>
      <c r="BB11" s="1072"/>
      <c r="BC11" s="1072"/>
      <c r="BD11" s="1072"/>
      <c r="BE11" s="1072"/>
      <c r="BF11" s="1072"/>
      <c r="BG11" s="1072"/>
      <c r="BH11" s="1072"/>
      <c r="BI11" s="1072"/>
      <c r="BJ11" s="1072"/>
      <c r="BK11" s="1072"/>
      <c r="BL11" s="1072"/>
      <c r="BM11" s="1072"/>
      <c r="BN11" s="1072" cm="1" t="str">
        <f t="array" ref="BN11:BN11">BN24</f>
        <v>Указание на подтверждающие документы / URL-ссылка на копии подтверждающих документов</v>
      </c>
      <c r="BO11" s="1072" cm="1" t="str">
        <f t="array" ref="BO11:BO11">BO24</f>
        <v>Ссылка на правовую норму (основание для принятия показателя в расчет тарифа)</v>
      </c>
      <c r="BP11" s="1072" cm="1" t="str">
        <f t="array" ref="BP11: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V11" s="709"/>
      <c r="BW11" s="709"/>
    </row>
    <row s="1072" customFormat="1" customHeight="1" ht="11.25" hidden="1">
      <c r="A12" s="1070" t="s">
        <v>350</v>
      </c>
      <c r="B12" s="1068"/>
      <c r="C12" s="1068"/>
      <c r="D12" s="1068"/>
      <c r="E12" s="1068"/>
      <c r="F12" s="1068"/>
      <c r="G12" s="1068"/>
      <c r="H12" s="1068"/>
      <c r="I12" s="1068"/>
      <c r="J12" s="1068"/>
      <c r="K12" s="1068"/>
      <c r="L12" s="1068"/>
      <c r="M12" s="1068"/>
      <c r="N12" s="1068"/>
      <c r="O12" s="1068"/>
      <c r="P12" s="1068"/>
      <c r="Q12" s="1068"/>
      <c r="R12" s="1068"/>
      <c r="S12" s="1068"/>
      <c r="T12" s="1068"/>
      <c r="U12" s="1068"/>
      <c r="V12" s="1068"/>
      <c r="W12" s="1068"/>
      <c r="X12" s="1068"/>
      <c r="Y12" s="1068"/>
      <c r="Z12" s="1068"/>
      <c r="AA12" s="1068"/>
      <c r="AB12" s="1068"/>
      <c r="AC12" s="1070" t="s">
        <v>338</v>
      </c>
      <c r="AD12" s="1068"/>
      <c r="AE12" s="1069"/>
      <c r="AJ12" s="1072"/>
      <c r="AK12" s="1072"/>
      <c r="AL12" s="1072"/>
      <c r="AM12" s="1072"/>
      <c r="AN12" s="1072"/>
      <c r="AO12" s="1072"/>
      <c r="AP12" s="1072"/>
      <c r="AQ12" s="1072"/>
      <c r="AR12" s="1072"/>
      <c r="AS12" s="1072"/>
      <c r="AT12" s="1072"/>
      <c r="AU12" s="1072"/>
      <c r="AV12" s="1072"/>
      <c r="AW12" s="1072"/>
      <c r="AX12" s="1072"/>
      <c r="AY12" s="1072"/>
      <c r="AZ12" s="1072"/>
      <c r="BA12" s="1072"/>
      <c r="BB12" s="1072"/>
      <c r="BC12" s="1072"/>
      <c r="BD12" s="1072"/>
      <c r="BE12" s="1072"/>
      <c r="BF12" s="1072"/>
      <c r="BG12" s="1072"/>
      <c r="BH12" s="1072"/>
      <c r="BI12" s="1072"/>
      <c r="BJ12" s="1072"/>
      <c r="BK12" s="1072"/>
      <c r="BL12" s="1072"/>
      <c r="BM12" s="1072"/>
      <c r="BV12" s="709"/>
      <c r="BW12" s="709"/>
    </row>
    <row customHeight="1" ht="11.25" hidden="1">
      <c r="A13" s="154" t="s">
        <v>1966</v>
      </c>
      <c r="AJ13" s="1297"/>
      <c r="AK13" s="1297"/>
      <c r="AL13" s="1297"/>
      <c r="AM13" s="1297"/>
      <c r="AN13" s="1297"/>
      <c r="AO13" s="1297"/>
      <c r="AP13" s="1297"/>
      <c r="AQ13" s="1297"/>
      <c r="AR13" s="1297"/>
      <c r="AS13" s="1297"/>
      <c r="AT13" s="1297"/>
      <c r="AU13" s="1297"/>
      <c r="AV13" s="1297"/>
      <c r="AW13" s="1297"/>
      <c r="AX13" s="1297"/>
      <c r="AY13" s="1297"/>
      <c r="AZ13" s="1297"/>
      <c r="BA13" s="1297"/>
      <c r="BB13" s="1297"/>
      <c r="BC13" s="1297"/>
      <c r="BD13" s="1297"/>
      <c r="BE13" s="1297"/>
      <c r="BF13" s="1297"/>
      <c r="BG13" s="1297"/>
      <c r="BH13" s="1297"/>
      <c r="BI13" s="1297"/>
      <c r="BJ13" s="1297"/>
      <c r="BK13" s="1297"/>
      <c r="BL13" s="1297"/>
      <c r="BM13" s="1297"/>
      <c r="BN13" s="154" cm="1" t="str">
        <f t="array" ref="BN13:BN13">BN24</f>
        <v>Указание на подтверждающие документы / URL-ссылка на копии подтверждающих документов</v>
      </c>
      <c r="BO13" s="154" cm="1" t="str">
        <f t="array" ref="BO13:BO13">BO24</f>
        <v>Ссылка на правовую норму (основание для принятия показателя в расчет тарифа)</v>
      </c>
      <c r="BP13" s="154" cm="1" t="str">
        <f t="array" ref="BP13:BP13">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row>
    <row customHeight="1" ht="11.25" hidden="1">
      <c r="AJ14" s="94"/>
      <c r="AK14" s="94"/>
      <c r="AL14" s="94"/>
      <c r="AM14" s="94"/>
      <c r="AN14" s="94"/>
      <c r="AO14" s="94"/>
      <c r="AP14" s="94"/>
      <c r="AQ14" s="94"/>
      <c r="AR14" s="94"/>
      <c r="AS14" s="94"/>
      <c r="AT14" s="94"/>
      <c r="AU14" s="94"/>
      <c r="AV14" s="94"/>
      <c r="AW14" s="94"/>
      <c r="AX14" s="94"/>
      <c r="AY14" s="94"/>
      <c r="AZ14" s="94"/>
      <c r="BA14" s="94"/>
      <c r="BB14" s="94"/>
      <c r="BC14" s="94"/>
      <c r="BD14" s="94"/>
      <c r="BE14" s="94"/>
      <c r="BF14" s="94"/>
      <c r="BG14" s="94"/>
      <c r="BH14" s="94"/>
      <c r="BI14" s="94"/>
      <c r="BJ14" s="94"/>
      <c r="BK14" s="94"/>
      <c r="BL14" s="94"/>
      <c r="BM14" s="94"/>
    </row>
    <row customHeight="1" ht="11.25" hidden="1">
      <c r="AJ15" s="94"/>
      <c r="AK15" s="94"/>
      <c r="AL15" s="94"/>
      <c r="AM15" s="94"/>
      <c r="AN15" s="94"/>
      <c r="AO15" s="94"/>
      <c r="AP15" s="94"/>
      <c r="AQ15" s="94"/>
      <c r="AR15" s="94"/>
      <c r="AS15" s="94"/>
      <c r="AT15" s="94"/>
      <c r="AU15" s="94"/>
      <c r="AV15" s="94"/>
      <c r="AW15" s="94"/>
      <c r="AX15" s="94"/>
      <c r="AY15" s="94"/>
      <c r="AZ15" s="94"/>
      <c r="BA15" s="94"/>
      <c r="BB15" s="94"/>
      <c r="BC15" s="94"/>
      <c r="BD15" s="94"/>
      <c r="BE15" s="94"/>
      <c r="BF15" s="94"/>
      <c r="BG15" s="94"/>
      <c r="BH15" s="94"/>
      <c r="BI15" s="94"/>
      <c r="BJ15" s="94"/>
      <c r="BK15" s="94"/>
      <c r="BL15" s="94"/>
      <c r="BM15" s="94"/>
    </row>
    <row customHeight="1" ht="11.25" hidden="1">
      <c r="AJ16" s="94"/>
      <c r="AK16" s="94"/>
      <c r="AL16" s="94"/>
      <c r="AM16" s="94"/>
      <c r="AN16" s="94"/>
      <c r="AO16" s="94"/>
      <c r="AP16" s="94"/>
      <c r="AQ16" s="94"/>
      <c r="AR16" s="94"/>
      <c r="AS16" s="94"/>
      <c r="AT16" s="94"/>
      <c r="AU16" s="94"/>
      <c r="AV16" s="94"/>
      <c r="AW16" s="94"/>
      <c r="AX16" s="94"/>
      <c r="AY16" s="94"/>
      <c r="AZ16" s="94"/>
      <c r="BA16" s="94"/>
      <c r="BB16" s="94"/>
      <c r="BC16" s="94"/>
      <c r="BD16" s="94"/>
      <c r="BE16" s="94"/>
      <c r="BF16" s="94"/>
      <c r="BG16" s="94"/>
      <c r="BH16" s="94"/>
      <c r="BI16" s="94"/>
      <c r="BJ16" s="94"/>
      <c r="BK16" s="94"/>
      <c r="BL16" s="94"/>
      <c r="BM16" s="94"/>
    </row>
    <row customHeight="1" ht="11.25" hidden="1">
      <c r="AJ17" s="1297"/>
      <c r="AK17" s="1297"/>
      <c r="AL17" s="1297"/>
      <c r="AM17" s="1297"/>
      <c r="AN17" s="1297"/>
      <c r="AO17" s="1297"/>
      <c r="AP17" s="1297"/>
      <c r="AQ17" s="1297"/>
      <c r="AR17" s="1297"/>
      <c r="AS17" s="1297"/>
      <c r="AT17" s="1297"/>
      <c r="AU17" s="1297"/>
      <c r="AV17" s="1297"/>
      <c r="AW17" s="1297"/>
      <c r="AX17" s="1297"/>
      <c r="AY17" s="1297"/>
      <c r="AZ17" s="1297"/>
      <c r="BA17" s="1297"/>
      <c r="BB17" s="1297"/>
      <c r="BC17" s="1297"/>
      <c r="BD17" s="1297"/>
      <c r="BE17" s="1297"/>
      <c r="BF17" s="1297"/>
      <c r="BG17" s="1297"/>
      <c r="BH17" s="1297"/>
      <c r="BI17" s="1297"/>
      <c r="BJ17" s="1297"/>
      <c r="BK17" s="1297"/>
      <c r="BL17" s="1297"/>
      <c r="BM17" s="1297"/>
    </row>
    <row customHeight="1" ht="11.25" hidden="1">
      <c r="A18" s="154" t="s">
        <v>379</v>
      </c>
      <c r="AC18" s="153" t="s">
        <v>380</v>
      </c>
      <c r="AJ18" s="1297"/>
      <c r="AK18" s="1297"/>
      <c r="AL18" s="1297"/>
      <c r="AM18" s="1297"/>
      <c r="AN18" s="1297"/>
      <c r="AO18" s="1297"/>
      <c r="AP18" s="1297"/>
      <c r="AQ18" s="1297"/>
      <c r="AR18" s="1297"/>
      <c r="AS18" s="1297"/>
      <c r="AT18" s="1297"/>
      <c r="AU18" s="1297"/>
      <c r="AV18" s="1297"/>
      <c r="AW18" s="1297"/>
      <c r="AX18" s="1297"/>
      <c r="AY18" s="1297"/>
      <c r="AZ18" s="1297"/>
      <c r="BA18" s="1297"/>
      <c r="BB18" s="1297"/>
      <c r="BC18" s="1297"/>
      <c r="BD18" s="1297"/>
      <c r="BE18" s="1297"/>
      <c r="BF18" s="1297"/>
      <c r="BG18" s="1297"/>
      <c r="BH18" s="1297"/>
      <c r="BI18" s="1297"/>
      <c r="BJ18" s="1297"/>
      <c r="BK18" s="1297"/>
      <c r="BL18" s="1297"/>
      <c r="BM18" s="1297"/>
    </row>
    <row customHeight="1" ht="11.25" hidden="1">
      <c r="AJ19" s="1297"/>
      <c r="AK19" s="1297"/>
      <c r="AL19" s="1297"/>
      <c r="AM19" s="1297"/>
      <c r="AN19" s="1297"/>
      <c r="AO19" s="1297"/>
      <c r="AP19" s="1297"/>
      <c r="AQ19" s="1297"/>
      <c r="AR19" s="1297"/>
      <c r="AS19" s="1297"/>
      <c r="AT19" s="1297"/>
      <c r="AU19" s="1297"/>
      <c r="AV19" s="1297"/>
      <c r="AW19" s="1297"/>
      <c r="AX19" s="1297"/>
      <c r="AY19" s="1297"/>
      <c r="AZ19" s="1297"/>
      <c r="BA19" s="1297"/>
      <c r="BB19" s="1297"/>
      <c r="BC19" s="1297"/>
      <c r="BD19" s="1297"/>
      <c r="BE19" s="1297"/>
      <c r="BF19" s="1297"/>
      <c r="BG19" s="1297"/>
      <c r="BH19" s="1297"/>
      <c r="BI19" s="1297"/>
      <c r="BJ19" s="1297"/>
      <c r="BK19" s="1297"/>
      <c r="BL19" s="1297"/>
      <c r="BM19" s="1297"/>
    </row>
    <row customHeight="1" ht="11.25" hidden="1">
      <c r="AJ20" s="1297"/>
      <c r="AK20" s="1297"/>
      <c r="AL20" s="1297"/>
      <c r="AM20" s="1297"/>
      <c r="AN20" s="1297"/>
      <c r="AO20" s="1297"/>
      <c r="AP20" s="1297"/>
      <c r="AQ20" s="1297"/>
      <c r="AR20" s="1297"/>
      <c r="AS20" s="1297"/>
      <c r="AT20" s="1297"/>
      <c r="AU20" s="1297"/>
      <c r="AV20" s="1297"/>
      <c r="AW20" s="1297"/>
      <c r="AX20" s="1297"/>
      <c r="AY20" s="1297"/>
      <c r="AZ20" s="1297"/>
      <c r="BA20" s="1297"/>
      <c r="BB20" s="1297"/>
      <c r="BC20" s="1297"/>
      <c r="BD20" s="1297"/>
      <c r="BE20" s="1297"/>
      <c r="BF20" s="1297"/>
      <c r="BG20" s="1297"/>
      <c r="BH20" s="1297"/>
      <c r="BI20" s="1297"/>
      <c r="BJ20" s="1297"/>
      <c r="BK20" s="1297"/>
      <c r="BL20" s="1297"/>
      <c r="BM20" s="1297"/>
    </row>
    <row customHeight="1" ht="14.625">
      <c r="E21" s="709">
        <v>15</v>
      </c>
      <c r="AA21" s="427"/>
      <c r="AB21" s="154"/>
      <c r="AC21" s="50" cm="1" t="str">
        <f t="array" ref="AC21:AC21">tpl_title</f>
        <v>Кемеровская область / 2026 / ОАО «СКЭК» (ИНН:4205153492, КПП:420501001) / ДПР: 2024-2028</v>
      </c>
      <c r="AD21" s="154"/>
      <c r="AJ21" s="1297"/>
      <c r="AK21" s="1297"/>
      <c r="AL21" s="1297"/>
      <c r="AM21" s="1297"/>
      <c r="AN21" s="1297"/>
      <c r="AO21" s="1297"/>
      <c r="AP21" s="1297"/>
      <c r="AQ21" s="1297"/>
      <c r="AR21" s="1297"/>
      <c r="AS21" s="1297"/>
      <c r="AT21" s="1297"/>
      <c r="AU21" s="1297"/>
      <c r="AV21" s="1297"/>
      <c r="AW21" s="1297"/>
      <c r="AX21" s="1297"/>
      <c r="AY21" s="1297"/>
      <c r="AZ21" s="1297"/>
      <c r="BA21" s="1297"/>
      <c r="BB21" s="1297"/>
      <c r="BC21" s="1297"/>
      <c r="BD21" s="1297"/>
      <c r="BE21" s="1297"/>
      <c r="BF21" s="1297"/>
      <c r="BG21" s="1297"/>
      <c r="BH21" s="1297"/>
      <c r="BI21" s="1297"/>
      <c r="BJ21" s="1297"/>
      <c r="BK21" s="1297"/>
      <c r="BL21" s="1297"/>
      <c r="BM21" s="1297"/>
    </row>
    <row s="1319" customFormat="1" customHeight="1" ht="19.5">
      <c r="B22" s="434"/>
      <c r="E22" s="626">
        <v>20</v>
      </c>
      <c r="AB22" s="316" t="s">
        <v>80</v>
      </c>
      <c r="AC22" s="247"/>
      <c r="AD22" s="247"/>
      <c r="AE22" s="247"/>
      <c r="AF22" s="247"/>
      <c r="AG22" s="247"/>
      <c r="AH22" s="247"/>
      <c r="AI22" s="247"/>
      <c r="AJ22" s="247"/>
      <c r="AK22" s="247"/>
      <c r="AL22" s="247"/>
      <c r="AM22" s="247"/>
      <c r="AN22" s="247"/>
      <c r="AO22" s="247"/>
      <c r="AP22" s="247"/>
      <c r="AQ22" s="247"/>
      <c r="AR22" s="247"/>
      <c r="AS22" s="247"/>
      <c r="AT22" s="247"/>
      <c r="AU22" s="247"/>
      <c r="AV22" s="247"/>
      <c r="AW22" s="247"/>
      <c r="AX22" s="247"/>
      <c r="AY22" s="247"/>
      <c r="AZ22" s="247"/>
      <c r="BA22" s="247"/>
      <c r="BB22" s="247"/>
      <c r="BC22" s="247"/>
      <c r="BD22" s="247"/>
      <c r="BE22" s="247"/>
      <c r="BF22" s="247"/>
      <c r="BG22" s="247"/>
      <c r="BH22" s="247"/>
      <c r="BI22" s="247"/>
      <c r="BJ22" s="247"/>
      <c r="BK22" s="247"/>
      <c r="BL22" s="247"/>
      <c r="BM22" s="247"/>
      <c r="BN22" s="247"/>
      <c r="BO22" s="247"/>
      <c r="BP22" s="247"/>
      <c r="BS22" s="1074"/>
      <c r="BT22" s="1074"/>
      <c r="BU22" s="1074"/>
      <c r="BV22" s="626"/>
      <c r="BW22" s="626"/>
    </row>
    <row s="1319" customFormat="1" customHeight="1" ht="10.2375">
      <c r="B23" s="434"/>
      <c r="E23" s="626">
        <v>10.5</v>
      </c>
      <c r="AB23" s="155"/>
      <c r="AC23" s="155"/>
      <c r="AD23" s="155"/>
      <c r="AE23" s="155"/>
      <c r="AF23" s="155"/>
      <c r="AG23" s="155"/>
      <c r="AH23" s="155"/>
      <c r="AI23" s="155"/>
      <c r="AJ23" s="155"/>
      <c r="AK23" s="155"/>
      <c r="AL23" s="155"/>
      <c r="AM23" s="155"/>
      <c r="AN23" s="155"/>
      <c r="AO23" s="155"/>
      <c r="AP23" s="155"/>
      <c r="AQ23" s="155"/>
      <c r="AR23" s="155"/>
      <c r="AS23" s="155"/>
      <c r="AT23" s="155"/>
      <c r="AU23" s="155"/>
      <c r="AV23" s="155"/>
      <c r="AW23" s="155"/>
      <c r="AX23" s="155"/>
      <c r="AY23" s="155"/>
      <c r="AZ23" s="155"/>
      <c r="BA23" s="155"/>
      <c r="BB23" s="155"/>
      <c r="BC23" s="155"/>
      <c r="BD23" s="155"/>
      <c r="BE23" s="155"/>
      <c r="BF23" s="155"/>
      <c r="BG23" s="155"/>
      <c r="BH23" s="155"/>
      <c r="BI23" s="155"/>
      <c r="BJ23" s="155"/>
      <c r="BK23" s="155"/>
      <c r="BL23" s="155"/>
      <c r="BM23" s="155"/>
      <c r="BN23" s="155"/>
      <c r="BO23" s="155"/>
      <c r="BP23" s="155"/>
      <c r="BS23" s="1074"/>
      <c r="BT23" s="1074"/>
      <c r="BU23" s="1074"/>
      <c r="BV23" s="626"/>
      <c r="BW23" s="626"/>
    </row>
    <row s="989" customFormat="1" customHeight="1" ht="24.131250000000005">
      <c r="B24" s="435"/>
      <c r="E24" s="710">
        <v>24.75</v>
      </c>
      <c r="AB24" s="1556" t="s">
        <v>22</v>
      </c>
      <c r="AC24" s="1556" t="s">
        <v>380</v>
      </c>
      <c r="AD24" s="1556" t="s">
        <v>381</v>
      </c>
      <c r="AE24" s="87" t="str">
        <f>god-2&amp;" год"</f>
        <v>2024 год</v>
      </c>
      <c r="AF24" s="1129" t="str">
        <f>god-2&amp;" год"</f>
        <v>2024 год</v>
      </c>
      <c r="AG24" s="87" t="str">
        <f>god-2&amp;" год"</f>
        <v>2024 год</v>
      </c>
      <c r="AH24" s="87" t="str">
        <f>god-2&amp;" год"</f>
        <v>2024 год</v>
      </c>
      <c r="AI24" s="87" t="str">
        <f>god-1&amp;" год"</f>
        <v>2025 год</v>
      </c>
      <c r="AJ24" s="1127" t="str">
        <f>god&amp;" год"</f>
        <v>2026 год</v>
      </c>
      <c r="AK24" s="1127" t="str">
        <f>god+1&amp;" год"</f>
        <v>2027 год</v>
      </c>
      <c r="AL24" s="1127" t="str">
        <f>god+2&amp;" год"</f>
        <v>2028 год</v>
      </c>
      <c r="AM24" s="1127" t="str">
        <f>god+3&amp;" год"</f>
        <v>2029 год</v>
      </c>
      <c r="AN24" s="1127" t="str">
        <f>god+4&amp;" год"</f>
        <v>2030 год</v>
      </c>
      <c r="AO24" s="1127" t="str">
        <f>god+5&amp;" год"</f>
        <v>2031 год</v>
      </c>
      <c r="AP24" s="1127" t="str">
        <f>god+6&amp;" год"</f>
        <v>2032 год</v>
      </c>
      <c r="AQ24" s="1127" t="str">
        <f>god+7&amp;" год"</f>
        <v>2033 год</v>
      </c>
      <c r="AR24" s="1127" t="str">
        <f>god+8&amp;" год"</f>
        <v>2034 год</v>
      </c>
      <c r="AS24" s="1127" t="str">
        <f>god+9&amp;" год"</f>
        <v>2035 год</v>
      </c>
      <c r="AT24" s="88" t="str">
        <f>god&amp;" год"</f>
        <v>2026 год</v>
      </c>
      <c r="AU24" s="88" t="str">
        <f>god+1&amp;" год"</f>
        <v>2027 год</v>
      </c>
      <c r="AV24" s="88" t="str">
        <f>god+2&amp;" год"</f>
        <v>2028 год</v>
      </c>
      <c r="AW24" s="88" t="str">
        <f>god+3&amp;" год"</f>
        <v>2029 год</v>
      </c>
      <c r="AX24" s="88" t="str">
        <f>god+4&amp;" год"</f>
        <v>2030 год</v>
      </c>
      <c r="AY24" s="88" t="str">
        <f>god+5&amp;" год"</f>
        <v>2031 год</v>
      </c>
      <c r="AZ24" s="88" t="str">
        <f>god+6&amp;" год"</f>
        <v>2032 год</v>
      </c>
      <c r="BA24" s="88" t="str">
        <f>god+7&amp;" год"</f>
        <v>2033 год</v>
      </c>
      <c r="BB24" s="88" t="str">
        <f>god+8&amp;" год"</f>
        <v>2034 год</v>
      </c>
      <c r="BC24" s="88" t="str">
        <f>god+9&amp;" год"</f>
        <v>2035 год</v>
      </c>
      <c r="BD24" s="88" t="str">
        <f>god&amp;" год"</f>
        <v>2026 год</v>
      </c>
      <c r="BE24" s="88" t="str">
        <f>god+1&amp;" год"</f>
        <v>2027 год</v>
      </c>
      <c r="BF24" s="88" t="str">
        <f>god+2&amp;" год"</f>
        <v>2028 год</v>
      </c>
      <c r="BG24" s="88" t="str">
        <f>god+3&amp;" год"</f>
        <v>2029 год</v>
      </c>
      <c r="BH24" s="88" t="str">
        <f>god+4&amp;" год"</f>
        <v>2030 год</v>
      </c>
      <c r="BI24" s="88" t="str">
        <f>god+5&amp;" год"</f>
        <v>2031 год</v>
      </c>
      <c r="BJ24" s="88" t="str">
        <f>god+6&amp;" год"</f>
        <v>2032 год</v>
      </c>
      <c r="BK24" s="88" t="str">
        <f>god+7&amp;" год"</f>
        <v>2033 год</v>
      </c>
      <c r="BL24" s="88" t="str">
        <f>god+8&amp;" год"</f>
        <v>2034 год</v>
      </c>
      <c r="BM24" s="88" t="str">
        <f>god+9&amp;" год"</f>
        <v>2035 год</v>
      </c>
      <c r="BN24" s="1564" t="s">
        <v>1969</v>
      </c>
      <c r="BO24" s="1564" t="s">
        <v>652</v>
      </c>
      <c r="BP24" s="1564" t="s">
        <v>1970</v>
      </c>
      <c r="BS24" s="1075"/>
      <c r="BT24" s="1075"/>
      <c r="BU24" s="1075"/>
      <c r="BV24" s="710"/>
      <c r="BW24" s="710"/>
    </row>
    <row s="989" customFormat="1" customHeight="1" ht="48.993750000000006">
      <c r="B25" s="435"/>
      <c r="E25" s="710">
        <v>50.25</v>
      </c>
      <c r="AB25" s="1556"/>
      <c r="AC25" s="1556"/>
      <c r="AD25" s="1556"/>
      <c r="AE25" s="87" t="s">
        <v>373</v>
      </c>
      <c r="AF25" s="1129" t="s">
        <v>555</v>
      </c>
      <c r="AG25" s="87" t="s">
        <v>556</v>
      </c>
      <c r="AH25" s="87" t="s">
        <v>1971</v>
      </c>
      <c r="AI25" s="87" t="s">
        <v>373</v>
      </c>
      <c r="AJ25" s="1131" t="s">
        <v>374</v>
      </c>
      <c r="AK25" s="1131" t="s">
        <v>374</v>
      </c>
      <c r="AL25" s="1131" t="s">
        <v>374</v>
      </c>
      <c r="AM25" s="1131" t="s">
        <v>374</v>
      </c>
      <c r="AN25" s="1131" t="s">
        <v>374</v>
      </c>
      <c r="AO25" s="1131" t="s">
        <v>374</v>
      </c>
      <c r="AP25" s="1131" t="s">
        <v>374</v>
      </c>
      <c r="AQ25" s="1131" t="s">
        <v>374</v>
      </c>
      <c r="AR25" s="1131" t="s">
        <v>374</v>
      </c>
      <c r="AS25" s="1131" t="s">
        <v>374</v>
      </c>
      <c r="AT25" s="356" t="s">
        <v>373</v>
      </c>
      <c r="AU25" s="356" t="s">
        <v>373</v>
      </c>
      <c r="AV25" s="356" t="s">
        <v>373</v>
      </c>
      <c r="AW25" s="356" t="s">
        <v>373</v>
      </c>
      <c r="AX25" s="356" t="s">
        <v>373</v>
      </c>
      <c r="AY25" s="356" t="s">
        <v>373</v>
      </c>
      <c r="AZ25" s="356" t="s">
        <v>373</v>
      </c>
      <c r="BA25" s="356" t="s">
        <v>373</v>
      </c>
      <c r="BB25" s="356" t="s">
        <v>373</v>
      </c>
      <c r="BC25" s="356" t="s">
        <v>373</v>
      </c>
      <c r="BD25" s="1564" t="s">
        <v>1968</v>
      </c>
      <c r="BE25" s="1564"/>
      <c r="BF25" s="1564"/>
      <c r="BG25" s="1564"/>
      <c r="BH25" s="1564"/>
      <c r="BI25" s="1564"/>
      <c r="BJ25" s="1564"/>
      <c r="BK25" s="1564"/>
      <c r="BL25" s="1564"/>
      <c r="BM25" s="1564"/>
      <c r="BN25" s="1564"/>
      <c r="BO25" s="1564"/>
      <c r="BP25" s="1564"/>
      <c r="BS25" s="1075"/>
      <c r="BT25" s="1075"/>
      <c r="BU25" s="1075"/>
      <c r="BV25" s="710"/>
      <c r="BW25" s="710"/>
    </row>
    <row s="1656" customFormat="1" customHeight="1" ht="11.25">
      <c r="B26" s="432"/>
      <c r="E26" s="677" t="s">
        <v>384</v>
      </c>
      <c r="F26" s="168" t="s">
        <v>2173</v>
      </c>
      <c r="R26" s="0"/>
      <c r="S26" s="752" t="s">
        <v>385</v>
      </c>
      <c r="T26" s="0"/>
      <c r="AC26" s="96"/>
      <c r="AD26" s="96"/>
      <c r="AE26" s="96"/>
      <c r="AF26" s="96"/>
      <c r="AJ26" s="1656"/>
      <c r="AK26" s="1656"/>
      <c r="AL26" s="1656"/>
      <c r="AM26" s="1656"/>
      <c r="AN26" s="1656"/>
      <c r="AO26" s="1656"/>
      <c r="AP26" s="1656"/>
      <c r="AQ26" s="97"/>
      <c r="AR26" s="1656"/>
      <c r="AS26" s="1656"/>
      <c r="AT26" s="1656"/>
      <c r="AU26" s="1656"/>
      <c r="AV26" s="1656"/>
      <c r="AW26" s="1656"/>
      <c r="AX26" s="1656"/>
      <c r="AY26" s="1656"/>
      <c r="AZ26" s="1656"/>
      <c r="BA26" s="1656"/>
      <c r="BB26" s="1656"/>
      <c r="BC26" s="1656"/>
      <c r="BD26" s="1656"/>
      <c r="BE26" s="1656"/>
      <c r="BF26" s="1656"/>
      <c r="BG26" s="1656"/>
      <c r="BH26" s="1656"/>
      <c r="BI26" s="1656"/>
      <c r="BJ26" s="1656"/>
      <c r="BK26" s="1656"/>
      <c r="BL26" s="1656"/>
      <c r="BM26" s="1656"/>
      <c r="BS26" s="1012"/>
      <c r="BT26" s="1012"/>
      <c r="BU26" s="1012"/>
      <c r="BV26" s="629"/>
      <c r="BW26" s="629"/>
    </row>
    <row s="1331" customFormat="1" customHeight="1" ht="14.625" hidden="1">
      <c r="A27" s="1331"/>
      <c r="B27" s="430"/>
      <c r="C27" s="1331"/>
      <c r="D27" s="1331"/>
      <c r="E27" s="623">
        <v>15</v>
      </c>
      <c r="F27" s="94" cm="1" t="str">
        <f t="array" ref="F27:F27">X27</f>
        <v>0</v>
      </c>
      <c r="G27" s="94" cm="1" t="str">
        <f t="array" ref="G27:G27">INDEX('Общие сведения'!$AK$197:$AK$254,MATCH($X27,'Общие сведения'!$Z$197:$Z$254,0))</f>
        <v>0</v>
      </c>
      <c r="H27" s="1331"/>
      <c r="I27" s="94"/>
      <c r="J27" s="1331"/>
      <c r="K27" s="1331"/>
      <c r="L27" s="990"/>
      <c r="M27" s="428"/>
      <c r="N27" s="1331"/>
      <c r="O27" s="1331"/>
      <c r="P27" s="1331"/>
      <c r="Q27" s="1331"/>
      <c r="R27" s="1331"/>
      <c r="S27" s="118" cm="1" t="str">
        <f t="array" ref="S27:S27">INDEX('Общие сведения'!$AE$197:$AE$254,MATCH($X27,'Общие сведения'!$Z$197:$Z$254,0))</f>
        <v>0</v>
      </c>
      <c r="T27" s="468">
        <f>X27&gt;0</f>
        <v>0</v>
      </c>
      <c r="U27" s="1331"/>
      <c r="V27" s="118" t="s">
        <v>279</v>
      </c>
      <c r="W27" s="1331"/>
      <c r="X27" s="1539">
        <v>0</v>
      </c>
      <c r="Y27" s="1331"/>
      <c r="Z27" s="1529"/>
      <c r="AA27" s="1331"/>
      <c r="AB27" s="377" cm="1" t="str">
        <f t="array" ref="AB27:AB27">INDEX('Общие сведения'!$AG$197:$AG$254,MATCH($X27,'Общие сведения'!$Z$197:$Z$254,0))</f>
        <v>Тариф 0 () - </v>
      </c>
      <c r="AC27" s="248"/>
      <c r="AD27" s="248"/>
      <c r="AE27" s="248"/>
      <c r="AF27" s="248"/>
      <c r="AG27" s="248"/>
      <c r="AH27" s="248"/>
      <c r="AI27" s="248"/>
      <c r="AJ27" s="248"/>
      <c r="AK27" s="248"/>
      <c r="AL27" s="248"/>
      <c r="AM27" s="248"/>
      <c r="AN27" s="248"/>
      <c r="AO27" s="248"/>
      <c r="AP27" s="248"/>
      <c r="AQ27" s="248"/>
      <c r="AR27" s="248"/>
      <c r="AS27" s="248"/>
      <c r="AT27" s="248"/>
      <c r="AU27" s="248"/>
      <c r="AV27" s="248"/>
      <c r="AW27" s="248"/>
      <c r="AX27" s="248"/>
      <c r="AY27" s="248"/>
      <c r="AZ27" s="248"/>
      <c r="BA27" s="248"/>
      <c r="BB27" s="248"/>
      <c r="BC27" s="248"/>
      <c r="BD27" s="248"/>
      <c r="BE27" s="248"/>
      <c r="BF27" s="248"/>
      <c r="BG27" s="248"/>
      <c r="BH27" s="248"/>
      <c r="BI27" s="248"/>
      <c r="BJ27" s="248"/>
      <c r="BK27" s="248"/>
      <c r="BL27" s="248"/>
      <c r="BM27" s="248"/>
      <c r="BN27" s="248"/>
      <c r="BO27" s="248"/>
      <c r="BP27" s="248"/>
      <c r="BQ27" s="1331"/>
      <c r="BR27" s="1331"/>
      <c r="BS27" s="1005"/>
      <c r="BT27" s="1005"/>
      <c r="BU27" s="1005"/>
      <c r="BV27" s="623"/>
      <c r="BW27" s="623"/>
    </row>
    <row s="157" customFormat="1" customHeight="1" ht="20.475" hidden="1">
      <c r="A28" s="157"/>
      <c r="B28" s="436"/>
      <c r="C28" s="157"/>
      <c r="D28" s="157"/>
      <c r="E28" s="711">
        <v>21</v>
      </c>
      <c r="F28" s="50" cm="1" t="str">
        <f t="array" ref="F28:F28">OFFSET(E28,-1,1)</f>
        <v>0</v>
      </c>
      <c r="G28" s="157"/>
      <c r="H28" s="373"/>
      <c r="I28" s="373" t="s">
        <v>344</v>
      </c>
      <c r="J28" s="157"/>
      <c r="K28" s="373" t="s">
        <v>344</v>
      </c>
      <c r="L28" s="991"/>
      <c r="M28" s="862"/>
      <c r="N28" s="157"/>
      <c r="O28" s="157"/>
      <c r="P28" s="157"/>
      <c r="Q28" s="157"/>
      <c r="R28" s="157" t="s">
        <v>2470</v>
      </c>
      <c r="S28" s="157"/>
      <c r="T28" s="468" cm="1" t="str">
        <f t="array" ref="T28:T28">T27</f>
        <v>false</v>
      </c>
      <c r="U28" s="157"/>
      <c r="V28" s="157"/>
      <c r="W28" s="157"/>
      <c r="X28" s="1539"/>
      <c r="Y28" s="157"/>
      <c r="Z28" s="1529"/>
      <c r="AA28" s="157"/>
      <c r="AB28" s="243" t="s">
        <v>290</v>
      </c>
      <c r="AC28" s="208" t="s">
        <v>2174</v>
      </c>
      <c r="AD28" s="230" t="s">
        <v>936</v>
      </c>
      <c r="AE28" s="6480">
        <f>SUM(AE30,AE47,AE53,AE73,AE74,AE75)</f>
        <v>0</v>
      </c>
      <c r="AF28" s="768">
        <f>SUM(AF30,AF47,AF53,AF73,AF74,AF75)</f>
        <v>0</v>
      </c>
      <c r="AG28" s="768">
        <f>SUM(AG30,AG47,AG53,AG73,AG74,AG75)</f>
        <v>0</v>
      </c>
      <c r="AH28" s="768">
        <f>AG28-AF28</f>
        <v>0</v>
      </c>
      <c r="AI28" s="1265">
        <f>AE28*AI29</f>
        <v>0</v>
      </c>
      <c r="AJ28" s="1265">
        <f>AI28*AJ29</f>
        <v>0</v>
      </c>
      <c r="AK28" s="1265">
        <f>AJ28*AK29</f>
        <v>0</v>
      </c>
      <c r="AL28" s="1265">
        <f>AK28*AL29</f>
        <v>0</v>
      </c>
      <c r="AM28" s="1265">
        <f>AL28*AM29</f>
        <v>0</v>
      </c>
      <c r="AN28" s="1265">
        <f>AM28*AN29</f>
        <v>0</v>
      </c>
      <c r="AO28" s="1265">
        <f>AN28*AO29</f>
        <v>0</v>
      </c>
      <c r="AP28" s="1265">
        <f>AO28*AP29</f>
        <v>0</v>
      </c>
      <c r="AQ28" s="1265">
        <f>AP28*AQ29</f>
        <v>0</v>
      </c>
      <c r="AR28" s="1265">
        <f>AQ28*AR29</f>
        <v>0</v>
      </c>
      <c r="AS28" s="1265">
        <f>AR28*AS29</f>
        <v>0</v>
      </c>
      <c r="AT28" s="1265">
        <f>AI28*AT29</f>
        <v>0</v>
      </c>
      <c r="AU28" s="1265">
        <f>AT28*AU29</f>
        <v>0</v>
      </c>
      <c r="AV28" s="1265">
        <f>AU28*AV29</f>
        <v>0</v>
      </c>
      <c r="AW28" s="1265">
        <f>AV28*AW29</f>
        <v>0</v>
      </c>
      <c r="AX28" s="1265">
        <f>AW28*AX29</f>
        <v>0</v>
      </c>
      <c r="AY28" s="1265">
        <f>AX28*AY29</f>
        <v>0</v>
      </c>
      <c r="AZ28" s="1265">
        <f>AY28*AZ29</f>
        <v>0</v>
      </c>
      <c r="BA28" s="1265">
        <f>AZ28*BA29</f>
        <v>0</v>
      </c>
      <c r="BB28" s="1265">
        <f>BA28*BB29</f>
        <v>0</v>
      </c>
      <c r="BC28" s="1265">
        <f>BB28*BC29</f>
        <v>0</v>
      </c>
      <c r="BD28" s="768">
        <f>IF(AI28=0,0,(AT28-AI28)/AI28*100)</f>
        <v>0</v>
      </c>
      <c r="BE28" s="768">
        <f>IF(AT28=0,0,(AU28-AT28)/AT28*100)</f>
        <v>0</v>
      </c>
      <c r="BF28" s="768">
        <f>IF(AU28=0,0,(AV28-AU28)/AU28*100)</f>
        <v>0</v>
      </c>
      <c r="BG28" s="768">
        <f>IF(AV28=0,0,(AW28-AV28)/AV28*100)</f>
        <v>0</v>
      </c>
      <c r="BH28" s="768">
        <f>IF(AW28=0,0,(AX28-AW28)/AW28*100)</f>
        <v>0</v>
      </c>
      <c r="BI28" s="768">
        <f>IF(AX28=0,0,(AY28-AX28)/AX28*100)</f>
        <v>0</v>
      </c>
      <c r="BJ28" s="768">
        <f>IF(AY28=0,0,(AZ28-AY28)/AY28*100)</f>
        <v>0</v>
      </c>
      <c r="BK28" s="768">
        <f>IF(AZ28=0,0,(BA28-AZ28)/AZ28*100)</f>
        <v>0</v>
      </c>
      <c r="BL28" s="768">
        <f>IF(BA28=0,0,(BB28-BA28)/BA28*100)</f>
        <v>0</v>
      </c>
      <c r="BM28" s="768">
        <f>IF(BB28=0,0,(BC28-BB28)/BB28*100)</f>
        <v>0</v>
      </c>
      <c r="BN28" s="1270"/>
      <c r="BO28" s="1270"/>
      <c r="BP28" s="1270"/>
      <c r="BQ28" s="156"/>
      <c r="BR28" s="157"/>
      <c r="BS28" s="1076" t="s">
        <v>649</v>
      </c>
      <c r="BT28" s="1076"/>
      <c r="BU28" s="1076"/>
      <c r="BV28" s="711"/>
      <c r="BW28" s="711"/>
    </row>
    <row customHeight="1" ht="14.625" hidden="1">
      <c r="A29" s="1297"/>
      <c r="B29" s="986"/>
      <c r="C29" s="1297"/>
      <c r="D29" s="1297"/>
      <c r="E29" s="709">
        <v>15</v>
      </c>
      <c r="F29" s="50" cm="1" t="str">
        <f t="array" ref="F29:F29">OFFSET(E29,-1,1)</f>
        <v>0</v>
      </c>
      <c r="G29" s="1297"/>
      <c r="H29" s="374"/>
      <c r="I29" s="374" t="s">
        <v>566</v>
      </c>
      <c r="J29" s="1297"/>
      <c r="K29" s="374" t="s">
        <v>566</v>
      </c>
      <c r="L29" s="988"/>
      <c r="M29" s="103"/>
      <c r="N29" s="1297"/>
      <c r="O29" s="1297"/>
      <c r="P29" s="1297"/>
      <c r="Q29" s="1297"/>
      <c r="R29" s="157" t="s">
        <v>2470</v>
      </c>
      <c r="S29" s="1297"/>
      <c r="T29" s="468" cm="1" t="str">
        <f t="array" ref="T29:T29">T28</f>
        <v>false</v>
      </c>
      <c r="U29" s="1297"/>
      <c r="V29" s="1297"/>
      <c r="W29" s="1297"/>
      <c r="X29" s="1539"/>
      <c r="Y29" s="1297"/>
      <c r="Z29" s="1529"/>
      <c r="AA29" s="1297"/>
      <c r="AB29" s="295" t="s">
        <v>1067</v>
      </c>
      <c r="AC29" s="769" t="s">
        <v>2175</v>
      </c>
      <c r="AD29" s="296"/>
      <c r="AE29" s="1271"/>
      <c r="AF29" s="1271"/>
      <c r="AG29" s="1271"/>
      <c r="AH29" s="949">
        <f>AG29-AF29</f>
        <v>0</v>
      </c>
      <c r="AI29" s="1271">
        <f>_xlfn.SUMIFS(INDEX(Сценарии!$AE$25:$BF$136,,MATCH(AI$8,Сценарии!$AE$8:$BF$8,0)),Сценарии!$F$25:$F$136,$F29,Сценарии!$G$25:$G$136,"ИОР")</f>
        <v>1</v>
      </c>
      <c r="AJ29" s="1271">
        <f>_xlfn.SUMIFS(INDEX(Сценарии!$AE$25:$BF$136,,MATCH(AJ$8,Сценарии!$AE$8:$BF$8,0)),Сценарии!$F$25:$F$136,$F29,Сценарии!$G$25:$G$136,"ИОР")</f>
        <v>1</v>
      </c>
      <c r="AK29" s="1271">
        <f>_xlfn.SUMIFS(INDEX(Сценарии!$AE$25:$BF$136,,MATCH(AK$8,Сценарии!$AE$8:$BF$8,0)),Сценарии!$F$25:$F$136,$F29,Сценарии!$G$25:$G$136,"ИОР")</f>
        <v>1</v>
      </c>
      <c r="AL29" s="1271">
        <f>_xlfn.SUMIFS(INDEX(Сценарии!$AE$25:$BF$136,,MATCH(AL$8,Сценарии!$AE$8:$BF$8,0)),Сценарии!$F$25:$F$136,$F29,Сценарии!$G$25:$G$136,"ИОР")</f>
        <v>1</v>
      </c>
      <c r="AM29" s="1271">
        <f>_xlfn.SUMIFS(INDEX(Сценарии!$AE$25:$BF$136,,MATCH(AM$8,Сценарии!$AE$8:$BF$8,0)),Сценарии!$F$25:$F$136,$F29,Сценарии!$G$25:$G$136,"ИОР")</f>
        <v>1</v>
      </c>
      <c r="AN29" s="1271">
        <f>_xlfn.SUMIFS(INDEX(Сценарии!$AE$25:$BF$136,,MATCH(AN$8,Сценарии!$AE$8:$BF$8,0)),Сценарии!$F$25:$F$136,$F29,Сценарии!$G$25:$G$136,"ИОР")</f>
        <v>1</v>
      </c>
      <c r="AO29" s="1271">
        <f>_xlfn.SUMIFS(INDEX(Сценарии!$AE$25:$BF$136,,MATCH(AO$8,Сценарии!$AE$8:$BF$8,0)),Сценарии!$F$25:$F$136,$F29,Сценарии!$G$25:$G$136,"ИОР")</f>
        <v>1</v>
      </c>
      <c r="AP29" s="1271">
        <f>_xlfn.SUMIFS(INDEX(Сценарии!$AE$25:$BF$136,,MATCH(AP$8,Сценарии!$AE$8:$BF$8,0)),Сценарии!$F$25:$F$136,$F29,Сценарии!$G$25:$G$136,"ИОР")</f>
        <v>1</v>
      </c>
      <c r="AQ29" s="1271">
        <f>_xlfn.SUMIFS(INDEX(Сценарии!$AE$25:$BF$136,,MATCH(AQ$8,Сценарии!$AE$8:$BF$8,0)),Сценарии!$F$25:$F$136,$F29,Сценарии!$G$25:$G$136,"ИОР")</f>
        <v>1</v>
      </c>
      <c r="AR29" s="1271">
        <f>_xlfn.SUMIFS(INDEX(Сценарии!$AE$25:$BF$136,,MATCH(AR$8,Сценарии!$AE$8:$BF$8,0)),Сценарии!$F$25:$F$136,$F29,Сценарии!$G$25:$G$136,"ИОР")</f>
        <v>1</v>
      </c>
      <c r="AS29" s="1271">
        <f>_xlfn.SUMIFS(INDEX(Сценарии!$AE$25:$BF$136,,MATCH(AS$8,Сценарии!$AE$8:$BF$8,0)),Сценарии!$F$25:$F$136,$F29,Сценарии!$G$25:$G$136,"ИОР")</f>
        <v>1</v>
      </c>
      <c r="AT29" s="1271">
        <f>_xlfn.SUMIFS(INDEX(Сценарии!$AE$25:$BF$136,,MATCH(AT$8,Сценарии!$AE$8:$BF$8,0)),Сценарии!$F$25:$F$136,$F29,Сценарии!$G$25:$G$136,"ИОР")</f>
        <v>1</v>
      </c>
      <c r="AU29" s="1271">
        <f>_xlfn.SUMIFS(INDEX(Сценарии!$AE$25:$BF$136,,MATCH(AU$8,Сценарии!$AE$8:$BF$8,0)),Сценарии!$F$25:$F$136,$F29,Сценарии!$G$25:$G$136,"ИОР")</f>
        <v>1</v>
      </c>
      <c r="AV29" s="1271">
        <f>_xlfn.SUMIFS(INDEX(Сценарии!$AE$25:$BF$136,,MATCH(AV$8,Сценарии!$AE$8:$BF$8,0)),Сценарии!$F$25:$F$136,$F29,Сценарии!$G$25:$G$136,"ИОР")</f>
        <v>1</v>
      </c>
      <c r="AW29" s="1271">
        <f>_xlfn.SUMIFS(INDEX(Сценарии!$AE$25:$BF$136,,MATCH(AW$8,Сценарии!$AE$8:$BF$8,0)),Сценарии!$F$25:$F$136,$F29,Сценарии!$G$25:$G$136,"ИОР")</f>
        <v>1</v>
      </c>
      <c r="AX29" s="1271">
        <f>_xlfn.SUMIFS(INDEX(Сценарии!$AE$25:$BF$136,,MATCH(AX$8,Сценарии!$AE$8:$BF$8,0)),Сценарии!$F$25:$F$136,$F29,Сценарии!$G$25:$G$136,"ИОР")</f>
        <v>1</v>
      </c>
      <c r="AY29" s="1271">
        <f>_xlfn.SUMIFS(INDEX(Сценарии!$AE$25:$BF$136,,MATCH(AY$8,Сценарии!$AE$8:$BF$8,0)),Сценарии!$F$25:$F$136,$F29,Сценарии!$G$25:$G$136,"ИОР")</f>
        <v>1</v>
      </c>
      <c r="AZ29" s="1271">
        <f>_xlfn.SUMIFS(INDEX(Сценарии!$AE$25:$BF$136,,MATCH(AZ$8,Сценарии!$AE$8:$BF$8,0)),Сценарии!$F$25:$F$136,$F29,Сценарии!$G$25:$G$136,"ИОР")</f>
        <v>1</v>
      </c>
      <c r="BA29" s="1271">
        <f>_xlfn.SUMIFS(INDEX(Сценарии!$AE$25:$BF$136,,MATCH(BA$8,Сценарии!$AE$8:$BF$8,0)),Сценарии!$F$25:$F$136,$F29,Сценарии!$G$25:$G$136,"ИОР")</f>
        <v>1</v>
      </c>
      <c r="BB29" s="1271">
        <f>_xlfn.SUMIFS(INDEX(Сценарии!$AE$25:$BF$136,,MATCH(BB$8,Сценарии!$AE$8:$BF$8,0)),Сценарии!$F$25:$F$136,$F29,Сценарии!$G$25:$G$136,"ИОР")</f>
        <v>1</v>
      </c>
      <c r="BC29" s="1271">
        <f>_xlfn.SUMIFS(INDEX(Сценарии!$AE$25:$BF$136,,MATCH(BC$8,Сценарии!$AE$8:$BF$8,0)),Сценарии!$F$25:$F$136,$F29,Сценарии!$G$25:$G$136,"ИОР")</f>
        <v>1</v>
      </c>
      <c r="BD29" s="950"/>
      <c r="BE29" s="950"/>
      <c r="BF29" s="950"/>
      <c r="BG29" s="950"/>
      <c r="BH29" s="950"/>
      <c r="BI29" s="950"/>
      <c r="BJ29" s="950"/>
      <c r="BK29" s="950"/>
      <c r="BL29" s="950"/>
      <c r="BM29" s="950"/>
      <c r="BN29" s="1270"/>
      <c r="BO29" s="1270"/>
      <c r="BP29" s="1270"/>
      <c r="BQ29" s="1297"/>
      <c r="BR29" s="1297"/>
      <c r="BS29" s="1072" t="s">
        <v>2176</v>
      </c>
      <c r="BT29" s="1072"/>
      <c r="BU29" s="1072"/>
      <c r="BV29" s="987"/>
      <c r="BW29" s="987"/>
    </row>
    <row s="156" customFormat="1" customHeight="1" ht="20.475" hidden="1">
      <c r="A30" s="156"/>
      <c r="B30" s="436"/>
      <c r="C30" s="156"/>
      <c r="D30" s="156"/>
      <c r="E30" s="712">
        <v>21</v>
      </c>
      <c r="F30" s="50" cm="1" t="str">
        <f t="array" ref="F30:F30">OFFSET(E30,-1,1)</f>
        <v>0</v>
      </c>
      <c r="G30" s="156"/>
      <c r="H30" s="373"/>
      <c r="I30" s="373" t="s">
        <v>570</v>
      </c>
      <c r="J30" s="156"/>
      <c r="K30" s="373" t="s">
        <v>570</v>
      </c>
      <c r="L30" s="992" t="s">
        <v>344</v>
      </c>
      <c r="M30" s="865"/>
      <c r="N30" s="156"/>
      <c r="O30" s="156"/>
      <c r="P30" s="156"/>
      <c r="Q30" s="154" t="s">
        <v>2470</v>
      </c>
      <c r="R30" s="157" t="s">
        <v>2470</v>
      </c>
      <c r="S30" s="156"/>
      <c r="T30" s="468" cm="1" t="str">
        <f t="array" ref="T30:T30">T29</f>
        <v>false</v>
      </c>
      <c r="U30" s="156"/>
      <c r="V30" s="156"/>
      <c r="W30" s="156"/>
      <c r="X30" s="1539"/>
      <c r="Y30" s="156"/>
      <c r="Z30" s="1529"/>
      <c r="AA30" s="156"/>
      <c r="AB30" s="243" t="s">
        <v>1070</v>
      </c>
      <c r="AC30" s="357" t="s">
        <v>1972</v>
      </c>
      <c r="AD30" s="230" t="s">
        <v>936</v>
      </c>
      <c r="AE30" s="768">
        <f>SUM(AE31,AE34,AE35,AE38,AE39)</f>
        <v>0</v>
      </c>
      <c r="AF30" s="768">
        <f>SUM(AF31,AF34,AF35,AF38,AF39)</f>
        <v>0</v>
      </c>
      <c r="AG30" s="768">
        <f>SUM(AG31,AG34,AG35,AG38,AG39)</f>
        <v>0</v>
      </c>
      <c r="AH30" s="768">
        <f>AG30-AF30</f>
        <v>0</v>
      </c>
      <c r="AI30" s="6485">
        <f>SUM(AI31,AI34,AI35,AI38,AI39)</f>
        <v>0</v>
      </c>
      <c r="AJ30" s="1271"/>
      <c r="AK30" s="771"/>
      <c r="AL30" s="771"/>
      <c r="AM30" s="771"/>
      <c r="AN30" s="771"/>
      <c r="AO30" s="771"/>
      <c r="AP30" s="771"/>
      <c r="AQ30" s="771"/>
      <c r="AR30" s="771"/>
      <c r="AS30" s="771"/>
      <c r="AT30" s="771"/>
      <c r="AU30" s="771"/>
      <c r="AV30" s="771"/>
      <c r="AW30" s="771"/>
      <c r="AX30" s="771"/>
      <c r="AY30" s="771"/>
      <c r="AZ30" s="771"/>
      <c r="BA30" s="771"/>
      <c r="BB30" s="771"/>
      <c r="BC30" s="771"/>
      <c r="BD30" s="771"/>
      <c r="BE30" s="771"/>
      <c r="BF30" s="771"/>
      <c r="BG30" s="771"/>
      <c r="BH30" s="771"/>
      <c r="BI30" s="771"/>
      <c r="BJ30" s="771"/>
      <c r="BK30" s="771"/>
      <c r="BL30" s="771"/>
      <c r="BM30" s="771"/>
      <c r="BN30" s="1266"/>
      <c r="BO30" s="1266"/>
      <c r="BP30" s="1266"/>
      <c r="BQ30" s="156"/>
      <c r="BR30" s="156"/>
      <c r="BS30" s="1070" t="s">
        <v>621</v>
      </c>
      <c r="BT30" s="1077"/>
      <c r="BU30" s="1077"/>
      <c r="BV30" s="712"/>
      <c r="BW30" s="712"/>
    </row>
    <row customHeight="1" ht="14.625" hidden="1">
      <c r="A31" s="1297"/>
      <c r="B31" s="986"/>
      <c r="C31" s="1297"/>
      <c r="D31" s="1297"/>
      <c r="E31" s="709">
        <v>15</v>
      </c>
      <c r="F31" s="50" cm="1" t="str">
        <f t="array" ref="F31:F31">OFFSET(E31,-1,1)</f>
        <v>0</v>
      </c>
      <c r="G31" s="1297"/>
      <c r="H31" s="374"/>
      <c r="I31" s="374" t="s">
        <v>1550</v>
      </c>
      <c r="J31" s="1297"/>
      <c r="K31" s="374" t="s">
        <v>1550</v>
      </c>
      <c r="L31" s="988" t="s">
        <v>566</v>
      </c>
      <c r="M31" s="103"/>
      <c r="N31" s="1297"/>
      <c r="O31" s="1297"/>
      <c r="P31" s="1297"/>
      <c r="Q31" s="154" t="s">
        <v>2470</v>
      </c>
      <c r="R31" s="157" t="s">
        <v>2470</v>
      </c>
      <c r="S31" s="1297"/>
      <c r="T31" s="468" cm="1" t="str">
        <f t="array" ref="T31:T31">T30</f>
        <v>false</v>
      </c>
      <c r="U31" s="1297"/>
      <c r="V31" s="1297"/>
      <c r="W31" s="1297"/>
      <c r="X31" s="1539"/>
      <c r="Y31" s="1297"/>
      <c r="Z31" s="1529"/>
      <c r="AA31" s="1297"/>
      <c r="AB31" s="295" t="s">
        <v>1551</v>
      </c>
      <c r="AC31" s="772" t="s">
        <v>2177</v>
      </c>
      <c r="AD31" s="773" t="s">
        <v>936</v>
      </c>
      <c r="AE31" s="951">
        <f>SUM(AE32,AE33)</f>
        <v>0</v>
      </c>
      <c r="AF31" s="951">
        <f>SUM(AF32,AF33)</f>
        <v>0</v>
      </c>
      <c r="AG31" s="951">
        <f>SUM(AG32,AG33)</f>
        <v>0</v>
      </c>
      <c r="AH31" s="951">
        <f>AG31-AF31</f>
        <v>0</v>
      </c>
      <c r="AI31" s="6488">
        <f>SUM(AI32,AI33)</f>
        <v>0</v>
      </c>
      <c r="AJ31" s="1271"/>
      <c r="AK31" s="950"/>
      <c r="AL31" s="950"/>
      <c r="AM31" s="950"/>
      <c r="AN31" s="950"/>
      <c r="AO31" s="950"/>
      <c r="AP31" s="950"/>
      <c r="AQ31" s="950"/>
      <c r="AR31" s="950"/>
      <c r="AS31" s="950"/>
      <c r="AT31" s="950"/>
      <c r="AU31" s="950"/>
      <c r="AV31" s="950"/>
      <c r="AW31" s="950"/>
      <c r="AX31" s="950"/>
      <c r="AY31" s="950"/>
      <c r="AZ31" s="950"/>
      <c r="BA31" s="950"/>
      <c r="BB31" s="950"/>
      <c r="BC31" s="950"/>
      <c r="BD31" s="950"/>
      <c r="BE31" s="950"/>
      <c r="BF31" s="950"/>
      <c r="BG31" s="950"/>
      <c r="BH31" s="950"/>
      <c r="BI31" s="950"/>
      <c r="BJ31" s="950"/>
      <c r="BK31" s="950"/>
      <c r="BL31" s="950"/>
      <c r="BM31" s="950"/>
      <c r="BN31" s="1270"/>
      <c r="BO31" s="1270"/>
      <c r="BP31" s="1270"/>
      <c r="BQ31" s="106"/>
      <c r="BR31" s="1297"/>
      <c r="BS31" s="1071" t="s">
        <v>1974</v>
      </c>
      <c r="BT31" s="1072"/>
      <c r="BU31" s="1072"/>
      <c r="BV31" s="987"/>
      <c r="BW31" s="987"/>
    </row>
    <row customHeight="1" ht="14.625" hidden="1">
      <c r="A32" s="1297"/>
      <c r="B32" s="986"/>
      <c r="C32" s="1297"/>
      <c r="D32" s="1297"/>
      <c r="E32" s="709">
        <v>15</v>
      </c>
      <c r="F32" s="50" cm="1" t="str">
        <f t="array" ref="F32:F32">OFFSET(E32,-1,1)</f>
        <v>0</v>
      </c>
      <c r="G32" s="1297"/>
      <c r="H32" s="374"/>
      <c r="I32" s="374" t="s">
        <v>2178</v>
      </c>
      <c r="J32" s="1297"/>
      <c r="K32" s="374" t="s">
        <v>2178</v>
      </c>
      <c r="L32" s="988" t="s">
        <v>1201</v>
      </c>
      <c r="M32" s="103"/>
      <c r="N32" s="1297"/>
      <c r="O32" s="1297"/>
      <c r="P32" s="1297"/>
      <c r="Q32" s="154" t="s">
        <v>2470</v>
      </c>
      <c r="R32" s="157" t="s">
        <v>2470</v>
      </c>
      <c r="S32" s="1297"/>
      <c r="T32" s="468" cm="1" t="str">
        <f t="array" ref="T32:T32">T31</f>
        <v>false</v>
      </c>
      <c r="U32" s="1297"/>
      <c r="V32" s="1297"/>
      <c r="W32" s="1297"/>
      <c r="X32" s="1539"/>
      <c r="Y32" s="1297"/>
      <c r="Z32" s="1529"/>
      <c r="AA32" s="1297"/>
      <c r="AB32" s="295" t="s">
        <v>2179</v>
      </c>
      <c r="AC32" s="775" t="s">
        <v>1977</v>
      </c>
      <c r="AD32" s="773" t="s">
        <v>936</v>
      </c>
      <c r="AE32" s="6489">
        <f>_xlfn.SUMIFS('Сырье и материалы'!AE$25:AE$111,'Сырье и материалы'!$F$25:$F$111,$F32,'Сырье и материалы'!$I$25:$I$111,"Горюче-смазочные материалы")</f>
        <v>0</v>
      </c>
      <c r="AF32" s="6489">
        <f>_xlfn.SUMIFS('Сырье и материалы'!AF$25:AF$111,'Сырье и материалы'!$F$25:$F$111,$F32,'Сырье и материалы'!$I$25:$I$111,"Горюче-смазочные материалы")</f>
        <v>0</v>
      </c>
      <c r="AG32" s="6489">
        <f>_xlfn.SUMIFS('Сырье и материалы'!AG$25:AG$111,'Сырье и материалы'!$F$25:$F$111,$F32,'Сырье и материалы'!$I$25:$I$111,"Горюче-смазочные материалы")</f>
        <v>0</v>
      </c>
      <c r="AH32" s="951">
        <f>AG32-AF32</f>
        <v>0</v>
      </c>
      <c r="AI32" s="6490"/>
      <c r="AJ32" s="1271"/>
      <c r="AK32" s="950"/>
      <c r="AL32" s="950"/>
      <c r="AM32" s="950"/>
      <c r="AN32" s="950"/>
      <c r="AO32" s="950"/>
      <c r="AP32" s="950"/>
      <c r="AQ32" s="950"/>
      <c r="AR32" s="950"/>
      <c r="AS32" s="950"/>
      <c r="AT32" s="950"/>
      <c r="AU32" s="950"/>
      <c r="AV32" s="950"/>
      <c r="AW32" s="950"/>
      <c r="AX32" s="950"/>
      <c r="AY32" s="950"/>
      <c r="AZ32" s="950"/>
      <c r="BA32" s="950"/>
      <c r="BB32" s="950"/>
      <c r="BC32" s="950"/>
      <c r="BD32" s="950"/>
      <c r="BE32" s="950"/>
      <c r="BF32" s="950"/>
      <c r="BG32" s="950"/>
      <c r="BH32" s="950"/>
      <c r="BI32" s="950"/>
      <c r="BJ32" s="950"/>
      <c r="BK32" s="950"/>
      <c r="BL32" s="950"/>
      <c r="BM32" s="950"/>
      <c r="BN32" s="1270"/>
      <c r="BO32" s="1270"/>
      <c r="BP32" s="1270"/>
      <c r="BQ32" s="1297"/>
      <c r="BR32" s="1297"/>
      <c r="BS32" s="1070" t="s">
        <v>1978</v>
      </c>
      <c r="BT32" s="1072"/>
      <c r="BU32" s="1072"/>
      <c r="BV32" s="987"/>
      <c r="BW32" s="987"/>
    </row>
    <row customHeight="1" ht="14.625" hidden="1">
      <c r="A33" s="1297"/>
      <c r="B33" s="986"/>
      <c r="C33" s="1297"/>
      <c r="D33" s="1297"/>
      <c r="E33" s="709">
        <v>15</v>
      </c>
      <c r="F33" s="50" cm="1" t="str">
        <f t="array" ref="F33:F33">OFFSET(E33,-1,1)</f>
        <v>0</v>
      </c>
      <c r="G33" s="1297"/>
      <c r="H33" s="374"/>
      <c r="I33" s="374" t="s">
        <v>2180</v>
      </c>
      <c r="J33" s="1297"/>
      <c r="K33" s="374" t="s">
        <v>2180</v>
      </c>
      <c r="L33" s="988" t="s">
        <v>1525</v>
      </c>
      <c r="M33" s="103"/>
      <c r="N33" s="1297"/>
      <c r="O33" s="1297"/>
      <c r="P33" s="1297"/>
      <c r="Q33" s="154" t="s">
        <v>2470</v>
      </c>
      <c r="R33" s="157" t="s">
        <v>2470</v>
      </c>
      <c r="S33" s="1297"/>
      <c r="T33" s="468" cm="1" t="str">
        <f t="array" ref="T33:T33">T32</f>
        <v>false</v>
      </c>
      <c r="U33" s="1297"/>
      <c r="V33" s="1297"/>
      <c r="W33" s="1297"/>
      <c r="X33" s="1539"/>
      <c r="Y33" s="1297"/>
      <c r="Z33" s="1529"/>
      <c r="AA33" s="1297"/>
      <c r="AB33" s="295" t="s">
        <v>2181</v>
      </c>
      <c r="AC33" s="775" t="s">
        <v>1979</v>
      </c>
      <c r="AD33" s="773" t="s">
        <v>936</v>
      </c>
      <c r="AE33" s="6489">
        <f>_xlfn.SUMIFS('Сырье и материалы'!AE$25:AE$111,'Сырье и материалы'!$F$25:$F$111,$F33,'Сырье и материалы'!$I$25:$I$111,"Материалы")</f>
        <v>0</v>
      </c>
      <c r="AF33" s="6489">
        <f>_xlfn.SUMIFS('Сырье и материалы'!AF$25:AF$111,'Сырье и материалы'!$F$25:$F$111,$F33,'Сырье и материалы'!$I$25:$I$111,"Материалы")</f>
        <v>0</v>
      </c>
      <c r="AG33" s="6489">
        <f>_xlfn.SUMIFS('Сырье и материалы'!AG$25:AG$111,'Сырье и материалы'!$F$25:$F$111,$F33,'Сырье и материалы'!$I$25:$I$111,"Материалы")</f>
        <v>0</v>
      </c>
      <c r="AH33" s="951">
        <f>AG33-AF33</f>
        <v>0</v>
      </c>
      <c r="AI33" s="6490"/>
      <c r="AJ33" s="1271"/>
      <c r="AK33" s="950"/>
      <c r="AL33" s="950"/>
      <c r="AM33" s="950"/>
      <c r="AN33" s="950"/>
      <c r="AO33" s="950"/>
      <c r="AP33" s="950"/>
      <c r="AQ33" s="950"/>
      <c r="AR33" s="950"/>
      <c r="AS33" s="950"/>
      <c r="AT33" s="950"/>
      <c r="AU33" s="950"/>
      <c r="AV33" s="950"/>
      <c r="AW33" s="950"/>
      <c r="AX33" s="950"/>
      <c r="AY33" s="950"/>
      <c r="AZ33" s="950"/>
      <c r="BA33" s="950"/>
      <c r="BB33" s="950"/>
      <c r="BC33" s="950"/>
      <c r="BD33" s="950"/>
      <c r="BE33" s="950"/>
      <c r="BF33" s="950"/>
      <c r="BG33" s="950"/>
      <c r="BH33" s="950"/>
      <c r="BI33" s="950"/>
      <c r="BJ33" s="950"/>
      <c r="BK33" s="950"/>
      <c r="BL33" s="950"/>
      <c r="BM33" s="950"/>
      <c r="BN33" s="1270"/>
      <c r="BO33" s="1270"/>
      <c r="BP33" s="1270"/>
      <c r="BQ33" s="1297"/>
      <c r="BR33" s="1297"/>
      <c r="BS33" s="1070" t="s">
        <v>1980</v>
      </c>
      <c r="BT33" s="1072"/>
      <c r="BU33" s="1072"/>
      <c r="BV33" s="987"/>
      <c r="BW33" s="987"/>
    </row>
    <row customHeight="1" ht="21.9375" hidden="1">
      <c r="A34" s="1297"/>
      <c r="B34" s="986"/>
      <c r="C34" s="1297"/>
      <c r="D34" s="1297"/>
      <c r="E34" s="709">
        <v>22.5</v>
      </c>
      <c r="F34" s="50" cm="1" t="str">
        <f t="array" ref="F34:F34">OFFSET(E34,-1,1)</f>
        <v>0</v>
      </c>
      <c r="G34" s="1297"/>
      <c r="H34" s="374"/>
      <c r="I34" s="374" t="s">
        <v>1553</v>
      </c>
      <c r="J34" s="1297"/>
      <c r="K34" s="374" t="s">
        <v>1553</v>
      </c>
      <c r="L34" s="988" t="s">
        <v>573</v>
      </c>
      <c r="M34" s="103"/>
      <c r="N34" s="1297"/>
      <c r="O34" s="1297"/>
      <c r="P34" s="1297"/>
      <c r="Q34" s="154" t="s">
        <v>2470</v>
      </c>
      <c r="R34" s="157" t="s">
        <v>2470</v>
      </c>
      <c r="S34" s="1297"/>
      <c r="T34" s="468" cm="1" t="str">
        <f t="array" ref="T34:T34">T33</f>
        <v>false</v>
      </c>
      <c r="U34" s="1297"/>
      <c r="V34" s="1297"/>
      <c r="W34" s="1297"/>
      <c r="X34" s="1539"/>
      <c r="Y34" s="1297"/>
      <c r="Z34" s="1529"/>
      <c r="AA34" s="1297"/>
      <c r="AB34" s="295" t="s">
        <v>1554</v>
      </c>
      <c r="AC34" s="772" t="s">
        <v>2182</v>
      </c>
      <c r="AD34" s="773" t="s">
        <v>936</v>
      </c>
      <c r="AE34" s="1272"/>
      <c r="AF34" s="1272"/>
      <c r="AG34" s="1272"/>
      <c r="AH34" s="951">
        <f>AG34-AF34</f>
        <v>0</v>
      </c>
      <c r="AI34" s="6490"/>
      <c r="AJ34" s="1271"/>
      <c r="AK34" s="950"/>
      <c r="AL34" s="950"/>
      <c r="AM34" s="950"/>
      <c r="AN34" s="950"/>
      <c r="AO34" s="950"/>
      <c r="AP34" s="950"/>
      <c r="AQ34" s="950"/>
      <c r="AR34" s="950"/>
      <c r="AS34" s="950"/>
      <c r="AT34" s="950"/>
      <c r="AU34" s="950"/>
      <c r="AV34" s="950"/>
      <c r="AW34" s="950"/>
      <c r="AX34" s="950"/>
      <c r="AY34" s="950"/>
      <c r="AZ34" s="950"/>
      <c r="BA34" s="950"/>
      <c r="BB34" s="950"/>
      <c r="BC34" s="950"/>
      <c r="BD34" s="950"/>
      <c r="BE34" s="950"/>
      <c r="BF34" s="950"/>
      <c r="BG34" s="950"/>
      <c r="BH34" s="950"/>
      <c r="BI34" s="950"/>
      <c r="BJ34" s="950"/>
      <c r="BK34" s="950"/>
      <c r="BL34" s="950"/>
      <c r="BM34" s="950"/>
      <c r="BN34" s="1270"/>
      <c r="BO34" s="1270"/>
      <c r="BP34" s="1270"/>
      <c r="BQ34" s="1297"/>
      <c r="BR34" s="1297"/>
      <c r="BS34" s="1071" t="s">
        <v>2005</v>
      </c>
      <c r="BT34" s="1072"/>
      <c r="BU34" s="1072"/>
      <c r="BV34" s="987"/>
      <c r="BW34" s="987"/>
    </row>
    <row customHeight="1" ht="21.9375" hidden="1">
      <c r="A35" s="1297"/>
      <c r="B35" s="986"/>
      <c r="C35" s="1297"/>
      <c r="D35" s="1297"/>
      <c r="E35" s="709">
        <v>22.5</v>
      </c>
      <c r="F35" s="50" cm="1" t="str">
        <f t="array" ref="F35:F35">OFFSET(E35,-1,1)</f>
        <v>0</v>
      </c>
      <c r="G35" s="1297"/>
      <c r="H35" s="374"/>
      <c r="I35" s="374" t="s">
        <v>1557</v>
      </c>
      <c r="J35" s="1297"/>
      <c r="K35" s="374" t="s">
        <v>1557</v>
      </c>
      <c r="L35" s="988" t="s">
        <v>577</v>
      </c>
      <c r="M35" s="103"/>
      <c r="N35" s="1297"/>
      <c r="O35" s="1297"/>
      <c r="P35" s="1297"/>
      <c r="Q35" s="154" t="s">
        <v>2470</v>
      </c>
      <c r="R35" s="157" t="s">
        <v>2470</v>
      </c>
      <c r="S35" s="1297"/>
      <c r="T35" s="468" cm="1" t="str">
        <f t="array" ref="T35:T35">T34</f>
        <v>false</v>
      </c>
      <c r="U35" s="1297"/>
      <c r="V35" s="1297"/>
      <c r="W35" s="1297"/>
      <c r="X35" s="1539"/>
      <c r="Y35" s="1297"/>
      <c r="Z35" s="1529"/>
      <c r="AA35" s="1297"/>
      <c r="AB35" s="295" t="s">
        <v>1558</v>
      </c>
      <c r="AC35" s="772" t="s">
        <v>2183</v>
      </c>
      <c r="AD35" s="773" t="s">
        <v>936</v>
      </c>
      <c r="AE35" s="952">
        <f>AE36+AE37</f>
        <v>0</v>
      </c>
      <c r="AF35" s="952">
        <f>AF36+AF37</f>
        <v>0</v>
      </c>
      <c r="AG35" s="952">
        <f>AG36+AG37</f>
        <v>0</v>
      </c>
      <c r="AH35" s="951">
        <f>AG35-AF35</f>
        <v>0</v>
      </c>
      <c r="AI35" s="6493">
        <f>AI36+AI37</f>
        <v>0</v>
      </c>
      <c r="AJ35" s="1271"/>
      <c r="AK35" s="950"/>
      <c r="AL35" s="950"/>
      <c r="AM35" s="950"/>
      <c r="AN35" s="950"/>
      <c r="AO35" s="950"/>
      <c r="AP35" s="950"/>
      <c r="AQ35" s="950"/>
      <c r="AR35" s="950"/>
      <c r="AS35" s="950"/>
      <c r="AT35" s="950"/>
      <c r="AU35" s="950"/>
      <c r="AV35" s="950"/>
      <c r="AW35" s="950"/>
      <c r="AX35" s="950"/>
      <c r="AY35" s="950"/>
      <c r="AZ35" s="950"/>
      <c r="BA35" s="950"/>
      <c r="BB35" s="950"/>
      <c r="BC35" s="950"/>
      <c r="BD35" s="950"/>
      <c r="BE35" s="950"/>
      <c r="BF35" s="950"/>
      <c r="BG35" s="950"/>
      <c r="BH35" s="950"/>
      <c r="BI35" s="950"/>
      <c r="BJ35" s="950"/>
      <c r="BK35" s="950"/>
      <c r="BL35" s="950"/>
      <c r="BM35" s="950"/>
      <c r="BN35" s="1270"/>
      <c r="BO35" s="1270"/>
      <c r="BP35" s="1270"/>
      <c r="BQ35" s="1297"/>
      <c r="BR35" s="1297"/>
      <c r="BS35" s="1071" t="s">
        <v>2184</v>
      </c>
      <c r="BT35" s="1072"/>
      <c r="BU35" s="1072"/>
      <c r="BV35" s="987"/>
      <c r="BW35" s="987"/>
    </row>
    <row customHeight="1" ht="14.625" hidden="1">
      <c r="A36" s="1297"/>
      <c r="B36" s="986"/>
      <c r="C36" s="1297"/>
      <c r="D36" s="1297"/>
      <c r="E36" s="709">
        <v>15</v>
      </c>
      <c r="F36" s="50" cm="1" t="str">
        <f t="array" ref="F36:F36">OFFSET(E36,-1,1)</f>
        <v>0</v>
      </c>
      <c r="G36" s="345" t="s">
        <v>1350</v>
      </c>
      <c r="H36" s="374"/>
      <c r="I36" s="374" t="s">
        <v>1712</v>
      </c>
      <c r="J36" s="1297"/>
      <c r="K36" s="374" t="s">
        <v>1712</v>
      </c>
      <c r="L36" s="988" t="s">
        <v>1577</v>
      </c>
      <c r="M36" s="103"/>
      <c r="N36" s="1297"/>
      <c r="O36" s="1297"/>
      <c r="P36" s="1297"/>
      <c r="Q36" s="154" t="s">
        <v>2470</v>
      </c>
      <c r="R36" s="157" t="s">
        <v>2470</v>
      </c>
      <c r="S36" s="1297"/>
      <c r="T36" s="468" cm="1" t="str">
        <f t="array" ref="T36:T36">T35</f>
        <v>false</v>
      </c>
      <c r="U36" s="1297"/>
      <c r="V36" s="1297"/>
      <c r="W36" s="1297"/>
      <c r="X36" s="1539"/>
      <c r="Y36" s="1297"/>
      <c r="Z36" s="1529"/>
      <c r="AA36" s="1297"/>
      <c r="AB36" s="295" t="s">
        <v>2185</v>
      </c>
      <c r="AC36" s="775" t="s">
        <v>2008</v>
      </c>
      <c r="AD36" s="773" t="s">
        <v>936</v>
      </c>
      <c r="AE36" s="1272"/>
      <c r="AF36" s="1272"/>
      <c r="AG36" s="1272"/>
      <c r="AH36" s="951">
        <f>AG36-AF36</f>
        <v>0</v>
      </c>
      <c r="AI36" s="6490"/>
      <c r="AJ36" s="1271"/>
      <c r="AK36" s="950"/>
      <c r="AL36" s="950"/>
      <c r="AM36" s="950"/>
      <c r="AN36" s="950"/>
      <c r="AO36" s="950"/>
      <c r="AP36" s="950"/>
      <c r="AQ36" s="950"/>
      <c r="AR36" s="950"/>
      <c r="AS36" s="950"/>
      <c r="AT36" s="950"/>
      <c r="AU36" s="950"/>
      <c r="AV36" s="950"/>
      <c r="AW36" s="950"/>
      <c r="AX36" s="950"/>
      <c r="AY36" s="950"/>
      <c r="AZ36" s="950"/>
      <c r="BA36" s="950"/>
      <c r="BB36" s="950"/>
      <c r="BC36" s="950"/>
      <c r="BD36" s="950"/>
      <c r="BE36" s="950"/>
      <c r="BF36" s="950"/>
      <c r="BG36" s="950"/>
      <c r="BH36" s="950"/>
      <c r="BI36" s="950"/>
      <c r="BJ36" s="950"/>
      <c r="BK36" s="950"/>
      <c r="BL36" s="950"/>
      <c r="BM36" s="950"/>
      <c r="BN36" s="1270"/>
      <c r="BO36" s="1273" t="str">
        <f>IF(_xlfn.IFERROR(INDEX(ФОТ!$K$26:$L$127,MATCH($F36&amp;"1komm",ФОТ!$K$26:$K$127,0),2),"")=0,"",_xlfn.IFERROR(INDEX(ФОТ!$K$26:$L$127,MATCH($F36&amp;"1komm",ФОТ!$K$26:$K$127,0),2),""))</f>
        <v/>
      </c>
      <c r="BP36" s="1270"/>
      <c r="BQ36" s="1297"/>
      <c r="BR36" s="1297"/>
      <c r="BS36" s="1070" t="s">
        <v>2009</v>
      </c>
      <c r="BT36" s="1072"/>
      <c r="BU36" s="1072"/>
      <c r="BV36" s="987"/>
      <c r="BW36" s="987"/>
    </row>
    <row customHeight="1" ht="21.9375" hidden="1">
      <c r="A37" s="1297"/>
      <c r="B37" s="986"/>
      <c r="C37" s="1297"/>
      <c r="D37" s="1297"/>
      <c r="E37" s="709">
        <v>22.5</v>
      </c>
      <c r="F37" s="50" cm="1" t="str">
        <f t="array" ref="F37:F37">OFFSET(E37,-1,1)</f>
        <v>0</v>
      </c>
      <c r="G37" s="345" t="s">
        <v>1362</v>
      </c>
      <c r="H37" s="374"/>
      <c r="I37" s="374" t="s">
        <v>1716</v>
      </c>
      <c r="J37" s="1297"/>
      <c r="K37" s="374" t="s">
        <v>1716</v>
      </c>
      <c r="L37" s="988" t="s">
        <v>1578</v>
      </c>
      <c r="M37" s="103"/>
      <c r="N37" s="1297"/>
      <c r="O37" s="1297"/>
      <c r="P37" s="1297"/>
      <c r="Q37" s="154" t="s">
        <v>2470</v>
      </c>
      <c r="R37" s="157" t="s">
        <v>2470</v>
      </c>
      <c r="S37" s="1297"/>
      <c r="T37" s="468" cm="1" t="str">
        <f t="array" ref="T37:T37">T36</f>
        <v>false</v>
      </c>
      <c r="U37" s="1297"/>
      <c r="V37" s="1297"/>
      <c r="W37" s="1297"/>
      <c r="X37" s="1539"/>
      <c r="Y37" s="1297"/>
      <c r="Z37" s="1529"/>
      <c r="AA37" s="1297"/>
      <c r="AB37" s="295" t="s">
        <v>2186</v>
      </c>
      <c r="AC37" s="775" t="s">
        <v>2187</v>
      </c>
      <c r="AD37" s="773" t="s">
        <v>936</v>
      </c>
      <c r="AE37" s="1272">
        <f>AE36*_xlfn.SUMIFS(INDEX(Сценарии!$AE$25:$BF$136,,MATCH(AE$8,Сценарии!$AE$8:$BF$8,0)),Сценарии!$F$25:$F$136,$F37,Сценарии!$G$25:$G$136,"СВФОТ")/100</f>
        <v>0</v>
      </c>
      <c r="AF37" s="1272">
        <f>AF36*_xlfn.SUMIFS(INDEX(Сценарии!$AE$25:$BF$136,,MATCH(AF$8,Сценарии!$AE$8:$BF$8,0)),Сценарии!$F$25:$F$136,$F37,Сценарии!$G$25:$G$136,"СВФОТ")/100</f>
        <v>0</v>
      </c>
      <c r="AG37" s="1272">
        <f>AG36*_xlfn.SUMIFS(INDEX(Сценарии!$AE$25:$BF$136,,MATCH(AG$8,Сценарии!$AE$8:$BF$8,0)),Сценарии!$F$25:$F$136,$F37,Сценарии!$G$25:$G$136,"СВФОТ")/100</f>
        <v>0</v>
      </c>
      <c r="AH37" s="951">
        <f>AG37-AF37</f>
        <v>0</v>
      </c>
      <c r="AI37" s="6490">
        <f>AI36*_xlfn.SUMIFS(INDEX(Сценарии!$AE$25:$BF$136,,MATCH(AG$8,Сценарии!$AE$8:$BF$8,0)),Сценарии!$F$25:$F$136,$F37,Сценарии!$G$25:$G$136,"СВФОТ")/100</f>
        <v>0</v>
      </c>
      <c r="AJ37" s="1271"/>
      <c r="AK37" s="950"/>
      <c r="AL37" s="950"/>
      <c r="AM37" s="950"/>
      <c r="AN37" s="950"/>
      <c r="AO37" s="950"/>
      <c r="AP37" s="950"/>
      <c r="AQ37" s="950"/>
      <c r="AR37" s="950"/>
      <c r="AS37" s="950"/>
      <c r="AT37" s="950"/>
      <c r="AU37" s="950"/>
      <c r="AV37" s="950"/>
      <c r="AW37" s="950"/>
      <c r="AX37" s="950"/>
      <c r="AY37" s="950"/>
      <c r="AZ37" s="950"/>
      <c r="BA37" s="950"/>
      <c r="BB37" s="950"/>
      <c r="BC37" s="950"/>
      <c r="BD37" s="950"/>
      <c r="BE37" s="950"/>
      <c r="BF37" s="950"/>
      <c r="BG37" s="950"/>
      <c r="BH37" s="950"/>
      <c r="BI37" s="950"/>
      <c r="BJ37" s="950"/>
      <c r="BK37" s="950"/>
      <c r="BL37" s="950"/>
      <c r="BM37" s="950"/>
      <c r="BN37" s="1270"/>
      <c r="BO37" s="1273" t="str">
        <f>IF(_xlfn.IFERROR(INDEX(ФОТ!$K$26:$L$127,MATCH($F37&amp;"2komm",ФОТ!$K$26:$K$127,0),2),"")=0,"",_xlfn.IFERROR(INDEX(ФОТ!$K$26:$L$127,MATCH($F37&amp;"2komm",ФОТ!$K$26:$K$127,0),2),""))</f>
        <v/>
      </c>
      <c r="BP37" s="1270"/>
      <c r="BQ37" s="1297"/>
      <c r="BR37" s="1297"/>
      <c r="BS37" s="1070" t="s">
        <v>2011</v>
      </c>
      <c r="BT37" s="1072"/>
      <c r="BU37" s="1072"/>
      <c r="BV37" s="987"/>
      <c r="BW37" s="987"/>
    </row>
    <row customHeight="1" ht="14.625" hidden="1">
      <c r="A38" s="1297"/>
      <c r="B38" s="986"/>
      <c r="C38" s="1297"/>
      <c r="D38" s="1297"/>
      <c r="E38" s="709">
        <v>15</v>
      </c>
      <c r="F38" s="50" cm="1" t="str">
        <f t="array" ref="F38:F38">OFFSET(E38,-1,1)</f>
        <v>0</v>
      </c>
      <c r="G38" s="1297"/>
      <c r="H38" s="374"/>
      <c r="I38" s="374" t="s">
        <v>1727</v>
      </c>
      <c r="J38" s="1297"/>
      <c r="K38" s="374" t="s">
        <v>1727</v>
      </c>
      <c r="L38" s="988" t="s">
        <v>2013</v>
      </c>
      <c r="M38" s="103"/>
      <c r="N38" s="1297"/>
      <c r="O38" s="1297"/>
      <c r="P38" s="1297"/>
      <c r="Q38" s="154" t="s">
        <v>2470</v>
      </c>
      <c r="R38" s="157" t="s">
        <v>2470</v>
      </c>
      <c r="S38" s="1297"/>
      <c r="T38" s="468" cm="1" t="str">
        <f t="array" ref="T38:T38">T37</f>
        <v>false</v>
      </c>
      <c r="U38" s="1297"/>
      <c r="V38" s="1297"/>
      <c r="W38" s="1297"/>
      <c r="X38" s="1539"/>
      <c r="Y38" s="1297"/>
      <c r="Z38" s="1529"/>
      <c r="AA38" s="1297"/>
      <c r="AB38" s="295" t="s">
        <v>1987</v>
      </c>
      <c r="AC38" s="772" t="s">
        <v>2188</v>
      </c>
      <c r="AD38" s="773" t="s">
        <v>936</v>
      </c>
      <c r="AE38" s="1272"/>
      <c r="AF38" s="1272"/>
      <c r="AG38" s="1272"/>
      <c r="AH38" s="951">
        <f>AG38-AF38</f>
        <v>0</v>
      </c>
      <c r="AI38" s="6490"/>
      <c r="AJ38" s="1271"/>
      <c r="AK38" s="950"/>
      <c r="AL38" s="950"/>
      <c r="AM38" s="950"/>
      <c r="AN38" s="950"/>
      <c r="AO38" s="950"/>
      <c r="AP38" s="950"/>
      <c r="AQ38" s="950"/>
      <c r="AR38" s="950"/>
      <c r="AS38" s="950"/>
      <c r="AT38" s="950"/>
      <c r="AU38" s="950"/>
      <c r="AV38" s="950"/>
      <c r="AW38" s="950"/>
      <c r="AX38" s="950"/>
      <c r="AY38" s="950"/>
      <c r="AZ38" s="950"/>
      <c r="BA38" s="950"/>
      <c r="BB38" s="950"/>
      <c r="BC38" s="950"/>
      <c r="BD38" s="950"/>
      <c r="BE38" s="950"/>
      <c r="BF38" s="950"/>
      <c r="BG38" s="950"/>
      <c r="BH38" s="950"/>
      <c r="BI38" s="950"/>
      <c r="BJ38" s="950"/>
      <c r="BK38" s="950"/>
      <c r="BL38" s="950"/>
      <c r="BM38" s="950"/>
      <c r="BN38" s="1270"/>
      <c r="BO38" s="1270"/>
      <c r="BP38" s="1270"/>
      <c r="BQ38" s="1297"/>
      <c r="BR38" s="1297"/>
      <c r="BS38" s="1071" t="s">
        <v>2016</v>
      </c>
      <c r="BT38" s="1072"/>
      <c r="BU38" s="1072"/>
      <c r="BV38" s="987"/>
      <c r="BW38" s="987"/>
    </row>
    <row customHeight="1" ht="14.625" hidden="1">
      <c r="A39" s="1297"/>
      <c r="B39" s="986"/>
      <c r="C39" s="1297"/>
      <c r="D39" s="1297"/>
      <c r="E39" s="709">
        <v>15</v>
      </c>
      <c r="F39" s="50" cm="1" t="str">
        <f t="array" ref="F39:F39">OFFSET(E39,-1,1)</f>
        <v>0</v>
      </c>
      <c r="G39" s="1297"/>
      <c r="H39" s="374"/>
      <c r="I39" s="374" t="s">
        <v>1731</v>
      </c>
      <c r="J39" s="1297"/>
      <c r="K39" s="374" t="s">
        <v>1731</v>
      </c>
      <c r="L39" s="988" t="s">
        <v>2017</v>
      </c>
      <c r="M39" s="1297"/>
      <c r="N39" s="1297"/>
      <c r="O39" s="1297"/>
      <c r="P39" s="1297"/>
      <c r="Q39" s="154" t="s">
        <v>2470</v>
      </c>
      <c r="R39" s="157" t="s">
        <v>2470</v>
      </c>
      <c r="S39" s="1297"/>
      <c r="T39" s="468" cm="1" t="str">
        <f t="array" ref="T39:T39">T38</f>
        <v>false</v>
      </c>
      <c r="U39" s="1297"/>
      <c r="V39" s="1297"/>
      <c r="W39" s="1297"/>
      <c r="X39" s="1539"/>
      <c r="Y39" s="1297"/>
      <c r="Z39" s="1529"/>
      <c r="AA39" s="1297"/>
      <c r="AB39" s="295" t="s">
        <v>1989</v>
      </c>
      <c r="AC39" s="772" t="s">
        <v>2189</v>
      </c>
      <c r="AD39" s="296" t="s">
        <v>936</v>
      </c>
      <c r="AE39" s="952">
        <f>SUM(AE40:AE46)</f>
        <v>0</v>
      </c>
      <c r="AF39" s="952">
        <f>SUM(AF40:AF46)</f>
        <v>0</v>
      </c>
      <c r="AG39" s="952">
        <f>SUM(AG40:AG46)</f>
        <v>0</v>
      </c>
      <c r="AH39" s="951">
        <f>AG39-AF39</f>
        <v>0</v>
      </c>
      <c r="AI39" s="6493">
        <f>SUM(AI40:AI46)</f>
        <v>0</v>
      </c>
      <c r="AJ39" s="1271"/>
      <c r="AK39" s="950"/>
      <c r="AL39" s="950"/>
      <c r="AM39" s="950"/>
      <c r="AN39" s="950"/>
      <c r="AO39" s="950"/>
      <c r="AP39" s="950"/>
      <c r="AQ39" s="950"/>
      <c r="AR39" s="950"/>
      <c r="AS39" s="950"/>
      <c r="AT39" s="950"/>
      <c r="AU39" s="950"/>
      <c r="AV39" s="950"/>
      <c r="AW39" s="950"/>
      <c r="AX39" s="950"/>
      <c r="AY39" s="950"/>
      <c r="AZ39" s="950"/>
      <c r="BA39" s="950"/>
      <c r="BB39" s="950"/>
      <c r="BC39" s="950"/>
      <c r="BD39" s="950"/>
      <c r="BE39" s="950"/>
      <c r="BF39" s="950"/>
      <c r="BG39" s="950"/>
      <c r="BH39" s="950"/>
      <c r="BI39" s="950"/>
      <c r="BJ39" s="950"/>
      <c r="BK39" s="950"/>
      <c r="BL39" s="950"/>
      <c r="BM39" s="950"/>
      <c r="BN39" s="1270"/>
      <c r="BO39" s="1270"/>
      <c r="BP39" s="1270"/>
      <c r="BQ39" s="1297"/>
      <c r="BR39" s="1297"/>
      <c r="BS39" s="1071" t="s">
        <v>2190</v>
      </c>
      <c r="BT39" s="1072"/>
      <c r="BU39" s="1072"/>
      <c r="BV39" s="987"/>
      <c r="BW39" s="987"/>
    </row>
    <row customHeight="1" ht="14.625" hidden="1">
      <c r="A40" s="1297"/>
      <c r="B40" s="986"/>
      <c r="C40" s="1297"/>
      <c r="D40" s="1297"/>
      <c r="E40" s="709">
        <v>15</v>
      </c>
      <c r="F40" s="50" cm="1" t="str">
        <f t="array" ref="F40:F40">OFFSET(E40,-1,1)</f>
        <v>0</v>
      </c>
      <c r="G40" s="1297"/>
      <c r="H40" s="374"/>
      <c r="I40" s="374" t="s">
        <v>2191</v>
      </c>
      <c r="J40" s="1297"/>
      <c r="K40" s="374" t="s">
        <v>2191</v>
      </c>
      <c r="L40" s="988" t="s">
        <v>2017</v>
      </c>
      <c r="M40" s="103" t="s">
        <v>2025</v>
      </c>
      <c r="N40" s="1297"/>
      <c r="O40" s="1297"/>
      <c r="P40" s="1297"/>
      <c r="Q40" s="154" t="s">
        <v>2470</v>
      </c>
      <c r="R40" s="157" t="s">
        <v>2470</v>
      </c>
      <c r="S40" s="1297"/>
      <c r="T40" s="468" cm="1" t="str">
        <f t="array" ref="T40:T40">T39</f>
        <v>false</v>
      </c>
      <c r="U40" s="1297"/>
      <c r="V40" s="1297"/>
      <c r="W40" s="1297"/>
      <c r="X40" s="1539"/>
      <c r="Y40" s="1297"/>
      <c r="Z40" s="1529"/>
      <c r="AA40" s="1297"/>
      <c r="AB40" s="295" t="s">
        <v>2192</v>
      </c>
      <c r="AC40" s="775" t="s">
        <v>2193</v>
      </c>
      <c r="AD40" s="296" t="s">
        <v>936</v>
      </c>
      <c r="AE40" s="1272"/>
      <c r="AF40" s="1272"/>
      <c r="AG40" s="1272"/>
      <c r="AH40" s="951">
        <f>AG40-AF40</f>
        <v>0</v>
      </c>
      <c r="AI40" s="6490"/>
      <c r="AJ40" s="1271"/>
      <c r="AK40" s="950"/>
      <c r="AL40" s="950"/>
      <c r="AM40" s="950"/>
      <c r="AN40" s="950"/>
      <c r="AO40" s="950"/>
      <c r="AP40" s="950"/>
      <c r="AQ40" s="950"/>
      <c r="AR40" s="950"/>
      <c r="AS40" s="950"/>
      <c r="AT40" s="950"/>
      <c r="AU40" s="950"/>
      <c r="AV40" s="950"/>
      <c r="AW40" s="950"/>
      <c r="AX40" s="950"/>
      <c r="AY40" s="950"/>
      <c r="AZ40" s="950"/>
      <c r="BA40" s="950"/>
      <c r="BB40" s="950"/>
      <c r="BC40" s="950"/>
      <c r="BD40" s="950"/>
      <c r="BE40" s="950"/>
      <c r="BF40" s="950"/>
      <c r="BG40" s="950"/>
      <c r="BH40" s="950"/>
      <c r="BI40" s="950"/>
      <c r="BJ40" s="950"/>
      <c r="BK40" s="950"/>
      <c r="BL40" s="950"/>
      <c r="BM40" s="950"/>
      <c r="BN40" s="1270"/>
      <c r="BO40" s="1270"/>
      <c r="BP40" s="1270"/>
      <c r="BQ40" s="1297"/>
      <c r="BR40" s="1297"/>
      <c r="BS40" s="1070" t="s">
        <v>2028</v>
      </c>
      <c r="BT40" s="1072"/>
      <c r="BU40" s="1072"/>
      <c r="BV40" s="987"/>
      <c r="BW40" s="987"/>
    </row>
    <row customHeight="1" ht="21.9375" hidden="1">
      <c r="A41" s="1297"/>
      <c r="B41" s="986"/>
      <c r="C41" s="1297"/>
      <c r="D41" s="1297"/>
      <c r="E41" s="709">
        <v>22.5</v>
      </c>
      <c r="F41" s="50" cm="1" t="str">
        <f t="array" ref="F41:F41">OFFSET(E41,-1,1)</f>
        <v>0</v>
      </c>
      <c r="G41" s="1297"/>
      <c r="H41" s="374"/>
      <c r="I41" s="374" t="s">
        <v>2194</v>
      </c>
      <c r="J41" s="1297"/>
      <c r="K41" s="374" t="s">
        <v>2194</v>
      </c>
      <c r="L41" s="988" t="s">
        <v>2017</v>
      </c>
      <c r="M41" s="103" t="s">
        <v>2021</v>
      </c>
      <c r="N41" s="1297"/>
      <c r="O41" s="1297"/>
      <c r="P41" s="1297"/>
      <c r="Q41" s="154" t="s">
        <v>2470</v>
      </c>
      <c r="R41" s="157" t="s">
        <v>2470</v>
      </c>
      <c r="S41" s="1297"/>
      <c r="T41" s="468" cm="1" t="str">
        <f t="array" ref="T41:T41">T40</f>
        <v>false</v>
      </c>
      <c r="U41" s="1297"/>
      <c r="V41" s="1297"/>
      <c r="W41" s="1297"/>
      <c r="X41" s="1539"/>
      <c r="Y41" s="1297"/>
      <c r="Z41" s="1529"/>
      <c r="AA41" s="1297"/>
      <c r="AB41" s="295" t="s">
        <v>2195</v>
      </c>
      <c r="AC41" s="775" t="s">
        <v>2196</v>
      </c>
      <c r="AD41" s="296" t="s">
        <v>936</v>
      </c>
      <c r="AE41" s="1272"/>
      <c r="AF41" s="1272"/>
      <c r="AG41" s="1272"/>
      <c r="AH41" s="951">
        <f>AG41-AF41</f>
        <v>0</v>
      </c>
      <c r="AI41" s="6490"/>
      <c r="AJ41" s="1271"/>
      <c r="AK41" s="950"/>
      <c r="AL41" s="950"/>
      <c r="AM41" s="950"/>
      <c r="AN41" s="950"/>
      <c r="AO41" s="950"/>
      <c r="AP41" s="950"/>
      <c r="AQ41" s="950"/>
      <c r="AR41" s="950"/>
      <c r="AS41" s="950"/>
      <c r="AT41" s="950"/>
      <c r="AU41" s="950"/>
      <c r="AV41" s="950"/>
      <c r="AW41" s="950"/>
      <c r="AX41" s="950"/>
      <c r="AY41" s="950"/>
      <c r="AZ41" s="950"/>
      <c r="BA41" s="950"/>
      <c r="BB41" s="950"/>
      <c r="BC41" s="950"/>
      <c r="BD41" s="950"/>
      <c r="BE41" s="950"/>
      <c r="BF41" s="950"/>
      <c r="BG41" s="950"/>
      <c r="BH41" s="950"/>
      <c r="BI41" s="950"/>
      <c r="BJ41" s="950"/>
      <c r="BK41" s="950"/>
      <c r="BL41" s="950"/>
      <c r="BM41" s="950"/>
      <c r="BN41" s="1270"/>
      <c r="BO41" s="1270"/>
      <c r="BP41" s="1270"/>
      <c r="BQ41" s="1297"/>
      <c r="BR41" s="1297"/>
      <c r="BS41" s="1072" t="s">
        <v>2197</v>
      </c>
      <c r="BT41" s="1072"/>
      <c r="BU41" s="1072"/>
      <c r="BV41" s="987"/>
      <c r="BW41" s="987"/>
    </row>
    <row customHeight="1" ht="21.9375" hidden="1">
      <c r="A42" s="1297"/>
      <c r="B42" s="986"/>
      <c r="C42" s="1297"/>
      <c r="D42" s="1297"/>
      <c r="E42" s="709">
        <v>22.5</v>
      </c>
      <c r="F42" s="50" cm="1" t="str">
        <f t="array" ref="F42:F42">OFFSET(E42,-1,1)</f>
        <v>0</v>
      </c>
      <c r="G42" s="1297"/>
      <c r="H42" s="374"/>
      <c r="I42" s="374" t="s">
        <v>2198</v>
      </c>
      <c r="J42" s="1297"/>
      <c r="K42" s="374" t="s">
        <v>2198</v>
      </c>
      <c r="L42" s="1297"/>
      <c r="M42" s="1297"/>
      <c r="N42" s="1297"/>
      <c r="O42" s="1297"/>
      <c r="P42" s="1297"/>
      <c r="Q42" s="154" t="s">
        <v>2470</v>
      </c>
      <c r="R42" s="157" t="s">
        <v>2470</v>
      </c>
      <c r="S42" s="1297"/>
      <c r="T42" s="468" cm="1" t="str">
        <f t="array" ref="T42:T42">T41</f>
        <v>false</v>
      </c>
      <c r="U42" s="1297"/>
      <c r="V42" s="1297"/>
      <c r="W42" s="1297"/>
      <c r="X42" s="1539"/>
      <c r="Y42" s="1297"/>
      <c r="Z42" s="1529"/>
      <c r="AA42" s="1297"/>
      <c r="AB42" s="295" t="s">
        <v>2199</v>
      </c>
      <c r="AC42" s="776" t="s">
        <v>2200</v>
      </c>
      <c r="AD42" s="296" t="s">
        <v>936</v>
      </c>
      <c r="AE42" s="1272"/>
      <c r="AF42" s="1272"/>
      <c r="AG42" s="1272"/>
      <c r="AH42" s="951">
        <f>AG42-AF42</f>
        <v>0</v>
      </c>
      <c r="AI42" s="6490"/>
      <c r="AJ42" s="1271"/>
      <c r="AK42" s="950"/>
      <c r="AL42" s="950"/>
      <c r="AM42" s="950"/>
      <c r="AN42" s="950"/>
      <c r="AO42" s="950"/>
      <c r="AP42" s="950"/>
      <c r="AQ42" s="950"/>
      <c r="AR42" s="950"/>
      <c r="AS42" s="950"/>
      <c r="AT42" s="950"/>
      <c r="AU42" s="950"/>
      <c r="AV42" s="950"/>
      <c r="AW42" s="950"/>
      <c r="AX42" s="950"/>
      <c r="AY42" s="950"/>
      <c r="AZ42" s="950"/>
      <c r="BA42" s="950"/>
      <c r="BB42" s="950"/>
      <c r="BC42" s="950"/>
      <c r="BD42" s="950"/>
      <c r="BE42" s="950"/>
      <c r="BF42" s="950"/>
      <c r="BG42" s="950"/>
      <c r="BH42" s="950"/>
      <c r="BI42" s="950"/>
      <c r="BJ42" s="950"/>
      <c r="BK42" s="950"/>
      <c r="BL42" s="950"/>
      <c r="BM42" s="950"/>
      <c r="BN42" s="1270"/>
      <c r="BO42" s="1270"/>
      <c r="BP42" s="1270"/>
      <c r="BQ42" s="1297"/>
      <c r="BR42" s="1297"/>
      <c r="BS42" s="1072" t="s">
        <v>2201</v>
      </c>
      <c r="BT42" s="1072"/>
      <c r="BU42" s="1072"/>
      <c r="BV42" s="987"/>
      <c r="BW42" s="987"/>
    </row>
    <row customHeight="1" ht="21.9375" hidden="1">
      <c r="A43" s="1297"/>
      <c r="B43" s="986"/>
      <c r="C43" s="1297"/>
      <c r="D43" s="1297"/>
      <c r="E43" s="709">
        <v>22.5</v>
      </c>
      <c r="F43" s="50" cm="1" t="str">
        <f t="array" ref="F43:F43">OFFSET(E43,-1,1)</f>
        <v>0</v>
      </c>
      <c r="G43" s="1297"/>
      <c r="H43" s="374"/>
      <c r="I43" s="374" t="s">
        <v>2202</v>
      </c>
      <c r="J43" s="1297"/>
      <c r="K43" s="374" t="s">
        <v>2202</v>
      </c>
      <c r="L43" s="988"/>
      <c r="M43" s="1297"/>
      <c r="N43" s="1297"/>
      <c r="O43" s="1297"/>
      <c r="P43" s="1297"/>
      <c r="Q43" s="154" t="s">
        <v>2470</v>
      </c>
      <c r="R43" s="157" t="s">
        <v>2470</v>
      </c>
      <c r="S43" s="1297"/>
      <c r="T43" s="468" cm="1" t="str">
        <f t="array" ref="T43:T43">T42</f>
        <v>false</v>
      </c>
      <c r="U43" s="1297"/>
      <c r="V43" s="1297"/>
      <c r="W43" s="1297"/>
      <c r="X43" s="1539"/>
      <c r="Y43" s="1297"/>
      <c r="Z43" s="1529"/>
      <c r="AA43" s="1297"/>
      <c r="AB43" s="295" t="s">
        <v>2203</v>
      </c>
      <c r="AC43" s="776" t="s">
        <v>2204</v>
      </c>
      <c r="AD43" s="296" t="s">
        <v>936</v>
      </c>
      <c r="AE43" s="1272"/>
      <c r="AF43" s="1272"/>
      <c r="AG43" s="1272"/>
      <c r="AH43" s="951">
        <f>AG43-AF43</f>
        <v>0</v>
      </c>
      <c r="AI43" s="6490"/>
      <c r="AJ43" s="1271"/>
      <c r="AK43" s="950"/>
      <c r="AL43" s="950"/>
      <c r="AM43" s="950"/>
      <c r="AN43" s="950"/>
      <c r="AO43" s="950"/>
      <c r="AP43" s="950"/>
      <c r="AQ43" s="950"/>
      <c r="AR43" s="950"/>
      <c r="AS43" s="950"/>
      <c r="AT43" s="950"/>
      <c r="AU43" s="950"/>
      <c r="AV43" s="950"/>
      <c r="AW43" s="950"/>
      <c r="AX43" s="950"/>
      <c r="AY43" s="950"/>
      <c r="AZ43" s="950"/>
      <c r="BA43" s="950"/>
      <c r="BB43" s="950"/>
      <c r="BC43" s="950"/>
      <c r="BD43" s="950"/>
      <c r="BE43" s="950"/>
      <c r="BF43" s="950"/>
      <c r="BG43" s="950"/>
      <c r="BH43" s="950"/>
      <c r="BI43" s="950"/>
      <c r="BJ43" s="950"/>
      <c r="BK43" s="950"/>
      <c r="BL43" s="950"/>
      <c r="BM43" s="950"/>
      <c r="BN43" s="1270"/>
      <c r="BO43" s="1270"/>
      <c r="BP43" s="1270"/>
      <c r="BQ43" s="1297"/>
      <c r="BR43" s="1297"/>
      <c r="BS43" s="1072" t="s">
        <v>2205</v>
      </c>
      <c r="BT43" s="1072"/>
      <c r="BU43" s="1072"/>
      <c r="BV43" s="987"/>
      <c r="BW43" s="987"/>
    </row>
    <row customHeight="1" ht="43.875" hidden="1">
      <c r="A44" s="1297"/>
      <c r="B44" s="986"/>
      <c r="C44" s="1297"/>
      <c r="D44" s="1297"/>
      <c r="E44" s="709">
        <v>45</v>
      </c>
      <c r="F44" s="50" cm="1" t="str">
        <f t="array" ref="F44:F44">OFFSET(E44,-1,1)</f>
        <v>0</v>
      </c>
      <c r="G44" s="1297"/>
      <c r="H44" s="374"/>
      <c r="I44" s="374" t="s">
        <v>2206</v>
      </c>
      <c r="J44" s="1297"/>
      <c r="K44" s="374" t="s">
        <v>2206</v>
      </c>
      <c r="L44" s="988" t="s">
        <v>2017</v>
      </c>
      <c r="M44" s="103" t="s">
        <v>2029</v>
      </c>
      <c r="N44" s="1297"/>
      <c r="O44" s="1297"/>
      <c r="P44" s="1297"/>
      <c r="Q44" s="154" t="s">
        <v>2470</v>
      </c>
      <c r="R44" s="157" t="s">
        <v>2470</v>
      </c>
      <c r="S44" s="1297"/>
      <c r="T44" s="468" cm="1" t="str">
        <f t="array" ref="T44:T44">T43</f>
        <v>false</v>
      </c>
      <c r="U44" s="1297"/>
      <c r="V44" s="1297"/>
      <c r="W44" s="1297"/>
      <c r="X44" s="1539"/>
      <c r="Y44" s="1297"/>
      <c r="Z44" s="1529"/>
      <c r="AA44" s="1297"/>
      <c r="AB44" s="295" t="s">
        <v>2207</v>
      </c>
      <c r="AC44" s="775" t="s">
        <v>2208</v>
      </c>
      <c r="AD44" s="296" t="s">
        <v>936</v>
      </c>
      <c r="AE44" s="1272"/>
      <c r="AF44" s="1272"/>
      <c r="AG44" s="1272"/>
      <c r="AH44" s="951">
        <f>AG44-AF44</f>
        <v>0</v>
      </c>
      <c r="AI44" s="6490"/>
      <c r="AJ44" s="1271"/>
      <c r="AK44" s="950"/>
      <c r="AL44" s="950"/>
      <c r="AM44" s="950"/>
      <c r="AN44" s="950"/>
      <c r="AO44" s="950"/>
      <c r="AP44" s="950"/>
      <c r="AQ44" s="950"/>
      <c r="AR44" s="950"/>
      <c r="AS44" s="950"/>
      <c r="AT44" s="950"/>
      <c r="AU44" s="950"/>
      <c r="AV44" s="950"/>
      <c r="AW44" s="950"/>
      <c r="AX44" s="950"/>
      <c r="AY44" s="950"/>
      <c r="AZ44" s="950"/>
      <c r="BA44" s="950"/>
      <c r="BB44" s="950"/>
      <c r="BC44" s="950"/>
      <c r="BD44" s="950"/>
      <c r="BE44" s="950"/>
      <c r="BF44" s="950"/>
      <c r="BG44" s="950"/>
      <c r="BH44" s="950"/>
      <c r="BI44" s="950"/>
      <c r="BJ44" s="950"/>
      <c r="BK44" s="950"/>
      <c r="BL44" s="950"/>
      <c r="BM44" s="950"/>
      <c r="BN44" s="1270"/>
      <c r="BO44" s="1270"/>
      <c r="BP44" s="1270"/>
      <c r="BQ44" s="1297"/>
      <c r="BR44" s="1297"/>
      <c r="BS44" s="1072" t="s">
        <v>2032</v>
      </c>
      <c r="BT44" s="1072"/>
      <c r="BU44" s="1072"/>
      <c r="BV44" s="987"/>
      <c r="BW44" s="987"/>
    </row>
    <row customHeight="1" ht="14.625" hidden="1">
      <c r="A45" s="1297"/>
      <c r="B45" s="986"/>
      <c r="C45" s="1297"/>
      <c r="D45" s="1297"/>
      <c r="E45" s="709">
        <v>15</v>
      </c>
      <c r="F45" s="50" cm="1" t="str">
        <f t="array" ref="F45:F45">OFFSET(E45,-1,1)</f>
        <v>0</v>
      </c>
      <c r="G45" s="1297"/>
      <c r="H45" s="374"/>
      <c r="I45" s="374" t="s">
        <v>2209</v>
      </c>
      <c r="J45" s="1297"/>
      <c r="K45" s="374" t="s">
        <v>2209</v>
      </c>
      <c r="L45" s="988" t="s">
        <v>2017</v>
      </c>
      <c r="M45" s="103" t="s">
        <v>2033</v>
      </c>
      <c r="N45" s="1297"/>
      <c r="O45" s="1297"/>
      <c r="P45" s="1297"/>
      <c r="Q45" s="154" t="s">
        <v>2470</v>
      </c>
      <c r="R45" s="157" t="s">
        <v>2470</v>
      </c>
      <c r="S45" s="1297"/>
      <c r="T45" s="468" cm="1" t="str">
        <f t="array" ref="T45:T45">T44</f>
        <v>false</v>
      </c>
      <c r="U45" s="1297"/>
      <c r="V45" s="1297"/>
      <c r="W45" s="1297"/>
      <c r="X45" s="1539"/>
      <c r="Y45" s="1297"/>
      <c r="Z45" s="1529"/>
      <c r="AA45" s="1297"/>
      <c r="AB45" s="295" t="s">
        <v>2210</v>
      </c>
      <c r="AC45" s="775" t="s">
        <v>2035</v>
      </c>
      <c r="AD45" s="296" t="s">
        <v>936</v>
      </c>
      <c r="AE45" s="1272"/>
      <c r="AF45" s="1272"/>
      <c r="AG45" s="1272"/>
      <c r="AH45" s="951">
        <f>AG45-AF45</f>
        <v>0</v>
      </c>
      <c r="AI45" s="6490"/>
      <c r="AJ45" s="1271"/>
      <c r="AK45" s="950"/>
      <c r="AL45" s="950"/>
      <c r="AM45" s="950"/>
      <c r="AN45" s="950"/>
      <c r="AO45" s="950"/>
      <c r="AP45" s="950"/>
      <c r="AQ45" s="950"/>
      <c r="AR45" s="950"/>
      <c r="AS45" s="950"/>
      <c r="AT45" s="950"/>
      <c r="AU45" s="950"/>
      <c r="AV45" s="950"/>
      <c r="AW45" s="950"/>
      <c r="AX45" s="950"/>
      <c r="AY45" s="950"/>
      <c r="AZ45" s="950"/>
      <c r="BA45" s="950"/>
      <c r="BB45" s="950"/>
      <c r="BC45" s="950"/>
      <c r="BD45" s="950"/>
      <c r="BE45" s="950"/>
      <c r="BF45" s="950"/>
      <c r="BG45" s="950"/>
      <c r="BH45" s="950"/>
      <c r="BI45" s="950"/>
      <c r="BJ45" s="950"/>
      <c r="BK45" s="950"/>
      <c r="BL45" s="950"/>
      <c r="BM45" s="950"/>
      <c r="BN45" s="1270"/>
      <c r="BO45" s="1270"/>
      <c r="BP45" s="1270"/>
      <c r="BQ45" s="1297"/>
      <c r="BR45" s="1297"/>
      <c r="BS45" s="1072" t="s">
        <v>2036</v>
      </c>
      <c r="BT45" s="1072"/>
      <c r="BU45" s="1072"/>
      <c r="BV45" s="987"/>
      <c r="BW45" s="987"/>
    </row>
    <row customHeight="1" ht="14.625" hidden="1">
      <c r="A46" s="1297"/>
      <c r="B46" s="986"/>
      <c r="C46" s="1297"/>
      <c r="D46" s="1297"/>
      <c r="E46" s="709">
        <v>15</v>
      </c>
      <c r="F46" s="50" cm="1" t="str">
        <f t="array" ref="F46:F46">OFFSET(E46,-1,1)</f>
        <v>0</v>
      </c>
      <c r="G46" s="1297"/>
      <c r="H46" s="374"/>
      <c r="I46" s="374" t="s">
        <v>2211</v>
      </c>
      <c r="J46" s="1297"/>
      <c r="K46" s="374" t="s">
        <v>2211</v>
      </c>
      <c r="L46" s="988"/>
      <c r="M46" s="103"/>
      <c r="N46" s="1297"/>
      <c r="O46" s="1297"/>
      <c r="P46" s="1297"/>
      <c r="Q46" s="154" t="s">
        <v>2470</v>
      </c>
      <c r="R46" s="157" t="s">
        <v>2470</v>
      </c>
      <c r="S46" s="1297"/>
      <c r="T46" s="468" cm="1" t="str">
        <f t="array" ref="T46:T46">T45</f>
        <v>false</v>
      </c>
      <c r="U46" s="1297"/>
      <c r="V46" s="1297"/>
      <c r="W46" s="1297"/>
      <c r="X46" s="1539"/>
      <c r="Y46" s="1297"/>
      <c r="Z46" s="1529"/>
      <c r="AA46" s="1297"/>
      <c r="AB46" s="295" t="s">
        <v>2212</v>
      </c>
      <c r="AC46" s="775" t="s">
        <v>2213</v>
      </c>
      <c r="AD46" s="296" t="s">
        <v>936</v>
      </c>
      <c r="AE46" s="1272"/>
      <c r="AF46" s="1272"/>
      <c r="AG46" s="1272"/>
      <c r="AH46" s="951">
        <f>AG46-AF46</f>
        <v>0</v>
      </c>
      <c r="AI46" s="6490"/>
      <c r="AJ46" s="6495"/>
      <c r="AK46" s="950"/>
      <c r="AL46" s="950"/>
      <c r="AM46" s="950"/>
      <c r="AN46" s="950"/>
      <c r="AO46" s="950"/>
      <c r="AP46" s="950"/>
      <c r="AQ46" s="950"/>
      <c r="AR46" s="950"/>
      <c r="AS46" s="950"/>
      <c r="AT46" s="950"/>
      <c r="AU46" s="950"/>
      <c r="AV46" s="950"/>
      <c r="AW46" s="950"/>
      <c r="AX46" s="950"/>
      <c r="AY46" s="950"/>
      <c r="AZ46" s="950"/>
      <c r="BA46" s="950"/>
      <c r="BB46" s="950"/>
      <c r="BC46" s="950"/>
      <c r="BD46" s="950"/>
      <c r="BE46" s="950"/>
      <c r="BF46" s="950"/>
      <c r="BG46" s="950"/>
      <c r="BH46" s="950"/>
      <c r="BI46" s="950"/>
      <c r="BJ46" s="950"/>
      <c r="BK46" s="950"/>
      <c r="BL46" s="950"/>
      <c r="BM46" s="950"/>
      <c r="BN46" s="1270"/>
      <c r="BO46" s="1270"/>
      <c r="BP46" s="1270"/>
      <c r="BQ46" s="1297"/>
      <c r="BR46" s="1297"/>
      <c r="BS46" s="1072" t="s">
        <v>2020</v>
      </c>
      <c r="BT46" s="1072"/>
      <c r="BU46" s="1072"/>
      <c r="BV46" s="987"/>
      <c r="BW46" s="987"/>
    </row>
    <row s="706" customFormat="1" customHeight="1" ht="20.475" hidden="1">
      <c r="A47" s="706"/>
      <c r="B47" s="437"/>
      <c r="C47" s="706"/>
      <c r="D47" s="706"/>
      <c r="E47" s="713">
        <v>21</v>
      </c>
      <c r="F47" s="50" cm="1" t="str">
        <f t="array" ref="F47:F47">OFFSET(E47,-1,1)</f>
        <v>0</v>
      </c>
      <c r="G47" s="706"/>
      <c r="H47" s="374"/>
      <c r="I47" s="374" t="s">
        <v>573</v>
      </c>
      <c r="J47" s="706"/>
      <c r="K47" s="374" t="s">
        <v>573</v>
      </c>
      <c r="L47" s="993"/>
      <c r="M47" s="105"/>
      <c r="N47" s="706"/>
      <c r="O47" s="706"/>
      <c r="P47" s="706"/>
      <c r="Q47" s="154" t="s">
        <v>2470</v>
      </c>
      <c r="R47" s="157" t="s">
        <v>2470</v>
      </c>
      <c r="S47" s="706"/>
      <c r="T47" s="468" cm="1" t="str">
        <f t="array" ref="T47:T47">T46</f>
        <v>false</v>
      </c>
      <c r="U47" s="706"/>
      <c r="V47" s="706"/>
      <c r="W47" s="706"/>
      <c r="X47" s="1539"/>
      <c r="Y47" s="706"/>
      <c r="Z47" s="1529"/>
      <c r="AA47" s="706"/>
      <c r="AB47" s="214" t="s">
        <v>1073</v>
      </c>
      <c r="AC47" s="357" t="s">
        <v>2039</v>
      </c>
      <c r="AD47" s="207" t="s">
        <v>936</v>
      </c>
      <c r="AE47" s="777">
        <f>AE48+AE49+AE50</f>
        <v>0</v>
      </c>
      <c r="AF47" s="777">
        <f>AF48+AF49+AF50</f>
        <v>0</v>
      </c>
      <c r="AG47" s="777">
        <f>AG48+AG49+AG50</f>
        <v>0</v>
      </c>
      <c r="AH47" s="768">
        <f>AG47-AF47</f>
        <v>0</v>
      </c>
      <c r="AI47" s="6497">
        <f>AI48+AI49+AI50</f>
        <v>0</v>
      </c>
      <c r="AJ47" s="1271"/>
      <c r="AK47" s="771"/>
      <c r="AL47" s="771"/>
      <c r="AM47" s="771"/>
      <c r="AN47" s="771"/>
      <c r="AO47" s="771"/>
      <c r="AP47" s="771"/>
      <c r="AQ47" s="771"/>
      <c r="AR47" s="771"/>
      <c r="AS47" s="771"/>
      <c r="AT47" s="771"/>
      <c r="AU47" s="771"/>
      <c r="AV47" s="771"/>
      <c r="AW47" s="771"/>
      <c r="AX47" s="771"/>
      <c r="AY47" s="771"/>
      <c r="AZ47" s="771"/>
      <c r="BA47" s="771"/>
      <c r="BB47" s="771"/>
      <c r="BC47" s="771"/>
      <c r="BD47" s="771"/>
      <c r="BE47" s="771"/>
      <c r="BF47" s="771"/>
      <c r="BG47" s="771"/>
      <c r="BH47" s="771"/>
      <c r="BI47" s="771"/>
      <c r="BJ47" s="771"/>
      <c r="BK47" s="771"/>
      <c r="BL47" s="771"/>
      <c r="BM47" s="771"/>
      <c r="BN47" s="1266"/>
      <c r="BO47" s="1266"/>
      <c r="BP47" s="1266"/>
      <c r="BQ47" s="706"/>
      <c r="BR47" s="706"/>
      <c r="BS47" s="1071" t="s">
        <v>2040</v>
      </c>
      <c r="BT47" s="1078"/>
      <c r="BU47" s="1078"/>
      <c r="BV47" s="713"/>
      <c r="BW47" s="713"/>
    </row>
    <row customHeight="1" ht="21.9375" hidden="1">
      <c r="A48" s="1297"/>
      <c r="B48" s="986"/>
      <c r="C48" s="1297"/>
      <c r="D48" s="1297"/>
      <c r="E48" s="709">
        <v>22.5</v>
      </c>
      <c r="F48" s="50" cm="1" t="str">
        <f t="array" ref="F48:F48">OFFSET(E48,-1,1)</f>
        <v>0</v>
      </c>
      <c r="G48" s="1297"/>
      <c r="H48" s="374"/>
      <c r="I48" s="374" t="s">
        <v>1563</v>
      </c>
      <c r="J48" s="1297"/>
      <c r="K48" s="374" t="s">
        <v>1563</v>
      </c>
      <c r="L48" s="988"/>
      <c r="M48" s="103"/>
      <c r="N48" s="1297"/>
      <c r="O48" s="1297"/>
      <c r="P48" s="1297"/>
      <c r="Q48" s="154" t="s">
        <v>2470</v>
      </c>
      <c r="R48" s="157" t="s">
        <v>2470</v>
      </c>
      <c r="S48" s="1297"/>
      <c r="T48" s="468" cm="1" t="str">
        <f t="array" ref="T48:T48">T47</f>
        <v>false</v>
      </c>
      <c r="U48" s="1297"/>
      <c r="V48" s="1297"/>
      <c r="W48" s="1297"/>
      <c r="X48" s="1539"/>
      <c r="Y48" s="1297"/>
      <c r="Z48" s="1529"/>
      <c r="AA48" s="1297"/>
      <c r="AB48" s="295" t="s">
        <v>1564</v>
      </c>
      <c r="AC48" s="772" t="s">
        <v>2214</v>
      </c>
      <c r="AD48" s="296" t="s">
        <v>936</v>
      </c>
      <c r="AE48" s="1272"/>
      <c r="AF48" s="1272"/>
      <c r="AG48" s="1272"/>
      <c r="AH48" s="951">
        <f>AG48-AF48</f>
        <v>0</v>
      </c>
      <c r="AI48" s="6490"/>
      <c r="AJ48" s="1271"/>
      <c r="AK48" s="950"/>
      <c r="AL48" s="950"/>
      <c r="AM48" s="950"/>
      <c r="AN48" s="950"/>
      <c r="AO48" s="950"/>
      <c r="AP48" s="950"/>
      <c r="AQ48" s="950"/>
      <c r="AR48" s="950"/>
      <c r="AS48" s="950"/>
      <c r="AT48" s="950"/>
      <c r="AU48" s="950"/>
      <c r="AV48" s="950"/>
      <c r="AW48" s="950"/>
      <c r="AX48" s="950"/>
      <c r="AY48" s="950"/>
      <c r="AZ48" s="950"/>
      <c r="BA48" s="950"/>
      <c r="BB48" s="950"/>
      <c r="BC48" s="950"/>
      <c r="BD48" s="950"/>
      <c r="BE48" s="950"/>
      <c r="BF48" s="950"/>
      <c r="BG48" s="950"/>
      <c r="BH48" s="950"/>
      <c r="BI48" s="950"/>
      <c r="BJ48" s="950"/>
      <c r="BK48" s="950"/>
      <c r="BL48" s="950"/>
      <c r="BM48" s="950"/>
      <c r="BN48" s="1270"/>
      <c r="BO48" s="1270"/>
      <c r="BP48" s="1270"/>
      <c r="BQ48" s="1297"/>
      <c r="BR48" s="1297"/>
      <c r="BS48" s="1070" t="s">
        <v>2042</v>
      </c>
      <c r="BT48" s="1072"/>
      <c r="BU48" s="1072"/>
      <c r="BV48" s="987"/>
      <c r="BW48" s="987"/>
    </row>
    <row customHeight="1" ht="21.9375" hidden="1">
      <c r="A49" s="1297"/>
      <c r="B49" s="986"/>
      <c r="C49" s="1297"/>
      <c r="D49" s="1297"/>
      <c r="E49" s="709">
        <v>22.5</v>
      </c>
      <c r="F49" s="50" cm="1" t="str">
        <f t="array" ref="F49:F49">OFFSET(E49,-1,1)</f>
        <v>0</v>
      </c>
      <c r="G49" s="1297"/>
      <c r="H49" s="374"/>
      <c r="I49" s="374" t="s">
        <v>1567</v>
      </c>
      <c r="J49" s="1297"/>
      <c r="K49" s="374" t="s">
        <v>1567</v>
      </c>
      <c r="L49" s="988"/>
      <c r="M49" s="103"/>
      <c r="N49" s="1297"/>
      <c r="O49" s="1297"/>
      <c r="P49" s="1297"/>
      <c r="Q49" s="154" t="s">
        <v>2470</v>
      </c>
      <c r="R49" s="157" t="s">
        <v>2470</v>
      </c>
      <c r="S49" s="1297"/>
      <c r="T49" s="468" cm="1" t="str">
        <f t="array" ref="T49:T49">T48</f>
        <v>false</v>
      </c>
      <c r="U49" s="1297"/>
      <c r="V49" s="1297"/>
      <c r="W49" s="1297"/>
      <c r="X49" s="1539"/>
      <c r="Y49" s="1297"/>
      <c r="Z49" s="1529"/>
      <c r="AA49" s="1297"/>
      <c r="AB49" s="295" t="s">
        <v>1568</v>
      </c>
      <c r="AC49" s="772" t="s">
        <v>2215</v>
      </c>
      <c r="AD49" s="296" t="s">
        <v>936</v>
      </c>
      <c r="AE49" s="1272"/>
      <c r="AF49" s="1272"/>
      <c r="AG49" s="1272"/>
      <c r="AH49" s="951">
        <f>AG49-AF49</f>
        <v>0</v>
      </c>
      <c r="AI49" s="6490"/>
      <c r="AJ49" s="1271"/>
      <c r="AK49" s="950"/>
      <c r="AL49" s="950"/>
      <c r="AM49" s="950"/>
      <c r="AN49" s="950"/>
      <c r="AO49" s="950"/>
      <c r="AP49" s="950"/>
      <c r="AQ49" s="950"/>
      <c r="AR49" s="950"/>
      <c r="AS49" s="950"/>
      <c r="AT49" s="950"/>
      <c r="AU49" s="950"/>
      <c r="AV49" s="950"/>
      <c r="AW49" s="950"/>
      <c r="AX49" s="950"/>
      <c r="AY49" s="950"/>
      <c r="AZ49" s="950"/>
      <c r="BA49" s="950"/>
      <c r="BB49" s="950"/>
      <c r="BC49" s="950"/>
      <c r="BD49" s="950"/>
      <c r="BE49" s="950"/>
      <c r="BF49" s="950"/>
      <c r="BG49" s="950"/>
      <c r="BH49" s="950"/>
      <c r="BI49" s="950"/>
      <c r="BJ49" s="950"/>
      <c r="BK49" s="950"/>
      <c r="BL49" s="950"/>
      <c r="BM49" s="950"/>
      <c r="BN49" s="1270"/>
      <c r="BO49" s="1270"/>
      <c r="BP49" s="1270"/>
      <c r="BQ49" s="1297"/>
      <c r="BR49" s="1297"/>
      <c r="BS49" s="1072" t="s">
        <v>2216</v>
      </c>
      <c r="BT49" s="1072"/>
      <c r="BU49" s="1072"/>
      <c r="BV49" s="987"/>
      <c r="BW49" s="987"/>
    </row>
    <row customHeight="1" ht="21.9375" hidden="1">
      <c r="A50" s="1297"/>
      <c r="B50" s="986"/>
      <c r="C50" s="1297"/>
      <c r="D50" s="1297"/>
      <c r="E50" s="709">
        <v>22.5</v>
      </c>
      <c r="F50" s="50" cm="1" t="str">
        <f t="array" ref="F50:F50">OFFSET(E50,-1,1)</f>
        <v>0</v>
      </c>
      <c r="G50" s="1297"/>
      <c r="H50" s="374"/>
      <c r="I50" s="374" t="s">
        <v>1571</v>
      </c>
      <c r="J50" s="1297"/>
      <c r="K50" s="374" t="s">
        <v>1571</v>
      </c>
      <c r="L50" s="988" t="s">
        <v>587</v>
      </c>
      <c r="M50" s="103"/>
      <c r="N50" s="1297"/>
      <c r="O50" s="1297"/>
      <c r="P50" s="1297"/>
      <c r="Q50" s="154" t="s">
        <v>2470</v>
      </c>
      <c r="R50" s="157" t="s">
        <v>2470</v>
      </c>
      <c r="S50" s="1297"/>
      <c r="T50" s="468" cm="1" t="str">
        <f t="array" ref="T50:T50">T49</f>
        <v>false</v>
      </c>
      <c r="U50" s="1297"/>
      <c r="V50" s="1297"/>
      <c r="W50" s="1297"/>
      <c r="X50" s="1539"/>
      <c r="Y50" s="1297"/>
      <c r="Z50" s="1529"/>
      <c r="AA50" s="1297"/>
      <c r="AB50" s="295" t="s">
        <v>1572</v>
      </c>
      <c r="AC50" s="772" t="s">
        <v>2217</v>
      </c>
      <c r="AD50" s="296" t="s">
        <v>936</v>
      </c>
      <c r="AE50" s="1272">
        <f>AE51+AE52</f>
        <v>0</v>
      </c>
      <c r="AF50" s="1272">
        <f>AF51+AF52</f>
        <v>0</v>
      </c>
      <c r="AG50" s="1272">
        <f>AG51+AG52</f>
        <v>0</v>
      </c>
      <c r="AH50" s="951">
        <f>AG50-AF50</f>
        <v>0</v>
      </c>
      <c r="AI50" s="6490"/>
      <c r="AJ50" s="1271"/>
      <c r="AK50" s="950"/>
      <c r="AL50" s="950"/>
      <c r="AM50" s="950"/>
      <c r="AN50" s="950"/>
      <c r="AO50" s="950"/>
      <c r="AP50" s="950"/>
      <c r="AQ50" s="950"/>
      <c r="AR50" s="950"/>
      <c r="AS50" s="950"/>
      <c r="AT50" s="950"/>
      <c r="AU50" s="950"/>
      <c r="AV50" s="950"/>
      <c r="AW50" s="950"/>
      <c r="AX50" s="950"/>
      <c r="AY50" s="950"/>
      <c r="AZ50" s="950"/>
      <c r="BA50" s="950"/>
      <c r="BB50" s="950"/>
      <c r="BC50" s="950"/>
      <c r="BD50" s="950"/>
      <c r="BE50" s="950"/>
      <c r="BF50" s="950"/>
      <c r="BG50" s="950"/>
      <c r="BH50" s="950"/>
      <c r="BI50" s="950"/>
      <c r="BJ50" s="950"/>
      <c r="BK50" s="950"/>
      <c r="BL50" s="950"/>
      <c r="BM50" s="950"/>
      <c r="BN50" s="1270"/>
      <c r="BO50" s="1270"/>
      <c r="BP50" s="1270"/>
      <c r="BQ50" s="1297"/>
      <c r="BR50" s="1297"/>
      <c r="BS50" s="1070" t="s">
        <v>2044</v>
      </c>
      <c r="BT50" s="1072"/>
      <c r="BU50" s="1072"/>
      <c r="BV50" s="987"/>
      <c r="BW50" s="987"/>
    </row>
    <row customHeight="1" ht="14.625" hidden="1">
      <c r="A51" s="1297"/>
      <c r="B51" s="986"/>
      <c r="C51" s="1297"/>
      <c r="D51" s="1297"/>
      <c r="E51" s="709">
        <v>15</v>
      </c>
      <c r="F51" s="50" cm="1" t="str">
        <f t="array" ref="F51:F51">OFFSET(E51,-1,1)</f>
        <v>0</v>
      </c>
      <c r="G51" s="49" t="s">
        <v>1365</v>
      </c>
      <c r="H51" s="374"/>
      <c r="I51" s="374" t="s">
        <v>2218</v>
      </c>
      <c r="J51" s="1297"/>
      <c r="K51" s="374" t="s">
        <v>2218</v>
      </c>
      <c r="L51" s="988" t="s">
        <v>2045</v>
      </c>
      <c r="M51" s="103"/>
      <c r="N51" s="1297"/>
      <c r="O51" s="1297"/>
      <c r="P51" s="1297"/>
      <c r="Q51" s="154" t="s">
        <v>2470</v>
      </c>
      <c r="R51" s="157" t="s">
        <v>2470</v>
      </c>
      <c r="S51" s="1297"/>
      <c r="T51" s="468" cm="1" t="str">
        <f t="array" ref="T51:T51">T50</f>
        <v>false</v>
      </c>
      <c r="U51" s="1297"/>
      <c r="V51" s="1297"/>
      <c r="W51" s="1297"/>
      <c r="X51" s="1539"/>
      <c r="Y51" s="1297"/>
      <c r="Z51" s="1529"/>
      <c r="AA51" s="1297"/>
      <c r="AB51" s="295" t="s">
        <v>2219</v>
      </c>
      <c r="AC51" s="775" t="s">
        <v>2046</v>
      </c>
      <c r="AD51" s="296" t="s">
        <v>936</v>
      </c>
      <c r="AE51" s="1272"/>
      <c r="AF51" s="1272"/>
      <c r="AG51" s="1272"/>
      <c r="AH51" s="951">
        <f>AG51-AF51</f>
        <v>0</v>
      </c>
      <c r="AI51" s="6490"/>
      <c r="AJ51" s="1271"/>
      <c r="AK51" s="950"/>
      <c r="AL51" s="950"/>
      <c r="AM51" s="950"/>
      <c r="AN51" s="950"/>
      <c r="AO51" s="950"/>
      <c r="AP51" s="950"/>
      <c r="AQ51" s="950"/>
      <c r="AR51" s="950"/>
      <c r="AS51" s="950"/>
      <c r="AT51" s="950"/>
      <c r="AU51" s="950"/>
      <c r="AV51" s="950"/>
      <c r="AW51" s="950"/>
      <c r="AX51" s="950"/>
      <c r="AY51" s="950"/>
      <c r="AZ51" s="950"/>
      <c r="BA51" s="950"/>
      <c r="BB51" s="950"/>
      <c r="BC51" s="950"/>
      <c r="BD51" s="950"/>
      <c r="BE51" s="950"/>
      <c r="BF51" s="950"/>
      <c r="BG51" s="950"/>
      <c r="BH51" s="950"/>
      <c r="BI51" s="950"/>
      <c r="BJ51" s="950"/>
      <c r="BK51" s="950"/>
      <c r="BL51" s="950"/>
      <c r="BM51" s="950"/>
      <c r="BN51" s="1270"/>
      <c r="BO51" s="1273" t="str">
        <f>IF(_xlfn.IFERROR(INDEX(ФОТ!$K$26:$L$127,MATCH($F51&amp;"3komm",ФОТ!$K$26:$K$127,0),2),"")=0,"",_xlfn.IFERROR(INDEX(ФОТ!$K$26:$L$127,MATCH($F51&amp;"3komm",ФОТ!$K$26:$K$127,0),2),""))</f>
        <v/>
      </c>
      <c r="BP51" s="1270"/>
      <c r="BQ51" s="1297"/>
      <c r="BR51" s="1297"/>
      <c r="BS51" s="1070" t="s">
        <v>2047</v>
      </c>
      <c r="BT51" s="1072"/>
      <c r="BU51" s="1072"/>
      <c r="BV51" s="987"/>
      <c r="BW51" s="987"/>
    </row>
    <row customHeight="1" ht="21.9375" hidden="1">
      <c r="A52" s="1297"/>
      <c r="B52" s="986"/>
      <c r="C52" s="1297"/>
      <c r="D52" s="1297"/>
      <c r="E52" s="709">
        <v>22.5</v>
      </c>
      <c r="F52" s="50" cm="1" t="str">
        <f t="array" ref="F52:F52">OFFSET(E52,-1,1)</f>
        <v>0</v>
      </c>
      <c r="G52" s="49" t="s">
        <v>1370</v>
      </c>
      <c r="H52" s="374"/>
      <c r="I52" s="374" t="s">
        <v>2220</v>
      </c>
      <c r="J52" s="1297"/>
      <c r="K52" s="374" t="s">
        <v>2220</v>
      </c>
      <c r="L52" s="988" t="s">
        <v>2048</v>
      </c>
      <c r="M52" s="103"/>
      <c r="N52" s="1297"/>
      <c r="O52" s="1297"/>
      <c r="P52" s="1297"/>
      <c r="Q52" s="154" t="s">
        <v>2470</v>
      </c>
      <c r="R52" s="157" t="s">
        <v>2470</v>
      </c>
      <c r="S52" s="1297"/>
      <c r="T52" s="468" cm="1" t="str">
        <f t="array" ref="T52:T52">T51</f>
        <v>false</v>
      </c>
      <c r="U52" s="1297"/>
      <c r="V52" s="1297"/>
      <c r="W52" s="1297"/>
      <c r="X52" s="1539"/>
      <c r="Y52" s="1297"/>
      <c r="Z52" s="1529"/>
      <c r="AA52" s="1297"/>
      <c r="AB52" s="295" t="s">
        <v>2221</v>
      </c>
      <c r="AC52" s="775" t="s">
        <v>2222</v>
      </c>
      <c r="AD52" s="296" t="s">
        <v>936</v>
      </c>
      <c r="AE52" s="1272">
        <f>AE51*_xlfn.SUMIFS(INDEX(Сценарии!$AE$25:$BF$136,,MATCH(AE$8,Сценарии!$AE$8:$BF$8,0)),Сценарии!$F$25:$F$136,$F52,Сценарии!$G$25:$G$136,"СВФОТ")/100</f>
        <v>0</v>
      </c>
      <c r="AF52" s="1272">
        <f>AF51*_xlfn.SUMIFS(INDEX(Сценарии!$AE$25:$BF$136,,MATCH(AF$8,Сценарии!$AE$8:$BF$8,0)),Сценарии!$F$25:$F$136,$F52,Сценарии!$G$25:$G$136,"СВФОТ")/100</f>
        <v>0</v>
      </c>
      <c r="AG52" s="1272">
        <f>AG51*_xlfn.SUMIFS(INDEX(Сценарии!$AE$25:$BF$136,,MATCH(AG$8,Сценарии!$AE$8:$BF$8,0)),Сценарии!$F$25:$F$136,$F52,Сценарии!$G$25:$G$136,"СВФОТ")/100</f>
        <v>0</v>
      </c>
      <c r="AH52" s="951">
        <f>AG52-AF52</f>
        <v>0</v>
      </c>
      <c r="AI52" s="6490">
        <f>AI51*_xlfn.SUMIFS(INDEX(Сценарии!$AE$25:$BF$136,,MATCH(AG$8,Сценарии!$AE$8:$BF$8,0)),Сценарии!$F$25:$F$136,$F52,Сценарии!$G$25:$G$136,"СВФОТ")/100</f>
        <v>0</v>
      </c>
      <c r="AJ52" s="1271"/>
      <c r="AK52" s="950"/>
      <c r="AL52" s="950"/>
      <c r="AM52" s="950"/>
      <c r="AN52" s="950"/>
      <c r="AO52" s="950"/>
      <c r="AP52" s="950"/>
      <c r="AQ52" s="950"/>
      <c r="AR52" s="950"/>
      <c r="AS52" s="950"/>
      <c r="AT52" s="950"/>
      <c r="AU52" s="950"/>
      <c r="AV52" s="950"/>
      <c r="AW52" s="950"/>
      <c r="AX52" s="950"/>
      <c r="AY52" s="950"/>
      <c r="AZ52" s="950"/>
      <c r="BA52" s="950"/>
      <c r="BB52" s="950"/>
      <c r="BC52" s="950"/>
      <c r="BD52" s="950"/>
      <c r="BE52" s="950"/>
      <c r="BF52" s="950"/>
      <c r="BG52" s="950"/>
      <c r="BH52" s="950"/>
      <c r="BI52" s="950"/>
      <c r="BJ52" s="950"/>
      <c r="BK52" s="950"/>
      <c r="BL52" s="950"/>
      <c r="BM52" s="950"/>
      <c r="BN52" s="1270"/>
      <c r="BO52" s="1273" t="str">
        <f>IF(_xlfn.IFERROR(INDEX(ФОТ!$K$26:$L$127,MATCH($F52&amp;"4komm",ФОТ!$K$26:$K$127,0),2),"")=0,"",_xlfn.IFERROR(INDEX(ФОТ!$K$26:$L$127,MATCH($F52&amp;"4komm",ФОТ!$K$26:$K$127,0),2),""))</f>
        <v/>
      </c>
      <c r="BP52" s="1270"/>
      <c r="BQ52" s="1297"/>
      <c r="BR52" s="1297"/>
      <c r="BS52" s="1070" t="s">
        <v>2050</v>
      </c>
      <c r="BT52" s="1072"/>
      <c r="BU52" s="1072"/>
      <c r="BV52" s="987"/>
      <c r="BW52" s="987"/>
    </row>
    <row s="706" customFormat="1" customHeight="1" ht="20.475" hidden="1">
      <c r="A53" s="706"/>
      <c r="B53" s="437"/>
      <c r="C53" s="706"/>
      <c r="D53" s="706"/>
      <c r="E53" s="713">
        <v>21</v>
      </c>
      <c r="F53" s="50" cm="1" t="str">
        <f t="array" ref="F53:F53">OFFSET(E53,-1,1)</f>
        <v>0</v>
      </c>
      <c r="G53" s="706"/>
      <c r="H53" s="374"/>
      <c r="I53" s="374" t="s">
        <v>577</v>
      </c>
      <c r="J53" s="706"/>
      <c r="K53" s="374" t="s">
        <v>577</v>
      </c>
      <c r="L53" s="993" t="s">
        <v>346</v>
      </c>
      <c r="M53" s="105"/>
      <c r="N53" s="706"/>
      <c r="O53" s="706"/>
      <c r="P53" s="706"/>
      <c r="Q53" s="154" t="s">
        <v>2470</v>
      </c>
      <c r="R53" s="157" t="s">
        <v>2470</v>
      </c>
      <c r="S53" s="706"/>
      <c r="T53" s="468" cm="1" t="str">
        <f t="array" ref="T53:T53">T52</f>
        <v>false</v>
      </c>
      <c r="U53" s="706"/>
      <c r="V53" s="706"/>
      <c r="W53" s="706"/>
      <c r="X53" s="1539"/>
      <c r="Y53" s="706"/>
      <c r="Z53" s="1529"/>
      <c r="AA53" s="706"/>
      <c r="AB53" s="214" t="s">
        <v>1076</v>
      </c>
      <c r="AC53" s="357" t="s">
        <v>2223</v>
      </c>
      <c r="AD53" s="207" t="s">
        <v>936</v>
      </c>
      <c r="AE53" s="777">
        <f>AE54+AE62+AE65+AE66+AE67+AE68+AE69</f>
        <v>0</v>
      </c>
      <c r="AF53" s="777">
        <f>AF54+AF62+AF65+AF66+AF67+AF68+AF69</f>
        <v>0</v>
      </c>
      <c r="AG53" s="777">
        <f>AG54+AG62+AG65+AG66+AG67+AG68+AG69</f>
        <v>0</v>
      </c>
      <c r="AH53" s="768">
        <f>AG53-AF53</f>
        <v>0</v>
      </c>
      <c r="AI53" s="6497">
        <f>AI54+AI62+AI65+AI66+AI67+AI68+AI69</f>
        <v>0</v>
      </c>
      <c r="AJ53" s="1271"/>
      <c r="AK53" s="771"/>
      <c r="AL53" s="771"/>
      <c r="AM53" s="771"/>
      <c r="AN53" s="771"/>
      <c r="AO53" s="771"/>
      <c r="AP53" s="771"/>
      <c r="AQ53" s="771"/>
      <c r="AR53" s="771"/>
      <c r="AS53" s="771"/>
      <c r="AT53" s="771"/>
      <c r="AU53" s="771"/>
      <c r="AV53" s="771"/>
      <c r="AW53" s="771"/>
      <c r="AX53" s="771"/>
      <c r="AY53" s="771"/>
      <c r="AZ53" s="771"/>
      <c r="BA53" s="771"/>
      <c r="BB53" s="771"/>
      <c r="BC53" s="771"/>
      <c r="BD53" s="771"/>
      <c r="BE53" s="771"/>
      <c r="BF53" s="771"/>
      <c r="BG53" s="771"/>
      <c r="BH53" s="771"/>
      <c r="BI53" s="771"/>
      <c r="BJ53" s="771"/>
      <c r="BK53" s="771"/>
      <c r="BL53" s="771"/>
      <c r="BM53" s="771"/>
      <c r="BN53" s="1266"/>
      <c r="BO53" s="1266"/>
      <c r="BP53" s="1266"/>
      <c r="BQ53" s="706"/>
      <c r="BR53" s="706"/>
      <c r="BS53" s="1071" t="s">
        <v>2052</v>
      </c>
      <c r="BT53" s="1078"/>
      <c r="BU53" s="1078"/>
      <c r="BV53" s="713"/>
      <c r="BW53" s="713"/>
    </row>
    <row customHeight="1" ht="21.9375" hidden="1">
      <c r="A54" s="1297"/>
      <c r="B54" s="986"/>
      <c r="C54" s="1297"/>
      <c r="D54" s="1297"/>
      <c r="E54" s="709">
        <v>22.5</v>
      </c>
      <c r="F54" s="50" cm="1" t="str">
        <f t="array" ref="F54:F54">OFFSET(E54,-1,1)</f>
        <v>0</v>
      </c>
      <c r="G54" s="154" t="s">
        <v>1391</v>
      </c>
      <c r="H54" s="374"/>
      <c r="I54" s="374" t="s">
        <v>1577</v>
      </c>
      <c r="J54" s="1297"/>
      <c r="K54" s="374" t="s">
        <v>1577</v>
      </c>
      <c r="L54" s="988" t="s">
        <v>1097</v>
      </c>
      <c r="M54" s="103"/>
      <c r="N54" s="1297"/>
      <c r="O54" s="1297"/>
      <c r="P54" s="1297"/>
      <c r="Q54" s="154" t="s">
        <v>2470</v>
      </c>
      <c r="R54" s="157" t="s">
        <v>2470</v>
      </c>
      <c r="S54" s="1297"/>
      <c r="T54" s="468" cm="1" t="str">
        <f t="array" ref="T54:T54">T53</f>
        <v>false</v>
      </c>
      <c r="U54" s="1297"/>
      <c r="V54" s="1297"/>
      <c r="W54" s="1297"/>
      <c r="X54" s="1539"/>
      <c r="Y54" s="1297"/>
      <c r="Z54" s="1529"/>
      <c r="AA54" s="1297"/>
      <c r="AB54" s="295" t="s">
        <v>1214</v>
      </c>
      <c r="AC54" s="772" t="s">
        <v>2224</v>
      </c>
      <c r="AD54" s="296" t="s">
        <v>936</v>
      </c>
      <c r="AE54" s="952">
        <f>SUM(AE55:AE61)</f>
        <v>0</v>
      </c>
      <c r="AF54" s="952">
        <f>SUM(AF55:AF61)</f>
        <v>0</v>
      </c>
      <c r="AG54" s="952">
        <f>SUM(AG55:AG61)</f>
        <v>0</v>
      </c>
      <c r="AH54" s="951">
        <f>AG54-AF54</f>
        <v>0</v>
      </c>
      <c r="AI54" s="6493">
        <f>SUM(AI55:AI61)</f>
        <v>0</v>
      </c>
      <c r="AJ54" s="1271"/>
      <c r="AK54" s="950"/>
      <c r="AL54" s="950"/>
      <c r="AM54" s="950"/>
      <c r="AN54" s="950"/>
      <c r="AO54" s="950"/>
      <c r="AP54" s="950"/>
      <c r="AQ54" s="950"/>
      <c r="AR54" s="950"/>
      <c r="AS54" s="950"/>
      <c r="AT54" s="950"/>
      <c r="AU54" s="950"/>
      <c r="AV54" s="950"/>
      <c r="AW54" s="950"/>
      <c r="AX54" s="950"/>
      <c r="AY54" s="950"/>
      <c r="AZ54" s="950"/>
      <c r="BA54" s="950"/>
      <c r="BB54" s="950"/>
      <c r="BC54" s="950"/>
      <c r="BD54" s="950"/>
      <c r="BE54" s="950"/>
      <c r="BF54" s="950"/>
      <c r="BG54" s="950"/>
      <c r="BH54" s="950"/>
      <c r="BI54" s="950"/>
      <c r="BJ54" s="950"/>
      <c r="BK54" s="950"/>
      <c r="BL54" s="950"/>
      <c r="BM54" s="950"/>
      <c r="BN54" s="1270"/>
      <c r="BO54" s="1273" t="str">
        <f>IF(_xlfn.IFERROR(INDEX(Административные!$K$26:$L$103,MATCH($F54&amp;"17komm",Административные!$K$26:$K$103,0),2),"")=0,"",_xlfn.IFERROR(INDEX(Административные!$K$26:$L$103,MATCH($F54&amp;"17komm",Административные!$K$26:$K$103,0),2),""))</f>
        <v/>
      </c>
      <c r="BP54" s="1270"/>
      <c r="BQ54" s="1297"/>
      <c r="BR54" s="1297"/>
      <c r="BS54" s="1070" t="s">
        <v>1393</v>
      </c>
      <c r="BT54" s="1072"/>
      <c r="BU54" s="1072"/>
      <c r="BV54" s="987"/>
      <c r="BW54" s="987"/>
    </row>
    <row customHeight="1" ht="14.625" hidden="1">
      <c r="A55" s="1297"/>
      <c r="B55" s="986"/>
      <c r="C55" s="1297"/>
      <c r="D55" s="1297"/>
      <c r="E55" s="709">
        <v>15</v>
      </c>
      <c r="F55" s="50" cm="1" t="str">
        <f t="array" ref="F55:F55">OFFSET(E55,-1,1)</f>
        <v>0</v>
      </c>
      <c r="G55" s="154" t="s">
        <v>1394</v>
      </c>
      <c r="H55" s="374"/>
      <c r="I55" s="374" t="s">
        <v>2225</v>
      </c>
      <c r="J55" s="1297"/>
      <c r="K55" s="374" t="s">
        <v>2225</v>
      </c>
      <c r="L55" s="988"/>
      <c r="M55" s="103"/>
      <c r="N55" s="1297"/>
      <c r="O55" s="1297"/>
      <c r="P55" s="1297"/>
      <c r="Q55" s="154" t="s">
        <v>2470</v>
      </c>
      <c r="R55" s="157" t="s">
        <v>2470</v>
      </c>
      <c r="S55" s="1297"/>
      <c r="T55" s="468" cm="1" t="str">
        <f t="array" ref="T55:T55">T54</f>
        <v>false</v>
      </c>
      <c r="U55" s="1297"/>
      <c r="V55" s="1297"/>
      <c r="W55" s="1297"/>
      <c r="X55" s="1539"/>
      <c r="Y55" s="1297"/>
      <c r="Z55" s="1529"/>
      <c r="AA55" s="1297"/>
      <c r="AB55" s="295" t="s">
        <v>2226</v>
      </c>
      <c r="AC55" s="775" t="s">
        <v>1395</v>
      </c>
      <c r="AD55" s="296" t="s">
        <v>936</v>
      </c>
      <c r="AE55" s="1272"/>
      <c r="AF55" s="1272"/>
      <c r="AG55" s="1272"/>
      <c r="AH55" s="951">
        <f>AG55-AF55</f>
        <v>0</v>
      </c>
      <c r="AI55" s="6490"/>
      <c r="AJ55" s="1271"/>
      <c r="AK55" s="950"/>
      <c r="AL55" s="950"/>
      <c r="AM55" s="950"/>
      <c r="AN55" s="950"/>
      <c r="AO55" s="950"/>
      <c r="AP55" s="950"/>
      <c r="AQ55" s="950"/>
      <c r="AR55" s="950"/>
      <c r="AS55" s="950"/>
      <c r="AT55" s="950"/>
      <c r="AU55" s="950"/>
      <c r="AV55" s="950"/>
      <c r="AW55" s="950"/>
      <c r="AX55" s="950"/>
      <c r="AY55" s="950"/>
      <c r="AZ55" s="950"/>
      <c r="BA55" s="950"/>
      <c r="BB55" s="950"/>
      <c r="BC55" s="950"/>
      <c r="BD55" s="950"/>
      <c r="BE55" s="950"/>
      <c r="BF55" s="950"/>
      <c r="BG55" s="950"/>
      <c r="BH55" s="950"/>
      <c r="BI55" s="950"/>
      <c r="BJ55" s="950"/>
      <c r="BK55" s="950"/>
      <c r="BL55" s="950"/>
      <c r="BM55" s="950"/>
      <c r="BN55" s="1270"/>
      <c r="BO55" s="1273" t="str">
        <f>IF(_xlfn.IFERROR(INDEX(Административные!$K$26:$L$103,MATCH($F55&amp;"18komm",Административные!$K$26:$K$103,0),2),"")=0,"",_xlfn.IFERROR(INDEX(Административные!$K$26:$L$103,MATCH($F55&amp;"18komm",Административные!$K$26:$K$103,0),2),""))</f>
        <v/>
      </c>
      <c r="BP55" s="1270"/>
      <c r="BQ55" s="1297"/>
      <c r="BR55" s="1297"/>
      <c r="BS55" s="1072" t="s">
        <v>1396</v>
      </c>
      <c r="BT55" s="1072"/>
      <c r="BU55" s="1072"/>
      <c r="BV55" s="987"/>
      <c r="BW55" s="987"/>
    </row>
    <row customHeight="1" ht="14.625" hidden="1">
      <c r="A56" s="1297"/>
      <c r="B56" s="986"/>
      <c r="C56" s="1297"/>
      <c r="D56" s="1297"/>
      <c r="E56" s="709">
        <v>15</v>
      </c>
      <c r="F56" s="50" cm="1" t="str">
        <f t="array" ref="F56:F56">OFFSET(E56,-1,1)</f>
        <v>0</v>
      </c>
      <c r="G56" s="154" t="s">
        <v>1397</v>
      </c>
      <c r="H56" s="374"/>
      <c r="I56" s="374" t="s">
        <v>2227</v>
      </c>
      <c r="J56" s="1297"/>
      <c r="K56" s="374" t="s">
        <v>2227</v>
      </c>
      <c r="L56" s="988"/>
      <c r="M56" s="103"/>
      <c r="N56" s="1297"/>
      <c r="O56" s="1297"/>
      <c r="P56" s="1297"/>
      <c r="Q56" s="154" t="s">
        <v>2470</v>
      </c>
      <c r="R56" s="157" t="s">
        <v>2470</v>
      </c>
      <c r="S56" s="1297"/>
      <c r="T56" s="468" cm="1" t="str">
        <f t="array" ref="T56:T56">T55</f>
        <v>false</v>
      </c>
      <c r="U56" s="1297"/>
      <c r="V56" s="1297"/>
      <c r="W56" s="1297"/>
      <c r="X56" s="1539"/>
      <c r="Y56" s="1297"/>
      <c r="Z56" s="1529"/>
      <c r="AA56" s="1297"/>
      <c r="AB56" s="295" t="s">
        <v>2228</v>
      </c>
      <c r="AC56" s="775" t="s">
        <v>1398</v>
      </c>
      <c r="AD56" s="296" t="s">
        <v>936</v>
      </c>
      <c r="AE56" s="1272"/>
      <c r="AF56" s="1272"/>
      <c r="AG56" s="1272"/>
      <c r="AH56" s="951">
        <f>AG56-AF56</f>
        <v>0</v>
      </c>
      <c r="AI56" s="6490"/>
      <c r="AJ56" s="1271"/>
      <c r="AK56" s="950"/>
      <c r="AL56" s="950"/>
      <c r="AM56" s="950"/>
      <c r="AN56" s="950"/>
      <c r="AO56" s="950"/>
      <c r="AP56" s="950"/>
      <c r="AQ56" s="950"/>
      <c r="AR56" s="950"/>
      <c r="AS56" s="950"/>
      <c r="AT56" s="950"/>
      <c r="AU56" s="950"/>
      <c r="AV56" s="950"/>
      <c r="AW56" s="950"/>
      <c r="AX56" s="950"/>
      <c r="AY56" s="950"/>
      <c r="AZ56" s="950"/>
      <c r="BA56" s="950"/>
      <c r="BB56" s="950"/>
      <c r="BC56" s="950"/>
      <c r="BD56" s="950"/>
      <c r="BE56" s="950"/>
      <c r="BF56" s="950"/>
      <c r="BG56" s="950"/>
      <c r="BH56" s="950"/>
      <c r="BI56" s="950"/>
      <c r="BJ56" s="950"/>
      <c r="BK56" s="950"/>
      <c r="BL56" s="950"/>
      <c r="BM56" s="950"/>
      <c r="BN56" s="1270"/>
      <c r="BO56" s="1273" t="str">
        <f>IF(_xlfn.IFERROR(INDEX(Административные!$K$26:$L$103,MATCH($F56&amp;"11komm",Административные!$K$26:$K$103,0),2),"")=0,"",_xlfn.IFERROR(INDEX(Административные!$K$26:$L$103,MATCH($F56&amp;"11komm",Административные!$K$26:$K$103,0),2),""))</f>
        <v/>
      </c>
      <c r="BP56" s="1270"/>
      <c r="BQ56" s="1297"/>
      <c r="BR56" s="1297"/>
      <c r="BS56" s="1072" t="s">
        <v>1399</v>
      </c>
      <c r="BT56" s="1072"/>
      <c r="BU56" s="1072"/>
      <c r="BV56" s="987"/>
      <c r="BW56" s="987"/>
    </row>
    <row customHeight="1" ht="14.625" hidden="1">
      <c r="A57" s="1297"/>
      <c r="B57" s="986"/>
      <c r="C57" s="1297"/>
      <c r="D57" s="1297"/>
      <c r="E57" s="709">
        <v>15</v>
      </c>
      <c r="F57" s="50" cm="1" t="str">
        <f t="array" ref="F57:F57">OFFSET(E57,-1,1)</f>
        <v>0</v>
      </c>
      <c r="G57" s="154" t="s">
        <v>1400</v>
      </c>
      <c r="H57" s="374"/>
      <c r="I57" s="374" t="s">
        <v>2229</v>
      </c>
      <c r="J57" s="1297"/>
      <c r="K57" s="374" t="s">
        <v>2229</v>
      </c>
      <c r="L57" s="988"/>
      <c r="M57" s="103"/>
      <c r="N57" s="1297"/>
      <c r="O57" s="1297"/>
      <c r="P57" s="1297"/>
      <c r="Q57" s="154" t="s">
        <v>2470</v>
      </c>
      <c r="R57" s="157" t="s">
        <v>2470</v>
      </c>
      <c r="S57" s="1297"/>
      <c r="T57" s="468" cm="1" t="str">
        <f t="array" ref="T57:T57">T56</f>
        <v>false</v>
      </c>
      <c r="U57" s="1297"/>
      <c r="V57" s="1297"/>
      <c r="W57" s="1297"/>
      <c r="X57" s="1539"/>
      <c r="Y57" s="1297"/>
      <c r="Z57" s="1529"/>
      <c r="AA57" s="1297"/>
      <c r="AB57" s="295" t="s">
        <v>2230</v>
      </c>
      <c r="AC57" s="775" t="s">
        <v>1401</v>
      </c>
      <c r="AD57" s="296" t="s">
        <v>936</v>
      </c>
      <c r="AE57" s="1272"/>
      <c r="AF57" s="1272"/>
      <c r="AG57" s="1272"/>
      <c r="AH57" s="951">
        <f>AG57-AF57</f>
        <v>0</v>
      </c>
      <c r="AI57" s="6490"/>
      <c r="AJ57" s="1271"/>
      <c r="AK57" s="950"/>
      <c r="AL57" s="950"/>
      <c r="AM57" s="950"/>
      <c r="AN57" s="950"/>
      <c r="AO57" s="950"/>
      <c r="AP57" s="950"/>
      <c r="AQ57" s="950"/>
      <c r="AR57" s="950"/>
      <c r="AS57" s="950"/>
      <c r="AT57" s="950"/>
      <c r="AU57" s="950"/>
      <c r="AV57" s="950"/>
      <c r="AW57" s="950"/>
      <c r="AX57" s="950"/>
      <c r="AY57" s="950"/>
      <c r="AZ57" s="950"/>
      <c r="BA57" s="950"/>
      <c r="BB57" s="950"/>
      <c r="BC57" s="950"/>
      <c r="BD57" s="950"/>
      <c r="BE57" s="950"/>
      <c r="BF57" s="950"/>
      <c r="BG57" s="950"/>
      <c r="BH57" s="950"/>
      <c r="BI57" s="950"/>
      <c r="BJ57" s="950"/>
      <c r="BK57" s="950"/>
      <c r="BL57" s="950"/>
      <c r="BM57" s="950"/>
      <c r="BN57" s="1270"/>
      <c r="BO57" s="1273" t="str">
        <f>IF(_xlfn.IFERROR(INDEX(Административные!$K$26:$L$103,MATCH($F57&amp;"12komm",Административные!$K$26:$K$103,0),2),"")=0,"",_xlfn.IFERROR(INDEX(Административные!$K$26:$L$103,MATCH($F57&amp;"12komm",Административные!$K$26:$K$103,0),2),""))</f>
        <v/>
      </c>
      <c r="BP57" s="1270"/>
      <c r="BQ57" s="1297"/>
      <c r="BR57" s="1297"/>
      <c r="BS57" s="1072" t="s">
        <v>1402</v>
      </c>
      <c r="BT57" s="1072"/>
      <c r="BU57" s="1072"/>
      <c r="BV57" s="987"/>
      <c r="BW57" s="987"/>
    </row>
    <row customHeight="1" ht="14.625" hidden="1">
      <c r="A58" s="1297"/>
      <c r="B58" s="986"/>
      <c r="C58" s="1297"/>
      <c r="D58" s="1297"/>
      <c r="E58" s="709">
        <v>15</v>
      </c>
      <c r="F58" s="50" cm="1" t="str">
        <f t="array" ref="F58:F58">OFFSET(E58,-1,1)</f>
        <v>0</v>
      </c>
      <c r="G58" s="154" t="s">
        <v>1403</v>
      </c>
      <c r="H58" s="374"/>
      <c r="I58" s="374" t="s">
        <v>2231</v>
      </c>
      <c r="J58" s="1297"/>
      <c r="K58" s="374" t="s">
        <v>2231</v>
      </c>
      <c r="L58" s="988"/>
      <c r="M58" s="103"/>
      <c r="N58" s="1297"/>
      <c r="O58" s="1297"/>
      <c r="P58" s="1297"/>
      <c r="Q58" s="154" t="s">
        <v>2470</v>
      </c>
      <c r="R58" s="157" t="s">
        <v>2470</v>
      </c>
      <c r="S58" s="1297"/>
      <c r="T58" s="468" cm="1" t="str">
        <f t="array" ref="T58:T58">T57</f>
        <v>false</v>
      </c>
      <c r="U58" s="1297"/>
      <c r="V58" s="1297"/>
      <c r="W58" s="1297"/>
      <c r="X58" s="1539"/>
      <c r="Y58" s="1297"/>
      <c r="Z58" s="1529"/>
      <c r="AA58" s="1297"/>
      <c r="AB58" s="295" t="s">
        <v>2232</v>
      </c>
      <c r="AC58" s="775" t="s">
        <v>1404</v>
      </c>
      <c r="AD58" s="296" t="s">
        <v>936</v>
      </c>
      <c r="AE58" s="1272"/>
      <c r="AF58" s="1272"/>
      <c r="AG58" s="1272"/>
      <c r="AH58" s="951">
        <f>AG58-AF58</f>
        <v>0</v>
      </c>
      <c r="AI58" s="6490"/>
      <c r="AJ58" s="1271"/>
      <c r="AK58" s="950"/>
      <c r="AL58" s="950"/>
      <c r="AM58" s="950"/>
      <c r="AN58" s="950"/>
      <c r="AO58" s="950"/>
      <c r="AP58" s="950"/>
      <c r="AQ58" s="950"/>
      <c r="AR58" s="950"/>
      <c r="AS58" s="950"/>
      <c r="AT58" s="950"/>
      <c r="AU58" s="950"/>
      <c r="AV58" s="950"/>
      <c r="AW58" s="950"/>
      <c r="AX58" s="950"/>
      <c r="AY58" s="950"/>
      <c r="AZ58" s="950"/>
      <c r="BA58" s="950"/>
      <c r="BB58" s="950"/>
      <c r="BC58" s="950"/>
      <c r="BD58" s="950"/>
      <c r="BE58" s="950"/>
      <c r="BF58" s="950"/>
      <c r="BG58" s="950"/>
      <c r="BH58" s="950"/>
      <c r="BI58" s="950"/>
      <c r="BJ58" s="950"/>
      <c r="BK58" s="950"/>
      <c r="BL58" s="950"/>
      <c r="BM58" s="950"/>
      <c r="BN58" s="1270"/>
      <c r="BO58" s="1273" t="str">
        <f>IF(_xlfn.IFERROR(INDEX(Административные!$K$26:$L$103,MATCH($F58&amp;"13komm",Административные!$K$26:$K$103,0),2),"")=0,"",_xlfn.IFERROR(INDEX(Административные!$K$26:$L$103,MATCH($F58&amp;"13komm",Административные!$K$26:$K$103,0),2),""))</f>
        <v/>
      </c>
      <c r="BP58" s="1270"/>
      <c r="BQ58" s="1297"/>
      <c r="BR58" s="1297"/>
      <c r="BS58" s="1072" t="s">
        <v>1405</v>
      </c>
      <c r="BT58" s="1072"/>
      <c r="BU58" s="1072"/>
      <c r="BV58" s="987"/>
      <c r="BW58" s="987"/>
    </row>
    <row customHeight="1" ht="14.625" hidden="1">
      <c r="A59" s="1297"/>
      <c r="B59" s="986"/>
      <c r="C59" s="1297"/>
      <c r="D59" s="1297"/>
      <c r="E59" s="709">
        <v>15</v>
      </c>
      <c r="F59" s="50" cm="1" t="str">
        <f t="array" ref="F59:F59">OFFSET(E59,-1,1)</f>
        <v>0</v>
      </c>
      <c r="G59" s="154" t="s">
        <v>1406</v>
      </c>
      <c r="H59" s="374"/>
      <c r="I59" s="374" t="s">
        <v>2233</v>
      </c>
      <c r="J59" s="1297"/>
      <c r="K59" s="374" t="s">
        <v>2233</v>
      </c>
      <c r="L59" s="988"/>
      <c r="M59" s="103"/>
      <c r="N59" s="1297"/>
      <c r="O59" s="1297"/>
      <c r="P59" s="1297"/>
      <c r="Q59" s="154" t="s">
        <v>2470</v>
      </c>
      <c r="R59" s="157" t="s">
        <v>2470</v>
      </c>
      <c r="S59" s="1297"/>
      <c r="T59" s="468" cm="1" t="str">
        <f t="array" ref="T59:T59">T58</f>
        <v>false</v>
      </c>
      <c r="U59" s="1297"/>
      <c r="V59" s="1297"/>
      <c r="W59" s="1297"/>
      <c r="X59" s="1539"/>
      <c r="Y59" s="1297"/>
      <c r="Z59" s="1529"/>
      <c r="AA59" s="1297"/>
      <c r="AB59" s="295" t="s">
        <v>2234</v>
      </c>
      <c r="AC59" s="775" t="s">
        <v>1407</v>
      </c>
      <c r="AD59" s="296" t="s">
        <v>936</v>
      </c>
      <c r="AE59" s="1272"/>
      <c r="AF59" s="1272"/>
      <c r="AG59" s="1272"/>
      <c r="AH59" s="951">
        <f>AG59-AF59</f>
        <v>0</v>
      </c>
      <c r="AI59" s="6490"/>
      <c r="AJ59" s="1271"/>
      <c r="AK59" s="950"/>
      <c r="AL59" s="950"/>
      <c r="AM59" s="950"/>
      <c r="AN59" s="950"/>
      <c r="AO59" s="950"/>
      <c r="AP59" s="950"/>
      <c r="AQ59" s="950"/>
      <c r="AR59" s="950"/>
      <c r="AS59" s="950"/>
      <c r="AT59" s="950"/>
      <c r="AU59" s="950"/>
      <c r="AV59" s="950"/>
      <c r="AW59" s="950"/>
      <c r="AX59" s="950"/>
      <c r="AY59" s="950"/>
      <c r="AZ59" s="950"/>
      <c r="BA59" s="950"/>
      <c r="BB59" s="950"/>
      <c r="BC59" s="950"/>
      <c r="BD59" s="950"/>
      <c r="BE59" s="950"/>
      <c r="BF59" s="950"/>
      <c r="BG59" s="950"/>
      <c r="BH59" s="950"/>
      <c r="BI59" s="950"/>
      <c r="BJ59" s="950"/>
      <c r="BK59" s="950"/>
      <c r="BL59" s="950"/>
      <c r="BM59" s="950"/>
      <c r="BN59" s="1270"/>
      <c r="BO59" s="1273" t="str">
        <f>IF(_xlfn.IFERROR(INDEX(Административные!$K$26:$L$103,MATCH($F59&amp;"14komm",Административные!$K$26:$K$103,0),2),"")=0,"",_xlfn.IFERROR(INDEX(Административные!$K$26:$L$103,MATCH($F59&amp;"14komm",Административные!$K$26:$K$103,0),2),""))</f>
        <v/>
      </c>
      <c r="BP59" s="1270"/>
      <c r="BQ59" s="1297"/>
      <c r="BR59" s="1297"/>
      <c r="BS59" s="1072" t="s">
        <v>2235</v>
      </c>
      <c r="BT59" s="1072"/>
      <c r="BU59" s="1072"/>
      <c r="BV59" s="987"/>
      <c r="BW59" s="987"/>
    </row>
    <row customHeight="1" ht="14.625" hidden="1">
      <c r="A60" s="1297"/>
      <c r="B60" s="986"/>
      <c r="C60" s="1297"/>
      <c r="D60" s="1297"/>
      <c r="E60" s="709">
        <v>15</v>
      </c>
      <c r="F60" s="50" cm="1" t="str">
        <f t="array" ref="F60:F60">OFFSET(E60,-1,1)</f>
        <v>0</v>
      </c>
      <c r="G60" s="154" t="s">
        <v>1409</v>
      </c>
      <c r="H60" s="374"/>
      <c r="I60" s="374" t="s">
        <v>2236</v>
      </c>
      <c r="J60" s="1297"/>
      <c r="K60" s="374" t="s">
        <v>2236</v>
      </c>
      <c r="L60" s="988"/>
      <c r="M60" s="103"/>
      <c r="N60" s="1297"/>
      <c r="O60" s="1297"/>
      <c r="P60" s="1297"/>
      <c r="Q60" s="154" t="s">
        <v>2470</v>
      </c>
      <c r="R60" s="157" t="s">
        <v>2470</v>
      </c>
      <c r="S60" s="1297"/>
      <c r="T60" s="468" cm="1" t="str">
        <f t="array" ref="T60:T60">T59</f>
        <v>false</v>
      </c>
      <c r="U60" s="1297"/>
      <c r="V60" s="1297"/>
      <c r="W60" s="1297"/>
      <c r="X60" s="1539"/>
      <c r="Y60" s="1297"/>
      <c r="Z60" s="1529"/>
      <c r="AA60" s="1297"/>
      <c r="AB60" s="295" t="s">
        <v>2237</v>
      </c>
      <c r="AC60" s="775" t="s">
        <v>1412</v>
      </c>
      <c r="AD60" s="296" t="s">
        <v>936</v>
      </c>
      <c r="AE60" s="1272"/>
      <c r="AF60" s="1272"/>
      <c r="AG60" s="1272"/>
      <c r="AH60" s="951">
        <f>AG60-AF60</f>
        <v>0</v>
      </c>
      <c r="AI60" s="6490"/>
      <c r="AJ60" s="1271"/>
      <c r="AK60" s="950"/>
      <c r="AL60" s="950"/>
      <c r="AM60" s="950"/>
      <c r="AN60" s="950"/>
      <c r="AO60" s="950"/>
      <c r="AP60" s="950"/>
      <c r="AQ60" s="950"/>
      <c r="AR60" s="950"/>
      <c r="AS60" s="950"/>
      <c r="AT60" s="950"/>
      <c r="AU60" s="950"/>
      <c r="AV60" s="950"/>
      <c r="AW60" s="950"/>
      <c r="AX60" s="950"/>
      <c r="AY60" s="950"/>
      <c r="AZ60" s="950"/>
      <c r="BA60" s="950"/>
      <c r="BB60" s="950"/>
      <c r="BC60" s="950"/>
      <c r="BD60" s="950"/>
      <c r="BE60" s="950"/>
      <c r="BF60" s="950"/>
      <c r="BG60" s="950"/>
      <c r="BH60" s="950"/>
      <c r="BI60" s="950"/>
      <c r="BJ60" s="950"/>
      <c r="BK60" s="950"/>
      <c r="BL60" s="950"/>
      <c r="BM60" s="950"/>
      <c r="BN60" s="1270"/>
      <c r="BO60" s="1273" t="str">
        <f>IF(_xlfn.IFERROR(INDEX(Административные!$K$26:$L$103,MATCH($F60&amp;"15komm",Административные!$K$26:$K$103,0),2),"")=0,"",_xlfn.IFERROR(INDEX(Административные!$K$26:$L$103,MATCH($F60&amp;"15komm",Административные!$K$26:$K$103,0),2),""))</f>
        <v/>
      </c>
      <c r="BP60" s="1270"/>
      <c r="BQ60" s="1297"/>
      <c r="BR60" s="1297"/>
      <c r="BS60" s="1072" t="s">
        <v>1413</v>
      </c>
      <c r="BT60" s="1072"/>
      <c r="BU60" s="1072"/>
      <c r="BV60" s="987"/>
      <c r="BW60" s="987"/>
    </row>
    <row customHeight="1" ht="14.625" hidden="1">
      <c r="A61" s="1297"/>
      <c r="B61" s="986"/>
      <c r="C61" s="1297"/>
      <c r="D61" s="1297"/>
      <c r="E61" s="709">
        <v>15</v>
      </c>
      <c r="F61" s="50" cm="1" t="str">
        <f t="array" ref="F61:F61">OFFSET(E61,-1,1)</f>
        <v>0</v>
      </c>
      <c r="G61" s="154" t="s">
        <v>1414</v>
      </c>
      <c r="H61" s="374"/>
      <c r="I61" s="374" t="s">
        <v>2238</v>
      </c>
      <c r="J61" s="1297"/>
      <c r="K61" s="374" t="s">
        <v>2238</v>
      </c>
      <c r="L61" s="988"/>
      <c r="M61" s="103"/>
      <c r="N61" s="1297"/>
      <c r="O61" s="1297"/>
      <c r="P61" s="1297"/>
      <c r="Q61" s="154" t="s">
        <v>2470</v>
      </c>
      <c r="R61" s="157" t="s">
        <v>2470</v>
      </c>
      <c r="S61" s="1297"/>
      <c r="T61" s="468" cm="1" t="str">
        <f t="array" ref="T61:T61">T60</f>
        <v>false</v>
      </c>
      <c r="U61" s="1297"/>
      <c r="V61" s="1297"/>
      <c r="W61" s="1297"/>
      <c r="X61" s="1539"/>
      <c r="Y61" s="1297"/>
      <c r="Z61" s="1529"/>
      <c r="AA61" s="1297"/>
      <c r="AB61" s="295" t="s">
        <v>2239</v>
      </c>
      <c r="AC61" s="775" t="s">
        <v>1417</v>
      </c>
      <c r="AD61" s="296" t="s">
        <v>936</v>
      </c>
      <c r="AE61" s="1272"/>
      <c r="AF61" s="1272"/>
      <c r="AG61" s="1272"/>
      <c r="AH61" s="951">
        <f>AG61-AF61</f>
        <v>0</v>
      </c>
      <c r="AI61" s="6490"/>
      <c r="AJ61" s="1271"/>
      <c r="AK61" s="950"/>
      <c r="AL61" s="950"/>
      <c r="AM61" s="950"/>
      <c r="AN61" s="950"/>
      <c r="AO61" s="950"/>
      <c r="AP61" s="950"/>
      <c r="AQ61" s="950"/>
      <c r="AR61" s="950"/>
      <c r="AS61" s="950"/>
      <c r="AT61" s="950"/>
      <c r="AU61" s="950"/>
      <c r="AV61" s="950"/>
      <c r="AW61" s="950"/>
      <c r="AX61" s="950"/>
      <c r="AY61" s="950"/>
      <c r="AZ61" s="950"/>
      <c r="BA61" s="950"/>
      <c r="BB61" s="950"/>
      <c r="BC61" s="950"/>
      <c r="BD61" s="950"/>
      <c r="BE61" s="950"/>
      <c r="BF61" s="950"/>
      <c r="BG61" s="950"/>
      <c r="BH61" s="950"/>
      <c r="BI61" s="950"/>
      <c r="BJ61" s="950"/>
      <c r="BK61" s="950"/>
      <c r="BL61" s="950"/>
      <c r="BM61" s="950"/>
      <c r="BN61" s="1270"/>
      <c r="BO61" s="1273" t="str">
        <f>IF(_xlfn.IFERROR(INDEX(Административные!$K$26:$L$103,MATCH($F61&amp;"16komm",Административные!$K$26:$K$103,0),2),"")=0,"",_xlfn.IFERROR(INDEX(Административные!$K$26:$L$103,MATCH($F61&amp;"16komm",Административные!$K$26:$K$103,0),2),""))</f>
        <v/>
      </c>
      <c r="BP61" s="1270"/>
      <c r="BQ61" s="1297"/>
      <c r="BR61" s="1297"/>
      <c r="BS61" s="1072" t="s">
        <v>2240</v>
      </c>
      <c r="BT61" s="1072"/>
      <c r="BU61" s="1072"/>
      <c r="BV61" s="987"/>
      <c r="BW61" s="987"/>
    </row>
    <row customHeight="1" ht="21.9375" hidden="1">
      <c r="A62" s="1297"/>
      <c r="B62" s="986"/>
      <c r="C62" s="1297"/>
      <c r="D62" s="1297"/>
      <c r="E62" s="709">
        <v>22.5</v>
      </c>
      <c r="F62" s="50" cm="1" t="str">
        <f t="array" ref="F62:F62">OFFSET(E62,-1,1)</f>
        <v>0</v>
      </c>
      <c r="G62" s="1297"/>
      <c r="H62" s="374"/>
      <c r="I62" s="374" t="s">
        <v>1578</v>
      </c>
      <c r="J62" s="1297"/>
      <c r="K62" s="374" t="s">
        <v>1578</v>
      </c>
      <c r="L62" s="988" t="s">
        <v>1099</v>
      </c>
      <c r="M62" s="103"/>
      <c r="N62" s="1297"/>
      <c r="O62" s="1297"/>
      <c r="P62" s="1297"/>
      <c r="Q62" s="154" t="s">
        <v>2470</v>
      </c>
      <c r="R62" s="157" t="s">
        <v>2470</v>
      </c>
      <c r="S62" s="1297"/>
      <c r="T62" s="468" cm="1" t="str">
        <f t="array" ref="T62:T62">T61</f>
        <v>false</v>
      </c>
      <c r="U62" s="1297"/>
      <c r="V62" s="1297"/>
      <c r="W62" s="1297"/>
      <c r="X62" s="1539"/>
      <c r="Y62" s="1297"/>
      <c r="Z62" s="1529"/>
      <c r="AA62" s="1297"/>
      <c r="AB62" s="295" t="s">
        <v>1217</v>
      </c>
      <c r="AC62" s="772" t="s">
        <v>2241</v>
      </c>
      <c r="AD62" s="296" t="s">
        <v>936</v>
      </c>
      <c r="AE62" s="952">
        <f>AE63+AE64</f>
        <v>0</v>
      </c>
      <c r="AF62" s="952">
        <f>AF63+AF64</f>
        <v>0</v>
      </c>
      <c r="AG62" s="952">
        <f>AG63+AG64</f>
        <v>0</v>
      </c>
      <c r="AH62" s="951">
        <f>AG62-AF62</f>
        <v>0</v>
      </c>
      <c r="AI62" s="6493">
        <f>AI63+AI64</f>
        <v>0</v>
      </c>
      <c r="AJ62" s="1271"/>
      <c r="AK62" s="950"/>
      <c r="AL62" s="950"/>
      <c r="AM62" s="950"/>
      <c r="AN62" s="950"/>
      <c r="AO62" s="950"/>
      <c r="AP62" s="950"/>
      <c r="AQ62" s="950"/>
      <c r="AR62" s="950"/>
      <c r="AS62" s="950"/>
      <c r="AT62" s="950"/>
      <c r="AU62" s="950"/>
      <c r="AV62" s="950"/>
      <c r="AW62" s="950"/>
      <c r="AX62" s="950"/>
      <c r="AY62" s="950"/>
      <c r="AZ62" s="950"/>
      <c r="BA62" s="950"/>
      <c r="BB62" s="950"/>
      <c r="BC62" s="950"/>
      <c r="BD62" s="950"/>
      <c r="BE62" s="950"/>
      <c r="BF62" s="950"/>
      <c r="BG62" s="950"/>
      <c r="BH62" s="950"/>
      <c r="BI62" s="950"/>
      <c r="BJ62" s="950"/>
      <c r="BK62" s="950"/>
      <c r="BL62" s="950"/>
      <c r="BM62" s="950"/>
      <c r="BN62" s="1270"/>
      <c r="BO62" s="1270"/>
      <c r="BP62" s="1270"/>
      <c r="BQ62" s="1297"/>
      <c r="BR62" s="1297"/>
      <c r="BS62" s="1070" t="s">
        <v>2055</v>
      </c>
      <c r="BT62" s="1072"/>
      <c r="BU62" s="1072"/>
      <c r="BV62" s="987"/>
      <c r="BW62" s="987"/>
    </row>
    <row customHeight="1" ht="14.625" hidden="1">
      <c r="A63" s="1297"/>
      <c r="B63" s="986"/>
      <c r="C63" s="1297"/>
      <c r="D63" s="1297"/>
      <c r="E63" s="709">
        <v>15</v>
      </c>
      <c r="F63" s="50" cm="1" t="str">
        <f t="array" ref="F63:F63">OFFSET(E63,-1,1)</f>
        <v>0</v>
      </c>
      <c r="G63" s="154" t="s">
        <v>1373</v>
      </c>
      <c r="H63" s="374"/>
      <c r="I63" s="374" t="s">
        <v>2242</v>
      </c>
      <c r="J63" s="1297"/>
      <c r="K63" s="374" t="s">
        <v>2242</v>
      </c>
      <c r="L63" s="988" t="s">
        <v>602</v>
      </c>
      <c r="M63" s="103"/>
      <c r="N63" s="1297"/>
      <c r="O63" s="1297"/>
      <c r="P63" s="1297"/>
      <c r="Q63" s="154" t="s">
        <v>2470</v>
      </c>
      <c r="R63" s="157" t="s">
        <v>2470</v>
      </c>
      <c r="S63" s="1297"/>
      <c r="T63" s="468" cm="1" t="str">
        <f t="array" ref="T63:T63">T62</f>
        <v>false</v>
      </c>
      <c r="U63" s="1297"/>
      <c r="V63" s="1297"/>
      <c r="W63" s="1297"/>
      <c r="X63" s="1539"/>
      <c r="Y63" s="1297"/>
      <c r="Z63" s="1529"/>
      <c r="AA63" s="1297"/>
      <c r="AB63" s="295" t="s">
        <v>2243</v>
      </c>
      <c r="AC63" s="775" t="s">
        <v>2056</v>
      </c>
      <c r="AD63" s="778" t="s">
        <v>936</v>
      </c>
      <c r="AE63" s="1272"/>
      <c r="AF63" s="1272"/>
      <c r="AG63" s="1272"/>
      <c r="AH63" s="951">
        <f>AG63-AF63</f>
        <v>0</v>
      </c>
      <c r="AI63" s="6490"/>
      <c r="AJ63" s="1271"/>
      <c r="AK63" s="950"/>
      <c r="AL63" s="950"/>
      <c r="AM63" s="950"/>
      <c r="AN63" s="950"/>
      <c r="AO63" s="950"/>
      <c r="AP63" s="950"/>
      <c r="AQ63" s="950"/>
      <c r="AR63" s="950"/>
      <c r="AS63" s="950"/>
      <c r="AT63" s="950"/>
      <c r="AU63" s="950"/>
      <c r="AV63" s="950"/>
      <c r="AW63" s="950"/>
      <c r="AX63" s="950"/>
      <c r="AY63" s="950"/>
      <c r="AZ63" s="950"/>
      <c r="BA63" s="950"/>
      <c r="BB63" s="950"/>
      <c r="BC63" s="950"/>
      <c r="BD63" s="950"/>
      <c r="BE63" s="950"/>
      <c r="BF63" s="950"/>
      <c r="BG63" s="950"/>
      <c r="BH63" s="950"/>
      <c r="BI63" s="950"/>
      <c r="BJ63" s="950"/>
      <c r="BK63" s="950"/>
      <c r="BL63" s="950"/>
      <c r="BM63" s="950"/>
      <c r="BN63" s="1270"/>
      <c r="BO63" s="1273" t="str">
        <f>IF(_xlfn.IFERROR(INDEX(ФОТ!$K$26:$L$127,MATCH($F63&amp;"5komm",ФОТ!$K$26:$K$127,0),2),"")=0,"",_xlfn.IFERROR(INDEX(ФОТ!$K$26:$L$127,MATCH($F63&amp;"5komm",ФОТ!$K$26:$K$127,0),2),""))</f>
        <v/>
      </c>
      <c r="BP63" s="1270"/>
      <c r="BQ63" s="1297"/>
      <c r="BR63" s="1297"/>
      <c r="BS63" s="1070" t="s">
        <v>1390</v>
      </c>
      <c r="BT63" s="1072"/>
      <c r="BU63" s="1072"/>
      <c r="BV63" s="987"/>
      <c r="BW63" s="987"/>
    </row>
    <row customHeight="1" ht="21.9375" hidden="1">
      <c r="A64" s="1297"/>
      <c r="B64" s="986"/>
      <c r="C64" s="1297"/>
      <c r="D64" s="1297"/>
      <c r="E64" s="709">
        <v>22.5</v>
      </c>
      <c r="F64" s="50" cm="1" t="str">
        <f t="array" ref="F64:F64">OFFSET(E64,-1,1)</f>
        <v>0</v>
      </c>
      <c r="G64" s="154" t="s">
        <v>1378</v>
      </c>
      <c r="H64" s="374"/>
      <c r="I64" s="374" t="s">
        <v>2244</v>
      </c>
      <c r="J64" s="1297"/>
      <c r="K64" s="374" t="s">
        <v>2244</v>
      </c>
      <c r="L64" s="988" t="s">
        <v>607</v>
      </c>
      <c r="M64" s="103"/>
      <c r="N64" s="1297"/>
      <c r="O64" s="1297"/>
      <c r="P64" s="1297"/>
      <c r="Q64" s="154" t="s">
        <v>2470</v>
      </c>
      <c r="R64" s="157" t="s">
        <v>2470</v>
      </c>
      <c r="S64" s="1297"/>
      <c r="T64" s="468" cm="1" t="str">
        <f t="array" ref="T64:T64">T63</f>
        <v>false</v>
      </c>
      <c r="U64" s="1297"/>
      <c r="V64" s="1297"/>
      <c r="W64" s="1297"/>
      <c r="X64" s="1539"/>
      <c r="Y64" s="1297"/>
      <c r="Z64" s="1529"/>
      <c r="AA64" s="1297"/>
      <c r="AB64" s="295" t="s">
        <v>2245</v>
      </c>
      <c r="AC64" s="775" t="s">
        <v>2246</v>
      </c>
      <c r="AD64" s="296" t="s">
        <v>936</v>
      </c>
      <c r="AE64" s="1272">
        <f>AE63*_xlfn.SUMIFS(INDEX(Сценарии!$AE$25:$BF$136,,MATCH(AE$8,Сценарии!$AE$8:$BF$8,0)),Сценарии!$F$25:$F$136,$F64,Сценарии!$G$25:$G$136,"СВФОТ")/100</f>
        <v>0</v>
      </c>
      <c r="AF64" s="1272">
        <f>AF63*_xlfn.SUMIFS(INDEX(Сценарии!$AE$25:$BF$136,,MATCH(AF$8,Сценарии!$AE$8:$BF$8,0)),Сценарии!$F$25:$F$136,$F64,Сценарии!$G$25:$G$136,"СВФОТ")/100</f>
        <v>0</v>
      </c>
      <c r="AG64" s="1272">
        <f>AG63*_xlfn.SUMIFS(INDEX(Сценарии!$AE$25:$BF$136,,MATCH(AG$8,Сценарии!$AE$8:$BF$8,0)),Сценарии!$F$25:$F$136,$F64,Сценарии!$G$25:$G$136,"СВФОТ")/100</f>
        <v>0</v>
      </c>
      <c r="AH64" s="951">
        <f>AG64-AF64</f>
        <v>0</v>
      </c>
      <c r="AI64" s="6490">
        <f>AI63*_xlfn.SUMIFS(INDEX(Сценарии!$AE$25:$BF$136,,MATCH(AG$8,Сценарии!$AE$8:$BF$8,0)),Сценарии!$F$25:$F$136,$F64,Сценарии!$G$25:$G$136,"СВФОТ")/100</f>
        <v>0</v>
      </c>
      <c r="AJ64" s="1271"/>
      <c r="AK64" s="950"/>
      <c r="AL64" s="950"/>
      <c r="AM64" s="950"/>
      <c r="AN64" s="950"/>
      <c r="AO64" s="950"/>
      <c r="AP64" s="950"/>
      <c r="AQ64" s="950"/>
      <c r="AR64" s="950"/>
      <c r="AS64" s="950"/>
      <c r="AT64" s="950"/>
      <c r="AU64" s="950"/>
      <c r="AV64" s="950"/>
      <c r="AW64" s="950"/>
      <c r="AX64" s="950"/>
      <c r="AY64" s="950"/>
      <c r="AZ64" s="950"/>
      <c r="BA64" s="950"/>
      <c r="BB64" s="950"/>
      <c r="BC64" s="950"/>
      <c r="BD64" s="950"/>
      <c r="BE64" s="950"/>
      <c r="BF64" s="950"/>
      <c r="BG64" s="950"/>
      <c r="BH64" s="950"/>
      <c r="BI64" s="950"/>
      <c r="BJ64" s="950"/>
      <c r="BK64" s="950"/>
      <c r="BL64" s="950"/>
      <c r="BM64" s="950"/>
      <c r="BN64" s="1270"/>
      <c r="BO64" s="1273" t="str">
        <f>IF(_xlfn.IFERROR(INDEX(ФОТ!$K$26:$L$127,MATCH($F64&amp;"6komm",ФОТ!$K$26:$K$127,0),2),"")=0,"",_xlfn.IFERROR(INDEX(ФОТ!$K$26:$L$127,MATCH($F64&amp;"6komm",ФОТ!$K$26:$K$127,0),2),""))</f>
        <v/>
      </c>
      <c r="BP64" s="1270"/>
      <c r="BQ64" s="1297"/>
      <c r="BR64" s="1297"/>
      <c r="BS64" s="1070" t="s">
        <v>2058</v>
      </c>
      <c r="BT64" s="1072"/>
      <c r="BU64" s="1072"/>
      <c r="BV64" s="987"/>
      <c r="BW64" s="987"/>
    </row>
    <row customHeight="1" ht="32.90625" hidden="1">
      <c r="A65" s="1297"/>
      <c r="B65" s="986"/>
      <c r="C65" s="1297"/>
      <c r="D65" s="1297"/>
      <c r="E65" s="709">
        <v>33.75</v>
      </c>
      <c r="F65" s="50" cm="1" t="str">
        <f t="array" ref="F65:F65">OFFSET(E65,-1,1)</f>
        <v>0</v>
      </c>
      <c r="G65" s="49" t="s">
        <v>1419</v>
      </c>
      <c r="H65" s="374"/>
      <c r="I65" s="374" t="s">
        <v>1581</v>
      </c>
      <c r="J65" s="1297"/>
      <c r="K65" s="374" t="s">
        <v>1581</v>
      </c>
      <c r="L65" s="988" t="s">
        <v>1101</v>
      </c>
      <c r="M65" s="103"/>
      <c r="N65" s="1297"/>
      <c r="O65" s="1297"/>
      <c r="P65" s="1297"/>
      <c r="Q65" s="154" t="s">
        <v>2470</v>
      </c>
      <c r="R65" s="157" t="s">
        <v>2470</v>
      </c>
      <c r="S65" s="1297"/>
      <c r="T65" s="468" cm="1" t="str">
        <f t="array" ref="T65:T65">T64</f>
        <v>false</v>
      </c>
      <c r="U65" s="1297"/>
      <c r="V65" s="1297"/>
      <c r="W65" s="1297"/>
      <c r="X65" s="1539"/>
      <c r="Y65" s="1297"/>
      <c r="Z65" s="1529"/>
      <c r="AA65" s="1297"/>
      <c r="AB65" s="295" t="s">
        <v>1582</v>
      </c>
      <c r="AC65" s="772" t="s">
        <v>2247</v>
      </c>
      <c r="AD65" s="296" t="s">
        <v>936</v>
      </c>
      <c r="AE65" s="1272"/>
      <c r="AF65" s="1272"/>
      <c r="AG65" s="1272"/>
      <c r="AH65" s="951">
        <f>AG65-AF65</f>
        <v>0</v>
      </c>
      <c r="AI65" s="6490"/>
      <c r="AJ65" s="1271"/>
      <c r="AK65" s="950"/>
      <c r="AL65" s="950"/>
      <c r="AM65" s="950"/>
      <c r="AN65" s="950"/>
      <c r="AO65" s="950"/>
      <c r="AP65" s="950"/>
      <c r="AQ65" s="950"/>
      <c r="AR65" s="950"/>
      <c r="AS65" s="950"/>
      <c r="AT65" s="950"/>
      <c r="AU65" s="950"/>
      <c r="AV65" s="950"/>
      <c r="AW65" s="950"/>
      <c r="AX65" s="950"/>
      <c r="AY65" s="950"/>
      <c r="AZ65" s="950"/>
      <c r="BA65" s="950"/>
      <c r="BB65" s="950"/>
      <c r="BC65" s="950"/>
      <c r="BD65" s="950"/>
      <c r="BE65" s="950"/>
      <c r="BF65" s="950"/>
      <c r="BG65" s="950"/>
      <c r="BH65" s="950"/>
      <c r="BI65" s="950"/>
      <c r="BJ65" s="950"/>
      <c r="BK65" s="950"/>
      <c r="BL65" s="950"/>
      <c r="BM65" s="950"/>
      <c r="BN65" s="1270"/>
      <c r="BO65" s="1273" t="str">
        <f>IF(_xlfn.IFERROR(INDEX(Административные!$K$26:$L$103,MATCH($F65&amp;"2komm",Административные!$K$26:$K$103,0),2),"")=0,"",_xlfn.IFERROR(INDEX(Административные!$K$26:$L$103,MATCH($F65&amp;"2komm",Административные!$K$26:$K$103,0),2),""))</f>
        <v/>
      </c>
      <c r="BP65" s="1270"/>
      <c r="BQ65" s="1297"/>
      <c r="BR65" s="1297"/>
      <c r="BS65" s="1070" t="s">
        <v>1421</v>
      </c>
      <c r="BT65" s="1072"/>
      <c r="BU65" s="1072"/>
      <c r="BV65" s="987"/>
      <c r="BW65" s="987"/>
    </row>
    <row customHeight="1" ht="14.625" hidden="1">
      <c r="A66" s="1297"/>
      <c r="B66" s="986"/>
      <c r="C66" s="1297"/>
      <c r="D66" s="1297"/>
      <c r="E66" s="709">
        <v>15</v>
      </c>
      <c r="F66" s="50" cm="1" t="str">
        <f t="array" ref="F66:F66">OFFSET(E66,-1,1)</f>
        <v>0</v>
      </c>
      <c r="G66" s="49" t="s">
        <v>1422</v>
      </c>
      <c r="H66" s="374"/>
      <c r="I66" s="374" t="s">
        <v>1585</v>
      </c>
      <c r="J66" s="1297"/>
      <c r="K66" s="374" t="s">
        <v>1585</v>
      </c>
      <c r="L66" s="988" t="s">
        <v>1103</v>
      </c>
      <c r="M66" s="103"/>
      <c r="N66" s="1297"/>
      <c r="O66" s="1297"/>
      <c r="P66" s="1297"/>
      <c r="Q66" s="154" t="s">
        <v>2470</v>
      </c>
      <c r="R66" s="157" t="s">
        <v>2470</v>
      </c>
      <c r="S66" s="1297"/>
      <c r="T66" s="468" cm="1" t="str">
        <f t="array" ref="T66:T66">T65</f>
        <v>false</v>
      </c>
      <c r="U66" s="1297"/>
      <c r="V66" s="1297"/>
      <c r="W66" s="1297"/>
      <c r="X66" s="1539"/>
      <c r="Y66" s="1297"/>
      <c r="Z66" s="1529"/>
      <c r="AA66" s="1297"/>
      <c r="AB66" s="295" t="s">
        <v>1586</v>
      </c>
      <c r="AC66" s="772" t="s">
        <v>2248</v>
      </c>
      <c r="AD66" s="296" t="s">
        <v>936</v>
      </c>
      <c r="AE66" s="1272"/>
      <c r="AF66" s="1272"/>
      <c r="AG66" s="1272"/>
      <c r="AH66" s="951">
        <f>AG66-AF66</f>
        <v>0</v>
      </c>
      <c r="AI66" s="6490"/>
      <c r="AJ66" s="1271"/>
      <c r="AK66" s="950"/>
      <c r="AL66" s="950"/>
      <c r="AM66" s="950"/>
      <c r="AN66" s="950"/>
      <c r="AO66" s="950"/>
      <c r="AP66" s="950"/>
      <c r="AQ66" s="950"/>
      <c r="AR66" s="950"/>
      <c r="AS66" s="950"/>
      <c r="AT66" s="950"/>
      <c r="AU66" s="950"/>
      <c r="AV66" s="950"/>
      <c r="AW66" s="950"/>
      <c r="AX66" s="950"/>
      <c r="AY66" s="950"/>
      <c r="AZ66" s="950"/>
      <c r="BA66" s="950"/>
      <c r="BB66" s="950"/>
      <c r="BC66" s="950"/>
      <c r="BD66" s="950"/>
      <c r="BE66" s="950"/>
      <c r="BF66" s="950"/>
      <c r="BG66" s="950"/>
      <c r="BH66" s="950"/>
      <c r="BI66" s="950"/>
      <c r="BJ66" s="950"/>
      <c r="BK66" s="950"/>
      <c r="BL66" s="950"/>
      <c r="BM66" s="950"/>
      <c r="BN66" s="1270"/>
      <c r="BO66" s="1273" t="str">
        <f>IF(_xlfn.IFERROR(INDEX(Административные!$K$26:$L$103,MATCH($F66&amp;"3komm",Административные!$K$26:$K$103,0),2),"")=0,"",_xlfn.IFERROR(INDEX(Административные!$K$26:$L$103,MATCH($F66&amp;"3komm",Административные!$K$26:$K$103,0),2),""))</f>
        <v/>
      </c>
      <c r="BP66" s="1270"/>
      <c r="BQ66" s="1297"/>
      <c r="BR66" s="1297"/>
      <c r="BS66" s="1070" t="s">
        <v>1424</v>
      </c>
      <c r="BT66" s="1072"/>
      <c r="BU66" s="1072"/>
      <c r="BV66" s="987"/>
      <c r="BW66" s="987"/>
    </row>
    <row customHeight="1" ht="14.625" hidden="1">
      <c r="A67" s="1297"/>
      <c r="B67" s="986"/>
      <c r="C67" s="1297"/>
      <c r="D67" s="1297"/>
      <c r="E67" s="709">
        <v>15</v>
      </c>
      <c r="F67" s="50" cm="1" t="str">
        <f t="array" ref="F67:F67">OFFSET(E67,-1,1)</f>
        <v>0</v>
      </c>
      <c r="G67" s="49" t="s">
        <v>1425</v>
      </c>
      <c r="H67" s="374"/>
      <c r="I67" s="374" t="s">
        <v>2249</v>
      </c>
      <c r="J67" s="1297"/>
      <c r="K67" s="374" t="s">
        <v>2249</v>
      </c>
      <c r="L67" s="988" t="s">
        <v>1106</v>
      </c>
      <c r="M67" s="103"/>
      <c r="N67" s="1297"/>
      <c r="O67" s="1297"/>
      <c r="P67" s="1297"/>
      <c r="Q67" s="154" t="s">
        <v>2470</v>
      </c>
      <c r="R67" s="157" t="s">
        <v>2470</v>
      </c>
      <c r="S67" s="1297"/>
      <c r="T67" s="468" cm="1" t="str">
        <f t="array" ref="T67:T67">T66</f>
        <v>false</v>
      </c>
      <c r="U67" s="1297"/>
      <c r="V67" s="1297"/>
      <c r="W67" s="1297"/>
      <c r="X67" s="1539"/>
      <c r="Y67" s="1297"/>
      <c r="Z67" s="1529"/>
      <c r="AA67" s="1297"/>
      <c r="AB67" s="295" t="s">
        <v>2250</v>
      </c>
      <c r="AC67" s="772" t="s">
        <v>2251</v>
      </c>
      <c r="AD67" s="296" t="s">
        <v>936</v>
      </c>
      <c r="AE67" s="1272"/>
      <c r="AF67" s="1272"/>
      <c r="AG67" s="1272"/>
      <c r="AH67" s="951">
        <f>AG67-AF67</f>
        <v>0</v>
      </c>
      <c r="AI67" s="6490"/>
      <c r="AJ67" s="1271"/>
      <c r="AK67" s="950"/>
      <c r="AL67" s="950"/>
      <c r="AM67" s="950"/>
      <c r="AN67" s="950"/>
      <c r="AO67" s="950"/>
      <c r="AP67" s="950"/>
      <c r="AQ67" s="950"/>
      <c r="AR67" s="950"/>
      <c r="AS67" s="950"/>
      <c r="AT67" s="950"/>
      <c r="AU67" s="950"/>
      <c r="AV67" s="950"/>
      <c r="AW67" s="950"/>
      <c r="AX67" s="950"/>
      <c r="AY67" s="950"/>
      <c r="AZ67" s="950"/>
      <c r="BA67" s="950"/>
      <c r="BB67" s="950"/>
      <c r="BC67" s="950"/>
      <c r="BD67" s="950"/>
      <c r="BE67" s="950"/>
      <c r="BF67" s="950"/>
      <c r="BG67" s="950"/>
      <c r="BH67" s="950"/>
      <c r="BI67" s="950"/>
      <c r="BJ67" s="950"/>
      <c r="BK67" s="950"/>
      <c r="BL67" s="950"/>
      <c r="BM67" s="950"/>
      <c r="BN67" s="1270"/>
      <c r="BO67" s="1273" t="str">
        <f>IF(_xlfn.IFERROR(INDEX(Административные!$K$26:$L$103,MATCH($F67&amp;"4komm",Административные!$K$26:$K$103,0),2),"")=0,"",_xlfn.IFERROR(INDEX(Административные!$K$26:$L$103,MATCH($F67&amp;"4komm",Административные!$K$26:$K$103,0),2),""))</f>
        <v/>
      </c>
      <c r="BP67" s="1270"/>
      <c r="BQ67" s="1297"/>
      <c r="BR67" s="1297"/>
      <c r="BS67" s="1070" t="s">
        <v>1427</v>
      </c>
      <c r="BT67" s="1072"/>
      <c r="BU67" s="1072"/>
      <c r="BV67" s="987"/>
      <c r="BW67" s="987"/>
    </row>
    <row customHeight="1" ht="14.625" hidden="1">
      <c r="A68" s="1297"/>
      <c r="B68" s="986"/>
      <c r="C68" s="1297"/>
      <c r="D68" s="1297"/>
      <c r="E68" s="709">
        <v>15</v>
      </c>
      <c r="F68" s="50" cm="1" t="str">
        <f t="array" ref="F68:F68">OFFSET(E68,-1,1)</f>
        <v>0</v>
      </c>
      <c r="G68" s="49" t="s">
        <v>1428</v>
      </c>
      <c r="H68" s="374"/>
      <c r="I68" s="374" t="s">
        <v>2252</v>
      </c>
      <c r="J68" s="1297"/>
      <c r="K68" s="374" t="s">
        <v>2252</v>
      </c>
      <c r="L68" s="988" t="s">
        <v>1410</v>
      </c>
      <c r="M68" s="103"/>
      <c r="N68" s="1297"/>
      <c r="O68" s="1297"/>
      <c r="P68" s="1297"/>
      <c r="Q68" s="154" t="s">
        <v>2470</v>
      </c>
      <c r="R68" s="157" t="s">
        <v>2470</v>
      </c>
      <c r="S68" s="1297"/>
      <c r="T68" s="468" cm="1" t="str">
        <f t="array" ref="T68:T68">T67</f>
        <v>false</v>
      </c>
      <c r="U68" s="1297"/>
      <c r="V68" s="1297"/>
      <c r="W68" s="1297"/>
      <c r="X68" s="1539"/>
      <c r="Y68" s="1297"/>
      <c r="Z68" s="1529"/>
      <c r="AA68" s="1297"/>
      <c r="AB68" s="295" t="s">
        <v>2253</v>
      </c>
      <c r="AC68" s="772" t="s">
        <v>2254</v>
      </c>
      <c r="AD68" s="296" t="s">
        <v>936</v>
      </c>
      <c r="AE68" s="1272"/>
      <c r="AF68" s="1272"/>
      <c r="AG68" s="1272"/>
      <c r="AH68" s="951">
        <f>AG68-AF68</f>
        <v>0</v>
      </c>
      <c r="AI68" s="6490"/>
      <c r="AJ68" s="1271"/>
      <c r="AK68" s="950"/>
      <c r="AL68" s="950"/>
      <c r="AM68" s="950"/>
      <c r="AN68" s="950"/>
      <c r="AO68" s="950"/>
      <c r="AP68" s="950"/>
      <c r="AQ68" s="950"/>
      <c r="AR68" s="950"/>
      <c r="AS68" s="950"/>
      <c r="AT68" s="950"/>
      <c r="AU68" s="950"/>
      <c r="AV68" s="950"/>
      <c r="AW68" s="950"/>
      <c r="AX68" s="950"/>
      <c r="AY68" s="950"/>
      <c r="AZ68" s="950"/>
      <c r="BA68" s="950"/>
      <c r="BB68" s="950"/>
      <c r="BC68" s="950"/>
      <c r="BD68" s="950"/>
      <c r="BE68" s="950"/>
      <c r="BF68" s="950"/>
      <c r="BG68" s="950"/>
      <c r="BH68" s="950"/>
      <c r="BI68" s="950"/>
      <c r="BJ68" s="950"/>
      <c r="BK68" s="950"/>
      <c r="BL68" s="950"/>
      <c r="BM68" s="950"/>
      <c r="BN68" s="1270"/>
      <c r="BO68" s="1273" t="str">
        <f>IF(_xlfn.IFERROR(INDEX(Административные!$K$26:$L$103,MATCH($F68&amp;"5komm",Административные!$K$26:$K$103,0),2),"")=0,"",_xlfn.IFERROR(INDEX(Административные!$K$26:$L$103,MATCH($F68&amp;"5komm",Административные!$K$26:$K$103,0),2),""))</f>
        <v/>
      </c>
      <c r="BP68" s="1270"/>
      <c r="BQ68" s="1297"/>
      <c r="BR68" s="1297"/>
      <c r="BS68" s="1070" t="s">
        <v>2060</v>
      </c>
      <c r="BT68" s="1072"/>
      <c r="BU68" s="1072"/>
      <c r="BV68" s="987"/>
      <c r="BW68" s="987"/>
    </row>
    <row customHeight="1" ht="14.625" hidden="1">
      <c r="A69" s="1297"/>
      <c r="B69" s="986"/>
      <c r="C69" s="1297"/>
      <c r="D69" s="1297"/>
      <c r="E69" s="709">
        <v>15</v>
      </c>
      <c r="F69" s="50" cm="1" t="str">
        <f t="array" ref="F69:F69">OFFSET(E69,-1,1)</f>
        <v>0</v>
      </c>
      <c r="G69" s="49" t="s">
        <v>1431</v>
      </c>
      <c r="H69" s="374"/>
      <c r="I69" s="374" t="s">
        <v>2255</v>
      </c>
      <c r="J69" s="1297"/>
      <c r="K69" s="374" t="s">
        <v>2255</v>
      </c>
      <c r="L69" s="988" t="s">
        <v>1415</v>
      </c>
      <c r="M69" s="103"/>
      <c r="N69" s="1297"/>
      <c r="O69" s="1297"/>
      <c r="P69" s="1297"/>
      <c r="Q69" s="154" t="s">
        <v>2470</v>
      </c>
      <c r="R69" s="157" t="s">
        <v>2470</v>
      </c>
      <c r="S69" s="1297"/>
      <c r="T69" s="468" cm="1" t="str">
        <f t="array" ref="T69:T69">T68</f>
        <v>false</v>
      </c>
      <c r="U69" s="1297"/>
      <c r="V69" s="1297"/>
      <c r="W69" s="1297"/>
      <c r="X69" s="1539"/>
      <c r="Y69" s="1297"/>
      <c r="Z69" s="1529"/>
      <c r="AA69" s="1297"/>
      <c r="AB69" s="295" t="s">
        <v>2256</v>
      </c>
      <c r="AC69" s="772" t="s">
        <v>2257</v>
      </c>
      <c r="AD69" s="296" t="s">
        <v>936</v>
      </c>
      <c r="AE69" s="951">
        <f>SUM(AE70:AE72)</f>
        <v>0</v>
      </c>
      <c r="AF69" s="951">
        <f>SUM(AF70:AF72)</f>
        <v>0</v>
      </c>
      <c r="AG69" s="951">
        <f>SUM(AG70:AG72)</f>
        <v>0</v>
      </c>
      <c r="AH69" s="951">
        <f>AG69-AF69</f>
        <v>0</v>
      </c>
      <c r="AI69" s="6488">
        <f>SUM(AI70:AI72)</f>
        <v>0</v>
      </c>
      <c r="AJ69" s="1271"/>
      <c r="AK69" s="950"/>
      <c r="AL69" s="950"/>
      <c r="AM69" s="950"/>
      <c r="AN69" s="950"/>
      <c r="AO69" s="950"/>
      <c r="AP69" s="950"/>
      <c r="AQ69" s="950"/>
      <c r="AR69" s="950"/>
      <c r="AS69" s="950"/>
      <c r="AT69" s="950"/>
      <c r="AU69" s="950"/>
      <c r="AV69" s="950"/>
      <c r="AW69" s="950"/>
      <c r="AX69" s="950"/>
      <c r="AY69" s="950"/>
      <c r="AZ69" s="950"/>
      <c r="BA69" s="950"/>
      <c r="BB69" s="950"/>
      <c r="BC69" s="950"/>
      <c r="BD69" s="950"/>
      <c r="BE69" s="950"/>
      <c r="BF69" s="950"/>
      <c r="BG69" s="950"/>
      <c r="BH69" s="950"/>
      <c r="BI69" s="950"/>
      <c r="BJ69" s="950"/>
      <c r="BK69" s="950"/>
      <c r="BL69" s="950"/>
      <c r="BM69" s="950"/>
      <c r="BN69" s="1270"/>
      <c r="BO69" s="1273" t="str">
        <f>IF(_xlfn.IFERROR(INDEX(Административные!$K$26:$L$103,MATCH($F69&amp;"6komm",Административные!$K$26:$K$103,0),2),"")=0,"",_xlfn.IFERROR(INDEX(Административные!$K$26:$L$103,MATCH($F69&amp;"6komm",Административные!$K$26:$K$103,0),2),""))</f>
        <v/>
      </c>
      <c r="BP69" s="1270"/>
      <c r="BQ69" s="1297"/>
      <c r="BR69" s="1297"/>
      <c r="BS69" s="1070" t="s">
        <v>2062</v>
      </c>
      <c r="BT69" s="1072"/>
      <c r="BU69" s="1072"/>
      <c r="BV69" s="987"/>
      <c r="BW69" s="987"/>
    </row>
    <row customHeight="1" ht="14.625" hidden="1">
      <c r="A70" s="1297"/>
      <c r="B70" s="986"/>
      <c r="C70" s="1297"/>
      <c r="D70" s="1297"/>
      <c r="E70" s="709">
        <v>15</v>
      </c>
      <c r="F70" s="50" cm="1" t="str">
        <f t="array" ref="F70:F70">OFFSET(E70,-1,1)</f>
        <v>0</v>
      </c>
      <c r="G70" s="49" t="s">
        <v>1433</v>
      </c>
      <c r="H70" s="374"/>
      <c r="I70" s="374" t="s">
        <v>2258</v>
      </c>
      <c r="J70" s="1297"/>
      <c r="K70" s="374" t="s">
        <v>2258</v>
      </c>
      <c r="L70" s="988" t="s">
        <v>2063</v>
      </c>
      <c r="M70" s="103"/>
      <c r="N70" s="1297"/>
      <c r="O70" s="1297"/>
      <c r="P70" s="1297"/>
      <c r="Q70" s="154" t="s">
        <v>2470</v>
      </c>
      <c r="R70" s="157" t="s">
        <v>2470</v>
      </c>
      <c r="S70" s="1297"/>
      <c r="T70" s="468" cm="1" t="str">
        <f t="array" ref="T70:T70">T69</f>
        <v>false</v>
      </c>
      <c r="U70" s="1297"/>
      <c r="V70" s="1297"/>
      <c r="W70" s="1297"/>
      <c r="X70" s="1539"/>
      <c r="Y70" s="1297"/>
      <c r="Z70" s="1529"/>
      <c r="AA70" s="1297"/>
      <c r="AB70" s="295" t="s">
        <v>2259</v>
      </c>
      <c r="AC70" s="775" t="s">
        <v>2065</v>
      </c>
      <c r="AD70" s="296" t="s">
        <v>936</v>
      </c>
      <c r="AE70" s="1272"/>
      <c r="AF70" s="1272"/>
      <c r="AG70" s="1272"/>
      <c r="AH70" s="951">
        <f>AG70-AF70</f>
        <v>0</v>
      </c>
      <c r="AI70" s="6490"/>
      <c r="AJ70" s="1271"/>
      <c r="AK70" s="950"/>
      <c r="AL70" s="950"/>
      <c r="AM70" s="950"/>
      <c r="AN70" s="950"/>
      <c r="AO70" s="950"/>
      <c r="AP70" s="950"/>
      <c r="AQ70" s="950"/>
      <c r="AR70" s="950"/>
      <c r="AS70" s="950"/>
      <c r="AT70" s="950"/>
      <c r="AU70" s="950"/>
      <c r="AV70" s="950"/>
      <c r="AW70" s="950"/>
      <c r="AX70" s="950"/>
      <c r="AY70" s="950"/>
      <c r="AZ70" s="950"/>
      <c r="BA70" s="950"/>
      <c r="BB70" s="950"/>
      <c r="BC70" s="950"/>
      <c r="BD70" s="950"/>
      <c r="BE70" s="950"/>
      <c r="BF70" s="950"/>
      <c r="BG70" s="950"/>
      <c r="BH70" s="950"/>
      <c r="BI70" s="950"/>
      <c r="BJ70" s="950"/>
      <c r="BK70" s="950"/>
      <c r="BL70" s="950"/>
      <c r="BM70" s="950"/>
      <c r="BN70" s="1270"/>
      <c r="BO70" s="1273" t="str">
        <f>IF(_xlfn.IFERROR(INDEX(Административные!$K$26:$L$103,MATCH($F70&amp;"7komm",Административные!$K$26:$K$103,0),2),"")=0,"",_xlfn.IFERROR(INDEX(Административные!$K$26:$L$103,MATCH($F70&amp;"7komm",Административные!$K$26:$K$103,0),2),""))</f>
        <v/>
      </c>
      <c r="BP70" s="1270"/>
      <c r="BQ70" s="1297"/>
      <c r="BR70" s="1297"/>
      <c r="BS70" s="1070" t="s">
        <v>2066</v>
      </c>
      <c r="BT70" s="1072"/>
      <c r="BU70" s="1072"/>
      <c r="BV70" s="987"/>
      <c r="BW70" s="987"/>
    </row>
    <row customHeight="1" ht="14.625" hidden="1">
      <c r="A71" s="1297"/>
      <c r="B71" s="986"/>
      <c r="C71" s="1297"/>
      <c r="D71" s="1297"/>
      <c r="E71" s="709">
        <v>15</v>
      </c>
      <c r="F71" s="50" cm="1" t="str">
        <f t="array" ref="F71:F71">OFFSET(E71,-1,1)</f>
        <v>0</v>
      </c>
      <c r="G71" s="49" t="s">
        <v>1436</v>
      </c>
      <c r="H71" s="374"/>
      <c r="I71" s="374" t="s">
        <v>2260</v>
      </c>
      <c r="J71" s="1297"/>
      <c r="K71" s="374" t="s">
        <v>2260</v>
      </c>
      <c r="L71" s="988" t="s">
        <v>2067</v>
      </c>
      <c r="M71" s="103"/>
      <c r="N71" s="1297"/>
      <c r="O71" s="1297"/>
      <c r="P71" s="1297"/>
      <c r="Q71" s="154" t="s">
        <v>2470</v>
      </c>
      <c r="R71" s="157" t="s">
        <v>2470</v>
      </c>
      <c r="S71" s="1297"/>
      <c r="T71" s="468" cm="1" t="str">
        <f t="array" ref="T71:T71">T70</f>
        <v>false</v>
      </c>
      <c r="U71" s="1297"/>
      <c r="V71" s="1297"/>
      <c r="W71" s="1297"/>
      <c r="X71" s="1539"/>
      <c r="Y71" s="1297"/>
      <c r="Z71" s="1529"/>
      <c r="AA71" s="1297"/>
      <c r="AB71" s="295" t="s">
        <v>2261</v>
      </c>
      <c r="AC71" s="775" t="s">
        <v>1437</v>
      </c>
      <c r="AD71" s="296" t="s">
        <v>936</v>
      </c>
      <c r="AE71" s="1272"/>
      <c r="AF71" s="1272"/>
      <c r="AG71" s="1272"/>
      <c r="AH71" s="951">
        <f>AG71-AF71</f>
        <v>0</v>
      </c>
      <c r="AI71" s="6490"/>
      <c r="AJ71" s="1271"/>
      <c r="AK71" s="950"/>
      <c r="AL71" s="950"/>
      <c r="AM71" s="950"/>
      <c r="AN71" s="950"/>
      <c r="AO71" s="950"/>
      <c r="AP71" s="950"/>
      <c r="AQ71" s="950"/>
      <c r="AR71" s="950"/>
      <c r="AS71" s="950"/>
      <c r="AT71" s="950"/>
      <c r="AU71" s="950"/>
      <c r="AV71" s="950"/>
      <c r="AW71" s="950"/>
      <c r="AX71" s="950"/>
      <c r="AY71" s="950"/>
      <c r="AZ71" s="950"/>
      <c r="BA71" s="950"/>
      <c r="BB71" s="950"/>
      <c r="BC71" s="950"/>
      <c r="BD71" s="950"/>
      <c r="BE71" s="950"/>
      <c r="BF71" s="950"/>
      <c r="BG71" s="950"/>
      <c r="BH71" s="950"/>
      <c r="BI71" s="950"/>
      <c r="BJ71" s="950"/>
      <c r="BK71" s="950"/>
      <c r="BL71" s="950"/>
      <c r="BM71" s="950"/>
      <c r="BN71" s="1270"/>
      <c r="BO71" s="1273" t="str">
        <f>IF(_xlfn.IFERROR(INDEX(Административные!$K$26:$L$103,MATCH($F71&amp;"8komm",Административные!$K$26:$K$103,0),2),"")=0,"",_xlfn.IFERROR(INDEX(Административные!$K$26:$L$103,MATCH($F71&amp;"8komm",Административные!$K$26:$K$103,0),2),""))</f>
        <v/>
      </c>
      <c r="BP71" s="1270"/>
      <c r="BQ71" s="1297"/>
      <c r="BR71" s="1297"/>
      <c r="BS71" s="1070" t="s">
        <v>2069</v>
      </c>
      <c r="BT71" s="1072"/>
      <c r="BU71" s="1072"/>
      <c r="BV71" s="987"/>
      <c r="BW71" s="987"/>
    </row>
    <row customHeight="1" ht="14.625" hidden="1">
      <c r="A72" s="1297"/>
      <c r="B72" s="986"/>
      <c r="C72" s="1297"/>
      <c r="D72" s="1297"/>
      <c r="E72" s="709">
        <v>15</v>
      </c>
      <c r="F72" s="50" cm="1" t="str">
        <f t="array" ref="F72:F72">OFFSET(E72,-1,1)</f>
        <v>0</v>
      </c>
      <c r="G72" s="154" t="s">
        <v>1439</v>
      </c>
      <c r="H72" s="374"/>
      <c r="I72" s="374" t="s">
        <v>2262</v>
      </c>
      <c r="J72" s="1297"/>
      <c r="K72" s="374" t="s">
        <v>2262</v>
      </c>
      <c r="L72" s="988" t="s">
        <v>2070</v>
      </c>
      <c r="M72" s="103"/>
      <c r="N72" s="1297"/>
      <c r="O72" s="1297"/>
      <c r="P72" s="1297"/>
      <c r="Q72" s="154" t="s">
        <v>2470</v>
      </c>
      <c r="R72" s="157" t="s">
        <v>2470</v>
      </c>
      <c r="S72" s="1297"/>
      <c r="T72" s="468" cm="1" t="str">
        <f t="array" ref="T72:T72">T71</f>
        <v>false</v>
      </c>
      <c r="U72" s="1297"/>
      <c r="V72" s="1297"/>
      <c r="W72" s="1297"/>
      <c r="X72" s="1539"/>
      <c r="Y72" s="1297"/>
      <c r="Z72" s="1529"/>
      <c r="AA72" s="1297"/>
      <c r="AB72" s="295" t="s">
        <v>2263</v>
      </c>
      <c r="AC72" s="775" t="s">
        <v>1440</v>
      </c>
      <c r="AD72" s="296" t="s">
        <v>936</v>
      </c>
      <c r="AE72" s="1272"/>
      <c r="AF72" s="1272"/>
      <c r="AG72" s="1272"/>
      <c r="AH72" s="951">
        <f>AG72-AF72</f>
        <v>0</v>
      </c>
      <c r="AI72" s="6490"/>
      <c r="AJ72" s="6495"/>
      <c r="AK72" s="950"/>
      <c r="AL72" s="950"/>
      <c r="AM72" s="950"/>
      <c r="AN72" s="950"/>
      <c r="AO72" s="950"/>
      <c r="AP72" s="950"/>
      <c r="AQ72" s="950"/>
      <c r="AR72" s="950"/>
      <c r="AS72" s="950"/>
      <c r="AT72" s="950"/>
      <c r="AU72" s="950"/>
      <c r="AV72" s="950"/>
      <c r="AW72" s="950"/>
      <c r="AX72" s="950"/>
      <c r="AY72" s="950"/>
      <c r="AZ72" s="950"/>
      <c r="BA72" s="950"/>
      <c r="BB72" s="950"/>
      <c r="BC72" s="950"/>
      <c r="BD72" s="950"/>
      <c r="BE72" s="950"/>
      <c r="BF72" s="950"/>
      <c r="BG72" s="950"/>
      <c r="BH72" s="950"/>
      <c r="BI72" s="950"/>
      <c r="BJ72" s="950"/>
      <c r="BK72" s="950"/>
      <c r="BL72" s="950"/>
      <c r="BM72" s="950"/>
      <c r="BN72" s="1270"/>
      <c r="BO72" s="1273" t="str">
        <f>IF(_xlfn.IFERROR(INDEX(Административные!$K$26:$L$103,MATCH($F72&amp;"9komm",Административные!$K$26:$K$103,0),2),"")=0,"",_xlfn.IFERROR(INDEX(Административные!$K$26:$L$103,MATCH($F72&amp;"9komm",Административные!$K$26:$K$103,0),2),""))</f>
        <v/>
      </c>
      <c r="BP72" s="1270"/>
      <c r="BQ72" s="1297"/>
      <c r="BR72" s="1297"/>
      <c r="BS72" s="1070" t="s">
        <v>2072</v>
      </c>
      <c r="BT72" s="1072"/>
      <c r="BU72" s="1072"/>
      <c r="BV72" s="987"/>
      <c r="BW72" s="987"/>
    </row>
    <row customHeight="1" ht="21.9375" hidden="1">
      <c r="A73" s="1297"/>
      <c r="B73" s="434">
        <f>STATUS_GO="да"</f>
        <v>0</v>
      </c>
      <c r="C73" s="1297"/>
      <c r="D73" s="1297"/>
      <c r="E73" s="709">
        <v>22.5</v>
      </c>
      <c r="F73" s="50" cm="1" t="str">
        <f t="array" ref="F73:F73">OFFSET(E73,-1,1)</f>
        <v>0</v>
      </c>
      <c r="G73" s="1297"/>
      <c r="H73" s="374"/>
      <c r="I73" s="374" t="s">
        <v>1079</v>
      </c>
      <c r="J73" s="1297"/>
      <c r="K73" s="374" t="s">
        <v>1079</v>
      </c>
      <c r="L73" s="988" t="s">
        <v>348</v>
      </c>
      <c r="M73" s="103"/>
      <c r="N73" s="1297"/>
      <c r="O73" s="1297"/>
      <c r="P73" s="1297"/>
      <c r="Q73" s="154" t="s">
        <v>2470</v>
      </c>
      <c r="R73" s="157" t="s">
        <v>2470</v>
      </c>
      <c r="S73" s="1297"/>
      <c r="T73" s="468" cm="1" t="str">
        <f t="array" ref="T73:T73">T72</f>
        <v>false</v>
      </c>
      <c r="U73" s="1297"/>
      <c r="V73" s="1297"/>
      <c r="W73" s="1297"/>
      <c r="X73" s="1539"/>
      <c r="Y73" s="1297"/>
      <c r="Z73" s="1529"/>
      <c r="AA73" s="1297"/>
      <c r="AB73" s="295" t="s">
        <v>1080</v>
      </c>
      <c r="AC73" s="769" t="s">
        <v>2264</v>
      </c>
      <c r="AD73" s="296" t="s">
        <v>936</v>
      </c>
      <c r="AE73" s="1272"/>
      <c r="AF73" s="1272"/>
      <c r="AG73" s="1272"/>
      <c r="AH73" s="951">
        <f>AG73-AF73</f>
        <v>0</v>
      </c>
      <c r="AI73" s="6490"/>
      <c r="AJ73" s="1271"/>
      <c r="AK73" s="950"/>
      <c r="AL73" s="950"/>
      <c r="AM73" s="950"/>
      <c r="AN73" s="950"/>
      <c r="AO73" s="950"/>
      <c r="AP73" s="950"/>
      <c r="AQ73" s="950"/>
      <c r="AR73" s="950"/>
      <c r="AS73" s="950"/>
      <c r="AT73" s="950"/>
      <c r="AU73" s="950"/>
      <c r="AV73" s="950"/>
      <c r="AW73" s="950"/>
      <c r="AX73" s="950"/>
      <c r="AY73" s="950"/>
      <c r="AZ73" s="950"/>
      <c r="BA73" s="950"/>
      <c r="BB73" s="950"/>
      <c r="BC73" s="950"/>
      <c r="BD73" s="950"/>
      <c r="BE73" s="950"/>
      <c r="BF73" s="950"/>
      <c r="BG73" s="950"/>
      <c r="BH73" s="950"/>
      <c r="BI73" s="950"/>
      <c r="BJ73" s="950"/>
      <c r="BK73" s="950"/>
      <c r="BL73" s="950"/>
      <c r="BM73" s="950"/>
      <c r="BN73" s="1270"/>
      <c r="BO73" s="1270"/>
      <c r="BP73" s="1270"/>
      <c r="BQ73" s="1297"/>
      <c r="BR73" s="1297"/>
      <c r="BS73" s="1071" t="s">
        <v>2074</v>
      </c>
      <c r="BT73" s="1072"/>
      <c r="BU73" s="1072"/>
      <c r="BV73" s="987"/>
      <c r="BW73" s="987"/>
    </row>
    <row customHeight="1" ht="14.625" hidden="1">
      <c r="A74" s="1297"/>
      <c r="B74" s="986"/>
      <c r="C74" s="1297"/>
      <c r="D74" s="1297"/>
      <c r="E74" s="709">
        <v>15</v>
      </c>
      <c r="F74" s="50" cm="1" t="str">
        <f t="array" ref="F74:F74">OFFSET(E74,-1,1)</f>
        <v>0</v>
      </c>
      <c r="G74" s="1297"/>
      <c r="H74" s="374"/>
      <c r="I74" s="374" t="s">
        <v>2013</v>
      </c>
      <c r="J74" s="1297"/>
      <c r="K74" s="374" t="s">
        <v>2013</v>
      </c>
      <c r="L74" s="988"/>
      <c r="M74" s="103"/>
      <c r="N74" s="1297"/>
      <c r="O74" s="1297"/>
      <c r="P74" s="1297"/>
      <c r="Q74" s="154" t="s">
        <v>2470</v>
      </c>
      <c r="R74" s="157" t="s">
        <v>2470</v>
      </c>
      <c r="S74" s="1297"/>
      <c r="T74" s="468" cm="1" t="str">
        <f t="array" ref="T74:T74">T73</f>
        <v>false</v>
      </c>
      <c r="U74" s="1297"/>
      <c r="V74" s="1297"/>
      <c r="W74" s="1297"/>
      <c r="X74" s="1539"/>
      <c r="Y74" s="1297"/>
      <c r="Z74" s="1529"/>
      <c r="AA74" s="1297"/>
      <c r="AB74" s="295" t="s">
        <v>2014</v>
      </c>
      <c r="AC74" s="769" t="s">
        <v>2265</v>
      </c>
      <c r="AD74" s="296" t="s">
        <v>936</v>
      </c>
      <c r="AE74" s="1272"/>
      <c r="AF74" s="1272"/>
      <c r="AG74" s="1272"/>
      <c r="AH74" s="951">
        <f>AG74-AF74</f>
        <v>0</v>
      </c>
      <c r="AI74" s="6490"/>
      <c r="AJ74" s="1271"/>
      <c r="AK74" s="950"/>
      <c r="AL74" s="950"/>
      <c r="AM74" s="950"/>
      <c r="AN74" s="950"/>
      <c r="AO74" s="950"/>
      <c r="AP74" s="950"/>
      <c r="AQ74" s="950"/>
      <c r="AR74" s="950"/>
      <c r="AS74" s="950"/>
      <c r="AT74" s="950"/>
      <c r="AU74" s="950"/>
      <c r="AV74" s="950"/>
      <c r="AW74" s="950"/>
      <c r="AX74" s="950"/>
      <c r="AY74" s="950"/>
      <c r="AZ74" s="950"/>
      <c r="BA74" s="950"/>
      <c r="BB74" s="950"/>
      <c r="BC74" s="950"/>
      <c r="BD74" s="950"/>
      <c r="BE74" s="950"/>
      <c r="BF74" s="950"/>
      <c r="BG74" s="950"/>
      <c r="BH74" s="950"/>
      <c r="BI74" s="950"/>
      <c r="BJ74" s="950"/>
      <c r="BK74" s="950"/>
      <c r="BL74" s="950"/>
      <c r="BM74" s="950"/>
      <c r="BN74" s="1270"/>
      <c r="BO74" s="1270"/>
      <c r="BP74" s="1270"/>
      <c r="BQ74" s="1297"/>
      <c r="BR74" s="1297"/>
      <c r="BS74" s="1072" t="s">
        <v>2266</v>
      </c>
      <c r="BT74" s="1072"/>
      <c r="BU74" s="1072"/>
      <c r="BV74" s="987"/>
      <c r="BW74" s="987"/>
    </row>
    <row s="706" customFormat="1" customHeight="1" ht="20.475" hidden="1">
      <c r="A75" s="706"/>
      <c r="B75" s="437"/>
      <c r="C75" s="706"/>
      <c r="D75" s="706"/>
      <c r="E75" s="713">
        <v>21</v>
      </c>
      <c r="F75" s="50" cm="1" t="str">
        <f t="array" ref="F75:F75">OFFSET(E75,-1,1)</f>
        <v>0</v>
      </c>
      <c r="G75" s="706"/>
      <c r="H75" s="374"/>
      <c r="I75" s="374" t="s">
        <v>2017</v>
      </c>
      <c r="J75" s="706"/>
      <c r="K75" s="374" t="s">
        <v>2017</v>
      </c>
      <c r="L75" s="993"/>
      <c r="M75" s="105"/>
      <c r="N75" s="706"/>
      <c r="O75" s="706"/>
      <c r="P75" s="706"/>
      <c r="Q75" s="154" t="s">
        <v>2470</v>
      </c>
      <c r="R75" s="157" t="s">
        <v>2470</v>
      </c>
      <c r="S75" s="706"/>
      <c r="T75" s="468" cm="1" t="str">
        <f t="array" ref="T75:T75">T74</f>
        <v>false</v>
      </c>
      <c r="U75" s="706"/>
      <c r="V75" s="706"/>
      <c r="W75" s="706"/>
      <c r="X75" s="1539"/>
      <c r="Y75" s="706"/>
      <c r="Z75" s="1529"/>
      <c r="AA75" s="706"/>
      <c r="AB75" s="214" t="s">
        <v>2018</v>
      </c>
      <c r="AC75" s="357" t="s">
        <v>2267</v>
      </c>
      <c r="AD75" s="207" t="s">
        <v>936</v>
      </c>
      <c r="AE75" s="777">
        <f>SUM(AE76:AE77)</f>
        <v>0</v>
      </c>
      <c r="AF75" s="777">
        <f>SUM(AF76:AF77)</f>
        <v>0</v>
      </c>
      <c r="AG75" s="777">
        <f>SUM(AG76:AG77)</f>
        <v>0</v>
      </c>
      <c r="AH75" s="768">
        <f>AG75-AF75</f>
        <v>0</v>
      </c>
      <c r="AI75" s="6497">
        <f>SUM(AI76:AI77)</f>
        <v>0</v>
      </c>
      <c r="AJ75" s="1271"/>
      <c r="AK75" s="771"/>
      <c r="AL75" s="771"/>
      <c r="AM75" s="771"/>
      <c r="AN75" s="771"/>
      <c r="AO75" s="771"/>
      <c r="AP75" s="771"/>
      <c r="AQ75" s="771"/>
      <c r="AR75" s="771"/>
      <c r="AS75" s="771"/>
      <c r="AT75" s="950"/>
      <c r="AU75" s="950"/>
      <c r="AV75" s="771"/>
      <c r="AW75" s="771"/>
      <c r="AX75" s="771"/>
      <c r="AY75" s="771"/>
      <c r="AZ75" s="771"/>
      <c r="BA75" s="771"/>
      <c r="BB75" s="771"/>
      <c r="BC75" s="771"/>
      <c r="BD75" s="771"/>
      <c r="BE75" s="771"/>
      <c r="BF75" s="771"/>
      <c r="BG75" s="771"/>
      <c r="BH75" s="771"/>
      <c r="BI75" s="771"/>
      <c r="BJ75" s="771"/>
      <c r="BK75" s="771"/>
      <c r="BL75" s="771"/>
      <c r="BM75" s="771"/>
      <c r="BN75" s="1266"/>
      <c r="BO75" s="1266"/>
      <c r="BP75" s="1266"/>
      <c r="BQ75" s="706"/>
      <c r="BR75" s="706"/>
      <c r="BS75" s="1078" t="s">
        <v>2268</v>
      </c>
      <c r="BT75" s="1078"/>
      <c r="BU75" s="1078"/>
      <c r="BV75" s="713"/>
      <c r="BW75" s="713"/>
    </row>
    <row customHeight="1" ht="14.625" hidden="1">
      <c r="A76" s="1297"/>
      <c r="B76" s="986"/>
      <c r="C76" s="1297"/>
      <c r="D76" s="1297"/>
      <c r="E76" s="709">
        <v>15</v>
      </c>
      <c r="F76" s="50" cm="1" t="str">
        <f t="array" ref="F76:F76">OFFSET(E76,-1,1)</f>
        <v>0</v>
      </c>
      <c r="G76" s="1297"/>
      <c r="H76" s="1297"/>
      <c r="I76" s="374" t="s">
        <v>2017</v>
      </c>
      <c r="J76" s="154" cm="1" t="str">
        <f t="array" ref="J76:J76">AC76</f>
        <v>0</v>
      </c>
      <c r="K76" s="374" t="s">
        <v>2017</v>
      </c>
      <c r="L76" s="988"/>
      <c r="M76" s="103"/>
      <c r="N76" s="1297"/>
      <c r="O76" s="1297"/>
      <c r="P76" s="1297"/>
      <c r="Q76" s="154" t="s">
        <v>2470</v>
      </c>
      <c r="R76" s="157" t="s">
        <v>2470</v>
      </c>
      <c r="S76" s="1297"/>
      <c r="T76" s="468">
        <f>AND(F76&gt;0,Y76&gt;0)</f>
        <v>0</v>
      </c>
      <c r="U76" s="1297"/>
      <c r="V76" s="1297"/>
      <c r="W76" s="154" t="s">
        <v>173</v>
      </c>
      <c r="X76" s="1539"/>
      <c r="Y76" s="154">
        <v>0</v>
      </c>
      <c r="Z76" s="1529"/>
      <c r="AA76" s="422" t="s">
        <v>174</v>
      </c>
      <c r="AB76" s="296" t="str">
        <f>"1.7."&amp;Y76</f>
        <v>1.7.0</v>
      </c>
      <c r="AC76" s="1262"/>
      <c r="AD76" s="296" t="s">
        <v>936</v>
      </c>
      <c r="AE76" s="1274"/>
      <c r="AF76" s="1274"/>
      <c r="AG76" s="1274"/>
      <c r="AH76" s="255">
        <f>AG76-AF76</f>
        <v>0</v>
      </c>
      <c r="AI76" s="6499"/>
      <c r="AJ76" s="1274"/>
      <c r="AK76" s="953"/>
      <c r="AL76" s="953"/>
      <c r="AM76" s="953"/>
      <c r="AN76" s="953"/>
      <c r="AO76" s="953"/>
      <c r="AP76" s="953"/>
      <c r="AQ76" s="953"/>
      <c r="AR76" s="953"/>
      <c r="AS76" s="953"/>
      <c r="AT76" s="950"/>
      <c r="AU76" s="953"/>
      <c r="AV76" s="953"/>
      <c r="AW76" s="953"/>
      <c r="AX76" s="953"/>
      <c r="AY76" s="953"/>
      <c r="AZ76" s="953"/>
      <c r="BA76" s="953"/>
      <c r="BB76" s="953"/>
      <c r="BC76" s="953"/>
      <c r="BD76" s="771"/>
      <c r="BE76" s="953"/>
      <c r="BF76" s="953"/>
      <c r="BG76" s="953"/>
      <c r="BH76" s="953"/>
      <c r="BI76" s="953"/>
      <c r="BJ76" s="953"/>
      <c r="BK76" s="953"/>
      <c r="BL76" s="953"/>
      <c r="BM76" s="953"/>
      <c r="BN76" s="1275"/>
      <c r="BO76" s="1275"/>
      <c r="BP76" s="1275"/>
      <c r="BQ76" s="1297"/>
      <c r="BR76" s="1297"/>
      <c r="BS76" s="1072" t="s">
        <v>2268</v>
      </c>
      <c r="BT76" s="1072" t="s">
        <v>2269</v>
      </c>
      <c r="BU76" s="1072" cm="1" t="str">
        <f t="array" ref="BU76:BU76">AC76</f>
        <v>0</v>
      </c>
      <c r="BV76" s="987"/>
      <c r="BW76" s="709" t="b">
        <v>1</v>
      </c>
    </row>
    <row customHeight="1" ht="14.625" hidden="1">
      <c r="A77" s="1297"/>
      <c r="B77" s="986"/>
      <c r="C77" s="1297"/>
      <c r="D77" s="1297"/>
      <c r="E77" s="709">
        <v>15</v>
      </c>
      <c r="F77" s="50" cm="1" t="str">
        <f t="array" ref="F77:F77">OFFSET(E77,-1,1)</f>
        <v>0</v>
      </c>
      <c r="G77" s="360"/>
      <c r="H77" s="1297"/>
      <c r="I77" s="1297"/>
      <c r="J77" s="154" t="s">
        <v>2270</v>
      </c>
      <c r="K77" s="1297"/>
      <c r="L77" s="988"/>
      <c r="M77" s="103"/>
      <c r="N77" s="1297"/>
      <c r="O77" s="1297"/>
      <c r="P77" s="1297"/>
      <c r="Q77" s="1297"/>
      <c r="R77" s="1297"/>
      <c r="S77" s="1297"/>
      <c r="T77" s="468">
        <f>F77&gt;0</f>
        <v>0</v>
      </c>
      <c r="U77" s="1297"/>
      <c r="V77" s="1297"/>
      <c r="W77" s="708" t="s">
        <v>2471</v>
      </c>
      <c r="X77" s="1539"/>
      <c r="Y77" s="1297"/>
      <c r="Z77" s="1529"/>
      <c r="AA77" s="1297"/>
      <c r="AB77" s="782"/>
      <c r="AC77" s="256" t="s">
        <v>177</v>
      </c>
      <c r="AD77" s="783"/>
      <c r="AE77" s="783"/>
      <c r="AF77" s="783"/>
      <c r="AG77" s="783"/>
      <c r="AH77" s="783"/>
      <c r="AI77" s="783"/>
      <c r="AJ77" s="783"/>
      <c r="AK77" s="783"/>
      <c r="AL77" s="783"/>
      <c r="AM77" s="783"/>
      <c r="AN77" s="783"/>
      <c r="AO77" s="783"/>
      <c r="AP77" s="783"/>
      <c r="AQ77" s="783"/>
      <c r="AR77" s="783"/>
      <c r="AS77" s="783"/>
      <c r="AT77" s="783"/>
      <c r="AU77" s="783"/>
      <c r="AV77" s="783"/>
      <c r="AW77" s="783"/>
      <c r="AX77" s="783"/>
      <c r="AY77" s="783"/>
      <c r="AZ77" s="783"/>
      <c r="BA77" s="783"/>
      <c r="BB77" s="783"/>
      <c r="BC77" s="783"/>
      <c r="BD77" s="783"/>
      <c r="BE77" s="783"/>
      <c r="BF77" s="783"/>
      <c r="BG77" s="783"/>
      <c r="BH77" s="783"/>
      <c r="BI77" s="783"/>
      <c r="BJ77" s="783"/>
      <c r="BK77" s="783"/>
      <c r="BL77" s="783"/>
      <c r="BM77" s="783"/>
      <c r="BN77" s="783"/>
      <c r="BO77" s="783"/>
      <c r="BP77" s="784"/>
      <c r="BQ77" s="1297"/>
      <c r="BR77" s="1297"/>
      <c r="BS77" s="1072"/>
      <c r="BT77" s="1072"/>
      <c r="BU77" s="1072"/>
      <c r="BV77" s="709" t="s">
        <v>2269</v>
      </c>
      <c r="BW77" s="987"/>
    </row>
    <row s="706" customFormat="1" customHeight="1" ht="20.475" hidden="1">
      <c r="A78" s="706"/>
      <c r="B78" s="437"/>
      <c r="C78" s="706"/>
      <c r="D78" s="706"/>
      <c r="E78" s="713">
        <v>21</v>
      </c>
      <c r="F78" s="50" cm="1" t="str">
        <f t="array" ref="F78:F78">OFFSET(E78,-1,1)</f>
        <v>0</v>
      </c>
      <c r="G78" s="706"/>
      <c r="H78" s="154"/>
      <c r="I78" s="154" t="s">
        <v>345</v>
      </c>
      <c r="J78" s="706"/>
      <c r="K78" s="154" t="s">
        <v>345</v>
      </c>
      <c r="L78" s="993"/>
      <c r="M78" s="105"/>
      <c r="N78" s="706"/>
      <c r="O78" s="706"/>
      <c r="P78" s="706"/>
      <c r="Q78" s="706"/>
      <c r="R78" s="706"/>
      <c r="S78" s="706"/>
      <c r="T78" s="468" cm="1" t="str">
        <f t="array" ref="T78:T78">T77</f>
        <v>false</v>
      </c>
      <c r="U78" s="706"/>
      <c r="V78" s="706"/>
      <c r="W78" s="706"/>
      <c r="X78" s="1539"/>
      <c r="Y78" s="706"/>
      <c r="Z78" s="1529"/>
      <c r="AA78" s="706"/>
      <c r="AB78" s="243" t="s">
        <v>299</v>
      </c>
      <c r="AC78" s="208" t="s">
        <v>2271</v>
      </c>
      <c r="AD78" s="230" t="s">
        <v>936</v>
      </c>
      <c r="AE78" s="209">
        <f>AE79+AE91+AE92++AE103+AE104+AE105+AE107+AE108+AE109+AE110+AE113</f>
        <v>0</v>
      </c>
      <c r="AF78" s="209">
        <f>AF79+AF91+AF92++AF103+AF104+AF105+AF107+AF108+AF109+AF110+AF113</f>
        <v>0</v>
      </c>
      <c r="AG78" s="209">
        <f>AG79+AG91+AG92++AG103+AG104+AG105+AG107+AG108+AG109+AG110+AG113</f>
        <v>0</v>
      </c>
      <c r="AH78" s="768">
        <f>AG78-AF78</f>
        <v>0</v>
      </c>
      <c r="AI78" s="777">
        <f>AI79+AI91+AI92++AI103+AI104+AI105+AI107+AI108+AI109+AI110+AI113</f>
        <v>0</v>
      </c>
      <c r="AJ78" s="777">
        <f>AJ79+AJ91+AJ92++AJ103+AJ104+AJ105+AJ107+AJ108+AJ109+AJ110+AJ113</f>
        <v>0</v>
      </c>
      <c r="AK78" s="777">
        <f>AK79+AK91+AK92++AK103+AK104+AK105+AK107+AK108+AK109+AK110+AK113</f>
        <v>0</v>
      </c>
      <c r="AL78" s="777">
        <f>AL79+AL91+AL92++AL103+AL104+AL105+AL107+AL108+AL109+AL110+AL113</f>
        <v>0</v>
      </c>
      <c r="AM78" s="777">
        <f>AM79+AM91+AM92++AM103+AM104+AM105+AM107+AM108+AM109+AM110+AM113</f>
        <v>0</v>
      </c>
      <c r="AN78" s="777">
        <f>AN79+AN91+AN92++AN103+AN104+AN105+AN107+AN108+AN109+AN110+AN113</f>
        <v>0</v>
      </c>
      <c r="AO78" s="777">
        <f>AO79+AO91+AO92++AO103+AO104+AO105+AO107+AO108+AO109+AO110+AO113</f>
        <v>0</v>
      </c>
      <c r="AP78" s="777">
        <f>AP79+AP91+AP92++AP103+AP104+AP105+AP107+AP108+AP109+AP110+AP113</f>
        <v>0</v>
      </c>
      <c r="AQ78" s="777">
        <f>AQ79+AQ91+AQ92++AQ103+AQ104+AQ105+AQ107+AQ108+AQ109+AQ110+AQ113</f>
        <v>0</v>
      </c>
      <c r="AR78" s="777">
        <f>AR79+AR91+AR92++AR103+AR104+AR105+AR107+AR108+AR109+AR110+AR113</f>
        <v>0</v>
      </c>
      <c r="AS78" s="777">
        <f>AS79+AS91+AS92++AS103+AS104+AS105+AS107+AS108+AS109+AS110+AS113</f>
        <v>0</v>
      </c>
      <c r="AT78" s="777">
        <f>AT79+AT91+AT92++AT103+AT104+AT105+AT107+AT108+AT109+AT110+AT113</f>
        <v>0</v>
      </c>
      <c r="AU78" s="777">
        <f>AU79+AU91+AU92++AU103+AU104+AU105+AU107+AU108+AU109+AU110+AU113</f>
        <v>0</v>
      </c>
      <c r="AV78" s="777">
        <f>AV79+AV91+AV92++AV103+AV104+AV105+AV107+AV108+AV109+AV110+AV113</f>
        <v>0</v>
      </c>
      <c r="AW78" s="777">
        <f>AW79+AW91+AW92++AW103+AW104+AW105+AW107+AW108+AW109+AW110+AW113</f>
        <v>0</v>
      </c>
      <c r="AX78" s="777">
        <f>AX79+AX91+AX92++AX103+AX104+AX105+AX107+AX108+AX109+AX110+AX113</f>
        <v>0</v>
      </c>
      <c r="AY78" s="777">
        <f>AY79+AY91+AY92++AY103+AY104+AY105+AY107+AY108+AY109+AY110+AY113</f>
        <v>0</v>
      </c>
      <c r="AZ78" s="777">
        <f>AZ79+AZ91+AZ92++AZ103+AZ104+AZ105+AZ107+AZ108+AZ109+AZ110+AZ113</f>
        <v>0</v>
      </c>
      <c r="BA78" s="777">
        <f>BA79+BA91+BA92++BA103+BA104+BA105+BA107+BA108+BA109+BA110+BA113</f>
        <v>0</v>
      </c>
      <c r="BB78" s="777">
        <f>BB79+BB91+BB92++BB103+BB104+BB105+BB107+BB108+BB109+BB110+BB113</f>
        <v>0</v>
      </c>
      <c r="BC78" s="777">
        <f>BC79+BC91+BC92++BC103+BC104+BC105+BC107+BC108+BC109+BC110+BC113</f>
        <v>0</v>
      </c>
      <c r="BD78" s="768">
        <f>IF(AI78=0,0,(AT78-AI78)/AI78*100)</f>
        <v>0</v>
      </c>
      <c r="BE78" s="768">
        <f>IF(AT78=0,0,(AU78-AT78)/AT78*100)</f>
        <v>0</v>
      </c>
      <c r="BF78" s="768">
        <f>IF(AU78=0,0,(AV78-AU78)/AU78*100)</f>
        <v>0</v>
      </c>
      <c r="BG78" s="768">
        <f>IF(AV78=0,0,(AW78-AV78)/AV78*100)</f>
        <v>0</v>
      </c>
      <c r="BH78" s="768">
        <f>IF(AW78=0,0,(AX78-AW78)/AW78*100)</f>
        <v>0</v>
      </c>
      <c r="BI78" s="768">
        <f>IF(AX78=0,0,(AY78-AX78)/AX78*100)</f>
        <v>0</v>
      </c>
      <c r="BJ78" s="768">
        <f>IF(AY78=0,0,(AZ78-AY78)/AY78*100)</f>
        <v>0</v>
      </c>
      <c r="BK78" s="768">
        <f>IF(AZ78=0,0,(BA78-AZ78)/AZ78*100)</f>
        <v>0</v>
      </c>
      <c r="BL78" s="768">
        <f>IF(BA78=0,0,(BB78-BA78)/BA78*100)</f>
        <v>0</v>
      </c>
      <c r="BM78" s="768">
        <f>IF(BB78=0,0,(BC78-BB78)/BB78*100)</f>
        <v>0</v>
      </c>
      <c r="BN78" s="1275"/>
      <c r="BO78" s="1275"/>
      <c r="BP78" s="1275"/>
      <c r="BQ78" s="156"/>
      <c r="BR78" s="706"/>
      <c r="BS78" s="1078" t="s">
        <v>2272</v>
      </c>
      <c r="BT78" s="1078"/>
      <c r="BU78" s="1078"/>
      <c r="BV78" s="713"/>
      <c r="BW78" s="713"/>
    </row>
    <row s="706" customFormat="1" customHeight="1" ht="21.9375" hidden="1">
      <c r="A79" s="706"/>
      <c r="B79" s="437"/>
      <c r="C79" s="706"/>
      <c r="D79" s="706"/>
      <c r="E79" s="713">
        <v>22.5</v>
      </c>
      <c r="F79" s="50" cm="1" t="str">
        <f t="array" ref="F79:F79">OFFSET(E79,-1,1)</f>
        <v>0</v>
      </c>
      <c r="G79" s="706"/>
      <c r="H79" s="154"/>
      <c r="I79" s="154" t="s">
        <v>584</v>
      </c>
      <c r="J79" s="706"/>
      <c r="K79" s="154" t="s">
        <v>584</v>
      </c>
      <c r="L79" s="993" t="s">
        <v>570</v>
      </c>
      <c r="M79" s="105"/>
      <c r="N79" s="706"/>
      <c r="O79" s="706"/>
      <c r="P79" s="706"/>
      <c r="Q79" s="706"/>
      <c r="R79" s="706"/>
      <c r="S79" s="706"/>
      <c r="T79" s="468" cm="1" t="str">
        <f t="array" ref="T79:T79">T78</f>
        <v>false</v>
      </c>
      <c r="U79" s="706"/>
      <c r="V79" s="706"/>
      <c r="W79" s="706"/>
      <c r="X79" s="1539"/>
      <c r="Y79" s="706"/>
      <c r="Z79" s="1529"/>
      <c r="AA79" s="706"/>
      <c r="AB79" s="214" t="s">
        <v>660</v>
      </c>
      <c r="AC79" s="357" t="s">
        <v>2273</v>
      </c>
      <c r="AD79" s="207" t="s">
        <v>936</v>
      </c>
      <c r="AE79" s="209">
        <f>SUM(AE80:AE90)</f>
        <v>0</v>
      </c>
      <c r="AF79" s="209">
        <f>SUM(AF80:AF90)</f>
        <v>0</v>
      </c>
      <c r="AG79" s="209">
        <f>SUM(AG80:AG90)</f>
        <v>0</v>
      </c>
      <c r="AH79" s="768">
        <f>AG79-AF79</f>
        <v>0</v>
      </c>
      <c r="AI79" s="209">
        <f>SUM(AI80:AI90)</f>
        <v>0</v>
      </c>
      <c r="AJ79" s="209">
        <f>SUM(AJ80:AJ90)</f>
        <v>0</v>
      </c>
      <c r="AK79" s="209">
        <f>SUM(AK80:AK90)</f>
        <v>0</v>
      </c>
      <c r="AL79" s="209">
        <f>SUM(AL80:AL90)</f>
        <v>0</v>
      </c>
      <c r="AM79" s="209">
        <f>SUM(AM80:AM90)</f>
        <v>0</v>
      </c>
      <c r="AN79" s="209">
        <f>SUM(AN80:AN90)</f>
        <v>0</v>
      </c>
      <c r="AO79" s="209">
        <f>SUM(AO80:AO90)</f>
        <v>0</v>
      </c>
      <c r="AP79" s="209">
        <f>SUM(AP80:AP90)</f>
        <v>0</v>
      </c>
      <c r="AQ79" s="209">
        <f>SUM(AQ80:AQ90)</f>
        <v>0</v>
      </c>
      <c r="AR79" s="209">
        <f>SUM(AR80:AR90)</f>
        <v>0</v>
      </c>
      <c r="AS79" s="209">
        <f>SUM(AS80:AS90)</f>
        <v>0</v>
      </c>
      <c r="AT79" s="209">
        <f>SUM(AT80:AT90)</f>
        <v>0</v>
      </c>
      <c r="AU79" s="209">
        <f>SUM(AU80:AU90)</f>
        <v>0</v>
      </c>
      <c r="AV79" s="209">
        <f>SUM(AV80:AV90)</f>
        <v>0</v>
      </c>
      <c r="AW79" s="209">
        <f>SUM(AW80:AW90)</f>
        <v>0</v>
      </c>
      <c r="AX79" s="209">
        <f>SUM(AX80:AX90)</f>
        <v>0</v>
      </c>
      <c r="AY79" s="209">
        <f>SUM(AY80:AY90)</f>
        <v>0</v>
      </c>
      <c r="AZ79" s="209">
        <f>SUM(AZ80:AZ90)</f>
        <v>0</v>
      </c>
      <c r="BA79" s="209">
        <f>SUM(BA80:BA90)</f>
        <v>0</v>
      </c>
      <c r="BB79" s="209">
        <f>SUM(BB80:BB90)</f>
        <v>0</v>
      </c>
      <c r="BC79" s="209">
        <f>SUM(BC80:BC90)</f>
        <v>0</v>
      </c>
      <c r="BD79" s="768">
        <f>IF(AI79=0,0,(AT79-AI79)/AI79*100)</f>
        <v>0</v>
      </c>
      <c r="BE79" s="768">
        <f>IF(AT79=0,0,(AU79-AT79)/AT79*100)</f>
        <v>0</v>
      </c>
      <c r="BF79" s="768">
        <f>IF(AU79=0,0,(AV79-AU79)/AU79*100)</f>
        <v>0</v>
      </c>
      <c r="BG79" s="768">
        <f>IF(AV79=0,0,(AW79-AV79)/AV79*100)</f>
        <v>0</v>
      </c>
      <c r="BH79" s="768">
        <f>IF(AW79=0,0,(AX79-AW79)/AW79*100)</f>
        <v>0</v>
      </c>
      <c r="BI79" s="768">
        <f>IF(AX79=0,0,(AY79-AX79)/AX79*100)</f>
        <v>0</v>
      </c>
      <c r="BJ79" s="768">
        <f>IF(AY79=0,0,(AZ79-AY79)/AY79*100)</f>
        <v>0</v>
      </c>
      <c r="BK79" s="768">
        <f>IF(AZ79=0,0,(BA79-AZ79)/AZ79*100)</f>
        <v>0</v>
      </c>
      <c r="BL79" s="768">
        <f>IF(BA79=0,0,(BB79-BA79)/BA79*100)</f>
        <v>0</v>
      </c>
      <c r="BM79" s="768">
        <f>IF(BB79=0,0,(BC79-BB79)/BB79*100)</f>
        <v>0</v>
      </c>
      <c r="BN79" s="1259"/>
      <c r="BO79" s="1259"/>
      <c r="BP79" s="1259"/>
      <c r="BQ79" s="706"/>
      <c r="BR79" s="706"/>
      <c r="BS79" s="1078" t="s">
        <v>2274</v>
      </c>
      <c r="BT79" s="1078"/>
      <c r="BU79" s="1078"/>
      <c r="BV79" s="713"/>
      <c r="BW79" s="713"/>
    </row>
    <row customHeight="1" ht="14.625" hidden="1">
      <c r="A80" s="1297"/>
      <c r="B80" s="986"/>
      <c r="C80" s="1297"/>
      <c r="D80" s="1297"/>
      <c r="E80" s="709">
        <v>15</v>
      </c>
      <c r="F80" s="50" cm="1" t="str">
        <f t="array" ref="F80:F80">OFFSET(E80,-1,1)</f>
        <v>0</v>
      </c>
      <c r="G80" s="154" t="s">
        <v>1287</v>
      </c>
      <c r="H80" s="1297"/>
      <c r="I80" s="154" t="s">
        <v>1787</v>
      </c>
      <c r="J80" s="1297"/>
      <c r="K80" s="154" t="s">
        <v>1787</v>
      </c>
      <c r="L80" s="988" t="s">
        <v>1553</v>
      </c>
      <c r="M80" s="103"/>
      <c r="N80" s="1297"/>
      <c r="O80" s="1297"/>
      <c r="P80" s="1297"/>
      <c r="Q80" s="1297"/>
      <c r="R80" s="1297"/>
      <c r="S80" s="1297"/>
      <c r="T80" s="468" cm="1" t="str">
        <f t="array" ref="T80:T80">T79</f>
        <v>false</v>
      </c>
      <c r="U80" s="1297"/>
      <c r="V80" s="1297"/>
      <c r="W80" s="1297"/>
      <c r="X80" s="1539"/>
      <c r="Y80" s="1297"/>
      <c r="Z80" s="1529"/>
      <c r="AA80" s="1297"/>
      <c r="AB80" s="295" t="s">
        <v>592</v>
      </c>
      <c r="AC80" s="772" t="s">
        <v>2275</v>
      </c>
      <c r="AD80" s="296" t="s">
        <v>936</v>
      </c>
      <c r="AE80" s="255">
        <f>_xlfn.SUMIFS(Покупка!AE$25:AE$327,Покупка!$F$25:$F$327,$F80,Покупка!$AC$25:$AC$327,$G80)</f>
        <v>0</v>
      </c>
      <c r="AF80" s="255">
        <f>_xlfn.SUMIFS(Покупка!AF$25:AF$327,Покупка!$F$25:$F$327,$F80,Покупка!$AC$25:$AC$327,$G80)</f>
        <v>0</v>
      </c>
      <c r="AG80" s="255">
        <f>_xlfn.SUMIFS(Покупка!AG$25:AG$327,Покупка!$F$25:$F$327,$F80,Покупка!$AC$25:$AC$327,$G80)</f>
        <v>0</v>
      </c>
      <c r="AH80" s="951">
        <f>AG80-AF80</f>
        <v>0</v>
      </c>
      <c r="AI80" s="951">
        <f>_xlfn.SUMIFS(Покупка!AH$25:AH$327,Покупка!$F$25:$F$327,$F80,Покупка!$AC$25:$AC$327,$G80)</f>
        <v>0</v>
      </c>
      <c r="AJ80" s="951">
        <f>_xlfn.SUMIFS(Покупка!AI$25:AI$327,Покупка!$F$25:$F$327,$F80,Покупка!$AC$25:$AC$327,$G80)</f>
        <v>0</v>
      </c>
      <c r="AK80" s="951">
        <f>_xlfn.SUMIFS(Покупка!AJ$25:AJ$327,Покупка!$F$25:$F$327,$F80,Покупка!$AC$25:$AC$327,$G80)</f>
        <v>0</v>
      </c>
      <c r="AL80" s="951">
        <f>_xlfn.SUMIFS(Покупка!AK$25:AK$327,Покупка!$F$25:$F$327,$F80,Покупка!$AC$25:$AC$327,$G80)</f>
        <v>0</v>
      </c>
      <c r="AM80" s="951">
        <f>_xlfn.SUMIFS(Покупка!AL$25:AL$327,Покупка!$F$25:$F$327,$F80,Покупка!$AC$25:$AC$327,$G80)</f>
        <v>0</v>
      </c>
      <c r="AN80" s="951">
        <f>_xlfn.SUMIFS(Покупка!AM$25:AM$327,Покупка!$F$25:$F$327,$F80,Покупка!$AC$25:$AC$327,$G80)</f>
        <v>0</v>
      </c>
      <c r="AO80" s="951">
        <f>_xlfn.SUMIFS(Покупка!AN$25:AN$327,Покупка!$F$25:$F$327,$F80,Покупка!$AC$25:$AC$327,$G80)</f>
        <v>0</v>
      </c>
      <c r="AP80" s="951">
        <f>_xlfn.SUMIFS(Покупка!AO$25:AO$327,Покупка!$F$25:$F$327,$F80,Покупка!$AC$25:$AC$327,$G80)</f>
        <v>0</v>
      </c>
      <c r="AQ80" s="951">
        <f>_xlfn.SUMIFS(Покупка!AP$25:AP$327,Покупка!$F$25:$F$327,$F80,Покупка!$AC$25:$AC$327,$G80)</f>
        <v>0</v>
      </c>
      <c r="AR80" s="951">
        <f>_xlfn.SUMIFS(Покупка!AQ$25:AQ$327,Покупка!$F$25:$F$327,$F80,Покупка!$AC$25:$AC$327,$G80)</f>
        <v>0</v>
      </c>
      <c r="AS80" s="951">
        <f>_xlfn.SUMIFS(Покупка!AR$25:AR$327,Покупка!$F$25:$F$327,$F80,Покупка!$AC$25:$AC$327,$G80)</f>
        <v>0</v>
      </c>
      <c r="AT80" s="951">
        <f>_xlfn.SUMIFS(Покупка!AS$25:AS$327,Покупка!$F$25:$F$327,$F80,Покупка!$AC$25:$AC$327,$G80)</f>
        <v>0</v>
      </c>
      <c r="AU80" s="951">
        <f>_xlfn.SUMIFS(Покупка!AT$25:AT$327,Покупка!$F$25:$F$327,$F80,Покупка!$AC$25:$AC$327,$G80)</f>
        <v>0</v>
      </c>
      <c r="AV80" s="951">
        <f>_xlfn.SUMIFS(Покупка!AU$25:AU$327,Покупка!$F$25:$F$327,$F80,Покупка!$AC$25:$AC$327,$G80)</f>
        <v>0</v>
      </c>
      <c r="AW80" s="951">
        <f>_xlfn.SUMIFS(Покупка!AV$25:AV$327,Покупка!$F$25:$F$327,$F80,Покупка!$AC$25:$AC$327,$G80)</f>
        <v>0</v>
      </c>
      <c r="AX80" s="951">
        <f>_xlfn.SUMIFS(Покупка!AW$25:AW$327,Покупка!$F$25:$F$327,$F80,Покупка!$AC$25:$AC$327,$G80)</f>
        <v>0</v>
      </c>
      <c r="AY80" s="951">
        <f>_xlfn.SUMIFS(Покупка!AX$25:AX$327,Покупка!$F$25:$F$327,$F80,Покупка!$AC$25:$AC$327,$G80)</f>
        <v>0</v>
      </c>
      <c r="AZ80" s="951">
        <f>_xlfn.SUMIFS(Покупка!AY$25:AY$327,Покупка!$F$25:$F$327,$F80,Покупка!$AC$25:$AC$327,$G80)</f>
        <v>0</v>
      </c>
      <c r="BA80" s="951">
        <f>_xlfn.SUMIFS(Покупка!AZ$25:AZ$327,Покупка!$F$25:$F$327,$F80,Покупка!$AC$25:$AC$327,$G80)</f>
        <v>0</v>
      </c>
      <c r="BB80" s="951">
        <f>_xlfn.SUMIFS(Покупка!BA$25:BA$327,Покупка!$F$25:$F$327,$F80,Покупка!$AC$25:$AC$327,$G80)</f>
        <v>0</v>
      </c>
      <c r="BC80" s="951">
        <f>_xlfn.SUMIFS(Покупка!BB$25:BB$327,Покупка!$F$25:$F$327,$F80,Покупка!$AC$25:$AC$327,$G80)</f>
        <v>0</v>
      </c>
      <c r="BD80" s="951">
        <f>IF(AI80=0,0,(AT80-AI80)/AI80*100)</f>
        <v>0</v>
      </c>
      <c r="BE80" s="951">
        <f>IF(AT80=0,0,(AU80-AT80)/AT80*100)</f>
        <v>0</v>
      </c>
      <c r="BF80" s="951">
        <f>IF(AU80=0,0,(AV80-AU80)/AU80*100)</f>
        <v>0</v>
      </c>
      <c r="BG80" s="951">
        <f>IF(AV80=0,0,(AW80-AV80)/AV80*100)</f>
        <v>0</v>
      </c>
      <c r="BH80" s="951">
        <f>IF(AW80=0,0,(AX80-AW80)/AW80*100)</f>
        <v>0</v>
      </c>
      <c r="BI80" s="951">
        <f>IF(AX80=0,0,(AY80-AX80)/AX80*100)</f>
        <v>0</v>
      </c>
      <c r="BJ80" s="951">
        <f>IF(AY80=0,0,(AZ80-AY80)/AY80*100)</f>
        <v>0</v>
      </c>
      <c r="BK80" s="951">
        <f>IF(AZ80=0,0,(BA80-AZ80)/AZ80*100)</f>
        <v>0</v>
      </c>
      <c r="BL80" s="951">
        <f>IF(BA80=0,0,(BB80-BA80)/BA80*100)</f>
        <v>0</v>
      </c>
      <c r="BM80" s="951">
        <f>IF(BB80=0,0,(BC80-BB80)/BB80*100)</f>
        <v>0</v>
      </c>
      <c r="BN80" s="1275"/>
      <c r="BO80" s="1273" t="str">
        <f>IF(_xlfn.IFERROR(INDEX(Покупка!$K$26:$L$327,MATCH($F80&amp;"6komm",Покупка!$K$26:$K$327,0),2),"")=0,"",_xlfn.IFERROR(INDEX(Покупка!$K$26:$L$327,MATCH($F80&amp;"6komm",Покупка!$K$26:$K$327,0),2),""))</f>
        <v/>
      </c>
      <c r="BP80" s="1275"/>
      <c r="BQ80" s="1297"/>
      <c r="BR80" s="1297"/>
      <c r="BS80" s="1072" t="s">
        <v>1288</v>
      </c>
      <c r="BT80" s="1072"/>
      <c r="BU80" s="1072"/>
      <c r="BV80" s="987"/>
      <c r="BW80" s="987"/>
    </row>
    <row customHeight="1" ht="14.625" hidden="1">
      <c r="A81" s="1297"/>
      <c r="B81" s="92"/>
      <c r="C81" s="103"/>
      <c r="D81" s="103"/>
      <c r="E81" s="626">
        <v>15</v>
      </c>
      <c r="F81" s="50" cm="1" t="str">
        <f t="array" ref="F81:F81">OFFSET(E81,-1,1)</f>
        <v>0</v>
      </c>
      <c r="G81" s="103" t="s">
        <v>1309</v>
      </c>
      <c r="H81" s="103"/>
      <c r="I81" s="103" t="s">
        <v>1791</v>
      </c>
      <c r="J81" s="103"/>
      <c r="K81" s="103" t="s">
        <v>1791</v>
      </c>
      <c r="L81" s="988" t="s">
        <v>1557</v>
      </c>
      <c r="M81" s="103"/>
      <c r="N81" s="103"/>
      <c r="O81" s="103"/>
      <c r="P81" s="103"/>
      <c r="Q81" s="103"/>
      <c r="R81" s="103"/>
      <c r="S81" s="103"/>
      <c r="T81" s="468" cm="1" t="str">
        <f t="array" ref="T81:T81">T80</f>
        <v>false</v>
      </c>
      <c r="U81" s="103"/>
      <c r="V81" s="103"/>
      <c r="W81" s="1297"/>
      <c r="X81" s="1539"/>
      <c r="Y81" s="1297"/>
      <c r="Z81" s="1529"/>
      <c r="AA81" s="1297"/>
      <c r="AB81" s="295" t="s">
        <v>2276</v>
      </c>
      <c r="AC81" s="772" t="s">
        <v>2277</v>
      </c>
      <c r="AD81" s="296" t="s">
        <v>936</v>
      </c>
      <c r="AE81" s="255">
        <f>_xlfn.SUMIFS(Покупка!AE$25:AE$327,Покупка!$F$25:$F$327,$F81,Покупка!$AC$25:$AC$327,$G81)</f>
        <v>0</v>
      </c>
      <c r="AF81" s="255">
        <f>_xlfn.SUMIFS(Покупка!AF$25:AF$327,Покупка!$F$25:$F$327,$F81,Покупка!$AC$25:$AC$327,$G81)</f>
        <v>0</v>
      </c>
      <c r="AG81" s="255">
        <f>_xlfn.SUMIFS(Покупка!AG$25:AG$327,Покупка!$F$25:$F$327,$F81,Покупка!$AC$25:$AC$327,$G81)</f>
        <v>0</v>
      </c>
      <c r="AH81" s="951">
        <f>AG81-AF81</f>
        <v>0</v>
      </c>
      <c r="AI81" s="951">
        <f>_xlfn.SUMIFS(Покупка!AH$25:AH$327,Покупка!$F$25:$F$327,$F81,Покупка!$AC$25:$AC$327,$G81)</f>
        <v>0</v>
      </c>
      <c r="AJ81" s="951">
        <f>_xlfn.SUMIFS(Покупка!AI$25:AI$327,Покупка!$F$25:$F$327,$F81,Покупка!$AC$25:$AC$327,$G81)</f>
        <v>0</v>
      </c>
      <c r="AK81" s="951">
        <f>_xlfn.SUMIFS(Покупка!AJ$25:AJ$327,Покупка!$F$25:$F$327,$F81,Покупка!$AC$25:$AC$327,$G81)</f>
        <v>0</v>
      </c>
      <c r="AL81" s="951">
        <f>_xlfn.SUMIFS(Покупка!AK$25:AK$327,Покупка!$F$25:$F$327,$F81,Покупка!$AC$25:$AC$327,$G81)</f>
        <v>0</v>
      </c>
      <c r="AM81" s="951">
        <f>_xlfn.SUMIFS(Покупка!AL$25:AL$327,Покупка!$F$25:$F$327,$F81,Покупка!$AC$25:$AC$327,$G81)</f>
        <v>0</v>
      </c>
      <c r="AN81" s="951">
        <f>_xlfn.SUMIFS(Покупка!AM$25:AM$327,Покупка!$F$25:$F$327,$F81,Покупка!$AC$25:$AC$327,$G81)</f>
        <v>0</v>
      </c>
      <c r="AO81" s="951">
        <f>_xlfn.SUMIFS(Покупка!AN$25:AN$327,Покупка!$F$25:$F$327,$F81,Покупка!$AC$25:$AC$327,$G81)</f>
        <v>0</v>
      </c>
      <c r="AP81" s="951">
        <f>_xlfn.SUMIFS(Покупка!AO$25:AO$327,Покупка!$F$25:$F$327,$F81,Покупка!$AC$25:$AC$327,$G81)</f>
        <v>0</v>
      </c>
      <c r="AQ81" s="951">
        <f>_xlfn.SUMIFS(Покупка!AP$25:AP$327,Покупка!$F$25:$F$327,$F81,Покупка!$AC$25:$AC$327,$G81)</f>
        <v>0</v>
      </c>
      <c r="AR81" s="951">
        <f>_xlfn.SUMIFS(Покупка!AQ$25:AQ$327,Покупка!$F$25:$F$327,$F81,Покупка!$AC$25:$AC$327,$G81)</f>
        <v>0</v>
      </c>
      <c r="AS81" s="951">
        <f>_xlfn.SUMIFS(Покупка!AR$25:AR$327,Покупка!$F$25:$F$327,$F81,Покупка!$AC$25:$AC$327,$G81)</f>
        <v>0</v>
      </c>
      <c r="AT81" s="951">
        <f>_xlfn.SUMIFS(Покупка!AS$25:AS$327,Покупка!$F$25:$F$327,$F81,Покупка!$AC$25:$AC$327,$G81)</f>
        <v>0</v>
      </c>
      <c r="AU81" s="951">
        <f>_xlfn.SUMIFS(Покупка!AT$25:AT$327,Покупка!$F$25:$F$327,$F81,Покупка!$AC$25:$AC$327,$G81)</f>
        <v>0</v>
      </c>
      <c r="AV81" s="951">
        <f>_xlfn.SUMIFS(Покупка!AU$25:AU$327,Покупка!$F$25:$F$327,$F81,Покупка!$AC$25:$AC$327,$G81)</f>
        <v>0</v>
      </c>
      <c r="AW81" s="951">
        <f>_xlfn.SUMIFS(Покупка!AV$25:AV$327,Покупка!$F$25:$F$327,$F81,Покупка!$AC$25:$AC$327,$G81)</f>
        <v>0</v>
      </c>
      <c r="AX81" s="951">
        <f>_xlfn.SUMIFS(Покупка!AW$25:AW$327,Покупка!$F$25:$F$327,$F81,Покупка!$AC$25:$AC$327,$G81)</f>
        <v>0</v>
      </c>
      <c r="AY81" s="951">
        <f>_xlfn.SUMIFS(Покупка!AX$25:AX$327,Покупка!$F$25:$F$327,$F81,Покупка!$AC$25:$AC$327,$G81)</f>
        <v>0</v>
      </c>
      <c r="AZ81" s="951">
        <f>_xlfn.SUMIFS(Покупка!AY$25:AY$327,Покупка!$F$25:$F$327,$F81,Покупка!$AC$25:$AC$327,$G81)</f>
        <v>0</v>
      </c>
      <c r="BA81" s="951">
        <f>_xlfn.SUMIFS(Покупка!AZ$25:AZ$327,Покупка!$F$25:$F$327,$F81,Покупка!$AC$25:$AC$327,$G81)</f>
        <v>0</v>
      </c>
      <c r="BB81" s="951">
        <f>_xlfn.SUMIFS(Покупка!BA$25:BA$327,Покупка!$F$25:$F$327,$F81,Покупка!$AC$25:$AC$327,$G81)</f>
        <v>0</v>
      </c>
      <c r="BC81" s="951">
        <f>_xlfn.SUMIFS(Покупка!BB$25:BB$327,Покупка!$F$25:$F$327,$F81,Покупка!$AC$25:$AC$327,$G81)</f>
        <v>0</v>
      </c>
      <c r="BD81" s="951">
        <f>IF(AI81=0,0,(AT81-AI81)/AI81*100)</f>
        <v>0</v>
      </c>
      <c r="BE81" s="951">
        <f>IF(AT81=0,0,(AU81-AT81)/AT81*100)</f>
        <v>0</v>
      </c>
      <c r="BF81" s="951">
        <f>IF(AU81=0,0,(AV81-AU81)/AU81*100)</f>
        <v>0</v>
      </c>
      <c r="BG81" s="951">
        <f>IF(AV81=0,0,(AW81-AV81)/AV81*100)</f>
        <v>0</v>
      </c>
      <c r="BH81" s="951">
        <f>IF(AW81=0,0,(AX81-AW81)/AW81*100)</f>
        <v>0</v>
      </c>
      <c r="BI81" s="951">
        <f>IF(AX81=0,0,(AY81-AX81)/AX81*100)</f>
        <v>0</v>
      </c>
      <c r="BJ81" s="951">
        <f>IF(AY81=0,0,(AZ81-AY81)/AY81*100)</f>
        <v>0</v>
      </c>
      <c r="BK81" s="951">
        <f>IF(AZ81=0,0,(BA81-AZ81)/AZ81*100)</f>
        <v>0</v>
      </c>
      <c r="BL81" s="951">
        <f>IF(BA81=0,0,(BB81-BA81)/BA81*100)</f>
        <v>0</v>
      </c>
      <c r="BM81" s="951">
        <f>IF(BB81=0,0,(BC81-BB81)/BB81*100)</f>
        <v>0</v>
      </c>
      <c r="BN81" s="1275"/>
      <c r="BO81" s="1273" t="str">
        <f>IF(_xlfn.IFERROR(INDEX(Покупка!$K$26:$L$327,MATCH($F81&amp;"7komm",Покупка!$K$26:$K$327,0),2),"")=0,"",_xlfn.IFERROR(INDEX(Покупка!$K$26:$L$327,MATCH($F81&amp;"7komm",Покупка!$K$26:$K$327,0),2),""))</f>
        <v/>
      </c>
      <c r="BP81" s="1275"/>
      <c r="BQ81" s="1297"/>
      <c r="BR81" s="1297"/>
      <c r="BS81" s="1072" t="s">
        <v>1310</v>
      </c>
      <c r="BT81" s="1072"/>
      <c r="BU81" s="1072"/>
      <c r="BV81" s="987"/>
      <c r="BW81" s="987"/>
    </row>
    <row customHeight="1" ht="14.625" hidden="1">
      <c r="A82" s="1297"/>
      <c r="B82" s="92"/>
      <c r="C82" s="103"/>
      <c r="D82" s="103"/>
      <c r="E82" s="626">
        <v>15</v>
      </c>
      <c r="F82" s="50" cm="1" t="str">
        <f t="array" ref="F82:F82">OFFSET(E82,-1,1)</f>
        <v>0</v>
      </c>
      <c r="G82" s="103" t="s">
        <v>1261</v>
      </c>
      <c r="H82" s="103"/>
      <c r="I82" s="103" t="s">
        <v>1899</v>
      </c>
      <c r="J82" s="103"/>
      <c r="K82" s="103" t="s">
        <v>1899</v>
      </c>
      <c r="L82" s="988" t="s">
        <v>1736</v>
      </c>
      <c r="M82" s="103"/>
      <c r="N82" s="103"/>
      <c r="O82" s="103"/>
      <c r="P82" s="103"/>
      <c r="Q82" s="103"/>
      <c r="R82" s="103"/>
      <c r="S82" s="103"/>
      <c r="T82" s="468" cm="1" t="str">
        <f t="array" ref="T82:T82">T81</f>
        <v>false</v>
      </c>
      <c r="U82" s="103"/>
      <c r="V82" s="103"/>
      <c r="W82" s="1297"/>
      <c r="X82" s="1539"/>
      <c r="Y82" s="1297"/>
      <c r="Z82" s="1529"/>
      <c r="AA82" s="1297"/>
      <c r="AB82" s="295" t="s">
        <v>2278</v>
      </c>
      <c r="AC82" s="772" t="s">
        <v>2279</v>
      </c>
      <c r="AD82" s="296" t="s">
        <v>936</v>
      </c>
      <c r="AE82" s="255">
        <f>_xlfn.SUMIFS(Покупка!AE$25:AE$327,Покупка!$F$25:$F$327,$F82,Покупка!$AC$25:$AC$327,$G82)</f>
        <v>0</v>
      </c>
      <c r="AF82" s="255">
        <f>_xlfn.SUMIFS(Покупка!AF$25:AF$327,Покупка!$F$25:$F$327,$F82,Покупка!$AC$25:$AC$327,$G82)</f>
        <v>0</v>
      </c>
      <c r="AG82" s="255">
        <f>_xlfn.SUMIFS(Покупка!AG$25:AG$327,Покупка!$F$25:$F$327,$F82,Покупка!$AC$25:$AC$327,$G82)</f>
        <v>0</v>
      </c>
      <c r="AH82" s="951">
        <f>AG82-AF82</f>
        <v>0</v>
      </c>
      <c r="AI82" s="951">
        <f>_xlfn.SUMIFS(Покупка!AH$25:AH$327,Покупка!$F$25:$F$327,$F82,Покупка!$AC$25:$AC$327,$G82)</f>
        <v>0</v>
      </c>
      <c r="AJ82" s="951">
        <f>_xlfn.SUMIFS(Покупка!AI$25:AI$327,Покупка!$F$25:$F$327,$F82,Покупка!$AC$25:$AC$327,$G82)</f>
        <v>0</v>
      </c>
      <c r="AK82" s="951">
        <f>_xlfn.SUMIFS(Покупка!AJ$25:AJ$327,Покупка!$F$25:$F$327,$F82,Покупка!$AC$25:$AC$327,$G82)</f>
        <v>0</v>
      </c>
      <c r="AL82" s="951">
        <f>_xlfn.SUMIFS(Покупка!AK$25:AK$327,Покупка!$F$25:$F$327,$F82,Покупка!$AC$25:$AC$327,$G82)</f>
        <v>0</v>
      </c>
      <c r="AM82" s="951">
        <f>_xlfn.SUMIFS(Покупка!AL$25:AL$327,Покупка!$F$25:$F$327,$F82,Покупка!$AC$25:$AC$327,$G82)</f>
        <v>0</v>
      </c>
      <c r="AN82" s="951">
        <f>_xlfn.SUMIFS(Покупка!AM$25:AM$327,Покупка!$F$25:$F$327,$F82,Покупка!$AC$25:$AC$327,$G82)</f>
        <v>0</v>
      </c>
      <c r="AO82" s="951">
        <f>_xlfn.SUMIFS(Покупка!AN$25:AN$327,Покупка!$F$25:$F$327,$F82,Покупка!$AC$25:$AC$327,$G82)</f>
        <v>0</v>
      </c>
      <c r="AP82" s="951">
        <f>_xlfn.SUMIFS(Покупка!AO$25:AO$327,Покупка!$F$25:$F$327,$F82,Покупка!$AC$25:$AC$327,$G82)</f>
        <v>0</v>
      </c>
      <c r="AQ82" s="951">
        <f>_xlfn.SUMIFS(Покупка!AP$25:AP$327,Покупка!$F$25:$F$327,$F82,Покупка!$AC$25:$AC$327,$G82)</f>
        <v>0</v>
      </c>
      <c r="AR82" s="951">
        <f>_xlfn.SUMIFS(Покупка!AQ$25:AQ$327,Покупка!$F$25:$F$327,$F82,Покупка!$AC$25:$AC$327,$G82)</f>
        <v>0</v>
      </c>
      <c r="AS82" s="951">
        <f>_xlfn.SUMIFS(Покупка!AR$25:AR$327,Покупка!$F$25:$F$327,$F82,Покупка!$AC$25:$AC$327,$G82)</f>
        <v>0</v>
      </c>
      <c r="AT82" s="951">
        <f>_xlfn.SUMIFS(Покупка!AS$25:AS$327,Покупка!$F$25:$F$327,$F82,Покупка!$AC$25:$AC$327,$G82)</f>
        <v>0</v>
      </c>
      <c r="AU82" s="951">
        <f>_xlfn.SUMIFS(Покупка!AT$25:AT$327,Покупка!$F$25:$F$327,$F82,Покупка!$AC$25:$AC$327,$G82)</f>
        <v>0</v>
      </c>
      <c r="AV82" s="951">
        <f>_xlfn.SUMIFS(Покупка!AU$25:AU$327,Покупка!$F$25:$F$327,$F82,Покупка!$AC$25:$AC$327,$G82)</f>
        <v>0</v>
      </c>
      <c r="AW82" s="951">
        <f>_xlfn.SUMIFS(Покупка!AV$25:AV$327,Покупка!$F$25:$F$327,$F82,Покупка!$AC$25:$AC$327,$G82)</f>
        <v>0</v>
      </c>
      <c r="AX82" s="951">
        <f>_xlfn.SUMIFS(Покупка!AW$25:AW$327,Покупка!$F$25:$F$327,$F82,Покупка!$AC$25:$AC$327,$G82)</f>
        <v>0</v>
      </c>
      <c r="AY82" s="951">
        <f>_xlfn.SUMIFS(Покупка!AX$25:AX$327,Покупка!$F$25:$F$327,$F82,Покупка!$AC$25:$AC$327,$G82)</f>
        <v>0</v>
      </c>
      <c r="AZ82" s="951">
        <f>_xlfn.SUMIFS(Покупка!AY$25:AY$327,Покупка!$F$25:$F$327,$F82,Покупка!$AC$25:$AC$327,$G82)</f>
        <v>0</v>
      </c>
      <c r="BA82" s="951">
        <f>_xlfn.SUMIFS(Покупка!AZ$25:AZ$327,Покупка!$F$25:$F$327,$F82,Покупка!$AC$25:$AC$327,$G82)</f>
        <v>0</v>
      </c>
      <c r="BB82" s="951">
        <f>_xlfn.SUMIFS(Покупка!BA$25:BA$327,Покупка!$F$25:$F$327,$F82,Покупка!$AC$25:$AC$327,$G82)</f>
        <v>0</v>
      </c>
      <c r="BC82" s="951">
        <f>_xlfn.SUMIFS(Покупка!BB$25:BB$327,Покупка!$F$25:$F$327,$F82,Покупка!$AC$25:$AC$327,$G82)</f>
        <v>0</v>
      </c>
      <c r="BD82" s="951">
        <f>IF(AI82=0,0,(AT82-AI82)/AI82*100)</f>
        <v>0</v>
      </c>
      <c r="BE82" s="951">
        <f>IF(AT82=0,0,(AU82-AT82)/AT82*100)</f>
        <v>0</v>
      </c>
      <c r="BF82" s="951">
        <f>IF(AU82=0,0,(AV82-AU82)/AU82*100)</f>
        <v>0</v>
      </c>
      <c r="BG82" s="951">
        <f>IF(AV82=0,0,(AW82-AV82)/AV82*100)</f>
        <v>0</v>
      </c>
      <c r="BH82" s="951">
        <f>IF(AW82=0,0,(AX82-AW82)/AW82*100)</f>
        <v>0</v>
      </c>
      <c r="BI82" s="951">
        <f>IF(AX82=0,0,(AY82-AX82)/AX82*100)</f>
        <v>0</v>
      </c>
      <c r="BJ82" s="951">
        <f>IF(AY82=0,0,(AZ82-AY82)/AY82*100)</f>
        <v>0</v>
      </c>
      <c r="BK82" s="951">
        <f>IF(AZ82=0,0,(BA82-AZ82)/AZ82*100)</f>
        <v>0</v>
      </c>
      <c r="BL82" s="951">
        <f>IF(BA82=0,0,(BB82-BA82)/BA82*100)</f>
        <v>0</v>
      </c>
      <c r="BM82" s="951">
        <f>IF(BB82=0,0,(BC82-BB82)/BB82*100)</f>
        <v>0</v>
      </c>
      <c r="BN82" s="1275"/>
      <c r="BO82" s="1273" t="str">
        <f>IF(_xlfn.IFERROR(INDEX(Покупка!$K$26:$L$327,MATCH($F82&amp;"2komm",Покупка!$K$26:$K$327,0),2),"")=0,"",_xlfn.IFERROR(INDEX(Покупка!$K$26:$L$327,MATCH($F82&amp;"2komm",Покупка!$K$26:$K$327,0),2),""))</f>
        <v/>
      </c>
      <c r="BP82" s="1275"/>
      <c r="BQ82" s="1297"/>
      <c r="BR82" s="1297"/>
      <c r="BS82" s="1072" t="s">
        <v>2280</v>
      </c>
      <c r="BT82" s="1072"/>
      <c r="BU82" s="1072"/>
      <c r="BV82" s="987"/>
      <c r="BW82" s="987"/>
    </row>
    <row customHeight="1" ht="14.625" hidden="1">
      <c r="A83" s="1297"/>
      <c r="B83" s="92"/>
      <c r="C83" s="103"/>
      <c r="D83" s="103"/>
      <c r="E83" s="626">
        <v>15</v>
      </c>
      <c r="F83" s="50" cm="1" t="str">
        <f t="array" ref="F83:F83">OFFSET(E83,-1,1)</f>
        <v>0</v>
      </c>
      <c r="G83" s="103" t="s">
        <v>1248</v>
      </c>
      <c r="H83" s="103"/>
      <c r="I83" s="103" t="s">
        <v>1901</v>
      </c>
      <c r="J83" s="103"/>
      <c r="K83" s="103" t="s">
        <v>1901</v>
      </c>
      <c r="L83" s="988" t="s">
        <v>1731</v>
      </c>
      <c r="M83" s="103"/>
      <c r="N83" s="103"/>
      <c r="O83" s="103"/>
      <c r="P83" s="103"/>
      <c r="Q83" s="103"/>
      <c r="R83" s="103"/>
      <c r="S83" s="103"/>
      <c r="T83" s="468" cm="1" t="str">
        <f t="array" ref="T83:T83">T82</f>
        <v>false</v>
      </c>
      <c r="U83" s="103"/>
      <c r="V83" s="103"/>
      <c r="W83" s="1297"/>
      <c r="X83" s="1539"/>
      <c r="Y83" s="1297"/>
      <c r="Z83" s="1529"/>
      <c r="AA83" s="1297"/>
      <c r="AB83" s="295" t="s">
        <v>2281</v>
      </c>
      <c r="AC83" s="772" t="s">
        <v>2282</v>
      </c>
      <c r="AD83" s="296" t="s">
        <v>936</v>
      </c>
      <c r="AE83" s="255">
        <f>_xlfn.SUMIFS(Покупка!AE$25:AE$327,Покупка!$F$25:$F$327,$F83,Покупка!$AC$25:$AC$327,$G83)</f>
        <v>0</v>
      </c>
      <c r="AF83" s="255">
        <f>_xlfn.SUMIFS(Покупка!AF$25:AF$327,Покупка!$F$25:$F$327,$F83,Покупка!$AC$25:$AC$327,$G83)</f>
        <v>0</v>
      </c>
      <c r="AG83" s="255">
        <f>_xlfn.SUMIFS(Покупка!AG$25:AG$327,Покупка!$F$25:$F$327,$F83,Покупка!$AC$25:$AC$327,$G83)</f>
        <v>0</v>
      </c>
      <c r="AH83" s="951">
        <f>AG83-AF83</f>
        <v>0</v>
      </c>
      <c r="AI83" s="951">
        <f>_xlfn.SUMIFS(Покупка!AH$25:AH$327,Покупка!$F$25:$F$327,$F83,Покупка!$AC$25:$AC$327,$G83)</f>
        <v>0</v>
      </c>
      <c r="AJ83" s="951">
        <f>_xlfn.SUMIFS(Покупка!AI$25:AI$327,Покупка!$F$25:$F$327,$F83,Покупка!$AC$25:$AC$327,$G83)</f>
        <v>0</v>
      </c>
      <c r="AK83" s="951">
        <f>_xlfn.SUMIFS(Покупка!AJ$25:AJ$327,Покупка!$F$25:$F$327,$F83,Покупка!$AC$25:$AC$327,$G83)</f>
        <v>0</v>
      </c>
      <c r="AL83" s="951">
        <f>_xlfn.SUMIFS(Покупка!AK$25:AK$327,Покупка!$F$25:$F$327,$F83,Покупка!$AC$25:$AC$327,$G83)</f>
        <v>0</v>
      </c>
      <c r="AM83" s="951">
        <f>_xlfn.SUMIFS(Покупка!AL$25:AL$327,Покупка!$F$25:$F$327,$F83,Покупка!$AC$25:$AC$327,$G83)</f>
        <v>0</v>
      </c>
      <c r="AN83" s="951">
        <f>_xlfn.SUMIFS(Покупка!AM$25:AM$327,Покупка!$F$25:$F$327,$F83,Покупка!$AC$25:$AC$327,$G83)</f>
        <v>0</v>
      </c>
      <c r="AO83" s="951">
        <f>_xlfn.SUMIFS(Покупка!AN$25:AN$327,Покупка!$F$25:$F$327,$F83,Покупка!$AC$25:$AC$327,$G83)</f>
        <v>0</v>
      </c>
      <c r="AP83" s="951">
        <f>_xlfn.SUMIFS(Покупка!AO$25:AO$327,Покупка!$F$25:$F$327,$F83,Покупка!$AC$25:$AC$327,$G83)</f>
        <v>0</v>
      </c>
      <c r="AQ83" s="951">
        <f>_xlfn.SUMIFS(Покупка!AP$25:AP$327,Покупка!$F$25:$F$327,$F83,Покупка!$AC$25:$AC$327,$G83)</f>
        <v>0</v>
      </c>
      <c r="AR83" s="951">
        <f>_xlfn.SUMIFS(Покупка!AQ$25:AQ$327,Покупка!$F$25:$F$327,$F83,Покупка!$AC$25:$AC$327,$G83)</f>
        <v>0</v>
      </c>
      <c r="AS83" s="951">
        <f>_xlfn.SUMIFS(Покупка!AR$25:AR$327,Покупка!$F$25:$F$327,$F83,Покупка!$AC$25:$AC$327,$G83)</f>
        <v>0</v>
      </c>
      <c r="AT83" s="951">
        <f>_xlfn.SUMIFS(Покупка!AS$25:AS$327,Покупка!$F$25:$F$327,$F83,Покупка!$AC$25:$AC$327,$G83)</f>
        <v>0</v>
      </c>
      <c r="AU83" s="951">
        <f>_xlfn.SUMIFS(Покупка!AT$25:AT$327,Покупка!$F$25:$F$327,$F83,Покупка!$AC$25:$AC$327,$G83)</f>
        <v>0</v>
      </c>
      <c r="AV83" s="951">
        <f>_xlfn.SUMIFS(Покупка!AU$25:AU$327,Покупка!$F$25:$F$327,$F83,Покупка!$AC$25:$AC$327,$G83)</f>
        <v>0</v>
      </c>
      <c r="AW83" s="951">
        <f>_xlfn.SUMIFS(Покупка!AV$25:AV$327,Покупка!$F$25:$F$327,$F83,Покупка!$AC$25:$AC$327,$G83)</f>
        <v>0</v>
      </c>
      <c r="AX83" s="951">
        <f>_xlfn.SUMIFS(Покупка!AW$25:AW$327,Покупка!$F$25:$F$327,$F83,Покупка!$AC$25:$AC$327,$G83)</f>
        <v>0</v>
      </c>
      <c r="AY83" s="951">
        <f>_xlfn.SUMIFS(Покупка!AX$25:AX$327,Покупка!$F$25:$F$327,$F83,Покупка!$AC$25:$AC$327,$G83)</f>
        <v>0</v>
      </c>
      <c r="AZ83" s="951">
        <f>_xlfn.SUMIFS(Покупка!AY$25:AY$327,Покупка!$F$25:$F$327,$F83,Покупка!$AC$25:$AC$327,$G83)</f>
        <v>0</v>
      </c>
      <c r="BA83" s="951">
        <f>_xlfn.SUMIFS(Покупка!AZ$25:AZ$327,Покупка!$F$25:$F$327,$F83,Покупка!$AC$25:$AC$327,$G83)</f>
        <v>0</v>
      </c>
      <c r="BB83" s="951">
        <f>_xlfn.SUMIFS(Покупка!BA$25:BA$327,Покупка!$F$25:$F$327,$F83,Покупка!$AC$25:$AC$327,$G83)</f>
        <v>0</v>
      </c>
      <c r="BC83" s="951">
        <f>_xlfn.SUMIFS(Покупка!BB$25:BB$327,Покупка!$F$25:$F$327,$F83,Покупка!$AC$25:$AC$327,$G83)</f>
        <v>0</v>
      </c>
      <c r="BD83" s="951">
        <f>IF(AI83=0,0,(AT83-AI83)/AI83*100)</f>
        <v>0</v>
      </c>
      <c r="BE83" s="951">
        <f>IF(AT83=0,0,(AU83-AT83)/AT83*100)</f>
        <v>0</v>
      </c>
      <c r="BF83" s="951">
        <f>IF(AU83=0,0,(AV83-AU83)/AU83*100)</f>
        <v>0</v>
      </c>
      <c r="BG83" s="951">
        <f>IF(AV83=0,0,(AW83-AV83)/AV83*100)</f>
        <v>0</v>
      </c>
      <c r="BH83" s="951">
        <f>IF(AW83=0,0,(AX83-AW83)/AW83*100)</f>
        <v>0</v>
      </c>
      <c r="BI83" s="951">
        <f>IF(AX83=0,0,(AY83-AX83)/AX83*100)</f>
        <v>0</v>
      </c>
      <c r="BJ83" s="951">
        <f>IF(AY83=0,0,(AZ83-AY83)/AY83*100)</f>
        <v>0</v>
      </c>
      <c r="BK83" s="951">
        <f>IF(AZ83=0,0,(BA83-AZ83)/AZ83*100)</f>
        <v>0</v>
      </c>
      <c r="BL83" s="951">
        <f>IF(BA83=0,0,(BB83-BA83)/BA83*100)</f>
        <v>0</v>
      </c>
      <c r="BM83" s="951">
        <f>IF(BB83=0,0,(BC83-BB83)/BB83*100)</f>
        <v>0</v>
      </c>
      <c r="BN83" s="1275"/>
      <c r="BO83" s="1273" t="str">
        <f>IF(_xlfn.IFERROR(INDEX(Покупка!$K$26:$L$327,MATCH($F83&amp;"1komm",Покупка!$K$26:$K$327,0),2),"")=0,"",_xlfn.IFERROR(INDEX(Покупка!$K$26:$L$327,MATCH($F83&amp;"1komm",Покупка!$K$26:$K$327,0),2),""))</f>
        <v/>
      </c>
      <c r="BP83" s="1275"/>
      <c r="BQ83" s="1297"/>
      <c r="BR83" s="1297"/>
      <c r="BS83" s="1072" t="s">
        <v>2283</v>
      </c>
      <c r="BT83" s="1072"/>
      <c r="BU83" s="1072"/>
      <c r="BV83" s="987"/>
      <c r="BW83" s="987"/>
    </row>
    <row customHeight="1" ht="14.625" hidden="1">
      <c r="A84" s="1297"/>
      <c r="B84" s="92"/>
      <c r="C84" s="103"/>
      <c r="D84" s="103"/>
      <c r="E84" s="626">
        <v>15</v>
      </c>
      <c r="F84" s="50" cm="1" t="str">
        <f t="array" ref="F84:F84">OFFSET(E84,-1,1)</f>
        <v>0</v>
      </c>
      <c r="G84" s="103" t="s">
        <v>1315</v>
      </c>
      <c r="H84" s="103"/>
      <c r="I84" s="103" t="s">
        <v>1904</v>
      </c>
      <c r="J84" s="103"/>
      <c r="K84" s="103" t="s">
        <v>1904</v>
      </c>
      <c r="L84" s="988"/>
      <c r="M84" s="103"/>
      <c r="N84" s="103"/>
      <c r="O84" s="103"/>
      <c r="P84" s="103"/>
      <c r="Q84" s="103"/>
      <c r="R84" s="103"/>
      <c r="S84" s="103"/>
      <c r="T84" s="468" cm="1" t="str">
        <f t="array" ref="T84:T84">T83</f>
        <v>false</v>
      </c>
      <c r="U84" s="103"/>
      <c r="V84" s="103"/>
      <c r="W84" s="1297"/>
      <c r="X84" s="1539"/>
      <c r="Y84" s="1297"/>
      <c r="Z84" s="1529"/>
      <c r="AA84" s="1297"/>
      <c r="AB84" s="295" t="s">
        <v>2284</v>
      </c>
      <c r="AC84" s="772" t="s">
        <v>2285</v>
      </c>
      <c r="AD84" s="296" t="s">
        <v>936</v>
      </c>
      <c r="AE84" s="255">
        <f>_xlfn.SUMIFS(Покупка!AE$25:AE$327,Покупка!$F$25:$F$327,$F84,Покупка!$AC$25:$AC$327,$G84)</f>
        <v>0</v>
      </c>
      <c r="AF84" s="255">
        <f>_xlfn.SUMIFS(Покупка!AF$25:AF$327,Покупка!$F$25:$F$327,$F84,Покупка!$AC$25:$AC$327,$G84)</f>
        <v>0</v>
      </c>
      <c r="AG84" s="255">
        <f>_xlfn.SUMIFS(Покупка!AG$25:AG$327,Покупка!$F$25:$F$327,$F84,Покупка!$AC$25:$AC$327,$G84)</f>
        <v>0</v>
      </c>
      <c r="AH84" s="951">
        <f>AG84-AF84</f>
        <v>0</v>
      </c>
      <c r="AI84" s="951">
        <f>_xlfn.SUMIFS(Покупка!AH$25:AH$327,Покупка!$F$25:$F$327,$F84,Покупка!$AC$25:$AC$327,$G84)</f>
        <v>0</v>
      </c>
      <c r="AJ84" s="951">
        <f>_xlfn.SUMIFS(Покупка!AI$25:AI$327,Покупка!$F$25:$F$327,$F84,Покупка!$AC$25:$AC$327,$G84)</f>
        <v>0</v>
      </c>
      <c r="AK84" s="951">
        <f>_xlfn.SUMIFS(Покупка!AJ$25:AJ$327,Покупка!$F$25:$F$327,$F84,Покупка!$AC$25:$AC$327,$G84)</f>
        <v>0</v>
      </c>
      <c r="AL84" s="951">
        <f>_xlfn.SUMIFS(Покупка!AK$25:AK$327,Покупка!$F$25:$F$327,$F84,Покупка!$AC$25:$AC$327,$G84)</f>
        <v>0</v>
      </c>
      <c r="AM84" s="951">
        <f>_xlfn.SUMIFS(Покупка!AL$25:AL$327,Покупка!$F$25:$F$327,$F84,Покупка!$AC$25:$AC$327,$G84)</f>
        <v>0</v>
      </c>
      <c r="AN84" s="951">
        <f>_xlfn.SUMIFS(Покупка!AM$25:AM$327,Покупка!$F$25:$F$327,$F84,Покупка!$AC$25:$AC$327,$G84)</f>
        <v>0</v>
      </c>
      <c r="AO84" s="951">
        <f>_xlfn.SUMIFS(Покупка!AN$25:AN$327,Покупка!$F$25:$F$327,$F84,Покупка!$AC$25:$AC$327,$G84)</f>
        <v>0</v>
      </c>
      <c r="AP84" s="951">
        <f>_xlfn.SUMIFS(Покупка!AO$25:AO$327,Покупка!$F$25:$F$327,$F84,Покупка!$AC$25:$AC$327,$G84)</f>
        <v>0</v>
      </c>
      <c r="AQ84" s="951">
        <f>_xlfn.SUMIFS(Покупка!AP$25:AP$327,Покупка!$F$25:$F$327,$F84,Покупка!$AC$25:$AC$327,$G84)</f>
        <v>0</v>
      </c>
      <c r="AR84" s="951">
        <f>_xlfn.SUMIFS(Покупка!AQ$25:AQ$327,Покупка!$F$25:$F$327,$F84,Покупка!$AC$25:$AC$327,$G84)</f>
        <v>0</v>
      </c>
      <c r="AS84" s="951">
        <f>_xlfn.SUMIFS(Покупка!AR$25:AR$327,Покупка!$F$25:$F$327,$F84,Покупка!$AC$25:$AC$327,$G84)</f>
        <v>0</v>
      </c>
      <c r="AT84" s="951">
        <f>_xlfn.SUMIFS(Покупка!AS$25:AS$327,Покупка!$F$25:$F$327,$F84,Покупка!$AC$25:$AC$327,$G84)</f>
        <v>0</v>
      </c>
      <c r="AU84" s="951">
        <f>_xlfn.SUMIFS(Покупка!AT$25:AT$327,Покупка!$F$25:$F$327,$F84,Покупка!$AC$25:$AC$327,$G84)</f>
        <v>0</v>
      </c>
      <c r="AV84" s="951">
        <f>_xlfn.SUMIFS(Покупка!AU$25:AU$327,Покупка!$F$25:$F$327,$F84,Покупка!$AC$25:$AC$327,$G84)</f>
        <v>0</v>
      </c>
      <c r="AW84" s="951">
        <f>_xlfn.SUMIFS(Покупка!AV$25:AV$327,Покупка!$F$25:$F$327,$F84,Покупка!$AC$25:$AC$327,$G84)</f>
        <v>0</v>
      </c>
      <c r="AX84" s="951">
        <f>_xlfn.SUMIFS(Покупка!AW$25:AW$327,Покупка!$F$25:$F$327,$F84,Покупка!$AC$25:$AC$327,$G84)</f>
        <v>0</v>
      </c>
      <c r="AY84" s="951">
        <f>_xlfn.SUMIFS(Покупка!AX$25:AX$327,Покупка!$F$25:$F$327,$F84,Покупка!$AC$25:$AC$327,$G84)</f>
        <v>0</v>
      </c>
      <c r="AZ84" s="951">
        <f>_xlfn.SUMIFS(Покупка!AY$25:AY$327,Покупка!$F$25:$F$327,$F84,Покупка!$AC$25:$AC$327,$G84)</f>
        <v>0</v>
      </c>
      <c r="BA84" s="951">
        <f>_xlfn.SUMIFS(Покупка!AZ$25:AZ$327,Покупка!$F$25:$F$327,$F84,Покупка!$AC$25:$AC$327,$G84)</f>
        <v>0</v>
      </c>
      <c r="BB84" s="951">
        <f>_xlfn.SUMIFS(Покупка!BA$25:BA$327,Покупка!$F$25:$F$327,$F84,Покупка!$AC$25:$AC$327,$G84)</f>
        <v>0</v>
      </c>
      <c r="BC84" s="951">
        <f>_xlfn.SUMIFS(Покупка!BB$25:BB$327,Покупка!$F$25:$F$327,$F84,Покупка!$AC$25:$AC$327,$G84)</f>
        <v>0</v>
      </c>
      <c r="BD84" s="951">
        <f>IF(AI84=0,0,(AT84-AI84)/AI84*100)</f>
        <v>0</v>
      </c>
      <c r="BE84" s="951">
        <f>IF(AT84=0,0,(AU84-AT84)/AT84*100)</f>
        <v>0</v>
      </c>
      <c r="BF84" s="951">
        <f>IF(AU84=0,0,(AV84-AU84)/AU84*100)</f>
        <v>0</v>
      </c>
      <c r="BG84" s="951">
        <f>IF(AV84=0,0,(AW84-AV84)/AV84*100)</f>
        <v>0</v>
      </c>
      <c r="BH84" s="951">
        <f>IF(AW84=0,0,(AX84-AW84)/AW84*100)</f>
        <v>0</v>
      </c>
      <c r="BI84" s="951">
        <f>IF(AX84=0,0,(AY84-AX84)/AX84*100)</f>
        <v>0</v>
      </c>
      <c r="BJ84" s="951">
        <f>IF(AY84=0,0,(AZ84-AY84)/AY84*100)</f>
        <v>0</v>
      </c>
      <c r="BK84" s="951">
        <f>IF(AZ84=0,0,(BA84-AZ84)/AZ84*100)</f>
        <v>0</v>
      </c>
      <c r="BL84" s="951">
        <f>IF(BA84=0,0,(BB84-BA84)/BA84*100)</f>
        <v>0</v>
      </c>
      <c r="BM84" s="951">
        <f>IF(BB84=0,0,(BC84-BB84)/BB84*100)</f>
        <v>0</v>
      </c>
      <c r="BN84" s="1275"/>
      <c r="BO84" s="1273" t="str">
        <f>IF(_xlfn.IFERROR(INDEX(Покупка!$K$26:$L$327,MATCH($F84&amp;"8komm",Покупка!$K$26:$K$327,0),2),"")=0,"",_xlfn.IFERROR(INDEX(Покупка!$K$26:$L$327,MATCH($F84&amp;"8komm",Покупка!$K$26:$K$327,0),2),""))</f>
        <v/>
      </c>
      <c r="BP84" s="1275"/>
      <c r="BQ84" s="1297"/>
      <c r="BR84" s="1297"/>
      <c r="BS84" s="1072" t="s">
        <v>1316</v>
      </c>
      <c r="BT84" s="1072"/>
      <c r="BU84" s="1072"/>
      <c r="BV84" s="987"/>
      <c r="BW84" s="987"/>
    </row>
    <row customHeight="1" ht="14.625" hidden="1">
      <c r="A85" s="1297"/>
      <c r="B85" s="92"/>
      <c r="C85" s="103"/>
      <c r="D85" s="103"/>
      <c r="E85" s="626">
        <v>15</v>
      </c>
      <c r="F85" s="50" cm="1" t="str">
        <f t="array" ref="F85:F85">OFFSET(E85,-1,1)</f>
        <v>0</v>
      </c>
      <c r="G85" s="103"/>
      <c r="H85" s="103"/>
      <c r="I85" s="103" t="s">
        <v>2286</v>
      </c>
      <c r="J85" s="103"/>
      <c r="K85" s="103" t="s">
        <v>2286</v>
      </c>
      <c r="L85" s="988"/>
      <c r="M85" s="103"/>
      <c r="N85" s="103"/>
      <c r="O85" s="103"/>
      <c r="P85" s="103"/>
      <c r="Q85" s="103"/>
      <c r="R85" s="103"/>
      <c r="S85" s="103"/>
      <c r="T85" s="468" cm="1" t="str">
        <f t="array" ref="T85:T85">T84</f>
        <v>false</v>
      </c>
      <c r="U85" s="103"/>
      <c r="V85" s="103"/>
      <c r="W85" s="1297"/>
      <c r="X85" s="1539"/>
      <c r="Y85" s="1297"/>
      <c r="Z85" s="1529"/>
      <c r="AA85" s="1297"/>
      <c r="AB85" s="295" t="s">
        <v>2287</v>
      </c>
      <c r="AC85" s="772" t="s">
        <v>2288</v>
      </c>
      <c r="AD85" s="296" t="s">
        <v>936</v>
      </c>
      <c r="AE85" s="1274"/>
      <c r="AF85" s="1274"/>
      <c r="AG85" s="1274"/>
      <c r="AH85" s="951">
        <f>AG85-AF85</f>
        <v>0</v>
      </c>
      <c r="AI85" s="1272"/>
      <c r="AJ85" s="1272"/>
      <c r="AK85" s="1272"/>
      <c r="AL85" s="1272"/>
      <c r="AM85" s="1272"/>
      <c r="AN85" s="1272"/>
      <c r="AO85" s="1272"/>
      <c r="AP85" s="1272"/>
      <c r="AQ85" s="1272"/>
      <c r="AR85" s="1272"/>
      <c r="AS85" s="1272"/>
      <c r="AT85" s="1272"/>
      <c r="AU85" s="1272"/>
      <c r="AV85" s="1272"/>
      <c r="AW85" s="1272"/>
      <c r="AX85" s="1272"/>
      <c r="AY85" s="1272"/>
      <c r="AZ85" s="1272"/>
      <c r="BA85" s="1272"/>
      <c r="BB85" s="1272"/>
      <c r="BC85" s="1272"/>
      <c r="BD85" s="951">
        <f>IF(AI85=0,0,(AT85-AI85)/AI85*100)</f>
        <v>0</v>
      </c>
      <c r="BE85" s="951">
        <f>IF(AT85=0,0,(AU85-AT85)/AT85*100)</f>
        <v>0</v>
      </c>
      <c r="BF85" s="951">
        <f>IF(AU85=0,0,(AV85-AU85)/AU85*100)</f>
        <v>0</v>
      </c>
      <c r="BG85" s="951">
        <f>IF(AV85=0,0,(AW85-AV85)/AV85*100)</f>
        <v>0</v>
      </c>
      <c r="BH85" s="951">
        <f>IF(AW85=0,0,(AX85-AW85)/AW85*100)</f>
        <v>0</v>
      </c>
      <c r="BI85" s="951">
        <f>IF(AX85=0,0,(AY85-AX85)/AX85*100)</f>
        <v>0</v>
      </c>
      <c r="BJ85" s="951">
        <f>IF(AY85=0,0,(AZ85-AY85)/AY85*100)</f>
        <v>0</v>
      </c>
      <c r="BK85" s="951">
        <f>IF(AZ85=0,0,(BA85-AZ85)/AZ85*100)</f>
        <v>0</v>
      </c>
      <c r="BL85" s="951">
        <f>IF(BA85=0,0,(BB85-BA85)/BA85*100)</f>
        <v>0</v>
      </c>
      <c r="BM85" s="951">
        <f>IF(BB85=0,0,(BC85-BB85)/BB85*100)</f>
        <v>0</v>
      </c>
      <c r="BN85" s="1275"/>
      <c r="BO85" s="1275"/>
      <c r="BP85" s="1275"/>
      <c r="BQ85" s="1297"/>
      <c r="BR85" s="1297"/>
      <c r="BS85" s="1072" t="s">
        <v>2289</v>
      </c>
      <c r="BT85" s="1072"/>
      <c r="BU85" s="1072"/>
      <c r="BV85" s="987"/>
      <c r="BW85" s="987"/>
    </row>
    <row customHeight="1" ht="14.625" hidden="1">
      <c r="A86" s="1297"/>
      <c r="B86" s="92"/>
      <c r="C86" s="103"/>
      <c r="D86" s="103"/>
      <c r="E86" s="626">
        <v>15</v>
      </c>
      <c r="F86" s="50" cm="1" t="str">
        <f t="array" ref="F86:F86">OFFSET(E86,-1,1)</f>
        <v>0</v>
      </c>
      <c r="G86" s="103"/>
      <c r="H86" s="103"/>
      <c r="I86" s="103" t="s">
        <v>2290</v>
      </c>
      <c r="J86" s="103"/>
      <c r="K86" s="103" t="s">
        <v>2290</v>
      </c>
      <c r="L86" s="988"/>
      <c r="M86" s="103"/>
      <c r="N86" s="103"/>
      <c r="O86" s="103"/>
      <c r="P86" s="103"/>
      <c r="Q86" s="103"/>
      <c r="R86" s="103"/>
      <c r="S86" s="103"/>
      <c r="T86" s="468" cm="1" t="str">
        <f t="array" ref="T86:T86">T85</f>
        <v>false</v>
      </c>
      <c r="U86" s="103"/>
      <c r="V86" s="103"/>
      <c r="W86" s="1297"/>
      <c r="X86" s="1539"/>
      <c r="Y86" s="1297"/>
      <c r="Z86" s="1529"/>
      <c r="AA86" s="1297"/>
      <c r="AB86" s="295" t="s">
        <v>2291</v>
      </c>
      <c r="AC86" s="772" t="s">
        <v>2292</v>
      </c>
      <c r="AD86" s="296" t="s">
        <v>936</v>
      </c>
      <c r="AE86" s="1274"/>
      <c r="AF86" s="1274"/>
      <c r="AG86" s="1274"/>
      <c r="AH86" s="951">
        <f>AG86-AF86</f>
        <v>0</v>
      </c>
      <c r="AI86" s="1272"/>
      <c r="AJ86" s="1272"/>
      <c r="AK86" s="1272"/>
      <c r="AL86" s="1272"/>
      <c r="AM86" s="1272"/>
      <c r="AN86" s="1272"/>
      <c r="AO86" s="1272"/>
      <c r="AP86" s="1272"/>
      <c r="AQ86" s="1272"/>
      <c r="AR86" s="1272"/>
      <c r="AS86" s="1272"/>
      <c r="AT86" s="1272"/>
      <c r="AU86" s="1272"/>
      <c r="AV86" s="1272"/>
      <c r="AW86" s="1272"/>
      <c r="AX86" s="1272"/>
      <c r="AY86" s="1272"/>
      <c r="AZ86" s="1272"/>
      <c r="BA86" s="1272"/>
      <c r="BB86" s="1272"/>
      <c r="BC86" s="1272"/>
      <c r="BD86" s="951">
        <f>IF(AI86=0,0,(AT86-AI86)/AI86*100)</f>
        <v>0</v>
      </c>
      <c r="BE86" s="951">
        <f>IF(AT86=0,0,(AU86-AT86)/AT86*100)</f>
        <v>0</v>
      </c>
      <c r="BF86" s="951">
        <f>IF(AU86=0,0,(AV86-AU86)/AU86*100)</f>
        <v>0</v>
      </c>
      <c r="BG86" s="951">
        <f>IF(AV86=0,0,(AW86-AV86)/AV86*100)</f>
        <v>0</v>
      </c>
      <c r="BH86" s="951">
        <f>IF(AW86=0,0,(AX86-AW86)/AW86*100)</f>
        <v>0</v>
      </c>
      <c r="BI86" s="951">
        <f>IF(AX86=0,0,(AY86-AX86)/AX86*100)</f>
        <v>0</v>
      </c>
      <c r="BJ86" s="951">
        <f>IF(AY86=0,0,(AZ86-AY86)/AY86*100)</f>
        <v>0</v>
      </c>
      <c r="BK86" s="951">
        <f>IF(AZ86=0,0,(BA86-AZ86)/AZ86*100)</f>
        <v>0</v>
      </c>
      <c r="BL86" s="951">
        <f>IF(BA86=0,0,(BB86-BA86)/BA86*100)</f>
        <v>0</v>
      </c>
      <c r="BM86" s="951">
        <f>IF(BB86=0,0,(BC86-BB86)/BB86*100)</f>
        <v>0</v>
      </c>
      <c r="BN86" s="1275"/>
      <c r="BO86" s="1275"/>
      <c r="BP86" s="1275"/>
      <c r="BQ86" s="1297"/>
      <c r="BR86" s="1297"/>
      <c r="BS86" s="1072" t="s">
        <v>2293</v>
      </c>
      <c r="BT86" s="1072"/>
      <c r="BU86" s="1072"/>
      <c r="BV86" s="987"/>
      <c r="BW86" s="987"/>
    </row>
    <row customHeight="1" ht="14.625" hidden="1">
      <c r="A87" s="1297"/>
      <c r="B87" s="92"/>
      <c r="C87" s="103"/>
      <c r="D87" s="103"/>
      <c r="E87" s="626">
        <v>15</v>
      </c>
      <c r="F87" s="50" cm="1" t="str">
        <f t="array" ref="F87:F87">OFFSET(E87,-1,1)</f>
        <v>0</v>
      </c>
      <c r="G87" s="103" t="s">
        <v>1267</v>
      </c>
      <c r="H87" s="103"/>
      <c r="I87" s="103" t="s">
        <v>2294</v>
      </c>
      <c r="J87" s="103"/>
      <c r="K87" s="103" t="s">
        <v>2294</v>
      </c>
      <c r="L87" s="988" t="s">
        <v>1745</v>
      </c>
      <c r="M87" s="103"/>
      <c r="N87" s="103"/>
      <c r="O87" s="103"/>
      <c r="P87" s="103"/>
      <c r="Q87" s="103"/>
      <c r="R87" s="103"/>
      <c r="S87" s="103"/>
      <c r="T87" s="468" cm="1" t="str">
        <f t="array" ref="T87:T87">T86</f>
        <v>false</v>
      </c>
      <c r="U87" s="103"/>
      <c r="V87" s="103"/>
      <c r="W87" s="1297"/>
      <c r="X87" s="1539"/>
      <c r="Y87" s="1297"/>
      <c r="Z87" s="1529"/>
      <c r="AA87" s="1297"/>
      <c r="AB87" s="295" t="s">
        <v>2295</v>
      </c>
      <c r="AC87" s="772" t="s">
        <v>2296</v>
      </c>
      <c r="AD87" s="296" t="s">
        <v>936</v>
      </c>
      <c r="AE87" s="255">
        <f>_xlfn.SUMIFS(Покупка!AE$25:AE$327,Покупка!$F$25:$F$327,$F87,Покупка!$AC$25:$AC$327,$G87)</f>
        <v>0</v>
      </c>
      <c r="AF87" s="255">
        <f>_xlfn.SUMIFS(Покупка!AF$25:AF$327,Покупка!$F$25:$F$327,$F87,Покупка!$AC$25:$AC$327,$G87)</f>
        <v>0</v>
      </c>
      <c r="AG87" s="255">
        <f>_xlfn.SUMIFS(Покупка!AG$25:AG$327,Покупка!$F$25:$F$327,$F87,Покупка!$AC$25:$AC$327,$G87)</f>
        <v>0</v>
      </c>
      <c r="AH87" s="951">
        <f>AG87-AF87</f>
        <v>0</v>
      </c>
      <c r="AI87" s="951">
        <f>_xlfn.SUMIFS(Покупка!AH$25:AH$327,Покупка!$F$25:$F$327,$F87,Покупка!$AC$25:$AC$327,$G87)</f>
        <v>0</v>
      </c>
      <c r="AJ87" s="951">
        <f>_xlfn.SUMIFS(Покупка!AI$25:AI$327,Покупка!$F$25:$F$327,$F87,Покупка!$AC$25:$AC$327,$G87)</f>
        <v>0</v>
      </c>
      <c r="AK87" s="951">
        <f>_xlfn.SUMIFS(Покупка!AJ$25:AJ$327,Покупка!$F$25:$F$327,$F87,Покупка!$AC$25:$AC$327,$G87)</f>
        <v>0</v>
      </c>
      <c r="AL87" s="951">
        <f>_xlfn.SUMIFS(Покупка!AK$25:AK$327,Покупка!$F$25:$F$327,$F87,Покупка!$AC$25:$AC$327,$G87)</f>
        <v>0</v>
      </c>
      <c r="AM87" s="951">
        <f>_xlfn.SUMIFS(Покупка!AL$25:AL$327,Покупка!$F$25:$F$327,$F87,Покупка!$AC$25:$AC$327,$G87)</f>
        <v>0</v>
      </c>
      <c r="AN87" s="951">
        <f>_xlfn.SUMIFS(Покупка!AM$25:AM$327,Покупка!$F$25:$F$327,$F87,Покупка!$AC$25:$AC$327,$G87)</f>
        <v>0</v>
      </c>
      <c r="AO87" s="951">
        <f>_xlfn.SUMIFS(Покупка!AN$25:AN$327,Покупка!$F$25:$F$327,$F87,Покупка!$AC$25:$AC$327,$G87)</f>
        <v>0</v>
      </c>
      <c r="AP87" s="951">
        <f>_xlfn.SUMIFS(Покупка!AO$25:AO$327,Покупка!$F$25:$F$327,$F87,Покупка!$AC$25:$AC$327,$G87)</f>
        <v>0</v>
      </c>
      <c r="AQ87" s="951">
        <f>_xlfn.SUMIFS(Покупка!AP$25:AP$327,Покупка!$F$25:$F$327,$F87,Покупка!$AC$25:$AC$327,$G87)</f>
        <v>0</v>
      </c>
      <c r="AR87" s="951">
        <f>_xlfn.SUMIFS(Покупка!AQ$25:AQ$327,Покупка!$F$25:$F$327,$F87,Покупка!$AC$25:$AC$327,$G87)</f>
        <v>0</v>
      </c>
      <c r="AS87" s="951">
        <f>_xlfn.SUMIFS(Покупка!AR$25:AR$327,Покупка!$F$25:$F$327,$F87,Покупка!$AC$25:$AC$327,$G87)</f>
        <v>0</v>
      </c>
      <c r="AT87" s="951">
        <f>_xlfn.SUMIFS(Покупка!AS$25:AS$327,Покупка!$F$25:$F$327,$F87,Покупка!$AC$25:$AC$327,$G87)</f>
        <v>0</v>
      </c>
      <c r="AU87" s="951">
        <f>_xlfn.SUMIFS(Покупка!AT$25:AT$327,Покупка!$F$25:$F$327,$F87,Покупка!$AC$25:$AC$327,$G87)</f>
        <v>0</v>
      </c>
      <c r="AV87" s="951">
        <f>_xlfn.SUMIFS(Покупка!AU$25:AU$327,Покупка!$F$25:$F$327,$F87,Покупка!$AC$25:$AC$327,$G87)</f>
        <v>0</v>
      </c>
      <c r="AW87" s="951">
        <f>_xlfn.SUMIFS(Покупка!AV$25:AV$327,Покупка!$F$25:$F$327,$F87,Покупка!$AC$25:$AC$327,$G87)</f>
        <v>0</v>
      </c>
      <c r="AX87" s="951">
        <f>_xlfn.SUMIFS(Покупка!AW$25:AW$327,Покупка!$F$25:$F$327,$F87,Покупка!$AC$25:$AC$327,$G87)</f>
        <v>0</v>
      </c>
      <c r="AY87" s="951">
        <f>_xlfn.SUMIFS(Покупка!AX$25:AX$327,Покупка!$F$25:$F$327,$F87,Покупка!$AC$25:$AC$327,$G87)</f>
        <v>0</v>
      </c>
      <c r="AZ87" s="951">
        <f>_xlfn.SUMIFS(Покупка!AY$25:AY$327,Покупка!$F$25:$F$327,$F87,Покупка!$AC$25:$AC$327,$G87)</f>
        <v>0</v>
      </c>
      <c r="BA87" s="951">
        <f>_xlfn.SUMIFS(Покупка!AZ$25:AZ$327,Покупка!$F$25:$F$327,$F87,Покупка!$AC$25:$AC$327,$G87)</f>
        <v>0</v>
      </c>
      <c r="BB87" s="951">
        <f>_xlfn.SUMIFS(Покупка!BA$25:BA$327,Покупка!$F$25:$F$327,$F87,Покупка!$AC$25:$AC$327,$G87)</f>
        <v>0</v>
      </c>
      <c r="BC87" s="951">
        <f>_xlfn.SUMIFS(Покупка!BB$25:BB$327,Покупка!$F$25:$F$327,$F87,Покупка!$AC$25:$AC$327,$G87)</f>
        <v>0</v>
      </c>
      <c r="BD87" s="951">
        <f>IF(AI87=0,0,(AT87-AI87)/AI87*100)</f>
        <v>0</v>
      </c>
      <c r="BE87" s="951">
        <f>IF(AT87=0,0,(AU87-AT87)/AT87*100)</f>
        <v>0</v>
      </c>
      <c r="BF87" s="951">
        <f>IF(AU87=0,0,(AV87-AU87)/AU87*100)</f>
        <v>0</v>
      </c>
      <c r="BG87" s="951">
        <f>IF(AV87=0,0,(AW87-AV87)/AV87*100)</f>
        <v>0</v>
      </c>
      <c r="BH87" s="951">
        <f>IF(AW87=0,0,(AX87-AW87)/AW87*100)</f>
        <v>0</v>
      </c>
      <c r="BI87" s="951">
        <f>IF(AX87=0,0,(AY87-AX87)/AX87*100)</f>
        <v>0</v>
      </c>
      <c r="BJ87" s="951">
        <f>IF(AY87=0,0,(AZ87-AY87)/AY87*100)</f>
        <v>0</v>
      </c>
      <c r="BK87" s="951">
        <f>IF(AZ87=0,0,(BA87-AZ87)/AZ87*100)</f>
        <v>0</v>
      </c>
      <c r="BL87" s="951">
        <f>IF(BA87=0,0,(BB87-BA87)/BA87*100)</f>
        <v>0</v>
      </c>
      <c r="BM87" s="951">
        <f>IF(BB87=0,0,(BC87-BB87)/BB87*100)</f>
        <v>0</v>
      </c>
      <c r="BN87" s="1275"/>
      <c r="BO87" s="1273" t="str">
        <f>IF(_xlfn.IFERROR(INDEX(Покупка!$K$26:$L$327,MATCH($F87&amp;"3komm",Покупка!$K$26:$K$327,0),2),"")=0,"",_xlfn.IFERROR(INDEX(Покупка!$K$26:$L$327,MATCH($F87&amp;"3komm",Покупка!$K$26:$K$327,0),2),""))</f>
        <v/>
      </c>
      <c r="BP87" s="1275"/>
      <c r="BQ87" s="1297"/>
      <c r="BR87" s="1297"/>
      <c r="BS87" s="1072" t="s">
        <v>1997</v>
      </c>
      <c r="BT87" s="1072"/>
      <c r="BU87" s="1072"/>
      <c r="BV87" s="987"/>
      <c r="BW87" s="987"/>
    </row>
    <row customHeight="1" ht="14.625" hidden="1">
      <c r="A88" s="1297"/>
      <c r="B88" s="92"/>
      <c r="C88" s="103"/>
      <c r="D88" s="103"/>
      <c r="E88" s="626">
        <v>15</v>
      </c>
      <c r="F88" s="50" cm="1" t="str">
        <f t="array" ref="F88:F88">OFFSET(E88,-1,1)</f>
        <v>0</v>
      </c>
      <c r="G88" s="103" t="s">
        <v>1273</v>
      </c>
      <c r="H88" s="103"/>
      <c r="I88" s="103" t="s">
        <v>2297</v>
      </c>
      <c r="J88" s="103"/>
      <c r="K88" s="103" t="s">
        <v>2297</v>
      </c>
      <c r="L88" s="988" t="s">
        <v>1750</v>
      </c>
      <c r="M88" s="103"/>
      <c r="N88" s="103"/>
      <c r="O88" s="103"/>
      <c r="P88" s="103"/>
      <c r="Q88" s="103"/>
      <c r="R88" s="103"/>
      <c r="S88" s="103"/>
      <c r="T88" s="468" cm="1" t="str">
        <f t="array" ref="T88:T88">T87</f>
        <v>false</v>
      </c>
      <c r="U88" s="103"/>
      <c r="V88" s="103"/>
      <c r="W88" s="1297"/>
      <c r="X88" s="1539"/>
      <c r="Y88" s="1297"/>
      <c r="Z88" s="1529"/>
      <c r="AA88" s="1297"/>
      <c r="AB88" s="295" t="s">
        <v>2298</v>
      </c>
      <c r="AC88" s="772" t="s">
        <v>2299</v>
      </c>
      <c r="AD88" s="296" t="s">
        <v>936</v>
      </c>
      <c r="AE88" s="255">
        <f>_xlfn.SUMIFS(Покупка!AE$25:AE$327,Покупка!$F$25:$F$327,$F88,Покупка!$AC$25:$AC$327,$G88)</f>
        <v>0</v>
      </c>
      <c r="AF88" s="255">
        <f>_xlfn.SUMIFS(Покупка!AF$25:AF$327,Покупка!$F$25:$F$327,$F88,Покупка!$AC$25:$AC$327,$G88)</f>
        <v>0</v>
      </c>
      <c r="AG88" s="255">
        <f>_xlfn.SUMIFS(Покупка!AG$25:AG$327,Покупка!$F$25:$F$327,$F88,Покупка!$AC$25:$AC$327,$G88)</f>
        <v>0</v>
      </c>
      <c r="AH88" s="951">
        <f>AG88-AF88</f>
        <v>0</v>
      </c>
      <c r="AI88" s="951">
        <f>_xlfn.SUMIFS(Покупка!AH$25:AH$327,Покупка!$F$25:$F$327,$F88,Покупка!$AC$25:$AC$327,$G88)</f>
        <v>0</v>
      </c>
      <c r="AJ88" s="951">
        <f>_xlfn.SUMIFS(Покупка!AI$25:AI$327,Покупка!$F$25:$F$327,$F88,Покупка!$AC$25:$AC$327,$G88)</f>
        <v>0</v>
      </c>
      <c r="AK88" s="951">
        <f>_xlfn.SUMIFS(Покупка!AJ$25:AJ$327,Покупка!$F$25:$F$327,$F88,Покупка!$AC$25:$AC$327,$G88)</f>
        <v>0</v>
      </c>
      <c r="AL88" s="951">
        <f>_xlfn.SUMIFS(Покупка!AK$25:AK$327,Покупка!$F$25:$F$327,$F88,Покупка!$AC$25:$AC$327,$G88)</f>
        <v>0</v>
      </c>
      <c r="AM88" s="951">
        <f>_xlfn.SUMIFS(Покупка!AL$25:AL$327,Покупка!$F$25:$F$327,$F88,Покупка!$AC$25:$AC$327,$G88)</f>
        <v>0</v>
      </c>
      <c r="AN88" s="951">
        <f>_xlfn.SUMIFS(Покупка!AM$25:AM$327,Покупка!$F$25:$F$327,$F88,Покупка!$AC$25:$AC$327,$G88)</f>
        <v>0</v>
      </c>
      <c r="AO88" s="951">
        <f>_xlfn.SUMIFS(Покупка!AN$25:AN$327,Покупка!$F$25:$F$327,$F88,Покупка!$AC$25:$AC$327,$G88)</f>
        <v>0</v>
      </c>
      <c r="AP88" s="951">
        <f>_xlfn.SUMIFS(Покупка!AO$25:AO$327,Покупка!$F$25:$F$327,$F88,Покупка!$AC$25:$AC$327,$G88)</f>
        <v>0</v>
      </c>
      <c r="AQ88" s="951">
        <f>_xlfn.SUMIFS(Покупка!AP$25:AP$327,Покупка!$F$25:$F$327,$F88,Покупка!$AC$25:$AC$327,$G88)</f>
        <v>0</v>
      </c>
      <c r="AR88" s="951">
        <f>_xlfn.SUMIFS(Покупка!AQ$25:AQ$327,Покупка!$F$25:$F$327,$F88,Покупка!$AC$25:$AC$327,$G88)</f>
        <v>0</v>
      </c>
      <c r="AS88" s="951">
        <f>_xlfn.SUMIFS(Покупка!AR$25:AR$327,Покупка!$F$25:$F$327,$F88,Покупка!$AC$25:$AC$327,$G88)</f>
        <v>0</v>
      </c>
      <c r="AT88" s="951">
        <f>_xlfn.SUMIFS(Покупка!AS$25:AS$327,Покупка!$F$25:$F$327,$F88,Покупка!$AC$25:$AC$327,$G88)</f>
        <v>0</v>
      </c>
      <c r="AU88" s="951">
        <f>_xlfn.SUMIFS(Покупка!AT$25:AT$327,Покупка!$F$25:$F$327,$F88,Покупка!$AC$25:$AC$327,$G88)</f>
        <v>0</v>
      </c>
      <c r="AV88" s="951">
        <f>_xlfn.SUMIFS(Покупка!AU$25:AU$327,Покупка!$F$25:$F$327,$F88,Покупка!$AC$25:$AC$327,$G88)</f>
        <v>0</v>
      </c>
      <c r="AW88" s="951">
        <f>_xlfn.SUMIFS(Покупка!AV$25:AV$327,Покупка!$F$25:$F$327,$F88,Покупка!$AC$25:$AC$327,$G88)</f>
        <v>0</v>
      </c>
      <c r="AX88" s="951">
        <f>_xlfn.SUMIFS(Покупка!AW$25:AW$327,Покупка!$F$25:$F$327,$F88,Покупка!$AC$25:$AC$327,$G88)</f>
        <v>0</v>
      </c>
      <c r="AY88" s="951">
        <f>_xlfn.SUMIFS(Покупка!AX$25:AX$327,Покупка!$F$25:$F$327,$F88,Покупка!$AC$25:$AC$327,$G88)</f>
        <v>0</v>
      </c>
      <c r="AZ88" s="951">
        <f>_xlfn.SUMIFS(Покупка!AY$25:AY$327,Покупка!$F$25:$F$327,$F88,Покупка!$AC$25:$AC$327,$G88)</f>
        <v>0</v>
      </c>
      <c r="BA88" s="951">
        <f>_xlfn.SUMIFS(Покупка!AZ$25:AZ$327,Покупка!$F$25:$F$327,$F88,Покупка!$AC$25:$AC$327,$G88)</f>
        <v>0</v>
      </c>
      <c r="BB88" s="951">
        <f>_xlfn.SUMIFS(Покупка!BA$25:BA$327,Покупка!$F$25:$F$327,$F88,Покупка!$AC$25:$AC$327,$G88)</f>
        <v>0</v>
      </c>
      <c r="BC88" s="951">
        <f>_xlfn.SUMIFS(Покупка!BB$25:BB$327,Покупка!$F$25:$F$327,$F88,Покупка!$AC$25:$AC$327,$G88)</f>
        <v>0</v>
      </c>
      <c r="BD88" s="951">
        <f>IF(AI88=0,0,(AT88-AI88)/AI88*100)</f>
        <v>0</v>
      </c>
      <c r="BE88" s="951">
        <f>IF(AT88=0,0,(AU88-AT88)/AT88*100)</f>
        <v>0</v>
      </c>
      <c r="BF88" s="951">
        <f>IF(AU88=0,0,(AV88-AU88)/AU88*100)</f>
        <v>0</v>
      </c>
      <c r="BG88" s="951">
        <f>IF(AV88=0,0,(AW88-AV88)/AV88*100)</f>
        <v>0</v>
      </c>
      <c r="BH88" s="951">
        <f>IF(AW88=0,0,(AX88-AW88)/AW88*100)</f>
        <v>0</v>
      </c>
      <c r="BI88" s="951">
        <f>IF(AX88=0,0,(AY88-AX88)/AX88*100)</f>
        <v>0</v>
      </c>
      <c r="BJ88" s="951">
        <f>IF(AY88=0,0,(AZ88-AY88)/AY88*100)</f>
        <v>0</v>
      </c>
      <c r="BK88" s="951">
        <f>IF(AZ88=0,0,(BA88-AZ88)/AZ88*100)</f>
        <v>0</v>
      </c>
      <c r="BL88" s="951">
        <f>IF(BA88=0,0,(BB88-BA88)/BA88*100)</f>
        <v>0</v>
      </c>
      <c r="BM88" s="951">
        <f>IF(BB88=0,0,(BC88-BB88)/BB88*100)</f>
        <v>0</v>
      </c>
      <c r="BN88" s="1275"/>
      <c r="BO88" s="1273" t="str">
        <f>IF(_xlfn.IFERROR(INDEX(Покупка!$K$26:$L$327,MATCH($F88&amp;"4komm",Покупка!$K$26:$K$327,0),2),"")=0,"",_xlfn.IFERROR(INDEX(Покупка!$K$26:$L$327,MATCH($F87&amp;"3komm",Покупка!$K$26:$K$327,0),2),""))</f>
        <v/>
      </c>
      <c r="BP88" s="1275"/>
      <c r="BQ88" s="1297"/>
      <c r="BR88" s="1297"/>
      <c r="BS88" s="1072" t="s">
        <v>2000</v>
      </c>
      <c r="BT88" s="1072"/>
      <c r="BU88" s="1072"/>
      <c r="BV88" s="987"/>
      <c r="BW88" s="987"/>
    </row>
    <row customHeight="1" ht="14.625" hidden="1">
      <c r="A89" s="1297"/>
      <c r="B89" s="92"/>
      <c r="C89" s="103"/>
      <c r="D89" s="103"/>
      <c r="E89" s="626">
        <v>15</v>
      </c>
      <c r="F89" s="50" cm="1" t="str">
        <f t="array" ref="F89:F89">OFFSET(E89,-1,1)</f>
        <v>0</v>
      </c>
      <c r="G89" s="103" t="s">
        <v>1280</v>
      </c>
      <c r="H89" s="103"/>
      <c r="I89" s="103" t="s">
        <v>2300</v>
      </c>
      <c r="J89" s="103"/>
      <c r="K89" s="103" t="s">
        <v>2300</v>
      </c>
      <c r="L89" s="988" t="s">
        <v>1760</v>
      </c>
      <c r="M89" s="103"/>
      <c r="N89" s="103"/>
      <c r="O89" s="103"/>
      <c r="P89" s="103"/>
      <c r="Q89" s="103"/>
      <c r="R89" s="103"/>
      <c r="S89" s="103"/>
      <c r="T89" s="468" cm="1" t="str">
        <f t="array" ref="T89:T89">T88</f>
        <v>false</v>
      </c>
      <c r="U89" s="103"/>
      <c r="V89" s="103"/>
      <c r="W89" s="1297"/>
      <c r="X89" s="1539"/>
      <c r="Y89" s="1297"/>
      <c r="Z89" s="1529"/>
      <c r="AA89" s="1297"/>
      <c r="AB89" s="295" t="s">
        <v>2301</v>
      </c>
      <c r="AC89" s="772" t="s">
        <v>2302</v>
      </c>
      <c r="AD89" s="296" t="s">
        <v>936</v>
      </c>
      <c r="AE89" s="255">
        <f>_xlfn.SUMIFS(Покупка!AE$25:AE$327,Покупка!$F$25:$F$327,$F89,Покупка!$AC$25:$AC$327,$G89)</f>
        <v>0</v>
      </c>
      <c r="AF89" s="255">
        <f>_xlfn.SUMIFS(Покупка!AF$25:AF$327,Покупка!$F$25:$F$327,$F89,Покупка!$AC$25:$AC$327,$G89)</f>
        <v>0</v>
      </c>
      <c r="AG89" s="255">
        <f>_xlfn.SUMIFS(Покупка!AG$25:AG$327,Покупка!$F$25:$F$327,$F89,Покупка!$AC$25:$AC$327,$G89)</f>
        <v>0</v>
      </c>
      <c r="AH89" s="951">
        <f>AG89-AF89</f>
        <v>0</v>
      </c>
      <c r="AI89" s="951">
        <f>_xlfn.SUMIFS(Покупка!AH$25:AH$327,Покупка!$F$25:$F$327,$F89,Покупка!$AC$25:$AC$327,$G89)</f>
        <v>0</v>
      </c>
      <c r="AJ89" s="951">
        <f>_xlfn.SUMIFS(Покупка!AI$25:AI$327,Покупка!$F$25:$F$327,$F89,Покупка!$AC$25:$AC$327,$G89)</f>
        <v>0</v>
      </c>
      <c r="AK89" s="951">
        <f>_xlfn.SUMIFS(Покупка!AJ$25:AJ$327,Покупка!$F$25:$F$327,$F89,Покупка!$AC$25:$AC$327,$G89)</f>
        <v>0</v>
      </c>
      <c r="AL89" s="951">
        <f>_xlfn.SUMIFS(Покупка!AK$25:AK$327,Покупка!$F$25:$F$327,$F89,Покупка!$AC$25:$AC$327,$G89)</f>
        <v>0</v>
      </c>
      <c r="AM89" s="951">
        <f>_xlfn.SUMIFS(Покупка!AL$25:AL$327,Покупка!$F$25:$F$327,$F89,Покупка!$AC$25:$AC$327,$G89)</f>
        <v>0</v>
      </c>
      <c r="AN89" s="951">
        <f>_xlfn.SUMIFS(Покупка!AM$25:AM$327,Покупка!$F$25:$F$327,$F89,Покупка!$AC$25:$AC$327,$G89)</f>
        <v>0</v>
      </c>
      <c r="AO89" s="951">
        <f>_xlfn.SUMIFS(Покупка!AN$25:AN$327,Покупка!$F$25:$F$327,$F89,Покупка!$AC$25:$AC$327,$G89)</f>
        <v>0</v>
      </c>
      <c r="AP89" s="951">
        <f>_xlfn.SUMIFS(Покупка!AO$25:AO$327,Покупка!$F$25:$F$327,$F89,Покупка!$AC$25:$AC$327,$G89)</f>
        <v>0</v>
      </c>
      <c r="AQ89" s="951">
        <f>_xlfn.SUMIFS(Покупка!AP$25:AP$327,Покупка!$F$25:$F$327,$F89,Покупка!$AC$25:$AC$327,$G89)</f>
        <v>0</v>
      </c>
      <c r="AR89" s="951">
        <f>_xlfn.SUMIFS(Покупка!AQ$25:AQ$327,Покупка!$F$25:$F$327,$F89,Покупка!$AC$25:$AC$327,$G89)</f>
        <v>0</v>
      </c>
      <c r="AS89" s="951">
        <f>_xlfn.SUMIFS(Покупка!AR$25:AR$327,Покупка!$F$25:$F$327,$F89,Покупка!$AC$25:$AC$327,$G89)</f>
        <v>0</v>
      </c>
      <c r="AT89" s="951">
        <f>_xlfn.SUMIFS(Покупка!AS$25:AS$327,Покупка!$F$25:$F$327,$F89,Покупка!$AC$25:$AC$327,$G89)</f>
        <v>0</v>
      </c>
      <c r="AU89" s="951">
        <f>_xlfn.SUMIFS(Покупка!AT$25:AT$327,Покупка!$F$25:$F$327,$F89,Покупка!$AC$25:$AC$327,$G89)</f>
        <v>0</v>
      </c>
      <c r="AV89" s="951">
        <f>_xlfn.SUMIFS(Покупка!AU$25:AU$327,Покупка!$F$25:$F$327,$F89,Покупка!$AC$25:$AC$327,$G89)</f>
        <v>0</v>
      </c>
      <c r="AW89" s="951">
        <f>_xlfn.SUMIFS(Покупка!AV$25:AV$327,Покупка!$F$25:$F$327,$F89,Покупка!$AC$25:$AC$327,$G89)</f>
        <v>0</v>
      </c>
      <c r="AX89" s="951">
        <f>_xlfn.SUMIFS(Покупка!AW$25:AW$327,Покупка!$F$25:$F$327,$F89,Покупка!$AC$25:$AC$327,$G89)</f>
        <v>0</v>
      </c>
      <c r="AY89" s="951">
        <f>_xlfn.SUMIFS(Покупка!AX$25:AX$327,Покупка!$F$25:$F$327,$F89,Покупка!$AC$25:$AC$327,$G89)</f>
        <v>0</v>
      </c>
      <c r="AZ89" s="951">
        <f>_xlfn.SUMIFS(Покупка!AY$25:AY$327,Покупка!$F$25:$F$327,$F89,Покупка!$AC$25:$AC$327,$G89)</f>
        <v>0</v>
      </c>
      <c r="BA89" s="951">
        <f>_xlfn.SUMIFS(Покупка!AZ$25:AZ$327,Покупка!$F$25:$F$327,$F89,Покупка!$AC$25:$AC$327,$G89)</f>
        <v>0</v>
      </c>
      <c r="BB89" s="951">
        <f>_xlfn.SUMIFS(Покупка!BA$25:BA$327,Покупка!$F$25:$F$327,$F89,Покупка!$AC$25:$AC$327,$G89)</f>
        <v>0</v>
      </c>
      <c r="BC89" s="951">
        <f>_xlfn.SUMIFS(Покупка!BB$25:BB$327,Покупка!$F$25:$F$327,$F89,Покупка!$AC$25:$AC$327,$G89)</f>
        <v>0</v>
      </c>
      <c r="BD89" s="951">
        <f>IF(AI89=0,0,(AT89-AI89)/AI89*100)</f>
        <v>0</v>
      </c>
      <c r="BE89" s="951">
        <f>IF(AT89=0,0,(AU89-AT89)/AT89*100)</f>
        <v>0</v>
      </c>
      <c r="BF89" s="951">
        <f>IF(AU89=0,0,(AV89-AU89)/AU89*100)</f>
        <v>0</v>
      </c>
      <c r="BG89" s="951">
        <f>IF(AV89=0,0,(AW89-AV89)/AV89*100)</f>
        <v>0</v>
      </c>
      <c r="BH89" s="951">
        <f>IF(AW89=0,0,(AX89-AW89)/AW89*100)</f>
        <v>0</v>
      </c>
      <c r="BI89" s="951">
        <f>IF(AX89=0,0,(AY89-AX89)/AX89*100)</f>
        <v>0</v>
      </c>
      <c r="BJ89" s="951">
        <f>IF(AY89=0,0,(AZ89-AY89)/AY89*100)</f>
        <v>0</v>
      </c>
      <c r="BK89" s="951">
        <f>IF(AZ89=0,0,(BA89-AZ89)/AZ89*100)</f>
        <v>0</v>
      </c>
      <c r="BL89" s="951">
        <f>IF(BA89=0,0,(BB89-BA89)/BA89*100)</f>
        <v>0</v>
      </c>
      <c r="BM89" s="951">
        <f>IF(BB89=0,0,(BC89-BB89)/BB89*100)</f>
        <v>0</v>
      </c>
      <c r="BN89" s="1275"/>
      <c r="BO89" s="1273" t="str">
        <f>IF(_xlfn.IFERROR(INDEX(Покупка!$K$26:$L$327,MATCH($F89&amp;"5komm",Покупка!$K$26:$K$327,0),2),"")=0,"",_xlfn.IFERROR(INDEX(Покупка!$K$26:$L$327,MATCH($F89&amp;"5komm",Покупка!$K$26:$K$327,0),2),""))</f>
        <v/>
      </c>
      <c r="BP89" s="1275"/>
      <c r="BQ89" s="1297"/>
      <c r="BR89" s="1297"/>
      <c r="BS89" s="1072" t="s">
        <v>2003</v>
      </c>
      <c r="BT89" s="1072"/>
      <c r="BU89" s="1072"/>
      <c r="BV89" s="987"/>
      <c r="BW89" s="987"/>
    </row>
    <row s="1252" customFormat="1" customHeight="1" ht="14.625" hidden="1">
      <c r="A90" s="1252"/>
      <c r="B90" s="92"/>
      <c r="C90" s="103"/>
      <c r="D90" s="103"/>
      <c r="E90" s="626">
        <v>15</v>
      </c>
      <c r="F90" s="50" cm="1" t="str">
        <f t="array" ref="F90:F90">OFFSET(E90,-1,1)</f>
        <v>0</v>
      </c>
      <c r="G90" s="103" t="s">
        <v>1321</v>
      </c>
      <c r="H90" s="103"/>
      <c r="I90" s="103"/>
      <c r="J90" s="103"/>
      <c r="K90" s="103"/>
      <c r="L90" s="988" t="s">
        <v>1727</v>
      </c>
      <c r="M90" s="103"/>
      <c r="N90" s="103"/>
      <c r="O90" s="103"/>
      <c r="P90" s="103"/>
      <c r="Q90" s="103"/>
      <c r="R90" s="103"/>
      <c r="S90" s="103"/>
      <c r="T90" s="468" cm="1" t="str">
        <f t="array" ref="T90:T90">T89</f>
        <v>false</v>
      </c>
      <c r="U90" s="103"/>
      <c r="V90" s="103"/>
      <c r="W90" s="1252"/>
      <c r="X90" s="1539"/>
      <c r="Y90" s="1252"/>
      <c r="Z90" s="1529"/>
      <c r="AA90" s="1252"/>
      <c r="AB90" s="295" t="s">
        <v>2303</v>
      </c>
      <c r="AC90" s="772" t="s">
        <v>2304</v>
      </c>
      <c r="AD90" s="296" t="s">
        <v>936</v>
      </c>
      <c r="AE90" s="255">
        <f>_xlfn.SUMIFS(Покупка!AE$25:AE$327,Покупка!$F$25:$F$327,$F90,Покупка!$AC$25:$AC$327,$G90)</f>
        <v>0</v>
      </c>
      <c r="AF90" s="255">
        <f>_xlfn.SUMIFS(Покупка!AF$25:AF$327,Покупка!$F$25:$F$327,$F90,Покупка!$AC$25:$AC$327,$G90)</f>
        <v>0</v>
      </c>
      <c r="AG90" s="255">
        <f>_xlfn.SUMIFS(Покупка!AG$25:AG$327,Покупка!$F$25:$F$327,$F90,Покупка!$AC$25:$AC$327,$G90)</f>
        <v>0</v>
      </c>
      <c r="AH90" s="951">
        <f>AG90-AF90</f>
        <v>0</v>
      </c>
      <c r="AI90" s="951">
        <f>_xlfn.SUMIFS(Покупка!AH$25:AH$327,Покупка!$F$25:$F$327,$F90,Покупка!$AC$25:$AC$327,$G90)</f>
        <v>0</v>
      </c>
      <c r="AJ90" s="1125">
        <f>_xlfn.SUMIFS(Покупка!AI$25:AI$327,Покупка!$F$25:$F$327,$F90,Покупка!$AC$25:$AC$327,$G90)</f>
        <v>0</v>
      </c>
      <c r="AK90" s="1125">
        <f>_xlfn.SUMIFS(Покупка!AJ$25:AJ$327,Покупка!$F$25:$F$327,$F90,Покупка!$AC$25:$AC$327,$G90)</f>
        <v>0</v>
      </c>
      <c r="AL90" s="1125">
        <f>_xlfn.SUMIFS(Покупка!AK$25:AK$327,Покупка!$F$25:$F$327,$F90,Покупка!$AC$25:$AC$327,$G90)</f>
        <v>0</v>
      </c>
      <c r="AM90" s="1125">
        <f>_xlfn.SUMIFS(Покупка!AL$25:AL$327,Покупка!$F$25:$F$327,$F90,Покупка!$AC$25:$AC$327,$G90)</f>
        <v>0</v>
      </c>
      <c r="AN90" s="1125">
        <f>_xlfn.SUMIFS(Покупка!AM$25:AM$327,Покупка!$F$25:$F$327,$F90,Покупка!$AC$25:$AC$327,$G90)</f>
        <v>0</v>
      </c>
      <c r="AO90" s="1125">
        <f>_xlfn.SUMIFS(Покупка!AN$25:AN$327,Покупка!$F$25:$F$327,$F90,Покупка!$AC$25:$AC$327,$G90)</f>
        <v>0</v>
      </c>
      <c r="AP90" s="1125">
        <f>_xlfn.SUMIFS(Покупка!AO$25:AO$327,Покупка!$F$25:$F$327,$F90,Покупка!$AC$25:$AC$327,$G90)</f>
        <v>0</v>
      </c>
      <c r="AQ90" s="1125">
        <f>_xlfn.SUMIFS(Покупка!AP$25:AP$327,Покупка!$F$25:$F$327,$F90,Покупка!$AC$25:$AC$327,$G90)</f>
        <v>0</v>
      </c>
      <c r="AR90" s="1125">
        <f>_xlfn.SUMIFS(Покупка!AQ$25:AQ$327,Покупка!$F$25:$F$327,$F90,Покупка!$AC$25:$AC$327,$G90)</f>
        <v>0</v>
      </c>
      <c r="AS90" s="1125">
        <f>_xlfn.SUMIFS(Покупка!AR$25:AR$327,Покупка!$F$25:$F$327,$F90,Покупка!$AC$25:$AC$327,$G90)</f>
        <v>0</v>
      </c>
      <c r="AT90" s="1125">
        <f>_xlfn.SUMIFS(Покупка!AS$25:AS$327,Покупка!$F$25:$F$327,$F90,Покупка!$AC$25:$AC$327,$G90)</f>
        <v>0</v>
      </c>
      <c r="AU90" s="1125">
        <f>_xlfn.SUMIFS(Покупка!AT$25:AT$327,Покупка!$F$25:$F$327,$F90,Покупка!$AC$25:$AC$327,$G90)</f>
        <v>0</v>
      </c>
      <c r="AV90" s="1125">
        <f>_xlfn.SUMIFS(Покупка!AU$25:AU$327,Покупка!$F$25:$F$327,$F90,Покупка!$AC$25:$AC$327,$G90)</f>
        <v>0</v>
      </c>
      <c r="AW90" s="1125">
        <f>_xlfn.SUMIFS(Покупка!AV$25:AV$327,Покупка!$F$25:$F$327,$F90,Покупка!$AC$25:$AC$327,$G90)</f>
        <v>0</v>
      </c>
      <c r="AX90" s="1125">
        <f>_xlfn.SUMIFS(Покупка!AW$25:AW$327,Покупка!$F$25:$F$327,$F90,Покупка!$AC$25:$AC$327,$G90)</f>
        <v>0</v>
      </c>
      <c r="AY90" s="1125">
        <f>_xlfn.SUMIFS(Покупка!AX$25:AX$327,Покупка!$F$25:$F$327,$F90,Покупка!$AC$25:$AC$327,$G90)</f>
        <v>0</v>
      </c>
      <c r="AZ90" s="1125">
        <f>_xlfn.SUMIFS(Покупка!AY$25:AY$327,Покупка!$F$25:$F$327,$F90,Покупка!$AC$25:$AC$327,$G90)</f>
        <v>0</v>
      </c>
      <c r="BA90" s="1125">
        <f>_xlfn.SUMIFS(Покупка!AZ$25:AZ$327,Покупка!$F$25:$F$327,$F90,Покупка!$AC$25:$AC$327,$G90)</f>
        <v>0</v>
      </c>
      <c r="BB90" s="1125">
        <f>_xlfn.SUMIFS(Покупка!BA$25:BA$327,Покупка!$F$25:$F$327,$F90,Покупка!$AC$25:$AC$327,$G90)</f>
        <v>0</v>
      </c>
      <c r="BC90" s="1125">
        <f>_xlfn.SUMIFS(Покупка!BB$25:BB$327,Покупка!$F$25:$F$327,$F90,Покупка!$AC$25:$AC$327,$G90)</f>
        <v>0</v>
      </c>
      <c r="BD90" s="951">
        <f>IF(AI90=0,0,(AT90-AI90)/AI90*100)</f>
        <v>0</v>
      </c>
      <c r="BE90" s="951">
        <f>IF(AT90=0,0,(AU90-AT90)/AT90*100)</f>
        <v>0</v>
      </c>
      <c r="BF90" s="951">
        <f>IF(AU90=0,0,(AV90-AU90)/AU90*100)</f>
        <v>0</v>
      </c>
      <c r="BG90" s="951">
        <f>IF(AV90=0,0,(AW90-AV90)/AV90*100)</f>
        <v>0</v>
      </c>
      <c r="BH90" s="951">
        <f>IF(AW90=0,0,(AX90-AW90)/AW90*100)</f>
        <v>0</v>
      </c>
      <c r="BI90" s="951">
        <f>IF(AX90=0,0,(AY90-AX90)/AX90*100)</f>
        <v>0</v>
      </c>
      <c r="BJ90" s="951">
        <f>IF(AY90=0,0,(AZ90-AY90)/AY90*100)</f>
        <v>0</v>
      </c>
      <c r="BK90" s="951">
        <f>IF(AZ90=0,0,(BA90-AZ90)/AZ90*100)</f>
        <v>0</v>
      </c>
      <c r="BL90" s="951">
        <f>IF(BA90=0,0,(BB90-BA90)/BA90*100)</f>
        <v>0</v>
      </c>
      <c r="BM90" s="951">
        <f>IF(BB90=0,0,(BC90-BB90)/BB90*100)</f>
        <v>0</v>
      </c>
      <c r="BN90" s="1275"/>
      <c r="BO90" s="1273" t="str">
        <f>IF(_xlfn.IFERROR(INDEX(Покупка!$K$26:$L$327,MATCH($F90&amp;"9komm",Покупка!$K$26:$K$327,0),2),"")=0,"",_xlfn.IFERROR(INDEX(Покупка!$K$26:$L$327,MATCH($F90&amp;"9komm",Покупка!$K$26:$K$327,0),2),""))</f>
        <v/>
      </c>
      <c r="BP90" s="1275"/>
      <c r="BQ90" s="1252"/>
      <c r="BR90" s="1252"/>
      <c r="BS90" s="1072" t="s">
        <v>1322</v>
      </c>
      <c r="BT90" s="1072"/>
      <c r="BU90" s="1072"/>
      <c r="BV90" s="709"/>
      <c r="BW90" s="709"/>
    </row>
    <row customHeight="1" ht="14.625" hidden="1">
      <c r="A91" s="1297"/>
      <c r="B91" s="92"/>
      <c r="C91" s="103"/>
      <c r="D91" s="103"/>
      <c r="E91" s="626">
        <v>15</v>
      </c>
      <c r="F91" s="50" cm="1" t="str">
        <f t="array" ref="F91:F91">OFFSET(E91,-1,1)</f>
        <v>0</v>
      </c>
      <c r="G91" s="103"/>
      <c r="H91" s="103"/>
      <c r="I91" s="103" t="s">
        <v>587</v>
      </c>
      <c r="J91" s="103"/>
      <c r="K91" s="103" t="s">
        <v>587</v>
      </c>
      <c r="L91" s="988"/>
      <c r="M91" s="103"/>
      <c r="N91" s="103"/>
      <c r="O91" s="103"/>
      <c r="P91" s="103"/>
      <c r="Q91" s="103"/>
      <c r="R91" s="103"/>
      <c r="S91" s="103"/>
      <c r="T91" s="468" cm="1" t="str">
        <f t="array" ref="T91:T91">T90</f>
        <v>false</v>
      </c>
      <c r="U91" s="103"/>
      <c r="V91" s="103"/>
      <c r="W91" s="1297"/>
      <c r="X91" s="1539"/>
      <c r="Y91" s="1297"/>
      <c r="Z91" s="1529"/>
      <c r="AA91" s="1297"/>
      <c r="AB91" s="295" t="s">
        <v>664</v>
      </c>
      <c r="AC91" s="769" t="s">
        <v>2305</v>
      </c>
      <c r="AD91" s="786" t="s">
        <v>936</v>
      </c>
      <c r="AE91" s="255">
        <f>_xlfn.SUMIFS('Сырье и материалы'!AE$25:AE$111,'Сырье и материалы'!$F$25:$F$111,$F91,'Сырье и материалы'!$I$25:$I$111,"Реагенты")</f>
        <v>0</v>
      </c>
      <c r="AF91" s="255">
        <f>_xlfn.SUMIFS('Сырье и материалы'!AF$25:AF$111,'Сырье и материалы'!$F$25:$F$111,$F91,'Сырье и материалы'!$I$25:$I$111,"Реагенты")</f>
        <v>0</v>
      </c>
      <c r="AG91" s="255">
        <f>_xlfn.SUMIFS('Сырье и материалы'!AG$25:AG$111,'Сырье и материалы'!$F$25:$F$111,$F91,'Сырье и материалы'!$I$25:$I$111,"Реагенты")</f>
        <v>0</v>
      </c>
      <c r="AH91" s="951">
        <f>AG91-AF91</f>
        <v>0</v>
      </c>
      <c r="AI91" s="951">
        <f>_xlfn.SUMIFS('Сырье и материалы'!AH$25:AH$111,'Сырье и материалы'!$F$25:$F$111,$F91,'Сырье и материалы'!$I$25:$I$111,"Реагенты")</f>
        <v>0</v>
      </c>
      <c r="AJ91" s="951">
        <f>_xlfn.SUMIFS('Сырье и материалы'!AI$25:AI$111,'Сырье и материалы'!$F$25:$F$111,$F91,'Сырье и материалы'!$I$25:$I$111,"Реагенты")</f>
        <v>0</v>
      </c>
      <c r="AK91" s="951">
        <f>_xlfn.SUMIFS('Сырье и материалы'!AJ$25:AJ$111,'Сырье и материалы'!$F$25:$F$111,$F91,'Сырье и материалы'!$I$25:$I$111,"Реагенты")</f>
        <v>0</v>
      </c>
      <c r="AL91" s="951">
        <f>_xlfn.SUMIFS('Сырье и материалы'!AK$25:AK$111,'Сырье и материалы'!$F$25:$F$111,$F91,'Сырье и материалы'!$I$25:$I$111,"Реагенты")</f>
        <v>0</v>
      </c>
      <c r="AM91" s="951">
        <f>_xlfn.SUMIFS('Сырье и материалы'!AL$25:AL$111,'Сырье и материалы'!$F$25:$F$111,$F91,'Сырье и материалы'!$I$25:$I$111,"Реагенты")</f>
        <v>0</v>
      </c>
      <c r="AN91" s="951">
        <f>_xlfn.SUMIFS('Сырье и материалы'!AM$25:AM$111,'Сырье и материалы'!$F$25:$F$111,$F91,'Сырье и материалы'!$I$25:$I$111,"Реагенты")</f>
        <v>0</v>
      </c>
      <c r="AO91" s="951">
        <f>_xlfn.SUMIFS('Сырье и материалы'!AN$25:AN$111,'Сырье и материалы'!$F$25:$F$111,$F91,'Сырье и материалы'!$I$25:$I$111,"Реагенты")</f>
        <v>0</v>
      </c>
      <c r="AP91" s="951">
        <f>_xlfn.SUMIFS('Сырье и материалы'!AO$25:AO$111,'Сырье и материалы'!$F$25:$F$111,$F91,'Сырье и материалы'!$I$25:$I$111,"Реагенты")</f>
        <v>0</v>
      </c>
      <c r="AQ91" s="951">
        <f>_xlfn.SUMIFS('Сырье и материалы'!AP$25:AP$111,'Сырье и материалы'!$F$25:$F$111,$F91,'Сырье и материалы'!$I$25:$I$111,"Реагенты")</f>
        <v>0</v>
      </c>
      <c r="AR91" s="951">
        <f>_xlfn.SUMIFS('Сырье и материалы'!AQ$25:AQ$111,'Сырье и материалы'!$F$25:$F$111,$F91,'Сырье и материалы'!$I$25:$I$111,"Реагенты")</f>
        <v>0</v>
      </c>
      <c r="AS91" s="951">
        <f>_xlfn.SUMIFS('Сырье и материалы'!AR$25:AR$111,'Сырье и материалы'!$F$25:$F$111,$F91,'Сырье и материалы'!$I$25:$I$111,"Реагенты")</f>
        <v>0</v>
      </c>
      <c r="AT91" s="951">
        <f>_xlfn.SUMIFS('Сырье и материалы'!AS$25:AS$111,'Сырье и материалы'!$F$25:$F$111,$F91,'Сырье и материалы'!$I$25:$I$111,"Реагенты")</f>
        <v>0</v>
      </c>
      <c r="AU91" s="951">
        <f>_xlfn.SUMIFS('Сырье и материалы'!AT$25:AT$111,'Сырье и материалы'!$F$25:$F$111,$F91,'Сырье и материалы'!$I$25:$I$111,"Реагенты")</f>
        <v>0</v>
      </c>
      <c r="AV91" s="951">
        <f>_xlfn.SUMIFS('Сырье и материалы'!AU$25:AU$111,'Сырье и материалы'!$F$25:$F$111,$F91,'Сырье и материалы'!$I$25:$I$111,"Реагенты")</f>
        <v>0</v>
      </c>
      <c r="AW91" s="951">
        <f>_xlfn.SUMIFS('Сырье и материалы'!AV$25:AV$111,'Сырье и материалы'!$F$25:$F$111,$F91,'Сырье и материалы'!$I$25:$I$111,"Реагенты")</f>
        <v>0</v>
      </c>
      <c r="AX91" s="951">
        <f>_xlfn.SUMIFS('Сырье и материалы'!AW$25:AW$111,'Сырье и материалы'!$F$25:$F$111,$F91,'Сырье и материалы'!$I$25:$I$111,"Реагенты")</f>
        <v>0</v>
      </c>
      <c r="AY91" s="951">
        <f>_xlfn.SUMIFS('Сырье и материалы'!AX$25:AX$111,'Сырье и материалы'!$F$25:$F$111,$F91,'Сырье и материалы'!$I$25:$I$111,"Реагенты")</f>
        <v>0</v>
      </c>
      <c r="AZ91" s="951">
        <f>_xlfn.SUMIFS('Сырье и материалы'!AY$25:AY$111,'Сырье и материалы'!$F$25:$F$111,$F91,'Сырье и материалы'!$I$25:$I$111,"Реагенты")</f>
        <v>0</v>
      </c>
      <c r="BA91" s="951">
        <f>_xlfn.SUMIFS('Сырье и материалы'!AZ$25:AZ$111,'Сырье и материалы'!$F$25:$F$111,$F91,'Сырье и материалы'!$I$25:$I$111,"Реагенты")</f>
        <v>0</v>
      </c>
      <c r="BB91" s="951">
        <f>_xlfn.SUMIFS('Сырье и материалы'!BA$25:BA$111,'Сырье и материалы'!$F$25:$F$111,$F91,'Сырье и материалы'!$I$25:$I$111,"Реагенты")</f>
        <v>0</v>
      </c>
      <c r="BC91" s="951">
        <f>_xlfn.SUMIFS('Сырье и материалы'!BB$25:BB$111,'Сырье и материалы'!$F$25:$F$111,$F91,'Сырье и материалы'!$I$25:$I$111,"Реагенты")</f>
        <v>0</v>
      </c>
      <c r="BD91" s="951">
        <f>IF(AI91=0,0,(AT91-AI91)/AI91*100)</f>
        <v>0</v>
      </c>
      <c r="BE91" s="951">
        <f>IF(AT91=0,0,(AU91-AT91)/AT91*100)</f>
        <v>0</v>
      </c>
      <c r="BF91" s="951">
        <f>IF(AU91=0,0,(AV91-AU91)/AU91*100)</f>
        <v>0</v>
      </c>
      <c r="BG91" s="951">
        <f>IF(AV91=0,0,(AW91-AV91)/AV91*100)</f>
        <v>0</v>
      </c>
      <c r="BH91" s="951">
        <f>IF(AW91=0,0,(AX91-AW91)/AW91*100)</f>
        <v>0</v>
      </c>
      <c r="BI91" s="951">
        <f>IF(AX91=0,0,(AY91-AX91)/AX91*100)</f>
        <v>0</v>
      </c>
      <c r="BJ91" s="951">
        <f>IF(AY91=0,0,(AZ91-AY91)/AY91*100)</f>
        <v>0</v>
      </c>
      <c r="BK91" s="951">
        <f>IF(AZ91=0,0,(BA91-AZ91)/AZ91*100)</f>
        <v>0</v>
      </c>
      <c r="BL91" s="951">
        <f>IF(BA91=0,0,(BB91-BA91)/BA91*100)</f>
        <v>0</v>
      </c>
      <c r="BM91" s="951">
        <f>IF(BB91=0,0,(BC91-BB91)/BB91*100)</f>
        <v>0</v>
      </c>
      <c r="BN91" s="1275"/>
      <c r="BO91" s="1273" t="str">
        <f>IF(_xlfn.IFERROR(INDEX('Сырье и материалы'!$K$26:$L$111,MATCH($F91&amp;"komm",'Сырье и материалы'!$K$26:$K$111,0),2),"")=0,"",_xlfn.IFERROR(INDEX('Сырье и материалы'!$K$26:$L$111,MATCH($F91&amp;"komm",'Сырье и материалы'!$K$26:$K$111,0),2),""))</f>
        <v/>
      </c>
      <c r="BP91" s="1275"/>
      <c r="BQ91" s="1297"/>
      <c r="BR91" s="1297"/>
      <c r="BS91" s="1072" t="s">
        <v>1976</v>
      </c>
      <c r="BT91" s="1072"/>
      <c r="BU91" s="1072"/>
      <c r="BV91" s="987"/>
      <c r="BW91" s="987"/>
    </row>
    <row s="706" customFormat="1" customHeight="1" ht="20.475" hidden="1">
      <c r="A92" s="706"/>
      <c r="B92" s="107"/>
      <c r="C92" s="105"/>
      <c r="D92" s="105"/>
      <c r="E92" s="833">
        <v>21</v>
      </c>
      <c r="F92" s="50" cm="1" t="str">
        <f t="array" ref="F92:F92">OFFSET(E92,-1,1)</f>
        <v>0</v>
      </c>
      <c r="G92" s="105"/>
      <c r="H92" s="103"/>
      <c r="I92" s="103" t="s">
        <v>1087</v>
      </c>
      <c r="J92" s="105"/>
      <c r="K92" s="103" t="s">
        <v>1087</v>
      </c>
      <c r="L92" s="993" t="s">
        <v>619</v>
      </c>
      <c r="M92" s="105"/>
      <c r="N92" s="105"/>
      <c r="O92" s="105"/>
      <c r="P92" s="105"/>
      <c r="Q92" s="105"/>
      <c r="R92" s="105"/>
      <c r="S92" s="105"/>
      <c r="T92" s="468" cm="1" t="str">
        <f t="array" ref="T92:T92">T91</f>
        <v>false</v>
      </c>
      <c r="U92" s="105"/>
      <c r="V92" s="105"/>
      <c r="W92" s="706"/>
      <c r="X92" s="1539"/>
      <c r="Y92" s="706"/>
      <c r="Z92" s="1529"/>
      <c r="AA92" s="706"/>
      <c r="AB92" s="214" t="s">
        <v>668</v>
      </c>
      <c r="AC92" s="357" t="s">
        <v>2306</v>
      </c>
      <c r="AD92" s="207" t="s">
        <v>936</v>
      </c>
      <c r="AE92" s="785">
        <f>SUM(AE93:AE102)</f>
        <v>0</v>
      </c>
      <c r="AF92" s="785">
        <f>SUM(AF93:AF102)</f>
        <v>0</v>
      </c>
      <c r="AG92" s="785">
        <f>SUM(AG93:AG102)</f>
        <v>0</v>
      </c>
      <c r="AH92" s="768">
        <f>AG92-AF92</f>
        <v>0</v>
      </c>
      <c r="AI92" s="768">
        <f>SUM(AI93:AI102)</f>
        <v>0</v>
      </c>
      <c r="AJ92" s="777">
        <f>SUM(AJ93:AJ102)</f>
        <v>0</v>
      </c>
      <c r="AK92" s="768">
        <f>SUM(AK93:AK102)</f>
        <v>0</v>
      </c>
      <c r="AL92" s="768">
        <f>SUM(AL93:AL102)</f>
        <v>0</v>
      </c>
      <c r="AM92" s="768">
        <f>SUM(AM93:AM102)</f>
        <v>0</v>
      </c>
      <c r="AN92" s="768">
        <f>SUM(AN93:AN102)</f>
        <v>0</v>
      </c>
      <c r="AO92" s="768">
        <f>SUM(AO93:AO102)</f>
        <v>0</v>
      </c>
      <c r="AP92" s="768">
        <f>SUM(AP93:AP102)</f>
        <v>0</v>
      </c>
      <c r="AQ92" s="768">
        <f>SUM(AQ93:AQ102)</f>
        <v>0</v>
      </c>
      <c r="AR92" s="768">
        <f>SUM(AR93:AR102)</f>
        <v>0</v>
      </c>
      <c r="AS92" s="768">
        <f>SUM(AS93:AS102)</f>
        <v>0</v>
      </c>
      <c r="AT92" s="777">
        <f>SUM(AT93:AT102)</f>
        <v>0</v>
      </c>
      <c r="AU92" s="768">
        <f>SUM(AU93:AU102)</f>
        <v>0</v>
      </c>
      <c r="AV92" s="768">
        <f>SUM(AV93:AV102)</f>
        <v>0</v>
      </c>
      <c r="AW92" s="768">
        <f>SUM(AW93:AW102)</f>
        <v>0</v>
      </c>
      <c r="AX92" s="768">
        <f>SUM(AX93:AX102)</f>
        <v>0</v>
      </c>
      <c r="AY92" s="768">
        <f>SUM(AY93:AY102)</f>
        <v>0</v>
      </c>
      <c r="AZ92" s="768">
        <f>SUM(AZ93:AZ102)</f>
        <v>0</v>
      </c>
      <c r="BA92" s="768">
        <f>SUM(BA93:BA102)</f>
        <v>0</v>
      </c>
      <c r="BB92" s="768">
        <f>SUM(BB93:BB102)</f>
        <v>0</v>
      </c>
      <c r="BC92" s="768">
        <f>SUM(BC93:BC102)</f>
        <v>0</v>
      </c>
      <c r="BD92" s="768">
        <f>IF(AI92=0,0,(AT92-AI92)/AI92*100)</f>
        <v>0</v>
      </c>
      <c r="BE92" s="768">
        <f>IF(AT92=0,0,(AU92-AT92)/AT92*100)</f>
        <v>0</v>
      </c>
      <c r="BF92" s="768">
        <f>IF(AU92=0,0,(AV92-AU92)/AU92*100)</f>
        <v>0</v>
      </c>
      <c r="BG92" s="768">
        <f>IF(AV92=0,0,(AW92-AV92)/AV92*100)</f>
        <v>0</v>
      </c>
      <c r="BH92" s="768">
        <f>IF(AW92=0,0,(AX92-AW92)/AW92*100)</f>
        <v>0</v>
      </c>
      <c r="BI92" s="768">
        <f>IF(AX92=0,0,(AY92-AX92)/AX92*100)</f>
        <v>0</v>
      </c>
      <c r="BJ92" s="768">
        <f>IF(AY92=0,0,(AZ92-AY92)/AY92*100)</f>
        <v>0</v>
      </c>
      <c r="BK92" s="768">
        <f>IF(AZ92=0,0,(BA92-AZ92)/AZ92*100)</f>
        <v>0</v>
      </c>
      <c r="BL92" s="768">
        <f>IF(BA92=0,0,(BB92-BA92)/BA92*100)</f>
        <v>0</v>
      </c>
      <c r="BM92" s="768">
        <f>IF(BB92=0,0,(BC92-BB92)/BB92*100)</f>
        <v>0</v>
      </c>
      <c r="BN92" s="1259"/>
      <c r="BO92" s="1273" t="str">
        <f>IF(_xlfn.IFERROR(INDEX(Налоги!$K$26:$L$83,MATCH($F92&amp;"komm",Налоги!$K$26:$K$83,0),2),"")=0,"",_xlfn.IFERROR(INDEX(Налоги!$K$26:$L$83,MATCH($F92&amp;"komm",Налоги!$K$26:$K$83,0),2),""))</f>
        <v/>
      </c>
      <c r="BP92" s="1259"/>
      <c r="BQ92" s="706"/>
      <c r="BR92" s="706"/>
      <c r="BS92" s="1078" t="s">
        <v>1464</v>
      </c>
      <c r="BT92" s="1078"/>
      <c r="BU92" s="1078"/>
      <c r="BV92" s="713"/>
      <c r="BW92" s="713"/>
    </row>
    <row customHeight="1" ht="14.625" hidden="1">
      <c r="A93" s="1297"/>
      <c r="B93" s="92"/>
      <c r="C93" s="103"/>
      <c r="D93" s="103"/>
      <c r="E93" s="626">
        <v>15</v>
      </c>
      <c r="F93" s="50" cm="1" t="str">
        <f t="array" ref="F93:F93">OFFSET(E93,-1,1)</f>
        <v>0</v>
      </c>
      <c r="G93" s="929">
        <v>7</v>
      </c>
      <c r="H93" s="103"/>
      <c r="I93" s="103" t="s">
        <v>2307</v>
      </c>
      <c r="J93" s="103"/>
      <c r="K93" s="103" t="s">
        <v>2307</v>
      </c>
      <c r="L93" s="988"/>
      <c r="M93" s="103"/>
      <c r="N93" s="103"/>
      <c r="O93" s="103"/>
      <c r="P93" s="103"/>
      <c r="Q93" s="103"/>
      <c r="R93" s="103"/>
      <c r="S93" s="103"/>
      <c r="T93" s="468" cm="1" t="str">
        <f t="array" ref="T93:T93">T92</f>
        <v>false</v>
      </c>
      <c r="U93" s="103"/>
      <c r="V93" s="103"/>
      <c r="W93" s="1297"/>
      <c r="X93" s="1539"/>
      <c r="Y93" s="1297"/>
      <c r="Z93" s="1529"/>
      <c r="AA93" s="1297"/>
      <c r="AB93" s="295" t="s">
        <v>603</v>
      </c>
      <c r="AC93" s="772" t="s">
        <v>1478</v>
      </c>
      <c r="AD93" s="296" t="s">
        <v>936</v>
      </c>
      <c r="AE93" s="255">
        <f>_xlfn.SUMIFS(Налоги!AE$25:AE$83,Налоги!$F$25:$F$83,$F93,Налоги!$AB$25:$AB$83,$G93)</f>
        <v>0</v>
      </c>
      <c r="AF93" s="255">
        <f>_xlfn.SUMIFS(Налоги!AF$25:AF$83,Налоги!$F$25:$F$83,$F93,Налоги!$AB$25:$AB$83,$G93)</f>
        <v>0</v>
      </c>
      <c r="AG93" s="255">
        <f>_xlfn.SUMIFS(Налоги!AG$25:AG$83,Налоги!$F$25:$F$83,$F93,Налоги!$AB$25:$AB$83,$G93)</f>
        <v>0</v>
      </c>
      <c r="AH93" s="951">
        <f>AG93-AF93</f>
        <v>0</v>
      </c>
      <c r="AI93" s="951">
        <f>_xlfn.SUMIFS(Налоги!AH$25:AH$83,Налоги!$F$25:$F$83,$F93,Налоги!$AB$25:$AB$83,$G93)</f>
        <v>0</v>
      </c>
      <c r="AJ93" s="951">
        <f>_xlfn.SUMIFS(Налоги!AI$25:AI$83,Налоги!$F$25:$F$83,$F93,Налоги!$AB$25:$AB$83,$G93)</f>
        <v>0</v>
      </c>
      <c r="AK93" s="951">
        <f>_xlfn.SUMIFS(Налоги!AJ$25:AJ$83,Налоги!$F$25:$F$83,$F93,Налоги!$AB$25:$AB$83,$G93)</f>
        <v>0</v>
      </c>
      <c r="AL93" s="951">
        <f>_xlfn.SUMIFS(Налоги!AK$25:AK$83,Налоги!$F$25:$F$83,$F93,Налоги!$AB$25:$AB$83,$G93)</f>
        <v>0</v>
      </c>
      <c r="AM93" s="951">
        <f>_xlfn.SUMIFS(Налоги!AL$25:AL$83,Налоги!$F$25:$F$83,$F93,Налоги!$AB$25:$AB$83,$G93)</f>
        <v>0</v>
      </c>
      <c r="AN93" s="951">
        <f>_xlfn.SUMIFS(Налоги!AM$25:AM$83,Налоги!$F$25:$F$83,$F93,Налоги!$AB$25:$AB$83,$G93)</f>
        <v>0</v>
      </c>
      <c r="AO93" s="951">
        <f>_xlfn.SUMIFS(Налоги!AN$25:AN$83,Налоги!$F$25:$F$83,$F93,Налоги!$AB$25:$AB$83,$G93)</f>
        <v>0</v>
      </c>
      <c r="AP93" s="951">
        <f>_xlfn.SUMIFS(Налоги!AO$25:AO$83,Налоги!$F$25:$F$83,$F93,Налоги!$AB$25:$AB$83,$G93)</f>
        <v>0</v>
      </c>
      <c r="AQ93" s="951">
        <f>_xlfn.SUMIFS(Налоги!AP$25:AP$83,Налоги!$F$25:$F$83,$F93,Налоги!$AB$25:$AB$83,$G93)</f>
        <v>0</v>
      </c>
      <c r="AR93" s="951">
        <f>_xlfn.SUMIFS(Налоги!AQ$25:AQ$83,Налоги!$F$25:$F$83,$F93,Налоги!$AB$25:$AB$83,$G93)</f>
        <v>0</v>
      </c>
      <c r="AS93" s="951">
        <f>_xlfn.SUMIFS(Налоги!AR$25:AR$83,Налоги!$F$25:$F$83,$F93,Налоги!$AB$25:$AB$83,$G93)</f>
        <v>0</v>
      </c>
      <c r="AT93" s="951">
        <f>_xlfn.SUMIFS(Налоги!AS$25:AS$83,Налоги!$F$25:$F$83,$F93,Налоги!$AB$25:$AB$83,$G93)</f>
        <v>0</v>
      </c>
      <c r="AU93" s="951">
        <f>_xlfn.SUMIFS(Налоги!AT$25:AT$83,Налоги!$F$25:$F$83,$F93,Налоги!$AB$25:$AB$83,$G93)</f>
        <v>0</v>
      </c>
      <c r="AV93" s="951">
        <f>_xlfn.SUMIFS(Налоги!AU$25:AU$83,Налоги!$F$25:$F$83,$F93,Налоги!$AB$25:$AB$83,$G93)</f>
        <v>0</v>
      </c>
      <c r="AW93" s="951">
        <f>_xlfn.SUMIFS(Налоги!AV$25:AV$83,Налоги!$F$25:$F$83,$F93,Налоги!$AB$25:$AB$83,$G93)</f>
        <v>0</v>
      </c>
      <c r="AX93" s="951">
        <f>_xlfn.SUMIFS(Налоги!AW$25:AW$83,Налоги!$F$25:$F$83,$F93,Налоги!$AB$25:$AB$83,$G93)</f>
        <v>0</v>
      </c>
      <c r="AY93" s="951">
        <f>_xlfn.SUMIFS(Налоги!AX$25:AX$83,Налоги!$F$25:$F$83,$F93,Налоги!$AB$25:$AB$83,$G93)</f>
        <v>0</v>
      </c>
      <c r="AZ93" s="951">
        <f>_xlfn.SUMIFS(Налоги!AY$25:AY$83,Налоги!$F$25:$F$83,$F93,Налоги!$AB$25:$AB$83,$G93)</f>
        <v>0</v>
      </c>
      <c r="BA93" s="951">
        <f>_xlfn.SUMIFS(Налоги!AZ$25:AZ$83,Налоги!$F$25:$F$83,$F93,Налоги!$AB$25:$AB$83,$G93)</f>
        <v>0</v>
      </c>
      <c r="BB93" s="951">
        <f>_xlfn.SUMIFS(Налоги!BA$25:BA$83,Налоги!$F$25:$F$83,$F93,Налоги!$AB$25:$AB$83,$G93)</f>
        <v>0</v>
      </c>
      <c r="BC93" s="951">
        <f>_xlfn.SUMIFS(Налоги!BB$25:BB$83,Налоги!$F$25:$F$83,$F93,Налоги!$AB$25:$AB$83,$G93)</f>
        <v>0</v>
      </c>
      <c r="BD93" s="951">
        <f>IF(AI93=0,0,(AT93-AI93)/AI93*100)</f>
        <v>0</v>
      </c>
      <c r="BE93" s="951">
        <f>IF(AT93=0,0,(AU93-AT93)/AT93*100)</f>
        <v>0</v>
      </c>
      <c r="BF93" s="951">
        <f>IF(AU93=0,0,(AV93-AU93)/AU93*100)</f>
        <v>0</v>
      </c>
      <c r="BG93" s="951">
        <f>IF(AV93=0,0,(AW93-AV93)/AV93*100)</f>
        <v>0</v>
      </c>
      <c r="BH93" s="951">
        <f>IF(AW93=0,0,(AX93-AW93)/AW93*100)</f>
        <v>0</v>
      </c>
      <c r="BI93" s="951">
        <f>IF(AX93=0,0,(AY93-AX93)/AX93*100)</f>
        <v>0</v>
      </c>
      <c r="BJ93" s="951">
        <f>IF(AY93=0,0,(AZ93-AY93)/AY93*100)</f>
        <v>0</v>
      </c>
      <c r="BK93" s="951">
        <f>IF(AZ93=0,0,(BA93-AZ93)/AZ93*100)</f>
        <v>0</v>
      </c>
      <c r="BL93" s="951">
        <f>IF(BA93=0,0,(BB93-BA93)/BA93*100)</f>
        <v>0</v>
      </c>
      <c r="BM93" s="951">
        <f>IF(BB93=0,0,(BC93-BB93)/BB93*100)</f>
        <v>0</v>
      </c>
      <c r="BN93" s="1275"/>
      <c r="BO93" s="1273" t="str">
        <f>IF(_xlfn.IFERROR(INDEX(Налоги!$K$26:$L$83,MATCH($F93&amp;"7komm",Налоги!$K$26:$K$83,0),2),"")=0,"",_xlfn.IFERROR(INDEX(Налоги!$K$26:$L$83,MATCH($F93&amp;"7komm",Налоги!$K$26:$K$83,0),2),""))</f>
        <v/>
      </c>
      <c r="BP93" s="1275"/>
      <c r="BQ93" s="1297"/>
      <c r="BR93" s="1297"/>
      <c r="BS93" s="1072" t="s">
        <v>2308</v>
      </c>
      <c r="BT93" s="1072"/>
      <c r="BU93" s="1072"/>
      <c r="BV93" s="987"/>
      <c r="BW93" s="987"/>
    </row>
    <row customHeight="1" ht="14.625" hidden="1">
      <c r="A94" s="1297"/>
      <c r="B94" s="92"/>
      <c r="C94" s="103"/>
      <c r="D94" s="103"/>
      <c r="E94" s="626">
        <v>15</v>
      </c>
      <c r="F94" s="50" cm="1" t="str">
        <f t="array" ref="F94:F94">OFFSET(E94,-1,1)</f>
        <v>0</v>
      </c>
      <c r="G94" s="929">
        <v>6</v>
      </c>
      <c r="H94" s="103"/>
      <c r="I94" s="103" t="s">
        <v>2309</v>
      </c>
      <c r="J94" s="103"/>
      <c r="K94" s="103" t="s">
        <v>2309</v>
      </c>
      <c r="L94" s="988"/>
      <c r="M94" s="103"/>
      <c r="N94" s="103"/>
      <c r="O94" s="103"/>
      <c r="P94" s="103"/>
      <c r="Q94" s="103"/>
      <c r="R94" s="103"/>
      <c r="S94" s="103"/>
      <c r="T94" s="468" cm="1" t="str">
        <f t="array" ref="T94:T94">T93</f>
        <v>false</v>
      </c>
      <c r="U94" s="103"/>
      <c r="V94" s="103"/>
      <c r="W94" s="1297"/>
      <c r="X94" s="1539"/>
      <c r="Y94" s="1297"/>
      <c r="Z94" s="1529"/>
      <c r="AA94" s="1297"/>
      <c r="AB94" s="295" t="s">
        <v>1717</v>
      </c>
      <c r="AC94" s="772" t="s">
        <v>2310</v>
      </c>
      <c r="AD94" s="296" t="s">
        <v>936</v>
      </c>
      <c r="AE94" s="255">
        <f>_xlfn.SUMIFS(Налоги!AE$25:AE$83,Налоги!$F$25:$F$83,$F94,Налоги!$AB$25:$AB$83,$G94)</f>
        <v>0</v>
      </c>
      <c r="AF94" s="255">
        <f>_xlfn.SUMIFS(Налоги!AF$25:AF$83,Налоги!$F$25:$F$83,$F94,Налоги!$AB$25:$AB$83,$G94)</f>
        <v>0</v>
      </c>
      <c r="AG94" s="255">
        <f>_xlfn.SUMIFS(Налоги!AG$25:AG$83,Налоги!$F$25:$F$83,$F94,Налоги!$AB$25:$AB$83,$G94)</f>
        <v>0</v>
      </c>
      <c r="AH94" s="951">
        <f>AG94-AF94</f>
        <v>0</v>
      </c>
      <c r="AI94" s="951">
        <f>_xlfn.SUMIFS(Налоги!AH$25:AH$83,Налоги!$F$25:$F$83,$F94,Налоги!$AB$25:$AB$83,$G94)</f>
        <v>0</v>
      </c>
      <c r="AJ94" s="951">
        <f>_xlfn.SUMIFS(Налоги!AI$25:AI$83,Налоги!$F$25:$F$83,$F94,Налоги!$AB$25:$AB$83,$G94)</f>
        <v>0</v>
      </c>
      <c r="AK94" s="951">
        <f>_xlfn.SUMIFS(Налоги!AJ$25:AJ$83,Налоги!$F$25:$F$83,$F94,Налоги!$AB$25:$AB$83,$G94)</f>
        <v>0</v>
      </c>
      <c r="AL94" s="951">
        <f>_xlfn.SUMIFS(Налоги!AK$25:AK$83,Налоги!$F$25:$F$83,$F94,Налоги!$AB$25:$AB$83,$G94)</f>
        <v>0</v>
      </c>
      <c r="AM94" s="951">
        <f>_xlfn.SUMIFS(Налоги!AL$25:AL$83,Налоги!$F$25:$F$83,$F94,Налоги!$AB$25:$AB$83,$G94)</f>
        <v>0</v>
      </c>
      <c r="AN94" s="951">
        <f>_xlfn.SUMIFS(Налоги!AM$25:AM$83,Налоги!$F$25:$F$83,$F94,Налоги!$AB$25:$AB$83,$G94)</f>
        <v>0</v>
      </c>
      <c r="AO94" s="951">
        <f>_xlfn.SUMIFS(Налоги!AN$25:AN$83,Налоги!$F$25:$F$83,$F94,Налоги!$AB$25:$AB$83,$G94)</f>
        <v>0</v>
      </c>
      <c r="AP94" s="951">
        <f>_xlfn.SUMIFS(Налоги!AO$25:AO$83,Налоги!$F$25:$F$83,$F94,Налоги!$AB$25:$AB$83,$G94)</f>
        <v>0</v>
      </c>
      <c r="AQ94" s="951">
        <f>_xlfn.SUMIFS(Налоги!AP$25:AP$83,Налоги!$F$25:$F$83,$F94,Налоги!$AB$25:$AB$83,$G94)</f>
        <v>0</v>
      </c>
      <c r="AR94" s="951">
        <f>_xlfn.SUMIFS(Налоги!AQ$25:AQ$83,Налоги!$F$25:$F$83,$F94,Налоги!$AB$25:$AB$83,$G94)</f>
        <v>0</v>
      </c>
      <c r="AS94" s="951">
        <f>_xlfn.SUMIFS(Налоги!AR$25:AR$83,Налоги!$F$25:$F$83,$F94,Налоги!$AB$25:$AB$83,$G94)</f>
        <v>0</v>
      </c>
      <c r="AT94" s="951">
        <f>_xlfn.SUMIFS(Налоги!AS$25:AS$83,Налоги!$F$25:$F$83,$F94,Налоги!$AB$25:$AB$83,$G94)</f>
        <v>0</v>
      </c>
      <c r="AU94" s="951">
        <f>_xlfn.SUMIFS(Налоги!AT$25:AT$83,Налоги!$F$25:$F$83,$F94,Налоги!$AB$25:$AB$83,$G94)</f>
        <v>0</v>
      </c>
      <c r="AV94" s="951">
        <f>_xlfn.SUMIFS(Налоги!AU$25:AU$83,Налоги!$F$25:$F$83,$F94,Налоги!$AB$25:$AB$83,$G94)</f>
        <v>0</v>
      </c>
      <c r="AW94" s="951">
        <f>_xlfn.SUMIFS(Налоги!AV$25:AV$83,Налоги!$F$25:$F$83,$F94,Налоги!$AB$25:$AB$83,$G94)</f>
        <v>0</v>
      </c>
      <c r="AX94" s="951">
        <f>_xlfn.SUMIFS(Налоги!AW$25:AW$83,Налоги!$F$25:$F$83,$F94,Налоги!$AB$25:$AB$83,$G94)</f>
        <v>0</v>
      </c>
      <c r="AY94" s="951">
        <f>_xlfn.SUMIFS(Налоги!AX$25:AX$83,Налоги!$F$25:$F$83,$F94,Налоги!$AB$25:$AB$83,$G94)</f>
        <v>0</v>
      </c>
      <c r="AZ94" s="951">
        <f>_xlfn.SUMIFS(Налоги!AY$25:AY$83,Налоги!$F$25:$F$83,$F94,Налоги!$AB$25:$AB$83,$G94)</f>
        <v>0</v>
      </c>
      <c r="BA94" s="951">
        <f>_xlfn.SUMIFS(Налоги!AZ$25:AZ$83,Налоги!$F$25:$F$83,$F94,Налоги!$AB$25:$AB$83,$G94)</f>
        <v>0</v>
      </c>
      <c r="BB94" s="951">
        <f>_xlfn.SUMIFS(Налоги!BA$25:BA$83,Налоги!$F$25:$F$83,$F94,Налоги!$AB$25:$AB$83,$G94)</f>
        <v>0</v>
      </c>
      <c r="BC94" s="951">
        <f>_xlfn.SUMIFS(Налоги!BB$25:BB$83,Налоги!$F$25:$F$83,$F94,Налоги!$AB$25:$AB$83,$G94)</f>
        <v>0</v>
      </c>
      <c r="BD94" s="951">
        <f>IF(AI94=0,0,(AT94-AI94)/AI94*100)</f>
        <v>0</v>
      </c>
      <c r="BE94" s="951">
        <f>IF(AT94=0,0,(AU94-AT94)/AT94*100)</f>
        <v>0</v>
      </c>
      <c r="BF94" s="951">
        <f>IF(AU94=0,0,(AV94-AU94)/AU94*100)</f>
        <v>0</v>
      </c>
      <c r="BG94" s="951">
        <f>IF(AV94=0,0,(AW94-AV94)/AV94*100)</f>
        <v>0</v>
      </c>
      <c r="BH94" s="951">
        <f>IF(AW94=0,0,(AX94-AW94)/AW94*100)</f>
        <v>0</v>
      </c>
      <c r="BI94" s="951">
        <f>IF(AX94=0,0,(AY94-AX94)/AX94*100)</f>
        <v>0</v>
      </c>
      <c r="BJ94" s="951">
        <f>IF(AY94=0,0,(AZ94-AY94)/AY94*100)</f>
        <v>0</v>
      </c>
      <c r="BK94" s="951">
        <f>IF(AZ94=0,0,(BA94-AZ94)/AZ94*100)</f>
        <v>0</v>
      </c>
      <c r="BL94" s="951">
        <f>IF(BA94=0,0,(BB94-BA94)/BA94*100)</f>
        <v>0</v>
      </c>
      <c r="BM94" s="951">
        <f>IF(BB94=0,0,(BC94-BB94)/BB94*100)</f>
        <v>0</v>
      </c>
      <c r="BN94" s="1275"/>
      <c r="BO94" s="1273" t="str">
        <f>IF(_xlfn.IFERROR(INDEX(Налоги!$K$26:$L$83,MATCH($F94&amp;"6komm",Налоги!$K$26:$K$83,0),2),"")=0,"",_xlfn.IFERROR(INDEX(Налоги!$K$26:$L$83,MATCH($F94&amp;"6komm",Налоги!$K$26:$K$83,0),2),""))</f>
        <v/>
      </c>
      <c r="BP94" s="1275"/>
      <c r="BQ94" s="1297"/>
      <c r="BR94" s="1297"/>
      <c r="BS94" s="1072" t="s">
        <v>2311</v>
      </c>
      <c r="BT94" s="1072"/>
      <c r="BU94" s="1072"/>
      <c r="BV94" s="987"/>
      <c r="BW94" s="987"/>
    </row>
    <row customHeight="1" ht="14.625" hidden="1">
      <c r="A95" s="1297"/>
      <c r="B95" s="92"/>
      <c r="C95" s="103"/>
      <c r="D95" s="103"/>
      <c r="E95" s="626">
        <v>15</v>
      </c>
      <c r="F95" s="50" cm="1" t="str">
        <f t="array" ref="F95:F95">OFFSET(E95,-1,1)</f>
        <v>0</v>
      </c>
      <c r="G95" s="929">
        <v>2</v>
      </c>
      <c r="H95" s="103"/>
      <c r="I95" s="103" t="s">
        <v>2312</v>
      </c>
      <c r="J95" s="103"/>
      <c r="K95" s="103" t="s">
        <v>2312</v>
      </c>
      <c r="L95" s="988"/>
      <c r="M95" s="103"/>
      <c r="N95" s="103"/>
      <c r="O95" s="103"/>
      <c r="P95" s="103"/>
      <c r="Q95" s="103"/>
      <c r="R95" s="103"/>
      <c r="S95" s="103"/>
      <c r="T95" s="468" cm="1" t="str">
        <f t="array" ref="T95:T95">T94</f>
        <v>false</v>
      </c>
      <c r="U95" s="103"/>
      <c r="V95" s="103"/>
      <c r="W95" s="1297"/>
      <c r="X95" s="1539"/>
      <c r="Y95" s="1297"/>
      <c r="Z95" s="1529"/>
      <c r="AA95" s="1297"/>
      <c r="AB95" s="295" t="s">
        <v>1722</v>
      </c>
      <c r="AC95" s="772" t="s">
        <v>2313</v>
      </c>
      <c r="AD95" s="296" t="s">
        <v>936</v>
      </c>
      <c r="AE95" s="255">
        <f>_xlfn.SUMIFS(Налоги!AE$25:AE$83,Налоги!$F$25:$F$83,$F95,Налоги!$AB$25:$AB$83,$G95)</f>
        <v>0</v>
      </c>
      <c r="AF95" s="255">
        <f>_xlfn.SUMIFS(Налоги!AF$25:AF$83,Налоги!$F$25:$F$83,$F95,Налоги!$AB$25:$AB$83,$G95)</f>
        <v>0</v>
      </c>
      <c r="AG95" s="255">
        <f>_xlfn.SUMIFS(Налоги!AG$25:AG$83,Налоги!$F$25:$F$83,$F95,Налоги!$AB$25:$AB$83,$G95)</f>
        <v>0</v>
      </c>
      <c r="AH95" s="951">
        <f>AG95-AF95</f>
        <v>0</v>
      </c>
      <c r="AI95" s="951">
        <f>_xlfn.SUMIFS(Налоги!AH$25:AH$83,Налоги!$F$25:$F$83,$F95,Налоги!$AB$25:$AB$83,$G95)</f>
        <v>0</v>
      </c>
      <c r="AJ95" s="951">
        <f>_xlfn.SUMIFS(Налоги!AI$25:AI$83,Налоги!$F$25:$F$83,$F95,Налоги!$AB$25:$AB$83,$G95)</f>
        <v>0</v>
      </c>
      <c r="AK95" s="951">
        <f>_xlfn.SUMIFS(Налоги!AJ$25:AJ$83,Налоги!$F$25:$F$83,$F95,Налоги!$AB$25:$AB$83,$G95)</f>
        <v>0</v>
      </c>
      <c r="AL95" s="951">
        <f>_xlfn.SUMIFS(Налоги!AK$25:AK$83,Налоги!$F$25:$F$83,$F95,Налоги!$AB$25:$AB$83,$G95)</f>
        <v>0</v>
      </c>
      <c r="AM95" s="951">
        <f>_xlfn.SUMIFS(Налоги!AL$25:AL$83,Налоги!$F$25:$F$83,$F95,Налоги!$AB$25:$AB$83,$G95)</f>
        <v>0</v>
      </c>
      <c r="AN95" s="951">
        <f>_xlfn.SUMIFS(Налоги!AM$25:AM$83,Налоги!$F$25:$F$83,$F95,Налоги!$AB$25:$AB$83,$G95)</f>
        <v>0</v>
      </c>
      <c r="AO95" s="951">
        <f>_xlfn.SUMIFS(Налоги!AN$25:AN$83,Налоги!$F$25:$F$83,$F95,Налоги!$AB$25:$AB$83,$G95)</f>
        <v>0</v>
      </c>
      <c r="AP95" s="951">
        <f>_xlfn.SUMIFS(Налоги!AO$25:AO$83,Налоги!$F$25:$F$83,$F95,Налоги!$AB$25:$AB$83,$G95)</f>
        <v>0</v>
      </c>
      <c r="AQ95" s="951">
        <f>_xlfn.SUMIFS(Налоги!AP$25:AP$83,Налоги!$F$25:$F$83,$F95,Налоги!$AB$25:$AB$83,$G95)</f>
        <v>0</v>
      </c>
      <c r="AR95" s="951">
        <f>_xlfn.SUMIFS(Налоги!AQ$25:AQ$83,Налоги!$F$25:$F$83,$F95,Налоги!$AB$25:$AB$83,$G95)</f>
        <v>0</v>
      </c>
      <c r="AS95" s="951">
        <f>_xlfn.SUMIFS(Налоги!AR$25:AR$83,Налоги!$F$25:$F$83,$F95,Налоги!$AB$25:$AB$83,$G95)</f>
        <v>0</v>
      </c>
      <c r="AT95" s="951">
        <f>_xlfn.SUMIFS(Налоги!AS$25:AS$83,Налоги!$F$25:$F$83,$F95,Налоги!$AB$25:$AB$83,$G95)</f>
        <v>0</v>
      </c>
      <c r="AU95" s="951">
        <f>_xlfn.SUMIFS(Налоги!AT$25:AT$83,Налоги!$F$25:$F$83,$F95,Налоги!$AB$25:$AB$83,$G95)</f>
        <v>0</v>
      </c>
      <c r="AV95" s="951">
        <f>_xlfn.SUMIFS(Налоги!AU$25:AU$83,Налоги!$F$25:$F$83,$F95,Налоги!$AB$25:$AB$83,$G95)</f>
        <v>0</v>
      </c>
      <c r="AW95" s="951">
        <f>_xlfn.SUMIFS(Налоги!AV$25:AV$83,Налоги!$F$25:$F$83,$F95,Налоги!$AB$25:$AB$83,$G95)</f>
        <v>0</v>
      </c>
      <c r="AX95" s="951">
        <f>_xlfn.SUMIFS(Налоги!AW$25:AW$83,Налоги!$F$25:$F$83,$F95,Налоги!$AB$25:$AB$83,$G95)</f>
        <v>0</v>
      </c>
      <c r="AY95" s="951">
        <f>_xlfn.SUMIFS(Налоги!AX$25:AX$83,Налоги!$F$25:$F$83,$F95,Налоги!$AB$25:$AB$83,$G95)</f>
        <v>0</v>
      </c>
      <c r="AZ95" s="951">
        <f>_xlfn.SUMIFS(Налоги!AY$25:AY$83,Налоги!$F$25:$F$83,$F95,Налоги!$AB$25:$AB$83,$G95)</f>
        <v>0</v>
      </c>
      <c r="BA95" s="951">
        <f>_xlfn.SUMIFS(Налоги!AZ$25:AZ$83,Налоги!$F$25:$F$83,$F95,Налоги!$AB$25:$AB$83,$G95)</f>
        <v>0</v>
      </c>
      <c r="BB95" s="951">
        <f>_xlfn.SUMIFS(Налоги!BA$25:BA$83,Налоги!$F$25:$F$83,$F95,Налоги!$AB$25:$AB$83,$G95)</f>
        <v>0</v>
      </c>
      <c r="BC95" s="951">
        <f>_xlfn.SUMIFS(Налоги!BB$25:BB$83,Налоги!$F$25:$F$83,$F95,Налоги!$AB$25:$AB$83,$G95)</f>
        <v>0</v>
      </c>
      <c r="BD95" s="951">
        <f>IF(AI95=0,0,(AT95-AI95)/AI95*100)</f>
        <v>0</v>
      </c>
      <c r="BE95" s="951">
        <f>IF(AT95=0,0,(AU95-AT95)/AT95*100)</f>
        <v>0</v>
      </c>
      <c r="BF95" s="951">
        <f>IF(AU95=0,0,(AV95-AU95)/AU95*100)</f>
        <v>0</v>
      </c>
      <c r="BG95" s="951">
        <f>IF(AV95=0,0,(AW95-AV95)/AV95*100)</f>
        <v>0</v>
      </c>
      <c r="BH95" s="951">
        <f>IF(AW95=0,0,(AX95-AW95)/AW95*100)</f>
        <v>0</v>
      </c>
      <c r="BI95" s="951">
        <f>IF(AX95=0,0,(AY95-AX95)/AX95*100)</f>
        <v>0</v>
      </c>
      <c r="BJ95" s="951">
        <f>IF(AY95=0,0,(AZ95-AY95)/AY95*100)</f>
        <v>0</v>
      </c>
      <c r="BK95" s="951">
        <f>IF(AZ95=0,0,(BA95-AZ95)/AZ95*100)</f>
        <v>0</v>
      </c>
      <c r="BL95" s="951">
        <f>IF(BA95=0,0,(BB95-BA95)/BA95*100)</f>
        <v>0</v>
      </c>
      <c r="BM95" s="951">
        <f>IF(BB95=0,0,(BC95-BB95)/BB95*100)</f>
        <v>0</v>
      </c>
      <c r="BN95" s="1275"/>
      <c r="BO95" s="1273" t="str">
        <f>IF(_xlfn.IFERROR(INDEX(Налоги!$K$26:$L$83,MATCH($F95&amp;"2komm",Налоги!$K$26:$K$83,0),2),"")=0,"",_xlfn.IFERROR(INDEX(Налоги!$K$26:$L$83,MATCH($F95&amp;"2komm",Налоги!$K$26:$K$83,0),2),""))</f>
        <v/>
      </c>
      <c r="BP95" s="1275"/>
      <c r="BQ95" s="1297"/>
      <c r="BR95" s="1297"/>
      <c r="BS95" s="1072" t="s">
        <v>2314</v>
      </c>
      <c r="BT95" s="1072"/>
      <c r="BU95" s="1072"/>
      <c r="BV95" s="987"/>
      <c r="BW95" s="987"/>
    </row>
    <row customHeight="1" ht="14.625" hidden="1">
      <c r="A96" s="1297"/>
      <c r="B96" s="92"/>
      <c r="C96" s="103"/>
      <c r="D96" s="103"/>
      <c r="E96" s="626">
        <v>15</v>
      </c>
      <c r="F96" s="50" cm="1" t="str">
        <f t="array" ref="F96:F96">OFFSET(E96,-1,1)</f>
        <v>0</v>
      </c>
      <c r="G96" s="929">
        <v>4</v>
      </c>
      <c r="H96" s="103"/>
      <c r="I96" s="103" t="s">
        <v>2315</v>
      </c>
      <c r="J96" s="103"/>
      <c r="K96" s="103" t="s">
        <v>2315</v>
      </c>
      <c r="L96" s="988"/>
      <c r="M96" s="103"/>
      <c r="N96" s="103"/>
      <c r="O96" s="103"/>
      <c r="P96" s="103"/>
      <c r="Q96" s="103"/>
      <c r="R96" s="103"/>
      <c r="S96" s="103"/>
      <c r="T96" s="468" cm="1" t="str">
        <f t="array" ref="T96:T96">T95</f>
        <v>false</v>
      </c>
      <c r="U96" s="103"/>
      <c r="V96" s="103"/>
      <c r="W96" s="1297"/>
      <c r="X96" s="1539"/>
      <c r="Y96" s="1297"/>
      <c r="Z96" s="1529"/>
      <c r="AA96" s="1297"/>
      <c r="AB96" s="295" t="s">
        <v>2316</v>
      </c>
      <c r="AC96" s="772" t="s">
        <v>2317</v>
      </c>
      <c r="AD96" s="296" t="s">
        <v>936</v>
      </c>
      <c r="AE96" s="255">
        <f>_xlfn.SUMIFS(Налоги!AE$25:AE$83,Налоги!$F$25:$F$83,$F96,Налоги!$AB$25:$AB$83,$G96)</f>
        <v>0</v>
      </c>
      <c r="AF96" s="255">
        <f>_xlfn.SUMIFS(Налоги!AF$25:AF$83,Налоги!$F$25:$F$83,$F96,Налоги!$AB$25:$AB$83,$G96)</f>
        <v>0</v>
      </c>
      <c r="AG96" s="255">
        <f>_xlfn.SUMIFS(Налоги!AG$25:AG$83,Налоги!$F$25:$F$83,$F96,Налоги!$AB$25:$AB$83,$G96)</f>
        <v>0</v>
      </c>
      <c r="AH96" s="951">
        <f>AG96-AF96</f>
        <v>0</v>
      </c>
      <c r="AI96" s="951">
        <f>_xlfn.SUMIFS(Налоги!AH$25:AH$83,Налоги!$F$25:$F$83,$F96,Налоги!$AB$25:$AB$83,$G96)</f>
        <v>0</v>
      </c>
      <c r="AJ96" s="951">
        <f>_xlfn.SUMIFS(Налоги!AI$25:AI$83,Налоги!$F$25:$F$83,$F96,Налоги!$AB$25:$AB$83,$G96)</f>
        <v>0</v>
      </c>
      <c r="AK96" s="951">
        <f>_xlfn.SUMIFS(Налоги!AJ$25:AJ$83,Налоги!$F$25:$F$83,$F96,Налоги!$AB$25:$AB$83,$G96)</f>
        <v>0</v>
      </c>
      <c r="AL96" s="951">
        <f>_xlfn.SUMIFS(Налоги!AK$25:AK$83,Налоги!$F$25:$F$83,$F96,Налоги!$AB$25:$AB$83,$G96)</f>
        <v>0</v>
      </c>
      <c r="AM96" s="951">
        <f>_xlfn.SUMIFS(Налоги!AL$25:AL$83,Налоги!$F$25:$F$83,$F96,Налоги!$AB$25:$AB$83,$G96)</f>
        <v>0</v>
      </c>
      <c r="AN96" s="951">
        <f>_xlfn.SUMIFS(Налоги!AM$25:AM$83,Налоги!$F$25:$F$83,$F96,Налоги!$AB$25:$AB$83,$G96)</f>
        <v>0</v>
      </c>
      <c r="AO96" s="951">
        <f>_xlfn.SUMIFS(Налоги!AN$25:AN$83,Налоги!$F$25:$F$83,$F96,Налоги!$AB$25:$AB$83,$G96)</f>
        <v>0</v>
      </c>
      <c r="AP96" s="951">
        <f>_xlfn.SUMIFS(Налоги!AO$25:AO$83,Налоги!$F$25:$F$83,$F96,Налоги!$AB$25:$AB$83,$G96)</f>
        <v>0</v>
      </c>
      <c r="AQ96" s="951">
        <f>_xlfn.SUMIFS(Налоги!AP$25:AP$83,Налоги!$F$25:$F$83,$F96,Налоги!$AB$25:$AB$83,$G96)</f>
        <v>0</v>
      </c>
      <c r="AR96" s="951">
        <f>_xlfn.SUMIFS(Налоги!AQ$25:AQ$83,Налоги!$F$25:$F$83,$F96,Налоги!$AB$25:$AB$83,$G96)</f>
        <v>0</v>
      </c>
      <c r="AS96" s="951">
        <f>_xlfn.SUMIFS(Налоги!AR$25:AR$83,Налоги!$F$25:$F$83,$F96,Налоги!$AB$25:$AB$83,$G96)</f>
        <v>0</v>
      </c>
      <c r="AT96" s="951">
        <f>_xlfn.SUMIFS(Налоги!AS$25:AS$83,Налоги!$F$25:$F$83,$F96,Налоги!$AB$25:$AB$83,$G96)</f>
        <v>0</v>
      </c>
      <c r="AU96" s="951">
        <f>_xlfn.SUMIFS(Налоги!AT$25:AT$83,Налоги!$F$25:$F$83,$F96,Налоги!$AB$25:$AB$83,$G96)</f>
        <v>0</v>
      </c>
      <c r="AV96" s="951">
        <f>_xlfn.SUMIFS(Налоги!AU$25:AU$83,Налоги!$F$25:$F$83,$F96,Налоги!$AB$25:$AB$83,$G96)</f>
        <v>0</v>
      </c>
      <c r="AW96" s="951">
        <f>_xlfn.SUMIFS(Налоги!AV$25:AV$83,Налоги!$F$25:$F$83,$F96,Налоги!$AB$25:$AB$83,$G96)</f>
        <v>0</v>
      </c>
      <c r="AX96" s="951">
        <f>_xlfn.SUMIFS(Налоги!AW$25:AW$83,Налоги!$F$25:$F$83,$F96,Налоги!$AB$25:$AB$83,$G96)</f>
        <v>0</v>
      </c>
      <c r="AY96" s="951">
        <f>_xlfn.SUMIFS(Налоги!AX$25:AX$83,Налоги!$F$25:$F$83,$F96,Налоги!$AB$25:$AB$83,$G96)</f>
        <v>0</v>
      </c>
      <c r="AZ96" s="951">
        <f>_xlfn.SUMIFS(Налоги!AY$25:AY$83,Налоги!$F$25:$F$83,$F96,Налоги!$AB$25:$AB$83,$G96)</f>
        <v>0</v>
      </c>
      <c r="BA96" s="951">
        <f>_xlfn.SUMIFS(Налоги!AZ$25:AZ$83,Налоги!$F$25:$F$83,$F96,Налоги!$AB$25:$AB$83,$G96)</f>
        <v>0</v>
      </c>
      <c r="BB96" s="951">
        <f>_xlfn.SUMIFS(Налоги!BA$25:BA$83,Налоги!$F$25:$F$83,$F96,Налоги!$AB$25:$AB$83,$G96)</f>
        <v>0</v>
      </c>
      <c r="BC96" s="951">
        <f>_xlfn.SUMIFS(Налоги!BB$25:BB$83,Налоги!$F$25:$F$83,$F96,Налоги!$AB$25:$AB$83,$G96)</f>
        <v>0</v>
      </c>
      <c r="BD96" s="951">
        <f>IF(AI96=0,0,(AT96-AI96)/AI96*100)</f>
        <v>0</v>
      </c>
      <c r="BE96" s="951">
        <f>IF(AT96=0,0,(AU96-AT96)/AT96*100)</f>
        <v>0</v>
      </c>
      <c r="BF96" s="951">
        <f>IF(AU96=0,0,(AV96-AU96)/AU96*100)</f>
        <v>0</v>
      </c>
      <c r="BG96" s="951">
        <f>IF(AV96=0,0,(AW96-AV96)/AV96*100)</f>
        <v>0</v>
      </c>
      <c r="BH96" s="951">
        <f>IF(AW96=0,0,(AX96-AW96)/AW96*100)</f>
        <v>0</v>
      </c>
      <c r="BI96" s="951">
        <f>IF(AX96=0,0,(AY96-AX96)/AX96*100)</f>
        <v>0</v>
      </c>
      <c r="BJ96" s="951">
        <f>IF(AY96=0,0,(AZ96-AY96)/AY96*100)</f>
        <v>0</v>
      </c>
      <c r="BK96" s="951">
        <f>IF(AZ96=0,0,(BA96-AZ96)/AZ96*100)</f>
        <v>0</v>
      </c>
      <c r="BL96" s="951">
        <f>IF(BA96=0,0,(BB96-BA96)/BA96*100)</f>
        <v>0</v>
      </c>
      <c r="BM96" s="951">
        <f>IF(BB96=0,0,(BC96-BB96)/BB96*100)</f>
        <v>0</v>
      </c>
      <c r="BN96" s="1275"/>
      <c r="BO96" s="1273" t="str">
        <f>IF(_xlfn.IFERROR(INDEX(Налоги!$K$26:$L$83,MATCH($F96&amp;"4komm",Налоги!$K$26:$K$83,0),2),"")=0,"",_xlfn.IFERROR(INDEX(Налоги!$K$26:$L$83,MATCH($F96&amp;"4komm",Налоги!$K$26:$K$83,0),2),""))</f>
        <v/>
      </c>
      <c r="BP96" s="1275"/>
      <c r="BQ96" s="1297"/>
      <c r="BR96" s="1297"/>
      <c r="BS96" s="1072" t="s">
        <v>2318</v>
      </c>
      <c r="BT96" s="1072"/>
      <c r="BU96" s="1072"/>
      <c r="BV96" s="987"/>
      <c r="BW96" s="987"/>
    </row>
    <row customHeight="1" ht="14.625" hidden="1">
      <c r="A97" s="1297"/>
      <c r="B97" s="92"/>
      <c r="C97" s="103"/>
      <c r="D97" s="103"/>
      <c r="E97" s="626">
        <v>15</v>
      </c>
      <c r="F97" s="50" cm="1" t="str">
        <f t="array" ref="F97:F97">OFFSET(E97,-1,1)</f>
        <v>0</v>
      </c>
      <c r="G97" s="929">
        <v>5</v>
      </c>
      <c r="H97" s="103"/>
      <c r="I97" s="103" t="s">
        <v>2319</v>
      </c>
      <c r="J97" s="103"/>
      <c r="K97" s="103" t="s">
        <v>2319</v>
      </c>
      <c r="L97" s="988"/>
      <c r="M97" s="103"/>
      <c r="N97" s="103"/>
      <c r="O97" s="103"/>
      <c r="P97" s="103"/>
      <c r="Q97" s="103"/>
      <c r="R97" s="103"/>
      <c r="S97" s="103"/>
      <c r="T97" s="468" cm="1" t="str">
        <f t="array" ref="T97:T97">T96</f>
        <v>false</v>
      </c>
      <c r="U97" s="103"/>
      <c r="V97" s="103"/>
      <c r="W97" s="1297"/>
      <c r="X97" s="1539"/>
      <c r="Y97" s="1297"/>
      <c r="Z97" s="1529"/>
      <c r="AA97" s="1297"/>
      <c r="AB97" s="295" t="s">
        <v>2320</v>
      </c>
      <c r="AC97" s="772" t="s">
        <v>2321</v>
      </c>
      <c r="AD97" s="296" t="s">
        <v>936</v>
      </c>
      <c r="AE97" s="255">
        <f>_xlfn.SUMIFS(Налоги!AE$25:AE$83,Налоги!$F$25:$F$83,$F97,Налоги!$AB$25:$AB$83,$G97)</f>
        <v>0</v>
      </c>
      <c r="AF97" s="255">
        <f>_xlfn.SUMIFS(Налоги!AF$25:AF$83,Налоги!$F$25:$F$83,$F97,Налоги!$AB$25:$AB$83,$G97)</f>
        <v>0</v>
      </c>
      <c r="AG97" s="255">
        <f>_xlfn.SUMIFS(Налоги!AG$25:AG$83,Налоги!$F$25:$F$83,$F97,Налоги!$AB$25:$AB$83,$G97)</f>
        <v>0</v>
      </c>
      <c r="AH97" s="951">
        <f>AG97-AF97</f>
        <v>0</v>
      </c>
      <c r="AI97" s="951">
        <f>_xlfn.SUMIFS(Налоги!AH$25:AH$83,Налоги!$F$25:$F$83,$F97,Налоги!$AB$25:$AB$83,$G97)</f>
        <v>0</v>
      </c>
      <c r="AJ97" s="951">
        <f>_xlfn.SUMIFS(Налоги!AI$25:AI$83,Налоги!$F$25:$F$83,$F97,Налоги!$AB$25:$AB$83,$G97)</f>
        <v>0</v>
      </c>
      <c r="AK97" s="951">
        <f>_xlfn.SUMIFS(Налоги!AJ$25:AJ$83,Налоги!$F$25:$F$83,$F97,Налоги!$AB$25:$AB$83,$G97)</f>
        <v>0</v>
      </c>
      <c r="AL97" s="951">
        <f>_xlfn.SUMIFS(Налоги!AK$25:AK$83,Налоги!$F$25:$F$83,$F97,Налоги!$AB$25:$AB$83,$G97)</f>
        <v>0</v>
      </c>
      <c r="AM97" s="951">
        <f>_xlfn.SUMIFS(Налоги!AL$25:AL$83,Налоги!$F$25:$F$83,$F97,Налоги!$AB$25:$AB$83,$G97)</f>
        <v>0</v>
      </c>
      <c r="AN97" s="951">
        <f>_xlfn.SUMIFS(Налоги!AM$25:AM$83,Налоги!$F$25:$F$83,$F97,Налоги!$AB$25:$AB$83,$G97)</f>
        <v>0</v>
      </c>
      <c r="AO97" s="951">
        <f>_xlfn.SUMIFS(Налоги!AN$25:AN$83,Налоги!$F$25:$F$83,$F97,Налоги!$AB$25:$AB$83,$G97)</f>
        <v>0</v>
      </c>
      <c r="AP97" s="951">
        <f>_xlfn.SUMIFS(Налоги!AO$25:AO$83,Налоги!$F$25:$F$83,$F97,Налоги!$AB$25:$AB$83,$G97)</f>
        <v>0</v>
      </c>
      <c r="AQ97" s="951">
        <f>_xlfn.SUMIFS(Налоги!AP$25:AP$83,Налоги!$F$25:$F$83,$F97,Налоги!$AB$25:$AB$83,$G97)</f>
        <v>0</v>
      </c>
      <c r="AR97" s="951">
        <f>_xlfn.SUMIFS(Налоги!AQ$25:AQ$83,Налоги!$F$25:$F$83,$F97,Налоги!$AB$25:$AB$83,$G97)</f>
        <v>0</v>
      </c>
      <c r="AS97" s="951">
        <f>_xlfn.SUMIFS(Налоги!AR$25:AR$83,Налоги!$F$25:$F$83,$F97,Налоги!$AB$25:$AB$83,$G97)</f>
        <v>0</v>
      </c>
      <c r="AT97" s="951">
        <f>_xlfn.SUMIFS(Налоги!AS$25:AS$83,Налоги!$F$25:$F$83,$F97,Налоги!$AB$25:$AB$83,$G97)</f>
        <v>0</v>
      </c>
      <c r="AU97" s="951">
        <f>_xlfn.SUMIFS(Налоги!AT$25:AT$83,Налоги!$F$25:$F$83,$F97,Налоги!$AB$25:$AB$83,$G97)</f>
        <v>0</v>
      </c>
      <c r="AV97" s="951">
        <f>_xlfn.SUMIFS(Налоги!AU$25:AU$83,Налоги!$F$25:$F$83,$F97,Налоги!$AB$25:$AB$83,$G97)</f>
        <v>0</v>
      </c>
      <c r="AW97" s="951">
        <f>_xlfn.SUMIFS(Налоги!AV$25:AV$83,Налоги!$F$25:$F$83,$F97,Налоги!$AB$25:$AB$83,$G97)</f>
        <v>0</v>
      </c>
      <c r="AX97" s="951">
        <f>_xlfn.SUMIFS(Налоги!AW$25:AW$83,Налоги!$F$25:$F$83,$F97,Налоги!$AB$25:$AB$83,$G97)</f>
        <v>0</v>
      </c>
      <c r="AY97" s="951">
        <f>_xlfn.SUMIFS(Налоги!AX$25:AX$83,Налоги!$F$25:$F$83,$F97,Налоги!$AB$25:$AB$83,$G97)</f>
        <v>0</v>
      </c>
      <c r="AZ97" s="951">
        <f>_xlfn.SUMIFS(Налоги!AY$25:AY$83,Налоги!$F$25:$F$83,$F97,Налоги!$AB$25:$AB$83,$G97)</f>
        <v>0</v>
      </c>
      <c r="BA97" s="951">
        <f>_xlfn.SUMIFS(Налоги!AZ$25:AZ$83,Налоги!$F$25:$F$83,$F97,Налоги!$AB$25:$AB$83,$G97)</f>
        <v>0</v>
      </c>
      <c r="BB97" s="951">
        <f>_xlfn.SUMIFS(Налоги!BA$25:BA$83,Налоги!$F$25:$F$83,$F97,Налоги!$AB$25:$AB$83,$G97)</f>
        <v>0</v>
      </c>
      <c r="BC97" s="951">
        <f>_xlfn.SUMIFS(Налоги!BB$25:BB$83,Налоги!$F$25:$F$83,$F97,Налоги!$AB$25:$AB$83,$G97)</f>
        <v>0</v>
      </c>
      <c r="BD97" s="951">
        <f>IF(AI97=0,0,(AT97-AI97)/AI97*100)</f>
        <v>0</v>
      </c>
      <c r="BE97" s="951">
        <f>IF(AT97=0,0,(AU97-AT97)/AT97*100)</f>
        <v>0</v>
      </c>
      <c r="BF97" s="951">
        <f>IF(AU97=0,0,(AV97-AU97)/AU97*100)</f>
        <v>0</v>
      </c>
      <c r="BG97" s="951">
        <f>IF(AV97=0,0,(AW97-AV97)/AV97*100)</f>
        <v>0</v>
      </c>
      <c r="BH97" s="951">
        <f>IF(AW97=0,0,(AX97-AW97)/AW97*100)</f>
        <v>0</v>
      </c>
      <c r="BI97" s="951">
        <f>IF(AX97=0,0,(AY97-AX97)/AX97*100)</f>
        <v>0</v>
      </c>
      <c r="BJ97" s="951">
        <f>IF(AY97=0,0,(AZ97-AY97)/AY97*100)</f>
        <v>0</v>
      </c>
      <c r="BK97" s="951">
        <f>IF(AZ97=0,0,(BA97-AZ97)/AZ97*100)</f>
        <v>0</v>
      </c>
      <c r="BL97" s="951">
        <f>IF(BA97=0,0,(BB97-BA97)/BA97*100)</f>
        <v>0</v>
      </c>
      <c r="BM97" s="951">
        <f>IF(BB97=0,0,(BC97-BB97)/BB97*100)</f>
        <v>0</v>
      </c>
      <c r="BN97" s="1275"/>
      <c r="BO97" s="1273" t="str">
        <f>IF(_xlfn.IFERROR(INDEX(Налоги!$K$26:$L$83,MATCH($F97&amp;"5komm",Налоги!$K$26:$K$83,0),2),"")=0,"",_xlfn.IFERROR(INDEX(Налоги!$K$26:$L$83,MATCH($F97&amp;"5komm",Налоги!$K$26:$K$83,0),2),""))</f>
        <v/>
      </c>
      <c r="BP97" s="1275"/>
      <c r="BQ97" s="1297"/>
      <c r="BR97" s="1297"/>
      <c r="BS97" s="1072" t="s">
        <v>2322</v>
      </c>
      <c r="BT97" s="1072"/>
      <c r="BU97" s="1072"/>
      <c r="BV97" s="987"/>
      <c r="BW97" s="987"/>
    </row>
    <row customHeight="1" ht="14.625" hidden="1">
      <c r="A98" s="1297"/>
      <c r="B98" s="92"/>
      <c r="C98" s="103"/>
      <c r="D98" s="103"/>
      <c r="E98" s="626">
        <v>15</v>
      </c>
      <c r="F98" s="50" cm="1" t="str">
        <f t="array" ref="F98:F98">OFFSET(E98,-1,1)</f>
        <v>0</v>
      </c>
      <c r="G98" s="929">
        <v>1</v>
      </c>
      <c r="H98" s="103"/>
      <c r="I98" s="103" t="s">
        <v>2323</v>
      </c>
      <c r="J98" s="103"/>
      <c r="K98" s="103" t="s">
        <v>2323</v>
      </c>
      <c r="L98" s="988"/>
      <c r="M98" s="103"/>
      <c r="N98" s="103"/>
      <c r="O98" s="103"/>
      <c r="P98" s="103"/>
      <c r="Q98" s="103"/>
      <c r="R98" s="103"/>
      <c r="S98" s="103"/>
      <c r="T98" s="468" cm="1" t="str">
        <f t="array" ref="T98:T98">T97</f>
        <v>false</v>
      </c>
      <c r="U98" s="103"/>
      <c r="V98" s="103"/>
      <c r="W98" s="1297"/>
      <c r="X98" s="1539"/>
      <c r="Y98" s="1297"/>
      <c r="Z98" s="1529"/>
      <c r="AA98" s="1297"/>
      <c r="AB98" s="295" t="s">
        <v>2324</v>
      </c>
      <c r="AC98" s="772" t="s">
        <v>2325</v>
      </c>
      <c r="AD98" s="296" t="s">
        <v>936</v>
      </c>
      <c r="AE98" s="255">
        <f>_xlfn.SUMIFS(Налоги!AE$25:AE$83,Налоги!$F$25:$F$83,$F98,Налоги!$AB$25:$AB$83,$G98)</f>
        <v>0</v>
      </c>
      <c r="AF98" s="255">
        <f>_xlfn.SUMIFS(Налоги!AF$25:AF$83,Налоги!$F$25:$F$83,$F98,Налоги!$AB$25:$AB$83,$G98)</f>
        <v>0</v>
      </c>
      <c r="AG98" s="255">
        <f>_xlfn.SUMIFS(Налоги!AG$25:AG$83,Налоги!$F$25:$F$83,$F98,Налоги!$AB$25:$AB$83,$G98)</f>
        <v>0</v>
      </c>
      <c r="AH98" s="951">
        <f>AG98-AF98</f>
        <v>0</v>
      </c>
      <c r="AI98" s="951">
        <f>_xlfn.SUMIFS(Налоги!AH$25:AH$83,Налоги!$F$25:$F$83,$F98,Налоги!$AB$25:$AB$83,$G98)</f>
        <v>0</v>
      </c>
      <c r="AJ98" s="951">
        <f>_xlfn.SUMIFS(Налоги!AI$25:AI$83,Налоги!$F$25:$F$83,$F98,Налоги!$AB$25:$AB$83,$G98)</f>
        <v>0</v>
      </c>
      <c r="AK98" s="951">
        <f>_xlfn.SUMIFS(Налоги!AJ$25:AJ$83,Налоги!$F$25:$F$83,$F98,Налоги!$AB$25:$AB$83,$G98)</f>
        <v>0</v>
      </c>
      <c r="AL98" s="951">
        <f>_xlfn.SUMIFS(Налоги!AK$25:AK$83,Налоги!$F$25:$F$83,$F98,Налоги!$AB$25:$AB$83,$G98)</f>
        <v>0</v>
      </c>
      <c r="AM98" s="951">
        <f>_xlfn.SUMIFS(Налоги!AL$25:AL$83,Налоги!$F$25:$F$83,$F98,Налоги!$AB$25:$AB$83,$G98)</f>
        <v>0</v>
      </c>
      <c r="AN98" s="951">
        <f>_xlfn.SUMIFS(Налоги!AM$25:AM$83,Налоги!$F$25:$F$83,$F98,Налоги!$AB$25:$AB$83,$G98)</f>
        <v>0</v>
      </c>
      <c r="AO98" s="951">
        <f>_xlfn.SUMIFS(Налоги!AN$25:AN$83,Налоги!$F$25:$F$83,$F98,Налоги!$AB$25:$AB$83,$G98)</f>
        <v>0</v>
      </c>
      <c r="AP98" s="951">
        <f>_xlfn.SUMIFS(Налоги!AO$25:AO$83,Налоги!$F$25:$F$83,$F98,Налоги!$AB$25:$AB$83,$G98)</f>
        <v>0</v>
      </c>
      <c r="AQ98" s="951">
        <f>_xlfn.SUMIFS(Налоги!AP$25:AP$83,Налоги!$F$25:$F$83,$F98,Налоги!$AB$25:$AB$83,$G98)</f>
        <v>0</v>
      </c>
      <c r="AR98" s="951">
        <f>_xlfn.SUMIFS(Налоги!AQ$25:AQ$83,Налоги!$F$25:$F$83,$F98,Налоги!$AB$25:$AB$83,$G98)</f>
        <v>0</v>
      </c>
      <c r="AS98" s="951">
        <f>_xlfn.SUMIFS(Налоги!AR$25:AR$83,Налоги!$F$25:$F$83,$F98,Налоги!$AB$25:$AB$83,$G98)</f>
        <v>0</v>
      </c>
      <c r="AT98" s="951">
        <f>_xlfn.SUMIFS(Налоги!AS$25:AS$83,Налоги!$F$25:$F$83,$F98,Налоги!$AB$25:$AB$83,$G98)</f>
        <v>0</v>
      </c>
      <c r="AU98" s="951">
        <f>_xlfn.SUMIFS(Налоги!AT$25:AT$83,Налоги!$F$25:$F$83,$F98,Налоги!$AB$25:$AB$83,$G98)</f>
        <v>0</v>
      </c>
      <c r="AV98" s="951">
        <f>_xlfn.SUMIFS(Налоги!AU$25:AU$83,Налоги!$F$25:$F$83,$F98,Налоги!$AB$25:$AB$83,$G98)</f>
        <v>0</v>
      </c>
      <c r="AW98" s="951">
        <f>_xlfn.SUMIFS(Налоги!AV$25:AV$83,Налоги!$F$25:$F$83,$F98,Налоги!$AB$25:$AB$83,$G98)</f>
        <v>0</v>
      </c>
      <c r="AX98" s="951">
        <f>_xlfn.SUMIFS(Налоги!AW$25:AW$83,Налоги!$F$25:$F$83,$F98,Налоги!$AB$25:$AB$83,$G98)</f>
        <v>0</v>
      </c>
      <c r="AY98" s="951">
        <f>_xlfn.SUMIFS(Налоги!AX$25:AX$83,Налоги!$F$25:$F$83,$F98,Налоги!$AB$25:$AB$83,$G98)</f>
        <v>0</v>
      </c>
      <c r="AZ98" s="951">
        <f>_xlfn.SUMIFS(Налоги!AY$25:AY$83,Налоги!$F$25:$F$83,$F98,Налоги!$AB$25:$AB$83,$G98)</f>
        <v>0</v>
      </c>
      <c r="BA98" s="951">
        <f>_xlfn.SUMIFS(Налоги!AZ$25:AZ$83,Налоги!$F$25:$F$83,$F98,Налоги!$AB$25:$AB$83,$G98)</f>
        <v>0</v>
      </c>
      <c r="BB98" s="951">
        <f>_xlfn.SUMIFS(Налоги!BA$25:BA$83,Налоги!$F$25:$F$83,$F98,Налоги!$AB$25:$AB$83,$G98)</f>
        <v>0</v>
      </c>
      <c r="BC98" s="951">
        <f>_xlfn.SUMIFS(Налоги!BB$25:BB$83,Налоги!$F$25:$F$83,$F98,Налоги!$AB$25:$AB$83,$G98)</f>
        <v>0</v>
      </c>
      <c r="BD98" s="951">
        <f>IF(AI98=0,0,(AT98-AI98)/AI98*100)</f>
        <v>0</v>
      </c>
      <c r="BE98" s="951">
        <f>IF(AT98=0,0,(AU98-AT98)/AT98*100)</f>
        <v>0</v>
      </c>
      <c r="BF98" s="951">
        <f>IF(AU98=0,0,(AV98-AU98)/AU98*100)</f>
        <v>0</v>
      </c>
      <c r="BG98" s="951">
        <f>IF(AV98=0,0,(AW98-AV98)/AV98*100)</f>
        <v>0</v>
      </c>
      <c r="BH98" s="951">
        <f>IF(AW98=0,0,(AX98-AW98)/AW98*100)</f>
        <v>0</v>
      </c>
      <c r="BI98" s="951">
        <f>IF(AX98=0,0,(AY98-AX98)/AX98*100)</f>
        <v>0</v>
      </c>
      <c r="BJ98" s="951">
        <f>IF(AY98=0,0,(AZ98-AY98)/AY98*100)</f>
        <v>0</v>
      </c>
      <c r="BK98" s="951">
        <f>IF(AZ98=0,0,(BA98-AZ98)/AZ98*100)</f>
        <v>0</v>
      </c>
      <c r="BL98" s="951">
        <f>IF(BA98=0,0,(BB98-BA98)/BA98*100)</f>
        <v>0</v>
      </c>
      <c r="BM98" s="951">
        <f>IF(BB98=0,0,(BC98-BB98)/BB98*100)</f>
        <v>0</v>
      </c>
      <c r="BN98" s="1275"/>
      <c r="BO98" s="1273" t="str">
        <f>IF(_xlfn.IFERROR(INDEX(Налоги!$K$26:$L$83,MATCH($F98&amp;"1komm",Налоги!$K$26:$K$83,0),2),"")=0,"",_xlfn.IFERROR(INDEX(Налоги!$K$26:$L$83,MATCH($F98&amp;"1komm",Налоги!$K$26:$K$83,0),2),""))</f>
        <v/>
      </c>
      <c r="BP98" s="1275"/>
      <c r="BQ98" s="1297"/>
      <c r="BR98" s="1297"/>
      <c r="BS98" s="1072" t="s">
        <v>2326</v>
      </c>
      <c r="BT98" s="1072"/>
      <c r="BU98" s="1072"/>
      <c r="BV98" s="987"/>
      <c r="BW98" s="987"/>
    </row>
    <row customHeight="1" ht="14.625" hidden="1">
      <c r="A99" s="1297"/>
      <c r="B99" s="92"/>
      <c r="C99" s="103"/>
      <c r="D99" s="103"/>
      <c r="E99" s="626">
        <v>15</v>
      </c>
      <c r="F99" s="50" cm="1" t="str">
        <f t="array" ref="F99:F99">OFFSET(E99,-1,1)</f>
        <v>0</v>
      </c>
      <c r="G99" s="929">
        <v>3</v>
      </c>
      <c r="H99" s="103"/>
      <c r="I99" s="103" t="s">
        <v>2327</v>
      </c>
      <c r="J99" s="103"/>
      <c r="K99" s="103" t="s">
        <v>2327</v>
      </c>
      <c r="L99" s="988"/>
      <c r="M99" s="103"/>
      <c r="N99" s="103"/>
      <c r="O99" s="103"/>
      <c r="P99" s="103"/>
      <c r="Q99" s="103"/>
      <c r="R99" s="103"/>
      <c r="S99" s="103"/>
      <c r="T99" s="468" cm="1" t="str">
        <f t="array" ref="T99:T99">T98</f>
        <v>false</v>
      </c>
      <c r="U99" s="103"/>
      <c r="V99" s="103"/>
      <c r="W99" s="1297"/>
      <c r="X99" s="1539"/>
      <c r="Y99" s="1297"/>
      <c r="Z99" s="1529"/>
      <c r="AA99" s="1297"/>
      <c r="AB99" s="295" t="s">
        <v>2328</v>
      </c>
      <c r="AC99" s="772" t="s">
        <v>2329</v>
      </c>
      <c r="AD99" s="296" t="s">
        <v>936</v>
      </c>
      <c r="AE99" s="1274">
        <f>_xlfn.SUMIFS(Налоги!AE$25:AE$83,Налоги!$F$25:$F$83,$F99,Налоги!$AB$25:$AB$83,$G99)</f>
        <v>0</v>
      </c>
      <c r="AF99" s="1274">
        <f>_xlfn.SUMIFS(Налоги!AF$25:AF$83,Налоги!$F$25:$F$83,$F99,Налоги!$AB$25:$AB$83,$G99)</f>
        <v>0</v>
      </c>
      <c r="AG99" s="1274">
        <f>_xlfn.SUMIFS(Налоги!AG$25:AG$83,Налоги!$F$25:$F$83,$F99,Налоги!$AB$25:$AB$83,$G99)</f>
        <v>0</v>
      </c>
      <c r="AH99" s="951">
        <f>AG99-AF99</f>
        <v>0</v>
      </c>
      <c r="AI99" s="1272">
        <f>_xlfn.SUMIFS(Налоги!AH$25:AH$83,Налоги!$F$25:$F$83,$F99,Налоги!$AB$25:$AB$83,$G99)</f>
        <v>0</v>
      </c>
      <c r="AJ99" s="1272">
        <f>_xlfn.SUMIFS(Налоги!AI$25:AI$83,Налоги!$F$25:$F$83,$F99,Налоги!$AB$25:$AB$83,$G99)</f>
        <v>0</v>
      </c>
      <c r="AK99" s="1272">
        <f>_xlfn.SUMIFS(Налоги!AJ$25:AJ$83,Налоги!$F$25:$F$83,$F99,Налоги!$AB$25:$AB$83,$G99)</f>
        <v>0</v>
      </c>
      <c r="AL99" s="1272">
        <f>_xlfn.SUMIFS(Налоги!AK$25:AK$83,Налоги!$F$25:$F$83,$F99,Налоги!$AB$25:$AB$83,$G99)</f>
        <v>0</v>
      </c>
      <c r="AM99" s="1272">
        <f>_xlfn.SUMIFS(Налоги!AL$25:AL$83,Налоги!$F$25:$F$83,$F99,Налоги!$AB$25:$AB$83,$G99)</f>
        <v>0</v>
      </c>
      <c r="AN99" s="1272">
        <f>_xlfn.SUMIFS(Налоги!AM$25:AM$83,Налоги!$F$25:$F$83,$F99,Налоги!$AB$25:$AB$83,$G99)</f>
        <v>0</v>
      </c>
      <c r="AO99" s="1272">
        <f>_xlfn.SUMIFS(Налоги!AN$25:AN$83,Налоги!$F$25:$F$83,$F99,Налоги!$AB$25:$AB$83,$G99)</f>
        <v>0</v>
      </c>
      <c r="AP99" s="1272">
        <f>_xlfn.SUMIFS(Налоги!AO$25:AO$83,Налоги!$F$25:$F$83,$F99,Налоги!$AB$25:$AB$83,$G99)</f>
        <v>0</v>
      </c>
      <c r="AQ99" s="1272">
        <f>_xlfn.SUMIFS(Налоги!AP$25:AP$83,Налоги!$F$25:$F$83,$F99,Налоги!$AB$25:$AB$83,$G99)</f>
        <v>0</v>
      </c>
      <c r="AR99" s="1272">
        <f>_xlfn.SUMIFS(Налоги!AQ$25:AQ$83,Налоги!$F$25:$F$83,$F99,Налоги!$AB$25:$AB$83,$G99)</f>
        <v>0</v>
      </c>
      <c r="AS99" s="1272">
        <f>_xlfn.SUMIFS(Налоги!AR$25:AR$83,Налоги!$F$25:$F$83,$F99,Налоги!$AB$25:$AB$83,$G99)</f>
        <v>0</v>
      </c>
      <c r="AT99" s="1272">
        <f>_xlfn.SUMIFS(Налоги!AS$25:AS$83,Налоги!$F$25:$F$83,$F99,Налоги!$AB$25:$AB$83,$G99)</f>
        <v>0</v>
      </c>
      <c r="AU99" s="1272">
        <f>_xlfn.SUMIFS(Налоги!AT$25:AT$83,Налоги!$F$25:$F$83,$F99,Налоги!$AB$25:$AB$83,$G99)</f>
        <v>0</v>
      </c>
      <c r="AV99" s="1272">
        <f>_xlfn.SUMIFS(Налоги!AU$25:AU$83,Налоги!$F$25:$F$83,$F99,Налоги!$AB$25:$AB$83,$G99)</f>
        <v>0</v>
      </c>
      <c r="AW99" s="1272">
        <f>_xlfn.SUMIFS(Налоги!AV$25:AV$83,Налоги!$F$25:$F$83,$F99,Налоги!$AB$25:$AB$83,$G99)</f>
        <v>0</v>
      </c>
      <c r="AX99" s="1272">
        <f>_xlfn.SUMIFS(Налоги!AW$25:AW$83,Налоги!$F$25:$F$83,$F99,Налоги!$AB$25:$AB$83,$G99)</f>
        <v>0</v>
      </c>
      <c r="AY99" s="1272">
        <f>_xlfn.SUMIFS(Налоги!AX$25:AX$83,Налоги!$F$25:$F$83,$F99,Налоги!$AB$25:$AB$83,$G99)</f>
        <v>0</v>
      </c>
      <c r="AZ99" s="1272">
        <f>_xlfn.SUMIFS(Налоги!AY$25:AY$83,Налоги!$F$25:$F$83,$F99,Налоги!$AB$25:$AB$83,$G99)</f>
        <v>0</v>
      </c>
      <c r="BA99" s="1272">
        <f>_xlfn.SUMIFS(Налоги!AZ$25:AZ$83,Налоги!$F$25:$F$83,$F99,Налоги!$AB$25:$AB$83,$G99)</f>
        <v>0</v>
      </c>
      <c r="BB99" s="1272">
        <f>_xlfn.SUMIFS(Налоги!BA$25:BA$83,Налоги!$F$25:$F$83,$F99,Налоги!$AB$25:$AB$83,$G99)</f>
        <v>0</v>
      </c>
      <c r="BC99" s="1272">
        <f>_xlfn.SUMIFS(Налоги!BB$25:BB$83,Налоги!$F$25:$F$83,$F99,Налоги!$AB$25:$AB$83,$G99)</f>
        <v>0</v>
      </c>
      <c r="BD99" s="951">
        <f>IF(AI99=0,0,(AT99-AI99)/AI99*100)</f>
        <v>0</v>
      </c>
      <c r="BE99" s="951">
        <f>IF(AT99=0,0,(AU99-AT99)/AT99*100)</f>
        <v>0</v>
      </c>
      <c r="BF99" s="951">
        <f>IF(AU99=0,0,(AV99-AU99)/AU99*100)</f>
        <v>0</v>
      </c>
      <c r="BG99" s="951">
        <f>IF(AV99=0,0,(AW99-AV99)/AV99*100)</f>
        <v>0</v>
      </c>
      <c r="BH99" s="951">
        <f>IF(AW99=0,0,(AX99-AW99)/AW99*100)</f>
        <v>0</v>
      </c>
      <c r="BI99" s="951">
        <f>IF(AX99=0,0,(AY99-AX99)/AX99*100)</f>
        <v>0</v>
      </c>
      <c r="BJ99" s="951">
        <f>IF(AY99=0,0,(AZ99-AY99)/AY99*100)</f>
        <v>0</v>
      </c>
      <c r="BK99" s="951">
        <f>IF(AZ99=0,0,(BA99-AZ99)/AZ99*100)</f>
        <v>0</v>
      </c>
      <c r="BL99" s="951">
        <f>IF(BA99=0,0,(BB99-BA99)/BA99*100)</f>
        <v>0</v>
      </c>
      <c r="BM99" s="951">
        <f>IF(BB99=0,0,(BC99-BB99)/BB99*100)</f>
        <v>0</v>
      </c>
      <c r="BN99" s="1275"/>
      <c r="BO99" s="1273" t="str">
        <f>IF(_xlfn.IFERROR(INDEX(Налоги!$K$26:$L$83,MATCH($F99&amp;"5komm",Налоги!$K$26:$K$83,0),2),"")=0,"",_xlfn.IFERROR(INDEX(Налоги!$K$26:$L$83,MATCH($F99&amp;"5komm",Налоги!$K$26:$K$83,0),2),""))</f>
        <v/>
      </c>
      <c r="BP99" s="1275"/>
      <c r="BQ99" s="1297"/>
      <c r="BR99" s="1297"/>
      <c r="BS99" s="1072" t="s">
        <v>2330</v>
      </c>
      <c r="BT99" s="1072"/>
      <c r="BU99" s="1072"/>
      <c r="BV99" s="987"/>
      <c r="BW99" s="987"/>
    </row>
    <row customHeight="1" ht="14.625" hidden="1">
      <c r="A100" s="1297"/>
      <c r="B100" s="92"/>
      <c r="C100" s="103"/>
      <c r="D100" s="103"/>
      <c r="E100" s="626">
        <v>15</v>
      </c>
      <c r="F100" s="50" cm="1" t="str">
        <f t="array" ref="F100:F100">OFFSET(E100,-1,1)</f>
        <v>0</v>
      </c>
      <c r="G100" s="929">
        <v>8</v>
      </c>
      <c r="H100" s="103"/>
      <c r="I100" s="103" t="s">
        <v>2331</v>
      </c>
      <c r="J100" s="103"/>
      <c r="K100" s="103" t="s">
        <v>2331</v>
      </c>
      <c r="L100" s="988"/>
      <c r="M100" s="103"/>
      <c r="N100" s="103"/>
      <c r="O100" s="103"/>
      <c r="P100" s="103"/>
      <c r="Q100" s="103"/>
      <c r="R100" s="103"/>
      <c r="S100" s="103"/>
      <c r="T100" s="468" cm="1" t="str">
        <f t="array" ref="T100:T100">T99</f>
        <v>false</v>
      </c>
      <c r="U100" s="103"/>
      <c r="V100" s="103"/>
      <c r="W100" s="1297"/>
      <c r="X100" s="1539"/>
      <c r="Y100" s="1297"/>
      <c r="Z100" s="1529"/>
      <c r="AA100" s="1297"/>
      <c r="AB100" s="295" t="s">
        <v>2332</v>
      </c>
      <c r="AC100" s="772" t="s">
        <v>2333</v>
      </c>
      <c r="AD100" s="296" t="s">
        <v>936</v>
      </c>
      <c r="AE100" s="255">
        <f>_xlfn.SUMIFS(Налоги!AE$25:AE$83,Налоги!$F$25:$F$83,$F100,Налоги!$AB$25:$AB$83,$G100)</f>
        <v>0</v>
      </c>
      <c r="AF100" s="255">
        <f>_xlfn.SUMIFS(Налоги!AF$25:AF$83,Налоги!$F$25:$F$83,$F100,Налоги!$AB$25:$AB$83,$G100)</f>
        <v>0</v>
      </c>
      <c r="AG100" s="255">
        <f>_xlfn.SUMIFS(Налоги!AG$25:AG$83,Налоги!$F$25:$F$83,$F100,Налоги!$AB$25:$AB$83,$G100)</f>
        <v>0</v>
      </c>
      <c r="AH100" s="951">
        <f>AG100-AF100</f>
        <v>0</v>
      </c>
      <c r="AI100" s="951">
        <f>_xlfn.SUMIFS(Налоги!AH$25:AH$83,Налоги!$F$25:$F$83,$F100,Налоги!$AB$25:$AB$83,$G100)</f>
        <v>0</v>
      </c>
      <c r="AJ100" s="951">
        <f>_xlfn.SUMIFS(Налоги!AI$25:AI$83,Налоги!$F$25:$F$83,$F100,Налоги!$AB$25:$AB$83,$G100)</f>
        <v>0</v>
      </c>
      <c r="AK100" s="951">
        <f>_xlfn.SUMIFS(Налоги!AJ$25:AJ$83,Налоги!$F$25:$F$83,$F100,Налоги!$AB$25:$AB$83,$G100)</f>
        <v>0</v>
      </c>
      <c r="AL100" s="951">
        <f>_xlfn.SUMIFS(Налоги!AK$25:AK$83,Налоги!$F$25:$F$83,$F100,Налоги!$AB$25:$AB$83,$G100)</f>
        <v>0</v>
      </c>
      <c r="AM100" s="951">
        <f>_xlfn.SUMIFS(Налоги!AL$25:AL$83,Налоги!$F$25:$F$83,$F100,Налоги!$AB$25:$AB$83,$G100)</f>
        <v>0</v>
      </c>
      <c r="AN100" s="951">
        <f>_xlfn.SUMIFS(Налоги!AM$25:AM$83,Налоги!$F$25:$F$83,$F100,Налоги!$AB$25:$AB$83,$G100)</f>
        <v>0</v>
      </c>
      <c r="AO100" s="951">
        <f>_xlfn.SUMIFS(Налоги!AN$25:AN$83,Налоги!$F$25:$F$83,$F100,Налоги!$AB$25:$AB$83,$G100)</f>
        <v>0</v>
      </c>
      <c r="AP100" s="951">
        <f>_xlfn.SUMIFS(Налоги!AO$25:AO$83,Налоги!$F$25:$F$83,$F100,Налоги!$AB$25:$AB$83,$G100)</f>
        <v>0</v>
      </c>
      <c r="AQ100" s="951">
        <f>_xlfn.SUMIFS(Налоги!AP$25:AP$83,Налоги!$F$25:$F$83,$F100,Налоги!$AB$25:$AB$83,$G100)</f>
        <v>0</v>
      </c>
      <c r="AR100" s="951">
        <f>_xlfn.SUMIFS(Налоги!AQ$25:AQ$83,Налоги!$F$25:$F$83,$F100,Налоги!$AB$25:$AB$83,$G100)</f>
        <v>0</v>
      </c>
      <c r="AS100" s="951">
        <f>_xlfn.SUMIFS(Налоги!AR$25:AR$83,Налоги!$F$25:$F$83,$F100,Налоги!$AB$25:$AB$83,$G100)</f>
        <v>0</v>
      </c>
      <c r="AT100" s="951">
        <f>_xlfn.SUMIFS(Налоги!AS$25:AS$83,Налоги!$F$25:$F$83,$F100,Налоги!$AB$25:$AB$83,$G100)</f>
        <v>0</v>
      </c>
      <c r="AU100" s="951">
        <f>_xlfn.SUMIFS(Налоги!AT$25:AT$83,Налоги!$F$25:$F$83,$F100,Налоги!$AB$25:$AB$83,$G100)</f>
        <v>0</v>
      </c>
      <c r="AV100" s="951">
        <f>_xlfn.SUMIFS(Налоги!AU$25:AU$83,Налоги!$F$25:$F$83,$F100,Налоги!$AB$25:$AB$83,$G100)</f>
        <v>0</v>
      </c>
      <c r="AW100" s="951">
        <f>_xlfn.SUMIFS(Налоги!AV$25:AV$83,Налоги!$F$25:$F$83,$F100,Налоги!$AB$25:$AB$83,$G100)</f>
        <v>0</v>
      </c>
      <c r="AX100" s="951">
        <f>_xlfn.SUMIFS(Налоги!AW$25:AW$83,Налоги!$F$25:$F$83,$F100,Налоги!$AB$25:$AB$83,$G100)</f>
        <v>0</v>
      </c>
      <c r="AY100" s="951">
        <f>_xlfn.SUMIFS(Налоги!AX$25:AX$83,Налоги!$F$25:$F$83,$F100,Налоги!$AB$25:$AB$83,$G100)</f>
        <v>0</v>
      </c>
      <c r="AZ100" s="951">
        <f>_xlfn.SUMIFS(Налоги!AY$25:AY$83,Налоги!$F$25:$F$83,$F100,Налоги!$AB$25:$AB$83,$G100)</f>
        <v>0</v>
      </c>
      <c r="BA100" s="951">
        <f>_xlfn.SUMIFS(Налоги!AZ$25:AZ$83,Налоги!$F$25:$F$83,$F100,Налоги!$AB$25:$AB$83,$G100)</f>
        <v>0</v>
      </c>
      <c r="BB100" s="951">
        <f>_xlfn.SUMIFS(Налоги!BA$25:BA$83,Налоги!$F$25:$F$83,$F100,Налоги!$AB$25:$AB$83,$G100)</f>
        <v>0</v>
      </c>
      <c r="BC100" s="951">
        <f>_xlfn.SUMIFS(Налоги!BB$25:BB$83,Налоги!$F$25:$F$83,$F100,Налоги!$AB$25:$AB$83,$G100)</f>
        <v>0</v>
      </c>
      <c r="BD100" s="951">
        <f>IF(AI100=0,0,(AT100-AI100)/AI100*100)</f>
        <v>0</v>
      </c>
      <c r="BE100" s="951">
        <f>IF(AT100=0,0,(AU100-AT100)/AT100*100)</f>
        <v>0</v>
      </c>
      <c r="BF100" s="951">
        <f>IF(AU100=0,0,(AV100-AU100)/AU100*100)</f>
        <v>0</v>
      </c>
      <c r="BG100" s="951">
        <f>IF(AV100=0,0,(AW100-AV100)/AV100*100)</f>
        <v>0</v>
      </c>
      <c r="BH100" s="951">
        <f>IF(AW100=0,0,(AX100-AW100)/AW100*100)</f>
        <v>0</v>
      </c>
      <c r="BI100" s="951">
        <f>IF(AX100=0,0,(AY100-AX100)/AX100*100)</f>
        <v>0</v>
      </c>
      <c r="BJ100" s="951">
        <f>IF(AY100=0,0,(AZ100-AY100)/AY100*100)</f>
        <v>0</v>
      </c>
      <c r="BK100" s="951">
        <f>IF(AZ100=0,0,(BA100-AZ100)/AZ100*100)</f>
        <v>0</v>
      </c>
      <c r="BL100" s="951">
        <f>IF(BA100=0,0,(BB100-BA100)/BA100*100)</f>
        <v>0</v>
      </c>
      <c r="BM100" s="951">
        <f>IF(BB100=0,0,(BC100-BB100)/BB100*100)</f>
        <v>0</v>
      </c>
      <c r="BN100" s="1275"/>
      <c r="BO100" s="1273" t="str">
        <f>IF(_xlfn.IFERROR(INDEX(Налоги!$K$26:$L$83,MATCH($F100&amp;"8komm",Налоги!$K$26:$K$83,0),2),"")=0,"",_xlfn.IFERROR(INDEX(Налоги!$K$26:$L$83,MATCH($F100&amp;"8komm",Налоги!$K$26:$K$83,0),2),""))</f>
        <v/>
      </c>
      <c r="BP100" s="1275"/>
      <c r="BQ100" s="1297"/>
      <c r="BR100" s="1297"/>
      <c r="BS100" s="1072" t="s">
        <v>1482</v>
      </c>
      <c r="BT100" s="1072"/>
      <c r="BU100" s="1072"/>
      <c r="BV100" s="987"/>
      <c r="BW100" s="987"/>
    </row>
    <row s="1252" customFormat="1" customHeight="1" ht="14.625" hidden="1">
      <c r="A101" s="1252"/>
      <c r="B101" s="92"/>
      <c r="C101" s="103"/>
      <c r="D101" s="103"/>
      <c r="E101" s="626">
        <v>15</v>
      </c>
      <c r="F101" s="50" cm="1" t="str">
        <f t="array" ref="F101:F101">OFFSET(E101,-1,1)</f>
        <v>0</v>
      </c>
      <c r="G101" s="929">
        <v>9</v>
      </c>
      <c r="H101" s="103"/>
      <c r="I101" s="103"/>
      <c r="J101" s="103"/>
      <c r="K101" s="103"/>
      <c r="L101" s="988"/>
      <c r="M101" s="103"/>
      <c r="N101" s="103"/>
      <c r="O101" s="103"/>
      <c r="P101" s="103"/>
      <c r="Q101" s="103"/>
      <c r="R101" s="103"/>
      <c r="S101" s="103"/>
      <c r="T101" s="468" cm="1" t="str">
        <f t="array" ref="T101:T101">T100</f>
        <v>false</v>
      </c>
      <c r="U101" s="103"/>
      <c r="V101" s="103"/>
      <c r="W101" s="1252"/>
      <c r="X101" s="1539"/>
      <c r="Y101" s="1252"/>
      <c r="Z101" s="1529"/>
      <c r="AA101" s="1252"/>
      <c r="AB101" s="295" t="s">
        <v>2334</v>
      </c>
      <c r="AC101" s="787" t="s">
        <v>2335</v>
      </c>
      <c r="AD101" s="296" t="s">
        <v>936</v>
      </c>
      <c r="AE101" s="255">
        <f>_xlfn.SUMIFS(Налоги!AE$25:AE$83,Налоги!$F$25:$F$83,$F101,Налоги!$AB$25:$AB$83,$G101)</f>
        <v>0</v>
      </c>
      <c r="AF101" s="255">
        <f>_xlfn.SUMIFS(Налоги!AF$25:AF$83,Налоги!$F$25:$F$83,$F101,Налоги!$AB$25:$AB$83,$G101)</f>
        <v>0</v>
      </c>
      <c r="AG101" s="255">
        <f>_xlfn.SUMIFS(Налоги!AG$25:AG$83,Налоги!$F$25:$F$83,$F101,Налоги!$AB$25:$AB$83,$G101)</f>
        <v>0</v>
      </c>
      <c r="AH101" s="951">
        <f>AG101-AF101</f>
        <v>0</v>
      </c>
      <c r="AI101" s="951">
        <f>_xlfn.SUMIFS(Налоги!AH$25:AH$83,Налоги!$F$25:$F$83,$F101,Налоги!$AB$25:$AB$83,$G101)</f>
        <v>0</v>
      </c>
      <c r="AJ101" s="951">
        <f>_xlfn.SUMIFS(Налоги!AI$25:AI$83,Налоги!$F$25:$F$83,$F101,Налоги!$AB$25:$AB$83,$G101)</f>
        <v>0</v>
      </c>
      <c r="AK101" s="951">
        <f>_xlfn.SUMIFS(Налоги!AJ$25:AJ$83,Налоги!$F$25:$F$83,$F101,Налоги!$AB$25:$AB$83,$G101)</f>
        <v>0</v>
      </c>
      <c r="AL101" s="951">
        <f>_xlfn.SUMIFS(Налоги!AK$25:AK$83,Налоги!$F$25:$F$83,$F101,Налоги!$AB$25:$AB$83,$G101)</f>
        <v>0</v>
      </c>
      <c r="AM101" s="951">
        <f>_xlfn.SUMIFS(Налоги!AL$25:AL$83,Налоги!$F$25:$F$83,$F101,Налоги!$AB$25:$AB$83,$G101)</f>
        <v>0</v>
      </c>
      <c r="AN101" s="951">
        <f>_xlfn.SUMIFS(Налоги!AM$25:AM$83,Налоги!$F$25:$F$83,$F101,Налоги!$AB$25:$AB$83,$G101)</f>
        <v>0</v>
      </c>
      <c r="AO101" s="951">
        <f>_xlfn.SUMIFS(Налоги!AN$25:AN$83,Налоги!$F$25:$F$83,$F101,Налоги!$AB$25:$AB$83,$G101)</f>
        <v>0</v>
      </c>
      <c r="AP101" s="951">
        <f>_xlfn.SUMIFS(Налоги!AO$25:AO$83,Налоги!$F$25:$F$83,$F101,Налоги!$AB$25:$AB$83,$G101)</f>
        <v>0</v>
      </c>
      <c r="AQ101" s="951">
        <f>_xlfn.SUMIFS(Налоги!AP$25:AP$83,Налоги!$F$25:$F$83,$F101,Налоги!$AB$25:$AB$83,$G101)</f>
        <v>0</v>
      </c>
      <c r="AR101" s="951">
        <f>_xlfn.SUMIFS(Налоги!AQ$25:AQ$83,Налоги!$F$25:$F$83,$F101,Налоги!$AB$25:$AB$83,$G101)</f>
        <v>0</v>
      </c>
      <c r="AS101" s="951">
        <f>_xlfn.SUMIFS(Налоги!AR$25:AR$83,Налоги!$F$25:$F$83,$F101,Налоги!$AB$25:$AB$83,$G101)</f>
        <v>0</v>
      </c>
      <c r="AT101" s="951">
        <f>_xlfn.SUMIFS(Налоги!AS$25:AS$83,Налоги!$F$25:$F$83,$F101,Налоги!$AB$25:$AB$83,$G101)</f>
        <v>0</v>
      </c>
      <c r="AU101" s="951">
        <f>_xlfn.SUMIFS(Налоги!AT$25:AT$83,Налоги!$F$25:$F$83,$F101,Налоги!$AB$25:$AB$83,$G101)</f>
        <v>0</v>
      </c>
      <c r="AV101" s="951">
        <f>_xlfn.SUMIFS(Налоги!AU$25:AU$83,Налоги!$F$25:$F$83,$F101,Налоги!$AB$25:$AB$83,$G101)</f>
        <v>0</v>
      </c>
      <c r="AW101" s="951">
        <f>_xlfn.SUMIFS(Налоги!AV$25:AV$83,Налоги!$F$25:$F$83,$F101,Налоги!$AB$25:$AB$83,$G101)</f>
        <v>0</v>
      </c>
      <c r="AX101" s="951">
        <f>_xlfn.SUMIFS(Налоги!AW$25:AW$83,Налоги!$F$25:$F$83,$F101,Налоги!$AB$25:$AB$83,$G101)</f>
        <v>0</v>
      </c>
      <c r="AY101" s="951">
        <f>_xlfn.SUMIFS(Налоги!AX$25:AX$83,Налоги!$F$25:$F$83,$F101,Налоги!$AB$25:$AB$83,$G101)</f>
        <v>0</v>
      </c>
      <c r="AZ101" s="951">
        <f>_xlfn.SUMIFS(Налоги!AY$25:AY$83,Налоги!$F$25:$F$83,$F101,Налоги!$AB$25:$AB$83,$G101)</f>
        <v>0</v>
      </c>
      <c r="BA101" s="951">
        <f>_xlfn.SUMIFS(Налоги!AZ$25:AZ$83,Налоги!$F$25:$F$83,$F101,Налоги!$AB$25:$AB$83,$G101)</f>
        <v>0</v>
      </c>
      <c r="BB101" s="951">
        <f>_xlfn.SUMIFS(Налоги!BA$25:BA$83,Налоги!$F$25:$F$83,$F101,Налоги!$AB$25:$AB$83,$G101)</f>
        <v>0</v>
      </c>
      <c r="BC101" s="951">
        <f>_xlfn.SUMIFS(Налоги!BB$25:BB$83,Налоги!$F$25:$F$83,$F101,Налоги!$AB$25:$AB$83,$G101)</f>
        <v>0</v>
      </c>
      <c r="BD101" s="951">
        <f>IF(AI101=0,0,(AT101-AI101)/AI101*100)</f>
        <v>0</v>
      </c>
      <c r="BE101" s="951">
        <f>IF(AT101=0,0,(AU101-AT101)/AT101*100)</f>
        <v>0</v>
      </c>
      <c r="BF101" s="951">
        <f>IF(AU101=0,0,(AV101-AU101)/AU101*100)</f>
        <v>0</v>
      </c>
      <c r="BG101" s="951">
        <f>IF(AV101=0,0,(AW101-AV101)/AV101*100)</f>
        <v>0</v>
      </c>
      <c r="BH101" s="951">
        <f>IF(AW101=0,0,(AX101-AW101)/AW101*100)</f>
        <v>0</v>
      </c>
      <c r="BI101" s="951">
        <f>IF(AX101=0,0,(AY101-AX101)/AX101*100)</f>
        <v>0</v>
      </c>
      <c r="BJ101" s="951">
        <f>IF(AY101=0,0,(AZ101-AY101)/AY101*100)</f>
        <v>0</v>
      </c>
      <c r="BK101" s="951">
        <f>IF(AZ101=0,0,(BA101-AZ101)/AZ101*100)</f>
        <v>0</v>
      </c>
      <c r="BL101" s="951">
        <f>IF(BA101=0,0,(BB101-BA101)/BA101*100)</f>
        <v>0</v>
      </c>
      <c r="BM101" s="951">
        <f>IF(BB101=0,0,(BC101-BB101)/BB101*100)</f>
        <v>0</v>
      </c>
      <c r="BN101" s="1275"/>
      <c r="BO101" s="1273" t="str">
        <f>IF(_xlfn.IFERROR(INDEX(Налоги!$K$26:$L$83,MATCH($F101&amp;"9komm",Налоги!$K$26:$K$83,0),2),"")=0,"",_xlfn.IFERROR(INDEX(Налоги!$K$26:$L$83,MATCH($F101&amp;"9komm",Налоги!$K$26:$K$83,0),2),""))</f>
        <v/>
      </c>
      <c r="BP101" s="1275"/>
      <c r="BQ101" s="1252"/>
      <c r="BR101" s="1252"/>
      <c r="BS101" s="1079" t="s">
        <v>2336</v>
      </c>
      <c r="BT101" s="1079"/>
      <c r="BU101" s="1079"/>
      <c r="BV101" s="1080"/>
      <c r="BW101" s="1080"/>
    </row>
    <row customHeight="1" ht="14.625" hidden="1">
      <c r="A102" s="1297"/>
      <c r="B102" s="92"/>
      <c r="C102" s="103"/>
      <c r="D102" s="103"/>
      <c r="E102" s="626">
        <v>15</v>
      </c>
      <c r="F102" s="50" cm="1" t="str">
        <f t="array" ref="F102:F102">OFFSET(E102,-1,1)</f>
        <v>0</v>
      </c>
      <c r="G102" s="929">
        <v>10</v>
      </c>
      <c r="H102" s="103"/>
      <c r="I102" s="103" t="s">
        <v>2337</v>
      </c>
      <c r="J102" s="103"/>
      <c r="K102" s="103" t="s">
        <v>2337</v>
      </c>
      <c r="L102" s="988"/>
      <c r="M102" s="103"/>
      <c r="N102" s="103"/>
      <c r="O102" s="103"/>
      <c r="P102" s="103"/>
      <c r="Q102" s="103"/>
      <c r="R102" s="103"/>
      <c r="S102" s="103"/>
      <c r="T102" s="468" cm="1" t="str">
        <f t="array" ref="T102:T102">T101</f>
        <v>false</v>
      </c>
      <c r="U102" s="103"/>
      <c r="V102" s="103"/>
      <c r="W102" s="1297"/>
      <c r="X102" s="1539"/>
      <c r="Y102" s="1297"/>
      <c r="Z102" s="1529"/>
      <c r="AA102" s="1297"/>
      <c r="AB102" s="295" t="s">
        <v>2338</v>
      </c>
      <c r="AC102" s="788" t="s">
        <v>2339</v>
      </c>
      <c r="AD102" s="296" t="s">
        <v>936</v>
      </c>
      <c r="AE102" s="255">
        <f>_xlfn.SUMIFS(Налоги!AE$25:AE$83,Налоги!$F$25:$F$83,$F102,Налоги!$AB$25:$AB$83,$G102)</f>
        <v>0</v>
      </c>
      <c r="AF102" s="255">
        <f>_xlfn.SUMIFS(Налоги!AF$25:AF$83,Налоги!$F$25:$F$83,$F102,Налоги!$AB$25:$AB$83,$G102)</f>
        <v>0</v>
      </c>
      <c r="AG102" s="255">
        <f>_xlfn.SUMIFS(Налоги!AG$25:AG$83,Налоги!$F$25:$F$83,$F102,Налоги!$AB$25:$AB$83,$G102)</f>
        <v>0</v>
      </c>
      <c r="AH102" s="951">
        <f>AG102-AF102</f>
        <v>0</v>
      </c>
      <c r="AI102" s="951">
        <f>_xlfn.SUMIFS(Налоги!AH$25:AH$83,Налоги!$F$25:$F$83,$F102,Налоги!$AB$25:$AB$83,$G102)</f>
        <v>0</v>
      </c>
      <c r="AJ102" s="951">
        <f>_xlfn.SUMIFS(Налоги!AI$25:AI$83,Налоги!$F$25:$F$83,$F102,Налоги!$AB$25:$AB$83,$G102)</f>
        <v>0</v>
      </c>
      <c r="AK102" s="951">
        <f>_xlfn.SUMIFS(Налоги!AJ$25:AJ$83,Налоги!$F$25:$F$83,$F102,Налоги!$AB$25:$AB$83,$G102)</f>
        <v>0</v>
      </c>
      <c r="AL102" s="951">
        <f>_xlfn.SUMIFS(Налоги!AK$25:AK$83,Налоги!$F$25:$F$83,$F102,Налоги!$AB$25:$AB$83,$G102)</f>
        <v>0</v>
      </c>
      <c r="AM102" s="951">
        <f>_xlfn.SUMIFS(Налоги!AL$25:AL$83,Налоги!$F$25:$F$83,$F102,Налоги!$AB$25:$AB$83,$G102)</f>
        <v>0</v>
      </c>
      <c r="AN102" s="951">
        <f>_xlfn.SUMIFS(Налоги!AM$25:AM$83,Налоги!$F$25:$F$83,$F102,Налоги!$AB$25:$AB$83,$G102)</f>
        <v>0</v>
      </c>
      <c r="AO102" s="951">
        <f>_xlfn.SUMIFS(Налоги!AN$25:AN$83,Налоги!$F$25:$F$83,$F102,Налоги!$AB$25:$AB$83,$G102)</f>
        <v>0</v>
      </c>
      <c r="AP102" s="951">
        <f>_xlfn.SUMIFS(Налоги!AO$25:AO$83,Налоги!$F$25:$F$83,$F102,Налоги!$AB$25:$AB$83,$G102)</f>
        <v>0</v>
      </c>
      <c r="AQ102" s="951">
        <f>_xlfn.SUMIFS(Налоги!AP$25:AP$83,Налоги!$F$25:$F$83,$F102,Налоги!$AB$25:$AB$83,$G102)</f>
        <v>0</v>
      </c>
      <c r="AR102" s="951">
        <f>_xlfn.SUMIFS(Налоги!AQ$25:AQ$83,Налоги!$F$25:$F$83,$F102,Налоги!$AB$25:$AB$83,$G102)</f>
        <v>0</v>
      </c>
      <c r="AS102" s="951">
        <f>_xlfn.SUMIFS(Налоги!AR$25:AR$83,Налоги!$F$25:$F$83,$F102,Налоги!$AB$25:$AB$83,$G102)</f>
        <v>0</v>
      </c>
      <c r="AT102" s="951">
        <f>_xlfn.SUMIFS(Налоги!AS$25:AS$83,Налоги!$F$25:$F$83,$F102,Налоги!$AB$25:$AB$83,$G102)</f>
        <v>0</v>
      </c>
      <c r="AU102" s="951">
        <f>_xlfn.SUMIFS(Налоги!AT$25:AT$83,Налоги!$F$25:$F$83,$F102,Налоги!$AB$25:$AB$83,$G102)</f>
        <v>0</v>
      </c>
      <c r="AV102" s="951">
        <f>_xlfn.SUMIFS(Налоги!AU$25:AU$83,Налоги!$F$25:$F$83,$F102,Налоги!$AB$25:$AB$83,$G102)</f>
        <v>0</v>
      </c>
      <c r="AW102" s="951">
        <f>_xlfn.SUMIFS(Налоги!AV$25:AV$83,Налоги!$F$25:$F$83,$F102,Налоги!$AB$25:$AB$83,$G102)</f>
        <v>0</v>
      </c>
      <c r="AX102" s="951">
        <f>_xlfn.SUMIFS(Налоги!AW$25:AW$83,Налоги!$F$25:$F$83,$F102,Налоги!$AB$25:$AB$83,$G102)</f>
        <v>0</v>
      </c>
      <c r="AY102" s="951">
        <f>_xlfn.SUMIFS(Налоги!AX$25:AX$83,Налоги!$F$25:$F$83,$F102,Налоги!$AB$25:$AB$83,$G102)</f>
        <v>0</v>
      </c>
      <c r="AZ102" s="951">
        <f>_xlfn.SUMIFS(Налоги!AY$25:AY$83,Налоги!$F$25:$F$83,$F102,Налоги!$AB$25:$AB$83,$G102)</f>
        <v>0</v>
      </c>
      <c r="BA102" s="951">
        <f>_xlfn.SUMIFS(Налоги!AZ$25:AZ$83,Налоги!$F$25:$F$83,$F102,Налоги!$AB$25:$AB$83,$G102)</f>
        <v>0</v>
      </c>
      <c r="BB102" s="951">
        <f>_xlfn.SUMIFS(Налоги!BA$25:BA$83,Налоги!$F$25:$F$83,$F102,Налоги!$AB$25:$AB$83,$G102)</f>
        <v>0</v>
      </c>
      <c r="BC102" s="951">
        <f>_xlfn.SUMIFS(Налоги!BB$25:BB$83,Налоги!$F$25:$F$83,$F102,Налоги!$AB$25:$AB$83,$G102)</f>
        <v>0</v>
      </c>
      <c r="BD102" s="951">
        <f>IF(AI102=0,0,(AT102-AI102)/AI102*100)</f>
        <v>0</v>
      </c>
      <c r="BE102" s="951">
        <f>IF(AT102=0,0,(AU102-AT102)/AT102*100)</f>
        <v>0</v>
      </c>
      <c r="BF102" s="951">
        <f>IF(AU102=0,0,(AV102-AU102)/AU102*100)</f>
        <v>0</v>
      </c>
      <c r="BG102" s="951">
        <f>IF(AV102=0,0,(AW102-AV102)/AV102*100)</f>
        <v>0</v>
      </c>
      <c r="BH102" s="951">
        <f>IF(AW102=0,0,(AX102-AW102)/AW102*100)</f>
        <v>0</v>
      </c>
      <c r="BI102" s="951">
        <f>IF(AX102=0,0,(AY102-AX102)/AX102*100)</f>
        <v>0</v>
      </c>
      <c r="BJ102" s="951">
        <f>IF(AY102=0,0,(AZ102-AY102)/AY102*100)</f>
        <v>0</v>
      </c>
      <c r="BK102" s="951">
        <f>IF(AZ102=0,0,(BA102-AZ102)/AZ102*100)</f>
        <v>0</v>
      </c>
      <c r="BL102" s="951">
        <f>IF(BA102=0,0,(BB102-BA102)/BA102*100)</f>
        <v>0</v>
      </c>
      <c r="BM102" s="951">
        <f>IF(BB102=0,0,(BC102-BB102)/BB102*100)</f>
        <v>0</v>
      </c>
      <c r="BN102" s="1275"/>
      <c r="BO102" s="1273" t="str">
        <f>IF(_xlfn.IFERROR(INDEX(Налоги!$K$26:$L$83,MATCH($F102&amp;"10komm",Налоги!$K$26:$K$83,0),2),"")=0,"",_xlfn.IFERROR(INDEX(Налоги!$K$26:$L$83,MATCH($F102&amp;"10komm",Налоги!$K$26:$K$83,0),2),""))</f>
        <v/>
      </c>
      <c r="BP102" s="1275"/>
      <c r="BQ102" s="1297"/>
      <c r="BR102" s="1297"/>
      <c r="BS102" s="1072" t="s">
        <v>2340</v>
      </c>
      <c r="BT102" s="1072"/>
      <c r="BU102" s="1072"/>
      <c r="BV102" s="987"/>
      <c r="BW102" s="987"/>
    </row>
    <row customHeight="1" ht="65.8125" hidden="1">
      <c r="A103" s="1297"/>
      <c r="B103" s="986"/>
      <c r="C103" s="1297"/>
      <c r="D103" s="1297"/>
      <c r="E103" s="709">
        <v>67.5</v>
      </c>
      <c r="F103" s="50" cm="1" t="str">
        <f t="array" ref="F103:F103">OFFSET(E103,-1,1)</f>
        <v>0</v>
      </c>
      <c r="G103" s="154" t="s">
        <v>1670</v>
      </c>
      <c r="H103" s="1297"/>
      <c r="I103" s="154" t="s">
        <v>1089</v>
      </c>
      <c r="J103" s="1297"/>
      <c r="K103" s="154" t="s">
        <v>1089</v>
      </c>
      <c r="L103" s="988"/>
      <c r="M103" s="103"/>
      <c r="N103" s="1297"/>
      <c r="O103" s="1297"/>
      <c r="P103" s="1297"/>
      <c r="Q103" s="1297"/>
      <c r="R103" s="1297"/>
      <c r="S103" s="1297"/>
      <c r="T103" s="468" cm="1" t="str">
        <f t="array" ref="T103:T103">T102</f>
        <v>false</v>
      </c>
      <c r="U103" s="1297"/>
      <c r="V103" s="1297"/>
      <c r="W103" s="1297"/>
      <c r="X103" s="1539"/>
      <c r="Y103" s="1297"/>
      <c r="Z103" s="1529"/>
      <c r="AA103" s="1297"/>
      <c r="AB103" s="295" t="s">
        <v>1090</v>
      </c>
      <c r="AC103" s="789" t="s">
        <v>1673</v>
      </c>
      <c r="AD103" s="296" t="s">
        <v>936</v>
      </c>
      <c r="AE103" s="1276"/>
      <c r="AF103" s="1276"/>
      <c r="AG103" s="1276"/>
      <c r="AH103" s="951">
        <f>AG103-AF103</f>
        <v>0</v>
      </c>
      <c r="AI103" s="1277"/>
      <c r="AJ103" s="1277"/>
      <c r="AK103" s="1277"/>
      <c r="AL103" s="1277"/>
      <c r="AM103" s="1277"/>
      <c r="AN103" s="1277"/>
      <c r="AO103" s="1277"/>
      <c r="AP103" s="1277"/>
      <c r="AQ103" s="1277"/>
      <c r="AR103" s="1277"/>
      <c r="AS103" s="1277"/>
      <c r="AT103" s="1277"/>
      <c r="AU103" s="1277"/>
      <c r="AV103" s="1277"/>
      <c r="AW103" s="1277"/>
      <c r="AX103" s="1277"/>
      <c r="AY103" s="1277"/>
      <c r="AZ103" s="1277"/>
      <c r="BA103" s="1277"/>
      <c r="BB103" s="1277"/>
      <c r="BC103" s="1277"/>
      <c r="BD103" s="951">
        <f>IF(AI103=0,0,(AT103-AI103)/AI103*100)</f>
        <v>0</v>
      </c>
      <c r="BE103" s="951">
        <f>IF(AT103=0,0,(AU103-AT103)/AT103*100)</f>
        <v>0</v>
      </c>
      <c r="BF103" s="951">
        <f>IF(AU103=0,0,(AV103-AU103)/AU103*100)</f>
        <v>0</v>
      </c>
      <c r="BG103" s="951">
        <f>IF(AV103=0,0,(AW103-AV103)/AV103*100)</f>
        <v>0</v>
      </c>
      <c r="BH103" s="951">
        <f>IF(AW103=0,0,(AX103-AW103)/AW103*100)</f>
        <v>0</v>
      </c>
      <c r="BI103" s="951">
        <f>IF(AX103=0,0,(AY103-AX103)/AX103*100)</f>
        <v>0</v>
      </c>
      <c r="BJ103" s="951">
        <f>IF(AY103=0,0,(AZ103-AY103)/AY103*100)</f>
        <v>0</v>
      </c>
      <c r="BK103" s="951">
        <f>IF(AZ103=0,0,(BA103-AZ103)/AZ103*100)</f>
        <v>0</v>
      </c>
      <c r="BL103" s="951">
        <f>IF(BA103=0,0,(BB103-BA103)/BA103*100)</f>
        <v>0</v>
      </c>
      <c r="BM103" s="951">
        <f>IF(BB103=0,0,(BC103-BB103)/BB103*100)</f>
        <v>0</v>
      </c>
      <c r="BN103" s="1275"/>
      <c r="BO103" s="1275"/>
      <c r="BP103" s="1275"/>
      <c r="BQ103" s="1297"/>
      <c r="BR103" s="1297"/>
      <c r="BS103" s="1072" t="s">
        <v>2341</v>
      </c>
      <c r="BT103" s="1072"/>
      <c r="BU103" s="1072"/>
      <c r="BV103" s="987"/>
      <c r="BW103" s="987"/>
    </row>
    <row customHeight="1" ht="14.625" hidden="1">
      <c r="A104" s="1297"/>
      <c r="B104" s="986"/>
      <c r="C104" s="1297"/>
      <c r="D104" s="1297"/>
      <c r="E104" s="709">
        <v>15</v>
      </c>
      <c r="F104" s="50" cm="1" t="str">
        <f t="array" ref="F104:F104">OFFSET(E104,-1,1)</f>
        <v>0</v>
      </c>
      <c r="G104" s="154" t="s">
        <v>1192</v>
      </c>
      <c r="H104" s="1297"/>
      <c r="I104" s="154" t="s">
        <v>1092</v>
      </c>
      <c r="J104" s="1297"/>
      <c r="K104" s="154" t="s">
        <v>1092</v>
      </c>
      <c r="L104" s="988" t="s">
        <v>616</v>
      </c>
      <c r="M104" s="103"/>
      <c r="N104" s="1297"/>
      <c r="O104" s="1297"/>
      <c r="P104" s="1297"/>
      <c r="Q104" s="1297"/>
      <c r="R104" s="1297"/>
      <c r="S104" s="1297"/>
      <c r="T104" s="468" cm="1" t="str">
        <f t="array" ref="T104:T104">T103</f>
        <v>false</v>
      </c>
      <c r="U104" s="1297"/>
      <c r="V104" s="1297"/>
      <c r="W104" s="1297"/>
      <c r="X104" s="1539"/>
      <c r="Y104" s="1297"/>
      <c r="Z104" s="1529"/>
      <c r="AA104" s="1297"/>
      <c r="AB104" s="295" t="s">
        <v>1093</v>
      </c>
      <c r="AC104" s="769" t="s">
        <v>1192</v>
      </c>
      <c r="AD104" s="296" t="s">
        <v>936</v>
      </c>
      <c r="AE104" s="255">
        <f>_xlfn.SUMIFS(Аренда!AE$25:AE$67,Аренда!$F$25:$F$67,$F104,Аренда!$G$25:$G$67,"Арендная и концессионная плата, лизинговые платежи")</f>
        <v>0</v>
      </c>
      <c r="AF104" s="255">
        <f>_xlfn.SUMIFS(Аренда!AF$25:AF$67,Аренда!$F$25:$F$67,$F104,Аренда!$G$25:$G$67,"Арендная и концессионная плата, лизинговые платежи")</f>
        <v>0</v>
      </c>
      <c r="AG104" s="255">
        <f>_xlfn.SUMIFS(Аренда!AG$25:AG$67,Аренда!$F$25:$F$67,$F104,Аренда!$G$25:$G$67,"Арендная и концессионная плата, лизинговые платежи")</f>
        <v>0</v>
      </c>
      <c r="AH104" s="951">
        <f>AG104-AF104</f>
        <v>0</v>
      </c>
      <c r="AI104" s="255">
        <f>_xlfn.SUMIFS(Аренда!AH$25:AH$67,Аренда!$F$25:$F$67,$F104,Аренда!$G$25:$G$67,"Арендная и концессионная плата, лизинговые платежи")</f>
        <v>0</v>
      </c>
      <c r="AJ104" s="255">
        <f>_xlfn.SUMIFS(Аренда!AI$25:AI$67,Аренда!$F$25:$F$67,$F104,Аренда!$G$25:$G$67,"Арендная и концессионная плата, лизинговые платежи")</f>
        <v>0</v>
      </c>
      <c r="AK104" s="255">
        <f>_xlfn.SUMIFS(Аренда!AJ$25:AJ$67,Аренда!$F$25:$F$67,$F104,Аренда!$G$25:$G$67,"Арендная и концессионная плата, лизинговые платежи")</f>
        <v>0</v>
      </c>
      <c r="AL104" s="255">
        <f>_xlfn.SUMIFS(Аренда!AK$25:AK$67,Аренда!$F$25:$F$67,$F104,Аренда!$G$25:$G$67,"Арендная и концессионная плата, лизинговые платежи")</f>
        <v>0</v>
      </c>
      <c r="AM104" s="255">
        <f>_xlfn.SUMIFS(Аренда!AL$25:AL$67,Аренда!$F$25:$F$67,$F104,Аренда!$G$25:$G$67,"Арендная и концессионная плата, лизинговые платежи")</f>
        <v>0</v>
      </c>
      <c r="AN104" s="255">
        <f>_xlfn.SUMIFS(Аренда!AM$25:AM$67,Аренда!$F$25:$F$67,$F104,Аренда!$G$25:$G$67,"Арендная и концессионная плата, лизинговые платежи")</f>
        <v>0</v>
      </c>
      <c r="AO104" s="255">
        <f>_xlfn.SUMIFS(Аренда!AN$25:AN$67,Аренда!$F$25:$F$67,$F104,Аренда!$G$25:$G$67,"Арендная и концессионная плата, лизинговые платежи")</f>
        <v>0</v>
      </c>
      <c r="AP104" s="255">
        <f>_xlfn.SUMIFS(Аренда!AO$25:AO$67,Аренда!$F$25:$F$67,$F104,Аренда!$G$25:$G$67,"Арендная и концессионная плата, лизинговые платежи")</f>
        <v>0</v>
      </c>
      <c r="AQ104" s="255">
        <f>_xlfn.SUMIFS(Аренда!AP$25:AP$67,Аренда!$F$25:$F$67,$F104,Аренда!$G$25:$G$67,"Арендная и концессионная плата, лизинговые платежи")</f>
        <v>0</v>
      </c>
      <c r="AR104" s="255">
        <f>_xlfn.SUMIFS(Аренда!AQ$25:AQ$67,Аренда!$F$25:$F$67,$F104,Аренда!$G$25:$G$67,"Арендная и концессионная плата, лизинговые платежи")</f>
        <v>0</v>
      </c>
      <c r="AS104" s="255">
        <f>_xlfn.SUMIFS(Аренда!AR$25:AR$67,Аренда!$F$25:$F$67,$F104,Аренда!$G$25:$G$67,"Арендная и концессионная плата, лизинговые платежи")</f>
        <v>0</v>
      </c>
      <c r="AT104" s="255">
        <f>_xlfn.SUMIFS(Аренда!AS$25:AS$67,Аренда!$F$25:$F$67,$F104,Аренда!$G$25:$G$67,"Арендная и концессионная плата, лизинговые платежи")</f>
        <v>0</v>
      </c>
      <c r="AU104" s="255">
        <f>_xlfn.SUMIFS(Аренда!AT$25:AT$67,Аренда!$F$25:$F$67,$F104,Аренда!$G$25:$G$67,"Арендная и концессионная плата, лизинговые платежи")</f>
        <v>0</v>
      </c>
      <c r="AV104" s="255">
        <f>_xlfn.SUMIFS(Аренда!AU$25:AU$67,Аренда!$F$25:$F$67,$F104,Аренда!$G$25:$G$67,"Арендная и концессионная плата, лизинговые платежи")</f>
        <v>0</v>
      </c>
      <c r="AW104" s="255">
        <f>_xlfn.SUMIFS(Аренда!AV$25:AV$67,Аренда!$F$25:$F$67,$F104,Аренда!$G$25:$G$67,"Арендная и концессионная плата, лизинговые платежи")</f>
        <v>0</v>
      </c>
      <c r="AX104" s="255">
        <f>_xlfn.SUMIFS(Аренда!AW$25:AW$67,Аренда!$F$25:$F$67,$F104,Аренда!$G$25:$G$67,"Арендная и концессионная плата, лизинговые платежи")</f>
        <v>0</v>
      </c>
      <c r="AY104" s="255">
        <f>_xlfn.SUMIFS(Аренда!AX$25:AX$67,Аренда!$F$25:$F$67,$F104,Аренда!$G$25:$G$67,"Арендная и концессионная плата, лизинговые платежи")</f>
        <v>0</v>
      </c>
      <c r="AZ104" s="255">
        <f>_xlfn.SUMIFS(Аренда!AY$25:AY$67,Аренда!$F$25:$F$67,$F104,Аренда!$G$25:$G$67,"Арендная и концессионная плата, лизинговые платежи")</f>
        <v>0</v>
      </c>
      <c r="BA104" s="255">
        <f>_xlfn.SUMIFS(Аренда!AZ$25:AZ$67,Аренда!$F$25:$F$67,$F104,Аренда!$G$25:$G$67,"Арендная и концессионная плата, лизинговые платежи")</f>
        <v>0</v>
      </c>
      <c r="BB104" s="255">
        <f>_xlfn.SUMIFS(Аренда!BA$25:BA$67,Аренда!$F$25:$F$67,$F104,Аренда!$G$25:$G$67,"Арендная и концессионная плата, лизинговые платежи")</f>
        <v>0</v>
      </c>
      <c r="BC104" s="255">
        <f>_xlfn.SUMIFS(Аренда!BB$25:BB$67,Аренда!$F$25:$F$67,$F104,Аренда!$G$25:$G$67,"Арендная и концессионная плата, лизинговые платежи")</f>
        <v>0</v>
      </c>
      <c r="BD104" s="951">
        <f>IF(AI104=0,0,(AT104-AI104)/AI104*100)</f>
        <v>0</v>
      </c>
      <c r="BE104" s="951">
        <f>IF(AT104=0,0,(AU104-AT104)/AT104*100)</f>
        <v>0</v>
      </c>
      <c r="BF104" s="951">
        <f>IF(AU104=0,0,(AV104-AU104)/AU104*100)</f>
        <v>0</v>
      </c>
      <c r="BG104" s="951">
        <f>IF(AV104=0,0,(AW104-AV104)/AV104*100)</f>
        <v>0</v>
      </c>
      <c r="BH104" s="951">
        <f>IF(AW104=0,0,(AX104-AW104)/AW104*100)</f>
        <v>0</v>
      </c>
      <c r="BI104" s="951">
        <f>IF(AX104=0,0,(AY104-AX104)/AX104*100)</f>
        <v>0</v>
      </c>
      <c r="BJ104" s="951">
        <f>IF(AY104=0,0,(AZ104-AY104)/AY104*100)</f>
        <v>0</v>
      </c>
      <c r="BK104" s="951">
        <f>IF(AZ104=0,0,(BA104-AZ104)/AZ104*100)</f>
        <v>0</v>
      </c>
      <c r="BL104" s="951">
        <f>IF(BA104=0,0,(BB104-BA104)/BA104*100)</f>
        <v>0</v>
      </c>
      <c r="BM104" s="951">
        <f>IF(BB104=0,0,(BC104-BB104)/BB104*100)</f>
        <v>0</v>
      </c>
      <c r="BN104" s="1275"/>
      <c r="BO104" s="1278" t="str">
        <f>IF(_xlfn.IFERROR(INDEX(Аренда!$K$26:$L$67,MATCH($F104&amp;"komm",Аренда!$K$26:$K$67,0),2),"")=0,"",_xlfn.IFERROR(INDEX(Аренда!$K$26:$L$67,MATCH($F104&amp;"komm",Аренда!$K$26:$K$67,0),2),""))</f>
        <v/>
      </c>
      <c r="BP104" s="1275"/>
      <c r="BQ104" s="1297"/>
      <c r="BR104" s="1297"/>
      <c r="BS104" s="1072" t="s">
        <v>2342</v>
      </c>
      <c r="BT104" s="1072"/>
      <c r="BU104" s="1072"/>
      <c r="BV104" s="987"/>
      <c r="BW104" s="987"/>
    </row>
    <row customHeight="1" ht="14.625" hidden="1">
      <c r="A105" s="1297"/>
      <c r="B105" s="434">
        <f>STATUS_GO="да"</f>
        <v>0</v>
      </c>
      <c r="C105" s="1297"/>
      <c r="D105" s="1297"/>
      <c r="E105" s="709">
        <v>15</v>
      </c>
      <c r="F105" s="50" cm="1" t="str">
        <f t="array" ref="F105:F105">OFFSET(E105,-1,1)</f>
        <v>0</v>
      </c>
      <c r="G105" s="1297"/>
      <c r="H105" s="1297"/>
      <c r="I105" s="154" t="s">
        <v>2343</v>
      </c>
      <c r="J105" s="1297"/>
      <c r="K105" s="154" t="s">
        <v>2343</v>
      </c>
      <c r="L105" s="988"/>
      <c r="M105" s="103"/>
      <c r="N105" s="1297"/>
      <c r="O105" s="1297"/>
      <c r="P105" s="1297"/>
      <c r="Q105" s="1297"/>
      <c r="R105" s="1297"/>
      <c r="S105" s="1297"/>
      <c r="T105" s="468" cm="1" t="str">
        <f t="array" ref="T105:T105">T104</f>
        <v>false</v>
      </c>
      <c r="U105" s="1297"/>
      <c r="V105" s="1297"/>
      <c r="W105" s="1297"/>
      <c r="X105" s="1539"/>
      <c r="Y105" s="1297"/>
      <c r="Z105" s="1529"/>
      <c r="AA105" s="1297"/>
      <c r="AB105" s="295" t="s">
        <v>1737</v>
      </c>
      <c r="AC105" s="769" t="s">
        <v>2344</v>
      </c>
      <c r="AD105" s="296" t="s">
        <v>936</v>
      </c>
      <c r="AE105" s="1274"/>
      <c r="AF105" s="1274"/>
      <c r="AG105" s="1274"/>
      <c r="AH105" s="951">
        <f>AG105-AF105</f>
        <v>0</v>
      </c>
      <c r="AI105" s="1272"/>
      <c r="AJ105" s="1272"/>
      <c r="AK105" s="1272"/>
      <c r="AL105" s="1272"/>
      <c r="AM105" s="1272"/>
      <c r="AN105" s="1272"/>
      <c r="AO105" s="1272"/>
      <c r="AP105" s="1272"/>
      <c r="AQ105" s="1272"/>
      <c r="AR105" s="1272"/>
      <c r="AS105" s="1272"/>
      <c r="AT105" s="1272"/>
      <c r="AU105" s="1272"/>
      <c r="AV105" s="1272"/>
      <c r="AW105" s="1272"/>
      <c r="AX105" s="1272"/>
      <c r="AY105" s="1272"/>
      <c r="AZ105" s="1272"/>
      <c r="BA105" s="1272"/>
      <c r="BB105" s="1272"/>
      <c r="BC105" s="1272"/>
      <c r="BD105" s="951">
        <f>IF(AI105=0,0,(AT105-AI105)/AI105*100)</f>
        <v>0</v>
      </c>
      <c r="BE105" s="951">
        <f>IF(AT105=0,0,(AU105-AT105)/AT105*100)</f>
        <v>0</v>
      </c>
      <c r="BF105" s="951">
        <f>IF(AU105=0,0,(AV105-AU105)/AU105*100)</f>
        <v>0</v>
      </c>
      <c r="BG105" s="951">
        <f>IF(AV105=0,0,(AW105-AV105)/AV105*100)</f>
        <v>0</v>
      </c>
      <c r="BH105" s="951">
        <f>IF(AW105=0,0,(AX105-AW105)/AW105*100)</f>
        <v>0</v>
      </c>
      <c r="BI105" s="951">
        <f>IF(AX105=0,0,(AY105-AX105)/AX105*100)</f>
        <v>0</v>
      </c>
      <c r="BJ105" s="951">
        <f>IF(AY105=0,0,(AZ105-AY105)/AY105*100)</f>
        <v>0</v>
      </c>
      <c r="BK105" s="951">
        <f>IF(AZ105=0,0,(BA105-AZ105)/AZ105*100)</f>
        <v>0</v>
      </c>
      <c r="BL105" s="951">
        <f>IF(BA105=0,0,(BB105-BA105)/BA105*100)</f>
        <v>0</v>
      </c>
      <c r="BM105" s="951">
        <f>IF(BB105=0,0,(BC105-BB105)/BB105*100)</f>
        <v>0</v>
      </c>
      <c r="BN105" s="1275"/>
      <c r="BO105" s="1275"/>
      <c r="BP105" s="1275"/>
      <c r="BQ105" s="1297"/>
      <c r="BR105" s="1297"/>
      <c r="BS105" s="1072" t="s">
        <v>2345</v>
      </c>
      <c r="BT105" s="1072"/>
      <c r="BU105" s="1072"/>
      <c r="BV105" s="987"/>
      <c r="BW105" s="987"/>
    </row>
    <row customHeight="1" ht="14.625" hidden="1">
      <c r="A106" s="1297"/>
      <c r="B106" s="434">
        <f>STATUS_GO="да"</f>
        <v>0</v>
      </c>
      <c r="C106" s="1297"/>
      <c r="D106" s="1297"/>
      <c r="E106" s="709">
        <v>15</v>
      </c>
      <c r="F106" s="50" cm="1" t="str">
        <f t="array" ref="F106:F106">OFFSET(E106,-1,1)</f>
        <v>0</v>
      </c>
      <c r="G106" s="154" t="s">
        <v>1679</v>
      </c>
      <c r="H106" s="1297"/>
      <c r="I106" s="154" t="s">
        <v>2346</v>
      </c>
      <c r="J106" s="1297"/>
      <c r="K106" s="154" t="s">
        <v>2346</v>
      </c>
      <c r="L106" s="988"/>
      <c r="M106" s="103"/>
      <c r="N106" s="1297"/>
      <c r="O106" s="1297"/>
      <c r="P106" s="1297"/>
      <c r="Q106" s="1297"/>
      <c r="R106" s="1297"/>
      <c r="S106" s="1297"/>
      <c r="T106" s="468" cm="1" t="str">
        <f t="array" ref="T106:T106">T105</f>
        <v>false</v>
      </c>
      <c r="U106" s="1297"/>
      <c r="V106" s="1297"/>
      <c r="W106" s="1297"/>
      <c r="X106" s="1539"/>
      <c r="Y106" s="1297"/>
      <c r="Z106" s="1529"/>
      <c r="AA106" s="1297"/>
      <c r="AB106" s="295" t="s">
        <v>2347</v>
      </c>
      <c r="AC106" s="772" t="s">
        <v>1679</v>
      </c>
      <c r="AD106" s="296" t="s">
        <v>936</v>
      </c>
      <c r="AE106" s="1274"/>
      <c r="AF106" s="1274"/>
      <c r="AG106" s="1274"/>
      <c r="AH106" s="951">
        <f>AG106-AF106</f>
        <v>0</v>
      </c>
      <c r="AI106" s="1272"/>
      <c r="AJ106" s="1272"/>
      <c r="AK106" s="1272"/>
      <c r="AL106" s="1272"/>
      <c r="AM106" s="1272"/>
      <c r="AN106" s="1272"/>
      <c r="AO106" s="1272"/>
      <c r="AP106" s="1272"/>
      <c r="AQ106" s="1272"/>
      <c r="AR106" s="1272"/>
      <c r="AS106" s="1272"/>
      <c r="AT106" s="1272"/>
      <c r="AU106" s="1272"/>
      <c r="AV106" s="1272"/>
      <c r="AW106" s="1272"/>
      <c r="AX106" s="1272"/>
      <c r="AY106" s="1272"/>
      <c r="AZ106" s="1272"/>
      <c r="BA106" s="1272"/>
      <c r="BB106" s="1272"/>
      <c r="BC106" s="1272"/>
      <c r="BD106" s="951">
        <f>IF(AI106=0,0,(AT106-AI106)/AI106*100)</f>
        <v>0</v>
      </c>
      <c r="BE106" s="951">
        <f>IF(AT106=0,0,(AU106-AT106)/AT106*100)</f>
        <v>0</v>
      </c>
      <c r="BF106" s="951">
        <f>IF(AU106=0,0,(AV106-AU106)/AU106*100)</f>
        <v>0</v>
      </c>
      <c r="BG106" s="951">
        <f>IF(AV106=0,0,(AW106-AV106)/AV106*100)</f>
        <v>0</v>
      </c>
      <c r="BH106" s="951">
        <f>IF(AW106=0,0,(AX106-AW106)/AW106*100)</f>
        <v>0</v>
      </c>
      <c r="BI106" s="951">
        <f>IF(AX106=0,0,(AY106-AX106)/AX106*100)</f>
        <v>0</v>
      </c>
      <c r="BJ106" s="951">
        <f>IF(AY106=0,0,(AZ106-AY106)/AY106*100)</f>
        <v>0</v>
      </c>
      <c r="BK106" s="951">
        <f>IF(AZ106=0,0,(BA106-AZ106)/AZ106*100)</f>
        <v>0</v>
      </c>
      <c r="BL106" s="951">
        <f>IF(BA106=0,0,(BB106-BA106)/BA106*100)</f>
        <v>0</v>
      </c>
      <c r="BM106" s="951">
        <f>IF(BB106=0,0,(BC106-BB106)/BB106*100)</f>
        <v>0</v>
      </c>
      <c r="BN106" s="1275"/>
      <c r="BO106" s="1278" t="str">
        <f>IF(_xlfn.IFERROR(INDEX('Сбытовые расходы ГО'!$K$26:$M$75,MATCH($F106&amp;"komm",'Сбытовые расходы ГО'!$K$26:$K$75,0),2),"")=0,"",_xlfn.IFERROR(INDEX('Сбытовые расходы ГО'!$K$26:$M$75,MATCH($F106&amp;"komm",'Сбытовые расходы ГО'!$K$26:$K$75,0),2),""))</f>
        <v/>
      </c>
      <c r="BP106" s="1275"/>
      <c r="BQ106" s="1297"/>
      <c r="BR106" s="1297"/>
      <c r="BS106" s="1072" t="s">
        <v>2348</v>
      </c>
      <c r="BT106" s="1072"/>
      <c r="BU106" s="1072"/>
      <c r="BV106" s="987"/>
      <c r="BW106" s="987"/>
    </row>
    <row customHeight="1" ht="14.625" hidden="1">
      <c r="A107" s="1297"/>
      <c r="B107" s="986"/>
      <c r="C107" s="1297"/>
      <c r="D107" s="1297"/>
      <c r="E107" s="709">
        <v>15</v>
      </c>
      <c r="F107" s="50" cm="1" t="str">
        <f t="array" ref="F107:F107">OFFSET(E107,-1,1)</f>
        <v>0</v>
      </c>
      <c r="G107" s="154" t="s">
        <v>1684</v>
      </c>
      <c r="H107" s="1297"/>
      <c r="I107" s="154" t="s">
        <v>2349</v>
      </c>
      <c r="J107" s="1297"/>
      <c r="K107" s="154" t="s">
        <v>2349</v>
      </c>
      <c r="L107" s="988"/>
      <c r="M107" s="103"/>
      <c r="N107" s="1297"/>
      <c r="O107" s="1297"/>
      <c r="P107" s="1297"/>
      <c r="Q107" s="1297"/>
      <c r="R107" s="1297"/>
      <c r="S107" s="1297"/>
      <c r="T107" s="468" cm="1" t="str">
        <f t="array" ref="T107:T107">T106</f>
        <v>false</v>
      </c>
      <c r="U107" s="1297"/>
      <c r="V107" s="1297"/>
      <c r="W107" s="1297"/>
      <c r="X107" s="1539"/>
      <c r="Y107" s="1297"/>
      <c r="Z107" s="1529"/>
      <c r="AA107" s="1297"/>
      <c r="AB107" s="295" t="s">
        <v>1742</v>
      </c>
      <c r="AC107" s="769" t="s">
        <v>1684</v>
      </c>
      <c r="AD107" s="296" t="s">
        <v>936</v>
      </c>
      <c r="AE107" s="1274"/>
      <c r="AF107" s="1274"/>
      <c r="AG107" s="1274"/>
      <c r="AH107" s="951">
        <f>AG107-AF107</f>
        <v>0</v>
      </c>
      <c r="AI107" s="1272"/>
      <c r="AJ107" s="1272">
        <f>_xlfn.SUMIFS(Экономия_корр!AE$25:AE$59,Экономия_корр!$F$25:$F$59,$F107,Экономия_корр!$AC$25:$AC$59,"Экономия расходов с учетом ИПЦ")</f>
        <v>0</v>
      </c>
      <c r="AK107" s="1272">
        <f>_xlfn.SUMIFS(Экономия_корр!AF$25:AF$59,Экономия_корр!$F$25:$F$59,$F107,Экономия_корр!$AC$25:$AC$59,"Экономия расходов с учетом ИПЦ")</f>
        <v>0</v>
      </c>
      <c r="AL107" s="1272">
        <f>_xlfn.SUMIFS(Экономия_корр!AG$25:AG$59,Экономия_корр!$F$25:$F$59,$F107,Экономия_корр!$AC$25:$AC$59,"Экономия расходов с учетом ИПЦ")</f>
        <v>0</v>
      </c>
      <c r="AM107" s="1272">
        <f>_xlfn.SUMIFS(Экономия_корр!AH$25:AH$59,Экономия_корр!$F$25:$F$59,$F107,Экономия_корр!$AC$25:$AC$59,"Экономия расходов с учетом ИПЦ")</f>
        <v>0</v>
      </c>
      <c r="AN107" s="1272">
        <f>_xlfn.SUMIFS(Экономия_корр!AI$25:AI$59,Экономия_корр!$F$25:$F$59,$F107,Экономия_корр!$AC$25:$AC$59,"Экономия расходов с учетом ИПЦ")</f>
        <v>0</v>
      </c>
      <c r="AO107" s="1272">
        <f>_xlfn.SUMIFS(Экономия_корр!AJ$25:AJ$59,Экономия_корр!$F$25:$F$59,$F107,Экономия_корр!$AC$25:$AC$59,"Экономия расходов с учетом ИПЦ")</f>
        <v>0</v>
      </c>
      <c r="AP107" s="1272">
        <f>_xlfn.SUMIFS(Экономия_корр!AK$25:AK$59,Экономия_корр!$F$25:$F$59,$F107,Экономия_корр!$AC$25:$AC$59,"Экономия расходов с учетом ИПЦ")</f>
        <v>0</v>
      </c>
      <c r="AQ107" s="1272">
        <f>_xlfn.SUMIFS(Экономия_корр!AL$25:AL$59,Экономия_корр!$F$25:$F$59,$F107,Экономия_корр!$AC$25:$AC$59,"Экономия расходов с учетом ИПЦ")</f>
        <v>0</v>
      </c>
      <c r="AR107" s="1272">
        <f>_xlfn.SUMIFS(Экономия_корр!AM$25:AM$59,Экономия_корр!$F$25:$F$59,$F107,Экономия_корр!$AC$25:$AC$59,"Экономия расходов с учетом ИПЦ")</f>
        <v>0</v>
      </c>
      <c r="AS107" s="1272">
        <f>_xlfn.SUMIFS(Экономия_корр!AN$25:AN$59,Экономия_корр!$F$25:$F$59,$F107,Экономия_корр!$AC$25:$AC$59,"Экономия расходов с учетом ИПЦ")</f>
        <v>0</v>
      </c>
      <c r="AT107" s="1272">
        <f>_xlfn.SUMIFS(Экономия_корр!AO$25:AO$59,Экономия_корр!$F$25:$F$59,$F107,Экономия_корр!$AC$25:$AC$59,"Экономия расходов с учетом ИПЦ")</f>
        <v>0</v>
      </c>
      <c r="AU107" s="1272">
        <f>_xlfn.SUMIFS(Экономия_корр!AP$25:AP$59,Экономия_корр!$F$25:$F$59,$F107,Экономия_корр!$AC$25:$AC$59,"Экономия расходов с учетом ИПЦ")</f>
        <v>0</v>
      </c>
      <c r="AV107" s="1272">
        <f>_xlfn.SUMIFS(Экономия_корр!AQ$25:AQ$59,Экономия_корр!$F$25:$F$59,$F107,Экономия_корр!$AC$25:$AC$59,"Экономия расходов с учетом ИПЦ")</f>
        <v>0</v>
      </c>
      <c r="AW107" s="1272">
        <f>_xlfn.SUMIFS(Экономия_корр!AR$25:AR$59,Экономия_корр!$F$25:$F$59,$F107,Экономия_корр!$AC$25:$AC$59,"Экономия расходов с учетом ИПЦ")</f>
        <v>0</v>
      </c>
      <c r="AX107" s="1272">
        <f>_xlfn.SUMIFS(Экономия_корр!AS$25:AS$59,Экономия_корр!$F$25:$F$59,$F107,Экономия_корр!$AC$25:$AC$59,"Экономия расходов с учетом ИПЦ")</f>
        <v>0</v>
      </c>
      <c r="AY107" s="1272">
        <f>_xlfn.SUMIFS(Экономия_корр!AT$25:AT$59,Экономия_корр!$F$25:$F$59,$F107,Экономия_корр!$AC$25:$AC$59,"Экономия расходов с учетом ИПЦ")</f>
        <v>0</v>
      </c>
      <c r="AZ107" s="1272">
        <f>_xlfn.SUMIFS(Экономия_корр!AU$25:AU$59,Экономия_корр!$F$25:$F$59,$F107,Экономия_корр!$AC$25:$AC$59,"Экономия расходов с учетом ИПЦ")</f>
        <v>0</v>
      </c>
      <c r="BA107" s="1272">
        <f>_xlfn.SUMIFS(Экономия_корр!AV$25:AV$59,Экономия_корр!$F$25:$F$59,$F107,Экономия_корр!$AC$25:$AC$59,"Экономия расходов с учетом ИПЦ")</f>
        <v>0</v>
      </c>
      <c r="BB107" s="1272">
        <f>_xlfn.SUMIFS(Экономия_корр!AW$25:AW$59,Экономия_корр!$F$25:$F$59,$F107,Экономия_корр!$AC$25:$AC$59,"Экономия расходов с учетом ИПЦ")</f>
        <v>0</v>
      </c>
      <c r="BC107" s="1272">
        <f>_xlfn.SUMIFS(Экономия_корр!AX$25:AX$59,Экономия_корр!$F$25:$F$59,$F107,Экономия_корр!$AC$25:$AC$59,"Экономия расходов с учетом ИПЦ")</f>
        <v>0</v>
      </c>
      <c r="BD107" s="951">
        <f>IF(AI107=0,0,(AT107-AI107)/AI107*100)</f>
        <v>0</v>
      </c>
      <c r="BE107" s="951">
        <f>IF(AT107=0,0,(AU107-AT107)/AT107*100)</f>
        <v>0</v>
      </c>
      <c r="BF107" s="951">
        <f>IF(AU107=0,0,(AV107-AU107)/AU107*100)</f>
        <v>0</v>
      </c>
      <c r="BG107" s="951">
        <f>IF(AV107=0,0,(AW107-AV107)/AV107*100)</f>
        <v>0</v>
      </c>
      <c r="BH107" s="951">
        <f>IF(AW107=0,0,(AX107-AW107)/AW107*100)</f>
        <v>0</v>
      </c>
      <c r="BI107" s="951">
        <f>IF(AX107=0,0,(AY107-AX107)/AX107*100)</f>
        <v>0</v>
      </c>
      <c r="BJ107" s="951">
        <f>IF(AY107=0,0,(AZ107-AY107)/AY107*100)</f>
        <v>0</v>
      </c>
      <c r="BK107" s="951">
        <f>IF(AZ107=0,0,(BA107-AZ107)/AZ107*100)</f>
        <v>0</v>
      </c>
      <c r="BL107" s="951">
        <f>IF(BA107=0,0,(BB107-BA107)/BA107*100)</f>
        <v>0</v>
      </c>
      <c r="BM107" s="951">
        <f>IF(BB107=0,0,(BC107-BB107)/BB107*100)</f>
        <v>0</v>
      </c>
      <c r="BN107" s="1275"/>
      <c r="BO107" s="1275"/>
      <c r="BP107" s="1275"/>
      <c r="BQ107" s="1297"/>
      <c r="BR107" s="1297"/>
      <c r="BS107" s="1072" t="s">
        <v>2350</v>
      </c>
      <c r="BT107" s="1072"/>
      <c r="BU107" s="1072"/>
      <c r="BV107" s="987"/>
      <c r="BW107" s="987"/>
    </row>
    <row customHeight="1" ht="14.625" hidden="1">
      <c r="A108" s="1297"/>
      <c r="B108" s="986"/>
      <c r="C108" s="1297"/>
      <c r="D108" s="1297"/>
      <c r="E108" s="709">
        <v>15</v>
      </c>
      <c r="F108" s="50" cm="1" t="str">
        <f t="array" ref="F108:F108">OFFSET(E108,-1,1)</f>
        <v>0</v>
      </c>
      <c r="G108" s="154" t="s">
        <v>1689</v>
      </c>
      <c r="H108" s="1297"/>
      <c r="I108" s="154" t="s">
        <v>2351</v>
      </c>
      <c r="J108" s="1297"/>
      <c r="K108" s="154" t="s">
        <v>2351</v>
      </c>
      <c r="L108" s="988"/>
      <c r="M108" s="103"/>
      <c r="N108" s="1297"/>
      <c r="O108" s="1297"/>
      <c r="P108" s="1297"/>
      <c r="Q108" s="1297"/>
      <c r="R108" s="1297"/>
      <c r="S108" s="1297"/>
      <c r="T108" s="468" cm="1" t="str">
        <f t="array" ref="T108:T108">T107</f>
        <v>false</v>
      </c>
      <c r="U108" s="1297"/>
      <c r="V108" s="1297"/>
      <c r="W108" s="1297"/>
      <c r="X108" s="1539"/>
      <c r="Y108" s="1297"/>
      <c r="Z108" s="1529"/>
      <c r="AA108" s="1297"/>
      <c r="AB108" s="295" t="s">
        <v>2352</v>
      </c>
      <c r="AC108" s="769" t="s">
        <v>1689</v>
      </c>
      <c r="AD108" s="296" t="s">
        <v>936</v>
      </c>
      <c r="AE108" s="1274"/>
      <c r="AF108" s="1274"/>
      <c r="AG108" s="1274"/>
      <c r="AH108" s="951">
        <f>AG108-AF108</f>
        <v>0</v>
      </c>
      <c r="AI108" s="1272"/>
      <c r="AJ108" s="1272"/>
      <c r="AK108" s="1272"/>
      <c r="AL108" s="1272"/>
      <c r="AM108" s="1272"/>
      <c r="AN108" s="1272"/>
      <c r="AO108" s="1272"/>
      <c r="AP108" s="1272"/>
      <c r="AQ108" s="1272"/>
      <c r="AR108" s="1272"/>
      <c r="AS108" s="1272"/>
      <c r="AT108" s="1272"/>
      <c r="AU108" s="1272"/>
      <c r="AV108" s="1272"/>
      <c r="AW108" s="1272"/>
      <c r="AX108" s="1272"/>
      <c r="AY108" s="1272"/>
      <c r="AZ108" s="1272"/>
      <c r="BA108" s="1272"/>
      <c r="BB108" s="1272"/>
      <c r="BC108" s="1272"/>
      <c r="BD108" s="951">
        <f>IF(AI108=0,0,(AT108-AI108)/AI108*100)</f>
        <v>0</v>
      </c>
      <c r="BE108" s="951">
        <f>IF(AT108=0,0,(AU108-AT108)/AT108*100)</f>
        <v>0</v>
      </c>
      <c r="BF108" s="951">
        <f>IF(AU108=0,0,(AV108-AU108)/AU108*100)</f>
        <v>0</v>
      </c>
      <c r="BG108" s="951">
        <f>IF(AV108=0,0,(AW108-AV108)/AV108*100)</f>
        <v>0</v>
      </c>
      <c r="BH108" s="951">
        <f>IF(AW108=0,0,(AX108-AW108)/AW108*100)</f>
        <v>0</v>
      </c>
      <c r="BI108" s="951">
        <f>IF(AX108=0,0,(AY108-AX108)/AX108*100)</f>
        <v>0</v>
      </c>
      <c r="BJ108" s="951">
        <f>IF(AY108=0,0,(AZ108-AY108)/AY108*100)</f>
        <v>0</v>
      </c>
      <c r="BK108" s="951">
        <f>IF(AZ108=0,0,(BA108-AZ108)/AZ108*100)</f>
        <v>0</v>
      </c>
      <c r="BL108" s="951">
        <f>IF(BA108=0,0,(BB108-BA108)/BA108*100)</f>
        <v>0</v>
      </c>
      <c r="BM108" s="951">
        <f>IF(BB108=0,0,(BC108-BB108)/BB108*100)</f>
        <v>0</v>
      </c>
      <c r="BN108" s="1275"/>
      <c r="BO108" s="1275"/>
      <c r="BP108" s="1275"/>
      <c r="BQ108" s="1297"/>
      <c r="BR108" s="1297"/>
      <c r="BS108" s="1072" t="s">
        <v>2089</v>
      </c>
      <c r="BT108" s="1072"/>
      <c r="BU108" s="1072"/>
      <c r="BV108" s="987"/>
      <c r="BW108" s="987"/>
    </row>
    <row customHeight="1" ht="14.625" hidden="1">
      <c r="A109" s="1297"/>
      <c r="B109" s="986"/>
      <c r="C109" s="1297"/>
      <c r="D109" s="1297"/>
      <c r="E109" s="709">
        <v>15</v>
      </c>
      <c r="F109" s="50" cm="1" t="str">
        <f t="array" ref="F109:F109">OFFSET(E109,-1,1)</f>
        <v>0</v>
      </c>
      <c r="G109" s="154" t="s">
        <v>1694</v>
      </c>
      <c r="H109" s="1297"/>
      <c r="I109" s="154" t="s">
        <v>2353</v>
      </c>
      <c r="J109" s="1297"/>
      <c r="K109" s="154" t="s">
        <v>2353</v>
      </c>
      <c r="L109" s="988"/>
      <c r="M109" s="103"/>
      <c r="N109" s="1297"/>
      <c r="O109" s="1297"/>
      <c r="P109" s="1297"/>
      <c r="Q109" s="1297"/>
      <c r="R109" s="1297"/>
      <c r="S109" s="1297"/>
      <c r="T109" s="468" cm="1" t="str">
        <f t="array" ref="T109:T109">T108</f>
        <v>false</v>
      </c>
      <c r="U109" s="1297"/>
      <c r="V109" s="1297"/>
      <c r="W109" s="1297"/>
      <c r="X109" s="1539"/>
      <c r="Y109" s="1297"/>
      <c r="Z109" s="1529"/>
      <c r="AA109" s="1297"/>
      <c r="AB109" s="295" t="s">
        <v>1761</v>
      </c>
      <c r="AC109" s="769" t="s">
        <v>1694</v>
      </c>
      <c r="AD109" s="296" t="s">
        <v>936</v>
      </c>
      <c r="AE109" s="1274"/>
      <c r="AF109" s="1274"/>
      <c r="AG109" s="1274"/>
      <c r="AH109" s="951">
        <f>AG109-AF109</f>
        <v>0</v>
      </c>
      <c r="AI109" s="1272"/>
      <c r="AJ109" s="1272"/>
      <c r="AK109" s="1272"/>
      <c r="AL109" s="1272"/>
      <c r="AM109" s="1272"/>
      <c r="AN109" s="1272"/>
      <c r="AO109" s="1272"/>
      <c r="AP109" s="1272"/>
      <c r="AQ109" s="1272"/>
      <c r="AR109" s="1272"/>
      <c r="AS109" s="1272"/>
      <c r="AT109" s="1272"/>
      <c r="AU109" s="1272"/>
      <c r="AV109" s="1272"/>
      <c r="AW109" s="1272"/>
      <c r="AX109" s="1272"/>
      <c r="AY109" s="1272"/>
      <c r="AZ109" s="1272"/>
      <c r="BA109" s="1272"/>
      <c r="BB109" s="1272"/>
      <c r="BC109" s="1272"/>
      <c r="BD109" s="951">
        <f>IF(AI109=0,0,(AT109-AI109)/AI109*100)</f>
        <v>0</v>
      </c>
      <c r="BE109" s="951">
        <f>IF(AT109=0,0,(AU109-AT109)/AT109*100)</f>
        <v>0</v>
      </c>
      <c r="BF109" s="951">
        <f>IF(AU109=0,0,(AV109-AU109)/AU109*100)</f>
        <v>0</v>
      </c>
      <c r="BG109" s="951">
        <f>IF(AV109=0,0,(AW109-AV109)/AV109*100)</f>
        <v>0</v>
      </c>
      <c r="BH109" s="951">
        <f>IF(AW109=0,0,(AX109-AW109)/AW109*100)</f>
        <v>0</v>
      </c>
      <c r="BI109" s="951">
        <f>IF(AX109=0,0,(AY109-AX109)/AX109*100)</f>
        <v>0</v>
      </c>
      <c r="BJ109" s="951">
        <f>IF(AY109=0,0,(AZ109-AY109)/AY109*100)</f>
        <v>0</v>
      </c>
      <c r="BK109" s="951">
        <f>IF(AZ109=0,0,(BA109-AZ109)/AZ109*100)</f>
        <v>0</v>
      </c>
      <c r="BL109" s="951">
        <f>IF(BA109=0,0,(BB109-BA109)/BA109*100)</f>
        <v>0</v>
      </c>
      <c r="BM109" s="951">
        <f>IF(BB109=0,0,(BC109-BB109)/BB109*100)</f>
        <v>0</v>
      </c>
      <c r="BN109" s="1275"/>
      <c r="BO109" s="1275"/>
      <c r="BP109" s="1275"/>
      <c r="BQ109" s="1297"/>
      <c r="BR109" s="1297"/>
      <c r="BS109" s="1072" t="s">
        <v>2354</v>
      </c>
      <c r="BT109" s="1072"/>
      <c r="BU109" s="1072"/>
      <c r="BV109" s="987"/>
      <c r="BW109" s="987"/>
    </row>
    <row customHeight="1" ht="14.625" hidden="1">
      <c r="A110" s="1297"/>
      <c r="B110" s="986"/>
      <c r="C110" s="1297"/>
      <c r="D110" s="1297"/>
      <c r="E110" s="709">
        <v>15</v>
      </c>
      <c r="F110" s="50" cm="1" t="str">
        <f t="array" ref="F110:F110">OFFSET(E110,-1,1)</f>
        <v>0</v>
      </c>
      <c r="G110" s="154" t="s">
        <v>1699</v>
      </c>
      <c r="H110" s="1297"/>
      <c r="I110" s="154" t="s">
        <v>2355</v>
      </c>
      <c r="J110" s="1297"/>
      <c r="K110" s="154" t="s">
        <v>2355</v>
      </c>
      <c r="L110" s="988"/>
      <c r="M110" s="103"/>
      <c r="N110" s="1297"/>
      <c r="O110" s="1297"/>
      <c r="P110" s="1297"/>
      <c r="Q110" s="1297"/>
      <c r="R110" s="1297"/>
      <c r="S110" s="1297"/>
      <c r="T110" s="468" cm="1" t="str">
        <f t="array" ref="T110:T110">T109</f>
        <v>false</v>
      </c>
      <c r="U110" s="1297"/>
      <c r="V110" s="1297"/>
      <c r="W110" s="1297"/>
      <c r="X110" s="1539"/>
      <c r="Y110" s="1297"/>
      <c r="Z110" s="1529"/>
      <c r="AA110" s="1297"/>
      <c r="AB110" s="295" t="s">
        <v>1765</v>
      </c>
      <c r="AC110" s="769" t="s">
        <v>1699</v>
      </c>
      <c r="AD110" s="296" t="s">
        <v>936</v>
      </c>
      <c r="AE110" s="349">
        <f>SUM(AE111,AE112)</f>
        <v>0</v>
      </c>
      <c r="AF110" s="255">
        <f>SUM(AF111,AF112)</f>
        <v>0</v>
      </c>
      <c r="AG110" s="255">
        <f>SUM(AG111,AG112)</f>
        <v>0</v>
      </c>
      <c r="AH110" s="951">
        <f>AG110-AF110</f>
        <v>0</v>
      </c>
      <c r="AI110" s="951">
        <f>SUM(AI111,AI112)</f>
        <v>0</v>
      </c>
      <c r="AJ110" s="952">
        <f>SUM(AJ111,AJ112)</f>
        <v>0</v>
      </c>
      <c r="AK110" s="951">
        <f>SUM(AK111,AK112)</f>
        <v>0</v>
      </c>
      <c r="AL110" s="951">
        <f>SUM(AL111,AL112)</f>
        <v>0</v>
      </c>
      <c r="AM110" s="951">
        <f>SUM(AM111,AM112)</f>
        <v>0</v>
      </c>
      <c r="AN110" s="951">
        <f>SUM(AN111,AN112)</f>
        <v>0</v>
      </c>
      <c r="AO110" s="951">
        <f>SUM(AO111,AO112)</f>
        <v>0</v>
      </c>
      <c r="AP110" s="951">
        <f>SUM(AP111,AP112)</f>
        <v>0</v>
      </c>
      <c r="AQ110" s="951">
        <f>SUM(AQ111,AQ112)</f>
        <v>0</v>
      </c>
      <c r="AR110" s="951">
        <f>SUM(AR111,AR112)</f>
        <v>0</v>
      </c>
      <c r="AS110" s="951">
        <f>SUM(AS111,AS112)</f>
        <v>0</v>
      </c>
      <c r="AT110" s="952">
        <f>SUM(AT111,AT112)</f>
        <v>0</v>
      </c>
      <c r="AU110" s="951">
        <f>SUM(AU111,AU112)</f>
        <v>0</v>
      </c>
      <c r="AV110" s="951">
        <f>SUM(AV111,AV112)</f>
        <v>0</v>
      </c>
      <c r="AW110" s="951">
        <f>SUM(AW111,AW112)</f>
        <v>0</v>
      </c>
      <c r="AX110" s="951">
        <f>SUM(AX111,AX112)</f>
        <v>0</v>
      </c>
      <c r="AY110" s="951">
        <f>SUM(AY111,AY112)</f>
        <v>0</v>
      </c>
      <c r="AZ110" s="951">
        <f>SUM(AZ111,AZ112)</f>
        <v>0</v>
      </c>
      <c r="BA110" s="951">
        <f>SUM(BA111,BA112)</f>
        <v>0</v>
      </c>
      <c r="BB110" s="951">
        <f>SUM(BB111,BB112)</f>
        <v>0</v>
      </c>
      <c r="BC110" s="951">
        <f>SUM(BC111,BC112)</f>
        <v>0</v>
      </c>
      <c r="BD110" s="951">
        <f>IF(AI110=0,0,(AT110-AI110)/AI110*100)</f>
        <v>0</v>
      </c>
      <c r="BE110" s="951">
        <f>IF(AT110=0,0,(AU110-AT110)/AT110*100)</f>
        <v>0</v>
      </c>
      <c r="BF110" s="951">
        <f>IF(AU110=0,0,(AV110-AU110)/AU110*100)</f>
        <v>0</v>
      </c>
      <c r="BG110" s="951">
        <f>IF(AV110=0,0,(AW110-AV110)/AV110*100)</f>
        <v>0</v>
      </c>
      <c r="BH110" s="951">
        <f>IF(AW110=0,0,(AX110-AW110)/AW110*100)</f>
        <v>0</v>
      </c>
      <c r="BI110" s="951">
        <f>IF(AX110=0,0,(AY110-AX110)/AX110*100)</f>
        <v>0</v>
      </c>
      <c r="BJ110" s="951">
        <f>IF(AY110=0,0,(AZ110-AY110)/AY110*100)</f>
        <v>0</v>
      </c>
      <c r="BK110" s="951">
        <f>IF(AZ110=0,0,(BA110-AZ110)/AZ110*100)</f>
        <v>0</v>
      </c>
      <c r="BL110" s="951">
        <f>IF(BA110=0,0,(BB110-BA110)/BA110*100)</f>
        <v>0</v>
      </c>
      <c r="BM110" s="951">
        <f>IF(BB110=0,0,(BC110-BB110)/BB110*100)</f>
        <v>0</v>
      </c>
      <c r="BN110" s="1275"/>
      <c r="BO110" s="1275"/>
      <c r="BP110" s="1275"/>
      <c r="BQ110" s="1297"/>
      <c r="BR110" s="1297"/>
      <c r="BS110" s="1072" t="s">
        <v>2356</v>
      </c>
      <c r="BT110" s="1072"/>
      <c r="BU110" s="1072"/>
      <c r="BV110" s="987"/>
      <c r="BW110" s="987"/>
    </row>
    <row customHeight="1" ht="14.625" hidden="1">
      <c r="A111" s="1297"/>
      <c r="B111" s="986"/>
      <c r="C111" s="1297"/>
      <c r="D111" s="1297"/>
      <c r="E111" s="709">
        <v>15</v>
      </c>
      <c r="F111" s="50" cm="1" t="str">
        <f t="array" ref="F111:F111">OFFSET(E111,-1,1)</f>
        <v>0</v>
      </c>
      <c r="G111" s="1297"/>
      <c r="H111" s="1297"/>
      <c r="I111" s="154" t="s">
        <v>2357</v>
      </c>
      <c r="J111" s="1297"/>
      <c r="K111" s="154" t="s">
        <v>2357</v>
      </c>
      <c r="L111" s="988"/>
      <c r="M111" s="103"/>
      <c r="N111" s="1297"/>
      <c r="O111" s="1297"/>
      <c r="P111" s="1297"/>
      <c r="Q111" s="1297"/>
      <c r="R111" s="1297"/>
      <c r="S111" s="1297"/>
      <c r="T111" s="468" cm="1" t="str">
        <f t="array" ref="T111:T111">T110</f>
        <v>false</v>
      </c>
      <c r="U111" s="1297"/>
      <c r="V111" s="1297"/>
      <c r="W111" s="1297"/>
      <c r="X111" s="1539"/>
      <c r="Y111" s="1297"/>
      <c r="Z111" s="1529"/>
      <c r="AA111" s="1297"/>
      <c r="AB111" s="295" t="s">
        <v>2358</v>
      </c>
      <c r="AC111" s="772" t="s">
        <v>2359</v>
      </c>
      <c r="AD111" s="296" t="s">
        <v>936</v>
      </c>
      <c r="AE111" s="1274"/>
      <c r="AF111" s="1274"/>
      <c r="AG111" s="1274"/>
      <c r="AH111" s="951">
        <f>AG111-AF111</f>
        <v>0</v>
      </c>
      <c r="AI111" s="1272"/>
      <c r="AJ111" s="1272"/>
      <c r="AK111" s="1272"/>
      <c r="AL111" s="1272"/>
      <c r="AM111" s="1272"/>
      <c r="AN111" s="1272"/>
      <c r="AO111" s="1272"/>
      <c r="AP111" s="1272"/>
      <c r="AQ111" s="1272"/>
      <c r="AR111" s="1272"/>
      <c r="AS111" s="1272"/>
      <c r="AT111" s="1272"/>
      <c r="AU111" s="1272"/>
      <c r="AV111" s="1272"/>
      <c r="AW111" s="1272"/>
      <c r="AX111" s="1272"/>
      <c r="AY111" s="1272"/>
      <c r="AZ111" s="1272"/>
      <c r="BA111" s="1272"/>
      <c r="BB111" s="1272"/>
      <c r="BC111" s="1272"/>
      <c r="BD111" s="951">
        <f>IF(AI111=0,0,(AT111-AI111)/AI111*100)</f>
        <v>0</v>
      </c>
      <c r="BE111" s="951">
        <f>IF(AT111=0,0,(AU111-AT111)/AT111*100)</f>
        <v>0</v>
      </c>
      <c r="BF111" s="951">
        <f>IF(AU111=0,0,(AV111-AU111)/AU111*100)</f>
        <v>0</v>
      </c>
      <c r="BG111" s="951">
        <f>IF(AV111=0,0,(AW111-AV111)/AV111*100)</f>
        <v>0</v>
      </c>
      <c r="BH111" s="951">
        <f>IF(AW111=0,0,(AX111-AW111)/AW111*100)</f>
        <v>0</v>
      </c>
      <c r="BI111" s="951">
        <f>IF(AX111=0,0,(AY111-AX111)/AX111*100)</f>
        <v>0</v>
      </c>
      <c r="BJ111" s="951">
        <f>IF(AY111=0,0,(AZ111-AY111)/AY111*100)</f>
        <v>0</v>
      </c>
      <c r="BK111" s="951">
        <f>IF(AZ111=0,0,(BA111-AZ111)/AZ111*100)</f>
        <v>0</v>
      </c>
      <c r="BL111" s="951">
        <f>IF(BA111=0,0,(BB111-BA111)/BA111*100)</f>
        <v>0</v>
      </c>
      <c r="BM111" s="951">
        <f>IF(BB111=0,0,(BC111-BB111)/BB111*100)</f>
        <v>0</v>
      </c>
      <c r="BN111" s="1275"/>
      <c r="BO111" s="1275"/>
      <c r="BP111" s="1275"/>
      <c r="BQ111" s="1297"/>
      <c r="BR111" s="1297"/>
      <c r="BS111" s="1072" t="s">
        <v>1456</v>
      </c>
      <c r="BT111" s="1072"/>
      <c r="BU111" s="1072"/>
      <c r="BV111" s="987"/>
      <c r="BW111" s="987"/>
    </row>
    <row customHeight="1" ht="14.625" hidden="1">
      <c r="A112" s="1297"/>
      <c r="B112" s="986"/>
      <c r="C112" s="1297"/>
      <c r="D112" s="1297"/>
      <c r="E112" s="709">
        <v>15</v>
      </c>
      <c r="F112" s="50" cm="1" t="str">
        <f t="array" ref="F112:F112">OFFSET(E112,-1,1)</f>
        <v>0</v>
      </c>
      <c r="G112" s="1297"/>
      <c r="H112" s="1297"/>
      <c r="I112" s="154" t="s">
        <v>2360</v>
      </c>
      <c r="J112" s="1297"/>
      <c r="K112" s="154" t="s">
        <v>2360</v>
      </c>
      <c r="L112" s="988" t="s">
        <v>1079</v>
      </c>
      <c r="M112" s="103"/>
      <c r="N112" s="1297"/>
      <c r="O112" s="1297"/>
      <c r="P112" s="1297"/>
      <c r="Q112" s="1297"/>
      <c r="R112" s="1297"/>
      <c r="S112" s="1297"/>
      <c r="T112" s="468" cm="1" t="str">
        <f t="array" ref="T112:T112">T111</f>
        <v>false</v>
      </c>
      <c r="U112" s="1297"/>
      <c r="V112" s="1297"/>
      <c r="W112" s="1297"/>
      <c r="X112" s="1539"/>
      <c r="Y112" s="1297"/>
      <c r="Z112" s="1529"/>
      <c r="AA112" s="1297"/>
      <c r="AB112" s="295" t="s">
        <v>2361</v>
      </c>
      <c r="AC112" s="772" t="s">
        <v>2362</v>
      </c>
      <c r="AD112" s="296" t="s">
        <v>936</v>
      </c>
      <c r="AE112" s="1274"/>
      <c r="AF112" s="1274"/>
      <c r="AG112" s="1274"/>
      <c r="AH112" s="951">
        <f>AG112-AF112</f>
        <v>0</v>
      </c>
      <c r="AI112" s="1272"/>
      <c r="AJ112" s="1272"/>
      <c r="AK112" s="1272"/>
      <c r="AL112" s="1272"/>
      <c r="AM112" s="1272"/>
      <c r="AN112" s="1272"/>
      <c r="AO112" s="1272"/>
      <c r="AP112" s="1272"/>
      <c r="AQ112" s="1272"/>
      <c r="AR112" s="1272"/>
      <c r="AS112" s="1272"/>
      <c r="AT112" s="1272"/>
      <c r="AU112" s="1272"/>
      <c r="AV112" s="1272"/>
      <c r="AW112" s="1272"/>
      <c r="AX112" s="1272"/>
      <c r="AY112" s="1272"/>
      <c r="AZ112" s="1272"/>
      <c r="BA112" s="1272"/>
      <c r="BB112" s="1272"/>
      <c r="BC112" s="1272"/>
      <c r="BD112" s="951">
        <f>IF(AI112=0,0,(AT112-AI112)/AI112*100)</f>
        <v>0</v>
      </c>
      <c r="BE112" s="951">
        <f>IF(AT112=0,0,(AU112-AT112)/AT112*100)</f>
        <v>0</v>
      </c>
      <c r="BF112" s="951">
        <f>IF(AU112=0,0,(AV112-AU112)/AU112*100)</f>
        <v>0</v>
      </c>
      <c r="BG112" s="951">
        <f>IF(AV112=0,0,(AW112-AV112)/AV112*100)</f>
        <v>0</v>
      </c>
      <c r="BH112" s="951">
        <f>IF(AW112=0,0,(AX112-AW112)/AW112*100)</f>
        <v>0</v>
      </c>
      <c r="BI112" s="951">
        <f>IF(AX112=0,0,(AY112-AX112)/AX112*100)</f>
        <v>0</v>
      </c>
      <c r="BJ112" s="951">
        <f>IF(AY112=0,0,(AZ112-AY112)/AY112*100)</f>
        <v>0</v>
      </c>
      <c r="BK112" s="951">
        <f>IF(AZ112=0,0,(BA112-AZ112)/AZ112*100)</f>
        <v>0</v>
      </c>
      <c r="BL112" s="951">
        <f>IF(BA112=0,0,(BB112-BA112)/BA112*100)</f>
        <v>0</v>
      </c>
      <c r="BM112" s="951">
        <f>IF(BB112=0,0,(BC112-BB112)/BB112*100)</f>
        <v>0</v>
      </c>
      <c r="BN112" s="1275"/>
      <c r="BO112" s="1275"/>
      <c r="BP112" s="1275"/>
      <c r="BQ112" s="1297"/>
      <c r="BR112" s="1297"/>
      <c r="BS112" s="1072" t="s">
        <v>2363</v>
      </c>
      <c r="BT112" s="1072"/>
      <c r="BU112" s="1072"/>
      <c r="BV112" s="987"/>
      <c r="BW112" s="987"/>
    </row>
    <row customHeight="1" ht="21.9375" hidden="1">
      <c r="A113" s="1297"/>
      <c r="B113" s="986"/>
      <c r="C113" s="1297"/>
      <c r="D113" s="1297"/>
      <c r="E113" s="709">
        <v>22.5</v>
      </c>
      <c r="F113" s="50" cm="1" t="str">
        <f t="array" ref="F113:F113">OFFSET(E113,-1,1)</f>
        <v>0</v>
      </c>
      <c r="G113" s="154" t="s">
        <v>1704</v>
      </c>
      <c r="H113" s="1297"/>
      <c r="I113" s="154" t="s">
        <v>2364</v>
      </c>
      <c r="J113" s="1297"/>
      <c r="K113" s="154" t="s">
        <v>2364</v>
      </c>
      <c r="L113" s="988"/>
      <c r="M113" s="103"/>
      <c r="N113" s="1297"/>
      <c r="O113" s="1297"/>
      <c r="P113" s="1297"/>
      <c r="Q113" s="1297"/>
      <c r="R113" s="1297"/>
      <c r="S113" s="1297"/>
      <c r="T113" s="468" cm="1" t="str">
        <f t="array" ref="T113:T113">T112</f>
        <v>false</v>
      </c>
      <c r="U113" s="1297"/>
      <c r="V113" s="1297"/>
      <c r="W113" s="1297"/>
      <c r="X113" s="1539"/>
      <c r="Y113" s="1297"/>
      <c r="Z113" s="1529"/>
      <c r="AA113" s="1297"/>
      <c r="AB113" s="295" t="s">
        <v>1768</v>
      </c>
      <c r="AC113" s="769" t="s">
        <v>2365</v>
      </c>
      <c r="AD113" s="296" t="s">
        <v>936</v>
      </c>
      <c r="AE113" s="1274"/>
      <c r="AF113" s="1274"/>
      <c r="AG113" s="1274"/>
      <c r="AH113" s="951">
        <f>AG113-AF113</f>
        <v>0</v>
      </c>
      <c r="AI113" s="1272"/>
      <c r="AJ113" s="1272"/>
      <c r="AK113" s="1272"/>
      <c r="AL113" s="1272"/>
      <c r="AM113" s="1272"/>
      <c r="AN113" s="1272"/>
      <c r="AO113" s="1272"/>
      <c r="AP113" s="1272"/>
      <c r="AQ113" s="1272"/>
      <c r="AR113" s="1272"/>
      <c r="AS113" s="1272"/>
      <c r="AT113" s="1272"/>
      <c r="AU113" s="1272"/>
      <c r="AV113" s="1272"/>
      <c r="AW113" s="1272"/>
      <c r="AX113" s="1272"/>
      <c r="AY113" s="1272"/>
      <c r="AZ113" s="1272"/>
      <c r="BA113" s="1272"/>
      <c r="BB113" s="1272"/>
      <c r="BC113" s="1272"/>
      <c r="BD113" s="951">
        <f>IF(AI113=0,0,(AT113-AI113)/AI113*100)</f>
        <v>0</v>
      </c>
      <c r="BE113" s="951">
        <f>IF(AT113=0,0,(AU113-AT113)/AT113*100)</f>
        <v>0</v>
      </c>
      <c r="BF113" s="951">
        <f>IF(AU113=0,0,(AV113-AU113)/AU113*100)</f>
        <v>0</v>
      </c>
      <c r="BG113" s="951">
        <f>IF(AV113=0,0,(AW113-AV113)/AV113*100)</f>
        <v>0</v>
      </c>
      <c r="BH113" s="951">
        <f>IF(AW113=0,0,(AX113-AW113)/AW113*100)</f>
        <v>0</v>
      </c>
      <c r="BI113" s="951">
        <f>IF(AX113=0,0,(AY113-AX113)/AX113*100)</f>
        <v>0</v>
      </c>
      <c r="BJ113" s="951">
        <f>IF(AY113=0,0,(AZ113-AY113)/AY113*100)</f>
        <v>0</v>
      </c>
      <c r="BK113" s="951">
        <f>IF(AZ113=0,0,(BA113-AZ113)/AZ113*100)</f>
        <v>0</v>
      </c>
      <c r="BL113" s="951">
        <f>IF(BA113=0,0,(BB113-BA113)/BA113*100)</f>
        <v>0</v>
      </c>
      <c r="BM113" s="951">
        <f>IF(BB113=0,0,(BC113-BB113)/BB113*100)</f>
        <v>0</v>
      </c>
      <c r="BN113" s="1275"/>
      <c r="BO113" s="1275"/>
      <c r="BP113" s="1275"/>
      <c r="BQ113" s="1297"/>
      <c r="BR113" s="1297"/>
      <c r="BS113" s="1072" t="s">
        <v>2366</v>
      </c>
      <c r="BT113" s="1072"/>
      <c r="BU113" s="1072"/>
      <c r="BV113" s="987"/>
      <c r="BW113" s="987"/>
    </row>
    <row s="706" customFormat="1" customHeight="1" ht="20.475" hidden="1">
      <c r="A114" s="706"/>
      <c r="B114" s="437"/>
      <c r="C114" s="706"/>
      <c r="D114" s="706"/>
      <c r="E114" s="713">
        <v>21</v>
      </c>
      <c r="F114" s="50" cm="1" t="str">
        <f t="array" ref="F114:F114">OFFSET(E114,-1,1)</f>
        <v>0</v>
      </c>
      <c r="G114" s="154" t="s">
        <v>2367</v>
      </c>
      <c r="H114" s="154"/>
      <c r="I114" s="154" t="s">
        <v>346</v>
      </c>
      <c r="J114" s="706"/>
      <c r="K114" s="154" t="s">
        <v>346</v>
      </c>
      <c r="L114" s="993" t="s">
        <v>1550</v>
      </c>
      <c r="M114" s="105"/>
      <c r="N114" s="706"/>
      <c r="O114" s="706"/>
      <c r="P114" s="706"/>
      <c r="Q114" s="706"/>
      <c r="R114" s="706"/>
      <c r="S114" s="706"/>
      <c r="T114" s="468" cm="1" t="str">
        <f t="array" ref="T114:T114">T113</f>
        <v>false</v>
      </c>
      <c r="U114" s="706"/>
      <c r="V114" s="706"/>
      <c r="W114" s="706"/>
      <c r="X114" s="1539"/>
      <c r="Y114" s="706"/>
      <c r="Z114" s="1529"/>
      <c r="AA114" s="706"/>
      <c r="AB114" s="214" t="s">
        <v>234</v>
      </c>
      <c r="AC114" s="208" t="s">
        <v>2368</v>
      </c>
      <c r="AD114" s="207" t="s">
        <v>936</v>
      </c>
      <c r="AE114" s="785">
        <f>_xlfn.SUMIFS(ЭЭ!AE$25:AE$175,ЭЭ!$F$25:$F$175,$F114,ЭЭ!$AC$25:$AC$175,"Всего по тарифу")</f>
        <v>0</v>
      </c>
      <c r="AF114" s="785">
        <f>_xlfn.SUMIFS(ЭЭ!AF$25:AF$175,ЭЭ!$F$25:$F$175,$F114,ЭЭ!$AC$25:$AC$175,"Всего по тарифу")</f>
        <v>0</v>
      </c>
      <c r="AG114" s="785">
        <f>_xlfn.SUMIFS(ЭЭ!AG$25:AG$175,ЭЭ!$F$25:$F$175,$F114,ЭЭ!$AC$25:$AC$175,"Всего по тарифу")</f>
        <v>0</v>
      </c>
      <c r="AH114" s="768">
        <f>AG114-AF114</f>
        <v>0</v>
      </c>
      <c r="AI114" s="768">
        <f>_xlfn.SUMIFS(ЭЭ!AH$25:AH$175,ЭЭ!$F$25:$F$175,$F114,ЭЭ!$AC$25:$AC$175,"Всего по тарифу")</f>
        <v>0</v>
      </c>
      <c r="AJ114" s="768">
        <f>_xlfn.SUMIFS(ЭЭ!AI$25:AI$175,ЭЭ!$F$25:$F$175,$F114,ЭЭ!$AC$25:$AC$175,"Всего по тарифу")</f>
        <v>0</v>
      </c>
      <c r="AK114" s="768">
        <f>_xlfn.SUMIFS(ЭЭ!AJ$25:AJ$175,ЭЭ!$F$25:$F$175,$F114,ЭЭ!$AC$25:$AC$175,"Всего по тарифу")</f>
        <v>0</v>
      </c>
      <c r="AL114" s="768">
        <f>_xlfn.SUMIFS(ЭЭ!AK$25:AK$175,ЭЭ!$F$25:$F$175,$F114,ЭЭ!$AC$25:$AC$175,"Всего по тарифу")</f>
        <v>0</v>
      </c>
      <c r="AM114" s="768">
        <f>_xlfn.SUMIFS(ЭЭ!AL$25:AL$175,ЭЭ!$F$25:$F$175,$F114,ЭЭ!$AC$25:$AC$175,"Всего по тарифу")</f>
        <v>0</v>
      </c>
      <c r="AN114" s="768">
        <f>_xlfn.SUMIFS(ЭЭ!AM$25:AM$175,ЭЭ!$F$25:$F$175,$F114,ЭЭ!$AC$25:$AC$175,"Всего по тарифу")</f>
        <v>0</v>
      </c>
      <c r="AO114" s="768">
        <f>_xlfn.SUMIFS(ЭЭ!AN$25:AN$175,ЭЭ!$F$25:$F$175,$F114,ЭЭ!$AC$25:$AC$175,"Всего по тарифу")</f>
        <v>0</v>
      </c>
      <c r="AP114" s="768">
        <f>_xlfn.SUMIFS(ЭЭ!AO$25:AO$175,ЭЭ!$F$25:$F$175,$F114,ЭЭ!$AC$25:$AC$175,"Всего по тарифу")</f>
        <v>0</v>
      </c>
      <c r="AQ114" s="768">
        <f>_xlfn.SUMIFS(ЭЭ!AP$25:AP$175,ЭЭ!$F$25:$F$175,$F114,ЭЭ!$AC$25:$AC$175,"Всего по тарифу")</f>
        <v>0</v>
      </c>
      <c r="AR114" s="768">
        <f>_xlfn.SUMIFS(ЭЭ!AQ$25:AQ$175,ЭЭ!$F$25:$F$175,$F114,ЭЭ!$AC$25:$AC$175,"Всего по тарифу")</f>
        <v>0</v>
      </c>
      <c r="AS114" s="768">
        <f>_xlfn.SUMIFS(ЭЭ!AR$25:AR$175,ЭЭ!$F$25:$F$175,$F114,ЭЭ!$AC$25:$AC$175,"Всего по тарифу")</f>
        <v>0</v>
      </c>
      <c r="AT114" s="768">
        <f>_xlfn.SUMIFS(ЭЭ!AS$25:AS$175,ЭЭ!$F$25:$F$175,$F114,ЭЭ!$AC$25:$AC$175,"Всего по тарифу")</f>
        <v>0</v>
      </c>
      <c r="AU114" s="768">
        <f>_xlfn.SUMIFS(ЭЭ!AT$25:AT$175,ЭЭ!$F$25:$F$175,$F114,ЭЭ!$AC$25:$AC$175,"Всего по тарифу")</f>
        <v>0</v>
      </c>
      <c r="AV114" s="768">
        <f>_xlfn.SUMIFS(ЭЭ!AU$25:AU$175,ЭЭ!$F$25:$F$175,$F114,ЭЭ!$AC$25:$AC$175,"Всего по тарифу")</f>
        <v>0</v>
      </c>
      <c r="AW114" s="768">
        <f>_xlfn.SUMIFS(ЭЭ!AV$25:AV$175,ЭЭ!$F$25:$F$175,$F114,ЭЭ!$AC$25:$AC$175,"Всего по тарифу")</f>
        <v>0</v>
      </c>
      <c r="AX114" s="768">
        <f>_xlfn.SUMIFS(ЭЭ!AW$25:AW$175,ЭЭ!$F$25:$F$175,$F114,ЭЭ!$AC$25:$AC$175,"Всего по тарифу")</f>
        <v>0</v>
      </c>
      <c r="AY114" s="768">
        <f>_xlfn.SUMIFS(ЭЭ!AX$25:AX$175,ЭЭ!$F$25:$F$175,$F114,ЭЭ!$AC$25:$AC$175,"Всего по тарифу")</f>
        <v>0</v>
      </c>
      <c r="AZ114" s="768">
        <f>_xlfn.SUMIFS(ЭЭ!AY$25:AY$175,ЭЭ!$F$25:$F$175,$F114,ЭЭ!$AC$25:$AC$175,"Всего по тарифу")</f>
        <v>0</v>
      </c>
      <c r="BA114" s="768">
        <f>_xlfn.SUMIFS(ЭЭ!AZ$25:AZ$175,ЭЭ!$F$25:$F$175,$F114,ЭЭ!$AC$25:$AC$175,"Всего по тарифу")</f>
        <v>0</v>
      </c>
      <c r="BB114" s="768">
        <f>_xlfn.SUMIFS(ЭЭ!BA$25:BA$175,ЭЭ!$F$25:$F$175,$F114,ЭЭ!$AC$25:$AC$175,"Всего по тарифу")</f>
        <v>0</v>
      </c>
      <c r="BC114" s="768">
        <f>_xlfn.SUMIFS(ЭЭ!BB$25:BB$175,ЭЭ!$F$25:$F$175,$F114,ЭЭ!$AC$25:$AC$175,"Всего по тарифу")</f>
        <v>0</v>
      </c>
      <c r="BD114" s="768">
        <f>IF(AI114=0,0,(AT114-AI114)/AI114*100)</f>
        <v>0</v>
      </c>
      <c r="BE114" s="768">
        <f>IF(AT114=0,0,(AU114-AT114)/AT114*100)</f>
        <v>0</v>
      </c>
      <c r="BF114" s="768">
        <f>IF(AU114=0,0,(AV114-AU114)/AU114*100)</f>
        <v>0</v>
      </c>
      <c r="BG114" s="768">
        <f>IF(AV114=0,0,(AW114-AV114)/AV114*100)</f>
        <v>0</v>
      </c>
      <c r="BH114" s="768">
        <f>IF(AW114=0,0,(AX114-AW114)/AW114*100)</f>
        <v>0</v>
      </c>
      <c r="BI114" s="768">
        <f>IF(AX114=0,0,(AY114-AX114)/AX114*100)</f>
        <v>0</v>
      </c>
      <c r="BJ114" s="768">
        <f>IF(AY114=0,0,(AZ114-AY114)/AY114*100)</f>
        <v>0</v>
      </c>
      <c r="BK114" s="768">
        <f>IF(AZ114=0,0,(BA114-AZ114)/AZ114*100)</f>
        <v>0</v>
      </c>
      <c r="BL114" s="768">
        <f>IF(BA114=0,0,(BB114-BA114)/BA114*100)</f>
        <v>0</v>
      </c>
      <c r="BM114" s="768">
        <f>IF(BB114=0,0,(BC114-BB114)/BB114*100)</f>
        <v>0</v>
      </c>
      <c r="BN114" s="1275"/>
      <c r="BO114" s="1278" t="str">
        <f>IF(_xlfn.IFERROR(INDEX(ЭЭ!$K$26:$L$175,MATCH($F114&amp;"komm",ЭЭ!$K$26:$K$175,0),2),"")=0,"",_xlfn.IFERROR(INDEX(ЭЭ!$K$26:$L$175,MATCH($F114&amp;"komm",ЭЭ!$K$26:$K$175,0),2),""))</f>
        <v/>
      </c>
      <c r="BP114" s="1275"/>
      <c r="BQ114" s="706"/>
      <c r="BR114" s="706"/>
      <c r="BS114" s="1078" t="s">
        <v>1984</v>
      </c>
      <c r="BT114" s="1078"/>
      <c r="BU114" s="1078"/>
      <c r="BV114" s="713"/>
      <c r="BW114" s="713"/>
    </row>
    <row s="706" customFormat="1" customHeight="1" ht="21.9375" hidden="1">
      <c r="A115" s="706"/>
      <c r="B115" s="158">
        <f>method_reg="Метод индексации"</f>
        <v>1</v>
      </c>
      <c r="C115" s="706"/>
      <c r="D115" s="706"/>
      <c r="E115" s="713">
        <v>22.5</v>
      </c>
      <c r="F115" s="50" cm="1" t="str">
        <f t="array" ref="F115:F115">OFFSET(E115,-1,1)</f>
        <v>0</v>
      </c>
      <c r="G115" s="154" t="s">
        <v>1726</v>
      </c>
      <c r="H115" s="154"/>
      <c r="I115" s="154" t="s">
        <v>348</v>
      </c>
      <c r="J115" s="706"/>
      <c r="K115" s="154" t="s">
        <v>348</v>
      </c>
      <c r="L115" s="993" t="s">
        <v>347</v>
      </c>
      <c r="M115" s="105"/>
      <c r="N115" s="706"/>
      <c r="O115" s="706"/>
      <c r="P115" s="706"/>
      <c r="Q115" s="706"/>
      <c r="R115" s="706"/>
      <c r="S115" s="706"/>
      <c r="T115" s="468" cm="1" t="str">
        <f t="array" ref="T115:T115">T114</f>
        <v>false</v>
      </c>
      <c r="U115" s="706"/>
      <c r="V115" s="706"/>
      <c r="W115" s="706"/>
      <c r="X115" s="1539"/>
      <c r="Y115" s="706"/>
      <c r="Z115" s="1529"/>
      <c r="AA115" s="706"/>
      <c r="AB115" s="214" t="s">
        <v>451</v>
      </c>
      <c r="AC115" s="208" t="s">
        <v>2369</v>
      </c>
      <c r="AD115" s="207" t="s">
        <v>936</v>
      </c>
      <c r="AE115" s="785">
        <f>_xlfn.SUMIFS(Амортизация!AE$25:AE$223,Амортизация!$F$25:$F$223,$F115,Амортизация!$AC$25:$AC$223,"Сумма амортизационных отчислений")</f>
        <v>0</v>
      </c>
      <c r="AF115" s="785">
        <f>_xlfn.SUMIFS(Амортизация!AF$25:AF$223,Амортизация!$F$25:$F$223,$F115,Амортизация!$AC$25:$AC$223,"Сумма амортизационных отчислений")</f>
        <v>0</v>
      </c>
      <c r="AG115" s="785">
        <f>_xlfn.SUMIFS(Амортизация!AG$25:AG$223,Амортизация!$F$25:$F$223,$F115,Амортизация!$AC$25:$AC$223,"Сумма амортизационных отчислений")</f>
        <v>0</v>
      </c>
      <c r="AH115" s="768">
        <f>AG115-AF115</f>
        <v>0</v>
      </c>
      <c r="AI115" s="768">
        <f>_xlfn.SUMIFS(Амортизация!AH$25:AH$223,Амортизация!$F$25:$F$223,$F115,Амортизация!$AC$25:$AC$223,"Сумма амортизационных отчислений")</f>
        <v>0</v>
      </c>
      <c r="AJ115" s="768">
        <f>_xlfn.SUMIFS(Амортизация!AI$25:AI$223,Амортизация!$F$25:$F$223,$F115,Амортизация!$AC$25:$AC$223,"Сумма амортизационных отчислений")</f>
        <v>0</v>
      </c>
      <c r="AK115" s="768">
        <f>_xlfn.SUMIFS(Амортизация!AJ$25:AJ$223,Амортизация!$F$25:$F$223,$F115,Амортизация!$AC$25:$AC$223,"Сумма амортизационных отчислений")</f>
        <v>0</v>
      </c>
      <c r="AL115" s="768">
        <f>_xlfn.SUMIFS(Амортизация!AK$25:AK$223,Амортизация!$F$25:$F$223,$F115,Амортизация!$AC$25:$AC$223,"Сумма амортизационных отчислений")</f>
        <v>0</v>
      </c>
      <c r="AM115" s="768">
        <f>_xlfn.SUMIFS(Амортизация!AL$25:AL$223,Амортизация!$F$25:$F$223,$F115,Амортизация!$AC$25:$AC$223,"Сумма амортизационных отчислений")</f>
        <v>0</v>
      </c>
      <c r="AN115" s="768">
        <f>_xlfn.SUMIFS(Амортизация!AM$25:AM$223,Амортизация!$F$25:$F$223,$F115,Амортизация!$AC$25:$AC$223,"Сумма амортизационных отчислений")</f>
        <v>0</v>
      </c>
      <c r="AO115" s="768">
        <f>_xlfn.SUMIFS(Амортизация!AN$25:AN$223,Амортизация!$F$25:$F$223,$F115,Амортизация!$AC$25:$AC$223,"Сумма амортизационных отчислений")</f>
        <v>0</v>
      </c>
      <c r="AP115" s="768">
        <f>_xlfn.SUMIFS(Амортизация!AO$25:AO$223,Амортизация!$F$25:$F$223,$F115,Амортизация!$AC$25:$AC$223,"Сумма амортизационных отчислений")</f>
        <v>0</v>
      </c>
      <c r="AQ115" s="768">
        <f>_xlfn.SUMIFS(Амортизация!AP$25:AP$223,Амортизация!$F$25:$F$223,$F115,Амортизация!$AC$25:$AC$223,"Сумма амортизационных отчислений")</f>
        <v>0</v>
      </c>
      <c r="AR115" s="768">
        <f>_xlfn.SUMIFS(Амортизация!AQ$25:AQ$223,Амортизация!$F$25:$F$223,$F115,Амортизация!$AC$25:$AC$223,"Сумма амортизационных отчислений")</f>
        <v>0</v>
      </c>
      <c r="AS115" s="768">
        <f>_xlfn.SUMIFS(Амортизация!AR$25:AR$223,Амортизация!$F$25:$F$223,$F115,Амортизация!$AC$25:$AC$223,"Сумма амортизационных отчислений")</f>
        <v>0</v>
      </c>
      <c r="AT115" s="768">
        <f>_xlfn.SUMIFS(Амортизация!AS$25:AS$223,Амортизация!$F$25:$F$223,$F115,Амортизация!$AC$25:$AC$223,"Сумма амортизационных отчислений")</f>
        <v>0</v>
      </c>
      <c r="AU115" s="768">
        <f>_xlfn.SUMIFS(Амортизация!AT$25:AT$223,Амортизация!$F$25:$F$223,$F115,Амортизация!$AC$25:$AC$223,"Сумма амортизационных отчислений")</f>
        <v>0</v>
      </c>
      <c r="AV115" s="768">
        <f>_xlfn.SUMIFS(Амортизация!AU$25:AU$223,Амортизация!$F$25:$F$223,$F115,Амортизация!$AC$25:$AC$223,"Сумма амортизационных отчислений")</f>
        <v>0</v>
      </c>
      <c r="AW115" s="768">
        <f>_xlfn.SUMIFS(Амортизация!AV$25:AV$223,Амортизация!$F$25:$F$223,$F115,Амортизация!$AC$25:$AC$223,"Сумма амортизационных отчислений")</f>
        <v>0</v>
      </c>
      <c r="AX115" s="768">
        <f>_xlfn.SUMIFS(Амортизация!AW$25:AW$223,Амортизация!$F$25:$F$223,$F115,Амортизация!$AC$25:$AC$223,"Сумма амортизационных отчислений")</f>
        <v>0</v>
      </c>
      <c r="AY115" s="768">
        <f>_xlfn.SUMIFS(Амортизация!AX$25:AX$223,Амортизация!$F$25:$F$223,$F115,Амортизация!$AC$25:$AC$223,"Сумма амортизационных отчислений")</f>
        <v>0</v>
      </c>
      <c r="AZ115" s="768">
        <f>_xlfn.SUMIFS(Амортизация!AY$25:AY$223,Амортизация!$F$25:$F$223,$F115,Амортизация!$AC$25:$AC$223,"Сумма амортизационных отчислений")</f>
        <v>0</v>
      </c>
      <c r="BA115" s="768">
        <f>_xlfn.SUMIFS(Амортизация!AZ$25:AZ$223,Амортизация!$F$25:$F$223,$F115,Амортизация!$AC$25:$AC$223,"Сумма амортизационных отчислений")</f>
        <v>0</v>
      </c>
      <c r="BB115" s="768">
        <f>_xlfn.SUMIFS(Амортизация!BA$25:BA$223,Амортизация!$F$25:$F$223,$F115,Амортизация!$AC$25:$AC$223,"Сумма амортизационных отчислений")</f>
        <v>0</v>
      </c>
      <c r="BC115" s="768">
        <f>_xlfn.SUMIFS(Амортизация!BB$25:BB$223,Амортизация!$F$25:$F$223,$F115,Амортизация!$AC$25:$AC$223,"Сумма амортизационных отчислений")</f>
        <v>0</v>
      </c>
      <c r="BD115" s="768">
        <f>IF(AI115=0,0,(AT115-AI115)/AI115*100)</f>
        <v>0</v>
      </c>
      <c r="BE115" s="768">
        <f>IF(AT115=0,0,(AU115-AT115)/AT115*100)</f>
        <v>0</v>
      </c>
      <c r="BF115" s="768">
        <f>IF(AU115=0,0,(AV115-AU115)/AU115*100)</f>
        <v>0</v>
      </c>
      <c r="BG115" s="768">
        <f>IF(AV115=0,0,(AW115-AV115)/AV115*100)</f>
        <v>0</v>
      </c>
      <c r="BH115" s="768">
        <f>IF(AW115=0,0,(AX115-AW115)/AW115*100)</f>
        <v>0</v>
      </c>
      <c r="BI115" s="768">
        <f>IF(AX115=0,0,(AY115-AX115)/AX115*100)</f>
        <v>0</v>
      </c>
      <c r="BJ115" s="768">
        <f>IF(AY115=0,0,(AZ115-AY115)/AY115*100)</f>
        <v>0</v>
      </c>
      <c r="BK115" s="768">
        <f>IF(AZ115=0,0,(BA115-AZ115)/AZ115*100)</f>
        <v>0</v>
      </c>
      <c r="BL115" s="768">
        <f>IF(BA115=0,0,(BB115-BA115)/BA115*100)</f>
        <v>0</v>
      </c>
      <c r="BM115" s="768">
        <f>IF(BB115=0,0,(BC115-BB115)/BB115*100)</f>
        <v>0</v>
      </c>
      <c r="BN115" s="1275"/>
      <c r="BO115" s="1273" t="str">
        <f>IF(_xlfn.IFERROR(INDEX(Амортизация!$K$26:$L$223,MATCH($F115&amp;"komm",Амортизация!$K$26:$K$223,0),2),"")=0,"",_xlfn.IFERROR(INDEX(Амортизация!$K$26:$L$223,MATCH($F115&amp;"komm",Амортизация!$K$26:$K$223,0),2),""))</f>
        <v/>
      </c>
      <c r="BP115" s="1275"/>
      <c r="BQ115" s="706"/>
      <c r="BR115" s="706"/>
      <c r="BS115" s="1078" t="s">
        <v>1435</v>
      </c>
      <c r="BT115" s="1078"/>
      <c r="BU115" s="1078"/>
      <c r="BV115" s="713"/>
      <c r="BW115" s="713"/>
    </row>
    <row customHeight="1" ht="14.625" hidden="1">
      <c r="A116" s="1297"/>
      <c r="B116" s="434" cm="1" t="str">
        <f t="array" ref="B116:B116">B115</f>
        <v>true</v>
      </c>
      <c r="C116" s="1297"/>
      <c r="D116" s="1297"/>
      <c r="E116" s="709">
        <v>15</v>
      </c>
      <c r="F116" s="50" cm="1" t="str">
        <f t="array" ref="F116:F116">OFFSET(E116,-1,1)</f>
        <v>0</v>
      </c>
      <c r="G116" s="1297"/>
      <c r="H116" s="1297"/>
      <c r="I116" s="154" t="s">
        <v>659</v>
      </c>
      <c r="J116" s="1297"/>
      <c r="K116" s="154" t="s">
        <v>659</v>
      </c>
      <c r="L116" s="988" t="s">
        <v>673</v>
      </c>
      <c r="M116" s="103"/>
      <c r="N116" s="1297"/>
      <c r="O116" s="1297"/>
      <c r="P116" s="1297"/>
      <c r="Q116" s="1297"/>
      <c r="R116" s="1297"/>
      <c r="S116" s="1297"/>
      <c r="T116" s="468" cm="1" t="str">
        <f t="array" ref="T116:T116">T115</f>
        <v>false</v>
      </c>
      <c r="U116" s="1297"/>
      <c r="V116" s="1297"/>
      <c r="W116" s="1297"/>
      <c r="X116" s="1539"/>
      <c r="Y116" s="1297"/>
      <c r="Z116" s="1529"/>
      <c r="AA116" s="1297"/>
      <c r="AB116" s="295" t="s">
        <v>794</v>
      </c>
      <c r="AC116" s="769" t="s">
        <v>2076</v>
      </c>
      <c r="AD116" s="296" t="s">
        <v>936</v>
      </c>
      <c r="AE116" s="1274">
        <f>_xlfn.SUMIFS('ИП + источники'!AF$27:AF$174,'ИП + источники'!$F$27:$F$174,$F116,'ИП + источники'!$AC$27:$AC$174,"Амортизационные отчисления")+_xlfn.SUMIFS('ИП + источники'!AF$27:AF$174,'ИП + источники'!$F$27:$F$174,$F116,'ИП + источники'!$AC$27:$AC$174,"погашение займов и кредитов из амортизации")</f>
        <v>0</v>
      </c>
      <c r="AF116" s="1274">
        <f>_xlfn.SUMIFS('ИП + источники'!AG$27:AG$174,'ИП + источники'!$F$27:$F$174,$F116,'ИП + источники'!$AC$27:$AC$174,"Амортизационные отчисления")+_xlfn.SUMIFS('ИП + источники'!AG$27:AG$174,'ИП + источники'!$F$27:$F$174,$F116,'ИП + источники'!$AC$27:$AC$174,"погашение займов и кредитов из амортизации")</f>
        <v>0</v>
      </c>
      <c r="AG116" s="1274">
        <f>_xlfn.SUMIFS('ИП + источники'!AH$27:AH$174,'ИП + источники'!$F$27:$F$174,$F116,'ИП + источники'!$AC$27:$AC$174,"Амортизационные отчисления")+_xlfn.SUMIFS('ИП + источники'!AH$27:AH$174,'ИП + источники'!$F$27:$F$174,$F116,'ИП + источники'!$AC$27:$AC$174,"погашение займов и кредитов из амортизации")</f>
        <v>0</v>
      </c>
      <c r="AH116" s="951">
        <f>AG116-AF116</f>
        <v>0</v>
      </c>
      <c r="AI116" s="1272">
        <f>_xlfn.SUMIFS('ИП + источники'!AJ$27:AJ$174,'ИП + источники'!$F$27:$F$174,$F116,'ИП + источники'!$AC$27:$AC$174,"Амортизационные отчисления")+_xlfn.SUMIFS('ИП + источники'!AJ$27:AJ$174,'ИП + источники'!$F$27:$F$174,$F116,'ИП + источники'!$AC$27:$AC$174,"погашение займов и кредитов из амортизации")</f>
        <v>0</v>
      </c>
      <c r="AJ116" s="1272">
        <f>_xlfn.SUMIFS('ИП + источники'!AK$27:AK$174,'ИП + источники'!$F$27:$F$174,$F116,'ИП + источники'!$AC$27:$AC$174,"Амортизационные отчисления")+_xlfn.SUMIFS('ИП + источники'!AK$27:AK$174,'ИП + источники'!$F$27:$F$174,$F116,'ИП + источники'!$AC$27:$AC$174,"погашение займов и кредитов из амортизации")</f>
        <v>0</v>
      </c>
      <c r="AK116" s="1272">
        <f>_xlfn.SUMIFS('ИП + источники'!AL$27:AL$174,'ИП + источники'!$F$27:$F$174,$F116,'ИП + источники'!$AC$27:$AC$174,"Амортизационные отчисления")+_xlfn.SUMIFS('ИП + источники'!AL$27:AL$174,'ИП + источники'!$F$27:$F$174,$F116,'ИП + источники'!$AC$27:$AC$174,"погашение займов и кредитов из амортизации")</f>
        <v>0</v>
      </c>
      <c r="AL116" s="1272">
        <f>_xlfn.SUMIFS('ИП + источники'!AM$27:AM$174,'ИП + источники'!$F$27:$F$174,$F116,'ИП + источники'!$AC$27:$AC$174,"Амортизационные отчисления")+_xlfn.SUMIFS('ИП + источники'!AM$27:AM$174,'ИП + источники'!$F$27:$F$174,$F116,'ИП + источники'!$AC$27:$AC$174,"погашение займов и кредитов из амортизации")</f>
        <v>0</v>
      </c>
      <c r="AM116" s="1272">
        <f>_xlfn.SUMIFS('ИП + источники'!AN$27:AN$174,'ИП + источники'!$F$27:$F$174,$F116,'ИП + источники'!$AC$27:$AC$174,"Амортизационные отчисления")+_xlfn.SUMIFS('ИП + источники'!AN$27:AN$174,'ИП + источники'!$F$27:$F$174,$F116,'ИП + источники'!$AC$27:$AC$174,"погашение займов и кредитов из амортизации")</f>
        <v>0</v>
      </c>
      <c r="AN116" s="1272">
        <f>_xlfn.SUMIFS('ИП + источники'!AO$27:AO$174,'ИП + источники'!$F$27:$F$174,$F116,'ИП + источники'!$AC$27:$AC$174,"Амортизационные отчисления")+_xlfn.SUMIFS('ИП + источники'!AO$27:AO$174,'ИП + источники'!$F$27:$F$174,$F116,'ИП + источники'!$AC$27:$AC$174,"погашение займов и кредитов из амортизации")</f>
        <v>0</v>
      </c>
      <c r="AO116" s="1272">
        <f>_xlfn.SUMIFS('ИП + источники'!AP$27:AP$174,'ИП + источники'!$F$27:$F$174,$F116,'ИП + источники'!$AC$27:$AC$174,"Амортизационные отчисления")+_xlfn.SUMIFS('ИП + источники'!AP$27:AP$174,'ИП + источники'!$F$27:$F$174,$F116,'ИП + источники'!$AC$27:$AC$174,"погашение займов и кредитов из амортизации")</f>
        <v>0</v>
      </c>
      <c r="AP116" s="1272">
        <f>_xlfn.SUMIFS('ИП + источники'!AQ$27:AQ$174,'ИП + источники'!$F$27:$F$174,$F116,'ИП + источники'!$AC$27:$AC$174,"Амортизационные отчисления")+_xlfn.SUMIFS('ИП + источники'!AQ$27:AQ$174,'ИП + источники'!$F$27:$F$174,$F116,'ИП + источники'!$AC$27:$AC$174,"погашение займов и кредитов из амортизации")</f>
        <v>0</v>
      </c>
      <c r="AQ116" s="1272">
        <f>_xlfn.SUMIFS('ИП + источники'!AR$27:AR$174,'ИП + источники'!$F$27:$F$174,$F116,'ИП + источники'!$AC$27:$AC$174,"Амортизационные отчисления")+_xlfn.SUMIFS('ИП + источники'!AR$27:AR$174,'ИП + источники'!$F$27:$F$174,$F116,'ИП + источники'!$AC$27:$AC$174,"погашение займов и кредитов из амортизации")</f>
        <v>0</v>
      </c>
      <c r="AR116" s="1272">
        <f>_xlfn.SUMIFS('ИП + источники'!AS$27:AS$174,'ИП + источники'!$F$27:$F$174,$F116,'ИП + источники'!$AC$27:$AC$174,"Амортизационные отчисления")+_xlfn.SUMIFS('ИП + источники'!AS$27:AS$174,'ИП + источники'!$F$27:$F$174,$F116,'ИП + источники'!$AC$27:$AC$174,"погашение займов и кредитов из амортизации")</f>
        <v>0</v>
      </c>
      <c r="AS116" s="1272">
        <f>_xlfn.SUMIFS('ИП + источники'!AT$27:AT$174,'ИП + источники'!$F$27:$F$174,$F116,'ИП + источники'!$AC$27:$AC$174,"Амортизационные отчисления")+_xlfn.SUMIFS('ИП + источники'!AT$27:AT$174,'ИП + источники'!$F$27:$F$174,$F116,'ИП + источники'!$AC$27:$AC$174,"погашение займов и кредитов из амортизации")</f>
        <v>0</v>
      </c>
      <c r="AT116" s="1272">
        <f>_xlfn.SUMIFS('ИП + источники'!AU$27:AU$174,'ИП + источники'!$F$27:$F$174,$F116,'ИП + источники'!$AC$27:$AC$174,"Амортизационные отчисления")+_xlfn.SUMIFS('ИП + источники'!AU$27:AU$174,'ИП + источники'!$F$27:$F$174,$F116,'ИП + источники'!$AC$27:$AC$174,"погашение займов и кредитов из амортизации")</f>
        <v>0</v>
      </c>
      <c r="AU116" s="1272">
        <f>_xlfn.SUMIFS('ИП + источники'!AV$27:AV$174,'ИП + источники'!$F$27:$F$174,$F116,'ИП + источники'!$AC$27:$AC$174,"Амортизационные отчисления")+_xlfn.SUMIFS('ИП + источники'!AV$27:AV$174,'ИП + источники'!$F$27:$F$174,$F116,'ИП + источники'!$AC$27:$AC$174,"погашение займов и кредитов из амортизации")</f>
        <v>0</v>
      </c>
      <c r="AV116" s="1272">
        <f>_xlfn.SUMIFS('ИП + источники'!AW$27:AW$174,'ИП + источники'!$F$27:$F$174,$F116,'ИП + источники'!$AC$27:$AC$174,"Амортизационные отчисления")+_xlfn.SUMIFS('ИП + источники'!AW$27:AW$174,'ИП + источники'!$F$27:$F$174,$F116,'ИП + источники'!$AC$27:$AC$174,"погашение займов и кредитов из амортизации")</f>
        <v>0</v>
      </c>
      <c r="AW116" s="1272">
        <f>_xlfn.SUMIFS('ИП + источники'!AX$27:AX$174,'ИП + источники'!$F$27:$F$174,$F116,'ИП + источники'!$AC$27:$AC$174,"Амортизационные отчисления")+_xlfn.SUMIFS('ИП + источники'!AX$27:AX$174,'ИП + источники'!$F$27:$F$174,$F116,'ИП + источники'!$AC$27:$AC$174,"погашение займов и кредитов из амортизации")</f>
        <v>0</v>
      </c>
      <c r="AX116" s="1272">
        <f>_xlfn.SUMIFS('ИП + источники'!AY$27:AY$174,'ИП + источники'!$F$27:$F$174,$F116,'ИП + источники'!$AC$27:$AC$174,"Амортизационные отчисления")+_xlfn.SUMIFS('ИП + источники'!AY$27:AY$174,'ИП + источники'!$F$27:$F$174,$F116,'ИП + источники'!$AC$27:$AC$174,"погашение займов и кредитов из амортизации")</f>
        <v>0</v>
      </c>
      <c r="AY116" s="1272">
        <f>_xlfn.SUMIFS('ИП + источники'!AZ$27:AZ$174,'ИП + источники'!$F$27:$F$174,$F116,'ИП + источники'!$AC$27:$AC$174,"Амортизационные отчисления")+_xlfn.SUMIFS('ИП + источники'!AZ$27:AZ$174,'ИП + источники'!$F$27:$F$174,$F116,'ИП + источники'!$AC$27:$AC$174,"погашение займов и кредитов из амортизации")</f>
        <v>0</v>
      </c>
      <c r="AZ116" s="1272">
        <f>_xlfn.SUMIFS('ИП + источники'!BA$27:BA$174,'ИП + источники'!$F$27:$F$174,$F116,'ИП + источники'!$AC$27:$AC$174,"Амортизационные отчисления")+_xlfn.SUMIFS('ИП + источники'!BA$27:BA$174,'ИП + источники'!$F$27:$F$174,$F116,'ИП + источники'!$AC$27:$AC$174,"погашение займов и кредитов из амортизации")</f>
        <v>0</v>
      </c>
      <c r="BA116" s="1272">
        <f>_xlfn.SUMIFS('ИП + источники'!BB$27:BB$174,'ИП + источники'!$F$27:$F$174,$F116,'ИП + источники'!$AC$27:$AC$174,"Амортизационные отчисления")+_xlfn.SUMIFS('ИП + источники'!BB$27:BB$174,'ИП + источники'!$F$27:$F$174,$F116,'ИП + источники'!$AC$27:$AC$174,"погашение займов и кредитов из амортизации")</f>
        <v>0</v>
      </c>
      <c r="BB116" s="1272">
        <f>_xlfn.SUMIFS('ИП + источники'!BC$27:BC$174,'ИП + источники'!$F$27:$F$174,$F116,'ИП + источники'!$AC$27:$AC$174,"Амортизационные отчисления")+_xlfn.SUMIFS('ИП + источники'!BC$27:BC$174,'ИП + источники'!$F$27:$F$174,$F116,'ИП + источники'!$AC$27:$AC$174,"погашение займов и кредитов из амортизации")</f>
        <v>0</v>
      </c>
      <c r="BC116" s="1272">
        <f>_xlfn.SUMIFS('ИП + источники'!BD$27:BD$174,'ИП + источники'!$F$27:$F$174,$F116,'ИП + источники'!$AC$27:$AC$174,"Амортизационные отчисления")+_xlfn.SUMIFS('ИП + источники'!BD$27:BD$174,'ИП + источники'!$F$27:$F$174,$F116,'ИП + источники'!$AC$27:$AC$174,"погашение займов и кредитов из амортизации")</f>
        <v>0</v>
      </c>
      <c r="BD116" s="951">
        <f>IF(AI116=0,0,(AT116-AI116)/AI116*100)</f>
        <v>0</v>
      </c>
      <c r="BE116" s="951">
        <f>IF(AT116=0,0,(AU116-AT116)/AT116*100)</f>
        <v>0</v>
      </c>
      <c r="BF116" s="951">
        <f>IF(AU116=0,0,(AV116-AU116)/AU116*100)</f>
        <v>0</v>
      </c>
      <c r="BG116" s="951">
        <f>IF(AV116=0,0,(AW116-AV116)/AV116*100)</f>
        <v>0</v>
      </c>
      <c r="BH116" s="951">
        <f>IF(AW116=0,0,(AX116-AW116)/AW116*100)</f>
        <v>0</v>
      </c>
      <c r="BI116" s="951">
        <f>IF(AX116=0,0,(AY116-AX116)/AX116*100)</f>
        <v>0</v>
      </c>
      <c r="BJ116" s="951">
        <f>IF(AY116=0,0,(AZ116-AY116)/AY116*100)</f>
        <v>0</v>
      </c>
      <c r="BK116" s="951">
        <f>IF(AZ116=0,0,(BA116-AZ116)/AZ116*100)</f>
        <v>0</v>
      </c>
      <c r="BL116" s="951">
        <f>IF(BA116=0,0,(BB116-BA116)/BA116*100)</f>
        <v>0</v>
      </c>
      <c r="BM116" s="951">
        <f>IF(BB116=0,0,(BC116-BB116)/BB116*100)</f>
        <v>0</v>
      </c>
      <c r="BN116" s="1275"/>
      <c r="BO116" s="1275"/>
      <c r="BP116" s="1275"/>
      <c r="BQ116" s="1297"/>
      <c r="BR116" s="1297"/>
      <c r="BS116" s="1072" t="s">
        <v>2077</v>
      </c>
      <c r="BT116" s="1072"/>
      <c r="BU116" s="1072"/>
      <c r="BV116" s="987"/>
      <c r="BW116" s="987"/>
    </row>
    <row s="706" customFormat="1" customHeight="1" ht="20.475" hidden="1">
      <c r="A117" s="706"/>
      <c r="B117" s="434" cm="1" t="str">
        <f t="array" ref="B117:B117">B116</f>
        <v>true</v>
      </c>
      <c r="C117" s="706"/>
      <c r="D117" s="706"/>
      <c r="E117" s="713">
        <v>21</v>
      </c>
      <c r="F117" s="50" cm="1" t="str">
        <f t="array" ref="F117:F117">OFFSET(E117,-1,1)</f>
        <v>0</v>
      </c>
      <c r="G117" s="154" t="s">
        <v>1730</v>
      </c>
      <c r="H117" s="154"/>
      <c r="I117" s="154" t="s">
        <v>347</v>
      </c>
      <c r="J117" s="706"/>
      <c r="K117" s="154" t="s">
        <v>347</v>
      </c>
      <c r="L117" s="993" t="s">
        <v>685</v>
      </c>
      <c r="M117" s="105"/>
      <c r="N117" s="706"/>
      <c r="O117" s="706"/>
      <c r="P117" s="706"/>
      <c r="Q117" s="706"/>
      <c r="R117" s="706"/>
      <c r="S117" s="706"/>
      <c r="T117" s="468" cm="1" t="str">
        <f t="array" ref="T117:T117">T116</f>
        <v>false</v>
      </c>
      <c r="U117" s="706"/>
      <c r="V117" s="706"/>
      <c r="W117" s="706"/>
      <c r="X117" s="1539"/>
      <c r="Y117" s="706"/>
      <c r="Z117" s="1529"/>
      <c r="AA117" s="706"/>
      <c r="AB117" s="214" t="s">
        <v>454</v>
      </c>
      <c r="AC117" s="208" t="s">
        <v>1730</v>
      </c>
      <c r="AD117" s="230" t="s">
        <v>936</v>
      </c>
      <c r="AE117" s="209">
        <f>AE118+AE119+AE120+AE121</f>
        <v>0</v>
      </c>
      <c r="AF117" s="209">
        <f>AF118+AF119+AF120+AF121</f>
        <v>0</v>
      </c>
      <c r="AG117" s="209">
        <f>AG118+AG119+AG120+AG121</f>
        <v>0</v>
      </c>
      <c r="AH117" s="777">
        <f>AG117-AF117</f>
        <v>0</v>
      </c>
      <c r="AI117" s="777">
        <f>AI118+AI119+AI120+AI121</f>
        <v>0</v>
      </c>
      <c r="AJ117" s="777">
        <f>AJ118+AJ119+AJ120+AJ121</f>
        <v>0</v>
      </c>
      <c r="AK117" s="777">
        <f>AK118+AK119+AK120+AK121</f>
        <v>0</v>
      </c>
      <c r="AL117" s="777">
        <f>AL118+AL119+AL120+AL121</f>
        <v>0</v>
      </c>
      <c r="AM117" s="777">
        <f>AM118+AM119+AM120+AM121</f>
        <v>0</v>
      </c>
      <c r="AN117" s="777">
        <f>AN118+AN119+AN120+AN121</f>
        <v>0</v>
      </c>
      <c r="AO117" s="777">
        <f>AO118+AO119+AO120+AO121</f>
        <v>0</v>
      </c>
      <c r="AP117" s="777">
        <f>AP118+AP119+AP120+AP121</f>
        <v>0</v>
      </c>
      <c r="AQ117" s="777">
        <f>AQ118+AQ119+AQ120+AQ121</f>
        <v>0</v>
      </c>
      <c r="AR117" s="777">
        <f>AR118+AR119+AR120+AR121</f>
        <v>0</v>
      </c>
      <c r="AS117" s="777">
        <f>AS118+AS119+AS120+AS121</f>
        <v>0</v>
      </c>
      <c r="AT117" s="777">
        <f>AT118+AT119+AT120+AT121</f>
        <v>0</v>
      </c>
      <c r="AU117" s="777">
        <f>AU118+AU119+AU120+AU121</f>
        <v>0</v>
      </c>
      <c r="AV117" s="777">
        <f>AV118+AV119+AV120+AV121</f>
        <v>0</v>
      </c>
      <c r="AW117" s="777">
        <f>AW118+AW119+AW120+AW121</f>
        <v>0</v>
      </c>
      <c r="AX117" s="777">
        <f>AX118+AX119+AX120+AX121</f>
        <v>0</v>
      </c>
      <c r="AY117" s="777">
        <f>AY118+AY119+AY120+AY121</f>
        <v>0</v>
      </c>
      <c r="AZ117" s="777">
        <f>AZ118+AZ119+AZ120+AZ121</f>
        <v>0</v>
      </c>
      <c r="BA117" s="777">
        <f>BA118+BA119+BA120+BA121</f>
        <v>0</v>
      </c>
      <c r="BB117" s="777">
        <f>BB118+BB119+BB120+BB121</f>
        <v>0</v>
      </c>
      <c r="BC117" s="777">
        <f>BC118+BC119+BC120+BC121</f>
        <v>0</v>
      </c>
      <c r="BD117" s="768">
        <f>IF(AI117=0,0,(AT117-AI117)/AI117*100)</f>
        <v>0</v>
      </c>
      <c r="BE117" s="768">
        <f>IF(AT117=0,0,(AU117-AT117)/AT117*100)</f>
        <v>0</v>
      </c>
      <c r="BF117" s="768">
        <f>IF(AU117=0,0,(AV117-AU117)/AU117*100)</f>
        <v>0</v>
      </c>
      <c r="BG117" s="768">
        <f>IF(AV117=0,0,(AW117-AV117)/AV117*100)</f>
        <v>0</v>
      </c>
      <c r="BH117" s="768">
        <f>IF(AW117=0,0,(AX117-AW117)/AW117*100)</f>
        <v>0</v>
      </c>
      <c r="BI117" s="768">
        <f>IF(AX117=0,0,(AY117-AX117)/AX117*100)</f>
        <v>0</v>
      </c>
      <c r="BJ117" s="768">
        <f>IF(AY117=0,0,(AZ117-AY117)/AY117*100)</f>
        <v>0</v>
      </c>
      <c r="BK117" s="768">
        <f>IF(AZ117=0,0,(BA117-AZ117)/AZ117*100)</f>
        <v>0</v>
      </c>
      <c r="BL117" s="768">
        <f>IF(BA117=0,0,(BB117-BA117)/BA117*100)</f>
        <v>0</v>
      </c>
      <c r="BM117" s="768">
        <f>IF(BB117=0,0,(BC117-BB117)/BB117*100)</f>
        <v>0</v>
      </c>
      <c r="BN117" s="1275"/>
      <c r="BO117" s="1275"/>
      <c r="BP117" s="1275"/>
      <c r="BQ117" s="706"/>
      <c r="BR117" s="706"/>
      <c r="BS117" s="1071" t="s">
        <v>1734</v>
      </c>
      <c r="BT117" s="1078"/>
      <c r="BU117" s="1078"/>
      <c r="BV117" s="713"/>
      <c r="BW117" s="713"/>
    </row>
    <row customHeight="1" ht="14.625" hidden="1">
      <c r="A118" s="1297"/>
      <c r="B118" s="434" cm="1" t="str">
        <f t="array" ref="B118:B118">B117</f>
        <v>true</v>
      </c>
      <c r="C118" s="1297"/>
      <c r="D118" s="1297"/>
      <c r="E118" s="709">
        <v>15</v>
      </c>
      <c r="F118" s="50" cm="1" t="str">
        <f t="array" ref="F118:F118">OFFSET(E118,-1,1)</f>
        <v>0</v>
      </c>
      <c r="G118" s="1297"/>
      <c r="H118" s="1297"/>
      <c r="I118" s="154" t="s">
        <v>673</v>
      </c>
      <c r="J118" s="1297"/>
      <c r="K118" s="154" t="s">
        <v>673</v>
      </c>
      <c r="L118" s="988"/>
      <c r="M118" s="103"/>
      <c r="N118" s="1297"/>
      <c r="O118" s="1297"/>
      <c r="P118" s="1297"/>
      <c r="Q118" s="1297"/>
      <c r="R118" s="1297"/>
      <c r="S118" s="1297"/>
      <c r="T118" s="468" cm="1" t="str">
        <f t="array" ref="T118:T118">T117</f>
        <v>false</v>
      </c>
      <c r="U118" s="1297"/>
      <c r="V118" s="1297"/>
      <c r="W118" s="1297"/>
      <c r="X118" s="1539"/>
      <c r="Y118" s="1297"/>
      <c r="Z118" s="1529"/>
      <c r="AA118" s="1297"/>
      <c r="AB118" s="295" t="s">
        <v>801</v>
      </c>
      <c r="AC118" s="769" t="s">
        <v>2370</v>
      </c>
      <c r="AD118" s="296" t="s">
        <v>936</v>
      </c>
      <c r="AE118" s="1274">
        <f>_xlfn.SUMIFS('ИП + источники'!AF$27:AF$174,'ИП + источники'!$F$27:$F$174,$F118,'ИП + источники'!$AC$27:$AC$174,"погашение займов и кредитов из нормативной прибыли")</f>
        <v>0</v>
      </c>
      <c r="AF118" s="1274">
        <f>_xlfn.SUMIFS('ИП + источники'!AG$27:AG$174,'ИП + источники'!$F$27:$F$174,$F118,'ИП + источники'!$AC$27:$AC$174,"погашение займов и кредитов из нормативной прибыли")</f>
        <v>0</v>
      </c>
      <c r="AG118" s="1274">
        <f>_xlfn.SUMIFS('ИП + источники'!AH$27:AH$174,'ИП + источники'!$F$27:$F$174,$F118,'ИП + источники'!$AC$27:$AC$174,"погашение займов и кредитов из нормативной прибыли")</f>
        <v>0</v>
      </c>
      <c r="AH118" s="951">
        <f>AG118-AF118</f>
        <v>0</v>
      </c>
      <c r="AI118" s="1272">
        <f>_xlfn.SUMIFS('ИП + источники'!AJ$27:AJ$174,'ИП + источники'!$F$27:$F$174,$F118,'ИП + источники'!$AC$27:$AC$174,"погашение займов и кредитов из нормативной прибыли")</f>
        <v>0</v>
      </c>
      <c r="AJ118" s="1272">
        <f>_xlfn.SUMIFS('ИП + источники'!AK$27:AK$174,'ИП + источники'!$F$27:$F$174,$F118,'ИП + источники'!$AC$27:$AC$174,"погашение займов и кредитов из нормативной прибыли")</f>
        <v>0</v>
      </c>
      <c r="AK118" s="1272">
        <f>_xlfn.SUMIFS('ИП + источники'!AL$27:AL$174,'ИП + источники'!$F$27:$F$174,$F118,'ИП + источники'!$AC$27:$AC$174,"погашение займов и кредитов из нормативной прибыли")</f>
        <v>0</v>
      </c>
      <c r="AL118" s="1272">
        <f>_xlfn.SUMIFS('ИП + источники'!AM$27:AM$174,'ИП + источники'!$F$27:$F$174,$F118,'ИП + источники'!$AC$27:$AC$174,"погашение займов и кредитов из нормативной прибыли")</f>
        <v>0</v>
      </c>
      <c r="AM118" s="1272">
        <f>_xlfn.SUMIFS('ИП + источники'!AN$27:AN$174,'ИП + источники'!$F$27:$F$174,$F118,'ИП + источники'!$AC$27:$AC$174,"погашение займов и кредитов из нормативной прибыли")</f>
        <v>0</v>
      </c>
      <c r="AN118" s="1272">
        <f>_xlfn.SUMIFS('ИП + источники'!AO$27:AO$174,'ИП + источники'!$F$27:$F$174,$F118,'ИП + источники'!$AC$27:$AC$174,"погашение займов и кредитов из нормативной прибыли")</f>
        <v>0</v>
      </c>
      <c r="AO118" s="1272">
        <f>_xlfn.SUMIFS('ИП + источники'!AP$27:AP$174,'ИП + источники'!$F$27:$F$174,$F118,'ИП + источники'!$AC$27:$AC$174,"погашение займов и кредитов из нормативной прибыли")</f>
        <v>0</v>
      </c>
      <c r="AP118" s="1272">
        <f>_xlfn.SUMIFS('ИП + источники'!AQ$27:AQ$174,'ИП + источники'!$F$27:$F$174,$F118,'ИП + источники'!$AC$27:$AC$174,"погашение займов и кредитов из нормативной прибыли")</f>
        <v>0</v>
      </c>
      <c r="AQ118" s="1272">
        <f>_xlfn.SUMIFS('ИП + источники'!AR$27:AR$174,'ИП + источники'!$F$27:$F$174,$F118,'ИП + источники'!$AC$27:$AC$174,"погашение займов и кредитов из нормативной прибыли")</f>
        <v>0</v>
      </c>
      <c r="AR118" s="1272">
        <f>_xlfn.SUMIFS('ИП + источники'!AS$27:AS$174,'ИП + источники'!$F$27:$F$174,$F118,'ИП + источники'!$AC$27:$AC$174,"погашение займов и кредитов из нормативной прибыли")</f>
        <v>0</v>
      </c>
      <c r="AS118" s="1272">
        <f>_xlfn.SUMIFS('ИП + источники'!AT$27:AT$174,'ИП + источники'!$F$27:$F$174,$F118,'ИП + источники'!$AC$27:$AC$174,"погашение займов и кредитов из нормативной прибыли")</f>
        <v>0</v>
      </c>
      <c r="AT118" s="1272">
        <f>_xlfn.SUMIFS('ИП + источники'!AU$27:AU$174,'ИП + источники'!$F$27:$F$174,$F118,'ИП + источники'!$AC$27:$AC$174,"погашение займов и кредитов из нормативной прибыли")</f>
        <v>0</v>
      </c>
      <c r="AU118" s="1272">
        <f>_xlfn.SUMIFS('ИП + источники'!AV$27:AV$174,'ИП + источники'!$F$27:$F$174,$F118,'ИП + источники'!$AC$27:$AC$174,"погашение займов и кредитов из нормативной прибыли")</f>
        <v>0</v>
      </c>
      <c r="AV118" s="1272">
        <f>_xlfn.SUMIFS('ИП + источники'!AW$27:AW$174,'ИП + источники'!$F$27:$F$174,$F118,'ИП + источники'!$AC$27:$AC$174,"погашение займов и кредитов из нормативной прибыли")</f>
        <v>0</v>
      </c>
      <c r="AW118" s="1272">
        <f>_xlfn.SUMIFS('ИП + источники'!AX$27:AX$174,'ИП + источники'!$F$27:$F$174,$F118,'ИП + источники'!$AC$27:$AC$174,"погашение займов и кредитов из нормативной прибыли")</f>
        <v>0</v>
      </c>
      <c r="AX118" s="1272">
        <f>_xlfn.SUMIFS('ИП + источники'!AY$27:AY$174,'ИП + источники'!$F$27:$F$174,$F118,'ИП + источники'!$AC$27:$AC$174,"погашение займов и кредитов из нормативной прибыли")</f>
        <v>0</v>
      </c>
      <c r="AY118" s="1272">
        <f>_xlfn.SUMIFS('ИП + источники'!AZ$27:AZ$174,'ИП + источники'!$F$27:$F$174,$F118,'ИП + источники'!$AC$27:$AC$174,"погашение займов и кредитов из нормативной прибыли")</f>
        <v>0</v>
      </c>
      <c r="AZ118" s="1272">
        <f>_xlfn.SUMIFS('ИП + источники'!BA$27:BA$174,'ИП + источники'!$F$27:$F$174,$F118,'ИП + источники'!$AC$27:$AC$174,"погашение займов и кредитов из нормативной прибыли")</f>
        <v>0</v>
      </c>
      <c r="BA118" s="1272">
        <f>_xlfn.SUMIFS('ИП + источники'!BB$27:BB$174,'ИП + источники'!$F$27:$F$174,$F118,'ИП + источники'!$AC$27:$AC$174,"погашение займов и кредитов из нормативной прибыли")</f>
        <v>0</v>
      </c>
      <c r="BB118" s="1272">
        <f>_xlfn.SUMIFS('ИП + источники'!BC$27:BC$174,'ИП + источники'!$F$27:$F$174,$F118,'ИП + источники'!$AC$27:$AC$174,"погашение займов и кредитов из нормативной прибыли")</f>
        <v>0</v>
      </c>
      <c r="BC118" s="1272">
        <f>_xlfn.SUMIFS('ИП + источники'!BD$27:BD$174,'ИП + источники'!$F$27:$F$174,$F118,'ИП + источники'!$AC$27:$AC$174,"погашение займов и кредитов из нормативной прибыли")</f>
        <v>0</v>
      </c>
      <c r="BD118" s="951">
        <f>IF(AI118=0,0,(AT118-AI118)/AI118*100)</f>
        <v>0</v>
      </c>
      <c r="BE118" s="951">
        <f>IF(AT118=0,0,(AU118-AT118)/AT118*100)</f>
        <v>0</v>
      </c>
      <c r="BF118" s="951">
        <f>IF(AU118=0,0,(AV118-AU118)/AU118*100)</f>
        <v>0</v>
      </c>
      <c r="BG118" s="951">
        <f>IF(AV118=0,0,(AW118-AV118)/AV118*100)</f>
        <v>0</v>
      </c>
      <c r="BH118" s="951">
        <f>IF(AW118=0,0,(AX118-AW118)/AW118*100)</f>
        <v>0</v>
      </c>
      <c r="BI118" s="951">
        <f>IF(AX118=0,0,(AY118-AX118)/AX118*100)</f>
        <v>0</v>
      </c>
      <c r="BJ118" s="951">
        <f>IF(AY118=0,0,(AZ118-AY118)/AY118*100)</f>
        <v>0</v>
      </c>
      <c r="BK118" s="951">
        <f>IF(AZ118=0,0,(BA118-AZ118)/AZ118*100)</f>
        <v>0</v>
      </c>
      <c r="BL118" s="951">
        <f>IF(BA118=0,0,(BB118-BA118)/BA118*100)</f>
        <v>0</v>
      </c>
      <c r="BM118" s="951">
        <f>IF(BB118=0,0,(BC118-BB118)/BB118*100)</f>
        <v>0</v>
      </c>
      <c r="BN118" s="1275"/>
      <c r="BO118" s="1273" t="str">
        <f>IF(_xlfn.IFERROR(INDEX('ИП + источники'!$K$57:$L$174,MATCH($F118&amp;"2komm",'ИП + источники'!$K$57:$K$174,0),2),"")=0,"",_xlfn.IFERROR(INDEX('ИП + источники'!$K$57:$L$174,MATCH($F118&amp;"2komm",'ИП + источники'!$K$57:$K$174,0),2),""))</f>
        <v/>
      </c>
      <c r="BP118" s="1275"/>
      <c r="BQ118" s="1297"/>
      <c r="BR118" s="1297"/>
      <c r="BS118" s="1072" t="s">
        <v>2371</v>
      </c>
      <c r="BT118" s="1072"/>
      <c r="BU118" s="1072"/>
      <c r="BV118" s="987"/>
      <c r="BW118" s="987"/>
    </row>
    <row customHeight="1" ht="14.625" hidden="1">
      <c r="A119" s="1297"/>
      <c r="B119" s="434" cm="1" t="str">
        <f t="array" ref="B119:B119">B118</f>
        <v>true</v>
      </c>
      <c r="C119" s="1297"/>
      <c r="D119" s="1297"/>
      <c r="E119" s="709">
        <v>15</v>
      </c>
      <c r="F119" s="50" cm="1" t="str">
        <f t="array" ref="F119:F119">OFFSET(E119,-1,1)</f>
        <v>0</v>
      </c>
      <c r="G119" s="1297"/>
      <c r="H119" s="1297"/>
      <c r="I119" s="154" t="s">
        <v>677</v>
      </c>
      <c r="J119" s="1297"/>
      <c r="K119" s="154" t="s">
        <v>677</v>
      </c>
      <c r="L119" s="988"/>
      <c r="M119" s="103"/>
      <c r="N119" s="1297"/>
      <c r="O119" s="1297"/>
      <c r="P119" s="1297"/>
      <c r="Q119" s="1297"/>
      <c r="R119" s="1297"/>
      <c r="S119" s="1297"/>
      <c r="T119" s="468" cm="1" t="str">
        <f t="array" ref="T119:T119">T118</f>
        <v>false</v>
      </c>
      <c r="U119" s="1297"/>
      <c r="V119" s="1297"/>
      <c r="W119" s="1297"/>
      <c r="X119" s="1539"/>
      <c r="Y119" s="1297"/>
      <c r="Z119" s="1529"/>
      <c r="AA119" s="1297"/>
      <c r="AB119" s="295" t="s">
        <v>804</v>
      </c>
      <c r="AC119" s="769" t="s">
        <v>2372</v>
      </c>
      <c r="AD119" s="296" t="s">
        <v>936</v>
      </c>
      <c r="AE119" s="1274">
        <f>_xlfn.SUMIFS('ИП + источники'!AF$27:AF$174,'ИП + источники'!$F$27:$F$174,$F119,'ИП + источники'!$AC$27:$AC$174,"уплата процентов по кредитам из нормативной прибыли")</f>
        <v>0</v>
      </c>
      <c r="AF119" s="1274">
        <f>_xlfn.SUMIFS('ИП + источники'!AG$27:AG$174,'ИП + источники'!$F$27:$F$174,$F119,'ИП + источники'!$AC$27:$AC$174,"уплата процентов по кредитам из нормативной прибыли")</f>
        <v>0</v>
      </c>
      <c r="AG119" s="1274">
        <f>_xlfn.SUMIFS('ИП + источники'!AH$27:AH$174,'ИП + источники'!$F$27:$F$174,$F119,'ИП + источники'!$AC$27:$AC$174,"уплата процентов по кредитам из нормативной прибыли")</f>
        <v>0</v>
      </c>
      <c r="AH119" s="951">
        <f>AG119-AF119</f>
        <v>0</v>
      </c>
      <c r="AI119" s="1272">
        <f>_xlfn.SUMIFS('ИП + источники'!AJ$27:AJ$174,'ИП + источники'!$F$27:$F$174,$F119,'ИП + источники'!$AC$27:$AC$174,"уплата процентов по кредитам из нормативной прибыли")</f>
        <v>0</v>
      </c>
      <c r="AJ119" s="1272">
        <f>_xlfn.SUMIFS('ИП + источники'!AK$27:AK$174,'ИП + источники'!$F$27:$F$174,$F119,'ИП + источники'!$AC$27:$AC$174,"уплата процентов по кредитам из нормативной прибыли")</f>
        <v>0</v>
      </c>
      <c r="AK119" s="1272">
        <f>_xlfn.SUMIFS('ИП + источники'!AL$27:AL$174,'ИП + источники'!$F$27:$F$174,$F119,'ИП + источники'!$AC$27:$AC$174,"уплата процентов по кредитам из нормативной прибыли")</f>
        <v>0</v>
      </c>
      <c r="AL119" s="1272">
        <f>_xlfn.SUMIFS('ИП + источники'!AM$27:AM$174,'ИП + источники'!$F$27:$F$174,$F119,'ИП + источники'!$AC$27:$AC$174,"уплата процентов по кредитам из нормативной прибыли")</f>
        <v>0</v>
      </c>
      <c r="AM119" s="1272">
        <f>_xlfn.SUMIFS('ИП + источники'!AN$27:AN$174,'ИП + источники'!$F$27:$F$174,$F119,'ИП + источники'!$AC$27:$AC$174,"уплата процентов по кредитам из нормативной прибыли")</f>
        <v>0</v>
      </c>
      <c r="AN119" s="1272">
        <f>_xlfn.SUMIFS('ИП + источники'!AO$27:AO$174,'ИП + источники'!$F$27:$F$174,$F119,'ИП + источники'!$AC$27:$AC$174,"уплата процентов по кредитам из нормативной прибыли")</f>
        <v>0</v>
      </c>
      <c r="AO119" s="1272">
        <f>_xlfn.SUMIFS('ИП + источники'!AP$27:AP$174,'ИП + источники'!$F$27:$F$174,$F119,'ИП + источники'!$AC$27:$AC$174,"уплата процентов по кредитам из нормативной прибыли")</f>
        <v>0</v>
      </c>
      <c r="AP119" s="1272">
        <f>_xlfn.SUMIFS('ИП + источники'!AQ$27:AQ$174,'ИП + источники'!$F$27:$F$174,$F119,'ИП + источники'!$AC$27:$AC$174,"уплата процентов по кредитам из нормативной прибыли")</f>
        <v>0</v>
      </c>
      <c r="AQ119" s="1272">
        <f>_xlfn.SUMIFS('ИП + источники'!AR$27:AR$174,'ИП + источники'!$F$27:$F$174,$F119,'ИП + источники'!$AC$27:$AC$174,"уплата процентов по кредитам из нормативной прибыли")</f>
        <v>0</v>
      </c>
      <c r="AR119" s="1272">
        <f>_xlfn.SUMIFS('ИП + источники'!AS$27:AS$174,'ИП + источники'!$F$27:$F$174,$F119,'ИП + источники'!$AC$27:$AC$174,"уплата процентов по кредитам из нормативной прибыли")</f>
        <v>0</v>
      </c>
      <c r="AS119" s="1272">
        <f>_xlfn.SUMIFS('ИП + источники'!AT$27:AT$174,'ИП + источники'!$F$27:$F$174,$F119,'ИП + источники'!$AC$27:$AC$174,"уплата процентов по кредитам из нормативной прибыли")</f>
        <v>0</v>
      </c>
      <c r="AT119" s="1272">
        <f>_xlfn.SUMIFS('ИП + источники'!AU$27:AU$174,'ИП + источники'!$F$27:$F$174,$F119,'ИП + источники'!$AC$27:$AC$174,"уплата процентов по кредитам из нормативной прибыли")</f>
        <v>0</v>
      </c>
      <c r="AU119" s="1272">
        <f>_xlfn.SUMIFS('ИП + источники'!AV$27:AV$174,'ИП + источники'!$F$27:$F$174,$F119,'ИП + источники'!$AC$27:$AC$174,"уплата процентов по кредитам из нормативной прибыли")</f>
        <v>0</v>
      </c>
      <c r="AV119" s="1272">
        <f>_xlfn.SUMIFS('ИП + источники'!AW$27:AW$174,'ИП + источники'!$F$27:$F$174,$F119,'ИП + источники'!$AC$27:$AC$174,"уплата процентов по кредитам из нормативной прибыли")</f>
        <v>0</v>
      </c>
      <c r="AW119" s="1272">
        <f>_xlfn.SUMIFS('ИП + источники'!AX$27:AX$174,'ИП + источники'!$F$27:$F$174,$F119,'ИП + источники'!$AC$27:$AC$174,"уплата процентов по кредитам из нормативной прибыли")</f>
        <v>0</v>
      </c>
      <c r="AX119" s="1272">
        <f>_xlfn.SUMIFS('ИП + источники'!AY$27:AY$174,'ИП + источники'!$F$27:$F$174,$F119,'ИП + источники'!$AC$27:$AC$174,"уплата процентов по кредитам из нормативной прибыли")</f>
        <v>0</v>
      </c>
      <c r="AY119" s="1272">
        <f>_xlfn.SUMIFS('ИП + источники'!AZ$27:AZ$174,'ИП + источники'!$F$27:$F$174,$F119,'ИП + источники'!$AC$27:$AC$174,"уплата процентов по кредитам из нормативной прибыли")</f>
        <v>0</v>
      </c>
      <c r="AZ119" s="1272">
        <f>_xlfn.SUMIFS('ИП + источники'!BA$27:BA$174,'ИП + источники'!$F$27:$F$174,$F119,'ИП + источники'!$AC$27:$AC$174,"уплата процентов по кредитам из нормативной прибыли")</f>
        <v>0</v>
      </c>
      <c r="BA119" s="1272">
        <f>_xlfn.SUMIFS('ИП + источники'!BB$27:BB$174,'ИП + источники'!$F$27:$F$174,$F119,'ИП + источники'!$AC$27:$AC$174,"уплата процентов по кредитам из нормативной прибыли")</f>
        <v>0</v>
      </c>
      <c r="BB119" s="1272">
        <f>_xlfn.SUMIFS('ИП + источники'!BC$27:BC$174,'ИП + источники'!$F$27:$F$174,$F119,'ИП + источники'!$AC$27:$AC$174,"уплата процентов по кредитам из нормативной прибыли")</f>
        <v>0</v>
      </c>
      <c r="BC119" s="1272">
        <f>_xlfn.SUMIFS('ИП + источники'!BD$27:BD$174,'ИП + источники'!$F$27:$F$174,$F119,'ИП + источники'!$AC$27:$AC$174,"уплата процентов по кредитам из нормативной прибыли")</f>
        <v>0</v>
      </c>
      <c r="BD119" s="951">
        <f>IF(AI119=0,0,(AT119-AI119)/AI119*100)</f>
        <v>0</v>
      </c>
      <c r="BE119" s="951">
        <f>IF(AT119=0,0,(AU119-AT119)/AT119*100)</f>
        <v>0</v>
      </c>
      <c r="BF119" s="951">
        <f>IF(AU119=0,0,(AV119-AU119)/AU119*100)</f>
        <v>0</v>
      </c>
      <c r="BG119" s="951">
        <f>IF(AV119=0,0,(AW119-AV119)/AV119*100)</f>
        <v>0</v>
      </c>
      <c r="BH119" s="951">
        <f>IF(AW119=0,0,(AX119-AW119)/AW119*100)</f>
        <v>0</v>
      </c>
      <c r="BI119" s="951">
        <f>IF(AX119=0,0,(AY119-AX119)/AX119*100)</f>
        <v>0</v>
      </c>
      <c r="BJ119" s="951">
        <f>IF(AY119=0,0,(AZ119-AY119)/AY119*100)</f>
        <v>0</v>
      </c>
      <c r="BK119" s="951">
        <f>IF(AZ119=0,0,(BA119-AZ119)/AZ119*100)</f>
        <v>0</v>
      </c>
      <c r="BL119" s="951">
        <f>IF(BA119=0,0,(BB119-BA119)/BA119*100)</f>
        <v>0</v>
      </c>
      <c r="BM119" s="951">
        <f>IF(BB119=0,0,(BC119-BB119)/BB119*100)</f>
        <v>0</v>
      </c>
      <c r="BN119" s="1275"/>
      <c r="BO119" s="1273" t="str">
        <f>IF(_xlfn.IFERROR(INDEX('ИП + источники'!$K$57:$L$174,MATCH($F119&amp;"3komm",'ИП + источники'!$K$57:$K$174,0),2),"")=0,"",_xlfn.IFERROR(INDEX('ИП + источники'!$K$57:$L$174,MATCH($F119&amp;"3komm",'ИП + источники'!$K$57:$K$174,0),2),""))</f>
        <v/>
      </c>
      <c r="BP119" s="1275"/>
      <c r="BQ119" s="1297"/>
      <c r="BR119" s="1297"/>
      <c r="BS119" s="1072" t="s">
        <v>2373</v>
      </c>
      <c r="BT119" s="1072"/>
      <c r="BU119" s="1072"/>
      <c r="BV119" s="987"/>
      <c r="BW119" s="987"/>
    </row>
    <row customHeight="1" ht="14.625" hidden="1">
      <c r="A120" s="1297"/>
      <c r="B120" s="434" cm="1" t="str">
        <f t="array" ref="B120:B120">B119</f>
        <v>true</v>
      </c>
      <c r="C120" s="1297"/>
      <c r="D120" s="1297"/>
      <c r="E120" s="709">
        <v>15</v>
      </c>
      <c r="F120" s="50" cm="1" t="str">
        <f t="array" ref="F120:F120">OFFSET(E120,-1,1)</f>
        <v>0</v>
      </c>
      <c r="G120" s="1297"/>
      <c r="H120" s="1297"/>
      <c r="I120" s="154" t="s">
        <v>889</v>
      </c>
      <c r="J120" s="1297"/>
      <c r="K120" s="154" t="s">
        <v>889</v>
      </c>
      <c r="L120" s="988" t="s">
        <v>692</v>
      </c>
      <c r="M120" s="103"/>
      <c r="N120" s="1297"/>
      <c r="O120" s="1297"/>
      <c r="P120" s="1297"/>
      <c r="Q120" s="1297"/>
      <c r="R120" s="1297"/>
      <c r="S120" s="1297"/>
      <c r="T120" s="468" cm="1" t="str">
        <f t="array" ref="T120:T120">T119</f>
        <v>false</v>
      </c>
      <c r="U120" s="1297"/>
      <c r="V120" s="1297"/>
      <c r="W120" s="1297"/>
      <c r="X120" s="1539"/>
      <c r="Y120" s="1297"/>
      <c r="Z120" s="1529"/>
      <c r="AA120" s="1297"/>
      <c r="AB120" s="295" t="s">
        <v>1122</v>
      </c>
      <c r="AC120" s="769" t="s">
        <v>2374</v>
      </c>
      <c r="AD120" s="296" t="s">
        <v>936</v>
      </c>
      <c r="AE120" s="1274">
        <f>_xlfn.SUMIFS('ИП + источники'!AF$27:AF$174,'ИП + источники'!$F$27:$F$174,$F120,'ИП + источники'!$AC$27:$AC$174,"Прибыль на капвложения")</f>
        <v>0</v>
      </c>
      <c r="AF120" s="1274">
        <f>_xlfn.SUMIFS('ИП + источники'!AG$27:AG$174,'ИП + источники'!$F$27:$F$174,$F120,'ИП + источники'!$AC$27:$AC$174,"Прибыль на капвложения")</f>
        <v>0</v>
      </c>
      <c r="AG120" s="1274">
        <f>_xlfn.SUMIFS('ИП + источники'!AH$27:AH$174,'ИП + источники'!$F$27:$F$174,$F120,'ИП + источники'!$AC$27:$AC$174,"Прибыль на капвложения")</f>
        <v>0</v>
      </c>
      <c r="AH120" s="951">
        <f>AG120-AF120</f>
        <v>0</v>
      </c>
      <c r="AI120" s="1272">
        <f>_xlfn.SUMIFS('ИП + источники'!AJ$27:AJ$174,'ИП + источники'!$F$27:$F$174,$F120,'ИП + источники'!$AC$27:$AC$174,"Прибыль на капвложения")</f>
        <v>0</v>
      </c>
      <c r="AJ120" s="1272">
        <f>_xlfn.SUMIFS('ИП + источники'!AK$27:AK$174,'ИП + источники'!$F$27:$F$174,$F120,'ИП + источники'!$AC$27:$AC$174,"Прибыль на капвложения")</f>
        <v>0</v>
      </c>
      <c r="AK120" s="1272">
        <f>_xlfn.SUMIFS('ИП + источники'!AL$27:AL$174,'ИП + источники'!$F$27:$F$174,$F120,'ИП + источники'!$AC$27:$AC$174,"Прибыль на капвложения")</f>
        <v>0</v>
      </c>
      <c r="AL120" s="1272">
        <f>_xlfn.SUMIFS('ИП + источники'!AM$27:AM$174,'ИП + источники'!$F$27:$F$174,$F120,'ИП + источники'!$AC$27:$AC$174,"Прибыль на капвложения")</f>
        <v>0</v>
      </c>
      <c r="AM120" s="1272">
        <f>_xlfn.SUMIFS('ИП + источники'!AN$27:AN$174,'ИП + источники'!$F$27:$F$174,$F120,'ИП + источники'!$AC$27:$AC$174,"Прибыль на капвложения")</f>
        <v>0</v>
      </c>
      <c r="AN120" s="1272">
        <f>_xlfn.SUMIFS('ИП + источники'!AO$27:AO$174,'ИП + источники'!$F$27:$F$174,$F120,'ИП + источники'!$AC$27:$AC$174,"Прибыль на капвложения")</f>
        <v>0</v>
      </c>
      <c r="AO120" s="1272">
        <f>_xlfn.SUMIFS('ИП + источники'!AP$27:AP$174,'ИП + источники'!$F$27:$F$174,$F120,'ИП + источники'!$AC$27:$AC$174,"Прибыль на капвложения")</f>
        <v>0</v>
      </c>
      <c r="AP120" s="1272">
        <f>_xlfn.SUMIFS('ИП + источники'!AQ$27:AQ$174,'ИП + источники'!$F$27:$F$174,$F120,'ИП + источники'!$AC$27:$AC$174,"Прибыль на капвложения")</f>
        <v>0</v>
      </c>
      <c r="AQ120" s="1272">
        <f>_xlfn.SUMIFS('ИП + источники'!AR$27:AR$174,'ИП + источники'!$F$27:$F$174,$F120,'ИП + источники'!$AC$27:$AC$174,"Прибыль на капвложения")</f>
        <v>0</v>
      </c>
      <c r="AR120" s="1272">
        <f>_xlfn.SUMIFS('ИП + источники'!AS$27:AS$174,'ИП + источники'!$F$27:$F$174,$F120,'ИП + источники'!$AC$27:$AC$174,"Прибыль на капвложения")</f>
        <v>0</v>
      </c>
      <c r="AS120" s="1272">
        <f>_xlfn.SUMIFS('ИП + источники'!AT$27:AT$174,'ИП + источники'!$F$27:$F$174,$F120,'ИП + источники'!$AC$27:$AC$174,"Прибыль на капвложения")</f>
        <v>0</v>
      </c>
      <c r="AT120" s="1272">
        <f>_xlfn.SUMIFS('ИП + источники'!AU$27:AU$174,'ИП + источники'!$F$27:$F$174,$F120,'ИП + источники'!$AC$27:$AC$174,"Прибыль на капвложения")</f>
        <v>0</v>
      </c>
      <c r="AU120" s="1272">
        <f>_xlfn.SUMIFS('ИП + источники'!AV$27:AV$174,'ИП + источники'!$F$27:$F$174,$F120,'ИП + источники'!$AC$27:$AC$174,"Прибыль на капвложения")</f>
        <v>0</v>
      </c>
      <c r="AV120" s="1272">
        <f>_xlfn.SUMIFS('ИП + источники'!AW$27:AW$174,'ИП + источники'!$F$27:$F$174,$F120,'ИП + источники'!$AC$27:$AC$174,"Прибыль на капвложения")</f>
        <v>0</v>
      </c>
      <c r="AW120" s="1272">
        <f>_xlfn.SUMIFS('ИП + источники'!AX$27:AX$174,'ИП + источники'!$F$27:$F$174,$F120,'ИП + источники'!$AC$27:$AC$174,"Прибыль на капвложения")</f>
        <v>0</v>
      </c>
      <c r="AX120" s="1272">
        <f>_xlfn.SUMIFS('ИП + источники'!AY$27:AY$174,'ИП + источники'!$F$27:$F$174,$F120,'ИП + источники'!$AC$27:$AC$174,"Прибыль на капвложения")</f>
        <v>0</v>
      </c>
      <c r="AY120" s="1272">
        <f>_xlfn.SUMIFS('ИП + источники'!AZ$27:AZ$174,'ИП + источники'!$F$27:$F$174,$F120,'ИП + источники'!$AC$27:$AC$174,"Прибыль на капвложения")</f>
        <v>0</v>
      </c>
      <c r="AZ120" s="1272">
        <f>_xlfn.SUMIFS('ИП + источники'!BA$27:BA$174,'ИП + источники'!$F$27:$F$174,$F120,'ИП + источники'!$AC$27:$AC$174,"Прибыль на капвложения")</f>
        <v>0</v>
      </c>
      <c r="BA120" s="1272">
        <f>_xlfn.SUMIFS('ИП + источники'!BB$27:BB$174,'ИП + источники'!$F$27:$F$174,$F120,'ИП + источники'!$AC$27:$AC$174,"Прибыль на капвложения")</f>
        <v>0</v>
      </c>
      <c r="BB120" s="1272">
        <f>_xlfn.SUMIFS('ИП + источники'!BC$27:BC$174,'ИП + источники'!$F$27:$F$174,$F120,'ИП + источники'!$AC$27:$AC$174,"Прибыль на капвложения")</f>
        <v>0</v>
      </c>
      <c r="BC120" s="1272">
        <f>_xlfn.SUMIFS('ИП + источники'!BD$27:BD$174,'ИП + источники'!$F$27:$F$174,$F120,'ИП + источники'!$AC$27:$AC$174,"Прибыль на капвложения")</f>
        <v>0</v>
      </c>
      <c r="BD120" s="951">
        <f>IF(AI120=0,0,(AT120-AI120)/AI120*100)</f>
        <v>0</v>
      </c>
      <c r="BE120" s="951">
        <f>IF(AT120=0,0,(AU120-AT120)/AT120*100)</f>
        <v>0</v>
      </c>
      <c r="BF120" s="951">
        <f>IF(AU120=0,0,(AV120-AU120)/AU120*100)</f>
        <v>0</v>
      </c>
      <c r="BG120" s="951">
        <f>IF(AV120=0,0,(AW120-AV120)/AV120*100)</f>
        <v>0</v>
      </c>
      <c r="BH120" s="951">
        <f>IF(AW120=0,0,(AX120-AW120)/AW120*100)</f>
        <v>0</v>
      </c>
      <c r="BI120" s="951">
        <f>IF(AX120=0,0,(AY120-AX120)/AX120*100)</f>
        <v>0</v>
      </c>
      <c r="BJ120" s="951">
        <f>IF(AY120=0,0,(AZ120-AY120)/AY120*100)</f>
        <v>0</v>
      </c>
      <c r="BK120" s="951">
        <f>IF(AZ120=0,0,(BA120-AZ120)/AZ120*100)</f>
        <v>0</v>
      </c>
      <c r="BL120" s="951">
        <f>IF(BA120=0,0,(BB120-BA120)/BA120*100)</f>
        <v>0</v>
      </c>
      <c r="BM120" s="951">
        <f>IF(BB120=0,0,(BC120-BB120)/BB120*100)</f>
        <v>0</v>
      </c>
      <c r="BN120" s="1275"/>
      <c r="BO120" s="1273" t="str">
        <f>IF(_xlfn.IFERROR(INDEX('ИП + источники'!$K$57:$L$174,MATCH($F120&amp;"1komm",'ИП + источники'!$K$57:$K$174,0),2),"")=0,"",_xlfn.IFERROR(INDEX('ИП + источники'!$K$57:$L$174,MATCH($F120&amp;"1komm",'ИП + источники'!$K$57:$K$174,0),2),""))</f>
        <v/>
      </c>
      <c r="BP120" s="1275"/>
      <c r="BQ120" s="1297"/>
      <c r="BR120" s="1297"/>
      <c r="BS120" s="1072" t="s">
        <v>2084</v>
      </c>
      <c r="BT120" s="1072"/>
      <c r="BU120" s="1072"/>
      <c r="BV120" s="987"/>
      <c r="BW120" s="987"/>
    </row>
    <row customHeight="1" ht="21.9375" hidden="1">
      <c r="A121" s="1297"/>
      <c r="B121" s="434" cm="1" t="str">
        <f t="array" ref="B121:B121">B120</f>
        <v>true</v>
      </c>
      <c r="C121" s="1297"/>
      <c r="D121" s="1297"/>
      <c r="E121" s="709">
        <v>22.5</v>
      </c>
      <c r="F121" s="50" cm="1" t="str">
        <f t="array" ref="F121:F121">OFFSET(E121,-1,1)</f>
        <v>0</v>
      </c>
      <c r="G121" s="154" t="s">
        <v>2375</v>
      </c>
      <c r="H121" s="1297"/>
      <c r="I121" s="154" t="s">
        <v>1124</v>
      </c>
      <c r="J121" s="1297"/>
      <c r="K121" s="154" t="s">
        <v>1124</v>
      </c>
      <c r="L121" s="988" t="s">
        <v>696</v>
      </c>
      <c r="M121" s="103"/>
      <c r="N121" s="1297"/>
      <c r="O121" s="1297"/>
      <c r="P121" s="1297"/>
      <c r="Q121" s="1297"/>
      <c r="R121" s="1297"/>
      <c r="S121" s="1297"/>
      <c r="T121" s="468" cm="1" t="str">
        <f t="array" ref="T121:T121">T120</f>
        <v>false</v>
      </c>
      <c r="U121" s="1297"/>
      <c r="V121" s="1297"/>
      <c r="W121" s="1297"/>
      <c r="X121" s="1539"/>
      <c r="Y121" s="1297"/>
      <c r="Z121" s="1529"/>
      <c r="AA121" s="1297"/>
      <c r="AB121" s="295" t="s">
        <v>1125</v>
      </c>
      <c r="AC121" s="769" t="s">
        <v>2376</v>
      </c>
      <c r="AD121" s="296" t="s">
        <v>936</v>
      </c>
      <c r="AE121" s="1274"/>
      <c r="AF121" s="1274"/>
      <c r="AG121" s="1274"/>
      <c r="AH121" s="951">
        <f>AG121-AF121</f>
        <v>0</v>
      </c>
      <c r="AI121" s="1272"/>
      <c r="AJ121" s="1272"/>
      <c r="AK121" s="1272"/>
      <c r="AL121" s="1272"/>
      <c r="AM121" s="1272"/>
      <c r="AN121" s="1272"/>
      <c r="AO121" s="1272"/>
      <c r="AP121" s="1272"/>
      <c r="AQ121" s="1272"/>
      <c r="AR121" s="1272"/>
      <c r="AS121" s="1272"/>
      <c r="AT121" s="1272"/>
      <c r="AU121" s="1272"/>
      <c r="AV121" s="1272"/>
      <c r="AW121" s="1272"/>
      <c r="AX121" s="1272"/>
      <c r="AY121" s="1272"/>
      <c r="AZ121" s="1272"/>
      <c r="BA121" s="1272"/>
      <c r="BB121" s="1272"/>
      <c r="BC121" s="1272"/>
      <c r="BD121" s="951">
        <f>IF(AI121=0,0,(AT121-AI121)/AI121*100)</f>
        <v>0</v>
      </c>
      <c r="BE121" s="951">
        <f>IF(AT121=0,0,(AU121-AT121)/AT121*100)</f>
        <v>0</v>
      </c>
      <c r="BF121" s="951">
        <f>IF(AU121=0,0,(AV121-AU121)/AU121*100)</f>
        <v>0</v>
      </c>
      <c r="BG121" s="951">
        <f>IF(AV121=0,0,(AW121-AV121)/AV121*100)</f>
        <v>0</v>
      </c>
      <c r="BH121" s="951">
        <f>IF(AW121=0,0,(AX121-AW121)/AW121*100)</f>
        <v>0</v>
      </c>
      <c r="BI121" s="951">
        <f>IF(AX121=0,0,(AY121-AX121)/AX121*100)</f>
        <v>0</v>
      </c>
      <c r="BJ121" s="951">
        <f>IF(AY121=0,0,(AZ121-AY121)/AY121*100)</f>
        <v>0</v>
      </c>
      <c r="BK121" s="951">
        <f>IF(AZ121=0,0,(BA121-AZ121)/AZ121*100)</f>
        <v>0</v>
      </c>
      <c r="BL121" s="951">
        <f>IF(BA121=0,0,(BB121-BA121)/BA121*100)</f>
        <v>0</v>
      </c>
      <c r="BM121" s="951">
        <f>IF(BB121=0,0,(BC121-BB121)/BB121*100)</f>
        <v>0</v>
      </c>
      <c r="BN121" s="1275"/>
      <c r="BO121" s="1275"/>
      <c r="BP121" s="1275"/>
      <c r="BQ121" s="1297"/>
      <c r="BR121" s="1297"/>
      <c r="BS121" s="1072" t="s">
        <v>2377</v>
      </c>
      <c r="BT121" s="1072"/>
      <c r="BU121" s="1072"/>
      <c r="BV121" s="987"/>
      <c r="BW121" s="987"/>
    </row>
    <row customHeight="1" ht="14.625" hidden="1">
      <c r="A122" s="1297"/>
      <c r="B122" s="434">
        <f>AND(method_reg="Метод индексации",STATUS_GO="да")</f>
        <v>0</v>
      </c>
      <c r="C122" s="1297"/>
      <c r="D122" s="1297"/>
      <c r="E122" s="709">
        <v>15</v>
      </c>
      <c r="F122" s="50" cm="1" t="str">
        <f t="array" ref="F122:F122">OFFSET(E122,-1,1)</f>
        <v>0</v>
      </c>
      <c r="G122" s="154" t="s">
        <v>2087</v>
      </c>
      <c r="H122" s="1297"/>
      <c r="I122" s="154" t="s">
        <v>616</v>
      </c>
      <c r="J122" s="1297"/>
      <c r="K122" s="154" t="s">
        <v>616</v>
      </c>
      <c r="L122" s="988" t="s">
        <v>700</v>
      </c>
      <c r="M122" s="103"/>
      <c r="N122" s="1297"/>
      <c r="O122" s="1297"/>
      <c r="P122" s="1297"/>
      <c r="Q122" s="1297"/>
      <c r="R122" s="1297"/>
      <c r="S122" s="1297"/>
      <c r="T122" s="468" cm="1" t="str">
        <f t="array" ref="T122:T122">T121</f>
        <v>false</v>
      </c>
      <c r="U122" s="1297"/>
      <c r="V122" s="1297"/>
      <c r="W122" s="1297"/>
      <c r="X122" s="1539"/>
      <c r="Y122" s="1297"/>
      <c r="Z122" s="1529"/>
      <c r="AA122" s="1297"/>
      <c r="AB122" s="295" t="s">
        <v>457</v>
      </c>
      <c r="AC122" s="454" t="s">
        <v>2087</v>
      </c>
      <c r="AD122" s="296" t="s">
        <v>936</v>
      </c>
      <c r="AE122" s="1274"/>
      <c r="AF122" s="1274"/>
      <c r="AG122" s="1274"/>
      <c r="AH122" s="951">
        <f>AG122-AF122</f>
        <v>0</v>
      </c>
      <c r="AI122" s="1272"/>
      <c r="AJ122" s="1272"/>
      <c r="AK122" s="1272"/>
      <c r="AL122" s="1272"/>
      <c r="AM122" s="1272"/>
      <c r="AN122" s="1272"/>
      <c r="AO122" s="1272"/>
      <c r="AP122" s="1272"/>
      <c r="AQ122" s="1272"/>
      <c r="AR122" s="1272"/>
      <c r="AS122" s="1272"/>
      <c r="AT122" s="1272"/>
      <c r="AU122" s="1272"/>
      <c r="AV122" s="1272"/>
      <c r="AW122" s="1272"/>
      <c r="AX122" s="1272"/>
      <c r="AY122" s="1272"/>
      <c r="AZ122" s="1272"/>
      <c r="BA122" s="1272"/>
      <c r="BB122" s="1272"/>
      <c r="BC122" s="1272"/>
      <c r="BD122" s="951">
        <f>IF(AI122=0,0,(AT122-AI122)/AI122*100)</f>
        <v>0</v>
      </c>
      <c r="BE122" s="951">
        <f>IF(AT122=0,0,(AU122-AT122)/AT122*100)</f>
        <v>0</v>
      </c>
      <c r="BF122" s="951">
        <f>IF(AU122=0,0,(AV122-AU122)/AU122*100)</f>
        <v>0</v>
      </c>
      <c r="BG122" s="951">
        <f>IF(AV122=0,0,(AW122-AV122)/AV122*100)</f>
        <v>0</v>
      </c>
      <c r="BH122" s="951">
        <f>IF(AW122=0,0,(AX122-AW122)/AW122*100)</f>
        <v>0</v>
      </c>
      <c r="BI122" s="951">
        <f>IF(AX122=0,0,(AY122-AX122)/AX122*100)</f>
        <v>0</v>
      </c>
      <c r="BJ122" s="951">
        <f>IF(AY122=0,0,(AZ122-AY122)/AY122*100)</f>
        <v>0</v>
      </c>
      <c r="BK122" s="951">
        <f>IF(AZ122=0,0,(BA122-AZ122)/AZ122*100)</f>
        <v>0</v>
      </c>
      <c r="BL122" s="951">
        <f>IF(BA122=0,0,(BB122-BA122)/BA122*100)</f>
        <v>0</v>
      </c>
      <c r="BM122" s="951">
        <f>IF(BB122=0,0,(BC122-BB122)/BB122*100)</f>
        <v>0</v>
      </c>
      <c r="BN122" s="1275"/>
      <c r="BO122" s="1275"/>
      <c r="BP122" s="1275"/>
      <c r="BQ122" s="1297"/>
      <c r="BR122" s="1297"/>
      <c r="BS122" s="1072" t="s">
        <v>2088</v>
      </c>
      <c r="BT122" s="1072"/>
      <c r="BU122" s="1072"/>
      <c r="BV122" s="987"/>
      <c r="BW122" s="987"/>
    </row>
    <row customHeight="1" ht="14.625" hidden="1">
      <c r="A123" s="1297"/>
      <c r="B123" s="983">
        <f>method_reg="Метод обеспечения доходности инвестированного капитала"</f>
        <v>0</v>
      </c>
      <c r="C123" s="1297"/>
      <c r="D123" s="1297"/>
      <c r="E123" s="709">
        <v>15</v>
      </c>
      <c r="F123" s="50" cm="1" t="str">
        <f t="array" ref="F123:F123">OFFSET(E123,-1,1)</f>
        <v>0</v>
      </c>
      <c r="G123" s="1297"/>
      <c r="H123" s="1297"/>
      <c r="I123" s="1297"/>
      <c r="J123" s="1297"/>
      <c r="K123" s="103" t="s">
        <v>348</v>
      </c>
      <c r="L123" s="988"/>
      <c r="M123" s="103"/>
      <c r="N123" s="1297"/>
      <c r="O123" s="1297"/>
      <c r="P123" s="1297"/>
      <c r="Q123" s="1297"/>
      <c r="R123" s="1297"/>
      <c r="S123" s="1297"/>
      <c r="T123" s="468" cm="1" t="str">
        <f t="array" ref="T123:T123">T122</f>
        <v>false</v>
      </c>
      <c r="U123" s="1297"/>
      <c r="V123" s="1297"/>
      <c r="W123" s="1297"/>
      <c r="X123" s="1539"/>
      <c r="Y123" s="1297"/>
      <c r="Z123" s="1529"/>
      <c r="AA123" s="1297"/>
      <c r="AB123" s="799" t="s">
        <v>451</v>
      </c>
      <c r="AC123" s="800" t="s">
        <v>2378</v>
      </c>
      <c r="AD123" s="801" t="s">
        <v>936</v>
      </c>
      <c r="AE123" s="1265"/>
      <c r="AF123" s="1265"/>
      <c r="AG123" s="1265"/>
      <c r="AH123" s="768">
        <f>AG123-AF123</f>
        <v>0</v>
      </c>
      <c r="AI123" s="1265"/>
      <c r="AJ123" s="1265"/>
      <c r="AK123" s="1265"/>
      <c r="AL123" s="1265"/>
      <c r="AM123" s="1265"/>
      <c r="AN123" s="1265"/>
      <c r="AO123" s="1265"/>
      <c r="AP123" s="1265"/>
      <c r="AQ123" s="1265"/>
      <c r="AR123" s="1265"/>
      <c r="AS123" s="1265"/>
      <c r="AT123" s="1265"/>
      <c r="AU123" s="1265"/>
      <c r="AV123" s="1265"/>
      <c r="AW123" s="1265"/>
      <c r="AX123" s="1265"/>
      <c r="AY123" s="1265"/>
      <c r="AZ123" s="1265"/>
      <c r="BA123" s="1265"/>
      <c r="BB123" s="1265"/>
      <c r="BC123" s="1265"/>
      <c r="BD123" s="768">
        <f>IF(AI123=0,0,(AT123-AI123)/AI123*100)</f>
        <v>0</v>
      </c>
      <c r="BE123" s="768">
        <f>IF(AT123=0,0,(AU123-AT123)/AT123*100)</f>
        <v>0</v>
      </c>
      <c r="BF123" s="768">
        <f>IF(AU123=0,0,(AV123-AU123)/AU123*100)</f>
        <v>0</v>
      </c>
      <c r="BG123" s="768">
        <f>IF(AV123=0,0,(AW123-AV123)/AV123*100)</f>
        <v>0</v>
      </c>
      <c r="BH123" s="768">
        <f>IF(AW123=0,0,(AX123-AW123)/AW123*100)</f>
        <v>0</v>
      </c>
      <c r="BI123" s="768">
        <f>IF(AX123=0,0,(AY123-AX123)/AX123*100)</f>
        <v>0</v>
      </c>
      <c r="BJ123" s="768">
        <f>IF(AY123=0,0,(AZ123-AY123)/AY123*100)</f>
        <v>0</v>
      </c>
      <c r="BK123" s="768">
        <f>IF(AZ123=0,0,(BA123-AZ123)/AZ123*100)</f>
        <v>0</v>
      </c>
      <c r="BL123" s="768">
        <f>IF(BA123=0,0,(BB123-BA123)/BA123*100)</f>
        <v>0</v>
      </c>
      <c r="BM123" s="768">
        <f>IF(BB123=0,0,(BC123-BB123)/BB123*100)</f>
        <v>0</v>
      </c>
      <c r="BN123" s="1266"/>
      <c r="BO123" s="1266"/>
      <c r="BP123" s="1266"/>
      <c r="BQ123" s="1297"/>
      <c r="BR123" s="1297"/>
      <c r="BS123" s="1072" t="s">
        <v>2379</v>
      </c>
      <c r="BT123" s="1072"/>
      <c r="BU123" s="1072"/>
      <c r="BV123" s="987"/>
      <c r="BW123" s="987"/>
    </row>
    <row customHeight="1" ht="14.625" hidden="1">
      <c r="A124" s="1297"/>
      <c r="B124" s="983" cm="1" t="str">
        <f t="array" ref="B124:B124">B123</f>
        <v>false</v>
      </c>
      <c r="C124" s="1297"/>
      <c r="D124" s="1297"/>
      <c r="E124" s="709">
        <v>15</v>
      </c>
      <c r="F124" s="50" cm="1" t="str">
        <f t="array" ref="F124:F124">OFFSET(E124,-1,1)</f>
        <v>0</v>
      </c>
      <c r="G124" s="1297"/>
      <c r="H124" s="1297"/>
      <c r="I124" s="1297"/>
      <c r="J124" s="1297"/>
      <c r="K124" s="103" t="s">
        <v>659</v>
      </c>
      <c r="L124" s="988"/>
      <c r="M124" s="103"/>
      <c r="N124" s="1297"/>
      <c r="O124" s="1297"/>
      <c r="P124" s="1297"/>
      <c r="Q124" s="1297"/>
      <c r="R124" s="1297"/>
      <c r="S124" s="1297"/>
      <c r="T124" s="468" cm="1" t="str">
        <f t="array" ref="T124:T124">T123</f>
        <v>false</v>
      </c>
      <c r="U124" s="1297"/>
      <c r="V124" s="1297"/>
      <c r="W124" s="1297"/>
      <c r="X124" s="1539"/>
      <c r="Y124" s="1297"/>
      <c r="Z124" s="1529"/>
      <c r="AA124" s="1297"/>
      <c r="AB124" s="802" t="s">
        <v>794</v>
      </c>
      <c r="AC124" s="803" t="s">
        <v>2380</v>
      </c>
      <c r="AD124" s="804" t="s">
        <v>936</v>
      </c>
      <c r="AE124" s="1272"/>
      <c r="AF124" s="1272"/>
      <c r="AG124" s="1272"/>
      <c r="AH124" s="950"/>
      <c r="AI124" s="1272"/>
      <c r="AJ124" s="1272"/>
      <c r="AK124" s="1272"/>
      <c r="AL124" s="1272"/>
      <c r="AM124" s="1272"/>
      <c r="AN124" s="1272"/>
      <c r="AO124" s="1272"/>
      <c r="AP124" s="1272"/>
      <c r="AQ124" s="1272"/>
      <c r="AR124" s="1272"/>
      <c r="AS124" s="1272"/>
      <c r="AT124" s="1272"/>
      <c r="AU124" s="1272"/>
      <c r="AV124" s="1272"/>
      <c r="AW124" s="1272"/>
      <c r="AX124" s="1272"/>
      <c r="AY124" s="1272"/>
      <c r="AZ124" s="1272"/>
      <c r="BA124" s="1272"/>
      <c r="BB124" s="1272"/>
      <c r="BC124" s="1272"/>
      <c r="BD124" s="950"/>
      <c r="BE124" s="950"/>
      <c r="BF124" s="950"/>
      <c r="BG124" s="950"/>
      <c r="BH124" s="950"/>
      <c r="BI124" s="950"/>
      <c r="BJ124" s="950"/>
      <c r="BK124" s="950"/>
      <c r="BL124" s="950"/>
      <c r="BM124" s="950"/>
      <c r="BN124" s="1270"/>
      <c r="BO124" s="1270"/>
      <c r="BP124" s="1270"/>
      <c r="BQ124" s="1297"/>
      <c r="BR124" s="1297"/>
      <c r="BS124" s="1072" t="s">
        <v>2381</v>
      </c>
      <c r="BT124" s="1072"/>
      <c r="BU124" s="1072"/>
      <c r="BV124" s="987"/>
      <c r="BW124" s="987"/>
    </row>
    <row customHeight="1" ht="14.625" hidden="1">
      <c r="A125" s="1297"/>
      <c r="B125" s="983" cm="1" t="str">
        <f t="array" ref="B125:B125">B124</f>
        <v>false</v>
      </c>
      <c r="C125" s="1297"/>
      <c r="D125" s="1297"/>
      <c r="E125" s="709">
        <v>15</v>
      </c>
      <c r="F125" s="50" cm="1" t="str">
        <f t="array" ref="F125:F125">OFFSET(E125,-1,1)</f>
        <v>0</v>
      </c>
      <c r="G125" s="1297"/>
      <c r="H125" s="1297"/>
      <c r="I125" s="1297"/>
      <c r="J125" s="1297"/>
      <c r="K125" s="103" t="s">
        <v>663</v>
      </c>
      <c r="L125" s="988"/>
      <c r="M125" s="103"/>
      <c r="N125" s="1297"/>
      <c r="O125" s="1297"/>
      <c r="P125" s="1297"/>
      <c r="Q125" s="1297"/>
      <c r="R125" s="1297"/>
      <c r="S125" s="1297"/>
      <c r="T125" s="468" cm="1" t="str">
        <f t="array" ref="T125:T125">T124</f>
        <v>false</v>
      </c>
      <c r="U125" s="1297"/>
      <c r="V125" s="1297"/>
      <c r="W125" s="1297"/>
      <c r="X125" s="1539"/>
      <c r="Y125" s="1297"/>
      <c r="Z125" s="1529"/>
      <c r="AA125" s="1297"/>
      <c r="AB125" s="802" t="s">
        <v>797</v>
      </c>
      <c r="AC125" s="803" t="s">
        <v>2382</v>
      </c>
      <c r="AD125" s="804" t="s">
        <v>2383</v>
      </c>
      <c r="AE125" s="1272"/>
      <c r="AF125" s="1272"/>
      <c r="AG125" s="1272"/>
      <c r="AH125" s="950"/>
      <c r="AI125" s="1272"/>
      <c r="AJ125" s="1272"/>
      <c r="AK125" s="1272"/>
      <c r="AL125" s="1272"/>
      <c r="AM125" s="1272"/>
      <c r="AN125" s="1272"/>
      <c r="AO125" s="1272"/>
      <c r="AP125" s="1272"/>
      <c r="AQ125" s="1272"/>
      <c r="AR125" s="1272"/>
      <c r="AS125" s="1272"/>
      <c r="AT125" s="1272"/>
      <c r="AU125" s="1272"/>
      <c r="AV125" s="1272"/>
      <c r="AW125" s="1272"/>
      <c r="AX125" s="1272"/>
      <c r="AY125" s="1272"/>
      <c r="AZ125" s="1272"/>
      <c r="BA125" s="1272"/>
      <c r="BB125" s="1272"/>
      <c r="BC125" s="1272"/>
      <c r="BD125" s="950"/>
      <c r="BE125" s="950"/>
      <c r="BF125" s="950"/>
      <c r="BG125" s="950"/>
      <c r="BH125" s="950"/>
      <c r="BI125" s="950"/>
      <c r="BJ125" s="950"/>
      <c r="BK125" s="950"/>
      <c r="BL125" s="950"/>
      <c r="BM125" s="950"/>
      <c r="BN125" s="1270"/>
      <c r="BO125" s="1270"/>
      <c r="BP125" s="1270"/>
      <c r="BQ125" s="1297"/>
      <c r="BR125" s="1297"/>
      <c r="BS125" s="1072" t="s">
        <v>2384</v>
      </c>
      <c r="BT125" s="1072"/>
      <c r="BU125" s="1072"/>
      <c r="BV125" s="987"/>
      <c r="BW125" s="987"/>
    </row>
    <row customHeight="1" ht="14.625" hidden="1">
      <c r="A126" s="1297"/>
      <c r="B126" s="983" cm="1" t="str">
        <f t="array" ref="B126:B126">B125</f>
        <v>false</v>
      </c>
      <c r="C126" s="1297"/>
      <c r="D126" s="1297"/>
      <c r="E126" s="709">
        <v>15</v>
      </c>
      <c r="F126" s="50" cm="1" t="str">
        <f t="array" ref="F126:F126">OFFSET(E126,-1,1)</f>
        <v>0</v>
      </c>
      <c r="G126" s="1297"/>
      <c r="H126" s="1297"/>
      <c r="I126" s="1297"/>
      <c r="J126" s="1297"/>
      <c r="K126" s="103" t="s">
        <v>347</v>
      </c>
      <c r="L126" s="988"/>
      <c r="M126" s="103"/>
      <c r="N126" s="1297"/>
      <c r="O126" s="1297"/>
      <c r="P126" s="1297"/>
      <c r="Q126" s="1297"/>
      <c r="R126" s="1297"/>
      <c r="S126" s="1297"/>
      <c r="T126" s="468" cm="1" t="str">
        <f t="array" ref="T126:T126">T125</f>
        <v>false</v>
      </c>
      <c r="U126" s="1297"/>
      <c r="V126" s="1297"/>
      <c r="W126" s="1297"/>
      <c r="X126" s="1539"/>
      <c r="Y126" s="1297"/>
      <c r="Z126" s="1529"/>
      <c r="AA126" s="1297"/>
      <c r="AB126" s="799" t="s">
        <v>454</v>
      </c>
      <c r="AC126" s="800" t="s">
        <v>2385</v>
      </c>
      <c r="AD126" s="801" t="s">
        <v>936</v>
      </c>
      <c r="AE126" s="1265"/>
      <c r="AF126" s="1265"/>
      <c r="AG126" s="1265"/>
      <c r="AH126" s="768">
        <f>AG126-AF126</f>
        <v>0</v>
      </c>
      <c r="AI126" s="1265"/>
      <c r="AJ126" s="1265"/>
      <c r="AK126" s="1265"/>
      <c r="AL126" s="1265"/>
      <c r="AM126" s="1265"/>
      <c r="AN126" s="1265"/>
      <c r="AO126" s="1265"/>
      <c r="AP126" s="1265"/>
      <c r="AQ126" s="1265"/>
      <c r="AR126" s="1265"/>
      <c r="AS126" s="1265"/>
      <c r="AT126" s="1265"/>
      <c r="AU126" s="1265"/>
      <c r="AV126" s="1265"/>
      <c r="AW126" s="1265"/>
      <c r="AX126" s="1265"/>
      <c r="AY126" s="1265"/>
      <c r="AZ126" s="1265"/>
      <c r="BA126" s="1265"/>
      <c r="BB126" s="1265"/>
      <c r="BC126" s="1265"/>
      <c r="BD126" s="768">
        <f>IF(AI126=0,0,(AT126-AI126)/AI126*100)</f>
        <v>0</v>
      </c>
      <c r="BE126" s="768">
        <f>IF(AT126=0,0,(AU126-AT126)/AT126*100)</f>
        <v>0</v>
      </c>
      <c r="BF126" s="768">
        <f>IF(AU126=0,0,(AV126-AU126)/AU126*100)</f>
        <v>0</v>
      </c>
      <c r="BG126" s="768">
        <f>IF(AV126=0,0,(AW126-AV126)/AV126*100)</f>
        <v>0</v>
      </c>
      <c r="BH126" s="768">
        <f>IF(AW126=0,0,(AX126-AW126)/AW126*100)</f>
        <v>0</v>
      </c>
      <c r="BI126" s="768">
        <f>IF(AX126=0,0,(AY126-AX126)/AX126*100)</f>
        <v>0</v>
      </c>
      <c r="BJ126" s="768">
        <f>IF(AY126=0,0,(AZ126-AY126)/AY126*100)</f>
        <v>0</v>
      </c>
      <c r="BK126" s="768">
        <f>IF(AZ126=0,0,(BA126-AZ126)/AZ126*100)</f>
        <v>0</v>
      </c>
      <c r="BL126" s="768">
        <f>IF(BA126=0,0,(BB126-BA126)/BA126*100)</f>
        <v>0</v>
      </c>
      <c r="BM126" s="768">
        <f>IF(BB126=0,0,(BC126-BB126)/BB126*100)</f>
        <v>0</v>
      </c>
      <c r="BN126" s="1266"/>
      <c r="BO126" s="1266"/>
      <c r="BP126" s="1266"/>
      <c r="BQ126" s="1297"/>
      <c r="BR126" s="1297"/>
      <c r="BS126" s="1072" t="s">
        <v>2386</v>
      </c>
      <c r="BT126" s="1072"/>
      <c r="BU126" s="1072"/>
      <c r="BV126" s="987"/>
      <c r="BW126" s="987"/>
    </row>
    <row customHeight="1" ht="14.625" hidden="1">
      <c r="A127" s="1297"/>
      <c r="B127" s="983" cm="1" t="str">
        <f t="array" ref="B127:B127">B126</f>
        <v>false</v>
      </c>
      <c r="C127" s="1297"/>
      <c r="D127" s="1297"/>
      <c r="E127" s="709">
        <v>15</v>
      </c>
      <c r="F127" s="50" cm="1" t="str">
        <f t="array" ref="F127:F127">OFFSET(E127,-1,1)</f>
        <v>0</v>
      </c>
      <c r="G127" s="1297"/>
      <c r="H127" s="1297"/>
      <c r="I127" s="1297"/>
      <c r="J127" s="1297"/>
      <c r="K127" s="103" t="s">
        <v>673</v>
      </c>
      <c r="L127" s="988"/>
      <c r="M127" s="103"/>
      <c r="N127" s="1297"/>
      <c r="O127" s="1297"/>
      <c r="P127" s="1297"/>
      <c r="Q127" s="1297"/>
      <c r="R127" s="1297"/>
      <c r="S127" s="1297"/>
      <c r="T127" s="468" cm="1" t="str">
        <f t="array" ref="T127:T127">T126</f>
        <v>false</v>
      </c>
      <c r="U127" s="1297"/>
      <c r="V127" s="1297"/>
      <c r="W127" s="1297"/>
      <c r="X127" s="1539"/>
      <c r="Y127" s="1297"/>
      <c r="Z127" s="1529"/>
      <c r="AA127" s="1297"/>
      <c r="AB127" s="802" t="s">
        <v>801</v>
      </c>
      <c r="AC127" s="803" t="s">
        <v>2387</v>
      </c>
      <c r="AD127" s="804" t="s">
        <v>936</v>
      </c>
      <c r="AE127" s="1272"/>
      <c r="AF127" s="1272"/>
      <c r="AG127" s="1272"/>
      <c r="AH127" s="950"/>
      <c r="AI127" s="1272"/>
      <c r="AJ127" s="1272"/>
      <c r="AK127" s="1272"/>
      <c r="AL127" s="1272"/>
      <c r="AM127" s="1272"/>
      <c r="AN127" s="1272"/>
      <c r="AO127" s="1272"/>
      <c r="AP127" s="1272"/>
      <c r="AQ127" s="1272"/>
      <c r="AR127" s="1272"/>
      <c r="AS127" s="1272"/>
      <c r="AT127" s="1272"/>
      <c r="AU127" s="1272"/>
      <c r="AV127" s="1272"/>
      <c r="AW127" s="1272"/>
      <c r="AX127" s="1272"/>
      <c r="AY127" s="1272"/>
      <c r="AZ127" s="1272"/>
      <c r="BA127" s="1272"/>
      <c r="BB127" s="1272"/>
      <c r="BC127" s="1272"/>
      <c r="BD127" s="950"/>
      <c r="BE127" s="950"/>
      <c r="BF127" s="950"/>
      <c r="BG127" s="950"/>
      <c r="BH127" s="950"/>
      <c r="BI127" s="950"/>
      <c r="BJ127" s="950"/>
      <c r="BK127" s="950"/>
      <c r="BL127" s="950"/>
      <c r="BM127" s="950"/>
      <c r="BN127" s="1270"/>
      <c r="BO127" s="1270"/>
      <c r="BP127" s="1270"/>
      <c r="BQ127" s="1297"/>
      <c r="BR127" s="1297"/>
      <c r="BS127" s="1072" t="s">
        <v>2388</v>
      </c>
      <c r="BT127" s="1072"/>
      <c r="BU127" s="1072"/>
      <c r="BV127" s="987"/>
      <c r="BW127" s="987"/>
    </row>
    <row customHeight="1" ht="14.625" hidden="1">
      <c r="A128" s="1297"/>
      <c r="B128" s="983" cm="1" t="str">
        <f t="array" ref="B128:B128">B127</f>
        <v>false</v>
      </c>
      <c r="C128" s="1297"/>
      <c r="D128" s="1297"/>
      <c r="E128" s="709">
        <v>15</v>
      </c>
      <c r="F128" s="50" cm="1" t="str">
        <f t="array" ref="F128:F128">OFFSET(E128,-1,1)</f>
        <v>0</v>
      </c>
      <c r="G128" s="1297"/>
      <c r="H128" s="1297"/>
      <c r="I128" s="1297"/>
      <c r="J128" s="1297"/>
      <c r="K128" s="103" t="s">
        <v>677</v>
      </c>
      <c r="L128" s="988"/>
      <c r="M128" s="103"/>
      <c r="N128" s="1297"/>
      <c r="O128" s="1297"/>
      <c r="P128" s="1297"/>
      <c r="Q128" s="1297"/>
      <c r="R128" s="1297"/>
      <c r="S128" s="1297"/>
      <c r="T128" s="468" cm="1" t="str">
        <f t="array" ref="T128:T128">T127</f>
        <v>false</v>
      </c>
      <c r="U128" s="1297"/>
      <c r="V128" s="1297"/>
      <c r="W128" s="1297"/>
      <c r="X128" s="1539"/>
      <c r="Y128" s="1297"/>
      <c r="Z128" s="1529"/>
      <c r="AA128" s="1297"/>
      <c r="AB128" s="802" t="s">
        <v>804</v>
      </c>
      <c r="AC128" s="803" t="s">
        <v>2389</v>
      </c>
      <c r="AD128" s="804" t="s">
        <v>561</v>
      </c>
      <c r="AE128" s="1272"/>
      <c r="AF128" s="1272"/>
      <c r="AG128" s="1272"/>
      <c r="AH128" s="950"/>
      <c r="AI128" s="1272"/>
      <c r="AJ128" s="1272"/>
      <c r="AK128" s="1272"/>
      <c r="AL128" s="1272"/>
      <c r="AM128" s="1272"/>
      <c r="AN128" s="1272"/>
      <c r="AO128" s="1272"/>
      <c r="AP128" s="1272"/>
      <c r="AQ128" s="1272"/>
      <c r="AR128" s="1272"/>
      <c r="AS128" s="1272"/>
      <c r="AT128" s="1272"/>
      <c r="AU128" s="1272"/>
      <c r="AV128" s="1272"/>
      <c r="AW128" s="1272"/>
      <c r="AX128" s="1272"/>
      <c r="AY128" s="1272"/>
      <c r="AZ128" s="1272"/>
      <c r="BA128" s="1272"/>
      <c r="BB128" s="1272"/>
      <c r="BC128" s="1272"/>
      <c r="BD128" s="950"/>
      <c r="BE128" s="950"/>
      <c r="BF128" s="950"/>
      <c r="BG128" s="950"/>
      <c r="BH128" s="950"/>
      <c r="BI128" s="950"/>
      <c r="BJ128" s="950"/>
      <c r="BK128" s="950"/>
      <c r="BL128" s="950"/>
      <c r="BM128" s="950"/>
      <c r="BN128" s="1270"/>
      <c r="BO128" s="1270"/>
      <c r="BP128" s="1270"/>
      <c r="BQ128" s="1297"/>
      <c r="BR128" s="1297"/>
      <c r="BS128" s="1072" t="s">
        <v>2390</v>
      </c>
      <c r="BT128" s="1072"/>
      <c r="BU128" s="1072"/>
      <c r="BV128" s="987"/>
      <c r="BW128" s="987"/>
    </row>
    <row customHeight="1" ht="14.625" hidden="1">
      <c r="A129" s="1297"/>
      <c r="B129" s="983" cm="1" t="str">
        <f t="array" ref="B129:B129">B128</f>
        <v>false</v>
      </c>
      <c r="C129" s="1297"/>
      <c r="D129" s="1297"/>
      <c r="E129" s="709">
        <v>15</v>
      </c>
      <c r="F129" s="50" cm="1" t="str">
        <f t="array" ref="F129:F129">OFFSET(E129,-1,1)</f>
        <v>0</v>
      </c>
      <c r="G129" s="1297"/>
      <c r="H129" s="1297"/>
      <c r="I129" s="1297"/>
      <c r="J129" s="1297"/>
      <c r="K129" s="103" t="s">
        <v>889</v>
      </c>
      <c r="L129" s="988"/>
      <c r="M129" s="103"/>
      <c r="N129" s="1297"/>
      <c r="O129" s="1297"/>
      <c r="P129" s="1297"/>
      <c r="Q129" s="1297"/>
      <c r="R129" s="1297"/>
      <c r="S129" s="1297"/>
      <c r="T129" s="468" cm="1" t="str">
        <f t="array" ref="T129:T129">T128</f>
        <v>false</v>
      </c>
      <c r="U129" s="1297"/>
      <c r="V129" s="1297"/>
      <c r="W129" s="1297"/>
      <c r="X129" s="1539"/>
      <c r="Y129" s="1297"/>
      <c r="Z129" s="1529"/>
      <c r="AA129" s="1297"/>
      <c r="AB129" s="802" t="s">
        <v>1122</v>
      </c>
      <c r="AC129" s="803" t="s">
        <v>2391</v>
      </c>
      <c r="AD129" s="804" t="s">
        <v>936</v>
      </c>
      <c r="AE129" s="1272"/>
      <c r="AF129" s="1272"/>
      <c r="AG129" s="1272"/>
      <c r="AH129" s="950"/>
      <c r="AI129" s="1272"/>
      <c r="AJ129" s="1272"/>
      <c r="AK129" s="1272"/>
      <c r="AL129" s="1272"/>
      <c r="AM129" s="1272"/>
      <c r="AN129" s="1272"/>
      <c r="AO129" s="1272"/>
      <c r="AP129" s="1272"/>
      <c r="AQ129" s="1272"/>
      <c r="AR129" s="1272"/>
      <c r="AS129" s="1272"/>
      <c r="AT129" s="1272"/>
      <c r="AU129" s="1272"/>
      <c r="AV129" s="1272"/>
      <c r="AW129" s="1272"/>
      <c r="AX129" s="1272"/>
      <c r="AY129" s="1272"/>
      <c r="AZ129" s="1272"/>
      <c r="BA129" s="1272"/>
      <c r="BB129" s="1272"/>
      <c r="BC129" s="1272"/>
      <c r="BD129" s="950"/>
      <c r="BE129" s="950"/>
      <c r="BF129" s="950"/>
      <c r="BG129" s="950"/>
      <c r="BH129" s="950"/>
      <c r="BI129" s="950"/>
      <c r="BJ129" s="950"/>
      <c r="BK129" s="950"/>
      <c r="BL129" s="950"/>
      <c r="BM129" s="950"/>
      <c r="BN129" s="1270"/>
      <c r="BO129" s="1270"/>
      <c r="BP129" s="1270"/>
      <c r="BQ129" s="1297"/>
      <c r="BR129" s="1297"/>
      <c r="BS129" s="1072" t="s">
        <v>2392</v>
      </c>
      <c r="BT129" s="1072"/>
      <c r="BU129" s="1072"/>
      <c r="BV129" s="987"/>
      <c r="BW129" s="987"/>
    </row>
    <row customHeight="1" ht="14.625" hidden="1">
      <c r="A130" s="1297"/>
      <c r="B130" s="983" cm="1" t="str">
        <f t="array" ref="B130:B130">B129</f>
        <v>false</v>
      </c>
      <c r="C130" s="1297"/>
      <c r="D130" s="1297"/>
      <c r="E130" s="709">
        <v>15</v>
      </c>
      <c r="F130" s="50" cm="1" t="str">
        <f t="array" ref="F130:F130">OFFSET(E130,-1,1)</f>
        <v>0</v>
      </c>
      <c r="G130" s="1297"/>
      <c r="H130" s="1297"/>
      <c r="I130" s="1297"/>
      <c r="J130" s="1297"/>
      <c r="K130" s="103" t="s">
        <v>1124</v>
      </c>
      <c r="L130" s="988"/>
      <c r="M130" s="103"/>
      <c r="N130" s="1297"/>
      <c r="O130" s="1297"/>
      <c r="P130" s="1297"/>
      <c r="Q130" s="1297"/>
      <c r="R130" s="1297"/>
      <c r="S130" s="1297"/>
      <c r="T130" s="468" cm="1" t="str">
        <f t="array" ref="T130:T130">T129</f>
        <v>false</v>
      </c>
      <c r="U130" s="1297"/>
      <c r="V130" s="1297"/>
      <c r="W130" s="1297"/>
      <c r="X130" s="1539"/>
      <c r="Y130" s="1297"/>
      <c r="Z130" s="1529"/>
      <c r="AA130" s="1297"/>
      <c r="AB130" s="802" t="s">
        <v>1125</v>
      </c>
      <c r="AC130" s="803" t="s">
        <v>2393</v>
      </c>
      <c r="AD130" s="804" t="s">
        <v>936</v>
      </c>
      <c r="AE130" s="1272"/>
      <c r="AF130" s="1272"/>
      <c r="AG130" s="1272"/>
      <c r="AH130" s="950"/>
      <c r="AI130" s="1272"/>
      <c r="AJ130" s="1272"/>
      <c r="AK130" s="1272"/>
      <c r="AL130" s="1272"/>
      <c r="AM130" s="1272"/>
      <c r="AN130" s="1272"/>
      <c r="AO130" s="1272"/>
      <c r="AP130" s="1272"/>
      <c r="AQ130" s="1272"/>
      <c r="AR130" s="1272"/>
      <c r="AS130" s="1272"/>
      <c r="AT130" s="1272"/>
      <c r="AU130" s="1272"/>
      <c r="AV130" s="1272"/>
      <c r="AW130" s="1272"/>
      <c r="AX130" s="1272"/>
      <c r="AY130" s="1272"/>
      <c r="AZ130" s="1272"/>
      <c r="BA130" s="1272"/>
      <c r="BB130" s="1272"/>
      <c r="BC130" s="1272"/>
      <c r="BD130" s="950"/>
      <c r="BE130" s="950"/>
      <c r="BF130" s="950"/>
      <c r="BG130" s="950"/>
      <c r="BH130" s="950"/>
      <c r="BI130" s="950"/>
      <c r="BJ130" s="950"/>
      <c r="BK130" s="950"/>
      <c r="BL130" s="950"/>
      <c r="BM130" s="950"/>
      <c r="BN130" s="1270"/>
      <c r="BO130" s="1270"/>
      <c r="BP130" s="1270"/>
      <c r="BQ130" s="1297"/>
      <c r="BR130" s="1297"/>
      <c r="BS130" s="1072" t="s">
        <v>2394</v>
      </c>
      <c r="BT130" s="1072"/>
      <c r="BU130" s="1072"/>
      <c r="BV130" s="987"/>
      <c r="BW130" s="987"/>
    </row>
    <row customHeight="1" ht="14.625" hidden="1">
      <c r="A131" s="1297"/>
      <c r="B131" s="983" cm="1" t="str">
        <f t="array" ref="B131:B131">B130</f>
        <v>false</v>
      </c>
      <c r="C131" s="1297"/>
      <c r="D131" s="1297"/>
      <c r="E131" s="709">
        <v>15</v>
      </c>
      <c r="F131" s="50" cm="1" t="str">
        <f t="array" ref="F131:F131">OFFSET(E131,-1,1)</f>
        <v>0</v>
      </c>
      <c r="G131" s="1297"/>
      <c r="H131" s="1297"/>
      <c r="I131" s="1297"/>
      <c r="J131" s="1297"/>
      <c r="K131" s="103" t="s">
        <v>2395</v>
      </c>
      <c r="L131" s="988"/>
      <c r="M131" s="103"/>
      <c r="N131" s="1297"/>
      <c r="O131" s="1297"/>
      <c r="P131" s="1297"/>
      <c r="Q131" s="1297"/>
      <c r="R131" s="1297"/>
      <c r="S131" s="1297"/>
      <c r="T131" s="468" cm="1" t="str">
        <f t="array" ref="T131:T131">T130</f>
        <v>false</v>
      </c>
      <c r="U131" s="1297"/>
      <c r="V131" s="1297"/>
      <c r="W131" s="1297"/>
      <c r="X131" s="1539"/>
      <c r="Y131" s="1297"/>
      <c r="Z131" s="1529"/>
      <c r="AA131" s="1297"/>
      <c r="AB131" s="802" t="s">
        <v>2396</v>
      </c>
      <c r="AC131" s="805" t="s">
        <v>2397</v>
      </c>
      <c r="AD131" s="804" t="s">
        <v>561</v>
      </c>
      <c r="AE131" s="1272"/>
      <c r="AF131" s="1272"/>
      <c r="AG131" s="1272"/>
      <c r="AH131" s="950"/>
      <c r="AI131" s="1272"/>
      <c r="AJ131" s="1272"/>
      <c r="AK131" s="1272"/>
      <c r="AL131" s="1272"/>
      <c r="AM131" s="1272"/>
      <c r="AN131" s="1272"/>
      <c r="AO131" s="1272"/>
      <c r="AP131" s="1272"/>
      <c r="AQ131" s="1272"/>
      <c r="AR131" s="1272"/>
      <c r="AS131" s="1272"/>
      <c r="AT131" s="1272"/>
      <c r="AU131" s="1272"/>
      <c r="AV131" s="1272"/>
      <c r="AW131" s="1272"/>
      <c r="AX131" s="1272"/>
      <c r="AY131" s="1272"/>
      <c r="AZ131" s="1272"/>
      <c r="BA131" s="1272"/>
      <c r="BB131" s="1272"/>
      <c r="BC131" s="1272"/>
      <c r="BD131" s="950"/>
      <c r="BE131" s="950"/>
      <c r="BF131" s="950"/>
      <c r="BG131" s="950"/>
      <c r="BH131" s="950"/>
      <c r="BI131" s="950"/>
      <c r="BJ131" s="950"/>
      <c r="BK131" s="950"/>
      <c r="BL131" s="950"/>
      <c r="BM131" s="950"/>
      <c r="BN131" s="1270"/>
      <c r="BO131" s="1270"/>
      <c r="BP131" s="1270"/>
      <c r="BQ131" s="1297"/>
      <c r="BR131" s="1297"/>
      <c r="BS131" s="1072" t="s">
        <v>2398</v>
      </c>
      <c r="BT131" s="1072"/>
      <c r="BU131" s="1072"/>
      <c r="BV131" s="987"/>
      <c r="BW131" s="987"/>
    </row>
    <row customHeight="1" ht="14.625" hidden="1">
      <c r="A132" s="1297"/>
      <c r="B132" s="983" cm="1" t="str">
        <f t="array" ref="B132:B132">B131</f>
        <v>false</v>
      </c>
      <c r="C132" s="1297"/>
      <c r="D132" s="1297"/>
      <c r="E132" s="709">
        <v>15</v>
      </c>
      <c r="F132" s="50" cm="1" t="str">
        <f t="array" ref="F132:F132">OFFSET(E132,-1,1)</f>
        <v>0</v>
      </c>
      <c r="G132" s="1297"/>
      <c r="H132" s="1297"/>
      <c r="I132" s="1297"/>
      <c r="J132" s="1297"/>
      <c r="K132" s="103" t="s">
        <v>1127</v>
      </c>
      <c r="L132" s="988"/>
      <c r="M132" s="103"/>
      <c r="N132" s="1297"/>
      <c r="O132" s="1297"/>
      <c r="P132" s="1297"/>
      <c r="Q132" s="1297"/>
      <c r="R132" s="1297"/>
      <c r="S132" s="1297"/>
      <c r="T132" s="468" cm="1" t="str">
        <f t="array" ref="T132:T132">T131</f>
        <v>false</v>
      </c>
      <c r="U132" s="1297"/>
      <c r="V132" s="1297"/>
      <c r="W132" s="1297"/>
      <c r="X132" s="1539"/>
      <c r="Y132" s="1297"/>
      <c r="Z132" s="1529"/>
      <c r="AA132" s="1297"/>
      <c r="AB132" s="802" t="s">
        <v>1128</v>
      </c>
      <c r="AC132" s="803" t="s">
        <v>2399</v>
      </c>
      <c r="AD132" s="804" t="s">
        <v>561</v>
      </c>
      <c r="AE132" s="1272"/>
      <c r="AF132" s="1272"/>
      <c r="AG132" s="1272"/>
      <c r="AH132" s="950"/>
      <c r="AI132" s="1272"/>
      <c r="AJ132" s="1272"/>
      <c r="AK132" s="1272"/>
      <c r="AL132" s="1272"/>
      <c r="AM132" s="1272"/>
      <c r="AN132" s="1272"/>
      <c r="AO132" s="1272"/>
      <c r="AP132" s="1272"/>
      <c r="AQ132" s="1272"/>
      <c r="AR132" s="1272"/>
      <c r="AS132" s="1272"/>
      <c r="AT132" s="1272"/>
      <c r="AU132" s="1272"/>
      <c r="AV132" s="1272"/>
      <c r="AW132" s="1272"/>
      <c r="AX132" s="1272"/>
      <c r="AY132" s="1272"/>
      <c r="AZ132" s="1272"/>
      <c r="BA132" s="1272"/>
      <c r="BB132" s="1272"/>
      <c r="BC132" s="1272"/>
      <c r="BD132" s="950"/>
      <c r="BE132" s="950"/>
      <c r="BF132" s="950"/>
      <c r="BG132" s="950"/>
      <c r="BH132" s="950"/>
      <c r="BI132" s="950"/>
      <c r="BJ132" s="950"/>
      <c r="BK132" s="950"/>
      <c r="BL132" s="950"/>
      <c r="BM132" s="950"/>
      <c r="BN132" s="1270"/>
      <c r="BO132" s="1270"/>
      <c r="BP132" s="1270"/>
      <c r="BQ132" s="1297"/>
      <c r="BR132" s="1297"/>
      <c r="BS132" s="1072" t="s">
        <v>2400</v>
      </c>
      <c r="BT132" s="1072"/>
      <c r="BU132" s="1072"/>
      <c r="BV132" s="987"/>
      <c r="BW132" s="987"/>
    </row>
    <row customHeight="1" ht="14.625" hidden="1">
      <c r="A133" s="1297"/>
      <c r="B133" s="983" cm="1" t="str">
        <f t="array" ref="B133:B133">B132</f>
        <v>false</v>
      </c>
      <c r="C133" s="1297"/>
      <c r="D133" s="1297"/>
      <c r="E133" s="709">
        <v>15</v>
      </c>
      <c r="F133" s="50" cm="1" t="str">
        <f t="array" ref="F133:F133">OFFSET(E133,-1,1)</f>
        <v>0</v>
      </c>
      <c r="G133" s="1297"/>
      <c r="H133" s="1297"/>
      <c r="I133" s="1297"/>
      <c r="J133" s="1297"/>
      <c r="K133" s="103" t="s">
        <v>2401</v>
      </c>
      <c r="L133" s="988"/>
      <c r="M133" s="103"/>
      <c r="N133" s="1297"/>
      <c r="O133" s="1297"/>
      <c r="P133" s="1297"/>
      <c r="Q133" s="1297"/>
      <c r="R133" s="1297"/>
      <c r="S133" s="1297"/>
      <c r="T133" s="468" cm="1" t="str">
        <f t="array" ref="T133:T133">T132</f>
        <v>false</v>
      </c>
      <c r="U133" s="1297"/>
      <c r="V133" s="1297"/>
      <c r="W133" s="1297"/>
      <c r="X133" s="1539"/>
      <c r="Y133" s="1297"/>
      <c r="Z133" s="1529"/>
      <c r="AA133" s="1297"/>
      <c r="AB133" s="802" t="s">
        <v>2402</v>
      </c>
      <c r="AC133" s="805" t="s">
        <v>2403</v>
      </c>
      <c r="AD133" s="804" t="s">
        <v>561</v>
      </c>
      <c r="AE133" s="1272"/>
      <c r="AF133" s="1272"/>
      <c r="AG133" s="1272"/>
      <c r="AH133" s="950"/>
      <c r="AI133" s="1272"/>
      <c r="AJ133" s="1272"/>
      <c r="AK133" s="1272"/>
      <c r="AL133" s="1272"/>
      <c r="AM133" s="1272"/>
      <c r="AN133" s="1272"/>
      <c r="AO133" s="1272"/>
      <c r="AP133" s="1272"/>
      <c r="AQ133" s="1272"/>
      <c r="AR133" s="1272"/>
      <c r="AS133" s="1272"/>
      <c r="AT133" s="1272"/>
      <c r="AU133" s="1272"/>
      <c r="AV133" s="1272"/>
      <c r="AW133" s="1272"/>
      <c r="AX133" s="1272"/>
      <c r="AY133" s="1272"/>
      <c r="AZ133" s="1272"/>
      <c r="BA133" s="1272"/>
      <c r="BB133" s="1272"/>
      <c r="BC133" s="1272"/>
      <c r="BD133" s="950"/>
      <c r="BE133" s="950"/>
      <c r="BF133" s="950"/>
      <c r="BG133" s="950"/>
      <c r="BH133" s="950"/>
      <c r="BI133" s="950"/>
      <c r="BJ133" s="950"/>
      <c r="BK133" s="950"/>
      <c r="BL133" s="950"/>
      <c r="BM133" s="950"/>
      <c r="BN133" s="1270"/>
      <c r="BO133" s="1270"/>
      <c r="BP133" s="1270"/>
      <c r="BQ133" s="1297"/>
      <c r="BR133" s="1297"/>
      <c r="BS133" s="1072" t="s">
        <v>2404</v>
      </c>
      <c r="BT133" s="1072"/>
      <c r="BU133" s="1072"/>
      <c r="BV133" s="987"/>
      <c r="BW133" s="987"/>
    </row>
    <row customHeight="1" ht="14.625" hidden="1">
      <c r="A134" s="1297"/>
      <c r="B134" s="983" cm="1" t="str">
        <f t="array" ref="B134:B134">B133</f>
        <v>false</v>
      </c>
      <c r="C134" s="1297"/>
      <c r="D134" s="1297"/>
      <c r="E134" s="709">
        <v>15</v>
      </c>
      <c r="F134" s="50" cm="1" t="str">
        <f t="array" ref="F134:F134">OFFSET(E134,-1,1)</f>
        <v>0</v>
      </c>
      <c r="G134" s="1297"/>
      <c r="H134" s="1297"/>
      <c r="I134" s="1297"/>
      <c r="J134" s="1297"/>
      <c r="K134" s="103" t="s">
        <v>2405</v>
      </c>
      <c r="L134" s="988"/>
      <c r="M134" s="103"/>
      <c r="N134" s="1297"/>
      <c r="O134" s="1297"/>
      <c r="P134" s="1297"/>
      <c r="Q134" s="1297"/>
      <c r="R134" s="1297"/>
      <c r="S134" s="1297"/>
      <c r="T134" s="468" cm="1" t="str">
        <f t="array" ref="T134:T134">T133</f>
        <v>false</v>
      </c>
      <c r="U134" s="1297"/>
      <c r="V134" s="1297"/>
      <c r="W134" s="1297"/>
      <c r="X134" s="1539"/>
      <c r="Y134" s="1297"/>
      <c r="Z134" s="1529"/>
      <c r="AA134" s="1297"/>
      <c r="AB134" s="802" t="s">
        <v>2406</v>
      </c>
      <c r="AC134" s="805" t="s">
        <v>2407</v>
      </c>
      <c r="AD134" s="804" t="s">
        <v>561</v>
      </c>
      <c r="AE134" s="1272"/>
      <c r="AF134" s="1272"/>
      <c r="AG134" s="1272"/>
      <c r="AH134" s="950"/>
      <c r="AI134" s="1272"/>
      <c r="AJ134" s="1272"/>
      <c r="AK134" s="1272"/>
      <c r="AL134" s="1272"/>
      <c r="AM134" s="1272"/>
      <c r="AN134" s="1272"/>
      <c r="AO134" s="1272"/>
      <c r="AP134" s="1272"/>
      <c r="AQ134" s="1272"/>
      <c r="AR134" s="1272"/>
      <c r="AS134" s="1272"/>
      <c r="AT134" s="1272"/>
      <c r="AU134" s="1272"/>
      <c r="AV134" s="1272"/>
      <c r="AW134" s="1272"/>
      <c r="AX134" s="1272"/>
      <c r="AY134" s="1272"/>
      <c r="AZ134" s="1272"/>
      <c r="BA134" s="1272"/>
      <c r="BB134" s="1272"/>
      <c r="BC134" s="1272"/>
      <c r="BD134" s="950"/>
      <c r="BE134" s="950"/>
      <c r="BF134" s="950"/>
      <c r="BG134" s="950"/>
      <c r="BH134" s="950"/>
      <c r="BI134" s="950"/>
      <c r="BJ134" s="950"/>
      <c r="BK134" s="950"/>
      <c r="BL134" s="950"/>
      <c r="BM134" s="950"/>
      <c r="BN134" s="1270"/>
      <c r="BO134" s="1270"/>
      <c r="BP134" s="1270"/>
      <c r="BQ134" s="1297"/>
      <c r="BR134" s="1297"/>
      <c r="BS134" s="1072" t="s">
        <v>2408</v>
      </c>
      <c r="BT134" s="1072"/>
      <c r="BU134" s="1072"/>
      <c r="BV134" s="987"/>
      <c r="BW134" s="987"/>
    </row>
    <row s="706" customFormat="1" customHeight="1" ht="20.475" hidden="1">
      <c r="A135" s="706"/>
      <c r="B135" s="437"/>
      <c r="C135" s="706"/>
      <c r="D135" s="105" t="str">
        <f>IF(B134,"6","7")</f>
        <v>7</v>
      </c>
      <c r="E135" s="713">
        <v>21</v>
      </c>
      <c r="F135" s="50" cm="1" t="str">
        <f t="array" ref="F135:F135">OFFSET(E135,-1,1)</f>
        <v>0</v>
      </c>
      <c r="G135" s="154" t="s">
        <v>2409</v>
      </c>
      <c r="H135" s="154"/>
      <c r="I135" s="376" t="s">
        <v>2410</v>
      </c>
      <c r="J135" s="706"/>
      <c r="K135" s="376" t="s">
        <v>2410</v>
      </c>
      <c r="L135" s="993"/>
      <c r="M135" s="105"/>
      <c r="N135" s="706"/>
      <c r="O135" s="706"/>
      <c r="P135" s="706"/>
      <c r="Q135" s="706"/>
      <c r="R135" s="706"/>
      <c r="S135" s="706"/>
      <c r="T135" s="468" cm="1" t="str">
        <f t="array" ref="T135:T135">T134</f>
        <v>false</v>
      </c>
      <c r="U135" s="706"/>
      <c r="V135" s="706"/>
      <c r="W135" s="706"/>
      <c r="X135" s="1539"/>
      <c r="Y135" s="706"/>
      <c r="Z135" s="1529"/>
      <c r="AA135" s="706"/>
      <c r="AB135" s="207" cm="1" t="str">
        <f t="array" ref="AB135:AB135">D135</f>
        <v>7</v>
      </c>
      <c r="AC135" s="215" t="s">
        <v>1815</v>
      </c>
      <c r="AD135" s="207" t="s">
        <v>936</v>
      </c>
      <c r="AE135" s="1256"/>
      <c r="AF135" s="1256"/>
      <c r="AG135" s="1256"/>
      <c r="AH135" s="768">
        <f>AG135-AF135</f>
        <v>0</v>
      </c>
      <c r="AI135" s="1265"/>
      <c r="AJ135" s="6512">
        <f>_xlfn.SUMIFS('Корректировка НВВ'!$AF$25:$AF$231,'Корректировка НВВ'!$F$25:$F$231,$F135,'Корректировка НВВ'!$I$25:$I$231,$G135)</f>
        <v>0</v>
      </c>
      <c r="AK135" s="1265"/>
      <c r="AL135" s="1265"/>
      <c r="AM135" s="1265"/>
      <c r="AN135" s="1265"/>
      <c r="AO135" s="1265"/>
      <c r="AP135" s="1265"/>
      <c r="AQ135" s="1265"/>
      <c r="AR135" s="1265"/>
      <c r="AS135" s="1265"/>
      <c r="AT135" s="6512">
        <f>_xlfn.SUMIFS('Корректировка НВВ'!$AG$25:$AG$231,'Корректировка НВВ'!$F$25:$F$231,$F135,'Корректировка НВВ'!$I$25:$I$231,$G135)</f>
        <v>0</v>
      </c>
      <c r="AU135" s="1265"/>
      <c r="AV135" s="1265"/>
      <c r="AW135" s="1265"/>
      <c r="AX135" s="1265"/>
      <c r="AY135" s="1265"/>
      <c r="AZ135" s="1265"/>
      <c r="BA135" s="1265"/>
      <c r="BB135" s="1265"/>
      <c r="BC135" s="1265"/>
      <c r="BD135" s="768">
        <f>IF(AI135=0,0,(AT135-AI135)/AI135*100)</f>
        <v>0</v>
      </c>
      <c r="BE135" s="768">
        <f>IF(AT135=0,0,(AU135-AT135)/AT135*100)</f>
        <v>0</v>
      </c>
      <c r="BF135" s="768">
        <f>IF(AU135=0,0,(AV135-AU135)/AU135*100)</f>
        <v>0</v>
      </c>
      <c r="BG135" s="768">
        <f>IF(AV135=0,0,(AW135-AV135)/AV135*100)</f>
        <v>0</v>
      </c>
      <c r="BH135" s="768">
        <f>IF(AW135=0,0,(AX135-AW135)/AW135*100)</f>
        <v>0</v>
      </c>
      <c r="BI135" s="768">
        <f>IF(AX135=0,0,(AY135-AX135)/AX135*100)</f>
        <v>0</v>
      </c>
      <c r="BJ135" s="768">
        <f>IF(AY135=0,0,(AZ135-AY135)/AY135*100)</f>
        <v>0</v>
      </c>
      <c r="BK135" s="768">
        <f>IF(AZ135=0,0,(BA135-AZ135)/AZ135*100)</f>
        <v>0</v>
      </c>
      <c r="BL135" s="768">
        <f>IF(BA135=0,0,(BB135-BA135)/BA135*100)</f>
        <v>0</v>
      </c>
      <c r="BM135" s="768">
        <f>IF(BB135=0,0,(BC135-BB135)/BB135*100)</f>
        <v>0</v>
      </c>
      <c r="BN135" s="1259"/>
      <c r="BO135" s="1273" t="str">
        <f>IF(_xlfn.IFERROR(INDEX('Корректировка НВВ'!$K$26:$L$231,MATCH($F135&amp;"11komm",'Корректировка НВВ'!$K$26:$K$231,0),2),"")=0,"",_xlfn.IFERROR(INDEX('Корректировка НВВ'!$K$26:$L$231,MATCH($F135&amp;"11komm",'Корректировка НВВ'!$K$26:$K$231,0),2),""))</f>
        <v/>
      </c>
      <c r="BP135" s="1259"/>
      <c r="BQ135" s="706"/>
      <c r="BR135" s="706"/>
      <c r="BS135" s="1078" t="s">
        <v>2411</v>
      </c>
      <c r="BT135" s="1078"/>
      <c r="BU135" s="1078"/>
      <c r="BV135" s="713"/>
      <c r="BW135" s="713"/>
    </row>
    <row customHeight="1" ht="14.625" hidden="1">
      <c r="A136" s="1297"/>
      <c r="B136" s="986"/>
      <c r="C136" s="1297"/>
      <c r="D136" s="103" cm="1" t="str">
        <f t="array" ref="D136:D136">D135</f>
        <v>7</v>
      </c>
      <c r="E136" s="709">
        <v>15</v>
      </c>
      <c r="F136" s="50" cm="1" t="str">
        <f t="array" ref="F136:F136">OFFSET(E136,-1,1)</f>
        <v>0</v>
      </c>
      <c r="G136" s="1297"/>
      <c r="H136" s="1297"/>
      <c r="I136" s="1297"/>
      <c r="J136" s="1297"/>
      <c r="K136" s="1297"/>
      <c r="L136" s="988"/>
      <c r="M136" s="103"/>
      <c r="N136" s="1297"/>
      <c r="O136" s="1297"/>
      <c r="P136" s="1297"/>
      <c r="Q136" s="1297"/>
      <c r="R136" s="1297"/>
      <c r="S136" s="1297"/>
      <c r="T136" s="468" cm="1" t="str">
        <f t="array" ref="T136:T136">T135</f>
        <v>false</v>
      </c>
      <c r="U136" s="1297"/>
      <c r="V136" s="1297"/>
      <c r="W136" s="1297"/>
      <c r="X136" s="1539"/>
      <c r="Y136" s="1297"/>
      <c r="Z136" s="1529"/>
      <c r="AA136" s="1297"/>
      <c r="AB136" s="296"/>
      <c r="AC136" s="454" t="s">
        <v>2412</v>
      </c>
      <c r="AD136" s="296"/>
      <c r="AE136" s="953"/>
      <c r="AF136" s="953"/>
      <c r="AG136" s="953"/>
      <c r="AH136" s="950"/>
      <c r="AI136" s="950"/>
      <c r="AJ136" s="950"/>
      <c r="AK136" s="950"/>
      <c r="AL136" s="950"/>
      <c r="AM136" s="950"/>
      <c r="AN136" s="950"/>
      <c r="AO136" s="950"/>
      <c r="AP136" s="950"/>
      <c r="AQ136" s="950"/>
      <c r="AR136" s="950"/>
      <c r="AS136" s="950"/>
      <c r="AT136" s="950"/>
      <c r="AU136" s="950"/>
      <c r="AV136" s="950"/>
      <c r="AW136" s="950"/>
      <c r="AX136" s="950"/>
      <c r="AY136" s="950"/>
      <c r="AZ136" s="950"/>
      <c r="BA136" s="950"/>
      <c r="BB136" s="950"/>
      <c r="BC136" s="950"/>
      <c r="BD136" s="950"/>
      <c r="BE136" s="950"/>
      <c r="BF136" s="950"/>
      <c r="BG136" s="950"/>
      <c r="BH136" s="950"/>
      <c r="BI136" s="950"/>
      <c r="BJ136" s="950"/>
      <c r="BK136" s="950"/>
      <c r="BL136" s="950"/>
      <c r="BM136" s="950"/>
      <c r="BN136" s="529"/>
      <c r="BO136" s="529"/>
      <c r="BP136" s="529"/>
      <c r="BQ136" s="1297"/>
      <c r="BR136" s="1297"/>
      <c r="BS136" s="1072"/>
      <c r="BT136" s="1072"/>
      <c r="BU136" s="1072"/>
      <c r="BV136" s="987"/>
      <c r="BW136" s="987"/>
    </row>
    <row customHeight="1" ht="21.9375" hidden="1">
      <c r="A137" s="1297"/>
      <c r="B137" s="986"/>
      <c r="C137" s="1297"/>
      <c r="D137" s="103" cm="1" t="str">
        <f t="array" ref="D137:D137">D136</f>
        <v>7</v>
      </c>
      <c r="E137" s="709">
        <v>22.5</v>
      </c>
      <c r="F137" s="50" cm="1" t="str">
        <f t="array" ref="F137:F137">OFFSET(E137,-1,1)</f>
        <v>0</v>
      </c>
      <c r="G137" s="154" t="s">
        <v>386</v>
      </c>
      <c r="H137" s="1297"/>
      <c r="I137" s="154" t="s">
        <v>619</v>
      </c>
      <c r="J137" s="1297"/>
      <c r="K137" s="154" t="s">
        <v>619</v>
      </c>
      <c r="L137" s="988"/>
      <c r="M137" s="103"/>
      <c r="N137" s="1297"/>
      <c r="O137" s="1297"/>
      <c r="P137" s="1297"/>
      <c r="Q137" s="1297"/>
      <c r="R137" s="1297"/>
      <c r="S137" s="1297"/>
      <c r="T137" s="468" cm="1" t="str">
        <f t="array" ref="T137:T137">T136</f>
        <v>false</v>
      </c>
      <c r="U137" s="1297"/>
      <c r="V137" s="1297"/>
      <c r="W137" s="1297"/>
      <c r="X137" s="1539"/>
      <c r="Y137" s="1297"/>
      <c r="Z137" s="1529"/>
      <c r="AA137" s="1297"/>
      <c r="AB137" s="296" t="str">
        <f>D137&amp;".1"</f>
        <v>7.1</v>
      </c>
      <c r="AC137" s="769" t="s">
        <v>2413</v>
      </c>
      <c r="AD137" s="296" t="s">
        <v>936</v>
      </c>
      <c r="AE137" s="1274"/>
      <c r="AF137" s="1274"/>
      <c r="AG137" s="1274"/>
      <c r="AH137" s="951">
        <f>AG137-AF137</f>
        <v>0</v>
      </c>
      <c r="AI137" s="1272"/>
      <c r="AJ137" s="1272">
        <f>_xlfn.SUMIFS('Корректировка НВВ'!$AF$25:$AF$231,'Корректировка НВВ'!$F$25:$F$231,$F137,'Корректировка НВВ'!$I$25:$I$231,$G137)</f>
        <v>0</v>
      </c>
      <c r="AK137" s="1272"/>
      <c r="AL137" s="1272"/>
      <c r="AM137" s="1272"/>
      <c r="AN137" s="1272"/>
      <c r="AO137" s="1272"/>
      <c r="AP137" s="1272"/>
      <c r="AQ137" s="1272"/>
      <c r="AR137" s="1272"/>
      <c r="AS137" s="1272"/>
      <c r="AT137" s="1272">
        <f>_xlfn.SUMIFS('Корректировка НВВ'!$AG$25:$AG$231,'Корректировка НВВ'!$F$25:$F$231,$F137,'Корректировка НВВ'!$I$25:$I$231,$G137)</f>
        <v>0</v>
      </c>
      <c r="AU137" s="1272"/>
      <c r="AV137" s="1272"/>
      <c r="AW137" s="1272"/>
      <c r="AX137" s="1272"/>
      <c r="AY137" s="1272"/>
      <c r="AZ137" s="1272"/>
      <c r="BA137" s="1272"/>
      <c r="BB137" s="1272"/>
      <c r="BC137" s="1272"/>
      <c r="BD137" s="950"/>
      <c r="BE137" s="950"/>
      <c r="BF137" s="950"/>
      <c r="BG137" s="950"/>
      <c r="BH137" s="950"/>
      <c r="BI137" s="950"/>
      <c r="BJ137" s="950"/>
      <c r="BK137" s="950"/>
      <c r="BL137" s="950"/>
      <c r="BM137" s="950"/>
      <c r="BN137" s="1275"/>
      <c r="BO137" s="1273" t="str">
        <f>IF(_xlfn.IFERROR(INDEX('Корректировка НВВ'!$K$26:$L$231,MATCH($F137&amp;"1komm",'Корректировка НВВ'!$K$26:$K$231,0),2),"")=0,"",_xlfn.IFERROR(INDEX('Корректировка НВВ'!$K$26:$L$231,MATCH($F137&amp;"1komm",'Корректировка НВВ'!$K$26:$K$231,0),2),""))</f>
        <v/>
      </c>
      <c r="BP137" s="1275"/>
      <c r="BQ137" s="1297"/>
      <c r="BR137" s="1297"/>
      <c r="BS137" s="1072" t="s">
        <v>2414</v>
      </c>
      <c r="BT137" s="1072"/>
      <c r="BU137" s="1072"/>
      <c r="BV137" s="987"/>
      <c r="BW137" s="987"/>
    </row>
    <row customHeight="1" ht="98.71875" hidden="1">
      <c r="A138" s="1297"/>
      <c r="B138" s="986"/>
      <c r="C138" s="1297"/>
      <c r="D138" s="103" cm="1" t="str">
        <f t="array" ref="D138:D138">D137</f>
        <v>7</v>
      </c>
      <c r="E138" s="709">
        <v>101.25</v>
      </c>
      <c r="F138" s="50" cm="1" t="str">
        <f t="array" ref="F138:F138">OFFSET(E138,-1,1)</f>
        <v>0</v>
      </c>
      <c r="G138" s="154" t="s">
        <v>2415</v>
      </c>
      <c r="H138" s="1297"/>
      <c r="I138" s="154" t="s">
        <v>685</v>
      </c>
      <c r="J138" s="1297"/>
      <c r="K138" s="154" t="s">
        <v>685</v>
      </c>
      <c r="L138" s="988"/>
      <c r="M138" s="103"/>
      <c r="N138" s="1297"/>
      <c r="O138" s="1297"/>
      <c r="P138" s="1297"/>
      <c r="Q138" s="1297"/>
      <c r="R138" s="1297"/>
      <c r="S138" s="1297"/>
      <c r="T138" s="468" cm="1" t="str">
        <f t="array" ref="T138:T138">T137</f>
        <v>false</v>
      </c>
      <c r="U138" s="1297"/>
      <c r="V138" s="1297"/>
      <c r="W138" s="1297"/>
      <c r="X138" s="1539"/>
      <c r="Y138" s="1297"/>
      <c r="Z138" s="1529"/>
      <c r="AA138" s="1297"/>
      <c r="AB138" s="296" t="str">
        <f>D138&amp;".2"</f>
        <v>7.2</v>
      </c>
      <c r="AC138" s="769" t="s">
        <v>2416</v>
      </c>
      <c r="AD138" s="296" t="s">
        <v>936</v>
      </c>
      <c r="AE138" s="1274"/>
      <c r="AF138" s="1274"/>
      <c r="AG138" s="1274"/>
      <c r="AH138" s="951">
        <f>AG138-AF138</f>
        <v>0</v>
      </c>
      <c r="AI138" s="1272"/>
      <c r="AJ138" s="1272">
        <f>_xlfn.SUMIFS('Корректировка НВВ'!$AF$25:$AF$231,'Корректировка НВВ'!$F$25:$F$231,$F138,'Корректировка НВВ'!$I$25:$I$231,$G138)</f>
        <v>0</v>
      </c>
      <c r="AK138" s="1272"/>
      <c r="AL138" s="1272"/>
      <c r="AM138" s="1272"/>
      <c r="AN138" s="1272"/>
      <c r="AO138" s="1272"/>
      <c r="AP138" s="1272"/>
      <c r="AQ138" s="1272"/>
      <c r="AR138" s="1272"/>
      <c r="AS138" s="1272"/>
      <c r="AT138" s="1272">
        <f>_xlfn.SUMIFS('Корректировка НВВ'!$AG$25:$AG$231,'Корректировка НВВ'!$F$25:$F$231,$F138,'Корректировка НВВ'!$I$25:$I$231,$G138)</f>
        <v>0</v>
      </c>
      <c r="AU138" s="1272"/>
      <c r="AV138" s="1272"/>
      <c r="AW138" s="1272"/>
      <c r="AX138" s="1272"/>
      <c r="AY138" s="1272"/>
      <c r="AZ138" s="1272"/>
      <c r="BA138" s="1272"/>
      <c r="BB138" s="1272"/>
      <c r="BC138" s="1272"/>
      <c r="BD138" s="950"/>
      <c r="BE138" s="950"/>
      <c r="BF138" s="950"/>
      <c r="BG138" s="950"/>
      <c r="BH138" s="950"/>
      <c r="BI138" s="950"/>
      <c r="BJ138" s="950"/>
      <c r="BK138" s="950"/>
      <c r="BL138" s="950"/>
      <c r="BM138" s="950"/>
      <c r="BN138" s="1275"/>
      <c r="BO138" s="1273" t="str">
        <f>IF(_xlfn.IFERROR(INDEX('Корректировка НВВ'!$K$26:$L$231,MATCH($F138&amp;"2komm",'Корректировка НВВ'!$K$26:$K$231,0),2),"")=0,"",_xlfn.IFERROR(INDEX('Корректировка НВВ'!$K$26:$L$231,MATCH($F138&amp;"2komm",'Корректировка НВВ'!$K$26:$K$231,0),2),""))</f>
        <v/>
      </c>
      <c r="BP138" s="1275"/>
      <c r="BQ138" s="1297"/>
      <c r="BR138" s="1297"/>
      <c r="BS138" s="1072" t="s">
        <v>2417</v>
      </c>
      <c r="BT138" s="1072"/>
      <c r="BU138" s="1072"/>
      <c r="BV138" s="987"/>
      <c r="BW138" s="987"/>
    </row>
    <row customHeight="1" ht="43.875" hidden="1">
      <c r="A139" s="1297"/>
      <c r="B139" s="986"/>
      <c r="C139" s="1297"/>
      <c r="D139" s="103" cm="1" t="str">
        <f t="array" ref="D139:D139">D138</f>
        <v>7</v>
      </c>
      <c r="E139" s="709">
        <v>45</v>
      </c>
      <c r="F139" s="50" cm="1" t="str">
        <f t="array" ref="F139:F139">OFFSET(E139,-1,1)</f>
        <v>0</v>
      </c>
      <c r="G139" s="1297"/>
      <c r="H139" s="1297"/>
      <c r="I139" s="154" t="s">
        <v>700</v>
      </c>
      <c r="J139" s="1297"/>
      <c r="K139" s="154" t="s">
        <v>700</v>
      </c>
      <c r="L139" s="988"/>
      <c r="M139" s="103"/>
      <c r="N139" s="1297"/>
      <c r="O139" s="1297"/>
      <c r="P139" s="1297"/>
      <c r="Q139" s="1297"/>
      <c r="R139" s="1297"/>
      <c r="S139" s="1297"/>
      <c r="T139" s="468" cm="1" t="str">
        <f t="array" ref="T139:T139">T138</f>
        <v>false</v>
      </c>
      <c r="U139" s="1297"/>
      <c r="V139" s="1297"/>
      <c r="W139" s="1297"/>
      <c r="X139" s="1539"/>
      <c r="Y139" s="1297"/>
      <c r="Z139" s="1529"/>
      <c r="AA139" s="1297"/>
      <c r="AB139" s="296" t="str">
        <f>D139&amp;".3"</f>
        <v>7.3</v>
      </c>
      <c r="AC139" s="769" t="s">
        <v>2418</v>
      </c>
      <c r="AD139" s="296" t="s">
        <v>936</v>
      </c>
      <c r="AE139" s="1274"/>
      <c r="AF139" s="1274"/>
      <c r="AG139" s="1274"/>
      <c r="AH139" s="951">
        <f>AG139-AF139</f>
        <v>0</v>
      </c>
      <c r="AI139" s="1272"/>
      <c r="AJ139" s="1272">
        <f>_xlfn.SUMIFS('Корректировка НВВ'!$AF$25:$AF$231,'Корректировка НВВ'!$F$25:$F$231,$F139,'Корректировка НВВ'!$I$25:$I$231,"L1")+_xlfn.SUMIFS('Корректировка НВВ'!$AF$25:$AF$231,'Корректировка НВВ'!$F$25:$F$231,$F139,'Корректировка НВВ'!$I$25:$I$231,"L2")</f>
        <v>0</v>
      </c>
      <c r="AK139" s="1272"/>
      <c r="AL139" s="1272"/>
      <c r="AM139" s="1272"/>
      <c r="AN139" s="1272"/>
      <c r="AO139" s="1272"/>
      <c r="AP139" s="1272"/>
      <c r="AQ139" s="1272"/>
      <c r="AR139" s="1272"/>
      <c r="AS139" s="1272"/>
      <c r="AT139" s="1272">
        <f>_xlfn.SUMIFS('Корректировка НВВ'!$AG$25:$AG$231,'Корректировка НВВ'!$F$25:$F$231,$F139,'Корректировка НВВ'!$I$25:$I$231,"L1")+_xlfn.SUMIFS('Корректировка НВВ'!$AF$25:$AF$231,'Корректировка НВВ'!$F$25:$F$231,$F139,'Корректировка НВВ'!$I$25:$I$231,"L2")</f>
        <v>0</v>
      </c>
      <c r="AU139" s="1272"/>
      <c r="AV139" s="1272"/>
      <c r="AW139" s="1272"/>
      <c r="AX139" s="1272"/>
      <c r="AY139" s="1272"/>
      <c r="AZ139" s="1272"/>
      <c r="BA139" s="1272"/>
      <c r="BB139" s="1272"/>
      <c r="BC139" s="1272"/>
      <c r="BD139" s="950"/>
      <c r="BE139" s="950"/>
      <c r="BF139" s="950"/>
      <c r="BG139" s="950"/>
      <c r="BH139" s="950"/>
      <c r="BI139" s="950"/>
      <c r="BJ139" s="950"/>
      <c r="BK139" s="950"/>
      <c r="BL139" s="950"/>
      <c r="BM139" s="950"/>
      <c r="BN139" s="1275"/>
      <c r="BO139" s="1273"/>
      <c r="BP139" s="1275"/>
      <c r="BQ139" s="1297"/>
      <c r="BR139" s="1297"/>
      <c r="BS139" s="1072" t="s">
        <v>2419</v>
      </c>
      <c r="BT139" s="1072"/>
      <c r="BU139" s="1072"/>
      <c r="BV139" s="987"/>
      <c r="BW139" s="987"/>
    </row>
    <row customHeight="1" ht="87.75" hidden="1">
      <c r="A140" s="1297"/>
      <c r="B140" s="447">
        <f>S27="Водоотведение"</f>
        <v>0</v>
      </c>
      <c r="C140" s="1297"/>
      <c r="D140" s="103" cm="1" t="str">
        <f t="array" ref="D140:D140">D139</f>
        <v>7</v>
      </c>
      <c r="E140" s="709">
        <v>90</v>
      </c>
      <c r="F140" s="50" cm="1" t="str">
        <f t="array" ref="F140:F140">OFFSET(E140,-1,1)</f>
        <v>0</v>
      </c>
      <c r="G140" s="154" t="s">
        <v>2420</v>
      </c>
      <c r="H140" s="49"/>
      <c r="I140" s="154" t="s">
        <v>866</v>
      </c>
      <c r="J140" s="1297"/>
      <c r="K140" s="154" t="s">
        <v>866</v>
      </c>
      <c r="L140" s="988" t="s">
        <v>864</v>
      </c>
      <c r="M140" s="103"/>
      <c r="N140" s="1297"/>
      <c r="O140" s="1297"/>
      <c r="P140" s="1297"/>
      <c r="Q140" s="1297"/>
      <c r="R140" s="1297"/>
      <c r="S140" s="1297"/>
      <c r="T140" s="468" cm="1" t="str">
        <f t="array" ref="T140:T140">T139</f>
        <v>false</v>
      </c>
      <c r="U140" s="1297"/>
      <c r="V140" s="1297"/>
      <c r="W140" s="1297"/>
      <c r="X140" s="1539"/>
      <c r="Y140" s="1297"/>
      <c r="Z140" s="1529"/>
      <c r="AA140" s="1297"/>
      <c r="AB140" s="296" t="str">
        <f>D140&amp;".4"</f>
        <v>7.4</v>
      </c>
      <c r="AC140" s="769" t="s">
        <v>2090</v>
      </c>
      <c r="AD140" s="773" t="s">
        <v>936</v>
      </c>
      <c r="AE140" s="1274"/>
      <c r="AF140" s="1274"/>
      <c r="AG140" s="1274"/>
      <c r="AH140" s="951">
        <f>AG140-AF140</f>
        <v>0</v>
      </c>
      <c r="AI140" s="1272"/>
      <c r="AJ140" s="1272">
        <f>_xlfn.SUMIFS('Корректировка НВВ'!$AF$25:$AF$231,'Корректировка НВВ'!$F$25:$F$231,$F140,'Корректировка НВВ'!$I$25:$I$231,$G140)</f>
        <v>0</v>
      </c>
      <c r="AK140" s="1272"/>
      <c r="AL140" s="1272"/>
      <c r="AM140" s="1272"/>
      <c r="AN140" s="1272"/>
      <c r="AO140" s="1272"/>
      <c r="AP140" s="1272"/>
      <c r="AQ140" s="1272"/>
      <c r="AR140" s="1272"/>
      <c r="AS140" s="1272"/>
      <c r="AT140" s="1272">
        <f>_xlfn.SUMIFS('Корректировка НВВ'!$AG$25:$AG$231,'Корректировка НВВ'!$F$25:$F$231,$F140,'Корректировка НВВ'!$I$25:$I$231,$G140)</f>
        <v>0</v>
      </c>
      <c r="AU140" s="1272"/>
      <c r="AV140" s="1272"/>
      <c r="AW140" s="1272"/>
      <c r="AX140" s="1272"/>
      <c r="AY140" s="1272"/>
      <c r="AZ140" s="1272"/>
      <c r="BA140" s="1272"/>
      <c r="BB140" s="1272"/>
      <c r="BC140" s="1272"/>
      <c r="BD140" s="950"/>
      <c r="BE140" s="950"/>
      <c r="BF140" s="950"/>
      <c r="BG140" s="950"/>
      <c r="BH140" s="950"/>
      <c r="BI140" s="950"/>
      <c r="BJ140" s="950"/>
      <c r="BK140" s="950"/>
      <c r="BL140" s="950"/>
      <c r="BM140" s="950"/>
      <c r="BN140" s="1275"/>
      <c r="BO140" s="1273" t="str">
        <f>IF(_xlfn.IFERROR(INDEX('Корректировка НВВ'!$K$26:$L$231,MATCH($F140&amp;"3komm",'Корректировка НВВ'!$K$26:$K$231,0),2),"")=0,"",_xlfn.IFERROR(INDEX('Корректировка НВВ'!$K$26:$L$231,MATCH($F140&amp;"3komm",'Корректировка НВВ'!$K$26:$K$231,0),2),""))</f>
        <v/>
      </c>
      <c r="BP140" s="1275"/>
      <c r="BQ140" s="1297"/>
      <c r="BR140" s="1297"/>
      <c r="BS140" s="1072" t="s">
        <v>1580</v>
      </c>
      <c r="BT140" s="1072"/>
      <c r="BU140" s="1072"/>
      <c r="BV140" s="987"/>
      <c r="BW140" s="987"/>
    </row>
    <row customHeight="1" ht="54.84375" hidden="1">
      <c r="A141" s="1297"/>
      <c r="B141" s="447" cm="1" t="str">
        <f t="array" ref="B141:B141">B140</f>
        <v>false</v>
      </c>
      <c r="C141" s="1297"/>
      <c r="D141" s="103" cm="1" t="str">
        <f t="array" ref="D141:D141">D140</f>
        <v>7</v>
      </c>
      <c r="E141" s="709">
        <v>56.25</v>
      </c>
      <c r="F141" s="50" cm="1" t="str">
        <f t="array" ref="F141:F141">OFFSET(E141,-1,1)</f>
        <v>0</v>
      </c>
      <c r="G141" s="154" t="s">
        <v>2421</v>
      </c>
      <c r="H141" s="49"/>
      <c r="I141" s="154" t="s">
        <v>914</v>
      </c>
      <c r="J141" s="1297"/>
      <c r="K141" s="154" t="s">
        <v>914</v>
      </c>
      <c r="L141" s="988" t="s">
        <v>866</v>
      </c>
      <c r="M141" s="103"/>
      <c r="N141" s="1297"/>
      <c r="O141" s="1297"/>
      <c r="P141" s="1297"/>
      <c r="Q141" s="1297"/>
      <c r="R141" s="1297"/>
      <c r="S141" s="1297"/>
      <c r="T141" s="468" cm="1" t="str">
        <f t="array" ref="T141:T141">T140</f>
        <v>false</v>
      </c>
      <c r="U141" s="1297"/>
      <c r="V141" s="1297"/>
      <c r="W141" s="1297"/>
      <c r="X141" s="1539"/>
      <c r="Y141" s="1297"/>
      <c r="Z141" s="1529"/>
      <c r="AA141" s="1297"/>
      <c r="AB141" s="296" t="str">
        <f>D141&amp;".5"</f>
        <v>7.5</v>
      </c>
      <c r="AC141" s="769" t="s">
        <v>2091</v>
      </c>
      <c r="AD141" s="773" t="s">
        <v>936</v>
      </c>
      <c r="AE141" s="1274"/>
      <c r="AF141" s="1274"/>
      <c r="AG141" s="1274"/>
      <c r="AH141" s="951">
        <f>AG141-AF141</f>
        <v>0</v>
      </c>
      <c r="AI141" s="1272"/>
      <c r="AJ141" s="1272">
        <f>_xlfn.SUMIFS('Корректировка НВВ'!$AF$25:$AF$231,'Корректировка НВВ'!$F$25:$F$231,$F141,'Корректировка НВВ'!$I$25:$I$231,$G141)</f>
        <v>0</v>
      </c>
      <c r="AK141" s="1272"/>
      <c r="AL141" s="1272"/>
      <c r="AM141" s="1272"/>
      <c r="AN141" s="1272"/>
      <c r="AO141" s="1272"/>
      <c r="AP141" s="1272"/>
      <c r="AQ141" s="1272"/>
      <c r="AR141" s="1272"/>
      <c r="AS141" s="1272"/>
      <c r="AT141" s="1272">
        <f>_xlfn.SUMIFS('Корректировка НВВ'!$AG$25:$AG$231,'Корректировка НВВ'!$F$25:$F$231,$F141,'Корректировка НВВ'!$I$25:$I$231,$G141)</f>
        <v>0</v>
      </c>
      <c r="AU141" s="1272"/>
      <c r="AV141" s="1272"/>
      <c r="AW141" s="1272"/>
      <c r="AX141" s="1272"/>
      <c r="AY141" s="1272"/>
      <c r="AZ141" s="1272"/>
      <c r="BA141" s="1272"/>
      <c r="BB141" s="1272"/>
      <c r="BC141" s="1272"/>
      <c r="BD141" s="950"/>
      <c r="BE141" s="950"/>
      <c r="BF141" s="950"/>
      <c r="BG141" s="950"/>
      <c r="BH141" s="950"/>
      <c r="BI141" s="950"/>
      <c r="BJ141" s="950"/>
      <c r="BK141" s="950"/>
      <c r="BL141" s="950"/>
      <c r="BM141" s="950"/>
      <c r="BN141" s="1275"/>
      <c r="BO141" s="1273" t="str">
        <f>IF(_xlfn.IFERROR(INDEX('Корректировка НВВ'!$K$26:$L$231,MATCH($F141&amp;"4komm",'Корректировка НВВ'!$K$26:$K$231,0),2),"")=0,"",_xlfn.IFERROR(INDEX('Корректировка НВВ'!$K$26:$L$231,MATCH($F141&amp;"4komm",'Корректировка НВВ'!$K$26:$K$231,0),2),""))</f>
        <v/>
      </c>
      <c r="BP141" s="1275"/>
      <c r="BQ141" s="1297"/>
      <c r="BR141" s="1297"/>
      <c r="BS141" s="1072" t="s">
        <v>1584</v>
      </c>
      <c r="BT141" s="1072"/>
      <c r="BU141" s="1072"/>
      <c r="BV141" s="987"/>
      <c r="BW141" s="987"/>
    </row>
    <row customHeight="1" ht="14.625" hidden="1">
      <c r="A142" s="1297"/>
      <c r="B142" s="986"/>
      <c r="C142" s="1297"/>
      <c r="D142" s="103" cm="1" t="str">
        <f t="array" ref="D142:D142">D141</f>
        <v>7</v>
      </c>
      <c r="E142" s="709">
        <v>15</v>
      </c>
      <c r="F142" s="50" cm="1" t="str">
        <f t="array" ref="F142:F142">OFFSET(E142,-1,1)</f>
        <v>0</v>
      </c>
      <c r="G142" s="154" t="s">
        <v>2422</v>
      </c>
      <c r="H142" s="1297"/>
      <c r="I142" s="154" t="s">
        <v>915</v>
      </c>
      <c r="J142" s="1297"/>
      <c r="K142" s="154" t="s">
        <v>915</v>
      </c>
      <c r="L142" s="988" t="s">
        <v>914</v>
      </c>
      <c r="M142" s="103"/>
      <c r="N142" s="1297"/>
      <c r="O142" s="1297"/>
      <c r="P142" s="1297"/>
      <c r="Q142" s="1297"/>
      <c r="R142" s="1297"/>
      <c r="S142" s="1297"/>
      <c r="T142" s="468" cm="1" t="str">
        <f t="array" ref="T142:T142">T141</f>
        <v>false</v>
      </c>
      <c r="U142" s="1297"/>
      <c r="V142" s="1297"/>
      <c r="W142" s="1297"/>
      <c r="X142" s="1539"/>
      <c r="Y142" s="1297"/>
      <c r="Z142" s="1529"/>
      <c r="AA142" s="1297"/>
      <c r="AB142" s="296" t="str">
        <f>IF(B141,D142&amp;".6",D142&amp;".4")</f>
        <v>7.4</v>
      </c>
      <c r="AC142" s="769" t="s">
        <v>1808</v>
      </c>
      <c r="AD142" s="296" t="s">
        <v>936</v>
      </c>
      <c r="AE142" s="1274"/>
      <c r="AF142" s="1274"/>
      <c r="AG142" s="1274"/>
      <c r="AH142" s="951">
        <f>AG142-AF142</f>
        <v>0</v>
      </c>
      <c r="AI142" s="1272"/>
      <c r="AJ142" s="1272">
        <f>_xlfn.SUMIFS('Корректировка НВВ'!$AF$25:$AF$231,'Корректировка НВВ'!$F$25:$F$231,$F142,'Корректировка НВВ'!$I$25:$I$231,$G142)</f>
        <v>0</v>
      </c>
      <c r="AK142" s="1272"/>
      <c r="AL142" s="1272"/>
      <c r="AM142" s="1272"/>
      <c r="AN142" s="1272"/>
      <c r="AO142" s="1272"/>
      <c r="AP142" s="1272"/>
      <c r="AQ142" s="1272"/>
      <c r="AR142" s="1272"/>
      <c r="AS142" s="1272"/>
      <c r="AT142" s="1272">
        <f>_xlfn.SUMIFS('Корректировка НВВ'!$AG$25:$AG$231,'Корректировка НВВ'!$F$25:$F$231,$F142,'Корректировка НВВ'!$I$25:$I$231,$G142)</f>
        <v>0</v>
      </c>
      <c r="AU142" s="1272"/>
      <c r="AV142" s="1272"/>
      <c r="AW142" s="1272"/>
      <c r="AX142" s="1272"/>
      <c r="AY142" s="1272"/>
      <c r="AZ142" s="1272"/>
      <c r="BA142" s="1272"/>
      <c r="BB142" s="1272"/>
      <c r="BC142" s="1272"/>
      <c r="BD142" s="950"/>
      <c r="BE142" s="950"/>
      <c r="BF142" s="950"/>
      <c r="BG142" s="950"/>
      <c r="BH142" s="950"/>
      <c r="BI142" s="950"/>
      <c r="BJ142" s="950"/>
      <c r="BK142" s="950"/>
      <c r="BL142" s="950"/>
      <c r="BM142" s="950"/>
      <c r="BN142" s="1275"/>
      <c r="BO142" s="1273" t="str">
        <f>IF(_xlfn.IFERROR(INDEX('Корректировка НВВ'!$K$26:$L$231,MATCH($F142&amp;"5komm",'Корректировка НВВ'!$K$26:$K$231,0),2),"")=0,"",_xlfn.IFERROR(INDEX('Корректировка НВВ'!$K$26:$L$231,MATCH($F142&amp;"5komm",'Корректировка НВВ'!$K$26:$K$231,0),2),""))</f>
        <v/>
      </c>
      <c r="BP142" s="1275"/>
      <c r="BQ142" s="1297"/>
      <c r="BR142" s="1297"/>
      <c r="BS142" s="1072" t="s">
        <v>2423</v>
      </c>
      <c r="BT142" s="1072"/>
      <c r="BU142" s="1072"/>
      <c r="BV142" s="987"/>
      <c r="BW142" s="987"/>
    </row>
    <row customHeight="1" ht="14.625" hidden="1">
      <c r="A143" s="1297"/>
      <c r="B143" s="986"/>
      <c r="C143" s="1297"/>
      <c r="D143" s="103" cm="1" t="str">
        <f t="array" ref="D143:D143">D142</f>
        <v>7</v>
      </c>
      <c r="E143" s="709">
        <v>15</v>
      </c>
      <c r="F143" s="50" cm="1" t="str">
        <f t="array" ref="F143:F143">OFFSET(E143,-1,1)</f>
        <v>0</v>
      </c>
      <c r="G143" s="154" t="s">
        <v>2424</v>
      </c>
      <c r="H143" s="1297"/>
      <c r="I143" s="154" t="s">
        <v>2099</v>
      </c>
      <c r="J143" s="1297"/>
      <c r="K143" s="154" t="s">
        <v>2099</v>
      </c>
      <c r="L143" s="988" t="s">
        <v>915</v>
      </c>
      <c r="M143" s="103"/>
      <c r="N143" s="1297"/>
      <c r="O143" s="1297"/>
      <c r="P143" s="1297"/>
      <c r="Q143" s="1297"/>
      <c r="R143" s="1297"/>
      <c r="S143" s="1297"/>
      <c r="T143" s="468" cm="1" t="str">
        <f t="array" ref="T143:T143">T142</f>
        <v>false</v>
      </c>
      <c r="U143" s="1297"/>
      <c r="V143" s="1297"/>
      <c r="W143" s="1297"/>
      <c r="X143" s="1539"/>
      <c r="Y143" s="1297"/>
      <c r="Z143" s="1529"/>
      <c r="AA143" s="1297"/>
      <c r="AB143" s="296" t="str">
        <f>IF(B141,D142&amp;".7",D142&amp;".5")</f>
        <v>7.5</v>
      </c>
      <c r="AC143" s="769" t="s">
        <v>1770</v>
      </c>
      <c r="AD143" s="296" t="s">
        <v>936</v>
      </c>
      <c r="AE143" s="1274">
        <f>AE144+AE145</f>
        <v>0</v>
      </c>
      <c r="AF143" s="1274">
        <f>AF144+AF145</f>
        <v>0</v>
      </c>
      <c r="AG143" s="1274">
        <f>AG144+AG145</f>
        <v>0</v>
      </c>
      <c r="AH143" s="951">
        <f>AG143-AF143</f>
        <v>0</v>
      </c>
      <c r="AI143" s="1272">
        <f>AI144+AI145</f>
        <v>0</v>
      </c>
      <c r="AJ143" s="1272">
        <f>_xlfn.SUMIFS('Корректировка НВВ'!$AF$25:$AF$231,'Корректировка НВВ'!$F$25:$F$231,$F143,'Корректировка НВВ'!$I$25:$I$231,$G143)</f>
        <v>0</v>
      </c>
      <c r="AK143" s="1272">
        <f>AK144+AK145</f>
        <v>0</v>
      </c>
      <c r="AL143" s="1272">
        <f>AL144+AL145</f>
        <v>0</v>
      </c>
      <c r="AM143" s="1272">
        <f>AM144+AM145</f>
        <v>0</v>
      </c>
      <c r="AN143" s="1272">
        <f>AN144+AN145</f>
        <v>0</v>
      </c>
      <c r="AO143" s="1272">
        <f>AO144+AO145</f>
        <v>0</v>
      </c>
      <c r="AP143" s="1272">
        <f>AP144+AP145</f>
        <v>0</v>
      </c>
      <c r="AQ143" s="1272">
        <f>AQ144+AQ145</f>
        <v>0</v>
      </c>
      <c r="AR143" s="1272">
        <f>AR144+AR145</f>
        <v>0</v>
      </c>
      <c r="AS143" s="1272">
        <f>AS144+AS145</f>
        <v>0</v>
      </c>
      <c r="AT143" s="1272">
        <f>_xlfn.SUMIFS('Корректировка НВВ'!$AG$25:$AG$231,'Корректировка НВВ'!$F$25:$F$231,$F143,'Корректировка НВВ'!$I$25:$I$231,$G143)</f>
        <v>0</v>
      </c>
      <c r="AU143" s="1272">
        <f>AU144+AU145</f>
        <v>0</v>
      </c>
      <c r="AV143" s="1272">
        <f>AV144+AV145</f>
        <v>0</v>
      </c>
      <c r="AW143" s="1272">
        <f>AW144+AW145</f>
        <v>0</v>
      </c>
      <c r="AX143" s="1272">
        <f>AX144+AX145</f>
        <v>0</v>
      </c>
      <c r="AY143" s="1272">
        <f>AY144+AY145</f>
        <v>0</v>
      </c>
      <c r="AZ143" s="1272">
        <f>AZ144+AZ145</f>
        <v>0</v>
      </c>
      <c r="BA143" s="1272">
        <f>BA144+BA145</f>
        <v>0</v>
      </c>
      <c r="BB143" s="1272">
        <f>BB144+BB145</f>
        <v>0</v>
      </c>
      <c r="BC143" s="1272">
        <f>BC144+BC145</f>
        <v>0</v>
      </c>
      <c r="BD143" s="951">
        <f>IF(AI143=0,0,(AT143-AI143)/AI143*100)</f>
        <v>0</v>
      </c>
      <c r="BE143" s="951">
        <f>IF(AT143=0,0,(AU143-AT143)/AT143*100)</f>
        <v>0</v>
      </c>
      <c r="BF143" s="951">
        <f>IF(AU143=0,0,(AV143-AU143)/AU143*100)</f>
        <v>0</v>
      </c>
      <c r="BG143" s="951">
        <f>IF(AV143=0,0,(AW143-AV143)/AV143*100)</f>
        <v>0</v>
      </c>
      <c r="BH143" s="951">
        <f>IF(AW143=0,0,(AX143-AW143)/AW143*100)</f>
        <v>0</v>
      </c>
      <c r="BI143" s="951">
        <f>IF(AX143=0,0,(AY143-AX143)/AX143*100)</f>
        <v>0</v>
      </c>
      <c r="BJ143" s="951">
        <f>IF(AY143=0,0,(AZ143-AY143)/AY143*100)</f>
        <v>0</v>
      </c>
      <c r="BK143" s="951">
        <f>IF(AZ143=0,0,(BA143-AZ143)/AZ143*100)</f>
        <v>0</v>
      </c>
      <c r="BL143" s="951">
        <f>IF(BA143=0,0,(BB143-BA143)/BA143*100)</f>
        <v>0</v>
      </c>
      <c r="BM143" s="951">
        <f>IF(BB143=0,0,(BC143-BB143)/BB143*100)</f>
        <v>0</v>
      </c>
      <c r="BN143" s="1275"/>
      <c r="BO143" s="1273" t="str">
        <f>IF(_xlfn.IFERROR(INDEX('Корректировка НВВ'!$K$26:$L$231,MATCH($F143&amp;"6komm",'Корректировка НВВ'!$K$26:$K$231,0),2),"")=0,"",_xlfn.IFERROR(INDEX('Корректировка НВВ'!$K$26:$L$231,MATCH($F143&amp;"6komm",'Корректировка НВВ'!$K$26:$K$231,0),2),""))</f>
        <v/>
      </c>
      <c r="BP143" s="1275"/>
      <c r="BQ143" s="1297"/>
      <c r="BR143" s="1297"/>
      <c r="BS143" s="1072" t="s">
        <v>1772</v>
      </c>
      <c r="BT143" s="1072"/>
      <c r="BU143" s="1072"/>
      <c r="BV143" s="987"/>
      <c r="BW143" s="987"/>
    </row>
    <row customHeight="1" ht="21.9375" hidden="1">
      <c r="A144" s="1297"/>
      <c r="B144" s="986"/>
      <c r="C144" s="1297"/>
      <c r="D144" s="103" cm="1" t="str">
        <f t="array" ref="D144:D144">D143</f>
        <v>7</v>
      </c>
      <c r="E144" s="709">
        <v>22.5</v>
      </c>
      <c r="F144" s="50" cm="1" t="str">
        <f t="array" ref="F144:F144">OFFSET(E144,-1,1)</f>
        <v>0</v>
      </c>
      <c r="G144" s="154" t="s">
        <v>2425</v>
      </c>
      <c r="H144" s="1297"/>
      <c r="I144" s="154" t="s">
        <v>2426</v>
      </c>
      <c r="J144" s="1297"/>
      <c r="K144" s="154" t="s">
        <v>2426</v>
      </c>
      <c r="L144" s="988" t="s">
        <v>2094</v>
      </c>
      <c r="M144" s="103"/>
      <c r="N144" s="1297"/>
      <c r="O144" s="1297"/>
      <c r="P144" s="1297"/>
      <c r="Q144" s="1297"/>
      <c r="R144" s="1297"/>
      <c r="S144" s="1297"/>
      <c r="T144" s="468" cm="1" t="str">
        <f t="array" ref="T144:T144">T143</f>
        <v>false</v>
      </c>
      <c r="U144" s="1297"/>
      <c r="V144" s="1297"/>
      <c r="W144" s="1297"/>
      <c r="X144" s="1539"/>
      <c r="Y144" s="1297"/>
      <c r="Z144" s="1529"/>
      <c r="AA144" s="1297"/>
      <c r="AB144" s="296" t="str">
        <f>AB143&amp;".1"</f>
        <v>7.5.1</v>
      </c>
      <c r="AC144" s="788" t="s">
        <v>1773</v>
      </c>
      <c r="AD144" s="296" t="s">
        <v>936</v>
      </c>
      <c r="AE144" s="1274"/>
      <c r="AF144" s="1274"/>
      <c r="AG144" s="1274"/>
      <c r="AH144" s="951">
        <f>AG144-AF144</f>
        <v>0</v>
      </c>
      <c r="AI144" s="1272"/>
      <c r="AJ144" s="1272">
        <f>_xlfn.SUMIFS('Корректировка НВВ'!$AF$25:$AF$231,'Корректировка НВВ'!$F$25:$F$231,$F144,'Корректировка НВВ'!$I$25:$I$231,$G144)</f>
        <v>0</v>
      </c>
      <c r="AK144" s="1272"/>
      <c r="AL144" s="1272"/>
      <c r="AM144" s="1272"/>
      <c r="AN144" s="1272"/>
      <c r="AO144" s="1272"/>
      <c r="AP144" s="1272"/>
      <c r="AQ144" s="1272"/>
      <c r="AR144" s="1272"/>
      <c r="AS144" s="1272"/>
      <c r="AT144" s="1272">
        <f>_xlfn.SUMIFS('Корректировка НВВ'!$AG$25:$AG$231,'Корректировка НВВ'!$F$25:$F$231,$F144,'Корректировка НВВ'!$I$25:$I$231,$G144)</f>
        <v>0</v>
      </c>
      <c r="AU144" s="1272"/>
      <c r="AV144" s="1272"/>
      <c r="AW144" s="1272"/>
      <c r="AX144" s="1272"/>
      <c r="AY144" s="1272"/>
      <c r="AZ144" s="1272"/>
      <c r="BA144" s="1272"/>
      <c r="BB144" s="1272"/>
      <c r="BC144" s="1272"/>
      <c r="BD144" s="950"/>
      <c r="BE144" s="950"/>
      <c r="BF144" s="950"/>
      <c r="BG144" s="950"/>
      <c r="BH144" s="950"/>
      <c r="BI144" s="950"/>
      <c r="BJ144" s="950"/>
      <c r="BK144" s="950"/>
      <c r="BL144" s="950"/>
      <c r="BM144" s="950"/>
      <c r="BN144" s="1275"/>
      <c r="BO144" s="1273" t="str">
        <f>IF(_xlfn.IFERROR(INDEX('Корректировка НВВ'!$K$26:$L$231,MATCH($F144&amp;"7komm",'Корректировка НВВ'!$K$26:$K$231,0),2),"")=0,"",_xlfn.IFERROR(INDEX('Корректировка НВВ'!$K$26:$L$231,MATCH($F144&amp;"7komm",'Корректировка НВВ'!$K$26:$K$231,0),2),""))</f>
        <v/>
      </c>
      <c r="BP144" s="1275"/>
      <c r="BQ144" s="1297"/>
      <c r="BR144" s="1297"/>
      <c r="BS144" s="1072" t="s">
        <v>1774</v>
      </c>
      <c r="BT144" s="1072"/>
      <c r="BU144" s="1072"/>
      <c r="BV144" s="987"/>
      <c r="BW144" s="987"/>
    </row>
    <row customHeight="1" ht="21.9375" hidden="1">
      <c r="A145" s="1297"/>
      <c r="B145" s="986"/>
      <c r="C145" s="1297"/>
      <c r="D145" s="103" cm="1" t="str">
        <f t="array" ref="D145:D145">D144</f>
        <v>7</v>
      </c>
      <c r="E145" s="709">
        <v>22.5</v>
      </c>
      <c r="F145" s="50" cm="1" t="str">
        <f t="array" ref="F145:F145">OFFSET(E145,-1,1)</f>
        <v>0</v>
      </c>
      <c r="G145" s="154" t="s">
        <v>2427</v>
      </c>
      <c r="H145" s="1297"/>
      <c r="I145" s="154" t="s">
        <v>2428</v>
      </c>
      <c r="J145" s="1297"/>
      <c r="K145" s="154" t="s">
        <v>2428</v>
      </c>
      <c r="L145" s="988" t="s">
        <v>2096</v>
      </c>
      <c r="M145" s="103"/>
      <c r="N145" s="1297"/>
      <c r="O145" s="1297"/>
      <c r="P145" s="1297"/>
      <c r="Q145" s="1297"/>
      <c r="R145" s="1297"/>
      <c r="S145" s="1297"/>
      <c r="T145" s="468" cm="1" t="str">
        <f t="array" ref="T145:T145">T144</f>
        <v>false</v>
      </c>
      <c r="U145" s="1297"/>
      <c r="V145" s="1297"/>
      <c r="W145" s="1297"/>
      <c r="X145" s="1539"/>
      <c r="Y145" s="1297"/>
      <c r="Z145" s="1529"/>
      <c r="AA145" s="1297"/>
      <c r="AB145" s="296" t="str">
        <f>AB143&amp;".2"</f>
        <v>7.5.2</v>
      </c>
      <c r="AC145" s="788" t="s">
        <v>1775</v>
      </c>
      <c r="AD145" s="296" t="s">
        <v>936</v>
      </c>
      <c r="AE145" s="1274"/>
      <c r="AF145" s="1274"/>
      <c r="AG145" s="1274"/>
      <c r="AH145" s="951">
        <f>AG145-AF145</f>
        <v>0</v>
      </c>
      <c r="AI145" s="1272"/>
      <c r="AJ145" s="1272">
        <f>_xlfn.SUMIFS('Корректировка НВВ'!$AF$25:$AF$231,'Корректировка НВВ'!$F$25:$F$231,$F145,'Корректировка НВВ'!$I$25:$I$231,$G145)</f>
        <v>0</v>
      </c>
      <c r="AK145" s="1272"/>
      <c r="AL145" s="1272"/>
      <c r="AM145" s="1272"/>
      <c r="AN145" s="1272"/>
      <c r="AO145" s="1272"/>
      <c r="AP145" s="1272"/>
      <c r="AQ145" s="1272"/>
      <c r="AR145" s="1272"/>
      <c r="AS145" s="1272"/>
      <c r="AT145" s="1272">
        <f>_xlfn.SUMIFS('Корректировка НВВ'!$AG$25:$AG$231,'Корректировка НВВ'!$F$25:$F$231,$F145,'Корректировка НВВ'!$I$25:$I$231,$G145)</f>
        <v>0</v>
      </c>
      <c r="AU145" s="1272"/>
      <c r="AV145" s="1272"/>
      <c r="AW145" s="1272"/>
      <c r="AX145" s="1272"/>
      <c r="AY145" s="1272"/>
      <c r="AZ145" s="1272"/>
      <c r="BA145" s="1272"/>
      <c r="BB145" s="1272"/>
      <c r="BC145" s="1272"/>
      <c r="BD145" s="950"/>
      <c r="BE145" s="950"/>
      <c r="BF145" s="950"/>
      <c r="BG145" s="950"/>
      <c r="BH145" s="950"/>
      <c r="BI145" s="950"/>
      <c r="BJ145" s="950"/>
      <c r="BK145" s="950"/>
      <c r="BL145" s="950"/>
      <c r="BM145" s="950"/>
      <c r="BN145" s="1275"/>
      <c r="BO145" s="1273" t="str">
        <f>IF(_xlfn.IFERROR(INDEX('Корректировка НВВ'!$K$26:$L$231,MATCH($F145&amp;"8komm",'Корректировка НВВ'!$K$26:$K$231,0),2),"")=0,"",_xlfn.IFERROR(INDEX('Корректировка НВВ'!$K$26:$L$231,MATCH($F145&amp;"8komm",'Корректировка НВВ'!$K$26:$K$231,0),2),""))</f>
        <v/>
      </c>
      <c r="BP145" s="1275"/>
      <c r="BQ145" s="1297"/>
      <c r="BR145" s="1297"/>
      <c r="BS145" s="1072" t="s">
        <v>1776</v>
      </c>
      <c r="BT145" s="1072"/>
      <c r="BU145" s="1072"/>
      <c r="BV145" s="987"/>
      <c r="BW145" s="987"/>
    </row>
    <row customHeight="1" ht="14.625" hidden="1">
      <c r="A146" s="1297"/>
      <c r="B146" s="986"/>
      <c r="C146" s="1297"/>
      <c r="D146" s="103" cm="1" t="str">
        <f t="array" ref="D146:D146">D145</f>
        <v>7</v>
      </c>
      <c r="E146" s="709">
        <v>15</v>
      </c>
      <c r="F146" s="50" cm="1" t="str">
        <f t="array" ref="F146:F146">OFFSET(E146,-1,1)</f>
        <v>0</v>
      </c>
      <c r="G146" s="154" t="s">
        <v>332</v>
      </c>
      <c r="H146" s="1297"/>
      <c r="I146" s="154" t="s">
        <v>2100</v>
      </c>
      <c r="J146" s="1297"/>
      <c r="K146" s="154" t="s">
        <v>2100</v>
      </c>
      <c r="L146" s="988" t="s">
        <v>2099</v>
      </c>
      <c r="M146" s="103"/>
      <c r="N146" s="1297"/>
      <c r="O146" s="1297"/>
      <c r="P146" s="1297"/>
      <c r="Q146" s="1297"/>
      <c r="R146" s="1297"/>
      <c r="S146" s="1297"/>
      <c r="T146" s="468" cm="1" t="str">
        <f t="array" ref="T146:T146">T145</f>
        <v>false</v>
      </c>
      <c r="U146" s="1297"/>
      <c r="V146" s="1297"/>
      <c r="W146" s="1297"/>
      <c r="X146" s="1539"/>
      <c r="Y146" s="1297"/>
      <c r="Z146" s="1529"/>
      <c r="AA146" s="1297"/>
      <c r="AB146" s="296" t="str">
        <f>IF(B141,D142&amp;".8",D142&amp;".6")</f>
        <v>7.6</v>
      </c>
      <c r="AC146" s="789" t="s">
        <v>1777</v>
      </c>
      <c r="AD146" s="296" t="s">
        <v>936</v>
      </c>
      <c r="AE146" s="1274"/>
      <c r="AF146" s="1274"/>
      <c r="AG146" s="1274"/>
      <c r="AH146" s="951">
        <f>AG146-AF146</f>
        <v>0</v>
      </c>
      <c r="AI146" s="1272"/>
      <c r="AJ146" s="1272">
        <f>_xlfn.SUMIFS('Корректировка НВВ'!$AF$25:$AF$231,'Корректировка НВВ'!$F$25:$F$231,$F146,'Корректировка НВВ'!$I$25:$I$231,$G146)</f>
        <v>0</v>
      </c>
      <c r="AK146" s="1272"/>
      <c r="AL146" s="1272"/>
      <c r="AM146" s="1272"/>
      <c r="AN146" s="1272"/>
      <c r="AO146" s="1272"/>
      <c r="AP146" s="1272"/>
      <c r="AQ146" s="1272"/>
      <c r="AR146" s="1272"/>
      <c r="AS146" s="1272"/>
      <c r="AT146" s="1272">
        <f>_xlfn.SUMIFS('Корректировка НВВ'!$AG$25:$AG$231,'Корректировка НВВ'!$F$25:$F$231,$F146,'Корректировка НВВ'!$I$25:$I$231,$G146)</f>
        <v>0</v>
      </c>
      <c r="AU146" s="1272"/>
      <c r="AV146" s="1272"/>
      <c r="AW146" s="1272"/>
      <c r="AX146" s="1272"/>
      <c r="AY146" s="1272"/>
      <c r="AZ146" s="1272"/>
      <c r="BA146" s="1272"/>
      <c r="BB146" s="1272"/>
      <c r="BC146" s="1272"/>
      <c r="BD146" s="950"/>
      <c r="BE146" s="950"/>
      <c r="BF146" s="950"/>
      <c r="BG146" s="950"/>
      <c r="BH146" s="950"/>
      <c r="BI146" s="950"/>
      <c r="BJ146" s="950"/>
      <c r="BK146" s="950"/>
      <c r="BL146" s="950"/>
      <c r="BM146" s="950"/>
      <c r="BN146" s="1275"/>
      <c r="BO146" s="1273" t="str">
        <f>IF(_xlfn.IFERROR(INDEX('Корректировка НВВ'!$K$26:$L$231,MATCH($F146&amp;"9komm",'Корректировка НВВ'!$K$26:$K$231,0),2),"")=0,"",_xlfn.IFERROR(INDEX('Корректировка НВВ'!$K$26:$L$231,MATCH($F146&amp;"9komm",'Корректировка НВВ'!$K$26:$K$231,0),2),""))</f>
        <v/>
      </c>
      <c r="BP146" s="1275"/>
      <c r="BQ146" s="1297"/>
      <c r="BR146" s="1297"/>
      <c r="BS146" s="1072" t="s">
        <v>2429</v>
      </c>
      <c r="BT146" s="1072"/>
      <c r="BU146" s="1072"/>
      <c r="BV146" s="987"/>
      <c r="BW146" s="987"/>
    </row>
    <row customHeight="1" ht="14.625" hidden="1">
      <c r="A147" s="1297"/>
      <c r="B147" s="986"/>
      <c r="C147" s="1297"/>
      <c r="D147" s="103" cm="1" t="str">
        <f t="array" ref="D147:D147">D146</f>
        <v>7</v>
      </c>
      <c r="E147" s="709">
        <v>15</v>
      </c>
      <c r="F147" s="50" cm="1" t="str">
        <f t="array" ref="F147:F147">OFFSET(E147,-1,1)</f>
        <v>0</v>
      </c>
      <c r="G147" s="154" t="s">
        <v>2430</v>
      </c>
      <c r="H147" s="1297"/>
      <c r="I147" s="154" t="s">
        <v>2101</v>
      </c>
      <c r="J147" s="1297"/>
      <c r="K147" s="154" t="s">
        <v>2101</v>
      </c>
      <c r="L147" s="988" t="s">
        <v>2100</v>
      </c>
      <c r="M147" s="103"/>
      <c r="N147" s="1297"/>
      <c r="O147" s="1297"/>
      <c r="P147" s="1297"/>
      <c r="Q147" s="1297"/>
      <c r="R147" s="1297"/>
      <c r="S147" s="1297"/>
      <c r="T147" s="468" cm="1" t="str">
        <f t="array" ref="T147:T147">T146</f>
        <v>false</v>
      </c>
      <c r="U147" s="1297"/>
      <c r="V147" s="1297"/>
      <c r="W147" s="1297"/>
      <c r="X147" s="1539"/>
      <c r="Y147" s="1297"/>
      <c r="Z147" s="1529"/>
      <c r="AA147" s="1297"/>
      <c r="AB147" s="296" t="str">
        <f>IF(B141,D142&amp;".9",D142&amp;".7")</f>
        <v>7.7</v>
      </c>
      <c r="AC147" s="789" t="s">
        <v>1779</v>
      </c>
      <c r="AD147" s="296" t="s">
        <v>936</v>
      </c>
      <c r="AE147" s="1274"/>
      <c r="AF147" s="1274"/>
      <c r="AG147" s="1274"/>
      <c r="AH147" s="951">
        <f>AG147-AF147</f>
        <v>0</v>
      </c>
      <c r="AI147" s="1272"/>
      <c r="AJ147" s="1272">
        <f>_xlfn.SUMIFS('Корректировка НВВ'!$AF$25:$AF$231,'Корректировка НВВ'!$F$25:$F$231,$F147,'Корректировка НВВ'!$I$25:$I$231,$G147)</f>
        <v>0</v>
      </c>
      <c r="AK147" s="1272"/>
      <c r="AL147" s="1272"/>
      <c r="AM147" s="1272"/>
      <c r="AN147" s="1272"/>
      <c r="AO147" s="1272"/>
      <c r="AP147" s="1272"/>
      <c r="AQ147" s="1272"/>
      <c r="AR147" s="1272"/>
      <c r="AS147" s="1272"/>
      <c r="AT147" s="1272">
        <f>_xlfn.SUMIFS('Корректировка НВВ'!$AG$25:$AG$231,'Корректировка НВВ'!$F$25:$F$231,$F147,'Корректировка НВВ'!$I$25:$I$231,$G147)</f>
        <v>0</v>
      </c>
      <c r="AU147" s="1272"/>
      <c r="AV147" s="1272"/>
      <c r="AW147" s="1272"/>
      <c r="AX147" s="1272"/>
      <c r="AY147" s="1272"/>
      <c r="AZ147" s="1272"/>
      <c r="BA147" s="1272"/>
      <c r="BB147" s="1272"/>
      <c r="BC147" s="1272"/>
      <c r="BD147" s="950"/>
      <c r="BE147" s="950"/>
      <c r="BF147" s="950"/>
      <c r="BG147" s="950"/>
      <c r="BH147" s="950"/>
      <c r="BI147" s="950"/>
      <c r="BJ147" s="950"/>
      <c r="BK147" s="950"/>
      <c r="BL147" s="950"/>
      <c r="BM147" s="950"/>
      <c r="BN147" s="1275"/>
      <c r="BO147" s="1273" t="str">
        <f>IF(_xlfn.IFERROR(INDEX('Корректировка НВВ'!$K$26:$L$231,MATCH($F147&amp;"10komm",'Корректировка НВВ'!$K$26:$K$231,0),2),"")=0,"",_xlfn.IFERROR(INDEX('Корректировка НВВ'!$K$26:$L$231,MATCH($F147&amp;"10komm",'Корректировка НВВ'!$K$26:$K$231,0),2),""))</f>
        <v/>
      </c>
      <c r="BP147" s="1275"/>
      <c r="BQ147" s="1297"/>
      <c r="BR147" s="1297"/>
      <c r="BS147" s="1072" t="s">
        <v>1780</v>
      </c>
      <c r="BT147" s="1072"/>
      <c r="BU147" s="1072"/>
      <c r="BV147" s="987"/>
      <c r="BW147" s="987"/>
    </row>
    <row s="706" customFormat="1" customHeight="1" ht="20.475" hidden="1">
      <c r="A148" s="706"/>
      <c r="B148" s="437"/>
      <c r="C148" s="706"/>
      <c r="D148" s="105">
        <f>D147+1</f>
        <v>8</v>
      </c>
      <c r="E148" s="713">
        <v>21</v>
      </c>
      <c r="F148" s="50" cm="1" t="str">
        <f t="array" ref="F148:F148">OFFSET(E148,-1,1)</f>
        <v>0</v>
      </c>
      <c r="G148" s="706"/>
      <c r="H148" s="706"/>
      <c r="I148" s="158" t="s">
        <v>707</v>
      </c>
      <c r="J148" s="706"/>
      <c r="K148" s="158" t="s">
        <v>707</v>
      </c>
      <c r="L148" s="993"/>
      <c r="M148" s="105"/>
      <c r="N148" s="706"/>
      <c r="O148" s="706"/>
      <c r="P148" s="706"/>
      <c r="Q148" s="706"/>
      <c r="R148" s="706"/>
      <c r="S148" s="706"/>
      <c r="T148" s="468" cm="1" t="str">
        <f t="array" ref="T148:T148">T147</f>
        <v>false</v>
      </c>
      <c r="U148" s="706"/>
      <c r="V148" s="706"/>
      <c r="W148" s="706"/>
      <c r="X148" s="1539"/>
      <c r="Y148" s="706"/>
      <c r="Z148" s="1529"/>
      <c r="AA148" s="706"/>
      <c r="AB148" s="207" cm="1" t="str">
        <f t="array" ref="AB148:AB148">D148</f>
        <v>8</v>
      </c>
      <c r="AC148" s="208" t="s">
        <v>2431</v>
      </c>
      <c r="AD148" s="207" t="s">
        <v>936</v>
      </c>
      <c r="AE148" s="1256"/>
      <c r="AF148" s="1256"/>
      <c r="AG148" s="1256"/>
      <c r="AH148" s="768">
        <f>AG148-AF148</f>
        <v>0</v>
      </c>
      <c r="AI148" s="1265"/>
      <c r="AJ148" s="1265"/>
      <c r="AK148" s="1265"/>
      <c r="AL148" s="1265"/>
      <c r="AM148" s="1265"/>
      <c r="AN148" s="1265"/>
      <c r="AO148" s="1265"/>
      <c r="AP148" s="1265"/>
      <c r="AQ148" s="1265"/>
      <c r="AR148" s="1265"/>
      <c r="AS148" s="1265"/>
      <c r="AT148" s="1265"/>
      <c r="AU148" s="1265"/>
      <c r="AV148" s="1265"/>
      <c r="AW148" s="1265"/>
      <c r="AX148" s="1265"/>
      <c r="AY148" s="1265"/>
      <c r="AZ148" s="1265"/>
      <c r="BA148" s="1265"/>
      <c r="BB148" s="1265"/>
      <c r="BC148" s="1265"/>
      <c r="BD148" s="771"/>
      <c r="BE148" s="771"/>
      <c r="BF148" s="771"/>
      <c r="BG148" s="771"/>
      <c r="BH148" s="771"/>
      <c r="BI148" s="771"/>
      <c r="BJ148" s="771"/>
      <c r="BK148" s="771"/>
      <c r="BL148" s="771"/>
      <c r="BM148" s="771"/>
      <c r="BN148" s="1259"/>
      <c r="BO148" s="1259"/>
      <c r="BP148" s="1259"/>
      <c r="BQ148" s="706"/>
      <c r="BR148" s="706"/>
      <c r="BS148" s="1078" t="s">
        <v>2432</v>
      </c>
      <c r="BT148" s="1078"/>
      <c r="BU148" s="1078"/>
      <c r="BV148" s="713"/>
      <c r="BW148" s="713"/>
    </row>
    <row customHeight="1" ht="14.625" hidden="1">
      <c r="A149" s="1297"/>
      <c r="B149" s="986"/>
      <c r="C149" s="1297"/>
      <c r="D149" s="105" cm="1" t="str">
        <f t="array" ref="D149:D149">D148</f>
        <v>8</v>
      </c>
      <c r="E149" s="709">
        <v>15</v>
      </c>
      <c r="F149" s="50" cm="1" t="str">
        <f t="array" ref="F149:F149">OFFSET(E149,-1,1)</f>
        <v>0</v>
      </c>
      <c r="G149" s="1297"/>
      <c r="H149" s="1297"/>
      <c r="I149" s="154" t="s">
        <v>710</v>
      </c>
      <c r="J149" s="1297"/>
      <c r="K149" s="154" t="s">
        <v>710</v>
      </c>
      <c r="L149" s="988"/>
      <c r="M149" s="103"/>
      <c r="N149" s="1297"/>
      <c r="O149" s="1297"/>
      <c r="P149" s="1297"/>
      <c r="Q149" s="1297"/>
      <c r="R149" s="1297"/>
      <c r="S149" s="1297"/>
      <c r="T149" s="468" cm="1" t="str">
        <f t="array" ref="T149:T149">T148</f>
        <v>false</v>
      </c>
      <c r="U149" s="1297"/>
      <c r="V149" s="1297"/>
      <c r="W149" s="1297"/>
      <c r="X149" s="1539"/>
      <c r="Y149" s="1297"/>
      <c r="Z149" s="1529"/>
      <c r="AA149" s="1297"/>
      <c r="AB149" s="296" t="str">
        <f>D149&amp;".1"</f>
        <v>8.1</v>
      </c>
      <c r="AC149" s="769" t="s">
        <v>2433</v>
      </c>
      <c r="AD149" s="296" t="s">
        <v>561</v>
      </c>
      <c r="AE149" s="255">
        <f>IF(AE150=0,0,AE148/(AE150+AE135)*100)</f>
        <v>0</v>
      </c>
      <c r="AF149" s="255">
        <f>IF(AF150=0,0,AF148/(AF150+AF135)*100)</f>
        <v>0</v>
      </c>
      <c r="AG149" s="255">
        <f>IF(AG150=0,0,AG148/(AG150+AG135)*100)</f>
        <v>0</v>
      </c>
      <c r="AH149" s="951">
        <f>AG149-AF149</f>
        <v>0</v>
      </c>
      <c r="AI149" s="951">
        <f>IF(AI150=0,0,AI148/(AI150+AI135)*100)</f>
        <v>0</v>
      </c>
      <c r="AJ149" s="951">
        <f>IF(AJ150=0,0,AJ148/(AJ150+AJ135)*100)</f>
        <v>0</v>
      </c>
      <c r="AK149" s="951">
        <f>IF(AK150=0,0,AK148/(AK150+AK135)*100)</f>
        <v>0</v>
      </c>
      <c r="AL149" s="951">
        <f>IF(AL150=0,0,AL148/(AL150+AL135)*100)</f>
        <v>0</v>
      </c>
      <c r="AM149" s="951">
        <f>IF(AM150=0,0,AM148/(AM150+AM135)*100)</f>
        <v>0</v>
      </c>
      <c r="AN149" s="951">
        <f>IF(AN150=0,0,AN148/(AN150+AN135)*100)</f>
        <v>0</v>
      </c>
      <c r="AO149" s="951">
        <f>IF(AO150=0,0,AO148/(AO150+AO135)*100)</f>
        <v>0</v>
      </c>
      <c r="AP149" s="951">
        <f>IF(AP150=0,0,AP148/(AP150+AP135)*100)</f>
        <v>0</v>
      </c>
      <c r="AQ149" s="951">
        <f>IF(AQ150=0,0,AQ148/(AQ150+AQ135)*100)</f>
        <v>0</v>
      </c>
      <c r="AR149" s="951">
        <f>IF(AR150=0,0,AR148/(AR150+AR135)*100)</f>
        <v>0</v>
      </c>
      <c r="AS149" s="951">
        <f>IF(AS150=0,0,AS148/(AS150+AS135)*100)</f>
        <v>0</v>
      </c>
      <c r="AT149" s="951">
        <f>IF(AT150=0,0,AT148/(AT150+AT135)*100)</f>
        <v>0</v>
      </c>
      <c r="AU149" s="951">
        <f>IF(AU150=0,0,AU148/(AU150+AU135)*100)</f>
        <v>0</v>
      </c>
      <c r="AV149" s="951">
        <f>IF(AV150=0,0,AV148/(AV150+AV135)*100)</f>
        <v>0</v>
      </c>
      <c r="AW149" s="951">
        <f>IF(AW150=0,0,AW148/(AW150+AW135)*100)</f>
        <v>0</v>
      </c>
      <c r="AX149" s="951">
        <f>IF(AX150=0,0,AX148/(AX150+AX135)*100)</f>
        <v>0</v>
      </c>
      <c r="AY149" s="951">
        <f>IF(AY150=0,0,AY148/(AY150+AY135)*100)</f>
        <v>0</v>
      </c>
      <c r="AZ149" s="951">
        <f>IF(AZ150=0,0,AZ148/(AZ150+AZ135)*100)</f>
        <v>0</v>
      </c>
      <c r="BA149" s="951">
        <f>IF(BA150=0,0,BA148/(BA150+BA135)*100)</f>
        <v>0</v>
      </c>
      <c r="BB149" s="951">
        <f>IF(BB150=0,0,BB148/(BB150+BB135)*100)</f>
        <v>0</v>
      </c>
      <c r="BC149" s="951">
        <f>IF(BC150=0,0,BC148/(BC150+BC135)*100)</f>
        <v>0</v>
      </c>
      <c r="BD149" s="950"/>
      <c r="BE149" s="950"/>
      <c r="BF149" s="950"/>
      <c r="BG149" s="950"/>
      <c r="BH149" s="950"/>
      <c r="BI149" s="950"/>
      <c r="BJ149" s="950"/>
      <c r="BK149" s="950"/>
      <c r="BL149" s="950"/>
      <c r="BM149" s="950"/>
      <c r="BN149" s="1275"/>
      <c r="BO149" s="1275"/>
      <c r="BP149" s="1275"/>
      <c r="BQ149" s="1297"/>
      <c r="BR149" s="1297"/>
      <c r="BS149" s="1072" t="s">
        <v>2434</v>
      </c>
      <c r="BT149" s="1072"/>
      <c r="BU149" s="1072"/>
      <c r="BV149" s="987"/>
      <c r="BW149" s="987"/>
    </row>
    <row s="706" customFormat="1" customHeight="1" ht="20.475" hidden="1">
      <c r="A150" s="706"/>
      <c r="B150" s="437"/>
      <c r="C150" s="706"/>
      <c r="D150" s="105">
        <f>D149+1</f>
        <v>9</v>
      </c>
      <c r="E150" s="713">
        <v>21</v>
      </c>
      <c r="F150" s="50" cm="1" t="str">
        <f t="array" ref="F150:F150">OFFSET(E150,-1,1)</f>
        <v>0</v>
      </c>
      <c r="G150" s="706"/>
      <c r="H150" s="154"/>
      <c r="I150" s="154" t="s">
        <v>864</v>
      </c>
      <c r="J150" s="706"/>
      <c r="K150" s="154" t="s">
        <v>864</v>
      </c>
      <c r="L150" s="993" t="s">
        <v>2101</v>
      </c>
      <c r="M150" s="105"/>
      <c r="N150" s="706"/>
      <c r="O150" s="706"/>
      <c r="P150" s="706"/>
      <c r="Q150" s="706"/>
      <c r="R150" s="706"/>
      <c r="S150" s="706"/>
      <c r="T150" s="468" cm="1" t="str">
        <f t="array" ref="T150:T150">T149</f>
        <v>false</v>
      </c>
      <c r="U150" s="706"/>
      <c r="V150" s="706"/>
      <c r="W150" s="706"/>
      <c r="X150" s="1539"/>
      <c r="Y150" s="706"/>
      <c r="Z150" s="1529"/>
      <c r="AA150" s="706"/>
      <c r="AB150" s="207" cm="1" t="str">
        <f t="array" ref="AB150:AB150">D150</f>
        <v>9</v>
      </c>
      <c r="AC150" s="208" t="s">
        <v>2102</v>
      </c>
      <c r="AD150" s="230" t="s">
        <v>936</v>
      </c>
      <c r="AE150" s="209">
        <f>AE28+AE78+AE114+AE115+AE117+AE122+AE123+AE126</f>
        <v>0</v>
      </c>
      <c r="AF150" s="209">
        <f>AF28+AF78+AF114+AF115+AF117+AF122+AF123+AF126</f>
        <v>0</v>
      </c>
      <c r="AG150" s="209">
        <f>AG28+AG78+AG114+AG115+AG117+AG122+AG123+AG126</f>
        <v>0</v>
      </c>
      <c r="AH150" s="768">
        <f>AG150-AF150</f>
        <v>0</v>
      </c>
      <c r="AI150" s="209">
        <f>AI28+AI78+AI114+AI115+AI117+AI122+AI123+AI126</f>
        <v>0</v>
      </c>
      <c r="AJ150" s="209">
        <f>AJ28+AJ78+AJ114+AJ115+AJ117+AJ122+AJ123+AJ126</f>
        <v>0</v>
      </c>
      <c r="AK150" s="209">
        <f>AK28+AK78+AK114+AK115+AK117+AK122+AK123+AK126</f>
        <v>0</v>
      </c>
      <c r="AL150" s="209">
        <f>AL28+AL78+AL114+AL115+AL117+AL122+AL123+AL126</f>
        <v>0</v>
      </c>
      <c r="AM150" s="209">
        <f>AM28+AM78+AM114+AM115+AM117+AM122+AM123+AM126</f>
        <v>0</v>
      </c>
      <c r="AN150" s="209">
        <f>AN28+AN78+AN114+AN115+AN117+AN122+AN123+AN126</f>
        <v>0</v>
      </c>
      <c r="AO150" s="209">
        <f>AO28+AO78+AO114+AO115+AO117+AO122+AO123+AO126</f>
        <v>0</v>
      </c>
      <c r="AP150" s="209">
        <f>AP28+AP78+AP114+AP115+AP117+AP122+AP123+AP126</f>
        <v>0</v>
      </c>
      <c r="AQ150" s="209">
        <f>AQ28+AQ78+AQ114+AQ115+AQ117+AQ122+AQ123+AQ126</f>
        <v>0</v>
      </c>
      <c r="AR150" s="209">
        <f>AR28+AR78+AR114+AR115+AR117+AR122+AR123+AR126</f>
        <v>0</v>
      </c>
      <c r="AS150" s="209">
        <f>AS28+AS78+AS114+AS115+AS117+AS122+AS123+AS126</f>
        <v>0</v>
      </c>
      <c r="AT150" s="209">
        <f>AT28+AT78+AT114+AT115+AT117+AT122+AT123+AT126</f>
        <v>0</v>
      </c>
      <c r="AU150" s="209">
        <f>AU28+AU78+AU114+AU115+AU117+AU122+AU123+AU126</f>
        <v>0</v>
      </c>
      <c r="AV150" s="209">
        <f>AV28+AV78+AV114+AV115+AV117+AV122+AV123+AV126</f>
        <v>0</v>
      </c>
      <c r="AW150" s="209">
        <f>AW28+AW78+AW114+AW115+AW117+AW122+AW123+AW126</f>
        <v>0</v>
      </c>
      <c r="AX150" s="209">
        <f>AX28+AX78+AX114+AX115+AX117+AX122+AX123+AX126</f>
        <v>0</v>
      </c>
      <c r="AY150" s="209">
        <f>AY28+AY78+AY114+AY115+AY117+AY122+AY123+AY126</f>
        <v>0</v>
      </c>
      <c r="AZ150" s="209">
        <f>AZ28+AZ78+AZ114+AZ115+AZ117+AZ122+AZ123+AZ126</f>
        <v>0</v>
      </c>
      <c r="BA150" s="209">
        <f>BA28+BA78+BA114+BA115+BA117+BA122+BA123+BA126</f>
        <v>0</v>
      </c>
      <c r="BB150" s="209">
        <f>BB28+BB78+BB114+BB115+BB117+BB122+BB123+BB126</f>
        <v>0</v>
      </c>
      <c r="BC150" s="209">
        <f>BC28+BC78+BC114+BC115+BC117+BC122+BC123+BC126</f>
        <v>0</v>
      </c>
      <c r="BD150" s="768">
        <f>IF(AI150=0,0,(AT150-AI150)/AI150*100)</f>
        <v>0</v>
      </c>
      <c r="BE150" s="768">
        <f>IF(AT150=0,0,(AU150-AT150)/AT150*100)</f>
        <v>0</v>
      </c>
      <c r="BF150" s="768">
        <f>IF(AU150=0,0,(AV150-AU150)/AU150*100)</f>
        <v>0</v>
      </c>
      <c r="BG150" s="768">
        <f>IF(AV150=0,0,(AW150-AV150)/AV150*100)</f>
        <v>0</v>
      </c>
      <c r="BH150" s="768">
        <f>IF(AW150=0,0,(AX150-AW150)/AW150*100)</f>
        <v>0</v>
      </c>
      <c r="BI150" s="768">
        <f>IF(AX150=0,0,(AY150-AX150)/AX150*100)</f>
        <v>0</v>
      </c>
      <c r="BJ150" s="768">
        <f>IF(AY150=0,0,(AZ150-AY150)/AY150*100)</f>
        <v>0</v>
      </c>
      <c r="BK150" s="768">
        <f>IF(AZ150=0,0,(BA150-AZ150)/AZ150*100)</f>
        <v>0</v>
      </c>
      <c r="BL150" s="768">
        <f>IF(BA150=0,0,(BB150-BA150)/BA150*100)</f>
        <v>0</v>
      </c>
      <c r="BM150" s="768">
        <f>IF(BB150=0,0,(BC150-BB150)/BB150*100)</f>
        <v>0</v>
      </c>
      <c r="BN150" s="1275"/>
      <c r="BO150" s="1275"/>
      <c r="BP150" s="1275"/>
      <c r="BQ150" s="706"/>
      <c r="BR150" s="706"/>
      <c r="BS150" s="1078" t="s">
        <v>2103</v>
      </c>
      <c r="BT150" s="1078"/>
      <c r="BU150" s="1078"/>
      <c r="BV150" s="713"/>
      <c r="BW150" s="713"/>
    </row>
    <row s="706" customFormat="1" customHeight="1" ht="20.475" hidden="1">
      <c r="A151" s="706"/>
      <c r="B151" s="437"/>
      <c r="C151" s="706"/>
      <c r="D151" s="105">
        <f>D150+1</f>
        <v>10</v>
      </c>
      <c r="E151" s="713">
        <v>21</v>
      </c>
      <c r="F151" s="50" cm="1" t="str">
        <f t="array" ref="F151:F151">OFFSET(E151,-1,1)</f>
        <v>0</v>
      </c>
      <c r="G151" s="706"/>
      <c r="H151" s="154"/>
      <c r="I151" s="154" t="s">
        <v>2112</v>
      </c>
      <c r="J151" s="706"/>
      <c r="K151" s="154" t="s">
        <v>2112</v>
      </c>
      <c r="L151" s="993"/>
      <c r="M151" s="105"/>
      <c r="N151" s="706"/>
      <c r="O151" s="706"/>
      <c r="P151" s="706"/>
      <c r="Q151" s="706"/>
      <c r="R151" s="706"/>
      <c r="S151" s="706"/>
      <c r="T151" s="468" cm="1" t="str">
        <f t="array" ref="T151:T151">T150</f>
        <v>false</v>
      </c>
      <c r="U151" s="706"/>
      <c r="V151" s="706"/>
      <c r="W151" s="706"/>
      <c r="X151" s="1539"/>
      <c r="Y151" s="706"/>
      <c r="Z151" s="1529"/>
      <c r="AA151" s="706"/>
      <c r="AB151" s="207" cm="1" t="str">
        <f t="array" ref="AB151:AB151">D151</f>
        <v>10</v>
      </c>
      <c r="AC151" s="208" t="s">
        <v>2435</v>
      </c>
      <c r="AD151" s="207" t="s">
        <v>936</v>
      </c>
      <c r="AE151" s="209">
        <f>AE150+AE135+AE148</f>
        <v>0</v>
      </c>
      <c r="AF151" s="209">
        <f>AF150+AF135+AF148</f>
        <v>0</v>
      </c>
      <c r="AG151" s="209">
        <f>AG150+AG135+AG148</f>
        <v>0</v>
      </c>
      <c r="AH151" s="777">
        <f>AH150+AH135+AH148</f>
        <v>0</v>
      </c>
      <c r="AI151" s="777">
        <f>AI150+AI135+AI148</f>
        <v>0</v>
      </c>
      <c r="AJ151" s="777">
        <f>AJ150+AJ135+AJ148</f>
        <v>0</v>
      </c>
      <c r="AK151" s="777">
        <f>AK150+AK135+AK148</f>
        <v>0</v>
      </c>
      <c r="AL151" s="777">
        <f>AL150+AL135+AL148</f>
        <v>0</v>
      </c>
      <c r="AM151" s="777">
        <f>AM150+AM135+AM148</f>
        <v>0</v>
      </c>
      <c r="AN151" s="777">
        <f>AN150+AN135+AN148</f>
        <v>0</v>
      </c>
      <c r="AO151" s="777">
        <f>AO150+AO135+AO148</f>
        <v>0</v>
      </c>
      <c r="AP151" s="777">
        <f>AP150+AP135+AP148</f>
        <v>0</v>
      </c>
      <c r="AQ151" s="777">
        <f>AQ150+AQ135+AQ148</f>
        <v>0</v>
      </c>
      <c r="AR151" s="777">
        <f>AR150+AR135+AR148</f>
        <v>0</v>
      </c>
      <c r="AS151" s="777">
        <f>AS150+AS135+AS148</f>
        <v>0</v>
      </c>
      <c r="AT151" s="777">
        <f>AT150+AT135+AT148</f>
        <v>0</v>
      </c>
      <c r="AU151" s="777">
        <f>AU150+AU135+AU148</f>
        <v>0</v>
      </c>
      <c r="AV151" s="777">
        <f>AV150+AV135+AV148</f>
        <v>0</v>
      </c>
      <c r="AW151" s="777">
        <f>AW150+AW135+AW148</f>
        <v>0</v>
      </c>
      <c r="AX151" s="777">
        <f>AX150+AX135+AX148</f>
        <v>0</v>
      </c>
      <c r="AY151" s="777">
        <f>AY150+AY135+AY148</f>
        <v>0</v>
      </c>
      <c r="AZ151" s="777">
        <f>AZ150+AZ135+AZ148</f>
        <v>0</v>
      </c>
      <c r="BA151" s="777">
        <f>BA150+BA135+BA148</f>
        <v>0</v>
      </c>
      <c r="BB151" s="777">
        <f>BB150+BB135+BB148</f>
        <v>0</v>
      </c>
      <c r="BC151" s="777">
        <f>BC150+BC135+BC148</f>
        <v>0</v>
      </c>
      <c r="BD151" s="768">
        <f>IF(AI151=0,0,(AT151-AI151)/AI151*100)</f>
        <v>0</v>
      </c>
      <c r="BE151" s="768">
        <f>IF(AT151=0,0,(AU151-AT151)/AT151*100)</f>
        <v>0</v>
      </c>
      <c r="BF151" s="768">
        <f>IF(AU151=0,0,(AV151-AU151)/AU151*100)</f>
        <v>0</v>
      </c>
      <c r="BG151" s="768">
        <f>IF(AV151=0,0,(AW151-AV151)/AV151*100)</f>
        <v>0</v>
      </c>
      <c r="BH151" s="768">
        <f>IF(AW151=0,0,(AX151-AW151)/AW151*100)</f>
        <v>0</v>
      </c>
      <c r="BI151" s="768">
        <f>IF(AX151=0,0,(AY151-AX151)/AX151*100)</f>
        <v>0</v>
      </c>
      <c r="BJ151" s="768">
        <f>IF(AY151=0,0,(AZ151-AY151)/AY151*100)</f>
        <v>0</v>
      </c>
      <c r="BK151" s="768">
        <f>IF(AZ151=0,0,(BA151-AZ151)/AZ151*100)</f>
        <v>0</v>
      </c>
      <c r="BL151" s="768">
        <f>IF(BA151=0,0,(BB151-BA151)/BA151*100)</f>
        <v>0</v>
      </c>
      <c r="BM151" s="768">
        <f>IF(BB151=0,0,(BC151-BB151)/BB151*100)</f>
        <v>0</v>
      </c>
      <c r="BN151" s="1275"/>
      <c r="BO151" s="1275"/>
      <c r="BP151" s="1275"/>
      <c r="BQ151" s="706"/>
      <c r="BR151" s="706"/>
      <c r="BS151" s="1078" t="s">
        <v>2436</v>
      </c>
      <c r="BT151" s="1078"/>
      <c r="BU151" s="1078"/>
      <c r="BV151" s="713"/>
      <c r="BW151" s="713"/>
    </row>
    <row customHeight="1" ht="14.625" hidden="1">
      <c r="A152" s="1297"/>
      <c r="B152" s="447">
        <f>A27="двухставочный"</f>
        <v>0</v>
      </c>
      <c r="C152" s="1297"/>
      <c r="D152" s="103" cm="1" t="str">
        <f t="array" ref="D152:D152">D151</f>
        <v>10</v>
      </c>
      <c r="E152" s="709">
        <v>15</v>
      </c>
      <c r="F152" s="50" cm="1" t="str">
        <f t="array" ref="F152:F152">OFFSET(E152,-1,1)</f>
        <v>0</v>
      </c>
      <c r="G152" s="1297"/>
      <c r="H152" s="49"/>
      <c r="I152" s="375" t="s">
        <v>2115</v>
      </c>
      <c r="J152" s="1297"/>
      <c r="K152" s="375" t="s">
        <v>2115</v>
      </c>
      <c r="L152" s="988" t="s">
        <v>2104</v>
      </c>
      <c r="M152" s="103"/>
      <c r="N152" s="1297"/>
      <c r="O152" s="1297"/>
      <c r="P152" s="1297"/>
      <c r="Q152" s="1297"/>
      <c r="R152" s="1297"/>
      <c r="S152" s="1297"/>
      <c r="T152" s="468" cm="1" t="str">
        <f t="array" ref="T152:T152">T151</f>
        <v>false</v>
      </c>
      <c r="U152" s="1297"/>
      <c r="V152" s="1297"/>
      <c r="W152" s="1297"/>
      <c r="X152" s="1539"/>
      <c r="Y152" s="1297"/>
      <c r="Z152" s="1529"/>
      <c r="AA152" s="1297"/>
      <c r="AB152" s="296" t="str">
        <f>D152&amp;".1"</f>
        <v>10.1</v>
      </c>
      <c r="AC152" s="789" t="s">
        <v>2106</v>
      </c>
      <c r="AD152" s="296" t="s">
        <v>936</v>
      </c>
      <c r="AE152" s="1274"/>
      <c r="AF152" s="1274"/>
      <c r="AG152" s="1274"/>
      <c r="AH152" s="951">
        <f>AG152-AF152</f>
        <v>0</v>
      </c>
      <c r="AI152" s="1272"/>
      <c r="AJ152" s="1272"/>
      <c r="AK152" s="1272"/>
      <c r="AL152" s="1272"/>
      <c r="AM152" s="1272"/>
      <c r="AN152" s="1272"/>
      <c r="AO152" s="1272"/>
      <c r="AP152" s="1272"/>
      <c r="AQ152" s="1272"/>
      <c r="AR152" s="1272"/>
      <c r="AS152" s="1272"/>
      <c r="AT152" s="1272"/>
      <c r="AU152" s="1272"/>
      <c r="AV152" s="1272"/>
      <c r="AW152" s="1272"/>
      <c r="AX152" s="1272"/>
      <c r="AY152" s="1272"/>
      <c r="AZ152" s="1272"/>
      <c r="BA152" s="1272"/>
      <c r="BB152" s="1272"/>
      <c r="BC152" s="1272"/>
      <c r="BD152" s="950"/>
      <c r="BE152" s="950"/>
      <c r="BF152" s="950"/>
      <c r="BG152" s="950"/>
      <c r="BH152" s="950"/>
      <c r="BI152" s="950"/>
      <c r="BJ152" s="950"/>
      <c r="BK152" s="950"/>
      <c r="BL152" s="950"/>
      <c r="BM152" s="950"/>
      <c r="BN152" s="1275"/>
      <c r="BO152" s="1275"/>
      <c r="BP152" s="1275"/>
      <c r="BQ152" s="1297"/>
      <c r="BR152" s="1297"/>
      <c r="BS152" s="1070" t="s">
        <v>2107</v>
      </c>
      <c r="BT152" s="1072"/>
      <c r="BU152" s="1072"/>
      <c r="BV152" s="987"/>
      <c r="BW152" s="987"/>
    </row>
    <row customHeight="1" ht="14.625" hidden="1">
      <c r="A153" s="1297"/>
      <c r="B153" s="447">
        <f>A27="двухставочный"</f>
        <v>0</v>
      </c>
      <c r="C153" s="1297"/>
      <c r="D153" s="103" cm="1" t="str">
        <f t="array" ref="D153:D153">D152</f>
        <v>10</v>
      </c>
      <c r="E153" s="709">
        <v>15</v>
      </c>
      <c r="F153" s="50" cm="1" t="str">
        <f t="array" ref="F153:F153">OFFSET(E153,-1,1)</f>
        <v>0</v>
      </c>
      <c r="G153" s="1297"/>
      <c r="H153" s="49"/>
      <c r="I153" s="375" t="s">
        <v>2119</v>
      </c>
      <c r="J153" s="1297"/>
      <c r="K153" s="375" t="s">
        <v>2119</v>
      </c>
      <c r="L153" s="988" t="s">
        <v>2108</v>
      </c>
      <c r="M153" s="103"/>
      <c r="N153" s="1297"/>
      <c r="O153" s="1297"/>
      <c r="P153" s="1297"/>
      <c r="Q153" s="1297"/>
      <c r="R153" s="1297"/>
      <c r="S153" s="1297"/>
      <c r="T153" s="468" cm="1" t="str">
        <f t="array" ref="T153:T153">T152</f>
        <v>false</v>
      </c>
      <c r="U153" s="1297"/>
      <c r="V153" s="1297"/>
      <c r="W153" s="1297"/>
      <c r="X153" s="1539"/>
      <c r="Y153" s="1297"/>
      <c r="Z153" s="1529"/>
      <c r="AA153" s="1297"/>
      <c r="AB153" s="296" t="str">
        <f>D153&amp;".2"</f>
        <v>10.2</v>
      </c>
      <c r="AC153" s="789" t="s">
        <v>2110</v>
      </c>
      <c r="AD153" s="296" t="s">
        <v>936</v>
      </c>
      <c r="AE153" s="1274"/>
      <c r="AF153" s="1274"/>
      <c r="AG153" s="1274"/>
      <c r="AH153" s="951">
        <f>AG153-AF153</f>
        <v>0</v>
      </c>
      <c r="AI153" s="1272"/>
      <c r="AJ153" s="1272"/>
      <c r="AK153" s="1272"/>
      <c r="AL153" s="1272"/>
      <c r="AM153" s="1272"/>
      <c r="AN153" s="1272"/>
      <c r="AO153" s="1272"/>
      <c r="AP153" s="1272"/>
      <c r="AQ153" s="1272"/>
      <c r="AR153" s="1272"/>
      <c r="AS153" s="1272"/>
      <c r="AT153" s="1272"/>
      <c r="AU153" s="1272"/>
      <c r="AV153" s="1272"/>
      <c r="AW153" s="1272"/>
      <c r="AX153" s="1272"/>
      <c r="AY153" s="1272"/>
      <c r="AZ153" s="1272"/>
      <c r="BA153" s="1272"/>
      <c r="BB153" s="1272"/>
      <c r="BC153" s="1272"/>
      <c r="BD153" s="950"/>
      <c r="BE153" s="950"/>
      <c r="BF153" s="950"/>
      <c r="BG153" s="950"/>
      <c r="BH153" s="950"/>
      <c r="BI153" s="950"/>
      <c r="BJ153" s="950"/>
      <c r="BK153" s="950"/>
      <c r="BL153" s="950"/>
      <c r="BM153" s="950"/>
      <c r="BN153" s="1275"/>
      <c r="BO153" s="1275"/>
      <c r="BP153" s="1275"/>
      <c r="BQ153" s="1297"/>
      <c r="BR153" s="1297"/>
      <c r="BS153" s="1070" t="s">
        <v>2111</v>
      </c>
      <c r="BT153" s="1072"/>
      <c r="BU153" s="1072"/>
      <c r="BV153" s="987"/>
      <c r="BW153" s="987"/>
    </row>
    <row s="706" customFormat="1" customHeight="1" ht="20.475" hidden="1">
      <c r="A154" s="706"/>
      <c r="B154" s="437"/>
      <c r="C154" s="706"/>
      <c r="D154" s="105">
        <f>D153+1</f>
        <v>11</v>
      </c>
      <c r="E154" s="713">
        <v>21</v>
      </c>
      <c r="F154" s="50" cm="1" t="str">
        <f t="array" ref="F154:F154">OFFSET(E154,-1,1)</f>
        <v>0</v>
      </c>
      <c r="G154" s="154" t="s">
        <v>1871</v>
      </c>
      <c r="H154" s="154"/>
      <c r="I154" s="154" t="s">
        <v>2139</v>
      </c>
      <c r="J154" s="706"/>
      <c r="K154" s="154" t="s">
        <v>2139</v>
      </c>
      <c r="L154" s="993" t="s">
        <v>2112</v>
      </c>
      <c r="M154" s="105"/>
      <c r="N154" s="706"/>
      <c r="O154" s="706"/>
      <c r="P154" s="706"/>
      <c r="Q154" s="706"/>
      <c r="R154" s="706"/>
      <c r="S154" s="706"/>
      <c r="T154" s="468" cm="1" t="str">
        <f t="array" ref="T154:T154">T153</f>
        <v>false</v>
      </c>
      <c r="U154" s="706"/>
      <c r="V154" s="706"/>
      <c r="W154" s="706"/>
      <c r="X154" s="1539"/>
      <c r="Y154" s="706"/>
      <c r="Z154" s="1529"/>
      <c r="AA154" s="706"/>
      <c r="AB154" s="207" cm="1" t="str">
        <f t="array" ref="AB154:AB154">D154</f>
        <v>11</v>
      </c>
      <c r="AC154" s="208" t="s">
        <v>2113</v>
      </c>
      <c r="AD154" s="207" t="s">
        <v>657</v>
      </c>
      <c r="AE154" s="792">
        <f>_xlfn.SUMIFS(Баланс!AE$26:AE$391,Баланс!$F$26:$F$391,$F154,Баланс!$G$26:$G$391,"ПО")</f>
        <v>0</v>
      </c>
      <c r="AF154" s="792">
        <f>_xlfn.SUMIFS(Баланс!AF$26:AF$391,Баланс!$F$26:$F$391,$F154,Баланс!$G$26:$G$391,"ПО")</f>
        <v>0</v>
      </c>
      <c r="AG154" s="792">
        <f>_xlfn.SUMIFS(Баланс!AG$26:AG$391,Баланс!$F$26:$F$391,$F154,Баланс!$G$26:$G$391,"ПО")</f>
        <v>0</v>
      </c>
      <c r="AH154" s="793">
        <f>AG154-AF154</f>
        <v>0</v>
      </c>
      <c r="AI154" s="793">
        <f>_xlfn.SUMIFS(Баланс!AH$26:AH$391,Баланс!$F$26:$F$391,$F154,Баланс!$G$26:$G$391,"ПО")</f>
        <v>0</v>
      </c>
      <c r="AJ154" s="793">
        <f>_xlfn.SUMIFS(Баланс!AI$26:AI$391,Баланс!$F$26:$F$391,$F154,Баланс!$G$26:$G$391,"ПО")</f>
        <v>0</v>
      </c>
      <c r="AK154" s="793">
        <f>_xlfn.SUMIFS(Баланс!AJ$26:AJ$391,Баланс!$F$26:$F$391,$F154,Баланс!$G$26:$G$391,"ПО")</f>
        <v>0</v>
      </c>
      <c r="AL154" s="793">
        <f>_xlfn.SUMIFS(Баланс!AK$26:AK$391,Баланс!$F$26:$F$391,$F154,Баланс!$G$26:$G$391,"ПО")</f>
        <v>0</v>
      </c>
      <c r="AM154" s="793">
        <f>_xlfn.SUMIFS(Баланс!AL$26:AL$391,Баланс!$F$26:$F$391,$F154,Баланс!$G$26:$G$391,"ПО")</f>
        <v>0</v>
      </c>
      <c r="AN154" s="793">
        <f>_xlfn.SUMIFS(Баланс!AM$26:AM$391,Баланс!$F$26:$F$391,$F154,Баланс!$G$26:$G$391,"ПО")</f>
        <v>0</v>
      </c>
      <c r="AO154" s="793">
        <f>_xlfn.SUMIFS(Баланс!AN$26:AN$391,Баланс!$F$26:$F$391,$F154,Баланс!$G$26:$G$391,"ПО")</f>
        <v>0</v>
      </c>
      <c r="AP154" s="793">
        <f>_xlfn.SUMIFS(Баланс!AO$26:AO$391,Баланс!$F$26:$F$391,$F154,Баланс!$G$26:$G$391,"ПО")</f>
        <v>0</v>
      </c>
      <c r="AQ154" s="793">
        <f>_xlfn.SUMIFS(Баланс!AP$26:AP$391,Баланс!$F$26:$F$391,$F154,Баланс!$G$26:$G$391,"ПО")</f>
        <v>0</v>
      </c>
      <c r="AR154" s="793">
        <f>_xlfn.SUMIFS(Баланс!AQ$26:AQ$391,Баланс!$F$26:$F$391,$F154,Баланс!$G$26:$G$391,"ПО")</f>
        <v>0</v>
      </c>
      <c r="AS154" s="793">
        <f>_xlfn.SUMIFS(Баланс!AR$26:AR$391,Баланс!$F$26:$F$391,$F154,Баланс!$G$26:$G$391,"ПО")</f>
        <v>0</v>
      </c>
      <c r="AT154" s="793">
        <f>_xlfn.SUMIFS(Баланс!AS$26:AS$391,Баланс!$F$26:$F$391,$F154,Баланс!$G$26:$G$391,"ПО")</f>
        <v>0</v>
      </c>
      <c r="AU154" s="793">
        <f>_xlfn.SUMIFS(Баланс!AT$26:AT$391,Баланс!$F$26:$F$391,$F154,Баланс!$G$26:$G$391,"ПО")</f>
        <v>0</v>
      </c>
      <c r="AV154" s="793">
        <f>_xlfn.SUMIFS(Баланс!AU$26:AU$391,Баланс!$F$26:$F$391,$F154,Баланс!$G$26:$G$391,"ПО")</f>
        <v>0</v>
      </c>
      <c r="AW154" s="793">
        <f>_xlfn.SUMIFS(Баланс!AV$26:AV$391,Баланс!$F$26:$F$391,$F154,Баланс!$G$26:$G$391,"ПО")</f>
        <v>0</v>
      </c>
      <c r="AX154" s="793">
        <f>_xlfn.SUMIFS(Баланс!AW$26:AW$391,Баланс!$F$26:$F$391,$F154,Баланс!$G$26:$G$391,"ПО")</f>
        <v>0</v>
      </c>
      <c r="AY154" s="793">
        <f>_xlfn.SUMIFS(Баланс!AX$26:AX$391,Баланс!$F$26:$F$391,$F154,Баланс!$G$26:$G$391,"ПО")</f>
        <v>0</v>
      </c>
      <c r="AZ154" s="793">
        <f>_xlfn.SUMIFS(Баланс!AY$26:AY$391,Баланс!$F$26:$F$391,$F154,Баланс!$G$26:$G$391,"ПО")</f>
        <v>0</v>
      </c>
      <c r="BA154" s="793">
        <f>_xlfn.SUMIFS(Баланс!AZ$26:AZ$391,Баланс!$F$26:$F$391,$F154,Баланс!$G$26:$G$391,"ПО")</f>
        <v>0</v>
      </c>
      <c r="BB154" s="793">
        <f>_xlfn.SUMIFS(Баланс!BA$26:BA$391,Баланс!$F$26:$F$391,$F154,Баланс!$G$26:$G$391,"ПО")</f>
        <v>0</v>
      </c>
      <c r="BC154" s="793">
        <f>_xlfn.SUMIFS(Баланс!BB$26:BB$391,Баланс!$F$26:$F$391,$F154,Баланс!$G$26:$G$391,"ПО")</f>
        <v>0</v>
      </c>
      <c r="BD154" s="771"/>
      <c r="BE154" s="771"/>
      <c r="BF154" s="771"/>
      <c r="BG154" s="771"/>
      <c r="BH154" s="771"/>
      <c r="BI154" s="771"/>
      <c r="BJ154" s="771"/>
      <c r="BK154" s="771"/>
      <c r="BL154" s="771"/>
      <c r="BM154" s="771"/>
      <c r="BN154" s="1275"/>
      <c r="BO154" s="1275"/>
      <c r="BP154" s="1275"/>
      <c r="BQ154" s="706"/>
      <c r="BR154" s="706"/>
      <c r="BS154" s="1071" t="s">
        <v>2114</v>
      </c>
      <c r="BT154" s="1078"/>
      <c r="BU154" s="1078"/>
      <c r="BV154" s="713"/>
      <c r="BW154" s="713"/>
    </row>
    <row customHeight="1" ht="14.625" hidden="1">
      <c r="A155" s="1297"/>
      <c r="B155" s="986"/>
      <c r="C155" s="1297"/>
      <c r="D155" s="103" cm="1" t="str">
        <f t="array" ref="D155:D155">D154</f>
        <v>11</v>
      </c>
      <c r="E155" s="709">
        <v>15</v>
      </c>
      <c r="F155" s="50" cm="1" t="str">
        <f t="array" ref="F155:F155">OFFSET(E155,-1,1)</f>
        <v>0</v>
      </c>
      <c r="G155" s="154" t="s">
        <v>1898</v>
      </c>
      <c r="H155" s="1297"/>
      <c r="I155" s="154" t="s">
        <v>2437</v>
      </c>
      <c r="J155" s="1297"/>
      <c r="K155" s="154" t="s">
        <v>2437</v>
      </c>
      <c r="L155" s="988" t="s">
        <v>2115</v>
      </c>
      <c r="M155" s="103"/>
      <c r="N155" s="1297"/>
      <c r="O155" s="1297"/>
      <c r="P155" s="1297"/>
      <c r="Q155" s="1297"/>
      <c r="R155" s="1297"/>
      <c r="S155" s="1297"/>
      <c r="T155" s="468" cm="1" t="str">
        <f t="array" ref="T155:T155">T154</f>
        <v>false</v>
      </c>
      <c r="U155" s="1297"/>
      <c r="V155" s="1297"/>
      <c r="W155" s="1297"/>
      <c r="X155" s="1539"/>
      <c r="Y155" s="1297"/>
      <c r="Z155" s="1529"/>
      <c r="AA155" s="1297"/>
      <c r="AB155" s="296" t="str">
        <f>D155&amp;".1"</f>
        <v>11.1</v>
      </c>
      <c r="AC155" s="1120" t="s">
        <v>2117</v>
      </c>
      <c r="AD155" s="296" t="s">
        <v>657</v>
      </c>
      <c r="AE155" s="1279">
        <f>IF(AE$24="2026 год",AE154/12*9,AE154/2)</f>
        <v>0</v>
      </c>
      <c r="AF155" s="1279">
        <f>IF(AF$24="2026 год",AF154/12*9,AF154/2)</f>
        <v>0</v>
      </c>
      <c r="AG155" s="1279">
        <f>IF(AG$24="2026 год",AG154/12*9,AG154/2)</f>
        <v>0</v>
      </c>
      <c r="AH155" s="949">
        <f>AG155-AF155</f>
        <v>0</v>
      </c>
      <c r="AI155" s="1280">
        <f>IF(AI$24="2026 год",AI154/12*9,AI154/2)</f>
        <v>0</v>
      </c>
      <c r="AJ155" s="1279">
        <f>IF(AJ$24="2026 год",AJ154/12*9,AJ154/2)</f>
        <v>0</v>
      </c>
      <c r="AK155" s="1279">
        <f>IF(AK$24="2026 год",AK154/12*9,AK154/2)</f>
        <v>0</v>
      </c>
      <c r="AL155" s="1280">
        <f>IF(AL$24="2026 год",AL154/12*9,AL154/2)</f>
        <v>0</v>
      </c>
      <c r="AM155" s="1280">
        <f>IF(AM$24="2026 год",AM154/12*9,AM154/2)</f>
        <v>0</v>
      </c>
      <c r="AN155" s="1280">
        <f>IF(AN$24="2026 год",AN154/12*9,AN154/2)</f>
        <v>0</v>
      </c>
      <c r="AO155" s="1280">
        <f>IF(AO$24="2026 год",AO154/12*9,AO154/2)</f>
        <v>0</v>
      </c>
      <c r="AP155" s="1280">
        <f>IF(AP$24="2026 год",AP154/12*9,AP154/2)</f>
        <v>0</v>
      </c>
      <c r="AQ155" s="1280">
        <f>IF(AQ$24="2026 год",AQ154/12*9,AQ154/2)</f>
        <v>0</v>
      </c>
      <c r="AR155" s="1280">
        <f>IF(AR$24="2026 год",AR154/12*9,AR154/2)</f>
        <v>0</v>
      </c>
      <c r="AS155" s="1280">
        <f>IF(AS$24="2026 год",AS154/12*9,AS154/2)</f>
        <v>0</v>
      </c>
      <c r="AT155" s="1280">
        <f>IF(AT$24="2026 год",AT154/12*9,AT154/2)</f>
        <v>0</v>
      </c>
      <c r="AU155" s="1280">
        <f>IF(AU$24="2026 год",AU154/12*9,AU154/2)</f>
        <v>0</v>
      </c>
      <c r="AV155" s="1280">
        <f>IF(AV$24="2026 год",AV154/12*9,AV154/2)</f>
        <v>0</v>
      </c>
      <c r="AW155" s="1280">
        <f>IF(AW$24="2026 год",AW154/12*9,AW154/2)</f>
        <v>0</v>
      </c>
      <c r="AX155" s="1280">
        <f>IF(AX$24="2026 год",AX154/12*9,AX154/2)</f>
        <v>0</v>
      </c>
      <c r="AY155" s="1280">
        <f>IF(AY$24="2026 год",AY154/12*9,AY154/2)</f>
        <v>0</v>
      </c>
      <c r="AZ155" s="1280">
        <f>IF(AZ$24="2026 год",AZ154/12*9,AZ154/2)</f>
        <v>0</v>
      </c>
      <c r="BA155" s="1280">
        <f>IF(BA$24="2026 год",BA154/12*9,BA154/2)</f>
        <v>0</v>
      </c>
      <c r="BB155" s="1280">
        <f>IF(BB$24="2026 год",BB154/12*9,BB154/2)</f>
        <v>0</v>
      </c>
      <c r="BC155" s="1280">
        <f>IF(BC$24="2026 год",BC154/12*9,BC154/2)</f>
        <v>0</v>
      </c>
      <c r="BD155" s="950"/>
      <c r="BE155" s="950"/>
      <c r="BF155" s="950"/>
      <c r="BG155" s="950"/>
      <c r="BH155" s="950"/>
      <c r="BI155" s="950"/>
      <c r="BJ155" s="950"/>
      <c r="BK155" s="950"/>
      <c r="BL155" s="950"/>
      <c r="BM155" s="950"/>
      <c r="BN155" s="1275"/>
      <c r="BO155" s="1275"/>
      <c r="BP155" s="1275"/>
      <c r="BQ155" s="1297"/>
      <c r="BR155" s="1297"/>
      <c r="BS155" s="1070" t="s">
        <v>2118</v>
      </c>
      <c r="BT155" s="1072"/>
      <c r="BU155" s="1072"/>
      <c r="BV155" s="987"/>
      <c r="BW155" s="987"/>
    </row>
    <row customHeight="1" ht="14.625" hidden="1">
      <c r="A156" s="1297"/>
      <c r="B156" s="986"/>
      <c r="C156" s="1297"/>
      <c r="D156" s="103" cm="1" t="str">
        <f t="array" ref="D156:D156">D155</f>
        <v>11</v>
      </c>
      <c r="E156" s="709">
        <v>15</v>
      </c>
      <c r="F156" s="50" cm="1" t="str">
        <f t="array" ref="F156:F156">OFFSET(E156,-1,1)</f>
        <v>0</v>
      </c>
      <c r="G156" s="154" t="s">
        <v>1859</v>
      </c>
      <c r="H156" s="1297"/>
      <c r="I156" s="154" t="s">
        <v>2438</v>
      </c>
      <c r="J156" s="1297"/>
      <c r="K156" s="154" t="s">
        <v>2438</v>
      </c>
      <c r="L156" s="988" t="s">
        <v>2119</v>
      </c>
      <c r="M156" s="103"/>
      <c r="N156" s="1297"/>
      <c r="O156" s="1297"/>
      <c r="P156" s="1297"/>
      <c r="Q156" s="1297"/>
      <c r="R156" s="1297"/>
      <c r="S156" s="1297"/>
      <c r="T156" s="468" cm="1" t="str">
        <f t="array" ref="T156:T156">T155</f>
        <v>false</v>
      </c>
      <c r="U156" s="1297"/>
      <c r="V156" s="1297"/>
      <c r="W156" s="1297"/>
      <c r="X156" s="1539"/>
      <c r="Y156" s="1297"/>
      <c r="Z156" s="1529"/>
      <c r="AA156" s="1297"/>
      <c r="AB156" s="296" t="str">
        <f>D156&amp;".2"</f>
        <v>11.2</v>
      </c>
      <c r="AC156" s="1120" t="s">
        <v>2121</v>
      </c>
      <c r="AD156" s="296" t="s">
        <v>1862</v>
      </c>
      <c r="AE156" s="1274"/>
      <c r="AF156" s="1274"/>
      <c r="AG156" s="1274"/>
      <c r="AH156" s="951">
        <f>AG156-AF156</f>
        <v>0</v>
      </c>
      <c r="AI156" s="1281"/>
      <c r="AJ156" s="1281"/>
      <c r="AK156" s="1281"/>
      <c r="AL156" s="1281"/>
      <c r="AM156" s="1281"/>
      <c r="AN156" s="1281"/>
      <c r="AO156" s="1281"/>
      <c r="AP156" s="1281"/>
      <c r="AQ156" s="1281"/>
      <c r="AR156" s="1281"/>
      <c r="AS156" s="1281"/>
      <c r="AT156" s="1281"/>
      <c r="AU156" s="1281" cm="1" t="str">
        <f t="array" ref="AU156:AU156">AT158</f>
        <v>0</v>
      </c>
      <c r="AV156" s="1281" cm="1" t="str">
        <f t="array" ref="AV156:AV156">AU158</f>
        <v>0</v>
      </c>
      <c r="AW156" s="1281" cm="1" t="str">
        <f t="array" ref="AW156:AW156">AV158</f>
        <v>0</v>
      </c>
      <c r="AX156" s="1281" cm="1" t="str">
        <f t="array" ref="AX156:AX156">AW158</f>
        <v>0</v>
      </c>
      <c r="AY156" s="1281" cm="1" t="str">
        <f t="array" ref="AY156:AY156">AX158</f>
        <v>0</v>
      </c>
      <c r="AZ156" s="1281" cm="1" t="str">
        <f t="array" ref="AZ156:AZ156">AY158</f>
        <v>0</v>
      </c>
      <c r="BA156" s="1281" cm="1" t="str">
        <f t="array" ref="BA156:BA156">AZ158</f>
        <v>0</v>
      </c>
      <c r="BB156" s="1281" cm="1" t="str">
        <f t="array" ref="BB156:BB156">BA158</f>
        <v>0</v>
      </c>
      <c r="BC156" s="1281" cm="1" t="str">
        <f t="array" ref="BC156:BC156">BB158</f>
        <v>0</v>
      </c>
      <c r="BD156" s="950"/>
      <c r="BE156" s="950"/>
      <c r="BF156" s="950"/>
      <c r="BG156" s="950"/>
      <c r="BH156" s="950"/>
      <c r="BI156" s="950"/>
      <c r="BJ156" s="950"/>
      <c r="BK156" s="950"/>
      <c r="BL156" s="950"/>
      <c r="BM156" s="950"/>
      <c r="BN156" s="1275"/>
      <c r="BO156" s="1275"/>
      <c r="BP156" s="1275"/>
      <c r="BQ156" s="1297"/>
      <c r="BR156" s="1297"/>
      <c r="BS156" s="1070" t="s">
        <v>2122</v>
      </c>
      <c r="BT156" s="1072"/>
      <c r="BU156" s="1072"/>
      <c r="BV156" s="987"/>
      <c r="BW156" s="987"/>
    </row>
    <row customHeight="1" ht="14.625" hidden="1">
      <c r="A157" s="1297"/>
      <c r="B157" s="986"/>
      <c r="C157" s="1297"/>
      <c r="D157" s="103" cm="1" t="str">
        <f t="array" ref="D157:D157">D156</f>
        <v>11</v>
      </c>
      <c r="E157" s="709">
        <v>15</v>
      </c>
      <c r="F157" s="50" cm="1" t="str">
        <f t="array" ref="F157:F157">OFFSET(E157,-1,1)</f>
        <v>0</v>
      </c>
      <c r="G157" s="154" t="s">
        <v>1911</v>
      </c>
      <c r="H157" s="1297"/>
      <c r="I157" s="154" t="s">
        <v>2439</v>
      </c>
      <c r="J157" s="1297"/>
      <c r="K157" s="154" t="s">
        <v>2439</v>
      </c>
      <c r="L157" s="988" t="s">
        <v>2123</v>
      </c>
      <c r="M157" s="103"/>
      <c r="N157" s="1297"/>
      <c r="O157" s="1297"/>
      <c r="P157" s="1297"/>
      <c r="Q157" s="1297"/>
      <c r="R157" s="1297"/>
      <c r="S157" s="1297"/>
      <c r="T157" s="468" cm="1" t="str">
        <f t="array" ref="T157:T157">T156</f>
        <v>false</v>
      </c>
      <c r="U157" s="1297"/>
      <c r="V157" s="1297"/>
      <c r="W157" s="1297"/>
      <c r="X157" s="1539"/>
      <c r="Y157" s="1297"/>
      <c r="Z157" s="1529"/>
      <c r="AA157" s="1297"/>
      <c r="AB157" s="296" t="str">
        <f>D157&amp;".3"</f>
        <v>11.3</v>
      </c>
      <c r="AC157" s="1120" t="s">
        <v>2440</v>
      </c>
      <c r="AD157" s="296" t="s">
        <v>657</v>
      </c>
      <c r="AE157" s="954">
        <f>AE154-AE155</f>
        <v>0</v>
      </c>
      <c r="AF157" s="954">
        <f>AF154-AF155</f>
        <v>0</v>
      </c>
      <c r="AG157" s="954">
        <f>AG154-AG155</f>
        <v>0</v>
      </c>
      <c r="AH157" s="949">
        <f>AG157-AF157</f>
        <v>0</v>
      </c>
      <c r="AI157" s="832">
        <f>AI154-AI155</f>
        <v>0</v>
      </c>
      <c r="AJ157" s="832">
        <f>AJ154-AJ155</f>
        <v>0</v>
      </c>
      <c r="AK157" s="832">
        <f>AK154-AK155</f>
        <v>0</v>
      </c>
      <c r="AL157" s="832">
        <f>AL154-AL155</f>
        <v>0</v>
      </c>
      <c r="AM157" s="832">
        <f>AM154-AM155</f>
        <v>0</v>
      </c>
      <c r="AN157" s="832">
        <f>AN154-AN155</f>
        <v>0</v>
      </c>
      <c r="AO157" s="832">
        <f>AO154-AO155</f>
        <v>0</v>
      </c>
      <c r="AP157" s="832">
        <f>AP154-AP155</f>
        <v>0</v>
      </c>
      <c r="AQ157" s="832">
        <f>AQ154-AQ155</f>
        <v>0</v>
      </c>
      <c r="AR157" s="832">
        <f>AR154-AR155</f>
        <v>0</v>
      </c>
      <c r="AS157" s="832">
        <f>AS154-AS155</f>
        <v>0</v>
      </c>
      <c r="AT157" s="832">
        <f>AT154-AT155</f>
        <v>0</v>
      </c>
      <c r="AU157" s="832">
        <f>AU154-AU155</f>
        <v>0</v>
      </c>
      <c r="AV157" s="832">
        <f>AV154-AV155</f>
        <v>0</v>
      </c>
      <c r="AW157" s="832">
        <f>AW154-AW155</f>
        <v>0</v>
      </c>
      <c r="AX157" s="832">
        <f>AX154-AX155</f>
        <v>0</v>
      </c>
      <c r="AY157" s="832">
        <f>AY154-AY155</f>
        <v>0</v>
      </c>
      <c r="AZ157" s="832">
        <f>AZ154-AZ155</f>
        <v>0</v>
      </c>
      <c r="BA157" s="832">
        <f>BA154-BA155</f>
        <v>0</v>
      </c>
      <c r="BB157" s="832">
        <f>BB154-BB155</f>
        <v>0</v>
      </c>
      <c r="BC157" s="832">
        <f>BC154-BC155</f>
        <v>0</v>
      </c>
      <c r="BD157" s="950"/>
      <c r="BE157" s="950"/>
      <c r="BF157" s="950"/>
      <c r="BG157" s="950"/>
      <c r="BH157" s="950"/>
      <c r="BI157" s="950"/>
      <c r="BJ157" s="950"/>
      <c r="BK157" s="950"/>
      <c r="BL157" s="950"/>
      <c r="BM157" s="950"/>
      <c r="BN157" s="1275"/>
      <c r="BO157" s="1275"/>
      <c r="BP157" s="1275"/>
      <c r="BQ157" s="1297"/>
      <c r="BR157" s="1297"/>
      <c r="BS157" s="1070" t="s">
        <v>2126</v>
      </c>
      <c r="BT157" s="1072"/>
      <c r="BU157" s="1072"/>
      <c r="BV157" s="987"/>
      <c r="BW157" s="987"/>
    </row>
    <row customHeight="1" ht="14.625" hidden="1">
      <c r="A158" s="1297"/>
      <c r="B158" s="986"/>
      <c r="C158" s="1297"/>
      <c r="D158" s="103" cm="1" t="str">
        <f t="array" ref="D158:D158">D157</f>
        <v>11</v>
      </c>
      <c r="E158" s="709">
        <v>15</v>
      </c>
      <c r="F158" s="50" cm="1" t="str">
        <f t="array" ref="F158:F158">OFFSET(E158,-1,1)</f>
        <v>0</v>
      </c>
      <c r="G158" s="154" t="s">
        <v>1864</v>
      </c>
      <c r="H158" s="1297"/>
      <c r="I158" s="154" t="s">
        <v>2441</v>
      </c>
      <c r="J158" s="1297"/>
      <c r="K158" s="154" t="s">
        <v>2441</v>
      </c>
      <c r="L158" s="988" t="s">
        <v>2127</v>
      </c>
      <c r="M158" s="103"/>
      <c r="N158" s="1297"/>
      <c r="O158" s="1297"/>
      <c r="P158" s="1297"/>
      <c r="Q158" s="1297"/>
      <c r="R158" s="1297"/>
      <c r="S158" s="1297"/>
      <c r="T158" s="468" cm="1" t="str">
        <f t="array" ref="T158:T158">T157</f>
        <v>false</v>
      </c>
      <c r="U158" s="1297"/>
      <c r="V158" s="1297"/>
      <c r="W158" s="1297"/>
      <c r="X158" s="1539"/>
      <c r="Y158" s="1297"/>
      <c r="Z158" s="1529"/>
      <c r="AA158" s="1297"/>
      <c r="AB158" s="296" t="str">
        <f>D158&amp;".4"</f>
        <v>11.4</v>
      </c>
      <c r="AC158" s="1120" t="s">
        <v>2129</v>
      </c>
      <c r="AD158" s="296" t="s">
        <v>1862</v>
      </c>
      <c r="AE158" s="1274">
        <f>IF(AE157=0,0,(AE151-AE155*AE156)/AE157)</f>
        <v>0</v>
      </c>
      <c r="AF158" s="1274">
        <f>IF(AF157=0,0,(AF151-AF155*AF156)/AF157)</f>
        <v>0</v>
      </c>
      <c r="AG158" s="1274">
        <f>IF(AG157=0,0,(AG151-AG155*AG156)/AG157)</f>
        <v>0</v>
      </c>
      <c r="AH158" s="951">
        <f>AG158-AF158</f>
        <v>0</v>
      </c>
      <c r="AI158" s="1281">
        <f>IF(AI157=0,0,(AI151-AI155*AI156)/AI157)</f>
        <v>0</v>
      </c>
      <c r="AJ158" s="1281">
        <f>IF(AJ157=0,0,(AJ151-AJ155*AJ156)/AJ157)</f>
        <v>0</v>
      </c>
      <c r="AK158" s="1281">
        <f>IF(AK157=0,0,(AK151-AK155*AK156)/AK157)</f>
        <v>0</v>
      </c>
      <c r="AL158" s="1281">
        <f>IF(AL157=0,0,(AL151-AL155*AL156)/AL157)</f>
        <v>0</v>
      </c>
      <c r="AM158" s="1281">
        <f>IF(AM157=0,0,(AM151-AM155*AM156)/AM157)</f>
        <v>0</v>
      </c>
      <c r="AN158" s="1281">
        <f>IF(AN157=0,0,(AN151-AN155*AN156)/AN157)</f>
        <v>0</v>
      </c>
      <c r="AO158" s="1281">
        <f>IF(AO157=0,0,(AO151-AO155*AO156)/AO157)</f>
        <v>0</v>
      </c>
      <c r="AP158" s="1281">
        <f>IF(AP157=0,0,(AP151-AP155*AP156)/AP157)</f>
        <v>0</v>
      </c>
      <c r="AQ158" s="1281">
        <f>IF(AQ157=0,0,(AQ151-AQ155*AQ156)/AQ157)</f>
        <v>0</v>
      </c>
      <c r="AR158" s="1281">
        <f>IF(AR157=0,0,(AR151-AR155*AR156)/AR157)</f>
        <v>0</v>
      </c>
      <c r="AS158" s="1281">
        <f>IF(AS157=0,0,(AS151-AS155*AS156)/AS157)</f>
        <v>0</v>
      </c>
      <c r="AT158" s="1281">
        <f>IF(AT157=0,0,(AT151-AT155*AT156)/AT157)</f>
        <v>0</v>
      </c>
      <c r="AU158" s="1281">
        <f>IF(AU157=0,0,(AU151-AU155*AU156)/AU157)</f>
        <v>0</v>
      </c>
      <c r="AV158" s="1281">
        <f>IF(AV157=0,0,(AV151-AV155*AV156)/AV157)</f>
        <v>0</v>
      </c>
      <c r="AW158" s="1281">
        <f>IF(AW157=0,0,(AW151-AW155*AW156)/AW157)</f>
        <v>0</v>
      </c>
      <c r="AX158" s="1281">
        <f>IF(AX157=0,0,(AX151-AX155*AX156)/AX157)</f>
        <v>0</v>
      </c>
      <c r="AY158" s="1281">
        <f>IF(AY157=0,0,(AY151-AY155*AY156)/AY157)</f>
        <v>0</v>
      </c>
      <c r="AZ158" s="1281">
        <f>IF(AZ157=0,0,(AZ151-AZ155*AZ156)/AZ157)</f>
        <v>0</v>
      </c>
      <c r="BA158" s="1281">
        <f>IF(BA157=0,0,(BA151-BA155*BA156)/BA157)</f>
        <v>0</v>
      </c>
      <c r="BB158" s="1281">
        <f>IF(BB157=0,0,(BB151-BB155*BB156)/BB157)</f>
        <v>0</v>
      </c>
      <c r="BC158" s="1281">
        <f>IF(BC157=0,0,(BC151-BC155*BC156)/BC157)</f>
        <v>0</v>
      </c>
      <c r="BD158" s="950"/>
      <c r="BE158" s="950"/>
      <c r="BF158" s="950"/>
      <c r="BG158" s="950"/>
      <c r="BH158" s="950"/>
      <c r="BI158" s="950"/>
      <c r="BJ158" s="950"/>
      <c r="BK158" s="950"/>
      <c r="BL158" s="950"/>
      <c r="BM158" s="950"/>
      <c r="BN158" s="1275"/>
      <c r="BO158" s="1275"/>
      <c r="BP158" s="1275"/>
      <c r="BQ158" s="1297"/>
      <c r="BR158" s="1297"/>
      <c r="BS158" s="1070" t="s">
        <v>2130</v>
      </c>
      <c r="BT158" s="1072"/>
      <c r="BU158" s="1072"/>
      <c r="BV158" s="987"/>
      <c r="BW158" s="987"/>
    </row>
    <row customHeight="1" ht="14.625" hidden="1">
      <c r="A159" s="1297"/>
      <c r="B159" s="986"/>
      <c r="C159" s="1297"/>
      <c r="D159" s="103" cm="1" t="str">
        <f t="array" ref="D159:D159">D158</f>
        <v>11</v>
      </c>
      <c r="E159" s="709">
        <v>15</v>
      </c>
      <c r="F159" s="50" cm="1" t="str">
        <f t="array" ref="F159:F159">OFFSET(E159,-1,1)</f>
        <v>0</v>
      </c>
      <c r="G159" s="1297"/>
      <c r="H159" s="1297"/>
      <c r="I159" s="154" t="s">
        <v>2442</v>
      </c>
      <c r="J159" s="1297"/>
      <c r="K159" s="154" t="s">
        <v>2442</v>
      </c>
      <c r="L159" s="988" t="s">
        <v>2131</v>
      </c>
      <c r="M159" s="103"/>
      <c r="N159" s="1297"/>
      <c r="O159" s="1297"/>
      <c r="P159" s="1297"/>
      <c r="Q159" s="1297"/>
      <c r="R159" s="1297"/>
      <c r="S159" s="1297"/>
      <c r="T159" s="468" cm="1" t="str">
        <f t="array" ref="T159:T159">T158</f>
        <v>false</v>
      </c>
      <c r="U159" s="1297"/>
      <c r="V159" s="1297"/>
      <c r="W159" s="1297"/>
      <c r="X159" s="1539"/>
      <c r="Y159" s="1297"/>
      <c r="Z159" s="1529"/>
      <c r="AA159" s="1297"/>
      <c r="AB159" s="296" t="str">
        <f>D159&amp;".5"</f>
        <v>11.5</v>
      </c>
      <c r="AC159" s="1120" t="s">
        <v>2133</v>
      </c>
      <c r="AD159" s="296" t="s">
        <v>561</v>
      </c>
      <c r="AE159" s="255">
        <f>IF(AE156=0,0,AE158/AE156*100)</f>
        <v>0</v>
      </c>
      <c r="AF159" s="255">
        <f>IF(AF156=0,0,AF158/AF156*100)</f>
        <v>0</v>
      </c>
      <c r="AG159" s="255">
        <f>IF(AG156=0,0,AG158/AG156*100)</f>
        <v>0</v>
      </c>
      <c r="AH159" s="950"/>
      <c r="AI159" s="809">
        <f>IF(AI156=0,0,AI158/AI156*100)</f>
        <v>0</v>
      </c>
      <c r="AJ159" s="809">
        <f>IF(AJ156=0,0,AJ158/AJ156*100)</f>
        <v>0</v>
      </c>
      <c r="AK159" s="809">
        <f>IF(AK156=0,0,AK158/AK156*100)</f>
        <v>0</v>
      </c>
      <c r="AL159" s="809">
        <f>IF(AL156=0,0,AL158/AL156*100)</f>
        <v>0</v>
      </c>
      <c r="AM159" s="809">
        <f>IF(AM156=0,0,AM158/AM156*100)</f>
        <v>0</v>
      </c>
      <c r="AN159" s="809">
        <f>IF(AN156=0,0,AN158/AN156*100)</f>
        <v>0</v>
      </c>
      <c r="AO159" s="809">
        <f>IF(AO156=0,0,AO158/AO156*100)</f>
        <v>0</v>
      </c>
      <c r="AP159" s="809">
        <f>IF(AP156=0,0,AP158/AP156*100)</f>
        <v>0</v>
      </c>
      <c r="AQ159" s="809">
        <f>IF(AQ156=0,0,AQ158/AQ156*100)</f>
        <v>0</v>
      </c>
      <c r="AR159" s="809">
        <f>IF(AR156=0,0,AR158/AR156*100)</f>
        <v>0</v>
      </c>
      <c r="AS159" s="809">
        <f>IF(AS156=0,0,AS158/AS156*100)</f>
        <v>0</v>
      </c>
      <c r="AT159" s="809">
        <f>IF(AT156=0,0,AT158/AT156*100)</f>
        <v>0</v>
      </c>
      <c r="AU159" s="809">
        <f>IF(AU156=0,0,AU158/AU156*100)</f>
        <v>0</v>
      </c>
      <c r="AV159" s="809">
        <f>IF(AV156=0,0,AV158/AV156*100)</f>
        <v>0</v>
      </c>
      <c r="AW159" s="809">
        <f>IF(AW156=0,0,AW158/AW156*100)</f>
        <v>0</v>
      </c>
      <c r="AX159" s="809">
        <f>IF(AX156=0,0,AX158/AX156*100)</f>
        <v>0</v>
      </c>
      <c r="AY159" s="809">
        <f>IF(AY156=0,0,AY158/AY156*100)</f>
        <v>0</v>
      </c>
      <c r="AZ159" s="809">
        <f>IF(AZ156=0,0,AZ158/AZ156*100)</f>
        <v>0</v>
      </c>
      <c r="BA159" s="809">
        <f>IF(BA156=0,0,BA158/BA156*100)</f>
        <v>0</v>
      </c>
      <c r="BB159" s="809">
        <f>IF(BB156=0,0,BB158/BB156*100)</f>
        <v>0</v>
      </c>
      <c r="BC159" s="809">
        <f>IF(BC156=0,0,BC158/BC156*100)</f>
        <v>0</v>
      </c>
      <c r="BD159" s="950"/>
      <c r="BE159" s="950"/>
      <c r="BF159" s="950"/>
      <c r="BG159" s="950"/>
      <c r="BH159" s="950"/>
      <c r="BI159" s="950"/>
      <c r="BJ159" s="950"/>
      <c r="BK159" s="950"/>
      <c r="BL159" s="950"/>
      <c r="BM159" s="950"/>
      <c r="BN159" s="1275"/>
      <c r="BO159" s="1275"/>
      <c r="BP159" s="1275"/>
      <c r="BQ159" s="1297"/>
      <c r="BR159" s="1297"/>
      <c r="BS159" s="1070" t="s">
        <v>2134</v>
      </c>
      <c r="BT159" s="1072"/>
      <c r="BU159" s="1072"/>
      <c r="BV159" s="987"/>
      <c r="BW159" s="987"/>
    </row>
    <row customHeight="1" ht="14.625" hidden="1">
      <c r="A160" s="1297"/>
      <c r="B160" s="986"/>
      <c r="C160" s="1297"/>
      <c r="D160" s="103" cm="1" t="str">
        <f t="array" ref="D160:D160">D159</f>
        <v>11</v>
      </c>
      <c r="E160" s="709">
        <v>15</v>
      </c>
      <c r="F160" s="50" cm="1" t="str">
        <f t="array" ref="F160:F160">OFFSET(E160,-1,1)</f>
        <v>0</v>
      </c>
      <c r="G160" s="1297"/>
      <c r="H160" s="1297"/>
      <c r="I160" s="154" t="s">
        <v>2443</v>
      </c>
      <c r="J160" s="1297"/>
      <c r="K160" s="154" t="s">
        <v>2443</v>
      </c>
      <c r="L160" s="988" t="s">
        <v>2135</v>
      </c>
      <c r="M160" s="103"/>
      <c r="N160" s="1297"/>
      <c r="O160" s="1297"/>
      <c r="P160" s="1297"/>
      <c r="Q160" s="1297"/>
      <c r="R160" s="1297"/>
      <c r="S160" s="1297"/>
      <c r="T160" s="468" cm="1" t="str">
        <f t="array" ref="T160:T160">T159</f>
        <v>false</v>
      </c>
      <c r="U160" s="1297"/>
      <c r="V160" s="1297"/>
      <c r="W160" s="1297"/>
      <c r="X160" s="1539"/>
      <c r="Y160" s="1297"/>
      <c r="Z160" s="1529"/>
      <c r="AA160" s="1297"/>
      <c r="AB160" s="296" t="str">
        <f>D160&amp;".6"</f>
        <v>11.6</v>
      </c>
      <c r="AC160" s="1120" t="s">
        <v>2137</v>
      </c>
      <c r="AD160" s="296" t="s">
        <v>1862</v>
      </c>
      <c r="AE160" s="1274">
        <f>IF(AE154=0,0,AE151/AE154)</f>
        <v>0</v>
      </c>
      <c r="AF160" s="1274">
        <f>IF(AF154=0,0,AF151/AF154)</f>
        <v>0</v>
      </c>
      <c r="AG160" s="1274">
        <f>IF(AG154=0,0,AG151/AG154)</f>
        <v>0</v>
      </c>
      <c r="AH160" s="951">
        <f>AG160-AF160</f>
        <v>0</v>
      </c>
      <c r="AI160" s="1281">
        <f>IF(AI154=0,0,AI151/AI154)</f>
        <v>0</v>
      </c>
      <c r="AJ160" s="1281">
        <f>IF(AJ154=0,0,AJ151/AJ154)</f>
        <v>0</v>
      </c>
      <c r="AK160" s="1281">
        <f>IF(AK154=0,0,AK151/AK154)</f>
        <v>0</v>
      </c>
      <c r="AL160" s="1281">
        <f>IF(AL154=0,0,AL151/AL154)</f>
        <v>0</v>
      </c>
      <c r="AM160" s="1281">
        <f>IF(AM154=0,0,AM151/AM154)</f>
        <v>0</v>
      </c>
      <c r="AN160" s="1281">
        <f>IF(AN154=0,0,AN151/AN154)</f>
        <v>0</v>
      </c>
      <c r="AO160" s="1281">
        <f>IF(AO154=0,0,AO151/AO154)</f>
        <v>0</v>
      </c>
      <c r="AP160" s="1281">
        <f>IF(AP154=0,0,AP151/AP154)</f>
        <v>0</v>
      </c>
      <c r="AQ160" s="1281">
        <f>IF(AQ154=0,0,AQ151/AQ154)</f>
        <v>0</v>
      </c>
      <c r="AR160" s="1281">
        <f>IF(AR154=0,0,AR151/AR154)</f>
        <v>0</v>
      </c>
      <c r="AS160" s="1281">
        <f>IF(AS154=0,0,AS151/AS154)</f>
        <v>0</v>
      </c>
      <c r="AT160" s="1281">
        <f>IF(AT154=0,0,AT151/AT154)</f>
        <v>0</v>
      </c>
      <c r="AU160" s="1281">
        <f>IF(AU154=0,0,AU151/AU154)</f>
        <v>0</v>
      </c>
      <c r="AV160" s="1281">
        <f>IF(AV154=0,0,AV151/AV154)</f>
        <v>0</v>
      </c>
      <c r="AW160" s="1281">
        <f>IF(AW154=0,0,AW151/AW154)</f>
        <v>0</v>
      </c>
      <c r="AX160" s="1281">
        <f>IF(AX154=0,0,AX151/AX154)</f>
        <v>0</v>
      </c>
      <c r="AY160" s="1281">
        <f>IF(AY154=0,0,AY151/AY154)</f>
        <v>0</v>
      </c>
      <c r="AZ160" s="1281">
        <f>IF(AZ154=0,0,AZ151/AZ154)</f>
        <v>0</v>
      </c>
      <c r="BA160" s="1281">
        <f>IF(BA154=0,0,BA151/BA154)</f>
        <v>0</v>
      </c>
      <c r="BB160" s="1281">
        <f>IF(BB154=0,0,BB151/BB154)</f>
        <v>0</v>
      </c>
      <c r="BC160" s="1281">
        <f>IF(BC154=0,0,BC151/BC154)</f>
        <v>0</v>
      </c>
      <c r="BD160" s="950"/>
      <c r="BE160" s="950"/>
      <c r="BF160" s="950"/>
      <c r="BG160" s="950"/>
      <c r="BH160" s="950"/>
      <c r="BI160" s="950"/>
      <c r="BJ160" s="950"/>
      <c r="BK160" s="950"/>
      <c r="BL160" s="950"/>
      <c r="BM160" s="950"/>
      <c r="BN160" s="1275"/>
      <c r="BO160" s="1275"/>
      <c r="BP160" s="1275"/>
      <c r="BQ160" s="1297"/>
      <c r="BR160" s="1297"/>
      <c r="BS160" s="1070" t="s">
        <v>2138</v>
      </c>
      <c r="BT160" s="1072"/>
      <c r="BU160" s="1072"/>
      <c r="BV160" s="987"/>
      <c r="BW160" s="987"/>
    </row>
    <row s="706" customFormat="1" customHeight="1" ht="20.475" hidden="1">
      <c r="A161" s="706"/>
      <c r="B161" s="437"/>
      <c r="C161" s="706"/>
      <c r="D161" s="105">
        <f>D160+1</f>
        <v>12</v>
      </c>
      <c r="E161" s="713">
        <v>21</v>
      </c>
      <c r="F161" s="50" cm="1" t="str">
        <f t="array" ref="F161:F161">OFFSET(E161,-1,1)</f>
        <v>0</v>
      </c>
      <c r="G161" s="706"/>
      <c r="H161" s="154"/>
      <c r="I161" s="154" t="s">
        <v>2142</v>
      </c>
      <c r="J161" s="706"/>
      <c r="K161" s="154" t="s">
        <v>2142</v>
      </c>
      <c r="L161" s="993" t="s">
        <v>2139</v>
      </c>
      <c r="M161" s="105"/>
      <c r="N161" s="706"/>
      <c r="O161" s="706"/>
      <c r="P161" s="706"/>
      <c r="Q161" s="706"/>
      <c r="R161" s="706"/>
      <c r="S161" s="706"/>
      <c r="T161" s="468" cm="1" t="str">
        <f t="array" ref="T161:T161">T160</f>
        <v>false</v>
      </c>
      <c r="U161" s="706"/>
      <c r="V161" s="706"/>
      <c r="W161" s="706"/>
      <c r="X161" s="1539"/>
      <c r="Y161" s="706"/>
      <c r="Z161" s="1529"/>
      <c r="AA161" s="706"/>
      <c r="AB161" s="207" cm="1" t="str">
        <f t="array" ref="AB161:AB161">D161</f>
        <v>12</v>
      </c>
      <c r="AC161" s="208" t="s">
        <v>2140</v>
      </c>
      <c r="AD161" s="207" t="s">
        <v>936</v>
      </c>
      <c r="AE161" s="1269">
        <f>IF(AE154=0,0,AE151/AE154*AE162)</f>
        <v>0</v>
      </c>
      <c r="AF161" s="1269">
        <f>IF(AF154=0,0,AF151/AF154*AF162)</f>
        <v>0</v>
      </c>
      <c r="AG161" s="1269">
        <f>IF(AG154=0,0,AG151/AG154*AG162)</f>
        <v>0</v>
      </c>
      <c r="AH161" s="777">
        <f>AH163*AH164+AH165*AH166</f>
        <v>0</v>
      </c>
      <c r="AI161" s="1282">
        <f>IF(AI154=0,0,AI151/AI154*AI162)</f>
        <v>0</v>
      </c>
      <c r="AJ161" s="1282">
        <f>IF(AJ154=0,0,AJ151/AJ154*AJ162)</f>
        <v>0</v>
      </c>
      <c r="AK161" s="1282">
        <f>IF(AK154=0,0,AK151/AK154*AK162)</f>
        <v>0</v>
      </c>
      <c r="AL161" s="1282">
        <f>IF(AL154=0,0,AL151/AL154*AL162)</f>
        <v>0</v>
      </c>
      <c r="AM161" s="1282">
        <f>IF(AM154=0,0,AM151/AM154*AM162)</f>
        <v>0</v>
      </c>
      <c r="AN161" s="1282">
        <f>IF(AN154=0,0,AN151/AN154*AN162)</f>
        <v>0</v>
      </c>
      <c r="AO161" s="1282">
        <f>IF(AO154=0,0,AO151/AO154*AO162)</f>
        <v>0</v>
      </c>
      <c r="AP161" s="1282">
        <f>IF(AP154=0,0,AP151/AP154*AP162)</f>
        <v>0</v>
      </c>
      <c r="AQ161" s="1282">
        <f>IF(AQ154=0,0,AQ151/AQ154*AQ162)</f>
        <v>0</v>
      </c>
      <c r="AR161" s="1282">
        <f>IF(AR154=0,0,AR151/AR154*AR162)</f>
        <v>0</v>
      </c>
      <c r="AS161" s="1282">
        <f>IF(AS154=0,0,AS151/AS154*AS162)</f>
        <v>0</v>
      </c>
      <c r="AT161" s="1282">
        <f>IF(AT154=0,0,AT151/AT154*AT162)</f>
        <v>0</v>
      </c>
      <c r="AU161" s="1282">
        <f>IF(AU154=0,0,AU151/AU154*AU162)</f>
        <v>0</v>
      </c>
      <c r="AV161" s="1282">
        <f>IF(AV154=0,0,AV151/AV154*AV162)</f>
        <v>0</v>
      </c>
      <c r="AW161" s="1282">
        <f>IF(AW154=0,0,AW151/AW154*AW162)</f>
        <v>0</v>
      </c>
      <c r="AX161" s="1282">
        <f>IF(AX154=0,0,AX151/AX154*AX162)</f>
        <v>0</v>
      </c>
      <c r="AY161" s="1282">
        <f>IF(AY154=0,0,AY151/AY154*AY162)</f>
        <v>0</v>
      </c>
      <c r="AZ161" s="1282">
        <f>IF(AZ154=0,0,AZ151/AZ154*AZ162)</f>
        <v>0</v>
      </c>
      <c r="BA161" s="1282">
        <f>IF(BA154=0,0,BA151/BA154*BA162)</f>
        <v>0</v>
      </c>
      <c r="BB161" s="1282">
        <f>IF(BB154=0,0,BB151/BB154*BB162)</f>
        <v>0</v>
      </c>
      <c r="BC161" s="1282">
        <f>IF(BC154=0,0,BC151/BC154*BC162)</f>
        <v>0</v>
      </c>
      <c r="BD161" s="768">
        <f>IF(AI161=0,0,(AT161-AI161)/AI161*100)</f>
        <v>0</v>
      </c>
      <c r="BE161" s="768">
        <f>IF(AT161=0,0,(AU161-AT161)/AT161*100)</f>
        <v>0</v>
      </c>
      <c r="BF161" s="768">
        <f>IF(AU161=0,0,(AV161-AU161)/AU161*100)</f>
        <v>0</v>
      </c>
      <c r="BG161" s="768">
        <f>IF(AV161=0,0,(AW161-AV161)/AV161*100)</f>
        <v>0</v>
      </c>
      <c r="BH161" s="768">
        <f>IF(AW161=0,0,(AX161-AW161)/AW161*100)</f>
        <v>0</v>
      </c>
      <c r="BI161" s="768">
        <f>IF(AX161=0,0,(AY161-AX161)/AX161*100)</f>
        <v>0</v>
      </c>
      <c r="BJ161" s="768">
        <f>IF(AY161=0,0,(AZ161-AY161)/AY161*100)</f>
        <v>0</v>
      </c>
      <c r="BK161" s="768">
        <f>IF(AZ161=0,0,(BA161-AZ161)/AZ161*100)</f>
        <v>0</v>
      </c>
      <c r="BL161" s="768">
        <f>IF(BA161=0,0,(BB161-BA161)/BA161*100)</f>
        <v>0</v>
      </c>
      <c r="BM161" s="768">
        <f>IF(BB161=0,0,(BC161-BB161)/BB161*100)</f>
        <v>0</v>
      </c>
      <c r="BN161" s="1275"/>
      <c r="BO161" s="1275"/>
      <c r="BP161" s="1275"/>
      <c r="BQ161" s="706"/>
      <c r="BR161" s="706"/>
      <c r="BS161" s="1071" t="s">
        <v>2141</v>
      </c>
      <c r="BT161" s="1078"/>
      <c r="BU161" s="1078"/>
      <c r="BV161" s="713"/>
      <c r="BW161" s="713"/>
    </row>
    <row s="706" customFormat="1" customHeight="1" ht="20.475" hidden="1">
      <c r="A162" s="706"/>
      <c r="B162" s="437"/>
      <c r="C162" s="706"/>
      <c r="D162" s="105">
        <f>D161+1</f>
        <v>13</v>
      </c>
      <c r="E162" s="713">
        <v>21</v>
      </c>
      <c r="F162" s="50" cm="1" t="str">
        <f t="array" ref="F162:F162">OFFSET(E162,-1,1)</f>
        <v>0</v>
      </c>
      <c r="G162" s="154" t="s">
        <v>1884</v>
      </c>
      <c r="H162" s="154"/>
      <c r="I162" s="154" t="s">
        <v>2444</v>
      </c>
      <c r="J162" s="706"/>
      <c r="K162" s="154" t="s">
        <v>2444</v>
      </c>
      <c r="L162" s="993" t="s">
        <v>2142</v>
      </c>
      <c r="M162" s="105"/>
      <c r="N162" s="706"/>
      <c r="O162" s="706"/>
      <c r="P162" s="706"/>
      <c r="Q162" s="706"/>
      <c r="R162" s="706"/>
      <c r="S162" s="706"/>
      <c r="T162" s="468" cm="1" t="str">
        <f t="array" ref="T162:T162">T161</f>
        <v>false</v>
      </c>
      <c r="U162" s="706"/>
      <c r="V162" s="706"/>
      <c r="W162" s="706"/>
      <c r="X162" s="1539"/>
      <c r="Y162" s="706"/>
      <c r="Z162" s="1529"/>
      <c r="AA162" s="706"/>
      <c r="AB162" s="207" cm="1" t="str">
        <f t="array" ref="AB162:AB162">D162</f>
        <v>13</v>
      </c>
      <c r="AC162" s="208" t="s">
        <v>2143</v>
      </c>
      <c r="AD162" s="207" t="s">
        <v>657</v>
      </c>
      <c r="AE162" s="792">
        <f>_xlfn.SUMIFS(Баланс!AE$26:AE$391,Баланс!$F$26:$F$391,$F162,Баланс!$G$26:$G$391,"население")</f>
        <v>0</v>
      </c>
      <c r="AF162" s="792">
        <f>_xlfn.SUMIFS(Баланс!AF$26:AF$391,Баланс!$F$26:$F$391,$F162,Баланс!$G$26:$G$391,"население")</f>
        <v>0</v>
      </c>
      <c r="AG162" s="792">
        <f>_xlfn.SUMIFS(Баланс!AG$26:AG$391,Баланс!$F$26:$F$391,$F162,Баланс!$G$26:$G$391,"население")</f>
        <v>0</v>
      </c>
      <c r="AH162" s="793">
        <f>AG162-AF162</f>
        <v>0</v>
      </c>
      <c r="AI162" s="793">
        <f>_xlfn.SUMIFS(Баланс!AH$26:AH$391,Баланс!$F$26:$F$391,$F162,Баланс!$G$26:$G$391,"население")</f>
        <v>0</v>
      </c>
      <c r="AJ162" s="793">
        <f>_xlfn.SUMIFS(Баланс!AI$26:AI$391,Баланс!$F$26:$F$391,$F162,Баланс!$G$26:$G$391,"население")</f>
        <v>0</v>
      </c>
      <c r="AK162" s="793">
        <f>_xlfn.SUMIFS(Баланс!AJ$26:AJ$391,Баланс!$F$26:$F$391,$F162,Баланс!$G$26:$G$391,"население")</f>
        <v>0</v>
      </c>
      <c r="AL162" s="793">
        <f>_xlfn.SUMIFS(Баланс!AK$26:AK$391,Баланс!$F$26:$F$391,$F162,Баланс!$G$26:$G$391,"население")</f>
        <v>0</v>
      </c>
      <c r="AM162" s="793">
        <f>_xlfn.SUMIFS(Баланс!AL$26:AL$391,Баланс!$F$26:$F$391,$F162,Баланс!$G$26:$G$391,"население")</f>
        <v>0</v>
      </c>
      <c r="AN162" s="793">
        <f>_xlfn.SUMIFS(Баланс!AM$26:AM$391,Баланс!$F$26:$F$391,$F162,Баланс!$G$26:$G$391,"население")</f>
        <v>0</v>
      </c>
      <c r="AO162" s="793">
        <f>_xlfn.SUMIFS(Баланс!AN$26:AN$391,Баланс!$F$26:$F$391,$F162,Баланс!$G$26:$G$391,"население")</f>
        <v>0</v>
      </c>
      <c r="AP162" s="793">
        <f>_xlfn.SUMIFS(Баланс!AO$26:AO$391,Баланс!$F$26:$F$391,$F162,Баланс!$G$26:$G$391,"население")</f>
        <v>0</v>
      </c>
      <c r="AQ162" s="793">
        <f>_xlfn.SUMIFS(Баланс!AP$26:AP$391,Баланс!$F$26:$F$391,$F162,Баланс!$G$26:$G$391,"население")</f>
        <v>0</v>
      </c>
      <c r="AR162" s="793">
        <f>_xlfn.SUMIFS(Баланс!AQ$26:AQ$391,Баланс!$F$26:$F$391,$F162,Баланс!$G$26:$G$391,"население")</f>
        <v>0</v>
      </c>
      <c r="AS162" s="793">
        <f>_xlfn.SUMIFS(Баланс!AR$26:AR$391,Баланс!$F$26:$F$391,$F162,Баланс!$G$26:$G$391,"население")</f>
        <v>0</v>
      </c>
      <c r="AT162" s="793">
        <f>_xlfn.SUMIFS(Баланс!AS$26:AS$391,Баланс!$F$26:$F$391,$F162,Баланс!$G$26:$G$391,"население")</f>
        <v>0</v>
      </c>
      <c r="AU162" s="793">
        <f>_xlfn.SUMIFS(Баланс!AT$26:AT$391,Баланс!$F$26:$F$391,$F162,Баланс!$G$26:$G$391,"население")</f>
        <v>0</v>
      </c>
      <c r="AV162" s="793">
        <f>_xlfn.SUMIFS(Баланс!AU$26:AU$391,Баланс!$F$26:$F$391,$F162,Баланс!$G$26:$G$391,"население")</f>
        <v>0</v>
      </c>
      <c r="AW162" s="793">
        <f>_xlfn.SUMIFS(Баланс!AV$26:AV$391,Баланс!$F$26:$F$391,$F162,Баланс!$G$26:$G$391,"население")</f>
        <v>0</v>
      </c>
      <c r="AX162" s="793">
        <f>_xlfn.SUMIFS(Баланс!AW$26:AW$391,Баланс!$F$26:$F$391,$F162,Баланс!$G$26:$G$391,"население")</f>
        <v>0</v>
      </c>
      <c r="AY162" s="793">
        <f>_xlfn.SUMIFS(Баланс!AX$26:AX$391,Баланс!$F$26:$F$391,$F162,Баланс!$G$26:$G$391,"население")</f>
        <v>0</v>
      </c>
      <c r="AZ162" s="793">
        <f>_xlfn.SUMIFS(Баланс!AY$26:AY$391,Баланс!$F$26:$F$391,$F162,Баланс!$G$26:$G$391,"население")</f>
        <v>0</v>
      </c>
      <c r="BA162" s="793">
        <f>_xlfn.SUMIFS(Баланс!AZ$26:AZ$391,Баланс!$F$26:$F$391,$F162,Баланс!$G$26:$G$391,"население")</f>
        <v>0</v>
      </c>
      <c r="BB162" s="793">
        <f>_xlfn.SUMIFS(Баланс!BA$26:BA$391,Баланс!$F$26:$F$391,$F162,Баланс!$G$26:$G$391,"население")</f>
        <v>0</v>
      </c>
      <c r="BC162" s="793">
        <f>_xlfn.SUMIFS(Баланс!BB$26:BB$391,Баланс!$F$26:$F$391,$F162,Баланс!$G$26:$G$391,"население")</f>
        <v>0</v>
      </c>
      <c r="BD162" s="771"/>
      <c r="BE162" s="771"/>
      <c r="BF162" s="771"/>
      <c r="BG162" s="771"/>
      <c r="BH162" s="771"/>
      <c r="BI162" s="771"/>
      <c r="BJ162" s="771"/>
      <c r="BK162" s="771"/>
      <c r="BL162" s="771"/>
      <c r="BM162" s="771"/>
      <c r="BN162" s="1275"/>
      <c r="BO162" s="1275"/>
      <c r="BP162" s="1275"/>
      <c r="BQ162" s="706"/>
      <c r="BR162" s="706"/>
      <c r="BS162" s="1071" t="s">
        <v>2144</v>
      </c>
      <c r="BT162" s="1078"/>
      <c r="BU162" s="1078"/>
      <c r="BV162" s="713"/>
      <c r="BW162" s="713"/>
    </row>
    <row customHeight="1" ht="14.625" hidden="1">
      <c r="A163" s="1297"/>
      <c r="B163" s="986"/>
      <c r="C163" s="1297"/>
      <c r="D163" s="103" cm="1" t="str">
        <f t="array" ref="D163:D163">D162</f>
        <v>13</v>
      </c>
      <c r="E163" s="709">
        <v>15</v>
      </c>
      <c r="F163" s="50" cm="1" t="str">
        <f t="array" ref="F163:F163">OFFSET(E163,-1,1)</f>
        <v>0</v>
      </c>
      <c r="G163" s="154" t="s">
        <v>1918</v>
      </c>
      <c r="H163" s="1297"/>
      <c r="I163" s="154" t="s">
        <v>2445</v>
      </c>
      <c r="J163" s="1297"/>
      <c r="K163" s="154" t="s">
        <v>2445</v>
      </c>
      <c r="L163" s="988" t="s">
        <v>2145</v>
      </c>
      <c r="M163" s="103"/>
      <c r="N163" s="1297"/>
      <c r="O163" s="1297"/>
      <c r="P163" s="1297"/>
      <c r="Q163" s="1297"/>
      <c r="R163" s="1297"/>
      <c r="S163" s="1297"/>
      <c r="T163" s="468" cm="1" t="str">
        <f t="array" ref="T163:T163">T162</f>
        <v>false</v>
      </c>
      <c r="U163" s="1297"/>
      <c r="V163" s="1297"/>
      <c r="W163" s="1297"/>
      <c r="X163" s="1539"/>
      <c r="Y163" s="1297"/>
      <c r="Z163" s="1529"/>
      <c r="AA163" s="1297"/>
      <c r="AB163" s="296" t="str">
        <f>D163&amp;".1"</f>
        <v>13.1</v>
      </c>
      <c r="AC163" s="1120" t="s">
        <v>2147</v>
      </c>
      <c r="AD163" s="296" t="s">
        <v>657</v>
      </c>
      <c r="AE163" s="1279">
        <f>IF(AE$24="2026 год",AE162/12*9,AE162/2)</f>
        <v>0</v>
      </c>
      <c r="AF163" s="1279">
        <f>IF(AF$24="2026 год",AF162/12*9,AF162/2)</f>
        <v>0</v>
      </c>
      <c r="AG163" s="1279">
        <f>IF(AG$24="2026 год",AG162/12*9,AG162/2)</f>
        <v>0</v>
      </c>
      <c r="AH163" s="949">
        <f>AG163-AF163</f>
        <v>0</v>
      </c>
      <c r="AI163" s="1280">
        <f>IF(AI$24="2026 год",AI162/12*9,AI162/2)</f>
        <v>0</v>
      </c>
      <c r="AJ163" s="1279">
        <f>IF(AJ$24="2026 год",AJ162/12*9,AJ162/2)</f>
        <v>0</v>
      </c>
      <c r="AK163" s="1279">
        <f>IF(AK$24="2026 год",AK162/12*9,AK162/2)</f>
        <v>0</v>
      </c>
      <c r="AL163" s="1280">
        <f>IF(AL$24="2026 год",AL162/12*9,AL162/2)</f>
        <v>0</v>
      </c>
      <c r="AM163" s="1280">
        <f>IF(AM$24="2026 год",AM162/12*9,AM162/2)</f>
        <v>0</v>
      </c>
      <c r="AN163" s="1280">
        <f>IF(AN$24="2026 год",AN162/12*9,AN162/2)</f>
        <v>0</v>
      </c>
      <c r="AO163" s="1280">
        <f>IF(AO$24="2026 год",AO162/12*9,AO162/2)</f>
        <v>0</v>
      </c>
      <c r="AP163" s="1280">
        <f>IF(AP$24="2026 год",AP162/12*9,AP162/2)</f>
        <v>0</v>
      </c>
      <c r="AQ163" s="1280">
        <f>IF(AQ$24="2026 год",AQ162/12*9,AQ162/2)</f>
        <v>0</v>
      </c>
      <c r="AR163" s="1280">
        <f>IF(AR$24="2026 год",AR162/12*9,AR162/2)</f>
        <v>0</v>
      </c>
      <c r="AS163" s="1280">
        <f>IF(AS$24="2026 год",AS162/12*9,AS162/2)</f>
        <v>0</v>
      </c>
      <c r="AT163" s="1280">
        <f>IF(AT$24="2026 год",AT162/12*9,AT162/2)</f>
        <v>0</v>
      </c>
      <c r="AU163" s="1280">
        <f>IF(AU$24="2026 год",AU162/12*9,AU162/2)</f>
        <v>0</v>
      </c>
      <c r="AV163" s="1280">
        <f>IF(AV$24="2026 год",AV162/12*9,AV162/2)</f>
        <v>0</v>
      </c>
      <c r="AW163" s="1280">
        <f>IF(AW$24="2026 год",AW162/12*9,AW162/2)</f>
        <v>0</v>
      </c>
      <c r="AX163" s="1280">
        <f>IF(AX$24="2026 год",AX162/12*9,AX162/2)</f>
        <v>0</v>
      </c>
      <c r="AY163" s="1280">
        <f>IF(AY$24="2026 год",AY162/12*9,AY162/2)</f>
        <v>0</v>
      </c>
      <c r="AZ163" s="1280">
        <f>IF(AZ$24="2026 год",AZ162/12*9,AZ162/2)</f>
        <v>0</v>
      </c>
      <c r="BA163" s="1280">
        <f>IF(BA$24="2026 год",BA162/12*9,BA162/2)</f>
        <v>0</v>
      </c>
      <c r="BB163" s="1280">
        <f>IF(BB$24="2026 год",BB162/12*9,BB162/2)</f>
        <v>0</v>
      </c>
      <c r="BC163" s="1280">
        <f>IF(BC$24="2026 год",BC162/12*9,BC162/2)</f>
        <v>0</v>
      </c>
      <c r="BD163" s="950"/>
      <c r="BE163" s="950"/>
      <c r="BF163" s="950"/>
      <c r="BG163" s="950"/>
      <c r="BH163" s="950"/>
      <c r="BI163" s="950"/>
      <c r="BJ163" s="950"/>
      <c r="BK163" s="950"/>
      <c r="BL163" s="950"/>
      <c r="BM163" s="950"/>
      <c r="BN163" s="1275"/>
      <c r="BO163" s="1275"/>
      <c r="BP163" s="1275"/>
      <c r="BQ163" s="1297"/>
      <c r="BR163" s="1297"/>
      <c r="BS163" s="1070" t="s">
        <v>2148</v>
      </c>
      <c r="BT163" s="1072"/>
      <c r="BU163" s="1072"/>
      <c r="BV163" s="987"/>
      <c r="BW163" s="987"/>
    </row>
    <row customHeight="1" ht="14.625" hidden="1">
      <c r="A164" s="1297"/>
      <c r="B164" s="986"/>
      <c r="C164" s="1297"/>
      <c r="D164" s="103" cm="1" t="str">
        <f t="array" ref="D164:D164">D163</f>
        <v>13</v>
      </c>
      <c r="E164" s="709">
        <v>15</v>
      </c>
      <c r="F164" s="50" cm="1" t="str">
        <f t="array" ref="F164:F164">OFFSET(E164,-1,1)</f>
        <v>0</v>
      </c>
      <c r="G164" s="154" t="s">
        <v>1874</v>
      </c>
      <c r="H164" s="1297"/>
      <c r="I164" s="154" t="s">
        <v>2446</v>
      </c>
      <c r="J164" s="1297"/>
      <c r="K164" s="154" t="s">
        <v>2446</v>
      </c>
      <c r="L164" s="988" t="s">
        <v>2149</v>
      </c>
      <c r="M164" s="103"/>
      <c r="N164" s="1297"/>
      <c r="O164" s="1297"/>
      <c r="P164" s="1297"/>
      <c r="Q164" s="1297"/>
      <c r="R164" s="1297"/>
      <c r="S164" s="1297"/>
      <c r="T164" s="468" cm="1" t="str">
        <f t="array" ref="T164:T164">T163</f>
        <v>false</v>
      </c>
      <c r="U164" s="1297"/>
      <c r="V164" s="1297"/>
      <c r="W164" s="1297"/>
      <c r="X164" s="1539"/>
      <c r="Y164" s="1297"/>
      <c r="Z164" s="1529"/>
      <c r="AA164" s="1297"/>
      <c r="AB164" s="296" t="str">
        <f>D164&amp;".2"</f>
        <v>13.2</v>
      </c>
      <c r="AC164" s="1120" t="s">
        <v>2151</v>
      </c>
      <c r="AD164" s="296" t="s">
        <v>1862</v>
      </c>
      <c r="AE164" s="1281">
        <f>IF(AE162=0,0,AE156*(1+Сценарии!AE$26/100))</f>
        <v>0</v>
      </c>
      <c r="AF164" s="1281">
        <f>IF(AF162=0,0,AF156*(1+Сценарии!AF$26/100))</f>
        <v>0</v>
      </c>
      <c r="AG164" s="1281">
        <f>IF(AG162=0,0,AG156*(1+Сценарии!AG$26/100))</f>
        <v>0</v>
      </c>
      <c r="AH164" s="951">
        <f>AG164-AF164</f>
        <v>0</v>
      </c>
      <c r="AI164" s="1281">
        <f>IF(AI162=0,0,AI156*(1+Сценарии!AI$26/100))</f>
        <v>0</v>
      </c>
      <c r="AJ164" s="1281">
        <f>IF(AJ162=0,0,AJ156*(1+Сценарии!AJ$26/100))</f>
        <v>0</v>
      </c>
      <c r="AK164" s="1281">
        <f>IF(AK162=0,0,AK156*(1+Сценарии!AO$26/100))</f>
        <v>0</v>
      </c>
      <c r="AL164" s="1281">
        <f>IF(AL162=0,0,AL156*(1+Сценарии!AP$26/100))</f>
        <v>0</v>
      </c>
      <c r="AM164" s="1281">
        <f>IF(AM162=0,0,AM156*(1+Сценарии!AQ$26/100))</f>
        <v>0</v>
      </c>
      <c r="AN164" s="1281">
        <f>IF(AN162=0,0,AN156*(1+Сценарии!AR$26/100))</f>
        <v>0</v>
      </c>
      <c r="AO164" s="1281">
        <f>IF(AO162=0,0,AO156*(1+Сценарии!AS$26/100))</f>
        <v>0</v>
      </c>
      <c r="AP164" s="1281">
        <f>IF(AP162=0,0,AP156*(1+Сценарии!AT$26/100))</f>
        <v>0</v>
      </c>
      <c r="AQ164" s="1281">
        <f>IF(AQ162=0,0,AQ156*(1+Сценарии!AU$26/100))</f>
        <v>0</v>
      </c>
      <c r="AR164" s="1281">
        <f>IF(AR162=0,0,AR156*(1+Сценарии!AV$26/100))</f>
        <v>0</v>
      </c>
      <c r="AS164" s="1281">
        <f>IF(AS162=0,0,AS156*(1+Сценарии!AW$26/100))</f>
        <v>0</v>
      </c>
      <c r="AT164" s="1281">
        <f>IF(AT162=0,0,AT156*(1+Сценарии!AK$26/100))</f>
        <v>0</v>
      </c>
      <c r="AU164" s="1281">
        <f>IF(AU162=0,0,AU156*(1+Сценарии!AX$26/100))</f>
        <v>0</v>
      </c>
      <c r="AV164" s="1281">
        <f>IF(AV162=0,0,AV156*(1+Сценарии!AY$26/100))</f>
        <v>0</v>
      </c>
      <c r="AW164" s="1281">
        <f>IF(AW162=0,0,AW156*(1+Сценарии!AZ$26/100))</f>
        <v>0</v>
      </c>
      <c r="AX164" s="1281">
        <f>IF(AX162=0,0,AX156*(1+Сценарии!BA$26/100))</f>
        <v>0</v>
      </c>
      <c r="AY164" s="1281">
        <f>IF(AY162=0,0,AY156*(1+Сценарии!BB$26/100))</f>
        <v>0</v>
      </c>
      <c r="AZ164" s="1281">
        <f>IF(AZ162=0,0,AZ156*(1+Сценарии!BC$26/100))</f>
        <v>0</v>
      </c>
      <c r="BA164" s="1281">
        <f>IF(BA162=0,0,BA156*(1+Сценарии!BD$26/100))</f>
        <v>0</v>
      </c>
      <c r="BB164" s="1281">
        <f>IF(BB162=0,0,BB156*(1+Сценарии!BE$26/100))</f>
        <v>0</v>
      </c>
      <c r="BC164" s="1281">
        <f>IF(BC162=0,0,BC156*(1+Сценарии!BF$26/100))</f>
        <v>0</v>
      </c>
      <c r="BD164" s="950"/>
      <c r="BE164" s="950"/>
      <c r="BF164" s="950"/>
      <c r="BG164" s="950"/>
      <c r="BH164" s="950"/>
      <c r="BI164" s="950"/>
      <c r="BJ164" s="950"/>
      <c r="BK164" s="950"/>
      <c r="BL164" s="950"/>
      <c r="BM164" s="950"/>
      <c r="BN164" s="1275"/>
      <c r="BO164" s="1275"/>
      <c r="BP164" s="1275"/>
      <c r="BQ164" s="1297"/>
      <c r="BR164" s="1297"/>
      <c r="BS164" s="1070" t="s">
        <v>2152</v>
      </c>
      <c r="BT164" s="1072"/>
      <c r="BU164" s="1072"/>
      <c r="BV164" s="987"/>
      <c r="BW164" s="987"/>
    </row>
    <row customHeight="1" ht="14.625" hidden="1">
      <c r="A165" s="1297"/>
      <c r="B165" s="92"/>
      <c r="C165" s="103"/>
      <c r="D165" s="103" cm="1" t="str">
        <f t="array" ref="D165:D165">D164</f>
        <v>13</v>
      </c>
      <c r="E165" s="626">
        <v>15</v>
      </c>
      <c r="F165" s="50" cm="1" t="str">
        <f t="array" ref="F165:F165">OFFSET(E165,-1,1)</f>
        <v>0</v>
      </c>
      <c r="G165" s="103" t="s">
        <v>1925</v>
      </c>
      <c r="H165" s="103"/>
      <c r="I165" s="103" t="s">
        <v>2447</v>
      </c>
      <c r="J165" s="103"/>
      <c r="K165" s="103" t="s">
        <v>2447</v>
      </c>
      <c r="L165" s="988" t="s">
        <v>2153</v>
      </c>
      <c r="M165" s="103"/>
      <c r="N165" s="103"/>
      <c r="O165" s="103"/>
      <c r="P165" s="103"/>
      <c r="Q165" s="103"/>
      <c r="R165" s="103"/>
      <c r="S165" s="103"/>
      <c r="T165" s="468" cm="1" t="str">
        <f t="array" ref="T165:T165">T164</f>
        <v>false</v>
      </c>
      <c r="U165" s="103"/>
      <c r="V165" s="103"/>
      <c r="W165" s="103"/>
      <c r="X165" s="1539"/>
      <c r="Y165" s="1297"/>
      <c r="Z165" s="1529"/>
      <c r="AA165" s="1297"/>
      <c r="AB165" s="296" t="str">
        <f>D165&amp;".3"</f>
        <v>13.3</v>
      </c>
      <c r="AC165" s="1120" t="s">
        <v>2125</v>
      </c>
      <c r="AD165" s="296" t="s">
        <v>657</v>
      </c>
      <c r="AE165" s="954">
        <f>AE162-AE163</f>
        <v>0</v>
      </c>
      <c r="AF165" s="954">
        <f>AF162-AF163</f>
        <v>0</v>
      </c>
      <c r="AG165" s="954">
        <f>AG162-AG163</f>
        <v>0</v>
      </c>
      <c r="AH165" s="949">
        <f>AG165-AF165</f>
        <v>0</v>
      </c>
      <c r="AI165" s="832">
        <f>AI162-AI163</f>
        <v>0</v>
      </c>
      <c r="AJ165" s="832">
        <f>AJ162-AJ163</f>
        <v>0</v>
      </c>
      <c r="AK165" s="832">
        <f>AK162-AK163</f>
        <v>0</v>
      </c>
      <c r="AL165" s="832">
        <f>AL162-AL163</f>
        <v>0</v>
      </c>
      <c r="AM165" s="832">
        <f>AM162-AM163</f>
        <v>0</v>
      </c>
      <c r="AN165" s="832">
        <f>AN162-AN163</f>
        <v>0</v>
      </c>
      <c r="AO165" s="832">
        <f>AO162-AO163</f>
        <v>0</v>
      </c>
      <c r="AP165" s="832">
        <f>AP162-AP163</f>
        <v>0</v>
      </c>
      <c r="AQ165" s="832">
        <f>AQ162-AQ163</f>
        <v>0</v>
      </c>
      <c r="AR165" s="832">
        <f>AR162-AR163</f>
        <v>0</v>
      </c>
      <c r="AS165" s="832">
        <f>AS162-AS163</f>
        <v>0</v>
      </c>
      <c r="AT165" s="832">
        <f>AT162-AT163</f>
        <v>0</v>
      </c>
      <c r="AU165" s="832">
        <f>AU162-AU163</f>
        <v>0</v>
      </c>
      <c r="AV165" s="832">
        <f>AV162-AV163</f>
        <v>0</v>
      </c>
      <c r="AW165" s="832">
        <f>AW162-AW163</f>
        <v>0</v>
      </c>
      <c r="AX165" s="832">
        <f>AX162-AX163</f>
        <v>0</v>
      </c>
      <c r="AY165" s="832">
        <f>AY162-AY163</f>
        <v>0</v>
      </c>
      <c r="AZ165" s="832">
        <f>AZ162-AZ163</f>
        <v>0</v>
      </c>
      <c r="BA165" s="832">
        <f>BA162-BA163</f>
        <v>0</v>
      </c>
      <c r="BB165" s="832">
        <f>BB162-BB163</f>
        <v>0</v>
      </c>
      <c r="BC165" s="832">
        <f>BC162-BC163</f>
        <v>0</v>
      </c>
      <c r="BD165" s="950"/>
      <c r="BE165" s="950"/>
      <c r="BF165" s="950"/>
      <c r="BG165" s="950"/>
      <c r="BH165" s="950"/>
      <c r="BI165" s="950"/>
      <c r="BJ165" s="950"/>
      <c r="BK165" s="950"/>
      <c r="BL165" s="950"/>
      <c r="BM165" s="950"/>
      <c r="BN165" s="1275"/>
      <c r="BO165" s="1275"/>
      <c r="BP165" s="1275"/>
      <c r="BQ165" s="1297"/>
      <c r="BR165" s="1297"/>
      <c r="BS165" s="1070" t="s">
        <v>2155</v>
      </c>
      <c r="BT165" s="1072"/>
      <c r="BU165" s="1072"/>
      <c r="BV165" s="987"/>
      <c r="BW165" s="987"/>
    </row>
    <row customHeight="1" ht="14.625" hidden="1">
      <c r="A166" s="1297"/>
      <c r="B166" s="92"/>
      <c r="C166" s="103"/>
      <c r="D166" s="103" cm="1" t="str">
        <f t="array" ref="D166:D166">D165</f>
        <v>13</v>
      </c>
      <c r="E166" s="626">
        <v>15</v>
      </c>
      <c r="F166" s="50" cm="1" t="str">
        <f t="array" ref="F166:F166">OFFSET(E166,-1,1)</f>
        <v>0</v>
      </c>
      <c r="G166" s="103" t="s">
        <v>1878</v>
      </c>
      <c r="H166" s="103"/>
      <c r="I166" s="103" t="s">
        <v>2448</v>
      </c>
      <c r="J166" s="103"/>
      <c r="K166" s="103" t="s">
        <v>2448</v>
      </c>
      <c r="L166" s="988" t="s">
        <v>2156</v>
      </c>
      <c r="M166" s="103"/>
      <c r="N166" s="103"/>
      <c r="O166" s="103"/>
      <c r="P166" s="103"/>
      <c r="Q166" s="103"/>
      <c r="R166" s="103"/>
      <c r="S166" s="103"/>
      <c r="T166" s="468" cm="1" t="str">
        <f t="array" ref="T166:T166">T165</f>
        <v>false</v>
      </c>
      <c r="U166" s="103"/>
      <c r="V166" s="103"/>
      <c r="W166" s="103"/>
      <c r="X166" s="1539"/>
      <c r="Y166" s="1297"/>
      <c r="Z166" s="1529"/>
      <c r="AA166" s="1297"/>
      <c r="AB166" s="296" t="str">
        <f>D166&amp;".4"</f>
        <v>13.4</v>
      </c>
      <c r="AC166" s="1120" t="s">
        <v>2129</v>
      </c>
      <c r="AD166" s="296" t="s">
        <v>1862</v>
      </c>
      <c r="AE166" s="1281">
        <f>IF(AE162=0,0,AE158*(1+Сценарии!AE$26/100))</f>
        <v>0</v>
      </c>
      <c r="AF166" s="1281">
        <f>IF(AF162=0,0,AF158*(1+Сценарии!AF$26/100))</f>
        <v>0</v>
      </c>
      <c r="AG166" s="1281">
        <f>IF(AG162=0,0,AG158*(1+Сценарии!AG$26/100))</f>
        <v>0</v>
      </c>
      <c r="AH166" s="951">
        <f>AG166-AF166</f>
        <v>0</v>
      </c>
      <c r="AI166" s="1281">
        <f>IF(AI162=0,0,AI158*(1+Сценарии!AI$26/100))</f>
        <v>0</v>
      </c>
      <c r="AJ166" s="1281">
        <f>IF(AJ162=0,0,AJ158*(1+Сценарии!AJ$26/100))</f>
        <v>0</v>
      </c>
      <c r="AK166" s="1281">
        <f>IF(AK162=0,0,AK158*(1+Сценарии!AO$26/100))</f>
        <v>0</v>
      </c>
      <c r="AL166" s="1281">
        <f>IF(AL162=0,0,AL158*(1+Сценарии!AP$26/100))</f>
        <v>0</v>
      </c>
      <c r="AM166" s="1281">
        <f>IF(AM162=0,0,AM158*(1+Сценарии!AQ$26/100))</f>
        <v>0</v>
      </c>
      <c r="AN166" s="1281">
        <f>IF(AN162=0,0,AN158*(1+Сценарии!AR$26/100))</f>
        <v>0</v>
      </c>
      <c r="AO166" s="1281">
        <f>IF(AO162=0,0,AO158*(1+Сценарии!AS$26/100))</f>
        <v>0</v>
      </c>
      <c r="AP166" s="1281">
        <f>IF(AP162=0,0,AP158*(1+Сценарии!AT$26/100))</f>
        <v>0</v>
      </c>
      <c r="AQ166" s="1281">
        <f>IF(AQ162=0,0,AQ158*(1+Сценарии!AU$26/100))</f>
        <v>0</v>
      </c>
      <c r="AR166" s="1281">
        <f>IF(AR162=0,0,AR158*(1+Сценарии!AV$26/100))</f>
        <v>0</v>
      </c>
      <c r="AS166" s="1281">
        <f>IF(AS162=0,0,AS158*(1+Сценарии!AW$26/100))</f>
        <v>0</v>
      </c>
      <c r="AT166" s="1281">
        <f>IF(AT162=0,0,AT158*(1+Сценарии!AK$26/100))</f>
        <v>0</v>
      </c>
      <c r="AU166" s="1281">
        <f>IF(AU162=0,0,AU158*(1+Сценарии!AX$26/100))</f>
        <v>0</v>
      </c>
      <c r="AV166" s="1281">
        <f>IF(AV162=0,0,AV158*(1+Сценарии!AY$26/100))</f>
        <v>0</v>
      </c>
      <c r="AW166" s="1281">
        <f>IF(AW162=0,0,AW158*(1+Сценарии!AZ$26/100))</f>
        <v>0</v>
      </c>
      <c r="AX166" s="1281">
        <f>IF(AX162=0,0,AX158*(1+Сценарии!BA$26/100))</f>
        <v>0</v>
      </c>
      <c r="AY166" s="1281">
        <f>IF(AY162=0,0,AY158*(1+Сценарии!BB$26/100))</f>
        <v>0</v>
      </c>
      <c r="AZ166" s="1281">
        <f>IF(AZ162=0,0,AZ158*(1+Сценарии!BC$26/100))</f>
        <v>0</v>
      </c>
      <c r="BA166" s="1281">
        <f>IF(BA162=0,0,BA158*(1+Сценарии!BD$26/100))</f>
        <v>0</v>
      </c>
      <c r="BB166" s="1281">
        <f>IF(BB162=0,0,BB158*(1+Сценарии!BE$26/100))</f>
        <v>0</v>
      </c>
      <c r="BC166" s="1281">
        <f>IF(BC162=0,0,BC158*(1+Сценарии!BF$26/100))</f>
        <v>0</v>
      </c>
      <c r="BD166" s="950"/>
      <c r="BE166" s="950"/>
      <c r="BF166" s="950"/>
      <c r="BG166" s="950"/>
      <c r="BH166" s="950"/>
      <c r="BI166" s="950"/>
      <c r="BJ166" s="950"/>
      <c r="BK166" s="950"/>
      <c r="BL166" s="950"/>
      <c r="BM166" s="950"/>
      <c r="BN166" s="1275"/>
      <c r="BO166" s="1275"/>
      <c r="BP166" s="1275"/>
      <c r="BQ166" s="1297"/>
      <c r="BR166" s="1297"/>
      <c r="BS166" s="1070" t="s">
        <v>2159</v>
      </c>
      <c r="BT166" s="1072"/>
      <c r="BU166" s="1072"/>
      <c r="BV166" s="987"/>
      <c r="BW166" s="987"/>
    </row>
    <row customHeight="1" ht="14.625" hidden="1">
      <c r="A167" s="1297"/>
      <c r="B167" s="92"/>
      <c r="C167" s="103"/>
      <c r="D167" s="103">
        <f>D166+1</f>
        <v>14</v>
      </c>
      <c r="E167" s="626">
        <v>15</v>
      </c>
      <c r="F167" s="50" cm="1" t="str">
        <f t="array" ref="F167:F167">OFFSET(E167,-1,1)</f>
        <v>0</v>
      </c>
      <c r="G167" s="103"/>
      <c r="H167" s="103"/>
      <c r="I167" s="103"/>
      <c r="J167" s="103"/>
      <c r="K167" s="103"/>
      <c r="L167" s="988"/>
      <c r="M167" s="103"/>
      <c r="N167" s="103"/>
      <c r="O167" s="103"/>
      <c r="P167" s="103"/>
      <c r="Q167" s="103"/>
      <c r="R167" s="103"/>
      <c r="S167" s="103"/>
      <c r="T167" s="468" cm="1" t="str">
        <f t="array" ref="T167:T167">T166</f>
        <v>false</v>
      </c>
      <c r="U167" s="103"/>
      <c r="V167" s="103"/>
      <c r="W167" s="103"/>
      <c r="X167" s="1539"/>
      <c r="Y167" s="1297"/>
      <c r="Z167" s="1529"/>
      <c r="AA167" s="1297"/>
      <c r="AB167" s="207" cm="1" t="str">
        <f t="array" ref="AB167:AB167">D167</f>
        <v>14</v>
      </c>
      <c r="AC167" s="208" t="s">
        <v>2160</v>
      </c>
      <c r="AD167" s="207" t="s">
        <v>936</v>
      </c>
      <c r="AE167" s="1274"/>
      <c r="AF167" s="1274"/>
      <c r="AG167" s="1274"/>
      <c r="AH167" s="951"/>
      <c r="AI167" s="1281"/>
      <c r="AJ167" s="1281"/>
      <c r="AK167" s="1281"/>
      <c r="AL167" s="1281"/>
      <c r="AM167" s="1281"/>
      <c r="AN167" s="1281"/>
      <c r="AO167" s="1281"/>
      <c r="AP167" s="1281"/>
      <c r="AQ167" s="1281"/>
      <c r="AR167" s="1281"/>
      <c r="AS167" s="1281"/>
      <c r="AT167" s="1281"/>
      <c r="AU167" s="1281"/>
      <c r="AV167" s="1281"/>
      <c r="AW167" s="1281"/>
      <c r="AX167" s="1281"/>
      <c r="AY167" s="1281"/>
      <c r="AZ167" s="1281"/>
      <c r="BA167" s="1281"/>
      <c r="BB167" s="1281"/>
      <c r="BC167" s="1281"/>
      <c r="BD167" s="950"/>
      <c r="BE167" s="950"/>
      <c r="BF167" s="950"/>
      <c r="BG167" s="950"/>
      <c r="BH167" s="950"/>
      <c r="BI167" s="950"/>
      <c r="BJ167" s="950"/>
      <c r="BK167" s="950"/>
      <c r="BL167" s="950"/>
      <c r="BM167" s="950"/>
      <c r="BN167" s="1275"/>
      <c r="BO167" s="1275"/>
      <c r="BP167" s="1275"/>
      <c r="BQ167" s="1297"/>
      <c r="BR167" s="1297"/>
      <c r="BS167" s="1070" t="s">
        <v>2161</v>
      </c>
      <c r="BT167" s="1072"/>
      <c r="BU167" s="1072"/>
      <c r="BV167" s="987"/>
      <c r="BW167" s="987"/>
    </row>
    <row customHeight="1" ht="20.475" hidden="1">
      <c r="A168" s="1297"/>
      <c r="B168" s="92"/>
      <c r="C168" s="103"/>
      <c r="D168" s="103" cm="1" t="str">
        <f t="array" ref="D168:D168">D167</f>
        <v>14</v>
      </c>
      <c r="E168" s="626">
        <v>21</v>
      </c>
      <c r="F168" s="50" cm="1" t="str">
        <f t="array" ref="F168:F168">OFFSET(E168,-1,1)</f>
        <v>0</v>
      </c>
      <c r="G168" s="103"/>
      <c r="H168" s="103"/>
      <c r="I168" s="103"/>
      <c r="J168" s="103"/>
      <c r="K168" s="103"/>
      <c r="L168" s="988"/>
      <c r="M168" s="103"/>
      <c r="N168" s="103"/>
      <c r="O168" s="103"/>
      <c r="P168" s="103"/>
      <c r="Q168" s="103"/>
      <c r="R168" s="103"/>
      <c r="S168" s="103"/>
      <c r="T168" s="468" cm="1" t="str">
        <f t="array" ref="T168:T168">T167</f>
        <v>false</v>
      </c>
      <c r="U168" s="103"/>
      <c r="V168" s="103"/>
      <c r="W168" s="103"/>
      <c r="X168" s="1539"/>
      <c r="Y168" s="1297"/>
      <c r="Z168" s="1529"/>
      <c r="AA168" s="1297"/>
      <c r="AB168" s="296" t="str">
        <f>D168&amp;".1"</f>
        <v>14.1</v>
      </c>
      <c r="AC168" s="769" t="s">
        <v>2163</v>
      </c>
      <c r="AD168" s="296" t="s">
        <v>936</v>
      </c>
      <c r="AE168" s="1274"/>
      <c r="AF168" s="1274"/>
      <c r="AG168" s="1274"/>
      <c r="AH168" s="951">
        <f>AG168-AF168</f>
        <v>0</v>
      </c>
      <c r="AI168" s="1281"/>
      <c r="AJ168" s="1281"/>
      <c r="AK168" s="1281"/>
      <c r="AL168" s="1281"/>
      <c r="AM168" s="1281"/>
      <c r="AN168" s="1281"/>
      <c r="AO168" s="1281"/>
      <c r="AP168" s="1281"/>
      <c r="AQ168" s="1281"/>
      <c r="AR168" s="1281"/>
      <c r="AS168" s="1281"/>
      <c r="AT168" s="1281"/>
      <c r="AU168" s="1281"/>
      <c r="AV168" s="1281"/>
      <c r="AW168" s="1281"/>
      <c r="AX168" s="1281"/>
      <c r="AY168" s="1281"/>
      <c r="AZ168" s="1281"/>
      <c r="BA168" s="1281"/>
      <c r="BB168" s="1281"/>
      <c r="BC168" s="1281"/>
      <c r="BD168" s="950"/>
      <c r="BE168" s="950"/>
      <c r="BF168" s="950"/>
      <c r="BG168" s="950"/>
      <c r="BH168" s="950"/>
      <c r="BI168" s="950"/>
      <c r="BJ168" s="950"/>
      <c r="BK168" s="950"/>
      <c r="BL168" s="950"/>
      <c r="BM168" s="950"/>
      <c r="BN168" s="1275"/>
      <c r="BO168" s="1275"/>
      <c r="BP168" s="1275"/>
      <c r="BQ168" s="1297"/>
      <c r="BR168" s="1297"/>
      <c r="BS168" s="1070" t="s">
        <v>2164</v>
      </c>
      <c r="BT168" s="1079"/>
      <c r="BU168" s="1079"/>
      <c r="BV168" s="1080"/>
      <c r="BW168" s="1080"/>
    </row>
    <row customHeight="1" ht="64.935" hidden="1">
      <c r="A169" s="1297"/>
      <c r="B169" s="92"/>
      <c r="C169" s="103"/>
      <c r="D169" s="103" cm="1" t="str">
        <f t="array" ref="D169:D169">D168</f>
        <v>14</v>
      </c>
      <c r="E169" s="626">
        <v>66.6</v>
      </c>
      <c r="F169" s="50" cm="1" t="str">
        <f t="array" ref="F169:F169">OFFSET(E169,-1,1)</f>
        <v>0</v>
      </c>
      <c r="G169" s="103"/>
      <c r="H169" s="103"/>
      <c r="I169" s="103"/>
      <c r="J169" s="103"/>
      <c r="K169" s="103"/>
      <c r="L169" s="988"/>
      <c r="M169" s="103"/>
      <c r="N169" s="103"/>
      <c r="O169" s="103"/>
      <c r="P169" s="103"/>
      <c r="Q169" s="103"/>
      <c r="R169" s="103"/>
      <c r="S169" s="103"/>
      <c r="T169" s="468" cm="1" t="str">
        <f t="array" ref="T169:T169">T168</f>
        <v>false</v>
      </c>
      <c r="U169" s="103"/>
      <c r="V169" s="103"/>
      <c r="W169" s="103"/>
      <c r="X169" s="1539"/>
      <c r="Y169" s="1297"/>
      <c r="Z169" s="1529"/>
      <c r="AA169" s="1297"/>
      <c r="AB169" s="296" t="str">
        <f>D169&amp;".2"</f>
        <v>14.2</v>
      </c>
      <c r="AC169" s="769" t="s">
        <v>2166</v>
      </c>
      <c r="AD169" s="296" t="s">
        <v>936</v>
      </c>
      <c r="AE169" s="1274"/>
      <c r="AF169" s="1274"/>
      <c r="AG169" s="1274"/>
      <c r="AH169" s="951">
        <f>AG169-AF169</f>
        <v>0</v>
      </c>
      <c r="AI169" s="1281"/>
      <c r="AJ169" s="1281"/>
      <c r="AK169" s="1281"/>
      <c r="AL169" s="1281"/>
      <c r="AM169" s="1281"/>
      <c r="AN169" s="1281"/>
      <c r="AO169" s="1281"/>
      <c r="AP169" s="1281"/>
      <c r="AQ169" s="1281"/>
      <c r="AR169" s="1281"/>
      <c r="AS169" s="1281"/>
      <c r="AT169" s="1281"/>
      <c r="AU169" s="1281"/>
      <c r="AV169" s="1281"/>
      <c r="AW169" s="1281"/>
      <c r="AX169" s="1281"/>
      <c r="AY169" s="1281"/>
      <c r="AZ169" s="1281"/>
      <c r="BA169" s="1281"/>
      <c r="BB169" s="1281"/>
      <c r="BC169" s="1281"/>
      <c r="BD169" s="950"/>
      <c r="BE169" s="950"/>
      <c r="BF169" s="950"/>
      <c r="BG169" s="950"/>
      <c r="BH169" s="950"/>
      <c r="BI169" s="950"/>
      <c r="BJ169" s="950"/>
      <c r="BK169" s="950"/>
      <c r="BL169" s="950"/>
      <c r="BM169" s="950"/>
      <c r="BN169" s="1275"/>
      <c r="BO169" s="1275"/>
      <c r="BP169" s="1275"/>
      <c r="BQ169" s="1297"/>
      <c r="BR169" s="1297"/>
      <c r="BS169" s="1070" t="s">
        <v>2167</v>
      </c>
      <c r="BT169" s="1079"/>
      <c r="BU169" s="1079"/>
      <c r="BV169" s="1080"/>
      <c r="BW169" s="1080"/>
    </row>
    <row customHeight="1" ht="44.46" hidden="1">
      <c r="A170" s="501"/>
      <c r="B170" s="760"/>
      <c r="C170" s="103"/>
      <c r="D170" s="103" cm="1" t="str">
        <f t="array" ref="D170:D170">D169</f>
        <v>14</v>
      </c>
      <c r="E170" s="626">
        <v>45.6</v>
      </c>
      <c r="F170" s="50" cm="1" t="str">
        <f t="array" ref="F170:F170">OFFSET(E170,-1,1)</f>
        <v>0</v>
      </c>
      <c r="G170" s="103"/>
      <c r="H170" s="103"/>
      <c r="I170" s="103"/>
      <c r="J170" s="103"/>
      <c r="K170" s="103"/>
      <c r="L170" s="988"/>
      <c r="M170" s="103"/>
      <c r="N170" s="103"/>
      <c r="O170" s="103"/>
      <c r="P170" s="103"/>
      <c r="Q170" s="103"/>
      <c r="R170" s="103"/>
      <c r="S170" s="103"/>
      <c r="T170" s="468" cm="1" t="str">
        <f t="array" ref="T170:T170">T169</f>
        <v>false</v>
      </c>
      <c r="U170" s="103"/>
      <c r="V170" s="103"/>
      <c r="W170" s="103"/>
      <c r="X170" s="1539"/>
      <c r="Y170" s="501"/>
      <c r="Z170" s="1529"/>
      <c r="AA170" s="501"/>
      <c r="AB170" s="296" t="str">
        <f>D170&amp;".3"</f>
        <v>14.3</v>
      </c>
      <c r="AC170" s="769" t="s">
        <v>2449</v>
      </c>
      <c r="AD170" s="296" t="s">
        <v>936</v>
      </c>
      <c r="AE170" s="953"/>
      <c r="AF170" s="1274"/>
      <c r="AG170" s="1274"/>
      <c r="AH170" s="255">
        <f>AG170-AF170</f>
        <v>0</v>
      </c>
      <c r="AI170" s="953"/>
      <c r="AJ170" s="953"/>
      <c r="AK170" s="953"/>
      <c r="AL170" s="953"/>
      <c r="AM170" s="953"/>
      <c r="AN170" s="953"/>
      <c r="AO170" s="953"/>
      <c r="AP170" s="953"/>
      <c r="AQ170" s="953"/>
      <c r="AR170" s="953"/>
      <c r="AS170" s="953"/>
      <c r="AT170" s="953"/>
      <c r="AU170" s="953"/>
      <c r="AV170" s="953"/>
      <c r="AW170" s="953"/>
      <c r="AX170" s="953"/>
      <c r="AY170" s="953"/>
      <c r="AZ170" s="953"/>
      <c r="BA170" s="953"/>
      <c r="BB170" s="953"/>
      <c r="BC170" s="953"/>
      <c r="BD170" s="953"/>
      <c r="BE170" s="953"/>
      <c r="BF170" s="953"/>
      <c r="BG170" s="953"/>
      <c r="BH170" s="953"/>
      <c r="BI170" s="953"/>
      <c r="BJ170" s="953"/>
      <c r="BK170" s="953"/>
      <c r="BL170" s="953"/>
      <c r="BM170" s="953"/>
      <c r="BN170" s="1275"/>
      <c r="BO170" s="1275"/>
      <c r="BP170" s="1275"/>
      <c r="BQ170" s="1297"/>
      <c r="BR170" s="1297"/>
      <c r="BS170" s="1079" t="s">
        <v>2450</v>
      </c>
      <c r="BT170" s="1079"/>
      <c r="BU170" s="1079"/>
      <c r="BV170" s="1080"/>
      <c r="BW170" s="1080"/>
    </row>
    <row s="541" customFormat="1" customHeight="1" ht="35.044389204545446">
      <c r="A171" s="1331"/>
      <c r="B171" s="430"/>
      <c r="C171" s="1331"/>
      <c r="D171" s="1331"/>
      <c r="E171" s="623">
        <v>15</v>
      </c>
      <c r="F171" s="94" cm="1" t="str">
        <f t="array" ref="F171:F171">X171</f>
        <v>1</v>
      </c>
      <c r="G171" s="94" cm="1" t="str">
        <f t="array" ref="G171:G171">INDEX('Общие сведения'!$AK$197:$AK$254,MATCH($X171,'Общие сведения'!$Z$197:$Z$254,0))</f>
        <v>одноставочный</v>
      </c>
      <c r="H171" s="1331"/>
      <c r="I171" s="94"/>
      <c r="J171" s="1331"/>
      <c r="K171" s="1331"/>
      <c r="L171" s="990"/>
      <c r="M171" s="428"/>
      <c r="N171" s="1331"/>
      <c r="O171" s="1331"/>
      <c r="P171" s="1331"/>
      <c r="Q171" s="1331"/>
      <c r="R171" s="1331"/>
      <c r="S171" s="118" cm="1" t="str">
        <f t="array" ref="S171:S171">INDEX('Общие сведения'!$AE$197:$AE$254,MATCH($X171,'Общие сведения'!$Z$197:$Z$254,0))</f>
        <v>Водоснабжение</v>
      </c>
      <c r="T171" s="468">
        <f>X171&gt;0</f>
        <v>1</v>
      </c>
      <c r="U171" s="1331"/>
      <c r="V171" s="118" cm="1" t="str">
        <f t="array" ref="V171:V171">'Калькуляция (МИ)'!$AB$171</f>
        <v>Тариф 1 (Водоснабжение) - тариф на питьевую воду (Оказание услуг на территории: город Ленинск-Кузнецкий (ОКТМО: 32719000) - г Ленинск-Кузнецкий, г Полысаево)</v>
      </c>
      <c r="W171" s="1331"/>
      <c r="X171" s="1539" t="s">
        <v>290</v>
      </c>
      <c r="Y171" s="1331"/>
      <c r="Z171" s="1529"/>
      <c r="AA171" s="1331"/>
      <c r="AB171" s="377" cm="1" t="str">
        <f t="array" ref="AB171:AB171">'Калькуляция (МИ)'!$AB$171</f>
        <v>Тариф 1 (Водоснабжение) - тариф на питьевую воду (Оказание услуг на территории: город Ленинск-Кузнецкий (ОКТМО: 32719000) - г Ленинск-Кузнецкий, г Полысаево)</v>
      </c>
      <c r="AC171" s="248"/>
      <c r="AD171" s="248"/>
      <c r="AE171" s="248"/>
      <c r="AF171" s="248"/>
      <c r="AG171" s="248"/>
      <c r="AH171" s="248"/>
      <c r="AI171" s="248"/>
      <c r="AJ171" s="248"/>
      <c r="AK171" s="248"/>
      <c r="AL171" s="248"/>
      <c r="AM171" s="248"/>
      <c r="AN171" s="248"/>
      <c r="AO171" s="248"/>
      <c r="AP171" s="248"/>
      <c r="AQ171" s="248"/>
      <c r="AR171" s="248"/>
      <c r="AS171" s="248"/>
      <c r="AT171" s="248"/>
      <c r="AU171" s="248"/>
      <c r="AV171" s="248"/>
      <c r="AW171" s="248"/>
      <c r="AX171" s="248"/>
      <c r="AY171" s="248"/>
      <c r="AZ171" s="248"/>
      <c r="BA171" s="248"/>
      <c r="BB171" s="248"/>
      <c r="BC171" s="248"/>
      <c r="BD171" s="248"/>
      <c r="BE171" s="248"/>
      <c r="BF171" s="248"/>
      <c r="BG171" s="248"/>
      <c r="BH171" s="248"/>
      <c r="BI171" s="248"/>
      <c r="BJ171" s="248"/>
      <c r="BK171" s="248"/>
      <c r="BL171" s="248"/>
      <c r="BM171" s="248"/>
      <c r="BN171" s="248"/>
      <c r="BO171" s="248"/>
      <c r="BP171" s="248"/>
      <c r="BQ171" s="1331"/>
      <c r="BR171" s="1331"/>
      <c r="BS171" s="1005"/>
      <c r="BT171" s="1005"/>
      <c r="BU171" s="1005"/>
      <c r="BV171" s="623"/>
      <c r="BW171" s="623"/>
    </row>
    <row s="6517" customFormat="1" customHeight="1" ht="243.82192611694336">
      <c r="A172" s="157"/>
      <c r="B172" s="436"/>
      <c r="C172" s="157"/>
      <c r="D172" s="157"/>
      <c r="E172" s="711">
        <v>21</v>
      </c>
      <c r="F172" s="50" cm="1" t="str">
        <f t="array" ref="F172:F172">OFFSET(E172,-1,1)</f>
        <v>1</v>
      </c>
      <c r="G172" s="157"/>
      <c r="H172" s="373"/>
      <c r="I172" s="373" t="s">
        <v>344</v>
      </c>
      <c r="J172" s="157"/>
      <c r="K172" s="373" t="s">
        <v>344</v>
      </c>
      <c r="L172" s="991"/>
      <c r="M172" s="862"/>
      <c r="N172" s="157"/>
      <c r="O172" s="157"/>
      <c r="P172" s="157"/>
      <c r="Q172" s="157"/>
      <c r="R172" s="157" t="s">
        <v>2470</v>
      </c>
      <c r="S172" s="157"/>
      <c r="T172" s="468" cm="1" t="str">
        <f t="array" ref="T172:T172">T171</f>
        <v>true</v>
      </c>
      <c r="U172" s="157"/>
      <c r="V172" s="157"/>
      <c r="W172" s="157"/>
      <c r="X172" s="1539"/>
      <c r="Y172" s="157"/>
      <c r="Z172" s="1529"/>
      <c r="AA172" s="157"/>
      <c r="AB172" s="243" t="s">
        <v>290</v>
      </c>
      <c r="AC172" s="208" t="s">
        <v>2174</v>
      </c>
      <c r="AD172" s="230" t="s">
        <v>936</v>
      </c>
      <c r="AE172" s="6518">
        <f>SUM(AE174,AE191,AE197,AE217,AE218,AE219)</f>
        <v>301855.02</v>
      </c>
      <c r="AF172" s="768">
        <f>SUM(AF174,AF191,AF197,AF217,AF218,AF219)</f>
        <v>305037.88</v>
      </c>
      <c r="AG172" s="768">
        <f>SUM(AG174,AG191,AG197,AG217,AG218,AG219)</f>
        <v>305911.73</v>
      </c>
      <c r="AH172" s="768">
        <f>AG172-AF172</f>
        <v>873.849999999977</v>
      </c>
      <c r="AI172" s="6519">
        <v>327148.72</v>
      </c>
      <c r="AJ172" s="6519">
        <v>380187.01</v>
      </c>
      <c r="AK172" s="1265">
        <f>AJ172*AK173</f>
        <v>380187.01</v>
      </c>
      <c r="AL172" s="1265">
        <f>AK172*AL173</f>
        <v>380187.01</v>
      </c>
      <c r="AM172" s="1265">
        <f>AL172*AM173</f>
        <v>380187.01</v>
      </c>
      <c r="AN172" s="1265">
        <f>AM172*AN173</f>
        <v>380187.01</v>
      </c>
      <c r="AO172" s="1265">
        <f>AN172*AO173</f>
        <v>380187.01</v>
      </c>
      <c r="AP172" s="1265">
        <f>AO172*AP173</f>
        <v>380187.01</v>
      </c>
      <c r="AQ172" s="1265">
        <f>AP172*AQ173</f>
        <v>380187.01</v>
      </c>
      <c r="AR172" s="1265">
        <f>AQ172*AR173</f>
        <v>380187.01</v>
      </c>
      <c r="AS172" s="1265">
        <f>AR172*AS173</f>
        <v>380187.01</v>
      </c>
      <c r="AT172" s="6519">
        <f>228360.01+114979.84+3848.42</f>
        <v>347188.27</v>
      </c>
      <c r="AU172" s="1265">
        <f>AT172*AU173</f>
        <v>347188.27</v>
      </c>
      <c r="AV172" s="1265">
        <f>AU172*AV173</f>
        <v>347188.27</v>
      </c>
      <c r="AW172" s="1265">
        <f>AV172*AW173</f>
        <v>347188.27</v>
      </c>
      <c r="AX172" s="1265">
        <f>AW172*AX173</f>
        <v>347188.27</v>
      </c>
      <c r="AY172" s="1265">
        <f>AX172*AY173</f>
        <v>347188.27</v>
      </c>
      <c r="AZ172" s="1265">
        <f>AY172*AZ173</f>
        <v>347188.27</v>
      </c>
      <c r="BA172" s="1265">
        <f>AZ172*BA173</f>
        <v>347188.27</v>
      </c>
      <c r="BB172" s="1265">
        <f>BA172*BB173</f>
        <v>347188.27</v>
      </c>
      <c r="BC172" s="1265">
        <f>BB172*BC173</f>
        <v>347188.27</v>
      </c>
      <c r="BD172" s="768">
        <f>IF(AI172=0,0,(AT172-AI172)/AI172*100)</f>
        <v>6.1255168597328</v>
      </c>
      <c r="BE172" s="768">
        <f>IF(AT172=0,0,(AU172-AT172)/AT172*100)</f>
        <v>0</v>
      </c>
      <c r="BF172" s="768">
        <f>IF(AU172=0,0,(AV172-AU172)/AU172*100)</f>
        <v>0</v>
      </c>
      <c r="BG172" s="768">
        <f>IF(AV172=0,0,(AW172-AV172)/AV172*100)</f>
        <v>0</v>
      </c>
      <c r="BH172" s="768">
        <f>IF(AW172=0,0,(AX172-AW172)/AW172*100)</f>
        <v>0</v>
      </c>
      <c r="BI172" s="768">
        <f>IF(AX172=0,0,(AY172-AX172)/AX172*100)</f>
        <v>0</v>
      </c>
      <c r="BJ172" s="768">
        <f>IF(AY172=0,0,(AZ172-AY172)/AY172*100)</f>
        <v>0</v>
      </c>
      <c r="BK172" s="768">
        <f>IF(AZ172=0,0,(BA172-AZ172)/AZ172*100)</f>
        <v>0</v>
      </c>
      <c r="BL172" s="768">
        <f>IF(BA172=0,0,(BB172-BA172)/BA172*100)</f>
        <v>0</v>
      </c>
      <c r="BM172" s="768">
        <f>IF(BB172=0,0,(BC172-BB172)/BB172*100)</f>
        <v>0</v>
      </c>
      <c r="BN172" s="6520" t="s">
        <v>2472</v>
      </c>
      <c r="BO172" s="6521" t="s">
        <v>2473</v>
      </c>
      <c r="BP172" s="6521" t="s">
        <v>2474</v>
      </c>
      <c r="BQ172" s="156"/>
      <c r="BR172" s="157"/>
      <c r="BS172" s="1076" t="s">
        <v>649</v>
      </c>
      <c r="BT172" s="1076"/>
      <c r="BU172" s="1076"/>
      <c r="BV172" s="711"/>
      <c r="BW172" s="711"/>
    </row>
    <row s="1656" customFormat="1" customHeight="1" ht="117.75">
      <c r="A173" s="1297"/>
      <c r="B173" s="986"/>
      <c r="C173" s="1297"/>
      <c r="D173" s="1297"/>
      <c r="E173" s="709">
        <v>15</v>
      </c>
      <c r="F173" s="50" cm="1" t="str">
        <f t="array" ref="F173:F173">OFFSET(E173,-1,1)</f>
        <v>1</v>
      </c>
      <c r="G173" s="1297"/>
      <c r="H173" s="374"/>
      <c r="I173" s="374" t="s">
        <v>566</v>
      </c>
      <c r="J173" s="1297"/>
      <c r="K173" s="374" t="s">
        <v>566</v>
      </c>
      <c r="L173" s="988"/>
      <c r="M173" s="103"/>
      <c r="N173" s="1297"/>
      <c r="O173" s="1297"/>
      <c r="P173" s="1297"/>
      <c r="Q173" s="1297"/>
      <c r="R173" s="157" t="s">
        <v>2470</v>
      </c>
      <c r="S173" s="1297"/>
      <c r="T173" s="468" cm="1" t="str">
        <f t="array" ref="T173:T173">T172</f>
        <v>true</v>
      </c>
      <c r="U173" s="1297"/>
      <c r="V173" s="1297"/>
      <c r="W173" s="1297"/>
      <c r="X173" s="1539"/>
      <c r="Y173" s="1297"/>
      <c r="Z173" s="1529"/>
      <c r="AA173" s="1297"/>
      <c r="AB173" s="295" t="s">
        <v>1067</v>
      </c>
      <c r="AC173" s="769" t="s">
        <v>2175</v>
      </c>
      <c r="AD173" s="296"/>
      <c r="AE173" s="6522">
        <v>1.0583939396</v>
      </c>
      <c r="AF173" s="6522"/>
      <c r="AG173" s="6522"/>
      <c r="AH173" s="949">
        <f>AG173-AF173</f>
        <v>0</v>
      </c>
      <c r="AI173" s="6522">
        <v>1.0837942003</v>
      </c>
      <c r="AJ173" s="6522">
        <f>_xlfn.SUMIFS(INDEX(Сценарии!$AE$25:$BF$136,,MATCH(AJ$8,Сценарии!$AE$8:$BF$8,0)),Сценарии!$F$25:$F$136,$F173,Сценарии!$G$25:$G$136,"ИОР")</f>
        <v>1.043</v>
      </c>
      <c r="AK173" s="1271">
        <f>_xlfn.SUMIFS(INDEX(Сценарии!$AE$25:$BF$136,,MATCH(AK$8,Сценарии!$AE$8:$BF$8,0)),Сценарии!$F$25:$F$136,$F173,Сценарии!$G$25:$G$136,"ИОР")</f>
        <v>1</v>
      </c>
      <c r="AL173" s="1271">
        <f>_xlfn.SUMIFS(INDEX(Сценарии!$AE$25:$BF$136,,MATCH(AL$8,Сценарии!$AE$8:$BF$8,0)),Сценарии!$F$25:$F$136,$F173,Сценарии!$G$25:$G$136,"ИОР")</f>
        <v>1</v>
      </c>
      <c r="AM173" s="1271">
        <f>_xlfn.SUMIFS(INDEX(Сценарии!$AE$25:$BF$136,,MATCH(AM$8,Сценарии!$AE$8:$BF$8,0)),Сценарии!$F$25:$F$136,$F173,Сценарии!$G$25:$G$136,"ИОР")</f>
        <v>1</v>
      </c>
      <c r="AN173" s="1271">
        <f>_xlfn.SUMIFS(INDEX(Сценарии!$AE$25:$BF$136,,MATCH(AN$8,Сценарии!$AE$8:$BF$8,0)),Сценарии!$F$25:$F$136,$F173,Сценарии!$G$25:$G$136,"ИОР")</f>
        <v>1</v>
      </c>
      <c r="AO173" s="1271">
        <f>_xlfn.SUMIFS(INDEX(Сценарии!$AE$25:$BF$136,,MATCH(AO$8,Сценарии!$AE$8:$BF$8,0)),Сценарии!$F$25:$F$136,$F173,Сценарии!$G$25:$G$136,"ИОР")</f>
        <v>1</v>
      </c>
      <c r="AP173" s="1271">
        <f>_xlfn.SUMIFS(INDEX(Сценарии!$AE$25:$BF$136,,MATCH(AP$8,Сценарии!$AE$8:$BF$8,0)),Сценарии!$F$25:$F$136,$F173,Сценарии!$G$25:$G$136,"ИОР")</f>
        <v>1</v>
      </c>
      <c r="AQ173" s="1271">
        <f>_xlfn.SUMIFS(INDEX(Сценарии!$AE$25:$BF$136,,MATCH(AQ$8,Сценарии!$AE$8:$BF$8,0)),Сценарии!$F$25:$F$136,$F173,Сценарии!$G$25:$G$136,"ИОР")</f>
        <v>1</v>
      </c>
      <c r="AR173" s="1271">
        <f>_xlfn.SUMIFS(INDEX(Сценарии!$AE$25:$BF$136,,MATCH(AR$8,Сценарии!$AE$8:$BF$8,0)),Сценарии!$F$25:$F$136,$F173,Сценарии!$G$25:$G$136,"ИОР")</f>
        <v>1</v>
      </c>
      <c r="AS173" s="1271">
        <f>_xlfn.SUMIFS(INDEX(Сценарии!$AE$25:$BF$136,,MATCH(AS$8,Сценарии!$AE$8:$BF$8,0)),Сценарии!$F$25:$F$136,$F173,Сценарии!$G$25:$G$136,"ИОР")</f>
        <v>1</v>
      </c>
      <c r="AT173" s="6522">
        <f>_xlfn.SUMIFS(INDEX(Сценарии!$AE$25:$BF$136,,MATCH(AT$8,Сценарии!$AE$8:$BF$8,0)),Сценарии!$F$25:$F$136,$F173,Сценарии!$G$25:$G$136,"ИОР")</f>
        <v>1.04049</v>
      </c>
      <c r="AU173" s="1271">
        <f>_xlfn.SUMIFS(INDEX(Сценарии!$AE$25:$BF$136,,MATCH(AU$8,Сценарии!$AE$8:$BF$8,0)),Сценарии!$F$25:$F$136,$F173,Сценарии!$G$25:$G$136,"ИОР")</f>
        <v>1</v>
      </c>
      <c r="AV173" s="1271">
        <f>_xlfn.SUMIFS(INDEX(Сценарии!$AE$25:$BF$136,,MATCH(AV$8,Сценарии!$AE$8:$BF$8,0)),Сценарии!$F$25:$F$136,$F173,Сценарии!$G$25:$G$136,"ИОР")</f>
        <v>1</v>
      </c>
      <c r="AW173" s="1271">
        <f>_xlfn.SUMIFS(INDEX(Сценарии!$AE$25:$BF$136,,MATCH(AW$8,Сценарии!$AE$8:$BF$8,0)),Сценарии!$F$25:$F$136,$F173,Сценарии!$G$25:$G$136,"ИОР")</f>
        <v>1</v>
      </c>
      <c r="AX173" s="1271">
        <f>_xlfn.SUMIFS(INDEX(Сценарии!$AE$25:$BF$136,,MATCH(AX$8,Сценарии!$AE$8:$BF$8,0)),Сценарии!$F$25:$F$136,$F173,Сценарии!$G$25:$G$136,"ИОР")</f>
        <v>1</v>
      </c>
      <c r="AY173" s="1271">
        <f>_xlfn.SUMIFS(INDEX(Сценарии!$AE$25:$BF$136,,MATCH(AY$8,Сценарии!$AE$8:$BF$8,0)),Сценарии!$F$25:$F$136,$F173,Сценарии!$G$25:$G$136,"ИОР")</f>
        <v>1</v>
      </c>
      <c r="AZ173" s="1271">
        <f>_xlfn.SUMIFS(INDEX(Сценарии!$AE$25:$BF$136,,MATCH(AZ$8,Сценарии!$AE$8:$BF$8,0)),Сценарии!$F$25:$F$136,$F173,Сценарии!$G$25:$G$136,"ИОР")</f>
        <v>1</v>
      </c>
      <c r="BA173" s="1271">
        <f>_xlfn.SUMIFS(INDEX(Сценарии!$AE$25:$BF$136,,MATCH(BA$8,Сценарии!$AE$8:$BF$8,0)),Сценарии!$F$25:$F$136,$F173,Сценарии!$G$25:$G$136,"ИОР")</f>
        <v>1</v>
      </c>
      <c r="BB173" s="1271">
        <f>_xlfn.SUMIFS(INDEX(Сценарии!$AE$25:$BF$136,,MATCH(BB$8,Сценарии!$AE$8:$BF$8,0)),Сценарии!$F$25:$F$136,$F173,Сценарии!$G$25:$G$136,"ИОР")</f>
        <v>1</v>
      </c>
      <c r="BC173" s="1271">
        <f>_xlfn.SUMIFS(INDEX(Сценарии!$AE$25:$BF$136,,MATCH(BC$8,Сценарии!$AE$8:$BF$8,0)),Сценарии!$F$25:$F$136,$F173,Сценарии!$G$25:$G$136,"ИОР")</f>
        <v>1</v>
      </c>
      <c r="BD173" s="950"/>
      <c r="BE173" s="950"/>
      <c r="BF173" s="950"/>
      <c r="BG173" s="950"/>
      <c r="BH173" s="950"/>
      <c r="BI173" s="950"/>
      <c r="BJ173" s="950"/>
      <c r="BK173" s="950"/>
      <c r="BL173" s="950"/>
      <c r="BM173" s="950"/>
      <c r="BN173" s="6521"/>
      <c r="BO173" s="6521" t="s">
        <v>2475</v>
      </c>
      <c r="BP173" s="6521" t="s">
        <v>2476</v>
      </c>
      <c r="BQ173" s="1297"/>
      <c r="BR173" s="1297"/>
      <c r="BS173" s="1072" t="s">
        <v>2176</v>
      </c>
      <c r="BT173" s="1072"/>
      <c r="BU173" s="1072"/>
      <c r="BV173" s="987"/>
      <c r="BW173" s="987"/>
    </row>
    <row s="436" customFormat="1" customHeight="1" ht="25.921875">
      <c r="A174" s="156"/>
      <c r="B174" s="436"/>
      <c r="C174" s="156"/>
      <c r="D174" s="156"/>
      <c r="E174" s="712">
        <v>21</v>
      </c>
      <c r="F174" s="50" cm="1" t="str">
        <f t="array" ref="F174:F174">OFFSET(E174,-1,1)</f>
        <v>1</v>
      </c>
      <c r="G174" s="156"/>
      <c r="H174" s="373"/>
      <c r="I174" s="373" t="s">
        <v>570</v>
      </c>
      <c r="J174" s="156"/>
      <c r="K174" s="373" t="s">
        <v>570</v>
      </c>
      <c r="L174" s="992" t="s">
        <v>344</v>
      </c>
      <c r="M174" s="865"/>
      <c r="N174" s="156"/>
      <c r="O174" s="156"/>
      <c r="P174" s="156"/>
      <c r="Q174" s="154" t="s">
        <v>2470</v>
      </c>
      <c r="R174" s="157" t="s">
        <v>2470</v>
      </c>
      <c r="S174" s="156"/>
      <c r="T174" s="468" cm="1" t="str">
        <f t="array" ref="T174:T174">T173</f>
        <v>true</v>
      </c>
      <c r="U174" s="156"/>
      <c r="V174" s="156"/>
      <c r="W174" s="156"/>
      <c r="X174" s="1539"/>
      <c r="Y174" s="156"/>
      <c r="Z174" s="1529"/>
      <c r="AA174" s="156"/>
      <c r="AB174" s="243" t="s">
        <v>1070</v>
      </c>
      <c r="AC174" s="357" t="s">
        <v>1972</v>
      </c>
      <c r="AD174" s="230" t="s">
        <v>936</v>
      </c>
      <c r="AE174" s="768">
        <f>SUM(AE175,AE178,AE179,AE182,AE183)</f>
        <v>129913.9</v>
      </c>
      <c r="AF174" s="768">
        <f>SUM(AF175,AF178,AF179,AF182,AF183)</f>
        <v>10943.03</v>
      </c>
      <c r="AG174" s="768">
        <f>SUM(AG175,AG178,AG179,AG182,AG183)</f>
        <v>0</v>
      </c>
      <c r="AH174" s="768">
        <f>AG174-AF174</f>
        <v>-10943.03</v>
      </c>
      <c r="AI174" s="6485">
        <f>SUM(AI175,AI178,AI179,AI182,AI183)</f>
        <v>0</v>
      </c>
      <c r="AJ174" s="6522"/>
      <c r="AK174" s="771"/>
      <c r="AL174" s="771"/>
      <c r="AM174" s="771"/>
      <c r="AN174" s="771"/>
      <c r="AO174" s="771"/>
      <c r="AP174" s="771"/>
      <c r="AQ174" s="771"/>
      <c r="AR174" s="771"/>
      <c r="AS174" s="771"/>
      <c r="AT174" s="771"/>
      <c r="AU174" s="771"/>
      <c r="AV174" s="771"/>
      <c r="AW174" s="771"/>
      <c r="AX174" s="771"/>
      <c r="AY174" s="771"/>
      <c r="AZ174" s="771"/>
      <c r="BA174" s="771"/>
      <c r="BB174" s="771"/>
      <c r="BC174" s="771"/>
      <c r="BD174" s="771"/>
      <c r="BE174" s="771"/>
      <c r="BF174" s="771"/>
      <c r="BG174" s="771"/>
      <c r="BH174" s="771"/>
      <c r="BI174" s="771"/>
      <c r="BJ174" s="771"/>
      <c r="BK174" s="771"/>
      <c r="BL174" s="771"/>
      <c r="BM174" s="771"/>
      <c r="BN174" s="6523"/>
      <c r="BO174" s="6523"/>
      <c r="BP174" s="6523"/>
      <c r="BQ174" s="156"/>
      <c r="BR174" s="156"/>
      <c r="BS174" s="1070" t="s">
        <v>621</v>
      </c>
      <c r="BT174" s="1077"/>
      <c r="BU174" s="1077"/>
      <c r="BV174" s="712"/>
      <c r="BW174" s="712"/>
    </row>
    <row s="1656" customFormat="1" customHeight="1" ht="40.171875">
      <c r="A175" s="1297"/>
      <c r="B175" s="986"/>
      <c r="C175" s="1297"/>
      <c r="D175" s="1297"/>
      <c r="E175" s="709">
        <v>15</v>
      </c>
      <c r="F175" s="50" cm="1" t="str">
        <f t="array" ref="F175:F175">OFFSET(E175,-1,1)</f>
        <v>1</v>
      </c>
      <c r="G175" s="1297"/>
      <c r="H175" s="374"/>
      <c r="I175" s="374" t="s">
        <v>1550</v>
      </c>
      <c r="J175" s="1297"/>
      <c r="K175" s="374" t="s">
        <v>1550</v>
      </c>
      <c r="L175" s="988" t="s">
        <v>566</v>
      </c>
      <c r="M175" s="103"/>
      <c r="N175" s="1297"/>
      <c r="O175" s="1297"/>
      <c r="P175" s="1297"/>
      <c r="Q175" s="154" t="s">
        <v>2470</v>
      </c>
      <c r="R175" s="157" t="s">
        <v>2470</v>
      </c>
      <c r="S175" s="1297"/>
      <c r="T175" s="468" cm="1" t="str">
        <f t="array" ref="T175:T175">T174</f>
        <v>true</v>
      </c>
      <c r="U175" s="1297"/>
      <c r="V175" s="1297"/>
      <c r="W175" s="1297"/>
      <c r="X175" s="1539"/>
      <c r="Y175" s="1297"/>
      <c r="Z175" s="1529"/>
      <c r="AA175" s="1297"/>
      <c r="AB175" s="295" t="s">
        <v>1551</v>
      </c>
      <c r="AC175" s="772" t="s">
        <v>2177</v>
      </c>
      <c r="AD175" s="773" t="s">
        <v>936</v>
      </c>
      <c r="AE175" s="951">
        <f>SUM(AE176,AE177)</f>
        <v>0</v>
      </c>
      <c r="AF175" s="951">
        <f>SUM(AF176,AF177)</f>
        <v>0</v>
      </c>
      <c r="AG175" s="951">
        <f>SUM(AG176,AG177)</f>
        <v>0</v>
      </c>
      <c r="AH175" s="951">
        <f>AG175-AF175</f>
        <v>0</v>
      </c>
      <c r="AI175" s="6488">
        <f>SUM(AI176,AI177)</f>
        <v>0</v>
      </c>
      <c r="AJ175" s="6522"/>
      <c r="AK175" s="950"/>
      <c r="AL175" s="950"/>
      <c r="AM175" s="950"/>
      <c r="AN175" s="950"/>
      <c r="AO175" s="950"/>
      <c r="AP175" s="950"/>
      <c r="AQ175" s="950"/>
      <c r="AR175" s="950"/>
      <c r="AS175" s="950"/>
      <c r="AT175" s="950"/>
      <c r="AU175" s="950"/>
      <c r="AV175" s="950"/>
      <c r="AW175" s="950"/>
      <c r="AX175" s="950"/>
      <c r="AY175" s="950"/>
      <c r="AZ175" s="950"/>
      <c r="BA175" s="950"/>
      <c r="BB175" s="950"/>
      <c r="BC175" s="950"/>
      <c r="BD175" s="950"/>
      <c r="BE175" s="950"/>
      <c r="BF175" s="950"/>
      <c r="BG175" s="950"/>
      <c r="BH175" s="950"/>
      <c r="BI175" s="950"/>
      <c r="BJ175" s="950"/>
      <c r="BK175" s="950"/>
      <c r="BL175" s="950"/>
      <c r="BM175" s="950"/>
      <c r="BN175" s="6521"/>
      <c r="BO175" s="6521"/>
      <c r="BP175" s="6521"/>
      <c r="BQ175" s="106"/>
      <c r="BR175" s="1297"/>
      <c r="BS175" s="1071" t="s">
        <v>1974</v>
      </c>
      <c r="BT175" s="1072"/>
      <c r="BU175" s="1072"/>
      <c r="BV175" s="987"/>
      <c r="BW175" s="987"/>
    </row>
    <row s="1656" customFormat="1" customHeight="1" ht="31.921875">
      <c r="A176" s="1297"/>
      <c r="B176" s="986"/>
      <c r="C176" s="1297"/>
      <c r="D176" s="1297"/>
      <c r="E176" s="709">
        <v>15</v>
      </c>
      <c r="F176" s="50" cm="1" t="str">
        <f t="array" ref="F176:F176">OFFSET(E176,-1,1)</f>
        <v>1</v>
      </c>
      <c r="G176" s="1297"/>
      <c r="H176" s="374"/>
      <c r="I176" s="374" t="s">
        <v>2178</v>
      </c>
      <c r="J176" s="1297"/>
      <c r="K176" s="374" t="s">
        <v>2178</v>
      </c>
      <c r="L176" s="988" t="s">
        <v>1201</v>
      </c>
      <c r="M176" s="103"/>
      <c r="N176" s="1297"/>
      <c r="O176" s="1297"/>
      <c r="P176" s="1297"/>
      <c r="Q176" s="154" t="s">
        <v>2470</v>
      </c>
      <c r="R176" s="157" t="s">
        <v>2470</v>
      </c>
      <c r="S176" s="1297"/>
      <c r="T176" s="468" cm="1" t="str">
        <f t="array" ref="T176:T176">T175</f>
        <v>true</v>
      </c>
      <c r="U176" s="1297"/>
      <c r="V176" s="1297"/>
      <c r="W176" s="1297"/>
      <c r="X176" s="1539"/>
      <c r="Y176" s="1297"/>
      <c r="Z176" s="1529"/>
      <c r="AA176" s="1297"/>
      <c r="AB176" s="295" t="s">
        <v>2179</v>
      </c>
      <c r="AC176" s="775" t="s">
        <v>1977</v>
      </c>
      <c r="AD176" s="773" t="s">
        <v>936</v>
      </c>
      <c r="AE176" s="6489">
        <f>_xlfn.SUMIFS('Сырье и материалы'!AE$25:AE$111,'Сырье и материалы'!$F$25:$F$111,$F176,'Сырье и материалы'!$I$25:$I$111,"Горюче-смазочные материалы")</f>
        <v>0</v>
      </c>
      <c r="AF176" s="6489">
        <f>_xlfn.SUMIFS('Сырье и материалы'!AF$25:AF$111,'Сырье и материалы'!$F$25:$F$111,$F176,'Сырье и материалы'!$I$25:$I$111,"Горюче-смазочные материалы")</f>
        <v>0</v>
      </c>
      <c r="AG176" s="6489">
        <f>_xlfn.SUMIFS('Сырье и материалы'!AG$25:AG$111,'Сырье и материалы'!$F$25:$F$111,$F176,'Сырье и материалы'!$I$25:$I$111,"Горюче-смазочные материалы")</f>
        <v>0</v>
      </c>
      <c r="AH176" s="951">
        <f>AG176-AF176</f>
        <v>0</v>
      </c>
      <c r="AI176" s="6490"/>
      <c r="AJ176" s="6522"/>
      <c r="AK176" s="950"/>
      <c r="AL176" s="950"/>
      <c r="AM176" s="950"/>
      <c r="AN176" s="950"/>
      <c r="AO176" s="950"/>
      <c r="AP176" s="950"/>
      <c r="AQ176" s="950"/>
      <c r="AR176" s="950"/>
      <c r="AS176" s="950"/>
      <c r="AT176" s="950"/>
      <c r="AU176" s="950"/>
      <c r="AV176" s="950"/>
      <c r="AW176" s="950"/>
      <c r="AX176" s="950"/>
      <c r="AY176" s="950"/>
      <c r="AZ176" s="950"/>
      <c r="BA176" s="950"/>
      <c r="BB176" s="950"/>
      <c r="BC176" s="950"/>
      <c r="BD176" s="950"/>
      <c r="BE176" s="950"/>
      <c r="BF176" s="950"/>
      <c r="BG176" s="950"/>
      <c r="BH176" s="950"/>
      <c r="BI176" s="950"/>
      <c r="BJ176" s="950"/>
      <c r="BK176" s="950"/>
      <c r="BL176" s="950"/>
      <c r="BM176" s="950"/>
      <c r="BN176" s="6521"/>
      <c r="BO176" s="6521"/>
      <c r="BP176" s="6521"/>
      <c r="BQ176" s="1297"/>
      <c r="BR176" s="1297"/>
      <c r="BS176" s="1070" t="s">
        <v>1978</v>
      </c>
      <c r="BT176" s="1072"/>
      <c r="BU176" s="1072"/>
      <c r="BV176" s="987"/>
      <c r="BW176" s="987"/>
    </row>
    <row s="1656" customFormat="1" customHeight="1" ht="31.921875">
      <c r="A177" s="1297"/>
      <c r="B177" s="986"/>
      <c r="C177" s="1297"/>
      <c r="D177" s="1297"/>
      <c r="E177" s="709">
        <v>15</v>
      </c>
      <c r="F177" s="50" cm="1" t="str">
        <f t="array" ref="F177:F177">OFFSET(E177,-1,1)</f>
        <v>1</v>
      </c>
      <c r="G177" s="1297"/>
      <c r="H177" s="374"/>
      <c r="I177" s="374" t="s">
        <v>2180</v>
      </c>
      <c r="J177" s="1297"/>
      <c r="K177" s="374" t="s">
        <v>2180</v>
      </c>
      <c r="L177" s="988" t="s">
        <v>1525</v>
      </c>
      <c r="M177" s="103"/>
      <c r="N177" s="1297"/>
      <c r="O177" s="1297"/>
      <c r="P177" s="1297"/>
      <c r="Q177" s="154" t="s">
        <v>2470</v>
      </c>
      <c r="R177" s="157" t="s">
        <v>2470</v>
      </c>
      <c r="S177" s="1297"/>
      <c r="T177" s="468" cm="1" t="str">
        <f t="array" ref="T177:T177">T176</f>
        <v>true</v>
      </c>
      <c r="U177" s="1297"/>
      <c r="V177" s="1297"/>
      <c r="W177" s="1297"/>
      <c r="X177" s="1539"/>
      <c r="Y177" s="1297"/>
      <c r="Z177" s="1529"/>
      <c r="AA177" s="1297"/>
      <c r="AB177" s="295" t="s">
        <v>2181</v>
      </c>
      <c r="AC177" s="775" t="s">
        <v>1979</v>
      </c>
      <c r="AD177" s="773" t="s">
        <v>936</v>
      </c>
      <c r="AE177" s="6489">
        <f>_xlfn.SUMIFS('Сырье и материалы'!AE$25:AE$111,'Сырье и материалы'!$F$25:$F$111,$F177,'Сырье и материалы'!$I$25:$I$111,"Материалы")</f>
        <v>0</v>
      </c>
      <c r="AF177" s="6489">
        <f>_xlfn.SUMIFS('Сырье и материалы'!AF$25:AF$111,'Сырье и материалы'!$F$25:$F$111,$F177,'Сырье и материалы'!$I$25:$I$111,"Материалы")</f>
        <v>0</v>
      </c>
      <c r="AG177" s="6489">
        <f>_xlfn.SUMIFS('Сырье и материалы'!AG$25:AG$111,'Сырье и материалы'!$F$25:$F$111,$F177,'Сырье и материалы'!$I$25:$I$111,"Материалы")</f>
        <v>0</v>
      </c>
      <c r="AH177" s="951">
        <f>AG177-AF177</f>
        <v>0</v>
      </c>
      <c r="AI177" s="6490"/>
      <c r="AJ177" s="6522"/>
      <c r="AK177" s="950"/>
      <c r="AL177" s="950"/>
      <c r="AM177" s="950"/>
      <c r="AN177" s="950"/>
      <c r="AO177" s="950"/>
      <c r="AP177" s="950"/>
      <c r="AQ177" s="950"/>
      <c r="AR177" s="950"/>
      <c r="AS177" s="950"/>
      <c r="AT177" s="950"/>
      <c r="AU177" s="950"/>
      <c r="AV177" s="950"/>
      <c r="AW177" s="950"/>
      <c r="AX177" s="950"/>
      <c r="AY177" s="950"/>
      <c r="AZ177" s="950"/>
      <c r="BA177" s="950"/>
      <c r="BB177" s="950"/>
      <c r="BC177" s="950"/>
      <c r="BD177" s="950"/>
      <c r="BE177" s="950"/>
      <c r="BF177" s="950"/>
      <c r="BG177" s="950"/>
      <c r="BH177" s="950"/>
      <c r="BI177" s="950"/>
      <c r="BJ177" s="950"/>
      <c r="BK177" s="950"/>
      <c r="BL177" s="950"/>
      <c r="BM177" s="950"/>
      <c r="BN177" s="6521"/>
      <c r="BO177" s="6521"/>
      <c r="BP177" s="6521"/>
      <c r="BQ177" s="1297"/>
      <c r="BR177" s="1297"/>
      <c r="BS177" s="1070" t="s">
        <v>1980</v>
      </c>
      <c r="BT177" s="1072"/>
      <c r="BU177" s="1072"/>
      <c r="BV177" s="987"/>
      <c r="BW177" s="987"/>
    </row>
    <row s="1656" customFormat="1" customHeight="1" ht="69.421875">
      <c r="A178" s="1297"/>
      <c r="B178" s="986"/>
      <c r="C178" s="1297"/>
      <c r="D178" s="1297"/>
      <c r="E178" s="709">
        <v>22.5</v>
      </c>
      <c r="F178" s="50" cm="1" t="str">
        <f t="array" ref="F178:F178">OFFSET(E178,-1,1)</f>
        <v>1</v>
      </c>
      <c r="G178" s="1297"/>
      <c r="H178" s="374"/>
      <c r="I178" s="374" t="s">
        <v>1553</v>
      </c>
      <c r="J178" s="1297"/>
      <c r="K178" s="374" t="s">
        <v>1553</v>
      </c>
      <c r="L178" s="988" t="s">
        <v>573</v>
      </c>
      <c r="M178" s="103"/>
      <c r="N178" s="1297"/>
      <c r="O178" s="1297"/>
      <c r="P178" s="1297"/>
      <c r="Q178" s="154" t="s">
        <v>2470</v>
      </c>
      <c r="R178" s="157" t="s">
        <v>2470</v>
      </c>
      <c r="S178" s="1297"/>
      <c r="T178" s="468" cm="1" t="str">
        <f t="array" ref="T178:T178">T177</f>
        <v>true</v>
      </c>
      <c r="U178" s="1297"/>
      <c r="V178" s="1297"/>
      <c r="W178" s="1297"/>
      <c r="X178" s="1539"/>
      <c r="Y178" s="1297"/>
      <c r="Z178" s="1529"/>
      <c r="AA178" s="1297"/>
      <c r="AB178" s="295" t="s">
        <v>1554</v>
      </c>
      <c r="AC178" s="772" t="s">
        <v>2182</v>
      </c>
      <c r="AD178" s="773" t="s">
        <v>936</v>
      </c>
      <c r="AE178" s="6524"/>
      <c r="AF178" s="6524"/>
      <c r="AG178" s="6524"/>
      <c r="AH178" s="951">
        <f>AG178-AF178</f>
        <v>0</v>
      </c>
      <c r="AI178" s="6490"/>
      <c r="AJ178" s="6522"/>
      <c r="AK178" s="950"/>
      <c r="AL178" s="950"/>
      <c r="AM178" s="950"/>
      <c r="AN178" s="950"/>
      <c r="AO178" s="950"/>
      <c r="AP178" s="950"/>
      <c r="AQ178" s="950"/>
      <c r="AR178" s="950"/>
      <c r="AS178" s="950"/>
      <c r="AT178" s="950"/>
      <c r="AU178" s="950"/>
      <c r="AV178" s="950"/>
      <c r="AW178" s="950"/>
      <c r="AX178" s="950"/>
      <c r="AY178" s="950"/>
      <c r="AZ178" s="950"/>
      <c r="BA178" s="950"/>
      <c r="BB178" s="950"/>
      <c r="BC178" s="950"/>
      <c r="BD178" s="950"/>
      <c r="BE178" s="950"/>
      <c r="BF178" s="950"/>
      <c r="BG178" s="950"/>
      <c r="BH178" s="950"/>
      <c r="BI178" s="950"/>
      <c r="BJ178" s="950"/>
      <c r="BK178" s="950"/>
      <c r="BL178" s="950"/>
      <c r="BM178" s="950"/>
      <c r="BN178" s="6521"/>
      <c r="BO178" s="6521"/>
      <c r="BP178" s="6521"/>
      <c r="BQ178" s="1297"/>
      <c r="BR178" s="1297"/>
      <c r="BS178" s="1071" t="s">
        <v>2005</v>
      </c>
      <c r="BT178" s="1072"/>
      <c r="BU178" s="1072"/>
      <c r="BV178" s="987"/>
      <c r="BW178" s="987"/>
    </row>
    <row s="1656" customFormat="1" customHeight="1" ht="73.921875">
      <c r="A179" s="1297"/>
      <c r="B179" s="986"/>
      <c r="C179" s="1297"/>
      <c r="D179" s="1297"/>
      <c r="E179" s="709">
        <v>22.5</v>
      </c>
      <c r="F179" s="50" cm="1" t="str">
        <f t="array" ref="F179:F179">OFFSET(E179,-1,1)</f>
        <v>1</v>
      </c>
      <c r="G179" s="1297"/>
      <c r="H179" s="374"/>
      <c r="I179" s="374" t="s">
        <v>1557</v>
      </c>
      <c r="J179" s="1297"/>
      <c r="K179" s="374" t="s">
        <v>1557</v>
      </c>
      <c r="L179" s="988" t="s">
        <v>577</v>
      </c>
      <c r="M179" s="103"/>
      <c r="N179" s="1297"/>
      <c r="O179" s="1297"/>
      <c r="P179" s="1297"/>
      <c r="Q179" s="154" t="s">
        <v>2470</v>
      </c>
      <c r="R179" s="157" t="s">
        <v>2470</v>
      </c>
      <c r="S179" s="1297"/>
      <c r="T179" s="468" cm="1" t="str">
        <f t="array" ref="T179:T179">T178</f>
        <v>true</v>
      </c>
      <c r="U179" s="1297"/>
      <c r="V179" s="1297"/>
      <c r="W179" s="1297"/>
      <c r="X179" s="1539"/>
      <c r="Y179" s="1297"/>
      <c r="Z179" s="1529"/>
      <c r="AA179" s="1297"/>
      <c r="AB179" s="295" t="s">
        <v>1558</v>
      </c>
      <c r="AC179" s="772" t="s">
        <v>2183</v>
      </c>
      <c r="AD179" s="773" t="s">
        <v>936</v>
      </c>
      <c r="AE179" s="952">
        <f>AE180+AE181</f>
        <v>126419.5</v>
      </c>
      <c r="AF179" s="952">
        <f>AF180+AF181</f>
        <v>9547.98</v>
      </c>
      <c r="AG179" s="952">
        <f>AG180+AG181</f>
        <v>0</v>
      </c>
      <c r="AH179" s="951">
        <f>AG179-AF179</f>
        <v>-9547.98</v>
      </c>
      <c r="AI179" s="6493">
        <f>AI180+AI181</f>
        <v>0</v>
      </c>
      <c r="AJ179" s="6522"/>
      <c r="AK179" s="950"/>
      <c r="AL179" s="950"/>
      <c r="AM179" s="950"/>
      <c r="AN179" s="950"/>
      <c r="AO179" s="950"/>
      <c r="AP179" s="950"/>
      <c r="AQ179" s="950"/>
      <c r="AR179" s="950"/>
      <c r="AS179" s="950"/>
      <c r="AT179" s="950"/>
      <c r="AU179" s="950"/>
      <c r="AV179" s="950"/>
      <c r="AW179" s="950"/>
      <c r="AX179" s="950"/>
      <c r="AY179" s="950"/>
      <c r="AZ179" s="950"/>
      <c r="BA179" s="950"/>
      <c r="BB179" s="950"/>
      <c r="BC179" s="950"/>
      <c r="BD179" s="950"/>
      <c r="BE179" s="950"/>
      <c r="BF179" s="950"/>
      <c r="BG179" s="950"/>
      <c r="BH179" s="950"/>
      <c r="BI179" s="950"/>
      <c r="BJ179" s="950"/>
      <c r="BK179" s="950"/>
      <c r="BL179" s="950"/>
      <c r="BM179" s="950"/>
      <c r="BN179" s="6521"/>
      <c r="BO179" s="6521"/>
      <c r="BP179" s="6521"/>
      <c r="BQ179" s="1297"/>
      <c r="BR179" s="1297"/>
      <c r="BS179" s="1071" t="s">
        <v>2184</v>
      </c>
      <c r="BT179" s="1072"/>
      <c r="BU179" s="1072"/>
      <c r="BV179" s="987"/>
      <c r="BW179" s="987"/>
    </row>
    <row s="1656" customFormat="1" customHeight="1" ht="43.171875">
      <c r="A180" s="1297"/>
      <c r="B180" s="986"/>
      <c r="C180" s="1297"/>
      <c r="D180" s="1297"/>
      <c r="E180" s="709">
        <v>15</v>
      </c>
      <c r="F180" s="50" cm="1" t="str">
        <f t="array" ref="F180:F180">OFFSET(E180,-1,1)</f>
        <v>1</v>
      </c>
      <c r="G180" s="345" t="s">
        <v>1350</v>
      </c>
      <c r="H180" s="374"/>
      <c r="I180" s="374" t="s">
        <v>1712</v>
      </c>
      <c r="J180" s="1297"/>
      <c r="K180" s="374" t="s">
        <v>1712</v>
      </c>
      <c r="L180" s="988" t="s">
        <v>1577</v>
      </c>
      <c r="M180" s="103"/>
      <c r="N180" s="1297"/>
      <c r="O180" s="1297"/>
      <c r="P180" s="1297"/>
      <c r="Q180" s="154" t="s">
        <v>2470</v>
      </c>
      <c r="R180" s="157" t="s">
        <v>2470</v>
      </c>
      <c r="S180" s="1297"/>
      <c r="T180" s="468" cm="1" t="str">
        <f t="array" ref="T180:T180">T179</f>
        <v>true</v>
      </c>
      <c r="U180" s="1297"/>
      <c r="V180" s="1297"/>
      <c r="W180" s="1297"/>
      <c r="X180" s="1539"/>
      <c r="Y180" s="1297"/>
      <c r="Z180" s="1529"/>
      <c r="AA180" s="1297"/>
      <c r="AB180" s="295" t="s">
        <v>2185</v>
      </c>
      <c r="AC180" s="775" t="s">
        <v>2008</v>
      </c>
      <c r="AD180" s="773" t="s">
        <v>936</v>
      </c>
      <c r="AE180" s="6524">
        <v>97091.07</v>
      </c>
      <c r="AF180" s="6524">
        <v>7337.81</v>
      </c>
      <c r="AG180" s="6524"/>
      <c r="AH180" s="951">
        <f>AG180-AF180</f>
        <v>-7337.81</v>
      </c>
      <c r="AI180" s="6490"/>
      <c r="AJ180" s="6522"/>
      <c r="AK180" s="950"/>
      <c r="AL180" s="950"/>
      <c r="AM180" s="950"/>
      <c r="AN180" s="950"/>
      <c r="AO180" s="950"/>
      <c r="AP180" s="950"/>
      <c r="AQ180" s="950"/>
      <c r="AR180" s="950"/>
      <c r="AS180" s="950"/>
      <c r="AT180" s="950"/>
      <c r="AU180" s="950"/>
      <c r="AV180" s="950"/>
      <c r="AW180" s="950"/>
      <c r="AX180" s="950"/>
      <c r="AY180" s="950"/>
      <c r="AZ180" s="950"/>
      <c r="BA180" s="950"/>
      <c r="BB180" s="950"/>
      <c r="BC180" s="950"/>
      <c r="BD180" s="950"/>
      <c r="BE180" s="950"/>
      <c r="BF180" s="950"/>
      <c r="BG180" s="950"/>
      <c r="BH180" s="950"/>
      <c r="BI180" s="950"/>
      <c r="BJ180" s="950"/>
      <c r="BK180" s="950"/>
      <c r="BL180" s="950"/>
      <c r="BM180" s="950"/>
      <c r="BN180" s="6521"/>
      <c r="BO180" s="6525"/>
      <c r="BP180" s="6521"/>
      <c r="BQ180" s="1297"/>
      <c r="BR180" s="1297"/>
      <c r="BS180" s="1070" t="s">
        <v>2009</v>
      </c>
      <c r="BT180" s="1072"/>
      <c r="BU180" s="1072"/>
      <c r="BV180" s="987"/>
      <c r="BW180" s="987"/>
    </row>
    <row s="1656" customFormat="1" customHeight="1" ht="66.421875">
      <c r="A181" s="1297"/>
      <c r="B181" s="986"/>
      <c r="C181" s="1297"/>
      <c r="D181" s="1297"/>
      <c r="E181" s="709">
        <v>22.5</v>
      </c>
      <c r="F181" s="50" cm="1" t="str">
        <f t="array" ref="F181:F181">OFFSET(E181,-1,1)</f>
        <v>1</v>
      </c>
      <c r="G181" s="345" t="s">
        <v>1362</v>
      </c>
      <c r="H181" s="374"/>
      <c r="I181" s="374" t="s">
        <v>1716</v>
      </c>
      <c r="J181" s="1297"/>
      <c r="K181" s="374" t="s">
        <v>1716</v>
      </c>
      <c r="L181" s="988" t="s">
        <v>1578</v>
      </c>
      <c r="M181" s="103"/>
      <c r="N181" s="1297"/>
      <c r="O181" s="1297"/>
      <c r="P181" s="1297"/>
      <c r="Q181" s="154" t="s">
        <v>2470</v>
      </c>
      <c r="R181" s="157" t="s">
        <v>2470</v>
      </c>
      <c r="S181" s="1297"/>
      <c r="T181" s="468" cm="1" t="str">
        <f t="array" ref="T181:T181">T180</f>
        <v>true</v>
      </c>
      <c r="U181" s="1297"/>
      <c r="V181" s="1297"/>
      <c r="W181" s="1297"/>
      <c r="X181" s="1539"/>
      <c r="Y181" s="1297"/>
      <c r="Z181" s="1529"/>
      <c r="AA181" s="1297"/>
      <c r="AB181" s="295" t="s">
        <v>2186</v>
      </c>
      <c r="AC181" s="775" t="s">
        <v>2187</v>
      </c>
      <c r="AD181" s="773" t="s">
        <v>936</v>
      </c>
      <c r="AE181" s="6524">
        <v>29328.43</v>
      </c>
      <c r="AF181" s="6524">
        <v>2210.17</v>
      </c>
      <c r="AG181" s="6524">
        <f>AG180*_xlfn.SUMIFS(INDEX(Сценарии!$AE$25:$BF$136,,MATCH(AG$8,Сценарии!$AE$8:$BF$8,0)),Сценарии!$F$25:$F$136,$F181,Сценарии!$G$25:$G$136,"СВФОТ")/100</f>
        <v>0</v>
      </c>
      <c r="AH181" s="951">
        <f>AG181-AF181</f>
        <v>-2210.17</v>
      </c>
      <c r="AI181" s="6490">
        <f>AI180*_xlfn.SUMIFS(INDEX(Сценарии!$AE$25:$BF$136,,MATCH(AG$8,Сценарии!$AE$8:$BF$8,0)),Сценарии!$F$25:$F$136,$F181,Сценарии!$G$25:$G$136,"СВФОТ")/100</f>
        <v>0</v>
      </c>
      <c r="AJ181" s="6522"/>
      <c r="AK181" s="950"/>
      <c r="AL181" s="950"/>
      <c r="AM181" s="950"/>
      <c r="AN181" s="950"/>
      <c r="AO181" s="950"/>
      <c r="AP181" s="950"/>
      <c r="AQ181" s="950"/>
      <c r="AR181" s="950"/>
      <c r="AS181" s="950"/>
      <c r="AT181" s="950"/>
      <c r="AU181" s="950"/>
      <c r="AV181" s="950"/>
      <c r="AW181" s="950"/>
      <c r="AX181" s="950"/>
      <c r="AY181" s="950"/>
      <c r="AZ181" s="950"/>
      <c r="BA181" s="950"/>
      <c r="BB181" s="950"/>
      <c r="BC181" s="950"/>
      <c r="BD181" s="950"/>
      <c r="BE181" s="950"/>
      <c r="BF181" s="950"/>
      <c r="BG181" s="950"/>
      <c r="BH181" s="950"/>
      <c r="BI181" s="950"/>
      <c r="BJ181" s="950"/>
      <c r="BK181" s="950"/>
      <c r="BL181" s="950"/>
      <c r="BM181" s="950"/>
      <c r="BN181" s="6521"/>
      <c r="BO181" s="6525" t="str">
        <f>IF(_xlfn.IFERROR(INDEX(ФОТ!$K$26:$L$127,MATCH($F181&amp;"2komm",ФОТ!$K$26:$K$127,0),2),"")=0,"",_xlfn.IFERROR(INDEX(ФОТ!$K$26:$L$127,MATCH($F181&amp;"2komm",ФОТ!$K$26:$K$127,0),2),""))</f>
        <v/>
      </c>
      <c r="BP181" s="6521"/>
      <c r="BQ181" s="1297"/>
      <c r="BR181" s="1297"/>
      <c r="BS181" s="1070" t="s">
        <v>2011</v>
      </c>
      <c r="BT181" s="1072"/>
      <c r="BU181" s="1072"/>
      <c r="BV181" s="987"/>
      <c r="BW181" s="987"/>
    </row>
    <row s="1656" customFormat="1" customHeight="1" ht="31.30208333333333">
      <c r="A182" s="1297"/>
      <c r="B182" s="986"/>
      <c r="C182" s="1297"/>
      <c r="D182" s="1297"/>
      <c r="E182" s="709">
        <v>15</v>
      </c>
      <c r="F182" s="50" cm="1" t="str">
        <f t="array" ref="F182:F182">OFFSET(E182,-1,1)</f>
        <v>1</v>
      </c>
      <c r="G182" s="1297"/>
      <c r="H182" s="374"/>
      <c r="I182" s="374" t="s">
        <v>1727</v>
      </c>
      <c r="J182" s="1297"/>
      <c r="K182" s="374" t="s">
        <v>1727</v>
      </c>
      <c r="L182" s="988" t="s">
        <v>2013</v>
      </c>
      <c r="M182" s="103"/>
      <c r="N182" s="1297"/>
      <c r="O182" s="1297"/>
      <c r="P182" s="1297"/>
      <c r="Q182" s="154" t="s">
        <v>2470</v>
      </c>
      <c r="R182" s="157" t="s">
        <v>2470</v>
      </c>
      <c r="S182" s="1297"/>
      <c r="T182" s="468" cm="1" t="str">
        <f t="array" ref="T182:T182">T181</f>
        <v>true</v>
      </c>
      <c r="U182" s="1297"/>
      <c r="V182" s="1297"/>
      <c r="W182" s="1297"/>
      <c r="X182" s="1539"/>
      <c r="Y182" s="1297"/>
      <c r="Z182" s="1529"/>
      <c r="AA182" s="1297"/>
      <c r="AB182" s="295" t="s">
        <v>1987</v>
      </c>
      <c r="AC182" s="772" t="s">
        <v>2188</v>
      </c>
      <c r="AD182" s="773" t="s">
        <v>936</v>
      </c>
      <c r="AE182" s="6524">
        <v>263.45</v>
      </c>
      <c r="AF182" s="6524">
        <v>190.5</v>
      </c>
      <c r="AG182" s="6524"/>
      <c r="AH182" s="951">
        <f>AG182-AF182</f>
        <v>-190.5</v>
      </c>
      <c r="AI182" s="6490"/>
      <c r="AJ182" s="6522"/>
      <c r="AK182" s="950"/>
      <c r="AL182" s="950"/>
      <c r="AM182" s="950"/>
      <c r="AN182" s="950"/>
      <c r="AO182" s="950"/>
      <c r="AP182" s="950"/>
      <c r="AQ182" s="950"/>
      <c r="AR182" s="950"/>
      <c r="AS182" s="950"/>
      <c r="AT182" s="950"/>
      <c r="AU182" s="950"/>
      <c r="AV182" s="950"/>
      <c r="AW182" s="950"/>
      <c r="AX182" s="950"/>
      <c r="AY182" s="950"/>
      <c r="AZ182" s="950"/>
      <c r="BA182" s="950"/>
      <c r="BB182" s="950"/>
      <c r="BC182" s="950"/>
      <c r="BD182" s="950"/>
      <c r="BE182" s="950"/>
      <c r="BF182" s="950"/>
      <c r="BG182" s="950"/>
      <c r="BH182" s="950"/>
      <c r="BI182" s="950"/>
      <c r="BJ182" s="950"/>
      <c r="BK182" s="950"/>
      <c r="BL182" s="950"/>
      <c r="BM182" s="950"/>
      <c r="BN182" s="6521"/>
      <c r="BO182" s="6521"/>
      <c r="BP182" s="6521"/>
      <c r="BQ182" s="1297"/>
      <c r="BR182" s="1297"/>
      <c r="BS182" s="1071" t="s">
        <v>2016</v>
      </c>
      <c r="BT182" s="1072"/>
      <c r="BU182" s="1072"/>
      <c r="BV182" s="987"/>
      <c r="BW182" s="987"/>
    </row>
    <row s="1656" customFormat="1" customHeight="1" ht="25.46875">
      <c r="A183" s="1297"/>
      <c r="B183" s="986"/>
      <c r="C183" s="1297"/>
      <c r="D183" s="1297"/>
      <c r="E183" s="709">
        <v>15</v>
      </c>
      <c r="F183" s="50" cm="1" t="str">
        <f t="array" ref="F183:F183">OFFSET(E183,-1,1)</f>
        <v>1</v>
      </c>
      <c r="G183" s="1297"/>
      <c r="H183" s="374"/>
      <c r="I183" s="374" t="s">
        <v>1731</v>
      </c>
      <c r="J183" s="1297"/>
      <c r="K183" s="374" t="s">
        <v>1731</v>
      </c>
      <c r="L183" s="988" t="s">
        <v>2017</v>
      </c>
      <c r="M183" s="1297"/>
      <c r="N183" s="1297"/>
      <c r="O183" s="1297"/>
      <c r="P183" s="1297"/>
      <c r="Q183" s="154" t="s">
        <v>2470</v>
      </c>
      <c r="R183" s="157" t="s">
        <v>2470</v>
      </c>
      <c r="S183" s="1297"/>
      <c r="T183" s="468" cm="1" t="str">
        <f t="array" ref="T183:T183">T182</f>
        <v>true</v>
      </c>
      <c r="U183" s="1297"/>
      <c r="V183" s="1297"/>
      <c r="W183" s="1297"/>
      <c r="X183" s="1539"/>
      <c r="Y183" s="1297"/>
      <c r="Z183" s="1529"/>
      <c r="AA183" s="1297"/>
      <c r="AB183" s="295" t="s">
        <v>1989</v>
      </c>
      <c r="AC183" s="772" t="s">
        <v>2189</v>
      </c>
      <c r="AD183" s="296" t="s">
        <v>936</v>
      </c>
      <c r="AE183" s="952">
        <f>SUM(AE184:AE190)</f>
        <v>3230.95</v>
      </c>
      <c r="AF183" s="952">
        <f>SUM(AF184:AF190)</f>
        <v>1204.55</v>
      </c>
      <c r="AG183" s="952">
        <f>SUM(AG184:AG190)</f>
        <v>0</v>
      </c>
      <c r="AH183" s="951">
        <f>AG183-AF183</f>
        <v>-1204.55</v>
      </c>
      <c r="AI183" s="6493">
        <f>SUM(AI184:AI190)</f>
        <v>0</v>
      </c>
      <c r="AJ183" s="6522"/>
      <c r="AK183" s="950"/>
      <c r="AL183" s="950"/>
      <c r="AM183" s="950"/>
      <c r="AN183" s="950"/>
      <c r="AO183" s="950"/>
      <c r="AP183" s="950"/>
      <c r="AQ183" s="950"/>
      <c r="AR183" s="950"/>
      <c r="AS183" s="950"/>
      <c r="AT183" s="950"/>
      <c r="AU183" s="950"/>
      <c r="AV183" s="950"/>
      <c r="AW183" s="950"/>
      <c r="AX183" s="950"/>
      <c r="AY183" s="950"/>
      <c r="AZ183" s="950"/>
      <c r="BA183" s="950"/>
      <c r="BB183" s="950"/>
      <c r="BC183" s="950"/>
      <c r="BD183" s="950"/>
      <c r="BE183" s="950"/>
      <c r="BF183" s="950"/>
      <c r="BG183" s="950"/>
      <c r="BH183" s="950"/>
      <c r="BI183" s="950"/>
      <c r="BJ183" s="950"/>
      <c r="BK183" s="950"/>
      <c r="BL183" s="950"/>
      <c r="BM183" s="950"/>
      <c r="BN183" s="6521"/>
      <c r="BO183" s="6521"/>
      <c r="BP183" s="6521"/>
      <c r="BQ183" s="1297"/>
      <c r="BR183" s="1297"/>
      <c r="BS183" s="1071" t="s">
        <v>2190</v>
      </c>
      <c r="BT183" s="1072"/>
      <c r="BU183" s="1072"/>
      <c r="BV183" s="987"/>
      <c r="BW183" s="987"/>
    </row>
    <row s="1656" customFormat="1" customHeight="1" ht="29.635416666666668">
      <c r="A184" s="1297"/>
      <c r="B184" s="986"/>
      <c r="C184" s="1297"/>
      <c r="D184" s="1297"/>
      <c r="E184" s="709">
        <v>15</v>
      </c>
      <c r="F184" s="50" cm="1" t="str">
        <f t="array" ref="F184:F184">OFFSET(E184,-1,1)</f>
        <v>1</v>
      </c>
      <c r="G184" s="1297"/>
      <c r="H184" s="374"/>
      <c r="I184" s="374" t="s">
        <v>2191</v>
      </c>
      <c r="J184" s="1297"/>
      <c r="K184" s="374" t="s">
        <v>2191</v>
      </c>
      <c r="L184" s="988" t="s">
        <v>2017</v>
      </c>
      <c r="M184" s="103" t="s">
        <v>2025</v>
      </c>
      <c r="N184" s="1297"/>
      <c r="O184" s="1297"/>
      <c r="P184" s="1297"/>
      <c r="Q184" s="154" t="s">
        <v>2470</v>
      </c>
      <c r="R184" s="157" t="s">
        <v>2470</v>
      </c>
      <c r="S184" s="1297"/>
      <c r="T184" s="468" cm="1" t="str">
        <f t="array" ref="T184:T184">T183</f>
        <v>true</v>
      </c>
      <c r="U184" s="1297"/>
      <c r="V184" s="1297"/>
      <c r="W184" s="1297"/>
      <c r="X184" s="1539"/>
      <c r="Y184" s="1297"/>
      <c r="Z184" s="1529"/>
      <c r="AA184" s="1297"/>
      <c r="AB184" s="295" t="s">
        <v>2192</v>
      </c>
      <c r="AC184" s="775" t="s">
        <v>2193</v>
      </c>
      <c r="AD184" s="296" t="s">
        <v>936</v>
      </c>
      <c r="AE184" s="6524"/>
      <c r="AF184" s="6524"/>
      <c r="AG184" s="6524"/>
      <c r="AH184" s="951">
        <f>AG184-AF184</f>
        <v>0</v>
      </c>
      <c r="AI184" s="6490"/>
      <c r="AJ184" s="6522"/>
      <c r="AK184" s="950"/>
      <c r="AL184" s="950"/>
      <c r="AM184" s="950"/>
      <c r="AN184" s="950"/>
      <c r="AO184" s="950"/>
      <c r="AP184" s="950"/>
      <c r="AQ184" s="950"/>
      <c r="AR184" s="950"/>
      <c r="AS184" s="950"/>
      <c r="AT184" s="950"/>
      <c r="AU184" s="950"/>
      <c r="AV184" s="950"/>
      <c r="AW184" s="950"/>
      <c r="AX184" s="950"/>
      <c r="AY184" s="950"/>
      <c r="AZ184" s="950"/>
      <c r="BA184" s="950"/>
      <c r="BB184" s="950"/>
      <c r="BC184" s="950"/>
      <c r="BD184" s="950"/>
      <c r="BE184" s="950"/>
      <c r="BF184" s="950"/>
      <c r="BG184" s="950"/>
      <c r="BH184" s="950"/>
      <c r="BI184" s="950"/>
      <c r="BJ184" s="950"/>
      <c r="BK184" s="950"/>
      <c r="BL184" s="950"/>
      <c r="BM184" s="950"/>
      <c r="BN184" s="6521"/>
      <c r="BO184" s="6521"/>
      <c r="BP184" s="6521"/>
      <c r="BQ184" s="1297"/>
      <c r="BR184" s="1297"/>
      <c r="BS184" s="1070" t="s">
        <v>2028</v>
      </c>
      <c r="BT184" s="1072"/>
      <c r="BU184" s="1072"/>
      <c r="BV184" s="987"/>
      <c r="BW184" s="987"/>
    </row>
    <row s="1656" customFormat="1" customHeight="1" ht="38.671875">
      <c r="A185" s="1297"/>
      <c r="B185" s="986"/>
      <c r="C185" s="1297"/>
      <c r="D185" s="1297"/>
      <c r="E185" s="709">
        <v>22.5</v>
      </c>
      <c r="F185" s="50" cm="1" t="str">
        <f t="array" ref="F185:F185">OFFSET(E185,-1,1)</f>
        <v>1</v>
      </c>
      <c r="G185" s="1297"/>
      <c r="H185" s="374"/>
      <c r="I185" s="374" t="s">
        <v>2194</v>
      </c>
      <c r="J185" s="1297"/>
      <c r="K185" s="374" t="s">
        <v>2194</v>
      </c>
      <c r="L185" s="988" t="s">
        <v>2017</v>
      </c>
      <c r="M185" s="103" t="s">
        <v>2021</v>
      </c>
      <c r="N185" s="1297"/>
      <c r="O185" s="1297"/>
      <c r="P185" s="1297"/>
      <c r="Q185" s="154" t="s">
        <v>2470</v>
      </c>
      <c r="R185" s="157" t="s">
        <v>2470</v>
      </c>
      <c r="S185" s="1297"/>
      <c r="T185" s="468" cm="1" t="str">
        <f t="array" ref="T185:T185">T184</f>
        <v>true</v>
      </c>
      <c r="U185" s="1297"/>
      <c r="V185" s="1297"/>
      <c r="W185" s="1297"/>
      <c r="X185" s="1539"/>
      <c r="Y185" s="1297"/>
      <c r="Z185" s="1529"/>
      <c r="AA185" s="1297"/>
      <c r="AB185" s="295" t="s">
        <v>2195</v>
      </c>
      <c r="AC185" s="775" t="s">
        <v>2196</v>
      </c>
      <c r="AD185" s="296" t="s">
        <v>936</v>
      </c>
      <c r="AE185" s="6524"/>
      <c r="AF185" s="6524"/>
      <c r="AG185" s="6524"/>
      <c r="AH185" s="951">
        <f>AG185-AF185</f>
        <v>0</v>
      </c>
      <c r="AI185" s="6490"/>
      <c r="AJ185" s="6522"/>
      <c r="AK185" s="950"/>
      <c r="AL185" s="950"/>
      <c r="AM185" s="950"/>
      <c r="AN185" s="950"/>
      <c r="AO185" s="950"/>
      <c r="AP185" s="950"/>
      <c r="AQ185" s="950"/>
      <c r="AR185" s="950"/>
      <c r="AS185" s="950"/>
      <c r="AT185" s="950"/>
      <c r="AU185" s="950"/>
      <c r="AV185" s="950"/>
      <c r="AW185" s="950"/>
      <c r="AX185" s="950"/>
      <c r="AY185" s="950"/>
      <c r="AZ185" s="950"/>
      <c r="BA185" s="950"/>
      <c r="BB185" s="950"/>
      <c r="BC185" s="950"/>
      <c r="BD185" s="950"/>
      <c r="BE185" s="950"/>
      <c r="BF185" s="950"/>
      <c r="BG185" s="950"/>
      <c r="BH185" s="950"/>
      <c r="BI185" s="950"/>
      <c r="BJ185" s="950"/>
      <c r="BK185" s="950"/>
      <c r="BL185" s="950"/>
      <c r="BM185" s="950"/>
      <c r="BN185" s="6521"/>
      <c r="BO185" s="6521"/>
      <c r="BP185" s="6521"/>
      <c r="BQ185" s="1297"/>
      <c r="BR185" s="1297"/>
      <c r="BS185" s="1072" t="s">
        <v>2197</v>
      </c>
      <c r="BT185" s="1072"/>
      <c r="BU185" s="1072"/>
      <c r="BV185" s="987"/>
      <c r="BW185" s="987"/>
    </row>
    <row s="1656" customFormat="1" customHeight="1" ht="59.635416666666664">
      <c r="A186" s="1297"/>
      <c r="B186" s="986"/>
      <c r="C186" s="1297"/>
      <c r="D186" s="1297"/>
      <c r="E186" s="709">
        <v>22.5</v>
      </c>
      <c r="F186" s="50" cm="1" t="str">
        <f t="array" ref="F186:F186">OFFSET(E186,-1,1)</f>
        <v>1</v>
      </c>
      <c r="G186" s="1297"/>
      <c r="H186" s="374"/>
      <c r="I186" s="374" t="s">
        <v>2198</v>
      </c>
      <c r="J186" s="1297"/>
      <c r="K186" s="374" t="s">
        <v>2198</v>
      </c>
      <c r="L186" s="1297"/>
      <c r="M186" s="1297"/>
      <c r="N186" s="1297"/>
      <c r="O186" s="1297"/>
      <c r="P186" s="1297"/>
      <c r="Q186" s="154" t="s">
        <v>2470</v>
      </c>
      <c r="R186" s="157" t="s">
        <v>2470</v>
      </c>
      <c r="S186" s="1297"/>
      <c r="T186" s="468" cm="1" t="str">
        <f t="array" ref="T186:T186">T185</f>
        <v>true</v>
      </c>
      <c r="U186" s="1297"/>
      <c r="V186" s="1297"/>
      <c r="W186" s="1297"/>
      <c r="X186" s="1539"/>
      <c r="Y186" s="1297"/>
      <c r="Z186" s="1529"/>
      <c r="AA186" s="1297"/>
      <c r="AB186" s="295" t="s">
        <v>2199</v>
      </c>
      <c r="AC186" s="776" t="s">
        <v>2200</v>
      </c>
      <c r="AD186" s="296" t="s">
        <v>936</v>
      </c>
      <c r="AE186" s="6524"/>
      <c r="AF186" s="6524"/>
      <c r="AG186" s="6524"/>
      <c r="AH186" s="951">
        <f>AG186-AF186</f>
        <v>0</v>
      </c>
      <c r="AI186" s="6490"/>
      <c r="AJ186" s="6522"/>
      <c r="AK186" s="950"/>
      <c r="AL186" s="950"/>
      <c r="AM186" s="950"/>
      <c r="AN186" s="950"/>
      <c r="AO186" s="950"/>
      <c r="AP186" s="950"/>
      <c r="AQ186" s="950"/>
      <c r="AR186" s="950"/>
      <c r="AS186" s="950"/>
      <c r="AT186" s="950"/>
      <c r="AU186" s="950"/>
      <c r="AV186" s="950"/>
      <c r="AW186" s="950"/>
      <c r="AX186" s="950"/>
      <c r="AY186" s="950"/>
      <c r="AZ186" s="950"/>
      <c r="BA186" s="950"/>
      <c r="BB186" s="950"/>
      <c r="BC186" s="950"/>
      <c r="BD186" s="950"/>
      <c r="BE186" s="950"/>
      <c r="BF186" s="950"/>
      <c r="BG186" s="950"/>
      <c r="BH186" s="950"/>
      <c r="BI186" s="950"/>
      <c r="BJ186" s="950"/>
      <c r="BK186" s="950"/>
      <c r="BL186" s="950"/>
      <c r="BM186" s="950"/>
      <c r="BN186" s="6521"/>
      <c r="BO186" s="6521"/>
      <c r="BP186" s="6521"/>
      <c r="BQ186" s="1297"/>
      <c r="BR186" s="1297"/>
      <c r="BS186" s="1072" t="s">
        <v>2201</v>
      </c>
      <c r="BT186" s="1072"/>
      <c r="BU186" s="1072"/>
      <c r="BV186" s="987"/>
      <c r="BW186" s="987"/>
    </row>
    <row s="1656" customFormat="1" customHeight="1" ht="37.135416666666664">
      <c r="A187" s="1297"/>
      <c r="B187" s="986"/>
      <c r="C187" s="1297"/>
      <c r="D187" s="1297"/>
      <c r="E187" s="709">
        <v>22.5</v>
      </c>
      <c r="F187" s="50" cm="1" t="str">
        <f t="array" ref="F187:F187">OFFSET(E187,-1,1)</f>
        <v>1</v>
      </c>
      <c r="G187" s="1297"/>
      <c r="H187" s="374"/>
      <c r="I187" s="374" t="s">
        <v>2202</v>
      </c>
      <c r="J187" s="1297"/>
      <c r="K187" s="374" t="s">
        <v>2202</v>
      </c>
      <c r="L187" s="988"/>
      <c r="M187" s="1297"/>
      <c r="N187" s="1297"/>
      <c r="O187" s="1297"/>
      <c r="P187" s="1297"/>
      <c r="Q187" s="154" t="s">
        <v>2470</v>
      </c>
      <c r="R187" s="157" t="s">
        <v>2470</v>
      </c>
      <c r="S187" s="1297"/>
      <c r="T187" s="468" cm="1" t="str">
        <f t="array" ref="T187:T187">T186</f>
        <v>true</v>
      </c>
      <c r="U187" s="1297"/>
      <c r="V187" s="1297"/>
      <c r="W187" s="1297"/>
      <c r="X187" s="1539"/>
      <c r="Y187" s="1297"/>
      <c r="Z187" s="1529"/>
      <c r="AA187" s="1297"/>
      <c r="AB187" s="295" t="s">
        <v>2203</v>
      </c>
      <c r="AC187" s="776" t="s">
        <v>2204</v>
      </c>
      <c r="AD187" s="296" t="s">
        <v>936</v>
      </c>
      <c r="AE187" s="6524"/>
      <c r="AF187" s="6524"/>
      <c r="AG187" s="6524"/>
      <c r="AH187" s="951">
        <f>AG187-AF187</f>
        <v>0</v>
      </c>
      <c r="AI187" s="6490"/>
      <c r="AJ187" s="6522"/>
      <c r="AK187" s="950"/>
      <c r="AL187" s="950"/>
      <c r="AM187" s="950"/>
      <c r="AN187" s="950"/>
      <c r="AO187" s="950"/>
      <c r="AP187" s="950"/>
      <c r="AQ187" s="950"/>
      <c r="AR187" s="950"/>
      <c r="AS187" s="950"/>
      <c r="AT187" s="950"/>
      <c r="AU187" s="950"/>
      <c r="AV187" s="950"/>
      <c r="AW187" s="950"/>
      <c r="AX187" s="950"/>
      <c r="AY187" s="950"/>
      <c r="AZ187" s="950"/>
      <c r="BA187" s="950"/>
      <c r="BB187" s="950"/>
      <c r="BC187" s="950"/>
      <c r="BD187" s="950"/>
      <c r="BE187" s="950"/>
      <c r="BF187" s="950"/>
      <c r="BG187" s="950"/>
      <c r="BH187" s="950"/>
      <c r="BI187" s="950"/>
      <c r="BJ187" s="950"/>
      <c r="BK187" s="950"/>
      <c r="BL187" s="950"/>
      <c r="BM187" s="950"/>
      <c r="BN187" s="6521"/>
      <c r="BO187" s="6521"/>
      <c r="BP187" s="6521"/>
      <c r="BQ187" s="1297"/>
      <c r="BR187" s="1297"/>
      <c r="BS187" s="1072" t="s">
        <v>2205</v>
      </c>
      <c r="BT187" s="1072"/>
      <c r="BU187" s="1072"/>
      <c r="BV187" s="987"/>
      <c r="BW187" s="987"/>
    </row>
    <row s="1656" customFormat="1" customHeight="1" ht="50.46875">
      <c r="A188" s="1297"/>
      <c r="B188" s="986"/>
      <c r="C188" s="1297"/>
      <c r="D188" s="1297"/>
      <c r="E188" s="709">
        <v>45</v>
      </c>
      <c r="F188" s="50" cm="1" t="str">
        <f t="array" ref="F188:F188">OFFSET(E188,-1,1)</f>
        <v>1</v>
      </c>
      <c r="G188" s="1297"/>
      <c r="H188" s="374"/>
      <c r="I188" s="374" t="s">
        <v>2206</v>
      </c>
      <c r="J188" s="1297"/>
      <c r="K188" s="374" t="s">
        <v>2206</v>
      </c>
      <c r="L188" s="988" t="s">
        <v>2017</v>
      </c>
      <c r="M188" s="103" t="s">
        <v>2029</v>
      </c>
      <c r="N188" s="1297"/>
      <c r="O188" s="1297"/>
      <c r="P188" s="1297"/>
      <c r="Q188" s="154" t="s">
        <v>2470</v>
      </c>
      <c r="R188" s="157" t="s">
        <v>2470</v>
      </c>
      <c r="S188" s="1297"/>
      <c r="T188" s="468" cm="1" t="str">
        <f t="array" ref="T188:T188">T187</f>
        <v>true</v>
      </c>
      <c r="U188" s="1297"/>
      <c r="V188" s="1297"/>
      <c r="W188" s="1297"/>
      <c r="X188" s="1539"/>
      <c r="Y188" s="1297"/>
      <c r="Z188" s="1529"/>
      <c r="AA188" s="1297"/>
      <c r="AB188" s="295" t="s">
        <v>2207</v>
      </c>
      <c r="AC188" s="775" t="s">
        <v>2208</v>
      </c>
      <c r="AD188" s="296" t="s">
        <v>936</v>
      </c>
      <c r="AE188" s="6524"/>
      <c r="AF188" s="6524"/>
      <c r="AG188" s="6524"/>
      <c r="AH188" s="951">
        <f>AG188-AF188</f>
        <v>0</v>
      </c>
      <c r="AI188" s="6490"/>
      <c r="AJ188" s="6522"/>
      <c r="AK188" s="950"/>
      <c r="AL188" s="950"/>
      <c r="AM188" s="950"/>
      <c r="AN188" s="950"/>
      <c r="AO188" s="950"/>
      <c r="AP188" s="950"/>
      <c r="AQ188" s="950"/>
      <c r="AR188" s="950"/>
      <c r="AS188" s="950"/>
      <c r="AT188" s="950"/>
      <c r="AU188" s="950"/>
      <c r="AV188" s="950"/>
      <c r="AW188" s="950"/>
      <c r="AX188" s="950"/>
      <c r="AY188" s="950"/>
      <c r="AZ188" s="950"/>
      <c r="BA188" s="950"/>
      <c r="BB188" s="950"/>
      <c r="BC188" s="950"/>
      <c r="BD188" s="950"/>
      <c r="BE188" s="950"/>
      <c r="BF188" s="950"/>
      <c r="BG188" s="950"/>
      <c r="BH188" s="950"/>
      <c r="BI188" s="950"/>
      <c r="BJ188" s="950"/>
      <c r="BK188" s="950"/>
      <c r="BL188" s="950"/>
      <c r="BM188" s="950"/>
      <c r="BN188" s="6521"/>
      <c r="BO188" s="6521"/>
      <c r="BP188" s="6521"/>
      <c r="BQ188" s="1297"/>
      <c r="BR188" s="1297"/>
      <c r="BS188" s="1072" t="s">
        <v>2032</v>
      </c>
      <c r="BT188" s="1072"/>
      <c r="BU188" s="1072"/>
      <c r="BV188" s="987"/>
      <c r="BW188" s="987"/>
    </row>
    <row s="1656" customFormat="1" customHeight="1" ht="32.135416666666664">
      <c r="A189" s="1297"/>
      <c r="B189" s="986"/>
      <c r="C189" s="1297"/>
      <c r="D189" s="1297"/>
      <c r="E189" s="709">
        <v>15</v>
      </c>
      <c r="F189" s="50" cm="1" t="str">
        <f t="array" ref="F189:F189">OFFSET(E189,-1,1)</f>
        <v>1</v>
      </c>
      <c r="G189" s="1297"/>
      <c r="H189" s="374"/>
      <c r="I189" s="374" t="s">
        <v>2209</v>
      </c>
      <c r="J189" s="1297"/>
      <c r="K189" s="374" t="s">
        <v>2209</v>
      </c>
      <c r="L189" s="988" t="s">
        <v>2017</v>
      </c>
      <c r="M189" s="103" t="s">
        <v>2033</v>
      </c>
      <c r="N189" s="1297"/>
      <c r="O189" s="1297"/>
      <c r="P189" s="1297"/>
      <c r="Q189" s="154" t="s">
        <v>2470</v>
      </c>
      <c r="R189" s="157" t="s">
        <v>2470</v>
      </c>
      <c r="S189" s="1297"/>
      <c r="T189" s="468" cm="1" t="str">
        <f t="array" ref="T189:T189">T188</f>
        <v>true</v>
      </c>
      <c r="U189" s="1297"/>
      <c r="V189" s="1297"/>
      <c r="W189" s="1297"/>
      <c r="X189" s="1539"/>
      <c r="Y189" s="1297"/>
      <c r="Z189" s="1529"/>
      <c r="AA189" s="1297"/>
      <c r="AB189" s="295" t="s">
        <v>2210</v>
      </c>
      <c r="AC189" s="775" t="s">
        <v>2035</v>
      </c>
      <c r="AD189" s="296" t="s">
        <v>936</v>
      </c>
      <c r="AE189" s="6524">
        <v>3230.95</v>
      </c>
      <c r="AF189" s="6524">
        <v>1204.55</v>
      </c>
      <c r="AG189" s="6524"/>
      <c r="AH189" s="951">
        <f>AG189-AF189</f>
        <v>-1204.55</v>
      </c>
      <c r="AI189" s="6490"/>
      <c r="AJ189" s="6522"/>
      <c r="AK189" s="950"/>
      <c r="AL189" s="950"/>
      <c r="AM189" s="950"/>
      <c r="AN189" s="950"/>
      <c r="AO189" s="950"/>
      <c r="AP189" s="950"/>
      <c r="AQ189" s="950"/>
      <c r="AR189" s="950"/>
      <c r="AS189" s="950"/>
      <c r="AT189" s="950"/>
      <c r="AU189" s="950"/>
      <c r="AV189" s="950"/>
      <c r="AW189" s="950"/>
      <c r="AX189" s="950"/>
      <c r="AY189" s="950"/>
      <c r="AZ189" s="950"/>
      <c r="BA189" s="950"/>
      <c r="BB189" s="950"/>
      <c r="BC189" s="950"/>
      <c r="BD189" s="950"/>
      <c r="BE189" s="950"/>
      <c r="BF189" s="950"/>
      <c r="BG189" s="950"/>
      <c r="BH189" s="950"/>
      <c r="BI189" s="950"/>
      <c r="BJ189" s="950"/>
      <c r="BK189" s="950"/>
      <c r="BL189" s="950"/>
      <c r="BM189" s="950"/>
      <c r="BN189" s="6521"/>
      <c r="BO189" s="6521"/>
      <c r="BP189" s="6521"/>
      <c r="BQ189" s="1297"/>
      <c r="BR189" s="1297"/>
      <c r="BS189" s="1072" t="s">
        <v>2036</v>
      </c>
      <c r="BT189" s="1072"/>
      <c r="BU189" s="1072"/>
      <c r="BV189" s="987"/>
      <c r="BW189" s="987"/>
    </row>
    <row s="1656" customFormat="1" customHeight="1" ht="32.96875">
      <c r="A190" s="1297"/>
      <c r="B190" s="986"/>
      <c r="C190" s="1297"/>
      <c r="D190" s="1297"/>
      <c r="E190" s="709">
        <v>15</v>
      </c>
      <c r="F190" s="50" cm="1" t="str">
        <f t="array" ref="F190:F190">OFFSET(E190,-1,1)</f>
        <v>1</v>
      </c>
      <c r="G190" s="1297"/>
      <c r="H190" s="374"/>
      <c r="I190" s="374" t="s">
        <v>2211</v>
      </c>
      <c r="J190" s="1297"/>
      <c r="K190" s="374" t="s">
        <v>2211</v>
      </c>
      <c r="L190" s="988"/>
      <c r="M190" s="103"/>
      <c r="N190" s="1297"/>
      <c r="O190" s="1297"/>
      <c r="P190" s="1297"/>
      <c r="Q190" s="154" t="s">
        <v>2470</v>
      </c>
      <c r="R190" s="157" t="s">
        <v>2470</v>
      </c>
      <c r="S190" s="1297"/>
      <c r="T190" s="468" cm="1" t="str">
        <f t="array" ref="T190:T190">T189</f>
        <v>true</v>
      </c>
      <c r="U190" s="1297"/>
      <c r="V190" s="1297"/>
      <c r="W190" s="1297"/>
      <c r="X190" s="1539"/>
      <c r="Y190" s="1297"/>
      <c r="Z190" s="1529"/>
      <c r="AA190" s="1297"/>
      <c r="AB190" s="295" t="s">
        <v>2212</v>
      </c>
      <c r="AC190" s="775" t="s">
        <v>2213</v>
      </c>
      <c r="AD190" s="296" t="s">
        <v>936</v>
      </c>
      <c r="AE190" s="6524"/>
      <c r="AF190" s="6524"/>
      <c r="AG190" s="6524"/>
      <c r="AH190" s="951">
        <f>AG190-AF190</f>
        <v>0</v>
      </c>
      <c r="AI190" s="6490"/>
      <c r="AJ190" s="1378"/>
      <c r="AK190" s="950"/>
      <c r="AL190" s="950"/>
      <c r="AM190" s="950"/>
      <c r="AN190" s="950"/>
      <c r="AO190" s="950"/>
      <c r="AP190" s="950"/>
      <c r="AQ190" s="950"/>
      <c r="AR190" s="950"/>
      <c r="AS190" s="950"/>
      <c r="AT190" s="950"/>
      <c r="AU190" s="950"/>
      <c r="AV190" s="950"/>
      <c r="AW190" s="950"/>
      <c r="AX190" s="950"/>
      <c r="AY190" s="950"/>
      <c r="AZ190" s="950"/>
      <c r="BA190" s="950"/>
      <c r="BB190" s="950"/>
      <c r="BC190" s="950"/>
      <c r="BD190" s="950"/>
      <c r="BE190" s="950"/>
      <c r="BF190" s="950"/>
      <c r="BG190" s="950"/>
      <c r="BH190" s="950"/>
      <c r="BI190" s="950"/>
      <c r="BJ190" s="950"/>
      <c r="BK190" s="950"/>
      <c r="BL190" s="950"/>
      <c r="BM190" s="950"/>
      <c r="BN190" s="6521"/>
      <c r="BO190" s="6521"/>
      <c r="BP190" s="6521"/>
      <c r="BQ190" s="1297"/>
      <c r="BR190" s="1297"/>
      <c r="BS190" s="1072" t="s">
        <v>2020</v>
      </c>
      <c r="BT190" s="1072"/>
      <c r="BU190" s="1072"/>
      <c r="BV190" s="987"/>
      <c r="BW190" s="987"/>
    </row>
    <row s="6527" customFormat="1" customHeight="1" ht="24.635416666666668">
      <c r="A191" s="706"/>
      <c r="B191" s="437"/>
      <c r="C191" s="706"/>
      <c r="D191" s="706"/>
      <c r="E191" s="713">
        <v>21</v>
      </c>
      <c r="F191" s="50" cm="1" t="str">
        <f t="array" ref="F191:F191">OFFSET(E191,-1,1)</f>
        <v>1</v>
      </c>
      <c r="G191" s="706"/>
      <c r="H191" s="374"/>
      <c r="I191" s="374" t="s">
        <v>573</v>
      </c>
      <c r="J191" s="706"/>
      <c r="K191" s="374" t="s">
        <v>573</v>
      </c>
      <c r="L191" s="993"/>
      <c r="M191" s="105"/>
      <c r="N191" s="706"/>
      <c r="O191" s="706"/>
      <c r="P191" s="706"/>
      <c r="Q191" s="154" t="s">
        <v>2470</v>
      </c>
      <c r="R191" s="157" t="s">
        <v>2470</v>
      </c>
      <c r="S191" s="706"/>
      <c r="T191" s="468" cm="1" t="str">
        <f t="array" ref="T191:T191">T190</f>
        <v>true</v>
      </c>
      <c r="U191" s="706"/>
      <c r="V191" s="706"/>
      <c r="W191" s="706"/>
      <c r="X191" s="1539"/>
      <c r="Y191" s="706"/>
      <c r="Z191" s="1529"/>
      <c r="AA191" s="706"/>
      <c r="AB191" s="214" t="s">
        <v>1073</v>
      </c>
      <c r="AC191" s="357" t="s">
        <v>2039</v>
      </c>
      <c r="AD191" s="207" t="s">
        <v>936</v>
      </c>
      <c r="AE191" s="777">
        <f>AE192+AE193+AE194</f>
        <v>138049.69</v>
      </c>
      <c r="AF191" s="777">
        <f>AF192+AF193+AF194</f>
        <v>214591.34</v>
      </c>
      <c r="AG191" s="777">
        <f>AG192+AG193+AG194</f>
        <v>0</v>
      </c>
      <c r="AH191" s="768">
        <f>AG191-AF191</f>
        <v>-214591.34</v>
      </c>
      <c r="AI191" s="6497">
        <f>AI192+AI193+AI194</f>
        <v>0</v>
      </c>
      <c r="AJ191" s="6522"/>
      <c r="AK191" s="771"/>
      <c r="AL191" s="771"/>
      <c r="AM191" s="771"/>
      <c r="AN191" s="771"/>
      <c r="AO191" s="771"/>
      <c r="AP191" s="771"/>
      <c r="AQ191" s="771"/>
      <c r="AR191" s="771"/>
      <c r="AS191" s="771"/>
      <c r="AT191" s="771"/>
      <c r="AU191" s="771"/>
      <c r="AV191" s="771"/>
      <c r="AW191" s="771"/>
      <c r="AX191" s="771"/>
      <c r="AY191" s="771"/>
      <c r="AZ191" s="771"/>
      <c r="BA191" s="771"/>
      <c r="BB191" s="771"/>
      <c r="BC191" s="771"/>
      <c r="BD191" s="771"/>
      <c r="BE191" s="771"/>
      <c r="BF191" s="771"/>
      <c r="BG191" s="771"/>
      <c r="BH191" s="771"/>
      <c r="BI191" s="771"/>
      <c r="BJ191" s="771"/>
      <c r="BK191" s="771"/>
      <c r="BL191" s="771"/>
      <c r="BM191" s="771"/>
      <c r="BN191" s="6523"/>
      <c r="BO191" s="6523"/>
      <c r="BP191" s="6523"/>
      <c r="BQ191" s="706"/>
      <c r="BR191" s="706"/>
      <c r="BS191" s="1071" t="s">
        <v>2040</v>
      </c>
      <c r="BT191" s="1078"/>
      <c r="BU191" s="1078"/>
      <c r="BV191" s="713"/>
      <c r="BW191" s="713"/>
    </row>
    <row s="1656" customFormat="1" customHeight="1" ht="67.13541666666667">
      <c r="A192" s="1297"/>
      <c r="B192" s="986"/>
      <c r="C192" s="1297"/>
      <c r="D192" s="1297"/>
      <c r="E192" s="709">
        <v>22.5</v>
      </c>
      <c r="F192" s="50" cm="1" t="str">
        <f t="array" ref="F192:F192">OFFSET(E192,-1,1)</f>
        <v>1</v>
      </c>
      <c r="G192" s="1297"/>
      <c r="H192" s="374"/>
      <c r="I192" s="374" t="s">
        <v>1563</v>
      </c>
      <c r="J192" s="1297"/>
      <c r="K192" s="374" t="s">
        <v>1563</v>
      </c>
      <c r="L192" s="988"/>
      <c r="M192" s="103"/>
      <c r="N192" s="1297"/>
      <c r="O192" s="1297"/>
      <c r="P192" s="1297"/>
      <c r="Q192" s="154" t="s">
        <v>2470</v>
      </c>
      <c r="R192" s="157" t="s">
        <v>2470</v>
      </c>
      <c r="S192" s="1297"/>
      <c r="T192" s="468" cm="1" t="str">
        <f t="array" ref="T192:T192">T191</f>
        <v>true</v>
      </c>
      <c r="U192" s="1297"/>
      <c r="V192" s="1297"/>
      <c r="W192" s="1297"/>
      <c r="X192" s="1539"/>
      <c r="Y192" s="1297"/>
      <c r="Z192" s="1529"/>
      <c r="AA192" s="1297"/>
      <c r="AB192" s="295" t="s">
        <v>1564</v>
      </c>
      <c r="AC192" s="772" t="s">
        <v>2214</v>
      </c>
      <c r="AD192" s="296" t="s">
        <v>936</v>
      </c>
      <c r="AE192" s="6524">
        <v>68835.39</v>
      </c>
      <c r="AF192" s="6524">
        <v>143265.87</v>
      </c>
      <c r="AG192" s="6524"/>
      <c r="AH192" s="951">
        <f>AG192-AF192</f>
        <v>-143265.87</v>
      </c>
      <c r="AI192" s="6490"/>
      <c r="AJ192" s="6522"/>
      <c r="AK192" s="950"/>
      <c r="AL192" s="950"/>
      <c r="AM192" s="950"/>
      <c r="AN192" s="950"/>
      <c r="AO192" s="950"/>
      <c r="AP192" s="950"/>
      <c r="AQ192" s="950"/>
      <c r="AR192" s="950"/>
      <c r="AS192" s="950"/>
      <c r="AT192" s="950"/>
      <c r="AU192" s="950"/>
      <c r="AV192" s="950"/>
      <c r="AW192" s="950"/>
      <c r="AX192" s="950"/>
      <c r="AY192" s="950"/>
      <c r="AZ192" s="950"/>
      <c r="BA192" s="950"/>
      <c r="BB192" s="950"/>
      <c r="BC192" s="950"/>
      <c r="BD192" s="950"/>
      <c r="BE192" s="950"/>
      <c r="BF192" s="950"/>
      <c r="BG192" s="950"/>
      <c r="BH192" s="950"/>
      <c r="BI192" s="950"/>
      <c r="BJ192" s="950"/>
      <c r="BK192" s="950"/>
      <c r="BL192" s="950"/>
      <c r="BM192" s="950"/>
      <c r="BN192" s="6521"/>
      <c r="BO192" s="6521"/>
      <c r="BP192" s="6521"/>
      <c r="BQ192" s="1297"/>
      <c r="BR192" s="1297"/>
      <c r="BS192" s="1070" t="s">
        <v>2042</v>
      </c>
      <c r="BT192" s="1072"/>
      <c r="BU192" s="1072"/>
      <c r="BV192" s="987"/>
      <c r="BW192" s="987"/>
    </row>
    <row s="1656" customFormat="1" customHeight="1" ht="67.96875">
      <c r="A193" s="1297"/>
      <c r="B193" s="986"/>
      <c r="C193" s="1297"/>
      <c r="D193" s="1297"/>
      <c r="E193" s="709">
        <v>22.5</v>
      </c>
      <c r="F193" s="50" cm="1" t="str">
        <f t="array" ref="F193:F193">OFFSET(E193,-1,1)</f>
        <v>1</v>
      </c>
      <c r="G193" s="1297"/>
      <c r="H193" s="374"/>
      <c r="I193" s="374" t="s">
        <v>1567</v>
      </c>
      <c r="J193" s="1297"/>
      <c r="K193" s="374" t="s">
        <v>1567</v>
      </c>
      <c r="L193" s="988"/>
      <c r="M193" s="103"/>
      <c r="N193" s="1297"/>
      <c r="O193" s="1297"/>
      <c r="P193" s="1297"/>
      <c r="Q193" s="154" t="s">
        <v>2470</v>
      </c>
      <c r="R193" s="157" t="s">
        <v>2470</v>
      </c>
      <c r="S193" s="1297"/>
      <c r="T193" s="468" cm="1" t="str">
        <f t="array" ref="T193:T193">T192</f>
        <v>true</v>
      </c>
      <c r="U193" s="1297"/>
      <c r="V193" s="1297"/>
      <c r="W193" s="1297"/>
      <c r="X193" s="1539"/>
      <c r="Y193" s="1297"/>
      <c r="Z193" s="1529"/>
      <c r="AA193" s="1297"/>
      <c r="AB193" s="295" t="s">
        <v>1568</v>
      </c>
      <c r="AC193" s="772" t="s">
        <v>2215</v>
      </c>
      <c r="AD193" s="296" t="s">
        <v>936</v>
      </c>
      <c r="AE193" s="6524">
        <v>69214.3</v>
      </c>
      <c r="AF193" s="6524">
        <v>71325.47</v>
      </c>
      <c r="AG193" s="6524"/>
      <c r="AH193" s="951">
        <f>AG193-AF193</f>
        <v>-71325.47</v>
      </c>
      <c r="AI193" s="6490"/>
      <c r="AJ193" s="6522"/>
      <c r="AK193" s="950"/>
      <c r="AL193" s="950"/>
      <c r="AM193" s="950"/>
      <c r="AN193" s="950"/>
      <c r="AO193" s="950"/>
      <c r="AP193" s="950"/>
      <c r="AQ193" s="950"/>
      <c r="AR193" s="950"/>
      <c r="AS193" s="950"/>
      <c r="AT193" s="950"/>
      <c r="AU193" s="950"/>
      <c r="AV193" s="950"/>
      <c r="AW193" s="950"/>
      <c r="AX193" s="950"/>
      <c r="AY193" s="950"/>
      <c r="AZ193" s="950"/>
      <c r="BA193" s="950"/>
      <c r="BB193" s="950"/>
      <c r="BC193" s="950"/>
      <c r="BD193" s="950"/>
      <c r="BE193" s="950"/>
      <c r="BF193" s="950"/>
      <c r="BG193" s="950"/>
      <c r="BH193" s="950"/>
      <c r="BI193" s="950"/>
      <c r="BJ193" s="950"/>
      <c r="BK193" s="950"/>
      <c r="BL193" s="950"/>
      <c r="BM193" s="950"/>
      <c r="BN193" s="6521"/>
      <c r="BO193" s="6521"/>
      <c r="BP193" s="6521"/>
      <c r="BQ193" s="1297"/>
      <c r="BR193" s="1297"/>
      <c r="BS193" s="1072" t="s">
        <v>2216</v>
      </c>
      <c r="BT193" s="1072"/>
      <c r="BU193" s="1072"/>
      <c r="BV193" s="987"/>
      <c r="BW193" s="987"/>
    </row>
    <row s="1656" customFormat="1" customHeight="1" ht="49.635416666666664">
      <c r="A194" s="1297"/>
      <c r="B194" s="986"/>
      <c r="C194" s="1297"/>
      <c r="D194" s="1297"/>
      <c r="E194" s="709">
        <v>22.5</v>
      </c>
      <c r="F194" s="50" cm="1" t="str">
        <f t="array" ref="F194:F194">OFFSET(E194,-1,1)</f>
        <v>1</v>
      </c>
      <c r="G194" s="1297"/>
      <c r="H194" s="374"/>
      <c r="I194" s="374" t="s">
        <v>1571</v>
      </c>
      <c r="J194" s="1297"/>
      <c r="K194" s="374" t="s">
        <v>1571</v>
      </c>
      <c r="L194" s="988" t="s">
        <v>587</v>
      </c>
      <c r="M194" s="103"/>
      <c r="N194" s="1297"/>
      <c r="O194" s="1297"/>
      <c r="P194" s="1297"/>
      <c r="Q194" s="154" t="s">
        <v>2470</v>
      </c>
      <c r="R194" s="157" t="s">
        <v>2470</v>
      </c>
      <c r="S194" s="1297"/>
      <c r="T194" s="468" cm="1" t="str">
        <f t="array" ref="T194:T194">T193</f>
        <v>true</v>
      </c>
      <c r="U194" s="1297"/>
      <c r="V194" s="1297"/>
      <c r="W194" s="1297"/>
      <c r="X194" s="1539"/>
      <c r="Y194" s="1297"/>
      <c r="Z194" s="1529"/>
      <c r="AA194" s="1297"/>
      <c r="AB194" s="295" t="s">
        <v>1572</v>
      </c>
      <c r="AC194" s="772" t="s">
        <v>2217</v>
      </c>
      <c r="AD194" s="296" t="s">
        <v>936</v>
      </c>
      <c r="AE194" s="6524">
        <f>AE195+AE196</f>
        <v>0</v>
      </c>
      <c r="AF194" s="6524">
        <f>AF195+AF196</f>
        <v>0</v>
      </c>
      <c r="AG194" s="6524">
        <f>AG195+AG196</f>
        <v>0</v>
      </c>
      <c r="AH194" s="951">
        <f>AG194-AF194</f>
        <v>0</v>
      </c>
      <c r="AI194" s="6490"/>
      <c r="AJ194" s="6522"/>
      <c r="AK194" s="950"/>
      <c r="AL194" s="950"/>
      <c r="AM194" s="950"/>
      <c r="AN194" s="950"/>
      <c r="AO194" s="950"/>
      <c r="AP194" s="950"/>
      <c r="AQ194" s="950"/>
      <c r="AR194" s="950"/>
      <c r="AS194" s="950"/>
      <c r="AT194" s="950"/>
      <c r="AU194" s="950"/>
      <c r="AV194" s="950"/>
      <c r="AW194" s="950"/>
      <c r="AX194" s="950"/>
      <c r="AY194" s="950"/>
      <c r="AZ194" s="950"/>
      <c r="BA194" s="950"/>
      <c r="BB194" s="950"/>
      <c r="BC194" s="950"/>
      <c r="BD194" s="950"/>
      <c r="BE194" s="950"/>
      <c r="BF194" s="950"/>
      <c r="BG194" s="950"/>
      <c r="BH194" s="950"/>
      <c r="BI194" s="950"/>
      <c r="BJ194" s="950"/>
      <c r="BK194" s="950"/>
      <c r="BL194" s="950"/>
      <c r="BM194" s="950"/>
      <c r="BN194" s="6521"/>
      <c r="BO194" s="6521"/>
      <c r="BP194" s="6521"/>
      <c r="BQ194" s="1297"/>
      <c r="BR194" s="1297"/>
      <c r="BS194" s="1070" t="s">
        <v>2044</v>
      </c>
      <c r="BT194" s="1072"/>
      <c r="BU194" s="1072"/>
      <c r="BV194" s="987"/>
      <c r="BW194" s="987"/>
    </row>
    <row s="1656" customFormat="1" customHeight="1" ht="14.25">
      <c r="A195" s="1297"/>
      <c r="B195" s="986"/>
      <c r="C195" s="1297"/>
      <c r="D195" s="1297"/>
      <c r="E195" s="709">
        <v>15</v>
      </c>
      <c r="F195" s="50" cm="1" t="str">
        <f t="array" ref="F195:F195">OFFSET(E195,-1,1)</f>
        <v>1</v>
      </c>
      <c r="G195" s="49" t="s">
        <v>1365</v>
      </c>
      <c r="H195" s="374"/>
      <c r="I195" s="374" t="s">
        <v>2218</v>
      </c>
      <c r="J195" s="1297"/>
      <c r="K195" s="374" t="s">
        <v>2218</v>
      </c>
      <c r="L195" s="988" t="s">
        <v>2045</v>
      </c>
      <c r="M195" s="103"/>
      <c r="N195" s="1297"/>
      <c r="O195" s="1297"/>
      <c r="P195" s="1297"/>
      <c r="Q195" s="154" t="s">
        <v>2470</v>
      </c>
      <c r="R195" s="157" t="s">
        <v>2470</v>
      </c>
      <c r="S195" s="1297"/>
      <c r="T195" s="468" cm="1" t="str">
        <f t="array" ref="T195:T195">T194</f>
        <v>true</v>
      </c>
      <c r="U195" s="1297"/>
      <c r="V195" s="1297"/>
      <c r="W195" s="1297"/>
      <c r="X195" s="1539"/>
      <c r="Y195" s="1297"/>
      <c r="Z195" s="1529"/>
      <c r="AA195" s="1297"/>
      <c r="AB195" s="295" t="s">
        <v>2219</v>
      </c>
      <c r="AC195" s="775" t="s">
        <v>2046</v>
      </c>
      <c r="AD195" s="296" t="s">
        <v>936</v>
      </c>
      <c r="AE195" s="6524"/>
      <c r="AF195" s="6524"/>
      <c r="AG195" s="6524"/>
      <c r="AH195" s="951">
        <f>AG195-AF195</f>
        <v>0</v>
      </c>
      <c r="AI195" s="6490"/>
      <c r="AJ195" s="6522"/>
      <c r="AK195" s="950"/>
      <c r="AL195" s="950"/>
      <c r="AM195" s="950"/>
      <c r="AN195" s="950"/>
      <c r="AO195" s="950"/>
      <c r="AP195" s="950"/>
      <c r="AQ195" s="950"/>
      <c r="AR195" s="950"/>
      <c r="AS195" s="950"/>
      <c r="AT195" s="950"/>
      <c r="AU195" s="950"/>
      <c r="AV195" s="950"/>
      <c r="AW195" s="950"/>
      <c r="AX195" s="950"/>
      <c r="AY195" s="950"/>
      <c r="AZ195" s="950"/>
      <c r="BA195" s="950"/>
      <c r="BB195" s="950"/>
      <c r="BC195" s="950"/>
      <c r="BD195" s="950"/>
      <c r="BE195" s="950"/>
      <c r="BF195" s="950"/>
      <c r="BG195" s="950"/>
      <c r="BH195" s="950"/>
      <c r="BI195" s="950"/>
      <c r="BJ195" s="950"/>
      <c r="BK195" s="950"/>
      <c r="BL195" s="950"/>
      <c r="BM195" s="950"/>
      <c r="BN195" s="6521"/>
      <c r="BO195" s="6525" t="str">
        <f>IF(_xlfn.IFERROR(INDEX(ФОТ!$K$26:$L$127,MATCH($F195&amp;"3komm",ФОТ!$K$26:$K$127,0),2),"")=0,"",_xlfn.IFERROR(INDEX(ФОТ!$K$26:$L$127,MATCH($F195&amp;"3komm",ФОТ!$K$26:$K$127,0),2),""))</f>
        <v/>
      </c>
      <c r="BP195" s="6521"/>
      <c r="BQ195" s="1297"/>
      <c r="BR195" s="1297"/>
      <c r="BS195" s="1070" t="s">
        <v>2047</v>
      </c>
      <c r="BT195" s="1072"/>
      <c r="BU195" s="1072"/>
      <c r="BV195" s="987"/>
      <c r="BW195" s="987"/>
    </row>
    <row s="1656" customFormat="1" customHeight="1" ht="21.75">
      <c r="A196" s="1297"/>
      <c r="B196" s="986"/>
      <c r="C196" s="1297"/>
      <c r="D196" s="1297"/>
      <c r="E196" s="709">
        <v>22.5</v>
      </c>
      <c r="F196" s="50" cm="1" t="str">
        <f t="array" ref="F196:F196">OFFSET(E196,-1,1)</f>
        <v>1</v>
      </c>
      <c r="G196" s="49" t="s">
        <v>1370</v>
      </c>
      <c r="H196" s="374"/>
      <c r="I196" s="374" t="s">
        <v>2220</v>
      </c>
      <c r="J196" s="1297"/>
      <c r="K196" s="374" t="s">
        <v>2220</v>
      </c>
      <c r="L196" s="988" t="s">
        <v>2048</v>
      </c>
      <c r="M196" s="103"/>
      <c r="N196" s="1297"/>
      <c r="O196" s="1297"/>
      <c r="P196" s="1297"/>
      <c r="Q196" s="154" t="s">
        <v>2470</v>
      </c>
      <c r="R196" s="157" t="s">
        <v>2470</v>
      </c>
      <c r="S196" s="1297"/>
      <c r="T196" s="468" cm="1" t="str">
        <f t="array" ref="T196:T196">T195</f>
        <v>true</v>
      </c>
      <c r="U196" s="1297"/>
      <c r="V196" s="1297"/>
      <c r="W196" s="1297"/>
      <c r="X196" s="1539"/>
      <c r="Y196" s="1297"/>
      <c r="Z196" s="1529"/>
      <c r="AA196" s="1297"/>
      <c r="AB196" s="295" t="s">
        <v>2221</v>
      </c>
      <c r="AC196" s="775" t="s">
        <v>2222</v>
      </c>
      <c r="AD196" s="296" t="s">
        <v>936</v>
      </c>
      <c r="AE196" s="6524">
        <f>AE195*_xlfn.SUMIFS(INDEX(Сценарии!$AE$25:$BF$136,,MATCH(AE$8,Сценарии!$AE$8:$BF$8,0)),Сценарии!$F$25:$F$136,$F196,Сценарии!$G$25:$G$136,"СВФОТ")/100</f>
        <v>0</v>
      </c>
      <c r="AF196" s="6524">
        <f>AF195*_xlfn.SUMIFS(INDEX(Сценарии!$AE$25:$BF$136,,MATCH(AF$8,Сценарии!$AE$8:$BF$8,0)),Сценарии!$F$25:$F$136,$F196,Сценарии!$G$25:$G$136,"СВФОТ")/100</f>
        <v>0</v>
      </c>
      <c r="AG196" s="6524">
        <f>AG195*_xlfn.SUMIFS(INDEX(Сценарии!$AE$25:$BF$136,,MATCH(AG$8,Сценарии!$AE$8:$BF$8,0)),Сценарии!$F$25:$F$136,$F196,Сценарии!$G$25:$G$136,"СВФОТ")/100</f>
        <v>0</v>
      </c>
      <c r="AH196" s="951">
        <f>AG196-AF196</f>
        <v>0</v>
      </c>
      <c r="AI196" s="6490">
        <f>AI195*_xlfn.SUMIFS(INDEX(Сценарии!$AE$25:$BF$136,,MATCH(AG$8,Сценарии!$AE$8:$BF$8,0)),Сценарии!$F$25:$F$136,$F196,Сценарии!$G$25:$G$136,"СВФОТ")/100</f>
        <v>0</v>
      </c>
      <c r="AJ196" s="6522"/>
      <c r="AK196" s="950"/>
      <c r="AL196" s="950"/>
      <c r="AM196" s="950"/>
      <c r="AN196" s="950"/>
      <c r="AO196" s="950"/>
      <c r="AP196" s="950"/>
      <c r="AQ196" s="950"/>
      <c r="AR196" s="950"/>
      <c r="AS196" s="950"/>
      <c r="AT196" s="950"/>
      <c r="AU196" s="950"/>
      <c r="AV196" s="950"/>
      <c r="AW196" s="950"/>
      <c r="AX196" s="950"/>
      <c r="AY196" s="950"/>
      <c r="AZ196" s="950"/>
      <c r="BA196" s="950"/>
      <c r="BB196" s="950"/>
      <c r="BC196" s="950"/>
      <c r="BD196" s="950"/>
      <c r="BE196" s="950"/>
      <c r="BF196" s="950"/>
      <c r="BG196" s="950"/>
      <c r="BH196" s="950"/>
      <c r="BI196" s="950"/>
      <c r="BJ196" s="950"/>
      <c r="BK196" s="950"/>
      <c r="BL196" s="950"/>
      <c r="BM196" s="950"/>
      <c r="BN196" s="6521"/>
      <c r="BO196" s="6525" t="str">
        <f>IF(_xlfn.IFERROR(INDEX(ФОТ!$K$26:$L$127,MATCH($F196&amp;"4komm",ФОТ!$K$26:$K$127,0),2),"")=0,"",_xlfn.IFERROR(INDEX(ФОТ!$K$26:$L$127,MATCH($F196&amp;"4komm",ФОТ!$K$26:$K$127,0),2),""))</f>
        <v/>
      </c>
      <c r="BP196" s="6521"/>
      <c r="BQ196" s="1297"/>
      <c r="BR196" s="1297"/>
      <c r="BS196" s="1070" t="s">
        <v>2050</v>
      </c>
      <c r="BT196" s="1072"/>
      <c r="BU196" s="1072"/>
      <c r="BV196" s="987"/>
      <c r="BW196" s="987"/>
    </row>
    <row s="6528" customFormat="1" customHeight="1" ht="29.635416666666668">
      <c r="A197" s="706"/>
      <c r="B197" s="437"/>
      <c r="C197" s="706"/>
      <c r="D197" s="706"/>
      <c r="E197" s="713">
        <v>21</v>
      </c>
      <c r="F197" s="50" cm="1" t="str">
        <f t="array" ref="F197:F197">OFFSET(E197,-1,1)</f>
        <v>1</v>
      </c>
      <c r="G197" s="706"/>
      <c r="H197" s="374"/>
      <c r="I197" s="374" t="s">
        <v>577</v>
      </c>
      <c r="J197" s="706"/>
      <c r="K197" s="374" t="s">
        <v>577</v>
      </c>
      <c r="L197" s="993" t="s">
        <v>346</v>
      </c>
      <c r="M197" s="105"/>
      <c r="N197" s="706"/>
      <c r="O197" s="706"/>
      <c r="P197" s="706"/>
      <c r="Q197" s="154" t="s">
        <v>2470</v>
      </c>
      <c r="R197" s="157" t="s">
        <v>2470</v>
      </c>
      <c r="S197" s="706"/>
      <c r="T197" s="468" cm="1" t="str">
        <f t="array" ref="T197:T197">T196</f>
        <v>true</v>
      </c>
      <c r="U197" s="706"/>
      <c r="V197" s="706"/>
      <c r="W197" s="706"/>
      <c r="X197" s="1539"/>
      <c r="Y197" s="706"/>
      <c r="Z197" s="1529"/>
      <c r="AA197" s="706"/>
      <c r="AB197" s="214" t="s">
        <v>1076</v>
      </c>
      <c r="AC197" s="357" t="s">
        <v>2223</v>
      </c>
      <c r="AD197" s="207" t="s">
        <v>936</v>
      </c>
      <c r="AE197" s="777">
        <f>AE198+AE206+AE209+AE210+AE211+AE212+AE213</f>
        <v>21418.32</v>
      </c>
      <c r="AF197" s="777">
        <f>AF198+AF206+AF209+AF210+AF211+AF212+AF213</f>
        <v>50118.38</v>
      </c>
      <c r="AG197" s="777">
        <f>AG198+AG206+AG209+AG210+AG211+AG212+AG213</f>
        <v>0</v>
      </c>
      <c r="AH197" s="768">
        <f>AG197-AF197</f>
        <v>-50118.38</v>
      </c>
      <c r="AI197" s="6497">
        <f>AI198+AI206+AI209+AI210+AI211+AI212+AI213</f>
        <v>0</v>
      </c>
      <c r="AJ197" s="6522"/>
      <c r="AK197" s="771"/>
      <c r="AL197" s="771"/>
      <c r="AM197" s="771"/>
      <c r="AN197" s="771"/>
      <c r="AO197" s="771"/>
      <c r="AP197" s="771"/>
      <c r="AQ197" s="771"/>
      <c r="AR197" s="771"/>
      <c r="AS197" s="771"/>
      <c r="AT197" s="771"/>
      <c r="AU197" s="771"/>
      <c r="AV197" s="771"/>
      <c r="AW197" s="771"/>
      <c r="AX197" s="771"/>
      <c r="AY197" s="771"/>
      <c r="AZ197" s="771"/>
      <c r="BA197" s="771"/>
      <c r="BB197" s="771"/>
      <c r="BC197" s="771"/>
      <c r="BD197" s="771"/>
      <c r="BE197" s="771"/>
      <c r="BF197" s="771"/>
      <c r="BG197" s="771"/>
      <c r="BH197" s="771"/>
      <c r="BI197" s="771"/>
      <c r="BJ197" s="771"/>
      <c r="BK197" s="771"/>
      <c r="BL197" s="771"/>
      <c r="BM197" s="771"/>
      <c r="BN197" s="6523"/>
      <c r="BO197" s="6523"/>
      <c r="BP197" s="6523"/>
      <c r="BQ197" s="706"/>
      <c r="BR197" s="706"/>
      <c r="BS197" s="1071" t="s">
        <v>2052</v>
      </c>
      <c r="BT197" s="1078"/>
      <c r="BU197" s="1078"/>
      <c r="BV197" s="713"/>
      <c r="BW197" s="713"/>
    </row>
    <row s="1656" customFormat="1" customHeight="1" ht="21.75">
      <c r="A198" s="1297"/>
      <c r="B198" s="986"/>
      <c r="C198" s="1297"/>
      <c r="D198" s="1297"/>
      <c r="E198" s="709">
        <v>22.5</v>
      </c>
      <c r="F198" s="50" cm="1" t="str">
        <f t="array" ref="F198:F198">OFFSET(E198,-1,1)</f>
        <v>1</v>
      </c>
      <c r="G198" s="154" t="s">
        <v>1391</v>
      </c>
      <c r="H198" s="374"/>
      <c r="I198" s="374" t="s">
        <v>1577</v>
      </c>
      <c r="J198" s="1297"/>
      <c r="K198" s="374" t="s">
        <v>1577</v>
      </c>
      <c r="L198" s="988" t="s">
        <v>1097</v>
      </c>
      <c r="M198" s="103"/>
      <c r="N198" s="1297"/>
      <c r="O198" s="1297"/>
      <c r="P198" s="1297"/>
      <c r="Q198" s="154" t="s">
        <v>2470</v>
      </c>
      <c r="R198" s="157" t="s">
        <v>2470</v>
      </c>
      <c r="S198" s="1297"/>
      <c r="T198" s="468" cm="1" t="str">
        <f t="array" ref="T198:T198">T197</f>
        <v>true</v>
      </c>
      <c r="U198" s="1297"/>
      <c r="V198" s="1297"/>
      <c r="W198" s="1297"/>
      <c r="X198" s="1539"/>
      <c r="Y198" s="1297"/>
      <c r="Z198" s="1529"/>
      <c r="AA198" s="1297"/>
      <c r="AB198" s="295" t="s">
        <v>1214</v>
      </c>
      <c r="AC198" s="772" t="s">
        <v>2224</v>
      </c>
      <c r="AD198" s="296" t="s">
        <v>936</v>
      </c>
      <c r="AE198" s="952">
        <f>SUM(AE199:AE205)</f>
        <v>675.92</v>
      </c>
      <c r="AF198" s="952">
        <f>SUM(AF199:AF205)</f>
        <v>1086.95</v>
      </c>
      <c r="AG198" s="952">
        <f>SUM(AG199:AG205)</f>
        <v>0</v>
      </c>
      <c r="AH198" s="951">
        <f>AG198-AF198</f>
        <v>-1086.95</v>
      </c>
      <c r="AI198" s="6493">
        <f>SUM(AI199:AI205)</f>
        <v>0</v>
      </c>
      <c r="AJ198" s="6522"/>
      <c r="AK198" s="950"/>
      <c r="AL198" s="950"/>
      <c r="AM198" s="950"/>
      <c r="AN198" s="950"/>
      <c r="AO198" s="950"/>
      <c r="AP198" s="950"/>
      <c r="AQ198" s="950"/>
      <c r="AR198" s="950"/>
      <c r="AS198" s="950"/>
      <c r="AT198" s="950"/>
      <c r="AU198" s="950"/>
      <c r="AV198" s="950"/>
      <c r="AW198" s="950"/>
      <c r="AX198" s="950"/>
      <c r="AY198" s="950"/>
      <c r="AZ198" s="950"/>
      <c r="BA198" s="950"/>
      <c r="BB198" s="950"/>
      <c r="BC198" s="950"/>
      <c r="BD198" s="950"/>
      <c r="BE198" s="950"/>
      <c r="BF198" s="950"/>
      <c r="BG198" s="950"/>
      <c r="BH198" s="950"/>
      <c r="BI198" s="950"/>
      <c r="BJ198" s="950"/>
      <c r="BK198" s="950"/>
      <c r="BL198" s="950"/>
      <c r="BM198" s="950"/>
      <c r="BN198" s="6521"/>
      <c r="BO198" s="6525" t="str">
        <f>IF(_xlfn.IFERROR(INDEX(Административные!$K$26:$L$103,MATCH($F198&amp;"17komm",Административные!$K$26:$K$103,0),2),"")=0,"",_xlfn.IFERROR(INDEX(Административные!$K$26:$L$103,MATCH($F198&amp;"17komm",Административные!$K$26:$K$103,0),2),""))</f>
        <v/>
      </c>
      <c r="BP198" s="6521"/>
      <c r="BQ198" s="1297"/>
      <c r="BR198" s="1297"/>
      <c r="BS198" s="1070" t="s">
        <v>1393</v>
      </c>
      <c r="BT198" s="1072"/>
      <c r="BU198" s="1072"/>
      <c r="BV198" s="987"/>
      <c r="BW198" s="987"/>
    </row>
    <row s="1656" customFormat="1" customHeight="1" ht="14.25">
      <c r="A199" s="1297"/>
      <c r="B199" s="986"/>
      <c r="C199" s="1297"/>
      <c r="D199" s="1297"/>
      <c r="E199" s="709">
        <v>15</v>
      </c>
      <c r="F199" s="50" cm="1" t="str">
        <f t="array" ref="F199:F199">OFFSET(E199,-1,1)</f>
        <v>1</v>
      </c>
      <c r="G199" s="154" t="s">
        <v>1394</v>
      </c>
      <c r="H199" s="374"/>
      <c r="I199" s="374" t="s">
        <v>2225</v>
      </c>
      <c r="J199" s="1297"/>
      <c r="K199" s="374" t="s">
        <v>2225</v>
      </c>
      <c r="L199" s="988"/>
      <c r="M199" s="103"/>
      <c r="N199" s="1297"/>
      <c r="O199" s="1297"/>
      <c r="P199" s="1297"/>
      <c r="Q199" s="154" t="s">
        <v>2470</v>
      </c>
      <c r="R199" s="157" t="s">
        <v>2470</v>
      </c>
      <c r="S199" s="1297"/>
      <c r="T199" s="468" cm="1" t="str">
        <f t="array" ref="T199:T199">T198</f>
        <v>true</v>
      </c>
      <c r="U199" s="1297"/>
      <c r="V199" s="1297"/>
      <c r="W199" s="1297"/>
      <c r="X199" s="1539"/>
      <c r="Y199" s="1297"/>
      <c r="Z199" s="1529"/>
      <c r="AA199" s="1297"/>
      <c r="AB199" s="295" t="s">
        <v>2226</v>
      </c>
      <c r="AC199" s="775" t="s">
        <v>1395</v>
      </c>
      <c r="AD199" s="296" t="s">
        <v>936</v>
      </c>
      <c r="AE199" s="6524"/>
      <c r="AF199" s="6524"/>
      <c r="AG199" s="6524"/>
      <c r="AH199" s="951">
        <f>AG199-AF199</f>
        <v>0</v>
      </c>
      <c r="AI199" s="6490"/>
      <c r="AJ199" s="6522"/>
      <c r="AK199" s="950"/>
      <c r="AL199" s="950"/>
      <c r="AM199" s="950"/>
      <c r="AN199" s="950"/>
      <c r="AO199" s="950"/>
      <c r="AP199" s="950"/>
      <c r="AQ199" s="950"/>
      <c r="AR199" s="950"/>
      <c r="AS199" s="950"/>
      <c r="AT199" s="950"/>
      <c r="AU199" s="950"/>
      <c r="AV199" s="950"/>
      <c r="AW199" s="950"/>
      <c r="AX199" s="950"/>
      <c r="AY199" s="950"/>
      <c r="AZ199" s="950"/>
      <c r="BA199" s="950"/>
      <c r="BB199" s="950"/>
      <c r="BC199" s="950"/>
      <c r="BD199" s="950"/>
      <c r="BE199" s="950"/>
      <c r="BF199" s="950"/>
      <c r="BG199" s="950"/>
      <c r="BH199" s="950"/>
      <c r="BI199" s="950"/>
      <c r="BJ199" s="950"/>
      <c r="BK199" s="950"/>
      <c r="BL199" s="950"/>
      <c r="BM199" s="950"/>
      <c r="BN199" s="6521"/>
      <c r="BO199" s="6525" t="str">
        <f>IF(_xlfn.IFERROR(INDEX(Административные!$K$26:$L$103,MATCH($F199&amp;"18komm",Административные!$K$26:$K$103,0),2),"")=0,"",_xlfn.IFERROR(INDEX(Административные!$K$26:$L$103,MATCH($F199&amp;"18komm",Административные!$K$26:$K$103,0),2),""))</f>
        <v/>
      </c>
      <c r="BP199" s="6521"/>
      <c r="BQ199" s="1297"/>
      <c r="BR199" s="1297"/>
      <c r="BS199" s="1072" t="s">
        <v>1396</v>
      </c>
      <c r="BT199" s="1072"/>
      <c r="BU199" s="1072"/>
      <c r="BV199" s="987"/>
      <c r="BW199" s="987"/>
    </row>
    <row s="1656" customFormat="1" customHeight="1" ht="14.25">
      <c r="A200" s="1297"/>
      <c r="B200" s="986"/>
      <c r="C200" s="1297"/>
      <c r="D200" s="1297"/>
      <c r="E200" s="709">
        <v>15</v>
      </c>
      <c r="F200" s="50" cm="1" t="str">
        <f t="array" ref="F200:F200">OFFSET(E200,-1,1)</f>
        <v>1</v>
      </c>
      <c r="G200" s="154" t="s">
        <v>1397</v>
      </c>
      <c r="H200" s="374"/>
      <c r="I200" s="374" t="s">
        <v>2227</v>
      </c>
      <c r="J200" s="1297"/>
      <c r="K200" s="374" t="s">
        <v>2227</v>
      </c>
      <c r="L200" s="988"/>
      <c r="M200" s="103"/>
      <c r="N200" s="1297"/>
      <c r="O200" s="1297"/>
      <c r="P200" s="1297"/>
      <c r="Q200" s="154" t="s">
        <v>2470</v>
      </c>
      <c r="R200" s="157" t="s">
        <v>2470</v>
      </c>
      <c r="S200" s="1297"/>
      <c r="T200" s="468" cm="1" t="str">
        <f t="array" ref="T200:T200">T199</f>
        <v>true</v>
      </c>
      <c r="U200" s="1297"/>
      <c r="V200" s="1297"/>
      <c r="W200" s="1297"/>
      <c r="X200" s="1539"/>
      <c r="Y200" s="1297"/>
      <c r="Z200" s="1529"/>
      <c r="AA200" s="1297"/>
      <c r="AB200" s="295" t="s">
        <v>2228</v>
      </c>
      <c r="AC200" s="775" t="s">
        <v>1398</v>
      </c>
      <c r="AD200" s="296" t="s">
        <v>936</v>
      </c>
      <c r="AE200" s="6524"/>
      <c r="AF200" s="6524"/>
      <c r="AG200" s="6524"/>
      <c r="AH200" s="951">
        <f>AG200-AF200</f>
        <v>0</v>
      </c>
      <c r="AI200" s="6490"/>
      <c r="AJ200" s="6522"/>
      <c r="AK200" s="950"/>
      <c r="AL200" s="950"/>
      <c r="AM200" s="950"/>
      <c r="AN200" s="950"/>
      <c r="AO200" s="950"/>
      <c r="AP200" s="950"/>
      <c r="AQ200" s="950"/>
      <c r="AR200" s="950"/>
      <c r="AS200" s="950"/>
      <c r="AT200" s="950"/>
      <c r="AU200" s="950"/>
      <c r="AV200" s="950"/>
      <c r="AW200" s="950"/>
      <c r="AX200" s="950"/>
      <c r="AY200" s="950"/>
      <c r="AZ200" s="950"/>
      <c r="BA200" s="950"/>
      <c r="BB200" s="950"/>
      <c r="BC200" s="950"/>
      <c r="BD200" s="950"/>
      <c r="BE200" s="950"/>
      <c r="BF200" s="950"/>
      <c r="BG200" s="950"/>
      <c r="BH200" s="950"/>
      <c r="BI200" s="950"/>
      <c r="BJ200" s="950"/>
      <c r="BK200" s="950"/>
      <c r="BL200" s="950"/>
      <c r="BM200" s="950"/>
      <c r="BN200" s="6521"/>
      <c r="BO200" s="6525" t="str">
        <f>IF(_xlfn.IFERROR(INDEX(Административные!$K$26:$L$103,MATCH($F200&amp;"11komm",Административные!$K$26:$K$103,0),2),"")=0,"",_xlfn.IFERROR(INDEX(Административные!$K$26:$L$103,MATCH($F200&amp;"11komm",Административные!$K$26:$K$103,0),2),""))</f>
        <v/>
      </c>
      <c r="BP200" s="6521"/>
      <c r="BQ200" s="1297"/>
      <c r="BR200" s="1297"/>
      <c r="BS200" s="1072" t="s">
        <v>1399</v>
      </c>
      <c r="BT200" s="1072"/>
      <c r="BU200" s="1072"/>
      <c r="BV200" s="987"/>
      <c r="BW200" s="987"/>
    </row>
    <row s="1656" customFormat="1" customHeight="1" ht="14.25">
      <c r="A201" s="1297"/>
      <c r="B201" s="986"/>
      <c r="C201" s="1297"/>
      <c r="D201" s="1297"/>
      <c r="E201" s="709">
        <v>15</v>
      </c>
      <c r="F201" s="50" cm="1" t="str">
        <f t="array" ref="F201:F201">OFFSET(E201,-1,1)</f>
        <v>1</v>
      </c>
      <c r="G201" s="154" t="s">
        <v>1400</v>
      </c>
      <c r="H201" s="374"/>
      <c r="I201" s="374" t="s">
        <v>2229</v>
      </c>
      <c r="J201" s="1297"/>
      <c r="K201" s="374" t="s">
        <v>2229</v>
      </c>
      <c r="L201" s="988"/>
      <c r="M201" s="103"/>
      <c r="N201" s="1297"/>
      <c r="O201" s="1297"/>
      <c r="P201" s="1297"/>
      <c r="Q201" s="154" t="s">
        <v>2470</v>
      </c>
      <c r="R201" s="157" t="s">
        <v>2470</v>
      </c>
      <c r="S201" s="1297"/>
      <c r="T201" s="468" cm="1" t="str">
        <f t="array" ref="T201:T201">T200</f>
        <v>true</v>
      </c>
      <c r="U201" s="1297"/>
      <c r="V201" s="1297"/>
      <c r="W201" s="1297"/>
      <c r="X201" s="1539"/>
      <c r="Y201" s="1297"/>
      <c r="Z201" s="1529"/>
      <c r="AA201" s="1297"/>
      <c r="AB201" s="295" t="s">
        <v>2230</v>
      </c>
      <c r="AC201" s="775" t="s">
        <v>1401</v>
      </c>
      <c r="AD201" s="296" t="s">
        <v>936</v>
      </c>
      <c r="AE201" s="6524"/>
      <c r="AF201" s="6524"/>
      <c r="AG201" s="6524"/>
      <c r="AH201" s="951">
        <f>AG201-AF201</f>
        <v>0</v>
      </c>
      <c r="AI201" s="6490"/>
      <c r="AJ201" s="6522"/>
      <c r="AK201" s="950"/>
      <c r="AL201" s="950"/>
      <c r="AM201" s="950"/>
      <c r="AN201" s="950"/>
      <c r="AO201" s="950"/>
      <c r="AP201" s="950"/>
      <c r="AQ201" s="950"/>
      <c r="AR201" s="950"/>
      <c r="AS201" s="950"/>
      <c r="AT201" s="950"/>
      <c r="AU201" s="950"/>
      <c r="AV201" s="950"/>
      <c r="AW201" s="950"/>
      <c r="AX201" s="950"/>
      <c r="AY201" s="950"/>
      <c r="AZ201" s="950"/>
      <c r="BA201" s="950"/>
      <c r="BB201" s="950"/>
      <c r="BC201" s="950"/>
      <c r="BD201" s="950"/>
      <c r="BE201" s="950"/>
      <c r="BF201" s="950"/>
      <c r="BG201" s="950"/>
      <c r="BH201" s="950"/>
      <c r="BI201" s="950"/>
      <c r="BJ201" s="950"/>
      <c r="BK201" s="950"/>
      <c r="BL201" s="950"/>
      <c r="BM201" s="950"/>
      <c r="BN201" s="6521"/>
      <c r="BO201" s="6525" t="str">
        <f>IF(_xlfn.IFERROR(INDEX(Административные!$K$26:$L$103,MATCH($F201&amp;"12komm",Административные!$K$26:$K$103,0),2),"")=0,"",_xlfn.IFERROR(INDEX(Административные!$K$26:$L$103,MATCH($F201&amp;"12komm",Административные!$K$26:$K$103,0),2),""))</f>
        <v/>
      </c>
      <c r="BP201" s="6521"/>
      <c r="BQ201" s="1297"/>
      <c r="BR201" s="1297"/>
      <c r="BS201" s="1072" t="s">
        <v>1402</v>
      </c>
      <c r="BT201" s="1072"/>
      <c r="BU201" s="1072"/>
      <c r="BV201" s="987"/>
      <c r="BW201" s="987"/>
    </row>
    <row s="1656" customFormat="1" customHeight="1" ht="14.25">
      <c r="A202" s="1297"/>
      <c r="B202" s="986"/>
      <c r="C202" s="1297"/>
      <c r="D202" s="1297"/>
      <c r="E202" s="709">
        <v>15</v>
      </c>
      <c r="F202" s="50" cm="1" t="str">
        <f t="array" ref="F202:F202">OFFSET(E202,-1,1)</f>
        <v>1</v>
      </c>
      <c r="G202" s="154" t="s">
        <v>1403</v>
      </c>
      <c r="H202" s="374"/>
      <c r="I202" s="374" t="s">
        <v>2231</v>
      </c>
      <c r="J202" s="1297"/>
      <c r="K202" s="374" t="s">
        <v>2231</v>
      </c>
      <c r="L202" s="988"/>
      <c r="M202" s="103"/>
      <c r="N202" s="1297"/>
      <c r="O202" s="1297"/>
      <c r="P202" s="1297"/>
      <c r="Q202" s="154" t="s">
        <v>2470</v>
      </c>
      <c r="R202" s="157" t="s">
        <v>2470</v>
      </c>
      <c r="S202" s="1297"/>
      <c r="T202" s="468" cm="1" t="str">
        <f t="array" ref="T202:T202">T201</f>
        <v>true</v>
      </c>
      <c r="U202" s="1297"/>
      <c r="V202" s="1297"/>
      <c r="W202" s="1297"/>
      <c r="X202" s="1539"/>
      <c r="Y202" s="1297"/>
      <c r="Z202" s="1529"/>
      <c r="AA202" s="1297"/>
      <c r="AB202" s="295" t="s">
        <v>2232</v>
      </c>
      <c r="AC202" s="775" t="s">
        <v>1404</v>
      </c>
      <c r="AD202" s="296" t="s">
        <v>936</v>
      </c>
      <c r="AE202" s="6524"/>
      <c r="AF202" s="6524"/>
      <c r="AG202" s="6524"/>
      <c r="AH202" s="951">
        <f>AG202-AF202</f>
        <v>0</v>
      </c>
      <c r="AI202" s="6490"/>
      <c r="AJ202" s="6522"/>
      <c r="AK202" s="950"/>
      <c r="AL202" s="950"/>
      <c r="AM202" s="950"/>
      <c r="AN202" s="950"/>
      <c r="AO202" s="950"/>
      <c r="AP202" s="950"/>
      <c r="AQ202" s="950"/>
      <c r="AR202" s="950"/>
      <c r="AS202" s="950"/>
      <c r="AT202" s="950"/>
      <c r="AU202" s="950"/>
      <c r="AV202" s="950"/>
      <c r="AW202" s="950"/>
      <c r="AX202" s="950"/>
      <c r="AY202" s="950"/>
      <c r="AZ202" s="950"/>
      <c r="BA202" s="950"/>
      <c r="BB202" s="950"/>
      <c r="BC202" s="950"/>
      <c r="BD202" s="950"/>
      <c r="BE202" s="950"/>
      <c r="BF202" s="950"/>
      <c r="BG202" s="950"/>
      <c r="BH202" s="950"/>
      <c r="BI202" s="950"/>
      <c r="BJ202" s="950"/>
      <c r="BK202" s="950"/>
      <c r="BL202" s="950"/>
      <c r="BM202" s="950"/>
      <c r="BN202" s="6521"/>
      <c r="BO202" s="6525" t="str">
        <f>IF(_xlfn.IFERROR(INDEX(Административные!$K$26:$L$103,MATCH($F202&amp;"13komm",Административные!$K$26:$K$103,0),2),"")=0,"",_xlfn.IFERROR(INDEX(Административные!$K$26:$L$103,MATCH($F202&amp;"13komm",Административные!$K$26:$K$103,0),2),""))</f>
        <v/>
      </c>
      <c r="BP202" s="6521"/>
      <c r="BQ202" s="1297"/>
      <c r="BR202" s="1297"/>
      <c r="BS202" s="1072" t="s">
        <v>1405</v>
      </c>
      <c r="BT202" s="1072"/>
      <c r="BU202" s="1072"/>
      <c r="BV202" s="987"/>
      <c r="BW202" s="987"/>
    </row>
    <row s="1656" customFormat="1" customHeight="1" ht="32.96875">
      <c r="A203" s="1297"/>
      <c r="B203" s="986"/>
      <c r="C203" s="1297"/>
      <c r="D203" s="1297"/>
      <c r="E203" s="709">
        <v>15</v>
      </c>
      <c r="F203" s="50" cm="1" t="str">
        <f t="array" ref="F203:F203">OFFSET(E203,-1,1)</f>
        <v>1</v>
      </c>
      <c r="G203" s="154" t="s">
        <v>1406</v>
      </c>
      <c r="H203" s="374"/>
      <c r="I203" s="374" t="s">
        <v>2233</v>
      </c>
      <c r="J203" s="1297"/>
      <c r="K203" s="374" t="s">
        <v>2233</v>
      </c>
      <c r="L203" s="988"/>
      <c r="M203" s="103"/>
      <c r="N203" s="1297"/>
      <c r="O203" s="1297"/>
      <c r="P203" s="1297"/>
      <c r="Q203" s="154" t="s">
        <v>2470</v>
      </c>
      <c r="R203" s="157" t="s">
        <v>2470</v>
      </c>
      <c r="S203" s="1297"/>
      <c r="T203" s="468" cm="1" t="str">
        <f t="array" ref="T203:T203">T202</f>
        <v>true</v>
      </c>
      <c r="U203" s="1297"/>
      <c r="V203" s="1297"/>
      <c r="W203" s="1297"/>
      <c r="X203" s="1539"/>
      <c r="Y203" s="1297"/>
      <c r="Z203" s="1529"/>
      <c r="AA203" s="1297"/>
      <c r="AB203" s="295" t="s">
        <v>2234</v>
      </c>
      <c r="AC203" s="775" t="s">
        <v>1407</v>
      </c>
      <c r="AD203" s="296" t="s">
        <v>936</v>
      </c>
      <c r="AE203" s="6524"/>
      <c r="AF203" s="6524"/>
      <c r="AG203" s="6524"/>
      <c r="AH203" s="951">
        <f>AG203-AF203</f>
        <v>0</v>
      </c>
      <c r="AI203" s="6490"/>
      <c r="AJ203" s="6522"/>
      <c r="AK203" s="950"/>
      <c r="AL203" s="950"/>
      <c r="AM203" s="950"/>
      <c r="AN203" s="950"/>
      <c r="AO203" s="950"/>
      <c r="AP203" s="950"/>
      <c r="AQ203" s="950"/>
      <c r="AR203" s="950"/>
      <c r="AS203" s="950"/>
      <c r="AT203" s="950"/>
      <c r="AU203" s="950"/>
      <c r="AV203" s="950"/>
      <c r="AW203" s="950"/>
      <c r="AX203" s="950"/>
      <c r="AY203" s="950"/>
      <c r="AZ203" s="950"/>
      <c r="BA203" s="950"/>
      <c r="BB203" s="950"/>
      <c r="BC203" s="950"/>
      <c r="BD203" s="950"/>
      <c r="BE203" s="950"/>
      <c r="BF203" s="950"/>
      <c r="BG203" s="950"/>
      <c r="BH203" s="950"/>
      <c r="BI203" s="950"/>
      <c r="BJ203" s="950"/>
      <c r="BK203" s="950"/>
      <c r="BL203" s="950"/>
      <c r="BM203" s="950"/>
      <c r="BN203" s="6521"/>
      <c r="BO203" s="6525" t="str">
        <f>IF(_xlfn.IFERROR(INDEX(Административные!$K$26:$L$103,MATCH($F203&amp;"14komm",Административные!$K$26:$K$103,0),2),"")=0,"",_xlfn.IFERROR(INDEX(Административные!$K$26:$L$103,MATCH($F203&amp;"14komm",Административные!$K$26:$K$103,0),2),""))</f>
        <v/>
      </c>
      <c r="BP203" s="6521"/>
      <c r="BQ203" s="1297"/>
      <c r="BR203" s="1297"/>
      <c r="BS203" s="1072" t="s">
        <v>2235</v>
      </c>
      <c r="BT203" s="1072"/>
      <c r="BU203" s="1072"/>
      <c r="BV203" s="987"/>
      <c r="BW203" s="987"/>
    </row>
    <row s="1656" customFormat="1" customHeight="1" ht="14.25">
      <c r="A204" s="1297"/>
      <c r="B204" s="986"/>
      <c r="C204" s="1297"/>
      <c r="D204" s="1297"/>
      <c r="E204" s="709">
        <v>15</v>
      </c>
      <c r="F204" s="50" cm="1" t="str">
        <f t="array" ref="F204:F204">OFFSET(E204,-1,1)</f>
        <v>1</v>
      </c>
      <c r="G204" s="154" t="s">
        <v>1409</v>
      </c>
      <c r="H204" s="374"/>
      <c r="I204" s="374" t="s">
        <v>2236</v>
      </c>
      <c r="J204" s="1297"/>
      <c r="K204" s="374" t="s">
        <v>2236</v>
      </c>
      <c r="L204" s="988"/>
      <c r="M204" s="103"/>
      <c r="N204" s="1297"/>
      <c r="O204" s="1297"/>
      <c r="P204" s="1297"/>
      <c r="Q204" s="154" t="s">
        <v>2470</v>
      </c>
      <c r="R204" s="157" t="s">
        <v>2470</v>
      </c>
      <c r="S204" s="1297"/>
      <c r="T204" s="468" cm="1" t="str">
        <f t="array" ref="T204:T204">T203</f>
        <v>true</v>
      </c>
      <c r="U204" s="1297"/>
      <c r="V204" s="1297"/>
      <c r="W204" s="1297"/>
      <c r="X204" s="1539"/>
      <c r="Y204" s="1297"/>
      <c r="Z204" s="1529"/>
      <c r="AA204" s="1297"/>
      <c r="AB204" s="295" t="s">
        <v>2237</v>
      </c>
      <c r="AC204" s="775" t="s">
        <v>1412</v>
      </c>
      <c r="AD204" s="296" t="s">
        <v>936</v>
      </c>
      <c r="AE204" s="6524"/>
      <c r="AF204" s="6524"/>
      <c r="AG204" s="6524"/>
      <c r="AH204" s="951">
        <f>AG204-AF204</f>
        <v>0</v>
      </c>
      <c r="AI204" s="6490"/>
      <c r="AJ204" s="6522"/>
      <c r="AK204" s="950"/>
      <c r="AL204" s="950"/>
      <c r="AM204" s="950"/>
      <c r="AN204" s="950"/>
      <c r="AO204" s="950"/>
      <c r="AP204" s="950"/>
      <c r="AQ204" s="950"/>
      <c r="AR204" s="950"/>
      <c r="AS204" s="950"/>
      <c r="AT204" s="950"/>
      <c r="AU204" s="950"/>
      <c r="AV204" s="950"/>
      <c r="AW204" s="950"/>
      <c r="AX204" s="950"/>
      <c r="AY204" s="950"/>
      <c r="AZ204" s="950"/>
      <c r="BA204" s="950"/>
      <c r="BB204" s="950"/>
      <c r="BC204" s="950"/>
      <c r="BD204" s="950"/>
      <c r="BE204" s="950"/>
      <c r="BF204" s="950"/>
      <c r="BG204" s="950"/>
      <c r="BH204" s="950"/>
      <c r="BI204" s="950"/>
      <c r="BJ204" s="950"/>
      <c r="BK204" s="950"/>
      <c r="BL204" s="950"/>
      <c r="BM204" s="950"/>
      <c r="BN204" s="6521"/>
      <c r="BO204" s="6525" t="str">
        <f>IF(_xlfn.IFERROR(INDEX(Административные!$K$26:$L$103,MATCH($F204&amp;"15komm",Административные!$K$26:$K$103,0),2),"")=0,"",_xlfn.IFERROR(INDEX(Административные!$K$26:$L$103,MATCH($F204&amp;"15komm",Административные!$K$26:$K$103,0),2),""))</f>
        <v/>
      </c>
      <c r="BP204" s="6521"/>
      <c r="BQ204" s="1297"/>
      <c r="BR204" s="1297"/>
      <c r="BS204" s="1072" t="s">
        <v>1413</v>
      </c>
      <c r="BT204" s="1072"/>
      <c r="BU204" s="1072"/>
      <c r="BV204" s="987"/>
      <c r="BW204" s="987"/>
    </row>
    <row s="1656" customFormat="1" customHeight="1" ht="34.635416666666664">
      <c r="A205" s="1297"/>
      <c r="B205" s="986"/>
      <c r="C205" s="1297"/>
      <c r="D205" s="1297"/>
      <c r="E205" s="709">
        <v>15</v>
      </c>
      <c r="F205" s="50" cm="1" t="str">
        <f t="array" ref="F205:F205">OFFSET(E205,-1,1)</f>
        <v>1</v>
      </c>
      <c r="G205" s="154" t="s">
        <v>1414</v>
      </c>
      <c r="H205" s="374"/>
      <c r="I205" s="374" t="s">
        <v>2238</v>
      </c>
      <c r="J205" s="1297"/>
      <c r="K205" s="374" t="s">
        <v>2238</v>
      </c>
      <c r="L205" s="988"/>
      <c r="M205" s="103"/>
      <c r="N205" s="1297"/>
      <c r="O205" s="1297"/>
      <c r="P205" s="1297"/>
      <c r="Q205" s="154" t="s">
        <v>2470</v>
      </c>
      <c r="R205" s="157" t="s">
        <v>2470</v>
      </c>
      <c r="S205" s="1297"/>
      <c r="T205" s="468" cm="1" t="str">
        <f t="array" ref="T205:T205">T204</f>
        <v>true</v>
      </c>
      <c r="U205" s="1297"/>
      <c r="V205" s="1297"/>
      <c r="W205" s="1297"/>
      <c r="X205" s="1539"/>
      <c r="Y205" s="1297"/>
      <c r="Z205" s="1529"/>
      <c r="AA205" s="1297"/>
      <c r="AB205" s="295" t="s">
        <v>2239</v>
      </c>
      <c r="AC205" s="775" t="s">
        <v>1417</v>
      </c>
      <c r="AD205" s="296" t="s">
        <v>936</v>
      </c>
      <c r="AE205" s="6524">
        <v>675.92</v>
      </c>
      <c r="AF205" s="6524">
        <v>1086.95</v>
      </c>
      <c r="AG205" s="6524"/>
      <c r="AH205" s="951">
        <f>AG205-AF205</f>
        <v>-1086.95</v>
      </c>
      <c r="AI205" s="6490"/>
      <c r="AJ205" s="6522"/>
      <c r="AK205" s="950"/>
      <c r="AL205" s="950"/>
      <c r="AM205" s="950"/>
      <c r="AN205" s="950"/>
      <c r="AO205" s="950"/>
      <c r="AP205" s="950"/>
      <c r="AQ205" s="950"/>
      <c r="AR205" s="950"/>
      <c r="AS205" s="950"/>
      <c r="AT205" s="950"/>
      <c r="AU205" s="950"/>
      <c r="AV205" s="950"/>
      <c r="AW205" s="950"/>
      <c r="AX205" s="950"/>
      <c r="AY205" s="950"/>
      <c r="AZ205" s="950"/>
      <c r="BA205" s="950"/>
      <c r="BB205" s="950"/>
      <c r="BC205" s="950"/>
      <c r="BD205" s="950"/>
      <c r="BE205" s="950"/>
      <c r="BF205" s="950"/>
      <c r="BG205" s="950"/>
      <c r="BH205" s="950"/>
      <c r="BI205" s="950"/>
      <c r="BJ205" s="950"/>
      <c r="BK205" s="950"/>
      <c r="BL205" s="950"/>
      <c r="BM205" s="950"/>
      <c r="BN205" s="6521"/>
      <c r="BO205" s="6525" t="str">
        <f>IF(_xlfn.IFERROR(INDEX(Административные!$K$26:$L$103,MATCH($F205&amp;"16komm",Административные!$K$26:$K$103,0),2),"")=0,"",_xlfn.IFERROR(INDEX(Административные!$K$26:$L$103,MATCH($F205&amp;"16komm",Административные!$K$26:$K$103,0),2),""))</f>
        <v/>
      </c>
      <c r="BP205" s="6521"/>
      <c r="BQ205" s="1297"/>
      <c r="BR205" s="1297"/>
      <c r="BS205" s="1072" t="s">
        <v>2240</v>
      </c>
      <c r="BT205" s="1072"/>
      <c r="BU205" s="1072"/>
      <c r="BV205" s="987"/>
      <c r="BW205" s="987"/>
    </row>
    <row s="1656" customFormat="1" customHeight="1" ht="82.96875">
      <c r="A206" s="1297"/>
      <c r="B206" s="986"/>
      <c r="C206" s="1297"/>
      <c r="D206" s="1297"/>
      <c r="E206" s="709">
        <v>22.5</v>
      </c>
      <c r="F206" s="50" cm="1" t="str">
        <f t="array" ref="F206:F206">OFFSET(E206,-1,1)</f>
        <v>1</v>
      </c>
      <c r="G206" s="1297"/>
      <c r="H206" s="374"/>
      <c r="I206" s="374" t="s">
        <v>1578</v>
      </c>
      <c r="J206" s="1297"/>
      <c r="K206" s="374" t="s">
        <v>1578</v>
      </c>
      <c r="L206" s="988" t="s">
        <v>1099</v>
      </c>
      <c r="M206" s="103"/>
      <c r="N206" s="1297"/>
      <c r="O206" s="1297"/>
      <c r="P206" s="1297"/>
      <c r="Q206" s="154" t="s">
        <v>2470</v>
      </c>
      <c r="R206" s="157" t="s">
        <v>2470</v>
      </c>
      <c r="S206" s="1297"/>
      <c r="T206" s="468" cm="1" t="str">
        <f t="array" ref="T206:T206">T205</f>
        <v>true</v>
      </c>
      <c r="U206" s="1297"/>
      <c r="V206" s="1297"/>
      <c r="W206" s="1297"/>
      <c r="X206" s="1539"/>
      <c r="Y206" s="1297"/>
      <c r="Z206" s="1529"/>
      <c r="AA206" s="1297"/>
      <c r="AB206" s="295" t="s">
        <v>1217</v>
      </c>
      <c r="AC206" s="772" t="s">
        <v>2241</v>
      </c>
      <c r="AD206" s="296" t="s">
        <v>936</v>
      </c>
      <c r="AE206" s="952">
        <f>AE207+AE208</f>
        <v>18915.35</v>
      </c>
      <c r="AF206" s="952">
        <f>AF207+AF208</f>
        <v>35231.82</v>
      </c>
      <c r="AG206" s="952">
        <f>AG207+AG208</f>
        <v>0</v>
      </c>
      <c r="AH206" s="951">
        <f>AG206-AF206</f>
        <v>-35231.82</v>
      </c>
      <c r="AI206" s="6493">
        <f>AI207+AI208</f>
        <v>0</v>
      </c>
      <c r="AJ206" s="6522"/>
      <c r="AK206" s="950"/>
      <c r="AL206" s="950"/>
      <c r="AM206" s="950"/>
      <c r="AN206" s="950"/>
      <c r="AO206" s="950"/>
      <c r="AP206" s="950"/>
      <c r="AQ206" s="950"/>
      <c r="AR206" s="950"/>
      <c r="AS206" s="950"/>
      <c r="AT206" s="950"/>
      <c r="AU206" s="950"/>
      <c r="AV206" s="950"/>
      <c r="AW206" s="950"/>
      <c r="AX206" s="950"/>
      <c r="AY206" s="950"/>
      <c r="AZ206" s="950"/>
      <c r="BA206" s="950"/>
      <c r="BB206" s="950"/>
      <c r="BC206" s="950"/>
      <c r="BD206" s="950"/>
      <c r="BE206" s="950"/>
      <c r="BF206" s="950"/>
      <c r="BG206" s="950"/>
      <c r="BH206" s="950"/>
      <c r="BI206" s="950"/>
      <c r="BJ206" s="950"/>
      <c r="BK206" s="950"/>
      <c r="BL206" s="950"/>
      <c r="BM206" s="950"/>
      <c r="BN206" s="6521"/>
      <c r="BO206" s="6521"/>
      <c r="BP206" s="6521"/>
      <c r="BQ206" s="1297"/>
      <c r="BR206" s="1297"/>
      <c r="BS206" s="1070" t="s">
        <v>2055</v>
      </c>
      <c r="BT206" s="1072"/>
      <c r="BU206" s="1072"/>
      <c r="BV206" s="987"/>
      <c r="BW206" s="987"/>
    </row>
    <row s="1656" customFormat="1" customHeight="1" ht="44.635416666666664">
      <c r="A207" s="1297"/>
      <c r="B207" s="986"/>
      <c r="C207" s="1297"/>
      <c r="D207" s="1297"/>
      <c r="E207" s="709">
        <v>15</v>
      </c>
      <c r="F207" s="50" cm="1" t="str">
        <f t="array" ref="F207:F207">OFFSET(E207,-1,1)</f>
        <v>1</v>
      </c>
      <c r="G207" s="154" t="s">
        <v>1373</v>
      </c>
      <c r="H207" s="374"/>
      <c r="I207" s="374" t="s">
        <v>2242</v>
      </c>
      <c r="J207" s="1297"/>
      <c r="K207" s="374" t="s">
        <v>2242</v>
      </c>
      <c r="L207" s="988" t="s">
        <v>602</v>
      </c>
      <c r="M207" s="103"/>
      <c r="N207" s="1297"/>
      <c r="O207" s="1297"/>
      <c r="P207" s="1297"/>
      <c r="Q207" s="154" t="s">
        <v>2470</v>
      </c>
      <c r="R207" s="157" t="s">
        <v>2470</v>
      </c>
      <c r="S207" s="1297"/>
      <c r="T207" s="468" cm="1" t="str">
        <f t="array" ref="T207:T207">T206</f>
        <v>true</v>
      </c>
      <c r="U207" s="1297"/>
      <c r="V207" s="1297"/>
      <c r="W207" s="1297"/>
      <c r="X207" s="1539"/>
      <c r="Y207" s="1297"/>
      <c r="Z207" s="1529"/>
      <c r="AA207" s="1297"/>
      <c r="AB207" s="295" t="s">
        <v>2243</v>
      </c>
      <c r="AC207" s="775" t="s">
        <v>2056</v>
      </c>
      <c r="AD207" s="778" t="s">
        <v>936</v>
      </c>
      <c r="AE207" s="6524">
        <v>14525.04</v>
      </c>
      <c r="AF207" s="6524">
        <v>27746.37</v>
      </c>
      <c r="AG207" s="6524"/>
      <c r="AH207" s="951">
        <f>AG207-AF207</f>
        <v>-27746.37</v>
      </c>
      <c r="AI207" s="6490"/>
      <c r="AJ207" s="6522"/>
      <c r="AK207" s="950"/>
      <c r="AL207" s="950"/>
      <c r="AM207" s="950"/>
      <c r="AN207" s="950"/>
      <c r="AO207" s="950"/>
      <c r="AP207" s="950"/>
      <c r="AQ207" s="950"/>
      <c r="AR207" s="950"/>
      <c r="AS207" s="950"/>
      <c r="AT207" s="950"/>
      <c r="AU207" s="950"/>
      <c r="AV207" s="950"/>
      <c r="AW207" s="950"/>
      <c r="AX207" s="950"/>
      <c r="AY207" s="950"/>
      <c r="AZ207" s="950"/>
      <c r="BA207" s="950"/>
      <c r="BB207" s="950"/>
      <c r="BC207" s="950"/>
      <c r="BD207" s="950"/>
      <c r="BE207" s="950"/>
      <c r="BF207" s="950"/>
      <c r="BG207" s="950"/>
      <c r="BH207" s="950"/>
      <c r="BI207" s="950"/>
      <c r="BJ207" s="950"/>
      <c r="BK207" s="950"/>
      <c r="BL207" s="950"/>
      <c r="BM207" s="950"/>
      <c r="BN207" s="6521"/>
      <c r="BO207" s="6525" t="str">
        <f>IF(_xlfn.IFERROR(INDEX(ФОТ!$K$26:$L$127,MATCH($F207&amp;"5komm",ФОТ!$K$26:$K$127,0),2),"")=0,"",_xlfn.IFERROR(INDEX(ФОТ!$K$26:$L$127,MATCH($F207&amp;"5komm",ФОТ!$K$26:$K$127,0),2),""))</f>
        <v/>
      </c>
      <c r="BP207" s="6521"/>
      <c r="BQ207" s="1297"/>
      <c r="BR207" s="1297"/>
      <c r="BS207" s="1070" t="s">
        <v>1390</v>
      </c>
      <c r="BT207" s="1072"/>
      <c r="BU207" s="1072"/>
      <c r="BV207" s="987"/>
      <c r="BW207" s="987"/>
    </row>
    <row s="1656" customFormat="1" customHeight="1" ht="56.302083333333336">
      <c r="A208" s="1297"/>
      <c r="B208" s="986"/>
      <c r="C208" s="1297"/>
      <c r="D208" s="1297"/>
      <c r="E208" s="709">
        <v>22.5</v>
      </c>
      <c r="F208" s="50" cm="1" t="str">
        <f t="array" ref="F208:F208">OFFSET(E208,-1,1)</f>
        <v>1</v>
      </c>
      <c r="G208" s="154" t="s">
        <v>1378</v>
      </c>
      <c r="H208" s="374"/>
      <c r="I208" s="374" t="s">
        <v>2244</v>
      </c>
      <c r="J208" s="1297"/>
      <c r="K208" s="374" t="s">
        <v>2244</v>
      </c>
      <c r="L208" s="988" t="s">
        <v>607</v>
      </c>
      <c r="M208" s="103"/>
      <c r="N208" s="1297"/>
      <c r="O208" s="1297"/>
      <c r="P208" s="1297"/>
      <c r="Q208" s="154" t="s">
        <v>2470</v>
      </c>
      <c r="R208" s="157" t="s">
        <v>2470</v>
      </c>
      <c r="S208" s="1297"/>
      <c r="T208" s="468" cm="1" t="str">
        <f t="array" ref="T208:T208">T207</f>
        <v>true</v>
      </c>
      <c r="U208" s="1297"/>
      <c r="V208" s="1297"/>
      <c r="W208" s="1297"/>
      <c r="X208" s="1539"/>
      <c r="Y208" s="1297"/>
      <c r="Z208" s="1529"/>
      <c r="AA208" s="1297"/>
      <c r="AB208" s="295" t="s">
        <v>2245</v>
      </c>
      <c r="AC208" s="775" t="s">
        <v>2246</v>
      </c>
      <c r="AD208" s="296" t="s">
        <v>936</v>
      </c>
      <c r="AE208" s="6524">
        <v>4390.31</v>
      </c>
      <c r="AF208" s="6524">
        <v>7485.45</v>
      </c>
      <c r="AG208" s="6524">
        <f>AG207*_xlfn.SUMIFS(INDEX(Сценарии!$AE$25:$BF$136,,MATCH(AG$8,Сценарии!$AE$8:$BF$8,0)),Сценарии!$F$25:$F$136,$F208,Сценарии!$G$25:$G$136,"СВФОТ")/100</f>
        <v>0</v>
      </c>
      <c r="AH208" s="951">
        <f>AG208-AF208</f>
        <v>-7485.45</v>
      </c>
      <c r="AI208" s="6490">
        <f>AI207*_xlfn.SUMIFS(INDEX(Сценарии!$AE$25:$BF$136,,MATCH(AG$8,Сценарии!$AE$8:$BF$8,0)),Сценарии!$F$25:$F$136,$F208,Сценарии!$G$25:$G$136,"СВФОТ")/100</f>
        <v>0</v>
      </c>
      <c r="AJ208" s="6522"/>
      <c r="AK208" s="950"/>
      <c r="AL208" s="950"/>
      <c r="AM208" s="950"/>
      <c r="AN208" s="950"/>
      <c r="AO208" s="950"/>
      <c r="AP208" s="950"/>
      <c r="AQ208" s="950"/>
      <c r="AR208" s="950"/>
      <c r="AS208" s="950"/>
      <c r="AT208" s="950"/>
      <c r="AU208" s="950"/>
      <c r="AV208" s="950"/>
      <c r="AW208" s="950"/>
      <c r="AX208" s="950"/>
      <c r="AY208" s="950"/>
      <c r="AZ208" s="950"/>
      <c r="BA208" s="950"/>
      <c r="BB208" s="950"/>
      <c r="BC208" s="950"/>
      <c r="BD208" s="950"/>
      <c r="BE208" s="950"/>
      <c r="BF208" s="950"/>
      <c r="BG208" s="950"/>
      <c r="BH208" s="950"/>
      <c r="BI208" s="950"/>
      <c r="BJ208" s="950"/>
      <c r="BK208" s="950"/>
      <c r="BL208" s="950"/>
      <c r="BM208" s="950"/>
      <c r="BN208" s="6521"/>
      <c r="BO208" s="6525" t="str">
        <f>IF(_xlfn.IFERROR(INDEX(ФОТ!$K$26:$L$127,MATCH($F208&amp;"6komm",ФОТ!$K$26:$K$127,0),2),"")=0,"",_xlfn.IFERROR(INDEX(ФОТ!$K$26:$L$127,MATCH($F208&amp;"6komm",ФОТ!$K$26:$K$127,0),2),""))</f>
        <v/>
      </c>
      <c r="BP208" s="6521"/>
      <c r="BQ208" s="1297"/>
      <c r="BR208" s="1297"/>
      <c r="BS208" s="1070" t="s">
        <v>2058</v>
      </c>
      <c r="BT208" s="1072"/>
      <c r="BU208" s="1072"/>
      <c r="BV208" s="987"/>
      <c r="BW208" s="987"/>
    </row>
    <row s="1656" customFormat="1" customHeight="1" ht="63.802083333333336">
      <c r="A209" s="1297"/>
      <c r="B209" s="986"/>
      <c r="C209" s="1297"/>
      <c r="D209" s="1297"/>
      <c r="E209" s="709">
        <v>33.75</v>
      </c>
      <c r="F209" s="50" cm="1" t="str">
        <f t="array" ref="F209:F209">OFFSET(E209,-1,1)</f>
        <v>1</v>
      </c>
      <c r="G209" s="49" t="s">
        <v>1419</v>
      </c>
      <c r="H209" s="374"/>
      <c r="I209" s="374" t="s">
        <v>1581</v>
      </c>
      <c r="J209" s="1297"/>
      <c r="K209" s="374" t="s">
        <v>1581</v>
      </c>
      <c r="L209" s="988" t="s">
        <v>1101</v>
      </c>
      <c r="M209" s="103"/>
      <c r="N209" s="1297"/>
      <c r="O209" s="1297"/>
      <c r="P209" s="1297"/>
      <c r="Q209" s="154" t="s">
        <v>2470</v>
      </c>
      <c r="R209" s="157" t="s">
        <v>2470</v>
      </c>
      <c r="S209" s="1297"/>
      <c r="T209" s="468" cm="1" t="str">
        <f t="array" ref="T209:T209">T208</f>
        <v>true</v>
      </c>
      <c r="U209" s="1297"/>
      <c r="V209" s="1297"/>
      <c r="W209" s="1297"/>
      <c r="X209" s="1539"/>
      <c r="Y209" s="1297"/>
      <c r="Z209" s="1529"/>
      <c r="AA209" s="1297"/>
      <c r="AB209" s="295" t="s">
        <v>1582</v>
      </c>
      <c r="AC209" s="772" t="s">
        <v>2247</v>
      </c>
      <c r="AD209" s="296" t="s">
        <v>936</v>
      </c>
      <c r="AE209" s="6524"/>
      <c r="AF209" s="6524"/>
      <c r="AG209" s="6524"/>
      <c r="AH209" s="951">
        <f>AG209-AF209</f>
        <v>0</v>
      </c>
      <c r="AI209" s="6490"/>
      <c r="AJ209" s="6522"/>
      <c r="AK209" s="950"/>
      <c r="AL209" s="950"/>
      <c r="AM209" s="950"/>
      <c r="AN209" s="950"/>
      <c r="AO209" s="950"/>
      <c r="AP209" s="950"/>
      <c r="AQ209" s="950"/>
      <c r="AR209" s="950"/>
      <c r="AS209" s="950"/>
      <c r="AT209" s="950"/>
      <c r="AU209" s="950"/>
      <c r="AV209" s="950"/>
      <c r="AW209" s="950"/>
      <c r="AX209" s="950"/>
      <c r="AY209" s="950"/>
      <c r="AZ209" s="950"/>
      <c r="BA209" s="950"/>
      <c r="BB209" s="950"/>
      <c r="BC209" s="950"/>
      <c r="BD209" s="950"/>
      <c r="BE209" s="950"/>
      <c r="BF209" s="950"/>
      <c r="BG209" s="950"/>
      <c r="BH209" s="950"/>
      <c r="BI209" s="950"/>
      <c r="BJ209" s="950"/>
      <c r="BK209" s="950"/>
      <c r="BL209" s="950"/>
      <c r="BM209" s="950"/>
      <c r="BN209" s="6521"/>
      <c r="BO209" s="6525" t="str">
        <f>IF(_xlfn.IFERROR(INDEX(Административные!$K$26:$L$103,MATCH($F209&amp;"2komm",Административные!$K$26:$K$103,0),2),"")=0,"",_xlfn.IFERROR(INDEX(Административные!$K$26:$L$103,MATCH($F209&amp;"2komm",Административные!$K$26:$K$103,0),2),""))</f>
        <v/>
      </c>
      <c r="BP209" s="6521"/>
      <c r="BQ209" s="1297"/>
      <c r="BR209" s="1297"/>
      <c r="BS209" s="1070" t="s">
        <v>1421</v>
      </c>
      <c r="BT209" s="1072"/>
      <c r="BU209" s="1072"/>
      <c r="BV209" s="987"/>
      <c r="BW209" s="987"/>
    </row>
    <row s="1656" customFormat="1" customHeight="1" ht="14.25">
      <c r="A210" s="1297"/>
      <c r="B210" s="986"/>
      <c r="C210" s="1297"/>
      <c r="D210" s="1297"/>
      <c r="E210" s="709">
        <v>15</v>
      </c>
      <c r="F210" s="50" cm="1" t="str">
        <f t="array" ref="F210:F210">OFFSET(E210,-1,1)</f>
        <v>1</v>
      </c>
      <c r="G210" s="49" t="s">
        <v>1422</v>
      </c>
      <c r="H210" s="374"/>
      <c r="I210" s="374" t="s">
        <v>1585</v>
      </c>
      <c r="J210" s="1297"/>
      <c r="K210" s="374" t="s">
        <v>1585</v>
      </c>
      <c r="L210" s="988" t="s">
        <v>1103</v>
      </c>
      <c r="M210" s="103"/>
      <c r="N210" s="1297"/>
      <c r="O210" s="1297"/>
      <c r="P210" s="1297"/>
      <c r="Q210" s="154" t="s">
        <v>2470</v>
      </c>
      <c r="R210" s="157" t="s">
        <v>2470</v>
      </c>
      <c r="S210" s="1297"/>
      <c r="T210" s="468" cm="1" t="str">
        <f t="array" ref="T210:T210">T209</f>
        <v>true</v>
      </c>
      <c r="U210" s="1297"/>
      <c r="V210" s="1297"/>
      <c r="W210" s="1297"/>
      <c r="X210" s="1539"/>
      <c r="Y210" s="1297"/>
      <c r="Z210" s="1529"/>
      <c r="AA210" s="1297"/>
      <c r="AB210" s="295" t="s">
        <v>1586</v>
      </c>
      <c r="AC210" s="772" t="s">
        <v>2248</v>
      </c>
      <c r="AD210" s="296" t="s">
        <v>936</v>
      </c>
      <c r="AE210" s="6524"/>
      <c r="AF210" s="6524"/>
      <c r="AG210" s="6524"/>
      <c r="AH210" s="951">
        <f>AG210-AF210</f>
        <v>0</v>
      </c>
      <c r="AI210" s="6490"/>
      <c r="AJ210" s="6522"/>
      <c r="AK210" s="950"/>
      <c r="AL210" s="950"/>
      <c r="AM210" s="950"/>
      <c r="AN210" s="950"/>
      <c r="AO210" s="950"/>
      <c r="AP210" s="950"/>
      <c r="AQ210" s="950"/>
      <c r="AR210" s="950"/>
      <c r="AS210" s="950"/>
      <c r="AT210" s="950"/>
      <c r="AU210" s="950"/>
      <c r="AV210" s="950"/>
      <c r="AW210" s="950"/>
      <c r="AX210" s="950"/>
      <c r="AY210" s="950"/>
      <c r="AZ210" s="950"/>
      <c r="BA210" s="950"/>
      <c r="BB210" s="950"/>
      <c r="BC210" s="950"/>
      <c r="BD210" s="950"/>
      <c r="BE210" s="950"/>
      <c r="BF210" s="950"/>
      <c r="BG210" s="950"/>
      <c r="BH210" s="950"/>
      <c r="BI210" s="950"/>
      <c r="BJ210" s="950"/>
      <c r="BK210" s="950"/>
      <c r="BL210" s="950"/>
      <c r="BM210" s="950"/>
      <c r="BN210" s="6521"/>
      <c r="BO210" s="6525" t="str">
        <f>IF(_xlfn.IFERROR(INDEX(Административные!$K$26:$L$103,MATCH($F210&amp;"3komm",Административные!$K$26:$K$103,0),2),"")=0,"",_xlfn.IFERROR(INDEX(Административные!$K$26:$L$103,MATCH($F210&amp;"3komm",Административные!$K$26:$K$103,0),2),""))</f>
        <v/>
      </c>
      <c r="BP210" s="6521"/>
      <c r="BQ210" s="1297"/>
      <c r="BR210" s="1297"/>
      <c r="BS210" s="1070" t="s">
        <v>1424</v>
      </c>
      <c r="BT210" s="1072"/>
      <c r="BU210" s="1072"/>
      <c r="BV210" s="987"/>
      <c r="BW210" s="987"/>
    </row>
    <row s="1656" customFormat="1" customHeight="1" ht="14.25">
      <c r="A211" s="1297"/>
      <c r="B211" s="986"/>
      <c r="C211" s="1297"/>
      <c r="D211" s="1297"/>
      <c r="E211" s="709">
        <v>15</v>
      </c>
      <c r="F211" s="50" cm="1" t="str">
        <f t="array" ref="F211:F211">OFFSET(E211,-1,1)</f>
        <v>1</v>
      </c>
      <c r="G211" s="49" t="s">
        <v>1425</v>
      </c>
      <c r="H211" s="374"/>
      <c r="I211" s="374" t="s">
        <v>2249</v>
      </c>
      <c r="J211" s="1297"/>
      <c r="K211" s="374" t="s">
        <v>2249</v>
      </c>
      <c r="L211" s="988" t="s">
        <v>1106</v>
      </c>
      <c r="M211" s="103"/>
      <c r="N211" s="1297"/>
      <c r="O211" s="1297"/>
      <c r="P211" s="1297"/>
      <c r="Q211" s="154" t="s">
        <v>2470</v>
      </c>
      <c r="R211" s="157" t="s">
        <v>2470</v>
      </c>
      <c r="S211" s="1297"/>
      <c r="T211" s="468" cm="1" t="str">
        <f t="array" ref="T211:T211">T210</f>
        <v>true</v>
      </c>
      <c r="U211" s="1297"/>
      <c r="V211" s="1297"/>
      <c r="W211" s="1297"/>
      <c r="X211" s="1539"/>
      <c r="Y211" s="1297"/>
      <c r="Z211" s="1529"/>
      <c r="AA211" s="1297"/>
      <c r="AB211" s="295" t="s">
        <v>2250</v>
      </c>
      <c r="AC211" s="772" t="s">
        <v>2251</v>
      </c>
      <c r="AD211" s="296" t="s">
        <v>936</v>
      </c>
      <c r="AE211" s="6524"/>
      <c r="AF211" s="6524"/>
      <c r="AG211" s="6524"/>
      <c r="AH211" s="951">
        <f>AG211-AF211</f>
        <v>0</v>
      </c>
      <c r="AI211" s="6490"/>
      <c r="AJ211" s="6522"/>
      <c r="AK211" s="950"/>
      <c r="AL211" s="950"/>
      <c r="AM211" s="950"/>
      <c r="AN211" s="950"/>
      <c r="AO211" s="950"/>
      <c r="AP211" s="950"/>
      <c r="AQ211" s="950"/>
      <c r="AR211" s="950"/>
      <c r="AS211" s="950"/>
      <c r="AT211" s="950"/>
      <c r="AU211" s="950"/>
      <c r="AV211" s="950"/>
      <c r="AW211" s="950"/>
      <c r="AX211" s="950"/>
      <c r="AY211" s="950"/>
      <c r="AZ211" s="950"/>
      <c r="BA211" s="950"/>
      <c r="BB211" s="950"/>
      <c r="BC211" s="950"/>
      <c r="BD211" s="950"/>
      <c r="BE211" s="950"/>
      <c r="BF211" s="950"/>
      <c r="BG211" s="950"/>
      <c r="BH211" s="950"/>
      <c r="BI211" s="950"/>
      <c r="BJ211" s="950"/>
      <c r="BK211" s="950"/>
      <c r="BL211" s="950"/>
      <c r="BM211" s="950"/>
      <c r="BN211" s="6521"/>
      <c r="BO211" s="6525" t="str">
        <f>IF(_xlfn.IFERROR(INDEX(Административные!$K$26:$L$103,MATCH($F211&amp;"4komm",Административные!$K$26:$K$103,0),2),"")=0,"",_xlfn.IFERROR(INDEX(Административные!$K$26:$L$103,MATCH($F211&amp;"4komm",Административные!$K$26:$K$103,0),2),""))</f>
        <v/>
      </c>
      <c r="BP211" s="6521"/>
      <c r="BQ211" s="1297"/>
      <c r="BR211" s="1297"/>
      <c r="BS211" s="1070" t="s">
        <v>1427</v>
      </c>
      <c r="BT211" s="1072"/>
      <c r="BU211" s="1072"/>
      <c r="BV211" s="987"/>
      <c r="BW211" s="987"/>
    </row>
    <row s="1656" customFormat="1" customHeight="1" ht="27.135416666666668">
      <c r="A212" s="1297"/>
      <c r="B212" s="986"/>
      <c r="C212" s="1297"/>
      <c r="D212" s="1297"/>
      <c r="E212" s="709">
        <v>15</v>
      </c>
      <c r="F212" s="50" cm="1" t="str">
        <f t="array" ref="F212:F212">OFFSET(E212,-1,1)</f>
        <v>1</v>
      </c>
      <c r="G212" s="49" t="s">
        <v>1428</v>
      </c>
      <c r="H212" s="374"/>
      <c r="I212" s="374" t="s">
        <v>2252</v>
      </c>
      <c r="J212" s="1297"/>
      <c r="K212" s="374" t="s">
        <v>2252</v>
      </c>
      <c r="L212" s="988" t="s">
        <v>1410</v>
      </c>
      <c r="M212" s="103"/>
      <c r="N212" s="1297"/>
      <c r="O212" s="1297"/>
      <c r="P212" s="1297"/>
      <c r="Q212" s="154" t="s">
        <v>2470</v>
      </c>
      <c r="R212" s="157" t="s">
        <v>2470</v>
      </c>
      <c r="S212" s="1297"/>
      <c r="T212" s="468" cm="1" t="str">
        <f t="array" ref="T212:T212">T211</f>
        <v>true</v>
      </c>
      <c r="U212" s="1297"/>
      <c r="V212" s="1297"/>
      <c r="W212" s="1297"/>
      <c r="X212" s="1539"/>
      <c r="Y212" s="1297"/>
      <c r="Z212" s="1529"/>
      <c r="AA212" s="1297"/>
      <c r="AB212" s="295" t="s">
        <v>2253</v>
      </c>
      <c r="AC212" s="772" t="s">
        <v>2254</v>
      </c>
      <c r="AD212" s="296" t="s">
        <v>936</v>
      </c>
      <c r="AE212" s="6524"/>
      <c r="AF212" s="6524"/>
      <c r="AG212" s="6524"/>
      <c r="AH212" s="951">
        <f>AG212-AF212</f>
        <v>0</v>
      </c>
      <c r="AI212" s="6490"/>
      <c r="AJ212" s="6522"/>
      <c r="AK212" s="950"/>
      <c r="AL212" s="950"/>
      <c r="AM212" s="950"/>
      <c r="AN212" s="950"/>
      <c r="AO212" s="950"/>
      <c r="AP212" s="950"/>
      <c r="AQ212" s="950"/>
      <c r="AR212" s="950"/>
      <c r="AS212" s="950"/>
      <c r="AT212" s="950"/>
      <c r="AU212" s="950"/>
      <c r="AV212" s="950"/>
      <c r="AW212" s="950"/>
      <c r="AX212" s="950"/>
      <c r="AY212" s="950"/>
      <c r="AZ212" s="950"/>
      <c r="BA212" s="950"/>
      <c r="BB212" s="950"/>
      <c r="BC212" s="950"/>
      <c r="BD212" s="950"/>
      <c r="BE212" s="950"/>
      <c r="BF212" s="950"/>
      <c r="BG212" s="950"/>
      <c r="BH212" s="950"/>
      <c r="BI212" s="950"/>
      <c r="BJ212" s="950"/>
      <c r="BK212" s="950"/>
      <c r="BL212" s="950"/>
      <c r="BM212" s="950"/>
      <c r="BN212" s="6521"/>
      <c r="BO212" s="6525" t="str">
        <f>IF(_xlfn.IFERROR(INDEX(Административные!$K$26:$L$103,MATCH($F212&amp;"5komm",Административные!$K$26:$K$103,0),2),"")=0,"",_xlfn.IFERROR(INDEX(Административные!$K$26:$L$103,MATCH($F212&amp;"5komm",Административные!$K$26:$K$103,0),2),""))</f>
        <v/>
      </c>
      <c r="BP212" s="6521"/>
      <c r="BQ212" s="1297"/>
      <c r="BR212" s="1297"/>
      <c r="BS212" s="1070" t="s">
        <v>2060</v>
      </c>
      <c r="BT212" s="1072"/>
      <c r="BU212" s="1072"/>
      <c r="BV212" s="987"/>
      <c r="BW212" s="987"/>
    </row>
    <row s="1656" customFormat="1" customHeight="1" ht="33.802083333333336">
      <c r="A213" s="1297"/>
      <c r="B213" s="986"/>
      <c r="C213" s="1297"/>
      <c r="D213" s="1297"/>
      <c r="E213" s="709">
        <v>15</v>
      </c>
      <c r="F213" s="50" cm="1" t="str">
        <f t="array" ref="F213:F213">OFFSET(E213,-1,1)</f>
        <v>1</v>
      </c>
      <c r="G213" s="49" t="s">
        <v>1431</v>
      </c>
      <c r="H213" s="374"/>
      <c r="I213" s="374" t="s">
        <v>2255</v>
      </c>
      <c r="J213" s="1297"/>
      <c r="K213" s="374" t="s">
        <v>2255</v>
      </c>
      <c r="L213" s="988" t="s">
        <v>1415</v>
      </c>
      <c r="M213" s="103"/>
      <c r="N213" s="1297"/>
      <c r="O213" s="1297"/>
      <c r="P213" s="1297"/>
      <c r="Q213" s="154" t="s">
        <v>2470</v>
      </c>
      <c r="R213" s="157" t="s">
        <v>2470</v>
      </c>
      <c r="S213" s="1297"/>
      <c r="T213" s="468" cm="1" t="str">
        <f t="array" ref="T213:T213">T212</f>
        <v>true</v>
      </c>
      <c r="U213" s="1297"/>
      <c r="V213" s="1297"/>
      <c r="W213" s="1297"/>
      <c r="X213" s="1539"/>
      <c r="Y213" s="1297"/>
      <c r="Z213" s="1529"/>
      <c r="AA213" s="1297"/>
      <c r="AB213" s="295" t="s">
        <v>2256</v>
      </c>
      <c r="AC213" s="772" t="s">
        <v>2257</v>
      </c>
      <c r="AD213" s="296" t="s">
        <v>936</v>
      </c>
      <c r="AE213" s="951">
        <f>SUM(AE214:AE216)</f>
        <v>1827.05</v>
      </c>
      <c r="AF213" s="951">
        <f>SUM(AF214:AF216)</f>
        <v>13799.61</v>
      </c>
      <c r="AG213" s="951">
        <f>SUM(AG214:AG216)</f>
        <v>0</v>
      </c>
      <c r="AH213" s="951">
        <f>AG213-AF213</f>
        <v>-13799.61</v>
      </c>
      <c r="AI213" s="6488">
        <f>SUM(AI214:AI216)</f>
        <v>0</v>
      </c>
      <c r="AJ213" s="6522"/>
      <c r="AK213" s="950"/>
      <c r="AL213" s="950"/>
      <c r="AM213" s="950"/>
      <c r="AN213" s="950"/>
      <c r="AO213" s="950"/>
      <c r="AP213" s="950"/>
      <c r="AQ213" s="950"/>
      <c r="AR213" s="950"/>
      <c r="AS213" s="950"/>
      <c r="AT213" s="950"/>
      <c r="AU213" s="950"/>
      <c r="AV213" s="950"/>
      <c r="AW213" s="950"/>
      <c r="AX213" s="950"/>
      <c r="AY213" s="950"/>
      <c r="AZ213" s="950"/>
      <c r="BA213" s="950"/>
      <c r="BB213" s="950"/>
      <c r="BC213" s="950"/>
      <c r="BD213" s="950"/>
      <c r="BE213" s="950"/>
      <c r="BF213" s="950"/>
      <c r="BG213" s="950"/>
      <c r="BH213" s="950"/>
      <c r="BI213" s="950"/>
      <c r="BJ213" s="950"/>
      <c r="BK213" s="950"/>
      <c r="BL213" s="950"/>
      <c r="BM213" s="950"/>
      <c r="BN213" s="6521"/>
      <c r="BO213" s="6525" t="str">
        <f>IF(_xlfn.IFERROR(INDEX(Административные!$K$26:$L$103,MATCH($F213&amp;"6komm",Административные!$K$26:$K$103,0),2),"")=0,"",_xlfn.IFERROR(INDEX(Административные!$K$26:$L$103,MATCH($F213&amp;"6komm",Административные!$K$26:$K$103,0),2),""))</f>
        <v/>
      </c>
      <c r="BP213" s="6521"/>
      <c r="BQ213" s="1297"/>
      <c r="BR213" s="1297"/>
      <c r="BS213" s="1070" t="s">
        <v>2062</v>
      </c>
      <c r="BT213" s="1072"/>
      <c r="BU213" s="1072"/>
      <c r="BV213" s="987"/>
      <c r="BW213" s="987"/>
    </row>
    <row s="1656" customFormat="1" customHeight="1" ht="27.96875">
      <c r="A214" s="1297"/>
      <c r="B214" s="986"/>
      <c r="C214" s="1297"/>
      <c r="D214" s="1297"/>
      <c r="E214" s="709">
        <v>15</v>
      </c>
      <c r="F214" s="50" cm="1" t="str">
        <f t="array" ref="F214:F214">OFFSET(E214,-1,1)</f>
        <v>1</v>
      </c>
      <c r="G214" s="49" t="s">
        <v>1433</v>
      </c>
      <c r="H214" s="374"/>
      <c r="I214" s="374" t="s">
        <v>2258</v>
      </c>
      <c r="J214" s="1297"/>
      <c r="K214" s="374" t="s">
        <v>2258</v>
      </c>
      <c r="L214" s="988" t="s">
        <v>2063</v>
      </c>
      <c r="M214" s="103"/>
      <c r="N214" s="1297"/>
      <c r="O214" s="1297"/>
      <c r="P214" s="1297"/>
      <c r="Q214" s="154" t="s">
        <v>2470</v>
      </c>
      <c r="R214" s="157" t="s">
        <v>2470</v>
      </c>
      <c r="S214" s="1297"/>
      <c r="T214" s="468" cm="1" t="str">
        <f t="array" ref="T214:T214">T213</f>
        <v>true</v>
      </c>
      <c r="U214" s="1297"/>
      <c r="V214" s="1297"/>
      <c r="W214" s="1297"/>
      <c r="X214" s="1539"/>
      <c r="Y214" s="1297"/>
      <c r="Z214" s="1529"/>
      <c r="AA214" s="1297"/>
      <c r="AB214" s="295" t="s">
        <v>2259</v>
      </c>
      <c r="AC214" s="775" t="s">
        <v>2065</v>
      </c>
      <c r="AD214" s="296" t="s">
        <v>936</v>
      </c>
      <c r="AE214" s="6524"/>
      <c r="AF214" s="6524"/>
      <c r="AG214" s="6524"/>
      <c r="AH214" s="951">
        <f>AG214-AF214</f>
        <v>0</v>
      </c>
      <c r="AI214" s="6490"/>
      <c r="AJ214" s="6522"/>
      <c r="AK214" s="950"/>
      <c r="AL214" s="950"/>
      <c r="AM214" s="950"/>
      <c r="AN214" s="950"/>
      <c r="AO214" s="950"/>
      <c r="AP214" s="950"/>
      <c r="AQ214" s="950"/>
      <c r="AR214" s="950"/>
      <c r="AS214" s="950"/>
      <c r="AT214" s="950"/>
      <c r="AU214" s="950"/>
      <c r="AV214" s="950"/>
      <c r="AW214" s="950"/>
      <c r="AX214" s="950"/>
      <c r="AY214" s="950"/>
      <c r="AZ214" s="950"/>
      <c r="BA214" s="950"/>
      <c r="BB214" s="950"/>
      <c r="BC214" s="950"/>
      <c r="BD214" s="950"/>
      <c r="BE214" s="950"/>
      <c r="BF214" s="950"/>
      <c r="BG214" s="950"/>
      <c r="BH214" s="950"/>
      <c r="BI214" s="950"/>
      <c r="BJ214" s="950"/>
      <c r="BK214" s="950"/>
      <c r="BL214" s="950"/>
      <c r="BM214" s="950"/>
      <c r="BN214" s="6521"/>
      <c r="BO214" s="6525" t="str">
        <f>IF(_xlfn.IFERROR(INDEX(Административные!$K$26:$L$103,MATCH($F214&amp;"7komm",Административные!$K$26:$K$103,0),2),"")=0,"",_xlfn.IFERROR(INDEX(Административные!$K$26:$L$103,MATCH($F214&amp;"7komm",Административные!$K$26:$K$103,0),2),""))</f>
        <v/>
      </c>
      <c r="BP214" s="6521"/>
      <c r="BQ214" s="1297"/>
      <c r="BR214" s="1297"/>
      <c r="BS214" s="1070" t="s">
        <v>2066</v>
      </c>
      <c r="BT214" s="1072"/>
      <c r="BU214" s="1072"/>
      <c r="BV214" s="987"/>
      <c r="BW214" s="987"/>
    </row>
    <row s="1656" customFormat="1" customHeight="1" ht="32.96875">
      <c r="A215" s="1297"/>
      <c r="B215" s="986"/>
      <c r="C215" s="1297"/>
      <c r="D215" s="1297"/>
      <c r="E215" s="709">
        <v>15</v>
      </c>
      <c r="F215" s="50" cm="1" t="str">
        <f t="array" ref="F215:F215">OFFSET(E215,-1,1)</f>
        <v>1</v>
      </c>
      <c r="G215" s="49" t="s">
        <v>1436</v>
      </c>
      <c r="H215" s="374"/>
      <c r="I215" s="374" t="s">
        <v>2260</v>
      </c>
      <c r="J215" s="1297"/>
      <c r="K215" s="374" t="s">
        <v>2260</v>
      </c>
      <c r="L215" s="988" t="s">
        <v>2067</v>
      </c>
      <c r="M215" s="103"/>
      <c r="N215" s="1297"/>
      <c r="O215" s="1297"/>
      <c r="P215" s="1297"/>
      <c r="Q215" s="154" t="s">
        <v>2470</v>
      </c>
      <c r="R215" s="157" t="s">
        <v>2470</v>
      </c>
      <c r="S215" s="1297"/>
      <c r="T215" s="468" cm="1" t="str">
        <f t="array" ref="T215:T215">T214</f>
        <v>true</v>
      </c>
      <c r="U215" s="1297"/>
      <c r="V215" s="1297"/>
      <c r="W215" s="1297"/>
      <c r="X215" s="1539"/>
      <c r="Y215" s="1297"/>
      <c r="Z215" s="1529"/>
      <c r="AA215" s="1297"/>
      <c r="AB215" s="295" t="s">
        <v>2261</v>
      </c>
      <c r="AC215" s="775" t="s">
        <v>1437</v>
      </c>
      <c r="AD215" s="296" t="s">
        <v>936</v>
      </c>
      <c r="AE215" s="6524"/>
      <c r="AF215" s="6524"/>
      <c r="AG215" s="6524"/>
      <c r="AH215" s="951">
        <f>AG215-AF215</f>
        <v>0</v>
      </c>
      <c r="AI215" s="6490"/>
      <c r="AJ215" s="6522"/>
      <c r="AK215" s="950"/>
      <c r="AL215" s="950"/>
      <c r="AM215" s="950"/>
      <c r="AN215" s="950"/>
      <c r="AO215" s="950"/>
      <c r="AP215" s="950"/>
      <c r="AQ215" s="950"/>
      <c r="AR215" s="950"/>
      <c r="AS215" s="950"/>
      <c r="AT215" s="950"/>
      <c r="AU215" s="950"/>
      <c r="AV215" s="950"/>
      <c r="AW215" s="950"/>
      <c r="AX215" s="950"/>
      <c r="AY215" s="950"/>
      <c r="AZ215" s="950"/>
      <c r="BA215" s="950"/>
      <c r="BB215" s="950"/>
      <c r="BC215" s="950"/>
      <c r="BD215" s="950"/>
      <c r="BE215" s="950"/>
      <c r="BF215" s="950"/>
      <c r="BG215" s="950"/>
      <c r="BH215" s="950"/>
      <c r="BI215" s="950"/>
      <c r="BJ215" s="950"/>
      <c r="BK215" s="950"/>
      <c r="BL215" s="950"/>
      <c r="BM215" s="950"/>
      <c r="BN215" s="6521"/>
      <c r="BO215" s="6525" t="str">
        <f>IF(_xlfn.IFERROR(INDEX(Административные!$K$26:$L$103,MATCH($F215&amp;"8komm",Административные!$K$26:$K$103,0),2),"")=0,"",_xlfn.IFERROR(INDEX(Административные!$K$26:$L$103,MATCH($F215&amp;"8komm",Административные!$K$26:$K$103,0),2),""))</f>
        <v/>
      </c>
      <c r="BP215" s="6521"/>
      <c r="BQ215" s="1297"/>
      <c r="BR215" s="1297"/>
      <c r="BS215" s="1070" t="s">
        <v>2069</v>
      </c>
      <c r="BT215" s="1072"/>
      <c r="BU215" s="1072"/>
      <c r="BV215" s="987"/>
      <c r="BW215" s="987"/>
    </row>
    <row s="1656" customFormat="1" customHeight="1" ht="22.135416666666668">
      <c r="A216" s="1297"/>
      <c r="B216" s="986"/>
      <c r="C216" s="1297"/>
      <c r="D216" s="1297"/>
      <c r="E216" s="709">
        <v>15</v>
      </c>
      <c r="F216" s="50" cm="1" t="str">
        <f t="array" ref="F216:F216">OFFSET(E216,-1,1)</f>
        <v>1</v>
      </c>
      <c r="G216" s="154" t="s">
        <v>1439</v>
      </c>
      <c r="H216" s="374"/>
      <c r="I216" s="374" t="s">
        <v>2262</v>
      </c>
      <c r="J216" s="1297"/>
      <c r="K216" s="374" t="s">
        <v>2262</v>
      </c>
      <c r="L216" s="988" t="s">
        <v>2070</v>
      </c>
      <c r="M216" s="103"/>
      <c r="N216" s="1297"/>
      <c r="O216" s="1297"/>
      <c r="P216" s="1297"/>
      <c r="Q216" s="154" t="s">
        <v>2470</v>
      </c>
      <c r="R216" s="157" t="s">
        <v>2470</v>
      </c>
      <c r="S216" s="1297"/>
      <c r="T216" s="468" cm="1" t="str">
        <f t="array" ref="T216:T216">T215</f>
        <v>true</v>
      </c>
      <c r="U216" s="1297"/>
      <c r="V216" s="1297"/>
      <c r="W216" s="1297"/>
      <c r="X216" s="1539"/>
      <c r="Y216" s="1297"/>
      <c r="Z216" s="1529"/>
      <c r="AA216" s="1297"/>
      <c r="AB216" s="295" t="s">
        <v>2263</v>
      </c>
      <c r="AC216" s="775" t="s">
        <v>1440</v>
      </c>
      <c r="AD216" s="296" t="s">
        <v>936</v>
      </c>
      <c r="AE216" s="6524">
        <v>1827.05</v>
      </c>
      <c r="AF216" s="6524">
        <v>13799.61</v>
      </c>
      <c r="AG216" s="6524"/>
      <c r="AH216" s="951">
        <f>AG216-AF216</f>
        <v>-13799.61</v>
      </c>
      <c r="AI216" s="6490"/>
      <c r="AJ216" s="1378"/>
      <c r="AK216" s="950"/>
      <c r="AL216" s="950"/>
      <c r="AM216" s="950"/>
      <c r="AN216" s="950"/>
      <c r="AO216" s="950"/>
      <c r="AP216" s="950"/>
      <c r="AQ216" s="950"/>
      <c r="AR216" s="950"/>
      <c r="AS216" s="950"/>
      <c r="AT216" s="950"/>
      <c r="AU216" s="950"/>
      <c r="AV216" s="950"/>
      <c r="AW216" s="950"/>
      <c r="AX216" s="950"/>
      <c r="AY216" s="950"/>
      <c r="AZ216" s="950"/>
      <c r="BA216" s="950"/>
      <c r="BB216" s="950"/>
      <c r="BC216" s="950"/>
      <c r="BD216" s="950"/>
      <c r="BE216" s="950"/>
      <c r="BF216" s="950"/>
      <c r="BG216" s="950"/>
      <c r="BH216" s="950"/>
      <c r="BI216" s="950"/>
      <c r="BJ216" s="950"/>
      <c r="BK216" s="950"/>
      <c r="BL216" s="950"/>
      <c r="BM216" s="950"/>
      <c r="BN216" s="6521"/>
      <c r="BO216" s="6525" t="str">
        <f>IF(_xlfn.IFERROR(INDEX(Административные!$K$26:$L$103,MATCH($F216&amp;"9komm",Административные!$K$26:$K$103,0),2),"")=0,"",_xlfn.IFERROR(INDEX(Административные!$K$26:$L$103,MATCH($F216&amp;"9komm",Административные!$K$26:$K$103,0),2),""))</f>
        <v/>
      </c>
      <c r="BP216" s="6521"/>
      <c r="BQ216" s="1297"/>
      <c r="BR216" s="1297"/>
      <c r="BS216" s="1070" t="s">
        <v>2072</v>
      </c>
      <c r="BT216" s="1072"/>
      <c r="BU216" s="1072"/>
      <c r="BV216" s="987"/>
      <c r="BW216" s="987"/>
    </row>
    <row s="1656" customFormat="1" customHeight="1" ht="21.75">
      <c r="A217" s="1297"/>
      <c r="B217" s="434">
        <f>STATUS_GO="да"</f>
        <v>0</v>
      </c>
      <c r="C217" s="1297"/>
      <c r="D217" s="1297"/>
      <c r="E217" s="709">
        <v>22.5</v>
      </c>
      <c r="F217" s="50" cm="1" t="str">
        <f t="array" ref="F217:F217">OFFSET(E217,-1,1)</f>
        <v>1</v>
      </c>
      <c r="G217" s="1297"/>
      <c r="H217" s="374"/>
      <c r="I217" s="374" t="s">
        <v>1079</v>
      </c>
      <c r="J217" s="1297"/>
      <c r="K217" s="374" t="s">
        <v>1079</v>
      </c>
      <c r="L217" s="988" t="s">
        <v>348</v>
      </c>
      <c r="M217" s="103"/>
      <c r="N217" s="1297"/>
      <c r="O217" s="1297"/>
      <c r="P217" s="1297"/>
      <c r="Q217" s="154" t="s">
        <v>2470</v>
      </c>
      <c r="R217" s="157" t="s">
        <v>2470</v>
      </c>
      <c r="S217" s="1297"/>
      <c r="T217" s="468" cm="1" t="str">
        <f t="array" ref="T217:T217">T216</f>
        <v>true</v>
      </c>
      <c r="U217" s="1297"/>
      <c r="V217" s="1297"/>
      <c r="W217" s="1297"/>
      <c r="X217" s="1539"/>
      <c r="Y217" s="1297"/>
      <c r="Z217" s="1529"/>
      <c r="AA217" s="1297"/>
      <c r="AB217" s="295" t="s">
        <v>1080</v>
      </c>
      <c r="AC217" s="769" t="s">
        <v>2264</v>
      </c>
      <c r="AD217" s="296" t="s">
        <v>936</v>
      </c>
      <c r="AE217" s="6524"/>
      <c r="AF217" s="6524"/>
      <c r="AG217" s="6524"/>
      <c r="AH217" s="951">
        <f>AG217-AF217</f>
        <v>0</v>
      </c>
      <c r="AI217" s="6490"/>
      <c r="AJ217" s="6522"/>
      <c r="AK217" s="950"/>
      <c r="AL217" s="950"/>
      <c r="AM217" s="950"/>
      <c r="AN217" s="950"/>
      <c r="AO217" s="950"/>
      <c r="AP217" s="950"/>
      <c r="AQ217" s="950"/>
      <c r="AR217" s="950"/>
      <c r="AS217" s="950"/>
      <c r="AT217" s="950"/>
      <c r="AU217" s="950"/>
      <c r="AV217" s="950"/>
      <c r="AW217" s="950"/>
      <c r="AX217" s="950"/>
      <c r="AY217" s="950"/>
      <c r="AZ217" s="950"/>
      <c r="BA217" s="950"/>
      <c r="BB217" s="950"/>
      <c r="BC217" s="950"/>
      <c r="BD217" s="950"/>
      <c r="BE217" s="950"/>
      <c r="BF217" s="950"/>
      <c r="BG217" s="950"/>
      <c r="BH217" s="950"/>
      <c r="BI217" s="950"/>
      <c r="BJ217" s="950"/>
      <c r="BK217" s="950"/>
      <c r="BL217" s="950"/>
      <c r="BM217" s="950"/>
      <c r="BN217" s="6521"/>
      <c r="BO217" s="6521"/>
      <c r="BP217" s="6521"/>
      <c r="BQ217" s="1297"/>
      <c r="BR217" s="1297"/>
      <c r="BS217" s="1071" t="s">
        <v>2074</v>
      </c>
      <c r="BT217" s="1072"/>
      <c r="BU217" s="1072"/>
      <c r="BV217" s="987"/>
      <c r="BW217" s="987"/>
    </row>
    <row s="1656" customFormat="1" customHeight="1" ht="35.46875">
      <c r="A218" s="1297"/>
      <c r="B218" s="986"/>
      <c r="C218" s="1297"/>
      <c r="D218" s="1297"/>
      <c r="E218" s="709">
        <v>15</v>
      </c>
      <c r="F218" s="50" cm="1" t="str">
        <f t="array" ref="F218:F218">OFFSET(E218,-1,1)</f>
        <v>1</v>
      </c>
      <c r="G218" s="1297"/>
      <c r="H218" s="374"/>
      <c r="I218" s="374" t="s">
        <v>2013</v>
      </c>
      <c r="J218" s="1297"/>
      <c r="K218" s="374" t="s">
        <v>2013</v>
      </c>
      <c r="L218" s="988"/>
      <c r="M218" s="103"/>
      <c r="N218" s="1297"/>
      <c r="O218" s="1297"/>
      <c r="P218" s="1297"/>
      <c r="Q218" s="154" t="s">
        <v>2470</v>
      </c>
      <c r="R218" s="157" t="s">
        <v>2470</v>
      </c>
      <c r="S218" s="1297"/>
      <c r="T218" s="468" cm="1" t="str">
        <f t="array" ref="T218:T218">T217</f>
        <v>true</v>
      </c>
      <c r="U218" s="1297"/>
      <c r="V218" s="1297"/>
      <c r="W218" s="1297"/>
      <c r="X218" s="1539"/>
      <c r="Y218" s="1297"/>
      <c r="Z218" s="1529"/>
      <c r="AA218" s="1297"/>
      <c r="AB218" s="295" t="s">
        <v>2014</v>
      </c>
      <c r="AC218" s="769" t="s">
        <v>2265</v>
      </c>
      <c r="AD218" s="296" t="s">
        <v>936</v>
      </c>
      <c r="AE218" s="6524">
        <v>12473.11</v>
      </c>
      <c r="AF218" s="6524">
        <v>29385.13</v>
      </c>
      <c r="AG218" s="6524"/>
      <c r="AH218" s="951">
        <f>AG218-AF218</f>
        <v>-29385.13</v>
      </c>
      <c r="AI218" s="6490"/>
      <c r="AJ218" s="6522"/>
      <c r="AK218" s="950"/>
      <c r="AL218" s="950"/>
      <c r="AM218" s="950"/>
      <c r="AN218" s="950"/>
      <c r="AO218" s="950"/>
      <c r="AP218" s="950"/>
      <c r="AQ218" s="950"/>
      <c r="AR218" s="950"/>
      <c r="AS218" s="950"/>
      <c r="AT218" s="950"/>
      <c r="AU218" s="950"/>
      <c r="AV218" s="950"/>
      <c r="AW218" s="950"/>
      <c r="AX218" s="950"/>
      <c r="AY218" s="950"/>
      <c r="AZ218" s="950"/>
      <c r="BA218" s="950"/>
      <c r="BB218" s="950"/>
      <c r="BC218" s="950"/>
      <c r="BD218" s="950"/>
      <c r="BE218" s="950"/>
      <c r="BF218" s="950"/>
      <c r="BG218" s="950"/>
      <c r="BH218" s="950"/>
      <c r="BI218" s="950"/>
      <c r="BJ218" s="950"/>
      <c r="BK218" s="950"/>
      <c r="BL218" s="950"/>
      <c r="BM218" s="950"/>
      <c r="BN218" s="6521"/>
      <c r="BO218" s="6521"/>
      <c r="BP218" s="6521"/>
      <c r="BQ218" s="1297"/>
      <c r="BR218" s="1297"/>
      <c r="BS218" s="1072" t="s">
        <v>2266</v>
      </c>
      <c r="BT218" s="1072"/>
      <c r="BU218" s="1072"/>
      <c r="BV218" s="987"/>
      <c r="BW218" s="987"/>
    </row>
    <row s="6529" customFormat="1" customHeight="1" ht="43.802083333333336">
      <c r="A219" s="706"/>
      <c r="B219" s="437"/>
      <c r="C219" s="706"/>
      <c r="D219" s="706"/>
      <c r="E219" s="713">
        <v>21</v>
      </c>
      <c r="F219" s="50" cm="1" t="str">
        <f t="array" ref="F219:F219">OFFSET(E219,-1,1)</f>
        <v>1</v>
      </c>
      <c r="G219" s="706"/>
      <c r="H219" s="374"/>
      <c r="I219" s="374" t="s">
        <v>2017</v>
      </c>
      <c r="J219" s="706"/>
      <c r="K219" s="374" t="s">
        <v>2017</v>
      </c>
      <c r="L219" s="993"/>
      <c r="M219" s="105"/>
      <c r="N219" s="706"/>
      <c r="O219" s="706"/>
      <c r="P219" s="706"/>
      <c r="Q219" s="154" t="s">
        <v>2470</v>
      </c>
      <c r="R219" s="157" t="s">
        <v>2470</v>
      </c>
      <c r="S219" s="706"/>
      <c r="T219" s="468" cm="1" t="str">
        <f t="array" ref="T219:T219">T218</f>
        <v>true</v>
      </c>
      <c r="U219" s="706"/>
      <c r="V219" s="706"/>
      <c r="W219" s="706"/>
      <c r="X219" s="1539"/>
      <c r="Y219" s="706"/>
      <c r="Z219" s="1529"/>
      <c r="AA219" s="706"/>
      <c r="AB219" s="214" t="s">
        <v>2018</v>
      </c>
      <c r="AC219" s="357" t="s">
        <v>2267</v>
      </c>
      <c r="AD219" s="207" t="s">
        <v>936</v>
      </c>
      <c r="AE219" s="777">
        <f>SUM(AE220:AE222)</f>
        <v>0</v>
      </c>
      <c r="AF219" s="777">
        <f>SUM(AF220:AF222)</f>
        <v>0</v>
      </c>
      <c r="AG219" s="777">
        <f>SUM(AG220:AG222)</f>
        <v>305911.73</v>
      </c>
      <c r="AH219" s="768">
        <f>AG219-AF219</f>
        <v>305911.73</v>
      </c>
      <c r="AI219" s="6497">
        <f>SUM(AI220:AI222)</f>
        <v>0</v>
      </c>
      <c r="AJ219" s="6522"/>
      <c r="AK219" s="771"/>
      <c r="AL219" s="771"/>
      <c r="AM219" s="771"/>
      <c r="AN219" s="771"/>
      <c r="AO219" s="771"/>
      <c r="AP219" s="771"/>
      <c r="AQ219" s="771"/>
      <c r="AR219" s="771"/>
      <c r="AS219" s="771"/>
      <c r="AT219" s="950"/>
      <c r="AU219" s="950"/>
      <c r="AV219" s="771"/>
      <c r="AW219" s="771"/>
      <c r="AX219" s="771"/>
      <c r="AY219" s="771"/>
      <c r="AZ219" s="771"/>
      <c r="BA219" s="771"/>
      <c r="BB219" s="771"/>
      <c r="BC219" s="771"/>
      <c r="BD219" s="771"/>
      <c r="BE219" s="771"/>
      <c r="BF219" s="771"/>
      <c r="BG219" s="771"/>
      <c r="BH219" s="771"/>
      <c r="BI219" s="771"/>
      <c r="BJ219" s="771"/>
      <c r="BK219" s="771"/>
      <c r="BL219" s="771"/>
      <c r="BM219" s="771"/>
      <c r="BN219" s="6523"/>
      <c r="BO219" s="6523"/>
      <c r="BP219" s="6523"/>
      <c r="BQ219" s="706"/>
      <c r="BR219" s="706"/>
      <c r="BS219" s="1078" t="s">
        <v>2268</v>
      </c>
      <c r="BT219" s="1078"/>
      <c r="BU219" s="1078"/>
      <c r="BV219" s="713"/>
      <c r="BW219" s="713"/>
    </row>
    <row s="1656" customFormat="1" customHeight="1" ht="14.25" hidden="1">
      <c r="A220" s="1297"/>
      <c r="B220" s="986"/>
      <c r="C220" s="1297"/>
      <c r="D220" s="1297"/>
      <c r="E220" s="709">
        <v>15</v>
      </c>
      <c r="F220" s="50" cm="1" t="str">
        <f t="array" ref="F220:F220">OFFSET(E220,-1,1)</f>
        <v>1</v>
      </c>
      <c r="G220" s="1297"/>
      <c r="H220" s="1297"/>
      <c r="I220" s="374" t="s">
        <v>2017</v>
      </c>
      <c r="J220" s="154" cm="1" t="str">
        <f t="array" ref="J220:J220">AC220</f>
        <v>0</v>
      </c>
      <c r="K220" s="374" t="s">
        <v>2017</v>
      </c>
      <c r="L220" s="988"/>
      <c r="M220" s="103"/>
      <c r="N220" s="1297"/>
      <c r="O220" s="1297"/>
      <c r="P220" s="1297"/>
      <c r="Q220" s="154" t="s">
        <v>2470</v>
      </c>
      <c r="R220" s="157" t="s">
        <v>2470</v>
      </c>
      <c r="S220" s="1297"/>
      <c r="T220" s="468">
        <f>AND(F220&gt;0,Y220&gt;0)</f>
        <v>0</v>
      </c>
      <c r="U220" s="1297"/>
      <c r="V220" s="1297"/>
      <c r="W220" s="154" t="s">
        <v>173</v>
      </c>
      <c r="X220" s="1539"/>
      <c r="Y220" s="154">
        <v>0</v>
      </c>
      <c r="Z220" s="1529"/>
      <c r="AA220" s="422" t="s">
        <v>174</v>
      </c>
      <c r="AB220" s="296" t="str">
        <f>"1.7."&amp;Y220</f>
        <v>1.7.0</v>
      </c>
      <c r="AC220" s="1262"/>
      <c r="AD220" s="296" t="s">
        <v>936</v>
      </c>
      <c r="AE220" s="1274"/>
      <c r="AF220" s="1274"/>
      <c r="AG220" s="1274"/>
      <c r="AH220" s="255">
        <f>AG220-AF220</f>
        <v>0</v>
      </c>
      <c r="AI220" s="6499"/>
      <c r="AJ220" s="1274"/>
      <c r="AK220" s="953"/>
      <c r="AL220" s="953"/>
      <c r="AM220" s="953"/>
      <c r="AN220" s="953"/>
      <c r="AO220" s="953"/>
      <c r="AP220" s="953"/>
      <c r="AQ220" s="953"/>
      <c r="AR220" s="953"/>
      <c r="AS220" s="953"/>
      <c r="AT220" s="950"/>
      <c r="AU220" s="953"/>
      <c r="AV220" s="953"/>
      <c r="AW220" s="953"/>
      <c r="AX220" s="953"/>
      <c r="AY220" s="953"/>
      <c r="AZ220" s="953"/>
      <c r="BA220" s="953"/>
      <c r="BB220" s="953"/>
      <c r="BC220" s="953"/>
      <c r="BD220" s="771"/>
      <c r="BE220" s="953"/>
      <c r="BF220" s="953"/>
      <c r="BG220" s="953"/>
      <c r="BH220" s="953"/>
      <c r="BI220" s="953"/>
      <c r="BJ220" s="953"/>
      <c r="BK220" s="953"/>
      <c r="BL220" s="953"/>
      <c r="BM220" s="953"/>
      <c r="BN220" s="1275"/>
      <c r="BO220" s="1275"/>
      <c r="BP220" s="1275"/>
      <c r="BQ220" s="1297"/>
      <c r="BR220" s="1297"/>
      <c r="BS220" s="1072" t="s">
        <v>2268</v>
      </c>
      <c r="BT220" s="1072" t="s">
        <v>2269</v>
      </c>
      <c r="BU220" s="1072" cm="1" t="str">
        <f t="array" ref="BU220:BU220">AC220</f>
        <v>0</v>
      </c>
      <c r="BV220" s="987"/>
      <c r="BW220" s="709" t="b">
        <v>1</v>
      </c>
    </row>
    <row s="1656" customFormat="1" customHeight="1" ht="122.671875">
      <c r="A221" s="1297"/>
      <c r="B221" s="986"/>
      <c r="C221" s="1297"/>
      <c r="D221" s="1297"/>
      <c r="E221" s="709">
        <v>15</v>
      </c>
      <c r="F221" s="50" cm="1" t="str">
        <f t="array" ref="F221:F221">OFFSET(E221,-1,1)</f>
        <v>1</v>
      </c>
      <c r="G221" s="1297"/>
      <c r="H221" s="1297"/>
      <c r="I221" s="374" t="s">
        <v>2017</v>
      </c>
      <c r="J221" s="154" cm="1" t="str">
        <f t="array" ref="J221:J221">AC221</f>
        <v>Операционные расходы, рассчитанные исходя из Базового уровня Операционных расходов 2024 года (Концессионное соглашение № 1 /Л-К от  14.11.2019, Концессионное соглашение № 3 от 14.11.2019.).</v>
      </c>
      <c r="K221" s="374" t="s">
        <v>2017</v>
      </c>
      <c r="L221" s="988"/>
      <c r="M221" s="103"/>
      <c r="N221" s="1297"/>
      <c r="O221" s="1297"/>
      <c r="P221" s="1297"/>
      <c r="Q221" s="154" t="s">
        <v>2470</v>
      </c>
      <c r="R221" s="157" t="s">
        <v>2470</v>
      </c>
      <c r="S221" s="1297"/>
      <c r="T221" s="468">
        <f>AND(F221&gt;0,Y221&gt;0)</f>
        <v>1</v>
      </c>
      <c r="U221" s="1297"/>
      <c r="V221" s="1297"/>
      <c r="W221" s="154"/>
      <c r="X221" s="1539"/>
      <c r="Y221" s="154" t="s">
        <v>290</v>
      </c>
      <c r="Z221" s="1529"/>
      <c r="AA221" s="422" t="s">
        <v>174</v>
      </c>
      <c r="AB221" s="296" t="str">
        <f>"1.7."&amp;Y221</f>
        <v>1.7.1</v>
      </c>
      <c r="AC221" s="6530" t="s">
        <v>2477</v>
      </c>
      <c r="AD221" s="296" t="s">
        <v>936</v>
      </c>
      <c r="AE221" s="6531"/>
      <c r="AF221" s="6531"/>
      <c r="AG221" s="6531">
        <v>305911.73</v>
      </c>
      <c r="AH221" s="255">
        <f>AG221-AF221</f>
        <v>305911.73</v>
      </c>
      <c r="AI221" s="6499"/>
      <c r="AJ221" s="6531"/>
      <c r="AK221" s="953"/>
      <c r="AL221" s="953"/>
      <c r="AM221" s="953"/>
      <c r="AN221" s="953"/>
      <c r="AO221" s="953"/>
      <c r="AP221" s="953"/>
      <c r="AQ221" s="953"/>
      <c r="AR221" s="953"/>
      <c r="AS221" s="953"/>
      <c r="AT221" s="950"/>
      <c r="AU221" s="953"/>
      <c r="AV221" s="953"/>
      <c r="AW221" s="953"/>
      <c r="AX221" s="953"/>
      <c r="AY221" s="953"/>
      <c r="AZ221" s="953"/>
      <c r="BA221" s="953"/>
      <c r="BB221" s="953"/>
      <c r="BC221" s="953"/>
      <c r="BD221" s="771"/>
      <c r="BE221" s="953"/>
      <c r="BF221" s="953"/>
      <c r="BG221" s="953"/>
      <c r="BH221" s="953"/>
      <c r="BI221" s="953"/>
      <c r="BJ221" s="953"/>
      <c r="BK221" s="953"/>
      <c r="BL221" s="953"/>
      <c r="BM221" s="953"/>
      <c r="BN221" s="6532" t="s">
        <v>2478</v>
      </c>
      <c r="BO221" s="6533" t="s">
        <v>2479</v>
      </c>
      <c r="BP221" s="6533" t="s">
        <v>2480</v>
      </c>
      <c r="BQ221" s="1297"/>
      <c r="BR221" s="1297"/>
      <c r="BS221" s="1072" t="s">
        <v>2268</v>
      </c>
      <c r="BT221" s="1072" t="s">
        <v>2269</v>
      </c>
      <c r="BU221" s="1072" cm="1" t="str">
        <f t="array" ref="BU221:BU221">AC221</f>
        <v>Операционные расходы, рассчитанные исходя из Базового уровня Операционных расходов 2024 года (Концессионное соглашение № 1 /Л-К от  14.11.2019, Концессионное соглашение № 3 от 14.11.2019.).</v>
      </c>
      <c r="BV221" s="987"/>
      <c r="BW221" s="709" t="b">
        <v>1</v>
      </c>
    </row>
    <row s="1656" customFormat="1" customHeight="1" ht="14.25">
      <c r="A222" s="1297"/>
      <c r="B222" s="986"/>
      <c r="C222" s="1297"/>
      <c r="D222" s="1297"/>
      <c r="E222" s="709">
        <v>15</v>
      </c>
      <c r="F222" s="50" cm="1" t="str">
        <f t="array" ref="F222:F222">OFFSET(E222,-1,1)</f>
        <v>1</v>
      </c>
      <c r="G222" s="360"/>
      <c r="H222" s="1297"/>
      <c r="I222" s="1297"/>
      <c r="J222" s="154" t="s">
        <v>2270</v>
      </c>
      <c r="K222" s="1297"/>
      <c r="L222" s="988"/>
      <c r="M222" s="103"/>
      <c r="N222" s="1297"/>
      <c r="O222" s="1297"/>
      <c r="P222" s="1297"/>
      <c r="Q222" s="1297"/>
      <c r="R222" s="1297"/>
      <c r="S222" s="1297"/>
      <c r="T222" s="468">
        <f>F222&gt;0</f>
        <v>1</v>
      </c>
      <c r="U222" s="1297"/>
      <c r="V222" s="1297"/>
      <c r="W222" s="708" t="s">
        <v>2471</v>
      </c>
      <c r="X222" s="1539"/>
      <c r="Y222" s="1297"/>
      <c r="Z222" s="1529"/>
      <c r="AA222" s="1297"/>
      <c r="AB222" s="782"/>
      <c r="AC222" s="256" t="s">
        <v>177</v>
      </c>
      <c r="AD222" s="783"/>
      <c r="AE222" s="783"/>
      <c r="AF222" s="783"/>
      <c r="AG222" s="783"/>
      <c r="AH222" s="783"/>
      <c r="AI222" s="783"/>
      <c r="AJ222" s="783"/>
      <c r="AK222" s="783"/>
      <c r="AL222" s="783"/>
      <c r="AM222" s="783"/>
      <c r="AN222" s="783"/>
      <c r="AO222" s="783"/>
      <c r="AP222" s="783"/>
      <c r="AQ222" s="783"/>
      <c r="AR222" s="783"/>
      <c r="AS222" s="783"/>
      <c r="AT222" s="783"/>
      <c r="AU222" s="783"/>
      <c r="AV222" s="783"/>
      <c r="AW222" s="783"/>
      <c r="AX222" s="783"/>
      <c r="AY222" s="783"/>
      <c r="AZ222" s="783"/>
      <c r="BA222" s="783"/>
      <c r="BB222" s="783"/>
      <c r="BC222" s="783"/>
      <c r="BD222" s="783"/>
      <c r="BE222" s="783"/>
      <c r="BF222" s="783"/>
      <c r="BG222" s="783"/>
      <c r="BH222" s="783"/>
      <c r="BI222" s="783"/>
      <c r="BJ222" s="783"/>
      <c r="BK222" s="783"/>
      <c r="BL222" s="783"/>
      <c r="BM222" s="783"/>
      <c r="BN222" s="783"/>
      <c r="BO222" s="783"/>
      <c r="BP222" s="784"/>
      <c r="BQ222" s="1297"/>
      <c r="BR222" s="1297"/>
      <c r="BS222" s="1072"/>
      <c r="BT222" s="1072"/>
      <c r="BU222" s="1072"/>
      <c r="BV222" s="709" t="s">
        <v>2269</v>
      </c>
      <c r="BW222" s="987"/>
    </row>
    <row s="6575" customFormat="1" customHeight="1" ht="103.171875">
      <c r="A223" s="706"/>
      <c r="B223" s="437"/>
      <c r="C223" s="706"/>
      <c r="D223" s="706"/>
      <c r="E223" s="713">
        <v>21</v>
      </c>
      <c r="F223" s="50" cm="1" t="str">
        <f t="array" ref="F223:F223">OFFSET(E223,-1,1)</f>
        <v>1</v>
      </c>
      <c r="G223" s="706"/>
      <c r="H223" s="154"/>
      <c r="I223" s="154" t="s">
        <v>345</v>
      </c>
      <c r="J223" s="706"/>
      <c r="K223" s="154" t="s">
        <v>345</v>
      </c>
      <c r="L223" s="993"/>
      <c r="M223" s="105"/>
      <c r="N223" s="706"/>
      <c r="O223" s="706"/>
      <c r="P223" s="706"/>
      <c r="Q223" s="706"/>
      <c r="R223" s="706"/>
      <c r="S223" s="706"/>
      <c r="T223" s="468" cm="1" t="str">
        <f t="array" ref="T223:T223">T222</f>
        <v>true</v>
      </c>
      <c r="U223" s="706"/>
      <c r="V223" s="706"/>
      <c r="W223" s="706"/>
      <c r="X223" s="1539"/>
      <c r="Y223" s="706"/>
      <c r="Z223" s="1529"/>
      <c r="AA223" s="706"/>
      <c r="AB223" s="243" t="s">
        <v>299</v>
      </c>
      <c r="AC223" s="208" t="s">
        <v>2271</v>
      </c>
      <c r="AD223" s="230" t="s">
        <v>936</v>
      </c>
      <c r="AE223" s="209">
        <f>AE224+AE236+AE237++AE248+AE249+AE250+AE252+AE253+AE254+AE255+AE258</f>
        <v>34834.8034715</v>
      </c>
      <c r="AF223" s="209">
        <f>AF224+AF236+AF237++AF248+AF249+AF250+AF252+AF253+AF254+AF255+AF258</f>
        <v>33891.74884</v>
      </c>
      <c r="AG223" s="209">
        <f>AG224+AG236+AG237++AG248+AG249+AG250+AG252+AG253+AG254+AG255+AG258</f>
        <v>34198.67884</v>
      </c>
      <c r="AH223" s="768">
        <f>AG223-AF223</f>
        <v>306.93</v>
      </c>
      <c r="AI223" s="777">
        <f>AI224+AI236+AI237++AI248+AI249+AI250+AI252+AI253+AI254+AI255+AI258</f>
        <v>43673.7052008</v>
      </c>
      <c r="AJ223" s="777">
        <f>AJ224+AJ236+AJ237++AJ248+AJ249+AJ250+AJ252+AJ253+AJ254+AJ255+AJ258</f>
        <v>42523.13</v>
      </c>
      <c r="AK223" s="777">
        <f>AK224+AK236+AK237++AK248+AK249+AK250+AK252+AK253+AK254+AK255+AK258</f>
        <v>0</v>
      </c>
      <c r="AL223" s="777">
        <f>AL224+AL236+AL237++AL248+AL249+AL250+AL252+AL253+AL254+AL255+AL258</f>
        <v>0</v>
      </c>
      <c r="AM223" s="777">
        <f>AM224+AM236+AM237++AM248+AM249+AM250+AM252+AM253+AM254+AM255+AM258</f>
        <v>0</v>
      </c>
      <c r="AN223" s="777">
        <f>AN224+AN236+AN237++AN248+AN249+AN250+AN252+AN253+AN254+AN255+AN258</f>
        <v>0</v>
      </c>
      <c r="AO223" s="777">
        <f>AO224+AO236+AO237++AO248+AO249+AO250+AO252+AO253+AO254+AO255+AO258</f>
        <v>0</v>
      </c>
      <c r="AP223" s="777">
        <f>AP224+AP236+AP237++AP248+AP249+AP250+AP252+AP253+AP254+AP255+AP258</f>
        <v>0</v>
      </c>
      <c r="AQ223" s="777">
        <f>AQ224+AQ236+AQ237++AQ248+AQ249+AQ250+AQ252+AQ253+AQ254+AQ255+AQ258</f>
        <v>0</v>
      </c>
      <c r="AR223" s="777">
        <f>AR224+AR236+AR237++AR248+AR249+AR250+AR252+AR253+AR254+AR255+AR258</f>
        <v>0</v>
      </c>
      <c r="AS223" s="777">
        <f>AS224+AS236+AS237++AS248+AS249+AS250+AS252+AS253+AS254+AS255+AS258</f>
        <v>0</v>
      </c>
      <c r="AT223" s="777">
        <f>AT224+AT236+AT237++AT248+AT249+AT250+AT252+AT253+AT254+AT255+AT258</f>
        <v>41452.96725</v>
      </c>
      <c r="AU223" s="777">
        <f>AU224+AU236+AU237++AU248+AU249+AU250+AU252+AU253+AU254+AU255+AU258</f>
        <v>0</v>
      </c>
      <c r="AV223" s="777">
        <f>AV224+AV236+AV237++AV248+AV249+AV250+AV252+AV253+AV254+AV255+AV258</f>
        <v>0</v>
      </c>
      <c r="AW223" s="777">
        <f>AW224+AW236+AW237++AW248+AW249+AW250+AW252+AW253+AW254+AW255+AW258</f>
        <v>0</v>
      </c>
      <c r="AX223" s="777">
        <f>AX224+AX236+AX237++AX248+AX249+AX250+AX252+AX253+AX254+AX255+AX258</f>
        <v>0</v>
      </c>
      <c r="AY223" s="777">
        <f>AY224+AY236+AY237++AY248+AY249+AY250+AY252+AY253+AY254+AY255+AY258</f>
        <v>0</v>
      </c>
      <c r="AZ223" s="777">
        <f>AZ224+AZ236+AZ237++AZ248+AZ249+AZ250+AZ252+AZ253+AZ254+AZ255+AZ258</f>
        <v>0</v>
      </c>
      <c r="BA223" s="777">
        <f>BA224+BA236+BA237++BA248+BA249+BA250+BA252+BA253+BA254+BA255+BA258</f>
        <v>0</v>
      </c>
      <c r="BB223" s="777">
        <f>BB224+BB236+BB237++BB248+BB249+BB250+BB252+BB253+BB254+BB255+BB258</f>
        <v>0</v>
      </c>
      <c r="BC223" s="777">
        <f>BC224+BC236+BC237++BC248+BC249+BC250+BC252+BC253+BC254+BC255+BC258</f>
        <v>0</v>
      </c>
      <c r="BD223" s="768">
        <f>IF(AI223=0,0,(AT223-AI223)/AI223*100)</f>
        <v>-5.08483981514653</v>
      </c>
      <c r="BE223" s="768">
        <f>IF(AT223=0,0,(AU223-AT223)/AT223*100)</f>
        <v>-100</v>
      </c>
      <c r="BF223" s="768">
        <f>IF(AU223=0,0,(AV223-AU223)/AU223*100)</f>
        <v>0</v>
      </c>
      <c r="BG223" s="768">
        <f>IF(AV223=0,0,(AW223-AV223)/AV223*100)</f>
        <v>0</v>
      </c>
      <c r="BH223" s="768">
        <f>IF(AW223=0,0,(AX223-AW223)/AW223*100)</f>
        <v>0</v>
      </c>
      <c r="BI223" s="768">
        <f>IF(AX223=0,0,(AY223-AX223)/AX223*100)</f>
        <v>0</v>
      </c>
      <c r="BJ223" s="768">
        <f>IF(AY223=0,0,(AZ223-AY223)/AY223*100)</f>
        <v>0</v>
      </c>
      <c r="BK223" s="768">
        <f>IF(AZ223=0,0,(BA223-AZ223)/AZ223*100)</f>
        <v>0</v>
      </c>
      <c r="BL223" s="768">
        <f>IF(BA223=0,0,(BB223-BA223)/BA223*100)</f>
        <v>0</v>
      </c>
      <c r="BM223" s="768">
        <f>IF(BB223=0,0,(BC223-BB223)/BB223*100)</f>
        <v>0</v>
      </c>
      <c r="BN223" s="6533"/>
      <c r="BO223" s="6533" t="s">
        <v>2481</v>
      </c>
      <c r="BP223" s="6533"/>
      <c r="BQ223" s="156"/>
      <c r="BR223" s="706"/>
      <c r="BS223" s="1078" t="s">
        <v>2272</v>
      </c>
      <c r="BT223" s="1078"/>
      <c r="BU223" s="1078"/>
      <c r="BV223" s="713"/>
      <c r="BW223" s="713"/>
    </row>
    <row s="6576" customFormat="1" customHeight="1" ht="56.32192611694336">
      <c r="A224" s="706"/>
      <c r="B224" s="437"/>
      <c r="C224" s="706"/>
      <c r="D224" s="706"/>
      <c r="E224" s="713">
        <v>22.5</v>
      </c>
      <c r="F224" s="50" cm="1" t="str">
        <f t="array" ref="F224:F224">OFFSET(E224,-1,1)</f>
        <v>1</v>
      </c>
      <c r="G224" s="706"/>
      <c r="H224" s="154"/>
      <c r="I224" s="154" t="s">
        <v>584</v>
      </c>
      <c r="J224" s="706"/>
      <c r="K224" s="154" t="s">
        <v>584</v>
      </c>
      <c r="L224" s="993" t="s">
        <v>570</v>
      </c>
      <c r="M224" s="105"/>
      <c r="N224" s="706"/>
      <c r="O224" s="706"/>
      <c r="P224" s="706"/>
      <c r="Q224" s="706"/>
      <c r="R224" s="706"/>
      <c r="S224" s="706"/>
      <c r="T224" s="468" cm="1" t="str">
        <f t="array" ref="T224:T224">T223</f>
        <v>true</v>
      </c>
      <c r="U224" s="706"/>
      <c r="V224" s="706"/>
      <c r="W224" s="706"/>
      <c r="X224" s="1539"/>
      <c r="Y224" s="706"/>
      <c r="Z224" s="1529"/>
      <c r="AA224" s="706"/>
      <c r="AB224" s="214" t="s">
        <v>660</v>
      </c>
      <c r="AC224" s="357" t="s">
        <v>2273</v>
      </c>
      <c r="AD224" s="207" t="s">
        <v>936</v>
      </c>
      <c r="AE224" s="209">
        <f>SUM(AE225:AE235)</f>
        <v>4283.56</v>
      </c>
      <c r="AF224" s="209">
        <f>SUM(AF225:AF235)</f>
        <v>5861.53</v>
      </c>
      <c r="AG224" s="209">
        <f>SUM(AG225:AG235)</f>
        <v>5861.53</v>
      </c>
      <c r="AH224" s="768">
        <f>AG224-AF224</f>
        <v>0</v>
      </c>
      <c r="AI224" s="209">
        <f>SUM(AI225:AI235)</f>
        <v>5465.44</v>
      </c>
      <c r="AJ224" s="209">
        <f>SUM(AJ225:AJ235)</f>
        <v>6900.27</v>
      </c>
      <c r="AK224" s="209">
        <f>SUM(AK225:AK235)</f>
        <v>0</v>
      </c>
      <c r="AL224" s="209">
        <f>SUM(AL225:AL235)</f>
        <v>0</v>
      </c>
      <c r="AM224" s="209">
        <f>SUM(AM225:AM235)</f>
        <v>0</v>
      </c>
      <c r="AN224" s="209">
        <f>SUM(AN225:AN235)</f>
        <v>0</v>
      </c>
      <c r="AO224" s="209">
        <f>SUM(AO225:AO235)</f>
        <v>0</v>
      </c>
      <c r="AP224" s="209">
        <f>SUM(AP225:AP235)</f>
        <v>0</v>
      </c>
      <c r="AQ224" s="209">
        <f>SUM(AQ225:AQ235)</f>
        <v>0</v>
      </c>
      <c r="AR224" s="209">
        <f>SUM(AR225:AR235)</f>
        <v>0</v>
      </c>
      <c r="AS224" s="209">
        <f>SUM(AS225:AS235)</f>
        <v>0</v>
      </c>
      <c r="AT224" s="209">
        <f>SUM(AT225:AT235)</f>
        <v>6763.50725</v>
      </c>
      <c r="AU224" s="209">
        <f>SUM(AU225:AU235)</f>
        <v>0</v>
      </c>
      <c r="AV224" s="209">
        <f>SUM(AV225:AV235)</f>
        <v>0</v>
      </c>
      <c r="AW224" s="209">
        <f>SUM(AW225:AW235)</f>
        <v>0</v>
      </c>
      <c r="AX224" s="209">
        <f>SUM(AX225:AX235)</f>
        <v>0</v>
      </c>
      <c r="AY224" s="209">
        <f>SUM(AY225:AY235)</f>
        <v>0</v>
      </c>
      <c r="AZ224" s="209">
        <f>SUM(AZ225:AZ235)</f>
        <v>0</v>
      </c>
      <c r="BA224" s="209">
        <f>SUM(BA225:BA235)</f>
        <v>0</v>
      </c>
      <c r="BB224" s="209">
        <f>SUM(BB225:BB235)</f>
        <v>0</v>
      </c>
      <c r="BC224" s="209">
        <f>SUM(BC225:BC235)</f>
        <v>0</v>
      </c>
      <c r="BD224" s="768">
        <f>IF(AI224=0,0,(AT224-AI224)/AI224*100)</f>
        <v>23.7504619939108</v>
      </c>
      <c r="BE224" s="768">
        <f>IF(AT224=0,0,(AU224-AT224)/AT224*100)</f>
        <v>-100</v>
      </c>
      <c r="BF224" s="768">
        <f>IF(AU224=0,0,(AV224-AU224)/AU224*100)</f>
        <v>0</v>
      </c>
      <c r="BG224" s="768">
        <f>IF(AV224=0,0,(AW224-AV224)/AV224*100)</f>
        <v>0</v>
      </c>
      <c r="BH224" s="768">
        <f>IF(AW224=0,0,(AX224-AW224)/AW224*100)</f>
        <v>0</v>
      </c>
      <c r="BI224" s="768">
        <f>IF(AX224=0,0,(AY224-AX224)/AX224*100)</f>
        <v>0</v>
      </c>
      <c r="BJ224" s="768">
        <f>IF(AY224=0,0,(AZ224-AY224)/AY224*100)</f>
        <v>0</v>
      </c>
      <c r="BK224" s="768">
        <f>IF(AZ224=0,0,(BA224-AZ224)/AZ224*100)</f>
        <v>0</v>
      </c>
      <c r="BL224" s="768">
        <f>IF(BA224=0,0,(BB224-BA224)/BA224*100)</f>
        <v>0</v>
      </c>
      <c r="BM224" s="768">
        <f>IF(BB224=0,0,(BC224-BB224)/BB224*100)</f>
        <v>0</v>
      </c>
      <c r="BN224" s="6292"/>
      <c r="BO224" s="6292"/>
      <c r="BP224" s="6292"/>
      <c r="BQ224" s="706"/>
      <c r="BR224" s="706"/>
      <c r="BS224" s="1078" t="s">
        <v>2274</v>
      </c>
      <c r="BT224" s="1078"/>
      <c r="BU224" s="1078"/>
      <c r="BV224" s="713"/>
      <c r="BW224" s="713"/>
    </row>
    <row s="1656" customFormat="1" customHeight="1" ht="297.421875">
      <c r="A225" s="1297"/>
      <c r="B225" s="986"/>
      <c r="C225" s="1297"/>
      <c r="D225" s="1297"/>
      <c r="E225" s="709">
        <v>15</v>
      </c>
      <c r="F225" s="50" cm="1" t="str">
        <f t="array" ref="F225:F225">OFFSET(E225,-1,1)</f>
        <v>1</v>
      </c>
      <c r="G225" s="154" t="s">
        <v>1287</v>
      </c>
      <c r="H225" s="1297"/>
      <c r="I225" s="154" t="s">
        <v>1787</v>
      </c>
      <c r="J225" s="1297"/>
      <c r="K225" s="154" t="s">
        <v>1787</v>
      </c>
      <c r="L225" s="988" t="s">
        <v>1553</v>
      </c>
      <c r="M225" s="103"/>
      <c r="N225" s="1297"/>
      <c r="O225" s="1297"/>
      <c r="P225" s="1297"/>
      <c r="Q225" s="1297"/>
      <c r="R225" s="1297"/>
      <c r="S225" s="1297"/>
      <c r="T225" s="468" cm="1" t="str">
        <f t="array" ref="T225:T225">T224</f>
        <v>true</v>
      </c>
      <c r="U225" s="1297"/>
      <c r="V225" s="1297"/>
      <c r="W225" s="1297"/>
      <c r="X225" s="1539"/>
      <c r="Y225" s="1297"/>
      <c r="Z225" s="1529"/>
      <c r="AA225" s="1297"/>
      <c r="AB225" s="295" t="s">
        <v>592</v>
      </c>
      <c r="AC225" s="772" t="s">
        <v>2275</v>
      </c>
      <c r="AD225" s="296" t="s">
        <v>936</v>
      </c>
      <c r="AE225" s="255">
        <f>_xlfn.SUMIFS(Покупка!AE$25:AE$327,Покупка!$F$25:$F$327,$F225,Покупка!$AC$25:$AC$327,$G225)</f>
        <v>4283.56</v>
      </c>
      <c r="AF225" s="255">
        <f>_xlfn.SUMIFS(Покупка!AF$25:AF$327,Покупка!$F$25:$F$327,$F225,Покупка!$AC$25:$AC$327,$G225)</f>
        <v>5861.53</v>
      </c>
      <c r="AG225" s="255">
        <f>_xlfn.SUMIFS(Покупка!AG$25:AG$327,Покупка!$F$25:$F$327,$F225,Покупка!$AC$25:$AC$327,$G225)</f>
        <v>5861.53</v>
      </c>
      <c r="AH225" s="951">
        <f>AG225-AF225</f>
        <v>0</v>
      </c>
      <c r="AI225" s="951">
        <f>_xlfn.SUMIFS(Покупка!AH$25:AH$327,Покупка!$F$25:$F$327,$F225,Покупка!$AC$25:$AC$327,$G225)</f>
        <v>5465.44</v>
      </c>
      <c r="AJ225" s="951">
        <f>_xlfn.SUMIFS(Покупка!AI$25:AI$327,Покупка!$F$25:$F$327,$F225,Покупка!$AC$25:$AC$327,$G225)</f>
        <v>6900.27</v>
      </c>
      <c r="AK225" s="951">
        <f>_xlfn.SUMIFS(Покупка!AJ$25:AJ$327,Покупка!$F$25:$F$327,$F225,Покупка!$AC$25:$AC$327,$G225)</f>
        <v>0</v>
      </c>
      <c r="AL225" s="951">
        <f>_xlfn.SUMIFS(Покупка!AK$25:AK$327,Покупка!$F$25:$F$327,$F225,Покупка!$AC$25:$AC$327,$G225)</f>
        <v>0</v>
      </c>
      <c r="AM225" s="951">
        <f>_xlfn.SUMIFS(Покупка!AL$25:AL$327,Покупка!$F$25:$F$327,$F225,Покупка!$AC$25:$AC$327,$G225)</f>
        <v>0</v>
      </c>
      <c r="AN225" s="951">
        <f>_xlfn.SUMIFS(Покупка!AM$25:AM$327,Покупка!$F$25:$F$327,$F225,Покупка!$AC$25:$AC$327,$G225)</f>
        <v>0</v>
      </c>
      <c r="AO225" s="951">
        <f>_xlfn.SUMIFS(Покупка!AN$25:AN$327,Покупка!$F$25:$F$327,$F225,Покупка!$AC$25:$AC$327,$G225)</f>
        <v>0</v>
      </c>
      <c r="AP225" s="951">
        <f>_xlfn.SUMIFS(Покупка!AO$25:AO$327,Покупка!$F$25:$F$327,$F225,Покупка!$AC$25:$AC$327,$G225)</f>
        <v>0</v>
      </c>
      <c r="AQ225" s="951">
        <f>_xlfn.SUMIFS(Покупка!AP$25:AP$327,Покупка!$F$25:$F$327,$F225,Покупка!$AC$25:$AC$327,$G225)</f>
        <v>0</v>
      </c>
      <c r="AR225" s="951">
        <f>_xlfn.SUMIFS(Покупка!AQ$25:AQ$327,Покупка!$F$25:$F$327,$F225,Покупка!$AC$25:$AC$327,$G225)</f>
        <v>0</v>
      </c>
      <c r="AS225" s="951">
        <f>_xlfn.SUMIFS(Покупка!AR$25:AR$327,Покупка!$F$25:$F$327,$F225,Покупка!$AC$25:$AC$327,$G225)</f>
        <v>0</v>
      </c>
      <c r="AT225" s="951">
        <f>_xlfn.SUMIFS(Покупка!AS$25:AS$327,Покупка!$F$25:$F$327,$F225,Покупка!$AC$25:$AC$327,$G225)</f>
        <v>6711.7879</v>
      </c>
      <c r="AU225" s="951">
        <f>_xlfn.SUMIFS(Покупка!AT$25:AT$327,Покупка!$F$25:$F$327,$F225,Покупка!$AC$25:$AC$327,$G225)</f>
        <v>0</v>
      </c>
      <c r="AV225" s="951">
        <f>_xlfn.SUMIFS(Покупка!AU$25:AU$327,Покупка!$F$25:$F$327,$F225,Покупка!$AC$25:$AC$327,$G225)</f>
        <v>0</v>
      </c>
      <c r="AW225" s="951">
        <f>_xlfn.SUMIFS(Покупка!AV$25:AV$327,Покупка!$F$25:$F$327,$F225,Покупка!$AC$25:$AC$327,$G225)</f>
        <v>0</v>
      </c>
      <c r="AX225" s="951">
        <f>_xlfn.SUMIFS(Покупка!AW$25:AW$327,Покупка!$F$25:$F$327,$F225,Покупка!$AC$25:$AC$327,$G225)</f>
        <v>0</v>
      </c>
      <c r="AY225" s="951">
        <f>_xlfn.SUMIFS(Покупка!AX$25:AX$327,Покупка!$F$25:$F$327,$F225,Покупка!$AC$25:$AC$327,$G225)</f>
        <v>0</v>
      </c>
      <c r="AZ225" s="951">
        <f>_xlfn.SUMIFS(Покупка!AY$25:AY$327,Покупка!$F$25:$F$327,$F225,Покупка!$AC$25:$AC$327,$G225)</f>
        <v>0</v>
      </c>
      <c r="BA225" s="951">
        <f>_xlfn.SUMIFS(Покупка!AZ$25:AZ$327,Покупка!$F$25:$F$327,$F225,Покупка!$AC$25:$AC$327,$G225)</f>
        <v>0</v>
      </c>
      <c r="BB225" s="951">
        <f>_xlfn.SUMIFS(Покупка!BA$25:BA$327,Покупка!$F$25:$F$327,$F225,Покупка!$AC$25:$AC$327,$G225)</f>
        <v>0</v>
      </c>
      <c r="BC225" s="951">
        <f>_xlfn.SUMIFS(Покупка!BB$25:BB$327,Покупка!$F$25:$F$327,$F225,Покупка!$AC$25:$AC$327,$G225)</f>
        <v>0</v>
      </c>
      <c r="BD225" s="951">
        <f>IF(AI225=0,0,(AT225-AI225)/AI225*100)</f>
        <v>22.8041639831377</v>
      </c>
      <c r="BE225" s="951">
        <f>IF(AT225=0,0,(AU225-AT225)/AT225*100)</f>
        <v>-100</v>
      </c>
      <c r="BF225" s="951">
        <f>IF(AU225=0,0,(AV225-AU225)/AU225*100)</f>
        <v>0</v>
      </c>
      <c r="BG225" s="951">
        <f>IF(AV225=0,0,(AW225-AV225)/AV225*100)</f>
        <v>0</v>
      </c>
      <c r="BH225" s="951">
        <f>IF(AW225=0,0,(AX225-AW225)/AW225*100)</f>
        <v>0</v>
      </c>
      <c r="BI225" s="951">
        <f>IF(AX225=0,0,(AY225-AX225)/AX225*100)</f>
        <v>0</v>
      </c>
      <c r="BJ225" s="951">
        <f>IF(AY225=0,0,(AZ225-AY225)/AY225*100)</f>
        <v>0</v>
      </c>
      <c r="BK225" s="951">
        <f>IF(AZ225=0,0,(BA225-AZ225)/AZ225*100)</f>
        <v>0</v>
      </c>
      <c r="BL225" s="951">
        <f>IF(BA225=0,0,(BB225-BA225)/BA225*100)</f>
        <v>0</v>
      </c>
      <c r="BM225" s="951">
        <f>IF(BB225=0,0,(BC225-BB225)/BB225*100)</f>
        <v>0</v>
      </c>
      <c r="BN225" s="6533" t="s">
        <v>2482</v>
      </c>
      <c r="BO225" s="6525" t="s">
        <v>2483</v>
      </c>
      <c r="BP225" s="6533" t="s">
        <v>2484</v>
      </c>
      <c r="BQ225" s="1297"/>
      <c r="BR225" s="1297"/>
      <c r="BS225" s="1072" t="s">
        <v>1288</v>
      </c>
      <c r="BT225" s="1072"/>
      <c r="BU225" s="1072"/>
      <c r="BV225" s="987"/>
      <c r="BW225" s="987"/>
    </row>
    <row s="1656" customFormat="1" customHeight="1" ht="14.25">
      <c r="A226" s="1297"/>
      <c r="B226" s="92"/>
      <c r="C226" s="103"/>
      <c r="D226" s="103"/>
      <c r="E226" s="626">
        <v>15</v>
      </c>
      <c r="F226" s="50" cm="1" t="str">
        <f t="array" ref="F226:F226">OFFSET(E226,-1,1)</f>
        <v>1</v>
      </c>
      <c r="G226" s="103" t="s">
        <v>1309</v>
      </c>
      <c r="H226" s="103"/>
      <c r="I226" s="103" t="s">
        <v>1791</v>
      </c>
      <c r="J226" s="103"/>
      <c r="K226" s="103" t="s">
        <v>1791</v>
      </c>
      <c r="L226" s="988" t="s">
        <v>1557</v>
      </c>
      <c r="M226" s="103"/>
      <c r="N226" s="103"/>
      <c r="O226" s="103"/>
      <c r="P226" s="103"/>
      <c r="Q226" s="103"/>
      <c r="R226" s="103"/>
      <c r="S226" s="103"/>
      <c r="T226" s="468" cm="1" t="str">
        <f t="array" ref="T226:T226">T225</f>
        <v>true</v>
      </c>
      <c r="U226" s="103"/>
      <c r="V226" s="103"/>
      <c r="W226" s="1297"/>
      <c r="X226" s="1539"/>
      <c r="Y226" s="1297"/>
      <c r="Z226" s="1529"/>
      <c r="AA226" s="1297"/>
      <c r="AB226" s="295" t="s">
        <v>2276</v>
      </c>
      <c r="AC226" s="772" t="s">
        <v>2277</v>
      </c>
      <c r="AD226" s="296" t="s">
        <v>936</v>
      </c>
      <c r="AE226" s="255">
        <f>_xlfn.SUMIFS(Покупка!AE$25:AE$327,Покупка!$F$25:$F$327,$F226,Покупка!$AC$25:$AC$327,$G226)</f>
        <v>0</v>
      </c>
      <c r="AF226" s="255">
        <f>_xlfn.SUMIFS(Покупка!AF$25:AF$327,Покупка!$F$25:$F$327,$F226,Покупка!$AC$25:$AC$327,$G226)</f>
        <v>0</v>
      </c>
      <c r="AG226" s="255">
        <f>_xlfn.SUMIFS(Покупка!AG$25:AG$327,Покупка!$F$25:$F$327,$F226,Покупка!$AC$25:$AC$327,$G226)</f>
        <v>0</v>
      </c>
      <c r="AH226" s="951">
        <f>AG226-AF226</f>
        <v>0</v>
      </c>
      <c r="AI226" s="951">
        <f>_xlfn.SUMIFS(Покупка!AH$25:AH$327,Покупка!$F$25:$F$327,$F226,Покупка!$AC$25:$AC$327,$G226)</f>
        <v>0</v>
      </c>
      <c r="AJ226" s="951">
        <f>_xlfn.SUMIFS(Покупка!AI$25:AI$327,Покупка!$F$25:$F$327,$F226,Покупка!$AC$25:$AC$327,$G226)</f>
        <v>0</v>
      </c>
      <c r="AK226" s="951">
        <f>_xlfn.SUMIFS(Покупка!AJ$25:AJ$327,Покупка!$F$25:$F$327,$F226,Покупка!$AC$25:$AC$327,$G226)</f>
        <v>0</v>
      </c>
      <c r="AL226" s="951">
        <f>_xlfn.SUMIFS(Покупка!AK$25:AK$327,Покупка!$F$25:$F$327,$F226,Покупка!$AC$25:$AC$327,$G226)</f>
        <v>0</v>
      </c>
      <c r="AM226" s="951">
        <f>_xlfn.SUMIFS(Покупка!AL$25:AL$327,Покупка!$F$25:$F$327,$F226,Покупка!$AC$25:$AC$327,$G226)</f>
        <v>0</v>
      </c>
      <c r="AN226" s="951">
        <f>_xlfn.SUMIFS(Покупка!AM$25:AM$327,Покупка!$F$25:$F$327,$F226,Покупка!$AC$25:$AC$327,$G226)</f>
        <v>0</v>
      </c>
      <c r="AO226" s="951">
        <f>_xlfn.SUMIFS(Покупка!AN$25:AN$327,Покупка!$F$25:$F$327,$F226,Покупка!$AC$25:$AC$327,$G226)</f>
        <v>0</v>
      </c>
      <c r="AP226" s="951">
        <f>_xlfn.SUMIFS(Покупка!AO$25:AO$327,Покупка!$F$25:$F$327,$F226,Покупка!$AC$25:$AC$327,$G226)</f>
        <v>0</v>
      </c>
      <c r="AQ226" s="951">
        <f>_xlfn.SUMIFS(Покупка!AP$25:AP$327,Покупка!$F$25:$F$327,$F226,Покупка!$AC$25:$AC$327,$G226)</f>
        <v>0</v>
      </c>
      <c r="AR226" s="951">
        <f>_xlfn.SUMIFS(Покупка!AQ$25:AQ$327,Покупка!$F$25:$F$327,$F226,Покупка!$AC$25:$AC$327,$G226)</f>
        <v>0</v>
      </c>
      <c r="AS226" s="951">
        <f>_xlfn.SUMIFS(Покупка!AR$25:AR$327,Покупка!$F$25:$F$327,$F226,Покупка!$AC$25:$AC$327,$G226)</f>
        <v>0</v>
      </c>
      <c r="AT226" s="951">
        <f>_xlfn.SUMIFS(Покупка!AS$25:AS$327,Покупка!$F$25:$F$327,$F226,Покупка!$AC$25:$AC$327,$G226)</f>
        <v>0</v>
      </c>
      <c r="AU226" s="951">
        <f>_xlfn.SUMIFS(Покупка!AT$25:AT$327,Покупка!$F$25:$F$327,$F226,Покупка!$AC$25:$AC$327,$G226)</f>
        <v>0</v>
      </c>
      <c r="AV226" s="951">
        <f>_xlfn.SUMIFS(Покупка!AU$25:AU$327,Покупка!$F$25:$F$327,$F226,Покупка!$AC$25:$AC$327,$G226)</f>
        <v>0</v>
      </c>
      <c r="AW226" s="951">
        <f>_xlfn.SUMIFS(Покупка!AV$25:AV$327,Покупка!$F$25:$F$327,$F226,Покупка!$AC$25:$AC$327,$G226)</f>
        <v>0</v>
      </c>
      <c r="AX226" s="951">
        <f>_xlfn.SUMIFS(Покупка!AW$25:AW$327,Покупка!$F$25:$F$327,$F226,Покупка!$AC$25:$AC$327,$G226)</f>
        <v>0</v>
      </c>
      <c r="AY226" s="951">
        <f>_xlfn.SUMIFS(Покупка!AX$25:AX$327,Покупка!$F$25:$F$327,$F226,Покупка!$AC$25:$AC$327,$G226)</f>
        <v>0</v>
      </c>
      <c r="AZ226" s="951">
        <f>_xlfn.SUMIFS(Покупка!AY$25:AY$327,Покупка!$F$25:$F$327,$F226,Покупка!$AC$25:$AC$327,$G226)</f>
        <v>0</v>
      </c>
      <c r="BA226" s="951">
        <f>_xlfn.SUMIFS(Покупка!AZ$25:AZ$327,Покупка!$F$25:$F$327,$F226,Покупка!$AC$25:$AC$327,$G226)</f>
        <v>0</v>
      </c>
      <c r="BB226" s="951">
        <f>_xlfn.SUMIFS(Покупка!BA$25:BA$327,Покупка!$F$25:$F$327,$F226,Покупка!$AC$25:$AC$327,$G226)</f>
        <v>0</v>
      </c>
      <c r="BC226" s="951">
        <f>_xlfn.SUMIFS(Покупка!BB$25:BB$327,Покупка!$F$25:$F$327,$F226,Покупка!$AC$25:$AC$327,$G226)</f>
        <v>0</v>
      </c>
      <c r="BD226" s="951">
        <f>IF(AI226=0,0,(AT226-AI226)/AI226*100)</f>
        <v>0</v>
      </c>
      <c r="BE226" s="951">
        <f>IF(AT226=0,0,(AU226-AT226)/AT226*100)</f>
        <v>0</v>
      </c>
      <c r="BF226" s="951">
        <f>IF(AU226=0,0,(AV226-AU226)/AU226*100)</f>
        <v>0</v>
      </c>
      <c r="BG226" s="951">
        <f>IF(AV226=0,0,(AW226-AV226)/AV226*100)</f>
        <v>0</v>
      </c>
      <c r="BH226" s="951">
        <f>IF(AW226=0,0,(AX226-AW226)/AW226*100)</f>
        <v>0</v>
      </c>
      <c r="BI226" s="951">
        <f>IF(AX226=0,0,(AY226-AX226)/AX226*100)</f>
        <v>0</v>
      </c>
      <c r="BJ226" s="951">
        <f>IF(AY226=0,0,(AZ226-AY226)/AY226*100)</f>
        <v>0</v>
      </c>
      <c r="BK226" s="951">
        <f>IF(AZ226=0,0,(BA226-AZ226)/AZ226*100)</f>
        <v>0</v>
      </c>
      <c r="BL226" s="951">
        <f>IF(BA226=0,0,(BB226-BA226)/BA226*100)</f>
        <v>0</v>
      </c>
      <c r="BM226" s="951">
        <f>IF(BB226=0,0,(BC226-BB226)/BB226*100)</f>
        <v>0</v>
      </c>
      <c r="BN226" s="6533"/>
      <c r="BO226" s="6525"/>
      <c r="BP226" s="6533"/>
      <c r="BQ226" s="1297"/>
      <c r="BR226" s="1297"/>
      <c r="BS226" s="1072" t="s">
        <v>1310</v>
      </c>
      <c r="BT226" s="1072"/>
      <c r="BU226" s="1072"/>
      <c r="BV226" s="987"/>
      <c r="BW226" s="987"/>
    </row>
    <row s="1656" customFormat="1" customHeight="1" ht="14.25">
      <c r="A227" s="1297"/>
      <c r="B227" s="92"/>
      <c r="C227" s="103"/>
      <c r="D227" s="103"/>
      <c r="E227" s="626">
        <v>15</v>
      </c>
      <c r="F227" s="50" cm="1" t="str">
        <f t="array" ref="F227:F227">OFFSET(E227,-1,1)</f>
        <v>1</v>
      </c>
      <c r="G227" s="103" t="s">
        <v>1261</v>
      </c>
      <c r="H227" s="103"/>
      <c r="I227" s="103" t="s">
        <v>1899</v>
      </c>
      <c r="J227" s="103"/>
      <c r="K227" s="103" t="s">
        <v>1899</v>
      </c>
      <c r="L227" s="988" t="s">
        <v>1736</v>
      </c>
      <c r="M227" s="103"/>
      <c r="N227" s="103"/>
      <c r="O227" s="103"/>
      <c r="P227" s="103"/>
      <c r="Q227" s="103"/>
      <c r="R227" s="103"/>
      <c r="S227" s="103"/>
      <c r="T227" s="468" cm="1" t="str">
        <f t="array" ref="T227:T227">T226</f>
        <v>true</v>
      </c>
      <c r="U227" s="103"/>
      <c r="V227" s="103"/>
      <c r="W227" s="1297"/>
      <c r="X227" s="1539"/>
      <c r="Y227" s="1297"/>
      <c r="Z227" s="1529"/>
      <c r="AA227" s="1297"/>
      <c r="AB227" s="295" t="s">
        <v>2278</v>
      </c>
      <c r="AC227" s="772" t="s">
        <v>2279</v>
      </c>
      <c r="AD227" s="296" t="s">
        <v>936</v>
      </c>
      <c r="AE227" s="255">
        <f>_xlfn.SUMIFS(Покупка!AE$25:AE$327,Покупка!$F$25:$F$327,$F227,Покупка!$AC$25:$AC$327,$G227)</f>
        <v>0</v>
      </c>
      <c r="AF227" s="255">
        <f>_xlfn.SUMIFS(Покупка!AF$25:AF$327,Покупка!$F$25:$F$327,$F227,Покупка!$AC$25:$AC$327,$G227)</f>
        <v>0</v>
      </c>
      <c r="AG227" s="255">
        <f>_xlfn.SUMIFS(Покупка!AG$25:AG$327,Покупка!$F$25:$F$327,$F227,Покупка!$AC$25:$AC$327,$G227)</f>
        <v>0</v>
      </c>
      <c r="AH227" s="951">
        <f>AG227-AF227</f>
        <v>0</v>
      </c>
      <c r="AI227" s="951">
        <f>_xlfn.SUMIFS(Покупка!AH$25:AH$327,Покупка!$F$25:$F$327,$F227,Покупка!$AC$25:$AC$327,$G227)</f>
        <v>0</v>
      </c>
      <c r="AJ227" s="951">
        <f>_xlfn.SUMIFS(Покупка!AI$25:AI$327,Покупка!$F$25:$F$327,$F227,Покупка!$AC$25:$AC$327,$G227)</f>
        <v>0</v>
      </c>
      <c r="AK227" s="951">
        <f>_xlfn.SUMIFS(Покупка!AJ$25:AJ$327,Покупка!$F$25:$F$327,$F227,Покупка!$AC$25:$AC$327,$G227)</f>
        <v>0</v>
      </c>
      <c r="AL227" s="951">
        <f>_xlfn.SUMIFS(Покупка!AK$25:AK$327,Покупка!$F$25:$F$327,$F227,Покупка!$AC$25:$AC$327,$G227)</f>
        <v>0</v>
      </c>
      <c r="AM227" s="951">
        <f>_xlfn.SUMIFS(Покупка!AL$25:AL$327,Покупка!$F$25:$F$327,$F227,Покупка!$AC$25:$AC$327,$G227)</f>
        <v>0</v>
      </c>
      <c r="AN227" s="951">
        <f>_xlfn.SUMIFS(Покупка!AM$25:AM$327,Покупка!$F$25:$F$327,$F227,Покупка!$AC$25:$AC$327,$G227)</f>
        <v>0</v>
      </c>
      <c r="AO227" s="951">
        <f>_xlfn.SUMIFS(Покупка!AN$25:AN$327,Покупка!$F$25:$F$327,$F227,Покупка!$AC$25:$AC$327,$G227)</f>
        <v>0</v>
      </c>
      <c r="AP227" s="951">
        <f>_xlfn.SUMIFS(Покупка!AO$25:AO$327,Покупка!$F$25:$F$327,$F227,Покупка!$AC$25:$AC$327,$G227)</f>
        <v>0</v>
      </c>
      <c r="AQ227" s="951">
        <f>_xlfn.SUMIFS(Покупка!AP$25:AP$327,Покупка!$F$25:$F$327,$F227,Покупка!$AC$25:$AC$327,$G227)</f>
        <v>0</v>
      </c>
      <c r="AR227" s="951">
        <f>_xlfn.SUMIFS(Покупка!AQ$25:AQ$327,Покупка!$F$25:$F$327,$F227,Покупка!$AC$25:$AC$327,$G227)</f>
        <v>0</v>
      </c>
      <c r="AS227" s="951">
        <f>_xlfn.SUMIFS(Покупка!AR$25:AR$327,Покупка!$F$25:$F$327,$F227,Покупка!$AC$25:$AC$327,$G227)</f>
        <v>0</v>
      </c>
      <c r="AT227" s="951">
        <f>_xlfn.SUMIFS(Покупка!AS$25:AS$327,Покупка!$F$25:$F$327,$F227,Покупка!$AC$25:$AC$327,$G227)</f>
        <v>0</v>
      </c>
      <c r="AU227" s="951">
        <f>_xlfn.SUMIFS(Покупка!AT$25:AT$327,Покупка!$F$25:$F$327,$F227,Покупка!$AC$25:$AC$327,$G227)</f>
        <v>0</v>
      </c>
      <c r="AV227" s="951">
        <f>_xlfn.SUMIFS(Покупка!AU$25:AU$327,Покупка!$F$25:$F$327,$F227,Покупка!$AC$25:$AC$327,$G227)</f>
        <v>0</v>
      </c>
      <c r="AW227" s="951">
        <f>_xlfn.SUMIFS(Покупка!AV$25:AV$327,Покупка!$F$25:$F$327,$F227,Покупка!$AC$25:$AC$327,$G227)</f>
        <v>0</v>
      </c>
      <c r="AX227" s="951">
        <f>_xlfn.SUMIFS(Покупка!AW$25:AW$327,Покупка!$F$25:$F$327,$F227,Покупка!$AC$25:$AC$327,$G227)</f>
        <v>0</v>
      </c>
      <c r="AY227" s="951">
        <f>_xlfn.SUMIFS(Покупка!AX$25:AX$327,Покупка!$F$25:$F$327,$F227,Покупка!$AC$25:$AC$327,$G227)</f>
        <v>0</v>
      </c>
      <c r="AZ227" s="951">
        <f>_xlfn.SUMIFS(Покупка!AY$25:AY$327,Покупка!$F$25:$F$327,$F227,Покупка!$AC$25:$AC$327,$G227)</f>
        <v>0</v>
      </c>
      <c r="BA227" s="951">
        <f>_xlfn.SUMIFS(Покупка!AZ$25:AZ$327,Покупка!$F$25:$F$327,$F227,Покупка!$AC$25:$AC$327,$G227)</f>
        <v>0</v>
      </c>
      <c r="BB227" s="951">
        <f>_xlfn.SUMIFS(Покупка!BA$25:BA$327,Покупка!$F$25:$F$327,$F227,Покупка!$AC$25:$AC$327,$G227)</f>
        <v>0</v>
      </c>
      <c r="BC227" s="951">
        <f>_xlfn.SUMIFS(Покупка!BB$25:BB$327,Покупка!$F$25:$F$327,$F227,Покупка!$AC$25:$AC$327,$G227)</f>
        <v>0</v>
      </c>
      <c r="BD227" s="951">
        <f>IF(AI227=0,0,(AT227-AI227)/AI227*100)</f>
        <v>0</v>
      </c>
      <c r="BE227" s="951">
        <f>IF(AT227=0,0,(AU227-AT227)/AT227*100)</f>
        <v>0</v>
      </c>
      <c r="BF227" s="951">
        <f>IF(AU227=0,0,(AV227-AU227)/AU227*100)</f>
        <v>0</v>
      </c>
      <c r="BG227" s="951">
        <f>IF(AV227=0,0,(AW227-AV227)/AV227*100)</f>
        <v>0</v>
      </c>
      <c r="BH227" s="951">
        <f>IF(AW227=0,0,(AX227-AW227)/AW227*100)</f>
        <v>0</v>
      </c>
      <c r="BI227" s="951">
        <f>IF(AX227=0,0,(AY227-AX227)/AX227*100)</f>
        <v>0</v>
      </c>
      <c r="BJ227" s="951">
        <f>IF(AY227=0,0,(AZ227-AY227)/AY227*100)</f>
        <v>0</v>
      </c>
      <c r="BK227" s="951">
        <f>IF(AZ227=0,0,(BA227-AZ227)/AZ227*100)</f>
        <v>0</v>
      </c>
      <c r="BL227" s="951">
        <f>IF(BA227=0,0,(BB227-BA227)/BA227*100)</f>
        <v>0</v>
      </c>
      <c r="BM227" s="951">
        <f>IF(BB227=0,0,(BC227-BB227)/BB227*100)</f>
        <v>0</v>
      </c>
      <c r="BN227" s="6533"/>
      <c r="BO227" s="6525" t="str">
        <f>IF(_xlfn.IFERROR(INDEX(Покупка!$K$26:$L$327,MATCH($F227&amp;"2komm",Покупка!$K$26:$K$327,0),2),"")=0,"",_xlfn.IFERROR(INDEX(Покупка!$K$26:$L$327,MATCH($F227&amp;"2komm",Покупка!$K$26:$K$327,0),2),""))</f>
        <v/>
      </c>
      <c r="BP227" s="6533"/>
      <c r="BQ227" s="1297"/>
      <c r="BR227" s="1297"/>
      <c r="BS227" s="1072" t="s">
        <v>2280</v>
      </c>
      <c r="BT227" s="1072"/>
      <c r="BU227" s="1072"/>
      <c r="BV227" s="987"/>
      <c r="BW227" s="987"/>
    </row>
    <row s="1656" customFormat="1" customHeight="1" ht="14.25">
      <c r="A228" s="1297"/>
      <c r="B228" s="92"/>
      <c r="C228" s="103"/>
      <c r="D228" s="103"/>
      <c r="E228" s="626">
        <v>15</v>
      </c>
      <c r="F228" s="50" cm="1" t="str">
        <f t="array" ref="F228:F228">OFFSET(E228,-1,1)</f>
        <v>1</v>
      </c>
      <c r="G228" s="103" t="s">
        <v>1248</v>
      </c>
      <c r="H228" s="103"/>
      <c r="I228" s="103" t="s">
        <v>1901</v>
      </c>
      <c r="J228" s="103"/>
      <c r="K228" s="103" t="s">
        <v>1901</v>
      </c>
      <c r="L228" s="988" t="s">
        <v>1731</v>
      </c>
      <c r="M228" s="103"/>
      <c r="N228" s="103"/>
      <c r="O228" s="103"/>
      <c r="P228" s="103"/>
      <c r="Q228" s="103"/>
      <c r="R228" s="103"/>
      <c r="S228" s="103"/>
      <c r="T228" s="468" cm="1" t="str">
        <f t="array" ref="T228:T228">T227</f>
        <v>true</v>
      </c>
      <c r="U228" s="103"/>
      <c r="V228" s="103"/>
      <c r="W228" s="1297"/>
      <c r="X228" s="1539"/>
      <c r="Y228" s="1297"/>
      <c r="Z228" s="1529"/>
      <c r="AA228" s="1297"/>
      <c r="AB228" s="295" t="s">
        <v>2281</v>
      </c>
      <c r="AC228" s="772" t="s">
        <v>2282</v>
      </c>
      <c r="AD228" s="296" t="s">
        <v>936</v>
      </c>
      <c r="AE228" s="255">
        <f>_xlfn.SUMIFS(Покупка!AE$25:AE$327,Покупка!$F$25:$F$327,$F228,Покупка!$AC$25:$AC$327,$G228)</f>
        <v>0</v>
      </c>
      <c r="AF228" s="255">
        <f>_xlfn.SUMIFS(Покупка!AF$25:AF$327,Покупка!$F$25:$F$327,$F228,Покупка!$AC$25:$AC$327,$G228)</f>
        <v>0</v>
      </c>
      <c r="AG228" s="255">
        <f>_xlfn.SUMIFS(Покупка!AG$25:AG$327,Покупка!$F$25:$F$327,$F228,Покупка!$AC$25:$AC$327,$G228)</f>
        <v>0</v>
      </c>
      <c r="AH228" s="951">
        <f>AG228-AF228</f>
        <v>0</v>
      </c>
      <c r="AI228" s="951">
        <f>_xlfn.SUMIFS(Покупка!AH$25:AH$327,Покупка!$F$25:$F$327,$F228,Покупка!$AC$25:$AC$327,$G228)</f>
        <v>0</v>
      </c>
      <c r="AJ228" s="951">
        <f>_xlfn.SUMIFS(Покупка!AI$25:AI$327,Покупка!$F$25:$F$327,$F228,Покупка!$AC$25:$AC$327,$G228)</f>
        <v>0</v>
      </c>
      <c r="AK228" s="951">
        <f>_xlfn.SUMIFS(Покупка!AJ$25:AJ$327,Покупка!$F$25:$F$327,$F228,Покупка!$AC$25:$AC$327,$G228)</f>
        <v>0</v>
      </c>
      <c r="AL228" s="951">
        <f>_xlfn.SUMIFS(Покупка!AK$25:AK$327,Покупка!$F$25:$F$327,$F228,Покупка!$AC$25:$AC$327,$G228)</f>
        <v>0</v>
      </c>
      <c r="AM228" s="951">
        <f>_xlfn.SUMIFS(Покупка!AL$25:AL$327,Покупка!$F$25:$F$327,$F228,Покупка!$AC$25:$AC$327,$G228)</f>
        <v>0</v>
      </c>
      <c r="AN228" s="951">
        <f>_xlfn.SUMIFS(Покупка!AM$25:AM$327,Покупка!$F$25:$F$327,$F228,Покупка!$AC$25:$AC$327,$G228)</f>
        <v>0</v>
      </c>
      <c r="AO228" s="951">
        <f>_xlfn.SUMIFS(Покупка!AN$25:AN$327,Покупка!$F$25:$F$327,$F228,Покупка!$AC$25:$AC$327,$G228)</f>
        <v>0</v>
      </c>
      <c r="AP228" s="951">
        <f>_xlfn.SUMIFS(Покупка!AO$25:AO$327,Покупка!$F$25:$F$327,$F228,Покупка!$AC$25:$AC$327,$G228)</f>
        <v>0</v>
      </c>
      <c r="AQ228" s="951">
        <f>_xlfn.SUMIFS(Покупка!AP$25:AP$327,Покупка!$F$25:$F$327,$F228,Покупка!$AC$25:$AC$327,$G228)</f>
        <v>0</v>
      </c>
      <c r="AR228" s="951">
        <f>_xlfn.SUMIFS(Покупка!AQ$25:AQ$327,Покупка!$F$25:$F$327,$F228,Покупка!$AC$25:$AC$327,$G228)</f>
        <v>0</v>
      </c>
      <c r="AS228" s="951">
        <f>_xlfn.SUMIFS(Покупка!AR$25:AR$327,Покупка!$F$25:$F$327,$F228,Покупка!$AC$25:$AC$327,$G228)</f>
        <v>0</v>
      </c>
      <c r="AT228" s="951">
        <f>_xlfn.SUMIFS(Покупка!AS$25:AS$327,Покупка!$F$25:$F$327,$F228,Покупка!$AC$25:$AC$327,$G228)</f>
        <v>0</v>
      </c>
      <c r="AU228" s="951">
        <f>_xlfn.SUMIFS(Покупка!AT$25:AT$327,Покупка!$F$25:$F$327,$F228,Покупка!$AC$25:$AC$327,$G228)</f>
        <v>0</v>
      </c>
      <c r="AV228" s="951">
        <f>_xlfn.SUMIFS(Покупка!AU$25:AU$327,Покупка!$F$25:$F$327,$F228,Покупка!$AC$25:$AC$327,$G228)</f>
        <v>0</v>
      </c>
      <c r="AW228" s="951">
        <f>_xlfn.SUMIFS(Покупка!AV$25:AV$327,Покупка!$F$25:$F$327,$F228,Покупка!$AC$25:$AC$327,$G228)</f>
        <v>0</v>
      </c>
      <c r="AX228" s="951">
        <f>_xlfn.SUMIFS(Покупка!AW$25:AW$327,Покупка!$F$25:$F$327,$F228,Покупка!$AC$25:$AC$327,$G228)</f>
        <v>0</v>
      </c>
      <c r="AY228" s="951">
        <f>_xlfn.SUMIFS(Покупка!AX$25:AX$327,Покупка!$F$25:$F$327,$F228,Покупка!$AC$25:$AC$327,$G228)</f>
        <v>0</v>
      </c>
      <c r="AZ228" s="951">
        <f>_xlfn.SUMIFS(Покупка!AY$25:AY$327,Покупка!$F$25:$F$327,$F228,Покупка!$AC$25:$AC$327,$G228)</f>
        <v>0</v>
      </c>
      <c r="BA228" s="951">
        <f>_xlfn.SUMIFS(Покупка!AZ$25:AZ$327,Покупка!$F$25:$F$327,$F228,Покупка!$AC$25:$AC$327,$G228)</f>
        <v>0</v>
      </c>
      <c r="BB228" s="951">
        <f>_xlfn.SUMIFS(Покупка!BA$25:BA$327,Покупка!$F$25:$F$327,$F228,Покупка!$AC$25:$AC$327,$G228)</f>
        <v>0</v>
      </c>
      <c r="BC228" s="951">
        <f>_xlfn.SUMIFS(Покупка!BB$25:BB$327,Покупка!$F$25:$F$327,$F228,Покупка!$AC$25:$AC$327,$G228)</f>
        <v>0</v>
      </c>
      <c r="BD228" s="951">
        <f>IF(AI228=0,0,(AT228-AI228)/AI228*100)</f>
        <v>0</v>
      </c>
      <c r="BE228" s="951">
        <f>IF(AT228=0,0,(AU228-AT228)/AT228*100)</f>
        <v>0</v>
      </c>
      <c r="BF228" s="951">
        <f>IF(AU228=0,0,(AV228-AU228)/AU228*100)</f>
        <v>0</v>
      </c>
      <c r="BG228" s="951">
        <f>IF(AV228=0,0,(AW228-AV228)/AV228*100)</f>
        <v>0</v>
      </c>
      <c r="BH228" s="951">
        <f>IF(AW228=0,0,(AX228-AW228)/AW228*100)</f>
        <v>0</v>
      </c>
      <c r="BI228" s="951">
        <f>IF(AX228=0,0,(AY228-AX228)/AX228*100)</f>
        <v>0</v>
      </c>
      <c r="BJ228" s="951">
        <f>IF(AY228=0,0,(AZ228-AY228)/AY228*100)</f>
        <v>0</v>
      </c>
      <c r="BK228" s="951">
        <f>IF(AZ228=0,0,(BA228-AZ228)/AZ228*100)</f>
        <v>0</v>
      </c>
      <c r="BL228" s="951">
        <f>IF(BA228=0,0,(BB228-BA228)/BA228*100)</f>
        <v>0</v>
      </c>
      <c r="BM228" s="951">
        <f>IF(BB228=0,0,(BC228-BB228)/BB228*100)</f>
        <v>0</v>
      </c>
      <c r="BN228" s="6533"/>
      <c r="BO228" s="6525" t="str">
        <f>IF(_xlfn.IFERROR(INDEX(Покупка!$K$26:$L$327,MATCH($F228&amp;"1komm",Покупка!$K$26:$K$327,0),2),"")=0,"",_xlfn.IFERROR(INDEX(Покупка!$K$26:$L$327,MATCH($F228&amp;"1komm",Покупка!$K$26:$K$327,0),2),""))</f>
        <v/>
      </c>
      <c r="BP228" s="6533"/>
      <c r="BQ228" s="1297"/>
      <c r="BR228" s="1297"/>
      <c r="BS228" s="1072" t="s">
        <v>2283</v>
      </c>
      <c r="BT228" s="1072"/>
      <c r="BU228" s="1072"/>
      <c r="BV228" s="987"/>
      <c r="BW228" s="987"/>
    </row>
    <row s="1656" customFormat="1" customHeight="1" ht="14.25">
      <c r="A229" s="1297"/>
      <c r="B229" s="92"/>
      <c r="C229" s="103"/>
      <c r="D229" s="103"/>
      <c r="E229" s="626">
        <v>15</v>
      </c>
      <c r="F229" s="50" cm="1" t="str">
        <f t="array" ref="F229:F229">OFFSET(E229,-1,1)</f>
        <v>1</v>
      </c>
      <c r="G229" s="103" t="s">
        <v>1315</v>
      </c>
      <c r="H229" s="103"/>
      <c r="I229" s="103" t="s">
        <v>1904</v>
      </c>
      <c r="J229" s="103"/>
      <c r="K229" s="103" t="s">
        <v>1904</v>
      </c>
      <c r="L229" s="988"/>
      <c r="M229" s="103"/>
      <c r="N229" s="103"/>
      <c r="O229" s="103"/>
      <c r="P229" s="103"/>
      <c r="Q229" s="103"/>
      <c r="R229" s="103"/>
      <c r="S229" s="103"/>
      <c r="T229" s="468" cm="1" t="str">
        <f t="array" ref="T229:T229">T228</f>
        <v>true</v>
      </c>
      <c r="U229" s="103"/>
      <c r="V229" s="103"/>
      <c r="W229" s="1297"/>
      <c r="X229" s="1539"/>
      <c r="Y229" s="1297"/>
      <c r="Z229" s="1529"/>
      <c r="AA229" s="1297"/>
      <c r="AB229" s="295" t="s">
        <v>2284</v>
      </c>
      <c r="AC229" s="772" t="s">
        <v>2285</v>
      </c>
      <c r="AD229" s="296" t="s">
        <v>936</v>
      </c>
      <c r="AE229" s="255">
        <f>_xlfn.SUMIFS(Покупка!AE$25:AE$327,Покупка!$F$25:$F$327,$F229,Покупка!$AC$25:$AC$327,$G229)</f>
        <v>0</v>
      </c>
      <c r="AF229" s="255">
        <f>_xlfn.SUMIFS(Покупка!AF$25:AF$327,Покупка!$F$25:$F$327,$F229,Покупка!$AC$25:$AC$327,$G229)</f>
        <v>0</v>
      </c>
      <c r="AG229" s="255">
        <f>_xlfn.SUMIFS(Покупка!AG$25:AG$327,Покупка!$F$25:$F$327,$F229,Покупка!$AC$25:$AC$327,$G229)</f>
        <v>0</v>
      </c>
      <c r="AH229" s="951">
        <f>AG229-AF229</f>
        <v>0</v>
      </c>
      <c r="AI229" s="951">
        <f>_xlfn.SUMIFS(Покупка!AH$25:AH$327,Покупка!$F$25:$F$327,$F229,Покупка!$AC$25:$AC$327,$G229)</f>
        <v>0</v>
      </c>
      <c r="AJ229" s="951">
        <f>_xlfn.SUMIFS(Покупка!AI$25:AI$327,Покупка!$F$25:$F$327,$F229,Покупка!$AC$25:$AC$327,$G229)</f>
        <v>0</v>
      </c>
      <c r="AK229" s="951">
        <f>_xlfn.SUMIFS(Покупка!AJ$25:AJ$327,Покупка!$F$25:$F$327,$F229,Покупка!$AC$25:$AC$327,$G229)</f>
        <v>0</v>
      </c>
      <c r="AL229" s="951">
        <f>_xlfn.SUMIFS(Покупка!AK$25:AK$327,Покупка!$F$25:$F$327,$F229,Покупка!$AC$25:$AC$327,$G229)</f>
        <v>0</v>
      </c>
      <c r="AM229" s="951">
        <f>_xlfn.SUMIFS(Покупка!AL$25:AL$327,Покупка!$F$25:$F$327,$F229,Покупка!$AC$25:$AC$327,$G229)</f>
        <v>0</v>
      </c>
      <c r="AN229" s="951">
        <f>_xlfn.SUMIFS(Покупка!AM$25:AM$327,Покупка!$F$25:$F$327,$F229,Покупка!$AC$25:$AC$327,$G229)</f>
        <v>0</v>
      </c>
      <c r="AO229" s="951">
        <f>_xlfn.SUMIFS(Покупка!AN$25:AN$327,Покупка!$F$25:$F$327,$F229,Покупка!$AC$25:$AC$327,$G229)</f>
        <v>0</v>
      </c>
      <c r="AP229" s="951">
        <f>_xlfn.SUMIFS(Покупка!AO$25:AO$327,Покупка!$F$25:$F$327,$F229,Покупка!$AC$25:$AC$327,$G229)</f>
        <v>0</v>
      </c>
      <c r="AQ229" s="951">
        <f>_xlfn.SUMIFS(Покупка!AP$25:AP$327,Покупка!$F$25:$F$327,$F229,Покупка!$AC$25:$AC$327,$G229)</f>
        <v>0</v>
      </c>
      <c r="AR229" s="951">
        <f>_xlfn.SUMIFS(Покупка!AQ$25:AQ$327,Покупка!$F$25:$F$327,$F229,Покупка!$AC$25:$AC$327,$G229)</f>
        <v>0</v>
      </c>
      <c r="AS229" s="951">
        <f>_xlfn.SUMIFS(Покупка!AR$25:AR$327,Покупка!$F$25:$F$327,$F229,Покупка!$AC$25:$AC$327,$G229)</f>
        <v>0</v>
      </c>
      <c r="AT229" s="951">
        <f>_xlfn.SUMIFS(Покупка!AS$25:AS$327,Покупка!$F$25:$F$327,$F229,Покупка!$AC$25:$AC$327,$G229)</f>
        <v>0</v>
      </c>
      <c r="AU229" s="951">
        <f>_xlfn.SUMIFS(Покупка!AT$25:AT$327,Покупка!$F$25:$F$327,$F229,Покупка!$AC$25:$AC$327,$G229)</f>
        <v>0</v>
      </c>
      <c r="AV229" s="951">
        <f>_xlfn.SUMIFS(Покупка!AU$25:AU$327,Покупка!$F$25:$F$327,$F229,Покупка!$AC$25:$AC$327,$G229)</f>
        <v>0</v>
      </c>
      <c r="AW229" s="951">
        <f>_xlfn.SUMIFS(Покупка!AV$25:AV$327,Покупка!$F$25:$F$327,$F229,Покупка!$AC$25:$AC$327,$G229)</f>
        <v>0</v>
      </c>
      <c r="AX229" s="951">
        <f>_xlfn.SUMIFS(Покупка!AW$25:AW$327,Покупка!$F$25:$F$327,$F229,Покупка!$AC$25:$AC$327,$G229)</f>
        <v>0</v>
      </c>
      <c r="AY229" s="951">
        <f>_xlfn.SUMIFS(Покупка!AX$25:AX$327,Покупка!$F$25:$F$327,$F229,Покупка!$AC$25:$AC$327,$G229)</f>
        <v>0</v>
      </c>
      <c r="AZ229" s="951">
        <f>_xlfn.SUMIFS(Покупка!AY$25:AY$327,Покупка!$F$25:$F$327,$F229,Покупка!$AC$25:$AC$327,$G229)</f>
        <v>0</v>
      </c>
      <c r="BA229" s="951">
        <f>_xlfn.SUMIFS(Покупка!AZ$25:AZ$327,Покупка!$F$25:$F$327,$F229,Покупка!$AC$25:$AC$327,$G229)</f>
        <v>0</v>
      </c>
      <c r="BB229" s="951">
        <f>_xlfn.SUMIFS(Покупка!BA$25:BA$327,Покупка!$F$25:$F$327,$F229,Покупка!$AC$25:$AC$327,$G229)</f>
        <v>0</v>
      </c>
      <c r="BC229" s="951">
        <f>_xlfn.SUMIFS(Покупка!BB$25:BB$327,Покупка!$F$25:$F$327,$F229,Покупка!$AC$25:$AC$327,$G229)</f>
        <v>0</v>
      </c>
      <c r="BD229" s="951">
        <f>IF(AI229=0,0,(AT229-AI229)/AI229*100)</f>
        <v>0</v>
      </c>
      <c r="BE229" s="951">
        <f>IF(AT229=0,0,(AU229-AT229)/AT229*100)</f>
        <v>0</v>
      </c>
      <c r="BF229" s="951">
        <f>IF(AU229=0,0,(AV229-AU229)/AU229*100)</f>
        <v>0</v>
      </c>
      <c r="BG229" s="951">
        <f>IF(AV229=0,0,(AW229-AV229)/AV229*100)</f>
        <v>0</v>
      </c>
      <c r="BH229" s="951">
        <f>IF(AW229=0,0,(AX229-AW229)/AW229*100)</f>
        <v>0</v>
      </c>
      <c r="BI229" s="951">
        <f>IF(AX229=0,0,(AY229-AX229)/AX229*100)</f>
        <v>0</v>
      </c>
      <c r="BJ229" s="951">
        <f>IF(AY229=0,0,(AZ229-AY229)/AY229*100)</f>
        <v>0</v>
      </c>
      <c r="BK229" s="951">
        <f>IF(AZ229=0,0,(BA229-AZ229)/AZ229*100)</f>
        <v>0</v>
      </c>
      <c r="BL229" s="951">
        <f>IF(BA229=0,0,(BB229-BA229)/BA229*100)</f>
        <v>0</v>
      </c>
      <c r="BM229" s="951">
        <f>IF(BB229=0,0,(BC229-BB229)/BB229*100)</f>
        <v>0</v>
      </c>
      <c r="BN229" s="6533"/>
      <c r="BO229" s="6525"/>
      <c r="BP229" s="6533"/>
      <c r="BQ229" s="1297"/>
      <c r="BR229" s="1297"/>
      <c r="BS229" s="1072" t="s">
        <v>1316</v>
      </c>
      <c r="BT229" s="1072"/>
      <c r="BU229" s="1072"/>
      <c r="BV229" s="987"/>
      <c r="BW229" s="987"/>
    </row>
    <row s="1656" customFormat="1" customHeight="1" ht="14.25">
      <c r="A230" s="1297"/>
      <c r="B230" s="92"/>
      <c r="C230" s="103"/>
      <c r="D230" s="103"/>
      <c r="E230" s="626">
        <v>15</v>
      </c>
      <c r="F230" s="50" cm="1" t="str">
        <f t="array" ref="F230:F230">OFFSET(E230,-1,1)</f>
        <v>1</v>
      </c>
      <c r="G230" s="103"/>
      <c r="H230" s="103"/>
      <c r="I230" s="103" t="s">
        <v>2286</v>
      </c>
      <c r="J230" s="103"/>
      <c r="K230" s="103" t="s">
        <v>2286</v>
      </c>
      <c r="L230" s="988"/>
      <c r="M230" s="103"/>
      <c r="N230" s="103"/>
      <c r="O230" s="103"/>
      <c r="P230" s="103"/>
      <c r="Q230" s="103"/>
      <c r="R230" s="103"/>
      <c r="S230" s="103"/>
      <c r="T230" s="468" cm="1" t="str">
        <f t="array" ref="T230:T230">T229</f>
        <v>true</v>
      </c>
      <c r="U230" s="103"/>
      <c r="V230" s="103"/>
      <c r="W230" s="1297"/>
      <c r="X230" s="1539"/>
      <c r="Y230" s="1297"/>
      <c r="Z230" s="1529"/>
      <c r="AA230" s="1297"/>
      <c r="AB230" s="295" t="s">
        <v>2287</v>
      </c>
      <c r="AC230" s="772" t="s">
        <v>2288</v>
      </c>
      <c r="AD230" s="296" t="s">
        <v>936</v>
      </c>
      <c r="AE230" s="6531"/>
      <c r="AF230" s="6531"/>
      <c r="AG230" s="6531"/>
      <c r="AH230" s="951">
        <f>AG230-AF230</f>
        <v>0</v>
      </c>
      <c r="AI230" s="6524"/>
      <c r="AJ230" s="6524"/>
      <c r="AK230" s="1272"/>
      <c r="AL230" s="1272"/>
      <c r="AM230" s="1272"/>
      <c r="AN230" s="1272"/>
      <c r="AO230" s="1272"/>
      <c r="AP230" s="1272"/>
      <c r="AQ230" s="1272"/>
      <c r="AR230" s="1272"/>
      <c r="AS230" s="1272"/>
      <c r="AT230" s="6524"/>
      <c r="AU230" s="1272"/>
      <c r="AV230" s="1272"/>
      <c r="AW230" s="1272"/>
      <c r="AX230" s="1272"/>
      <c r="AY230" s="1272"/>
      <c r="AZ230" s="1272"/>
      <c r="BA230" s="1272"/>
      <c r="BB230" s="1272"/>
      <c r="BC230" s="1272"/>
      <c r="BD230" s="951">
        <f>IF(AI230=0,0,(AT230-AI230)/AI230*100)</f>
        <v>0</v>
      </c>
      <c r="BE230" s="951">
        <f>IF(AT230=0,0,(AU230-AT230)/AT230*100)</f>
        <v>0</v>
      </c>
      <c r="BF230" s="951">
        <f>IF(AU230=0,0,(AV230-AU230)/AU230*100)</f>
        <v>0</v>
      </c>
      <c r="BG230" s="951">
        <f>IF(AV230=0,0,(AW230-AV230)/AV230*100)</f>
        <v>0</v>
      </c>
      <c r="BH230" s="951">
        <f>IF(AW230=0,0,(AX230-AW230)/AW230*100)</f>
        <v>0</v>
      </c>
      <c r="BI230" s="951">
        <f>IF(AX230=0,0,(AY230-AX230)/AX230*100)</f>
        <v>0</v>
      </c>
      <c r="BJ230" s="951">
        <f>IF(AY230=0,0,(AZ230-AY230)/AY230*100)</f>
        <v>0</v>
      </c>
      <c r="BK230" s="951">
        <f>IF(AZ230=0,0,(BA230-AZ230)/AZ230*100)</f>
        <v>0</v>
      </c>
      <c r="BL230" s="951">
        <f>IF(BA230=0,0,(BB230-BA230)/BA230*100)</f>
        <v>0</v>
      </c>
      <c r="BM230" s="951">
        <f>IF(BB230=0,0,(BC230-BB230)/BB230*100)</f>
        <v>0</v>
      </c>
      <c r="BN230" s="6533"/>
      <c r="BO230" s="6533"/>
      <c r="BP230" s="6533"/>
      <c r="BQ230" s="1297"/>
      <c r="BR230" s="1297"/>
      <c r="BS230" s="1072" t="s">
        <v>2289</v>
      </c>
      <c r="BT230" s="1072"/>
      <c r="BU230" s="1072"/>
      <c r="BV230" s="987"/>
      <c r="BW230" s="987"/>
    </row>
    <row s="1656" customFormat="1" customHeight="1" ht="14.25">
      <c r="A231" s="1297"/>
      <c r="B231" s="92"/>
      <c r="C231" s="103"/>
      <c r="D231" s="103"/>
      <c r="E231" s="626">
        <v>15</v>
      </c>
      <c r="F231" s="50" cm="1" t="str">
        <f t="array" ref="F231:F231">OFFSET(E231,-1,1)</f>
        <v>1</v>
      </c>
      <c r="G231" s="103"/>
      <c r="H231" s="103"/>
      <c r="I231" s="103" t="s">
        <v>2290</v>
      </c>
      <c r="J231" s="103"/>
      <c r="K231" s="103" t="s">
        <v>2290</v>
      </c>
      <c r="L231" s="988"/>
      <c r="M231" s="103"/>
      <c r="N231" s="103"/>
      <c r="O231" s="103"/>
      <c r="P231" s="103"/>
      <c r="Q231" s="103"/>
      <c r="R231" s="103"/>
      <c r="S231" s="103"/>
      <c r="T231" s="468" cm="1" t="str">
        <f t="array" ref="T231:T231">T230</f>
        <v>true</v>
      </c>
      <c r="U231" s="103"/>
      <c r="V231" s="103"/>
      <c r="W231" s="1297"/>
      <c r="X231" s="1539"/>
      <c r="Y231" s="1297"/>
      <c r="Z231" s="1529"/>
      <c r="AA231" s="1297"/>
      <c r="AB231" s="295" t="s">
        <v>2291</v>
      </c>
      <c r="AC231" s="772" t="s">
        <v>2292</v>
      </c>
      <c r="AD231" s="296" t="s">
        <v>936</v>
      </c>
      <c r="AE231" s="6531"/>
      <c r="AF231" s="6531"/>
      <c r="AG231" s="6531"/>
      <c r="AH231" s="951">
        <f>AG231-AF231</f>
        <v>0</v>
      </c>
      <c r="AI231" s="6524"/>
      <c r="AJ231" s="6524"/>
      <c r="AK231" s="1272"/>
      <c r="AL231" s="1272"/>
      <c r="AM231" s="1272"/>
      <c r="AN231" s="1272"/>
      <c r="AO231" s="1272"/>
      <c r="AP231" s="1272"/>
      <c r="AQ231" s="1272"/>
      <c r="AR231" s="1272"/>
      <c r="AS231" s="1272"/>
      <c r="AT231" s="6524"/>
      <c r="AU231" s="1272"/>
      <c r="AV231" s="1272"/>
      <c r="AW231" s="1272"/>
      <c r="AX231" s="1272"/>
      <c r="AY231" s="1272"/>
      <c r="AZ231" s="1272"/>
      <c r="BA231" s="1272"/>
      <c r="BB231" s="1272"/>
      <c r="BC231" s="1272"/>
      <c r="BD231" s="951">
        <f>IF(AI231=0,0,(AT231-AI231)/AI231*100)</f>
        <v>0</v>
      </c>
      <c r="BE231" s="951">
        <f>IF(AT231=0,0,(AU231-AT231)/AT231*100)</f>
        <v>0</v>
      </c>
      <c r="BF231" s="951">
        <f>IF(AU231=0,0,(AV231-AU231)/AU231*100)</f>
        <v>0</v>
      </c>
      <c r="BG231" s="951">
        <f>IF(AV231=0,0,(AW231-AV231)/AV231*100)</f>
        <v>0</v>
      </c>
      <c r="BH231" s="951">
        <f>IF(AW231=0,0,(AX231-AW231)/AW231*100)</f>
        <v>0</v>
      </c>
      <c r="BI231" s="951">
        <f>IF(AX231=0,0,(AY231-AX231)/AX231*100)</f>
        <v>0</v>
      </c>
      <c r="BJ231" s="951">
        <f>IF(AY231=0,0,(AZ231-AY231)/AY231*100)</f>
        <v>0</v>
      </c>
      <c r="BK231" s="951">
        <f>IF(AZ231=0,0,(BA231-AZ231)/AZ231*100)</f>
        <v>0</v>
      </c>
      <c r="BL231" s="951">
        <f>IF(BA231=0,0,(BB231-BA231)/BA231*100)</f>
        <v>0</v>
      </c>
      <c r="BM231" s="951">
        <f>IF(BB231=0,0,(BC231-BB231)/BB231*100)</f>
        <v>0</v>
      </c>
      <c r="BN231" s="6533"/>
      <c r="BO231" s="6533"/>
      <c r="BP231" s="6533"/>
      <c r="BQ231" s="1297"/>
      <c r="BR231" s="1297"/>
      <c r="BS231" s="1072" t="s">
        <v>2293</v>
      </c>
      <c r="BT231" s="1072"/>
      <c r="BU231" s="1072"/>
      <c r="BV231" s="987"/>
      <c r="BW231" s="987"/>
    </row>
    <row s="1656" customFormat="1" customHeight="1" ht="14.25">
      <c r="A232" s="1297"/>
      <c r="B232" s="92"/>
      <c r="C232" s="103"/>
      <c r="D232" s="103"/>
      <c r="E232" s="626">
        <v>15</v>
      </c>
      <c r="F232" s="50" cm="1" t="str">
        <f t="array" ref="F232:F232">OFFSET(E232,-1,1)</f>
        <v>1</v>
      </c>
      <c r="G232" s="103" t="s">
        <v>1267</v>
      </c>
      <c r="H232" s="103"/>
      <c r="I232" s="103" t="s">
        <v>2294</v>
      </c>
      <c r="J232" s="103"/>
      <c r="K232" s="103" t="s">
        <v>2294</v>
      </c>
      <c r="L232" s="988" t="s">
        <v>1745</v>
      </c>
      <c r="M232" s="103"/>
      <c r="N232" s="103"/>
      <c r="O232" s="103"/>
      <c r="P232" s="103"/>
      <c r="Q232" s="103"/>
      <c r="R232" s="103"/>
      <c r="S232" s="103"/>
      <c r="T232" s="468" cm="1" t="str">
        <f t="array" ref="T232:T232">T231</f>
        <v>true</v>
      </c>
      <c r="U232" s="103"/>
      <c r="V232" s="103"/>
      <c r="W232" s="1297"/>
      <c r="X232" s="1539"/>
      <c r="Y232" s="1297"/>
      <c r="Z232" s="1529"/>
      <c r="AA232" s="1297"/>
      <c r="AB232" s="295" t="s">
        <v>2295</v>
      </c>
      <c r="AC232" s="772" t="s">
        <v>2296</v>
      </c>
      <c r="AD232" s="296" t="s">
        <v>936</v>
      </c>
      <c r="AE232" s="255">
        <f>_xlfn.SUMIFS(Покупка!AE$25:AE$327,Покупка!$F$25:$F$327,$F232,Покупка!$AC$25:$AC$327,$G232)</f>
        <v>0</v>
      </c>
      <c r="AF232" s="255">
        <f>_xlfn.SUMIFS(Покупка!AF$25:AF$327,Покупка!$F$25:$F$327,$F232,Покупка!$AC$25:$AC$327,$G232)</f>
        <v>0</v>
      </c>
      <c r="AG232" s="255">
        <f>_xlfn.SUMIFS(Покупка!AG$25:AG$327,Покупка!$F$25:$F$327,$F232,Покупка!$AC$25:$AC$327,$G232)</f>
        <v>0</v>
      </c>
      <c r="AH232" s="951">
        <f>AG232-AF232</f>
        <v>0</v>
      </c>
      <c r="AI232" s="951">
        <f>_xlfn.SUMIFS(Покупка!AH$25:AH$327,Покупка!$F$25:$F$327,$F232,Покупка!$AC$25:$AC$327,$G232)</f>
        <v>0</v>
      </c>
      <c r="AJ232" s="951">
        <f>_xlfn.SUMIFS(Покупка!AI$25:AI$327,Покупка!$F$25:$F$327,$F232,Покупка!$AC$25:$AC$327,$G232)</f>
        <v>0</v>
      </c>
      <c r="AK232" s="951">
        <f>_xlfn.SUMIFS(Покупка!AJ$25:AJ$327,Покупка!$F$25:$F$327,$F232,Покупка!$AC$25:$AC$327,$G232)</f>
        <v>0</v>
      </c>
      <c r="AL232" s="951">
        <f>_xlfn.SUMIFS(Покупка!AK$25:AK$327,Покупка!$F$25:$F$327,$F232,Покупка!$AC$25:$AC$327,$G232)</f>
        <v>0</v>
      </c>
      <c r="AM232" s="951">
        <f>_xlfn.SUMIFS(Покупка!AL$25:AL$327,Покупка!$F$25:$F$327,$F232,Покупка!$AC$25:$AC$327,$G232)</f>
        <v>0</v>
      </c>
      <c r="AN232" s="951">
        <f>_xlfn.SUMIFS(Покупка!AM$25:AM$327,Покупка!$F$25:$F$327,$F232,Покупка!$AC$25:$AC$327,$G232)</f>
        <v>0</v>
      </c>
      <c r="AO232" s="951">
        <f>_xlfn.SUMIFS(Покупка!AN$25:AN$327,Покупка!$F$25:$F$327,$F232,Покупка!$AC$25:$AC$327,$G232)</f>
        <v>0</v>
      </c>
      <c r="AP232" s="951">
        <f>_xlfn.SUMIFS(Покупка!AO$25:AO$327,Покупка!$F$25:$F$327,$F232,Покупка!$AC$25:$AC$327,$G232)</f>
        <v>0</v>
      </c>
      <c r="AQ232" s="951">
        <f>_xlfn.SUMIFS(Покупка!AP$25:AP$327,Покупка!$F$25:$F$327,$F232,Покупка!$AC$25:$AC$327,$G232)</f>
        <v>0</v>
      </c>
      <c r="AR232" s="951">
        <f>_xlfn.SUMIFS(Покупка!AQ$25:AQ$327,Покупка!$F$25:$F$327,$F232,Покупка!$AC$25:$AC$327,$G232)</f>
        <v>0</v>
      </c>
      <c r="AS232" s="951">
        <f>_xlfn.SUMIFS(Покупка!AR$25:AR$327,Покупка!$F$25:$F$327,$F232,Покупка!$AC$25:$AC$327,$G232)</f>
        <v>0</v>
      </c>
      <c r="AT232" s="951">
        <f>_xlfn.SUMIFS(Покупка!AS$25:AS$327,Покупка!$F$25:$F$327,$F232,Покупка!$AC$25:$AC$327,$G232)</f>
        <v>0</v>
      </c>
      <c r="AU232" s="951">
        <f>_xlfn.SUMIFS(Покупка!AT$25:AT$327,Покупка!$F$25:$F$327,$F232,Покупка!$AC$25:$AC$327,$G232)</f>
        <v>0</v>
      </c>
      <c r="AV232" s="951">
        <f>_xlfn.SUMIFS(Покупка!AU$25:AU$327,Покупка!$F$25:$F$327,$F232,Покупка!$AC$25:$AC$327,$G232)</f>
        <v>0</v>
      </c>
      <c r="AW232" s="951">
        <f>_xlfn.SUMIFS(Покупка!AV$25:AV$327,Покупка!$F$25:$F$327,$F232,Покупка!$AC$25:$AC$327,$G232)</f>
        <v>0</v>
      </c>
      <c r="AX232" s="951">
        <f>_xlfn.SUMIFS(Покупка!AW$25:AW$327,Покупка!$F$25:$F$327,$F232,Покупка!$AC$25:$AC$327,$G232)</f>
        <v>0</v>
      </c>
      <c r="AY232" s="951">
        <f>_xlfn.SUMIFS(Покупка!AX$25:AX$327,Покупка!$F$25:$F$327,$F232,Покупка!$AC$25:$AC$327,$G232)</f>
        <v>0</v>
      </c>
      <c r="AZ232" s="951">
        <f>_xlfn.SUMIFS(Покупка!AY$25:AY$327,Покупка!$F$25:$F$327,$F232,Покупка!$AC$25:$AC$327,$G232)</f>
        <v>0</v>
      </c>
      <c r="BA232" s="951">
        <f>_xlfn.SUMIFS(Покупка!AZ$25:AZ$327,Покупка!$F$25:$F$327,$F232,Покупка!$AC$25:$AC$327,$G232)</f>
        <v>0</v>
      </c>
      <c r="BB232" s="951">
        <f>_xlfn.SUMIFS(Покупка!BA$25:BA$327,Покупка!$F$25:$F$327,$F232,Покупка!$AC$25:$AC$327,$G232)</f>
        <v>0</v>
      </c>
      <c r="BC232" s="951">
        <f>_xlfn.SUMIFS(Покупка!BB$25:BB$327,Покупка!$F$25:$F$327,$F232,Покупка!$AC$25:$AC$327,$G232)</f>
        <v>0</v>
      </c>
      <c r="BD232" s="951">
        <f>IF(AI232=0,0,(AT232-AI232)/AI232*100)</f>
        <v>0</v>
      </c>
      <c r="BE232" s="951">
        <f>IF(AT232=0,0,(AU232-AT232)/AT232*100)</f>
        <v>0</v>
      </c>
      <c r="BF232" s="951">
        <f>IF(AU232=0,0,(AV232-AU232)/AU232*100)</f>
        <v>0</v>
      </c>
      <c r="BG232" s="951">
        <f>IF(AV232=0,0,(AW232-AV232)/AV232*100)</f>
        <v>0</v>
      </c>
      <c r="BH232" s="951">
        <f>IF(AW232=0,0,(AX232-AW232)/AW232*100)</f>
        <v>0</v>
      </c>
      <c r="BI232" s="951">
        <f>IF(AX232=0,0,(AY232-AX232)/AX232*100)</f>
        <v>0</v>
      </c>
      <c r="BJ232" s="951">
        <f>IF(AY232=0,0,(AZ232-AY232)/AY232*100)</f>
        <v>0</v>
      </c>
      <c r="BK232" s="951">
        <f>IF(AZ232=0,0,(BA232-AZ232)/AZ232*100)</f>
        <v>0</v>
      </c>
      <c r="BL232" s="951">
        <f>IF(BA232=0,0,(BB232-BA232)/BA232*100)</f>
        <v>0</v>
      </c>
      <c r="BM232" s="951">
        <f>IF(BB232=0,0,(BC232-BB232)/BB232*100)</f>
        <v>0</v>
      </c>
      <c r="BN232" s="6533"/>
      <c r="BO232" s="6525" t="str">
        <f>IF(_xlfn.IFERROR(INDEX(Покупка!$K$26:$L$327,MATCH($F232&amp;"3komm",Покупка!$K$26:$K$327,0),2),"")=0,"",_xlfn.IFERROR(INDEX(Покупка!$K$26:$L$327,MATCH($F232&amp;"3komm",Покупка!$K$26:$K$327,0),2),""))</f>
        <v/>
      </c>
      <c r="BP232" s="6533"/>
      <c r="BQ232" s="1297"/>
      <c r="BR232" s="1297"/>
      <c r="BS232" s="1072" t="s">
        <v>1997</v>
      </c>
      <c r="BT232" s="1072"/>
      <c r="BU232" s="1072"/>
      <c r="BV232" s="987"/>
      <c r="BW232" s="987"/>
    </row>
    <row s="1656" customFormat="1" customHeight="1" ht="14.25">
      <c r="A233" s="1297"/>
      <c r="B233" s="92"/>
      <c r="C233" s="103"/>
      <c r="D233" s="103"/>
      <c r="E233" s="626">
        <v>15</v>
      </c>
      <c r="F233" s="50" cm="1" t="str">
        <f t="array" ref="F233:F233">OFFSET(E233,-1,1)</f>
        <v>1</v>
      </c>
      <c r="G233" s="103" t="s">
        <v>1273</v>
      </c>
      <c r="H233" s="103"/>
      <c r="I233" s="103" t="s">
        <v>2297</v>
      </c>
      <c r="J233" s="103"/>
      <c r="K233" s="103" t="s">
        <v>2297</v>
      </c>
      <c r="L233" s="988" t="s">
        <v>1750</v>
      </c>
      <c r="M233" s="103"/>
      <c r="N233" s="103"/>
      <c r="O233" s="103"/>
      <c r="P233" s="103"/>
      <c r="Q233" s="103"/>
      <c r="R233" s="103"/>
      <c r="S233" s="103"/>
      <c r="T233" s="468" cm="1" t="str">
        <f t="array" ref="T233:T233">T232</f>
        <v>true</v>
      </c>
      <c r="U233" s="103"/>
      <c r="V233" s="103"/>
      <c r="W233" s="1297"/>
      <c r="X233" s="1539"/>
      <c r="Y233" s="1297"/>
      <c r="Z233" s="1529"/>
      <c r="AA233" s="1297"/>
      <c r="AB233" s="295" t="s">
        <v>2298</v>
      </c>
      <c r="AC233" s="772" t="s">
        <v>2299</v>
      </c>
      <c r="AD233" s="296" t="s">
        <v>936</v>
      </c>
      <c r="AE233" s="255">
        <f>_xlfn.SUMIFS(Покупка!AE$25:AE$327,Покупка!$F$25:$F$327,$F233,Покупка!$AC$25:$AC$327,$G233)</f>
        <v>0</v>
      </c>
      <c r="AF233" s="255">
        <f>_xlfn.SUMIFS(Покупка!AF$25:AF$327,Покупка!$F$25:$F$327,$F233,Покупка!$AC$25:$AC$327,$G233)</f>
        <v>0</v>
      </c>
      <c r="AG233" s="255">
        <f>_xlfn.SUMIFS(Покупка!AG$25:AG$327,Покупка!$F$25:$F$327,$F233,Покупка!$AC$25:$AC$327,$G233)</f>
        <v>0</v>
      </c>
      <c r="AH233" s="951">
        <f>AG233-AF233</f>
        <v>0</v>
      </c>
      <c r="AI233" s="951">
        <f>_xlfn.SUMIFS(Покупка!AH$25:AH$327,Покупка!$F$25:$F$327,$F233,Покупка!$AC$25:$AC$327,$G233)</f>
        <v>0</v>
      </c>
      <c r="AJ233" s="951">
        <f>_xlfn.SUMIFS(Покупка!AI$25:AI$327,Покупка!$F$25:$F$327,$F233,Покупка!$AC$25:$AC$327,$G233)</f>
        <v>0</v>
      </c>
      <c r="AK233" s="951">
        <f>_xlfn.SUMIFS(Покупка!AJ$25:AJ$327,Покупка!$F$25:$F$327,$F233,Покупка!$AC$25:$AC$327,$G233)</f>
        <v>0</v>
      </c>
      <c r="AL233" s="951">
        <f>_xlfn.SUMIFS(Покупка!AK$25:AK$327,Покупка!$F$25:$F$327,$F233,Покупка!$AC$25:$AC$327,$G233)</f>
        <v>0</v>
      </c>
      <c r="AM233" s="951">
        <f>_xlfn.SUMIFS(Покупка!AL$25:AL$327,Покупка!$F$25:$F$327,$F233,Покупка!$AC$25:$AC$327,$G233)</f>
        <v>0</v>
      </c>
      <c r="AN233" s="951">
        <f>_xlfn.SUMIFS(Покупка!AM$25:AM$327,Покупка!$F$25:$F$327,$F233,Покупка!$AC$25:$AC$327,$G233)</f>
        <v>0</v>
      </c>
      <c r="AO233" s="951">
        <f>_xlfn.SUMIFS(Покупка!AN$25:AN$327,Покупка!$F$25:$F$327,$F233,Покупка!$AC$25:$AC$327,$G233)</f>
        <v>0</v>
      </c>
      <c r="AP233" s="951">
        <f>_xlfn.SUMIFS(Покупка!AO$25:AO$327,Покупка!$F$25:$F$327,$F233,Покупка!$AC$25:$AC$327,$G233)</f>
        <v>0</v>
      </c>
      <c r="AQ233" s="951">
        <f>_xlfn.SUMIFS(Покупка!AP$25:AP$327,Покупка!$F$25:$F$327,$F233,Покупка!$AC$25:$AC$327,$G233)</f>
        <v>0</v>
      </c>
      <c r="AR233" s="951">
        <f>_xlfn.SUMIFS(Покупка!AQ$25:AQ$327,Покупка!$F$25:$F$327,$F233,Покупка!$AC$25:$AC$327,$G233)</f>
        <v>0</v>
      </c>
      <c r="AS233" s="951">
        <f>_xlfn.SUMIFS(Покупка!AR$25:AR$327,Покупка!$F$25:$F$327,$F233,Покупка!$AC$25:$AC$327,$G233)</f>
        <v>0</v>
      </c>
      <c r="AT233" s="951">
        <f>_xlfn.SUMIFS(Покупка!AS$25:AS$327,Покупка!$F$25:$F$327,$F233,Покупка!$AC$25:$AC$327,$G233)</f>
        <v>0</v>
      </c>
      <c r="AU233" s="951">
        <f>_xlfn.SUMIFS(Покупка!AT$25:AT$327,Покупка!$F$25:$F$327,$F233,Покупка!$AC$25:$AC$327,$G233)</f>
        <v>0</v>
      </c>
      <c r="AV233" s="951">
        <f>_xlfn.SUMIFS(Покупка!AU$25:AU$327,Покупка!$F$25:$F$327,$F233,Покупка!$AC$25:$AC$327,$G233)</f>
        <v>0</v>
      </c>
      <c r="AW233" s="951">
        <f>_xlfn.SUMIFS(Покупка!AV$25:AV$327,Покупка!$F$25:$F$327,$F233,Покупка!$AC$25:$AC$327,$G233)</f>
        <v>0</v>
      </c>
      <c r="AX233" s="951">
        <f>_xlfn.SUMIFS(Покупка!AW$25:AW$327,Покупка!$F$25:$F$327,$F233,Покупка!$AC$25:$AC$327,$G233)</f>
        <v>0</v>
      </c>
      <c r="AY233" s="951">
        <f>_xlfn.SUMIFS(Покупка!AX$25:AX$327,Покупка!$F$25:$F$327,$F233,Покупка!$AC$25:$AC$327,$G233)</f>
        <v>0</v>
      </c>
      <c r="AZ233" s="951">
        <f>_xlfn.SUMIFS(Покупка!AY$25:AY$327,Покупка!$F$25:$F$327,$F233,Покупка!$AC$25:$AC$327,$G233)</f>
        <v>0</v>
      </c>
      <c r="BA233" s="951">
        <f>_xlfn.SUMIFS(Покупка!AZ$25:AZ$327,Покупка!$F$25:$F$327,$F233,Покупка!$AC$25:$AC$327,$G233)</f>
        <v>0</v>
      </c>
      <c r="BB233" s="951">
        <f>_xlfn.SUMIFS(Покупка!BA$25:BA$327,Покупка!$F$25:$F$327,$F233,Покупка!$AC$25:$AC$327,$G233)</f>
        <v>0</v>
      </c>
      <c r="BC233" s="951">
        <f>_xlfn.SUMIFS(Покупка!BB$25:BB$327,Покупка!$F$25:$F$327,$F233,Покупка!$AC$25:$AC$327,$G233)</f>
        <v>0</v>
      </c>
      <c r="BD233" s="951">
        <f>IF(AI233=0,0,(AT233-AI233)/AI233*100)</f>
        <v>0</v>
      </c>
      <c r="BE233" s="951">
        <f>IF(AT233=0,0,(AU233-AT233)/AT233*100)</f>
        <v>0</v>
      </c>
      <c r="BF233" s="951">
        <f>IF(AU233=0,0,(AV233-AU233)/AU233*100)</f>
        <v>0</v>
      </c>
      <c r="BG233" s="951">
        <f>IF(AV233=0,0,(AW233-AV233)/AV233*100)</f>
        <v>0</v>
      </c>
      <c r="BH233" s="951">
        <f>IF(AW233=0,0,(AX233-AW233)/AW233*100)</f>
        <v>0</v>
      </c>
      <c r="BI233" s="951">
        <f>IF(AX233=0,0,(AY233-AX233)/AX233*100)</f>
        <v>0</v>
      </c>
      <c r="BJ233" s="951">
        <f>IF(AY233=0,0,(AZ233-AY233)/AY233*100)</f>
        <v>0</v>
      </c>
      <c r="BK233" s="951">
        <f>IF(AZ233=0,0,(BA233-AZ233)/AZ233*100)</f>
        <v>0</v>
      </c>
      <c r="BL233" s="951">
        <f>IF(BA233=0,0,(BB233-BA233)/BA233*100)</f>
        <v>0</v>
      </c>
      <c r="BM233" s="951">
        <f>IF(BB233=0,0,(BC233-BB233)/BB233*100)</f>
        <v>0</v>
      </c>
      <c r="BN233" s="6533"/>
      <c r="BO233" s="6525" t="str">
        <f>IF(_xlfn.IFERROR(INDEX(Покупка!$K$26:$L$327,MATCH($F233&amp;"4komm",Покупка!$K$26:$K$327,0),2),"")=0,"",_xlfn.IFERROR(INDEX(Покупка!$K$26:$L$327,MATCH($F232&amp;"3komm",Покупка!$K$26:$K$327,0),2),""))</f>
        <v/>
      </c>
      <c r="BP233" s="6533"/>
      <c r="BQ233" s="1297"/>
      <c r="BR233" s="1297"/>
      <c r="BS233" s="1072" t="s">
        <v>2000</v>
      </c>
      <c r="BT233" s="1072"/>
      <c r="BU233" s="1072"/>
      <c r="BV233" s="987"/>
      <c r="BW233" s="987"/>
    </row>
    <row s="1656" customFormat="1" customHeight="1" ht="14.25">
      <c r="A234" s="1297"/>
      <c r="B234" s="92"/>
      <c r="C234" s="103"/>
      <c r="D234" s="103"/>
      <c r="E234" s="626">
        <v>15</v>
      </c>
      <c r="F234" s="50" cm="1" t="str">
        <f t="array" ref="F234:F234">OFFSET(E234,-1,1)</f>
        <v>1</v>
      </c>
      <c r="G234" s="103" t="s">
        <v>1280</v>
      </c>
      <c r="H234" s="103"/>
      <c r="I234" s="103" t="s">
        <v>2300</v>
      </c>
      <c r="J234" s="103"/>
      <c r="K234" s="103" t="s">
        <v>2300</v>
      </c>
      <c r="L234" s="988" t="s">
        <v>1760</v>
      </c>
      <c r="M234" s="103"/>
      <c r="N234" s="103"/>
      <c r="O234" s="103"/>
      <c r="P234" s="103"/>
      <c r="Q234" s="103"/>
      <c r="R234" s="103"/>
      <c r="S234" s="103"/>
      <c r="T234" s="468" cm="1" t="str">
        <f t="array" ref="T234:T234">T233</f>
        <v>true</v>
      </c>
      <c r="U234" s="103"/>
      <c r="V234" s="103"/>
      <c r="W234" s="1297"/>
      <c r="X234" s="1539"/>
      <c r="Y234" s="1297"/>
      <c r="Z234" s="1529"/>
      <c r="AA234" s="1297"/>
      <c r="AB234" s="295" t="s">
        <v>2301</v>
      </c>
      <c r="AC234" s="772" t="s">
        <v>2302</v>
      </c>
      <c r="AD234" s="296" t="s">
        <v>936</v>
      </c>
      <c r="AE234" s="255">
        <f>_xlfn.SUMIFS(Покупка!AE$25:AE$327,Покупка!$F$25:$F$327,$F234,Покупка!$AC$25:$AC$327,$G234)</f>
        <v>0</v>
      </c>
      <c r="AF234" s="255">
        <f>_xlfn.SUMIFS(Покупка!AF$25:AF$327,Покупка!$F$25:$F$327,$F234,Покупка!$AC$25:$AC$327,$G234)</f>
        <v>0</v>
      </c>
      <c r="AG234" s="255">
        <f>_xlfn.SUMIFS(Покупка!AG$25:AG$327,Покупка!$F$25:$F$327,$F234,Покупка!$AC$25:$AC$327,$G234)</f>
        <v>0</v>
      </c>
      <c r="AH234" s="951">
        <f>AG234-AF234</f>
        <v>0</v>
      </c>
      <c r="AI234" s="951">
        <f>_xlfn.SUMIFS(Покупка!AH$25:AH$327,Покупка!$F$25:$F$327,$F234,Покупка!$AC$25:$AC$327,$G234)</f>
        <v>0</v>
      </c>
      <c r="AJ234" s="951">
        <f>_xlfn.SUMIFS(Покупка!AI$25:AI$327,Покупка!$F$25:$F$327,$F234,Покупка!$AC$25:$AC$327,$G234)</f>
        <v>0</v>
      </c>
      <c r="AK234" s="951">
        <f>_xlfn.SUMIFS(Покупка!AJ$25:AJ$327,Покупка!$F$25:$F$327,$F234,Покупка!$AC$25:$AC$327,$G234)</f>
        <v>0</v>
      </c>
      <c r="AL234" s="951">
        <f>_xlfn.SUMIFS(Покупка!AK$25:AK$327,Покупка!$F$25:$F$327,$F234,Покупка!$AC$25:$AC$327,$G234)</f>
        <v>0</v>
      </c>
      <c r="AM234" s="951">
        <f>_xlfn.SUMIFS(Покупка!AL$25:AL$327,Покупка!$F$25:$F$327,$F234,Покупка!$AC$25:$AC$327,$G234)</f>
        <v>0</v>
      </c>
      <c r="AN234" s="951">
        <f>_xlfn.SUMIFS(Покупка!AM$25:AM$327,Покупка!$F$25:$F$327,$F234,Покупка!$AC$25:$AC$327,$G234)</f>
        <v>0</v>
      </c>
      <c r="AO234" s="951">
        <f>_xlfn.SUMIFS(Покупка!AN$25:AN$327,Покупка!$F$25:$F$327,$F234,Покупка!$AC$25:$AC$327,$G234)</f>
        <v>0</v>
      </c>
      <c r="AP234" s="951">
        <f>_xlfn.SUMIFS(Покупка!AO$25:AO$327,Покупка!$F$25:$F$327,$F234,Покупка!$AC$25:$AC$327,$G234)</f>
        <v>0</v>
      </c>
      <c r="AQ234" s="951">
        <f>_xlfn.SUMIFS(Покупка!AP$25:AP$327,Покупка!$F$25:$F$327,$F234,Покупка!$AC$25:$AC$327,$G234)</f>
        <v>0</v>
      </c>
      <c r="AR234" s="951">
        <f>_xlfn.SUMIFS(Покупка!AQ$25:AQ$327,Покупка!$F$25:$F$327,$F234,Покупка!$AC$25:$AC$327,$G234)</f>
        <v>0</v>
      </c>
      <c r="AS234" s="951">
        <f>_xlfn.SUMIFS(Покупка!AR$25:AR$327,Покупка!$F$25:$F$327,$F234,Покупка!$AC$25:$AC$327,$G234)</f>
        <v>0</v>
      </c>
      <c r="AT234" s="951">
        <f>_xlfn.SUMIFS(Покупка!AS$25:AS$327,Покупка!$F$25:$F$327,$F234,Покупка!$AC$25:$AC$327,$G234)</f>
        <v>0</v>
      </c>
      <c r="AU234" s="951">
        <f>_xlfn.SUMIFS(Покупка!AT$25:AT$327,Покупка!$F$25:$F$327,$F234,Покупка!$AC$25:$AC$327,$G234)</f>
        <v>0</v>
      </c>
      <c r="AV234" s="951">
        <f>_xlfn.SUMIFS(Покупка!AU$25:AU$327,Покупка!$F$25:$F$327,$F234,Покупка!$AC$25:$AC$327,$G234)</f>
        <v>0</v>
      </c>
      <c r="AW234" s="951">
        <f>_xlfn.SUMIFS(Покупка!AV$25:AV$327,Покупка!$F$25:$F$327,$F234,Покупка!$AC$25:$AC$327,$G234)</f>
        <v>0</v>
      </c>
      <c r="AX234" s="951">
        <f>_xlfn.SUMIFS(Покупка!AW$25:AW$327,Покупка!$F$25:$F$327,$F234,Покупка!$AC$25:$AC$327,$G234)</f>
        <v>0</v>
      </c>
      <c r="AY234" s="951">
        <f>_xlfn.SUMIFS(Покупка!AX$25:AX$327,Покупка!$F$25:$F$327,$F234,Покупка!$AC$25:$AC$327,$G234)</f>
        <v>0</v>
      </c>
      <c r="AZ234" s="951">
        <f>_xlfn.SUMIFS(Покупка!AY$25:AY$327,Покупка!$F$25:$F$327,$F234,Покупка!$AC$25:$AC$327,$G234)</f>
        <v>0</v>
      </c>
      <c r="BA234" s="951">
        <f>_xlfn.SUMIFS(Покупка!AZ$25:AZ$327,Покупка!$F$25:$F$327,$F234,Покупка!$AC$25:$AC$327,$G234)</f>
        <v>0</v>
      </c>
      <c r="BB234" s="951">
        <f>_xlfn.SUMIFS(Покупка!BA$25:BA$327,Покупка!$F$25:$F$327,$F234,Покупка!$AC$25:$AC$327,$G234)</f>
        <v>0</v>
      </c>
      <c r="BC234" s="951">
        <f>_xlfn.SUMIFS(Покупка!BB$25:BB$327,Покупка!$F$25:$F$327,$F234,Покупка!$AC$25:$AC$327,$G234)</f>
        <v>0</v>
      </c>
      <c r="BD234" s="951">
        <f>IF(AI234=0,0,(AT234-AI234)/AI234*100)</f>
        <v>0</v>
      </c>
      <c r="BE234" s="951">
        <f>IF(AT234=0,0,(AU234-AT234)/AT234*100)</f>
        <v>0</v>
      </c>
      <c r="BF234" s="951">
        <f>IF(AU234=0,0,(AV234-AU234)/AU234*100)</f>
        <v>0</v>
      </c>
      <c r="BG234" s="951">
        <f>IF(AV234=0,0,(AW234-AV234)/AV234*100)</f>
        <v>0</v>
      </c>
      <c r="BH234" s="951">
        <f>IF(AW234=0,0,(AX234-AW234)/AW234*100)</f>
        <v>0</v>
      </c>
      <c r="BI234" s="951">
        <f>IF(AX234=0,0,(AY234-AX234)/AX234*100)</f>
        <v>0</v>
      </c>
      <c r="BJ234" s="951">
        <f>IF(AY234=0,0,(AZ234-AY234)/AY234*100)</f>
        <v>0</v>
      </c>
      <c r="BK234" s="951">
        <f>IF(AZ234=0,0,(BA234-AZ234)/AZ234*100)</f>
        <v>0</v>
      </c>
      <c r="BL234" s="951">
        <f>IF(BA234=0,0,(BB234-BA234)/BA234*100)</f>
        <v>0</v>
      </c>
      <c r="BM234" s="951">
        <f>IF(BB234=0,0,(BC234-BB234)/BB234*100)</f>
        <v>0</v>
      </c>
      <c r="BN234" s="6533"/>
      <c r="BO234" s="6525" t="str">
        <f>IF(_xlfn.IFERROR(INDEX(Покупка!$K$26:$L$327,MATCH($F234&amp;"5komm",Покупка!$K$26:$K$327,0),2),"")=0,"",_xlfn.IFERROR(INDEX(Покупка!$K$26:$L$327,MATCH($F234&amp;"5komm",Покупка!$K$26:$K$327,0),2),""))</f>
        <v/>
      </c>
      <c r="BP234" s="6533"/>
      <c r="BQ234" s="1297"/>
      <c r="BR234" s="1297"/>
      <c r="BS234" s="1072" t="s">
        <v>2003</v>
      </c>
      <c r="BT234" s="1072"/>
      <c r="BU234" s="1072"/>
      <c r="BV234" s="987"/>
      <c r="BW234" s="987"/>
    </row>
    <row s="1252" customFormat="1" customHeight="1" ht="14.25">
      <c r="A235" s="1252"/>
      <c r="B235" s="92"/>
      <c r="C235" s="103"/>
      <c r="D235" s="103"/>
      <c r="E235" s="626">
        <v>15</v>
      </c>
      <c r="F235" s="50" cm="1" t="str">
        <f t="array" ref="F235:F235">OFFSET(E235,-1,1)</f>
        <v>1</v>
      </c>
      <c r="G235" s="103" t="s">
        <v>1321</v>
      </c>
      <c r="H235" s="103"/>
      <c r="I235" s="103"/>
      <c r="J235" s="103"/>
      <c r="K235" s="103"/>
      <c r="L235" s="988" t="s">
        <v>1727</v>
      </c>
      <c r="M235" s="103"/>
      <c r="N235" s="103"/>
      <c r="O235" s="103"/>
      <c r="P235" s="103"/>
      <c r="Q235" s="103"/>
      <c r="R235" s="103"/>
      <c r="S235" s="103"/>
      <c r="T235" s="468" cm="1" t="str">
        <f t="array" ref="T235:T235">T234</f>
        <v>true</v>
      </c>
      <c r="U235" s="103"/>
      <c r="V235" s="103"/>
      <c r="W235" s="1252"/>
      <c r="X235" s="1539"/>
      <c r="Y235" s="1252"/>
      <c r="Z235" s="1529"/>
      <c r="AA235" s="1252"/>
      <c r="AB235" s="295" t="s">
        <v>2303</v>
      </c>
      <c r="AC235" s="772" t="s">
        <v>2304</v>
      </c>
      <c r="AD235" s="296" t="s">
        <v>936</v>
      </c>
      <c r="AE235" s="255">
        <f>_xlfn.SUMIFS(Покупка!AE$25:AE$327,Покупка!$F$25:$F$327,$F235,Покупка!$AC$25:$AC$327,$G235)</f>
        <v>0</v>
      </c>
      <c r="AF235" s="255">
        <f>_xlfn.SUMIFS(Покупка!AF$25:AF$327,Покупка!$F$25:$F$327,$F235,Покупка!$AC$25:$AC$327,$G235)</f>
        <v>0</v>
      </c>
      <c r="AG235" s="255">
        <f>_xlfn.SUMIFS(Покупка!AG$25:AG$327,Покупка!$F$25:$F$327,$F235,Покупка!$AC$25:$AC$327,$G235)</f>
        <v>0</v>
      </c>
      <c r="AH235" s="951">
        <f>AG235-AF235</f>
        <v>0</v>
      </c>
      <c r="AI235" s="951">
        <f>_xlfn.SUMIFS(Покупка!AH$25:AH$327,Покупка!$F$25:$F$327,$F235,Покупка!$AC$25:$AC$327,$G235)</f>
        <v>0</v>
      </c>
      <c r="AJ235" s="1125">
        <f>_xlfn.SUMIFS(Покупка!AI$25:AI$327,Покупка!$F$25:$F$327,$F235,Покупка!$AC$25:$AC$327,$G235)</f>
        <v>0</v>
      </c>
      <c r="AK235" s="1125">
        <f>_xlfn.SUMIFS(Покупка!AJ$25:AJ$327,Покупка!$F$25:$F$327,$F235,Покупка!$AC$25:$AC$327,$G235)</f>
        <v>0</v>
      </c>
      <c r="AL235" s="1125">
        <f>_xlfn.SUMIFS(Покупка!AK$25:AK$327,Покупка!$F$25:$F$327,$F235,Покупка!$AC$25:$AC$327,$G235)</f>
        <v>0</v>
      </c>
      <c r="AM235" s="1125">
        <f>_xlfn.SUMIFS(Покупка!AL$25:AL$327,Покупка!$F$25:$F$327,$F235,Покупка!$AC$25:$AC$327,$G235)</f>
        <v>0</v>
      </c>
      <c r="AN235" s="1125">
        <f>_xlfn.SUMIFS(Покупка!AM$25:AM$327,Покупка!$F$25:$F$327,$F235,Покупка!$AC$25:$AC$327,$G235)</f>
        <v>0</v>
      </c>
      <c r="AO235" s="1125">
        <f>_xlfn.SUMIFS(Покупка!AN$25:AN$327,Покупка!$F$25:$F$327,$F235,Покупка!$AC$25:$AC$327,$G235)</f>
        <v>0</v>
      </c>
      <c r="AP235" s="1125">
        <f>_xlfn.SUMIFS(Покупка!AO$25:AO$327,Покупка!$F$25:$F$327,$F235,Покупка!$AC$25:$AC$327,$G235)</f>
        <v>0</v>
      </c>
      <c r="AQ235" s="1125">
        <f>_xlfn.SUMIFS(Покупка!AP$25:AP$327,Покупка!$F$25:$F$327,$F235,Покупка!$AC$25:$AC$327,$G235)</f>
        <v>0</v>
      </c>
      <c r="AR235" s="1125">
        <f>_xlfn.SUMIFS(Покупка!AQ$25:AQ$327,Покупка!$F$25:$F$327,$F235,Покупка!$AC$25:$AC$327,$G235)</f>
        <v>0</v>
      </c>
      <c r="AS235" s="1125">
        <f>_xlfn.SUMIFS(Покупка!AR$25:AR$327,Покупка!$F$25:$F$327,$F235,Покупка!$AC$25:$AC$327,$G235)</f>
        <v>0</v>
      </c>
      <c r="AT235" s="1125">
        <f>_xlfn.SUMIFS(Покупка!AS$25:AS$327,Покупка!$F$25:$F$327,$F235,Покупка!$AC$25:$AC$327,$G235)</f>
        <v>51.71935</v>
      </c>
      <c r="AU235" s="1125">
        <f>_xlfn.SUMIFS(Покупка!AT$25:AT$327,Покупка!$F$25:$F$327,$F235,Покупка!$AC$25:$AC$327,$G235)</f>
        <v>0</v>
      </c>
      <c r="AV235" s="1125">
        <f>_xlfn.SUMIFS(Покупка!AU$25:AU$327,Покупка!$F$25:$F$327,$F235,Покупка!$AC$25:$AC$327,$G235)</f>
        <v>0</v>
      </c>
      <c r="AW235" s="1125">
        <f>_xlfn.SUMIFS(Покупка!AV$25:AV$327,Покупка!$F$25:$F$327,$F235,Покупка!$AC$25:$AC$327,$G235)</f>
        <v>0</v>
      </c>
      <c r="AX235" s="1125">
        <f>_xlfn.SUMIFS(Покупка!AW$25:AW$327,Покупка!$F$25:$F$327,$F235,Покупка!$AC$25:$AC$327,$G235)</f>
        <v>0</v>
      </c>
      <c r="AY235" s="1125">
        <f>_xlfn.SUMIFS(Покупка!AX$25:AX$327,Покупка!$F$25:$F$327,$F235,Покупка!$AC$25:$AC$327,$G235)</f>
        <v>0</v>
      </c>
      <c r="AZ235" s="1125">
        <f>_xlfn.SUMIFS(Покупка!AY$25:AY$327,Покупка!$F$25:$F$327,$F235,Покупка!$AC$25:$AC$327,$G235)</f>
        <v>0</v>
      </c>
      <c r="BA235" s="1125">
        <f>_xlfn.SUMIFS(Покупка!AZ$25:AZ$327,Покупка!$F$25:$F$327,$F235,Покупка!$AC$25:$AC$327,$G235)</f>
        <v>0</v>
      </c>
      <c r="BB235" s="1125">
        <f>_xlfn.SUMIFS(Покупка!BA$25:BA$327,Покупка!$F$25:$F$327,$F235,Покупка!$AC$25:$AC$327,$G235)</f>
        <v>0</v>
      </c>
      <c r="BC235" s="1125">
        <f>_xlfn.SUMIFS(Покупка!BB$25:BB$327,Покупка!$F$25:$F$327,$F235,Покупка!$AC$25:$AC$327,$G235)</f>
        <v>0</v>
      </c>
      <c r="BD235" s="951">
        <f>IF(AI235=0,0,(AT235-AI235)/AI235*100)</f>
        <v>0</v>
      </c>
      <c r="BE235" s="951">
        <f>IF(AT235=0,0,(AU235-AT235)/AT235*100)</f>
        <v>-100</v>
      </c>
      <c r="BF235" s="951">
        <f>IF(AU235=0,0,(AV235-AU235)/AU235*100)</f>
        <v>0</v>
      </c>
      <c r="BG235" s="951">
        <f>IF(AV235=0,0,(AW235-AV235)/AV235*100)</f>
        <v>0</v>
      </c>
      <c r="BH235" s="951">
        <f>IF(AW235=0,0,(AX235-AW235)/AW235*100)</f>
        <v>0</v>
      </c>
      <c r="BI235" s="951">
        <f>IF(AX235=0,0,(AY235-AX235)/AX235*100)</f>
        <v>0</v>
      </c>
      <c r="BJ235" s="951">
        <f>IF(AY235=0,0,(AZ235-AY235)/AY235*100)</f>
        <v>0</v>
      </c>
      <c r="BK235" s="951">
        <f>IF(AZ235=0,0,(BA235-AZ235)/AZ235*100)</f>
        <v>0</v>
      </c>
      <c r="BL235" s="951">
        <f>IF(BA235=0,0,(BB235-BA235)/BA235*100)</f>
        <v>0</v>
      </c>
      <c r="BM235" s="951">
        <f>IF(BB235=0,0,(BC235-BB235)/BB235*100)</f>
        <v>0</v>
      </c>
      <c r="BN235" s="6533"/>
      <c r="BO235" s="6525" t="str">
        <f>IF(_xlfn.IFERROR(INDEX(Покупка!$K$26:$L$327,MATCH($F235&amp;"9komm",Покупка!$K$26:$K$327,0),2),"")=0,"",_xlfn.IFERROR(INDEX(Покупка!$K$26:$L$327,MATCH($F235&amp;"9komm",Покупка!$K$26:$K$327,0),2),""))</f>
        <v/>
      </c>
      <c r="BP235" s="6533"/>
      <c r="BQ235" s="1252"/>
      <c r="BR235" s="1252"/>
      <c r="BS235" s="1072" t="s">
        <v>1322</v>
      </c>
      <c r="BT235" s="1072"/>
      <c r="BU235" s="1072"/>
      <c r="BV235" s="709"/>
      <c r="BW235" s="709"/>
    </row>
    <row s="1656" customFormat="1" customHeight="1" ht="14.25">
      <c r="A236" s="1297"/>
      <c r="B236" s="92"/>
      <c r="C236" s="103"/>
      <c r="D236" s="103"/>
      <c r="E236" s="626">
        <v>15</v>
      </c>
      <c r="F236" s="50" cm="1" t="str">
        <f t="array" ref="F236:F236">OFFSET(E236,-1,1)</f>
        <v>1</v>
      </c>
      <c r="G236" s="103"/>
      <c r="H236" s="103"/>
      <c r="I236" s="103" t="s">
        <v>587</v>
      </c>
      <c r="J236" s="103"/>
      <c r="K236" s="103" t="s">
        <v>587</v>
      </c>
      <c r="L236" s="988"/>
      <c r="M236" s="103"/>
      <c r="N236" s="103"/>
      <c r="O236" s="103"/>
      <c r="P236" s="103"/>
      <c r="Q236" s="103"/>
      <c r="R236" s="103"/>
      <c r="S236" s="103"/>
      <c r="T236" s="468" cm="1" t="str">
        <f t="array" ref="T236:T236">T235</f>
        <v>true</v>
      </c>
      <c r="U236" s="103"/>
      <c r="V236" s="103"/>
      <c r="W236" s="1297"/>
      <c r="X236" s="1539"/>
      <c r="Y236" s="1297"/>
      <c r="Z236" s="1529"/>
      <c r="AA236" s="1297"/>
      <c r="AB236" s="295" t="s">
        <v>664</v>
      </c>
      <c r="AC236" s="769" t="s">
        <v>2305</v>
      </c>
      <c r="AD236" s="786" t="s">
        <v>936</v>
      </c>
      <c r="AE236" s="255">
        <f>_xlfn.SUMIFS('Сырье и материалы'!AE$25:AE$111,'Сырье и материалы'!$F$25:$F$111,$F236,'Сырье и материалы'!$I$25:$I$111,"Реагенты")</f>
        <v>0</v>
      </c>
      <c r="AF236" s="255">
        <f>_xlfn.SUMIFS('Сырье и материалы'!AF$25:AF$111,'Сырье и материалы'!$F$25:$F$111,$F236,'Сырье и материалы'!$I$25:$I$111,"Реагенты")</f>
        <v>0</v>
      </c>
      <c r="AG236" s="255">
        <f>_xlfn.SUMIFS('Сырье и материалы'!AG$25:AG$111,'Сырье и материалы'!$F$25:$F$111,$F236,'Сырье и материалы'!$I$25:$I$111,"Реагенты")</f>
        <v>0</v>
      </c>
      <c r="AH236" s="951">
        <f>AG236-AF236</f>
        <v>0</v>
      </c>
      <c r="AI236" s="951">
        <f>_xlfn.SUMIFS('Сырье и материалы'!AH$25:AH$111,'Сырье и материалы'!$F$25:$F$111,$F236,'Сырье и материалы'!$I$25:$I$111,"Реагенты")</f>
        <v>0</v>
      </c>
      <c r="AJ236" s="951">
        <f>_xlfn.SUMIFS('Сырье и материалы'!AI$25:AI$111,'Сырье и материалы'!$F$25:$F$111,$F236,'Сырье и материалы'!$I$25:$I$111,"Реагенты")</f>
        <v>0</v>
      </c>
      <c r="AK236" s="951">
        <f>_xlfn.SUMIFS('Сырье и материалы'!AJ$25:AJ$111,'Сырье и материалы'!$F$25:$F$111,$F236,'Сырье и материалы'!$I$25:$I$111,"Реагенты")</f>
        <v>0</v>
      </c>
      <c r="AL236" s="951">
        <f>_xlfn.SUMIFS('Сырье и материалы'!AK$25:AK$111,'Сырье и материалы'!$F$25:$F$111,$F236,'Сырье и материалы'!$I$25:$I$111,"Реагенты")</f>
        <v>0</v>
      </c>
      <c r="AM236" s="951">
        <f>_xlfn.SUMIFS('Сырье и материалы'!AL$25:AL$111,'Сырье и материалы'!$F$25:$F$111,$F236,'Сырье и материалы'!$I$25:$I$111,"Реагенты")</f>
        <v>0</v>
      </c>
      <c r="AN236" s="951">
        <f>_xlfn.SUMIFS('Сырье и материалы'!AM$25:AM$111,'Сырье и материалы'!$F$25:$F$111,$F236,'Сырье и материалы'!$I$25:$I$111,"Реагенты")</f>
        <v>0</v>
      </c>
      <c r="AO236" s="951">
        <f>_xlfn.SUMIFS('Сырье и материалы'!AN$25:AN$111,'Сырье и материалы'!$F$25:$F$111,$F236,'Сырье и материалы'!$I$25:$I$111,"Реагенты")</f>
        <v>0</v>
      </c>
      <c r="AP236" s="951">
        <f>_xlfn.SUMIFS('Сырье и материалы'!AO$25:AO$111,'Сырье и материалы'!$F$25:$F$111,$F236,'Сырье и материалы'!$I$25:$I$111,"Реагенты")</f>
        <v>0</v>
      </c>
      <c r="AQ236" s="951">
        <f>_xlfn.SUMIFS('Сырье и материалы'!AP$25:AP$111,'Сырье и материалы'!$F$25:$F$111,$F236,'Сырье и материалы'!$I$25:$I$111,"Реагенты")</f>
        <v>0</v>
      </c>
      <c r="AR236" s="951">
        <f>_xlfn.SUMIFS('Сырье и материалы'!AQ$25:AQ$111,'Сырье и материалы'!$F$25:$F$111,$F236,'Сырье и материалы'!$I$25:$I$111,"Реагенты")</f>
        <v>0</v>
      </c>
      <c r="AS236" s="951">
        <f>_xlfn.SUMIFS('Сырье и материалы'!AR$25:AR$111,'Сырье и материалы'!$F$25:$F$111,$F236,'Сырье и материалы'!$I$25:$I$111,"Реагенты")</f>
        <v>0</v>
      </c>
      <c r="AT236" s="951">
        <f>_xlfn.SUMIFS('Сырье и материалы'!AS$25:AS$111,'Сырье и материалы'!$F$25:$F$111,$F236,'Сырье и материалы'!$I$25:$I$111,"Реагенты")</f>
        <v>0</v>
      </c>
      <c r="AU236" s="951">
        <f>_xlfn.SUMIFS('Сырье и материалы'!AT$25:AT$111,'Сырье и материалы'!$F$25:$F$111,$F236,'Сырье и материалы'!$I$25:$I$111,"Реагенты")</f>
        <v>0</v>
      </c>
      <c r="AV236" s="951">
        <f>_xlfn.SUMIFS('Сырье и материалы'!AU$25:AU$111,'Сырье и материалы'!$F$25:$F$111,$F236,'Сырье и материалы'!$I$25:$I$111,"Реагенты")</f>
        <v>0</v>
      </c>
      <c r="AW236" s="951">
        <f>_xlfn.SUMIFS('Сырье и материалы'!AV$25:AV$111,'Сырье и материалы'!$F$25:$F$111,$F236,'Сырье и материалы'!$I$25:$I$111,"Реагенты")</f>
        <v>0</v>
      </c>
      <c r="AX236" s="951">
        <f>_xlfn.SUMIFS('Сырье и материалы'!AW$25:AW$111,'Сырье и материалы'!$F$25:$F$111,$F236,'Сырье и материалы'!$I$25:$I$111,"Реагенты")</f>
        <v>0</v>
      </c>
      <c r="AY236" s="951">
        <f>_xlfn.SUMIFS('Сырье и материалы'!AX$25:AX$111,'Сырье и материалы'!$F$25:$F$111,$F236,'Сырье и материалы'!$I$25:$I$111,"Реагенты")</f>
        <v>0</v>
      </c>
      <c r="AZ236" s="951">
        <f>_xlfn.SUMIFS('Сырье и материалы'!AY$25:AY$111,'Сырье и материалы'!$F$25:$F$111,$F236,'Сырье и материалы'!$I$25:$I$111,"Реагенты")</f>
        <v>0</v>
      </c>
      <c r="BA236" s="951">
        <f>_xlfn.SUMIFS('Сырье и материалы'!AZ$25:AZ$111,'Сырье и материалы'!$F$25:$F$111,$F236,'Сырье и материалы'!$I$25:$I$111,"Реагенты")</f>
        <v>0</v>
      </c>
      <c r="BB236" s="951">
        <f>_xlfn.SUMIFS('Сырье и материалы'!BA$25:BA$111,'Сырье и материалы'!$F$25:$F$111,$F236,'Сырье и материалы'!$I$25:$I$111,"Реагенты")</f>
        <v>0</v>
      </c>
      <c r="BC236" s="951">
        <f>_xlfn.SUMIFS('Сырье и материалы'!BB$25:BB$111,'Сырье и материалы'!$F$25:$F$111,$F236,'Сырье и материалы'!$I$25:$I$111,"Реагенты")</f>
        <v>0</v>
      </c>
      <c r="BD236" s="951">
        <f>IF(AI236=0,0,(AT236-AI236)/AI236*100)</f>
        <v>0</v>
      </c>
      <c r="BE236" s="951">
        <f>IF(AT236=0,0,(AU236-AT236)/AT236*100)</f>
        <v>0</v>
      </c>
      <c r="BF236" s="951">
        <f>IF(AU236=0,0,(AV236-AU236)/AU236*100)</f>
        <v>0</v>
      </c>
      <c r="BG236" s="951">
        <f>IF(AV236=0,0,(AW236-AV236)/AV236*100)</f>
        <v>0</v>
      </c>
      <c r="BH236" s="951">
        <f>IF(AW236=0,0,(AX236-AW236)/AW236*100)</f>
        <v>0</v>
      </c>
      <c r="BI236" s="951">
        <f>IF(AX236=0,0,(AY236-AX236)/AX236*100)</f>
        <v>0</v>
      </c>
      <c r="BJ236" s="951">
        <f>IF(AY236=0,0,(AZ236-AY236)/AY236*100)</f>
        <v>0</v>
      </c>
      <c r="BK236" s="951">
        <f>IF(AZ236=0,0,(BA236-AZ236)/AZ236*100)</f>
        <v>0</v>
      </c>
      <c r="BL236" s="951">
        <f>IF(BA236=0,0,(BB236-BA236)/BA236*100)</f>
        <v>0</v>
      </c>
      <c r="BM236" s="951">
        <f>IF(BB236=0,0,(BC236-BB236)/BB236*100)</f>
        <v>0</v>
      </c>
      <c r="BN236" s="6533"/>
      <c r="BO236" s="6525" t="str">
        <f>IF(_xlfn.IFERROR(INDEX('Сырье и материалы'!$K$26:$L$111,MATCH($F236&amp;"komm",'Сырье и материалы'!$K$26:$K$111,0),2),"")=0,"",_xlfn.IFERROR(INDEX('Сырье и материалы'!$K$26:$L$111,MATCH($F236&amp;"komm",'Сырье и материалы'!$K$26:$K$111,0),2),""))</f>
        <v/>
      </c>
      <c r="BP236" s="6533"/>
      <c r="BQ236" s="1297"/>
      <c r="BR236" s="1297"/>
      <c r="BS236" s="1072" t="s">
        <v>1976</v>
      </c>
      <c r="BT236" s="1072"/>
      <c r="BU236" s="1072"/>
      <c r="BV236" s="987"/>
      <c r="BW236" s="987"/>
    </row>
    <row s="6577" customFormat="1" customHeight="1" ht="70.921875">
      <c r="A237" s="706"/>
      <c r="B237" s="107"/>
      <c r="C237" s="105"/>
      <c r="D237" s="105"/>
      <c r="E237" s="833">
        <v>21</v>
      </c>
      <c r="F237" s="50" cm="1" t="str">
        <f t="array" ref="F237:F237">OFFSET(E237,-1,1)</f>
        <v>1</v>
      </c>
      <c r="G237" s="105"/>
      <c r="H237" s="103"/>
      <c r="I237" s="103" t="s">
        <v>1087</v>
      </c>
      <c r="J237" s="105"/>
      <c r="K237" s="103" t="s">
        <v>1087</v>
      </c>
      <c r="L237" s="993" t="s">
        <v>619</v>
      </c>
      <c r="M237" s="105"/>
      <c r="N237" s="105"/>
      <c r="O237" s="105"/>
      <c r="P237" s="105"/>
      <c r="Q237" s="105"/>
      <c r="R237" s="105"/>
      <c r="S237" s="105"/>
      <c r="T237" s="468" cm="1" t="str">
        <f t="array" ref="T237:T237">T236</f>
        <v>true</v>
      </c>
      <c r="U237" s="105"/>
      <c r="V237" s="105"/>
      <c r="W237" s="706"/>
      <c r="X237" s="1539"/>
      <c r="Y237" s="706"/>
      <c r="Z237" s="1529"/>
      <c r="AA237" s="706"/>
      <c r="AB237" s="214" t="s">
        <v>668</v>
      </c>
      <c r="AC237" s="357" t="s">
        <v>2306</v>
      </c>
      <c r="AD237" s="207" t="s">
        <v>936</v>
      </c>
      <c r="AE237" s="785">
        <f>SUM(AE238:AE247)</f>
        <v>29118.3034715</v>
      </c>
      <c r="AF237" s="785">
        <f>SUM(AF238:AF247)</f>
        <v>25973.68884</v>
      </c>
      <c r="AG237" s="785">
        <f>SUM(AG238:AG247)</f>
        <v>25973.68884</v>
      </c>
      <c r="AH237" s="768">
        <f>AG237-AF237</f>
        <v>0</v>
      </c>
      <c r="AI237" s="768">
        <f>SUM(AI238:AI247)</f>
        <v>29560.6552008</v>
      </c>
      <c r="AJ237" s="777">
        <f>SUM(AJ238:AJ247)</f>
        <v>30903.74</v>
      </c>
      <c r="AK237" s="768">
        <f>SUM(AK238:AK247)</f>
        <v>0</v>
      </c>
      <c r="AL237" s="768">
        <f>SUM(AL238:AL247)</f>
        <v>0</v>
      </c>
      <c r="AM237" s="768">
        <f>SUM(AM238:AM247)</f>
        <v>0</v>
      </c>
      <c r="AN237" s="768">
        <f>SUM(AN238:AN247)</f>
        <v>0</v>
      </c>
      <c r="AO237" s="768">
        <f>SUM(AO238:AO247)</f>
        <v>0</v>
      </c>
      <c r="AP237" s="768">
        <f>SUM(AP238:AP247)</f>
        <v>0</v>
      </c>
      <c r="AQ237" s="768">
        <f>SUM(AQ238:AQ247)</f>
        <v>0</v>
      </c>
      <c r="AR237" s="768">
        <f>SUM(AR238:AR247)</f>
        <v>0</v>
      </c>
      <c r="AS237" s="768">
        <f>SUM(AS238:AS247)</f>
        <v>0</v>
      </c>
      <c r="AT237" s="777">
        <f>SUM(AT238:AT247)</f>
        <v>32540.26</v>
      </c>
      <c r="AU237" s="768">
        <f>SUM(AU238:AU247)</f>
        <v>0</v>
      </c>
      <c r="AV237" s="768">
        <f>SUM(AV238:AV247)</f>
        <v>0</v>
      </c>
      <c r="AW237" s="768">
        <f>SUM(AW238:AW247)</f>
        <v>0</v>
      </c>
      <c r="AX237" s="768">
        <f>SUM(AX238:AX247)</f>
        <v>0</v>
      </c>
      <c r="AY237" s="768">
        <f>SUM(AY238:AY247)</f>
        <v>0</v>
      </c>
      <c r="AZ237" s="768">
        <f>SUM(AZ238:AZ247)</f>
        <v>0</v>
      </c>
      <c r="BA237" s="768">
        <f>SUM(BA238:BA247)</f>
        <v>0</v>
      </c>
      <c r="BB237" s="768">
        <f>SUM(BB238:BB247)</f>
        <v>0</v>
      </c>
      <c r="BC237" s="768">
        <f>SUM(BC238:BC247)</f>
        <v>0</v>
      </c>
      <c r="BD237" s="768">
        <f>IF(AI237=0,0,(AT237-AI237)/AI237*100)</f>
        <v>10.0796304376885</v>
      </c>
      <c r="BE237" s="768">
        <f>IF(AT237=0,0,(AU237-AT237)/AT237*100)</f>
        <v>-100</v>
      </c>
      <c r="BF237" s="768">
        <f>IF(AU237=0,0,(AV237-AU237)/AU237*100)</f>
        <v>0</v>
      </c>
      <c r="BG237" s="768">
        <f>IF(AV237=0,0,(AW237-AV237)/AV237*100)</f>
        <v>0</v>
      </c>
      <c r="BH237" s="768">
        <f>IF(AW237=0,0,(AX237-AW237)/AW237*100)</f>
        <v>0</v>
      </c>
      <c r="BI237" s="768">
        <f>IF(AX237=0,0,(AY237-AX237)/AX237*100)</f>
        <v>0</v>
      </c>
      <c r="BJ237" s="768">
        <f>IF(AY237=0,0,(AZ237-AY237)/AY237*100)</f>
        <v>0</v>
      </c>
      <c r="BK237" s="768">
        <f>IF(AZ237=0,0,(BA237-AZ237)/AZ237*100)</f>
        <v>0</v>
      </c>
      <c r="BL237" s="768">
        <f>IF(BA237=0,0,(BB237-BA237)/BA237*100)</f>
        <v>0</v>
      </c>
      <c r="BM237" s="768">
        <f>IF(BB237=0,0,(BC237-BB237)/BB237*100)</f>
        <v>0</v>
      </c>
      <c r="BN237" s="6292" t="s">
        <v>2485</v>
      </c>
      <c r="BO237" s="6525" t="str">
        <f>IF(_xlfn.IFERROR(INDEX(Налоги!$K$26:$L$83,MATCH($F237&amp;"komm",Налоги!$K$26:$K$83,0),2),"")=0,"",_xlfn.IFERROR(INDEX(Налоги!$K$26:$L$83,MATCH($F237&amp;"komm",Налоги!$K$26:$K$83,0),2),""))</f>
        <v>П. 49 (2) Методических указаний ФСТ России от 27.12.2013 № 1746-э.</v>
      </c>
      <c r="BP237" s="6292" t="s">
        <v>2486</v>
      </c>
      <c r="BQ237" s="706"/>
      <c r="BR237" s="706"/>
      <c r="BS237" s="1078" t="s">
        <v>1464</v>
      </c>
      <c r="BT237" s="1078"/>
      <c r="BU237" s="1078"/>
      <c r="BV237" s="713"/>
      <c r="BW237" s="713"/>
    </row>
    <row s="1656" customFormat="1" customHeight="1" ht="36.421875">
      <c r="A238" s="1297"/>
      <c r="B238" s="92"/>
      <c r="C238" s="103"/>
      <c r="D238" s="103"/>
      <c r="E238" s="626">
        <v>15</v>
      </c>
      <c r="F238" s="50" cm="1" t="str">
        <f t="array" ref="F238:F238">OFFSET(E238,-1,1)</f>
        <v>1</v>
      </c>
      <c r="G238" s="929">
        <v>7</v>
      </c>
      <c r="H238" s="103"/>
      <c r="I238" s="103" t="s">
        <v>2307</v>
      </c>
      <c r="J238" s="103"/>
      <c r="K238" s="103" t="s">
        <v>2307</v>
      </c>
      <c r="L238" s="988"/>
      <c r="M238" s="103"/>
      <c r="N238" s="103"/>
      <c r="O238" s="103"/>
      <c r="P238" s="103"/>
      <c r="Q238" s="103"/>
      <c r="R238" s="103"/>
      <c r="S238" s="103"/>
      <c r="T238" s="468" cm="1" t="str">
        <f t="array" ref="T238:T238">T237</f>
        <v>true</v>
      </c>
      <c r="U238" s="103"/>
      <c r="V238" s="103"/>
      <c r="W238" s="1297"/>
      <c r="X238" s="1539"/>
      <c r="Y238" s="1297"/>
      <c r="Z238" s="1529"/>
      <c r="AA238" s="1297"/>
      <c r="AB238" s="295" t="s">
        <v>603</v>
      </c>
      <c r="AC238" s="772" t="s">
        <v>1478</v>
      </c>
      <c r="AD238" s="296" t="s">
        <v>936</v>
      </c>
      <c r="AE238" s="255">
        <f>_xlfn.SUMIFS(Налоги!AE$25:AE$83,Налоги!$F$25:$F$83,$F238,Налоги!$AB$25:$AB$83,$G238)</f>
        <v>0</v>
      </c>
      <c r="AF238" s="255">
        <f>_xlfn.SUMIFS(Налоги!AF$25:AF$83,Налоги!$F$25:$F$83,$F238,Налоги!$AB$25:$AB$83,$G238)</f>
        <v>0</v>
      </c>
      <c r="AG238" s="255">
        <f>_xlfn.SUMIFS(Налоги!AG$25:AG$83,Налоги!$F$25:$F$83,$F238,Налоги!$AB$25:$AB$83,$G238)</f>
        <v>0</v>
      </c>
      <c r="AH238" s="951">
        <f>AG238-AF238</f>
        <v>0</v>
      </c>
      <c r="AI238" s="951">
        <f>_xlfn.SUMIFS(Налоги!AH$25:AH$83,Налоги!$F$25:$F$83,$F238,Налоги!$AB$25:$AB$83,$G238)</f>
        <v>0</v>
      </c>
      <c r="AJ238" s="951">
        <f>_xlfn.SUMIFS(Налоги!AI$25:AI$83,Налоги!$F$25:$F$83,$F238,Налоги!$AB$25:$AB$83,$G238)</f>
        <v>0</v>
      </c>
      <c r="AK238" s="951">
        <f>_xlfn.SUMIFS(Налоги!AJ$25:AJ$83,Налоги!$F$25:$F$83,$F238,Налоги!$AB$25:$AB$83,$G238)</f>
        <v>0</v>
      </c>
      <c r="AL238" s="951">
        <f>_xlfn.SUMIFS(Налоги!AK$25:AK$83,Налоги!$F$25:$F$83,$F238,Налоги!$AB$25:$AB$83,$G238)</f>
        <v>0</v>
      </c>
      <c r="AM238" s="951">
        <f>_xlfn.SUMIFS(Налоги!AL$25:AL$83,Налоги!$F$25:$F$83,$F238,Налоги!$AB$25:$AB$83,$G238)</f>
        <v>0</v>
      </c>
      <c r="AN238" s="951">
        <f>_xlfn.SUMIFS(Налоги!AM$25:AM$83,Налоги!$F$25:$F$83,$F238,Налоги!$AB$25:$AB$83,$G238)</f>
        <v>0</v>
      </c>
      <c r="AO238" s="951">
        <f>_xlfn.SUMIFS(Налоги!AN$25:AN$83,Налоги!$F$25:$F$83,$F238,Налоги!$AB$25:$AB$83,$G238)</f>
        <v>0</v>
      </c>
      <c r="AP238" s="951">
        <f>_xlfn.SUMIFS(Налоги!AO$25:AO$83,Налоги!$F$25:$F$83,$F238,Налоги!$AB$25:$AB$83,$G238)</f>
        <v>0</v>
      </c>
      <c r="AQ238" s="951">
        <f>_xlfn.SUMIFS(Налоги!AP$25:AP$83,Налоги!$F$25:$F$83,$F238,Налоги!$AB$25:$AB$83,$G238)</f>
        <v>0</v>
      </c>
      <c r="AR238" s="951">
        <f>_xlfn.SUMIFS(Налоги!AQ$25:AQ$83,Налоги!$F$25:$F$83,$F238,Налоги!$AB$25:$AB$83,$G238)</f>
        <v>0</v>
      </c>
      <c r="AS238" s="951">
        <f>_xlfn.SUMIFS(Налоги!AR$25:AR$83,Налоги!$F$25:$F$83,$F238,Налоги!$AB$25:$AB$83,$G238)</f>
        <v>0</v>
      </c>
      <c r="AT238" s="951">
        <f>_xlfn.SUMIFS(Налоги!AS$25:AS$83,Налоги!$F$25:$F$83,$F238,Налоги!$AB$25:$AB$83,$G238)</f>
        <v>0</v>
      </c>
      <c r="AU238" s="951">
        <f>_xlfn.SUMIFS(Налоги!AT$25:AT$83,Налоги!$F$25:$F$83,$F238,Налоги!$AB$25:$AB$83,$G238)</f>
        <v>0</v>
      </c>
      <c r="AV238" s="951">
        <f>_xlfn.SUMIFS(Налоги!AU$25:AU$83,Налоги!$F$25:$F$83,$F238,Налоги!$AB$25:$AB$83,$G238)</f>
        <v>0</v>
      </c>
      <c r="AW238" s="951">
        <f>_xlfn.SUMIFS(Налоги!AV$25:AV$83,Налоги!$F$25:$F$83,$F238,Налоги!$AB$25:$AB$83,$G238)</f>
        <v>0</v>
      </c>
      <c r="AX238" s="951">
        <f>_xlfn.SUMIFS(Налоги!AW$25:AW$83,Налоги!$F$25:$F$83,$F238,Налоги!$AB$25:$AB$83,$G238)</f>
        <v>0</v>
      </c>
      <c r="AY238" s="951">
        <f>_xlfn.SUMIFS(Налоги!AX$25:AX$83,Налоги!$F$25:$F$83,$F238,Налоги!$AB$25:$AB$83,$G238)</f>
        <v>0</v>
      </c>
      <c r="AZ238" s="951">
        <f>_xlfn.SUMIFS(Налоги!AY$25:AY$83,Налоги!$F$25:$F$83,$F238,Налоги!$AB$25:$AB$83,$G238)</f>
        <v>0</v>
      </c>
      <c r="BA238" s="951">
        <f>_xlfn.SUMIFS(Налоги!AZ$25:AZ$83,Налоги!$F$25:$F$83,$F238,Налоги!$AB$25:$AB$83,$G238)</f>
        <v>0</v>
      </c>
      <c r="BB238" s="951">
        <f>_xlfn.SUMIFS(Налоги!BA$25:BA$83,Налоги!$F$25:$F$83,$F238,Налоги!$AB$25:$AB$83,$G238)</f>
        <v>0</v>
      </c>
      <c r="BC238" s="951">
        <f>_xlfn.SUMIFS(Налоги!BB$25:BB$83,Налоги!$F$25:$F$83,$F238,Налоги!$AB$25:$AB$83,$G238)</f>
        <v>0</v>
      </c>
      <c r="BD238" s="951">
        <f>IF(AI238=0,0,(AT238-AI238)/AI238*100)</f>
        <v>0</v>
      </c>
      <c r="BE238" s="951">
        <f>IF(AT238=0,0,(AU238-AT238)/AT238*100)</f>
        <v>0</v>
      </c>
      <c r="BF238" s="951">
        <f>IF(AU238=0,0,(AV238-AU238)/AU238*100)</f>
        <v>0</v>
      </c>
      <c r="BG238" s="951">
        <f>IF(AV238=0,0,(AW238-AV238)/AV238*100)</f>
        <v>0</v>
      </c>
      <c r="BH238" s="951">
        <f>IF(AW238=0,0,(AX238-AW238)/AW238*100)</f>
        <v>0</v>
      </c>
      <c r="BI238" s="951">
        <f>IF(AX238=0,0,(AY238-AX238)/AX238*100)</f>
        <v>0</v>
      </c>
      <c r="BJ238" s="951">
        <f>IF(AY238=0,0,(AZ238-AY238)/AY238*100)</f>
        <v>0</v>
      </c>
      <c r="BK238" s="951">
        <f>IF(AZ238=0,0,(BA238-AZ238)/AZ238*100)</f>
        <v>0</v>
      </c>
      <c r="BL238" s="951">
        <f>IF(BA238=0,0,(BB238-BA238)/BA238*100)</f>
        <v>0</v>
      </c>
      <c r="BM238" s="951">
        <f>IF(BB238=0,0,(BC238-BB238)/BB238*100)</f>
        <v>0</v>
      </c>
      <c r="BN238" s="6532" t="s">
        <v>2487</v>
      </c>
      <c r="BO238" s="6525"/>
      <c r="BP238" s="6533"/>
      <c r="BQ238" s="1297"/>
      <c r="BR238" s="1297"/>
      <c r="BS238" s="1072" t="s">
        <v>2308</v>
      </c>
      <c r="BT238" s="1072"/>
      <c r="BU238" s="1072"/>
      <c r="BV238" s="987"/>
      <c r="BW238" s="987"/>
    </row>
    <row s="1656" customFormat="1" customHeight="1" ht="140.671875">
      <c r="A239" s="1297"/>
      <c r="B239" s="92"/>
      <c r="C239" s="103"/>
      <c r="D239" s="103"/>
      <c r="E239" s="626">
        <v>15</v>
      </c>
      <c r="F239" s="50" cm="1" t="str">
        <f t="array" ref="F239:F239">OFFSET(E239,-1,1)</f>
        <v>1</v>
      </c>
      <c r="G239" s="929">
        <v>6</v>
      </c>
      <c r="H239" s="103"/>
      <c r="I239" s="103" t="s">
        <v>2309</v>
      </c>
      <c r="J239" s="103"/>
      <c r="K239" s="103" t="s">
        <v>2309</v>
      </c>
      <c r="L239" s="988"/>
      <c r="M239" s="103"/>
      <c r="N239" s="103"/>
      <c r="O239" s="103"/>
      <c r="P239" s="103"/>
      <c r="Q239" s="103"/>
      <c r="R239" s="103"/>
      <c r="S239" s="103"/>
      <c r="T239" s="468" cm="1" t="str">
        <f t="array" ref="T239:T239">T238</f>
        <v>true</v>
      </c>
      <c r="U239" s="103"/>
      <c r="V239" s="103"/>
      <c r="W239" s="1297"/>
      <c r="X239" s="1539"/>
      <c r="Y239" s="1297"/>
      <c r="Z239" s="1529"/>
      <c r="AA239" s="1297"/>
      <c r="AB239" s="295" t="s">
        <v>1717</v>
      </c>
      <c r="AC239" s="772" t="s">
        <v>2310</v>
      </c>
      <c r="AD239" s="296" t="s">
        <v>936</v>
      </c>
      <c r="AE239" s="255">
        <f>_xlfn.SUMIFS(Налоги!AE$25:AE$83,Налоги!$F$25:$F$83,$F239,Налоги!$AB$25:$AB$83,$G239)</f>
        <v>7018.765</v>
      </c>
      <c r="AF239" s="255">
        <f>_xlfn.SUMIFS(Налоги!AF$25:AF$83,Налоги!$F$25:$F$83,$F239,Налоги!$AB$25:$AB$83,$G239)</f>
        <v>6833.14</v>
      </c>
      <c r="AG239" s="255">
        <f>_xlfn.SUMIFS(Налоги!AG$25:AG$83,Налоги!$F$25:$F$83,$F239,Налоги!$AB$25:$AB$83,$G239)</f>
        <v>6833.14</v>
      </c>
      <c r="AH239" s="951">
        <f>AG239-AF239</f>
        <v>0</v>
      </c>
      <c r="AI239" s="951">
        <f>_xlfn.SUMIFS(Налоги!AH$25:AH$83,Налоги!$F$25:$F$83,$F239,Налоги!$AB$25:$AB$83,$G239)</f>
        <v>5713.71</v>
      </c>
      <c r="AJ239" s="951">
        <f>_xlfn.SUMIFS(Налоги!AI$25:AI$83,Налоги!$F$25:$F$83,$F239,Налоги!$AB$25:$AB$83,$G239)</f>
        <v>4376.43</v>
      </c>
      <c r="AK239" s="951">
        <f>_xlfn.SUMIFS(Налоги!AJ$25:AJ$83,Налоги!$F$25:$F$83,$F239,Налоги!$AB$25:$AB$83,$G239)</f>
        <v>0</v>
      </c>
      <c r="AL239" s="951">
        <f>_xlfn.SUMIFS(Налоги!AK$25:AK$83,Налоги!$F$25:$F$83,$F239,Налоги!$AB$25:$AB$83,$G239)</f>
        <v>0</v>
      </c>
      <c r="AM239" s="951">
        <f>_xlfn.SUMIFS(Налоги!AL$25:AL$83,Налоги!$F$25:$F$83,$F239,Налоги!$AB$25:$AB$83,$G239)</f>
        <v>0</v>
      </c>
      <c r="AN239" s="951">
        <f>_xlfn.SUMIFS(Налоги!AM$25:AM$83,Налоги!$F$25:$F$83,$F239,Налоги!$AB$25:$AB$83,$G239)</f>
        <v>0</v>
      </c>
      <c r="AO239" s="951">
        <f>_xlfn.SUMIFS(Налоги!AN$25:AN$83,Налоги!$F$25:$F$83,$F239,Налоги!$AB$25:$AB$83,$G239)</f>
        <v>0</v>
      </c>
      <c r="AP239" s="951">
        <f>_xlfn.SUMIFS(Налоги!AO$25:AO$83,Налоги!$F$25:$F$83,$F239,Налоги!$AB$25:$AB$83,$G239)</f>
        <v>0</v>
      </c>
      <c r="AQ239" s="951">
        <f>_xlfn.SUMIFS(Налоги!AP$25:AP$83,Налоги!$F$25:$F$83,$F239,Налоги!$AB$25:$AB$83,$G239)</f>
        <v>0</v>
      </c>
      <c r="AR239" s="951">
        <f>_xlfn.SUMIFS(Налоги!AQ$25:AQ$83,Налоги!$F$25:$F$83,$F239,Налоги!$AB$25:$AB$83,$G239)</f>
        <v>0</v>
      </c>
      <c r="AS239" s="951">
        <f>_xlfn.SUMIFS(Налоги!AR$25:AR$83,Налоги!$F$25:$F$83,$F239,Налоги!$AB$25:$AB$83,$G239)</f>
        <v>0</v>
      </c>
      <c r="AT239" s="951">
        <f>_xlfn.SUMIFS(Налоги!AS$25:AS$83,Налоги!$F$25:$F$83,$F239,Налоги!$AB$25:$AB$83,$G239)</f>
        <v>4376.52</v>
      </c>
      <c r="AU239" s="951">
        <f>_xlfn.SUMIFS(Налоги!AT$25:AT$83,Налоги!$F$25:$F$83,$F239,Налоги!$AB$25:$AB$83,$G239)</f>
        <v>0</v>
      </c>
      <c r="AV239" s="951">
        <f>_xlfn.SUMIFS(Налоги!AU$25:AU$83,Налоги!$F$25:$F$83,$F239,Налоги!$AB$25:$AB$83,$G239)</f>
        <v>0</v>
      </c>
      <c r="AW239" s="951">
        <f>_xlfn.SUMIFS(Налоги!AV$25:AV$83,Налоги!$F$25:$F$83,$F239,Налоги!$AB$25:$AB$83,$G239)</f>
        <v>0</v>
      </c>
      <c r="AX239" s="951">
        <f>_xlfn.SUMIFS(Налоги!AW$25:AW$83,Налоги!$F$25:$F$83,$F239,Налоги!$AB$25:$AB$83,$G239)</f>
        <v>0</v>
      </c>
      <c r="AY239" s="951">
        <f>_xlfn.SUMIFS(Налоги!AX$25:AX$83,Налоги!$F$25:$F$83,$F239,Налоги!$AB$25:$AB$83,$G239)</f>
        <v>0</v>
      </c>
      <c r="AZ239" s="951">
        <f>_xlfn.SUMIFS(Налоги!AY$25:AY$83,Налоги!$F$25:$F$83,$F239,Налоги!$AB$25:$AB$83,$G239)</f>
        <v>0</v>
      </c>
      <c r="BA239" s="951">
        <f>_xlfn.SUMIFS(Налоги!AZ$25:AZ$83,Налоги!$F$25:$F$83,$F239,Налоги!$AB$25:$AB$83,$G239)</f>
        <v>0</v>
      </c>
      <c r="BB239" s="951">
        <f>_xlfn.SUMIFS(Налоги!BA$25:BA$83,Налоги!$F$25:$F$83,$F239,Налоги!$AB$25:$AB$83,$G239)</f>
        <v>0</v>
      </c>
      <c r="BC239" s="951">
        <f>_xlfn.SUMIFS(Налоги!BB$25:BB$83,Налоги!$F$25:$F$83,$F239,Налоги!$AB$25:$AB$83,$G239)</f>
        <v>0</v>
      </c>
      <c r="BD239" s="951">
        <f>IF(AI239=0,0,(AT239-AI239)/AI239*100)</f>
        <v>-23.4031828706742</v>
      </c>
      <c r="BE239" s="951">
        <f>IF(AT239=0,0,(AU239-AT239)/AT239*100)</f>
        <v>-100</v>
      </c>
      <c r="BF239" s="951">
        <f>IF(AU239=0,0,(AV239-AU239)/AU239*100)</f>
        <v>0</v>
      </c>
      <c r="BG239" s="951">
        <f>IF(AV239=0,0,(AW239-AV239)/AV239*100)</f>
        <v>0</v>
      </c>
      <c r="BH239" s="951">
        <f>IF(AW239=0,0,(AX239-AW239)/AW239*100)</f>
        <v>0</v>
      </c>
      <c r="BI239" s="951">
        <f>IF(AX239=0,0,(AY239-AX239)/AX239*100)</f>
        <v>0</v>
      </c>
      <c r="BJ239" s="951">
        <f>IF(AY239=0,0,(AZ239-AY239)/AY239*100)</f>
        <v>0</v>
      </c>
      <c r="BK239" s="951">
        <f>IF(AZ239=0,0,(BA239-AZ239)/AZ239*100)</f>
        <v>0</v>
      </c>
      <c r="BL239" s="951">
        <f>IF(BA239=0,0,(BB239-BA239)/BA239*100)</f>
        <v>0</v>
      </c>
      <c r="BM239" s="951">
        <f>IF(BB239=0,0,(BC239-BB239)/BB239*100)</f>
        <v>0</v>
      </c>
      <c r="BN239" s="6533" t="s">
        <v>2488</v>
      </c>
      <c r="BO239" s="6525" t="str">
        <f>IF(_xlfn.IFERROR(INDEX(Налоги!$K$26:$L$83,MATCH($F239&amp;"6komm",Налоги!$K$26:$K$83,0),2),"")=0,"",_xlfn.IFERROR(INDEX(Налоги!$K$26:$L$83,MATCH($F239&amp;"6komm",Налоги!$K$26:$K$83,0),2),""))</f>
        <v>Глава 30 "НАЛОГ НА ИМУЩЕСТВО ОРГАНИЗАЦИЙ" Налогового кодекса РФ (Часть вторая);  Закон Кемеровской области - Кузбасса от 26.11.2003 N 60-ОЗ (ред. от 05.05.2025 N 47-ОЗ, от 30.06.2025 N 79-ОЗ, от 27.11.2025 N 144-ОЗ) ) "О налоге на имущество организаций".</v>
      </c>
      <c r="BP239" s="6533" t="s">
        <v>1822</v>
      </c>
      <c r="BQ239" s="1297"/>
      <c r="BR239" s="1297"/>
      <c r="BS239" s="1072" t="s">
        <v>2311</v>
      </c>
      <c r="BT239" s="1072"/>
      <c r="BU239" s="1072"/>
      <c r="BV239" s="987"/>
      <c r="BW239" s="987"/>
    </row>
    <row s="1656" customFormat="1" customHeight="1" ht="116.671875">
      <c r="A240" s="1297"/>
      <c r="B240" s="92"/>
      <c r="C240" s="103"/>
      <c r="D240" s="103"/>
      <c r="E240" s="626">
        <v>15</v>
      </c>
      <c r="F240" s="50" cm="1" t="str">
        <f t="array" ref="F240:F240">OFFSET(E240,-1,1)</f>
        <v>1</v>
      </c>
      <c r="G240" s="929">
        <v>2</v>
      </c>
      <c r="H240" s="103"/>
      <c r="I240" s="103" t="s">
        <v>2312</v>
      </c>
      <c r="J240" s="103"/>
      <c r="K240" s="103" t="s">
        <v>2312</v>
      </c>
      <c r="L240" s="988"/>
      <c r="M240" s="103"/>
      <c r="N240" s="103"/>
      <c r="O240" s="103"/>
      <c r="P240" s="103"/>
      <c r="Q240" s="103"/>
      <c r="R240" s="103"/>
      <c r="S240" s="103"/>
      <c r="T240" s="468" cm="1" t="str">
        <f t="array" ref="T240:T240">T239</f>
        <v>true</v>
      </c>
      <c r="U240" s="103"/>
      <c r="V240" s="103"/>
      <c r="W240" s="1297"/>
      <c r="X240" s="1539"/>
      <c r="Y240" s="1297"/>
      <c r="Z240" s="1529"/>
      <c r="AA240" s="1297"/>
      <c r="AB240" s="295" t="s">
        <v>1722</v>
      </c>
      <c r="AC240" s="772" t="s">
        <v>2313</v>
      </c>
      <c r="AD240" s="296" t="s">
        <v>936</v>
      </c>
      <c r="AE240" s="255">
        <f>_xlfn.SUMIFS(Налоги!AE$25:AE$83,Налоги!$F$25:$F$83,$F240,Налоги!$AB$25:$AB$83,$G240)</f>
        <v>2.38</v>
      </c>
      <c r="AF240" s="255">
        <f>_xlfn.SUMIFS(Налоги!AF$25:AF$83,Налоги!$F$25:$F$83,$F240,Налоги!$AB$25:$AB$83,$G240)</f>
        <v>17.37</v>
      </c>
      <c r="AG240" s="255">
        <f>_xlfn.SUMIFS(Налоги!AG$25:AG$83,Налоги!$F$25:$F$83,$F240,Налоги!$AB$25:$AB$83,$G240)</f>
        <v>17.37</v>
      </c>
      <c r="AH240" s="951">
        <f>AG240-AF240</f>
        <v>0</v>
      </c>
      <c r="AI240" s="951">
        <f>_xlfn.SUMIFS(Налоги!AH$25:AH$83,Налоги!$F$25:$F$83,$F240,Налоги!$AB$25:$AB$83,$G240)</f>
        <v>7.35083</v>
      </c>
      <c r="AJ240" s="951">
        <f>_xlfn.SUMIFS(Налоги!AI$25:AI$83,Налоги!$F$25:$F$83,$F240,Налоги!$AB$25:$AB$83,$G240)</f>
        <v>17.37</v>
      </c>
      <c r="AK240" s="951">
        <f>_xlfn.SUMIFS(Налоги!AJ$25:AJ$83,Налоги!$F$25:$F$83,$F240,Налоги!$AB$25:$AB$83,$G240)</f>
        <v>0</v>
      </c>
      <c r="AL240" s="951">
        <f>_xlfn.SUMIFS(Налоги!AK$25:AK$83,Налоги!$F$25:$F$83,$F240,Налоги!$AB$25:$AB$83,$G240)</f>
        <v>0</v>
      </c>
      <c r="AM240" s="951">
        <f>_xlfn.SUMIFS(Налоги!AL$25:AL$83,Налоги!$F$25:$F$83,$F240,Налоги!$AB$25:$AB$83,$G240)</f>
        <v>0</v>
      </c>
      <c r="AN240" s="951">
        <f>_xlfn.SUMIFS(Налоги!AM$25:AM$83,Налоги!$F$25:$F$83,$F240,Налоги!$AB$25:$AB$83,$G240)</f>
        <v>0</v>
      </c>
      <c r="AO240" s="951">
        <f>_xlfn.SUMIFS(Налоги!AN$25:AN$83,Налоги!$F$25:$F$83,$F240,Налоги!$AB$25:$AB$83,$G240)</f>
        <v>0</v>
      </c>
      <c r="AP240" s="951">
        <f>_xlfn.SUMIFS(Налоги!AO$25:AO$83,Налоги!$F$25:$F$83,$F240,Налоги!$AB$25:$AB$83,$G240)</f>
        <v>0</v>
      </c>
      <c r="AQ240" s="951">
        <f>_xlfn.SUMIFS(Налоги!AP$25:AP$83,Налоги!$F$25:$F$83,$F240,Налоги!$AB$25:$AB$83,$G240)</f>
        <v>0</v>
      </c>
      <c r="AR240" s="951">
        <f>_xlfn.SUMIFS(Налоги!AQ$25:AQ$83,Налоги!$F$25:$F$83,$F240,Налоги!$AB$25:$AB$83,$G240)</f>
        <v>0</v>
      </c>
      <c r="AS240" s="951">
        <f>_xlfn.SUMIFS(Налоги!AR$25:AR$83,Налоги!$F$25:$F$83,$F240,Налоги!$AB$25:$AB$83,$G240)</f>
        <v>0</v>
      </c>
      <c r="AT240" s="951">
        <f>_xlfn.SUMIFS(Налоги!AS$25:AS$83,Налоги!$F$25:$F$83,$F240,Налоги!$AB$25:$AB$83,$G240)</f>
        <v>17.37</v>
      </c>
      <c r="AU240" s="951">
        <f>_xlfn.SUMIFS(Налоги!AT$25:AT$83,Налоги!$F$25:$F$83,$F240,Налоги!$AB$25:$AB$83,$G240)</f>
        <v>0</v>
      </c>
      <c r="AV240" s="951">
        <f>_xlfn.SUMIFS(Налоги!AU$25:AU$83,Налоги!$F$25:$F$83,$F240,Налоги!$AB$25:$AB$83,$G240)</f>
        <v>0</v>
      </c>
      <c r="AW240" s="951">
        <f>_xlfn.SUMIFS(Налоги!AV$25:AV$83,Налоги!$F$25:$F$83,$F240,Налоги!$AB$25:$AB$83,$G240)</f>
        <v>0</v>
      </c>
      <c r="AX240" s="951">
        <f>_xlfn.SUMIFS(Налоги!AW$25:AW$83,Налоги!$F$25:$F$83,$F240,Налоги!$AB$25:$AB$83,$G240)</f>
        <v>0</v>
      </c>
      <c r="AY240" s="951">
        <f>_xlfn.SUMIFS(Налоги!AX$25:AX$83,Налоги!$F$25:$F$83,$F240,Налоги!$AB$25:$AB$83,$G240)</f>
        <v>0</v>
      </c>
      <c r="AZ240" s="951">
        <f>_xlfn.SUMIFS(Налоги!AY$25:AY$83,Налоги!$F$25:$F$83,$F240,Налоги!$AB$25:$AB$83,$G240)</f>
        <v>0</v>
      </c>
      <c r="BA240" s="951">
        <f>_xlfn.SUMIFS(Налоги!AZ$25:AZ$83,Налоги!$F$25:$F$83,$F240,Налоги!$AB$25:$AB$83,$G240)</f>
        <v>0</v>
      </c>
      <c r="BB240" s="951">
        <f>_xlfn.SUMIFS(Налоги!BA$25:BA$83,Налоги!$F$25:$F$83,$F240,Налоги!$AB$25:$AB$83,$G240)</f>
        <v>0</v>
      </c>
      <c r="BC240" s="951">
        <f>_xlfn.SUMIFS(Налоги!BB$25:BB$83,Налоги!$F$25:$F$83,$F240,Налоги!$AB$25:$AB$83,$G240)</f>
        <v>0</v>
      </c>
      <c r="BD240" s="951">
        <f>IF(AI240=0,0,(AT240-AI240)/AI240*100)</f>
        <v>136.299846411902</v>
      </c>
      <c r="BE240" s="951">
        <f>IF(AT240=0,0,(AU240-AT240)/AT240*100)</f>
        <v>-100</v>
      </c>
      <c r="BF240" s="951">
        <f>IF(AU240=0,0,(AV240-AU240)/AU240*100)</f>
        <v>0</v>
      </c>
      <c r="BG240" s="951">
        <f>IF(AV240=0,0,(AW240-AV240)/AV240*100)</f>
        <v>0</v>
      </c>
      <c r="BH240" s="951">
        <f>IF(AW240=0,0,(AX240-AW240)/AW240*100)</f>
        <v>0</v>
      </c>
      <c r="BI240" s="951">
        <f>IF(AX240=0,0,(AY240-AX240)/AX240*100)</f>
        <v>0</v>
      </c>
      <c r="BJ240" s="951">
        <f>IF(AY240=0,0,(AZ240-AY240)/AY240*100)</f>
        <v>0</v>
      </c>
      <c r="BK240" s="951">
        <f>IF(AZ240=0,0,(BA240-AZ240)/AZ240*100)</f>
        <v>0</v>
      </c>
      <c r="BL240" s="951">
        <f>IF(BA240=0,0,(BB240-BA240)/BA240*100)</f>
        <v>0</v>
      </c>
      <c r="BM240" s="951">
        <f>IF(BB240=0,0,(BC240-BB240)/BB240*100)</f>
        <v>0</v>
      </c>
      <c r="BN240" s="6532" t="s">
        <v>2489</v>
      </c>
      <c r="BO240" s="6525" t="str">
        <f>IF(_xlfn.IFERROR(INDEX(Налоги!$K$26:$L$83,MATCH($F240&amp;"2komm",Налоги!$K$26:$K$83,0),2),"")=0,"",_xlfn.IFERROR(INDEX(Налоги!$K$26:$L$83,MATCH($F240&amp;"2komm",Налоги!$K$26:$K$83,0),2),""))</f>
        <v>1) Глава 31 "ЗЕМЕЛЬНЫЙ НАЛОГ" "Налогового кодекса Российской Федерации (часть вторая)" от 05.08.2000 N 117-ФЗ. 2) Постановление Кемеровского городского Совета народных депутатов от 30.09.2005 N 263 (ред. от 27.06.2025) "Об установлении и введении в действие на территории города Кемерово земельного налога"  (для  затрат на сч. 26). 3)  Приказ ФНС России от 04.09.2019 N ММВ-7-21/440@.</v>
      </c>
      <c r="BP240" s="6533" t="s">
        <v>1822</v>
      </c>
      <c r="BQ240" s="1297"/>
      <c r="BR240" s="1297"/>
      <c r="BS240" s="1072" t="s">
        <v>2314</v>
      </c>
      <c r="BT240" s="1072"/>
      <c r="BU240" s="1072"/>
      <c r="BV240" s="987"/>
      <c r="BW240" s="987"/>
    </row>
    <row s="1656" customFormat="1" customHeight="1" ht="68.671875">
      <c r="A241" s="1297"/>
      <c r="B241" s="92"/>
      <c r="C241" s="103"/>
      <c r="D241" s="103"/>
      <c r="E241" s="626">
        <v>15</v>
      </c>
      <c r="F241" s="50" cm="1" t="str">
        <f t="array" ref="F241:F241">OFFSET(E241,-1,1)</f>
        <v>1</v>
      </c>
      <c r="G241" s="929">
        <v>4</v>
      </c>
      <c r="H241" s="103"/>
      <c r="I241" s="103" t="s">
        <v>2315</v>
      </c>
      <c r="J241" s="103"/>
      <c r="K241" s="103" t="s">
        <v>2315</v>
      </c>
      <c r="L241" s="988"/>
      <c r="M241" s="103"/>
      <c r="N241" s="103"/>
      <c r="O241" s="103"/>
      <c r="P241" s="103"/>
      <c r="Q241" s="103"/>
      <c r="R241" s="103"/>
      <c r="S241" s="103"/>
      <c r="T241" s="468" cm="1" t="str">
        <f t="array" ref="T241:T241">T240</f>
        <v>true</v>
      </c>
      <c r="U241" s="103"/>
      <c r="V241" s="103"/>
      <c r="W241" s="1297"/>
      <c r="X241" s="1539"/>
      <c r="Y241" s="1297"/>
      <c r="Z241" s="1529"/>
      <c r="AA241" s="1297"/>
      <c r="AB241" s="295" t="s">
        <v>2316</v>
      </c>
      <c r="AC241" s="772" t="s">
        <v>2317</v>
      </c>
      <c r="AD241" s="296" t="s">
        <v>936</v>
      </c>
      <c r="AE241" s="255">
        <f>_xlfn.SUMIFS(Налоги!AE$25:AE$83,Налоги!$F$25:$F$83,$F241,Налоги!$AB$25:$AB$83,$G241)</f>
        <v>6.13544</v>
      </c>
      <c r="AF241" s="255">
        <f>_xlfn.SUMIFS(Налоги!AF$25:AF$83,Налоги!$F$25:$F$83,$F241,Налоги!$AB$25:$AB$83,$G241)</f>
        <v>4.978</v>
      </c>
      <c r="AG241" s="255">
        <f>_xlfn.SUMIFS(Налоги!AG$25:AG$83,Налоги!$F$25:$F$83,$F241,Налоги!$AB$25:$AB$83,$G241)</f>
        <v>4.978</v>
      </c>
      <c r="AH241" s="951">
        <f>AG241-AF241</f>
        <v>0</v>
      </c>
      <c r="AI241" s="951">
        <f>_xlfn.SUMIFS(Налоги!AH$25:AH$83,Налоги!$F$25:$F$83,$F241,Налоги!$AB$25:$AB$83,$G241)</f>
        <v>5.832466</v>
      </c>
      <c r="AJ241" s="951">
        <f>_xlfn.SUMIFS(Налоги!AI$25:AI$83,Налоги!$F$25:$F$83,$F241,Налоги!$AB$25:$AB$83,$G241)</f>
        <v>0</v>
      </c>
      <c r="AK241" s="951">
        <f>_xlfn.SUMIFS(Налоги!AJ$25:AJ$83,Налоги!$F$25:$F$83,$F241,Налоги!$AB$25:$AB$83,$G241)</f>
        <v>0</v>
      </c>
      <c r="AL241" s="951">
        <f>_xlfn.SUMIFS(Налоги!AK$25:AK$83,Налоги!$F$25:$F$83,$F241,Налоги!$AB$25:$AB$83,$G241)</f>
        <v>0</v>
      </c>
      <c r="AM241" s="951">
        <f>_xlfn.SUMIFS(Налоги!AL$25:AL$83,Налоги!$F$25:$F$83,$F241,Налоги!$AB$25:$AB$83,$G241)</f>
        <v>0</v>
      </c>
      <c r="AN241" s="951">
        <f>_xlfn.SUMIFS(Налоги!AM$25:AM$83,Налоги!$F$25:$F$83,$F241,Налоги!$AB$25:$AB$83,$G241)</f>
        <v>0</v>
      </c>
      <c r="AO241" s="951">
        <f>_xlfn.SUMIFS(Налоги!AN$25:AN$83,Налоги!$F$25:$F$83,$F241,Налоги!$AB$25:$AB$83,$G241)</f>
        <v>0</v>
      </c>
      <c r="AP241" s="951">
        <f>_xlfn.SUMIFS(Налоги!AO$25:AO$83,Налоги!$F$25:$F$83,$F241,Налоги!$AB$25:$AB$83,$G241)</f>
        <v>0</v>
      </c>
      <c r="AQ241" s="951">
        <f>_xlfn.SUMIFS(Налоги!AP$25:AP$83,Налоги!$F$25:$F$83,$F241,Налоги!$AB$25:$AB$83,$G241)</f>
        <v>0</v>
      </c>
      <c r="AR241" s="951">
        <f>_xlfn.SUMIFS(Налоги!AQ$25:AQ$83,Налоги!$F$25:$F$83,$F241,Налоги!$AB$25:$AB$83,$G241)</f>
        <v>0</v>
      </c>
      <c r="AS241" s="951">
        <f>_xlfn.SUMIFS(Налоги!AR$25:AR$83,Налоги!$F$25:$F$83,$F241,Налоги!$AB$25:$AB$83,$G241)</f>
        <v>0</v>
      </c>
      <c r="AT241" s="951">
        <f>_xlfn.SUMIFS(Налоги!AS$25:AS$83,Налоги!$F$25:$F$83,$F241,Налоги!$AB$25:$AB$83,$G241)</f>
        <v>6.03878325</v>
      </c>
      <c r="AU241" s="951">
        <f>_xlfn.SUMIFS(Налоги!AT$25:AT$83,Налоги!$F$25:$F$83,$F241,Налоги!$AB$25:$AB$83,$G241)</f>
        <v>0</v>
      </c>
      <c r="AV241" s="951">
        <f>_xlfn.SUMIFS(Налоги!AU$25:AU$83,Налоги!$F$25:$F$83,$F241,Налоги!$AB$25:$AB$83,$G241)</f>
        <v>0</v>
      </c>
      <c r="AW241" s="951">
        <f>_xlfn.SUMIFS(Налоги!AV$25:AV$83,Налоги!$F$25:$F$83,$F241,Налоги!$AB$25:$AB$83,$G241)</f>
        <v>0</v>
      </c>
      <c r="AX241" s="951">
        <f>_xlfn.SUMIFS(Налоги!AW$25:AW$83,Налоги!$F$25:$F$83,$F241,Налоги!$AB$25:$AB$83,$G241)</f>
        <v>0</v>
      </c>
      <c r="AY241" s="951">
        <f>_xlfn.SUMIFS(Налоги!AX$25:AX$83,Налоги!$F$25:$F$83,$F241,Налоги!$AB$25:$AB$83,$G241)</f>
        <v>0</v>
      </c>
      <c r="AZ241" s="951">
        <f>_xlfn.SUMIFS(Налоги!AY$25:AY$83,Налоги!$F$25:$F$83,$F241,Налоги!$AB$25:$AB$83,$G241)</f>
        <v>0</v>
      </c>
      <c r="BA241" s="951">
        <f>_xlfn.SUMIFS(Налоги!AZ$25:AZ$83,Налоги!$F$25:$F$83,$F241,Налоги!$AB$25:$AB$83,$G241)</f>
        <v>0</v>
      </c>
      <c r="BB241" s="951">
        <f>_xlfn.SUMIFS(Налоги!BA$25:BA$83,Налоги!$F$25:$F$83,$F241,Налоги!$AB$25:$AB$83,$G241)</f>
        <v>0</v>
      </c>
      <c r="BC241" s="951">
        <f>_xlfn.SUMIFS(Налоги!BB$25:BB$83,Налоги!$F$25:$F$83,$F241,Налоги!$AB$25:$AB$83,$G241)</f>
        <v>0</v>
      </c>
      <c r="BD241" s="951">
        <f>IF(AI241=0,0,(AT241-AI241)/AI241*100)</f>
        <v>3.53739310267732</v>
      </c>
      <c r="BE241" s="951">
        <f>IF(AT241=0,0,(AU241-AT241)/AT241*100)</f>
        <v>-100</v>
      </c>
      <c r="BF241" s="951">
        <f>IF(AU241=0,0,(AV241-AU241)/AU241*100)</f>
        <v>0</v>
      </c>
      <c r="BG241" s="951">
        <f>IF(AV241=0,0,(AW241-AV241)/AV241*100)</f>
        <v>0</v>
      </c>
      <c r="BH241" s="951">
        <f>IF(AW241=0,0,(AX241-AW241)/AW241*100)</f>
        <v>0</v>
      </c>
      <c r="BI241" s="951">
        <f>IF(AX241=0,0,(AY241-AX241)/AX241*100)</f>
        <v>0</v>
      </c>
      <c r="BJ241" s="951">
        <f>IF(AY241=0,0,(AZ241-AY241)/AY241*100)</f>
        <v>0</v>
      </c>
      <c r="BK241" s="951">
        <f>IF(AZ241=0,0,(BA241-AZ241)/AZ241*100)</f>
        <v>0</v>
      </c>
      <c r="BL241" s="951">
        <f>IF(BA241=0,0,(BB241-BA241)/BA241*100)</f>
        <v>0</v>
      </c>
      <c r="BM241" s="951">
        <f>IF(BB241=0,0,(BC241-BB241)/BB241*100)</f>
        <v>0</v>
      </c>
      <c r="BN241" s="6533" t="s">
        <v>2490</v>
      </c>
      <c r="BO241" s="6525" t="str">
        <f>IF(_xlfn.IFERROR(INDEX(Налоги!$K$26:$L$83,MATCH($F241&amp;"4komm",Налоги!$K$26:$K$83,0),2),"")=0,"",_xlfn.IFERROR(INDEX(Налоги!$K$26:$L$83,MATCH($F241&amp;"4komm",Налоги!$K$26:$K$83,0),2),""))</f>
        <v>Глава 25.2. "ВОДНЫЙ НАЛОГ" "Налогового кодекса Российской Федерации (часть вторая)" от 05.08.2000 N 117-ФЗ. (ред. от 28.11.2025 N 425-ФЗ)</v>
      </c>
      <c r="BP241" s="6533" t="s">
        <v>1822</v>
      </c>
      <c r="BQ241" s="1297"/>
      <c r="BR241" s="1297"/>
      <c r="BS241" s="1072" t="s">
        <v>2318</v>
      </c>
      <c r="BT241" s="1072"/>
      <c r="BU241" s="1072"/>
      <c r="BV241" s="987"/>
      <c r="BW241" s="987"/>
    </row>
    <row s="1656" customFormat="1" customHeight="1" ht="130.921875">
      <c r="A242" s="1297"/>
      <c r="B242" s="92"/>
      <c r="C242" s="103"/>
      <c r="D242" s="103"/>
      <c r="E242" s="626">
        <v>15</v>
      </c>
      <c r="F242" s="50" cm="1" t="str">
        <f t="array" ref="F242:F242">OFFSET(E242,-1,1)</f>
        <v>1</v>
      </c>
      <c r="G242" s="929">
        <v>5</v>
      </c>
      <c r="H242" s="103"/>
      <c r="I242" s="103" t="s">
        <v>2319</v>
      </c>
      <c r="J242" s="103"/>
      <c r="K242" s="103" t="s">
        <v>2319</v>
      </c>
      <c r="L242" s="988"/>
      <c r="M242" s="103"/>
      <c r="N242" s="103"/>
      <c r="O242" s="103"/>
      <c r="P242" s="103"/>
      <c r="Q242" s="103"/>
      <c r="R242" s="103"/>
      <c r="S242" s="103"/>
      <c r="T242" s="468" cm="1" t="str">
        <f t="array" ref="T242:T242">T241</f>
        <v>true</v>
      </c>
      <c r="U242" s="103"/>
      <c r="V242" s="103"/>
      <c r="W242" s="1297"/>
      <c r="X242" s="1539"/>
      <c r="Y242" s="1297"/>
      <c r="Z242" s="1529"/>
      <c r="AA242" s="1297"/>
      <c r="AB242" s="295" t="s">
        <v>2320</v>
      </c>
      <c r="AC242" s="772" t="s">
        <v>2321</v>
      </c>
      <c r="AD242" s="296" t="s">
        <v>936</v>
      </c>
      <c r="AE242" s="255">
        <f>_xlfn.SUMIFS(Налоги!AE$25:AE$83,Налоги!$F$25:$F$83,$F242,Налоги!$AB$25:$AB$83,$G242)</f>
        <v>22087.9730315</v>
      </c>
      <c r="AF242" s="255">
        <f>_xlfn.SUMIFS(Налоги!AF$25:AF$83,Налоги!$F$25:$F$83,$F242,Налоги!$AB$25:$AB$83,$G242)</f>
        <v>18944.25084</v>
      </c>
      <c r="AG242" s="255">
        <f>_xlfn.SUMIFS(Налоги!AG$25:AG$83,Налоги!$F$25:$F$83,$F242,Налоги!$AB$25:$AB$83,$G242)</f>
        <v>18944.25084</v>
      </c>
      <c r="AH242" s="951">
        <f>AG242-AF242</f>
        <v>0</v>
      </c>
      <c r="AI242" s="951">
        <f>_xlfn.SUMIFS(Налоги!AH$25:AH$83,Налоги!$F$25:$F$83,$F242,Налоги!$AB$25:$AB$83,$G242)</f>
        <v>23813.3149848</v>
      </c>
      <c r="AJ242" s="951">
        <f>_xlfn.SUMIFS(Налоги!AI$25:AI$83,Налоги!$F$25:$F$83,$F242,Налоги!$AB$25:$AB$83,$G242)</f>
        <v>26335.99</v>
      </c>
      <c r="AK242" s="951">
        <f>_xlfn.SUMIFS(Налоги!AJ$25:AJ$83,Налоги!$F$25:$F$83,$F242,Налоги!$AB$25:$AB$83,$G242)</f>
        <v>0</v>
      </c>
      <c r="AL242" s="951">
        <f>_xlfn.SUMIFS(Налоги!AK$25:AK$83,Налоги!$F$25:$F$83,$F242,Налоги!$AB$25:$AB$83,$G242)</f>
        <v>0</v>
      </c>
      <c r="AM242" s="951">
        <f>_xlfn.SUMIFS(Налоги!AL$25:AL$83,Налоги!$F$25:$F$83,$F242,Налоги!$AB$25:$AB$83,$G242)</f>
        <v>0</v>
      </c>
      <c r="AN242" s="951">
        <f>_xlfn.SUMIFS(Налоги!AM$25:AM$83,Налоги!$F$25:$F$83,$F242,Налоги!$AB$25:$AB$83,$G242)</f>
        <v>0</v>
      </c>
      <c r="AO242" s="951">
        <f>_xlfn.SUMIFS(Налоги!AN$25:AN$83,Налоги!$F$25:$F$83,$F242,Налоги!$AB$25:$AB$83,$G242)</f>
        <v>0</v>
      </c>
      <c r="AP242" s="951">
        <f>_xlfn.SUMIFS(Налоги!AO$25:AO$83,Налоги!$F$25:$F$83,$F242,Налоги!$AB$25:$AB$83,$G242)</f>
        <v>0</v>
      </c>
      <c r="AQ242" s="951">
        <f>_xlfn.SUMIFS(Налоги!AP$25:AP$83,Налоги!$F$25:$F$83,$F242,Налоги!$AB$25:$AB$83,$G242)</f>
        <v>0</v>
      </c>
      <c r="AR242" s="951">
        <f>_xlfn.SUMIFS(Налоги!AQ$25:AQ$83,Налоги!$F$25:$F$83,$F242,Налоги!$AB$25:$AB$83,$G242)</f>
        <v>0</v>
      </c>
      <c r="AS242" s="951">
        <f>_xlfn.SUMIFS(Налоги!AR$25:AR$83,Налоги!$F$25:$F$83,$F242,Налоги!$AB$25:$AB$83,$G242)</f>
        <v>0</v>
      </c>
      <c r="AT242" s="951">
        <f>_xlfn.SUMIFS(Налоги!AS$25:AS$83,Налоги!$F$25:$F$83,$F242,Налоги!$AB$25:$AB$83,$G242)</f>
        <v>27966.38121675</v>
      </c>
      <c r="AU242" s="951">
        <f>_xlfn.SUMIFS(Налоги!AT$25:AT$83,Налоги!$F$25:$F$83,$F242,Налоги!$AB$25:$AB$83,$G242)</f>
        <v>0</v>
      </c>
      <c r="AV242" s="951">
        <f>_xlfn.SUMIFS(Налоги!AU$25:AU$83,Налоги!$F$25:$F$83,$F242,Налоги!$AB$25:$AB$83,$G242)</f>
        <v>0</v>
      </c>
      <c r="AW242" s="951">
        <f>_xlfn.SUMIFS(Налоги!AV$25:AV$83,Налоги!$F$25:$F$83,$F242,Налоги!$AB$25:$AB$83,$G242)</f>
        <v>0</v>
      </c>
      <c r="AX242" s="951">
        <f>_xlfn.SUMIFS(Налоги!AW$25:AW$83,Налоги!$F$25:$F$83,$F242,Налоги!$AB$25:$AB$83,$G242)</f>
        <v>0</v>
      </c>
      <c r="AY242" s="951">
        <f>_xlfn.SUMIFS(Налоги!AX$25:AX$83,Налоги!$F$25:$F$83,$F242,Налоги!$AB$25:$AB$83,$G242)</f>
        <v>0</v>
      </c>
      <c r="AZ242" s="951">
        <f>_xlfn.SUMIFS(Налоги!AY$25:AY$83,Налоги!$F$25:$F$83,$F242,Налоги!$AB$25:$AB$83,$G242)</f>
        <v>0</v>
      </c>
      <c r="BA242" s="951">
        <f>_xlfn.SUMIFS(Налоги!AZ$25:AZ$83,Налоги!$F$25:$F$83,$F242,Налоги!$AB$25:$AB$83,$G242)</f>
        <v>0</v>
      </c>
      <c r="BB242" s="951">
        <f>_xlfn.SUMIFS(Налоги!BA$25:BA$83,Налоги!$F$25:$F$83,$F242,Налоги!$AB$25:$AB$83,$G242)</f>
        <v>0</v>
      </c>
      <c r="BC242" s="951">
        <f>_xlfn.SUMIFS(Налоги!BB$25:BB$83,Налоги!$F$25:$F$83,$F242,Налоги!$AB$25:$AB$83,$G242)</f>
        <v>0</v>
      </c>
      <c r="BD242" s="951">
        <f>IF(AI242=0,0,(AT242-AI242)/AI242*100)</f>
        <v>17.44010119801</v>
      </c>
      <c r="BE242" s="951">
        <f>IF(AT242=0,0,(AU242-AT242)/AT242*100)</f>
        <v>-100</v>
      </c>
      <c r="BF242" s="951">
        <f>IF(AU242=0,0,(AV242-AU242)/AU242*100)</f>
        <v>0</v>
      </c>
      <c r="BG242" s="951">
        <f>IF(AV242=0,0,(AW242-AV242)/AV242*100)</f>
        <v>0</v>
      </c>
      <c r="BH242" s="951">
        <f>IF(AW242=0,0,(AX242-AW242)/AW242*100)</f>
        <v>0</v>
      </c>
      <c r="BI242" s="951">
        <f>IF(AX242=0,0,(AY242-AX242)/AX242*100)</f>
        <v>0</v>
      </c>
      <c r="BJ242" s="951">
        <f>IF(AY242=0,0,(AZ242-AY242)/AY242*100)</f>
        <v>0</v>
      </c>
      <c r="BK242" s="951">
        <f>IF(AZ242=0,0,(BA242-AZ242)/AZ242*100)</f>
        <v>0</v>
      </c>
      <c r="BL242" s="951">
        <f>IF(BA242=0,0,(BB242-BA242)/BA242*100)</f>
        <v>0</v>
      </c>
      <c r="BM242" s="951">
        <f>IF(BB242=0,0,(BC242-BB242)/BB242*100)</f>
        <v>0</v>
      </c>
      <c r="BN242" s="6533" t="s">
        <v>2491</v>
      </c>
      <c r="BO242" s="6525" t="str">
        <f>IF(_xlfn.IFERROR(INDEX(Налоги!$K$26:$L$83,MATCH($F242&amp;"5komm",Налоги!$K$26:$K$83,0),2),"")=0,"",_xlfn.IFERROR(INDEX(Налоги!$K$26:$L$83,MATCH($F242&amp;"5komm",Налоги!$K$26:$K$83,0),2),""))</f>
        <v>1) Постановление Правительства РФ от 30.12.2006 N 876 (ред. от 29.12.2017) "О ставках платы за пользование водными объектами, находящимися в федеральной собственности"; 2) Постановление Правительства РФ от 26.12.2014 N 1509 (ред. от 21.12.2024) "О ставках платы за пользование водными объектами, находящимися в федеральной собственности, и внесении изменений в раздел I ставок платы за пользование водными объектами, находящимися в федеральной собственности".</v>
      </c>
      <c r="BP242" s="6533" t="s">
        <v>1822</v>
      </c>
      <c r="BQ242" s="1297"/>
      <c r="BR242" s="1297"/>
      <c r="BS242" s="1072" t="s">
        <v>2322</v>
      </c>
      <c r="BT242" s="1072"/>
      <c r="BU242" s="1072"/>
      <c r="BV242" s="987"/>
      <c r="BW242" s="987"/>
    </row>
    <row s="1656" customFormat="1" customHeight="1" ht="85.921875">
      <c r="A243" s="1297"/>
      <c r="B243" s="92"/>
      <c r="C243" s="103"/>
      <c r="D243" s="103"/>
      <c r="E243" s="626">
        <v>15</v>
      </c>
      <c r="F243" s="50" cm="1" t="str">
        <f t="array" ref="F243:F243">OFFSET(E243,-1,1)</f>
        <v>1</v>
      </c>
      <c r="G243" s="929">
        <v>1</v>
      </c>
      <c r="H243" s="103"/>
      <c r="I243" s="103" t="s">
        <v>2323</v>
      </c>
      <c r="J243" s="103"/>
      <c r="K243" s="103" t="s">
        <v>2323</v>
      </c>
      <c r="L243" s="988"/>
      <c r="M243" s="103"/>
      <c r="N243" s="103"/>
      <c r="O243" s="103"/>
      <c r="P243" s="103"/>
      <c r="Q243" s="103"/>
      <c r="R243" s="103"/>
      <c r="S243" s="103"/>
      <c r="T243" s="468" cm="1" t="str">
        <f t="array" ref="T243:T243">T242</f>
        <v>true</v>
      </c>
      <c r="U243" s="103"/>
      <c r="V243" s="103"/>
      <c r="W243" s="1297"/>
      <c r="X243" s="1539"/>
      <c r="Y243" s="1297"/>
      <c r="Z243" s="1529"/>
      <c r="AA243" s="1297"/>
      <c r="AB243" s="295" t="s">
        <v>2324</v>
      </c>
      <c r="AC243" s="772" t="s">
        <v>2325</v>
      </c>
      <c r="AD243" s="296" t="s">
        <v>936</v>
      </c>
      <c r="AE243" s="255">
        <f>_xlfn.SUMIFS(Налоги!AE$25:AE$83,Налоги!$F$25:$F$83,$F243,Налоги!$AB$25:$AB$83,$G243)</f>
        <v>3.05</v>
      </c>
      <c r="AF243" s="255">
        <f>_xlfn.SUMIFS(Налоги!AF$25:AF$83,Налоги!$F$25:$F$83,$F243,Налоги!$AB$25:$AB$83,$G243)</f>
        <v>173.95</v>
      </c>
      <c r="AG243" s="255">
        <f>_xlfn.SUMIFS(Налоги!AG$25:AG$83,Налоги!$F$25:$F$83,$F243,Налоги!$AB$25:$AB$83,$G243)</f>
        <v>173.95</v>
      </c>
      <c r="AH243" s="951">
        <f>AG243-AF243</f>
        <v>0</v>
      </c>
      <c r="AI243" s="951">
        <f>_xlfn.SUMIFS(Налоги!AH$25:AH$83,Налоги!$F$25:$F$83,$F243,Налоги!$AB$25:$AB$83,$G243)</f>
        <v>20.44692</v>
      </c>
      <c r="AJ243" s="951">
        <f>_xlfn.SUMIFS(Налоги!AI$25:AI$83,Налоги!$F$25:$F$83,$F243,Налоги!$AB$25:$AB$83,$G243)</f>
        <v>173.95</v>
      </c>
      <c r="AK243" s="951">
        <f>_xlfn.SUMIFS(Налоги!AJ$25:AJ$83,Налоги!$F$25:$F$83,$F243,Налоги!$AB$25:$AB$83,$G243)</f>
        <v>0</v>
      </c>
      <c r="AL243" s="951">
        <f>_xlfn.SUMIFS(Налоги!AK$25:AK$83,Налоги!$F$25:$F$83,$F243,Налоги!$AB$25:$AB$83,$G243)</f>
        <v>0</v>
      </c>
      <c r="AM243" s="951">
        <f>_xlfn.SUMIFS(Налоги!AL$25:AL$83,Налоги!$F$25:$F$83,$F243,Налоги!$AB$25:$AB$83,$G243)</f>
        <v>0</v>
      </c>
      <c r="AN243" s="951">
        <f>_xlfn.SUMIFS(Налоги!AM$25:AM$83,Налоги!$F$25:$F$83,$F243,Налоги!$AB$25:$AB$83,$G243)</f>
        <v>0</v>
      </c>
      <c r="AO243" s="951">
        <f>_xlfn.SUMIFS(Налоги!AN$25:AN$83,Налоги!$F$25:$F$83,$F243,Налоги!$AB$25:$AB$83,$G243)</f>
        <v>0</v>
      </c>
      <c r="AP243" s="951">
        <f>_xlfn.SUMIFS(Налоги!AO$25:AO$83,Налоги!$F$25:$F$83,$F243,Налоги!$AB$25:$AB$83,$G243)</f>
        <v>0</v>
      </c>
      <c r="AQ243" s="951">
        <f>_xlfn.SUMIFS(Налоги!AP$25:AP$83,Налоги!$F$25:$F$83,$F243,Налоги!$AB$25:$AB$83,$G243)</f>
        <v>0</v>
      </c>
      <c r="AR243" s="951">
        <f>_xlfn.SUMIFS(Налоги!AQ$25:AQ$83,Налоги!$F$25:$F$83,$F243,Налоги!$AB$25:$AB$83,$G243)</f>
        <v>0</v>
      </c>
      <c r="AS243" s="951">
        <f>_xlfn.SUMIFS(Налоги!AR$25:AR$83,Налоги!$F$25:$F$83,$F243,Налоги!$AB$25:$AB$83,$G243)</f>
        <v>0</v>
      </c>
      <c r="AT243" s="951">
        <f>_xlfn.SUMIFS(Налоги!AS$25:AS$83,Налоги!$F$25:$F$83,$F243,Налоги!$AB$25:$AB$83,$G243)</f>
        <v>173.95</v>
      </c>
      <c r="AU243" s="951">
        <f>_xlfn.SUMIFS(Налоги!AT$25:AT$83,Налоги!$F$25:$F$83,$F243,Налоги!$AB$25:$AB$83,$G243)</f>
        <v>0</v>
      </c>
      <c r="AV243" s="951">
        <f>_xlfn.SUMIFS(Налоги!AU$25:AU$83,Налоги!$F$25:$F$83,$F243,Налоги!$AB$25:$AB$83,$G243)</f>
        <v>0</v>
      </c>
      <c r="AW243" s="951">
        <f>_xlfn.SUMIFS(Налоги!AV$25:AV$83,Налоги!$F$25:$F$83,$F243,Налоги!$AB$25:$AB$83,$G243)</f>
        <v>0</v>
      </c>
      <c r="AX243" s="951">
        <f>_xlfn.SUMIFS(Налоги!AW$25:AW$83,Налоги!$F$25:$F$83,$F243,Налоги!$AB$25:$AB$83,$G243)</f>
        <v>0</v>
      </c>
      <c r="AY243" s="951">
        <f>_xlfn.SUMIFS(Налоги!AX$25:AX$83,Налоги!$F$25:$F$83,$F243,Налоги!$AB$25:$AB$83,$G243)</f>
        <v>0</v>
      </c>
      <c r="AZ243" s="951">
        <f>_xlfn.SUMIFS(Налоги!AY$25:AY$83,Налоги!$F$25:$F$83,$F243,Налоги!$AB$25:$AB$83,$G243)</f>
        <v>0</v>
      </c>
      <c r="BA243" s="951">
        <f>_xlfn.SUMIFS(Налоги!AZ$25:AZ$83,Налоги!$F$25:$F$83,$F243,Налоги!$AB$25:$AB$83,$G243)</f>
        <v>0</v>
      </c>
      <c r="BB243" s="951">
        <f>_xlfn.SUMIFS(Налоги!BA$25:BA$83,Налоги!$F$25:$F$83,$F243,Налоги!$AB$25:$AB$83,$G243)</f>
        <v>0</v>
      </c>
      <c r="BC243" s="951">
        <f>_xlfn.SUMIFS(Налоги!BB$25:BB$83,Налоги!$F$25:$F$83,$F243,Налоги!$AB$25:$AB$83,$G243)</f>
        <v>0</v>
      </c>
      <c r="BD243" s="951">
        <f>IF(AI243=0,0,(AT243-AI243)/AI243*100)</f>
        <v>750.739377862289</v>
      </c>
      <c r="BE243" s="951">
        <f>IF(AT243=0,0,(AU243-AT243)/AT243*100)</f>
        <v>-100</v>
      </c>
      <c r="BF243" s="951">
        <f>IF(AU243=0,0,(AV243-AU243)/AU243*100)</f>
        <v>0</v>
      </c>
      <c r="BG243" s="951">
        <f>IF(AV243=0,0,(AW243-AV243)/AV243*100)</f>
        <v>0</v>
      </c>
      <c r="BH243" s="951">
        <f>IF(AW243=0,0,(AX243-AW243)/AW243*100)</f>
        <v>0</v>
      </c>
      <c r="BI243" s="951">
        <f>IF(AX243=0,0,(AY243-AX243)/AX243*100)</f>
        <v>0</v>
      </c>
      <c r="BJ243" s="951">
        <f>IF(AY243=0,0,(AZ243-AY243)/AY243*100)</f>
        <v>0</v>
      </c>
      <c r="BK243" s="951">
        <f>IF(AZ243=0,0,(BA243-AZ243)/AZ243*100)</f>
        <v>0</v>
      </c>
      <c r="BL243" s="951">
        <f>IF(BA243=0,0,(BB243-BA243)/BA243*100)</f>
        <v>0</v>
      </c>
      <c r="BM243" s="951">
        <f>IF(BB243=0,0,(BC243-BB243)/BB243*100)</f>
        <v>0</v>
      </c>
      <c r="BN243" s="6532" t="s">
        <v>2492</v>
      </c>
      <c r="BO243" s="6525" t="str">
        <f>IF(_xlfn.IFERROR(INDEX(Налоги!$K$26:$L$83,MATCH($F243&amp;"1komm",Налоги!$K$26:$K$83,0),2),"")=0,"",_xlfn.IFERROR(INDEX(Налоги!$K$26:$L$83,MATCH($F243&amp;"1komm",Налоги!$K$26:$K$83,0),2),""))</f>
        <v>Глава 28 "ТРАНСПОРТНЫЙ НАЛОГ" "Налогового кодекса Российской Федерации (часть вторая)" от 05.08.2000 N 117-ФЗ. 2) Закон Кемеровской области от 28.11.2002 N 95-ОЗ (ред. от 27.11.2025) "О транспортном налоге". 3) Приказ ФНС России от 04.09.2019 N ММВ-7-21/440@.</v>
      </c>
      <c r="BP243" s="6533" t="s">
        <v>1822</v>
      </c>
      <c r="BQ243" s="1297"/>
      <c r="BR243" s="1297"/>
      <c r="BS243" s="1072" t="s">
        <v>2326</v>
      </c>
      <c r="BT243" s="1072"/>
      <c r="BU243" s="1072"/>
      <c r="BV243" s="987"/>
      <c r="BW243" s="987"/>
    </row>
    <row s="1656" customFormat="1" customHeight="1" ht="26.671875">
      <c r="A244" s="1297"/>
      <c r="B244" s="92"/>
      <c r="C244" s="103"/>
      <c r="D244" s="103"/>
      <c r="E244" s="626">
        <v>15</v>
      </c>
      <c r="F244" s="50" cm="1" t="str">
        <f t="array" ref="F244:F244">OFFSET(E244,-1,1)</f>
        <v>1</v>
      </c>
      <c r="G244" s="929">
        <v>3</v>
      </c>
      <c r="H244" s="103"/>
      <c r="I244" s="103" t="s">
        <v>2327</v>
      </c>
      <c r="J244" s="103"/>
      <c r="K244" s="103" t="s">
        <v>2327</v>
      </c>
      <c r="L244" s="988"/>
      <c r="M244" s="103"/>
      <c r="N244" s="103"/>
      <c r="O244" s="103"/>
      <c r="P244" s="103"/>
      <c r="Q244" s="103"/>
      <c r="R244" s="103"/>
      <c r="S244" s="103"/>
      <c r="T244" s="468" cm="1" t="str">
        <f t="array" ref="T244:T244">T243</f>
        <v>true</v>
      </c>
      <c r="U244" s="103"/>
      <c r="V244" s="103"/>
      <c r="W244" s="1297"/>
      <c r="X244" s="1539"/>
      <c r="Y244" s="1297"/>
      <c r="Z244" s="1529"/>
      <c r="AA244" s="1297"/>
      <c r="AB244" s="295" t="s">
        <v>2328</v>
      </c>
      <c r="AC244" s="772" t="s">
        <v>2329</v>
      </c>
      <c r="AD244" s="296" t="s">
        <v>936</v>
      </c>
      <c r="AE244" s="6531">
        <f>_xlfn.SUMIFS(Налоги!AE$25:AE$83,Налоги!$F$25:$F$83,$F244,Налоги!$AB$25:$AB$83,$G244)</f>
        <v>0</v>
      </c>
      <c r="AF244" s="6531">
        <f>_xlfn.SUMIFS(Налоги!AF$25:AF$83,Налоги!$F$25:$F$83,$F244,Налоги!$AB$25:$AB$83,$G244)</f>
        <v>0</v>
      </c>
      <c r="AG244" s="6531">
        <f>_xlfn.SUMIFS(Налоги!AG$25:AG$83,Налоги!$F$25:$F$83,$F244,Налоги!$AB$25:$AB$83,$G244)</f>
        <v>0</v>
      </c>
      <c r="AH244" s="951">
        <f>AG244-AF244</f>
        <v>0</v>
      </c>
      <c r="AI244" s="6524">
        <f>_xlfn.SUMIFS(Налоги!AH$25:AH$83,Налоги!$F$25:$F$83,$F244,Налоги!$AB$25:$AB$83,$G244)</f>
        <v>0</v>
      </c>
      <c r="AJ244" s="6524">
        <f>_xlfn.SUMIFS(Налоги!AI$25:AI$83,Налоги!$F$25:$F$83,$F244,Налоги!$AB$25:$AB$83,$G244)</f>
        <v>0</v>
      </c>
      <c r="AK244" s="1272">
        <f>_xlfn.SUMIFS(Налоги!AJ$25:AJ$83,Налоги!$F$25:$F$83,$F244,Налоги!$AB$25:$AB$83,$G244)</f>
        <v>0</v>
      </c>
      <c r="AL244" s="1272">
        <f>_xlfn.SUMIFS(Налоги!AK$25:AK$83,Налоги!$F$25:$F$83,$F244,Налоги!$AB$25:$AB$83,$G244)</f>
        <v>0</v>
      </c>
      <c r="AM244" s="1272">
        <f>_xlfn.SUMIFS(Налоги!AL$25:AL$83,Налоги!$F$25:$F$83,$F244,Налоги!$AB$25:$AB$83,$G244)</f>
        <v>0</v>
      </c>
      <c r="AN244" s="1272">
        <f>_xlfn.SUMIFS(Налоги!AM$25:AM$83,Налоги!$F$25:$F$83,$F244,Налоги!$AB$25:$AB$83,$G244)</f>
        <v>0</v>
      </c>
      <c r="AO244" s="1272">
        <f>_xlfn.SUMIFS(Налоги!AN$25:AN$83,Налоги!$F$25:$F$83,$F244,Налоги!$AB$25:$AB$83,$G244)</f>
        <v>0</v>
      </c>
      <c r="AP244" s="1272">
        <f>_xlfn.SUMIFS(Налоги!AO$25:AO$83,Налоги!$F$25:$F$83,$F244,Налоги!$AB$25:$AB$83,$G244)</f>
        <v>0</v>
      </c>
      <c r="AQ244" s="1272">
        <f>_xlfn.SUMIFS(Налоги!AP$25:AP$83,Налоги!$F$25:$F$83,$F244,Налоги!$AB$25:$AB$83,$G244)</f>
        <v>0</v>
      </c>
      <c r="AR244" s="1272">
        <f>_xlfn.SUMIFS(Налоги!AQ$25:AQ$83,Налоги!$F$25:$F$83,$F244,Налоги!$AB$25:$AB$83,$G244)</f>
        <v>0</v>
      </c>
      <c r="AS244" s="1272">
        <f>_xlfn.SUMIFS(Налоги!AR$25:AR$83,Налоги!$F$25:$F$83,$F244,Налоги!$AB$25:$AB$83,$G244)</f>
        <v>0</v>
      </c>
      <c r="AT244" s="6524">
        <f>_xlfn.SUMIFS(Налоги!AS$25:AS$83,Налоги!$F$25:$F$83,$F244,Налоги!$AB$25:$AB$83,$G244)</f>
        <v>0</v>
      </c>
      <c r="AU244" s="1272">
        <f>_xlfn.SUMIFS(Налоги!AT$25:AT$83,Налоги!$F$25:$F$83,$F244,Налоги!$AB$25:$AB$83,$G244)</f>
        <v>0</v>
      </c>
      <c r="AV244" s="1272">
        <f>_xlfn.SUMIFS(Налоги!AU$25:AU$83,Налоги!$F$25:$F$83,$F244,Налоги!$AB$25:$AB$83,$G244)</f>
        <v>0</v>
      </c>
      <c r="AW244" s="1272">
        <f>_xlfn.SUMIFS(Налоги!AV$25:AV$83,Налоги!$F$25:$F$83,$F244,Налоги!$AB$25:$AB$83,$G244)</f>
        <v>0</v>
      </c>
      <c r="AX244" s="1272">
        <f>_xlfn.SUMIFS(Налоги!AW$25:AW$83,Налоги!$F$25:$F$83,$F244,Налоги!$AB$25:$AB$83,$G244)</f>
        <v>0</v>
      </c>
      <c r="AY244" s="1272">
        <f>_xlfn.SUMIFS(Налоги!AX$25:AX$83,Налоги!$F$25:$F$83,$F244,Налоги!$AB$25:$AB$83,$G244)</f>
        <v>0</v>
      </c>
      <c r="AZ244" s="1272">
        <f>_xlfn.SUMIFS(Налоги!AY$25:AY$83,Налоги!$F$25:$F$83,$F244,Налоги!$AB$25:$AB$83,$G244)</f>
        <v>0</v>
      </c>
      <c r="BA244" s="1272">
        <f>_xlfn.SUMIFS(Налоги!AZ$25:AZ$83,Налоги!$F$25:$F$83,$F244,Налоги!$AB$25:$AB$83,$G244)</f>
        <v>0</v>
      </c>
      <c r="BB244" s="1272">
        <f>_xlfn.SUMIFS(Налоги!BA$25:BA$83,Налоги!$F$25:$F$83,$F244,Налоги!$AB$25:$AB$83,$G244)</f>
        <v>0</v>
      </c>
      <c r="BC244" s="1272">
        <f>_xlfn.SUMIFS(Налоги!BB$25:BB$83,Налоги!$F$25:$F$83,$F244,Налоги!$AB$25:$AB$83,$G244)</f>
        <v>0</v>
      </c>
      <c r="BD244" s="951">
        <f>IF(AI244=0,0,(AT244-AI244)/AI244*100)</f>
        <v>0</v>
      </c>
      <c r="BE244" s="951">
        <f>IF(AT244=0,0,(AU244-AT244)/AT244*100)</f>
        <v>0</v>
      </c>
      <c r="BF244" s="951">
        <f>IF(AU244=0,0,(AV244-AU244)/AU244*100)</f>
        <v>0</v>
      </c>
      <c r="BG244" s="951">
        <f>IF(AV244=0,0,(AW244-AV244)/AV244*100)</f>
        <v>0</v>
      </c>
      <c r="BH244" s="951">
        <f>IF(AW244=0,0,(AX244-AW244)/AW244*100)</f>
        <v>0</v>
      </c>
      <c r="BI244" s="951">
        <f>IF(AX244=0,0,(AY244-AX244)/AX244*100)</f>
        <v>0</v>
      </c>
      <c r="BJ244" s="951">
        <f>IF(AY244=0,0,(AZ244-AY244)/AY244*100)</f>
        <v>0</v>
      </c>
      <c r="BK244" s="951">
        <f>IF(AZ244=0,0,(BA244-AZ244)/AZ244*100)</f>
        <v>0</v>
      </c>
      <c r="BL244" s="951">
        <f>IF(BA244=0,0,(BB244-BA244)/BA244*100)</f>
        <v>0</v>
      </c>
      <c r="BM244" s="951">
        <f>IF(BB244=0,0,(BC244-BB244)/BB244*100)</f>
        <v>0</v>
      </c>
      <c r="BN244" s="6533"/>
      <c r="BO244" s="6525"/>
      <c r="BP244" s="6533"/>
      <c r="BQ244" s="1297"/>
      <c r="BR244" s="1297"/>
      <c r="BS244" s="1072" t="s">
        <v>2330</v>
      </c>
      <c r="BT244" s="1072"/>
      <c r="BU244" s="1072"/>
      <c r="BV244" s="987"/>
      <c r="BW244" s="987"/>
    </row>
    <row s="1656" customFormat="1" customHeight="1" ht="14.25">
      <c r="A245" s="1297"/>
      <c r="B245" s="92"/>
      <c r="C245" s="103"/>
      <c r="D245" s="103"/>
      <c r="E245" s="626">
        <v>15</v>
      </c>
      <c r="F245" s="50" cm="1" t="str">
        <f t="array" ref="F245:F245">OFFSET(E245,-1,1)</f>
        <v>1</v>
      </c>
      <c r="G245" s="929">
        <v>8</v>
      </c>
      <c r="H245" s="103"/>
      <c r="I245" s="103" t="s">
        <v>2331</v>
      </c>
      <c r="J245" s="103"/>
      <c r="K245" s="103" t="s">
        <v>2331</v>
      </c>
      <c r="L245" s="988"/>
      <c r="M245" s="103"/>
      <c r="N245" s="103"/>
      <c r="O245" s="103"/>
      <c r="P245" s="103"/>
      <c r="Q245" s="103"/>
      <c r="R245" s="103"/>
      <c r="S245" s="103"/>
      <c r="T245" s="468" cm="1" t="str">
        <f t="array" ref="T245:T245">T244</f>
        <v>true</v>
      </c>
      <c r="U245" s="103"/>
      <c r="V245" s="103"/>
      <c r="W245" s="1297"/>
      <c r="X245" s="1539"/>
      <c r="Y245" s="1297"/>
      <c r="Z245" s="1529"/>
      <c r="AA245" s="1297"/>
      <c r="AB245" s="295" t="s">
        <v>2332</v>
      </c>
      <c r="AC245" s="772" t="s">
        <v>2333</v>
      </c>
      <c r="AD245" s="296" t="s">
        <v>936</v>
      </c>
      <c r="AE245" s="255">
        <f>_xlfn.SUMIFS(Налоги!AE$25:AE$83,Налоги!$F$25:$F$83,$F245,Налоги!$AB$25:$AB$83,$G245)</f>
        <v>0</v>
      </c>
      <c r="AF245" s="255">
        <f>_xlfn.SUMIFS(Налоги!AF$25:AF$83,Налоги!$F$25:$F$83,$F245,Налоги!$AB$25:$AB$83,$G245)</f>
        <v>0</v>
      </c>
      <c r="AG245" s="255">
        <f>_xlfn.SUMIFS(Налоги!AG$25:AG$83,Налоги!$F$25:$F$83,$F245,Налоги!$AB$25:$AB$83,$G245)</f>
        <v>0</v>
      </c>
      <c r="AH245" s="951">
        <f>AG245-AF245</f>
        <v>0</v>
      </c>
      <c r="AI245" s="951">
        <f>_xlfn.SUMIFS(Налоги!AH$25:AH$83,Налоги!$F$25:$F$83,$F245,Налоги!$AB$25:$AB$83,$G245)</f>
        <v>0</v>
      </c>
      <c r="AJ245" s="951">
        <f>_xlfn.SUMIFS(Налоги!AI$25:AI$83,Налоги!$F$25:$F$83,$F245,Налоги!$AB$25:$AB$83,$G245)</f>
        <v>0</v>
      </c>
      <c r="AK245" s="951">
        <f>_xlfn.SUMIFS(Налоги!AJ$25:AJ$83,Налоги!$F$25:$F$83,$F245,Налоги!$AB$25:$AB$83,$G245)</f>
        <v>0</v>
      </c>
      <c r="AL245" s="951">
        <f>_xlfn.SUMIFS(Налоги!AK$25:AK$83,Налоги!$F$25:$F$83,$F245,Налоги!$AB$25:$AB$83,$G245)</f>
        <v>0</v>
      </c>
      <c r="AM245" s="951">
        <f>_xlfn.SUMIFS(Налоги!AL$25:AL$83,Налоги!$F$25:$F$83,$F245,Налоги!$AB$25:$AB$83,$G245)</f>
        <v>0</v>
      </c>
      <c r="AN245" s="951">
        <f>_xlfn.SUMIFS(Налоги!AM$25:AM$83,Налоги!$F$25:$F$83,$F245,Налоги!$AB$25:$AB$83,$G245)</f>
        <v>0</v>
      </c>
      <c r="AO245" s="951">
        <f>_xlfn.SUMIFS(Налоги!AN$25:AN$83,Налоги!$F$25:$F$83,$F245,Налоги!$AB$25:$AB$83,$G245)</f>
        <v>0</v>
      </c>
      <c r="AP245" s="951">
        <f>_xlfn.SUMIFS(Налоги!AO$25:AO$83,Налоги!$F$25:$F$83,$F245,Налоги!$AB$25:$AB$83,$G245)</f>
        <v>0</v>
      </c>
      <c r="AQ245" s="951">
        <f>_xlfn.SUMIFS(Налоги!AP$25:AP$83,Налоги!$F$25:$F$83,$F245,Налоги!$AB$25:$AB$83,$G245)</f>
        <v>0</v>
      </c>
      <c r="AR245" s="951">
        <f>_xlfn.SUMIFS(Налоги!AQ$25:AQ$83,Налоги!$F$25:$F$83,$F245,Налоги!$AB$25:$AB$83,$G245)</f>
        <v>0</v>
      </c>
      <c r="AS245" s="951">
        <f>_xlfn.SUMIFS(Налоги!AR$25:AR$83,Налоги!$F$25:$F$83,$F245,Налоги!$AB$25:$AB$83,$G245)</f>
        <v>0</v>
      </c>
      <c r="AT245" s="951">
        <f>_xlfn.SUMIFS(Налоги!AS$25:AS$83,Налоги!$F$25:$F$83,$F245,Налоги!$AB$25:$AB$83,$G245)</f>
        <v>0</v>
      </c>
      <c r="AU245" s="951">
        <f>_xlfn.SUMIFS(Налоги!AT$25:AT$83,Налоги!$F$25:$F$83,$F245,Налоги!$AB$25:$AB$83,$G245)</f>
        <v>0</v>
      </c>
      <c r="AV245" s="951">
        <f>_xlfn.SUMIFS(Налоги!AU$25:AU$83,Налоги!$F$25:$F$83,$F245,Налоги!$AB$25:$AB$83,$G245)</f>
        <v>0</v>
      </c>
      <c r="AW245" s="951">
        <f>_xlfn.SUMIFS(Налоги!AV$25:AV$83,Налоги!$F$25:$F$83,$F245,Налоги!$AB$25:$AB$83,$G245)</f>
        <v>0</v>
      </c>
      <c r="AX245" s="951">
        <f>_xlfn.SUMIFS(Налоги!AW$25:AW$83,Налоги!$F$25:$F$83,$F245,Налоги!$AB$25:$AB$83,$G245)</f>
        <v>0</v>
      </c>
      <c r="AY245" s="951">
        <f>_xlfn.SUMIFS(Налоги!AX$25:AX$83,Налоги!$F$25:$F$83,$F245,Налоги!$AB$25:$AB$83,$G245)</f>
        <v>0</v>
      </c>
      <c r="AZ245" s="951">
        <f>_xlfn.SUMIFS(Налоги!AY$25:AY$83,Налоги!$F$25:$F$83,$F245,Налоги!$AB$25:$AB$83,$G245)</f>
        <v>0</v>
      </c>
      <c r="BA245" s="951">
        <f>_xlfn.SUMIFS(Налоги!AZ$25:AZ$83,Налоги!$F$25:$F$83,$F245,Налоги!$AB$25:$AB$83,$G245)</f>
        <v>0</v>
      </c>
      <c r="BB245" s="951">
        <f>_xlfn.SUMIFS(Налоги!BA$25:BA$83,Налоги!$F$25:$F$83,$F245,Налоги!$AB$25:$AB$83,$G245)</f>
        <v>0</v>
      </c>
      <c r="BC245" s="951">
        <f>_xlfn.SUMIFS(Налоги!BB$25:BB$83,Налоги!$F$25:$F$83,$F245,Налоги!$AB$25:$AB$83,$G245)</f>
        <v>0</v>
      </c>
      <c r="BD245" s="951">
        <f>IF(AI245=0,0,(AT245-AI245)/AI245*100)</f>
        <v>0</v>
      </c>
      <c r="BE245" s="951">
        <f>IF(AT245=0,0,(AU245-AT245)/AT245*100)</f>
        <v>0</v>
      </c>
      <c r="BF245" s="951">
        <f>IF(AU245=0,0,(AV245-AU245)/AU245*100)</f>
        <v>0</v>
      </c>
      <c r="BG245" s="951">
        <f>IF(AV245=0,0,(AW245-AV245)/AV245*100)</f>
        <v>0</v>
      </c>
      <c r="BH245" s="951">
        <f>IF(AW245=0,0,(AX245-AW245)/AW245*100)</f>
        <v>0</v>
      </c>
      <c r="BI245" s="951">
        <f>IF(AX245=0,0,(AY245-AX245)/AX245*100)</f>
        <v>0</v>
      </c>
      <c r="BJ245" s="951">
        <f>IF(AY245=0,0,(AZ245-AY245)/AY245*100)</f>
        <v>0</v>
      </c>
      <c r="BK245" s="951">
        <f>IF(AZ245=0,0,(BA245-AZ245)/AZ245*100)</f>
        <v>0</v>
      </c>
      <c r="BL245" s="951">
        <f>IF(BA245=0,0,(BB245-BA245)/BA245*100)</f>
        <v>0</v>
      </c>
      <c r="BM245" s="951">
        <f>IF(BB245=0,0,(BC245-BB245)/BB245*100)</f>
        <v>0</v>
      </c>
      <c r="BN245" s="6533"/>
      <c r="BO245" s="6525"/>
      <c r="BP245" s="6533"/>
      <c r="BQ245" s="1297"/>
      <c r="BR245" s="1297"/>
      <c r="BS245" s="1072" t="s">
        <v>1482</v>
      </c>
      <c r="BT245" s="1072"/>
      <c r="BU245" s="1072"/>
      <c r="BV245" s="987"/>
      <c r="BW245" s="987"/>
    </row>
    <row s="1252" customFormat="1" customHeight="1" ht="14.25">
      <c r="A246" s="1252"/>
      <c r="B246" s="92"/>
      <c r="C246" s="103"/>
      <c r="D246" s="103"/>
      <c r="E246" s="626">
        <v>15</v>
      </c>
      <c r="F246" s="50" cm="1" t="str">
        <f t="array" ref="F246:F246">OFFSET(E246,-1,1)</f>
        <v>1</v>
      </c>
      <c r="G246" s="929">
        <v>9</v>
      </c>
      <c r="H246" s="103"/>
      <c r="I246" s="103"/>
      <c r="J246" s="103"/>
      <c r="K246" s="103"/>
      <c r="L246" s="988"/>
      <c r="M246" s="103"/>
      <c r="N246" s="103"/>
      <c r="O246" s="103"/>
      <c r="P246" s="103"/>
      <c r="Q246" s="103"/>
      <c r="R246" s="103"/>
      <c r="S246" s="103"/>
      <c r="T246" s="468" cm="1" t="str">
        <f t="array" ref="T246:T246">T245</f>
        <v>true</v>
      </c>
      <c r="U246" s="103"/>
      <c r="V246" s="103"/>
      <c r="W246" s="1252"/>
      <c r="X246" s="1539"/>
      <c r="Y246" s="1252"/>
      <c r="Z246" s="1529"/>
      <c r="AA246" s="1252"/>
      <c r="AB246" s="295" t="s">
        <v>2334</v>
      </c>
      <c r="AC246" s="787" t="s">
        <v>2335</v>
      </c>
      <c r="AD246" s="296" t="s">
        <v>936</v>
      </c>
      <c r="AE246" s="255">
        <f>_xlfn.SUMIFS(Налоги!AE$25:AE$83,Налоги!$F$25:$F$83,$F246,Налоги!$AB$25:$AB$83,$G246)</f>
        <v>0</v>
      </c>
      <c r="AF246" s="255">
        <f>_xlfn.SUMIFS(Налоги!AF$25:AF$83,Налоги!$F$25:$F$83,$F246,Налоги!$AB$25:$AB$83,$G246)</f>
        <v>0</v>
      </c>
      <c r="AG246" s="255">
        <f>_xlfn.SUMIFS(Налоги!AG$25:AG$83,Налоги!$F$25:$F$83,$F246,Налоги!$AB$25:$AB$83,$G246)</f>
        <v>0</v>
      </c>
      <c r="AH246" s="951">
        <f>AG246-AF246</f>
        <v>0</v>
      </c>
      <c r="AI246" s="951">
        <f>_xlfn.SUMIFS(Налоги!AH$25:AH$83,Налоги!$F$25:$F$83,$F246,Налоги!$AB$25:$AB$83,$G246)</f>
        <v>0</v>
      </c>
      <c r="AJ246" s="951">
        <f>_xlfn.SUMIFS(Налоги!AI$25:AI$83,Налоги!$F$25:$F$83,$F246,Налоги!$AB$25:$AB$83,$G246)</f>
        <v>0</v>
      </c>
      <c r="AK246" s="951">
        <f>_xlfn.SUMIFS(Налоги!AJ$25:AJ$83,Налоги!$F$25:$F$83,$F246,Налоги!$AB$25:$AB$83,$G246)</f>
        <v>0</v>
      </c>
      <c r="AL246" s="951">
        <f>_xlfn.SUMIFS(Налоги!AK$25:AK$83,Налоги!$F$25:$F$83,$F246,Налоги!$AB$25:$AB$83,$G246)</f>
        <v>0</v>
      </c>
      <c r="AM246" s="951">
        <f>_xlfn.SUMIFS(Налоги!AL$25:AL$83,Налоги!$F$25:$F$83,$F246,Налоги!$AB$25:$AB$83,$G246)</f>
        <v>0</v>
      </c>
      <c r="AN246" s="951">
        <f>_xlfn.SUMIFS(Налоги!AM$25:AM$83,Налоги!$F$25:$F$83,$F246,Налоги!$AB$25:$AB$83,$G246)</f>
        <v>0</v>
      </c>
      <c r="AO246" s="951">
        <f>_xlfn.SUMIFS(Налоги!AN$25:AN$83,Налоги!$F$25:$F$83,$F246,Налоги!$AB$25:$AB$83,$G246)</f>
        <v>0</v>
      </c>
      <c r="AP246" s="951">
        <f>_xlfn.SUMIFS(Налоги!AO$25:AO$83,Налоги!$F$25:$F$83,$F246,Налоги!$AB$25:$AB$83,$G246)</f>
        <v>0</v>
      </c>
      <c r="AQ246" s="951">
        <f>_xlfn.SUMIFS(Налоги!AP$25:AP$83,Налоги!$F$25:$F$83,$F246,Налоги!$AB$25:$AB$83,$G246)</f>
        <v>0</v>
      </c>
      <c r="AR246" s="951">
        <f>_xlfn.SUMIFS(Налоги!AQ$25:AQ$83,Налоги!$F$25:$F$83,$F246,Налоги!$AB$25:$AB$83,$G246)</f>
        <v>0</v>
      </c>
      <c r="AS246" s="951">
        <f>_xlfn.SUMIFS(Налоги!AR$25:AR$83,Налоги!$F$25:$F$83,$F246,Налоги!$AB$25:$AB$83,$G246)</f>
        <v>0</v>
      </c>
      <c r="AT246" s="951">
        <f>_xlfn.SUMIFS(Налоги!AS$25:AS$83,Налоги!$F$25:$F$83,$F246,Налоги!$AB$25:$AB$83,$G246)</f>
        <v>0</v>
      </c>
      <c r="AU246" s="951">
        <f>_xlfn.SUMIFS(Налоги!AT$25:AT$83,Налоги!$F$25:$F$83,$F246,Налоги!$AB$25:$AB$83,$G246)</f>
        <v>0</v>
      </c>
      <c r="AV246" s="951">
        <f>_xlfn.SUMIFS(Налоги!AU$25:AU$83,Налоги!$F$25:$F$83,$F246,Налоги!$AB$25:$AB$83,$G246)</f>
        <v>0</v>
      </c>
      <c r="AW246" s="951">
        <f>_xlfn.SUMIFS(Налоги!AV$25:AV$83,Налоги!$F$25:$F$83,$F246,Налоги!$AB$25:$AB$83,$G246)</f>
        <v>0</v>
      </c>
      <c r="AX246" s="951">
        <f>_xlfn.SUMIFS(Налоги!AW$25:AW$83,Налоги!$F$25:$F$83,$F246,Налоги!$AB$25:$AB$83,$G246)</f>
        <v>0</v>
      </c>
      <c r="AY246" s="951">
        <f>_xlfn.SUMIFS(Налоги!AX$25:AX$83,Налоги!$F$25:$F$83,$F246,Налоги!$AB$25:$AB$83,$G246)</f>
        <v>0</v>
      </c>
      <c r="AZ246" s="951">
        <f>_xlfn.SUMIFS(Налоги!AY$25:AY$83,Налоги!$F$25:$F$83,$F246,Налоги!$AB$25:$AB$83,$G246)</f>
        <v>0</v>
      </c>
      <c r="BA246" s="951">
        <f>_xlfn.SUMIFS(Налоги!AZ$25:AZ$83,Налоги!$F$25:$F$83,$F246,Налоги!$AB$25:$AB$83,$G246)</f>
        <v>0</v>
      </c>
      <c r="BB246" s="951">
        <f>_xlfn.SUMIFS(Налоги!BA$25:BA$83,Налоги!$F$25:$F$83,$F246,Налоги!$AB$25:$AB$83,$G246)</f>
        <v>0</v>
      </c>
      <c r="BC246" s="951">
        <f>_xlfn.SUMIFS(Налоги!BB$25:BB$83,Налоги!$F$25:$F$83,$F246,Налоги!$AB$25:$AB$83,$G246)</f>
        <v>0</v>
      </c>
      <c r="BD246" s="951">
        <f>IF(AI246=0,0,(AT246-AI246)/AI246*100)</f>
        <v>0</v>
      </c>
      <c r="BE246" s="951">
        <f>IF(AT246=0,0,(AU246-AT246)/AT246*100)</f>
        <v>0</v>
      </c>
      <c r="BF246" s="951">
        <f>IF(AU246=0,0,(AV246-AU246)/AU246*100)</f>
        <v>0</v>
      </c>
      <c r="BG246" s="951">
        <f>IF(AV246=0,0,(AW246-AV246)/AV246*100)</f>
        <v>0</v>
      </c>
      <c r="BH246" s="951">
        <f>IF(AW246=0,0,(AX246-AW246)/AW246*100)</f>
        <v>0</v>
      </c>
      <c r="BI246" s="951">
        <f>IF(AX246=0,0,(AY246-AX246)/AX246*100)</f>
        <v>0</v>
      </c>
      <c r="BJ246" s="951">
        <f>IF(AY246=0,0,(AZ246-AY246)/AY246*100)</f>
        <v>0</v>
      </c>
      <c r="BK246" s="951">
        <f>IF(AZ246=0,0,(BA246-AZ246)/AZ246*100)</f>
        <v>0</v>
      </c>
      <c r="BL246" s="951">
        <f>IF(BA246=0,0,(BB246-BA246)/BA246*100)</f>
        <v>0</v>
      </c>
      <c r="BM246" s="951">
        <f>IF(BB246=0,0,(BC246-BB246)/BB246*100)</f>
        <v>0</v>
      </c>
      <c r="BN246" s="6533"/>
      <c r="BO246" s="6525" t="str">
        <f>IF(_xlfn.IFERROR(INDEX(Налоги!$K$26:$L$83,MATCH($F246&amp;"9komm",Налоги!$K$26:$K$83,0),2),"")=0,"",_xlfn.IFERROR(INDEX(Налоги!$K$26:$L$83,MATCH($F246&amp;"9komm",Налоги!$K$26:$K$83,0),2),""))</f>
        <v/>
      </c>
      <c r="BP246" s="6533"/>
      <c r="BQ246" s="1252"/>
      <c r="BR246" s="1252"/>
      <c r="BS246" s="1079" t="s">
        <v>2336</v>
      </c>
      <c r="BT246" s="1079"/>
      <c r="BU246" s="1079"/>
      <c r="BV246" s="1080"/>
      <c r="BW246" s="1080"/>
    </row>
    <row s="1656" customFormat="1" customHeight="1" ht="14.25">
      <c r="A247" s="1297"/>
      <c r="B247" s="92"/>
      <c r="C247" s="103"/>
      <c r="D247" s="103"/>
      <c r="E247" s="626">
        <v>15</v>
      </c>
      <c r="F247" s="50" cm="1" t="str">
        <f t="array" ref="F247:F247">OFFSET(E247,-1,1)</f>
        <v>1</v>
      </c>
      <c r="G247" s="929">
        <v>10</v>
      </c>
      <c r="H247" s="103"/>
      <c r="I247" s="103" t="s">
        <v>2337</v>
      </c>
      <c r="J247" s="103"/>
      <c r="K247" s="103" t="s">
        <v>2337</v>
      </c>
      <c r="L247" s="988"/>
      <c r="M247" s="103"/>
      <c r="N247" s="103"/>
      <c r="O247" s="103"/>
      <c r="P247" s="103"/>
      <c r="Q247" s="103"/>
      <c r="R247" s="103"/>
      <c r="S247" s="103"/>
      <c r="T247" s="468" cm="1" t="str">
        <f t="array" ref="T247:T247">T246</f>
        <v>true</v>
      </c>
      <c r="U247" s="103"/>
      <c r="V247" s="103"/>
      <c r="W247" s="1297"/>
      <c r="X247" s="1539"/>
      <c r="Y247" s="1297"/>
      <c r="Z247" s="1529"/>
      <c r="AA247" s="1297"/>
      <c r="AB247" s="295" t="s">
        <v>2338</v>
      </c>
      <c r="AC247" s="788" t="s">
        <v>2339</v>
      </c>
      <c r="AD247" s="296" t="s">
        <v>936</v>
      </c>
      <c r="AE247" s="255">
        <f>_xlfn.SUMIFS(Налоги!AE$25:AE$83,Налоги!$F$25:$F$83,$F247,Налоги!$AB$25:$AB$83,$G247)</f>
        <v>0</v>
      </c>
      <c r="AF247" s="255">
        <f>_xlfn.SUMIFS(Налоги!AF$25:AF$83,Налоги!$F$25:$F$83,$F247,Налоги!$AB$25:$AB$83,$G247)</f>
        <v>0</v>
      </c>
      <c r="AG247" s="255">
        <f>_xlfn.SUMIFS(Налоги!AG$25:AG$83,Налоги!$F$25:$F$83,$F247,Налоги!$AB$25:$AB$83,$G247)</f>
        <v>0</v>
      </c>
      <c r="AH247" s="951">
        <f>AG247-AF247</f>
        <v>0</v>
      </c>
      <c r="AI247" s="951">
        <f>_xlfn.SUMIFS(Налоги!AH$25:AH$83,Налоги!$F$25:$F$83,$F247,Налоги!$AB$25:$AB$83,$G247)</f>
        <v>0</v>
      </c>
      <c r="AJ247" s="951">
        <f>_xlfn.SUMIFS(Налоги!AI$25:AI$83,Налоги!$F$25:$F$83,$F247,Налоги!$AB$25:$AB$83,$G247)</f>
        <v>0</v>
      </c>
      <c r="AK247" s="951">
        <f>_xlfn.SUMIFS(Налоги!AJ$25:AJ$83,Налоги!$F$25:$F$83,$F247,Налоги!$AB$25:$AB$83,$G247)</f>
        <v>0</v>
      </c>
      <c r="AL247" s="951">
        <f>_xlfn.SUMIFS(Налоги!AK$25:AK$83,Налоги!$F$25:$F$83,$F247,Налоги!$AB$25:$AB$83,$G247)</f>
        <v>0</v>
      </c>
      <c r="AM247" s="951">
        <f>_xlfn.SUMIFS(Налоги!AL$25:AL$83,Налоги!$F$25:$F$83,$F247,Налоги!$AB$25:$AB$83,$G247)</f>
        <v>0</v>
      </c>
      <c r="AN247" s="951">
        <f>_xlfn.SUMIFS(Налоги!AM$25:AM$83,Налоги!$F$25:$F$83,$F247,Налоги!$AB$25:$AB$83,$G247)</f>
        <v>0</v>
      </c>
      <c r="AO247" s="951">
        <f>_xlfn.SUMIFS(Налоги!AN$25:AN$83,Налоги!$F$25:$F$83,$F247,Налоги!$AB$25:$AB$83,$G247)</f>
        <v>0</v>
      </c>
      <c r="AP247" s="951">
        <f>_xlfn.SUMIFS(Налоги!AO$25:AO$83,Налоги!$F$25:$F$83,$F247,Налоги!$AB$25:$AB$83,$G247)</f>
        <v>0</v>
      </c>
      <c r="AQ247" s="951">
        <f>_xlfn.SUMIFS(Налоги!AP$25:AP$83,Налоги!$F$25:$F$83,$F247,Налоги!$AB$25:$AB$83,$G247)</f>
        <v>0</v>
      </c>
      <c r="AR247" s="951">
        <f>_xlfn.SUMIFS(Налоги!AQ$25:AQ$83,Налоги!$F$25:$F$83,$F247,Налоги!$AB$25:$AB$83,$G247)</f>
        <v>0</v>
      </c>
      <c r="AS247" s="951">
        <f>_xlfn.SUMIFS(Налоги!AR$25:AR$83,Налоги!$F$25:$F$83,$F247,Налоги!$AB$25:$AB$83,$G247)</f>
        <v>0</v>
      </c>
      <c r="AT247" s="951">
        <f>_xlfn.SUMIFS(Налоги!AS$25:AS$83,Налоги!$F$25:$F$83,$F247,Налоги!$AB$25:$AB$83,$G247)</f>
        <v>0</v>
      </c>
      <c r="AU247" s="951">
        <f>_xlfn.SUMIFS(Налоги!AT$25:AT$83,Налоги!$F$25:$F$83,$F247,Налоги!$AB$25:$AB$83,$G247)</f>
        <v>0</v>
      </c>
      <c r="AV247" s="951">
        <f>_xlfn.SUMIFS(Налоги!AU$25:AU$83,Налоги!$F$25:$F$83,$F247,Налоги!$AB$25:$AB$83,$G247)</f>
        <v>0</v>
      </c>
      <c r="AW247" s="951">
        <f>_xlfn.SUMIFS(Налоги!AV$25:AV$83,Налоги!$F$25:$F$83,$F247,Налоги!$AB$25:$AB$83,$G247)</f>
        <v>0</v>
      </c>
      <c r="AX247" s="951">
        <f>_xlfn.SUMIFS(Налоги!AW$25:AW$83,Налоги!$F$25:$F$83,$F247,Налоги!$AB$25:$AB$83,$G247)</f>
        <v>0</v>
      </c>
      <c r="AY247" s="951">
        <f>_xlfn.SUMIFS(Налоги!AX$25:AX$83,Налоги!$F$25:$F$83,$F247,Налоги!$AB$25:$AB$83,$G247)</f>
        <v>0</v>
      </c>
      <c r="AZ247" s="951">
        <f>_xlfn.SUMIFS(Налоги!AY$25:AY$83,Налоги!$F$25:$F$83,$F247,Налоги!$AB$25:$AB$83,$G247)</f>
        <v>0</v>
      </c>
      <c r="BA247" s="951">
        <f>_xlfn.SUMIFS(Налоги!AZ$25:AZ$83,Налоги!$F$25:$F$83,$F247,Налоги!$AB$25:$AB$83,$G247)</f>
        <v>0</v>
      </c>
      <c r="BB247" s="951">
        <f>_xlfn.SUMIFS(Налоги!BA$25:BA$83,Налоги!$F$25:$F$83,$F247,Налоги!$AB$25:$AB$83,$G247)</f>
        <v>0</v>
      </c>
      <c r="BC247" s="951">
        <f>_xlfn.SUMIFS(Налоги!BB$25:BB$83,Налоги!$F$25:$F$83,$F247,Налоги!$AB$25:$AB$83,$G247)</f>
        <v>0</v>
      </c>
      <c r="BD247" s="951">
        <f>IF(AI247=0,0,(AT247-AI247)/AI247*100)</f>
        <v>0</v>
      </c>
      <c r="BE247" s="951">
        <f>IF(AT247=0,0,(AU247-AT247)/AT247*100)</f>
        <v>0</v>
      </c>
      <c r="BF247" s="951">
        <f>IF(AU247=0,0,(AV247-AU247)/AU247*100)</f>
        <v>0</v>
      </c>
      <c r="BG247" s="951">
        <f>IF(AV247=0,0,(AW247-AV247)/AV247*100)</f>
        <v>0</v>
      </c>
      <c r="BH247" s="951">
        <f>IF(AW247=0,0,(AX247-AW247)/AW247*100)</f>
        <v>0</v>
      </c>
      <c r="BI247" s="951">
        <f>IF(AX247=0,0,(AY247-AX247)/AX247*100)</f>
        <v>0</v>
      </c>
      <c r="BJ247" s="951">
        <f>IF(AY247=0,0,(AZ247-AY247)/AY247*100)</f>
        <v>0</v>
      </c>
      <c r="BK247" s="951">
        <f>IF(AZ247=0,0,(BA247-AZ247)/AZ247*100)</f>
        <v>0</v>
      </c>
      <c r="BL247" s="951">
        <f>IF(BA247=0,0,(BB247-BA247)/BA247*100)</f>
        <v>0</v>
      </c>
      <c r="BM247" s="951">
        <f>IF(BB247=0,0,(BC247-BB247)/BB247*100)</f>
        <v>0</v>
      </c>
      <c r="BN247" s="6533"/>
      <c r="BO247" s="6525" t="str">
        <f>IF(_xlfn.IFERROR(INDEX(Налоги!$K$26:$L$83,MATCH($F247&amp;"10komm",Налоги!$K$26:$K$83,0),2),"")=0,"",_xlfn.IFERROR(INDEX(Налоги!$K$26:$L$83,MATCH($F247&amp;"10komm",Налоги!$K$26:$K$83,0),2),""))</f>
        <v/>
      </c>
      <c r="BP247" s="6533"/>
      <c r="BQ247" s="1297"/>
      <c r="BR247" s="1297"/>
      <c r="BS247" s="1072" t="s">
        <v>2340</v>
      </c>
      <c r="BT247" s="1072"/>
      <c r="BU247" s="1072"/>
      <c r="BV247" s="987"/>
      <c r="BW247" s="987"/>
    </row>
    <row s="1656" customFormat="1" customHeight="1" ht="65.25">
      <c r="A248" s="1297"/>
      <c r="B248" s="986"/>
      <c r="C248" s="1297"/>
      <c r="D248" s="1297"/>
      <c r="E248" s="709">
        <v>67.5</v>
      </c>
      <c r="F248" s="50" cm="1" t="str">
        <f t="array" ref="F248:F248">OFFSET(E248,-1,1)</f>
        <v>1</v>
      </c>
      <c r="G248" s="154" t="s">
        <v>1670</v>
      </c>
      <c r="H248" s="1297"/>
      <c r="I248" s="154" t="s">
        <v>1089</v>
      </c>
      <c r="J248" s="1297"/>
      <c r="K248" s="154" t="s">
        <v>1089</v>
      </c>
      <c r="L248" s="988"/>
      <c r="M248" s="103"/>
      <c r="N248" s="1297"/>
      <c r="O248" s="1297"/>
      <c r="P248" s="1297"/>
      <c r="Q248" s="1297"/>
      <c r="R248" s="1297"/>
      <c r="S248" s="1297"/>
      <c r="T248" s="468" cm="1" t="str">
        <f t="array" ref="T248:T248">T247</f>
        <v>true</v>
      </c>
      <c r="U248" s="1297"/>
      <c r="V248" s="1297"/>
      <c r="W248" s="1297"/>
      <c r="X248" s="1539"/>
      <c r="Y248" s="1297"/>
      <c r="Z248" s="1529"/>
      <c r="AA248" s="1297"/>
      <c r="AB248" s="295" t="s">
        <v>1090</v>
      </c>
      <c r="AC248" s="789" t="s">
        <v>1673</v>
      </c>
      <c r="AD248" s="296" t="s">
        <v>936</v>
      </c>
      <c r="AE248" s="6578"/>
      <c r="AF248" s="6578"/>
      <c r="AG248" s="6578"/>
      <c r="AH248" s="951">
        <f>AG248-AF248</f>
        <v>0</v>
      </c>
      <c r="AI248" s="6579"/>
      <c r="AJ248" s="6579"/>
      <c r="AK248" s="1277"/>
      <c r="AL248" s="1277"/>
      <c r="AM248" s="1277"/>
      <c r="AN248" s="1277"/>
      <c r="AO248" s="1277"/>
      <c r="AP248" s="1277"/>
      <c r="AQ248" s="1277"/>
      <c r="AR248" s="1277"/>
      <c r="AS248" s="1277"/>
      <c r="AT248" s="6579"/>
      <c r="AU248" s="1277"/>
      <c r="AV248" s="1277"/>
      <c r="AW248" s="1277"/>
      <c r="AX248" s="1277"/>
      <c r="AY248" s="1277"/>
      <c r="AZ248" s="1277"/>
      <c r="BA248" s="1277"/>
      <c r="BB248" s="1277"/>
      <c r="BC248" s="1277"/>
      <c r="BD248" s="951">
        <f>IF(AI248=0,0,(AT248-AI248)/AI248*100)</f>
        <v>0</v>
      </c>
      <c r="BE248" s="951">
        <f>IF(AT248=0,0,(AU248-AT248)/AT248*100)</f>
        <v>0</v>
      </c>
      <c r="BF248" s="951">
        <f>IF(AU248=0,0,(AV248-AU248)/AU248*100)</f>
        <v>0</v>
      </c>
      <c r="BG248" s="951">
        <f>IF(AV248=0,0,(AW248-AV248)/AV248*100)</f>
        <v>0</v>
      </c>
      <c r="BH248" s="951">
        <f>IF(AW248=0,0,(AX248-AW248)/AW248*100)</f>
        <v>0</v>
      </c>
      <c r="BI248" s="951">
        <f>IF(AX248=0,0,(AY248-AX248)/AX248*100)</f>
        <v>0</v>
      </c>
      <c r="BJ248" s="951">
        <f>IF(AY248=0,0,(AZ248-AY248)/AY248*100)</f>
        <v>0</v>
      </c>
      <c r="BK248" s="951">
        <f>IF(AZ248=0,0,(BA248-AZ248)/AZ248*100)</f>
        <v>0</v>
      </c>
      <c r="BL248" s="951">
        <f>IF(BA248=0,0,(BB248-BA248)/BA248*100)</f>
        <v>0</v>
      </c>
      <c r="BM248" s="951">
        <f>IF(BB248=0,0,(BC248-BB248)/BB248*100)</f>
        <v>0</v>
      </c>
      <c r="BN248" s="6533" t="s">
        <v>2493</v>
      </c>
      <c r="BO248" s="6533"/>
      <c r="BP248" s="6533"/>
      <c r="BQ248" s="1297"/>
      <c r="BR248" s="1297"/>
      <c r="BS248" s="1072" t="s">
        <v>2341</v>
      </c>
      <c r="BT248" s="1072"/>
      <c r="BU248" s="1072"/>
      <c r="BV248" s="987"/>
      <c r="BW248" s="987"/>
    </row>
    <row s="1656" customFormat="1" customHeight="1" ht="256.171875">
      <c r="A249" s="1297"/>
      <c r="B249" s="986"/>
      <c r="C249" s="1297"/>
      <c r="D249" s="1297"/>
      <c r="E249" s="709">
        <v>15</v>
      </c>
      <c r="F249" s="50" cm="1" t="str">
        <f t="array" ref="F249:F249">OFFSET(E249,-1,1)</f>
        <v>1</v>
      </c>
      <c r="G249" s="154" t="s">
        <v>1192</v>
      </c>
      <c r="H249" s="1297"/>
      <c r="I249" s="154" t="s">
        <v>1092</v>
      </c>
      <c r="J249" s="1297"/>
      <c r="K249" s="154" t="s">
        <v>1092</v>
      </c>
      <c r="L249" s="988" t="s">
        <v>616</v>
      </c>
      <c r="M249" s="103"/>
      <c r="N249" s="1297"/>
      <c r="O249" s="1297"/>
      <c r="P249" s="1297"/>
      <c r="Q249" s="1297"/>
      <c r="R249" s="1297"/>
      <c r="S249" s="1297"/>
      <c r="T249" s="468" cm="1" t="str">
        <f t="array" ref="T249:T249">T248</f>
        <v>true</v>
      </c>
      <c r="U249" s="1297"/>
      <c r="V249" s="1297"/>
      <c r="W249" s="1297"/>
      <c r="X249" s="1539"/>
      <c r="Y249" s="1297"/>
      <c r="Z249" s="1529"/>
      <c r="AA249" s="1297"/>
      <c r="AB249" s="295" t="s">
        <v>1093</v>
      </c>
      <c r="AC249" s="769" t="s">
        <v>1192</v>
      </c>
      <c r="AD249" s="296" t="s">
        <v>936</v>
      </c>
      <c r="AE249" s="255">
        <f>_xlfn.SUMIFS(Аренда!AE$25:AE$67,Аренда!$F$25:$F$67,$F249,Аренда!$G$25:$G$67,"Арендная и концессионная плата, лизинговые платежи")</f>
        <v>787.58</v>
      </c>
      <c r="AF249" s="255">
        <f>_xlfn.SUMIFS(Аренда!AF$25:AF$67,Аренда!$F$25:$F$67,$F249,Аренда!$G$25:$G$67,"Арендная и концессионная плата, лизинговые платежи")</f>
        <v>729.95</v>
      </c>
      <c r="AG249" s="255">
        <f>_xlfn.SUMIFS(Аренда!AG$25:AG$67,Аренда!$F$25:$F$67,$F249,Аренда!$G$25:$G$67,"Арендная и концессионная плата, лизинговые платежи")</f>
        <v>729.95</v>
      </c>
      <c r="AH249" s="951">
        <f>AG249-AF249</f>
        <v>0</v>
      </c>
      <c r="AI249" s="255">
        <f>_xlfn.SUMIFS(Аренда!AH$25:AH$67,Аренда!$F$25:$F$67,$F249,Аренда!$G$25:$G$67,"Арендная и концессионная плата, лизинговые платежи")</f>
        <v>729.96</v>
      </c>
      <c r="AJ249" s="255">
        <f>_xlfn.SUMIFS(Аренда!AI$25:AI$67,Аренда!$F$25:$F$67,$F249,Аренда!$G$25:$G$67,"Арендная и концессионная плата, лизинговые платежи")</f>
        <v>4433.04</v>
      </c>
      <c r="AK249" s="255">
        <f>_xlfn.SUMIFS(Аренда!AJ$25:AJ$67,Аренда!$F$25:$F$67,$F249,Аренда!$G$25:$G$67,"Арендная и концессионная плата, лизинговые платежи")</f>
        <v>0</v>
      </c>
      <c r="AL249" s="255">
        <f>_xlfn.SUMIFS(Аренда!AK$25:AK$67,Аренда!$F$25:$F$67,$F249,Аренда!$G$25:$G$67,"Арендная и концессионная плата, лизинговые платежи")</f>
        <v>0</v>
      </c>
      <c r="AM249" s="255">
        <f>_xlfn.SUMIFS(Аренда!AL$25:AL$67,Аренда!$F$25:$F$67,$F249,Аренда!$G$25:$G$67,"Арендная и концессионная плата, лизинговые платежи")</f>
        <v>0</v>
      </c>
      <c r="AN249" s="255">
        <f>_xlfn.SUMIFS(Аренда!AM$25:AM$67,Аренда!$F$25:$F$67,$F249,Аренда!$G$25:$G$67,"Арендная и концессионная плата, лизинговые платежи")</f>
        <v>0</v>
      </c>
      <c r="AO249" s="255">
        <f>_xlfn.SUMIFS(Аренда!AN$25:AN$67,Аренда!$F$25:$F$67,$F249,Аренда!$G$25:$G$67,"Арендная и концессионная плата, лизинговые платежи")</f>
        <v>0</v>
      </c>
      <c r="AP249" s="255">
        <f>_xlfn.SUMIFS(Аренда!AO$25:AO$67,Аренда!$F$25:$F$67,$F249,Аренда!$G$25:$G$67,"Арендная и концессионная плата, лизинговые платежи")</f>
        <v>0</v>
      </c>
      <c r="AQ249" s="255">
        <f>_xlfn.SUMIFS(Аренда!AP$25:AP$67,Аренда!$F$25:$F$67,$F249,Аренда!$G$25:$G$67,"Арендная и концессионная плата, лизинговые платежи")</f>
        <v>0</v>
      </c>
      <c r="AR249" s="255">
        <f>_xlfn.SUMIFS(Аренда!AQ$25:AQ$67,Аренда!$F$25:$F$67,$F249,Аренда!$G$25:$G$67,"Арендная и концессионная плата, лизинговые платежи")</f>
        <v>0</v>
      </c>
      <c r="AS249" s="255">
        <f>_xlfn.SUMIFS(Аренда!AR$25:AR$67,Аренда!$F$25:$F$67,$F249,Аренда!$G$25:$G$67,"Арендная и концессионная плата, лизинговые платежи")</f>
        <v>0</v>
      </c>
      <c r="AT249" s="255">
        <f>_xlfn.SUMIFS(Аренда!AS$25:AS$67,Аренда!$F$25:$F$67,$F249,Аренда!$G$25:$G$67,"Арендная и концессионная плата, лизинговые платежи")</f>
        <v>2149.2</v>
      </c>
      <c r="AU249" s="255">
        <f>_xlfn.SUMIFS(Аренда!AT$25:AT$67,Аренда!$F$25:$F$67,$F249,Аренда!$G$25:$G$67,"Арендная и концессионная плата, лизинговые платежи")</f>
        <v>0</v>
      </c>
      <c r="AV249" s="255">
        <f>_xlfn.SUMIFS(Аренда!AU$25:AU$67,Аренда!$F$25:$F$67,$F249,Аренда!$G$25:$G$67,"Арендная и концессионная плата, лизинговые платежи")</f>
        <v>0</v>
      </c>
      <c r="AW249" s="255">
        <f>_xlfn.SUMIFS(Аренда!AV$25:AV$67,Аренда!$F$25:$F$67,$F249,Аренда!$G$25:$G$67,"Арендная и концессионная плата, лизинговые платежи")</f>
        <v>0</v>
      </c>
      <c r="AX249" s="255">
        <f>_xlfn.SUMIFS(Аренда!AW$25:AW$67,Аренда!$F$25:$F$67,$F249,Аренда!$G$25:$G$67,"Арендная и концессионная плата, лизинговые платежи")</f>
        <v>0</v>
      </c>
      <c r="AY249" s="255">
        <f>_xlfn.SUMIFS(Аренда!AX$25:AX$67,Аренда!$F$25:$F$67,$F249,Аренда!$G$25:$G$67,"Арендная и концессионная плата, лизинговые платежи")</f>
        <v>0</v>
      </c>
      <c r="AZ249" s="255">
        <f>_xlfn.SUMIFS(Аренда!AY$25:AY$67,Аренда!$F$25:$F$67,$F249,Аренда!$G$25:$G$67,"Арендная и концессионная плата, лизинговые платежи")</f>
        <v>0</v>
      </c>
      <c r="BA249" s="255">
        <f>_xlfn.SUMIFS(Аренда!AZ$25:AZ$67,Аренда!$F$25:$F$67,$F249,Аренда!$G$25:$G$67,"Арендная и концессионная плата, лизинговые платежи")</f>
        <v>0</v>
      </c>
      <c r="BB249" s="255">
        <f>_xlfn.SUMIFS(Аренда!BA$25:BA$67,Аренда!$F$25:$F$67,$F249,Аренда!$G$25:$G$67,"Арендная и концессионная плата, лизинговые платежи")</f>
        <v>0</v>
      </c>
      <c r="BC249" s="255">
        <f>_xlfn.SUMIFS(Аренда!BB$25:BB$67,Аренда!$F$25:$F$67,$F249,Аренда!$G$25:$G$67,"Арендная и концессионная плата, лизинговые платежи")</f>
        <v>0</v>
      </c>
      <c r="BD249" s="951">
        <f>IF(AI249=0,0,(AT249-AI249)/AI249*100)</f>
        <v>194.427091895446</v>
      </c>
      <c r="BE249" s="951">
        <f>IF(AT249=0,0,(AU249-AT249)/AT249*100)</f>
        <v>-100</v>
      </c>
      <c r="BF249" s="951">
        <f>IF(AU249=0,0,(AV249-AU249)/AU249*100)</f>
        <v>0</v>
      </c>
      <c r="BG249" s="951">
        <f>IF(AV249=0,0,(AW249-AV249)/AV249*100)</f>
        <v>0</v>
      </c>
      <c r="BH249" s="951">
        <f>IF(AW249=0,0,(AX249-AW249)/AW249*100)</f>
        <v>0</v>
      </c>
      <c r="BI249" s="951">
        <f>IF(AX249=0,0,(AY249-AX249)/AX249*100)</f>
        <v>0</v>
      </c>
      <c r="BJ249" s="951">
        <f>IF(AY249=0,0,(AZ249-AY249)/AY249*100)</f>
        <v>0</v>
      </c>
      <c r="BK249" s="951">
        <f>IF(AZ249=0,0,(BA249-AZ249)/AZ249*100)</f>
        <v>0</v>
      </c>
      <c r="BL249" s="951">
        <f>IF(BA249=0,0,(BB249-BA249)/BA249*100)</f>
        <v>0</v>
      </c>
      <c r="BM249" s="951">
        <f>IF(BB249=0,0,(BC249-BB249)/BB249*100)</f>
        <v>0</v>
      </c>
      <c r="BN249" s="6533" t="s">
        <v>2494</v>
      </c>
      <c r="BO249" s="6580" t="str">
        <f>IF(_xlfn.IFERROR(INDEX(Аренда!$K$26:$L$67,MATCH($F249&amp;"komm",Аренда!$K$26:$K$67,0),2),"")=0,"",_xlfn.IFERROR(INDEX(Аренда!$K$26:$L$67,MATCH($F249&amp;"komm",Аренда!$K$26:$K$67,0),2),""))</f>
        <v>П. 29 "Методических указаний…" ФСТ России (приказ от 27.12.2013 № 1746-э).</v>
      </c>
      <c r="BP249" s="6533" t="s">
        <v>2495</v>
      </c>
      <c r="BQ249" s="1297"/>
      <c r="BR249" s="1297"/>
      <c r="BS249" s="1072" t="s">
        <v>2342</v>
      </c>
      <c r="BT249" s="1072"/>
      <c r="BU249" s="1072"/>
      <c r="BV249" s="987"/>
      <c r="BW249" s="987"/>
    </row>
    <row s="1656" customFormat="1" customHeight="1" ht="182.96875">
      <c r="A250" s="1297"/>
      <c r="B250" s="434">
        <f>STATUS_GO="да"</f>
        <v>0</v>
      </c>
      <c r="C250" s="1297"/>
      <c r="D250" s="1297"/>
      <c r="E250" s="709">
        <v>15</v>
      </c>
      <c r="F250" s="50" cm="1" t="str">
        <f t="array" ref="F250:F250">OFFSET(E250,-1,1)</f>
        <v>1</v>
      </c>
      <c r="G250" s="1297"/>
      <c r="H250" s="1297"/>
      <c r="I250" s="154" t="s">
        <v>2343</v>
      </c>
      <c r="J250" s="1297"/>
      <c r="K250" s="154" t="s">
        <v>2343</v>
      </c>
      <c r="L250" s="988"/>
      <c r="M250" s="103"/>
      <c r="N250" s="1297"/>
      <c r="O250" s="1297"/>
      <c r="P250" s="1297"/>
      <c r="Q250" s="1297"/>
      <c r="R250" s="1297"/>
      <c r="S250" s="1297"/>
      <c r="T250" s="468" cm="1" t="str">
        <f t="array" ref="T250:T250">T249</f>
        <v>true</v>
      </c>
      <c r="U250" s="1297"/>
      <c r="V250" s="1297"/>
      <c r="W250" s="1297"/>
      <c r="X250" s="1539"/>
      <c r="Y250" s="1297"/>
      <c r="Z250" s="1529"/>
      <c r="AA250" s="1297"/>
      <c r="AB250" s="295" t="s">
        <v>1737</v>
      </c>
      <c r="AC250" s="769" t="s">
        <v>2344</v>
      </c>
      <c r="AD250" s="296" t="s">
        <v>936</v>
      </c>
      <c r="AE250" s="6531">
        <v>338.43</v>
      </c>
      <c r="AF250" s="6531">
        <v>286.08</v>
      </c>
      <c r="AG250" s="6531">
        <v>286.08</v>
      </c>
      <c r="AH250" s="951">
        <f>AG250-AF250</f>
        <v>0</v>
      </c>
      <c r="AI250" s="6524"/>
      <c r="AJ250" s="6524">
        <v>286.08</v>
      </c>
      <c r="AK250" s="1272"/>
      <c r="AL250" s="1272"/>
      <c r="AM250" s="1272"/>
      <c r="AN250" s="1272"/>
      <c r="AO250" s="1272"/>
      <c r="AP250" s="1272"/>
      <c r="AQ250" s="1272"/>
      <c r="AR250" s="1272"/>
      <c r="AS250" s="1272"/>
      <c r="AT250" s="6524">
        <v>0</v>
      </c>
      <c r="AU250" s="1272"/>
      <c r="AV250" s="1272"/>
      <c r="AW250" s="1272"/>
      <c r="AX250" s="1272"/>
      <c r="AY250" s="1272"/>
      <c r="AZ250" s="1272"/>
      <c r="BA250" s="1272"/>
      <c r="BB250" s="1272"/>
      <c r="BC250" s="1272"/>
      <c r="BD250" s="951">
        <f>IF(AI250=0,0,(AT250-AI250)/AI250*100)</f>
        <v>0</v>
      </c>
      <c r="BE250" s="951">
        <f>IF(AT250=0,0,(AU250-AT250)/AT250*100)</f>
        <v>0</v>
      </c>
      <c r="BF250" s="951">
        <f>IF(AU250=0,0,(AV250-AU250)/AU250*100)</f>
        <v>0</v>
      </c>
      <c r="BG250" s="951">
        <f>IF(AV250=0,0,(AW250-AV250)/AV250*100)</f>
        <v>0</v>
      </c>
      <c r="BH250" s="951">
        <f>IF(AW250=0,0,(AX250-AW250)/AW250*100)</f>
        <v>0</v>
      </c>
      <c r="BI250" s="951">
        <f>IF(AX250=0,0,(AY250-AX250)/AX250*100)</f>
        <v>0</v>
      </c>
      <c r="BJ250" s="951">
        <f>IF(AY250=0,0,(AZ250-AY250)/AY250*100)</f>
        <v>0</v>
      </c>
      <c r="BK250" s="951">
        <f>IF(AZ250=0,0,(BA250-AZ250)/AZ250*100)</f>
        <v>0</v>
      </c>
      <c r="BL250" s="951">
        <f>IF(BA250=0,0,(BB250-BA250)/BA250*100)</f>
        <v>0</v>
      </c>
      <c r="BM250" s="951">
        <f>IF(BB250=0,0,(BC250-BB250)/BB250*100)</f>
        <v>0</v>
      </c>
      <c r="BN250" s="6533" t="s">
        <v>2496</v>
      </c>
      <c r="BO250" s="6533" t="s">
        <v>2497</v>
      </c>
      <c r="BP250" s="6533" t="s">
        <v>2498</v>
      </c>
      <c r="BQ250" s="1297"/>
      <c r="BR250" s="1297"/>
      <c r="BS250" s="1072" t="s">
        <v>2345</v>
      </c>
      <c r="BT250" s="1072"/>
      <c r="BU250" s="1072"/>
      <c r="BV250" s="987"/>
      <c r="BW250" s="987"/>
    </row>
    <row s="1656" customFormat="1" customHeight="1" ht="27.421875">
      <c r="A251" s="1297"/>
      <c r="B251" s="434">
        <f>STATUS_GO="да"</f>
        <v>0</v>
      </c>
      <c r="C251" s="1297"/>
      <c r="D251" s="1297"/>
      <c r="E251" s="709">
        <v>15</v>
      </c>
      <c r="F251" s="50" cm="1" t="str">
        <f t="array" ref="F251:F251">OFFSET(E251,-1,1)</f>
        <v>1</v>
      </c>
      <c r="G251" s="154" t="s">
        <v>1679</v>
      </c>
      <c r="H251" s="1297"/>
      <c r="I251" s="154" t="s">
        <v>2346</v>
      </c>
      <c r="J251" s="1297"/>
      <c r="K251" s="154" t="s">
        <v>2346</v>
      </c>
      <c r="L251" s="988"/>
      <c r="M251" s="103"/>
      <c r="N251" s="1297"/>
      <c r="O251" s="1297"/>
      <c r="P251" s="1297"/>
      <c r="Q251" s="1297"/>
      <c r="R251" s="1297"/>
      <c r="S251" s="1297"/>
      <c r="T251" s="468" cm="1" t="str">
        <f t="array" ref="T251:T251">T250</f>
        <v>true</v>
      </c>
      <c r="U251" s="1297"/>
      <c r="V251" s="1297"/>
      <c r="W251" s="1297"/>
      <c r="X251" s="1539"/>
      <c r="Y251" s="1297"/>
      <c r="Z251" s="1529"/>
      <c r="AA251" s="1297"/>
      <c r="AB251" s="295" t="s">
        <v>2347</v>
      </c>
      <c r="AC251" s="772" t="s">
        <v>1679</v>
      </c>
      <c r="AD251" s="296" t="s">
        <v>936</v>
      </c>
      <c r="AE251" s="6531"/>
      <c r="AF251" s="6531"/>
      <c r="AG251" s="6531"/>
      <c r="AH251" s="951">
        <f>AG251-AF251</f>
        <v>0</v>
      </c>
      <c r="AI251" s="6524"/>
      <c r="AJ251" s="6524"/>
      <c r="AK251" s="1272"/>
      <c r="AL251" s="1272"/>
      <c r="AM251" s="1272"/>
      <c r="AN251" s="1272"/>
      <c r="AO251" s="1272"/>
      <c r="AP251" s="1272"/>
      <c r="AQ251" s="1272"/>
      <c r="AR251" s="1272"/>
      <c r="AS251" s="1272"/>
      <c r="AT251" s="6524"/>
      <c r="AU251" s="1272"/>
      <c r="AV251" s="1272"/>
      <c r="AW251" s="1272"/>
      <c r="AX251" s="1272"/>
      <c r="AY251" s="1272"/>
      <c r="AZ251" s="1272"/>
      <c r="BA251" s="1272"/>
      <c r="BB251" s="1272"/>
      <c r="BC251" s="1272"/>
      <c r="BD251" s="951">
        <f>IF(AI251=0,0,(AT251-AI251)/AI251*100)</f>
        <v>0</v>
      </c>
      <c r="BE251" s="951">
        <f>IF(AT251=0,0,(AU251-AT251)/AT251*100)</f>
        <v>0</v>
      </c>
      <c r="BF251" s="951">
        <f>IF(AU251=0,0,(AV251-AU251)/AU251*100)</f>
        <v>0</v>
      </c>
      <c r="BG251" s="951">
        <f>IF(AV251=0,0,(AW251-AV251)/AV251*100)</f>
        <v>0</v>
      </c>
      <c r="BH251" s="951">
        <f>IF(AW251=0,0,(AX251-AW251)/AW251*100)</f>
        <v>0</v>
      </c>
      <c r="BI251" s="951">
        <f>IF(AX251=0,0,(AY251-AX251)/AX251*100)</f>
        <v>0</v>
      </c>
      <c r="BJ251" s="951">
        <f>IF(AY251=0,0,(AZ251-AY251)/AY251*100)</f>
        <v>0</v>
      </c>
      <c r="BK251" s="951">
        <f>IF(AZ251=0,0,(BA251-AZ251)/AZ251*100)</f>
        <v>0</v>
      </c>
      <c r="BL251" s="951">
        <f>IF(BA251=0,0,(BB251-BA251)/BA251*100)</f>
        <v>0</v>
      </c>
      <c r="BM251" s="951">
        <f>IF(BB251=0,0,(BC251-BB251)/BB251*100)</f>
        <v>0</v>
      </c>
      <c r="BN251" s="6533" t="s">
        <v>2499</v>
      </c>
      <c r="BO251" s="6580" t="str">
        <f>IF(_xlfn.IFERROR(INDEX('Сбытовые расходы ГО'!$K$26:$M$75,MATCH($F251&amp;"komm",'Сбытовые расходы ГО'!$K$26:$K$75,0),2),"")=0,"",_xlfn.IFERROR(INDEX('Сбытовые расходы ГО'!$K$26:$M$75,MATCH($F251&amp;"komm",'Сбытовые расходы ГО'!$K$26:$K$75,0),2),""))</f>
        <v/>
      </c>
      <c r="BP251" s="6533"/>
      <c r="BQ251" s="1297"/>
      <c r="BR251" s="1297"/>
      <c r="BS251" s="1072" t="s">
        <v>2348</v>
      </c>
      <c r="BT251" s="1072"/>
      <c r="BU251" s="1072"/>
      <c r="BV251" s="987"/>
      <c r="BW251" s="987"/>
    </row>
    <row s="1656" customFormat="1" customHeight="1" ht="14.625">
      <c r="A252" s="1297"/>
      <c r="B252" s="986"/>
      <c r="C252" s="1297"/>
      <c r="D252" s="1297"/>
      <c r="E252" s="709">
        <v>15</v>
      </c>
      <c r="F252" s="50" cm="1" t="str">
        <f t="array" ref="F252:F252">OFFSET(E252,-1,1)</f>
        <v>1</v>
      </c>
      <c r="G252" s="154" t="s">
        <v>1684</v>
      </c>
      <c r="H252" s="1297"/>
      <c r="I252" s="154" t="s">
        <v>2349</v>
      </c>
      <c r="J252" s="1297"/>
      <c r="K252" s="154" t="s">
        <v>2349</v>
      </c>
      <c r="L252" s="988"/>
      <c r="M252" s="103"/>
      <c r="N252" s="1297"/>
      <c r="O252" s="1297"/>
      <c r="P252" s="1297"/>
      <c r="Q252" s="1297"/>
      <c r="R252" s="1297"/>
      <c r="S252" s="1297"/>
      <c r="T252" s="468" cm="1" t="str">
        <f t="array" ref="T252:T252">T251</f>
        <v>true</v>
      </c>
      <c r="U252" s="1297"/>
      <c r="V252" s="1297"/>
      <c r="W252" s="1297"/>
      <c r="X252" s="1539"/>
      <c r="Y252" s="1297"/>
      <c r="Z252" s="1529"/>
      <c r="AA252" s="1297"/>
      <c r="AB252" s="295" t="s">
        <v>1742</v>
      </c>
      <c r="AC252" s="769" t="s">
        <v>1684</v>
      </c>
      <c r="AD252" s="296" t="s">
        <v>936</v>
      </c>
      <c r="AE252" s="6531">
        <v>0</v>
      </c>
      <c r="AF252" s="6531"/>
      <c r="AG252" s="6531"/>
      <c r="AH252" s="951">
        <f>AG252-AF252</f>
        <v>0</v>
      </c>
      <c r="AI252" s="6524">
        <v>0</v>
      </c>
      <c r="AJ252" s="6524">
        <f>_xlfn.SUMIFS(Экономия_корр!AE$25:AE$59,Экономия_корр!$F$25:$F$59,$F252,Экономия_корр!$AC$25:$AC$59,"Экономия расходов с учетом ИПЦ")</f>
        <v>0</v>
      </c>
      <c r="AK252" s="1272">
        <f>_xlfn.SUMIFS(Экономия_корр!AF$25:AF$59,Экономия_корр!$F$25:$F$59,$F252,Экономия_корр!$AC$25:$AC$59,"Экономия расходов с учетом ИПЦ")</f>
        <v>0</v>
      </c>
      <c r="AL252" s="1272">
        <f>_xlfn.SUMIFS(Экономия_корр!AG$25:AG$59,Экономия_корр!$F$25:$F$59,$F252,Экономия_корр!$AC$25:$AC$59,"Экономия расходов с учетом ИПЦ")</f>
        <v>0</v>
      </c>
      <c r="AM252" s="1272">
        <f>_xlfn.SUMIFS(Экономия_корр!AH$25:AH$59,Экономия_корр!$F$25:$F$59,$F252,Экономия_корр!$AC$25:$AC$59,"Экономия расходов с учетом ИПЦ")</f>
        <v>0</v>
      </c>
      <c r="AN252" s="1272">
        <f>_xlfn.SUMIFS(Экономия_корр!AI$25:AI$59,Экономия_корр!$F$25:$F$59,$F252,Экономия_корр!$AC$25:$AC$59,"Экономия расходов с учетом ИПЦ")</f>
        <v>0</v>
      </c>
      <c r="AO252" s="1272">
        <f>_xlfn.SUMIFS(Экономия_корр!AJ$25:AJ$59,Экономия_корр!$F$25:$F$59,$F252,Экономия_корр!$AC$25:$AC$59,"Экономия расходов с учетом ИПЦ")</f>
        <v>0</v>
      </c>
      <c r="AP252" s="1272">
        <f>_xlfn.SUMIFS(Экономия_корр!AK$25:AK$59,Экономия_корр!$F$25:$F$59,$F252,Экономия_корр!$AC$25:$AC$59,"Экономия расходов с учетом ИПЦ")</f>
        <v>0</v>
      </c>
      <c r="AQ252" s="1272">
        <f>_xlfn.SUMIFS(Экономия_корр!AL$25:AL$59,Экономия_корр!$F$25:$F$59,$F252,Экономия_корр!$AC$25:$AC$59,"Экономия расходов с учетом ИПЦ")</f>
        <v>0</v>
      </c>
      <c r="AR252" s="1272">
        <f>_xlfn.SUMIFS(Экономия_корр!AM$25:AM$59,Экономия_корр!$F$25:$F$59,$F252,Экономия_корр!$AC$25:$AC$59,"Экономия расходов с учетом ИПЦ")</f>
        <v>0</v>
      </c>
      <c r="AS252" s="1272">
        <f>_xlfn.SUMIFS(Экономия_корр!AN$25:AN$59,Экономия_корр!$F$25:$F$59,$F252,Экономия_корр!$AC$25:$AC$59,"Экономия расходов с учетом ИПЦ")</f>
        <v>0</v>
      </c>
      <c r="AT252" s="6524">
        <f>_xlfn.SUMIFS(Экономия_корр!AO$25:AO$59,Экономия_корр!$F$25:$F$59,$F252,Экономия_корр!$AC$25:$AC$59,"Экономия расходов с учетом ИПЦ")</f>
        <v>0</v>
      </c>
      <c r="AU252" s="1272">
        <f>_xlfn.SUMIFS(Экономия_корр!AP$25:AP$59,Экономия_корр!$F$25:$F$59,$F252,Экономия_корр!$AC$25:$AC$59,"Экономия расходов с учетом ИПЦ")</f>
        <v>0</v>
      </c>
      <c r="AV252" s="1272">
        <f>_xlfn.SUMIFS(Экономия_корр!AQ$25:AQ$59,Экономия_корр!$F$25:$F$59,$F252,Экономия_корр!$AC$25:$AC$59,"Экономия расходов с учетом ИПЦ")</f>
        <v>0</v>
      </c>
      <c r="AW252" s="1272">
        <f>_xlfn.SUMIFS(Экономия_корр!AR$25:AR$59,Экономия_корр!$F$25:$F$59,$F252,Экономия_корр!$AC$25:$AC$59,"Экономия расходов с учетом ИПЦ")</f>
        <v>0</v>
      </c>
      <c r="AX252" s="1272">
        <f>_xlfn.SUMIFS(Экономия_корр!AS$25:AS$59,Экономия_корр!$F$25:$F$59,$F252,Экономия_корр!$AC$25:$AC$59,"Экономия расходов с учетом ИПЦ")</f>
        <v>0</v>
      </c>
      <c r="AY252" s="1272">
        <f>_xlfn.SUMIFS(Экономия_корр!AT$25:AT$59,Экономия_корр!$F$25:$F$59,$F252,Экономия_корр!$AC$25:$AC$59,"Экономия расходов с учетом ИПЦ")</f>
        <v>0</v>
      </c>
      <c r="AZ252" s="1272">
        <f>_xlfn.SUMIFS(Экономия_корр!AU$25:AU$59,Экономия_корр!$F$25:$F$59,$F252,Экономия_корр!$AC$25:$AC$59,"Экономия расходов с учетом ИПЦ")</f>
        <v>0</v>
      </c>
      <c r="BA252" s="1272">
        <f>_xlfn.SUMIFS(Экономия_корр!AV$25:AV$59,Экономия_корр!$F$25:$F$59,$F252,Экономия_корр!$AC$25:$AC$59,"Экономия расходов с учетом ИПЦ")</f>
        <v>0</v>
      </c>
      <c r="BB252" s="1272">
        <f>_xlfn.SUMIFS(Экономия_корр!AW$25:AW$59,Экономия_корр!$F$25:$F$59,$F252,Экономия_корр!$AC$25:$AC$59,"Экономия расходов с учетом ИПЦ")</f>
        <v>0</v>
      </c>
      <c r="BC252" s="1272">
        <f>_xlfn.SUMIFS(Экономия_корр!AX$25:AX$59,Экономия_корр!$F$25:$F$59,$F252,Экономия_корр!$AC$25:$AC$59,"Экономия расходов с учетом ИПЦ")</f>
        <v>0</v>
      </c>
      <c r="BD252" s="951">
        <f>IF(AI252=0,0,(AT252-AI252)/AI252*100)</f>
        <v>0</v>
      </c>
      <c r="BE252" s="951">
        <f>IF(AT252=0,0,(AU252-AT252)/AT252*100)</f>
        <v>0</v>
      </c>
      <c r="BF252" s="951">
        <f>IF(AU252=0,0,(AV252-AU252)/AU252*100)</f>
        <v>0</v>
      </c>
      <c r="BG252" s="951">
        <f>IF(AV252=0,0,(AW252-AV252)/AV252*100)</f>
        <v>0</v>
      </c>
      <c r="BH252" s="951">
        <f>IF(AW252=0,0,(AX252-AW252)/AW252*100)</f>
        <v>0</v>
      </c>
      <c r="BI252" s="951">
        <f>IF(AX252=0,0,(AY252-AX252)/AX252*100)</f>
        <v>0</v>
      </c>
      <c r="BJ252" s="951">
        <f>IF(AY252=0,0,(AZ252-AY252)/AY252*100)</f>
        <v>0</v>
      </c>
      <c r="BK252" s="951">
        <f>IF(AZ252=0,0,(BA252-AZ252)/AZ252*100)</f>
        <v>0</v>
      </c>
      <c r="BL252" s="951">
        <f>IF(BA252=0,0,(BB252-BA252)/BA252*100)</f>
        <v>0</v>
      </c>
      <c r="BM252" s="951">
        <f>IF(BB252=0,0,(BC252-BB252)/BB252*100)</f>
        <v>0</v>
      </c>
      <c r="BN252" s="6533"/>
      <c r="BO252" s="6533"/>
      <c r="BP252" s="6533"/>
      <c r="BQ252" s="1297"/>
      <c r="BR252" s="1297"/>
      <c r="BS252" s="1072" t="s">
        <v>2350</v>
      </c>
      <c r="BT252" s="1072"/>
      <c r="BU252" s="1072"/>
      <c r="BV252" s="987"/>
      <c r="BW252" s="987"/>
    </row>
    <row s="1656" customFormat="1" customHeight="1" ht="38.671875">
      <c r="A253" s="1297"/>
      <c r="B253" s="986"/>
      <c r="C253" s="1297"/>
      <c r="D253" s="1297"/>
      <c r="E253" s="709">
        <v>15</v>
      </c>
      <c r="F253" s="50" cm="1" t="str">
        <f t="array" ref="F253:F253">OFFSET(E253,-1,1)</f>
        <v>1</v>
      </c>
      <c r="G253" s="154" t="s">
        <v>1689</v>
      </c>
      <c r="H253" s="1297"/>
      <c r="I253" s="154" t="s">
        <v>2351</v>
      </c>
      <c r="J253" s="1297"/>
      <c r="K253" s="154" t="s">
        <v>2351</v>
      </c>
      <c r="L253" s="988"/>
      <c r="M253" s="103"/>
      <c r="N253" s="1297"/>
      <c r="O253" s="1297"/>
      <c r="P253" s="1297"/>
      <c r="Q253" s="1297"/>
      <c r="R253" s="1297"/>
      <c r="S253" s="1297"/>
      <c r="T253" s="468" cm="1" t="str">
        <f t="array" ref="T253:T253">T252</f>
        <v>true</v>
      </c>
      <c r="U253" s="1297"/>
      <c r="V253" s="1297"/>
      <c r="W253" s="1297"/>
      <c r="X253" s="1539"/>
      <c r="Y253" s="1297"/>
      <c r="Z253" s="1529"/>
      <c r="AA253" s="1297"/>
      <c r="AB253" s="295" t="s">
        <v>2352</v>
      </c>
      <c r="AC253" s="769" t="s">
        <v>1689</v>
      </c>
      <c r="AD253" s="296" t="s">
        <v>936</v>
      </c>
      <c r="AE253" s="6531"/>
      <c r="AF253" s="6531"/>
      <c r="AG253" s="6531"/>
      <c r="AH253" s="951">
        <f>AG253-AF253</f>
        <v>0</v>
      </c>
      <c r="AI253" s="6524"/>
      <c r="AJ253" s="6524"/>
      <c r="AK253" s="1272"/>
      <c r="AL253" s="1272"/>
      <c r="AM253" s="1272"/>
      <c r="AN253" s="1272"/>
      <c r="AO253" s="1272"/>
      <c r="AP253" s="1272"/>
      <c r="AQ253" s="1272"/>
      <c r="AR253" s="1272"/>
      <c r="AS253" s="1272"/>
      <c r="AT253" s="6524"/>
      <c r="AU253" s="1272"/>
      <c r="AV253" s="1272"/>
      <c r="AW253" s="1272"/>
      <c r="AX253" s="1272"/>
      <c r="AY253" s="1272"/>
      <c r="AZ253" s="1272"/>
      <c r="BA253" s="1272"/>
      <c r="BB253" s="1272"/>
      <c r="BC253" s="1272"/>
      <c r="BD253" s="951">
        <f>IF(AI253=0,0,(AT253-AI253)/AI253*100)</f>
        <v>0</v>
      </c>
      <c r="BE253" s="951">
        <f>IF(AT253=0,0,(AU253-AT253)/AT253*100)</f>
        <v>0</v>
      </c>
      <c r="BF253" s="951">
        <f>IF(AU253=0,0,(AV253-AU253)/AU253*100)</f>
        <v>0</v>
      </c>
      <c r="BG253" s="951">
        <f>IF(AV253=0,0,(AW253-AV253)/AV253*100)</f>
        <v>0</v>
      </c>
      <c r="BH253" s="951">
        <f>IF(AW253=0,0,(AX253-AW253)/AW253*100)</f>
        <v>0</v>
      </c>
      <c r="BI253" s="951">
        <f>IF(AX253=0,0,(AY253-AX253)/AX253*100)</f>
        <v>0</v>
      </c>
      <c r="BJ253" s="951">
        <f>IF(AY253=0,0,(AZ253-AY253)/AY253*100)</f>
        <v>0</v>
      </c>
      <c r="BK253" s="951">
        <f>IF(AZ253=0,0,(BA253-AZ253)/AZ253*100)</f>
        <v>0</v>
      </c>
      <c r="BL253" s="951">
        <f>IF(BA253=0,0,(BB253-BA253)/BA253*100)</f>
        <v>0</v>
      </c>
      <c r="BM253" s="951">
        <f>IF(BB253=0,0,(BC253-BB253)/BB253*100)</f>
        <v>0</v>
      </c>
      <c r="BN253" s="6533"/>
      <c r="BO253" s="6533"/>
      <c r="BP253" s="6533"/>
      <c r="BQ253" s="1297"/>
      <c r="BR253" s="1297"/>
      <c r="BS253" s="1072" t="s">
        <v>2089</v>
      </c>
      <c r="BT253" s="1072"/>
      <c r="BU253" s="1072"/>
      <c r="BV253" s="987"/>
      <c r="BW253" s="987"/>
    </row>
    <row s="1656" customFormat="1" customHeight="1" ht="66.421875">
      <c r="A254" s="1297"/>
      <c r="B254" s="986"/>
      <c r="C254" s="1297"/>
      <c r="D254" s="1297"/>
      <c r="E254" s="709">
        <v>15</v>
      </c>
      <c r="F254" s="50" cm="1" t="str">
        <f t="array" ref="F254:F254">OFFSET(E254,-1,1)</f>
        <v>1</v>
      </c>
      <c r="G254" s="154" t="s">
        <v>1694</v>
      </c>
      <c r="H254" s="1297"/>
      <c r="I254" s="154" t="s">
        <v>2353</v>
      </c>
      <c r="J254" s="1297"/>
      <c r="K254" s="154" t="s">
        <v>2353</v>
      </c>
      <c r="L254" s="988"/>
      <c r="M254" s="103"/>
      <c r="N254" s="1297"/>
      <c r="O254" s="1297"/>
      <c r="P254" s="1297"/>
      <c r="Q254" s="1297"/>
      <c r="R254" s="1297"/>
      <c r="S254" s="1297"/>
      <c r="T254" s="468" cm="1" t="str">
        <f t="array" ref="T254:T254">T253</f>
        <v>true</v>
      </c>
      <c r="U254" s="1297"/>
      <c r="V254" s="1297"/>
      <c r="W254" s="1297"/>
      <c r="X254" s="1539"/>
      <c r="Y254" s="1297"/>
      <c r="Z254" s="1529"/>
      <c r="AA254" s="1297"/>
      <c r="AB254" s="295" t="s">
        <v>1761</v>
      </c>
      <c r="AC254" s="769" t="s">
        <v>1694</v>
      </c>
      <c r="AD254" s="296" t="s">
        <v>936</v>
      </c>
      <c r="AE254" s="6531">
        <v>306.93</v>
      </c>
      <c r="AF254" s="6531"/>
      <c r="AG254" s="6531">
        <v>306.93</v>
      </c>
      <c r="AH254" s="951">
        <f>AG254-AF254</f>
        <v>306.93</v>
      </c>
      <c r="AI254" s="6524">
        <v>7917.65</v>
      </c>
      <c r="AJ254" s="6524"/>
      <c r="AK254" s="1272"/>
      <c r="AL254" s="1272"/>
      <c r="AM254" s="1272"/>
      <c r="AN254" s="1272"/>
      <c r="AO254" s="1272"/>
      <c r="AP254" s="1272"/>
      <c r="AQ254" s="1272"/>
      <c r="AR254" s="1272"/>
      <c r="AS254" s="1272"/>
      <c r="AT254" s="6524"/>
      <c r="AU254" s="1272"/>
      <c r="AV254" s="1272"/>
      <c r="AW254" s="1272"/>
      <c r="AX254" s="1272"/>
      <c r="AY254" s="1272"/>
      <c r="AZ254" s="1272"/>
      <c r="BA254" s="1272"/>
      <c r="BB254" s="1272"/>
      <c r="BC254" s="1272"/>
      <c r="BD254" s="951">
        <f>IF(AI254=0,0,(AT254-AI254)/AI254*100)</f>
        <v>-100</v>
      </c>
      <c r="BE254" s="951">
        <f>IF(AT254=0,0,(AU254-AT254)/AT254*100)</f>
        <v>0</v>
      </c>
      <c r="BF254" s="951">
        <f>IF(AU254=0,0,(AV254-AU254)/AU254*100)</f>
        <v>0</v>
      </c>
      <c r="BG254" s="951">
        <f>IF(AV254=0,0,(AW254-AV254)/AV254*100)</f>
        <v>0</v>
      </c>
      <c r="BH254" s="951">
        <f>IF(AW254=0,0,(AX254-AW254)/AW254*100)</f>
        <v>0</v>
      </c>
      <c r="BI254" s="951">
        <f>IF(AX254=0,0,(AY254-AX254)/AX254*100)</f>
        <v>0</v>
      </c>
      <c r="BJ254" s="951">
        <f>IF(AY254=0,0,(AZ254-AY254)/AY254*100)</f>
        <v>0</v>
      </c>
      <c r="BK254" s="951">
        <f>IF(AZ254=0,0,(BA254-AZ254)/AZ254*100)</f>
        <v>0</v>
      </c>
      <c r="BL254" s="951">
        <f>IF(BA254=0,0,(BB254-BA254)/BA254*100)</f>
        <v>0</v>
      </c>
      <c r="BM254" s="951">
        <f>IF(BB254=0,0,(BC254-BB254)/BB254*100)</f>
        <v>0</v>
      </c>
      <c r="BN254" s="6533"/>
      <c r="BO254" s="6533"/>
      <c r="BP254" s="6533" t="s">
        <v>2500</v>
      </c>
      <c r="BQ254" s="1297"/>
      <c r="BR254" s="1297"/>
      <c r="BS254" s="1072" t="s">
        <v>2354</v>
      </c>
      <c r="BT254" s="1072"/>
      <c r="BU254" s="1072"/>
      <c r="BV254" s="987"/>
      <c r="BW254" s="987"/>
    </row>
    <row s="1656" customFormat="1" customHeight="1" ht="67.171875">
      <c r="A255" s="1297"/>
      <c r="B255" s="986"/>
      <c r="C255" s="1297"/>
      <c r="D255" s="1297"/>
      <c r="E255" s="709">
        <v>15</v>
      </c>
      <c r="F255" s="50" cm="1" t="str">
        <f t="array" ref="F255:F255">OFFSET(E255,-1,1)</f>
        <v>1</v>
      </c>
      <c r="G255" s="154" t="s">
        <v>1699</v>
      </c>
      <c r="H255" s="1297"/>
      <c r="I255" s="154" t="s">
        <v>2355</v>
      </c>
      <c r="J255" s="1297"/>
      <c r="K255" s="154" t="s">
        <v>2355</v>
      </c>
      <c r="L255" s="988"/>
      <c r="M255" s="103"/>
      <c r="N255" s="1297"/>
      <c r="O255" s="1297"/>
      <c r="P255" s="1297"/>
      <c r="Q255" s="1297"/>
      <c r="R255" s="1297"/>
      <c r="S255" s="1297"/>
      <c r="T255" s="468" cm="1" t="str">
        <f t="array" ref="T255:T255">T254</f>
        <v>true</v>
      </c>
      <c r="U255" s="1297"/>
      <c r="V255" s="1297"/>
      <c r="W255" s="1297"/>
      <c r="X255" s="1539"/>
      <c r="Y255" s="1297"/>
      <c r="Z255" s="1529"/>
      <c r="AA255" s="1297"/>
      <c r="AB255" s="295" t="s">
        <v>1765</v>
      </c>
      <c r="AC255" s="769" t="s">
        <v>1699</v>
      </c>
      <c r="AD255" s="296" t="s">
        <v>936</v>
      </c>
      <c r="AE255" s="349">
        <f>SUM(AE256,AE257)</f>
        <v>0</v>
      </c>
      <c r="AF255" s="255">
        <f>SUM(AF256,AF257)</f>
        <v>1040.5</v>
      </c>
      <c r="AG255" s="255">
        <f>SUM(AG256,AG257)</f>
        <v>1040.5</v>
      </c>
      <c r="AH255" s="951">
        <f>AG255-AF255</f>
        <v>0</v>
      </c>
      <c r="AI255" s="951">
        <f>SUM(AI256,AI257)</f>
        <v>0</v>
      </c>
      <c r="AJ255" s="952">
        <f>SUM(AJ256,AJ257)</f>
        <v>0</v>
      </c>
      <c r="AK255" s="951">
        <f>SUM(AK256,AK257)</f>
        <v>0</v>
      </c>
      <c r="AL255" s="951">
        <f>SUM(AL256,AL257)</f>
        <v>0</v>
      </c>
      <c r="AM255" s="951">
        <f>SUM(AM256,AM257)</f>
        <v>0</v>
      </c>
      <c r="AN255" s="951">
        <f>SUM(AN256,AN257)</f>
        <v>0</v>
      </c>
      <c r="AO255" s="951">
        <f>SUM(AO256,AO257)</f>
        <v>0</v>
      </c>
      <c r="AP255" s="951">
        <f>SUM(AP256,AP257)</f>
        <v>0</v>
      </c>
      <c r="AQ255" s="951">
        <f>SUM(AQ256,AQ257)</f>
        <v>0</v>
      </c>
      <c r="AR255" s="951">
        <f>SUM(AR256,AR257)</f>
        <v>0</v>
      </c>
      <c r="AS255" s="951">
        <f>SUM(AS256,AS257)</f>
        <v>0</v>
      </c>
      <c r="AT255" s="952">
        <f>SUM(AT256,AT257)</f>
        <v>0</v>
      </c>
      <c r="AU255" s="951">
        <f>SUM(AU256,AU257)</f>
        <v>0</v>
      </c>
      <c r="AV255" s="951">
        <f>SUM(AV256,AV257)</f>
        <v>0</v>
      </c>
      <c r="AW255" s="951">
        <f>SUM(AW256,AW257)</f>
        <v>0</v>
      </c>
      <c r="AX255" s="951">
        <f>SUM(AX256,AX257)</f>
        <v>0</v>
      </c>
      <c r="AY255" s="951">
        <f>SUM(AY256,AY257)</f>
        <v>0</v>
      </c>
      <c r="AZ255" s="951">
        <f>SUM(AZ256,AZ257)</f>
        <v>0</v>
      </c>
      <c r="BA255" s="951">
        <f>SUM(BA256,BA257)</f>
        <v>0</v>
      </c>
      <c r="BB255" s="951">
        <f>SUM(BB256,BB257)</f>
        <v>0</v>
      </c>
      <c r="BC255" s="951">
        <f>SUM(BC256,BC257)</f>
        <v>0</v>
      </c>
      <c r="BD255" s="951">
        <f>IF(AI255=0,0,(AT255-AI255)/AI255*100)</f>
        <v>0</v>
      </c>
      <c r="BE255" s="951">
        <f>IF(AT255=0,0,(AU255-AT255)/AT255*100)</f>
        <v>0</v>
      </c>
      <c r="BF255" s="951">
        <f>IF(AU255=0,0,(AV255-AU255)/AU255*100)</f>
        <v>0</v>
      </c>
      <c r="BG255" s="951">
        <f>IF(AV255=0,0,(AW255-AV255)/AV255*100)</f>
        <v>0</v>
      </c>
      <c r="BH255" s="951">
        <f>IF(AW255=0,0,(AX255-AW255)/AW255*100)</f>
        <v>0</v>
      </c>
      <c r="BI255" s="951">
        <f>IF(AX255=0,0,(AY255-AX255)/AX255*100)</f>
        <v>0</v>
      </c>
      <c r="BJ255" s="951">
        <f>IF(AY255=0,0,(AZ255-AY255)/AY255*100)</f>
        <v>0</v>
      </c>
      <c r="BK255" s="951">
        <f>IF(AZ255=0,0,(BA255-AZ255)/AZ255*100)</f>
        <v>0</v>
      </c>
      <c r="BL255" s="951">
        <f>IF(BA255=0,0,(BB255-BA255)/BA255*100)</f>
        <v>0</v>
      </c>
      <c r="BM255" s="951">
        <f>IF(BB255=0,0,(BC255-BB255)/BB255*100)</f>
        <v>0</v>
      </c>
      <c r="BN255" s="6533" t="s">
        <v>2501</v>
      </c>
      <c r="BO255" s="6533"/>
      <c r="BP255" s="6533"/>
      <c r="BQ255" s="1297"/>
      <c r="BR255" s="1297"/>
      <c r="BS255" s="1072" t="s">
        <v>2356</v>
      </c>
      <c r="BT255" s="1072"/>
      <c r="BU255" s="1072"/>
      <c r="BV255" s="987"/>
      <c r="BW255" s="987"/>
    </row>
    <row s="1656" customFormat="1" customHeight="1" ht="22.921875">
      <c r="A256" s="1297"/>
      <c r="B256" s="986"/>
      <c r="C256" s="1297"/>
      <c r="D256" s="1297"/>
      <c r="E256" s="709">
        <v>15</v>
      </c>
      <c r="F256" s="50" cm="1" t="str">
        <f t="array" ref="F256:F256">OFFSET(E256,-1,1)</f>
        <v>1</v>
      </c>
      <c r="G256" s="1297"/>
      <c r="H256" s="1297"/>
      <c r="I256" s="154" t="s">
        <v>2357</v>
      </c>
      <c r="J256" s="1297"/>
      <c r="K256" s="154" t="s">
        <v>2357</v>
      </c>
      <c r="L256" s="988"/>
      <c r="M256" s="103"/>
      <c r="N256" s="1297"/>
      <c r="O256" s="1297"/>
      <c r="P256" s="1297"/>
      <c r="Q256" s="1297"/>
      <c r="R256" s="1297"/>
      <c r="S256" s="1297"/>
      <c r="T256" s="468" cm="1" t="str">
        <f t="array" ref="T256:T256">T255</f>
        <v>true</v>
      </c>
      <c r="U256" s="1297"/>
      <c r="V256" s="1297"/>
      <c r="W256" s="1297"/>
      <c r="X256" s="1539"/>
      <c r="Y256" s="1297"/>
      <c r="Z256" s="1529"/>
      <c r="AA256" s="1297"/>
      <c r="AB256" s="295" t="s">
        <v>2358</v>
      </c>
      <c r="AC256" s="772" t="s">
        <v>2359</v>
      </c>
      <c r="AD256" s="296" t="s">
        <v>936</v>
      </c>
      <c r="AE256" s="6531"/>
      <c r="AF256" s="6531"/>
      <c r="AG256" s="6531"/>
      <c r="AH256" s="951">
        <f>AG256-AF256</f>
        <v>0</v>
      </c>
      <c r="AI256" s="6524">
        <v>0</v>
      </c>
      <c r="AJ256" s="6524"/>
      <c r="AK256" s="1272"/>
      <c r="AL256" s="1272"/>
      <c r="AM256" s="1272"/>
      <c r="AN256" s="1272"/>
      <c r="AO256" s="1272"/>
      <c r="AP256" s="1272"/>
      <c r="AQ256" s="1272"/>
      <c r="AR256" s="1272"/>
      <c r="AS256" s="1272"/>
      <c r="AT256" s="6524"/>
      <c r="AU256" s="1272"/>
      <c r="AV256" s="1272"/>
      <c r="AW256" s="1272"/>
      <c r="AX256" s="1272"/>
      <c r="AY256" s="1272"/>
      <c r="AZ256" s="1272"/>
      <c r="BA256" s="1272"/>
      <c r="BB256" s="1272"/>
      <c r="BC256" s="1272"/>
      <c r="BD256" s="951">
        <f>IF(AI256=0,0,(AT256-AI256)/AI256*100)</f>
        <v>0</v>
      </c>
      <c r="BE256" s="951">
        <f>IF(AT256=0,0,(AU256-AT256)/AT256*100)</f>
        <v>0</v>
      </c>
      <c r="BF256" s="951">
        <f>IF(AU256=0,0,(AV256-AU256)/AU256*100)</f>
        <v>0</v>
      </c>
      <c r="BG256" s="951">
        <f>IF(AV256=0,0,(AW256-AV256)/AV256*100)</f>
        <v>0</v>
      </c>
      <c r="BH256" s="951">
        <f>IF(AW256=0,0,(AX256-AW256)/AW256*100)</f>
        <v>0</v>
      </c>
      <c r="BI256" s="951">
        <f>IF(AX256=0,0,(AY256-AX256)/AX256*100)</f>
        <v>0</v>
      </c>
      <c r="BJ256" s="951">
        <f>IF(AY256=0,0,(AZ256-AY256)/AY256*100)</f>
        <v>0</v>
      </c>
      <c r="BK256" s="951">
        <f>IF(AZ256=0,0,(BA256-AZ256)/AZ256*100)</f>
        <v>0</v>
      </c>
      <c r="BL256" s="951">
        <f>IF(BA256=0,0,(BB256-BA256)/BA256*100)</f>
        <v>0</v>
      </c>
      <c r="BM256" s="951">
        <f>IF(BB256=0,0,(BC256-BB256)/BB256*100)</f>
        <v>0</v>
      </c>
      <c r="BN256" s="6533"/>
      <c r="BO256" s="6533"/>
      <c r="BP256" s="6533"/>
      <c r="BQ256" s="1297"/>
      <c r="BR256" s="1297"/>
      <c r="BS256" s="1072" t="s">
        <v>1456</v>
      </c>
      <c r="BT256" s="1072"/>
      <c r="BU256" s="1072"/>
      <c r="BV256" s="987"/>
      <c r="BW256" s="987"/>
    </row>
    <row s="1656" customFormat="1" customHeight="1" ht="99.63541666666667">
      <c r="A257" s="1297"/>
      <c r="B257" s="986"/>
      <c r="C257" s="1297"/>
      <c r="D257" s="1297"/>
      <c r="E257" s="709">
        <v>15</v>
      </c>
      <c r="F257" s="50" cm="1" t="str">
        <f t="array" ref="F257:F257">OFFSET(E257,-1,1)</f>
        <v>1</v>
      </c>
      <c r="G257" s="1297"/>
      <c r="H257" s="1297"/>
      <c r="I257" s="154" t="s">
        <v>2360</v>
      </c>
      <c r="J257" s="1297"/>
      <c r="K257" s="154" t="s">
        <v>2360</v>
      </c>
      <c r="L257" s="988" t="s">
        <v>1079</v>
      </c>
      <c r="M257" s="103"/>
      <c r="N257" s="1297"/>
      <c r="O257" s="1297"/>
      <c r="P257" s="1297"/>
      <c r="Q257" s="1297"/>
      <c r="R257" s="1297"/>
      <c r="S257" s="1297"/>
      <c r="T257" s="468" cm="1" t="str">
        <f t="array" ref="T257:T257">T256</f>
        <v>true</v>
      </c>
      <c r="U257" s="1297"/>
      <c r="V257" s="1297"/>
      <c r="W257" s="1297"/>
      <c r="X257" s="1539"/>
      <c r="Y257" s="1297"/>
      <c r="Z257" s="1529"/>
      <c r="AA257" s="1297"/>
      <c r="AB257" s="295" t="s">
        <v>2361</v>
      </c>
      <c r="AC257" s="772" t="s">
        <v>2362</v>
      </c>
      <c r="AD257" s="296" t="s">
        <v>936</v>
      </c>
      <c r="AE257" s="6531"/>
      <c r="AF257" s="6531">
        <v>1040.5</v>
      </c>
      <c r="AG257" s="6531">
        <v>1040.5</v>
      </c>
      <c r="AH257" s="951">
        <f>AG257-AF257</f>
        <v>0</v>
      </c>
      <c r="AI257" s="6524"/>
      <c r="AJ257" s="6524"/>
      <c r="AK257" s="1272"/>
      <c r="AL257" s="1272"/>
      <c r="AM257" s="1272"/>
      <c r="AN257" s="1272"/>
      <c r="AO257" s="1272"/>
      <c r="AP257" s="1272"/>
      <c r="AQ257" s="1272"/>
      <c r="AR257" s="1272"/>
      <c r="AS257" s="1272"/>
      <c r="AT257" s="6524"/>
      <c r="AU257" s="1272"/>
      <c r="AV257" s="1272"/>
      <c r="AW257" s="1272"/>
      <c r="AX257" s="1272"/>
      <c r="AY257" s="1272"/>
      <c r="AZ257" s="1272"/>
      <c r="BA257" s="1272"/>
      <c r="BB257" s="1272"/>
      <c r="BC257" s="1272"/>
      <c r="BD257" s="951">
        <f>IF(AI257=0,0,(AT257-AI257)/AI257*100)</f>
        <v>0</v>
      </c>
      <c r="BE257" s="951">
        <f>IF(AT257=0,0,(AU257-AT257)/AT257*100)</f>
        <v>0</v>
      </c>
      <c r="BF257" s="951">
        <f>IF(AU257=0,0,(AV257-AU257)/AU257*100)</f>
        <v>0</v>
      </c>
      <c r="BG257" s="951">
        <f>IF(AV257=0,0,(AW257-AV257)/AV257*100)</f>
        <v>0</v>
      </c>
      <c r="BH257" s="951">
        <f>IF(AW257=0,0,(AX257-AW257)/AW257*100)</f>
        <v>0</v>
      </c>
      <c r="BI257" s="951">
        <f>IF(AX257=0,0,(AY257-AX257)/AX257*100)</f>
        <v>0</v>
      </c>
      <c r="BJ257" s="951">
        <f>IF(AY257=0,0,(AZ257-AY257)/AY257*100)</f>
        <v>0</v>
      </c>
      <c r="BK257" s="951">
        <f>IF(AZ257=0,0,(BA257-AZ257)/AZ257*100)</f>
        <v>0</v>
      </c>
      <c r="BL257" s="951">
        <f>IF(BA257=0,0,(BB257-BA257)/BA257*100)</f>
        <v>0</v>
      </c>
      <c r="BM257" s="951">
        <f>IF(BB257=0,0,(BC257-BB257)/BB257*100)</f>
        <v>0</v>
      </c>
      <c r="BN257" s="6533" t="s">
        <v>2502</v>
      </c>
      <c r="BO257" s="6533" t="s">
        <v>2503</v>
      </c>
      <c r="BP257" s="6533" t="s">
        <v>2504</v>
      </c>
      <c r="BQ257" s="1297"/>
      <c r="BR257" s="1297"/>
      <c r="BS257" s="1072" t="s">
        <v>2363</v>
      </c>
      <c r="BT257" s="1072"/>
      <c r="BU257" s="1072"/>
      <c r="BV257" s="987"/>
      <c r="BW257" s="987"/>
    </row>
    <row s="1656" customFormat="1" customHeight="1" ht="34.635416666666664">
      <c r="A258" s="1297"/>
      <c r="B258" s="986"/>
      <c r="C258" s="1297"/>
      <c r="D258" s="1297"/>
      <c r="E258" s="709">
        <v>22.5</v>
      </c>
      <c r="F258" s="50" cm="1" t="str">
        <f t="array" ref="F258:F258">OFFSET(E258,-1,1)</f>
        <v>1</v>
      </c>
      <c r="G258" s="154" t="s">
        <v>1704</v>
      </c>
      <c r="H258" s="1297"/>
      <c r="I258" s="154" t="s">
        <v>2364</v>
      </c>
      <c r="J258" s="1297"/>
      <c r="K258" s="154" t="s">
        <v>2364</v>
      </c>
      <c r="L258" s="988"/>
      <c r="M258" s="103"/>
      <c r="N258" s="1297"/>
      <c r="O258" s="1297"/>
      <c r="P258" s="1297"/>
      <c r="Q258" s="1297"/>
      <c r="R258" s="1297"/>
      <c r="S258" s="1297"/>
      <c r="T258" s="468" cm="1" t="str">
        <f t="array" ref="T258:T258">T257</f>
        <v>true</v>
      </c>
      <c r="U258" s="1297"/>
      <c r="V258" s="1297"/>
      <c r="W258" s="1297"/>
      <c r="X258" s="1539"/>
      <c r="Y258" s="1297"/>
      <c r="Z258" s="1529"/>
      <c r="AA258" s="1297"/>
      <c r="AB258" s="295" t="s">
        <v>1768</v>
      </c>
      <c r="AC258" s="769" t="s">
        <v>2365</v>
      </c>
      <c r="AD258" s="296" t="s">
        <v>936</v>
      </c>
      <c r="AE258" s="6531"/>
      <c r="AF258" s="6531"/>
      <c r="AG258" s="6531"/>
      <c r="AH258" s="951">
        <f>AG258-AF258</f>
        <v>0</v>
      </c>
      <c r="AI258" s="6524"/>
      <c r="AJ258" s="6524"/>
      <c r="AK258" s="1272"/>
      <c r="AL258" s="1272"/>
      <c r="AM258" s="1272"/>
      <c r="AN258" s="1272"/>
      <c r="AO258" s="1272"/>
      <c r="AP258" s="1272"/>
      <c r="AQ258" s="1272"/>
      <c r="AR258" s="1272"/>
      <c r="AS258" s="1272"/>
      <c r="AT258" s="6524"/>
      <c r="AU258" s="1272"/>
      <c r="AV258" s="1272"/>
      <c r="AW258" s="1272"/>
      <c r="AX258" s="1272"/>
      <c r="AY258" s="1272"/>
      <c r="AZ258" s="1272"/>
      <c r="BA258" s="1272"/>
      <c r="BB258" s="1272"/>
      <c r="BC258" s="1272"/>
      <c r="BD258" s="951">
        <f>IF(AI258=0,0,(AT258-AI258)/AI258*100)</f>
        <v>0</v>
      </c>
      <c r="BE258" s="951">
        <f>IF(AT258=0,0,(AU258-AT258)/AT258*100)</f>
        <v>0</v>
      </c>
      <c r="BF258" s="951">
        <f>IF(AU258=0,0,(AV258-AU258)/AU258*100)</f>
        <v>0</v>
      </c>
      <c r="BG258" s="951">
        <f>IF(AV258=0,0,(AW258-AV258)/AV258*100)</f>
        <v>0</v>
      </c>
      <c r="BH258" s="951">
        <f>IF(AW258=0,0,(AX258-AW258)/AW258*100)</f>
        <v>0</v>
      </c>
      <c r="BI258" s="951">
        <f>IF(AX258=0,0,(AY258-AX258)/AX258*100)</f>
        <v>0</v>
      </c>
      <c r="BJ258" s="951">
        <f>IF(AY258=0,0,(AZ258-AY258)/AY258*100)</f>
        <v>0</v>
      </c>
      <c r="BK258" s="951">
        <f>IF(AZ258=0,0,(BA258-AZ258)/AZ258*100)</f>
        <v>0</v>
      </c>
      <c r="BL258" s="951">
        <f>IF(BA258=0,0,(BB258-BA258)/BA258*100)</f>
        <v>0</v>
      </c>
      <c r="BM258" s="951">
        <f>IF(BB258=0,0,(BC258-BB258)/BB258*100)</f>
        <v>0</v>
      </c>
      <c r="BN258" s="6533"/>
      <c r="BO258" s="6533"/>
      <c r="BP258" s="6533"/>
      <c r="BQ258" s="1297"/>
      <c r="BR258" s="1297"/>
      <c r="BS258" s="1072" t="s">
        <v>2366</v>
      </c>
      <c r="BT258" s="1072"/>
      <c r="BU258" s="1072"/>
      <c r="BV258" s="987"/>
      <c r="BW258" s="987"/>
    </row>
    <row s="6581" customFormat="1" customHeight="1" ht="301.921875">
      <c r="A259" s="706"/>
      <c r="B259" s="437"/>
      <c r="C259" s="706"/>
      <c r="D259" s="706"/>
      <c r="E259" s="713">
        <v>21</v>
      </c>
      <c r="F259" s="50" cm="1" t="str">
        <f t="array" ref="F259:F259">OFFSET(E259,-1,1)</f>
        <v>1</v>
      </c>
      <c r="G259" s="154" t="s">
        <v>2367</v>
      </c>
      <c r="H259" s="154"/>
      <c r="I259" s="154" t="s">
        <v>346</v>
      </c>
      <c r="J259" s="706"/>
      <c r="K259" s="154" t="s">
        <v>346</v>
      </c>
      <c r="L259" s="993" t="s">
        <v>1550</v>
      </c>
      <c r="M259" s="105"/>
      <c r="N259" s="706"/>
      <c r="O259" s="706"/>
      <c r="P259" s="706"/>
      <c r="Q259" s="706"/>
      <c r="R259" s="706"/>
      <c r="S259" s="706"/>
      <c r="T259" s="468" cm="1" t="str">
        <f t="array" ref="T259:T259">T258</f>
        <v>true</v>
      </c>
      <c r="U259" s="706"/>
      <c r="V259" s="706"/>
      <c r="W259" s="706"/>
      <c r="X259" s="1539"/>
      <c r="Y259" s="706"/>
      <c r="Z259" s="1529"/>
      <c r="AA259" s="706"/>
      <c r="AB259" s="214" t="s">
        <v>234</v>
      </c>
      <c r="AC259" s="208" t="s">
        <v>2368</v>
      </c>
      <c r="AD259" s="207" t="s">
        <v>936</v>
      </c>
      <c r="AE259" s="785">
        <f>_xlfn.SUMIFS(ЭЭ!AE$25:AE$175,ЭЭ!$F$25:$F$175,$F259,ЭЭ!$AC$25:$AC$175,"Всего по тарифу")</f>
        <v>165515.502199654</v>
      </c>
      <c r="AF259" s="785">
        <f>_xlfn.SUMIFS(ЭЭ!AF$25:AF$175,ЭЭ!$F$25:$F$175,$F259,ЭЭ!$AC$25:$AC$175,"Всего по тарифу")</f>
        <v>169094.54</v>
      </c>
      <c r="AG259" s="785">
        <f>_xlfn.SUMIFS(ЭЭ!AG$25:AG$175,ЭЭ!$F$25:$F$175,$F259,ЭЭ!$AC$25:$AC$175,"Всего по тарифу")</f>
        <v>148569.63</v>
      </c>
      <c r="AH259" s="768">
        <f>AG259-AF259</f>
        <v>-20524.91</v>
      </c>
      <c r="AI259" s="768">
        <f>_xlfn.SUMIFS(ЭЭ!AH$25:AH$175,ЭЭ!$F$25:$F$175,$F259,ЭЭ!$AC$25:$AC$175,"Всего по тарифу")</f>
        <v>167046.93</v>
      </c>
      <c r="AJ259" s="768">
        <f>_xlfn.SUMIFS(ЭЭ!AI$25:AI$175,ЭЭ!$F$25:$F$175,$F259,ЭЭ!$AC$25:$AC$175,"Всего по тарифу")</f>
        <v>178534.03</v>
      </c>
      <c r="AK259" s="768">
        <f>_xlfn.SUMIFS(ЭЭ!AJ$25:AJ$175,ЭЭ!$F$25:$F$175,$F259,ЭЭ!$AC$25:$AC$175,"Всего по тарифу")</f>
        <v>0</v>
      </c>
      <c r="AL259" s="768">
        <f>_xlfn.SUMIFS(ЭЭ!AK$25:AK$175,ЭЭ!$F$25:$F$175,$F259,ЭЭ!$AC$25:$AC$175,"Всего по тарифу")</f>
        <v>0</v>
      </c>
      <c r="AM259" s="768">
        <f>_xlfn.SUMIFS(ЭЭ!AL$25:AL$175,ЭЭ!$F$25:$F$175,$F259,ЭЭ!$AC$25:$AC$175,"Всего по тарифу")</f>
        <v>0</v>
      </c>
      <c r="AN259" s="768">
        <f>_xlfn.SUMIFS(ЭЭ!AM$25:AM$175,ЭЭ!$F$25:$F$175,$F259,ЭЭ!$AC$25:$AC$175,"Всего по тарифу")</f>
        <v>0</v>
      </c>
      <c r="AO259" s="768">
        <f>_xlfn.SUMIFS(ЭЭ!AN$25:AN$175,ЭЭ!$F$25:$F$175,$F259,ЭЭ!$AC$25:$AC$175,"Всего по тарифу")</f>
        <v>0</v>
      </c>
      <c r="AP259" s="768">
        <f>_xlfn.SUMIFS(ЭЭ!AO$25:AO$175,ЭЭ!$F$25:$F$175,$F259,ЭЭ!$AC$25:$AC$175,"Всего по тарифу")</f>
        <v>0</v>
      </c>
      <c r="AQ259" s="768">
        <f>_xlfn.SUMIFS(ЭЭ!AP$25:AP$175,ЭЭ!$F$25:$F$175,$F259,ЭЭ!$AC$25:$AC$175,"Всего по тарифу")</f>
        <v>0</v>
      </c>
      <c r="AR259" s="768">
        <f>_xlfn.SUMIFS(ЭЭ!AQ$25:AQ$175,ЭЭ!$F$25:$F$175,$F259,ЭЭ!$AC$25:$AC$175,"Всего по тарифу")</f>
        <v>0</v>
      </c>
      <c r="AS259" s="768">
        <f>_xlfn.SUMIFS(ЭЭ!AR$25:AR$175,ЭЭ!$F$25:$F$175,$F259,ЭЭ!$AC$25:$AC$175,"Всего по тарифу")</f>
        <v>0</v>
      </c>
      <c r="AT259" s="768">
        <f>_xlfn.SUMIFS(ЭЭ!AS$25:AS$175,ЭЭ!$F$25:$F$175,$F259,ЭЭ!$AC$25:$AC$175,"Всего по тарифу")</f>
        <v>209643.27</v>
      </c>
      <c r="AU259" s="768">
        <f>_xlfn.SUMIFS(ЭЭ!AT$25:AT$175,ЭЭ!$F$25:$F$175,$F259,ЭЭ!$AC$25:$AC$175,"Всего по тарифу")</f>
        <v>0</v>
      </c>
      <c r="AV259" s="768">
        <f>_xlfn.SUMIFS(ЭЭ!AU$25:AU$175,ЭЭ!$F$25:$F$175,$F259,ЭЭ!$AC$25:$AC$175,"Всего по тарифу")</f>
        <v>0</v>
      </c>
      <c r="AW259" s="768">
        <f>_xlfn.SUMIFS(ЭЭ!AV$25:AV$175,ЭЭ!$F$25:$F$175,$F259,ЭЭ!$AC$25:$AC$175,"Всего по тарифу")</f>
        <v>0</v>
      </c>
      <c r="AX259" s="768">
        <f>_xlfn.SUMIFS(ЭЭ!AW$25:AW$175,ЭЭ!$F$25:$F$175,$F259,ЭЭ!$AC$25:$AC$175,"Всего по тарифу")</f>
        <v>0</v>
      </c>
      <c r="AY259" s="768">
        <f>_xlfn.SUMIFS(ЭЭ!AX$25:AX$175,ЭЭ!$F$25:$F$175,$F259,ЭЭ!$AC$25:$AC$175,"Всего по тарифу")</f>
        <v>0</v>
      </c>
      <c r="AZ259" s="768">
        <f>_xlfn.SUMIFS(ЭЭ!AY$25:AY$175,ЭЭ!$F$25:$F$175,$F259,ЭЭ!$AC$25:$AC$175,"Всего по тарифу")</f>
        <v>0</v>
      </c>
      <c r="BA259" s="768">
        <f>_xlfn.SUMIFS(ЭЭ!AZ$25:AZ$175,ЭЭ!$F$25:$F$175,$F259,ЭЭ!$AC$25:$AC$175,"Всего по тарифу")</f>
        <v>0</v>
      </c>
      <c r="BB259" s="768">
        <f>_xlfn.SUMIFS(ЭЭ!BA$25:BA$175,ЭЭ!$F$25:$F$175,$F259,ЭЭ!$AC$25:$AC$175,"Всего по тарифу")</f>
        <v>0</v>
      </c>
      <c r="BC259" s="768">
        <f>_xlfn.SUMIFS(ЭЭ!BB$25:BB$175,ЭЭ!$F$25:$F$175,$F259,ЭЭ!$AC$25:$AC$175,"Всего по тарифу")</f>
        <v>0</v>
      </c>
      <c r="BD259" s="768">
        <f>IF(AI259=0,0,(AT259-AI259)/AI259*100)</f>
        <v>25.4996245665814</v>
      </c>
      <c r="BE259" s="768">
        <f>IF(AT259=0,0,(AU259-AT259)/AT259*100)</f>
        <v>-100</v>
      </c>
      <c r="BF259" s="768">
        <f>IF(AU259=0,0,(AV259-AU259)/AU259*100)</f>
        <v>0</v>
      </c>
      <c r="BG259" s="768">
        <f>IF(AV259=0,0,(AW259-AV259)/AV259*100)</f>
        <v>0</v>
      </c>
      <c r="BH259" s="768">
        <f>IF(AW259=0,0,(AX259-AW259)/AW259*100)</f>
        <v>0</v>
      </c>
      <c r="BI259" s="768">
        <f>IF(AX259=0,0,(AY259-AX259)/AX259*100)</f>
        <v>0</v>
      </c>
      <c r="BJ259" s="768">
        <f>IF(AY259=0,0,(AZ259-AY259)/AY259*100)</f>
        <v>0</v>
      </c>
      <c r="BK259" s="768">
        <f>IF(AZ259=0,0,(BA259-AZ259)/AZ259*100)</f>
        <v>0</v>
      </c>
      <c r="BL259" s="768">
        <f>IF(BA259=0,0,(BB259-BA259)/BA259*100)</f>
        <v>0</v>
      </c>
      <c r="BM259" s="768">
        <f>IF(BB259=0,0,(BC259-BB259)/BB259*100)</f>
        <v>0</v>
      </c>
      <c r="BN259" s="6533" t="s">
        <v>2505</v>
      </c>
      <c r="BO259" s="6580" t="s">
        <v>2506</v>
      </c>
      <c r="BP259" s="6533" t="s">
        <v>1840</v>
      </c>
      <c r="BQ259" s="706"/>
      <c r="BR259" s="706"/>
      <c r="BS259" s="1078" t="s">
        <v>1984</v>
      </c>
      <c r="BT259" s="1078"/>
      <c r="BU259" s="1078"/>
      <c r="BV259" s="713"/>
      <c r="BW259" s="713"/>
    </row>
    <row s="6582" customFormat="1" customHeight="1" ht="233.671875">
      <c r="A260" s="706"/>
      <c r="B260" s="158">
        <f>method_reg="Метод индексации"</f>
        <v>1</v>
      </c>
      <c r="C260" s="706"/>
      <c r="D260" s="706"/>
      <c r="E260" s="713">
        <v>22.5</v>
      </c>
      <c r="F260" s="50" cm="1" t="str">
        <f t="array" ref="F260:F260">OFFSET(E260,-1,1)</f>
        <v>1</v>
      </c>
      <c r="G260" s="154" t="s">
        <v>1726</v>
      </c>
      <c r="H260" s="154"/>
      <c r="I260" s="154" t="s">
        <v>348</v>
      </c>
      <c r="J260" s="706"/>
      <c r="K260" s="154" t="s">
        <v>348</v>
      </c>
      <c r="L260" s="993" t="s">
        <v>347</v>
      </c>
      <c r="M260" s="105"/>
      <c r="N260" s="706"/>
      <c r="O260" s="706"/>
      <c r="P260" s="706"/>
      <c r="Q260" s="706"/>
      <c r="R260" s="706"/>
      <c r="S260" s="706"/>
      <c r="T260" s="468" cm="1" t="str">
        <f t="array" ref="T260:T260">T259</f>
        <v>true</v>
      </c>
      <c r="U260" s="706"/>
      <c r="V260" s="706"/>
      <c r="W260" s="706"/>
      <c r="X260" s="1539"/>
      <c r="Y260" s="706"/>
      <c r="Z260" s="1529"/>
      <c r="AA260" s="706"/>
      <c r="AB260" s="214" t="s">
        <v>451</v>
      </c>
      <c r="AC260" s="208" t="s">
        <v>2369</v>
      </c>
      <c r="AD260" s="207" t="s">
        <v>936</v>
      </c>
      <c r="AE260" s="785">
        <f>_xlfn.SUMIFS(Амортизация!AE$25:AE$223,Амортизация!$F$25:$F$223,$F260,Амортизация!$AC$25:$AC$223,"Сумма амортизационных отчислений")</f>
        <v>3868.42</v>
      </c>
      <c r="AF260" s="785">
        <f>_xlfn.SUMIFS(Амортизация!AF$25:AF$223,Амортизация!$F$25:$F$223,$F260,Амортизация!$AC$25:$AC$223,"Сумма амортизационных отчислений")</f>
        <v>3645.56142</v>
      </c>
      <c r="AG260" s="785">
        <f>_xlfn.SUMIFS(Амортизация!AG$25:AG$223,Амортизация!$F$25:$F$223,$F260,Амортизация!$AC$25:$AC$223,"Сумма амортизационных отчислений")</f>
        <v>3947.46702</v>
      </c>
      <c r="AH260" s="768">
        <f>AG260-AF260</f>
        <v>301.9056</v>
      </c>
      <c r="AI260" s="768">
        <f>_xlfn.SUMIFS(Амортизация!AH$25:AH$223,Амортизация!$F$25:$F$223,$F260,Амортизация!$AC$25:$AC$223,"Сумма амортизационных отчислений")</f>
        <v>5849.5</v>
      </c>
      <c r="AJ260" s="768">
        <f>_xlfn.SUMIFS(Амортизация!AI$25:AI$223,Амортизация!$F$25:$F$223,$F260,Амортизация!$AC$25:$AC$223,"Сумма амортизационных отчислений")</f>
        <v>9730.74</v>
      </c>
      <c r="AK260" s="768">
        <f>_xlfn.SUMIFS(Амортизация!AJ$25:AJ$223,Амортизация!$F$25:$F$223,$F260,Амортизация!$AC$25:$AC$223,"Сумма амортизационных отчислений")</f>
        <v>0</v>
      </c>
      <c r="AL260" s="768">
        <f>_xlfn.SUMIFS(Амортизация!AK$25:AK$223,Амортизация!$F$25:$F$223,$F260,Амортизация!$AC$25:$AC$223,"Сумма амортизационных отчислений")</f>
        <v>0</v>
      </c>
      <c r="AM260" s="768">
        <f>_xlfn.SUMIFS(Амортизация!AL$25:AL$223,Амортизация!$F$25:$F$223,$F260,Амортизация!$AC$25:$AC$223,"Сумма амортизационных отчислений")</f>
        <v>0</v>
      </c>
      <c r="AN260" s="768">
        <f>_xlfn.SUMIFS(Амортизация!AM$25:AM$223,Амортизация!$F$25:$F$223,$F260,Амортизация!$AC$25:$AC$223,"Сумма амортизационных отчислений")</f>
        <v>0</v>
      </c>
      <c r="AO260" s="768">
        <f>_xlfn.SUMIFS(Амортизация!AN$25:AN$223,Амортизация!$F$25:$F$223,$F260,Амортизация!$AC$25:$AC$223,"Сумма амортизационных отчислений")</f>
        <v>0</v>
      </c>
      <c r="AP260" s="768">
        <f>_xlfn.SUMIFS(Амортизация!AO$25:AO$223,Амортизация!$F$25:$F$223,$F260,Амортизация!$AC$25:$AC$223,"Сумма амортизационных отчислений")</f>
        <v>0</v>
      </c>
      <c r="AQ260" s="768">
        <f>_xlfn.SUMIFS(Амортизация!AP$25:AP$223,Амортизация!$F$25:$F$223,$F260,Амортизация!$AC$25:$AC$223,"Сумма амортизационных отчислений")</f>
        <v>0</v>
      </c>
      <c r="AR260" s="768">
        <f>_xlfn.SUMIFS(Амортизация!AQ$25:AQ$223,Амортизация!$F$25:$F$223,$F260,Амортизация!$AC$25:$AC$223,"Сумма амортизационных отчислений")</f>
        <v>0</v>
      </c>
      <c r="AS260" s="768">
        <f>_xlfn.SUMIFS(Амортизация!AR$25:AR$223,Амортизация!$F$25:$F$223,$F260,Амортизация!$AC$25:$AC$223,"Сумма амортизационных отчислений")</f>
        <v>0</v>
      </c>
      <c r="AT260" s="768">
        <f>_xlfn.SUMIFS(Амортизация!AS$25:AS$223,Амортизация!$F$25:$F$223,$F260,Амортизация!$AC$25:$AC$223,"Сумма амортизационных отчислений")</f>
        <v>9730.74</v>
      </c>
      <c r="AU260" s="768">
        <f>_xlfn.SUMIFS(Амортизация!AT$25:AT$223,Амортизация!$F$25:$F$223,$F260,Амортизация!$AC$25:$AC$223,"Сумма амортизационных отчислений")</f>
        <v>0</v>
      </c>
      <c r="AV260" s="768">
        <f>_xlfn.SUMIFS(Амортизация!AU$25:AU$223,Амортизация!$F$25:$F$223,$F260,Амортизация!$AC$25:$AC$223,"Сумма амортизационных отчислений")</f>
        <v>0</v>
      </c>
      <c r="AW260" s="768">
        <f>_xlfn.SUMIFS(Амортизация!AV$25:AV$223,Амортизация!$F$25:$F$223,$F260,Амортизация!$AC$25:$AC$223,"Сумма амортизационных отчислений")</f>
        <v>0</v>
      </c>
      <c r="AX260" s="768">
        <f>_xlfn.SUMIFS(Амортизация!AW$25:AW$223,Амортизация!$F$25:$F$223,$F260,Амортизация!$AC$25:$AC$223,"Сумма амортизационных отчислений")</f>
        <v>0</v>
      </c>
      <c r="AY260" s="768">
        <f>_xlfn.SUMIFS(Амортизация!AX$25:AX$223,Амортизация!$F$25:$F$223,$F260,Амортизация!$AC$25:$AC$223,"Сумма амортизационных отчислений")</f>
        <v>0</v>
      </c>
      <c r="AZ260" s="768">
        <f>_xlfn.SUMIFS(Амортизация!AY$25:AY$223,Амортизация!$F$25:$F$223,$F260,Амортизация!$AC$25:$AC$223,"Сумма амортизационных отчислений")</f>
        <v>0</v>
      </c>
      <c r="BA260" s="768">
        <f>_xlfn.SUMIFS(Амортизация!AZ$25:AZ$223,Амортизация!$F$25:$F$223,$F260,Амортизация!$AC$25:$AC$223,"Сумма амортизационных отчислений")</f>
        <v>0</v>
      </c>
      <c r="BB260" s="768">
        <f>_xlfn.SUMIFS(Амортизация!BA$25:BA$223,Амортизация!$F$25:$F$223,$F260,Амортизация!$AC$25:$AC$223,"Сумма амортизационных отчислений")</f>
        <v>0</v>
      </c>
      <c r="BC260" s="768">
        <f>_xlfn.SUMIFS(Амортизация!BB$25:BB$223,Амортизация!$F$25:$F$223,$F260,Амортизация!$AC$25:$AC$223,"Сумма амортизационных отчислений")</f>
        <v>0</v>
      </c>
      <c r="BD260" s="768">
        <f>IF(AI260=0,0,(AT260-AI260)/AI260*100)</f>
        <v>66.3516539875203</v>
      </c>
      <c r="BE260" s="768">
        <f>IF(AT260=0,0,(AU260-AT260)/AT260*100)</f>
        <v>-100</v>
      </c>
      <c r="BF260" s="768">
        <f>IF(AU260=0,0,(AV260-AU260)/AU260*100)</f>
        <v>0</v>
      </c>
      <c r="BG260" s="768">
        <f>IF(AV260=0,0,(AW260-AV260)/AV260*100)</f>
        <v>0</v>
      </c>
      <c r="BH260" s="768">
        <f>IF(AW260=0,0,(AX260-AW260)/AW260*100)</f>
        <v>0</v>
      </c>
      <c r="BI260" s="768">
        <f>IF(AX260=0,0,(AY260-AX260)/AX260*100)</f>
        <v>0</v>
      </c>
      <c r="BJ260" s="768">
        <f>IF(AY260=0,0,(AZ260-AY260)/AY260*100)</f>
        <v>0</v>
      </c>
      <c r="BK260" s="768">
        <f>IF(AZ260=0,0,(BA260-AZ260)/AZ260*100)</f>
        <v>0</v>
      </c>
      <c r="BL260" s="768">
        <f>IF(BA260=0,0,(BB260-BA260)/BA260*100)</f>
        <v>0</v>
      </c>
      <c r="BM260" s="768">
        <f>IF(BB260=0,0,(BC260-BB260)/BB260*100)</f>
        <v>0</v>
      </c>
      <c r="BN260" s="6533" t="s">
        <v>2507</v>
      </c>
      <c r="BO260" s="6525" t="s">
        <v>2508</v>
      </c>
      <c r="BP260" s="6533" t="s">
        <v>2509</v>
      </c>
      <c r="BQ260" s="706"/>
      <c r="BR260" s="706"/>
      <c r="BS260" s="1078" t="s">
        <v>1435</v>
      </c>
      <c r="BT260" s="1078"/>
      <c r="BU260" s="1078"/>
      <c r="BV260" s="713"/>
      <c r="BW260" s="713"/>
    </row>
    <row s="1656" customFormat="1" customHeight="1" ht="43.921875">
      <c r="A261" s="1297"/>
      <c r="B261" s="434" cm="1" t="str">
        <f t="array" ref="B261:B261">B260</f>
        <v>true</v>
      </c>
      <c r="C261" s="1297"/>
      <c r="D261" s="1297"/>
      <c r="E261" s="709">
        <v>15</v>
      </c>
      <c r="F261" s="50" cm="1" t="str">
        <f t="array" ref="F261:F261">OFFSET(E261,-1,1)</f>
        <v>1</v>
      </c>
      <c r="G261" s="1297"/>
      <c r="H261" s="1297"/>
      <c r="I261" s="154" t="s">
        <v>659</v>
      </c>
      <c r="J261" s="1297"/>
      <c r="K261" s="154" t="s">
        <v>659</v>
      </c>
      <c r="L261" s="988" t="s">
        <v>673</v>
      </c>
      <c r="M261" s="103"/>
      <c r="N261" s="1297"/>
      <c r="O261" s="1297"/>
      <c r="P261" s="1297"/>
      <c r="Q261" s="1297"/>
      <c r="R261" s="1297"/>
      <c r="S261" s="1297"/>
      <c r="T261" s="468" cm="1" t="str">
        <f t="array" ref="T261:T261">T260</f>
        <v>true</v>
      </c>
      <c r="U261" s="1297"/>
      <c r="V261" s="1297"/>
      <c r="W261" s="1297"/>
      <c r="X261" s="1539"/>
      <c r="Y261" s="1297"/>
      <c r="Z261" s="1529"/>
      <c r="AA261" s="1297"/>
      <c r="AB261" s="295" t="s">
        <v>794</v>
      </c>
      <c r="AC261" s="769" t="s">
        <v>2076</v>
      </c>
      <c r="AD261" s="296" t="s">
        <v>936</v>
      </c>
      <c r="AE261" s="6531">
        <f>_xlfn.SUMIFS('ИП + источники'!AF$27:AF$174,'ИП + источники'!$F$27:$F$174,$F261,'ИП + источники'!$AC$27:$AC$174,"Амортизационные отчисления")+_xlfn.SUMIFS('ИП + источники'!AF$27:AF$174,'ИП + источники'!$F$27:$F$174,$F261,'ИП + источники'!$AC$27:$AC$174,"погашение займов и кредитов из амортизации")</f>
        <v>3780.74</v>
      </c>
      <c r="AF261" s="6531">
        <f>_xlfn.SUMIFS('ИП + источники'!AG$27:AG$174,'ИП + источники'!$F$27:$F$174,$F261,'ИП + источники'!$AC$27:$AC$174,"Амортизационные отчисления")+_xlfn.SUMIFS('ИП + источники'!AG$27:AG$174,'ИП + источники'!$F$27:$F$174,$F261,'ИП + источники'!$AC$27:$AC$174,"погашение займов и кредитов из амортизации")</f>
        <v>3478.84</v>
      </c>
      <c r="AG261" s="6531">
        <f>_xlfn.SUMIFS('ИП + источники'!AH$27:AH$174,'ИП + источники'!$F$27:$F$174,$F261,'ИП + источники'!$AC$27:$AC$174,"Амортизационные отчисления")+_xlfn.SUMIFS('ИП + источники'!AH$27:AH$174,'ИП + источники'!$F$27:$F$174,$F261,'ИП + источники'!$AC$27:$AC$174,"погашение займов и кредитов из амортизации")</f>
        <v>3780.74</v>
      </c>
      <c r="AH261" s="951">
        <f>AG261-AF261</f>
        <v>301.9</v>
      </c>
      <c r="AI261" s="6524">
        <f>_xlfn.SUMIFS('ИП + источники'!AJ$27:AJ$174,'ИП + источники'!$F$27:$F$174,$F261,'ИП + источники'!$AC$27:$AC$174,"Амортизационные отчисления")+_xlfn.SUMIFS('ИП + источники'!AJ$27:AJ$174,'ИП + источники'!$F$27:$F$174,$F261,'ИП + источники'!$AC$27:$AC$174,"погашение займов и кредитов из амортизации")</f>
        <v>5733.09</v>
      </c>
      <c r="AJ261" s="6524">
        <v>9540.52</v>
      </c>
      <c r="AK261" s="1272">
        <f>_xlfn.SUMIFS('ИП + источники'!AL$27:AL$174,'ИП + источники'!$F$27:$F$174,$F261,'ИП + источники'!$AC$27:$AC$174,"Амортизационные отчисления")+_xlfn.SUMIFS('ИП + источники'!AL$27:AL$174,'ИП + источники'!$F$27:$F$174,$F261,'ИП + источники'!$AC$27:$AC$174,"погашение займов и кредитов из амортизации")</f>
        <v>0</v>
      </c>
      <c r="AL261" s="1272">
        <f>_xlfn.SUMIFS('ИП + источники'!AM$27:AM$174,'ИП + источники'!$F$27:$F$174,$F261,'ИП + источники'!$AC$27:$AC$174,"Амортизационные отчисления")+_xlfn.SUMIFS('ИП + источники'!AM$27:AM$174,'ИП + источники'!$F$27:$F$174,$F261,'ИП + источники'!$AC$27:$AC$174,"погашение займов и кредитов из амортизации")</f>
        <v>0</v>
      </c>
      <c r="AM261" s="1272">
        <f>_xlfn.SUMIFS('ИП + источники'!AN$27:AN$174,'ИП + источники'!$F$27:$F$174,$F261,'ИП + источники'!$AC$27:$AC$174,"Амортизационные отчисления")+_xlfn.SUMIFS('ИП + источники'!AN$27:AN$174,'ИП + источники'!$F$27:$F$174,$F261,'ИП + источники'!$AC$27:$AC$174,"погашение займов и кредитов из амортизации")</f>
        <v>0</v>
      </c>
      <c r="AN261" s="1272">
        <f>_xlfn.SUMIFS('ИП + источники'!AO$27:AO$174,'ИП + источники'!$F$27:$F$174,$F261,'ИП + источники'!$AC$27:$AC$174,"Амортизационные отчисления")+_xlfn.SUMIFS('ИП + источники'!AO$27:AO$174,'ИП + источники'!$F$27:$F$174,$F261,'ИП + источники'!$AC$27:$AC$174,"погашение займов и кредитов из амортизации")</f>
        <v>0</v>
      </c>
      <c r="AO261" s="1272">
        <f>_xlfn.SUMIFS('ИП + источники'!AP$27:AP$174,'ИП + источники'!$F$27:$F$174,$F261,'ИП + источники'!$AC$27:$AC$174,"Амортизационные отчисления")+_xlfn.SUMIFS('ИП + источники'!AP$27:AP$174,'ИП + источники'!$F$27:$F$174,$F261,'ИП + источники'!$AC$27:$AC$174,"погашение займов и кредитов из амортизации")</f>
        <v>0</v>
      </c>
      <c r="AP261" s="1272">
        <f>_xlfn.SUMIFS('ИП + источники'!AQ$27:AQ$174,'ИП + источники'!$F$27:$F$174,$F261,'ИП + источники'!$AC$27:$AC$174,"Амортизационные отчисления")+_xlfn.SUMIFS('ИП + источники'!AQ$27:AQ$174,'ИП + источники'!$F$27:$F$174,$F261,'ИП + источники'!$AC$27:$AC$174,"погашение займов и кредитов из амортизации")</f>
        <v>0</v>
      </c>
      <c r="AQ261" s="1272">
        <f>_xlfn.SUMIFS('ИП + источники'!AR$27:AR$174,'ИП + источники'!$F$27:$F$174,$F261,'ИП + источники'!$AC$27:$AC$174,"Амортизационные отчисления")+_xlfn.SUMIFS('ИП + источники'!AR$27:AR$174,'ИП + источники'!$F$27:$F$174,$F261,'ИП + источники'!$AC$27:$AC$174,"погашение займов и кредитов из амортизации")</f>
        <v>0</v>
      </c>
      <c r="AR261" s="1272">
        <f>_xlfn.SUMIFS('ИП + источники'!AS$27:AS$174,'ИП + источники'!$F$27:$F$174,$F261,'ИП + источники'!$AC$27:$AC$174,"Амортизационные отчисления")+_xlfn.SUMIFS('ИП + источники'!AS$27:AS$174,'ИП + источники'!$F$27:$F$174,$F261,'ИП + источники'!$AC$27:$AC$174,"погашение займов и кредитов из амортизации")</f>
        <v>0</v>
      </c>
      <c r="AS261" s="1272">
        <f>_xlfn.SUMIFS('ИП + источники'!AT$27:AT$174,'ИП + источники'!$F$27:$F$174,$F261,'ИП + источники'!$AC$27:$AC$174,"Амортизационные отчисления")+_xlfn.SUMIFS('ИП + источники'!AT$27:AT$174,'ИП + источники'!$F$27:$F$174,$F261,'ИП + источники'!$AC$27:$AC$174,"погашение займов и кредитов из амортизации")</f>
        <v>0</v>
      </c>
      <c r="AT261" s="6524">
        <v>9540.52</v>
      </c>
      <c r="AU261" s="1272">
        <f>_xlfn.SUMIFS('ИП + источники'!AV$27:AV$174,'ИП + источники'!$F$27:$F$174,$F261,'ИП + источники'!$AC$27:$AC$174,"Амортизационные отчисления")+_xlfn.SUMIFS('ИП + источники'!AV$27:AV$174,'ИП + источники'!$F$27:$F$174,$F261,'ИП + источники'!$AC$27:$AC$174,"погашение займов и кредитов из амортизации")</f>
        <v>0</v>
      </c>
      <c r="AV261" s="1272">
        <f>_xlfn.SUMIFS('ИП + источники'!AW$27:AW$174,'ИП + источники'!$F$27:$F$174,$F261,'ИП + источники'!$AC$27:$AC$174,"Амортизационные отчисления")+_xlfn.SUMIFS('ИП + источники'!AW$27:AW$174,'ИП + источники'!$F$27:$F$174,$F261,'ИП + источники'!$AC$27:$AC$174,"погашение займов и кредитов из амортизации")</f>
        <v>0</v>
      </c>
      <c r="AW261" s="1272">
        <f>_xlfn.SUMIFS('ИП + источники'!AX$27:AX$174,'ИП + источники'!$F$27:$F$174,$F261,'ИП + источники'!$AC$27:$AC$174,"Амортизационные отчисления")+_xlfn.SUMIFS('ИП + источники'!AX$27:AX$174,'ИП + источники'!$F$27:$F$174,$F261,'ИП + источники'!$AC$27:$AC$174,"погашение займов и кредитов из амортизации")</f>
        <v>0</v>
      </c>
      <c r="AX261" s="1272">
        <f>_xlfn.SUMIFS('ИП + источники'!AY$27:AY$174,'ИП + источники'!$F$27:$F$174,$F261,'ИП + источники'!$AC$27:$AC$174,"Амортизационные отчисления")+_xlfn.SUMIFS('ИП + источники'!AY$27:AY$174,'ИП + источники'!$F$27:$F$174,$F261,'ИП + источники'!$AC$27:$AC$174,"погашение займов и кредитов из амортизации")</f>
        <v>0</v>
      </c>
      <c r="AY261" s="1272">
        <f>_xlfn.SUMIFS('ИП + источники'!AZ$27:AZ$174,'ИП + источники'!$F$27:$F$174,$F261,'ИП + источники'!$AC$27:$AC$174,"Амортизационные отчисления")+_xlfn.SUMIFS('ИП + источники'!AZ$27:AZ$174,'ИП + источники'!$F$27:$F$174,$F261,'ИП + источники'!$AC$27:$AC$174,"погашение займов и кредитов из амортизации")</f>
        <v>0</v>
      </c>
      <c r="AZ261" s="1272">
        <f>_xlfn.SUMIFS('ИП + источники'!BA$27:BA$174,'ИП + источники'!$F$27:$F$174,$F261,'ИП + источники'!$AC$27:$AC$174,"Амортизационные отчисления")+_xlfn.SUMIFS('ИП + источники'!BA$27:BA$174,'ИП + источники'!$F$27:$F$174,$F261,'ИП + источники'!$AC$27:$AC$174,"погашение займов и кредитов из амортизации")</f>
        <v>0</v>
      </c>
      <c r="BA261" s="1272">
        <f>_xlfn.SUMIFS('ИП + источники'!BB$27:BB$174,'ИП + источники'!$F$27:$F$174,$F261,'ИП + источники'!$AC$27:$AC$174,"Амортизационные отчисления")+_xlfn.SUMIFS('ИП + источники'!BB$27:BB$174,'ИП + источники'!$F$27:$F$174,$F261,'ИП + источники'!$AC$27:$AC$174,"погашение займов и кредитов из амортизации")</f>
        <v>0</v>
      </c>
      <c r="BB261" s="1272">
        <f>_xlfn.SUMIFS('ИП + источники'!BC$27:BC$174,'ИП + источники'!$F$27:$F$174,$F261,'ИП + источники'!$AC$27:$AC$174,"Амортизационные отчисления")+_xlfn.SUMIFS('ИП + источники'!BC$27:BC$174,'ИП + источники'!$F$27:$F$174,$F261,'ИП + источники'!$AC$27:$AC$174,"погашение займов и кредитов из амортизации")</f>
        <v>0</v>
      </c>
      <c r="BC261" s="1272">
        <f>_xlfn.SUMIFS('ИП + источники'!BD$27:BD$174,'ИП + источники'!$F$27:$F$174,$F261,'ИП + источники'!$AC$27:$AC$174,"Амортизационные отчисления")+_xlfn.SUMIFS('ИП + источники'!BD$27:BD$174,'ИП + источники'!$F$27:$F$174,$F261,'ИП + источники'!$AC$27:$AC$174,"погашение займов и кредитов из амортизации")</f>
        <v>0</v>
      </c>
      <c r="BD261" s="951">
        <f>IF(AI261=0,0,(AT261-AI261)/AI261*100)</f>
        <v>66.4114814175253</v>
      </c>
      <c r="BE261" s="951">
        <f>IF(AT261=0,0,(AU261-AT261)/AT261*100)</f>
        <v>-100</v>
      </c>
      <c r="BF261" s="951">
        <f>IF(AU261=0,0,(AV261-AU261)/AU261*100)</f>
        <v>0</v>
      </c>
      <c r="BG261" s="951">
        <f>IF(AV261=0,0,(AW261-AV261)/AV261*100)</f>
        <v>0</v>
      </c>
      <c r="BH261" s="951">
        <f>IF(AW261=0,0,(AX261-AW261)/AW261*100)</f>
        <v>0</v>
      </c>
      <c r="BI261" s="951">
        <f>IF(AX261=0,0,(AY261-AX261)/AX261*100)</f>
        <v>0</v>
      </c>
      <c r="BJ261" s="951">
        <f>IF(AY261=0,0,(AZ261-AY261)/AY261*100)</f>
        <v>0</v>
      </c>
      <c r="BK261" s="951">
        <f>IF(AZ261=0,0,(BA261-AZ261)/AZ261*100)</f>
        <v>0</v>
      </c>
      <c r="BL261" s="951">
        <f>IF(BA261=0,0,(BB261-BA261)/BA261*100)</f>
        <v>0</v>
      </c>
      <c r="BM261" s="951">
        <f>IF(BB261=0,0,(BC261-BB261)/BB261*100)</f>
        <v>0</v>
      </c>
      <c r="BN261" s="6533"/>
      <c r="BO261" s="6533"/>
      <c r="BP261" s="6533"/>
      <c r="BQ261" s="1297"/>
      <c r="BR261" s="1297"/>
      <c r="BS261" s="1072" t="s">
        <v>2077</v>
      </c>
      <c r="BT261" s="1072"/>
      <c r="BU261" s="1072"/>
      <c r="BV261" s="987"/>
      <c r="BW261" s="987"/>
    </row>
    <row s="6583" customFormat="1" customHeight="1" ht="164.13442611694336">
      <c r="A262" s="706"/>
      <c r="B262" s="434" cm="1" t="str">
        <f t="array" ref="B262:B262">B261</f>
        <v>true</v>
      </c>
      <c r="C262" s="706"/>
      <c r="D262" s="706"/>
      <c r="E262" s="713">
        <v>21</v>
      </c>
      <c r="F262" s="50" cm="1" t="str">
        <f t="array" ref="F262:F262">OFFSET(E262,-1,1)</f>
        <v>1</v>
      </c>
      <c r="G262" s="154" t="s">
        <v>1730</v>
      </c>
      <c r="H262" s="154"/>
      <c r="I262" s="154" t="s">
        <v>347</v>
      </c>
      <c r="J262" s="706"/>
      <c r="K262" s="154" t="s">
        <v>347</v>
      </c>
      <c r="L262" s="993" t="s">
        <v>685</v>
      </c>
      <c r="M262" s="105"/>
      <c r="N262" s="706"/>
      <c r="O262" s="706"/>
      <c r="P262" s="706"/>
      <c r="Q262" s="706"/>
      <c r="R262" s="706"/>
      <c r="S262" s="706"/>
      <c r="T262" s="468" cm="1" t="str">
        <f t="array" ref="T262:T262">T261</f>
        <v>true</v>
      </c>
      <c r="U262" s="706"/>
      <c r="V262" s="706"/>
      <c r="W262" s="706"/>
      <c r="X262" s="1539"/>
      <c r="Y262" s="706"/>
      <c r="Z262" s="1529"/>
      <c r="AA262" s="706"/>
      <c r="AB262" s="214" t="s">
        <v>454</v>
      </c>
      <c r="AC262" s="208" t="s">
        <v>1730</v>
      </c>
      <c r="AD262" s="230" t="s">
        <v>936</v>
      </c>
      <c r="AE262" s="209">
        <f>AE263+AE264+AE265+AE266</f>
        <v>53273.15</v>
      </c>
      <c r="AF262" s="209">
        <f>AF263+AF264+AF265+AF266</f>
        <v>49704.3</v>
      </c>
      <c r="AG262" s="209">
        <f>AG263+AG264+AG265+AG266</f>
        <v>51866.63</v>
      </c>
      <c r="AH262" s="777">
        <f>AG262-AF262</f>
        <v>2162.32999999999</v>
      </c>
      <c r="AI262" s="777">
        <f>AI263+AI264+AI265+AI266</f>
        <v>84836.51</v>
      </c>
      <c r="AJ262" s="777">
        <f>AJ263+AJ264+AJ265+AJ266</f>
        <v>109163.19</v>
      </c>
      <c r="AK262" s="777">
        <f>AK263+AK264+AK265+AK266</f>
        <v>0</v>
      </c>
      <c r="AL262" s="777">
        <f>AL263+AL264+AL265+AL266</f>
        <v>0</v>
      </c>
      <c r="AM262" s="777">
        <f>AM263+AM264+AM265+AM266</f>
        <v>0</v>
      </c>
      <c r="AN262" s="777">
        <f>AN263+AN264+AN265+AN266</f>
        <v>0</v>
      </c>
      <c r="AO262" s="777">
        <f>AO263+AO264+AO265+AO266</f>
        <v>0</v>
      </c>
      <c r="AP262" s="777">
        <f>AP263+AP264+AP265+AP266</f>
        <v>0</v>
      </c>
      <c r="AQ262" s="777">
        <f>AQ263+AQ264+AQ265+AQ266</f>
        <v>0</v>
      </c>
      <c r="AR262" s="777">
        <f>AR263+AR264+AR265+AR266</f>
        <v>0</v>
      </c>
      <c r="AS262" s="777">
        <f>AS263+AS264+AS265+AS266</f>
        <v>0</v>
      </c>
      <c r="AT262" s="777">
        <f>AT263+AT264+AT265+AT266</f>
        <v>94026.78</v>
      </c>
      <c r="AU262" s="777">
        <f>AU263+AU264+AU265+AU266</f>
        <v>0</v>
      </c>
      <c r="AV262" s="777">
        <f>AV263+AV264+AV265+AV266</f>
        <v>0</v>
      </c>
      <c r="AW262" s="777">
        <f>AW263+AW264+AW265+AW266</f>
        <v>0</v>
      </c>
      <c r="AX262" s="777">
        <f>AX263+AX264+AX265+AX266</f>
        <v>0</v>
      </c>
      <c r="AY262" s="777">
        <f>AY263+AY264+AY265+AY266</f>
        <v>0</v>
      </c>
      <c r="AZ262" s="777">
        <f>AZ263+AZ264+AZ265+AZ266</f>
        <v>0</v>
      </c>
      <c r="BA262" s="777">
        <f>BA263+BA264+BA265+BA266</f>
        <v>0</v>
      </c>
      <c r="BB262" s="777">
        <f>BB263+BB264+BB265+BB266</f>
        <v>0</v>
      </c>
      <c r="BC262" s="777">
        <f>BC263+BC264+BC265+BC266</f>
        <v>0</v>
      </c>
      <c r="BD262" s="768">
        <f>IF(AI262=0,0,(AT262-AI262)/AI262*100)</f>
        <v>10.8329185158607</v>
      </c>
      <c r="BE262" s="768">
        <f>IF(AT262=0,0,(AU262-AT262)/AT262*100)</f>
        <v>-100</v>
      </c>
      <c r="BF262" s="768">
        <f>IF(AU262=0,0,(AV262-AU262)/AU262*100)</f>
        <v>0</v>
      </c>
      <c r="BG262" s="768">
        <f>IF(AV262=0,0,(AW262-AV262)/AV262*100)</f>
        <v>0</v>
      </c>
      <c r="BH262" s="768">
        <f>IF(AW262=0,0,(AX262-AW262)/AW262*100)</f>
        <v>0</v>
      </c>
      <c r="BI262" s="768">
        <f>IF(AX262=0,0,(AY262-AX262)/AX262*100)</f>
        <v>0</v>
      </c>
      <c r="BJ262" s="768">
        <f>IF(AY262=0,0,(AZ262-AY262)/AY262*100)</f>
        <v>0</v>
      </c>
      <c r="BK262" s="768">
        <f>IF(AZ262=0,0,(BA262-AZ262)/AZ262*100)</f>
        <v>0</v>
      </c>
      <c r="BL262" s="768">
        <f>IF(BA262=0,0,(BB262-BA262)/BA262*100)</f>
        <v>0</v>
      </c>
      <c r="BM262" s="768">
        <f>IF(BB262=0,0,(BC262-BB262)/BB262*100)</f>
        <v>0</v>
      </c>
      <c r="BN262" s="6532" t="s">
        <v>2510</v>
      </c>
      <c r="BO262" s="6533" t="s">
        <v>2511</v>
      </c>
      <c r="BP262" s="6533" t="s">
        <v>2512</v>
      </c>
      <c r="BQ262" s="706"/>
      <c r="BR262" s="706"/>
      <c r="BS262" s="1071" t="s">
        <v>1734</v>
      </c>
      <c r="BT262" s="1078"/>
      <c r="BU262" s="1078"/>
      <c r="BV262" s="713"/>
      <c r="BW262" s="713"/>
    </row>
    <row s="1656" customFormat="1" customHeight="1" ht="35.46875">
      <c r="A263" s="1297"/>
      <c r="B263" s="434" cm="1" t="str">
        <f t="array" ref="B263:B263">B262</f>
        <v>true</v>
      </c>
      <c r="C263" s="1297"/>
      <c r="D263" s="1297"/>
      <c r="E263" s="709">
        <v>15</v>
      </c>
      <c r="F263" s="50" cm="1" t="str">
        <f t="array" ref="F263:F263">OFFSET(E263,-1,1)</f>
        <v>1</v>
      </c>
      <c r="G263" s="1297"/>
      <c r="H263" s="1297"/>
      <c r="I263" s="154" t="s">
        <v>673</v>
      </c>
      <c r="J263" s="1297"/>
      <c r="K263" s="154" t="s">
        <v>673</v>
      </c>
      <c r="L263" s="988"/>
      <c r="M263" s="103"/>
      <c r="N263" s="1297"/>
      <c r="O263" s="1297"/>
      <c r="P263" s="1297"/>
      <c r="Q263" s="1297"/>
      <c r="R263" s="1297"/>
      <c r="S263" s="1297"/>
      <c r="T263" s="468" cm="1" t="str">
        <f t="array" ref="T263:T263">T262</f>
        <v>true</v>
      </c>
      <c r="U263" s="1297"/>
      <c r="V263" s="1297"/>
      <c r="W263" s="1297"/>
      <c r="X263" s="1539"/>
      <c r="Y263" s="1297"/>
      <c r="Z263" s="1529"/>
      <c r="AA263" s="1297"/>
      <c r="AB263" s="295" t="s">
        <v>801</v>
      </c>
      <c r="AC263" s="769" t="s">
        <v>2370</v>
      </c>
      <c r="AD263" s="296" t="s">
        <v>936</v>
      </c>
      <c r="AE263" s="6531">
        <f>_xlfn.SUMIFS('ИП + источники'!AF$27:AF$174,'ИП + источники'!$F$27:$F$174,$F263,'ИП + источники'!$AC$27:$AC$174,"погашение займов и кредитов из нормативной прибыли")</f>
        <v>0</v>
      </c>
      <c r="AF263" s="6531">
        <f>_xlfn.SUMIFS('ИП + источники'!AG$27:AG$174,'ИП + источники'!$F$27:$F$174,$F263,'ИП + источники'!$AC$27:$AC$174,"погашение займов и кредитов из нормативной прибыли")</f>
        <v>0</v>
      </c>
      <c r="AG263" s="6531">
        <f>_xlfn.SUMIFS('ИП + источники'!AH$27:AH$174,'ИП + источники'!$F$27:$F$174,$F263,'ИП + источники'!$AC$27:$AC$174,"погашение займов и кредитов из нормативной прибыли")</f>
        <v>0</v>
      </c>
      <c r="AH263" s="951">
        <f>AG263-AF263</f>
        <v>0</v>
      </c>
      <c r="AI263" s="6524">
        <f>_xlfn.SUMIFS('ИП + источники'!AJ$27:AJ$174,'ИП + источники'!$F$27:$F$174,$F263,'ИП + источники'!$AC$27:$AC$174,"погашение займов и кредитов из нормативной прибыли")</f>
        <v>0</v>
      </c>
      <c r="AJ263" s="6524">
        <f>_xlfn.SUMIFS('ИП + источники'!AK$27:AK$174,'ИП + источники'!$F$27:$F$174,$F263,'ИП + источники'!$AC$27:$AC$174,"погашение займов и кредитов из нормативной прибыли")</f>
        <v>0</v>
      </c>
      <c r="AK263" s="1272">
        <f>_xlfn.SUMIFS('ИП + источники'!AL$27:AL$174,'ИП + источники'!$F$27:$F$174,$F263,'ИП + источники'!$AC$27:$AC$174,"погашение займов и кредитов из нормативной прибыли")</f>
        <v>0</v>
      </c>
      <c r="AL263" s="1272">
        <f>_xlfn.SUMIFS('ИП + источники'!AM$27:AM$174,'ИП + источники'!$F$27:$F$174,$F263,'ИП + источники'!$AC$27:$AC$174,"погашение займов и кредитов из нормативной прибыли")</f>
        <v>0</v>
      </c>
      <c r="AM263" s="1272">
        <f>_xlfn.SUMIFS('ИП + источники'!AN$27:AN$174,'ИП + источники'!$F$27:$F$174,$F263,'ИП + источники'!$AC$27:$AC$174,"погашение займов и кредитов из нормативной прибыли")</f>
        <v>0</v>
      </c>
      <c r="AN263" s="1272">
        <f>_xlfn.SUMIFS('ИП + источники'!AO$27:AO$174,'ИП + источники'!$F$27:$F$174,$F263,'ИП + источники'!$AC$27:$AC$174,"погашение займов и кредитов из нормативной прибыли")</f>
        <v>0</v>
      </c>
      <c r="AO263" s="1272">
        <f>_xlfn.SUMIFS('ИП + источники'!AP$27:AP$174,'ИП + источники'!$F$27:$F$174,$F263,'ИП + источники'!$AC$27:$AC$174,"погашение займов и кредитов из нормативной прибыли")</f>
        <v>0</v>
      </c>
      <c r="AP263" s="1272">
        <f>_xlfn.SUMIFS('ИП + источники'!AQ$27:AQ$174,'ИП + источники'!$F$27:$F$174,$F263,'ИП + источники'!$AC$27:$AC$174,"погашение займов и кредитов из нормативной прибыли")</f>
        <v>0</v>
      </c>
      <c r="AQ263" s="1272">
        <f>_xlfn.SUMIFS('ИП + источники'!AR$27:AR$174,'ИП + источники'!$F$27:$F$174,$F263,'ИП + источники'!$AC$27:$AC$174,"погашение займов и кредитов из нормативной прибыли")</f>
        <v>0</v>
      </c>
      <c r="AR263" s="1272">
        <f>_xlfn.SUMIFS('ИП + источники'!AS$27:AS$174,'ИП + источники'!$F$27:$F$174,$F263,'ИП + источники'!$AC$27:$AC$174,"погашение займов и кредитов из нормативной прибыли")</f>
        <v>0</v>
      </c>
      <c r="AS263" s="1272">
        <f>_xlfn.SUMIFS('ИП + источники'!AT$27:AT$174,'ИП + источники'!$F$27:$F$174,$F263,'ИП + источники'!$AC$27:$AC$174,"погашение займов и кредитов из нормативной прибыли")</f>
        <v>0</v>
      </c>
      <c r="AT263" s="6524">
        <f>_xlfn.SUMIFS('ИП + источники'!AU$27:AU$174,'ИП + источники'!$F$27:$F$174,$F263,'ИП + источники'!$AC$27:$AC$174,"погашение займов и кредитов из нормативной прибыли")</f>
        <v>0</v>
      </c>
      <c r="AU263" s="1272">
        <f>_xlfn.SUMIFS('ИП + источники'!AV$27:AV$174,'ИП + источники'!$F$27:$F$174,$F263,'ИП + источники'!$AC$27:$AC$174,"погашение займов и кредитов из нормативной прибыли")</f>
        <v>0</v>
      </c>
      <c r="AV263" s="1272">
        <f>_xlfn.SUMIFS('ИП + источники'!AW$27:AW$174,'ИП + источники'!$F$27:$F$174,$F263,'ИП + источники'!$AC$27:$AC$174,"погашение займов и кредитов из нормативной прибыли")</f>
        <v>0</v>
      </c>
      <c r="AW263" s="1272">
        <f>_xlfn.SUMIFS('ИП + источники'!AX$27:AX$174,'ИП + источники'!$F$27:$F$174,$F263,'ИП + источники'!$AC$27:$AC$174,"погашение займов и кредитов из нормативной прибыли")</f>
        <v>0</v>
      </c>
      <c r="AX263" s="1272">
        <f>_xlfn.SUMIFS('ИП + источники'!AY$27:AY$174,'ИП + источники'!$F$27:$F$174,$F263,'ИП + источники'!$AC$27:$AC$174,"погашение займов и кредитов из нормативной прибыли")</f>
        <v>0</v>
      </c>
      <c r="AY263" s="1272">
        <f>_xlfn.SUMIFS('ИП + источники'!AZ$27:AZ$174,'ИП + источники'!$F$27:$F$174,$F263,'ИП + источники'!$AC$27:$AC$174,"погашение займов и кредитов из нормативной прибыли")</f>
        <v>0</v>
      </c>
      <c r="AZ263" s="1272">
        <f>_xlfn.SUMIFS('ИП + источники'!BA$27:BA$174,'ИП + источники'!$F$27:$F$174,$F263,'ИП + источники'!$AC$27:$AC$174,"погашение займов и кредитов из нормативной прибыли")</f>
        <v>0</v>
      </c>
      <c r="BA263" s="1272">
        <f>_xlfn.SUMIFS('ИП + источники'!BB$27:BB$174,'ИП + источники'!$F$27:$F$174,$F263,'ИП + источники'!$AC$27:$AC$174,"погашение займов и кредитов из нормативной прибыли")</f>
        <v>0</v>
      </c>
      <c r="BB263" s="1272">
        <f>_xlfn.SUMIFS('ИП + источники'!BC$27:BC$174,'ИП + источники'!$F$27:$F$174,$F263,'ИП + источники'!$AC$27:$AC$174,"погашение займов и кредитов из нормативной прибыли")</f>
        <v>0</v>
      </c>
      <c r="BC263" s="1272">
        <f>_xlfn.SUMIFS('ИП + источники'!BD$27:BD$174,'ИП + источники'!$F$27:$F$174,$F263,'ИП + источники'!$AC$27:$AC$174,"погашение займов и кредитов из нормативной прибыли")</f>
        <v>0</v>
      </c>
      <c r="BD263" s="951">
        <f>IF(AI263=0,0,(AT263-AI263)/AI263*100)</f>
        <v>0</v>
      </c>
      <c r="BE263" s="951">
        <f>IF(AT263=0,0,(AU263-AT263)/AT263*100)</f>
        <v>0</v>
      </c>
      <c r="BF263" s="951">
        <f>IF(AU263=0,0,(AV263-AU263)/AU263*100)</f>
        <v>0</v>
      </c>
      <c r="BG263" s="951">
        <f>IF(AV263=0,0,(AW263-AV263)/AV263*100)</f>
        <v>0</v>
      </c>
      <c r="BH263" s="951">
        <f>IF(AW263=0,0,(AX263-AW263)/AW263*100)</f>
        <v>0</v>
      </c>
      <c r="BI263" s="951">
        <f>IF(AX263=0,0,(AY263-AX263)/AX263*100)</f>
        <v>0</v>
      </c>
      <c r="BJ263" s="951">
        <f>IF(AY263=0,0,(AZ263-AY263)/AY263*100)</f>
        <v>0</v>
      </c>
      <c r="BK263" s="951">
        <f>IF(AZ263=0,0,(BA263-AZ263)/AZ263*100)</f>
        <v>0</v>
      </c>
      <c r="BL263" s="951">
        <f>IF(BA263=0,0,(BB263-BA263)/BA263*100)</f>
        <v>0</v>
      </c>
      <c r="BM263" s="951">
        <f>IF(BB263=0,0,(BC263-BB263)/BB263*100)</f>
        <v>0</v>
      </c>
      <c r="BN263" s="6533"/>
      <c r="BO263" s="6525" t="str">
        <f>IF(_xlfn.IFERROR(INDEX('ИП + источники'!$K$57:$L$174,MATCH($F263&amp;"2komm",'ИП + источники'!$K$57:$K$174,0),2),"")=0,"",_xlfn.IFERROR(INDEX('ИП + источники'!$K$57:$L$174,MATCH($F263&amp;"2komm",'ИП + источники'!$K$57:$K$174,0),2),""))</f>
        <v/>
      </c>
      <c r="BP263" s="6533"/>
      <c r="BQ263" s="1297"/>
      <c r="BR263" s="1297"/>
      <c r="BS263" s="1072" t="s">
        <v>2371</v>
      </c>
      <c r="BT263" s="1072"/>
      <c r="BU263" s="1072"/>
      <c r="BV263" s="987"/>
      <c r="BW263" s="987"/>
    </row>
    <row s="1656" customFormat="1" customHeight="1" ht="35.46875">
      <c r="A264" s="1297"/>
      <c r="B264" s="434" cm="1" t="str">
        <f t="array" ref="B264:B264">B263</f>
        <v>true</v>
      </c>
      <c r="C264" s="1297"/>
      <c r="D264" s="1297"/>
      <c r="E264" s="709">
        <v>15</v>
      </c>
      <c r="F264" s="50" cm="1" t="str">
        <f t="array" ref="F264:F264">OFFSET(E264,-1,1)</f>
        <v>1</v>
      </c>
      <c r="G264" s="1297"/>
      <c r="H264" s="1297"/>
      <c r="I264" s="154" t="s">
        <v>677</v>
      </c>
      <c r="J264" s="1297"/>
      <c r="K264" s="154" t="s">
        <v>677</v>
      </c>
      <c r="L264" s="988"/>
      <c r="M264" s="103"/>
      <c r="N264" s="1297"/>
      <c r="O264" s="1297"/>
      <c r="P264" s="1297"/>
      <c r="Q264" s="1297"/>
      <c r="R264" s="1297"/>
      <c r="S264" s="1297"/>
      <c r="T264" s="468" cm="1" t="str">
        <f t="array" ref="T264:T264">T263</f>
        <v>true</v>
      </c>
      <c r="U264" s="1297"/>
      <c r="V264" s="1297"/>
      <c r="W264" s="1297"/>
      <c r="X264" s="1539"/>
      <c r="Y264" s="1297"/>
      <c r="Z264" s="1529"/>
      <c r="AA264" s="1297"/>
      <c r="AB264" s="295" t="s">
        <v>804</v>
      </c>
      <c r="AC264" s="769" t="s">
        <v>2372</v>
      </c>
      <c r="AD264" s="296" t="s">
        <v>936</v>
      </c>
      <c r="AE264" s="6531">
        <f>_xlfn.SUMIFS('ИП + источники'!AF$27:AF$174,'ИП + источники'!$F$27:$F$174,$F264,'ИП + источники'!$AC$27:$AC$174,"уплата процентов по кредитам из нормативной прибыли")</f>
        <v>0</v>
      </c>
      <c r="AF264" s="6531">
        <f>_xlfn.SUMIFS('ИП + источники'!AG$27:AG$174,'ИП + источники'!$F$27:$F$174,$F264,'ИП + источники'!$AC$27:$AC$174,"уплата процентов по кредитам из нормативной прибыли")</f>
        <v>0</v>
      </c>
      <c r="AG264" s="6531">
        <f>_xlfn.SUMIFS('ИП + источники'!AH$27:AH$174,'ИП + источники'!$F$27:$F$174,$F264,'ИП + источники'!$AC$27:$AC$174,"уплата процентов по кредитам из нормативной прибыли")</f>
        <v>0</v>
      </c>
      <c r="AH264" s="951">
        <f>AG264-AF264</f>
        <v>0</v>
      </c>
      <c r="AI264" s="6524">
        <f>_xlfn.SUMIFS('ИП + источники'!AJ$27:AJ$174,'ИП + источники'!$F$27:$F$174,$F264,'ИП + источники'!$AC$27:$AC$174,"уплата процентов по кредитам из нормативной прибыли")</f>
        <v>0</v>
      </c>
      <c r="AJ264" s="6524">
        <f>_xlfn.SUMIFS('ИП + источники'!AK$27:AK$174,'ИП + источники'!$F$27:$F$174,$F264,'ИП + источники'!$AC$27:$AC$174,"уплата процентов по кредитам из нормативной прибыли")</f>
        <v>0</v>
      </c>
      <c r="AK264" s="1272">
        <f>_xlfn.SUMIFS('ИП + источники'!AL$27:AL$174,'ИП + источники'!$F$27:$F$174,$F264,'ИП + источники'!$AC$27:$AC$174,"уплата процентов по кредитам из нормативной прибыли")</f>
        <v>0</v>
      </c>
      <c r="AL264" s="1272">
        <f>_xlfn.SUMIFS('ИП + источники'!AM$27:AM$174,'ИП + источники'!$F$27:$F$174,$F264,'ИП + источники'!$AC$27:$AC$174,"уплата процентов по кредитам из нормативной прибыли")</f>
        <v>0</v>
      </c>
      <c r="AM264" s="1272">
        <f>_xlfn.SUMIFS('ИП + источники'!AN$27:AN$174,'ИП + источники'!$F$27:$F$174,$F264,'ИП + источники'!$AC$27:$AC$174,"уплата процентов по кредитам из нормативной прибыли")</f>
        <v>0</v>
      </c>
      <c r="AN264" s="1272">
        <f>_xlfn.SUMIFS('ИП + источники'!AO$27:AO$174,'ИП + источники'!$F$27:$F$174,$F264,'ИП + источники'!$AC$27:$AC$174,"уплата процентов по кредитам из нормативной прибыли")</f>
        <v>0</v>
      </c>
      <c r="AO264" s="1272">
        <f>_xlfn.SUMIFS('ИП + источники'!AP$27:AP$174,'ИП + источники'!$F$27:$F$174,$F264,'ИП + источники'!$AC$27:$AC$174,"уплата процентов по кредитам из нормативной прибыли")</f>
        <v>0</v>
      </c>
      <c r="AP264" s="1272">
        <f>_xlfn.SUMIFS('ИП + источники'!AQ$27:AQ$174,'ИП + источники'!$F$27:$F$174,$F264,'ИП + источники'!$AC$27:$AC$174,"уплата процентов по кредитам из нормативной прибыли")</f>
        <v>0</v>
      </c>
      <c r="AQ264" s="1272">
        <f>_xlfn.SUMIFS('ИП + источники'!AR$27:AR$174,'ИП + источники'!$F$27:$F$174,$F264,'ИП + источники'!$AC$27:$AC$174,"уплата процентов по кредитам из нормативной прибыли")</f>
        <v>0</v>
      </c>
      <c r="AR264" s="1272">
        <f>_xlfn.SUMIFS('ИП + источники'!AS$27:AS$174,'ИП + источники'!$F$27:$F$174,$F264,'ИП + источники'!$AC$27:$AC$174,"уплата процентов по кредитам из нормативной прибыли")</f>
        <v>0</v>
      </c>
      <c r="AS264" s="1272">
        <f>_xlfn.SUMIFS('ИП + источники'!AT$27:AT$174,'ИП + источники'!$F$27:$F$174,$F264,'ИП + источники'!$AC$27:$AC$174,"уплата процентов по кредитам из нормативной прибыли")</f>
        <v>0</v>
      </c>
      <c r="AT264" s="6524">
        <f>_xlfn.SUMIFS('ИП + источники'!AU$27:AU$174,'ИП + источники'!$F$27:$F$174,$F264,'ИП + источники'!$AC$27:$AC$174,"уплата процентов по кредитам из нормативной прибыли")</f>
        <v>0</v>
      </c>
      <c r="AU264" s="1272">
        <f>_xlfn.SUMIFS('ИП + источники'!AV$27:AV$174,'ИП + источники'!$F$27:$F$174,$F264,'ИП + источники'!$AC$27:$AC$174,"уплата процентов по кредитам из нормативной прибыли")</f>
        <v>0</v>
      </c>
      <c r="AV264" s="1272">
        <f>_xlfn.SUMIFS('ИП + источники'!AW$27:AW$174,'ИП + источники'!$F$27:$F$174,$F264,'ИП + источники'!$AC$27:$AC$174,"уплата процентов по кредитам из нормативной прибыли")</f>
        <v>0</v>
      </c>
      <c r="AW264" s="1272">
        <f>_xlfn.SUMIFS('ИП + источники'!AX$27:AX$174,'ИП + источники'!$F$27:$F$174,$F264,'ИП + источники'!$AC$27:$AC$174,"уплата процентов по кредитам из нормативной прибыли")</f>
        <v>0</v>
      </c>
      <c r="AX264" s="1272">
        <f>_xlfn.SUMIFS('ИП + источники'!AY$27:AY$174,'ИП + источники'!$F$27:$F$174,$F264,'ИП + источники'!$AC$27:$AC$174,"уплата процентов по кредитам из нормативной прибыли")</f>
        <v>0</v>
      </c>
      <c r="AY264" s="1272">
        <f>_xlfn.SUMIFS('ИП + источники'!AZ$27:AZ$174,'ИП + источники'!$F$27:$F$174,$F264,'ИП + источники'!$AC$27:$AC$174,"уплата процентов по кредитам из нормативной прибыли")</f>
        <v>0</v>
      </c>
      <c r="AZ264" s="1272">
        <f>_xlfn.SUMIFS('ИП + источники'!BA$27:BA$174,'ИП + источники'!$F$27:$F$174,$F264,'ИП + источники'!$AC$27:$AC$174,"уплата процентов по кредитам из нормативной прибыли")</f>
        <v>0</v>
      </c>
      <c r="BA264" s="1272">
        <f>_xlfn.SUMIFS('ИП + источники'!BB$27:BB$174,'ИП + источники'!$F$27:$F$174,$F264,'ИП + источники'!$AC$27:$AC$174,"уплата процентов по кредитам из нормативной прибыли")</f>
        <v>0</v>
      </c>
      <c r="BB264" s="1272">
        <f>_xlfn.SUMIFS('ИП + источники'!BC$27:BC$174,'ИП + источники'!$F$27:$F$174,$F264,'ИП + источники'!$AC$27:$AC$174,"уплата процентов по кредитам из нормативной прибыли")</f>
        <v>0</v>
      </c>
      <c r="BC264" s="1272">
        <f>_xlfn.SUMIFS('ИП + источники'!BD$27:BD$174,'ИП + источники'!$F$27:$F$174,$F264,'ИП + источники'!$AC$27:$AC$174,"уплата процентов по кредитам из нормативной прибыли")</f>
        <v>0</v>
      </c>
      <c r="BD264" s="951">
        <f>IF(AI264=0,0,(AT264-AI264)/AI264*100)</f>
        <v>0</v>
      </c>
      <c r="BE264" s="951">
        <f>IF(AT264=0,0,(AU264-AT264)/AT264*100)</f>
        <v>0</v>
      </c>
      <c r="BF264" s="951">
        <f>IF(AU264=0,0,(AV264-AU264)/AU264*100)</f>
        <v>0</v>
      </c>
      <c r="BG264" s="951">
        <f>IF(AV264=0,0,(AW264-AV264)/AV264*100)</f>
        <v>0</v>
      </c>
      <c r="BH264" s="951">
        <f>IF(AW264=0,0,(AX264-AW264)/AW264*100)</f>
        <v>0</v>
      </c>
      <c r="BI264" s="951">
        <f>IF(AX264=0,0,(AY264-AX264)/AX264*100)</f>
        <v>0</v>
      </c>
      <c r="BJ264" s="951">
        <f>IF(AY264=0,0,(AZ264-AY264)/AY264*100)</f>
        <v>0</v>
      </c>
      <c r="BK264" s="951">
        <f>IF(AZ264=0,0,(BA264-AZ264)/AZ264*100)</f>
        <v>0</v>
      </c>
      <c r="BL264" s="951">
        <f>IF(BA264=0,0,(BB264-BA264)/BA264*100)</f>
        <v>0</v>
      </c>
      <c r="BM264" s="951">
        <f>IF(BB264=0,0,(BC264-BB264)/BB264*100)</f>
        <v>0</v>
      </c>
      <c r="BN264" s="6533"/>
      <c r="BO264" s="6525" t="str">
        <f>IF(_xlfn.IFERROR(INDEX('ИП + источники'!$K$57:$L$174,MATCH($F264&amp;"3komm",'ИП + источники'!$K$57:$K$174,0),2),"")=0,"",_xlfn.IFERROR(INDEX('ИП + источники'!$K$57:$L$174,MATCH($F264&amp;"3komm",'ИП + источники'!$K$57:$K$174,0),2),""))</f>
        <v/>
      </c>
      <c r="BP264" s="6533"/>
      <c r="BQ264" s="1297"/>
      <c r="BR264" s="1297"/>
      <c r="BS264" s="1072" t="s">
        <v>2373</v>
      </c>
      <c r="BT264" s="1072"/>
      <c r="BU264" s="1072"/>
      <c r="BV264" s="987"/>
      <c r="BW264" s="987"/>
    </row>
    <row s="1656" customFormat="1" customHeight="1" ht="205.46875">
      <c r="A265" s="1297"/>
      <c r="B265" s="434" cm="1" t="str">
        <f t="array" ref="B265:B265">B264</f>
        <v>true</v>
      </c>
      <c r="C265" s="1297"/>
      <c r="D265" s="1297"/>
      <c r="E265" s="709">
        <v>15</v>
      </c>
      <c r="F265" s="50" cm="1" t="str">
        <f t="array" ref="F265:F265">OFFSET(E265,-1,1)</f>
        <v>1</v>
      </c>
      <c r="G265" s="1297"/>
      <c r="H265" s="1297"/>
      <c r="I265" s="154" t="s">
        <v>889</v>
      </c>
      <c r="J265" s="1297"/>
      <c r="K265" s="154" t="s">
        <v>889</v>
      </c>
      <c r="L265" s="988" t="s">
        <v>692</v>
      </c>
      <c r="M265" s="103"/>
      <c r="N265" s="1297"/>
      <c r="O265" s="1297"/>
      <c r="P265" s="1297"/>
      <c r="Q265" s="1297"/>
      <c r="R265" s="1297"/>
      <c r="S265" s="1297"/>
      <c r="T265" s="468" cm="1" t="str">
        <f t="array" ref="T265:T265">T264</f>
        <v>true</v>
      </c>
      <c r="U265" s="1297"/>
      <c r="V265" s="1297"/>
      <c r="W265" s="1297"/>
      <c r="X265" s="1539"/>
      <c r="Y265" s="1297"/>
      <c r="Z265" s="1529"/>
      <c r="AA265" s="1297"/>
      <c r="AB265" s="295" t="s">
        <v>1122</v>
      </c>
      <c r="AC265" s="769" t="s">
        <v>2374</v>
      </c>
      <c r="AD265" s="296" t="s">
        <v>936</v>
      </c>
      <c r="AE265" s="6531">
        <v>53256.25</v>
      </c>
      <c r="AF265" s="6531">
        <v>48673.45</v>
      </c>
      <c r="AG265" s="6531">
        <v>51642.45</v>
      </c>
      <c r="AH265" s="951">
        <f>AG265-AF265</f>
        <v>2969</v>
      </c>
      <c r="AI265" s="6524">
        <v>84728.08</v>
      </c>
      <c r="AJ265" s="6524">
        <v>107872.98</v>
      </c>
      <c r="AK265" s="1272">
        <f>_xlfn.SUMIFS('ИП + источники'!AL$27:AL$174,'ИП + источники'!$F$27:$F$174,$F265,'ИП + источники'!$AC$27:$AC$174,"Прибыль на капвложения")</f>
        <v>0</v>
      </c>
      <c r="AL265" s="1272">
        <f>_xlfn.SUMIFS('ИП + источники'!AM$27:AM$174,'ИП + источники'!$F$27:$F$174,$F265,'ИП + источники'!$AC$27:$AC$174,"Прибыль на капвложения")</f>
        <v>0</v>
      </c>
      <c r="AM265" s="1272">
        <f>_xlfn.SUMIFS('ИП + источники'!AN$27:AN$174,'ИП + источники'!$F$27:$F$174,$F265,'ИП + источники'!$AC$27:$AC$174,"Прибыль на капвложения")</f>
        <v>0</v>
      </c>
      <c r="AN265" s="1272">
        <f>_xlfn.SUMIFS('ИП + источники'!AO$27:AO$174,'ИП + источники'!$F$27:$F$174,$F265,'ИП + источники'!$AC$27:$AC$174,"Прибыль на капвложения")</f>
        <v>0</v>
      </c>
      <c r="AO265" s="1272">
        <f>_xlfn.SUMIFS('ИП + источники'!AP$27:AP$174,'ИП + источники'!$F$27:$F$174,$F265,'ИП + источники'!$AC$27:$AC$174,"Прибыль на капвложения")</f>
        <v>0</v>
      </c>
      <c r="AP265" s="1272">
        <f>_xlfn.SUMIFS('ИП + источники'!AQ$27:AQ$174,'ИП + источники'!$F$27:$F$174,$F265,'ИП + источники'!$AC$27:$AC$174,"Прибыль на капвложения")</f>
        <v>0</v>
      </c>
      <c r="AQ265" s="1272">
        <f>_xlfn.SUMIFS('ИП + источники'!AR$27:AR$174,'ИП + источники'!$F$27:$F$174,$F265,'ИП + источники'!$AC$27:$AC$174,"Прибыль на капвложения")</f>
        <v>0</v>
      </c>
      <c r="AR265" s="1272">
        <f>_xlfn.SUMIFS('ИП + источники'!AS$27:AS$174,'ИП + источники'!$F$27:$F$174,$F265,'ИП + источники'!$AC$27:$AC$174,"Прибыль на капвложения")</f>
        <v>0</v>
      </c>
      <c r="AS265" s="1272">
        <f>_xlfn.SUMIFS('ИП + источники'!AT$27:AT$174,'ИП + источники'!$F$27:$F$174,$F265,'ИП + источники'!$AC$27:$AC$174,"Прибыль на капвложения")</f>
        <v>0</v>
      </c>
      <c r="AT265" s="6524">
        <v>93769.96</v>
      </c>
      <c r="AU265" s="1272">
        <f>_xlfn.SUMIFS('ИП + источники'!AV$27:AV$174,'ИП + источники'!$F$27:$F$174,$F265,'ИП + источники'!$AC$27:$AC$174,"Прибыль на капвложения")</f>
        <v>0</v>
      </c>
      <c r="AV265" s="1272">
        <f>_xlfn.SUMIFS('ИП + источники'!AW$27:AW$174,'ИП + источники'!$F$27:$F$174,$F265,'ИП + источники'!$AC$27:$AC$174,"Прибыль на капвложения")</f>
        <v>0</v>
      </c>
      <c r="AW265" s="1272">
        <f>_xlfn.SUMIFS('ИП + источники'!AX$27:AX$174,'ИП + источники'!$F$27:$F$174,$F265,'ИП + источники'!$AC$27:$AC$174,"Прибыль на капвложения")</f>
        <v>0</v>
      </c>
      <c r="AX265" s="1272">
        <f>_xlfn.SUMIFS('ИП + источники'!AY$27:AY$174,'ИП + источники'!$F$27:$F$174,$F265,'ИП + источники'!$AC$27:$AC$174,"Прибыль на капвложения")</f>
        <v>0</v>
      </c>
      <c r="AY265" s="1272">
        <f>_xlfn.SUMIFS('ИП + источники'!AZ$27:AZ$174,'ИП + источники'!$F$27:$F$174,$F265,'ИП + источники'!$AC$27:$AC$174,"Прибыль на капвложения")</f>
        <v>0</v>
      </c>
      <c r="AZ265" s="1272">
        <f>_xlfn.SUMIFS('ИП + источники'!BA$27:BA$174,'ИП + источники'!$F$27:$F$174,$F265,'ИП + источники'!$AC$27:$AC$174,"Прибыль на капвложения")</f>
        <v>0</v>
      </c>
      <c r="BA265" s="1272">
        <f>_xlfn.SUMIFS('ИП + источники'!BB$27:BB$174,'ИП + источники'!$F$27:$F$174,$F265,'ИП + источники'!$AC$27:$AC$174,"Прибыль на капвложения")</f>
        <v>0</v>
      </c>
      <c r="BB265" s="1272">
        <f>_xlfn.SUMIFS('ИП + источники'!BC$27:BC$174,'ИП + источники'!$F$27:$F$174,$F265,'ИП + источники'!$AC$27:$AC$174,"Прибыль на капвложения")</f>
        <v>0</v>
      </c>
      <c r="BC265" s="1272">
        <f>_xlfn.SUMIFS('ИП + источники'!BD$27:BD$174,'ИП + источники'!$F$27:$F$174,$F265,'ИП + источники'!$AC$27:$AC$174,"Прибыль на капвложения")</f>
        <v>0</v>
      </c>
      <c r="BD265" s="951">
        <f>IF(AI265=0,0,(AT265-AI265)/AI265*100)</f>
        <v>10.6716451027806</v>
      </c>
      <c r="BE265" s="951">
        <f>IF(AT265=0,0,(AU265-AT265)/AT265*100)</f>
        <v>-100</v>
      </c>
      <c r="BF265" s="951">
        <f>IF(AU265=0,0,(AV265-AU265)/AU265*100)</f>
        <v>0</v>
      </c>
      <c r="BG265" s="951">
        <f>IF(AV265=0,0,(AW265-AV265)/AV265*100)</f>
        <v>0</v>
      </c>
      <c r="BH265" s="951">
        <f>IF(AW265=0,0,(AX265-AW265)/AW265*100)</f>
        <v>0</v>
      </c>
      <c r="BI265" s="951">
        <f>IF(AX265=0,0,(AY265-AX265)/AX265*100)</f>
        <v>0</v>
      </c>
      <c r="BJ265" s="951">
        <f>IF(AY265=0,0,(AZ265-AY265)/AY265*100)</f>
        <v>0</v>
      </c>
      <c r="BK265" s="951">
        <f>IF(AZ265=0,0,(BA265-AZ265)/AZ265*100)</f>
        <v>0</v>
      </c>
      <c r="BL265" s="951">
        <f>IF(BA265=0,0,(BB265-BA265)/BA265*100)</f>
        <v>0</v>
      </c>
      <c r="BM265" s="951">
        <f>IF(BB265=0,0,(BC265-BB265)/BB265*100)</f>
        <v>0</v>
      </c>
      <c r="BN265" s="6532" t="s">
        <v>2513</v>
      </c>
      <c r="BO265" s="6525" t="s">
        <v>1166</v>
      </c>
      <c r="BP265" s="6533" t="s">
        <v>2514</v>
      </c>
      <c r="BQ265" s="1297"/>
      <c r="BR265" s="1297"/>
      <c r="BS265" s="1072" t="s">
        <v>2084</v>
      </c>
      <c r="BT265" s="1072"/>
      <c r="BU265" s="1072"/>
      <c r="BV265" s="987"/>
      <c r="BW265" s="987"/>
    </row>
    <row s="1656" customFormat="1" customHeight="1" ht="118.80208333333333">
      <c r="A266" s="1297"/>
      <c r="B266" s="434" cm="1" t="str">
        <f t="array" ref="B266:B266">B265</f>
        <v>true</v>
      </c>
      <c r="C266" s="1297"/>
      <c r="D266" s="1297"/>
      <c r="E266" s="709">
        <v>22.5</v>
      </c>
      <c r="F266" s="50" cm="1" t="str">
        <f t="array" ref="F266:F266">OFFSET(E266,-1,1)</f>
        <v>1</v>
      </c>
      <c r="G266" s="154" t="s">
        <v>2375</v>
      </c>
      <c r="H266" s="1297"/>
      <c r="I266" s="154" t="s">
        <v>1124</v>
      </c>
      <c r="J266" s="1297"/>
      <c r="K266" s="154" t="s">
        <v>1124</v>
      </c>
      <c r="L266" s="988" t="s">
        <v>696</v>
      </c>
      <c r="M266" s="103"/>
      <c r="N266" s="1297"/>
      <c r="O266" s="1297"/>
      <c r="P266" s="1297"/>
      <c r="Q266" s="1297"/>
      <c r="R266" s="1297"/>
      <c r="S266" s="1297"/>
      <c r="T266" s="468" cm="1" t="str">
        <f t="array" ref="T266:T266">T265</f>
        <v>true</v>
      </c>
      <c r="U266" s="1297"/>
      <c r="V266" s="1297"/>
      <c r="W266" s="1297"/>
      <c r="X266" s="1539"/>
      <c r="Y266" s="1297"/>
      <c r="Z266" s="1529"/>
      <c r="AA266" s="1297"/>
      <c r="AB266" s="295" t="s">
        <v>1125</v>
      </c>
      <c r="AC266" s="769" t="s">
        <v>2376</v>
      </c>
      <c r="AD266" s="296" t="s">
        <v>936</v>
      </c>
      <c r="AE266" s="6531">
        <v>16.9</v>
      </c>
      <c r="AF266" s="6531">
        <v>1030.85</v>
      </c>
      <c r="AG266" s="6531">
        <v>224.18</v>
      </c>
      <c r="AH266" s="951">
        <f>AG266-AF266</f>
        <v>-806.67</v>
      </c>
      <c r="AI266" s="6524">
        <v>108.43</v>
      </c>
      <c r="AJ266" s="6524">
        <v>1290.21</v>
      </c>
      <c r="AK266" s="1272"/>
      <c r="AL266" s="1272"/>
      <c r="AM266" s="1272"/>
      <c r="AN266" s="1272"/>
      <c r="AO266" s="1272"/>
      <c r="AP266" s="1272"/>
      <c r="AQ266" s="1272"/>
      <c r="AR266" s="1272"/>
      <c r="AS266" s="1272"/>
      <c r="AT266" s="6524">
        <v>256.82</v>
      </c>
      <c r="AU266" s="1272"/>
      <c r="AV266" s="1272"/>
      <c r="AW266" s="1272"/>
      <c r="AX266" s="1272"/>
      <c r="AY266" s="1272"/>
      <c r="AZ266" s="1272"/>
      <c r="BA266" s="1272"/>
      <c r="BB266" s="1272"/>
      <c r="BC266" s="1272"/>
      <c r="BD266" s="951">
        <f>IF(AI266=0,0,(AT266-AI266)/AI266*100)</f>
        <v>136.85326939039</v>
      </c>
      <c r="BE266" s="951">
        <f>IF(AT266=0,0,(AU266-AT266)/AT266*100)</f>
        <v>-100</v>
      </c>
      <c r="BF266" s="951">
        <f>IF(AU266=0,0,(AV266-AU266)/AU266*100)</f>
        <v>0</v>
      </c>
      <c r="BG266" s="951">
        <f>IF(AV266=0,0,(AW266-AV266)/AV266*100)</f>
        <v>0</v>
      </c>
      <c r="BH266" s="951">
        <f>IF(AW266=0,0,(AX266-AW266)/AW266*100)</f>
        <v>0</v>
      </c>
      <c r="BI266" s="951">
        <f>IF(AX266=0,0,(AY266-AX266)/AX266*100)</f>
        <v>0</v>
      </c>
      <c r="BJ266" s="951">
        <f>IF(AY266=0,0,(AZ266-AY266)/AY266*100)</f>
        <v>0</v>
      </c>
      <c r="BK266" s="951">
        <f>IF(AZ266=0,0,(BA266-AZ266)/AZ266*100)</f>
        <v>0</v>
      </c>
      <c r="BL266" s="951">
        <f>IF(BA266=0,0,(BB266-BA266)/BA266*100)</f>
        <v>0</v>
      </c>
      <c r="BM266" s="951">
        <f>IF(BB266=0,0,(BC266-BB266)/BB266*100)</f>
        <v>0</v>
      </c>
      <c r="BN266" s="6532" t="s">
        <v>2515</v>
      </c>
      <c r="BO266" s="6533"/>
      <c r="BP266" s="6533" t="s">
        <v>2516</v>
      </c>
      <c r="BQ266" s="1297"/>
      <c r="BR266" s="1297"/>
      <c r="BS266" s="1072" t="s">
        <v>2377</v>
      </c>
      <c r="BT266" s="1072"/>
      <c r="BU266" s="1072"/>
      <c r="BV266" s="987"/>
      <c r="BW266" s="987"/>
    </row>
    <row s="1656" customFormat="1" customHeight="1" ht="166.30208333333334">
      <c r="A267" s="1297"/>
      <c r="B267" s="434">
        <f>AND(method_reg="Метод индексации",STATUS_GO="да")</f>
        <v>0</v>
      </c>
      <c r="C267" s="1297"/>
      <c r="D267" s="1297"/>
      <c r="E267" s="709">
        <v>15</v>
      </c>
      <c r="F267" s="50" cm="1" t="str">
        <f t="array" ref="F267:F267">OFFSET(E267,-1,1)</f>
        <v>1</v>
      </c>
      <c r="G267" s="154" t="s">
        <v>2087</v>
      </c>
      <c r="H267" s="1297"/>
      <c r="I267" s="154" t="s">
        <v>616</v>
      </c>
      <c r="J267" s="1297"/>
      <c r="K267" s="154" t="s">
        <v>616</v>
      </c>
      <c r="L267" s="988" t="s">
        <v>700</v>
      </c>
      <c r="M267" s="103"/>
      <c r="N267" s="1297"/>
      <c r="O267" s="1297"/>
      <c r="P267" s="1297"/>
      <c r="Q267" s="1297"/>
      <c r="R267" s="1297"/>
      <c r="S267" s="1297"/>
      <c r="T267" s="468" cm="1" t="str">
        <f t="array" ref="T267:T267">T266</f>
        <v>true</v>
      </c>
      <c r="U267" s="1297"/>
      <c r="V267" s="1297"/>
      <c r="W267" s="1297"/>
      <c r="X267" s="1539"/>
      <c r="Y267" s="1297"/>
      <c r="Z267" s="1529"/>
      <c r="AA267" s="1297"/>
      <c r="AB267" s="295" t="s">
        <v>457</v>
      </c>
      <c r="AC267" s="454" t="s">
        <v>2087</v>
      </c>
      <c r="AD267" s="296" t="s">
        <v>936</v>
      </c>
      <c r="AE267" s="6531">
        <v>18000</v>
      </c>
      <c r="AF267" s="6531">
        <v>27014.28</v>
      </c>
      <c r="AG267" s="6531">
        <v>18000</v>
      </c>
      <c r="AH267" s="951">
        <f>AG267-AF267</f>
        <v>-9014.28</v>
      </c>
      <c r="AI267" s="6524">
        <v>1000</v>
      </c>
      <c r="AJ267" s="6524">
        <v>30949.01</v>
      </c>
      <c r="AK267" s="1272"/>
      <c r="AL267" s="1272"/>
      <c r="AM267" s="1272"/>
      <c r="AN267" s="1272"/>
      <c r="AO267" s="1272"/>
      <c r="AP267" s="1272"/>
      <c r="AQ267" s="1272"/>
      <c r="AR267" s="1272"/>
      <c r="AS267" s="1272"/>
      <c r="AT267" s="6524">
        <v>13000</v>
      </c>
      <c r="AU267" s="1272"/>
      <c r="AV267" s="1272"/>
      <c r="AW267" s="1272"/>
      <c r="AX267" s="1272"/>
      <c r="AY267" s="1272"/>
      <c r="AZ267" s="1272"/>
      <c r="BA267" s="1272"/>
      <c r="BB267" s="1272"/>
      <c r="BC267" s="1272"/>
      <c r="BD267" s="951">
        <f>IF(AI267=0,0,(AT267-AI267)/AI267*100)</f>
        <v>1200</v>
      </c>
      <c r="BE267" s="951">
        <f>IF(AT267=0,0,(AU267-AT267)/AT267*100)</f>
        <v>-100</v>
      </c>
      <c r="BF267" s="951">
        <f>IF(AU267=0,0,(AV267-AU267)/AU267*100)</f>
        <v>0</v>
      </c>
      <c r="BG267" s="951">
        <f>IF(AV267=0,0,(AW267-AV267)/AV267*100)</f>
        <v>0</v>
      </c>
      <c r="BH267" s="951">
        <f>IF(AW267=0,0,(AX267-AW267)/AW267*100)</f>
        <v>0</v>
      </c>
      <c r="BI267" s="951">
        <f>IF(AX267=0,0,(AY267-AX267)/AX267*100)</f>
        <v>0</v>
      </c>
      <c r="BJ267" s="951">
        <f>IF(AY267=0,0,(AZ267-AY267)/AY267*100)</f>
        <v>0</v>
      </c>
      <c r="BK267" s="951">
        <f>IF(AZ267=0,0,(BA267-AZ267)/AZ267*100)</f>
        <v>0</v>
      </c>
      <c r="BL267" s="951">
        <f>IF(BA267=0,0,(BB267-BA267)/BA267*100)</f>
        <v>0</v>
      </c>
      <c r="BM267" s="951">
        <f>IF(BB267=0,0,(BC267-BB267)/BB267*100)</f>
        <v>0</v>
      </c>
      <c r="BN267" s="6533" t="s">
        <v>2517</v>
      </c>
      <c r="BO267" s="6533" t="s">
        <v>2518</v>
      </c>
      <c r="BP267" s="6533" t="s">
        <v>2519</v>
      </c>
      <c r="BQ267" s="1297"/>
      <c r="BR267" s="1297"/>
      <c r="BS267" s="1072" t="s">
        <v>2088</v>
      </c>
      <c r="BT267" s="1072"/>
      <c r="BU267" s="1072"/>
      <c r="BV267" s="987"/>
      <c r="BW267" s="987"/>
    </row>
    <row s="1656" customFormat="1" customHeight="1" ht="14.25" hidden="1">
      <c r="A268" s="1297"/>
      <c r="B268" s="983">
        <f>method_reg="Метод обеспечения доходности инвестированного капитала"</f>
        <v>0</v>
      </c>
      <c r="C268" s="1297"/>
      <c r="D268" s="1297"/>
      <c r="E268" s="709">
        <v>15</v>
      </c>
      <c r="F268" s="50" cm="1" t="str">
        <f t="array" ref="F268:F268">OFFSET(E268,-1,1)</f>
        <v>1</v>
      </c>
      <c r="G268" s="1297"/>
      <c r="H268" s="1297"/>
      <c r="I268" s="1297"/>
      <c r="J268" s="1297"/>
      <c r="K268" s="103" t="s">
        <v>348</v>
      </c>
      <c r="L268" s="988"/>
      <c r="M268" s="103"/>
      <c r="N268" s="1297"/>
      <c r="O268" s="1297"/>
      <c r="P268" s="1297"/>
      <c r="Q268" s="1297"/>
      <c r="R268" s="1297"/>
      <c r="S268" s="1297"/>
      <c r="T268" s="468" cm="1" t="str">
        <f t="array" ref="T268:T268">T267</f>
        <v>true</v>
      </c>
      <c r="U268" s="1297"/>
      <c r="V268" s="1297"/>
      <c r="W268" s="1297"/>
      <c r="X268" s="1539"/>
      <c r="Y268" s="1297"/>
      <c r="Z268" s="1529"/>
      <c r="AA268" s="1297"/>
      <c r="AB268" s="799" t="s">
        <v>451</v>
      </c>
      <c r="AC268" s="800" t="s">
        <v>2378</v>
      </c>
      <c r="AD268" s="801" t="s">
        <v>936</v>
      </c>
      <c r="AE268" s="1265"/>
      <c r="AF268" s="1265"/>
      <c r="AG268" s="1265"/>
      <c r="AH268" s="768">
        <f>AG268-AF268</f>
        <v>0</v>
      </c>
      <c r="AI268" s="1265"/>
      <c r="AJ268" s="1265"/>
      <c r="AK268" s="1265"/>
      <c r="AL268" s="1265"/>
      <c r="AM268" s="1265"/>
      <c r="AN268" s="1265"/>
      <c r="AO268" s="1265"/>
      <c r="AP268" s="1265"/>
      <c r="AQ268" s="1265"/>
      <c r="AR268" s="1265"/>
      <c r="AS268" s="1265"/>
      <c r="AT268" s="1265"/>
      <c r="AU268" s="1265"/>
      <c r="AV268" s="1265"/>
      <c r="AW268" s="1265"/>
      <c r="AX268" s="1265"/>
      <c r="AY268" s="1265"/>
      <c r="AZ268" s="1265"/>
      <c r="BA268" s="1265"/>
      <c r="BB268" s="1265"/>
      <c r="BC268" s="1265"/>
      <c r="BD268" s="768">
        <f>IF(AI268=0,0,(AT268-AI268)/AI268*100)</f>
        <v>0</v>
      </c>
      <c r="BE268" s="768">
        <f>IF(AT268=0,0,(AU268-AT268)/AT268*100)</f>
        <v>0</v>
      </c>
      <c r="BF268" s="768">
        <f>IF(AU268=0,0,(AV268-AU268)/AU268*100)</f>
        <v>0</v>
      </c>
      <c r="BG268" s="768">
        <f>IF(AV268=0,0,(AW268-AV268)/AV268*100)</f>
        <v>0</v>
      </c>
      <c r="BH268" s="768">
        <f>IF(AW268=0,0,(AX268-AW268)/AW268*100)</f>
        <v>0</v>
      </c>
      <c r="BI268" s="768">
        <f>IF(AX268=0,0,(AY268-AX268)/AX268*100)</f>
        <v>0</v>
      </c>
      <c r="BJ268" s="768">
        <f>IF(AY268=0,0,(AZ268-AY268)/AY268*100)</f>
        <v>0</v>
      </c>
      <c r="BK268" s="768">
        <f>IF(AZ268=0,0,(BA268-AZ268)/AZ268*100)</f>
        <v>0</v>
      </c>
      <c r="BL268" s="768">
        <f>IF(BA268=0,0,(BB268-BA268)/BA268*100)</f>
        <v>0</v>
      </c>
      <c r="BM268" s="768">
        <f>IF(BB268=0,0,(BC268-BB268)/BB268*100)</f>
        <v>0</v>
      </c>
      <c r="BN268" s="1266"/>
      <c r="BO268" s="1266"/>
      <c r="BP268" s="1266"/>
      <c r="BQ268" s="1297"/>
      <c r="BR268" s="1297"/>
      <c r="BS268" s="1072" t="s">
        <v>2379</v>
      </c>
      <c r="BT268" s="1072"/>
      <c r="BU268" s="1072"/>
      <c r="BV268" s="987"/>
      <c r="BW268" s="987"/>
    </row>
    <row s="1656" customFormat="1" customHeight="1" ht="14.25" hidden="1">
      <c r="A269" s="1297"/>
      <c r="B269" s="983" cm="1" t="str">
        <f t="array" ref="B269:B269">B268</f>
        <v>false</v>
      </c>
      <c r="C269" s="1297"/>
      <c r="D269" s="1297"/>
      <c r="E269" s="709">
        <v>15</v>
      </c>
      <c r="F269" s="50" cm="1" t="str">
        <f t="array" ref="F269:F269">OFFSET(E269,-1,1)</f>
        <v>1</v>
      </c>
      <c r="G269" s="1297"/>
      <c r="H269" s="1297"/>
      <c r="I269" s="1297"/>
      <c r="J269" s="1297"/>
      <c r="K269" s="103" t="s">
        <v>659</v>
      </c>
      <c r="L269" s="988"/>
      <c r="M269" s="103"/>
      <c r="N269" s="1297"/>
      <c r="O269" s="1297"/>
      <c r="P269" s="1297"/>
      <c r="Q269" s="1297"/>
      <c r="R269" s="1297"/>
      <c r="S269" s="1297"/>
      <c r="T269" s="468" cm="1" t="str">
        <f t="array" ref="T269:T269">T268</f>
        <v>true</v>
      </c>
      <c r="U269" s="1297"/>
      <c r="V269" s="1297"/>
      <c r="W269" s="1297"/>
      <c r="X269" s="1539"/>
      <c r="Y269" s="1297"/>
      <c r="Z269" s="1529"/>
      <c r="AA269" s="1297"/>
      <c r="AB269" s="802" t="s">
        <v>794</v>
      </c>
      <c r="AC269" s="803" t="s">
        <v>2380</v>
      </c>
      <c r="AD269" s="804" t="s">
        <v>936</v>
      </c>
      <c r="AE269" s="1272"/>
      <c r="AF269" s="1272"/>
      <c r="AG269" s="1272"/>
      <c r="AH269" s="950"/>
      <c r="AI269" s="1272"/>
      <c r="AJ269" s="1272"/>
      <c r="AK269" s="1272"/>
      <c r="AL269" s="1272"/>
      <c r="AM269" s="1272"/>
      <c r="AN269" s="1272"/>
      <c r="AO269" s="1272"/>
      <c r="AP269" s="1272"/>
      <c r="AQ269" s="1272"/>
      <c r="AR269" s="1272"/>
      <c r="AS269" s="1272"/>
      <c r="AT269" s="1272"/>
      <c r="AU269" s="1272"/>
      <c r="AV269" s="1272"/>
      <c r="AW269" s="1272"/>
      <c r="AX269" s="1272"/>
      <c r="AY269" s="1272"/>
      <c r="AZ269" s="1272"/>
      <c r="BA269" s="1272"/>
      <c r="BB269" s="1272"/>
      <c r="BC269" s="1272"/>
      <c r="BD269" s="950"/>
      <c r="BE269" s="950"/>
      <c r="BF269" s="950"/>
      <c r="BG269" s="950"/>
      <c r="BH269" s="950"/>
      <c r="BI269" s="950"/>
      <c r="BJ269" s="950"/>
      <c r="BK269" s="950"/>
      <c r="BL269" s="950"/>
      <c r="BM269" s="950"/>
      <c r="BN269" s="1270"/>
      <c r="BO269" s="1270"/>
      <c r="BP269" s="1270"/>
      <c r="BQ269" s="1297"/>
      <c r="BR269" s="1297"/>
      <c r="BS269" s="1072" t="s">
        <v>2381</v>
      </c>
      <c r="BT269" s="1072"/>
      <c r="BU269" s="1072"/>
      <c r="BV269" s="987"/>
      <c r="BW269" s="987"/>
    </row>
    <row s="1656" customFormat="1" customHeight="1" ht="14.25" hidden="1">
      <c r="A270" s="1297"/>
      <c r="B270" s="983" cm="1" t="str">
        <f t="array" ref="B270:B270">B269</f>
        <v>false</v>
      </c>
      <c r="C270" s="1297"/>
      <c r="D270" s="1297"/>
      <c r="E270" s="709">
        <v>15</v>
      </c>
      <c r="F270" s="50" cm="1" t="str">
        <f t="array" ref="F270:F270">OFFSET(E270,-1,1)</f>
        <v>1</v>
      </c>
      <c r="G270" s="1297"/>
      <c r="H270" s="1297"/>
      <c r="I270" s="1297"/>
      <c r="J270" s="1297"/>
      <c r="K270" s="103" t="s">
        <v>663</v>
      </c>
      <c r="L270" s="988"/>
      <c r="M270" s="103"/>
      <c r="N270" s="1297"/>
      <c r="O270" s="1297"/>
      <c r="P270" s="1297"/>
      <c r="Q270" s="1297"/>
      <c r="R270" s="1297"/>
      <c r="S270" s="1297"/>
      <c r="T270" s="468" cm="1" t="str">
        <f t="array" ref="T270:T270">T269</f>
        <v>true</v>
      </c>
      <c r="U270" s="1297"/>
      <c r="V270" s="1297"/>
      <c r="W270" s="1297"/>
      <c r="X270" s="1539"/>
      <c r="Y270" s="1297"/>
      <c r="Z270" s="1529"/>
      <c r="AA270" s="1297"/>
      <c r="AB270" s="802" t="s">
        <v>797</v>
      </c>
      <c r="AC270" s="803" t="s">
        <v>2382</v>
      </c>
      <c r="AD270" s="804" t="s">
        <v>2383</v>
      </c>
      <c r="AE270" s="1272"/>
      <c r="AF270" s="1272"/>
      <c r="AG270" s="1272"/>
      <c r="AH270" s="950"/>
      <c r="AI270" s="1272"/>
      <c r="AJ270" s="1272"/>
      <c r="AK270" s="1272"/>
      <c r="AL270" s="1272"/>
      <c r="AM270" s="1272"/>
      <c r="AN270" s="1272"/>
      <c r="AO270" s="1272"/>
      <c r="AP270" s="1272"/>
      <c r="AQ270" s="1272"/>
      <c r="AR270" s="1272"/>
      <c r="AS270" s="1272"/>
      <c r="AT270" s="1272"/>
      <c r="AU270" s="1272"/>
      <c r="AV270" s="1272"/>
      <c r="AW270" s="1272"/>
      <c r="AX270" s="1272"/>
      <c r="AY270" s="1272"/>
      <c r="AZ270" s="1272"/>
      <c r="BA270" s="1272"/>
      <c r="BB270" s="1272"/>
      <c r="BC270" s="1272"/>
      <c r="BD270" s="950"/>
      <c r="BE270" s="950"/>
      <c r="BF270" s="950"/>
      <c r="BG270" s="950"/>
      <c r="BH270" s="950"/>
      <c r="BI270" s="950"/>
      <c r="BJ270" s="950"/>
      <c r="BK270" s="950"/>
      <c r="BL270" s="950"/>
      <c r="BM270" s="950"/>
      <c r="BN270" s="1270"/>
      <c r="BO270" s="1270"/>
      <c r="BP270" s="1270"/>
      <c r="BQ270" s="1297"/>
      <c r="BR270" s="1297"/>
      <c r="BS270" s="1072" t="s">
        <v>2384</v>
      </c>
      <c r="BT270" s="1072"/>
      <c r="BU270" s="1072"/>
      <c r="BV270" s="987"/>
      <c r="BW270" s="987"/>
    </row>
    <row s="1656" customFormat="1" customHeight="1" ht="14.25" hidden="1">
      <c r="A271" s="1297"/>
      <c r="B271" s="983" cm="1" t="str">
        <f t="array" ref="B271:B271">B270</f>
        <v>false</v>
      </c>
      <c r="C271" s="1297"/>
      <c r="D271" s="1297"/>
      <c r="E271" s="709">
        <v>15</v>
      </c>
      <c r="F271" s="50" cm="1" t="str">
        <f t="array" ref="F271:F271">OFFSET(E271,-1,1)</f>
        <v>1</v>
      </c>
      <c r="G271" s="1297"/>
      <c r="H271" s="1297"/>
      <c r="I271" s="1297"/>
      <c r="J271" s="1297"/>
      <c r="K271" s="103" t="s">
        <v>347</v>
      </c>
      <c r="L271" s="988"/>
      <c r="M271" s="103"/>
      <c r="N271" s="1297"/>
      <c r="O271" s="1297"/>
      <c r="P271" s="1297"/>
      <c r="Q271" s="1297"/>
      <c r="R271" s="1297"/>
      <c r="S271" s="1297"/>
      <c r="T271" s="468" cm="1" t="str">
        <f t="array" ref="T271:T271">T270</f>
        <v>true</v>
      </c>
      <c r="U271" s="1297"/>
      <c r="V271" s="1297"/>
      <c r="W271" s="1297"/>
      <c r="X271" s="1539"/>
      <c r="Y271" s="1297"/>
      <c r="Z271" s="1529"/>
      <c r="AA271" s="1297"/>
      <c r="AB271" s="799" t="s">
        <v>454</v>
      </c>
      <c r="AC271" s="800" t="s">
        <v>2385</v>
      </c>
      <c r="AD271" s="801" t="s">
        <v>936</v>
      </c>
      <c r="AE271" s="1265"/>
      <c r="AF271" s="1265"/>
      <c r="AG271" s="1265"/>
      <c r="AH271" s="768">
        <f>AG271-AF271</f>
        <v>0</v>
      </c>
      <c r="AI271" s="1265"/>
      <c r="AJ271" s="1265"/>
      <c r="AK271" s="1265"/>
      <c r="AL271" s="1265"/>
      <c r="AM271" s="1265"/>
      <c r="AN271" s="1265"/>
      <c r="AO271" s="1265"/>
      <c r="AP271" s="1265"/>
      <c r="AQ271" s="1265"/>
      <c r="AR271" s="1265"/>
      <c r="AS271" s="1265"/>
      <c r="AT271" s="1265"/>
      <c r="AU271" s="1265"/>
      <c r="AV271" s="1265"/>
      <c r="AW271" s="1265"/>
      <c r="AX271" s="1265"/>
      <c r="AY271" s="1265"/>
      <c r="AZ271" s="1265"/>
      <c r="BA271" s="1265"/>
      <c r="BB271" s="1265"/>
      <c r="BC271" s="1265"/>
      <c r="BD271" s="768">
        <f>IF(AI271=0,0,(AT271-AI271)/AI271*100)</f>
        <v>0</v>
      </c>
      <c r="BE271" s="768">
        <f>IF(AT271=0,0,(AU271-AT271)/AT271*100)</f>
        <v>0</v>
      </c>
      <c r="BF271" s="768">
        <f>IF(AU271=0,0,(AV271-AU271)/AU271*100)</f>
        <v>0</v>
      </c>
      <c r="BG271" s="768">
        <f>IF(AV271=0,0,(AW271-AV271)/AV271*100)</f>
        <v>0</v>
      </c>
      <c r="BH271" s="768">
        <f>IF(AW271=0,0,(AX271-AW271)/AW271*100)</f>
        <v>0</v>
      </c>
      <c r="BI271" s="768">
        <f>IF(AX271=0,0,(AY271-AX271)/AX271*100)</f>
        <v>0</v>
      </c>
      <c r="BJ271" s="768">
        <f>IF(AY271=0,0,(AZ271-AY271)/AY271*100)</f>
        <v>0</v>
      </c>
      <c r="BK271" s="768">
        <f>IF(AZ271=0,0,(BA271-AZ271)/AZ271*100)</f>
        <v>0</v>
      </c>
      <c r="BL271" s="768">
        <f>IF(BA271=0,0,(BB271-BA271)/BA271*100)</f>
        <v>0</v>
      </c>
      <c r="BM271" s="768">
        <f>IF(BB271=0,0,(BC271-BB271)/BB271*100)</f>
        <v>0</v>
      </c>
      <c r="BN271" s="1266"/>
      <c r="BO271" s="1266"/>
      <c r="BP271" s="1266"/>
      <c r="BQ271" s="1297"/>
      <c r="BR271" s="1297"/>
      <c r="BS271" s="1072" t="s">
        <v>2386</v>
      </c>
      <c r="BT271" s="1072"/>
      <c r="BU271" s="1072"/>
      <c r="BV271" s="987"/>
      <c r="BW271" s="987"/>
    </row>
    <row s="1656" customFormat="1" customHeight="1" ht="14.25" hidden="1">
      <c r="A272" s="1297"/>
      <c r="B272" s="983" cm="1" t="str">
        <f t="array" ref="B272:B272">B271</f>
        <v>false</v>
      </c>
      <c r="C272" s="1297"/>
      <c r="D272" s="1297"/>
      <c r="E272" s="709">
        <v>15</v>
      </c>
      <c r="F272" s="50" cm="1" t="str">
        <f t="array" ref="F272:F272">OFFSET(E272,-1,1)</f>
        <v>1</v>
      </c>
      <c r="G272" s="1297"/>
      <c r="H272" s="1297"/>
      <c r="I272" s="1297"/>
      <c r="J272" s="1297"/>
      <c r="K272" s="103" t="s">
        <v>673</v>
      </c>
      <c r="L272" s="988"/>
      <c r="M272" s="103"/>
      <c r="N272" s="1297"/>
      <c r="O272" s="1297"/>
      <c r="P272" s="1297"/>
      <c r="Q272" s="1297"/>
      <c r="R272" s="1297"/>
      <c r="S272" s="1297"/>
      <c r="T272" s="468" cm="1" t="str">
        <f t="array" ref="T272:T272">T271</f>
        <v>true</v>
      </c>
      <c r="U272" s="1297"/>
      <c r="V272" s="1297"/>
      <c r="W272" s="1297"/>
      <c r="X272" s="1539"/>
      <c r="Y272" s="1297"/>
      <c r="Z272" s="1529"/>
      <c r="AA272" s="1297"/>
      <c r="AB272" s="802" t="s">
        <v>801</v>
      </c>
      <c r="AC272" s="803" t="s">
        <v>2387</v>
      </c>
      <c r="AD272" s="804" t="s">
        <v>936</v>
      </c>
      <c r="AE272" s="1272"/>
      <c r="AF272" s="1272"/>
      <c r="AG272" s="1272"/>
      <c r="AH272" s="950"/>
      <c r="AI272" s="1272"/>
      <c r="AJ272" s="1272"/>
      <c r="AK272" s="1272"/>
      <c r="AL272" s="1272"/>
      <c r="AM272" s="1272"/>
      <c r="AN272" s="1272"/>
      <c r="AO272" s="1272"/>
      <c r="AP272" s="1272"/>
      <c r="AQ272" s="1272"/>
      <c r="AR272" s="1272"/>
      <c r="AS272" s="1272"/>
      <c r="AT272" s="1272"/>
      <c r="AU272" s="1272"/>
      <c r="AV272" s="1272"/>
      <c r="AW272" s="1272"/>
      <c r="AX272" s="1272"/>
      <c r="AY272" s="1272"/>
      <c r="AZ272" s="1272"/>
      <c r="BA272" s="1272"/>
      <c r="BB272" s="1272"/>
      <c r="BC272" s="1272"/>
      <c r="BD272" s="950"/>
      <c r="BE272" s="950"/>
      <c r="BF272" s="950"/>
      <c r="BG272" s="950"/>
      <c r="BH272" s="950"/>
      <c r="BI272" s="950"/>
      <c r="BJ272" s="950"/>
      <c r="BK272" s="950"/>
      <c r="BL272" s="950"/>
      <c r="BM272" s="950"/>
      <c r="BN272" s="1270"/>
      <c r="BO272" s="1270"/>
      <c r="BP272" s="1270"/>
      <c r="BQ272" s="1297"/>
      <c r="BR272" s="1297"/>
      <c r="BS272" s="1072" t="s">
        <v>2388</v>
      </c>
      <c r="BT272" s="1072"/>
      <c r="BU272" s="1072"/>
      <c r="BV272" s="987"/>
      <c r="BW272" s="987"/>
    </row>
    <row s="1656" customFormat="1" customHeight="1" ht="14.25" hidden="1">
      <c r="A273" s="1297"/>
      <c r="B273" s="983" cm="1" t="str">
        <f t="array" ref="B273:B273">B272</f>
        <v>false</v>
      </c>
      <c r="C273" s="1297"/>
      <c r="D273" s="1297"/>
      <c r="E273" s="709">
        <v>15</v>
      </c>
      <c r="F273" s="50" cm="1" t="str">
        <f t="array" ref="F273:F273">OFFSET(E273,-1,1)</f>
        <v>1</v>
      </c>
      <c r="G273" s="1297"/>
      <c r="H273" s="1297"/>
      <c r="I273" s="1297"/>
      <c r="J273" s="1297"/>
      <c r="K273" s="103" t="s">
        <v>677</v>
      </c>
      <c r="L273" s="988"/>
      <c r="M273" s="103"/>
      <c r="N273" s="1297"/>
      <c r="O273" s="1297"/>
      <c r="P273" s="1297"/>
      <c r="Q273" s="1297"/>
      <c r="R273" s="1297"/>
      <c r="S273" s="1297"/>
      <c r="T273" s="468" cm="1" t="str">
        <f t="array" ref="T273:T273">T272</f>
        <v>true</v>
      </c>
      <c r="U273" s="1297"/>
      <c r="V273" s="1297"/>
      <c r="W273" s="1297"/>
      <c r="X273" s="1539"/>
      <c r="Y273" s="1297"/>
      <c r="Z273" s="1529"/>
      <c r="AA273" s="1297"/>
      <c r="AB273" s="802" t="s">
        <v>804</v>
      </c>
      <c r="AC273" s="803" t="s">
        <v>2389</v>
      </c>
      <c r="AD273" s="804" t="s">
        <v>561</v>
      </c>
      <c r="AE273" s="1272"/>
      <c r="AF273" s="1272"/>
      <c r="AG273" s="1272"/>
      <c r="AH273" s="950"/>
      <c r="AI273" s="1272"/>
      <c r="AJ273" s="1272"/>
      <c r="AK273" s="1272"/>
      <c r="AL273" s="1272"/>
      <c r="AM273" s="1272"/>
      <c r="AN273" s="1272"/>
      <c r="AO273" s="1272"/>
      <c r="AP273" s="1272"/>
      <c r="AQ273" s="1272"/>
      <c r="AR273" s="1272"/>
      <c r="AS273" s="1272"/>
      <c r="AT273" s="1272"/>
      <c r="AU273" s="1272"/>
      <c r="AV273" s="1272"/>
      <c r="AW273" s="1272"/>
      <c r="AX273" s="1272"/>
      <c r="AY273" s="1272"/>
      <c r="AZ273" s="1272"/>
      <c r="BA273" s="1272"/>
      <c r="BB273" s="1272"/>
      <c r="BC273" s="1272"/>
      <c r="BD273" s="950"/>
      <c r="BE273" s="950"/>
      <c r="BF273" s="950"/>
      <c r="BG273" s="950"/>
      <c r="BH273" s="950"/>
      <c r="BI273" s="950"/>
      <c r="BJ273" s="950"/>
      <c r="BK273" s="950"/>
      <c r="BL273" s="950"/>
      <c r="BM273" s="950"/>
      <c r="BN273" s="1270"/>
      <c r="BO273" s="1270"/>
      <c r="BP273" s="1270"/>
      <c r="BQ273" s="1297"/>
      <c r="BR273" s="1297"/>
      <c r="BS273" s="1072" t="s">
        <v>2390</v>
      </c>
      <c r="BT273" s="1072"/>
      <c r="BU273" s="1072"/>
      <c r="BV273" s="987"/>
      <c r="BW273" s="987"/>
    </row>
    <row s="1656" customFormat="1" customHeight="1" ht="14.25" hidden="1">
      <c r="A274" s="1297"/>
      <c r="B274" s="983" cm="1" t="str">
        <f t="array" ref="B274:B274">B273</f>
        <v>false</v>
      </c>
      <c r="C274" s="1297"/>
      <c r="D274" s="1297"/>
      <c r="E274" s="709">
        <v>15</v>
      </c>
      <c r="F274" s="50" cm="1" t="str">
        <f t="array" ref="F274:F274">OFFSET(E274,-1,1)</f>
        <v>1</v>
      </c>
      <c r="G274" s="1297"/>
      <c r="H274" s="1297"/>
      <c r="I274" s="1297"/>
      <c r="J274" s="1297"/>
      <c r="K274" s="103" t="s">
        <v>889</v>
      </c>
      <c r="L274" s="988"/>
      <c r="M274" s="103"/>
      <c r="N274" s="1297"/>
      <c r="O274" s="1297"/>
      <c r="P274" s="1297"/>
      <c r="Q274" s="1297"/>
      <c r="R274" s="1297"/>
      <c r="S274" s="1297"/>
      <c r="T274" s="468" cm="1" t="str">
        <f t="array" ref="T274:T274">T273</f>
        <v>true</v>
      </c>
      <c r="U274" s="1297"/>
      <c r="V274" s="1297"/>
      <c r="W274" s="1297"/>
      <c r="X274" s="1539"/>
      <c r="Y274" s="1297"/>
      <c r="Z274" s="1529"/>
      <c r="AA274" s="1297"/>
      <c r="AB274" s="802" t="s">
        <v>1122</v>
      </c>
      <c r="AC274" s="803" t="s">
        <v>2391</v>
      </c>
      <c r="AD274" s="804" t="s">
        <v>936</v>
      </c>
      <c r="AE274" s="1272"/>
      <c r="AF274" s="1272"/>
      <c r="AG274" s="1272"/>
      <c r="AH274" s="950"/>
      <c r="AI274" s="1272"/>
      <c r="AJ274" s="1272"/>
      <c r="AK274" s="1272"/>
      <c r="AL274" s="1272"/>
      <c r="AM274" s="1272"/>
      <c r="AN274" s="1272"/>
      <c r="AO274" s="1272"/>
      <c r="AP274" s="1272"/>
      <c r="AQ274" s="1272"/>
      <c r="AR274" s="1272"/>
      <c r="AS274" s="1272"/>
      <c r="AT274" s="1272"/>
      <c r="AU274" s="1272"/>
      <c r="AV274" s="1272"/>
      <c r="AW274" s="1272"/>
      <c r="AX274" s="1272"/>
      <c r="AY274" s="1272"/>
      <c r="AZ274" s="1272"/>
      <c r="BA274" s="1272"/>
      <c r="BB274" s="1272"/>
      <c r="BC274" s="1272"/>
      <c r="BD274" s="950"/>
      <c r="BE274" s="950"/>
      <c r="BF274" s="950"/>
      <c r="BG274" s="950"/>
      <c r="BH274" s="950"/>
      <c r="BI274" s="950"/>
      <c r="BJ274" s="950"/>
      <c r="BK274" s="950"/>
      <c r="BL274" s="950"/>
      <c r="BM274" s="950"/>
      <c r="BN274" s="1270"/>
      <c r="BO274" s="1270"/>
      <c r="BP274" s="1270"/>
      <c r="BQ274" s="1297"/>
      <c r="BR274" s="1297"/>
      <c r="BS274" s="1072" t="s">
        <v>2392</v>
      </c>
      <c r="BT274" s="1072"/>
      <c r="BU274" s="1072"/>
      <c r="BV274" s="987"/>
      <c r="BW274" s="987"/>
    </row>
    <row s="1656" customFormat="1" customHeight="1" ht="14.25" hidden="1">
      <c r="A275" s="1297"/>
      <c r="B275" s="983" cm="1" t="str">
        <f t="array" ref="B275:B275">B274</f>
        <v>false</v>
      </c>
      <c r="C275" s="1297"/>
      <c r="D275" s="1297"/>
      <c r="E275" s="709">
        <v>15</v>
      </c>
      <c r="F275" s="50" cm="1" t="str">
        <f t="array" ref="F275:F275">OFFSET(E275,-1,1)</f>
        <v>1</v>
      </c>
      <c r="G275" s="1297"/>
      <c r="H275" s="1297"/>
      <c r="I275" s="1297"/>
      <c r="J275" s="1297"/>
      <c r="K275" s="103" t="s">
        <v>1124</v>
      </c>
      <c r="L275" s="988"/>
      <c r="M275" s="103"/>
      <c r="N275" s="1297"/>
      <c r="O275" s="1297"/>
      <c r="P275" s="1297"/>
      <c r="Q275" s="1297"/>
      <c r="R275" s="1297"/>
      <c r="S275" s="1297"/>
      <c r="T275" s="468" cm="1" t="str">
        <f t="array" ref="T275:T275">T274</f>
        <v>true</v>
      </c>
      <c r="U275" s="1297"/>
      <c r="V275" s="1297"/>
      <c r="W275" s="1297"/>
      <c r="X275" s="1539"/>
      <c r="Y275" s="1297"/>
      <c r="Z275" s="1529"/>
      <c r="AA275" s="1297"/>
      <c r="AB275" s="802" t="s">
        <v>1125</v>
      </c>
      <c r="AC275" s="803" t="s">
        <v>2393</v>
      </c>
      <c r="AD275" s="804" t="s">
        <v>936</v>
      </c>
      <c r="AE275" s="1272"/>
      <c r="AF275" s="1272"/>
      <c r="AG275" s="1272"/>
      <c r="AH275" s="950"/>
      <c r="AI275" s="1272"/>
      <c r="AJ275" s="1272"/>
      <c r="AK275" s="1272"/>
      <c r="AL275" s="1272"/>
      <c r="AM275" s="1272"/>
      <c r="AN275" s="1272"/>
      <c r="AO275" s="1272"/>
      <c r="AP275" s="1272"/>
      <c r="AQ275" s="1272"/>
      <c r="AR275" s="1272"/>
      <c r="AS275" s="1272"/>
      <c r="AT275" s="1272"/>
      <c r="AU275" s="1272"/>
      <c r="AV275" s="1272"/>
      <c r="AW275" s="1272"/>
      <c r="AX275" s="1272"/>
      <c r="AY275" s="1272"/>
      <c r="AZ275" s="1272"/>
      <c r="BA275" s="1272"/>
      <c r="BB275" s="1272"/>
      <c r="BC275" s="1272"/>
      <c r="BD275" s="950"/>
      <c r="BE275" s="950"/>
      <c r="BF275" s="950"/>
      <c r="BG275" s="950"/>
      <c r="BH275" s="950"/>
      <c r="BI275" s="950"/>
      <c r="BJ275" s="950"/>
      <c r="BK275" s="950"/>
      <c r="BL275" s="950"/>
      <c r="BM275" s="950"/>
      <c r="BN275" s="1270"/>
      <c r="BO275" s="1270"/>
      <c r="BP275" s="1270"/>
      <c r="BQ275" s="1297"/>
      <c r="BR275" s="1297"/>
      <c r="BS275" s="1072" t="s">
        <v>2394</v>
      </c>
      <c r="BT275" s="1072"/>
      <c r="BU275" s="1072"/>
      <c r="BV275" s="987"/>
      <c r="BW275" s="987"/>
    </row>
    <row s="1656" customFormat="1" customHeight="1" ht="14.25" hidden="1">
      <c r="A276" s="1297"/>
      <c r="B276" s="983" cm="1" t="str">
        <f t="array" ref="B276:B276">B275</f>
        <v>false</v>
      </c>
      <c r="C276" s="1297"/>
      <c r="D276" s="1297"/>
      <c r="E276" s="709">
        <v>15</v>
      </c>
      <c r="F276" s="50" cm="1" t="str">
        <f t="array" ref="F276:F276">OFFSET(E276,-1,1)</f>
        <v>1</v>
      </c>
      <c r="G276" s="1297"/>
      <c r="H276" s="1297"/>
      <c r="I276" s="1297"/>
      <c r="J276" s="1297"/>
      <c r="K276" s="103" t="s">
        <v>2395</v>
      </c>
      <c r="L276" s="988"/>
      <c r="M276" s="103"/>
      <c r="N276" s="1297"/>
      <c r="O276" s="1297"/>
      <c r="P276" s="1297"/>
      <c r="Q276" s="1297"/>
      <c r="R276" s="1297"/>
      <c r="S276" s="1297"/>
      <c r="T276" s="468" cm="1" t="str">
        <f t="array" ref="T276:T276">T275</f>
        <v>true</v>
      </c>
      <c r="U276" s="1297"/>
      <c r="V276" s="1297"/>
      <c r="W276" s="1297"/>
      <c r="X276" s="1539"/>
      <c r="Y276" s="1297"/>
      <c r="Z276" s="1529"/>
      <c r="AA276" s="1297"/>
      <c r="AB276" s="802" t="s">
        <v>2396</v>
      </c>
      <c r="AC276" s="805" t="s">
        <v>2397</v>
      </c>
      <c r="AD276" s="804" t="s">
        <v>561</v>
      </c>
      <c r="AE276" s="1272"/>
      <c r="AF276" s="1272"/>
      <c r="AG276" s="1272"/>
      <c r="AH276" s="950"/>
      <c r="AI276" s="1272"/>
      <c r="AJ276" s="1272"/>
      <c r="AK276" s="1272"/>
      <c r="AL276" s="1272"/>
      <c r="AM276" s="1272"/>
      <c r="AN276" s="1272"/>
      <c r="AO276" s="1272"/>
      <c r="AP276" s="1272"/>
      <c r="AQ276" s="1272"/>
      <c r="AR276" s="1272"/>
      <c r="AS276" s="1272"/>
      <c r="AT276" s="1272"/>
      <c r="AU276" s="1272"/>
      <c r="AV276" s="1272"/>
      <c r="AW276" s="1272"/>
      <c r="AX276" s="1272"/>
      <c r="AY276" s="1272"/>
      <c r="AZ276" s="1272"/>
      <c r="BA276" s="1272"/>
      <c r="BB276" s="1272"/>
      <c r="BC276" s="1272"/>
      <c r="BD276" s="950"/>
      <c r="BE276" s="950"/>
      <c r="BF276" s="950"/>
      <c r="BG276" s="950"/>
      <c r="BH276" s="950"/>
      <c r="BI276" s="950"/>
      <c r="BJ276" s="950"/>
      <c r="BK276" s="950"/>
      <c r="BL276" s="950"/>
      <c r="BM276" s="950"/>
      <c r="BN276" s="1270"/>
      <c r="BO276" s="1270"/>
      <c r="BP276" s="1270"/>
      <c r="BQ276" s="1297"/>
      <c r="BR276" s="1297"/>
      <c r="BS276" s="1072" t="s">
        <v>2398</v>
      </c>
      <c r="BT276" s="1072"/>
      <c r="BU276" s="1072"/>
      <c r="BV276" s="987"/>
      <c r="BW276" s="987"/>
    </row>
    <row s="1656" customFormat="1" customHeight="1" ht="14.25" hidden="1">
      <c r="A277" s="1297"/>
      <c r="B277" s="983" cm="1" t="str">
        <f t="array" ref="B277:B277">B276</f>
        <v>false</v>
      </c>
      <c r="C277" s="1297"/>
      <c r="D277" s="1297"/>
      <c r="E277" s="709">
        <v>15</v>
      </c>
      <c r="F277" s="50" cm="1" t="str">
        <f t="array" ref="F277:F277">OFFSET(E277,-1,1)</f>
        <v>1</v>
      </c>
      <c r="G277" s="1297"/>
      <c r="H277" s="1297"/>
      <c r="I277" s="1297"/>
      <c r="J277" s="1297"/>
      <c r="K277" s="103" t="s">
        <v>1127</v>
      </c>
      <c r="L277" s="988"/>
      <c r="M277" s="103"/>
      <c r="N277" s="1297"/>
      <c r="O277" s="1297"/>
      <c r="P277" s="1297"/>
      <c r="Q277" s="1297"/>
      <c r="R277" s="1297"/>
      <c r="S277" s="1297"/>
      <c r="T277" s="468" cm="1" t="str">
        <f t="array" ref="T277:T277">T276</f>
        <v>true</v>
      </c>
      <c r="U277" s="1297"/>
      <c r="V277" s="1297"/>
      <c r="W277" s="1297"/>
      <c r="X277" s="1539"/>
      <c r="Y277" s="1297"/>
      <c r="Z277" s="1529"/>
      <c r="AA277" s="1297"/>
      <c r="AB277" s="802" t="s">
        <v>1128</v>
      </c>
      <c r="AC277" s="803" t="s">
        <v>2399</v>
      </c>
      <c r="AD277" s="804" t="s">
        <v>561</v>
      </c>
      <c r="AE277" s="1272"/>
      <c r="AF277" s="1272"/>
      <c r="AG277" s="1272"/>
      <c r="AH277" s="950"/>
      <c r="AI277" s="1272"/>
      <c r="AJ277" s="1272"/>
      <c r="AK277" s="1272"/>
      <c r="AL277" s="1272"/>
      <c r="AM277" s="1272"/>
      <c r="AN277" s="1272"/>
      <c r="AO277" s="1272"/>
      <c r="AP277" s="1272"/>
      <c r="AQ277" s="1272"/>
      <c r="AR277" s="1272"/>
      <c r="AS277" s="1272"/>
      <c r="AT277" s="1272"/>
      <c r="AU277" s="1272"/>
      <c r="AV277" s="1272"/>
      <c r="AW277" s="1272"/>
      <c r="AX277" s="1272"/>
      <c r="AY277" s="1272"/>
      <c r="AZ277" s="1272"/>
      <c r="BA277" s="1272"/>
      <c r="BB277" s="1272"/>
      <c r="BC277" s="1272"/>
      <c r="BD277" s="950"/>
      <c r="BE277" s="950"/>
      <c r="BF277" s="950"/>
      <c r="BG277" s="950"/>
      <c r="BH277" s="950"/>
      <c r="BI277" s="950"/>
      <c r="BJ277" s="950"/>
      <c r="BK277" s="950"/>
      <c r="BL277" s="950"/>
      <c r="BM277" s="950"/>
      <c r="BN277" s="1270"/>
      <c r="BO277" s="1270"/>
      <c r="BP277" s="1270"/>
      <c r="BQ277" s="1297"/>
      <c r="BR277" s="1297"/>
      <c r="BS277" s="1072" t="s">
        <v>2400</v>
      </c>
      <c r="BT277" s="1072"/>
      <c r="BU277" s="1072"/>
      <c r="BV277" s="987"/>
      <c r="BW277" s="987"/>
    </row>
    <row s="1656" customFormat="1" customHeight="1" ht="14.25" hidden="1">
      <c r="A278" s="1297"/>
      <c r="B278" s="983" cm="1" t="str">
        <f t="array" ref="B278:B278">B277</f>
        <v>false</v>
      </c>
      <c r="C278" s="1297"/>
      <c r="D278" s="1297"/>
      <c r="E278" s="709">
        <v>15</v>
      </c>
      <c r="F278" s="50" cm="1" t="str">
        <f t="array" ref="F278:F278">OFFSET(E278,-1,1)</f>
        <v>1</v>
      </c>
      <c r="G278" s="1297"/>
      <c r="H278" s="1297"/>
      <c r="I278" s="1297"/>
      <c r="J278" s="1297"/>
      <c r="K278" s="103" t="s">
        <v>2401</v>
      </c>
      <c r="L278" s="988"/>
      <c r="M278" s="103"/>
      <c r="N278" s="1297"/>
      <c r="O278" s="1297"/>
      <c r="P278" s="1297"/>
      <c r="Q278" s="1297"/>
      <c r="R278" s="1297"/>
      <c r="S278" s="1297"/>
      <c r="T278" s="468" cm="1" t="str">
        <f t="array" ref="T278:T278">T277</f>
        <v>true</v>
      </c>
      <c r="U278" s="1297"/>
      <c r="V278" s="1297"/>
      <c r="W278" s="1297"/>
      <c r="X278" s="1539"/>
      <c r="Y278" s="1297"/>
      <c r="Z278" s="1529"/>
      <c r="AA278" s="1297"/>
      <c r="AB278" s="802" t="s">
        <v>2402</v>
      </c>
      <c r="AC278" s="805" t="s">
        <v>2403</v>
      </c>
      <c r="AD278" s="804" t="s">
        <v>561</v>
      </c>
      <c r="AE278" s="1272"/>
      <c r="AF278" s="1272"/>
      <c r="AG278" s="1272"/>
      <c r="AH278" s="950"/>
      <c r="AI278" s="1272"/>
      <c r="AJ278" s="1272"/>
      <c r="AK278" s="1272"/>
      <c r="AL278" s="1272"/>
      <c r="AM278" s="1272"/>
      <c r="AN278" s="1272"/>
      <c r="AO278" s="1272"/>
      <c r="AP278" s="1272"/>
      <c r="AQ278" s="1272"/>
      <c r="AR278" s="1272"/>
      <c r="AS278" s="1272"/>
      <c r="AT278" s="1272"/>
      <c r="AU278" s="1272"/>
      <c r="AV278" s="1272"/>
      <c r="AW278" s="1272"/>
      <c r="AX278" s="1272"/>
      <c r="AY278" s="1272"/>
      <c r="AZ278" s="1272"/>
      <c r="BA278" s="1272"/>
      <c r="BB278" s="1272"/>
      <c r="BC278" s="1272"/>
      <c r="BD278" s="950"/>
      <c r="BE278" s="950"/>
      <c r="BF278" s="950"/>
      <c r="BG278" s="950"/>
      <c r="BH278" s="950"/>
      <c r="BI278" s="950"/>
      <c r="BJ278" s="950"/>
      <c r="BK278" s="950"/>
      <c r="BL278" s="950"/>
      <c r="BM278" s="950"/>
      <c r="BN278" s="1270"/>
      <c r="BO278" s="1270"/>
      <c r="BP278" s="1270"/>
      <c r="BQ278" s="1297"/>
      <c r="BR278" s="1297"/>
      <c r="BS278" s="1072" t="s">
        <v>2404</v>
      </c>
      <c r="BT278" s="1072"/>
      <c r="BU278" s="1072"/>
      <c r="BV278" s="987"/>
      <c r="BW278" s="987"/>
    </row>
    <row s="1656" customFormat="1" customHeight="1" ht="14.25" hidden="1">
      <c r="A279" s="1297"/>
      <c r="B279" s="983" cm="1" t="str">
        <f t="array" ref="B279:B279">B278</f>
        <v>false</v>
      </c>
      <c r="C279" s="1297"/>
      <c r="D279" s="1297"/>
      <c r="E279" s="709">
        <v>15</v>
      </c>
      <c r="F279" s="50" cm="1" t="str">
        <f t="array" ref="F279:F279">OFFSET(E279,-1,1)</f>
        <v>1</v>
      </c>
      <c r="G279" s="1297"/>
      <c r="H279" s="1297"/>
      <c r="I279" s="1297"/>
      <c r="J279" s="1297"/>
      <c r="K279" s="103" t="s">
        <v>2405</v>
      </c>
      <c r="L279" s="988"/>
      <c r="M279" s="103"/>
      <c r="N279" s="1297"/>
      <c r="O279" s="1297"/>
      <c r="P279" s="1297"/>
      <c r="Q279" s="1297"/>
      <c r="R279" s="1297"/>
      <c r="S279" s="1297"/>
      <c r="T279" s="468" cm="1" t="str">
        <f t="array" ref="T279:T279">T278</f>
        <v>true</v>
      </c>
      <c r="U279" s="1297"/>
      <c r="V279" s="1297"/>
      <c r="W279" s="1297"/>
      <c r="X279" s="1539"/>
      <c r="Y279" s="1297"/>
      <c r="Z279" s="1529"/>
      <c r="AA279" s="1297"/>
      <c r="AB279" s="802" t="s">
        <v>2406</v>
      </c>
      <c r="AC279" s="805" t="s">
        <v>2407</v>
      </c>
      <c r="AD279" s="804" t="s">
        <v>561</v>
      </c>
      <c r="AE279" s="1272"/>
      <c r="AF279" s="1272"/>
      <c r="AG279" s="1272"/>
      <c r="AH279" s="950"/>
      <c r="AI279" s="1272"/>
      <c r="AJ279" s="1272"/>
      <c r="AK279" s="1272"/>
      <c r="AL279" s="1272"/>
      <c r="AM279" s="1272"/>
      <c r="AN279" s="1272"/>
      <c r="AO279" s="1272"/>
      <c r="AP279" s="1272"/>
      <c r="AQ279" s="1272"/>
      <c r="AR279" s="1272"/>
      <c r="AS279" s="1272"/>
      <c r="AT279" s="1272"/>
      <c r="AU279" s="1272"/>
      <c r="AV279" s="1272"/>
      <c r="AW279" s="1272"/>
      <c r="AX279" s="1272"/>
      <c r="AY279" s="1272"/>
      <c r="AZ279" s="1272"/>
      <c r="BA279" s="1272"/>
      <c r="BB279" s="1272"/>
      <c r="BC279" s="1272"/>
      <c r="BD279" s="950"/>
      <c r="BE279" s="950"/>
      <c r="BF279" s="950"/>
      <c r="BG279" s="950"/>
      <c r="BH279" s="950"/>
      <c r="BI279" s="950"/>
      <c r="BJ279" s="950"/>
      <c r="BK279" s="950"/>
      <c r="BL279" s="950"/>
      <c r="BM279" s="950"/>
      <c r="BN279" s="1270"/>
      <c r="BO279" s="1270"/>
      <c r="BP279" s="1270"/>
      <c r="BQ279" s="1297"/>
      <c r="BR279" s="1297"/>
      <c r="BS279" s="1072" t="s">
        <v>2408</v>
      </c>
      <c r="BT279" s="1072"/>
      <c r="BU279" s="1072"/>
      <c r="BV279" s="987"/>
      <c r="BW279" s="987"/>
    </row>
    <row s="6584" customFormat="1" customHeight="1" ht="65.46875">
      <c r="A280" s="706"/>
      <c r="B280" s="437"/>
      <c r="C280" s="706"/>
      <c r="D280" s="105" t="str">
        <f>IF(B279,"6","7")</f>
        <v>7</v>
      </c>
      <c r="E280" s="713">
        <v>21</v>
      </c>
      <c r="F280" s="50" cm="1" t="str">
        <f t="array" ref="F280:F280">OFFSET(E280,-1,1)</f>
        <v>1</v>
      </c>
      <c r="G280" s="154" t="s">
        <v>2409</v>
      </c>
      <c r="H280" s="154"/>
      <c r="I280" s="376" t="s">
        <v>2410</v>
      </c>
      <c r="J280" s="706"/>
      <c r="K280" s="376" t="s">
        <v>2410</v>
      </c>
      <c r="L280" s="993"/>
      <c r="M280" s="105"/>
      <c r="N280" s="706"/>
      <c r="O280" s="706"/>
      <c r="P280" s="706"/>
      <c r="Q280" s="706"/>
      <c r="R280" s="706"/>
      <c r="S280" s="706"/>
      <c r="T280" s="468" cm="1" t="str">
        <f t="array" ref="T280:T280">T279</f>
        <v>true</v>
      </c>
      <c r="U280" s="706"/>
      <c r="V280" s="706"/>
      <c r="W280" s="706"/>
      <c r="X280" s="1539"/>
      <c r="Y280" s="706"/>
      <c r="Z280" s="1529"/>
      <c r="AA280" s="706"/>
      <c r="AB280" s="207" cm="1" t="str">
        <f t="array" ref="AB280:AB280">D280</f>
        <v>7</v>
      </c>
      <c r="AC280" s="215" t="s">
        <v>1815</v>
      </c>
      <c r="AD280" s="207" t="s">
        <v>936</v>
      </c>
      <c r="AE280" s="6350">
        <f>AE282+AE283+AE284+AE287-AE288</f>
        <v>23631.91</v>
      </c>
      <c r="AF280" s="6350">
        <f>AF282+AF283+AF284+AF287-AF288</f>
        <v>29656.22</v>
      </c>
      <c r="AG280" s="6350">
        <f>AG282+AG283+AG284+AG287-AG288</f>
        <v>25245.71</v>
      </c>
      <c r="AH280" s="768">
        <f>AG280-AF280</f>
        <v>-4410.51</v>
      </c>
      <c r="AI280" s="6519">
        <v>17254.78366</v>
      </c>
      <c r="AJ280" s="6585">
        <f>AJ282+AJ283+AJ284+AJ287-AJ288</f>
        <v>129530.17</v>
      </c>
      <c r="AK280" s="1265"/>
      <c r="AL280" s="1265"/>
      <c r="AM280" s="1265"/>
      <c r="AN280" s="1265"/>
      <c r="AO280" s="1265"/>
      <c r="AP280" s="1265"/>
      <c r="AQ280" s="1265"/>
      <c r="AR280" s="1265"/>
      <c r="AS280" s="1265"/>
      <c r="AT280" s="6585">
        <f>AT282+AT283+AT284+AT287-AT288</f>
        <v>20083.9400199999</v>
      </c>
      <c r="AU280" s="1265"/>
      <c r="AV280" s="1265"/>
      <c r="AW280" s="1265"/>
      <c r="AX280" s="1265"/>
      <c r="AY280" s="1265"/>
      <c r="AZ280" s="1265"/>
      <c r="BA280" s="1265"/>
      <c r="BB280" s="1265"/>
      <c r="BC280" s="1265"/>
      <c r="BD280" s="768">
        <f>IF(AI280=0,0,(AT280-AI280)/AI280*100)</f>
        <v>16.3963595009217</v>
      </c>
      <c r="BE280" s="768">
        <f>IF(AT280=0,0,(AU280-AT280)/AT280*100)</f>
        <v>-100</v>
      </c>
      <c r="BF280" s="768">
        <f>IF(AU280=0,0,(AV280-AU280)/AU280*100)</f>
        <v>0</v>
      </c>
      <c r="BG280" s="768">
        <f>IF(AV280=0,0,(AW280-AV280)/AV280*100)</f>
        <v>0</v>
      </c>
      <c r="BH280" s="768">
        <f>IF(AW280=0,0,(AX280-AW280)/AW280*100)</f>
        <v>0</v>
      </c>
      <c r="BI280" s="768">
        <f>IF(AX280=0,0,(AY280-AX280)/AX280*100)</f>
        <v>0</v>
      </c>
      <c r="BJ280" s="768">
        <f>IF(AY280=0,0,(AZ280-AY280)/AY280*100)</f>
        <v>0</v>
      </c>
      <c r="BK280" s="768">
        <f>IF(AZ280=0,0,(BA280-AZ280)/AZ280*100)</f>
        <v>0</v>
      </c>
      <c r="BL280" s="768">
        <f>IF(BA280=0,0,(BB280-BA280)/BA280*100)</f>
        <v>0</v>
      </c>
      <c r="BM280" s="768">
        <f>IF(BB280=0,0,(BC280-BB280)/BB280*100)</f>
        <v>0</v>
      </c>
      <c r="BN280" s="6292"/>
      <c r="BO280" s="6525"/>
      <c r="BP280" s="6292"/>
      <c r="BQ280" s="706"/>
      <c r="BR280" s="706"/>
      <c r="BS280" s="1078" t="s">
        <v>2411</v>
      </c>
      <c r="BT280" s="1078"/>
      <c r="BU280" s="1078"/>
      <c r="BV280" s="713"/>
      <c r="BW280" s="713"/>
    </row>
    <row s="1656" customFormat="1" customHeight="1" ht="14.25">
      <c r="A281" s="1297"/>
      <c r="B281" s="986"/>
      <c r="C281" s="1297"/>
      <c r="D281" s="103" cm="1" t="str">
        <f t="array" ref="D281:D281">D280</f>
        <v>7</v>
      </c>
      <c r="E281" s="709">
        <v>15</v>
      </c>
      <c r="F281" s="50" cm="1" t="str">
        <f t="array" ref="F281:F281">OFFSET(E281,-1,1)</f>
        <v>1</v>
      </c>
      <c r="G281" s="1297"/>
      <c r="H281" s="1297"/>
      <c r="I281" s="1297"/>
      <c r="J281" s="1297"/>
      <c r="K281" s="1297"/>
      <c r="L281" s="988"/>
      <c r="M281" s="103"/>
      <c r="N281" s="1297"/>
      <c r="O281" s="1297"/>
      <c r="P281" s="1297"/>
      <c r="Q281" s="1297"/>
      <c r="R281" s="1297"/>
      <c r="S281" s="1297"/>
      <c r="T281" s="468" cm="1" t="str">
        <f t="array" ref="T281:T281">T280</f>
        <v>true</v>
      </c>
      <c r="U281" s="1297"/>
      <c r="V281" s="1297"/>
      <c r="W281" s="1297"/>
      <c r="X281" s="1539"/>
      <c r="Y281" s="1297"/>
      <c r="Z281" s="1529"/>
      <c r="AA281" s="1297"/>
      <c r="AB281" s="296"/>
      <c r="AC281" s="454" t="s">
        <v>2412</v>
      </c>
      <c r="AD281" s="296"/>
      <c r="AE281" s="953"/>
      <c r="AF281" s="953"/>
      <c r="AG281" s="953"/>
      <c r="AH281" s="950"/>
      <c r="AI281" s="950"/>
      <c r="AJ281" s="950"/>
      <c r="AK281" s="950"/>
      <c r="AL281" s="950"/>
      <c r="AM281" s="950"/>
      <c r="AN281" s="950"/>
      <c r="AO281" s="950"/>
      <c r="AP281" s="950"/>
      <c r="AQ281" s="950"/>
      <c r="AR281" s="950"/>
      <c r="AS281" s="950"/>
      <c r="AT281" s="950"/>
      <c r="AU281" s="950"/>
      <c r="AV281" s="950"/>
      <c r="AW281" s="950"/>
      <c r="AX281" s="950"/>
      <c r="AY281" s="950"/>
      <c r="AZ281" s="950"/>
      <c r="BA281" s="950"/>
      <c r="BB281" s="950"/>
      <c r="BC281" s="950"/>
      <c r="BD281" s="950"/>
      <c r="BE281" s="950"/>
      <c r="BF281" s="950"/>
      <c r="BG281" s="950"/>
      <c r="BH281" s="950"/>
      <c r="BI281" s="950"/>
      <c r="BJ281" s="950"/>
      <c r="BK281" s="950"/>
      <c r="BL281" s="950"/>
      <c r="BM281" s="950"/>
      <c r="BN281" s="529"/>
      <c r="BO281" s="529"/>
      <c r="BP281" s="529"/>
      <c r="BQ281" s="1297"/>
      <c r="BR281" s="1297"/>
      <c r="BS281" s="1072"/>
      <c r="BT281" s="1072"/>
      <c r="BU281" s="1072"/>
      <c r="BV281" s="987"/>
      <c r="BW281" s="987"/>
    </row>
    <row s="1656" customFormat="1" customHeight="1" ht="136.94692611694336">
      <c r="A282" s="1297"/>
      <c r="B282" s="986"/>
      <c r="C282" s="1297"/>
      <c r="D282" s="103" cm="1" t="str">
        <f t="array" ref="D282:D282">D281</f>
        <v>7</v>
      </c>
      <c r="E282" s="709">
        <v>22.5</v>
      </c>
      <c r="F282" s="50" cm="1" t="str">
        <f t="array" ref="F282:F282">OFFSET(E282,-1,1)</f>
        <v>1</v>
      </c>
      <c r="G282" s="154" t="s">
        <v>386</v>
      </c>
      <c r="H282" s="1297"/>
      <c r="I282" s="154" t="s">
        <v>619</v>
      </c>
      <c r="J282" s="1297"/>
      <c r="K282" s="154" t="s">
        <v>619</v>
      </c>
      <c r="L282" s="988"/>
      <c r="M282" s="103"/>
      <c r="N282" s="1297"/>
      <c r="O282" s="1297"/>
      <c r="P282" s="1297"/>
      <c r="Q282" s="1297"/>
      <c r="R282" s="1297"/>
      <c r="S282" s="1297"/>
      <c r="T282" s="468" cm="1" t="str">
        <f t="array" ref="T282:T282">T281</f>
        <v>true</v>
      </c>
      <c r="U282" s="1297"/>
      <c r="V282" s="1297"/>
      <c r="W282" s="1297"/>
      <c r="X282" s="1539"/>
      <c r="Y282" s="1297"/>
      <c r="Z282" s="1529"/>
      <c r="AA282" s="1297"/>
      <c r="AB282" s="296" t="str">
        <f>D282&amp;".1"</f>
        <v>7.1</v>
      </c>
      <c r="AC282" s="769" t="s">
        <v>2413</v>
      </c>
      <c r="AD282" s="296" t="s">
        <v>936</v>
      </c>
      <c r="AE282" s="6531">
        <v>0</v>
      </c>
      <c r="AF282" s="6531"/>
      <c r="AG282" s="6531"/>
      <c r="AH282" s="951">
        <f>AG282-AF282</f>
        <v>0</v>
      </c>
      <c r="AI282" s="6524">
        <v>-668.07</v>
      </c>
      <c r="AJ282" s="6524">
        <f>_xlfn.SUMIFS('Корректировка НВВ'!$AF$25:$AF$231,'Корректировка НВВ'!$F$25:$F$231,$F282,'Корректировка НВВ'!$I$25:$I$231,$G282)</f>
        <v>0</v>
      </c>
      <c r="AK282" s="1272"/>
      <c r="AL282" s="1272"/>
      <c r="AM282" s="1272"/>
      <c r="AN282" s="1272"/>
      <c r="AO282" s="1272"/>
      <c r="AP282" s="1272"/>
      <c r="AQ282" s="1272"/>
      <c r="AR282" s="1272"/>
      <c r="AS282" s="1272"/>
      <c r="AT282" s="6524">
        <f>8.37-136.44</f>
        <v>-128.07</v>
      </c>
      <c r="AU282" s="1272"/>
      <c r="AV282" s="1272"/>
      <c r="AW282" s="1272"/>
      <c r="AX282" s="1272"/>
      <c r="AY282" s="1272"/>
      <c r="AZ282" s="1272"/>
      <c r="BA282" s="1272"/>
      <c r="BB282" s="1272"/>
      <c r="BC282" s="1272"/>
      <c r="BD282" s="950"/>
      <c r="BE282" s="950"/>
      <c r="BF282" s="950"/>
      <c r="BG282" s="950"/>
      <c r="BH282" s="950"/>
      <c r="BI282" s="950"/>
      <c r="BJ282" s="950"/>
      <c r="BK282" s="950"/>
      <c r="BL282" s="950"/>
      <c r="BM282" s="950"/>
      <c r="BN282" s="6532" t="s">
        <v>2520</v>
      </c>
      <c r="BO282" s="6525" t="s">
        <v>2521</v>
      </c>
      <c r="BP282" s="6533" t="s">
        <v>2522</v>
      </c>
      <c r="BQ282" s="1297"/>
      <c r="BR282" s="1297"/>
      <c r="BS282" s="1072" t="s">
        <v>2414</v>
      </c>
      <c r="BT282" s="1072"/>
      <c r="BU282" s="1072"/>
      <c r="BV282" s="987"/>
      <c r="BW282" s="987"/>
    </row>
    <row s="1656" customFormat="1" customHeight="1" ht="210.46875">
      <c r="A283" s="1297"/>
      <c r="B283" s="986"/>
      <c r="C283" s="1297"/>
      <c r="D283" s="103" cm="1" t="str">
        <f t="array" ref="D283:D283">D282</f>
        <v>7</v>
      </c>
      <c r="E283" s="709">
        <v>101.25</v>
      </c>
      <c r="F283" s="50" cm="1" t="str">
        <f t="array" ref="F283:F283">OFFSET(E283,-1,1)</f>
        <v>1</v>
      </c>
      <c r="G283" s="154" t="s">
        <v>2415</v>
      </c>
      <c r="H283" s="1297"/>
      <c r="I283" s="154" t="s">
        <v>685</v>
      </c>
      <c r="J283" s="1297"/>
      <c r="K283" s="154" t="s">
        <v>685</v>
      </c>
      <c r="L283" s="988"/>
      <c r="M283" s="103"/>
      <c r="N283" s="1297"/>
      <c r="O283" s="1297"/>
      <c r="P283" s="1297"/>
      <c r="Q283" s="1297"/>
      <c r="R283" s="1297"/>
      <c r="S283" s="1297"/>
      <c r="T283" s="468" cm="1" t="str">
        <f t="array" ref="T283:T283">T282</f>
        <v>true</v>
      </c>
      <c r="U283" s="1297"/>
      <c r="V283" s="1297"/>
      <c r="W283" s="1297"/>
      <c r="X283" s="1539"/>
      <c r="Y283" s="1297"/>
      <c r="Z283" s="1529"/>
      <c r="AA283" s="1297"/>
      <c r="AB283" s="296" t="str">
        <f>D283&amp;".2"</f>
        <v>7.2</v>
      </c>
      <c r="AC283" s="769" t="s">
        <v>2416</v>
      </c>
      <c r="AD283" s="296" t="s">
        <v>936</v>
      </c>
      <c r="AE283" s="6531">
        <v>0</v>
      </c>
      <c r="AF283" s="6531"/>
      <c r="AG283" s="6531"/>
      <c r="AH283" s="951">
        <f>AG283-AF283</f>
        <v>0</v>
      </c>
      <c r="AI283" s="6524">
        <v>0</v>
      </c>
      <c r="AJ283" s="6524">
        <f>_xlfn.SUMIFS('Корректировка НВВ'!$AF$25:$AF$231,'Корректировка НВВ'!$F$25:$F$231,$F283,'Корректировка НВВ'!$I$25:$I$231,$G283)</f>
        <v>0</v>
      </c>
      <c r="AK283" s="1272"/>
      <c r="AL283" s="1272"/>
      <c r="AM283" s="1272"/>
      <c r="AN283" s="1272"/>
      <c r="AO283" s="1272"/>
      <c r="AP283" s="1272"/>
      <c r="AQ283" s="1272"/>
      <c r="AR283" s="1272"/>
      <c r="AS283" s="1272"/>
      <c r="AT283" s="6524">
        <f>_xlfn.SUMIFS('Корректировка НВВ'!$AG$25:$AG$231,'Корректировка НВВ'!$F$25:$F$231,$F283,'Корректировка НВВ'!$I$25:$I$231,$G283)</f>
        <v>0</v>
      </c>
      <c r="AU283" s="1272"/>
      <c r="AV283" s="1272"/>
      <c r="AW283" s="1272"/>
      <c r="AX283" s="1272"/>
      <c r="AY283" s="1272"/>
      <c r="AZ283" s="1272"/>
      <c r="BA283" s="1272"/>
      <c r="BB283" s="1272"/>
      <c r="BC283" s="1272"/>
      <c r="BD283" s="950"/>
      <c r="BE283" s="950"/>
      <c r="BF283" s="950"/>
      <c r="BG283" s="950"/>
      <c r="BH283" s="950"/>
      <c r="BI283" s="950"/>
      <c r="BJ283" s="950"/>
      <c r="BK283" s="950"/>
      <c r="BL283" s="950"/>
      <c r="BM283" s="950"/>
      <c r="BN283" s="6533" t="s">
        <v>2523</v>
      </c>
      <c r="BO283" s="6525" t="s">
        <v>2524</v>
      </c>
      <c r="BP283" s="6533" t="s">
        <v>2525</v>
      </c>
      <c r="BQ283" s="1297"/>
      <c r="BR283" s="1297"/>
      <c r="BS283" s="1072" t="s">
        <v>2417</v>
      </c>
      <c r="BT283" s="1072"/>
      <c r="BU283" s="1072"/>
      <c r="BV283" s="987"/>
      <c r="BW283" s="987"/>
    </row>
    <row s="1656" customFormat="1" customHeight="1" ht="119.63541666666667">
      <c r="A284" s="1297"/>
      <c r="B284" s="986"/>
      <c r="C284" s="1297"/>
      <c r="D284" s="103" cm="1" t="str">
        <f t="array" ref="D284:D284">D283</f>
        <v>7</v>
      </c>
      <c r="E284" s="709">
        <v>45</v>
      </c>
      <c r="F284" s="50" cm="1" t="str">
        <f t="array" ref="F284:F284">OFFSET(E284,-1,1)</f>
        <v>1</v>
      </c>
      <c r="G284" s="1297"/>
      <c r="H284" s="1297"/>
      <c r="I284" s="154" t="s">
        <v>700</v>
      </c>
      <c r="J284" s="1297"/>
      <c r="K284" s="154" t="s">
        <v>700</v>
      </c>
      <c r="L284" s="988"/>
      <c r="M284" s="103"/>
      <c r="N284" s="1297"/>
      <c r="O284" s="1297"/>
      <c r="P284" s="1297"/>
      <c r="Q284" s="1297"/>
      <c r="R284" s="1297"/>
      <c r="S284" s="1297"/>
      <c r="T284" s="468" cm="1" t="str">
        <f t="array" ref="T284:T284">T283</f>
        <v>true</v>
      </c>
      <c r="U284" s="1297"/>
      <c r="V284" s="1297"/>
      <c r="W284" s="1297"/>
      <c r="X284" s="1539"/>
      <c r="Y284" s="1297"/>
      <c r="Z284" s="1529"/>
      <c r="AA284" s="1297"/>
      <c r="AB284" s="296" t="str">
        <f>D284&amp;".3"</f>
        <v>7.3</v>
      </c>
      <c r="AC284" s="769" t="s">
        <v>2418</v>
      </c>
      <c r="AD284" s="296" t="s">
        <v>936</v>
      </c>
      <c r="AE284" s="6531">
        <v>0</v>
      </c>
      <c r="AF284" s="6531"/>
      <c r="AG284" s="6531"/>
      <c r="AH284" s="951">
        <f>AG284-AF284</f>
        <v>0</v>
      </c>
      <c r="AI284" s="6524">
        <v>40967.07366</v>
      </c>
      <c r="AJ284" s="6524">
        <v>110174.16</v>
      </c>
      <c r="AK284" s="1272"/>
      <c r="AL284" s="1272"/>
      <c r="AM284" s="1272"/>
      <c r="AN284" s="1272"/>
      <c r="AO284" s="1272"/>
      <c r="AP284" s="1272"/>
      <c r="AQ284" s="1272"/>
      <c r="AR284" s="1272"/>
      <c r="AS284" s="1272"/>
      <c r="AT284" s="6524">
        <f>_xlfn.SUMIFS('Корректировка НВВ'!$AG$25:$AG$231,'Корректировка НВВ'!$F$25:$F$231,$F284,'Корректировка НВВ'!$I$25:$I$231,"L1")+_xlfn.SUMIFS('Корректировка НВВ'!$AF$25:$AF$231,'Корректировка НВВ'!$F$25:$F$231,$F284,'Корректировка НВВ'!$I$25:$I$231,"L2")</f>
        <v>28855.2000199999</v>
      </c>
      <c r="AU284" s="1272"/>
      <c r="AV284" s="1272"/>
      <c r="AW284" s="1272"/>
      <c r="AX284" s="1272"/>
      <c r="AY284" s="1272"/>
      <c r="AZ284" s="1272"/>
      <c r="BA284" s="1272"/>
      <c r="BB284" s="1272"/>
      <c r="BC284" s="1272"/>
      <c r="BD284" s="950"/>
      <c r="BE284" s="950"/>
      <c r="BF284" s="950"/>
      <c r="BG284" s="950"/>
      <c r="BH284" s="950"/>
      <c r="BI284" s="950"/>
      <c r="BJ284" s="950"/>
      <c r="BK284" s="950"/>
      <c r="BL284" s="950"/>
      <c r="BM284" s="950"/>
      <c r="BN284" s="6532" t="s">
        <v>2526</v>
      </c>
      <c r="BO284" s="6525" t="s">
        <v>2527</v>
      </c>
      <c r="BP284" s="6533" t="s">
        <v>2528</v>
      </c>
      <c r="BQ284" s="1297"/>
      <c r="BR284" s="1297"/>
      <c r="BS284" s="1072" t="s">
        <v>2419</v>
      </c>
      <c r="BT284" s="1072"/>
      <c r="BU284" s="1072"/>
      <c r="BV284" s="987"/>
      <c r="BW284" s="987"/>
    </row>
    <row s="1656" customFormat="1" customHeight="1" ht="87.75" hidden="1">
      <c r="A285" s="1297"/>
      <c r="B285" s="447">
        <f>S171="Водоотведение"</f>
        <v>0</v>
      </c>
      <c r="C285" s="1297"/>
      <c r="D285" s="103" cm="1" t="str">
        <f t="array" ref="D285:D285">D284</f>
        <v>7</v>
      </c>
      <c r="E285" s="709">
        <v>90</v>
      </c>
      <c r="F285" s="50" cm="1" t="str">
        <f t="array" ref="F285:F285">OFFSET(E285,-1,1)</f>
        <v>1</v>
      </c>
      <c r="G285" s="154" t="s">
        <v>2420</v>
      </c>
      <c r="H285" s="49"/>
      <c r="I285" s="154" t="s">
        <v>866</v>
      </c>
      <c r="J285" s="1297"/>
      <c r="K285" s="154" t="s">
        <v>866</v>
      </c>
      <c r="L285" s="988" t="s">
        <v>864</v>
      </c>
      <c r="M285" s="103"/>
      <c r="N285" s="1297"/>
      <c r="O285" s="1297"/>
      <c r="P285" s="1297"/>
      <c r="Q285" s="1297"/>
      <c r="R285" s="1297"/>
      <c r="S285" s="1297"/>
      <c r="T285" s="468" cm="1" t="str">
        <f t="array" ref="T285:T285">T284</f>
        <v>true</v>
      </c>
      <c r="U285" s="1297"/>
      <c r="V285" s="1297"/>
      <c r="W285" s="1297"/>
      <c r="X285" s="1539"/>
      <c r="Y285" s="1297"/>
      <c r="Z285" s="1529"/>
      <c r="AA285" s="1297"/>
      <c r="AB285" s="296" t="str">
        <f>D285&amp;".4"</f>
        <v>7.4</v>
      </c>
      <c r="AC285" s="769" t="s">
        <v>2090</v>
      </c>
      <c r="AD285" s="773" t="s">
        <v>936</v>
      </c>
      <c r="AE285" s="1274"/>
      <c r="AF285" s="1274"/>
      <c r="AG285" s="1274"/>
      <c r="AH285" s="951">
        <f>AG285-AF285</f>
        <v>0</v>
      </c>
      <c r="AI285" s="1272"/>
      <c r="AJ285" s="1272">
        <f>_xlfn.SUMIFS('Корректировка НВВ'!$AF$25:$AF$231,'Корректировка НВВ'!$F$25:$F$231,$F285,'Корректировка НВВ'!$I$25:$I$231,$G285)</f>
        <v>0</v>
      </c>
      <c r="AK285" s="1272"/>
      <c r="AL285" s="1272"/>
      <c r="AM285" s="1272"/>
      <c r="AN285" s="1272"/>
      <c r="AO285" s="1272"/>
      <c r="AP285" s="1272"/>
      <c r="AQ285" s="1272"/>
      <c r="AR285" s="1272"/>
      <c r="AS285" s="1272"/>
      <c r="AT285" s="1272">
        <f>_xlfn.SUMIFS('Корректировка НВВ'!$AG$25:$AG$231,'Корректировка НВВ'!$F$25:$F$231,$F285,'Корректировка НВВ'!$I$25:$I$231,$G285)</f>
        <v>0</v>
      </c>
      <c r="AU285" s="1272"/>
      <c r="AV285" s="1272"/>
      <c r="AW285" s="1272"/>
      <c r="AX285" s="1272"/>
      <c r="AY285" s="1272"/>
      <c r="AZ285" s="1272"/>
      <c r="BA285" s="1272"/>
      <c r="BB285" s="1272"/>
      <c r="BC285" s="1272"/>
      <c r="BD285" s="950"/>
      <c r="BE285" s="950"/>
      <c r="BF285" s="950"/>
      <c r="BG285" s="950"/>
      <c r="BH285" s="950"/>
      <c r="BI285" s="950"/>
      <c r="BJ285" s="950"/>
      <c r="BK285" s="950"/>
      <c r="BL285" s="950"/>
      <c r="BM285" s="950"/>
      <c r="BN285" s="1275"/>
      <c r="BO285" s="1273" t="str">
        <f>IF(_xlfn.IFERROR(INDEX('Корректировка НВВ'!$K$26:$L$231,MATCH($F285&amp;"3komm",'Корректировка НВВ'!$K$26:$K$231,0),2),"")=0,"",_xlfn.IFERROR(INDEX('Корректировка НВВ'!$K$26:$L$231,MATCH($F285&amp;"3komm",'Корректировка НВВ'!$K$26:$K$231,0),2),""))</f>
        <v/>
      </c>
      <c r="BP285" s="1275"/>
      <c r="BQ285" s="1297"/>
      <c r="BR285" s="1297"/>
      <c r="BS285" s="1072" t="s">
        <v>1580</v>
      </c>
      <c r="BT285" s="1072"/>
      <c r="BU285" s="1072"/>
      <c r="BV285" s="987"/>
      <c r="BW285" s="987"/>
    </row>
    <row s="1656" customFormat="1" customHeight="1" ht="54.75" hidden="1">
      <c r="A286" s="1297"/>
      <c r="B286" s="447" cm="1" t="str">
        <f t="array" ref="B286:B286">B285</f>
        <v>false</v>
      </c>
      <c r="C286" s="1297"/>
      <c r="D286" s="103" cm="1" t="str">
        <f t="array" ref="D286:D286">D285</f>
        <v>7</v>
      </c>
      <c r="E286" s="709">
        <v>56.25</v>
      </c>
      <c r="F286" s="50" cm="1" t="str">
        <f t="array" ref="F286:F286">OFFSET(E286,-1,1)</f>
        <v>1</v>
      </c>
      <c r="G286" s="154" t="s">
        <v>2421</v>
      </c>
      <c r="H286" s="49"/>
      <c r="I286" s="154" t="s">
        <v>914</v>
      </c>
      <c r="J286" s="1297"/>
      <c r="K286" s="154" t="s">
        <v>914</v>
      </c>
      <c r="L286" s="988" t="s">
        <v>866</v>
      </c>
      <c r="M286" s="103"/>
      <c r="N286" s="1297"/>
      <c r="O286" s="1297"/>
      <c r="P286" s="1297"/>
      <c r="Q286" s="1297"/>
      <c r="R286" s="1297"/>
      <c r="S286" s="1297"/>
      <c r="T286" s="468" cm="1" t="str">
        <f t="array" ref="T286:T286">T285</f>
        <v>true</v>
      </c>
      <c r="U286" s="1297"/>
      <c r="V286" s="1297"/>
      <c r="W286" s="1297"/>
      <c r="X286" s="1539"/>
      <c r="Y286" s="1297"/>
      <c r="Z286" s="1529"/>
      <c r="AA286" s="1297"/>
      <c r="AB286" s="296" t="str">
        <f>D286&amp;".5"</f>
        <v>7.5</v>
      </c>
      <c r="AC286" s="769" t="s">
        <v>2091</v>
      </c>
      <c r="AD286" s="773" t="s">
        <v>936</v>
      </c>
      <c r="AE286" s="1274"/>
      <c r="AF286" s="1274"/>
      <c r="AG286" s="1274"/>
      <c r="AH286" s="951">
        <f>AG286-AF286</f>
        <v>0</v>
      </c>
      <c r="AI286" s="1272"/>
      <c r="AJ286" s="1272">
        <f>_xlfn.SUMIFS('Корректировка НВВ'!$AF$25:$AF$231,'Корректировка НВВ'!$F$25:$F$231,$F286,'Корректировка НВВ'!$I$25:$I$231,$G286)</f>
        <v>0</v>
      </c>
      <c r="AK286" s="1272"/>
      <c r="AL286" s="1272"/>
      <c r="AM286" s="1272"/>
      <c r="AN286" s="1272"/>
      <c r="AO286" s="1272"/>
      <c r="AP286" s="1272"/>
      <c r="AQ286" s="1272"/>
      <c r="AR286" s="1272"/>
      <c r="AS286" s="1272"/>
      <c r="AT286" s="1272">
        <f>_xlfn.SUMIFS('Корректировка НВВ'!$AG$25:$AG$231,'Корректировка НВВ'!$F$25:$F$231,$F286,'Корректировка НВВ'!$I$25:$I$231,$G286)</f>
        <v>0</v>
      </c>
      <c r="AU286" s="1272"/>
      <c r="AV286" s="1272"/>
      <c r="AW286" s="1272"/>
      <c r="AX286" s="1272"/>
      <c r="AY286" s="1272"/>
      <c r="AZ286" s="1272"/>
      <c r="BA286" s="1272"/>
      <c r="BB286" s="1272"/>
      <c r="BC286" s="1272"/>
      <c r="BD286" s="950"/>
      <c r="BE286" s="950"/>
      <c r="BF286" s="950"/>
      <c r="BG286" s="950"/>
      <c r="BH286" s="950"/>
      <c r="BI286" s="950"/>
      <c r="BJ286" s="950"/>
      <c r="BK286" s="950"/>
      <c r="BL286" s="950"/>
      <c r="BM286" s="950"/>
      <c r="BN286" s="1275"/>
      <c r="BO286" s="1273" t="str">
        <f>IF(_xlfn.IFERROR(INDEX('Корректировка НВВ'!$K$26:$L$231,MATCH($F286&amp;"4komm",'Корректировка НВВ'!$K$26:$K$231,0),2),"")=0,"",_xlfn.IFERROR(INDEX('Корректировка НВВ'!$K$26:$L$231,MATCH($F286&amp;"4komm",'Корректировка НВВ'!$K$26:$K$231,0),2),""))</f>
        <v/>
      </c>
      <c r="BP286" s="1275"/>
      <c r="BQ286" s="1297"/>
      <c r="BR286" s="1297"/>
      <c r="BS286" s="1072" t="s">
        <v>1584</v>
      </c>
      <c r="BT286" s="1072"/>
      <c r="BU286" s="1072"/>
      <c r="BV286" s="987"/>
      <c r="BW286" s="987"/>
    </row>
    <row s="1656" customFormat="1" customHeight="1" ht="223.80208333333334">
      <c r="A287" s="1297"/>
      <c r="B287" s="986"/>
      <c r="C287" s="1297"/>
      <c r="D287" s="103" cm="1" t="str">
        <f t="array" ref="D287:D287">D286</f>
        <v>7</v>
      </c>
      <c r="E287" s="709">
        <v>15</v>
      </c>
      <c r="F287" s="50" cm="1" t="str">
        <f t="array" ref="F287:F287">OFFSET(E287,-1,1)</f>
        <v>1</v>
      </c>
      <c r="G287" s="154" t="s">
        <v>2422</v>
      </c>
      <c r="H287" s="1297"/>
      <c r="I287" s="154" t="s">
        <v>915</v>
      </c>
      <c r="J287" s="1297"/>
      <c r="K287" s="154" t="s">
        <v>915</v>
      </c>
      <c r="L287" s="988" t="s">
        <v>914</v>
      </c>
      <c r="M287" s="103"/>
      <c r="N287" s="1297"/>
      <c r="O287" s="1297"/>
      <c r="P287" s="1297"/>
      <c r="Q287" s="1297"/>
      <c r="R287" s="1297"/>
      <c r="S287" s="1297"/>
      <c r="T287" s="468" cm="1" t="str">
        <f t="array" ref="T287:T287">T286</f>
        <v>true</v>
      </c>
      <c r="U287" s="1297"/>
      <c r="V287" s="1297"/>
      <c r="W287" s="1297"/>
      <c r="X287" s="1539"/>
      <c r="Y287" s="1297"/>
      <c r="Z287" s="1529"/>
      <c r="AA287" s="1297"/>
      <c r="AB287" s="296" t="str">
        <f>IF(B286,D287&amp;".6",D287&amp;".4")</f>
        <v>7.4</v>
      </c>
      <c r="AC287" s="769" t="s">
        <v>1808</v>
      </c>
      <c r="AD287" s="296" t="s">
        <v>936</v>
      </c>
      <c r="AE287" s="6531">
        <v>34747.15</v>
      </c>
      <c r="AF287" s="6531">
        <f>34747.15+10546.97</f>
        <v>45294.12</v>
      </c>
      <c r="AG287" s="6531">
        <v>34747.15</v>
      </c>
      <c r="AH287" s="951">
        <f>AG287-AF287</f>
        <v>-10546.97</v>
      </c>
      <c r="AI287" s="6524">
        <v>0</v>
      </c>
      <c r="AJ287" s="6524">
        <f>2111.16+16912.02+332.84-0.01</f>
        <v>19356.01</v>
      </c>
      <c r="AK287" s="1272"/>
      <c r="AL287" s="1272"/>
      <c r="AM287" s="1272"/>
      <c r="AN287" s="1272"/>
      <c r="AO287" s="1272"/>
      <c r="AP287" s="1272"/>
      <c r="AQ287" s="1272"/>
      <c r="AR287" s="1272"/>
      <c r="AS287" s="1272"/>
      <c r="AT287" s="6524">
        <f>2111.16+332.84</f>
        <v>2444</v>
      </c>
      <c r="AU287" s="1272"/>
      <c r="AV287" s="1272"/>
      <c r="AW287" s="1272"/>
      <c r="AX287" s="1272"/>
      <c r="AY287" s="1272"/>
      <c r="AZ287" s="1272"/>
      <c r="BA287" s="1272"/>
      <c r="BB287" s="1272"/>
      <c r="BC287" s="1272"/>
      <c r="BD287" s="950"/>
      <c r="BE287" s="950"/>
      <c r="BF287" s="950"/>
      <c r="BG287" s="950"/>
      <c r="BH287" s="950"/>
      <c r="BI287" s="950"/>
      <c r="BJ287" s="950"/>
      <c r="BK287" s="950"/>
      <c r="BL287" s="950"/>
      <c r="BM287" s="950"/>
      <c r="BN287" s="6533" t="s">
        <v>2529</v>
      </c>
      <c r="BO287" s="6525" t="s">
        <v>2530</v>
      </c>
      <c r="BP287" s="6533" t="s">
        <v>2531</v>
      </c>
      <c r="BQ287" s="1297"/>
      <c r="BR287" s="1297"/>
      <c r="BS287" s="1072" t="s">
        <v>2423</v>
      </c>
      <c r="BT287" s="1072"/>
      <c r="BU287" s="1072"/>
      <c r="BV287" s="987"/>
      <c r="BW287" s="987"/>
    </row>
    <row s="1656" customFormat="1" customHeight="1" ht="88.80208333333333">
      <c r="A288" s="1297"/>
      <c r="B288" s="986"/>
      <c r="C288" s="1297"/>
      <c r="D288" s="103" cm="1" t="str">
        <f t="array" ref="D288:D288">D287</f>
        <v>7</v>
      </c>
      <c r="E288" s="709">
        <v>15</v>
      </c>
      <c r="F288" s="50" cm="1" t="str">
        <f t="array" ref="F288:F288">OFFSET(E288,-1,1)</f>
        <v>1</v>
      </c>
      <c r="G288" s="154" t="s">
        <v>2424</v>
      </c>
      <c r="H288" s="1297"/>
      <c r="I288" s="154" t="s">
        <v>2099</v>
      </c>
      <c r="J288" s="1297"/>
      <c r="K288" s="154" t="s">
        <v>2099</v>
      </c>
      <c r="L288" s="988" t="s">
        <v>915</v>
      </c>
      <c r="M288" s="103"/>
      <c r="N288" s="1297"/>
      <c r="O288" s="1297"/>
      <c r="P288" s="1297"/>
      <c r="Q288" s="1297"/>
      <c r="R288" s="1297"/>
      <c r="S288" s="1297"/>
      <c r="T288" s="468" cm="1" t="str">
        <f t="array" ref="T288:T288">T287</f>
        <v>true</v>
      </c>
      <c r="U288" s="1297"/>
      <c r="V288" s="1297"/>
      <c r="W288" s="1297"/>
      <c r="X288" s="1539"/>
      <c r="Y288" s="1297"/>
      <c r="Z288" s="1529"/>
      <c r="AA288" s="1297"/>
      <c r="AB288" s="296" t="str">
        <f>IF(B286,D287&amp;".7",D287&amp;".5")</f>
        <v>7.5</v>
      </c>
      <c r="AC288" s="769" t="s">
        <v>1770</v>
      </c>
      <c r="AD288" s="296" t="s">
        <v>936</v>
      </c>
      <c r="AE288" s="6531">
        <f>5717.37+5397.86+0.01</f>
        <v>11115.24</v>
      </c>
      <c r="AF288" s="6531">
        <v>15637.9</v>
      </c>
      <c r="AG288" s="6531">
        <f>4103.57+5397.86+0.01</f>
        <v>9501.44</v>
      </c>
      <c r="AH288" s="951">
        <f>AG288-AF288</f>
        <v>-6136.46</v>
      </c>
      <c r="AI288" s="6524">
        <v>7859.57</v>
      </c>
      <c r="AJ288" s="6524">
        <f>_xlfn.SUMIFS('Корректировка НВВ'!$AF$25:$AF$231,'Корректировка НВВ'!$F$25:$F$231,$F288,'Корректировка НВВ'!$I$25:$I$231,$G288)</f>
        <v>0</v>
      </c>
      <c r="AK288" s="1272">
        <f>AK289+AK290</f>
        <v>0</v>
      </c>
      <c r="AL288" s="1272">
        <f>AL289+AL290</f>
        <v>0</v>
      </c>
      <c r="AM288" s="1272">
        <f>AM289+AM290</f>
        <v>0</v>
      </c>
      <c r="AN288" s="1272">
        <f>AN289+AN290</f>
        <v>0</v>
      </c>
      <c r="AO288" s="1272">
        <f>AO289+AO290</f>
        <v>0</v>
      </c>
      <c r="AP288" s="1272">
        <f>AP289+AP290</f>
        <v>0</v>
      </c>
      <c r="AQ288" s="1272">
        <f>AQ289+AQ290</f>
        <v>0</v>
      </c>
      <c r="AR288" s="1272">
        <f>AR289+AR290</f>
        <v>0</v>
      </c>
      <c r="AS288" s="1272">
        <f>AS289+AS290</f>
        <v>0</v>
      </c>
      <c r="AT288" s="6524">
        <f>10896.98+AT289-0.01</f>
        <v>11087.19</v>
      </c>
      <c r="AU288" s="1272">
        <f>AU289+AU290</f>
        <v>0</v>
      </c>
      <c r="AV288" s="1272">
        <f>AV289+AV290</f>
        <v>0</v>
      </c>
      <c r="AW288" s="1272">
        <f>AW289+AW290</f>
        <v>0</v>
      </c>
      <c r="AX288" s="1272">
        <f>AX289+AX290</f>
        <v>0</v>
      </c>
      <c r="AY288" s="1272">
        <f>AY289+AY290</f>
        <v>0</v>
      </c>
      <c r="AZ288" s="1272">
        <f>AZ289+AZ290</f>
        <v>0</v>
      </c>
      <c r="BA288" s="1272">
        <f>BA289+BA290</f>
        <v>0</v>
      </c>
      <c r="BB288" s="1272">
        <f>BB289+BB290</f>
        <v>0</v>
      </c>
      <c r="BC288" s="1272">
        <f>BC289+BC290</f>
        <v>0</v>
      </c>
      <c r="BD288" s="951">
        <f>IF(AI288=0,0,(AT288-AI288)/AI288*100)</f>
        <v>41.0661143039632</v>
      </c>
      <c r="BE288" s="951">
        <f>IF(AT288=0,0,(AU288-AT288)/AT288*100)</f>
        <v>-100</v>
      </c>
      <c r="BF288" s="951">
        <f>IF(AU288=0,0,(AV288-AU288)/AU288*100)</f>
        <v>0</v>
      </c>
      <c r="BG288" s="951">
        <f>IF(AV288=0,0,(AW288-AV288)/AV288*100)</f>
        <v>0</v>
      </c>
      <c r="BH288" s="951">
        <f>IF(AW288=0,0,(AX288-AW288)/AW288*100)</f>
        <v>0</v>
      </c>
      <c r="BI288" s="951">
        <f>IF(AX288=0,0,(AY288-AX288)/AX288*100)</f>
        <v>0</v>
      </c>
      <c r="BJ288" s="951">
        <f>IF(AY288=0,0,(AZ288-AY288)/AY288*100)</f>
        <v>0</v>
      </c>
      <c r="BK288" s="951">
        <f>IF(AZ288=0,0,(BA288-AZ288)/AZ288*100)</f>
        <v>0</v>
      </c>
      <c r="BL288" s="951">
        <f>IF(BA288=0,0,(BB288-BA288)/BA288*100)</f>
        <v>0</v>
      </c>
      <c r="BM288" s="951">
        <f>IF(BB288=0,0,(BC288-BB288)/BB288*100)</f>
        <v>0</v>
      </c>
      <c r="BN288" s="6533"/>
      <c r="BO288" s="6525" t="s">
        <v>2532</v>
      </c>
      <c r="BP288" s="6533" t="s">
        <v>2533</v>
      </c>
      <c r="BQ288" s="1297"/>
      <c r="BR288" s="1297"/>
      <c r="BS288" s="1072" t="s">
        <v>1772</v>
      </c>
      <c r="BT288" s="1072"/>
      <c r="BU288" s="1072"/>
      <c r="BV288" s="987"/>
      <c r="BW288" s="987"/>
    </row>
    <row s="1656" customFormat="1" customHeight="1" ht="162.13541666666666">
      <c r="A289" s="1297"/>
      <c r="B289" s="986"/>
      <c r="C289" s="1297"/>
      <c r="D289" s="103" cm="1" t="str">
        <f t="array" ref="D289:D289">D288</f>
        <v>7</v>
      </c>
      <c r="E289" s="709">
        <v>22.5</v>
      </c>
      <c r="F289" s="50" cm="1" t="str">
        <f t="array" ref="F289:F289">OFFSET(E289,-1,1)</f>
        <v>1</v>
      </c>
      <c r="G289" s="154" t="s">
        <v>2425</v>
      </c>
      <c r="H289" s="1297"/>
      <c r="I289" s="154" t="s">
        <v>2426</v>
      </c>
      <c r="J289" s="1297"/>
      <c r="K289" s="154" t="s">
        <v>2426</v>
      </c>
      <c r="L289" s="988" t="s">
        <v>2094</v>
      </c>
      <c r="M289" s="103"/>
      <c r="N289" s="1297"/>
      <c r="O289" s="1297"/>
      <c r="P289" s="1297"/>
      <c r="Q289" s="1297"/>
      <c r="R289" s="1297"/>
      <c r="S289" s="1297"/>
      <c r="T289" s="468" cm="1" t="str">
        <f t="array" ref="T289:T289">T288</f>
        <v>true</v>
      </c>
      <c r="U289" s="1297"/>
      <c r="V289" s="1297"/>
      <c r="W289" s="1297"/>
      <c r="X289" s="1539"/>
      <c r="Y289" s="1297"/>
      <c r="Z289" s="1529"/>
      <c r="AA289" s="1297"/>
      <c r="AB289" s="296" t="str">
        <f>AB288&amp;".1"</f>
        <v>7.5.1</v>
      </c>
      <c r="AC289" s="788" t="s">
        <v>1773</v>
      </c>
      <c r="AD289" s="296" t="s">
        <v>936</v>
      </c>
      <c r="AE289" s="6531">
        <f>5397.86</f>
        <v>5397.86</v>
      </c>
      <c r="AF289" s="6531">
        <v>15637.9</v>
      </c>
      <c r="AG289" s="6531">
        <v>5397.86</v>
      </c>
      <c r="AH289" s="951">
        <f>AG289-AF289</f>
        <v>-10240.04</v>
      </c>
      <c r="AI289" s="6524">
        <v>15184.65</v>
      </c>
      <c r="AJ289" s="6524">
        <f>_xlfn.SUMIFS('Корректировка НВВ'!$AF$25:$AF$231,'Корректировка НВВ'!$F$25:$F$231,$F289,'Корректировка НВВ'!$I$25:$I$231,$G289)</f>
        <v>0</v>
      </c>
      <c r="AK289" s="1272"/>
      <c r="AL289" s="1272"/>
      <c r="AM289" s="1272"/>
      <c r="AN289" s="1272"/>
      <c r="AO289" s="1272"/>
      <c r="AP289" s="1272"/>
      <c r="AQ289" s="1272"/>
      <c r="AR289" s="1272"/>
      <c r="AS289" s="1272"/>
      <c r="AT289" s="6524">
        <v>190.22</v>
      </c>
      <c r="AU289" s="1272"/>
      <c r="AV289" s="1272"/>
      <c r="AW289" s="1272"/>
      <c r="AX289" s="1272"/>
      <c r="AY289" s="1272"/>
      <c r="AZ289" s="1272"/>
      <c r="BA289" s="1272"/>
      <c r="BB289" s="1272"/>
      <c r="BC289" s="1272"/>
      <c r="BD289" s="950"/>
      <c r="BE289" s="950"/>
      <c r="BF289" s="950"/>
      <c r="BG289" s="950"/>
      <c r="BH289" s="950"/>
      <c r="BI289" s="950"/>
      <c r="BJ289" s="950"/>
      <c r="BK289" s="950"/>
      <c r="BL289" s="950"/>
      <c r="BM289" s="950"/>
      <c r="BN289" s="6533" t="s">
        <v>2534</v>
      </c>
      <c r="BO289" s="6525" t="s">
        <v>2535</v>
      </c>
      <c r="BP289" s="6533" t="s">
        <v>2536</v>
      </c>
      <c r="BQ289" s="1297"/>
      <c r="BR289" s="1297"/>
      <c r="BS289" s="1072" t="s">
        <v>1774</v>
      </c>
      <c r="BT289" s="1072"/>
      <c r="BU289" s="1072"/>
      <c r="BV289" s="987"/>
      <c r="BW289" s="987"/>
    </row>
    <row s="1656" customFormat="1" customHeight="1" ht="21.9375">
      <c r="A290" s="1297"/>
      <c r="B290" s="986"/>
      <c r="C290" s="1297"/>
      <c r="D290" s="103" cm="1" t="str">
        <f t="array" ref="D290:D290">D289</f>
        <v>7</v>
      </c>
      <c r="E290" s="709">
        <v>22.5</v>
      </c>
      <c r="F290" s="50" cm="1" t="str">
        <f t="array" ref="F290:F290">OFFSET(E290,-1,1)</f>
        <v>1</v>
      </c>
      <c r="G290" s="154" t="s">
        <v>2427</v>
      </c>
      <c r="H290" s="1297"/>
      <c r="I290" s="154" t="s">
        <v>2428</v>
      </c>
      <c r="J290" s="1297"/>
      <c r="K290" s="154" t="s">
        <v>2428</v>
      </c>
      <c r="L290" s="988" t="s">
        <v>2096</v>
      </c>
      <c r="M290" s="103"/>
      <c r="N290" s="1297"/>
      <c r="O290" s="1297"/>
      <c r="P290" s="1297"/>
      <c r="Q290" s="1297"/>
      <c r="R290" s="1297"/>
      <c r="S290" s="1297"/>
      <c r="T290" s="468" cm="1" t="str">
        <f t="array" ref="T290:T290">T289</f>
        <v>true</v>
      </c>
      <c r="U290" s="1297"/>
      <c r="V290" s="1297"/>
      <c r="W290" s="1297"/>
      <c r="X290" s="1539"/>
      <c r="Y290" s="1297"/>
      <c r="Z290" s="1529"/>
      <c r="AA290" s="1297"/>
      <c r="AB290" s="296" t="str">
        <f>AB288&amp;".2"</f>
        <v>7.5.2</v>
      </c>
      <c r="AC290" s="788" t="s">
        <v>1775</v>
      </c>
      <c r="AD290" s="296" t="s">
        <v>936</v>
      </c>
      <c r="AE290" s="6531">
        <v>0</v>
      </c>
      <c r="AF290" s="6531"/>
      <c r="AG290" s="6531"/>
      <c r="AH290" s="951">
        <f>AG290-AF290</f>
        <v>0</v>
      </c>
      <c r="AI290" s="6524">
        <v>0</v>
      </c>
      <c r="AJ290" s="6524">
        <f>_xlfn.SUMIFS('Корректировка НВВ'!$AF$25:$AF$231,'Корректировка НВВ'!$F$25:$F$231,$F290,'Корректировка НВВ'!$I$25:$I$231,$G290)</f>
        <v>0</v>
      </c>
      <c r="AK290" s="1272"/>
      <c r="AL290" s="1272"/>
      <c r="AM290" s="1272"/>
      <c r="AN290" s="1272"/>
      <c r="AO290" s="1272"/>
      <c r="AP290" s="1272"/>
      <c r="AQ290" s="1272"/>
      <c r="AR290" s="1272"/>
      <c r="AS290" s="1272"/>
      <c r="AT290" s="6524">
        <f>_xlfn.SUMIFS('Корректировка НВВ'!$AG$25:$AG$231,'Корректировка НВВ'!$F$25:$F$231,$F290,'Корректировка НВВ'!$I$25:$I$231,$G290)</f>
        <v>0</v>
      </c>
      <c r="AU290" s="1272"/>
      <c r="AV290" s="1272"/>
      <c r="AW290" s="1272"/>
      <c r="AX290" s="1272"/>
      <c r="AY290" s="1272"/>
      <c r="AZ290" s="1272"/>
      <c r="BA290" s="1272"/>
      <c r="BB290" s="1272"/>
      <c r="BC290" s="1272"/>
      <c r="BD290" s="950"/>
      <c r="BE290" s="950"/>
      <c r="BF290" s="950"/>
      <c r="BG290" s="950"/>
      <c r="BH290" s="950"/>
      <c r="BI290" s="950"/>
      <c r="BJ290" s="950"/>
      <c r="BK290" s="950"/>
      <c r="BL290" s="950"/>
      <c r="BM290" s="950"/>
      <c r="BN290" s="6533"/>
      <c r="BO290" s="6525" t="str">
        <f>IF(_xlfn.IFERROR(INDEX('Корректировка НВВ'!$K$26:$L$231,MATCH($F290&amp;"8komm",'Корректировка НВВ'!$K$26:$K$231,0),2),"")=0,"",_xlfn.IFERROR(INDEX('Корректировка НВВ'!$K$26:$L$231,MATCH($F290&amp;"8komm",'Корректировка НВВ'!$K$26:$K$231,0),2),""))</f>
        <v/>
      </c>
      <c r="BP290" s="6533"/>
      <c r="BQ290" s="1297"/>
      <c r="BR290" s="1297"/>
      <c r="BS290" s="1072" t="s">
        <v>1776</v>
      </c>
      <c r="BT290" s="1072"/>
      <c r="BU290" s="1072"/>
      <c r="BV290" s="987"/>
      <c r="BW290" s="987"/>
    </row>
    <row s="1656" customFormat="1" customHeight="1" ht="14.625">
      <c r="A291" s="1297"/>
      <c r="B291" s="986"/>
      <c r="C291" s="1297"/>
      <c r="D291" s="103" cm="1" t="str">
        <f t="array" ref="D291:D291">D290</f>
        <v>7</v>
      </c>
      <c r="E291" s="709">
        <v>15</v>
      </c>
      <c r="F291" s="50" cm="1" t="str">
        <f t="array" ref="F291:F291">OFFSET(E291,-1,1)</f>
        <v>1</v>
      </c>
      <c r="G291" s="154" t="s">
        <v>332</v>
      </c>
      <c r="H291" s="1297"/>
      <c r="I291" s="154" t="s">
        <v>2100</v>
      </c>
      <c r="J291" s="1297"/>
      <c r="K291" s="154" t="s">
        <v>2100</v>
      </c>
      <c r="L291" s="988" t="s">
        <v>2099</v>
      </c>
      <c r="M291" s="103"/>
      <c r="N291" s="1297"/>
      <c r="O291" s="1297"/>
      <c r="P291" s="1297"/>
      <c r="Q291" s="1297"/>
      <c r="R291" s="1297"/>
      <c r="S291" s="1297"/>
      <c r="T291" s="468" cm="1" t="str">
        <f t="array" ref="T291:T291">T290</f>
        <v>true</v>
      </c>
      <c r="U291" s="1297"/>
      <c r="V291" s="1297"/>
      <c r="W291" s="1297"/>
      <c r="X291" s="1539"/>
      <c r="Y291" s="1297"/>
      <c r="Z291" s="1529"/>
      <c r="AA291" s="1297"/>
      <c r="AB291" s="296" t="str">
        <f>IF(B286,D287&amp;".8",D287&amp;".6")</f>
        <v>7.6</v>
      </c>
      <c r="AC291" s="789" t="s">
        <v>1777</v>
      </c>
      <c r="AD291" s="296" t="s">
        <v>936</v>
      </c>
      <c r="AE291" s="6531">
        <v>0</v>
      </c>
      <c r="AF291" s="6531"/>
      <c r="AG291" s="6531"/>
      <c r="AH291" s="951">
        <f>AG291-AF291</f>
        <v>0</v>
      </c>
      <c r="AI291" s="6524">
        <v>0</v>
      </c>
      <c r="AJ291" s="6524">
        <f>_xlfn.SUMIFS('Корректировка НВВ'!$AF$25:$AF$231,'Корректировка НВВ'!$F$25:$F$231,$F291,'Корректировка НВВ'!$I$25:$I$231,$G291)</f>
        <v>0</v>
      </c>
      <c r="AK291" s="1272"/>
      <c r="AL291" s="1272"/>
      <c r="AM291" s="1272"/>
      <c r="AN291" s="1272"/>
      <c r="AO291" s="1272"/>
      <c r="AP291" s="1272"/>
      <c r="AQ291" s="1272"/>
      <c r="AR291" s="1272"/>
      <c r="AS291" s="1272"/>
      <c r="AT291" s="6524">
        <f>_xlfn.SUMIFS('Корректировка НВВ'!$AG$25:$AG$231,'Корректировка НВВ'!$F$25:$F$231,$F291,'Корректировка НВВ'!$I$25:$I$231,$G291)</f>
        <v>0</v>
      </c>
      <c r="AU291" s="1272"/>
      <c r="AV291" s="1272"/>
      <c r="AW291" s="1272"/>
      <c r="AX291" s="1272"/>
      <c r="AY291" s="1272"/>
      <c r="AZ291" s="1272"/>
      <c r="BA291" s="1272"/>
      <c r="BB291" s="1272"/>
      <c r="BC291" s="1272"/>
      <c r="BD291" s="950"/>
      <c r="BE291" s="950"/>
      <c r="BF291" s="950"/>
      <c r="BG291" s="950"/>
      <c r="BH291" s="950"/>
      <c r="BI291" s="950"/>
      <c r="BJ291" s="950"/>
      <c r="BK291" s="950"/>
      <c r="BL291" s="950"/>
      <c r="BM291" s="950"/>
      <c r="BN291" s="6533"/>
      <c r="BO291" s="6525" t="str">
        <f>IF(_xlfn.IFERROR(INDEX('Корректировка НВВ'!$K$26:$L$231,MATCH($F291&amp;"9komm",'Корректировка НВВ'!$K$26:$K$231,0),2),"")=0,"",_xlfn.IFERROR(INDEX('Корректировка НВВ'!$K$26:$L$231,MATCH($F291&amp;"9komm",'Корректировка НВВ'!$K$26:$K$231,0),2),""))</f>
        <v/>
      </c>
      <c r="BP291" s="6533"/>
      <c r="BQ291" s="1297"/>
      <c r="BR291" s="1297"/>
      <c r="BS291" s="1072" t="s">
        <v>2429</v>
      </c>
      <c r="BT291" s="1072"/>
      <c r="BU291" s="1072"/>
      <c r="BV291" s="987"/>
      <c r="BW291" s="987"/>
    </row>
    <row s="1656" customFormat="1" customHeight="1" ht="14.625">
      <c r="A292" s="1297"/>
      <c r="B292" s="986"/>
      <c r="C292" s="1297"/>
      <c r="D292" s="103" cm="1" t="str">
        <f t="array" ref="D292:D292">D291</f>
        <v>7</v>
      </c>
      <c r="E292" s="709">
        <v>15</v>
      </c>
      <c r="F292" s="50" cm="1" t="str">
        <f t="array" ref="F292:F292">OFFSET(E292,-1,1)</f>
        <v>1</v>
      </c>
      <c r="G292" s="154" t="s">
        <v>2430</v>
      </c>
      <c r="H292" s="1297"/>
      <c r="I292" s="154" t="s">
        <v>2101</v>
      </c>
      <c r="J292" s="1297"/>
      <c r="K292" s="154" t="s">
        <v>2101</v>
      </c>
      <c r="L292" s="988" t="s">
        <v>2100</v>
      </c>
      <c r="M292" s="103"/>
      <c r="N292" s="1297"/>
      <c r="O292" s="1297"/>
      <c r="P292" s="1297"/>
      <c r="Q292" s="1297"/>
      <c r="R292" s="1297"/>
      <c r="S292" s="1297"/>
      <c r="T292" s="468" cm="1" t="str">
        <f t="array" ref="T292:T292">T291</f>
        <v>true</v>
      </c>
      <c r="U292" s="1297"/>
      <c r="V292" s="1297"/>
      <c r="W292" s="1297"/>
      <c r="X292" s="1539"/>
      <c r="Y292" s="1297"/>
      <c r="Z292" s="1529"/>
      <c r="AA292" s="1297"/>
      <c r="AB292" s="296" t="str">
        <f>IF(B286,D287&amp;".9",D287&amp;".7")</f>
        <v>7.7</v>
      </c>
      <c r="AC292" s="789" t="s">
        <v>1779</v>
      </c>
      <c r="AD292" s="296" t="s">
        <v>936</v>
      </c>
      <c r="AE292" s="6531">
        <v>0</v>
      </c>
      <c r="AF292" s="6531"/>
      <c r="AG292" s="6531"/>
      <c r="AH292" s="951">
        <f>AG292-AF292</f>
        <v>0</v>
      </c>
      <c r="AI292" s="6524">
        <v>0</v>
      </c>
      <c r="AJ292" s="6524">
        <f>_xlfn.SUMIFS('Корректировка НВВ'!$AF$25:$AF$231,'Корректировка НВВ'!$F$25:$F$231,$F292,'Корректировка НВВ'!$I$25:$I$231,$G292)</f>
        <v>0</v>
      </c>
      <c r="AK292" s="1272"/>
      <c r="AL292" s="1272"/>
      <c r="AM292" s="1272"/>
      <c r="AN292" s="1272"/>
      <c r="AO292" s="1272"/>
      <c r="AP292" s="1272"/>
      <c r="AQ292" s="1272"/>
      <c r="AR292" s="1272"/>
      <c r="AS292" s="1272"/>
      <c r="AT292" s="6524">
        <f>_xlfn.SUMIFS('Корректировка НВВ'!$AG$25:$AG$231,'Корректировка НВВ'!$F$25:$F$231,$F292,'Корректировка НВВ'!$I$25:$I$231,$G292)</f>
        <v>0</v>
      </c>
      <c r="AU292" s="1272"/>
      <c r="AV292" s="1272"/>
      <c r="AW292" s="1272"/>
      <c r="AX292" s="1272"/>
      <c r="AY292" s="1272"/>
      <c r="AZ292" s="1272"/>
      <c r="BA292" s="1272"/>
      <c r="BB292" s="1272"/>
      <c r="BC292" s="1272"/>
      <c r="BD292" s="950"/>
      <c r="BE292" s="950"/>
      <c r="BF292" s="950"/>
      <c r="BG292" s="950"/>
      <c r="BH292" s="950"/>
      <c r="BI292" s="950"/>
      <c r="BJ292" s="950"/>
      <c r="BK292" s="950"/>
      <c r="BL292" s="950"/>
      <c r="BM292" s="950"/>
      <c r="BN292" s="6533"/>
      <c r="BO292" s="6525" t="str">
        <f>IF(_xlfn.IFERROR(INDEX('Корректировка НВВ'!$K$26:$L$231,MATCH($F292&amp;"10komm",'Корректировка НВВ'!$K$26:$K$231,0),2),"")=0,"",_xlfn.IFERROR(INDEX('Корректировка НВВ'!$K$26:$L$231,MATCH($F292&amp;"10komm",'Корректировка НВВ'!$K$26:$K$231,0),2),""))</f>
        <v/>
      </c>
      <c r="BP292" s="6533"/>
      <c r="BQ292" s="1297"/>
      <c r="BR292" s="1297"/>
      <c r="BS292" s="1072" t="s">
        <v>1780</v>
      </c>
      <c r="BT292" s="1072"/>
      <c r="BU292" s="1072"/>
      <c r="BV292" s="987"/>
      <c r="BW292" s="987"/>
    </row>
    <row s="6586" customFormat="1" customHeight="1" ht="168.82192611694336">
      <c r="A293" s="706"/>
      <c r="B293" s="437"/>
      <c r="C293" s="706"/>
      <c r="D293" s="105">
        <f>D292+1</f>
        <v>8</v>
      </c>
      <c r="E293" s="713">
        <v>21</v>
      </c>
      <c r="F293" s="50" cm="1" t="str">
        <f t="array" ref="F293:F293">OFFSET(E293,-1,1)</f>
        <v>1</v>
      </c>
      <c r="G293" s="706"/>
      <c r="H293" s="706"/>
      <c r="I293" s="158" t="s">
        <v>707</v>
      </c>
      <c r="J293" s="706"/>
      <c r="K293" s="158" t="s">
        <v>707</v>
      </c>
      <c r="L293" s="993"/>
      <c r="M293" s="105"/>
      <c r="N293" s="706"/>
      <c r="O293" s="706"/>
      <c r="P293" s="706"/>
      <c r="Q293" s="706"/>
      <c r="R293" s="706"/>
      <c r="S293" s="706"/>
      <c r="T293" s="468" cm="1" t="str">
        <f t="array" ref="T293:T293">T292</f>
        <v>true</v>
      </c>
      <c r="U293" s="706"/>
      <c r="V293" s="706"/>
      <c r="W293" s="706"/>
      <c r="X293" s="1539"/>
      <c r="Y293" s="706"/>
      <c r="Z293" s="1529"/>
      <c r="AA293" s="706"/>
      <c r="AB293" s="207" cm="1" t="str">
        <f t="array" ref="AB293:AB293">D293</f>
        <v>8</v>
      </c>
      <c r="AC293" s="208" t="s">
        <v>2431</v>
      </c>
      <c r="AD293" s="207" t="s">
        <v>936</v>
      </c>
      <c r="AE293" s="6350">
        <v>-59476.06</v>
      </c>
      <c r="AF293" s="6350">
        <v>-59476.06</v>
      </c>
      <c r="AG293" s="6350">
        <v>-59476.06</v>
      </c>
      <c r="AH293" s="768">
        <f>AG293-AF293</f>
        <v>0</v>
      </c>
      <c r="AI293" s="6519">
        <v>-75616.7962891397</v>
      </c>
      <c r="AJ293" s="6519">
        <v>202273.1</v>
      </c>
      <c r="AK293" s="1265"/>
      <c r="AL293" s="1265"/>
      <c r="AM293" s="1265"/>
      <c r="AN293" s="1265"/>
      <c r="AO293" s="1265"/>
      <c r="AP293" s="1265"/>
      <c r="AQ293" s="1265"/>
      <c r="AR293" s="1265"/>
      <c r="AS293" s="1265"/>
      <c r="AT293" s="6519">
        <f>-108432.02+136.44</f>
        <v>-108295.58</v>
      </c>
      <c r="AU293" s="1265"/>
      <c r="AV293" s="1265"/>
      <c r="AW293" s="1265"/>
      <c r="AX293" s="1265"/>
      <c r="AY293" s="1265"/>
      <c r="AZ293" s="1265"/>
      <c r="BA293" s="1265"/>
      <c r="BB293" s="1265"/>
      <c r="BC293" s="1265"/>
      <c r="BD293" s="771"/>
      <c r="BE293" s="771"/>
      <c r="BF293" s="771"/>
      <c r="BG293" s="771"/>
      <c r="BH293" s="771"/>
      <c r="BI293" s="771"/>
      <c r="BJ293" s="771"/>
      <c r="BK293" s="771"/>
      <c r="BL293" s="771"/>
      <c r="BM293" s="771"/>
      <c r="BN293" s="6587" t="s">
        <v>2537</v>
      </c>
      <c r="BO293" s="6292" t="s">
        <v>2538</v>
      </c>
      <c r="BP293" s="6292" t="s">
        <v>2539</v>
      </c>
      <c r="BQ293" s="706"/>
      <c r="BR293" s="706"/>
      <c r="BS293" s="1078" t="s">
        <v>2432</v>
      </c>
      <c r="BT293" s="1078"/>
      <c r="BU293" s="1078"/>
      <c r="BV293" s="713"/>
      <c r="BW293" s="713"/>
    </row>
    <row s="1656" customFormat="1" customHeight="1" ht="19.635416666666664">
      <c r="A294" s="1297"/>
      <c r="B294" s="986"/>
      <c r="C294" s="1297"/>
      <c r="D294" s="105" cm="1" t="str">
        <f t="array" ref="D294:D294">D293</f>
        <v>8</v>
      </c>
      <c r="E294" s="709">
        <v>15</v>
      </c>
      <c r="F294" s="50" cm="1" t="str">
        <f t="array" ref="F294:F294">OFFSET(E294,-1,1)</f>
        <v>1</v>
      </c>
      <c r="G294" s="1297"/>
      <c r="H294" s="1297"/>
      <c r="I294" s="154" t="s">
        <v>710</v>
      </c>
      <c r="J294" s="1297"/>
      <c r="K294" s="154" t="s">
        <v>710</v>
      </c>
      <c r="L294" s="988"/>
      <c r="M294" s="103"/>
      <c r="N294" s="1297"/>
      <c r="O294" s="1297"/>
      <c r="P294" s="1297"/>
      <c r="Q294" s="1297"/>
      <c r="R294" s="1297"/>
      <c r="S294" s="1297"/>
      <c r="T294" s="468" cm="1" t="str">
        <f t="array" ref="T294:T294">T293</f>
        <v>true</v>
      </c>
      <c r="U294" s="1297"/>
      <c r="V294" s="1297"/>
      <c r="W294" s="1297"/>
      <c r="X294" s="1539"/>
      <c r="Y294" s="1297"/>
      <c r="Z294" s="1529"/>
      <c r="AA294" s="1297"/>
      <c r="AB294" s="296" t="str">
        <f>D294&amp;".1"</f>
        <v>8.1</v>
      </c>
      <c r="AC294" s="769" t="s">
        <v>2433</v>
      </c>
      <c r="AD294" s="296" t="s">
        <v>561</v>
      </c>
      <c r="AE294" s="255">
        <f>IF(AE295=0,0,AE293/(AE295+AE280)*100)</f>
        <v>-9.89653203053958</v>
      </c>
      <c r="AF294" s="255">
        <f>IF(AF295=0,0,AF293/(AF295+AF280)*100)</f>
        <v>-9.62326452027324</v>
      </c>
      <c r="AG294" s="255">
        <f>IF(AG295=0,0,AG293/(AG295+AG280)*100)</f>
        <v>-10.1194534314706</v>
      </c>
      <c r="AH294" s="951">
        <f>AG294-AF294</f>
        <v>-0.496188911197359</v>
      </c>
      <c r="AI294" s="951">
        <f>IF(AI295=0,0,AI293/(AI295+AI280)*100)</f>
        <v>-11.6907250794256</v>
      </c>
      <c r="AJ294" s="951">
        <f>IF(AJ295=0,0,AJ293/(AJ295+AJ280)*100)</f>
        <v>22.9694675080643</v>
      </c>
      <c r="AK294" s="951">
        <f>IF(AK295=0,0,AK293/(AK295+AK280)*100)</f>
        <v>0</v>
      </c>
      <c r="AL294" s="951">
        <f>IF(AL295=0,0,AL293/(AL295+AL280)*100)</f>
        <v>0</v>
      </c>
      <c r="AM294" s="951">
        <f>IF(AM295=0,0,AM293/(AM295+AM280)*100)</f>
        <v>0</v>
      </c>
      <c r="AN294" s="951">
        <f>IF(AN295=0,0,AN293/(AN295+AN280)*100)</f>
        <v>0</v>
      </c>
      <c r="AO294" s="951">
        <f>IF(AO295=0,0,AO293/(AO295+AO280)*100)</f>
        <v>0</v>
      </c>
      <c r="AP294" s="951">
        <f>IF(AP295=0,0,AP293/(AP295+AP280)*100)</f>
        <v>0</v>
      </c>
      <c r="AQ294" s="951">
        <f>IF(AQ295=0,0,AQ293/(AQ295+AQ280)*100)</f>
        <v>0</v>
      </c>
      <c r="AR294" s="951">
        <f>IF(AR295=0,0,AR293/(AR295+AR280)*100)</f>
        <v>0</v>
      </c>
      <c r="AS294" s="951">
        <f>IF(AS295=0,0,AS293/(AS295+AS280)*100)</f>
        <v>0</v>
      </c>
      <c r="AT294" s="951">
        <f>IF(AT295=0,0,AT293/(AT295+AT280)*100)</f>
        <v>-14.7315677613963</v>
      </c>
      <c r="AU294" s="951">
        <f>IF(AU295=0,0,AU293/(AU295+AU280)*100)</f>
        <v>0</v>
      </c>
      <c r="AV294" s="951">
        <f>IF(AV295=0,0,AV293/(AV295+AV280)*100)</f>
        <v>0</v>
      </c>
      <c r="AW294" s="951">
        <f>IF(AW295=0,0,AW293/(AW295+AW280)*100)</f>
        <v>0</v>
      </c>
      <c r="AX294" s="951">
        <f>IF(AX295=0,0,AX293/(AX295+AX280)*100)</f>
        <v>0</v>
      </c>
      <c r="AY294" s="951">
        <f>IF(AY295=0,0,AY293/(AY295+AY280)*100)</f>
        <v>0</v>
      </c>
      <c r="AZ294" s="951">
        <f>IF(AZ295=0,0,AZ293/(AZ295+AZ280)*100)</f>
        <v>0</v>
      </c>
      <c r="BA294" s="951">
        <f>IF(BA295=0,0,BA293/(BA295+BA280)*100)</f>
        <v>0</v>
      </c>
      <c r="BB294" s="951">
        <f>IF(BB295=0,0,BB293/(BB295+BB280)*100)</f>
        <v>0</v>
      </c>
      <c r="BC294" s="951">
        <f>IF(BC295=0,0,BC293/(BC295+BC280)*100)</f>
        <v>0</v>
      </c>
      <c r="BD294" s="950"/>
      <c r="BE294" s="950"/>
      <c r="BF294" s="950"/>
      <c r="BG294" s="950"/>
      <c r="BH294" s="950"/>
      <c r="BI294" s="950"/>
      <c r="BJ294" s="950"/>
      <c r="BK294" s="950"/>
      <c r="BL294" s="950"/>
      <c r="BM294" s="950"/>
      <c r="BN294" s="6533"/>
      <c r="BO294" s="6533"/>
      <c r="BP294" s="6533"/>
      <c r="BQ294" s="1297"/>
      <c r="BR294" s="1297"/>
      <c r="BS294" s="1072" t="s">
        <v>2434</v>
      </c>
      <c r="BT294" s="1072"/>
      <c r="BU294" s="1072"/>
      <c r="BV294" s="987"/>
      <c r="BW294" s="987"/>
    </row>
    <row s="6588" customFormat="1" customHeight="1" ht="32.96875">
      <c r="A295" s="706"/>
      <c r="B295" s="437"/>
      <c r="C295" s="706"/>
      <c r="D295" s="105">
        <f>D294+1</f>
        <v>9</v>
      </c>
      <c r="E295" s="713">
        <v>21</v>
      </c>
      <c r="F295" s="50" cm="1" t="str">
        <f t="array" ref="F295:F295">OFFSET(E295,-1,1)</f>
        <v>1</v>
      </c>
      <c r="G295" s="706"/>
      <c r="H295" s="154"/>
      <c r="I295" s="154" t="s">
        <v>864</v>
      </c>
      <c r="J295" s="706"/>
      <c r="K295" s="154" t="s">
        <v>864</v>
      </c>
      <c r="L295" s="993" t="s">
        <v>2101</v>
      </c>
      <c r="M295" s="105"/>
      <c r="N295" s="706"/>
      <c r="O295" s="706"/>
      <c r="P295" s="706"/>
      <c r="Q295" s="706"/>
      <c r="R295" s="706"/>
      <c r="S295" s="706"/>
      <c r="T295" s="468" cm="1" t="str">
        <f t="array" ref="T295:T295">T294</f>
        <v>true</v>
      </c>
      <c r="U295" s="706"/>
      <c r="V295" s="706"/>
      <c r="W295" s="706"/>
      <c r="X295" s="1539"/>
      <c r="Y295" s="706"/>
      <c r="Z295" s="1529"/>
      <c r="AA295" s="706"/>
      <c r="AB295" s="207" cm="1" t="str">
        <f t="array" ref="AB295:AB295">D295</f>
        <v>9</v>
      </c>
      <c r="AC295" s="208" t="s">
        <v>2102</v>
      </c>
      <c r="AD295" s="230" t="s">
        <v>936</v>
      </c>
      <c r="AE295" s="209">
        <f>AE172+AE223+AE259+AE260+AE262+AE267+AE268+AE271</f>
        <v>577346.895671154</v>
      </c>
      <c r="AF295" s="209">
        <f>AF172+AF223+AF259+AF260+AF262+AF267+AF268+AF271</f>
        <v>588388.31026</v>
      </c>
      <c r="AG295" s="209">
        <f>AG172+AG223+AG259+AG260+AG262+AG267+AG268+AG271</f>
        <v>562494.13586</v>
      </c>
      <c r="AH295" s="768">
        <f>AG295-AF295</f>
        <v>-25894.1744</v>
      </c>
      <c r="AI295" s="209">
        <f>AI172+AI223+AI259+AI260+AI262+AI267+AI268+AI271</f>
        <v>629555.3652008</v>
      </c>
      <c r="AJ295" s="209">
        <f>AJ172+AJ223+AJ259+AJ260+AJ262+AJ267+AJ268+AJ271</f>
        <v>751087.11</v>
      </c>
      <c r="AK295" s="209">
        <f>AK172+AK223+AK259+AK260+AK262+AK267+AK268+AK271</f>
        <v>380187.01</v>
      </c>
      <c r="AL295" s="209">
        <f>AL172+AL223+AL259+AL260+AL262+AL267+AL268+AL271</f>
        <v>380187.01</v>
      </c>
      <c r="AM295" s="209">
        <f>AM172+AM223+AM259+AM260+AM262+AM267+AM268+AM271</f>
        <v>380187.01</v>
      </c>
      <c r="AN295" s="209">
        <f>AN172+AN223+AN259+AN260+AN262+AN267+AN268+AN271</f>
        <v>380187.01</v>
      </c>
      <c r="AO295" s="209">
        <f>AO172+AO223+AO259+AO260+AO262+AO267+AO268+AO271</f>
        <v>380187.01</v>
      </c>
      <c r="AP295" s="209">
        <f>AP172+AP223+AP259+AP260+AP262+AP267+AP268+AP271</f>
        <v>380187.01</v>
      </c>
      <c r="AQ295" s="209">
        <f>AQ172+AQ223+AQ259+AQ260+AQ262+AQ267+AQ268+AQ271</f>
        <v>380187.01</v>
      </c>
      <c r="AR295" s="209">
        <f>AR172+AR223+AR259+AR260+AR262+AR267+AR268+AR271</f>
        <v>380187.01</v>
      </c>
      <c r="AS295" s="209">
        <f>AS172+AS223+AS259+AS260+AS262+AS267+AS268+AS271</f>
        <v>380187.01</v>
      </c>
      <c r="AT295" s="209">
        <f>AT172+AT223+AT259+AT260+AT262+AT267+AT268+AT271</f>
        <v>715042.02725</v>
      </c>
      <c r="AU295" s="209">
        <f>AU172+AU223+AU259+AU260+AU262+AU267+AU268+AU271</f>
        <v>347188.27</v>
      </c>
      <c r="AV295" s="209">
        <f>AV172+AV223+AV259+AV260+AV262+AV267+AV268+AV271</f>
        <v>347188.27</v>
      </c>
      <c r="AW295" s="209">
        <f>AW172+AW223+AW259+AW260+AW262+AW267+AW268+AW271</f>
        <v>347188.27</v>
      </c>
      <c r="AX295" s="209">
        <f>AX172+AX223+AX259+AX260+AX262+AX267+AX268+AX271</f>
        <v>347188.27</v>
      </c>
      <c r="AY295" s="209">
        <f>AY172+AY223+AY259+AY260+AY262+AY267+AY268+AY271</f>
        <v>347188.27</v>
      </c>
      <c r="AZ295" s="209">
        <f>AZ172+AZ223+AZ259+AZ260+AZ262+AZ267+AZ268+AZ271</f>
        <v>347188.27</v>
      </c>
      <c r="BA295" s="209">
        <f>BA172+BA223+BA259+BA260+BA262+BA267+BA268+BA271</f>
        <v>347188.27</v>
      </c>
      <c r="BB295" s="209">
        <f>BB172+BB223+BB259+BB260+BB262+BB267+BB268+BB271</f>
        <v>347188.27</v>
      </c>
      <c r="BC295" s="209">
        <f>BC172+BC223+BC259+BC260+BC262+BC267+BC268+BC271</f>
        <v>347188.27</v>
      </c>
      <c r="BD295" s="768">
        <f>IF(AI295=0,0,(AT295-AI295)/AI295*100)</f>
        <v>13.5788950066264</v>
      </c>
      <c r="BE295" s="768">
        <f>IF(AT295=0,0,(AU295-AT295)/AT295*100)</f>
        <v>-51.4450540291651</v>
      </c>
      <c r="BF295" s="768">
        <f>IF(AU295=0,0,(AV295-AU295)/AU295*100)</f>
        <v>0</v>
      </c>
      <c r="BG295" s="768">
        <f>IF(AV295=0,0,(AW295-AV295)/AV295*100)</f>
        <v>0</v>
      </c>
      <c r="BH295" s="768">
        <f>IF(AW295=0,0,(AX295-AW295)/AW295*100)</f>
        <v>0</v>
      </c>
      <c r="BI295" s="768">
        <f>IF(AX295=0,0,(AY295-AX295)/AX295*100)</f>
        <v>0</v>
      </c>
      <c r="BJ295" s="768">
        <f>IF(AY295=0,0,(AZ295-AY295)/AY295*100)</f>
        <v>0</v>
      </c>
      <c r="BK295" s="768">
        <f>IF(AZ295=0,0,(BA295-AZ295)/AZ295*100)</f>
        <v>0</v>
      </c>
      <c r="BL295" s="768">
        <f>IF(BA295=0,0,(BB295-BA295)/BA295*100)</f>
        <v>0</v>
      </c>
      <c r="BM295" s="768">
        <f>IF(BB295=0,0,(BC295-BB295)/BB295*100)</f>
        <v>0</v>
      </c>
      <c r="BN295" s="6532" t="s">
        <v>2540</v>
      </c>
      <c r="BO295" s="6533"/>
      <c r="BP295" s="6533"/>
      <c r="BQ295" s="706"/>
      <c r="BR295" s="706"/>
      <c r="BS295" s="1078" t="s">
        <v>2103</v>
      </c>
      <c r="BT295" s="1078"/>
      <c r="BU295" s="1078"/>
      <c r="BV295" s="713"/>
      <c r="BW295" s="713"/>
    </row>
    <row s="6589" customFormat="1" customHeight="1" ht="72.13541666666667">
      <c r="A296" s="706"/>
      <c r="B296" s="437"/>
      <c r="C296" s="706"/>
      <c r="D296" s="105">
        <f>D295+1</f>
        <v>10</v>
      </c>
      <c r="E296" s="713">
        <v>21</v>
      </c>
      <c r="F296" s="50" cm="1" t="str">
        <f t="array" ref="F296:F296">OFFSET(E296,-1,1)</f>
        <v>1</v>
      </c>
      <c r="G296" s="706"/>
      <c r="H296" s="154"/>
      <c r="I296" s="154" t="s">
        <v>2112</v>
      </c>
      <c r="J296" s="706"/>
      <c r="K296" s="154" t="s">
        <v>2112</v>
      </c>
      <c r="L296" s="993"/>
      <c r="M296" s="105"/>
      <c r="N296" s="706"/>
      <c r="O296" s="706"/>
      <c r="P296" s="706"/>
      <c r="Q296" s="706"/>
      <c r="R296" s="706"/>
      <c r="S296" s="706"/>
      <c r="T296" s="468" cm="1" t="str">
        <f t="array" ref="T296:T296">T295</f>
        <v>true</v>
      </c>
      <c r="U296" s="706"/>
      <c r="V296" s="706"/>
      <c r="W296" s="706"/>
      <c r="X296" s="1539"/>
      <c r="Y296" s="706"/>
      <c r="Z296" s="1529"/>
      <c r="AA296" s="706"/>
      <c r="AB296" s="207" cm="1" t="str">
        <f t="array" ref="AB296:AB296">D296</f>
        <v>10</v>
      </c>
      <c r="AC296" s="208" t="s">
        <v>2435</v>
      </c>
      <c r="AD296" s="207" t="s">
        <v>936</v>
      </c>
      <c r="AE296" s="209">
        <f>AE295+AE280+AE293</f>
        <v>541502.745671154</v>
      </c>
      <c r="AF296" s="209">
        <f>AF295+AF280+AF293</f>
        <v>558568.47026</v>
      </c>
      <c r="AG296" s="209">
        <f>AG295+AG280+AG293</f>
        <v>528263.78586</v>
      </c>
      <c r="AH296" s="777">
        <f>AH295+AH280+AH293</f>
        <v>-30304.6844</v>
      </c>
      <c r="AI296" s="777">
        <f>AI295+AI280+AI293</f>
        <v>571193.35257166</v>
      </c>
      <c r="AJ296" s="777">
        <f>AJ295+AJ280+AJ293</f>
        <v>1082890.38</v>
      </c>
      <c r="AK296" s="777">
        <f>AK295+AK280+AK293</f>
        <v>380187.01</v>
      </c>
      <c r="AL296" s="777">
        <f>AL295+AL280+AL293</f>
        <v>380187.01</v>
      </c>
      <c r="AM296" s="777">
        <f>AM295+AM280+AM293</f>
        <v>380187.01</v>
      </c>
      <c r="AN296" s="777">
        <f>AN295+AN280+AN293</f>
        <v>380187.01</v>
      </c>
      <c r="AO296" s="777">
        <f>AO295+AO280+AO293</f>
        <v>380187.01</v>
      </c>
      <c r="AP296" s="777">
        <f>AP295+AP280+AP293</f>
        <v>380187.01</v>
      </c>
      <c r="AQ296" s="777">
        <f>AQ295+AQ280+AQ293</f>
        <v>380187.01</v>
      </c>
      <c r="AR296" s="777">
        <f>AR295+AR280+AR293</f>
        <v>380187.01</v>
      </c>
      <c r="AS296" s="777">
        <f>AS295+AS280+AS293</f>
        <v>380187.01</v>
      </c>
      <c r="AT296" s="777">
        <f>AT295+AT280+AT293</f>
        <v>626830.38727</v>
      </c>
      <c r="AU296" s="777">
        <f>AU295+AU280+AU293</f>
        <v>347188.27</v>
      </c>
      <c r="AV296" s="777">
        <f>AV295+AV280+AV293</f>
        <v>347188.27</v>
      </c>
      <c r="AW296" s="777">
        <f>AW295+AW280+AW293</f>
        <v>347188.27</v>
      </c>
      <c r="AX296" s="777">
        <f>AX295+AX280+AX293</f>
        <v>347188.27</v>
      </c>
      <c r="AY296" s="777">
        <f>AY295+AY280+AY293</f>
        <v>347188.27</v>
      </c>
      <c r="AZ296" s="777">
        <f>AZ295+AZ280+AZ293</f>
        <v>347188.27</v>
      </c>
      <c r="BA296" s="777">
        <f>BA295+BA280+BA293</f>
        <v>347188.27</v>
      </c>
      <c r="BB296" s="777">
        <f>BB295+BB280+BB293</f>
        <v>347188.27</v>
      </c>
      <c r="BC296" s="777">
        <f>BC295+BC280+BC293</f>
        <v>347188.27</v>
      </c>
      <c r="BD296" s="768">
        <f>IF(AI296=0,0,(AT296-AI296)/AI296*100)</f>
        <v>9.74049057956429</v>
      </c>
      <c r="BE296" s="768">
        <f>IF(AT296=0,0,(AU296-AT296)/AT296*100)</f>
        <v>-44.6120869295935</v>
      </c>
      <c r="BF296" s="768">
        <f>IF(AU296=0,0,(AV296-AU296)/AU296*100)</f>
        <v>0</v>
      </c>
      <c r="BG296" s="768">
        <f>IF(AV296=0,0,(AW296-AV296)/AV296*100)</f>
        <v>0</v>
      </c>
      <c r="BH296" s="768">
        <f>IF(AW296=0,0,(AX296-AW296)/AW296*100)</f>
        <v>0</v>
      </c>
      <c r="BI296" s="768">
        <f>IF(AX296=0,0,(AY296-AX296)/AX296*100)</f>
        <v>0</v>
      </c>
      <c r="BJ296" s="768">
        <f>IF(AY296=0,0,(AZ296-AY296)/AY296*100)</f>
        <v>0</v>
      </c>
      <c r="BK296" s="768">
        <f>IF(AZ296=0,0,(BA296-AZ296)/AZ296*100)</f>
        <v>0</v>
      </c>
      <c r="BL296" s="768">
        <f>IF(BA296=0,0,(BB296-BA296)/BA296*100)</f>
        <v>0</v>
      </c>
      <c r="BM296" s="768">
        <f>IF(BB296=0,0,(BC296-BB296)/BB296*100)</f>
        <v>0</v>
      </c>
      <c r="BN296" s="6532" t="s">
        <v>2541</v>
      </c>
      <c r="BO296" s="6533"/>
      <c r="BP296" s="6533" t="s">
        <v>2542</v>
      </c>
      <c r="BQ296" s="706"/>
      <c r="BR296" s="706"/>
      <c r="BS296" s="1078" t="s">
        <v>2436</v>
      </c>
      <c r="BT296" s="1078"/>
      <c r="BU296" s="1078"/>
      <c r="BV296" s="713"/>
      <c r="BW296" s="713"/>
    </row>
    <row s="1656" customFormat="1" customHeight="1" ht="14.25" hidden="1">
      <c r="A297" s="1297"/>
      <c r="B297" s="447">
        <f>A171="двухставочный"</f>
        <v>0</v>
      </c>
      <c r="C297" s="1297"/>
      <c r="D297" s="103" cm="1" t="str">
        <f t="array" ref="D297:D297">D296</f>
        <v>10</v>
      </c>
      <c r="E297" s="709">
        <v>15</v>
      </c>
      <c r="F297" s="50" cm="1" t="str">
        <f t="array" ref="F297:F297">OFFSET(E297,-1,1)</f>
        <v>1</v>
      </c>
      <c r="G297" s="1297"/>
      <c r="H297" s="49"/>
      <c r="I297" s="375" t="s">
        <v>2115</v>
      </c>
      <c r="J297" s="1297"/>
      <c r="K297" s="375" t="s">
        <v>2115</v>
      </c>
      <c r="L297" s="988" t="s">
        <v>2104</v>
      </c>
      <c r="M297" s="103"/>
      <c r="N297" s="1297"/>
      <c r="O297" s="1297"/>
      <c r="P297" s="1297"/>
      <c r="Q297" s="1297"/>
      <c r="R297" s="1297"/>
      <c r="S297" s="1297"/>
      <c r="T297" s="468" cm="1" t="str">
        <f t="array" ref="T297:T297">T296</f>
        <v>true</v>
      </c>
      <c r="U297" s="1297"/>
      <c r="V297" s="1297"/>
      <c r="W297" s="1297"/>
      <c r="X297" s="1539"/>
      <c r="Y297" s="1297"/>
      <c r="Z297" s="1529"/>
      <c r="AA297" s="1297"/>
      <c r="AB297" s="296" t="str">
        <f>D297&amp;".1"</f>
        <v>10.1</v>
      </c>
      <c r="AC297" s="789" t="s">
        <v>2106</v>
      </c>
      <c r="AD297" s="296" t="s">
        <v>936</v>
      </c>
      <c r="AE297" s="1274"/>
      <c r="AF297" s="1274"/>
      <c r="AG297" s="1274"/>
      <c r="AH297" s="951">
        <f>AG297-AF297</f>
        <v>0</v>
      </c>
      <c r="AI297" s="1272"/>
      <c r="AJ297" s="1272"/>
      <c r="AK297" s="1272"/>
      <c r="AL297" s="1272"/>
      <c r="AM297" s="1272"/>
      <c r="AN297" s="1272"/>
      <c r="AO297" s="1272"/>
      <c r="AP297" s="1272"/>
      <c r="AQ297" s="1272"/>
      <c r="AR297" s="1272"/>
      <c r="AS297" s="1272"/>
      <c r="AT297" s="1272"/>
      <c r="AU297" s="1272"/>
      <c r="AV297" s="1272"/>
      <c r="AW297" s="1272"/>
      <c r="AX297" s="1272"/>
      <c r="AY297" s="1272"/>
      <c r="AZ297" s="1272"/>
      <c r="BA297" s="1272"/>
      <c r="BB297" s="1272"/>
      <c r="BC297" s="1272"/>
      <c r="BD297" s="950"/>
      <c r="BE297" s="950"/>
      <c r="BF297" s="950"/>
      <c r="BG297" s="950"/>
      <c r="BH297" s="950"/>
      <c r="BI297" s="950"/>
      <c r="BJ297" s="950"/>
      <c r="BK297" s="950"/>
      <c r="BL297" s="950"/>
      <c r="BM297" s="950"/>
      <c r="BN297" s="1275"/>
      <c r="BO297" s="1275"/>
      <c r="BP297" s="1275"/>
      <c r="BQ297" s="1297"/>
      <c r="BR297" s="1297"/>
      <c r="BS297" s="1070" t="s">
        <v>2107</v>
      </c>
      <c r="BT297" s="1072"/>
      <c r="BU297" s="1072"/>
      <c r="BV297" s="987"/>
      <c r="BW297" s="987"/>
    </row>
    <row s="1656" customFormat="1" customHeight="1" ht="14.25" hidden="1">
      <c r="A298" s="1297"/>
      <c r="B298" s="447">
        <f>A171="двухставочный"</f>
        <v>0</v>
      </c>
      <c r="C298" s="1297"/>
      <c r="D298" s="103" cm="1" t="str">
        <f t="array" ref="D298:D298">D297</f>
        <v>10</v>
      </c>
      <c r="E298" s="709">
        <v>15</v>
      </c>
      <c r="F298" s="50" cm="1" t="str">
        <f t="array" ref="F298:F298">OFFSET(E298,-1,1)</f>
        <v>1</v>
      </c>
      <c r="G298" s="1297"/>
      <c r="H298" s="49"/>
      <c r="I298" s="375" t="s">
        <v>2119</v>
      </c>
      <c r="J298" s="1297"/>
      <c r="K298" s="375" t="s">
        <v>2119</v>
      </c>
      <c r="L298" s="988" t="s">
        <v>2108</v>
      </c>
      <c r="M298" s="103"/>
      <c r="N298" s="1297"/>
      <c r="O298" s="1297"/>
      <c r="P298" s="1297"/>
      <c r="Q298" s="1297"/>
      <c r="R298" s="1297"/>
      <c r="S298" s="1297"/>
      <c r="T298" s="468" cm="1" t="str">
        <f t="array" ref="T298:T298">T297</f>
        <v>true</v>
      </c>
      <c r="U298" s="1297"/>
      <c r="V298" s="1297"/>
      <c r="W298" s="1297"/>
      <c r="X298" s="1539"/>
      <c r="Y298" s="1297"/>
      <c r="Z298" s="1529"/>
      <c r="AA298" s="1297"/>
      <c r="AB298" s="296" t="str">
        <f>D298&amp;".2"</f>
        <v>10.2</v>
      </c>
      <c r="AC298" s="789" t="s">
        <v>2110</v>
      </c>
      <c r="AD298" s="296" t="s">
        <v>936</v>
      </c>
      <c r="AE298" s="1274"/>
      <c r="AF298" s="1274"/>
      <c r="AG298" s="1274"/>
      <c r="AH298" s="951">
        <f>AG298-AF298</f>
        <v>0</v>
      </c>
      <c r="AI298" s="1272"/>
      <c r="AJ298" s="1272"/>
      <c r="AK298" s="1272"/>
      <c r="AL298" s="1272"/>
      <c r="AM298" s="1272"/>
      <c r="AN298" s="1272"/>
      <c r="AO298" s="1272"/>
      <c r="AP298" s="1272"/>
      <c r="AQ298" s="1272"/>
      <c r="AR298" s="1272"/>
      <c r="AS298" s="1272"/>
      <c r="AT298" s="1272"/>
      <c r="AU298" s="1272"/>
      <c r="AV298" s="1272"/>
      <c r="AW298" s="1272"/>
      <c r="AX298" s="1272"/>
      <c r="AY298" s="1272"/>
      <c r="AZ298" s="1272"/>
      <c r="BA298" s="1272"/>
      <c r="BB298" s="1272"/>
      <c r="BC298" s="1272"/>
      <c r="BD298" s="950"/>
      <c r="BE298" s="950"/>
      <c r="BF298" s="950"/>
      <c r="BG298" s="950"/>
      <c r="BH298" s="950"/>
      <c r="BI298" s="950"/>
      <c r="BJ298" s="950"/>
      <c r="BK298" s="950"/>
      <c r="BL298" s="950"/>
      <c r="BM298" s="950"/>
      <c r="BN298" s="1275"/>
      <c r="BO298" s="1275"/>
      <c r="BP298" s="1275"/>
      <c r="BQ298" s="1297"/>
      <c r="BR298" s="1297"/>
      <c r="BS298" s="1070" t="s">
        <v>2111</v>
      </c>
      <c r="BT298" s="1072"/>
      <c r="BU298" s="1072"/>
      <c r="BV298" s="987"/>
      <c r="BW298" s="987"/>
    </row>
    <row s="6590" customFormat="1" customHeight="1" ht="36.302083333333336">
      <c r="A299" s="706"/>
      <c r="B299" s="437"/>
      <c r="C299" s="706"/>
      <c r="D299" s="105">
        <f>D298+1</f>
        <v>11</v>
      </c>
      <c r="E299" s="713">
        <v>21</v>
      </c>
      <c r="F299" s="50" cm="1" t="str">
        <f t="array" ref="F299:F299">OFFSET(E299,-1,1)</f>
        <v>1</v>
      </c>
      <c r="G299" s="154" t="s">
        <v>1871</v>
      </c>
      <c r="H299" s="154"/>
      <c r="I299" s="154" t="s">
        <v>2139</v>
      </c>
      <c r="J299" s="706"/>
      <c r="K299" s="154" t="s">
        <v>2139</v>
      </c>
      <c r="L299" s="993" t="s">
        <v>2112</v>
      </c>
      <c r="M299" s="105"/>
      <c r="N299" s="706"/>
      <c r="O299" s="706"/>
      <c r="P299" s="706"/>
      <c r="Q299" s="706"/>
      <c r="R299" s="706"/>
      <c r="S299" s="706"/>
      <c r="T299" s="468" cm="1" t="str">
        <f t="array" ref="T299:T299">T298</f>
        <v>true</v>
      </c>
      <c r="U299" s="706"/>
      <c r="V299" s="706"/>
      <c r="W299" s="706"/>
      <c r="X299" s="1539"/>
      <c r="Y299" s="706"/>
      <c r="Z299" s="1529"/>
      <c r="AA299" s="706"/>
      <c r="AB299" s="207" cm="1" t="str">
        <f t="array" ref="AB299:AB299">D299</f>
        <v>11</v>
      </c>
      <c r="AC299" s="208" t="s">
        <v>2113</v>
      </c>
      <c r="AD299" s="207" t="s">
        <v>657</v>
      </c>
      <c r="AE299" s="792">
        <f>_xlfn.SUMIFS(Баланс!AE$26:AE$391,Баланс!$F$26:$F$391,$F299,Баланс!$G$26:$G$391,"ПО")</f>
        <v>11968.79029</v>
      </c>
      <c r="AF299" s="792">
        <f>_xlfn.SUMIFS(Баланс!AF$26:AF$391,Баланс!$F$26:$F$391,$F299,Баланс!$G$26:$G$391,"ПО")</f>
        <v>10968.8492</v>
      </c>
      <c r="AG299" s="792">
        <f>_xlfn.SUMIFS(Баланс!AG$26:AG$391,Баланс!$F$26:$F$391,$F299,Баланс!$G$26:$G$391,"ПО")</f>
        <v>10968.84875</v>
      </c>
      <c r="AH299" s="793">
        <f>AG299-AF299</f>
        <v>-0.00045000000136497</v>
      </c>
      <c r="AI299" s="793">
        <f>_xlfn.SUMIFS(Баланс!AH$26:AH$391,Баланс!$F$26:$F$391,$F299,Баланс!$G$26:$G$391,"ПО")</f>
        <v>11274.18929</v>
      </c>
      <c r="AJ299" s="793">
        <f>_xlfn.SUMIFS(Баланс!AI$26:AI$391,Баланс!$F$26:$F$391,$F299,Баланс!$G$26:$G$391,"ПО")</f>
        <v>10839.59791</v>
      </c>
      <c r="AK299" s="793">
        <f>_xlfn.SUMIFS(Баланс!AJ$26:AJ$391,Баланс!$F$26:$F$391,$F299,Баланс!$G$26:$G$391,"ПО")</f>
        <v>0</v>
      </c>
      <c r="AL299" s="793">
        <f>_xlfn.SUMIFS(Баланс!AK$26:AK$391,Баланс!$F$26:$F$391,$F299,Баланс!$G$26:$G$391,"ПО")</f>
        <v>0</v>
      </c>
      <c r="AM299" s="793">
        <f>_xlfn.SUMIFS(Баланс!AL$26:AL$391,Баланс!$F$26:$F$391,$F299,Баланс!$G$26:$G$391,"ПО")</f>
        <v>0</v>
      </c>
      <c r="AN299" s="793">
        <f>_xlfn.SUMIFS(Баланс!AM$26:AM$391,Баланс!$F$26:$F$391,$F299,Баланс!$G$26:$G$391,"ПО")</f>
        <v>0</v>
      </c>
      <c r="AO299" s="793">
        <f>_xlfn.SUMIFS(Баланс!AN$26:AN$391,Баланс!$F$26:$F$391,$F299,Баланс!$G$26:$G$391,"ПО")</f>
        <v>0</v>
      </c>
      <c r="AP299" s="793">
        <f>_xlfn.SUMIFS(Баланс!AO$26:AO$391,Баланс!$F$26:$F$391,$F299,Баланс!$G$26:$G$391,"ПО")</f>
        <v>0</v>
      </c>
      <c r="AQ299" s="793">
        <f>_xlfn.SUMIFS(Баланс!AP$26:AP$391,Баланс!$F$26:$F$391,$F299,Баланс!$G$26:$G$391,"ПО")</f>
        <v>0</v>
      </c>
      <c r="AR299" s="793">
        <f>_xlfn.SUMIFS(Баланс!AQ$26:AQ$391,Баланс!$F$26:$F$391,$F299,Баланс!$G$26:$G$391,"ПО")</f>
        <v>0</v>
      </c>
      <c r="AS299" s="793">
        <f>_xlfn.SUMIFS(Баланс!AR$26:AR$391,Баланс!$F$26:$F$391,$F299,Баланс!$G$26:$G$391,"ПО")</f>
        <v>0</v>
      </c>
      <c r="AT299" s="793">
        <f>_xlfn.SUMIFS(Баланс!AS$26:AS$391,Баланс!$F$26:$F$391,$F299,Баланс!$G$26:$G$391,"ПО")</f>
        <v>11287.60815</v>
      </c>
      <c r="AU299" s="793">
        <f>_xlfn.SUMIFS(Баланс!AT$26:AT$391,Баланс!$F$26:$F$391,$F299,Баланс!$G$26:$G$391,"ПО")</f>
        <v>0</v>
      </c>
      <c r="AV299" s="793">
        <f>_xlfn.SUMIFS(Баланс!AU$26:AU$391,Баланс!$F$26:$F$391,$F299,Баланс!$G$26:$G$391,"ПО")</f>
        <v>0</v>
      </c>
      <c r="AW299" s="793">
        <f>_xlfn.SUMIFS(Баланс!AV$26:AV$391,Баланс!$F$26:$F$391,$F299,Баланс!$G$26:$G$391,"ПО")</f>
        <v>0</v>
      </c>
      <c r="AX299" s="793">
        <f>_xlfn.SUMIFS(Баланс!AW$26:AW$391,Баланс!$F$26:$F$391,$F299,Баланс!$G$26:$G$391,"ПО")</f>
        <v>0</v>
      </c>
      <c r="AY299" s="793">
        <f>_xlfn.SUMIFS(Баланс!AX$26:AX$391,Баланс!$F$26:$F$391,$F299,Баланс!$G$26:$G$391,"ПО")</f>
        <v>0</v>
      </c>
      <c r="AZ299" s="793">
        <f>_xlfn.SUMIFS(Баланс!AY$26:AY$391,Баланс!$F$26:$F$391,$F299,Баланс!$G$26:$G$391,"ПО")</f>
        <v>0</v>
      </c>
      <c r="BA299" s="793">
        <f>_xlfn.SUMIFS(Баланс!AZ$26:AZ$391,Баланс!$F$26:$F$391,$F299,Баланс!$G$26:$G$391,"ПО")</f>
        <v>0</v>
      </c>
      <c r="BB299" s="793">
        <f>_xlfn.SUMIFS(Баланс!BA$26:BA$391,Баланс!$F$26:$F$391,$F299,Баланс!$G$26:$G$391,"ПО")</f>
        <v>0</v>
      </c>
      <c r="BC299" s="793">
        <f>_xlfn.SUMIFS(Баланс!BB$26:BB$391,Баланс!$F$26:$F$391,$F299,Баланс!$G$26:$G$391,"ПО")</f>
        <v>0</v>
      </c>
      <c r="BD299" s="771"/>
      <c r="BE299" s="771"/>
      <c r="BF299" s="771"/>
      <c r="BG299" s="771"/>
      <c r="BH299" s="771"/>
      <c r="BI299" s="771"/>
      <c r="BJ299" s="771"/>
      <c r="BK299" s="771"/>
      <c r="BL299" s="771"/>
      <c r="BM299" s="771"/>
      <c r="BN299" s="6533"/>
      <c r="BO299" s="6533"/>
      <c r="BP299" s="6533"/>
      <c r="BQ299" s="706"/>
      <c r="BR299" s="706"/>
      <c r="BS299" s="1071" t="s">
        <v>2114</v>
      </c>
      <c r="BT299" s="1078"/>
      <c r="BU299" s="1078"/>
      <c r="BV299" s="713"/>
      <c r="BW299" s="713"/>
    </row>
    <row s="1656" customFormat="1" customHeight="1" ht="43.802083333333336">
      <c r="A300" s="1297"/>
      <c r="B300" s="986"/>
      <c r="C300" s="1297"/>
      <c r="D300" s="103" cm="1" t="str">
        <f t="array" ref="D300:D300">D299</f>
        <v>11</v>
      </c>
      <c r="E300" s="709">
        <v>15</v>
      </c>
      <c r="F300" s="50" cm="1" t="str">
        <f t="array" ref="F300:F300">OFFSET(E300,-1,1)</f>
        <v>1</v>
      </c>
      <c r="G300" s="154" t="s">
        <v>1898</v>
      </c>
      <c r="H300" s="1297"/>
      <c r="I300" s="154" t="s">
        <v>2437</v>
      </c>
      <c r="J300" s="1297"/>
      <c r="K300" s="154" t="s">
        <v>2437</v>
      </c>
      <c r="L300" s="988" t="s">
        <v>2115</v>
      </c>
      <c r="M300" s="103"/>
      <c r="N300" s="1297"/>
      <c r="O300" s="1297"/>
      <c r="P300" s="1297"/>
      <c r="Q300" s="1297"/>
      <c r="R300" s="1297"/>
      <c r="S300" s="1297"/>
      <c r="T300" s="468" cm="1" t="str">
        <f t="array" ref="T300:T300">T299</f>
        <v>true</v>
      </c>
      <c r="U300" s="1297"/>
      <c r="V300" s="1297"/>
      <c r="W300" s="1297"/>
      <c r="X300" s="1539"/>
      <c r="Y300" s="1297"/>
      <c r="Z300" s="1529"/>
      <c r="AA300" s="1297"/>
      <c r="AB300" s="296" t="str">
        <f>D300&amp;".1"</f>
        <v>11.1</v>
      </c>
      <c r="AC300" s="1120" t="s">
        <v>2117</v>
      </c>
      <c r="AD300" s="296" t="s">
        <v>657</v>
      </c>
      <c r="AE300" s="6591">
        <v>5984.395145</v>
      </c>
      <c r="AF300" s="6591">
        <f>IF(AF$24="2026 год",AF299/12*9,AF299/2)</f>
        <v>5484.4246</v>
      </c>
      <c r="AG300" s="6591">
        <f>IF(AG$24="2026 год",AG299/12*9,AG299/2)</f>
        <v>5484.424375</v>
      </c>
      <c r="AH300" s="949">
        <f>AG300-AF300</f>
        <v>-0.000225000000682485</v>
      </c>
      <c r="AI300" s="6356">
        <v>5637.094645</v>
      </c>
      <c r="AJ300" s="6591">
        <f>IF(AJ$24="2026 год",AJ299/12*9,AJ299/2)</f>
        <v>8129.6984325</v>
      </c>
      <c r="AK300" s="1279">
        <f>IF(AK$24="2026 год",AK299/12*9,AK299/2)</f>
        <v>0</v>
      </c>
      <c r="AL300" s="1280">
        <f>IF(AL$24="2026 год",AL299/12*9,AL299/2)</f>
        <v>0</v>
      </c>
      <c r="AM300" s="1280">
        <f>IF(AM$24="2026 год",AM299/12*9,AM299/2)</f>
        <v>0</v>
      </c>
      <c r="AN300" s="1280">
        <f>IF(AN$24="2026 год",AN299/12*9,AN299/2)</f>
        <v>0</v>
      </c>
      <c r="AO300" s="1280">
        <f>IF(AO$24="2026 год",AO299/12*9,AO299/2)</f>
        <v>0</v>
      </c>
      <c r="AP300" s="1280">
        <f>IF(AP$24="2026 год",AP299/12*9,AP299/2)</f>
        <v>0</v>
      </c>
      <c r="AQ300" s="1280">
        <f>IF(AQ$24="2026 год",AQ299/12*9,AQ299/2)</f>
        <v>0</v>
      </c>
      <c r="AR300" s="1280">
        <f>IF(AR$24="2026 год",AR299/12*9,AR299/2)</f>
        <v>0</v>
      </c>
      <c r="AS300" s="1280">
        <f>IF(AS$24="2026 год",AS299/12*9,AS299/2)</f>
        <v>0</v>
      </c>
      <c r="AT300" s="6356">
        <f>IF(AT$24="2026 год",AT299/12*9,AT299/2)</f>
        <v>8465.7061125</v>
      </c>
      <c r="AU300" s="1280">
        <f>IF(AU$24="2026 год",AU299/12*9,AU299/2)</f>
        <v>0</v>
      </c>
      <c r="AV300" s="1280">
        <f>IF(AV$24="2026 год",AV299/12*9,AV299/2)</f>
        <v>0</v>
      </c>
      <c r="AW300" s="1280">
        <f>IF(AW$24="2026 год",AW299/12*9,AW299/2)</f>
        <v>0</v>
      </c>
      <c r="AX300" s="1280">
        <f>IF(AX$24="2026 год",AX299/12*9,AX299/2)</f>
        <v>0</v>
      </c>
      <c r="AY300" s="1280">
        <f>IF(AY$24="2026 год",AY299/12*9,AY299/2)</f>
        <v>0</v>
      </c>
      <c r="AZ300" s="1280">
        <f>IF(AZ$24="2026 год",AZ299/12*9,AZ299/2)</f>
        <v>0</v>
      </c>
      <c r="BA300" s="1280">
        <f>IF(BA$24="2026 год",BA299/12*9,BA299/2)</f>
        <v>0</v>
      </c>
      <c r="BB300" s="1280">
        <f>IF(BB$24="2026 год",BB299/12*9,BB299/2)</f>
        <v>0</v>
      </c>
      <c r="BC300" s="1280">
        <f>IF(BC$24="2026 год",BC299/12*9,BC299/2)</f>
        <v>0</v>
      </c>
      <c r="BD300" s="950"/>
      <c r="BE300" s="950"/>
      <c r="BF300" s="950"/>
      <c r="BG300" s="950"/>
      <c r="BH300" s="950"/>
      <c r="BI300" s="950"/>
      <c r="BJ300" s="950"/>
      <c r="BK300" s="950"/>
      <c r="BL300" s="950"/>
      <c r="BM300" s="950"/>
      <c r="BN300" s="6533"/>
      <c r="BO300" s="6533"/>
      <c r="BP300" s="6533" t="s">
        <v>2543</v>
      </c>
      <c r="BQ300" s="1297"/>
      <c r="BR300" s="1297"/>
      <c r="BS300" s="1070" t="s">
        <v>2118</v>
      </c>
      <c r="BT300" s="1072"/>
      <c r="BU300" s="1072"/>
      <c r="BV300" s="987"/>
      <c r="BW300" s="987"/>
    </row>
    <row s="1656" customFormat="1" customHeight="1" ht="87.421875">
      <c r="A301" s="1297"/>
      <c r="B301" s="986"/>
      <c r="C301" s="1297"/>
      <c r="D301" s="103" cm="1" t="str">
        <f t="array" ref="D301:D301">D300</f>
        <v>11</v>
      </c>
      <c r="E301" s="709">
        <v>15</v>
      </c>
      <c r="F301" s="50" cm="1" t="str">
        <f t="array" ref="F301:F301">OFFSET(E301,-1,1)</f>
        <v>1</v>
      </c>
      <c r="G301" s="154" t="s">
        <v>1859</v>
      </c>
      <c r="H301" s="1297"/>
      <c r="I301" s="154" t="s">
        <v>2438</v>
      </c>
      <c r="J301" s="1297"/>
      <c r="K301" s="154" t="s">
        <v>2438</v>
      </c>
      <c r="L301" s="988" t="s">
        <v>2119</v>
      </c>
      <c r="M301" s="103"/>
      <c r="N301" s="1297"/>
      <c r="O301" s="1297"/>
      <c r="P301" s="1297"/>
      <c r="Q301" s="1297"/>
      <c r="R301" s="1297"/>
      <c r="S301" s="1297"/>
      <c r="T301" s="468" cm="1" t="str">
        <f t="array" ref="T301:T301">T300</f>
        <v>true</v>
      </c>
      <c r="U301" s="1297"/>
      <c r="V301" s="1297"/>
      <c r="W301" s="1297"/>
      <c r="X301" s="1539"/>
      <c r="Y301" s="1297"/>
      <c r="Z301" s="1529"/>
      <c r="AA301" s="1297"/>
      <c r="AB301" s="296" t="str">
        <f>D301&amp;".2"</f>
        <v>11.2</v>
      </c>
      <c r="AC301" s="1120" t="s">
        <v>2121</v>
      </c>
      <c r="AD301" s="296" t="s">
        <v>1862</v>
      </c>
      <c r="AE301" s="6531">
        <v>42.35</v>
      </c>
      <c r="AF301" s="6531" cm="1" t="str">
        <f t="array" ref="AF301:AF301">AF305</f>
        <v>50.9231606776033</v>
      </c>
      <c r="AG301" s="6531" cm="1" t="str">
        <f t="array" ref="AG301:AG301">AG305</f>
        <v>48.1603674095698</v>
      </c>
      <c r="AH301" s="951">
        <f>AG301-AF301</f>
        <v>-2.7627932680335</v>
      </c>
      <c r="AI301" s="6360">
        <v>47.8</v>
      </c>
      <c r="AJ301" s="6360" cm="1" t="str">
        <f t="array" ref="AJ301:AJ301">AJ305</f>
        <v>99.9013421891772</v>
      </c>
      <c r="AK301" s="1281"/>
      <c r="AL301" s="1281"/>
      <c r="AM301" s="1281"/>
      <c r="AN301" s="1281"/>
      <c r="AO301" s="1281"/>
      <c r="AP301" s="1281"/>
      <c r="AQ301" s="1281"/>
      <c r="AR301" s="1281"/>
      <c r="AS301" s="1281"/>
      <c r="AT301" s="6360">
        <v>53.92</v>
      </c>
      <c r="AU301" s="1281" cm="1" t="str">
        <f t="array" ref="AU301:AU301">AT303</f>
        <v>60.3704563163809</v>
      </c>
      <c r="AV301" s="1281" cm="1" t="str">
        <f t="array" ref="AV301:AV301">AU303</f>
        <v>0</v>
      </c>
      <c r="AW301" s="1281" cm="1" t="str">
        <f t="array" ref="AW301:AW301">AV303</f>
        <v>0</v>
      </c>
      <c r="AX301" s="1281" cm="1" t="str">
        <f t="array" ref="AX301:AX301">AW303</f>
        <v>0</v>
      </c>
      <c r="AY301" s="1281" cm="1" t="str">
        <f t="array" ref="AY301:AY301">AX303</f>
        <v>0</v>
      </c>
      <c r="AZ301" s="1281" cm="1" t="str">
        <f t="array" ref="AZ301:AZ301">AY303</f>
        <v>0</v>
      </c>
      <c r="BA301" s="1281" cm="1" t="str">
        <f t="array" ref="BA301:BA301">AZ303</f>
        <v>0</v>
      </c>
      <c r="BB301" s="1281" cm="1" t="str">
        <f t="array" ref="BB301:BB301">BA303</f>
        <v>0</v>
      </c>
      <c r="BC301" s="1281" cm="1" t="str">
        <f t="array" ref="BC301:BC301">BB303</f>
        <v>0</v>
      </c>
      <c r="BD301" s="950"/>
      <c r="BE301" s="950"/>
      <c r="BF301" s="950"/>
      <c r="BG301" s="950"/>
      <c r="BH301" s="950"/>
      <c r="BI301" s="950"/>
      <c r="BJ301" s="950"/>
      <c r="BK301" s="950"/>
      <c r="BL301" s="950"/>
      <c r="BM301" s="950"/>
      <c r="BN301" s="6533"/>
      <c r="BO301" s="6533" t="s">
        <v>2544</v>
      </c>
      <c r="BP301" s="6533" t="s">
        <v>2545</v>
      </c>
      <c r="BQ301" s="1297"/>
      <c r="BR301" s="1297"/>
      <c r="BS301" s="1070" t="s">
        <v>2122</v>
      </c>
      <c r="BT301" s="1072"/>
      <c r="BU301" s="1072"/>
      <c r="BV301" s="987"/>
      <c r="BW301" s="987"/>
    </row>
    <row s="1656" customFormat="1" customHeight="1" ht="41.302083333333336">
      <c r="A302" s="1297"/>
      <c r="B302" s="986"/>
      <c r="C302" s="1297"/>
      <c r="D302" s="103" cm="1" t="str">
        <f t="array" ref="D302:D302">D301</f>
        <v>11</v>
      </c>
      <c r="E302" s="709">
        <v>15</v>
      </c>
      <c r="F302" s="50" cm="1" t="str">
        <f t="array" ref="F302:F302">OFFSET(E302,-1,1)</f>
        <v>1</v>
      </c>
      <c r="G302" s="154" t="s">
        <v>1911</v>
      </c>
      <c r="H302" s="1297"/>
      <c r="I302" s="154" t="s">
        <v>2439</v>
      </c>
      <c r="J302" s="1297"/>
      <c r="K302" s="154" t="s">
        <v>2439</v>
      </c>
      <c r="L302" s="988" t="s">
        <v>2123</v>
      </c>
      <c r="M302" s="103"/>
      <c r="N302" s="1297"/>
      <c r="O302" s="1297"/>
      <c r="P302" s="1297"/>
      <c r="Q302" s="1297"/>
      <c r="R302" s="1297"/>
      <c r="S302" s="1297"/>
      <c r="T302" s="468" cm="1" t="str">
        <f t="array" ref="T302:T302">T301</f>
        <v>true</v>
      </c>
      <c r="U302" s="1297"/>
      <c r="V302" s="1297"/>
      <c r="W302" s="1297"/>
      <c r="X302" s="1539"/>
      <c r="Y302" s="1297"/>
      <c r="Z302" s="1529"/>
      <c r="AA302" s="1297"/>
      <c r="AB302" s="296" t="str">
        <f>D302&amp;".3"</f>
        <v>11.3</v>
      </c>
      <c r="AC302" s="1120" t="s">
        <v>2440</v>
      </c>
      <c r="AD302" s="296" t="s">
        <v>657</v>
      </c>
      <c r="AE302" s="954">
        <f>AE299-AE300</f>
        <v>5984.395145</v>
      </c>
      <c r="AF302" s="954">
        <f>AF299-AF300</f>
        <v>5484.4246</v>
      </c>
      <c r="AG302" s="954">
        <f>AG299-AG300</f>
        <v>5484.424375</v>
      </c>
      <c r="AH302" s="949">
        <f>AG302-AF302</f>
        <v>-0.000225000000682485</v>
      </c>
      <c r="AI302" s="832">
        <f>AI299-AI300</f>
        <v>5637.094645</v>
      </c>
      <c r="AJ302" s="832">
        <f>AJ299-AJ300</f>
        <v>2709.8994775</v>
      </c>
      <c r="AK302" s="832">
        <f>AK299-AK300</f>
        <v>0</v>
      </c>
      <c r="AL302" s="832">
        <f>AL299-AL300</f>
        <v>0</v>
      </c>
      <c r="AM302" s="832">
        <f>AM299-AM300</f>
        <v>0</v>
      </c>
      <c r="AN302" s="832">
        <f>AN299-AN300</f>
        <v>0</v>
      </c>
      <c r="AO302" s="832">
        <f>AO299-AO300</f>
        <v>0</v>
      </c>
      <c r="AP302" s="832">
        <f>AP299-AP300</f>
        <v>0</v>
      </c>
      <c r="AQ302" s="832">
        <f>AQ299-AQ300</f>
        <v>0</v>
      </c>
      <c r="AR302" s="832">
        <f>AR299-AR300</f>
        <v>0</v>
      </c>
      <c r="AS302" s="832">
        <f>AS299-AS300</f>
        <v>0</v>
      </c>
      <c r="AT302" s="832">
        <f>AT299-AT300</f>
        <v>2821.9020375</v>
      </c>
      <c r="AU302" s="832">
        <f>AU299-AU300</f>
        <v>0</v>
      </c>
      <c r="AV302" s="832">
        <f>AV299-AV300</f>
        <v>0</v>
      </c>
      <c r="AW302" s="832">
        <f>AW299-AW300</f>
        <v>0</v>
      </c>
      <c r="AX302" s="832">
        <f>AX299-AX300</f>
        <v>0</v>
      </c>
      <c r="AY302" s="832">
        <f>AY299-AY300</f>
        <v>0</v>
      </c>
      <c r="AZ302" s="832">
        <f>AZ299-AZ300</f>
        <v>0</v>
      </c>
      <c r="BA302" s="832">
        <f>BA299-BA300</f>
        <v>0</v>
      </c>
      <c r="BB302" s="832">
        <f>BB299-BB300</f>
        <v>0</v>
      </c>
      <c r="BC302" s="832">
        <f>BC299-BC300</f>
        <v>0</v>
      </c>
      <c r="BD302" s="950"/>
      <c r="BE302" s="950"/>
      <c r="BF302" s="950"/>
      <c r="BG302" s="950"/>
      <c r="BH302" s="950"/>
      <c r="BI302" s="950"/>
      <c r="BJ302" s="950"/>
      <c r="BK302" s="950"/>
      <c r="BL302" s="950"/>
      <c r="BM302" s="950"/>
      <c r="BN302" s="6533"/>
      <c r="BO302" s="6533"/>
      <c r="BP302" s="6533"/>
      <c r="BQ302" s="1297"/>
      <c r="BR302" s="1297"/>
      <c r="BS302" s="1070" t="s">
        <v>2126</v>
      </c>
      <c r="BT302" s="1072"/>
      <c r="BU302" s="1072"/>
      <c r="BV302" s="987"/>
      <c r="BW302" s="987"/>
    </row>
    <row s="1656" customFormat="1" customHeight="1" ht="44.635416666666664">
      <c r="A303" s="1297"/>
      <c r="B303" s="986"/>
      <c r="C303" s="1297"/>
      <c r="D303" s="103" cm="1" t="str">
        <f t="array" ref="D303:D303">D302</f>
        <v>11</v>
      </c>
      <c r="E303" s="709">
        <v>15</v>
      </c>
      <c r="F303" s="50" cm="1" t="str">
        <f t="array" ref="F303:F303">OFFSET(E303,-1,1)</f>
        <v>1</v>
      </c>
      <c r="G303" s="154" t="s">
        <v>1864</v>
      </c>
      <c r="H303" s="1297"/>
      <c r="I303" s="154" t="s">
        <v>2441</v>
      </c>
      <c r="J303" s="1297"/>
      <c r="K303" s="154" t="s">
        <v>2441</v>
      </c>
      <c r="L303" s="988" t="s">
        <v>2127</v>
      </c>
      <c r="M303" s="103"/>
      <c r="N303" s="1297"/>
      <c r="O303" s="1297"/>
      <c r="P303" s="1297"/>
      <c r="Q303" s="1297"/>
      <c r="R303" s="1297"/>
      <c r="S303" s="1297"/>
      <c r="T303" s="468" cm="1" t="str">
        <f t="array" ref="T303:T303">T302</f>
        <v>true</v>
      </c>
      <c r="U303" s="1297"/>
      <c r="V303" s="1297"/>
      <c r="W303" s="1297"/>
      <c r="X303" s="1539"/>
      <c r="Y303" s="1297"/>
      <c r="Z303" s="1529"/>
      <c r="AA303" s="1297"/>
      <c r="AB303" s="296" t="str">
        <f>D303&amp;".4"</f>
        <v>11.4</v>
      </c>
      <c r="AC303" s="1120" t="s">
        <v>2129</v>
      </c>
      <c r="AD303" s="296" t="s">
        <v>1862</v>
      </c>
      <c r="AE303" s="6531">
        <v>46.4217546014</v>
      </c>
      <c r="AF303" s="6531">
        <f>IF(AF302=0,0,(AF296-AF300*AF301)/AF302)</f>
        <v>50.9231606776033</v>
      </c>
      <c r="AG303" s="6531">
        <f>IF(AG302=0,0,(AG296-AG300*AG301)/AG302)</f>
        <v>48.1603674095698</v>
      </c>
      <c r="AH303" s="951">
        <f>AG303-AF303</f>
        <v>-2.7627932680335</v>
      </c>
      <c r="AI303" s="6360">
        <v>53.5276145857</v>
      </c>
      <c r="AJ303" s="6360">
        <f>IF(AJ302=0,0,(AJ296-AJ300*AJ301)/AJ302)</f>
        <v>99.9013421891771</v>
      </c>
      <c r="AK303" s="1281">
        <f>IF(AK302=0,0,(AK296-AK300*AK301)/AK302)</f>
        <v>0</v>
      </c>
      <c r="AL303" s="1281">
        <f>IF(AL302=0,0,(AL296-AL300*AL301)/AL302)</f>
        <v>0</v>
      </c>
      <c r="AM303" s="1281">
        <f>IF(AM302=0,0,(AM296-AM300*AM301)/AM302)</f>
        <v>0</v>
      </c>
      <c r="AN303" s="1281">
        <f>IF(AN302=0,0,(AN296-AN300*AN301)/AN302)</f>
        <v>0</v>
      </c>
      <c r="AO303" s="1281">
        <f>IF(AO302=0,0,(AO296-AO300*AO301)/AO302)</f>
        <v>0</v>
      </c>
      <c r="AP303" s="1281">
        <f>IF(AP302=0,0,(AP296-AP300*AP301)/AP302)</f>
        <v>0</v>
      </c>
      <c r="AQ303" s="1281">
        <f>IF(AQ302=0,0,(AQ296-AQ300*AQ301)/AQ302)</f>
        <v>0</v>
      </c>
      <c r="AR303" s="1281">
        <f>IF(AR302=0,0,(AR296-AR300*AR301)/AR302)</f>
        <v>0</v>
      </c>
      <c r="AS303" s="1281">
        <f>IF(AS302=0,0,(AS296-AS300*AS301)/AS302)</f>
        <v>0</v>
      </c>
      <c r="AT303" s="6360">
        <f>IF(AT302=0,0,(AT296-AT300*AT301)/AT302)</f>
        <v>60.3704563163809</v>
      </c>
      <c r="AU303" s="1281">
        <f>IF(AU302=0,0,(AU296-AU300*AU301)/AU302)</f>
        <v>0</v>
      </c>
      <c r="AV303" s="1281">
        <f>IF(AV302=0,0,(AV296-AV300*AV301)/AV302)</f>
        <v>0</v>
      </c>
      <c r="AW303" s="1281">
        <f>IF(AW302=0,0,(AW296-AW300*AW301)/AW302)</f>
        <v>0</v>
      </c>
      <c r="AX303" s="1281">
        <f>IF(AX302=0,0,(AX296-AX300*AX301)/AX302)</f>
        <v>0</v>
      </c>
      <c r="AY303" s="1281">
        <f>IF(AY302=0,0,(AY296-AY300*AY301)/AY302)</f>
        <v>0</v>
      </c>
      <c r="AZ303" s="1281">
        <f>IF(AZ302=0,0,(AZ296-AZ300*AZ301)/AZ302)</f>
        <v>0</v>
      </c>
      <c r="BA303" s="1281">
        <f>IF(BA302=0,0,(BA296-BA300*BA301)/BA302)</f>
        <v>0</v>
      </c>
      <c r="BB303" s="1281">
        <f>IF(BB302=0,0,(BB296-BB300*BB301)/BB302)</f>
        <v>0</v>
      </c>
      <c r="BC303" s="1281">
        <f>IF(BC302=0,0,(BC296-BC300*BC301)/BC302)</f>
        <v>0</v>
      </c>
      <c r="BD303" s="950"/>
      <c r="BE303" s="950"/>
      <c r="BF303" s="950"/>
      <c r="BG303" s="950"/>
      <c r="BH303" s="950"/>
      <c r="BI303" s="950"/>
      <c r="BJ303" s="950"/>
      <c r="BK303" s="950"/>
      <c r="BL303" s="950"/>
      <c r="BM303" s="950"/>
      <c r="BN303" s="6533"/>
      <c r="BO303" s="6533"/>
      <c r="BP303" s="6533" t="s">
        <v>2546</v>
      </c>
      <c r="BQ303" s="1297"/>
      <c r="BR303" s="1297"/>
      <c r="BS303" s="1070" t="s">
        <v>2130</v>
      </c>
      <c r="BT303" s="1072"/>
      <c r="BU303" s="1072"/>
      <c r="BV303" s="987"/>
      <c r="BW303" s="987"/>
    </row>
    <row s="1656" customFormat="1" customHeight="1" ht="28.802083333333332">
      <c r="A304" s="1297"/>
      <c r="B304" s="986"/>
      <c r="C304" s="1297"/>
      <c r="D304" s="103" cm="1" t="str">
        <f t="array" ref="D304:D304">D303</f>
        <v>11</v>
      </c>
      <c r="E304" s="709">
        <v>15</v>
      </c>
      <c r="F304" s="50" cm="1" t="str">
        <f t="array" ref="F304:F304">OFFSET(E304,-1,1)</f>
        <v>1</v>
      </c>
      <c r="G304" s="1297"/>
      <c r="H304" s="1297"/>
      <c r="I304" s="154" t="s">
        <v>2442</v>
      </c>
      <c r="J304" s="1297"/>
      <c r="K304" s="154" t="s">
        <v>2442</v>
      </c>
      <c r="L304" s="988" t="s">
        <v>2131</v>
      </c>
      <c r="M304" s="103"/>
      <c r="N304" s="1297"/>
      <c r="O304" s="1297"/>
      <c r="P304" s="1297"/>
      <c r="Q304" s="1297"/>
      <c r="R304" s="1297"/>
      <c r="S304" s="1297"/>
      <c r="T304" s="468" cm="1" t="str">
        <f t="array" ref="T304:T304">T303</f>
        <v>true</v>
      </c>
      <c r="U304" s="1297"/>
      <c r="V304" s="1297"/>
      <c r="W304" s="1297"/>
      <c r="X304" s="1539"/>
      <c r="Y304" s="1297"/>
      <c r="Z304" s="1529"/>
      <c r="AA304" s="1297"/>
      <c r="AB304" s="296" t="str">
        <f>D304&amp;".5"</f>
        <v>11.5</v>
      </c>
      <c r="AC304" s="1120" t="s">
        <v>2133</v>
      </c>
      <c r="AD304" s="296" t="s">
        <v>561</v>
      </c>
      <c r="AE304" s="255">
        <f>IF(AE301=0,0,AE303/AE301*100)</f>
        <v>109.614532706966</v>
      </c>
      <c r="AF304" s="255">
        <f>IF(AF301=0,0,AF303/AF301*100)</f>
        <v>100</v>
      </c>
      <c r="AG304" s="255">
        <f>IF(AG301=0,0,AG303/AG301*100)</f>
        <v>100</v>
      </c>
      <c r="AH304" s="950"/>
      <c r="AI304" s="809">
        <f>IF(AI301=0,0,AI303/AI301*100)</f>
        <v>111.982457292259</v>
      </c>
      <c r="AJ304" s="809">
        <f>IF(AJ301=0,0,AJ303/AJ301*100)</f>
        <v>99.9999999999999</v>
      </c>
      <c r="AK304" s="809">
        <f>IF(AK301=0,0,AK303/AK301*100)</f>
        <v>0</v>
      </c>
      <c r="AL304" s="809">
        <f>IF(AL301=0,0,AL303/AL301*100)</f>
        <v>0</v>
      </c>
      <c r="AM304" s="809">
        <f>IF(AM301=0,0,AM303/AM301*100)</f>
        <v>0</v>
      </c>
      <c r="AN304" s="809">
        <f>IF(AN301=0,0,AN303/AN301*100)</f>
        <v>0</v>
      </c>
      <c r="AO304" s="809">
        <f>IF(AO301=0,0,AO303/AO301*100)</f>
        <v>0</v>
      </c>
      <c r="AP304" s="809">
        <f>IF(AP301=0,0,AP303/AP301*100)</f>
        <v>0</v>
      </c>
      <c r="AQ304" s="809">
        <f>IF(AQ301=0,0,AQ303/AQ301*100)</f>
        <v>0</v>
      </c>
      <c r="AR304" s="809">
        <f>IF(AR301=0,0,AR303/AR301*100)</f>
        <v>0</v>
      </c>
      <c r="AS304" s="809">
        <f>IF(AS301=0,0,AS303/AS301*100)</f>
        <v>0</v>
      </c>
      <c r="AT304" s="809">
        <f>IF(AT301=0,0,AT303/AT301*100)</f>
        <v>111.963012456196</v>
      </c>
      <c r="AU304" s="809">
        <f>IF(AU301=0,0,AU303/AU301*100)</f>
        <v>0</v>
      </c>
      <c r="AV304" s="809">
        <f>IF(AV301=0,0,AV303/AV301*100)</f>
        <v>0</v>
      </c>
      <c r="AW304" s="809">
        <f>IF(AW301=0,0,AW303/AW301*100)</f>
        <v>0</v>
      </c>
      <c r="AX304" s="809">
        <f>IF(AX301=0,0,AX303/AX301*100)</f>
        <v>0</v>
      </c>
      <c r="AY304" s="809">
        <f>IF(AY301=0,0,AY303/AY301*100)</f>
        <v>0</v>
      </c>
      <c r="AZ304" s="809">
        <f>IF(AZ301=0,0,AZ303/AZ301*100)</f>
        <v>0</v>
      </c>
      <c r="BA304" s="809">
        <f>IF(BA301=0,0,BA303/BA301*100)</f>
        <v>0</v>
      </c>
      <c r="BB304" s="809">
        <f>IF(BB301=0,0,BB303/BB301*100)</f>
        <v>0</v>
      </c>
      <c r="BC304" s="809">
        <f>IF(BC301=0,0,BC303/BC301*100)</f>
        <v>0</v>
      </c>
      <c r="BD304" s="950"/>
      <c r="BE304" s="950"/>
      <c r="BF304" s="950"/>
      <c r="BG304" s="950"/>
      <c r="BH304" s="950"/>
      <c r="BI304" s="950"/>
      <c r="BJ304" s="950"/>
      <c r="BK304" s="950"/>
      <c r="BL304" s="950"/>
      <c r="BM304" s="950"/>
      <c r="BN304" s="6533"/>
      <c r="BO304" s="6533"/>
      <c r="BP304" s="6533"/>
      <c r="BQ304" s="1297"/>
      <c r="BR304" s="1297"/>
      <c r="BS304" s="1070" t="s">
        <v>2134</v>
      </c>
      <c r="BT304" s="1072"/>
      <c r="BU304" s="1072"/>
      <c r="BV304" s="987"/>
      <c r="BW304" s="987"/>
    </row>
    <row s="1656" customFormat="1" customHeight="1" ht="46.302083333333336">
      <c r="A305" s="1297"/>
      <c r="B305" s="986"/>
      <c r="C305" s="1297"/>
      <c r="D305" s="103" cm="1" t="str">
        <f t="array" ref="D305:D305">D304</f>
        <v>11</v>
      </c>
      <c r="E305" s="709">
        <v>15</v>
      </c>
      <c r="F305" s="50" cm="1" t="str">
        <f t="array" ref="F305:F305">OFFSET(E305,-1,1)</f>
        <v>1</v>
      </c>
      <c r="G305" s="1297"/>
      <c r="H305" s="1297"/>
      <c r="I305" s="154" t="s">
        <v>2443</v>
      </c>
      <c r="J305" s="1297"/>
      <c r="K305" s="154" t="s">
        <v>2443</v>
      </c>
      <c r="L305" s="988" t="s">
        <v>2135</v>
      </c>
      <c r="M305" s="103"/>
      <c r="N305" s="1297"/>
      <c r="O305" s="1297"/>
      <c r="P305" s="1297"/>
      <c r="Q305" s="1297"/>
      <c r="R305" s="1297"/>
      <c r="S305" s="1297"/>
      <c r="T305" s="468" cm="1" t="str">
        <f t="array" ref="T305:T305">T304</f>
        <v>true</v>
      </c>
      <c r="U305" s="1297"/>
      <c r="V305" s="1297"/>
      <c r="W305" s="1297"/>
      <c r="X305" s="1539"/>
      <c r="Y305" s="1297"/>
      <c r="Z305" s="1529"/>
      <c r="AA305" s="1297"/>
      <c r="AB305" s="296" t="str">
        <f>D305&amp;".6"</f>
        <v>11.6</v>
      </c>
      <c r="AC305" s="1120" t="s">
        <v>2137</v>
      </c>
      <c r="AD305" s="296" t="s">
        <v>1862</v>
      </c>
      <c r="AE305" s="6531">
        <v>44.3858773007</v>
      </c>
      <c r="AF305" s="6531">
        <f>IF(AF299=0,0,AF296/AF299)</f>
        <v>50.9231606776033</v>
      </c>
      <c r="AG305" s="6531">
        <f>IF(AG299=0,0,AG296/AG299)</f>
        <v>48.1603674095698</v>
      </c>
      <c r="AH305" s="951">
        <f>AG305-AF305</f>
        <v>-2.7627932680335</v>
      </c>
      <c r="AI305" s="6360">
        <v>50.6638072928</v>
      </c>
      <c r="AJ305" s="6360">
        <f>IF(AJ299=0,0,AJ296/AJ299)</f>
        <v>99.9013421891772</v>
      </c>
      <c r="AK305" s="1281">
        <f>IF(AK299=0,0,AK296/AK299)</f>
        <v>0</v>
      </c>
      <c r="AL305" s="1281">
        <f>IF(AL299=0,0,AL296/AL299)</f>
        <v>0</v>
      </c>
      <c r="AM305" s="1281">
        <f>IF(AM299=0,0,AM296/AM299)</f>
        <v>0</v>
      </c>
      <c r="AN305" s="1281">
        <f>IF(AN299=0,0,AN296/AN299)</f>
        <v>0</v>
      </c>
      <c r="AO305" s="1281">
        <f>IF(AO299=0,0,AO296/AO299)</f>
        <v>0</v>
      </c>
      <c r="AP305" s="1281">
        <f>IF(AP299=0,0,AP296/AP299)</f>
        <v>0</v>
      </c>
      <c r="AQ305" s="1281">
        <f>IF(AQ299=0,0,AQ296/AQ299)</f>
        <v>0</v>
      </c>
      <c r="AR305" s="1281">
        <f>IF(AR299=0,0,AR296/AR299)</f>
        <v>0</v>
      </c>
      <c r="AS305" s="1281">
        <f>IF(AS299=0,0,AS296/AS299)</f>
        <v>0</v>
      </c>
      <c r="AT305" s="6360">
        <f>IF(AT299=0,0,AT296/AT299)</f>
        <v>55.5326140790952</v>
      </c>
      <c r="AU305" s="1281">
        <f>IF(AU299=0,0,AU296/AU299)</f>
        <v>0</v>
      </c>
      <c r="AV305" s="1281">
        <f>IF(AV299=0,0,AV296/AV299)</f>
        <v>0</v>
      </c>
      <c r="AW305" s="1281">
        <f>IF(AW299=0,0,AW296/AW299)</f>
        <v>0</v>
      </c>
      <c r="AX305" s="1281">
        <f>IF(AX299=0,0,AX296/AX299)</f>
        <v>0</v>
      </c>
      <c r="AY305" s="1281">
        <f>IF(AY299=0,0,AY296/AY299)</f>
        <v>0</v>
      </c>
      <c r="AZ305" s="1281">
        <f>IF(AZ299=0,0,AZ296/AZ299)</f>
        <v>0</v>
      </c>
      <c r="BA305" s="1281">
        <f>IF(BA299=0,0,BA296/BA299)</f>
        <v>0</v>
      </c>
      <c r="BB305" s="1281">
        <f>IF(BB299=0,0,BB296/BB299)</f>
        <v>0</v>
      </c>
      <c r="BC305" s="1281">
        <f>IF(BC299=0,0,BC296/BC299)</f>
        <v>0</v>
      </c>
      <c r="BD305" s="950"/>
      <c r="BE305" s="950"/>
      <c r="BF305" s="950"/>
      <c r="BG305" s="950"/>
      <c r="BH305" s="950"/>
      <c r="BI305" s="950"/>
      <c r="BJ305" s="950"/>
      <c r="BK305" s="950"/>
      <c r="BL305" s="950"/>
      <c r="BM305" s="950"/>
      <c r="BN305" s="6532" t="s">
        <v>2547</v>
      </c>
      <c r="BO305" s="6533"/>
      <c r="BP305" s="6533" t="s">
        <v>2546</v>
      </c>
      <c r="BQ305" s="1297"/>
      <c r="BR305" s="1297"/>
      <c r="BS305" s="1070" t="s">
        <v>2138</v>
      </c>
      <c r="BT305" s="1072"/>
      <c r="BU305" s="1072"/>
      <c r="BV305" s="987"/>
      <c r="BW305" s="987"/>
    </row>
    <row s="6592" customFormat="1" customHeight="1" ht="70.46875">
      <c r="A306" s="706"/>
      <c r="B306" s="437"/>
      <c r="C306" s="706"/>
      <c r="D306" s="105">
        <f>D305+1</f>
        <v>12</v>
      </c>
      <c r="E306" s="713">
        <v>21</v>
      </c>
      <c r="F306" s="50" cm="1" t="str">
        <f t="array" ref="F306:F306">OFFSET(E306,-1,1)</f>
        <v>1</v>
      </c>
      <c r="G306" s="706"/>
      <c r="H306" s="154"/>
      <c r="I306" s="154" t="s">
        <v>2142</v>
      </c>
      <c r="J306" s="706"/>
      <c r="K306" s="154" t="s">
        <v>2142</v>
      </c>
      <c r="L306" s="993" t="s">
        <v>2139</v>
      </c>
      <c r="M306" s="105"/>
      <c r="N306" s="706"/>
      <c r="O306" s="706"/>
      <c r="P306" s="706"/>
      <c r="Q306" s="706"/>
      <c r="R306" s="706"/>
      <c r="S306" s="706"/>
      <c r="T306" s="468" cm="1" t="str">
        <f t="array" ref="T306:T306">T305</f>
        <v>true</v>
      </c>
      <c r="U306" s="706"/>
      <c r="V306" s="706"/>
      <c r="W306" s="706"/>
      <c r="X306" s="1539"/>
      <c r="Y306" s="706"/>
      <c r="Z306" s="1529"/>
      <c r="AA306" s="706"/>
      <c r="AB306" s="207" cm="1" t="str">
        <f t="array" ref="AB306:AB306">D306</f>
        <v>12</v>
      </c>
      <c r="AC306" s="208" t="s">
        <v>2140</v>
      </c>
      <c r="AD306" s="207" t="s">
        <v>936</v>
      </c>
      <c r="AE306" s="6358">
        <v>186090.365833666</v>
      </c>
      <c r="AF306" s="6358">
        <f>IF(AF299=0,0,AF296/AF299*AF307)</f>
        <v>215842.47498276</v>
      </c>
      <c r="AG306" s="6358">
        <f>IF(AG299=0,0,AG296/AG299*AG307)</f>
        <v>204132.122975872</v>
      </c>
      <c r="AH306" s="777">
        <f>AH308*AH309+AH310*AH311</f>
        <v>0</v>
      </c>
      <c r="AI306" s="6593">
        <v>211791.830238126</v>
      </c>
      <c r="AJ306" s="6593">
        <f>IF(AJ299=0,0,AJ296/AJ299*AJ307)</f>
        <v>395048.098300112</v>
      </c>
      <c r="AK306" s="1282">
        <f>IF(AK299=0,0,AK296/AK299*AK307)</f>
        <v>0</v>
      </c>
      <c r="AL306" s="1282">
        <f>IF(AL299=0,0,AL296/AL299*AL307)</f>
        <v>0</v>
      </c>
      <c r="AM306" s="1282">
        <f>IF(AM299=0,0,AM296/AM299*AM307)</f>
        <v>0</v>
      </c>
      <c r="AN306" s="1282">
        <f>IF(AN299=0,0,AN296/AN299*AN307)</f>
        <v>0</v>
      </c>
      <c r="AO306" s="1282">
        <f>IF(AO299=0,0,AO296/AO299*AO307)</f>
        <v>0</v>
      </c>
      <c r="AP306" s="1282">
        <f>IF(AP299=0,0,AP296/AP299*AP307)</f>
        <v>0</v>
      </c>
      <c r="AQ306" s="1282">
        <f>IF(AQ299=0,0,AQ296/AQ299*AQ307)</f>
        <v>0</v>
      </c>
      <c r="AR306" s="1282">
        <f>IF(AR299=0,0,AR296/AR299*AR307)</f>
        <v>0</v>
      </c>
      <c r="AS306" s="1282">
        <f>IF(AS299=0,0,AS296/AS299*AS307)</f>
        <v>0</v>
      </c>
      <c r="AT306" s="6593">
        <f>IF(AT299=0,0,AT296/AT299*AT307)</f>
        <v>231586.130015207</v>
      </c>
      <c r="AU306" s="1282">
        <f>IF(AU299=0,0,AU296/AU299*AU307)</f>
        <v>0</v>
      </c>
      <c r="AV306" s="1282">
        <f>IF(AV299=0,0,AV296/AV299*AV307)</f>
        <v>0</v>
      </c>
      <c r="AW306" s="1282">
        <f>IF(AW299=0,0,AW296/AW299*AW307)</f>
        <v>0</v>
      </c>
      <c r="AX306" s="1282">
        <f>IF(AX299=0,0,AX296/AX299*AX307)</f>
        <v>0</v>
      </c>
      <c r="AY306" s="1282">
        <f>IF(AY299=0,0,AY296/AY299*AY307)</f>
        <v>0</v>
      </c>
      <c r="AZ306" s="1282">
        <f>IF(AZ299=0,0,AZ296/AZ299*AZ307)</f>
        <v>0</v>
      </c>
      <c r="BA306" s="1282">
        <f>IF(BA299=0,0,BA296/BA299*BA307)</f>
        <v>0</v>
      </c>
      <c r="BB306" s="1282">
        <f>IF(BB299=0,0,BB296/BB299*BB307)</f>
        <v>0</v>
      </c>
      <c r="BC306" s="1282">
        <f>IF(BC299=0,0,BC296/BC299*BC307)</f>
        <v>0</v>
      </c>
      <c r="BD306" s="768">
        <f>IF(AI306=0,0,(AT306-AI306)/AI306*100)</f>
        <v>9.34611111053032</v>
      </c>
      <c r="BE306" s="768">
        <f>IF(AT306=0,0,(AU306-AT306)/AT306*100)</f>
        <v>-100</v>
      </c>
      <c r="BF306" s="768">
        <f>IF(AU306=0,0,(AV306-AU306)/AU306*100)</f>
        <v>0</v>
      </c>
      <c r="BG306" s="768">
        <f>IF(AV306=0,0,(AW306-AV306)/AV306*100)</f>
        <v>0</v>
      </c>
      <c r="BH306" s="768">
        <f>IF(AW306=0,0,(AX306-AW306)/AW306*100)</f>
        <v>0</v>
      </c>
      <c r="BI306" s="768">
        <f>IF(AX306=0,0,(AY306-AX306)/AX306*100)</f>
        <v>0</v>
      </c>
      <c r="BJ306" s="768">
        <f>IF(AY306=0,0,(AZ306-AY306)/AY306*100)</f>
        <v>0</v>
      </c>
      <c r="BK306" s="768">
        <f>IF(AZ306=0,0,(BA306-AZ306)/AZ306*100)</f>
        <v>0</v>
      </c>
      <c r="BL306" s="768">
        <f>IF(BA306=0,0,(BB306-BA306)/BA306*100)</f>
        <v>0</v>
      </c>
      <c r="BM306" s="768">
        <f>IF(BB306=0,0,(BC306-BB306)/BB306*100)</f>
        <v>0</v>
      </c>
      <c r="BN306" s="6533" t="s">
        <v>2548</v>
      </c>
      <c r="BO306" s="6533"/>
      <c r="BP306" s="6533"/>
      <c r="BQ306" s="706"/>
      <c r="BR306" s="706"/>
      <c r="BS306" s="1071" t="s">
        <v>2141</v>
      </c>
      <c r="BT306" s="1078"/>
      <c r="BU306" s="1078"/>
      <c r="BV306" s="713"/>
      <c r="BW306" s="713"/>
    </row>
    <row s="6594" customFormat="1" customHeight="1" ht="29.635416666666668">
      <c r="A307" s="706"/>
      <c r="B307" s="437"/>
      <c r="C307" s="706"/>
      <c r="D307" s="105">
        <f>D306+1</f>
        <v>13</v>
      </c>
      <c r="E307" s="713">
        <v>21</v>
      </c>
      <c r="F307" s="50" cm="1" t="str">
        <f t="array" ref="F307:F307">OFFSET(E307,-1,1)</f>
        <v>1</v>
      </c>
      <c r="G307" s="154" t="s">
        <v>1884</v>
      </c>
      <c r="H307" s="154"/>
      <c r="I307" s="154" t="s">
        <v>2444</v>
      </c>
      <c r="J307" s="706"/>
      <c r="K307" s="154" t="s">
        <v>2444</v>
      </c>
      <c r="L307" s="993" t="s">
        <v>2142</v>
      </c>
      <c r="M307" s="105"/>
      <c r="N307" s="706"/>
      <c r="O307" s="706"/>
      <c r="P307" s="706"/>
      <c r="Q307" s="706"/>
      <c r="R307" s="706"/>
      <c r="S307" s="706"/>
      <c r="T307" s="468" cm="1" t="str">
        <f t="array" ref="T307:T307">T306</f>
        <v>true</v>
      </c>
      <c r="U307" s="706"/>
      <c r="V307" s="706"/>
      <c r="W307" s="706"/>
      <c r="X307" s="1539"/>
      <c r="Y307" s="706"/>
      <c r="Z307" s="1529"/>
      <c r="AA307" s="706"/>
      <c r="AB307" s="207" cm="1" t="str">
        <f t="array" ref="AB307:AB307">D307</f>
        <v>13</v>
      </c>
      <c r="AC307" s="208" t="s">
        <v>2143</v>
      </c>
      <c r="AD307" s="207" t="s">
        <v>657</v>
      </c>
      <c r="AE307" s="792">
        <f>_xlfn.SUMIFS(Баланс!AE$26:AE$391,Баланс!$F$26:$F$391,$F307,Баланс!$G$26:$G$391,"население")</f>
        <v>4192.558</v>
      </c>
      <c r="AF307" s="792">
        <f>_xlfn.SUMIFS(Баланс!AF$26:AF$391,Баланс!$F$26:$F$391,$F307,Баланс!$G$26:$G$391,"население")</f>
        <v>4238.59148</v>
      </c>
      <c r="AG307" s="792">
        <f>_xlfn.SUMIFS(Баланс!AG$26:AG$391,Баланс!$F$26:$F$391,$F307,Баланс!$G$26:$G$391,"население")</f>
        <v>4238.59148</v>
      </c>
      <c r="AH307" s="793">
        <f>AG307-AF307</f>
        <v>0</v>
      </c>
      <c r="AI307" s="793">
        <f>_xlfn.SUMIFS(Баланс!AH$26:AH$391,Баланс!$F$26:$F$391,$F307,Баланс!$G$26:$G$391,"население")</f>
        <v>4180.33783</v>
      </c>
      <c r="AJ307" s="793">
        <f>_xlfn.SUMIFS(Баланс!AI$26:AI$391,Баланс!$F$26:$F$391,$F307,Баланс!$G$26:$G$391,"население")</f>
        <v>3954.38229</v>
      </c>
      <c r="AK307" s="793">
        <f>_xlfn.SUMIFS(Баланс!AJ$26:AJ$391,Баланс!$F$26:$F$391,$F307,Баланс!$G$26:$G$391,"население")</f>
        <v>0</v>
      </c>
      <c r="AL307" s="793">
        <f>_xlfn.SUMIFS(Баланс!AK$26:AK$391,Баланс!$F$26:$F$391,$F307,Баланс!$G$26:$G$391,"население")</f>
        <v>0</v>
      </c>
      <c r="AM307" s="793">
        <f>_xlfn.SUMIFS(Баланс!AL$26:AL$391,Баланс!$F$26:$F$391,$F307,Баланс!$G$26:$G$391,"население")</f>
        <v>0</v>
      </c>
      <c r="AN307" s="793">
        <f>_xlfn.SUMIFS(Баланс!AM$26:AM$391,Баланс!$F$26:$F$391,$F307,Баланс!$G$26:$G$391,"население")</f>
        <v>0</v>
      </c>
      <c r="AO307" s="793">
        <f>_xlfn.SUMIFS(Баланс!AN$26:AN$391,Баланс!$F$26:$F$391,$F307,Баланс!$G$26:$G$391,"население")</f>
        <v>0</v>
      </c>
      <c r="AP307" s="793">
        <f>_xlfn.SUMIFS(Баланс!AO$26:AO$391,Баланс!$F$26:$F$391,$F307,Баланс!$G$26:$G$391,"население")</f>
        <v>0</v>
      </c>
      <c r="AQ307" s="793">
        <f>_xlfn.SUMIFS(Баланс!AP$26:AP$391,Баланс!$F$26:$F$391,$F307,Баланс!$G$26:$G$391,"население")</f>
        <v>0</v>
      </c>
      <c r="AR307" s="793">
        <f>_xlfn.SUMIFS(Баланс!AQ$26:AQ$391,Баланс!$F$26:$F$391,$F307,Баланс!$G$26:$G$391,"население")</f>
        <v>0</v>
      </c>
      <c r="AS307" s="793">
        <f>_xlfn.SUMIFS(Баланс!AR$26:AR$391,Баланс!$F$26:$F$391,$F307,Баланс!$G$26:$G$391,"население")</f>
        <v>0</v>
      </c>
      <c r="AT307" s="793">
        <f>_xlfn.SUMIFS(Баланс!AS$26:AS$391,Баланс!$F$26:$F$391,$F307,Баланс!$G$26:$G$391,"население")</f>
        <v>4170.27244</v>
      </c>
      <c r="AU307" s="793">
        <f>_xlfn.SUMIFS(Баланс!AT$26:AT$391,Баланс!$F$26:$F$391,$F307,Баланс!$G$26:$G$391,"население")</f>
        <v>0</v>
      </c>
      <c r="AV307" s="793">
        <f>_xlfn.SUMIFS(Баланс!AU$26:AU$391,Баланс!$F$26:$F$391,$F307,Баланс!$G$26:$G$391,"население")</f>
        <v>0</v>
      </c>
      <c r="AW307" s="793">
        <f>_xlfn.SUMIFS(Баланс!AV$26:AV$391,Баланс!$F$26:$F$391,$F307,Баланс!$G$26:$G$391,"население")</f>
        <v>0</v>
      </c>
      <c r="AX307" s="793">
        <f>_xlfn.SUMIFS(Баланс!AW$26:AW$391,Баланс!$F$26:$F$391,$F307,Баланс!$G$26:$G$391,"население")</f>
        <v>0</v>
      </c>
      <c r="AY307" s="793">
        <f>_xlfn.SUMIFS(Баланс!AX$26:AX$391,Баланс!$F$26:$F$391,$F307,Баланс!$G$26:$G$391,"население")</f>
        <v>0</v>
      </c>
      <c r="AZ307" s="793">
        <f>_xlfn.SUMIFS(Баланс!AY$26:AY$391,Баланс!$F$26:$F$391,$F307,Баланс!$G$26:$G$391,"население")</f>
        <v>0</v>
      </c>
      <c r="BA307" s="793">
        <f>_xlfn.SUMIFS(Баланс!AZ$26:AZ$391,Баланс!$F$26:$F$391,$F307,Баланс!$G$26:$G$391,"население")</f>
        <v>0</v>
      </c>
      <c r="BB307" s="793">
        <f>_xlfn.SUMIFS(Баланс!BA$26:BA$391,Баланс!$F$26:$F$391,$F307,Баланс!$G$26:$G$391,"население")</f>
        <v>0</v>
      </c>
      <c r="BC307" s="793">
        <f>_xlfn.SUMIFS(Баланс!BB$26:BB$391,Баланс!$F$26:$F$391,$F307,Баланс!$G$26:$G$391,"население")</f>
        <v>0</v>
      </c>
      <c r="BD307" s="771"/>
      <c r="BE307" s="771"/>
      <c r="BF307" s="771"/>
      <c r="BG307" s="771"/>
      <c r="BH307" s="771"/>
      <c r="BI307" s="771"/>
      <c r="BJ307" s="771"/>
      <c r="BK307" s="771"/>
      <c r="BL307" s="771"/>
      <c r="BM307" s="771"/>
      <c r="BN307" s="6533"/>
      <c r="BO307" s="6533"/>
      <c r="BP307" s="6533"/>
      <c r="BQ307" s="706"/>
      <c r="BR307" s="706"/>
      <c r="BS307" s="1071" t="s">
        <v>2144</v>
      </c>
      <c r="BT307" s="1078"/>
      <c r="BU307" s="1078"/>
      <c r="BV307" s="713"/>
      <c r="BW307" s="713"/>
    </row>
    <row s="1656" customFormat="1" customHeight="1" ht="28.802083333333332">
      <c r="A308" s="1297"/>
      <c r="B308" s="986"/>
      <c r="C308" s="1297"/>
      <c r="D308" s="103" cm="1" t="str">
        <f t="array" ref="D308:D308">D307</f>
        <v>13</v>
      </c>
      <c r="E308" s="709">
        <v>15</v>
      </c>
      <c r="F308" s="50" cm="1" t="str">
        <f t="array" ref="F308:F308">OFFSET(E308,-1,1)</f>
        <v>1</v>
      </c>
      <c r="G308" s="154" t="s">
        <v>1918</v>
      </c>
      <c r="H308" s="1297"/>
      <c r="I308" s="154" t="s">
        <v>2445</v>
      </c>
      <c r="J308" s="1297"/>
      <c r="K308" s="154" t="s">
        <v>2445</v>
      </c>
      <c r="L308" s="988" t="s">
        <v>2145</v>
      </c>
      <c r="M308" s="103"/>
      <c r="N308" s="1297"/>
      <c r="O308" s="1297"/>
      <c r="P308" s="1297"/>
      <c r="Q308" s="1297"/>
      <c r="R308" s="1297"/>
      <c r="S308" s="1297"/>
      <c r="T308" s="468" cm="1" t="str">
        <f t="array" ref="T308:T308">T307</f>
        <v>true</v>
      </c>
      <c r="U308" s="1297"/>
      <c r="V308" s="1297"/>
      <c r="W308" s="1297"/>
      <c r="X308" s="1539"/>
      <c r="Y308" s="1297"/>
      <c r="Z308" s="1529"/>
      <c r="AA308" s="1297"/>
      <c r="AB308" s="296" t="str">
        <f>D308&amp;".1"</f>
        <v>13.1</v>
      </c>
      <c r="AC308" s="1120" t="s">
        <v>2147</v>
      </c>
      <c r="AD308" s="296" t="s">
        <v>657</v>
      </c>
      <c r="AE308" s="6591">
        <v>2096.279</v>
      </c>
      <c r="AF308" s="6591">
        <f>IF(AF$24="2026 год",AF307/12*9,AF307/2)</f>
        <v>2119.29574</v>
      </c>
      <c r="AG308" s="6591">
        <f>IF(AG$24="2026 год",AG307/12*9,AG307/2)</f>
        <v>2119.29574</v>
      </c>
      <c r="AH308" s="949">
        <f>AG308-AF308</f>
        <v>0</v>
      </c>
      <c r="AI308" s="6356">
        <v>2090.168915</v>
      </c>
      <c r="AJ308" s="6591">
        <f>IF(AJ$24="2026 год",AJ307/12*9,AJ307/2)</f>
        <v>2965.7867175</v>
      </c>
      <c r="AK308" s="1279">
        <f>IF(AK$24="2026 год",AK307/12*9,AK307/2)</f>
        <v>0</v>
      </c>
      <c r="AL308" s="1280">
        <f>IF(AL$24="2026 год",AL307/12*9,AL307/2)</f>
        <v>0</v>
      </c>
      <c r="AM308" s="1280">
        <f>IF(AM$24="2026 год",AM307/12*9,AM307/2)</f>
        <v>0</v>
      </c>
      <c r="AN308" s="1280">
        <f>IF(AN$24="2026 год",AN307/12*9,AN307/2)</f>
        <v>0</v>
      </c>
      <c r="AO308" s="1280">
        <f>IF(AO$24="2026 год",AO307/12*9,AO307/2)</f>
        <v>0</v>
      </c>
      <c r="AP308" s="1280">
        <f>IF(AP$24="2026 год",AP307/12*9,AP307/2)</f>
        <v>0</v>
      </c>
      <c r="AQ308" s="1280">
        <f>IF(AQ$24="2026 год",AQ307/12*9,AQ307/2)</f>
        <v>0</v>
      </c>
      <c r="AR308" s="1280">
        <f>IF(AR$24="2026 год",AR307/12*9,AR307/2)</f>
        <v>0</v>
      </c>
      <c r="AS308" s="1280">
        <f>IF(AS$24="2026 год",AS307/12*9,AS307/2)</f>
        <v>0</v>
      </c>
      <c r="AT308" s="6356">
        <f>IF(AT$24="2026 год",AT307/12*9,AT307/2)</f>
        <v>3127.70433</v>
      </c>
      <c r="AU308" s="1280">
        <f>IF(AU$24="2026 год",AU307/12*9,AU307/2)</f>
        <v>0</v>
      </c>
      <c r="AV308" s="1280">
        <f>IF(AV$24="2026 год",AV307/12*9,AV307/2)</f>
        <v>0</v>
      </c>
      <c r="AW308" s="1280">
        <f>IF(AW$24="2026 год",AW307/12*9,AW307/2)</f>
        <v>0</v>
      </c>
      <c r="AX308" s="1280">
        <f>IF(AX$24="2026 год",AX307/12*9,AX307/2)</f>
        <v>0</v>
      </c>
      <c r="AY308" s="1280">
        <f>IF(AY$24="2026 год",AY307/12*9,AY307/2)</f>
        <v>0</v>
      </c>
      <c r="AZ308" s="1280">
        <f>IF(AZ$24="2026 год",AZ307/12*9,AZ307/2)</f>
        <v>0</v>
      </c>
      <c r="BA308" s="1280">
        <f>IF(BA$24="2026 год",BA307/12*9,BA307/2)</f>
        <v>0</v>
      </c>
      <c r="BB308" s="1280">
        <f>IF(BB$24="2026 год",BB307/12*9,BB307/2)</f>
        <v>0</v>
      </c>
      <c r="BC308" s="1280">
        <f>IF(BC$24="2026 год",BC307/12*9,BC307/2)</f>
        <v>0</v>
      </c>
      <c r="BD308" s="950"/>
      <c r="BE308" s="950"/>
      <c r="BF308" s="950"/>
      <c r="BG308" s="950"/>
      <c r="BH308" s="950"/>
      <c r="BI308" s="950"/>
      <c r="BJ308" s="950"/>
      <c r="BK308" s="950"/>
      <c r="BL308" s="950"/>
      <c r="BM308" s="950"/>
      <c r="BN308" s="6533"/>
      <c r="BO308" s="6533"/>
      <c r="BP308" s="6533"/>
      <c r="BQ308" s="1297"/>
      <c r="BR308" s="1297"/>
      <c r="BS308" s="1070" t="s">
        <v>2148</v>
      </c>
      <c r="BT308" s="1072"/>
      <c r="BU308" s="1072"/>
      <c r="BV308" s="987"/>
      <c r="BW308" s="987"/>
    </row>
    <row s="1656" customFormat="1" customHeight="1" ht="21.302083333333332">
      <c r="A309" s="1297"/>
      <c r="B309" s="986"/>
      <c r="C309" s="1297"/>
      <c r="D309" s="103" cm="1" t="str">
        <f t="array" ref="D309:D309">D308</f>
        <v>13</v>
      </c>
      <c r="E309" s="709">
        <v>15</v>
      </c>
      <c r="F309" s="50" cm="1" t="str">
        <f t="array" ref="F309:F309">OFFSET(E309,-1,1)</f>
        <v>1</v>
      </c>
      <c r="G309" s="154" t="s">
        <v>1874</v>
      </c>
      <c r="H309" s="1297"/>
      <c r="I309" s="154" t="s">
        <v>2446</v>
      </c>
      <c r="J309" s="1297"/>
      <c r="K309" s="154" t="s">
        <v>2446</v>
      </c>
      <c r="L309" s="988" t="s">
        <v>2149</v>
      </c>
      <c r="M309" s="103"/>
      <c r="N309" s="1297"/>
      <c r="O309" s="1297"/>
      <c r="P309" s="1297"/>
      <c r="Q309" s="1297"/>
      <c r="R309" s="1297"/>
      <c r="S309" s="1297"/>
      <c r="T309" s="468" cm="1" t="str">
        <f t="array" ref="T309:T309">T308</f>
        <v>true</v>
      </c>
      <c r="U309" s="1297"/>
      <c r="V309" s="1297"/>
      <c r="W309" s="1297"/>
      <c r="X309" s="1539"/>
      <c r="Y309" s="1297"/>
      <c r="Z309" s="1529"/>
      <c r="AA309" s="1297"/>
      <c r="AB309" s="296" t="str">
        <f>D309&amp;".2"</f>
        <v>13.2</v>
      </c>
      <c r="AC309" s="1120" t="s">
        <v>2151</v>
      </c>
      <c r="AD309" s="296" t="s">
        <v>1862</v>
      </c>
      <c r="AE309" s="6360">
        <v>50.82</v>
      </c>
      <c r="AF309" s="6360">
        <f>IF(AF307=0,0,AF301*(1+Сценарии!AF$26/100))</f>
        <v>50.9231606776033</v>
      </c>
      <c r="AG309" s="6360">
        <f>IF(AG307=0,0,AG301*(1+Сценарии!AG$26/100))</f>
        <v>48.1603674095698</v>
      </c>
      <c r="AH309" s="951">
        <f>AG309-AF309</f>
        <v>-2.7627932680335</v>
      </c>
      <c r="AI309" s="6360">
        <v>57.36</v>
      </c>
      <c r="AJ309" s="6360">
        <f>IF(AJ307=0,0,AJ301*(1+Сценарии!AJ$26/100))</f>
        <v>99.9013421891772</v>
      </c>
      <c r="AK309" s="1281">
        <f>IF(AK307=0,0,AK301*(1+Сценарии!AO$26/100))</f>
        <v>0</v>
      </c>
      <c r="AL309" s="1281">
        <f>IF(AL307=0,0,AL301*(1+Сценарии!AP$26/100))</f>
        <v>0</v>
      </c>
      <c r="AM309" s="1281">
        <f>IF(AM307=0,0,AM301*(1+Сценарии!AQ$26/100))</f>
        <v>0</v>
      </c>
      <c r="AN309" s="1281">
        <f>IF(AN307=0,0,AN301*(1+Сценарии!AR$26/100))</f>
        <v>0</v>
      </c>
      <c r="AO309" s="1281">
        <f>IF(AO307=0,0,AO301*(1+Сценарии!AS$26/100))</f>
        <v>0</v>
      </c>
      <c r="AP309" s="1281">
        <f>IF(AP307=0,0,AP301*(1+Сценарии!AT$26/100))</f>
        <v>0</v>
      </c>
      <c r="AQ309" s="1281">
        <f>IF(AQ307=0,0,AQ301*(1+Сценарии!AU$26/100))</f>
        <v>0</v>
      </c>
      <c r="AR309" s="1281">
        <f>IF(AR307=0,0,AR301*(1+Сценарии!AV$26/100))</f>
        <v>0</v>
      </c>
      <c r="AS309" s="1281">
        <f>IF(AS307=0,0,AS301*(1+Сценарии!AW$26/100))</f>
        <v>0</v>
      </c>
      <c r="AT309" s="6360">
        <f>IF(AT307=0,0,AT301*(1+Сценарии!AK$26/100))</f>
        <v>53.92</v>
      </c>
      <c r="AU309" s="1281">
        <f>IF(AU307=0,0,AU301*(1+Сценарии!AX$26/100))</f>
        <v>0</v>
      </c>
      <c r="AV309" s="1281">
        <f>IF(AV307=0,0,AV301*(1+Сценарии!AY$26/100))</f>
        <v>0</v>
      </c>
      <c r="AW309" s="1281">
        <f>IF(AW307=0,0,AW301*(1+Сценарии!AZ$26/100))</f>
        <v>0</v>
      </c>
      <c r="AX309" s="1281">
        <f>IF(AX307=0,0,AX301*(1+Сценарии!BA$26/100))</f>
        <v>0</v>
      </c>
      <c r="AY309" s="1281">
        <f>IF(AY307=0,0,AY301*(1+Сценарии!BB$26/100))</f>
        <v>0</v>
      </c>
      <c r="AZ309" s="1281">
        <f>IF(AZ307=0,0,AZ301*(1+Сценарии!BC$26/100))</f>
        <v>0</v>
      </c>
      <c r="BA309" s="1281">
        <f>IF(BA307=0,0,BA301*(1+Сценарии!BD$26/100))</f>
        <v>0</v>
      </c>
      <c r="BB309" s="1281">
        <f>IF(BB307=0,0,BB301*(1+Сценарии!BE$26/100))</f>
        <v>0</v>
      </c>
      <c r="BC309" s="1281">
        <f>IF(BC307=0,0,BC301*(1+Сценарии!BF$26/100))</f>
        <v>0</v>
      </c>
      <c r="BD309" s="950"/>
      <c r="BE309" s="950"/>
      <c r="BF309" s="950"/>
      <c r="BG309" s="950"/>
      <c r="BH309" s="950"/>
      <c r="BI309" s="950"/>
      <c r="BJ309" s="950"/>
      <c r="BK309" s="950"/>
      <c r="BL309" s="950"/>
      <c r="BM309" s="950"/>
      <c r="BN309" s="6533"/>
      <c r="BO309" s="6533"/>
      <c r="BP309" s="6533"/>
      <c r="BQ309" s="1297"/>
      <c r="BR309" s="1297"/>
      <c r="BS309" s="1070" t="s">
        <v>2152</v>
      </c>
      <c r="BT309" s="1072"/>
      <c r="BU309" s="1072"/>
      <c r="BV309" s="987"/>
      <c r="BW309" s="987"/>
    </row>
    <row s="1656" customFormat="1" customHeight="1" ht="14.25">
      <c r="A310" s="1297"/>
      <c r="B310" s="92"/>
      <c r="C310" s="103"/>
      <c r="D310" s="103" cm="1" t="str">
        <f t="array" ref="D310:D310">D309</f>
        <v>13</v>
      </c>
      <c r="E310" s="626">
        <v>15</v>
      </c>
      <c r="F310" s="50" cm="1" t="str">
        <f t="array" ref="F310:F310">OFFSET(E310,-1,1)</f>
        <v>1</v>
      </c>
      <c r="G310" s="103" t="s">
        <v>1925</v>
      </c>
      <c r="H310" s="103"/>
      <c r="I310" s="103" t="s">
        <v>2447</v>
      </c>
      <c r="J310" s="103"/>
      <c r="K310" s="103" t="s">
        <v>2447</v>
      </c>
      <c r="L310" s="988" t="s">
        <v>2153</v>
      </c>
      <c r="M310" s="103"/>
      <c r="N310" s="103"/>
      <c r="O310" s="103"/>
      <c r="P310" s="103"/>
      <c r="Q310" s="103"/>
      <c r="R310" s="103"/>
      <c r="S310" s="103"/>
      <c r="T310" s="468" cm="1" t="str">
        <f t="array" ref="T310:T310">T309</f>
        <v>true</v>
      </c>
      <c r="U310" s="103"/>
      <c r="V310" s="103"/>
      <c r="W310" s="103"/>
      <c r="X310" s="1539"/>
      <c r="Y310" s="1297"/>
      <c r="Z310" s="1529"/>
      <c r="AA310" s="1297"/>
      <c r="AB310" s="296" t="str">
        <f>D310&amp;".3"</f>
        <v>13.3</v>
      </c>
      <c r="AC310" s="1120" t="s">
        <v>2125</v>
      </c>
      <c r="AD310" s="296" t="s">
        <v>657</v>
      </c>
      <c r="AE310" s="954">
        <f>AE307-AE308</f>
        <v>2096.279</v>
      </c>
      <c r="AF310" s="954">
        <f>AF307-AF308</f>
        <v>2119.29574</v>
      </c>
      <c r="AG310" s="954">
        <f>AG307-AG308</f>
        <v>2119.29574</v>
      </c>
      <c r="AH310" s="949">
        <f>AG310-AF310</f>
        <v>0</v>
      </c>
      <c r="AI310" s="832">
        <f>AI307-AI308</f>
        <v>2090.168915</v>
      </c>
      <c r="AJ310" s="832">
        <f>AJ307-AJ308</f>
        <v>988.5955725</v>
      </c>
      <c r="AK310" s="832">
        <f>AK307-AK308</f>
        <v>0</v>
      </c>
      <c r="AL310" s="832">
        <f>AL307-AL308</f>
        <v>0</v>
      </c>
      <c r="AM310" s="832">
        <f>AM307-AM308</f>
        <v>0</v>
      </c>
      <c r="AN310" s="832">
        <f>AN307-AN308</f>
        <v>0</v>
      </c>
      <c r="AO310" s="832">
        <f>AO307-AO308</f>
        <v>0</v>
      </c>
      <c r="AP310" s="832">
        <f>AP307-AP308</f>
        <v>0</v>
      </c>
      <c r="AQ310" s="832">
        <f>AQ307-AQ308</f>
        <v>0</v>
      </c>
      <c r="AR310" s="832">
        <f>AR307-AR308</f>
        <v>0</v>
      </c>
      <c r="AS310" s="832">
        <f>AS307-AS308</f>
        <v>0</v>
      </c>
      <c r="AT310" s="832">
        <f>AT307-AT308</f>
        <v>1042.56811</v>
      </c>
      <c r="AU310" s="832">
        <f>AU307-AU308</f>
        <v>0</v>
      </c>
      <c r="AV310" s="832">
        <f>AV307-AV308</f>
        <v>0</v>
      </c>
      <c r="AW310" s="832">
        <f>AW307-AW308</f>
        <v>0</v>
      </c>
      <c r="AX310" s="832">
        <f>AX307-AX308</f>
        <v>0</v>
      </c>
      <c r="AY310" s="832">
        <f>AY307-AY308</f>
        <v>0</v>
      </c>
      <c r="AZ310" s="832">
        <f>AZ307-AZ308</f>
        <v>0</v>
      </c>
      <c r="BA310" s="832">
        <f>BA307-BA308</f>
        <v>0</v>
      </c>
      <c r="BB310" s="832">
        <f>BB307-BB308</f>
        <v>0</v>
      </c>
      <c r="BC310" s="832">
        <f>BC307-BC308</f>
        <v>0</v>
      </c>
      <c r="BD310" s="950"/>
      <c r="BE310" s="950"/>
      <c r="BF310" s="950"/>
      <c r="BG310" s="950"/>
      <c r="BH310" s="950"/>
      <c r="BI310" s="950"/>
      <c r="BJ310" s="950"/>
      <c r="BK310" s="950"/>
      <c r="BL310" s="950"/>
      <c r="BM310" s="950"/>
      <c r="BN310" s="6533"/>
      <c r="BO310" s="6533"/>
      <c r="BP310" s="6533"/>
      <c r="BQ310" s="1297"/>
      <c r="BR310" s="1297"/>
      <c r="BS310" s="1070" t="s">
        <v>2155</v>
      </c>
      <c r="BT310" s="1072"/>
      <c r="BU310" s="1072"/>
      <c r="BV310" s="987"/>
      <c r="BW310" s="987"/>
    </row>
    <row s="1656" customFormat="1" customHeight="1" ht="27.96875">
      <c r="A311" s="1297"/>
      <c r="B311" s="92"/>
      <c r="C311" s="103"/>
      <c r="D311" s="103" cm="1" t="str">
        <f t="array" ref="D311:D311">D310</f>
        <v>13</v>
      </c>
      <c r="E311" s="626">
        <v>15</v>
      </c>
      <c r="F311" s="50" cm="1" t="str">
        <f t="array" ref="F311:F311">OFFSET(E311,-1,1)</f>
        <v>1</v>
      </c>
      <c r="G311" s="103" t="s">
        <v>1878</v>
      </c>
      <c r="H311" s="103"/>
      <c r="I311" s="103" t="s">
        <v>2448</v>
      </c>
      <c r="J311" s="103"/>
      <c r="K311" s="103" t="s">
        <v>2448</v>
      </c>
      <c r="L311" s="988" t="s">
        <v>2156</v>
      </c>
      <c r="M311" s="103"/>
      <c r="N311" s="103"/>
      <c r="O311" s="103"/>
      <c r="P311" s="103"/>
      <c r="Q311" s="103"/>
      <c r="R311" s="103"/>
      <c r="S311" s="103"/>
      <c r="T311" s="468" cm="1" t="str">
        <f t="array" ref="T311:T311">T310</f>
        <v>true</v>
      </c>
      <c r="U311" s="103"/>
      <c r="V311" s="103"/>
      <c r="W311" s="103"/>
      <c r="X311" s="1539"/>
      <c r="Y311" s="1297"/>
      <c r="Z311" s="1529"/>
      <c r="AA311" s="1297"/>
      <c r="AB311" s="296" t="str">
        <f>D311&amp;".4"</f>
        <v>13.4</v>
      </c>
      <c r="AC311" s="1120" t="s">
        <v>2129</v>
      </c>
      <c r="AD311" s="296" t="s">
        <v>1862</v>
      </c>
      <c r="AE311" s="6360">
        <v>55.7061055217</v>
      </c>
      <c r="AF311" s="6360">
        <f>IF(AF307=0,0,AF303*(1+Сценарии!AF$26/100))</f>
        <v>50.9231606776033</v>
      </c>
      <c r="AG311" s="6360">
        <f>IF(AG307=0,0,AG303*(1+Сценарии!AG$26/100))</f>
        <v>48.1603674095698</v>
      </c>
      <c r="AH311" s="951">
        <f>AG311-AF311</f>
        <v>-2.7627932680335</v>
      </c>
      <c r="AI311" s="6360">
        <v>64.2331375028</v>
      </c>
      <c r="AJ311" s="6360">
        <f>IF(AJ307=0,0,AJ303*(1+Сценарии!AJ$26/100))</f>
        <v>99.9013421891771</v>
      </c>
      <c r="AK311" s="1281">
        <f>IF(AK307=0,0,AK303*(1+Сценарии!AO$26/100))</f>
        <v>0</v>
      </c>
      <c r="AL311" s="1281">
        <f>IF(AL307=0,0,AL303*(1+Сценарии!AP$26/100))</f>
        <v>0</v>
      </c>
      <c r="AM311" s="1281">
        <f>IF(AM307=0,0,AM303*(1+Сценарии!AQ$26/100))</f>
        <v>0</v>
      </c>
      <c r="AN311" s="1281">
        <f>IF(AN307=0,0,AN303*(1+Сценарии!AR$26/100))</f>
        <v>0</v>
      </c>
      <c r="AO311" s="1281">
        <f>IF(AO307=0,0,AO303*(1+Сценарии!AS$26/100))</f>
        <v>0</v>
      </c>
      <c r="AP311" s="1281">
        <f>IF(AP307=0,0,AP303*(1+Сценарии!AT$26/100))</f>
        <v>0</v>
      </c>
      <c r="AQ311" s="1281">
        <f>IF(AQ307=0,0,AQ303*(1+Сценарии!AU$26/100))</f>
        <v>0</v>
      </c>
      <c r="AR311" s="1281">
        <f>IF(AR307=0,0,AR303*(1+Сценарии!AV$26/100))</f>
        <v>0</v>
      </c>
      <c r="AS311" s="1281">
        <f>IF(AS307=0,0,AS303*(1+Сценарии!AW$26/100))</f>
        <v>0</v>
      </c>
      <c r="AT311" s="6360">
        <f>IF(AT307=0,0,AT303*(1+Сценарии!AK$26/100))</f>
        <v>60.3704563163809</v>
      </c>
      <c r="AU311" s="1281">
        <f>IF(AU307=0,0,AU303*(1+Сценарии!AX$26/100))</f>
        <v>0</v>
      </c>
      <c r="AV311" s="1281">
        <f>IF(AV307=0,0,AV303*(1+Сценарии!AY$26/100))</f>
        <v>0</v>
      </c>
      <c r="AW311" s="1281">
        <f>IF(AW307=0,0,AW303*(1+Сценарии!AZ$26/100))</f>
        <v>0</v>
      </c>
      <c r="AX311" s="1281">
        <f>IF(AX307=0,0,AX303*(1+Сценарии!BA$26/100))</f>
        <v>0</v>
      </c>
      <c r="AY311" s="1281">
        <f>IF(AY307=0,0,AY303*(1+Сценарии!BB$26/100))</f>
        <v>0</v>
      </c>
      <c r="AZ311" s="1281">
        <f>IF(AZ307=0,0,AZ303*(1+Сценарии!BC$26/100))</f>
        <v>0</v>
      </c>
      <c r="BA311" s="1281">
        <f>IF(BA307=0,0,BA303*(1+Сценарии!BD$26/100))</f>
        <v>0</v>
      </c>
      <c r="BB311" s="1281">
        <f>IF(BB307=0,0,BB303*(1+Сценарии!BE$26/100))</f>
        <v>0</v>
      </c>
      <c r="BC311" s="1281">
        <f>IF(BC307=0,0,BC303*(1+Сценарии!BF$26/100))</f>
        <v>0</v>
      </c>
      <c r="BD311" s="950"/>
      <c r="BE311" s="950"/>
      <c r="BF311" s="950"/>
      <c r="BG311" s="950"/>
      <c r="BH311" s="950"/>
      <c r="BI311" s="950"/>
      <c r="BJ311" s="950"/>
      <c r="BK311" s="950"/>
      <c r="BL311" s="950"/>
      <c r="BM311" s="950"/>
      <c r="BN311" s="6533"/>
      <c r="BO311" s="6533"/>
      <c r="BP311" s="6533"/>
      <c r="BQ311" s="1297"/>
      <c r="BR311" s="1297"/>
      <c r="BS311" s="1070" t="s">
        <v>2159</v>
      </c>
      <c r="BT311" s="1072"/>
      <c r="BU311" s="1072"/>
      <c r="BV311" s="987"/>
      <c r="BW311" s="987"/>
    </row>
    <row s="1656" customFormat="1" customHeight="1" ht="14.25">
      <c r="A312" s="1297"/>
      <c r="B312" s="92"/>
      <c r="C312" s="103"/>
      <c r="D312" s="103">
        <f>D311+1</f>
        <v>14</v>
      </c>
      <c r="E312" s="626">
        <v>15</v>
      </c>
      <c r="F312" s="50" cm="1" t="str">
        <f t="array" ref="F312:F312">OFFSET(E312,-1,1)</f>
        <v>1</v>
      </c>
      <c r="G312" s="103"/>
      <c r="H312" s="103"/>
      <c r="I312" s="103"/>
      <c r="J312" s="103"/>
      <c r="K312" s="103"/>
      <c r="L312" s="988"/>
      <c r="M312" s="103"/>
      <c r="N312" s="103"/>
      <c r="O312" s="103"/>
      <c r="P312" s="103"/>
      <c r="Q312" s="103"/>
      <c r="R312" s="103"/>
      <c r="S312" s="103"/>
      <c r="T312" s="468" cm="1" t="str">
        <f t="array" ref="T312:T312">T311</f>
        <v>true</v>
      </c>
      <c r="U312" s="103"/>
      <c r="V312" s="103"/>
      <c r="W312" s="103"/>
      <c r="X312" s="1539"/>
      <c r="Y312" s="1297"/>
      <c r="Z312" s="1529"/>
      <c r="AA312" s="1297"/>
      <c r="AB312" s="207" cm="1" t="str">
        <f t="array" ref="AB312:AB312">D312</f>
        <v>14</v>
      </c>
      <c r="AC312" s="208" t="s">
        <v>2160</v>
      </c>
      <c r="AD312" s="207" t="s">
        <v>936</v>
      </c>
      <c r="AE312" s="6531"/>
      <c r="AF312" s="6531"/>
      <c r="AG312" s="6531"/>
      <c r="AH312" s="951"/>
      <c r="AI312" s="6360"/>
      <c r="AJ312" s="6360"/>
      <c r="AK312" s="1281"/>
      <c r="AL312" s="1281"/>
      <c r="AM312" s="1281"/>
      <c r="AN312" s="1281"/>
      <c r="AO312" s="1281"/>
      <c r="AP312" s="1281"/>
      <c r="AQ312" s="1281"/>
      <c r="AR312" s="1281"/>
      <c r="AS312" s="1281"/>
      <c r="AT312" s="6360"/>
      <c r="AU312" s="1281"/>
      <c r="AV312" s="1281"/>
      <c r="AW312" s="1281"/>
      <c r="AX312" s="1281"/>
      <c r="AY312" s="1281"/>
      <c r="AZ312" s="1281"/>
      <c r="BA312" s="1281"/>
      <c r="BB312" s="1281"/>
      <c r="BC312" s="1281"/>
      <c r="BD312" s="950"/>
      <c r="BE312" s="950"/>
      <c r="BF312" s="950"/>
      <c r="BG312" s="950"/>
      <c r="BH312" s="950"/>
      <c r="BI312" s="950"/>
      <c r="BJ312" s="950"/>
      <c r="BK312" s="950"/>
      <c r="BL312" s="950"/>
      <c r="BM312" s="950"/>
      <c r="BN312" s="6533"/>
      <c r="BO312" s="6533"/>
      <c r="BP312" s="6533"/>
      <c r="BQ312" s="1297"/>
      <c r="BR312" s="1297"/>
      <c r="BS312" s="1070" t="s">
        <v>2161</v>
      </c>
      <c r="BT312" s="1072"/>
      <c r="BU312" s="1072"/>
      <c r="BV312" s="987"/>
      <c r="BW312" s="987"/>
    </row>
    <row s="1656" customFormat="1" customHeight="1" ht="20.25">
      <c r="A313" s="1297"/>
      <c r="B313" s="92"/>
      <c r="C313" s="103"/>
      <c r="D313" s="103" cm="1" t="str">
        <f t="array" ref="D313:D313">D312</f>
        <v>14</v>
      </c>
      <c r="E313" s="626">
        <v>21</v>
      </c>
      <c r="F313" s="50" cm="1" t="str">
        <f t="array" ref="F313:F313">OFFSET(E313,-1,1)</f>
        <v>1</v>
      </c>
      <c r="G313" s="103"/>
      <c r="H313" s="103"/>
      <c r="I313" s="103"/>
      <c r="J313" s="103"/>
      <c r="K313" s="103"/>
      <c r="L313" s="988"/>
      <c r="M313" s="103"/>
      <c r="N313" s="103"/>
      <c r="O313" s="103"/>
      <c r="P313" s="103"/>
      <c r="Q313" s="103"/>
      <c r="R313" s="103"/>
      <c r="S313" s="103"/>
      <c r="T313" s="468" cm="1" t="str">
        <f t="array" ref="T313:T313">T312</f>
        <v>true</v>
      </c>
      <c r="U313" s="103"/>
      <c r="V313" s="103"/>
      <c r="W313" s="103"/>
      <c r="X313" s="1539"/>
      <c r="Y313" s="1297"/>
      <c r="Z313" s="1529"/>
      <c r="AA313" s="1297"/>
      <c r="AB313" s="296" t="str">
        <f>D313&amp;".1"</f>
        <v>14.1</v>
      </c>
      <c r="AC313" s="769" t="s">
        <v>2163</v>
      </c>
      <c r="AD313" s="296" t="s">
        <v>936</v>
      </c>
      <c r="AE313" s="6531"/>
      <c r="AF313" s="6531"/>
      <c r="AG313" s="6531"/>
      <c r="AH313" s="951">
        <f>AG313-AF313</f>
        <v>0</v>
      </c>
      <c r="AI313" s="6360"/>
      <c r="AJ313" s="6360"/>
      <c r="AK313" s="1281"/>
      <c r="AL313" s="1281"/>
      <c r="AM313" s="1281"/>
      <c r="AN313" s="1281"/>
      <c r="AO313" s="1281"/>
      <c r="AP313" s="1281"/>
      <c r="AQ313" s="1281"/>
      <c r="AR313" s="1281"/>
      <c r="AS313" s="1281"/>
      <c r="AT313" s="6360"/>
      <c r="AU313" s="1281"/>
      <c r="AV313" s="1281"/>
      <c r="AW313" s="1281"/>
      <c r="AX313" s="1281"/>
      <c r="AY313" s="1281"/>
      <c r="AZ313" s="1281"/>
      <c r="BA313" s="1281"/>
      <c r="BB313" s="1281"/>
      <c r="BC313" s="1281"/>
      <c r="BD313" s="950"/>
      <c r="BE313" s="950"/>
      <c r="BF313" s="950"/>
      <c r="BG313" s="950"/>
      <c r="BH313" s="950"/>
      <c r="BI313" s="950"/>
      <c r="BJ313" s="950"/>
      <c r="BK313" s="950"/>
      <c r="BL313" s="950"/>
      <c r="BM313" s="950"/>
      <c r="BN313" s="6533"/>
      <c r="BO313" s="6533"/>
      <c r="BP313" s="6533"/>
      <c r="BQ313" s="1297"/>
      <c r="BR313" s="1297"/>
      <c r="BS313" s="1070" t="s">
        <v>2164</v>
      </c>
      <c r="BT313" s="1079"/>
      <c r="BU313" s="1079"/>
      <c r="BV313" s="1080"/>
      <c r="BW313" s="1080"/>
    </row>
    <row s="1656" customFormat="1" customHeight="1" ht="64.5">
      <c r="A314" s="1297"/>
      <c r="B314" s="92"/>
      <c r="C314" s="103"/>
      <c r="D314" s="103" cm="1" t="str">
        <f t="array" ref="D314:D314">D313</f>
        <v>14</v>
      </c>
      <c r="E314" s="626">
        <v>66.6</v>
      </c>
      <c r="F314" s="50" cm="1" t="str">
        <f t="array" ref="F314:F314">OFFSET(E314,-1,1)</f>
        <v>1</v>
      </c>
      <c r="G314" s="103"/>
      <c r="H314" s="103"/>
      <c r="I314" s="103"/>
      <c r="J314" s="103"/>
      <c r="K314" s="103"/>
      <c r="L314" s="988"/>
      <c r="M314" s="103"/>
      <c r="N314" s="103"/>
      <c r="O314" s="103"/>
      <c r="P314" s="103"/>
      <c r="Q314" s="103"/>
      <c r="R314" s="103"/>
      <c r="S314" s="103"/>
      <c r="T314" s="468" cm="1" t="str">
        <f t="array" ref="T314:T314">T313</f>
        <v>true</v>
      </c>
      <c r="U314" s="103"/>
      <c r="V314" s="103"/>
      <c r="W314" s="103"/>
      <c r="X314" s="1539"/>
      <c r="Y314" s="1297"/>
      <c r="Z314" s="1529"/>
      <c r="AA314" s="1297"/>
      <c r="AB314" s="296" t="str">
        <f>D314&amp;".2"</f>
        <v>14.2</v>
      </c>
      <c r="AC314" s="769" t="s">
        <v>2166</v>
      </c>
      <c r="AD314" s="296" t="s">
        <v>936</v>
      </c>
      <c r="AE314" s="6531"/>
      <c r="AF314" s="6531"/>
      <c r="AG314" s="6531"/>
      <c r="AH314" s="951">
        <f>AG314-AF314</f>
        <v>0</v>
      </c>
      <c r="AI314" s="6360"/>
      <c r="AJ314" s="6360"/>
      <c r="AK314" s="1281"/>
      <c r="AL314" s="1281"/>
      <c r="AM314" s="1281"/>
      <c r="AN314" s="1281"/>
      <c r="AO314" s="1281"/>
      <c r="AP314" s="1281"/>
      <c r="AQ314" s="1281"/>
      <c r="AR314" s="1281"/>
      <c r="AS314" s="1281"/>
      <c r="AT314" s="6360"/>
      <c r="AU314" s="1281"/>
      <c r="AV314" s="1281"/>
      <c r="AW314" s="1281"/>
      <c r="AX314" s="1281"/>
      <c r="AY314" s="1281"/>
      <c r="AZ314" s="1281"/>
      <c r="BA314" s="1281"/>
      <c r="BB314" s="1281"/>
      <c r="BC314" s="1281"/>
      <c r="BD314" s="950"/>
      <c r="BE314" s="950"/>
      <c r="BF314" s="950"/>
      <c r="BG314" s="950"/>
      <c r="BH314" s="950"/>
      <c r="BI314" s="950"/>
      <c r="BJ314" s="950"/>
      <c r="BK314" s="950"/>
      <c r="BL314" s="950"/>
      <c r="BM314" s="950"/>
      <c r="BN314" s="6533"/>
      <c r="BO314" s="6533"/>
      <c r="BP314" s="6533"/>
      <c r="BQ314" s="1297"/>
      <c r="BR314" s="1297"/>
      <c r="BS314" s="1070" t="s">
        <v>2167</v>
      </c>
      <c r="BT314" s="1079"/>
      <c r="BU314" s="1079"/>
      <c r="BV314" s="1080"/>
      <c r="BW314" s="1080"/>
    </row>
    <row s="1656" customFormat="1" customHeight="1" ht="44.25">
      <c r="A315" s="501"/>
      <c r="B315" s="760"/>
      <c r="C315" s="103"/>
      <c r="D315" s="103" cm="1" t="str">
        <f t="array" ref="D315:D315">D314</f>
        <v>14</v>
      </c>
      <c r="E315" s="626">
        <v>45.6</v>
      </c>
      <c r="F315" s="50" cm="1" t="str">
        <f t="array" ref="F315:F315">OFFSET(E315,-1,1)</f>
        <v>1</v>
      </c>
      <c r="G315" s="103"/>
      <c r="H315" s="103"/>
      <c r="I315" s="103"/>
      <c r="J315" s="103"/>
      <c r="K315" s="103"/>
      <c r="L315" s="988"/>
      <c r="M315" s="103"/>
      <c r="N315" s="103"/>
      <c r="O315" s="103"/>
      <c r="P315" s="103"/>
      <c r="Q315" s="103"/>
      <c r="R315" s="103"/>
      <c r="S315" s="103"/>
      <c r="T315" s="468" cm="1" t="str">
        <f t="array" ref="T315:T315">T314</f>
        <v>true</v>
      </c>
      <c r="U315" s="103"/>
      <c r="V315" s="103"/>
      <c r="W315" s="103"/>
      <c r="X315" s="1539"/>
      <c r="Y315" s="501"/>
      <c r="Z315" s="1529"/>
      <c r="AA315" s="501"/>
      <c r="AB315" s="296" t="str">
        <f>D315&amp;".3"</f>
        <v>14.3</v>
      </c>
      <c r="AC315" s="769" t="s">
        <v>2449</v>
      </c>
      <c r="AD315" s="296" t="s">
        <v>936</v>
      </c>
      <c r="AE315" s="953"/>
      <c r="AF315" s="6531"/>
      <c r="AG315" s="6531"/>
      <c r="AH315" s="255">
        <f>AG315-AF315</f>
        <v>0</v>
      </c>
      <c r="AI315" s="953"/>
      <c r="AJ315" s="953"/>
      <c r="AK315" s="953"/>
      <c r="AL315" s="953"/>
      <c r="AM315" s="953"/>
      <c r="AN315" s="953"/>
      <c r="AO315" s="953"/>
      <c r="AP315" s="953"/>
      <c r="AQ315" s="953"/>
      <c r="AR315" s="953"/>
      <c r="AS315" s="953"/>
      <c r="AT315" s="953"/>
      <c r="AU315" s="953"/>
      <c r="AV315" s="953"/>
      <c r="AW315" s="953"/>
      <c r="AX315" s="953"/>
      <c r="AY315" s="953"/>
      <c r="AZ315" s="953"/>
      <c r="BA315" s="953"/>
      <c r="BB315" s="953"/>
      <c r="BC315" s="953"/>
      <c r="BD315" s="953"/>
      <c r="BE315" s="953"/>
      <c r="BF315" s="953"/>
      <c r="BG315" s="953"/>
      <c r="BH315" s="953"/>
      <c r="BI315" s="953"/>
      <c r="BJ315" s="953"/>
      <c r="BK315" s="953"/>
      <c r="BL315" s="953"/>
      <c r="BM315" s="953"/>
      <c r="BN315" s="6533"/>
      <c r="BO315" s="6533"/>
      <c r="BP315" s="6533"/>
      <c r="BQ315" s="1297"/>
      <c r="BR315" s="1297"/>
      <c r="BS315" s="1079" t="s">
        <v>2450</v>
      </c>
      <c r="BT315" s="1079"/>
      <c r="BU315" s="1079"/>
      <c r="BV315" s="1080"/>
      <c r="BW315" s="1080"/>
    </row>
    <row s="541" customFormat="1" customHeight="1" ht="72.421875">
      <c r="A316" s="1331"/>
      <c r="B316" s="430"/>
      <c r="C316" s="1331"/>
      <c r="D316" s="1331"/>
      <c r="E316" s="623">
        <v>15</v>
      </c>
      <c r="F316" s="94" cm="1" t="str">
        <f t="array" ref="F316:F316">X316</f>
        <v>2</v>
      </c>
      <c r="G316" s="94" cm="1" t="str">
        <f t="array" ref="G316:G316">INDEX('Общие сведения'!$AK$197:$AK$254,MATCH($X316,'Общие сведения'!$Z$197:$Z$254,0))</f>
        <v>одноставочный</v>
      </c>
      <c r="H316" s="1331"/>
      <c r="I316" s="94"/>
      <c r="J316" s="1331"/>
      <c r="K316" s="1331"/>
      <c r="L316" s="990"/>
      <c r="M316" s="428"/>
      <c r="N316" s="1331"/>
      <c r="O316" s="1331"/>
      <c r="P316" s="1331"/>
      <c r="Q316" s="1331"/>
      <c r="R316" s="1331"/>
      <c r="S316" s="118" cm="1" t="str">
        <f t="array" ref="S316:S316">INDEX('Общие сведения'!$AE$197:$AE$254,MATCH($X316,'Общие сведения'!$Z$197:$Z$254,0))</f>
        <v>Водоотведение</v>
      </c>
      <c r="T316" s="468">
        <f>X316&gt;0</f>
        <v>1</v>
      </c>
      <c r="U316" s="1331"/>
      <c r="V316" s="118" cm="1" t="str">
        <f t="array" ref="V316:V316">'Калькуляция (МИ)'!$AB$315</f>
        <v>Тариф 2 (Водоотведение) - тариф на водоотведение (Оказание услуг на территории: город Ленинск-Кузнецкий (ОКТМО: 32719000) - г Ленинск-Кузнецкий)</v>
      </c>
      <c r="W316" s="1331"/>
      <c r="X316" s="1539" t="s">
        <v>299</v>
      </c>
      <c r="Y316" s="1331"/>
      <c r="Z316" s="1529"/>
      <c r="AA316" s="1331"/>
      <c r="AB316" s="377" cm="1" t="str">
        <f t="array" ref="AB316:AB316">'Калькуляция (МИ)'!$AB$315</f>
        <v>Тариф 2 (Водоотведение) - тариф на водоотведение (Оказание услуг на территории: город Ленинск-Кузнецкий (ОКТМО: 32719000) - г Ленинск-Кузнецкий)</v>
      </c>
      <c r="AC316" s="248"/>
      <c r="AD316" s="248"/>
      <c r="AE316" s="248"/>
      <c r="AF316" s="248"/>
      <c r="AG316" s="248"/>
      <c r="AH316" s="248"/>
      <c r="AI316" s="248"/>
      <c r="AJ316" s="248"/>
      <c r="AK316" s="248"/>
      <c r="AL316" s="248"/>
      <c r="AM316" s="248"/>
      <c r="AN316" s="248"/>
      <c r="AO316" s="248"/>
      <c r="AP316" s="248"/>
      <c r="AQ316" s="248"/>
      <c r="AR316" s="248"/>
      <c r="AS316" s="248"/>
      <c r="AT316" s="248"/>
      <c r="AU316" s="248"/>
      <c r="AV316" s="248"/>
      <c r="AW316" s="248"/>
      <c r="AX316" s="248"/>
      <c r="AY316" s="248"/>
      <c r="AZ316" s="248"/>
      <c r="BA316" s="248"/>
      <c r="BB316" s="248"/>
      <c r="BC316" s="248"/>
      <c r="BD316" s="248"/>
      <c r="BE316" s="248"/>
      <c r="BF316" s="248"/>
      <c r="BG316" s="248"/>
      <c r="BH316" s="248"/>
      <c r="BI316" s="248"/>
      <c r="BJ316" s="248"/>
      <c r="BK316" s="248"/>
      <c r="BL316" s="248"/>
      <c r="BM316" s="248"/>
      <c r="BN316" s="248"/>
      <c r="BO316" s="248"/>
      <c r="BP316" s="248"/>
      <c r="BQ316" s="1331"/>
      <c r="BR316" s="1331"/>
      <c r="BS316" s="1005"/>
      <c r="BT316" s="1005"/>
      <c r="BU316" s="1005"/>
      <c r="BV316" s="623"/>
      <c r="BW316" s="623"/>
    </row>
    <row s="6595" customFormat="1" customHeight="1" ht="223.80208333333334">
      <c r="A317" s="157"/>
      <c r="B317" s="436"/>
      <c r="C317" s="157"/>
      <c r="D317" s="157"/>
      <c r="E317" s="711">
        <v>21</v>
      </c>
      <c r="F317" s="50" cm="1" t="str">
        <f t="array" ref="F317:F317">OFFSET(E317,-1,1)</f>
        <v>2</v>
      </c>
      <c r="G317" s="157"/>
      <c r="H317" s="373"/>
      <c r="I317" s="373" t="s">
        <v>344</v>
      </c>
      <c r="J317" s="157"/>
      <c r="K317" s="373" t="s">
        <v>344</v>
      </c>
      <c r="L317" s="991"/>
      <c r="M317" s="862"/>
      <c r="N317" s="157"/>
      <c r="O317" s="157"/>
      <c r="P317" s="157"/>
      <c r="Q317" s="157"/>
      <c r="R317" s="157" t="s">
        <v>2470</v>
      </c>
      <c r="S317" s="157"/>
      <c r="T317" s="468" cm="1" t="str">
        <f t="array" ref="T317:T317">T316</f>
        <v>true</v>
      </c>
      <c r="U317" s="157"/>
      <c r="V317" s="157"/>
      <c r="W317" s="157"/>
      <c r="X317" s="1539"/>
      <c r="Y317" s="157"/>
      <c r="Z317" s="1529"/>
      <c r="AA317" s="157"/>
      <c r="AB317" s="243" t="s">
        <v>290</v>
      </c>
      <c r="AC317" s="208" t="s">
        <v>2174</v>
      </c>
      <c r="AD317" s="230" t="s">
        <v>936</v>
      </c>
      <c r="AE317" s="6518">
        <f>SUM(AE319,AE336,AE342,AE362,AE363,AE364)</f>
        <v>163199.05</v>
      </c>
      <c r="AF317" s="768">
        <f>SUM(AF319,AF336,AF342,AF362,AF363,AF364)</f>
        <v>160209.19</v>
      </c>
      <c r="AG317" s="768">
        <f>SUM(AG319,AG336,AG342,AG362,AG363,AG364)</f>
        <v>165353.93</v>
      </c>
      <c r="AH317" s="768">
        <f>AG317-AF317</f>
        <v>5144.73999999999</v>
      </c>
      <c r="AI317" s="6519">
        <v>178226.92</v>
      </c>
      <c r="AJ317" s="6519">
        <v>204828.68</v>
      </c>
      <c r="AK317" s="1265">
        <f>AJ317*AK318</f>
        <v>204828.68</v>
      </c>
      <c r="AL317" s="1265">
        <f>AK317*AL318</f>
        <v>204828.68</v>
      </c>
      <c r="AM317" s="1265">
        <f>AL317*AM318</f>
        <v>204828.68</v>
      </c>
      <c r="AN317" s="1265">
        <f>AM317*AN318</f>
        <v>204828.68</v>
      </c>
      <c r="AO317" s="1265">
        <f>AN317*AO318</f>
        <v>204828.68</v>
      </c>
      <c r="AP317" s="1265">
        <f>AO317*AP318</f>
        <v>204828.68</v>
      </c>
      <c r="AQ317" s="1265">
        <f>AP317*AQ318</f>
        <v>204828.68</v>
      </c>
      <c r="AR317" s="1265">
        <f>AQ317*AR318</f>
        <v>204828.68</v>
      </c>
      <c r="AS317" s="1265">
        <f>AR317*AS318</f>
        <v>204828.68</v>
      </c>
      <c r="AT317" s="6519">
        <v>185601.5</v>
      </c>
      <c r="AU317" s="1265">
        <f>AT317*AU318</f>
        <v>185601.5</v>
      </c>
      <c r="AV317" s="1265">
        <f>AU317*AV318</f>
        <v>185601.5</v>
      </c>
      <c r="AW317" s="1265">
        <f>AV317*AW318</f>
        <v>185601.5</v>
      </c>
      <c r="AX317" s="1265">
        <f>AW317*AX318</f>
        <v>185601.5</v>
      </c>
      <c r="AY317" s="1265">
        <f>AX317*AY318</f>
        <v>185601.5</v>
      </c>
      <c r="AZ317" s="1265">
        <f>AY317*AZ318</f>
        <v>185601.5</v>
      </c>
      <c r="BA317" s="1265">
        <f>AZ317*BA318</f>
        <v>185601.5</v>
      </c>
      <c r="BB317" s="1265">
        <f>BA317*BB318</f>
        <v>185601.5</v>
      </c>
      <c r="BC317" s="1265">
        <f>BB317*BC318</f>
        <v>185601.5</v>
      </c>
      <c r="BD317" s="768">
        <f>IF(AI317=0,0,(AT317-AI317)/AI317*100)</f>
        <v>4.1377475411683</v>
      </c>
      <c r="BE317" s="768">
        <f>IF(AT317=0,0,(AU317-AT317)/AT317*100)</f>
        <v>0</v>
      </c>
      <c r="BF317" s="768">
        <f>IF(AU317=0,0,(AV317-AU317)/AU317*100)</f>
        <v>0</v>
      </c>
      <c r="BG317" s="768">
        <f>IF(AV317=0,0,(AW317-AV317)/AV317*100)</f>
        <v>0</v>
      </c>
      <c r="BH317" s="768">
        <f>IF(AW317=0,0,(AX317-AW317)/AW317*100)</f>
        <v>0</v>
      </c>
      <c r="BI317" s="768">
        <f>IF(AX317=0,0,(AY317-AX317)/AX317*100)</f>
        <v>0</v>
      </c>
      <c r="BJ317" s="768">
        <f>IF(AY317=0,0,(AZ317-AY317)/AY317*100)</f>
        <v>0</v>
      </c>
      <c r="BK317" s="768">
        <f>IF(AZ317=0,0,(BA317-AZ317)/AZ317*100)</f>
        <v>0</v>
      </c>
      <c r="BL317" s="768">
        <f>IF(BA317=0,0,(BB317-BA317)/BA317*100)</f>
        <v>0</v>
      </c>
      <c r="BM317" s="768">
        <f>IF(BB317=0,0,(BC317-BB317)/BB317*100)</f>
        <v>0</v>
      </c>
      <c r="BN317" s="6520" t="s">
        <v>2472</v>
      </c>
      <c r="BO317" s="6521" t="s">
        <v>2549</v>
      </c>
      <c r="BP317" s="6521" t="s">
        <v>2550</v>
      </c>
      <c r="BQ317" s="156"/>
      <c r="BR317" s="157"/>
      <c r="BS317" s="1076" t="s">
        <v>649</v>
      </c>
      <c r="BT317" s="1076"/>
      <c r="BU317" s="1076"/>
      <c r="BV317" s="711"/>
      <c r="BW317" s="711"/>
    </row>
    <row s="1656" customFormat="1" customHeight="1" ht="65.671875">
      <c r="A318" s="1297"/>
      <c r="B318" s="986"/>
      <c r="C318" s="1297"/>
      <c r="D318" s="1297"/>
      <c r="E318" s="709">
        <v>15</v>
      </c>
      <c r="F318" s="50" cm="1" t="str">
        <f t="array" ref="F318:F318">OFFSET(E318,-1,1)</f>
        <v>2</v>
      </c>
      <c r="G318" s="1297"/>
      <c r="H318" s="374"/>
      <c r="I318" s="374" t="s">
        <v>566</v>
      </c>
      <c r="J318" s="1297"/>
      <c r="K318" s="374" t="s">
        <v>566</v>
      </c>
      <c r="L318" s="988"/>
      <c r="M318" s="103"/>
      <c r="N318" s="1297"/>
      <c r="O318" s="1297"/>
      <c r="P318" s="1297"/>
      <c r="Q318" s="1297"/>
      <c r="R318" s="157" t="s">
        <v>2470</v>
      </c>
      <c r="S318" s="1297"/>
      <c r="T318" s="468" cm="1" t="str">
        <f t="array" ref="T318:T318">T317</f>
        <v>true</v>
      </c>
      <c r="U318" s="1297"/>
      <c r="V318" s="1297"/>
      <c r="W318" s="1297"/>
      <c r="X318" s="1539"/>
      <c r="Y318" s="1297"/>
      <c r="Z318" s="1529"/>
      <c r="AA318" s="1297"/>
      <c r="AB318" s="295" t="s">
        <v>1067</v>
      </c>
      <c r="AC318" s="769" t="s">
        <v>2175</v>
      </c>
      <c r="AD318" s="296"/>
      <c r="AE318" s="6522">
        <v>1.0585449463</v>
      </c>
      <c r="AF318" s="6522"/>
      <c r="AG318" s="6522"/>
      <c r="AH318" s="949">
        <f>AG318-AF318</f>
        <v>0</v>
      </c>
      <c r="AI318" s="6522">
        <v>1.058</v>
      </c>
      <c r="AJ318" s="6522">
        <f>_xlfn.SUMIFS(INDEX(Сценарии!$AE$25:$BF$136,,MATCH(AJ$8,Сценарии!$AE$8:$BF$8,0)),Сценарии!$F$25:$F$136,$F318,Сценарии!$G$25:$G$136,"ИОР")</f>
        <v>1.03257</v>
      </c>
      <c r="AK318" s="1271">
        <f>_xlfn.SUMIFS(INDEX(Сценарии!$AE$25:$BF$136,,MATCH(AK$8,Сценарии!$AE$8:$BF$8,0)),Сценарии!$F$25:$F$136,$F318,Сценарии!$G$25:$G$136,"ИОР")</f>
        <v>1</v>
      </c>
      <c r="AL318" s="1271">
        <f>_xlfn.SUMIFS(INDEX(Сценарии!$AE$25:$BF$136,,MATCH(AL$8,Сценарии!$AE$8:$BF$8,0)),Сценарии!$F$25:$F$136,$F318,Сценарии!$G$25:$G$136,"ИОР")</f>
        <v>1</v>
      </c>
      <c r="AM318" s="1271">
        <f>_xlfn.SUMIFS(INDEX(Сценарии!$AE$25:$BF$136,,MATCH(AM$8,Сценарии!$AE$8:$BF$8,0)),Сценарии!$F$25:$F$136,$F318,Сценарии!$G$25:$G$136,"ИОР")</f>
        <v>1</v>
      </c>
      <c r="AN318" s="1271">
        <f>_xlfn.SUMIFS(INDEX(Сценарии!$AE$25:$BF$136,,MATCH(AN$8,Сценарии!$AE$8:$BF$8,0)),Сценарии!$F$25:$F$136,$F318,Сценарии!$G$25:$G$136,"ИОР")</f>
        <v>1</v>
      </c>
      <c r="AO318" s="1271">
        <f>_xlfn.SUMIFS(INDEX(Сценарии!$AE$25:$BF$136,,MATCH(AO$8,Сценарии!$AE$8:$BF$8,0)),Сценарии!$F$25:$F$136,$F318,Сценарии!$G$25:$G$136,"ИОР")</f>
        <v>1</v>
      </c>
      <c r="AP318" s="1271">
        <f>_xlfn.SUMIFS(INDEX(Сценарии!$AE$25:$BF$136,,MATCH(AP$8,Сценарии!$AE$8:$BF$8,0)),Сценарии!$F$25:$F$136,$F318,Сценарии!$G$25:$G$136,"ИОР")</f>
        <v>1</v>
      </c>
      <c r="AQ318" s="1271">
        <f>_xlfn.SUMIFS(INDEX(Сценарии!$AE$25:$BF$136,,MATCH(AQ$8,Сценарии!$AE$8:$BF$8,0)),Сценарии!$F$25:$F$136,$F318,Сценарии!$G$25:$G$136,"ИОР")</f>
        <v>1</v>
      </c>
      <c r="AR318" s="1271">
        <f>_xlfn.SUMIFS(INDEX(Сценарии!$AE$25:$BF$136,,MATCH(AR$8,Сценарии!$AE$8:$BF$8,0)),Сценарии!$F$25:$F$136,$F318,Сценарии!$G$25:$G$136,"ИОР")</f>
        <v>1</v>
      </c>
      <c r="AS318" s="1271">
        <f>_xlfn.SUMIFS(INDEX(Сценарии!$AE$25:$BF$136,,MATCH(AS$8,Сценарии!$AE$8:$BF$8,0)),Сценарии!$F$25:$F$136,$F318,Сценарии!$G$25:$G$136,"ИОР")</f>
        <v>1</v>
      </c>
      <c r="AT318" s="6522">
        <f>_xlfn.SUMIFS(INDEX(Сценарии!$AE$25:$BF$136,,MATCH(AT$8,Сценарии!$AE$8:$BF$8,0)),Сценарии!$F$25:$F$136,$F318,Сценарии!$G$25:$G$136,"ИОР")</f>
        <v>1.04049</v>
      </c>
      <c r="AU318" s="1271">
        <f>_xlfn.SUMIFS(INDEX(Сценарии!$AE$25:$BF$136,,MATCH(AU$8,Сценарии!$AE$8:$BF$8,0)),Сценарии!$F$25:$F$136,$F318,Сценарии!$G$25:$G$136,"ИОР")</f>
        <v>1</v>
      </c>
      <c r="AV318" s="1271">
        <f>_xlfn.SUMIFS(INDEX(Сценарии!$AE$25:$BF$136,,MATCH(AV$8,Сценарии!$AE$8:$BF$8,0)),Сценарии!$F$25:$F$136,$F318,Сценарии!$G$25:$G$136,"ИОР")</f>
        <v>1</v>
      </c>
      <c r="AW318" s="1271">
        <f>_xlfn.SUMIFS(INDEX(Сценарии!$AE$25:$BF$136,,MATCH(AW$8,Сценарии!$AE$8:$BF$8,0)),Сценарии!$F$25:$F$136,$F318,Сценарии!$G$25:$G$136,"ИОР")</f>
        <v>1</v>
      </c>
      <c r="AX318" s="1271">
        <f>_xlfn.SUMIFS(INDEX(Сценарии!$AE$25:$BF$136,,MATCH(AX$8,Сценарии!$AE$8:$BF$8,0)),Сценарии!$F$25:$F$136,$F318,Сценарии!$G$25:$G$136,"ИОР")</f>
        <v>1</v>
      </c>
      <c r="AY318" s="1271">
        <f>_xlfn.SUMIFS(INDEX(Сценарии!$AE$25:$BF$136,,MATCH(AY$8,Сценарии!$AE$8:$BF$8,0)),Сценарии!$F$25:$F$136,$F318,Сценарии!$G$25:$G$136,"ИОР")</f>
        <v>1</v>
      </c>
      <c r="AZ318" s="1271">
        <f>_xlfn.SUMIFS(INDEX(Сценарии!$AE$25:$BF$136,,MATCH(AZ$8,Сценарии!$AE$8:$BF$8,0)),Сценарии!$F$25:$F$136,$F318,Сценарии!$G$25:$G$136,"ИОР")</f>
        <v>1</v>
      </c>
      <c r="BA318" s="1271">
        <f>_xlfn.SUMIFS(INDEX(Сценарии!$AE$25:$BF$136,,MATCH(BA$8,Сценарии!$AE$8:$BF$8,0)),Сценарии!$F$25:$F$136,$F318,Сценарии!$G$25:$G$136,"ИОР")</f>
        <v>1</v>
      </c>
      <c r="BB318" s="1271">
        <f>_xlfn.SUMIFS(INDEX(Сценарии!$AE$25:$BF$136,,MATCH(BB$8,Сценарии!$AE$8:$BF$8,0)),Сценарии!$F$25:$F$136,$F318,Сценарии!$G$25:$G$136,"ИОР")</f>
        <v>1</v>
      </c>
      <c r="BC318" s="1271">
        <f>_xlfn.SUMIFS(INDEX(Сценарии!$AE$25:$BF$136,,MATCH(BC$8,Сценарии!$AE$8:$BF$8,0)),Сценарии!$F$25:$F$136,$F318,Сценарии!$G$25:$G$136,"ИОР")</f>
        <v>1</v>
      </c>
      <c r="BD318" s="950"/>
      <c r="BE318" s="950"/>
      <c r="BF318" s="950"/>
      <c r="BG318" s="950"/>
      <c r="BH318" s="950"/>
      <c r="BI318" s="950"/>
      <c r="BJ318" s="950"/>
      <c r="BK318" s="950"/>
      <c r="BL318" s="950"/>
      <c r="BM318" s="950"/>
      <c r="BN318" s="6521"/>
      <c r="BO318" s="6521" t="s">
        <v>2551</v>
      </c>
      <c r="BP318" s="6521"/>
      <c r="BQ318" s="1297"/>
      <c r="BR318" s="1297"/>
      <c r="BS318" s="1072" t="s">
        <v>2176</v>
      </c>
      <c r="BT318" s="1072"/>
      <c r="BU318" s="1072"/>
      <c r="BV318" s="987"/>
      <c r="BW318" s="987"/>
    </row>
    <row s="436" customFormat="1" customHeight="1" ht="20.25">
      <c r="A319" s="156"/>
      <c r="B319" s="436"/>
      <c r="C319" s="156"/>
      <c r="D319" s="156"/>
      <c r="E319" s="712">
        <v>21</v>
      </c>
      <c r="F319" s="50" cm="1" t="str">
        <f t="array" ref="F319:F319">OFFSET(E319,-1,1)</f>
        <v>2</v>
      </c>
      <c r="G319" s="156"/>
      <c r="H319" s="373"/>
      <c r="I319" s="373" t="s">
        <v>570</v>
      </c>
      <c r="J319" s="156"/>
      <c r="K319" s="373" t="s">
        <v>570</v>
      </c>
      <c r="L319" s="992" t="s">
        <v>344</v>
      </c>
      <c r="M319" s="865"/>
      <c r="N319" s="156"/>
      <c r="O319" s="156"/>
      <c r="P319" s="156"/>
      <c r="Q319" s="154" t="s">
        <v>2470</v>
      </c>
      <c r="R319" s="157" t="s">
        <v>2470</v>
      </c>
      <c r="S319" s="156"/>
      <c r="T319" s="468" cm="1" t="str">
        <f t="array" ref="T319:T319">T318</f>
        <v>true</v>
      </c>
      <c r="U319" s="156"/>
      <c r="V319" s="156"/>
      <c r="W319" s="156"/>
      <c r="X319" s="1539"/>
      <c r="Y319" s="156"/>
      <c r="Z319" s="1529"/>
      <c r="AA319" s="156"/>
      <c r="AB319" s="243" t="s">
        <v>1070</v>
      </c>
      <c r="AC319" s="357" t="s">
        <v>1972</v>
      </c>
      <c r="AD319" s="230" t="s">
        <v>936</v>
      </c>
      <c r="AE319" s="768">
        <f>SUM(AE320,AE323,AE324,AE327,AE328)</f>
        <v>78279.58</v>
      </c>
      <c r="AF319" s="768">
        <f>SUM(AF320,AF323,AF324,AF327,AF328)</f>
        <v>3190.04</v>
      </c>
      <c r="AG319" s="768">
        <f>SUM(AG320,AG323,AG324,AG327,AG328)</f>
        <v>0</v>
      </c>
      <c r="AH319" s="768">
        <f>AG319-AF319</f>
        <v>-3190.04</v>
      </c>
      <c r="AI319" s="6485">
        <f>SUM(AI320,AI323,AI324,AI327,AI328)</f>
        <v>0</v>
      </c>
      <c r="AJ319" s="6522"/>
      <c r="AK319" s="771"/>
      <c r="AL319" s="771"/>
      <c r="AM319" s="771"/>
      <c r="AN319" s="771"/>
      <c r="AO319" s="771"/>
      <c r="AP319" s="771"/>
      <c r="AQ319" s="771"/>
      <c r="AR319" s="771"/>
      <c r="AS319" s="771"/>
      <c r="AT319" s="771"/>
      <c r="AU319" s="771"/>
      <c r="AV319" s="771"/>
      <c r="AW319" s="771"/>
      <c r="AX319" s="771"/>
      <c r="AY319" s="771"/>
      <c r="AZ319" s="771"/>
      <c r="BA319" s="771"/>
      <c r="BB319" s="771"/>
      <c r="BC319" s="771"/>
      <c r="BD319" s="771"/>
      <c r="BE319" s="771"/>
      <c r="BF319" s="771"/>
      <c r="BG319" s="771"/>
      <c r="BH319" s="771"/>
      <c r="BI319" s="771"/>
      <c r="BJ319" s="771"/>
      <c r="BK319" s="771"/>
      <c r="BL319" s="771"/>
      <c r="BM319" s="771"/>
      <c r="BN319" s="6523"/>
      <c r="BO319" s="6523"/>
      <c r="BP319" s="6523"/>
      <c r="BQ319" s="156"/>
      <c r="BR319" s="156"/>
      <c r="BS319" s="1070" t="s">
        <v>621</v>
      </c>
      <c r="BT319" s="1077"/>
      <c r="BU319" s="1077"/>
      <c r="BV319" s="712"/>
      <c r="BW319" s="712"/>
    </row>
    <row s="1656" customFormat="1" customHeight="1" ht="14.25">
      <c r="A320" s="1297"/>
      <c r="B320" s="986"/>
      <c r="C320" s="1297"/>
      <c r="D320" s="1297"/>
      <c r="E320" s="709">
        <v>15</v>
      </c>
      <c r="F320" s="50" cm="1" t="str">
        <f t="array" ref="F320:F320">OFFSET(E320,-1,1)</f>
        <v>2</v>
      </c>
      <c r="G320" s="1297"/>
      <c r="H320" s="374"/>
      <c r="I320" s="374" t="s">
        <v>1550</v>
      </c>
      <c r="J320" s="1297"/>
      <c r="K320" s="374" t="s">
        <v>1550</v>
      </c>
      <c r="L320" s="988" t="s">
        <v>566</v>
      </c>
      <c r="M320" s="103"/>
      <c r="N320" s="1297"/>
      <c r="O320" s="1297"/>
      <c r="P320" s="1297"/>
      <c r="Q320" s="154" t="s">
        <v>2470</v>
      </c>
      <c r="R320" s="157" t="s">
        <v>2470</v>
      </c>
      <c r="S320" s="1297"/>
      <c r="T320" s="468" cm="1" t="str">
        <f t="array" ref="T320:T320">T319</f>
        <v>true</v>
      </c>
      <c r="U320" s="1297"/>
      <c r="V320" s="1297"/>
      <c r="W320" s="1297"/>
      <c r="X320" s="1539"/>
      <c r="Y320" s="1297"/>
      <c r="Z320" s="1529"/>
      <c r="AA320" s="1297"/>
      <c r="AB320" s="295" t="s">
        <v>1551</v>
      </c>
      <c r="AC320" s="772" t="s">
        <v>2177</v>
      </c>
      <c r="AD320" s="773" t="s">
        <v>936</v>
      </c>
      <c r="AE320" s="951">
        <f>SUM(AE321,AE322)</f>
        <v>0</v>
      </c>
      <c r="AF320" s="951">
        <f>SUM(AF321,AF322)</f>
        <v>0</v>
      </c>
      <c r="AG320" s="951">
        <f>SUM(AG321,AG322)</f>
        <v>0</v>
      </c>
      <c r="AH320" s="951">
        <f>AG320-AF320</f>
        <v>0</v>
      </c>
      <c r="AI320" s="6488">
        <f>SUM(AI321,AI322)</f>
        <v>0</v>
      </c>
      <c r="AJ320" s="6522"/>
      <c r="AK320" s="950"/>
      <c r="AL320" s="950"/>
      <c r="AM320" s="950"/>
      <c r="AN320" s="950"/>
      <c r="AO320" s="950"/>
      <c r="AP320" s="950"/>
      <c r="AQ320" s="950"/>
      <c r="AR320" s="950"/>
      <c r="AS320" s="950"/>
      <c r="AT320" s="950"/>
      <c r="AU320" s="950"/>
      <c r="AV320" s="950"/>
      <c r="AW320" s="950"/>
      <c r="AX320" s="950"/>
      <c r="AY320" s="950"/>
      <c r="AZ320" s="950"/>
      <c r="BA320" s="950"/>
      <c r="BB320" s="950"/>
      <c r="BC320" s="950"/>
      <c r="BD320" s="950"/>
      <c r="BE320" s="950"/>
      <c r="BF320" s="950"/>
      <c r="BG320" s="950"/>
      <c r="BH320" s="950"/>
      <c r="BI320" s="950"/>
      <c r="BJ320" s="950"/>
      <c r="BK320" s="950"/>
      <c r="BL320" s="950"/>
      <c r="BM320" s="950"/>
      <c r="BN320" s="6521"/>
      <c r="BO320" s="6521"/>
      <c r="BP320" s="6521"/>
      <c r="BQ320" s="106"/>
      <c r="BR320" s="1297"/>
      <c r="BS320" s="1071" t="s">
        <v>1974</v>
      </c>
      <c r="BT320" s="1072"/>
      <c r="BU320" s="1072"/>
      <c r="BV320" s="987"/>
      <c r="BW320" s="987"/>
    </row>
    <row s="1656" customFormat="1" customHeight="1" ht="14.25">
      <c r="A321" s="1297"/>
      <c r="B321" s="986"/>
      <c r="C321" s="1297"/>
      <c r="D321" s="1297"/>
      <c r="E321" s="709">
        <v>15</v>
      </c>
      <c r="F321" s="50" cm="1" t="str">
        <f t="array" ref="F321:F321">OFFSET(E321,-1,1)</f>
        <v>2</v>
      </c>
      <c r="G321" s="1297"/>
      <c r="H321" s="374"/>
      <c r="I321" s="374" t="s">
        <v>2178</v>
      </c>
      <c r="J321" s="1297"/>
      <c r="K321" s="374" t="s">
        <v>2178</v>
      </c>
      <c r="L321" s="988" t="s">
        <v>1201</v>
      </c>
      <c r="M321" s="103"/>
      <c r="N321" s="1297"/>
      <c r="O321" s="1297"/>
      <c r="P321" s="1297"/>
      <c r="Q321" s="154" t="s">
        <v>2470</v>
      </c>
      <c r="R321" s="157" t="s">
        <v>2470</v>
      </c>
      <c r="S321" s="1297"/>
      <c r="T321" s="468" cm="1" t="str">
        <f t="array" ref="T321:T321">T320</f>
        <v>true</v>
      </c>
      <c r="U321" s="1297"/>
      <c r="V321" s="1297"/>
      <c r="W321" s="1297"/>
      <c r="X321" s="1539"/>
      <c r="Y321" s="1297"/>
      <c r="Z321" s="1529"/>
      <c r="AA321" s="1297"/>
      <c r="AB321" s="295" t="s">
        <v>2179</v>
      </c>
      <c r="AC321" s="775" t="s">
        <v>1977</v>
      </c>
      <c r="AD321" s="773" t="s">
        <v>936</v>
      </c>
      <c r="AE321" s="6489">
        <f>_xlfn.SUMIFS('Сырье и материалы'!AE$25:AE$111,'Сырье и материалы'!$F$25:$F$111,$F321,'Сырье и материалы'!$I$25:$I$111,"Горюче-смазочные материалы")</f>
        <v>0</v>
      </c>
      <c r="AF321" s="6489">
        <f>_xlfn.SUMIFS('Сырье и материалы'!AF$25:AF$111,'Сырье и материалы'!$F$25:$F$111,$F321,'Сырье и материалы'!$I$25:$I$111,"Горюче-смазочные материалы")</f>
        <v>0</v>
      </c>
      <c r="AG321" s="6489">
        <f>_xlfn.SUMIFS('Сырье и материалы'!AG$25:AG$111,'Сырье и материалы'!$F$25:$F$111,$F321,'Сырье и материалы'!$I$25:$I$111,"Горюче-смазочные материалы")</f>
        <v>0</v>
      </c>
      <c r="AH321" s="951">
        <f>AG321-AF321</f>
        <v>0</v>
      </c>
      <c r="AI321" s="6490"/>
      <c r="AJ321" s="6522"/>
      <c r="AK321" s="950"/>
      <c r="AL321" s="950"/>
      <c r="AM321" s="950"/>
      <c r="AN321" s="950"/>
      <c r="AO321" s="950"/>
      <c r="AP321" s="950"/>
      <c r="AQ321" s="950"/>
      <c r="AR321" s="950"/>
      <c r="AS321" s="950"/>
      <c r="AT321" s="950"/>
      <c r="AU321" s="950"/>
      <c r="AV321" s="950"/>
      <c r="AW321" s="950"/>
      <c r="AX321" s="950"/>
      <c r="AY321" s="950"/>
      <c r="AZ321" s="950"/>
      <c r="BA321" s="950"/>
      <c r="BB321" s="950"/>
      <c r="BC321" s="950"/>
      <c r="BD321" s="950"/>
      <c r="BE321" s="950"/>
      <c r="BF321" s="950"/>
      <c r="BG321" s="950"/>
      <c r="BH321" s="950"/>
      <c r="BI321" s="950"/>
      <c r="BJ321" s="950"/>
      <c r="BK321" s="950"/>
      <c r="BL321" s="950"/>
      <c r="BM321" s="950"/>
      <c r="BN321" s="6521"/>
      <c r="BO321" s="6521"/>
      <c r="BP321" s="6521"/>
      <c r="BQ321" s="1297"/>
      <c r="BR321" s="1297"/>
      <c r="BS321" s="1070" t="s">
        <v>1978</v>
      </c>
      <c r="BT321" s="1072"/>
      <c r="BU321" s="1072"/>
      <c r="BV321" s="987"/>
      <c r="BW321" s="987"/>
    </row>
    <row s="1656" customFormat="1" customHeight="1" ht="14.25">
      <c r="A322" s="1297"/>
      <c r="B322" s="986"/>
      <c r="C322" s="1297"/>
      <c r="D322" s="1297"/>
      <c r="E322" s="709">
        <v>15</v>
      </c>
      <c r="F322" s="50" cm="1" t="str">
        <f t="array" ref="F322:F322">OFFSET(E322,-1,1)</f>
        <v>2</v>
      </c>
      <c r="G322" s="1297"/>
      <c r="H322" s="374"/>
      <c r="I322" s="374" t="s">
        <v>2180</v>
      </c>
      <c r="J322" s="1297"/>
      <c r="K322" s="374" t="s">
        <v>2180</v>
      </c>
      <c r="L322" s="988" t="s">
        <v>1525</v>
      </c>
      <c r="M322" s="103"/>
      <c r="N322" s="1297"/>
      <c r="O322" s="1297"/>
      <c r="P322" s="1297"/>
      <c r="Q322" s="154" t="s">
        <v>2470</v>
      </c>
      <c r="R322" s="157" t="s">
        <v>2470</v>
      </c>
      <c r="S322" s="1297"/>
      <c r="T322" s="468" cm="1" t="str">
        <f t="array" ref="T322:T322">T321</f>
        <v>true</v>
      </c>
      <c r="U322" s="1297"/>
      <c r="V322" s="1297"/>
      <c r="W322" s="1297"/>
      <c r="X322" s="1539"/>
      <c r="Y322" s="1297"/>
      <c r="Z322" s="1529"/>
      <c r="AA322" s="1297"/>
      <c r="AB322" s="295" t="s">
        <v>2181</v>
      </c>
      <c r="AC322" s="775" t="s">
        <v>1979</v>
      </c>
      <c r="AD322" s="773" t="s">
        <v>936</v>
      </c>
      <c r="AE322" s="6489">
        <f>_xlfn.SUMIFS('Сырье и материалы'!AE$25:AE$111,'Сырье и материалы'!$F$25:$F$111,$F322,'Сырье и материалы'!$I$25:$I$111,"Материалы")</f>
        <v>0</v>
      </c>
      <c r="AF322" s="6489">
        <f>_xlfn.SUMIFS('Сырье и материалы'!AF$25:AF$111,'Сырье и материалы'!$F$25:$F$111,$F322,'Сырье и материалы'!$I$25:$I$111,"Материалы")</f>
        <v>0</v>
      </c>
      <c r="AG322" s="6489">
        <f>_xlfn.SUMIFS('Сырье и материалы'!AG$25:AG$111,'Сырье и материалы'!$F$25:$F$111,$F322,'Сырье и материалы'!$I$25:$I$111,"Материалы")</f>
        <v>0</v>
      </c>
      <c r="AH322" s="951">
        <f>AG322-AF322</f>
        <v>0</v>
      </c>
      <c r="AI322" s="6490"/>
      <c r="AJ322" s="6522"/>
      <c r="AK322" s="950"/>
      <c r="AL322" s="950"/>
      <c r="AM322" s="950"/>
      <c r="AN322" s="950"/>
      <c r="AO322" s="950"/>
      <c r="AP322" s="950"/>
      <c r="AQ322" s="950"/>
      <c r="AR322" s="950"/>
      <c r="AS322" s="950"/>
      <c r="AT322" s="950"/>
      <c r="AU322" s="950"/>
      <c r="AV322" s="950"/>
      <c r="AW322" s="950"/>
      <c r="AX322" s="950"/>
      <c r="AY322" s="950"/>
      <c r="AZ322" s="950"/>
      <c r="BA322" s="950"/>
      <c r="BB322" s="950"/>
      <c r="BC322" s="950"/>
      <c r="BD322" s="950"/>
      <c r="BE322" s="950"/>
      <c r="BF322" s="950"/>
      <c r="BG322" s="950"/>
      <c r="BH322" s="950"/>
      <c r="BI322" s="950"/>
      <c r="BJ322" s="950"/>
      <c r="BK322" s="950"/>
      <c r="BL322" s="950"/>
      <c r="BM322" s="950"/>
      <c r="BN322" s="6521"/>
      <c r="BO322" s="6521"/>
      <c r="BP322" s="6521"/>
      <c r="BQ322" s="1297"/>
      <c r="BR322" s="1297"/>
      <c r="BS322" s="1070" t="s">
        <v>1980</v>
      </c>
      <c r="BT322" s="1072"/>
      <c r="BU322" s="1072"/>
      <c r="BV322" s="987"/>
      <c r="BW322" s="987"/>
    </row>
    <row s="1656" customFormat="1" customHeight="1" ht="21.75">
      <c r="A323" s="1297"/>
      <c r="B323" s="986"/>
      <c r="C323" s="1297"/>
      <c r="D323" s="1297"/>
      <c r="E323" s="709">
        <v>22.5</v>
      </c>
      <c r="F323" s="50" cm="1" t="str">
        <f t="array" ref="F323:F323">OFFSET(E323,-1,1)</f>
        <v>2</v>
      </c>
      <c r="G323" s="1297"/>
      <c r="H323" s="374"/>
      <c r="I323" s="374" t="s">
        <v>1553</v>
      </c>
      <c r="J323" s="1297"/>
      <c r="K323" s="374" t="s">
        <v>1553</v>
      </c>
      <c r="L323" s="988" t="s">
        <v>573</v>
      </c>
      <c r="M323" s="103"/>
      <c r="N323" s="1297"/>
      <c r="O323" s="1297"/>
      <c r="P323" s="1297"/>
      <c r="Q323" s="154" t="s">
        <v>2470</v>
      </c>
      <c r="R323" s="157" t="s">
        <v>2470</v>
      </c>
      <c r="S323" s="1297"/>
      <c r="T323" s="468" cm="1" t="str">
        <f t="array" ref="T323:T323">T322</f>
        <v>true</v>
      </c>
      <c r="U323" s="1297"/>
      <c r="V323" s="1297"/>
      <c r="W323" s="1297"/>
      <c r="X323" s="1539"/>
      <c r="Y323" s="1297"/>
      <c r="Z323" s="1529"/>
      <c r="AA323" s="1297"/>
      <c r="AB323" s="295" t="s">
        <v>1554</v>
      </c>
      <c r="AC323" s="772" t="s">
        <v>2182</v>
      </c>
      <c r="AD323" s="773" t="s">
        <v>936</v>
      </c>
      <c r="AE323" s="6524"/>
      <c r="AF323" s="6524"/>
      <c r="AG323" s="6524"/>
      <c r="AH323" s="951">
        <f>AG323-AF323</f>
        <v>0</v>
      </c>
      <c r="AI323" s="6490"/>
      <c r="AJ323" s="6522"/>
      <c r="AK323" s="950"/>
      <c r="AL323" s="950"/>
      <c r="AM323" s="950"/>
      <c r="AN323" s="950"/>
      <c r="AO323" s="950"/>
      <c r="AP323" s="950"/>
      <c r="AQ323" s="950"/>
      <c r="AR323" s="950"/>
      <c r="AS323" s="950"/>
      <c r="AT323" s="950"/>
      <c r="AU323" s="950"/>
      <c r="AV323" s="950"/>
      <c r="AW323" s="950"/>
      <c r="AX323" s="950"/>
      <c r="AY323" s="950"/>
      <c r="AZ323" s="950"/>
      <c r="BA323" s="950"/>
      <c r="BB323" s="950"/>
      <c r="BC323" s="950"/>
      <c r="BD323" s="950"/>
      <c r="BE323" s="950"/>
      <c r="BF323" s="950"/>
      <c r="BG323" s="950"/>
      <c r="BH323" s="950"/>
      <c r="BI323" s="950"/>
      <c r="BJ323" s="950"/>
      <c r="BK323" s="950"/>
      <c r="BL323" s="950"/>
      <c r="BM323" s="950"/>
      <c r="BN323" s="6521"/>
      <c r="BO323" s="6521"/>
      <c r="BP323" s="6521"/>
      <c r="BQ323" s="1297"/>
      <c r="BR323" s="1297"/>
      <c r="BS323" s="1071" t="s">
        <v>2005</v>
      </c>
      <c r="BT323" s="1072"/>
      <c r="BU323" s="1072"/>
      <c r="BV323" s="987"/>
      <c r="BW323" s="987"/>
    </row>
    <row s="1656" customFormat="1" customHeight="1" ht="80.671875">
      <c r="A324" s="1297"/>
      <c r="B324" s="986"/>
      <c r="C324" s="1297"/>
      <c r="D324" s="1297"/>
      <c r="E324" s="709">
        <v>22.5</v>
      </c>
      <c r="F324" s="50" cm="1" t="str">
        <f t="array" ref="F324:F324">OFFSET(E324,-1,1)</f>
        <v>2</v>
      </c>
      <c r="G324" s="1297"/>
      <c r="H324" s="374"/>
      <c r="I324" s="374" t="s">
        <v>1557</v>
      </c>
      <c r="J324" s="1297"/>
      <c r="K324" s="374" t="s">
        <v>1557</v>
      </c>
      <c r="L324" s="988" t="s">
        <v>577</v>
      </c>
      <c r="M324" s="103"/>
      <c r="N324" s="1297"/>
      <c r="O324" s="1297"/>
      <c r="P324" s="1297"/>
      <c r="Q324" s="154" t="s">
        <v>2470</v>
      </c>
      <c r="R324" s="157" t="s">
        <v>2470</v>
      </c>
      <c r="S324" s="1297"/>
      <c r="T324" s="468" cm="1" t="str">
        <f t="array" ref="T324:T324">T323</f>
        <v>true</v>
      </c>
      <c r="U324" s="1297"/>
      <c r="V324" s="1297"/>
      <c r="W324" s="1297"/>
      <c r="X324" s="1539"/>
      <c r="Y324" s="1297"/>
      <c r="Z324" s="1529"/>
      <c r="AA324" s="1297"/>
      <c r="AB324" s="295" t="s">
        <v>1558</v>
      </c>
      <c r="AC324" s="772" t="s">
        <v>2183</v>
      </c>
      <c r="AD324" s="773" t="s">
        <v>936</v>
      </c>
      <c r="AE324" s="952">
        <f>AE325+AE326</f>
        <v>75782.23</v>
      </c>
      <c r="AF324" s="952">
        <f>AF325+AF326</f>
        <v>2856.8</v>
      </c>
      <c r="AG324" s="952">
        <f>AG325+AG326</f>
        <v>0</v>
      </c>
      <c r="AH324" s="951">
        <f>AG324-AF324</f>
        <v>-2856.8</v>
      </c>
      <c r="AI324" s="6493">
        <f>AI325+AI326</f>
        <v>0</v>
      </c>
      <c r="AJ324" s="6522"/>
      <c r="AK324" s="950"/>
      <c r="AL324" s="950"/>
      <c r="AM324" s="950"/>
      <c r="AN324" s="950"/>
      <c r="AO324" s="950"/>
      <c r="AP324" s="950"/>
      <c r="AQ324" s="950"/>
      <c r="AR324" s="950"/>
      <c r="AS324" s="950"/>
      <c r="AT324" s="950"/>
      <c r="AU324" s="950"/>
      <c r="AV324" s="950"/>
      <c r="AW324" s="950"/>
      <c r="AX324" s="950"/>
      <c r="AY324" s="950"/>
      <c r="AZ324" s="950"/>
      <c r="BA324" s="950"/>
      <c r="BB324" s="950"/>
      <c r="BC324" s="950"/>
      <c r="BD324" s="950"/>
      <c r="BE324" s="950"/>
      <c r="BF324" s="950"/>
      <c r="BG324" s="950"/>
      <c r="BH324" s="950"/>
      <c r="BI324" s="950"/>
      <c r="BJ324" s="950"/>
      <c r="BK324" s="950"/>
      <c r="BL324" s="950"/>
      <c r="BM324" s="950"/>
      <c r="BN324" s="6521"/>
      <c r="BO324" s="6521"/>
      <c r="BP324" s="6521"/>
      <c r="BQ324" s="1297"/>
      <c r="BR324" s="1297"/>
      <c r="BS324" s="1071" t="s">
        <v>2184</v>
      </c>
      <c r="BT324" s="1072"/>
      <c r="BU324" s="1072"/>
      <c r="BV324" s="987"/>
      <c r="BW324" s="987"/>
    </row>
    <row s="1656" customFormat="1" customHeight="1" ht="39.421875">
      <c r="A325" s="1297"/>
      <c r="B325" s="986"/>
      <c r="C325" s="1297"/>
      <c r="D325" s="1297"/>
      <c r="E325" s="709">
        <v>15</v>
      </c>
      <c r="F325" s="50" cm="1" t="str">
        <f t="array" ref="F325:F325">OFFSET(E325,-1,1)</f>
        <v>2</v>
      </c>
      <c r="G325" s="345" t="s">
        <v>1350</v>
      </c>
      <c r="H325" s="374"/>
      <c r="I325" s="374" t="s">
        <v>1712</v>
      </c>
      <c r="J325" s="1297"/>
      <c r="K325" s="374" t="s">
        <v>1712</v>
      </c>
      <c r="L325" s="988" t="s">
        <v>1577</v>
      </c>
      <c r="M325" s="103"/>
      <c r="N325" s="1297"/>
      <c r="O325" s="1297"/>
      <c r="P325" s="1297"/>
      <c r="Q325" s="154" t="s">
        <v>2470</v>
      </c>
      <c r="R325" s="157" t="s">
        <v>2470</v>
      </c>
      <c r="S325" s="1297"/>
      <c r="T325" s="468" cm="1" t="str">
        <f t="array" ref="T325:T325">T324</f>
        <v>true</v>
      </c>
      <c r="U325" s="1297"/>
      <c r="V325" s="1297"/>
      <c r="W325" s="1297"/>
      <c r="X325" s="1539"/>
      <c r="Y325" s="1297"/>
      <c r="Z325" s="1529"/>
      <c r="AA325" s="1297"/>
      <c r="AB325" s="295" t="s">
        <v>2185</v>
      </c>
      <c r="AC325" s="775" t="s">
        <v>2008</v>
      </c>
      <c r="AD325" s="773" t="s">
        <v>936</v>
      </c>
      <c r="AE325" s="6524">
        <v>58200.41</v>
      </c>
      <c r="AF325" s="6524">
        <v>2195.44</v>
      </c>
      <c r="AG325" s="6524"/>
      <c r="AH325" s="951">
        <f>AG325-AF325</f>
        <v>-2195.44</v>
      </c>
      <c r="AI325" s="6490"/>
      <c r="AJ325" s="6522"/>
      <c r="AK325" s="950"/>
      <c r="AL325" s="950"/>
      <c r="AM325" s="950"/>
      <c r="AN325" s="950"/>
      <c r="AO325" s="950"/>
      <c r="AP325" s="950"/>
      <c r="AQ325" s="950"/>
      <c r="AR325" s="950"/>
      <c r="AS325" s="950"/>
      <c r="AT325" s="950"/>
      <c r="AU325" s="950"/>
      <c r="AV325" s="950"/>
      <c r="AW325" s="950"/>
      <c r="AX325" s="950"/>
      <c r="AY325" s="950"/>
      <c r="AZ325" s="950"/>
      <c r="BA325" s="950"/>
      <c r="BB325" s="950"/>
      <c r="BC325" s="950"/>
      <c r="BD325" s="950"/>
      <c r="BE325" s="950"/>
      <c r="BF325" s="950"/>
      <c r="BG325" s="950"/>
      <c r="BH325" s="950"/>
      <c r="BI325" s="950"/>
      <c r="BJ325" s="950"/>
      <c r="BK325" s="950"/>
      <c r="BL325" s="950"/>
      <c r="BM325" s="950"/>
      <c r="BN325" s="6521"/>
      <c r="BO325" s="6525"/>
      <c r="BP325" s="6521"/>
      <c r="BQ325" s="1297"/>
      <c r="BR325" s="1297"/>
      <c r="BS325" s="1070" t="s">
        <v>2009</v>
      </c>
      <c r="BT325" s="1072"/>
      <c r="BU325" s="1072"/>
      <c r="BV325" s="987"/>
      <c r="BW325" s="987"/>
    </row>
    <row s="1656" customFormat="1" customHeight="1" ht="57.421875">
      <c r="A326" s="1297"/>
      <c r="B326" s="986"/>
      <c r="C326" s="1297"/>
      <c r="D326" s="1297"/>
      <c r="E326" s="709">
        <v>22.5</v>
      </c>
      <c r="F326" s="50" cm="1" t="str">
        <f t="array" ref="F326:F326">OFFSET(E326,-1,1)</f>
        <v>2</v>
      </c>
      <c r="G326" s="345" t="s">
        <v>1362</v>
      </c>
      <c r="H326" s="374"/>
      <c r="I326" s="374" t="s">
        <v>1716</v>
      </c>
      <c r="J326" s="1297"/>
      <c r="K326" s="374" t="s">
        <v>1716</v>
      </c>
      <c r="L326" s="988" t="s">
        <v>1578</v>
      </c>
      <c r="M326" s="103"/>
      <c r="N326" s="1297"/>
      <c r="O326" s="1297"/>
      <c r="P326" s="1297"/>
      <c r="Q326" s="154" t="s">
        <v>2470</v>
      </c>
      <c r="R326" s="157" t="s">
        <v>2470</v>
      </c>
      <c r="S326" s="1297"/>
      <c r="T326" s="468" cm="1" t="str">
        <f t="array" ref="T326:T326">T325</f>
        <v>true</v>
      </c>
      <c r="U326" s="1297"/>
      <c r="V326" s="1297"/>
      <c r="W326" s="1297"/>
      <c r="X326" s="1539"/>
      <c r="Y326" s="1297"/>
      <c r="Z326" s="1529"/>
      <c r="AA326" s="1297"/>
      <c r="AB326" s="295" t="s">
        <v>2186</v>
      </c>
      <c r="AC326" s="775" t="s">
        <v>2187</v>
      </c>
      <c r="AD326" s="773" t="s">
        <v>936</v>
      </c>
      <c r="AE326" s="6524">
        <v>17581.82</v>
      </c>
      <c r="AF326" s="6524">
        <v>661.36</v>
      </c>
      <c r="AG326" s="6524">
        <f>AG325*_xlfn.SUMIFS(INDEX(Сценарии!$AE$25:$BF$136,,MATCH(AG$8,Сценарии!$AE$8:$BF$8,0)),Сценарии!$F$25:$F$136,$F326,Сценарии!$G$25:$G$136,"СВФОТ")/100</f>
        <v>0</v>
      </c>
      <c r="AH326" s="951">
        <f>AG326-AF326</f>
        <v>-661.36</v>
      </c>
      <c r="AI326" s="6490">
        <f>AI325*_xlfn.SUMIFS(INDEX(Сценарии!$AE$25:$BF$136,,MATCH(AG$8,Сценарии!$AE$8:$BF$8,0)),Сценарии!$F$25:$F$136,$F326,Сценарии!$G$25:$G$136,"СВФОТ")/100</f>
        <v>0</v>
      </c>
      <c r="AJ326" s="6522"/>
      <c r="AK326" s="950"/>
      <c r="AL326" s="950"/>
      <c r="AM326" s="950"/>
      <c r="AN326" s="950"/>
      <c r="AO326" s="950"/>
      <c r="AP326" s="950"/>
      <c r="AQ326" s="950"/>
      <c r="AR326" s="950"/>
      <c r="AS326" s="950"/>
      <c r="AT326" s="950"/>
      <c r="AU326" s="950"/>
      <c r="AV326" s="950"/>
      <c r="AW326" s="950"/>
      <c r="AX326" s="950"/>
      <c r="AY326" s="950"/>
      <c r="AZ326" s="950"/>
      <c r="BA326" s="950"/>
      <c r="BB326" s="950"/>
      <c r="BC326" s="950"/>
      <c r="BD326" s="950"/>
      <c r="BE326" s="950"/>
      <c r="BF326" s="950"/>
      <c r="BG326" s="950"/>
      <c r="BH326" s="950"/>
      <c r="BI326" s="950"/>
      <c r="BJ326" s="950"/>
      <c r="BK326" s="950"/>
      <c r="BL326" s="950"/>
      <c r="BM326" s="950"/>
      <c r="BN326" s="6521"/>
      <c r="BO326" s="6525" t="str">
        <f>IF(_xlfn.IFERROR(INDEX(ФОТ!$K$26:$L$127,MATCH($F326&amp;"2komm",ФОТ!$K$26:$K$127,0),2),"")=0,"",_xlfn.IFERROR(INDEX(ФОТ!$K$26:$L$127,MATCH($F326&amp;"2komm",ФОТ!$K$26:$K$127,0),2),""))</f>
        <v/>
      </c>
      <c r="BP326" s="6521"/>
      <c r="BQ326" s="1297"/>
      <c r="BR326" s="1297"/>
      <c r="BS326" s="1070" t="s">
        <v>2011</v>
      </c>
      <c r="BT326" s="1072"/>
      <c r="BU326" s="1072"/>
      <c r="BV326" s="987"/>
      <c r="BW326" s="987"/>
    </row>
    <row s="1656" customFormat="1" customHeight="1" ht="29.671875">
      <c r="A327" s="1297"/>
      <c r="B327" s="986"/>
      <c r="C327" s="1297"/>
      <c r="D327" s="1297"/>
      <c r="E327" s="709">
        <v>15</v>
      </c>
      <c r="F327" s="50" cm="1" t="str">
        <f t="array" ref="F327:F327">OFFSET(E327,-1,1)</f>
        <v>2</v>
      </c>
      <c r="G327" s="1297"/>
      <c r="H327" s="374"/>
      <c r="I327" s="374" t="s">
        <v>1727</v>
      </c>
      <c r="J327" s="1297"/>
      <c r="K327" s="374" t="s">
        <v>1727</v>
      </c>
      <c r="L327" s="988" t="s">
        <v>2013</v>
      </c>
      <c r="M327" s="103"/>
      <c r="N327" s="1297"/>
      <c r="O327" s="1297"/>
      <c r="P327" s="1297"/>
      <c r="Q327" s="154" t="s">
        <v>2470</v>
      </c>
      <c r="R327" s="157" t="s">
        <v>2470</v>
      </c>
      <c r="S327" s="1297"/>
      <c r="T327" s="468" cm="1" t="str">
        <f t="array" ref="T327:T327">T326</f>
        <v>true</v>
      </c>
      <c r="U327" s="1297"/>
      <c r="V327" s="1297"/>
      <c r="W327" s="1297"/>
      <c r="X327" s="1539"/>
      <c r="Y327" s="1297"/>
      <c r="Z327" s="1529"/>
      <c r="AA327" s="1297"/>
      <c r="AB327" s="295" t="s">
        <v>1987</v>
      </c>
      <c r="AC327" s="772" t="s">
        <v>2188</v>
      </c>
      <c r="AD327" s="773" t="s">
        <v>936</v>
      </c>
      <c r="AE327" s="6524">
        <v>110.75</v>
      </c>
      <c r="AF327" s="6524">
        <v>76.2</v>
      </c>
      <c r="AG327" s="6524"/>
      <c r="AH327" s="951">
        <f>AG327-AF327</f>
        <v>-76.2</v>
      </c>
      <c r="AI327" s="6490"/>
      <c r="AJ327" s="6522"/>
      <c r="AK327" s="950"/>
      <c r="AL327" s="950"/>
      <c r="AM327" s="950"/>
      <c r="AN327" s="950"/>
      <c r="AO327" s="950"/>
      <c r="AP327" s="950"/>
      <c r="AQ327" s="950"/>
      <c r="AR327" s="950"/>
      <c r="AS327" s="950"/>
      <c r="AT327" s="950"/>
      <c r="AU327" s="950"/>
      <c r="AV327" s="950"/>
      <c r="AW327" s="950"/>
      <c r="AX327" s="950"/>
      <c r="AY327" s="950"/>
      <c r="AZ327" s="950"/>
      <c r="BA327" s="950"/>
      <c r="BB327" s="950"/>
      <c r="BC327" s="950"/>
      <c r="BD327" s="950"/>
      <c r="BE327" s="950"/>
      <c r="BF327" s="950"/>
      <c r="BG327" s="950"/>
      <c r="BH327" s="950"/>
      <c r="BI327" s="950"/>
      <c r="BJ327" s="950"/>
      <c r="BK327" s="950"/>
      <c r="BL327" s="950"/>
      <c r="BM327" s="950"/>
      <c r="BN327" s="6521"/>
      <c r="BO327" s="6521"/>
      <c r="BP327" s="6521"/>
      <c r="BQ327" s="1297"/>
      <c r="BR327" s="1297"/>
      <c r="BS327" s="1071" t="s">
        <v>2016</v>
      </c>
      <c r="BT327" s="1072"/>
      <c r="BU327" s="1072"/>
      <c r="BV327" s="987"/>
      <c r="BW327" s="987"/>
    </row>
    <row s="1656" customFormat="1" customHeight="1" ht="24.421875">
      <c r="A328" s="1297"/>
      <c r="B328" s="986"/>
      <c r="C328" s="1297"/>
      <c r="D328" s="1297"/>
      <c r="E328" s="709">
        <v>15</v>
      </c>
      <c r="F328" s="50" cm="1" t="str">
        <f t="array" ref="F328:F328">OFFSET(E328,-1,1)</f>
        <v>2</v>
      </c>
      <c r="G328" s="1297"/>
      <c r="H328" s="374"/>
      <c r="I328" s="374" t="s">
        <v>1731</v>
      </c>
      <c r="J328" s="1297"/>
      <c r="K328" s="374" t="s">
        <v>1731</v>
      </c>
      <c r="L328" s="988" t="s">
        <v>2017</v>
      </c>
      <c r="M328" s="1297"/>
      <c r="N328" s="1297"/>
      <c r="O328" s="1297"/>
      <c r="P328" s="1297"/>
      <c r="Q328" s="154" t="s">
        <v>2470</v>
      </c>
      <c r="R328" s="157" t="s">
        <v>2470</v>
      </c>
      <c r="S328" s="1297"/>
      <c r="T328" s="468" cm="1" t="str">
        <f t="array" ref="T328:T328">T327</f>
        <v>true</v>
      </c>
      <c r="U328" s="1297"/>
      <c r="V328" s="1297"/>
      <c r="W328" s="1297"/>
      <c r="X328" s="1539"/>
      <c r="Y328" s="1297"/>
      <c r="Z328" s="1529"/>
      <c r="AA328" s="1297"/>
      <c r="AB328" s="295" t="s">
        <v>1989</v>
      </c>
      <c r="AC328" s="772" t="s">
        <v>2189</v>
      </c>
      <c r="AD328" s="296" t="s">
        <v>936</v>
      </c>
      <c r="AE328" s="952">
        <f>SUM(AE329:AE335)</f>
        <v>2386.6</v>
      </c>
      <c r="AF328" s="952">
        <f>SUM(AF329:AF335)</f>
        <v>257.04</v>
      </c>
      <c r="AG328" s="952">
        <f>SUM(AG329:AG335)</f>
        <v>0</v>
      </c>
      <c r="AH328" s="951">
        <f>AG328-AF328</f>
        <v>-257.04</v>
      </c>
      <c r="AI328" s="6493">
        <f>SUM(AI329:AI335)</f>
        <v>0</v>
      </c>
      <c r="AJ328" s="6522"/>
      <c r="AK328" s="950"/>
      <c r="AL328" s="950"/>
      <c r="AM328" s="950"/>
      <c r="AN328" s="950"/>
      <c r="AO328" s="950"/>
      <c r="AP328" s="950"/>
      <c r="AQ328" s="950"/>
      <c r="AR328" s="950"/>
      <c r="AS328" s="950"/>
      <c r="AT328" s="950"/>
      <c r="AU328" s="950"/>
      <c r="AV328" s="950"/>
      <c r="AW328" s="950"/>
      <c r="AX328" s="950"/>
      <c r="AY328" s="950"/>
      <c r="AZ328" s="950"/>
      <c r="BA328" s="950"/>
      <c r="BB328" s="950"/>
      <c r="BC328" s="950"/>
      <c r="BD328" s="950"/>
      <c r="BE328" s="950"/>
      <c r="BF328" s="950"/>
      <c r="BG328" s="950"/>
      <c r="BH328" s="950"/>
      <c r="BI328" s="950"/>
      <c r="BJ328" s="950"/>
      <c r="BK328" s="950"/>
      <c r="BL328" s="950"/>
      <c r="BM328" s="950"/>
      <c r="BN328" s="6521"/>
      <c r="BO328" s="6521"/>
      <c r="BP328" s="6521"/>
      <c r="BQ328" s="1297"/>
      <c r="BR328" s="1297"/>
      <c r="BS328" s="1071" t="s">
        <v>2190</v>
      </c>
      <c r="BT328" s="1072"/>
      <c r="BU328" s="1072"/>
      <c r="BV328" s="987"/>
      <c r="BW328" s="987"/>
    </row>
    <row s="1656" customFormat="1" customHeight="1" ht="14.25">
      <c r="A329" s="1297"/>
      <c r="B329" s="986"/>
      <c r="C329" s="1297"/>
      <c r="D329" s="1297"/>
      <c r="E329" s="709">
        <v>15</v>
      </c>
      <c r="F329" s="50" cm="1" t="str">
        <f t="array" ref="F329:F329">OFFSET(E329,-1,1)</f>
        <v>2</v>
      </c>
      <c r="G329" s="1297"/>
      <c r="H329" s="374"/>
      <c r="I329" s="374" t="s">
        <v>2191</v>
      </c>
      <c r="J329" s="1297"/>
      <c r="K329" s="374" t="s">
        <v>2191</v>
      </c>
      <c r="L329" s="988" t="s">
        <v>2017</v>
      </c>
      <c r="M329" s="103" t="s">
        <v>2025</v>
      </c>
      <c r="N329" s="1297"/>
      <c r="O329" s="1297"/>
      <c r="P329" s="1297"/>
      <c r="Q329" s="154" t="s">
        <v>2470</v>
      </c>
      <c r="R329" s="157" t="s">
        <v>2470</v>
      </c>
      <c r="S329" s="1297"/>
      <c r="T329" s="468" cm="1" t="str">
        <f t="array" ref="T329:T329">T328</f>
        <v>true</v>
      </c>
      <c r="U329" s="1297"/>
      <c r="V329" s="1297"/>
      <c r="W329" s="1297"/>
      <c r="X329" s="1539"/>
      <c r="Y329" s="1297"/>
      <c r="Z329" s="1529"/>
      <c r="AA329" s="1297"/>
      <c r="AB329" s="295" t="s">
        <v>2192</v>
      </c>
      <c r="AC329" s="775" t="s">
        <v>2193</v>
      </c>
      <c r="AD329" s="296" t="s">
        <v>936</v>
      </c>
      <c r="AE329" s="6524"/>
      <c r="AF329" s="6524"/>
      <c r="AG329" s="6524"/>
      <c r="AH329" s="951">
        <f>AG329-AF329</f>
        <v>0</v>
      </c>
      <c r="AI329" s="6490"/>
      <c r="AJ329" s="6522"/>
      <c r="AK329" s="950"/>
      <c r="AL329" s="950"/>
      <c r="AM329" s="950"/>
      <c r="AN329" s="950"/>
      <c r="AO329" s="950"/>
      <c r="AP329" s="950"/>
      <c r="AQ329" s="950"/>
      <c r="AR329" s="950"/>
      <c r="AS329" s="950"/>
      <c r="AT329" s="950"/>
      <c r="AU329" s="950"/>
      <c r="AV329" s="950"/>
      <c r="AW329" s="950"/>
      <c r="AX329" s="950"/>
      <c r="AY329" s="950"/>
      <c r="AZ329" s="950"/>
      <c r="BA329" s="950"/>
      <c r="BB329" s="950"/>
      <c r="BC329" s="950"/>
      <c r="BD329" s="950"/>
      <c r="BE329" s="950"/>
      <c r="BF329" s="950"/>
      <c r="BG329" s="950"/>
      <c r="BH329" s="950"/>
      <c r="BI329" s="950"/>
      <c r="BJ329" s="950"/>
      <c r="BK329" s="950"/>
      <c r="BL329" s="950"/>
      <c r="BM329" s="950"/>
      <c r="BN329" s="6521"/>
      <c r="BO329" s="6521"/>
      <c r="BP329" s="6521"/>
      <c r="BQ329" s="1297"/>
      <c r="BR329" s="1297"/>
      <c r="BS329" s="1070" t="s">
        <v>2028</v>
      </c>
      <c r="BT329" s="1072"/>
      <c r="BU329" s="1072"/>
      <c r="BV329" s="987"/>
      <c r="BW329" s="987"/>
    </row>
    <row s="1656" customFormat="1" customHeight="1" ht="21.75">
      <c r="A330" s="1297"/>
      <c r="B330" s="986"/>
      <c r="C330" s="1297"/>
      <c r="D330" s="1297"/>
      <c r="E330" s="709">
        <v>22.5</v>
      </c>
      <c r="F330" s="50" cm="1" t="str">
        <f t="array" ref="F330:F330">OFFSET(E330,-1,1)</f>
        <v>2</v>
      </c>
      <c r="G330" s="1297"/>
      <c r="H330" s="374"/>
      <c r="I330" s="374" t="s">
        <v>2194</v>
      </c>
      <c r="J330" s="1297"/>
      <c r="K330" s="374" t="s">
        <v>2194</v>
      </c>
      <c r="L330" s="988" t="s">
        <v>2017</v>
      </c>
      <c r="M330" s="103" t="s">
        <v>2021</v>
      </c>
      <c r="N330" s="1297"/>
      <c r="O330" s="1297"/>
      <c r="P330" s="1297"/>
      <c r="Q330" s="154" t="s">
        <v>2470</v>
      </c>
      <c r="R330" s="157" t="s">
        <v>2470</v>
      </c>
      <c r="S330" s="1297"/>
      <c r="T330" s="468" cm="1" t="str">
        <f t="array" ref="T330:T330">T329</f>
        <v>true</v>
      </c>
      <c r="U330" s="1297"/>
      <c r="V330" s="1297"/>
      <c r="W330" s="1297"/>
      <c r="X330" s="1539"/>
      <c r="Y330" s="1297"/>
      <c r="Z330" s="1529"/>
      <c r="AA330" s="1297"/>
      <c r="AB330" s="295" t="s">
        <v>2195</v>
      </c>
      <c r="AC330" s="775" t="s">
        <v>2196</v>
      </c>
      <c r="AD330" s="296" t="s">
        <v>936</v>
      </c>
      <c r="AE330" s="6524"/>
      <c r="AF330" s="6524"/>
      <c r="AG330" s="6524"/>
      <c r="AH330" s="951">
        <f>AG330-AF330</f>
        <v>0</v>
      </c>
      <c r="AI330" s="6490"/>
      <c r="AJ330" s="6522"/>
      <c r="AK330" s="950"/>
      <c r="AL330" s="950"/>
      <c r="AM330" s="950"/>
      <c r="AN330" s="950"/>
      <c r="AO330" s="950"/>
      <c r="AP330" s="950"/>
      <c r="AQ330" s="950"/>
      <c r="AR330" s="950"/>
      <c r="AS330" s="950"/>
      <c r="AT330" s="950"/>
      <c r="AU330" s="950"/>
      <c r="AV330" s="950"/>
      <c r="AW330" s="950"/>
      <c r="AX330" s="950"/>
      <c r="AY330" s="950"/>
      <c r="AZ330" s="950"/>
      <c r="BA330" s="950"/>
      <c r="BB330" s="950"/>
      <c r="BC330" s="950"/>
      <c r="BD330" s="950"/>
      <c r="BE330" s="950"/>
      <c r="BF330" s="950"/>
      <c r="BG330" s="950"/>
      <c r="BH330" s="950"/>
      <c r="BI330" s="950"/>
      <c r="BJ330" s="950"/>
      <c r="BK330" s="950"/>
      <c r="BL330" s="950"/>
      <c r="BM330" s="950"/>
      <c r="BN330" s="6521"/>
      <c r="BO330" s="6521"/>
      <c r="BP330" s="6521"/>
      <c r="BQ330" s="1297"/>
      <c r="BR330" s="1297"/>
      <c r="BS330" s="1072" t="s">
        <v>2197</v>
      </c>
      <c r="BT330" s="1072"/>
      <c r="BU330" s="1072"/>
      <c r="BV330" s="987"/>
      <c r="BW330" s="987"/>
    </row>
    <row s="1656" customFormat="1" customHeight="1" ht="21.75">
      <c r="A331" s="1297"/>
      <c r="B331" s="986"/>
      <c r="C331" s="1297"/>
      <c r="D331" s="1297"/>
      <c r="E331" s="709">
        <v>22.5</v>
      </c>
      <c r="F331" s="50" cm="1" t="str">
        <f t="array" ref="F331:F331">OFFSET(E331,-1,1)</f>
        <v>2</v>
      </c>
      <c r="G331" s="1297"/>
      <c r="H331" s="374"/>
      <c r="I331" s="374" t="s">
        <v>2198</v>
      </c>
      <c r="J331" s="1297"/>
      <c r="K331" s="374" t="s">
        <v>2198</v>
      </c>
      <c r="L331" s="1297"/>
      <c r="M331" s="1297"/>
      <c r="N331" s="1297"/>
      <c r="O331" s="1297"/>
      <c r="P331" s="1297"/>
      <c r="Q331" s="154" t="s">
        <v>2470</v>
      </c>
      <c r="R331" s="157" t="s">
        <v>2470</v>
      </c>
      <c r="S331" s="1297"/>
      <c r="T331" s="468" cm="1" t="str">
        <f t="array" ref="T331:T331">T330</f>
        <v>true</v>
      </c>
      <c r="U331" s="1297"/>
      <c r="V331" s="1297"/>
      <c r="W331" s="1297"/>
      <c r="X331" s="1539"/>
      <c r="Y331" s="1297"/>
      <c r="Z331" s="1529"/>
      <c r="AA331" s="1297"/>
      <c r="AB331" s="295" t="s">
        <v>2199</v>
      </c>
      <c r="AC331" s="776" t="s">
        <v>2200</v>
      </c>
      <c r="AD331" s="296" t="s">
        <v>936</v>
      </c>
      <c r="AE331" s="6524"/>
      <c r="AF331" s="6524"/>
      <c r="AG331" s="6524"/>
      <c r="AH331" s="951">
        <f>AG331-AF331</f>
        <v>0</v>
      </c>
      <c r="AI331" s="6490"/>
      <c r="AJ331" s="6522"/>
      <c r="AK331" s="950"/>
      <c r="AL331" s="950"/>
      <c r="AM331" s="950"/>
      <c r="AN331" s="950"/>
      <c r="AO331" s="950"/>
      <c r="AP331" s="950"/>
      <c r="AQ331" s="950"/>
      <c r="AR331" s="950"/>
      <c r="AS331" s="950"/>
      <c r="AT331" s="950"/>
      <c r="AU331" s="950"/>
      <c r="AV331" s="950"/>
      <c r="AW331" s="950"/>
      <c r="AX331" s="950"/>
      <c r="AY331" s="950"/>
      <c r="AZ331" s="950"/>
      <c r="BA331" s="950"/>
      <c r="BB331" s="950"/>
      <c r="BC331" s="950"/>
      <c r="BD331" s="950"/>
      <c r="BE331" s="950"/>
      <c r="BF331" s="950"/>
      <c r="BG331" s="950"/>
      <c r="BH331" s="950"/>
      <c r="BI331" s="950"/>
      <c r="BJ331" s="950"/>
      <c r="BK331" s="950"/>
      <c r="BL331" s="950"/>
      <c r="BM331" s="950"/>
      <c r="BN331" s="6521"/>
      <c r="BO331" s="6521"/>
      <c r="BP331" s="6521"/>
      <c r="BQ331" s="1297"/>
      <c r="BR331" s="1297"/>
      <c r="BS331" s="1072" t="s">
        <v>2201</v>
      </c>
      <c r="BT331" s="1072"/>
      <c r="BU331" s="1072"/>
      <c r="BV331" s="987"/>
      <c r="BW331" s="987"/>
    </row>
    <row s="1656" customFormat="1" customHeight="1" ht="21.75">
      <c r="A332" s="1297"/>
      <c r="B332" s="986"/>
      <c r="C332" s="1297"/>
      <c r="D332" s="1297"/>
      <c r="E332" s="709">
        <v>22.5</v>
      </c>
      <c r="F332" s="50" cm="1" t="str">
        <f t="array" ref="F332:F332">OFFSET(E332,-1,1)</f>
        <v>2</v>
      </c>
      <c r="G332" s="1297"/>
      <c r="H332" s="374"/>
      <c r="I332" s="374" t="s">
        <v>2202</v>
      </c>
      <c r="J332" s="1297"/>
      <c r="K332" s="374" t="s">
        <v>2202</v>
      </c>
      <c r="L332" s="988"/>
      <c r="M332" s="1297"/>
      <c r="N332" s="1297"/>
      <c r="O332" s="1297"/>
      <c r="P332" s="1297"/>
      <c r="Q332" s="154" t="s">
        <v>2470</v>
      </c>
      <c r="R332" s="157" t="s">
        <v>2470</v>
      </c>
      <c r="S332" s="1297"/>
      <c r="T332" s="468" cm="1" t="str">
        <f t="array" ref="T332:T332">T331</f>
        <v>true</v>
      </c>
      <c r="U332" s="1297"/>
      <c r="V332" s="1297"/>
      <c r="W332" s="1297"/>
      <c r="X332" s="1539"/>
      <c r="Y332" s="1297"/>
      <c r="Z332" s="1529"/>
      <c r="AA332" s="1297"/>
      <c r="AB332" s="295" t="s">
        <v>2203</v>
      </c>
      <c r="AC332" s="776" t="s">
        <v>2204</v>
      </c>
      <c r="AD332" s="296" t="s">
        <v>936</v>
      </c>
      <c r="AE332" s="6524"/>
      <c r="AF332" s="6524"/>
      <c r="AG332" s="6524"/>
      <c r="AH332" s="951">
        <f>AG332-AF332</f>
        <v>0</v>
      </c>
      <c r="AI332" s="6490"/>
      <c r="AJ332" s="6522"/>
      <c r="AK332" s="950"/>
      <c r="AL332" s="950"/>
      <c r="AM332" s="950"/>
      <c r="AN332" s="950"/>
      <c r="AO332" s="950"/>
      <c r="AP332" s="950"/>
      <c r="AQ332" s="950"/>
      <c r="AR332" s="950"/>
      <c r="AS332" s="950"/>
      <c r="AT332" s="950"/>
      <c r="AU332" s="950"/>
      <c r="AV332" s="950"/>
      <c r="AW332" s="950"/>
      <c r="AX332" s="950"/>
      <c r="AY332" s="950"/>
      <c r="AZ332" s="950"/>
      <c r="BA332" s="950"/>
      <c r="BB332" s="950"/>
      <c r="BC332" s="950"/>
      <c r="BD332" s="950"/>
      <c r="BE332" s="950"/>
      <c r="BF332" s="950"/>
      <c r="BG332" s="950"/>
      <c r="BH332" s="950"/>
      <c r="BI332" s="950"/>
      <c r="BJ332" s="950"/>
      <c r="BK332" s="950"/>
      <c r="BL332" s="950"/>
      <c r="BM332" s="950"/>
      <c r="BN332" s="6521"/>
      <c r="BO332" s="6521"/>
      <c r="BP332" s="6521"/>
      <c r="BQ332" s="1297"/>
      <c r="BR332" s="1297"/>
      <c r="BS332" s="1072" t="s">
        <v>2205</v>
      </c>
      <c r="BT332" s="1072"/>
      <c r="BU332" s="1072"/>
      <c r="BV332" s="987"/>
      <c r="BW332" s="987"/>
    </row>
    <row s="1656" customFormat="1" customHeight="1" ht="43.5">
      <c r="A333" s="1297"/>
      <c r="B333" s="986"/>
      <c r="C333" s="1297"/>
      <c r="D333" s="1297"/>
      <c r="E333" s="709">
        <v>45</v>
      </c>
      <c r="F333" s="50" cm="1" t="str">
        <f t="array" ref="F333:F333">OFFSET(E333,-1,1)</f>
        <v>2</v>
      </c>
      <c r="G333" s="1297"/>
      <c r="H333" s="374"/>
      <c r="I333" s="374" t="s">
        <v>2206</v>
      </c>
      <c r="J333" s="1297"/>
      <c r="K333" s="374" t="s">
        <v>2206</v>
      </c>
      <c r="L333" s="988" t="s">
        <v>2017</v>
      </c>
      <c r="M333" s="103" t="s">
        <v>2029</v>
      </c>
      <c r="N333" s="1297"/>
      <c r="O333" s="1297"/>
      <c r="P333" s="1297"/>
      <c r="Q333" s="154" t="s">
        <v>2470</v>
      </c>
      <c r="R333" s="157" t="s">
        <v>2470</v>
      </c>
      <c r="S333" s="1297"/>
      <c r="T333" s="468" cm="1" t="str">
        <f t="array" ref="T333:T333">T332</f>
        <v>true</v>
      </c>
      <c r="U333" s="1297"/>
      <c r="V333" s="1297"/>
      <c r="W333" s="1297"/>
      <c r="X333" s="1539"/>
      <c r="Y333" s="1297"/>
      <c r="Z333" s="1529"/>
      <c r="AA333" s="1297"/>
      <c r="AB333" s="295" t="s">
        <v>2207</v>
      </c>
      <c r="AC333" s="775" t="s">
        <v>2208</v>
      </c>
      <c r="AD333" s="296" t="s">
        <v>936</v>
      </c>
      <c r="AE333" s="6524"/>
      <c r="AF333" s="6524"/>
      <c r="AG333" s="6524"/>
      <c r="AH333" s="951">
        <f>AG333-AF333</f>
        <v>0</v>
      </c>
      <c r="AI333" s="6490"/>
      <c r="AJ333" s="6522"/>
      <c r="AK333" s="950"/>
      <c r="AL333" s="950"/>
      <c r="AM333" s="950"/>
      <c r="AN333" s="950"/>
      <c r="AO333" s="950"/>
      <c r="AP333" s="950"/>
      <c r="AQ333" s="950"/>
      <c r="AR333" s="950"/>
      <c r="AS333" s="950"/>
      <c r="AT333" s="950"/>
      <c r="AU333" s="950"/>
      <c r="AV333" s="950"/>
      <c r="AW333" s="950"/>
      <c r="AX333" s="950"/>
      <c r="AY333" s="950"/>
      <c r="AZ333" s="950"/>
      <c r="BA333" s="950"/>
      <c r="BB333" s="950"/>
      <c r="BC333" s="950"/>
      <c r="BD333" s="950"/>
      <c r="BE333" s="950"/>
      <c r="BF333" s="950"/>
      <c r="BG333" s="950"/>
      <c r="BH333" s="950"/>
      <c r="BI333" s="950"/>
      <c r="BJ333" s="950"/>
      <c r="BK333" s="950"/>
      <c r="BL333" s="950"/>
      <c r="BM333" s="950"/>
      <c r="BN333" s="6521"/>
      <c r="BO333" s="6521"/>
      <c r="BP333" s="6521"/>
      <c r="BQ333" s="1297"/>
      <c r="BR333" s="1297"/>
      <c r="BS333" s="1072" t="s">
        <v>2032</v>
      </c>
      <c r="BT333" s="1072"/>
      <c r="BU333" s="1072"/>
      <c r="BV333" s="987"/>
      <c r="BW333" s="987"/>
    </row>
    <row s="1656" customFormat="1" customHeight="1" ht="40.921875">
      <c r="A334" s="1297"/>
      <c r="B334" s="986"/>
      <c r="C334" s="1297"/>
      <c r="D334" s="1297"/>
      <c r="E334" s="709">
        <v>15</v>
      </c>
      <c r="F334" s="50" cm="1" t="str">
        <f t="array" ref="F334:F334">OFFSET(E334,-1,1)</f>
        <v>2</v>
      </c>
      <c r="G334" s="1297"/>
      <c r="H334" s="374"/>
      <c r="I334" s="374" t="s">
        <v>2209</v>
      </c>
      <c r="J334" s="1297"/>
      <c r="K334" s="374" t="s">
        <v>2209</v>
      </c>
      <c r="L334" s="988" t="s">
        <v>2017</v>
      </c>
      <c r="M334" s="103" t="s">
        <v>2033</v>
      </c>
      <c r="N334" s="1297"/>
      <c r="O334" s="1297"/>
      <c r="P334" s="1297"/>
      <c r="Q334" s="154" t="s">
        <v>2470</v>
      </c>
      <c r="R334" s="157" t="s">
        <v>2470</v>
      </c>
      <c r="S334" s="1297"/>
      <c r="T334" s="468" cm="1" t="str">
        <f t="array" ref="T334:T334">T333</f>
        <v>true</v>
      </c>
      <c r="U334" s="1297"/>
      <c r="V334" s="1297"/>
      <c r="W334" s="1297"/>
      <c r="X334" s="1539"/>
      <c r="Y334" s="1297"/>
      <c r="Z334" s="1529"/>
      <c r="AA334" s="1297"/>
      <c r="AB334" s="295" t="s">
        <v>2210</v>
      </c>
      <c r="AC334" s="775" t="s">
        <v>2035</v>
      </c>
      <c r="AD334" s="296" t="s">
        <v>936</v>
      </c>
      <c r="AE334" s="6524">
        <v>2386.6</v>
      </c>
      <c r="AF334" s="6524">
        <v>257.04</v>
      </c>
      <c r="AG334" s="6524"/>
      <c r="AH334" s="951">
        <f>AG334-AF334</f>
        <v>-257.04</v>
      </c>
      <c r="AI334" s="6490"/>
      <c r="AJ334" s="6522"/>
      <c r="AK334" s="950"/>
      <c r="AL334" s="950"/>
      <c r="AM334" s="950"/>
      <c r="AN334" s="950"/>
      <c r="AO334" s="950"/>
      <c r="AP334" s="950"/>
      <c r="AQ334" s="950"/>
      <c r="AR334" s="950"/>
      <c r="AS334" s="950"/>
      <c r="AT334" s="950"/>
      <c r="AU334" s="950"/>
      <c r="AV334" s="950"/>
      <c r="AW334" s="950"/>
      <c r="AX334" s="950"/>
      <c r="AY334" s="950"/>
      <c r="AZ334" s="950"/>
      <c r="BA334" s="950"/>
      <c r="BB334" s="950"/>
      <c r="BC334" s="950"/>
      <c r="BD334" s="950"/>
      <c r="BE334" s="950"/>
      <c r="BF334" s="950"/>
      <c r="BG334" s="950"/>
      <c r="BH334" s="950"/>
      <c r="BI334" s="950"/>
      <c r="BJ334" s="950"/>
      <c r="BK334" s="950"/>
      <c r="BL334" s="950"/>
      <c r="BM334" s="950"/>
      <c r="BN334" s="6521"/>
      <c r="BO334" s="6521"/>
      <c r="BP334" s="6521"/>
      <c r="BQ334" s="1297"/>
      <c r="BR334" s="1297"/>
      <c r="BS334" s="1072" t="s">
        <v>2036</v>
      </c>
      <c r="BT334" s="1072"/>
      <c r="BU334" s="1072"/>
      <c r="BV334" s="987"/>
      <c r="BW334" s="987"/>
    </row>
    <row s="1656" customFormat="1" customHeight="1" ht="14.25">
      <c r="A335" s="1297"/>
      <c r="B335" s="986"/>
      <c r="C335" s="1297"/>
      <c r="D335" s="1297"/>
      <c r="E335" s="709">
        <v>15</v>
      </c>
      <c r="F335" s="50" cm="1" t="str">
        <f t="array" ref="F335:F335">OFFSET(E335,-1,1)</f>
        <v>2</v>
      </c>
      <c r="G335" s="1297"/>
      <c r="H335" s="374"/>
      <c r="I335" s="374" t="s">
        <v>2211</v>
      </c>
      <c r="J335" s="1297"/>
      <c r="K335" s="374" t="s">
        <v>2211</v>
      </c>
      <c r="L335" s="988"/>
      <c r="M335" s="103"/>
      <c r="N335" s="1297"/>
      <c r="O335" s="1297"/>
      <c r="P335" s="1297"/>
      <c r="Q335" s="154" t="s">
        <v>2470</v>
      </c>
      <c r="R335" s="157" t="s">
        <v>2470</v>
      </c>
      <c r="S335" s="1297"/>
      <c r="T335" s="468" cm="1" t="str">
        <f t="array" ref="T335:T335">T334</f>
        <v>true</v>
      </c>
      <c r="U335" s="1297"/>
      <c r="V335" s="1297"/>
      <c r="W335" s="1297"/>
      <c r="X335" s="1539"/>
      <c r="Y335" s="1297"/>
      <c r="Z335" s="1529"/>
      <c r="AA335" s="1297"/>
      <c r="AB335" s="295" t="s">
        <v>2212</v>
      </c>
      <c r="AC335" s="775" t="s">
        <v>2213</v>
      </c>
      <c r="AD335" s="296" t="s">
        <v>936</v>
      </c>
      <c r="AE335" s="6524"/>
      <c r="AF335" s="6524"/>
      <c r="AG335" s="6524"/>
      <c r="AH335" s="951">
        <f>AG335-AF335</f>
        <v>0</v>
      </c>
      <c r="AI335" s="6490"/>
      <c r="AJ335" s="1378"/>
      <c r="AK335" s="950"/>
      <c r="AL335" s="950"/>
      <c r="AM335" s="950"/>
      <c r="AN335" s="950"/>
      <c r="AO335" s="950"/>
      <c r="AP335" s="950"/>
      <c r="AQ335" s="950"/>
      <c r="AR335" s="950"/>
      <c r="AS335" s="950"/>
      <c r="AT335" s="950"/>
      <c r="AU335" s="950"/>
      <c r="AV335" s="950"/>
      <c r="AW335" s="950"/>
      <c r="AX335" s="950"/>
      <c r="AY335" s="950"/>
      <c r="AZ335" s="950"/>
      <c r="BA335" s="950"/>
      <c r="BB335" s="950"/>
      <c r="BC335" s="950"/>
      <c r="BD335" s="950"/>
      <c r="BE335" s="950"/>
      <c r="BF335" s="950"/>
      <c r="BG335" s="950"/>
      <c r="BH335" s="950"/>
      <c r="BI335" s="950"/>
      <c r="BJ335" s="950"/>
      <c r="BK335" s="950"/>
      <c r="BL335" s="950"/>
      <c r="BM335" s="950"/>
      <c r="BN335" s="6521"/>
      <c r="BO335" s="6521"/>
      <c r="BP335" s="6521"/>
      <c r="BQ335" s="1297"/>
      <c r="BR335" s="1297"/>
      <c r="BS335" s="1072" t="s">
        <v>2020</v>
      </c>
      <c r="BT335" s="1072"/>
      <c r="BU335" s="1072"/>
      <c r="BV335" s="987"/>
      <c r="BW335" s="987"/>
    </row>
    <row s="6596" customFormat="1" customHeight="1" ht="24.421875">
      <c r="A336" s="706"/>
      <c r="B336" s="437"/>
      <c r="C336" s="706"/>
      <c r="D336" s="706"/>
      <c r="E336" s="713">
        <v>21</v>
      </c>
      <c r="F336" s="50" cm="1" t="str">
        <f t="array" ref="F336:F336">OFFSET(E336,-1,1)</f>
        <v>2</v>
      </c>
      <c r="G336" s="706"/>
      <c r="H336" s="374"/>
      <c r="I336" s="374" t="s">
        <v>573</v>
      </c>
      <c r="J336" s="706"/>
      <c r="K336" s="374" t="s">
        <v>573</v>
      </c>
      <c r="L336" s="993"/>
      <c r="M336" s="105"/>
      <c r="N336" s="706"/>
      <c r="O336" s="706"/>
      <c r="P336" s="706"/>
      <c r="Q336" s="154" t="s">
        <v>2470</v>
      </c>
      <c r="R336" s="157" t="s">
        <v>2470</v>
      </c>
      <c r="S336" s="706"/>
      <c r="T336" s="468" cm="1" t="str">
        <f t="array" ref="T336:T336">T335</f>
        <v>true</v>
      </c>
      <c r="U336" s="706"/>
      <c r="V336" s="706"/>
      <c r="W336" s="706"/>
      <c r="X336" s="1539"/>
      <c r="Y336" s="706"/>
      <c r="Z336" s="1529"/>
      <c r="AA336" s="706"/>
      <c r="AB336" s="214" t="s">
        <v>1073</v>
      </c>
      <c r="AC336" s="357" t="s">
        <v>2039</v>
      </c>
      <c r="AD336" s="207" t="s">
        <v>936</v>
      </c>
      <c r="AE336" s="777">
        <f>AE337+AE338+AE339</f>
        <v>69591.96</v>
      </c>
      <c r="AF336" s="777">
        <f>AF337+AF338+AF339</f>
        <v>139541.46</v>
      </c>
      <c r="AG336" s="777">
        <f>AG337+AG338+AG339</f>
        <v>0</v>
      </c>
      <c r="AH336" s="768">
        <f>AG336-AF336</f>
        <v>-139541.46</v>
      </c>
      <c r="AI336" s="6497">
        <f>AI337+AI338+AI339</f>
        <v>0</v>
      </c>
      <c r="AJ336" s="6522"/>
      <c r="AK336" s="771"/>
      <c r="AL336" s="771"/>
      <c r="AM336" s="771"/>
      <c r="AN336" s="771"/>
      <c r="AO336" s="771"/>
      <c r="AP336" s="771"/>
      <c r="AQ336" s="771"/>
      <c r="AR336" s="771"/>
      <c r="AS336" s="771"/>
      <c r="AT336" s="771"/>
      <c r="AU336" s="771"/>
      <c r="AV336" s="771"/>
      <c r="AW336" s="771"/>
      <c r="AX336" s="771"/>
      <c r="AY336" s="771"/>
      <c r="AZ336" s="771"/>
      <c r="BA336" s="771"/>
      <c r="BB336" s="771"/>
      <c r="BC336" s="771"/>
      <c r="BD336" s="771"/>
      <c r="BE336" s="771"/>
      <c r="BF336" s="771"/>
      <c r="BG336" s="771"/>
      <c r="BH336" s="771"/>
      <c r="BI336" s="771"/>
      <c r="BJ336" s="771"/>
      <c r="BK336" s="771"/>
      <c r="BL336" s="771"/>
      <c r="BM336" s="771"/>
      <c r="BN336" s="6523"/>
      <c r="BO336" s="6523"/>
      <c r="BP336" s="6523"/>
      <c r="BQ336" s="706"/>
      <c r="BR336" s="706"/>
      <c r="BS336" s="1071" t="s">
        <v>2040</v>
      </c>
      <c r="BT336" s="1078"/>
      <c r="BU336" s="1078"/>
      <c r="BV336" s="713"/>
      <c r="BW336" s="713"/>
    </row>
    <row s="1656" customFormat="1" customHeight="1" ht="69.421875">
      <c r="A337" s="1297"/>
      <c r="B337" s="986"/>
      <c r="C337" s="1297"/>
      <c r="D337" s="1297"/>
      <c r="E337" s="709">
        <v>22.5</v>
      </c>
      <c r="F337" s="50" cm="1" t="str">
        <f t="array" ref="F337:F337">OFFSET(E337,-1,1)</f>
        <v>2</v>
      </c>
      <c r="G337" s="1297"/>
      <c r="H337" s="374"/>
      <c r="I337" s="374" t="s">
        <v>1563</v>
      </c>
      <c r="J337" s="1297"/>
      <c r="K337" s="374" t="s">
        <v>1563</v>
      </c>
      <c r="L337" s="988"/>
      <c r="M337" s="103"/>
      <c r="N337" s="1297"/>
      <c r="O337" s="1297"/>
      <c r="P337" s="1297"/>
      <c r="Q337" s="154" t="s">
        <v>2470</v>
      </c>
      <c r="R337" s="157" t="s">
        <v>2470</v>
      </c>
      <c r="S337" s="1297"/>
      <c r="T337" s="468" cm="1" t="str">
        <f t="array" ref="T337:T337">T336</f>
        <v>true</v>
      </c>
      <c r="U337" s="1297"/>
      <c r="V337" s="1297"/>
      <c r="W337" s="1297"/>
      <c r="X337" s="1539"/>
      <c r="Y337" s="1297"/>
      <c r="Z337" s="1529"/>
      <c r="AA337" s="1297"/>
      <c r="AB337" s="295" t="s">
        <v>1564</v>
      </c>
      <c r="AC337" s="772" t="s">
        <v>2214</v>
      </c>
      <c r="AD337" s="296" t="s">
        <v>936</v>
      </c>
      <c r="AE337" s="6524">
        <v>29290.08</v>
      </c>
      <c r="AF337" s="6524">
        <v>98794.39</v>
      </c>
      <c r="AG337" s="6524"/>
      <c r="AH337" s="951">
        <f>AG337-AF337</f>
        <v>-98794.39</v>
      </c>
      <c r="AI337" s="6490"/>
      <c r="AJ337" s="6522"/>
      <c r="AK337" s="950"/>
      <c r="AL337" s="950"/>
      <c r="AM337" s="950"/>
      <c r="AN337" s="950"/>
      <c r="AO337" s="950"/>
      <c r="AP337" s="950"/>
      <c r="AQ337" s="950"/>
      <c r="AR337" s="950"/>
      <c r="AS337" s="950"/>
      <c r="AT337" s="950"/>
      <c r="AU337" s="950"/>
      <c r="AV337" s="950"/>
      <c r="AW337" s="950"/>
      <c r="AX337" s="950"/>
      <c r="AY337" s="950"/>
      <c r="AZ337" s="950"/>
      <c r="BA337" s="950"/>
      <c r="BB337" s="950"/>
      <c r="BC337" s="950"/>
      <c r="BD337" s="950"/>
      <c r="BE337" s="950"/>
      <c r="BF337" s="950"/>
      <c r="BG337" s="950"/>
      <c r="BH337" s="950"/>
      <c r="BI337" s="950"/>
      <c r="BJ337" s="950"/>
      <c r="BK337" s="950"/>
      <c r="BL337" s="950"/>
      <c r="BM337" s="950"/>
      <c r="BN337" s="6521"/>
      <c r="BO337" s="6521"/>
      <c r="BP337" s="6521"/>
      <c r="BQ337" s="1297"/>
      <c r="BR337" s="1297"/>
      <c r="BS337" s="1070" t="s">
        <v>2042</v>
      </c>
      <c r="BT337" s="1072"/>
      <c r="BU337" s="1072"/>
      <c r="BV337" s="987"/>
      <c r="BW337" s="987"/>
    </row>
    <row s="1656" customFormat="1" customHeight="1" ht="67.921875">
      <c r="A338" s="1297"/>
      <c r="B338" s="986"/>
      <c r="C338" s="1297"/>
      <c r="D338" s="1297"/>
      <c r="E338" s="709">
        <v>22.5</v>
      </c>
      <c r="F338" s="50" cm="1" t="str">
        <f t="array" ref="F338:F338">OFFSET(E338,-1,1)</f>
        <v>2</v>
      </c>
      <c r="G338" s="1297"/>
      <c r="H338" s="374"/>
      <c r="I338" s="374" t="s">
        <v>1567</v>
      </c>
      <c r="J338" s="1297"/>
      <c r="K338" s="374" t="s">
        <v>1567</v>
      </c>
      <c r="L338" s="988"/>
      <c r="M338" s="103"/>
      <c r="N338" s="1297"/>
      <c r="O338" s="1297"/>
      <c r="P338" s="1297"/>
      <c r="Q338" s="154" t="s">
        <v>2470</v>
      </c>
      <c r="R338" s="157" t="s">
        <v>2470</v>
      </c>
      <c r="S338" s="1297"/>
      <c r="T338" s="468" cm="1" t="str">
        <f t="array" ref="T338:T338">T337</f>
        <v>true</v>
      </c>
      <c r="U338" s="1297"/>
      <c r="V338" s="1297"/>
      <c r="W338" s="1297"/>
      <c r="X338" s="1539"/>
      <c r="Y338" s="1297"/>
      <c r="Z338" s="1529"/>
      <c r="AA338" s="1297"/>
      <c r="AB338" s="295" t="s">
        <v>1568</v>
      </c>
      <c r="AC338" s="772" t="s">
        <v>2215</v>
      </c>
      <c r="AD338" s="296" t="s">
        <v>936</v>
      </c>
      <c r="AE338" s="6524">
        <v>40301.88</v>
      </c>
      <c r="AF338" s="6524">
        <v>40747.07</v>
      </c>
      <c r="AG338" s="6524"/>
      <c r="AH338" s="951">
        <f>AG338-AF338</f>
        <v>-40747.07</v>
      </c>
      <c r="AI338" s="6490"/>
      <c r="AJ338" s="6522"/>
      <c r="AK338" s="950"/>
      <c r="AL338" s="950"/>
      <c r="AM338" s="950"/>
      <c r="AN338" s="950"/>
      <c r="AO338" s="950"/>
      <c r="AP338" s="950"/>
      <c r="AQ338" s="950"/>
      <c r="AR338" s="950"/>
      <c r="AS338" s="950"/>
      <c r="AT338" s="950"/>
      <c r="AU338" s="950"/>
      <c r="AV338" s="950"/>
      <c r="AW338" s="950"/>
      <c r="AX338" s="950"/>
      <c r="AY338" s="950"/>
      <c r="AZ338" s="950"/>
      <c r="BA338" s="950"/>
      <c r="BB338" s="950"/>
      <c r="BC338" s="950"/>
      <c r="BD338" s="950"/>
      <c r="BE338" s="950"/>
      <c r="BF338" s="950"/>
      <c r="BG338" s="950"/>
      <c r="BH338" s="950"/>
      <c r="BI338" s="950"/>
      <c r="BJ338" s="950"/>
      <c r="BK338" s="950"/>
      <c r="BL338" s="950"/>
      <c r="BM338" s="950"/>
      <c r="BN338" s="6521"/>
      <c r="BO338" s="6521"/>
      <c r="BP338" s="6521"/>
      <c r="BQ338" s="1297"/>
      <c r="BR338" s="1297"/>
      <c r="BS338" s="1072" t="s">
        <v>2216</v>
      </c>
      <c r="BT338" s="1072"/>
      <c r="BU338" s="1072"/>
      <c r="BV338" s="987"/>
      <c r="BW338" s="987"/>
    </row>
    <row s="1656" customFormat="1" customHeight="1" ht="21.75">
      <c r="A339" s="1297"/>
      <c r="B339" s="986"/>
      <c r="C339" s="1297"/>
      <c r="D339" s="1297"/>
      <c r="E339" s="709">
        <v>22.5</v>
      </c>
      <c r="F339" s="50" cm="1" t="str">
        <f t="array" ref="F339:F339">OFFSET(E339,-1,1)</f>
        <v>2</v>
      </c>
      <c r="G339" s="1297"/>
      <c r="H339" s="374"/>
      <c r="I339" s="374" t="s">
        <v>1571</v>
      </c>
      <c r="J339" s="1297"/>
      <c r="K339" s="374" t="s">
        <v>1571</v>
      </c>
      <c r="L339" s="988" t="s">
        <v>587</v>
      </c>
      <c r="M339" s="103"/>
      <c r="N339" s="1297"/>
      <c r="O339" s="1297"/>
      <c r="P339" s="1297"/>
      <c r="Q339" s="154" t="s">
        <v>2470</v>
      </c>
      <c r="R339" s="157" t="s">
        <v>2470</v>
      </c>
      <c r="S339" s="1297"/>
      <c r="T339" s="468" cm="1" t="str">
        <f t="array" ref="T339:T339">T338</f>
        <v>true</v>
      </c>
      <c r="U339" s="1297"/>
      <c r="V339" s="1297"/>
      <c r="W339" s="1297"/>
      <c r="X339" s="1539"/>
      <c r="Y339" s="1297"/>
      <c r="Z339" s="1529"/>
      <c r="AA339" s="1297"/>
      <c r="AB339" s="295" t="s">
        <v>1572</v>
      </c>
      <c r="AC339" s="772" t="s">
        <v>2217</v>
      </c>
      <c r="AD339" s="296" t="s">
        <v>936</v>
      </c>
      <c r="AE339" s="6524">
        <f>AE340+AE341</f>
        <v>0</v>
      </c>
      <c r="AF339" s="6524">
        <f>AF340+AF341</f>
        <v>0</v>
      </c>
      <c r="AG339" s="6524">
        <f>AG340+AG341</f>
        <v>0</v>
      </c>
      <c r="AH339" s="951">
        <f>AG339-AF339</f>
        <v>0</v>
      </c>
      <c r="AI339" s="6490"/>
      <c r="AJ339" s="6522"/>
      <c r="AK339" s="950"/>
      <c r="AL339" s="950"/>
      <c r="AM339" s="950"/>
      <c r="AN339" s="950"/>
      <c r="AO339" s="950"/>
      <c r="AP339" s="950"/>
      <c r="AQ339" s="950"/>
      <c r="AR339" s="950"/>
      <c r="AS339" s="950"/>
      <c r="AT339" s="950"/>
      <c r="AU339" s="950"/>
      <c r="AV339" s="950"/>
      <c r="AW339" s="950"/>
      <c r="AX339" s="950"/>
      <c r="AY339" s="950"/>
      <c r="AZ339" s="950"/>
      <c r="BA339" s="950"/>
      <c r="BB339" s="950"/>
      <c r="BC339" s="950"/>
      <c r="BD339" s="950"/>
      <c r="BE339" s="950"/>
      <c r="BF339" s="950"/>
      <c r="BG339" s="950"/>
      <c r="BH339" s="950"/>
      <c r="BI339" s="950"/>
      <c r="BJ339" s="950"/>
      <c r="BK339" s="950"/>
      <c r="BL339" s="950"/>
      <c r="BM339" s="950"/>
      <c r="BN339" s="6521"/>
      <c r="BO339" s="6521"/>
      <c r="BP339" s="6521"/>
      <c r="BQ339" s="1297"/>
      <c r="BR339" s="1297"/>
      <c r="BS339" s="1070" t="s">
        <v>2044</v>
      </c>
      <c r="BT339" s="1072"/>
      <c r="BU339" s="1072"/>
      <c r="BV339" s="987"/>
      <c r="BW339" s="987"/>
    </row>
    <row s="1656" customFormat="1" customHeight="1" ht="14.25">
      <c r="A340" s="1297"/>
      <c r="B340" s="986"/>
      <c r="C340" s="1297"/>
      <c r="D340" s="1297"/>
      <c r="E340" s="709">
        <v>15</v>
      </c>
      <c r="F340" s="50" cm="1" t="str">
        <f t="array" ref="F340:F340">OFFSET(E340,-1,1)</f>
        <v>2</v>
      </c>
      <c r="G340" s="49" t="s">
        <v>1365</v>
      </c>
      <c r="H340" s="374"/>
      <c r="I340" s="374" t="s">
        <v>2218</v>
      </c>
      <c r="J340" s="1297"/>
      <c r="K340" s="374" t="s">
        <v>2218</v>
      </c>
      <c r="L340" s="988" t="s">
        <v>2045</v>
      </c>
      <c r="M340" s="103"/>
      <c r="N340" s="1297"/>
      <c r="O340" s="1297"/>
      <c r="P340" s="1297"/>
      <c r="Q340" s="154" t="s">
        <v>2470</v>
      </c>
      <c r="R340" s="157" t="s">
        <v>2470</v>
      </c>
      <c r="S340" s="1297"/>
      <c r="T340" s="468" cm="1" t="str">
        <f t="array" ref="T340:T340">T339</f>
        <v>true</v>
      </c>
      <c r="U340" s="1297"/>
      <c r="V340" s="1297"/>
      <c r="W340" s="1297"/>
      <c r="X340" s="1539"/>
      <c r="Y340" s="1297"/>
      <c r="Z340" s="1529"/>
      <c r="AA340" s="1297"/>
      <c r="AB340" s="295" t="s">
        <v>2219</v>
      </c>
      <c r="AC340" s="775" t="s">
        <v>2046</v>
      </c>
      <c r="AD340" s="296" t="s">
        <v>936</v>
      </c>
      <c r="AE340" s="6524"/>
      <c r="AF340" s="6524"/>
      <c r="AG340" s="6524"/>
      <c r="AH340" s="951">
        <f>AG340-AF340</f>
        <v>0</v>
      </c>
      <c r="AI340" s="6490"/>
      <c r="AJ340" s="6522"/>
      <c r="AK340" s="950"/>
      <c r="AL340" s="950"/>
      <c r="AM340" s="950"/>
      <c r="AN340" s="950"/>
      <c r="AO340" s="950"/>
      <c r="AP340" s="950"/>
      <c r="AQ340" s="950"/>
      <c r="AR340" s="950"/>
      <c r="AS340" s="950"/>
      <c r="AT340" s="950"/>
      <c r="AU340" s="950"/>
      <c r="AV340" s="950"/>
      <c r="AW340" s="950"/>
      <c r="AX340" s="950"/>
      <c r="AY340" s="950"/>
      <c r="AZ340" s="950"/>
      <c r="BA340" s="950"/>
      <c r="BB340" s="950"/>
      <c r="BC340" s="950"/>
      <c r="BD340" s="950"/>
      <c r="BE340" s="950"/>
      <c r="BF340" s="950"/>
      <c r="BG340" s="950"/>
      <c r="BH340" s="950"/>
      <c r="BI340" s="950"/>
      <c r="BJ340" s="950"/>
      <c r="BK340" s="950"/>
      <c r="BL340" s="950"/>
      <c r="BM340" s="950"/>
      <c r="BN340" s="6521"/>
      <c r="BO340" s="6525" t="str">
        <f>IF(_xlfn.IFERROR(INDEX(ФОТ!$K$26:$L$127,MATCH($F340&amp;"3komm",ФОТ!$K$26:$K$127,0),2),"")=0,"",_xlfn.IFERROR(INDEX(ФОТ!$K$26:$L$127,MATCH($F340&amp;"3komm",ФОТ!$K$26:$K$127,0),2),""))</f>
        <v/>
      </c>
      <c r="BP340" s="6521"/>
      <c r="BQ340" s="1297"/>
      <c r="BR340" s="1297"/>
      <c r="BS340" s="1070" t="s">
        <v>2047</v>
      </c>
      <c r="BT340" s="1072"/>
      <c r="BU340" s="1072"/>
      <c r="BV340" s="987"/>
      <c r="BW340" s="987"/>
    </row>
    <row s="1656" customFormat="1" customHeight="1" ht="21.75">
      <c r="A341" s="1297"/>
      <c r="B341" s="986"/>
      <c r="C341" s="1297"/>
      <c r="D341" s="1297"/>
      <c r="E341" s="709">
        <v>22.5</v>
      </c>
      <c r="F341" s="50" cm="1" t="str">
        <f t="array" ref="F341:F341">OFFSET(E341,-1,1)</f>
        <v>2</v>
      </c>
      <c r="G341" s="49" t="s">
        <v>1370</v>
      </c>
      <c r="H341" s="374"/>
      <c r="I341" s="374" t="s">
        <v>2220</v>
      </c>
      <c r="J341" s="1297"/>
      <c r="K341" s="374" t="s">
        <v>2220</v>
      </c>
      <c r="L341" s="988" t="s">
        <v>2048</v>
      </c>
      <c r="M341" s="103"/>
      <c r="N341" s="1297"/>
      <c r="O341" s="1297"/>
      <c r="P341" s="1297"/>
      <c r="Q341" s="154" t="s">
        <v>2470</v>
      </c>
      <c r="R341" s="157" t="s">
        <v>2470</v>
      </c>
      <c r="S341" s="1297"/>
      <c r="T341" s="468" cm="1" t="str">
        <f t="array" ref="T341:T341">T340</f>
        <v>true</v>
      </c>
      <c r="U341" s="1297"/>
      <c r="V341" s="1297"/>
      <c r="W341" s="1297"/>
      <c r="X341" s="1539"/>
      <c r="Y341" s="1297"/>
      <c r="Z341" s="1529"/>
      <c r="AA341" s="1297"/>
      <c r="AB341" s="295" t="s">
        <v>2221</v>
      </c>
      <c r="AC341" s="775" t="s">
        <v>2222</v>
      </c>
      <c r="AD341" s="296" t="s">
        <v>936</v>
      </c>
      <c r="AE341" s="6524">
        <f>AE340*_xlfn.SUMIFS(INDEX(Сценарии!$AE$25:$BF$136,,MATCH(AE$8,Сценарии!$AE$8:$BF$8,0)),Сценарии!$F$25:$F$136,$F341,Сценарии!$G$25:$G$136,"СВФОТ")/100</f>
        <v>0</v>
      </c>
      <c r="AF341" s="6524">
        <f>AF340*_xlfn.SUMIFS(INDEX(Сценарии!$AE$25:$BF$136,,MATCH(AF$8,Сценарии!$AE$8:$BF$8,0)),Сценарии!$F$25:$F$136,$F341,Сценарии!$G$25:$G$136,"СВФОТ")/100</f>
        <v>0</v>
      </c>
      <c r="AG341" s="6524">
        <f>AG340*_xlfn.SUMIFS(INDEX(Сценарии!$AE$25:$BF$136,,MATCH(AG$8,Сценарии!$AE$8:$BF$8,0)),Сценарии!$F$25:$F$136,$F341,Сценарии!$G$25:$G$136,"СВФОТ")/100</f>
        <v>0</v>
      </c>
      <c r="AH341" s="951">
        <f>AG341-AF341</f>
        <v>0</v>
      </c>
      <c r="AI341" s="6490">
        <f>AI340*_xlfn.SUMIFS(INDEX(Сценарии!$AE$25:$BF$136,,MATCH(AG$8,Сценарии!$AE$8:$BF$8,0)),Сценарии!$F$25:$F$136,$F341,Сценарии!$G$25:$G$136,"СВФОТ")/100</f>
        <v>0</v>
      </c>
      <c r="AJ341" s="6522"/>
      <c r="AK341" s="950"/>
      <c r="AL341" s="950"/>
      <c r="AM341" s="950"/>
      <c r="AN341" s="950"/>
      <c r="AO341" s="950"/>
      <c r="AP341" s="950"/>
      <c r="AQ341" s="950"/>
      <c r="AR341" s="950"/>
      <c r="AS341" s="950"/>
      <c r="AT341" s="950"/>
      <c r="AU341" s="950"/>
      <c r="AV341" s="950"/>
      <c r="AW341" s="950"/>
      <c r="AX341" s="950"/>
      <c r="AY341" s="950"/>
      <c r="AZ341" s="950"/>
      <c r="BA341" s="950"/>
      <c r="BB341" s="950"/>
      <c r="BC341" s="950"/>
      <c r="BD341" s="950"/>
      <c r="BE341" s="950"/>
      <c r="BF341" s="950"/>
      <c r="BG341" s="950"/>
      <c r="BH341" s="950"/>
      <c r="BI341" s="950"/>
      <c r="BJ341" s="950"/>
      <c r="BK341" s="950"/>
      <c r="BL341" s="950"/>
      <c r="BM341" s="950"/>
      <c r="BN341" s="6521"/>
      <c r="BO341" s="6525" t="str">
        <f>IF(_xlfn.IFERROR(INDEX(ФОТ!$K$26:$L$127,MATCH($F341&amp;"4komm",ФОТ!$K$26:$K$127,0),2),"")=0,"",_xlfn.IFERROR(INDEX(ФОТ!$K$26:$L$127,MATCH($F341&amp;"4komm",ФОТ!$K$26:$K$127,0),2),""))</f>
        <v/>
      </c>
      <c r="BP341" s="6521"/>
      <c r="BQ341" s="1297"/>
      <c r="BR341" s="1297"/>
      <c r="BS341" s="1070" t="s">
        <v>2050</v>
      </c>
      <c r="BT341" s="1072"/>
      <c r="BU341" s="1072"/>
      <c r="BV341" s="987"/>
      <c r="BW341" s="987"/>
    </row>
    <row s="6597" customFormat="1" customHeight="1" ht="23.671875">
      <c r="A342" s="706"/>
      <c r="B342" s="437"/>
      <c r="C342" s="706"/>
      <c r="D342" s="706"/>
      <c r="E342" s="713">
        <v>21</v>
      </c>
      <c r="F342" s="50" cm="1" t="str">
        <f t="array" ref="F342:F342">OFFSET(E342,-1,1)</f>
        <v>2</v>
      </c>
      <c r="G342" s="706"/>
      <c r="H342" s="374"/>
      <c r="I342" s="374" t="s">
        <v>577</v>
      </c>
      <c r="J342" s="706"/>
      <c r="K342" s="374" t="s">
        <v>577</v>
      </c>
      <c r="L342" s="993" t="s">
        <v>346</v>
      </c>
      <c r="M342" s="105"/>
      <c r="N342" s="706"/>
      <c r="O342" s="706"/>
      <c r="P342" s="706"/>
      <c r="Q342" s="154" t="s">
        <v>2470</v>
      </c>
      <c r="R342" s="157" t="s">
        <v>2470</v>
      </c>
      <c r="S342" s="706"/>
      <c r="T342" s="468" cm="1" t="str">
        <f t="array" ref="T342:T342">T341</f>
        <v>true</v>
      </c>
      <c r="U342" s="706"/>
      <c r="V342" s="706"/>
      <c r="W342" s="706"/>
      <c r="X342" s="1539"/>
      <c r="Y342" s="706"/>
      <c r="Z342" s="1529"/>
      <c r="AA342" s="706"/>
      <c r="AB342" s="214" t="s">
        <v>1076</v>
      </c>
      <c r="AC342" s="357" t="s">
        <v>2223</v>
      </c>
      <c r="AD342" s="207" t="s">
        <v>936</v>
      </c>
      <c r="AE342" s="777">
        <f>AE343+AE351+AE354+AE355+AE356+AE357+AE358</f>
        <v>11247.76</v>
      </c>
      <c r="AF342" s="777">
        <f>AF343+AF351+AF354+AF355+AF356+AF357+AF358</f>
        <v>13762.08</v>
      </c>
      <c r="AG342" s="777">
        <f>AG343+AG351+AG354+AG355+AG356+AG357+AG358</f>
        <v>0</v>
      </c>
      <c r="AH342" s="768">
        <f>AG342-AF342</f>
        <v>-13762.08</v>
      </c>
      <c r="AI342" s="6497">
        <f>AI343+AI351+AI354+AI355+AI356+AI357+AI358</f>
        <v>0</v>
      </c>
      <c r="AJ342" s="6522"/>
      <c r="AK342" s="771"/>
      <c r="AL342" s="771"/>
      <c r="AM342" s="771"/>
      <c r="AN342" s="771"/>
      <c r="AO342" s="771"/>
      <c r="AP342" s="771"/>
      <c r="AQ342" s="771"/>
      <c r="AR342" s="771"/>
      <c r="AS342" s="771"/>
      <c r="AT342" s="771"/>
      <c r="AU342" s="771"/>
      <c r="AV342" s="771"/>
      <c r="AW342" s="771"/>
      <c r="AX342" s="771"/>
      <c r="AY342" s="771"/>
      <c r="AZ342" s="771"/>
      <c r="BA342" s="771"/>
      <c r="BB342" s="771"/>
      <c r="BC342" s="771"/>
      <c r="BD342" s="771"/>
      <c r="BE342" s="771"/>
      <c r="BF342" s="771"/>
      <c r="BG342" s="771"/>
      <c r="BH342" s="771"/>
      <c r="BI342" s="771"/>
      <c r="BJ342" s="771"/>
      <c r="BK342" s="771"/>
      <c r="BL342" s="771"/>
      <c r="BM342" s="771"/>
      <c r="BN342" s="6523"/>
      <c r="BO342" s="6523"/>
      <c r="BP342" s="6523"/>
      <c r="BQ342" s="706"/>
      <c r="BR342" s="706"/>
      <c r="BS342" s="1071" t="s">
        <v>2052</v>
      </c>
      <c r="BT342" s="1078"/>
      <c r="BU342" s="1078"/>
      <c r="BV342" s="713"/>
      <c r="BW342" s="713"/>
    </row>
    <row s="1656" customFormat="1" customHeight="1" ht="21.75">
      <c r="A343" s="1297"/>
      <c r="B343" s="986"/>
      <c r="C343" s="1297"/>
      <c r="D343" s="1297"/>
      <c r="E343" s="709">
        <v>22.5</v>
      </c>
      <c r="F343" s="50" cm="1" t="str">
        <f t="array" ref="F343:F343">OFFSET(E343,-1,1)</f>
        <v>2</v>
      </c>
      <c r="G343" s="154" t="s">
        <v>1391</v>
      </c>
      <c r="H343" s="374"/>
      <c r="I343" s="374" t="s">
        <v>1577</v>
      </c>
      <c r="J343" s="1297"/>
      <c r="K343" s="374" t="s">
        <v>1577</v>
      </c>
      <c r="L343" s="988" t="s">
        <v>1097</v>
      </c>
      <c r="M343" s="103"/>
      <c r="N343" s="1297"/>
      <c r="O343" s="1297"/>
      <c r="P343" s="1297"/>
      <c r="Q343" s="154" t="s">
        <v>2470</v>
      </c>
      <c r="R343" s="157" t="s">
        <v>2470</v>
      </c>
      <c r="S343" s="1297"/>
      <c r="T343" s="468" cm="1" t="str">
        <f t="array" ref="T343:T343">T342</f>
        <v>true</v>
      </c>
      <c r="U343" s="1297"/>
      <c r="V343" s="1297"/>
      <c r="W343" s="1297"/>
      <c r="X343" s="1539"/>
      <c r="Y343" s="1297"/>
      <c r="Z343" s="1529"/>
      <c r="AA343" s="1297"/>
      <c r="AB343" s="295" t="s">
        <v>1214</v>
      </c>
      <c r="AC343" s="772" t="s">
        <v>2224</v>
      </c>
      <c r="AD343" s="296" t="s">
        <v>936</v>
      </c>
      <c r="AE343" s="952">
        <f>SUM(AE344:AE350)</f>
        <v>1040.81</v>
      </c>
      <c r="AF343" s="952">
        <f>SUM(AF344:AF350)</f>
        <v>879.93</v>
      </c>
      <c r="AG343" s="952">
        <f>SUM(AG344:AG350)</f>
        <v>0</v>
      </c>
      <c r="AH343" s="951">
        <f>AG343-AF343</f>
        <v>-879.93</v>
      </c>
      <c r="AI343" s="6493">
        <f>SUM(AI344:AI350)</f>
        <v>0</v>
      </c>
      <c r="AJ343" s="6522"/>
      <c r="AK343" s="950"/>
      <c r="AL343" s="950"/>
      <c r="AM343" s="950"/>
      <c r="AN343" s="950"/>
      <c r="AO343" s="950"/>
      <c r="AP343" s="950"/>
      <c r="AQ343" s="950"/>
      <c r="AR343" s="950"/>
      <c r="AS343" s="950"/>
      <c r="AT343" s="950"/>
      <c r="AU343" s="950"/>
      <c r="AV343" s="950"/>
      <c r="AW343" s="950"/>
      <c r="AX343" s="950"/>
      <c r="AY343" s="950"/>
      <c r="AZ343" s="950"/>
      <c r="BA343" s="950"/>
      <c r="BB343" s="950"/>
      <c r="BC343" s="950"/>
      <c r="BD343" s="950"/>
      <c r="BE343" s="950"/>
      <c r="BF343" s="950"/>
      <c r="BG343" s="950"/>
      <c r="BH343" s="950"/>
      <c r="BI343" s="950"/>
      <c r="BJ343" s="950"/>
      <c r="BK343" s="950"/>
      <c r="BL343" s="950"/>
      <c r="BM343" s="950"/>
      <c r="BN343" s="6521"/>
      <c r="BO343" s="6525" t="str">
        <f>IF(_xlfn.IFERROR(INDEX(Административные!$K$26:$L$103,MATCH($F343&amp;"17komm",Административные!$K$26:$K$103,0),2),"")=0,"",_xlfn.IFERROR(INDEX(Административные!$K$26:$L$103,MATCH($F343&amp;"17komm",Административные!$K$26:$K$103,0),2),""))</f>
        <v/>
      </c>
      <c r="BP343" s="6521"/>
      <c r="BQ343" s="1297"/>
      <c r="BR343" s="1297"/>
      <c r="BS343" s="1070" t="s">
        <v>1393</v>
      </c>
      <c r="BT343" s="1072"/>
      <c r="BU343" s="1072"/>
      <c r="BV343" s="987"/>
      <c r="BW343" s="987"/>
    </row>
    <row s="1656" customFormat="1" customHeight="1" ht="14.25">
      <c r="A344" s="1297"/>
      <c r="B344" s="986"/>
      <c r="C344" s="1297"/>
      <c r="D344" s="1297"/>
      <c r="E344" s="709">
        <v>15</v>
      </c>
      <c r="F344" s="50" cm="1" t="str">
        <f t="array" ref="F344:F344">OFFSET(E344,-1,1)</f>
        <v>2</v>
      </c>
      <c r="G344" s="154" t="s">
        <v>1394</v>
      </c>
      <c r="H344" s="374"/>
      <c r="I344" s="374" t="s">
        <v>2225</v>
      </c>
      <c r="J344" s="1297"/>
      <c r="K344" s="374" t="s">
        <v>2225</v>
      </c>
      <c r="L344" s="988"/>
      <c r="M344" s="103"/>
      <c r="N344" s="1297"/>
      <c r="O344" s="1297"/>
      <c r="P344" s="1297"/>
      <c r="Q344" s="154" t="s">
        <v>2470</v>
      </c>
      <c r="R344" s="157" t="s">
        <v>2470</v>
      </c>
      <c r="S344" s="1297"/>
      <c r="T344" s="468" cm="1" t="str">
        <f t="array" ref="T344:T344">T343</f>
        <v>true</v>
      </c>
      <c r="U344" s="1297"/>
      <c r="V344" s="1297"/>
      <c r="W344" s="1297"/>
      <c r="X344" s="1539"/>
      <c r="Y344" s="1297"/>
      <c r="Z344" s="1529"/>
      <c r="AA344" s="1297"/>
      <c r="AB344" s="295" t="s">
        <v>2226</v>
      </c>
      <c r="AC344" s="775" t="s">
        <v>1395</v>
      </c>
      <c r="AD344" s="296" t="s">
        <v>936</v>
      </c>
      <c r="AE344" s="6524"/>
      <c r="AF344" s="6524"/>
      <c r="AG344" s="6524"/>
      <c r="AH344" s="951">
        <f>AG344-AF344</f>
        <v>0</v>
      </c>
      <c r="AI344" s="6490"/>
      <c r="AJ344" s="6522"/>
      <c r="AK344" s="950"/>
      <c r="AL344" s="950"/>
      <c r="AM344" s="950"/>
      <c r="AN344" s="950"/>
      <c r="AO344" s="950"/>
      <c r="AP344" s="950"/>
      <c r="AQ344" s="950"/>
      <c r="AR344" s="950"/>
      <c r="AS344" s="950"/>
      <c r="AT344" s="950"/>
      <c r="AU344" s="950"/>
      <c r="AV344" s="950"/>
      <c r="AW344" s="950"/>
      <c r="AX344" s="950"/>
      <c r="AY344" s="950"/>
      <c r="AZ344" s="950"/>
      <c r="BA344" s="950"/>
      <c r="BB344" s="950"/>
      <c r="BC344" s="950"/>
      <c r="BD344" s="950"/>
      <c r="BE344" s="950"/>
      <c r="BF344" s="950"/>
      <c r="BG344" s="950"/>
      <c r="BH344" s="950"/>
      <c r="BI344" s="950"/>
      <c r="BJ344" s="950"/>
      <c r="BK344" s="950"/>
      <c r="BL344" s="950"/>
      <c r="BM344" s="950"/>
      <c r="BN344" s="6521"/>
      <c r="BO344" s="6525" t="str">
        <f>IF(_xlfn.IFERROR(INDEX(Административные!$K$26:$L$103,MATCH($F344&amp;"18komm",Административные!$K$26:$K$103,0),2),"")=0,"",_xlfn.IFERROR(INDEX(Административные!$K$26:$L$103,MATCH($F344&amp;"18komm",Административные!$K$26:$K$103,0),2),""))</f>
        <v/>
      </c>
      <c r="BP344" s="6521"/>
      <c r="BQ344" s="1297"/>
      <c r="BR344" s="1297"/>
      <c r="BS344" s="1072" t="s">
        <v>1396</v>
      </c>
      <c r="BT344" s="1072"/>
      <c r="BU344" s="1072"/>
      <c r="BV344" s="987"/>
      <c r="BW344" s="987"/>
    </row>
    <row s="1656" customFormat="1" customHeight="1" ht="14.25">
      <c r="A345" s="1297"/>
      <c r="B345" s="986"/>
      <c r="C345" s="1297"/>
      <c r="D345" s="1297"/>
      <c r="E345" s="709">
        <v>15</v>
      </c>
      <c r="F345" s="50" cm="1" t="str">
        <f t="array" ref="F345:F345">OFFSET(E345,-1,1)</f>
        <v>2</v>
      </c>
      <c r="G345" s="154" t="s">
        <v>1397</v>
      </c>
      <c r="H345" s="374"/>
      <c r="I345" s="374" t="s">
        <v>2227</v>
      </c>
      <c r="J345" s="1297"/>
      <c r="K345" s="374" t="s">
        <v>2227</v>
      </c>
      <c r="L345" s="988"/>
      <c r="M345" s="103"/>
      <c r="N345" s="1297"/>
      <c r="O345" s="1297"/>
      <c r="P345" s="1297"/>
      <c r="Q345" s="154" t="s">
        <v>2470</v>
      </c>
      <c r="R345" s="157" t="s">
        <v>2470</v>
      </c>
      <c r="S345" s="1297"/>
      <c r="T345" s="468" cm="1" t="str">
        <f t="array" ref="T345:T345">T344</f>
        <v>true</v>
      </c>
      <c r="U345" s="1297"/>
      <c r="V345" s="1297"/>
      <c r="W345" s="1297"/>
      <c r="X345" s="1539"/>
      <c r="Y345" s="1297"/>
      <c r="Z345" s="1529"/>
      <c r="AA345" s="1297"/>
      <c r="AB345" s="295" t="s">
        <v>2228</v>
      </c>
      <c r="AC345" s="775" t="s">
        <v>1398</v>
      </c>
      <c r="AD345" s="296" t="s">
        <v>936</v>
      </c>
      <c r="AE345" s="6524"/>
      <c r="AF345" s="6524"/>
      <c r="AG345" s="6524"/>
      <c r="AH345" s="951">
        <f>AG345-AF345</f>
        <v>0</v>
      </c>
      <c r="AI345" s="6490"/>
      <c r="AJ345" s="6522"/>
      <c r="AK345" s="950"/>
      <c r="AL345" s="950"/>
      <c r="AM345" s="950"/>
      <c r="AN345" s="950"/>
      <c r="AO345" s="950"/>
      <c r="AP345" s="950"/>
      <c r="AQ345" s="950"/>
      <c r="AR345" s="950"/>
      <c r="AS345" s="950"/>
      <c r="AT345" s="950"/>
      <c r="AU345" s="950"/>
      <c r="AV345" s="950"/>
      <c r="AW345" s="950"/>
      <c r="AX345" s="950"/>
      <c r="AY345" s="950"/>
      <c r="AZ345" s="950"/>
      <c r="BA345" s="950"/>
      <c r="BB345" s="950"/>
      <c r="BC345" s="950"/>
      <c r="BD345" s="950"/>
      <c r="BE345" s="950"/>
      <c r="BF345" s="950"/>
      <c r="BG345" s="950"/>
      <c r="BH345" s="950"/>
      <c r="BI345" s="950"/>
      <c r="BJ345" s="950"/>
      <c r="BK345" s="950"/>
      <c r="BL345" s="950"/>
      <c r="BM345" s="950"/>
      <c r="BN345" s="6521"/>
      <c r="BO345" s="6525" t="str">
        <f>IF(_xlfn.IFERROR(INDEX(Административные!$K$26:$L$103,MATCH($F345&amp;"11komm",Административные!$K$26:$K$103,0),2),"")=0,"",_xlfn.IFERROR(INDEX(Административные!$K$26:$L$103,MATCH($F345&amp;"11komm",Административные!$K$26:$K$103,0),2),""))</f>
        <v/>
      </c>
      <c r="BP345" s="6521"/>
      <c r="BQ345" s="1297"/>
      <c r="BR345" s="1297"/>
      <c r="BS345" s="1072" t="s">
        <v>1399</v>
      </c>
      <c r="BT345" s="1072"/>
      <c r="BU345" s="1072"/>
      <c r="BV345" s="987"/>
      <c r="BW345" s="987"/>
    </row>
    <row s="1656" customFormat="1" customHeight="1" ht="14.25">
      <c r="A346" s="1297"/>
      <c r="B346" s="986"/>
      <c r="C346" s="1297"/>
      <c r="D346" s="1297"/>
      <c r="E346" s="709">
        <v>15</v>
      </c>
      <c r="F346" s="50" cm="1" t="str">
        <f t="array" ref="F346:F346">OFFSET(E346,-1,1)</f>
        <v>2</v>
      </c>
      <c r="G346" s="154" t="s">
        <v>1400</v>
      </c>
      <c r="H346" s="374"/>
      <c r="I346" s="374" t="s">
        <v>2229</v>
      </c>
      <c r="J346" s="1297"/>
      <c r="K346" s="374" t="s">
        <v>2229</v>
      </c>
      <c r="L346" s="988"/>
      <c r="M346" s="103"/>
      <c r="N346" s="1297"/>
      <c r="O346" s="1297"/>
      <c r="P346" s="1297"/>
      <c r="Q346" s="154" t="s">
        <v>2470</v>
      </c>
      <c r="R346" s="157" t="s">
        <v>2470</v>
      </c>
      <c r="S346" s="1297"/>
      <c r="T346" s="468" cm="1" t="str">
        <f t="array" ref="T346:T346">T345</f>
        <v>true</v>
      </c>
      <c r="U346" s="1297"/>
      <c r="V346" s="1297"/>
      <c r="W346" s="1297"/>
      <c r="X346" s="1539"/>
      <c r="Y346" s="1297"/>
      <c r="Z346" s="1529"/>
      <c r="AA346" s="1297"/>
      <c r="AB346" s="295" t="s">
        <v>2230</v>
      </c>
      <c r="AC346" s="775" t="s">
        <v>1401</v>
      </c>
      <c r="AD346" s="296" t="s">
        <v>936</v>
      </c>
      <c r="AE346" s="6524"/>
      <c r="AF346" s="6524"/>
      <c r="AG346" s="6524"/>
      <c r="AH346" s="951">
        <f>AG346-AF346</f>
        <v>0</v>
      </c>
      <c r="AI346" s="6490"/>
      <c r="AJ346" s="6522"/>
      <c r="AK346" s="950"/>
      <c r="AL346" s="950"/>
      <c r="AM346" s="950"/>
      <c r="AN346" s="950"/>
      <c r="AO346" s="950"/>
      <c r="AP346" s="950"/>
      <c r="AQ346" s="950"/>
      <c r="AR346" s="950"/>
      <c r="AS346" s="950"/>
      <c r="AT346" s="950"/>
      <c r="AU346" s="950"/>
      <c r="AV346" s="950"/>
      <c r="AW346" s="950"/>
      <c r="AX346" s="950"/>
      <c r="AY346" s="950"/>
      <c r="AZ346" s="950"/>
      <c r="BA346" s="950"/>
      <c r="BB346" s="950"/>
      <c r="BC346" s="950"/>
      <c r="BD346" s="950"/>
      <c r="BE346" s="950"/>
      <c r="BF346" s="950"/>
      <c r="BG346" s="950"/>
      <c r="BH346" s="950"/>
      <c r="BI346" s="950"/>
      <c r="BJ346" s="950"/>
      <c r="BK346" s="950"/>
      <c r="BL346" s="950"/>
      <c r="BM346" s="950"/>
      <c r="BN346" s="6521"/>
      <c r="BO346" s="6525" t="str">
        <f>IF(_xlfn.IFERROR(INDEX(Административные!$K$26:$L$103,MATCH($F346&amp;"12komm",Административные!$K$26:$K$103,0),2),"")=0,"",_xlfn.IFERROR(INDEX(Административные!$K$26:$L$103,MATCH($F346&amp;"12komm",Административные!$K$26:$K$103,0),2),""))</f>
        <v/>
      </c>
      <c r="BP346" s="6521"/>
      <c r="BQ346" s="1297"/>
      <c r="BR346" s="1297"/>
      <c r="BS346" s="1072" t="s">
        <v>1402</v>
      </c>
      <c r="BT346" s="1072"/>
      <c r="BU346" s="1072"/>
      <c r="BV346" s="987"/>
      <c r="BW346" s="987"/>
    </row>
    <row s="1656" customFormat="1" customHeight="1" ht="14.25">
      <c r="A347" s="1297"/>
      <c r="B347" s="986"/>
      <c r="C347" s="1297"/>
      <c r="D347" s="1297"/>
      <c r="E347" s="709">
        <v>15</v>
      </c>
      <c r="F347" s="50" cm="1" t="str">
        <f t="array" ref="F347:F347">OFFSET(E347,-1,1)</f>
        <v>2</v>
      </c>
      <c r="G347" s="154" t="s">
        <v>1403</v>
      </c>
      <c r="H347" s="374"/>
      <c r="I347" s="374" t="s">
        <v>2231</v>
      </c>
      <c r="J347" s="1297"/>
      <c r="K347" s="374" t="s">
        <v>2231</v>
      </c>
      <c r="L347" s="988"/>
      <c r="M347" s="103"/>
      <c r="N347" s="1297"/>
      <c r="O347" s="1297"/>
      <c r="P347" s="1297"/>
      <c r="Q347" s="154" t="s">
        <v>2470</v>
      </c>
      <c r="R347" s="157" t="s">
        <v>2470</v>
      </c>
      <c r="S347" s="1297"/>
      <c r="T347" s="468" cm="1" t="str">
        <f t="array" ref="T347:T347">T346</f>
        <v>true</v>
      </c>
      <c r="U347" s="1297"/>
      <c r="V347" s="1297"/>
      <c r="W347" s="1297"/>
      <c r="X347" s="1539"/>
      <c r="Y347" s="1297"/>
      <c r="Z347" s="1529"/>
      <c r="AA347" s="1297"/>
      <c r="AB347" s="295" t="s">
        <v>2232</v>
      </c>
      <c r="AC347" s="775" t="s">
        <v>1404</v>
      </c>
      <c r="AD347" s="296" t="s">
        <v>936</v>
      </c>
      <c r="AE347" s="6524"/>
      <c r="AF347" s="6524"/>
      <c r="AG347" s="6524"/>
      <c r="AH347" s="951">
        <f>AG347-AF347</f>
        <v>0</v>
      </c>
      <c r="AI347" s="6490"/>
      <c r="AJ347" s="6522"/>
      <c r="AK347" s="950"/>
      <c r="AL347" s="950"/>
      <c r="AM347" s="950"/>
      <c r="AN347" s="950"/>
      <c r="AO347" s="950"/>
      <c r="AP347" s="950"/>
      <c r="AQ347" s="950"/>
      <c r="AR347" s="950"/>
      <c r="AS347" s="950"/>
      <c r="AT347" s="950"/>
      <c r="AU347" s="950"/>
      <c r="AV347" s="950"/>
      <c r="AW347" s="950"/>
      <c r="AX347" s="950"/>
      <c r="AY347" s="950"/>
      <c r="AZ347" s="950"/>
      <c r="BA347" s="950"/>
      <c r="BB347" s="950"/>
      <c r="BC347" s="950"/>
      <c r="BD347" s="950"/>
      <c r="BE347" s="950"/>
      <c r="BF347" s="950"/>
      <c r="BG347" s="950"/>
      <c r="BH347" s="950"/>
      <c r="BI347" s="950"/>
      <c r="BJ347" s="950"/>
      <c r="BK347" s="950"/>
      <c r="BL347" s="950"/>
      <c r="BM347" s="950"/>
      <c r="BN347" s="6521"/>
      <c r="BO347" s="6525" t="str">
        <f>IF(_xlfn.IFERROR(INDEX(Административные!$K$26:$L$103,MATCH($F347&amp;"13komm",Административные!$K$26:$K$103,0),2),"")=0,"",_xlfn.IFERROR(INDEX(Административные!$K$26:$L$103,MATCH($F347&amp;"13komm",Административные!$K$26:$K$103,0),2),""))</f>
        <v/>
      </c>
      <c r="BP347" s="6521"/>
      <c r="BQ347" s="1297"/>
      <c r="BR347" s="1297"/>
      <c r="BS347" s="1072" t="s">
        <v>1405</v>
      </c>
      <c r="BT347" s="1072"/>
      <c r="BU347" s="1072"/>
      <c r="BV347" s="987"/>
      <c r="BW347" s="987"/>
    </row>
    <row s="1656" customFormat="1" customHeight="1" ht="14.25">
      <c r="A348" s="1297"/>
      <c r="B348" s="986"/>
      <c r="C348" s="1297"/>
      <c r="D348" s="1297"/>
      <c r="E348" s="709">
        <v>15</v>
      </c>
      <c r="F348" s="50" cm="1" t="str">
        <f t="array" ref="F348:F348">OFFSET(E348,-1,1)</f>
        <v>2</v>
      </c>
      <c r="G348" s="154" t="s">
        <v>1406</v>
      </c>
      <c r="H348" s="374"/>
      <c r="I348" s="374" t="s">
        <v>2233</v>
      </c>
      <c r="J348" s="1297"/>
      <c r="K348" s="374" t="s">
        <v>2233</v>
      </c>
      <c r="L348" s="988"/>
      <c r="M348" s="103"/>
      <c r="N348" s="1297"/>
      <c r="O348" s="1297"/>
      <c r="P348" s="1297"/>
      <c r="Q348" s="154" t="s">
        <v>2470</v>
      </c>
      <c r="R348" s="157" t="s">
        <v>2470</v>
      </c>
      <c r="S348" s="1297"/>
      <c r="T348" s="468" cm="1" t="str">
        <f t="array" ref="T348:T348">T347</f>
        <v>true</v>
      </c>
      <c r="U348" s="1297"/>
      <c r="V348" s="1297"/>
      <c r="W348" s="1297"/>
      <c r="X348" s="1539"/>
      <c r="Y348" s="1297"/>
      <c r="Z348" s="1529"/>
      <c r="AA348" s="1297"/>
      <c r="AB348" s="295" t="s">
        <v>2234</v>
      </c>
      <c r="AC348" s="775" t="s">
        <v>1407</v>
      </c>
      <c r="AD348" s="296" t="s">
        <v>936</v>
      </c>
      <c r="AE348" s="6524"/>
      <c r="AF348" s="6524"/>
      <c r="AG348" s="6524"/>
      <c r="AH348" s="951">
        <f>AG348-AF348</f>
        <v>0</v>
      </c>
      <c r="AI348" s="6490"/>
      <c r="AJ348" s="6522"/>
      <c r="AK348" s="950"/>
      <c r="AL348" s="950"/>
      <c r="AM348" s="950"/>
      <c r="AN348" s="950"/>
      <c r="AO348" s="950"/>
      <c r="AP348" s="950"/>
      <c r="AQ348" s="950"/>
      <c r="AR348" s="950"/>
      <c r="AS348" s="950"/>
      <c r="AT348" s="950"/>
      <c r="AU348" s="950"/>
      <c r="AV348" s="950"/>
      <c r="AW348" s="950"/>
      <c r="AX348" s="950"/>
      <c r="AY348" s="950"/>
      <c r="AZ348" s="950"/>
      <c r="BA348" s="950"/>
      <c r="BB348" s="950"/>
      <c r="BC348" s="950"/>
      <c r="BD348" s="950"/>
      <c r="BE348" s="950"/>
      <c r="BF348" s="950"/>
      <c r="BG348" s="950"/>
      <c r="BH348" s="950"/>
      <c r="BI348" s="950"/>
      <c r="BJ348" s="950"/>
      <c r="BK348" s="950"/>
      <c r="BL348" s="950"/>
      <c r="BM348" s="950"/>
      <c r="BN348" s="6521"/>
      <c r="BO348" s="6525" t="str">
        <f>IF(_xlfn.IFERROR(INDEX(Административные!$K$26:$L$103,MATCH($F348&amp;"14komm",Административные!$K$26:$K$103,0),2),"")=0,"",_xlfn.IFERROR(INDEX(Административные!$K$26:$L$103,MATCH($F348&amp;"14komm",Административные!$K$26:$K$103,0),2),""))</f>
        <v/>
      </c>
      <c r="BP348" s="6521"/>
      <c r="BQ348" s="1297"/>
      <c r="BR348" s="1297"/>
      <c r="BS348" s="1072" t="s">
        <v>2235</v>
      </c>
      <c r="BT348" s="1072"/>
      <c r="BU348" s="1072"/>
      <c r="BV348" s="987"/>
      <c r="BW348" s="987"/>
    </row>
    <row s="1656" customFormat="1" customHeight="1" ht="14.25">
      <c r="A349" s="1297"/>
      <c r="B349" s="986"/>
      <c r="C349" s="1297"/>
      <c r="D349" s="1297"/>
      <c r="E349" s="709">
        <v>15</v>
      </c>
      <c r="F349" s="50" cm="1" t="str">
        <f t="array" ref="F349:F349">OFFSET(E349,-1,1)</f>
        <v>2</v>
      </c>
      <c r="G349" s="154" t="s">
        <v>1409</v>
      </c>
      <c r="H349" s="374"/>
      <c r="I349" s="374" t="s">
        <v>2236</v>
      </c>
      <c r="J349" s="1297"/>
      <c r="K349" s="374" t="s">
        <v>2236</v>
      </c>
      <c r="L349" s="988"/>
      <c r="M349" s="103"/>
      <c r="N349" s="1297"/>
      <c r="O349" s="1297"/>
      <c r="P349" s="1297"/>
      <c r="Q349" s="154" t="s">
        <v>2470</v>
      </c>
      <c r="R349" s="157" t="s">
        <v>2470</v>
      </c>
      <c r="S349" s="1297"/>
      <c r="T349" s="468" cm="1" t="str">
        <f t="array" ref="T349:T349">T348</f>
        <v>true</v>
      </c>
      <c r="U349" s="1297"/>
      <c r="V349" s="1297"/>
      <c r="W349" s="1297"/>
      <c r="X349" s="1539"/>
      <c r="Y349" s="1297"/>
      <c r="Z349" s="1529"/>
      <c r="AA349" s="1297"/>
      <c r="AB349" s="295" t="s">
        <v>2237</v>
      </c>
      <c r="AC349" s="775" t="s">
        <v>1412</v>
      </c>
      <c r="AD349" s="296" t="s">
        <v>936</v>
      </c>
      <c r="AE349" s="6524"/>
      <c r="AF349" s="6524"/>
      <c r="AG349" s="6524"/>
      <c r="AH349" s="951">
        <f>AG349-AF349</f>
        <v>0</v>
      </c>
      <c r="AI349" s="6490"/>
      <c r="AJ349" s="6522"/>
      <c r="AK349" s="950"/>
      <c r="AL349" s="950"/>
      <c r="AM349" s="950"/>
      <c r="AN349" s="950"/>
      <c r="AO349" s="950"/>
      <c r="AP349" s="950"/>
      <c r="AQ349" s="950"/>
      <c r="AR349" s="950"/>
      <c r="AS349" s="950"/>
      <c r="AT349" s="950"/>
      <c r="AU349" s="950"/>
      <c r="AV349" s="950"/>
      <c r="AW349" s="950"/>
      <c r="AX349" s="950"/>
      <c r="AY349" s="950"/>
      <c r="AZ349" s="950"/>
      <c r="BA349" s="950"/>
      <c r="BB349" s="950"/>
      <c r="BC349" s="950"/>
      <c r="BD349" s="950"/>
      <c r="BE349" s="950"/>
      <c r="BF349" s="950"/>
      <c r="BG349" s="950"/>
      <c r="BH349" s="950"/>
      <c r="BI349" s="950"/>
      <c r="BJ349" s="950"/>
      <c r="BK349" s="950"/>
      <c r="BL349" s="950"/>
      <c r="BM349" s="950"/>
      <c r="BN349" s="6521"/>
      <c r="BO349" s="6525" t="str">
        <f>IF(_xlfn.IFERROR(INDEX(Административные!$K$26:$L$103,MATCH($F349&amp;"15komm",Административные!$K$26:$K$103,0),2),"")=0,"",_xlfn.IFERROR(INDEX(Административные!$K$26:$L$103,MATCH($F349&amp;"15komm",Административные!$K$26:$K$103,0),2),""))</f>
        <v/>
      </c>
      <c r="BP349" s="6521"/>
      <c r="BQ349" s="1297"/>
      <c r="BR349" s="1297"/>
      <c r="BS349" s="1072" t="s">
        <v>1413</v>
      </c>
      <c r="BT349" s="1072"/>
      <c r="BU349" s="1072"/>
      <c r="BV349" s="987"/>
      <c r="BW349" s="987"/>
    </row>
    <row s="1656" customFormat="1" customHeight="1" ht="22.921875">
      <c r="A350" s="1297"/>
      <c r="B350" s="986"/>
      <c r="C350" s="1297"/>
      <c r="D350" s="1297"/>
      <c r="E350" s="709">
        <v>15</v>
      </c>
      <c r="F350" s="50" cm="1" t="str">
        <f t="array" ref="F350:F350">OFFSET(E350,-1,1)</f>
        <v>2</v>
      </c>
      <c r="G350" s="154" t="s">
        <v>1414</v>
      </c>
      <c r="H350" s="374"/>
      <c r="I350" s="374" t="s">
        <v>2238</v>
      </c>
      <c r="J350" s="1297"/>
      <c r="K350" s="374" t="s">
        <v>2238</v>
      </c>
      <c r="L350" s="988"/>
      <c r="M350" s="103"/>
      <c r="N350" s="1297"/>
      <c r="O350" s="1297"/>
      <c r="P350" s="1297"/>
      <c r="Q350" s="154" t="s">
        <v>2470</v>
      </c>
      <c r="R350" s="157" t="s">
        <v>2470</v>
      </c>
      <c r="S350" s="1297"/>
      <c r="T350" s="468" cm="1" t="str">
        <f t="array" ref="T350:T350">T349</f>
        <v>true</v>
      </c>
      <c r="U350" s="1297"/>
      <c r="V350" s="1297"/>
      <c r="W350" s="1297"/>
      <c r="X350" s="1539"/>
      <c r="Y350" s="1297"/>
      <c r="Z350" s="1529"/>
      <c r="AA350" s="1297"/>
      <c r="AB350" s="295" t="s">
        <v>2239</v>
      </c>
      <c r="AC350" s="775" t="s">
        <v>1417</v>
      </c>
      <c r="AD350" s="296" t="s">
        <v>936</v>
      </c>
      <c r="AE350" s="6524">
        <v>1040.81</v>
      </c>
      <c r="AF350" s="6524">
        <v>879.93</v>
      </c>
      <c r="AG350" s="6524"/>
      <c r="AH350" s="951">
        <f>AG350-AF350</f>
        <v>-879.93</v>
      </c>
      <c r="AI350" s="6490"/>
      <c r="AJ350" s="6522"/>
      <c r="AK350" s="950"/>
      <c r="AL350" s="950"/>
      <c r="AM350" s="950"/>
      <c r="AN350" s="950"/>
      <c r="AO350" s="950"/>
      <c r="AP350" s="950"/>
      <c r="AQ350" s="950"/>
      <c r="AR350" s="950"/>
      <c r="AS350" s="950"/>
      <c r="AT350" s="950"/>
      <c r="AU350" s="950"/>
      <c r="AV350" s="950"/>
      <c r="AW350" s="950"/>
      <c r="AX350" s="950"/>
      <c r="AY350" s="950"/>
      <c r="AZ350" s="950"/>
      <c r="BA350" s="950"/>
      <c r="BB350" s="950"/>
      <c r="BC350" s="950"/>
      <c r="BD350" s="950"/>
      <c r="BE350" s="950"/>
      <c r="BF350" s="950"/>
      <c r="BG350" s="950"/>
      <c r="BH350" s="950"/>
      <c r="BI350" s="950"/>
      <c r="BJ350" s="950"/>
      <c r="BK350" s="950"/>
      <c r="BL350" s="950"/>
      <c r="BM350" s="950"/>
      <c r="BN350" s="6521"/>
      <c r="BO350" s="6525" t="str">
        <f>IF(_xlfn.IFERROR(INDEX(Административные!$K$26:$L$103,MATCH($F350&amp;"16komm",Административные!$K$26:$K$103,0),2),"")=0,"",_xlfn.IFERROR(INDEX(Административные!$K$26:$L$103,MATCH($F350&amp;"16komm",Административные!$K$26:$K$103,0),2),""))</f>
        <v/>
      </c>
      <c r="BP350" s="6521"/>
      <c r="BQ350" s="1297"/>
      <c r="BR350" s="1297"/>
      <c r="BS350" s="1072" t="s">
        <v>2240</v>
      </c>
      <c r="BT350" s="1072"/>
      <c r="BU350" s="1072"/>
      <c r="BV350" s="987"/>
      <c r="BW350" s="987"/>
    </row>
    <row s="1656" customFormat="1" customHeight="1" ht="21.75">
      <c r="A351" s="1297"/>
      <c r="B351" s="986"/>
      <c r="C351" s="1297"/>
      <c r="D351" s="1297"/>
      <c r="E351" s="709">
        <v>22.5</v>
      </c>
      <c r="F351" s="50" cm="1" t="str">
        <f t="array" ref="F351:F351">OFFSET(E351,-1,1)</f>
        <v>2</v>
      </c>
      <c r="G351" s="1297"/>
      <c r="H351" s="374"/>
      <c r="I351" s="374" t="s">
        <v>1578</v>
      </c>
      <c r="J351" s="1297"/>
      <c r="K351" s="374" t="s">
        <v>1578</v>
      </c>
      <c r="L351" s="988" t="s">
        <v>1099</v>
      </c>
      <c r="M351" s="103"/>
      <c r="N351" s="1297"/>
      <c r="O351" s="1297"/>
      <c r="P351" s="1297"/>
      <c r="Q351" s="154" t="s">
        <v>2470</v>
      </c>
      <c r="R351" s="157" t="s">
        <v>2470</v>
      </c>
      <c r="S351" s="1297"/>
      <c r="T351" s="468" cm="1" t="str">
        <f t="array" ref="T351:T351">T350</f>
        <v>true</v>
      </c>
      <c r="U351" s="1297"/>
      <c r="V351" s="1297"/>
      <c r="W351" s="1297"/>
      <c r="X351" s="1539"/>
      <c r="Y351" s="1297"/>
      <c r="Z351" s="1529"/>
      <c r="AA351" s="1297"/>
      <c r="AB351" s="295" t="s">
        <v>1217</v>
      </c>
      <c r="AC351" s="772" t="s">
        <v>2241</v>
      </c>
      <c r="AD351" s="296" t="s">
        <v>936</v>
      </c>
      <c r="AE351" s="952">
        <f>AE352+AE353</f>
        <v>9598.02</v>
      </c>
      <c r="AF351" s="952">
        <f>AF352+AF353</f>
        <v>9256.54</v>
      </c>
      <c r="AG351" s="952">
        <f>AG352+AG353</f>
        <v>0</v>
      </c>
      <c r="AH351" s="951">
        <f>AG351-AF351</f>
        <v>-9256.54</v>
      </c>
      <c r="AI351" s="6493">
        <f>AI352+AI353</f>
        <v>0</v>
      </c>
      <c r="AJ351" s="6522"/>
      <c r="AK351" s="950"/>
      <c r="AL351" s="950"/>
      <c r="AM351" s="950"/>
      <c r="AN351" s="950"/>
      <c r="AO351" s="950"/>
      <c r="AP351" s="950"/>
      <c r="AQ351" s="950"/>
      <c r="AR351" s="950"/>
      <c r="AS351" s="950"/>
      <c r="AT351" s="950"/>
      <c r="AU351" s="950"/>
      <c r="AV351" s="950"/>
      <c r="AW351" s="950"/>
      <c r="AX351" s="950"/>
      <c r="AY351" s="950"/>
      <c r="AZ351" s="950"/>
      <c r="BA351" s="950"/>
      <c r="BB351" s="950"/>
      <c r="BC351" s="950"/>
      <c r="BD351" s="950"/>
      <c r="BE351" s="950"/>
      <c r="BF351" s="950"/>
      <c r="BG351" s="950"/>
      <c r="BH351" s="950"/>
      <c r="BI351" s="950"/>
      <c r="BJ351" s="950"/>
      <c r="BK351" s="950"/>
      <c r="BL351" s="950"/>
      <c r="BM351" s="950"/>
      <c r="BN351" s="6521"/>
      <c r="BO351" s="6521"/>
      <c r="BP351" s="6521"/>
      <c r="BQ351" s="1297"/>
      <c r="BR351" s="1297"/>
      <c r="BS351" s="1070" t="s">
        <v>2055</v>
      </c>
      <c r="BT351" s="1072"/>
      <c r="BU351" s="1072"/>
      <c r="BV351" s="987"/>
      <c r="BW351" s="987"/>
    </row>
    <row s="1656" customFormat="1" customHeight="1" ht="53.671875">
      <c r="A352" s="1297"/>
      <c r="B352" s="986"/>
      <c r="C352" s="1297"/>
      <c r="D352" s="1297"/>
      <c r="E352" s="709">
        <v>15</v>
      </c>
      <c r="F352" s="50" cm="1" t="str">
        <f t="array" ref="F352:F352">OFFSET(E352,-1,1)</f>
        <v>2</v>
      </c>
      <c r="G352" s="154" t="s">
        <v>1373</v>
      </c>
      <c r="H352" s="374"/>
      <c r="I352" s="374" t="s">
        <v>2242</v>
      </c>
      <c r="J352" s="1297"/>
      <c r="K352" s="374" t="s">
        <v>2242</v>
      </c>
      <c r="L352" s="988" t="s">
        <v>602</v>
      </c>
      <c r="M352" s="103"/>
      <c r="N352" s="1297"/>
      <c r="O352" s="1297"/>
      <c r="P352" s="1297"/>
      <c r="Q352" s="154" t="s">
        <v>2470</v>
      </c>
      <c r="R352" s="157" t="s">
        <v>2470</v>
      </c>
      <c r="S352" s="1297"/>
      <c r="T352" s="468" cm="1" t="str">
        <f t="array" ref="T352:T352">T351</f>
        <v>true</v>
      </c>
      <c r="U352" s="1297"/>
      <c r="V352" s="1297"/>
      <c r="W352" s="1297"/>
      <c r="X352" s="1539"/>
      <c r="Y352" s="1297"/>
      <c r="Z352" s="1529"/>
      <c r="AA352" s="1297"/>
      <c r="AB352" s="295" t="s">
        <v>2243</v>
      </c>
      <c r="AC352" s="775" t="s">
        <v>2056</v>
      </c>
      <c r="AD352" s="778" t="s">
        <v>936</v>
      </c>
      <c r="AE352" s="6524">
        <v>7370.79</v>
      </c>
      <c r="AF352" s="6524">
        <v>7289.87</v>
      </c>
      <c r="AG352" s="6524"/>
      <c r="AH352" s="951">
        <f>AG352-AF352</f>
        <v>-7289.87</v>
      </c>
      <c r="AI352" s="6490"/>
      <c r="AJ352" s="6522"/>
      <c r="AK352" s="950"/>
      <c r="AL352" s="950"/>
      <c r="AM352" s="950"/>
      <c r="AN352" s="950"/>
      <c r="AO352" s="950"/>
      <c r="AP352" s="950"/>
      <c r="AQ352" s="950"/>
      <c r="AR352" s="950"/>
      <c r="AS352" s="950"/>
      <c r="AT352" s="950"/>
      <c r="AU352" s="950"/>
      <c r="AV352" s="950"/>
      <c r="AW352" s="950"/>
      <c r="AX352" s="950"/>
      <c r="AY352" s="950"/>
      <c r="AZ352" s="950"/>
      <c r="BA352" s="950"/>
      <c r="BB352" s="950"/>
      <c r="BC352" s="950"/>
      <c r="BD352" s="950"/>
      <c r="BE352" s="950"/>
      <c r="BF352" s="950"/>
      <c r="BG352" s="950"/>
      <c r="BH352" s="950"/>
      <c r="BI352" s="950"/>
      <c r="BJ352" s="950"/>
      <c r="BK352" s="950"/>
      <c r="BL352" s="950"/>
      <c r="BM352" s="950"/>
      <c r="BN352" s="6521"/>
      <c r="BO352" s="6525" t="str">
        <f>IF(_xlfn.IFERROR(INDEX(ФОТ!$K$26:$L$127,MATCH($F352&amp;"5komm",ФОТ!$K$26:$K$127,0),2),"")=0,"",_xlfn.IFERROR(INDEX(ФОТ!$K$26:$L$127,MATCH($F352&amp;"5komm",ФОТ!$K$26:$K$127,0),2),""))</f>
        <v/>
      </c>
      <c r="BP352" s="6521"/>
      <c r="BQ352" s="1297"/>
      <c r="BR352" s="1297"/>
      <c r="BS352" s="1070" t="s">
        <v>1390</v>
      </c>
      <c r="BT352" s="1072"/>
      <c r="BU352" s="1072"/>
      <c r="BV352" s="987"/>
      <c r="BW352" s="987"/>
    </row>
    <row s="1656" customFormat="1" customHeight="1" ht="73.921875">
      <c r="A353" s="1297"/>
      <c r="B353" s="986"/>
      <c r="C353" s="1297"/>
      <c r="D353" s="1297"/>
      <c r="E353" s="709">
        <v>22.5</v>
      </c>
      <c r="F353" s="50" cm="1" t="str">
        <f t="array" ref="F353:F353">OFFSET(E353,-1,1)</f>
        <v>2</v>
      </c>
      <c r="G353" s="154" t="s">
        <v>1378</v>
      </c>
      <c r="H353" s="374"/>
      <c r="I353" s="374" t="s">
        <v>2244</v>
      </c>
      <c r="J353" s="1297"/>
      <c r="K353" s="374" t="s">
        <v>2244</v>
      </c>
      <c r="L353" s="988" t="s">
        <v>607</v>
      </c>
      <c r="M353" s="103"/>
      <c r="N353" s="1297"/>
      <c r="O353" s="1297"/>
      <c r="P353" s="1297"/>
      <c r="Q353" s="154" t="s">
        <v>2470</v>
      </c>
      <c r="R353" s="157" t="s">
        <v>2470</v>
      </c>
      <c r="S353" s="1297"/>
      <c r="T353" s="468" cm="1" t="str">
        <f t="array" ref="T353:T353">T352</f>
        <v>true</v>
      </c>
      <c r="U353" s="1297"/>
      <c r="V353" s="1297"/>
      <c r="W353" s="1297"/>
      <c r="X353" s="1539"/>
      <c r="Y353" s="1297"/>
      <c r="Z353" s="1529"/>
      <c r="AA353" s="1297"/>
      <c r="AB353" s="295" t="s">
        <v>2245</v>
      </c>
      <c r="AC353" s="775" t="s">
        <v>2246</v>
      </c>
      <c r="AD353" s="296" t="s">
        <v>936</v>
      </c>
      <c r="AE353" s="6524">
        <v>2227.23</v>
      </c>
      <c r="AF353" s="6524">
        <v>1966.67</v>
      </c>
      <c r="AG353" s="6524">
        <f>AG352*_xlfn.SUMIFS(INDEX(Сценарии!$AE$25:$BF$136,,MATCH(AG$8,Сценарии!$AE$8:$BF$8,0)),Сценарии!$F$25:$F$136,$F353,Сценарии!$G$25:$G$136,"СВФОТ")/100</f>
        <v>0</v>
      </c>
      <c r="AH353" s="951">
        <f>AG353-AF353</f>
        <v>-1966.67</v>
      </c>
      <c r="AI353" s="6490">
        <f>AI352*_xlfn.SUMIFS(INDEX(Сценарии!$AE$25:$BF$136,,MATCH(AG$8,Сценарии!$AE$8:$BF$8,0)),Сценарии!$F$25:$F$136,$F353,Сценарии!$G$25:$G$136,"СВФОТ")/100</f>
        <v>0</v>
      </c>
      <c r="AJ353" s="6522"/>
      <c r="AK353" s="950"/>
      <c r="AL353" s="950"/>
      <c r="AM353" s="950"/>
      <c r="AN353" s="950"/>
      <c r="AO353" s="950"/>
      <c r="AP353" s="950"/>
      <c r="AQ353" s="950"/>
      <c r="AR353" s="950"/>
      <c r="AS353" s="950"/>
      <c r="AT353" s="950"/>
      <c r="AU353" s="950"/>
      <c r="AV353" s="950"/>
      <c r="AW353" s="950"/>
      <c r="AX353" s="950"/>
      <c r="AY353" s="950"/>
      <c r="AZ353" s="950"/>
      <c r="BA353" s="950"/>
      <c r="BB353" s="950"/>
      <c r="BC353" s="950"/>
      <c r="BD353" s="950"/>
      <c r="BE353" s="950"/>
      <c r="BF353" s="950"/>
      <c r="BG353" s="950"/>
      <c r="BH353" s="950"/>
      <c r="BI353" s="950"/>
      <c r="BJ353" s="950"/>
      <c r="BK353" s="950"/>
      <c r="BL353" s="950"/>
      <c r="BM353" s="950"/>
      <c r="BN353" s="6521"/>
      <c r="BO353" s="6525" t="str">
        <f>IF(_xlfn.IFERROR(INDEX(ФОТ!$K$26:$L$127,MATCH($F353&amp;"6komm",ФОТ!$K$26:$K$127,0),2),"")=0,"",_xlfn.IFERROR(INDEX(ФОТ!$K$26:$L$127,MATCH($F353&amp;"6komm",ФОТ!$K$26:$K$127,0),2),""))</f>
        <v/>
      </c>
      <c r="BP353" s="6521"/>
      <c r="BQ353" s="1297"/>
      <c r="BR353" s="1297"/>
      <c r="BS353" s="1070" t="s">
        <v>2058</v>
      </c>
      <c r="BT353" s="1072"/>
      <c r="BU353" s="1072"/>
      <c r="BV353" s="987"/>
      <c r="BW353" s="987"/>
    </row>
    <row s="1656" customFormat="1" customHeight="1" ht="32.25">
      <c r="A354" s="1297"/>
      <c r="B354" s="986"/>
      <c r="C354" s="1297"/>
      <c r="D354" s="1297"/>
      <c r="E354" s="709">
        <v>33.75</v>
      </c>
      <c r="F354" s="50" cm="1" t="str">
        <f t="array" ref="F354:F354">OFFSET(E354,-1,1)</f>
        <v>2</v>
      </c>
      <c r="G354" s="49" t="s">
        <v>1419</v>
      </c>
      <c r="H354" s="374"/>
      <c r="I354" s="374" t="s">
        <v>1581</v>
      </c>
      <c r="J354" s="1297"/>
      <c r="K354" s="374" t="s">
        <v>1581</v>
      </c>
      <c r="L354" s="988" t="s">
        <v>1101</v>
      </c>
      <c r="M354" s="103"/>
      <c r="N354" s="1297"/>
      <c r="O354" s="1297"/>
      <c r="P354" s="1297"/>
      <c r="Q354" s="154" t="s">
        <v>2470</v>
      </c>
      <c r="R354" s="157" t="s">
        <v>2470</v>
      </c>
      <c r="S354" s="1297"/>
      <c r="T354" s="468" cm="1" t="str">
        <f t="array" ref="T354:T354">T353</f>
        <v>true</v>
      </c>
      <c r="U354" s="1297"/>
      <c r="V354" s="1297"/>
      <c r="W354" s="1297"/>
      <c r="X354" s="1539"/>
      <c r="Y354" s="1297"/>
      <c r="Z354" s="1529"/>
      <c r="AA354" s="1297"/>
      <c r="AB354" s="295" t="s">
        <v>1582</v>
      </c>
      <c r="AC354" s="772" t="s">
        <v>2247</v>
      </c>
      <c r="AD354" s="296" t="s">
        <v>936</v>
      </c>
      <c r="AE354" s="6524"/>
      <c r="AF354" s="6524"/>
      <c r="AG354" s="6524"/>
      <c r="AH354" s="951">
        <f>AG354-AF354</f>
        <v>0</v>
      </c>
      <c r="AI354" s="6490"/>
      <c r="AJ354" s="6522"/>
      <c r="AK354" s="950"/>
      <c r="AL354" s="950"/>
      <c r="AM354" s="950"/>
      <c r="AN354" s="950"/>
      <c r="AO354" s="950"/>
      <c r="AP354" s="950"/>
      <c r="AQ354" s="950"/>
      <c r="AR354" s="950"/>
      <c r="AS354" s="950"/>
      <c r="AT354" s="950"/>
      <c r="AU354" s="950"/>
      <c r="AV354" s="950"/>
      <c r="AW354" s="950"/>
      <c r="AX354" s="950"/>
      <c r="AY354" s="950"/>
      <c r="AZ354" s="950"/>
      <c r="BA354" s="950"/>
      <c r="BB354" s="950"/>
      <c r="BC354" s="950"/>
      <c r="BD354" s="950"/>
      <c r="BE354" s="950"/>
      <c r="BF354" s="950"/>
      <c r="BG354" s="950"/>
      <c r="BH354" s="950"/>
      <c r="BI354" s="950"/>
      <c r="BJ354" s="950"/>
      <c r="BK354" s="950"/>
      <c r="BL354" s="950"/>
      <c r="BM354" s="950"/>
      <c r="BN354" s="6521"/>
      <c r="BO354" s="6525" t="str">
        <f>IF(_xlfn.IFERROR(INDEX(Административные!$K$26:$L$103,MATCH($F354&amp;"2komm",Административные!$K$26:$K$103,0),2),"")=0,"",_xlfn.IFERROR(INDEX(Административные!$K$26:$L$103,MATCH($F354&amp;"2komm",Административные!$K$26:$K$103,0),2),""))</f>
        <v/>
      </c>
      <c r="BP354" s="6521"/>
      <c r="BQ354" s="1297"/>
      <c r="BR354" s="1297"/>
      <c r="BS354" s="1070" t="s">
        <v>1421</v>
      </c>
      <c r="BT354" s="1072"/>
      <c r="BU354" s="1072"/>
      <c r="BV354" s="987"/>
      <c r="BW354" s="987"/>
    </row>
    <row s="1656" customFormat="1" customHeight="1" ht="14.25">
      <c r="A355" s="1297"/>
      <c r="B355" s="986"/>
      <c r="C355" s="1297"/>
      <c r="D355" s="1297"/>
      <c r="E355" s="709">
        <v>15</v>
      </c>
      <c r="F355" s="50" cm="1" t="str">
        <f t="array" ref="F355:F355">OFFSET(E355,-1,1)</f>
        <v>2</v>
      </c>
      <c r="G355" s="49" t="s">
        <v>1422</v>
      </c>
      <c r="H355" s="374"/>
      <c r="I355" s="374" t="s">
        <v>1585</v>
      </c>
      <c r="J355" s="1297"/>
      <c r="K355" s="374" t="s">
        <v>1585</v>
      </c>
      <c r="L355" s="988" t="s">
        <v>1103</v>
      </c>
      <c r="M355" s="103"/>
      <c r="N355" s="1297"/>
      <c r="O355" s="1297"/>
      <c r="P355" s="1297"/>
      <c r="Q355" s="154" t="s">
        <v>2470</v>
      </c>
      <c r="R355" s="157" t="s">
        <v>2470</v>
      </c>
      <c r="S355" s="1297"/>
      <c r="T355" s="468" cm="1" t="str">
        <f t="array" ref="T355:T355">T354</f>
        <v>true</v>
      </c>
      <c r="U355" s="1297"/>
      <c r="V355" s="1297"/>
      <c r="W355" s="1297"/>
      <c r="X355" s="1539"/>
      <c r="Y355" s="1297"/>
      <c r="Z355" s="1529"/>
      <c r="AA355" s="1297"/>
      <c r="AB355" s="295" t="s">
        <v>1586</v>
      </c>
      <c r="AC355" s="772" t="s">
        <v>2248</v>
      </c>
      <c r="AD355" s="296" t="s">
        <v>936</v>
      </c>
      <c r="AE355" s="6524"/>
      <c r="AF355" s="6524"/>
      <c r="AG355" s="6524"/>
      <c r="AH355" s="951">
        <f>AG355-AF355</f>
        <v>0</v>
      </c>
      <c r="AI355" s="6490"/>
      <c r="AJ355" s="6522"/>
      <c r="AK355" s="950"/>
      <c r="AL355" s="950"/>
      <c r="AM355" s="950"/>
      <c r="AN355" s="950"/>
      <c r="AO355" s="950"/>
      <c r="AP355" s="950"/>
      <c r="AQ355" s="950"/>
      <c r="AR355" s="950"/>
      <c r="AS355" s="950"/>
      <c r="AT355" s="950"/>
      <c r="AU355" s="950"/>
      <c r="AV355" s="950"/>
      <c r="AW355" s="950"/>
      <c r="AX355" s="950"/>
      <c r="AY355" s="950"/>
      <c r="AZ355" s="950"/>
      <c r="BA355" s="950"/>
      <c r="BB355" s="950"/>
      <c r="BC355" s="950"/>
      <c r="BD355" s="950"/>
      <c r="BE355" s="950"/>
      <c r="BF355" s="950"/>
      <c r="BG355" s="950"/>
      <c r="BH355" s="950"/>
      <c r="BI355" s="950"/>
      <c r="BJ355" s="950"/>
      <c r="BK355" s="950"/>
      <c r="BL355" s="950"/>
      <c r="BM355" s="950"/>
      <c r="BN355" s="6521"/>
      <c r="BO355" s="6525" t="str">
        <f>IF(_xlfn.IFERROR(INDEX(Административные!$K$26:$L$103,MATCH($F355&amp;"3komm",Административные!$K$26:$K$103,0),2),"")=0,"",_xlfn.IFERROR(INDEX(Административные!$K$26:$L$103,MATCH($F355&amp;"3komm",Административные!$K$26:$K$103,0),2),""))</f>
        <v/>
      </c>
      <c r="BP355" s="6521"/>
      <c r="BQ355" s="1297"/>
      <c r="BR355" s="1297"/>
      <c r="BS355" s="1070" t="s">
        <v>1424</v>
      </c>
      <c r="BT355" s="1072"/>
      <c r="BU355" s="1072"/>
      <c r="BV355" s="987"/>
      <c r="BW355" s="987"/>
    </row>
    <row s="1656" customFormat="1" customHeight="1" ht="14.25">
      <c r="A356" s="1297"/>
      <c r="B356" s="986"/>
      <c r="C356" s="1297"/>
      <c r="D356" s="1297"/>
      <c r="E356" s="709">
        <v>15</v>
      </c>
      <c r="F356" s="50" cm="1" t="str">
        <f t="array" ref="F356:F356">OFFSET(E356,-1,1)</f>
        <v>2</v>
      </c>
      <c r="G356" s="49" t="s">
        <v>1425</v>
      </c>
      <c r="H356" s="374"/>
      <c r="I356" s="374" t="s">
        <v>2249</v>
      </c>
      <c r="J356" s="1297"/>
      <c r="K356" s="374" t="s">
        <v>2249</v>
      </c>
      <c r="L356" s="988" t="s">
        <v>1106</v>
      </c>
      <c r="M356" s="103"/>
      <c r="N356" s="1297"/>
      <c r="O356" s="1297"/>
      <c r="P356" s="1297"/>
      <c r="Q356" s="154" t="s">
        <v>2470</v>
      </c>
      <c r="R356" s="157" t="s">
        <v>2470</v>
      </c>
      <c r="S356" s="1297"/>
      <c r="T356" s="468" cm="1" t="str">
        <f t="array" ref="T356:T356">T355</f>
        <v>true</v>
      </c>
      <c r="U356" s="1297"/>
      <c r="V356" s="1297"/>
      <c r="W356" s="1297"/>
      <c r="X356" s="1539"/>
      <c r="Y356" s="1297"/>
      <c r="Z356" s="1529"/>
      <c r="AA356" s="1297"/>
      <c r="AB356" s="295" t="s">
        <v>2250</v>
      </c>
      <c r="AC356" s="772" t="s">
        <v>2251</v>
      </c>
      <c r="AD356" s="296" t="s">
        <v>936</v>
      </c>
      <c r="AE356" s="6524"/>
      <c r="AF356" s="6524"/>
      <c r="AG356" s="6524"/>
      <c r="AH356" s="951">
        <f>AG356-AF356</f>
        <v>0</v>
      </c>
      <c r="AI356" s="6490"/>
      <c r="AJ356" s="6522"/>
      <c r="AK356" s="950"/>
      <c r="AL356" s="950"/>
      <c r="AM356" s="950"/>
      <c r="AN356" s="950"/>
      <c r="AO356" s="950"/>
      <c r="AP356" s="950"/>
      <c r="AQ356" s="950"/>
      <c r="AR356" s="950"/>
      <c r="AS356" s="950"/>
      <c r="AT356" s="950"/>
      <c r="AU356" s="950"/>
      <c r="AV356" s="950"/>
      <c r="AW356" s="950"/>
      <c r="AX356" s="950"/>
      <c r="AY356" s="950"/>
      <c r="AZ356" s="950"/>
      <c r="BA356" s="950"/>
      <c r="BB356" s="950"/>
      <c r="BC356" s="950"/>
      <c r="BD356" s="950"/>
      <c r="BE356" s="950"/>
      <c r="BF356" s="950"/>
      <c r="BG356" s="950"/>
      <c r="BH356" s="950"/>
      <c r="BI356" s="950"/>
      <c r="BJ356" s="950"/>
      <c r="BK356" s="950"/>
      <c r="BL356" s="950"/>
      <c r="BM356" s="950"/>
      <c r="BN356" s="6521"/>
      <c r="BO356" s="6525" t="str">
        <f>IF(_xlfn.IFERROR(INDEX(Административные!$K$26:$L$103,MATCH($F356&amp;"4komm",Административные!$K$26:$K$103,0),2),"")=0,"",_xlfn.IFERROR(INDEX(Административные!$K$26:$L$103,MATCH($F356&amp;"4komm",Административные!$K$26:$K$103,0),2),""))</f>
        <v/>
      </c>
      <c r="BP356" s="6521"/>
      <c r="BQ356" s="1297"/>
      <c r="BR356" s="1297"/>
      <c r="BS356" s="1070" t="s">
        <v>1427</v>
      </c>
      <c r="BT356" s="1072"/>
      <c r="BU356" s="1072"/>
      <c r="BV356" s="987"/>
      <c r="BW356" s="987"/>
    </row>
    <row s="1656" customFormat="1" customHeight="1" ht="14.25">
      <c r="A357" s="1297"/>
      <c r="B357" s="986"/>
      <c r="C357" s="1297"/>
      <c r="D357" s="1297"/>
      <c r="E357" s="709">
        <v>15</v>
      </c>
      <c r="F357" s="50" cm="1" t="str">
        <f t="array" ref="F357:F357">OFFSET(E357,-1,1)</f>
        <v>2</v>
      </c>
      <c r="G357" s="49" t="s">
        <v>1428</v>
      </c>
      <c r="H357" s="374"/>
      <c r="I357" s="374" t="s">
        <v>2252</v>
      </c>
      <c r="J357" s="1297"/>
      <c r="K357" s="374" t="s">
        <v>2252</v>
      </c>
      <c r="L357" s="988" t="s">
        <v>1410</v>
      </c>
      <c r="M357" s="103"/>
      <c r="N357" s="1297"/>
      <c r="O357" s="1297"/>
      <c r="P357" s="1297"/>
      <c r="Q357" s="154" t="s">
        <v>2470</v>
      </c>
      <c r="R357" s="157" t="s">
        <v>2470</v>
      </c>
      <c r="S357" s="1297"/>
      <c r="T357" s="468" cm="1" t="str">
        <f t="array" ref="T357:T357">T356</f>
        <v>true</v>
      </c>
      <c r="U357" s="1297"/>
      <c r="V357" s="1297"/>
      <c r="W357" s="1297"/>
      <c r="X357" s="1539"/>
      <c r="Y357" s="1297"/>
      <c r="Z357" s="1529"/>
      <c r="AA357" s="1297"/>
      <c r="AB357" s="295" t="s">
        <v>2253</v>
      </c>
      <c r="AC357" s="772" t="s">
        <v>2254</v>
      </c>
      <c r="AD357" s="296" t="s">
        <v>936</v>
      </c>
      <c r="AE357" s="6524"/>
      <c r="AF357" s="6524"/>
      <c r="AG357" s="6524"/>
      <c r="AH357" s="951">
        <f>AG357-AF357</f>
        <v>0</v>
      </c>
      <c r="AI357" s="6490"/>
      <c r="AJ357" s="6522"/>
      <c r="AK357" s="950"/>
      <c r="AL357" s="950"/>
      <c r="AM357" s="950"/>
      <c r="AN357" s="950"/>
      <c r="AO357" s="950"/>
      <c r="AP357" s="950"/>
      <c r="AQ357" s="950"/>
      <c r="AR357" s="950"/>
      <c r="AS357" s="950"/>
      <c r="AT357" s="950"/>
      <c r="AU357" s="950"/>
      <c r="AV357" s="950"/>
      <c r="AW357" s="950"/>
      <c r="AX357" s="950"/>
      <c r="AY357" s="950"/>
      <c r="AZ357" s="950"/>
      <c r="BA357" s="950"/>
      <c r="BB357" s="950"/>
      <c r="BC357" s="950"/>
      <c r="BD357" s="950"/>
      <c r="BE357" s="950"/>
      <c r="BF357" s="950"/>
      <c r="BG357" s="950"/>
      <c r="BH357" s="950"/>
      <c r="BI357" s="950"/>
      <c r="BJ357" s="950"/>
      <c r="BK357" s="950"/>
      <c r="BL357" s="950"/>
      <c r="BM357" s="950"/>
      <c r="BN357" s="6521"/>
      <c r="BO357" s="6525" t="str">
        <f>IF(_xlfn.IFERROR(INDEX(Административные!$K$26:$L$103,MATCH($F357&amp;"5komm",Административные!$K$26:$K$103,0),2),"")=0,"",_xlfn.IFERROR(INDEX(Административные!$K$26:$L$103,MATCH($F357&amp;"5komm",Административные!$K$26:$K$103,0),2),""))</f>
        <v/>
      </c>
      <c r="BP357" s="6521"/>
      <c r="BQ357" s="1297"/>
      <c r="BR357" s="1297"/>
      <c r="BS357" s="1070" t="s">
        <v>2060</v>
      </c>
      <c r="BT357" s="1072"/>
      <c r="BU357" s="1072"/>
      <c r="BV357" s="987"/>
      <c r="BW357" s="987"/>
    </row>
    <row s="1656" customFormat="1" customHeight="1" ht="25.171875">
      <c r="A358" s="1297"/>
      <c r="B358" s="986"/>
      <c r="C358" s="1297"/>
      <c r="D358" s="1297"/>
      <c r="E358" s="709">
        <v>15</v>
      </c>
      <c r="F358" s="50" cm="1" t="str">
        <f t="array" ref="F358:F358">OFFSET(E358,-1,1)</f>
        <v>2</v>
      </c>
      <c r="G358" s="49" t="s">
        <v>1431</v>
      </c>
      <c r="H358" s="374"/>
      <c r="I358" s="374" t="s">
        <v>2255</v>
      </c>
      <c r="J358" s="1297"/>
      <c r="K358" s="374" t="s">
        <v>2255</v>
      </c>
      <c r="L358" s="988" t="s">
        <v>1415</v>
      </c>
      <c r="M358" s="103"/>
      <c r="N358" s="1297"/>
      <c r="O358" s="1297"/>
      <c r="P358" s="1297"/>
      <c r="Q358" s="154" t="s">
        <v>2470</v>
      </c>
      <c r="R358" s="157" t="s">
        <v>2470</v>
      </c>
      <c r="S358" s="1297"/>
      <c r="T358" s="468" cm="1" t="str">
        <f t="array" ref="T358:T358">T357</f>
        <v>true</v>
      </c>
      <c r="U358" s="1297"/>
      <c r="V358" s="1297"/>
      <c r="W358" s="1297"/>
      <c r="X358" s="1539"/>
      <c r="Y358" s="1297"/>
      <c r="Z358" s="1529"/>
      <c r="AA358" s="1297"/>
      <c r="AB358" s="295" t="s">
        <v>2256</v>
      </c>
      <c r="AC358" s="772" t="s">
        <v>2257</v>
      </c>
      <c r="AD358" s="296" t="s">
        <v>936</v>
      </c>
      <c r="AE358" s="951">
        <f>SUM(AE359:AE361)</f>
        <v>608.93</v>
      </c>
      <c r="AF358" s="951">
        <f>SUM(AF359:AF361)</f>
        <v>3625.61</v>
      </c>
      <c r="AG358" s="951">
        <f>SUM(AG359:AG361)</f>
        <v>0</v>
      </c>
      <c r="AH358" s="951">
        <f>AG358-AF358</f>
        <v>-3625.61</v>
      </c>
      <c r="AI358" s="6488">
        <f>SUM(AI359:AI361)</f>
        <v>0</v>
      </c>
      <c r="AJ358" s="6522"/>
      <c r="AK358" s="950"/>
      <c r="AL358" s="950"/>
      <c r="AM358" s="950"/>
      <c r="AN358" s="950"/>
      <c r="AO358" s="950"/>
      <c r="AP358" s="950"/>
      <c r="AQ358" s="950"/>
      <c r="AR358" s="950"/>
      <c r="AS358" s="950"/>
      <c r="AT358" s="950"/>
      <c r="AU358" s="950"/>
      <c r="AV358" s="950"/>
      <c r="AW358" s="950"/>
      <c r="AX358" s="950"/>
      <c r="AY358" s="950"/>
      <c r="AZ358" s="950"/>
      <c r="BA358" s="950"/>
      <c r="BB358" s="950"/>
      <c r="BC358" s="950"/>
      <c r="BD358" s="950"/>
      <c r="BE358" s="950"/>
      <c r="BF358" s="950"/>
      <c r="BG358" s="950"/>
      <c r="BH358" s="950"/>
      <c r="BI358" s="950"/>
      <c r="BJ358" s="950"/>
      <c r="BK358" s="950"/>
      <c r="BL358" s="950"/>
      <c r="BM358" s="950"/>
      <c r="BN358" s="6521"/>
      <c r="BO358" s="6525" t="str">
        <f>IF(_xlfn.IFERROR(INDEX(Административные!$K$26:$L$103,MATCH($F358&amp;"6komm",Административные!$K$26:$K$103,0),2),"")=0,"",_xlfn.IFERROR(INDEX(Административные!$K$26:$L$103,MATCH($F358&amp;"6komm",Административные!$K$26:$K$103,0),2),""))</f>
        <v/>
      </c>
      <c r="BP358" s="6521"/>
      <c r="BQ358" s="1297"/>
      <c r="BR358" s="1297"/>
      <c r="BS358" s="1070" t="s">
        <v>2062</v>
      </c>
      <c r="BT358" s="1072"/>
      <c r="BU358" s="1072"/>
      <c r="BV358" s="987"/>
      <c r="BW358" s="987"/>
    </row>
    <row s="1656" customFormat="1" customHeight="1" ht="14.25">
      <c r="A359" s="1297"/>
      <c r="B359" s="986"/>
      <c r="C359" s="1297"/>
      <c r="D359" s="1297"/>
      <c r="E359" s="709">
        <v>15</v>
      </c>
      <c r="F359" s="50" cm="1" t="str">
        <f t="array" ref="F359:F359">OFFSET(E359,-1,1)</f>
        <v>2</v>
      </c>
      <c r="G359" s="49" t="s">
        <v>1433</v>
      </c>
      <c r="H359" s="374"/>
      <c r="I359" s="374" t="s">
        <v>2258</v>
      </c>
      <c r="J359" s="1297"/>
      <c r="K359" s="374" t="s">
        <v>2258</v>
      </c>
      <c r="L359" s="988" t="s">
        <v>2063</v>
      </c>
      <c r="M359" s="103"/>
      <c r="N359" s="1297"/>
      <c r="O359" s="1297"/>
      <c r="P359" s="1297"/>
      <c r="Q359" s="154" t="s">
        <v>2470</v>
      </c>
      <c r="R359" s="157" t="s">
        <v>2470</v>
      </c>
      <c r="S359" s="1297"/>
      <c r="T359" s="468" cm="1" t="str">
        <f t="array" ref="T359:T359">T358</f>
        <v>true</v>
      </c>
      <c r="U359" s="1297"/>
      <c r="V359" s="1297"/>
      <c r="W359" s="1297"/>
      <c r="X359" s="1539"/>
      <c r="Y359" s="1297"/>
      <c r="Z359" s="1529"/>
      <c r="AA359" s="1297"/>
      <c r="AB359" s="295" t="s">
        <v>2259</v>
      </c>
      <c r="AC359" s="775" t="s">
        <v>2065</v>
      </c>
      <c r="AD359" s="296" t="s">
        <v>936</v>
      </c>
      <c r="AE359" s="6524"/>
      <c r="AF359" s="6524"/>
      <c r="AG359" s="6524"/>
      <c r="AH359" s="951">
        <f>AG359-AF359</f>
        <v>0</v>
      </c>
      <c r="AI359" s="6490"/>
      <c r="AJ359" s="6522"/>
      <c r="AK359" s="950"/>
      <c r="AL359" s="950"/>
      <c r="AM359" s="950"/>
      <c r="AN359" s="950"/>
      <c r="AO359" s="950"/>
      <c r="AP359" s="950"/>
      <c r="AQ359" s="950"/>
      <c r="AR359" s="950"/>
      <c r="AS359" s="950"/>
      <c r="AT359" s="950"/>
      <c r="AU359" s="950"/>
      <c r="AV359" s="950"/>
      <c r="AW359" s="950"/>
      <c r="AX359" s="950"/>
      <c r="AY359" s="950"/>
      <c r="AZ359" s="950"/>
      <c r="BA359" s="950"/>
      <c r="BB359" s="950"/>
      <c r="BC359" s="950"/>
      <c r="BD359" s="950"/>
      <c r="BE359" s="950"/>
      <c r="BF359" s="950"/>
      <c r="BG359" s="950"/>
      <c r="BH359" s="950"/>
      <c r="BI359" s="950"/>
      <c r="BJ359" s="950"/>
      <c r="BK359" s="950"/>
      <c r="BL359" s="950"/>
      <c r="BM359" s="950"/>
      <c r="BN359" s="6521"/>
      <c r="BO359" s="6525" t="str">
        <f>IF(_xlfn.IFERROR(INDEX(Административные!$K$26:$L$103,MATCH($F359&amp;"7komm",Административные!$K$26:$K$103,0),2),"")=0,"",_xlfn.IFERROR(INDEX(Административные!$K$26:$L$103,MATCH($F359&amp;"7komm",Административные!$K$26:$K$103,0),2),""))</f>
        <v/>
      </c>
      <c r="BP359" s="6521"/>
      <c r="BQ359" s="1297"/>
      <c r="BR359" s="1297"/>
      <c r="BS359" s="1070" t="s">
        <v>2066</v>
      </c>
      <c r="BT359" s="1072"/>
      <c r="BU359" s="1072"/>
      <c r="BV359" s="987"/>
      <c r="BW359" s="987"/>
    </row>
    <row s="1656" customFormat="1" customHeight="1" ht="14.25">
      <c r="A360" s="1297"/>
      <c r="B360" s="986"/>
      <c r="C360" s="1297"/>
      <c r="D360" s="1297"/>
      <c r="E360" s="709">
        <v>15</v>
      </c>
      <c r="F360" s="50" cm="1" t="str">
        <f t="array" ref="F360:F360">OFFSET(E360,-1,1)</f>
        <v>2</v>
      </c>
      <c r="G360" s="49" t="s">
        <v>1436</v>
      </c>
      <c r="H360" s="374"/>
      <c r="I360" s="374" t="s">
        <v>2260</v>
      </c>
      <c r="J360" s="1297"/>
      <c r="K360" s="374" t="s">
        <v>2260</v>
      </c>
      <c r="L360" s="988" t="s">
        <v>2067</v>
      </c>
      <c r="M360" s="103"/>
      <c r="N360" s="1297"/>
      <c r="O360" s="1297"/>
      <c r="P360" s="1297"/>
      <c r="Q360" s="154" t="s">
        <v>2470</v>
      </c>
      <c r="R360" s="157" t="s">
        <v>2470</v>
      </c>
      <c r="S360" s="1297"/>
      <c r="T360" s="468" cm="1" t="str">
        <f t="array" ref="T360:T360">T359</f>
        <v>true</v>
      </c>
      <c r="U360" s="1297"/>
      <c r="V360" s="1297"/>
      <c r="W360" s="1297"/>
      <c r="X360" s="1539"/>
      <c r="Y360" s="1297"/>
      <c r="Z360" s="1529"/>
      <c r="AA360" s="1297"/>
      <c r="AB360" s="295" t="s">
        <v>2261</v>
      </c>
      <c r="AC360" s="775" t="s">
        <v>1437</v>
      </c>
      <c r="AD360" s="296" t="s">
        <v>936</v>
      </c>
      <c r="AE360" s="6524"/>
      <c r="AF360" s="6524"/>
      <c r="AG360" s="6524"/>
      <c r="AH360" s="951">
        <f>AG360-AF360</f>
        <v>0</v>
      </c>
      <c r="AI360" s="6490"/>
      <c r="AJ360" s="6522"/>
      <c r="AK360" s="950"/>
      <c r="AL360" s="950"/>
      <c r="AM360" s="950"/>
      <c r="AN360" s="950"/>
      <c r="AO360" s="950"/>
      <c r="AP360" s="950"/>
      <c r="AQ360" s="950"/>
      <c r="AR360" s="950"/>
      <c r="AS360" s="950"/>
      <c r="AT360" s="950"/>
      <c r="AU360" s="950"/>
      <c r="AV360" s="950"/>
      <c r="AW360" s="950"/>
      <c r="AX360" s="950"/>
      <c r="AY360" s="950"/>
      <c r="AZ360" s="950"/>
      <c r="BA360" s="950"/>
      <c r="BB360" s="950"/>
      <c r="BC360" s="950"/>
      <c r="BD360" s="950"/>
      <c r="BE360" s="950"/>
      <c r="BF360" s="950"/>
      <c r="BG360" s="950"/>
      <c r="BH360" s="950"/>
      <c r="BI360" s="950"/>
      <c r="BJ360" s="950"/>
      <c r="BK360" s="950"/>
      <c r="BL360" s="950"/>
      <c r="BM360" s="950"/>
      <c r="BN360" s="6521"/>
      <c r="BO360" s="6525" t="str">
        <f>IF(_xlfn.IFERROR(INDEX(Административные!$K$26:$L$103,MATCH($F360&amp;"8komm",Административные!$K$26:$K$103,0),2),"")=0,"",_xlfn.IFERROR(INDEX(Административные!$K$26:$L$103,MATCH($F360&amp;"8komm",Административные!$K$26:$K$103,0),2),""))</f>
        <v/>
      </c>
      <c r="BP360" s="6521"/>
      <c r="BQ360" s="1297"/>
      <c r="BR360" s="1297"/>
      <c r="BS360" s="1070" t="s">
        <v>2069</v>
      </c>
      <c r="BT360" s="1072"/>
      <c r="BU360" s="1072"/>
      <c r="BV360" s="987"/>
      <c r="BW360" s="987"/>
    </row>
    <row s="1656" customFormat="1" customHeight="1" ht="18.421875">
      <c r="A361" s="1297"/>
      <c r="B361" s="986"/>
      <c r="C361" s="1297"/>
      <c r="D361" s="1297"/>
      <c r="E361" s="709">
        <v>15</v>
      </c>
      <c r="F361" s="50" cm="1" t="str">
        <f t="array" ref="F361:F361">OFFSET(E361,-1,1)</f>
        <v>2</v>
      </c>
      <c r="G361" s="154" t="s">
        <v>1439</v>
      </c>
      <c r="H361" s="374"/>
      <c r="I361" s="374" t="s">
        <v>2262</v>
      </c>
      <c r="J361" s="1297"/>
      <c r="K361" s="374" t="s">
        <v>2262</v>
      </c>
      <c r="L361" s="988" t="s">
        <v>2070</v>
      </c>
      <c r="M361" s="103"/>
      <c r="N361" s="1297"/>
      <c r="O361" s="1297"/>
      <c r="P361" s="1297"/>
      <c r="Q361" s="154" t="s">
        <v>2470</v>
      </c>
      <c r="R361" s="157" t="s">
        <v>2470</v>
      </c>
      <c r="S361" s="1297"/>
      <c r="T361" s="468" cm="1" t="str">
        <f t="array" ref="T361:T361">T360</f>
        <v>true</v>
      </c>
      <c r="U361" s="1297"/>
      <c r="V361" s="1297"/>
      <c r="W361" s="1297"/>
      <c r="X361" s="1539"/>
      <c r="Y361" s="1297"/>
      <c r="Z361" s="1529"/>
      <c r="AA361" s="1297"/>
      <c r="AB361" s="295" t="s">
        <v>2263</v>
      </c>
      <c r="AC361" s="775" t="s">
        <v>1440</v>
      </c>
      <c r="AD361" s="296" t="s">
        <v>936</v>
      </c>
      <c r="AE361" s="6524">
        <v>608.93</v>
      </c>
      <c r="AF361" s="6524">
        <v>3625.61</v>
      </c>
      <c r="AG361" s="6524"/>
      <c r="AH361" s="951">
        <f>AG361-AF361</f>
        <v>-3625.61</v>
      </c>
      <c r="AI361" s="6490"/>
      <c r="AJ361" s="1378"/>
      <c r="AK361" s="950"/>
      <c r="AL361" s="950"/>
      <c r="AM361" s="950"/>
      <c r="AN361" s="950"/>
      <c r="AO361" s="950"/>
      <c r="AP361" s="950"/>
      <c r="AQ361" s="950"/>
      <c r="AR361" s="950"/>
      <c r="AS361" s="950"/>
      <c r="AT361" s="950"/>
      <c r="AU361" s="950"/>
      <c r="AV361" s="950"/>
      <c r="AW361" s="950"/>
      <c r="AX361" s="950"/>
      <c r="AY361" s="950"/>
      <c r="AZ361" s="950"/>
      <c r="BA361" s="950"/>
      <c r="BB361" s="950"/>
      <c r="BC361" s="950"/>
      <c r="BD361" s="950"/>
      <c r="BE361" s="950"/>
      <c r="BF361" s="950"/>
      <c r="BG361" s="950"/>
      <c r="BH361" s="950"/>
      <c r="BI361" s="950"/>
      <c r="BJ361" s="950"/>
      <c r="BK361" s="950"/>
      <c r="BL361" s="950"/>
      <c r="BM361" s="950"/>
      <c r="BN361" s="6521"/>
      <c r="BO361" s="6525" t="str">
        <f>IF(_xlfn.IFERROR(INDEX(Административные!$K$26:$L$103,MATCH($F361&amp;"9komm",Административные!$K$26:$K$103,0),2),"")=0,"",_xlfn.IFERROR(INDEX(Административные!$K$26:$L$103,MATCH($F361&amp;"9komm",Административные!$K$26:$K$103,0),2),""))</f>
        <v/>
      </c>
      <c r="BP361" s="6521"/>
      <c r="BQ361" s="1297"/>
      <c r="BR361" s="1297"/>
      <c r="BS361" s="1070" t="s">
        <v>2072</v>
      </c>
      <c r="BT361" s="1072"/>
      <c r="BU361" s="1072"/>
      <c r="BV361" s="987"/>
      <c r="BW361" s="987"/>
    </row>
    <row s="1656" customFormat="1" customHeight="1" ht="34.171875">
      <c r="A362" s="1297"/>
      <c r="B362" s="434">
        <f>STATUS_GO="да"</f>
        <v>0</v>
      </c>
      <c r="C362" s="1297"/>
      <c r="D362" s="1297"/>
      <c r="E362" s="709">
        <v>22.5</v>
      </c>
      <c r="F362" s="50" cm="1" t="str">
        <f t="array" ref="F362:F362">OFFSET(E362,-1,1)</f>
        <v>2</v>
      </c>
      <c r="G362" s="1297"/>
      <c r="H362" s="374"/>
      <c r="I362" s="374" t="s">
        <v>1079</v>
      </c>
      <c r="J362" s="1297"/>
      <c r="K362" s="374" t="s">
        <v>1079</v>
      </c>
      <c r="L362" s="988" t="s">
        <v>348</v>
      </c>
      <c r="M362" s="103"/>
      <c r="N362" s="1297"/>
      <c r="O362" s="1297"/>
      <c r="P362" s="1297"/>
      <c r="Q362" s="154" t="s">
        <v>2470</v>
      </c>
      <c r="R362" s="157" t="s">
        <v>2470</v>
      </c>
      <c r="S362" s="1297"/>
      <c r="T362" s="468" cm="1" t="str">
        <f t="array" ref="T362:T362">T361</f>
        <v>true</v>
      </c>
      <c r="U362" s="1297"/>
      <c r="V362" s="1297"/>
      <c r="W362" s="1297"/>
      <c r="X362" s="1539"/>
      <c r="Y362" s="1297"/>
      <c r="Z362" s="1529"/>
      <c r="AA362" s="1297"/>
      <c r="AB362" s="295" t="s">
        <v>1080</v>
      </c>
      <c r="AC362" s="769" t="s">
        <v>2264</v>
      </c>
      <c r="AD362" s="296" t="s">
        <v>936</v>
      </c>
      <c r="AE362" s="6524"/>
      <c r="AF362" s="6524"/>
      <c r="AG362" s="6524"/>
      <c r="AH362" s="951">
        <f>AG362-AF362</f>
        <v>0</v>
      </c>
      <c r="AI362" s="6490"/>
      <c r="AJ362" s="6522"/>
      <c r="AK362" s="950"/>
      <c r="AL362" s="950"/>
      <c r="AM362" s="950"/>
      <c r="AN362" s="950"/>
      <c r="AO362" s="950"/>
      <c r="AP362" s="950"/>
      <c r="AQ362" s="950"/>
      <c r="AR362" s="950"/>
      <c r="AS362" s="950"/>
      <c r="AT362" s="950"/>
      <c r="AU362" s="950"/>
      <c r="AV362" s="950"/>
      <c r="AW362" s="950"/>
      <c r="AX362" s="950"/>
      <c r="AY362" s="950"/>
      <c r="AZ362" s="950"/>
      <c r="BA362" s="950"/>
      <c r="BB362" s="950"/>
      <c r="BC362" s="950"/>
      <c r="BD362" s="950"/>
      <c r="BE362" s="950"/>
      <c r="BF362" s="950"/>
      <c r="BG362" s="950"/>
      <c r="BH362" s="950"/>
      <c r="BI362" s="950"/>
      <c r="BJ362" s="950"/>
      <c r="BK362" s="950"/>
      <c r="BL362" s="950"/>
      <c r="BM362" s="950"/>
      <c r="BN362" s="6521"/>
      <c r="BO362" s="6521"/>
      <c r="BP362" s="6521"/>
      <c r="BQ362" s="1297"/>
      <c r="BR362" s="1297"/>
      <c r="BS362" s="1071" t="s">
        <v>2074</v>
      </c>
      <c r="BT362" s="1072"/>
      <c r="BU362" s="1072"/>
      <c r="BV362" s="987"/>
      <c r="BW362" s="987"/>
    </row>
    <row s="1656" customFormat="1" customHeight="1" ht="28.171875">
      <c r="A363" s="1297"/>
      <c r="B363" s="986"/>
      <c r="C363" s="1297"/>
      <c r="D363" s="1297"/>
      <c r="E363" s="709">
        <v>15</v>
      </c>
      <c r="F363" s="50" cm="1" t="str">
        <f t="array" ref="F363:F363">OFFSET(E363,-1,1)</f>
        <v>2</v>
      </c>
      <c r="G363" s="1297"/>
      <c r="H363" s="374"/>
      <c r="I363" s="374" t="s">
        <v>2013</v>
      </c>
      <c r="J363" s="1297"/>
      <c r="K363" s="374" t="s">
        <v>2013</v>
      </c>
      <c r="L363" s="988"/>
      <c r="M363" s="103"/>
      <c r="N363" s="1297"/>
      <c r="O363" s="1297"/>
      <c r="P363" s="1297"/>
      <c r="Q363" s="154" t="s">
        <v>2470</v>
      </c>
      <c r="R363" s="157" t="s">
        <v>2470</v>
      </c>
      <c r="S363" s="1297"/>
      <c r="T363" s="468" cm="1" t="str">
        <f t="array" ref="T363:T363">T362</f>
        <v>true</v>
      </c>
      <c r="U363" s="1297"/>
      <c r="V363" s="1297"/>
      <c r="W363" s="1297"/>
      <c r="X363" s="1539"/>
      <c r="Y363" s="1297"/>
      <c r="Z363" s="1529"/>
      <c r="AA363" s="1297"/>
      <c r="AB363" s="295" t="s">
        <v>2014</v>
      </c>
      <c r="AC363" s="769" t="s">
        <v>2265</v>
      </c>
      <c r="AD363" s="296" t="s">
        <v>936</v>
      </c>
      <c r="AE363" s="6524">
        <v>4079.75</v>
      </c>
      <c r="AF363" s="6524">
        <v>3715.61</v>
      </c>
      <c r="AG363" s="6524"/>
      <c r="AH363" s="951">
        <f>AG363-AF363</f>
        <v>-3715.61</v>
      </c>
      <c r="AI363" s="6490"/>
      <c r="AJ363" s="6522"/>
      <c r="AK363" s="950"/>
      <c r="AL363" s="950"/>
      <c r="AM363" s="950"/>
      <c r="AN363" s="950"/>
      <c r="AO363" s="950"/>
      <c r="AP363" s="950"/>
      <c r="AQ363" s="950"/>
      <c r="AR363" s="950"/>
      <c r="AS363" s="950"/>
      <c r="AT363" s="950"/>
      <c r="AU363" s="950"/>
      <c r="AV363" s="950"/>
      <c r="AW363" s="950"/>
      <c r="AX363" s="950"/>
      <c r="AY363" s="950"/>
      <c r="AZ363" s="950"/>
      <c r="BA363" s="950"/>
      <c r="BB363" s="950"/>
      <c r="BC363" s="950"/>
      <c r="BD363" s="950"/>
      <c r="BE363" s="950"/>
      <c r="BF363" s="950"/>
      <c r="BG363" s="950"/>
      <c r="BH363" s="950"/>
      <c r="BI363" s="950"/>
      <c r="BJ363" s="950"/>
      <c r="BK363" s="950"/>
      <c r="BL363" s="950"/>
      <c r="BM363" s="950"/>
      <c r="BN363" s="6521"/>
      <c r="BO363" s="6521"/>
      <c r="BP363" s="6521"/>
      <c r="BQ363" s="1297"/>
      <c r="BR363" s="1297"/>
      <c r="BS363" s="1072" t="s">
        <v>2266</v>
      </c>
      <c r="BT363" s="1072"/>
      <c r="BU363" s="1072"/>
      <c r="BV363" s="987"/>
      <c r="BW363" s="987"/>
    </row>
    <row s="6598" customFormat="1" customHeight="1" ht="39.421875">
      <c r="A364" s="706"/>
      <c r="B364" s="437"/>
      <c r="C364" s="706"/>
      <c r="D364" s="706"/>
      <c r="E364" s="713">
        <v>21</v>
      </c>
      <c r="F364" s="50" cm="1" t="str">
        <f t="array" ref="F364:F364">OFFSET(E364,-1,1)</f>
        <v>2</v>
      </c>
      <c r="G364" s="706"/>
      <c r="H364" s="374"/>
      <c r="I364" s="374" t="s">
        <v>2017</v>
      </c>
      <c r="J364" s="706"/>
      <c r="K364" s="374" t="s">
        <v>2017</v>
      </c>
      <c r="L364" s="993"/>
      <c r="M364" s="105"/>
      <c r="N364" s="706"/>
      <c r="O364" s="706"/>
      <c r="P364" s="706"/>
      <c r="Q364" s="154" t="s">
        <v>2470</v>
      </c>
      <c r="R364" s="157" t="s">
        <v>2470</v>
      </c>
      <c r="S364" s="706"/>
      <c r="T364" s="468" cm="1" t="str">
        <f t="array" ref="T364:T364">T363</f>
        <v>true</v>
      </c>
      <c r="U364" s="706"/>
      <c r="V364" s="706"/>
      <c r="W364" s="706"/>
      <c r="X364" s="1539"/>
      <c r="Y364" s="706"/>
      <c r="Z364" s="1529"/>
      <c r="AA364" s="706"/>
      <c r="AB364" s="214" t="s">
        <v>2018</v>
      </c>
      <c r="AC364" s="357" t="s">
        <v>2267</v>
      </c>
      <c r="AD364" s="207" t="s">
        <v>936</v>
      </c>
      <c r="AE364" s="777">
        <f>SUM(AE365:AE367)</f>
        <v>0</v>
      </c>
      <c r="AF364" s="777">
        <f>SUM(AF365:AF367)</f>
        <v>0</v>
      </c>
      <c r="AG364" s="777">
        <f>SUM(AG365:AG367)</f>
        <v>165353.93</v>
      </c>
      <c r="AH364" s="768">
        <f>AG364-AF364</f>
        <v>165353.93</v>
      </c>
      <c r="AI364" s="6497">
        <f>SUM(AI365:AI367)</f>
        <v>0</v>
      </c>
      <c r="AJ364" s="6522"/>
      <c r="AK364" s="771"/>
      <c r="AL364" s="771"/>
      <c r="AM364" s="771"/>
      <c r="AN364" s="771"/>
      <c r="AO364" s="771"/>
      <c r="AP364" s="771"/>
      <c r="AQ364" s="771"/>
      <c r="AR364" s="771"/>
      <c r="AS364" s="771"/>
      <c r="AT364" s="950"/>
      <c r="AU364" s="950"/>
      <c r="AV364" s="771"/>
      <c r="AW364" s="771"/>
      <c r="AX364" s="771"/>
      <c r="AY364" s="771"/>
      <c r="AZ364" s="771"/>
      <c r="BA364" s="771"/>
      <c r="BB364" s="771"/>
      <c r="BC364" s="771"/>
      <c r="BD364" s="771"/>
      <c r="BE364" s="771"/>
      <c r="BF364" s="771"/>
      <c r="BG364" s="771"/>
      <c r="BH364" s="771"/>
      <c r="BI364" s="771"/>
      <c r="BJ364" s="771"/>
      <c r="BK364" s="771"/>
      <c r="BL364" s="771"/>
      <c r="BM364" s="771"/>
      <c r="BN364" s="6523"/>
      <c r="BO364" s="6523"/>
      <c r="BP364" s="6523"/>
      <c r="BQ364" s="706"/>
      <c r="BR364" s="706"/>
      <c r="BS364" s="1078" t="s">
        <v>2268</v>
      </c>
      <c r="BT364" s="1078"/>
      <c r="BU364" s="1078"/>
      <c r="BV364" s="713"/>
      <c r="BW364" s="713"/>
    </row>
    <row s="1656" customFormat="1" customHeight="1" ht="14.25" hidden="1">
      <c r="A365" s="1297"/>
      <c r="B365" s="986"/>
      <c r="C365" s="1297"/>
      <c r="D365" s="1297"/>
      <c r="E365" s="709">
        <v>15</v>
      </c>
      <c r="F365" s="50" cm="1" t="str">
        <f t="array" ref="F365:F365">OFFSET(E365,-1,1)</f>
        <v>2</v>
      </c>
      <c r="G365" s="1297"/>
      <c r="H365" s="1297"/>
      <c r="I365" s="374" t="s">
        <v>2017</v>
      </c>
      <c r="J365" s="154" cm="1" t="str">
        <f t="array" ref="J365:J365">AC365</f>
        <v>0</v>
      </c>
      <c r="K365" s="374" t="s">
        <v>2017</v>
      </c>
      <c r="L365" s="988"/>
      <c r="M365" s="103"/>
      <c r="N365" s="1297"/>
      <c r="O365" s="1297"/>
      <c r="P365" s="1297"/>
      <c r="Q365" s="154" t="s">
        <v>2470</v>
      </c>
      <c r="R365" s="157" t="s">
        <v>2470</v>
      </c>
      <c r="S365" s="1297"/>
      <c r="T365" s="468">
        <f>AND(F365&gt;0,Y365&gt;0)</f>
        <v>0</v>
      </c>
      <c r="U365" s="1297"/>
      <c r="V365" s="1297"/>
      <c r="W365" s="154" t="s">
        <v>173</v>
      </c>
      <c r="X365" s="1539"/>
      <c r="Y365" s="154">
        <v>0</v>
      </c>
      <c r="Z365" s="1529"/>
      <c r="AA365" s="422" t="s">
        <v>174</v>
      </c>
      <c r="AB365" s="296" t="str">
        <f>"1.7."&amp;Y365</f>
        <v>1.7.0</v>
      </c>
      <c r="AC365" s="1262"/>
      <c r="AD365" s="296" t="s">
        <v>936</v>
      </c>
      <c r="AE365" s="1274"/>
      <c r="AF365" s="1274"/>
      <c r="AG365" s="1274"/>
      <c r="AH365" s="255">
        <f>AG365-AF365</f>
        <v>0</v>
      </c>
      <c r="AI365" s="6499"/>
      <c r="AJ365" s="1274"/>
      <c r="AK365" s="953"/>
      <c r="AL365" s="953"/>
      <c r="AM365" s="953"/>
      <c r="AN365" s="953"/>
      <c r="AO365" s="953"/>
      <c r="AP365" s="953"/>
      <c r="AQ365" s="953"/>
      <c r="AR365" s="953"/>
      <c r="AS365" s="953"/>
      <c r="AT365" s="950"/>
      <c r="AU365" s="953"/>
      <c r="AV365" s="953"/>
      <c r="AW365" s="953"/>
      <c r="AX365" s="953"/>
      <c r="AY365" s="953"/>
      <c r="AZ365" s="953"/>
      <c r="BA365" s="953"/>
      <c r="BB365" s="953"/>
      <c r="BC365" s="953"/>
      <c r="BD365" s="771"/>
      <c r="BE365" s="953"/>
      <c r="BF365" s="953"/>
      <c r="BG365" s="953"/>
      <c r="BH365" s="953"/>
      <c r="BI365" s="953"/>
      <c r="BJ365" s="953"/>
      <c r="BK365" s="953"/>
      <c r="BL365" s="953"/>
      <c r="BM365" s="953"/>
      <c r="BN365" s="1275"/>
      <c r="BO365" s="1275"/>
      <c r="BP365" s="1275"/>
      <c r="BQ365" s="1297"/>
      <c r="BR365" s="1297"/>
      <c r="BS365" s="1072" t="s">
        <v>2268</v>
      </c>
      <c r="BT365" s="1072" t="s">
        <v>2269</v>
      </c>
      <c r="BU365" s="1072" cm="1" t="str">
        <f t="array" ref="BU365:BU365">AC365</f>
        <v>0</v>
      </c>
      <c r="BV365" s="987"/>
      <c r="BW365" s="709" t="b">
        <v>1</v>
      </c>
    </row>
    <row s="1656" customFormat="1" customHeight="1" ht="128.671875">
      <c r="A366" s="1297"/>
      <c r="B366" s="986"/>
      <c r="C366" s="1297"/>
      <c r="D366" s="1297"/>
      <c r="E366" s="709">
        <v>15</v>
      </c>
      <c r="F366" s="50" cm="1" t="str">
        <f t="array" ref="F366:F366">OFFSET(E366,-1,1)</f>
        <v>2</v>
      </c>
      <c r="G366" s="1297"/>
      <c r="H366" s="1297"/>
      <c r="I366" s="374" t="s">
        <v>2017</v>
      </c>
      <c r="J366" s="154" cm="1" t="str">
        <f t="array" ref="J366:J366">AC366</f>
        <v>Операционные расходы, рассчитанные исходя из Базового уровня О.Р. (Концессионное соглашение № 1 /Л-К от  14.11.2019).</v>
      </c>
      <c r="K366" s="374" t="s">
        <v>2017</v>
      </c>
      <c r="L366" s="988"/>
      <c r="M366" s="103"/>
      <c r="N366" s="1297"/>
      <c r="O366" s="1297"/>
      <c r="P366" s="1297"/>
      <c r="Q366" s="154" t="s">
        <v>2470</v>
      </c>
      <c r="R366" s="157" t="s">
        <v>2470</v>
      </c>
      <c r="S366" s="1297"/>
      <c r="T366" s="468">
        <f>AND(F366&gt;0,Y366&gt;0)</f>
        <v>1</v>
      </c>
      <c r="U366" s="1297"/>
      <c r="V366" s="1297"/>
      <c r="W366" s="154"/>
      <c r="X366" s="1539"/>
      <c r="Y366" s="154" t="s">
        <v>290</v>
      </c>
      <c r="Z366" s="1529"/>
      <c r="AA366" s="422" t="s">
        <v>174</v>
      </c>
      <c r="AB366" s="296" t="str">
        <f>"1.7."&amp;Y366</f>
        <v>1.7.1</v>
      </c>
      <c r="AC366" s="6530" t="s">
        <v>2552</v>
      </c>
      <c r="AD366" s="296" t="s">
        <v>936</v>
      </c>
      <c r="AE366" s="6531"/>
      <c r="AF366" s="6531"/>
      <c r="AG366" s="6531">
        <v>165353.93</v>
      </c>
      <c r="AH366" s="255">
        <f>AG366-AF366</f>
        <v>165353.93</v>
      </c>
      <c r="AI366" s="6499"/>
      <c r="AJ366" s="6531"/>
      <c r="AK366" s="953"/>
      <c r="AL366" s="953"/>
      <c r="AM366" s="953"/>
      <c r="AN366" s="953"/>
      <c r="AO366" s="953"/>
      <c r="AP366" s="953"/>
      <c r="AQ366" s="953"/>
      <c r="AR366" s="953"/>
      <c r="AS366" s="953"/>
      <c r="AT366" s="950"/>
      <c r="AU366" s="953"/>
      <c r="AV366" s="953"/>
      <c r="AW366" s="953"/>
      <c r="AX366" s="953"/>
      <c r="AY366" s="953"/>
      <c r="AZ366" s="953"/>
      <c r="BA366" s="953"/>
      <c r="BB366" s="953"/>
      <c r="BC366" s="953"/>
      <c r="BD366" s="771"/>
      <c r="BE366" s="953"/>
      <c r="BF366" s="953"/>
      <c r="BG366" s="953"/>
      <c r="BH366" s="953"/>
      <c r="BI366" s="953"/>
      <c r="BJ366" s="953"/>
      <c r="BK366" s="953"/>
      <c r="BL366" s="953"/>
      <c r="BM366" s="953"/>
      <c r="BN366" s="6532" t="s">
        <v>2478</v>
      </c>
      <c r="BO366" s="6533" t="s">
        <v>2479</v>
      </c>
      <c r="BP366" s="6533" t="s">
        <v>1836</v>
      </c>
      <c r="BQ366" s="1297"/>
      <c r="BR366" s="1297"/>
      <c r="BS366" s="1072" t="s">
        <v>2268</v>
      </c>
      <c r="BT366" s="1072" t="s">
        <v>2269</v>
      </c>
      <c r="BU366" s="1072" cm="1" t="str">
        <f t="array" ref="BU366:BU366">AC366</f>
        <v>Операционные расходы, рассчитанные исходя из Базового уровня О.Р. (Концессионное соглашение № 1 /Л-К от  14.11.2019).</v>
      </c>
      <c r="BV366" s="987"/>
      <c r="BW366" s="709" t="b">
        <v>1</v>
      </c>
    </row>
    <row s="1656" customFormat="1" customHeight="1" ht="14.25">
      <c r="A367" s="1297"/>
      <c r="B367" s="986"/>
      <c r="C367" s="1297"/>
      <c r="D367" s="1297"/>
      <c r="E367" s="709">
        <v>15</v>
      </c>
      <c r="F367" s="50" cm="1" t="str">
        <f t="array" ref="F367:F367">OFFSET(E367,-1,1)</f>
        <v>2</v>
      </c>
      <c r="G367" s="360"/>
      <c r="H367" s="1297"/>
      <c r="I367" s="1297"/>
      <c r="J367" s="154" t="s">
        <v>2270</v>
      </c>
      <c r="K367" s="1297"/>
      <c r="L367" s="988"/>
      <c r="M367" s="103"/>
      <c r="N367" s="1297"/>
      <c r="O367" s="1297"/>
      <c r="P367" s="1297"/>
      <c r="Q367" s="1297"/>
      <c r="R367" s="1297"/>
      <c r="S367" s="1297"/>
      <c r="T367" s="468">
        <f>F367&gt;0</f>
        <v>1</v>
      </c>
      <c r="U367" s="1297"/>
      <c r="V367" s="1297"/>
      <c r="W367" s="708" t="s">
        <v>2471</v>
      </c>
      <c r="X367" s="1539"/>
      <c r="Y367" s="1297"/>
      <c r="Z367" s="1529"/>
      <c r="AA367" s="1297"/>
      <c r="AB367" s="782"/>
      <c r="AC367" s="256" t="s">
        <v>177</v>
      </c>
      <c r="AD367" s="783"/>
      <c r="AE367" s="783"/>
      <c r="AF367" s="783"/>
      <c r="AG367" s="783"/>
      <c r="AH367" s="783"/>
      <c r="AI367" s="783"/>
      <c r="AJ367" s="783"/>
      <c r="AK367" s="783"/>
      <c r="AL367" s="783"/>
      <c r="AM367" s="783"/>
      <c r="AN367" s="783"/>
      <c r="AO367" s="783"/>
      <c r="AP367" s="783"/>
      <c r="AQ367" s="783"/>
      <c r="AR367" s="783"/>
      <c r="AS367" s="783"/>
      <c r="AT367" s="783"/>
      <c r="AU367" s="783"/>
      <c r="AV367" s="783"/>
      <c r="AW367" s="783"/>
      <c r="AX367" s="783"/>
      <c r="AY367" s="783"/>
      <c r="AZ367" s="783"/>
      <c r="BA367" s="783"/>
      <c r="BB367" s="783"/>
      <c r="BC367" s="783"/>
      <c r="BD367" s="783"/>
      <c r="BE367" s="783"/>
      <c r="BF367" s="783"/>
      <c r="BG367" s="783"/>
      <c r="BH367" s="783"/>
      <c r="BI367" s="783"/>
      <c r="BJ367" s="783"/>
      <c r="BK367" s="783"/>
      <c r="BL367" s="783"/>
      <c r="BM367" s="783"/>
      <c r="BN367" s="783"/>
      <c r="BO367" s="783"/>
      <c r="BP367" s="784"/>
      <c r="BQ367" s="1297"/>
      <c r="BR367" s="1297"/>
      <c r="BS367" s="1072"/>
      <c r="BT367" s="1072"/>
      <c r="BU367" s="1072"/>
      <c r="BV367" s="709" t="s">
        <v>2269</v>
      </c>
      <c r="BW367" s="987"/>
    </row>
    <row s="6640" customFormat="1" customHeight="1" ht="68.80208333333333">
      <c r="A368" s="706"/>
      <c r="B368" s="437"/>
      <c r="C368" s="706"/>
      <c r="D368" s="706"/>
      <c r="E368" s="713">
        <v>21</v>
      </c>
      <c r="F368" s="50" cm="1" t="str">
        <f t="array" ref="F368:F368">OFFSET(E368,-1,1)</f>
        <v>2</v>
      </c>
      <c r="G368" s="706"/>
      <c r="H368" s="154"/>
      <c r="I368" s="154" t="s">
        <v>345</v>
      </c>
      <c r="J368" s="706"/>
      <c r="K368" s="154" t="s">
        <v>345</v>
      </c>
      <c r="L368" s="993"/>
      <c r="M368" s="105"/>
      <c r="N368" s="706"/>
      <c r="O368" s="706"/>
      <c r="P368" s="706"/>
      <c r="Q368" s="706"/>
      <c r="R368" s="706"/>
      <c r="S368" s="706"/>
      <c r="T368" s="468" cm="1" t="str">
        <f t="array" ref="T368:T368">T367</f>
        <v>true</v>
      </c>
      <c r="U368" s="706"/>
      <c r="V368" s="706"/>
      <c r="W368" s="706"/>
      <c r="X368" s="1539"/>
      <c r="Y368" s="706"/>
      <c r="Z368" s="1529"/>
      <c r="AA368" s="706"/>
      <c r="AB368" s="243" t="s">
        <v>299</v>
      </c>
      <c r="AC368" s="208" t="s">
        <v>2271</v>
      </c>
      <c r="AD368" s="230" t="s">
        <v>936</v>
      </c>
      <c r="AE368" s="209">
        <f>AE369+AE381+AE382++AE393+AE394+AE395+AE397+AE398+AE399+AE400+AE403</f>
        <v>3479.75</v>
      </c>
      <c r="AF368" s="209">
        <f>AF369+AF381+AF382++AF393+AF394+AF395+AF397+AF398+AF399+AF400+AF403</f>
        <v>3148.99</v>
      </c>
      <c r="AG368" s="209">
        <f>AG369+AG381+AG382++AG393+AG394+AG395+AG397+AG398+AG399+AG400+AG403</f>
        <v>3147.37</v>
      </c>
      <c r="AH368" s="768">
        <f>AG368-AF368</f>
        <v>-1.61999999999989</v>
      </c>
      <c r="AI368" s="777">
        <f>AI369+AI381+AI382++AI393+AI394+AI395+AI397+AI398+AI399+AI400+AI403</f>
        <v>3464.81</v>
      </c>
      <c r="AJ368" s="777">
        <f>AJ369+AJ381+AJ382++AJ393+AJ394+AJ395+AJ397+AJ398+AJ399+AJ400+AJ403</f>
        <v>9129.44</v>
      </c>
      <c r="AK368" s="777">
        <f>AK369+AK381+AK382++AK393+AK394+AK395+AK397+AK398+AK399+AK400+AK403</f>
        <v>0</v>
      </c>
      <c r="AL368" s="777">
        <f>AL369+AL381+AL382++AL393+AL394+AL395+AL397+AL398+AL399+AL400+AL403</f>
        <v>0</v>
      </c>
      <c r="AM368" s="777">
        <f>AM369+AM381+AM382++AM393+AM394+AM395+AM397+AM398+AM399+AM400+AM403</f>
        <v>0</v>
      </c>
      <c r="AN368" s="777">
        <f>AN369+AN381+AN382++AN393+AN394+AN395+AN397+AN398+AN399+AN400+AN403</f>
        <v>0</v>
      </c>
      <c r="AO368" s="777">
        <f>AO369+AO381+AO382++AO393+AO394+AO395+AO397+AO398+AO399+AO400+AO403</f>
        <v>0</v>
      </c>
      <c r="AP368" s="777">
        <f>AP369+AP381+AP382++AP393+AP394+AP395+AP397+AP398+AP399+AP400+AP403</f>
        <v>0</v>
      </c>
      <c r="AQ368" s="777">
        <f>AQ369+AQ381+AQ382++AQ393+AQ394+AQ395+AQ397+AQ398+AQ399+AQ400+AQ403</f>
        <v>0</v>
      </c>
      <c r="AR368" s="777">
        <f>AR369+AR381+AR382++AR393+AR394+AR395+AR397+AR398+AR399+AR400+AR403</f>
        <v>0</v>
      </c>
      <c r="AS368" s="777">
        <f>AS369+AS381+AS382++AS393+AS394+AS395+AS397+AS398+AS399+AS400+AS403</f>
        <v>0</v>
      </c>
      <c r="AT368" s="777">
        <f>AT369+AT381+AT382++AT393+AT394+AT395+AT397+AT398+AT399+AT400+AT403</f>
        <v>8583.08418</v>
      </c>
      <c r="AU368" s="777">
        <f>AU369+AU381+AU382++AU393+AU394+AU395+AU397+AU398+AU399+AU400+AU403</f>
        <v>0</v>
      </c>
      <c r="AV368" s="777">
        <f>AV369+AV381+AV382++AV393+AV394+AV395+AV397+AV398+AV399+AV400+AV403</f>
        <v>0</v>
      </c>
      <c r="AW368" s="777">
        <f>AW369+AW381+AW382++AW393+AW394+AW395+AW397+AW398+AW399+AW400+AW403</f>
        <v>0</v>
      </c>
      <c r="AX368" s="777">
        <f>AX369+AX381+AX382++AX393+AX394+AX395+AX397+AX398+AX399+AX400+AX403</f>
        <v>0</v>
      </c>
      <c r="AY368" s="777">
        <f>AY369+AY381+AY382++AY393+AY394+AY395+AY397+AY398+AY399+AY400+AY403</f>
        <v>0</v>
      </c>
      <c r="AZ368" s="777">
        <f>AZ369+AZ381+AZ382++AZ393+AZ394+AZ395+AZ397+AZ398+AZ399+AZ400+AZ403</f>
        <v>0</v>
      </c>
      <c r="BA368" s="777">
        <f>BA369+BA381+BA382++BA393+BA394+BA395+BA397+BA398+BA399+BA400+BA403</f>
        <v>0</v>
      </c>
      <c r="BB368" s="777">
        <f>BB369+BB381+BB382++BB393+BB394+BB395+BB397+BB398+BB399+BB400+BB403</f>
        <v>0</v>
      </c>
      <c r="BC368" s="777">
        <f>BC369+BC381+BC382++BC393+BC394+BC395+BC397+BC398+BC399+BC400+BC403</f>
        <v>0</v>
      </c>
      <c r="BD368" s="768">
        <f>IF(AI368=0,0,(AT368-AI368)/AI368*100)</f>
        <v>147.721640724888</v>
      </c>
      <c r="BE368" s="768">
        <f>IF(AT368=0,0,(AU368-AT368)/AT368*100)</f>
        <v>-100</v>
      </c>
      <c r="BF368" s="768">
        <f>IF(AU368=0,0,(AV368-AU368)/AU368*100)</f>
        <v>0</v>
      </c>
      <c r="BG368" s="768">
        <f>IF(AV368=0,0,(AW368-AV368)/AV368*100)</f>
        <v>0</v>
      </c>
      <c r="BH368" s="768">
        <f>IF(AW368=0,0,(AX368-AW368)/AW368*100)</f>
        <v>0</v>
      </c>
      <c r="BI368" s="768">
        <f>IF(AX368=0,0,(AY368-AX368)/AX368*100)</f>
        <v>0</v>
      </c>
      <c r="BJ368" s="768">
        <f>IF(AY368=0,0,(AZ368-AY368)/AY368*100)</f>
        <v>0</v>
      </c>
      <c r="BK368" s="768">
        <f>IF(AZ368=0,0,(BA368-AZ368)/AZ368*100)</f>
        <v>0</v>
      </c>
      <c r="BL368" s="768">
        <f>IF(BA368=0,0,(BB368-BA368)/BA368*100)</f>
        <v>0</v>
      </c>
      <c r="BM368" s="768">
        <f>IF(BB368=0,0,(BC368-BB368)/BB368*100)</f>
        <v>0</v>
      </c>
      <c r="BN368" s="6533"/>
      <c r="BO368" s="6533" t="s">
        <v>2481</v>
      </c>
      <c r="BP368" s="6533"/>
      <c r="BQ368" s="156"/>
      <c r="BR368" s="706"/>
      <c r="BS368" s="1078" t="s">
        <v>2272</v>
      </c>
      <c r="BT368" s="1078"/>
      <c r="BU368" s="1078"/>
      <c r="BV368" s="713"/>
      <c r="BW368" s="713"/>
    </row>
    <row s="6641" customFormat="1" customHeight="1" ht="47.96875">
      <c r="A369" s="706"/>
      <c r="B369" s="437"/>
      <c r="C369" s="706"/>
      <c r="D369" s="706"/>
      <c r="E369" s="713">
        <v>22.5</v>
      </c>
      <c r="F369" s="50" cm="1" t="str">
        <f t="array" ref="F369:F369">OFFSET(E369,-1,1)</f>
        <v>2</v>
      </c>
      <c r="G369" s="706"/>
      <c r="H369" s="154"/>
      <c r="I369" s="154" t="s">
        <v>584</v>
      </c>
      <c r="J369" s="706"/>
      <c r="K369" s="154" t="s">
        <v>584</v>
      </c>
      <c r="L369" s="993" t="s">
        <v>570</v>
      </c>
      <c r="M369" s="105"/>
      <c r="N369" s="706"/>
      <c r="O369" s="706"/>
      <c r="P369" s="706"/>
      <c r="Q369" s="706"/>
      <c r="R369" s="706"/>
      <c r="S369" s="706"/>
      <c r="T369" s="468" cm="1" t="str">
        <f t="array" ref="T369:T369">T368</f>
        <v>true</v>
      </c>
      <c r="U369" s="706"/>
      <c r="V369" s="706"/>
      <c r="W369" s="706"/>
      <c r="X369" s="1539"/>
      <c r="Y369" s="706"/>
      <c r="Z369" s="1529"/>
      <c r="AA369" s="706"/>
      <c r="AB369" s="214" t="s">
        <v>660</v>
      </c>
      <c r="AC369" s="357" t="s">
        <v>2273</v>
      </c>
      <c r="AD369" s="207" t="s">
        <v>936</v>
      </c>
      <c r="AE369" s="209">
        <f>SUM(AE370:AE380)</f>
        <v>1612.61</v>
      </c>
      <c r="AF369" s="209">
        <f>SUM(AF370:AF380)</f>
        <v>961.18</v>
      </c>
      <c r="AG369" s="209">
        <f>SUM(AG370:AG380)</f>
        <v>961.18</v>
      </c>
      <c r="AH369" s="768">
        <f>AG369-AF369</f>
        <v>0</v>
      </c>
      <c r="AI369" s="209">
        <f>SUM(AI370:AI380)</f>
        <v>1873.14</v>
      </c>
      <c r="AJ369" s="209">
        <f>SUM(AJ370:AJ380)</f>
        <v>1927.94</v>
      </c>
      <c r="AK369" s="209">
        <f>SUM(AK370:AK380)</f>
        <v>0</v>
      </c>
      <c r="AL369" s="209">
        <f>SUM(AL370:AL380)</f>
        <v>0</v>
      </c>
      <c r="AM369" s="209">
        <f>SUM(AM370:AM380)</f>
        <v>0</v>
      </c>
      <c r="AN369" s="209">
        <f>SUM(AN370:AN380)</f>
        <v>0</v>
      </c>
      <c r="AO369" s="209">
        <f>SUM(AO370:AO380)</f>
        <v>0</v>
      </c>
      <c r="AP369" s="209">
        <f>SUM(AP370:AP380)</f>
        <v>0</v>
      </c>
      <c r="AQ369" s="209">
        <f>SUM(AQ370:AQ380)</f>
        <v>0</v>
      </c>
      <c r="AR369" s="209">
        <f>SUM(AR370:AR380)</f>
        <v>0</v>
      </c>
      <c r="AS369" s="209">
        <f>SUM(AS370:AS380)</f>
        <v>0</v>
      </c>
      <c r="AT369" s="209">
        <f>SUM(AT370:AT380)</f>
        <v>1874.45418</v>
      </c>
      <c r="AU369" s="209">
        <f>SUM(AU370:AU380)</f>
        <v>0</v>
      </c>
      <c r="AV369" s="209">
        <f>SUM(AV370:AV380)</f>
        <v>0</v>
      </c>
      <c r="AW369" s="209">
        <f>SUM(AW370:AW380)</f>
        <v>0</v>
      </c>
      <c r="AX369" s="209">
        <f>SUM(AX370:AX380)</f>
        <v>0</v>
      </c>
      <c r="AY369" s="209">
        <f>SUM(AY370:AY380)</f>
        <v>0</v>
      </c>
      <c r="AZ369" s="209">
        <f>SUM(AZ370:AZ380)</f>
        <v>0</v>
      </c>
      <c r="BA369" s="209">
        <f>SUM(BA370:BA380)</f>
        <v>0</v>
      </c>
      <c r="BB369" s="209">
        <f>SUM(BB370:BB380)</f>
        <v>0</v>
      </c>
      <c r="BC369" s="209">
        <f>SUM(BC370:BC380)</f>
        <v>0</v>
      </c>
      <c r="BD369" s="768">
        <f>IF(AI369=0,0,(AT369-AI369)/AI369*100)</f>
        <v>0.070159197924333</v>
      </c>
      <c r="BE369" s="768">
        <f>IF(AT369=0,0,(AU369-AT369)/AT369*100)</f>
        <v>-100</v>
      </c>
      <c r="BF369" s="768">
        <f>IF(AU369=0,0,(AV369-AU369)/AU369*100)</f>
        <v>0</v>
      </c>
      <c r="BG369" s="768">
        <f>IF(AV369=0,0,(AW369-AV369)/AV369*100)</f>
        <v>0</v>
      </c>
      <c r="BH369" s="768">
        <f>IF(AW369=0,0,(AX369-AW369)/AW369*100)</f>
        <v>0</v>
      </c>
      <c r="BI369" s="768">
        <f>IF(AX369=0,0,(AY369-AX369)/AX369*100)</f>
        <v>0</v>
      </c>
      <c r="BJ369" s="768">
        <f>IF(AY369=0,0,(AZ369-AY369)/AY369*100)</f>
        <v>0</v>
      </c>
      <c r="BK369" s="768">
        <f>IF(AZ369=0,0,(BA369-AZ369)/AZ369*100)</f>
        <v>0</v>
      </c>
      <c r="BL369" s="768">
        <f>IF(BA369=0,0,(BB369-BA369)/BA369*100)</f>
        <v>0</v>
      </c>
      <c r="BM369" s="768">
        <f>IF(BB369=0,0,(BC369-BB369)/BB369*100)</f>
        <v>0</v>
      </c>
      <c r="BN369" s="6292"/>
      <c r="BO369" s="6292"/>
      <c r="BP369" s="6292"/>
      <c r="BQ369" s="706"/>
      <c r="BR369" s="706"/>
      <c r="BS369" s="1078" t="s">
        <v>2274</v>
      </c>
      <c r="BT369" s="1078"/>
      <c r="BU369" s="1078"/>
      <c r="BV369" s="713"/>
      <c r="BW369" s="713"/>
    </row>
    <row s="1656" customFormat="1" customHeight="1" ht="221.30208333333334">
      <c r="A370" s="1297"/>
      <c r="B370" s="986"/>
      <c r="C370" s="1297"/>
      <c r="D370" s="1297"/>
      <c r="E370" s="709">
        <v>15</v>
      </c>
      <c r="F370" s="50" cm="1" t="str">
        <f t="array" ref="F370:F370">OFFSET(E370,-1,1)</f>
        <v>2</v>
      </c>
      <c r="G370" s="154" t="s">
        <v>1287</v>
      </c>
      <c r="H370" s="1297"/>
      <c r="I370" s="154" t="s">
        <v>1787</v>
      </c>
      <c r="J370" s="1297"/>
      <c r="K370" s="154" t="s">
        <v>1787</v>
      </c>
      <c r="L370" s="988" t="s">
        <v>1553</v>
      </c>
      <c r="M370" s="103"/>
      <c r="N370" s="1297"/>
      <c r="O370" s="1297"/>
      <c r="P370" s="1297"/>
      <c r="Q370" s="1297"/>
      <c r="R370" s="1297"/>
      <c r="S370" s="1297"/>
      <c r="T370" s="468" cm="1" t="str">
        <f t="array" ref="T370:T370">T369</f>
        <v>true</v>
      </c>
      <c r="U370" s="1297"/>
      <c r="V370" s="1297"/>
      <c r="W370" s="1297"/>
      <c r="X370" s="1539"/>
      <c r="Y370" s="1297"/>
      <c r="Z370" s="1529"/>
      <c r="AA370" s="1297"/>
      <c r="AB370" s="295" t="s">
        <v>592</v>
      </c>
      <c r="AC370" s="772" t="s">
        <v>2275</v>
      </c>
      <c r="AD370" s="296" t="s">
        <v>936</v>
      </c>
      <c r="AE370" s="255">
        <f>_xlfn.SUMIFS(Покупка!AE$25:AE$327,Покупка!$F$25:$F$327,$F370,Покупка!$AC$25:$AC$327,$G370)</f>
        <v>1612.61</v>
      </c>
      <c r="AF370" s="255">
        <f>_xlfn.SUMIFS(Покупка!AF$25:AF$327,Покупка!$F$25:$F$327,$F370,Покупка!$AC$25:$AC$327,$G370)</f>
        <v>961.18</v>
      </c>
      <c r="AG370" s="255">
        <f>_xlfn.SUMIFS(Покупка!AG$25:AG$327,Покупка!$F$25:$F$327,$F370,Покупка!$AC$25:$AC$327,$G370)</f>
        <v>961.18</v>
      </c>
      <c r="AH370" s="951">
        <f>AG370-AF370</f>
        <v>0</v>
      </c>
      <c r="AI370" s="951">
        <f>_xlfn.SUMIFS(Покупка!AH$25:AH$327,Покупка!$F$25:$F$327,$F370,Покупка!$AC$25:$AC$327,$G370)</f>
        <v>1873.14</v>
      </c>
      <c r="AJ370" s="951">
        <f>_xlfn.SUMIFS(Покупка!AI$25:AI$327,Покупка!$F$25:$F$327,$F370,Покупка!$AC$25:$AC$327,$G370)</f>
        <v>1927.94</v>
      </c>
      <c r="AK370" s="951">
        <f>_xlfn.SUMIFS(Покупка!AJ$25:AJ$327,Покупка!$F$25:$F$327,$F370,Покупка!$AC$25:$AC$327,$G370)</f>
        <v>0</v>
      </c>
      <c r="AL370" s="951">
        <f>_xlfn.SUMIFS(Покупка!AK$25:AK$327,Покупка!$F$25:$F$327,$F370,Покупка!$AC$25:$AC$327,$G370)</f>
        <v>0</v>
      </c>
      <c r="AM370" s="951">
        <f>_xlfn.SUMIFS(Покупка!AL$25:AL$327,Покупка!$F$25:$F$327,$F370,Покупка!$AC$25:$AC$327,$G370)</f>
        <v>0</v>
      </c>
      <c r="AN370" s="951">
        <f>_xlfn.SUMIFS(Покупка!AM$25:AM$327,Покупка!$F$25:$F$327,$F370,Покупка!$AC$25:$AC$327,$G370)</f>
        <v>0</v>
      </c>
      <c r="AO370" s="951">
        <f>_xlfn.SUMIFS(Покупка!AN$25:AN$327,Покупка!$F$25:$F$327,$F370,Покупка!$AC$25:$AC$327,$G370)</f>
        <v>0</v>
      </c>
      <c r="AP370" s="951">
        <f>_xlfn.SUMIFS(Покупка!AO$25:AO$327,Покупка!$F$25:$F$327,$F370,Покупка!$AC$25:$AC$327,$G370)</f>
        <v>0</v>
      </c>
      <c r="AQ370" s="951">
        <f>_xlfn.SUMIFS(Покупка!AP$25:AP$327,Покупка!$F$25:$F$327,$F370,Покупка!$AC$25:$AC$327,$G370)</f>
        <v>0</v>
      </c>
      <c r="AR370" s="951">
        <f>_xlfn.SUMIFS(Покупка!AQ$25:AQ$327,Покупка!$F$25:$F$327,$F370,Покупка!$AC$25:$AC$327,$G370)</f>
        <v>0</v>
      </c>
      <c r="AS370" s="951">
        <f>_xlfn.SUMIFS(Покупка!AR$25:AR$327,Покупка!$F$25:$F$327,$F370,Покупка!$AC$25:$AC$327,$G370)</f>
        <v>0</v>
      </c>
      <c r="AT370" s="951">
        <f>_xlfn.SUMIFS(Покупка!AS$25:AS$327,Покупка!$F$25:$F$327,$F370,Покупка!$AC$25:$AC$327,$G370)</f>
        <v>1863.77491</v>
      </c>
      <c r="AU370" s="951">
        <f>_xlfn.SUMIFS(Покупка!AT$25:AT$327,Покупка!$F$25:$F$327,$F370,Покупка!$AC$25:$AC$327,$G370)</f>
        <v>0</v>
      </c>
      <c r="AV370" s="951">
        <f>_xlfn.SUMIFS(Покупка!AU$25:AU$327,Покупка!$F$25:$F$327,$F370,Покупка!$AC$25:$AC$327,$G370)</f>
        <v>0</v>
      </c>
      <c r="AW370" s="951">
        <f>_xlfn.SUMIFS(Покупка!AV$25:AV$327,Покупка!$F$25:$F$327,$F370,Покупка!$AC$25:$AC$327,$G370)</f>
        <v>0</v>
      </c>
      <c r="AX370" s="951">
        <f>_xlfn.SUMIFS(Покупка!AW$25:AW$327,Покупка!$F$25:$F$327,$F370,Покупка!$AC$25:$AC$327,$G370)</f>
        <v>0</v>
      </c>
      <c r="AY370" s="951">
        <f>_xlfn.SUMIFS(Покупка!AX$25:AX$327,Покупка!$F$25:$F$327,$F370,Покупка!$AC$25:$AC$327,$G370)</f>
        <v>0</v>
      </c>
      <c r="AZ370" s="951">
        <f>_xlfn.SUMIFS(Покупка!AY$25:AY$327,Покупка!$F$25:$F$327,$F370,Покупка!$AC$25:$AC$327,$G370)</f>
        <v>0</v>
      </c>
      <c r="BA370" s="951">
        <f>_xlfn.SUMIFS(Покупка!AZ$25:AZ$327,Покупка!$F$25:$F$327,$F370,Покупка!$AC$25:$AC$327,$G370)</f>
        <v>0</v>
      </c>
      <c r="BB370" s="951">
        <f>_xlfn.SUMIFS(Покупка!BA$25:BA$327,Покупка!$F$25:$F$327,$F370,Покупка!$AC$25:$AC$327,$G370)</f>
        <v>0</v>
      </c>
      <c r="BC370" s="951">
        <f>_xlfn.SUMIFS(Покупка!BB$25:BB$327,Покупка!$F$25:$F$327,$F370,Покупка!$AC$25:$AC$327,$G370)</f>
        <v>0</v>
      </c>
      <c r="BD370" s="951">
        <f>IF(AI370=0,0,(AT370-AI370)/AI370*100)</f>
        <v>-0.499967434361554</v>
      </c>
      <c r="BE370" s="951">
        <f>IF(AT370=0,0,(AU370-AT370)/AT370*100)</f>
        <v>-100</v>
      </c>
      <c r="BF370" s="951">
        <f>IF(AU370=0,0,(AV370-AU370)/AU370*100)</f>
        <v>0</v>
      </c>
      <c r="BG370" s="951">
        <f>IF(AV370=0,0,(AW370-AV370)/AV370*100)</f>
        <v>0</v>
      </c>
      <c r="BH370" s="951">
        <f>IF(AW370=0,0,(AX370-AW370)/AW370*100)</f>
        <v>0</v>
      </c>
      <c r="BI370" s="951">
        <f>IF(AX370=0,0,(AY370-AX370)/AX370*100)</f>
        <v>0</v>
      </c>
      <c r="BJ370" s="951">
        <f>IF(AY370=0,0,(AZ370-AY370)/AY370*100)</f>
        <v>0</v>
      </c>
      <c r="BK370" s="951">
        <f>IF(AZ370=0,0,(BA370-AZ370)/AZ370*100)</f>
        <v>0</v>
      </c>
      <c r="BL370" s="951">
        <f>IF(BA370=0,0,(BB370-BA370)/BA370*100)</f>
        <v>0</v>
      </c>
      <c r="BM370" s="951">
        <f>IF(BB370=0,0,(BC370-BB370)/BB370*100)</f>
        <v>0</v>
      </c>
      <c r="BN370" s="6533" t="s">
        <v>2553</v>
      </c>
      <c r="BO370" s="6525" t="s">
        <v>2483</v>
      </c>
      <c r="BP370" s="6533" t="s">
        <v>2554</v>
      </c>
      <c r="BQ370" s="1297"/>
      <c r="BR370" s="1297"/>
      <c r="BS370" s="1072" t="s">
        <v>1288</v>
      </c>
      <c r="BT370" s="1072"/>
      <c r="BU370" s="1072"/>
      <c r="BV370" s="987"/>
      <c r="BW370" s="987"/>
    </row>
    <row s="1656" customFormat="1" customHeight="1" ht="27.96875">
      <c r="A371" s="1297"/>
      <c r="B371" s="92"/>
      <c r="C371" s="103"/>
      <c r="D371" s="103"/>
      <c r="E371" s="626">
        <v>15</v>
      </c>
      <c r="F371" s="50" cm="1" t="str">
        <f t="array" ref="F371:F371">OFFSET(E371,-1,1)</f>
        <v>2</v>
      </c>
      <c r="G371" s="103" t="s">
        <v>1309</v>
      </c>
      <c r="H371" s="103"/>
      <c r="I371" s="103" t="s">
        <v>1791</v>
      </c>
      <c r="J371" s="103"/>
      <c r="K371" s="103" t="s">
        <v>1791</v>
      </c>
      <c r="L371" s="988" t="s">
        <v>1557</v>
      </c>
      <c r="M371" s="103"/>
      <c r="N371" s="103"/>
      <c r="O371" s="103"/>
      <c r="P371" s="103"/>
      <c r="Q371" s="103"/>
      <c r="R371" s="103"/>
      <c r="S371" s="103"/>
      <c r="T371" s="468" cm="1" t="str">
        <f t="array" ref="T371:T371">T370</f>
        <v>true</v>
      </c>
      <c r="U371" s="103"/>
      <c r="V371" s="103"/>
      <c r="W371" s="1297"/>
      <c r="X371" s="1539"/>
      <c r="Y371" s="1297"/>
      <c r="Z371" s="1529"/>
      <c r="AA371" s="1297"/>
      <c r="AB371" s="295" t="s">
        <v>2276</v>
      </c>
      <c r="AC371" s="772" t="s">
        <v>2277</v>
      </c>
      <c r="AD371" s="296" t="s">
        <v>936</v>
      </c>
      <c r="AE371" s="255">
        <f>_xlfn.SUMIFS(Покупка!AE$25:AE$327,Покупка!$F$25:$F$327,$F371,Покупка!$AC$25:$AC$327,$G371)</f>
        <v>0</v>
      </c>
      <c r="AF371" s="255">
        <f>_xlfn.SUMIFS(Покупка!AF$25:AF$327,Покупка!$F$25:$F$327,$F371,Покупка!$AC$25:$AC$327,$G371)</f>
        <v>0</v>
      </c>
      <c r="AG371" s="255">
        <f>_xlfn.SUMIFS(Покупка!AG$25:AG$327,Покупка!$F$25:$F$327,$F371,Покупка!$AC$25:$AC$327,$G371)</f>
        <v>0</v>
      </c>
      <c r="AH371" s="951">
        <f>AG371-AF371</f>
        <v>0</v>
      </c>
      <c r="AI371" s="951">
        <f>_xlfn.SUMIFS(Покупка!AH$25:AH$327,Покупка!$F$25:$F$327,$F371,Покупка!$AC$25:$AC$327,$G371)</f>
        <v>0</v>
      </c>
      <c r="AJ371" s="951">
        <f>_xlfn.SUMIFS(Покупка!AI$25:AI$327,Покупка!$F$25:$F$327,$F371,Покупка!$AC$25:$AC$327,$G371)</f>
        <v>0</v>
      </c>
      <c r="AK371" s="951">
        <f>_xlfn.SUMIFS(Покупка!AJ$25:AJ$327,Покупка!$F$25:$F$327,$F371,Покупка!$AC$25:$AC$327,$G371)</f>
        <v>0</v>
      </c>
      <c r="AL371" s="951">
        <f>_xlfn.SUMIFS(Покупка!AK$25:AK$327,Покупка!$F$25:$F$327,$F371,Покупка!$AC$25:$AC$327,$G371)</f>
        <v>0</v>
      </c>
      <c r="AM371" s="951">
        <f>_xlfn.SUMIFS(Покупка!AL$25:AL$327,Покупка!$F$25:$F$327,$F371,Покупка!$AC$25:$AC$327,$G371)</f>
        <v>0</v>
      </c>
      <c r="AN371" s="951">
        <f>_xlfn.SUMIFS(Покупка!AM$25:AM$327,Покупка!$F$25:$F$327,$F371,Покупка!$AC$25:$AC$327,$G371)</f>
        <v>0</v>
      </c>
      <c r="AO371" s="951">
        <f>_xlfn.SUMIFS(Покупка!AN$25:AN$327,Покупка!$F$25:$F$327,$F371,Покупка!$AC$25:$AC$327,$G371)</f>
        <v>0</v>
      </c>
      <c r="AP371" s="951">
        <f>_xlfn.SUMIFS(Покупка!AO$25:AO$327,Покупка!$F$25:$F$327,$F371,Покупка!$AC$25:$AC$327,$G371)</f>
        <v>0</v>
      </c>
      <c r="AQ371" s="951">
        <f>_xlfn.SUMIFS(Покупка!AP$25:AP$327,Покупка!$F$25:$F$327,$F371,Покупка!$AC$25:$AC$327,$G371)</f>
        <v>0</v>
      </c>
      <c r="AR371" s="951">
        <f>_xlfn.SUMIFS(Покупка!AQ$25:AQ$327,Покупка!$F$25:$F$327,$F371,Покупка!$AC$25:$AC$327,$G371)</f>
        <v>0</v>
      </c>
      <c r="AS371" s="951">
        <f>_xlfn.SUMIFS(Покупка!AR$25:AR$327,Покупка!$F$25:$F$327,$F371,Покупка!$AC$25:$AC$327,$G371)</f>
        <v>0</v>
      </c>
      <c r="AT371" s="951">
        <f>_xlfn.SUMIFS(Покупка!AS$25:AS$327,Покупка!$F$25:$F$327,$F371,Покупка!$AC$25:$AC$327,$G371)</f>
        <v>0</v>
      </c>
      <c r="AU371" s="951">
        <f>_xlfn.SUMIFS(Покупка!AT$25:AT$327,Покупка!$F$25:$F$327,$F371,Покупка!$AC$25:$AC$327,$G371)</f>
        <v>0</v>
      </c>
      <c r="AV371" s="951">
        <f>_xlfn.SUMIFS(Покупка!AU$25:AU$327,Покупка!$F$25:$F$327,$F371,Покупка!$AC$25:$AC$327,$G371)</f>
        <v>0</v>
      </c>
      <c r="AW371" s="951">
        <f>_xlfn.SUMIFS(Покупка!AV$25:AV$327,Покупка!$F$25:$F$327,$F371,Покупка!$AC$25:$AC$327,$G371)</f>
        <v>0</v>
      </c>
      <c r="AX371" s="951">
        <f>_xlfn.SUMIFS(Покупка!AW$25:AW$327,Покупка!$F$25:$F$327,$F371,Покупка!$AC$25:$AC$327,$G371)</f>
        <v>0</v>
      </c>
      <c r="AY371" s="951">
        <f>_xlfn.SUMIFS(Покупка!AX$25:AX$327,Покупка!$F$25:$F$327,$F371,Покупка!$AC$25:$AC$327,$G371)</f>
        <v>0</v>
      </c>
      <c r="AZ371" s="951">
        <f>_xlfn.SUMIFS(Покупка!AY$25:AY$327,Покупка!$F$25:$F$327,$F371,Покупка!$AC$25:$AC$327,$G371)</f>
        <v>0</v>
      </c>
      <c r="BA371" s="951">
        <f>_xlfn.SUMIFS(Покупка!AZ$25:AZ$327,Покупка!$F$25:$F$327,$F371,Покупка!$AC$25:$AC$327,$G371)</f>
        <v>0</v>
      </c>
      <c r="BB371" s="951">
        <f>_xlfn.SUMIFS(Покупка!BA$25:BA$327,Покупка!$F$25:$F$327,$F371,Покупка!$AC$25:$AC$327,$G371)</f>
        <v>0</v>
      </c>
      <c r="BC371" s="951">
        <f>_xlfn.SUMIFS(Покупка!BB$25:BB$327,Покупка!$F$25:$F$327,$F371,Покупка!$AC$25:$AC$327,$G371)</f>
        <v>0</v>
      </c>
      <c r="BD371" s="951">
        <f>IF(AI371=0,0,(AT371-AI371)/AI371*100)</f>
        <v>0</v>
      </c>
      <c r="BE371" s="951">
        <f>IF(AT371=0,0,(AU371-AT371)/AT371*100)</f>
        <v>0</v>
      </c>
      <c r="BF371" s="951">
        <f>IF(AU371=0,0,(AV371-AU371)/AU371*100)</f>
        <v>0</v>
      </c>
      <c r="BG371" s="951">
        <f>IF(AV371=0,0,(AW371-AV371)/AV371*100)</f>
        <v>0</v>
      </c>
      <c r="BH371" s="951">
        <f>IF(AW371=0,0,(AX371-AW371)/AW371*100)</f>
        <v>0</v>
      </c>
      <c r="BI371" s="951">
        <f>IF(AX371=0,0,(AY371-AX371)/AX371*100)</f>
        <v>0</v>
      </c>
      <c r="BJ371" s="951">
        <f>IF(AY371=0,0,(AZ371-AY371)/AY371*100)</f>
        <v>0</v>
      </c>
      <c r="BK371" s="951">
        <f>IF(AZ371=0,0,(BA371-AZ371)/AZ371*100)</f>
        <v>0</v>
      </c>
      <c r="BL371" s="951">
        <f>IF(BA371=0,0,(BB371-BA371)/BA371*100)</f>
        <v>0</v>
      </c>
      <c r="BM371" s="951">
        <f>IF(BB371=0,0,(BC371-BB371)/BB371*100)</f>
        <v>0</v>
      </c>
      <c r="BN371" s="6533"/>
      <c r="BO371" s="6525"/>
      <c r="BP371" s="6533"/>
      <c r="BQ371" s="1297"/>
      <c r="BR371" s="1297"/>
      <c r="BS371" s="1072" t="s">
        <v>1310</v>
      </c>
      <c r="BT371" s="1072"/>
      <c r="BU371" s="1072"/>
      <c r="BV371" s="987"/>
      <c r="BW371" s="987"/>
    </row>
    <row s="1656" customFormat="1" customHeight="1" ht="14.25">
      <c r="A372" s="1297"/>
      <c r="B372" s="92"/>
      <c r="C372" s="103"/>
      <c r="D372" s="103"/>
      <c r="E372" s="626">
        <v>15</v>
      </c>
      <c r="F372" s="50" cm="1" t="str">
        <f t="array" ref="F372:F372">OFFSET(E372,-1,1)</f>
        <v>2</v>
      </c>
      <c r="G372" s="103" t="s">
        <v>1261</v>
      </c>
      <c r="H372" s="103"/>
      <c r="I372" s="103" t="s">
        <v>1899</v>
      </c>
      <c r="J372" s="103"/>
      <c r="K372" s="103" t="s">
        <v>1899</v>
      </c>
      <c r="L372" s="988" t="s">
        <v>1736</v>
      </c>
      <c r="M372" s="103"/>
      <c r="N372" s="103"/>
      <c r="O372" s="103"/>
      <c r="P372" s="103"/>
      <c r="Q372" s="103"/>
      <c r="R372" s="103"/>
      <c r="S372" s="103"/>
      <c r="T372" s="468" cm="1" t="str">
        <f t="array" ref="T372:T372">T371</f>
        <v>true</v>
      </c>
      <c r="U372" s="103"/>
      <c r="V372" s="103"/>
      <c r="W372" s="1297"/>
      <c r="X372" s="1539"/>
      <c r="Y372" s="1297"/>
      <c r="Z372" s="1529"/>
      <c r="AA372" s="1297"/>
      <c r="AB372" s="295" t="s">
        <v>2278</v>
      </c>
      <c r="AC372" s="772" t="s">
        <v>2279</v>
      </c>
      <c r="AD372" s="296" t="s">
        <v>936</v>
      </c>
      <c r="AE372" s="255">
        <f>_xlfn.SUMIFS(Покупка!AE$25:AE$327,Покупка!$F$25:$F$327,$F372,Покупка!$AC$25:$AC$327,$G372)</f>
        <v>0</v>
      </c>
      <c r="AF372" s="255">
        <f>_xlfn.SUMIFS(Покупка!AF$25:AF$327,Покупка!$F$25:$F$327,$F372,Покупка!$AC$25:$AC$327,$G372)</f>
        <v>0</v>
      </c>
      <c r="AG372" s="255">
        <f>_xlfn.SUMIFS(Покупка!AG$25:AG$327,Покупка!$F$25:$F$327,$F372,Покупка!$AC$25:$AC$327,$G372)</f>
        <v>0</v>
      </c>
      <c r="AH372" s="951">
        <f>AG372-AF372</f>
        <v>0</v>
      </c>
      <c r="AI372" s="951">
        <f>_xlfn.SUMIFS(Покупка!AH$25:AH$327,Покупка!$F$25:$F$327,$F372,Покупка!$AC$25:$AC$327,$G372)</f>
        <v>0</v>
      </c>
      <c r="AJ372" s="951">
        <f>_xlfn.SUMIFS(Покупка!AI$25:AI$327,Покупка!$F$25:$F$327,$F372,Покупка!$AC$25:$AC$327,$G372)</f>
        <v>0</v>
      </c>
      <c r="AK372" s="951">
        <f>_xlfn.SUMIFS(Покупка!AJ$25:AJ$327,Покупка!$F$25:$F$327,$F372,Покупка!$AC$25:$AC$327,$G372)</f>
        <v>0</v>
      </c>
      <c r="AL372" s="951">
        <f>_xlfn.SUMIFS(Покупка!AK$25:AK$327,Покупка!$F$25:$F$327,$F372,Покупка!$AC$25:$AC$327,$G372)</f>
        <v>0</v>
      </c>
      <c r="AM372" s="951">
        <f>_xlfn.SUMIFS(Покупка!AL$25:AL$327,Покупка!$F$25:$F$327,$F372,Покупка!$AC$25:$AC$327,$G372)</f>
        <v>0</v>
      </c>
      <c r="AN372" s="951">
        <f>_xlfn.SUMIFS(Покупка!AM$25:AM$327,Покупка!$F$25:$F$327,$F372,Покупка!$AC$25:$AC$327,$G372)</f>
        <v>0</v>
      </c>
      <c r="AO372" s="951">
        <f>_xlfn.SUMIFS(Покупка!AN$25:AN$327,Покупка!$F$25:$F$327,$F372,Покупка!$AC$25:$AC$327,$G372)</f>
        <v>0</v>
      </c>
      <c r="AP372" s="951">
        <f>_xlfn.SUMIFS(Покупка!AO$25:AO$327,Покупка!$F$25:$F$327,$F372,Покупка!$AC$25:$AC$327,$G372)</f>
        <v>0</v>
      </c>
      <c r="AQ372" s="951">
        <f>_xlfn.SUMIFS(Покупка!AP$25:AP$327,Покупка!$F$25:$F$327,$F372,Покупка!$AC$25:$AC$327,$G372)</f>
        <v>0</v>
      </c>
      <c r="AR372" s="951">
        <f>_xlfn.SUMIFS(Покупка!AQ$25:AQ$327,Покупка!$F$25:$F$327,$F372,Покупка!$AC$25:$AC$327,$G372)</f>
        <v>0</v>
      </c>
      <c r="AS372" s="951">
        <f>_xlfn.SUMIFS(Покупка!AR$25:AR$327,Покупка!$F$25:$F$327,$F372,Покупка!$AC$25:$AC$327,$G372)</f>
        <v>0</v>
      </c>
      <c r="AT372" s="951">
        <f>_xlfn.SUMIFS(Покупка!AS$25:AS$327,Покупка!$F$25:$F$327,$F372,Покупка!$AC$25:$AC$327,$G372)</f>
        <v>0</v>
      </c>
      <c r="AU372" s="951">
        <f>_xlfn.SUMIFS(Покупка!AT$25:AT$327,Покупка!$F$25:$F$327,$F372,Покупка!$AC$25:$AC$327,$G372)</f>
        <v>0</v>
      </c>
      <c r="AV372" s="951">
        <f>_xlfn.SUMIFS(Покупка!AU$25:AU$327,Покупка!$F$25:$F$327,$F372,Покупка!$AC$25:$AC$327,$G372)</f>
        <v>0</v>
      </c>
      <c r="AW372" s="951">
        <f>_xlfn.SUMIFS(Покупка!AV$25:AV$327,Покупка!$F$25:$F$327,$F372,Покупка!$AC$25:$AC$327,$G372)</f>
        <v>0</v>
      </c>
      <c r="AX372" s="951">
        <f>_xlfn.SUMIFS(Покупка!AW$25:AW$327,Покупка!$F$25:$F$327,$F372,Покупка!$AC$25:$AC$327,$G372)</f>
        <v>0</v>
      </c>
      <c r="AY372" s="951">
        <f>_xlfn.SUMIFS(Покупка!AX$25:AX$327,Покупка!$F$25:$F$327,$F372,Покупка!$AC$25:$AC$327,$G372)</f>
        <v>0</v>
      </c>
      <c r="AZ372" s="951">
        <f>_xlfn.SUMIFS(Покупка!AY$25:AY$327,Покупка!$F$25:$F$327,$F372,Покупка!$AC$25:$AC$327,$G372)</f>
        <v>0</v>
      </c>
      <c r="BA372" s="951">
        <f>_xlfn.SUMIFS(Покупка!AZ$25:AZ$327,Покупка!$F$25:$F$327,$F372,Покупка!$AC$25:$AC$327,$G372)</f>
        <v>0</v>
      </c>
      <c r="BB372" s="951">
        <f>_xlfn.SUMIFS(Покупка!BA$25:BA$327,Покупка!$F$25:$F$327,$F372,Покупка!$AC$25:$AC$327,$G372)</f>
        <v>0</v>
      </c>
      <c r="BC372" s="951">
        <f>_xlfn.SUMIFS(Покупка!BB$25:BB$327,Покупка!$F$25:$F$327,$F372,Покупка!$AC$25:$AC$327,$G372)</f>
        <v>0</v>
      </c>
      <c r="BD372" s="951">
        <f>IF(AI372=0,0,(AT372-AI372)/AI372*100)</f>
        <v>0</v>
      </c>
      <c r="BE372" s="951">
        <f>IF(AT372=0,0,(AU372-AT372)/AT372*100)</f>
        <v>0</v>
      </c>
      <c r="BF372" s="951">
        <f>IF(AU372=0,0,(AV372-AU372)/AU372*100)</f>
        <v>0</v>
      </c>
      <c r="BG372" s="951">
        <f>IF(AV372=0,0,(AW372-AV372)/AV372*100)</f>
        <v>0</v>
      </c>
      <c r="BH372" s="951">
        <f>IF(AW372=0,0,(AX372-AW372)/AW372*100)</f>
        <v>0</v>
      </c>
      <c r="BI372" s="951">
        <f>IF(AX372=0,0,(AY372-AX372)/AX372*100)</f>
        <v>0</v>
      </c>
      <c r="BJ372" s="951">
        <f>IF(AY372=0,0,(AZ372-AY372)/AY372*100)</f>
        <v>0</v>
      </c>
      <c r="BK372" s="951">
        <f>IF(AZ372=0,0,(BA372-AZ372)/AZ372*100)</f>
        <v>0</v>
      </c>
      <c r="BL372" s="951">
        <f>IF(BA372=0,0,(BB372-BA372)/BA372*100)</f>
        <v>0</v>
      </c>
      <c r="BM372" s="951">
        <f>IF(BB372=0,0,(BC372-BB372)/BB372*100)</f>
        <v>0</v>
      </c>
      <c r="BN372" s="6533"/>
      <c r="BO372" s="6525" t="str">
        <f>IF(_xlfn.IFERROR(INDEX(Покупка!$K$26:$L$327,MATCH($F372&amp;"2komm",Покупка!$K$26:$K$327,0),2),"")=0,"",_xlfn.IFERROR(INDEX(Покупка!$K$26:$L$327,MATCH($F372&amp;"2komm",Покупка!$K$26:$K$327,0),2),""))</f>
        <v/>
      </c>
      <c r="BP372" s="6533"/>
      <c r="BQ372" s="1297"/>
      <c r="BR372" s="1297"/>
      <c r="BS372" s="1072" t="s">
        <v>2280</v>
      </c>
      <c r="BT372" s="1072"/>
      <c r="BU372" s="1072"/>
      <c r="BV372" s="987"/>
      <c r="BW372" s="987"/>
    </row>
    <row s="1656" customFormat="1" customHeight="1" ht="14.25">
      <c r="A373" s="1297"/>
      <c r="B373" s="92"/>
      <c r="C373" s="103"/>
      <c r="D373" s="103"/>
      <c r="E373" s="626">
        <v>15</v>
      </c>
      <c r="F373" s="50" cm="1" t="str">
        <f t="array" ref="F373:F373">OFFSET(E373,-1,1)</f>
        <v>2</v>
      </c>
      <c r="G373" s="103" t="s">
        <v>1248</v>
      </c>
      <c r="H373" s="103"/>
      <c r="I373" s="103" t="s">
        <v>1901</v>
      </c>
      <c r="J373" s="103"/>
      <c r="K373" s="103" t="s">
        <v>1901</v>
      </c>
      <c r="L373" s="988" t="s">
        <v>1731</v>
      </c>
      <c r="M373" s="103"/>
      <c r="N373" s="103"/>
      <c r="O373" s="103"/>
      <c r="P373" s="103"/>
      <c r="Q373" s="103"/>
      <c r="R373" s="103"/>
      <c r="S373" s="103"/>
      <c r="T373" s="468" cm="1" t="str">
        <f t="array" ref="T373:T373">T372</f>
        <v>true</v>
      </c>
      <c r="U373" s="103"/>
      <c r="V373" s="103"/>
      <c r="W373" s="1297"/>
      <c r="X373" s="1539"/>
      <c r="Y373" s="1297"/>
      <c r="Z373" s="1529"/>
      <c r="AA373" s="1297"/>
      <c r="AB373" s="295" t="s">
        <v>2281</v>
      </c>
      <c r="AC373" s="772" t="s">
        <v>2282</v>
      </c>
      <c r="AD373" s="296" t="s">
        <v>936</v>
      </c>
      <c r="AE373" s="255">
        <f>_xlfn.SUMIFS(Покупка!AE$25:AE$327,Покупка!$F$25:$F$327,$F373,Покупка!$AC$25:$AC$327,$G373)</f>
        <v>0</v>
      </c>
      <c r="AF373" s="255">
        <f>_xlfn.SUMIFS(Покупка!AF$25:AF$327,Покупка!$F$25:$F$327,$F373,Покупка!$AC$25:$AC$327,$G373)</f>
        <v>0</v>
      </c>
      <c r="AG373" s="255">
        <f>_xlfn.SUMIFS(Покупка!AG$25:AG$327,Покупка!$F$25:$F$327,$F373,Покупка!$AC$25:$AC$327,$G373)</f>
        <v>0</v>
      </c>
      <c r="AH373" s="951">
        <f>AG373-AF373</f>
        <v>0</v>
      </c>
      <c r="AI373" s="951">
        <f>_xlfn.SUMIFS(Покупка!AH$25:AH$327,Покупка!$F$25:$F$327,$F373,Покупка!$AC$25:$AC$327,$G373)</f>
        <v>0</v>
      </c>
      <c r="AJ373" s="951">
        <f>_xlfn.SUMIFS(Покупка!AI$25:AI$327,Покупка!$F$25:$F$327,$F373,Покупка!$AC$25:$AC$327,$G373)</f>
        <v>0</v>
      </c>
      <c r="AK373" s="951">
        <f>_xlfn.SUMIFS(Покупка!AJ$25:AJ$327,Покупка!$F$25:$F$327,$F373,Покупка!$AC$25:$AC$327,$G373)</f>
        <v>0</v>
      </c>
      <c r="AL373" s="951">
        <f>_xlfn.SUMIFS(Покупка!AK$25:AK$327,Покупка!$F$25:$F$327,$F373,Покупка!$AC$25:$AC$327,$G373)</f>
        <v>0</v>
      </c>
      <c r="AM373" s="951">
        <f>_xlfn.SUMIFS(Покупка!AL$25:AL$327,Покупка!$F$25:$F$327,$F373,Покупка!$AC$25:$AC$327,$G373)</f>
        <v>0</v>
      </c>
      <c r="AN373" s="951">
        <f>_xlfn.SUMIFS(Покупка!AM$25:AM$327,Покупка!$F$25:$F$327,$F373,Покупка!$AC$25:$AC$327,$G373)</f>
        <v>0</v>
      </c>
      <c r="AO373" s="951">
        <f>_xlfn.SUMIFS(Покупка!AN$25:AN$327,Покупка!$F$25:$F$327,$F373,Покупка!$AC$25:$AC$327,$G373)</f>
        <v>0</v>
      </c>
      <c r="AP373" s="951">
        <f>_xlfn.SUMIFS(Покупка!AO$25:AO$327,Покупка!$F$25:$F$327,$F373,Покупка!$AC$25:$AC$327,$G373)</f>
        <v>0</v>
      </c>
      <c r="AQ373" s="951">
        <f>_xlfn.SUMIFS(Покупка!AP$25:AP$327,Покупка!$F$25:$F$327,$F373,Покупка!$AC$25:$AC$327,$G373)</f>
        <v>0</v>
      </c>
      <c r="AR373" s="951">
        <f>_xlfn.SUMIFS(Покупка!AQ$25:AQ$327,Покупка!$F$25:$F$327,$F373,Покупка!$AC$25:$AC$327,$G373)</f>
        <v>0</v>
      </c>
      <c r="AS373" s="951">
        <f>_xlfn.SUMIFS(Покупка!AR$25:AR$327,Покупка!$F$25:$F$327,$F373,Покупка!$AC$25:$AC$327,$G373)</f>
        <v>0</v>
      </c>
      <c r="AT373" s="951">
        <f>_xlfn.SUMIFS(Покупка!AS$25:AS$327,Покупка!$F$25:$F$327,$F373,Покупка!$AC$25:$AC$327,$G373)</f>
        <v>0</v>
      </c>
      <c r="AU373" s="951">
        <f>_xlfn.SUMIFS(Покупка!AT$25:AT$327,Покупка!$F$25:$F$327,$F373,Покупка!$AC$25:$AC$327,$G373)</f>
        <v>0</v>
      </c>
      <c r="AV373" s="951">
        <f>_xlfn.SUMIFS(Покупка!AU$25:AU$327,Покупка!$F$25:$F$327,$F373,Покупка!$AC$25:$AC$327,$G373)</f>
        <v>0</v>
      </c>
      <c r="AW373" s="951">
        <f>_xlfn.SUMIFS(Покупка!AV$25:AV$327,Покупка!$F$25:$F$327,$F373,Покупка!$AC$25:$AC$327,$G373)</f>
        <v>0</v>
      </c>
      <c r="AX373" s="951">
        <f>_xlfn.SUMIFS(Покупка!AW$25:AW$327,Покупка!$F$25:$F$327,$F373,Покупка!$AC$25:$AC$327,$G373)</f>
        <v>0</v>
      </c>
      <c r="AY373" s="951">
        <f>_xlfn.SUMIFS(Покупка!AX$25:AX$327,Покупка!$F$25:$F$327,$F373,Покупка!$AC$25:$AC$327,$G373)</f>
        <v>0</v>
      </c>
      <c r="AZ373" s="951">
        <f>_xlfn.SUMIFS(Покупка!AY$25:AY$327,Покупка!$F$25:$F$327,$F373,Покупка!$AC$25:$AC$327,$G373)</f>
        <v>0</v>
      </c>
      <c r="BA373" s="951">
        <f>_xlfn.SUMIFS(Покупка!AZ$25:AZ$327,Покупка!$F$25:$F$327,$F373,Покупка!$AC$25:$AC$327,$G373)</f>
        <v>0</v>
      </c>
      <c r="BB373" s="951">
        <f>_xlfn.SUMIFS(Покупка!BA$25:BA$327,Покупка!$F$25:$F$327,$F373,Покупка!$AC$25:$AC$327,$G373)</f>
        <v>0</v>
      </c>
      <c r="BC373" s="951">
        <f>_xlfn.SUMIFS(Покупка!BB$25:BB$327,Покупка!$F$25:$F$327,$F373,Покупка!$AC$25:$AC$327,$G373)</f>
        <v>0</v>
      </c>
      <c r="BD373" s="951">
        <f>IF(AI373=0,0,(AT373-AI373)/AI373*100)</f>
        <v>0</v>
      </c>
      <c r="BE373" s="951">
        <f>IF(AT373=0,0,(AU373-AT373)/AT373*100)</f>
        <v>0</v>
      </c>
      <c r="BF373" s="951">
        <f>IF(AU373=0,0,(AV373-AU373)/AU373*100)</f>
        <v>0</v>
      </c>
      <c r="BG373" s="951">
        <f>IF(AV373=0,0,(AW373-AV373)/AV373*100)</f>
        <v>0</v>
      </c>
      <c r="BH373" s="951">
        <f>IF(AW373=0,0,(AX373-AW373)/AW373*100)</f>
        <v>0</v>
      </c>
      <c r="BI373" s="951">
        <f>IF(AX373=0,0,(AY373-AX373)/AX373*100)</f>
        <v>0</v>
      </c>
      <c r="BJ373" s="951">
        <f>IF(AY373=0,0,(AZ373-AY373)/AY373*100)</f>
        <v>0</v>
      </c>
      <c r="BK373" s="951">
        <f>IF(AZ373=0,0,(BA373-AZ373)/AZ373*100)</f>
        <v>0</v>
      </c>
      <c r="BL373" s="951">
        <f>IF(BA373=0,0,(BB373-BA373)/BA373*100)</f>
        <v>0</v>
      </c>
      <c r="BM373" s="951">
        <f>IF(BB373=0,0,(BC373-BB373)/BB373*100)</f>
        <v>0</v>
      </c>
      <c r="BN373" s="6533"/>
      <c r="BO373" s="6525" t="str">
        <f>IF(_xlfn.IFERROR(INDEX(Покупка!$K$26:$L$327,MATCH($F373&amp;"1komm",Покупка!$K$26:$K$327,0),2),"")=0,"",_xlfn.IFERROR(INDEX(Покупка!$K$26:$L$327,MATCH($F373&amp;"1komm",Покупка!$K$26:$K$327,0),2),""))</f>
        <v/>
      </c>
      <c r="BP373" s="6533"/>
      <c r="BQ373" s="1297"/>
      <c r="BR373" s="1297"/>
      <c r="BS373" s="1072" t="s">
        <v>2283</v>
      </c>
      <c r="BT373" s="1072"/>
      <c r="BU373" s="1072"/>
      <c r="BV373" s="987"/>
      <c r="BW373" s="987"/>
    </row>
    <row s="1656" customFormat="1" customHeight="1" ht="14.25">
      <c r="A374" s="1297"/>
      <c r="B374" s="92"/>
      <c r="C374" s="103"/>
      <c r="D374" s="103"/>
      <c r="E374" s="626">
        <v>15</v>
      </c>
      <c r="F374" s="50" cm="1" t="str">
        <f t="array" ref="F374:F374">OFFSET(E374,-1,1)</f>
        <v>2</v>
      </c>
      <c r="G374" s="103" t="s">
        <v>1315</v>
      </c>
      <c r="H374" s="103"/>
      <c r="I374" s="103" t="s">
        <v>1904</v>
      </c>
      <c r="J374" s="103"/>
      <c r="K374" s="103" t="s">
        <v>1904</v>
      </c>
      <c r="L374" s="988"/>
      <c r="M374" s="103"/>
      <c r="N374" s="103"/>
      <c r="O374" s="103"/>
      <c r="P374" s="103"/>
      <c r="Q374" s="103"/>
      <c r="R374" s="103"/>
      <c r="S374" s="103"/>
      <c r="T374" s="468" cm="1" t="str">
        <f t="array" ref="T374:T374">T373</f>
        <v>true</v>
      </c>
      <c r="U374" s="103"/>
      <c r="V374" s="103"/>
      <c r="W374" s="1297"/>
      <c r="X374" s="1539"/>
      <c r="Y374" s="1297"/>
      <c r="Z374" s="1529"/>
      <c r="AA374" s="1297"/>
      <c r="AB374" s="295" t="s">
        <v>2284</v>
      </c>
      <c r="AC374" s="772" t="s">
        <v>2285</v>
      </c>
      <c r="AD374" s="296" t="s">
        <v>936</v>
      </c>
      <c r="AE374" s="255">
        <f>_xlfn.SUMIFS(Покупка!AE$25:AE$327,Покупка!$F$25:$F$327,$F374,Покупка!$AC$25:$AC$327,$G374)</f>
        <v>0</v>
      </c>
      <c r="AF374" s="255">
        <f>_xlfn.SUMIFS(Покупка!AF$25:AF$327,Покупка!$F$25:$F$327,$F374,Покупка!$AC$25:$AC$327,$G374)</f>
        <v>0</v>
      </c>
      <c r="AG374" s="255">
        <f>_xlfn.SUMIFS(Покупка!AG$25:AG$327,Покупка!$F$25:$F$327,$F374,Покупка!$AC$25:$AC$327,$G374)</f>
        <v>0</v>
      </c>
      <c r="AH374" s="951">
        <f>AG374-AF374</f>
        <v>0</v>
      </c>
      <c r="AI374" s="951">
        <f>_xlfn.SUMIFS(Покупка!AH$25:AH$327,Покупка!$F$25:$F$327,$F374,Покупка!$AC$25:$AC$327,$G374)</f>
        <v>0</v>
      </c>
      <c r="AJ374" s="951">
        <f>_xlfn.SUMIFS(Покупка!AI$25:AI$327,Покупка!$F$25:$F$327,$F374,Покупка!$AC$25:$AC$327,$G374)</f>
        <v>0</v>
      </c>
      <c r="AK374" s="951">
        <f>_xlfn.SUMIFS(Покупка!AJ$25:AJ$327,Покупка!$F$25:$F$327,$F374,Покупка!$AC$25:$AC$327,$G374)</f>
        <v>0</v>
      </c>
      <c r="AL374" s="951">
        <f>_xlfn.SUMIFS(Покупка!AK$25:AK$327,Покупка!$F$25:$F$327,$F374,Покупка!$AC$25:$AC$327,$G374)</f>
        <v>0</v>
      </c>
      <c r="AM374" s="951">
        <f>_xlfn.SUMIFS(Покупка!AL$25:AL$327,Покупка!$F$25:$F$327,$F374,Покупка!$AC$25:$AC$327,$G374)</f>
        <v>0</v>
      </c>
      <c r="AN374" s="951">
        <f>_xlfn.SUMIFS(Покупка!AM$25:AM$327,Покупка!$F$25:$F$327,$F374,Покупка!$AC$25:$AC$327,$G374)</f>
        <v>0</v>
      </c>
      <c r="AO374" s="951">
        <f>_xlfn.SUMIFS(Покупка!AN$25:AN$327,Покупка!$F$25:$F$327,$F374,Покупка!$AC$25:$AC$327,$G374)</f>
        <v>0</v>
      </c>
      <c r="AP374" s="951">
        <f>_xlfn.SUMIFS(Покупка!AO$25:AO$327,Покупка!$F$25:$F$327,$F374,Покупка!$AC$25:$AC$327,$G374)</f>
        <v>0</v>
      </c>
      <c r="AQ374" s="951">
        <f>_xlfn.SUMIFS(Покупка!AP$25:AP$327,Покупка!$F$25:$F$327,$F374,Покупка!$AC$25:$AC$327,$G374)</f>
        <v>0</v>
      </c>
      <c r="AR374" s="951">
        <f>_xlfn.SUMIFS(Покупка!AQ$25:AQ$327,Покупка!$F$25:$F$327,$F374,Покупка!$AC$25:$AC$327,$G374)</f>
        <v>0</v>
      </c>
      <c r="AS374" s="951">
        <f>_xlfn.SUMIFS(Покупка!AR$25:AR$327,Покупка!$F$25:$F$327,$F374,Покупка!$AC$25:$AC$327,$G374)</f>
        <v>0</v>
      </c>
      <c r="AT374" s="951">
        <f>_xlfn.SUMIFS(Покупка!AS$25:AS$327,Покупка!$F$25:$F$327,$F374,Покупка!$AC$25:$AC$327,$G374)</f>
        <v>0</v>
      </c>
      <c r="AU374" s="951">
        <f>_xlfn.SUMIFS(Покупка!AT$25:AT$327,Покупка!$F$25:$F$327,$F374,Покупка!$AC$25:$AC$327,$G374)</f>
        <v>0</v>
      </c>
      <c r="AV374" s="951">
        <f>_xlfn.SUMIFS(Покупка!AU$25:AU$327,Покупка!$F$25:$F$327,$F374,Покупка!$AC$25:$AC$327,$G374)</f>
        <v>0</v>
      </c>
      <c r="AW374" s="951">
        <f>_xlfn.SUMIFS(Покупка!AV$25:AV$327,Покупка!$F$25:$F$327,$F374,Покупка!$AC$25:$AC$327,$G374)</f>
        <v>0</v>
      </c>
      <c r="AX374" s="951">
        <f>_xlfn.SUMIFS(Покупка!AW$25:AW$327,Покупка!$F$25:$F$327,$F374,Покупка!$AC$25:$AC$327,$G374)</f>
        <v>0</v>
      </c>
      <c r="AY374" s="951">
        <f>_xlfn.SUMIFS(Покупка!AX$25:AX$327,Покупка!$F$25:$F$327,$F374,Покупка!$AC$25:$AC$327,$G374)</f>
        <v>0</v>
      </c>
      <c r="AZ374" s="951">
        <f>_xlfn.SUMIFS(Покупка!AY$25:AY$327,Покупка!$F$25:$F$327,$F374,Покупка!$AC$25:$AC$327,$G374)</f>
        <v>0</v>
      </c>
      <c r="BA374" s="951">
        <f>_xlfn.SUMIFS(Покупка!AZ$25:AZ$327,Покупка!$F$25:$F$327,$F374,Покупка!$AC$25:$AC$327,$G374)</f>
        <v>0</v>
      </c>
      <c r="BB374" s="951">
        <f>_xlfn.SUMIFS(Покупка!BA$25:BA$327,Покупка!$F$25:$F$327,$F374,Покупка!$AC$25:$AC$327,$G374)</f>
        <v>0</v>
      </c>
      <c r="BC374" s="951">
        <f>_xlfn.SUMIFS(Покупка!BB$25:BB$327,Покупка!$F$25:$F$327,$F374,Покупка!$AC$25:$AC$327,$G374)</f>
        <v>0</v>
      </c>
      <c r="BD374" s="951">
        <f>IF(AI374=0,0,(AT374-AI374)/AI374*100)</f>
        <v>0</v>
      </c>
      <c r="BE374" s="951">
        <f>IF(AT374=0,0,(AU374-AT374)/AT374*100)</f>
        <v>0</v>
      </c>
      <c r="BF374" s="951">
        <f>IF(AU374=0,0,(AV374-AU374)/AU374*100)</f>
        <v>0</v>
      </c>
      <c r="BG374" s="951">
        <f>IF(AV374=0,0,(AW374-AV374)/AV374*100)</f>
        <v>0</v>
      </c>
      <c r="BH374" s="951">
        <f>IF(AW374=0,0,(AX374-AW374)/AW374*100)</f>
        <v>0</v>
      </c>
      <c r="BI374" s="951">
        <f>IF(AX374=0,0,(AY374-AX374)/AX374*100)</f>
        <v>0</v>
      </c>
      <c r="BJ374" s="951">
        <f>IF(AY374=0,0,(AZ374-AY374)/AY374*100)</f>
        <v>0</v>
      </c>
      <c r="BK374" s="951">
        <f>IF(AZ374=0,0,(BA374-AZ374)/AZ374*100)</f>
        <v>0</v>
      </c>
      <c r="BL374" s="951">
        <f>IF(BA374=0,0,(BB374-BA374)/BA374*100)</f>
        <v>0</v>
      </c>
      <c r="BM374" s="951">
        <f>IF(BB374=0,0,(BC374-BB374)/BB374*100)</f>
        <v>0</v>
      </c>
      <c r="BN374" s="6533"/>
      <c r="BO374" s="6525"/>
      <c r="BP374" s="6533"/>
      <c r="BQ374" s="1297"/>
      <c r="BR374" s="1297"/>
      <c r="BS374" s="1072" t="s">
        <v>1316</v>
      </c>
      <c r="BT374" s="1072"/>
      <c r="BU374" s="1072"/>
      <c r="BV374" s="987"/>
      <c r="BW374" s="987"/>
    </row>
    <row s="1656" customFormat="1" customHeight="1" ht="14.25">
      <c r="A375" s="1297"/>
      <c r="B375" s="92"/>
      <c r="C375" s="103"/>
      <c r="D375" s="103"/>
      <c r="E375" s="626">
        <v>15</v>
      </c>
      <c r="F375" s="50" cm="1" t="str">
        <f t="array" ref="F375:F375">OFFSET(E375,-1,1)</f>
        <v>2</v>
      </c>
      <c r="G375" s="103"/>
      <c r="H375" s="103"/>
      <c r="I375" s="103" t="s">
        <v>2286</v>
      </c>
      <c r="J375" s="103"/>
      <c r="K375" s="103" t="s">
        <v>2286</v>
      </c>
      <c r="L375" s="988"/>
      <c r="M375" s="103"/>
      <c r="N375" s="103"/>
      <c r="O375" s="103"/>
      <c r="P375" s="103"/>
      <c r="Q375" s="103"/>
      <c r="R375" s="103"/>
      <c r="S375" s="103"/>
      <c r="T375" s="468" cm="1" t="str">
        <f t="array" ref="T375:T375">T374</f>
        <v>true</v>
      </c>
      <c r="U375" s="103"/>
      <c r="V375" s="103"/>
      <c r="W375" s="1297"/>
      <c r="X375" s="1539"/>
      <c r="Y375" s="1297"/>
      <c r="Z375" s="1529"/>
      <c r="AA375" s="1297"/>
      <c r="AB375" s="295" t="s">
        <v>2287</v>
      </c>
      <c r="AC375" s="772" t="s">
        <v>2288</v>
      </c>
      <c r="AD375" s="296" t="s">
        <v>936</v>
      </c>
      <c r="AE375" s="6531"/>
      <c r="AF375" s="6531"/>
      <c r="AG375" s="6531"/>
      <c r="AH375" s="951">
        <f>AG375-AF375</f>
        <v>0</v>
      </c>
      <c r="AI375" s="6524"/>
      <c r="AJ375" s="6524"/>
      <c r="AK375" s="1272"/>
      <c r="AL375" s="1272"/>
      <c r="AM375" s="1272"/>
      <c r="AN375" s="1272"/>
      <c r="AO375" s="1272"/>
      <c r="AP375" s="1272"/>
      <c r="AQ375" s="1272"/>
      <c r="AR375" s="1272"/>
      <c r="AS375" s="1272"/>
      <c r="AT375" s="6524"/>
      <c r="AU375" s="1272"/>
      <c r="AV375" s="1272"/>
      <c r="AW375" s="1272"/>
      <c r="AX375" s="1272"/>
      <c r="AY375" s="1272"/>
      <c r="AZ375" s="1272"/>
      <c r="BA375" s="1272"/>
      <c r="BB375" s="1272"/>
      <c r="BC375" s="1272"/>
      <c r="BD375" s="951">
        <f>IF(AI375=0,0,(AT375-AI375)/AI375*100)</f>
        <v>0</v>
      </c>
      <c r="BE375" s="951">
        <f>IF(AT375=0,0,(AU375-AT375)/AT375*100)</f>
        <v>0</v>
      </c>
      <c r="BF375" s="951">
        <f>IF(AU375=0,0,(AV375-AU375)/AU375*100)</f>
        <v>0</v>
      </c>
      <c r="BG375" s="951">
        <f>IF(AV375=0,0,(AW375-AV375)/AV375*100)</f>
        <v>0</v>
      </c>
      <c r="BH375" s="951">
        <f>IF(AW375=0,0,(AX375-AW375)/AW375*100)</f>
        <v>0</v>
      </c>
      <c r="BI375" s="951">
        <f>IF(AX375=0,0,(AY375-AX375)/AX375*100)</f>
        <v>0</v>
      </c>
      <c r="BJ375" s="951">
        <f>IF(AY375=0,0,(AZ375-AY375)/AY375*100)</f>
        <v>0</v>
      </c>
      <c r="BK375" s="951">
        <f>IF(AZ375=0,0,(BA375-AZ375)/AZ375*100)</f>
        <v>0</v>
      </c>
      <c r="BL375" s="951">
        <f>IF(BA375=0,0,(BB375-BA375)/BA375*100)</f>
        <v>0</v>
      </c>
      <c r="BM375" s="951">
        <f>IF(BB375=0,0,(BC375-BB375)/BB375*100)</f>
        <v>0</v>
      </c>
      <c r="BN375" s="6533"/>
      <c r="BO375" s="6533"/>
      <c r="BP375" s="6533"/>
      <c r="BQ375" s="1297"/>
      <c r="BR375" s="1297"/>
      <c r="BS375" s="1072" t="s">
        <v>2289</v>
      </c>
      <c r="BT375" s="1072"/>
      <c r="BU375" s="1072"/>
      <c r="BV375" s="987"/>
      <c r="BW375" s="987"/>
    </row>
    <row s="1656" customFormat="1" customHeight="1" ht="14.25">
      <c r="A376" s="1297"/>
      <c r="B376" s="92"/>
      <c r="C376" s="103"/>
      <c r="D376" s="103"/>
      <c r="E376" s="626">
        <v>15</v>
      </c>
      <c r="F376" s="50" cm="1" t="str">
        <f t="array" ref="F376:F376">OFFSET(E376,-1,1)</f>
        <v>2</v>
      </c>
      <c r="G376" s="103"/>
      <c r="H376" s="103"/>
      <c r="I376" s="103" t="s">
        <v>2290</v>
      </c>
      <c r="J376" s="103"/>
      <c r="K376" s="103" t="s">
        <v>2290</v>
      </c>
      <c r="L376" s="988"/>
      <c r="M376" s="103"/>
      <c r="N376" s="103"/>
      <c r="O376" s="103"/>
      <c r="P376" s="103"/>
      <c r="Q376" s="103"/>
      <c r="R376" s="103"/>
      <c r="S376" s="103"/>
      <c r="T376" s="468" cm="1" t="str">
        <f t="array" ref="T376:T376">T375</f>
        <v>true</v>
      </c>
      <c r="U376" s="103"/>
      <c r="V376" s="103"/>
      <c r="W376" s="1297"/>
      <c r="X376" s="1539"/>
      <c r="Y376" s="1297"/>
      <c r="Z376" s="1529"/>
      <c r="AA376" s="1297"/>
      <c r="AB376" s="295" t="s">
        <v>2291</v>
      </c>
      <c r="AC376" s="772" t="s">
        <v>2292</v>
      </c>
      <c r="AD376" s="296" t="s">
        <v>936</v>
      </c>
      <c r="AE376" s="6531"/>
      <c r="AF376" s="6531"/>
      <c r="AG376" s="6531"/>
      <c r="AH376" s="951">
        <f>AG376-AF376</f>
        <v>0</v>
      </c>
      <c r="AI376" s="6524"/>
      <c r="AJ376" s="6524"/>
      <c r="AK376" s="1272"/>
      <c r="AL376" s="1272"/>
      <c r="AM376" s="1272"/>
      <c r="AN376" s="1272"/>
      <c r="AO376" s="1272"/>
      <c r="AP376" s="1272"/>
      <c r="AQ376" s="1272"/>
      <c r="AR376" s="1272"/>
      <c r="AS376" s="1272"/>
      <c r="AT376" s="6524"/>
      <c r="AU376" s="1272"/>
      <c r="AV376" s="1272"/>
      <c r="AW376" s="1272"/>
      <c r="AX376" s="1272"/>
      <c r="AY376" s="1272"/>
      <c r="AZ376" s="1272"/>
      <c r="BA376" s="1272"/>
      <c r="BB376" s="1272"/>
      <c r="BC376" s="1272"/>
      <c r="BD376" s="951">
        <f>IF(AI376=0,0,(AT376-AI376)/AI376*100)</f>
        <v>0</v>
      </c>
      <c r="BE376" s="951">
        <f>IF(AT376=0,0,(AU376-AT376)/AT376*100)</f>
        <v>0</v>
      </c>
      <c r="BF376" s="951">
        <f>IF(AU376=0,0,(AV376-AU376)/AU376*100)</f>
        <v>0</v>
      </c>
      <c r="BG376" s="951">
        <f>IF(AV376=0,0,(AW376-AV376)/AV376*100)</f>
        <v>0</v>
      </c>
      <c r="BH376" s="951">
        <f>IF(AW376=0,0,(AX376-AW376)/AW376*100)</f>
        <v>0</v>
      </c>
      <c r="BI376" s="951">
        <f>IF(AX376=0,0,(AY376-AX376)/AX376*100)</f>
        <v>0</v>
      </c>
      <c r="BJ376" s="951">
        <f>IF(AY376=0,0,(AZ376-AY376)/AY376*100)</f>
        <v>0</v>
      </c>
      <c r="BK376" s="951">
        <f>IF(AZ376=0,0,(BA376-AZ376)/AZ376*100)</f>
        <v>0</v>
      </c>
      <c r="BL376" s="951">
        <f>IF(BA376=0,0,(BB376-BA376)/BA376*100)</f>
        <v>0</v>
      </c>
      <c r="BM376" s="951">
        <f>IF(BB376=0,0,(BC376-BB376)/BB376*100)</f>
        <v>0</v>
      </c>
      <c r="BN376" s="6533"/>
      <c r="BO376" s="6533"/>
      <c r="BP376" s="6533"/>
      <c r="BQ376" s="1297"/>
      <c r="BR376" s="1297"/>
      <c r="BS376" s="1072" t="s">
        <v>2293</v>
      </c>
      <c r="BT376" s="1072"/>
      <c r="BU376" s="1072"/>
      <c r="BV376" s="987"/>
      <c r="BW376" s="987"/>
    </row>
    <row s="1656" customFormat="1" customHeight="1" ht="14.25">
      <c r="A377" s="1297"/>
      <c r="B377" s="92"/>
      <c r="C377" s="103"/>
      <c r="D377" s="103"/>
      <c r="E377" s="626">
        <v>15</v>
      </c>
      <c r="F377" s="50" cm="1" t="str">
        <f t="array" ref="F377:F377">OFFSET(E377,-1,1)</f>
        <v>2</v>
      </c>
      <c r="G377" s="103" t="s">
        <v>1267</v>
      </c>
      <c r="H377" s="103"/>
      <c r="I377" s="103" t="s">
        <v>2294</v>
      </c>
      <c r="J377" s="103"/>
      <c r="K377" s="103" t="s">
        <v>2294</v>
      </c>
      <c r="L377" s="988" t="s">
        <v>1745</v>
      </c>
      <c r="M377" s="103"/>
      <c r="N377" s="103"/>
      <c r="O377" s="103"/>
      <c r="P377" s="103"/>
      <c r="Q377" s="103"/>
      <c r="R377" s="103"/>
      <c r="S377" s="103"/>
      <c r="T377" s="468" cm="1" t="str">
        <f t="array" ref="T377:T377">T376</f>
        <v>true</v>
      </c>
      <c r="U377" s="103"/>
      <c r="V377" s="103"/>
      <c r="W377" s="1297"/>
      <c r="X377" s="1539"/>
      <c r="Y377" s="1297"/>
      <c r="Z377" s="1529"/>
      <c r="AA377" s="1297"/>
      <c r="AB377" s="295" t="s">
        <v>2295</v>
      </c>
      <c r="AC377" s="772" t="s">
        <v>2296</v>
      </c>
      <c r="AD377" s="296" t="s">
        <v>936</v>
      </c>
      <c r="AE377" s="255">
        <f>_xlfn.SUMIFS(Покупка!AE$25:AE$327,Покупка!$F$25:$F$327,$F377,Покупка!$AC$25:$AC$327,$G377)</f>
        <v>0</v>
      </c>
      <c r="AF377" s="255">
        <f>_xlfn.SUMIFS(Покупка!AF$25:AF$327,Покупка!$F$25:$F$327,$F377,Покупка!$AC$25:$AC$327,$G377)</f>
        <v>0</v>
      </c>
      <c r="AG377" s="255">
        <f>_xlfn.SUMIFS(Покупка!AG$25:AG$327,Покупка!$F$25:$F$327,$F377,Покупка!$AC$25:$AC$327,$G377)</f>
        <v>0</v>
      </c>
      <c r="AH377" s="951">
        <f>AG377-AF377</f>
        <v>0</v>
      </c>
      <c r="AI377" s="951">
        <f>_xlfn.SUMIFS(Покупка!AH$25:AH$327,Покупка!$F$25:$F$327,$F377,Покупка!$AC$25:$AC$327,$G377)</f>
        <v>0</v>
      </c>
      <c r="AJ377" s="951">
        <f>_xlfn.SUMIFS(Покупка!AI$25:AI$327,Покупка!$F$25:$F$327,$F377,Покупка!$AC$25:$AC$327,$G377)</f>
        <v>0</v>
      </c>
      <c r="AK377" s="951">
        <f>_xlfn.SUMIFS(Покупка!AJ$25:AJ$327,Покупка!$F$25:$F$327,$F377,Покупка!$AC$25:$AC$327,$G377)</f>
        <v>0</v>
      </c>
      <c r="AL377" s="951">
        <f>_xlfn.SUMIFS(Покупка!AK$25:AK$327,Покупка!$F$25:$F$327,$F377,Покупка!$AC$25:$AC$327,$G377)</f>
        <v>0</v>
      </c>
      <c r="AM377" s="951">
        <f>_xlfn.SUMIFS(Покупка!AL$25:AL$327,Покупка!$F$25:$F$327,$F377,Покупка!$AC$25:$AC$327,$G377)</f>
        <v>0</v>
      </c>
      <c r="AN377" s="951">
        <f>_xlfn.SUMIFS(Покупка!AM$25:AM$327,Покупка!$F$25:$F$327,$F377,Покупка!$AC$25:$AC$327,$G377)</f>
        <v>0</v>
      </c>
      <c r="AO377" s="951">
        <f>_xlfn.SUMIFS(Покупка!AN$25:AN$327,Покупка!$F$25:$F$327,$F377,Покупка!$AC$25:$AC$327,$G377)</f>
        <v>0</v>
      </c>
      <c r="AP377" s="951">
        <f>_xlfn.SUMIFS(Покупка!AO$25:AO$327,Покупка!$F$25:$F$327,$F377,Покупка!$AC$25:$AC$327,$G377)</f>
        <v>0</v>
      </c>
      <c r="AQ377" s="951">
        <f>_xlfn.SUMIFS(Покупка!AP$25:AP$327,Покупка!$F$25:$F$327,$F377,Покупка!$AC$25:$AC$327,$G377)</f>
        <v>0</v>
      </c>
      <c r="AR377" s="951">
        <f>_xlfn.SUMIFS(Покупка!AQ$25:AQ$327,Покупка!$F$25:$F$327,$F377,Покупка!$AC$25:$AC$327,$G377)</f>
        <v>0</v>
      </c>
      <c r="AS377" s="951">
        <f>_xlfn.SUMIFS(Покупка!AR$25:AR$327,Покупка!$F$25:$F$327,$F377,Покупка!$AC$25:$AC$327,$G377)</f>
        <v>0</v>
      </c>
      <c r="AT377" s="951">
        <f>_xlfn.SUMIFS(Покупка!AS$25:AS$327,Покупка!$F$25:$F$327,$F377,Покупка!$AC$25:$AC$327,$G377)</f>
        <v>0</v>
      </c>
      <c r="AU377" s="951">
        <f>_xlfn.SUMIFS(Покупка!AT$25:AT$327,Покупка!$F$25:$F$327,$F377,Покупка!$AC$25:$AC$327,$G377)</f>
        <v>0</v>
      </c>
      <c r="AV377" s="951">
        <f>_xlfn.SUMIFS(Покупка!AU$25:AU$327,Покупка!$F$25:$F$327,$F377,Покупка!$AC$25:$AC$327,$G377)</f>
        <v>0</v>
      </c>
      <c r="AW377" s="951">
        <f>_xlfn.SUMIFS(Покупка!AV$25:AV$327,Покупка!$F$25:$F$327,$F377,Покупка!$AC$25:$AC$327,$G377)</f>
        <v>0</v>
      </c>
      <c r="AX377" s="951">
        <f>_xlfn.SUMIFS(Покупка!AW$25:AW$327,Покупка!$F$25:$F$327,$F377,Покупка!$AC$25:$AC$327,$G377)</f>
        <v>0</v>
      </c>
      <c r="AY377" s="951">
        <f>_xlfn.SUMIFS(Покупка!AX$25:AX$327,Покупка!$F$25:$F$327,$F377,Покупка!$AC$25:$AC$327,$G377)</f>
        <v>0</v>
      </c>
      <c r="AZ377" s="951">
        <f>_xlfn.SUMIFS(Покупка!AY$25:AY$327,Покупка!$F$25:$F$327,$F377,Покупка!$AC$25:$AC$327,$G377)</f>
        <v>0</v>
      </c>
      <c r="BA377" s="951">
        <f>_xlfn.SUMIFS(Покупка!AZ$25:AZ$327,Покупка!$F$25:$F$327,$F377,Покупка!$AC$25:$AC$327,$G377)</f>
        <v>0</v>
      </c>
      <c r="BB377" s="951">
        <f>_xlfn.SUMIFS(Покупка!BA$25:BA$327,Покупка!$F$25:$F$327,$F377,Покупка!$AC$25:$AC$327,$G377)</f>
        <v>0</v>
      </c>
      <c r="BC377" s="951">
        <f>_xlfn.SUMIFS(Покупка!BB$25:BB$327,Покупка!$F$25:$F$327,$F377,Покупка!$AC$25:$AC$327,$G377)</f>
        <v>0</v>
      </c>
      <c r="BD377" s="951">
        <f>IF(AI377=0,0,(AT377-AI377)/AI377*100)</f>
        <v>0</v>
      </c>
      <c r="BE377" s="951">
        <f>IF(AT377=0,0,(AU377-AT377)/AT377*100)</f>
        <v>0</v>
      </c>
      <c r="BF377" s="951">
        <f>IF(AU377=0,0,(AV377-AU377)/AU377*100)</f>
        <v>0</v>
      </c>
      <c r="BG377" s="951">
        <f>IF(AV377=0,0,(AW377-AV377)/AV377*100)</f>
        <v>0</v>
      </c>
      <c r="BH377" s="951">
        <f>IF(AW377=0,0,(AX377-AW377)/AW377*100)</f>
        <v>0</v>
      </c>
      <c r="BI377" s="951">
        <f>IF(AX377=0,0,(AY377-AX377)/AX377*100)</f>
        <v>0</v>
      </c>
      <c r="BJ377" s="951">
        <f>IF(AY377=0,0,(AZ377-AY377)/AY377*100)</f>
        <v>0</v>
      </c>
      <c r="BK377" s="951">
        <f>IF(AZ377=0,0,(BA377-AZ377)/AZ377*100)</f>
        <v>0</v>
      </c>
      <c r="BL377" s="951">
        <f>IF(BA377=0,0,(BB377-BA377)/BA377*100)</f>
        <v>0</v>
      </c>
      <c r="BM377" s="951">
        <f>IF(BB377=0,0,(BC377-BB377)/BB377*100)</f>
        <v>0</v>
      </c>
      <c r="BN377" s="6533"/>
      <c r="BO377" s="6525" t="str">
        <f>IF(_xlfn.IFERROR(INDEX(Покупка!$K$26:$L$327,MATCH($F377&amp;"3komm",Покупка!$K$26:$K$327,0),2),"")=0,"",_xlfn.IFERROR(INDEX(Покупка!$K$26:$L$327,MATCH($F377&amp;"3komm",Покупка!$K$26:$K$327,0),2),""))</f>
        <v/>
      </c>
      <c r="BP377" s="6533"/>
      <c r="BQ377" s="1297"/>
      <c r="BR377" s="1297"/>
      <c r="BS377" s="1072" t="s">
        <v>1997</v>
      </c>
      <c r="BT377" s="1072"/>
      <c r="BU377" s="1072"/>
      <c r="BV377" s="987"/>
      <c r="BW377" s="987"/>
    </row>
    <row s="1656" customFormat="1" customHeight="1" ht="14.25">
      <c r="A378" s="1297"/>
      <c r="B378" s="92"/>
      <c r="C378" s="103"/>
      <c r="D378" s="103"/>
      <c r="E378" s="626">
        <v>15</v>
      </c>
      <c r="F378" s="50" cm="1" t="str">
        <f t="array" ref="F378:F378">OFFSET(E378,-1,1)</f>
        <v>2</v>
      </c>
      <c r="G378" s="103" t="s">
        <v>1273</v>
      </c>
      <c r="H378" s="103"/>
      <c r="I378" s="103" t="s">
        <v>2297</v>
      </c>
      <c r="J378" s="103"/>
      <c r="K378" s="103" t="s">
        <v>2297</v>
      </c>
      <c r="L378" s="988" t="s">
        <v>1750</v>
      </c>
      <c r="M378" s="103"/>
      <c r="N378" s="103"/>
      <c r="O378" s="103"/>
      <c r="P378" s="103"/>
      <c r="Q378" s="103"/>
      <c r="R378" s="103"/>
      <c r="S378" s="103"/>
      <c r="T378" s="468" cm="1" t="str">
        <f t="array" ref="T378:T378">T377</f>
        <v>true</v>
      </c>
      <c r="U378" s="103"/>
      <c r="V378" s="103"/>
      <c r="W378" s="1297"/>
      <c r="X378" s="1539"/>
      <c r="Y378" s="1297"/>
      <c r="Z378" s="1529"/>
      <c r="AA378" s="1297"/>
      <c r="AB378" s="295" t="s">
        <v>2298</v>
      </c>
      <c r="AC378" s="772" t="s">
        <v>2299</v>
      </c>
      <c r="AD378" s="296" t="s">
        <v>936</v>
      </c>
      <c r="AE378" s="255">
        <f>_xlfn.SUMIFS(Покупка!AE$25:AE$327,Покупка!$F$25:$F$327,$F378,Покупка!$AC$25:$AC$327,$G378)</f>
        <v>0</v>
      </c>
      <c r="AF378" s="255">
        <f>_xlfn.SUMIFS(Покупка!AF$25:AF$327,Покупка!$F$25:$F$327,$F378,Покупка!$AC$25:$AC$327,$G378)</f>
        <v>0</v>
      </c>
      <c r="AG378" s="255">
        <f>_xlfn.SUMIFS(Покупка!AG$25:AG$327,Покупка!$F$25:$F$327,$F378,Покупка!$AC$25:$AC$327,$G378)</f>
        <v>0</v>
      </c>
      <c r="AH378" s="951">
        <f>AG378-AF378</f>
        <v>0</v>
      </c>
      <c r="AI378" s="951">
        <f>_xlfn.SUMIFS(Покупка!AH$25:AH$327,Покупка!$F$25:$F$327,$F378,Покупка!$AC$25:$AC$327,$G378)</f>
        <v>0</v>
      </c>
      <c r="AJ378" s="951">
        <f>_xlfn.SUMIFS(Покупка!AI$25:AI$327,Покупка!$F$25:$F$327,$F378,Покупка!$AC$25:$AC$327,$G378)</f>
        <v>0</v>
      </c>
      <c r="AK378" s="951">
        <f>_xlfn.SUMIFS(Покупка!AJ$25:AJ$327,Покупка!$F$25:$F$327,$F378,Покупка!$AC$25:$AC$327,$G378)</f>
        <v>0</v>
      </c>
      <c r="AL378" s="951">
        <f>_xlfn.SUMIFS(Покупка!AK$25:AK$327,Покупка!$F$25:$F$327,$F378,Покупка!$AC$25:$AC$327,$G378)</f>
        <v>0</v>
      </c>
      <c r="AM378" s="951">
        <f>_xlfn.SUMIFS(Покупка!AL$25:AL$327,Покупка!$F$25:$F$327,$F378,Покупка!$AC$25:$AC$327,$G378)</f>
        <v>0</v>
      </c>
      <c r="AN378" s="951">
        <f>_xlfn.SUMIFS(Покупка!AM$25:AM$327,Покупка!$F$25:$F$327,$F378,Покупка!$AC$25:$AC$327,$G378)</f>
        <v>0</v>
      </c>
      <c r="AO378" s="951">
        <f>_xlfn.SUMIFS(Покупка!AN$25:AN$327,Покупка!$F$25:$F$327,$F378,Покупка!$AC$25:$AC$327,$G378)</f>
        <v>0</v>
      </c>
      <c r="AP378" s="951">
        <f>_xlfn.SUMIFS(Покупка!AO$25:AO$327,Покупка!$F$25:$F$327,$F378,Покупка!$AC$25:$AC$327,$G378)</f>
        <v>0</v>
      </c>
      <c r="AQ378" s="951">
        <f>_xlfn.SUMIFS(Покупка!AP$25:AP$327,Покупка!$F$25:$F$327,$F378,Покупка!$AC$25:$AC$327,$G378)</f>
        <v>0</v>
      </c>
      <c r="AR378" s="951">
        <f>_xlfn.SUMIFS(Покупка!AQ$25:AQ$327,Покупка!$F$25:$F$327,$F378,Покупка!$AC$25:$AC$327,$G378)</f>
        <v>0</v>
      </c>
      <c r="AS378" s="951">
        <f>_xlfn.SUMIFS(Покупка!AR$25:AR$327,Покупка!$F$25:$F$327,$F378,Покупка!$AC$25:$AC$327,$G378)</f>
        <v>0</v>
      </c>
      <c r="AT378" s="951">
        <f>_xlfn.SUMIFS(Покупка!AS$25:AS$327,Покупка!$F$25:$F$327,$F378,Покупка!$AC$25:$AC$327,$G378)</f>
        <v>0</v>
      </c>
      <c r="AU378" s="951">
        <f>_xlfn.SUMIFS(Покупка!AT$25:AT$327,Покупка!$F$25:$F$327,$F378,Покупка!$AC$25:$AC$327,$G378)</f>
        <v>0</v>
      </c>
      <c r="AV378" s="951">
        <f>_xlfn.SUMIFS(Покупка!AU$25:AU$327,Покупка!$F$25:$F$327,$F378,Покупка!$AC$25:$AC$327,$G378)</f>
        <v>0</v>
      </c>
      <c r="AW378" s="951">
        <f>_xlfn.SUMIFS(Покупка!AV$25:AV$327,Покупка!$F$25:$F$327,$F378,Покупка!$AC$25:$AC$327,$G378)</f>
        <v>0</v>
      </c>
      <c r="AX378" s="951">
        <f>_xlfn.SUMIFS(Покупка!AW$25:AW$327,Покупка!$F$25:$F$327,$F378,Покупка!$AC$25:$AC$327,$G378)</f>
        <v>0</v>
      </c>
      <c r="AY378" s="951">
        <f>_xlfn.SUMIFS(Покупка!AX$25:AX$327,Покупка!$F$25:$F$327,$F378,Покупка!$AC$25:$AC$327,$G378)</f>
        <v>0</v>
      </c>
      <c r="AZ378" s="951">
        <f>_xlfn.SUMIFS(Покупка!AY$25:AY$327,Покупка!$F$25:$F$327,$F378,Покупка!$AC$25:$AC$327,$G378)</f>
        <v>0</v>
      </c>
      <c r="BA378" s="951">
        <f>_xlfn.SUMIFS(Покупка!AZ$25:AZ$327,Покупка!$F$25:$F$327,$F378,Покупка!$AC$25:$AC$327,$G378)</f>
        <v>0</v>
      </c>
      <c r="BB378" s="951">
        <f>_xlfn.SUMIFS(Покупка!BA$25:BA$327,Покупка!$F$25:$F$327,$F378,Покупка!$AC$25:$AC$327,$G378)</f>
        <v>0</v>
      </c>
      <c r="BC378" s="951">
        <f>_xlfn.SUMIFS(Покупка!BB$25:BB$327,Покупка!$F$25:$F$327,$F378,Покупка!$AC$25:$AC$327,$G378)</f>
        <v>0</v>
      </c>
      <c r="BD378" s="951">
        <f>IF(AI378=0,0,(AT378-AI378)/AI378*100)</f>
        <v>0</v>
      </c>
      <c r="BE378" s="951">
        <f>IF(AT378=0,0,(AU378-AT378)/AT378*100)</f>
        <v>0</v>
      </c>
      <c r="BF378" s="951">
        <f>IF(AU378=0,0,(AV378-AU378)/AU378*100)</f>
        <v>0</v>
      </c>
      <c r="BG378" s="951">
        <f>IF(AV378=0,0,(AW378-AV378)/AV378*100)</f>
        <v>0</v>
      </c>
      <c r="BH378" s="951">
        <f>IF(AW378=0,0,(AX378-AW378)/AW378*100)</f>
        <v>0</v>
      </c>
      <c r="BI378" s="951">
        <f>IF(AX378=0,0,(AY378-AX378)/AX378*100)</f>
        <v>0</v>
      </c>
      <c r="BJ378" s="951">
        <f>IF(AY378=0,0,(AZ378-AY378)/AY378*100)</f>
        <v>0</v>
      </c>
      <c r="BK378" s="951">
        <f>IF(AZ378=0,0,(BA378-AZ378)/AZ378*100)</f>
        <v>0</v>
      </c>
      <c r="BL378" s="951">
        <f>IF(BA378=0,0,(BB378-BA378)/BA378*100)</f>
        <v>0</v>
      </c>
      <c r="BM378" s="951">
        <f>IF(BB378=0,0,(BC378-BB378)/BB378*100)</f>
        <v>0</v>
      </c>
      <c r="BN378" s="6533"/>
      <c r="BO378" s="6525" t="str">
        <f>IF(_xlfn.IFERROR(INDEX(Покупка!$K$26:$L$327,MATCH($F378&amp;"4komm",Покупка!$K$26:$K$327,0),2),"")=0,"",_xlfn.IFERROR(INDEX(Покупка!$K$26:$L$327,MATCH($F377&amp;"3komm",Покупка!$K$26:$K$327,0),2),""))</f>
        <v/>
      </c>
      <c r="BP378" s="6533"/>
      <c r="BQ378" s="1297"/>
      <c r="BR378" s="1297"/>
      <c r="BS378" s="1072" t="s">
        <v>2000</v>
      </c>
      <c r="BT378" s="1072"/>
      <c r="BU378" s="1072"/>
      <c r="BV378" s="987"/>
      <c r="BW378" s="987"/>
    </row>
    <row s="1656" customFormat="1" customHeight="1" ht="14.25">
      <c r="A379" s="1297"/>
      <c r="B379" s="92"/>
      <c r="C379" s="103"/>
      <c r="D379" s="103"/>
      <c r="E379" s="626">
        <v>15</v>
      </c>
      <c r="F379" s="50" cm="1" t="str">
        <f t="array" ref="F379:F379">OFFSET(E379,-1,1)</f>
        <v>2</v>
      </c>
      <c r="G379" s="103" t="s">
        <v>1280</v>
      </c>
      <c r="H379" s="103"/>
      <c r="I379" s="103" t="s">
        <v>2300</v>
      </c>
      <c r="J379" s="103"/>
      <c r="K379" s="103" t="s">
        <v>2300</v>
      </c>
      <c r="L379" s="988" t="s">
        <v>1760</v>
      </c>
      <c r="M379" s="103"/>
      <c r="N379" s="103"/>
      <c r="O379" s="103"/>
      <c r="P379" s="103"/>
      <c r="Q379" s="103"/>
      <c r="R379" s="103"/>
      <c r="S379" s="103"/>
      <c r="T379" s="468" cm="1" t="str">
        <f t="array" ref="T379:T379">T378</f>
        <v>true</v>
      </c>
      <c r="U379" s="103"/>
      <c r="V379" s="103"/>
      <c r="W379" s="1297"/>
      <c r="X379" s="1539"/>
      <c r="Y379" s="1297"/>
      <c r="Z379" s="1529"/>
      <c r="AA379" s="1297"/>
      <c r="AB379" s="295" t="s">
        <v>2301</v>
      </c>
      <c r="AC379" s="772" t="s">
        <v>2302</v>
      </c>
      <c r="AD379" s="296" t="s">
        <v>936</v>
      </c>
      <c r="AE379" s="255">
        <f>_xlfn.SUMIFS(Покупка!AE$25:AE$327,Покупка!$F$25:$F$327,$F379,Покупка!$AC$25:$AC$327,$G379)</f>
        <v>0</v>
      </c>
      <c r="AF379" s="255">
        <f>_xlfn.SUMIFS(Покупка!AF$25:AF$327,Покупка!$F$25:$F$327,$F379,Покупка!$AC$25:$AC$327,$G379)</f>
        <v>0</v>
      </c>
      <c r="AG379" s="255">
        <f>_xlfn.SUMIFS(Покупка!AG$25:AG$327,Покупка!$F$25:$F$327,$F379,Покупка!$AC$25:$AC$327,$G379)</f>
        <v>0</v>
      </c>
      <c r="AH379" s="951">
        <f>AG379-AF379</f>
        <v>0</v>
      </c>
      <c r="AI379" s="951">
        <f>_xlfn.SUMIFS(Покупка!AH$25:AH$327,Покупка!$F$25:$F$327,$F379,Покупка!$AC$25:$AC$327,$G379)</f>
        <v>0</v>
      </c>
      <c r="AJ379" s="951">
        <f>_xlfn.SUMIFS(Покупка!AI$25:AI$327,Покупка!$F$25:$F$327,$F379,Покупка!$AC$25:$AC$327,$G379)</f>
        <v>0</v>
      </c>
      <c r="AK379" s="951">
        <f>_xlfn.SUMIFS(Покупка!AJ$25:AJ$327,Покупка!$F$25:$F$327,$F379,Покупка!$AC$25:$AC$327,$G379)</f>
        <v>0</v>
      </c>
      <c r="AL379" s="951">
        <f>_xlfn.SUMIFS(Покупка!AK$25:AK$327,Покупка!$F$25:$F$327,$F379,Покупка!$AC$25:$AC$327,$G379)</f>
        <v>0</v>
      </c>
      <c r="AM379" s="951">
        <f>_xlfn.SUMIFS(Покупка!AL$25:AL$327,Покупка!$F$25:$F$327,$F379,Покупка!$AC$25:$AC$327,$G379)</f>
        <v>0</v>
      </c>
      <c r="AN379" s="951">
        <f>_xlfn.SUMIFS(Покупка!AM$25:AM$327,Покупка!$F$25:$F$327,$F379,Покупка!$AC$25:$AC$327,$G379)</f>
        <v>0</v>
      </c>
      <c r="AO379" s="951">
        <f>_xlfn.SUMIFS(Покупка!AN$25:AN$327,Покупка!$F$25:$F$327,$F379,Покупка!$AC$25:$AC$327,$G379)</f>
        <v>0</v>
      </c>
      <c r="AP379" s="951">
        <f>_xlfn.SUMIFS(Покупка!AO$25:AO$327,Покупка!$F$25:$F$327,$F379,Покупка!$AC$25:$AC$327,$G379)</f>
        <v>0</v>
      </c>
      <c r="AQ379" s="951">
        <f>_xlfn.SUMIFS(Покупка!AP$25:AP$327,Покупка!$F$25:$F$327,$F379,Покупка!$AC$25:$AC$327,$G379)</f>
        <v>0</v>
      </c>
      <c r="AR379" s="951">
        <f>_xlfn.SUMIFS(Покупка!AQ$25:AQ$327,Покупка!$F$25:$F$327,$F379,Покупка!$AC$25:$AC$327,$G379)</f>
        <v>0</v>
      </c>
      <c r="AS379" s="951">
        <f>_xlfn.SUMIFS(Покупка!AR$25:AR$327,Покупка!$F$25:$F$327,$F379,Покупка!$AC$25:$AC$327,$G379)</f>
        <v>0</v>
      </c>
      <c r="AT379" s="951">
        <f>_xlfn.SUMIFS(Покупка!AS$25:AS$327,Покупка!$F$25:$F$327,$F379,Покупка!$AC$25:$AC$327,$G379)</f>
        <v>0</v>
      </c>
      <c r="AU379" s="951">
        <f>_xlfn.SUMIFS(Покупка!AT$25:AT$327,Покупка!$F$25:$F$327,$F379,Покупка!$AC$25:$AC$327,$G379)</f>
        <v>0</v>
      </c>
      <c r="AV379" s="951">
        <f>_xlfn.SUMIFS(Покупка!AU$25:AU$327,Покупка!$F$25:$F$327,$F379,Покупка!$AC$25:$AC$327,$G379)</f>
        <v>0</v>
      </c>
      <c r="AW379" s="951">
        <f>_xlfn.SUMIFS(Покупка!AV$25:AV$327,Покупка!$F$25:$F$327,$F379,Покупка!$AC$25:$AC$327,$G379)</f>
        <v>0</v>
      </c>
      <c r="AX379" s="951">
        <f>_xlfn.SUMIFS(Покупка!AW$25:AW$327,Покупка!$F$25:$F$327,$F379,Покупка!$AC$25:$AC$327,$G379)</f>
        <v>0</v>
      </c>
      <c r="AY379" s="951">
        <f>_xlfn.SUMIFS(Покупка!AX$25:AX$327,Покупка!$F$25:$F$327,$F379,Покупка!$AC$25:$AC$327,$G379)</f>
        <v>0</v>
      </c>
      <c r="AZ379" s="951">
        <f>_xlfn.SUMIFS(Покупка!AY$25:AY$327,Покупка!$F$25:$F$327,$F379,Покупка!$AC$25:$AC$327,$G379)</f>
        <v>0</v>
      </c>
      <c r="BA379" s="951">
        <f>_xlfn.SUMIFS(Покупка!AZ$25:AZ$327,Покупка!$F$25:$F$327,$F379,Покупка!$AC$25:$AC$327,$G379)</f>
        <v>0</v>
      </c>
      <c r="BB379" s="951">
        <f>_xlfn.SUMIFS(Покупка!BA$25:BA$327,Покупка!$F$25:$F$327,$F379,Покупка!$AC$25:$AC$327,$G379)</f>
        <v>0</v>
      </c>
      <c r="BC379" s="951">
        <f>_xlfn.SUMIFS(Покупка!BB$25:BB$327,Покупка!$F$25:$F$327,$F379,Покупка!$AC$25:$AC$327,$G379)</f>
        <v>0</v>
      </c>
      <c r="BD379" s="951">
        <f>IF(AI379=0,0,(AT379-AI379)/AI379*100)</f>
        <v>0</v>
      </c>
      <c r="BE379" s="951">
        <f>IF(AT379=0,0,(AU379-AT379)/AT379*100)</f>
        <v>0</v>
      </c>
      <c r="BF379" s="951">
        <f>IF(AU379=0,0,(AV379-AU379)/AU379*100)</f>
        <v>0</v>
      </c>
      <c r="BG379" s="951">
        <f>IF(AV379=0,0,(AW379-AV379)/AV379*100)</f>
        <v>0</v>
      </c>
      <c r="BH379" s="951">
        <f>IF(AW379=0,0,(AX379-AW379)/AW379*100)</f>
        <v>0</v>
      </c>
      <c r="BI379" s="951">
        <f>IF(AX379=0,0,(AY379-AX379)/AX379*100)</f>
        <v>0</v>
      </c>
      <c r="BJ379" s="951">
        <f>IF(AY379=0,0,(AZ379-AY379)/AY379*100)</f>
        <v>0</v>
      </c>
      <c r="BK379" s="951">
        <f>IF(AZ379=0,0,(BA379-AZ379)/AZ379*100)</f>
        <v>0</v>
      </c>
      <c r="BL379" s="951">
        <f>IF(BA379=0,0,(BB379-BA379)/BA379*100)</f>
        <v>0</v>
      </c>
      <c r="BM379" s="951">
        <f>IF(BB379=0,0,(BC379-BB379)/BB379*100)</f>
        <v>0</v>
      </c>
      <c r="BN379" s="6533"/>
      <c r="BO379" s="6525" t="str">
        <f>IF(_xlfn.IFERROR(INDEX(Покупка!$K$26:$L$327,MATCH($F379&amp;"5komm",Покупка!$K$26:$K$327,0),2),"")=0,"",_xlfn.IFERROR(INDEX(Покупка!$K$26:$L$327,MATCH($F379&amp;"5komm",Покупка!$K$26:$K$327,0),2),""))</f>
        <v/>
      </c>
      <c r="BP379" s="6533"/>
      <c r="BQ379" s="1297"/>
      <c r="BR379" s="1297"/>
      <c r="BS379" s="1072" t="s">
        <v>2003</v>
      </c>
      <c r="BT379" s="1072"/>
      <c r="BU379" s="1072"/>
      <c r="BV379" s="987"/>
      <c r="BW379" s="987"/>
    </row>
    <row s="1252" customFormat="1" customHeight="1" ht="14.25">
      <c r="A380" s="1252"/>
      <c r="B380" s="92"/>
      <c r="C380" s="103"/>
      <c r="D380" s="103"/>
      <c r="E380" s="626">
        <v>15</v>
      </c>
      <c r="F380" s="50" cm="1" t="str">
        <f t="array" ref="F380:F380">OFFSET(E380,-1,1)</f>
        <v>2</v>
      </c>
      <c r="G380" s="103" t="s">
        <v>1321</v>
      </c>
      <c r="H380" s="103"/>
      <c r="I380" s="103"/>
      <c r="J380" s="103"/>
      <c r="K380" s="103"/>
      <c r="L380" s="988" t="s">
        <v>1727</v>
      </c>
      <c r="M380" s="103"/>
      <c r="N380" s="103"/>
      <c r="O380" s="103"/>
      <c r="P380" s="103"/>
      <c r="Q380" s="103"/>
      <c r="R380" s="103"/>
      <c r="S380" s="103"/>
      <c r="T380" s="468" cm="1" t="str">
        <f t="array" ref="T380:T380">T379</f>
        <v>true</v>
      </c>
      <c r="U380" s="103"/>
      <c r="V380" s="103"/>
      <c r="W380" s="1252"/>
      <c r="X380" s="1539"/>
      <c r="Y380" s="1252"/>
      <c r="Z380" s="1529"/>
      <c r="AA380" s="1252"/>
      <c r="AB380" s="295" t="s">
        <v>2303</v>
      </c>
      <c r="AC380" s="772" t="s">
        <v>2304</v>
      </c>
      <c r="AD380" s="296" t="s">
        <v>936</v>
      </c>
      <c r="AE380" s="255">
        <f>_xlfn.SUMIFS(Покупка!AE$25:AE$327,Покупка!$F$25:$F$327,$F380,Покупка!$AC$25:$AC$327,$G380)</f>
        <v>0</v>
      </c>
      <c r="AF380" s="255">
        <f>_xlfn.SUMIFS(Покупка!AF$25:AF$327,Покупка!$F$25:$F$327,$F380,Покупка!$AC$25:$AC$327,$G380)</f>
        <v>0</v>
      </c>
      <c r="AG380" s="255">
        <f>_xlfn.SUMIFS(Покупка!AG$25:AG$327,Покупка!$F$25:$F$327,$F380,Покупка!$AC$25:$AC$327,$G380)</f>
        <v>0</v>
      </c>
      <c r="AH380" s="951">
        <f>AG380-AF380</f>
        <v>0</v>
      </c>
      <c r="AI380" s="951">
        <f>_xlfn.SUMIFS(Покупка!AH$25:AH$327,Покупка!$F$25:$F$327,$F380,Покупка!$AC$25:$AC$327,$G380)</f>
        <v>0</v>
      </c>
      <c r="AJ380" s="1125">
        <f>_xlfn.SUMIFS(Покупка!AI$25:AI$327,Покупка!$F$25:$F$327,$F380,Покупка!$AC$25:$AC$327,$G380)</f>
        <v>0</v>
      </c>
      <c r="AK380" s="1125">
        <f>_xlfn.SUMIFS(Покупка!AJ$25:AJ$327,Покупка!$F$25:$F$327,$F380,Покупка!$AC$25:$AC$327,$G380)</f>
        <v>0</v>
      </c>
      <c r="AL380" s="1125">
        <f>_xlfn.SUMIFS(Покупка!AK$25:AK$327,Покупка!$F$25:$F$327,$F380,Покупка!$AC$25:$AC$327,$G380)</f>
        <v>0</v>
      </c>
      <c r="AM380" s="1125">
        <f>_xlfn.SUMIFS(Покупка!AL$25:AL$327,Покупка!$F$25:$F$327,$F380,Покупка!$AC$25:$AC$327,$G380)</f>
        <v>0</v>
      </c>
      <c r="AN380" s="1125">
        <f>_xlfn.SUMIFS(Покупка!AM$25:AM$327,Покупка!$F$25:$F$327,$F380,Покупка!$AC$25:$AC$327,$G380)</f>
        <v>0</v>
      </c>
      <c r="AO380" s="1125">
        <f>_xlfn.SUMIFS(Покупка!AN$25:AN$327,Покупка!$F$25:$F$327,$F380,Покупка!$AC$25:$AC$327,$G380)</f>
        <v>0</v>
      </c>
      <c r="AP380" s="1125">
        <f>_xlfn.SUMIFS(Покупка!AO$25:AO$327,Покупка!$F$25:$F$327,$F380,Покупка!$AC$25:$AC$327,$G380)</f>
        <v>0</v>
      </c>
      <c r="AQ380" s="1125">
        <f>_xlfn.SUMIFS(Покупка!AP$25:AP$327,Покупка!$F$25:$F$327,$F380,Покупка!$AC$25:$AC$327,$G380)</f>
        <v>0</v>
      </c>
      <c r="AR380" s="1125">
        <f>_xlfn.SUMIFS(Покупка!AQ$25:AQ$327,Покупка!$F$25:$F$327,$F380,Покупка!$AC$25:$AC$327,$G380)</f>
        <v>0</v>
      </c>
      <c r="AS380" s="1125">
        <f>_xlfn.SUMIFS(Покупка!AR$25:AR$327,Покупка!$F$25:$F$327,$F380,Покупка!$AC$25:$AC$327,$G380)</f>
        <v>0</v>
      </c>
      <c r="AT380" s="1125">
        <f>_xlfn.SUMIFS(Покупка!AS$25:AS$327,Покупка!$F$25:$F$327,$F380,Покупка!$AC$25:$AC$327,$G380)</f>
        <v>10.67927</v>
      </c>
      <c r="AU380" s="1125">
        <f>_xlfn.SUMIFS(Покупка!AT$25:AT$327,Покупка!$F$25:$F$327,$F380,Покупка!$AC$25:$AC$327,$G380)</f>
        <v>0</v>
      </c>
      <c r="AV380" s="1125">
        <f>_xlfn.SUMIFS(Покупка!AU$25:AU$327,Покупка!$F$25:$F$327,$F380,Покупка!$AC$25:$AC$327,$G380)</f>
        <v>0</v>
      </c>
      <c r="AW380" s="1125">
        <f>_xlfn.SUMIFS(Покупка!AV$25:AV$327,Покупка!$F$25:$F$327,$F380,Покупка!$AC$25:$AC$327,$G380)</f>
        <v>0</v>
      </c>
      <c r="AX380" s="1125">
        <f>_xlfn.SUMIFS(Покупка!AW$25:AW$327,Покупка!$F$25:$F$327,$F380,Покупка!$AC$25:$AC$327,$G380)</f>
        <v>0</v>
      </c>
      <c r="AY380" s="1125">
        <f>_xlfn.SUMIFS(Покупка!AX$25:AX$327,Покупка!$F$25:$F$327,$F380,Покупка!$AC$25:$AC$327,$G380)</f>
        <v>0</v>
      </c>
      <c r="AZ380" s="1125">
        <f>_xlfn.SUMIFS(Покупка!AY$25:AY$327,Покупка!$F$25:$F$327,$F380,Покупка!$AC$25:$AC$327,$G380)</f>
        <v>0</v>
      </c>
      <c r="BA380" s="1125">
        <f>_xlfn.SUMIFS(Покупка!AZ$25:AZ$327,Покупка!$F$25:$F$327,$F380,Покупка!$AC$25:$AC$327,$G380)</f>
        <v>0</v>
      </c>
      <c r="BB380" s="1125">
        <f>_xlfn.SUMIFS(Покупка!BA$25:BA$327,Покупка!$F$25:$F$327,$F380,Покупка!$AC$25:$AC$327,$G380)</f>
        <v>0</v>
      </c>
      <c r="BC380" s="1125">
        <f>_xlfn.SUMIFS(Покупка!BB$25:BB$327,Покупка!$F$25:$F$327,$F380,Покупка!$AC$25:$AC$327,$G380)</f>
        <v>0</v>
      </c>
      <c r="BD380" s="951">
        <f>IF(AI380=0,0,(AT380-AI380)/AI380*100)</f>
        <v>0</v>
      </c>
      <c r="BE380" s="951">
        <f>IF(AT380=0,0,(AU380-AT380)/AT380*100)</f>
        <v>-100</v>
      </c>
      <c r="BF380" s="951">
        <f>IF(AU380=0,0,(AV380-AU380)/AU380*100)</f>
        <v>0</v>
      </c>
      <c r="BG380" s="951">
        <f>IF(AV380=0,0,(AW380-AV380)/AV380*100)</f>
        <v>0</v>
      </c>
      <c r="BH380" s="951">
        <f>IF(AW380=0,0,(AX380-AW380)/AW380*100)</f>
        <v>0</v>
      </c>
      <c r="BI380" s="951">
        <f>IF(AX380=0,0,(AY380-AX380)/AX380*100)</f>
        <v>0</v>
      </c>
      <c r="BJ380" s="951">
        <f>IF(AY380=0,0,(AZ380-AY380)/AY380*100)</f>
        <v>0</v>
      </c>
      <c r="BK380" s="951">
        <f>IF(AZ380=0,0,(BA380-AZ380)/AZ380*100)</f>
        <v>0</v>
      </c>
      <c r="BL380" s="951">
        <f>IF(BA380=0,0,(BB380-BA380)/BA380*100)</f>
        <v>0</v>
      </c>
      <c r="BM380" s="951">
        <f>IF(BB380=0,0,(BC380-BB380)/BB380*100)</f>
        <v>0</v>
      </c>
      <c r="BN380" s="6533"/>
      <c r="BO380" s="6525" t="str">
        <f>IF(_xlfn.IFERROR(INDEX(Покупка!$K$26:$L$327,MATCH($F380&amp;"9komm",Покупка!$K$26:$K$327,0),2),"")=0,"",_xlfn.IFERROR(INDEX(Покупка!$K$26:$L$327,MATCH($F380&amp;"9komm",Покупка!$K$26:$K$327,0),2),""))</f>
        <v/>
      </c>
      <c r="BP380" s="6533"/>
      <c r="BQ380" s="1252"/>
      <c r="BR380" s="1252"/>
      <c r="BS380" s="1072" t="s">
        <v>1322</v>
      </c>
      <c r="BT380" s="1072"/>
      <c r="BU380" s="1072"/>
      <c r="BV380" s="709"/>
      <c r="BW380" s="709"/>
    </row>
    <row s="1656" customFormat="1" customHeight="1" ht="14.25">
      <c r="A381" s="1297"/>
      <c r="B381" s="92"/>
      <c r="C381" s="103"/>
      <c r="D381" s="103"/>
      <c r="E381" s="626">
        <v>15</v>
      </c>
      <c r="F381" s="50" cm="1" t="str">
        <f t="array" ref="F381:F381">OFFSET(E381,-1,1)</f>
        <v>2</v>
      </c>
      <c r="G381" s="103"/>
      <c r="H381" s="103"/>
      <c r="I381" s="103" t="s">
        <v>587</v>
      </c>
      <c r="J381" s="103"/>
      <c r="K381" s="103" t="s">
        <v>587</v>
      </c>
      <c r="L381" s="988"/>
      <c r="M381" s="103"/>
      <c r="N381" s="103"/>
      <c r="O381" s="103"/>
      <c r="P381" s="103"/>
      <c r="Q381" s="103"/>
      <c r="R381" s="103"/>
      <c r="S381" s="103"/>
      <c r="T381" s="468" cm="1" t="str">
        <f t="array" ref="T381:T381">T380</f>
        <v>true</v>
      </c>
      <c r="U381" s="103"/>
      <c r="V381" s="103"/>
      <c r="W381" s="1297"/>
      <c r="X381" s="1539"/>
      <c r="Y381" s="1297"/>
      <c r="Z381" s="1529"/>
      <c r="AA381" s="1297"/>
      <c r="AB381" s="295" t="s">
        <v>664</v>
      </c>
      <c r="AC381" s="769" t="s">
        <v>2305</v>
      </c>
      <c r="AD381" s="786" t="s">
        <v>936</v>
      </c>
      <c r="AE381" s="255">
        <f>_xlfn.SUMIFS('Сырье и материалы'!AE$25:AE$111,'Сырье и материалы'!$F$25:$F$111,$F381,'Сырье и материалы'!$I$25:$I$111,"Реагенты")</f>
        <v>0</v>
      </c>
      <c r="AF381" s="255">
        <f>_xlfn.SUMIFS('Сырье и материалы'!AF$25:AF$111,'Сырье и материалы'!$F$25:$F$111,$F381,'Сырье и материалы'!$I$25:$I$111,"Реагенты")</f>
        <v>0</v>
      </c>
      <c r="AG381" s="255">
        <f>_xlfn.SUMIFS('Сырье и материалы'!AG$25:AG$111,'Сырье и материалы'!$F$25:$F$111,$F381,'Сырье и материалы'!$I$25:$I$111,"Реагенты")</f>
        <v>0</v>
      </c>
      <c r="AH381" s="951">
        <f>AG381-AF381</f>
        <v>0</v>
      </c>
      <c r="AI381" s="951">
        <f>_xlfn.SUMIFS('Сырье и материалы'!AH$25:AH$111,'Сырье и материалы'!$F$25:$F$111,$F381,'Сырье и материалы'!$I$25:$I$111,"Реагенты")</f>
        <v>0</v>
      </c>
      <c r="AJ381" s="951">
        <f>_xlfn.SUMIFS('Сырье и материалы'!AI$25:AI$111,'Сырье и материалы'!$F$25:$F$111,$F381,'Сырье и материалы'!$I$25:$I$111,"Реагенты")</f>
        <v>0</v>
      </c>
      <c r="AK381" s="951">
        <f>_xlfn.SUMIFS('Сырье и материалы'!AJ$25:AJ$111,'Сырье и материалы'!$F$25:$F$111,$F381,'Сырье и материалы'!$I$25:$I$111,"Реагенты")</f>
        <v>0</v>
      </c>
      <c r="AL381" s="951">
        <f>_xlfn.SUMIFS('Сырье и материалы'!AK$25:AK$111,'Сырье и материалы'!$F$25:$F$111,$F381,'Сырье и материалы'!$I$25:$I$111,"Реагенты")</f>
        <v>0</v>
      </c>
      <c r="AM381" s="951">
        <f>_xlfn.SUMIFS('Сырье и материалы'!AL$25:AL$111,'Сырье и материалы'!$F$25:$F$111,$F381,'Сырье и материалы'!$I$25:$I$111,"Реагенты")</f>
        <v>0</v>
      </c>
      <c r="AN381" s="951">
        <f>_xlfn.SUMIFS('Сырье и материалы'!AM$25:AM$111,'Сырье и материалы'!$F$25:$F$111,$F381,'Сырье и материалы'!$I$25:$I$111,"Реагенты")</f>
        <v>0</v>
      </c>
      <c r="AO381" s="951">
        <f>_xlfn.SUMIFS('Сырье и материалы'!AN$25:AN$111,'Сырье и материалы'!$F$25:$F$111,$F381,'Сырье и материалы'!$I$25:$I$111,"Реагенты")</f>
        <v>0</v>
      </c>
      <c r="AP381" s="951">
        <f>_xlfn.SUMIFS('Сырье и материалы'!AO$25:AO$111,'Сырье и материалы'!$F$25:$F$111,$F381,'Сырье и материалы'!$I$25:$I$111,"Реагенты")</f>
        <v>0</v>
      </c>
      <c r="AQ381" s="951">
        <f>_xlfn.SUMIFS('Сырье и материалы'!AP$25:AP$111,'Сырье и материалы'!$F$25:$F$111,$F381,'Сырье и материалы'!$I$25:$I$111,"Реагенты")</f>
        <v>0</v>
      </c>
      <c r="AR381" s="951">
        <f>_xlfn.SUMIFS('Сырье и материалы'!AQ$25:AQ$111,'Сырье и материалы'!$F$25:$F$111,$F381,'Сырье и материалы'!$I$25:$I$111,"Реагенты")</f>
        <v>0</v>
      </c>
      <c r="AS381" s="951">
        <f>_xlfn.SUMIFS('Сырье и материалы'!AR$25:AR$111,'Сырье и материалы'!$F$25:$F$111,$F381,'Сырье и материалы'!$I$25:$I$111,"Реагенты")</f>
        <v>0</v>
      </c>
      <c r="AT381" s="951">
        <f>_xlfn.SUMIFS('Сырье и материалы'!AS$25:AS$111,'Сырье и материалы'!$F$25:$F$111,$F381,'Сырье и материалы'!$I$25:$I$111,"Реагенты")</f>
        <v>0</v>
      </c>
      <c r="AU381" s="951">
        <f>_xlfn.SUMIFS('Сырье и материалы'!AT$25:AT$111,'Сырье и материалы'!$F$25:$F$111,$F381,'Сырье и материалы'!$I$25:$I$111,"Реагенты")</f>
        <v>0</v>
      </c>
      <c r="AV381" s="951">
        <f>_xlfn.SUMIFS('Сырье и материалы'!AU$25:AU$111,'Сырье и материалы'!$F$25:$F$111,$F381,'Сырье и материалы'!$I$25:$I$111,"Реагенты")</f>
        <v>0</v>
      </c>
      <c r="AW381" s="951">
        <f>_xlfn.SUMIFS('Сырье и материалы'!AV$25:AV$111,'Сырье и материалы'!$F$25:$F$111,$F381,'Сырье и материалы'!$I$25:$I$111,"Реагенты")</f>
        <v>0</v>
      </c>
      <c r="AX381" s="951">
        <f>_xlfn.SUMIFS('Сырье и материалы'!AW$25:AW$111,'Сырье и материалы'!$F$25:$F$111,$F381,'Сырье и материалы'!$I$25:$I$111,"Реагенты")</f>
        <v>0</v>
      </c>
      <c r="AY381" s="951">
        <f>_xlfn.SUMIFS('Сырье и материалы'!AX$25:AX$111,'Сырье и материалы'!$F$25:$F$111,$F381,'Сырье и материалы'!$I$25:$I$111,"Реагенты")</f>
        <v>0</v>
      </c>
      <c r="AZ381" s="951">
        <f>_xlfn.SUMIFS('Сырье и материалы'!AY$25:AY$111,'Сырье и материалы'!$F$25:$F$111,$F381,'Сырье и материалы'!$I$25:$I$111,"Реагенты")</f>
        <v>0</v>
      </c>
      <c r="BA381" s="951">
        <f>_xlfn.SUMIFS('Сырье и материалы'!AZ$25:AZ$111,'Сырье и материалы'!$F$25:$F$111,$F381,'Сырье и материалы'!$I$25:$I$111,"Реагенты")</f>
        <v>0</v>
      </c>
      <c r="BB381" s="951">
        <f>_xlfn.SUMIFS('Сырье и материалы'!BA$25:BA$111,'Сырье и материалы'!$F$25:$F$111,$F381,'Сырье и материалы'!$I$25:$I$111,"Реагенты")</f>
        <v>0</v>
      </c>
      <c r="BC381" s="951">
        <f>_xlfn.SUMIFS('Сырье и материалы'!BB$25:BB$111,'Сырье и материалы'!$F$25:$F$111,$F381,'Сырье и материалы'!$I$25:$I$111,"Реагенты")</f>
        <v>0</v>
      </c>
      <c r="BD381" s="951">
        <f>IF(AI381=0,0,(AT381-AI381)/AI381*100)</f>
        <v>0</v>
      </c>
      <c r="BE381" s="951">
        <f>IF(AT381=0,0,(AU381-AT381)/AT381*100)</f>
        <v>0</v>
      </c>
      <c r="BF381" s="951">
        <f>IF(AU381=0,0,(AV381-AU381)/AU381*100)</f>
        <v>0</v>
      </c>
      <c r="BG381" s="951">
        <f>IF(AV381=0,0,(AW381-AV381)/AV381*100)</f>
        <v>0</v>
      </c>
      <c r="BH381" s="951">
        <f>IF(AW381=0,0,(AX381-AW381)/AW381*100)</f>
        <v>0</v>
      </c>
      <c r="BI381" s="951">
        <f>IF(AX381=0,0,(AY381-AX381)/AX381*100)</f>
        <v>0</v>
      </c>
      <c r="BJ381" s="951">
        <f>IF(AY381=0,0,(AZ381-AY381)/AY381*100)</f>
        <v>0</v>
      </c>
      <c r="BK381" s="951">
        <f>IF(AZ381=0,0,(BA381-AZ381)/AZ381*100)</f>
        <v>0</v>
      </c>
      <c r="BL381" s="951">
        <f>IF(BA381=0,0,(BB381-BA381)/BA381*100)</f>
        <v>0</v>
      </c>
      <c r="BM381" s="951">
        <f>IF(BB381=0,0,(BC381-BB381)/BB381*100)</f>
        <v>0</v>
      </c>
      <c r="BN381" s="6533"/>
      <c r="BO381" s="6525" t="str">
        <f>IF(_xlfn.IFERROR(INDEX('Сырье и материалы'!$K$26:$L$111,MATCH($F381&amp;"komm",'Сырье и материалы'!$K$26:$K$111,0),2),"")=0,"",_xlfn.IFERROR(INDEX('Сырье и материалы'!$K$26:$L$111,MATCH($F381&amp;"komm",'Сырье и материалы'!$K$26:$K$111,0),2),""))</f>
        <v/>
      </c>
      <c r="BP381" s="6533"/>
      <c r="BQ381" s="1297"/>
      <c r="BR381" s="1297"/>
      <c r="BS381" s="1072" t="s">
        <v>1976</v>
      </c>
      <c r="BT381" s="1072"/>
      <c r="BU381" s="1072"/>
      <c r="BV381" s="987"/>
      <c r="BW381" s="987"/>
    </row>
    <row s="6642" customFormat="1" customHeight="1" ht="48.802083333333336">
      <c r="A382" s="706"/>
      <c r="B382" s="107"/>
      <c r="C382" s="105"/>
      <c r="D382" s="105"/>
      <c r="E382" s="833">
        <v>21</v>
      </c>
      <c r="F382" s="50" cm="1" t="str">
        <f t="array" ref="F382:F382">OFFSET(E382,-1,1)</f>
        <v>2</v>
      </c>
      <c r="G382" s="105"/>
      <c r="H382" s="103"/>
      <c r="I382" s="103" t="s">
        <v>1087</v>
      </c>
      <c r="J382" s="105"/>
      <c r="K382" s="103" t="s">
        <v>1087</v>
      </c>
      <c r="L382" s="993" t="s">
        <v>619</v>
      </c>
      <c r="M382" s="105"/>
      <c r="N382" s="105"/>
      <c r="O382" s="105"/>
      <c r="P382" s="105"/>
      <c r="Q382" s="105"/>
      <c r="R382" s="105"/>
      <c r="S382" s="105"/>
      <c r="T382" s="468" cm="1" t="str">
        <f t="array" ref="T382:T382">T381</f>
        <v>true</v>
      </c>
      <c r="U382" s="105"/>
      <c r="V382" s="105"/>
      <c r="W382" s="706"/>
      <c r="X382" s="1539"/>
      <c r="Y382" s="706"/>
      <c r="Z382" s="1529"/>
      <c r="AA382" s="706"/>
      <c r="AB382" s="214" t="s">
        <v>668</v>
      </c>
      <c r="AC382" s="357" t="s">
        <v>2306</v>
      </c>
      <c r="AD382" s="207" t="s">
        <v>936</v>
      </c>
      <c r="AE382" s="785">
        <f>SUM(AE383:AE392)</f>
        <v>1571.83</v>
      </c>
      <c r="AF382" s="785">
        <f>SUM(AF383:AF392)</f>
        <v>1674.18</v>
      </c>
      <c r="AG382" s="785">
        <f>SUM(AG383:AG392)</f>
        <v>1672.56</v>
      </c>
      <c r="AH382" s="768">
        <f>AG382-AF382</f>
        <v>-1.62000000000012</v>
      </c>
      <c r="AI382" s="768">
        <f>SUM(AI383:AI392)</f>
        <v>1273.28</v>
      </c>
      <c r="AJ382" s="777">
        <f>SUM(AJ383:AJ392)</f>
        <v>5916.92</v>
      </c>
      <c r="AK382" s="768">
        <f>SUM(AK383:AK392)</f>
        <v>0</v>
      </c>
      <c r="AL382" s="768">
        <f>SUM(AL383:AL392)</f>
        <v>0</v>
      </c>
      <c r="AM382" s="768">
        <f>SUM(AM383:AM392)</f>
        <v>0</v>
      </c>
      <c r="AN382" s="768">
        <f>SUM(AN383:AN392)</f>
        <v>0</v>
      </c>
      <c r="AO382" s="768">
        <f>SUM(AO383:AO392)</f>
        <v>0</v>
      </c>
      <c r="AP382" s="768">
        <f>SUM(AP383:AP392)</f>
        <v>0</v>
      </c>
      <c r="AQ382" s="768">
        <f>SUM(AQ383:AQ392)</f>
        <v>0</v>
      </c>
      <c r="AR382" s="768">
        <f>SUM(AR383:AR392)</f>
        <v>0</v>
      </c>
      <c r="AS382" s="768">
        <f>SUM(AS383:AS392)</f>
        <v>0</v>
      </c>
      <c r="AT382" s="777">
        <f>SUM(AT383:AT392)</f>
        <v>5916.97</v>
      </c>
      <c r="AU382" s="768">
        <f>SUM(AU383:AU392)</f>
        <v>0</v>
      </c>
      <c r="AV382" s="768">
        <f>SUM(AV383:AV392)</f>
        <v>0</v>
      </c>
      <c r="AW382" s="768">
        <f>SUM(AW383:AW392)</f>
        <v>0</v>
      </c>
      <c r="AX382" s="768">
        <f>SUM(AX383:AX392)</f>
        <v>0</v>
      </c>
      <c r="AY382" s="768">
        <f>SUM(AY383:AY392)</f>
        <v>0</v>
      </c>
      <c r="AZ382" s="768">
        <f>SUM(AZ383:AZ392)</f>
        <v>0</v>
      </c>
      <c r="BA382" s="768">
        <f>SUM(BA383:BA392)</f>
        <v>0</v>
      </c>
      <c r="BB382" s="768">
        <f>SUM(BB383:BB392)</f>
        <v>0</v>
      </c>
      <c r="BC382" s="768">
        <f>SUM(BC383:BC392)</f>
        <v>0</v>
      </c>
      <c r="BD382" s="768">
        <f>IF(AI382=0,0,(AT382-AI382)/AI382*100)</f>
        <v>364.702971852224</v>
      </c>
      <c r="BE382" s="768">
        <f>IF(AT382=0,0,(AU382-AT382)/AT382*100)</f>
        <v>-100</v>
      </c>
      <c r="BF382" s="768">
        <f>IF(AU382=0,0,(AV382-AU382)/AU382*100)</f>
        <v>0</v>
      </c>
      <c r="BG382" s="768">
        <f>IF(AV382=0,0,(AW382-AV382)/AV382*100)</f>
        <v>0</v>
      </c>
      <c r="BH382" s="768">
        <f>IF(AW382=0,0,(AX382-AW382)/AW382*100)</f>
        <v>0</v>
      </c>
      <c r="BI382" s="768">
        <f>IF(AX382=0,0,(AY382-AX382)/AX382*100)</f>
        <v>0</v>
      </c>
      <c r="BJ382" s="768">
        <f>IF(AY382=0,0,(AZ382-AY382)/AY382*100)</f>
        <v>0</v>
      </c>
      <c r="BK382" s="768">
        <f>IF(AZ382=0,0,(BA382-AZ382)/AZ382*100)</f>
        <v>0</v>
      </c>
      <c r="BL382" s="768">
        <f>IF(BA382=0,0,(BB382-BA382)/BA382*100)</f>
        <v>0</v>
      </c>
      <c r="BM382" s="768">
        <f>IF(BB382=0,0,(BC382-BB382)/BB382*100)</f>
        <v>0</v>
      </c>
      <c r="BN382" s="6292"/>
      <c r="BO382" s="6525" t="str">
        <f>IF(_xlfn.IFERROR(INDEX(Налоги!$K$26:$L$83,MATCH($F382&amp;"komm",Налоги!$K$26:$K$83,0),2),"")=0,"",_xlfn.IFERROR(INDEX(Налоги!$K$26:$L$83,MATCH($F382&amp;"komm",Налоги!$K$26:$K$83,0),2),""))</f>
        <v>П. 49 (2) Методических указаний ФСТ России от 27.12.2013 № 1746-э.</v>
      </c>
      <c r="BP382" s="6292" t="s">
        <v>1491</v>
      </c>
      <c r="BQ382" s="706"/>
      <c r="BR382" s="706"/>
      <c r="BS382" s="1078" t="s">
        <v>1464</v>
      </c>
      <c r="BT382" s="1078"/>
      <c r="BU382" s="1078"/>
      <c r="BV382" s="713"/>
      <c r="BW382" s="713"/>
    </row>
    <row s="1656" customFormat="1" customHeight="1" ht="53.50942611694336">
      <c r="A383" s="1297"/>
      <c r="B383" s="92"/>
      <c r="C383" s="103"/>
      <c r="D383" s="103"/>
      <c r="E383" s="626">
        <v>15</v>
      </c>
      <c r="F383" s="50" cm="1" t="str">
        <f t="array" ref="F383:F383">OFFSET(E383,-1,1)</f>
        <v>2</v>
      </c>
      <c r="G383" s="929">
        <v>7</v>
      </c>
      <c r="H383" s="103"/>
      <c r="I383" s="103" t="s">
        <v>2307</v>
      </c>
      <c r="J383" s="103"/>
      <c r="K383" s="103" t="s">
        <v>2307</v>
      </c>
      <c r="L383" s="988"/>
      <c r="M383" s="103"/>
      <c r="N383" s="103"/>
      <c r="O383" s="103"/>
      <c r="P383" s="103"/>
      <c r="Q383" s="103"/>
      <c r="R383" s="103"/>
      <c r="S383" s="103"/>
      <c r="T383" s="468" cm="1" t="str">
        <f t="array" ref="T383:T383">T382</f>
        <v>true</v>
      </c>
      <c r="U383" s="103"/>
      <c r="V383" s="103"/>
      <c r="W383" s="1297"/>
      <c r="X383" s="1539"/>
      <c r="Y383" s="1297"/>
      <c r="Z383" s="1529"/>
      <c r="AA383" s="1297"/>
      <c r="AB383" s="295" t="s">
        <v>603</v>
      </c>
      <c r="AC383" s="772" t="s">
        <v>1478</v>
      </c>
      <c r="AD383" s="296" t="s">
        <v>936</v>
      </c>
      <c r="AE383" s="255">
        <f>_xlfn.SUMIFS(Налоги!AE$25:AE$83,Налоги!$F$25:$F$83,$F383,Налоги!$AB$25:$AB$83,$G383)</f>
        <v>0</v>
      </c>
      <c r="AF383" s="255">
        <f>_xlfn.SUMIFS(Налоги!AF$25:AF$83,Налоги!$F$25:$F$83,$F383,Налоги!$AB$25:$AB$83,$G383)</f>
        <v>0</v>
      </c>
      <c r="AG383" s="255">
        <f>_xlfn.SUMIFS(Налоги!AG$25:AG$83,Налоги!$F$25:$F$83,$F383,Налоги!$AB$25:$AB$83,$G383)</f>
        <v>0</v>
      </c>
      <c r="AH383" s="951">
        <f>AG383-AF383</f>
        <v>0</v>
      </c>
      <c r="AI383" s="951">
        <f>_xlfn.SUMIFS(Налоги!AH$25:AH$83,Налоги!$F$25:$F$83,$F383,Налоги!$AB$25:$AB$83,$G383)</f>
        <v>0</v>
      </c>
      <c r="AJ383" s="951">
        <f>_xlfn.SUMIFS(Налоги!AI$25:AI$83,Налоги!$F$25:$F$83,$F383,Налоги!$AB$25:$AB$83,$G383)</f>
        <v>0</v>
      </c>
      <c r="AK383" s="951">
        <f>_xlfn.SUMIFS(Налоги!AJ$25:AJ$83,Налоги!$F$25:$F$83,$F383,Налоги!$AB$25:$AB$83,$G383)</f>
        <v>0</v>
      </c>
      <c r="AL383" s="951">
        <f>_xlfn.SUMIFS(Налоги!AK$25:AK$83,Налоги!$F$25:$F$83,$F383,Налоги!$AB$25:$AB$83,$G383)</f>
        <v>0</v>
      </c>
      <c r="AM383" s="951">
        <f>_xlfn.SUMIFS(Налоги!AL$25:AL$83,Налоги!$F$25:$F$83,$F383,Налоги!$AB$25:$AB$83,$G383)</f>
        <v>0</v>
      </c>
      <c r="AN383" s="951">
        <f>_xlfn.SUMIFS(Налоги!AM$25:AM$83,Налоги!$F$25:$F$83,$F383,Налоги!$AB$25:$AB$83,$G383)</f>
        <v>0</v>
      </c>
      <c r="AO383" s="951">
        <f>_xlfn.SUMIFS(Налоги!AN$25:AN$83,Налоги!$F$25:$F$83,$F383,Налоги!$AB$25:$AB$83,$G383)</f>
        <v>0</v>
      </c>
      <c r="AP383" s="951">
        <f>_xlfn.SUMIFS(Налоги!AO$25:AO$83,Налоги!$F$25:$F$83,$F383,Налоги!$AB$25:$AB$83,$G383)</f>
        <v>0</v>
      </c>
      <c r="AQ383" s="951">
        <f>_xlfn.SUMIFS(Налоги!AP$25:AP$83,Налоги!$F$25:$F$83,$F383,Налоги!$AB$25:$AB$83,$G383)</f>
        <v>0</v>
      </c>
      <c r="AR383" s="951">
        <f>_xlfn.SUMIFS(Налоги!AQ$25:AQ$83,Налоги!$F$25:$F$83,$F383,Налоги!$AB$25:$AB$83,$G383)</f>
        <v>0</v>
      </c>
      <c r="AS383" s="951">
        <f>_xlfn.SUMIFS(Налоги!AR$25:AR$83,Налоги!$F$25:$F$83,$F383,Налоги!$AB$25:$AB$83,$G383)</f>
        <v>0</v>
      </c>
      <c r="AT383" s="951">
        <f>_xlfn.SUMIFS(Налоги!AS$25:AS$83,Налоги!$F$25:$F$83,$F383,Налоги!$AB$25:$AB$83,$G383)</f>
        <v>0</v>
      </c>
      <c r="AU383" s="951">
        <f>_xlfn.SUMIFS(Налоги!AT$25:AT$83,Налоги!$F$25:$F$83,$F383,Налоги!$AB$25:$AB$83,$G383)</f>
        <v>0</v>
      </c>
      <c r="AV383" s="951">
        <f>_xlfn.SUMIFS(Налоги!AU$25:AU$83,Налоги!$F$25:$F$83,$F383,Налоги!$AB$25:$AB$83,$G383)</f>
        <v>0</v>
      </c>
      <c r="AW383" s="951">
        <f>_xlfn.SUMIFS(Налоги!AV$25:AV$83,Налоги!$F$25:$F$83,$F383,Налоги!$AB$25:$AB$83,$G383)</f>
        <v>0</v>
      </c>
      <c r="AX383" s="951">
        <f>_xlfn.SUMIFS(Налоги!AW$25:AW$83,Налоги!$F$25:$F$83,$F383,Налоги!$AB$25:$AB$83,$G383)</f>
        <v>0</v>
      </c>
      <c r="AY383" s="951">
        <f>_xlfn.SUMIFS(Налоги!AX$25:AX$83,Налоги!$F$25:$F$83,$F383,Налоги!$AB$25:$AB$83,$G383)</f>
        <v>0</v>
      </c>
      <c r="AZ383" s="951">
        <f>_xlfn.SUMIFS(Налоги!AY$25:AY$83,Налоги!$F$25:$F$83,$F383,Налоги!$AB$25:$AB$83,$G383)</f>
        <v>0</v>
      </c>
      <c r="BA383" s="951">
        <f>_xlfn.SUMIFS(Налоги!AZ$25:AZ$83,Налоги!$F$25:$F$83,$F383,Налоги!$AB$25:$AB$83,$G383)</f>
        <v>0</v>
      </c>
      <c r="BB383" s="951">
        <f>_xlfn.SUMIFS(Налоги!BA$25:BA$83,Налоги!$F$25:$F$83,$F383,Налоги!$AB$25:$AB$83,$G383)</f>
        <v>0</v>
      </c>
      <c r="BC383" s="951">
        <f>_xlfn.SUMIFS(Налоги!BB$25:BB$83,Налоги!$F$25:$F$83,$F383,Налоги!$AB$25:$AB$83,$G383)</f>
        <v>0</v>
      </c>
      <c r="BD383" s="951">
        <f>IF(AI383=0,0,(AT383-AI383)/AI383*100)</f>
        <v>0</v>
      </c>
      <c r="BE383" s="951">
        <f>IF(AT383=0,0,(AU383-AT383)/AT383*100)</f>
        <v>0</v>
      </c>
      <c r="BF383" s="951">
        <f>IF(AU383=0,0,(AV383-AU383)/AU383*100)</f>
        <v>0</v>
      </c>
      <c r="BG383" s="951">
        <f>IF(AV383=0,0,(AW383-AV383)/AV383*100)</f>
        <v>0</v>
      </c>
      <c r="BH383" s="951">
        <f>IF(AW383=0,0,(AX383-AW383)/AW383*100)</f>
        <v>0</v>
      </c>
      <c r="BI383" s="951">
        <f>IF(AX383=0,0,(AY383-AX383)/AX383*100)</f>
        <v>0</v>
      </c>
      <c r="BJ383" s="951">
        <f>IF(AY383=0,0,(AZ383-AY383)/AY383*100)</f>
        <v>0</v>
      </c>
      <c r="BK383" s="951">
        <f>IF(AZ383=0,0,(BA383-AZ383)/AZ383*100)</f>
        <v>0</v>
      </c>
      <c r="BL383" s="951">
        <f>IF(BA383=0,0,(BB383-BA383)/BA383*100)</f>
        <v>0</v>
      </c>
      <c r="BM383" s="951">
        <f>IF(BB383=0,0,(BC383-BB383)/BB383*100)</f>
        <v>0</v>
      </c>
      <c r="BN383" s="6532" t="s">
        <v>2487</v>
      </c>
      <c r="BO383" s="6525" t="str">
        <f>IF(_xlfn.IFERROR(INDEX(Налоги!$K$26:$L$83,MATCH($F383&amp;"7komm",Налоги!$K$26:$K$83,0),2),"")=0,"",_xlfn.IFERROR(INDEX(Налоги!$K$26:$L$83,MATCH($F383&amp;"7komm",Налоги!$K$26:$K$83,0),2),""))</f>
        <v>Глава 25 "НАЛОГ НА ПРИБЫЛЬ ОРГАНИЗАЦИЙ" "Налогового кодекса Российской Федерации (часть вторая)" от 05.08.2000 N 117-ФЗ.</v>
      </c>
      <c r="BP383" s="6533"/>
      <c r="BQ383" s="1297"/>
      <c r="BR383" s="1297"/>
      <c r="BS383" s="1072" t="s">
        <v>2308</v>
      </c>
      <c r="BT383" s="1072"/>
      <c r="BU383" s="1072"/>
      <c r="BV383" s="987"/>
      <c r="BW383" s="987"/>
    </row>
    <row s="1656" customFormat="1" customHeight="1" ht="142.13541666666666">
      <c r="A384" s="1297"/>
      <c r="B384" s="92"/>
      <c r="C384" s="103"/>
      <c r="D384" s="103"/>
      <c r="E384" s="626">
        <v>15</v>
      </c>
      <c r="F384" s="50" cm="1" t="str">
        <f t="array" ref="F384:F384">OFFSET(E384,-1,1)</f>
        <v>2</v>
      </c>
      <c r="G384" s="929">
        <v>6</v>
      </c>
      <c r="H384" s="103"/>
      <c r="I384" s="103" t="s">
        <v>2309</v>
      </c>
      <c r="J384" s="103"/>
      <c r="K384" s="103" t="s">
        <v>2309</v>
      </c>
      <c r="L384" s="988"/>
      <c r="M384" s="103"/>
      <c r="N384" s="103"/>
      <c r="O384" s="103"/>
      <c r="P384" s="103"/>
      <c r="Q384" s="103"/>
      <c r="R384" s="103"/>
      <c r="S384" s="103"/>
      <c r="T384" s="468" cm="1" t="str">
        <f t="array" ref="T384:T384">T383</f>
        <v>true</v>
      </c>
      <c r="U384" s="103"/>
      <c r="V384" s="103"/>
      <c r="W384" s="1297"/>
      <c r="X384" s="1539"/>
      <c r="Y384" s="1297"/>
      <c r="Z384" s="1529"/>
      <c r="AA384" s="1297"/>
      <c r="AB384" s="295" t="s">
        <v>1717</v>
      </c>
      <c r="AC384" s="772" t="s">
        <v>2310</v>
      </c>
      <c r="AD384" s="296" t="s">
        <v>936</v>
      </c>
      <c r="AE384" s="255">
        <f>_xlfn.SUMIFS(Налоги!AE$25:AE$83,Налоги!$F$25:$F$83,$F384,Налоги!$AB$25:$AB$83,$G384)</f>
        <v>1533.89</v>
      </c>
      <c r="AF384" s="255">
        <f>_xlfn.SUMIFS(Налоги!AF$25:AF$83,Налоги!$F$25:$F$83,$F384,Налоги!$AB$25:$AB$83,$G384)</f>
        <v>1578.68</v>
      </c>
      <c r="AG384" s="255">
        <f>_xlfn.SUMIFS(Налоги!AG$25:AG$83,Налоги!$F$25:$F$83,$F384,Налоги!$AB$25:$AB$83,$G384)</f>
        <v>1578.66</v>
      </c>
      <c r="AH384" s="951">
        <f>AG384-AF384</f>
        <v>-0.0199999999999818</v>
      </c>
      <c r="AI384" s="951">
        <f>_xlfn.SUMIFS(Налоги!AH$25:AH$83,Налоги!$F$25:$F$83,$F384,Налоги!$AB$25:$AB$83,$G384)</f>
        <v>1229.56</v>
      </c>
      <c r="AJ384" s="951">
        <f>_xlfn.SUMIFS(Налоги!AI$25:AI$83,Налоги!$F$25:$F$83,$F384,Налоги!$AB$25:$AB$83,$G384)</f>
        <v>905</v>
      </c>
      <c r="AK384" s="951">
        <f>_xlfn.SUMIFS(Налоги!AJ$25:AJ$83,Налоги!$F$25:$F$83,$F384,Налоги!$AB$25:$AB$83,$G384)</f>
        <v>0</v>
      </c>
      <c r="AL384" s="951">
        <f>_xlfn.SUMIFS(Налоги!AK$25:AK$83,Налоги!$F$25:$F$83,$F384,Налоги!$AB$25:$AB$83,$G384)</f>
        <v>0</v>
      </c>
      <c r="AM384" s="951">
        <f>_xlfn.SUMIFS(Налоги!AL$25:AL$83,Налоги!$F$25:$F$83,$F384,Налоги!$AB$25:$AB$83,$G384)</f>
        <v>0</v>
      </c>
      <c r="AN384" s="951">
        <f>_xlfn.SUMIFS(Налоги!AM$25:AM$83,Налоги!$F$25:$F$83,$F384,Налоги!$AB$25:$AB$83,$G384)</f>
        <v>0</v>
      </c>
      <c r="AO384" s="951">
        <f>_xlfn.SUMIFS(Налоги!AN$25:AN$83,Налоги!$F$25:$F$83,$F384,Налоги!$AB$25:$AB$83,$G384)</f>
        <v>0</v>
      </c>
      <c r="AP384" s="951">
        <f>_xlfn.SUMIFS(Налоги!AO$25:AO$83,Налоги!$F$25:$F$83,$F384,Налоги!$AB$25:$AB$83,$G384)</f>
        <v>0</v>
      </c>
      <c r="AQ384" s="951">
        <f>_xlfn.SUMIFS(Налоги!AP$25:AP$83,Налоги!$F$25:$F$83,$F384,Налоги!$AB$25:$AB$83,$G384)</f>
        <v>0</v>
      </c>
      <c r="AR384" s="951">
        <f>_xlfn.SUMIFS(Налоги!AQ$25:AQ$83,Налоги!$F$25:$F$83,$F384,Налоги!$AB$25:$AB$83,$G384)</f>
        <v>0</v>
      </c>
      <c r="AS384" s="951">
        <f>_xlfn.SUMIFS(Налоги!AR$25:AR$83,Налоги!$F$25:$F$83,$F384,Налоги!$AB$25:$AB$83,$G384)</f>
        <v>0</v>
      </c>
      <c r="AT384" s="951">
        <f>_xlfn.SUMIFS(Налоги!AS$25:AS$83,Налоги!$F$25:$F$83,$F384,Налоги!$AB$25:$AB$83,$G384)</f>
        <v>905.05</v>
      </c>
      <c r="AU384" s="951">
        <f>_xlfn.SUMIFS(Налоги!AT$25:AT$83,Налоги!$F$25:$F$83,$F384,Налоги!$AB$25:$AB$83,$G384)</f>
        <v>0</v>
      </c>
      <c r="AV384" s="951">
        <f>_xlfn.SUMIFS(Налоги!AU$25:AU$83,Налоги!$F$25:$F$83,$F384,Налоги!$AB$25:$AB$83,$G384)</f>
        <v>0</v>
      </c>
      <c r="AW384" s="951">
        <f>_xlfn.SUMIFS(Налоги!AV$25:AV$83,Налоги!$F$25:$F$83,$F384,Налоги!$AB$25:$AB$83,$G384)</f>
        <v>0</v>
      </c>
      <c r="AX384" s="951">
        <f>_xlfn.SUMIFS(Налоги!AW$25:AW$83,Налоги!$F$25:$F$83,$F384,Налоги!$AB$25:$AB$83,$G384)</f>
        <v>0</v>
      </c>
      <c r="AY384" s="951">
        <f>_xlfn.SUMIFS(Налоги!AX$25:AX$83,Налоги!$F$25:$F$83,$F384,Налоги!$AB$25:$AB$83,$G384)</f>
        <v>0</v>
      </c>
      <c r="AZ384" s="951">
        <f>_xlfn.SUMIFS(Налоги!AY$25:AY$83,Налоги!$F$25:$F$83,$F384,Налоги!$AB$25:$AB$83,$G384)</f>
        <v>0</v>
      </c>
      <c r="BA384" s="951">
        <f>_xlfn.SUMIFS(Налоги!AZ$25:AZ$83,Налоги!$F$25:$F$83,$F384,Налоги!$AB$25:$AB$83,$G384)</f>
        <v>0</v>
      </c>
      <c r="BB384" s="951">
        <f>_xlfn.SUMIFS(Налоги!BA$25:BA$83,Налоги!$F$25:$F$83,$F384,Налоги!$AB$25:$AB$83,$G384)</f>
        <v>0</v>
      </c>
      <c r="BC384" s="951">
        <f>_xlfn.SUMIFS(Налоги!BB$25:BB$83,Налоги!$F$25:$F$83,$F384,Налоги!$AB$25:$AB$83,$G384)</f>
        <v>0</v>
      </c>
      <c r="BD384" s="951">
        <f>IF(AI384=0,0,(AT384-AI384)/AI384*100)</f>
        <v>-26.3923680015615</v>
      </c>
      <c r="BE384" s="951">
        <f>IF(AT384=0,0,(AU384-AT384)/AT384*100)</f>
        <v>-100</v>
      </c>
      <c r="BF384" s="951">
        <f>IF(AU384=0,0,(AV384-AU384)/AU384*100)</f>
        <v>0</v>
      </c>
      <c r="BG384" s="951">
        <f>IF(AV384=0,0,(AW384-AV384)/AV384*100)</f>
        <v>0</v>
      </c>
      <c r="BH384" s="951">
        <f>IF(AW384=0,0,(AX384-AW384)/AW384*100)</f>
        <v>0</v>
      </c>
      <c r="BI384" s="951">
        <f>IF(AX384=0,0,(AY384-AX384)/AX384*100)</f>
        <v>0</v>
      </c>
      <c r="BJ384" s="951">
        <f>IF(AY384=0,0,(AZ384-AY384)/AY384*100)</f>
        <v>0</v>
      </c>
      <c r="BK384" s="951">
        <f>IF(AZ384=0,0,(BA384-AZ384)/AZ384*100)</f>
        <v>0</v>
      </c>
      <c r="BL384" s="951">
        <f>IF(BA384=0,0,(BB384-BA384)/BA384*100)</f>
        <v>0</v>
      </c>
      <c r="BM384" s="951">
        <f>IF(BB384=0,0,(BC384-BB384)/BB384*100)</f>
        <v>0</v>
      </c>
      <c r="BN384" s="6533" t="s">
        <v>2555</v>
      </c>
      <c r="BO384" s="6525" t="s">
        <v>1494</v>
      </c>
      <c r="BP384" s="6533" t="s">
        <v>2556</v>
      </c>
      <c r="BQ384" s="1297"/>
      <c r="BR384" s="1297"/>
      <c r="BS384" s="1072" t="s">
        <v>2311</v>
      </c>
      <c r="BT384" s="1072"/>
      <c r="BU384" s="1072"/>
      <c r="BV384" s="987"/>
      <c r="BW384" s="987"/>
    </row>
    <row s="1656" customFormat="1" customHeight="1" ht="128.80208333333334">
      <c r="A385" s="1297"/>
      <c r="B385" s="92"/>
      <c r="C385" s="103"/>
      <c r="D385" s="103"/>
      <c r="E385" s="626">
        <v>15</v>
      </c>
      <c r="F385" s="50" cm="1" t="str">
        <f t="array" ref="F385:F385">OFFSET(E385,-1,1)</f>
        <v>2</v>
      </c>
      <c r="G385" s="929">
        <v>2</v>
      </c>
      <c r="H385" s="103"/>
      <c r="I385" s="103" t="s">
        <v>2312</v>
      </c>
      <c r="J385" s="103"/>
      <c r="K385" s="103" t="s">
        <v>2312</v>
      </c>
      <c r="L385" s="988"/>
      <c r="M385" s="103"/>
      <c r="N385" s="103"/>
      <c r="O385" s="103"/>
      <c r="P385" s="103"/>
      <c r="Q385" s="103"/>
      <c r="R385" s="103"/>
      <c r="S385" s="103"/>
      <c r="T385" s="468" cm="1" t="str">
        <f t="array" ref="T385:T385">T384</f>
        <v>true</v>
      </c>
      <c r="U385" s="103"/>
      <c r="V385" s="103"/>
      <c r="W385" s="1297"/>
      <c r="X385" s="1539"/>
      <c r="Y385" s="1297"/>
      <c r="Z385" s="1529"/>
      <c r="AA385" s="1297"/>
      <c r="AB385" s="295" t="s">
        <v>1722</v>
      </c>
      <c r="AC385" s="772" t="s">
        <v>2313</v>
      </c>
      <c r="AD385" s="296" t="s">
        <v>936</v>
      </c>
      <c r="AE385" s="255">
        <f>_xlfn.SUMIFS(Налоги!AE$25:AE$83,Налоги!$F$25:$F$83,$F385,Налоги!$AB$25:$AB$83,$G385)</f>
        <v>1.53</v>
      </c>
      <c r="AF385" s="255">
        <f>_xlfn.SUMIFS(Налоги!AF$25:AF$83,Налоги!$F$25:$F$83,$F385,Налоги!$AB$25:$AB$83,$G385)</f>
        <v>4.56</v>
      </c>
      <c r="AG385" s="255">
        <f>_xlfn.SUMIFS(Налоги!AG$25:AG$83,Налоги!$F$25:$F$83,$F385,Налоги!$AB$25:$AB$83,$G385)</f>
        <v>4.56</v>
      </c>
      <c r="AH385" s="951">
        <f>AG385-AF385</f>
        <v>0</v>
      </c>
      <c r="AI385" s="951">
        <f>_xlfn.SUMIFS(Налоги!AH$25:AH$83,Налоги!$F$25:$F$83,$F385,Налоги!$AB$25:$AB$83,$G385)</f>
        <v>2.45</v>
      </c>
      <c r="AJ385" s="951">
        <f>_xlfn.SUMIFS(Налоги!AI$25:AI$83,Налоги!$F$25:$F$83,$F385,Налоги!$AB$25:$AB$83,$G385)</f>
        <v>4.56</v>
      </c>
      <c r="AK385" s="951">
        <f>_xlfn.SUMIFS(Налоги!AJ$25:AJ$83,Налоги!$F$25:$F$83,$F385,Налоги!$AB$25:$AB$83,$G385)</f>
        <v>0</v>
      </c>
      <c r="AL385" s="951">
        <f>_xlfn.SUMIFS(Налоги!AK$25:AK$83,Налоги!$F$25:$F$83,$F385,Налоги!$AB$25:$AB$83,$G385)</f>
        <v>0</v>
      </c>
      <c r="AM385" s="951">
        <f>_xlfn.SUMIFS(Налоги!AL$25:AL$83,Налоги!$F$25:$F$83,$F385,Налоги!$AB$25:$AB$83,$G385)</f>
        <v>0</v>
      </c>
      <c r="AN385" s="951">
        <f>_xlfn.SUMIFS(Налоги!AM$25:AM$83,Налоги!$F$25:$F$83,$F385,Налоги!$AB$25:$AB$83,$G385)</f>
        <v>0</v>
      </c>
      <c r="AO385" s="951">
        <f>_xlfn.SUMIFS(Налоги!AN$25:AN$83,Налоги!$F$25:$F$83,$F385,Налоги!$AB$25:$AB$83,$G385)</f>
        <v>0</v>
      </c>
      <c r="AP385" s="951">
        <f>_xlfn.SUMIFS(Налоги!AO$25:AO$83,Налоги!$F$25:$F$83,$F385,Налоги!$AB$25:$AB$83,$G385)</f>
        <v>0</v>
      </c>
      <c r="AQ385" s="951">
        <f>_xlfn.SUMIFS(Налоги!AP$25:AP$83,Налоги!$F$25:$F$83,$F385,Налоги!$AB$25:$AB$83,$G385)</f>
        <v>0</v>
      </c>
      <c r="AR385" s="951">
        <f>_xlfn.SUMIFS(Налоги!AQ$25:AQ$83,Налоги!$F$25:$F$83,$F385,Налоги!$AB$25:$AB$83,$G385)</f>
        <v>0</v>
      </c>
      <c r="AS385" s="951">
        <f>_xlfn.SUMIFS(Налоги!AR$25:AR$83,Налоги!$F$25:$F$83,$F385,Налоги!$AB$25:$AB$83,$G385)</f>
        <v>0</v>
      </c>
      <c r="AT385" s="951">
        <f>_xlfn.SUMIFS(Налоги!AS$25:AS$83,Налоги!$F$25:$F$83,$F385,Налоги!$AB$25:$AB$83,$G385)</f>
        <v>4.56</v>
      </c>
      <c r="AU385" s="951">
        <f>_xlfn.SUMIFS(Налоги!AT$25:AT$83,Налоги!$F$25:$F$83,$F385,Налоги!$AB$25:$AB$83,$G385)</f>
        <v>0</v>
      </c>
      <c r="AV385" s="951">
        <f>_xlfn.SUMIFS(Налоги!AU$25:AU$83,Налоги!$F$25:$F$83,$F385,Налоги!$AB$25:$AB$83,$G385)</f>
        <v>0</v>
      </c>
      <c r="AW385" s="951">
        <f>_xlfn.SUMIFS(Налоги!AV$25:AV$83,Налоги!$F$25:$F$83,$F385,Налоги!$AB$25:$AB$83,$G385)</f>
        <v>0</v>
      </c>
      <c r="AX385" s="951">
        <f>_xlfn.SUMIFS(Налоги!AW$25:AW$83,Налоги!$F$25:$F$83,$F385,Налоги!$AB$25:$AB$83,$G385)</f>
        <v>0</v>
      </c>
      <c r="AY385" s="951">
        <f>_xlfn.SUMIFS(Налоги!AX$25:AX$83,Налоги!$F$25:$F$83,$F385,Налоги!$AB$25:$AB$83,$G385)</f>
        <v>0</v>
      </c>
      <c r="AZ385" s="951">
        <f>_xlfn.SUMIFS(Налоги!AY$25:AY$83,Налоги!$F$25:$F$83,$F385,Налоги!$AB$25:$AB$83,$G385)</f>
        <v>0</v>
      </c>
      <c r="BA385" s="951">
        <f>_xlfn.SUMIFS(Налоги!AZ$25:AZ$83,Налоги!$F$25:$F$83,$F385,Налоги!$AB$25:$AB$83,$G385)</f>
        <v>0</v>
      </c>
      <c r="BB385" s="951">
        <f>_xlfn.SUMIFS(Налоги!BA$25:BA$83,Налоги!$F$25:$F$83,$F385,Налоги!$AB$25:$AB$83,$G385)</f>
        <v>0</v>
      </c>
      <c r="BC385" s="951">
        <f>_xlfn.SUMIFS(Налоги!BB$25:BB$83,Налоги!$F$25:$F$83,$F385,Налоги!$AB$25:$AB$83,$G385)</f>
        <v>0</v>
      </c>
      <c r="BD385" s="951">
        <f>IF(AI385=0,0,(AT385-AI385)/AI385*100)</f>
        <v>86.1224489795918</v>
      </c>
      <c r="BE385" s="951">
        <f>IF(AT385=0,0,(AU385-AT385)/AT385*100)</f>
        <v>-100</v>
      </c>
      <c r="BF385" s="951">
        <f>IF(AU385=0,0,(AV385-AU385)/AU385*100)</f>
        <v>0</v>
      </c>
      <c r="BG385" s="951">
        <f>IF(AV385=0,0,(AW385-AV385)/AV385*100)</f>
        <v>0</v>
      </c>
      <c r="BH385" s="951">
        <f>IF(AW385=0,0,(AX385-AW385)/AW385*100)</f>
        <v>0</v>
      </c>
      <c r="BI385" s="951">
        <f>IF(AX385=0,0,(AY385-AX385)/AX385*100)</f>
        <v>0</v>
      </c>
      <c r="BJ385" s="951">
        <f>IF(AY385=0,0,(AZ385-AY385)/AY385*100)</f>
        <v>0</v>
      </c>
      <c r="BK385" s="951">
        <f>IF(AZ385=0,0,(BA385-AZ385)/AZ385*100)</f>
        <v>0</v>
      </c>
      <c r="BL385" s="951">
        <f>IF(BA385=0,0,(BB385-BA385)/BA385*100)</f>
        <v>0</v>
      </c>
      <c r="BM385" s="951">
        <f>IF(BB385=0,0,(BC385-BB385)/BB385*100)</f>
        <v>0</v>
      </c>
      <c r="BN385" s="6532" t="s">
        <v>2557</v>
      </c>
      <c r="BO385" s="6525" t="str">
        <f>IF(_xlfn.IFERROR(INDEX(Налоги!$K$26:$L$83,MATCH($F385&amp;"2komm",Налоги!$K$26:$K$83,0),2),"")=0,"",_xlfn.IFERROR(INDEX(Налоги!$K$26:$L$83,MATCH($F385&amp;"2komm",Налоги!$K$26:$K$83,0),2),""))</f>
        <v>1) Глава 31 "ЗЕМЕЛЬНЫЙ НАЛОГ" "Налогового кодекса Российской Федерации (часть вторая)" от 05.08.2000 N 117-ФЗ. 2) Постановление Кемеровского городского Совета народных депутатов от 30.09.2005 N 263 (ред. от 27.06.2025) "Об установлении и введении в действие на территории города Кемерово земельного налога"  (для  затрат на сч. 26). 3)  Приказ ФНС России от 04.09.2019 N ММВ-7-21/440@.</v>
      </c>
      <c r="BP385" s="6533" t="s">
        <v>2556</v>
      </c>
      <c r="BQ385" s="1297"/>
      <c r="BR385" s="1297"/>
      <c r="BS385" s="1072" t="s">
        <v>2314</v>
      </c>
      <c r="BT385" s="1072"/>
      <c r="BU385" s="1072"/>
      <c r="BV385" s="987"/>
      <c r="BW385" s="987"/>
    </row>
    <row s="1656" customFormat="1" customHeight="1" ht="17.96875">
      <c r="A386" s="1297"/>
      <c r="B386" s="92"/>
      <c r="C386" s="103"/>
      <c r="D386" s="103"/>
      <c r="E386" s="626">
        <v>15</v>
      </c>
      <c r="F386" s="50" cm="1" t="str">
        <f t="array" ref="F386:F386">OFFSET(E386,-1,1)</f>
        <v>2</v>
      </c>
      <c r="G386" s="929">
        <v>4</v>
      </c>
      <c r="H386" s="103"/>
      <c r="I386" s="103" t="s">
        <v>2315</v>
      </c>
      <c r="J386" s="103"/>
      <c r="K386" s="103" t="s">
        <v>2315</v>
      </c>
      <c r="L386" s="988"/>
      <c r="M386" s="103"/>
      <c r="N386" s="103"/>
      <c r="O386" s="103"/>
      <c r="P386" s="103"/>
      <c r="Q386" s="103"/>
      <c r="R386" s="103"/>
      <c r="S386" s="103"/>
      <c r="T386" s="468" cm="1" t="str">
        <f t="array" ref="T386:T386">T385</f>
        <v>true</v>
      </c>
      <c r="U386" s="103"/>
      <c r="V386" s="103"/>
      <c r="W386" s="1297"/>
      <c r="X386" s="1539"/>
      <c r="Y386" s="1297"/>
      <c r="Z386" s="1529"/>
      <c r="AA386" s="1297"/>
      <c r="AB386" s="295" t="s">
        <v>2316</v>
      </c>
      <c r="AC386" s="772" t="s">
        <v>2317</v>
      </c>
      <c r="AD386" s="296" t="s">
        <v>936</v>
      </c>
      <c r="AE386" s="255">
        <f>_xlfn.SUMIFS(Налоги!AE$25:AE$83,Налоги!$F$25:$F$83,$F386,Налоги!$AB$25:$AB$83,$G386)</f>
        <v>0</v>
      </c>
      <c r="AF386" s="255">
        <f>_xlfn.SUMIFS(Налоги!AF$25:AF$83,Налоги!$F$25:$F$83,$F386,Налоги!$AB$25:$AB$83,$G386)</f>
        <v>0</v>
      </c>
      <c r="AG386" s="255">
        <f>_xlfn.SUMIFS(Налоги!AG$25:AG$83,Налоги!$F$25:$F$83,$F386,Налоги!$AB$25:$AB$83,$G386)</f>
        <v>0</v>
      </c>
      <c r="AH386" s="951">
        <f>AG386-AF386</f>
        <v>0</v>
      </c>
      <c r="AI386" s="951">
        <f>_xlfn.SUMIFS(Налоги!AH$25:AH$83,Налоги!$F$25:$F$83,$F386,Налоги!$AB$25:$AB$83,$G386)</f>
        <v>0</v>
      </c>
      <c r="AJ386" s="951">
        <f>_xlfn.SUMIFS(Налоги!AI$25:AI$83,Налоги!$F$25:$F$83,$F386,Налоги!$AB$25:$AB$83,$G386)</f>
        <v>0</v>
      </c>
      <c r="AK386" s="951">
        <f>_xlfn.SUMIFS(Налоги!AJ$25:AJ$83,Налоги!$F$25:$F$83,$F386,Налоги!$AB$25:$AB$83,$G386)</f>
        <v>0</v>
      </c>
      <c r="AL386" s="951">
        <f>_xlfn.SUMIFS(Налоги!AK$25:AK$83,Налоги!$F$25:$F$83,$F386,Налоги!$AB$25:$AB$83,$G386)</f>
        <v>0</v>
      </c>
      <c r="AM386" s="951">
        <f>_xlfn.SUMIFS(Налоги!AL$25:AL$83,Налоги!$F$25:$F$83,$F386,Налоги!$AB$25:$AB$83,$G386)</f>
        <v>0</v>
      </c>
      <c r="AN386" s="951">
        <f>_xlfn.SUMIFS(Налоги!AM$25:AM$83,Налоги!$F$25:$F$83,$F386,Налоги!$AB$25:$AB$83,$G386)</f>
        <v>0</v>
      </c>
      <c r="AO386" s="951">
        <f>_xlfn.SUMIFS(Налоги!AN$25:AN$83,Налоги!$F$25:$F$83,$F386,Налоги!$AB$25:$AB$83,$G386)</f>
        <v>0</v>
      </c>
      <c r="AP386" s="951">
        <f>_xlfn.SUMIFS(Налоги!AO$25:AO$83,Налоги!$F$25:$F$83,$F386,Налоги!$AB$25:$AB$83,$G386)</f>
        <v>0</v>
      </c>
      <c r="AQ386" s="951">
        <f>_xlfn.SUMIFS(Налоги!AP$25:AP$83,Налоги!$F$25:$F$83,$F386,Налоги!$AB$25:$AB$83,$G386)</f>
        <v>0</v>
      </c>
      <c r="AR386" s="951">
        <f>_xlfn.SUMIFS(Налоги!AQ$25:AQ$83,Налоги!$F$25:$F$83,$F386,Налоги!$AB$25:$AB$83,$G386)</f>
        <v>0</v>
      </c>
      <c r="AS386" s="951">
        <f>_xlfn.SUMIFS(Налоги!AR$25:AR$83,Налоги!$F$25:$F$83,$F386,Налоги!$AB$25:$AB$83,$G386)</f>
        <v>0</v>
      </c>
      <c r="AT386" s="951">
        <f>_xlfn.SUMIFS(Налоги!AS$25:AS$83,Налоги!$F$25:$F$83,$F386,Налоги!$AB$25:$AB$83,$G386)</f>
        <v>0</v>
      </c>
      <c r="AU386" s="951">
        <f>_xlfn.SUMIFS(Налоги!AT$25:AT$83,Налоги!$F$25:$F$83,$F386,Налоги!$AB$25:$AB$83,$G386)</f>
        <v>0</v>
      </c>
      <c r="AV386" s="951">
        <f>_xlfn.SUMIFS(Налоги!AU$25:AU$83,Налоги!$F$25:$F$83,$F386,Налоги!$AB$25:$AB$83,$G386)</f>
        <v>0</v>
      </c>
      <c r="AW386" s="951">
        <f>_xlfn.SUMIFS(Налоги!AV$25:AV$83,Налоги!$F$25:$F$83,$F386,Налоги!$AB$25:$AB$83,$G386)</f>
        <v>0</v>
      </c>
      <c r="AX386" s="951">
        <f>_xlfn.SUMIFS(Налоги!AW$25:AW$83,Налоги!$F$25:$F$83,$F386,Налоги!$AB$25:$AB$83,$G386)</f>
        <v>0</v>
      </c>
      <c r="AY386" s="951">
        <f>_xlfn.SUMIFS(Налоги!AX$25:AX$83,Налоги!$F$25:$F$83,$F386,Налоги!$AB$25:$AB$83,$G386)</f>
        <v>0</v>
      </c>
      <c r="AZ386" s="951">
        <f>_xlfn.SUMIFS(Налоги!AY$25:AY$83,Налоги!$F$25:$F$83,$F386,Налоги!$AB$25:$AB$83,$G386)</f>
        <v>0</v>
      </c>
      <c r="BA386" s="951">
        <f>_xlfn.SUMIFS(Налоги!AZ$25:AZ$83,Налоги!$F$25:$F$83,$F386,Налоги!$AB$25:$AB$83,$G386)</f>
        <v>0</v>
      </c>
      <c r="BB386" s="951">
        <f>_xlfn.SUMIFS(Налоги!BA$25:BA$83,Налоги!$F$25:$F$83,$F386,Налоги!$AB$25:$AB$83,$G386)</f>
        <v>0</v>
      </c>
      <c r="BC386" s="951">
        <f>_xlfn.SUMIFS(Налоги!BB$25:BB$83,Налоги!$F$25:$F$83,$F386,Налоги!$AB$25:$AB$83,$G386)</f>
        <v>0</v>
      </c>
      <c r="BD386" s="951">
        <f>IF(AI386=0,0,(AT386-AI386)/AI386*100)</f>
        <v>0</v>
      </c>
      <c r="BE386" s="951">
        <f>IF(AT386=0,0,(AU386-AT386)/AT386*100)</f>
        <v>0</v>
      </c>
      <c r="BF386" s="951">
        <f>IF(AU386=0,0,(AV386-AU386)/AU386*100)</f>
        <v>0</v>
      </c>
      <c r="BG386" s="951">
        <f>IF(AV386=0,0,(AW386-AV386)/AV386*100)</f>
        <v>0</v>
      </c>
      <c r="BH386" s="951">
        <f>IF(AW386=0,0,(AX386-AW386)/AW386*100)</f>
        <v>0</v>
      </c>
      <c r="BI386" s="951">
        <f>IF(AX386=0,0,(AY386-AX386)/AX386*100)</f>
        <v>0</v>
      </c>
      <c r="BJ386" s="951">
        <f>IF(AY386=0,0,(AZ386-AY386)/AY386*100)</f>
        <v>0</v>
      </c>
      <c r="BK386" s="951">
        <f>IF(AZ386=0,0,(BA386-AZ386)/AZ386*100)</f>
        <v>0</v>
      </c>
      <c r="BL386" s="951">
        <f>IF(BA386=0,0,(BB386-BA386)/BA386*100)</f>
        <v>0</v>
      </c>
      <c r="BM386" s="951">
        <f>IF(BB386=0,0,(BC386-BB386)/BB386*100)</f>
        <v>0</v>
      </c>
      <c r="BN386" s="6533"/>
      <c r="BO386" s="6525"/>
      <c r="BP386" s="6533"/>
      <c r="BQ386" s="1297"/>
      <c r="BR386" s="1297"/>
      <c r="BS386" s="1072" t="s">
        <v>2318</v>
      </c>
      <c r="BT386" s="1072"/>
      <c r="BU386" s="1072"/>
      <c r="BV386" s="987"/>
      <c r="BW386" s="987"/>
    </row>
    <row s="1656" customFormat="1" customHeight="1" ht="14.25">
      <c r="A387" s="1297"/>
      <c r="B387" s="92"/>
      <c r="C387" s="103"/>
      <c r="D387" s="103"/>
      <c r="E387" s="626">
        <v>15</v>
      </c>
      <c r="F387" s="50" cm="1" t="str">
        <f t="array" ref="F387:F387">OFFSET(E387,-1,1)</f>
        <v>2</v>
      </c>
      <c r="G387" s="929">
        <v>5</v>
      </c>
      <c r="H387" s="103"/>
      <c r="I387" s="103" t="s">
        <v>2319</v>
      </c>
      <c r="J387" s="103"/>
      <c r="K387" s="103" t="s">
        <v>2319</v>
      </c>
      <c r="L387" s="988"/>
      <c r="M387" s="103"/>
      <c r="N387" s="103"/>
      <c r="O387" s="103"/>
      <c r="P387" s="103"/>
      <c r="Q387" s="103"/>
      <c r="R387" s="103"/>
      <c r="S387" s="103"/>
      <c r="T387" s="468" cm="1" t="str">
        <f t="array" ref="T387:T387">T386</f>
        <v>true</v>
      </c>
      <c r="U387" s="103"/>
      <c r="V387" s="103"/>
      <c r="W387" s="1297"/>
      <c r="X387" s="1539"/>
      <c r="Y387" s="1297"/>
      <c r="Z387" s="1529"/>
      <c r="AA387" s="1297"/>
      <c r="AB387" s="295" t="s">
        <v>2320</v>
      </c>
      <c r="AC387" s="772" t="s">
        <v>2321</v>
      </c>
      <c r="AD387" s="296" t="s">
        <v>936</v>
      </c>
      <c r="AE387" s="255">
        <f>_xlfn.SUMIFS(Налоги!AE$25:AE$83,Налоги!$F$25:$F$83,$F387,Налоги!$AB$25:$AB$83,$G387)</f>
        <v>0</v>
      </c>
      <c r="AF387" s="255">
        <f>_xlfn.SUMIFS(Налоги!AF$25:AF$83,Налоги!$F$25:$F$83,$F387,Налоги!$AB$25:$AB$83,$G387)</f>
        <v>0</v>
      </c>
      <c r="AG387" s="255">
        <f>_xlfn.SUMIFS(Налоги!AG$25:AG$83,Налоги!$F$25:$F$83,$F387,Налоги!$AB$25:$AB$83,$G387)</f>
        <v>0</v>
      </c>
      <c r="AH387" s="951">
        <f>AG387-AF387</f>
        <v>0</v>
      </c>
      <c r="AI387" s="951">
        <f>_xlfn.SUMIFS(Налоги!AH$25:AH$83,Налоги!$F$25:$F$83,$F387,Налоги!$AB$25:$AB$83,$G387)</f>
        <v>0</v>
      </c>
      <c r="AJ387" s="951">
        <f>_xlfn.SUMIFS(Налоги!AI$25:AI$83,Налоги!$F$25:$F$83,$F387,Налоги!$AB$25:$AB$83,$G387)</f>
        <v>0</v>
      </c>
      <c r="AK387" s="951">
        <f>_xlfn.SUMIFS(Налоги!AJ$25:AJ$83,Налоги!$F$25:$F$83,$F387,Налоги!$AB$25:$AB$83,$G387)</f>
        <v>0</v>
      </c>
      <c r="AL387" s="951">
        <f>_xlfn.SUMIFS(Налоги!AK$25:AK$83,Налоги!$F$25:$F$83,$F387,Налоги!$AB$25:$AB$83,$G387)</f>
        <v>0</v>
      </c>
      <c r="AM387" s="951">
        <f>_xlfn.SUMIFS(Налоги!AL$25:AL$83,Налоги!$F$25:$F$83,$F387,Налоги!$AB$25:$AB$83,$G387)</f>
        <v>0</v>
      </c>
      <c r="AN387" s="951">
        <f>_xlfn.SUMIFS(Налоги!AM$25:AM$83,Налоги!$F$25:$F$83,$F387,Налоги!$AB$25:$AB$83,$G387)</f>
        <v>0</v>
      </c>
      <c r="AO387" s="951">
        <f>_xlfn.SUMIFS(Налоги!AN$25:AN$83,Налоги!$F$25:$F$83,$F387,Налоги!$AB$25:$AB$83,$G387)</f>
        <v>0</v>
      </c>
      <c r="AP387" s="951">
        <f>_xlfn.SUMIFS(Налоги!AO$25:AO$83,Налоги!$F$25:$F$83,$F387,Налоги!$AB$25:$AB$83,$G387)</f>
        <v>0</v>
      </c>
      <c r="AQ387" s="951">
        <f>_xlfn.SUMIFS(Налоги!AP$25:AP$83,Налоги!$F$25:$F$83,$F387,Налоги!$AB$25:$AB$83,$G387)</f>
        <v>0</v>
      </c>
      <c r="AR387" s="951">
        <f>_xlfn.SUMIFS(Налоги!AQ$25:AQ$83,Налоги!$F$25:$F$83,$F387,Налоги!$AB$25:$AB$83,$G387)</f>
        <v>0</v>
      </c>
      <c r="AS387" s="951">
        <f>_xlfn.SUMIFS(Налоги!AR$25:AR$83,Налоги!$F$25:$F$83,$F387,Налоги!$AB$25:$AB$83,$G387)</f>
        <v>0</v>
      </c>
      <c r="AT387" s="951">
        <f>_xlfn.SUMIFS(Налоги!AS$25:AS$83,Налоги!$F$25:$F$83,$F387,Налоги!$AB$25:$AB$83,$G387)</f>
        <v>0</v>
      </c>
      <c r="AU387" s="951">
        <f>_xlfn.SUMIFS(Налоги!AT$25:AT$83,Налоги!$F$25:$F$83,$F387,Налоги!$AB$25:$AB$83,$G387)</f>
        <v>0</v>
      </c>
      <c r="AV387" s="951">
        <f>_xlfn.SUMIFS(Налоги!AU$25:AU$83,Налоги!$F$25:$F$83,$F387,Налоги!$AB$25:$AB$83,$G387)</f>
        <v>0</v>
      </c>
      <c r="AW387" s="951">
        <f>_xlfn.SUMIFS(Налоги!AV$25:AV$83,Налоги!$F$25:$F$83,$F387,Налоги!$AB$25:$AB$83,$G387)</f>
        <v>0</v>
      </c>
      <c r="AX387" s="951">
        <f>_xlfn.SUMIFS(Налоги!AW$25:AW$83,Налоги!$F$25:$F$83,$F387,Налоги!$AB$25:$AB$83,$G387)</f>
        <v>0</v>
      </c>
      <c r="AY387" s="951">
        <f>_xlfn.SUMIFS(Налоги!AX$25:AX$83,Налоги!$F$25:$F$83,$F387,Налоги!$AB$25:$AB$83,$G387)</f>
        <v>0</v>
      </c>
      <c r="AZ387" s="951">
        <f>_xlfn.SUMIFS(Налоги!AY$25:AY$83,Налоги!$F$25:$F$83,$F387,Налоги!$AB$25:$AB$83,$G387)</f>
        <v>0</v>
      </c>
      <c r="BA387" s="951">
        <f>_xlfn.SUMIFS(Налоги!AZ$25:AZ$83,Налоги!$F$25:$F$83,$F387,Налоги!$AB$25:$AB$83,$G387)</f>
        <v>0</v>
      </c>
      <c r="BB387" s="951">
        <f>_xlfn.SUMIFS(Налоги!BA$25:BA$83,Налоги!$F$25:$F$83,$F387,Налоги!$AB$25:$AB$83,$G387)</f>
        <v>0</v>
      </c>
      <c r="BC387" s="951">
        <f>_xlfn.SUMIFS(Налоги!BB$25:BB$83,Налоги!$F$25:$F$83,$F387,Налоги!$AB$25:$AB$83,$G387)</f>
        <v>0</v>
      </c>
      <c r="BD387" s="951">
        <f>IF(AI387=0,0,(AT387-AI387)/AI387*100)</f>
        <v>0</v>
      </c>
      <c r="BE387" s="951">
        <f>IF(AT387=0,0,(AU387-AT387)/AT387*100)</f>
        <v>0</v>
      </c>
      <c r="BF387" s="951">
        <f>IF(AU387=0,0,(AV387-AU387)/AU387*100)</f>
        <v>0</v>
      </c>
      <c r="BG387" s="951">
        <f>IF(AV387=0,0,(AW387-AV387)/AV387*100)</f>
        <v>0</v>
      </c>
      <c r="BH387" s="951">
        <f>IF(AW387=0,0,(AX387-AW387)/AW387*100)</f>
        <v>0</v>
      </c>
      <c r="BI387" s="951">
        <f>IF(AX387=0,0,(AY387-AX387)/AX387*100)</f>
        <v>0</v>
      </c>
      <c r="BJ387" s="951">
        <f>IF(AY387=0,0,(AZ387-AY387)/AY387*100)</f>
        <v>0</v>
      </c>
      <c r="BK387" s="951">
        <f>IF(AZ387=0,0,(BA387-AZ387)/AZ387*100)</f>
        <v>0</v>
      </c>
      <c r="BL387" s="951">
        <f>IF(BA387=0,0,(BB387-BA387)/BA387*100)</f>
        <v>0</v>
      </c>
      <c r="BM387" s="951">
        <f>IF(BB387=0,0,(BC387-BB387)/BB387*100)</f>
        <v>0</v>
      </c>
      <c r="BN387" s="6533"/>
      <c r="BO387" s="6525" t="str">
        <f>IF(_xlfn.IFERROR(INDEX(Налоги!$K$26:$L$83,MATCH($F387&amp;"5komm",Налоги!$K$26:$K$83,0),2),"")=0,"",_xlfn.IFERROR(INDEX(Налоги!$K$26:$L$83,MATCH($F387&amp;"5komm",Налоги!$K$26:$K$83,0),2),""))</f>
        <v/>
      </c>
      <c r="BP387" s="6533"/>
      <c r="BQ387" s="1297"/>
      <c r="BR387" s="1297"/>
      <c r="BS387" s="1072" t="s">
        <v>2322</v>
      </c>
      <c r="BT387" s="1072"/>
      <c r="BU387" s="1072"/>
      <c r="BV387" s="987"/>
      <c r="BW387" s="987"/>
    </row>
    <row s="1656" customFormat="1" customHeight="1" ht="87.96875">
      <c r="A388" s="1297"/>
      <c r="B388" s="92"/>
      <c r="C388" s="103"/>
      <c r="D388" s="103"/>
      <c r="E388" s="626">
        <v>15</v>
      </c>
      <c r="F388" s="50" cm="1" t="str">
        <f t="array" ref="F388:F388">OFFSET(E388,-1,1)</f>
        <v>2</v>
      </c>
      <c r="G388" s="929">
        <v>1</v>
      </c>
      <c r="H388" s="103"/>
      <c r="I388" s="103" t="s">
        <v>2323</v>
      </c>
      <c r="J388" s="103"/>
      <c r="K388" s="103" t="s">
        <v>2323</v>
      </c>
      <c r="L388" s="988"/>
      <c r="M388" s="103"/>
      <c r="N388" s="103"/>
      <c r="O388" s="103"/>
      <c r="P388" s="103"/>
      <c r="Q388" s="103"/>
      <c r="R388" s="103"/>
      <c r="S388" s="103"/>
      <c r="T388" s="468" cm="1" t="str">
        <f t="array" ref="T388:T388">T387</f>
        <v>true</v>
      </c>
      <c r="U388" s="103"/>
      <c r="V388" s="103"/>
      <c r="W388" s="1297"/>
      <c r="X388" s="1539"/>
      <c r="Y388" s="1297"/>
      <c r="Z388" s="1529"/>
      <c r="AA388" s="1297"/>
      <c r="AB388" s="295" t="s">
        <v>2324</v>
      </c>
      <c r="AC388" s="772" t="s">
        <v>2325</v>
      </c>
      <c r="AD388" s="296" t="s">
        <v>936</v>
      </c>
      <c r="AE388" s="255">
        <f>_xlfn.SUMIFS(Налоги!AE$25:AE$83,Налоги!$F$25:$F$83,$F388,Налоги!$AB$25:$AB$83,$G388)</f>
        <v>1.96</v>
      </c>
      <c r="AF388" s="255">
        <f>_xlfn.SUMIFS(Налоги!AF$25:AF$83,Налоги!$F$25:$F$83,$F388,Налоги!$AB$25:$AB$83,$G388)</f>
        <v>45.7</v>
      </c>
      <c r="AG388" s="255">
        <f>_xlfn.SUMIFS(Налоги!AG$25:AG$83,Налоги!$F$25:$F$83,$F388,Налоги!$AB$25:$AB$83,$G388)</f>
        <v>45.7</v>
      </c>
      <c r="AH388" s="951">
        <f>AG388-AF388</f>
        <v>0</v>
      </c>
      <c r="AI388" s="951">
        <f>_xlfn.SUMIFS(Налоги!AH$25:AH$83,Налоги!$F$25:$F$83,$F388,Налоги!$AB$25:$AB$83,$G388)</f>
        <v>6.82</v>
      </c>
      <c r="AJ388" s="951">
        <f>_xlfn.SUMIFS(Налоги!AI$25:AI$83,Налоги!$F$25:$F$83,$F388,Налоги!$AB$25:$AB$83,$G388)</f>
        <v>45.7</v>
      </c>
      <c r="AK388" s="951">
        <f>_xlfn.SUMIFS(Налоги!AJ$25:AJ$83,Налоги!$F$25:$F$83,$F388,Налоги!$AB$25:$AB$83,$G388)</f>
        <v>0</v>
      </c>
      <c r="AL388" s="951">
        <f>_xlfn.SUMIFS(Налоги!AK$25:AK$83,Налоги!$F$25:$F$83,$F388,Налоги!$AB$25:$AB$83,$G388)</f>
        <v>0</v>
      </c>
      <c r="AM388" s="951">
        <f>_xlfn.SUMIFS(Налоги!AL$25:AL$83,Налоги!$F$25:$F$83,$F388,Налоги!$AB$25:$AB$83,$G388)</f>
        <v>0</v>
      </c>
      <c r="AN388" s="951">
        <f>_xlfn.SUMIFS(Налоги!AM$25:AM$83,Налоги!$F$25:$F$83,$F388,Налоги!$AB$25:$AB$83,$G388)</f>
        <v>0</v>
      </c>
      <c r="AO388" s="951">
        <f>_xlfn.SUMIFS(Налоги!AN$25:AN$83,Налоги!$F$25:$F$83,$F388,Налоги!$AB$25:$AB$83,$G388)</f>
        <v>0</v>
      </c>
      <c r="AP388" s="951">
        <f>_xlfn.SUMIFS(Налоги!AO$25:AO$83,Налоги!$F$25:$F$83,$F388,Налоги!$AB$25:$AB$83,$G388)</f>
        <v>0</v>
      </c>
      <c r="AQ388" s="951">
        <f>_xlfn.SUMIFS(Налоги!AP$25:AP$83,Налоги!$F$25:$F$83,$F388,Налоги!$AB$25:$AB$83,$G388)</f>
        <v>0</v>
      </c>
      <c r="AR388" s="951">
        <f>_xlfn.SUMIFS(Налоги!AQ$25:AQ$83,Налоги!$F$25:$F$83,$F388,Налоги!$AB$25:$AB$83,$G388)</f>
        <v>0</v>
      </c>
      <c r="AS388" s="951">
        <f>_xlfn.SUMIFS(Налоги!AR$25:AR$83,Налоги!$F$25:$F$83,$F388,Налоги!$AB$25:$AB$83,$G388)</f>
        <v>0</v>
      </c>
      <c r="AT388" s="951">
        <f>_xlfn.SUMIFS(Налоги!AS$25:AS$83,Налоги!$F$25:$F$83,$F388,Налоги!$AB$25:$AB$83,$G388)</f>
        <v>45.7</v>
      </c>
      <c r="AU388" s="951">
        <f>_xlfn.SUMIFS(Налоги!AT$25:AT$83,Налоги!$F$25:$F$83,$F388,Налоги!$AB$25:$AB$83,$G388)</f>
        <v>0</v>
      </c>
      <c r="AV388" s="951">
        <f>_xlfn.SUMIFS(Налоги!AU$25:AU$83,Налоги!$F$25:$F$83,$F388,Налоги!$AB$25:$AB$83,$G388)</f>
        <v>0</v>
      </c>
      <c r="AW388" s="951">
        <f>_xlfn.SUMIFS(Налоги!AV$25:AV$83,Налоги!$F$25:$F$83,$F388,Налоги!$AB$25:$AB$83,$G388)</f>
        <v>0</v>
      </c>
      <c r="AX388" s="951">
        <f>_xlfn.SUMIFS(Налоги!AW$25:AW$83,Налоги!$F$25:$F$83,$F388,Налоги!$AB$25:$AB$83,$G388)</f>
        <v>0</v>
      </c>
      <c r="AY388" s="951">
        <f>_xlfn.SUMIFS(Налоги!AX$25:AX$83,Налоги!$F$25:$F$83,$F388,Налоги!$AB$25:$AB$83,$G388)</f>
        <v>0</v>
      </c>
      <c r="AZ388" s="951">
        <f>_xlfn.SUMIFS(Налоги!AY$25:AY$83,Налоги!$F$25:$F$83,$F388,Налоги!$AB$25:$AB$83,$G388)</f>
        <v>0</v>
      </c>
      <c r="BA388" s="951">
        <f>_xlfn.SUMIFS(Налоги!AZ$25:AZ$83,Налоги!$F$25:$F$83,$F388,Налоги!$AB$25:$AB$83,$G388)</f>
        <v>0</v>
      </c>
      <c r="BB388" s="951">
        <f>_xlfn.SUMIFS(Налоги!BA$25:BA$83,Налоги!$F$25:$F$83,$F388,Налоги!$AB$25:$AB$83,$G388)</f>
        <v>0</v>
      </c>
      <c r="BC388" s="951">
        <f>_xlfn.SUMIFS(Налоги!BB$25:BB$83,Налоги!$F$25:$F$83,$F388,Налоги!$AB$25:$AB$83,$G388)</f>
        <v>0</v>
      </c>
      <c r="BD388" s="951">
        <f>IF(AI388=0,0,(AT388-AI388)/AI388*100)</f>
        <v>570.087976539589</v>
      </c>
      <c r="BE388" s="951">
        <f>IF(AT388=0,0,(AU388-AT388)/AT388*100)</f>
        <v>-100</v>
      </c>
      <c r="BF388" s="951">
        <f>IF(AU388=0,0,(AV388-AU388)/AU388*100)</f>
        <v>0</v>
      </c>
      <c r="BG388" s="951">
        <f>IF(AV388=0,0,(AW388-AV388)/AV388*100)</f>
        <v>0</v>
      </c>
      <c r="BH388" s="951">
        <f>IF(AW388=0,0,(AX388-AW388)/AW388*100)</f>
        <v>0</v>
      </c>
      <c r="BI388" s="951">
        <f>IF(AX388=0,0,(AY388-AX388)/AX388*100)</f>
        <v>0</v>
      </c>
      <c r="BJ388" s="951">
        <f>IF(AY388=0,0,(AZ388-AY388)/AY388*100)</f>
        <v>0</v>
      </c>
      <c r="BK388" s="951">
        <f>IF(AZ388=0,0,(BA388-AZ388)/AZ388*100)</f>
        <v>0</v>
      </c>
      <c r="BL388" s="951">
        <f>IF(BA388=0,0,(BB388-BA388)/BA388*100)</f>
        <v>0</v>
      </c>
      <c r="BM388" s="951">
        <f>IF(BB388=0,0,(BC388-BB388)/BB388*100)</f>
        <v>0</v>
      </c>
      <c r="BN388" s="6532" t="s">
        <v>2558</v>
      </c>
      <c r="BO388" s="6525" t="s">
        <v>1497</v>
      </c>
      <c r="BP388" s="6533" t="s">
        <v>2556</v>
      </c>
      <c r="BQ388" s="1297"/>
      <c r="BR388" s="1297"/>
      <c r="BS388" s="1072" t="s">
        <v>2326</v>
      </c>
      <c r="BT388" s="1072"/>
      <c r="BU388" s="1072"/>
      <c r="BV388" s="987"/>
      <c r="BW388" s="987"/>
    </row>
    <row s="1656" customFormat="1" customHeight="1" ht="207.96875">
      <c r="A389" s="1297"/>
      <c r="B389" s="92"/>
      <c r="C389" s="103"/>
      <c r="D389" s="103"/>
      <c r="E389" s="626">
        <v>15</v>
      </c>
      <c r="F389" s="50" cm="1" t="str">
        <f t="array" ref="F389:F389">OFFSET(E389,-1,1)</f>
        <v>2</v>
      </c>
      <c r="G389" s="929">
        <v>3</v>
      </c>
      <c r="H389" s="103"/>
      <c r="I389" s="103" t="s">
        <v>2327</v>
      </c>
      <c r="J389" s="103"/>
      <c r="K389" s="103" t="s">
        <v>2327</v>
      </c>
      <c r="L389" s="988"/>
      <c r="M389" s="103"/>
      <c r="N389" s="103"/>
      <c r="O389" s="103"/>
      <c r="P389" s="103"/>
      <c r="Q389" s="103"/>
      <c r="R389" s="103"/>
      <c r="S389" s="103"/>
      <c r="T389" s="468" cm="1" t="str">
        <f t="array" ref="T389:T389">T388</f>
        <v>true</v>
      </c>
      <c r="U389" s="103"/>
      <c r="V389" s="103"/>
      <c r="W389" s="1297"/>
      <c r="X389" s="1539"/>
      <c r="Y389" s="1297"/>
      <c r="Z389" s="1529"/>
      <c r="AA389" s="1297"/>
      <c r="AB389" s="295" t="s">
        <v>2328</v>
      </c>
      <c r="AC389" s="772" t="s">
        <v>2329</v>
      </c>
      <c r="AD389" s="296" t="s">
        <v>936</v>
      </c>
      <c r="AE389" s="6531">
        <v>34.45</v>
      </c>
      <c r="AF389" s="6531">
        <f>_xlfn.SUMIFS(Налоги!AF$25:AF$83,Налоги!$F$25:$F$83,$F389,Налоги!$AB$25:$AB$83,$G389)</f>
        <v>45.24</v>
      </c>
      <c r="AG389" s="6531">
        <f>_xlfn.SUMIFS(Налоги!AG$25:AG$83,Налоги!$F$25:$F$83,$F389,Налоги!$AB$25:$AB$83,$G389)</f>
        <v>43.64</v>
      </c>
      <c r="AH389" s="951">
        <f>AG389-AF389</f>
        <v>-1.6</v>
      </c>
      <c r="AI389" s="6524">
        <v>34.45</v>
      </c>
      <c r="AJ389" s="6524">
        <f>_xlfn.SUMIFS(Налоги!AI$25:AI$83,Налоги!$F$25:$F$83,$F389,Налоги!$AB$25:$AB$83,$G389)</f>
        <v>4961.66</v>
      </c>
      <c r="AK389" s="1272">
        <f>_xlfn.SUMIFS(Налоги!AJ$25:AJ$83,Налоги!$F$25:$F$83,$F389,Налоги!$AB$25:$AB$83,$G389)</f>
        <v>0</v>
      </c>
      <c r="AL389" s="1272">
        <f>_xlfn.SUMIFS(Налоги!AK$25:AK$83,Налоги!$F$25:$F$83,$F389,Налоги!$AB$25:$AB$83,$G389)</f>
        <v>0</v>
      </c>
      <c r="AM389" s="1272">
        <f>_xlfn.SUMIFS(Налоги!AL$25:AL$83,Налоги!$F$25:$F$83,$F389,Налоги!$AB$25:$AB$83,$G389)</f>
        <v>0</v>
      </c>
      <c r="AN389" s="1272">
        <f>_xlfn.SUMIFS(Налоги!AM$25:AM$83,Налоги!$F$25:$F$83,$F389,Налоги!$AB$25:$AB$83,$G389)</f>
        <v>0</v>
      </c>
      <c r="AO389" s="1272">
        <f>_xlfn.SUMIFS(Налоги!AN$25:AN$83,Налоги!$F$25:$F$83,$F389,Налоги!$AB$25:$AB$83,$G389)</f>
        <v>0</v>
      </c>
      <c r="AP389" s="1272">
        <f>_xlfn.SUMIFS(Налоги!AO$25:AO$83,Налоги!$F$25:$F$83,$F389,Налоги!$AB$25:$AB$83,$G389)</f>
        <v>0</v>
      </c>
      <c r="AQ389" s="1272">
        <f>_xlfn.SUMIFS(Налоги!AP$25:AP$83,Налоги!$F$25:$F$83,$F389,Налоги!$AB$25:$AB$83,$G389)</f>
        <v>0</v>
      </c>
      <c r="AR389" s="1272">
        <f>_xlfn.SUMIFS(Налоги!AQ$25:AQ$83,Налоги!$F$25:$F$83,$F389,Налоги!$AB$25:$AB$83,$G389)</f>
        <v>0</v>
      </c>
      <c r="AS389" s="1272">
        <f>_xlfn.SUMIFS(Налоги!AR$25:AR$83,Налоги!$F$25:$F$83,$F389,Налоги!$AB$25:$AB$83,$G389)</f>
        <v>0</v>
      </c>
      <c r="AT389" s="6524">
        <f>_xlfn.SUMIFS(Налоги!AS$25:AS$83,Налоги!$F$25:$F$83,$F389,Налоги!$AB$25:$AB$83,$G389)</f>
        <v>4961.66</v>
      </c>
      <c r="AU389" s="1272">
        <f>_xlfn.SUMIFS(Налоги!AT$25:AT$83,Налоги!$F$25:$F$83,$F389,Налоги!$AB$25:$AB$83,$G389)</f>
        <v>0</v>
      </c>
      <c r="AV389" s="1272">
        <f>_xlfn.SUMIFS(Налоги!AU$25:AU$83,Налоги!$F$25:$F$83,$F389,Налоги!$AB$25:$AB$83,$G389)</f>
        <v>0</v>
      </c>
      <c r="AW389" s="1272">
        <f>_xlfn.SUMIFS(Налоги!AV$25:AV$83,Налоги!$F$25:$F$83,$F389,Налоги!$AB$25:$AB$83,$G389)</f>
        <v>0</v>
      </c>
      <c r="AX389" s="1272">
        <f>_xlfn.SUMIFS(Налоги!AW$25:AW$83,Налоги!$F$25:$F$83,$F389,Налоги!$AB$25:$AB$83,$G389)</f>
        <v>0</v>
      </c>
      <c r="AY389" s="1272">
        <f>_xlfn.SUMIFS(Налоги!AX$25:AX$83,Налоги!$F$25:$F$83,$F389,Налоги!$AB$25:$AB$83,$G389)</f>
        <v>0</v>
      </c>
      <c r="AZ389" s="1272">
        <f>_xlfn.SUMIFS(Налоги!AY$25:AY$83,Налоги!$F$25:$F$83,$F389,Налоги!$AB$25:$AB$83,$G389)</f>
        <v>0</v>
      </c>
      <c r="BA389" s="1272">
        <f>_xlfn.SUMIFS(Налоги!AZ$25:AZ$83,Налоги!$F$25:$F$83,$F389,Налоги!$AB$25:$AB$83,$G389)</f>
        <v>0</v>
      </c>
      <c r="BB389" s="1272">
        <f>_xlfn.SUMIFS(Налоги!BA$25:BA$83,Налоги!$F$25:$F$83,$F389,Налоги!$AB$25:$AB$83,$G389)</f>
        <v>0</v>
      </c>
      <c r="BC389" s="1272">
        <f>_xlfn.SUMIFS(Налоги!BB$25:BB$83,Налоги!$F$25:$F$83,$F389,Налоги!$AB$25:$AB$83,$G389)</f>
        <v>0</v>
      </c>
      <c r="BD389" s="951">
        <f>IF(AI389=0,0,(AT389-AI389)/AI389*100)</f>
        <v>14302.496371553</v>
      </c>
      <c r="BE389" s="951">
        <f>IF(AT389=0,0,(AU389-AT389)/AT389*100)</f>
        <v>-100</v>
      </c>
      <c r="BF389" s="951">
        <f>IF(AU389=0,0,(AV389-AU389)/AU389*100)</f>
        <v>0</v>
      </c>
      <c r="BG389" s="951">
        <f>IF(AV389=0,0,(AW389-AV389)/AV389*100)</f>
        <v>0</v>
      </c>
      <c r="BH389" s="951">
        <f>IF(AW389=0,0,(AX389-AW389)/AW389*100)</f>
        <v>0</v>
      </c>
      <c r="BI389" s="951">
        <f>IF(AX389=0,0,(AY389-AX389)/AX389*100)</f>
        <v>0</v>
      </c>
      <c r="BJ389" s="951">
        <f>IF(AY389=0,0,(AZ389-AY389)/AY389*100)</f>
        <v>0</v>
      </c>
      <c r="BK389" s="951">
        <f>IF(AZ389=0,0,(BA389-AZ389)/AZ389*100)</f>
        <v>0</v>
      </c>
      <c r="BL389" s="951">
        <f>IF(BA389=0,0,(BB389-BA389)/BA389*100)</f>
        <v>0</v>
      </c>
      <c r="BM389" s="951">
        <f>IF(BB389=0,0,(BC389-BB389)/BB389*100)</f>
        <v>0</v>
      </c>
      <c r="BN389" s="6533" t="s">
        <v>2559</v>
      </c>
      <c r="BO389" s="6525" t="s">
        <v>1498</v>
      </c>
      <c r="BP389" s="6533" t="s">
        <v>2560</v>
      </c>
      <c r="BQ389" s="1297"/>
      <c r="BR389" s="1297"/>
      <c r="BS389" s="1072" t="s">
        <v>2330</v>
      </c>
      <c r="BT389" s="1072"/>
      <c r="BU389" s="1072"/>
      <c r="BV389" s="987"/>
      <c r="BW389" s="987"/>
    </row>
    <row s="1656" customFormat="1" customHeight="1" ht="14.25">
      <c r="A390" s="1297"/>
      <c r="B390" s="92"/>
      <c r="C390" s="103"/>
      <c r="D390" s="103"/>
      <c r="E390" s="626">
        <v>15</v>
      </c>
      <c r="F390" s="50" cm="1" t="str">
        <f t="array" ref="F390:F390">OFFSET(E390,-1,1)</f>
        <v>2</v>
      </c>
      <c r="G390" s="929">
        <v>8</v>
      </c>
      <c r="H390" s="103"/>
      <c r="I390" s="103" t="s">
        <v>2331</v>
      </c>
      <c r="J390" s="103"/>
      <c r="K390" s="103" t="s">
        <v>2331</v>
      </c>
      <c r="L390" s="988"/>
      <c r="M390" s="103"/>
      <c r="N390" s="103"/>
      <c r="O390" s="103"/>
      <c r="P390" s="103"/>
      <c r="Q390" s="103"/>
      <c r="R390" s="103"/>
      <c r="S390" s="103"/>
      <c r="T390" s="468" cm="1" t="str">
        <f t="array" ref="T390:T390">T389</f>
        <v>true</v>
      </c>
      <c r="U390" s="103"/>
      <c r="V390" s="103"/>
      <c r="W390" s="1297"/>
      <c r="X390" s="1539"/>
      <c r="Y390" s="1297"/>
      <c r="Z390" s="1529"/>
      <c r="AA390" s="1297"/>
      <c r="AB390" s="295" t="s">
        <v>2332</v>
      </c>
      <c r="AC390" s="772" t="s">
        <v>2333</v>
      </c>
      <c r="AD390" s="296" t="s">
        <v>936</v>
      </c>
      <c r="AE390" s="255">
        <f>_xlfn.SUMIFS(Налоги!AE$25:AE$83,Налоги!$F$25:$F$83,$F390,Налоги!$AB$25:$AB$83,$G390)</f>
        <v>0</v>
      </c>
      <c r="AF390" s="255">
        <f>_xlfn.SUMIFS(Налоги!AF$25:AF$83,Налоги!$F$25:$F$83,$F390,Налоги!$AB$25:$AB$83,$G390)</f>
        <v>0</v>
      </c>
      <c r="AG390" s="255">
        <f>_xlfn.SUMIFS(Налоги!AG$25:AG$83,Налоги!$F$25:$F$83,$F390,Налоги!$AB$25:$AB$83,$G390)</f>
        <v>0</v>
      </c>
      <c r="AH390" s="951">
        <f>AG390-AF390</f>
        <v>0</v>
      </c>
      <c r="AI390" s="951">
        <f>_xlfn.SUMIFS(Налоги!AH$25:AH$83,Налоги!$F$25:$F$83,$F390,Налоги!$AB$25:$AB$83,$G390)</f>
        <v>0</v>
      </c>
      <c r="AJ390" s="951">
        <f>_xlfn.SUMIFS(Налоги!AI$25:AI$83,Налоги!$F$25:$F$83,$F390,Налоги!$AB$25:$AB$83,$G390)</f>
        <v>0</v>
      </c>
      <c r="AK390" s="951">
        <f>_xlfn.SUMIFS(Налоги!AJ$25:AJ$83,Налоги!$F$25:$F$83,$F390,Налоги!$AB$25:$AB$83,$G390)</f>
        <v>0</v>
      </c>
      <c r="AL390" s="951">
        <f>_xlfn.SUMIFS(Налоги!AK$25:AK$83,Налоги!$F$25:$F$83,$F390,Налоги!$AB$25:$AB$83,$G390)</f>
        <v>0</v>
      </c>
      <c r="AM390" s="951">
        <f>_xlfn.SUMIFS(Налоги!AL$25:AL$83,Налоги!$F$25:$F$83,$F390,Налоги!$AB$25:$AB$83,$G390)</f>
        <v>0</v>
      </c>
      <c r="AN390" s="951">
        <f>_xlfn.SUMIFS(Налоги!AM$25:AM$83,Налоги!$F$25:$F$83,$F390,Налоги!$AB$25:$AB$83,$G390)</f>
        <v>0</v>
      </c>
      <c r="AO390" s="951">
        <f>_xlfn.SUMIFS(Налоги!AN$25:AN$83,Налоги!$F$25:$F$83,$F390,Налоги!$AB$25:$AB$83,$G390)</f>
        <v>0</v>
      </c>
      <c r="AP390" s="951">
        <f>_xlfn.SUMIFS(Налоги!AO$25:AO$83,Налоги!$F$25:$F$83,$F390,Налоги!$AB$25:$AB$83,$G390)</f>
        <v>0</v>
      </c>
      <c r="AQ390" s="951">
        <f>_xlfn.SUMIFS(Налоги!AP$25:AP$83,Налоги!$F$25:$F$83,$F390,Налоги!$AB$25:$AB$83,$G390)</f>
        <v>0</v>
      </c>
      <c r="AR390" s="951">
        <f>_xlfn.SUMIFS(Налоги!AQ$25:AQ$83,Налоги!$F$25:$F$83,$F390,Налоги!$AB$25:$AB$83,$G390)</f>
        <v>0</v>
      </c>
      <c r="AS390" s="951">
        <f>_xlfn.SUMIFS(Налоги!AR$25:AR$83,Налоги!$F$25:$F$83,$F390,Налоги!$AB$25:$AB$83,$G390)</f>
        <v>0</v>
      </c>
      <c r="AT390" s="951">
        <f>_xlfn.SUMIFS(Налоги!AS$25:AS$83,Налоги!$F$25:$F$83,$F390,Налоги!$AB$25:$AB$83,$G390)</f>
        <v>0</v>
      </c>
      <c r="AU390" s="951">
        <f>_xlfn.SUMIFS(Налоги!AT$25:AT$83,Налоги!$F$25:$F$83,$F390,Налоги!$AB$25:$AB$83,$G390)</f>
        <v>0</v>
      </c>
      <c r="AV390" s="951">
        <f>_xlfn.SUMIFS(Налоги!AU$25:AU$83,Налоги!$F$25:$F$83,$F390,Налоги!$AB$25:$AB$83,$G390)</f>
        <v>0</v>
      </c>
      <c r="AW390" s="951">
        <f>_xlfn.SUMIFS(Налоги!AV$25:AV$83,Налоги!$F$25:$F$83,$F390,Налоги!$AB$25:$AB$83,$G390)</f>
        <v>0</v>
      </c>
      <c r="AX390" s="951">
        <f>_xlfn.SUMIFS(Налоги!AW$25:AW$83,Налоги!$F$25:$F$83,$F390,Налоги!$AB$25:$AB$83,$G390)</f>
        <v>0</v>
      </c>
      <c r="AY390" s="951">
        <f>_xlfn.SUMIFS(Налоги!AX$25:AX$83,Налоги!$F$25:$F$83,$F390,Налоги!$AB$25:$AB$83,$G390)</f>
        <v>0</v>
      </c>
      <c r="AZ390" s="951">
        <f>_xlfn.SUMIFS(Налоги!AY$25:AY$83,Налоги!$F$25:$F$83,$F390,Налоги!$AB$25:$AB$83,$G390)</f>
        <v>0</v>
      </c>
      <c r="BA390" s="951">
        <f>_xlfn.SUMIFS(Налоги!AZ$25:AZ$83,Налоги!$F$25:$F$83,$F390,Налоги!$AB$25:$AB$83,$G390)</f>
        <v>0</v>
      </c>
      <c r="BB390" s="951">
        <f>_xlfn.SUMIFS(Налоги!BA$25:BA$83,Налоги!$F$25:$F$83,$F390,Налоги!$AB$25:$AB$83,$G390)</f>
        <v>0</v>
      </c>
      <c r="BC390" s="951">
        <f>_xlfn.SUMIFS(Налоги!BB$25:BB$83,Налоги!$F$25:$F$83,$F390,Налоги!$AB$25:$AB$83,$G390)</f>
        <v>0</v>
      </c>
      <c r="BD390" s="951">
        <f>IF(AI390=0,0,(AT390-AI390)/AI390*100)</f>
        <v>0</v>
      </c>
      <c r="BE390" s="951">
        <f>IF(AT390=0,0,(AU390-AT390)/AT390*100)</f>
        <v>0</v>
      </c>
      <c r="BF390" s="951">
        <f>IF(AU390=0,0,(AV390-AU390)/AU390*100)</f>
        <v>0</v>
      </c>
      <c r="BG390" s="951">
        <f>IF(AV390=0,0,(AW390-AV390)/AV390*100)</f>
        <v>0</v>
      </c>
      <c r="BH390" s="951">
        <f>IF(AW390=0,0,(AX390-AW390)/AW390*100)</f>
        <v>0</v>
      </c>
      <c r="BI390" s="951">
        <f>IF(AX390=0,0,(AY390-AX390)/AX390*100)</f>
        <v>0</v>
      </c>
      <c r="BJ390" s="951">
        <f>IF(AY390=0,0,(AZ390-AY390)/AY390*100)</f>
        <v>0</v>
      </c>
      <c r="BK390" s="951">
        <f>IF(AZ390=0,0,(BA390-AZ390)/AZ390*100)</f>
        <v>0</v>
      </c>
      <c r="BL390" s="951">
        <f>IF(BA390=0,0,(BB390-BA390)/BA390*100)</f>
        <v>0</v>
      </c>
      <c r="BM390" s="951">
        <f>IF(BB390=0,0,(BC390-BB390)/BB390*100)</f>
        <v>0</v>
      </c>
      <c r="BN390" s="6533"/>
      <c r="BO390" s="6525"/>
      <c r="BP390" s="6533"/>
      <c r="BQ390" s="1297"/>
      <c r="BR390" s="1297"/>
      <c r="BS390" s="1072" t="s">
        <v>1482</v>
      </c>
      <c r="BT390" s="1072"/>
      <c r="BU390" s="1072"/>
      <c r="BV390" s="987"/>
      <c r="BW390" s="987"/>
    </row>
    <row s="1252" customFormat="1" customHeight="1" ht="14.25">
      <c r="A391" s="1252"/>
      <c r="B391" s="92"/>
      <c r="C391" s="103"/>
      <c r="D391" s="103"/>
      <c r="E391" s="626">
        <v>15</v>
      </c>
      <c r="F391" s="50" cm="1" t="str">
        <f t="array" ref="F391:F391">OFFSET(E391,-1,1)</f>
        <v>2</v>
      </c>
      <c r="G391" s="929">
        <v>9</v>
      </c>
      <c r="H391" s="103"/>
      <c r="I391" s="103"/>
      <c r="J391" s="103"/>
      <c r="K391" s="103"/>
      <c r="L391" s="988"/>
      <c r="M391" s="103"/>
      <c r="N391" s="103"/>
      <c r="O391" s="103"/>
      <c r="P391" s="103"/>
      <c r="Q391" s="103"/>
      <c r="R391" s="103"/>
      <c r="S391" s="103"/>
      <c r="T391" s="468" cm="1" t="str">
        <f t="array" ref="T391:T391">T390</f>
        <v>true</v>
      </c>
      <c r="U391" s="103"/>
      <c r="V391" s="103"/>
      <c r="W391" s="1252"/>
      <c r="X391" s="1539"/>
      <c r="Y391" s="1252"/>
      <c r="Z391" s="1529"/>
      <c r="AA391" s="1252"/>
      <c r="AB391" s="295" t="s">
        <v>2334</v>
      </c>
      <c r="AC391" s="787" t="s">
        <v>2335</v>
      </c>
      <c r="AD391" s="296" t="s">
        <v>936</v>
      </c>
      <c r="AE391" s="255">
        <f>_xlfn.SUMIFS(Налоги!AE$25:AE$83,Налоги!$F$25:$F$83,$F391,Налоги!$AB$25:$AB$83,$G391)</f>
        <v>0</v>
      </c>
      <c r="AF391" s="255">
        <f>_xlfn.SUMIFS(Налоги!AF$25:AF$83,Налоги!$F$25:$F$83,$F391,Налоги!$AB$25:$AB$83,$G391)</f>
        <v>0</v>
      </c>
      <c r="AG391" s="255">
        <f>_xlfn.SUMIFS(Налоги!AG$25:AG$83,Налоги!$F$25:$F$83,$F391,Налоги!$AB$25:$AB$83,$G391)</f>
        <v>0</v>
      </c>
      <c r="AH391" s="951">
        <f>AG391-AF391</f>
        <v>0</v>
      </c>
      <c r="AI391" s="951">
        <f>_xlfn.SUMIFS(Налоги!AH$25:AH$83,Налоги!$F$25:$F$83,$F391,Налоги!$AB$25:$AB$83,$G391)</f>
        <v>0</v>
      </c>
      <c r="AJ391" s="951">
        <f>_xlfn.SUMIFS(Налоги!AI$25:AI$83,Налоги!$F$25:$F$83,$F391,Налоги!$AB$25:$AB$83,$G391)</f>
        <v>0</v>
      </c>
      <c r="AK391" s="951">
        <f>_xlfn.SUMIFS(Налоги!AJ$25:AJ$83,Налоги!$F$25:$F$83,$F391,Налоги!$AB$25:$AB$83,$G391)</f>
        <v>0</v>
      </c>
      <c r="AL391" s="951">
        <f>_xlfn.SUMIFS(Налоги!AK$25:AK$83,Налоги!$F$25:$F$83,$F391,Налоги!$AB$25:$AB$83,$G391)</f>
        <v>0</v>
      </c>
      <c r="AM391" s="951">
        <f>_xlfn.SUMIFS(Налоги!AL$25:AL$83,Налоги!$F$25:$F$83,$F391,Налоги!$AB$25:$AB$83,$G391)</f>
        <v>0</v>
      </c>
      <c r="AN391" s="951">
        <f>_xlfn.SUMIFS(Налоги!AM$25:AM$83,Налоги!$F$25:$F$83,$F391,Налоги!$AB$25:$AB$83,$G391)</f>
        <v>0</v>
      </c>
      <c r="AO391" s="951">
        <f>_xlfn.SUMIFS(Налоги!AN$25:AN$83,Налоги!$F$25:$F$83,$F391,Налоги!$AB$25:$AB$83,$G391)</f>
        <v>0</v>
      </c>
      <c r="AP391" s="951">
        <f>_xlfn.SUMIFS(Налоги!AO$25:AO$83,Налоги!$F$25:$F$83,$F391,Налоги!$AB$25:$AB$83,$G391)</f>
        <v>0</v>
      </c>
      <c r="AQ391" s="951">
        <f>_xlfn.SUMIFS(Налоги!AP$25:AP$83,Налоги!$F$25:$F$83,$F391,Налоги!$AB$25:$AB$83,$G391)</f>
        <v>0</v>
      </c>
      <c r="AR391" s="951">
        <f>_xlfn.SUMIFS(Налоги!AQ$25:AQ$83,Налоги!$F$25:$F$83,$F391,Налоги!$AB$25:$AB$83,$G391)</f>
        <v>0</v>
      </c>
      <c r="AS391" s="951">
        <f>_xlfn.SUMIFS(Налоги!AR$25:AR$83,Налоги!$F$25:$F$83,$F391,Налоги!$AB$25:$AB$83,$G391)</f>
        <v>0</v>
      </c>
      <c r="AT391" s="951">
        <f>_xlfn.SUMIFS(Налоги!AS$25:AS$83,Налоги!$F$25:$F$83,$F391,Налоги!$AB$25:$AB$83,$G391)</f>
        <v>0</v>
      </c>
      <c r="AU391" s="951">
        <f>_xlfn.SUMIFS(Налоги!AT$25:AT$83,Налоги!$F$25:$F$83,$F391,Налоги!$AB$25:$AB$83,$G391)</f>
        <v>0</v>
      </c>
      <c r="AV391" s="951">
        <f>_xlfn.SUMIFS(Налоги!AU$25:AU$83,Налоги!$F$25:$F$83,$F391,Налоги!$AB$25:$AB$83,$G391)</f>
        <v>0</v>
      </c>
      <c r="AW391" s="951">
        <f>_xlfn.SUMIFS(Налоги!AV$25:AV$83,Налоги!$F$25:$F$83,$F391,Налоги!$AB$25:$AB$83,$G391)</f>
        <v>0</v>
      </c>
      <c r="AX391" s="951">
        <f>_xlfn.SUMIFS(Налоги!AW$25:AW$83,Налоги!$F$25:$F$83,$F391,Налоги!$AB$25:$AB$83,$G391)</f>
        <v>0</v>
      </c>
      <c r="AY391" s="951">
        <f>_xlfn.SUMIFS(Налоги!AX$25:AX$83,Налоги!$F$25:$F$83,$F391,Налоги!$AB$25:$AB$83,$G391)</f>
        <v>0</v>
      </c>
      <c r="AZ391" s="951">
        <f>_xlfn.SUMIFS(Налоги!AY$25:AY$83,Налоги!$F$25:$F$83,$F391,Налоги!$AB$25:$AB$83,$G391)</f>
        <v>0</v>
      </c>
      <c r="BA391" s="951">
        <f>_xlfn.SUMIFS(Налоги!AZ$25:AZ$83,Налоги!$F$25:$F$83,$F391,Налоги!$AB$25:$AB$83,$G391)</f>
        <v>0</v>
      </c>
      <c r="BB391" s="951">
        <f>_xlfn.SUMIFS(Налоги!BA$25:BA$83,Налоги!$F$25:$F$83,$F391,Налоги!$AB$25:$AB$83,$G391)</f>
        <v>0</v>
      </c>
      <c r="BC391" s="951">
        <f>_xlfn.SUMIFS(Налоги!BB$25:BB$83,Налоги!$F$25:$F$83,$F391,Налоги!$AB$25:$AB$83,$G391)</f>
        <v>0</v>
      </c>
      <c r="BD391" s="951">
        <f>IF(AI391=0,0,(AT391-AI391)/AI391*100)</f>
        <v>0</v>
      </c>
      <c r="BE391" s="951">
        <f>IF(AT391=0,0,(AU391-AT391)/AT391*100)</f>
        <v>0</v>
      </c>
      <c r="BF391" s="951">
        <f>IF(AU391=0,0,(AV391-AU391)/AU391*100)</f>
        <v>0</v>
      </c>
      <c r="BG391" s="951">
        <f>IF(AV391=0,0,(AW391-AV391)/AV391*100)</f>
        <v>0</v>
      </c>
      <c r="BH391" s="951">
        <f>IF(AW391=0,0,(AX391-AW391)/AW391*100)</f>
        <v>0</v>
      </c>
      <c r="BI391" s="951">
        <f>IF(AX391=0,0,(AY391-AX391)/AX391*100)</f>
        <v>0</v>
      </c>
      <c r="BJ391" s="951">
        <f>IF(AY391=0,0,(AZ391-AY391)/AY391*100)</f>
        <v>0</v>
      </c>
      <c r="BK391" s="951">
        <f>IF(AZ391=0,0,(BA391-AZ391)/AZ391*100)</f>
        <v>0</v>
      </c>
      <c r="BL391" s="951">
        <f>IF(BA391=0,0,(BB391-BA391)/BA391*100)</f>
        <v>0</v>
      </c>
      <c r="BM391" s="951">
        <f>IF(BB391=0,0,(BC391-BB391)/BB391*100)</f>
        <v>0</v>
      </c>
      <c r="BN391" s="6533"/>
      <c r="BO391" s="6525" t="str">
        <f>IF(_xlfn.IFERROR(INDEX(Налоги!$K$26:$L$83,MATCH($F391&amp;"9komm",Налоги!$K$26:$K$83,0),2),"")=0,"",_xlfn.IFERROR(INDEX(Налоги!$K$26:$L$83,MATCH($F391&amp;"9komm",Налоги!$K$26:$K$83,0),2),""))</f>
        <v/>
      </c>
      <c r="BP391" s="6533"/>
      <c r="BQ391" s="1252"/>
      <c r="BR391" s="1252"/>
      <c r="BS391" s="1079" t="s">
        <v>2336</v>
      </c>
      <c r="BT391" s="1079"/>
      <c r="BU391" s="1079"/>
      <c r="BV391" s="1080"/>
      <c r="BW391" s="1080"/>
    </row>
    <row s="1656" customFormat="1" customHeight="1" ht="14.25">
      <c r="A392" s="1297"/>
      <c r="B392" s="92"/>
      <c r="C392" s="103"/>
      <c r="D392" s="103"/>
      <c r="E392" s="626">
        <v>15</v>
      </c>
      <c r="F392" s="50" cm="1" t="str">
        <f t="array" ref="F392:F392">OFFSET(E392,-1,1)</f>
        <v>2</v>
      </c>
      <c r="G392" s="929">
        <v>10</v>
      </c>
      <c r="H392" s="103"/>
      <c r="I392" s="103" t="s">
        <v>2337</v>
      </c>
      <c r="J392" s="103"/>
      <c r="K392" s="103" t="s">
        <v>2337</v>
      </c>
      <c r="L392" s="988"/>
      <c r="M392" s="103"/>
      <c r="N392" s="103"/>
      <c r="O392" s="103"/>
      <c r="P392" s="103"/>
      <c r="Q392" s="103"/>
      <c r="R392" s="103"/>
      <c r="S392" s="103"/>
      <c r="T392" s="468" cm="1" t="str">
        <f t="array" ref="T392:T392">T391</f>
        <v>true</v>
      </c>
      <c r="U392" s="103"/>
      <c r="V392" s="103"/>
      <c r="W392" s="1297"/>
      <c r="X392" s="1539"/>
      <c r="Y392" s="1297"/>
      <c r="Z392" s="1529"/>
      <c r="AA392" s="1297"/>
      <c r="AB392" s="295" t="s">
        <v>2338</v>
      </c>
      <c r="AC392" s="788" t="s">
        <v>2339</v>
      </c>
      <c r="AD392" s="296" t="s">
        <v>936</v>
      </c>
      <c r="AE392" s="255">
        <f>_xlfn.SUMIFS(Налоги!AE$25:AE$83,Налоги!$F$25:$F$83,$F392,Налоги!$AB$25:$AB$83,$G392)</f>
        <v>0</v>
      </c>
      <c r="AF392" s="255">
        <f>_xlfn.SUMIFS(Налоги!AF$25:AF$83,Налоги!$F$25:$F$83,$F392,Налоги!$AB$25:$AB$83,$G392)</f>
        <v>0</v>
      </c>
      <c r="AG392" s="255">
        <f>_xlfn.SUMIFS(Налоги!AG$25:AG$83,Налоги!$F$25:$F$83,$F392,Налоги!$AB$25:$AB$83,$G392)</f>
        <v>0</v>
      </c>
      <c r="AH392" s="951">
        <f>AG392-AF392</f>
        <v>0</v>
      </c>
      <c r="AI392" s="951">
        <f>_xlfn.SUMIFS(Налоги!AH$25:AH$83,Налоги!$F$25:$F$83,$F392,Налоги!$AB$25:$AB$83,$G392)</f>
        <v>0</v>
      </c>
      <c r="AJ392" s="951">
        <f>_xlfn.SUMIFS(Налоги!AI$25:AI$83,Налоги!$F$25:$F$83,$F392,Налоги!$AB$25:$AB$83,$G392)</f>
        <v>0</v>
      </c>
      <c r="AK392" s="951">
        <f>_xlfn.SUMIFS(Налоги!AJ$25:AJ$83,Налоги!$F$25:$F$83,$F392,Налоги!$AB$25:$AB$83,$G392)</f>
        <v>0</v>
      </c>
      <c r="AL392" s="951">
        <f>_xlfn.SUMIFS(Налоги!AK$25:AK$83,Налоги!$F$25:$F$83,$F392,Налоги!$AB$25:$AB$83,$G392)</f>
        <v>0</v>
      </c>
      <c r="AM392" s="951">
        <f>_xlfn.SUMIFS(Налоги!AL$25:AL$83,Налоги!$F$25:$F$83,$F392,Налоги!$AB$25:$AB$83,$G392)</f>
        <v>0</v>
      </c>
      <c r="AN392" s="951">
        <f>_xlfn.SUMIFS(Налоги!AM$25:AM$83,Налоги!$F$25:$F$83,$F392,Налоги!$AB$25:$AB$83,$G392)</f>
        <v>0</v>
      </c>
      <c r="AO392" s="951">
        <f>_xlfn.SUMIFS(Налоги!AN$25:AN$83,Налоги!$F$25:$F$83,$F392,Налоги!$AB$25:$AB$83,$G392)</f>
        <v>0</v>
      </c>
      <c r="AP392" s="951">
        <f>_xlfn.SUMIFS(Налоги!AO$25:AO$83,Налоги!$F$25:$F$83,$F392,Налоги!$AB$25:$AB$83,$G392)</f>
        <v>0</v>
      </c>
      <c r="AQ392" s="951">
        <f>_xlfn.SUMIFS(Налоги!AP$25:AP$83,Налоги!$F$25:$F$83,$F392,Налоги!$AB$25:$AB$83,$G392)</f>
        <v>0</v>
      </c>
      <c r="AR392" s="951">
        <f>_xlfn.SUMIFS(Налоги!AQ$25:AQ$83,Налоги!$F$25:$F$83,$F392,Налоги!$AB$25:$AB$83,$G392)</f>
        <v>0</v>
      </c>
      <c r="AS392" s="951">
        <f>_xlfn.SUMIFS(Налоги!AR$25:AR$83,Налоги!$F$25:$F$83,$F392,Налоги!$AB$25:$AB$83,$G392)</f>
        <v>0</v>
      </c>
      <c r="AT392" s="951">
        <f>_xlfn.SUMIFS(Налоги!AS$25:AS$83,Налоги!$F$25:$F$83,$F392,Налоги!$AB$25:$AB$83,$G392)</f>
        <v>0</v>
      </c>
      <c r="AU392" s="951">
        <f>_xlfn.SUMIFS(Налоги!AT$25:AT$83,Налоги!$F$25:$F$83,$F392,Налоги!$AB$25:$AB$83,$G392)</f>
        <v>0</v>
      </c>
      <c r="AV392" s="951">
        <f>_xlfn.SUMIFS(Налоги!AU$25:AU$83,Налоги!$F$25:$F$83,$F392,Налоги!$AB$25:$AB$83,$G392)</f>
        <v>0</v>
      </c>
      <c r="AW392" s="951">
        <f>_xlfn.SUMIFS(Налоги!AV$25:AV$83,Налоги!$F$25:$F$83,$F392,Налоги!$AB$25:$AB$83,$G392)</f>
        <v>0</v>
      </c>
      <c r="AX392" s="951">
        <f>_xlfn.SUMIFS(Налоги!AW$25:AW$83,Налоги!$F$25:$F$83,$F392,Налоги!$AB$25:$AB$83,$G392)</f>
        <v>0</v>
      </c>
      <c r="AY392" s="951">
        <f>_xlfn.SUMIFS(Налоги!AX$25:AX$83,Налоги!$F$25:$F$83,$F392,Налоги!$AB$25:$AB$83,$G392)</f>
        <v>0</v>
      </c>
      <c r="AZ392" s="951">
        <f>_xlfn.SUMIFS(Налоги!AY$25:AY$83,Налоги!$F$25:$F$83,$F392,Налоги!$AB$25:$AB$83,$G392)</f>
        <v>0</v>
      </c>
      <c r="BA392" s="951">
        <f>_xlfn.SUMIFS(Налоги!AZ$25:AZ$83,Налоги!$F$25:$F$83,$F392,Налоги!$AB$25:$AB$83,$G392)</f>
        <v>0</v>
      </c>
      <c r="BB392" s="951">
        <f>_xlfn.SUMIFS(Налоги!BA$25:BA$83,Налоги!$F$25:$F$83,$F392,Налоги!$AB$25:$AB$83,$G392)</f>
        <v>0</v>
      </c>
      <c r="BC392" s="951">
        <f>_xlfn.SUMIFS(Налоги!BB$25:BB$83,Налоги!$F$25:$F$83,$F392,Налоги!$AB$25:$AB$83,$G392)</f>
        <v>0</v>
      </c>
      <c r="BD392" s="951">
        <f>IF(AI392=0,0,(AT392-AI392)/AI392*100)</f>
        <v>0</v>
      </c>
      <c r="BE392" s="951">
        <f>IF(AT392=0,0,(AU392-AT392)/AT392*100)</f>
        <v>0</v>
      </c>
      <c r="BF392" s="951">
        <f>IF(AU392=0,0,(AV392-AU392)/AU392*100)</f>
        <v>0</v>
      </c>
      <c r="BG392" s="951">
        <f>IF(AV392=0,0,(AW392-AV392)/AV392*100)</f>
        <v>0</v>
      </c>
      <c r="BH392" s="951">
        <f>IF(AW392=0,0,(AX392-AW392)/AW392*100)</f>
        <v>0</v>
      </c>
      <c r="BI392" s="951">
        <f>IF(AX392=0,0,(AY392-AX392)/AX392*100)</f>
        <v>0</v>
      </c>
      <c r="BJ392" s="951">
        <f>IF(AY392=0,0,(AZ392-AY392)/AY392*100)</f>
        <v>0</v>
      </c>
      <c r="BK392" s="951">
        <f>IF(AZ392=0,0,(BA392-AZ392)/AZ392*100)</f>
        <v>0</v>
      </c>
      <c r="BL392" s="951">
        <f>IF(BA392=0,0,(BB392-BA392)/BA392*100)</f>
        <v>0</v>
      </c>
      <c r="BM392" s="951">
        <f>IF(BB392=0,0,(BC392-BB392)/BB392*100)</f>
        <v>0</v>
      </c>
      <c r="BN392" s="6533"/>
      <c r="BO392" s="6525" t="str">
        <f>IF(_xlfn.IFERROR(INDEX(Налоги!$K$26:$L$83,MATCH($F392&amp;"10komm",Налоги!$K$26:$K$83,0),2),"")=0,"",_xlfn.IFERROR(INDEX(Налоги!$K$26:$L$83,MATCH($F392&amp;"10komm",Налоги!$K$26:$K$83,0),2),""))</f>
        <v/>
      </c>
      <c r="BP392" s="6533"/>
      <c r="BQ392" s="1297"/>
      <c r="BR392" s="1297"/>
      <c r="BS392" s="1072" t="s">
        <v>2340</v>
      </c>
      <c r="BT392" s="1072"/>
      <c r="BU392" s="1072"/>
      <c r="BV392" s="987"/>
      <c r="BW392" s="987"/>
    </row>
    <row s="1656" customFormat="1" customHeight="1" ht="65.25">
      <c r="A393" s="1297"/>
      <c r="B393" s="986"/>
      <c r="C393" s="1297"/>
      <c r="D393" s="1297"/>
      <c r="E393" s="709">
        <v>67.5</v>
      </c>
      <c r="F393" s="50" cm="1" t="str">
        <f t="array" ref="F393:F393">OFFSET(E393,-1,1)</f>
        <v>2</v>
      </c>
      <c r="G393" s="154" t="s">
        <v>1670</v>
      </c>
      <c r="H393" s="1297"/>
      <c r="I393" s="154" t="s">
        <v>1089</v>
      </c>
      <c r="J393" s="1297"/>
      <c r="K393" s="154" t="s">
        <v>1089</v>
      </c>
      <c r="L393" s="988"/>
      <c r="M393" s="103"/>
      <c r="N393" s="1297"/>
      <c r="O393" s="1297"/>
      <c r="P393" s="1297"/>
      <c r="Q393" s="1297"/>
      <c r="R393" s="1297"/>
      <c r="S393" s="1297"/>
      <c r="T393" s="468" cm="1" t="str">
        <f t="array" ref="T393:T393">T392</f>
        <v>true</v>
      </c>
      <c r="U393" s="1297"/>
      <c r="V393" s="1297"/>
      <c r="W393" s="1297"/>
      <c r="X393" s="1539"/>
      <c r="Y393" s="1297"/>
      <c r="Z393" s="1529"/>
      <c r="AA393" s="1297"/>
      <c r="AB393" s="295" t="s">
        <v>1090</v>
      </c>
      <c r="AC393" s="789" t="s">
        <v>1673</v>
      </c>
      <c r="AD393" s="296" t="s">
        <v>936</v>
      </c>
      <c r="AE393" s="6578"/>
      <c r="AF393" s="6578"/>
      <c r="AG393" s="6578"/>
      <c r="AH393" s="951">
        <f>AG393-AF393</f>
        <v>0</v>
      </c>
      <c r="AI393" s="6579"/>
      <c r="AJ393" s="6579"/>
      <c r="AK393" s="1277"/>
      <c r="AL393" s="1277"/>
      <c r="AM393" s="1277"/>
      <c r="AN393" s="1277"/>
      <c r="AO393" s="1277"/>
      <c r="AP393" s="1277"/>
      <c r="AQ393" s="1277"/>
      <c r="AR393" s="1277"/>
      <c r="AS393" s="1277"/>
      <c r="AT393" s="6579"/>
      <c r="AU393" s="1277"/>
      <c r="AV393" s="1277"/>
      <c r="AW393" s="1277"/>
      <c r="AX393" s="1277"/>
      <c r="AY393" s="1277"/>
      <c r="AZ393" s="1277"/>
      <c r="BA393" s="1277"/>
      <c r="BB393" s="1277"/>
      <c r="BC393" s="1277"/>
      <c r="BD393" s="951">
        <f>IF(AI393=0,0,(AT393-AI393)/AI393*100)</f>
        <v>0</v>
      </c>
      <c r="BE393" s="951">
        <f>IF(AT393=0,0,(AU393-AT393)/AT393*100)</f>
        <v>0</v>
      </c>
      <c r="BF393" s="951">
        <f>IF(AU393=0,0,(AV393-AU393)/AU393*100)</f>
        <v>0</v>
      </c>
      <c r="BG393" s="951">
        <f>IF(AV393=0,0,(AW393-AV393)/AV393*100)</f>
        <v>0</v>
      </c>
      <c r="BH393" s="951">
        <f>IF(AW393=0,0,(AX393-AW393)/AW393*100)</f>
        <v>0</v>
      </c>
      <c r="BI393" s="951">
        <f>IF(AX393=0,0,(AY393-AX393)/AX393*100)</f>
        <v>0</v>
      </c>
      <c r="BJ393" s="951">
        <f>IF(AY393=0,0,(AZ393-AY393)/AY393*100)</f>
        <v>0</v>
      </c>
      <c r="BK393" s="951">
        <f>IF(AZ393=0,0,(BA393-AZ393)/AZ393*100)</f>
        <v>0</v>
      </c>
      <c r="BL393" s="951">
        <f>IF(BA393=0,0,(BB393-BA393)/BA393*100)</f>
        <v>0</v>
      </c>
      <c r="BM393" s="951">
        <f>IF(BB393=0,0,(BC393-BB393)/BB393*100)</f>
        <v>0</v>
      </c>
      <c r="BN393" s="6533" t="s">
        <v>2493</v>
      </c>
      <c r="BO393" s="6533"/>
      <c r="BP393" s="6533"/>
      <c r="BQ393" s="1297"/>
      <c r="BR393" s="1297"/>
      <c r="BS393" s="1072" t="s">
        <v>2341</v>
      </c>
      <c r="BT393" s="1072"/>
      <c r="BU393" s="1072"/>
      <c r="BV393" s="987"/>
      <c r="BW393" s="987"/>
    </row>
    <row s="1656" customFormat="1" customHeight="1" ht="117.13541666666667">
      <c r="A394" s="1297"/>
      <c r="B394" s="986"/>
      <c r="C394" s="1297"/>
      <c r="D394" s="1297"/>
      <c r="E394" s="709">
        <v>15</v>
      </c>
      <c r="F394" s="50" cm="1" t="str">
        <f t="array" ref="F394:F394">OFFSET(E394,-1,1)</f>
        <v>2</v>
      </c>
      <c r="G394" s="154" t="s">
        <v>1192</v>
      </c>
      <c r="H394" s="1297"/>
      <c r="I394" s="154" t="s">
        <v>1092</v>
      </c>
      <c r="J394" s="1297"/>
      <c r="K394" s="154" t="s">
        <v>1092</v>
      </c>
      <c r="L394" s="988" t="s">
        <v>616</v>
      </c>
      <c r="M394" s="103"/>
      <c r="N394" s="1297"/>
      <c r="O394" s="1297"/>
      <c r="P394" s="1297"/>
      <c r="Q394" s="1297"/>
      <c r="R394" s="1297"/>
      <c r="S394" s="1297"/>
      <c r="T394" s="468" cm="1" t="str">
        <f t="array" ref="T394:T394">T393</f>
        <v>true</v>
      </c>
      <c r="U394" s="1297"/>
      <c r="V394" s="1297"/>
      <c r="W394" s="1297"/>
      <c r="X394" s="1539"/>
      <c r="Y394" s="1297"/>
      <c r="Z394" s="1529"/>
      <c r="AA394" s="1297"/>
      <c r="AB394" s="295" t="s">
        <v>1093</v>
      </c>
      <c r="AC394" s="769" t="s">
        <v>1192</v>
      </c>
      <c r="AD394" s="296" t="s">
        <v>936</v>
      </c>
      <c r="AE394" s="255">
        <f>_xlfn.SUMIFS(Аренда!AE$25:AE$67,Аренда!$F$25:$F$67,$F394,Аренда!$G$25:$G$67,"Арендная и концессионная плата, лизинговые платежи")</f>
        <v>295.1</v>
      </c>
      <c r="AF394" s="255">
        <f>_xlfn.SUMIFS(Аренда!AF$25:AF$67,Аренда!$F$25:$F$67,$F394,Аренда!$G$25:$G$67,"Арендная и концессионная плата, лизинговые платежи")</f>
        <v>318.39</v>
      </c>
      <c r="AG394" s="255">
        <f>_xlfn.SUMIFS(Аренда!AG$25:AG$67,Аренда!$F$25:$F$67,$F394,Аренда!$G$25:$G$67,"Арендная и концессионная плата, лизинговые платежи")</f>
        <v>318.39</v>
      </c>
      <c r="AH394" s="951">
        <f>AG394-AF394</f>
        <v>0</v>
      </c>
      <c r="AI394" s="255">
        <f>_xlfn.SUMIFS(Аренда!AH$25:AH$67,Аренда!$F$25:$F$67,$F394,Аренда!$G$25:$G$67,"Арендная и концессионная плата, лизинговые платежи")</f>
        <v>318.39</v>
      </c>
      <c r="AJ394" s="255">
        <f>_xlfn.SUMIFS(Аренда!AI$25:AI$67,Аренда!$F$25:$F$67,$F394,Аренда!$G$25:$G$67,"Арендная и концессионная плата, лизинговые платежи")</f>
        <v>346.47</v>
      </c>
      <c r="AK394" s="255">
        <f>_xlfn.SUMIFS(Аренда!AJ$25:AJ$67,Аренда!$F$25:$F$67,$F394,Аренда!$G$25:$G$67,"Арендная и концессионная плата, лизинговые платежи")</f>
        <v>0</v>
      </c>
      <c r="AL394" s="255">
        <f>_xlfn.SUMIFS(Аренда!AK$25:AK$67,Аренда!$F$25:$F$67,$F394,Аренда!$G$25:$G$67,"Арендная и концессионная плата, лизинговые платежи")</f>
        <v>0</v>
      </c>
      <c r="AM394" s="255">
        <f>_xlfn.SUMIFS(Аренда!AL$25:AL$67,Аренда!$F$25:$F$67,$F394,Аренда!$G$25:$G$67,"Арендная и концессионная плата, лизинговые платежи")</f>
        <v>0</v>
      </c>
      <c r="AN394" s="255">
        <f>_xlfn.SUMIFS(Аренда!AM$25:AM$67,Аренда!$F$25:$F$67,$F394,Аренда!$G$25:$G$67,"Арендная и концессионная плата, лизинговые платежи")</f>
        <v>0</v>
      </c>
      <c r="AO394" s="255">
        <f>_xlfn.SUMIFS(Аренда!AN$25:AN$67,Аренда!$F$25:$F$67,$F394,Аренда!$G$25:$G$67,"Арендная и концессионная плата, лизинговые платежи")</f>
        <v>0</v>
      </c>
      <c r="AP394" s="255">
        <f>_xlfn.SUMIFS(Аренда!AO$25:AO$67,Аренда!$F$25:$F$67,$F394,Аренда!$G$25:$G$67,"Арендная и концессионная плата, лизинговые платежи")</f>
        <v>0</v>
      </c>
      <c r="AQ394" s="255">
        <f>_xlfn.SUMIFS(Аренда!AP$25:AP$67,Аренда!$F$25:$F$67,$F394,Аренда!$G$25:$G$67,"Арендная и концессионная плата, лизинговые платежи")</f>
        <v>0</v>
      </c>
      <c r="AR394" s="255">
        <f>_xlfn.SUMIFS(Аренда!AQ$25:AQ$67,Аренда!$F$25:$F$67,$F394,Аренда!$G$25:$G$67,"Арендная и концессионная плата, лизинговые платежи")</f>
        <v>0</v>
      </c>
      <c r="AS394" s="255">
        <f>_xlfn.SUMIFS(Аренда!AR$25:AR$67,Аренда!$F$25:$F$67,$F394,Аренда!$G$25:$G$67,"Арендная и концессионная плата, лизинговые платежи")</f>
        <v>0</v>
      </c>
      <c r="AT394" s="255">
        <f>_xlfn.SUMIFS(Аренда!AS$25:AS$67,Аренда!$F$25:$F$67,$F394,Аренда!$G$25:$G$67,"Арендная и концессионная плата, лизинговые платежи")</f>
        <v>346.47</v>
      </c>
      <c r="AU394" s="255">
        <f>_xlfn.SUMIFS(Аренда!AT$25:AT$67,Аренда!$F$25:$F$67,$F394,Аренда!$G$25:$G$67,"Арендная и концессионная плата, лизинговые платежи")</f>
        <v>0</v>
      </c>
      <c r="AV394" s="255">
        <f>_xlfn.SUMIFS(Аренда!AU$25:AU$67,Аренда!$F$25:$F$67,$F394,Аренда!$G$25:$G$67,"Арендная и концессионная плата, лизинговые платежи")</f>
        <v>0</v>
      </c>
      <c r="AW394" s="255">
        <f>_xlfn.SUMIFS(Аренда!AV$25:AV$67,Аренда!$F$25:$F$67,$F394,Аренда!$G$25:$G$67,"Арендная и концессионная плата, лизинговые платежи")</f>
        <v>0</v>
      </c>
      <c r="AX394" s="255">
        <f>_xlfn.SUMIFS(Аренда!AW$25:AW$67,Аренда!$F$25:$F$67,$F394,Аренда!$G$25:$G$67,"Арендная и концессионная плата, лизинговые платежи")</f>
        <v>0</v>
      </c>
      <c r="AY394" s="255">
        <f>_xlfn.SUMIFS(Аренда!AX$25:AX$67,Аренда!$F$25:$F$67,$F394,Аренда!$G$25:$G$67,"Арендная и концессионная плата, лизинговые платежи")</f>
        <v>0</v>
      </c>
      <c r="AZ394" s="255">
        <f>_xlfn.SUMIFS(Аренда!AY$25:AY$67,Аренда!$F$25:$F$67,$F394,Аренда!$G$25:$G$67,"Арендная и концессионная плата, лизинговые платежи")</f>
        <v>0</v>
      </c>
      <c r="BA394" s="255">
        <f>_xlfn.SUMIFS(Аренда!AZ$25:AZ$67,Аренда!$F$25:$F$67,$F394,Аренда!$G$25:$G$67,"Арендная и концессионная плата, лизинговые платежи")</f>
        <v>0</v>
      </c>
      <c r="BB394" s="255">
        <f>_xlfn.SUMIFS(Аренда!BA$25:BA$67,Аренда!$F$25:$F$67,$F394,Аренда!$G$25:$G$67,"Арендная и концессионная плата, лизинговые платежи")</f>
        <v>0</v>
      </c>
      <c r="BC394" s="255">
        <f>_xlfn.SUMIFS(Аренда!BB$25:BB$67,Аренда!$F$25:$F$67,$F394,Аренда!$G$25:$G$67,"Арендная и концессионная плата, лизинговые платежи")</f>
        <v>0</v>
      </c>
      <c r="BD394" s="951">
        <f>IF(AI394=0,0,(AT394-AI394)/AI394*100)</f>
        <v>8.81937246772827</v>
      </c>
      <c r="BE394" s="951">
        <f>IF(AT394=0,0,(AU394-AT394)/AT394*100)</f>
        <v>-100</v>
      </c>
      <c r="BF394" s="951">
        <f>IF(AU394=0,0,(AV394-AU394)/AU394*100)</f>
        <v>0</v>
      </c>
      <c r="BG394" s="951">
        <f>IF(AV394=0,0,(AW394-AV394)/AV394*100)</f>
        <v>0</v>
      </c>
      <c r="BH394" s="951">
        <f>IF(AW394=0,0,(AX394-AW394)/AW394*100)</f>
        <v>0</v>
      </c>
      <c r="BI394" s="951">
        <f>IF(AX394=0,0,(AY394-AX394)/AX394*100)</f>
        <v>0</v>
      </c>
      <c r="BJ394" s="951">
        <f>IF(AY394=0,0,(AZ394-AY394)/AY394*100)</f>
        <v>0</v>
      </c>
      <c r="BK394" s="951">
        <f>IF(AZ394=0,0,(BA394-AZ394)/AZ394*100)</f>
        <v>0</v>
      </c>
      <c r="BL394" s="951">
        <f>IF(BA394=0,0,(BB394-BA394)/BA394*100)</f>
        <v>0</v>
      </c>
      <c r="BM394" s="951">
        <f>IF(BB394=0,0,(BC394-BB394)/BB394*100)</f>
        <v>0</v>
      </c>
      <c r="BN394" s="6533" t="s">
        <v>2494</v>
      </c>
      <c r="BO394" s="6580" t="str">
        <f>IF(_xlfn.IFERROR(INDEX(Аренда!$K$26:$L$67,MATCH($F394&amp;"komm",Аренда!$K$26:$K$67,0),2),"")=0,"",_xlfn.IFERROR(INDEX(Аренда!$K$26:$L$67,MATCH($F394&amp;"komm",Аренда!$K$26:$K$67,0),2),""))</f>
        <v>П. 29 "Методических указаний…" ФСТ России (приказ от 27.12.2013 № 1746-э).</v>
      </c>
      <c r="BP394" s="6533" t="s">
        <v>2561</v>
      </c>
      <c r="BQ394" s="1297"/>
      <c r="BR394" s="1297"/>
      <c r="BS394" s="1072" t="s">
        <v>2342</v>
      </c>
      <c r="BT394" s="1072"/>
      <c r="BU394" s="1072"/>
      <c r="BV394" s="987"/>
      <c r="BW394" s="987"/>
    </row>
    <row s="1656" customFormat="1" customHeight="1" ht="192.13541666666666">
      <c r="A395" s="1297"/>
      <c r="B395" s="434">
        <f>STATUS_GO="да"</f>
        <v>0</v>
      </c>
      <c r="C395" s="1297"/>
      <c r="D395" s="1297"/>
      <c r="E395" s="709">
        <v>15</v>
      </c>
      <c r="F395" s="50" cm="1" t="str">
        <f t="array" ref="F395:F395">OFFSET(E395,-1,1)</f>
        <v>2</v>
      </c>
      <c r="G395" s="1297"/>
      <c r="H395" s="1297"/>
      <c r="I395" s="154" t="s">
        <v>2343</v>
      </c>
      <c r="J395" s="1297"/>
      <c r="K395" s="154" t="s">
        <v>2343</v>
      </c>
      <c r="L395" s="988"/>
      <c r="M395" s="103"/>
      <c r="N395" s="1297"/>
      <c r="O395" s="1297"/>
      <c r="P395" s="1297"/>
      <c r="Q395" s="1297"/>
      <c r="R395" s="1297"/>
      <c r="S395" s="1297"/>
      <c r="T395" s="468" cm="1" t="str">
        <f t="array" ref="T395:T395">T394</f>
        <v>true</v>
      </c>
      <c r="U395" s="1297"/>
      <c r="V395" s="1297"/>
      <c r="W395" s="1297"/>
      <c r="X395" s="1539"/>
      <c r="Y395" s="1297"/>
      <c r="Z395" s="1529"/>
      <c r="AA395" s="1297"/>
      <c r="AB395" s="295" t="s">
        <v>1737</v>
      </c>
      <c r="AC395" s="769" t="s">
        <v>2344</v>
      </c>
      <c r="AD395" s="296" t="s">
        <v>936</v>
      </c>
      <c r="AE395" s="6531">
        <v>0.21</v>
      </c>
      <c r="AF395" s="6531">
        <v>0.95</v>
      </c>
      <c r="AG395" s="6531">
        <v>0.95</v>
      </c>
      <c r="AH395" s="951">
        <f>AG395-AF395</f>
        <v>0</v>
      </c>
      <c r="AI395" s="6524"/>
      <c r="AJ395" s="6524">
        <v>0.21</v>
      </c>
      <c r="AK395" s="1272"/>
      <c r="AL395" s="1272"/>
      <c r="AM395" s="1272"/>
      <c r="AN395" s="1272"/>
      <c r="AO395" s="1272"/>
      <c r="AP395" s="1272"/>
      <c r="AQ395" s="1272"/>
      <c r="AR395" s="1272"/>
      <c r="AS395" s="1272"/>
      <c r="AT395" s="6524">
        <v>0</v>
      </c>
      <c r="AU395" s="1272"/>
      <c r="AV395" s="1272"/>
      <c r="AW395" s="1272"/>
      <c r="AX395" s="1272"/>
      <c r="AY395" s="1272"/>
      <c r="AZ395" s="1272"/>
      <c r="BA395" s="1272"/>
      <c r="BB395" s="1272"/>
      <c r="BC395" s="1272"/>
      <c r="BD395" s="951">
        <f>IF(AI395=0,0,(AT395-AI395)/AI395*100)</f>
        <v>0</v>
      </c>
      <c r="BE395" s="951">
        <f>IF(AT395=0,0,(AU395-AT395)/AT395*100)</f>
        <v>0</v>
      </c>
      <c r="BF395" s="951">
        <f>IF(AU395=0,0,(AV395-AU395)/AU395*100)</f>
        <v>0</v>
      </c>
      <c r="BG395" s="951">
        <f>IF(AV395=0,0,(AW395-AV395)/AV395*100)</f>
        <v>0</v>
      </c>
      <c r="BH395" s="951">
        <f>IF(AW395=0,0,(AX395-AW395)/AW395*100)</f>
        <v>0</v>
      </c>
      <c r="BI395" s="951">
        <f>IF(AX395=0,0,(AY395-AX395)/AX395*100)</f>
        <v>0</v>
      </c>
      <c r="BJ395" s="951">
        <f>IF(AY395=0,0,(AZ395-AY395)/AY395*100)</f>
        <v>0</v>
      </c>
      <c r="BK395" s="951">
        <f>IF(AZ395=0,0,(BA395-AZ395)/AZ395*100)</f>
        <v>0</v>
      </c>
      <c r="BL395" s="951">
        <f>IF(BA395=0,0,(BB395-BA395)/BA395*100)</f>
        <v>0</v>
      </c>
      <c r="BM395" s="951">
        <f>IF(BB395=0,0,(BC395-BB395)/BB395*100)</f>
        <v>0</v>
      </c>
      <c r="BN395" s="6533" t="s">
        <v>2496</v>
      </c>
      <c r="BO395" s="6533" t="s">
        <v>2562</v>
      </c>
      <c r="BP395" s="6533" t="s">
        <v>2498</v>
      </c>
      <c r="BQ395" s="1297"/>
      <c r="BR395" s="1297"/>
      <c r="BS395" s="1072" t="s">
        <v>2345</v>
      </c>
      <c r="BT395" s="1072"/>
      <c r="BU395" s="1072"/>
      <c r="BV395" s="987"/>
      <c r="BW395" s="987"/>
    </row>
    <row s="1656" customFormat="1" customHeight="1" ht="42.135416666666664">
      <c r="A396" s="1297"/>
      <c r="B396" s="434">
        <f>STATUS_GO="да"</f>
        <v>0</v>
      </c>
      <c r="C396" s="1297"/>
      <c r="D396" s="1297"/>
      <c r="E396" s="709">
        <v>15</v>
      </c>
      <c r="F396" s="50" cm="1" t="str">
        <f t="array" ref="F396:F396">OFFSET(E396,-1,1)</f>
        <v>2</v>
      </c>
      <c r="G396" s="154" t="s">
        <v>1679</v>
      </c>
      <c r="H396" s="1297"/>
      <c r="I396" s="154" t="s">
        <v>2346</v>
      </c>
      <c r="J396" s="1297"/>
      <c r="K396" s="154" t="s">
        <v>2346</v>
      </c>
      <c r="L396" s="988"/>
      <c r="M396" s="103"/>
      <c r="N396" s="1297"/>
      <c r="O396" s="1297"/>
      <c r="P396" s="1297"/>
      <c r="Q396" s="1297"/>
      <c r="R396" s="1297"/>
      <c r="S396" s="1297"/>
      <c r="T396" s="468" cm="1" t="str">
        <f t="array" ref="T396:T396">T395</f>
        <v>true</v>
      </c>
      <c r="U396" s="1297"/>
      <c r="V396" s="1297"/>
      <c r="W396" s="1297"/>
      <c r="X396" s="1539"/>
      <c r="Y396" s="1297"/>
      <c r="Z396" s="1529"/>
      <c r="AA396" s="1297"/>
      <c r="AB396" s="295" t="s">
        <v>2347</v>
      </c>
      <c r="AC396" s="772" t="s">
        <v>1679</v>
      </c>
      <c r="AD396" s="296" t="s">
        <v>936</v>
      </c>
      <c r="AE396" s="6531"/>
      <c r="AF396" s="6531"/>
      <c r="AG396" s="6531"/>
      <c r="AH396" s="951">
        <f>AG396-AF396</f>
        <v>0</v>
      </c>
      <c r="AI396" s="6524"/>
      <c r="AJ396" s="6524"/>
      <c r="AK396" s="1272"/>
      <c r="AL396" s="1272"/>
      <c r="AM396" s="1272"/>
      <c r="AN396" s="1272"/>
      <c r="AO396" s="1272"/>
      <c r="AP396" s="1272"/>
      <c r="AQ396" s="1272"/>
      <c r="AR396" s="1272"/>
      <c r="AS396" s="1272"/>
      <c r="AT396" s="6524"/>
      <c r="AU396" s="1272"/>
      <c r="AV396" s="1272"/>
      <c r="AW396" s="1272"/>
      <c r="AX396" s="1272"/>
      <c r="AY396" s="1272"/>
      <c r="AZ396" s="1272"/>
      <c r="BA396" s="1272"/>
      <c r="BB396" s="1272"/>
      <c r="BC396" s="1272"/>
      <c r="BD396" s="951">
        <f>IF(AI396=0,0,(AT396-AI396)/AI396*100)</f>
        <v>0</v>
      </c>
      <c r="BE396" s="951">
        <f>IF(AT396=0,0,(AU396-AT396)/AT396*100)</f>
        <v>0</v>
      </c>
      <c r="BF396" s="951">
        <f>IF(AU396=0,0,(AV396-AU396)/AU396*100)</f>
        <v>0</v>
      </c>
      <c r="BG396" s="951">
        <f>IF(AV396=0,0,(AW396-AV396)/AV396*100)</f>
        <v>0</v>
      </c>
      <c r="BH396" s="951">
        <f>IF(AW396=0,0,(AX396-AW396)/AW396*100)</f>
        <v>0</v>
      </c>
      <c r="BI396" s="951">
        <f>IF(AX396=0,0,(AY396-AX396)/AX396*100)</f>
        <v>0</v>
      </c>
      <c r="BJ396" s="951">
        <f>IF(AY396=0,0,(AZ396-AY396)/AY396*100)</f>
        <v>0</v>
      </c>
      <c r="BK396" s="951">
        <f>IF(AZ396=0,0,(BA396-AZ396)/AZ396*100)</f>
        <v>0</v>
      </c>
      <c r="BL396" s="951">
        <f>IF(BA396=0,0,(BB396-BA396)/BA396*100)</f>
        <v>0</v>
      </c>
      <c r="BM396" s="951">
        <f>IF(BB396=0,0,(BC396-BB396)/BB396*100)</f>
        <v>0</v>
      </c>
      <c r="BN396" s="6533" t="s">
        <v>2499</v>
      </c>
      <c r="BO396" s="6580" t="str">
        <f>IF(_xlfn.IFERROR(INDEX('Сбытовые расходы ГО'!$K$26:$M$75,MATCH($F396&amp;"komm",'Сбытовые расходы ГО'!$K$26:$K$75,0),2),"")=0,"",_xlfn.IFERROR(INDEX('Сбытовые расходы ГО'!$K$26:$M$75,MATCH($F396&amp;"komm",'Сбытовые расходы ГО'!$K$26:$K$75,0),2),""))</f>
        <v/>
      </c>
      <c r="BP396" s="6533"/>
      <c r="BQ396" s="1297"/>
      <c r="BR396" s="1297"/>
      <c r="BS396" s="1072" t="s">
        <v>2348</v>
      </c>
      <c r="BT396" s="1072"/>
      <c r="BU396" s="1072"/>
      <c r="BV396" s="987"/>
      <c r="BW396" s="987"/>
    </row>
    <row s="1656" customFormat="1" customHeight="1" ht="32.96875">
      <c r="A397" s="1297"/>
      <c r="B397" s="986"/>
      <c r="C397" s="1297"/>
      <c r="D397" s="1297"/>
      <c r="E397" s="709">
        <v>15</v>
      </c>
      <c r="F397" s="50" cm="1" t="str">
        <f t="array" ref="F397:F397">OFFSET(E397,-1,1)</f>
        <v>2</v>
      </c>
      <c r="G397" s="154" t="s">
        <v>1684</v>
      </c>
      <c r="H397" s="1297"/>
      <c r="I397" s="154" t="s">
        <v>2349</v>
      </c>
      <c r="J397" s="1297"/>
      <c r="K397" s="154" t="s">
        <v>2349</v>
      </c>
      <c r="L397" s="988"/>
      <c r="M397" s="103"/>
      <c r="N397" s="1297"/>
      <c r="O397" s="1297"/>
      <c r="P397" s="1297"/>
      <c r="Q397" s="1297"/>
      <c r="R397" s="1297"/>
      <c r="S397" s="1297"/>
      <c r="T397" s="468" cm="1" t="str">
        <f t="array" ref="T397:T397">T396</f>
        <v>true</v>
      </c>
      <c r="U397" s="1297"/>
      <c r="V397" s="1297"/>
      <c r="W397" s="1297"/>
      <c r="X397" s="1539"/>
      <c r="Y397" s="1297"/>
      <c r="Z397" s="1529"/>
      <c r="AA397" s="1297"/>
      <c r="AB397" s="295" t="s">
        <v>1742</v>
      </c>
      <c r="AC397" s="769" t="s">
        <v>1684</v>
      </c>
      <c r="AD397" s="296" t="s">
        <v>936</v>
      </c>
      <c r="AE397" s="6531">
        <v>0</v>
      </c>
      <c r="AF397" s="6531"/>
      <c r="AG397" s="6531"/>
      <c r="AH397" s="951">
        <f>AG397-AF397</f>
        <v>0</v>
      </c>
      <c r="AI397" s="6524">
        <v>0</v>
      </c>
      <c r="AJ397" s="6524">
        <f>_xlfn.SUMIFS(Экономия_корр!AE$25:AE$59,Экономия_корр!$F$25:$F$59,$F397,Экономия_корр!$AC$25:$AC$59,"Экономия расходов с учетом ИПЦ")</f>
        <v>0</v>
      </c>
      <c r="AK397" s="1272">
        <f>_xlfn.SUMIFS(Экономия_корр!AF$25:AF$59,Экономия_корр!$F$25:$F$59,$F397,Экономия_корр!$AC$25:$AC$59,"Экономия расходов с учетом ИПЦ")</f>
        <v>0</v>
      </c>
      <c r="AL397" s="1272">
        <f>_xlfn.SUMIFS(Экономия_корр!AG$25:AG$59,Экономия_корр!$F$25:$F$59,$F397,Экономия_корр!$AC$25:$AC$59,"Экономия расходов с учетом ИПЦ")</f>
        <v>0</v>
      </c>
      <c r="AM397" s="1272">
        <f>_xlfn.SUMIFS(Экономия_корр!AH$25:AH$59,Экономия_корр!$F$25:$F$59,$F397,Экономия_корр!$AC$25:$AC$59,"Экономия расходов с учетом ИПЦ")</f>
        <v>0</v>
      </c>
      <c r="AN397" s="1272">
        <f>_xlfn.SUMIFS(Экономия_корр!AI$25:AI$59,Экономия_корр!$F$25:$F$59,$F397,Экономия_корр!$AC$25:$AC$59,"Экономия расходов с учетом ИПЦ")</f>
        <v>0</v>
      </c>
      <c r="AO397" s="1272">
        <f>_xlfn.SUMIFS(Экономия_корр!AJ$25:AJ$59,Экономия_корр!$F$25:$F$59,$F397,Экономия_корр!$AC$25:$AC$59,"Экономия расходов с учетом ИПЦ")</f>
        <v>0</v>
      </c>
      <c r="AP397" s="1272">
        <f>_xlfn.SUMIFS(Экономия_корр!AK$25:AK$59,Экономия_корр!$F$25:$F$59,$F397,Экономия_корр!$AC$25:$AC$59,"Экономия расходов с учетом ИПЦ")</f>
        <v>0</v>
      </c>
      <c r="AQ397" s="1272">
        <f>_xlfn.SUMIFS(Экономия_корр!AL$25:AL$59,Экономия_корр!$F$25:$F$59,$F397,Экономия_корр!$AC$25:$AC$59,"Экономия расходов с учетом ИПЦ")</f>
        <v>0</v>
      </c>
      <c r="AR397" s="1272">
        <f>_xlfn.SUMIFS(Экономия_корр!AM$25:AM$59,Экономия_корр!$F$25:$F$59,$F397,Экономия_корр!$AC$25:$AC$59,"Экономия расходов с учетом ИПЦ")</f>
        <v>0</v>
      </c>
      <c r="AS397" s="1272">
        <f>_xlfn.SUMIFS(Экономия_корр!AN$25:AN$59,Экономия_корр!$F$25:$F$59,$F397,Экономия_корр!$AC$25:$AC$59,"Экономия расходов с учетом ИПЦ")</f>
        <v>0</v>
      </c>
      <c r="AT397" s="6524">
        <f>_xlfn.SUMIFS(Экономия_корр!AO$25:AO$59,Экономия_корр!$F$25:$F$59,$F397,Экономия_корр!$AC$25:$AC$59,"Экономия расходов с учетом ИПЦ")</f>
        <v>0</v>
      </c>
      <c r="AU397" s="1272">
        <f>_xlfn.SUMIFS(Экономия_корр!AP$25:AP$59,Экономия_корр!$F$25:$F$59,$F397,Экономия_корр!$AC$25:$AC$59,"Экономия расходов с учетом ИПЦ")</f>
        <v>0</v>
      </c>
      <c r="AV397" s="1272">
        <f>_xlfn.SUMIFS(Экономия_корр!AQ$25:AQ$59,Экономия_корр!$F$25:$F$59,$F397,Экономия_корр!$AC$25:$AC$59,"Экономия расходов с учетом ИПЦ")</f>
        <v>0</v>
      </c>
      <c r="AW397" s="1272">
        <f>_xlfn.SUMIFS(Экономия_корр!AR$25:AR$59,Экономия_корр!$F$25:$F$59,$F397,Экономия_корр!$AC$25:$AC$59,"Экономия расходов с учетом ИПЦ")</f>
        <v>0</v>
      </c>
      <c r="AX397" s="1272">
        <f>_xlfn.SUMIFS(Экономия_корр!AS$25:AS$59,Экономия_корр!$F$25:$F$59,$F397,Экономия_корр!$AC$25:$AC$59,"Экономия расходов с учетом ИПЦ")</f>
        <v>0</v>
      </c>
      <c r="AY397" s="1272">
        <f>_xlfn.SUMIFS(Экономия_корр!AT$25:AT$59,Экономия_корр!$F$25:$F$59,$F397,Экономия_корр!$AC$25:$AC$59,"Экономия расходов с учетом ИПЦ")</f>
        <v>0</v>
      </c>
      <c r="AZ397" s="1272">
        <f>_xlfn.SUMIFS(Экономия_корр!AU$25:AU$59,Экономия_корр!$F$25:$F$59,$F397,Экономия_корр!$AC$25:$AC$59,"Экономия расходов с учетом ИПЦ")</f>
        <v>0</v>
      </c>
      <c r="BA397" s="1272">
        <f>_xlfn.SUMIFS(Экономия_корр!AV$25:AV$59,Экономия_корр!$F$25:$F$59,$F397,Экономия_корр!$AC$25:$AC$59,"Экономия расходов с учетом ИПЦ")</f>
        <v>0</v>
      </c>
      <c r="BB397" s="1272">
        <f>_xlfn.SUMIFS(Экономия_корр!AW$25:AW$59,Экономия_корр!$F$25:$F$59,$F397,Экономия_корр!$AC$25:$AC$59,"Экономия расходов с учетом ИПЦ")</f>
        <v>0</v>
      </c>
      <c r="BC397" s="1272">
        <f>_xlfn.SUMIFS(Экономия_корр!AX$25:AX$59,Экономия_корр!$F$25:$F$59,$F397,Экономия_корр!$AC$25:$AC$59,"Экономия расходов с учетом ИПЦ")</f>
        <v>0</v>
      </c>
      <c r="BD397" s="951">
        <f>IF(AI397=0,0,(AT397-AI397)/AI397*100)</f>
        <v>0</v>
      </c>
      <c r="BE397" s="951">
        <f>IF(AT397=0,0,(AU397-AT397)/AT397*100)</f>
        <v>0</v>
      </c>
      <c r="BF397" s="951">
        <f>IF(AU397=0,0,(AV397-AU397)/AU397*100)</f>
        <v>0</v>
      </c>
      <c r="BG397" s="951">
        <f>IF(AV397=0,0,(AW397-AV397)/AV397*100)</f>
        <v>0</v>
      </c>
      <c r="BH397" s="951">
        <f>IF(AW397=0,0,(AX397-AW397)/AW397*100)</f>
        <v>0</v>
      </c>
      <c r="BI397" s="951">
        <f>IF(AX397=0,0,(AY397-AX397)/AX397*100)</f>
        <v>0</v>
      </c>
      <c r="BJ397" s="951">
        <f>IF(AY397=0,0,(AZ397-AY397)/AY397*100)</f>
        <v>0</v>
      </c>
      <c r="BK397" s="951">
        <f>IF(AZ397=0,0,(BA397-AZ397)/AZ397*100)</f>
        <v>0</v>
      </c>
      <c r="BL397" s="951">
        <f>IF(BA397=0,0,(BB397-BA397)/BA397*100)</f>
        <v>0</v>
      </c>
      <c r="BM397" s="951">
        <f>IF(BB397=0,0,(BC397-BB397)/BB397*100)</f>
        <v>0</v>
      </c>
      <c r="BN397" s="6533"/>
      <c r="BO397" s="6533"/>
      <c r="BP397" s="6533"/>
      <c r="BQ397" s="1297"/>
      <c r="BR397" s="1297"/>
      <c r="BS397" s="1072" t="s">
        <v>2350</v>
      </c>
      <c r="BT397" s="1072"/>
      <c r="BU397" s="1072"/>
      <c r="BV397" s="987"/>
      <c r="BW397" s="987"/>
    </row>
    <row s="1656" customFormat="1" customHeight="1" ht="36.302083333333336">
      <c r="A398" s="1297"/>
      <c r="B398" s="986"/>
      <c r="C398" s="1297"/>
      <c r="D398" s="1297"/>
      <c r="E398" s="709">
        <v>15</v>
      </c>
      <c r="F398" s="50" cm="1" t="str">
        <f t="array" ref="F398:F398">OFFSET(E398,-1,1)</f>
        <v>2</v>
      </c>
      <c r="G398" s="154" t="s">
        <v>1689</v>
      </c>
      <c r="H398" s="1297"/>
      <c r="I398" s="154" t="s">
        <v>2351</v>
      </c>
      <c r="J398" s="1297"/>
      <c r="K398" s="154" t="s">
        <v>2351</v>
      </c>
      <c r="L398" s="988"/>
      <c r="M398" s="103"/>
      <c r="N398" s="1297"/>
      <c r="O398" s="1297"/>
      <c r="P398" s="1297"/>
      <c r="Q398" s="1297"/>
      <c r="R398" s="1297"/>
      <c r="S398" s="1297"/>
      <c r="T398" s="468" cm="1" t="str">
        <f t="array" ref="T398:T398">T397</f>
        <v>true</v>
      </c>
      <c r="U398" s="1297"/>
      <c r="V398" s="1297"/>
      <c r="W398" s="1297"/>
      <c r="X398" s="1539"/>
      <c r="Y398" s="1297"/>
      <c r="Z398" s="1529"/>
      <c r="AA398" s="1297"/>
      <c r="AB398" s="295" t="s">
        <v>2352</v>
      </c>
      <c r="AC398" s="769" t="s">
        <v>1689</v>
      </c>
      <c r="AD398" s="296" t="s">
        <v>936</v>
      </c>
      <c r="AE398" s="6531"/>
      <c r="AF398" s="6531"/>
      <c r="AG398" s="6531"/>
      <c r="AH398" s="951">
        <f>AG398-AF398</f>
        <v>0</v>
      </c>
      <c r="AI398" s="6524"/>
      <c r="AJ398" s="6524"/>
      <c r="AK398" s="1272"/>
      <c r="AL398" s="1272"/>
      <c r="AM398" s="1272"/>
      <c r="AN398" s="1272"/>
      <c r="AO398" s="1272"/>
      <c r="AP398" s="1272"/>
      <c r="AQ398" s="1272"/>
      <c r="AR398" s="1272"/>
      <c r="AS398" s="1272"/>
      <c r="AT398" s="6524"/>
      <c r="AU398" s="1272"/>
      <c r="AV398" s="1272"/>
      <c r="AW398" s="1272"/>
      <c r="AX398" s="1272"/>
      <c r="AY398" s="1272"/>
      <c r="AZ398" s="1272"/>
      <c r="BA398" s="1272"/>
      <c r="BB398" s="1272"/>
      <c r="BC398" s="1272"/>
      <c r="BD398" s="951">
        <f>IF(AI398=0,0,(AT398-AI398)/AI398*100)</f>
        <v>0</v>
      </c>
      <c r="BE398" s="951">
        <f>IF(AT398=0,0,(AU398-AT398)/AT398*100)</f>
        <v>0</v>
      </c>
      <c r="BF398" s="951">
        <f>IF(AU398=0,0,(AV398-AU398)/AU398*100)</f>
        <v>0</v>
      </c>
      <c r="BG398" s="951">
        <f>IF(AV398=0,0,(AW398-AV398)/AV398*100)</f>
        <v>0</v>
      </c>
      <c r="BH398" s="951">
        <f>IF(AW398=0,0,(AX398-AW398)/AW398*100)</f>
        <v>0</v>
      </c>
      <c r="BI398" s="951">
        <f>IF(AX398=0,0,(AY398-AX398)/AX398*100)</f>
        <v>0</v>
      </c>
      <c r="BJ398" s="951">
        <f>IF(AY398=0,0,(AZ398-AY398)/AY398*100)</f>
        <v>0</v>
      </c>
      <c r="BK398" s="951">
        <f>IF(AZ398=0,0,(BA398-AZ398)/AZ398*100)</f>
        <v>0</v>
      </c>
      <c r="BL398" s="951">
        <f>IF(BA398=0,0,(BB398-BA398)/BA398*100)</f>
        <v>0</v>
      </c>
      <c r="BM398" s="951">
        <f>IF(BB398=0,0,(BC398-BB398)/BB398*100)</f>
        <v>0</v>
      </c>
      <c r="BN398" s="6533"/>
      <c r="BO398" s="6533"/>
      <c r="BP398" s="6533"/>
      <c r="BQ398" s="1297"/>
      <c r="BR398" s="1297"/>
      <c r="BS398" s="1072" t="s">
        <v>2089</v>
      </c>
      <c r="BT398" s="1072"/>
      <c r="BU398" s="1072"/>
      <c r="BV398" s="987"/>
      <c r="BW398" s="987"/>
    </row>
    <row s="1656" customFormat="1" customHeight="1" ht="218.80208333333334">
      <c r="A399" s="1297"/>
      <c r="B399" s="986"/>
      <c r="C399" s="1297"/>
      <c r="D399" s="1297"/>
      <c r="E399" s="709">
        <v>15</v>
      </c>
      <c r="F399" s="50" cm="1" t="str">
        <f t="array" ref="F399:F399">OFFSET(E399,-1,1)</f>
        <v>2</v>
      </c>
      <c r="G399" s="154" t="s">
        <v>1694</v>
      </c>
      <c r="H399" s="1297"/>
      <c r="I399" s="154" t="s">
        <v>2353</v>
      </c>
      <c r="J399" s="1297"/>
      <c r="K399" s="154" t="s">
        <v>2353</v>
      </c>
      <c r="L399" s="988"/>
      <c r="M399" s="103"/>
      <c r="N399" s="1297"/>
      <c r="O399" s="1297"/>
      <c r="P399" s="1297"/>
      <c r="Q399" s="1297"/>
      <c r="R399" s="1297"/>
      <c r="S399" s="1297"/>
      <c r="T399" s="468" cm="1" t="str">
        <f t="array" ref="T399:T399">T398</f>
        <v>true</v>
      </c>
      <c r="U399" s="1297"/>
      <c r="V399" s="1297"/>
      <c r="W399" s="1297"/>
      <c r="X399" s="1539"/>
      <c r="Y399" s="1297"/>
      <c r="Z399" s="1529"/>
      <c r="AA399" s="1297"/>
      <c r="AB399" s="295" t="s">
        <v>1761</v>
      </c>
      <c r="AC399" s="769" t="s">
        <v>1694</v>
      </c>
      <c r="AD399" s="296" t="s">
        <v>936</v>
      </c>
      <c r="AE399" s="6531"/>
      <c r="AF399" s="6531"/>
      <c r="AG399" s="6531"/>
      <c r="AH399" s="951">
        <f>AG399-AF399</f>
        <v>0</v>
      </c>
      <c r="AI399" s="6524">
        <v>0</v>
      </c>
      <c r="AJ399" s="6524">
        <f>492.71+445.19</f>
        <v>937.9</v>
      </c>
      <c r="AK399" s="1272"/>
      <c r="AL399" s="1272"/>
      <c r="AM399" s="1272"/>
      <c r="AN399" s="1272"/>
      <c r="AO399" s="1272"/>
      <c r="AP399" s="1272"/>
      <c r="AQ399" s="1272"/>
      <c r="AR399" s="1272"/>
      <c r="AS399" s="1272"/>
      <c r="AT399" s="6524">
        <v>445.19</v>
      </c>
      <c r="AU399" s="1272"/>
      <c r="AV399" s="1272"/>
      <c r="AW399" s="1272"/>
      <c r="AX399" s="1272"/>
      <c r="AY399" s="1272"/>
      <c r="AZ399" s="1272"/>
      <c r="BA399" s="1272"/>
      <c r="BB399" s="1272"/>
      <c r="BC399" s="1272"/>
      <c r="BD399" s="951">
        <f>IF(AI399=0,0,(AT399-AI399)/AI399*100)</f>
        <v>0</v>
      </c>
      <c r="BE399" s="951">
        <f>IF(AT399=0,0,(AU399-AT399)/AT399*100)</f>
        <v>-100</v>
      </c>
      <c r="BF399" s="951">
        <f>IF(AU399=0,0,(AV399-AU399)/AU399*100)</f>
        <v>0</v>
      </c>
      <c r="BG399" s="951">
        <f>IF(AV399=0,0,(AW399-AV399)/AV399*100)</f>
        <v>0</v>
      </c>
      <c r="BH399" s="951">
        <f>IF(AW399=0,0,(AX399-AW399)/AW399*100)</f>
        <v>0</v>
      </c>
      <c r="BI399" s="951">
        <f>IF(AX399=0,0,(AY399-AX399)/AX399*100)</f>
        <v>0</v>
      </c>
      <c r="BJ399" s="951">
        <f>IF(AY399=0,0,(AZ399-AY399)/AY399*100)</f>
        <v>0</v>
      </c>
      <c r="BK399" s="951">
        <f>IF(AZ399=0,0,(BA399-AZ399)/AZ399*100)</f>
        <v>0</v>
      </c>
      <c r="BL399" s="951">
        <f>IF(BA399=0,0,(BB399-BA399)/BA399*100)</f>
        <v>0</v>
      </c>
      <c r="BM399" s="951">
        <f>IF(BB399=0,0,(BC399-BB399)/BB399*100)</f>
        <v>0</v>
      </c>
      <c r="BN399" s="6533" t="s">
        <v>2563</v>
      </c>
      <c r="BO399" s="6533" t="s">
        <v>2530</v>
      </c>
      <c r="BP399" s="6533" t="s">
        <v>2564</v>
      </c>
      <c r="BQ399" s="1297"/>
      <c r="BR399" s="1297"/>
      <c r="BS399" s="1072" t="s">
        <v>2354</v>
      </c>
      <c r="BT399" s="1072"/>
      <c r="BU399" s="1072"/>
      <c r="BV399" s="987"/>
      <c r="BW399" s="987"/>
    </row>
    <row s="1656" customFormat="1" customHeight="1" ht="27.135416666666668">
      <c r="A400" s="1297"/>
      <c r="B400" s="986"/>
      <c r="C400" s="1297"/>
      <c r="D400" s="1297"/>
      <c r="E400" s="709">
        <v>15</v>
      </c>
      <c r="F400" s="50" cm="1" t="str">
        <f t="array" ref="F400:F400">OFFSET(E400,-1,1)</f>
        <v>2</v>
      </c>
      <c r="G400" s="154" t="s">
        <v>1699</v>
      </c>
      <c r="H400" s="1297"/>
      <c r="I400" s="154" t="s">
        <v>2355</v>
      </c>
      <c r="J400" s="1297"/>
      <c r="K400" s="154" t="s">
        <v>2355</v>
      </c>
      <c r="L400" s="988"/>
      <c r="M400" s="103"/>
      <c r="N400" s="1297"/>
      <c r="O400" s="1297"/>
      <c r="P400" s="1297"/>
      <c r="Q400" s="1297"/>
      <c r="R400" s="1297"/>
      <c r="S400" s="1297"/>
      <c r="T400" s="468" cm="1" t="str">
        <f t="array" ref="T400:T400">T399</f>
        <v>true</v>
      </c>
      <c r="U400" s="1297"/>
      <c r="V400" s="1297"/>
      <c r="W400" s="1297"/>
      <c r="X400" s="1539"/>
      <c r="Y400" s="1297"/>
      <c r="Z400" s="1529"/>
      <c r="AA400" s="1297"/>
      <c r="AB400" s="295" t="s">
        <v>1765</v>
      </c>
      <c r="AC400" s="769" t="s">
        <v>1699</v>
      </c>
      <c r="AD400" s="296" t="s">
        <v>936</v>
      </c>
      <c r="AE400" s="349">
        <f>SUM(AE401,AE402)</f>
        <v>0</v>
      </c>
      <c r="AF400" s="255">
        <f>SUM(AF401,AF402)</f>
        <v>194.29</v>
      </c>
      <c r="AG400" s="255">
        <f>SUM(AG401,AG402)</f>
        <v>194.29</v>
      </c>
      <c r="AH400" s="951">
        <f>AG400-AF400</f>
        <v>0</v>
      </c>
      <c r="AI400" s="951">
        <f>SUM(AI401,AI402)</f>
        <v>0</v>
      </c>
      <c r="AJ400" s="952">
        <f>SUM(AJ401,AJ402)</f>
        <v>0</v>
      </c>
      <c r="AK400" s="951">
        <f>SUM(AK401,AK402)</f>
        <v>0</v>
      </c>
      <c r="AL400" s="951">
        <f>SUM(AL401,AL402)</f>
        <v>0</v>
      </c>
      <c r="AM400" s="951">
        <f>SUM(AM401,AM402)</f>
        <v>0</v>
      </c>
      <c r="AN400" s="951">
        <f>SUM(AN401,AN402)</f>
        <v>0</v>
      </c>
      <c r="AO400" s="951">
        <f>SUM(AO401,AO402)</f>
        <v>0</v>
      </c>
      <c r="AP400" s="951">
        <f>SUM(AP401,AP402)</f>
        <v>0</v>
      </c>
      <c r="AQ400" s="951">
        <f>SUM(AQ401,AQ402)</f>
        <v>0</v>
      </c>
      <c r="AR400" s="951">
        <f>SUM(AR401,AR402)</f>
        <v>0</v>
      </c>
      <c r="AS400" s="951">
        <f>SUM(AS401,AS402)</f>
        <v>0</v>
      </c>
      <c r="AT400" s="952">
        <f>SUM(AT401,AT402)</f>
        <v>0</v>
      </c>
      <c r="AU400" s="951">
        <f>SUM(AU401,AU402)</f>
        <v>0</v>
      </c>
      <c r="AV400" s="951">
        <f>SUM(AV401,AV402)</f>
        <v>0</v>
      </c>
      <c r="AW400" s="951">
        <f>SUM(AW401,AW402)</f>
        <v>0</v>
      </c>
      <c r="AX400" s="951">
        <f>SUM(AX401,AX402)</f>
        <v>0</v>
      </c>
      <c r="AY400" s="951">
        <f>SUM(AY401,AY402)</f>
        <v>0</v>
      </c>
      <c r="AZ400" s="951">
        <f>SUM(AZ401,AZ402)</f>
        <v>0</v>
      </c>
      <c r="BA400" s="951">
        <f>SUM(BA401,BA402)</f>
        <v>0</v>
      </c>
      <c r="BB400" s="951">
        <f>SUM(BB401,BB402)</f>
        <v>0</v>
      </c>
      <c r="BC400" s="951">
        <f>SUM(BC401,BC402)</f>
        <v>0</v>
      </c>
      <c r="BD400" s="951">
        <f>IF(AI400=0,0,(AT400-AI400)/AI400*100)</f>
        <v>0</v>
      </c>
      <c r="BE400" s="951">
        <f>IF(AT400=0,0,(AU400-AT400)/AT400*100)</f>
        <v>0</v>
      </c>
      <c r="BF400" s="951">
        <f>IF(AU400=0,0,(AV400-AU400)/AU400*100)</f>
        <v>0</v>
      </c>
      <c r="BG400" s="951">
        <f>IF(AV400=0,0,(AW400-AV400)/AV400*100)</f>
        <v>0</v>
      </c>
      <c r="BH400" s="951">
        <f>IF(AW400=0,0,(AX400-AW400)/AW400*100)</f>
        <v>0</v>
      </c>
      <c r="BI400" s="951">
        <f>IF(AX400=0,0,(AY400-AX400)/AX400*100)</f>
        <v>0</v>
      </c>
      <c r="BJ400" s="951">
        <f>IF(AY400=0,0,(AZ400-AY400)/AY400*100)</f>
        <v>0</v>
      </c>
      <c r="BK400" s="951">
        <f>IF(AZ400=0,0,(BA400-AZ400)/AZ400*100)</f>
        <v>0</v>
      </c>
      <c r="BL400" s="951">
        <f>IF(BA400=0,0,(BB400-BA400)/BA400*100)</f>
        <v>0</v>
      </c>
      <c r="BM400" s="951">
        <f>IF(BB400=0,0,(BC400-BB400)/BB400*100)</f>
        <v>0</v>
      </c>
      <c r="BN400" s="6533"/>
      <c r="BO400" s="6533"/>
      <c r="BP400" s="6533"/>
      <c r="BQ400" s="1297"/>
      <c r="BR400" s="1297"/>
      <c r="BS400" s="1072" t="s">
        <v>2356</v>
      </c>
      <c r="BT400" s="1072"/>
      <c r="BU400" s="1072"/>
      <c r="BV400" s="987"/>
      <c r="BW400" s="987"/>
    </row>
    <row s="1656" customFormat="1" customHeight="1" ht="22.96875">
      <c r="A401" s="1297"/>
      <c r="B401" s="986"/>
      <c r="C401" s="1297"/>
      <c r="D401" s="1297"/>
      <c r="E401" s="709">
        <v>15</v>
      </c>
      <c r="F401" s="50" cm="1" t="str">
        <f t="array" ref="F401:F401">OFFSET(E401,-1,1)</f>
        <v>2</v>
      </c>
      <c r="G401" s="1297"/>
      <c r="H401" s="1297"/>
      <c r="I401" s="154" t="s">
        <v>2357</v>
      </c>
      <c r="J401" s="1297"/>
      <c r="K401" s="154" t="s">
        <v>2357</v>
      </c>
      <c r="L401" s="988"/>
      <c r="M401" s="103"/>
      <c r="N401" s="1297"/>
      <c r="O401" s="1297"/>
      <c r="P401" s="1297"/>
      <c r="Q401" s="1297"/>
      <c r="R401" s="1297"/>
      <c r="S401" s="1297"/>
      <c r="T401" s="468" cm="1" t="str">
        <f t="array" ref="T401:T401">T400</f>
        <v>true</v>
      </c>
      <c r="U401" s="1297"/>
      <c r="V401" s="1297"/>
      <c r="W401" s="1297"/>
      <c r="X401" s="1539"/>
      <c r="Y401" s="1297"/>
      <c r="Z401" s="1529"/>
      <c r="AA401" s="1297"/>
      <c r="AB401" s="295" t="s">
        <v>2358</v>
      </c>
      <c r="AC401" s="772" t="s">
        <v>2359</v>
      </c>
      <c r="AD401" s="296" t="s">
        <v>936</v>
      </c>
      <c r="AE401" s="6531"/>
      <c r="AF401" s="6531"/>
      <c r="AG401" s="6531"/>
      <c r="AH401" s="951">
        <f>AG401-AF401</f>
        <v>0</v>
      </c>
      <c r="AI401" s="6524">
        <v>0</v>
      </c>
      <c r="AJ401" s="6524"/>
      <c r="AK401" s="1272"/>
      <c r="AL401" s="1272"/>
      <c r="AM401" s="1272"/>
      <c r="AN401" s="1272"/>
      <c r="AO401" s="1272"/>
      <c r="AP401" s="1272"/>
      <c r="AQ401" s="1272"/>
      <c r="AR401" s="1272"/>
      <c r="AS401" s="1272"/>
      <c r="AT401" s="6524"/>
      <c r="AU401" s="1272"/>
      <c r="AV401" s="1272"/>
      <c r="AW401" s="1272"/>
      <c r="AX401" s="1272"/>
      <c r="AY401" s="1272"/>
      <c r="AZ401" s="1272"/>
      <c r="BA401" s="1272"/>
      <c r="BB401" s="1272"/>
      <c r="BC401" s="1272"/>
      <c r="BD401" s="951">
        <f>IF(AI401=0,0,(AT401-AI401)/AI401*100)</f>
        <v>0</v>
      </c>
      <c r="BE401" s="951">
        <f>IF(AT401=0,0,(AU401-AT401)/AT401*100)</f>
        <v>0</v>
      </c>
      <c r="BF401" s="951">
        <f>IF(AU401=0,0,(AV401-AU401)/AU401*100)</f>
        <v>0</v>
      </c>
      <c r="BG401" s="951">
        <f>IF(AV401=0,0,(AW401-AV401)/AV401*100)</f>
        <v>0</v>
      </c>
      <c r="BH401" s="951">
        <f>IF(AW401=0,0,(AX401-AW401)/AW401*100)</f>
        <v>0</v>
      </c>
      <c r="BI401" s="951">
        <f>IF(AX401=0,0,(AY401-AX401)/AX401*100)</f>
        <v>0</v>
      </c>
      <c r="BJ401" s="951">
        <f>IF(AY401=0,0,(AZ401-AY401)/AY401*100)</f>
        <v>0</v>
      </c>
      <c r="BK401" s="951">
        <f>IF(AZ401=0,0,(BA401-AZ401)/AZ401*100)</f>
        <v>0</v>
      </c>
      <c r="BL401" s="951">
        <f>IF(BA401=0,0,(BB401-BA401)/BA401*100)</f>
        <v>0</v>
      </c>
      <c r="BM401" s="951">
        <f>IF(BB401=0,0,(BC401-BB401)/BB401*100)</f>
        <v>0</v>
      </c>
      <c r="BN401" s="6533"/>
      <c r="BO401" s="6533"/>
      <c r="BP401" s="6533"/>
      <c r="BQ401" s="1297"/>
      <c r="BR401" s="1297"/>
      <c r="BS401" s="1072" t="s">
        <v>1456</v>
      </c>
      <c r="BT401" s="1072"/>
      <c r="BU401" s="1072"/>
      <c r="BV401" s="987"/>
      <c r="BW401" s="987"/>
    </row>
    <row s="1656" customFormat="1" customHeight="1" ht="94.63541666666667">
      <c r="A402" s="1297"/>
      <c r="B402" s="986"/>
      <c r="C402" s="1297"/>
      <c r="D402" s="1297"/>
      <c r="E402" s="709">
        <v>15</v>
      </c>
      <c r="F402" s="50" cm="1" t="str">
        <f t="array" ref="F402:F402">OFFSET(E402,-1,1)</f>
        <v>2</v>
      </c>
      <c r="G402" s="1297"/>
      <c r="H402" s="1297"/>
      <c r="I402" s="154" t="s">
        <v>2360</v>
      </c>
      <c r="J402" s="1297"/>
      <c r="K402" s="154" t="s">
        <v>2360</v>
      </c>
      <c r="L402" s="988" t="s">
        <v>1079</v>
      </c>
      <c r="M402" s="103"/>
      <c r="N402" s="1297"/>
      <c r="O402" s="1297"/>
      <c r="P402" s="1297"/>
      <c r="Q402" s="1297"/>
      <c r="R402" s="1297"/>
      <c r="S402" s="1297"/>
      <c r="T402" s="468" cm="1" t="str">
        <f t="array" ref="T402:T402">T401</f>
        <v>true</v>
      </c>
      <c r="U402" s="1297"/>
      <c r="V402" s="1297"/>
      <c r="W402" s="1297"/>
      <c r="X402" s="1539"/>
      <c r="Y402" s="1297"/>
      <c r="Z402" s="1529"/>
      <c r="AA402" s="1297"/>
      <c r="AB402" s="295" t="s">
        <v>2361</v>
      </c>
      <c r="AC402" s="772" t="s">
        <v>2362</v>
      </c>
      <c r="AD402" s="296" t="s">
        <v>936</v>
      </c>
      <c r="AE402" s="6531"/>
      <c r="AF402" s="6531">
        <v>194.29</v>
      </c>
      <c r="AG402" s="6531">
        <v>194.29</v>
      </c>
      <c r="AH402" s="951">
        <f>AG402-AF402</f>
        <v>0</v>
      </c>
      <c r="AI402" s="6524"/>
      <c r="AJ402" s="6524"/>
      <c r="AK402" s="1272"/>
      <c r="AL402" s="1272"/>
      <c r="AM402" s="1272"/>
      <c r="AN402" s="1272"/>
      <c r="AO402" s="1272"/>
      <c r="AP402" s="1272"/>
      <c r="AQ402" s="1272"/>
      <c r="AR402" s="1272"/>
      <c r="AS402" s="1272"/>
      <c r="AT402" s="6524"/>
      <c r="AU402" s="1272"/>
      <c r="AV402" s="1272"/>
      <c r="AW402" s="1272"/>
      <c r="AX402" s="1272"/>
      <c r="AY402" s="1272"/>
      <c r="AZ402" s="1272"/>
      <c r="BA402" s="1272"/>
      <c r="BB402" s="1272"/>
      <c r="BC402" s="1272"/>
      <c r="BD402" s="951">
        <f>IF(AI402=0,0,(AT402-AI402)/AI402*100)</f>
        <v>0</v>
      </c>
      <c r="BE402" s="951">
        <f>IF(AT402=0,0,(AU402-AT402)/AT402*100)</f>
        <v>0</v>
      </c>
      <c r="BF402" s="951">
        <f>IF(AU402=0,0,(AV402-AU402)/AU402*100)</f>
        <v>0</v>
      </c>
      <c r="BG402" s="951">
        <f>IF(AV402=0,0,(AW402-AV402)/AV402*100)</f>
        <v>0</v>
      </c>
      <c r="BH402" s="951">
        <f>IF(AW402=0,0,(AX402-AW402)/AW402*100)</f>
        <v>0</v>
      </c>
      <c r="BI402" s="951">
        <f>IF(AX402=0,0,(AY402-AX402)/AX402*100)</f>
        <v>0</v>
      </c>
      <c r="BJ402" s="951">
        <f>IF(AY402=0,0,(AZ402-AY402)/AY402*100)</f>
        <v>0</v>
      </c>
      <c r="BK402" s="951">
        <f>IF(AZ402=0,0,(BA402-AZ402)/AZ402*100)</f>
        <v>0</v>
      </c>
      <c r="BL402" s="951">
        <f>IF(BA402=0,0,(BB402-BA402)/BA402*100)</f>
        <v>0</v>
      </c>
      <c r="BM402" s="951">
        <f>IF(BB402=0,0,(BC402-BB402)/BB402*100)</f>
        <v>0</v>
      </c>
      <c r="BN402" s="6533" t="s">
        <v>2502</v>
      </c>
      <c r="BO402" s="6533" t="s">
        <v>2503</v>
      </c>
      <c r="BP402" s="6533" t="s">
        <v>2565</v>
      </c>
      <c r="BQ402" s="1297"/>
      <c r="BR402" s="1297"/>
      <c r="BS402" s="1072" t="s">
        <v>2363</v>
      </c>
      <c r="BT402" s="1072"/>
      <c r="BU402" s="1072"/>
      <c r="BV402" s="987"/>
      <c r="BW402" s="987"/>
    </row>
    <row s="1656" customFormat="1" customHeight="1" ht="21.75">
      <c r="A403" s="1297"/>
      <c r="B403" s="986"/>
      <c r="C403" s="1297"/>
      <c r="D403" s="1297"/>
      <c r="E403" s="709">
        <v>22.5</v>
      </c>
      <c r="F403" s="50" cm="1" t="str">
        <f t="array" ref="F403:F403">OFFSET(E403,-1,1)</f>
        <v>2</v>
      </c>
      <c r="G403" s="154" t="s">
        <v>1704</v>
      </c>
      <c r="H403" s="1297"/>
      <c r="I403" s="154" t="s">
        <v>2364</v>
      </c>
      <c r="J403" s="1297"/>
      <c r="K403" s="154" t="s">
        <v>2364</v>
      </c>
      <c r="L403" s="988"/>
      <c r="M403" s="103"/>
      <c r="N403" s="1297"/>
      <c r="O403" s="1297"/>
      <c r="P403" s="1297"/>
      <c r="Q403" s="1297"/>
      <c r="R403" s="1297"/>
      <c r="S403" s="1297"/>
      <c r="T403" s="468" cm="1" t="str">
        <f t="array" ref="T403:T403">T402</f>
        <v>true</v>
      </c>
      <c r="U403" s="1297"/>
      <c r="V403" s="1297"/>
      <c r="W403" s="1297"/>
      <c r="X403" s="1539"/>
      <c r="Y403" s="1297"/>
      <c r="Z403" s="1529"/>
      <c r="AA403" s="1297"/>
      <c r="AB403" s="295" t="s">
        <v>1768</v>
      </c>
      <c r="AC403" s="769" t="s">
        <v>2365</v>
      </c>
      <c r="AD403" s="296" t="s">
        <v>936</v>
      </c>
      <c r="AE403" s="6531"/>
      <c r="AF403" s="6531"/>
      <c r="AG403" s="6531"/>
      <c r="AH403" s="951">
        <f>AG403-AF403</f>
        <v>0</v>
      </c>
      <c r="AI403" s="6524"/>
      <c r="AJ403" s="6524"/>
      <c r="AK403" s="1272"/>
      <c r="AL403" s="1272"/>
      <c r="AM403" s="1272"/>
      <c r="AN403" s="1272"/>
      <c r="AO403" s="1272"/>
      <c r="AP403" s="1272"/>
      <c r="AQ403" s="1272"/>
      <c r="AR403" s="1272"/>
      <c r="AS403" s="1272"/>
      <c r="AT403" s="6524"/>
      <c r="AU403" s="1272"/>
      <c r="AV403" s="1272"/>
      <c r="AW403" s="1272"/>
      <c r="AX403" s="1272"/>
      <c r="AY403" s="1272"/>
      <c r="AZ403" s="1272"/>
      <c r="BA403" s="1272"/>
      <c r="BB403" s="1272"/>
      <c r="BC403" s="1272"/>
      <c r="BD403" s="951">
        <f>IF(AI403=0,0,(AT403-AI403)/AI403*100)</f>
        <v>0</v>
      </c>
      <c r="BE403" s="951">
        <f>IF(AT403=0,0,(AU403-AT403)/AT403*100)</f>
        <v>0</v>
      </c>
      <c r="BF403" s="951">
        <f>IF(AU403=0,0,(AV403-AU403)/AU403*100)</f>
        <v>0</v>
      </c>
      <c r="BG403" s="951">
        <f>IF(AV403=0,0,(AW403-AV403)/AV403*100)</f>
        <v>0</v>
      </c>
      <c r="BH403" s="951">
        <f>IF(AW403=0,0,(AX403-AW403)/AW403*100)</f>
        <v>0</v>
      </c>
      <c r="BI403" s="951">
        <f>IF(AX403=0,0,(AY403-AX403)/AX403*100)</f>
        <v>0</v>
      </c>
      <c r="BJ403" s="951">
        <f>IF(AY403=0,0,(AZ403-AY403)/AY403*100)</f>
        <v>0</v>
      </c>
      <c r="BK403" s="951">
        <f>IF(AZ403=0,0,(BA403-AZ403)/AZ403*100)</f>
        <v>0</v>
      </c>
      <c r="BL403" s="951">
        <f>IF(BA403=0,0,(BB403-BA403)/BA403*100)</f>
        <v>0</v>
      </c>
      <c r="BM403" s="951">
        <f>IF(BB403=0,0,(BC403-BB403)/BB403*100)</f>
        <v>0</v>
      </c>
      <c r="BN403" s="6533"/>
      <c r="BO403" s="6533"/>
      <c r="BP403" s="6533"/>
      <c r="BQ403" s="1297"/>
      <c r="BR403" s="1297"/>
      <c r="BS403" s="1072" t="s">
        <v>2366</v>
      </c>
      <c r="BT403" s="1072"/>
      <c r="BU403" s="1072"/>
      <c r="BV403" s="987"/>
      <c r="BW403" s="987"/>
    </row>
    <row s="6643" customFormat="1" customHeight="1" ht="301.3020833333333">
      <c r="A404" s="706"/>
      <c r="B404" s="437"/>
      <c r="C404" s="706"/>
      <c r="D404" s="706"/>
      <c r="E404" s="713">
        <v>21</v>
      </c>
      <c r="F404" s="50" cm="1" t="str">
        <f t="array" ref="F404:F404">OFFSET(E404,-1,1)</f>
        <v>2</v>
      </c>
      <c r="G404" s="154" t="s">
        <v>2367</v>
      </c>
      <c r="H404" s="154"/>
      <c r="I404" s="154" t="s">
        <v>346</v>
      </c>
      <c r="J404" s="706"/>
      <c r="K404" s="154" t="s">
        <v>346</v>
      </c>
      <c r="L404" s="993" t="s">
        <v>1550</v>
      </c>
      <c r="M404" s="105"/>
      <c r="N404" s="706"/>
      <c r="O404" s="706"/>
      <c r="P404" s="706"/>
      <c r="Q404" s="706"/>
      <c r="R404" s="706"/>
      <c r="S404" s="706"/>
      <c r="T404" s="468" cm="1" t="str">
        <f t="array" ref="T404:T404">T403</f>
        <v>true</v>
      </c>
      <c r="U404" s="706"/>
      <c r="V404" s="706"/>
      <c r="W404" s="706"/>
      <c r="X404" s="1539"/>
      <c r="Y404" s="706"/>
      <c r="Z404" s="1529"/>
      <c r="AA404" s="706"/>
      <c r="AB404" s="214" t="s">
        <v>234</v>
      </c>
      <c r="AC404" s="208" t="s">
        <v>2368</v>
      </c>
      <c r="AD404" s="207" t="s">
        <v>936</v>
      </c>
      <c r="AE404" s="785">
        <f>_xlfn.SUMIFS(ЭЭ!AE$25:AE$175,ЭЭ!$F$25:$F$175,$F404,ЭЭ!$AC$25:$AC$175,"Всего по тарифу")</f>
        <v>27467.85</v>
      </c>
      <c r="AF404" s="785">
        <f>_xlfn.SUMIFS(ЭЭ!AF$25:AF$175,ЭЭ!$F$25:$F$175,$F404,ЭЭ!$AC$25:$AC$175,"Всего по тарифу")</f>
        <v>25260.05</v>
      </c>
      <c r="AG404" s="785">
        <f>_xlfn.SUMIFS(ЭЭ!AG$25:AG$175,ЭЭ!$F$25:$F$175,$F404,ЭЭ!$AC$25:$AC$175,"Всего по тарифу")</f>
        <v>25321.4724704908</v>
      </c>
      <c r="AH404" s="768">
        <f>AG404-AF404</f>
        <v>61.4224704908011</v>
      </c>
      <c r="AI404" s="768">
        <f>_xlfn.SUMIFS(ЭЭ!AH$25:AH$175,ЭЭ!$F$25:$F$175,$F404,ЭЭ!$AC$25:$AC$175,"Всего по тарифу")</f>
        <v>28677.03</v>
      </c>
      <c r="AJ404" s="768">
        <f>_xlfn.SUMIFS(ЭЭ!AI$25:AI$175,ЭЭ!$F$25:$F$175,$F404,ЭЭ!$AC$25:$AC$175,"Всего по тарифу")</f>
        <v>30380.09</v>
      </c>
      <c r="AK404" s="768">
        <f>_xlfn.SUMIFS(ЭЭ!AJ$25:AJ$175,ЭЭ!$F$25:$F$175,$F404,ЭЭ!$AC$25:$AC$175,"Всего по тарифу")</f>
        <v>0</v>
      </c>
      <c r="AL404" s="768">
        <f>_xlfn.SUMIFS(ЭЭ!AK$25:AK$175,ЭЭ!$F$25:$F$175,$F404,ЭЭ!$AC$25:$AC$175,"Всего по тарифу")</f>
        <v>0</v>
      </c>
      <c r="AM404" s="768">
        <f>_xlfn.SUMIFS(ЭЭ!AL$25:AL$175,ЭЭ!$F$25:$F$175,$F404,ЭЭ!$AC$25:$AC$175,"Всего по тарифу")</f>
        <v>0</v>
      </c>
      <c r="AN404" s="768">
        <f>_xlfn.SUMIFS(ЭЭ!AM$25:AM$175,ЭЭ!$F$25:$F$175,$F404,ЭЭ!$AC$25:$AC$175,"Всего по тарифу")</f>
        <v>0</v>
      </c>
      <c r="AO404" s="768">
        <f>_xlfn.SUMIFS(ЭЭ!AN$25:AN$175,ЭЭ!$F$25:$F$175,$F404,ЭЭ!$AC$25:$AC$175,"Всего по тарифу")</f>
        <v>0</v>
      </c>
      <c r="AP404" s="768">
        <f>_xlfn.SUMIFS(ЭЭ!AO$25:AO$175,ЭЭ!$F$25:$F$175,$F404,ЭЭ!$AC$25:$AC$175,"Всего по тарифу")</f>
        <v>0</v>
      </c>
      <c r="AQ404" s="768">
        <f>_xlfn.SUMIFS(ЭЭ!AP$25:AP$175,ЭЭ!$F$25:$F$175,$F404,ЭЭ!$AC$25:$AC$175,"Всего по тарифу")</f>
        <v>0</v>
      </c>
      <c r="AR404" s="768">
        <f>_xlfn.SUMIFS(ЭЭ!AQ$25:AQ$175,ЭЭ!$F$25:$F$175,$F404,ЭЭ!$AC$25:$AC$175,"Всего по тарифу")</f>
        <v>0</v>
      </c>
      <c r="AS404" s="768">
        <f>_xlfn.SUMIFS(ЭЭ!AR$25:AR$175,ЭЭ!$F$25:$F$175,$F404,ЭЭ!$AC$25:$AC$175,"Всего по тарифу")</f>
        <v>0</v>
      </c>
      <c r="AT404" s="768">
        <f>_xlfn.SUMIFS(ЭЭ!AS$25:AS$175,ЭЭ!$F$25:$F$175,$F404,ЭЭ!$AC$25:$AC$175,"Всего по тарифу")</f>
        <v>32342.06</v>
      </c>
      <c r="AU404" s="768">
        <f>_xlfn.SUMIFS(ЭЭ!AT$25:AT$175,ЭЭ!$F$25:$F$175,$F404,ЭЭ!$AC$25:$AC$175,"Всего по тарифу")</f>
        <v>0</v>
      </c>
      <c r="AV404" s="768">
        <f>_xlfn.SUMIFS(ЭЭ!AU$25:AU$175,ЭЭ!$F$25:$F$175,$F404,ЭЭ!$AC$25:$AC$175,"Всего по тарифу")</f>
        <v>0</v>
      </c>
      <c r="AW404" s="768">
        <f>_xlfn.SUMIFS(ЭЭ!AV$25:AV$175,ЭЭ!$F$25:$F$175,$F404,ЭЭ!$AC$25:$AC$175,"Всего по тарифу")</f>
        <v>0</v>
      </c>
      <c r="AX404" s="768">
        <f>_xlfn.SUMIFS(ЭЭ!AW$25:AW$175,ЭЭ!$F$25:$F$175,$F404,ЭЭ!$AC$25:$AC$175,"Всего по тарифу")</f>
        <v>0</v>
      </c>
      <c r="AY404" s="768">
        <f>_xlfn.SUMIFS(ЭЭ!AX$25:AX$175,ЭЭ!$F$25:$F$175,$F404,ЭЭ!$AC$25:$AC$175,"Всего по тарифу")</f>
        <v>0</v>
      </c>
      <c r="AZ404" s="768">
        <f>_xlfn.SUMIFS(ЭЭ!AY$25:AY$175,ЭЭ!$F$25:$F$175,$F404,ЭЭ!$AC$25:$AC$175,"Всего по тарифу")</f>
        <v>0</v>
      </c>
      <c r="BA404" s="768">
        <f>_xlfn.SUMIFS(ЭЭ!AZ$25:AZ$175,ЭЭ!$F$25:$F$175,$F404,ЭЭ!$AC$25:$AC$175,"Всего по тарифу")</f>
        <v>0</v>
      </c>
      <c r="BB404" s="768">
        <f>_xlfn.SUMIFS(ЭЭ!BA$25:BA$175,ЭЭ!$F$25:$F$175,$F404,ЭЭ!$AC$25:$AC$175,"Всего по тарифу")</f>
        <v>0</v>
      </c>
      <c r="BC404" s="768">
        <f>_xlfn.SUMIFS(ЭЭ!BB$25:BB$175,ЭЭ!$F$25:$F$175,$F404,ЭЭ!$AC$25:$AC$175,"Всего по тарифу")</f>
        <v>0</v>
      </c>
      <c r="BD404" s="768">
        <f>IF(AI404=0,0,(AT404-AI404)/AI404*100)</f>
        <v>12.7803681204086</v>
      </c>
      <c r="BE404" s="768">
        <f>IF(AT404=0,0,(AU404-AT404)/AT404*100)</f>
        <v>-100</v>
      </c>
      <c r="BF404" s="768">
        <f>IF(AU404=0,0,(AV404-AU404)/AU404*100)</f>
        <v>0</v>
      </c>
      <c r="BG404" s="768">
        <f>IF(AV404=0,0,(AW404-AV404)/AV404*100)</f>
        <v>0</v>
      </c>
      <c r="BH404" s="768">
        <f>IF(AW404=0,0,(AX404-AW404)/AW404*100)</f>
        <v>0</v>
      </c>
      <c r="BI404" s="768">
        <f>IF(AX404=0,0,(AY404-AX404)/AX404*100)</f>
        <v>0</v>
      </c>
      <c r="BJ404" s="768">
        <f>IF(AY404=0,0,(AZ404-AY404)/AY404*100)</f>
        <v>0</v>
      </c>
      <c r="BK404" s="768">
        <f>IF(AZ404=0,0,(BA404-AZ404)/AZ404*100)</f>
        <v>0</v>
      </c>
      <c r="BL404" s="768">
        <f>IF(BA404=0,0,(BB404-BA404)/BA404*100)</f>
        <v>0</v>
      </c>
      <c r="BM404" s="768">
        <f>IF(BB404=0,0,(BC404-BB404)/BB404*100)</f>
        <v>0</v>
      </c>
      <c r="BN404" s="6533" t="s">
        <v>2505</v>
      </c>
      <c r="BO404" s="6580" t="s">
        <v>2566</v>
      </c>
      <c r="BP404" s="6533" t="s">
        <v>1840</v>
      </c>
      <c r="BQ404" s="706"/>
      <c r="BR404" s="706"/>
      <c r="BS404" s="1078" t="s">
        <v>1984</v>
      </c>
      <c r="BT404" s="1078"/>
      <c r="BU404" s="1078"/>
      <c r="BV404" s="713"/>
      <c r="BW404" s="713"/>
    </row>
    <row s="6644" customFormat="1" customHeight="1" ht="212.96875">
      <c r="A405" s="706"/>
      <c r="B405" s="158">
        <f>method_reg="Метод индексации"</f>
        <v>1</v>
      </c>
      <c r="C405" s="706"/>
      <c r="D405" s="706"/>
      <c r="E405" s="713">
        <v>22.5</v>
      </c>
      <c r="F405" s="50" cm="1" t="str">
        <f t="array" ref="F405:F405">OFFSET(E405,-1,1)</f>
        <v>2</v>
      </c>
      <c r="G405" s="154" t="s">
        <v>1726</v>
      </c>
      <c r="H405" s="154"/>
      <c r="I405" s="154" t="s">
        <v>348</v>
      </c>
      <c r="J405" s="706"/>
      <c r="K405" s="154" t="s">
        <v>348</v>
      </c>
      <c r="L405" s="993" t="s">
        <v>347</v>
      </c>
      <c r="M405" s="105"/>
      <c r="N405" s="706"/>
      <c r="O405" s="706"/>
      <c r="P405" s="706"/>
      <c r="Q405" s="706"/>
      <c r="R405" s="706"/>
      <c r="S405" s="706"/>
      <c r="T405" s="468" cm="1" t="str">
        <f t="array" ref="T405:T405">T404</f>
        <v>true</v>
      </c>
      <c r="U405" s="706"/>
      <c r="V405" s="706"/>
      <c r="W405" s="706"/>
      <c r="X405" s="1539"/>
      <c r="Y405" s="706"/>
      <c r="Z405" s="1529"/>
      <c r="AA405" s="706"/>
      <c r="AB405" s="214" t="s">
        <v>451</v>
      </c>
      <c r="AC405" s="208" t="s">
        <v>2369</v>
      </c>
      <c r="AD405" s="207" t="s">
        <v>936</v>
      </c>
      <c r="AE405" s="785">
        <f>_xlfn.SUMIFS(Амортизация!AE$25:AE$223,Амортизация!$F$25:$F$223,$F405,Амортизация!$AC$25:$AC$223,"Сумма амортизационных отчислений")</f>
        <v>33.97</v>
      </c>
      <c r="AF405" s="785">
        <f>_xlfn.SUMIFS(Амортизация!AF$25:AF$223,Амортизация!$F$25:$F$223,$F405,Амортизация!$AC$25:$AC$223,"Сумма амортизационных отчислений")</f>
        <v>43.7922</v>
      </c>
      <c r="AG405" s="785">
        <f>_xlfn.SUMIFS(Амортизация!AG$25:AG$223,Амортизация!$F$25:$F$223,$F405,Амортизация!$AC$25:$AC$223,"Сумма амортизационных отчислений")</f>
        <v>43.7922</v>
      </c>
      <c r="AH405" s="768">
        <f>AG405-AF405</f>
        <v>0</v>
      </c>
      <c r="AI405" s="768">
        <f>_xlfn.SUMIFS(Амортизация!AH$25:AH$223,Амортизация!$F$25:$F$223,$F405,Амортизация!$AC$25:$AC$223,"Сумма амортизационных отчислений")</f>
        <v>34.2715</v>
      </c>
      <c r="AJ405" s="768">
        <f>_xlfn.SUMIFS(Амортизация!AI$25:AI$223,Амортизация!$F$25:$F$223,$F405,Амортизация!$AC$25:$AC$223,"Сумма амортизационных отчислений")</f>
        <v>48.52</v>
      </c>
      <c r="AK405" s="768">
        <f>_xlfn.SUMIFS(Амортизация!AJ$25:AJ$223,Амортизация!$F$25:$F$223,$F405,Амортизация!$AC$25:$AC$223,"Сумма амортизационных отчислений")</f>
        <v>0</v>
      </c>
      <c r="AL405" s="768">
        <f>_xlfn.SUMIFS(Амортизация!AK$25:AK$223,Амортизация!$F$25:$F$223,$F405,Амортизация!$AC$25:$AC$223,"Сумма амортизационных отчислений")</f>
        <v>0</v>
      </c>
      <c r="AM405" s="768">
        <f>_xlfn.SUMIFS(Амортизация!AL$25:AL$223,Амортизация!$F$25:$F$223,$F405,Амортизация!$AC$25:$AC$223,"Сумма амортизационных отчислений")</f>
        <v>0</v>
      </c>
      <c r="AN405" s="768">
        <f>_xlfn.SUMIFS(Амортизация!AM$25:AM$223,Амортизация!$F$25:$F$223,$F405,Амортизация!$AC$25:$AC$223,"Сумма амортизационных отчислений")</f>
        <v>0</v>
      </c>
      <c r="AO405" s="768">
        <f>_xlfn.SUMIFS(Амортизация!AN$25:AN$223,Амортизация!$F$25:$F$223,$F405,Амортизация!$AC$25:$AC$223,"Сумма амортизационных отчислений")</f>
        <v>0</v>
      </c>
      <c r="AP405" s="768">
        <f>_xlfn.SUMIFS(Амортизация!AO$25:AO$223,Амортизация!$F$25:$F$223,$F405,Амортизация!$AC$25:$AC$223,"Сумма амортизационных отчислений")</f>
        <v>0</v>
      </c>
      <c r="AQ405" s="768">
        <f>_xlfn.SUMIFS(Амортизация!AP$25:AP$223,Амортизация!$F$25:$F$223,$F405,Амортизация!$AC$25:$AC$223,"Сумма амортизационных отчислений")</f>
        <v>0</v>
      </c>
      <c r="AR405" s="768">
        <f>_xlfn.SUMIFS(Амортизация!AQ$25:AQ$223,Амортизация!$F$25:$F$223,$F405,Амортизация!$AC$25:$AC$223,"Сумма амортизационных отчислений")</f>
        <v>0</v>
      </c>
      <c r="AS405" s="768">
        <f>_xlfn.SUMIFS(Амортизация!AR$25:AR$223,Амортизация!$F$25:$F$223,$F405,Амортизация!$AC$25:$AC$223,"Сумма амортизационных отчислений")</f>
        <v>0</v>
      </c>
      <c r="AT405" s="768">
        <f>_xlfn.SUMIFS(Амортизация!AS$25:AS$223,Амортизация!$F$25:$F$223,$F405,Амортизация!$AC$25:$AC$223,"Сумма амортизационных отчислений")</f>
        <v>48.52</v>
      </c>
      <c r="AU405" s="768">
        <f>_xlfn.SUMIFS(Амортизация!AT$25:AT$223,Амортизация!$F$25:$F$223,$F405,Амортизация!$AC$25:$AC$223,"Сумма амортизационных отчислений")</f>
        <v>0</v>
      </c>
      <c r="AV405" s="768">
        <f>_xlfn.SUMIFS(Амортизация!AU$25:AU$223,Амортизация!$F$25:$F$223,$F405,Амортизация!$AC$25:$AC$223,"Сумма амортизационных отчислений")</f>
        <v>0</v>
      </c>
      <c r="AW405" s="768">
        <f>_xlfn.SUMIFS(Амортизация!AV$25:AV$223,Амортизация!$F$25:$F$223,$F405,Амортизация!$AC$25:$AC$223,"Сумма амортизационных отчислений")</f>
        <v>0</v>
      </c>
      <c r="AX405" s="768">
        <f>_xlfn.SUMIFS(Амортизация!AW$25:AW$223,Амортизация!$F$25:$F$223,$F405,Амортизация!$AC$25:$AC$223,"Сумма амортизационных отчислений")</f>
        <v>0</v>
      </c>
      <c r="AY405" s="768">
        <f>_xlfn.SUMIFS(Амортизация!AX$25:AX$223,Амортизация!$F$25:$F$223,$F405,Амортизация!$AC$25:$AC$223,"Сумма амортизационных отчислений")</f>
        <v>0</v>
      </c>
      <c r="AZ405" s="768">
        <f>_xlfn.SUMIFS(Амортизация!AY$25:AY$223,Амортизация!$F$25:$F$223,$F405,Амортизация!$AC$25:$AC$223,"Сумма амортизационных отчислений")</f>
        <v>0</v>
      </c>
      <c r="BA405" s="768">
        <f>_xlfn.SUMIFS(Амортизация!AZ$25:AZ$223,Амортизация!$F$25:$F$223,$F405,Амортизация!$AC$25:$AC$223,"Сумма амортизационных отчислений")</f>
        <v>0</v>
      </c>
      <c r="BB405" s="768">
        <f>_xlfn.SUMIFS(Амортизация!BA$25:BA$223,Амортизация!$F$25:$F$223,$F405,Амортизация!$AC$25:$AC$223,"Сумма амортизационных отчислений")</f>
        <v>0</v>
      </c>
      <c r="BC405" s="768">
        <f>_xlfn.SUMIFS(Амортизация!BB$25:BB$223,Амортизация!$F$25:$F$223,$F405,Амортизация!$AC$25:$AC$223,"Сумма амортизационных отчислений")</f>
        <v>0</v>
      </c>
      <c r="BD405" s="768">
        <f>IF(AI405=0,0,(AT405-AI405)/AI405*100)</f>
        <v>41.5753614519353</v>
      </c>
      <c r="BE405" s="768">
        <f>IF(AT405=0,0,(AU405-AT405)/AT405*100)</f>
        <v>-100</v>
      </c>
      <c r="BF405" s="768">
        <f>IF(AU405=0,0,(AV405-AU405)/AU405*100)</f>
        <v>0</v>
      </c>
      <c r="BG405" s="768">
        <f>IF(AV405=0,0,(AW405-AV405)/AV405*100)</f>
        <v>0</v>
      </c>
      <c r="BH405" s="768">
        <f>IF(AW405=0,0,(AX405-AW405)/AW405*100)</f>
        <v>0</v>
      </c>
      <c r="BI405" s="768">
        <f>IF(AX405=0,0,(AY405-AX405)/AX405*100)</f>
        <v>0</v>
      </c>
      <c r="BJ405" s="768">
        <f>IF(AY405=0,0,(AZ405-AY405)/AY405*100)</f>
        <v>0</v>
      </c>
      <c r="BK405" s="768">
        <f>IF(AZ405=0,0,(BA405-AZ405)/AZ405*100)</f>
        <v>0</v>
      </c>
      <c r="BL405" s="768">
        <f>IF(BA405=0,0,(BB405-BA405)/BA405*100)</f>
        <v>0</v>
      </c>
      <c r="BM405" s="768">
        <f>IF(BB405=0,0,(BC405-BB405)/BB405*100)</f>
        <v>0</v>
      </c>
      <c r="BN405" s="6533" t="s">
        <v>2507</v>
      </c>
      <c r="BO405" s="6525" t="s">
        <v>2567</v>
      </c>
      <c r="BP405" s="6533" t="s">
        <v>1829</v>
      </c>
      <c r="BQ405" s="706"/>
      <c r="BR405" s="706"/>
      <c r="BS405" s="1078" t="s">
        <v>1435</v>
      </c>
      <c r="BT405" s="1078"/>
      <c r="BU405" s="1078"/>
      <c r="BV405" s="713"/>
      <c r="BW405" s="713"/>
    </row>
    <row s="1656" customFormat="1" customHeight="1" ht="46.302083333333336">
      <c r="A406" s="1297"/>
      <c r="B406" s="434" cm="1" t="str">
        <f t="array" ref="B406:B406">B405</f>
        <v>true</v>
      </c>
      <c r="C406" s="1297"/>
      <c r="D406" s="1297"/>
      <c r="E406" s="709">
        <v>15</v>
      </c>
      <c r="F406" s="50" cm="1" t="str">
        <f t="array" ref="F406:F406">OFFSET(E406,-1,1)</f>
        <v>2</v>
      </c>
      <c r="G406" s="1297"/>
      <c r="H406" s="1297"/>
      <c r="I406" s="154" t="s">
        <v>659</v>
      </c>
      <c r="J406" s="1297"/>
      <c r="K406" s="154" t="s">
        <v>659</v>
      </c>
      <c r="L406" s="988" t="s">
        <v>673</v>
      </c>
      <c r="M406" s="103"/>
      <c r="N406" s="1297"/>
      <c r="O406" s="1297"/>
      <c r="P406" s="1297"/>
      <c r="Q406" s="1297"/>
      <c r="R406" s="1297"/>
      <c r="S406" s="1297"/>
      <c r="T406" s="468" cm="1" t="str">
        <f t="array" ref="T406:T406">T405</f>
        <v>true</v>
      </c>
      <c r="U406" s="1297"/>
      <c r="V406" s="1297"/>
      <c r="W406" s="1297"/>
      <c r="X406" s="1539"/>
      <c r="Y406" s="1297"/>
      <c r="Z406" s="1529"/>
      <c r="AA406" s="1297"/>
      <c r="AB406" s="295" t="s">
        <v>794</v>
      </c>
      <c r="AC406" s="769" t="s">
        <v>2076</v>
      </c>
      <c r="AD406" s="296" t="s">
        <v>936</v>
      </c>
      <c r="AE406" s="6531">
        <f>_xlfn.SUMIFS('ИП + источники'!AF$27:AF$174,'ИП + источники'!$F$27:$F$174,$F406,'ИП + источники'!$AC$27:$AC$174,"Амортизационные отчисления")+_xlfn.SUMIFS('ИП + источники'!AF$27:AF$174,'ИП + источники'!$F$27:$F$174,$F406,'ИП + источники'!$AC$27:$AC$174,"погашение займов и кредитов из амортизации")</f>
        <v>0</v>
      </c>
      <c r="AF406" s="6531">
        <f>_xlfn.SUMIFS('ИП + источники'!AG$27:AG$174,'ИП + источники'!$F$27:$F$174,$F406,'ИП + источники'!$AC$27:$AC$174,"Амортизационные отчисления")+_xlfn.SUMIFS('ИП + источники'!AG$27:AG$174,'ИП + источники'!$F$27:$F$174,$F406,'ИП + источники'!$AC$27:$AC$174,"погашение займов и кредитов из амортизации")</f>
        <v>0</v>
      </c>
      <c r="AG406" s="6531">
        <f>_xlfn.SUMIFS('ИП + источники'!AH$27:AH$174,'ИП + источники'!$F$27:$F$174,$F406,'ИП + источники'!$AC$27:$AC$174,"Амортизационные отчисления")+_xlfn.SUMIFS('ИП + источники'!AH$27:AH$174,'ИП + источники'!$F$27:$F$174,$F406,'ИП + источники'!$AC$27:$AC$174,"погашение займов и кредитов из амортизации")</f>
        <v>0</v>
      </c>
      <c r="AH406" s="951">
        <f>AG406-AF406</f>
        <v>0</v>
      </c>
      <c r="AI406" s="6524">
        <f>_xlfn.SUMIFS('ИП + источники'!AJ$27:AJ$174,'ИП + источники'!$F$27:$F$174,$F406,'ИП + источники'!$AC$27:$AC$174,"Амортизационные отчисления")+_xlfn.SUMIFS('ИП + источники'!AJ$27:AJ$174,'ИП + источники'!$F$27:$F$174,$F406,'ИП + источники'!$AC$27:$AC$174,"погашение займов и кредитов из амортизации")</f>
        <v>0</v>
      </c>
      <c r="AJ406" s="6524">
        <f>_xlfn.SUMIFS('ИП + источники'!AK$27:AK$174,'ИП + источники'!$F$27:$F$174,$F406,'ИП + источники'!$AC$27:$AC$174,"Амортизационные отчисления")+_xlfn.SUMIFS('ИП + источники'!AK$27:AK$174,'ИП + источники'!$F$27:$F$174,$F406,'ИП + источники'!$AC$27:$AC$174,"погашение займов и кредитов из амортизации")</f>
        <v>0</v>
      </c>
      <c r="AK406" s="1272">
        <f>_xlfn.SUMIFS('ИП + источники'!AL$27:AL$174,'ИП + источники'!$F$27:$F$174,$F406,'ИП + источники'!$AC$27:$AC$174,"Амортизационные отчисления")+_xlfn.SUMIFS('ИП + источники'!AL$27:AL$174,'ИП + источники'!$F$27:$F$174,$F406,'ИП + источники'!$AC$27:$AC$174,"погашение займов и кредитов из амортизации")</f>
        <v>0</v>
      </c>
      <c r="AL406" s="1272">
        <f>_xlfn.SUMIFS('ИП + источники'!AM$27:AM$174,'ИП + источники'!$F$27:$F$174,$F406,'ИП + источники'!$AC$27:$AC$174,"Амортизационные отчисления")+_xlfn.SUMIFS('ИП + источники'!AM$27:AM$174,'ИП + источники'!$F$27:$F$174,$F406,'ИП + источники'!$AC$27:$AC$174,"погашение займов и кредитов из амортизации")</f>
        <v>0</v>
      </c>
      <c r="AM406" s="1272">
        <f>_xlfn.SUMIFS('ИП + источники'!AN$27:AN$174,'ИП + источники'!$F$27:$F$174,$F406,'ИП + источники'!$AC$27:$AC$174,"Амортизационные отчисления")+_xlfn.SUMIFS('ИП + источники'!AN$27:AN$174,'ИП + источники'!$F$27:$F$174,$F406,'ИП + источники'!$AC$27:$AC$174,"погашение займов и кредитов из амортизации")</f>
        <v>0</v>
      </c>
      <c r="AN406" s="1272">
        <f>_xlfn.SUMIFS('ИП + источники'!AO$27:AO$174,'ИП + источники'!$F$27:$F$174,$F406,'ИП + источники'!$AC$27:$AC$174,"Амортизационные отчисления")+_xlfn.SUMIFS('ИП + источники'!AO$27:AO$174,'ИП + источники'!$F$27:$F$174,$F406,'ИП + источники'!$AC$27:$AC$174,"погашение займов и кредитов из амортизации")</f>
        <v>0</v>
      </c>
      <c r="AO406" s="1272">
        <f>_xlfn.SUMIFS('ИП + источники'!AP$27:AP$174,'ИП + источники'!$F$27:$F$174,$F406,'ИП + источники'!$AC$27:$AC$174,"Амортизационные отчисления")+_xlfn.SUMIFS('ИП + источники'!AP$27:AP$174,'ИП + источники'!$F$27:$F$174,$F406,'ИП + источники'!$AC$27:$AC$174,"погашение займов и кредитов из амортизации")</f>
        <v>0</v>
      </c>
      <c r="AP406" s="1272">
        <f>_xlfn.SUMIFS('ИП + источники'!AQ$27:AQ$174,'ИП + источники'!$F$27:$F$174,$F406,'ИП + источники'!$AC$27:$AC$174,"Амортизационные отчисления")+_xlfn.SUMIFS('ИП + источники'!AQ$27:AQ$174,'ИП + источники'!$F$27:$F$174,$F406,'ИП + источники'!$AC$27:$AC$174,"погашение займов и кредитов из амортизации")</f>
        <v>0</v>
      </c>
      <c r="AQ406" s="1272">
        <f>_xlfn.SUMIFS('ИП + источники'!AR$27:AR$174,'ИП + источники'!$F$27:$F$174,$F406,'ИП + источники'!$AC$27:$AC$174,"Амортизационные отчисления")+_xlfn.SUMIFS('ИП + источники'!AR$27:AR$174,'ИП + источники'!$F$27:$F$174,$F406,'ИП + источники'!$AC$27:$AC$174,"погашение займов и кредитов из амортизации")</f>
        <v>0</v>
      </c>
      <c r="AR406" s="1272">
        <f>_xlfn.SUMIFS('ИП + источники'!AS$27:AS$174,'ИП + источники'!$F$27:$F$174,$F406,'ИП + источники'!$AC$27:$AC$174,"Амортизационные отчисления")+_xlfn.SUMIFS('ИП + источники'!AS$27:AS$174,'ИП + источники'!$F$27:$F$174,$F406,'ИП + источники'!$AC$27:$AC$174,"погашение займов и кредитов из амортизации")</f>
        <v>0</v>
      </c>
      <c r="AS406" s="1272">
        <f>_xlfn.SUMIFS('ИП + источники'!AT$27:AT$174,'ИП + источники'!$F$27:$F$174,$F406,'ИП + источники'!$AC$27:$AC$174,"Амортизационные отчисления")+_xlfn.SUMIFS('ИП + источники'!AT$27:AT$174,'ИП + источники'!$F$27:$F$174,$F406,'ИП + источники'!$AC$27:$AC$174,"погашение займов и кредитов из амортизации")</f>
        <v>0</v>
      </c>
      <c r="AT406" s="6524">
        <f>_xlfn.SUMIFS('ИП + источники'!AU$27:AU$174,'ИП + источники'!$F$27:$F$174,$F406,'ИП + источники'!$AC$27:$AC$174,"Амортизационные отчисления")+_xlfn.SUMIFS('ИП + источники'!AU$27:AU$174,'ИП + источники'!$F$27:$F$174,$F406,'ИП + источники'!$AC$27:$AC$174,"погашение займов и кредитов из амортизации")</f>
        <v>0</v>
      </c>
      <c r="AU406" s="1272">
        <f>_xlfn.SUMIFS('ИП + источники'!AV$27:AV$174,'ИП + источники'!$F$27:$F$174,$F406,'ИП + источники'!$AC$27:$AC$174,"Амортизационные отчисления")+_xlfn.SUMIFS('ИП + источники'!AV$27:AV$174,'ИП + источники'!$F$27:$F$174,$F406,'ИП + источники'!$AC$27:$AC$174,"погашение займов и кредитов из амортизации")</f>
        <v>0</v>
      </c>
      <c r="AV406" s="1272">
        <f>_xlfn.SUMIFS('ИП + источники'!AW$27:AW$174,'ИП + источники'!$F$27:$F$174,$F406,'ИП + источники'!$AC$27:$AC$174,"Амортизационные отчисления")+_xlfn.SUMIFS('ИП + источники'!AW$27:AW$174,'ИП + источники'!$F$27:$F$174,$F406,'ИП + источники'!$AC$27:$AC$174,"погашение займов и кредитов из амортизации")</f>
        <v>0</v>
      </c>
      <c r="AW406" s="1272">
        <f>_xlfn.SUMIFS('ИП + источники'!AX$27:AX$174,'ИП + источники'!$F$27:$F$174,$F406,'ИП + источники'!$AC$27:$AC$174,"Амортизационные отчисления")+_xlfn.SUMIFS('ИП + источники'!AX$27:AX$174,'ИП + источники'!$F$27:$F$174,$F406,'ИП + источники'!$AC$27:$AC$174,"погашение займов и кредитов из амортизации")</f>
        <v>0</v>
      </c>
      <c r="AX406" s="1272">
        <f>_xlfn.SUMIFS('ИП + источники'!AY$27:AY$174,'ИП + источники'!$F$27:$F$174,$F406,'ИП + источники'!$AC$27:$AC$174,"Амортизационные отчисления")+_xlfn.SUMIFS('ИП + источники'!AY$27:AY$174,'ИП + источники'!$F$27:$F$174,$F406,'ИП + источники'!$AC$27:$AC$174,"погашение займов и кредитов из амортизации")</f>
        <v>0</v>
      </c>
      <c r="AY406" s="1272">
        <f>_xlfn.SUMIFS('ИП + источники'!AZ$27:AZ$174,'ИП + источники'!$F$27:$F$174,$F406,'ИП + источники'!$AC$27:$AC$174,"Амортизационные отчисления")+_xlfn.SUMIFS('ИП + источники'!AZ$27:AZ$174,'ИП + источники'!$F$27:$F$174,$F406,'ИП + источники'!$AC$27:$AC$174,"погашение займов и кредитов из амортизации")</f>
        <v>0</v>
      </c>
      <c r="AZ406" s="1272">
        <f>_xlfn.SUMIFS('ИП + источники'!BA$27:BA$174,'ИП + источники'!$F$27:$F$174,$F406,'ИП + источники'!$AC$27:$AC$174,"Амортизационные отчисления")+_xlfn.SUMIFS('ИП + источники'!BA$27:BA$174,'ИП + источники'!$F$27:$F$174,$F406,'ИП + источники'!$AC$27:$AC$174,"погашение займов и кредитов из амортизации")</f>
        <v>0</v>
      </c>
      <c r="BA406" s="1272">
        <f>_xlfn.SUMIFS('ИП + источники'!BB$27:BB$174,'ИП + источники'!$F$27:$F$174,$F406,'ИП + источники'!$AC$27:$AC$174,"Амортизационные отчисления")+_xlfn.SUMIFS('ИП + источники'!BB$27:BB$174,'ИП + источники'!$F$27:$F$174,$F406,'ИП + источники'!$AC$27:$AC$174,"погашение займов и кредитов из амортизации")</f>
        <v>0</v>
      </c>
      <c r="BB406" s="1272">
        <f>_xlfn.SUMIFS('ИП + источники'!BC$27:BC$174,'ИП + источники'!$F$27:$F$174,$F406,'ИП + источники'!$AC$27:$AC$174,"Амортизационные отчисления")+_xlfn.SUMIFS('ИП + источники'!BC$27:BC$174,'ИП + источники'!$F$27:$F$174,$F406,'ИП + источники'!$AC$27:$AC$174,"погашение займов и кредитов из амортизации")</f>
        <v>0</v>
      </c>
      <c r="BC406" s="1272">
        <f>_xlfn.SUMIFS('ИП + источники'!BD$27:BD$174,'ИП + источники'!$F$27:$F$174,$F406,'ИП + источники'!$AC$27:$AC$174,"Амортизационные отчисления")+_xlfn.SUMIFS('ИП + источники'!BD$27:BD$174,'ИП + источники'!$F$27:$F$174,$F406,'ИП + источники'!$AC$27:$AC$174,"погашение займов и кредитов из амортизации")</f>
        <v>0</v>
      </c>
      <c r="BD406" s="951">
        <f>IF(AI406=0,0,(AT406-AI406)/AI406*100)</f>
        <v>0</v>
      </c>
      <c r="BE406" s="951">
        <f>IF(AT406=0,0,(AU406-AT406)/AT406*100)</f>
        <v>0</v>
      </c>
      <c r="BF406" s="951">
        <f>IF(AU406=0,0,(AV406-AU406)/AU406*100)</f>
        <v>0</v>
      </c>
      <c r="BG406" s="951">
        <f>IF(AV406=0,0,(AW406-AV406)/AV406*100)</f>
        <v>0</v>
      </c>
      <c r="BH406" s="951">
        <f>IF(AW406=0,0,(AX406-AW406)/AW406*100)</f>
        <v>0</v>
      </c>
      <c r="BI406" s="951">
        <f>IF(AX406=0,0,(AY406-AX406)/AX406*100)</f>
        <v>0</v>
      </c>
      <c r="BJ406" s="951">
        <f>IF(AY406=0,0,(AZ406-AY406)/AY406*100)</f>
        <v>0</v>
      </c>
      <c r="BK406" s="951">
        <f>IF(AZ406=0,0,(BA406-AZ406)/AZ406*100)</f>
        <v>0</v>
      </c>
      <c r="BL406" s="951">
        <f>IF(BA406=0,0,(BB406-BA406)/BA406*100)</f>
        <v>0</v>
      </c>
      <c r="BM406" s="951">
        <f>IF(BB406=0,0,(BC406-BB406)/BB406*100)</f>
        <v>0</v>
      </c>
      <c r="BN406" s="6533"/>
      <c r="BO406" s="6533"/>
      <c r="BP406" s="6533"/>
      <c r="BQ406" s="1297"/>
      <c r="BR406" s="1297"/>
      <c r="BS406" s="1072" t="s">
        <v>2077</v>
      </c>
      <c r="BT406" s="1072"/>
      <c r="BU406" s="1072"/>
      <c r="BV406" s="987"/>
      <c r="BW406" s="987"/>
    </row>
    <row s="6645" customFormat="1" customHeight="1" ht="134.63541666666666">
      <c r="A407" s="706"/>
      <c r="B407" s="434" cm="1" t="str">
        <f t="array" ref="B407:B407">B406</f>
        <v>true</v>
      </c>
      <c r="C407" s="706"/>
      <c r="D407" s="706"/>
      <c r="E407" s="713">
        <v>21</v>
      </c>
      <c r="F407" s="50" cm="1" t="str">
        <f t="array" ref="F407:F407">OFFSET(E407,-1,1)</f>
        <v>2</v>
      </c>
      <c r="G407" s="154" t="s">
        <v>1730</v>
      </c>
      <c r="H407" s="154"/>
      <c r="I407" s="154" t="s">
        <v>347</v>
      </c>
      <c r="J407" s="706"/>
      <c r="K407" s="154" t="s">
        <v>347</v>
      </c>
      <c r="L407" s="993" t="s">
        <v>685</v>
      </c>
      <c r="M407" s="105"/>
      <c r="N407" s="706"/>
      <c r="O407" s="706"/>
      <c r="P407" s="706"/>
      <c r="Q407" s="706"/>
      <c r="R407" s="706"/>
      <c r="S407" s="706"/>
      <c r="T407" s="468" cm="1" t="str">
        <f t="array" ref="T407:T407">T406</f>
        <v>true</v>
      </c>
      <c r="U407" s="706"/>
      <c r="V407" s="706"/>
      <c r="W407" s="706"/>
      <c r="X407" s="1539"/>
      <c r="Y407" s="706"/>
      <c r="Z407" s="1529"/>
      <c r="AA407" s="706"/>
      <c r="AB407" s="214" t="s">
        <v>454</v>
      </c>
      <c r="AC407" s="208" t="s">
        <v>1730</v>
      </c>
      <c r="AD407" s="230" t="s">
        <v>936</v>
      </c>
      <c r="AE407" s="209">
        <f>AE408+AE409+AE410+AE411</f>
        <v>1530.88</v>
      </c>
      <c r="AF407" s="209">
        <f>AF408+AF409+AF410+AF411</f>
        <v>1519.75</v>
      </c>
      <c r="AG407" s="209">
        <f>AG408+AG409+AG410+AG411</f>
        <v>1528.85</v>
      </c>
      <c r="AH407" s="777">
        <f>AG407-AF407</f>
        <v>9.0999999999999</v>
      </c>
      <c r="AI407" s="777">
        <f>AI408+AI409+AI410+AI411</f>
        <v>1488.09</v>
      </c>
      <c r="AJ407" s="777">
        <f>AJ408+AJ409+AJ410+AJ411</f>
        <v>3116.78</v>
      </c>
      <c r="AK407" s="777">
        <f>AK408+AK409+AK410+AK411</f>
        <v>0</v>
      </c>
      <c r="AL407" s="777">
        <f>AL408+AL409+AL410+AL411</f>
        <v>0</v>
      </c>
      <c r="AM407" s="777">
        <f>AM408+AM409+AM410+AM411</f>
        <v>0</v>
      </c>
      <c r="AN407" s="777">
        <f>AN408+AN409+AN410+AN411</f>
        <v>0</v>
      </c>
      <c r="AO407" s="777">
        <f>AO408+AO409+AO410+AO411</f>
        <v>0</v>
      </c>
      <c r="AP407" s="777">
        <f>AP408+AP409+AP410+AP411</f>
        <v>0</v>
      </c>
      <c r="AQ407" s="777">
        <f>AQ408+AQ409+AQ410+AQ411</f>
        <v>0</v>
      </c>
      <c r="AR407" s="777">
        <f>AR408+AR409+AR410+AR411</f>
        <v>0</v>
      </c>
      <c r="AS407" s="777">
        <f>AS408+AS409+AS410+AS411</f>
        <v>0</v>
      </c>
      <c r="AT407" s="777">
        <f>AT408+AT409+AT410+AT411</f>
        <v>2628.32</v>
      </c>
      <c r="AU407" s="777">
        <f>AU408+AU409+AU410+AU411</f>
        <v>0</v>
      </c>
      <c r="AV407" s="777">
        <f>AV408+AV409+AV410+AV411</f>
        <v>0</v>
      </c>
      <c r="AW407" s="777">
        <f>AW408+AW409+AW410+AW411</f>
        <v>0</v>
      </c>
      <c r="AX407" s="777">
        <f>AX408+AX409+AX410+AX411</f>
        <v>0</v>
      </c>
      <c r="AY407" s="777">
        <f>AY408+AY409+AY410+AY411</f>
        <v>0</v>
      </c>
      <c r="AZ407" s="777">
        <f>AZ408+AZ409+AZ410+AZ411</f>
        <v>0</v>
      </c>
      <c r="BA407" s="777">
        <f>BA408+BA409+BA410+BA411</f>
        <v>0</v>
      </c>
      <c r="BB407" s="777">
        <f>BB408+BB409+BB410+BB411</f>
        <v>0</v>
      </c>
      <c r="BC407" s="777">
        <f>BC408+BC409+BC410+BC411</f>
        <v>0</v>
      </c>
      <c r="BD407" s="768">
        <f>IF(AI407=0,0,(AT407-AI407)/AI407*100)</f>
        <v>76.6237257155145</v>
      </c>
      <c r="BE407" s="768">
        <f>IF(AT407=0,0,(AU407-AT407)/AT407*100)</f>
        <v>-100</v>
      </c>
      <c r="BF407" s="768">
        <f>IF(AU407=0,0,(AV407-AU407)/AU407*100)</f>
        <v>0</v>
      </c>
      <c r="BG407" s="768">
        <f>IF(AV407=0,0,(AW407-AV407)/AV407*100)</f>
        <v>0</v>
      </c>
      <c r="BH407" s="768">
        <f>IF(AW407=0,0,(AX407-AW407)/AW407*100)</f>
        <v>0</v>
      </c>
      <c r="BI407" s="768">
        <f>IF(AX407=0,0,(AY407-AX407)/AX407*100)</f>
        <v>0</v>
      </c>
      <c r="BJ407" s="768">
        <f>IF(AY407=0,0,(AZ407-AY407)/AY407*100)</f>
        <v>0</v>
      </c>
      <c r="BK407" s="768">
        <f>IF(AZ407=0,0,(BA407-AZ407)/AZ407*100)</f>
        <v>0</v>
      </c>
      <c r="BL407" s="768">
        <f>IF(BA407=0,0,(BB407-BA407)/BA407*100)</f>
        <v>0</v>
      </c>
      <c r="BM407" s="768">
        <f>IF(BB407=0,0,(BC407-BB407)/BB407*100)</f>
        <v>0</v>
      </c>
      <c r="BN407" s="6533"/>
      <c r="BO407" s="6533" t="s">
        <v>2568</v>
      </c>
      <c r="BP407" s="6533" t="s">
        <v>2569</v>
      </c>
      <c r="BQ407" s="706"/>
      <c r="BR407" s="706"/>
      <c r="BS407" s="1071" t="s">
        <v>1734</v>
      </c>
      <c r="BT407" s="1078"/>
      <c r="BU407" s="1078"/>
      <c r="BV407" s="713"/>
      <c r="BW407" s="713"/>
    </row>
    <row s="1656" customFormat="1" customHeight="1" ht="38.80208333333333">
      <c r="A408" s="1297"/>
      <c r="B408" s="434" cm="1" t="str">
        <f t="array" ref="B408:B408">B407</f>
        <v>true</v>
      </c>
      <c r="C408" s="1297"/>
      <c r="D408" s="1297"/>
      <c r="E408" s="709">
        <v>15</v>
      </c>
      <c r="F408" s="50" cm="1" t="str">
        <f t="array" ref="F408:F408">OFFSET(E408,-1,1)</f>
        <v>2</v>
      </c>
      <c r="G408" s="1297"/>
      <c r="H408" s="1297"/>
      <c r="I408" s="154" t="s">
        <v>673</v>
      </c>
      <c r="J408" s="1297"/>
      <c r="K408" s="154" t="s">
        <v>673</v>
      </c>
      <c r="L408" s="988"/>
      <c r="M408" s="103"/>
      <c r="N408" s="1297"/>
      <c r="O408" s="1297"/>
      <c r="P408" s="1297"/>
      <c r="Q408" s="1297"/>
      <c r="R408" s="1297"/>
      <c r="S408" s="1297"/>
      <c r="T408" s="468" cm="1" t="str">
        <f t="array" ref="T408:T408">T407</f>
        <v>true</v>
      </c>
      <c r="U408" s="1297"/>
      <c r="V408" s="1297"/>
      <c r="W408" s="1297"/>
      <c r="X408" s="1539"/>
      <c r="Y408" s="1297"/>
      <c r="Z408" s="1529"/>
      <c r="AA408" s="1297"/>
      <c r="AB408" s="295" t="s">
        <v>801</v>
      </c>
      <c r="AC408" s="769" t="s">
        <v>2370</v>
      </c>
      <c r="AD408" s="296" t="s">
        <v>936</v>
      </c>
      <c r="AE408" s="6531">
        <f>_xlfn.SUMIFS('ИП + источники'!AF$27:AF$174,'ИП + источники'!$F$27:$F$174,$F408,'ИП + источники'!$AC$27:$AC$174,"погашение займов и кредитов из нормативной прибыли")</f>
        <v>0</v>
      </c>
      <c r="AF408" s="6531">
        <f>_xlfn.SUMIFS('ИП + источники'!AG$27:AG$174,'ИП + источники'!$F$27:$F$174,$F408,'ИП + источники'!$AC$27:$AC$174,"погашение займов и кредитов из нормативной прибыли")</f>
        <v>0</v>
      </c>
      <c r="AG408" s="6531">
        <f>_xlfn.SUMIFS('ИП + источники'!AH$27:AH$174,'ИП + источники'!$F$27:$F$174,$F408,'ИП + источники'!$AC$27:$AC$174,"погашение займов и кредитов из нормативной прибыли")</f>
        <v>0</v>
      </c>
      <c r="AH408" s="951">
        <f>AG408-AF408</f>
        <v>0</v>
      </c>
      <c r="AI408" s="6524">
        <f>_xlfn.SUMIFS('ИП + источники'!AJ$27:AJ$174,'ИП + источники'!$F$27:$F$174,$F408,'ИП + источники'!$AC$27:$AC$174,"погашение займов и кредитов из нормативной прибыли")</f>
        <v>0</v>
      </c>
      <c r="AJ408" s="6524">
        <f>_xlfn.SUMIFS('ИП + источники'!AK$27:AK$174,'ИП + источники'!$F$27:$F$174,$F408,'ИП + источники'!$AC$27:$AC$174,"погашение займов и кредитов из нормативной прибыли")</f>
        <v>0</v>
      </c>
      <c r="AK408" s="1272">
        <f>_xlfn.SUMIFS('ИП + источники'!AL$27:AL$174,'ИП + источники'!$F$27:$F$174,$F408,'ИП + источники'!$AC$27:$AC$174,"погашение займов и кредитов из нормативной прибыли")</f>
        <v>0</v>
      </c>
      <c r="AL408" s="1272">
        <f>_xlfn.SUMIFS('ИП + источники'!AM$27:AM$174,'ИП + источники'!$F$27:$F$174,$F408,'ИП + источники'!$AC$27:$AC$174,"погашение займов и кредитов из нормативной прибыли")</f>
        <v>0</v>
      </c>
      <c r="AM408" s="1272">
        <f>_xlfn.SUMIFS('ИП + источники'!AN$27:AN$174,'ИП + источники'!$F$27:$F$174,$F408,'ИП + источники'!$AC$27:$AC$174,"погашение займов и кредитов из нормативной прибыли")</f>
        <v>0</v>
      </c>
      <c r="AN408" s="1272">
        <f>_xlfn.SUMIFS('ИП + источники'!AO$27:AO$174,'ИП + источники'!$F$27:$F$174,$F408,'ИП + источники'!$AC$27:$AC$174,"погашение займов и кредитов из нормативной прибыли")</f>
        <v>0</v>
      </c>
      <c r="AO408" s="1272">
        <f>_xlfn.SUMIFS('ИП + источники'!AP$27:AP$174,'ИП + источники'!$F$27:$F$174,$F408,'ИП + источники'!$AC$27:$AC$174,"погашение займов и кредитов из нормативной прибыли")</f>
        <v>0</v>
      </c>
      <c r="AP408" s="1272">
        <f>_xlfn.SUMIFS('ИП + источники'!AQ$27:AQ$174,'ИП + источники'!$F$27:$F$174,$F408,'ИП + источники'!$AC$27:$AC$174,"погашение займов и кредитов из нормативной прибыли")</f>
        <v>0</v>
      </c>
      <c r="AQ408" s="1272">
        <f>_xlfn.SUMIFS('ИП + источники'!AR$27:AR$174,'ИП + источники'!$F$27:$F$174,$F408,'ИП + источники'!$AC$27:$AC$174,"погашение займов и кредитов из нормативной прибыли")</f>
        <v>0</v>
      </c>
      <c r="AR408" s="1272">
        <f>_xlfn.SUMIFS('ИП + источники'!AS$27:AS$174,'ИП + источники'!$F$27:$F$174,$F408,'ИП + источники'!$AC$27:$AC$174,"погашение займов и кредитов из нормативной прибыли")</f>
        <v>0</v>
      </c>
      <c r="AS408" s="1272">
        <f>_xlfn.SUMIFS('ИП + источники'!AT$27:AT$174,'ИП + источники'!$F$27:$F$174,$F408,'ИП + источники'!$AC$27:$AC$174,"погашение займов и кредитов из нормативной прибыли")</f>
        <v>0</v>
      </c>
      <c r="AT408" s="6524">
        <f>_xlfn.SUMIFS('ИП + источники'!AU$27:AU$174,'ИП + источники'!$F$27:$F$174,$F408,'ИП + источники'!$AC$27:$AC$174,"погашение займов и кредитов из нормативной прибыли")</f>
        <v>0</v>
      </c>
      <c r="AU408" s="1272">
        <f>_xlfn.SUMIFS('ИП + источники'!AV$27:AV$174,'ИП + источники'!$F$27:$F$174,$F408,'ИП + источники'!$AC$27:$AC$174,"погашение займов и кредитов из нормативной прибыли")</f>
        <v>0</v>
      </c>
      <c r="AV408" s="1272">
        <f>_xlfn.SUMIFS('ИП + источники'!AW$27:AW$174,'ИП + источники'!$F$27:$F$174,$F408,'ИП + источники'!$AC$27:$AC$174,"погашение займов и кредитов из нормативной прибыли")</f>
        <v>0</v>
      </c>
      <c r="AW408" s="1272">
        <f>_xlfn.SUMIFS('ИП + источники'!AX$27:AX$174,'ИП + источники'!$F$27:$F$174,$F408,'ИП + источники'!$AC$27:$AC$174,"погашение займов и кредитов из нормативной прибыли")</f>
        <v>0</v>
      </c>
      <c r="AX408" s="1272">
        <f>_xlfn.SUMIFS('ИП + источники'!AY$27:AY$174,'ИП + источники'!$F$27:$F$174,$F408,'ИП + источники'!$AC$27:$AC$174,"погашение займов и кредитов из нормативной прибыли")</f>
        <v>0</v>
      </c>
      <c r="AY408" s="1272">
        <f>_xlfn.SUMIFS('ИП + источники'!AZ$27:AZ$174,'ИП + источники'!$F$27:$F$174,$F408,'ИП + источники'!$AC$27:$AC$174,"погашение займов и кредитов из нормативной прибыли")</f>
        <v>0</v>
      </c>
      <c r="AZ408" s="1272">
        <f>_xlfn.SUMIFS('ИП + источники'!BA$27:BA$174,'ИП + источники'!$F$27:$F$174,$F408,'ИП + источники'!$AC$27:$AC$174,"погашение займов и кредитов из нормативной прибыли")</f>
        <v>0</v>
      </c>
      <c r="BA408" s="1272">
        <f>_xlfn.SUMIFS('ИП + источники'!BB$27:BB$174,'ИП + источники'!$F$27:$F$174,$F408,'ИП + источники'!$AC$27:$AC$174,"погашение займов и кредитов из нормативной прибыли")</f>
        <v>0</v>
      </c>
      <c r="BB408" s="1272">
        <f>_xlfn.SUMIFS('ИП + источники'!BC$27:BC$174,'ИП + источники'!$F$27:$F$174,$F408,'ИП + источники'!$AC$27:$AC$174,"погашение займов и кредитов из нормативной прибыли")</f>
        <v>0</v>
      </c>
      <c r="BC408" s="1272">
        <f>_xlfn.SUMIFS('ИП + источники'!BD$27:BD$174,'ИП + источники'!$F$27:$F$174,$F408,'ИП + источники'!$AC$27:$AC$174,"погашение займов и кредитов из нормативной прибыли")</f>
        <v>0</v>
      </c>
      <c r="BD408" s="951">
        <f>IF(AI408=0,0,(AT408-AI408)/AI408*100)</f>
        <v>0</v>
      </c>
      <c r="BE408" s="951">
        <f>IF(AT408=0,0,(AU408-AT408)/AT408*100)</f>
        <v>0</v>
      </c>
      <c r="BF408" s="951">
        <f>IF(AU408=0,0,(AV408-AU408)/AU408*100)</f>
        <v>0</v>
      </c>
      <c r="BG408" s="951">
        <f>IF(AV408=0,0,(AW408-AV408)/AV408*100)</f>
        <v>0</v>
      </c>
      <c r="BH408" s="951">
        <f>IF(AW408=0,0,(AX408-AW408)/AW408*100)</f>
        <v>0</v>
      </c>
      <c r="BI408" s="951">
        <f>IF(AX408=0,0,(AY408-AX408)/AX408*100)</f>
        <v>0</v>
      </c>
      <c r="BJ408" s="951">
        <f>IF(AY408=0,0,(AZ408-AY408)/AY408*100)</f>
        <v>0</v>
      </c>
      <c r="BK408" s="951">
        <f>IF(AZ408=0,0,(BA408-AZ408)/AZ408*100)</f>
        <v>0</v>
      </c>
      <c r="BL408" s="951">
        <f>IF(BA408=0,0,(BB408-BA408)/BA408*100)</f>
        <v>0</v>
      </c>
      <c r="BM408" s="951">
        <f>IF(BB408=0,0,(BC408-BB408)/BB408*100)</f>
        <v>0</v>
      </c>
      <c r="BN408" s="6533"/>
      <c r="BO408" s="6525" t="str">
        <f>IF(_xlfn.IFERROR(INDEX('ИП + источники'!$K$57:$L$174,MATCH($F408&amp;"2komm",'ИП + источники'!$K$57:$K$174,0),2),"")=0,"",_xlfn.IFERROR(INDEX('ИП + источники'!$K$57:$L$174,MATCH($F408&amp;"2komm",'ИП + источники'!$K$57:$K$174,0),2),""))</f>
        <v/>
      </c>
      <c r="BP408" s="6533"/>
      <c r="BQ408" s="1297"/>
      <c r="BR408" s="1297"/>
      <c r="BS408" s="1072" t="s">
        <v>2371</v>
      </c>
      <c r="BT408" s="1072"/>
      <c r="BU408" s="1072"/>
      <c r="BV408" s="987"/>
      <c r="BW408" s="987"/>
    </row>
    <row s="1656" customFormat="1" customHeight="1" ht="40.46874999999999">
      <c r="A409" s="1297"/>
      <c r="B409" s="434" cm="1" t="str">
        <f t="array" ref="B409:B409">B408</f>
        <v>true</v>
      </c>
      <c r="C409" s="1297"/>
      <c r="D409" s="1297"/>
      <c r="E409" s="709">
        <v>15</v>
      </c>
      <c r="F409" s="50" cm="1" t="str">
        <f t="array" ref="F409:F409">OFFSET(E409,-1,1)</f>
        <v>2</v>
      </c>
      <c r="G409" s="1297"/>
      <c r="H409" s="1297"/>
      <c r="I409" s="154" t="s">
        <v>677</v>
      </c>
      <c r="J409" s="1297"/>
      <c r="K409" s="154" t="s">
        <v>677</v>
      </c>
      <c r="L409" s="988"/>
      <c r="M409" s="103"/>
      <c r="N409" s="1297"/>
      <c r="O409" s="1297"/>
      <c r="P409" s="1297"/>
      <c r="Q409" s="1297"/>
      <c r="R409" s="1297"/>
      <c r="S409" s="1297"/>
      <c r="T409" s="468" cm="1" t="str">
        <f t="array" ref="T409:T409">T408</f>
        <v>true</v>
      </c>
      <c r="U409" s="1297"/>
      <c r="V409" s="1297"/>
      <c r="W409" s="1297"/>
      <c r="X409" s="1539"/>
      <c r="Y409" s="1297"/>
      <c r="Z409" s="1529"/>
      <c r="AA409" s="1297"/>
      <c r="AB409" s="295" t="s">
        <v>804</v>
      </c>
      <c r="AC409" s="769" t="s">
        <v>2372</v>
      </c>
      <c r="AD409" s="296" t="s">
        <v>936</v>
      </c>
      <c r="AE409" s="6531">
        <f>_xlfn.SUMIFS('ИП + источники'!AF$27:AF$174,'ИП + источники'!$F$27:$F$174,$F409,'ИП + источники'!$AC$27:$AC$174,"уплата процентов по кредитам из нормативной прибыли")</f>
        <v>0</v>
      </c>
      <c r="AF409" s="6531">
        <f>_xlfn.SUMIFS('ИП + источники'!AG$27:AG$174,'ИП + источники'!$F$27:$F$174,$F409,'ИП + источники'!$AC$27:$AC$174,"уплата процентов по кредитам из нормативной прибыли")</f>
        <v>0</v>
      </c>
      <c r="AG409" s="6531">
        <f>_xlfn.SUMIFS('ИП + источники'!AH$27:AH$174,'ИП + источники'!$F$27:$F$174,$F409,'ИП + источники'!$AC$27:$AC$174,"уплата процентов по кредитам из нормативной прибыли")</f>
        <v>0</v>
      </c>
      <c r="AH409" s="951">
        <f>AG409-AF409</f>
        <v>0</v>
      </c>
      <c r="AI409" s="6524">
        <f>_xlfn.SUMIFS('ИП + источники'!AJ$27:AJ$174,'ИП + источники'!$F$27:$F$174,$F409,'ИП + источники'!$AC$27:$AC$174,"уплата процентов по кредитам из нормативной прибыли")</f>
        <v>0</v>
      </c>
      <c r="AJ409" s="6524">
        <f>_xlfn.SUMIFS('ИП + источники'!AK$27:AK$174,'ИП + источники'!$F$27:$F$174,$F409,'ИП + источники'!$AC$27:$AC$174,"уплата процентов по кредитам из нормативной прибыли")</f>
        <v>0</v>
      </c>
      <c r="AK409" s="1272">
        <f>_xlfn.SUMIFS('ИП + источники'!AL$27:AL$174,'ИП + источники'!$F$27:$F$174,$F409,'ИП + источники'!$AC$27:$AC$174,"уплата процентов по кредитам из нормативной прибыли")</f>
        <v>0</v>
      </c>
      <c r="AL409" s="1272">
        <f>_xlfn.SUMIFS('ИП + источники'!AM$27:AM$174,'ИП + источники'!$F$27:$F$174,$F409,'ИП + источники'!$AC$27:$AC$174,"уплата процентов по кредитам из нормативной прибыли")</f>
        <v>0</v>
      </c>
      <c r="AM409" s="1272">
        <f>_xlfn.SUMIFS('ИП + источники'!AN$27:AN$174,'ИП + источники'!$F$27:$F$174,$F409,'ИП + источники'!$AC$27:$AC$174,"уплата процентов по кредитам из нормативной прибыли")</f>
        <v>0</v>
      </c>
      <c r="AN409" s="1272">
        <f>_xlfn.SUMIFS('ИП + источники'!AO$27:AO$174,'ИП + источники'!$F$27:$F$174,$F409,'ИП + источники'!$AC$27:$AC$174,"уплата процентов по кредитам из нормативной прибыли")</f>
        <v>0</v>
      </c>
      <c r="AO409" s="1272">
        <f>_xlfn.SUMIFS('ИП + источники'!AP$27:AP$174,'ИП + источники'!$F$27:$F$174,$F409,'ИП + источники'!$AC$27:$AC$174,"уплата процентов по кредитам из нормативной прибыли")</f>
        <v>0</v>
      </c>
      <c r="AP409" s="1272">
        <f>_xlfn.SUMIFS('ИП + источники'!AQ$27:AQ$174,'ИП + источники'!$F$27:$F$174,$F409,'ИП + источники'!$AC$27:$AC$174,"уплата процентов по кредитам из нормативной прибыли")</f>
        <v>0</v>
      </c>
      <c r="AQ409" s="1272">
        <f>_xlfn.SUMIFS('ИП + источники'!AR$27:AR$174,'ИП + источники'!$F$27:$F$174,$F409,'ИП + источники'!$AC$27:$AC$174,"уплата процентов по кредитам из нормативной прибыли")</f>
        <v>0</v>
      </c>
      <c r="AR409" s="1272">
        <f>_xlfn.SUMIFS('ИП + источники'!AS$27:AS$174,'ИП + источники'!$F$27:$F$174,$F409,'ИП + источники'!$AC$27:$AC$174,"уплата процентов по кредитам из нормативной прибыли")</f>
        <v>0</v>
      </c>
      <c r="AS409" s="1272">
        <f>_xlfn.SUMIFS('ИП + источники'!AT$27:AT$174,'ИП + источники'!$F$27:$F$174,$F409,'ИП + источники'!$AC$27:$AC$174,"уплата процентов по кредитам из нормативной прибыли")</f>
        <v>0</v>
      </c>
      <c r="AT409" s="6524">
        <f>_xlfn.SUMIFS('ИП + источники'!AU$27:AU$174,'ИП + источники'!$F$27:$F$174,$F409,'ИП + источники'!$AC$27:$AC$174,"уплата процентов по кредитам из нормативной прибыли")</f>
        <v>0</v>
      </c>
      <c r="AU409" s="1272">
        <f>_xlfn.SUMIFS('ИП + источники'!AV$27:AV$174,'ИП + источники'!$F$27:$F$174,$F409,'ИП + источники'!$AC$27:$AC$174,"уплата процентов по кредитам из нормативной прибыли")</f>
        <v>0</v>
      </c>
      <c r="AV409" s="1272">
        <f>_xlfn.SUMIFS('ИП + источники'!AW$27:AW$174,'ИП + источники'!$F$27:$F$174,$F409,'ИП + источники'!$AC$27:$AC$174,"уплата процентов по кредитам из нормативной прибыли")</f>
        <v>0</v>
      </c>
      <c r="AW409" s="1272">
        <f>_xlfn.SUMIFS('ИП + источники'!AX$27:AX$174,'ИП + источники'!$F$27:$F$174,$F409,'ИП + источники'!$AC$27:$AC$174,"уплата процентов по кредитам из нормативной прибыли")</f>
        <v>0</v>
      </c>
      <c r="AX409" s="1272">
        <f>_xlfn.SUMIFS('ИП + источники'!AY$27:AY$174,'ИП + источники'!$F$27:$F$174,$F409,'ИП + источники'!$AC$27:$AC$174,"уплата процентов по кредитам из нормативной прибыли")</f>
        <v>0</v>
      </c>
      <c r="AY409" s="1272">
        <f>_xlfn.SUMIFS('ИП + источники'!AZ$27:AZ$174,'ИП + источники'!$F$27:$F$174,$F409,'ИП + источники'!$AC$27:$AC$174,"уплата процентов по кредитам из нормативной прибыли")</f>
        <v>0</v>
      </c>
      <c r="AZ409" s="1272">
        <f>_xlfn.SUMIFS('ИП + источники'!BA$27:BA$174,'ИП + источники'!$F$27:$F$174,$F409,'ИП + источники'!$AC$27:$AC$174,"уплата процентов по кредитам из нормативной прибыли")</f>
        <v>0</v>
      </c>
      <c r="BA409" s="1272">
        <f>_xlfn.SUMIFS('ИП + источники'!BB$27:BB$174,'ИП + источники'!$F$27:$F$174,$F409,'ИП + источники'!$AC$27:$AC$174,"уплата процентов по кредитам из нормативной прибыли")</f>
        <v>0</v>
      </c>
      <c r="BB409" s="1272">
        <f>_xlfn.SUMIFS('ИП + источники'!BC$27:BC$174,'ИП + источники'!$F$27:$F$174,$F409,'ИП + источники'!$AC$27:$AC$174,"уплата процентов по кредитам из нормативной прибыли")</f>
        <v>0</v>
      </c>
      <c r="BC409" s="1272">
        <f>_xlfn.SUMIFS('ИП + источники'!BD$27:BD$174,'ИП + источники'!$F$27:$F$174,$F409,'ИП + источники'!$AC$27:$AC$174,"уплата процентов по кредитам из нормативной прибыли")</f>
        <v>0</v>
      </c>
      <c r="BD409" s="951">
        <f>IF(AI409=0,0,(AT409-AI409)/AI409*100)</f>
        <v>0</v>
      </c>
      <c r="BE409" s="951">
        <f>IF(AT409=0,0,(AU409-AT409)/AT409*100)</f>
        <v>0</v>
      </c>
      <c r="BF409" s="951">
        <f>IF(AU409=0,0,(AV409-AU409)/AU409*100)</f>
        <v>0</v>
      </c>
      <c r="BG409" s="951">
        <f>IF(AV409=0,0,(AW409-AV409)/AV409*100)</f>
        <v>0</v>
      </c>
      <c r="BH409" s="951">
        <f>IF(AW409=0,0,(AX409-AW409)/AW409*100)</f>
        <v>0</v>
      </c>
      <c r="BI409" s="951">
        <f>IF(AX409=0,0,(AY409-AX409)/AX409*100)</f>
        <v>0</v>
      </c>
      <c r="BJ409" s="951">
        <f>IF(AY409=0,0,(AZ409-AY409)/AY409*100)</f>
        <v>0</v>
      </c>
      <c r="BK409" s="951">
        <f>IF(AZ409=0,0,(BA409-AZ409)/AZ409*100)</f>
        <v>0</v>
      </c>
      <c r="BL409" s="951">
        <f>IF(BA409=0,0,(BB409-BA409)/BA409*100)</f>
        <v>0</v>
      </c>
      <c r="BM409" s="951">
        <f>IF(BB409=0,0,(BC409-BB409)/BB409*100)</f>
        <v>0</v>
      </c>
      <c r="BN409" s="6533"/>
      <c r="BO409" s="6525" t="str">
        <f>IF(_xlfn.IFERROR(INDEX('ИП + источники'!$K$57:$L$174,MATCH($F409&amp;"3komm",'ИП + источники'!$K$57:$K$174,0),2),"")=0,"",_xlfn.IFERROR(INDEX('ИП + источники'!$K$57:$L$174,MATCH($F409&amp;"3komm",'ИП + источники'!$K$57:$K$174,0),2),""))</f>
        <v/>
      </c>
      <c r="BP409" s="6533"/>
      <c r="BQ409" s="1297"/>
      <c r="BR409" s="1297"/>
      <c r="BS409" s="1072" t="s">
        <v>2373</v>
      </c>
      <c r="BT409" s="1072"/>
      <c r="BU409" s="1072"/>
      <c r="BV409" s="987"/>
      <c r="BW409" s="987"/>
    </row>
    <row s="1656" customFormat="1" customHeight="1" ht="142.96875">
      <c r="A410" s="1297"/>
      <c r="B410" s="434" cm="1" t="str">
        <f t="array" ref="B410:B410">B409</f>
        <v>true</v>
      </c>
      <c r="C410" s="1297"/>
      <c r="D410" s="1297"/>
      <c r="E410" s="709">
        <v>15</v>
      </c>
      <c r="F410" s="50" cm="1" t="str">
        <f t="array" ref="F410:F410">OFFSET(E410,-1,1)</f>
        <v>2</v>
      </c>
      <c r="G410" s="1297"/>
      <c r="H410" s="1297"/>
      <c r="I410" s="154" t="s">
        <v>889</v>
      </c>
      <c r="J410" s="1297"/>
      <c r="K410" s="154" t="s">
        <v>889</v>
      </c>
      <c r="L410" s="988" t="s">
        <v>692</v>
      </c>
      <c r="M410" s="103"/>
      <c r="N410" s="1297"/>
      <c r="O410" s="1297"/>
      <c r="P410" s="1297"/>
      <c r="Q410" s="1297"/>
      <c r="R410" s="1297"/>
      <c r="S410" s="1297"/>
      <c r="T410" s="468" cm="1" t="str">
        <f t="array" ref="T410:T410">T409</f>
        <v>true</v>
      </c>
      <c r="U410" s="1297"/>
      <c r="V410" s="1297"/>
      <c r="W410" s="1297"/>
      <c r="X410" s="1539"/>
      <c r="Y410" s="1297"/>
      <c r="Z410" s="1529"/>
      <c r="AA410" s="1297"/>
      <c r="AB410" s="295" t="s">
        <v>1122</v>
      </c>
      <c r="AC410" s="769" t="s">
        <v>2374</v>
      </c>
      <c r="AD410" s="296" t="s">
        <v>936</v>
      </c>
      <c r="AE410" s="6531">
        <v>1520.01</v>
      </c>
      <c r="AF410" s="6531">
        <f>_xlfn.SUMIFS('ИП + источники'!AG$27:AG$174,'ИП + источники'!$F$27:$F$174,$F410,'ИП + источники'!$AC$27:$AC$174,"Прибыль на капвложения")</f>
        <v>1248.91</v>
      </c>
      <c r="AG410" s="6531">
        <v>1469.95</v>
      </c>
      <c r="AH410" s="951">
        <f>AG410-AF410</f>
        <v>221.04</v>
      </c>
      <c r="AI410" s="6524">
        <v>1451.92</v>
      </c>
      <c r="AJ410" s="6524">
        <f>_xlfn.SUMIFS('ИП + источники'!AK$27:AK$174,'ИП + источники'!$F$27:$F$174,$F410,'ИП + источники'!$AC$27:$AC$174,"Прибыль на капвложения")</f>
        <v>2777.8</v>
      </c>
      <c r="AK410" s="1272">
        <f>_xlfn.SUMIFS('ИП + источники'!AL$27:AL$174,'ИП + источники'!$F$27:$F$174,$F410,'ИП + источники'!$AC$27:$AC$174,"Прибыль на капвложения")</f>
        <v>0</v>
      </c>
      <c r="AL410" s="1272">
        <f>_xlfn.SUMIFS('ИП + источники'!AM$27:AM$174,'ИП + источники'!$F$27:$F$174,$F410,'ИП + источники'!$AC$27:$AC$174,"Прибыль на капвложения")</f>
        <v>0</v>
      </c>
      <c r="AM410" s="1272">
        <f>_xlfn.SUMIFS('ИП + источники'!AN$27:AN$174,'ИП + источники'!$F$27:$F$174,$F410,'ИП + источники'!$AC$27:$AC$174,"Прибыль на капвложения")</f>
        <v>0</v>
      </c>
      <c r="AN410" s="1272">
        <f>_xlfn.SUMIFS('ИП + источники'!AO$27:AO$174,'ИП + источники'!$F$27:$F$174,$F410,'ИП + источники'!$AC$27:$AC$174,"Прибыль на капвложения")</f>
        <v>0</v>
      </c>
      <c r="AO410" s="1272">
        <f>_xlfn.SUMIFS('ИП + источники'!AP$27:AP$174,'ИП + источники'!$F$27:$F$174,$F410,'ИП + источники'!$AC$27:$AC$174,"Прибыль на капвложения")</f>
        <v>0</v>
      </c>
      <c r="AP410" s="1272">
        <f>_xlfn.SUMIFS('ИП + источники'!AQ$27:AQ$174,'ИП + источники'!$F$27:$F$174,$F410,'ИП + источники'!$AC$27:$AC$174,"Прибыль на капвложения")</f>
        <v>0</v>
      </c>
      <c r="AQ410" s="1272">
        <f>_xlfn.SUMIFS('ИП + источники'!AR$27:AR$174,'ИП + источники'!$F$27:$F$174,$F410,'ИП + источники'!$AC$27:$AC$174,"Прибыль на капвложения")</f>
        <v>0</v>
      </c>
      <c r="AR410" s="1272">
        <f>_xlfn.SUMIFS('ИП + источники'!AS$27:AS$174,'ИП + источники'!$F$27:$F$174,$F410,'ИП + источники'!$AC$27:$AC$174,"Прибыль на капвложения")</f>
        <v>0</v>
      </c>
      <c r="AS410" s="1272">
        <f>_xlfn.SUMIFS('ИП + источники'!AT$27:AT$174,'ИП + источники'!$F$27:$F$174,$F410,'ИП + источники'!$AC$27:$AC$174,"Прибыль на капвложения")</f>
        <v>0</v>
      </c>
      <c r="AT410" s="6524">
        <v>2560.84</v>
      </c>
      <c r="AU410" s="1272">
        <f>_xlfn.SUMIFS('ИП + источники'!AV$27:AV$174,'ИП + источники'!$F$27:$F$174,$F410,'ИП + источники'!$AC$27:$AC$174,"Прибыль на капвложения")</f>
        <v>0</v>
      </c>
      <c r="AV410" s="1272">
        <f>_xlfn.SUMIFS('ИП + источники'!AW$27:AW$174,'ИП + источники'!$F$27:$F$174,$F410,'ИП + источники'!$AC$27:$AC$174,"Прибыль на капвложения")</f>
        <v>0</v>
      </c>
      <c r="AW410" s="1272">
        <f>_xlfn.SUMIFS('ИП + источники'!AX$27:AX$174,'ИП + источники'!$F$27:$F$174,$F410,'ИП + источники'!$AC$27:$AC$174,"Прибыль на капвложения")</f>
        <v>0</v>
      </c>
      <c r="AX410" s="1272">
        <f>_xlfn.SUMIFS('ИП + источники'!AY$27:AY$174,'ИП + источники'!$F$27:$F$174,$F410,'ИП + источники'!$AC$27:$AC$174,"Прибыль на капвложения")</f>
        <v>0</v>
      </c>
      <c r="AY410" s="1272">
        <f>_xlfn.SUMIFS('ИП + источники'!AZ$27:AZ$174,'ИП + источники'!$F$27:$F$174,$F410,'ИП + источники'!$AC$27:$AC$174,"Прибыль на капвложения")</f>
        <v>0</v>
      </c>
      <c r="AZ410" s="1272">
        <f>_xlfn.SUMIFS('ИП + источники'!BA$27:BA$174,'ИП + источники'!$F$27:$F$174,$F410,'ИП + источники'!$AC$27:$AC$174,"Прибыль на капвложения")</f>
        <v>0</v>
      </c>
      <c r="BA410" s="1272">
        <f>_xlfn.SUMIFS('ИП + источники'!BB$27:BB$174,'ИП + источники'!$F$27:$F$174,$F410,'ИП + источники'!$AC$27:$AC$174,"Прибыль на капвложения")</f>
        <v>0</v>
      </c>
      <c r="BB410" s="1272">
        <f>_xlfn.SUMIFS('ИП + источники'!BC$27:BC$174,'ИП + источники'!$F$27:$F$174,$F410,'ИП + источники'!$AC$27:$AC$174,"Прибыль на капвложения")</f>
        <v>0</v>
      </c>
      <c r="BC410" s="1272">
        <f>_xlfn.SUMIFS('ИП + источники'!BD$27:BD$174,'ИП + источники'!$F$27:$F$174,$F410,'ИП + источники'!$AC$27:$AC$174,"Прибыль на капвложения")</f>
        <v>0</v>
      </c>
      <c r="BD410" s="951">
        <f>IF(AI410=0,0,(AT410-AI410)/AI410*100)</f>
        <v>76.3761088765221</v>
      </c>
      <c r="BE410" s="951">
        <f>IF(AT410=0,0,(AU410-AT410)/AT410*100)</f>
        <v>-100</v>
      </c>
      <c r="BF410" s="951">
        <f>IF(AU410=0,0,(AV410-AU410)/AU410*100)</f>
        <v>0</v>
      </c>
      <c r="BG410" s="951">
        <f>IF(AV410=0,0,(AW410-AV410)/AV410*100)</f>
        <v>0</v>
      </c>
      <c r="BH410" s="951">
        <f>IF(AW410=0,0,(AX410-AW410)/AW410*100)</f>
        <v>0</v>
      </c>
      <c r="BI410" s="951">
        <f>IF(AX410=0,0,(AY410-AX410)/AX410*100)</f>
        <v>0</v>
      </c>
      <c r="BJ410" s="951">
        <f>IF(AY410=0,0,(AZ410-AY410)/AY410*100)</f>
        <v>0</v>
      </c>
      <c r="BK410" s="951">
        <f>IF(AZ410=0,0,(BA410-AZ410)/AZ410*100)</f>
        <v>0</v>
      </c>
      <c r="BL410" s="951">
        <f>IF(BA410=0,0,(BB410-BA410)/BA410*100)</f>
        <v>0</v>
      </c>
      <c r="BM410" s="951">
        <f>IF(BB410=0,0,(BC410-BB410)/BB410*100)</f>
        <v>0</v>
      </c>
      <c r="BN410" s="6532" t="s">
        <v>2510</v>
      </c>
      <c r="BO410" s="6525" t="s">
        <v>2570</v>
      </c>
      <c r="BP410" s="6533" t="s">
        <v>2571</v>
      </c>
      <c r="BQ410" s="1297"/>
      <c r="BR410" s="1297"/>
      <c r="BS410" s="1072" t="s">
        <v>2084</v>
      </c>
      <c r="BT410" s="1072"/>
      <c r="BU410" s="1072"/>
      <c r="BV410" s="987"/>
      <c r="BW410" s="987"/>
    </row>
    <row s="1656" customFormat="1" customHeight="1" ht="137.13541666666666">
      <c r="A411" s="1297"/>
      <c r="B411" s="434" cm="1" t="str">
        <f t="array" ref="B411:B411">B410</f>
        <v>true</v>
      </c>
      <c r="C411" s="1297"/>
      <c r="D411" s="1297"/>
      <c r="E411" s="709">
        <v>22.5</v>
      </c>
      <c r="F411" s="50" cm="1" t="str">
        <f t="array" ref="F411:F411">OFFSET(E411,-1,1)</f>
        <v>2</v>
      </c>
      <c r="G411" s="154" t="s">
        <v>2375</v>
      </c>
      <c r="H411" s="1297"/>
      <c r="I411" s="154" t="s">
        <v>1124</v>
      </c>
      <c r="J411" s="1297"/>
      <c r="K411" s="154" t="s">
        <v>1124</v>
      </c>
      <c r="L411" s="988" t="s">
        <v>696</v>
      </c>
      <c r="M411" s="103"/>
      <c r="N411" s="1297"/>
      <c r="O411" s="1297"/>
      <c r="P411" s="1297"/>
      <c r="Q411" s="1297"/>
      <c r="R411" s="1297"/>
      <c r="S411" s="1297"/>
      <c r="T411" s="468" cm="1" t="str">
        <f t="array" ref="T411:T411">T410</f>
        <v>true</v>
      </c>
      <c r="U411" s="1297"/>
      <c r="V411" s="1297"/>
      <c r="W411" s="1297"/>
      <c r="X411" s="1539"/>
      <c r="Y411" s="1297"/>
      <c r="Z411" s="1529"/>
      <c r="AA411" s="1297"/>
      <c r="AB411" s="295" t="s">
        <v>1125</v>
      </c>
      <c r="AC411" s="769" t="s">
        <v>2376</v>
      </c>
      <c r="AD411" s="296" t="s">
        <v>936</v>
      </c>
      <c r="AE411" s="6531">
        <v>10.87</v>
      </c>
      <c r="AF411" s="6531">
        <v>270.84</v>
      </c>
      <c r="AG411" s="6531">
        <v>58.9</v>
      </c>
      <c r="AH411" s="951">
        <f>AG411-AF411</f>
        <v>-211.94</v>
      </c>
      <c r="AI411" s="6524">
        <v>36.17</v>
      </c>
      <c r="AJ411" s="6524">
        <v>338.98</v>
      </c>
      <c r="AK411" s="1272"/>
      <c r="AL411" s="1272"/>
      <c r="AM411" s="1272"/>
      <c r="AN411" s="1272"/>
      <c r="AO411" s="1272"/>
      <c r="AP411" s="1272"/>
      <c r="AQ411" s="1272"/>
      <c r="AR411" s="1272"/>
      <c r="AS411" s="1272"/>
      <c r="AT411" s="6524">
        <v>67.48</v>
      </c>
      <c r="AU411" s="1272"/>
      <c r="AV411" s="1272"/>
      <c r="AW411" s="1272"/>
      <c r="AX411" s="1272"/>
      <c r="AY411" s="1272"/>
      <c r="AZ411" s="1272"/>
      <c r="BA411" s="1272"/>
      <c r="BB411" s="1272"/>
      <c r="BC411" s="1272"/>
      <c r="BD411" s="951">
        <f>IF(AI411=0,0,(AT411-AI411)/AI411*100)</f>
        <v>86.5634503732375</v>
      </c>
      <c r="BE411" s="951">
        <f>IF(AT411=0,0,(AU411-AT411)/AT411*100)</f>
        <v>-100</v>
      </c>
      <c r="BF411" s="951">
        <f>IF(AU411=0,0,(AV411-AU411)/AU411*100)</f>
        <v>0</v>
      </c>
      <c r="BG411" s="951">
        <f>IF(AV411=0,0,(AW411-AV411)/AV411*100)</f>
        <v>0</v>
      </c>
      <c r="BH411" s="951">
        <f>IF(AW411=0,0,(AX411-AW411)/AW411*100)</f>
        <v>0</v>
      </c>
      <c r="BI411" s="951">
        <f>IF(AX411=0,0,(AY411-AX411)/AX411*100)</f>
        <v>0</v>
      </c>
      <c r="BJ411" s="951">
        <f>IF(AY411=0,0,(AZ411-AY411)/AY411*100)</f>
        <v>0</v>
      </c>
      <c r="BK411" s="951">
        <f>IF(AZ411=0,0,(BA411-AZ411)/AZ411*100)</f>
        <v>0</v>
      </c>
      <c r="BL411" s="951">
        <f>IF(BA411=0,0,(BB411-BA411)/BA411*100)</f>
        <v>0</v>
      </c>
      <c r="BM411" s="951">
        <f>IF(BB411=0,0,(BC411-BB411)/BB411*100)</f>
        <v>0</v>
      </c>
      <c r="BN411" s="6533" t="s">
        <v>2515</v>
      </c>
      <c r="BO411" s="6533" t="s">
        <v>2572</v>
      </c>
      <c r="BP411" s="6533" t="s">
        <v>2573</v>
      </c>
      <c r="BQ411" s="1297"/>
      <c r="BR411" s="1297"/>
      <c r="BS411" s="1072" t="s">
        <v>2377</v>
      </c>
      <c r="BT411" s="1072"/>
      <c r="BU411" s="1072"/>
      <c r="BV411" s="987"/>
      <c r="BW411" s="987"/>
    </row>
    <row s="1656" customFormat="1" customHeight="1" ht="97.13541666666667">
      <c r="A412" s="1297"/>
      <c r="B412" s="434">
        <f>AND(method_reg="Метод индексации",STATUS_GO="да")</f>
        <v>0</v>
      </c>
      <c r="C412" s="1297"/>
      <c r="D412" s="1297"/>
      <c r="E412" s="709">
        <v>15</v>
      </c>
      <c r="F412" s="50" cm="1" t="str">
        <f t="array" ref="F412:F412">OFFSET(E412,-1,1)</f>
        <v>2</v>
      </c>
      <c r="G412" s="154" t="s">
        <v>2087</v>
      </c>
      <c r="H412" s="1297"/>
      <c r="I412" s="154" t="s">
        <v>616</v>
      </c>
      <c r="J412" s="1297"/>
      <c r="K412" s="154" t="s">
        <v>616</v>
      </c>
      <c r="L412" s="988" t="s">
        <v>700</v>
      </c>
      <c r="M412" s="103"/>
      <c r="N412" s="1297"/>
      <c r="O412" s="1297"/>
      <c r="P412" s="1297"/>
      <c r="Q412" s="1297"/>
      <c r="R412" s="1297"/>
      <c r="S412" s="1297"/>
      <c r="T412" s="468" cm="1" t="str">
        <f t="array" ref="T412:T412">T411</f>
        <v>true</v>
      </c>
      <c r="U412" s="1297"/>
      <c r="V412" s="1297"/>
      <c r="W412" s="1297"/>
      <c r="X412" s="1539"/>
      <c r="Y412" s="1297"/>
      <c r="Z412" s="1529"/>
      <c r="AA412" s="1297"/>
      <c r="AB412" s="295" t="s">
        <v>457</v>
      </c>
      <c r="AC412" s="454" t="s">
        <v>2087</v>
      </c>
      <c r="AD412" s="296" t="s">
        <v>936</v>
      </c>
      <c r="AE412" s="6531">
        <v>5813.78</v>
      </c>
      <c r="AF412" s="6531">
        <v>9909.35</v>
      </c>
      <c r="AG412" s="6531">
        <v>5813.78</v>
      </c>
      <c r="AH412" s="951">
        <f>AG412-AF412</f>
        <v>-4095.57</v>
      </c>
      <c r="AI412" s="6524">
        <v>5247.46</v>
      </c>
      <c r="AJ412" s="6524">
        <v>12219.34</v>
      </c>
      <c r="AK412" s="1272"/>
      <c r="AL412" s="1272"/>
      <c r="AM412" s="1272"/>
      <c r="AN412" s="1272"/>
      <c r="AO412" s="1272"/>
      <c r="AP412" s="1272"/>
      <c r="AQ412" s="1272"/>
      <c r="AR412" s="1272"/>
      <c r="AS412" s="1272"/>
      <c r="AT412" s="6524">
        <v>6802.56</v>
      </c>
      <c r="AU412" s="1272"/>
      <c r="AV412" s="1272"/>
      <c r="AW412" s="1272"/>
      <c r="AX412" s="1272"/>
      <c r="AY412" s="1272"/>
      <c r="AZ412" s="1272"/>
      <c r="BA412" s="1272"/>
      <c r="BB412" s="1272"/>
      <c r="BC412" s="1272"/>
      <c r="BD412" s="951">
        <f>IF(AI412=0,0,(AT412-AI412)/AI412*100)</f>
        <v>29.6352902166</v>
      </c>
      <c r="BE412" s="951">
        <f>IF(AT412=0,0,(AU412-AT412)/AT412*100)</f>
        <v>-100</v>
      </c>
      <c r="BF412" s="951">
        <f>IF(AU412=0,0,(AV412-AU412)/AU412*100)</f>
        <v>0</v>
      </c>
      <c r="BG412" s="951">
        <f>IF(AV412=0,0,(AW412-AV412)/AV412*100)</f>
        <v>0</v>
      </c>
      <c r="BH412" s="951">
        <f>IF(AW412=0,0,(AX412-AW412)/AW412*100)</f>
        <v>0</v>
      </c>
      <c r="BI412" s="951">
        <f>IF(AX412=0,0,(AY412-AX412)/AX412*100)</f>
        <v>0</v>
      </c>
      <c r="BJ412" s="951">
        <f>IF(AY412=0,0,(AZ412-AY412)/AY412*100)</f>
        <v>0</v>
      </c>
      <c r="BK412" s="951">
        <f>IF(AZ412=0,0,(BA412-AZ412)/AZ412*100)</f>
        <v>0</v>
      </c>
      <c r="BL412" s="951">
        <f>IF(BA412=0,0,(BB412-BA412)/BA412*100)</f>
        <v>0</v>
      </c>
      <c r="BM412" s="951">
        <f>IF(BB412=0,0,(BC412-BB412)/BB412*100)</f>
        <v>0</v>
      </c>
      <c r="BN412" s="6532" t="s">
        <v>2574</v>
      </c>
      <c r="BO412" s="6533" t="s">
        <v>2575</v>
      </c>
      <c r="BP412" s="6533" t="s">
        <v>2519</v>
      </c>
      <c r="BQ412" s="1297"/>
      <c r="BR412" s="1297"/>
      <c r="BS412" s="1072" t="s">
        <v>2088</v>
      </c>
      <c r="BT412" s="1072"/>
      <c r="BU412" s="1072"/>
      <c r="BV412" s="987"/>
      <c r="BW412" s="987"/>
    </row>
    <row s="1656" customFormat="1" customHeight="1" ht="14.25" hidden="1">
      <c r="A413" s="1297"/>
      <c r="B413" s="983">
        <f>method_reg="Метод обеспечения доходности инвестированного капитала"</f>
        <v>0</v>
      </c>
      <c r="C413" s="1297"/>
      <c r="D413" s="1297"/>
      <c r="E413" s="709">
        <v>15</v>
      </c>
      <c r="F413" s="50" cm="1" t="str">
        <f t="array" ref="F413:F413">OFFSET(E413,-1,1)</f>
        <v>2</v>
      </c>
      <c r="G413" s="1297"/>
      <c r="H413" s="1297"/>
      <c r="I413" s="1297"/>
      <c r="J413" s="1297"/>
      <c r="K413" s="103" t="s">
        <v>348</v>
      </c>
      <c r="L413" s="988"/>
      <c r="M413" s="103"/>
      <c r="N413" s="1297"/>
      <c r="O413" s="1297"/>
      <c r="P413" s="1297"/>
      <c r="Q413" s="1297"/>
      <c r="R413" s="1297"/>
      <c r="S413" s="1297"/>
      <c r="T413" s="468" cm="1" t="str">
        <f t="array" ref="T413:T413">T412</f>
        <v>true</v>
      </c>
      <c r="U413" s="1297"/>
      <c r="V413" s="1297"/>
      <c r="W413" s="1297"/>
      <c r="X413" s="1539"/>
      <c r="Y413" s="1297"/>
      <c r="Z413" s="1529"/>
      <c r="AA413" s="1297"/>
      <c r="AB413" s="799" t="s">
        <v>451</v>
      </c>
      <c r="AC413" s="800" t="s">
        <v>2378</v>
      </c>
      <c r="AD413" s="801" t="s">
        <v>936</v>
      </c>
      <c r="AE413" s="1265"/>
      <c r="AF413" s="1265"/>
      <c r="AG413" s="1265"/>
      <c r="AH413" s="768">
        <f>AG413-AF413</f>
        <v>0</v>
      </c>
      <c r="AI413" s="1265"/>
      <c r="AJ413" s="1265"/>
      <c r="AK413" s="1265"/>
      <c r="AL413" s="1265"/>
      <c r="AM413" s="1265"/>
      <c r="AN413" s="1265"/>
      <c r="AO413" s="1265"/>
      <c r="AP413" s="1265"/>
      <c r="AQ413" s="1265"/>
      <c r="AR413" s="1265"/>
      <c r="AS413" s="1265"/>
      <c r="AT413" s="1265"/>
      <c r="AU413" s="1265"/>
      <c r="AV413" s="1265"/>
      <c r="AW413" s="1265"/>
      <c r="AX413" s="1265"/>
      <c r="AY413" s="1265"/>
      <c r="AZ413" s="1265"/>
      <c r="BA413" s="1265"/>
      <c r="BB413" s="1265"/>
      <c r="BC413" s="1265"/>
      <c r="BD413" s="768">
        <f>IF(AI413=0,0,(AT413-AI413)/AI413*100)</f>
        <v>0</v>
      </c>
      <c r="BE413" s="768">
        <f>IF(AT413=0,0,(AU413-AT413)/AT413*100)</f>
        <v>0</v>
      </c>
      <c r="BF413" s="768">
        <f>IF(AU413=0,0,(AV413-AU413)/AU413*100)</f>
        <v>0</v>
      </c>
      <c r="BG413" s="768">
        <f>IF(AV413=0,0,(AW413-AV413)/AV413*100)</f>
        <v>0</v>
      </c>
      <c r="BH413" s="768">
        <f>IF(AW413=0,0,(AX413-AW413)/AW413*100)</f>
        <v>0</v>
      </c>
      <c r="BI413" s="768">
        <f>IF(AX413=0,0,(AY413-AX413)/AX413*100)</f>
        <v>0</v>
      </c>
      <c r="BJ413" s="768">
        <f>IF(AY413=0,0,(AZ413-AY413)/AY413*100)</f>
        <v>0</v>
      </c>
      <c r="BK413" s="768">
        <f>IF(AZ413=0,0,(BA413-AZ413)/AZ413*100)</f>
        <v>0</v>
      </c>
      <c r="BL413" s="768">
        <f>IF(BA413=0,0,(BB413-BA413)/BA413*100)</f>
        <v>0</v>
      </c>
      <c r="BM413" s="768">
        <f>IF(BB413=0,0,(BC413-BB413)/BB413*100)</f>
        <v>0</v>
      </c>
      <c r="BN413" s="1266"/>
      <c r="BO413" s="1266"/>
      <c r="BP413" s="1266"/>
      <c r="BQ413" s="1297"/>
      <c r="BR413" s="1297"/>
      <c r="BS413" s="1072" t="s">
        <v>2379</v>
      </c>
      <c r="BT413" s="1072"/>
      <c r="BU413" s="1072"/>
      <c r="BV413" s="987"/>
      <c r="BW413" s="987"/>
    </row>
    <row s="1656" customFormat="1" customHeight="1" ht="14.25" hidden="1">
      <c r="A414" s="1297"/>
      <c r="B414" s="983" cm="1" t="str">
        <f t="array" ref="B414:B414">B413</f>
        <v>false</v>
      </c>
      <c r="C414" s="1297"/>
      <c r="D414" s="1297"/>
      <c r="E414" s="709">
        <v>15</v>
      </c>
      <c r="F414" s="50" cm="1" t="str">
        <f t="array" ref="F414:F414">OFFSET(E414,-1,1)</f>
        <v>2</v>
      </c>
      <c r="G414" s="1297"/>
      <c r="H414" s="1297"/>
      <c r="I414" s="1297"/>
      <c r="J414" s="1297"/>
      <c r="K414" s="103" t="s">
        <v>659</v>
      </c>
      <c r="L414" s="988"/>
      <c r="M414" s="103"/>
      <c r="N414" s="1297"/>
      <c r="O414" s="1297"/>
      <c r="P414" s="1297"/>
      <c r="Q414" s="1297"/>
      <c r="R414" s="1297"/>
      <c r="S414" s="1297"/>
      <c r="T414" s="468" cm="1" t="str">
        <f t="array" ref="T414:T414">T413</f>
        <v>true</v>
      </c>
      <c r="U414" s="1297"/>
      <c r="V414" s="1297"/>
      <c r="W414" s="1297"/>
      <c r="X414" s="1539"/>
      <c r="Y414" s="1297"/>
      <c r="Z414" s="1529"/>
      <c r="AA414" s="1297"/>
      <c r="AB414" s="802" t="s">
        <v>794</v>
      </c>
      <c r="AC414" s="803" t="s">
        <v>2380</v>
      </c>
      <c r="AD414" s="804" t="s">
        <v>936</v>
      </c>
      <c r="AE414" s="1272"/>
      <c r="AF414" s="1272"/>
      <c r="AG414" s="1272"/>
      <c r="AH414" s="950"/>
      <c r="AI414" s="1272"/>
      <c r="AJ414" s="1272"/>
      <c r="AK414" s="1272"/>
      <c r="AL414" s="1272"/>
      <c r="AM414" s="1272"/>
      <c r="AN414" s="1272"/>
      <c r="AO414" s="1272"/>
      <c r="AP414" s="1272"/>
      <c r="AQ414" s="1272"/>
      <c r="AR414" s="1272"/>
      <c r="AS414" s="1272"/>
      <c r="AT414" s="1272"/>
      <c r="AU414" s="1272"/>
      <c r="AV414" s="1272"/>
      <c r="AW414" s="1272"/>
      <c r="AX414" s="1272"/>
      <c r="AY414" s="1272"/>
      <c r="AZ414" s="1272"/>
      <c r="BA414" s="1272"/>
      <c r="BB414" s="1272"/>
      <c r="BC414" s="1272"/>
      <c r="BD414" s="950"/>
      <c r="BE414" s="950"/>
      <c r="BF414" s="950"/>
      <c r="BG414" s="950"/>
      <c r="BH414" s="950"/>
      <c r="BI414" s="950"/>
      <c r="BJ414" s="950"/>
      <c r="BK414" s="950"/>
      <c r="BL414" s="950"/>
      <c r="BM414" s="950"/>
      <c r="BN414" s="1270"/>
      <c r="BO414" s="1270"/>
      <c r="BP414" s="1270"/>
      <c r="BQ414" s="1297"/>
      <c r="BR414" s="1297"/>
      <c r="BS414" s="1072" t="s">
        <v>2381</v>
      </c>
      <c r="BT414" s="1072"/>
      <c r="BU414" s="1072"/>
      <c r="BV414" s="987"/>
      <c r="BW414" s="987"/>
    </row>
    <row s="1656" customFormat="1" customHeight="1" ht="14.25" hidden="1">
      <c r="A415" s="1297"/>
      <c r="B415" s="983" cm="1" t="str">
        <f t="array" ref="B415:B415">B414</f>
        <v>false</v>
      </c>
      <c r="C415" s="1297"/>
      <c r="D415" s="1297"/>
      <c r="E415" s="709">
        <v>15</v>
      </c>
      <c r="F415" s="50" cm="1" t="str">
        <f t="array" ref="F415:F415">OFFSET(E415,-1,1)</f>
        <v>2</v>
      </c>
      <c r="G415" s="1297"/>
      <c r="H415" s="1297"/>
      <c r="I415" s="1297"/>
      <c r="J415" s="1297"/>
      <c r="K415" s="103" t="s">
        <v>663</v>
      </c>
      <c r="L415" s="988"/>
      <c r="M415" s="103"/>
      <c r="N415" s="1297"/>
      <c r="O415" s="1297"/>
      <c r="P415" s="1297"/>
      <c r="Q415" s="1297"/>
      <c r="R415" s="1297"/>
      <c r="S415" s="1297"/>
      <c r="T415" s="468" cm="1" t="str">
        <f t="array" ref="T415:T415">T414</f>
        <v>true</v>
      </c>
      <c r="U415" s="1297"/>
      <c r="V415" s="1297"/>
      <c r="W415" s="1297"/>
      <c r="X415" s="1539"/>
      <c r="Y415" s="1297"/>
      <c r="Z415" s="1529"/>
      <c r="AA415" s="1297"/>
      <c r="AB415" s="802" t="s">
        <v>797</v>
      </c>
      <c r="AC415" s="803" t="s">
        <v>2382</v>
      </c>
      <c r="AD415" s="804" t="s">
        <v>2383</v>
      </c>
      <c r="AE415" s="1272"/>
      <c r="AF415" s="1272"/>
      <c r="AG415" s="1272"/>
      <c r="AH415" s="950"/>
      <c r="AI415" s="1272"/>
      <c r="AJ415" s="1272"/>
      <c r="AK415" s="1272"/>
      <c r="AL415" s="1272"/>
      <c r="AM415" s="1272"/>
      <c r="AN415" s="1272"/>
      <c r="AO415" s="1272"/>
      <c r="AP415" s="1272"/>
      <c r="AQ415" s="1272"/>
      <c r="AR415" s="1272"/>
      <c r="AS415" s="1272"/>
      <c r="AT415" s="1272"/>
      <c r="AU415" s="1272"/>
      <c r="AV415" s="1272"/>
      <c r="AW415" s="1272"/>
      <c r="AX415" s="1272"/>
      <c r="AY415" s="1272"/>
      <c r="AZ415" s="1272"/>
      <c r="BA415" s="1272"/>
      <c r="BB415" s="1272"/>
      <c r="BC415" s="1272"/>
      <c r="BD415" s="950"/>
      <c r="BE415" s="950"/>
      <c r="BF415" s="950"/>
      <c r="BG415" s="950"/>
      <c r="BH415" s="950"/>
      <c r="BI415" s="950"/>
      <c r="BJ415" s="950"/>
      <c r="BK415" s="950"/>
      <c r="BL415" s="950"/>
      <c r="BM415" s="950"/>
      <c r="BN415" s="1270"/>
      <c r="BO415" s="1270"/>
      <c r="BP415" s="1270"/>
      <c r="BQ415" s="1297"/>
      <c r="BR415" s="1297"/>
      <c r="BS415" s="1072" t="s">
        <v>2384</v>
      </c>
      <c r="BT415" s="1072"/>
      <c r="BU415" s="1072"/>
      <c r="BV415" s="987"/>
      <c r="BW415" s="987"/>
    </row>
    <row s="1656" customFormat="1" customHeight="1" ht="14.25" hidden="1">
      <c r="A416" s="1297"/>
      <c r="B416" s="983" cm="1" t="str">
        <f t="array" ref="B416:B416">B415</f>
        <v>false</v>
      </c>
      <c r="C416" s="1297"/>
      <c r="D416" s="1297"/>
      <c r="E416" s="709">
        <v>15</v>
      </c>
      <c r="F416" s="50" cm="1" t="str">
        <f t="array" ref="F416:F416">OFFSET(E416,-1,1)</f>
        <v>2</v>
      </c>
      <c r="G416" s="1297"/>
      <c r="H416" s="1297"/>
      <c r="I416" s="1297"/>
      <c r="J416" s="1297"/>
      <c r="K416" s="103" t="s">
        <v>347</v>
      </c>
      <c r="L416" s="988"/>
      <c r="M416" s="103"/>
      <c r="N416" s="1297"/>
      <c r="O416" s="1297"/>
      <c r="P416" s="1297"/>
      <c r="Q416" s="1297"/>
      <c r="R416" s="1297"/>
      <c r="S416" s="1297"/>
      <c r="T416" s="468" cm="1" t="str">
        <f t="array" ref="T416:T416">T415</f>
        <v>true</v>
      </c>
      <c r="U416" s="1297"/>
      <c r="V416" s="1297"/>
      <c r="W416" s="1297"/>
      <c r="X416" s="1539"/>
      <c r="Y416" s="1297"/>
      <c r="Z416" s="1529"/>
      <c r="AA416" s="1297"/>
      <c r="AB416" s="799" t="s">
        <v>454</v>
      </c>
      <c r="AC416" s="800" t="s">
        <v>2385</v>
      </c>
      <c r="AD416" s="801" t="s">
        <v>936</v>
      </c>
      <c r="AE416" s="1265"/>
      <c r="AF416" s="1265"/>
      <c r="AG416" s="1265"/>
      <c r="AH416" s="768">
        <f>AG416-AF416</f>
        <v>0</v>
      </c>
      <c r="AI416" s="1265"/>
      <c r="AJ416" s="1265"/>
      <c r="AK416" s="1265"/>
      <c r="AL416" s="1265"/>
      <c r="AM416" s="1265"/>
      <c r="AN416" s="1265"/>
      <c r="AO416" s="1265"/>
      <c r="AP416" s="1265"/>
      <c r="AQ416" s="1265"/>
      <c r="AR416" s="1265"/>
      <c r="AS416" s="1265"/>
      <c r="AT416" s="1265"/>
      <c r="AU416" s="1265"/>
      <c r="AV416" s="1265"/>
      <c r="AW416" s="1265"/>
      <c r="AX416" s="1265"/>
      <c r="AY416" s="1265"/>
      <c r="AZ416" s="1265"/>
      <c r="BA416" s="1265"/>
      <c r="BB416" s="1265"/>
      <c r="BC416" s="1265"/>
      <c r="BD416" s="768">
        <f>IF(AI416=0,0,(AT416-AI416)/AI416*100)</f>
        <v>0</v>
      </c>
      <c r="BE416" s="768">
        <f>IF(AT416=0,0,(AU416-AT416)/AT416*100)</f>
        <v>0</v>
      </c>
      <c r="BF416" s="768">
        <f>IF(AU416=0,0,(AV416-AU416)/AU416*100)</f>
        <v>0</v>
      </c>
      <c r="BG416" s="768">
        <f>IF(AV416=0,0,(AW416-AV416)/AV416*100)</f>
        <v>0</v>
      </c>
      <c r="BH416" s="768">
        <f>IF(AW416=0,0,(AX416-AW416)/AW416*100)</f>
        <v>0</v>
      </c>
      <c r="BI416" s="768">
        <f>IF(AX416=0,0,(AY416-AX416)/AX416*100)</f>
        <v>0</v>
      </c>
      <c r="BJ416" s="768">
        <f>IF(AY416=0,0,(AZ416-AY416)/AY416*100)</f>
        <v>0</v>
      </c>
      <c r="BK416" s="768">
        <f>IF(AZ416=0,0,(BA416-AZ416)/AZ416*100)</f>
        <v>0</v>
      </c>
      <c r="BL416" s="768">
        <f>IF(BA416=0,0,(BB416-BA416)/BA416*100)</f>
        <v>0</v>
      </c>
      <c r="BM416" s="768">
        <f>IF(BB416=0,0,(BC416-BB416)/BB416*100)</f>
        <v>0</v>
      </c>
      <c r="BN416" s="1266"/>
      <c r="BO416" s="1266"/>
      <c r="BP416" s="1266"/>
      <c r="BQ416" s="1297"/>
      <c r="BR416" s="1297"/>
      <c r="BS416" s="1072" t="s">
        <v>2386</v>
      </c>
      <c r="BT416" s="1072"/>
      <c r="BU416" s="1072"/>
      <c r="BV416" s="987"/>
      <c r="BW416" s="987"/>
    </row>
    <row s="1656" customFormat="1" customHeight="1" ht="14.25" hidden="1">
      <c r="A417" s="1297"/>
      <c r="B417" s="983" cm="1" t="str">
        <f t="array" ref="B417:B417">B416</f>
        <v>false</v>
      </c>
      <c r="C417" s="1297"/>
      <c r="D417" s="1297"/>
      <c r="E417" s="709">
        <v>15</v>
      </c>
      <c r="F417" s="50" cm="1" t="str">
        <f t="array" ref="F417:F417">OFFSET(E417,-1,1)</f>
        <v>2</v>
      </c>
      <c r="G417" s="1297"/>
      <c r="H417" s="1297"/>
      <c r="I417" s="1297"/>
      <c r="J417" s="1297"/>
      <c r="K417" s="103" t="s">
        <v>673</v>
      </c>
      <c r="L417" s="988"/>
      <c r="M417" s="103"/>
      <c r="N417" s="1297"/>
      <c r="O417" s="1297"/>
      <c r="P417" s="1297"/>
      <c r="Q417" s="1297"/>
      <c r="R417" s="1297"/>
      <c r="S417" s="1297"/>
      <c r="T417" s="468" cm="1" t="str">
        <f t="array" ref="T417:T417">T416</f>
        <v>true</v>
      </c>
      <c r="U417" s="1297"/>
      <c r="V417" s="1297"/>
      <c r="W417" s="1297"/>
      <c r="X417" s="1539"/>
      <c r="Y417" s="1297"/>
      <c r="Z417" s="1529"/>
      <c r="AA417" s="1297"/>
      <c r="AB417" s="802" t="s">
        <v>801</v>
      </c>
      <c r="AC417" s="803" t="s">
        <v>2387</v>
      </c>
      <c r="AD417" s="804" t="s">
        <v>936</v>
      </c>
      <c r="AE417" s="1272"/>
      <c r="AF417" s="1272"/>
      <c r="AG417" s="1272"/>
      <c r="AH417" s="950"/>
      <c r="AI417" s="1272"/>
      <c r="AJ417" s="1272"/>
      <c r="AK417" s="1272"/>
      <c r="AL417" s="1272"/>
      <c r="AM417" s="1272"/>
      <c r="AN417" s="1272"/>
      <c r="AO417" s="1272"/>
      <c r="AP417" s="1272"/>
      <c r="AQ417" s="1272"/>
      <c r="AR417" s="1272"/>
      <c r="AS417" s="1272"/>
      <c r="AT417" s="1272"/>
      <c r="AU417" s="1272"/>
      <c r="AV417" s="1272"/>
      <c r="AW417" s="1272"/>
      <c r="AX417" s="1272"/>
      <c r="AY417" s="1272"/>
      <c r="AZ417" s="1272"/>
      <c r="BA417" s="1272"/>
      <c r="BB417" s="1272"/>
      <c r="BC417" s="1272"/>
      <c r="BD417" s="950"/>
      <c r="BE417" s="950"/>
      <c r="BF417" s="950"/>
      <c r="BG417" s="950"/>
      <c r="BH417" s="950"/>
      <c r="BI417" s="950"/>
      <c r="BJ417" s="950"/>
      <c r="BK417" s="950"/>
      <c r="BL417" s="950"/>
      <c r="BM417" s="950"/>
      <c r="BN417" s="1270"/>
      <c r="BO417" s="1270"/>
      <c r="BP417" s="1270"/>
      <c r="BQ417" s="1297"/>
      <c r="BR417" s="1297"/>
      <c r="BS417" s="1072" t="s">
        <v>2388</v>
      </c>
      <c r="BT417" s="1072"/>
      <c r="BU417" s="1072"/>
      <c r="BV417" s="987"/>
      <c r="BW417" s="987"/>
    </row>
    <row s="1656" customFormat="1" customHeight="1" ht="14.25" hidden="1">
      <c r="A418" s="1297"/>
      <c r="B418" s="983" cm="1" t="str">
        <f t="array" ref="B418:B418">B417</f>
        <v>false</v>
      </c>
      <c r="C418" s="1297"/>
      <c r="D418" s="1297"/>
      <c r="E418" s="709">
        <v>15</v>
      </c>
      <c r="F418" s="50" cm="1" t="str">
        <f t="array" ref="F418:F418">OFFSET(E418,-1,1)</f>
        <v>2</v>
      </c>
      <c r="G418" s="1297"/>
      <c r="H418" s="1297"/>
      <c r="I418" s="1297"/>
      <c r="J418" s="1297"/>
      <c r="K418" s="103" t="s">
        <v>677</v>
      </c>
      <c r="L418" s="988"/>
      <c r="M418" s="103"/>
      <c r="N418" s="1297"/>
      <c r="O418" s="1297"/>
      <c r="P418" s="1297"/>
      <c r="Q418" s="1297"/>
      <c r="R418" s="1297"/>
      <c r="S418" s="1297"/>
      <c r="T418" s="468" cm="1" t="str">
        <f t="array" ref="T418:T418">T417</f>
        <v>true</v>
      </c>
      <c r="U418" s="1297"/>
      <c r="V418" s="1297"/>
      <c r="W418" s="1297"/>
      <c r="X418" s="1539"/>
      <c r="Y418" s="1297"/>
      <c r="Z418" s="1529"/>
      <c r="AA418" s="1297"/>
      <c r="AB418" s="802" t="s">
        <v>804</v>
      </c>
      <c r="AC418" s="803" t="s">
        <v>2389</v>
      </c>
      <c r="AD418" s="804" t="s">
        <v>561</v>
      </c>
      <c r="AE418" s="1272"/>
      <c r="AF418" s="1272"/>
      <c r="AG418" s="1272"/>
      <c r="AH418" s="950"/>
      <c r="AI418" s="1272"/>
      <c r="AJ418" s="1272"/>
      <c r="AK418" s="1272"/>
      <c r="AL418" s="1272"/>
      <c r="AM418" s="1272"/>
      <c r="AN418" s="1272"/>
      <c r="AO418" s="1272"/>
      <c r="AP418" s="1272"/>
      <c r="AQ418" s="1272"/>
      <c r="AR418" s="1272"/>
      <c r="AS418" s="1272"/>
      <c r="AT418" s="1272"/>
      <c r="AU418" s="1272"/>
      <c r="AV418" s="1272"/>
      <c r="AW418" s="1272"/>
      <c r="AX418" s="1272"/>
      <c r="AY418" s="1272"/>
      <c r="AZ418" s="1272"/>
      <c r="BA418" s="1272"/>
      <c r="BB418" s="1272"/>
      <c r="BC418" s="1272"/>
      <c r="BD418" s="950"/>
      <c r="BE418" s="950"/>
      <c r="BF418" s="950"/>
      <c r="BG418" s="950"/>
      <c r="BH418" s="950"/>
      <c r="BI418" s="950"/>
      <c r="BJ418" s="950"/>
      <c r="BK418" s="950"/>
      <c r="BL418" s="950"/>
      <c r="BM418" s="950"/>
      <c r="BN418" s="1270"/>
      <c r="BO418" s="1270"/>
      <c r="BP418" s="1270"/>
      <c r="BQ418" s="1297"/>
      <c r="BR418" s="1297"/>
      <c r="BS418" s="1072" t="s">
        <v>2390</v>
      </c>
      <c r="BT418" s="1072"/>
      <c r="BU418" s="1072"/>
      <c r="BV418" s="987"/>
      <c r="BW418" s="987"/>
    </row>
    <row s="1656" customFormat="1" customHeight="1" ht="14.25" hidden="1">
      <c r="A419" s="1297"/>
      <c r="B419" s="983" cm="1" t="str">
        <f t="array" ref="B419:B419">B418</f>
        <v>false</v>
      </c>
      <c r="C419" s="1297"/>
      <c r="D419" s="1297"/>
      <c r="E419" s="709">
        <v>15</v>
      </c>
      <c r="F419" s="50" cm="1" t="str">
        <f t="array" ref="F419:F419">OFFSET(E419,-1,1)</f>
        <v>2</v>
      </c>
      <c r="G419" s="1297"/>
      <c r="H419" s="1297"/>
      <c r="I419" s="1297"/>
      <c r="J419" s="1297"/>
      <c r="K419" s="103" t="s">
        <v>889</v>
      </c>
      <c r="L419" s="988"/>
      <c r="M419" s="103"/>
      <c r="N419" s="1297"/>
      <c r="O419" s="1297"/>
      <c r="P419" s="1297"/>
      <c r="Q419" s="1297"/>
      <c r="R419" s="1297"/>
      <c r="S419" s="1297"/>
      <c r="T419" s="468" cm="1" t="str">
        <f t="array" ref="T419:T419">T418</f>
        <v>true</v>
      </c>
      <c r="U419" s="1297"/>
      <c r="V419" s="1297"/>
      <c r="W419" s="1297"/>
      <c r="X419" s="1539"/>
      <c r="Y419" s="1297"/>
      <c r="Z419" s="1529"/>
      <c r="AA419" s="1297"/>
      <c r="AB419" s="802" t="s">
        <v>1122</v>
      </c>
      <c r="AC419" s="803" t="s">
        <v>2391</v>
      </c>
      <c r="AD419" s="804" t="s">
        <v>936</v>
      </c>
      <c r="AE419" s="1272"/>
      <c r="AF419" s="1272"/>
      <c r="AG419" s="1272"/>
      <c r="AH419" s="950"/>
      <c r="AI419" s="1272"/>
      <c r="AJ419" s="1272"/>
      <c r="AK419" s="1272"/>
      <c r="AL419" s="1272"/>
      <c r="AM419" s="1272"/>
      <c r="AN419" s="1272"/>
      <c r="AO419" s="1272"/>
      <c r="AP419" s="1272"/>
      <c r="AQ419" s="1272"/>
      <c r="AR419" s="1272"/>
      <c r="AS419" s="1272"/>
      <c r="AT419" s="1272"/>
      <c r="AU419" s="1272"/>
      <c r="AV419" s="1272"/>
      <c r="AW419" s="1272"/>
      <c r="AX419" s="1272"/>
      <c r="AY419" s="1272"/>
      <c r="AZ419" s="1272"/>
      <c r="BA419" s="1272"/>
      <c r="BB419" s="1272"/>
      <c r="BC419" s="1272"/>
      <c r="BD419" s="950"/>
      <c r="BE419" s="950"/>
      <c r="BF419" s="950"/>
      <c r="BG419" s="950"/>
      <c r="BH419" s="950"/>
      <c r="BI419" s="950"/>
      <c r="BJ419" s="950"/>
      <c r="BK419" s="950"/>
      <c r="BL419" s="950"/>
      <c r="BM419" s="950"/>
      <c r="BN419" s="1270"/>
      <c r="BO419" s="1270"/>
      <c r="BP419" s="1270"/>
      <c r="BQ419" s="1297"/>
      <c r="BR419" s="1297"/>
      <c r="BS419" s="1072" t="s">
        <v>2392</v>
      </c>
      <c r="BT419" s="1072"/>
      <c r="BU419" s="1072"/>
      <c r="BV419" s="987"/>
      <c r="BW419" s="987"/>
    </row>
    <row s="1656" customFormat="1" customHeight="1" ht="14.25" hidden="1">
      <c r="A420" s="1297"/>
      <c r="B420" s="983" cm="1" t="str">
        <f t="array" ref="B420:B420">B419</f>
        <v>false</v>
      </c>
      <c r="C420" s="1297"/>
      <c r="D420" s="1297"/>
      <c r="E420" s="709">
        <v>15</v>
      </c>
      <c r="F420" s="50" cm="1" t="str">
        <f t="array" ref="F420:F420">OFFSET(E420,-1,1)</f>
        <v>2</v>
      </c>
      <c r="G420" s="1297"/>
      <c r="H420" s="1297"/>
      <c r="I420" s="1297"/>
      <c r="J420" s="1297"/>
      <c r="K420" s="103" t="s">
        <v>1124</v>
      </c>
      <c r="L420" s="988"/>
      <c r="M420" s="103"/>
      <c r="N420" s="1297"/>
      <c r="O420" s="1297"/>
      <c r="P420" s="1297"/>
      <c r="Q420" s="1297"/>
      <c r="R420" s="1297"/>
      <c r="S420" s="1297"/>
      <c r="T420" s="468" cm="1" t="str">
        <f t="array" ref="T420:T420">T419</f>
        <v>true</v>
      </c>
      <c r="U420" s="1297"/>
      <c r="V420" s="1297"/>
      <c r="W420" s="1297"/>
      <c r="X420" s="1539"/>
      <c r="Y420" s="1297"/>
      <c r="Z420" s="1529"/>
      <c r="AA420" s="1297"/>
      <c r="AB420" s="802" t="s">
        <v>1125</v>
      </c>
      <c r="AC420" s="803" t="s">
        <v>2393</v>
      </c>
      <c r="AD420" s="804" t="s">
        <v>936</v>
      </c>
      <c r="AE420" s="1272"/>
      <c r="AF420" s="1272"/>
      <c r="AG420" s="1272"/>
      <c r="AH420" s="950"/>
      <c r="AI420" s="1272"/>
      <c r="AJ420" s="1272"/>
      <c r="AK420" s="1272"/>
      <c r="AL420" s="1272"/>
      <c r="AM420" s="1272"/>
      <c r="AN420" s="1272"/>
      <c r="AO420" s="1272"/>
      <c r="AP420" s="1272"/>
      <c r="AQ420" s="1272"/>
      <c r="AR420" s="1272"/>
      <c r="AS420" s="1272"/>
      <c r="AT420" s="1272"/>
      <c r="AU420" s="1272"/>
      <c r="AV420" s="1272"/>
      <c r="AW420" s="1272"/>
      <c r="AX420" s="1272"/>
      <c r="AY420" s="1272"/>
      <c r="AZ420" s="1272"/>
      <c r="BA420" s="1272"/>
      <c r="BB420" s="1272"/>
      <c r="BC420" s="1272"/>
      <c r="BD420" s="950"/>
      <c r="BE420" s="950"/>
      <c r="BF420" s="950"/>
      <c r="BG420" s="950"/>
      <c r="BH420" s="950"/>
      <c r="BI420" s="950"/>
      <c r="BJ420" s="950"/>
      <c r="BK420" s="950"/>
      <c r="BL420" s="950"/>
      <c r="BM420" s="950"/>
      <c r="BN420" s="1270"/>
      <c r="BO420" s="1270"/>
      <c r="BP420" s="1270"/>
      <c r="BQ420" s="1297"/>
      <c r="BR420" s="1297"/>
      <c r="BS420" s="1072" t="s">
        <v>2394</v>
      </c>
      <c r="BT420" s="1072"/>
      <c r="BU420" s="1072"/>
      <c r="BV420" s="987"/>
      <c r="BW420" s="987"/>
    </row>
    <row s="1656" customFormat="1" customHeight="1" ht="14.25" hidden="1">
      <c r="A421" s="1297"/>
      <c r="B421" s="983" cm="1" t="str">
        <f t="array" ref="B421:B421">B420</f>
        <v>false</v>
      </c>
      <c r="C421" s="1297"/>
      <c r="D421" s="1297"/>
      <c r="E421" s="709">
        <v>15</v>
      </c>
      <c r="F421" s="50" cm="1" t="str">
        <f t="array" ref="F421:F421">OFFSET(E421,-1,1)</f>
        <v>2</v>
      </c>
      <c r="G421" s="1297"/>
      <c r="H421" s="1297"/>
      <c r="I421" s="1297"/>
      <c r="J421" s="1297"/>
      <c r="K421" s="103" t="s">
        <v>2395</v>
      </c>
      <c r="L421" s="988"/>
      <c r="M421" s="103"/>
      <c r="N421" s="1297"/>
      <c r="O421" s="1297"/>
      <c r="P421" s="1297"/>
      <c r="Q421" s="1297"/>
      <c r="R421" s="1297"/>
      <c r="S421" s="1297"/>
      <c r="T421" s="468" cm="1" t="str">
        <f t="array" ref="T421:T421">T420</f>
        <v>true</v>
      </c>
      <c r="U421" s="1297"/>
      <c r="V421" s="1297"/>
      <c r="W421" s="1297"/>
      <c r="X421" s="1539"/>
      <c r="Y421" s="1297"/>
      <c r="Z421" s="1529"/>
      <c r="AA421" s="1297"/>
      <c r="AB421" s="802" t="s">
        <v>2396</v>
      </c>
      <c r="AC421" s="805" t="s">
        <v>2397</v>
      </c>
      <c r="AD421" s="804" t="s">
        <v>561</v>
      </c>
      <c r="AE421" s="1272"/>
      <c r="AF421" s="1272"/>
      <c r="AG421" s="1272"/>
      <c r="AH421" s="950"/>
      <c r="AI421" s="1272"/>
      <c r="AJ421" s="1272"/>
      <c r="AK421" s="1272"/>
      <c r="AL421" s="1272"/>
      <c r="AM421" s="1272"/>
      <c r="AN421" s="1272"/>
      <c r="AO421" s="1272"/>
      <c r="AP421" s="1272"/>
      <c r="AQ421" s="1272"/>
      <c r="AR421" s="1272"/>
      <c r="AS421" s="1272"/>
      <c r="AT421" s="1272"/>
      <c r="AU421" s="1272"/>
      <c r="AV421" s="1272"/>
      <c r="AW421" s="1272"/>
      <c r="AX421" s="1272"/>
      <c r="AY421" s="1272"/>
      <c r="AZ421" s="1272"/>
      <c r="BA421" s="1272"/>
      <c r="BB421" s="1272"/>
      <c r="BC421" s="1272"/>
      <c r="BD421" s="950"/>
      <c r="BE421" s="950"/>
      <c r="BF421" s="950"/>
      <c r="BG421" s="950"/>
      <c r="BH421" s="950"/>
      <c r="BI421" s="950"/>
      <c r="BJ421" s="950"/>
      <c r="BK421" s="950"/>
      <c r="BL421" s="950"/>
      <c r="BM421" s="950"/>
      <c r="BN421" s="1270"/>
      <c r="BO421" s="1270"/>
      <c r="BP421" s="1270"/>
      <c r="BQ421" s="1297"/>
      <c r="BR421" s="1297"/>
      <c r="BS421" s="1072" t="s">
        <v>2398</v>
      </c>
      <c r="BT421" s="1072"/>
      <c r="BU421" s="1072"/>
      <c r="BV421" s="987"/>
      <c r="BW421" s="987"/>
    </row>
    <row s="1656" customFormat="1" customHeight="1" ht="14.25" hidden="1">
      <c r="A422" s="1297"/>
      <c r="B422" s="983" cm="1" t="str">
        <f t="array" ref="B422:B422">B421</f>
        <v>false</v>
      </c>
      <c r="C422" s="1297"/>
      <c r="D422" s="1297"/>
      <c r="E422" s="709">
        <v>15</v>
      </c>
      <c r="F422" s="50" cm="1" t="str">
        <f t="array" ref="F422:F422">OFFSET(E422,-1,1)</f>
        <v>2</v>
      </c>
      <c r="G422" s="1297"/>
      <c r="H422" s="1297"/>
      <c r="I422" s="1297"/>
      <c r="J422" s="1297"/>
      <c r="K422" s="103" t="s">
        <v>1127</v>
      </c>
      <c r="L422" s="988"/>
      <c r="M422" s="103"/>
      <c r="N422" s="1297"/>
      <c r="O422" s="1297"/>
      <c r="P422" s="1297"/>
      <c r="Q422" s="1297"/>
      <c r="R422" s="1297"/>
      <c r="S422" s="1297"/>
      <c r="T422" s="468" cm="1" t="str">
        <f t="array" ref="T422:T422">T421</f>
        <v>true</v>
      </c>
      <c r="U422" s="1297"/>
      <c r="V422" s="1297"/>
      <c r="W422" s="1297"/>
      <c r="X422" s="1539"/>
      <c r="Y422" s="1297"/>
      <c r="Z422" s="1529"/>
      <c r="AA422" s="1297"/>
      <c r="AB422" s="802" t="s">
        <v>1128</v>
      </c>
      <c r="AC422" s="803" t="s">
        <v>2399</v>
      </c>
      <c r="AD422" s="804" t="s">
        <v>561</v>
      </c>
      <c r="AE422" s="1272"/>
      <c r="AF422" s="1272"/>
      <c r="AG422" s="1272"/>
      <c r="AH422" s="950"/>
      <c r="AI422" s="1272"/>
      <c r="AJ422" s="1272"/>
      <c r="AK422" s="1272"/>
      <c r="AL422" s="1272"/>
      <c r="AM422" s="1272"/>
      <c r="AN422" s="1272"/>
      <c r="AO422" s="1272"/>
      <c r="AP422" s="1272"/>
      <c r="AQ422" s="1272"/>
      <c r="AR422" s="1272"/>
      <c r="AS422" s="1272"/>
      <c r="AT422" s="1272"/>
      <c r="AU422" s="1272"/>
      <c r="AV422" s="1272"/>
      <c r="AW422" s="1272"/>
      <c r="AX422" s="1272"/>
      <c r="AY422" s="1272"/>
      <c r="AZ422" s="1272"/>
      <c r="BA422" s="1272"/>
      <c r="BB422" s="1272"/>
      <c r="BC422" s="1272"/>
      <c r="BD422" s="950"/>
      <c r="BE422" s="950"/>
      <c r="BF422" s="950"/>
      <c r="BG422" s="950"/>
      <c r="BH422" s="950"/>
      <c r="BI422" s="950"/>
      <c r="BJ422" s="950"/>
      <c r="BK422" s="950"/>
      <c r="BL422" s="950"/>
      <c r="BM422" s="950"/>
      <c r="BN422" s="1270"/>
      <c r="BO422" s="1270"/>
      <c r="BP422" s="1270"/>
      <c r="BQ422" s="1297"/>
      <c r="BR422" s="1297"/>
      <c r="BS422" s="1072" t="s">
        <v>2400</v>
      </c>
      <c r="BT422" s="1072"/>
      <c r="BU422" s="1072"/>
      <c r="BV422" s="987"/>
      <c r="BW422" s="987"/>
    </row>
    <row s="1656" customFormat="1" customHeight="1" ht="14.25" hidden="1">
      <c r="A423" s="1297"/>
      <c r="B423" s="983" cm="1" t="str">
        <f t="array" ref="B423:B423">B422</f>
        <v>false</v>
      </c>
      <c r="C423" s="1297"/>
      <c r="D423" s="1297"/>
      <c r="E423" s="709">
        <v>15</v>
      </c>
      <c r="F423" s="50" cm="1" t="str">
        <f t="array" ref="F423:F423">OFFSET(E423,-1,1)</f>
        <v>2</v>
      </c>
      <c r="G423" s="1297"/>
      <c r="H423" s="1297"/>
      <c r="I423" s="1297"/>
      <c r="J423" s="1297"/>
      <c r="K423" s="103" t="s">
        <v>2401</v>
      </c>
      <c r="L423" s="988"/>
      <c r="M423" s="103"/>
      <c r="N423" s="1297"/>
      <c r="O423" s="1297"/>
      <c r="P423" s="1297"/>
      <c r="Q423" s="1297"/>
      <c r="R423" s="1297"/>
      <c r="S423" s="1297"/>
      <c r="T423" s="468" cm="1" t="str">
        <f t="array" ref="T423:T423">T422</f>
        <v>true</v>
      </c>
      <c r="U423" s="1297"/>
      <c r="V423" s="1297"/>
      <c r="W423" s="1297"/>
      <c r="X423" s="1539"/>
      <c r="Y423" s="1297"/>
      <c r="Z423" s="1529"/>
      <c r="AA423" s="1297"/>
      <c r="AB423" s="802" t="s">
        <v>2402</v>
      </c>
      <c r="AC423" s="805" t="s">
        <v>2403</v>
      </c>
      <c r="AD423" s="804" t="s">
        <v>561</v>
      </c>
      <c r="AE423" s="1272"/>
      <c r="AF423" s="1272"/>
      <c r="AG423" s="1272"/>
      <c r="AH423" s="950"/>
      <c r="AI423" s="1272"/>
      <c r="AJ423" s="1272"/>
      <c r="AK423" s="1272"/>
      <c r="AL423" s="1272"/>
      <c r="AM423" s="1272"/>
      <c r="AN423" s="1272"/>
      <c r="AO423" s="1272"/>
      <c r="AP423" s="1272"/>
      <c r="AQ423" s="1272"/>
      <c r="AR423" s="1272"/>
      <c r="AS423" s="1272"/>
      <c r="AT423" s="1272"/>
      <c r="AU423" s="1272"/>
      <c r="AV423" s="1272"/>
      <c r="AW423" s="1272"/>
      <c r="AX423" s="1272"/>
      <c r="AY423" s="1272"/>
      <c r="AZ423" s="1272"/>
      <c r="BA423" s="1272"/>
      <c r="BB423" s="1272"/>
      <c r="BC423" s="1272"/>
      <c r="BD423" s="950"/>
      <c r="BE423" s="950"/>
      <c r="BF423" s="950"/>
      <c r="BG423" s="950"/>
      <c r="BH423" s="950"/>
      <c r="BI423" s="950"/>
      <c r="BJ423" s="950"/>
      <c r="BK423" s="950"/>
      <c r="BL423" s="950"/>
      <c r="BM423" s="950"/>
      <c r="BN423" s="1270"/>
      <c r="BO423" s="1270"/>
      <c r="BP423" s="1270"/>
      <c r="BQ423" s="1297"/>
      <c r="BR423" s="1297"/>
      <c r="BS423" s="1072" t="s">
        <v>2404</v>
      </c>
      <c r="BT423" s="1072"/>
      <c r="BU423" s="1072"/>
      <c r="BV423" s="987"/>
      <c r="BW423" s="987"/>
    </row>
    <row s="1656" customFormat="1" customHeight="1" ht="14.25" hidden="1">
      <c r="A424" s="1297"/>
      <c r="B424" s="983" cm="1" t="str">
        <f t="array" ref="B424:B424">B423</f>
        <v>false</v>
      </c>
      <c r="C424" s="1297"/>
      <c r="D424" s="1297"/>
      <c r="E424" s="709">
        <v>15</v>
      </c>
      <c r="F424" s="50" cm="1" t="str">
        <f t="array" ref="F424:F424">OFFSET(E424,-1,1)</f>
        <v>2</v>
      </c>
      <c r="G424" s="1297"/>
      <c r="H424" s="1297"/>
      <c r="I424" s="1297"/>
      <c r="J424" s="1297"/>
      <c r="K424" s="103" t="s">
        <v>2405</v>
      </c>
      <c r="L424" s="988"/>
      <c r="M424" s="103"/>
      <c r="N424" s="1297"/>
      <c r="O424" s="1297"/>
      <c r="P424" s="1297"/>
      <c r="Q424" s="1297"/>
      <c r="R424" s="1297"/>
      <c r="S424" s="1297"/>
      <c r="T424" s="468" cm="1" t="str">
        <f t="array" ref="T424:T424">T423</f>
        <v>true</v>
      </c>
      <c r="U424" s="1297"/>
      <c r="V424" s="1297"/>
      <c r="W424" s="1297"/>
      <c r="X424" s="1539"/>
      <c r="Y424" s="1297"/>
      <c r="Z424" s="1529"/>
      <c r="AA424" s="1297"/>
      <c r="AB424" s="802" t="s">
        <v>2406</v>
      </c>
      <c r="AC424" s="805" t="s">
        <v>2407</v>
      </c>
      <c r="AD424" s="804" t="s">
        <v>561</v>
      </c>
      <c r="AE424" s="1272"/>
      <c r="AF424" s="1272"/>
      <c r="AG424" s="1272"/>
      <c r="AH424" s="950"/>
      <c r="AI424" s="1272"/>
      <c r="AJ424" s="1272"/>
      <c r="AK424" s="1272"/>
      <c r="AL424" s="1272"/>
      <c r="AM424" s="1272"/>
      <c r="AN424" s="1272"/>
      <c r="AO424" s="1272"/>
      <c r="AP424" s="1272"/>
      <c r="AQ424" s="1272"/>
      <c r="AR424" s="1272"/>
      <c r="AS424" s="1272"/>
      <c r="AT424" s="1272"/>
      <c r="AU424" s="1272"/>
      <c r="AV424" s="1272"/>
      <c r="AW424" s="1272"/>
      <c r="AX424" s="1272"/>
      <c r="AY424" s="1272"/>
      <c r="AZ424" s="1272"/>
      <c r="BA424" s="1272"/>
      <c r="BB424" s="1272"/>
      <c r="BC424" s="1272"/>
      <c r="BD424" s="950"/>
      <c r="BE424" s="950"/>
      <c r="BF424" s="950"/>
      <c r="BG424" s="950"/>
      <c r="BH424" s="950"/>
      <c r="BI424" s="950"/>
      <c r="BJ424" s="950"/>
      <c r="BK424" s="950"/>
      <c r="BL424" s="950"/>
      <c r="BM424" s="950"/>
      <c r="BN424" s="1270"/>
      <c r="BO424" s="1270"/>
      <c r="BP424" s="1270"/>
      <c r="BQ424" s="1297"/>
      <c r="BR424" s="1297"/>
      <c r="BS424" s="1072" t="s">
        <v>2408</v>
      </c>
      <c r="BT424" s="1072"/>
      <c r="BU424" s="1072"/>
      <c r="BV424" s="987"/>
      <c r="BW424" s="987"/>
    </row>
    <row s="6646" customFormat="1" customHeight="1" ht="55.46875">
      <c r="A425" s="706"/>
      <c r="B425" s="437"/>
      <c r="C425" s="706"/>
      <c r="D425" s="105" t="str">
        <f>IF(B424,"6","7")</f>
        <v>7</v>
      </c>
      <c r="E425" s="713">
        <v>21</v>
      </c>
      <c r="F425" s="50" cm="1" t="str">
        <f t="array" ref="F425:F425">OFFSET(E425,-1,1)</f>
        <v>2</v>
      </c>
      <c r="G425" s="154" t="s">
        <v>2409</v>
      </c>
      <c r="H425" s="154"/>
      <c r="I425" s="376" t="s">
        <v>2410</v>
      </c>
      <c r="J425" s="706"/>
      <c r="K425" s="376" t="s">
        <v>2410</v>
      </c>
      <c r="L425" s="993"/>
      <c r="M425" s="105"/>
      <c r="N425" s="706"/>
      <c r="O425" s="706"/>
      <c r="P425" s="706"/>
      <c r="Q425" s="706"/>
      <c r="R425" s="706"/>
      <c r="S425" s="706"/>
      <c r="T425" s="468" cm="1" t="str">
        <f t="array" ref="T425:T425">T424</f>
        <v>true</v>
      </c>
      <c r="U425" s="706"/>
      <c r="V425" s="706"/>
      <c r="W425" s="706"/>
      <c r="X425" s="1539"/>
      <c r="Y425" s="706"/>
      <c r="Z425" s="1529"/>
      <c r="AA425" s="706"/>
      <c r="AB425" s="207" cm="1" t="str">
        <f t="array" ref="AB425:AB425">D425</f>
        <v>7</v>
      </c>
      <c r="AC425" s="215" t="s">
        <v>1815</v>
      </c>
      <c r="AD425" s="207" t="s">
        <v>936</v>
      </c>
      <c r="AE425" s="6350">
        <f>AE427+AE428+AE429-AE430-AE431+AE432-AE433</f>
        <v>9447.68</v>
      </c>
      <c r="AF425" s="6350">
        <f>AF427+AF428+AF429-AF430-AF431+AF432-AF433</f>
        <v>9719.18</v>
      </c>
      <c r="AG425" s="6350">
        <f>AG427+AG428+AG429-AG430-AG431+AG432-AG433</f>
        <v>9497.76</v>
      </c>
      <c r="AH425" s="768">
        <f>AG425-AF425</f>
        <v>-221.42</v>
      </c>
      <c r="AI425" s="6519">
        <f>AI427+AI428+AI429-AI430-AI431+AI432-AI433</f>
        <v>11685.90708</v>
      </c>
      <c r="AJ425" s="6585">
        <f>AJ427+AJ428+AJ429-AJ430-AJ431+AJ432-AJ433</f>
        <v>44931.11</v>
      </c>
      <c r="AK425" s="1265"/>
      <c r="AL425" s="1265"/>
      <c r="AM425" s="1265"/>
      <c r="AN425" s="1265"/>
      <c r="AO425" s="1265"/>
      <c r="AP425" s="1265"/>
      <c r="AQ425" s="1265"/>
      <c r="AR425" s="1265"/>
      <c r="AS425" s="1265"/>
      <c r="AT425" s="6585">
        <f>AT427+AT428+AT429-AT430-AT431+AT432-AT433</f>
        <v>21221.98</v>
      </c>
      <c r="AU425" s="1265"/>
      <c r="AV425" s="1265"/>
      <c r="AW425" s="1265"/>
      <c r="AX425" s="1265"/>
      <c r="AY425" s="1265"/>
      <c r="AZ425" s="1265"/>
      <c r="BA425" s="1265"/>
      <c r="BB425" s="1265"/>
      <c r="BC425" s="1265"/>
      <c r="BD425" s="768">
        <f>IF(AI425=0,0,(AT425-AI425)/AI425*100)</f>
        <v>81.6031896772535</v>
      </c>
      <c r="BE425" s="768">
        <f>IF(AT425=0,0,(AU425-AT425)/AT425*100)</f>
        <v>-100</v>
      </c>
      <c r="BF425" s="768">
        <f>IF(AU425=0,0,(AV425-AU425)/AU425*100)</f>
        <v>0</v>
      </c>
      <c r="BG425" s="768">
        <f>IF(AV425=0,0,(AW425-AV425)/AV425*100)</f>
        <v>0</v>
      </c>
      <c r="BH425" s="768">
        <f>IF(AW425=0,0,(AX425-AW425)/AW425*100)</f>
        <v>0</v>
      </c>
      <c r="BI425" s="768">
        <f>IF(AX425=0,0,(AY425-AX425)/AX425*100)</f>
        <v>0</v>
      </c>
      <c r="BJ425" s="768">
        <f>IF(AY425=0,0,(AZ425-AY425)/AY425*100)</f>
        <v>0</v>
      </c>
      <c r="BK425" s="768">
        <f>IF(AZ425=0,0,(BA425-AZ425)/AZ425*100)</f>
        <v>0</v>
      </c>
      <c r="BL425" s="768">
        <f>IF(BA425=0,0,(BB425-BA425)/BA425*100)</f>
        <v>0</v>
      </c>
      <c r="BM425" s="768">
        <f>IF(BB425=0,0,(BC425-BB425)/BB425*100)</f>
        <v>0</v>
      </c>
      <c r="BN425" s="6292"/>
      <c r="BO425" s="6525"/>
      <c r="BP425" s="6292"/>
      <c r="BQ425" s="706"/>
      <c r="BR425" s="706"/>
      <c r="BS425" s="1078" t="s">
        <v>2411</v>
      </c>
      <c r="BT425" s="1078"/>
      <c r="BU425" s="1078"/>
      <c r="BV425" s="713"/>
      <c r="BW425" s="713"/>
    </row>
    <row s="1656" customFormat="1" customHeight="1" ht="14.25">
      <c r="A426" s="1297"/>
      <c r="B426" s="986"/>
      <c r="C426" s="1297"/>
      <c r="D426" s="103" cm="1" t="str">
        <f t="array" ref="D426:D426">D425</f>
        <v>7</v>
      </c>
      <c r="E426" s="709">
        <v>15</v>
      </c>
      <c r="F426" s="50" cm="1" t="str">
        <f t="array" ref="F426:F426">OFFSET(E426,-1,1)</f>
        <v>2</v>
      </c>
      <c r="G426" s="1297"/>
      <c r="H426" s="1297"/>
      <c r="I426" s="1297"/>
      <c r="J426" s="1297"/>
      <c r="K426" s="1297"/>
      <c r="L426" s="988"/>
      <c r="M426" s="103"/>
      <c r="N426" s="1297"/>
      <c r="O426" s="1297"/>
      <c r="P426" s="1297"/>
      <c r="Q426" s="1297"/>
      <c r="R426" s="1297"/>
      <c r="S426" s="1297"/>
      <c r="T426" s="468" cm="1" t="str">
        <f t="array" ref="T426:T426">T425</f>
        <v>true</v>
      </c>
      <c r="U426" s="1297"/>
      <c r="V426" s="1297"/>
      <c r="W426" s="1297"/>
      <c r="X426" s="1539"/>
      <c r="Y426" s="1297"/>
      <c r="Z426" s="1529"/>
      <c r="AA426" s="1297"/>
      <c r="AB426" s="296"/>
      <c r="AC426" s="454" t="s">
        <v>2412</v>
      </c>
      <c r="AD426" s="296"/>
      <c r="AE426" s="953"/>
      <c r="AF426" s="953"/>
      <c r="AG426" s="953"/>
      <c r="AH426" s="950"/>
      <c r="AI426" s="950"/>
      <c r="AJ426" s="950"/>
      <c r="AK426" s="950"/>
      <c r="AL426" s="950"/>
      <c r="AM426" s="950"/>
      <c r="AN426" s="950"/>
      <c r="AO426" s="950"/>
      <c r="AP426" s="950"/>
      <c r="AQ426" s="950"/>
      <c r="AR426" s="950"/>
      <c r="AS426" s="950"/>
      <c r="AT426" s="950"/>
      <c r="AU426" s="950"/>
      <c r="AV426" s="950"/>
      <c r="AW426" s="950"/>
      <c r="AX426" s="950"/>
      <c r="AY426" s="950"/>
      <c r="AZ426" s="950"/>
      <c r="BA426" s="950"/>
      <c r="BB426" s="950"/>
      <c r="BC426" s="950"/>
      <c r="BD426" s="950"/>
      <c r="BE426" s="950"/>
      <c r="BF426" s="950"/>
      <c r="BG426" s="950"/>
      <c r="BH426" s="950"/>
      <c r="BI426" s="950"/>
      <c r="BJ426" s="950"/>
      <c r="BK426" s="950"/>
      <c r="BL426" s="950"/>
      <c r="BM426" s="950"/>
      <c r="BN426" s="529"/>
      <c r="BO426" s="529"/>
      <c r="BP426" s="529"/>
      <c r="BQ426" s="1297"/>
      <c r="BR426" s="1297"/>
      <c r="BS426" s="1072"/>
      <c r="BT426" s="1072"/>
      <c r="BU426" s="1072"/>
      <c r="BV426" s="987"/>
      <c r="BW426" s="987"/>
    </row>
    <row s="1656" customFormat="1" customHeight="1" ht="142.13541666666666">
      <c r="A427" s="1297"/>
      <c r="B427" s="986"/>
      <c r="C427" s="1297"/>
      <c r="D427" s="103" cm="1" t="str">
        <f t="array" ref="D427:D427">D426</f>
        <v>7</v>
      </c>
      <c r="E427" s="709">
        <v>22.5</v>
      </c>
      <c r="F427" s="50" cm="1" t="str">
        <f t="array" ref="F427:F427">OFFSET(E427,-1,1)</f>
        <v>2</v>
      </c>
      <c r="G427" s="154" t="s">
        <v>386</v>
      </c>
      <c r="H427" s="1297"/>
      <c r="I427" s="154" t="s">
        <v>619</v>
      </c>
      <c r="J427" s="1297"/>
      <c r="K427" s="154" t="s">
        <v>619</v>
      </c>
      <c r="L427" s="988"/>
      <c r="M427" s="103"/>
      <c r="N427" s="1297"/>
      <c r="O427" s="1297"/>
      <c r="P427" s="1297"/>
      <c r="Q427" s="1297"/>
      <c r="R427" s="1297"/>
      <c r="S427" s="1297"/>
      <c r="T427" s="468" cm="1" t="str">
        <f t="array" ref="T427:T427">T426</f>
        <v>true</v>
      </c>
      <c r="U427" s="1297"/>
      <c r="V427" s="1297"/>
      <c r="W427" s="1297"/>
      <c r="X427" s="1539"/>
      <c r="Y427" s="1297"/>
      <c r="Z427" s="1529"/>
      <c r="AA427" s="1297"/>
      <c r="AB427" s="296" t="str">
        <f>D427&amp;".1"</f>
        <v>7.1</v>
      </c>
      <c r="AC427" s="769" t="s">
        <v>2413</v>
      </c>
      <c r="AD427" s="296" t="s">
        <v>936</v>
      </c>
      <c r="AE427" s="6531">
        <v>0</v>
      </c>
      <c r="AF427" s="6531"/>
      <c r="AG427" s="6531"/>
      <c r="AH427" s="951">
        <f>AG427-AF427</f>
        <v>0</v>
      </c>
      <c r="AI427" s="6524">
        <v>0</v>
      </c>
      <c r="AJ427" s="6524">
        <f>_xlfn.SUMIFS('Корректировка НВВ'!$AF$25:$AF$231,'Корректировка НВВ'!$F$25:$F$231,$F427,'Корректировка НВВ'!$I$25:$I$231,$G427)</f>
        <v>0</v>
      </c>
      <c r="AK427" s="1272"/>
      <c r="AL427" s="1272"/>
      <c r="AM427" s="1272"/>
      <c r="AN427" s="1272"/>
      <c r="AO427" s="1272"/>
      <c r="AP427" s="1272"/>
      <c r="AQ427" s="1272"/>
      <c r="AR427" s="1272"/>
      <c r="AS427" s="1272"/>
      <c r="AT427" s="6524">
        <f>_xlfn.SUMIFS('Корректировка НВВ'!$AG$25:$AG$231,'Корректировка НВВ'!$F$25:$F$231,$F427,'Корректировка НВВ'!$I$25:$I$231,$G427)</f>
        <v>0</v>
      </c>
      <c r="AU427" s="1272"/>
      <c r="AV427" s="1272"/>
      <c r="AW427" s="1272"/>
      <c r="AX427" s="1272"/>
      <c r="AY427" s="1272"/>
      <c r="AZ427" s="1272"/>
      <c r="BA427" s="1272"/>
      <c r="BB427" s="1272"/>
      <c r="BC427" s="1272"/>
      <c r="BD427" s="950"/>
      <c r="BE427" s="950"/>
      <c r="BF427" s="950"/>
      <c r="BG427" s="950"/>
      <c r="BH427" s="950"/>
      <c r="BI427" s="950"/>
      <c r="BJ427" s="950"/>
      <c r="BK427" s="950"/>
      <c r="BL427" s="950"/>
      <c r="BM427" s="950"/>
      <c r="BN427" s="6532" t="s">
        <v>2576</v>
      </c>
      <c r="BO427" s="6525" t="s">
        <v>2577</v>
      </c>
      <c r="BP427" s="6533" t="s">
        <v>2578</v>
      </c>
      <c r="BQ427" s="1297"/>
      <c r="BR427" s="1297"/>
      <c r="BS427" s="1072" t="s">
        <v>2414</v>
      </c>
      <c r="BT427" s="1072"/>
      <c r="BU427" s="1072"/>
      <c r="BV427" s="987"/>
      <c r="BW427" s="987"/>
    </row>
    <row s="1656" customFormat="1" customHeight="1" ht="129.63541666666666">
      <c r="A428" s="1297"/>
      <c r="B428" s="986"/>
      <c r="C428" s="1297"/>
      <c r="D428" s="103" cm="1" t="str">
        <f t="array" ref="D428:D428">D427</f>
        <v>7</v>
      </c>
      <c r="E428" s="709">
        <v>101.25</v>
      </c>
      <c r="F428" s="50" cm="1" t="str">
        <f t="array" ref="F428:F428">OFFSET(E428,-1,1)</f>
        <v>2</v>
      </c>
      <c r="G428" s="154" t="s">
        <v>2415</v>
      </c>
      <c r="H428" s="1297"/>
      <c r="I428" s="154" t="s">
        <v>685</v>
      </c>
      <c r="J428" s="1297"/>
      <c r="K428" s="154" t="s">
        <v>685</v>
      </c>
      <c r="L428" s="988"/>
      <c r="M428" s="103"/>
      <c r="N428" s="1297"/>
      <c r="O428" s="1297"/>
      <c r="P428" s="1297"/>
      <c r="Q428" s="1297"/>
      <c r="R428" s="1297"/>
      <c r="S428" s="1297"/>
      <c r="T428" s="468" cm="1" t="str">
        <f t="array" ref="T428:T428">T427</f>
        <v>true</v>
      </c>
      <c r="U428" s="1297"/>
      <c r="V428" s="1297"/>
      <c r="W428" s="1297"/>
      <c r="X428" s="1539"/>
      <c r="Y428" s="1297"/>
      <c r="Z428" s="1529"/>
      <c r="AA428" s="1297"/>
      <c r="AB428" s="296" t="str">
        <f>D428&amp;".2"</f>
        <v>7.2</v>
      </c>
      <c r="AC428" s="769" t="s">
        <v>2416</v>
      </c>
      <c r="AD428" s="296" t="s">
        <v>936</v>
      </c>
      <c r="AE428" s="6531">
        <v>0</v>
      </c>
      <c r="AF428" s="6531"/>
      <c r="AG428" s="6531"/>
      <c r="AH428" s="951">
        <f>AG428-AF428</f>
        <v>0</v>
      </c>
      <c r="AI428" s="6524">
        <v>0</v>
      </c>
      <c r="AJ428" s="6524">
        <f>_xlfn.SUMIFS('Корректировка НВВ'!$AF$25:$AF$231,'Корректировка НВВ'!$F$25:$F$231,$F428,'Корректировка НВВ'!$I$25:$I$231,$G428)</f>
        <v>0</v>
      </c>
      <c r="AK428" s="1272"/>
      <c r="AL428" s="1272"/>
      <c r="AM428" s="1272"/>
      <c r="AN428" s="1272"/>
      <c r="AO428" s="1272"/>
      <c r="AP428" s="1272"/>
      <c r="AQ428" s="1272"/>
      <c r="AR428" s="1272"/>
      <c r="AS428" s="1272"/>
      <c r="AT428" s="6524">
        <f>_xlfn.SUMIFS('Корректировка НВВ'!$AG$25:$AG$231,'Корректировка НВВ'!$F$25:$F$231,$F428,'Корректировка НВВ'!$I$25:$I$231,$G428)</f>
        <v>0</v>
      </c>
      <c r="AU428" s="1272"/>
      <c r="AV428" s="1272"/>
      <c r="AW428" s="1272"/>
      <c r="AX428" s="1272"/>
      <c r="AY428" s="1272"/>
      <c r="AZ428" s="1272"/>
      <c r="BA428" s="1272"/>
      <c r="BB428" s="1272"/>
      <c r="BC428" s="1272"/>
      <c r="BD428" s="950"/>
      <c r="BE428" s="950"/>
      <c r="BF428" s="950"/>
      <c r="BG428" s="950"/>
      <c r="BH428" s="950"/>
      <c r="BI428" s="950"/>
      <c r="BJ428" s="950"/>
      <c r="BK428" s="950"/>
      <c r="BL428" s="950"/>
      <c r="BM428" s="950"/>
      <c r="BN428" s="6533" t="s">
        <v>2579</v>
      </c>
      <c r="BO428" s="6525" t="s">
        <v>2524</v>
      </c>
      <c r="BP428" s="6533" t="s">
        <v>2525</v>
      </c>
      <c r="BQ428" s="1297"/>
      <c r="BR428" s="1297"/>
      <c r="BS428" s="1072" t="s">
        <v>2417</v>
      </c>
      <c r="BT428" s="1072"/>
      <c r="BU428" s="1072"/>
      <c r="BV428" s="987"/>
      <c r="BW428" s="987"/>
    </row>
    <row s="1656" customFormat="1" customHeight="1" ht="114.63541666666667">
      <c r="A429" s="1297"/>
      <c r="B429" s="986"/>
      <c r="C429" s="1297"/>
      <c r="D429" s="103" cm="1" t="str">
        <f t="array" ref="D429:D429">D428</f>
        <v>7</v>
      </c>
      <c r="E429" s="709">
        <v>45</v>
      </c>
      <c r="F429" s="50" cm="1" t="str">
        <f t="array" ref="F429:F429">OFFSET(E429,-1,1)</f>
        <v>2</v>
      </c>
      <c r="G429" s="1297"/>
      <c r="H429" s="1297"/>
      <c r="I429" s="154" t="s">
        <v>700</v>
      </c>
      <c r="J429" s="1297"/>
      <c r="K429" s="154" t="s">
        <v>700</v>
      </c>
      <c r="L429" s="988"/>
      <c r="M429" s="103"/>
      <c r="N429" s="1297"/>
      <c r="O429" s="1297"/>
      <c r="P429" s="1297"/>
      <c r="Q429" s="1297"/>
      <c r="R429" s="1297"/>
      <c r="S429" s="1297"/>
      <c r="T429" s="468" cm="1" t="str">
        <f t="array" ref="T429:T429">T428</f>
        <v>true</v>
      </c>
      <c r="U429" s="1297"/>
      <c r="V429" s="1297"/>
      <c r="W429" s="1297"/>
      <c r="X429" s="1539"/>
      <c r="Y429" s="1297"/>
      <c r="Z429" s="1529"/>
      <c r="AA429" s="1297"/>
      <c r="AB429" s="296" t="str">
        <f>D429&amp;".3"</f>
        <v>7.3</v>
      </c>
      <c r="AC429" s="769" t="s">
        <v>2418</v>
      </c>
      <c r="AD429" s="296" t="s">
        <v>936</v>
      </c>
      <c r="AE429" s="6531">
        <v>0</v>
      </c>
      <c r="AF429" s="6531"/>
      <c r="AG429" s="6531"/>
      <c r="AH429" s="951">
        <f>AG429-AF429</f>
        <v>0</v>
      </c>
      <c r="AI429" s="6524">
        <v>12279.43708</v>
      </c>
      <c r="AJ429" s="6524">
        <v>44931.11</v>
      </c>
      <c r="AK429" s="1272"/>
      <c r="AL429" s="1272"/>
      <c r="AM429" s="1272"/>
      <c r="AN429" s="1272"/>
      <c r="AO429" s="1272"/>
      <c r="AP429" s="1272"/>
      <c r="AQ429" s="1272"/>
      <c r="AR429" s="1272"/>
      <c r="AS429" s="1272"/>
      <c r="AT429" s="6524">
        <f>_xlfn.SUMIFS('Корректировка НВВ'!$AG$25:$AG$231,'Корректировка НВВ'!$F$25:$F$231,$F429,'Корректировка НВВ'!$I$25:$I$231,"L1")+_xlfn.SUMIFS('Корректировка НВВ'!$AF$25:$AF$231,'Корректировка НВВ'!$F$25:$F$231,$F429,'Корректировка НВВ'!$I$25:$I$231,"L2")</f>
        <v>21603.54</v>
      </c>
      <c r="AU429" s="1272"/>
      <c r="AV429" s="1272"/>
      <c r="AW429" s="1272"/>
      <c r="AX429" s="1272"/>
      <c r="AY429" s="1272"/>
      <c r="AZ429" s="1272"/>
      <c r="BA429" s="1272"/>
      <c r="BB429" s="1272"/>
      <c r="BC429" s="1272"/>
      <c r="BD429" s="950"/>
      <c r="BE429" s="950"/>
      <c r="BF429" s="950"/>
      <c r="BG429" s="950"/>
      <c r="BH429" s="950"/>
      <c r="BI429" s="950"/>
      <c r="BJ429" s="950"/>
      <c r="BK429" s="950"/>
      <c r="BL429" s="950"/>
      <c r="BM429" s="950"/>
      <c r="BN429" s="6532" t="s">
        <v>2580</v>
      </c>
      <c r="BO429" s="6525" t="s">
        <v>2581</v>
      </c>
      <c r="BP429" s="6533" t="s">
        <v>2528</v>
      </c>
      <c r="BQ429" s="1297"/>
      <c r="BR429" s="1297"/>
      <c r="BS429" s="1072" t="s">
        <v>2419</v>
      </c>
      <c r="BT429" s="1072"/>
      <c r="BU429" s="1072"/>
      <c r="BV429" s="987"/>
      <c r="BW429" s="987"/>
    </row>
    <row s="1656" customFormat="1" customHeight="1" ht="208.80208333333334">
      <c r="A430" s="1297"/>
      <c r="B430" s="447">
        <f>S316="Водоотведение"</f>
        <v>1</v>
      </c>
      <c r="C430" s="1297"/>
      <c r="D430" s="103" cm="1" t="str">
        <f t="array" ref="D430:D430">D429</f>
        <v>7</v>
      </c>
      <c r="E430" s="709">
        <v>90</v>
      </c>
      <c r="F430" s="50" cm="1" t="str">
        <f t="array" ref="F430:F430">OFFSET(E430,-1,1)</f>
        <v>2</v>
      </c>
      <c r="G430" s="154" t="s">
        <v>2420</v>
      </c>
      <c r="H430" s="49"/>
      <c r="I430" s="154" t="s">
        <v>866</v>
      </c>
      <c r="J430" s="1297"/>
      <c r="K430" s="154" t="s">
        <v>866</v>
      </c>
      <c r="L430" s="988" t="s">
        <v>864</v>
      </c>
      <c r="M430" s="103"/>
      <c r="N430" s="1297"/>
      <c r="O430" s="1297"/>
      <c r="P430" s="1297"/>
      <c r="Q430" s="1297"/>
      <c r="R430" s="1297"/>
      <c r="S430" s="1297"/>
      <c r="T430" s="468" cm="1" t="str">
        <f t="array" ref="T430:T430">T429</f>
        <v>true</v>
      </c>
      <c r="U430" s="1297"/>
      <c r="V430" s="1297"/>
      <c r="W430" s="1297"/>
      <c r="X430" s="1539"/>
      <c r="Y430" s="1297"/>
      <c r="Z430" s="1529"/>
      <c r="AA430" s="1297"/>
      <c r="AB430" s="296" t="str">
        <f>D430&amp;".4"</f>
        <v>7.4</v>
      </c>
      <c r="AC430" s="769" t="s">
        <v>2090</v>
      </c>
      <c r="AD430" s="773" t="s">
        <v>936</v>
      </c>
      <c r="AE430" s="6531">
        <v>0</v>
      </c>
      <c r="AF430" s="6531"/>
      <c r="AG430" s="6531"/>
      <c r="AH430" s="951">
        <f>AG430-AF430</f>
        <v>0</v>
      </c>
      <c r="AI430" s="6524">
        <v>0</v>
      </c>
      <c r="AJ430" s="6524">
        <f>_xlfn.SUMIFS('Корректировка НВВ'!$AF$25:$AF$231,'Корректировка НВВ'!$F$25:$F$231,$F430,'Корректировка НВВ'!$I$25:$I$231,$G430)</f>
        <v>0</v>
      </c>
      <c r="AK430" s="1272"/>
      <c r="AL430" s="1272"/>
      <c r="AM430" s="1272"/>
      <c r="AN430" s="1272"/>
      <c r="AO430" s="1272"/>
      <c r="AP430" s="1272"/>
      <c r="AQ430" s="1272"/>
      <c r="AR430" s="1272"/>
      <c r="AS430" s="1272"/>
      <c r="AT430" s="6524">
        <f>_xlfn.SUMIFS('Корректировка НВВ'!$AG$25:$AG$231,'Корректировка НВВ'!$F$25:$F$231,$F430,'Корректировка НВВ'!$I$25:$I$231,$G430)</f>
        <v>0</v>
      </c>
      <c r="AU430" s="1272"/>
      <c r="AV430" s="1272"/>
      <c r="AW430" s="1272"/>
      <c r="AX430" s="1272"/>
      <c r="AY430" s="1272"/>
      <c r="AZ430" s="1272"/>
      <c r="BA430" s="1272"/>
      <c r="BB430" s="1272"/>
      <c r="BC430" s="1272"/>
      <c r="BD430" s="950"/>
      <c r="BE430" s="950"/>
      <c r="BF430" s="950"/>
      <c r="BG430" s="950"/>
      <c r="BH430" s="950"/>
      <c r="BI430" s="950"/>
      <c r="BJ430" s="950"/>
      <c r="BK430" s="950"/>
      <c r="BL430" s="950"/>
      <c r="BM430" s="950"/>
      <c r="BN430" s="6533" t="s">
        <v>2582</v>
      </c>
      <c r="BO430" s="6525" t="s">
        <v>2583</v>
      </c>
      <c r="BP430" s="6533" t="s">
        <v>2584</v>
      </c>
      <c r="BQ430" s="1297"/>
      <c r="BR430" s="1297"/>
      <c r="BS430" s="1072" t="s">
        <v>1580</v>
      </c>
      <c r="BT430" s="1072"/>
      <c r="BU430" s="1072"/>
      <c r="BV430" s="987"/>
      <c r="BW430" s="987"/>
    </row>
    <row s="1656" customFormat="1" customHeight="1" ht="172.96875">
      <c r="A431" s="1297"/>
      <c r="B431" s="447" cm="1" t="str">
        <f t="array" ref="B431:B431">B430</f>
        <v>true</v>
      </c>
      <c r="C431" s="1297"/>
      <c r="D431" s="103" cm="1" t="str">
        <f t="array" ref="D431:D431">D430</f>
        <v>7</v>
      </c>
      <c r="E431" s="709">
        <v>56.25</v>
      </c>
      <c r="F431" s="50" cm="1" t="str">
        <f t="array" ref="F431:F431">OFFSET(E431,-1,1)</f>
        <v>2</v>
      </c>
      <c r="G431" s="154" t="s">
        <v>2421</v>
      </c>
      <c r="H431" s="49"/>
      <c r="I431" s="154" t="s">
        <v>914</v>
      </c>
      <c r="J431" s="1297"/>
      <c r="K431" s="154" t="s">
        <v>914</v>
      </c>
      <c r="L431" s="988" t="s">
        <v>866</v>
      </c>
      <c r="M431" s="103"/>
      <c r="N431" s="1297"/>
      <c r="O431" s="1297"/>
      <c r="P431" s="1297"/>
      <c r="Q431" s="1297"/>
      <c r="R431" s="1297"/>
      <c r="S431" s="1297"/>
      <c r="T431" s="468" cm="1" t="str">
        <f t="array" ref="T431:T431">T430</f>
        <v>true</v>
      </c>
      <c r="U431" s="1297"/>
      <c r="V431" s="1297"/>
      <c r="W431" s="1297"/>
      <c r="X431" s="1539"/>
      <c r="Y431" s="1297"/>
      <c r="Z431" s="1529"/>
      <c r="AA431" s="1297"/>
      <c r="AB431" s="296" t="str">
        <f>D431&amp;".5"</f>
        <v>7.5</v>
      </c>
      <c r="AC431" s="769" t="s">
        <v>2091</v>
      </c>
      <c r="AD431" s="773" t="s">
        <v>936</v>
      </c>
      <c r="AE431" s="6531">
        <v>0</v>
      </c>
      <c r="AF431" s="6531"/>
      <c r="AG431" s="6531"/>
      <c r="AH431" s="951">
        <f>AG431-AF431</f>
        <v>0</v>
      </c>
      <c r="AI431" s="6524">
        <v>0</v>
      </c>
      <c r="AJ431" s="6524">
        <f>_xlfn.SUMIFS('Корректировка НВВ'!$AF$25:$AF$231,'Корректировка НВВ'!$F$25:$F$231,$F431,'Корректировка НВВ'!$I$25:$I$231,$G431)</f>
        <v>0</v>
      </c>
      <c r="AK431" s="1272"/>
      <c r="AL431" s="1272"/>
      <c r="AM431" s="1272"/>
      <c r="AN431" s="1272"/>
      <c r="AO431" s="1272"/>
      <c r="AP431" s="1272"/>
      <c r="AQ431" s="1272"/>
      <c r="AR431" s="1272"/>
      <c r="AS431" s="1272"/>
      <c r="AT431" s="6524">
        <f>_xlfn.SUMIFS('Корректировка НВВ'!$AG$25:$AG$231,'Корректировка НВВ'!$F$25:$F$231,$F431,'Корректировка НВВ'!$I$25:$I$231,$G431)</f>
        <v>0</v>
      </c>
      <c r="AU431" s="1272"/>
      <c r="AV431" s="1272"/>
      <c r="AW431" s="1272"/>
      <c r="AX431" s="1272"/>
      <c r="AY431" s="1272"/>
      <c r="AZ431" s="1272"/>
      <c r="BA431" s="1272"/>
      <c r="BB431" s="1272"/>
      <c r="BC431" s="1272"/>
      <c r="BD431" s="950"/>
      <c r="BE431" s="950"/>
      <c r="BF431" s="950"/>
      <c r="BG431" s="950"/>
      <c r="BH431" s="950"/>
      <c r="BI431" s="950"/>
      <c r="BJ431" s="950"/>
      <c r="BK431" s="950"/>
      <c r="BL431" s="950"/>
      <c r="BM431" s="950"/>
      <c r="BN431" s="6533" t="s">
        <v>2585</v>
      </c>
      <c r="BO431" s="6525" t="str">
        <f>IF(_xlfn.IFERROR(INDEX('Корректировка НВВ'!$K$26:$L$231,MATCH($F431&amp;"4komm",'Корректировка НВВ'!$K$26:$K$231,0),2),"")=0,"",_xlfn.IFERROR(INDEX('Корректировка НВВ'!$K$26:$L$231,MATCH($F431&amp;"4komm",'Корректировка НВВ'!$K$26:$K$231,0),2),""))</f>
        <v/>
      </c>
      <c r="BP431" s="6533"/>
      <c r="BQ431" s="1297"/>
      <c r="BR431" s="1297"/>
      <c r="BS431" s="1072" t="s">
        <v>1584</v>
      </c>
      <c r="BT431" s="1072"/>
      <c r="BU431" s="1072"/>
      <c r="BV431" s="987"/>
      <c r="BW431" s="987"/>
    </row>
    <row s="1656" customFormat="1" customHeight="1" ht="40.46874999999999">
      <c r="A432" s="1297"/>
      <c r="B432" s="986"/>
      <c r="C432" s="1297"/>
      <c r="D432" s="103" cm="1" t="str">
        <f t="array" ref="D432:D432">D431</f>
        <v>7</v>
      </c>
      <c r="E432" s="709">
        <v>15</v>
      </c>
      <c r="F432" s="50" cm="1" t="str">
        <f t="array" ref="F432:F432">OFFSET(E432,-1,1)</f>
        <v>2</v>
      </c>
      <c r="G432" s="154" t="s">
        <v>2422</v>
      </c>
      <c r="H432" s="1297"/>
      <c r="I432" s="154" t="s">
        <v>915</v>
      </c>
      <c r="J432" s="1297"/>
      <c r="K432" s="154" t="s">
        <v>915</v>
      </c>
      <c r="L432" s="988" t="s">
        <v>914</v>
      </c>
      <c r="M432" s="103"/>
      <c r="N432" s="1297"/>
      <c r="O432" s="1297"/>
      <c r="P432" s="1297"/>
      <c r="Q432" s="1297"/>
      <c r="R432" s="1297"/>
      <c r="S432" s="1297"/>
      <c r="T432" s="468" cm="1" t="str">
        <f t="array" ref="T432:T432">T431</f>
        <v>true</v>
      </c>
      <c r="U432" s="1297"/>
      <c r="V432" s="1297"/>
      <c r="W432" s="1297"/>
      <c r="X432" s="1539"/>
      <c r="Y432" s="1297"/>
      <c r="Z432" s="1529"/>
      <c r="AA432" s="1297"/>
      <c r="AB432" s="296" t="str">
        <f>IF(B431,D432&amp;".6",D432&amp;".4")</f>
        <v>7.6</v>
      </c>
      <c r="AC432" s="769" t="s">
        <v>1808</v>
      </c>
      <c r="AD432" s="296" t="s">
        <v>936</v>
      </c>
      <c r="AE432" s="6531">
        <f>10751.89</f>
        <v>10751.89</v>
      </c>
      <c r="AF432" s="6531">
        <f>10751.88</f>
        <v>10751.88</v>
      </c>
      <c r="AG432" s="6531">
        <f>10751.89</f>
        <v>10751.89</v>
      </c>
      <c r="AH432" s="951">
        <f>AG432-AF432</f>
        <v>0.0100000000002183</v>
      </c>
      <c r="AI432" s="6524"/>
      <c r="AJ432" s="6524">
        <f>_xlfn.SUMIFS('Корректировка НВВ'!$AF$25:$AF$231,'Корректировка НВВ'!$F$25:$F$231,$F432,'Корректировка НВВ'!$I$25:$I$231,$G432)</f>
        <v>0</v>
      </c>
      <c r="AK432" s="1272"/>
      <c r="AL432" s="1272"/>
      <c r="AM432" s="1272"/>
      <c r="AN432" s="1272"/>
      <c r="AO432" s="1272"/>
      <c r="AP432" s="1272"/>
      <c r="AQ432" s="1272"/>
      <c r="AR432" s="1272"/>
      <c r="AS432" s="1272"/>
      <c r="AT432" s="6524">
        <f>_xlfn.SUMIFS('Корректировка НВВ'!$AG$25:$AG$231,'Корректировка НВВ'!$F$25:$F$231,$F432,'Корректировка НВВ'!$I$25:$I$231,$G432)</f>
        <v>0</v>
      </c>
      <c r="AU432" s="1272"/>
      <c r="AV432" s="1272"/>
      <c r="AW432" s="1272"/>
      <c r="AX432" s="1272"/>
      <c r="AY432" s="1272"/>
      <c r="AZ432" s="1272"/>
      <c r="BA432" s="1272"/>
      <c r="BB432" s="1272"/>
      <c r="BC432" s="1272"/>
      <c r="BD432" s="950"/>
      <c r="BE432" s="950"/>
      <c r="BF432" s="950"/>
      <c r="BG432" s="950"/>
      <c r="BH432" s="950"/>
      <c r="BI432" s="950"/>
      <c r="BJ432" s="950"/>
      <c r="BK432" s="950"/>
      <c r="BL432" s="950"/>
      <c r="BM432" s="950"/>
      <c r="BN432" s="6533"/>
      <c r="BO432" s="6525" t="str">
        <f>IF(_xlfn.IFERROR(INDEX('Корректировка НВВ'!$K$26:$L$231,MATCH($F432&amp;"5komm",'Корректировка НВВ'!$K$26:$K$231,0),2),"")=0,"",_xlfn.IFERROR(INDEX('Корректировка НВВ'!$K$26:$L$231,MATCH($F432&amp;"5komm",'Корректировка НВВ'!$K$26:$K$231,0),2),""))</f>
        <v/>
      </c>
      <c r="BP432" s="6533"/>
      <c r="BQ432" s="1297"/>
      <c r="BR432" s="1297"/>
      <c r="BS432" s="1072" t="s">
        <v>2423</v>
      </c>
      <c r="BT432" s="1072"/>
      <c r="BU432" s="1072"/>
      <c r="BV432" s="987"/>
      <c r="BW432" s="987"/>
    </row>
    <row s="1656" customFormat="1" customHeight="1" ht="81.30208333333333">
      <c r="A433" s="1297"/>
      <c r="B433" s="986"/>
      <c r="C433" s="1297"/>
      <c r="D433" s="103" cm="1" t="str">
        <f t="array" ref="D433:D433">D432</f>
        <v>7</v>
      </c>
      <c r="E433" s="709">
        <v>15</v>
      </c>
      <c r="F433" s="50" cm="1" t="str">
        <f t="array" ref="F433:F433">OFFSET(E433,-1,1)</f>
        <v>2</v>
      </c>
      <c r="G433" s="154" t="s">
        <v>2424</v>
      </c>
      <c r="H433" s="1297"/>
      <c r="I433" s="154" t="s">
        <v>2099</v>
      </c>
      <c r="J433" s="1297"/>
      <c r="K433" s="154" t="s">
        <v>2099</v>
      </c>
      <c r="L433" s="988" t="s">
        <v>915</v>
      </c>
      <c r="M433" s="103"/>
      <c r="N433" s="1297"/>
      <c r="O433" s="1297"/>
      <c r="P433" s="1297"/>
      <c r="Q433" s="1297"/>
      <c r="R433" s="1297"/>
      <c r="S433" s="1297"/>
      <c r="T433" s="468" cm="1" t="str">
        <f t="array" ref="T433:T433">T432</f>
        <v>true</v>
      </c>
      <c r="U433" s="1297"/>
      <c r="V433" s="1297"/>
      <c r="W433" s="1297"/>
      <c r="X433" s="1539"/>
      <c r="Y433" s="1297"/>
      <c r="Z433" s="1529"/>
      <c r="AA433" s="1297"/>
      <c r="AB433" s="296" t="str">
        <f>IF(B431,D432&amp;".7",D432&amp;".5")</f>
        <v>7.7</v>
      </c>
      <c r="AC433" s="769" t="s">
        <v>1770</v>
      </c>
      <c r="AD433" s="296" t="s">
        <v>936</v>
      </c>
      <c r="AE433" s="6531">
        <f>AE434+383.79+271.51</f>
        <v>1304.21</v>
      </c>
      <c r="AF433" s="6531">
        <f>AF434+AF435</f>
        <v>1032.7</v>
      </c>
      <c r="AG433" s="6531">
        <f>AG434+383.79+221.44-0.01</f>
        <v>1254.13</v>
      </c>
      <c r="AH433" s="951">
        <f>AG433-AF433</f>
        <v>221.43</v>
      </c>
      <c r="AI433" s="6524">
        <f>237.01+AI434</f>
        <v>593.53</v>
      </c>
      <c r="AJ433" s="6524">
        <f>_xlfn.SUMIFS('Корректировка НВВ'!$AF$25:$AF$231,'Корректировка НВВ'!$F$25:$F$231,$F433,'Корректировка НВВ'!$I$25:$I$231,$G433)</f>
        <v>0</v>
      </c>
      <c r="AK433" s="1272">
        <f>AK434+AK435</f>
        <v>0</v>
      </c>
      <c r="AL433" s="1272">
        <f>AL434+AL435</f>
        <v>0</v>
      </c>
      <c r="AM433" s="1272">
        <f>AM434+AM435</f>
        <v>0</v>
      </c>
      <c r="AN433" s="1272">
        <f>AN434+AN435</f>
        <v>0</v>
      </c>
      <c r="AO433" s="1272">
        <f>AO434+AO435</f>
        <v>0</v>
      </c>
      <c r="AP433" s="1272">
        <f>AP434+AP435</f>
        <v>0</v>
      </c>
      <c r="AQ433" s="1272">
        <f>AQ434+AQ435</f>
        <v>0</v>
      </c>
      <c r="AR433" s="1272">
        <f>AR434+AR435</f>
        <v>0</v>
      </c>
      <c r="AS433" s="1272">
        <f>AS434+AS435</f>
        <v>0</v>
      </c>
      <c r="AT433" s="6524">
        <f>333.04+AT434</f>
        <v>381.56</v>
      </c>
      <c r="AU433" s="1272">
        <f>AU434+AU435</f>
        <v>0</v>
      </c>
      <c r="AV433" s="1272">
        <f>AV434+AV435</f>
        <v>0</v>
      </c>
      <c r="AW433" s="1272">
        <f>AW434+AW435</f>
        <v>0</v>
      </c>
      <c r="AX433" s="1272">
        <f>AX434+AX435</f>
        <v>0</v>
      </c>
      <c r="AY433" s="1272">
        <f>AY434+AY435</f>
        <v>0</v>
      </c>
      <c r="AZ433" s="1272">
        <f>AZ434+AZ435</f>
        <v>0</v>
      </c>
      <c r="BA433" s="1272">
        <f>BA434+BA435</f>
        <v>0</v>
      </c>
      <c r="BB433" s="1272">
        <f>BB434+BB435</f>
        <v>0</v>
      </c>
      <c r="BC433" s="1272">
        <f>BC434+BC435</f>
        <v>0</v>
      </c>
      <c r="BD433" s="951">
        <f>IF(AI433=0,0,(AT433-AI433)/AI433*100)</f>
        <v>-35.7134432968847</v>
      </c>
      <c r="BE433" s="951">
        <f>IF(AT433=0,0,(AU433-AT433)/AT433*100)</f>
        <v>-100</v>
      </c>
      <c r="BF433" s="951">
        <f>IF(AU433=0,0,(AV433-AU433)/AU433*100)</f>
        <v>0</v>
      </c>
      <c r="BG433" s="951">
        <f>IF(AV433=0,0,(AW433-AV433)/AV433*100)</f>
        <v>0</v>
      </c>
      <c r="BH433" s="951">
        <f>IF(AW433=0,0,(AX433-AW433)/AW433*100)</f>
        <v>0</v>
      </c>
      <c r="BI433" s="951">
        <f>IF(AX433=0,0,(AY433-AX433)/AX433*100)</f>
        <v>0</v>
      </c>
      <c r="BJ433" s="951">
        <f>IF(AY433=0,0,(AZ433-AY433)/AY433*100)</f>
        <v>0</v>
      </c>
      <c r="BK433" s="951">
        <f>IF(AZ433=0,0,(BA433-AZ433)/AZ433*100)</f>
        <v>0</v>
      </c>
      <c r="BL433" s="951">
        <f>IF(BA433=0,0,(BB433-BA433)/BA433*100)</f>
        <v>0</v>
      </c>
      <c r="BM433" s="951">
        <f>IF(BB433=0,0,(BC433-BB433)/BB433*100)</f>
        <v>0</v>
      </c>
      <c r="BN433" s="6533"/>
      <c r="BO433" s="6525" t="s">
        <v>2532</v>
      </c>
      <c r="BP433" s="6533" t="s">
        <v>2586</v>
      </c>
      <c r="BQ433" s="1297"/>
      <c r="BR433" s="1297"/>
      <c r="BS433" s="1072" t="s">
        <v>1772</v>
      </c>
      <c r="BT433" s="1072"/>
      <c r="BU433" s="1072"/>
      <c r="BV433" s="987"/>
      <c r="BW433" s="987"/>
    </row>
    <row s="1656" customFormat="1" customHeight="1" ht="157.13541666666666">
      <c r="A434" s="1297"/>
      <c r="B434" s="986"/>
      <c r="C434" s="1297"/>
      <c r="D434" s="103" cm="1" t="str">
        <f t="array" ref="D434:D434">D433</f>
        <v>7</v>
      </c>
      <c r="E434" s="709">
        <v>22.5</v>
      </c>
      <c r="F434" s="50" cm="1" t="str">
        <f t="array" ref="F434:F434">OFFSET(E434,-1,1)</f>
        <v>2</v>
      </c>
      <c r="G434" s="154" t="s">
        <v>2425</v>
      </c>
      <c r="H434" s="1297"/>
      <c r="I434" s="154" t="s">
        <v>2426</v>
      </c>
      <c r="J434" s="1297"/>
      <c r="K434" s="154" t="s">
        <v>2426</v>
      </c>
      <c r="L434" s="988" t="s">
        <v>2094</v>
      </c>
      <c r="M434" s="103"/>
      <c r="N434" s="1297"/>
      <c r="O434" s="1297"/>
      <c r="P434" s="1297"/>
      <c r="Q434" s="1297"/>
      <c r="R434" s="1297"/>
      <c r="S434" s="1297"/>
      <c r="T434" s="468" cm="1" t="str">
        <f t="array" ref="T434:T434">T433</f>
        <v>true</v>
      </c>
      <c r="U434" s="1297"/>
      <c r="V434" s="1297"/>
      <c r="W434" s="1297"/>
      <c r="X434" s="1539"/>
      <c r="Y434" s="1297"/>
      <c r="Z434" s="1529"/>
      <c r="AA434" s="1297"/>
      <c r="AB434" s="296" t="str">
        <f>AB433&amp;".1"</f>
        <v>7.7.1</v>
      </c>
      <c r="AC434" s="788" t="s">
        <v>1773</v>
      </c>
      <c r="AD434" s="296" t="s">
        <v>936</v>
      </c>
      <c r="AE434" s="6531">
        <v>648.91</v>
      </c>
      <c r="AF434" s="6531">
        <f>13279.24-12246.54</f>
        <v>1032.7</v>
      </c>
      <c r="AG434" s="6531">
        <v>648.91</v>
      </c>
      <c r="AH434" s="951">
        <f>AG434-AF434</f>
        <v>-383.79</v>
      </c>
      <c r="AI434" s="6524">
        <v>356.52</v>
      </c>
      <c r="AJ434" s="6524">
        <f>_xlfn.SUMIFS('Корректировка НВВ'!$AF$25:$AF$231,'Корректировка НВВ'!$F$25:$F$231,$F434,'Корректировка НВВ'!$I$25:$I$231,$G434)</f>
        <v>0</v>
      </c>
      <c r="AK434" s="1272"/>
      <c r="AL434" s="1272"/>
      <c r="AM434" s="1272"/>
      <c r="AN434" s="1272"/>
      <c r="AO434" s="1272"/>
      <c r="AP434" s="1272"/>
      <c r="AQ434" s="1272"/>
      <c r="AR434" s="1272"/>
      <c r="AS434" s="1272"/>
      <c r="AT434" s="6524">
        <v>48.52</v>
      </c>
      <c r="AU434" s="1272"/>
      <c r="AV434" s="1272"/>
      <c r="AW434" s="1272"/>
      <c r="AX434" s="1272"/>
      <c r="AY434" s="1272"/>
      <c r="AZ434" s="1272"/>
      <c r="BA434" s="1272"/>
      <c r="BB434" s="1272"/>
      <c r="BC434" s="1272"/>
      <c r="BD434" s="950"/>
      <c r="BE434" s="950"/>
      <c r="BF434" s="950"/>
      <c r="BG434" s="950"/>
      <c r="BH434" s="950"/>
      <c r="BI434" s="950"/>
      <c r="BJ434" s="950"/>
      <c r="BK434" s="950"/>
      <c r="BL434" s="950"/>
      <c r="BM434" s="950"/>
      <c r="BN434" s="6533" t="s">
        <v>2587</v>
      </c>
      <c r="BO434" s="6525" t="s">
        <v>2535</v>
      </c>
      <c r="BP434" s="6533" t="s">
        <v>2536</v>
      </c>
      <c r="BQ434" s="1297"/>
      <c r="BR434" s="1297"/>
      <c r="BS434" s="1072" t="s">
        <v>1774</v>
      </c>
      <c r="BT434" s="1072"/>
      <c r="BU434" s="1072"/>
      <c r="BV434" s="987"/>
      <c r="BW434" s="987"/>
    </row>
    <row s="1656" customFormat="1" customHeight="1" ht="54.63541666666666">
      <c r="A435" s="1297"/>
      <c r="B435" s="986"/>
      <c r="C435" s="1297"/>
      <c r="D435" s="103" cm="1" t="str">
        <f t="array" ref="D435:D435">D434</f>
        <v>7</v>
      </c>
      <c r="E435" s="709">
        <v>22.5</v>
      </c>
      <c r="F435" s="50" cm="1" t="str">
        <f t="array" ref="F435:F435">OFFSET(E435,-1,1)</f>
        <v>2</v>
      </c>
      <c r="G435" s="154" t="s">
        <v>2427</v>
      </c>
      <c r="H435" s="1297"/>
      <c r="I435" s="154" t="s">
        <v>2428</v>
      </c>
      <c r="J435" s="1297"/>
      <c r="K435" s="154" t="s">
        <v>2428</v>
      </c>
      <c r="L435" s="988" t="s">
        <v>2096</v>
      </c>
      <c r="M435" s="103"/>
      <c r="N435" s="1297"/>
      <c r="O435" s="1297"/>
      <c r="P435" s="1297"/>
      <c r="Q435" s="1297"/>
      <c r="R435" s="1297"/>
      <c r="S435" s="1297"/>
      <c r="T435" s="468" cm="1" t="str">
        <f t="array" ref="T435:T435">T434</f>
        <v>true</v>
      </c>
      <c r="U435" s="1297"/>
      <c r="V435" s="1297"/>
      <c r="W435" s="1297"/>
      <c r="X435" s="1539"/>
      <c r="Y435" s="1297"/>
      <c r="Z435" s="1529"/>
      <c r="AA435" s="1297"/>
      <c r="AB435" s="296" t="str">
        <f>AB433&amp;".2"</f>
        <v>7.7.2</v>
      </c>
      <c r="AC435" s="788" t="s">
        <v>1775</v>
      </c>
      <c r="AD435" s="296" t="s">
        <v>936</v>
      </c>
      <c r="AE435" s="6531">
        <v>0</v>
      </c>
      <c r="AF435" s="6531"/>
      <c r="AG435" s="6531"/>
      <c r="AH435" s="951">
        <f>AG435-AF435</f>
        <v>0</v>
      </c>
      <c r="AI435" s="6524">
        <v>0</v>
      </c>
      <c r="AJ435" s="6524">
        <f>_xlfn.SUMIFS('Корректировка НВВ'!$AF$25:$AF$231,'Корректировка НВВ'!$F$25:$F$231,$F435,'Корректировка НВВ'!$I$25:$I$231,$G435)</f>
        <v>0</v>
      </c>
      <c r="AK435" s="1272"/>
      <c r="AL435" s="1272"/>
      <c r="AM435" s="1272"/>
      <c r="AN435" s="1272"/>
      <c r="AO435" s="1272"/>
      <c r="AP435" s="1272"/>
      <c r="AQ435" s="1272"/>
      <c r="AR435" s="1272"/>
      <c r="AS435" s="1272"/>
      <c r="AT435" s="6524">
        <f>_xlfn.SUMIFS('Корректировка НВВ'!$AG$25:$AG$231,'Корректировка НВВ'!$F$25:$F$231,$F435,'Корректировка НВВ'!$I$25:$I$231,$G435)</f>
        <v>0</v>
      </c>
      <c r="AU435" s="1272"/>
      <c r="AV435" s="1272"/>
      <c r="AW435" s="1272"/>
      <c r="AX435" s="1272"/>
      <c r="AY435" s="1272"/>
      <c r="AZ435" s="1272"/>
      <c r="BA435" s="1272"/>
      <c r="BB435" s="1272"/>
      <c r="BC435" s="1272"/>
      <c r="BD435" s="950"/>
      <c r="BE435" s="950"/>
      <c r="BF435" s="950"/>
      <c r="BG435" s="950"/>
      <c r="BH435" s="950"/>
      <c r="BI435" s="950"/>
      <c r="BJ435" s="950"/>
      <c r="BK435" s="950"/>
      <c r="BL435" s="950"/>
      <c r="BM435" s="950"/>
      <c r="BN435" s="6533"/>
      <c r="BO435" s="6525" t="str">
        <f>IF(_xlfn.IFERROR(INDEX('Корректировка НВВ'!$K$26:$L$231,MATCH($F435&amp;"8komm",'Корректировка НВВ'!$K$26:$K$231,0),2),"")=0,"",_xlfn.IFERROR(INDEX('Корректировка НВВ'!$K$26:$L$231,MATCH($F435&amp;"8komm",'Корректировка НВВ'!$K$26:$K$231,0),2),""))</f>
        <v/>
      </c>
      <c r="BP435" s="6533"/>
      <c r="BQ435" s="1297"/>
      <c r="BR435" s="1297"/>
      <c r="BS435" s="1072" t="s">
        <v>1776</v>
      </c>
      <c r="BT435" s="1072"/>
      <c r="BU435" s="1072"/>
      <c r="BV435" s="987"/>
      <c r="BW435" s="987"/>
    </row>
    <row s="1656" customFormat="1" customHeight="1" ht="14.625">
      <c r="A436" s="1297"/>
      <c r="B436" s="986"/>
      <c r="C436" s="1297"/>
      <c r="D436" s="103" cm="1" t="str">
        <f t="array" ref="D436:D436">D435</f>
        <v>7</v>
      </c>
      <c r="E436" s="709">
        <v>15</v>
      </c>
      <c r="F436" s="50" cm="1" t="str">
        <f t="array" ref="F436:F436">OFFSET(E436,-1,1)</f>
        <v>2</v>
      </c>
      <c r="G436" s="154" t="s">
        <v>332</v>
      </c>
      <c r="H436" s="1297"/>
      <c r="I436" s="154" t="s">
        <v>2100</v>
      </c>
      <c r="J436" s="1297"/>
      <c r="K436" s="154" t="s">
        <v>2100</v>
      </c>
      <c r="L436" s="988" t="s">
        <v>2099</v>
      </c>
      <c r="M436" s="103"/>
      <c r="N436" s="1297"/>
      <c r="O436" s="1297"/>
      <c r="P436" s="1297"/>
      <c r="Q436" s="1297"/>
      <c r="R436" s="1297"/>
      <c r="S436" s="1297"/>
      <c r="T436" s="468" cm="1" t="str">
        <f t="array" ref="T436:T436">T435</f>
        <v>true</v>
      </c>
      <c r="U436" s="1297"/>
      <c r="V436" s="1297"/>
      <c r="W436" s="1297"/>
      <c r="X436" s="1539"/>
      <c r="Y436" s="1297"/>
      <c r="Z436" s="1529"/>
      <c r="AA436" s="1297"/>
      <c r="AB436" s="296" t="str">
        <f>IF(B431,D432&amp;".8",D432&amp;".6")</f>
        <v>7.8</v>
      </c>
      <c r="AC436" s="789" t="s">
        <v>1777</v>
      </c>
      <c r="AD436" s="296" t="s">
        <v>936</v>
      </c>
      <c r="AE436" s="6531">
        <v>0</v>
      </c>
      <c r="AF436" s="6531"/>
      <c r="AG436" s="6531"/>
      <c r="AH436" s="951">
        <f>AG436-AF436</f>
        <v>0</v>
      </c>
      <c r="AI436" s="6524">
        <v>0</v>
      </c>
      <c r="AJ436" s="6524">
        <f>_xlfn.SUMIFS('Корректировка НВВ'!$AF$25:$AF$231,'Корректировка НВВ'!$F$25:$F$231,$F436,'Корректировка НВВ'!$I$25:$I$231,$G436)</f>
        <v>0</v>
      </c>
      <c r="AK436" s="1272"/>
      <c r="AL436" s="1272"/>
      <c r="AM436" s="1272"/>
      <c r="AN436" s="1272"/>
      <c r="AO436" s="1272"/>
      <c r="AP436" s="1272"/>
      <c r="AQ436" s="1272"/>
      <c r="AR436" s="1272"/>
      <c r="AS436" s="1272"/>
      <c r="AT436" s="6524">
        <f>_xlfn.SUMIFS('Корректировка НВВ'!$AG$25:$AG$231,'Корректировка НВВ'!$F$25:$F$231,$F436,'Корректировка НВВ'!$I$25:$I$231,$G436)</f>
        <v>0</v>
      </c>
      <c r="AU436" s="1272"/>
      <c r="AV436" s="1272"/>
      <c r="AW436" s="1272"/>
      <c r="AX436" s="1272"/>
      <c r="AY436" s="1272"/>
      <c r="AZ436" s="1272"/>
      <c r="BA436" s="1272"/>
      <c r="BB436" s="1272"/>
      <c r="BC436" s="1272"/>
      <c r="BD436" s="950"/>
      <c r="BE436" s="950"/>
      <c r="BF436" s="950"/>
      <c r="BG436" s="950"/>
      <c r="BH436" s="950"/>
      <c r="BI436" s="950"/>
      <c r="BJ436" s="950"/>
      <c r="BK436" s="950"/>
      <c r="BL436" s="950"/>
      <c r="BM436" s="950"/>
      <c r="BN436" s="6533"/>
      <c r="BO436" s="6525" t="str">
        <f>IF(_xlfn.IFERROR(INDEX('Корректировка НВВ'!$K$26:$L$231,MATCH($F436&amp;"9komm",'Корректировка НВВ'!$K$26:$K$231,0),2),"")=0,"",_xlfn.IFERROR(INDEX('Корректировка НВВ'!$K$26:$L$231,MATCH($F436&amp;"9komm",'Корректировка НВВ'!$K$26:$K$231,0),2),""))</f>
        <v/>
      </c>
      <c r="BP436" s="6533"/>
      <c r="BQ436" s="1297"/>
      <c r="BR436" s="1297"/>
      <c r="BS436" s="1072" t="s">
        <v>2429</v>
      </c>
      <c r="BT436" s="1072"/>
      <c r="BU436" s="1072"/>
      <c r="BV436" s="987"/>
      <c r="BW436" s="987"/>
    </row>
    <row s="1656" customFormat="1" customHeight="1" ht="14.625">
      <c r="A437" s="1297"/>
      <c r="B437" s="986"/>
      <c r="C437" s="1297"/>
      <c r="D437" s="103" cm="1" t="str">
        <f t="array" ref="D437:D437">D436</f>
        <v>7</v>
      </c>
      <c r="E437" s="709">
        <v>15</v>
      </c>
      <c r="F437" s="50" cm="1" t="str">
        <f t="array" ref="F437:F437">OFFSET(E437,-1,1)</f>
        <v>2</v>
      </c>
      <c r="G437" s="154" t="s">
        <v>2430</v>
      </c>
      <c r="H437" s="1297"/>
      <c r="I437" s="154" t="s">
        <v>2101</v>
      </c>
      <c r="J437" s="1297"/>
      <c r="K437" s="154" t="s">
        <v>2101</v>
      </c>
      <c r="L437" s="988" t="s">
        <v>2100</v>
      </c>
      <c r="M437" s="103"/>
      <c r="N437" s="1297"/>
      <c r="O437" s="1297"/>
      <c r="P437" s="1297"/>
      <c r="Q437" s="1297"/>
      <c r="R437" s="1297"/>
      <c r="S437" s="1297"/>
      <c r="T437" s="468" cm="1" t="str">
        <f t="array" ref="T437:T437">T436</f>
        <v>true</v>
      </c>
      <c r="U437" s="1297"/>
      <c r="V437" s="1297"/>
      <c r="W437" s="1297"/>
      <c r="X437" s="1539"/>
      <c r="Y437" s="1297"/>
      <c r="Z437" s="1529"/>
      <c r="AA437" s="1297"/>
      <c r="AB437" s="296" t="str">
        <f>IF(B431,D432&amp;".9",D432&amp;".7")</f>
        <v>7.9</v>
      </c>
      <c r="AC437" s="789" t="s">
        <v>1779</v>
      </c>
      <c r="AD437" s="296" t="s">
        <v>936</v>
      </c>
      <c r="AE437" s="6531">
        <v>0</v>
      </c>
      <c r="AF437" s="6531"/>
      <c r="AG437" s="6531"/>
      <c r="AH437" s="951">
        <f>AG437-AF437</f>
        <v>0</v>
      </c>
      <c r="AI437" s="6524">
        <v>0</v>
      </c>
      <c r="AJ437" s="6524">
        <f>_xlfn.SUMIFS('Корректировка НВВ'!$AF$25:$AF$231,'Корректировка НВВ'!$F$25:$F$231,$F437,'Корректировка НВВ'!$I$25:$I$231,$G437)</f>
        <v>0</v>
      </c>
      <c r="AK437" s="1272"/>
      <c r="AL437" s="1272"/>
      <c r="AM437" s="1272"/>
      <c r="AN437" s="1272"/>
      <c r="AO437" s="1272"/>
      <c r="AP437" s="1272"/>
      <c r="AQ437" s="1272"/>
      <c r="AR437" s="1272"/>
      <c r="AS437" s="1272"/>
      <c r="AT437" s="6524">
        <f>_xlfn.SUMIFS('Корректировка НВВ'!$AG$25:$AG$231,'Корректировка НВВ'!$F$25:$F$231,$F437,'Корректировка НВВ'!$I$25:$I$231,$G437)</f>
        <v>0</v>
      </c>
      <c r="AU437" s="1272"/>
      <c r="AV437" s="1272"/>
      <c r="AW437" s="1272"/>
      <c r="AX437" s="1272"/>
      <c r="AY437" s="1272"/>
      <c r="AZ437" s="1272"/>
      <c r="BA437" s="1272"/>
      <c r="BB437" s="1272"/>
      <c r="BC437" s="1272"/>
      <c r="BD437" s="950"/>
      <c r="BE437" s="950"/>
      <c r="BF437" s="950"/>
      <c r="BG437" s="950"/>
      <c r="BH437" s="950"/>
      <c r="BI437" s="950"/>
      <c r="BJ437" s="950"/>
      <c r="BK437" s="950"/>
      <c r="BL437" s="950"/>
      <c r="BM437" s="950"/>
      <c r="BN437" s="6533"/>
      <c r="BO437" s="6525" t="str">
        <f>IF(_xlfn.IFERROR(INDEX('Корректировка НВВ'!$K$26:$L$231,MATCH($F437&amp;"10komm",'Корректировка НВВ'!$K$26:$K$231,0),2),"")=0,"",_xlfn.IFERROR(INDEX('Корректировка НВВ'!$K$26:$L$231,MATCH($F437&amp;"10komm",'Корректировка НВВ'!$K$26:$K$231,0),2),""))</f>
        <v/>
      </c>
      <c r="BP437" s="6533"/>
      <c r="BQ437" s="1297"/>
      <c r="BR437" s="1297"/>
      <c r="BS437" s="1072" t="s">
        <v>1780</v>
      </c>
      <c r="BT437" s="1072"/>
      <c r="BU437" s="1072"/>
      <c r="BV437" s="987"/>
      <c r="BW437" s="987"/>
    </row>
    <row s="6647" customFormat="1" customHeight="1" ht="87.96875">
      <c r="A438" s="706"/>
      <c r="B438" s="437"/>
      <c r="C438" s="706"/>
      <c r="D438" s="105">
        <f>D437+1</f>
        <v>8</v>
      </c>
      <c r="E438" s="713">
        <v>21</v>
      </c>
      <c r="F438" s="50" cm="1" t="str">
        <f t="array" ref="F438:F438">OFFSET(E438,-1,1)</f>
        <v>2</v>
      </c>
      <c r="G438" s="706"/>
      <c r="H438" s="706"/>
      <c r="I438" s="158" t="s">
        <v>707</v>
      </c>
      <c r="J438" s="706"/>
      <c r="K438" s="158" t="s">
        <v>707</v>
      </c>
      <c r="L438" s="993"/>
      <c r="M438" s="105"/>
      <c r="N438" s="706"/>
      <c r="O438" s="706"/>
      <c r="P438" s="706"/>
      <c r="Q438" s="706"/>
      <c r="R438" s="706"/>
      <c r="S438" s="706"/>
      <c r="T438" s="468" cm="1" t="str">
        <f t="array" ref="T438:T438">T437</f>
        <v>true</v>
      </c>
      <c r="U438" s="706"/>
      <c r="V438" s="706"/>
      <c r="W438" s="706"/>
      <c r="X438" s="1539"/>
      <c r="Y438" s="706"/>
      <c r="Z438" s="1529"/>
      <c r="AA438" s="706"/>
      <c r="AB438" s="207" cm="1" t="str">
        <f t="array" ref="AB438:AB438">D438</f>
        <v>8</v>
      </c>
      <c r="AC438" s="208" t="s">
        <v>2431</v>
      </c>
      <c r="AD438" s="207" t="s">
        <v>936</v>
      </c>
      <c r="AE438" s="6350">
        <v>-4812.59</v>
      </c>
      <c r="AF438" s="6350">
        <v>-4812.6</v>
      </c>
      <c r="AG438" s="6350">
        <v>-4812.59</v>
      </c>
      <c r="AH438" s="768">
        <f>AG438-AF438</f>
        <v>0.0100000000002183</v>
      </c>
      <c r="AI438" s="6519">
        <v>-18241.21</v>
      </c>
      <c r="AJ438" s="6519">
        <v>23035.53</v>
      </c>
      <c r="AK438" s="1265"/>
      <c r="AL438" s="1265"/>
      <c r="AM438" s="1265"/>
      <c r="AN438" s="1265"/>
      <c r="AO438" s="1265"/>
      <c r="AP438" s="1265"/>
      <c r="AQ438" s="1265"/>
      <c r="AR438" s="1265"/>
      <c r="AS438" s="1265"/>
      <c r="AT438" s="6519">
        <v>-42459.76</v>
      </c>
      <c r="AU438" s="1265"/>
      <c r="AV438" s="1265"/>
      <c r="AW438" s="1265"/>
      <c r="AX438" s="1265"/>
      <c r="AY438" s="1265"/>
      <c r="AZ438" s="1265"/>
      <c r="BA438" s="1265"/>
      <c r="BB438" s="1265"/>
      <c r="BC438" s="1265"/>
      <c r="BD438" s="771"/>
      <c r="BE438" s="771"/>
      <c r="BF438" s="771"/>
      <c r="BG438" s="771"/>
      <c r="BH438" s="771"/>
      <c r="BI438" s="771"/>
      <c r="BJ438" s="771"/>
      <c r="BK438" s="771"/>
      <c r="BL438" s="771"/>
      <c r="BM438" s="771"/>
      <c r="BN438" s="6587" t="s">
        <v>2588</v>
      </c>
      <c r="BO438" s="6292" t="s">
        <v>2465</v>
      </c>
      <c r="BP438" s="6292" t="s">
        <v>2589</v>
      </c>
      <c r="BQ438" s="706"/>
      <c r="BR438" s="706"/>
      <c r="BS438" s="1078" t="s">
        <v>2432</v>
      </c>
      <c r="BT438" s="1078"/>
      <c r="BU438" s="1078"/>
      <c r="BV438" s="713"/>
      <c r="BW438" s="713"/>
    </row>
    <row s="1656" customFormat="1" customHeight="1" ht="22.96875">
      <c r="A439" s="1297"/>
      <c r="B439" s="986"/>
      <c r="C439" s="1297"/>
      <c r="D439" s="105" cm="1" t="str">
        <f t="array" ref="D439:D439">D438</f>
        <v>8</v>
      </c>
      <c r="E439" s="709">
        <v>15</v>
      </c>
      <c r="F439" s="50" cm="1" t="str">
        <f t="array" ref="F439:F439">OFFSET(E439,-1,1)</f>
        <v>2</v>
      </c>
      <c r="G439" s="1297"/>
      <c r="H439" s="1297"/>
      <c r="I439" s="154" t="s">
        <v>710</v>
      </c>
      <c r="J439" s="1297"/>
      <c r="K439" s="154" t="s">
        <v>710</v>
      </c>
      <c r="L439" s="988"/>
      <c r="M439" s="103"/>
      <c r="N439" s="1297"/>
      <c r="O439" s="1297"/>
      <c r="P439" s="1297"/>
      <c r="Q439" s="1297"/>
      <c r="R439" s="1297"/>
      <c r="S439" s="1297"/>
      <c r="T439" s="468" cm="1" t="str">
        <f t="array" ref="T439:T439">T438</f>
        <v>true</v>
      </c>
      <c r="U439" s="1297"/>
      <c r="V439" s="1297"/>
      <c r="W439" s="1297"/>
      <c r="X439" s="1539"/>
      <c r="Y439" s="1297"/>
      <c r="Z439" s="1529"/>
      <c r="AA439" s="1297"/>
      <c r="AB439" s="296" t="str">
        <f>D439&amp;".1"</f>
        <v>8.1</v>
      </c>
      <c r="AC439" s="769" t="s">
        <v>2433</v>
      </c>
      <c r="AD439" s="296" t="s">
        <v>561</v>
      </c>
      <c r="AE439" s="255">
        <f>IF(AE440=0,0,AE438/(AE440+AE425)*100)</f>
        <v>-2.28114067319338</v>
      </c>
      <c r="AF439" s="255">
        <f>IF(AF440=0,0,AF438/(AF440+AF425)*100)</f>
        <v>-2.29378631532232</v>
      </c>
      <c r="AG439" s="255">
        <f>IF(AG440=0,0,AG438/(AG440+AG425)*100)</f>
        <v>-2.28402048120626</v>
      </c>
      <c r="AH439" s="951">
        <f>AG439-AF439</f>
        <v>0.00976583411606002</v>
      </c>
      <c r="AI439" s="951">
        <f>IF(AI440=0,0,AI438/(AI440+AI425)*100)</f>
        <v>-7.97170360270362</v>
      </c>
      <c r="AJ439" s="951">
        <f>IF(AJ440=0,0,AJ438/(AJ440+AJ425)*100)</f>
        <v>7.56121141507565</v>
      </c>
      <c r="AK439" s="951">
        <f>IF(AK440=0,0,AK438/(AK440+AK425)*100)</f>
        <v>0</v>
      </c>
      <c r="AL439" s="951">
        <f>IF(AL440=0,0,AL438/(AL440+AL425)*100)</f>
        <v>0</v>
      </c>
      <c r="AM439" s="951">
        <f>IF(AM440=0,0,AM438/(AM440+AM425)*100)</f>
        <v>0</v>
      </c>
      <c r="AN439" s="951">
        <f>IF(AN440=0,0,AN438/(AN440+AN425)*100)</f>
        <v>0</v>
      </c>
      <c r="AO439" s="951">
        <f>IF(AO440=0,0,AO438/(AO440+AO425)*100)</f>
        <v>0</v>
      </c>
      <c r="AP439" s="951">
        <f>IF(AP440=0,0,AP438/(AP440+AP425)*100)</f>
        <v>0</v>
      </c>
      <c r="AQ439" s="951">
        <f>IF(AQ440=0,0,AQ438/(AQ440+AQ425)*100)</f>
        <v>0</v>
      </c>
      <c r="AR439" s="951">
        <f>IF(AR440=0,0,AR438/(AR440+AR425)*100)</f>
        <v>0</v>
      </c>
      <c r="AS439" s="951">
        <f>IF(AS440=0,0,AS438/(AS440+AS425)*100)</f>
        <v>0</v>
      </c>
      <c r="AT439" s="951">
        <f>IF(AT440=0,0,AT438/(AT440+AT425)*100)</f>
        <v>-16.5066617975839</v>
      </c>
      <c r="AU439" s="951">
        <f>IF(AU440=0,0,AU438/(AU440+AU425)*100)</f>
        <v>0</v>
      </c>
      <c r="AV439" s="951">
        <f>IF(AV440=0,0,AV438/(AV440+AV425)*100)</f>
        <v>0</v>
      </c>
      <c r="AW439" s="951">
        <f>IF(AW440=0,0,AW438/(AW440+AW425)*100)</f>
        <v>0</v>
      </c>
      <c r="AX439" s="951">
        <f>IF(AX440=0,0,AX438/(AX440+AX425)*100)</f>
        <v>0</v>
      </c>
      <c r="AY439" s="951">
        <f>IF(AY440=0,0,AY438/(AY440+AY425)*100)</f>
        <v>0</v>
      </c>
      <c r="AZ439" s="951">
        <f>IF(AZ440=0,0,AZ438/(AZ440+AZ425)*100)</f>
        <v>0</v>
      </c>
      <c r="BA439" s="951">
        <f>IF(BA440=0,0,BA438/(BA440+BA425)*100)</f>
        <v>0</v>
      </c>
      <c r="BB439" s="951">
        <f>IF(BB440=0,0,BB438/(BB440+BB425)*100)</f>
        <v>0</v>
      </c>
      <c r="BC439" s="951">
        <f>IF(BC440=0,0,BC438/(BC440+BC425)*100)</f>
        <v>0</v>
      </c>
      <c r="BD439" s="950"/>
      <c r="BE439" s="950"/>
      <c r="BF439" s="950"/>
      <c r="BG439" s="950"/>
      <c r="BH439" s="950"/>
      <c r="BI439" s="950"/>
      <c r="BJ439" s="950"/>
      <c r="BK439" s="950"/>
      <c r="BL439" s="950"/>
      <c r="BM439" s="950"/>
      <c r="BN439" s="6533"/>
      <c r="BO439" s="6533"/>
      <c r="BP439" s="6533"/>
      <c r="BQ439" s="1297"/>
      <c r="BR439" s="1297"/>
      <c r="BS439" s="1072" t="s">
        <v>2434</v>
      </c>
      <c r="BT439" s="1072"/>
      <c r="BU439" s="1072"/>
      <c r="BV439" s="987"/>
      <c r="BW439" s="987"/>
    </row>
    <row s="6648" customFormat="1" customHeight="1" ht="33.802083333333336">
      <c r="A440" s="706"/>
      <c r="B440" s="437"/>
      <c r="C440" s="706"/>
      <c r="D440" s="105">
        <f>D439+1</f>
        <v>9</v>
      </c>
      <c r="E440" s="713">
        <v>21</v>
      </c>
      <c r="F440" s="50" cm="1" t="str">
        <f t="array" ref="F440:F440">OFFSET(E440,-1,1)</f>
        <v>2</v>
      </c>
      <c r="G440" s="706"/>
      <c r="H440" s="154"/>
      <c r="I440" s="154" t="s">
        <v>864</v>
      </c>
      <c r="J440" s="706"/>
      <c r="K440" s="154" t="s">
        <v>864</v>
      </c>
      <c r="L440" s="993" t="s">
        <v>2101</v>
      </c>
      <c r="M440" s="105"/>
      <c r="N440" s="706"/>
      <c r="O440" s="706"/>
      <c r="P440" s="706"/>
      <c r="Q440" s="706"/>
      <c r="R440" s="706"/>
      <c r="S440" s="706"/>
      <c r="T440" s="468" cm="1" t="str">
        <f t="array" ref="T440:T440">T439</f>
        <v>true</v>
      </c>
      <c r="U440" s="706"/>
      <c r="V440" s="706"/>
      <c r="W440" s="706"/>
      <c r="X440" s="1539"/>
      <c r="Y440" s="706"/>
      <c r="Z440" s="1529"/>
      <c r="AA440" s="706"/>
      <c r="AB440" s="207" cm="1" t="str">
        <f t="array" ref="AB440:AB440">D440</f>
        <v>9</v>
      </c>
      <c r="AC440" s="208" t="s">
        <v>2102</v>
      </c>
      <c r="AD440" s="230" t="s">
        <v>936</v>
      </c>
      <c r="AE440" s="209">
        <f>AE317+AE368+AE404+AE405+AE407+AE412+AE413+AE416</f>
        <v>201525.28</v>
      </c>
      <c r="AF440" s="209">
        <f>AF317+AF368+AF404+AF405+AF407+AF412+AF413+AF416</f>
        <v>200091.1222</v>
      </c>
      <c r="AG440" s="209">
        <f>AG317+AG368+AG404+AG405+AG407+AG412+AG413+AG416</f>
        <v>201209.194670491</v>
      </c>
      <c r="AH440" s="768">
        <f>AG440-AF440</f>
        <v>1118.072470491</v>
      </c>
      <c r="AI440" s="209">
        <f>AI317+AI368+AI404+AI405+AI407+AI412+AI413+AI416</f>
        <v>217138.5815</v>
      </c>
      <c r="AJ440" s="209">
        <f>AJ317+AJ368+AJ404+AJ405+AJ407+AJ412+AJ413+AJ416</f>
        <v>259722.85</v>
      </c>
      <c r="AK440" s="209">
        <f>AK317+AK368+AK404+AK405+AK407+AK412+AK413+AK416</f>
        <v>204828.68</v>
      </c>
      <c r="AL440" s="209">
        <f>AL317+AL368+AL404+AL405+AL407+AL412+AL413+AL416</f>
        <v>204828.68</v>
      </c>
      <c r="AM440" s="209">
        <f>AM317+AM368+AM404+AM405+AM407+AM412+AM413+AM416</f>
        <v>204828.68</v>
      </c>
      <c r="AN440" s="209">
        <f>AN317+AN368+AN404+AN405+AN407+AN412+AN413+AN416</f>
        <v>204828.68</v>
      </c>
      <c r="AO440" s="209">
        <f>AO317+AO368+AO404+AO405+AO407+AO412+AO413+AO416</f>
        <v>204828.68</v>
      </c>
      <c r="AP440" s="209">
        <f>AP317+AP368+AP404+AP405+AP407+AP412+AP413+AP416</f>
        <v>204828.68</v>
      </c>
      <c r="AQ440" s="209">
        <f>AQ317+AQ368+AQ404+AQ405+AQ407+AQ412+AQ413+AQ416</f>
        <v>204828.68</v>
      </c>
      <c r="AR440" s="209">
        <f>AR317+AR368+AR404+AR405+AR407+AR412+AR413+AR416</f>
        <v>204828.68</v>
      </c>
      <c r="AS440" s="209">
        <f>AS317+AS368+AS404+AS405+AS407+AS412+AS413+AS416</f>
        <v>204828.68</v>
      </c>
      <c r="AT440" s="209">
        <f>AT317+AT368+AT404+AT405+AT407+AT412+AT413+AT416</f>
        <v>236006.04418</v>
      </c>
      <c r="AU440" s="209">
        <f>AU317+AU368+AU404+AU405+AU407+AU412+AU413+AU416</f>
        <v>185601.5</v>
      </c>
      <c r="AV440" s="209">
        <f>AV317+AV368+AV404+AV405+AV407+AV412+AV413+AV416</f>
        <v>185601.5</v>
      </c>
      <c r="AW440" s="209">
        <f>AW317+AW368+AW404+AW405+AW407+AW412+AW413+AW416</f>
        <v>185601.5</v>
      </c>
      <c r="AX440" s="209">
        <f>AX317+AX368+AX404+AX405+AX407+AX412+AX413+AX416</f>
        <v>185601.5</v>
      </c>
      <c r="AY440" s="209">
        <f>AY317+AY368+AY404+AY405+AY407+AY412+AY413+AY416</f>
        <v>185601.5</v>
      </c>
      <c r="AZ440" s="209">
        <f>AZ317+AZ368+AZ404+AZ405+AZ407+AZ412+AZ413+AZ416</f>
        <v>185601.5</v>
      </c>
      <c r="BA440" s="209">
        <f>BA317+BA368+BA404+BA405+BA407+BA412+BA413+BA416</f>
        <v>185601.5</v>
      </c>
      <c r="BB440" s="209">
        <f>BB317+BB368+BB404+BB405+BB407+BB412+BB413+BB416</f>
        <v>185601.5</v>
      </c>
      <c r="BC440" s="209">
        <f>BC317+BC368+BC404+BC405+BC407+BC412+BC413+BC416</f>
        <v>185601.5</v>
      </c>
      <c r="BD440" s="768">
        <f>IF(AI440=0,0,(AT440-AI440)/AI440*100)</f>
        <v>8.68913416936916</v>
      </c>
      <c r="BE440" s="768">
        <f>IF(AT440=0,0,(AU440-AT440)/AT440*100)</f>
        <v>-21.3573107227529</v>
      </c>
      <c r="BF440" s="768">
        <f>IF(AU440=0,0,(AV440-AU440)/AU440*100)</f>
        <v>0</v>
      </c>
      <c r="BG440" s="768">
        <f>IF(AV440=0,0,(AW440-AV440)/AV440*100)</f>
        <v>0</v>
      </c>
      <c r="BH440" s="768">
        <f>IF(AW440=0,0,(AX440-AW440)/AW440*100)</f>
        <v>0</v>
      </c>
      <c r="BI440" s="768">
        <f>IF(AX440=0,0,(AY440-AX440)/AX440*100)</f>
        <v>0</v>
      </c>
      <c r="BJ440" s="768">
        <f>IF(AY440=0,0,(AZ440-AY440)/AY440*100)</f>
        <v>0</v>
      </c>
      <c r="BK440" s="768">
        <f>IF(AZ440=0,0,(BA440-AZ440)/AZ440*100)</f>
        <v>0</v>
      </c>
      <c r="BL440" s="768">
        <f>IF(BA440=0,0,(BB440-BA440)/BA440*100)</f>
        <v>0</v>
      </c>
      <c r="BM440" s="768">
        <f>IF(BB440=0,0,(BC440-BB440)/BB440*100)</f>
        <v>0</v>
      </c>
      <c r="BN440" s="6533"/>
      <c r="BO440" s="6533"/>
      <c r="BP440" s="6533"/>
      <c r="BQ440" s="706"/>
      <c r="BR440" s="706"/>
      <c r="BS440" s="1078" t="s">
        <v>2103</v>
      </c>
      <c r="BT440" s="1078"/>
      <c r="BU440" s="1078"/>
      <c r="BV440" s="713"/>
      <c r="BW440" s="713"/>
    </row>
    <row s="6649" customFormat="1" customHeight="1" ht="82.96875">
      <c r="A441" s="706"/>
      <c r="B441" s="437"/>
      <c r="C441" s="706"/>
      <c r="D441" s="105">
        <f>D440+1</f>
        <v>10</v>
      </c>
      <c r="E441" s="713">
        <v>21</v>
      </c>
      <c r="F441" s="50" cm="1" t="str">
        <f t="array" ref="F441:F441">OFFSET(E441,-1,1)</f>
        <v>2</v>
      </c>
      <c r="G441" s="706"/>
      <c r="H441" s="154"/>
      <c r="I441" s="154" t="s">
        <v>2112</v>
      </c>
      <c r="J441" s="706"/>
      <c r="K441" s="154" t="s">
        <v>2112</v>
      </c>
      <c r="L441" s="993"/>
      <c r="M441" s="105"/>
      <c r="N441" s="706"/>
      <c r="O441" s="706"/>
      <c r="P441" s="706"/>
      <c r="Q441" s="706"/>
      <c r="R441" s="706"/>
      <c r="S441" s="706"/>
      <c r="T441" s="468" cm="1" t="str">
        <f t="array" ref="T441:T441">T440</f>
        <v>true</v>
      </c>
      <c r="U441" s="706"/>
      <c r="V441" s="706"/>
      <c r="W441" s="706"/>
      <c r="X441" s="1539"/>
      <c r="Y441" s="706"/>
      <c r="Z441" s="1529"/>
      <c r="AA441" s="706"/>
      <c r="AB441" s="207" cm="1" t="str">
        <f t="array" ref="AB441:AB441">D441</f>
        <v>10</v>
      </c>
      <c r="AC441" s="208" t="s">
        <v>2435</v>
      </c>
      <c r="AD441" s="207" t="s">
        <v>936</v>
      </c>
      <c r="AE441" s="209">
        <f>AE440+AE425+AE438</f>
        <v>206160.37</v>
      </c>
      <c r="AF441" s="209">
        <f>AF440+AF425+AF438</f>
        <v>204997.7022</v>
      </c>
      <c r="AG441" s="209">
        <f>AG440+AG425+AG438</f>
        <v>205894.364670491</v>
      </c>
      <c r="AH441" s="777">
        <f>AH440+AH425+AH438</f>
        <v>896.662470491</v>
      </c>
      <c r="AI441" s="777">
        <f>AI440+AI425+AI438</f>
        <v>210583.27858</v>
      </c>
      <c r="AJ441" s="777">
        <f>AJ440+AJ425+AJ438</f>
        <v>327689.49</v>
      </c>
      <c r="AK441" s="777">
        <f>AK440+AK425+AK438</f>
        <v>204828.68</v>
      </c>
      <c r="AL441" s="777">
        <f>AL440+AL425+AL438</f>
        <v>204828.68</v>
      </c>
      <c r="AM441" s="777">
        <f>AM440+AM425+AM438</f>
        <v>204828.68</v>
      </c>
      <c r="AN441" s="777">
        <f>AN440+AN425+AN438</f>
        <v>204828.68</v>
      </c>
      <c r="AO441" s="777">
        <f>AO440+AO425+AO438</f>
        <v>204828.68</v>
      </c>
      <c r="AP441" s="777">
        <f>AP440+AP425+AP438</f>
        <v>204828.68</v>
      </c>
      <c r="AQ441" s="777">
        <f>AQ440+AQ425+AQ438</f>
        <v>204828.68</v>
      </c>
      <c r="AR441" s="777">
        <f>AR440+AR425+AR438</f>
        <v>204828.68</v>
      </c>
      <c r="AS441" s="777">
        <f>AS440+AS425+AS438</f>
        <v>204828.68</v>
      </c>
      <c r="AT441" s="777">
        <f>AT440+AT425+AT438</f>
        <v>214768.26418</v>
      </c>
      <c r="AU441" s="777">
        <f>AU440+AU425+AU438</f>
        <v>185601.5</v>
      </c>
      <c r="AV441" s="777">
        <f>AV440+AV425+AV438</f>
        <v>185601.5</v>
      </c>
      <c r="AW441" s="777">
        <f>AW440+AW425+AW438</f>
        <v>185601.5</v>
      </c>
      <c r="AX441" s="777">
        <f>AX440+AX425+AX438</f>
        <v>185601.5</v>
      </c>
      <c r="AY441" s="777">
        <f>AY440+AY425+AY438</f>
        <v>185601.5</v>
      </c>
      <c r="AZ441" s="777">
        <f>AZ440+AZ425+AZ438</f>
        <v>185601.5</v>
      </c>
      <c r="BA441" s="777">
        <f>BA440+BA425+BA438</f>
        <v>185601.5</v>
      </c>
      <c r="BB441" s="777">
        <f>BB440+BB425+BB438</f>
        <v>185601.5</v>
      </c>
      <c r="BC441" s="777">
        <f>BC440+BC425+BC438</f>
        <v>185601.5</v>
      </c>
      <c r="BD441" s="768">
        <f>IF(AI441=0,0,(AT441-AI441)/AI441*100)</f>
        <v>1.98733044153367</v>
      </c>
      <c r="BE441" s="768">
        <f>IF(AT441=0,0,(AU441-AT441)/AT441*100)</f>
        <v>-13.5805745282529</v>
      </c>
      <c r="BF441" s="768">
        <f>IF(AU441=0,0,(AV441-AU441)/AU441*100)</f>
        <v>0</v>
      </c>
      <c r="BG441" s="768">
        <f>IF(AV441=0,0,(AW441-AV441)/AV441*100)</f>
        <v>0</v>
      </c>
      <c r="BH441" s="768">
        <f>IF(AW441=0,0,(AX441-AW441)/AW441*100)</f>
        <v>0</v>
      </c>
      <c r="BI441" s="768">
        <f>IF(AX441=0,0,(AY441-AX441)/AX441*100)</f>
        <v>0</v>
      </c>
      <c r="BJ441" s="768">
        <f>IF(AY441=0,0,(AZ441-AY441)/AY441*100)</f>
        <v>0</v>
      </c>
      <c r="BK441" s="768">
        <f>IF(AZ441=0,0,(BA441-AZ441)/AZ441*100)</f>
        <v>0</v>
      </c>
      <c r="BL441" s="768">
        <f>IF(BA441=0,0,(BB441-BA441)/BA441*100)</f>
        <v>0</v>
      </c>
      <c r="BM441" s="768">
        <f>IF(BB441=0,0,(BC441-BB441)/BB441*100)</f>
        <v>0</v>
      </c>
      <c r="BN441" s="6532" t="s">
        <v>2590</v>
      </c>
      <c r="BO441" s="6533"/>
      <c r="BP441" s="6533" t="s">
        <v>2591</v>
      </c>
      <c r="BQ441" s="706"/>
      <c r="BR441" s="706"/>
      <c r="BS441" s="1078" t="s">
        <v>2436</v>
      </c>
      <c r="BT441" s="1078"/>
      <c r="BU441" s="1078"/>
      <c r="BV441" s="713"/>
      <c r="BW441" s="713"/>
    </row>
    <row s="1656" customFormat="1" customHeight="1" ht="14.25" hidden="1">
      <c r="A442" s="1297"/>
      <c r="B442" s="447">
        <f>A316="двухставочный"</f>
        <v>0</v>
      </c>
      <c r="C442" s="1297"/>
      <c r="D442" s="103" cm="1" t="str">
        <f t="array" ref="D442:D442">D441</f>
        <v>10</v>
      </c>
      <c r="E442" s="709">
        <v>15</v>
      </c>
      <c r="F442" s="50" cm="1" t="str">
        <f t="array" ref="F442:F442">OFFSET(E442,-1,1)</f>
        <v>2</v>
      </c>
      <c r="G442" s="1297"/>
      <c r="H442" s="49"/>
      <c r="I442" s="375" t="s">
        <v>2115</v>
      </c>
      <c r="J442" s="1297"/>
      <c r="K442" s="375" t="s">
        <v>2115</v>
      </c>
      <c r="L442" s="988" t="s">
        <v>2104</v>
      </c>
      <c r="M442" s="103"/>
      <c r="N442" s="1297"/>
      <c r="O442" s="1297"/>
      <c r="P442" s="1297"/>
      <c r="Q442" s="1297"/>
      <c r="R442" s="1297"/>
      <c r="S442" s="1297"/>
      <c r="T442" s="468" cm="1" t="str">
        <f t="array" ref="T442:T442">T441</f>
        <v>true</v>
      </c>
      <c r="U442" s="1297"/>
      <c r="V442" s="1297"/>
      <c r="W442" s="1297"/>
      <c r="X442" s="1539"/>
      <c r="Y442" s="1297"/>
      <c r="Z442" s="1529"/>
      <c r="AA442" s="1297"/>
      <c r="AB442" s="296" t="str">
        <f>D442&amp;".1"</f>
        <v>10.1</v>
      </c>
      <c r="AC442" s="789" t="s">
        <v>2106</v>
      </c>
      <c r="AD442" s="296" t="s">
        <v>936</v>
      </c>
      <c r="AE442" s="1274"/>
      <c r="AF442" s="1274"/>
      <c r="AG442" s="1274"/>
      <c r="AH442" s="951">
        <f>AG442-AF442</f>
        <v>0</v>
      </c>
      <c r="AI442" s="1272"/>
      <c r="AJ442" s="1272"/>
      <c r="AK442" s="1272"/>
      <c r="AL442" s="1272"/>
      <c r="AM442" s="1272"/>
      <c r="AN442" s="1272"/>
      <c r="AO442" s="1272"/>
      <c r="AP442" s="1272"/>
      <c r="AQ442" s="1272"/>
      <c r="AR442" s="1272"/>
      <c r="AS442" s="1272"/>
      <c r="AT442" s="1272"/>
      <c r="AU442" s="1272"/>
      <c r="AV442" s="1272"/>
      <c r="AW442" s="1272"/>
      <c r="AX442" s="1272"/>
      <c r="AY442" s="1272"/>
      <c r="AZ442" s="1272"/>
      <c r="BA442" s="1272"/>
      <c r="BB442" s="1272"/>
      <c r="BC442" s="1272"/>
      <c r="BD442" s="950"/>
      <c r="BE442" s="950"/>
      <c r="BF442" s="950"/>
      <c r="BG442" s="950"/>
      <c r="BH442" s="950"/>
      <c r="BI442" s="950"/>
      <c r="BJ442" s="950"/>
      <c r="BK442" s="950"/>
      <c r="BL442" s="950"/>
      <c r="BM442" s="950"/>
      <c r="BN442" s="1275"/>
      <c r="BO442" s="1275"/>
      <c r="BP442" s="1275"/>
      <c r="BQ442" s="1297"/>
      <c r="BR442" s="1297"/>
      <c r="BS442" s="1070" t="s">
        <v>2107</v>
      </c>
      <c r="BT442" s="1072"/>
      <c r="BU442" s="1072"/>
      <c r="BV442" s="987"/>
      <c r="BW442" s="987"/>
    </row>
    <row s="1656" customFormat="1" customHeight="1" ht="14.25" hidden="1">
      <c r="A443" s="1297"/>
      <c r="B443" s="447">
        <f>A316="двухставочный"</f>
        <v>0</v>
      </c>
      <c r="C443" s="1297"/>
      <c r="D443" s="103" cm="1" t="str">
        <f t="array" ref="D443:D443">D442</f>
        <v>10</v>
      </c>
      <c r="E443" s="709">
        <v>15</v>
      </c>
      <c r="F443" s="50" cm="1" t="str">
        <f t="array" ref="F443:F443">OFFSET(E443,-1,1)</f>
        <v>2</v>
      </c>
      <c r="G443" s="1297"/>
      <c r="H443" s="49"/>
      <c r="I443" s="375" t="s">
        <v>2119</v>
      </c>
      <c r="J443" s="1297"/>
      <c r="K443" s="375" t="s">
        <v>2119</v>
      </c>
      <c r="L443" s="988" t="s">
        <v>2108</v>
      </c>
      <c r="M443" s="103"/>
      <c r="N443" s="1297"/>
      <c r="O443" s="1297"/>
      <c r="P443" s="1297"/>
      <c r="Q443" s="1297"/>
      <c r="R443" s="1297"/>
      <c r="S443" s="1297"/>
      <c r="T443" s="468" cm="1" t="str">
        <f t="array" ref="T443:T443">T442</f>
        <v>true</v>
      </c>
      <c r="U443" s="1297"/>
      <c r="V443" s="1297"/>
      <c r="W443" s="1297"/>
      <c r="X443" s="1539"/>
      <c r="Y443" s="1297"/>
      <c r="Z443" s="1529"/>
      <c r="AA443" s="1297"/>
      <c r="AB443" s="296" t="str">
        <f>D443&amp;".2"</f>
        <v>10.2</v>
      </c>
      <c r="AC443" s="789" t="s">
        <v>2110</v>
      </c>
      <c r="AD443" s="296" t="s">
        <v>936</v>
      </c>
      <c r="AE443" s="1274"/>
      <c r="AF443" s="1274"/>
      <c r="AG443" s="1274"/>
      <c r="AH443" s="951">
        <f>AG443-AF443</f>
        <v>0</v>
      </c>
      <c r="AI443" s="1272"/>
      <c r="AJ443" s="1272"/>
      <c r="AK443" s="1272"/>
      <c r="AL443" s="1272"/>
      <c r="AM443" s="1272"/>
      <c r="AN443" s="1272"/>
      <c r="AO443" s="1272"/>
      <c r="AP443" s="1272"/>
      <c r="AQ443" s="1272"/>
      <c r="AR443" s="1272"/>
      <c r="AS443" s="1272"/>
      <c r="AT443" s="1272"/>
      <c r="AU443" s="1272"/>
      <c r="AV443" s="1272"/>
      <c r="AW443" s="1272"/>
      <c r="AX443" s="1272"/>
      <c r="AY443" s="1272"/>
      <c r="AZ443" s="1272"/>
      <c r="BA443" s="1272"/>
      <c r="BB443" s="1272"/>
      <c r="BC443" s="1272"/>
      <c r="BD443" s="950"/>
      <c r="BE443" s="950"/>
      <c r="BF443" s="950"/>
      <c r="BG443" s="950"/>
      <c r="BH443" s="950"/>
      <c r="BI443" s="950"/>
      <c r="BJ443" s="950"/>
      <c r="BK443" s="950"/>
      <c r="BL443" s="950"/>
      <c r="BM443" s="950"/>
      <c r="BN443" s="1275"/>
      <c r="BO443" s="1275"/>
      <c r="BP443" s="1275"/>
      <c r="BQ443" s="1297"/>
      <c r="BR443" s="1297"/>
      <c r="BS443" s="1070" t="s">
        <v>2111</v>
      </c>
      <c r="BT443" s="1072"/>
      <c r="BU443" s="1072"/>
      <c r="BV443" s="987"/>
      <c r="BW443" s="987"/>
    </row>
    <row s="6650" customFormat="1" customHeight="1" ht="33.802083333333336">
      <c r="A444" s="706"/>
      <c r="B444" s="437"/>
      <c r="C444" s="706"/>
      <c r="D444" s="105">
        <f>D443+1</f>
        <v>11</v>
      </c>
      <c r="E444" s="713">
        <v>21</v>
      </c>
      <c r="F444" s="50" cm="1" t="str">
        <f t="array" ref="F444:F444">OFFSET(E444,-1,1)</f>
        <v>2</v>
      </c>
      <c r="G444" s="154" t="s">
        <v>1871</v>
      </c>
      <c r="H444" s="154"/>
      <c r="I444" s="154" t="s">
        <v>2139</v>
      </c>
      <c r="J444" s="706"/>
      <c r="K444" s="154" t="s">
        <v>2139</v>
      </c>
      <c r="L444" s="993" t="s">
        <v>2112</v>
      </c>
      <c r="M444" s="105"/>
      <c r="N444" s="706"/>
      <c r="O444" s="706"/>
      <c r="P444" s="706"/>
      <c r="Q444" s="706"/>
      <c r="R444" s="706"/>
      <c r="S444" s="706"/>
      <c r="T444" s="468" cm="1" t="str">
        <f t="array" ref="T444:T444">T443</f>
        <v>true</v>
      </c>
      <c r="U444" s="706"/>
      <c r="V444" s="706"/>
      <c r="W444" s="706"/>
      <c r="X444" s="1539"/>
      <c r="Y444" s="706"/>
      <c r="Z444" s="1529"/>
      <c r="AA444" s="706"/>
      <c r="AB444" s="207" cm="1" t="str">
        <f t="array" ref="AB444:AB444">D444</f>
        <v>11</v>
      </c>
      <c r="AC444" s="208" t="s">
        <v>2113</v>
      </c>
      <c r="AD444" s="207" t="s">
        <v>657</v>
      </c>
      <c r="AE444" s="792">
        <f>_xlfn.SUMIFS(Баланс!AE$26:AE$391,Баланс!$F$26:$F$391,$F444,Баланс!$G$26:$G$391,"ПО")</f>
        <v>4990.56819</v>
      </c>
      <c r="AF444" s="792">
        <f>_xlfn.SUMIFS(Баланс!AF$26:AF$391,Баланс!$F$26:$F$391,$F444,Баланс!$G$26:$G$391,"ПО")</f>
        <v>4761.725</v>
      </c>
      <c r="AG444" s="792">
        <f>_xlfn.SUMIFS(Баланс!AG$26:AG$391,Баланс!$F$26:$F$391,$F444,Баланс!$G$26:$G$391,"ПО")</f>
        <v>4761.725</v>
      </c>
      <c r="AH444" s="793">
        <f>AG444-AF444</f>
        <v>0</v>
      </c>
      <c r="AI444" s="793">
        <f>_xlfn.SUMIFS(Баланс!AH$26:AH$391,Баланс!$F$26:$F$391,$F444,Баланс!$G$26:$G$391,"ПО")</f>
        <v>4897.85523</v>
      </c>
      <c r="AJ444" s="793">
        <f>_xlfn.SUMIFS(Баланс!AI$26:AI$391,Баланс!$F$26:$F$391,$F444,Баланс!$G$26:$G$391,"ПО")</f>
        <v>4766.327</v>
      </c>
      <c r="AK444" s="793">
        <f>_xlfn.SUMIFS(Баланс!AJ$26:AJ$391,Баланс!$F$26:$F$391,$F444,Баланс!$G$26:$G$391,"ПО")</f>
        <v>0</v>
      </c>
      <c r="AL444" s="793">
        <f>_xlfn.SUMIFS(Баланс!AK$26:AK$391,Баланс!$F$26:$F$391,$F444,Баланс!$G$26:$G$391,"ПО")</f>
        <v>0</v>
      </c>
      <c r="AM444" s="793">
        <f>_xlfn.SUMIFS(Баланс!AL$26:AL$391,Баланс!$F$26:$F$391,$F444,Баланс!$G$26:$G$391,"ПО")</f>
        <v>0</v>
      </c>
      <c r="AN444" s="793">
        <f>_xlfn.SUMIFS(Баланс!AM$26:AM$391,Баланс!$F$26:$F$391,$F444,Баланс!$G$26:$G$391,"ПО")</f>
        <v>0</v>
      </c>
      <c r="AO444" s="793">
        <f>_xlfn.SUMIFS(Баланс!AN$26:AN$391,Баланс!$F$26:$F$391,$F444,Баланс!$G$26:$G$391,"ПО")</f>
        <v>0</v>
      </c>
      <c r="AP444" s="793">
        <f>_xlfn.SUMIFS(Баланс!AO$26:AO$391,Баланс!$F$26:$F$391,$F444,Баланс!$G$26:$G$391,"ПО")</f>
        <v>0</v>
      </c>
      <c r="AQ444" s="793">
        <f>_xlfn.SUMIFS(Баланс!AP$26:AP$391,Баланс!$F$26:$F$391,$F444,Баланс!$G$26:$G$391,"ПО")</f>
        <v>0</v>
      </c>
      <c r="AR444" s="793">
        <f>_xlfn.SUMIFS(Баланс!AQ$26:AQ$391,Баланс!$F$26:$F$391,$F444,Баланс!$G$26:$G$391,"ПО")</f>
        <v>0</v>
      </c>
      <c r="AS444" s="793">
        <f>_xlfn.SUMIFS(Баланс!AR$26:AR$391,Баланс!$F$26:$F$391,$F444,Баланс!$G$26:$G$391,"ПО")</f>
        <v>0</v>
      </c>
      <c r="AT444" s="793">
        <f>_xlfn.SUMIFS(Баланс!AS$26:AS$391,Баланс!$F$26:$F$391,$F444,Баланс!$G$26:$G$391,"ПО")</f>
        <v>4589.80103</v>
      </c>
      <c r="AU444" s="793">
        <f>_xlfn.SUMIFS(Баланс!AT$26:AT$391,Баланс!$F$26:$F$391,$F444,Баланс!$G$26:$G$391,"ПО")</f>
        <v>0</v>
      </c>
      <c r="AV444" s="793">
        <f>_xlfn.SUMIFS(Баланс!AU$26:AU$391,Баланс!$F$26:$F$391,$F444,Баланс!$G$26:$G$391,"ПО")</f>
        <v>0</v>
      </c>
      <c r="AW444" s="793">
        <f>_xlfn.SUMIFS(Баланс!AV$26:AV$391,Баланс!$F$26:$F$391,$F444,Баланс!$G$26:$G$391,"ПО")</f>
        <v>0</v>
      </c>
      <c r="AX444" s="793">
        <f>_xlfn.SUMIFS(Баланс!AW$26:AW$391,Баланс!$F$26:$F$391,$F444,Баланс!$G$26:$G$391,"ПО")</f>
        <v>0</v>
      </c>
      <c r="AY444" s="793">
        <f>_xlfn.SUMIFS(Баланс!AX$26:AX$391,Баланс!$F$26:$F$391,$F444,Баланс!$G$26:$G$391,"ПО")</f>
        <v>0</v>
      </c>
      <c r="AZ444" s="793">
        <f>_xlfn.SUMIFS(Баланс!AY$26:AY$391,Баланс!$F$26:$F$391,$F444,Баланс!$G$26:$G$391,"ПО")</f>
        <v>0</v>
      </c>
      <c r="BA444" s="793">
        <f>_xlfn.SUMIFS(Баланс!AZ$26:AZ$391,Баланс!$F$26:$F$391,$F444,Баланс!$G$26:$G$391,"ПО")</f>
        <v>0</v>
      </c>
      <c r="BB444" s="793">
        <f>_xlfn.SUMIFS(Баланс!BA$26:BA$391,Баланс!$F$26:$F$391,$F444,Баланс!$G$26:$G$391,"ПО")</f>
        <v>0</v>
      </c>
      <c r="BC444" s="793">
        <f>_xlfn.SUMIFS(Баланс!BB$26:BB$391,Баланс!$F$26:$F$391,$F444,Баланс!$G$26:$G$391,"ПО")</f>
        <v>0</v>
      </c>
      <c r="BD444" s="771"/>
      <c r="BE444" s="771"/>
      <c r="BF444" s="771"/>
      <c r="BG444" s="771"/>
      <c r="BH444" s="771"/>
      <c r="BI444" s="771"/>
      <c r="BJ444" s="771"/>
      <c r="BK444" s="771"/>
      <c r="BL444" s="771"/>
      <c r="BM444" s="771"/>
      <c r="BN444" s="6533"/>
      <c r="BO444" s="6533"/>
      <c r="BP444" s="6533"/>
      <c r="BQ444" s="706"/>
      <c r="BR444" s="706"/>
      <c r="BS444" s="1071" t="s">
        <v>2114</v>
      </c>
      <c r="BT444" s="1078"/>
      <c r="BU444" s="1078"/>
      <c r="BV444" s="713"/>
      <c r="BW444" s="713"/>
    </row>
    <row s="1656" customFormat="1" customHeight="1" ht="48.802083333333336">
      <c r="A445" s="1297"/>
      <c r="B445" s="986"/>
      <c r="C445" s="1297"/>
      <c r="D445" s="103" cm="1" t="str">
        <f t="array" ref="D445:D445">D444</f>
        <v>11</v>
      </c>
      <c r="E445" s="709">
        <v>15</v>
      </c>
      <c r="F445" s="50" cm="1" t="str">
        <f t="array" ref="F445:F445">OFFSET(E445,-1,1)</f>
        <v>2</v>
      </c>
      <c r="G445" s="154" t="s">
        <v>1898</v>
      </c>
      <c r="H445" s="1297"/>
      <c r="I445" s="154" t="s">
        <v>2437</v>
      </c>
      <c r="J445" s="1297"/>
      <c r="K445" s="154" t="s">
        <v>2437</v>
      </c>
      <c r="L445" s="988" t="s">
        <v>2115</v>
      </c>
      <c r="M445" s="103"/>
      <c r="N445" s="1297"/>
      <c r="O445" s="1297"/>
      <c r="P445" s="1297"/>
      <c r="Q445" s="1297"/>
      <c r="R445" s="1297"/>
      <c r="S445" s="1297"/>
      <c r="T445" s="468" cm="1" t="str">
        <f t="array" ref="T445:T445">T444</f>
        <v>true</v>
      </c>
      <c r="U445" s="1297"/>
      <c r="V445" s="1297"/>
      <c r="W445" s="1297"/>
      <c r="X445" s="1539"/>
      <c r="Y445" s="1297"/>
      <c r="Z445" s="1529"/>
      <c r="AA445" s="1297"/>
      <c r="AB445" s="296" t="str">
        <f>D445&amp;".1"</f>
        <v>11.1</v>
      </c>
      <c r="AC445" s="1120" t="s">
        <v>2117</v>
      </c>
      <c r="AD445" s="296" t="s">
        <v>657</v>
      </c>
      <c r="AE445" s="6591">
        <v>2495.284095</v>
      </c>
      <c r="AF445" s="6591">
        <f>IF(AF$24="2026 год",AF444/12*9,AF444/2)</f>
        <v>2380.8625</v>
      </c>
      <c r="AG445" s="6591">
        <f>IF(AG$24="2026 год",AG444/12*9,AG444/2)</f>
        <v>2380.8625</v>
      </c>
      <c r="AH445" s="949">
        <f>AG445-AF445</f>
        <v>0</v>
      </c>
      <c r="AI445" s="6356">
        <v>2448.927615</v>
      </c>
      <c r="AJ445" s="6591">
        <f>IF(AJ$24="2026 год",AJ444/12*9,AJ444/2)</f>
        <v>3574.74525</v>
      </c>
      <c r="AK445" s="1279">
        <f>IF(AK$24="2026 год",AK444/12*9,AK444/2)</f>
        <v>0</v>
      </c>
      <c r="AL445" s="1280">
        <f>IF(AL$24="2026 год",AL444/12*9,AL444/2)</f>
        <v>0</v>
      </c>
      <c r="AM445" s="1280">
        <f>IF(AM$24="2026 год",AM444/12*9,AM444/2)</f>
        <v>0</v>
      </c>
      <c r="AN445" s="1280">
        <f>IF(AN$24="2026 год",AN444/12*9,AN444/2)</f>
        <v>0</v>
      </c>
      <c r="AO445" s="1280">
        <f>IF(AO$24="2026 год",AO444/12*9,AO444/2)</f>
        <v>0</v>
      </c>
      <c r="AP445" s="1280">
        <f>IF(AP$24="2026 год",AP444/12*9,AP444/2)</f>
        <v>0</v>
      </c>
      <c r="AQ445" s="1280">
        <f>IF(AQ$24="2026 год",AQ444/12*9,AQ444/2)</f>
        <v>0</v>
      </c>
      <c r="AR445" s="1280">
        <f>IF(AR$24="2026 год",AR444/12*9,AR444/2)</f>
        <v>0</v>
      </c>
      <c r="AS445" s="1280">
        <f>IF(AS$24="2026 год",AS444/12*9,AS444/2)</f>
        <v>0</v>
      </c>
      <c r="AT445" s="6356">
        <f>IF(AT$24="2026 год",AT444/12*9,AT444/2)</f>
        <v>3442.3507725</v>
      </c>
      <c r="AU445" s="1280">
        <f>IF(AU$24="2026 год",AU444/12*9,AU444/2)</f>
        <v>0</v>
      </c>
      <c r="AV445" s="1280">
        <f>IF(AV$24="2026 год",AV444/12*9,AV444/2)</f>
        <v>0</v>
      </c>
      <c r="AW445" s="1280">
        <f>IF(AW$24="2026 год",AW444/12*9,AW444/2)</f>
        <v>0</v>
      </c>
      <c r="AX445" s="1280">
        <f>IF(AX$24="2026 год",AX444/12*9,AX444/2)</f>
        <v>0</v>
      </c>
      <c r="AY445" s="1280">
        <f>IF(AY$24="2026 год",AY444/12*9,AY444/2)</f>
        <v>0</v>
      </c>
      <c r="AZ445" s="1280">
        <f>IF(AZ$24="2026 год",AZ444/12*9,AZ444/2)</f>
        <v>0</v>
      </c>
      <c r="BA445" s="1280">
        <f>IF(BA$24="2026 год",BA444/12*9,BA444/2)</f>
        <v>0</v>
      </c>
      <c r="BB445" s="1280">
        <f>IF(BB$24="2026 год",BB444/12*9,BB444/2)</f>
        <v>0</v>
      </c>
      <c r="BC445" s="1280">
        <f>IF(BC$24="2026 год",BC444/12*9,BC444/2)</f>
        <v>0</v>
      </c>
      <c r="BD445" s="950"/>
      <c r="BE445" s="950"/>
      <c r="BF445" s="950"/>
      <c r="BG445" s="950"/>
      <c r="BH445" s="950"/>
      <c r="BI445" s="950"/>
      <c r="BJ445" s="950"/>
      <c r="BK445" s="950"/>
      <c r="BL445" s="950"/>
      <c r="BM445" s="950"/>
      <c r="BN445" s="6533"/>
      <c r="BO445" s="6533"/>
      <c r="BP445" s="6533"/>
      <c r="BQ445" s="1297"/>
      <c r="BR445" s="1297"/>
      <c r="BS445" s="1070" t="s">
        <v>2118</v>
      </c>
      <c r="BT445" s="1072"/>
      <c r="BU445" s="1072"/>
      <c r="BV445" s="987"/>
      <c r="BW445" s="987"/>
    </row>
    <row s="1656" customFormat="1" customHeight="1" ht="85.46875">
      <c r="A446" s="1297"/>
      <c r="B446" s="986"/>
      <c r="C446" s="1297"/>
      <c r="D446" s="103" cm="1" t="str">
        <f t="array" ref="D446:D446">D445</f>
        <v>11</v>
      </c>
      <c r="E446" s="709">
        <v>15</v>
      </c>
      <c r="F446" s="50" cm="1" t="str">
        <f t="array" ref="F446:F446">OFFSET(E446,-1,1)</f>
        <v>2</v>
      </c>
      <c r="G446" s="154" t="s">
        <v>1859</v>
      </c>
      <c r="H446" s="1297"/>
      <c r="I446" s="154" t="s">
        <v>2438</v>
      </c>
      <c r="J446" s="1297"/>
      <c r="K446" s="154" t="s">
        <v>2438</v>
      </c>
      <c r="L446" s="988" t="s">
        <v>2119</v>
      </c>
      <c r="M446" s="103"/>
      <c r="N446" s="1297"/>
      <c r="O446" s="1297"/>
      <c r="P446" s="1297"/>
      <c r="Q446" s="1297"/>
      <c r="R446" s="1297"/>
      <c r="S446" s="1297"/>
      <c r="T446" s="468" cm="1" t="str">
        <f t="array" ref="T446:T446">T445</f>
        <v>true</v>
      </c>
      <c r="U446" s="1297"/>
      <c r="V446" s="1297"/>
      <c r="W446" s="1297"/>
      <c r="X446" s="1539"/>
      <c r="Y446" s="1297"/>
      <c r="Z446" s="1529"/>
      <c r="AA446" s="1297"/>
      <c r="AB446" s="296" t="str">
        <f>D446&amp;".2"</f>
        <v>11.2</v>
      </c>
      <c r="AC446" s="1120" t="s">
        <v>2121</v>
      </c>
      <c r="AD446" s="296" t="s">
        <v>1862</v>
      </c>
      <c r="AE446" s="6531">
        <v>37.01</v>
      </c>
      <c r="AF446" s="6531" cm="1" t="str">
        <f t="array" ref="AF446:AF446">AF450</f>
        <v>43.0511426426348</v>
      </c>
      <c r="AG446" s="6531" cm="1" t="str">
        <f t="array" ref="AG446:AG446">AG450</f>
        <v>43.239448869998</v>
      </c>
      <c r="AH446" s="951">
        <f>AG446-AF446</f>
        <v>0.188306227363199</v>
      </c>
      <c r="AI446" s="6360">
        <v>40.56</v>
      </c>
      <c r="AJ446" s="6360" cm="1" t="str">
        <f t="array" ref="AJ446:AJ446">AJ450</f>
        <v>68.7509459590162</v>
      </c>
      <c r="AK446" s="1281"/>
      <c r="AL446" s="1281"/>
      <c r="AM446" s="1281"/>
      <c r="AN446" s="1281"/>
      <c r="AO446" s="1281"/>
      <c r="AP446" s="1281"/>
      <c r="AQ446" s="1281"/>
      <c r="AR446" s="1281"/>
      <c r="AS446" s="1281"/>
      <c r="AT446" s="6360">
        <v>45.43</v>
      </c>
      <c r="AU446" s="1281" cm="1" t="str">
        <f t="array" ref="AU446:AU446">AT448</f>
        <v>50.8799995500676</v>
      </c>
      <c r="AV446" s="1281" cm="1" t="str">
        <f t="array" ref="AV446:AV446">AU448</f>
        <v>0</v>
      </c>
      <c r="AW446" s="1281" cm="1" t="str">
        <f t="array" ref="AW446:AW446">AV448</f>
        <v>0</v>
      </c>
      <c r="AX446" s="1281" cm="1" t="str">
        <f t="array" ref="AX446:AX446">AW448</f>
        <v>0</v>
      </c>
      <c r="AY446" s="1281" cm="1" t="str">
        <f t="array" ref="AY446:AY446">AX448</f>
        <v>0</v>
      </c>
      <c r="AZ446" s="1281" cm="1" t="str">
        <f t="array" ref="AZ446:AZ446">AY448</f>
        <v>0</v>
      </c>
      <c r="BA446" s="1281" cm="1" t="str">
        <f t="array" ref="BA446:BA446">AZ448</f>
        <v>0</v>
      </c>
      <c r="BB446" s="1281" cm="1" t="str">
        <f t="array" ref="BB446:BB446">BA448</f>
        <v>0</v>
      </c>
      <c r="BC446" s="1281" cm="1" t="str">
        <f t="array" ref="BC446:BC446">BB448</f>
        <v>0</v>
      </c>
      <c r="BD446" s="950"/>
      <c r="BE446" s="950"/>
      <c r="BF446" s="950"/>
      <c r="BG446" s="950"/>
      <c r="BH446" s="950"/>
      <c r="BI446" s="950"/>
      <c r="BJ446" s="950"/>
      <c r="BK446" s="950"/>
      <c r="BL446" s="950"/>
      <c r="BM446" s="950"/>
      <c r="BN446" s="6532" t="s">
        <v>2547</v>
      </c>
      <c r="BO446" s="6533" t="s">
        <v>2592</v>
      </c>
      <c r="BP446" s="6533" t="s">
        <v>2593</v>
      </c>
      <c r="BQ446" s="1297"/>
      <c r="BR446" s="1297"/>
      <c r="BS446" s="1070" t="s">
        <v>2122</v>
      </c>
      <c r="BT446" s="1072"/>
      <c r="BU446" s="1072"/>
      <c r="BV446" s="987"/>
      <c r="BW446" s="987"/>
    </row>
    <row s="1656" customFormat="1" customHeight="1" ht="37.135416666666664">
      <c r="A447" s="1297"/>
      <c r="B447" s="986"/>
      <c r="C447" s="1297"/>
      <c r="D447" s="103" cm="1" t="str">
        <f t="array" ref="D447:D447">D446</f>
        <v>11</v>
      </c>
      <c r="E447" s="709">
        <v>15</v>
      </c>
      <c r="F447" s="50" cm="1" t="str">
        <f t="array" ref="F447:F447">OFFSET(E447,-1,1)</f>
        <v>2</v>
      </c>
      <c r="G447" s="154" t="s">
        <v>1911</v>
      </c>
      <c r="H447" s="1297"/>
      <c r="I447" s="154" t="s">
        <v>2439</v>
      </c>
      <c r="J447" s="1297"/>
      <c r="K447" s="154" t="s">
        <v>2439</v>
      </c>
      <c r="L447" s="988" t="s">
        <v>2123</v>
      </c>
      <c r="M447" s="103"/>
      <c r="N447" s="1297"/>
      <c r="O447" s="1297"/>
      <c r="P447" s="1297"/>
      <c r="Q447" s="1297"/>
      <c r="R447" s="1297"/>
      <c r="S447" s="1297"/>
      <c r="T447" s="468" cm="1" t="str">
        <f t="array" ref="T447:T447">T446</f>
        <v>true</v>
      </c>
      <c r="U447" s="1297"/>
      <c r="V447" s="1297"/>
      <c r="W447" s="1297"/>
      <c r="X447" s="1539"/>
      <c r="Y447" s="1297"/>
      <c r="Z447" s="1529"/>
      <c r="AA447" s="1297"/>
      <c r="AB447" s="296" t="str">
        <f>D447&amp;".3"</f>
        <v>11.3</v>
      </c>
      <c r="AC447" s="1120" t="s">
        <v>2440</v>
      </c>
      <c r="AD447" s="296" t="s">
        <v>657</v>
      </c>
      <c r="AE447" s="954">
        <f>AE444-AE445</f>
        <v>2495.284095</v>
      </c>
      <c r="AF447" s="954">
        <f>AF444-AF445</f>
        <v>2380.8625</v>
      </c>
      <c r="AG447" s="954">
        <f>AG444-AG445</f>
        <v>2380.8625</v>
      </c>
      <c r="AH447" s="949">
        <f>AG447-AF447</f>
        <v>0</v>
      </c>
      <c r="AI447" s="832">
        <f>AI444-AI445</f>
        <v>2448.927615</v>
      </c>
      <c r="AJ447" s="832">
        <f>AJ444-AJ445</f>
        <v>1191.58175</v>
      </c>
      <c r="AK447" s="832">
        <f>AK444-AK445</f>
        <v>0</v>
      </c>
      <c r="AL447" s="832">
        <f>AL444-AL445</f>
        <v>0</v>
      </c>
      <c r="AM447" s="832">
        <f>AM444-AM445</f>
        <v>0</v>
      </c>
      <c r="AN447" s="832">
        <f>AN444-AN445</f>
        <v>0</v>
      </c>
      <c r="AO447" s="832">
        <f>AO444-AO445</f>
        <v>0</v>
      </c>
      <c r="AP447" s="832">
        <f>AP444-AP445</f>
        <v>0</v>
      </c>
      <c r="AQ447" s="832">
        <f>AQ444-AQ445</f>
        <v>0</v>
      </c>
      <c r="AR447" s="832">
        <f>AR444-AR445</f>
        <v>0</v>
      </c>
      <c r="AS447" s="832">
        <f>AS444-AS445</f>
        <v>0</v>
      </c>
      <c r="AT447" s="832">
        <f>AT444-AT445</f>
        <v>1147.4502575</v>
      </c>
      <c r="AU447" s="832">
        <f>AU444-AU445</f>
        <v>0</v>
      </c>
      <c r="AV447" s="832">
        <f>AV444-AV445</f>
        <v>0</v>
      </c>
      <c r="AW447" s="832">
        <f>AW444-AW445</f>
        <v>0</v>
      </c>
      <c r="AX447" s="832">
        <f>AX444-AX445</f>
        <v>0</v>
      </c>
      <c r="AY447" s="832">
        <f>AY444-AY445</f>
        <v>0</v>
      </c>
      <c r="AZ447" s="832">
        <f>AZ444-AZ445</f>
        <v>0</v>
      </c>
      <c r="BA447" s="832">
        <f>BA444-BA445</f>
        <v>0</v>
      </c>
      <c r="BB447" s="832">
        <f>BB444-BB445</f>
        <v>0</v>
      </c>
      <c r="BC447" s="832">
        <f>BC444-BC445</f>
        <v>0</v>
      </c>
      <c r="BD447" s="950"/>
      <c r="BE447" s="950"/>
      <c r="BF447" s="950"/>
      <c r="BG447" s="950"/>
      <c r="BH447" s="950"/>
      <c r="BI447" s="950"/>
      <c r="BJ447" s="950"/>
      <c r="BK447" s="950"/>
      <c r="BL447" s="950"/>
      <c r="BM447" s="950"/>
      <c r="BN447" s="6533"/>
      <c r="BO447" s="6533"/>
      <c r="BP447" s="6533"/>
      <c r="BQ447" s="1297"/>
      <c r="BR447" s="1297"/>
      <c r="BS447" s="1070" t="s">
        <v>2126</v>
      </c>
      <c r="BT447" s="1072"/>
      <c r="BU447" s="1072"/>
      <c r="BV447" s="987"/>
      <c r="BW447" s="987"/>
    </row>
    <row s="1656" customFormat="1" customHeight="1" ht="26.302083333333332">
      <c r="A448" s="1297"/>
      <c r="B448" s="986"/>
      <c r="C448" s="1297"/>
      <c r="D448" s="103" cm="1" t="str">
        <f t="array" ref="D448:D448">D447</f>
        <v>11</v>
      </c>
      <c r="E448" s="709">
        <v>15</v>
      </c>
      <c r="F448" s="50" cm="1" t="str">
        <f t="array" ref="F448:F448">OFFSET(E448,-1,1)</f>
        <v>2</v>
      </c>
      <c r="G448" s="154" t="s">
        <v>1864</v>
      </c>
      <c r="H448" s="1297"/>
      <c r="I448" s="154" t="s">
        <v>2441</v>
      </c>
      <c r="J448" s="1297"/>
      <c r="K448" s="154" t="s">
        <v>2441</v>
      </c>
      <c r="L448" s="988" t="s">
        <v>2127</v>
      </c>
      <c r="M448" s="103"/>
      <c r="N448" s="1297"/>
      <c r="O448" s="1297"/>
      <c r="P448" s="1297"/>
      <c r="Q448" s="1297"/>
      <c r="R448" s="1297"/>
      <c r="S448" s="1297"/>
      <c r="T448" s="468" cm="1" t="str">
        <f t="array" ref="T448:T448">T447</f>
        <v>true</v>
      </c>
      <c r="U448" s="1297"/>
      <c r="V448" s="1297"/>
      <c r="W448" s="1297"/>
      <c r="X448" s="1539"/>
      <c r="Y448" s="1297"/>
      <c r="Z448" s="1529"/>
      <c r="AA448" s="1297"/>
      <c r="AB448" s="296" t="str">
        <f>D448&amp;".4"</f>
        <v>11.4</v>
      </c>
      <c r="AC448" s="1120" t="s">
        <v>2129</v>
      </c>
      <c r="AD448" s="296" t="s">
        <v>1862</v>
      </c>
      <c r="AE448" s="6531">
        <v>45.61</v>
      </c>
      <c r="AF448" s="6531">
        <f>IF(AF447=0,0,(AF441-AF445*AF446)/AF447)</f>
        <v>43.0511426426348</v>
      </c>
      <c r="AG448" s="6531">
        <f>IF(AG447=0,0,(AG441-AG445*AG446)/AG447)</f>
        <v>43.2394488699977</v>
      </c>
      <c r="AH448" s="951">
        <f>AG448-AF448</f>
        <v>0.188306227362901</v>
      </c>
      <c r="AI448" s="6360">
        <v>45.4299971278</v>
      </c>
      <c r="AJ448" s="6360">
        <f>IF(AJ447=0,0,(AJ441-AJ445*AJ446)/AJ447)</f>
        <v>68.7509459590162</v>
      </c>
      <c r="AK448" s="1281">
        <f>IF(AK447=0,0,(AK441-AK445*AK446)/AK447)</f>
        <v>0</v>
      </c>
      <c r="AL448" s="1281">
        <f>IF(AL447=0,0,(AL441-AL445*AL446)/AL447)</f>
        <v>0</v>
      </c>
      <c r="AM448" s="1281">
        <f>IF(AM447=0,0,(AM441-AM445*AM446)/AM447)</f>
        <v>0</v>
      </c>
      <c r="AN448" s="1281">
        <f>IF(AN447=0,0,(AN441-AN445*AN446)/AN447)</f>
        <v>0</v>
      </c>
      <c r="AO448" s="1281">
        <f>IF(AO447=0,0,(AO441-AO445*AO446)/AO447)</f>
        <v>0</v>
      </c>
      <c r="AP448" s="1281">
        <f>IF(AP447=0,0,(AP441-AP445*AP446)/AP447)</f>
        <v>0</v>
      </c>
      <c r="AQ448" s="1281">
        <f>IF(AQ447=0,0,(AQ441-AQ445*AQ446)/AQ447)</f>
        <v>0</v>
      </c>
      <c r="AR448" s="1281">
        <f>IF(AR447=0,0,(AR441-AR445*AR446)/AR447)</f>
        <v>0</v>
      </c>
      <c r="AS448" s="1281">
        <f>IF(AS447=0,0,(AS441-AS445*AS446)/AS447)</f>
        <v>0</v>
      </c>
      <c r="AT448" s="6360">
        <f>IF(AT447=0,0,(AT441-AT445*AT446)/AT447)</f>
        <v>50.8799995500676</v>
      </c>
      <c r="AU448" s="1281">
        <f>IF(AU447=0,0,(AU441-AU445*AU446)/AU447)</f>
        <v>0</v>
      </c>
      <c r="AV448" s="1281">
        <f>IF(AV447=0,0,(AV441-AV445*AV446)/AV447)</f>
        <v>0</v>
      </c>
      <c r="AW448" s="1281">
        <f>IF(AW447=0,0,(AW441-AW445*AW446)/AW447)</f>
        <v>0</v>
      </c>
      <c r="AX448" s="1281">
        <f>IF(AX447=0,0,(AX441-AX445*AX446)/AX447)</f>
        <v>0</v>
      </c>
      <c r="AY448" s="1281">
        <f>IF(AY447=0,0,(AY441-AY445*AY446)/AY447)</f>
        <v>0</v>
      </c>
      <c r="AZ448" s="1281">
        <f>IF(AZ447=0,0,(AZ441-AZ445*AZ446)/AZ447)</f>
        <v>0</v>
      </c>
      <c r="BA448" s="1281">
        <f>IF(BA447=0,0,(BA441-BA445*BA446)/BA447)</f>
        <v>0</v>
      </c>
      <c r="BB448" s="1281">
        <f>IF(BB447=0,0,(BB441-BB445*BB446)/BB447)</f>
        <v>0</v>
      </c>
      <c r="BC448" s="1281">
        <f>IF(BC447=0,0,(BC441-BC445*BC446)/BC447)</f>
        <v>0</v>
      </c>
      <c r="BD448" s="950"/>
      <c r="BE448" s="950"/>
      <c r="BF448" s="950"/>
      <c r="BG448" s="950"/>
      <c r="BH448" s="950"/>
      <c r="BI448" s="950"/>
      <c r="BJ448" s="950"/>
      <c r="BK448" s="950"/>
      <c r="BL448" s="950"/>
      <c r="BM448" s="950"/>
      <c r="BN448" s="6533"/>
      <c r="BO448" s="6533"/>
      <c r="BP448" s="6533"/>
      <c r="BQ448" s="1297"/>
      <c r="BR448" s="1297"/>
      <c r="BS448" s="1070" t="s">
        <v>2130</v>
      </c>
      <c r="BT448" s="1072"/>
      <c r="BU448" s="1072"/>
      <c r="BV448" s="987"/>
      <c r="BW448" s="987"/>
    </row>
    <row s="1656" customFormat="1" customHeight="1" ht="20.468749999999996">
      <c r="A449" s="1297"/>
      <c r="B449" s="986"/>
      <c r="C449" s="1297"/>
      <c r="D449" s="103" cm="1" t="str">
        <f t="array" ref="D449:D449">D448</f>
        <v>11</v>
      </c>
      <c r="E449" s="709">
        <v>15</v>
      </c>
      <c r="F449" s="50" cm="1" t="str">
        <f t="array" ref="F449:F449">OFFSET(E449,-1,1)</f>
        <v>2</v>
      </c>
      <c r="G449" s="1297"/>
      <c r="H449" s="1297"/>
      <c r="I449" s="154" t="s">
        <v>2442</v>
      </c>
      <c r="J449" s="1297"/>
      <c r="K449" s="154" t="s">
        <v>2442</v>
      </c>
      <c r="L449" s="988" t="s">
        <v>2131</v>
      </c>
      <c r="M449" s="103"/>
      <c r="N449" s="1297"/>
      <c r="O449" s="1297"/>
      <c r="P449" s="1297"/>
      <c r="Q449" s="1297"/>
      <c r="R449" s="1297"/>
      <c r="S449" s="1297"/>
      <c r="T449" s="468" cm="1" t="str">
        <f t="array" ref="T449:T449">T448</f>
        <v>true</v>
      </c>
      <c r="U449" s="1297"/>
      <c r="V449" s="1297"/>
      <c r="W449" s="1297"/>
      <c r="X449" s="1539"/>
      <c r="Y449" s="1297"/>
      <c r="Z449" s="1529"/>
      <c r="AA449" s="1297"/>
      <c r="AB449" s="296" t="str">
        <f>D449&amp;".5"</f>
        <v>11.5</v>
      </c>
      <c r="AC449" s="1120" t="s">
        <v>2133</v>
      </c>
      <c r="AD449" s="296" t="s">
        <v>561</v>
      </c>
      <c r="AE449" s="255">
        <f>IF(AE446=0,0,AE448/AE446*100)</f>
        <v>123.236962982978</v>
      </c>
      <c r="AF449" s="255">
        <f>IF(AF446=0,0,AF448/AF446*100)</f>
        <v>100</v>
      </c>
      <c r="AG449" s="255">
        <f>IF(AG446=0,0,AG448/AG446*100)</f>
        <v>99.9999999999993</v>
      </c>
      <c r="AH449" s="950"/>
      <c r="AI449" s="809">
        <f>IF(AI446=0,0,AI448/AI446*100)</f>
        <v>112.006896271696</v>
      </c>
      <c r="AJ449" s="809">
        <f>IF(AJ446=0,0,AJ448/AJ446*100)</f>
        <v>100</v>
      </c>
      <c r="AK449" s="809">
        <f>IF(AK446=0,0,AK448/AK446*100)</f>
        <v>0</v>
      </c>
      <c r="AL449" s="809">
        <f>IF(AL446=0,0,AL448/AL446*100)</f>
        <v>0</v>
      </c>
      <c r="AM449" s="809">
        <f>IF(AM446=0,0,AM448/AM446*100)</f>
        <v>0</v>
      </c>
      <c r="AN449" s="809">
        <f>IF(AN446=0,0,AN448/AN446*100)</f>
        <v>0</v>
      </c>
      <c r="AO449" s="809">
        <f>IF(AO446=0,0,AO448/AO446*100)</f>
        <v>0</v>
      </c>
      <c r="AP449" s="809">
        <f>IF(AP446=0,0,AP448/AP446*100)</f>
        <v>0</v>
      </c>
      <c r="AQ449" s="809">
        <f>IF(AQ446=0,0,AQ448/AQ446*100)</f>
        <v>0</v>
      </c>
      <c r="AR449" s="809">
        <f>IF(AR446=0,0,AR448/AR446*100)</f>
        <v>0</v>
      </c>
      <c r="AS449" s="809">
        <f>IF(AS446=0,0,AS448/AS446*100)</f>
        <v>0</v>
      </c>
      <c r="AT449" s="809">
        <f>IF(AT446=0,0,AT448/AT446*100)</f>
        <v>111.996477107787</v>
      </c>
      <c r="AU449" s="809">
        <f>IF(AU446=0,0,AU448/AU446*100)</f>
        <v>0</v>
      </c>
      <c r="AV449" s="809">
        <f>IF(AV446=0,0,AV448/AV446*100)</f>
        <v>0</v>
      </c>
      <c r="AW449" s="809">
        <f>IF(AW446=0,0,AW448/AW446*100)</f>
        <v>0</v>
      </c>
      <c r="AX449" s="809">
        <f>IF(AX446=0,0,AX448/AX446*100)</f>
        <v>0</v>
      </c>
      <c r="AY449" s="809">
        <f>IF(AY446=0,0,AY448/AY446*100)</f>
        <v>0</v>
      </c>
      <c r="AZ449" s="809">
        <f>IF(AZ446=0,0,AZ448/AZ446*100)</f>
        <v>0</v>
      </c>
      <c r="BA449" s="809">
        <f>IF(BA446=0,0,BA448/BA446*100)</f>
        <v>0</v>
      </c>
      <c r="BB449" s="809">
        <f>IF(BB446=0,0,BB448/BB446*100)</f>
        <v>0</v>
      </c>
      <c r="BC449" s="809">
        <f>IF(BC446=0,0,BC448/BC446*100)</f>
        <v>0</v>
      </c>
      <c r="BD449" s="950"/>
      <c r="BE449" s="950"/>
      <c r="BF449" s="950"/>
      <c r="BG449" s="950"/>
      <c r="BH449" s="950"/>
      <c r="BI449" s="950"/>
      <c r="BJ449" s="950"/>
      <c r="BK449" s="950"/>
      <c r="BL449" s="950"/>
      <c r="BM449" s="950"/>
      <c r="BN449" s="6533"/>
      <c r="BO449" s="6533"/>
      <c r="BP449" s="6533"/>
      <c r="BQ449" s="1297"/>
      <c r="BR449" s="1297"/>
      <c r="BS449" s="1070" t="s">
        <v>2134</v>
      </c>
      <c r="BT449" s="1072"/>
      <c r="BU449" s="1072"/>
      <c r="BV449" s="987"/>
      <c r="BW449" s="987"/>
    </row>
    <row s="1656" customFormat="1" customHeight="1" ht="23.802083333333332">
      <c r="A450" s="1297"/>
      <c r="B450" s="986"/>
      <c r="C450" s="1297"/>
      <c r="D450" s="103" cm="1" t="str">
        <f t="array" ref="D450:D450">D449</f>
        <v>11</v>
      </c>
      <c r="E450" s="709">
        <v>15</v>
      </c>
      <c r="F450" s="50" cm="1" t="str">
        <f t="array" ref="F450:F450">OFFSET(E450,-1,1)</f>
        <v>2</v>
      </c>
      <c r="G450" s="1297"/>
      <c r="H450" s="1297"/>
      <c r="I450" s="154" t="s">
        <v>2443</v>
      </c>
      <c r="J450" s="1297"/>
      <c r="K450" s="154" t="s">
        <v>2443</v>
      </c>
      <c r="L450" s="988" t="s">
        <v>2135</v>
      </c>
      <c r="M450" s="103"/>
      <c r="N450" s="1297"/>
      <c r="O450" s="1297"/>
      <c r="P450" s="1297"/>
      <c r="Q450" s="1297"/>
      <c r="R450" s="1297"/>
      <c r="S450" s="1297"/>
      <c r="T450" s="468" cm="1" t="str">
        <f t="array" ref="T450:T450">T449</f>
        <v>true</v>
      </c>
      <c r="U450" s="1297"/>
      <c r="V450" s="1297"/>
      <c r="W450" s="1297"/>
      <c r="X450" s="1539"/>
      <c r="Y450" s="1297"/>
      <c r="Z450" s="1529"/>
      <c r="AA450" s="1297"/>
      <c r="AB450" s="296" t="str">
        <f>D450&amp;".6"</f>
        <v>11.6</v>
      </c>
      <c r="AC450" s="1120" t="s">
        <v>2137</v>
      </c>
      <c r="AD450" s="296" t="s">
        <v>1862</v>
      </c>
      <c r="AE450" s="6531">
        <f>AE441/AE444</f>
        <v>41.3099996134909</v>
      </c>
      <c r="AF450" s="6531">
        <f>IF(AF444=0,0,AF441/AF444)</f>
        <v>43.0511426426348</v>
      </c>
      <c r="AG450" s="6531">
        <f>IF(AG444=0,0,AG441/AG444)</f>
        <v>43.239448869998</v>
      </c>
      <c r="AH450" s="951">
        <f>AG450-AF450</f>
        <v>0.188306227363199</v>
      </c>
      <c r="AI450" s="6360">
        <v>42.9949985639</v>
      </c>
      <c r="AJ450" s="6360">
        <f>IF(AJ444=0,0,AJ441/AJ444)</f>
        <v>68.7509459590162</v>
      </c>
      <c r="AK450" s="1281">
        <f>IF(AK444=0,0,AK441/AK444)</f>
        <v>0</v>
      </c>
      <c r="AL450" s="1281">
        <f>IF(AL444=0,0,AL441/AL444)</f>
        <v>0</v>
      </c>
      <c r="AM450" s="1281">
        <f>IF(AM444=0,0,AM441/AM444)</f>
        <v>0</v>
      </c>
      <c r="AN450" s="1281">
        <f>IF(AN444=0,0,AN441/AN444)</f>
        <v>0</v>
      </c>
      <c r="AO450" s="1281">
        <f>IF(AO444=0,0,AO441/AO444)</f>
        <v>0</v>
      </c>
      <c r="AP450" s="1281">
        <f>IF(AP444=0,0,AP441/AP444)</f>
        <v>0</v>
      </c>
      <c r="AQ450" s="1281">
        <f>IF(AQ444=0,0,AQ441/AQ444)</f>
        <v>0</v>
      </c>
      <c r="AR450" s="1281">
        <f>IF(AR444=0,0,AR441/AR444)</f>
        <v>0</v>
      </c>
      <c r="AS450" s="1281">
        <f>IF(AS444=0,0,AS441/AS444)</f>
        <v>0</v>
      </c>
      <c r="AT450" s="6360">
        <f>IF(AT444=0,0,AT441/AT444)</f>
        <v>46.7924998875169</v>
      </c>
      <c r="AU450" s="1281">
        <f>IF(AU444=0,0,AU441/AU444)</f>
        <v>0</v>
      </c>
      <c r="AV450" s="1281">
        <f>IF(AV444=0,0,AV441/AV444)</f>
        <v>0</v>
      </c>
      <c r="AW450" s="1281">
        <f>IF(AW444=0,0,AW441/AW444)</f>
        <v>0</v>
      </c>
      <c r="AX450" s="1281">
        <f>IF(AX444=0,0,AX441/AX444)</f>
        <v>0</v>
      </c>
      <c r="AY450" s="1281">
        <f>IF(AY444=0,0,AY441/AY444)</f>
        <v>0</v>
      </c>
      <c r="AZ450" s="1281">
        <f>IF(AZ444=0,0,AZ441/AZ444)</f>
        <v>0</v>
      </c>
      <c r="BA450" s="1281">
        <f>IF(BA444=0,0,BA441/BA444)</f>
        <v>0</v>
      </c>
      <c r="BB450" s="1281">
        <f>IF(BB444=0,0,BB441/BB444)</f>
        <v>0</v>
      </c>
      <c r="BC450" s="1281">
        <f>IF(BC444=0,0,BC441/BC444)</f>
        <v>0</v>
      </c>
      <c r="BD450" s="950"/>
      <c r="BE450" s="950"/>
      <c r="BF450" s="950"/>
      <c r="BG450" s="950"/>
      <c r="BH450" s="950"/>
      <c r="BI450" s="950"/>
      <c r="BJ450" s="950"/>
      <c r="BK450" s="950"/>
      <c r="BL450" s="950"/>
      <c r="BM450" s="950"/>
      <c r="BN450" s="6533"/>
      <c r="BO450" s="6533"/>
      <c r="BP450" s="6533"/>
      <c r="BQ450" s="1297"/>
      <c r="BR450" s="1297"/>
      <c r="BS450" s="1070" t="s">
        <v>2138</v>
      </c>
      <c r="BT450" s="1072"/>
      <c r="BU450" s="1072"/>
      <c r="BV450" s="987"/>
      <c r="BW450" s="987"/>
    </row>
    <row s="6651" customFormat="1" customHeight="1" ht="27.96875">
      <c r="A451" s="706"/>
      <c r="B451" s="437"/>
      <c r="C451" s="706"/>
      <c r="D451" s="105">
        <f>D450+1</f>
        <v>12</v>
      </c>
      <c r="E451" s="713">
        <v>21</v>
      </c>
      <c r="F451" s="50" cm="1" t="str">
        <f t="array" ref="F451:F451">OFFSET(E451,-1,1)</f>
        <v>2</v>
      </c>
      <c r="G451" s="706"/>
      <c r="H451" s="154"/>
      <c r="I451" s="154" t="s">
        <v>2142</v>
      </c>
      <c r="J451" s="706"/>
      <c r="K451" s="154" t="s">
        <v>2142</v>
      </c>
      <c r="L451" s="993" t="s">
        <v>2139</v>
      </c>
      <c r="M451" s="105"/>
      <c r="N451" s="706"/>
      <c r="O451" s="706"/>
      <c r="P451" s="706"/>
      <c r="Q451" s="706"/>
      <c r="R451" s="706"/>
      <c r="S451" s="706"/>
      <c r="T451" s="468" cm="1" t="str">
        <f t="array" ref="T451:T451">T450</f>
        <v>true</v>
      </c>
      <c r="U451" s="706"/>
      <c r="V451" s="706"/>
      <c r="W451" s="706"/>
      <c r="X451" s="1539"/>
      <c r="Y451" s="706"/>
      <c r="Z451" s="1529"/>
      <c r="AA451" s="706"/>
      <c r="AB451" s="207" cm="1" t="str">
        <f t="array" ref="AB451:AB451">D451</f>
        <v>12</v>
      </c>
      <c r="AC451" s="208" t="s">
        <v>2140</v>
      </c>
      <c r="AD451" s="207" t="s">
        <v>936</v>
      </c>
      <c r="AE451" s="6358">
        <v>120012.357778072</v>
      </c>
      <c r="AF451" s="6358">
        <f>IF(AF444=0,0,AF441/AF444*AF452)</f>
        <v>127491.567719613</v>
      </c>
      <c r="AG451" s="6358">
        <f>IF(AG444=0,0,AG441/AG444*AG452)</f>
        <v>128049.217404714</v>
      </c>
      <c r="AH451" s="777">
        <f>AH453*AH454+AH455*AH456</f>
        <v>0</v>
      </c>
      <c r="AI451" s="6593">
        <v>123499.734620143</v>
      </c>
      <c r="AJ451" s="6593">
        <f>IF(AJ444=0,0,AJ441/AJ444*AJ452)</f>
        <v>203598.913861139</v>
      </c>
      <c r="AK451" s="1282">
        <f>IF(AK444=0,0,AK441/AK444*AK452)</f>
        <v>0</v>
      </c>
      <c r="AL451" s="1282">
        <f>IF(AL444=0,0,AL441/AL444*AL452)</f>
        <v>0</v>
      </c>
      <c r="AM451" s="1282">
        <f>IF(AM444=0,0,AM441/AM444*AM452)</f>
        <v>0</v>
      </c>
      <c r="AN451" s="1282">
        <f>IF(AN444=0,0,AN441/AN444*AN452)</f>
        <v>0</v>
      </c>
      <c r="AO451" s="1282">
        <f>IF(AO444=0,0,AO441/AO444*AO452)</f>
        <v>0</v>
      </c>
      <c r="AP451" s="1282">
        <f>IF(AP444=0,0,AP441/AP444*AP452)</f>
        <v>0</v>
      </c>
      <c r="AQ451" s="1282">
        <f>IF(AQ444=0,0,AQ441/AQ444*AQ452)</f>
        <v>0</v>
      </c>
      <c r="AR451" s="1282">
        <f>IF(AR444=0,0,AR441/AR444*AR452)</f>
        <v>0</v>
      </c>
      <c r="AS451" s="1282">
        <f>IF(AS444=0,0,AS441/AS444*AS452)</f>
        <v>0</v>
      </c>
      <c r="AT451" s="6593">
        <f>IF(AT444=0,0,AT441/AT444*AT452)</f>
        <v>132145.557663264</v>
      </c>
      <c r="AU451" s="1282">
        <f>IF(AU444=0,0,AU441/AU444*AU452)</f>
        <v>0</v>
      </c>
      <c r="AV451" s="1282">
        <f>IF(AV444=0,0,AV441/AV444*AV452)</f>
        <v>0</v>
      </c>
      <c r="AW451" s="1282">
        <f>IF(AW444=0,0,AW441/AW444*AW452)</f>
        <v>0</v>
      </c>
      <c r="AX451" s="1282">
        <f>IF(AX444=0,0,AX441/AX444*AX452)</f>
        <v>0</v>
      </c>
      <c r="AY451" s="1282">
        <f>IF(AY444=0,0,AY441/AY444*AY452)</f>
        <v>0</v>
      </c>
      <c r="AZ451" s="1282">
        <f>IF(AZ444=0,0,AZ441/AZ444*AZ452)</f>
        <v>0</v>
      </c>
      <c r="BA451" s="1282">
        <f>IF(BA444=0,0,BA441/BA444*BA452)</f>
        <v>0</v>
      </c>
      <c r="BB451" s="1282">
        <f>IF(BB444=0,0,BB441/BB444*BB452)</f>
        <v>0</v>
      </c>
      <c r="BC451" s="1282">
        <f>IF(BC444=0,0,BC441/BC444*BC452)</f>
        <v>0</v>
      </c>
      <c r="BD451" s="768">
        <f>IF(AI451=0,0,(AT451-AI451)/AI451*100)</f>
        <v>7.00068147491455</v>
      </c>
      <c r="BE451" s="768">
        <f>IF(AT451=0,0,(AU451-AT451)/AT451*100)</f>
        <v>-100</v>
      </c>
      <c r="BF451" s="768">
        <f>IF(AU451=0,0,(AV451-AU451)/AU451*100)</f>
        <v>0</v>
      </c>
      <c r="BG451" s="768">
        <f>IF(AV451=0,0,(AW451-AV451)/AV451*100)</f>
        <v>0</v>
      </c>
      <c r="BH451" s="768">
        <f>IF(AW451=0,0,(AX451-AW451)/AW451*100)</f>
        <v>0</v>
      </c>
      <c r="BI451" s="768">
        <f>IF(AX451=0,0,(AY451-AX451)/AX451*100)</f>
        <v>0</v>
      </c>
      <c r="BJ451" s="768">
        <f>IF(AY451=0,0,(AZ451-AY451)/AY451*100)</f>
        <v>0</v>
      </c>
      <c r="BK451" s="768">
        <f>IF(AZ451=0,0,(BA451-AZ451)/AZ451*100)</f>
        <v>0</v>
      </c>
      <c r="BL451" s="768">
        <f>IF(BA451=0,0,(BB451-BA451)/BA451*100)</f>
        <v>0</v>
      </c>
      <c r="BM451" s="768">
        <f>IF(BB451=0,0,(BC451-BB451)/BB451*100)</f>
        <v>0</v>
      </c>
      <c r="BN451" s="6533"/>
      <c r="BO451" s="6533"/>
      <c r="BP451" s="6533"/>
      <c r="BQ451" s="706"/>
      <c r="BR451" s="706"/>
      <c r="BS451" s="1071" t="s">
        <v>2141</v>
      </c>
      <c r="BT451" s="1078"/>
      <c r="BU451" s="1078"/>
      <c r="BV451" s="713"/>
      <c r="BW451" s="713"/>
    </row>
    <row s="6652" customFormat="1" customHeight="1" ht="27.135416666666668">
      <c r="A452" s="706"/>
      <c r="B452" s="437"/>
      <c r="C452" s="706"/>
      <c r="D452" s="105">
        <f>D451+1</f>
        <v>13</v>
      </c>
      <c r="E452" s="713">
        <v>21</v>
      </c>
      <c r="F452" s="50" cm="1" t="str">
        <f t="array" ref="F452:F452">OFFSET(E452,-1,1)</f>
        <v>2</v>
      </c>
      <c r="G452" s="154" t="s">
        <v>1884</v>
      </c>
      <c r="H452" s="154"/>
      <c r="I452" s="154" t="s">
        <v>2444</v>
      </c>
      <c r="J452" s="706"/>
      <c r="K452" s="154" t="s">
        <v>2444</v>
      </c>
      <c r="L452" s="993" t="s">
        <v>2142</v>
      </c>
      <c r="M452" s="105"/>
      <c r="N452" s="706"/>
      <c r="O452" s="706"/>
      <c r="P452" s="706"/>
      <c r="Q452" s="706"/>
      <c r="R452" s="706"/>
      <c r="S452" s="706"/>
      <c r="T452" s="468" cm="1" t="str">
        <f t="array" ref="T452:T452">T451</f>
        <v>true</v>
      </c>
      <c r="U452" s="706"/>
      <c r="V452" s="706"/>
      <c r="W452" s="706"/>
      <c r="X452" s="1539"/>
      <c r="Y452" s="706"/>
      <c r="Z452" s="1529"/>
      <c r="AA452" s="706"/>
      <c r="AB452" s="207" cm="1" t="str">
        <f t="array" ref="AB452:AB452">D452</f>
        <v>13</v>
      </c>
      <c r="AC452" s="208" t="s">
        <v>2143</v>
      </c>
      <c r="AD452" s="207" t="s">
        <v>657</v>
      </c>
      <c r="AE452" s="792">
        <f>_xlfn.SUMIFS(Баланс!AE$26:AE$391,Баланс!$F$26:$F$391,$F452,Баланс!$G$26:$G$391,"население")</f>
        <v>3094.29833</v>
      </c>
      <c r="AF452" s="792">
        <f>_xlfn.SUMIFS(Баланс!AF$26:AF$391,Баланс!$F$26:$F$391,$F452,Баланс!$G$26:$G$391,"население")</f>
        <v>2961.398</v>
      </c>
      <c r="AG452" s="792">
        <f>_xlfn.SUMIFS(Баланс!AG$26:AG$391,Баланс!$F$26:$F$391,$F452,Баланс!$G$26:$G$391,"население")</f>
        <v>2961.398</v>
      </c>
      <c r="AH452" s="793">
        <f>AG452-AF452</f>
        <v>0</v>
      </c>
      <c r="AI452" s="793">
        <f>_xlfn.SUMIFS(Баланс!AH$26:AH$391,Баланс!$F$26:$F$391,$F452,Баланс!$G$26:$G$391,"население")</f>
        <v>2872.42095</v>
      </c>
      <c r="AJ452" s="793">
        <f>_xlfn.SUMIFS(Баланс!AI$26:AI$391,Баланс!$F$26:$F$391,$F452,Баланс!$G$26:$G$391,"население")</f>
        <v>2961.398</v>
      </c>
      <c r="AK452" s="793">
        <f>_xlfn.SUMIFS(Баланс!AJ$26:AJ$391,Баланс!$F$26:$F$391,$F452,Баланс!$G$26:$G$391,"население")</f>
        <v>0</v>
      </c>
      <c r="AL452" s="793">
        <f>_xlfn.SUMIFS(Баланс!AK$26:AK$391,Баланс!$F$26:$F$391,$F452,Баланс!$G$26:$G$391,"население")</f>
        <v>0</v>
      </c>
      <c r="AM452" s="793">
        <f>_xlfn.SUMIFS(Баланс!AL$26:AL$391,Баланс!$F$26:$F$391,$F452,Баланс!$G$26:$G$391,"население")</f>
        <v>0</v>
      </c>
      <c r="AN452" s="793">
        <f>_xlfn.SUMIFS(Баланс!AM$26:AM$391,Баланс!$F$26:$F$391,$F452,Баланс!$G$26:$G$391,"население")</f>
        <v>0</v>
      </c>
      <c r="AO452" s="793">
        <f>_xlfn.SUMIFS(Баланс!AN$26:AN$391,Баланс!$F$26:$F$391,$F452,Баланс!$G$26:$G$391,"население")</f>
        <v>0</v>
      </c>
      <c r="AP452" s="793">
        <f>_xlfn.SUMIFS(Баланс!AO$26:AO$391,Баланс!$F$26:$F$391,$F452,Баланс!$G$26:$G$391,"население")</f>
        <v>0</v>
      </c>
      <c r="AQ452" s="793">
        <f>_xlfn.SUMIFS(Баланс!AP$26:AP$391,Баланс!$F$26:$F$391,$F452,Баланс!$G$26:$G$391,"население")</f>
        <v>0</v>
      </c>
      <c r="AR452" s="793">
        <f>_xlfn.SUMIFS(Баланс!AQ$26:AQ$391,Баланс!$F$26:$F$391,$F452,Баланс!$G$26:$G$391,"население")</f>
        <v>0</v>
      </c>
      <c r="AS452" s="793">
        <f>_xlfn.SUMIFS(Баланс!AR$26:AR$391,Баланс!$F$26:$F$391,$F452,Баланс!$G$26:$G$391,"население")</f>
        <v>0</v>
      </c>
      <c r="AT452" s="793">
        <f>_xlfn.SUMIFS(Баланс!AS$26:AS$391,Баланс!$F$26:$F$391,$F452,Баланс!$G$26:$G$391,"население")</f>
        <v>2824.07561</v>
      </c>
      <c r="AU452" s="793">
        <f>_xlfn.SUMIFS(Баланс!AT$26:AT$391,Баланс!$F$26:$F$391,$F452,Баланс!$G$26:$G$391,"население")</f>
        <v>0</v>
      </c>
      <c r="AV452" s="793">
        <f>_xlfn.SUMIFS(Баланс!AU$26:AU$391,Баланс!$F$26:$F$391,$F452,Баланс!$G$26:$G$391,"население")</f>
        <v>0</v>
      </c>
      <c r="AW452" s="793">
        <f>_xlfn.SUMIFS(Баланс!AV$26:AV$391,Баланс!$F$26:$F$391,$F452,Баланс!$G$26:$G$391,"население")</f>
        <v>0</v>
      </c>
      <c r="AX452" s="793">
        <f>_xlfn.SUMIFS(Баланс!AW$26:AW$391,Баланс!$F$26:$F$391,$F452,Баланс!$G$26:$G$391,"население")</f>
        <v>0</v>
      </c>
      <c r="AY452" s="793">
        <f>_xlfn.SUMIFS(Баланс!AX$26:AX$391,Баланс!$F$26:$F$391,$F452,Баланс!$G$26:$G$391,"население")</f>
        <v>0</v>
      </c>
      <c r="AZ452" s="793">
        <f>_xlfn.SUMIFS(Баланс!AY$26:AY$391,Баланс!$F$26:$F$391,$F452,Баланс!$G$26:$G$391,"население")</f>
        <v>0</v>
      </c>
      <c r="BA452" s="793">
        <f>_xlfn.SUMIFS(Баланс!AZ$26:AZ$391,Баланс!$F$26:$F$391,$F452,Баланс!$G$26:$G$391,"население")</f>
        <v>0</v>
      </c>
      <c r="BB452" s="793">
        <f>_xlfn.SUMIFS(Баланс!BA$26:BA$391,Баланс!$F$26:$F$391,$F452,Баланс!$G$26:$G$391,"население")</f>
        <v>0</v>
      </c>
      <c r="BC452" s="793">
        <f>_xlfn.SUMIFS(Баланс!BB$26:BB$391,Баланс!$F$26:$F$391,$F452,Баланс!$G$26:$G$391,"население")</f>
        <v>0</v>
      </c>
      <c r="BD452" s="771"/>
      <c r="BE452" s="771"/>
      <c r="BF452" s="771"/>
      <c r="BG452" s="771"/>
      <c r="BH452" s="771"/>
      <c r="BI452" s="771"/>
      <c r="BJ452" s="771"/>
      <c r="BK452" s="771"/>
      <c r="BL452" s="771"/>
      <c r="BM452" s="771"/>
      <c r="BN452" s="6533"/>
      <c r="BO452" s="6533"/>
      <c r="BP452" s="6533"/>
      <c r="BQ452" s="706"/>
      <c r="BR452" s="706"/>
      <c r="BS452" s="1071" t="s">
        <v>2144</v>
      </c>
      <c r="BT452" s="1078"/>
      <c r="BU452" s="1078"/>
      <c r="BV452" s="713"/>
      <c r="BW452" s="713"/>
    </row>
    <row s="1656" customFormat="1" customHeight="1" ht="28.908025568181813">
      <c r="A453" s="1297"/>
      <c r="B453" s="986"/>
      <c r="C453" s="1297"/>
      <c r="D453" s="103" cm="1" t="str">
        <f t="array" ref="D453:D453">D452</f>
        <v>13</v>
      </c>
      <c r="E453" s="709">
        <v>15</v>
      </c>
      <c r="F453" s="50" cm="1" t="str">
        <f t="array" ref="F453:F453">OFFSET(E453,-1,1)</f>
        <v>2</v>
      </c>
      <c r="G453" s="154" t="s">
        <v>1918</v>
      </c>
      <c r="H453" s="1297"/>
      <c r="I453" s="154" t="s">
        <v>2445</v>
      </c>
      <c r="J453" s="1297"/>
      <c r="K453" s="154" t="s">
        <v>2445</v>
      </c>
      <c r="L453" s="988" t="s">
        <v>2145</v>
      </c>
      <c r="M453" s="103"/>
      <c r="N453" s="1297"/>
      <c r="O453" s="1297"/>
      <c r="P453" s="1297"/>
      <c r="Q453" s="1297"/>
      <c r="R453" s="1297"/>
      <c r="S453" s="1297"/>
      <c r="T453" s="468" cm="1" t="str">
        <f t="array" ref="T453:T453">T452</f>
        <v>true</v>
      </c>
      <c r="U453" s="1297"/>
      <c r="V453" s="1297"/>
      <c r="W453" s="1297"/>
      <c r="X453" s="1539"/>
      <c r="Y453" s="1297"/>
      <c r="Z453" s="1529"/>
      <c r="AA453" s="1297"/>
      <c r="AB453" s="296" t="str">
        <f>D453&amp;".1"</f>
        <v>13.1</v>
      </c>
      <c r="AC453" s="1120" t="s">
        <v>2147</v>
      </c>
      <c r="AD453" s="296" t="s">
        <v>657</v>
      </c>
      <c r="AE453" s="6591">
        <v>1547.149165</v>
      </c>
      <c r="AF453" s="6591">
        <f>IF(AF$24="2026 год",AF452/12*9,AF452/2)</f>
        <v>1480.699</v>
      </c>
      <c r="AG453" s="6591">
        <f>IF(AG$24="2026 год",AG452/12*9,AG452/2)</f>
        <v>1480.699</v>
      </c>
      <c r="AH453" s="949">
        <f>AG453-AF453</f>
        <v>0</v>
      </c>
      <c r="AI453" s="6356">
        <v>1436.210475</v>
      </c>
      <c r="AJ453" s="6591">
        <f>IF(AJ$24="2026 год",AJ452/12*9,AJ452/2)</f>
        <v>2221.0485</v>
      </c>
      <c r="AK453" s="1279">
        <f>IF(AK$24="2026 год",AK452/12*9,AK452/2)</f>
        <v>0</v>
      </c>
      <c r="AL453" s="1280">
        <f>IF(AL$24="2026 год",AL452/12*9,AL452/2)</f>
        <v>0</v>
      </c>
      <c r="AM453" s="1280">
        <f>IF(AM$24="2026 год",AM452/12*9,AM452/2)</f>
        <v>0</v>
      </c>
      <c r="AN453" s="1280">
        <f>IF(AN$24="2026 год",AN452/12*9,AN452/2)</f>
        <v>0</v>
      </c>
      <c r="AO453" s="1280">
        <f>IF(AO$24="2026 год",AO452/12*9,AO452/2)</f>
        <v>0</v>
      </c>
      <c r="AP453" s="1280">
        <f>IF(AP$24="2026 год",AP452/12*9,AP452/2)</f>
        <v>0</v>
      </c>
      <c r="AQ453" s="1280">
        <f>IF(AQ$24="2026 год",AQ452/12*9,AQ452/2)</f>
        <v>0</v>
      </c>
      <c r="AR453" s="1280">
        <f>IF(AR$24="2026 год",AR452/12*9,AR452/2)</f>
        <v>0</v>
      </c>
      <c r="AS453" s="1280">
        <f>IF(AS$24="2026 год",AS452/12*9,AS452/2)</f>
        <v>0</v>
      </c>
      <c r="AT453" s="6356">
        <f>IF(AT$24="2026 год",AT452/12*9,AT452/2)</f>
        <v>2118.0567075</v>
      </c>
      <c r="AU453" s="1280">
        <f>IF(AU$24="2026 год",AU452/12*9,AU452/2)</f>
        <v>0</v>
      </c>
      <c r="AV453" s="1280">
        <f>IF(AV$24="2026 год",AV452/12*9,AV452/2)</f>
        <v>0</v>
      </c>
      <c r="AW453" s="1280">
        <f>IF(AW$24="2026 год",AW452/12*9,AW452/2)</f>
        <v>0</v>
      </c>
      <c r="AX453" s="1280">
        <f>IF(AX$24="2026 год",AX452/12*9,AX452/2)</f>
        <v>0</v>
      </c>
      <c r="AY453" s="1280">
        <f>IF(AY$24="2026 год",AY452/12*9,AY452/2)</f>
        <v>0</v>
      </c>
      <c r="AZ453" s="1280">
        <f>IF(AZ$24="2026 год",AZ452/12*9,AZ452/2)</f>
        <v>0</v>
      </c>
      <c r="BA453" s="1280">
        <f>IF(BA$24="2026 год",BA452/12*9,BA452/2)</f>
        <v>0</v>
      </c>
      <c r="BB453" s="1280">
        <f>IF(BB$24="2026 год",BB452/12*9,BB452/2)</f>
        <v>0</v>
      </c>
      <c r="BC453" s="1280">
        <f>IF(BC$24="2026 год",BC452/12*9,BC452/2)</f>
        <v>0</v>
      </c>
      <c r="BD453" s="950"/>
      <c r="BE453" s="950"/>
      <c r="BF453" s="950"/>
      <c r="BG453" s="950"/>
      <c r="BH453" s="950"/>
      <c r="BI453" s="950"/>
      <c r="BJ453" s="950"/>
      <c r="BK453" s="950"/>
      <c r="BL453" s="950"/>
      <c r="BM453" s="950"/>
      <c r="BN453" s="6533"/>
      <c r="BO453" s="6533"/>
      <c r="BP453" s="6533"/>
      <c r="BQ453" s="1297"/>
      <c r="BR453" s="1297"/>
      <c r="BS453" s="1070" t="s">
        <v>2148</v>
      </c>
      <c r="BT453" s="1072"/>
      <c r="BU453" s="1072"/>
      <c r="BV453" s="987"/>
      <c r="BW453" s="987"/>
    </row>
    <row s="1656" customFormat="1" customHeight="1" ht="22.771661931818176">
      <c r="A454" s="1297"/>
      <c r="B454" s="986"/>
      <c r="C454" s="1297"/>
      <c r="D454" s="103" cm="1" t="str">
        <f t="array" ref="D454:D454">D453</f>
        <v>13</v>
      </c>
      <c r="E454" s="709">
        <v>15</v>
      </c>
      <c r="F454" s="50" cm="1" t="str">
        <f t="array" ref="F454:F454">OFFSET(E454,-1,1)</f>
        <v>2</v>
      </c>
      <c r="G454" s="154" t="s">
        <v>1874</v>
      </c>
      <c r="H454" s="1297"/>
      <c r="I454" s="154" t="s">
        <v>2446</v>
      </c>
      <c r="J454" s="1297"/>
      <c r="K454" s="154" t="s">
        <v>2446</v>
      </c>
      <c r="L454" s="988" t="s">
        <v>2149</v>
      </c>
      <c r="M454" s="103"/>
      <c r="N454" s="1297"/>
      <c r="O454" s="1297"/>
      <c r="P454" s="1297"/>
      <c r="Q454" s="1297"/>
      <c r="R454" s="1297"/>
      <c r="S454" s="1297"/>
      <c r="T454" s="468" cm="1" t="str">
        <f t="array" ref="T454:T454">T453</f>
        <v>true</v>
      </c>
      <c r="U454" s="1297"/>
      <c r="V454" s="1297"/>
      <c r="W454" s="1297"/>
      <c r="X454" s="1539"/>
      <c r="Y454" s="1297"/>
      <c r="Z454" s="1529"/>
      <c r="AA454" s="1297"/>
      <c r="AB454" s="296" t="str">
        <f>D454&amp;".2"</f>
        <v>13.2</v>
      </c>
      <c r="AC454" s="1120" t="s">
        <v>2151</v>
      </c>
      <c r="AD454" s="296" t="s">
        <v>1862</v>
      </c>
      <c r="AE454" s="6360">
        <v>44.412</v>
      </c>
      <c r="AF454" s="6360">
        <f>IF(AF452=0,0,AF446*(1+Сценарии!AF$26/100))</f>
        <v>43.0511426426348</v>
      </c>
      <c r="AG454" s="6360">
        <f>IF(AG452=0,0,AG446*(1+Сценарии!AG$26/100))</f>
        <v>43.239448869998</v>
      </c>
      <c r="AH454" s="951">
        <f>AG454-AF454</f>
        <v>0.188306227363199</v>
      </c>
      <c r="AI454" s="6360">
        <v>48.672</v>
      </c>
      <c r="AJ454" s="6360">
        <f>IF(AJ452=0,0,AJ446*(1+Сценарии!AJ$26/100))</f>
        <v>68.7509459590162</v>
      </c>
      <c r="AK454" s="1281">
        <f>IF(AK452=0,0,AK446*(1+Сценарии!AO$26/100))</f>
        <v>0</v>
      </c>
      <c r="AL454" s="1281">
        <f>IF(AL452=0,0,AL446*(1+Сценарии!AP$26/100))</f>
        <v>0</v>
      </c>
      <c r="AM454" s="1281">
        <f>IF(AM452=0,0,AM446*(1+Сценарии!AQ$26/100))</f>
        <v>0</v>
      </c>
      <c r="AN454" s="1281">
        <f>IF(AN452=0,0,AN446*(1+Сценарии!AR$26/100))</f>
        <v>0</v>
      </c>
      <c r="AO454" s="1281">
        <f>IF(AO452=0,0,AO446*(1+Сценарии!AS$26/100))</f>
        <v>0</v>
      </c>
      <c r="AP454" s="1281">
        <f>IF(AP452=0,0,AP446*(1+Сценарии!AT$26/100))</f>
        <v>0</v>
      </c>
      <c r="AQ454" s="1281">
        <f>IF(AQ452=0,0,AQ446*(1+Сценарии!AU$26/100))</f>
        <v>0</v>
      </c>
      <c r="AR454" s="1281">
        <f>IF(AR452=0,0,AR446*(1+Сценарии!AV$26/100))</f>
        <v>0</v>
      </c>
      <c r="AS454" s="1281">
        <f>IF(AS452=0,0,AS446*(1+Сценарии!AW$26/100))</f>
        <v>0</v>
      </c>
      <c r="AT454" s="6360">
        <f>IF(AT452=0,0,AT446*(1+Сценарии!AK$26/100))</f>
        <v>45.43</v>
      </c>
      <c r="AU454" s="1281">
        <f>IF(AU452=0,0,AU446*(1+Сценарии!AX$26/100))</f>
        <v>0</v>
      </c>
      <c r="AV454" s="1281">
        <f>IF(AV452=0,0,AV446*(1+Сценарии!AY$26/100))</f>
        <v>0</v>
      </c>
      <c r="AW454" s="1281">
        <f>IF(AW452=0,0,AW446*(1+Сценарии!AZ$26/100))</f>
        <v>0</v>
      </c>
      <c r="AX454" s="1281">
        <f>IF(AX452=0,0,AX446*(1+Сценарии!BA$26/100))</f>
        <v>0</v>
      </c>
      <c r="AY454" s="1281">
        <f>IF(AY452=0,0,AY446*(1+Сценарии!BB$26/100))</f>
        <v>0</v>
      </c>
      <c r="AZ454" s="1281">
        <f>IF(AZ452=0,0,AZ446*(1+Сценарии!BC$26/100))</f>
        <v>0</v>
      </c>
      <c r="BA454" s="1281">
        <f>IF(BA452=0,0,BA446*(1+Сценарии!BD$26/100))</f>
        <v>0</v>
      </c>
      <c r="BB454" s="1281">
        <f>IF(BB452=0,0,BB446*(1+Сценарии!BE$26/100))</f>
        <v>0</v>
      </c>
      <c r="BC454" s="1281">
        <f>IF(BC452=0,0,BC446*(1+Сценарии!BF$26/100))</f>
        <v>0</v>
      </c>
      <c r="BD454" s="950"/>
      <c r="BE454" s="950"/>
      <c r="BF454" s="950"/>
      <c r="BG454" s="950"/>
      <c r="BH454" s="950"/>
      <c r="BI454" s="950"/>
      <c r="BJ454" s="950"/>
      <c r="BK454" s="950"/>
      <c r="BL454" s="950"/>
      <c r="BM454" s="950"/>
      <c r="BN454" s="6533"/>
      <c r="BO454" s="6533"/>
      <c r="BP454" s="6533"/>
      <c r="BQ454" s="1297"/>
      <c r="BR454" s="1297"/>
      <c r="BS454" s="1070" t="s">
        <v>2152</v>
      </c>
      <c r="BT454" s="1072"/>
      <c r="BU454" s="1072"/>
      <c r="BV454" s="987"/>
      <c r="BW454" s="987"/>
    </row>
    <row s="1656" customFormat="1" customHeight="1" ht="26.18075284090909">
      <c r="A455" s="1297"/>
      <c r="B455" s="92"/>
      <c r="C455" s="103"/>
      <c r="D455" s="103" cm="1" t="str">
        <f t="array" ref="D455:D455">D454</f>
        <v>13</v>
      </c>
      <c r="E455" s="626">
        <v>15</v>
      </c>
      <c r="F455" s="50" cm="1" t="str">
        <f t="array" ref="F455:F455">OFFSET(E455,-1,1)</f>
        <v>2</v>
      </c>
      <c r="G455" s="103" t="s">
        <v>1925</v>
      </c>
      <c r="H455" s="103"/>
      <c r="I455" s="103" t="s">
        <v>2447</v>
      </c>
      <c r="J455" s="103"/>
      <c r="K455" s="103" t="s">
        <v>2447</v>
      </c>
      <c r="L455" s="988" t="s">
        <v>2153</v>
      </c>
      <c r="M455" s="103"/>
      <c r="N455" s="103"/>
      <c r="O455" s="103"/>
      <c r="P455" s="103"/>
      <c r="Q455" s="103"/>
      <c r="R455" s="103"/>
      <c r="S455" s="103"/>
      <c r="T455" s="468" cm="1" t="str">
        <f t="array" ref="T455:T455">T454</f>
        <v>true</v>
      </c>
      <c r="U455" s="103"/>
      <c r="V455" s="103"/>
      <c r="W455" s="103"/>
      <c r="X455" s="1539"/>
      <c r="Y455" s="1297"/>
      <c r="Z455" s="1529"/>
      <c r="AA455" s="1297"/>
      <c r="AB455" s="296" t="str">
        <f>D455&amp;".3"</f>
        <v>13.3</v>
      </c>
      <c r="AC455" s="1120" t="s">
        <v>2125</v>
      </c>
      <c r="AD455" s="296" t="s">
        <v>657</v>
      </c>
      <c r="AE455" s="954">
        <f>AE452-AE453</f>
        <v>1547.149165</v>
      </c>
      <c r="AF455" s="954">
        <f>AF452-AF453</f>
        <v>1480.699</v>
      </c>
      <c r="AG455" s="954">
        <f>AG452-AG453</f>
        <v>1480.699</v>
      </c>
      <c r="AH455" s="949">
        <f>AG455-AF455</f>
        <v>0</v>
      </c>
      <c r="AI455" s="832">
        <f>AI452-AI453</f>
        <v>1436.210475</v>
      </c>
      <c r="AJ455" s="832">
        <f>AJ452-AJ453</f>
        <v>740.3495</v>
      </c>
      <c r="AK455" s="832">
        <f>AK452-AK453</f>
        <v>0</v>
      </c>
      <c r="AL455" s="832">
        <f>AL452-AL453</f>
        <v>0</v>
      </c>
      <c r="AM455" s="832">
        <f>AM452-AM453</f>
        <v>0</v>
      </c>
      <c r="AN455" s="832">
        <f>AN452-AN453</f>
        <v>0</v>
      </c>
      <c r="AO455" s="832">
        <f>AO452-AO453</f>
        <v>0</v>
      </c>
      <c r="AP455" s="832">
        <f>AP452-AP453</f>
        <v>0</v>
      </c>
      <c r="AQ455" s="832">
        <f>AQ452-AQ453</f>
        <v>0</v>
      </c>
      <c r="AR455" s="832">
        <f>AR452-AR453</f>
        <v>0</v>
      </c>
      <c r="AS455" s="832">
        <f>AS452-AS453</f>
        <v>0</v>
      </c>
      <c r="AT455" s="832">
        <f>AT452-AT453</f>
        <v>706.0189025</v>
      </c>
      <c r="AU455" s="832">
        <f>AU452-AU453</f>
        <v>0</v>
      </c>
      <c r="AV455" s="832">
        <f>AV452-AV453</f>
        <v>0</v>
      </c>
      <c r="AW455" s="832">
        <f>AW452-AW453</f>
        <v>0</v>
      </c>
      <c r="AX455" s="832">
        <f>AX452-AX453</f>
        <v>0</v>
      </c>
      <c r="AY455" s="832">
        <f>AY452-AY453</f>
        <v>0</v>
      </c>
      <c r="AZ455" s="832">
        <f>AZ452-AZ453</f>
        <v>0</v>
      </c>
      <c r="BA455" s="832">
        <f>BA452-BA453</f>
        <v>0</v>
      </c>
      <c r="BB455" s="832">
        <f>BB452-BB453</f>
        <v>0</v>
      </c>
      <c r="BC455" s="832">
        <f>BC452-BC453</f>
        <v>0</v>
      </c>
      <c r="BD455" s="950"/>
      <c r="BE455" s="950"/>
      <c r="BF455" s="950"/>
      <c r="BG455" s="950"/>
      <c r="BH455" s="950"/>
      <c r="BI455" s="950"/>
      <c r="BJ455" s="950"/>
      <c r="BK455" s="950"/>
      <c r="BL455" s="950"/>
      <c r="BM455" s="950"/>
      <c r="BN455" s="6533"/>
      <c r="BO455" s="6533"/>
      <c r="BP455" s="6533"/>
      <c r="BQ455" s="1297"/>
      <c r="BR455" s="1297"/>
      <c r="BS455" s="1070" t="s">
        <v>2155</v>
      </c>
      <c r="BT455" s="1072"/>
      <c r="BU455" s="1072"/>
      <c r="BV455" s="987"/>
      <c r="BW455" s="987"/>
    </row>
    <row s="1656" customFormat="1" customHeight="1" ht="21.408025568181817">
      <c r="A456" s="1297"/>
      <c r="B456" s="92"/>
      <c r="C456" s="103"/>
      <c r="D456" s="103" cm="1" t="str">
        <f t="array" ref="D456:D456">D455</f>
        <v>13</v>
      </c>
      <c r="E456" s="626">
        <v>15</v>
      </c>
      <c r="F456" s="50" cm="1" t="str">
        <f t="array" ref="F456:F456">OFFSET(E456,-1,1)</f>
        <v>2</v>
      </c>
      <c r="G456" s="103" t="s">
        <v>1878</v>
      </c>
      <c r="H456" s="103"/>
      <c r="I456" s="103" t="s">
        <v>2448</v>
      </c>
      <c r="J456" s="103"/>
      <c r="K456" s="103" t="s">
        <v>2448</v>
      </c>
      <c r="L456" s="988" t="s">
        <v>2156</v>
      </c>
      <c r="M456" s="103"/>
      <c r="N456" s="103"/>
      <c r="O456" s="103"/>
      <c r="P456" s="103"/>
      <c r="Q456" s="103"/>
      <c r="R456" s="103"/>
      <c r="S456" s="103"/>
      <c r="T456" s="468" cm="1" t="str">
        <f t="array" ref="T456:T456">T455</f>
        <v>true</v>
      </c>
      <c r="U456" s="103"/>
      <c r="V456" s="103"/>
      <c r="W456" s="103"/>
      <c r="X456" s="1539"/>
      <c r="Y456" s="1297"/>
      <c r="Z456" s="1529"/>
      <c r="AA456" s="1297"/>
      <c r="AB456" s="296" t="str">
        <f>D456&amp;".4"</f>
        <v>13.4</v>
      </c>
      <c r="AC456" s="1120" t="s">
        <v>2129</v>
      </c>
      <c r="AD456" s="296" t="s">
        <v>1862</v>
      </c>
      <c r="AE456" s="6360">
        <v>48.6719982922</v>
      </c>
      <c r="AF456" s="6360">
        <f>IF(AF452=0,0,AF448*(1+Сценарии!AF$26/100))</f>
        <v>43.0511426426348</v>
      </c>
      <c r="AG456" s="6360">
        <f>IF(AG452=0,0,AG448*(1+Сценарии!AG$26/100))</f>
        <v>43.2394488699977</v>
      </c>
      <c r="AH456" s="951">
        <f>AG456-AF456</f>
        <v>0.188306227362901</v>
      </c>
      <c r="AI456" s="6360">
        <v>54.5159965533</v>
      </c>
      <c r="AJ456" s="6360">
        <f>IF(AJ452=0,0,AJ448*(1+Сценарии!AJ$26/100))</f>
        <v>68.7509459590162</v>
      </c>
      <c r="AK456" s="1281">
        <f>IF(AK452=0,0,AK448*(1+Сценарии!AO$26/100))</f>
        <v>0</v>
      </c>
      <c r="AL456" s="1281">
        <f>IF(AL452=0,0,AL448*(1+Сценарии!AP$26/100))</f>
        <v>0</v>
      </c>
      <c r="AM456" s="1281">
        <f>IF(AM452=0,0,AM448*(1+Сценарии!AQ$26/100))</f>
        <v>0</v>
      </c>
      <c r="AN456" s="1281">
        <f>IF(AN452=0,0,AN448*(1+Сценарии!AR$26/100))</f>
        <v>0</v>
      </c>
      <c r="AO456" s="1281">
        <f>IF(AO452=0,0,AO448*(1+Сценарии!AS$26/100))</f>
        <v>0</v>
      </c>
      <c r="AP456" s="1281">
        <f>IF(AP452=0,0,AP448*(1+Сценарии!AT$26/100))</f>
        <v>0</v>
      </c>
      <c r="AQ456" s="1281">
        <f>IF(AQ452=0,0,AQ448*(1+Сценарии!AU$26/100))</f>
        <v>0</v>
      </c>
      <c r="AR456" s="1281">
        <f>IF(AR452=0,0,AR448*(1+Сценарии!AV$26/100))</f>
        <v>0</v>
      </c>
      <c r="AS456" s="1281">
        <f>IF(AS452=0,0,AS448*(1+Сценарии!AW$26/100))</f>
        <v>0</v>
      </c>
      <c r="AT456" s="6360">
        <f>IF(AT452=0,0,AT448*(1+Сценарии!AK$26/100))</f>
        <v>50.8799995500676</v>
      </c>
      <c r="AU456" s="1281">
        <f>IF(AU452=0,0,AU448*(1+Сценарии!AX$26/100))</f>
        <v>0</v>
      </c>
      <c r="AV456" s="1281">
        <f>IF(AV452=0,0,AV448*(1+Сценарии!AY$26/100))</f>
        <v>0</v>
      </c>
      <c r="AW456" s="1281">
        <f>IF(AW452=0,0,AW448*(1+Сценарии!AZ$26/100))</f>
        <v>0</v>
      </c>
      <c r="AX456" s="1281">
        <f>IF(AX452=0,0,AX448*(1+Сценарии!BA$26/100))</f>
        <v>0</v>
      </c>
      <c r="AY456" s="1281">
        <f>IF(AY452=0,0,AY448*(1+Сценарии!BB$26/100))</f>
        <v>0</v>
      </c>
      <c r="AZ456" s="1281">
        <f>IF(AZ452=0,0,AZ448*(1+Сценарии!BC$26/100))</f>
        <v>0</v>
      </c>
      <c r="BA456" s="1281">
        <f>IF(BA452=0,0,BA448*(1+Сценарии!BD$26/100))</f>
        <v>0</v>
      </c>
      <c r="BB456" s="1281">
        <f>IF(BB452=0,0,BB448*(1+Сценарии!BE$26/100))</f>
        <v>0</v>
      </c>
      <c r="BC456" s="1281">
        <f>IF(BC452=0,0,BC448*(1+Сценарии!BF$26/100))</f>
        <v>0</v>
      </c>
      <c r="BD456" s="950"/>
      <c r="BE456" s="950"/>
      <c r="BF456" s="950"/>
      <c r="BG456" s="950"/>
      <c r="BH456" s="950"/>
      <c r="BI456" s="950"/>
      <c r="BJ456" s="950"/>
      <c r="BK456" s="950"/>
      <c r="BL456" s="950"/>
      <c r="BM456" s="950"/>
      <c r="BN456" s="6533"/>
      <c r="BO456" s="6533"/>
      <c r="BP456" s="6533"/>
      <c r="BQ456" s="1297"/>
      <c r="BR456" s="1297"/>
      <c r="BS456" s="1070" t="s">
        <v>2159</v>
      </c>
      <c r="BT456" s="1072"/>
      <c r="BU456" s="1072"/>
      <c r="BV456" s="987"/>
      <c r="BW456" s="987"/>
    </row>
    <row s="1656" customFormat="1" customHeight="1" ht="25.498934659090907">
      <c r="A457" s="1297"/>
      <c r="B457" s="92"/>
      <c r="C457" s="103"/>
      <c r="D457" s="103">
        <f>D456+1</f>
        <v>14</v>
      </c>
      <c r="E457" s="626">
        <v>15</v>
      </c>
      <c r="F457" s="50" cm="1" t="str">
        <f t="array" ref="F457:F457">OFFSET(E457,-1,1)</f>
        <v>2</v>
      </c>
      <c r="G457" s="103"/>
      <c r="H457" s="103"/>
      <c r="I457" s="103"/>
      <c r="J457" s="103"/>
      <c r="K457" s="103"/>
      <c r="L457" s="988"/>
      <c r="M457" s="103"/>
      <c r="N457" s="103"/>
      <c r="O457" s="103"/>
      <c r="P457" s="103"/>
      <c r="Q457" s="103"/>
      <c r="R457" s="103"/>
      <c r="S457" s="103"/>
      <c r="T457" s="468" cm="1" t="str">
        <f t="array" ref="T457:T457">T456</f>
        <v>true</v>
      </c>
      <c r="U457" s="103"/>
      <c r="V457" s="103"/>
      <c r="W457" s="103"/>
      <c r="X457" s="1539"/>
      <c r="Y457" s="1297"/>
      <c r="Z457" s="1529"/>
      <c r="AA457" s="1297"/>
      <c r="AB457" s="207" cm="1" t="str">
        <f t="array" ref="AB457:AB457">D457</f>
        <v>14</v>
      </c>
      <c r="AC457" s="208" t="s">
        <v>2160</v>
      </c>
      <c r="AD457" s="207" t="s">
        <v>936</v>
      </c>
      <c r="AE457" s="6531"/>
      <c r="AF457" s="6531"/>
      <c r="AG457" s="6531"/>
      <c r="AH457" s="951"/>
      <c r="AI457" s="6360"/>
      <c r="AJ457" s="6360"/>
      <c r="AK457" s="1281"/>
      <c r="AL457" s="1281"/>
      <c r="AM457" s="1281"/>
      <c r="AN457" s="1281"/>
      <c r="AO457" s="1281"/>
      <c r="AP457" s="1281"/>
      <c r="AQ457" s="1281"/>
      <c r="AR457" s="1281"/>
      <c r="AS457" s="1281"/>
      <c r="AT457" s="6360"/>
      <c r="AU457" s="1281"/>
      <c r="AV457" s="1281"/>
      <c r="AW457" s="1281"/>
      <c r="AX457" s="1281"/>
      <c r="AY457" s="1281"/>
      <c r="AZ457" s="1281"/>
      <c r="BA457" s="1281"/>
      <c r="BB457" s="1281"/>
      <c r="BC457" s="1281"/>
      <c r="BD457" s="950"/>
      <c r="BE457" s="950"/>
      <c r="BF457" s="950"/>
      <c r="BG457" s="950"/>
      <c r="BH457" s="950"/>
      <c r="BI457" s="950"/>
      <c r="BJ457" s="950"/>
      <c r="BK457" s="950"/>
      <c r="BL457" s="950"/>
      <c r="BM457" s="950"/>
      <c r="BN457" s="6533"/>
      <c r="BO457" s="6533"/>
      <c r="BP457" s="6533"/>
      <c r="BQ457" s="1297"/>
      <c r="BR457" s="1297"/>
      <c r="BS457" s="1070" t="s">
        <v>2161</v>
      </c>
      <c r="BT457" s="1072"/>
      <c r="BU457" s="1072"/>
      <c r="BV457" s="987"/>
      <c r="BW457" s="987"/>
    </row>
    <row s="1656" customFormat="1" customHeight="1" ht="20.25">
      <c r="A458" s="1297"/>
      <c r="B458" s="92"/>
      <c r="C458" s="103"/>
      <c r="D458" s="103" cm="1" t="str">
        <f t="array" ref="D458:D458">D457</f>
        <v>14</v>
      </c>
      <c r="E458" s="626">
        <v>21</v>
      </c>
      <c r="F458" s="50" cm="1" t="str">
        <f t="array" ref="F458:F458">OFFSET(E458,-1,1)</f>
        <v>2</v>
      </c>
      <c r="G458" s="103"/>
      <c r="H458" s="103"/>
      <c r="I458" s="103"/>
      <c r="J458" s="103"/>
      <c r="K458" s="103"/>
      <c r="L458" s="988"/>
      <c r="M458" s="103"/>
      <c r="N458" s="103"/>
      <c r="O458" s="103"/>
      <c r="P458" s="103"/>
      <c r="Q458" s="103"/>
      <c r="R458" s="103"/>
      <c r="S458" s="103"/>
      <c r="T458" s="468" cm="1" t="str">
        <f t="array" ref="T458:T458">T457</f>
        <v>true</v>
      </c>
      <c r="U458" s="103"/>
      <c r="V458" s="103"/>
      <c r="W458" s="103"/>
      <c r="X458" s="1539"/>
      <c r="Y458" s="1297"/>
      <c r="Z458" s="1529"/>
      <c r="AA458" s="1297"/>
      <c r="AB458" s="296" t="str">
        <f>D458&amp;".1"</f>
        <v>14.1</v>
      </c>
      <c r="AC458" s="769" t="s">
        <v>2163</v>
      </c>
      <c r="AD458" s="296" t="s">
        <v>936</v>
      </c>
      <c r="AE458" s="6531"/>
      <c r="AF458" s="6531"/>
      <c r="AG458" s="6531"/>
      <c r="AH458" s="951">
        <f>AG458-AF458</f>
        <v>0</v>
      </c>
      <c r="AI458" s="6360"/>
      <c r="AJ458" s="6360"/>
      <c r="AK458" s="1281"/>
      <c r="AL458" s="1281"/>
      <c r="AM458" s="1281"/>
      <c r="AN458" s="1281"/>
      <c r="AO458" s="1281"/>
      <c r="AP458" s="1281"/>
      <c r="AQ458" s="1281"/>
      <c r="AR458" s="1281"/>
      <c r="AS458" s="1281"/>
      <c r="AT458" s="6360"/>
      <c r="AU458" s="1281"/>
      <c r="AV458" s="1281"/>
      <c r="AW458" s="1281"/>
      <c r="AX458" s="1281"/>
      <c r="AY458" s="1281"/>
      <c r="AZ458" s="1281"/>
      <c r="BA458" s="1281"/>
      <c r="BB458" s="1281"/>
      <c r="BC458" s="1281"/>
      <c r="BD458" s="950"/>
      <c r="BE458" s="950"/>
      <c r="BF458" s="950"/>
      <c r="BG458" s="950"/>
      <c r="BH458" s="950"/>
      <c r="BI458" s="950"/>
      <c r="BJ458" s="950"/>
      <c r="BK458" s="950"/>
      <c r="BL458" s="950"/>
      <c r="BM458" s="950"/>
      <c r="BN458" s="6533"/>
      <c r="BO458" s="6533"/>
      <c r="BP458" s="6533"/>
      <c r="BQ458" s="1297"/>
      <c r="BR458" s="1297"/>
      <c r="BS458" s="1070" t="s">
        <v>2164</v>
      </c>
      <c r="BT458" s="1079"/>
      <c r="BU458" s="1079"/>
      <c r="BV458" s="1080"/>
      <c r="BW458" s="1080"/>
    </row>
    <row s="1656" customFormat="1" customHeight="1" ht="64.5">
      <c r="A459" s="1297"/>
      <c r="B459" s="92"/>
      <c r="C459" s="103"/>
      <c r="D459" s="103" cm="1" t="str">
        <f t="array" ref="D459:D459">D458</f>
        <v>14</v>
      </c>
      <c r="E459" s="626">
        <v>66.6</v>
      </c>
      <c r="F459" s="50" cm="1" t="str">
        <f t="array" ref="F459:F459">OFFSET(E459,-1,1)</f>
        <v>2</v>
      </c>
      <c r="G459" s="103"/>
      <c r="H459" s="103"/>
      <c r="I459" s="103"/>
      <c r="J459" s="103"/>
      <c r="K459" s="103"/>
      <c r="L459" s="988"/>
      <c r="M459" s="103"/>
      <c r="N459" s="103"/>
      <c r="O459" s="103"/>
      <c r="P459" s="103"/>
      <c r="Q459" s="103"/>
      <c r="R459" s="103"/>
      <c r="S459" s="103"/>
      <c r="T459" s="468" cm="1" t="str">
        <f t="array" ref="T459:T459">T458</f>
        <v>true</v>
      </c>
      <c r="U459" s="103"/>
      <c r="V459" s="103"/>
      <c r="W459" s="103"/>
      <c r="X459" s="1539"/>
      <c r="Y459" s="1297"/>
      <c r="Z459" s="1529"/>
      <c r="AA459" s="1297"/>
      <c r="AB459" s="296" t="str">
        <f>D459&amp;".2"</f>
        <v>14.2</v>
      </c>
      <c r="AC459" s="769" t="s">
        <v>2166</v>
      </c>
      <c r="AD459" s="296" t="s">
        <v>936</v>
      </c>
      <c r="AE459" s="6531"/>
      <c r="AF459" s="6531"/>
      <c r="AG459" s="6531"/>
      <c r="AH459" s="951">
        <f>AG459-AF459</f>
        <v>0</v>
      </c>
      <c r="AI459" s="6360"/>
      <c r="AJ459" s="6360"/>
      <c r="AK459" s="1281"/>
      <c r="AL459" s="1281"/>
      <c r="AM459" s="1281"/>
      <c r="AN459" s="1281"/>
      <c r="AO459" s="1281"/>
      <c r="AP459" s="1281"/>
      <c r="AQ459" s="1281"/>
      <c r="AR459" s="1281"/>
      <c r="AS459" s="1281"/>
      <c r="AT459" s="6360"/>
      <c r="AU459" s="1281"/>
      <c r="AV459" s="1281"/>
      <c r="AW459" s="1281"/>
      <c r="AX459" s="1281"/>
      <c r="AY459" s="1281"/>
      <c r="AZ459" s="1281"/>
      <c r="BA459" s="1281"/>
      <c r="BB459" s="1281"/>
      <c r="BC459" s="1281"/>
      <c r="BD459" s="950"/>
      <c r="BE459" s="950"/>
      <c r="BF459" s="950"/>
      <c r="BG459" s="950"/>
      <c r="BH459" s="950"/>
      <c r="BI459" s="950"/>
      <c r="BJ459" s="950"/>
      <c r="BK459" s="950"/>
      <c r="BL459" s="950"/>
      <c r="BM459" s="950"/>
      <c r="BN459" s="6533"/>
      <c r="BO459" s="6533"/>
      <c r="BP459" s="6533"/>
      <c r="BQ459" s="1297"/>
      <c r="BR459" s="1297"/>
      <c r="BS459" s="1070" t="s">
        <v>2167</v>
      </c>
      <c r="BT459" s="1079"/>
      <c r="BU459" s="1079"/>
      <c r="BV459" s="1080"/>
      <c r="BW459" s="1080"/>
    </row>
    <row s="1656" customFormat="1" customHeight="1" ht="44.25">
      <c r="A460" s="501"/>
      <c r="B460" s="760"/>
      <c r="C460" s="103"/>
      <c r="D460" s="103" cm="1" t="str">
        <f t="array" ref="D460:D460">D459</f>
        <v>14</v>
      </c>
      <c r="E460" s="626">
        <v>45.6</v>
      </c>
      <c r="F460" s="50" cm="1" t="str">
        <f t="array" ref="F460:F460">OFFSET(E460,-1,1)</f>
        <v>2</v>
      </c>
      <c r="G460" s="103"/>
      <c r="H460" s="103"/>
      <c r="I460" s="103"/>
      <c r="J460" s="103"/>
      <c r="K460" s="103"/>
      <c r="L460" s="988"/>
      <c r="M460" s="103"/>
      <c r="N460" s="103"/>
      <c r="O460" s="103"/>
      <c r="P460" s="103"/>
      <c r="Q460" s="103"/>
      <c r="R460" s="103"/>
      <c r="S460" s="103"/>
      <c r="T460" s="468" cm="1" t="str">
        <f t="array" ref="T460:T460">T459</f>
        <v>true</v>
      </c>
      <c r="U460" s="103"/>
      <c r="V460" s="103"/>
      <c r="W460" s="103"/>
      <c r="X460" s="1539"/>
      <c r="Y460" s="501"/>
      <c r="Z460" s="1529"/>
      <c r="AA460" s="501"/>
      <c r="AB460" s="296" t="str">
        <f>D460&amp;".3"</f>
        <v>14.3</v>
      </c>
      <c r="AC460" s="769" t="s">
        <v>2449</v>
      </c>
      <c r="AD460" s="296" t="s">
        <v>936</v>
      </c>
      <c r="AE460" s="953"/>
      <c r="AF460" s="6531"/>
      <c r="AG460" s="6531"/>
      <c r="AH460" s="255">
        <f>AG460-AF460</f>
        <v>0</v>
      </c>
      <c r="AI460" s="953"/>
      <c r="AJ460" s="953"/>
      <c r="AK460" s="953"/>
      <c r="AL460" s="953"/>
      <c r="AM460" s="953"/>
      <c r="AN460" s="953"/>
      <c r="AO460" s="953"/>
      <c r="AP460" s="953"/>
      <c r="AQ460" s="953"/>
      <c r="AR460" s="953"/>
      <c r="AS460" s="953"/>
      <c r="AT460" s="953"/>
      <c r="AU460" s="953"/>
      <c r="AV460" s="953"/>
      <c r="AW460" s="953"/>
      <c r="AX460" s="953"/>
      <c r="AY460" s="953"/>
      <c r="AZ460" s="953"/>
      <c r="BA460" s="953"/>
      <c r="BB460" s="953"/>
      <c r="BC460" s="953"/>
      <c r="BD460" s="953"/>
      <c r="BE460" s="953"/>
      <c r="BF460" s="953"/>
      <c r="BG460" s="953"/>
      <c r="BH460" s="953"/>
      <c r="BI460" s="953"/>
      <c r="BJ460" s="953"/>
      <c r="BK460" s="953"/>
      <c r="BL460" s="953"/>
      <c r="BM460" s="953"/>
      <c r="BN460" s="6533"/>
      <c r="BO460" s="6533"/>
      <c r="BP460" s="6533"/>
      <c r="BQ460" s="1297"/>
      <c r="BR460" s="1297"/>
      <c r="BS460" s="1079" t="s">
        <v>2450</v>
      </c>
      <c r="BT460" s="1079"/>
      <c r="BU460" s="1079"/>
      <c r="BV460" s="1080"/>
      <c r="BW460" s="1080"/>
    </row>
    <row s="541" customFormat="1" customHeight="1" ht="50.671875">
      <c r="A461" s="1331"/>
      <c r="B461" s="430"/>
      <c r="C461" s="1331"/>
      <c r="D461" s="1331"/>
      <c r="E461" s="623">
        <v>15</v>
      </c>
      <c r="F461" s="94" cm="1" t="str">
        <f t="array" ref="F461:F461">X461</f>
        <v>3</v>
      </c>
      <c r="G461" s="94" cm="1" t="str">
        <f t="array" ref="G461:G461">INDEX('Общие сведения'!$AK$197:$AK$254,MATCH($X461,'Общие сведения'!$Z$197:$Z$254,0))</f>
        <v>одноставочный</v>
      </c>
      <c r="H461" s="1331"/>
      <c r="I461" s="94"/>
      <c r="J461" s="1331"/>
      <c r="K461" s="1331"/>
      <c r="L461" s="990"/>
      <c r="M461" s="428"/>
      <c r="N461" s="1331"/>
      <c r="O461" s="1331"/>
      <c r="P461" s="1331"/>
      <c r="Q461" s="1331"/>
      <c r="R461" s="1331"/>
      <c r="S461" s="118" cm="1" t="str">
        <f t="array" ref="S461:S461">INDEX('Общие сведения'!$AE$197:$AE$254,MATCH($X461,'Общие сведения'!$Z$197:$Z$254,0))</f>
        <v>Водоотведение</v>
      </c>
      <c r="T461" s="468">
        <f>X461&gt;0</f>
        <v>1</v>
      </c>
      <c r="U461" s="1331"/>
      <c r="V461" s="118" cm="1" t="str">
        <f t="array" ref="V461:V461">'Калькуляция (МИ)'!$AB$459</f>
        <v>Тариф 3 (Водоотведение) - тариф на водоотведение (Оказание услуг на территории: город Полысаево (ОКТМО: 32732000) - г Полысаево)</v>
      </c>
      <c r="W461" s="1331"/>
      <c r="X461" s="1539" t="s">
        <v>234</v>
      </c>
      <c r="Y461" s="1331"/>
      <c r="Z461" s="1529"/>
      <c r="AA461" s="1331"/>
      <c r="AB461" s="377" cm="1" t="str">
        <f t="array" ref="AB461:AB461">'Калькуляция (МИ)'!$AB$459</f>
        <v>Тариф 3 (Водоотведение) - тариф на водоотведение (Оказание услуг на территории: город Полысаево (ОКТМО: 32732000) - г Полысаево)</v>
      </c>
      <c r="AC461" s="248"/>
      <c r="AD461" s="248"/>
      <c r="AE461" s="248"/>
      <c r="AF461" s="248"/>
      <c r="AG461" s="248"/>
      <c r="AH461" s="248"/>
      <c r="AI461" s="248"/>
      <c r="AJ461" s="248"/>
      <c r="AK461" s="248"/>
      <c r="AL461" s="248"/>
      <c r="AM461" s="248"/>
      <c r="AN461" s="248"/>
      <c r="AO461" s="248"/>
      <c r="AP461" s="248"/>
      <c r="AQ461" s="248"/>
      <c r="AR461" s="248"/>
      <c r="AS461" s="248"/>
      <c r="AT461" s="248"/>
      <c r="AU461" s="248"/>
      <c r="AV461" s="248"/>
      <c r="AW461" s="248"/>
      <c r="AX461" s="248"/>
      <c r="AY461" s="248"/>
      <c r="AZ461" s="248"/>
      <c r="BA461" s="248"/>
      <c r="BB461" s="248"/>
      <c r="BC461" s="248"/>
      <c r="BD461" s="248"/>
      <c r="BE461" s="248"/>
      <c r="BF461" s="248"/>
      <c r="BG461" s="248"/>
      <c r="BH461" s="248"/>
      <c r="BI461" s="248"/>
      <c r="BJ461" s="248"/>
      <c r="BK461" s="248"/>
      <c r="BL461" s="248"/>
      <c r="BM461" s="248"/>
      <c r="BN461" s="248"/>
      <c r="BO461" s="248"/>
      <c r="BP461" s="248"/>
      <c r="BQ461" s="1331"/>
      <c r="BR461" s="1331"/>
      <c r="BS461" s="1005"/>
      <c r="BT461" s="1005"/>
      <c r="BU461" s="1005"/>
      <c r="BV461" s="623"/>
      <c r="BW461" s="623"/>
    </row>
    <row s="6653" customFormat="1" customHeight="1" ht="229.63541666666666">
      <c r="A462" s="157"/>
      <c r="B462" s="436"/>
      <c r="C462" s="157"/>
      <c r="D462" s="157"/>
      <c r="E462" s="711">
        <v>21</v>
      </c>
      <c r="F462" s="50" cm="1" t="str">
        <f t="array" ref="F462:F462">OFFSET(E462,-1,1)</f>
        <v>3</v>
      </c>
      <c r="G462" s="157"/>
      <c r="H462" s="373"/>
      <c r="I462" s="373" t="s">
        <v>344</v>
      </c>
      <c r="J462" s="157"/>
      <c r="K462" s="373" t="s">
        <v>344</v>
      </c>
      <c r="L462" s="991"/>
      <c r="M462" s="862"/>
      <c r="N462" s="157"/>
      <c r="O462" s="157"/>
      <c r="P462" s="157"/>
      <c r="Q462" s="157"/>
      <c r="R462" s="157" t="s">
        <v>2470</v>
      </c>
      <c r="S462" s="157"/>
      <c r="T462" s="468" cm="1" t="str">
        <f t="array" ref="T462:T462">T461</f>
        <v>true</v>
      </c>
      <c r="U462" s="157"/>
      <c r="V462" s="157"/>
      <c r="W462" s="157"/>
      <c r="X462" s="1539"/>
      <c r="Y462" s="157"/>
      <c r="Z462" s="1529"/>
      <c r="AA462" s="157"/>
      <c r="AB462" s="243" t="s">
        <v>290</v>
      </c>
      <c r="AC462" s="208" t="s">
        <v>2174</v>
      </c>
      <c r="AD462" s="230" t="s">
        <v>936</v>
      </c>
      <c r="AE462" s="6518">
        <f>SUM(AE464,AE481,AE487,AE507,AE508,AE509)</f>
        <v>54535.19</v>
      </c>
      <c r="AF462" s="768">
        <f>SUM(AF464,AF481,AF487,AF507,AF508,AF509)</f>
        <v>53566.6</v>
      </c>
      <c r="AG462" s="768">
        <f>SUM(AG464,AG481,AG487,AG507,AG508,AG509)</f>
        <v>55284.73</v>
      </c>
      <c r="AH462" s="768">
        <f>AG462-AF462</f>
        <v>1718.13</v>
      </c>
      <c r="AI462" s="6519">
        <v>61294.18</v>
      </c>
      <c r="AJ462" s="6519">
        <v>70563.29</v>
      </c>
      <c r="AK462" s="1265">
        <f>AJ462*AK463</f>
        <v>70563.29</v>
      </c>
      <c r="AL462" s="1265">
        <f>AK462*AL463</f>
        <v>70563.29</v>
      </c>
      <c r="AM462" s="1265">
        <f>AL462*AM463</f>
        <v>70563.29</v>
      </c>
      <c r="AN462" s="1265">
        <f>AM462*AN463</f>
        <v>70563.29</v>
      </c>
      <c r="AO462" s="1265">
        <f>AN462*AO463</f>
        <v>70563.29</v>
      </c>
      <c r="AP462" s="1265">
        <f>AO462*AP463</f>
        <v>70563.29</v>
      </c>
      <c r="AQ462" s="1265">
        <f>AP462*AQ463</f>
        <v>70563.29</v>
      </c>
      <c r="AR462" s="1265">
        <f>AQ462*AR463</f>
        <v>70563.29</v>
      </c>
      <c r="AS462" s="1265">
        <f>AR462*AS463</f>
        <v>70563.29</v>
      </c>
      <c r="AT462" s="6519">
        <v>61353.49</v>
      </c>
      <c r="AU462" s="1265">
        <f>AT462*AU463</f>
        <v>61353.49</v>
      </c>
      <c r="AV462" s="1265">
        <f>AU462*AV463</f>
        <v>61353.49</v>
      </c>
      <c r="AW462" s="1265">
        <f>AV462*AW463</f>
        <v>61353.49</v>
      </c>
      <c r="AX462" s="1265">
        <f>AW462*AX463</f>
        <v>61353.49</v>
      </c>
      <c r="AY462" s="1265">
        <f>AX462*AY463</f>
        <v>61353.49</v>
      </c>
      <c r="AZ462" s="1265">
        <f>AY462*AZ463</f>
        <v>61353.49</v>
      </c>
      <c r="BA462" s="1265">
        <f>AZ462*BA463</f>
        <v>61353.49</v>
      </c>
      <c r="BB462" s="1265">
        <f>BA462*BB463</f>
        <v>61353.49</v>
      </c>
      <c r="BC462" s="1265">
        <f>BB462*BC463</f>
        <v>61353.49</v>
      </c>
      <c r="BD462" s="768">
        <f>IF(AI462=0,0,(AT462-AI462)/AI462*100)</f>
        <v>0.0967628574197382</v>
      </c>
      <c r="BE462" s="768">
        <f>IF(AT462=0,0,(AU462-AT462)/AT462*100)</f>
        <v>0</v>
      </c>
      <c r="BF462" s="768">
        <f>IF(AU462=0,0,(AV462-AU462)/AU462*100)</f>
        <v>0</v>
      </c>
      <c r="BG462" s="768">
        <f>IF(AV462=0,0,(AW462-AV462)/AV462*100)</f>
        <v>0</v>
      </c>
      <c r="BH462" s="768">
        <f>IF(AW462=0,0,(AX462-AW462)/AW462*100)</f>
        <v>0</v>
      </c>
      <c r="BI462" s="768">
        <f>IF(AX462=0,0,(AY462-AX462)/AX462*100)</f>
        <v>0</v>
      </c>
      <c r="BJ462" s="768">
        <f>IF(AY462=0,0,(AZ462-AY462)/AY462*100)</f>
        <v>0</v>
      </c>
      <c r="BK462" s="768">
        <f>IF(AZ462=0,0,(BA462-AZ462)/AZ462*100)</f>
        <v>0</v>
      </c>
      <c r="BL462" s="768">
        <f>IF(BA462=0,0,(BB462-BA462)/BA462*100)</f>
        <v>0</v>
      </c>
      <c r="BM462" s="768">
        <f>IF(BB462=0,0,(BC462-BB462)/BB462*100)</f>
        <v>0</v>
      </c>
      <c r="BN462" s="6520" t="s">
        <v>2472</v>
      </c>
      <c r="BO462" s="6521" t="s">
        <v>2473</v>
      </c>
      <c r="BP462" s="6521" t="s">
        <v>2594</v>
      </c>
      <c r="BQ462" s="156"/>
      <c r="BR462" s="157"/>
      <c r="BS462" s="1076" t="s">
        <v>649</v>
      </c>
      <c r="BT462" s="1076"/>
      <c r="BU462" s="1076"/>
      <c r="BV462" s="711"/>
      <c r="BW462" s="711"/>
    </row>
    <row s="1656" customFormat="1" customHeight="1" ht="117.75">
      <c r="A463" s="1297"/>
      <c r="B463" s="986"/>
      <c r="C463" s="1297"/>
      <c r="D463" s="1297"/>
      <c r="E463" s="709">
        <v>15</v>
      </c>
      <c r="F463" s="50" cm="1" t="str">
        <f t="array" ref="F463:F463">OFFSET(E463,-1,1)</f>
        <v>3</v>
      </c>
      <c r="G463" s="1297"/>
      <c r="H463" s="374"/>
      <c r="I463" s="374" t="s">
        <v>566</v>
      </c>
      <c r="J463" s="1297"/>
      <c r="K463" s="374" t="s">
        <v>566</v>
      </c>
      <c r="L463" s="988"/>
      <c r="M463" s="103"/>
      <c r="N463" s="1297"/>
      <c r="O463" s="1297"/>
      <c r="P463" s="1297"/>
      <c r="Q463" s="1297"/>
      <c r="R463" s="157" t="s">
        <v>2470</v>
      </c>
      <c r="S463" s="1297"/>
      <c r="T463" s="468" cm="1" t="str">
        <f t="array" ref="T463:T463">T462</f>
        <v>true</v>
      </c>
      <c r="U463" s="1297"/>
      <c r="V463" s="1297"/>
      <c r="W463" s="1297"/>
      <c r="X463" s="1539"/>
      <c r="Y463" s="1297"/>
      <c r="Z463" s="1529"/>
      <c r="AA463" s="1297"/>
      <c r="AB463" s="295" t="s">
        <v>1067</v>
      </c>
      <c r="AC463" s="769" t="s">
        <v>2175</v>
      </c>
      <c r="AD463" s="296"/>
      <c r="AE463" s="6522">
        <v>1.0700662876</v>
      </c>
      <c r="AF463" s="6522"/>
      <c r="AG463" s="6522"/>
      <c r="AH463" s="949">
        <f>AG463-AF463</f>
        <v>0</v>
      </c>
      <c r="AI463" s="6522">
        <v>1.1239381398</v>
      </c>
      <c r="AJ463" s="6522">
        <f>_xlfn.SUMIFS(INDEX(Сценарии!$AE$25:$BF$136,,MATCH(AJ$8,Сценарии!$AE$8:$BF$8,0)),Сценарии!$F$25:$F$136,$F463,Сценарии!$G$25:$G$136,"ИОР")</f>
        <v>1.03257</v>
      </c>
      <c r="AK463" s="1271">
        <f>_xlfn.SUMIFS(INDEX(Сценарии!$AE$25:$BF$136,,MATCH(AK$8,Сценарии!$AE$8:$BF$8,0)),Сценарии!$F$25:$F$136,$F463,Сценарии!$G$25:$G$136,"ИОР")</f>
        <v>1</v>
      </c>
      <c r="AL463" s="1271">
        <f>_xlfn.SUMIFS(INDEX(Сценарии!$AE$25:$BF$136,,MATCH(AL$8,Сценарии!$AE$8:$BF$8,0)),Сценарии!$F$25:$F$136,$F463,Сценарии!$G$25:$G$136,"ИОР")</f>
        <v>1</v>
      </c>
      <c r="AM463" s="1271">
        <f>_xlfn.SUMIFS(INDEX(Сценарии!$AE$25:$BF$136,,MATCH(AM$8,Сценарии!$AE$8:$BF$8,0)),Сценарии!$F$25:$F$136,$F463,Сценарии!$G$25:$G$136,"ИОР")</f>
        <v>1</v>
      </c>
      <c r="AN463" s="1271">
        <f>_xlfn.SUMIFS(INDEX(Сценарии!$AE$25:$BF$136,,MATCH(AN$8,Сценарии!$AE$8:$BF$8,0)),Сценарии!$F$25:$F$136,$F463,Сценарии!$G$25:$G$136,"ИОР")</f>
        <v>1</v>
      </c>
      <c r="AO463" s="1271">
        <f>_xlfn.SUMIFS(INDEX(Сценарии!$AE$25:$BF$136,,MATCH(AO$8,Сценарии!$AE$8:$BF$8,0)),Сценарии!$F$25:$F$136,$F463,Сценарии!$G$25:$G$136,"ИОР")</f>
        <v>1</v>
      </c>
      <c r="AP463" s="1271">
        <f>_xlfn.SUMIFS(INDEX(Сценарии!$AE$25:$BF$136,,MATCH(AP$8,Сценарии!$AE$8:$BF$8,0)),Сценарии!$F$25:$F$136,$F463,Сценарии!$G$25:$G$136,"ИОР")</f>
        <v>1</v>
      </c>
      <c r="AQ463" s="1271">
        <f>_xlfn.SUMIFS(INDEX(Сценарии!$AE$25:$BF$136,,MATCH(AQ$8,Сценарии!$AE$8:$BF$8,0)),Сценарии!$F$25:$F$136,$F463,Сценарии!$G$25:$G$136,"ИОР")</f>
        <v>1</v>
      </c>
      <c r="AR463" s="1271">
        <f>_xlfn.SUMIFS(INDEX(Сценарии!$AE$25:$BF$136,,MATCH(AR$8,Сценарии!$AE$8:$BF$8,0)),Сценарии!$F$25:$F$136,$F463,Сценарии!$G$25:$G$136,"ИОР")</f>
        <v>1</v>
      </c>
      <c r="AS463" s="1271">
        <f>_xlfn.SUMIFS(INDEX(Сценарии!$AE$25:$BF$136,,MATCH(AS$8,Сценарии!$AE$8:$BF$8,0)),Сценарии!$F$25:$F$136,$F463,Сценарии!$G$25:$G$136,"ИОР")</f>
        <v>1</v>
      </c>
      <c r="AT463" s="6522">
        <f>_xlfn.SUMIFS(INDEX(Сценарии!$AE$25:$BF$136,,MATCH(AT$8,Сценарии!$AE$8:$BF$8,0)),Сценарии!$F$25:$F$136,$F463,Сценарии!$G$25:$G$136,"ИОР")</f>
        <v>1.04049</v>
      </c>
      <c r="AU463" s="1271">
        <f>_xlfn.SUMIFS(INDEX(Сценарии!$AE$25:$BF$136,,MATCH(AU$8,Сценарии!$AE$8:$BF$8,0)),Сценарии!$F$25:$F$136,$F463,Сценарии!$G$25:$G$136,"ИОР")</f>
        <v>1</v>
      </c>
      <c r="AV463" s="1271">
        <f>_xlfn.SUMIFS(INDEX(Сценарии!$AE$25:$BF$136,,MATCH(AV$8,Сценарии!$AE$8:$BF$8,0)),Сценарии!$F$25:$F$136,$F463,Сценарии!$G$25:$G$136,"ИОР")</f>
        <v>1</v>
      </c>
      <c r="AW463" s="1271">
        <f>_xlfn.SUMIFS(INDEX(Сценарии!$AE$25:$BF$136,,MATCH(AW$8,Сценарии!$AE$8:$BF$8,0)),Сценарии!$F$25:$F$136,$F463,Сценарии!$G$25:$G$136,"ИОР")</f>
        <v>1</v>
      </c>
      <c r="AX463" s="1271">
        <f>_xlfn.SUMIFS(INDEX(Сценарии!$AE$25:$BF$136,,MATCH(AX$8,Сценарии!$AE$8:$BF$8,0)),Сценарии!$F$25:$F$136,$F463,Сценарии!$G$25:$G$136,"ИОР")</f>
        <v>1</v>
      </c>
      <c r="AY463" s="1271">
        <f>_xlfn.SUMIFS(INDEX(Сценарии!$AE$25:$BF$136,,MATCH(AY$8,Сценарии!$AE$8:$BF$8,0)),Сценарии!$F$25:$F$136,$F463,Сценарии!$G$25:$G$136,"ИОР")</f>
        <v>1</v>
      </c>
      <c r="AZ463" s="1271">
        <f>_xlfn.SUMIFS(INDEX(Сценарии!$AE$25:$BF$136,,MATCH(AZ$8,Сценарии!$AE$8:$BF$8,0)),Сценарии!$F$25:$F$136,$F463,Сценарии!$G$25:$G$136,"ИОР")</f>
        <v>1</v>
      </c>
      <c r="BA463" s="1271">
        <f>_xlfn.SUMIFS(INDEX(Сценарии!$AE$25:$BF$136,,MATCH(BA$8,Сценарии!$AE$8:$BF$8,0)),Сценарии!$F$25:$F$136,$F463,Сценарии!$G$25:$G$136,"ИОР")</f>
        <v>1</v>
      </c>
      <c r="BB463" s="1271">
        <f>_xlfn.SUMIFS(INDEX(Сценарии!$AE$25:$BF$136,,MATCH(BB$8,Сценарии!$AE$8:$BF$8,0)),Сценарии!$F$25:$F$136,$F463,Сценарии!$G$25:$G$136,"ИОР")</f>
        <v>1</v>
      </c>
      <c r="BC463" s="1271">
        <f>_xlfn.SUMIFS(INDEX(Сценарии!$AE$25:$BF$136,,MATCH(BC$8,Сценарии!$AE$8:$BF$8,0)),Сценарии!$F$25:$F$136,$F463,Сценарии!$G$25:$G$136,"ИОР")</f>
        <v>1</v>
      </c>
      <c r="BD463" s="950"/>
      <c r="BE463" s="950"/>
      <c r="BF463" s="950"/>
      <c r="BG463" s="950"/>
      <c r="BH463" s="950"/>
      <c r="BI463" s="950"/>
      <c r="BJ463" s="950"/>
      <c r="BK463" s="950"/>
      <c r="BL463" s="950"/>
      <c r="BM463" s="950"/>
      <c r="BN463" s="6521"/>
      <c r="BO463" s="6521" t="s">
        <v>2551</v>
      </c>
      <c r="BP463" s="6521"/>
      <c r="BQ463" s="1297"/>
      <c r="BR463" s="1297"/>
      <c r="BS463" s="1072" t="s">
        <v>2176</v>
      </c>
      <c r="BT463" s="1072"/>
      <c r="BU463" s="1072"/>
      <c r="BV463" s="987"/>
      <c r="BW463" s="987"/>
    </row>
    <row s="436" customFormat="1" customHeight="1" ht="20.25">
      <c r="A464" s="156"/>
      <c r="B464" s="436"/>
      <c r="C464" s="156"/>
      <c r="D464" s="156"/>
      <c r="E464" s="712">
        <v>21</v>
      </c>
      <c r="F464" s="50" cm="1" t="str">
        <f t="array" ref="F464:F464">OFFSET(E464,-1,1)</f>
        <v>3</v>
      </c>
      <c r="G464" s="156"/>
      <c r="H464" s="373"/>
      <c r="I464" s="373" t="s">
        <v>570</v>
      </c>
      <c r="J464" s="156"/>
      <c r="K464" s="373" t="s">
        <v>570</v>
      </c>
      <c r="L464" s="992" t="s">
        <v>344</v>
      </c>
      <c r="M464" s="865"/>
      <c r="N464" s="156"/>
      <c r="O464" s="156"/>
      <c r="P464" s="156"/>
      <c r="Q464" s="154" t="s">
        <v>2470</v>
      </c>
      <c r="R464" s="157" t="s">
        <v>2470</v>
      </c>
      <c r="S464" s="156"/>
      <c r="T464" s="468" cm="1" t="str">
        <f t="array" ref="T464:T464">T463</f>
        <v>true</v>
      </c>
      <c r="U464" s="156"/>
      <c r="V464" s="156"/>
      <c r="W464" s="156"/>
      <c r="X464" s="1539"/>
      <c r="Y464" s="156"/>
      <c r="Z464" s="1529"/>
      <c r="AA464" s="156"/>
      <c r="AB464" s="243" t="s">
        <v>1070</v>
      </c>
      <c r="AC464" s="357" t="s">
        <v>1972</v>
      </c>
      <c r="AD464" s="230" t="s">
        <v>936</v>
      </c>
      <c r="AE464" s="768">
        <f>SUM(AE465,AE468,AE469,AE472,AE473)</f>
        <v>37399.85</v>
      </c>
      <c r="AF464" s="768">
        <f>SUM(AF465,AF468,AF469,AF472,AF473)</f>
        <v>1223.84</v>
      </c>
      <c r="AG464" s="768">
        <f>SUM(AG465,AG468,AG469,AG472,AG473)</f>
        <v>0</v>
      </c>
      <c r="AH464" s="768">
        <f>AG464-AF464</f>
        <v>-1223.84</v>
      </c>
      <c r="AI464" s="6485">
        <f>SUM(AI465,AI468,AI469,AI472,AI473)</f>
        <v>0</v>
      </c>
      <c r="AJ464" s="6522"/>
      <c r="AK464" s="771"/>
      <c r="AL464" s="771"/>
      <c r="AM464" s="771"/>
      <c r="AN464" s="771"/>
      <c r="AO464" s="771"/>
      <c r="AP464" s="771"/>
      <c r="AQ464" s="771"/>
      <c r="AR464" s="771"/>
      <c r="AS464" s="771"/>
      <c r="AT464" s="771"/>
      <c r="AU464" s="771"/>
      <c r="AV464" s="771"/>
      <c r="AW464" s="771"/>
      <c r="AX464" s="771"/>
      <c r="AY464" s="771"/>
      <c r="AZ464" s="771"/>
      <c r="BA464" s="771"/>
      <c r="BB464" s="771"/>
      <c r="BC464" s="771"/>
      <c r="BD464" s="771"/>
      <c r="BE464" s="771"/>
      <c r="BF464" s="771"/>
      <c r="BG464" s="771"/>
      <c r="BH464" s="771"/>
      <c r="BI464" s="771"/>
      <c r="BJ464" s="771"/>
      <c r="BK464" s="771"/>
      <c r="BL464" s="771"/>
      <c r="BM464" s="771"/>
      <c r="BN464" s="6523"/>
      <c r="BO464" s="6523"/>
      <c r="BP464" s="6523"/>
      <c r="BQ464" s="156"/>
      <c r="BR464" s="156"/>
      <c r="BS464" s="1070" t="s">
        <v>621</v>
      </c>
      <c r="BT464" s="1077"/>
      <c r="BU464" s="1077"/>
      <c r="BV464" s="712"/>
      <c r="BW464" s="712"/>
    </row>
    <row s="1656" customFormat="1" customHeight="1" ht="14.25">
      <c r="A465" s="1297"/>
      <c r="B465" s="986"/>
      <c r="C465" s="1297"/>
      <c r="D465" s="1297"/>
      <c r="E465" s="709">
        <v>15</v>
      </c>
      <c r="F465" s="50" cm="1" t="str">
        <f t="array" ref="F465:F465">OFFSET(E465,-1,1)</f>
        <v>3</v>
      </c>
      <c r="G465" s="1297"/>
      <c r="H465" s="374"/>
      <c r="I465" s="374" t="s">
        <v>1550</v>
      </c>
      <c r="J465" s="1297"/>
      <c r="K465" s="374" t="s">
        <v>1550</v>
      </c>
      <c r="L465" s="988" t="s">
        <v>566</v>
      </c>
      <c r="M465" s="103"/>
      <c r="N465" s="1297"/>
      <c r="O465" s="1297"/>
      <c r="P465" s="1297"/>
      <c r="Q465" s="154" t="s">
        <v>2470</v>
      </c>
      <c r="R465" s="157" t="s">
        <v>2470</v>
      </c>
      <c r="S465" s="1297"/>
      <c r="T465" s="468" cm="1" t="str">
        <f t="array" ref="T465:T465">T464</f>
        <v>true</v>
      </c>
      <c r="U465" s="1297"/>
      <c r="V465" s="1297"/>
      <c r="W465" s="1297"/>
      <c r="X465" s="1539"/>
      <c r="Y465" s="1297"/>
      <c r="Z465" s="1529"/>
      <c r="AA465" s="1297"/>
      <c r="AB465" s="295" t="s">
        <v>1551</v>
      </c>
      <c r="AC465" s="772" t="s">
        <v>2177</v>
      </c>
      <c r="AD465" s="773" t="s">
        <v>936</v>
      </c>
      <c r="AE465" s="951">
        <f>SUM(AE466,AE467)</f>
        <v>0</v>
      </c>
      <c r="AF465" s="951">
        <f>SUM(AF466,AF467)</f>
        <v>0</v>
      </c>
      <c r="AG465" s="951">
        <f>SUM(AG466,AG467)</f>
        <v>0</v>
      </c>
      <c r="AH465" s="951">
        <f>AG465-AF465</f>
        <v>0</v>
      </c>
      <c r="AI465" s="6488">
        <f>SUM(AI466,AI467)</f>
        <v>0</v>
      </c>
      <c r="AJ465" s="6522"/>
      <c r="AK465" s="950"/>
      <c r="AL465" s="950"/>
      <c r="AM465" s="950"/>
      <c r="AN465" s="950"/>
      <c r="AO465" s="950"/>
      <c r="AP465" s="950"/>
      <c r="AQ465" s="950"/>
      <c r="AR465" s="950"/>
      <c r="AS465" s="950"/>
      <c r="AT465" s="950"/>
      <c r="AU465" s="950"/>
      <c r="AV465" s="950"/>
      <c r="AW465" s="950"/>
      <c r="AX465" s="950"/>
      <c r="AY465" s="950"/>
      <c r="AZ465" s="950"/>
      <c r="BA465" s="950"/>
      <c r="BB465" s="950"/>
      <c r="BC465" s="950"/>
      <c r="BD465" s="950"/>
      <c r="BE465" s="950"/>
      <c r="BF465" s="950"/>
      <c r="BG465" s="950"/>
      <c r="BH465" s="950"/>
      <c r="BI465" s="950"/>
      <c r="BJ465" s="950"/>
      <c r="BK465" s="950"/>
      <c r="BL465" s="950"/>
      <c r="BM465" s="950"/>
      <c r="BN465" s="6521"/>
      <c r="BO465" s="6521"/>
      <c r="BP465" s="6521"/>
      <c r="BQ465" s="106"/>
      <c r="BR465" s="1297"/>
      <c r="BS465" s="1071" t="s">
        <v>1974</v>
      </c>
      <c r="BT465" s="1072"/>
      <c r="BU465" s="1072"/>
      <c r="BV465" s="987"/>
      <c r="BW465" s="987"/>
    </row>
    <row s="1656" customFormat="1" customHeight="1" ht="14.25">
      <c r="A466" s="1297"/>
      <c r="B466" s="986"/>
      <c r="C466" s="1297"/>
      <c r="D466" s="1297"/>
      <c r="E466" s="709">
        <v>15</v>
      </c>
      <c r="F466" s="50" cm="1" t="str">
        <f t="array" ref="F466:F466">OFFSET(E466,-1,1)</f>
        <v>3</v>
      </c>
      <c r="G466" s="1297"/>
      <c r="H466" s="374"/>
      <c r="I466" s="374" t="s">
        <v>2178</v>
      </c>
      <c r="J466" s="1297"/>
      <c r="K466" s="374" t="s">
        <v>2178</v>
      </c>
      <c r="L466" s="988" t="s">
        <v>1201</v>
      </c>
      <c r="M466" s="103"/>
      <c r="N466" s="1297"/>
      <c r="O466" s="1297"/>
      <c r="P466" s="1297"/>
      <c r="Q466" s="154" t="s">
        <v>2470</v>
      </c>
      <c r="R466" s="157" t="s">
        <v>2470</v>
      </c>
      <c r="S466" s="1297"/>
      <c r="T466" s="468" cm="1" t="str">
        <f t="array" ref="T466:T466">T465</f>
        <v>true</v>
      </c>
      <c r="U466" s="1297"/>
      <c r="V466" s="1297"/>
      <c r="W466" s="1297"/>
      <c r="X466" s="1539"/>
      <c r="Y466" s="1297"/>
      <c r="Z466" s="1529"/>
      <c r="AA466" s="1297"/>
      <c r="AB466" s="295" t="s">
        <v>2179</v>
      </c>
      <c r="AC466" s="775" t="s">
        <v>1977</v>
      </c>
      <c r="AD466" s="773" t="s">
        <v>936</v>
      </c>
      <c r="AE466" s="6489">
        <f>_xlfn.SUMIFS('Сырье и материалы'!AE$25:AE$111,'Сырье и материалы'!$F$25:$F$111,$F466,'Сырье и материалы'!$I$25:$I$111,"Горюче-смазочные материалы")</f>
        <v>0</v>
      </c>
      <c r="AF466" s="6489">
        <f>_xlfn.SUMIFS('Сырье и материалы'!AF$25:AF$111,'Сырье и материалы'!$F$25:$F$111,$F466,'Сырье и материалы'!$I$25:$I$111,"Горюче-смазочные материалы")</f>
        <v>0</v>
      </c>
      <c r="AG466" s="6489">
        <f>_xlfn.SUMIFS('Сырье и материалы'!AG$25:AG$111,'Сырье и материалы'!$F$25:$F$111,$F466,'Сырье и материалы'!$I$25:$I$111,"Горюче-смазочные материалы")</f>
        <v>0</v>
      </c>
      <c r="AH466" s="951">
        <f>AG466-AF466</f>
        <v>0</v>
      </c>
      <c r="AI466" s="6490"/>
      <c r="AJ466" s="6522"/>
      <c r="AK466" s="950"/>
      <c r="AL466" s="950"/>
      <c r="AM466" s="950"/>
      <c r="AN466" s="950"/>
      <c r="AO466" s="950"/>
      <c r="AP466" s="950"/>
      <c r="AQ466" s="950"/>
      <c r="AR466" s="950"/>
      <c r="AS466" s="950"/>
      <c r="AT466" s="950"/>
      <c r="AU466" s="950"/>
      <c r="AV466" s="950"/>
      <c r="AW466" s="950"/>
      <c r="AX466" s="950"/>
      <c r="AY466" s="950"/>
      <c r="AZ466" s="950"/>
      <c r="BA466" s="950"/>
      <c r="BB466" s="950"/>
      <c r="BC466" s="950"/>
      <c r="BD466" s="950"/>
      <c r="BE466" s="950"/>
      <c r="BF466" s="950"/>
      <c r="BG466" s="950"/>
      <c r="BH466" s="950"/>
      <c r="BI466" s="950"/>
      <c r="BJ466" s="950"/>
      <c r="BK466" s="950"/>
      <c r="BL466" s="950"/>
      <c r="BM466" s="950"/>
      <c r="BN466" s="6521"/>
      <c r="BO466" s="6521"/>
      <c r="BP466" s="6521"/>
      <c r="BQ466" s="1297"/>
      <c r="BR466" s="1297"/>
      <c r="BS466" s="1070" t="s">
        <v>1978</v>
      </c>
      <c r="BT466" s="1072"/>
      <c r="BU466" s="1072"/>
      <c r="BV466" s="987"/>
      <c r="BW466" s="987"/>
    </row>
    <row s="1656" customFormat="1" customHeight="1" ht="14.25">
      <c r="A467" s="1297"/>
      <c r="B467" s="986"/>
      <c r="C467" s="1297"/>
      <c r="D467" s="1297"/>
      <c r="E467" s="709">
        <v>15</v>
      </c>
      <c r="F467" s="50" cm="1" t="str">
        <f t="array" ref="F467:F467">OFFSET(E467,-1,1)</f>
        <v>3</v>
      </c>
      <c r="G467" s="1297"/>
      <c r="H467" s="374"/>
      <c r="I467" s="374" t="s">
        <v>2180</v>
      </c>
      <c r="J467" s="1297"/>
      <c r="K467" s="374" t="s">
        <v>2180</v>
      </c>
      <c r="L467" s="988" t="s">
        <v>1525</v>
      </c>
      <c r="M467" s="103"/>
      <c r="N467" s="1297"/>
      <c r="O467" s="1297"/>
      <c r="P467" s="1297"/>
      <c r="Q467" s="154" t="s">
        <v>2470</v>
      </c>
      <c r="R467" s="157" t="s">
        <v>2470</v>
      </c>
      <c r="S467" s="1297"/>
      <c r="T467" s="468" cm="1" t="str">
        <f t="array" ref="T467:T467">T466</f>
        <v>true</v>
      </c>
      <c r="U467" s="1297"/>
      <c r="V467" s="1297"/>
      <c r="W467" s="1297"/>
      <c r="X467" s="1539"/>
      <c r="Y467" s="1297"/>
      <c r="Z467" s="1529"/>
      <c r="AA467" s="1297"/>
      <c r="AB467" s="295" t="s">
        <v>2181</v>
      </c>
      <c r="AC467" s="775" t="s">
        <v>1979</v>
      </c>
      <c r="AD467" s="773" t="s">
        <v>936</v>
      </c>
      <c r="AE467" s="6489">
        <f>_xlfn.SUMIFS('Сырье и материалы'!AE$25:AE$111,'Сырье и материалы'!$F$25:$F$111,$F467,'Сырье и материалы'!$I$25:$I$111,"Материалы")</f>
        <v>0</v>
      </c>
      <c r="AF467" s="6489">
        <f>_xlfn.SUMIFS('Сырье и материалы'!AF$25:AF$111,'Сырье и материалы'!$F$25:$F$111,$F467,'Сырье и материалы'!$I$25:$I$111,"Материалы")</f>
        <v>0</v>
      </c>
      <c r="AG467" s="6489">
        <f>_xlfn.SUMIFS('Сырье и материалы'!AG$25:AG$111,'Сырье и материалы'!$F$25:$F$111,$F467,'Сырье и материалы'!$I$25:$I$111,"Материалы")</f>
        <v>0</v>
      </c>
      <c r="AH467" s="951">
        <f>AG467-AF467</f>
        <v>0</v>
      </c>
      <c r="AI467" s="6490"/>
      <c r="AJ467" s="6522"/>
      <c r="AK467" s="950"/>
      <c r="AL467" s="950"/>
      <c r="AM467" s="950"/>
      <c r="AN467" s="950"/>
      <c r="AO467" s="950"/>
      <c r="AP467" s="950"/>
      <c r="AQ467" s="950"/>
      <c r="AR467" s="950"/>
      <c r="AS467" s="950"/>
      <c r="AT467" s="950"/>
      <c r="AU467" s="950"/>
      <c r="AV467" s="950"/>
      <c r="AW467" s="950"/>
      <c r="AX467" s="950"/>
      <c r="AY467" s="950"/>
      <c r="AZ467" s="950"/>
      <c r="BA467" s="950"/>
      <c r="BB467" s="950"/>
      <c r="BC467" s="950"/>
      <c r="BD467" s="950"/>
      <c r="BE467" s="950"/>
      <c r="BF467" s="950"/>
      <c r="BG467" s="950"/>
      <c r="BH467" s="950"/>
      <c r="BI467" s="950"/>
      <c r="BJ467" s="950"/>
      <c r="BK467" s="950"/>
      <c r="BL467" s="950"/>
      <c r="BM467" s="950"/>
      <c r="BN467" s="6521"/>
      <c r="BO467" s="6521"/>
      <c r="BP467" s="6521"/>
      <c r="BQ467" s="1297"/>
      <c r="BR467" s="1297"/>
      <c r="BS467" s="1070" t="s">
        <v>1980</v>
      </c>
      <c r="BT467" s="1072"/>
      <c r="BU467" s="1072"/>
      <c r="BV467" s="987"/>
      <c r="BW467" s="987"/>
    </row>
    <row s="1656" customFormat="1" customHeight="1" ht="21.75">
      <c r="A468" s="1297"/>
      <c r="B468" s="986"/>
      <c r="C468" s="1297"/>
      <c r="D468" s="1297"/>
      <c r="E468" s="709">
        <v>22.5</v>
      </c>
      <c r="F468" s="50" cm="1" t="str">
        <f t="array" ref="F468:F468">OFFSET(E468,-1,1)</f>
        <v>3</v>
      </c>
      <c r="G468" s="1297"/>
      <c r="H468" s="374"/>
      <c r="I468" s="374" t="s">
        <v>1553</v>
      </c>
      <c r="J468" s="1297"/>
      <c r="K468" s="374" t="s">
        <v>1553</v>
      </c>
      <c r="L468" s="988" t="s">
        <v>573</v>
      </c>
      <c r="M468" s="103"/>
      <c r="N468" s="1297"/>
      <c r="O468" s="1297"/>
      <c r="P468" s="1297"/>
      <c r="Q468" s="154" t="s">
        <v>2470</v>
      </c>
      <c r="R468" s="157" t="s">
        <v>2470</v>
      </c>
      <c r="S468" s="1297"/>
      <c r="T468" s="468" cm="1" t="str">
        <f t="array" ref="T468:T468">T467</f>
        <v>true</v>
      </c>
      <c r="U468" s="1297"/>
      <c r="V468" s="1297"/>
      <c r="W468" s="1297"/>
      <c r="X468" s="1539"/>
      <c r="Y468" s="1297"/>
      <c r="Z468" s="1529"/>
      <c r="AA468" s="1297"/>
      <c r="AB468" s="295" t="s">
        <v>1554</v>
      </c>
      <c r="AC468" s="772" t="s">
        <v>2182</v>
      </c>
      <c r="AD468" s="773" t="s">
        <v>936</v>
      </c>
      <c r="AE468" s="6524"/>
      <c r="AF468" s="6524"/>
      <c r="AG468" s="6524"/>
      <c r="AH468" s="951">
        <f>AG468-AF468</f>
        <v>0</v>
      </c>
      <c r="AI468" s="6490"/>
      <c r="AJ468" s="6522"/>
      <c r="AK468" s="950"/>
      <c r="AL468" s="950"/>
      <c r="AM468" s="950"/>
      <c r="AN468" s="950"/>
      <c r="AO468" s="950"/>
      <c r="AP468" s="950"/>
      <c r="AQ468" s="950"/>
      <c r="AR468" s="950"/>
      <c r="AS468" s="950"/>
      <c r="AT468" s="950"/>
      <c r="AU468" s="950"/>
      <c r="AV468" s="950"/>
      <c r="AW468" s="950"/>
      <c r="AX468" s="950"/>
      <c r="AY468" s="950"/>
      <c r="AZ468" s="950"/>
      <c r="BA468" s="950"/>
      <c r="BB468" s="950"/>
      <c r="BC468" s="950"/>
      <c r="BD468" s="950"/>
      <c r="BE468" s="950"/>
      <c r="BF468" s="950"/>
      <c r="BG468" s="950"/>
      <c r="BH468" s="950"/>
      <c r="BI468" s="950"/>
      <c r="BJ468" s="950"/>
      <c r="BK468" s="950"/>
      <c r="BL468" s="950"/>
      <c r="BM468" s="950"/>
      <c r="BN468" s="6521"/>
      <c r="BO468" s="6521"/>
      <c r="BP468" s="6521"/>
      <c r="BQ468" s="1297"/>
      <c r="BR468" s="1297"/>
      <c r="BS468" s="1071" t="s">
        <v>2005</v>
      </c>
      <c r="BT468" s="1072"/>
      <c r="BU468" s="1072"/>
      <c r="BV468" s="987"/>
      <c r="BW468" s="987"/>
    </row>
    <row s="1656" customFormat="1" customHeight="1" ht="72.421875">
      <c r="A469" s="1297"/>
      <c r="B469" s="986"/>
      <c r="C469" s="1297"/>
      <c r="D469" s="1297"/>
      <c r="E469" s="709">
        <v>22.5</v>
      </c>
      <c r="F469" s="50" cm="1" t="str">
        <f t="array" ref="F469:F469">OFFSET(E469,-1,1)</f>
        <v>3</v>
      </c>
      <c r="G469" s="1297"/>
      <c r="H469" s="374"/>
      <c r="I469" s="374" t="s">
        <v>1557</v>
      </c>
      <c r="J469" s="1297"/>
      <c r="K469" s="374" t="s">
        <v>1557</v>
      </c>
      <c r="L469" s="988" t="s">
        <v>577</v>
      </c>
      <c r="M469" s="103"/>
      <c r="N469" s="1297"/>
      <c r="O469" s="1297"/>
      <c r="P469" s="1297"/>
      <c r="Q469" s="154" t="s">
        <v>2470</v>
      </c>
      <c r="R469" s="157" t="s">
        <v>2470</v>
      </c>
      <c r="S469" s="1297"/>
      <c r="T469" s="468" cm="1" t="str">
        <f t="array" ref="T469:T469">T468</f>
        <v>true</v>
      </c>
      <c r="U469" s="1297"/>
      <c r="V469" s="1297"/>
      <c r="W469" s="1297"/>
      <c r="X469" s="1539"/>
      <c r="Y469" s="1297"/>
      <c r="Z469" s="1529"/>
      <c r="AA469" s="1297"/>
      <c r="AB469" s="295" t="s">
        <v>1558</v>
      </c>
      <c r="AC469" s="772" t="s">
        <v>2183</v>
      </c>
      <c r="AD469" s="773" t="s">
        <v>936</v>
      </c>
      <c r="AE469" s="952">
        <f>AE470+AE471</f>
        <v>36661.26</v>
      </c>
      <c r="AF469" s="952">
        <f>AF470+AF471</f>
        <v>1117.43</v>
      </c>
      <c r="AG469" s="952">
        <f>AG470+AG471</f>
        <v>0</v>
      </c>
      <c r="AH469" s="951">
        <f>AG469-AF469</f>
        <v>-1117.43</v>
      </c>
      <c r="AI469" s="6493">
        <f>AI470+AI471</f>
        <v>0</v>
      </c>
      <c r="AJ469" s="6522"/>
      <c r="AK469" s="950"/>
      <c r="AL469" s="950"/>
      <c r="AM469" s="950"/>
      <c r="AN469" s="950"/>
      <c r="AO469" s="950"/>
      <c r="AP469" s="950"/>
      <c r="AQ469" s="950"/>
      <c r="AR469" s="950"/>
      <c r="AS469" s="950"/>
      <c r="AT469" s="950"/>
      <c r="AU469" s="950"/>
      <c r="AV469" s="950"/>
      <c r="AW469" s="950"/>
      <c r="AX469" s="950"/>
      <c r="AY469" s="950"/>
      <c r="AZ469" s="950"/>
      <c r="BA469" s="950"/>
      <c r="BB469" s="950"/>
      <c r="BC469" s="950"/>
      <c r="BD469" s="950"/>
      <c r="BE469" s="950"/>
      <c r="BF469" s="950"/>
      <c r="BG469" s="950"/>
      <c r="BH469" s="950"/>
      <c r="BI469" s="950"/>
      <c r="BJ469" s="950"/>
      <c r="BK469" s="950"/>
      <c r="BL469" s="950"/>
      <c r="BM469" s="950"/>
      <c r="BN469" s="6521"/>
      <c r="BO469" s="6521"/>
      <c r="BP469" s="6521"/>
      <c r="BQ469" s="1297"/>
      <c r="BR469" s="1297"/>
      <c r="BS469" s="1071" t="s">
        <v>2184</v>
      </c>
      <c r="BT469" s="1072"/>
      <c r="BU469" s="1072"/>
      <c r="BV469" s="987"/>
      <c r="BW469" s="987"/>
    </row>
    <row s="1656" customFormat="1" customHeight="1" ht="44.671875">
      <c r="A470" s="1297"/>
      <c r="B470" s="986"/>
      <c r="C470" s="1297"/>
      <c r="D470" s="1297"/>
      <c r="E470" s="709">
        <v>15</v>
      </c>
      <c r="F470" s="50" cm="1" t="str">
        <f t="array" ref="F470:F470">OFFSET(E470,-1,1)</f>
        <v>3</v>
      </c>
      <c r="G470" s="345" t="s">
        <v>1350</v>
      </c>
      <c r="H470" s="374"/>
      <c r="I470" s="374" t="s">
        <v>1712</v>
      </c>
      <c r="J470" s="1297"/>
      <c r="K470" s="374" t="s">
        <v>1712</v>
      </c>
      <c r="L470" s="988" t="s">
        <v>1577</v>
      </c>
      <c r="M470" s="103"/>
      <c r="N470" s="1297"/>
      <c r="O470" s="1297"/>
      <c r="P470" s="1297"/>
      <c r="Q470" s="154" t="s">
        <v>2470</v>
      </c>
      <c r="R470" s="157" t="s">
        <v>2470</v>
      </c>
      <c r="S470" s="1297"/>
      <c r="T470" s="468" cm="1" t="str">
        <f t="array" ref="T470:T470">T469</f>
        <v>true</v>
      </c>
      <c r="U470" s="1297"/>
      <c r="V470" s="1297"/>
      <c r="W470" s="1297"/>
      <c r="X470" s="1539"/>
      <c r="Y470" s="1297"/>
      <c r="Z470" s="1529"/>
      <c r="AA470" s="1297"/>
      <c r="AB470" s="295" t="s">
        <v>2185</v>
      </c>
      <c r="AC470" s="775" t="s">
        <v>2008</v>
      </c>
      <c r="AD470" s="773" t="s">
        <v>936</v>
      </c>
      <c r="AE470" s="6524">
        <v>28156.39</v>
      </c>
      <c r="AF470" s="6524">
        <v>858.85</v>
      </c>
      <c r="AG470" s="6524"/>
      <c r="AH470" s="951">
        <f>AG470-AF470</f>
        <v>-858.85</v>
      </c>
      <c r="AI470" s="6490"/>
      <c r="AJ470" s="6522"/>
      <c r="AK470" s="950"/>
      <c r="AL470" s="950"/>
      <c r="AM470" s="950"/>
      <c r="AN470" s="950"/>
      <c r="AO470" s="950"/>
      <c r="AP470" s="950"/>
      <c r="AQ470" s="950"/>
      <c r="AR470" s="950"/>
      <c r="AS470" s="950"/>
      <c r="AT470" s="950"/>
      <c r="AU470" s="950"/>
      <c r="AV470" s="950"/>
      <c r="AW470" s="950"/>
      <c r="AX470" s="950"/>
      <c r="AY470" s="950"/>
      <c r="AZ470" s="950"/>
      <c r="BA470" s="950"/>
      <c r="BB470" s="950"/>
      <c r="BC470" s="950"/>
      <c r="BD470" s="950"/>
      <c r="BE470" s="950"/>
      <c r="BF470" s="950"/>
      <c r="BG470" s="950"/>
      <c r="BH470" s="950"/>
      <c r="BI470" s="950"/>
      <c r="BJ470" s="950"/>
      <c r="BK470" s="950"/>
      <c r="BL470" s="950"/>
      <c r="BM470" s="950"/>
      <c r="BN470" s="6521"/>
      <c r="BO470" s="6525"/>
      <c r="BP470" s="6521"/>
      <c r="BQ470" s="1297"/>
      <c r="BR470" s="1297"/>
      <c r="BS470" s="1070" t="s">
        <v>2009</v>
      </c>
      <c r="BT470" s="1072"/>
      <c r="BU470" s="1072"/>
      <c r="BV470" s="987"/>
      <c r="BW470" s="987"/>
    </row>
    <row s="1656" customFormat="1" customHeight="1" ht="53.671875">
      <c r="A471" s="1297"/>
      <c r="B471" s="986"/>
      <c r="C471" s="1297"/>
      <c r="D471" s="1297"/>
      <c r="E471" s="709">
        <v>22.5</v>
      </c>
      <c r="F471" s="50" cm="1" t="str">
        <f t="array" ref="F471:F471">OFFSET(E471,-1,1)</f>
        <v>3</v>
      </c>
      <c r="G471" s="345" t="s">
        <v>1362</v>
      </c>
      <c r="H471" s="374"/>
      <c r="I471" s="374" t="s">
        <v>1716</v>
      </c>
      <c r="J471" s="1297"/>
      <c r="K471" s="374" t="s">
        <v>1716</v>
      </c>
      <c r="L471" s="988" t="s">
        <v>1578</v>
      </c>
      <c r="M471" s="103"/>
      <c r="N471" s="1297"/>
      <c r="O471" s="1297"/>
      <c r="P471" s="1297"/>
      <c r="Q471" s="154" t="s">
        <v>2470</v>
      </c>
      <c r="R471" s="157" t="s">
        <v>2470</v>
      </c>
      <c r="S471" s="1297"/>
      <c r="T471" s="468" cm="1" t="str">
        <f t="array" ref="T471:T471">T470</f>
        <v>true</v>
      </c>
      <c r="U471" s="1297"/>
      <c r="V471" s="1297"/>
      <c r="W471" s="1297"/>
      <c r="X471" s="1539"/>
      <c r="Y471" s="1297"/>
      <c r="Z471" s="1529"/>
      <c r="AA471" s="1297"/>
      <c r="AB471" s="295" t="s">
        <v>2186</v>
      </c>
      <c r="AC471" s="775" t="s">
        <v>2187</v>
      </c>
      <c r="AD471" s="773" t="s">
        <v>936</v>
      </c>
      <c r="AE471" s="6524">
        <v>8504.87</v>
      </c>
      <c r="AF471" s="6524">
        <v>258.58</v>
      </c>
      <c r="AG471" s="6524">
        <f>AG470*_xlfn.SUMIFS(INDEX(Сценарии!$AE$25:$BF$136,,MATCH(AG$8,Сценарии!$AE$8:$BF$8,0)),Сценарии!$F$25:$F$136,$F471,Сценарии!$G$25:$G$136,"СВФОТ")/100</f>
        <v>0</v>
      </c>
      <c r="AH471" s="951">
        <f>AG471-AF471</f>
        <v>-258.58</v>
      </c>
      <c r="AI471" s="6490">
        <f>AI470*_xlfn.SUMIFS(INDEX(Сценарии!$AE$25:$BF$136,,MATCH(AG$8,Сценарии!$AE$8:$BF$8,0)),Сценарии!$F$25:$F$136,$F471,Сценарии!$G$25:$G$136,"СВФОТ")/100</f>
        <v>0</v>
      </c>
      <c r="AJ471" s="6522"/>
      <c r="AK471" s="950"/>
      <c r="AL471" s="950"/>
      <c r="AM471" s="950"/>
      <c r="AN471" s="950"/>
      <c r="AO471" s="950"/>
      <c r="AP471" s="950"/>
      <c r="AQ471" s="950"/>
      <c r="AR471" s="950"/>
      <c r="AS471" s="950"/>
      <c r="AT471" s="950"/>
      <c r="AU471" s="950"/>
      <c r="AV471" s="950"/>
      <c r="AW471" s="950"/>
      <c r="AX471" s="950"/>
      <c r="AY471" s="950"/>
      <c r="AZ471" s="950"/>
      <c r="BA471" s="950"/>
      <c r="BB471" s="950"/>
      <c r="BC471" s="950"/>
      <c r="BD471" s="950"/>
      <c r="BE471" s="950"/>
      <c r="BF471" s="950"/>
      <c r="BG471" s="950"/>
      <c r="BH471" s="950"/>
      <c r="BI471" s="950"/>
      <c r="BJ471" s="950"/>
      <c r="BK471" s="950"/>
      <c r="BL471" s="950"/>
      <c r="BM471" s="950"/>
      <c r="BN471" s="6521"/>
      <c r="BO471" s="6525" t="str">
        <f>IF(_xlfn.IFERROR(INDEX(ФОТ!$K$26:$L$127,MATCH($F471&amp;"2komm",ФОТ!$K$26:$K$127,0),2),"")=0,"",_xlfn.IFERROR(INDEX(ФОТ!$K$26:$L$127,MATCH($F471&amp;"2komm",ФОТ!$K$26:$K$127,0),2),""))</f>
        <v/>
      </c>
      <c r="BP471" s="6521"/>
      <c r="BQ471" s="1297"/>
      <c r="BR471" s="1297"/>
      <c r="BS471" s="1070" t="s">
        <v>2011</v>
      </c>
      <c r="BT471" s="1072"/>
      <c r="BU471" s="1072"/>
      <c r="BV471" s="987"/>
      <c r="BW471" s="987"/>
    </row>
    <row s="1656" customFormat="1" customHeight="1" ht="14.25">
      <c r="A472" s="1297"/>
      <c r="B472" s="986"/>
      <c r="C472" s="1297"/>
      <c r="D472" s="1297"/>
      <c r="E472" s="709">
        <v>15</v>
      </c>
      <c r="F472" s="50" cm="1" t="str">
        <f t="array" ref="F472:F472">OFFSET(E472,-1,1)</f>
        <v>3</v>
      </c>
      <c r="G472" s="1297"/>
      <c r="H472" s="374"/>
      <c r="I472" s="374" t="s">
        <v>1727</v>
      </c>
      <c r="J472" s="1297"/>
      <c r="K472" s="374" t="s">
        <v>1727</v>
      </c>
      <c r="L472" s="988" t="s">
        <v>2013</v>
      </c>
      <c r="M472" s="103"/>
      <c r="N472" s="1297"/>
      <c r="O472" s="1297"/>
      <c r="P472" s="1297"/>
      <c r="Q472" s="154" t="s">
        <v>2470</v>
      </c>
      <c r="R472" s="157" t="s">
        <v>2470</v>
      </c>
      <c r="S472" s="1297"/>
      <c r="T472" s="468" cm="1" t="str">
        <f t="array" ref="T472:T472">T471</f>
        <v>true</v>
      </c>
      <c r="U472" s="1297"/>
      <c r="V472" s="1297"/>
      <c r="W472" s="1297"/>
      <c r="X472" s="1539"/>
      <c r="Y472" s="1297"/>
      <c r="Z472" s="1529"/>
      <c r="AA472" s="1297"/>
      <c r="AB472" s="295" t="s">
        <v>1987</v>
      </c>
      <c r="AC472" s="772" t="s">
        <v>2188</v>
      </c>
      <c r="AD472" s="773" t="s">
        <v>936</v>
      </c>
      <c r="AE472" s="6524"/>
      <c r="AF472" s="6524"/>
      <c r="AG472" s="6524"/>
      <c r="AH472" s="951">
        <f>AG472-AF472</f>
        <v>0</v>
      </c>
      <c r="AI472" s="6490"/>
      <c r="AJ472" s="6522"/>
      <c r="AK472" s="950"/>
      <c r="AL472" s="950"/>
      <c r="AM472" s="950"/>
      <c r="AN472" s="950"/>
      <c r="AO472" s="950"/>
      <c r="AP472" s="950"/>
      <c r="AQ472" s="950"/>
      <c r="AR472" s="950"/>
      <c r="AS472" s="950"/>
      <c r="AT472" s="950"/>
      <c r="AU472" s="950"/>
      <c r="AV472" s="950"/>
      <c r="AW472" s="950"/>
      <c r="AX472" s="950"/>
      <c r="AY472" s="950"/>
      <c r="AZ472" s="950"/>
      <c r="BA472" s="950"/>
      <c r="BB472" s="950"/>
      <c r="BC472" s="950"/>
      <c r="BD472" s="950"/>
      <c r="BE472" s="950"/>
      <c r="BF472" s="950"/>
      <c r="BG472" s="950"/>
      <c r="BH472" s="950"/>
      <c r="BI472" s="950"/>
      <c r="BJ472" s="950"/>
      <c r="BK472" s="950"/>
      <c r="BL472" s="950"/>
      <c r="BM472" s="950"/>
      <c r="BN472" s="6521"/>
      <c r="BO472" s="6521"/>
      <c r="BP472" s="6521"/>
      <c r="BQ472" s="1297"/>
      <c r="BR472" s="1297"/>
      <c r="BS472" s="1071" t="s">
        <v>2016</v>
      </c>
      <c r="BT472" s="1072"/>
      <c r="BU472" s="1072"/>
      <c r="BV472" s="987"/>
      <c r="BW472" s="987"/>
    </row>
    <row s="1656" customFormat="1" customHeight="1" ht="32.671875">
      <c r="A473" s="1297"/>
      <c r="B473" s="986"/>
      <c r="C473" s="1297"/>
      <c r="D473" s="1297"/>
      <c r="E473" s="709">
        <v>15</v>
      </c>
      <c r="F473" s="50" cm="1" t="str">
        <f t="array" ref="F473:F473">OFFSET(E473,-1,1)</f>
        <v>3</v>
      </c>
      <c r="G473" s="1297"/>
      <c r="H473" s="374"/>
      <c r="I473" s="374" t="s">
        <v>1731</v>
      </c>
      <c r="J473" s="1297"/>
      <c r="K473" s="374" t="s">
        <v>1731</v>
      </c>
      <c r="L473" s="988" t="s">
        <v>2017</v>
      </c>
      <c r="M473" s="1297"/>
      <c r="N473" s="1297"/>
      <c r="O473" s="1297"/>
      <c r="P473" s="1297"/>
      <c r="Q473" s="154" t="s">
        <v>2470</v>
      </c>
      <c r="R473" s="157" t="s">
        <v>2470</v>
      </c>
      <c r="S473" s="1297"/>
      <c r="T473" s="468" cm="1" t="str">
        <f t="array" ref="T473:T473">T472</f>
        <v>true</v>
      </c>
      <c r="U473" s="1297"/>
      <c r="V473" s="1297"/>
      <c r="W473" s="1297"/>
      <c r="X473" s="1539"/>
      <c r="Y473" s="1297"/>
      <c r="Z473" s="1529"/>
      <c r="AA473" s="1297"/>
      <c r="AB473" s="295" t="s">
        <v>1989</v>
      </c>
      <c r="AC473" s="772" t="s">
        <v>2189</v>
      </c>
      <c r="AD473" s="296" t="s">
        <v>936</v>
      </c>
      <c r="AE473" s="952">
        <f>SUM(AE474:AE480)</f>
        <v>738.59</v>
      </c>
      <c r="AF473" s="952">
        <f>SUM(AF474:AF480)</f>
        <v>106.41</v>
      </c>
      <c r="AG473" s="952">
        <f>SUM(AG474:AG480)</f>
        <v>0</v>
      </c>
      <c r="AH473" s="951">
        <f>AG473-AF473</f>
        <v>-106.41</v>
      </c>
      <c r="AI473" s="6493">
        <f>SUM(AI474:AI480)</f>
        <v>0</v>
      </c>
      <c r="AJ473" s="6522"/>
      <c r="AK473" s="950"/>
      <c r="AL473" s="950"/>
      <c r="AM473" s="950"/>
      <c r="AN473" s="950"/>
      <c r="AO473" s="950"/>
      <c r="AP473" s="950"/>
      <c r="AQ473" s="950"/>
      <c r="AR473" s="950"/>
      <c r="AS473" s="950"/>
      <c r="AT473" s="950"/>
      <c r="AU473" s="950"/>
      <c r="AV473" s="950"/>
      <c r="AW473" s="950"/>
      <c r="AX473" s="950"/>
      <c r="AY473" s="950"/>
      <c r="AZ473" s="950"/>
      <c r="BA473" s="950"/>
      <c r="BB473" s="950"/>
      <c r="BC473" s="950"/>
      <c r="BD473" s="950"/>
      <c r="BE473" s="950"/>
      <c r="BF473" s="950"/>
      <c r="BG473" s="950"/>
      <c r="BH473" s="950"/>
      <c r="BI473" s="950"/>
      <c r="BJ473" s="950"/>
      <c r="BK473" s="950"/>
      <c r="BL473" s="950"/>
      <c r="BM473" s="950"/>
      <c r="BN473" s="6521"/>
      <c r="BO473" s="6521"/>
      <c r="BP473" s="6521"/>
      <c r="BQ473" s="1297"/>
      <c r="BR473" s="1297"/>
      <c r="BS473" s="1071" t="s">
        <v>2190</v>
      </c>
      <c r="BT473" s="1072"/>
      <c r="BU473" s="1072"/>
      <c r="BV473" s="987"/>
      <c r="BW473" s="987"/>
    </row>
    <row s="1656" customFormat="1" customHeight="1" ht="14.25">
      <c r="A474" s="1297"/>
      <c r="B474" s="986"/>
      <c r="C474" s="1297"/>
      <c r="D474" s="1297"/>
      <c r="E474" s="709">
        <v>15</v>
      </c>
      <c r="F474" s="50" cm="1" t="str">
        <f t="array" ref="F474:F474">OFFSET(E474,-1,1)</f>
        <v>3</v>
      </c>
      <c r="G474" s="1297"/>
      <c r="H474" s="374"/>
      <c r="I474" s="374" t="s">
        <v>2191</v>
      </c>
      <c r="J474" s="1297"/>
      <c r="K474" s="374" t="s">
        <v>2191</v>
      </c>
      <c r="L474" s="988" t="s">
        <v>2017</v>
      </c>
      <c r="M474" s="103" t="s">
        <v>2025</v>
      </c>
      <c r="N474" s="1297"/>
      <c r="O474" s="1297"/>
      <c r="P474" s="1297"/>
      <c r="Q474" s="154" t="s">
        <v>2470</v>
      </c>
      <c r="R474" s="157" t="s">
        <v>2470</v>
      </c>
      <c r="S474" s="1297"/>
      <c r="T474" s="468" cm="1" t="str">
        <f t="array" ref="T474:T474">T473</f>
        <v>true</v>
      </c>
      <c r="U474" s="1297"/>
      <c r="V474" s="1297"/>
      <c r="W474" s="1297"/>
      <c r="X474" s="1539"/>
      <c r="Y474" s="1297"/>
      <c r="Z474" s="1529"/>
      <c r="AA474" s="1297"/>
      <c r="AB474" s="295" t="s">
        <v>2192</v>
      </c>
      <c r="AC474" s="775" t="s">
        <v>2193</v>
      </c>
      <c r="AD474" s="296" t="s">
        <v>936</v>
      </c>
      <c r="AE474" s="6524"/>
      <c r="AF474" s="6524"/>
      <c r="AG474" s="6524"/>
      <c r="AH474" s="951">
        <f>AG474-AF474</f>
        <v>0</v>
      </c>
      <c r="AI474" s="6490"/>
      <c r="AJ474" s="6522"/>
      <c r="AK474" s="950"/>
      <c r="AL474" s="950"/>
      <c r="AM474" s="950"/>
      <c r="AN474" s="950"/>
      <c r="AO474" s="950"/>
      <c r="AP474" s="950"/>
      <c r="AQ474" s="950"/>
      <c r="AR474" s="950"/>
      <c r="AS474" s="950"/>
      <c r="AT474" s="950"/>
      <c r="AU474" s="950"/>
      <c r="AV474" s="950"/>
      <c r="AW474" s="950"/>
      <c r="AX474" s="950"/>
      <c r="AY474" s="950"/>
      <c r="AZ474" s="950"/>
      <c r="BA474" s="950"/>
      <c r="BB474" s="950"/>
      <c r="BC474" s="950"/>
      <c r="BD474" s="950"/>
      <c r="BE474" s="950"/>
      <c r="BF474" s="950"/>
      <c r="BG474" s="950"/>
      <c r="BH474" s="950"/>
      <c r="BI474" s="950"/>
      <c r="BJ474" s="950"/>
      <c r="BK474" s="950"/>
      <c r="BL474" s="950"/>
      <c r="BM474" s="950"/>
      <c r="BN474" s="6521"/>
      <c r="BO474" s="6521"/>
      <c r="BP474" s="6521"/>
      <c r="BQ474" s="1297"/>
      <c r="BR474" s="1297"/>
      <c r="BS474" s="1070" t="s">
        <v>2028</v>
      </c>
      <c r="BT474" s="1072"/>
      <c r="BU474" s="1072"/>
      <c r="BV474" s="987"/>
      <c r="BW474" s="987"/>
    </row>
    <row s="1656" customFormat="1" customHeight="1" ht="21.75">
      <c r="A475" s="1297"/>
      <c r="B475" s="986"/>
      <c r="C475" s="1297"/>
      <c r="D475" s="1297"/>
      <c r="E475" s="709">
        <v>22.5</v>
      </c>
      <c r="F475" s="50" cm="1" t="str">
        <f t="array" ref="F475:F475">OFFSET(E475,-1,1)</f>
        <v>3</v>
      </c>
      <c r="G475" s="1297"/>
      <c r="H475" s="374"/>
      <c r="I475" s="374" t="s">
        <v>2194</v>
      </c>
      <c r="J475" s="1297"/>
      <c r="K475" s="374" t="s">
        <v>2194</v>
      </c>
      <c r="L475" s="988" t="s">
        <v>2017</v>
      </c>
      <c r="M475" s="103" t="s">
        <v>2021</v>
      </c>
      <c r="N475" s="1297"/>
      <c r="O475" s="1297"/>
      <c r="P475" s="1297"/>
      <c r="Q475" s="154" t="s">
        <v>2470</v>
      </c>
      <c r="R475" s="157" t="s">
        <v>2470</v>
      </c>
      <c r="S475" s="1297"/>
      <c r="T475" s="468" cm="1" t="str">
        <f t="array" ref="T475:T475">T474</f>
        <v>true</v>
      </c>
      <c r="U475" s="1297"/>
      <c r="V475" s="1297"/>
      <c r="W475" s="1297"/>
      <c r="X475" s="1539"/>
      <c r="Y475" s="1297"/>
      <c r="Z475" s="1529"/>
      <c r="AA475" s="1297"/>
      <c r="AB475" s="295" t="s">
        <v>2195</v>
      </c>
      <c r="AC475" s="775" t="s">
        <v>2196</v>
      </c>
      <c r="AD475" s="296" t="s">
        <v>936</v>
      </c>
      <c r="AE475" s="6524"/>
      <c r="AF475" s="6524"/>
      <c r="AG475" s="6524"/>
      <c r="AH475" s="951">
        <f>AG475-AF475</f>
        <v>0</v>
      </c>
      <c r="AI475" s="6490"/>
      <c r="AJ475" s="6522"/>
      <c r="AK475" s="950"/>
      <c r="AL475" s="950"/>
      <c r="AM475" s="950"/>
      <c r="AN475" s="950"/>
      <c r="AO475" s="950"/>
      <c r="AP475" s="950"/>
      <c r="AQ475" s="950"/>
      <c r="AR475" s="950"/>
      <c r="AS475" s="950"/>
      <c r="AT475" s="950"/>
      <c r="AU475" s="950"/>
      <c r="AV475" s="950"/>
      <c r="AW475" s="950"/>
      <c r="AX475" s="950"/>
      <c r="AY475" s="950"/>
      <c r="AZ475" s="950"/>
      <c r="BA475" s="950"/>
      <c r="BB475" s="950"/>
      <c r="BC475" s="950"/>
      <c r="BD475" s="950"/>
      <c r="BE475" s="950"/>
      <c r="BF475" s="950"/>
      <c r="BG475" s="950"/>
      <c r="BH475" s="950"/>
      <c r="BI475" s="950"/>
      <c r="BJ475" s="950"/>
      <c r="BK475" s="950"/>
      <c r="BL475" s="950"/>
      <c r="BM475" s="950"/>
      <c r="BN475" s="6521"/>
      <c r="BO475" s="6521"/>
      <c r="BP475" s="6521"/>
      <c r="BQ475" s="1297"/>
      <c r="BR475" s="1297"/>
      <c r="BS475" s="1072" t="s">
        <v>2197</v>
      </c>
      <c r="BT475" s="1072"/>
      <c r="BU475" s="1072"/>
      <c r="BV475" s="987"/>
      <c r="BW475" s="987"/>
    </row>
    <row s="1656" customFormat="1" customHeight="1" ht="21.75">
      <c r="A476" s="1297"/>
      <c r="B476" s="986"/>
      <c r="C476" s="1297"/>
      <c r="D476" s="1297"/>
      <c r="E476" s="709">
        <v>22.5</v>
      </c>
      <c r="F476" s="50" cm="1" t="str">
        <f t="array" ref="F476:F476">OFFSET(E476,-1,1)</f>
        <v>3</v>
      </c>
      <c r="G476" s="1297"/>
      <c r="H476" s="374"/>
      <c r="I476" s="374" t="s">
        <v>2198</v>
      </c>
      <c r="J476" s="1297"/>
      <c r="K476" s="374" t="s">
        <v>2198</v>
      </c>
      <c r="L476" s="1297"/>
      <c r="M476" s="1297"/>
      <c r="N476" s="1297"/>
      <c r="O476" s="1297"/>
      <c r="P476" s="1297"/>
      <c r="Q476" s="154" t="s">
        <v>2470</v>
      </c>
      <c r="R476" s="157" t="s">
        <v>2470</v>
      </c>
      <c r="S476" s="1297"/>
      <c r="T476" s="468" cm="1" t="str">
        <f t="array" ref="T476:T476">T475</f>
        <v>true</v>
      </c>
      <c r="U476" s="1297"/>
      <c r="V476" s="1297"/>
      <c r="W476" s="1297"/>
      <c r="X476" s="1539"/>
      <c r="Y476" s="1297"/>
      <c r="Z476" s="1529"/>
      <c r="AA476" s="1297"/>
      <c r="AB476" s="295" t="s">
        <v>2199</v>
      </c>
      <c r="AC476" s="776" t="s">
        <v>2200</v>
      </c>
      <c r="AD476" s="296" t="s">
        <v>936</v>
      </c>
      <c r="AE476" s="6524"/>
      <c r="AF476" s="6524"/>
      <c r="AG476" s="6524"/>
      <c r="AH476" s="951">
        <f>AG476-AF476</f>
        <v>0</v>
      </c>
      <c r="AI476" s="6490"/>
      <c r="AJ476" s="6522"/>
      <c r="AK476" s="950"/>
      <c r="AL476" s="950"/>
      <c r="AM476" s="950"/>
      <c r="AN476" s="950"/>
      <c r="AO476" s="950"/>
      <c r="AP476" s="950"/>
      <c r="AQ476" s="950"/>
      <c r="AR476" s="950"/>
      <c r="AS476" s="950"/>
      <c r="AT476" s="950"/>
      <c r="AU476" s="950"/>
      <c r="AV476" s="950"/>
      <c r="AW476" s="950"/>
      <c r="AX476" s="950"/>
      <c r="AY476" s="950"/>
      <c r="AZ476" s="950"/>
      <c r="BA476" s="950"/>
      <c r="BB476" s="950"/>
      <c r="BC476" s="950"/>
      <c r="BD476" s="950"/>
      <c r="BE476" s="950"/>
      <c r="BF476" s="950"/>
      <c r="BG476" s="950"/>
      <c r="BH476" s="950"/>
      <c r="BI476" s="950"/>
      <c r="BJ476" s="950"/>
      <c r="BK476" s="950"/>
      <c r="BL476" s="950"/>
      <c r="BM476" s="950"/>
      <c r="BN476" s="6521"/>
      <c r="BO476" s="6521"/>
      <c r="BP476" s="6521"/>
      <c r="BQ476" s="1297"/>
      <c r="BR476" s="1297"/>
      <c r="BS476" s="1072" t="s">
        <v>2201</v>
      </c>
      <c r="BT476" s="1072"/>
      <c r="BU476" s="1072"/>
      <c r="BV476" s="987"/>
      <c r="BW476" s="987"/>
    </row>
    <row s="1656" customFormat="1" customHeight="1" ht="21.75">
      <c r="A477" s="1297"/>
      <c r="B477" s="986"/>
      <c r="C477" s="1297"/>
      <c r="D477" s="1297"/>
      <c r="E477" s="709">
        <v>22.5</v>
      </c>
      <c r="F477" s="50" cm="1" t="str">
        <f t="array" ref="F477:F477">OFFSET(E477,-1,1)</f>
        <v>3</v>
      </c>
      <c r="G477" s="1297"/>
      <c r="H477" s="374"/>
      <c r="I477" s="374" t="s">
        <v>2202</v>
      </c>
      <c r="J477" s="1297"/>
      <c r="K477" s="374" t="s">
        <v>2202</v>
      </c>
      <c r="L477" s="988"/>
      <c r="M477" s="1297"/>
      <c r="N477" s="1297"/>
      <c r="O477" s="1297"/>
      <c r="P477" s="1297"/>
      <c r="Q477" s="154" t="s">
        <v>2470</v>
      </c>
      <c r="R477" s="157" t="s">
        <v>2470</v>
      </c>
      <c r="S477" s="1297"/>
      <c r="T477" s="468" cm="1" t="str">
        <f t="array" ref="T477:T477">T476</f>
        <v>true</v>
      </c>
      <c r="U477" s="1297"/>
      <c r="V477" s="1297"/>
      <c r="W477" s="1297"/>
      <c r="X477" s="1539"/>
      <c r="Y477" s="1297"/>
      <c r="Z477" s="1529"/>
      <c r="AA477" s="1297"/>
      <c r="AB477" s="295" t="s">
        <v>2203</v>
      </c>
      <c r="AC477" s="776" t="s">
        <v>2204</v>
      </c>
      <c r="AD477" s="296" t="s">
        <v>936</v>
      </c>
      <c r="AE477" s="6524"/>
      <c r="AF477" s="6524"/>
      <c r="AG477" s="6524"/>
      <c r="AH477" s="951">
        <f>AG477-AF477</f>
        <v>0</v>
      </c>
      <c r="AI477" s="6490"/>
      <c r="AJ477" s="6522"/>
      <c r="AK477" s="950"/>
      <c r="AL477" s="950"/>
      <c r="AM477" s="950"/>
      <c r="AN477" s="950"/>
      <c r="AO477" s="950"/>
      <c r="AP477" s="950"/>
      <c r="AQ477" s="950"/>
      <c r="AR477" s="950"/>
      <c r="AS477" s="950"/>
      <c r="AT477" s="950"/>
      <c r="AU477" s="950"/>
      <c r="AV477" s="950"/>
      <c r="AW477" s="950"/>
      <c r="AX477" s="950"/>
      <c r="AY477" s="950"/>
      <c r="AZ477" s="950"/>
      <c r="BA477" s="950"/>
      <c r="BB477" s="950"/>
      <c r="BC477" s="950"/>
      <c r="BD477" s="950"/>
      <c r="BE477" s="950"/>
      <c r="BF477" s="950"/>
      <c r="BG477" s="950"/>
      <c r="BH477" s="950"/>
      <c r="BI477" s="950"/>
      <c r="BJ477" s="950"/>
      <c r="BK477" s="950"/>
      <c r="BL477" s="950"/>
      <c r="BM477" s="950"/>
      <c r="BN477" s="6521"/>
      <c r="BO477" s="6521"/>
      <c r="BP477" s="6521"/>
      <c r="BQ477" s="1297"/>
      <c r="BR477" s="1297"/>
      <c r="BS477" s="1072" t="s">
        <v>2205</v>
      </c>
      <c r="BT477" s="1072"/>
      <c r="BU477" s="1072"/>
      <c r="BV477" s="987"/>
      <c r="BW477" s="987"/>
    </row>
    <row s="1656" customFormat="1" customHeight="1" ht="43.5">
      <c r="A478" s="1297"/>
      <c r="B478" s="986"/>
      <c r="C478" s="1297"/>
      <c r="D478" s="1297"/>
      <c r="E478" s="709">
        <v>45</v>
      </c>
      <c r="F478" s="50" cm="1" t="str">
        <f t="array" ref="F478:F478">OFFSET(E478,-1,1)</f>
        <v>3</v>
      </c>
      <c r="G478" s="1297"/>
      <c r="H478" s="374"/>
      <c r="I478" s="374" t="s">
        <v>2206</v>
      </c>
      <c r="J478" s="1297"/>
      <c r="K478" s="374" t="s">
        <v>2206</v>
      </c>
      <c r="L478" s="988" t="s">
        <v>2017</v>
      </c>
      <c r="M478" s="103" t="s">
        <v>2029</v>
      </c>
      <c r="N478" s="1297"/>
      <c r="O478" s="1297"/>
      <c r="P478" s="1297"/>
      <c r="Q478" s="154" t="s">
        <v>2470</v>
      </c>
      <c r="R478" s="157" t="s">
        <v>2470</v>
      </c>
      <c r="S478" s="1297"/>
      <c r="T478" s="468" cm="1" t="str">
        <f t="array" ref="T478:T478">T477</f>
        <v>true</v>
      </c>
      <c r="U478" s="1297"/>
      <c r="V478" s="1297"/>
      <c r="W478" s="1297"/>
      <c r="X478" s="1539"/>
      <c r="Y478" s="1297"/>
      <c r="Z478" s="1529"/>
      <c r="AA478" s="1297"/>
      <c r="AB478" s="295" t="s">
        <v>2207</v>
      </c>
      <c r="AC478" s="775" t="s">
        <v>2208</v>
      </c>
      <c r="AD478" s="296" t="s">
        <v>936</v>
      </c>
      <c r="AE478" s="6524"/>
      <c r="AF478" s="6524"/>
      <c r="AG478" s="6524"/>
      <c r="AH478" s="951">
        <f>AG478-AF478</f>
        <v>0</v>
      </c>
      <c r="AI478" s="6490"/>
      <c r="AJ478" s="6522"/>
      <c r="AK478" s="950"/>
      <c r="AL478" s="950"/>
      <c r="AM478" s="950"/>
      <c r="AN478" s="950"/>
      <c r="AO478" s="950"/>
      <c r="AP478" s="950"/>
      <c r="AQ478" s="950"/>
      <c r="AR478" s="950"/>
      <c r="AS478" s="950"/>
      <c r="AT478" s="950"/>
      <c r="AU478" s="950"/>
      <c r="AV478" s="950"/>
      <c r="AW478" s="950"/>
      <c r="AX478" s="950"/>
      <c r="AY478" s="950"/>
      <c r="AZ478" s="950"/>
      <c r="BA478" s="950"/>
      <c r="BB478" s="950"/>
      <c r="BC478" s="950"/>
      <c r="BD478" s="950"/>
      <c r="BE478" s="950"/>
      <c r="BF478" s="950"/>
      <c r="BG478" s="950"/>
      <c r="BH478" s="950"/>
      <c r="BI478" s="950"/>
      <c r="BJ478" s="950"/>
      <c r="BK478" s="950"/>
      <c r="BL478" s="950"/>
      <c r="BM478" s="950"/>
      <c r="BN478" s="6521"/>
      <c r="BO478" s="6521"/>
      <c r="BP478" s="6521"/>
      <c r="BQ478" s="1297"/>
      <c r="BR478" s="1297"/>
      <c r="BS478" s="1072" t="s">
        <v>2032</v>
      </c>
      <c r="BT478" s="1072"/>
      <c r="BU478" s="1072"/>
      <c r="BV478" s="987"/>
      <c r="BW478" s="987"/>
    </row>
    <row s="1656" customFormat="1" customHeight="1" ht="46.921875">
      <c r="A479" s="1297"/>
      <c r="B479" s="986"/>
      <c r="C479" s="1297"/>
      <c r="D479" s="1297"/>
      <c r="E479" s="709">
        <v>15</v>
      </c>
      <c r="F479" s="50" cm="1" t="str">
        <f t="array" ref="F479:F479">OFFSET(E479,-1,1)</f>
        <v>3</v>
      </c>
      <c r="G479" s="1297"/>
      <c r="H479" s="374"/>
      <c r="I479" s="374" t="s">
        <v>2209</v>
      </c>
      <c r="J479" s="1297"/>
      <c r="K479" s="374" t="s">
        <v>2209</v>
      </c>
      <c r="L479" s="988" t="s">
        <v>2017</v>
      </c>
      <c r="M479" s="103" t="s">
        <v>2033</v>
      </c>
      <c r="N479" s="1297"/>
      <c r="O479" s="1297"/>
      <c r="P479" s="1297"/>
      <c r="Q479" s="154" t="s">
        <v>2470</v>
      </c>
      <c r="R479" s="157" t="s">
        <v>2470</v>
      </c>
      <c r="S479" s="1297"/>
      <c r="T479" s="468" cm="1" t="str">
        <f t="array" ref="T479:T479">T478</f>
        <v>true</v>
      </c>
      <c r="U479" s="1297"/>
      <c r="V479" s="1297"/>
      <c r="W479" s="1297"/>
      <c r="X479" s="1539"/>
      <c r="Y479" s="1297"/>
      <c r="Z479" s="1529"/>
      <c r="AA479" s="1297"/>
      <c r="AB479" s="295" t="s">
        <v>2210</v>
      </c>
      <c r="AC479" s="775" t="s">
        <v>2035</v>
      </c>
      <c r="AD479" s="296" t="s">
        <v>936</v>
      </c>
      <c r="AE479" s="6524">
        <v>738.59</v>
      </c>
      <c r="AF479" s="6524">
        <v>106.41</v>
      </c>
      <c r="AG479" s="6524"/>
      <c r="AH479" s="951">
        <f>AG479-AF479</f>
        <v>-106.41</v>
      </c>
      <c r="AI479" s="6490"/>
      <c r="AJ479" s="6522"/>
      <c r="AK479" s="950"/>
      <c r="AL479" s="950"/>
      <c r="AM479" s="950"/>
      <c r="AN479" s="950"/>
      <c r="AO479" s="950"/>
      <c r="AP479" s="950"/>
      <c r="AQ479" s="950"/>
      <c r="AR479" s="950"/>
      <c r="AS479" s="950"/>
      <c r="AT479" s="950"/>
      <c r="AU479" s="950"/>
      <c r="AV479" s="950"/>
      <c r="AW479" s="950"/>
      <c r="AX479" s="950"/>
      <c r="AY479" s="950"/>
      <c r="AZ479" s="950"/>
      <c r="BA479" s="950"/>
      <c r="BB479" s="950"/>
      <c r="BC479" s="950"/>
      <c r="BD479" s="950"/>
      <c r="BE479" s="950"/>
      <c r="BF479" s="950"/>
      <c r="BG479" s="950"/>
      <c r="BH479" s="950"/>
      <c r="BI479" s="950"/>
      <c r="BJ479" s="950"/>
      <c r="BK479" s="950"/>
      <c r="BL479" s="950"/>
      <c r="BM479" s="950"/>
      <c r="BN479" s="6521"/>
      <c r="BO479" s="6521"/>
      <c r="BP479" s="6521"/>
      <c r="BQ479" s="1297"/>
      <c r="BR479" s="1297"/>
      <c r="BS479" s="1072" t="s">
        <v>2036</v>
      </c>
      <c r="BT479" s="1072"/>
      <c r="BU479" s="1072"/>
      <c r="BV479" s="987"/>
      <c r="BW479" s="987"/>
    </row>
    <row s="1656" customFormat="1" customHeight="1" ht="14.25">
      <c r="A480" s="1297"/>
      <c r="B480" s="986"/>
      <c r="C480" s="1297"/>
      <c r="D480" s="1297"/>
      <c r="E480" s="709">
        <v>15</v>
      </c>
      <c r="F480" s="50" cm="1" t="str">
        <f t="array" ref="F480:F480">OFFSET(E480,-1,1)</f>
        <v>3</v>
      </c>
      <c r="G480" s="1297"/>
      <c r="H480" s="374"/>
      <c r="I480" s="374" t="s">
        <v>2211</v>
      </c>
      <c r="J480" s="1297"/>
      <c r="K480" s="374" t="s">
        <v>2211</v>
      </c>
      <c r="L480" s="988"/>
      <c r="M480" s="103"/>
      <c r="N480" s="1297"/>
      <c r="O480" s="1297"/>
      <c r="P480" s="1297"/>
      <c r="Q480" s="154" t="s">
        <v>2470</v>
      </c>
      <c r="R480" s="157" t="s">
        <v>2470</v>
      </c>
      <c r="S480" s="1297"/>
      <c r="T480" s="468" cm="1" t="str">
        <f t="array" ref="T480:T480">T479</f>
        <v>true</v>
      </c>
      <c r="U480" s="1297"/>
      <c r="V480" s="1297"/>
      <c r="W480" s="1297"/>
      <c r="X480" s="1539"/>
      <c r="Y480" s="1297"/>
      <c r="Z480" s="1529"/>
      <c r="AA480" s="1297"/>
      <c r="AB480" s="295" t="s">
        <v>2212</v>
      </c>
      <c r="AC480" s="775" t="s">
        <v>2213</v>
      </c>
      <c r="AD480" s="296" t="s">
        <v>936</v>
      </c>
      <c r="AE480" s="6524"/>
      <c r="AF480" s="6524"/>
      <c r="AG480" s="6524"/>
      <c r="AH480" s="951">
        <f>AG480-AF480</f>
        <v>0</v>
      </c>
      <c r="AI480" s="6490"/>
      <c r="AJ480" s="1378"/>
      <c r="AK480" s="950"/>
      <c r="AL480" s="950"/>
      <c r="AM480" s="950"/>
      <c r="AN480" s="950"/>
      <c r="AO480" s="950"/>
      <c r="AP480" s="950"/>
      <c r="AQ480" s="950"/>
      <c r="AR480" s="950"/>
      <c r="AS480" s="950"/>
      <c r="AT480" s="950"/>
      <c r="AU480" s="950"/>
      <c r="AV480" s="950"/>
      <c r="AW480" s="950"/>
      <c r="AX480" s="950"/>
      <c r="AY480" s="950"/>
      <c r="AZ480" s="950"/>
      <c r="BA480" s="950"/>
      <c r="BB480" s="950"/>
      <c r="BC480" s="950"/>
      <c r="BD480" s="950"/>
      <c r="BE480" s="950"/>
      <c r="BF480" s="950"/>
      <c r="BG480" s="950"/>
      <c r="BH480" s="950"/>
      <c r="BI480" s="950"/>
      <c r="BJ480" s="950"/>
      <c r="BK480" s="950"/>
      <c r="BL480" s="950"/>
      <c r="BM480" s="950"/>
      <c r="BN480" s="6521"/>
      <c r="BO480" s="6521"/>
      <c r="BP480" s="6521"/>
      <c r="BQ480" s="1297"/>
      <c r="BR480" s="1297"/>
      <c r="BS480" s="1072" t="s">
        <v>2020</v>
      </c>
      <c r="BT480" s="1072"/>
      <c r="BU480" s="1072"/>
      <c r="BV480" s="987"/>
      <c r="BW480" s="987"/>
    </row>
    <row s="6654" customFormat="1" customHeight="1" ht="20.25">
      <c r="A481" s="706"/>
      <c r="B481" s="437"/>
      <c r="C481" s="706"/>
      <c r="D481" s="706"/>
      <c r="E481" s="713">
        <v>21</v>
      </c>
      <c r="F481" s="50" cm="1" t="str">
        <f t="array" ref="F481:F481">OFFSET(E481,-1,1)</f>
        <v>3</v>
      </c>
      <c r="G481" s="706"/>
      <c r="H481" s="374"/>
      <c r="I481" s="374" t="s">
        <v>573</v>
      </c>
      <c r="J481" s="706"/>
      <c r="K481" s="374" t="s">
        <v>573</v>
      </c>
      <c r="L481" s="993"/>
      <c r="M481" s="105"/>
      <c r="N481" s="706"/>
      <c r="O481" s="706"/>
      <c r="P481" s="706"/>
      <c r="Q481" s="154" t="s">
        <v>2470</v>
      </c>
      <c r="R481" s="157" t="s">
        <v>2470</v>
      </c>
      <c r="S481" s="706"/>
      <c r="T481" s="468" cm="1" t="str">
        <f t="array" ref="T481:T481">T480</f>
        <v>true</v>
      </c>
      <c r="U481" s="706"/>
      <c r="V481" s="706"/>
      <c r="W481" s="706"/>
      <c r="X481" s="1539"/>
      <c r="Y481" s="706"/>
      <c r="Z481" s="1529"/>
      <c r="AA481" s="706"/>
      <c r="AB481" s="214" t="s">
        <v>1073</v>
      </c>
      <c r="AC481" s="357" t="s">
        <v>2039</v>
      </c>
      <c r="AD481" s="207" t="s">
        <v>936</v>
      </c>
      <c r="AE481" s="777">
        <f>AE482+AE483+AE484</f>
        <v>10229.49</v>
      </c>
      <c r="AF481" s="777">
        <f>AF482+AF483+AF484</f>
        <v>31799.57</v>
      </c>
      <c r="AG481" s="777">
        <f>AG482+AG483+AG484</f>
        <v>0</v>
      </c>
      <c r="AH481" s="768">
        <f>AG481-AF481</f>
        <v>-31799.57</v>
      </c>
      <c r="AI481" s="6497">
        <f>AI482+AI483+AI484</f>
        <v>0</v>
      </c>
      <c r="AJ481" s="6522"/>
      <c r="AK481" s="771"/>
      <c r="AL481" s="771"/>
      <c r="AM481" s="771"/>
      <c r="AN481" s="771"/>
      <c r="AO481" s="771"/>
      <c r="AP481" s="771"/>
      <c r="AQ481" s="771"/>
      <c r="AR481" s="771"/>
      <c r="AS481" s="771"/>
      <c r="AT481" s="771"/>
      <c r="AU481" s="771"/>
      <c r="AV481" s="771"/>
      <c r="AW481" s="771"/>
      <c r="AX481" s="771"/>
      <c r="AY481" s="771"/>
      <c r="AZ481" s="771"/>
      <c r="BA481" s="771"/>
      <c r="BB481" s="771"/>
      <c r="BC481" s="771"/>
      <c r="BD481" s="771"/>
      <c r="BE481" s="771"/>
      <c r="BF481" s="771"/>
      <c r="BG481" s="771"/>
      <c r="BH481" s="771"/>
      <c r="BI481" s="771"/>
      <c r="BJ481" s="771"/>
      <c r="BK481" s="771"/>
      <c r="BL481" s="771"/>
      <c r="BM481" s="771"/>
      <c r="BN481" s="6523"/>
      <c r="BO481" s="6523"/>
      <c r="BP481" s="6523"/>
      <c r="BQ481" s="706"/>
      <c r="BR481" s="706"/>
      <c r="BS481" s="1071" t="s">
        <v>2040</v>
      </c>
      <c r="BT481" s="1078"/>
      <c r="BU481" s="1078"/>
      <c r="BV481" s="713"/>
      <c r="BW481" s="713"/>
    </row>
    <row s="1656" customFormat="1" customHeight="1" ht="64.921875">
      <c r="A482" s="1297"/>
      <c r="B482" s="986"/>
      <c r="C482" s="1297"/>
      <c r="D482" s="1297"/>
      <c r="E482" s="709">
        <v>22.5</v>
      </c>
      <c r="F482" s="50" cm="1" t="str">
        <f t="array" ref="F482:F482">OFFSET(E482,-1,1)</f>
        <v>3</v>
      </c>
      <c r="G482" s="1297"/>
      <c r="H482" s="374"/>
      <c r="I482" s="374" t="s">
        <v>1563</v>
      </c>
      <c r="J482" s="1297"/>
      <c r="K482" s="374" t="s">
        <v>1563</v>
      </c>
      <c r="L482" s="988"/>
      <c r="M482" s="103"/>
      <c r="N482" s="1297"/>
      <c r="O482" s="1297"/>
      <c r="P482" s="1297"/>
      <c r="Q482" s="154" t="s">
        <v>2470</v>
      </c>
      <c r="R482" s="157" t="s">
        <v>2470</v>
      </c>
      <c r="S482" s="1297"/>
      <c r="T482" s="468" cm="1" t="str">
        <f t="array" ref="T482:T482">T481</f>
        <v>true</v>
      </c>
      <c r="U482" s="1297"/>
      <c r="V482" s="1297"/>
      <c r="W482" s="1297"/>
      <c r="X482" s="1539"/>
      <c r="Y482" s="1297"/>
      <c r="Z482" s="1529"/>
      <c r="AA482" s="1297"/>
      <c r="AB482" s="295" t="s">
        <v>1564</v>
      </c>
      <c r="AC482" s="772" t="s">
        <v>2214</v>
      </c>
      <c r="AD482" s="296" t="s">
        <v>936</v>
      </c>
      <c r="AE482" s="6524">
        <v>9050.49</v>
      </c>
      <c r="AF482" s="6524">
        <v>30289.02</v>
      </c>
      <c r="AG482" s="6524"/>
      <c r="AH482" s="951">
        <f>AG482-AF482</f>
        <v>-30289.02</v>
      </c>
      <c r="AI482" s="6490"/>
      <c r="AJ482" s="6522"/>
      <c r="AK482" s="950"/>
      <c r="AL482" s="950"/>
      <c r="AM482" s="950"/>
      <c r="AN482" s="950"/>
      <c r="AO482" s="950"/>
      <c r="AP482" s="950"/>
      <c r="AQ482" s="950"/>
      <c r="AR482" s="950"/>
      <c r="AS482" s="950"/>
      <c r="AT482" s="950"/>
      <c r="AU482" s="950"/>
      <c r="AV482" s="950"/>
      <c r="AW482" s="950"/>
      <c r="AX482" s="950"/>
      <c r="AY482" s="950"/>
      <c r="AZ482" s="950"/>
      <c r="BA482" s="950"/>
      <c r="BB482" s="950"/>
      <c r="BC482" s="950"/>
      <c r="BD482" s="950"/>
      <c r="BE482" s="950"/>
      <c r="BF482" s="950"/>
      <c r="BG482" s="950"/>
      <c r="BH482" s="950"/>
      <c r="BI482" s="950"/>
      <c r="BJ482" s="950"/>
      <c r="BK482" s="950"/>
      <c r="BL482" s="950"/>
      <c r="BM482" s="950"/>
      <c r="BN482" s="6521"/>
      <c r="BO482" s="6521"/>
      <c r="BP482" s="6521"/>
      <c r="BQ482" s="1297"/>
      <c r="BR482" s="1297"/>
      <c r="BS482" s="1070" t="s">
        <v>2042</v>
      </c>
      <c r="BT482" s="1072"/>
      <c r="BU482" s="1072"/>
      <c r="BV482" s="987"/>
      <c r="BW482" s="987"/>
    </row>
    <row s="1656" customFormat="1" customHeight="1" ht="67.171875">
      <c r="A483" s="1297"/>
      <c r="B483" s="986"/>
      <c r="C483" s="1297"/>
      <c r="D483" s="1297"/>
      <c r="E483" s="709">
        <v>22.5</v>
      </c>
      <c r="F483" s="50" cm="1" t="str">
        <f t="array" ref="F483:F483">OFFSET(E483,-1,1)</f>
        <v>3</v>
      </c>
      <c r="G483" s="1297"/>
      <c r="H483" s="374"/>
      <c r="I483" s="374" t="s">
        <v>1567</v>
      </c>
      <c r="J483" s="1297"/>
      <c r="K483" s="374" t="s">
        <v>1567</v>
      </c>
      <c r="L483" s="988"/>
      <c r="M483" s="103"/>
      <c r="N483" s="1297"/>
      <c r="O483" s="1297"/>
      <c r="P483" s="1297"/>
      <c r="Q483" s="154" t="s">
        <v>2470</v>
      </c>
      <c r="R483" s="157" t="s">
        <v>2470</v>
      </c>
      <c r="S483" s="1297"/>
      <c r="T483" s="468" cm="1" t="str">
        <f t="array" ref="T483:T483">T482</f>
        <v>true</v>
      </c>
      <c r="U483" s="1297"/>
      <c r="V483" s="1297"/>
      <c r="W483" s="1297"/>
      <c r="X483" s="1539"/>
      <c r="Y483" s="1297"/>
      <c r="Z483" s="1529"/>
      <c r="AA483" s="1297"/>
      <c r="AB483" s="295" t="s">
        <v>1568</v>
      </c>
      <c r="AC483" s="772" t="s">
        <v>2215</v>
      </c>
      <c r="AD483" s="296" t="s">
        <v>936</v>
      </c>
      <c r="AE483" s="6524">
        <v>1179</v>
      </c>
      <c r="AF483" s="6524">
        <v>1510.55</v>
      </c>
      <c r="AG483" s="6524"/>
      <c r="AH483" s="951">
        <f>AG483-AF483</f>
        <v>-1510.55</v>
      </c>
      <c r="AI483" s="6490"/>
      <c r="AJ483" s="6522"/>
      <c r="AK483" s="950"/>
      <c r="AL483" s="950"/>
      <c r="AM483" s="950"/>
      <c r="AN483" s="950"/>
      <c r="AO483" s="950"/>
      <c r="AP483" s="950"/>
      <c r="AQ483" s="950"/>
      <c r="AR483" s="950"/>
      <c r="AS483" s="950"/>
      <c r="AT483" s="950"/>
      <c r="AU483" s="950"/>
      <c r="AV483" s="950"/>
      <c r="AW483" s="950"/>
      <c r="AX483" s="950"/>
      <c r="AY483" s="950"/>
      <c r="AZ483" s="950"/>
      <c r="BA483" s="950"/>
      <c r="BB483" s="950"/>
      <c r="BC483" s="950"/>
      <c r="BD483" s="950"/>
      <c r="BE483" s="950"/>
      <c r="BF483" s="950"/>
      <c r="BG483" s="950"/>
      <c r="BH483" s="950"/>
      <c r="BI483" s="950"/>
      <c r="BJ483" s="950"/>
      <c r="BK483" s="950"/>
      <c r="BL483" s="950"/>
      <c r="BM483" s="950"/>
      <c r="BN483" s="6521"/>
      <c r="BO483" s="6521"/>
      <c r="BP483" s="6521"/>
      <c r="BQ483" s="1297"/>
      <c r="BR483" s="1297"/>
      <c r="BS483" s="1072" t="s">
        <v>2216</v>
      </c>
      <c r="BT483" s="1072"/>
      <c r="BU483" s="1072"/>
      <c r="BV483" s="987"/>
      <c r="BW483" s="987"/>
    </row>
    <row s="1656" customFormat="1" customHeight="1" ht="21.75">
      <c r="A484" s="1297"/>
      <c r="B484" s="986"/>
      <c r="C484" s="1297"/>
      <c r="D484" s="1297"/>
      <c r="E484" s="709">
        <v>22.5</v>
      </c>
      <c r="F484" s="50" cm="1" t="str">
        <f t="array" ref="F484:F484">OFFSET(E484,-1,1)</f>
        <v>3</v>
      </c>
      <c r="G484" s="1297"/>
      <c r="H484" s="374"/>
      <c r="I484" s="374" t="s">
        <v>1571</v>
      </c>
      <c r="J484" s="1297"/>
      <c r="K484" s="374" t="s">
        <v>1571</v>
      </c>
      <c r="L484" s="988" t="s">
        <v>587</v>
      </c>
      <c r="M484" s="103"/>
      <c r="N484" s="1297"/>
      <c r="O484" s="1297"/>
      <c r="P484" s="1297"/>
      <c r="Q484" s="154" t="s">
        <v>2470</v>
      </c>
      <c r="R484" s="157" t="s">
        <v>2470</v>
      </c>
      <c r="S484" s="1297"/>
      <c r="T484" s="468" cm="1" t="str">
        <f t="array" ref="T484:T484">T483</f>
        <v>true</v>
      </c>
      <c r="U484" s="1297"/>
      <c r="V484" s="1297"/>
      <c r="W484" s="1297"/>
      <c r="X484" s="1539"/>
      <c r="Y484" s="1297"/>
      <c r="Z484" s="1529"/>
      <c r="AA484" s="1297"/>
      <c r="AB484" s="295" t="s">
        <v>1572</v>
      </c>
      <c r="AC484" s="772" t="s">
        <v>2217</v>
      </c>
      <c r="AD484" s="296" t="s">
        <v>936</v>
      </c>
      <c r="AE484" s="6524">
        <f>AE485+AE486</f>
        <v>0</v>
      </c>
      <c r="AF484" s="6524">
        <f>AF485+AF486</f>
        <v>0</v>
      </c>
      <c r="AG484" s="6524">
        <f>AG485+AG486</f>
        <v>0</v>
      </c>
      <c r="AH484" s="951">
        <f>AG484-AF484</f>
        <v>0</v>
      </c>
      <c r="AI484" s="6490"/>
      <c r="AJ484" s="6522"/>
      <c r="AK484" s="950"/>
      <c r="AL484" s="950"/>
      <c r="AM484" s="950"/>
      <c r="AN484" s="950"/>
      <c r="AO484" s="950"/>
      <c r="AP484" s="950"/>
      <c r="AQ484" s="950"/>
      <c r="AR484" s="950"/>
      <c r="AS484" s="950"/>
      <c r="AT484" s="950"/>
      <c r="AU484" s="950"/>
      <c r="AV484" s="950"/>
      <c r="AW484" s="950"/>
      <c r="AX484" s="950"/>
      <c r="AY484" s="950"/>
      <c r="AZ484" s="950"/>
      <c r="BA484" s="950"/>
      <c r="BB484" s="950"/>
      <c r="BC484" s="950"/>
      <c r="BD484" s="950"/>
      <c r="BE484" s="950"/>
      <c r="BF484" s="950"/>
      <c r="BG484" s="950"/>
      <c r="BH484" s="950"/>
      <c r="BI484" s="950"/>
      <c r="BJ484" s="950"/>
      <c r="BK484" s="950"/>
      <c r="BL484" s="950"/>
      <c r="BM484" s="950"/>
      <c r="BN484" s="6521"/>
      <c r="BO484" s="6521"/>
      <c r="BP484" s="6521"/>
      <c r="BQ484" s="1297"/>
      <c r="BR484" s="1297"/>
      <c r="BS484" s="1070" t="s">
        <v>2044</v>
      </c>
      <c r="BT484" s="1072"/>
      <c r="BU484" s="1072"/>
      <c r="BV484" s="987"/>
      <c r="BW484" s="987"/>
    </row>
    <row s="1656" customFormat="1" customHeight="1" ht="14.25">
      <c r="A485" s="1297"/>
      <c r="B485" s="986"/>
      <c r="C485" s="1297"/>
      <c r="D485" s="1297"/>
      <c r="E485" s="709">
        <v>15</v>
      </c>
      <c r="F485" s="50" cm="1" t="str">
        <f t="array" ref="F485:F485">OFFSET(E485,-1,1)</f>
        <v>3</v>
      </c>
      <c r="G485" s="49" t="s">
        <v>1365</v>
      </c>
      <c r="H485" s="374"/>
      <c r="I485" s="374" t="s">
        <v>2218</v>
      </c>
      <c r="J485" s="1297"/>
      <c r="K485" s="374" t="s">
        <v>2218</v>
      </c>
      <c r="L485" s="988" t="s">
        <v>2045</v>
      </c>
      <c r="M485" s="103"/>
      <c r="N485" s="1297"/>
      <c r="O485" s="1297"/>
      <c r="P485" s="1297"/>
      <c r="Q485" s="154" t="s">
        <v>2470</v>
      </c>
      <c r="R485" s="157" t="s">
        <v>2470</v>
      </c>
      <c r="S485" s="1297"/>
      <c r="T485" s="468" cm="1" t="str">
        <f t="array" ref="T485:T485">T484</f>
        <v>true</v>
      </c>
      <c r="U485" s="1297"/>
      <c r="V485" s="1297"/>
      <c r="W485" s="1297"/>
      <c r="X485" s="1539"/>
      <c r="Y485" s="1297"/>
      <c r="Z485" s="1529"/>
      <c r="AA485" s="1297"/>
      <c r="AB485" s="295" t="s">
        <v>2219</v>
      </c>
      <c r="AC485" s="775" t="s">
        <v>2046</v>
      </c>
      <c r="AD485" s="296" t="s">
        <v>936</v>
      </c>
      <c r="AE485" s="6524"/>
      <c r="AF485" s="6524"/>
      <c r="AG485" s="6524"/>
      <c r="AH485" s="951">
        <f>AG485-AF485</f>
        <v>0</v>
      </c>
      <c r="AI485" s="6490"/>
      <c r="AJ485" s="6522"/>
      <c r="AK485" s="950"/>
      <c r="AL485" s="950"/>
      <c r="AM485" s="950"/>
      <c r="AN485" s="950"/>
      <c r="AO485" s="950"/>
      <c r="AP485" s="950"/>
      <c r="AQ485" s="950"/>
      <c r="AR485" s="950"/>
      <c r="AS485" s="950"/>
      <c r="AT485" s="950"/>
      <c r="AU485" s="950"/>
      <c r="AV485" s="950"/>
      <c r="AW485" s="950"/>
      <c r="AX485" s="950"/>
      <c r="AY485" s="950"/>
      <c r="AZ485" s="950"/>
      <c r="BA485" s="950"/>
      <c r="BB485" s="950"/>
      <c r="BC485" s="950"/>
      <c r="BD485" s="950"/>
      <c r="BE485" s="950"/>
      <c r="BF485" s="950"/>
      <c r="BG485" s="950"/>
      <c r="BH485" s="950"/>
      <c r="BI485" s="950"/>
      <c r="BJ485" s="950"/>
      <c r="BK485" s="950"/>
      <c r="BL485" s="950"/>
      <c r="BM485" s="950"/>
      <c r="BN485" s="6521"/>
      <c r="BO485" s="6525" t="str">
        <f>IF(_xlfn.IFERROR(INDEX(ФОТ!$K$26:$L$127,MATCH($F485&amp;"3komm",ФОТ!$K$26:$K$127,0),2),"")=0,"",_xlfn.IFERROR(INDEX(ФОТ!$K$26:$L$127,MATCH($F485&amp;"3komm",ФОТ!$K$26:$K$127,0),2),""))</f>
        <v/>
      </c>
      <c r="BP485" s="6521"/>
      <c r="BQ485" s="1297"/>
      <c r="BR485" s="1297"/>
      <c r="BS485" s="1070" t="s">
        <v>2047</v>
      </c>
      <c r="BT485" s="1072"/>
      <c r="BU485" s="1072"/>
      <c r="BV485" s="987"/>
      <c r="BW485" s="987"/>
    </row>
    <row s="1656" customFormat="1" customHeight="1" ht="21.75">
      <c r="A486" s="1297"/>
      <c r="B486" s="986"/>
      <c r="C486" s="1297"/>
      <c r="D486" s="1297"/>
      <c r="E486" s="709">
        <v>22.5</v>
      </c>
      <c r="F486" s="50" cm="1" t="str">
        <f t="array" ref="F486:F486">OFFSET(E486,-1,1)</f>
        <v>3</v>
      </c>
      <c r="G486" s="49" t="s">
        <v>1370</v>
      </c>
      <c r="H486" s="374"/>
      <c r="I486" s="374" t="s">
        <v>2220</v>
      </c>
      <c r="J486" s="1297"/>
      <c r="K486" s="374" t="s">
        <v>2220</v>
      </c>
      <c r="L486" s="988" t="s">
        <v>2048</v>
      </c>
      <c r="M486" s="103"/>
      <c r="N486" s="1297"/>
      <c r="O486" s="1297"/>
      <c r="P486" s="1297"/>
      <c r="Q486" s="154" t="s">
        <v>2470</v>
      </c>
      <c r="R486" s="157" t="s">
        <v>2470</v>
      </c>
      <c r="S486" s="1297"/>
      <c r="T486" s="468" cm="1" t="str">
        <f t="array" ref="T486:T486">T485</f>
        <v>true</v>
      </c>
      <c r="U486" s="1297"/>
      <c r="V486" s="1297"/>
      <c r="W486" s="1297"/>
      <c r="X486" s="1539"/>
      <c r="Y486" s="1297"/>
      <c r="Z486" s="1529"/>
      <c r="AA486" s="1297"/>
      <c r="AB486" s="295" t="s">
        <v>2221</v>
      </c>
      <c r="AC486" s="775" t="s">
        <v>2222</v>
      </c>
      <c r="AD486" s="296" t="s">
        <v>936</v>
      </c>
      <c r="AE486" s="6524">
        <f>AE485*_xlfn.SUMIFS(INDEX(Сценарии!$AE$25:$BF$136,,MATCH(AE$8,Сценарии!$AE$8:$BF$8,0)),Сценарии!$F$25:$F$136,$F486,Сценарии!$G$25:$G$136,"СВФОТ")/100</f>
        <v>0</v>
      </c>
      <c r="AF486" s="6524">
        <f>AF485*_xlfn.SUMIFS(INDEX(Сценарии!$AE$25:$BF$136,,MATCH(AF$8,Сценарии!$AE$8:$BF$8,0)),Сценарии!$F$25:$F$136,$F486,Сценарии!$G$25:$G$136,"СВФОТ")/100</f>
        <v>0</v>
      </c>
      <c r="AG486" s="6524">
        <f>AG485*_xlfn.SUMIFS(INDEX(Сценарии!$AE$25:$BF$136,,MATCH(AG$8,Сценарии!$AE$8:$BF$8,0)),Сценарии!$F$25:$F$136,$F486,Сценарии!$G$25:$G$136,"СВФОТ")/100</f>
        <v>0</v>
      </c>
      <c r="AH486" s="951">
        <f>AG486-AF486</f>
        <v>0</v>
      </c>
      <c r="AI486" s="6490">
        <f>AI485*_xlfn.SUMIFS(INDEX(Сценарии!$AE$25:$BF$136,,MATCH(AG$8,Сценарии!$AE$8:$BF$8,0)),Сценарии!$F$25:$F$136,$F486,Сценарии!$G$25:$G$136,"СВФОТ")/100</f>
        <v>0</v>
      </c>
      <c r="AJ486" s="6522"/>
      <c r="AK486" s="950"/>
      <c r="AL486" s="950"/>
      <c r="AM486" s="950"/>
      <c r="AN486" s="950"/>
      <c r="AO486" s="950"/>
      <c r="AP486" s="950"/>
      <c r="AQ486" s="950"/>
      <c r="AR486" s="950"/>
      <c r="AS486" s="950"/>
      <c r="AT486" s="950"/>
      <c r="AU486" s="950"/>
      <c r="AV486" s="950"/>
      <c r="AW486" s="950"/>
      <c r="AX486" s="950"/>
      <c r="AY486" s="950"/>
      <c r="AZ486" s="950"/>
      <c r="BA486" s="950"/>
      <c r="BB486" s="950"/>
      <c r="BC486" s="950"/>
      <c r="BD486" s="950"/>
      <c r="BE486" s="950"/>
      <c r="BF486" s="950"/>
      <c r="BG486" s="950"/>
      <c r="BH486" s="950"/>
      <c r="BI486" s="950"/>
      <c r="BJ486" s="950"/>
      <c r="BK486" s="950"/>
      <c r="BL486" s="950"/>
      <c r="BM486" s="950"/>
      <c r="BN486" s="6521"/>
      <c r="BO486" s="6525" t="str">
        <f>IF(_xlfn.IFERROR(INDEX(ФОТ!$K$26:$L$127,MATCH($F486&amp;"4komm",ФОТ!$K$26:$K$127,0),2),"")=0,"",_xlfn.IFERROR(INDEX(ФОТ!$K$26:$L$127,MATCH($F486&amp;"4komm",ФОТ!$K$26:$K$127,0),2),""))</f>
        <v/>
      </c>
      <c r="BP486" s="6521"/>
      <c r="BQ486" s="1297"/>
      <c r="BR486" s="1297"/>
      <c r="BS486" s="1070" t="s">
        <v>2050</v>
      </c>
      <c r="BT486" s="1072"/>
      <c r="BU486" s="1072"/>
      <c r="BV486" s="987"/>
      <c r="BW486" s="987"/>
    </row>
    <row s="6655" customFormat="1" customHeight="1" ht="31.171875">
      <c r="A487" s="706"/>
      <c r="B487" s="437"/>
      <c r="C487" s="706"/>
      <c r="D487" s="706"/>
      <c r="E487" s="713">
        <v>21</v>
      </c>
      <c r="F487" s="50" cm="1" t="str">
        <f t="array" ref="F487:F487">OFFSET(E487,-1,1)</f>
        <v>3</v>
      </c>
      <c r="G487" s="706"/>
      <c r="H487" s="374"/>
      <c r="I487" s="374" t="s">
        <v>577</v>
      </c>
      <c r="J487" s="706"/>
      <c r="K487" s="374" t="s">
        <v>577</v>
      </c>
      <c r="L487" s="993" t="s">
        <v>346</v>
      </c>
      <c r="M487" s="105"/>
      <c r="N487" s="706"/>
      <c r="O487" s="706"/>
      <c r="P487" s="706"/>
      <c r="Q487" s="154" t="s">
        <v>2470</v>
      </c>
      <c r="R487" s="157" t="s">
        <v>2470</v>
      </c>
      <c r="S487" s="706"/>
      <c r="T487" s="468" cm="1" t="str">
        <f t="array" ref="T487:T487">T486</f>
        <v>true</v>
      </c>
      <c r="U487" s="706"/>
      <c r="V487" s="706"/>
      <c r="W487" s="706"/>
      <c r="X487" s="1539"/>
      <c r="Y487" s="706"/>
      <c r="Z487" s="1529"/>
      <c r="AA487" s="706"/>
      <c r="AB487" s="214" t="s">
        <v>1076</v>
      </c>
      <c r="AC487" s="357" t="s">
        <v>2223</v>
      </c>
      <c r="AD487" s="207" t="s">
        <v>936</v>
      </c>
      <c r="AE487" s="777">
        <f>AE488+AE496+AE499+AE500+AE501+AE502+AE503</f>
        <v>6354.21</v>
      </c>
      <c r="AF487" s="777">
        <f>AF488+AF496+AF499+AF500+AF501+AF502+AF503</f>
        <v>19160.97</v>
      </c>
      <c r="AG487" s="777">
        <f>AG488+AG496+AG499+AG500+AG501+AG502+AG503</f>
        <v>0</v>
      </c>
      <c r="AH487" s="768">
        <f>AG487-AF487</f>
        <v>-19160.97</v>
      </c>
      <c r="AI487" s="6497">
        <f>AI488+AI496+AI499+AI500+AI501+AI502+AI503</f>
        <v>0</v>
      </c>
      <c r="AJ487" s="6522"/>
      <c r="AK487" s="771"/>
      <c r="AL487" s="771"/>
      <c r="AM487" s="771"/>
      <c r="AN487" s="771"/>
      <c r="AO487" s="771"/>
      <c r="AP487" s="771"/>
      <c r="AQ487" s="771"/>
      <c r="AR487" s="771"/>
      <c r="AS487" s="771"/>
      <c r="AT487" s="771"/>
      <c r="AU487" s="771"/>
      <c r="AV487" s="771"/>
      <c r="AW487" s="771"/>
      <c r="AX487" s="771"/>
      <c r="AY487" s="771"/>
      <c r="AZ487" s="771"/>
      <c r="BA487" s="771"/>
      <c r="BB487" s="771"/>
      <c r="BC487" s="771"/>
      <c r="BD487" s="771"/>
      <c r="BE487" s="771"/>
      <c r="BF487" s="771"/>
      <c r="BG487" s="771"/>
      <c r="BH487" s="771"/>
      <c r="BI487" s="771"/>
      <c r="BJ487" s="771"/>
      <c r="BK487" s="771"/>
      <c r="BL487" s="771"/>
      <c r="BM487" s="771"/>
      <c r="BN487" s="6523"/>
      <c r="BO487" s="6523"/>
      <c r="BP487" s="6523"/>
      <c r="BQ487" s="706"/>
      <c r="BR487" s="706"/>
      <c r="BS487" s="1071" t="s">
        <v>2052</v>
      </c>
      <c r="BT487" s="1078"/>
      <c r="BU487" s="1078"/>
      <c r="BV487" s="713"/>
      <c r="BW487" s="713"/>
    </row>
    <row s="1656" customFormat="1" customHeight="1" ht="21.75">
      <c r="A488" s="1297"/>
      <c r="B488" s="986"/>
      <c r="C488" s="1297"/>
      <c r="D488" s="1297"/>
      <c r="E488" s="709">
        <v>22.5</v>
      </c>
      <c r="F488" s="50" cm="1" t="str">
        <f t="array" ref="F488:F488">OFFSET(E488,-1,1)</f>
        <v>3</v>
      </c>
      <c r="G488" s="154" t="s">
        <v>1391</v>
      </c>
      <c r="H488" s="374"/>
      <c r="I488" s="374" t="s">
        <v>1577</v>
      </c>
      <c r="J488" s="1297"/>
      <c r="K488" s="374" t="s">
        <v>1577</v>
      </c>
      <c r="L488" s="988" t="s">
        <v>1097</v>
      </c>
      <c r="M488" s="103"/>
      <c r="N488" s="1297"/>
      <c r="O488" s="1297"/>
      <c r="P488" s="1297"/>
      <c r="Q488" s="154" t="s">
        <v>2470</v>
      </c>
      <c r="R488" s="157" t="s">
        <v>2470</v>
      </c>
      <c r="S488" s="1297"/>
      <c r="T488" s="468" cm="1" t="str">
        <f t="array" ref="T488:T488">T487</f>
        <v>true</v>
      </c>
      <c r="U488" s="1297"/>
      <c r="V488" s="1297"/>
      <c r="W488" s="1297"/>
      <c r="X488" s="1539"/>
      <c r="Y488" s="1297"/>
      <c r="Z488" s="1529"/>
      <c r="AA488" s="1297"/>
      <c r="AB488" s="295" t="s">
        <v>1214</v>
      </c>
      <c r="AC488" s="772" t="s">
        <v>2224</v>
      </c>
      <c r="AD488" s="296" t="s">
        <v>936</v>
      </c>
      <c r="AE488" s="952">
        <f>SUM(AE489:AE495)</f>
        <v>1238.15</v>
      </c>
      <c r="AF488" s="952">
        <f>SUM(AF489:AF495)</f>
        <v>236.18</v>
      </c>
      <c r="AG488" s="952">
        <f>SUM(AG489:AG495)</f>
        <v>0</v>
      </c>
      <c r="AH488" s="951">
        <f>AG488-AF488</f>
        <v>-236.18</v>
      </c>
      <c r="AI488" s="6493">
        <f>SUM(AI489:AI495)</f>
        <v>0</v>
      </c>
      <c r="AJ488" s="6522"/>
      <c r="AK488" s="950"/>
      <c r="AL488" s="950"/>
      <c r="AM488" s="950"/>
      <c r="AN488" s="950"/>
      <c r="AO488" s="950"/>
      <c r="AP488" s="950"/>
      <c r="AQ488" s="950"/>
      <c r="AR488" s="950"/>
      <c r="AS488" s="950"/>
      <c r="AT488" s="950"/>
      <c r="AU488" s="950"/>
      <c r="AV488" s="950"/>
      <c r="AW488" s="950"/>
      <c r="AX488" s="950"/>
      <c r="AY488" s="950"/>
      <c r="AZ488" s="950"/>
      <c r="BA488" s="950"/>
      <c r="BB488" s="950"/>
      <c r="BC488" s="950"/>
      <c r="BD488" s="950"/>
      <c r="BE488" s="950"/>
      <c r="BF488" s="950"/>
      <c r="BG488" s="950"/>
      <c r="BH488" s="950"/>
      <c r="BI488" s="950"/>
      <c r="BJ488" s="950"/>
      <c r="BK488" s="950"/>
      <c r="BL488" s="950"/>
      <c r="BM488" s="950"/>
      <c r="BN488" s="6521"/>
      <c r="BO488" s="6525" t="str">
        <f>IF(_xlfn.IFERROR(INDEX(Административные!$K$26:$L$103,MATCH($F488&amp;"17komm",Административные!$K$26:$K$103,0),2),"")=0,"",_xlfn.IFERROR(INDEX(Административные!$K$26:$L$103,MATCH($F488&amp;"17komm",Административные!$K$26:$K$103,0),2),""))</f>
        <v/>
      </c>
      <c r="BP488" s="6521"/>
      <c r="BQ488" s="1297"/>
      <c r="BR488" s="1297"/>
      <c r="BS488" s="1070" t="s">
        <v>1393</v>
      </c>
      <c r="BT488" s="1072"/>
      <c r="BU488" s="1072"/>
      <c r="BV488" s="987"/>
      <c r="BW488" s="987"/>
    </row>
    <row s="1656" customFormat="1" customHeight="1" ht="14.25">
      <c r="A489" s="1297"/>
      <c r="B489" s="986"/>
      <c r="C489" s="1297"/>
      <c r="D489" s="1297"/>
      <c r="E489" s="709">
        <v>15</v>
      </c>
      <c r="F489" s="50" cm="1" t="str">
        <f t="array" ref="F489:F489">OFFSET(E489,-1,1)</f>
        <v>3</v>
      </c>
      <c r="G489" s="154" t="s">
        <v>1394</v>
      </c>
      <c r="H489" s="374"/>
      <c r="I489" s="374" t="s">
        <v>2225</v>
      </c>
      <c r="J489" s="1297"/>
      <c r="K489" s="374" t="s">
        <v>2225</v>
      </c>
      <c r="L489" s="988"/>
      <c r="M489" s="103"/>
      <c r="N489" s="1297"/>
      <c r="O489" s="1297"/>
      <c r="P489" s="1297"/>
      <c r="Q489" s="154" t="s">
        <v>2470</v>
      </c>
      <c r="R489" s="157" t="s">
        <v>2470</v>
      </c>
      <c r="S489" s="1297"/>
      <c r="T489" s="468" cm="1" t="str">
        <f t="array" ref="T489:T489">T488</f>
        <v>true</v>
      </c>
      <c r="U489" s="1297"/>
      <c r="V489" s="1297"/>
      <c r="W489" s="1297"/>
      <c r="X489" s="1539"/>
      <c r="Y489" s="1297"/>
      <c r="Z489" s="1529"/>
      <c r="AA489" s="1297"/>
      <c r="AB489" s="295" t="s">
        <v>2226</v>
      </c>
      <c r="AC489" s="775" t="s">
        <v>1395</v>
      </c>
      <c r="AD489" s="296" t="s">
        <v>936</v>
      </c>
      <c r="AE489" s="6524"/>
      <c r="AF489" s="6524"/>
      <c r="AG489" s="6524"/>
      <c r="AH489" s="951">
        <f>AG489-AF489</f>
        <v>0</v>
      </c>
      <c r="AI489" s="6490"/>
      <c r="AJ489" s="6522"/>
      <c r="AK489" s="950"/>
      <c r="AL489" s="950"/>
      <c r="AM489" s="950"/>
      <c r="AN489" s="950"/>
      <c r="AO489" s="950"/>
      <c r="AP489" s="950"/>
      <c r="AQ489" s="950"/>
      <c r="AR489" s="950"/>
      <c r="AS489" s="950"/>
      <c r="AT489" s="950"/>
      <c r="AU489" s="950"/>
      <c r="AV489" s="950"/>
      <c r="AW489" s="950"/>
      <c r="AX489" s="950"/>
      <c r="AY489" s="950"/>
      <c r="AZ489" s="950"/>
      <c r="BA489" s="950"/>
      <c r="BB489" s="950"/>
      <c r="BC489" s="950"/>
      <c r="BD489" s="950"/>
      <c r="BE489" s="950"/>
      <c r="BF489" s="950"/>
      <c r="BG489" s="950"/>
      <c r="BH489" s="950"/>
      <c r="BI489" s="950"/>
      <c r="BJ489" s="950"/>
      <c r="BK489" s="950"/>
      <c r="BL489" s="950"/>
      <c r="BM489" s="950"/>
      <c r="BN489" s="6521"/>
      <c r="BO489" s="6525" t="str">
        <f>IF(_xlfn.IFERROR(INDEX(Административные!$K$26:$L$103,MATCH($F489&amp;"18komm",Административные!$K$26:$K$103,0),2),"")=0,"",_xlfn.IFERROR(INDEX(Административные!$K$26:$L$103,MATCH($F489&amp;"18komm",Административные!$K$26:$K$103,0),2),""))</f>
        <v/>
      </c>
      <c r="BP489" s="6521"/>
      <c r="BQ489" s="1297"/>
      <c r="BR489" s="1297"/>
      <c r="BS489" s="1072" t="s">
        <v>1396</v>
      </c>
      <c r="BT489" s="1072"/>
      <c r="BU489" s="1072"/>
      <c r="BV489" s="987"/>
      <c r="BW489" s="987"/>
    </row>
    <row s="1656" customFormat="1" customHeight="1" ht="14.25">
      <c r="A490" s="1297"/>
      <c r="B490" s="986"/>
      <c r="C490" s="1297"/>
      <c r="D490" s="1297"/>
      <c r="E490" s="709">
        <v>15</v>
      </c>
      <c r="F490" s="50" cm="1" t="str">
        <f t="array" ref="F490:F490">OFFSET(E490,-1,1)</f>
        <v>3</v>
      </c>
      <c r="G490" s="154" t="s">
        <v>1397</v>
      </c>
      <c r="H490" s="374"/>
      <c r="I490" s="374" t="s">
        <v>2227</v>
      </c>
      <c r="J490" s="1297"/>
      <c r="K490" s="374" t="s">
        <v>2227</v>
      </c>
      <c r="L490" s="988"/>
      <c r="M490" s="103"/>
      <c r="N490" s="1297"/>
      <c r="O490" s="1297"/>
      <c r="P490" s="1297"/>
      <c r="Q490" s="154" t="s">
        <v>2470</v>
      </c>
      <c r="R490" s="157" t="s">
        <v>2470</v>
      </c>
      <c r="S490" s="1297"/>
      <c r="T490" s="468" cm="1" t="str">
        <f t="array" ref="T490:T490">T489</f>
        <v>true</v>
      </c>
      <c r="U490" s="1297"/>
      <c r="V490" s="1297"/>
      <c r="W490" s="1297"/>
      <c r="X490" s="1539"/>
      <c r="Y490" s="1297"/>
      <c r="Z490" s="1529"/>
      <c r="AA490" s="1297"/>
      <c r="AB490" s="295" t="s">
        <v>2228</v>
      </c>
      <c r="AC490" s="775" t="s">
        <v>1398</v>
      </c>
      <c r="AD490" s="296" t="s">
        <v>936</v>
      </c>
      <c r="AE490" s="6524"/>
      <c r="AF490" s="6524"/>
      <c r="AG490" s="6524"/>
      <c r="AH490" s="951">
        <f>AG490-AF490</f>
        <v>0</v>
      </c>
      <c r="AI490" s="6490"/>
      <c r="AJ490" s="6522"/>
      <c r="AK490" s="950"/>
      <c r="AL490" s="950"/>
      <c r="AM490" s="950"/>
      <c r="AN490" s="950"/>
      <c r="AO490" s="950"/>
      <c r="AP490" s="950"/>
      <c r="AQ490" s="950"/>
      <c r="AR490" s="950"/>
      <c r="AS490" s="950"/>
      <c r="AT490" s="950"/>
      <c r="AU490" s="950"/>
      <c r="AV490" s="950"/>
      <c r="AW490" s="950"/>
      <c r="AX490" s="950"/>
      <c r="AY490" s="950"/>
      <c r="AZ490" s="950"/>
      <c r="BA490" s="950"/>
      <c r="BB490" s="950"/>
      <c r="BC490" s="950"/>
      <c r="BD490" s="950"/>
      <c r="BE490" s="950"/>
      <c r="BF490" s="950"/>
      <c r="BG490" s="950"/>
      <c r="BH490" s="950"/>
      <c r="BI490" s="950"/>
      <c r="BJ490" s="950"/>
      <c r="BK490" s="950"/>
      <c r="BL490" s="950"/>
      <c r="BM490" s="950"/>
      <c r="BN490" s="6521"/>
      <c r="BO490" s="6525" t="str">
        <f>IF(_xlfn.IFERROR(INDEX(Административные!$K$26:$L$103,MATCH($F490&amp;"11komm",Административные!$K$26:$K$103,0),2),"")=0,"",_xlfn.IFERROR(INDEX(Административные!$K$26:$L$103,MATCH($F490&amp;"11komm",Административные!$K$26:$K$103,0),2),""))</f>
        <v/>
      </c>
      <c r="BP490" s="6521"/>
      <c r="BQ490" s="1297"/>
      <c r="BR490" s="1297"/>
      <c r="BS490" s="1072" t="s">
        <v>1399</v>
      </c>
      <c r="BT490" s="1072"/>
      <c r="BU490" s="1072"/>
      <c r="BV490" s="987"/>
      <c r="BW490" s="987"/>
    </row>
    <row s="1656" customFormat="1" customHeight="1" ht="14.25">
      <c r="A491" s="1297"/>
      <c r="B491" s="986"/>
      <c r="C491" s="1297"/>
      <c r="D491" s="1297"/>
      <c r="E491" s="709">
        <v>15</v>
      </c>
      <c r="F491" s="50" cm="1" t="str">
        <f t="array" ref="F491:F491">OFFSET(E491,-1,1)</f>
        <v>3</v>
      </c>
      <c r="G491" s="154" t="s">
        <v>1400</v>
      </c>
      <c r="H491" s="374"/>
      <c r="I491" s="374" t="s">
        <v>2229</v>
      </c>
      <c r="J491" s="1297"/>
      <c r="K491" s="374" t="s">
        <v>2229</v>
      </c>
      <c r="L491" s="988"/>
      <c r="M491" s="103"/>
      <c r="N491" s="1297"/>
      <c r="O491" s="1297"/>
      <c r="P491" s="1297"/>
      <c r="Q491" s="154" t="s">
        <v>2470</v>
      </c>
      <c r="R491" s="157" t="s">
        <v>2470</v>
      </c>
      <c r="S491" s="1297"/>
      <c r="T491" s="468" cm="1" t="str">
        <f t="array" ref="T491:T491">T490</f>
        <v>true</v>
      </c>
      <c r="U491" s="1297"/>
      <c r="V491" s="1297"/>
      <c r="W491" s="1297"/>
      <c r="X491" s="1539"/>
      <c r="Y491" s="1297"/>
      <c r="Z491" s="1529"/>
      <c r="AA491" s="1297"/>
      <c r="AB491" s="295" t="s">
        <v>2230</v>
      </c>
      <c r="AC491" s="775" t="s">
        <v>1401</v>
      </c>
      <c r="AD491" s="296" t="s">
        <v>936</v>
      </c>
      <c r="AE491" s="6524"/>
      <c r="AF491" s="6524"/>
      <c r="AG491" s="6524"/>
      <c r="AH491" s="951">
        <f>AG491-AF491</f>
        <v>0</v>
      </c>
      <c r="AI491" s="6490"/>
      <c r="AJ491" s="6522"/>
      <c r="AK491" s="950"/>
      <c r="AL491" s="950"/>
      <c r="AM491" s="950"/>
      <c r="AN491" s="950"/>
      <c r="AO491" s="950"/>
      <c r="AP491" s="950"/>
      <c r="AQ491" s="950"/>
      <c r="AR491" s="950"/>
      <c r="AS491" s="950"/>
      <c r="AT491" s="950"/>
      <c r="AU491" s="950"/>
      <c r="AV491" s="950"/>
      <c r="AW491" s="950"/>
      <c r="AX491" s="950"/>
      <c r="AY491" s="950"/>
      <c r="AZ491" s="950"/>
      <c r="BA491" s="950"/>
      <c r="BB491" s="950"/>
      <c r="BC491" s="950"/>
      <c r="BD491" s="950"/>
      <c r="BE491" s="950"/>
      <c r="BF491" s="950"/>
      <c r="BG491" s="950"/>
      <c r="BH491" s="950"/>
      <c r="BI491" s="950"/>
      <c r="BJ491" s="950"/>
      <c r="BK491" s="950"/>
      <c r="BL491" s="950"/>
      <c r="BM491" s="950"/>
      <c r="BN491" s="6521"/>
      <c r="BO491" s="6525" t="str">
        <f>IF(_xlfn.IFERROR(INDEX(Административные!$K$26:$L$103,MATCH($F491&amp;"12komm",Административные!$K$26:$K$103,0),2),"")=0,"",_xlfn.IFERROR(INDEX(Административные!$K$26:$L$103,MATCH($F491&amp;"12komm",Административные!$K$26:$K$103,0),2),""))</f>
        <v/>
      </c>
      <c r="BP491" s="6521"/>
      <c r="BQ491" s="1297"/>
      <c r="BR491" s="1297"/>
      <c r="BS491" s="1072" t="s">
        <v>1402</v>
      </c>
      <c r="BT491" s="1072"/>
      <c r="BU491" s="1072"/>
      <c r="BV491" s="987"/>
      <c r="BW491" s="987"/>
    </row>
    <row s="1656" customFormat="1" customHeight="1" ht="14.25">
      <c r="A492" s="1297"/>
      <c r="B492" s="986"/>
      <c r="C492" s="1297"/>
      <c r="D492" s="1297"/>
      <c r="E492" s="709">
        <v>15</v>
      </c>
      <c r="F492" s="50" cm="1" t="str">
        <f t="array" ref="F492:F492">OFFSET(E492,-1,1)</f>
        <v>3</v>
      </c>
      <c r="G492" s="154" t="s">
        <v>1403</v>
      </c>
      <c r="H492" s="374"/>
      <c r="I492" s="374" t="s">
        <v>2231</v>
      </c>
      <c r="J492" s="1297"/>
      <c r="K492" s="374" t="s">
        <v>2231</v>
      </c>
      <c r="L492" s="988"/>
      <c r="M492" s="103"/>
      <c r="N492" s="1297"/>
      <c r="O492" s="1297"/>
      <c r="P492" s="1297"/>
      <c r="Q492" s="154" t="s">
        <v>2470</v>
      </c>
      <c r="R492" s="157" t="s">
        <v>2470</v>
      </c>
      <c r="S492" s="1297"/>
      <c r="T492" s="468" cm="1" t="str">
        <f t="array" ref="T492:T492">T491</f>
        <v>true</v>
      </c>
      <c r="U492" s="1297"/>
      <c r="V492" s="1297"/>
      <c r="W492" s="1297"/>
      <c r="X492" s="1539"/>
      <c r="Y492" s="1297"/>
      <c r="Z492" s="1529"/>
      <c r="AA492" s="1297"/>
      <c r="AB492" s="295" t="s">
        <v>2232</v>
      </c>
      <c r="AC492" s="775" t="s">
        <v>1404</v>
      </c>
      <c r="AD492" s="296" t="s">
        <v>936</v>
      </c>
      <c r="AE492" s="6524"/>
      <c r="AF492" s="6524"/>
      <c r="AG492" s="6524"/>
      <c r="AH492" s="951">
        <f>AG492-AF492</f>
        <v>0</v>
      </c>
      <c r="AI492" s="6490"/>
      <c r="AJ492" s="6522"/>
      <c r="AK492" s="950"/>
      <c r="AL492" s="950"/>
      <c r="AM492" s="950"/>
      <c r="AN492" s="950"/>
      <c r="AO492" s="950"/>
      <c r="AP492" s="950"/>
      <c r="AQ492" s="950"/>
      <c r="AR492" s="950"/>
      <c r="AS492" s="950"/>
      <c r="AT492" s="950"/>
      <c r="AU492" s="950"/>
      <c r="AV492" s="950"/>
      <c r="AW492" s="950"/>
      <c r="AX492" s="950"/>
      <c r="AY492" s="950"/>
      <c r="AZ492" s="950"/>
      <c r="BA492" s="950"/>
      <c r="BB492" s="950"/>
      <c r="BC492" s="950"/>
      <c r="BD492" s="950"/>
      <c r="BE492" s="950"/>
      <c r="BF492" s="950"/>
      <c r="BG492" s="950"/>
      <c r="BH492" s="950"/>
      <c r="BI492" s="950"/>
      <c r="BJ492" s="950"/>
      <c r="BK492" s="950"/>
      <c r="BL492" s="950"/>
      <c r="BM492" s="950"/>
      <c r="BN492" s="6521"/>
      <c r="BO492" s="6525" t="str">
        <f>IF(_xlfn.IFERROR(INDEX(Административные!$K$26:$L$103,MATCH($F492&amp;"13komm",Административные!$K$26:$K$103,0),2),"")=0,"",_xlfn.IFERROR(INDEX(Административные!$K$26:$L$103,MATCH($F492&amp;"13komm",Административные!$K$26:$K$103,0),2),""))</f>
        <v/>
      </c>
      <c r="BP492" s="6521"/>
      <c r="BQ492" s="1297"/>
      <c r="BR492" s="1297"/>
      <c r="BS492" s="1072" t="s">
        <v>1405</v>
      </c>
      <c r="BT492" s="1072"/>
      <c r="BU492" s="1072"/>
      <c r="BV492" s="987"/>
      <c r="BW492" s="987"/>
    </row>
    <row s="1656" customFormat="1" customHeight="1" ht="14.25">
      <c r="A493" s="1297"/>
      <c r="B493" s="986"/>
      <c r="C493" s="1297"/>
      <c r="D493" s="1297"/>
      <c r="E493" s="709">
        <v>15</v>
      </c>
      <c r="F493" s="50" cm="1" t="str">
        <f t="array" ref="F493:F493">OFFSET(E493,-1,1)</f>
        <v>3</v>
      </c>
      <c r="G493" s="154" t="s">
        <v>1406</v>
      </c>
      <c r="H493" s="374"/>
      <c r="I493" s="374" t="s">
        <v>2233</v>
      </c>
      <c r="J493" s="1297"/>
      <c r="K493" s="374" t="s">
        <v>2233</v>
      </c>
      <c r="L493" s="988"/>
      <c r="M493" s="103"/>
      <c r="N493" s="1297"/>
      <c r="O493" s="1297"/>
      <c r="P493" s="1297"/>
      <c r="Q493" s="154" t="s">
        <v>2470</v>
      </c>
      <c r="R493" s="157" t="s">
        <v>2470</v>
      </c>
      <c r="S493" s="1297"/>
      <c r="T493" s="468" cm="1" t="str">
        <f t="array" ref="T493:T493">T492</f>
        <v>true</v>
      </c>
      <c r="U493" s="1297"/>
      <c r="V493" s="1297"/>
      <c r="W493" s="1297"/>
      <c r="X493" s="1539"/>
      <c r="Y493" s="1297"/>
      <c r="Z493" s="1529"/>
      <c r="AA493" s="1297"/>
      <c r="AB493" s="295" t="s">
        <v>2234</v>
      </c>
      <c r="AC493" s="775" t="s">
        <v>1407</v>
      </c>
      <c r="AD493" s="296" t="s">
        <v>936</v>
      </c>
      <c r="AE493" s="6524"/>
      <c r="AF493" s="6524"/>
      <c r="AG493" s="6524"/>
      <c r="AH493" s="951">
        <f>AG493-AF493</f>
        <v>0</v>
      </c>
      <c r="AI493" s="6490"/>
      <c r="AJ493" s="6522"/>
      <c r="AK493" s="950"/>
      <c r="AL493" s="950"/>
      <c r="AM493" s="950"/>
      <c r="AN493" s="950"/>
      <c r="AO493" s="950"/>
      <c r="AP493" s="950"/>
      <c r="AQ493" s="950"/>
      <c r="AR493" s="950"/>
      <c r="AS493" s="950"/>
      <c r="AT493" s="950"/>
      <c r="AU493" s="950"/>
      <c r="AV493" s="950"/>
      <c r="AW493" s="950"/>
      <c r="AX493" s="950"/>
      <c r="AY493" s="950"/>
      <c r="AZ493" s="950"/>
      <c r="BA493" s="950"/>
      <c r="BB493" s="950"/>
      <c r="BC493" s="950"/>
      <c r="BD493" s="950"/>
      <c r="BE493" s="950"/>
      <c r="BF493" s="950"/>
      <c r="BG493" s="950"/>
      <c r="BH493" s="950"/>
      <c r="BI493" s="950"/>
      <c r="BJ493" s="950"/>
      <c r="BK493" s="950"/>
      <c r="BL493" s="950"/>
      <c r="BM493" s="950"/>
      <c r="BN493" s="6521"/>
      <c r="BO493" s="6525" t="str">
        <f>IF(_xlfn.IFERROR(INDEX(Административные!$K$26:$L$103,MATCH($F493&amp;"14komm",Административные!$K$26:$K$103,0),2),"")=0,"",_xlfn.IFERROR(INDEX(Административные!$K$26:$L$103,MATCH($F493&amp;"14komm",Административные!$K$26:$K$103,0),2),""))</f>
        <v/>
      </c>
      <c r="BP493" s="6521"/>
      <c r="BQ493" s="1297"/>
      <c r="BR493" s="1297"/>
      <c r="BS493" s="1072" t="s">
        <v>2235</v>
      </c>
      <c r="BT493" s="1072"/>
      <c r="BU493" s="1072"/>
      <c r="BV493" s="987"/>
      <c r="BW493" s="987"/>
    </row>
    <row s="1656" customFormat="1" customHeight="1" ht="14.25">
      <c r="A494" s="1297"/>
      <c r="B494" s="986"/>
      <c r="C494" s="1297"/>
      <c r="D494" s="1297"/>
      <c r="E494" s="709">
        <v>15</v>
      </c>
      <c r="F494" s="50" cm="1" t="str">
        <f t="array" ref="F494:F494">OFFSET(E494,-1,1)</f>
        <v>3</v>
      </c>
      <c r="G494" s="154" t="s">
        <v>1409</v>
      </c>
      <c r="H494" s="374"/>
      <c r="I494" s="374" t="s">
        <v>2236</v>
      </c>
      <c r="J494" s="1297"/>
      <c r="K494" s="374" t="s">
        <v>2236</v>
      </c>
      <c r="L494" s="988"/>
      <c r="M494" s="103"/>
      <c r="N494" s="1297"/>
      <c r="O494" s="1297"/>
      <c r="P494" s="1297"/>
      <c r="Q494" s="154" t="s">
        <v>2470</v>
      </c>
      <c r="R494" s="157" t="s">
        <v>2470</v>
      </c>
      <c r="S494" s="1297"/>
      <c r="T494" s="468" cm="1" t="str">
        <f t="array" ref="T494:T494">T493</f>
        <v>true</v>
      </c>
      <c r="U494" s="1297"/>
      <c r="V494" s="1297"/>
      <c r="W494" s="1297"/>
      <c r="X494" s="1539"/>
      <c r="Y494" s="1297"/>
      <c r="Z494" s="1529"/>
      <c r="AA494" s="1297"/>
      <c r="AB494" s="295" t="s">
        <v>2237</v>
      </c>
      <c r="AC494" s="775" t="s">
        <v>1412</v>
      </c>
      <c r="AD494" s="296" t="s">
        <v>936</v>
      </c>
      <c r="AE494" s="6524"/>
      <c r="AF494" s="6524"/>
      <c r="AG494" s="6524"/>
      <c r="AH494" s="951">
        <f>AG494-AF494</f>
        <v>0</v>
      </c>
      <c r="AI494" s="6490"/>
      <c r="AJ494" s="6522"/>
      <c r="AK494" s="950"/>
      <c r="AL494" s="950"/>
      <c r="AM494" s="950"/>
      <c r="AN494" s="950"/>
      <c r="AO494" s="950"/>
      <c r="AP494" s="950"/>
      <c r="AQ494" s="950"/>
      <c r="AR494" s="950"/>
      <c r="AS494" s="950"/>
      <c r="AT494" s="950"/>
      <c r="AU494" s="950"/>
      <c r="AV494" s="950"/>
      <c r="AW494" s="950"/>
      <c r="AX494" s="950"/>
      <c r="AY494" s="950"/>
      <c r="AZ494" s="950"/>
      <c r="BA494" s="950"/>
      <c r="BB494" s="950"/>
      <c r="BC494" s="950"/>
      <c r="BD494" s="950"/>
      <c r="BE494" s="950"/>
      <c r="BF494" s="950"/>
      <c r="BG494" s="950"/>
      <c r="BH494" s="950"/>
      <c r="BI494" s="950"/>
      <c r="BJ494" s="950"/>
      <c r="BK494" s="950"/>
      <c r="BL494" s="950"/>
      <c r="BM494" s="950"/>
      <c r="BN494" s="6521"/>
      <c r="BO494" s="6525" t="str">
        <f>IF(_xlfn.IFERROR(INDEX(Административные!$K$26:$L$103,MATCH($F494&amp;"15komm",Административные!$K$26:$K$103,0),2),"")=0,"",_xlfn.IFERROR(INDEX(Административные!$K$26:$L$103,MATCH($F494&amp;"15komm",Административные!$K$26:$K$103,0),2),""))</f>
        <v/>
      </c>
      <c r="BP494" s="6521"/>
      <c r="BQ494" s="1297"/>
      <c r="BR494" s="1297"/>
      <c r="BS494" s="1072" t="s">
        <v>1413</v>
      </c>
      <c r="BT494" s="1072"/>
      <c r="BU494" s="1072"/>
      <c r="BV494" s="987"/>
      <c r="BW494" s="987"/>
    </row>
    <row s="1656" customFormat="1" customHeight="1" ht="29.671875">
      <c r="A495" s="1297"/>
      <c r="B495" s="986"/>
      <c r="C495" s="1297"/>
      <c r="D495" s="1297"/>
      <c r="E495" s="709">
        <v>15</v>
      </c>
      <c r="F495" s="50" cm="1" t="str">
        <f t="array" ref="F495:F495">OFFSET(E495,-1,1)</f>
        <v>3</v>
      </c>
      <c r="G495" s="154" t="s">
        <v>1414</v>
      </c>
      <c r="H495" s="374"/>
      <c r="I495" s="374" t="s">
        <v>2238</v>
      </c>
      <c r="J495" s="1297"/>
      <c r="K495" s="374" t="s">
        <v>2238</v>
      </c>
      <c r="L495" s="988"/>
      <c r="M495" s="103"/>
      <c r="N495" s="1297"/>
      <c r="O495" s="1297"/>
      <c r="P495" s="1297"/>
      <c r="Q495" s="154" t="s">
        <v>2470</v>
      </c>
      <c r="R495" s="157" t="s">
        <v>2470</v>
      </c>
      <c r="S495" s="1297"/>
      <c r="T495" s="468" cm="1" t="str">
        <f t="array" ref="T495:T495">T494</f>
        <v>true</v>
      </c>
      <c r="U495" s="1297"/>
      <c r="V495" s="1297"/>
      <c r="W495" s="1297"/>
      <c r="X495" s="1539"/>
      <c r="Y495" s="1297"/>
      <c r="Z495" s="1529"/>
      <c r="AA495" s="1297"/>
      <c r="AB495" s="295" t="s">
        <v>2239</v>
      </c>
      <c r="AC495" s="775" t="s">
        <v>1417</v>
      </c>
      <c r="AD495" s="296" t="s">
        <v>936</v>
      </c>
      <c r="AE495" s="6524">
        <v>1238.15</v>
      </c>
      <c r="AF495" s="6524">
        <v>236.18</v>
      </c>
      <c r="AG495" s="6524"/>
      <c r="AH495" s="951">
        <f>AG495-AF495</f>
        <v>-236.18</v>
      </c>
      <c r="AI495" s="6490"/>
      <c r="AJ495" s="6522"/>
      <c r="AK495" s="950"/>
      <c r="AL495" s="950"/>
      <c r="AM495" s="950"/>
      <c r="AN495" s="950"/>
      <c r="AO495" s="950"/>
      <c r="AP495" s="950"/>
      <c r="AQ495" s="950"/>
      <c r="AR495" s="950"/>
      <c r="AS495" s="950"/>
      <c r="AT495" s="950"/>
      <c r="AU495" s="950"/>
      <c r="AV495" s="950"/>
      <c r="AW495" s="950"/>
      <c r="AX495" s="950"/>
      <c r="AY495" s="950"/>
      <c r="AZ495" s="950"/>
      <c r="BA495" s="950"/>
      <c r="BB495" s="950"/>
      <c r="BC495" s="950"/>
      <c r="BD495" s="950"/>
      <c r="BE495" s="950"/>
      <c r="BF495" s="950"/>
      <c r="BG495" s="950"/>
      <c r="BH495" s="950"/>
      <c r="BI495" s="950"/>
      <c r="BJ495" s="950"/>
      <c r="BK495" s="950"/>
      <c r="BL495" s="950"/>
      <c r="BM495" s="950"/>
      <c r="BN495" s="6521"/>
      <c r="BO495" s="6525" t="str">
        <f>IF(_xlfn.IFERROR(INDEX(Административные!$K$26:$L$103,MATCH($F495&amp;"16komm",Административные!$K$26:$K$103,0),2),"")=0,"",_xlfn.IFERROR(INDEX(Административные!$K$26:$L$103,MATCH($F495&amp;"16komm",Административные!$K$26:$K$103,0),2),""))</f>
        <v/>
      </c>
      <c r="BP495" s="6521"/>
      <c r="BQ495" s="1297"/>
      <c r="BR495" s="1297"/>
      <c r="BS495" s="1072" t="s">
        <v>2240</v>
      </c>
      <c r="BT495" s="1072"/>
      <c r="BU495" s="1072"/>
      <c r="BV495" s="987"/>
      <c r="BW495" s="987"/>
    </row>
    <row s="1656" customFormat="1" customHeight="1" ht="60.421875">
      <c r="A496" s="1297"/>
      <c r="B496" s="986"/>
      <c r="C496" s="1297"/>
      <c r="D496" s="1297"/>
      <c r="E496" s="709">
        <v>22.5</v>
      </c>
      <c r="F496" s="50" cm="1" t="str">
        <f t="array" ref="F496:F496">OFFSET(E496,-1,1)</f>
        <v>3</v>
      </c>
      <c r="G496" s="1297"/>
      <c r="H496" s="374"/>
      <c r="I496" s="374" t="s">
        <v>1578</v>
      </c>
      <c r="J496" s="1297"/>
      <c r="K496" s="374" t="s">
        <v>1578</v>
      </c>
      <c r="L496" s="988" t="s">
        <v>1099</v>
      </c>
      <c r="M496" s="103"/>
      <c r="N496" s="1297"/>
      <c r="O496" s="1297"/>
      <c r="P496" s="1297"/>
      <c r="Q496" s="154" t="s">
        <v>2470</v>
      </c>
      <c r="R496" s="157" t="s">
        <v>2470</v>
      </c>
      <c r="S496" s="1297"/>
      <c r="T496" s="468" cm="1" t="str">
        <f t="array" ref="T496:T496">T495</f>
        <v>true</v>
      </c>
      <c r="U496" s="1297"/>
      <c r="V496" s="1297"/>
      <c r="W496" s="1297"/>
      <c r="X496" s="1539"/>
      <c r="Y496" s="1297"/>
      <c r="Z496" s="1529"/>
      <c r="AA496" s="1297"/>
      <c r="AB496" s="295" t="s">
        <v>1217</v>
      </c>
      <c r="AC496" s="772" t="s">
        <v>2241</v>
      </c>
      <c r="AD496" s="296" t="s">
        <v>936</v>
      </c>
      <c r="AE496" s="952">
        <f>AE497+AE498</f>
        <v>4810.85</v>
      </c>
      <c r="AF496" s="952">
        <f>AF497+AF498</f>
        <v>13598.52</v>
      </c>
      <c r="AG496" s="952">
        <f>AG497+AG498</f>
        <v>0</v>
      </c>
      <c r="AH496" s="951">
        <f>AG496-AF496</f>
        <v>-13598.52</v>
      </c>
      <c r="AI496" s="6493">
        <f>AI497+AI498</f>
        <v>0</v>
      </c>
      <c r="AJ496" s="6522"/>
      <c r="AK496" s="950"/>
      <c r="AL496" s="950"/>
      <c r="AM496" s="950"/>
      <c r="AN496" s="950"/>
      <c r="AO496" s="950"/>
      <c r="AP496" s="950"/>
      <c r="AQ496" s="950"/>
      <c r="AR496" s="950"/>
      <c r="AS496" s="950"/>
      <c r="AT496" s="950"/>
      <c r="AU496" s="950"/>
      <c r="AV496" s="950"/>
      <c r="AW496" s="950"/>
      <c r="AX496" s="950"/>
      <c r="AY496" s="950"/>
      <c r="AZ496" s="950"/>
      <c r="BA496" s="950"/>
      <c r="BB496" s="950"/>
      <c r="BC496" s="950"/>
      <c r="BD496" s="950"/>
      <c r="BE496" s="950"/>
      <c r="BF496" s="950"/>
      <c r="BG496" s="950"/>
      <c r="BH496" s="950"/>
      <c r="BI496" s="950"/>
      <c r="BJ496" s="950"/>
      <c r="BK496" s="950"/>
      <c r="BL496" s="950"/>
      <c r="BM496" s="950"/>
      <c r="BN496" s="6521"/>
      <c r="BO496" s="6521"/>
      <c r="BP496" s="6521"/>
      <c r="BQ496" s="1297"/>
      <c r="BR496" s="1297"/>
      <c r="BS496" s="1070" t="s">
        <v>2055</v>
      </c>
      <c r="BT496" s="1072"/>
      <c r="BU496" s="1072"/>
      <c r="BV496" s="987"/>
      <c r="BW496" s="987"/>
    </row>
    <row s="1656" customFormat="1" customHeight="1" ht="43.921875">
      <c r="A497" s="1297"/>
      <c r="B497" s="986"/>
      <c r="C497" s="1297"/>
      <c r="D497" s="1297"/>
      <c r="E497" s="709">
        <v>15</v>
      </c>
      <c r="F497" s="50" cm="1" t="str">
        <f t="array" ref="F497:F497">OFFSET(E497,-1,1)</f>
        <v>3</v>
      </c>
      <c r="G497" s="154" t="s">
        <v>1373</v>
      </c>
      <c r="H497" s="374"/>
      <c r="I497" s="374" t="s">
        <v>2242</v>
      </c>
      <c r="J497" s="1297"/>
      <c r="K497" s="374" t="s">
        <v>2242</v>
      </c>
      <c r="L497" s="988" t="s">
        <v>602</v>
      </c>
      <c r="M497" s="103"/>
      <c r="N497" s="1297"/>
      <c r="O497" s="1297"/>
      <c r="P497" s="1297"/>
      <c r="Q497" s="154" t="s">
        <v>2470</v>
      </c>
      <c r="R497" s="157" t="s">
        <v>2470</v>
      </c>
      <c r="S497" s="1297"/>
      <c r="T497" s="468" cm="1" t="str">
        <f t="array" ref="T497:T497">T496</f>
        <v>true</v>
      </c>
      <c r="U497" s="1297"/>
      <c r="V497" s="1297"/>
      <c r="W497" s="1297"/>
      <c r="X497" s="1539"/>
      <c r="Y497" s="1297"/>
      <c r="Z497" s="1529"/>
      <c r="AA497" s="1297"/>
      <c r="AB497" s="295" t="s">
        <v>2243</v>
      </c>
      <c r="AC497" s="775" t="s">
        <v>2056</v>
      </c>
      <c r="AD497" s="778" t="s">
        <v>936</v>
      </c>
      <c r="AE497" s="6524">
        <v>3694.48</v>
      </c>
      <c r="AF497" s="6524">
        <v>10709.34</v>
      </c>
      <c r="AG497" s="6524"/>
      <c r="AH497" s="951">
        <f>AG497-AF497</f>
        <v>-10709.34</v>
      </c>
      <c r="AI497" s="6490"/>
      <c r="AJ497" s="6522"/>
      <c r="AK497" s="950"/>
      <c r="AL497" s="950"/>
      <c r="AM497" s="950"/>
      <c r="AN497" s="950"/>
      <c r="AO497" s="950"/>
      <c r="AP497" s="950"/>
      <c r="AQ497" s="950"/>
      <c r="AR497" s="950"/>
      <c r="AS497" s="950"/>
      <c r="AT497" s="950"/>
      <c r="AU497" s="950"/>
      <c r="AV497" s="950"/>
      <c r="AW497" s="950"/>
      <c r="AX497" s="950"/>
      <c r="AY497" s="950"/>
      <c r="AZ497" s="950"/>
      <c r="BA497" s="950"/>
      <c r="BB497" s="950"/>
      <c r="BC497" s="950"/>
      <c r="BD497" s="950"/>
      <c r="BE497" s="950"/>
      <c r="BF497" s="950"/>
      <c r="BG497" s="950"/>
      <c r="BH497" s="950"/>
      <c r="BI497" s="950"/>
      <c r="BJ497" s="950"/>
      <c r="BK497" s="950"/>
      <c r="BL497" s="950"/>
      <c r="BM497" s="950"/>
      <c r="BN497" s="6521"/>
      <c r="BO497" s="6525" t="str">
        <f>IF(_xlfn.IFERROR(INDEX(ФОТ!$K$26:$L$127,MATCH($F497&amp;"5komm",ФОТ!$K$26:$K$127,0),2),"")=0,"",_xlfn.IFERROR(INDEX(ФОТ!$K$26:$L$127,MATCH($F497&amp;"5komm",ФОТ!$K$26:$K$127,0),2),""))</f>
        <v/>
      </c>
      <c r="BP497" s="6521"/>
      <c r="BQ497" s="1297"/>
      <c r="BR497" s="1297"/>
      <c r="BS497" s="1070" t="s">
        <v>1390</v>
      </c>
      <c r="BT497" s="1072"/>
      <c r="BU497" s="1072"/>
      <c r="BV497" s="987"/>
      <c r="BW497" s="987"/>
    </row>
    <row s="1656" customFormat="1" customHeight="1" ht="58.171875">
      <c r="A498" s="1297"/>
      <c r="B498" s="986"/>
      <c r="C498" s="1297"/>
      <c r="D498" s="1297"/>
      <c r="E498" s="709">
        <v>22.5</v>
      </c>
      <c r="F498" s="50" cm="1" t="str">
        <f t="array" ref="F498:F498">OFFSET(E498,-1,1)</f>
        <v>3</v>
      </c>
      <c r="G498" s="154" t="s">
        <v>1378</v>
      </c>
      <c r="H498" s="374"/>
      <c r="I498" s="374" t="s">
        <v>2244</v>
      </c>
      <c r="J498" s="1297"/>
      <c r="K498" s="374" t="s">
        <v>2244</v>
      </c>
      <c r="L498" s="988" t="s">
        <v>607</v>
      </c>
      <c r="M498" s="103"/>
      <c r="N498" s="1297"/>
      <c r="O498" s="1297"/>
      <c r="P498" s="1297"/>
      <c r="Q498" s="154" t="s">
        <v>2470</v>
      </c>
      <c r="R498" s="157" t="s">
        <v>2470</v>
      </c>
      <c r="S498" s="1297"/>
      <c r="T498" s="468" cm="1" t="str">
        <f t="array" ref="T498:T498">T497</f>
        <v>true</v>
      </c>
      <c r="U498" s="1297"/>
      <c r="V498" s="1297"/>
      <c r="W498" s="1297"/>
      <c r="X498" s="1539"/>
      <c r="Y498" s="1297"/>
      <c r="Z498" s="1529"/>
      <c r="AA498" s="1297"/>
      <c r="AB498" s="295" t="s">
        <v>2245</v>
      </c>
      <c r="AC498" s="775" t="s">
        <v>2246</v>
      </c>
      <c r="AD498" s="296" t="s">
        <v>936</v>
      </c>
      <c r="AE498" s="6524">
        <v>1116.37</v>
      </c>
      <c r="AF498" s="6524">
        <v>2889.18</v>
      </c>
      <c r="AG498" s="6524">
        <f>AG497*_xlfn.SUMIFS(INDEX(Сценарии!$AE$25:$BF$136,,MATCH(AG$8,Сценарии!$AE$8:$BF$8,0)),Сценарии!$F$25:$F$136,$F498,Сценарии!$G$25:$G$136,"СВФОТ")/100</f>
        <v>0</v>
      </c>
      <c r="AH498" s="951">
        <f>AG498-AF498</f>
        <v>-2889.18</v>
      </c>
      <c r="AI498" s="6490">
        <f>AI497*_xlfn.SUMIFS(INDEX(Сценарии!$AE$25:$BF$136,,MATCH(AG$8,Сценарии!$AE$8:$BF$8,0)),Сценарии!$F$25:$F$136,$F498,Сценарии!$G$25:$G$136,"СВФОТ")/100</f>
        <v>0</v>
      </c>
      <c r="AJ498" s="6522"/>
      <c r="AK498" s="950"/>
      <c r="AL498" s="950"/>
      <c r="AM498" s="950"/>
      <c r="AN498" s="950"/>
      <c r="AO498" s="950"/>
      <c r="AP498" s="950"/>
      <c r="AQ498" s="950"/>
      <c r="AR498" s="950"/>
      <c r="AS498" s="950"/>
      <c r="AT498" s="950"/>
      <c r="AU498" s="950"/>
      <c r="AV498" s="950"/>
      <c r="AW498" s="950"/>
      <c r="AX498" s="950"/>
      <c r="AY498" s="950"/>
      <c r="AZ498" s="950"/>
      <c r="BA498" s="950"/>
      <c r="BB498" s="950"/>
      <c r="BC498" s="950"/>
      <c r="BD498" s="950"/>
      <c r="BE498" s="950"/>
      <c r="BF498" s="950"/>
      <c r="BG498" s="950"/>
      <c r="BH498" s="950"/>
      <c r="BI498" s="950"/>
      <c r="BJ498" s="950"/>
      <c r="BK498" s="950"/>
      <c r="BL498" s="950"/>
      <c r="BM498" s="950"/>
      <c r="BN498" s="6521"/>
      <c r="BO498" s="6525" t="str">
        <f>IF(_xlfn.IFERROR(INDEX(ФОТ!$K$26:$L$127,MATCH($F498&amp;"6komm",ФОТ!$K$26:$K$127,0),2),"")=0,"",_xlfn.IFERROR(INDEX(ФОТ!$K$26:$L$127,MATCH($F498&amp;"6komm",ФОТ!$K$26:$K$127,0),2),""))</f>
        <v/>
      </c>
      <c r="BP498" s="6521"/>
      <c r="BQ498" s="1297"/>
      <c r="BR498" s="1297"/>
      <c r="BS498" s="1070" t="s">
        <v>2058</v>
      </c>
      <c r="BT498" s="1072"/>
      <c r="BU498" s="1072"/>
      <c r="BV498" s="987"/>
      <c r="BW498" s="987"/>
    </row>
    <row s="1656" customFormat="1" customHeight="1" ht="32.25">
      <c r="A499" s="1297"/>
      <c r="B499" s="986"/>
      <c r="C499" s="1297"/>
      <c r="D499" s="1297"/>
      <c r="E499" s="709">
        <v>33.75</v>
      </c>
      <c r="F499" s="50" cm="1" t="str">
        <f t="array" ref="F499:F499">OFFSET(E499,-1,1)</f>
        <v>3</v>
      </c>
      <c r="G499" s="49" t="s">
        <v>1419</v>
      </c>
      <c r="H499" s="374"/>
      <c r="I499" s="374" t="s">
        <v>1581</v>
      </c>
      <c r="J499" s="1297"/>
      <c r="K499" s="374" t="s">
        <v>1581</v>
      </c>
      <c r="L499" s="988" t="s">
        <v>1101</v>
      </c>
      <c r="M499" s="103"/>
      <c r="N499" s="1297"/>
      <c r="O499" s="1297"/>
      <c r="P499" s="1297"/>
      <c r="Q499" s="154" t="s">
        <v>2470</v>
      </c>
      <c r="R499" s="157" t="s">
        <v>2470</v>
      </c>
      <c r="S499" s="1297"/>
      <c r="T499" s="468" cm="1" t="str">
        <f t="array" ref="T499:T499">T498</f>
        <v>true</v>
      </c>
      <c r="U499" s="1297"/>
      <c r="V499" s="1297"/>
      <c r="W499" s="1297"/>
      <c r="X499" s="1539"/>
      <c r="Y499" s="1297"/>
      <c r="Z499" s="1529"/>
      <c r="AA499" s="1297"/>
      <c r="AB499" s="295" t="s">
        <v>1582</v>
      </c>
      <c r="AC499" s="772" t="s">
        <v>2247</v>
      </c>
      <c r="AD499" s="296" t="s">
        <v>936</v>
      </c>
      <c r="AE499" s="6524"/>
      <c r="AF499" s="6524"/>
      <c r="AG499" s="6524"/>
      <c r="AH499" s="951">
        <f>AG499-AF499</f>
        <v>0</v>
      </c>
      <c r="AI499" s="6490"/>
      <c r="AJ499" s="6522"/>
      <c r="AK499" s="950"/>
      <c r="AL499" s="950"/>
      <c r="AM499" s="950"/>
      <c r="AN499" s="950"/>
      <c r="AO499" s="950"/>
      <c r="AP499" s="950"/>
      <c r="AQ499" s="950"/>
      <c r="AR499" s="950"/>
      <c r="AS499" s="950"/>
      <c r="AT499" s="950"/>
      <c r="AU499" s="950"/>
      <c r="AV499" s="950"/>
      <c r="AW499" s="950"/>
      <c r="AX499" s="950"/>
      <c r="AY499" s="950"/>
      <c r="AZ499" s="950"/>
      <c r="BA499" s="950"/>
      <c r="BB499" s="950"/>
      <c r="BC499" s="950"/>
      <c r="BD499" s="950"/>
      <c r="BE499" s="950"/>
      <c r="BF499" s="950"/>
      <c r="BG499" s="950"/>
      <c r="BH499" s="950"/>
      <c r="BI499" s="950"/>
      <c r="BJ499" s="950"/>
      <c r="BK499" s="950"/>
      <c r="BL499" s="950"/>
      <c r="BM499" s="950"/>
      <c r="BN499" s="6521"/>
      <c r="BO499" s="6525" t="str">
        <f>IF(_xlfn.IFERROR(INDEX(Административные!$K$26:$L$103,MATCH($F499&amp;"2komm",Административные!$K$26:$K$103,0),2),"")=0,"",_xlfn.IFERROR(INDEX(Административные!$K$26:$L$103,MATCH($F499&amp;"2komm",Административные!$K$26:$K$103,0),2),""))</f>
        <v/>
      </c>
      <c r="BP499" s="6521"/>
      <c r="BQ499" s="1297"/>
      <c r="BR499" s="1297"/>
      <c r="BS499" s="1070" t="s">
        <v>1421</v>
      </c>
      <c r="BT499" s="1072"/>
      <c r="BU499" s="1072"/>
      <c r="BV499" s="987"/>
      <c r="BW499" s="987"/>
    </row>
    <row s="1656" customFormat="1" customHeight="1" ht="14.25">
      <c r="A500" s="1297"/>
      <c r="B500" s="986"/>
      <c r="C500" s="1297"/>
      <c r="D500" s="1297"/>
      <c r="E500" s="709">
        <v>15</v>
      </c>
      <c r="F500" s="50" cm="1" t="str">
        <f t="array" ref="F500:F500">OFFSET(E500,-1,1)</f>
        <v>3</v>
      </c>
      <c r="G500" s="49" t="s">
        <v>1422</v>
      </c>
      <c r="H500" s="374"/>
      <c r="I500" s="374" t="s">
        <v>1585</v>
      </c>
      <c r="J500" s="1297"/>
      <c r="K500" s="374" t="s">
        <v>1585</v>
      </c>
      <c r="L500" s="988" t="s">
        <v>1103</v>
      </c>
      <c r="M500" s="103"/>
      <c r="N500" s="1297"/>
      <c r="O500" s="1297"/>
      <c r="P500" s="1297"/>
      <c r="Q500" s="154" t="s">
        <v>2470</v>
      </c>
      <c r="R500" s="157" t="s">
        <v>2470</v>
      </c>
      <c r="S500" s="1297"/>
      <c r="T500" s="468" cm="1" t="str">
        <f t="array" ref="T500:T500">T499</f>
        <v>true</v>
      </c>
      <c r="U500" s="1297"/>
      <c r="V500" s="1297"/>
      <c r="W500" s="1297"/>
      <c r="X500" s="1539"/>
      <c r="Y500" s="1297"/>
      <c r="Z500" s="1529"/>
      <c r="AA500" s="1297"/>
      <c r="AB500" s="295" t="s">
        <v>1586</v>
      </c>
      <c r="AC500" s="772" t="s">
        <v>2248</v>
      </c>
      <c r="AD500" s="296" t="s">
        <v>936</v>
      </c>
      <c r="AE500" s="6524"/>
      <c r="AF500" s="6524"/>
      <c r="AG500" s="6524"/>
      <c r="AH500" s="951">
        <f>AG500-AF500</f>
        <v>0</v>
      </c>
      <c r="AI500" s="6490"/>
      <c r="AJ500" s="6522"/>
      <c r="AK500" s="950"/>
      <c r="AL500" s="950"/>
      <c r="AM500" s="950"/>
      <c r="AN500" s="950"/>
      <c r="AO500" s="950"/>
      <c r="AP500" s="950"/>
      <c r="AQ500" s="950"/>
      <c r="AR500" s="950"/>
      <c r="AS500" s="950"/>
      <c r="AT500" s="950"/>
      <c r="AU500" s="950"/>
      <c r="AV500" s="950"/>
      <c r="AW500" s="950"/>
      <c r="AX500" s="950"/>
      <c r="AY500" s="950"/>
      <c r="AZ500" s="950"/>
      <c r="BA500" s="950"/>
      <c r="BB500" s="950"/>
      <c r="BC500" s="950"/>
      <c r="BD500" s="950"/>
      <c r="BE500" s="950"/>
      <c r="BF500" s="950"/>
      <c r="BG500" s="950"/>
      <c r="BH500" s="950"/>
      <c r="BI500" s="950"/>
      <c r="BJ500" s="950"/>
      <c r="BK500" s="950"/>
      <c r="BL500" s="950"/>
      <c r="BM500" s="950"/>
      <c r="BN500" s="6521"/>
      <c r="BO500" s="6525" t="str">
        <f>IF(_xlfn.IFERROR(INDEX(Административные!$K$26:$L$103,MATCH($F500&amp;"3komm",Административные!$K$26:$K$103,0),2),"")=0,"",_xlfn.IFERROR(INDEX(Административные!$K$26:$L$103,MATCH($F500&amp;"3komm",Административные!$K$26:$K$103,0),2),""))</f>
        <v/>
      </c>
      <c r="BP500" s="6521"/>
      <c r="BQ500" s="1297"/>
      <c r="BR500" s="1297"/>
      <c r="BS500" s="1070" t="s">
        <v>1424</v>
      </c>
      <c r="BT500" s="1072"/>
      <c r="BU500" s="1072"/>
      <c r="BV500" s="987"/>
      <c r="BW500" s="987"/>
    </row>
    <row s="1656" customFormat="1" customHeight="1" ht="14.25">
      <c r="A501" s="1297"/>
      <c r="B501" s="986"/>
      <c r="C501" s="1297"/>
      <c r="D501" s="1297"/>
      <c r="E501" s="709">
        <v>15</v>
      </c>
      <c r="F501" s="50" cm="1" t="str">
        <f t="array" ref="F501:F501">OFFSET(E501,-1,1)</f>
        <v>3</v>
      </c>
      <c r="G501" s="49" t="s">
        <v>1425</v>
      </c>
      <c r="H501" s="374"/>
      <c r="I501" s="374" t="s">
        <v>2249</v>
      </c>
      <c r="J501" s="1297"/>
      <c r="K501" s="374" t="s">
        <v>2249</v>
      </c>
      <c r="L501" s="988" t="s">
        <v>1106</v>
      </c>
      <c r="M501" s="103"/>
      <c r="N501" s="1297"/>
      <c r="O501" s="1297"/>
      <c r="P501" s="1297"/>
      <c r="Q501" s="154" t="s">
        <v>2470</v>
      </c>
      <c r="R501" s="157" t="s">
        <v>2470</v>
      </c>
      <c r="S501" s="1297"/>
      <c r="T501" s="468" cm="1" t="str">
        <f t="array" ref="T501:T501">T500</f>
        <v>true</v>
      </c>
      <c r="U501" s="1297"/>
      <c r="V501" s="1297"/>
      <c r="W501" s="1297"/>
      <c r="X501" s="1539"/>
      <c r="Y501" s="1297"/>
      <c r="Z501" s="1529"/>
      <c r="AA501" s="1297"/>
      <c r="AB501" s="295" t="s">
        <v>2250</v>
      </c>
      <c r="AC501" s="772" t="s">
        <v>2251</v>
      </c>
      <c r="AD501" s="296" t="s">
        <v>936</v>
      </c>
      <c r="AE501" s="6524"/>
      <c r="AF501" s="6524"/>
      <c r="AG501" s="6524"/>
      <c r="AH501" s="951">
        <f>AG501-AF501</f>
        <v>0</v>
      </c>
      <c r="AI501" s="6490"/>
      <c r="AJ501" s="6522"/>
      <c r="AK501" s="950"/>
      <c r="AL501" s="950"/>
      <c r="AM501" s="950"/>
      <c r="AN501" s="950"/>
      <c r="AO501" s="950"/>
      <c r="AP501" s="950"/>
      <c r="AQ501" s="950"/>
      <c r="AR501" s="950"/>
      <c r="AS501" s="950"/>
      <c r="AT501" s="950"/>
      <c r="AU501" s="950"/>
      <c r="AV501" s="950"/>
      <c r="AW501" s="950"/>
      <c r="AX501" s="950"/>
      <c r="AY501" s="950"/>
      <c r="AZ501" s="950"/>
      <c r="BA501" s="950"/>
      <c r="BB501" s="950"/>
      <c r="BC501" s="950"/>
      <c r="BD501" s="950"/>
      <c r="BE501" s="950"/>
      <c r="BF501" s="950"/>
      <c r="BG501" s="950"/>
      <c r="BH501" s="950"/>
      <c r="BI501" s="950"/>
      <c r="BJ501" s="950"/>
      <c r="BK501" s="950"/>
      <c r="BL501" s="950"/>
      <c r="BM501" s="950"/>
      <c r="BN501" s="6521"/>
      <c r="BO501" s="6525" t="str">
        <f>IF(_xlfn.IFERROR(INDEX(Административные!$K$26:$L$103,MATCH($F501&amp;"4komm",Административные!$K$26:$K$103,0),2),"")=0,"",_xlfn.IFERROR(INDEX(Административные!$K$26:$L$103,MATCH($F501&amp;"4komm",Административные!$K$26:$K$103,0),2),""))</f>
        <v/>
      </c>
      <c r="BP501" s="6521"/>
      <c r="BQ501" s="1297"/>
      <c r="BR501" s="1297"/>
      <c r="BS501" s="1070" t="s">
        <v>1427</v>
      </c>
      <c r="BT501" s="1072"/>
      <c r="BU501" s="1072"/>
      <c r="BV501" s="987"/>
      <c r="BW501" s="987"/>
    </row>
    <row s="1656" customFormat="1" customHeight="1" ht="14.25">
      <c r="A502" s="1297"/>
      <c r="B502" s="986"/>
      <c r="C502" s="1297"/>
      <c r="D502" s="1297"/>
      <c r="E502" s="709">
        <v>15</v>
      </c>
      <c r="F502" s="50" cm="1" t="str">
        <f t="array" ref="F502:F502">OFFSET(E502,-1,1)</f>
        <v>3</v>
      </c>
      <c r="G502" s="49" t="s">
        <v>1428</v>
      </c>
      <c r="H502" s="374"/>
      <c r="I502" s="374" t="s">
        <v>2252</v>
      </c>
      <c r="J502" s="1297"/>
      <c r="K502" s="374" t="s">
        <v>2252</v>
      </c>
      <c r="L502" s="988" t="s">
        <v>1410</v>
      </c>
      <c r="M502" s="103"/>
      <c r="N502" s="1297"/>
      <c r="O502" s="1297"/>
      <c r="P502" s="1297"/>
      <c r="Q502" s="154" t="s">
        <v>2470</v>
      </c>
      <c r="R502" s="157" t="s">
        <v>2470</v>
      </c>
      <c r="S502" s="1297"/>
      <c r="T502" s="468" cm="1" t="str">
        <f t="array" ref="T502:T502">T501</f>
        <v>true</v>
      </c>
      <c r="U502" s="1297"/>
      <c r="V502" s="1297"/>
      <c r="W502" s="1297"/>
      <c r="X502" s="1539"/>
      <c r="Y502" s="1297"/>
      <c r="Z502" s="1529"/>
      <c r="AA502" s="1297"/>
      <c r="AB502" s="295" t="s">
        <v>2253</v>
      </c>
      <c r="AC502" s="772" t="s">
        <v>2254</v>
      </c>
      <c r="AD502" s="296" t="s">
        <v>936</v>
      </c>
      <c r="AE502" s="6524"/>
      <c r="AF502" s="6524"/>
      <c r="AG502" s="6524"/>
      <c r="AH502" s="951">
        <f>AG502-AF502</f>
        <v>0</v>
      </c>
      <c r="AI502" s="6490"/>
      <c r="AJ502" s="6522"/>
      <c r="AK502" s="950"/>
      <c r="AL502" s="950"/>
      <c r="AM502" s="950"/>
      <c r="AN502" s="950"/>
      <c r="AO502" s="950"/>
      <c r="AP502" s="950"/>
      <c r="AQ502" s="950"/>
      <c r="AR502" s="950"/>
      <c r="AS502" s="950"/>
      <c r="AT502" s="950"/>
      <c r="AU502" s="950"/>
      <c r="AV502" s="950"/>
      <c r="AW502" s="950"/>
      <c r="AX502" s="950"/>
      <c r="AY502" s="950"/>
      <c r="AZ502" s="950"/>
      <c r="BA502" s="950"/>
      <c r="BB502" s="950"/>
      <c r="BC502" s="950"/>
      <c r="BD502" s="950"/>
      <c r="BE502" s="950"/>
      <c r="BF502" s="950"/>
      <c r="BG502" s="950"/>
      <c r="BH502" s="950"/>
      <c r="BI502" s="950"/>
      <c r="BJ502" s="950"/>
      <c r="BK502" s="950"/>
      <c r="BL502" s="950"/>
      <c r="BM502" s="950"/>
      <c r="BN502" s="6521"/>
      <c r="BO502" s="6525" t="str">
        <f>IF(_xlfn.IFERROR(INDEX(Административные!$K$26:$L$103,MATCH($F502&amp;"5komm",Административные!$K$26:$K$103,0),2),"")=0,"",_xlfn.IFERROR(INDEX(Административные!$K$26:$L$103,MATCH($F502&amp;"5komm",Административные!$K$26:$K$103,0),2),""))</f>
        <v/>
      </c>
      <c r="BP502" s="6521"/>
      <c r="BQ502" s="1297"/>
      <c r="BR502" s="1297"/>
      <c r="BS502" s="1070" t="s">
        <v>2060</v>
      </c>
      <c r="BT502" s="1072"/>
      <c r="BU502" s="1072"/>
      <c r="BV502" s="987"/>
      <c r="BW502" s="987"/>
    </row>
    <row s="1656" customFormat="1" customHeight="1" ht="30.421875">
      <c r="A503" s="1297"/>
      <c r="B503" s="986"/>
      <c r="C503" s="1297"/>
      <c r="D503" s="1297"/>
      <c r="E503" s="709">
        <v>15</v>
      </c>
      <c r="F503" s="50" cm="1" t="str">
        <f t="array" ref="F503:F503">OFFSET(E503,-1,1)</f>
        <v>3</v>
      </c>
      <c r="G503" s="49" t="s">
        <v>1431</v>
      </c>
      <c r="H503" s="374"/>
      <c r="I503" s="374" t="s">
        <v>2255</v>
      </c>
      <c r="J503" s="1297"/>
      <c r="K503" s="374" t="s">
        <v>2255</v>
      </c>
      <c r="L503" s="988" t="s">
        <v>1415</v>
      </c>
      <c r="M503" s="103"/>
      <c r="N503" s="1297"/>
      <c r="O503" s="1297"/>
      <c r="P503" s="1297"/>
      <c r="Q503" s="154" t="s">
        <v>2470</v>
      </c>
      <c r="R503" s="157" t="s">
        <v>2470</v>
      </c>
      <c r="S503" s="1297"/>
      <c r="T503" s="468" cm="1" t="str">
        <f t="array" ref="T503:T503">T502</f>
        <v>true</v>
      </c>
      <c r="U503" s="1297"/>
      <c r="V503" s="1297"/>
      <c r="W503" s="1297"/>
      <c r="X503" s="1539"/>
      <c r="Y503" s="1297"/>
      <c r="Z503" s="1529"/>
      <c r="AA503" s="1297"/>
      <c r="AB503" s="295" t="s">
        <v>2256</v>
      </c>
      <c r="AC503" s="772" t="s">
        <v>2257</v>
      </c>
      <c r="AD503" s="296" t="s">
        <v>936</v>
      </c>
      <c r="AE503" s="951">
        <f>SUM(AE504:AE506)</f>
        <v>305.21</v>
      </c>
      <c r="AF503" s="951">
        <f>SUM(AF504:AF506)</f>
        <v>5326.27</v>
      </c>
      <c r="AG503" s="951">
        <f>SUM(AG504:AG506)</f>
        <v>0</v>
      </c>
      <c r="AH503" s="951">
        <f>AG503-AF503</f>
        <v>-5326.27</v>
      </c>
      <c r="AI503" s="6488">
        <f>SUM(AI504:AI506)</f>
        <v>0</v>
      </c>
      <c r="AJ503" s="6522"/>
      <c r="AK503" s="950"/>
      <c r="AL503" s="950"/>
      <c r="AM503" s="950"/>
      <c r="AN503" s="950"/>
      <c r="AO503" s="950"/>
      <c r="AP503" s="950"/>
      <c r="AQ503" s="950"/>
      <c r="AR503" s="950"/>
      <c r="AS503" s="950"/>
      <c r="AT503" s="950"/>
      <c r="AU503" s="950"/>
      <c r="AV503" s="950"/>
      <c r="AW503" s="950"/>
      <c r="AX503" s="950"/>
      <c r="AY503" s="950"/>
      <c r="AZ503" s="950"/>
      <c r="BA503" s="950"/>
      <c r="BB503" s="950"/>
      <c r="BC503" s="950"/>
      <c r="BD503" s="950"/>
      <c r="BE503" s="950"/>
      <c r="BF503" s="950"/>
      <c r="BG503" s="950"/>
      <c r="BH503" s="950"/>
      <c r="BI503" s="950"/>
      <c r="BJ503" s="950"/>
      <c r="BK503" s="950"/>
      <c r="BL503" s="950"/>
      <c r="BM503" s="950"/>
      <c r="BN503" s="6521"/>
      <c r="BO503" s="6525" t="str">
        <f>IF(_xlfn.IFERROR(INDEX(Административные!$K$26:$L$103,MATCH($F503&amp;"6komm",Административные!$K$26:$K$103,0),2),"")=0,"",_xlfn.IFERROR(INDEX(Административные!$K$26:$L$103,MATCH($F503&amp;"6komm",Административные!$K$26:$K$103,0),2),""))</f>
        <v/>
      </c>
      <c r="BP503" s="6521"/>
      <c r="BQ503" s="1297"/>
      <c r="BR503" s="1297"/>
      <c r="BS503" s="1070" t="s">
        <v>2062</v>
      </c>
      <c r="BT503" s="1072"/>
      <c r="BU503" s="1072"/>
      <c r="BV503" s="987"/>
      <c r="BW503" s="987"/>
    </row>
    <row s="1656" customFormat="1" customHeight="1" ht="14.25">
      <c r="A504" s="1297"/>
      <c r="B504" s="986"/>
      <c r="C504" s="1297"/>
      <c r="D504" s="1297"/>
      <c r="E504" s="709">
        <v>15</v>
      </c>
      <c r="F504" s="50" cm="1" t="str">
        <f t="array" ref="F504:F504">OFFSET(E504,-1,1)</f>
        <v>3</v>
      </c>
      <c r="G504" s="49" t="s">
        <v>1433</v>
      </c>
      <c r="H504" s="374"/>
      <c r="I504" s="374" t="s">
        <v>2258</v>
      </c>
      <c r="J504" s="1297"/>
      <c r="K504" s="374" t="s">
        <v>2258</v>
      </c>
      <c r="L504" s="988" t="s">
        <v>2063</v>
      </c>
      <c r="M504" s="103"/>
      <c r="N504" s="1297"/>
      <c r="O504" s="1297"/>
      <c r="P504" s="1297"/>
      <c r="Q504" s="154" t="s">
        <v>2470</v>
      </c>
      <c r="R504" s="157" t="s">
        <v>2470</v>
      </c>
      <c r="S504" s="1297"/>
      <c r="T504" s="468" cm="1" t="str">
        <f t="array" ref="T504:T504">T503</f>
        <v>true</v>
      </c>
      <c r="U504" s="1297"/>
      <c r="V504" s="1297"/>
      <c r="W504" s="1297"/>
      <c r="X504" s="1539"/>
      <c r="Y504" s="1297"/>
      <c r="Z504" s="1529"/>
      <c r="AA504" s="1297"/>
      <c r="AB504" s="295" t="s">
        <v>2259</v>
      </c>
      <c r="AC504" s="775" t="s">
        <v>2065</v>
      </c>
      <c r="AD504" s="296" t="s">
        <v>936</v>
      </c>
      <c r="AE504" s="6524"/>
      <c r="AF504" s="6524"/>
      <c r="AG504" s="6524"/>
      <c r="AH504" s="951">
        <f>AG504-AF504</f>
        <v>0</v>
      </c>
      <c r="AI504" s="6490"/>
      <c r="AJ504" s="6522"/>
      <c r="AK504" s="950"/>
      <c r="AL504" s="950"/>
      <c r="AM504" s="950"/>
      <c r="AN504" s="950"/>
      <c r="AO504" s="950"/>
      <c r="AP504" s="950"/>
      <c r="AQ504" s="950"/>
      <c r="AR504" s="950"/>
      <c r="AS504" s="950"/>
      <c r="AT504" s="950"/>
      <c r="AU504" s="950"/>
      <c r="AV504" s="950"/>
      <c r="AW504" s="950"/>
      <c r="AX504" s="950"/>
      <c r="AY504" s="950"/>
      <c r="AZ504" s="950"/>
      <c r="BA504" s="950"/>
      <c r="BB504" s="950"/>
      <c r="BC504" s="950"/>
      <c r="BD504" s="950"/>
      <c r="BE504" s="950"/>
      <c r="BF504" s="950"/>
      <c r="BG504" s="950"/>
      <c r="BH504" s="950"/>
      <c r="BI504" s="950"/>
      <c r="BJ504" s="950"/>
      <c r="BK504" s="950"/>
      <c r="BL504" s="950"/>
      <c r="BM504" s="950"/>
      <c r="BN504" s="6521"/>
      <c r="BO504" s="6525" t="str">
        <f>IF(_xlfn.IFERROR(INDEX(Административные!$K$26:$L$103,MATCH($F504&amp;"7komm",Административные!$K$26:$K$103,0),2),"")=0,"",_xlfn.IFERROR(INDEX(Административные!$K$26:$L$103,MATCH($F504&amp;"7komm",Административные!$K$26:$K$103,0),2),""))</f>
        <v/>
      </c>
      <c r="BP504" s="6521"/>
      <c r="BQ504" s="1297"/>
      <c r="BR504" s="1297"/>
      <c r="BS504" s="1070" t="s">
        <v>2066</v>
      </c>
      <c r="BT504" s="1072"/>
      <c r="BU504" s="1072"/>
      <c r="BV504" s="987"/>
      <c r="BW504" s="987"/>
    </row>
    <row s="1656" customFormat="1" customHeight="1" ht="14.25">
      <c r="A505" s="1297"/>
      <c r="B505" s="986"/>
      <c r="C505" s="1297"/>
      <c r="D505" s="1297"/>
      <c r="E505" s="709">
        <v>15</v>
      </c>
      <c r="F505" s="50" cm="1" t="str">
        <f t="array" ref="F505:F505">OFFSET(E505,-1,1)</f>
        <v>3</v>
      </c>
      <c r="G505" s="49" t="s">
        <v>1436</v>
      </c>
      <c r="H505" s="374"/>
      <c r="I505" s="374" t="s">
        <v>2260</v>
      </c>
      <c r="J505" s="1297"/>
      <c r="K505" s="374" t="s">
        <v>2260</v>
      </c>
      <c r="L505" s="988" t="s">
        <v>2067</v>
      </c>
      <c r="M505" s="103"/>
      <c r="N505" s="1297"/>
      <c r="O505" s="1297"/>
      <c r="P505" s="1297"/>
      <c r="Q505" s="154" t="s">
        <v>2470</v>
      </c>
      <c r="R505" s="157" t="s">
        <v>2470</v>
      </c>
      <c r="S505" s="1297"/>
      <c r="T505" s="468" cm="1" t="str">
        <f t="array" ref="T505:T505">T504</f>
        <v>true</v>
      </c>
      <c r="U505" s="1297"/>
      <c r="V505" s="1297"/>
      <c r="W505" s="1297"/>
      <c r="X505" s="1539"/>
      <c r="Y505" s="1297"/>
      <c r="Z505" s="1529"/>
      <c r="AA505" s="1297"/>
      <c r="AB505" s="295" t="s">
        <v>2261</v>
      </c>
      <c r="AC505" s="775" t="s">
        <v>1437</v>
      </c>
      <c r="AD505" s="296" t="s">
        <v>936</v>
      </c>
      <c r="AE505" s="6524"/>
      <c r="AF505" s="6524"/>
      <c r="AG505" s="6524"/>
      <c r="AH505" s="951">
        <f>AG505-AF505</f>
        <v>0</v>
      </c>
      <c r="AI505" s="6490"/>
      <c r="AJ505" s="6522"/>
      <c r="AK505" s="950"/>
      <c r="AL505" s="950"/>
      <c r="AM505" s="950"/>
      <c r="AN505" s="950"/>
      <c r="AO505" s="950"/>
      <c r="AP505" s="950"/>
      <c r="AQ505" s="950"/>
      <c r="AR505" s="950"/>
      <c r="AS505" s="950"/>
      <c r="AT505" s="950"/>
      <c r="AU505" s="950"/>
      <c r="AV505" s="950"/>
      <c r="AW505" s="950"/>
      <c r="AX505" s="950"/>
      <c r="AY505" s="950"/>
      <c r="AZ505" s="950"/>
      <c r="BA505" s="950"/>
      <c r="BB505" s="950"/>
      <c r="BC505" s="950"/>
      <c r="BD505" s="950"/>
      <c r="BE505" s="950"/>
      <c r="BF505" s="950"/>
      <c r="BG505" s="950"/>
      <c r="BH505" s="950"/>
      <c r="BI505" s="950"/>
      <c r="BJ505" s="950"/>
      <c r="BK505" s="950"/>
      <c r="BL505" s="950"/>
      <c r="BM505" s="950"/>
      <c r="BN505" s="6521"/>
      <c r="BO505" s="6525" t="str">
        <f>IF(_xlfn.IFERROR(INDEX(Административные!$K$26:$L$103,MATCH($F505&amp;"8komm",Административные!$K$26:$K$103,0),2),"")=0,"",_xlfn.IFERROR(INDEX(Административные!$K$26:$L$103,MATCH($F505&amp;"8komm",Административные!$K$26:$K$103,0),2),""))</f>
        <v/>
      </c>
      <c r="BP505" s="6521"/>
      <c r="BQ505" s="1297"/>
      <c r="BR505" s="1297"/>
      <c r="BS505" s="1070" t="s">
        <v>2069</v>
      </c>
      <c r="BT505" s="1072"/>
      <c r="BU505" s="1072"/>
      <c r="BV505" s="987"/>
      <c r="BW505" s="987"/>
    </row>
    <row s="1656" customFormat="1" customHeight="1" ht="27.82366071428571">
      <c r="A506" s="1297"/>
      <c r="B506" s="986"/>
      <c r="C506" s="1297"/>
      <c r="D506" s="1297"/>
      <c r="E506" s="709">
        <v>15</v>
      </c>
      <c r="F506" s="50" cm="1" t="str">
        <f t="array" ref="F506:F506">OFFSET(E506,-1,1)</f>
        <v>3</v>
      </c>
      <c r="G506" s="154" t="s">
        <v>1439</v>
      </c>
      <c r="H506" s="374"/>
      <c r="I506" s="374" t="s">
        <v>2262</v>
      </c>
      <c r="J506" s="1297"/>
      <c r="K506" s="374" t="s">
        <v>2262</v>
      </c>
      <c r="L506" s="988" t="s">
        <v>2070</v>
      </c>
      <c r="M506" s="103"/>
      <c r="N506" s="1297"/>
      <c r="O506" s="1297"/>
      <c r="P506" s="1297"/>
      <c r="Q506" s="154" t="s">
        <v>2470</v>
      </c>
      <c r="R506" s="157" t="s">
        <v>2470</v>
      </c>
      <c r="S506" s="1297"/>
      <c r="T506" s="468" cm="1" t="str">
        <f t="array" ref="T506:T506">T505</f>
        <v>true</v>
      </c>
      <c r="U506" s="1297"/>
      <c r="V506" s="1297"/>
      <c r="W506" s="1297"/>
      <c r="X506" s="1539"/>
      <c r="Y506" s="1297"/>
      <c r="Z506" s="1529"/>
      <c r="AA506" s="1297"/>
      <c r="AB506" s="295" t="s">
        <v>2263</v>
      </c>
      <c r="AC506" s="775" t="s">
        <v>1440</v>
      </c>
      <c r="AD506" s="296" t="s">
        <v>936</v>
      </c>
      <c r="AE506" s="6524">
        <v>305.21</v>
      </c>
      <c r="AF506" s="6524">
        <v>5326.27</v>
      </c>
      <c r="AG506" s="6524"/>
      <c r="AH506" s="951">
        <f>AG506-AF506</f>
        <v>-5326.27</v>
      </c>
      <c r="AI506" s="6490"/>
      <c r="AJ506" s="1378"/>
      <c r="AK506" s="950"/>
      <c r="AL506" s="950"/>
      <c r="AM506" s="950"/>
      <c r="AN506" s="950"/>
      <c r="AO506" s="950"/>
      <c r="AP506" s="950"/>
      <c r="AQ506" s="950"/>
      <c r="AR506" s="950"/>
      <c r="AS506" s="950"/>
      <c r="AT506" s="950"/>
      <c r="AU506" s="950"/>
      <c r="AV506" s="950"/>
      <c r="AW506" s="950"/>
      <c r="AX506" s="950"/>
      <c r="AY506" s="950"/>
      <c r="AZ506" s="950"/>
      <c r="BA506" s="950"/>
      <c r="BB506" s="950"/>
      <c r="BC506" s="950"/>
      <c r="BD506" s="950"/>
      <c r="BE506" s="950"/>
      <c r="BF506" s="950"/>
      <c r="BG506" s="950"/>
      <c r="BH506" s="950"/>
      <c r="BI506" s="950"/>
      <c r="BJ506" s="950"/>
      <c r="BK506" s="950"/>
      <c r="BL506" s="950"/>
      <c r="BM506" s="950"/>
      <c r="BN506" s="6521"/>
      <c r="BO506" s="6525" t="str">
        <f>IF(_xlfn.IFERROR(INDEX(Административные!$K$26:$L$103,MATCH($F506&amp;"9komm",Административные!$K$26:$K$103,0),2),"")=0,"",_xlfn.IFERROR(INDEX(Административные!$K$26:$L$103,MATCH($F506&amp;"9komm",Административные!$K$26:$K$103,0),2),""))</f>
        <v/>
      </c>
      <c r="BP506" s="6521"/>
      <c r="BQ506" s="1297"/>
      <c r="BR506" s="1297"/>
      <c r="BS506" s="1070" t="s">
        <v>2072</v>
      </c>
      <c r="BT506" s="1072"/>
      <c r="BU506" s="1072"/>
      <c r="BV506" s="987"/>
      <c r="BW506" s="987"/>
    </row>
    <row s="1656" customFormat="1" customHeight="1" ht="45.421875">
      <c r="A507" s="1297"/>
      <c r="B507" s="434">
        <f>STATUS_GO="да"</f>
        <v>0</v>
      </c>
      <c r="C507" s="1297"/>
      <c r="D507" s="1297"/>
      <c r="E507" s="709">
        <v>22.5</v>
      </c>
      <c r="F507" s="50" cm="1" t="str">
        <f t="array" ref="F507:F507">OFFSET(E507,-1,1)</f>
        <v>3</v>
      </c>
      <c r="G507" s="1297"/>
      <c r="H507" s="374"/>
      <c r="I507" s="374" t="s">
        <v>1079</v>
      </c>
      <c r="J507" s="1297"/>
      <c r="K507" s="374" t="s">
        <v>1079</v>
      </c>
      <c r="L507" s="988" t="s">
        <v>348</v>
      </c>
      <c r="M507" s="103"/>
      <c r="N507" s="1297"/>
      <c r="O507" s="1297"/>
      <c r="P507" s="1297"/>
      <c r="Q507" s="154" t="s">
        <v>2470</v>
      </c>
      <c r="R507" s="157" t="s">
        <v>2470</v>
      </c>
      <c r="S507" s="1297"/>
      <c r="T507" s="468" cm="1" t="str">
        <f t="array" ref="T507:T507">T506</f>
        <v>true</v>
      </c>
      <c r="U507" s="1297"/>
      <c r="V507" s="1297"/>
      <c r="W507" s="1297"/>
      <c r="X507" s="1539"/>
      <c r="Y507" s="1297"/>
      <c r="Z507" s="1529"/>
      <c r="AA507" s="1297"/>
      <c r="AB507" s="295" t="s">
        <v>1080</v>
      </c>
      <c r="AC507" s="769" t="s">
        <v>2264</v>
      </c>
      <c r="AD507" s="296" t="s">
        <v>936</v>
      </c>
      <c r="AE507" s="6524"/>
      <c r="AF507" s="6524">
        <v>336.32</v>
      </c>
      <c r="AG507" s="6524"/>
      <c r="AH507" s="951">
        <f>AG507-AF507</f>
        <v>-336.32</v>
      </c>
      <c r="AI507" s="6490"/>
      <c r="AJ507" s="6522"/>
      <c r="AK507" s="950"/>
      <c r="AL507" s="950"/>
      <c r="AM507" s="950"/>
      <c r="AN507" s="950"/>
      <c r="AO507" s="950"/>
      <c r="AP507" s="950"/>
      <c r="AQ507" s="950"/>
      <c r="AR507" s="950"/>
      <c r="AS507" s="950"/>
      <c r="AT507" s="950"/>
      <c r="AU507" s="950"/>
      <c r="AV507" s="950"/>
      <c r="AW507" s="950"/>
      <c r="AX507" s="950"/>
      <c r="AY507" s="950"/>
      <c r="AZ507" s="950"/>
      <c r="BA507" s="950"/>
      <c r="BB507" s="950"/>
      <c r="BC507" s="950"/>
      <c r="BD507" s="950"/>
      <c r="BE507" s="950"/>
      <c r="BF507" s="950"/>
      <c r="BG507" s="950"/>
      <c r="BH507" s="950"/>
      <c r="BI507" s="950"/>
      <c r="BJ507" s="950"/>
      <c r="BK507" s="950"/>
      <c r="BL507" s="950"/>
      <c r="BM507" s="950"/>
      <c r="BN507" s="6521"/>
      <c r="BO507" s="6521"/>
      <c r="BP507" s="6521"/>
      <c r="BQ507" s="1297"/>
      <c r="BR507" s="1297"/>
      <c r="BS507" s="1071" t="s">
        <v>2074</v>
      </c>
      <c r="BT507" s="1072"/>
      <c r="BU507" s="1072"/>
      <c r="BV507" s="987"/>
      <c r="BW507" s="987"/>
    </row>
    <row s="1656" customFormat="1" customHeight="1" ht="30.50223214285715">
      <c r="A508" s="1297"/>
      <c r="B508" s="986"/>
      <c r="C508" s="1297"/>
      <c r="D508" s="1297"/>
      <c r="E508" s="709">
        <v>15</v>
      </c>
      <c r="F508" s="50" cm="1" t="str">
        <f t="array" ref="F508:F508">OFFSET(E508,-1,1)</f>
        <v>3</v>
      </c>
      <c r="G508" s="1297"/>
      <c r="H508" s="374"/>
      <c r="I508" s="374" t="s">
        <v>2013</v>
      </c>
      <c r="J508" s="1297"/>
      <c r="K508" s="374" t="s">
        <v>2013</v>
      </c>
      <c r="L508" s="988"/>
      <c r="M508" s="103"/>
      <c r="N508" s="1297"/>
      <c r="O508" s="1297"/>
      <c r="P508" s="1297"/>
      <c r="Q508" s="154" t="s">
        <v>2470</v>
      </c>
      <c r="R508" s="157" t="s">
        <v>2470</v>
      </c>
      <c r="S508" s="1297"/>
      <c r="T508" s="468" cm="1" t="str">
        <f t="array" ref="T508:T508">T507</f>
        <v>true</v>
      </c>
      <c r="U508" s="1297"/>
      <c r="V508" s="1297"/>
      <c r="W508" s="1297"/>
      <c r="X508" s="1539"/>
      <c r="Y508" s="1297"/>
      <c r="Z508" s="1529"/>
      <c r="AA508" s="1297"/>
      <c r="AB508" s="295" t="s">
        <v>2014</v>
      </c>
      <c r="AC508" s="769" t="s">
        <v>2265</v>
      </c>
      <c r="AD508" s="296" t="s">
        <v>936</v>
      </c>
      <c r="AE508" s="6524">
        <v>551.64</v>
      </c>
      <c r="AF508" s="6524">
        <v>1045.9</v>
      </c>
      <c r="AG508" s="6524"/>
      <c r="AH508" s="951">
        <f>AG508-AF508</f>
        <v>-1045.9</v>
      </c>
      <c r="AI508" s="6490"/>
      <c r="AJ508" s="6522"/>
      <c r="AK508" s="950"/>
      <c r="AL508" s="950"/>
      <c r="AM508" s="950"/>
      <c r="AN508" s="950"/>
      <c r="AO508" s="950"/>
      <c r="AP508" s="950"/>
      <c r="AQ508" s="950"/>
      <c r="AR508" s="950"/>
      <c r="AS508" s="950"/>
      <c r="AT508" s="950"/>
      <c r="AU508" s="950"/>
      <c r="AV508" s="950"/>
      <c r="AW508" s="950"/>
      <c r="AX508" s="950"/>
      <c r="AY508" s="950"/>
      <c r="AZ508" s="950"/>
      <c r="BA508" s="950"/>
      <c r="BB508" s="950"/>
      <c r="BC508" s="950"/>
      <c r="BD508" s="950"/>
      <c r="BE508" s="950"/>
      <c r="BF508" s="950"/>
      <c r="BG508" s="950"/>
      <c r="BH508" s="950"/>
      <c r="BI508" s="950"/>
      <c r="BJ508" s="950"/>
      <c r="BK508" s="950"/>
      <c r="BL508" s="950"/>
      <c r="BM508" s="950"/>
      <c r="BN508" s="6521"/>
      <c r="BO508" s="6521"/>
      <c r="BP508" s="6521"/>
      <c r="BQ508" s="1297"/>
      <c r="BR508" s="1297"/>
      <c r="BS508" s="1072" t="s">
        <v>2266</v>
      </c>
      <c r="BT508" s="1072"/>
      <c r="BU508" s="1072"/>
      <c r="BV508" s="987"/>
      <c r="BW508" s="987"/>
    </row>
    <row s="6656" customFormat="1" customHeight="1" ht="38.671875">
      <c r="A509" s="706"/>
      <c r="B509" s="437"/>
      <c r="C509" s="706"/>
      <c r="D509" s="706"/>
      <c r="E509" s="713">
        <v>21</v>
      </c>
      <c r="F509" s="50" cm="1" t="str">
        <f t="array" ref="F509:F509">OFFSET(E509,-1,1)</f>
        <v>3</v>
      </c>
      <c r="G509" s="706"/>
      <c r="H509" s="374"/>
      <c r="I509" s="374" t="s">
        <v>2017</v>
      </c>
      <c r="J509" s="706"/>
      <c r="K509" s="374" t="s">
        <v>2017</v>
      </c>
      <c r="L509" s="993"/>
      <c r="M509" s="105"/>
      <c r="N509" s="706"/>
      <c r="O509" s="706"/>
      <c r="P509" s="706"/>
      <c r="Q509" s="154" t="s">
        <v>2470</v>
      </c>
      <c r="R509" s="157" t="s">
        <v>2470</v>
      </c>
      <c r="S509" s="706"/>
      <c r="T509" s="468" cm="1" t="str">
        <f t="array" ref="T509:T509">T508</f>
        <v>true</v>
      </c>
      <c r="U509" s="706"/>
      <c r="V509" s="706"/>
      <c r="W509" s="706"/>
      <c r="X509" s="1539"/>
      <c r="Y509" s="706"/>
      <c r="Z509" s="1529"/>
      <c r="AA509" s="706"/>
      <c r="AB509" s="214" t="s">
        <v>2018</v>
      </c>
      <c r="AC509" s="357" t="s">
        <v>2267</v>
      </c>
      <c r="AD509" s="207" t="s">
        <v>936</v>
      </c>
      <c r="AE509" s="777">
        <f>SUM(AE510:AE512)</f>
        <v>0</v>
      </c>
      <c r="AF509" s="777">
        <f>SUM(AF510:AF512)</f>
        <v>0</v>
      </c>
      <c r="AG509" s="777">
        <f>SUM(AG510:AG512)</f>
        <v>55284.73</v>
      </c>
      <c r="AH509" s="768">
        <f>AG509-AF509</f>
        <v>55284.73</v>
      </c>
      <c r="AI509" s="6497">
        <f>SUM(AI510:AI512)</f>
        <v>0</v>
      </c>
      <c r="AJ509" s="6522"/>
      <c r="AK509" s="771"/>
      <c r="AL509" s="771"/>
      <c r="AM509" s="771"/>
      <c r="AN509" s="771"/>
      <c r="AO509" s="771"/>
      <c r="AP509" s="771"/>
      <c r="AQ509" s="771"/>
      <c r="AR509" s="771"/>
      <c r="AS509" s="771"/>
      <c r="AT509" s="950"/>
      <c r="AU509" s="950"/>
      <c r="AV509" s="771"/>
      <c r="AW509" s="771"/>
      <c r="AX509" s="771"/>
      <c r="AY509" s="771"/>
      <c r="AZ509" s="771"/>
      <c r="BA509" s="771"/>
      <c r="BB509" s="771"/>
      <c r="BC509" s="771"/>
      <c r="BD509" s="771"/>
      <c r="BE509" s="771"/>
      <c r="BF509" s="771"/>
      <c r="BG509" s="771"/>
      <c r="BH509" s="771"/>
      <c r="BI509" s="771"/>
      <c r="BJ509" s="771"/>
      <c r="BK509" s="771"/>
      <c r="BL509" s="771"/>
      <c r="BM509" s="771"/>
      <c r="BN509" s="6523"/>
      <c r="BO509" s="6523"/>
      <c r="BP509" s="6523"/>
      <c r="BQ509" s="706"/>
      <c r="BR509" s="706"/>
      <c r="BS509" s="1078" t="s">
        <v>2268</v>
      </c>
      <c r="BT509" s="1078"/>
      <c r="BU509" s="1078"/>
      <c r="BV509" s="713"/>
      <c r="BW509" s="713"/>
    </row>
    <row s="1656" customFormat="1" customHeight="1" ht="14.25" hidden="1">
      <c r="A510" s="1297"/>
      <c r="B510" s="986"/>
      <c r="C510" s="1297"/>
      <c r="D510" s="1297"/>
      <c r="E510" s="709">
        <v>15</v>
      </c>
      <c r="F510" s="50" cm="1" t="str">
        <f t="array" ref="F510:F510">OFFSET(E510,-1,1)</f>
        <v>3</v>
      </c>
      <c r="G510" s="1297"/>
      <c r="H510" s="1297"/>
      <c r="I510" s="374" t="s">
        <v>2017</v>
      </c>
      <c r="J510" s="154" cm="1" t="str">
        <f t="array" ref="J510:J510">AC510</f>
        <v>0</v>
      </c>
      <c r="K510" s="374" t="s">
        <v>2017</v>
      </c>
      <c r="L510" s="988"/>
      <c r="M510" s="103"/>
      <c r="N510" s="1297"/>
      <c r="O510" s="1297"/>
      <c r="P510" s="1297"/>
      <c r="Q510" s="154" t="s">
        <v>2470</v>
      </c>
      <c r="R510" s="157" t="s">
        <v>2470</v>
      </c>
      <c r="S510" s="1297"/>
      <c r="T510" s="468">
        <f>AND(F510&gt;0,Y510&gt;0)</f>
        <v>0</v>
      </c>
      <c r="U510" s="1297"/>
      <c r="V510" s="1297"/>
      <c r="W510" s="154" t="s">
        <v>173</v>
      </c>
      <c r="X510" s="1539"/>
      <c r="Y510" s="154">
        <v>0</v>
      </c>
      <c r="Z510" s="1529"/>
      <c r="AA510" s="422" t="s">
        <v>174</v>
      </c>
      <c r="AB510" s="296" t="str">
        <f>"1.7."&amp;Y510</f>
        <v>1.7.0</v>
      </c>
      <c r="AC510" s="1262"/>
      <c r="AD510" s="296" t="s">
        <v>936</v>
      </c>
      <c r="AE510" s="1274"/>
      <c r="AF510" s="1274"/>
      <c r="AG510" s="1274"/>
      <c r="AH510" s="255">
        <f>AG510-AF510</f>
        <v>0</v>
      </c>
      <c r="AI510" s="6499"/>
      <c r="AJ510" s="1274"/>
      <c r="AK510" s="953"/>
      <c r="AL510" s="953"/>
      <c r="AM510" s="953"/>
      <c r="AN510" s="953"/>
      <c r="AO510" s="953"/>
      <c r="AP510" s="953"/>
      <c r="AQ510" s="953"/>
      <c r="AR510" s="953"/>
      <c r="AS510" s="953"/>
      <c r="AT510" s="950"/>
      <c r="AU510" s="953"/>
      <c r="AV510" s="953"/>
      <c r="AW510" s="953"/>
      <c r="AX510" s="953"/>
      <c r="AY510" s="953"/>
      <c r="AZ510" s="953"/>
      <c r="BA510" s="953"/>
      <c r="BB510" s="953"/>
      <c r="BC510" s="953"/>
      <c r="BD510" s="771"/>
      <c r="BE510" s="953"/>
      <c r="BF510" s="953"/>
      <c r="BG510" s="953"/>
      <c r="BH510" s="953"/>
      <c r="BI510" s="953"/>
      <c r="BJ510" s="953"/>
      <c r="BK510" s="953"/>
      <c r="BL510" s="953"/>
      <c r="BM510" s="953"/>
      <c r="BN510" s="1275"/>
      <c r="BO510" s="1275"/>
      <c r="BP510" s="1275"/>
      <c r="BQ510" s="1297"/>
      <c r="BR510" s="1297"/>
      <c r="BS510" s="1072" t="s">
        <v>2268</v>
      </c>
      <c r="BT510" s="1072" t="s">
        <v>2269</v>
      </c>
      <c r="BU510" s="1072" cm="1" t="str">
        <f t="array" ref="BU510:BU510">AC510</f>
        <v>0</v>
      </c>
      <c r="BV510" s="987"/>
      <c r="BW510" s="709" t="b">
        <v>1</v>
      </c>
    </row>
    <row s="1656" customFormat="1" customHeight="1" ht="134.96651785714286">
      <c r="A511" s="1297"/>
      <c r="B511" s="986"/>
      <c r="C511" s="1297"/>
      <c r="D511" s="1297"/>
      <c r="E511" s="709">
        <v>15</v>
      </c>
      <c r="F511" s="50" cm="1" t="str">
        <f t="array" ref="F511:F511">OFFSET(E511,-1,1)</f>
        <v>3</v>
      </c>
      <c r="G511" s="1297"/>
      <c r="H511" s="1297"/>
      <c r="I511" s="374" t="s">
        <v>2017</v>
      </c>
      <c r="J511" s="154" cm="1" t="str">
        <f t="array" ref="J511:J511">AC511</f>
        <v>Операционные расходы, рассчитанные исходя из Базового уровня О.Р. (Концессионное соглашение № 1 /Л-К от  14.11.2019, Концессионное соглашение № 3 от 14.11.2019.).</v>
      </c>
      <c r="K511" s="374" t="s">
        <v>2017</v>
      </c>
      <c r="L511" s="988"/>
      <c r="M511" s="103"/>
      <c r="N511" s="1297"/>
      <c r="O511" s="1297"/>
      <c r="P511" s="1297"/>
      <c r="Q511" s="154" t="s">
        <v>2470</v>
      </c>
      <c r="R511" s="157" t="s">
        <v>2470</v>
      </c>
      <c r="S511" s="1297"/>
      <c r="T511" s="468">
        <f>AND(F511&gt;0,Y511&gt;0)</f>
        <v>1</v>
      </c>
      <c r="U511" s="1297"/>
      <c r="V511" s="1297"/>
      <c r="W511" s="154"/>
      <c r="X511" s="1539"/>
      <c r="Y511" s="154" t="s">
        <v>290</v>
      </c>
      <c r="Z511" s="1529"/>
      <c r="AA511" s="422" t="s">
        <v>174</v>
      </c>
      <c r="AB511" s="296" t="str">
        <f>"1.7."&amp;Y511</f>
        <v>1.7.1</v>
      </c>
      <c r="AC511" s="6530" t="s">
        <v>2595</v>
      </c>
      <c r="AD511" s="296" t="s">
        <v>936</v>
      </c>
      <c r="AE511" s="6531"/>
      <c r="AF511" s="6531"/>
      <c r="AG511" s="6531">
        <v>55284.73</v>
      </c>
      <c r="AH511" s="255">
        <f>AG511-AF511</f>
        <v>55284.73</v>
      </c>
      <c r="AI511" s="6499"/>
      <c r="AJ511" s="6531"/>
      <c r="AK511" s="953"/>
      <c r="AL511" s="953"/>
      <c r="AM511" s="953"/>
      <c r="AN511" s="953"/>
      <c r="AO511" s="953"/>
      <c r="AP511" s="953"/>
      <c r="AQ511" s="953"/>
      <c r="AR511" s="953"/>
      <c r="AS511" s="953"/>
      <c r="AT511" s="950"/>
      <c r="AU511" s="953"/>
      <c r="AV511" s="953"/>
      <c r="AW511" s="953"/>
      <c r="AX511" s="953"/>
      <c r="AY511" s="953"/>
      <c r="AZ511" s="953"/>
      <c r="BA511" s="953"/>
      <c r="BB511" s="953"/>
      <c r="BC511" s="953"/>
      <c r="BD511" s="771"/>
      <c r="BE511" s="953"/>
      <c r="BF511" s="953"/>
      <c r="BG511" s="953"/>
      <c r="BH511" s="953"/>
      <c r="BI511" s="953"/>
      <c r="BJ511" s="953"/>
      <c r="BK511" s="953"/>
      <c r="BL511" s="953"/>
      <c r="BM511" s="953"/>
      <c r="BN511" s="6532" t="s">
        <v>2478</v>
      </c>
      <c r="BO511" s="6533" t="s">
        <v>2479</v>
      </c>
      <c r="BP511" s="6533" t="s">
        <v>1843</v>
      </c>
      <c r="BQ511" s="1297"/>
      <c r="BR511" s="1297"/>
      <c r="BS511" s="1072" t="s">
        <v>2268</v>
      </c>
      <c r="BT511" s="1072" t="s">
        <v>2269</v>
      </c>
      <c r="BU511" s="1072" cm="1" t="str">
        <f t="array" ref="BU511:BU511">AC511</f>
        <v>Операционные расходы, рассчитанные исходя из Базового уровня О.Р. (Концессионное соглашение № 1 /Л-К от  14.11.2019, Концессионное соглашение № 3 от 14.11.2019.).</v>
      </c>
      <c r="BV511" s="987"/>
      <c r="BW511" s="709" t="b">
        <v>1</v>
      </c>
    </row>
    <row s="1656" customFormat="1" customHeight="1" ht="14.25">
      <c r="A512" s="1297"/>
      <c r="B512" s="986"/>
      <c r="C512" s="1297"/>
      <c r="D512" s="1297"/>
      <c r="E512" s="709">
        <v>15</v>
      </c>
      <c r="F512" s="50" cm="1" t="str">
        <f t="array" ref="F512:F512">OFFSET(E512,-1,1)</f>
        <v>3</v>
      </c>
      <c r="G512" s="360"/>
      <c r="H512" s="1297"/>
      <c r="I512" s="1297"/>
      <c r="J512" s="154" t="s">
        <v>2270</v>
      </c>
      <c r="K512" s="1297"/>
      <c r="L512" s="988"/>
      <c r="M512" s="103"/>
      <c r="N512" s="1297"/>
      <c r="O512" s="1297"/>
      <c r="P512" s="1297"/>
      <c r="Q512" s="1297"/>
      <c r="R512" s="1297"/>
      <c r="S512" s="1297"/>
      <c r="T512" s="468">
        <f>F512&gt;0</f>
        <v>1</v>
      </c>
      <c r="U512" s="1297"/>
      <c r="V512" s="1297"/>
      <c r="W512" s="708" t="s">
        <v>2471</v>
      </c>
      <c r="X512" s="1539"/>
      <c r="Y512" s="1297"/>
      <c r="Z512" s="1529"/>
      <c r="AA512" s="1297"/>
      <c r="AB512" s="782"/>
      <c r="AC512" s="256" t="s">
        <v>177</v>
      </c>
      <c r="AD512" s="783"/>
      <c r="AE512" s="783"/>
      <c r="AF512" s="783"/>
      <c r="AG512" s="783"/>
      <c r="AH512" s="783"/>
      <c r="AI512" s="783"/>
      <c r="AJ512" s="783"/>
      <c r="AK512" s="783"/>
      <c r="AL512" s="783"/>
      <c r="AM512" s="783"/>
      <c r="AN512" s="783"/>
      <c r="AO512" s="783"/>
      <c r="AP512" s="783"/>
      <c r="AQ512" s="783"/>
      <c r="AR512" s="783"/>
      <c r="AS512" s="783"/>
      <c r="AT512" s="783"/>
      <c r="AU512" s="783"/>
      <c r="AV512" s="783"/>
      <c r="AW512" s="783"/>
      <c r="AX512" s="783"/>
      <c r="AY512" s="783"/>
      <c r="AZ512" s="783"/>
      <c r="BA512" s="783"/>
      <c r="BB512" s="783"/>
      <c r="BC512" s="783"/>
      <c r="BD512" s="783"/>
      <c r="BE512" s="783"/>
      <c r="BF512" s="783"/>
      <c r="BG512" s="783"/>
      <c r="BH512" s="783"/>
      <c r="BI512" s="783"/>
      <c r="BJ512" s="783"/>
      <c r="BK512" s="783"/>
      <c r="BL512" s="783"/>
      <c r="BM512" s="783"/>
      <c r="BN512" s="783"/>
      <c r="BO512" s="783"/>
      <c r="BP512" s="784"/>
      <c r="BQ512" s="1297"/>
      <c r="BR512" s="1297"/>
      <c r="BS512" s="1072"/>
      <c r="BT512" s="1072"/>
      <c r="BU512" s="1072"/>
      <c r="BV512" s="709" t="s">
        <v>2269</v>
      </c>
      <c r="BW512" s="987"/>
    </row>
    <row s="6698" customFormat="1" customHeight="1" ht="54.63541666666666">
      <c r="A513" s="706"/>
      <c r="B513" s="437"/>
      <c r="C513" s="706"/>
      <c r="D513" s="706"/>
      <c r="E513" s="713">
        <v>21</v>
      </c>
      <c r="F513" s="50" cm="1" t="str">
        <f t="array" ref="F513:F513">OFFSET(E513,-1,1)</f>
        <v>3</v>
      </c>
      <c r="G513" s="706"/>
      <c r="H513" s="154"/>
      <c r="I513" s="154" t="s">
        <v>345</v>
      </c>
      <c r="J513" s="706"/>
      <c r="K513" s="154" t="s">
        <v>345</v>
      </c>
      <c r="L513" s="993"/>
      <c r="M513" s="105"/>
      <c r="N513" s="706"/>
      <c r="O513" s="706"/>
      <c r="P513" s="706"/>
      <c r="Q513" s="706"/>
      <c r="R513" s="706"/>
      <c r="S513" s="706"/>
      <c r="T513" s="468" cm="1" t="str">
        <f t="array" ref="T513:T513">T512</f>
        <v>true</v>
      </c>
      <c r="U513" s="706"/>
      <c r="V513" s="706"/>
      <c r="W513" s="706"/>
      <c r="X513" s="1539"/>
      <c r="Y513" s="706"/>
      <c r="Z513" s="1529"/>
      <c r="AA513" s="706"/>
      <c r="AB513" s="243" t="s">
        <v>299</v>
      </c>
      <c r="AC513" s="208" t="s">
        <v>2271</v>
      </c>
      <c r="AD513" s="230" t="s">
        <v>936</v>
      </c>
      <c r="AE513" s="209">
        <f>AE514+AE526+AE527++AE538+AE539+AE540+AE542+AE543+AE544+AE545+AE548</f>
        <v>2327.75894</v>
      </c>
      <c r="AF513" s="209">
        <f>AF514+AF526+AF527++AF538+AF539+AF540+AF542+AF543+AF544+AF545+AF548</f>
        <v>2020.63</v>
      </c>
      <c r="AG513" s="209">
        <f>AG514+AG526+AG527++AG538+AG539+AG540+AG542+AG543+AG544+AG545+AG548</f>
        <v>2020.63</v>
      </c>
      <c r="AH513" s="768">
        <f>AG513-AF513</f>
        <v>0</v>
      </c>
      <c r="AI513" s="777">
        <f>AI514+AI526+AI527++AI538+AI539+AI540+AI542+AI543+AI544+AI545+AI548</f>
        <v>6353.38</v>
      </c>
      <c r="AJ513" s="777">
        <f>AJ514+AJ526+AJ527++AJ538+AJ539+AJ540+AJ542+AJ543+AJ544+AJ545+AJ548</f>
        <v>11227.688</v>
      </c>
      <c r="AK513" s="777">
        <f>AK514+AK526+AK527++AK538+AK539+AK540+AK542+AK543+AK544+AK545+AK548</f>
        <v>0</v>
      </c>
      <c r="AL513" s="777">
        <f>AL514+AL526+AL527++AL538+AL539+AL540+AL542+AL543+AL544+AL545+AL548</f>
        <v>0</v>
      </c>
      <c r="AM513" s="777">
        <f>AM514+AM526+AM527++AM538+AM539+AM540+AM542+AM543+AM544+AM545+AM548</f>
        <v>0</v>
      </c>
      <c r="AN513" s="777">
        <f>AN514+AN526+AN527++AN538+AN539+AN540+AN542+AN543+AN544+AN545+AN548</f>
        <v>0</v>
      </c>
      <c r="AO513" s="777">
        <f>AO514+AO526+AO527++AO538+AO539+AO540+AO542+AO543+AO544+AO545+AO548</f>
        <v>0</v>
      </c>
      <c r="AP513" s="777">
        <f>AP514+AP526+AP527++AP538+AP539+AP540+AP542+AP543+AP544+AP545+AP548</f>
        <v>0</v>
      </c>
      <c r="AQ513" s="777">
        <f>AQ514+AQ526+AQ527++AQ538+AQ539+AQ540+AQ542+AQ543+AQ544+AQ545+AQ548</f>
        <v>0</v>
      </c>
      <c r="AR513" s="777">
        <f>AR514+AR526+AR527++AR538+AR539+AR540+AR542+AR543+AR544+AR545+AR548</f>
        <v>0</v>
      </c>
      <c r="AS513" s="777">
        <f>AS514+AS526+AS527++AS538+AS539+AS540+AS542+AS543+AS544+AS545+AS548</f>
        <v>0</v>
      </c>
      <c r="AT513" s="777">
        <f>AT514+AT526+AT527++AT538+AT539+AT540+AT542+AT543+AT544+AT545+AT548</f>
        <v>10127.878</v>
      </c>
      <c r="AU513" s="777">
        <f>AU514+AU526+AU527++AU538+AU539+AU540+AU542+AU543+AU544+AU545+AU548</f>
        <v>0</v>
      </c>
      <c r="AV513" s="777">
        <f>AV514+AV526+AV527++AV538+AV539+AV540+AV542+AV543+AV544+AV545+AV548</f>
        <v>0</v>
      </c>
      <c r="AW513" s="777">
        <f>AW514+AW526+AW527++AW538+AW539+AW540+AW542+AW543+AW544+AW545+AW548</f>
        <v>0</v>
      </c>
      <c r="AX513" s="777">
        <f>AX514+AX526+AX527++AX538+AX539+AX540+AX542+AX543+AX544+AX545+AX548</f>
        <v>0</v>
      </c>
      <c r="AY513" s="777">
        <f>AY514+AY526+AY527++AY538+AY539+AY540+AY542+AY543+AY544+AY545+AY548</f>
        <v>0</v>
      </c>
      <c r="AZ513" s="777">
        <f>AZ514+AZ526+AZ527++AZ538+AZ539+AZ540+AZ542+AZ543+AZ544+AZ545+AZ548</f>
        <v>0</v>
      </c>
      <c r="BA513" s="777">
        <f>BA514+BA526+BA527++BA538+BA539+BA540+BA542+BA543+BA544+BA545+BA548</f>
        <v>0</v>
      </c>
      <c r="BB513" s="777">
        <f>BB514+BB526+BB527++BB538+BB539+BB540+BB542+BB543+BB544+BB545+BB548</f>
        <v>0</v>
      </c>
      <c r="BC513" s="777">
        <f>BC514+BC526+BC527++BC538+BC539+BC540+BC542+BC543+BC544+BC545+BC548</f>
        <v>0</v>
      </c>
      <c r="BD513" s="768">
        <f>IF(AI513=0,0,(AT513-AI513)/AI513*100)</f>
        <v>59.4092908026909</v>
      </c>
      <c r="BE513" s="768">
        <f>IF(AT513=0,0,(AU513-AT513)/AT513*100)</f>
        <v>-100</v>
      </c>
      <c r="BF513" s="768">
        <f>IF(AU513=0,0,(AV513-AU513)/AU513*100)</f>
        <v>0</v>
      </c>
      <c r="BG513" s="768">
        <f>IF(AV513=0,0,(AW513-AV513)/AV513*100)</f>
        <v>0</v>
      </c>
      <c r="BH513" s="768">
        <f>IF(AW513=0,0,(AX513-AW513)/AW513*100)</f>
        <v>0</v>
      </c>
      <c r="BI513" s="768">
        <f>IF(AX513=0,0,(AY513-AX513)/AX513*100)</f>
        <v>0</v>
      </c>
      <c r="BJ513" s="768">
        <f>IF(AY513=0,0,(AZ513-AY513)/AY513*100)</f>
        <v>0</v>
      </c>
      <c r="BK513" s="768">
        <f>IF(AZ513=0,0,(BA513-AZ513)/AZ513*100)</f>
        <v>0</v>
      </c>
      <c r="BL513" s="768">
        <f>IF(BA513=0,0,(BB513-BA513)/BA513*100)</f>
        <v>0</v>
      </c>
      <c r="BM513" s="768">
        <f>IF(BB513=0,0,(BC513-BB513)/BB513*100)</f>
        <v>0</v>
      </c>
      <c r="BN513" s="6533"/>
      <c r="BO513" s="6533" t="s">
        <v>2481</v>
      </c>
      <c r="BP513" s="6533"/>
      <c r="BQ513" s="156"/>
      <c r="BR513" s="706"/>
      <c r="BS513" s="1078" t="s">
        <v>2272</v>
      </c>
      <c r="BT513" s="1078"/>
      <c r="BU513" s="1078"/>
      <c r="BV513" s="713"/>
      <c r="BW513" s="713"/>
    </row>
    <row s="6699" customFormat="1" customHeight="1" ht="21.75">
      <c r="A514" s="706"/>
      <c r="B514" s="437"/>
      <c r="C514" s="706"/>
      <c r="D514" s="706"/>
      <c r="E514" s="713">
        <v>22.5</v>
      </c>
      <c r="F514" s="50" cm="1" t="str">
        <f t="array" ref="F514:F514">OFFSET(E514,-1,1)</f>
        <v>3</v>
      </c>
      <c r="G514" s="706"/>
      <c r="H514" s="154"/>
      <c r="I514" s="154" t="s">
        <v>584</v>
      </c>
      <c r="J514" s="706"/>
      <c r="K514" s="154" t="s">
        <v>584</v>
      </c>
      <c r="L514" s="993" t="s">
        <v>570</v>
      </c>
      <c r="M514" s="105"/>
      <c r="N514" s="706"/>
      <c r="O514" s="706"/>
      <c r="P514" s="706"/>
      <c r="Q514" s="706"/>
      <c r="R514" s="706"/>
      <c r="S514" s="706"/>
      <c r="T514" s="468" cm="1" t="str">
        <f t="array" ref="T514:T514">T513</f>
        <v>true</v>
      </c>
      <c r="U514" s="706"/>
      <c r="V514" s="706"/>
      <c r="W514" s="706"/>
      <c r="X514" s="1539"/>
      <c r="Y514" s="706"/>
      <c r="Z514" s="1529"/>
      <c r="AA514" s="706"/>
      <c r="AB514" s="214" t="s">
        <v>660</v>
      </c>
      <c r="AC514" s="357" t="s">
        <v>2273</v>
      </c>
      <c r="AD514" s="207" t="s">
        <v>936</v>
      </c>
      <c r="AE514" s="209">
        <f>SUM(AE515:AE525)</f>
        <v>0</v>
      </c>
      <c r="AF514" s="209">
        <f>SUM(AF515:AF525)</f>
        <v>0</v>
      </c>
      <c r="AG514" s="209">
        <f>SUM(AG515:AG525)</f>
        <v>0</v>
      </c>
      <c r="AH514" s="768">
        <f>AG514-AF514</f>
        <v>0</v>
      </c>
      <c r="AI514" s="209">
        <f>SUM(AI515:AI525)</f>
        <v>0</v>
      </c>
      <c r="AJ514" s="209">
        <f>SUM(AJ515:AJ525)</f>
        <v>0</v>
      </c>
      <c r="AK514" s="209">
        <f>SUM(AK515:AK525)</f>
        <v>0</v>
      </c>
      <c r="AL514" s="209">
        <f>SUM(AL515:AL525)</f>
        <v>0</v>
      </c>
      <c r="AM514" s="209">
        <f>SUM(AM515:AM525)</f>
        <v>0</v>
      </c>
      <c r="AN514" s="209">
        <f>SUM(AN515:AN525)</f>
        <v>0</v>
      </c>
      <c r="AO514" s="209">
        <f>SUM(AO515:AO525)</f>
        <v>0</v>
      </c>
      <c r="AP514" s="209">
        <f>SUM(AP515:AP525)</f>
        <v>0</v>
      </c>
      <c r="AQ514" s="209">
        <f>SUM(AQ515:AQ525)</f>
        <v>0</v>
      </c>
      <c r="AR514" s="209">
        <f>SUM(AR515:AR525)</f>
        <v>0</v>
      </c>
      <c r="AS514" s="209">
        <f>SUM(AS515:AS525)</f>
        <v>0</v>
      </c>
      <c r="AT514" s="209">
        <f>SUM(AT515:AT525)</f>
        <v>0</v>
      </c>
      <c r="AU514" s="209">
        <f>SUM(AU515:AU525)</f>
        <v>0</v>
      </c>
      <c r="AV514" s="209">
        <f>SUM(AV515:AV525)</f>
        <v>0</v>
      </c>
      <c r="AW514" s="209">
        <f>SUM(AW515:AW525)</f>
        <v>0</v>
      </c>
      <c r="AX514" s="209">
        <f>SUM(AX515:AX525)</f>
        <v>0</v>
      </c>
      <c r="AY514" s="209">
        <f>SUM(AY515:AY525)</f>
        <v>0</v>
      </c>
      <c r="AZ514" s="209">
        <f>SUM(AZ515:AZ525)</f>
        <v>0</v>
      </c>
      <c r="BA514" s="209">
        <f>SUM(BA515:BA525)</f>
        <v>0</v>
      </c>
      <c r="BB514" s="209">
        <f>SUM(BB515:BB525)</f>
        <v>0</v>
      </c>
      <c r="BC514" s="209">
        <f>SUM(BC515:BC525)</f>
        <v>0</v>
      </c>
      <c r="BD514" s="768">
        <f>IF(AI514=0,0,(AT514-AI514)/AI514*100)</f>
        <v>0</v>
      </c>
      <c r="BE514" s="768">
        <f>IF(AT514=0,0,(AU514-AT514)/AT514*100)</f>
        <v>0</v>
      </c>
      <c r="BF514" s="768">
        <f>IF(AU514=0,0,(AV514-AU514)/AU514*100)</f>
        <v>0</v>
      </c>
      <c r="BG514" s="768">
        <f>IF(AV514=0,0,(AW514-AV514)/AV514*100)</f>
        <v>0</v>
      </c>
      <c r="BH514" s="768">
        <f>IF(AW514=0,0,(AX514-AW514)/AW514*100)</f>
        <v>0</v>
      </c>
      <c r="BI514" s="768">
        <f>IF(AX514=0,0,(AY514-AX514)/AX514*100)</f>
        <v>0</v>
      </c>
      <c r="BJ514" s="768">
        <f>IF(AY514=0,0,(AZ514-AY514)/AY514*100)</f>
        <v>0</v>
      </c>
      <c r="BK514" s="768">
        <f>IF(AZ514=0,0,(BA514-AZ514)/AZ514*100)</f>
        <v>0</v>
      </c>
      <c r="BL514" s="768">
        <f>IF(BA514=0,0,(BB514-BA514)/BA514*100)</f>
        <v>0</v>
      </c>
      <c r="BM514" s="768">
        <f>IF(BB514=0,0,(BC514-BB514)/BB514*100)</f>
        <v>0</v>
      </c>
      <c r="BN514" s="6292"/>
      <c r="BO514" s="6292"/>
      <c r="BP514" s="6292"/>
      <c r="BQ514" s="706"/>
      <c r="BR514" s="706"/>
      <c r="BS514" s="1078" t="s">
        <v>2274</v>
      </c>
      <c r="BT514" s="1078"/>
      <c r="BU514" s="1078"/>
      <c r="BV514" s="713"/>
      <c r="BW514" s="713"/>
    </row>
    <row s="1656" customFormat="1" customHeight="1" ht="14.25">
      <c r="A515" s="1297"/>
      <c r="B515" s="986"/>
      <c r="C515" s="1297"/>
      <c r="D515" s="1297"/>
      <c r="E515" s="709">
        <v>15</v>
      </c>
      <c r="F515" s="50" cm="1" t="str">
        <f t="array" ref="F515:F515">OFFSET(E515,-1,1)</f>
        <v>3</v>
      </c>
      <c r="G515" s="154" t="s">
        <v>1287</v>
      </c>
      <c r="H515" s="1297"/>
      <c r="I515" s="154" t="s">
        <v>1787</v>
      </c>
      <c r="J515" s="1297"/>
      <c r="K515" s="154" t="s">
        <v>1787</v>
      </c>
      <c r="L515" s="988" t="s">
        <v>1553</v>
      </c>
      <c r="M515" s="103"/>
      <c r="N515" s="1297"/>
      <c r="O515" s="1297"/>
      <c r="P515" s="1297"/>
      <c r="Q515" s="1297"/>
      <c r="R515" s="1297"/>
      <c r="S515" s="1297"/>
      <c r="T515" s="468" cm="1" t="str">
        <f t="array" ref="T515:T515">T514</f>
        <v>true</v>
      </c>
      <c r="U515" s="1297"/>
      <c r="V515" s="1297"/>
      <c r="W515" s="1297"/>
      <c r="X515" s="1539"/>
      <c r="Y515" s="1297"/>
      <c r="Z515" s="1529"/>
      <c r="AA515" s="1297"/>
      <c r="AB515" s="295" t="s">
        <v>592</v>
      </c>
      <c r="AC515" s="772" t="s">
        <v>2275</v>
      </c>
      <c r="AD515" s="296" t="s">
        <v>936</v>
      </c>
      <c r="AE515" s="255">
        <f>_xlfn.SUMIFS(Покупка!AE$25:AE$327,Покупка!$F$25:$F$327,$F515,Покупка!$AC$25:$AC$327,$G515)</f>
        <v>0</v>
      </c>
      <c r="AF515" s="255">
        <f>_xlfn.SUMIFS(Покупка!AF$25:AF$327,Покупка!$F$25:$F$327,$F515,Покупка!$AC$25:$AC$327,$G515)</f>
        <v>0</v>
      </c>
      <c r="AG515" s="255">
        <f>_xlfn.SUMIFS(Покупка!AG$25:AG$327,Покупка!$F$25:$F$327,$F515,Покупка!$AC$25:$AC$327,$G515)</f>
        <v>0</v>
      </c>
      <c r="AH515" s="951">
        <f>AG515-AF515</f>
        <v>0</v>
      </c>
      <c r="AI515" s="951">
        <f>_xlfn.SUMIFS(Покупка!AH$25:AH$327,Покупка!$F$25:$F$327,$F515,Покупка!$AC$25:$AC$327,$G515)</f>
        <v>0</v>
      </c>
      <c r="AJ515" s="951">
        <f>_xlfn.SUMIFS(Покупка!AI$25:AI$327,Покупка!$F$25:$F$327,$F515,Покупка!$AC$25:$AC$327,$G515)</f>
        <v>0</v>
      </c>
      <c r="AK515" s="951">
        <f>_xlfn.SUMIFS(Покупка!AJ$25:AJ$327,Покупка!$F$25:$F$327,$F515,Покупка!$AC$25:$AC$327,$G515)</f>
        <v>0</v>
      </c>
      <c r="AL515" s="951">
        <f>_xlfn.SUMIFS(Покупка!AK$25:AK$327,Покупка!$F$25:$F$327,$F515,Покупка!$AC$25:$AC$327,$G515)</f>
        <v>0</v>
      </c>
      <c r="AM515" s="951">
        <f>_xlfn.SUMIFS(Покупка!AL$25:AL$327,Покупка!$F$25:$F$327,$F515,Покупка!$AC$25:$AC$327,$G515)</f>
        <v>0</v>
      </c>
      <c r="AN515" s="951">
        <f>_xlfn.SUMIFS(Покупка!AM$25:AM$327,Покупка!$F$25:$F$327,$F515,Покупка!$AC$25:$AC$327,$G515)</f>
        <v>0</v>
      </c>
      <c r="AO515" s="951">
        <f>_xlfn.SUMIFS(Покупка!AN$25:AN$327,Покупка!$F$25:$F$327,$F515,Покупка!$AC$25:$AC$327,$G515)</f>
        <v>0</v>
      </c>
      <c r="AP515" s="951">
        <f>_xlfn.SUMIFS(Покупка!AO$25:AO$327,Покупка!$F$25:$F$327,$F515,Покупка!$AC$25:$AC$327,$G515)</f>
        <v>0</v>
      </c>
      <c r="AQ515" s="951">
        <f>_xlfn.SUMIFS(Покупка!AP$25:AP$327,Покупка!$F$25:$F$327,$F515,Покупка!$AC$25:$AC$327,$G515)</f>
        <v>0</v>
      </c>
      <c r="AR515" s="951">
        <f>_xlfn.SUMIFS(Покупка!AQ$25:AQ$327,Покупка!$F$25:$F$327,$F515,Покупка!$AC$25:$AC$327,$G515)</f>
        <v>0</v>
      </c>
      <c r="AS515" s="951">
        <f>_xlfn.SUMIFS(Покупка!AR$25:AR$327,Покупка!$F$25:$F$327,$F515,Покупка!$AC$25:$AC$327,$G515)</f>
        <v>0</v>
      </c>
      <c r="AT515" s="951">
        <f>_xlfn.SUMIFS(Покупка!AS$25:AS$327,Покупка!$F$25:$F$327,$F515,Покупка!$AC$25:$AC$327,$G515)</f>
        <v>0</v>
      </c>
      <c r="AU515" s="951">
        <f>_xlfn.SUMIFS(Покупка!AT$25:AT$327,Покупка!$F$25:$F$327,$F515,Покупка!$AC$25:$AC$327,$G515)</f>
        <v>0</v>
      </c>
      <c r="AV515" s="951">
        <f>_xlfn.SUMIFS(Покупка!AU$25:AU$327,Покупка!$F$25:$F$327,$F515,Покупка!$AC$25:$AC$327,$G515)</f>
        <v>0</v>
      </c>
      <c r="AW515" s="951">
        <f>_xlfn.SUMIFS(Покупка!AV$25:AV$327,Покупка!$F$25:$F$327,$F515,Покупка!$AC$25:$AC$327,$G515)</f>
        <v>0</v>
      </c>
      <c r="AX515" s="951">
        <f>_xlfn.SUMIFS(Покупка!AW$25:AW$327,Покупка!$F$25:$F$327,$F515,Покупка!$AC$25:$AC$327,$G515)</f>
        <v>0</v>
      </c>
      <c r="AY515" s="951">
        <f>_xlfn.SUMIFS(Покупка!AX$25:AX$327,Покупка!$F$25:$F$327,$F515,Покупка!$AC$25:$AC$327,$G515)</f>
        <v>0</v>
      </c>
      <c r="AZ515" s="951">
        <f>_xlfn.SUMIFS(Покупка!AY$25:AY$327,Покупка!$F$25:$F$327,$F515,Покупка!$AC$25:$AC$327,$G515)</f>
        <v>0</v>
      </c>
      <c r="BA515" s="951">
        <f>_xlfn.SUMIFS(Покупка!AZ$25:AZ$327,Покупка!$F$25:$F$327,$F515,Покупка!$AC$25:$AC$327,$G515)</f>
        <v>0</v>
      </c>
      <c r="BB515" s="951">
        <f>_xlfn.SUMIFS(Покупка!BA$25:BA$327,Покупка!$F$25:$F$327,$F515,Покупка!$AC$25:$AC$327,$G515)</f>
        <v>0</v>
      </c>
      <c r="BC515" s="951">
        <f>_xlfn.SUMIFS(Покупка!BB$25:BB$327,Покупка!$F$25:$F$327,$F515,Покупка!$AC$25:$AC$327,$G515)</f>
        <v>0</v>
      </c>
      <c r="BD515" s="951">
        <f>IF(AI515=0,0,(AT515-AI515)/AI515*100)</f>
        <v>0</v>
      </c>
      <c r="BE515" s="951">
        <f>IF(AT515=0,0,(AU515-AT515)/AT515*100)</f>
        <v>0</v>
      </c>
      <c r="BF515" s="951">
        <f>IF(AU515=0,0,(AV515-AU515)/AU515*100)</f>
        <v>0</v>
      </c>
      <c r="BG515" s="951">
        <f>IF(AV515=0,0,(AW515-AV515)/AV515*100)</f>
        <v>0</v>
      </c>
      <c r="BH515" s="951">
        <f>IF(AW515=0,0,(AX515-AW515)/AW515*100)</f>
        <v>0</v>
      </c>
      <c r="BI515" s="951">
        <f>IF(AX515=0,0,(AY515-AX515)/AX515*100)</f>
        <v>0</v>
      </c>
      <c r="BJ515" s="951">
        <f>IF(AY515=0,0,(AZ515-AY515)/AY515*100)</f>
        <v>0</v>
      </c>
      <c r="BK515" s="951">
        <f>IF(AZ515=0,0,(BA515-AZ515)/AZ515*100)</f>
        <v>0</v>
      </c>
      <c r="BL515" s="951">
        <f>IF(BA515=0,0,(BB515-BA515)/BA515*100)</f>
        <v>0</v>
      </c>
      <c r="BM515" s="951">
        <f>IF(BB515=0,0,(BC515-BB515)/BB515*100)</f>
        <v>0</v>
      </c>
      <c r="BN515" s="6533"/>
      <c r="BO515" s="6525"/>
      <c r="BP515" s="6533"/>
      <c r="BQ515" s="1297"/>
      <c r="BR515" s="1297"/>
      <c r="BS515" s="1072" t="s">
        <v>1288</v>
      </c>
      <c r="BT515" s="1072"/>
      <c r="BU515" s="1072"/>
      <c r="BV515" s="987"/>
      <c r="BW515" s="987"/>
    </row>
    <row s="1656" customFormat="1" customHeight="1" ht="14.25">
      <c r="A516" s="1297"/>
      <c r="B516" s="92"/>
      <c r="C516" s="103"/>
      <c r="D516" s="103"/>
      <c r="E516" s="626">
        <v>15</v>
      </c>
      <c r="F516" s="50" cm="1" t="str">
        <f t="array" ref="F516:F516">OFFSET(E516,-1,1)</f>
        <v>3</v>
      </c>
      <c r="G516" s="103" t="s">
        <v>1309</v>
      </c>
      <c r="H516" s="103"/>
      <c r="I516" s="103" t="s">
        <v>1791</v>
      </c>
      <c r="J516" s="103"/>
      <c r="K516" s="103" t="s">
        <v>1791</v>
      </c>
      <c r="L516" s="988" t="s">
        <v>1557</v>
      </c>
      <c r="M516" s="103"/>
      <c r="N516" s="103"/>
      <c r="O516" s="103"/>
      <c r="P516" s="103"/>
      <c r="Q516" s="103"/>
      <c r="R516" s="103"/>
      <c r="S516" s="103"/>
      <c r="T516" s="468" cm="1" t="str">
        <f t="array" ref="T516:T516">T515</f>
        <v>true</v>
      </c>
      <c r="U516" s="103"/>
      <c r="V516" s="103"/>
      <c r="W516" s="1297"/>
      <c r="X516" s="1539"/>
      <c r="Y516" s="1297"/>
      <c r="Z516" s="1529"/>
      <c r="AA516" s="1297"/>
      <c r="AB516" s="295" t="s">
        <v>2276</v>
      </c>
      <c r="AC516" s="772" t="s">
        <v>2277</v>
      </c>
      <c r="AD516" s="296" t="s">
        <v>936</v>
      </c>
      <c r="AE516" s="255">
        <f>_xlfn.SUMIFS(Покупка!AE$25:AE$327,Покупка!$F$25:$F$327,$F516,Покупка!$AC$25:$AC$327,$G516)</f>
        <v>0</v>
      </c>
      <c r="AF516" s="255">
        <f>_xlfn.SUMIFS(Покупка!AF$25:AF$327,Покупка!$F$25:$F$327,$F516,Покупка!$AC$25:$AC$327,$G516)</f>
        <v>0</v>
      </c>
      <c r="AG516" s="255">
        <f>_xlfn.SUMIFS(Покупка!AG$25:AG$327,Покупка!$F$25:$F$327,$F516,Покупка!$AC$25:$AC$327,$G516)</f>
        <v>0</v>
      </c>
      <c r="AH516" s="951">
        <f>AG516-AF516</f>
        <v>0</v>
      </c>
      <c r="AI516" s="951">
        <f>_xlfn.SUMIFS(Покупка!AH$25:AH$327,Покупка!$F$25:$F$327,$F516,Покупка!$AC$25:$AC$327,$G516)</f>
        <v>0</v>
      </c>
      <c r="AJ516" s="951">
        <f>_xlfn.SUMIFS(Покупка!AI$25:AI$327,Покупка!$F$25:$F$327,$F516,Покупка!$AC$25:$AC$327,$G516)</f>
        <v>0</v>
      </c>
      <c r="AK516" s="951">
        <f>_xlfn.SUMIFS(Покупка!AJ$25:AJ$327,Покупка!$F$25:$F$327,$F516,Покупка!$AC$25:$AC$327,$G516)</f>
        <v>0</v>
      </c>
      <c r="AL516" s="951">
        <f>_xlfn.SUMIFS(Покупка!AK$25:AK$327,Покупка!$F$25:$F$327,$F516,Покупка!$AC$25:$AC$327,$G516)</f>
        <v>0</v>
      </c>
      <c r="AM516" s="951">
        <f>_xlfn.SUMIFS(Покупка!AL$25:AL$327,Покупка!$F$25:$F$327,$F516,Покупка!$AC$25:$AC$327,$G516)</f>
        <v>0</v>
      </c>
      <c r="AN516" s="951">
        <f>_xlfn.SUMIFS(Покупка!AM$25:AM$327,Покупка!$F$25:$F$327,$F516,Покупка!$AC$25:$AC$327,$G516)</f>
        <v>0</v>
      </c>
      <c r="AO516" s="951">
        <f>_xlfn.SUMIFS(Покупка!AN$25:AN$327,Покупка!$F$25:$F$327,$F516,Покупка!$AC$25:$AC$327,$G516)</f>
        <v>0</v>
      </c>
      <c r="AP516" s="951">
        <f>_xlfn.SUMIFS(Покупка!AO$25:AO$327,Покупка!$F$25:$F$327,$F516,Покупка!$AC$25:$AC$327,$G516)</f>
        <v>0</v>
      </c>
      <c r="AQ516" s="951">
        <f>_xlfn.SUMIFS(Покупка!AP$25:AP$327,Покупка!$F$25:$F$327,$F516,Покупка!$AC$25:$AC$327,$G516)</f>
        <v>0</v>
      </c>
      <c r="AR516" s="951">
        <f>_xlfn.SUMIFS(Покупка!AQ$25:AQ$327,Покупка!$F$25:$F$327,$F516,Покупка!$AC$25:$AC$327,$G516)</f>
        <v>0</v>
      </c>
      <c r="AS516" s="951">
        <f>_xlfn.SUMIFS(Покупка!AR$25:AR$327,Покупка!$F$25:$F$327,$F516,Покупка!$AC$25:$AC$327,$G516)</f>
        <v>0</v>
      </c>
      <c r="AT516" s="951">
        <f>_xlfn.SUMIFS(Покупка!AS$25:AS$327,Покупка!$F$25:$F$327,$F516,Покупка!$AC$25:$AC$327,$G516)</f>
        <v>0</v>
      </c>
      <c r="AU516" s="951">
        <f>_xlfn.SUMIFS(Покупка!AT$25:AT$327,Покупка!$F$25:$F$327,$F516,Покупка!$AC$25:$AC$327,$G516)</f>
        <v>0</v>
      </c>
      <c r="AV516" s="951">
        <f>_xlfn.SUMIFS(Покупка!AU$25:AU$327,Покупка!$F$25:$F$327,$F516,Покупка!$AC$25:$AC$327,$G516)</f>
        <v>0</v>
      </c>
      <c r="AW516" s="951">
        <f>_xlfn.SUMIFS(Покупка!AV$25:AV$327,Покупка!$F$25:$F$327,$F516,Покупка!$AC$25:$AC$327,$G516)</f>
        <v>0</v>
      </c>
      <c r="AX516" s="951">
        <f>_xlfn.SUMIFS(Покупка!AW$25:AW$327,Покупка!$F$25:$F$327,$F516,Покупка!$AC$25:$AC$327,$G516)</f>
        <v>0</v>
      </c>
      <c r="AY516" s="951">
        <f>_xlfn.SUMIFS(Покупка!AX$25:AX$327,Покупка!$F$25:$F$327,$F516,Покупка!$AC$25:$AC$327,$G516)</f>
        <v>0</v>
      </c>
      <c r="AZ516" s="951">
        <f>_xlfn.SUMIFS(Покупка!AY$25:AY$327,Покупка!$F$25:$F$327,$F516,Покупка!$AC$25:$AC$327,$G516)</f>
        <v>0</v>
      </c>
      <c r="BA516" s="951">
        <f>_xlfn.SUMIFS(Покупка!AZ$25:AZ$327,Покупка!$F$25:$F$327,$F516,Покупка!$AC$25:$AC$327,$G516)</f>
        <v>0</v>
      </c>
      <c r="BB516" s="951">
        <f>_xlfn.SUMIFS(Покупка!BA$25:BA$327,Покупка!$F$25:$F$327,$F516,Покупка!$AC$25:$AC$327,$G516)</f>
        <v>0</v>
      </c>
      <c r="BC516" s="951">
        <f>_xlfn.SUMIFS(Покупка!BB$25:BB$327,Покупка!$F$25:$F$327,$F516,Покупка!$AC$25:$AC$327,$G516)</f>
        <v>0</v>
      </c>
      <c r="BD516" s="951">
        <f>IF(AI516=0,0,(AT516-AI516)/AI516*100)</f>
        <v>0</v>
      </c>
      <c r="BE516" s="951">
        <f>IF(AT516=0,0,(AU516-AT516)/AT516*100)</f>
        <v>0</v>
      </c>
      <c r="BF516" s="951">
        <f>IF(AU516=0,0,(AV516-AU516)/AU516*100)</f>
        <v>0</v>
      </c>
      <c r="BG516" s="951">
        <f>IF(AV516=0,0,(AW516-AV516)/AV516*100)</f>
        <v>0</v>
      </c>
      <c r="BH516" s="951">
        <f>IF(AW516=0,0,(AX516-AW516)/AW516*100)</f>
        <v>0</v>
      </c>
      <c r="BI516" s="951">
        <f>IF(AX516=0,0,(AY516-AX516)/AX516*100)</f>
        <v>0</v>
      </c>
      <c r="BJ516" s="951">
        <f>IF(AY516=0,0,(AZ516-AY516)/AY516*100)</f>
        <v>0</v>
      </c>
      <c r="BK516" s="951">
        <f>IF(AZ516=0,0,(BA516-AZ516)/AZ516*100)</f>
        <v>0</v>
      </c>
      <c r="BL516" s="951">
        <f>IF(BA516=0,0,(BB516-BA516)/BA516*100)</f>
        <v>0</v>
      </c>
      <c r="BM516" s="951">
        <f>IF(BB516=0,0,(BC516-BB516)/BB516*100)</f>
        <v>0</v>
      </c>
      <c r="BN516" s="6533"/>
      <c r="BO516" s="6525" t="str">
        <f>IF(_xlfn.IFERROR(INDEX(Покупка!$K$26:$L$327,MATCH($F516&amp;"7komm",Покупка!$K$26:$K$327,0),2),"")=0,"",_xlfn.IFERROR(INDEX(Покупка!$K$26:$L$327,MATCH($F516&amp;"7komm",Покупка!$K$26:$K$327,0),2),""))</f>
        <v/>
      </c>
      <c r="BP516" s="6533"/>
      <c r="BQ516" s="1297"/>
      <c r="BR516" s="1297"/>
      <c r="BS516" s="1072" t="s">
        <v>1310</v>
      </c>
      <c r="BT516" s="1072"/>
      <c r="BU516" s="1072"/>
      <c r="BV516" s="987"/>
      <c r="BW516" s="987"/>
    </row>
    <row s="1656" customFormat="1" customHeight="1" ht="14.25">
      <c r="A517" s="1297"/>
      <c r="B517" s="92"/>
      <c r="C517" s="103"/>
      <c r="D517" s="103"/>
      <c r="E517" s="626">
        <v>15</v>
      </c>
      <c r="F517" s="50" cm="1" t="str">
        <f t="array" ref="F517:F517">OFFSET(E517,-1,1)</f>
        <v>3</v>
      </c>
      <c r="G517" s="103" t="s">
        <v>1261</v>
      </c>
      <c r="H517" s="103"/>
      <c r="I517" s="103" t="s">
        <v>1899</v>
      </c>
      <c r="J517" s="103"/>
      <c r="K517" s="103" t="s">
        <v>1899</v>
      </c>
      <c r="L517" s="988" t="s">
        <v>1736</v>
      </c>
      <c r="M517" s="103"/>
      <c r="N517" s="103"/>
      <c r="O517" s="103"/>
      <c r="P517" s="103"/>
      <c r="Q517" s="103"/>
      <c r="R517" s="103"/>
      <c r="S517" s="103"/>
      <c r="T517" s="468" cm="1" t="str">
        <f t="array" ref="T517:T517">T516</f>
        <v>true</v>
      </c>
      <c r="U517" s="103"/>
      <c r="V517" s="103"/>
      <c r="W517" s="1297"/>
      <c r="X517" s="1539"/>
      <c r="Y517" s="1297"/>
      <c r="Z517" s="1529"/>
      <c r="AA517" s="1297"/>
      <c r="AB517" s="295" t="s">
        <v>2278</v>
      </c>
      <c r="AC517" s="772" t="s">
        <v>2279</v>
      </c>
      <c r="AD517" s="296" t="s">
        <v>936</v>
      </c>
      <c r="AE517" s="255">
        <f>_xlfn.SUMIFS(Покупка!AE$25:AE$327,Покупка!$F$25:$F$327,$F517,Покупка!$AC$25:$AC$327,$G517)</f>
        <v>0</v>
      </c>
      <c r="AF517" s="255">
        <f>_xlfn.SUMIFS(Покупка!AF$25:AF$327,Покупка!$F$25:$F$327,$F517,Покупка!$AC$25:$AC$327,$G517)</f>
        <v>0</v>
      </c>
      <c r="AG517" s="255">
        <f>_xlfn.SUMIFS(Покупка!AG$25:AG$327,Покупка!$F$25:$F$327,$F517,Покупка!$AC$25:$AC$327,$G517)</f>
        <v>0</v>
      </c>
      <c r="AH517" s="951">
        <f>AG517-AF517</f>
        <v>0</v>
      </c>
      <c r="AI517" s="951">
        <f>_xlfn.SUMIFS(Покупка!AH$25:AH$327,Покупка!$F$25:$F$327,$F517,Покупка!$AC$25:$AC$327,$G517)</f>
        <v>0</v>
      </c>
      <c r="AJ517" s="951">
        <f>_xlfn.SUMIFS(Покупка!AI$25:AI$327,Покупка!$F$25:$F$327,$F517,Покупка!$AC$25:$AC$327,$G517)</f>
        <v>0</v>
      </c>
      <c r="AK517" s="951">
        <f>_xlfn.SUMIFS(Покупка!AJ$25:AJ$327,Покупка!$F$25:$F$327,$F517,Покупка!$AC$25:$AC$327,$G517)</f>
        <v>0</v>
      </c>
      <c r="AL517" s="951">
        <f>_xlfn.SUMIFS(Покупка!AK$25:AK$327,Покупка!$F$25:$F$327,$F517,Покупка!$AC$25:$AC$327,$G517)</f>
        <v>0</v>
      </c>
      <c r="AM517" s="951">
        <f>_xlfn.SUMIFS(Покупка!AL$25:AL$327,Покупка!$F$25:$F$327,$F517,Покупка!$AC$25:$AC$327,$G517)</f>
        <v>0</v>
      </c>
      <c r="AN517" s="951">
        <f>_xlfn.SUMIFS(Покупка!AM$25:AM$327,Покупка!$F$25:$F$327,$F517,Покупка!$AC$25:$AC$327,$G517)</f>
        <v>0</v>
      </c>
      <c r="AO517" s="951">
        <f>_xlfn.SUMIFS(Покупка!AN$25:AN$327,Покупка!$F$25:$F$327,$F517,Покупка!$AC$25:$AC$327,$G517)</f>
        <v>0</v>
      </c>
      <c r="AP517" s="951">
        <f>_xlfn.SUMIFS(Покупка!AO$25:AO$327,Покупка!$F$25:$F$327,$F517,Покупка!$AC$25:$AC$327,$G517)</f>
        <v>0</v>
      </c>
      <c r="AQ517" s="951">
        <f>_xlfn.SUMIFS(Покупка!AP$25:AP$327,Покупка!$F$25:$F$327,$F517,Покупка!$AC$25:$AC$327,$G517)</f>
        <v>0</v>
      </c>
      <c r="AR517" s="951">
        <f>_xlfn.SUMIFS(Покупка!AQ$25:AQ$327,Покупка!$F$25:$F$327,$F517,Покупка!$AC$25:$AC$327,$G517)</f>
        <v>0</v>
      </c>
      <c r="AS517" s="951">
        <f>_xlfn.SUMIFS(Покупка!AR$25:AR$327,Покупка!$F$25:$F$327,$F517,Покупка!$AC$25:$AC$327,$G517)</f>
        <v>0</v>
      </c>
      <c r="AT517" s="951">
        <f>_xlfn.SUMIFS(Покупка!AS$25:AS$327,Покупка!$F$25:$F$327,$F517,Покупка!$AC$25:$AC$327,$G517)</f>
        <v>0</v>
      </c>
      <c r="AU517" s="951">
        <f>_xlfn.SUMIFS(Покупка!AT$25:AT$327,Покупка!$F$25:$F$327,$F517,Покупка!$AC$25:$AC$327,$G517)</f>
        <v>0</v>
      </c>
      <c r="AV517" s="951">
        <f>_xlfn.SUMIFS(Покупка!AU$25:AU$327,Покупка!$F$25:$F$327,$F517,Покупка!$AC$25:$AC$327,$G517)</f>
        <v>0</v>
      </c>
      <c r="AW517" s="951">
        <f>_xlfn.SUMIFS(Покупка!AV$25:AV$327,Покупка!$F$25:$F$327,$F517,Покупка!$AC$25:$AC$327,$G517)</f>
        <v>0</v>
      </c>
      <c r="AX517" s="951">
        <f>_xlfn.SUMIFS(Покупка!AW$25:AW$327,Покупка!$F$25:$F$327,$F517,Покупка!$AC$25:$AC$327,$G517)</f>
        <v>0</v>
      </c>
      <c r="AY517" s="951">
        <f>_xlfn.SUMIFS(Покупка!AX$25:AX$327,Покупка!$F$25:$F$327,$F517,Покупка!$AC$25:$AC$327,$G517)</f>
        <v>0</v>
      </c>
      <c r="AZ517" s="951">
        <f>_xlfn.SUMIFS(Покупка!AY$25:AY$327,Покупка!$F$25:$F$327,$F517,Покупка!$AC$25:$AC$327,$G517)</f>
        <v>0</v>
      </c>
      <c r="BA517" s="951">
        <f>_xlfn.SUMIFS(Покупка!AZ$25:AZ$327,Покупка!$F$25:$F$327,$F517,Покупка!$AC$25:$AC$327,$G517)</f>
        <v>0</v>
      </c>
      <c r="BB517" s="951">
        <f>_xlfn.SUMIFS(Покупка!BA$25:BA$327,Покупка!$F$25:$F$327,$F517,Покупка!$AC$25:$AC$327,$G517)</f>
        <v>0</v>
      </c>
      <c r="BC517" s="951">
        <f>_xlfn.SUMIFS(Покупка!BB$25:BB$327,Покупка!$F$25:$F$327,$F517,Покупка!$AC$25:$AC$327,$G517)</f>
        <v>0</v>
      </c>
      <c r="BD517" s="951">
        <f>IF(AI517=0,0,(AT517-AI517)/AI517*100)</f>
        <v>0</v>
      </c>
      <c r="BE517" s="951">
        <f>IF(AT517=0,0,(AU517-AT517)/AT517*100)</f>
        <v>0</v>
      </c>
      <c r="BF517" s="951">
        <f>IF(AU517=0,0,(AV517-AU517)/AU517*100)</f>
        <v>0</v>
      </c>
      <c r="BG517" s="951">
        <f>IF(AV517=0,0,(AW517-AV517)/AV517*100)</f>
        <v>0</v>
      </c>
      <c r="BH517" s="951">
        <f>IF(AW517=0,0,(AX517-AW517)/AW517*100)</f>
        <v>0</v>
      </c>
      <c r="BI517" s="951">
        <f>IF(AX517=0,0,(AY517-AX517)/AX517*100)</f>
        <v>0</v>
      </c>
      <c r="BJ517" s="951">
        <f>IF(AY517=0,0,(AZ517-AY517)/AY517*100)</f>
        <v>0</v>
      </c>
      <c r="BK517" s="951">
        <f>IF(AZ517=0,0,(BA517-AZ517)/AZ517*100)</f>
        <v>0</v>
      </c>
      <c r="BL517" s="951">
        <f>IF(BA517=0,0,(BB517-BA517)/BA517*100)</f>
        <v>0</v>
      </c>
      <c r="BM517" s="951">
        <f>IF(BB517=0,0,(BC517-BB517)/BB517*100)</f>
        <v>0</v>
      </c>
      <c r="BN517" s="6533"/>
      <c r="BO517" s="6525" t="str">
        <f>IF(_xlfn.IFERROR(INDEX(Покупка!$K$26:$L$327,MATCH($F517&amp;"2komm",Покупка!$K$26:$K$327,0),2),"")=0,"",_xlfn.IFERROR(INDEX(Покупка!$K$26:$L$327,MATCH($F517&amp;"2komm",Покупка!$K$26:$K$327,0),2),""))</f>
        <v/>
      </c>
      <c r="BP517" s="6533"/>
      <c r="BQ517" s="1297"/>
      <c r="BR517" s="1297"/>
      <c r="BS517" s="1072" t="s">
        <v>2280</v>
      </c>
      <c r="BT517" s="1072"/>
      <c r="BU517" s="1072"/>
      <c r="BV517" s="987"/>
      <c r="BW517" s="987"/>
    </row>
    <row s="1656" customFormat="1" customHeight="1" ht="14.25">
      <c r="A518" s="1297"/>
      <c r="B518" s="92"/>
      <c r="C518" s="103"/>
      <c r="D518" s="103"/>
      <c r="E518" s="626">
        <v>15</v>
      </c>
      <c r="F518" s="50" cm="1" t="str">
        <f t="array" ref="F518:F518">OFFSET(E518,-1,1)</f>
        <v>3</v>
      </c>
      <c r="G518" s="103" t="s">
        <v>1248</v>
      </c>
      <c r="H518" s="103"/>
      <c r="I518" s="103" t="s">
        <v>1901</v>
      </c>
      <c r="J518" s="103"/>
      <c r="K518" s="103" t="s">
        <v>1901</v>
      </c>
      <c r="L518" s="988" t="s">
        <v>1731</v>
      </c>
      <c r="M518" s="103"/>
      <c r="N518" s="103"/>
      <c r="O518" s="103"/>
      <c r="P518" s="103"/>
      <c r="Q518" s="103"/>
      <c r="R518" s="103"/>
      <c r="S518" s="103"/>
      <c r="T518" s="468" cm="1" t="str">
        <f t="array" ref="T518:T518">T517</f>
        <v>true</v>
      </c>
      <c r="U518" s="103"/>
      <c r="V518" s="103"/>
      <c r="W518" s="1297"/>
      <c r="X518" s="1539"/>
      <c r="Y518" s="1297"/>
      <c r="Z518" s="1529"/>
      <c r="AA518" s="1297"/>
      <c r="AB518" s="295" t="s">
        <v>2281</v>
      </c>
      <c r="AC518" s="772" t="s">
        <v>2282</v>
      </c>
      <c r="AD518" s="296" t="s">
        <v>936</v>
      </c>
      <c r="AE518" s="255">
        <f>_xlfn.SUMIFS(Покупка!AE$25:AE$327,Покупка!$F$25:$F$327,$F518,Покупка!$AC$25:$AC$327,$G518)</f>
        <v>0</v>
      </c>
      <c r="AF518" s="255">
        <f>_xlfn.SUMIFS(Покупка!AF$25:AF$327,Покупка!$F$25:$F$327,$F518,Покупка!$AC$25:$AC$327,$G518)</f>
        <v>0</v>
      </c>
      <c r="AG518" s="255">
        <f>_xlfn.SUMIFS(Покупка!AG$25:AG$327,Покупка!$F$25:$F$327,$F518,Покупка!$AC$25:$AC$327,$G518)</f>
        <v>0</v>
      </c>
      <c r="AH518" s="951">
        <f>AG518-AF518</f>
        <v>0</v>
      </c>
      <c r="AI518" s="951">
        <f>_xlfn.SUMIFS(Покупка!AH$25:AH$327,Покупка!$F$25:$F$327,$F518,Покупка!$AC$25:$AC$327,$G518)</f>
        <v>0</v>
      </c>
      <c r="AJ518" s="951">
        <f>_xlfn.SUMIFS(Покупка!AI$25:AI$327,Покупка!$F$25:$F$327,$F518,Покупка!$AC$25:$AC$327,$G518)</f>
        <v>0</v>
      </c>
      <c r="AK518" s="951">
        <f>_xlfn.SUMIFS(Покупка!AJ$25:AJ$327,Покупка!$F$25:$F$327,$F518,Покупка!$AC$25:$AC$327,$G518)</f>
        <v>0</v>
      </c>
      <c r="AL518" s="951">
        <f>_xlfn.SUMIFS(Покупка!AK$25:AK$327,Покупка!$F$25:$F$327,$F518,Покупка!$AC$25:$AC$327,$G518)</f>
        <v>0</v>
      </c>
      <c r="AM518" s="951">
        <f>_xlfn.SUMIFS(Покупка!AL$25:AL$327,Покупка!$F$25:$F$327,$F518,Покупка!$AC$25:$AC$327,$G518)</f>
        <v>0</v>
      </c>
      <c r="AN518" s="951">
        <f>_xlfn.SUMIFS(Покупка!AM$25:AM$327,Покупка!$F$25:$F$327,$F518,Покупка!$AC$25:$AC$327,$G518)</f>
        <v>0</v>
      </c>
      <c r="AO518" s="951">
        <f>_xlfn.SUMIFS(Покупка!AN$25:AN$327,Покупка!$F$25:$F$327,$F518,Покупка!$AC$25:$AC$327,$G518)</f>
        <v>0</v>
      </c>
      <c r="AP518" s="951">
        <f>_xlfn.SUMIFS(Покупка!AO$25:AO$327,Покупка!$F$25:$F$327,$F518,Покупка!$AC$25:$AC$327,$G518)</f>
        <v>0</v>
      </c>
      <c r="AQ518" s="951">
        <f>_xlfn.SUMIFS(Покупка!AP$25:AP$327,Покупка!$F$25:$F$327,$F518,Покупка!$AC$25:$AC$327,$G518)</f>
        <v>0</v>
      </c>
      <c r="AR518" s="951">
        <f>_xlfn.SUMIFS(Покупка!AQ$25:AQ$327,Покупка!$F$25:$F$327,$F518,Покупка!$AC$25:$AC$327,$G518)</f>
        <v>0</v>
      </c>
      <c r="AS518" s="951">
        <f>_xlfn.SUMIFS(Покупка!AR$25:AR$327,Покупка!$F$25:$F$327,$F518,Покупка!$AC$25:$AC$327,$G518)</f>
        <v>0</v>
      </c>
      <c r="AT518" s="951">
        <f>_xlfn.SUMIFS(Покупка!AS$25:AS$327,Покупка!$F$25:$F$327,$F518,Покупка!$AC$25:$AC$327,$G518)</f>
        <v>0</v>
      </c>
      <c r="AU518" s="951">
        <f>_xlfn.SUMIFS(Покупка!AT$25:AT$327,Покупка!$F$25:$F$327,$F518,Покупка!$AC$25:$AC$327,$G518)</f>
        <v>0</v>
      </c>
      <c r="AV518" s="951">
        <f>_xlfn.SUMIFS(Покупка!AU$25:AU$327,Покупка!$F$25:$F$327,$F518,Покупка!$AC$25:$AC$327,$G518)</f>
        <v>0</v>
      </c>
      <c r="AW518" s="951">
        <f>_xlfn.SUMIFS(Покупка!AV$25:AV$327,Покупка!$F$25:$F$327,$F518,Покупка!$AC$25:$AC$327,$G518)</f>
        <v>0</v>
      </c>
      <c r="AX518" s="951">
        <f>_xlfn.SUMIFS(Покупка!AW$25:AW$327,Покупка!$F$25:$F$327,$F518,Покупка!$AC$25:$AC$327,$G518)</f>
        <v>0</v>
      </c>
      <c r="AY518" s="951">
        <f>_xlfn.SUMIFS(Покупка!AX$25:AX$327,Покупка!$F$25:$F$327,$F518,Покупка!$AC$25:$AC$327,$G518)</f>
        <v>0</v>
      </c>
      <c r="AZ518" s="951">
        <f>_xlfn.SUMIFS(Покупка!AY$25:AY$327,Покупка!$F$25:$F$327,$F518,Покупка!$AC$25:$AC$327,$G518)</f>
        <v>0</v>
      </c>
      <c r="BA518" s="951">
        <f>_xlfn.SUMIFS(Покупка!AZ$25:AZ$327,Покупка!$F$25:$F$327,$F518,Покупка!$AC$25:$AC$327,$G518)</f>
        <v>0</v>
      </c>
      <c r="BB518" s="951">
        <f>_xlfn.SUMIFS(Покупка!BA$25:BA$327,Покупка!$F$25:$F$327,$F518,Покупка!$AC$25:$AC$327,$G518)</f>
        <v>0</v>
      </c>
      <c r="BC518" s="951">
        <f>_xlfn.SUMIFS(Покупка!BB$25:BB$327,Покупка!$F$25:$F$327,$F518,Покупка!$AC$25:$AC$327,$G518)</f>
        <v>0</v>
      </c>
      <c r="BD518" s="951">
        <f>IF(AI518=0,0,(AT518-AI518)/AI518*100)</f>
        <v>0</v>
      </c>
      <c r="BE518" s="951">
        <f>IF(AT518=0,0,(AU518-AT518)/AT518*100)</f>
        <v>0</v>
      </c>
      <c r="BF518" s="951">
        <f>IF(AU518=0,0,(AV518-AU518)/AU518*100)</f>
        <v>0</v>
      </c>
      <c r="BG518" s="951">
        <f>IF(AV518=0,0,(AW518-AV518)/AV518*100)</f>
        <v>0</v>
      </c>
      <c r="BH518" s="951">
        <f>IF(AW518=0,0,(AX518-AW518)/AW518*100)</f>
        <v>0</v>
      </c>
      <c r="BI518" s="951">
        <f>IF(AX518=0,0,(AY518-AX518)/AX518*100)</f>
        <v>0</v>
      </c>
      <c r="BJ518" s="951">
        <f>IF(AY518=0,0,(AZ518-AY518)/AY518*100)</f>
        <v>0</v>
      </c>
      <c r="BK518" s="951">
        <f>IF(AZ518=0,0,(BA518-AZ518)/AZ518*100)</f>
        <v>0</v>
      </c>
      <c r="BL518" s="951">
        <f>IF(BA518=0,0,(BB518-BA518)/BA518*100)</f>
        <v>0</v>
      </c>
      <c r="BM518" s="951">
        <f>IF(BB518=0,0,(BC518-BB518)/BB518*100)</f>
        <v>0</v>
      </c>
      <c r="BN518" s="6533"/>
      <c r="BO518" s="6525" t="str">
        <f>IF(_xlfn.IFERROR(INDEX(Покупка!$K$26:$L$327,MATCH($F518&amp;"1komm",Покупка!$K$26:$K$327,0),2),"")=0,"",_xlfn.IFERROR(INDEX(Покупка!$K$26:$L$327,MATCH($F518&amp;"1komm",Покупка!$K$26:$K$327,0),2),""))</f>
        <v/>
      </c>
      <c r="BP518" s="6533"/>
      <c r="BQ518" s="1297"/>
      <c r="BR518" s="1297"/>
      <c r="BS518" s="1072" t="s">
        <v>2283</v>
      </c>
      <c r="BT518" s="1072"/>
      <c r="BU518" s="1072"/>
      <c r="BV518" s="987"/>
      <c r="BW518" s="987"/>
    </row>
    <row s="1656" customFormat="1" customHeight="1" ht="14.25">
      <c r="A519" s="1297"/>
      <c r="B519" s="92"/>
      <c r="C519" s="103"/>
      <c r="D519" s="103"/>
      <c r="E519" s="626">
        <v>15</v>
      </c>
      <c r="F519" s="50" cm="1" t="str">
        <f t="array" ref="F519:F519">OFFSET(E519,-1,1)</f>
        <v>3</v>
      </c>
      <c r="G519" s="103" t="s">
        <v>1315</v>
      </c>
      <c r="H519" s="103"/>
      <c r="I519" s="103" t="s">
        <v>1904</v>
      </c>
      <c r="J519" s="103"/>
      <c r="K519" s="103" t="s">
        <v>1904</v>
      </c>
      <c r="L519" s="988"/>
      <c r="M519" s="103"/>
      <c r="N519" s="103"/>
      <c r="O519" s="103"/>
      <c r="P519" s="103"/>
      <c r="Q519" s="103"/>
      <c r="R519" s="103"/>
      <c r="S519" s="103"/>
      <c r="T519" s="468" cm="1" t="str">
        <f t="array" ref="T519:T519">T518</f>
        <v>true</v>
      </c>
      <c r="U519" s="103"/>
      <c r="V519" s="103"/>
      <c r="W519" s="1297"/>
      <c r="X519" s="1539"/>
      <c r="Y519" s="1297"/>
      <c r="Z519" s="1529"/>
      <c r="AA519" s="1297"/>
      <c r="AB519" s="295" t="s">
        <v>2284</v>
      </c>
      <c r="AC519" s="772" t="s">
        <v>2285</v>
      </c>
      <c r="AD519" s="296" t="s">
        <v>936</v>
      </c>
      <c r="AE519" s="255">
        <f>_xlfn.SUMIFS(Покупка!AE$25:AE$327,Покупка!$F$25:$F$327,$F519,Покупка!$AC$25:$AC$327,$G519)</f>
        <v>0</v>
      </c>
      <c r="AF519" s="255">
        <f>_xlfn.SUMIFS(Покупка!AF$25:AF$327,Покупка!$F$25:$F$327,$F519,Покупка!$AC$25:$AC$327,$G519)</f>
        <v>0</v>
      </c>
      <c r="AG519" s="255">
        <f>_xlfn.SUMIFS(Покупка!AG$25:AG$327,Покупка!$F$25:$F$327,$F519,Покупка!$AC$25:$AC$327,$G519)</f>
        <v>0</v>
      </c>
      <c r="AH519" s="951">
        <f>AG519-AF519</f>
        <v>0</v>
      </c>
      <c r="AI519" s="951">
        <f>_xlfn.SUMIFS(Покупка!AH$25:AH$327,Покупка!$F$25:$F$327,$F519,Покупка!$AC$25:$AC$327,$G519)</f>
        <v>0</v>
      </c>
      <c r="AJ519" s="951">
        <f>_xlfn.SUMIFS(Покупка!AI$25:AI$327,Покупка!$F$25:$F$327,$F519,Покупка!$AC$25:$AC$327,$G519)</f>
        <v>0</v>
      </c>
      <c r="AK519" s="951">
        <f>_xlfn.SUMIFS(Покупка!AJ$25:AJ$327,Покупка!$F$25:$F$327,$F519,Покупка!$AC$25:$AC$327,$G519)</f>
        <v>0</v>
      </c>
      <c r="AL519" s="951">
        <f>_xlfn.SUMIFS(Покупка!AK$25:AK$327,Покупка!$F$25:$F$327,$F519,Покупка!$AC$25:$AC$327,$G519)</f>
        <v>0</v>
      </c>
      <c r="AM519" s="951">
        <f>_xlfn.SUMIFS(Покупка!AL$25:AL$327,Покупка!$F$25:$F$327,$F519,Покупка!$AC$25:$AC$327,$G519)</f>
        <v>0</v>
      </c>
      <c r="AN519" s="951">
        <f>_xlfn.SUMIFS(Покупка!AM$25:AM$327,Покупка!$F$25:$F$327,$F519,Покупка!$AC$25:$AC$327,$G519)</f>
        <v>0</v>
      </c>
      <c r="AO519" s="951">
        <f>_xlfn.SUMIFS(Покупка!AN$25:AN$327,Покупка!$F$25:$F$327,$F519,Покупка!$AC$25:$AC$327,$G519)</f>
        <v>0</v>
      </c>
      <c r="AP519" s="951">
        <f>_xlfn.SUMIFS(Покупка!AO$25:AO$327,Покупка!$F$25:$F$327,$F519,Покупка!$AC$25:$AC$327,$G519)</f>
        <v>0</v>
      </c>
      <c r="AQ519" s="951">
        <f>_xlfn.SUMIFS(Покупка!AP$25:AP$327,Покупка!$F$25:$F$327,$F519,Покупка!$AC$25:$AC$327,$G519)</f>
        <v>0</v>
      </c>
      <c r="AR519" s="951">
        <f>_xlfn.SUMIFS(Покупка!AQ$25:AQ$327,Покупка!$F$25:$F$327,$F519,Покупка!$AC$25:$AC$327,$G519)</f>
        <v>0</v>
      </c>
      <c r="AS519" s="951">
        <f>_xlfn.SUMIFS(Покупка!AR$25:AR$327,Покупка!$F$25:$F$327,$F519,Покупка!$AC$25:$AC$327,$G519)</f>
        <v>0</v>
      </c>
      <c r="AT519" s="951">
        <f>_xlfn.SUMIFS(Покупка!AS$25:AS$327,Покупка!$F$25:$F$327,$F519,Покупка!$AC$25:$AC$327,$G519)</f>
        <v>0</v>
      </c>
      <c r="AU519" s="951">
        <f>_xlfn.SUMIFS(Покупка!AT$25:AT$327,Покупка!$F$25:$F$327,$F519,Покупка!$AC$25:$AC$327,$G519)</f>
        <v>0</v>
      </c>
      <c r="AV519" s="951">
        <f>_xlfn.SUMIFS(Покупка!AU$25:AU$327,Покупка!$F$25:$F$327,$F519,Покупка!$AC$25:$AC$327,$G519)</f>
        <v>0</v>
      </c>
      <c r="AW519" s="951">
        <f>_xlfn.SUMIFS(Покупка!AV$25:AV$327,Покупка!$F$25:$F$327,$F519,Покупка!$AC$25:$AC$327,$G519)</f>
        <v>0</v>
      </c>
      <c r="AX519" s="951">
        <f>_xlfn.SUMIFS(Покупка!AW$25:AW$327,Покупка!$F$25:$F$327,$F519,Покупка!$AC$25:$AC$327,$G519)</f>
        <v>0</v>
      </c>
      <c r="AY519" s="951">
        <f>_xlfn.SUMIFS(Покупка!AX$25:AX$327,Покупка!$F$25:$F$327,$F519,Покупка!$AC$25:$AC$327,$G519)</f>
        <v>0</v>
      </c>
      <c r="AZ519" s="951">
        <f>_xlfn.SUMIFS(Покупка!AY$25:AY$327,Покупка!$F$25:$F$327,$F519,Покупка!$AC$25:$AC$327,$G519)</f>
        <v>0</v>
      </c>
      <c r="BA519" s="951">
        <f>_xlfn.SUMIFS(Покупка!AZ$25:AZ$327,Покупка!$F$25:$F$327,$F519,Покупка!$AC$25:$AC$327,$G519)</f>
        <v>0</v>
      </c>
      <c r="BB519" s="951">
        <f>_xlfn.SUMIFS(Покупка!BA$25:BA$327,Покупка!$F$25:$F$327,$F519,Покупка!$AC$25:$AC$327,$G519)</f>
        <v>0</v>
      </c>
      <c r="BC519" s="951">
        <f>_xlfn.SUMIFS(Покупка!BB$25:BB$327,Покупка!$F$25:$F$327,$F519,Покупка!$AC$25:$AC$327,$G519)</f>
        <v>0</v>
      </c>
      <c r="BD519" s="951">
        <f>IF(AI519=0,0,(AT519-AI519)/AI519*100)</f>
        <v>0</v>
      </c>
      <c r="BE519" s="951">
        <f>IF(AT519=0,0,(AU519-AT519)/AT519*100)</f>
        <v>0</v>
      </c>
      <c r="BF519" s="951">
        <f>IF(AU519=0,0,(AV519-AU519)/AU519*100)</f>
        <v>0</v>
      </c>
      <c r="BG519" s="951">
        <f>IF(AV519=0,0,(AW519-AV519)/AV519*100)</f>
        <v>0</v>
      </c>
      <c r="BH519" s="951">
        <f>IF(AW519=0,0,(AX519-AW519)/AW519*100)</f>
        <v>0</v>
      </c>
      <c r="BI519" s="951">
        <f>IF(AX519=0,0,(AY519-AX519)/AX519*100)</f>
        <v>0</v>
      </c>
      <c r="BJ519" s="951">
        <f>IF(AY519=0,0,(AZ519-AY519)/AY519*100)</f>
        <v>0</v>
      </c>
      <c r="BK519" s="951">
        <f>IF(AZ519=0,0,(BA519-AZ519)/AZ519*100)</f>
        <v>0</v>
      </c>
      <c r="BL519" s="951">
        <f>IF(BA519=0,0,(BB519-BA519)/BA519*100)</f>
        <v>0</v>
      </c>
      <c r="BM519" s="951">
        <f>IF(BB519=0,0,(BC519-BB519)/BB519*100)</f>
        <v>0</v>
      </c>
      <c r="BN519" s="6533"/>
      <c r="BO519" s="6525" t="str">
        <f>IF(_xlfn.IFERROR(INDEX(Покупка!$K$26:$L$327,MATCH($F519&amp;"8komm",Покупка!$K$26:$K$327,0),2),"")=0,"",_xlfn.IFERROR(INDEX(Покупка!$K$26:$L$327,MATCH($F519&amp;"8komm",Покупка!$K$26:$K$327,0),2),""))</f>
        <v/>
      </c>
      <c r="BP519" s="6533"/>
      <c r="BQ519" s="1297"/>
      <c r="BR519" s="1297"/>
      <c r="BS519" s="1072" t="s">
        <v>1316</v>
      </c>
      <c r="BT519" s="1072"/>
      <c r="BU519" s="1072"/>
      <c r="BV519" s="987"/>
      <c r="BW519" s="987"/>
    </row>
    <row s="1656" customFormat="1" customHeight="1" ht="14.25">
      <c r="A520" s="1297"/>
      <c r="B520" s="92"/>
      <c r="C520" s="103"/>
      <c r="D520" s="103"/>
      <c r="E520" s="626">
        <v>15</v>
      </c>
      <c r="F520" s="50" cm="1" t="str">
        <f t="array" ref="F520:F520">OFFSET(E520,-1,1)</f>
        <v>3</v>
      </c>
      <c r="G520" s="103"/>
      <c r="H520" s="103"/>
      <c r="I520" s="103" t="s">
        <v>2286</v>
      </c>
      <c r="J520" s="103"/>
      <c r="K520" s="103" t="s">
        <v>2286</v>
      </c>
      <c r="L520" s="988"/>
      <c r="M520" s="103"/>
      <c r="N520" s="103"/>
      <c r="O520" s="103"/>
      <c r="P520" s="103"/>
      <c r="Q520" s="103"/>
      <c r="R520" s="103"/>
      <c r="S520" s="103"/>
      <c r="T520" s="468" cm="1" t="str">
        <f t="array" ref="T520:T520">T519</f>
        <v>true</v>
      </c>
      <c r="U520" s="103"/>
      <c r="V520" s="103"/>
      <c r="W520" s="1297"/>
      <c r="X520" s="1539"/>
      <c r="Y520" s="1297"/>
      <c r="Z520" s="1529"/>
      <c r="AA520" s="1297"/>
      <c r="AB520" s="295" t="s">
        <v>2287</v>
      </c>
      <c r="AC520" s="772" t="s">
        <v>2288</v>
      </c>
      <c r="AD520" s="296" t="s">
        <v>936</v>
      </c>
      <c r="AE520" s="6531"/>
      <c r="AF520" s="6531"/>
      <c r="AG520" s="6531"/>
      <c r="AH520" s="951">
        <f>AG520-AF520</f>
        <v>0</v>
      </c>
      <c r="AI520" s="6524"/>
      <c r="AJ520" s="6524"/>
      <c r="AK520" s="1272"/>
      <c r="AL520" s="1272"/>
      <c r="AM520" s="1272"/>
      <c r="AN520" s="1272"/>
      <c r="AO520" s="1272"/>
      <c r="AP520" s="1272"/>
      <c r="AQ520" s="1272"/>
      <c r="AR520" s="1272"/>
      <c r="AS520" s="1272"/>
      <c r="AT520" s="6524"/>
      <c r="AU520" s="1272"/>
      <c r="AV520" s="1272"/>
      <c r="AW520" s="1272"/>
      <c r="AX520" s="1272"/>
      <c r="AY520" s="1272"/>
      <c r="AZ520" s="1272"/>
      <c r="BA520" s="1272"/>
      <c r="BB520" s="1272"/>
      <c r="BC520" s="1272"/>
      <c r="BD520" s="951">
        <f>IF(AI520=0,0,(AT520-AI520)/AI520*100)</f>
        <v>0</v>
      </c>
      <c r="BE520" s="951">
        <f>IF(AT520=0,0,(AU520-AT520)/AT520*100)</f>
        <v>0</v>
      </c>
      <c r="BF520" s="951">
        <f>IF(AU520=0,0,(AV520-AU520)/AU520*100)</f>
        <v>0</v>
      </c>
      <c r="BG520" s="951">
        <f>IF(AV520=0,0,(AW520-AV520)/AV520*100)</f>
        <v>0</v>
      </c>
      <c r="BH520" s="951">
        <f>IF(AW520=0,0,(AX520-AW520)/AW520*100)</f>
        <v>0</v>
      </c>
      <c r="BI520" s="951">
        <f>IF(AX520=0,0,(AY520-AX520)/AX520*100)</f>
        <v>0</v>
      </c>
      <c r="BJ520" s="951">
        <f>IF(AY520=0,0,(AZ520-AY520)/AY520*100)</f>
        <v>0</v>
      </c>
      <c r="BK520" s="951">
        <f>IF(AZ520=0,0,(BA520-AZ520)/AZ520*100)</f>
        <v>0</v>
      </c>
      <c r="BL520" s="951">
        <f>IF(BA520=0,0,(BB520-BA520)/BA520*100)</f>
        <v>0</v>
      </c>
      <c r="BM520" s="951">
        <f>IF(BB520=0,0,(BC520-BB520)/BB520*100)</f>
        <v>0</v>
      </c>
      <c r="BN520" s="6533"/>
      <c r="BO520" s="6533"/>
      <c r="BP520" s="6533"/>
      <c r="BQ520" s="1297"/>
      <c r="BR520" s="1297"/>
      <c r="BS520" s="1072" t="s">
        <v>2289</v>
      </c>
      <c r="BT520" s="1072"/>
      <c r="BU520" s="1072"/>
      <c r="BV520" s="987"/>
      <c r="BW520" s="987"/>
    </row>
    <row s="1656" customFormat="1" customHeight="1" ht="14.25">
      <c r="A521" s="1297"/>
      <c r="B521" s="92"/>
      <c r="C521" s="103"/>
      <c r="D521" s="103"/>
      <c r="E521" s="626">
        <v>15</v>
      </c>
      <c r="F521" s="50" cm="1" t="str">
        <f t="array" ref="F521:F521">OFFSET(E521,-1,1)</f>
        <v>3</v>
      </c>
      <c r="G521" s="103"/>
      <c r="H521" s="103"/>
      <c r="I521" s="103" t="s">
        <v>2290</v>
      </c>
      <c r="J521" s="103"/>
      <c r="K521" s="103" t="s">
        <v>2290</v>
      </c>
      <c r="L521" s="988"/>
      <c r="M521" s="103"/>
      <c r="N521" s="103"/>
      <c r="O521" s="103"/>
      <c r="P521" s="103"/>
      <c r="Q521" s="103"/>
      <c r="R521" s="103"/>
      <c r="S521" s="103"/>
      <c r="T521" s="468" cm="1" t="str">
        <f t="array" ref="T521:T521">T520</f>
        <v>true</v>
      </c>
      <c r="U521" s="103"/>
      <c r="V521" s="103"/>
      <c r="W521" s="1297"/>
      <c r="X521" s="1539"/>
      <c r="Y521" s="1297"/>
      <c r="Z521" s="1529"/>
      <c r="AA521" s="1297"/>
      <c r="AB521" s="295" t="s">
        <v>2291</v>
      </c>
      <c r="AC521" s="772" t="s">
        <v>2292</v>
      </c>
      <c r="AD521" s="296" t="s">
        <v>936</v>
      </c>
      <c r="AE521" s="6531"/>
      <c r="AF521" s="6531"/>
      <c r="AG521" s="6531"/>
      <c r="AH521" s="951">
        <f>AG521-AF521</f>
        <v>0</v>
      </c>
      <c r="AI521" s="6524"/>
      <c r="AJ521" s="6524"/>
      <c r="AK521" s="1272"/>
      <c r="AL521" s="1272"/>
      <c r="AM521" s="1272"/>
      <c r="AN521" s="1272"/>
      <c r="AO521" s="1272"/>
      <c r="AP521" s="1272"/>
      <c r="AQ521" s="1272"/>
      <c r="AR521" s="1272"/>
      <c r="AS521" s="1272"/>
      <c r="AT521" s="6524"/>
      <c r="AU521" s="1272"/>
      <c r="AV521" s="1272"/>
      <c r="AW521" s="1272"/>
      <c r="AX521" s="1272"/>
      <c r="AY521" s="1272"/>
      <c r="AZ521" s="1272"/>
      <c r="BA521" s="1272"/>
      <c r="BB521" s="1272"/>
      <c r="BC521" s="1272"/>
      <c r="BD521" s="951">
        <f>IF(AI521=0,0,(AT521-AI521)/AI521*100)</f>
        <v>0</v>
      </c>
      <c r="BE521" s="951">
        <f>IF(AT521=0,0,(AU521-AT521)/AT521*100)</f>
        <v>0</v>
      </c>
      <c r="BF521" s="951">
        <f>IF(AU521=0,0,(AV521-AU521)/AU521*100)</f>
        <v>0</v>
      </c>
      <c r="BG521" s="951">
        <f>IF(AV521=0,0,(AW521-AV521)/AV521*100)</f>
        <v>0</v>
      </c>
      <c r="BH521" s="951">
        <f>IF(AW521=0,0,(AX521-AW521)/AW521*100)</f>
        <v>0</v>
      </c>
      <c r="BI521" s="951">
        <f>IF(AX521=0,0,(AY521-AX521)/AX521*100)</f>
        <v>0</v>
      </c>
      <c r="BJ521" s="951">
        <f>IF(AY521=0,0,(AZ521-AY521)/AY521*100)</f>
        <v>0</v>
      </c>
      <c r="BK521" s="951">
        <f>IF(AZ521=0,0,(BA521-AZ521)/AZ521*100)</f>
        <v>0</v>
      </c>
      <c r="BL521" s="951">
        <f>IF(BA521=0,0,(BB521-BA521)/BA521*100)</f>
        <v>0</v>
      </c>
      <c r="BM521" s="951">
        <f>IF(BB521=0,0,(BC521-BB521)/BB521*100)</f>
        <v>0</v>
      </c>
      <c r="BN521" s="6533"/>
      <c r="BO521" s="6533"/>
      <c r="BP521" s="6533"/>
      <c r="BQ521" s="1297"/>
      <c r="BR521" s="1297"/>
      <c r="BS521" s="1072" t="s">
        <v>2293</v>
      </c>
      <c r="BT521" s="1072"/>
      <c r="BU521" s="1072"/>
      <c r="BV521" s="987"/>
      <c r="BW521" s="987"/>
    </row>
    <row s="1656" customFormat="1" customHeight="1" ht="14.25">
      <c r="A522" s="1297"/>
      <c r="B522" s="92"/>
      <c r="C522" s="103"/>
      <c r="D522" s="103"/>
      <c r="E522" s="626">
        <v>15</v>
      </c>
      <c r="F522" s="50" cm="1" t="str">
        <f t="array" ref="F522:F522">OFFSET(E522,-1,1)</f>
        <v>3</v>
      </c>
      <c r="G522" s="103" t="s">
        <v>1267</v>
      </c>
      <c r="H522" s="103"/>
      <c r="I522" s="103" t="s">
        <v>2294</v>
      </c>
      <c r="J522" s="103"/>
      <c r="K522" s="103" t="s">
        <v>2294</v>
      </c>
      <c r="L522" s="988" t="s">
        <v>1745</v>
      </c>
      <c r="M522" s="103"/>
      <c r="N522" s="103"/>
      <c r="O522" s="103"/>
      <c r="P522" s="103"/>
      <c r="Q522" s="103"/>
      <c r="R522" s="103"/>
      <c r="S522" s="103"/>
      <c r="T522" s="468" cm="1" t="str">
        <f t="array" ref="T522:T522">T521</f>
        <v>true</v>
      </c>
      <c r="U522" s="103"/>
      <c r="V522" s="103"/>
      <c r="W522" s="1297"/>
      <c r="X522" s="1539"/>
      <c r="Y522" s="1297"/>
      <c r="Z522" s="1529"/>
      <c r="AA522" s="1297"/>
      <c r="AB522" s="295" t="s">
        <v>2295</v>
      </c>
      <c r="AC522" s="772" t="s">
        <v>2296</v>
      </c>
      <c r="AD522" s="296" t="s">
        <v>936</v>
      </c>
      <c r="AE522" s="255">
        <f>_xlfn.SUMIFS(Покупка!AE$25:AE$327,Покупка!$F$25:$F$327,$F522,Покупка!$AC$25:$AC$327,$G522)</f>
        <v>0</v>
      </c>
      <c r="AF522" s="255">
        <f>_xlfn.SUMIFS(Покупка!AF$25:AF$327,Покупка!$F$25:$F$327,$F522,Покупка!$AC$25:$AC$327,$G522)</f>
        <v>0</v>
      </c>
      <c r="AG522" s="255">
        <f>_xlfn.SUMIFS(Покупка!AG$25:AG$327,Покупка!$F$25:$F$327,$F522,Покупка!$AC$25:$AC$327,$G522)</f>
        <v>0</v>
      </c>
      <c r="AH522" s="951">
        <f>AG522-AF522</f>
        <v>0</v>
      </c>
      <c r="AI522" s="951">
        <f>_xlfn.SUMIFS(Покупка!AH$25:AH$327,Покупка!$F$25:$F$327,$F522,Покупка!$AC$25:$AC$327,$G522)</f>
        <v>0</v>
      </c>
      <c r="AJ522" s="951">
        <f>_xlfn.SUMIFS(Покупка!AI$25:AI$327,Покупка!$F$25:$F$327,$F522,Покупка!$AC$25:$AC$327,$G522)</f>
        <v>0</v>
      </c>
      <c r="AK522" s="951">
        <f>_xlfn.SUMIFS(Покупка!AJ$25:AJ$327,Покупка!$F$25:$F$327,$F522,Покупка!$AC$25:$AC$327,$G522)</f>
        <v>0</v>
      </c>
      <c r="AL522" s="951">
        <f>_xlfn.SUMIFS(Покупка!AK$25:AK$327,Покупка!$F$25:$F$327,$F522,Покупка!$AC$25:$AC$327,$G522)</f>
        <v>0</v>
      </c>
      <c r="AM522" s="951">
        <f>_xlfn.SUMIFS(Покупка!AL$25:AL$327,Покупка!$F$25:$F$327,$F522,Покупка!$AC$25:$AC$327,$G522)</f>
        <v>0</v>
      </c>
      <c r="AN522" s="951">
        <f>_xlfn.SUMIFS(Покупка!AM$25:AM$327,Покупка!$F$25:$F$327,$F522,Покупка!$AC$25:$AC$327,$G522)</f>
        <v>0</v>
      </c>
      <c r="AO522" s="951">
        <f>_xlfn.SUMIFS(Покупка!AN$25:AN$327,Покупка!$F$25:$F$327,$F522,Покупка!$AC$25:$AC$327,$G522)</f>
        <v>0</v>
      </c>
      <c r="AP522" s="951">
        <f>_xlfn.SUMIFS(Покупка!AO$25:AO$327,Покупка!$F$25:$F$327,$F522,Покупка!$AC$25:$AC$327,$G522)</f>
        <v>0</v>
      </c>
      <c r="AQ522" s="951">
        <f>_xlfn.SUMIFS(Покупка!AP$25:AP$327,Покупка!$F$25:$F$327,$F522,Покупка!$AC$25:$AC$327,$G522)</f>
        <v>0</v>
      </c>
      <c r="AR522" s="951">
        <f>_xlfn.SUMIFS(Покупка!AQ$25:AQ$327,Покупка!$F$25:$F$327,$F522,Покупка!$AC$25:$AC$327,$G522)</f>
        <v>0</v>
      </c>
      <c r="AS522" s="951">
        <f>_xlfn.SUMIFS(Покупка!AR$25:AR$327,Покупка!$F$25:$F$327,$F522,Покупка!$AC$25:$AC$327,$G522)</f>
        <v>0</v>
      </c>
      <c r="AT522" s="951">
        <f>_xlfn.SUMIFS(Покупка!AS$25:AS$327,Покупка!$F$25:$F$327,$F522,Покупка!$AC$25:$AC$327,$G522)</f>
        <v>0</v>
      </c>
      <c r="AU522" s="951">
        <f>_xlfn.SUMIFS(Покупка!AT$25:AT$327,Покупка!$F$25:$F$327,$F522,Покупка!$AC$25:$AC$327,$G522)</f>
        <v>0</v>
      </c>
      <c r="AV522" s="951">
        <f>_xlfn.SUMIFS(Покупка!AU$25:AU$327,Покупка!$F$25:$F$327,$F522,Покупка!$AC$25:$AC$327,$G522)</f>
        <v>0</v>
      </c>
      <c r="AW522" s="951">
        <f>_xlfn.SUMIFS(Покупка!AV$25:AV$327,Покупка!$F$25:$F$327,$F522,Покупка!$AC$25:$AC$327,$G522)</f>
        <v>0</v>
      </c>
      <c r="AX522" s="951">
        <f>_xlfn.SUMIFS(Покупка!AW$25:AW$327,Покупка!$F$25:$F$327,$F522,Покупка!$AC$25:$AC$327,$G522)</f>
        <v>0</v>
      </c>
      <c r="AY522" s="951">
        <f>_xlfn.SUMIFS(Покупка!AX$25:AX$327,Покупка!$F$25:$F$327,$F522,Покупка!$AC$25:$AC$327,$G522)</f>
        <v>0</v>
      </c>
      <c r="AZ522" s="951">
        <f>_xlfn.SUMIFS(Покупка!AY$25:AY$327,Покупка!$F$25:$F$327,$F522,Покупка!$AC$25:$AC$327,$G522)</f>
        <v>0</v>
      </c>
      <c r="BA522" s="951">
        <f>_xlfn.SUMIFS(Покупка!AZ$25:AZ$327,Покупка!$F$25:$F$327,$F522,Покупка!$AC$25:$AC$327,$G522)</f>
        <v>0</v>
      </c>
      <c r="BB522" s="951">
        <f>_xlfn.SUMIFS(Покупка!BA$25:BA$327,Покупка!$F$25:$F$327,$F522,Покупка!$AC$25:$AC$327,$G522)</f>
        <v>0</v>
      </c>
      <c r="BC522" s="951">
        <f>_xlfn.SUMIFS(Покупка!BB$25:BB$327,Покупка!$F$25:$F$327,$F522,Покупка!$AC$25:$AC$327,$G522)</f>
        <v>0</v>
      </c>
      <c r="BD522" s="951">
        <f>IF(AI522=0,0,(AT522-AI522)/AI522*100)</f>
        <v>0</v>
      </c>
      <c r="BE522" s="951">
        <f>IF(AT522=0,0,(AU522-AT522)/AT522*100)</f>
        <v>0</v>
      </c>
      <c r="BF522" s="951">
        <f>IF(AU522=0,0,(AV522-AU522)/AU522*100)</f>
        <v>0</v>
      </c>
      <c r="BG522" s="951">
        <f>IF(AV522=0,0,(AW522-AV522)/AV522*100)</f>
        <v>0</v>
      </c>
      <c r="BH522" s="951">
        <f>IF(AW522=0,0,(AX522-AW522)/AW522*100)</f>
        <v>0</v>
      </c>
      <c r="BI522" s="951">
        <f>IF(AX522=0,0,(AY522-AX522)/AX522*100)</f>
        <v>0</v>
      </c>
      <c r="BJ522" s="951">
        <f>IF(AY522=0,0,(AZ522-AY522)/AY522*100)</f>
        <v>0</v>
      </c>
      <c r="BK522" s="951">
        <f>IF(AZ522=0,0,(BA522-AZ522)/AZ522*100)</f>
        <v>0</v>
      </c>
      <c r="BL522" s="951">
        <f>IF(BA522=0,0,(BB522-BA522)/BA522*100)</f>
        <v>0</v>
      </c>
      <c r="BM522" s="951">
        <f>IF(BB522=0,0,(BC522-BB522)/BB522*100)</f>
        <v>0</v>
      </c>
      <c r="BN522" s="6533"/>
      <c r="BO522" s="6525" t="str">
        <f>IF(_xlfn.IFERROR(INDEX(Покупка!$K$26:$L$327,MATCH($F522&amp;"3komm",Покупка!$K$26:$K$327,0),2),"")=0,"",_xlfn.IFERROR(INDEX(Покупка!$K$26:$L$327,MATCH($F522&amp;"3komm",Покупка!$K$26:$K$327,0),2),""))</f>
        <v/>
      </c>
      <c r="BP522" s="6533"/>
      <c r="BQ522" s="1297"/>
      <c r="BR522" s="1297"/>
      <c r="BS522" s="1072" t="s">
        <v>1997</v>
      </c>
      <c r="BT522" s="1072"/>
      <c r="BU522" s="1072"/>
      <c r="BV522" s="987"/>
      <c r="BW522" s="987"/>
    </row>
    <row s="1656" customFormat="1" customHeight="1" ht="14.25">
      <c r="A523" s="1297"/>
      <c r="B523" s="92"/>
      <c r="C523" s="103"/>
      <c r="D523" s="103"/>
      <c r="E523" s="626">
        <v>15</v>
      </c>
      <c r="F523" s="50" cm="1" t="str">
        <f t="array" ref="F523:F523">OFFSET(E523,-1,1)</f>
        <v>3</v>
      </c>
      <c r="G523" s="103" t="s">
        <v>1273</v>
      </c>
      <c r="H523" s="103"/>
      <c r="I523" s="103" t="s">
        <v>2297</v>
      </c>
      <c r="J523" s="103"/>
      <c r="K523" s="103" t="s">
        <v>2297</v>
      </c>
      <c r="L523" s="988" t="s">
        <v>1750</v>
      </c>
      <c r="M523" s="103"/>
      <c r="N523" s="103"/>
      <c r="O523" s="103"/>
      <c r="P523" s="103"/>
      <c r="Q523" s="103"/>
      <c r="R523" s="103"/>
      <c r="S523" s="103"/>
      <c r="T523" s="468" cm="1" t="str">
        <f t="array" ref="T523:T523">T522</f>
        <v>true</v>
      </c>
      <c r="U523" s="103"/>
      <c r="V523" s="103"/>
      <c r="W523" s="1297"/>
      <c r="X523" s="1539"/>
      <c r="Y523" s="1297"/>
      <c r="Z523" s="1529"/>
      <c r="AA523" s="1297"/>
      <c r="AB523" s="295" t="s">
        <v>2298</v>
      </c>
      <c r="AC523" s="772" t="s">
        <v>2299</v>
      </c>
      <c r="AD523" s="296" t="s">
        <v>936</v>
      </c>
      <c r="AE523" s="255">
        <f>_xlfn.SUMIFS(Покупка!AE$25:AE$327,Покупка!$F$25:$F$327,$F523,Покупка!$AC$25:$AC$327,$G523)</f>
        <v>0</v>
      </c>
      <c r="AF523" s="255">
        <f>_xlfn.SUMIFS(Покупка!AF$25:AF$327,Покупка!$F$25:$F$327,$F523,Покупка!$AC$25:$AC$327,$G523)</f>
        <v>0</v>
      </c>
      <c r="AG523" s="255">
        <f>_xlfn.SUMIFS(Покупка!AG$25:AG$327,Покупка!$F$25:$F$327,$F523,Покупка!$AC$25:$AC$327,$G523)</f>
        <v>0</v>
      </c>
      <c r="AH523" s="951">
        <f>AG523-AF523</f>
        <v>0</v>
      </c>
      <c r="AI523" s="951">
        <f>_xlfn.SUMIFS(Покупка!AH$25:AH$327,Покупка!$F$25:$F$327,$F523,Покупка!$AC$25:$AC$327,$G523)</f>
        <v>0</v>
      </c>
      <c r="AJ523" s="951">
        <f>_xlfn.SUMIFS(Покупка!AI$25:AI$327,Покупка!$F$25:$F$327,$F523,Покупка!$AC$25:$AC$327,$G523)</f>
        <v>0</v>
      </c>
      <c r="AK523" s="951">
        <f>_xlfn.SUMIFS(Покупка!AJ$25:AJ$327,Покупка!$F$25:$F$327,$F523,Покупка!$AC$25:$AC$327,$G523)</f>
        <v>0</v>
      </c>
      <c r="AL523" s="951">
        <f>_xlfn.SUMIFS(Покупка!AK$25:AK$327,Покупка!$F$25:$F$327,$F523,Покупка!$AC$25:$AC$327,$G523)</f>
        <v>0</v>
      </c>
      <c r="AM523" s="951">
        <f>_xlfn.SUMIFS(Покупка!AL$25:AL$327,Покупка!$F$25:$F$327,$F523,Покупка!$AC$25:$AC$327,$G523)</f>
        <v>0</v>
      </c>
      <c r="AN523" s="951">
        <f>_xlfn.SUMIFS(Покупка!AM$25:AM$327,Покупка!$F$25:$F$327,$F523,Покупка!$AC$25:$AC$327,$G523)</f>
        <v>0</v>
      </c>
      <c r="AO523" s="951">
        <f>_xlfn.SUMIFS(Покупка!AN$25:AN$327,Покупка!$F$25:$F$327,$F523,Покупка!$AC$25:$AC$327,$G523)</f>
        <v>0</v>
      </c>
      <c r="AP523" s="951">
        <f>_xlfn.SUMIFS(Покупка!AO$25:AO$327,Покупка!$F$25:$F$327,$F523,Покупка!$AC$25:$AC$327,$G523)</f>
        <v>0</v>
      </c>
      <c r="AQ523" s="951">
        <f>_xlfn.SUMIFS(Покупка!AP$25:AP$327,Покупка!$F$25:$F$327,$F523,Покупка!$AC$25:$AC$327,$G523)</f>
        <v>0</v>
      </c>
      <c r="AR523" s="951">
        <f>_xlfn.SUMIFS(Покупка!AQ$25:AQ$327,Покупка!$F$25:$F$327,$F523,Покупка!$AC$25:$AC$327,$G523)</f>
        <v>0</v>
      </c>
      <c r="AS523" s="951">
        <f>_xlfn.SUMIFS(Покупка!AR$25:AR$327,Покупка!$F$25:$F$327,$F523,Покупка!$AC$25:$AC$327,$G523)</f>
        <v>0</v>
      </c>
      <c r="AT523" s="951">
        <f>_xlfn.SUMIFS(Покупка!AS$25:AS$327,Покупка!$F$25:$F$327,$F523,Покупка!$AC$25:$AC$327,$G523)</f>
        <v>0</v>
      </c>
      <c r="AU523" s="951">
        <f>_xlfn.SUMIFS(Покупка!AT$25:AT$327,Покупка!$F$25:$F$327,$F523,Покупка!$AC$25:$AC$327,$G523)</f>
        <v>0</v>
      </c>
      <c r="AV523" s="951">
        <f>_xlfn.SUMIFS(Покупка!AU$25:AU$327,Покупка!$F$25:$F$327,$F523,Покупка!$AC$25:$AC$327,$G523)</f>
        <v>0</v>
      </c>
      <c r="AW523" s="951">
        <f>_xlfn.SUMIFS(Покупка!AV$25:AV$327,Покупка!$F$25:$F$327,$F523,Покупка!$AC$25:$AC$327,$G523)</f>
        <v>0</v>
      </c>
      <c r="AX523" s="951">
        <f>_xlfn.SUMIFS(Покупка!AW$25:AW$327,Покупка!$F$25:$F$327,$F523,Покупка!$AC$25:$AC$327,$G523)</f>
        <v>0</v>
      </c>
      <c r="AY523" s="951">
        <f>_xlfn.SUMIFS(Покупка!AX$25:AX$327,Покупка!$F$25:$F$327,$F523,Покупка!$AC$25:$AC$327,$G523)</f>
        <v>0</v>
      </c>
      <c r="AZ523" s="951">
        <f>_xlfn.SUMIFS(Покупка!AY$25:AY$327,Покупка!$F$25:$F$327,$F523,Покупка!$AC$25:$AC$327,$G523)</f>
        <v>0</v>
      </c>
      <c r="BA523" s="951">
        <f>_xlfn.SUMIFS(Покупка!AZ$25:AZ$327,Покупка!$F$25:$F$327,$F523,Покупка!$AC$25:$AC$327,$G523)</f>
        <v>0</v>
      </c>
      <c r="BB523" s="951">
        <f>_xlfn.SUMIFS(Покупка!BA$25:BA$327,Покупка!$F$25:$F$327,$F523,Покупка!$AC$25:$AC$327,$G523)</f>
        <v>0</v>
      </c>
      <c r="BC523" s="951">
        <f>_xlfn.SUMIFS(Покупка!BB$25:BB$327,Покупка!$F$25:$F$327,$F523,Покупка!$AC$25:$AC$327,$G523)</f>
        <v>0</v>
      </c>
      <c r="BD523" s="951">
        <f>IF(AI523=0,0,(AT523-AI523)/AI523*100)</f>
        <v>0</v>
      </c>
      <c r="BE523" s="951">
        <f>IF(AT523=0,0,(AU523-AT523)/AT523*100)</f>
        <v>0</v>
      </c>
      <c r="BF523" s="951">
        <f>IF(AU523=0,0,(AV523-AU523)/AU523*100)</f>
        <v>0</v>
      </c>
      <c r="BG523" s="951">
        <f>IF(AV523=0,0,(AW523-AV523)/AV523*100)</f>
        <v>0</v>
      </c>
      <c r="BH523" s="951">
        <f>IF(AW523=0,0,(AX523-AW523)/AW523*100)</f>
        <v>0</v>
      </c>
      <c r="BI523" s="951">
        <f>IF(AX523=0,0,(AY523-AX523)/AX523*100)</f>
        <v>0</v>
      </c>
      <c r="BJ523" s="951">
        <f>IF(AY523=0,0,(AZ523-AY523)/AY523*100)</f>
        <v>0</v>
      </c>
      <c r="BK523" s="951">
        <f>IF(AZ523=0,0,(BA523-AZ523)/AZ523*100)</f>
        <v>0</v>
      </c>
      <c r="BL523" s="951">
        <f>IF(BA523=0,0,(BB523-BA523)/BA523*100)</f>
        <v>0</v>
      </c>
      <c r="BM523" s="951">
        <f>IF(BB523=0,0,(BC523-BB523)/BB523*100)</f>
        <v>0</v>
      </c>
      <c r="BN523" s="6533"/>
      <c r="BO523" s="6525" t="str">
        <f>IF(_xlfn.IFERROR(INDEX(Покупка!$K$26:$L$327,MATCH($F523&amp;"4komm",Покупка!$K$26:$K$327,0),2),"")=0,"",_xlfn.IFERROR(INDEX(Покупка!$K$26:$L$327,MATCH($F522&amp;"3komm",Покупка!$K$26:$K$327,0),2),""))</f>
        <v/>
      </c>
      <c r="BP523" s="6533"/>
      <c r="BQ523" s="1297"/>
      <c r="BR523" s="1297"/>
      <c r="BS523" s="1072" t="s">
        <v>2000</v>
      </c>
      <c r="BT523" s="1072"/>
      <c r="BU523" s="1072"/>
      <c r="BV523" s="987"/>
      <c r="BW523" s="987"/>
    </row>
    <row s="1656" customFormat="1" customHeight="1" ht="14.25">
      <c r="A524" s="1297"/>
      <c r="B524" s="92"/>
      <c r="C524" s="103"/>
      <c r="D524" s="103"/>
      <c r="E524" s="626">
        <v>15</v>
      </c>
      <c r="F524" s="50" cm="1" t="str">
        <f t="array" ref="F524:F524">OFFSET(E524,-1,1)</f>
        <v>3</v>
      </c>
      <c r="G524" s="103" t="s">
        <v>1280</v>
      </c>
      <c r="H524" s="103"/>
      <c r="I524" s="103" t="s">
        <v>2300</v>
      </c>
      <c r="J524" s="103"/>
      <c r="K524" s="103" t="s">
        <v>2300</v>
      </c>
      <c r="L524" s="988" t="s">
        <v>1760</v>
      </c>
      <c r="M524" s="103"/>
      <c r="N524" s="103"/>
      <c r="O524" s="103"/>
      <c r="P524" s="103"/>
      <c r="Q524" s="103"/>
      <c r="R524" s="103"/>
      <c r="S524" s="103"/>
      <c r="T524" s="468" cm="1" t="str">
        <f t="array" ref="T524:T524">T523</f>
        <v>true</v>
      </c>
      <c r="U524" s="103"/>
      <c r="V524" s="103"/>
      <c r="W524" s="1297"/>
      <c r="X524" s="1539"/>
      <c r="Y524" s="1297"/>
      <c r="Z524" s="1529"/>
      <c r="AA524" s="1297"/>
      <c r="AB524" s="295" t="s">
        <v>2301</v>
      </c>
      <c r="AC524" s="772" t="s">
        <v>2302</v>
      </c>
      <c r="AD524" s="296" t="s">
        <v>936</v>
      </c>
      <c r="AE524" s="255">
        <f>_xlfn.SUMIFS(Покупка!AE$25:AE$327,Покупка!$F$25:$F$327,$F524,Покупка!$AC$25:$AC$327,$G524)</f>
        <v>0</v>
      </c>
      <c r="AF524" s="255">
        <f>_xlfn.SUMIFS(Покупка!AF$25:AF$327,Покупка!$F$25:$F$327,$F524,Покупка!$AC$25:$AC$327,$G524)</f>
        <v>0</v>
      </c>
      <c r="AG524" s="255">
        <f>_xlfn.SUMIFS(Покупка!AG$25:AG$327,Покупка!$F$25:$F$327,$F524,Покупка!$AC$25:$AC$327,$G524)</f>
        <v>0</v>
      </c>
      <c r="AH524" s="951">
        <f>AG524-AF524</f>
        <v>0</v>
      </c>
      <c r="AI524" s="951">
        <f>_xlfn.SUMIFS(Покупка!AH$25:AH$327,Покупка!$F$25:$F$327,$F524,Покупка!$AC$25:$AC$327,$G524)</f>
        <v>0</v>
      </c>
      <c r="AJ524" s="951">
        <f>_xlfn.SUMIFS(Покупка!AI$25:AI$327,Покупка!$F$25:$F$327,$F524,Покупка!$AC$25:$AC$327,$G524)</f>
        <v>0</v>
      </c>
      <c r="AK524" s="951">
        <f>_xlfn.SUMIFS(Покупка!AJ$25:AJ$327,Покупка!$F$25:$F$327,$F524,Покупка!$AC$25:$AC$327,$G524)</f>
        <v>0</v>
      </c>
      <c r="AL524" s="951">
        <f>_xlfn.SUMIFS(Покупка!AK$25:AK$327,Покупка!$F$25:$F$327,$F524,Покупка!$AC$25:$AC$327,$G524)</f>
        <v>0</v>
      </c>
      <c r="AM524" s="951">
        <f>_xlfn.SUMIFS(Покупка!AL$25:AL$327,Покупка!$F$25:$F$327,$F524,Покупка!$AC$25:$AC$327,$G524)</f>
        <v>0</v>
      </c>
      <c r="AN524" s="951">
        <f>_xlfn.SUMIFS(Покупка!AM$25:AM$327,Покупка!$F$25:$F$327,$F524,Покупка!$AC$25:$AC$327,$G524)</f>
        <v>0</v>
      </c>
      <c r="AO524" s="951">
        <f>_xlfn.SUMIFS(Покупка!AN$25:AN$327,Покупка!$F$25:$F$327,$F524,Покупка!$AC$25:$AC$327,$G524)</f>
        <v>0</v>
      </c>
      <c r="AP524" s="951">
        <f>_xlfn.SUMIFS(Покупка!AO$25:AO$327,Покупка!$F$25:$F$327,$F524,Покупка!$AC$25:$AC$327,$G524)</f>
        <v>0</v>
      </c>
      <c r="AQ524" s="951">
        <f>_xlfn.SUMIFS(Покупка!AP$25:AP$327,Покупка!$F$25:$F$327,$F524,Покупка!$AC$25:$AC$327,$G524)</f>
        <v>0</v>
      </c>
      <c r="AR524" s="951">
        <f>_xlfn.SUMIFS(Покупка!AQ$25:AQ$327,Покупка!$F$25:$F$327,$F524,Покупка!$AC$25:$AC$327,$G524)</f>
        <v>0</v>
      </c>
      <c r="AS524" s="951">
        <f>_xlfn.SUMIFS(Покупка!AR$25:AR$327,Покупка!$F$25:$F$327,$F524,Покупка!$AC$25:$AC$327,$G524)</f>
        <v>0</v>
      </c>
      <c r="AT524" s="951">
        <f>_xlfn.SUMIFS(Покупка!AS$25:AS$327,Покупка!$F$25:$F$327,$F524,Покупка!$AC$25:$AC$327,$G524)</f>
        <v>0</v>
      </c>
      <c r="AU524" s="951">
        <f>_xlfn.SUMIFS(Покупка!AT$25:AT$327,Покупка!$F$25:$F$327,$F524,Покупка!$AC$25:$AC$327,$G524)</f>
        <v>0</v>
      </c>
      <c r="AV524" s="951">
        <f>_xlfn.SUMIFS(Покупка!AU$25:AU$327,Покупка!$F$25:$F$327,$F524,Покупка!$AC$25:$AC$327,$G524)</f>
        <v>0</v>
      </c>
      <c r="AW524" s="951">
        <f>_xlfn.SUMIFS(Покупка!AV$25:AV$327,Покупка!$F$25:$F$327,$F524,Покупка!$AC$25:$AC$327,$G524)</f>
        <v>0</v>
      </c>
      <c r="AX524" s="951">
        <f>_xlfn.SUMIFS(Покупка!AW$25:AW$327,Покупка!$F$25:$F$327,$F524,Покупка!$AC$25:$AC$327,$G524)</f>
        <v>0</v>
      </c>
      <c r="AY524" s="951">
        <f>_xlfn.SUMIFS(Покупка!AX$25:AX$327,Покупка!$F$25:$F$327,$F524,Покупка!$AC$25:$AC$327,$G524)</f>
        <v>0</v>
      </c>
      <c r="AZ524" s="951">
        <f>_xlfn.SUMIFS(Покупка!AY$25:AY$327,Покупка!$F$25:$F$327,$F524,Покупка!$AC$25:$AC$327,$G524)</f>
        <v>0</v>
      </c>
      <c r="BA524" s="951">
        <f>_xlfn.SUMIFS(Покупка!AZ$25:AZ$327,Покупка!$F$25:$F$327,$F524,Покупка!$AC$25:$AC$327,$G524)</f>
        <v>0</v>
      </c>
      <c r="BB524" s="951">
        <f>_xlfn.SUMIFS(Покупка!BA$25:BA$327,Покупка!$F$25:$F$327,$F524,Покупка!$AC$25:$AC$327,$G524)</f>
        <v>0</v>
      </c>
      <c r="BC524" s="951">
        <f>_xlfn.SUMIFS(Покупка!BB$25:BB$327,Покупка!$F$25:$F$327,$F524,Покупка!$AC$25:$AC$327,$G524)</f>
        <v>0</v>
      </c>
      <c r="BD524" s="951">
        <f>IF(AI524=0,0,(AT524-AI524)/AI524*100)</f>
        <v>0</v>
      </c>
      <c r="BE524" s="951">
        <f>IF(AT524=0,0,(AU524-AT524)/AT524*100)</f>
        <v>0</v>
      </c>
      <c r="BF524" s="951">
        <f>IF(AU524=0,0,(AV524-AU524)/AU524*100)</f>
        <v>0</v>
      </c>
      <c r="BG524" s="951">
        <f>IF(AV524=0,0,(AW524-AV524)/AV524*100)</f>
        <v>0</v>
      </c>
      <c r="BH524" s="951">
        <f>IF(AW524=0,0,(AX524-AW524)/AW524*100)</f>
        <v>0</v>
      </c>
      <c r="BI524" s="951">
        <f>IF(AX524=0,0,(AY524-AX524)/AX524*100)</f>
        <v>0</v>
      </c>
      <c r="BJ524" s="951">
        <f>IF(AY524=0,0,(AZ524-AY524)/AY524*100)</f>
        <v>0</v>
      </c>
      <c r="BK524" s="951">
        <f>IF(AZ524=0,0,(BA524-AZ524)/AZ524*100)</f>
        <v>0</v>
      </c>
      <c r="BL524" s="951">
        <f>IF(BA524=0,0,(BB524-BA524)/BA524*100)</f>
        <v>0</v>
      </c>
      <c r="BM524" s="951">
        <f>IF(BB524=0,0,(BC524-BB524)/BB524*100)</f>
        <v>0</v>
      </c>
      <c r="BN524" s="6533"/>
      <c r="BO524" s="6525" t="str">
        <f>IF(_xlfn.IFERROR(INDEX(Покупка!$K$26:$L$327,MATCH($F524&amp;"5komm",Покупка!$K$26:$K$327,0),2),"")=0,"",_xlfn.IFERROR(INDEX(Покупка!$K$26:$L$327,MATCH($F524&amp;"5komm",Покупка!$K$26:$K$327,0),2),""))</f>
        <v/>
      </c>
      <c r="BP524" s="6533"/>
      <c r="BQ524" s="1297"/>
      <c r="BR524" s="1297"/>
      <c r="BS524" s="1072" t="s">
        <v>2003</v>
      </c>
      <c r="BT524" s="1072"/>
      <c r="BU524" s="1072"/>
      <c r="BV524" s="987"/>
      <c r="BW524" s="987"/>
    </row>
    <row s="1252" customFormat="1" customHeight="1" ht="14.25">
      <c r="A525" s="1252"/>
      <c r="B525" s="92"/>
      <c r="C525" s="103"/>
      <c r="D525" s="103"/>
      <c r="E525" s="626">
        <v>15</v>
      </c>
      <c r="F525" s="50" cm="1" t="str">
        <f t="array" ref="F525:F525">OFFSET(E525,-1,1)</f>
        <v>3</v>
      </c>
      <c r="G525" s="103" t="s">
        <v>1321</v>
      </c>
      <c r="H525" s="103"/>
      <c r="I525" s="103"/>
      <c r="J525" s="103"/>
      <c r="K525" s="103"/>
      <c r="L525" s="988" t="s">
        <v>1727</v>
      </c>
      <c r="M525" s="103"/>
      <c r="N525" s="103"/>
      <c r="O525" s="103"/>
      <c r="P525" s="103"/>
      <c r="Q525" s="103"/>
      <c r="R525" s="103"/>
      <c r="S525" s="103"/>
      <c r="T525" s="468" cm="1" t="str">
        <f t="array" ref="T525:T525">T524</f>
        <v>true</v>
      </c>
      <c r="U525" s="103"/>
      <c r="V525" s="103"/>
      <c r="W525" s="1252"/>
      <c r="X525" s="1539"/>
      <c r="Y525" s="1252"/>
      <c r="Z525" s="1529"/>
      <c r="AA525" s="1252"/>
      <c r="AB525" s="295" t="s">
        <v>2303</v>
      </c>
      <c r="AC525" s="772" t="s">
        <v>2304</v>
      </c>
      <c r="AD525" s="296" t="s">
        <v>936</v>
      </c>
      <c r="AE525" s="255">
        <f>_xlfn.SUMIFS(Покупка!AE$25:AE$327,Покупка!$F$25:$F$327,$F525,Покупка!$AC$25:$AC$327,$G525)</f>
        <v>0</v>
      </c>
      <c r="AF525" s="255">
        <f>_xlfn.SUMIFS(Покупка!AF$25:AF$327,Покупка!$F$25:$F$327,$F525,Покупка!$AC$25:$AC$327,$G525)</f>
        <v>0</v>
      </c>
      <c r="AG525" s="255">
        <f>_xlfn.SUMIFS(Покупка!AG$25:AG$327,Покупка!$F$25:$F$327,$F525,Покупка!$AC$25:$AC$327,$G525)</f>
        <v>0</v>
      </c>
      <c r="AH525" s="951">
        <f>AG525-AF525</f>
        <v>0</v>
      </c>
      <c r="AI525" s="951">
        <f>_xlfn.SUMIFS(Покупка!AH$25:AH$327,Покупка!$F$25:$F$327,$F525,Покупка!$AC$25:$AC$327,$G525)</f>
        <v>0</v>
      </c>
      <c r="AJ525" s="1125">
        <f>_xlfn.SUMIFS(Покупка!AI$25:AI$327,Покупка!$F$25:$F$327,$F525,Покупка!$AC$25:$AC$327,$G525)</f>
        <v>0</v>
      </c>
      <c r="AK525" s="1125">
        <f>_xlfn.SUMIFS(Покупка!AJ$25:AJ$327,Покупка!$F$25:$F$327,$F525,Покупка!$AC$25:$AC$327,$G525)</f>
        <v>0</v>
      </c>
      <c r="AL525" s="1125">
        <f>_xlfn.SUMIFS(Покупка!AK$25:AK$327,Покупка!$F$25:$F$327,$F525,Покупка!$AC$25:$AC$327,$G525)</f>
        <v>0</v>
      </c>
      <c r="AM525" s="1125">
        <f>_xlfn.SUMIFS(Покупка!AL$25:AL$327,Покупка!$F$25:$F$327,$F525,Покупка!$AC$25:$AC$327,$G525)</f>
        <v>0</v>
      </c>
      <c r="AN525" s="1125">
        <f>_xlfn.SUMIFS(Покупка!AM$25:AM$327,Покупка!$F$25:$F$327,$F525,Покупка!$AC$25:$AC$327,$G525)</f>
        <v>0</v>
      </c>
      <c r="AO525" s="1125">
        <f>_xlfn.SUMIFS(Покупка!AN$25:AN$327,Покупка!$F$25:$F$327,$F525,Покупка!$AC$25:$AC$327,$G525)</f>
        <v>0</v>
      </c>
      <c r="AP525" s="1125">
        <f>_xlfn.SUMIFS(Покупка!AO$25:AO$327,Покупка!$F$25:$F$327,$F525,Покупка!$AC$25:$AC$327,$G525)</f>
        <v>0</v>
      </c>
      <c r="AQ525" s="1125">
        <f>_xlfn.SUMIFS(Покупка!AP$25:AP$327,Покупка!$F$25:$F$327,$F525,Покупка!$AC$25:$AC$327,$G525)</f>
        <v>0</v>
      </c>
      <c r="AR525" s="1125">
        <f>_xlfn.SUMIFS(Покупка!AQ$25:AQ$327,Покупка!$F$25:$F$327,$F525,Покупка!$AC$25:$AC$327,$G525)</f>
        <v>0</v>
      </c>
      <c r="AS525" s="1125">
        <f>_xlfn.SUMIFS(Покупка!AR$25:AR$327,Покупка!$F$25:$F$327,$F525,Покупка!$AC$25:$AC$327,$G525)</f>
        <v>0</v>
      </c>
      <c r="AT525" s="1125">
        <f>_xlfn.SUMIFS(Покупка!AS$25:AS$327,Покупка!$F$25:$F$327,$F525,Покупка!$AC$25:$AC$327,$G525)</f>
        <v>0</v>
      </c>
      <c r="AU525" s="1125">
        <f>_xlfn.SUMIFS(Покупка!AT$25:AT$327,Покупка!$F$25:$F$327,$F525,Покупка!$AC$25:$AC$327,$G525)</f>
        <v>0</v>
      </c>
      <c r="AV525" s="1125">
        <f>_xlfn.SUMIFS(Покупка!AU$25:AU$327,Покупка!$F$25:$F$327,$F525,Покупка!$AC$25:$AC$327,$G525)</f>
        <v>0</v>
      </c>
      <c r="AW525" s="1125">
        <f>_xlfn.SUMIFS(Покупка!AV$25:AV$327,Покупка!$F$25:$F$327,$F525,Покупка!$AC$25:$AC$327,$G525)</f>
        <v>0</v>
      </c>
      <c r="AX525" s="1125">
        <f>_xlfn.SUMIFS(Покупка!AW$25:AW$327,Покупка!$F$25:$F$327,$F525,Покупка!$AC$25:$AC$327,$G525)</f>
        <v>0</v>
      </c>
      <c r="AY525" s="1125">
        <f>_xlfn.SUMIFS(Покупка!AX$25:AX$327,Покупка!$F$25:$F$327,$F525,Покупка!$AC$25:$AC$327,$G525)</f>
        <v>0</v>
      </c>
      <c r="AZ525" s="1125">
        <f>_xlfn.SUMIFS(Покупка!AY$25:AY$327,Покупка!$F$25:$F$327,$F525,Покупка!$AC$25:$AC$327,$G525)</f>
        <v>0</v>
      </c>
      <c r="BA525" s="1125">
        <f>_xlfn.SUMIFS(Покупка!AZ$25:AZ$327,Покупка!$F$25:$F$327,$F525,Покупка!$AC$25:$AC$327,$G525)</f>
        <v>0</v>
      </c>
      <c r="BB525" s="1125">
        <f>_xlfn.SUMIFS(Покупка!BA$25:BA$327,Покупка!$F$25:$F$327,$F525,Покупка!$AC$25:$AC$327,$G525)</f>
        <v>0</v>
      </c>
      <c r="BC525" s="1125">
        <f>_xlfn.SUMIFS(Покупка!BB$25:BB$327,Покупка!$F$25:$F$327,$F525,Покупка!$AC$25:$AC$327,$G525)</f>
        <v>0</v>
      </c>
      <c r="BD525" s="951">
        <f>IF(AI525=0,0,(AT525-AI525)/AI525*100)</f>
        <v>0</v>
      </c>
      <c r="BE525" s="951">
        <f>IF(AT525=0,0,(AU525-AT525)/AT525*100)</f>
        <v>0</v>
      </c>
      <c r="BF525" s="951">
        <f>IF(AU525=0,0,(AV525-AU525)/AU525*100)</f>
        <v>0</v>
      </c>
      <c r="BG525" s="951">
        <f>IF(AV525=0,0,(AW525-AV525)/AV525*100)</f>
        <v>0</v>
      </c>
      <c r="BH525" s="951">
        <f>IF(AW525=0,0,(AX525-AW525)/AW525*100)</f>
        <v>0</v>
      </c>
      <c r="BI525" s="951">
        <f>IF(AX525=0,0,(AY525-AX525)/AX525*100)</f>
        <v>0</v>
      </c>
      <c r="BJ525" s="951">
        <f>IF(AY525=0,0,(AZ525-AY525)/AY525*100)</f>
        <v>0</v>
      </c>
      <c r="BK525" s="951">
        <f>IF(AZ525=0,0,(BA525-AZ525)/AZ525*100)</f>
        <v>0</v>
      </c>
      <c r="BL525" s="951">
        <f>IF(BA525=0,0,(BB525-BA525)/BA525*100)</f>
        <v>0</v>
      </c>
      <c r="BM525" s="951">
        <f>IF(BB525=0,0,(BC525-BB525)/BB525*100)</f>
        <v>0</v>
      </c>
      <c r="BN525" s="6533"/>
      <c r="BO525" s="6525" t="str">
        <f>IF(_xlfn.IFERROR(INDEX(Покупка!$K$26:$L$327,MATCH($F525&amp;"9komm",Покупка!$K$26:$K$327,0),2),"")=0,"",_xlfn.IFERROR(INDEX(Покупка!$K$26:$L$327,MATCH($F525&amp;"9komm",Покупка!$K$26:$K$327,0),2),""))</f>
        <v/>
      </c>
      <c r="BP525" s="6533"/>
      <c r="BQ525" s="1252"/>
      <c r="BR525" s="1252"/>
      <c r="BS525" s="1072" t="s">
        <v>1322</v>
      </c>
      <c r="BT525" s="1072"/>
      <c r="BU525" s="1072"/>
      <c r="BV525" s="709"/>
      <c r="BW525" s="709"/>
    </row>
    <row s="1656" customFormat="1" customHeight="1" ht="14.25">
      <c r="A526" s="1297"/>
      <c r="B526" s="92"/>
      <c r="C526" s="103"/>
      <c r="D526" s="103"/>
      <c r="E526" s="626">
        <v>15</v>
      </c>
      <c r="F526" s="50" cm="1" t="str">
        <f t="array" ref="F526:F526">OFFSET(E526,-1,1)</f>
        <v>3</v>
      </c>
      <c r="G526" s="103"/>
      <c r="H526" s="103"/>
      <c r="I526" s="103" t="s">
        <v>587</v>
      </c>
      <c r="J526" s="103"/>
      <c r="K526" s="103" t="s">
        <v>587</v>
      </c>
      <c r="L526" s="988"/>
      <c r="M526" s="103"/>
      <c r="N526" s="103"/>
      <c r="O526" s="103"/>
      <c r="P526" s="103"/>
      <c r="Q526" s="103"/>
      <c r="R526" s="103"/>
      <c r="S526" s="103"/>
      <c r="T526" s="468" cm="1" t="str">
        <f t="array" ref="T526:T526">T525</f>
        <v>true</v>
      </c>
      <c r="U526" s="103"/>
      <c r="V526" s="103"/>
      <c r="W526" s="1297"/>
      <c r="X526" s="1539"/>
      <c r="Y526" s="1297"/>
      <c r="Z526" s="1529"/>
      <c r="AA526" s="1297"/>
      <c r="AB526" s="295" t="s">
        <v>664</v>
      </c>
      <c r="AC526" s="769" t="s">
        <v>2305</v>
      </c>
      <c r="AD526" s="786" t="s">
        <v>936</v>
      </c>
      <c r="AE526" s="255">
        <f>_xlfn.SUMIFS('Сырье и материалы'!AE$25:AE$111,'Сырье и материалы'!$F$25:$F$111,$F526,'Сырье и материалы'!$I$25:$I$111,"Реагенты")</f>
        <v>0</v>
      </c>
      <c r="AF526" s="255">
        <f>_xlfn.SUMIFS('Сырье и материалы'!AF$25:AF$111,'Сырье и материалы'!$F$25:$F$111,$F526,'Сырье и материалы'!$I$25:$I$111,"Реагенты")</f>
        <v>0</v>
      </c>
      <c r="AG526" s="255">
        <f>_xlfn.SUMIFS('Сырье и материалы'!AG$25:AG$111,'Сырье и материалы'!$F$25:$F$111,$F526,'Сырье и материалы'!$I$25:$I$111,"Реагенты")</f>
        <v>0</v>
      </c>
      <c r="AH526" s="951">
        <f>AG526-AF526</f>
        <v>0</v>
      </c>
      <c r="AI526" s="951">
        <f>_xlfn.SUMIFS('Сырье и материалы'!AH$25:AH$111,'Сырье и материалы'!$F$25:$F$111,$F526,'Сырье и материалы'!$I$25:$I$111,"Реагенты")</f>
        <v>0</v>
      </c>
      <c r="AJ526" s="951">
        <f>_xlfn.SUMIFS('Сырье и материалы'!AI$25:AI$111,'Сырье и материалы'!$F$25:$F$111,$F526,'Сырье и материалы'!$I$25:$I$111,"Реагенты")</f>
        <v>0</v>
      </c>
      <c r="AK526" s="951">
        <f>_xlfn.SUMIFS('Сырье и материалы'!AJ$25:AJ$111,'Сырье и материалы'!$F$25:$F$111,$F526,'Сырье и материалы'!$I$25:$I$111,"Реагенты")</f>
        <v>0</v>
      </c>
      <c r="AL526" s="951">
        <f>_xlfn.SUMIFS('Сырье и материалы'!AK$25:AK$111,'Сырье и материалы'!$F$25:$F$111,$F526,'Сырье и материалы'!$I$25:$I$111,"Реагенты")</f>
        <v>0</v>
      </c>
      <c r="AM526" s="951">
        <f>_xlfn.SUMIFS('Сырье и материалы'!AL$25:AL$111,'Сырье и материалы'!$F$25:$F$111,$F526,'Сырье и материалы'!$I$25:$I$111,"Реагенты")</f>
        <v>0</v>
      </c>
      <c r="AN526" s="951">
        <f>_xlfn.SUMIFS('Сырье и материалы'!AM$25:AM$111,'Сырье и материалы'!$F$25:$F$111,$F526,'Сырье и материалы'!$I$25:$I$111,"Реагенты")</f>
        <v>0</v>
      </c>
      <c r="AO526" s="951">
        <f>_xlfn.SUMIFS('Сырье и материалы'!AN$25:AN$111,'Сырье и материалы'!$F$25:$F$111,$F526,'Сырье и материалы'!$I$25:$I$111,"Реагенты")</f>
        <v>0</v>
      </c>
      <c r="AP526" s="951">
        <f>_xlfn.SUMIFS('Сырье и материалы'!AO$25:AO$111,'Сырье и материалы'!$F$25:$F$111,$F526,'Сырье и материалы'!$I$25:$I$111,"Реагенты")</f>
        <v>0</v>
      </c>
      <c r="AQ526" s="951">
        <f>_xlfn.SUMIFS('Сырье и материалы'!AP$25:AP$111,'Сырье и материалы'!$F$25:$F$111,$F526,'Сырье и материалы'!$I$25:$I$111,"Реагенты")</f>
        <v>0</v>
      </c>
      <c r="AR526" s="951">
        <f>_xlfn.SUMIFS('Сырье и материалы'!AQ$25:AQ$111,'Сырье и материалы'!$F$25:$F$111,$F526,'Сырье и материалы'!$I$25:$I$111,"Реагенты")</f>
        <v>0</v>
      </c>
      <c r="AS526" s="951">
        <f>_xlfn.SUMIFS('Сырье и материалы'!AR$25:AR$111,'Сырье и материалы'!$F$25:$F$111,$F526,'Сырье и материалы'!$I$25:$I$111,"Реагенты")</f>
        <v>0</v>
      </c>
      <c r="AT526" s="951">
        <f>_xlfn.SUMIFS('Сырье и материалы'!AS$25:AS$111,'Сырье и материалы'!$F$25:$F$111,$F526,'Сырье и материалы'!$I$25:$I$111,"Реагенты")</f>
        <v>0</v>
      </c>
      <c r="AU526" s="951">
        <f>_xlfn.SUMIFS('Сырье и материалы'!AT$25:AT$111,'Сырье и материалы'!$F$25:$F$111,$F526,'Сырье и материалы'!$I$25:$I$111,"Реагенты")</f>
        <v>0</v>
      </c>
      <c r="AV526" s="951">
        <f>_xlfn.SUMIFS('Сырье и материалы'!AU$25:AU$111,'Сырье и материалы'!$F$25:$F$111,$F526,'Сырье и материалы'!$I$25:$I$111,"Реагенты")</f>
        <v>0</v>
      </c>
      <c r="AW526" s="951">
        <f>_xlfn.SUMIFS('Сырье и материалы'!AV$25:AV$111,'Сырье и материалы'!$F$25:$F$111,$F526,'Сырье и материалы'!$I$25:$I$111,"Реагенты")</f>
        <v>0</v>
      </c>
      <c r="AX526" s="951">
        <f>_xlfn.SUMIFS('Сырье и материалы'!AW$25:AW$111,'Сырье и материалы'!$F$25:$F$111,$F526,'Сырье и материалы'!$I$25:$I$111,"Реагенты")</f>
        <v>0</v>
      </c>
      <c r="AY526" s="951">
        <f>_xlfn.SUMIFS('Сырье и материалы'!AX$25:AX$111,'Сырье и материалы'!$F$25:$F$111,$F526,'Сырье и материалы'!$I$25:$I$111,"Реагенты")</f>
        <v>0</v>
      </c>
      <c r="AZ526" s="951">
        <f>_xlfn.SUMIFS('Сырье и материалы'!AY$25:AY$111,'Сырье и материалы'!$F$25:$F$111,$F526,'Сырье и материалы'!$I$25:$I$111,"Реагенты")</f>
        <v>0</v>
      </c>
      <c r="BA526" s="951">
        <f>_xlfn.SUMIFS('Сырье и материалы'!AZ$25:AZ$111,'Сырье и материалы'!$F$25:$F$111,$F526,'Сырье и материалы'!$I$25:$I$111,"Реагенты")</f>
        <v>0</v>
      </c>
      <c r="BB526" s="951">
        <f>_xlfn.SUMIFS('Сырье и материалы'!BA$25:BA$111,'Сырье и материалы'!$F$25:$F$111,$F526,'Сырье и материалы'!$I$25:$I$111,"Реагенты")</f>
        <v>0</v>
      </c>
      <c r="BC526" s="951">
        <f>_xlfn.SUMIFS('Сырье и материалы'!BB$25:BB$111,'Сырье и материалы'!$F$25:$F$111,$F526,'Сырье и материалы'!$I$25:$I$111,"Реагенты")</f>
        <v>0</v>
      </c>
      <c r="BD526" s="951">
        <f>IF(AI526=0,0,(AT526-AI526)/AI526*100)</f>
        <v>0</v>
      </c>
      <c r="BE526" s="951">
        <f>IF(AT526=0,0,(AU526-AT526)/AT526*100)</f>
        <v>0</v>
      </c>
      <c r="BF526" s="951">
        <f>IF(AU526=0,0,(AV526-AU526)/AU526*100)</f>
        <v>0</v>
      </c>
      <c r="BG526" s="951">
        <f>IF(AV526=0,0,(AW526-AV526)/AV526*100)</f>
        <v>0</v>
      </c>
      <c r="BH526" s="951">
        <f>IF(AW526=0,0,(AX526-AW526)/AW526*100)</f>
        <v>0</v>
      </c>
      <c r="BI526" s="951">
        <f>IF(AX526=0,0,(AY526-AX526)/AX526*100)</f>
        <v>0</v>
      </c>
      <c r="BJ526" s="951">
        <f>IF(AY526=0,0,(AZ526-AY526)/AY526*100)</f>
        <v>0</v>
      </c>
      <c r="BK526" s="951">
        <f>IF(AZ526=0,0,(BA526-AZ526)/AZ526*100)</f>
        <v>0</v>
      </c>
      <c r="BL526" s="951">
        <f>IF(BA526=0,0,(BB526-BA526)/BA526*100)</f>
        <v>0</v>
      </c>
      <c r="BM526" s="951">
        <f>IF(BB526=0,0,(BC526-BB526)/BB526*100)</f>
        <v>0</v>
      </c>
      <c r="BN526" s="6533"/>
      <c r="BO526" s="6525" t="str">
        <f>IF(_xlfn.IFERROR(INDEX('Сырье и материалы'!$K$26:$L$111,MATCH($F526&amp;"komm",'Сырье и материалы'!$K$26:$K$111,0),2),"")=0,"",_xlfn.IFERROR(INDEX('Сырье и материалы'!$K$26:$L$111,MATCH($F526&amp;"komm",'Сырье и материалы'!$K$26:$K$111,0),2),""))</f>
        <v/>
      </c>
      <c r="BP526" s="6533"/>
      <c r="BQ526" s="1297"/>
      <c r="BR526" s="1297"/>
      <c r="BS526" s="1072" t="s">
        <v>1976</v>
      </c>
      <c r="BT526" s="1072"/>
      <c r="BU526" s="1072"/>
      <c r="BV526" s="987"/>
      <c r="BW526" s="987"/>
    </row>
    <row s="6700" customFormat="1" customHeight="1" ht="72.82366071428572">
      <c r="A527" s="706"/>
      <c r="B527" s="107"/>
      <c r="C527" s="105"/>
      <c r="D527" s="105"/>
      <c r="E527" s="833">
        <v>21</v>
      </c>
      <c r="F527" s="50" cm="1" t="str">
        <f t="array" ref="F527:F527">OFFSET(E527,-1,1)</f>
        <v>3</v>
      </c>
      <c r="G527" s="105"/>
      <c r="H527" s="103"/>
      <c r="I527" s="103" t="s">
        <v>1087</v>
      </c>
      <c r="J527" s="105"/>
      <c r="K527" s="103" t="s">
        <v>1087</v>
      </c>
      <c r="L527" s="993" t="s">
        <v>619</v>
      </c>
      <c r="M527" s="105"/>
      <c r="N527" s="105"/>
      <c r="O527" s="105"/>
      <c r="P527" s="105"/>
      <c r="Q527" s="105"/>
      <c r="R527" s="105"/>
      <c r="S527" s="105"/>
      <c r="T527" s="468" cm="1" t="str">
        <f t="array" ref="T527:T527">T526</f>
        <v>true</v>
      </c>
      <c r="U527" s="105"/>
      <c r="V527" s="105"/>
      <c r="W527" s="706"/>
      <c r="X527" s="1539"/>
      <c r="Y527" s="706"/>
      <c r="Z527" s="1529"/>
      <c r="AA527" s="706"/>
      <c r="AB527" s="214" t="s">
        <v>668</v>
      </c>
      <c r="AC527" s="357" t="s">
        <v>2306</v>
      </c>
      <c r="AD527" s="207" t="s">
        <v>936</v>
      </c>
      <c r="AE527" s="785">
        <f>SUM(AE528:AE537)</f>
        <v>1248.91894</v>
      </c>
      <c r="AF527" s="785">
        <f>SUM(AF528:AF537)</f>
        <v>905.47</v>
      </c>
      <c r="AG527" s="785">
        <f>SUM(AG528:AG537)</f>
        <v>905.47</v>
      </c>
      <c r="AH527" s="768">
        <f>AG527-AF527</f>
        <v>0</v>
      </c>
      <c r="AI527" s="768">
        <f>SUM(AI528:AI537)</f>
        <v>999.05</v>
      </c>
      <c r="AJ527" s="777">
        <f>SUM(AJ528:AJ537)</f>
        <v>8905.51</v>
      </c>
      <c r="AK527" s="768">
        <f>SUM(AK528:AK537)</f>
        <v>0</v>
      </c>
      <c r="AL527" s="768">
        <f>SUM(AL528:AL537)</f>
        <v>0</v>
      </c>
      <c r="AM527" s="768">
        <f>SUM(AM528:AM537)</f>
        <v>0</v>
      </c>
      <c r="AN527" s="768">
        <f>SUM(AN528:AN537)</f>
        <v>0</v>
      </c>
      <c r="AO527" s="768">
        <f>SUM(AO528:AO537)</f>
        <v>0</v>
      </c>
      <c r="AP527" s="768">
        <f>SUM(AP528:AP537)</f>
        <v>0</v>
      </c>
      <c r="AQ527" s="768">
        <f>SUM(AQ528:AQ537)</f>
        <v>0</v>
      </c>
      <c r="AR527" s="768">
        <f>SUM(AR528:AR537)</f>
        <v>0</v>
      </c>
      <c r="AS527" s="768">
        <f>SUM(AS528:AS537)</f>
        <v>0</v>
      </c>
      <c r="AT527" s="777">
        <f>SUM(AT528:AT537)</f>
        <v>8881.64</v>
      </c>
      <c r="AU527" s="768">
        <f>SUM(AU528:AU537)</f>
        <v>0</v>
      </c>
      <c r="AV527" s="768">
        <f>SUM(AV528:AV537)</f>
        <v>0</v>
      </c>
      <c r="AW527" s="768">
        <f>SUM(AW528:AW537)</f>
        <v>0</v>
      </c>
      <c r="AX527" s="768">
        <f>SUM(AX528:AX537)</f>
        <v>0</v>
      </c>
      <c r="AY527" s="768">
        <f>SUM(AY528:AY537)</f>
        <v>0</v>
      </c>
      <c r="AZ527" s="768">
        <f>SUM(AZ528:AZ537)</f>
        <v>0</v>
      </c>
      <c r="BA527" s="768">
        <f>SUM(BA528:BA537)</f>
        <v>0</v>
      </c>
      <c r="BB527" s="768">
        <f>SUM(BB528:BB537)</f>
        <v>0</v>
      </c>
      <c r="BC527" s="768">
        <f>SUM(BC528:BC537)</f>
        <v>0</v>
      </c>
      <c r="BD527" s="768">
        <f>IF(AI527=0,0,(AT527-AI527)/AI527*100)</f>
        <v>789.008558130224</v>
      </c>
      <c r="BE527" s="768">
        <f>IF(AT527=0,0,(AU527-AT527)/AT527*100)</f>
        <v>-100</v>
      </c>
      <c r="BF527" s="768">
        <f>IF(AU527=0,0,(AV527-AU527)/AU527*100)</f>
        <v>0</v>
      </c>
      <c r="BG527" s="768">
        <f>IF(AV527=0,0,(AW527-AV527)/AV527*100)</f>
        <v>0</v>
      </c>
      <c r="BH527" s="768">
        <f>IF(AW527=0,0,(AX527-AW527)/AW527*100)</f>
        <v>0</v>
      </c>
      <c r="BI527" s="768">
        <f>IF(AX527=0,0,(AY527-AX527)/AX527*100)</f>
        <v>0</v>
      </c>
      <c r="BJ527" s="768">
        <f>IF(AY527=0,0,(AZ527-AY527)/AY527*100)</f>
        <v>0</v>
      </c>
      <c r="BK527" s="768">
        <f>IF(AZ527=0,0,(BA527-AZ527)/AZ527*100)</f>
        <v>0</v>
      </c>
      <c r="BL527" s="768">
        <f>IF(BA527=0,0,(BB527-BA527)/BA527*100)</f>
        <v>0</v>
      </c>
      <c r="BM527" s="768">
        <f>IF(BB527=0,0,(BC527-BB527)/BB527*100)</f>
        <v>0</v>
      </c>
      <c r="BN527" s="6292"/>
      <c r="BO527" s="6525" t="str">
        <f>IF(_xlfn.IFERROR(INDEX(Налоги!$K$26:$L$83,MATCH($F527&amp;"komm",Налоги!$K$26:$K$83,0),2),"")=0,"",_xlfn.IFERROR(INDEX(Налоги!$K$26:$L$83,MATCH($F527&amp;"komm",Налоги!$K$26:$K$83,0),2),""))</f>
        <v>П. 49 (2) Методических указаний ФСТ России от 27.12.2013 № 1746-э.</v>
      </c>
      <c r="BP527" s="6292" t="s">
        <v>2596</v>
      </c>
      <c r="BQ527" s="706"/>
      <c r="BR527" s="706"/>
      <c r="BS527" s="1078" t="s">
        <v>1464</v>
      </c>
      <c r="BT527" s="1078"/>
      <c r="BU527" s="1078"/>
      <c r="BV527" s="713"/>
      <c r="BW527" s="713"/>
    </row>
    <row s="1656" customFormat="1" customHeight="1" ht="55.68080357142858">
      <c r="A528" s="1297"/>
      <c r="B528" s="92"/>
      <c r="C528" s="103"/>
      <c r="D528" s="103"/>
      <c r="E528" s="626">
        <v>15</v>
      </c>
      <c r="F528" s="50" cm="1" t="str">
        <f t="array" ref="F528:F528">OFFSET(E528,-1,1)</f>
        <v>3</v>
      </c>
      <c r="G528" s="929">
        <v>7</v>
      </c>
      <c r="H528" s="103"/>
      <c r="I528" s="103" t="s">
        <v>2307</v>
      </c>
      <c r="J528" s="103"/>
      <c r="K528" s="103" t="s">
        <v>2307</v>
      </c>
      <c r="L528" s="988"/>
      <c r="M528" s="103"/>
      <c r="N528" s="103"/>
      <c r="O528" s="103"/>
      <c r="P528" s="103"/>
      <c r="Q528" s="103"/>
      <c r="R528" s="103"/>
      <c r="S528" s="103"/>
      <c r="T528" s="468" cm="1" t="str">
        <f t="array" ref="T528:T528">T527</f>
        <v>true</v>
      </c>
      <c r="U528" s="103"/>
      <c r="V528" s="103"/>
      <c r="W528" s="1297"/>
      <c r="X528" s="1539"/>
      <c r="Y528" s="1297"/>
      <c r="Z528" s="1529"/>
      <c r="AA528" s="1297"/>
      <c r="AB528" s="295" t="s">
        <v>603</v>
      </c>
      <c r="AC528" s="772" t="s">
        <v>1478</v>
      </c>
      <c r="AD528" s="296" t="s">
        <v>936</v>
      </c>
      <c r="AE528" s="255">
        <f>_xlfn.SUMIFS(Налоги!AE$25:AE$83,Налоги!$F$25:$F$83,$F528,Налоги!$AB$25:$AB$83,$G528)</f>
        <v>0</v>
      </c>
      <c r="AF528" s="255">
        <f>_xlfn.SUMIFS(Налоги!AF$25:AF$83,Налоги!$F$25:$F$83,$F528,Налоги!$AB$25:$AB$83,$G528)</f>
        <v>0</v>
      </c>
      <c r="AG528" s="255">
        <f>_xlfn.SUMIFS(Налоги!AG$25:AG$83,Налоги!$F$25:$F$83,$F528,Налоги!$AB$25:$AB$83,$G528)</f>
        <v>0</v>
      </c>
      <c r="AH528" s="951">
        <f>AG528-AF528</f>
        <v>0</v>
      </c>
      <c r="AI528" s="951">
        <f>_xlfn.SUMIFS(Налоги!AH$25:AH$83,Налоги!$F$25:$F$83,$F528,Налоги!$AB$25:$AB$83,$G528)</f>
        <v>0</v>
      </c>
      <c r="AJ528" s="951">
        <f>_xlfn.SUMIFS(Налоги!AI$25:AI$83,Налоги!$F$25:$F$83,$F528,Налоги!$AB$25:$AB$83,$G528)</f>
        <v>0</v>
      </c>
      <c r="AK528" s="951">
        <f>_xlfn.SUMIFS(Налоги!AJ$25:AJ$83,Налоги!$F$25:$F$83,$F528,Налоги!$AB$25:$AB$83,$G528)</f>
        <v>0</v>
      </c>
      <c r="AL528" s="951">
        <f>_xlfn.SUMIFS(Налоги!AK$25:AK$83,Налоги!$F$25:$F$83,$F528,Налоги!$AB$25:$AB$83,$G528)</f>
        <v>0</v>
      </c>
      <c r="AM528" s="951">
        <f>_xlfn.SUMIFS(Налоги!AL$25:AL$83,Налоги!$F$25:$F$83,$F528,Налоги!$AB$25:$AB$83,$G528)</f>
        <v>0</v>
      </c>
      <c r="AN528" s="951">
        <f>_xlfn.SUMIFS(Налоги!AM$25:AM$83,Налоги!$F$25:$F$83,$F528,Налоги!$AB$25:$AB$83,$G528)</f>
        <v>0</v>
      </c>
      <c r="AO528" s="951">
        <f>_xlfn.SUMIFS(Налоги!AN$25:AN$83,Налоги!$F$25:$F$83,$F528,Налоги!$AB$25:$AB$83,$G528)</f>
        <v>0</v>
      </c>
      <c r="AP528" s="951">
        <f>_xlfn.SUMIFS(Налоги!AO$25:AO$83,Налоги!$F$25:$F$83,$F528,Налоги!$AB$25:$AB$83,$G528)</f>
        <v>0</v>
      </c>
      <c r="AQ528" s="951">
        <f>_xlfn.SUMIFS(Налоги!AP$25:AP$83,Налоги!$F$25:$F$83,$F528,Налоги!$AB$25:$AB$83,$G528)</f>
        <v>0</v>
      </c>
      <c r="AR528" s="951">
        <f>_xlfn.SUMIFS(Налоги!AQ$25:AQ$83,Налоги!$F$25:$F$83,$F528,Налоги!$AB$25:$AB$83,$G528)</f>
        <v>0</v>
      </c>
      <c r="AS528" s="951">
        <f>_xlfn.SUMIFS(Налоги!AR$25:AR$83,Налоги!$F$25:$F$83,$F528,Налоги!$AB$25:$AB$83,$G528)</f>
        <v>0</v>
      </c>
      <c r="AT528" s="951">
        <f>_xlfn.SUMIFS(Налоги!AS$25:AS$83,Налоги!$F$25:$F$83,$F528,Налоги!$AB$25:$AB$83,$G528)</f>
        <v>0</v>
      </c>
      <c r="AU528" s="951">
        <f>_xlfn.SUMIFS(Налоги!AT$25:AT$83,Налоги!$F$25:$F$83,$F528,Налоги!$AB$25:$AB$83,$G528)</f>
        <v>0</v>
      </c>
      <c r="AV528" s="951">
        <f>_xlfn.SUMIFS(Налоги!AU$25:AU$83,Налоги!$F$25:$F$83,$F528,Налоги!$AB$25:$AB$83,$G528)</f>
        <v>0</v>
      </c>
      <c r="AW528" s="951">
        <f>_xlfn.SUMIFS(Налоги!AV$25:AV$83,Налоги!$F$25:$F$83,$F528,Налоги!$AB$25:$AB$83,$G528)</f>
        <v>0</v>
      </c>
      <c r="AX528" s="951">
        <f>_xlfn.SUMIFS(Налоги!AW$25:AW$83,Налоги!$F$25:$F$83,$F528,Налоги!$AB$25:$AB$83,$G528)</f>
        <v>0</v>
      </c>
      <c r="AY528" s="951">
        <f>_xlfn.SUMIFS(Налоги!AX$25:AX$83,Налоги!$F$25:$F$83,$F528,Налоги!$AB$25:$AB$83,$G528)</f>
        <v>0</v>
      </c>
      <c r="AZ528" s="951">
        <f>_xlfn.SUMIFS(Налоги!AY$25:AY$83,Налоги!$F$25:$F$83,$F528,Налоги!$AB$25:$AB$83,$G528)</f>
        <v>0</v>
      </c>
      <c r="BA528" s="951">
        <f>_xlfn.SUMIFS(Налоги!AZ$25:AZ$83,Налоги!$F$25:$F$83,$F528,Налоги!$AB$25:$AB$83,$G528)</f>
        <v>0</v>
      </c>
      <c r="BB528" s="951">
        <f>_xlfn.SUMIFS(Налоги!BA$25:BA$83,Налоги!$F$25:$F$83,$F528,Налоги!$AB$25:$AB$83,$G528)</f>
        <v>0</v>
      </c>
      <c r="BC528" s="951">
        <f>_xlfn.SUMIFS(Налоги!BB$25:BB$83,Налоги!$F$25:$F$83,$F528,Налоги!$AB$25:$AB$83,$G528)</f>
        <v>0</v>
      </c>
      <c r="BD528" s="951">
        <f>IF(AI528=0,0,(AT528-AI528)/AI528*100)</f>
        <v>0</v>
      </c>
      <c r="BE528" s="951">
        <f>IF(AT528=0,0,(AU528-AT528)/AT528*100)</f>
        <v>0</v>
      </c>
      <c r="BF528" s="951">
        <f>IF(AU528=0,0,(AV528-AU528)/AU528*100)</f>
        <v>0</v>
      </c>
      <c r="BG528" s="951">
        <f>IF(AV528=0,0,(AW528-AV528)/AV528*100)</f>
        <v>0</v>
      </c>
      <c r="BH528" s="951">
        <f>IF(AW528=0,0,(AX528-AW528)/AW528*100)</f>
        <v>0</v>
      </c>
      <c r="BI528" s="951">
        <f>IF(AX528=0,0,(AY528-AX528)/AX528*100)</f>
        <v>0</v>
      </c>
      <c r="BJ528" s="951">
        <f>IF(AY528=0,0,(AZ528-AY528)/AY528*100)</f>
        <v>0</v>
      </c>
      <c r="BK528" s="951">
        <f>IF(AZ528=0,0,(BA528-AZ528)/AZ528*100)</f>
        <v>0</v>
      </c>
      <c r="BL528" s="951">
        <f>IF(BA528=0,0,(BB528-BA528)/BA528*100)</f>
        <v>0</v>
      </c>
      <c r="BM528" s="951">
        <f>IF(BB528=0,0,(BC528-BB528)/BB528*100)</f>
        <v>0</v>
      </c>
      <c r="BN528" s="6532" t="s">
        <v>2487</v>
      </c>
      <c r="BO528" s="6525" t="str">
        <f>IF(_xlfn.IFERROR(INDEX(Налоги!$K$26:$L$83,MATCH($F528&amp;"7komm",Налоги!$K$26:$K$83,0),2),"")=0,"",_xlfn.IFERROR(INDEX(Налоги!$K$26:$L$83,MATCH($F528&amp;"7komm",Налоги!$K$26:$K$83,0),2),""))</f>
        <v>Глава 25 "НАЛОГ НА ПРИБЫЛЬ ОРГАНИЗАЦИЙ" "Налогового кодекса Российской Федерации (часть вторая)" от 05.08.2000 N 117-ФЗ.</v>
      </c>
      <c r="BP528" s="6533"/>
      <c r="BQ528" s="1297"/>
      <c r="BR528" s="1297"/>
      <c r="BS528" s="1072" t="s">
        <v>2308</v>
      </c>
      <c r="BT528" s="1072"/>
      <c r="BU528" s="1072"/>
      <c r="BV528" s="987"/>
      <c r="BW528" s="987"/>
    </row>
    <row s="1656" customFormat="1" customHeight="1" ht="140.46875">
      <c r="A529" s="1297"/>
      <c r="B529" s="92"/>
      <c r="C529" s="103"/>
      <c r="D529" s="103"/>
      <c r="E529" s="626">
        <v>15</v>
      </c>
      <c r="F529" s="50" cm="1" t="str">
        <f t="array" ref="F529:F529">OFFSET(E529,-1,1)</f>
        <v>3</v>
      </c>
      <c r="G529" s="929">
        <v>6</v>
      </c>
      <c r="H529" s="103"/>
      <c r="I529" s="103" t="s">
        <v>2309</v>
      </c>
      <c r="J529" s="103"/>
      <c r="K529" s="103" t="s">
        <v>2309</v>
      </c>
      <c r="L529" s="988"/>
      <c r="M529" s="103"/>
      <c r="N529" s="103"/>
      <c r="O529" s="103"/>
      <c r="P529" s="103"/>
      <c r="Q529" s="103"/>
      <c r="R529" s="103"/>
      <c r="S529" s="103"/>
      <c r="T529" s="468" cm="1" t="str">
        <f t="array" ref="T529:T529">T528</f>
        <v>true</v>
      </c>
      <c r="U529" s="103"/>
      <c r="V529" s="103"/>
      <c r="W529" s="1297"/>
      <c r="X529" s="1539"/>
      <c r="Y529" s="1297"/>
      <c r="Z529" s="1529"/>
      <c r="AA529" s="1297"/>
      <c r="AB529" s="295" t="s">
        <v>1717</v>
      </c>
      <c r="AC529" s="772" t="s">
        <v>2310</v>
      </c>
      <c r="AD529" s="296" t="s">
        <v>936</v>
      </c>
      <c r="AE529" s="255">
        <f>_xlfn.SUMIFS(Налоги!AE$25:AE$83,Налоги!$F$25:$F$83,$F529,Налоги!$AB$25:$AB$83,$G529)</f>
        <v>1229.67894</v>
      </c>
      <c r="AF529" s="255">
        <f>_xlfn.SUMIFS(Налоги!AF$25:AF$83,Налоги!$F$25:$F$83,$F529,Налоги!$AB$25:$AB$83,$G529)</f>
        <v>585.29</v>
      </c>
      <c r="AG529" s="255">
        <f>_xlfn.SUMIFS(Налоги!AG$25:AG$83,Налоги!$F$25:$F$83,$F529,Налоги!$AB$25:$AB$83,$G529)</f>
        <v>585.29</v>
      </c>
      <c r="AH529" s="951">
        <f>AG529-AF529</f>
        <v>0</v>
      </c>
      <c r="AI529" s="951">
        <f>_xlfn.SUMIFS(Налоги!AH$25:AH$83,Налоги!$F$25:$F$83,$F529,Налоги!$AB$25:$AB$83,$G529)</f>
        <v>976.88</v>
      </c>
      <c r="AJ529" s="951">
        <f>_xlfn.SUMIFS(Налоги!AI$25:AI$83,Налоги!$F$25:$F$83,$F529,Налоги!$AB$25:$AB$83,$G529)</f>
        <v>642.5</v>
      </c>
      <c r="AK529" s="951">
        <f>_xlfn.SUMIFS(Налоги!AJ$25:AJ$83,Налоги!$F$25:$F$83,$F529,Налоги!$AB$25:$AB$83,$G529)</f>
        <v>0</v>
      </c>
      <c r="AL529" s="951">
        <f>_xlfn.SUMIFS(Налоги!AK$25:AK$83,Налоги!$F$25:$F$83,$F529,Налоги!$AB$25:$AB$83,$G529)</f>
        <v>0</v>
      </c>
      <c r="AM529" s="951">
        <f>_xlfn.SUMIFS(Налоги!AL$25:AL$83,Налоги!$F$25:$F$83,$F529,Налоги!$AB$25:$AB$83,$G529)</f>
        <v>0</v>
      </c>
      <c r="AN529" s="951">
        <f>_xlfn.SUMIFS(Налоги!AM$25:AM$83,Налоги!$F$25:$F$83,$F529,Налоги!$AB$25:$AB$83,$G529)</f>
        <v>0</v>
      </c>
      <c r="AO529" s="951">
        <f>_xlfn.SUMIFS(Налоги!AN$25:AN$83,Налоги!$F$25:$F$83,$F529,Налоги!$AB$25:$AB$83,$G529)</f>
        <v>0</v>
      </c>
      <c r="AP529" s="951">
        <f>_xlfn.SUMIFS(Налоги!AO$25:AO$83,Налоги!$F$25:$F$83,$F529,Налоги!$AB$25:$AB$83,$G529)</f>
        <v>0</v>
      </c>
      <c r="AQ529" s="951">
        <f>_xlfn.SUMIFS(Налоги!AP$25:AP$83,Налоги!$F$25:$F$83,$F529,Налоги!$AB$25:$AB$83,$G529)</f>
        <v>0</v>
      </c>
      <c r="AR529" s="951">
        <f>_xlfn.SUMIFS(Налоги!AQ$25:AQ$83,Налоги!$F$25:$F$83,$F529,Налоги!$AB$25:$AB$83,$G529)</f>
        <v>0</v>
      </c>
      <c r="AS529" s="951">
        <f>_xlfn.SUMIFS(Налоги!AR$25:AR$83,Налоги!$F$25:$F$83,$F529,Налоги!$AB$25:$AB$83,$G529)</f>
        <v>0</v>
      </c>
      <c r="AT529" s="951">
        <f>_xlfn.SUMIFS(Налоги!AS$25:AS$83,Налоги!$F$25:$F$83,$F529,Налоги!$AB$25:$AB$83,$G529)</f>
        <v>618.63</v>
      </c>
      <c r="AU529" s="951">
        <f>_xlfn.SUMIFS(Налоги!AT$25:AT$83,Налоги!$F$25:$F$83,$F529,Налоги!$AB$25:$AB$83,$G529)</f>
        <v>0</v>
      </c>
      <c r="AV529" s="951">
        <f>_xlfn.SUMIFS(Налоги!AU$25:AU$83,Налоги!$F$25:$F$83,$F529,Налоги!$AB$25:$AB$83,$G529)</f>
        <v>0</v>
      </c>
      <c r="AW529" s="951">
        <f>_xlfn.SUMIFS(Налоги!AV$25:AV$83,Налоги!$F$25:$F$83,$F529,Налоги!$AB$25:$AB$83,$G529)</f>
        <v>0</v>
      </c>
      <c r="AX529" s="951">
        <f>_xlfn.SUMIFS(Налоги!AW$25:AW$83,Налоги!$F$25:$F$83,$F529,Налоги!$AB$25:$AB$83,$G529)</f>
        <v>0</v>
      </c>
      <c r="AY529" s="951">
        <f>_xlfn.SUMIFS(Налоги!AX$25:AX$83,Налоги!$F$25:$F$83,$F529,Налоги!$AB$25:$AB$83,$G529)</f>
        <v>0</v>
      </c>
      <c r="AZ529" s="951">
        <f>_xlfn.SUMIFS(Налоги!AY$25:AY$83,Налоги!$F$25:$F$83,$F529,Налоги!$AB$25:$AB$83,$G529)</f>
        <v>0</v>
      </c>
      <c r="BA529" s="951">
        <f>_xlfn.SUMIFS(Налоги!AZ$25:AZ$83,Налоги!$F$25:$F$83,$F529,Налоги!$AB$25:$AB$83,$G529)</f>
        <v>0</v>
      </c>
      <c r="BB529" s="951">
        <f>_xlfn.SUMIFS(Налоги!BA$25:BA$83,Налоги!$F$25:$F$83,$F529,Налоги!$AB$25:$AB$83,$G529)</f>
        <v>0</v>
      </c>
      <c r="BC529" s="951">
        <f>_xlfn.SUMIFS(Налоги!BB$25:BB$83,Налоги!$F$25:$F$83,$F529,Налоги!$AB$25:$AB$83,$G529)</f>
        <v>0</v>
      </c>
      <c r="BD529" s="951">
        <f>IF(AI529=0,0,(AT529-AI529)/AI529*100)</f>
        <v>-36.6728769142576</v>
      </c>
      <c r="BE529" s="951">
        <f>IF(AT529=0,0,(AU529-AT529)/AT529*100)</f>
        <v>-100</v>
      </c>
      <c r="BF529" s="951">
        <f>IF(AU529=0,0,(AV529-AU529)/AU529*100)</f>
        <v>0</v>
      </c>
      <c r="BG529" s="951">
        <f>IF(AV529=0,0,(AW529-AV529)/AV529*100)</f>
        <v>0</v>
      </c>
      <c r="BH529" s="951">
        <f>IF(AW529=0,0,(AX529-AW529)/AW529*100)</f>
        <v>0</v>
      </c>
      <c r="BI529" s="951">
        <f>IF(AX529=0,0,(AY529-AX529)/AX529*100)</f>
        <v>0</v>
      </c>
      <c r="BJ529" s="951">
        <f>IF(AY529=0,0,(AZ529-AY529)/AY529*100)</f>
        <v>0</v>
      </c>
      <c r="BK529" s="951">
        <f>IF(AZ529=0,0,(BA529-AZ529)/AZ529*100)</f>
        <v>0</v>
      </c>
      <c r="BL529" s="951">
        <f>IF(BA529=0,0,(BB529-BA529)/BA529*100)</f>
        <v>0</v>
      </c>
      <c r="BM529" s="951">
        <f>IF(BB529=0,0,(BC529-BB529)/BB529*100)</f>
        <v>0</v>
      </c>
      <c r="BN529" s="6533" t="s">
        <v>2555</v>
      </c>
      <c r="BO529" s="6525" t="s">
        <v>1494</v>
      </c>
      <c r="BP529" s="6533" t="s">
        <v>1822</v>
      </c>
      <c r="BQ529" s="1297"/>
      <c r="BR529" s="1297"/>
      <c r="BS529" s="1072" t="s">
        <v>2311</v>
      </c>
      <c r="BT529" s="1072"/>
      <c r="BU529" s="1072"/>
      <c r="BV529" s="987"/>
      <c r="BW529" s="987"/>
    </row>
    <row s="1656" customFormat="1" customHeight="1" ht="116.30208333333331">
      <c r="A530" s="1297"/>
      <c r="B530" s="92"/>
      <c r="C530" s="103"/>
      <c r="D530" s="103"/>
      <c r="E530" s="626">
        <v>15</v>
      </c>
      <c r="F530" s="50" cm="1" t="str">
        <f t="array" ref="F530:F530">OFFSET(E530,-1,1)</f>
        <v>3</v>
      </c>
      <c r="G530" s="929">
        <v>2</v>
      </c>
      <c r="H530" s="103"/>
      <c r="I530" s="103" t="s">
        <v>2312</v>
      </c>
      <c r="J530" s="103"/>
      <c r="K530" s="103" t="s">
        <v>2312</v>
      </c>
      <c r="L530" s="988"/>
      <c r="M530" s="103"/>
      <c r="N530" s="103"/>
      <c r="O530" s="103"/>
      <c r="P530" s="103"/>
      <c r="Q530" s="103"/>
      <c r="R530" s="103"/>
      <c r="S530" s="103"/>
      <c r="T530" s="468" cm="1" t="str">
        <f t="array" ref="T530:T530">T529</f>
        <v>true</v>
      </c>
      <c r="U530" s="103"/>
      <c r="V530" s="103"/>
      <c r="W530" s="1297"/>
      <c r="X530" s="1539"/>
      <c r="Y530" s="1297"/>
      <c r="Z530" s="1529"/>
      <c r="AA530" s="1297"/>
      <c r="AB530" s="295" t="s">
        <v>1722</v>
      </c>
      <c r="AC530" s="772" t="s">
        <v>2313</v>
      </c>
      <c r="AD530" s="296" t="s">
        <v>936</v>
      </c>
      <c r="AE530" s="255">
        <f>_xlfn.SUMIFS(Налоги!AE$25:AE$83,Налоги!$F$25:$F$83,$F530,Налоги!$AB$25:$AB$83,$G530)</f>
        <v>0.73</v>
      </c>
      <c r="AF530" s="255">
        <f>_xlfn.SUMIFS(Налоги!AF$25:AF$83,Налоги!$F$25:$F$83,$F530,Налоги!$AB$25:$AB$83,$G530)</f>
        <v>6.7</v>
      </c>
      <c r="AG530" s="255">
        <f>_xlfn.SUMIFS(Налоги!AG$25:AG$83,Налоги!$F$25:$F$83,$F530,Налоги!$AB$25:$AB$83,$G530)</f>
        <v>6.7</v>
      </c>
      <c r="AH530" s="951">
        <f>AG530-AF530</f>
        <v>0</v>
      </c>
      <c r="AI530" s="951">
        <f>_xlfn.SUMIFS(Налоги!AH$25:AH$83,Налоги!$F$25:$F$83,$F530,Налоги!$AB$25:$AB$83,$G530)</f>
        <v>1.22</v>
      </c>
      <c r="AJ530" s="951">
        <f>_xlfn.SUMIFS(Налоги!AI$25:AI$83,Налоги!$F$25:$F$83,$F530,Налоги!$AB$25:$AB$83,$G530)</f>
        <v>6.7</v>
      </c>
      <c r="AK530" s="951">
        <f>_xlfn.SUMIFS(Налоги!AJ$25:AJ$83,Налоги!$F$25:$F$83,$F530,Налоги!$AB$25:$AB$83,$G530)</f>
        <v>0</v>
      </c>
      <c r="AL530" s="951">
        <f>_xlfn.SUMIFS(Налоги!AK$25:AK$83,Налоги!$F$25:$F$83,$F530,Налоги!$AB$25:$AB$83,$G530)</f>
        <v>0</v>
      </c>
      <c r="AM530" s="951">
        <f>_xlfn.SUMIFS(Налоги!AL$25:AL$83,Налоги!$F$25:$F$83,$F530,Налоги!$AB$25:$AB$83,$G530)</f>
        <v>0</v>
      </c>
      <c r="AN530" s="951">
        <f>_xlfn.SUMIFS(Налоги!AM$25:AM$83,Налоги!$F$25:$F$83,$F530,Налоги!$AB$25:$AB$83,$G530)</f>
        <v>0</v>
      </c>
      <c r="AO530" s="951">
        <f>_xlfn.SUMIFS(Налоги!AN$25:AN$83,Налоги!$F$25:$F$83,$F530,Налоги!$AB$25:$AB$83,$G530)</f>
        <v>0</v>
      </c>
      <c r="AP530" s="951">
        <f>_xlfn.SUMIFS(Налоги!AO$25:AO$83,Налоги!$F$25:$F$83,$F530,Налоги!$AB$25:$AB$83,$G530)</f>
        <v>0</v>
      </c>
      <c r="AQ530" s="951">
        <f>_xlfn.SUMIFS(Налоги!AP$25:AP$83,Налоги!$F$25:$F$83,$F530,Налоги!$AB$25:$AB$83,$G530)</f>
        <v>0</v>
      </c>
      <c r="AR530" s="951">
        <f>_xlfn.SUMIFS(Налоги!AQ$25:AQ$83,Налоги!$F$25:$F$83,$F530,Налоги!$AB$25:$AB$83,$G530)</f>
        <v>0</v>
      </c>
      <c r="AS530" s="951">
        <f>_xlfn.SUMIFS(Налоги!AR$25:AR$83,Налоги!$F$25:$F$83,$F530,Налоги!$AB$25:$AB$83,$G530)</f>
        <v>0</v>
      </c>
      <c r="AT530" s="951">
        <f>_xlfn.SUMIFS(Налоги!AS$25:AS$83,Налоги!$F$25:$F$83,$F530,Налоги!$AB$25:$AB$83,$G530)</f>
        <v>6.7</v>
      </c>
      <c r="AU530" s="951">
        <f>_xlfn.SUMIFS(Налоги!AT$25:AT$83,Налоги!$F$25:$F$83,$F530,Налоги!$AB$25:$AB$83,$G530)</f>
        <v>0</v>
      </c>
      <c r="AV530" s="951">
        <f>_xlfn.SUMIFS(Налоги!AU$25:AU$83,Налоги!$F$25:$F$83,$F530,Налоги!$AB$25:$AB$83,$G530)</f>
        <v>0</v>
      </c>
      <c r="AW530" s="951">
        <f>_xlfn.SUMIFS(Налоги!AV$25:AV$83,Налоги!$F$25:$F$83,$F530,Налоги!$AB$25:$AB$83,$G530)</f>
        <v>0</v>
      </c>
      <c r="AX530" s="951">
        <f>_xlfn.SUMIFS(Налоги!AW$25:AW$83,Налоги!$F$25:$F$83,$F530,Налоги!$AB$25:$AB$83,$G530)</f>
        <v>0</v>
      </c>
      <c r="AY530" s="951">
        <f>_xlfn.SUMIFS(Налоги!AX$25:AX$83,Налоги!$F$25:$F$83,$F530,Налоги!$AB$25:$AB$83,$G530)</f>
        <v>0</v>
      </c>
      <c r="AZ530" s="951">
        <f>_xlfn.SUMIFS(Налоги!AY$25:AY$83,Налоги!$F$25:$F$83,$F530,Налоги!$AB$25:$AB$83,$G530)</f>
        <v>0</v>
      </c>
      <c r="BA530" s="951">
        <f>_xlfn.SUMIFS(Налоги!AZ$25:AZ$83,Налоги!$F$25:$F$83,$F530,Налоги!$AB$25:$AB$83,$G530)</f>
        <v>0</v>
      </c>
      <c r="BB530" s="951">
        <f>_xlfn.SUMIFS(Налоги!BA$25:BA$83,Налоги!$F$25:$F$83,$F530,Налоги!$AB$25:$AB$83,$G530)</f>
        <v>0</v>
      </c>
      <c r="BC530" s="951">
        <f>_xlfn.SUMIFS(Налоги!BB$25:BB$83,Налоги!$F$25:$F$83,$F530,Налоги!$AB$25:$AB$83,$G530)</f>
        <v>0</v>
      </c>
      <c r="BD530" s="951">
        <f>IF(AI530=0,0,(AT530-AI530)/AI530*100)</f>
        <v>449.180327868852</v>
      </c>
      <c r="BE530" s="951">
        <f>IF(AT530=0,0,(AU530-AT530)/AT530*100)</f>
        <v>-100</v>
      </c>
      <c r="BF530" s="951">
        <f>IF(AU530=0,0,(AV530-AU530)/AU530*100)</f>
        <v>0</v>
      </c>
      <c r="BG530" s="951">
        <f>IF(AV530=0,0,(AW530-AV530)/AV530*100)</f>
        <v>0</v>
      </c>
      <c r="BH530" s="951">
        <f>IF(AW530=0,0,(AX530-AW530)/AW530*100)</f>
        <v>0</v>
      </c>
      <c r="BI530" s="951">
        <f>IF(AX530=0,0,(AY530-AX530)/AX530*100)</f>
        <v>0</v>
      </c>
      <c r="BJ530" s="951">
        <f>IF(AY530=0,0,(AZ530-AY530)/AY530*100)</f>
        <v>0</v>
      </c>
      <c r="BK530" s="951">
        <f>IF(AZ530=0,0,(BA530-AZ530)/AZ530*100)</f>
        <v>0</v>
      </c>
      <c r="BL530" s="951">
        <f>IF(BA530=0,0,(BB530-BA530)/BA530*100)</f>
        <v>0</v>
      </c>
      <c r="BM530" s="951">
        <f>IF(BB530=0,0,(BC530-BB530)/BB530*100)</f>
        <v>0</v>
      </c>
      <c r="BN530" s="6532" t="s">
        <v>2557</v>
      </c>
      <c r="BO530" s="6525" t="str">
        <f>IF(_xlfn.IFERROR(INDEX(Налоги!$K$26:$L$83,MATCH($F530&amp;"2komm",Налоги!$K$26:$K$83,0),2),"")=0,"",_xlfn.IFERROR(INDEX(Налоги!$K$26:$L$83,MATCH($F530&amp;"2komm",Налоги!$K$26:$K$83,0),2),""))</f>
        <v>1) Глава 31 "ЗЕМЕЛЬНЫЙ НАЛОГ" "Налогового кодекса Российской Федерации (часть вторая)" от 05.08.2000 N 117-ФЗ. 2) Постановление Кемеровского городского Совета народных депутатов от 30.09.2005 N 263 (ред. от 27.06.2025) "Об установлении и введении в действие на территории города Кемерово земельного налога"  (для  затрат на сч. 26). 3)  Приказ ФНС России от 04.09.2019 N ММВ-7-21/440@.</v>
      </c>
      <c r="BP530" s="6533" t="s">
        <v>1822</v>
      </c>
      <c r="BQ530" s="1297"/>
      <c r="BR530" s="1297"/>
      <c r="BS530" s="1072" t="s">
        <v>2314</v>
      </c>
      <c r="BT530" s="1072"/>
      <c r="BU530" s="1072"/>
      <c r="BV530" s="987"/>
      <c r="BW530" s="987"/>
    </row>
    <row s="1656" customFormat="1" customHeight="1" ht="14.25">
      <c r="A531" s="1297"/>
      <c r="B531" s="92"/>
      <c r="C531" s="103"/>
      <c r="D531" s="103"/>
      <c r="E531" s="626">
        <v>15</v>
      </c>
      <c r="F531" s="50" cm="1" t="str">
        <f t="array" ref="F531:F531">OFFSET(E531,-1,1)</f>
        <v>3</v>
      </c>
      <c r="G531" s="929">
        <v>4</v>
      </c>
      <c r="H531" s="103"/>
      <c r="I531" s="103" t="s">
        <v>2315</v>
      </c>
      <c r="J531" s="103"/>
      <c r="K531" s="103" t="s">
        <v>2315</v>
      </c>
      <c r="L531" s="988"/>
      <c r="M531" s="103"/>
      <c r="N531" s="103"/>
      <c r="O531" s="103"/>
      <c r="P531" s="103"/>
      <c r="Q531" s="103"/>
      <c r="R531" s="103"/>
      <c r="S531" s="103"/>
      <c r="T531" s="468" cm="1" t="str">
        <f t="array" ref="T531:T531">T530</f>
        <v>true</v>
      </c>
      <c r="U531" s="103"/>
      <c r="V531" s="103"/>
      <c r="W531" s="1297"/>
      <c r="X531" s="1539"/>
      <c r="Y531" s="1297"/>
      <c r="Z531" s="1529"/>
      <c r="AA531" s="1297"/>
      <c r="AB531" s="295" t="s">
        <v>2316</v>
      </c>
      <c r="AC531" s="772" t="s">
        <v>2317</v>
      </c>
      <c r="AD531" s="296" t="s">
        <v>936</v>
      </c>
      <c r="AE531" s="255">
        <f>_xlfn.SUMIFS(Налоги!AE$25:AE$83,Налоги!$F$25:$F$83,$F531,Налоги!$AB$25:$AB$83,$G531)</f>
        <v>0</v>
      </c>
      <c r="AF531" s="255">
        <f>_xlfn.SUMIFS(Налоги!AF$25:AF$83,Налоги!$F$25:$F$83,$F531,Налоги!$AB$25:$AB$83,$G531)</f>
        <v>0</v>
      </c>
      <c r="AG531" s="255">
        <f>_xlfn.SUMIFS(Налоги!AG$25:AG$83,Налоги!$F$25:$F$83,$F531,Налоги!$AB$25:$AB$83,$G531)</f>
        <v>0</v>
      </c>
      <c r="AH531" s="951">
        <f>AG531-AF531</f>
        <v>0</v>
      </c>
      <c r="AI531" s="951">
        <f>_xlfn.SUMIFS(Налоги!AH$25:AH$83,Налоги!$F$25:$F$83,$F531,Налоги!$AB$25:$AB$83,$G531)</f>
        <v>0</v>
      </c>
      <c r="AJ531" s="951">
        <f>_xlfn.SUMIFS(Налоги!AI$25:AI$83,Налоги!$F$25:$F$83,$F531,Налоги!$AB$25:$AB$83,$G531)</f>
        <v>0</v>
      </c>
      <c r="AK531" s="951">
        <f>_xlfn.SUMIFS(Налоги!AJ$25:AJ$83,Налоги!$F$25:$F$83,$F531,Налоги!$AB$25:$AB$83,$G531)</f>
        <v>0</v>
      </c>
      <c r="AL531" s="951">
        <f>_xlfn.SUMIFS(Налоги!AK$25:AK$83,Налоги!$F$25:$F$83,$F531,Налоги!$AB$25:$AB$83,$G531)</f>
        <v>0</v>
      </c>
      <c r="AM531" s="951">
        <f>_xlfn.SUMIFS(Налоги!AL$25:AL$83,Налоги!$F$25:$F$83,$F531,Налоги!$AB$25:$AB$83,$G531)</f>
        <v>0</v>
      </c>
      <c r="AN531" s="951">
        <f>_xlfn.SUMIFS(Налоги!AM$25:AM$83,Налоги!$F$25:$F$83,$F531,Налоги!$AB$25:$AB$83,$G531)</f>
        <v>0</v>
      </c>
      <c r="AO531" s="951">
        <f>_xlfn.SUMIFS(Налоги!AN$25:AN$83,Налоги!$F$25:$F$83,$F531,Налоги!$AB$25:$AB$83,$G531)</f>
        <v>0</v>
      </c>
      <c r="AP531" s="951">
        <f>_xlfn.SUMIFS(Налоги!AO$25:AO$83,Налоги!$F$25:$F$83,$F531,Налоги!$AB$25:$AB$83,$G531)</f>
        <v>0</v>
      </c>
      <c r="AQ531" s="951">
        <f>_xlfn.SUMIFS(Налоги!AP$25:AP$83,Налоги!$F$25:$F$83,$F531,Налоги!$AB$25:$AB$83,$G531)</f>
        <v>0</v>
      </c>
      <c r="AR531" s="951">
        <f>_xlfn.SUMIFS(Налоги!AQ$25:AQ$83,Налоги!$F$25:$F$83,$F531,Налоги!$AB$25:$AB$83,$G531)</f>
        <v>0</v>
      </c>
      <c r="AS531" s="951">
        <f>_xlfn.SUMIFS(Налоги!AR$25:AR$83,Налоги!$F$25:$F$83,$F531,Налоги!$AB$25:$AB$83,$G531)</f>
        <v>0</v>
      </c>
      <c r="AT531" s="951">
        <f>_xlfn.SUMIFS(Налоги!AS$25:AS$83,Налоги!$F$25:$F$83,$F531,Налоги!$AB$25:$AB$83,$G531)</f>
        <v>0</v>
      </c>
      <c r="AU531" s="951">
        <f>_xlfn.SUMIFS(Налоги!AT$25:AT$83,Налоги!$F$25:$F$83,$F531,Налоги!$AB$25:$AB$83,$G531)</f>
        <v>0</v>
      </c>
      <c r="AV531" s="951">
        <f>_xlfn.SUMIFS(Налоги!AU$25:AU$83,Налоги!$F$25:$F$83,$F531,Налоги!$AB$25:$AB$83,$G531)</f>
        <v>0</v>
      </c>
      <c r="AW531" s="951">
        <f>_xlfn.SUMIFS(Налоги!AV$25:AV$83,Налоги!$F$25:$F$83,$F531,Налоги!$AB$25:$AB$83,$G531)</f>
        <v>0</v>
      </c>
      <c r="AX531" s="951">
        <f>_xlfn.SUMIFS(Налоги!AW$25:AW$83,Налоги!$F$25:$F$83,$F531,Налоги!$AB$25:$AB$83,$G531)</f>
        <v>0</v>
      </c>
      <c r="AY531" s="951">
        <f>_xlfn.SUMIFS(Налоги!AX$25:AX$83,Налоги!$F$25:$F$83,$F531,Налоги!$AB$25:$AB$83,$G531)</f>
        <v>0</v>
      </c>
      <c r="AZ531" s="951">
        <f>_xlfn.SUMIFS(Налоги!AY$25:AY$83,Налоги!$F$25:$F$83,$F531,Налоги!$AB$25:$AB$83,$G531)</f>
        <v>0</v>
      </c>
      <c r="BA531" s="951">
        <f>_xlfn.SUMIFS(Налоги!AZ$25:AZ$83,Налоги!$F$25:$F$83,$F531,Налоги!$AB$25:$AB$83,$G531)</f>
        <v>0</v>
      </c>
      <c r="BB531" s="951">
        <f>_xlfn.SUMIFS(Налоги!BA$25:BA$83,Налоги!$F$25:$F$83,$F531,Налоги!$AB$25:$AB$83,$G531)</f>
        <v>0</v>
      </c>
      <c r="BC531" s="951">
        <f>_xlfn.SUMIFS(Налоги!BB$25:BB$83,Налоги!$F$25:$F$83,$F531,Налоги!$AB$25:$AB$83,$G531)</f>
        <v>0</v>
      </c>
      <c r="BD531" s="951">
        <f>IF(AI531=0,0,(AT531-AI531)/AI531*100)</f>
        <v>0</v>
      </c>
      <c r="BE531" s="951">
        <f>IF(AT531=0,0,(AU531-AT531)/AT531*100)</f>
        <v>0</v>
      </c>
      <c r="BF531" s="951">
        <f>IF(AU531=0,0,(AV531-AU531)/AU531*100)</f>
        <v>0</v>
      </c>
      <c r="BG531" s="951">
        <f>IF(AV531=0,0,(AW531-AV531)/AV531*100)</f>
        <v>0</v>
      </c>
      <c r="BH531" s="951">
        <f>IF(AW531=0,0,(AX531-AW531)/AW531*100)</f>
        <v>0</v>
      </c>
      <c r="BI531" s="951">
        <f>IF(AX531=0,0,(AY531-AX531)/AX531*100)</f>
        <v>0</v>
      </c>
      <c r="BJ531" s="951">
        <f>IF(AY531=0,0,(AZ531-AY531)/AY531*100)</f>
        <v>0</v>
      </c>
      <c r="BK531" s="951">
        <f>IF(AZ531=0,0,(BA531-AZ531)/AZ531*100)</f>
        <v>0</v>
      </c>
      <c r="BL531" s="951">
        <f>IF(BA531=0,0,(BB531-BA531)/BA531*100)</f>
        <v>0</v>
      </c>
      <c r="BM531" s="951">
        <f>IF(BB531=0,0,(BC531-BB531)/BB531*100)</f>
        <v>0</v>
      </c>
      <c r="BN531" s="6533"/>
      <c r="BO531" s="6525" t="str">
        <f>IF(_xlfn.IFERROR(INDEX(Налоги!$K$26:$L$83,MATCH($F531&amp;"4komm",Налоги!$K$26:$K$83,0),2),"")=0,"",_xlfn.IFERROR(INDEX(Налоги!$K$26:$L$83,MATCH($F531&amp;"4komm",Налоги!$K$26:$K$83,0),2),""))</f>
        <v/>
      </c>
      <c r="BP531" s="6533"/>
      <c r="BQ531" s="1297"/>
      <c r="BR531" s="1297"/>
      <c r="BS531" s="1072" t="s">
        <v>2318</v>
      </c>
      <c r="BT531" s="1072"/>
      <c r="BU531" s="1072"/>
      <c r="BV531" s="987"/>
      <c r="BW531" s="987"/>
    </row>
    <row s="1656" customFormat="1" customHeight="1" ht="14.25">
      <c r="A532" s="1297"/>
      <c r="B532" s="92"/>
      <c r="C532" s="103"/>
      <c r="D532" s="103"/>
      <c r="E532" s="626">
        <v>15</v>
      </c>
      <c r="F532" s="50" cm="1" t="str">
        <f t="array" ref="F532:F532">OFFSET(E532,-1,1)</f>
        <v>3</v>
      </c>
      <c r="G532" s="929">
        <v>5</v>
      </c>
      <c r="H532" s="103"/>
      <c r="I532" s="103" t="s">
        <v>2319</v>
      </c>
      <c r="J532" s="103"/>
      <c r="K532" s="103" t="s">
        <v>2319</v>
      </c>
      <c r="L532" s="988"/>
      <c r="M532" s="103"/>
      <c r="N532" s="103"/>
      <c r="O532" s="103"/>
      <c r="P532" s="103"/>
      <c r="Q532" s="103"/>
      <c r="R532" s="103"/>
      <c r="S532" s="103"/>
      <c r="T532" s="468" cm="1" t="str">
        <f t="array" ref="T532:T532">T531</f>
        <v>true</v>
      </c>
      <c r="U532" s="103"/>
      <c r="V532" s="103"/>
      <c r="W532" s="1297"/>
      <c r="X532" s="1539"/>
      <c r="Y532" s="1297"/>
      <c r="Z532" s="1529"/>
      <c r="AA532" s="1297"/>
      <c r="AB532" s="295" t="s">
        <v>2320</v>
      </c>
      <c r="AC532" s="772" t="s">
        <v>2321</v>
      </c>
      <c r="AD532" s="296" t="s">
        <v>936</v>
      </c>
      <c r="AE532" s="255">
        <f>_xlfn.SUMIFS(Налоги!AE$25:AE$83,Налоги!$F$25:$F$83,$F532,Налоги!$AB$25:$AB$83,$G532)</f>
        <v>0</v>
      </c>
      <c r="AF532" s="255">
        <f>_xlfn.SUMIFS(Налоги!AF$25:AF$83,Налоги!$F$25:$F$83,$F532,Налоги!$AB$25:$AB$83,$G532)</f>
        <v>0</v>
      </c>
      <c r="AG532" s="255">
        <f>_xlfn.SUMIFS(Налоги!AG$25:AG$83,Налоги!$F$25:$F$83,$F532,Налоги!$AB$25:$AB$83,$G532)</f>
        <v>0</v>
      </c>
      <c r="AH532" s="951">
        <f>AG532-AF532</f>
        <v>0</v>
      </c>
      <c r="AI532" s="951">
        <f>_xlfn.SUMIFS(Налоги!AH$25:AH$83,Налоги!$F$25:$F$83,$F532,Налоги!$AB$25:$AB$83,$G532)</f>
        <v>0</v>
      </c>
      <c r="AJ532" s="951">
        <f>_xlfn.SUMIFS(Налоги!AI$25:AI$83,Налоги!$F$25:$F$83,$F532,Налоги!$AB$25:$AB$83,$G532)</f>
        <v>0</v>
      </c>
      <c r="AK532" s="951">
        <f>_xlfn.SUMIFS(Налоги!AJ$25:AJ$83,Налоги!$F$25:$F$83,$F532,Налоги!$AB$25:$AB$83,$G532)</f>
        <v>0</v>
      </c>
      <c r="AL532" s="951">
        <f>_xlfn.SUMIFS(Налоги!AK$25:AK$83,Налоги!$F$25:$F$83,$F532,Налоги!$AB$25:$AB$83,$G532)</f>
        <v>0</v>
      </c>
      <c r="AM532" s="951">
        <f>_xlfn.SUMIFS(Налоги!AL$25:AL$83,Налоги!$F$25:$F$83,$F532,Налоги!$AB$25:$AB$83,$G532)</f>
        <v>0</v>
      </c>
      <c r="AN532" s="951">
        <f>_xlfn.SUMIFS(Налоги!AM$25:AM$83,Налоги!$F$25:$F$83,$F532,Налоги!$AB$25:$AB$83,$G532)</f>
        <v>0</v>
      </c>
      <c r="AO532" s="951">
        <f>_xlfn.SUMIFS(Налоги!AN$25:AN$83,Налоги!$F$25:$F$83,$F532,Налоги!$AB$25:$AB$83,$G532)</f>
        <v>0</v>
      </c>
      <c r="AP532" s="951">
        <f>_xlfn.SUMIFS(Налоги!AO$25:AO$83,Налоги!$F$25:$F$83,$F532,Налоги!$AB$25:$AB$83,$G532)</f>
        <v>0</v>
      </c>
      <c r="AQ532" s="951">
        <f>_xlfn.SUMIFS(Налоги!AP$25:AP$83,Налоги!$F$25:$F$83,$F532,Налоги!$AB$25:$AB$83,$G532)</f>
        <v>0</v>
      </c>
      <c r="AR532" s="951">
        <f>_xlfn.SUMIFS(Налоги!AQ$25:AQ$83,Налоги!$F$25:$F$83,$F532,Налоги!$AB$25:$AB$83,$G532)</f>
        <v>0</v>
      </c>
      <c r="AS532" s="951">
        <f>_xlfn.SUMIFS(Налоги!AR$25:AR$83,Налоги!$F$25:$F$83,$F532,Налоги!$AB$25:$AB$83,$G532)</f>
        <v>0</v>
      </c>
      <c r="AT532" s="951">
        <f>_xlfn.SUMIFS(Налоги!AS$25:AS$83,Налоги!$F$25:$F$83,$F532,Налоги!$AB$25:$AB$83,$G532)</f>
        <v>0</v>
      </c>
      <c r="AU532" s="951">
        <f>_xlfn.SUMIFS(Налоги!AT$25:AT$83,Налоги!$F$25:$F$83,$F532,Налоги!$AB$25:$AB$83,$G532)</f>
        <v>0</v>
      </c>
      <c r="AV532" s="951">
        <f>_xlfn.SUMIFS(Налоги!AU$25:AU$83,Налоги!$F$25:$F$83,$F532,Налоги!$AB$25:$AB$83,$G532)</f>
        <v>0</v>
      </c>
      <c r="AW532" s="951">
        <f>_xlfn.SUMIFS(Налоги!AV$25:AV$83,Налоги!$F$25:$F$83,$F532,Налоги!$AB$25:$AB$83,$G532)</f>
        <v>0</v>
      </c>
      <c r="AX532" s="951">
        <f>_xlfn.SUMIFS(Налоги!AW$25:AW$83,Налоги!$F$25:$F$83,$F532,Налоги!$AB$25:$AB$83,$G532)</f>
        <v>0</v>
      </c>
      <c r="AY532" s="951">
        <f>_xlfn.SUMIFS(Налоги!AX$25:AX$83,Налоги!$F$25:$F$83,$F532,Налоги!$AB$25:$AB$83,$G532)</f>
        <v>0</v>
      </c>
      <c r="AZ532" s="951">
        <f>_xlfn.SUMIFS(Налоги!AY$25:AY$83,Налоги!$F$25:$F$83,$F532,Налоги!$AB$25:$AB$83,$G532)</f>
        <v>0</v>
      </c>
      <c r="BA532" s="951">
        <f>_xlfn.SUMIFS(Налоги!AZ$25:AZ$83,Налоги!$F$25:$F$83,$F532,Налоги!$AB$25:$AB$83,$G532)</f>
        <v>0</v>
      </c>
      <c r="BB532" s="951">
        <f>_xlfn.SUMIFS(Налоги!BA$25:BA$83,Налоги!$F$25:$F$83,$F532,Налоги!$AB$25:$AB$83,$G532)</f>
        <v>0</v>
      </c>
      <c r="BC532" s="951">
        <f>_xlfn.SUMIFS(Налоги!BB$25:BB$83,Налоги!$F$25:$F$83,$F532,Налоги!$AB$25:$AB$83,$G532)</f>
        <v>0</v>
      </c>
      <c r="BD532" s="951">
        <f>IF(AI532=0,0,(AT532-AI532)/AI532*100)</f>
        <v>0</v>
      </c>
      <c r="BE532" s="951">
        <f>IF(AT532=0,0,(AU532-AT532)/AT532*100)</f>
        <v>0</v>
      </c>
      <c r="BF532" s="951">
        <f>IF(AU532=0,0,(AV532-AU532)/AU532*100)</f>
        <v>0</v>
      </c>
      <c r="BG532" s="951">
        <f>IF(AV532=0,0,(AW532-AV532)/AV532*100)</f>
        <v>0</v>
      </c>
      <c r="BH532" s="951">
        <f>IF(AW532=0,0,(AX532-AW532)/AW532*100)</f>
        <v>0</v>
      </c>
      <c r="BI532" s="951">
        <f>IF(AX532=0,0,(AY532-AX532)/AX532*100)</f>
        <v>0</v>
      </c>
      <c r="BJ532" s="951">
        <f>IF(AY532=0,0,(AZ532-AY532)/AY532*100)</f>
        <v>0</v>
      </c>
      <c r="BK532" s="951">
        <f>IF(AZ532=0,0,(BA532-AZ532)/AZ532*100)</f>
        <v>0</v>
      </c>
      <c r="BL532" s="951">
        <f>IF(BA532=0,0,(BB532-BA532)/BA532*100)</f>
        <v>0</v>
      </c>
      <c r="BM532" s="951">
        <f>IF(BB532=0,0,(BC532-BB532)/BB532*100)</f>
        <v>0</v>
      </c>
      <c r="BN532" s="6533"/>
      <c r="BO532" s="6525" t="str">
        <f>IF(_xlfn.IFERROR(INDEX(Налоги!$K$26:$L$83,MATCH($F532&amp;"5komm",Налоги!$K$26:$K$83,0),2),"")=0,"",_xlfn.IFERROR(INDEX(Налоги!$K$26:$L$83,MATCH($F532&amp;"5komm",Налоги!$K$26:$K$83,0),2),""))</f>
        <v/>
      </c>
      <c r="BP532" s="6533"/>
      <c r="BQ532" s="1297"/>
      <c r="BR532" s="1297"/>
      <c r="BS532" s="1072" t="s">
        <v>2322</v>
      </c>
      <c r="BT532" s="1072"/>
      <c r="BU532" s="1072"/>
      <c r="BV532" s="987"/>
      <c r="BW532" s="987"/>
    </row>
    <row s="1656" customFormat="1" customHeight="1" ht="78.80208333333333">
      <c r="A533" s="1297"/>
      <c r="B533" s="92"/>
      <c r="C533" s="103"/>
      <c r="D533" s="103"/>
      <c r="E533" s="626">
        <v>15</v>
      </c>
      <c r="F533" s="50" cm="1" t="str">
        <f t="array" ref="F533:F533">OFFSET(E533,-1,1)</f>
        <v>3</v>
      </c>
      <c r="G533" s="929">
        <v>1</v>
      </c>
      <c r="H533" s="103"/>
      <c r="I533" s="103" t="s">
        <v>2323</v>
      </c>
      <c r="J533" s="103"/>
      <c r="K533" s="103" t="s">
        <v>2323</v>
      </c>
      <c r="L533" s="988"/>
      <c r="M533" s="103"/>
      <c r="N533" s="103"/>
      <c r="O533" s="103"/>
      <c r="P533" s="103"/>
      <c r="Q533" s="103"/>
      <c r="R533" s="103"/>
      <c r="S533" s="103"/>
      <c r="T533" s="468" cm="1" t="str">
        <f t="array" ref="T533:T533">T532</f>
        <v>true</v>
      </c>
      <c r="U533" s="103"/>
      <c r="V533" s="103"/>
      <c r="W533" s="1297"/>
      <c r="X533" s="1539"/>
      <c r="Y533" s="1297"/>
      <c r="Z533" s="1529"/>
      <c r="AA533" s="1297"/>
      <c r="AB533" s="295" t="s">
        <v>2324</v>
      </c>
      <c r="AC533" s="772" t="s">
        <v>2325</v>
      </c>
      <c r="AD533" s="296" t="s">
        <v>936</v>
      </c>
      <c r="AE533" s="255">
        <f>_xlfn.SUMIFS(Налоги!AE$25:AE$83,Налоги!$F$25:$F$83,$F533,Налоги!$AB$25:$AB$83,$G533)</f>
        <v>0.94</v>
      </c>
      <c r="AF533" s="255">
        <f>_xlfn.SUMIFS(Налоги!AF$25:AF$83,Налоги!$F$25:$F$83,$F533,Налоги!$AB$25:$AB$83,$G533)</f>
        <v>67.14</v>
      </c>
      <c r="AG533" s="255">
        <f>_xlfn.SUMIFS(Налоги!AG$25:AG$83,Налоги!$F$25:$F$83,$F533,Налоги!$AB$25:$AB$83,$G533)</f>
        <v>67.14</v>
      </c>
      <c r="AH533" s="951">
        <f>AG533-AF533</f>
        <v>0</v>
      </c>
      <c r="AI533" s="951">
        <f>_xlfn.SUMIFS(Налоги!AH$25:AH$83,Налоги!$F$25:$F$83,$F533,Налоги!$AB$25:$AB$83,$G533)</f>
        <v>3.38</v>
      </c>
      <c r="AJ533" s="951">
        <f>_xlfn.SUMIFS(Налоги!AI$25:AI$83,Налоги!$F$25:$F$83,$F533,Налоги!$AB$25:$AB$83,$G533)</f>
        <v>67.14</v>
      </c>
      <c r="AK533" s="951">
        <f>_xlfn.SUMIFS(Налоги!AJ$25:AJ$83,Налоги!$F$25:$F$83,$F533,Налоги!$AB$25:$AB$83,$G533)</f>
        <v>0</v>
      </c>
      <c r="AL533" s="951">
        <f>_xlfn.SUMIFS(Налоги!AK$25:AK$83,Налоги!$F$25:$F$83,$F533,Налоги!$AB$25:$AB$83,$G533)</f>
        <v>0</v>
      </c>
      <c r="AM533" s="951">
        <f>_xlfn.SUMIFS(Налоги!AL$25:AL$83,Налоги!$F$25:$F$83,$F533,Налоги!$AB$25:$AB$83,$G533)</f>
        <v>0</v>
      </c>
      <c r="AN533" s="951">
        <f>_xlfn.SUMIFS(Налоги!AM$25:AM$83,Налоги!$F$25:$F$83,$F533,Налоги!$AB$25:$AB$83,$G533)</f>
        <v>0</v>
      </c>
      <c r="AO533" s="951">
        <f>_xlfn.SUMIFS(Налоги!AN$25:AN$83,Налоги!$F$25:$F$83,$F533,Налоги!$AB$25:$AB$83,$G533)</f>
        <v>0</v>
      </c>
      <c r="AP533" s="951">
        <f>_xlfn.SUMIFS(Налоги!AO$25:AO$83,Налоги!$F$25:$F$83,$F533,Налоги!$AB$25:$AB$83,$G533)</f>
        <v>0</v>
      </c>
      <c r="AQ533" s="951">
        <f>_xlfn.SUMIFS(Налоги!AP$25:AP$83,Налоги!$F$25:$F$83,$F533,Налоги!$AB$25:$AB$83,$G533)</f>
        <v>0</v>
      </c>
      <c r="AR533" s="951">
        <f>_xlfn.SUMIFS(Налоги!AQ$25:AQ$83,Налоги!$F$25:$F$83,$F533,Налоги!$AB$25:$AB$83,$G533)</f>
        <v>0</v>
      </c>
      <c r="AS533" s="951">
        <f>_xlfn.SUMIFS(Налоги!AR$25:AR$83,Налоги!$F$25:$F$83,$F533,Налоги!$AB$25:$AB$83,$G533)</f>
        <v>0</v>
      </c>
      <c r="AT533" s="951">
        <f>_xlfn.SUMIFS(Налоги!AS$25:AS$83,Налоги!$F$25:$F$83,$F533,Налоги!$AB$25:$AB$83,$G533)</f>
        <v>67.14</v>
      </c>
      <c r="AU533" s="951">
        <f>_xlfn.SUMIFS(Налоги!AT$25:AT$83,Налоги!$F$25:$F$83,$F533,Налоги!$AB$25:$AB$83,$G533)</f>
        <v>0</v>
      </c>
      <c r="AV533" s="951">
        <f>_xlfn.SUMIFS(Налоги!AU$25:AU$83,Налоги!$F$25:$F$83,$F533,Налоги!$AB$25:$AB$83,$G533)</f>
        <v>0</v>
      </c>
      <c r="AW533" s="951">
        <f>_xlfn.SUMIFS(Налоги!AV$25:AV$83,Налоги!$F$25:$F$83,$F533,Налоги!$AB$25:$AB$83,$G533)</f>
        <v>0</v>
      </c>
      <c r="AX533" s="951">
        <f>_xlfn.SUMIFS(Налоги!AW$25:AW$83,Налоги!$F$25:$F$83,$F533,Налоги!$AB$25:$AB$83,$G533)</f>
        <v>0</v>
      </c>
      <c r="AY533" s="951">
        <f>_xlfn.SUMIFS(Налоги!AX$25:AX$83,Налоги!$F$25:$F$83,$F533,Налоги!$AB$25:$AB$83,$G533)</f>
        <v>0</v>
      </c>
      <c r="AZ533" s="951">
        <f>_xlfn.SUMIFS(Налоги!AY$25:AY$83,Налоги!$F$25:$F$83,$F533,Налоги!$AB$25:$AB$83,$G533)</f>
        <v>0</v>
      </c>
      <c r="BA533" s="951">
        <f>_xlfn.SUMIFS(Налоги!AZ$25:AZ$83,Налоги!$F$25:$F$83,$F533,Налоги!$AB$25:$AB$83,$G533)</f>
        <v>0</v>
      </c>
      <c r="BB533" s="951">
        <f>_xlfn.SUMIFS(Налоги!BA$25:BA$83,Налоги!$F$25:$F$83,$F533,Налоги!$AB$25:$AB$83,$G533)</f>
        <v>0</v>
      </c>
      <c r="BC533" s="951">
        <f>_xlfn.SUMIFS(Налоги!BB$25:BB$83,Налоги!$F$25:$F$83,$F533,Налоги!$AB$25:$AB$83,$G533)</f>
        <v>0</v>
      </c>
      <c r="BD533" s="951">
        <f>IF(AI533=0,0,(AT533-AI533)/AI533*100)</f>
        <v>1886.39053254438</v>
      </c>
      <c r="BE533" s="951">
        <f>IF(AT533=0,0,(AU533-AT533)/AT533*100)</f>
        <v>-100</v>
      </c>
      <c r="BF533" s="951">
        <f>IF(AU533=0,0,(AV533-AU533)/AU533*100)</f>
        <v>0</v>
      </c>
      <c r="BG533" s="951">
        <f>IF(AV533=0,0,(AW533-AV533)/AV533*100)</f>
        <v>0</v>
      </c>
      <c r="BH533" s="951">
        <f>IF(AW533=0,0,(AX533-AW533)/AW533*100)</f>
        <v>0</v>
      </c>
      <c r="BI533" s="951">
        <f>IF(AX533=0,0,(AY533-AX533)/AX533*100)</f>
        <v>0</v>
      </c>
      <c r="BJ533" s="951">
        <f>IF(AY533=0,0,(AZ533-AY533)/AY533*100)</f>
        <v>0</v>
      </c>
      <c r="BK533" s="951">
        <f>IF(AZ533=0,0,(BA533-AZ533)/AZ533*100)</f>
        <v>0</v>
      </c>
      <c r="BL533" s="951">
        <f>IF(BA533=0,0,(BB533-BA533)/BA533*100)</f>
        <v>0</v>
      </c>
      <c r="BM533" s="951">
        <f>IF(BB533=0,0,(BC533-BB533)/BB533*100)</f>
        <v>0</v>
      </c>
      <c r="BN533" s="6532" t="s">
        <v>2558</v>
      </c>
      <c r="BO533" s="6525" t="str">
        <f>IF(_xlfn.IFERROR(INDEX(Налоги!$K$26:$L$83,MATCH($F533&amp;"1komm",Налоги!$K$26:$K$83,0),2),"")=0,"",_xlfn.IFERROR(INDEX(Налоги!$K$26:$L$83,MATCH($F533&amp;"1komm",Налоги!$K$26:$K$83,0),2),""))</f>
        <v>) Глава 28 "ТРАНСПОРТНЫЙ НАЛОГ" "Налогового кодекса Российской Федерации (часть вторая)" от 05.08.2000 N 117-ФЗ. 2) Закон Кемеровской области от 28.11.2002 N 95-ОЗ (ред. от 27.11.2025) "О транспортном налоге". 3) Приказ ФНС России от 04.09.2019 N ММВ-7-21/440@.</v>
      </c>
      <c r="BP533" s="6533" t="s">
        <v>1822</v>
      </c>
      <c r="BQ533" s="1297"/>
      <c r="BR533" s="1297"/>
      <c r="BS533" s="1072" t="s">
        <v>2326</v>
      </c>
      <c r="BT533" s="1072"/>
      <c r="BU533" s="1072"/>
      <c r="BV533" s="987"/>
      <c r="BW533" s="987"/>
    </row>
    <row s="1656" customFormat="1" customHeight="1" ht="190.46875">
      <c r="A534" s="1297"/>
      <c r="B534" s="92"/>
      <c r="C534" s="103"/>
      <c r="D534" s="103"/>
      <c r="E534" s="626">
        <v>15</v>
      </c>
      <c r="F534" s="50" cm="1" t="str">
        <f t="array" ref="F534:F534">OFFSET(E534,-1,1)</f>
        <v>3</v>
      </c>
      <c r="G534" s="929">
        <v>3</v>
      </c>
      <c r="H534" s="103"/>
      <c r="I534" s="103" t="s">
        <v>2327</v>
      </c>
      <c r="J534" s="103"/>
      <c r="K534" s="103" t="s">
        <v>2327</v>
      </c>
      <c r="L534" s="988"/>
      <c r="M534" s="103"/>
      <c r="N534" s="103"/>
      <c r="O534" s="103"/>
      <c r="P534" s="103"/>
      <c r="Q534" s="103"/>
      <c r="R534" s="103"/>
      <c r="S534" s="103"/>
      <c r="T534" s="468" cm="1" t="str">
        <f t="array" ref="T534:T534">T533</f>
        <v>true</v>
      </c>
      <c r="U534" s="103"/>
      <c r="V534" s="103"/>
      <c r="W534" s="1297"/>
      <c r="X534" s="1539"/>
      <c r="Y534" s="1297"/>
      <c r="Z534" s="1529"/>
      <c r="AA534" s="1297"/>
      <c r="AB534" s="295" t="s">
        <v>2328</v>
      </c>
      <c r="AC534" s="772" t="s">
        <v>2329</v>
      </c>
      <c r="AD534" s="296" t="s">
        <v>936</v>
      </c>
      <c r="AE534" s="6531">
        <v>17.57</v>
      </c>
      <c r="AF534" s="6531">
        <f>_xlfn.SUMIFS(Налоги!AF$25:AF$83,Налоги!$F$25:$F$83,$F534,Налоги!$AB$25:$AB$83,$G534)</f>
        <v>246.34</v>
      </c>
      <c r="AG534" s="6531">
        <f>_xlfn.SUMIFS(Налоги!AG$25:AG$83,Налоги!$F$25:$F$83,$F534,Налоги!$AB$25:$AB$83,$G534)</f>
        <v>246.34</v>
      </c>
      <c r="AH534" s="951">
        <f>AG534-AF534</f>
        <v>0</v>
      </c>
      <c r="AI534" s="6524">
        <v>17.57</v>
      </c>
      <c r="AJ534" s="6524">
        <f>_xlfn.SUMIFS(Налоги!AI$25:AI$83,Налоги!$F$25:$F$83,$F534,Налоги!$AB$25:$AB$83,$G534)</f>
        <v>8189.17</v>
      </c>
      <c r="AK534" s="1272">
        <f>_xlfn.SUMIFS(Налоги!AJ$25:AJ$83,Налоги!$F$25:$F$83,$F534,Налоги!$AB$25:$AB$83,$G534)</f>
        <v>0</v>
      </c>
      <c r="AL534" s="1272">
        <f>_xlfn.SUMIFS(Налоги!AK$25:AK$83,Налоги!$F$25:$F$83,$F534,Налоги!$AB$25:$AB$83,$G534)</f>
        <v>0</v>
      </c>
      <c r="AM534" s="1272">
        <f>_xlfn.SUMIFS(Налоги!AL$25:AL$83,Налоги!$F$25:$F$83,$F534,Налоги!$AB$25:$AB$83,$G534)</f>
        <v>0</v>
      </c>
      <c r="AN534" s="1272">
        <f>_xlfn.SUMIFS(Налоги!AM$25:AM$83,Налоги!$F$25:$F$83,$F534,Налоги!$AB$25:$AB$83,$G534)</f>
        <v>0</v>
      </c>
      <c r="AO534" s="1272">
        <f>_xlfn.SUMIFS(Налоги!AN$25:AN$83,Налоги!$F$25:$F$83,$F534,Налоги!$AB$25:$AB$83,$G534)</f>
        <v>0</v>
      </c>
      <c r="AP534" s="1272">
        <f>_xlfn.SUMIFS(Налоги!AO$25:AO$83,Налоги!$F$25:$F$83,$F534,Налоги!$AB$25:$AB$83,$G534)</f>
        <v>0</v>
      </c>
      <c r="AQ534" s="1272">
        <f>_xlfn.SUMIFS(Налоги!AP$25:AP$83,Налоги!$F$25:$F$83,$F534,Налоги!$AB$25:$AB$83,$G534)</f>
        <v>0</v>
      </c>
      <c r="AR534" s="1272">
        <f>_xlfn.SUMIFS(Налоги!AQ$25:AQ$83,Налоги!$F$25:$F$83,$F534,Налоги!$AB$25:$AB$83,$G534)</f>
        <v>0</v>
      </c>
      <c r="AS534" s="1272">
        <f>_xlfn.SUMIFS(Налоги!AR$25:AR$83,Налоги!$F$25:$F$83,$F534,Налоги!$AB$25:$AB$83,$G534)</f>
        <v>0</v>
      </c>
      <c r="AT534" s="6524">
        <f>_xlfn.SUMIFS(Налоги!AS$25:AS$83,Налоги!$F$25:$F$83,$F534,Налоги!$AB$25:$AB$83,$G534)</f>
        <v>8189.17</v>
      </c>
      <c r="AU534" s="1272">
        <f>_xlfn.SUMIFS(Налоги!AT$25:AT$83,Налоги!$F$25:$F$83,$F534,Налоги!$AB$25:$AB$83,$G534)</f>
        <v>0</v>
      </c>
      <c r="AV534" s="1272">
        <f>_xlfn.SUMIFS(Налоги!AU$25:AU$83,Налоги!$F$25:$F$83,$F534,Налоги!$AB$25:$AB$83,$G534)</f>
        <v>0</v>
      </c>
      <c r="AW534" s="1272">
        <f>_xlfn.SUMIFS(Налоги!AV$25:AV$83,Налоги!$F$25:$F$83,$F534,Налоги!$AB$25:$AB$83,$G534)</f>
        <v>0</v>
      </c>
      <c r="AX534" s="1272">
        <f>_xlfn.SUMIFS(Налоги!AW$25:AW$83,Налоги!$F$25:$F$83,$F534,Налоги!$AB$25:$AB$83,$G534)</f>
        <v>0</v>
      </c>
      <c r="AY534" s="1272">
        <f>_xlfn.SUMIFS(Налоги!AX$25:AX$83,Налоги!$F$25:$F$83,$F534,Налоги!$AB$25:$AB$83,$G534)</f>
        <v>0</v>
      </c>
      <c r="AZ534" s="1272">
        <f>_xlfn.SUMIFS(Налоги!AY$25:AY$83,Налоги!$F$25:$F$83,$F534,Налоги!$AB$25:$AB$83,$G534)</f>
        <v>0</v>
      </c>
      <c r="BA534" s="1272">
        <f>_xlfn.SUMIFS(Налоги!AZ$25:AZ$83,Налоги!$F$25:$F$83,$F534,Налоги!$AB$25:$AB$83,$G534)</f>
        <v>0</v>
      </c>
      <c r="BB534" s="1272">
        <f>_xlfn.SUMIFS(Налоги!BA$25:BA$83,Налоги!$F$25:$F$83,$F534,Налоги!$AB$25:$AB$83,$G534)</f>
        <v>0</v>
      </c>
      <c r="BC534" s="1272">
        <f>_xlfn.SUMIFS(Налоги!BB$25:BB$83,Налоги!$F$25:$F$83,$F534,Налоги!$AB$25:$AB$83,$G534)</f>
        <v>0</v>
      </c>
      <c r="BD534" s="951">
        <f>IF(AI534=0,0,(AT534-AI534)/AI534*100)</f>
        <v>46508.8218554354</v>
      </c>
      <c r="BE534" s="951">
        <f>IF(AT534=0,0,(AU534-AT534)/AT534*100)</f>
        <v>-100</v>
      </c>
      <c r="BF534" s="951">
        <f>IF(AU534=0,0,(AV534-AU534)/AU534*100)</f>
        <v>0</v>
      </c>
      <c r="BG534" s="951">
        <f>IF(AV534=0,0,(AW534-AV534)/AV534*100)</f>
        <v>0</v>
      </c>
      <c r="BH534" s="951">
        <f>IF(AW534=0,0,(AX534-AW534)/AW534*100)</f>
        <v>0</v>
      </c>
      <c r="BI534" s="951">
        <f>IF(AX534=0,0,(AY534-AX534)/AX534*100)</f>
        <v>0</v>
      </c>
      <c r="BJ534" s="951">
        <f>IF(AY534=0,0,(AZ534-AY534)/AY534*100)</f>
        <v>0</v>
      </c>
      <c r="BK534" s="951">
        <f>IF(AZ534=0,0,(BA534-AZ534)/AZ534*100)</f>
        <v>0</v>
      </c>
      <c r="BL534" s="951">
        <f>IF(BA534=0,0,(BB534-BA534)/BA534*100)</f>
        <v>0</v>
      </c>
      <c r="BM534" s="951">
        <f>IF(BB534=0,0,(BC534-BB534)/BB534*100)</f>
        <v>0</v>
      </c>
      <c r="BN534" s="6533" t="s">
        <v>2597</v>
      </c>
      <c r="BO534" s="6525" t="s">
        <v>1500</v>
      </c>
      <c r="BP534" s="6533" t="s">
        <v>2560</v>
      </c>
      <c r="BQ534" s="1297"/>
      <c r="BR534" s="1297"/>
      <c r="BS534" s="1072" t="s">
        <v>2330</v>
      </c>
      <c r="BT534" s="1072"/>
      <c r="BU534" s="1072"/>
      <c r="BV534" s="987"/>
      <c r="BW534" s="987"/>
    </row>
    <row s="1656" customFormat="1" customHeight="1" ht="14.25">
      <c r="A535" s="1297"/>
      <c r="B535" s="92"/>
      <c r="C535" s="103"/>
      <c r="D535" s="103"/>
      <c r="E535" s="626">
        <v>15</v>
      </c>
      <c r="F535" s="50" cm="1" t="str">
        <f t="array" ref="F535:F535">OFFSET(E535,-1,1)</f>
        <v>3</v>
      </c>
      <c r="G535" s="929">
        <v>8</v>
      </c>
      <c r="H535" s="103"/>
      <c r="I535" s="103" t="s">
        <v>2331</v>
      </c>
      <c r="J535" s="103"/>
      <c r="K535" s="103" t="s">
        <v>2331</v>
      </c>
      <c r="L535" s="988"/>
      <c r="M535" s="103"/>
      <c r="N535" s="103"/>
      <c r="O535" s="103"/>
      <c r="P535" s="103"/>
      <c r="Q535" s="103"/>
      <c r="R535" s="103"/>
      <c r="S535" s="103"/>
      <c r="T535" s="468" cm="1" t="str">
        <f t="array" ref="T535:T535">T534</f>
        <v>true</v>
      </c>
      <c r="U535" s="103"/>
      <c r="V535" s="103"/>
      <c r="W535" s="1297"/>
      <c r="X535" s="1539"/>
      <c r="Y535" s="1297"/>
      <c r="Z535" s="1529"/>
      <c r="AA535" s="1297"/>
      <c r="AB535" s="295" t="s">
        <v>2332</v>
      </c>
      <c r="AC535" s="772" t="s">
        <v>2333</v>
      </c>
      <c r="AD535" s="296" t="s">
        <v>936</v>
      </c>
      <c r="AE535" s="255">
        <f>_xlfn.SUMIFS(Налоги!AE$25:AE$83,Налоги!$F$25:$F$83,$F535,Налоги!$AB$25:$AB$83,$G535)</f>
        <v>0</v>
      </c>
      <c r="AF535" s="255">
        <f>_xlfn.SUMIFS(Налоги!AF$25:AF$83,Налоги!$F$25:$F$83,$F535,Налоги!$AB$25:$AB$83,$G535)</f>
        <v>0</v>
      </c>
      <c r="AG535" s="255">
        <f>_xlfn.SUMIFS(Налоги!AG$25:AG$83,Налоги!$F$25:$F$83,$F535,Налоги!$AB$25:$AB$83,$G535)</f>
        <v>0</v>
      </c>
      <c r="AH535" s="951">
        <f>AG535-AF535</f>
        <v>0</v>
      </c>
      <c r="AI535" s="951">
        <f>_xlfn.SUMIFS(Налоги!AH$25:AH$83,Налоги!$F$25:$F$83,$F535,Налоги!$AB$25:$AB$83,$G535)</f>
        <v>0</v>
      </c>
      <c r="AJ535" s="951">
        <f>_xlfn.SUMIFS(Налоги!AI$25:AI$83,Налоги!$F$25:$F$83,$F535,Налоги!$AB$25:$AB$83,$G535)</f>
        <v>0</v>
      </c>
      <c r="AK535" s="951">
        <f>_xlfn.SUMIFS(Налоги!AJ$25:AJ$83,Налоги!$F$25:$F$83,$F535,Налоги!$AB$25:$AB$83,$G535)</f>
        <v>0</v>
      </c>
      <c r="AL535" s="951">
        <f>_xlfn.SUMIFS(Налоги!AK$25:AK$83,Налоги!$F$25:$F$83,$F535,Налоги!$AB$25:$AB$83,$G535)</f>
        <v>0</v>
      </c>
      <c r="AM535" s="951">
        <f>_xlfn.SUMIFS(Налоги!AL$25:AL$83,Налоги!$F$25:$F$83,$F535,Налоги!$AB$25:$AB$83,$G535)</f>
        <v>0</v>
      </c>
      <c r="AN535" s="951">
        <f>_xlfn.SUMIFS(Налоги!AM$25:AM$83,Налоги!$F$25:$F$83,$F535,Налоги!$AB$25:$AB$83,$G535)</f>
        <v>0</v>
      </c>
      <c r="AO535" s="951">
        <f>_xlfn.SUMIFS(Налоги!AN$25:AN$83,Налоги!$F$25:$F$83,$F535,Налоги!$AB$25:$AB$83,$G535)</f>
        <v>0</v>
      </c>
      <c r="AP535" s="951">
        <f>_xlfn.SUMIFS(Налоги!AO$25:AO$83,Налоги!$F$25:$F$83,$F535,Налоги!$AB$25:$AB$83,$G535)</f>
        <v>0</v>
      </c>
      <c r="AQ535" s="951">
        <f>_xlfn.SUMIFS(Налоги!AP$25:AP$83,Налоги!$F$25:$F$83,$F535,Налоги!$AB$25:$AB$83,$G535)</f>
        <v>0</v>
      </c>
      <c r="AR535" s="951">
        <f>_xlfn.SUMIFS(Налоги!AQ$25:AQ$83,Налоги!$F$25:$F$83,$F535,Налоги!$AB$25:$AB$83,$G535)</f>
        <v>0</v>
      </c>
      <c r="AS535" s="951">
        <f>_xlfn.SUMIFS(Налоги!AR$25:AR$83,Налоги!$F$25:$F$83,$F535,Налоги!$AB$25:$AB$83,$G535)</f>
        <v>0</v>
      </c>
      <c r="AT535" s="951">
        <f>_xlfn.SUMIFS(Налоги!AS$25:AS$83,Налоги!$F$25:$F$83,$F535,Налоги!$AB$25:$AB$83,$G535)</f>
        <v>0</v>
      </c>
      <c r="AU535" s="951">
        <f>_xlfn.SUMIFS(Налоги!AT$25:AT$83,Налоги!$F$25:$F$83,$F535,Налоги!$AB$25:$AB$83,$G535)</f>
        <v>0</v>
      </c>
      <c r="AV535" s="951">
        <f>_xlfn.SUMIFS(Налоги!AU$25:AU$83,Налоги!$F$25:$F$83,$F535,Налоги!$AB$25:$AB$83,$G535)</f>
        <v>0</v>
      </c>
      <c r="AW535" s="951">
        <f>_xlfn.SUMIFS(Налоги!AV$25:AV$83,Налоги!$F$25:$F$83,$F535,Налоги!$AB$25:$AB$83,$G535)</f>
        <v>0</v>
      </c>
      <c r="AX535" s="951">
        <f>_xlfn.SUMIFS(Налоги!AW$25:AW$83,Налоги!$F$25:$F$83,$F535,Налоги!$AB$25:$AB$83,$G535)</f>
        <v>0</v>
      </c>
      <c r="AY535" s="951">
        <f>_xlfn.SUMIFS(Налоги!AX$25:AX$83,Налоги!$F$25:$F$83,$F535,Налоги!$AB$25:$AB$83,$G535)</f>
        <v>0</v>
      </c>
      <c r="AZ535" s="951">
        <f>_xlfn.SUMIFS(Налоги!AY$25:AY$83,Налоги!$F$25:$F$83,$F535,Налоги!$AB$25:$AB$83,$G535)</f>
        <v>0</v>
      </c>
      <c r="BA535" s="951">
        <f>_xlfn.SUMIFS(Налоги!AZ$25:AZ$83,Налоги!$F$25:$F$83,$F535,Налоги!$AB$25:$AB$83,$G535)</f>
        <v>0</v>
      </c>
      <c r="BB535" s="951">
        <f>_xlfn.SUMIFS(Налоги!BA$25:BA$83,Налоги!$F$25:$F$83,$F535,Налоги!$AB$25:$AB$83,$G535)</f>
        <v>0</v>
      </c>
      <c r="BC535" s="951">
        <f>_xlfn.SUMIFS(Налоги!BB$25:BB$83,Налоги!$F$25:$F$83,$F535,Налоги!$AB$25:$AB$83,$G535)</f>
        <v>0</v>
      </c>
      <c r="BD535" s="951">
        <f>IF(AI535=0,0,(AT535-AI535)/AI535*100)</f>
        <v>0</v>
      </c>
      <c r="BE535" s="951">
        <f>IF(AT535=0,0,(AU535-AT535)/AT535*100)</f>
        <v>0</v>
      </c>
      <c r="BF535" s="951">
        <f>IF(AU535=0,0,(AV535-AU535)/AU535*100)</f>
        <v>0</v>
      </c>
      <c r="BG535" s="951">
        <f>IF(AV535=0,0,(AW535-AV535)/AV535*100)</f>
        <v>0</v>
      </c>
      <c r="BH535" s="951">
        <f>IF(AW535=0,0,(AX535-AW535)/AW535*100)</f>
        <v>0</v>
      </c>
      <c r="BI535" s="951">
        <f>IF(AX535=0,0,(AY535-AX535)/AX535*100)</f>
        <v>0</v>
      </c>
      <c r="BJ535" s="951">
        <f>IF(AY535=0,0,(AZ535-AY535)/AY535*100)</f>
        <v>0</v>
      </c>
      <c r="BK535" s="951">
        <f>IF(AZ535=0,0,(BA535-AZ535)/AZ535*100)</f>
        <v>0</v>
      </c>
      <c r="BL535" s="951">
        <f>IF(BA535=0,0,(BB535-BA535)/BA535*100)</f>
        <v>0</v>
      </c>
      <c r="BM535" s="951">
        <f>IF(BB535=0,0,(BC535-BB535)/BB535*100)</f>
        <v>0</v>
      </c>
      <c r="BN535" s="6533"/>
      <c r="BO535" s="6525"/>
      <c r="BP535" s="6533"/>
      <c r="BQ535" s="1297"/>
      <c r="BR535" s="1297"/>
      <c r="BS535" s="1072" t="s">
        <v>1482</v>
      </c>
      <c r="BT535" s="1072"/>
      <c r="BU535" s="1072"/>
      <c r="BV535" s="987"/>
      <c r="BW535" s="987"/>
    </row>
    <row s="1252" customFormat="1" customHeight="1" ht="14.25">
      <c r="A536" s="1252"/>
      <c r="B536" s="92"/>
      <c r="C536" s="103"/>
      <c r="D536" s="103"/>
      <c r="E536" s="626">
        <v>15</v>
      </c>
      <c r="F536" s="50" cm="1" t="str">
        <f t="array" ref="F536:F536">OFFSET(E536,-1,1)</f>
        <v>3</v>
      </c>
      <c r="G536" s="929">
        <v>9</v>
      </c>
      <c r="H536" s="103"/>
      <c r="I536" s="103"/>
      <c r="J536" s="103"/>
      <c r="K536" s="103"/>
      <c r="L536" s="988"/>
      <c r="M536" s="103"/>
      <c r="N536" s="103"/>
      <c r="O536" s="103"/>
      <c r="P536" s="103"/>
      <c r="Q536" s="103"/>
      <c r="R536" s="103"/>
      <c r="S536" s="103"/>
      <c r="T536" s="468" cm="1" t="str">
        <f t="array" ref="T536:T536">T535</f>
        <v>true</v>
      </c>
      <c r="U536" s="103"/>
      <c r="V536" s="103"/>
      <c r="W536" s="1252"/>
      <c r="X536" s="1539"/>
      <c r="Y536" s="1252"/>
      <c r="Z536" s="1529"/>
      <c r="AA536" s="1252"/>
      <c r="AB536" s="295" t="s">
        <v>2334</v>
      </c>
      <c r="AC536" s="787" t="s">
        <v>2335</v>
      </c>
      <c r="AD536" s="296" t="s">
        <v>936</v>
      </c>
      <c r="AE536" s="255">
        <f>_xlfn.SUMIFS(Налоги!AE$25:AE$83,Налоги!$F$25:$F$83,$F536,Налоги!$AB$25:$AB$83,$G536)</f>
        <v>0</v>
      </c>
      <c r="AF536" s="255">
        <f>_xlfn.SUMIFS(Налоги!AF$25:AF$83,Налоги!$F$25:$F$83,$F536,Налоги!$AB$25:$AB$83,$G536)</f>
        <v>0</v>
      </c>
      <c r="AG536" s="255">
        <f>_xlfn.SUMIFS(Налоги!AG$25:AG$83,Налоги!$F$25:$F$83,$F536,Налоги!$AB$25:$AB$83,$G536)</f>
        <v>0</v>
      </c>
      <c r="AH536" s="951">
        <f>AG536-AF536</f>
        <v>0</v>
      </c>
      <c r="AI536" s="951">
        <f>_xlfn.SUMIFS(Налоги!AH$25:AH$83,Налоги!$F$25:$F$83,$F536,Налоги!$AB$25:$AB$83,$G536)</f>
        <v>0</v>
      </c>
      <c r="AJ536" s="951">
        <f>_xlfn.SUMIFS(Налоги!AI$25:AI$83,Налоги!$F$25:$F$83,$F536,Налоги!$AB$25:$AB$83,$G536)</f>
        <v>0</v>
      </c>
      <c r="AK536" s="951">
        <f>_xlfn.SUMIFS(Налоги!AJ$25:AJ$83,Налоги!$F$25:$F$83,$F536,Налоги!$AB$25:$AB$83,$G536)</f>
        <v>0</v>
      </c>
      <c r="AL536" s="951">
        <f>_xlfn.SUMIFS(Налоги!AK$25:AK$83,Налоги!$F$25:$F$83,$F536,Налоги!$AB$25:$AB$83,$G536)</f>
        <v>0</v>
      </c>
      <c r="AM536" s="951">
        <f>_xlfn.SUMIFS(Налоги!AL$25:AL$83,Налоги!$F$25:$F$83,$F536,Налоги!$AB$25:$AB$83,$G536)</f>
        <v>0</v>
      </c>
      <c r="AN536" s="951">
        <f>_xlfn.SUMIFS(Налоги!AM$25:AM$83,Налоги!$F$25:$F$83,$F536,Налоги!$AB$25:$AB$83,$G536)</f>
        <v>0</v>
      </c>
      <c r="AO536" s="951">
        <f>_xlfn.SUMIFS(Налоги!AN$25:AN$83,Налоги!$F$25:$F$83,$F536,Налоги!$AB$25:$AB$83,$G536)</f>
        <v>0</v>
      </c>
      <c r="AP536" s="951">
        <f>_xlfn.SUMIFS(Налоги!AO$25:AO$83,Налоги!$F$25:$F$83,$F536,Налоги!$AB$25:$AB$83,$G536)</f>
        <v>0</v>
      </c>
      <c r="AQ536" s="951">
        <f>_xlfn.SUMIFS(Налоги!AP$25:AP$83,Налоги!$F$25:$F$83,$F536,Налоги!$AB$25:$AB$83,$G536)</f>
        <v>0</v>
      </c>
      <c r="AR536" s="951">
        <f>_xlfn.SUMIFS(Налоги!AQ$25:AQ$83,Налоги!$F$25:$F$83,$F536,Налоги!$AB$25:$AB$83,$G536)</f>
        <v>0</v>
      </c>
      <c r="AS536" s="951">
        <f>_xlfn.SUMIFS(Налоги!AR$25:AR$83,Налоги!$F$25:$F$83,$F536,Налоги!$AB$25:$AB$83,$G536)</f>
        <v>0</v>
      </c>
      <c r="AT536" s="951">
        <f>_xlfn.SUMIFS(Налоги!AS$25:AS$83,Налоги!$F$25:$F$83,$F536,Налоги!$AB$25:$AB$83,$G536)</f>
        <v>0</v>
      </c>
      <c r="AU536" s="951">
        <f>_xlfn.SUMIFS(Налоги!AT$25:AT$83,Налоги!$F$25:$F$83,$F536,Налоги!$AB$25:$AB$83,$G536)</f>
        <v>0</v>
      </c>
      <c r="AV536" s="951">
        <f>_xlfn.SUMIFS(Налоги!AU$25:AU$83,Налоги!$F$25:$F$83,$F536,Налоги!$AB$25:$AB$83,$G536)</f>
        <v>0</v>
      </c>
      <c r="AW536" s="951">
        <f>_xlfn.SUMIFS(Налоги!AV$25:AV$83,Налоги!$F$25:$F$83,$F536,Налоги!$AB$25:$AB$83,$G536)</f>
        <v>0</v>
      </c>
      <c r="AX536" s="951">
        <f>_xlfn.SUMIFS(Налоги!AW$25:AW$83,Налоги!$F$25:$F$83,$F536,Налоги!$AB$25:$AB$83,$G536)</f>
        <v>0</v>
      </c>
      <c r="AY536" s="951">
        <f>_xlfn.SUMIFS(Налоги!AX$25:AX$83,Налоги!$F$25:$F$83,$F536,Налоги!$AB$25:$AB$83,$G536)</f>
        <v>0</v>
      </c>
      <c r="AZ536" s="951">
        <f>_xlfn.SUMIFS(Налоги!AY$25:AY$83,Налоги!$F$25:$F$83,$F536,Налоги!$AB$25:$AB$83,$G536)</f>
        <v>0</v>
      </c>
      <c r="BA536" s="951">
        <f>_xlfn.SUMIFS(Налоги!AZ$25:AZ$83,Налоги!$F$25:$F$83,$F536,Налоги!$AB$25:$AB$83,$G536)</f>
        <v>0</v>
      </c>
      <c r="BB536" s="951">
        <f>_xlfn.SUMIFS(Налоги!BA$25:BA$83,Налоги!$F$25:$F$83,$F536,Налоги!$AB$25:$AB$83,$G536)</f>
        <v>0</v>
      </c>
      <c r="BC536" s="951">
        <f>_xlfn.SUMIFS(Налоги!BB$25:BB$83,Налоги!$F$25:$F$83,$F536,Налоги!$AB$25:$AB$83,$G536)</f>
        <v>0</v>
      </c>
      <c r="BD536" s="951">
        <f>IF(AI536=0,0,(AT536-AI536)/AI536*100)</f>
        <v>0</v>
      </c>
      <c r="BE536" s="951">
        <f>IF(AT536=0,0,(AU536-AT536)/AT536*100)</f>
        <v>0</v>
      </c>
      <c r="BF536" s="951">
        <f>IF(AU536=0,0,(AV536-AU536)/AU536*100)</f>
        <v>0</v>
      </c>
      <c r="BG536" s="951">
        <f>IF(AV536=0,0,(AW536-AV536)/AV536*100)</f>
        <v>0</v>
      </c>
      <c r="BH536" s="951">
        <f>IF(AW536=0,0,(AX536-AW536)/AW536*100)</f>
        <v>0</v>
      </c>
      <c r="BI536" s="951">
        <f>IF(AX536=0,0,(AY536-AX536)/AX536*100)</f>
        <v>0</v>
      </c>
      <c r="BJ536" s="951">
        <f>IF(AY536=0,0,(AZ536-AY536)/AY536*100)</f>
        <v>0</v>
      </c>
      <c r="BK536" s="951">
        <f>IF(AZ536=0,0,(BA536-AZ536)/AZ536*100)</f>
        <v>0</v>
      </c>
      <c r="BL536" s="951">
        <f>IF(BA536=0,0,(BB536-BA536)/BA536*100)</f>
        <v>0</v>
      </c>
      <c r="BM536" s="951">
        <f>IF(BB536=0,0,(BC536-BB536)/BB536*100)</f>
        <v>0</v>
      </c>
      <c r="BN536" s="6533"/>
      <c r="BO536" s="6525" t="str">
        <f>IF(_xlfn.IFERROR(INDEX(Налоги!$K$26:$L$83,MATCH($F536&amp;"9komm",Налоги!$K$26:$K$83,0),2),"")=0,"",_xlfn.IFERROR(INDEX(Налоги!$K$26:$L$83,MATCH($F536&amp;"9komm",Налоги!$K$26:$K$83,0),2),""))</f>
        <v/>
      </c>
      <c r="BP536" s="6533"/>
      <c r="BQ536" s="1252"/>
      <c r="BR536" s="1252"/>
      <c r="BS536" s="1079" t="s">
        <v>2336</v>
      </c>
      <c r="BT536" s="1079"/>
      <c r="BU536" s="1079"/>
      <c r="BV536" s="1080"/>
      <c r="BW536" s="1080"/>
    </row>
    <row s="1656" customFormat="1" customHeight="1" ht="14.25">
      <c r="A537" s="1297"/>
      <c r="B537" s="92"/>
      <c r="C537" s="103"/>
      <c r="D537" s="103"/>
      <c r="E537" s="626">
        <v>15</v>
      </c>
      <c r="F537" s="50" cm="1" t="str">
        <f t="array" ref="F537:F537">OFFSET(E537,-1,1)</f>
        <v>3</v>
      </c>
      <c r="G537" s="929">
        <v>10</v>
      </c>
      <c r="H537" s="103"/>
      <c r="I537" s="103" t="s">
        <v>2337</v>
      </c>
      <c r="J537" s="103"/>
      <c r="K537" s="103" t="s">
        <v>2337</v>
      </c>
      <c r="L537" s="988"/>
      <c r="M537" s="103"/>
      <c r="N537" s="103"/>
      <c r="O537" s="103"/>
      <c r="P537" s="103"/>
      <c r="Q537" s="103"/>
      <c r="R537" s="103"/>
      <c r="S537" s="103"/>
      <c r="T537" s="468" cm="1" t="str">
        <f t="array" ref="T537:T537">T536</f>
        <v>true</v>
      </c>
      <c r="U537" s="103"/>
      <c r="V537" s="103"/>
      <c r="W537" s="1297"/>
      <c r="X537" s="1539"/>
      <c r="Y537" s="1297"/>
      <c r="Z537" s="1529"/>
      <c r="AA537" s="1297"/>
      <c r="AB537" s="295" t="s">
        <v>2338</v>
      </c>
      <c r="AC537" s="788" t="s">
        <v>2339</v>
      </c>
      <c r="AD537" s="296" t="s">
        <v>936</v>
      </c>
      <c r="AE537" s="255">
        <f>_xlfn.SUMIFS(Налоги!AE$25:AE$83,Налоги!$F$25:$F$83,$F537,Налоги!$AB$25:$AB$83,$G537)</f>
        <v>0</v>
      </c>
      <c r="AF537" s="255">
        <f>_xlfn.SUMIFS(Налоги!AF$25:AF$83,Налоги!$F$25:$F$83,$F537,Налоги!$AB$25:$AB$83,$G537)</f>
        <v>0</v>
      </c>
      <c r="AG537" s="255">
        <f>_xlfn.SUMIFS(Налоги!AG$25:AG$83,Налоги!$F$25:$F$83,$F537,Налоги!$AB$25:$AB$83,$G537)</f>
        <v>0</v>
      </c>
      <c r="AH537" s="951">
        <f>AG537-AF537</f>
        <v>0</v>
      </c>
      <c r="AI537" s="951">
        <f>_xlfn.SUMIFS(Налоги!AH$25:AH$83,Налоги!$F$25:$F$83,$F537,Налоги!$AB$25:$AB$83,$G537)</f>
        <v>0</v>
      </c>
      <c r="AJ537" s="951">
        <f>_xlfn.SUMIFS(Налоги!AI$25:AI$83,Налоги!$F$25:$F$83,$F537,Налоги!$AB$25:$AB$83,$G537)</f>
        <v>0</v>
      </c>
      <c r="AK537" s="951">
        <f>_xlfn.SUMIFS(Налоги!AJ$25:AJ$83,Налоги!$F$25:$F$83,$F537,Налоги!$AB$25:$AB$83,$G537)</f>
        <v>0</v>
      </c>
      <c r="AL537" s="951">
        <f>_xlfn.SUMIFS(Налоги!AK$25:AK$83,Налоги!$F$25:$F$83,$F537,Налоги!$AB$25:$AB$83,$G537)</f>
        <v>0</v>
      </c>
      <c r="AM537" s="951">
        <f>_xlfn.SUMIFS(Налоги!AL$25:AL$83,Налоги!$F$25:$F$83,$F537,Налоги!$AB$25:$AB$83,$G537)</f>
        <v>0</v>
      </c>
      <c r="AN537" s="951">
        <f>_xlfn.SUMIFS(Налоги!AM$25:AM$83,Налоги!$F$25:$F$83,$F537,Налоги!$AB$25:$AB$83,$G537)</f>
        <v>0</v>
      </c>
      <c r="AO537" s="951">
        <f>_xlfn.SUMIFS(Налоги!AN$25:AN$83,Налоги!$F$25:$F$83,$F537,Налоги!$AB$25:$AB$83,$G537)</f>
        <v>0</v>
      </c>
      <c r="AP537" s="951">
        <f>_xlfn.SUMIFS(Налоги!AO$25:AO$83,Налоги!$F$25:$F$83,$F537,Налоги!$AB$25:$AB$83,$G537)</f>
        <v>0</v>
      </c>
      <c r="AQ537" s="951">
        <f>_xlfn.SUMIFS(Налоги!AP$25:AP$83,Налоги!$F$25:$F$83,$F537,Налоги!$AB$25:$AB$83,$G537)</f>
        <v>0</v>
      </c>
      <c r="AR537" s="951">
        <f>_xlfn.SUMIFS(Налоги!AQ$25:AQ$83,Налоги!$F$25:$F$83,$F537,Налоги!$AB$25:$AB$83,$G537)</f>
        <v>0</v>
      </c>
      <c r="AS537" s="951">
        <f>_xlfn.SUMIFS(Налоги!AR$25:AR$83,Налоги!$F$25:$F$83,$F537,Налоги!$AB$25:$AB$83,$G537)</f>
        <v>0</v>
      </c>
      <c r="AT537" s="951">
        <f>_xlfn.SUMIFS(Налоги!AS$25:AS$83,Налоги!$F$25:$F$83,$F537,Налоги!$AB$25:$AB$83,$G537)</f>
        <v>0</v>
      </c>
      <c r="AU537" s="951">
        <f>_xlfn.SUMIFS(Налоги!AT$25:AT$83,Налоги!$F$25:$F$83,$F537,Налоги!$AB$25:$AB$83,$G537)</f>
        <v>0</v>
      </c>
      <c r="AV537" s="951">
        <f>_xlfn.SUMIFS(Налоги!AU$25:AU$83,Налоги!$F$25:$F$83,$F537,Налоги!$AB$25:$AB$83,$G537)</f>
        <v>0</v>
      </c>
      <c r="AW537" s="951">
        <f>_xlfn.SUMIFS(Налоги!AV$25:AV$83,Налоги!$F$25:$F$83,$F537,Налоги!$AB$25:$AB$83,$G537)</f>
        <v>0</v>
      </c>
      <c r="AX537" s="951">
        <f>_xlfn.SUMIFS(Налоги!AW$25:AW$83,Налоги!$F$25:$F$83,$F537,Налоги!$AB$25:$AB$83,$G537)</f>
        <v>0</v>
      </c>
      <c r="AY537" s="951">
        <f>_xlfn.SUMIFS(Налоги!AX$25:AX$83,Налоги!$F$25:$F$83,$F537,Налоги!$AB$25:$AB$83,$G537)</f>
        <v>0</v>
      </c>
      <c r="AZ537" s="951">
        <f>_xlfn.SUMIFS(Налоги!AY$25:AY$83,Налоги!$F$25:$F$83,$F537,Налоги!$AB$25:$AB$83,$G537)</f>
        <v>0</v>
      </c>
      <c r="BA537" s="951">
        <f>_xlfn.SUMIFS(Налоги!AZ$25:AZ$83,Налоги!$F$25:$F$83,$F537,Налоги!$AB$25:$AB$83,$G537)</f>
        <v>0</v>
      </c>
      <c r="BB537" s="951">
        <f>_xlfn.SUMIFS(Налоги!BA$25:BA$83,Налоги!$F$25:$F$83,$F537,Налоги!$AB$25:$AB$83,$G537)</f>
        <v>0</v>
      </c>
      <c r="BC537" s="951">
        <f>_xlfn.SUMIFS(Налоги!BB$25:BB$83,Налоги!$F$25:$F$83,$F537,Налоги!$AB$25:$AB$83,$G537)</f>
        <v>0</v>
      </c>
      <c r="BD537" s="951">
        <f>IF(AI537=0,0,(AT537-AI537)/AI537*100)</f>
        <v>0</v>
      </c>
      <c r="BE537" s="951">
        <f>IF(AT537=0,0,(AU537-AT537)/AT537*100)</f>
        <v>0</v>
      </c>
      <c r="BF537" s="951">
        <f>IF(AU537=0,0,(AV537-AU537)/AU537*100)</f>
        <v>0</v>
      </c>
      <c r="BG537" s="951">
        <f>IF(AV537=0,0,(AW537-AV537)/AV537*100)</f>
        <v>0</v>
      </c>
      <c r="BH537" s="951">
        <f>IF(AW537=0,0,(AX537-AW537)/AW537*100)</f>
        <v>0</v>
      </c>
      <c r="BI537" s="951">
        <f>IF(AX537=0,0,(AY537-AX537)/AX537*100)</f>
        <v>0</v>
      </c>
      <c r="BJ537" s="951">
        <f>IF(AY537=0,0,(AZ537-AY537)/AY537*100)</f>
        <v>0</v>
      </c>
      <c r="BK537" s="951">
        <f>IF(AZ537=0,0,(BA537-AZ537)/AZ537*100)</f>
        <v>0</v>
      </c>
      <c r="BL537" s="951">
        <f>IF(BA537=0,0,(BB537-BA537)/BA537*100)</f>
        <v>0</v>
      </c>
      <c r="BM537" s="951">
        <f>IF(BB537=0,0,(BC537-BB537)/BB537*100)</f>
        <v>0</v>
      </c>
      <c r="BN537" s="6533"/>
      <c r="BO537" s="6525" t="str">
        <f>IF(_xlfn.IFERROR(INDEX(Налоги!$K$26:$L$83,MATCH($F537&amp;"10komm",Налоги!$K$26:$K$83,0),2),"")=0,"",_xlfn.IFERROR(INDEX(Налоги!$K$26:$L$83,MATCH($F537&amp;"10komm",Налоги!$K$26:$K$83,0),2),""))</f>
        <v/>
      </c>
      <c r="BP537" s="6533"/>
      <c r="BQ537" s="1297"/>
      <c r="BR537" s="1297"/>
      <c r="BS537" s="1072" t="s">
        <v>2340</v>
      </c>
      <c r="BT537" s="1072"/>
      <c r="BU537" s="1072"/>
      <c r="BV537" s="987"/>
      <c r="BW537" s="987"/>
    </row>
    <row s="1656" customFormat="1" customHeight="1" ht="65.25">
      <c r="A538" s="1297"/>
      <c r="B538" s="986"/>
      <c r="C538" s="1297"/>
      <c r="D538" s="1297"/>
      <c r="E538" s="709">
        <v>67.5</v>
      </c>
      <c r="F538" s="50" cm="1" t="str">
        <f t="array" ref="F538:F538">OFFSET(E538,-1,1)</f>
        <v>3</v>
      </c>
      <c r="G538" s="154" t="s">
        <v>1670</v>
      </c>
      <c r="H538" s="1297"/>
      <c r="I538" s="154" t="s">
        <v>1089</v>
      </c>
      <c r="J538" s="1297"/>
      <c r="K538" s="154" t="s">
        <v>1089</v>
      </c>
      <c r="L538" s="988"/>
      <c r="M538" s="103"/>
      <c r="N538" s="1297"/>
      <c r="O538" s="1297"/>
      <c r="P538" s="1297"/>
      <c r="Q538" s="1297"/>
      <c r="R538" s="1297"/>
      <c r="S538" s="1297"/>
      <c r="T538" s="468" cm="1" t="str">
        <f t="array" ref="T538:T538">T537</f>
        <v>true</v>
      </c>
      <c r="U538" s="1297"/>
      <c r="V538" s="1297"/>
      <c r="W538" s="1297"/>
      <c r="X538" s="1539"/>
      <c r="Y538" s="1297"/>
      <c r="Z538" s="1529"/>
      <c r="AA538" s="1297"/>
      <c r="AB538" s="295" t="s">
        <v>1090</v>
      </c>
      <c r="AC538" s="789" t="s">
        <v>1673</v>
      </c>
      <c r="AD538" s="296" t="s">
        <v>936</v>
      </c>
      <c r="AE538" s="6578"/>
      <c r="AF538" s="6578"/>
      <c r="AG538" s="6578"/>
      <c r="AH538" s="951">
        <f>AG538-AF538</f>
        <v>0</v>
      </c>
      <c r="AI538" s="6579"/>
      <c r="AJ538" s="6579"/>
      <c r="AK538" s="1277"/>
      <c r="AL538" s="1277"/>
      <c r="AM538" s="1277"/>
      <c r="AN538" s="1277"/>
      <c r="AO538" s="1277"/>
      <c r="AP538" s="1277"/>
      <c r="AQ538" s="1277"/>
      <c r="AR538" s="1277"/>
      <c r="AS538" s="1277"/>
      <c r="AT538" s="6579"/>
      <c r="AU538" s="1277"/>
      <c r="AV538" s="1277"/>
      <c r="AW538" s="1277"/>
      <c r="AX538" s="1277"/>
      <c r="AY538" s="1277"/>
      <c r="AZ538" s="1277"/>
      <c r="BA538" s="1277"/>
      <c r="BB538" s="1277"/>
      <c r="BC538" s="1277"/>
      <c r="BD538" s="951">
        <f>IF(AI538=0,0,(AT538-AI538)/AI538*100)</f>
        <v>0</v>
      </c>
      <c r="BE538" s="951">
        <f>IF(AT538=0,0,(AU538-AT538)/AT538*100)</f>
        <v>0</v>
      </c>
      <c r="BF538" s="951">
        <f>IF(AU538=0,0,(AV538-AU538)/AU538*100)</f>
        <v>0</v>
      </c>
      <c r="BG538" s="951">
        <f>IF(AV538=0,0,(AW538-AV538)/AV538*100)</f>
        <v>0</v>
      </c>
      <c r="BH538" s="951">
        <f>IF(AW538=0,0,(AX538-AW538)/AW538*100)</f>
        <v>0</v>
      </c>
      <c r="BI538" s="951">
        <f>IF(AX538=0,0,(AY538-AX538)/AX538*100)</f>
        <v>0</v>
      </c>
      <c r="BJ538" s="951">
        <f>IF(AY538=0,0,(AZ538-AY538)/AY538*100)</f>
        <v>0</v>
      </c>
      <c r="BK538" s="951">
        <f>IF(AZ538=0,0,(BA538-AZ538)/AZ538*100)</f>
        <v>0</v>
      </c>
      <c r="BL538" s="951">
        <f>IF(BA538=0,0,(BB538-BA538)/BA538*100)</f>
        <v>0</v>
      </c>
      <c r="BM538" s="951">
        <f>IF(BB538=0,0,(BC538-BB538)/BB538*100)</f>
        <v>0</v>
      </c>
      <c r="BN538" s="6533" t="s">
        <v>2493</v>
      </c>
      <c r="BO538" s="6533"/>
      <c r="BP538" s="6533"/>
      <c r="BQ538" s="1297"/>
      <c r="BR538" s="1297"/>
      <c r="BS538" s="1072" t="s">
        <v>2341</v>
      </c>
      <c r="BT538" s="1072"/>
      <c r="BU538" s="1072"/>
      <c r="BV538" s="987"/>
      <c r="BW538" s="987"/>
    </row>
    <row s="1656" customFormat="1" customHeight="1" ht="214.2522321428572">
      <c r="A539" s="1297"/>
      <c r="B539" s="986"/>
      <c r="C539" s="1297"/>
      <c r="D539" s="1297"/>
      <c r="E539" s="709">
        <v>15</v>
      </c>
      <c r="F539" s="50" cm="1" t="str">
        <f t="array" ref="F539:F539">OFFSET(E539,-1,1)</f>
        <v>3</v>
      </c>
      <c r="G539" s="154" t="s">
        <v>1192</v>
      </c>
      <c r="H539" s="1297"/>
      <c r="I539" s="154" t="s">
        <v>1092</v>
      </c>
      <c r="J539" s="1297"/>
      <c r="K539" s="154" t="s">
        <v>1092</v>
      </c>
      <c r="L539" s="988" t="s">
        <v>616</v>
      </c>
      <c r="M539" s="103"/>
      <c r="N539" s="1297"/>
      <c r="O539" s="1297"/>
      <c r="P539" s="1297"/>
      <c r="Q539" s="1297"/>
      <c r="R539" s="1297"/>
      <c r="S539" s="1297"/>
      <c r="T539" s="468" cm="1" t="str">
        <f t="array" ref="T539:T539">T538</f>
        <v>true</v>
      </c>
      <c r="U539" s="1297"/>
      <c r="V539" s="1297"/>
      <c r="W539" s="1297"/>
      <c r="X539" s="1539"/>
      <c r="Y539" s="1297"/>
      <c r="Z539" s="1529"/>
      <c r="AA539" s="1297"/>
      <c r="AB539" s="295" t="s">
        <v>1093</v>
      </c>
      <c r="AC539" s="769" t="s">
        <v>1192</v>
      </c>
      <c r="AD539" s="296" t="s">
        <v>936</v>
      </c>
      <c r="AE539" s="255">
        <f>_xlfn.SUMIFS(Аренда!AE$25:AE$67,Аренда!$F$25:$F$67,$F539,Аренда!$G$25:$G$67,"Арендная и концессионная плата, лизинговые платежи")</f>
        <v>733.32</v>
      </c>
      <c r="AF539" s="255">
        <f>_xlfn.SUMIFS(Аренда!AF$25:AF$67,Аренда!$F$25:$F$67,$F539,Аренда!$G$25:$G$67,"Арендная и концессионная плата, лизинговые платежи")</f>
        <v>581.95</v>
      </c>
      <c r="AG539" s="255">
        <f>_xlfn.SUMIFS(Аренда!AG$25:AG$67,Аренда!$F$25:$F$67,$F539,Аренда!$G$25:$G$67,"Арендная и концессионная плата, лизинговые платежи")</f>
        <v>581.95</v>
      </c>
      <c r="AH539" s="951">
        <f>AG539-AF539</f>
        <v>0</v>
      </c>
      <c r="AI539" s="255">
        <f>_xlfn.SUMIFS(Аренда!AH$25:AH$67,Аренда!$F$25:$F$67,$F539,Аренда!$G$25:$G$67,"Арендная и концессионная плата, лизинговые платежи")</f>
        <v>581.95</v>
      </c>
      <c r="AJ539" s="255">
        <f>_xlfn.SUMIFS(Аренда!AI$25:AI$67,Аренда!$F$25:$F$67,$F539,Аренда!$G$25:$G$67,"Арендная и концессионная плата, лизинговые платежи")</f>
        <v>581.95</v>
      </c>
      <c r="AK539" s="255">
        <f>_xlfn.SUMIFS(Аренда!AJ$25:AJ$67,Аренда!$F$25:$F$67,$F539,Аренда!$G$25:$G$67,"Арендная и концессионная плата, лизинговые платежи")</f>
        <v>0</v>
      </c>
      <c r="AL539" s="255">
        <f>_xlfn.SUMIFS(Аренда!AK$25:AK$67,Аренда!$F$25:$F$67,$F539,Аренда!$G$25:$G$67,"Арендная и концессионная плата, лизинговые платежи")</f>
        <v>0</v>
      </c>
      <c r="AM539" s="255">
        <f>_xlfn.SUMIFS(Аренда!AL$25:AL$67,Аренда!$F$25:$F$67,$F539,Аренда!$G$25:$G$67,"Арендная и концессионная плата, лизинговые платежи")</f>
        <v>0</v>
      </c>
      <c r="AN539" s="255">
        <f>_xlfn.SUMIFS(Аренда!AM$25:AM$67,Аренда!$F$25:$F$67,$F539,Аренда!$G$25:$G$67,"Арендная и концессионная плата, лизинговые платежи")</f>
        <v>0</v>
      </c>
      <c r="AO539" s="255">
        <f>_xlfn.SUMIFS(Аренда!AN$25:AN$67,Аренда!$F$25:$F$67,$F539,Аренда!$G$25:$G$67,"Арендная и концессионная плата, лизинговые платежи")</f>
        <v>0</v>
      </c>
      <c r="AP539" s="255">
        <f>_xlfn.SUMIFS(Аренда!AO$25:AO$67,Аренда!$F$25:$F$67,$F539,Аренда!$G$25:$G$67,"Арендная и концессионная плата, лизинговые платежи")</f>
        <v>0</v>
      </c>
      <c r="AQ539" s="255">
        <f>_xlfn.SUMIFS(Аренда!AP$25:AP$67,Аренда!$F$25:$F$67,$F539,Аренда!$G$25:$G$67,"Арендная и концессионная плата, лизинговые платежи")</f>
        <v>0</v>
      </c>
      <c r="AR539" s="255">
        <f>_xlfn.SUMIFS(Аренда!AQ$25:AQ$67,Аренда!$F$25:$F$67,$F539,Аренда!$G$25:$G$67,"Арендная и концессионная плата, лизинговые платежи")</f>
        <v>0</v>
      </c>
      <c r="AS539" s="255">
        <f>_xlfn.SUMIFS(Аренда!AR$25:AR$67,Аренда!$F$25:$F$67,$F539,Аренда!$G$25:$G$67,"Арендная и концессионная плата, лизинговые платежи")</f>
        <v>0</v>
      </c>
      <c r="AT539" s="255">
        <f>_xlfn.SUMIFS(Аренда!AS$25:AS$67,Аренда!$F$25:$F$67,$F539,Аренда!$G$25:$G$67,"Арендная и концессионная плата, лизинговые платежи")</f>
        <v>581.95</v>
      </c>
      <c r="AU539" s="255">
        <f>_xlfn.SUMIFS(Аренда!AT$25:AT$67,Аренда!$F$25:$F$67,$F539,Аренда!$G$25:$G$67,"Арендная и концессионная плата, лизинговые платежи")</f>
        <v>0</v>
      </c>
      <c r="AV539" s="255">
        <f>_xlfn.SUMIFS(Аренда!AU$25:AU$67,Аренда!$F$25:$F$67,$F539,Аренда!$G$25:$G$67,"Арендная и концессионная плата, лизинговые платежи")</f>
        <v>0</v>
      </c>
      <c r="AW539" s="255">
        <f>_xlfn.SUMIFS(Аренда!AV$25:AV$67,Аренда!$F$25:$F$67,$F539,Аренда!$G$25:$G$67,"Арендная и концессионная плата, лизинговые платежи")</f>
        <v>0</v>
      </c>
      <c r="AX539" s="255">
        <f>_xlfn.SUMIFS(Аренда!AW$25:AW$67,Аренда!$F$25:$F$67,$F539,Аренда!$G$25:$G$67,"Арендная и концессионная плата, лизинговые платежи")</f>
        <v>0</v>
      </c>
      <c r="AY539" s="255">
        <f>_xlfn.SUMIFS(Аренда!AX$25:AX$67,Аренда!$F$25:$F$67,$F539,Аренда!$G$25:$G$67,"Арендная и концессионная плата, лизинговые платежи")</f>
        <v>0</v>
      </c>
      <c r="AZ539" s="255">
        <f>_xlfn.SUMIFS(Аренда!AY$25:AY$67,Аренда!$F$25:$F$67,$F539,Аренда!$G$25:$G$67,"Арендная и концессионная плата, лизинговые платежи")</f>
        <v>0</v>
      </c>
      <c r="BA539" s="255">
        <f>_xlfn.SUMIFS(Аренда!AZ$25:AZ$67,Аренда!$F$25:$F$67,$F539,Аренда!$G$25:$G$67,"Арендная и концессионная плата, лизинговые платежи")</f>
        <v>0</v>
      </c>
      <c r="BB539" s="255">
        <f>_xlfn.SUMIFS(Аренда!BA$25:BA$67,Аренда!$F$25:$F$67,$F539,Аренда!$G$25:$G$67,"Арендная и концессионная плата, лизинговые платежи")</f>
        <v>0</v>
      </c>
      <c r="BC539" s="255">
        <f>_xlfn.SUMIFS(Аренда!BB$25:BB$67,Аренда!$F$25:$F$67,$F539,Аренда!$G$25:$G$67,"Арендная и концессионная плата, лизинговые платежи")</f>
        <v>0</v>
      </c>
      <c r="BD539" s="951">
        <f>IF(AI539=0,0,(AT539-AI539)/AI539*100)</f>
        <v>0</v>
      </c>
      <c r="BE539" s="951">
        <f>IF(AT539=0,0,(AU539-AT539)/AT539*100)</f>
        <v>-100</v>
      </c>
      <c r="BF539" s="951">
        <f>IF(AU539=0,0,(AV539-AU539)/AU539*100)</f>
        <v>0</v>
      </c>
      <c r="BG539" s="951">
        <f>IF(AV539=0,0,(AW539-AV539)/AV539*100)</f>
        <v>0</v>
      </c>
      <c r="BH539" s="951">
        <f>IF(AW539=0,0,(AX539-AW539)/AW539*100)</f>
        <v>0</v>
      </c>
      <c r="BI539" s="951">
        <f>IF(AX539=0,0,(AY539-AX539)/AX539*100)</f>
        <v>0</v>
      </c>
      <c r="BJ539" s="951">
        <f>IF(AY539=0,0,(AZ539-AY539)/AY539*100)</f>
        <v>0</v>
      </c>
      <c r="BK539" s="951">
        <f>IF(AZ539=0,0,(BA539-AZ539)/AZ539*100)</f>
        <v>0</v>
      </c>
      <c r="BL539" s="951">
        <f>IF(BA539=0,0,(BB539-BA539)/BA539*100)</f>
        <v>0</v>
      </c>
      <c r="BM539" s="951">
        <f>IF(BB539=0,0,(BC539-BB539)/BB539*100)</f>
        <v>0</v>
      </c>
      <c r="BN539" s="6533" t="s">
        <v>2494</v>
      </c>
      <c r="BO539" s="6580" t="str">
        <f>IF(_xlfn.IFERROR(INDEX(Аренда!$K$26:$L$67,MATCH($F539&amp;"komm",Аренда!$K$26:$K$67,0),2),"")=0,"",_xlfn.IFERROR(INDEX(Аренда!$K$26:$L$67,MATCH($F539&amp;"komm",Аренда!$K$26:$K$67,0),2),""))</f>
        <v>П. 29 "Методических указаний…" ФСТ России (приказ от 27.12.2013 № 1746-э).</v>
      </c>
      <c r="BP539" s="6533" t="s">
        <v>1823</v>
      </c>
      <c r="BQ539" s="1297"/>
      <c r="BR539" s="1297"/>
      <c r="BS539" s="1072" t="s">
        <v>2342</v>
      </c>
      <c r="BT539" s="1072"/>
      <c r="BU539" s="1072"/>
      <c r="BV539" s="987"/>
      <c r="BW539" s="987"/>
    </row>
    <row s="1656" customFormat="1" customHeight="1" ht="312.96874999999994">
      <c r="A540" s="1297"/>
      <c r="B540" s="434">
        <f>STATUS_GO="да"</f>
        <v>0</v>
      </c>
      <c r="C540" s="1297"/>
      <c r="D540" s="1297"/>
      <c r="E540" s="709">
        <v>15</v>
      </c>
      <c r="F540" s="50" cm="1" t="str">
        <f t="array" ref="F540:F540">OFFSET(E540,-1,1)</f>
        <v>3</v>
      </c>
      <c r="G540" s="1297"/>
      <c r="H540" s="1297"/>
      <c r="I540" s="154" t="s">
        <v>2343</v>
      </c>
      <c r="J540" s="1297"/>
      <c r="K540" s="154" t="s">
        <v>2343</v>
      </c>
      <c r="L540" s="988"/>
      <c r="M540" s="103"/>
      <c r="N540" s="1297"/>
      <c r="O540" s="1297"/>
      <c r="P540" s="1297"/>
      <c r="Q540" s="1297"/>
      <c r="R540" s="1297"/>
      <c r="S540" s="1297"/>
      <c r="T540" s="468" cm="1" t="str">
        <f t="array" ref="T540:T540">T539</f>
        <v>true</v>
      </c>
      <c r="U540" s="1297"/>
      <c r="V540" s="1297"/>
      <c r="W540" s="1297"/>
      <c r="X540" s="1539"/>
      <c r="Y540" s="1297"/>
      <c r="Z540" s="1529"/>
      <c r="AA540" s="1297"/>
      <c r="AB540" s="295" t="s">
        <v>1737</v>
      </c>
      <c r="AC540" s="769" t="s">
        <v>2344</v>
      </c>
      <c r="AD540" s="296" t="s">
        <v>936</v>
      </c>
      <c r="AE540" s="6531">
        <v>345.52</v>
      </c>
      <c r="AF540" s="6531">
        <v>72.52</v>
      </c>
      <c r="AG540" s="6531">
        <v>72.52</v>
      </c>
      <c r="AH540" s="951">
        <f>AG540-AF540</f>
        <v>0</v>
      </c>
      <c r="AI540" s="6524"/>
      <c r="AJ540" s="6524">
        <v>345.51</v>
      </c>
      <c r="AK540" s="1272"/>
      <c r="AL540" s="1272"/>
      <c r="AM540" s="1272"/>
      <c r="AN540" s="1272"/>
      <c r="AO540" s="1272"/>
      <c r="AP540" s="1272"/>
      <c r="AQ540" s="1272"/>
      <c r="AR540" s="1272"/>
      <c r="AS540" s="1272"/>
      <c r="AT540" s="6524"/>
      <c r="AU540" s="1272"/>
      <c r="AV540" s="1272"/>
      <c r="AW540" s="1272"/>
      <c r="AX540" s="1272"/>
      <c r="AY540" s="1272"/>
      <c r="AZ540" s="1272"/>
      <c r="BA540" s="1272"/>
      <c r="BB540" s="1272"/>
      <c r="BC540" s="1272"/>
      <c r="BD540" s="951">
        <f>IF(AI540=0,0,(AT540-AI540)/AI540*100)</f>
        <v>0</v>
      </c>
      <c r="BE540" s="951">
        <f>IF(AT540=0,0,(AU540-AT540)/AT540*100)</f>
        <v>0</v>
      </c>
      <c r="BF540" s="951">
        <f>IF(AU540=0,0,(AV540-AU540)/AU540*100)</f>
        <v>0</v>
      </c>
      <c r="BG540" s="951">
        <f>IF(AV540=0,0,(AW540-AV540)/AV540*100)</f>
        <v>0</v>
      </c>
      <c r="BH540" s="951">
        <f>IF(AW540=0,0,(AX540-AW540)/AW540*100)</f>
        <v>0</v>
      </c>
      <c r="BI540" s="951">
        <f>IF(AX540=0,0,(AY540-AX540)/AX540*100)</f>
        <v>0</v>
      </c>
      <c r="BJ540" s="951">
        <f>IF(AY540=0,0,(AZ540-AY540)/AY540*100)</f>
        <v>0</v>
      </c>
      <c r="BK540" s="951">
        <f>IF(AZ540=0,0,(BA540-AZ540)/AZ540*100)</f>
        <v>0</v>
      </c>
      <c r="BL540" s="951">
        <f>IF(BA540=0,0,(BB540-BA540)/BA540*100)</f>
        <v>0</v>
      </c>
      <c r="BM540" s="951">
        <f>IF(BB540=0,0,(BC540-BB540)/BB540*100)</f>
        <v>0</v>
      </c>
      <c r="BN540" s="6533" t="s">
        <v>2496</v>
      </c>
      <c r="BO540" s="6533" t="s">
        <v>2562</v>
      </c>
      <c r="BP540" s="6533" t="s">
        <v>2498</v>
      </c>
      <c r="BQ540" s="1297"/>
      <c r="BR540" s="1297"/>
      <c r="BS540" s="1072" t="s">
        <v>2345</v>
      </c>
      <c r="BT540" s="1072"/>
      <c r="BU540" s="1072"/>
      <c r="BV540" s="987"/>
      <c r="BW540" s="987"/>
    </row>
    <row s="1656" customFormat="1" customHeight="1" ht="41.302083333333336">
      <c r="A541" s="1297"/>
      <c r="B541" s="434">
        <f>STATUS_GO="да"</f>
        <v>0</v>
      </c>
      <c r="C541" s="1297"/>
      <c r="D541" s="1297"/>
      <c r="E541" s="709">
        <v>15</v>
      </c>
      <c r="F541" s="50" cm="1" t="str">
        <f t="array" ref="F541:F541">OFFSET(E541,-1,1)</f>
        <v>3</v>
      </c>
      <c r="G541" s="154" t="s">
        <v>1679</v>
      </c>
      <c r="H541" s="1297"/>
      <c r="I541" s="154" t="s">
        <v>2346</v>
      </c>
      <c r="J541" s="1297"/>
      <c r="K541" s="154" t="s">
        <v>2346</v>
      </c>
      <c r="L541" s="988"/>
      <c r="M541" s="103"/>
      <c r="N541" s="1297"/>
      <c r="O541" s="1297"/>
      <c r="P541" s="1297"/>
      <c r="Q541" s="1297"/>
      <c r="R541" s="1297"/>
      <c r="S541" s="1297"/>
      <c r="T541" s="468" cm="1" t="str">
        <f t="array" ref="T541:T541">T540</f>
        <v>true</v>
      </c>
      <c r="U541" s="1297"/>
      <c r="V541" s="1297"/>
      <c r="W541" s="1297"/>
      <c r="X541" s="1539"/>
      <c r="Y541" s="1297"/>
      <c r="Z541" s="1529"/>
      <c r="AA541" s="1297"/>
      <c r="AB541" s="295" t="s">
        <v>2347</v>
      </c>
      <c r="AC541" s="772" t="s">
        <v>1679</v>
      </c>
      <c r="AD541" s="296" t="s">
        <v>936</v>
      </c>
      <c r="AE541" s="6531"/>
      <c r="AF541" s="6531"/>
      <c r="AG541" s="6531"/>
      <c r="AH541" s="951">
        <f>AG541-AF541</f>
        <v>0</v>
      </c>
      <c r="AI541" s="6524"/>
      <c r="AJ541" s="6524"/>
      <c r="AK541" s="1272"/>
      <c r="AL541" s="1272"/>
      <c r="AM541" s="1272"/>
      <c r="AN541" s="1272"/>
      <c r="AO541" s="1272"/>
      <c r="AP541" s="1272"/>
      <c r="AQ541" s="1272"/>
      <c r="AR541" s="1272"/>
      <c r="AS541" s="1272"/>
      <c r="AT541" s="6524"/>
      <c r="AU541" s="1272"/>
      <c r="AV541" s="1272"/>
      <c r="AW541" s="1272"/>
      <c r="AX541" s="1272"/>
      <c r="AY541" s="1272"/>
      <c r="AZ541" s="1272"/>
      <c r="BA541" s="1272"/>
      <c r="BB541" s="1272"/>
      <c r="BC541" s="1272"/>
      <c r="BD541" s="951">
        <f>IF(AI541=0,0,(AT541-AI541)/AI541*100)</f>
        <v>0</v>
      </c>
      <c r="BE541" s="951">
        <f>IF(AT541=0,0,(AU541-AT541)/AT541*100)</f>
        <v>0</v>
      </c>
      <c r="BF541" s="951">
        <f>IF(AU541=0,0,(AV541-AU541)/AU541*100)</f>
        <v>0</v>
      </c>
      <c r="BG541" s="951">
        <f>IF(AV541=0,0,(AW541-AV541)/AV541*100)</f>
        <v>0</v>
      </c>
      <c r="BH541" s="951">
        <f>IF(AW541=0,0,(AX541-AW541)/AW541*100)</f>
        <v>0</v>
      </c>
      <c r="BI541" s="951">
        <f>IF(AX541=0,0,(AY541-AX541)/AX541*100)</f>
        <v>0</v>
      </c>
      <c r="BJ541" s="951">
        <f>IF(AY541=0,0,(AZ541-AY541)/AY541*100)</f>
        <v>0</v>
      </c>
      <c r="BK541" s="951">
        <f>IF(AZ541=0,0,(BA541-AZ541)/AZ541*100)</f>
        <v>0</v>
      </c>
      <c r="BL541" s="951">
        <f>IF(BA541=0,0,(BB541-BA541)/BA541*100)</f>
        <v>0</v>
      </c>
      <c r="BM541" s="951">
        <f>IF(BB541=0,0,(BC541-BB541)/BB541*100)</f>
        <v>0</v>
      </c>
      <c r="BN541" s="6533" t="s">
        <v>2499</v>
      </c>
      <c r="BO541" s="6580" t="str">
        <f>IF(_xlfn.IFERROR(INDEX('Сбытовые расходы ГО'!$K$26:$M$75,MATCH($F541&amp;"komm",'Сбытовые расходы ГО'!$K$26:$K$75,0),2),"")=0,"",_xlfn.IFERROR(INDEX('Сбытовые расходы ГО'!$K$26:$M$75,MATCH($F541&amp;"komm",'Сбытовые расходы ГО'!$K$26:$K$75,0),2),""))</f>
        <v/>
      </c>
      <c r="BP541" s="6533"/>
      <c r="BQ541" s="1297"/>
      <c r="BR541" s="1297"/>
      <c r="BS541" s="1072" t="s">
        <v>2348</v>
      </c>
      <c r="BT541" s="1072"/>
      <c r="BU541" s="1072"/>
      <c r="BV541" s="987"/>
      <c r="BW541" s="987"/>
    </row>
    <row s="1656" customFormat="1" customHeight="1" ht="14.625">
      <c r="A542" s="1297"/>
      <c r="B542" s="986"/>
      <c r="C542" s="1297"/>
      <c r="D542" s="1297"/>
      <c r="E542" s="709">
        <v>15</v>
      </c>
      <c r="F542" s="50" cm="1" t="str">
        <f t="array" ref="F542:F542">OFFSET(E542,-1,1)</f>
        <v>3</v>
      </c>
      <c r="G542" s="154" t="s">
        <v>1684</v>
      </c>
      <c r="H542" s="1297"/>
      <c r="I542" s="154" t="s">
        <v>2349</v>
      </c>
      <c r="J542" s="1297"/>
      <c r="K542" s="154" t="s">
        <v>2349</v>
      </c>
      <c r="L542" s="988"/>
      <c r="M542" s="103"/>
      <c r="N542" s="1297"/>
      <c r="O542" s="1297"/>
      <c r="P542" s="1297"/>
      <c r="Q542" s="1297"/>
      <c r="R542" s="1297"/>
      <c r="S542" s="1297"/>
      <c r="T542" s="468" cm="1" t="str">
        <f t="array" ref="T542:T542">T541</f>
        <v>true</v>
      </c>
      <c r="U542" s="1297"/>
      <c r="V542" s="1297"/>
      <c r="W542" s="1297"/>
      <c r="X542" s="1539"/>
      <c r="Y542" s="1297"/>
      <c r="Z542" s="1529"/>
      <c r="AA542" s="1297"/>
      <c r="AB542" s="295" t="s">
        <v>1742</v>
      </c>
      <c r="AC542" s="769" t="s">
        <v>1684</v>
      </c>
      <c r="AD542" s="296" t="s">
        <v>936</v>
      </c>
      <c r="AE542" s="6531">
        <v>0</v>
      </c>
      <c r="AF542" s="6531"/>
      <c r="AG542" s="6531"/>
      <c r="AH542" s="951">
        <f>AG542-AF542</f>
        <v>0</v>
      </c>
      <c r="AI542" s="6524">
        <v>0</v>
      </c>
      <c r="AJ542" s="6524">
        <f>_xlfn.SUMIFS(Экономия_корр!AE$25:AE$59,Экономия_корр!$F$25:$F$59,$F542,Экономия_корр!$AC$25:$AC$59,"Экономия расходов с учетом ИПЦ")</f>
        <v>0</v>
      </c>
      <c r="AK542" s="1272">
        <f>_xlfn.SUMIFS(Экономия_корр!AF$25:AF$59,Экономия_корр!$F$25:$F$59,$F542,Экономия_корр!$AC$25:$AC$59,"Экономия расходов с учетом ИПЦ")</f>
        <v>0</v>
      </c>
      <c r="AL542" s="1272">
        <f>_xlfn.SUMIFS(Экономия_корр!AG$25:AG$59,Экономия_корр!$F$25:$F$59,$F542,Экономия_корр!$AC$25:$AC$59,"Экономия расходов с учетом ИПЦ")</f>
        <v>0</v>
      </c>
      <c r="AM542" s="1272">
        <f>_xlfn.SUMIFS(Экономия_корр!AH$25:AH$59,Экономия_корр!$F$25:$F$59,$F542,Экономия_корр!$AC$25:$AC$59,"Экономия расходов с учетом ИПЦ")</f>
        <v>0</v>
      </c>
      <c r="AN542" s="1272">
        <f>_xlfn.SUMIFS(Экономия_корр!AI$25:AI$59,Экономия_корр!$F$25:$F$59,$F542,Экономия_корр!$AC$25:$AC$59,"Экономия расходов с учетом ИПЦ")</f>
        <v>0</v>
      </c>
      <c r="AO542" s="1272">
        <f>_xlfn.SUMIFS(Экономия_корр!AJ$25:AJ$59,Экономия_корр!$F$25:$F$59,$F542,Экономия_корр!$AC$25:$AC$59,"Экономия расходов с учетом ИПЦ")</f>
        <v>0</v>
      </c>
      <c r="AP542" s="1272">
        <f>_xlfn.SUMIFS(Экономия_корр!AK$25:AK$59,Экономия_корр!$F$25:$F$59,$F542,Экономия_корр!$AC$25:$AC$59,"Экономия расходов с учетом ИПЦ")</f>
        <v>0</v>
      </c>
      <c r="AQ542" s="1272">
        <f>_xlfn.SUMIFS(Экономия_корр!AL$25:AL$59,Экономия_корр!$F$25:$F$59,$F542,Экономия_корр!$AC$25:$AC$59,"Экономия расходов с учетом ИПЦ")</f>
        <v>0</v>
      </c>
      <c r="AR542" s="1272">
        <f>_xlfn.SUMIFS(Экономия_корр!AM$25:AM$59,Экономия_корр!$F$25:$F$59,$F542,Экономия_корр!$AC$25:$AC$59,"Экономия расходов с учетом ИПЦ")</f>
        <v>0</v>
      </c>
      <c r="AS542" s="1272">
        <f>_xlfn.SUMIFS(Экономия_корр!AN$25:AN$59,Экономия_корр!$F$25:$F$59,$F542,Экономия_корр!$AC$25:$AC$59,"Экономия расходов с учетом ИПЦ")</f>
        <v>0</v>
      </c>
      <c r="AT542" s="6524">
        <f>_xlfn.SUMIFS(Экономия_корр!AO$25:AO$59,Экономия_корр!$F$25:$F$59,$F542,Экономия_корр!$AC$25:$AC$59,"Экономия расходов с учетом ИПЦ")</f>
        <v>0</v>
      </c>
      <c r="AU542" s="1272">
        <f>_xlfn.SUMIFS(Экономия_корр!AP$25:AP$59,Экономия_корр!$F$25:$F$59,$F542,Экономия_корр!$AC$25:$AC$59,"Экономия расходов с учетом ИПЦ")</f>
        <v>0</v>
      </c>
      <c r="AV542" s="1272">
        <f>_xlfn.SUMIFS(Экономия_корр!AQ$25:AQ$59,Экономия_корр!$F$25:$F$59,$F542,Экономия_корр!$AC$25:$AC$59,"Экономия расходов с учетом ИПЦ")</f>
        <v>0</v>
      </c>
      <c r="AW542" s="1272">
        <f>_xlfn.SUMIFS(Экономия_корр!AR$25:AR$59,Экономия_корр!$F$25:$F$59,$F542,Экономия_корр!$AC$25:$AC$59,"Экономия расходов с учетом ИПЦ")</f>
        <v>0</v>
      </c>
      <c r="AX542" s="1272">
        <f>_xlfn.SUMIFS(Экономия_корр!AS$25:AS$59,Экономия_корр!$F$25:$F$59,$F542,Экономия_корр!$AC$25:$AC$59,"Экономия расходов с учетом ИПЦ")</f>
        <v>0</v>
      </c>
      <c r="AY542" s="1272">
        <f>_xlfn.SUMIFS(Экономия_корр!AT$25:AT$59,Экономия_корр!$F$25:$F$59,$F542,Экономия_корр!$AC$25:$AC$59,"Экономия расходов с учетом ИПЦ")</f>
        <v>0</v>
      </c>
      <c r="AZ542" s="1272">
        <f>_xlfn.SUMIFS(Экономия_корр!AU$25:AU$59,Экономия_корр!$F$25:$F$59,$F542,Экономия_корр!$AC$25:$AC$59,"Экономия расходов с учетом ИПЦ")</f>
        <v>0</v>
      </c>
      <c r="BA542" s="1272">
        <f>_xlfn.SUMIFS(Экономия_корр!AV$25:AV$59,Экономия_корр!$F$25:$F$59,$F542,Экономия_корр!$AC$25:$AC$59,"Экономия расходов с учетом ИПЦ")</f>
        <v>0</v>
      </c>
      <c r="BB542" s="1272">
        <f>_xlfn.SUMIFS(Экономия_корр!AW$25:AW$59,Экономия_корр!$F$25:$F$59,$F542,Экономия_корр!$AC$25:$AC$59,"Экономия расходов с учетом ИПЦ")</f>
        <v>0</v>
      </c>
      <c r="BC542" s="1272">
        <f>_xlfn.SUMIFS(Экономия_корр!AX$25:AX$59,Экономия_корр!$F$25:$F$59,$F542,Экономия_корр!$AC$25:$AC$59,"Экономия расходов с учетом ИПЦ")</f>
        <v>0</v>
      </c>
      <c r="BD542" s="951">
        <f>IF(AI542=0,0,(AT542-AI542)/AI542*100)</f>
        <v>0</v>
      </c>
      <c r="BE542" s="951">
        <f>IF(AT542=0,0,(AU542-AT542)/AT542*100)</f>
        <v>0</v>
      </c>
      <c r="BF542" s="951">
        <f>IF(AU542=0,0,(AV542-AU542)/AU542*100)</f>
        <v>0</v>
      </c>
      <c r="BG542" s="951">
        <f>IF(AV542=0,0,(AW542-AV542)/AV542*100)</f>
        <v>0</v>
      </c>
      <c r="BH542" s="951">
        <f>IF(AW542=0,0,(AX542-AW542)/AW542*100)</f>
        <v>0</v>
      </c>
      <c r="BI542" s="951">
        <f>IF(AX542=0,0,(AY542-AX542)/AX542*100)</f>
        <v>0</v>
      </c>
      <c r="BJ542" s="951">
        <f>IF(AY542=0,0,(AZ542-AY542)/AY542*100)</f>
        <v>0</v>
      </c>
      <c r="BK542" s="951">
        <f>IF(AZ542=0,0,(BA542-AZ542)/AZ542*100)</f>
        <v>0</v>
      </c>
      <c r="BL542" s="951">
        <f>IF(BA542=0,0,(BB542-BA542)/BA542*100)</f>
        <v>0</v>
      </c>
      <c r="BM542" s="951">
        <f>IF(BB542=0,0,(BC542-BB542)/BB542*100)</f>
        <v>0</v>
      </c>
      <c r="BN542" s="6533"/>
      <c r="BO542" s="6533"/>
      <c r="BP542" s="6533"/>
      <c r="BQ542" s="1297"/>
      <c r="BR542" s="1297"/>
      <c r="BS542" s="1072" t="s">
        <v>2350</v>
      </c>
      <c r="BT542" s="1072"/>
      <c r="BU542" s="1072"/>
      <c r="BV542" s="987"/>
      <c r="BW542" s="987"/>
    </row>
    <row s="1656" customFormat="1" customHeight="1" ht="14.25">
      <c r="A543" s="1297"/>
      <c r="B543" s="986"/>
      <c r="C543" s="1297"/>
      <c r="D543" s="1297"/>
      <c r="E543" s="709">
        <v>15</v>
      </c>
      <c r="F543" s="50" cm="1" t="str">
        <f t="array" ref="F543:F543">OFFSET(E543,-1,1)</f>
        <v>3</v>
      </c>
      <c r="G543" s="154" t="s">
        <v>1689</v>
      </c>
      <c r="H543" s="1297"/>
      <c r="I543" s="154" t="s">
        <v>2351</v>
      </c>
      <c r="J543" s="1297"/>
      <c r="K543" s="154" t="s">
        <v>2351</v>
      </c>
      <c r="L543" s="988"/>
      <c r="M543" s="103"/>
      <c r="N543" s="1297"/>
      <c r="O543" s="1297"/>
      <c r="P543" s="1297"/>
      <c r="Q543" s="1297"/>
      <c r="R543" s="1297"/>
      <c r="S543" s="1297"/>
      <c r="T543" s="468" cm="1" t="str">
        <f t="array" ref="T543:T543">T542</f>
        <v>true</v>
      </c>
      <c r="U543" s="1297"/>
      <c r="V543" s="1297"/>
      <c r="W543" s="1297"/>
      <c r="X543" s="1539"/>
      <c r="Y543" s="1297"/>
      <c r="Z543" s="1529"/>
      <c r="AA543" s="1297"/>
      <c r="AB543" s="295" t="s">
        <v>2352</v>
      </c>
      <c r="AC543" s="769" t="s">
        <v>1689</v>
      </c>
      <c r="AD543" s="296" t="s">
        <v>936</v>
      </c>
      <c r="AE543" s="6531"/>
      <c r="AF543" s="6531"/>
      <c r="AG543" s="6531"/>
      <c r="AH543" s="951">
        <f>AG543-AF543</f>
        <v>0</v>
      </c>
      <c r="AI543" s="6524"/>
      <c r="AJ543" s="6524"/>
      <c r="AK543" s="1272"/>
      <c r="AL543" s="1272"/>
      <c r="AM543" s="1272"/>
      <c r="AN543" s="1272"/>
      <c r="AO543" s="1272"/>
      <c r="AP543" s="1272"/>
      <c r="AQ543" s="1272"/>
      <c r="AR543" s="1272"/>
      <c r="AS543" s="1272"/>
      <c r="AT543" s="6524"/>
      <c r="AU543" s="1272"/>
      <c r="AV543" s="1272"/>
      <c r="AW543" s="1272"/>
      <c r="AX543" s="1272"/>
      <c r="AY543" s="1272"/>
      <c r="AZ543" s="1272"/>
      <c r="BA543" s="1272"/>
      <c r="BB543" s="1272"/>
      <c r="BC543" s="1272"/>
      <c r="BD543" s="951">
        <f>IF(AI543=0,0,(AT543-AI543)/AI543*100)</f>
        <v>0</v>
      </c>
      <c r="BE543" s="951">
        <f>IF(AT543=0,0,(AU543-AT543)/AT543*100)</f>
        <v>0</v>
      </c>
      <c r="BF543" s="951">
        <f>IF(AU543=0,0,(AV543-AU543)/AU543*100)</f>
        <v>0</v>
      </c>
      <c r="BG543" s="951">
        <f>IF(AV543=0,0,(AW543-AV543)/AV543*100)</f>
        <v>0</v>
      </c>
      <c r="BH543" s="951">
        <f>IF(AW543=0,0,(AX543-AW543)/AW543*100)</f>
        <v>0</v>
      </c>
      <c r="BI543" s="951">
        <f>IF(AX543=0,0,(AY543-AX543)/AX543*100)</f>
        <v>0</v>
      </c>
      <c r="BJ543" s="951">
        <f>IF(AY543=0,0,(AZ543-AY543)/AY543*100)</f>
        <v>0</v>
      </c>
      <c r="BK543" s="951">
        <f>IF(AZ543=0,0,(BA543-AZ543)/AZ543*100)</f>
        <v>0</v>
      </c>
      <c r="BL543" s="951">
        <f>IF(BA543=0,0,(BB543-BA543)/BA543*100)</f>
        <v>0</v>
      </c>
      <c r="BM543" s="951">
        <f>IF(BB543=0,0,(BC543-BB543)/BB543*100)</f>
        <v>0</v>
      </c>
      <c r="BN543" s="6533"/>
      <c r="BO543" s="6533"/>
      <c r="BP543" s="6533"/>
      <c r="BQ543" s="1297"/>
      <c r="BR543" s="1297"/>
      <c r="BS543" s="1072" t="s">
        <v>2089</v>
      </c>
      <c r="BT543" s="1072"/>
      <c r="BU543" s="1072"/>
      <c r="BV543" s="987"/>
      <c r="BW543" s="987"/>
    </row>
    <row s="1656" customFormat="1" customHeight="1" ht="213.18080357142858">
      <c r="A544" s="1297"/>
      <c r="B544" s="986"/>
      <c r="C544" s="1297"/>
      <c r="D544" s="1297"/>
      <c r="E544" s="709">
        <v>15</v>
      </c>
      <c r="F544" s="50" cm="1" t="str">
        <f t="array" ref="F544:F544">OFFSET(E544,-1,1)</f>
        <v>3</v>
      </c>
      <c r="G544" s="154" t="s">
        <v>1694</v>
      </c>
      <c r="H544" s="1297"/>
      <c r="I544" s="154" t="s">
        <v>2353</v>
      </c>
      <c r="J544" s="1297"/>
      <c r="K544" s="154" t="s">
        <v>2353</v>
      </c>
      <c r="L544" s="988"/>
      <c r="M544" s="103"/>
      <c r="N544" s="1297"/>
      <c r="O544" s="1297"/>
      <c r="P544" s="1297"/>
      <c r="Q544" s="1297"/>
      <c r="R544" s="1297"/>
      <c r="S544" s="1297"/>
      <c r="T544" s="468" cm="1" t="str">
        <f t="array" ref="T544:T544">T543</f>
        <v>true</v>
      </c>
      <c r="U544" s="1297"/>
      <c r="V544" s="1297"/>
      <c r="W544" s="1297"/>
      <c r="X544" s="1539"/>
      <c r="Y544" s="1297"/>
      <c r="Z544" s="1529"/>
      <c r="AA544" s="1297"/>
      <c r="AB544" s="295" t="s">
        <v>1761</v>
      </c>
      <c r="AC544" s="769" t="s">
        <v>1694</v>
      </c>
      <c r="AD544" s="296" t="s">
        <v>936</v>
      </c>
      <c r="AE544" s="6531"/>
      <c r="AF544" s="6531"/>
      <c r="AG544" s="6531"/>
      <c r="AH544" s="951">
        <f>AG544-AF544</f>
        <v>0</v>
      </c>
      <c r="AI544" s="6524">
        <v>4772.38</v>
      </c>
      <c r="AJ544" s="6524">
        <f>332.738+236.18+331.55+494.25</f>
        <v>1394.718</v>
      </c>
      <c r="AK544" s="1272"/>
      <c r="AL544" s="1272"/>
      <c r="AM544" s="1272"/>
      <c r="AN544" s="1272"/>
      <c r="AO544" s="1272"/>
      <c r="AP544" s="1272"/>
      <c r="AQ544" s="1272"/>
      <c r="AR544" s="1272"/>
      <c r="AS544" s="1272"/>
      <c r="AT544" s="6524">
        <f>332.738+331.55</f>
        <v>664.288</v>
      </c>
      <c r="AU544" s="1272"/>
      <c r="AV544" s="1272"/>
      <c r="AW544" s="1272"/>
      <c r="AX544" s="1272"/>
      <c r="AY544" s="1272"/>
      <c r="AZ544" s="1272"/>
      <c r="BA544" s="1272"/>
      <c r="BB544" s="1272"/>
      <c r="BC544" s="1272"/>
      <c r="BD544" s="951">
        <f>IF(AI544=0,0,(AT544-AI544)/AI544*100)</f>
        <v>-86.0805719578072</v>
      </c>
      <c r="BE544" s="951">
        <f>IF(AT544=0,0,(AU544-AT544)/AT544*100)</f>
        <v>-100</v>
      </c>
      <c r="BF544" s="951">
        <f>IF(AU544=0,0,(AV544-AU544)/AU544*100)</f>
        <v>0</v>
      </c>
      <c r="BG544" s="951">
        <f>IF(AV544=0,0,(AW544-AV544)/AV544*100)</f>
        <v>0</v>
      </c>
      <c r="BH544" s="951">
        <f>IF(AW544=0,0,(AX544-AW544)/AW544*100)</f>
        <v>0</v>
      </c>
      <c r="BI544" s="951">
        <f>IF(AX544=0,0,(AY544-AX544)/AX544*100)</f>
        <v>0</v>
      </c>
      <c r="BJ544" s="951">
        <f>IF(AY544=0,0,(AZ544-AY544)/AY544*100)</f>
        <v>0</v>
      </c>
      <c r="BK544" s="951">
        <f>IF(AZ544=0,0,(BA544-AZ544)/AZ544*100)</f>
        <v>0</v>
      </c>
      <c r="BL544" s="951">
        <f>IF(BA544=0,0,(BB544-BA544)/BA544*100)</f>
        <v>0</v>
      </c>
      <c r="BM544" s="951">
        <f>IF(BB544=0,0,(BC544-BB544)/BB544*100)</f>
        <v>0</v>
      </c>
      <c r="BN544" s="6533" t="s">
        <v>2563</v>
      </c>
      <c r="BO544" s="6533" t="s">
        <v>2530</v>
      </c>
      <c r="BP544" s="6533" t="s">
        <v>2598</v>
      </c>
      <c r="BQ544" s="1297"/>
      <c r="BR544" s="1297"/>
      <c r="BS544" s="1072" t="s">
        <v>2354</v>
      </c>
      <c r="BT544" s="1072"/>
      <c r="BU544" s="1072"/>
      <c r="BV544" s="987"/>
      <c r="BW544" s="987"/>
    </row>
    <row s="1656" customFormat="1" customHeight="1" ht="36.302083333333336">
      <c r="A545" s="1297"/>
      <c r="B545" s="986"/>
      <c r="C545" s="1297"/>
      <c r="D545" s="1297"/>
      <c r="E545" s="709">
        <v>15</v>
      </c>
      <c r="F545" s="50" cm="1" t="str">
        <f t="array" ref="F545:F545">OFFSET(E545,-1,1)</f>
        <v>3</v>
      </c>
      <c r="G545" s="154" t="s">
        <v>1699</v>
      </c>
      <c r="H545" s="1297"/>
      <c r="I545" s="154" t="s">
        <v>2355</v>
      </c>
      <c r="J545" s="1297"/>
      <c r="K545" s="154" t="s">
        <v>2355</v>
      </c>
      <c r="L545" s="988"/>
      <c r="M545" s="103"/>
      <c r="N545" s="1297"/>
      <c r="O545" s="1297"/>
      <c r="P545" s="1297"/>
      <c r="Q545" s="1297"/>
      <c r="R545" s="1297"/>
      <c r="S545" s="1297"/>
      <c r="T545" s="468" cm="1" t="str">
        <f t="array" ref="T545:T545">T544</f>
        <v>true</v>
      </c>
      <c r="U545" s="1297"/>
      <c r="V545" s="1297"/>
      <c r="W545" s="1297"/>
      <c r="X545" s="1539"/>
      <c r="Y545" s="1297"/>
      <c r="Z545" s="1529"/>
      <c r="AA545" s="1297"/>
      <c r="AB545" s="295" t="s">
        <v>1765</v>
      </c>
      <c r="AC545" s="769" t="s">
        <v>1699</v>
      </c>
      <c r="AD545" s="296" t="s">
        <v>936</v>
      </c>
      <c r="AE545" s="349">
        <f>SUM(AE546,AE547)</f>
        <v>0</v>
      </c>
      <c r="AF545" s="255">
        <f>SUM(AF546,AF547)</f>
        <v>460.69</v>
      </c>
      <c r="AG545" s="255">
        <f>SUM(AG546,AG547)</f>
        <v>460.69</v>
      </c>
      <c r="AH545" s="951">
        <f>AG545-AF545</f>
        <v>0</v>
      </c>
      <c r="AI545" s="951">
        <f>SUM(AI546,AI547)</f>
        <v>0</v>
      </c>
      <c r="AJ545" s="952">
        <f>SUM(AJ546,AJ547)</f>
        <v>0</v>
      </c>
      <c r="AK545" s="951">
        <f>SUM(AK546,AK547)</f>
        <v>0</v>
      </c>
      <c r="AL545" s="951">
        <f>SUM(AL546,AL547)</f>
        <v>0</v>
      </c>
      <c r="AM545" s="951">
        <f>SUM(AM546,AM547)</f>
        <v>0</v>
      </c>
      <c r="AN545" s="951">
        <f>SUM(AN546,AN547)</f>
        <v>0</v>
      </c>
      <c r="AO545" s="951">
        <f>SUM(AO546,AO547)</f>
        <v>0</v>
      </c>
      <c r="AP545" s="951">
        <f>SUM(AP546,AP547)</f>
        <v>0</v>
      </c>
      <c r="AQ545" s="951">
        <f>SUM(AQ546,AQ547)</f>
        <v>0</v>
      </c>
      <c r="AR545" s="951">
        <f>SUM(AR546,AR547)</f>
        <v>0</v>
      </c>
      <c r="AS545" s="951">
        <f>SUM(AS546,AS547)</f>
        <v>0</v>
      </c>
      <c r="AT545" s="952">
        <f>SUM(AT546,AT547)</f>
        <v>0</v>
      </c>
      <c r="AU545" s="951">
        <f>SUM(AU546,AU547)</f>
        <v>0</v>
      </c>
      <c r="AV545" s="951">
        <f>SUM(AV546,AV547)</f>
        <v>0</v>
      </c>
      <c r="AW545" s="951">
        <f>SUM(AW546,AW547)</f>
        <v>0</v>
      </c>
      <c r="AX545" s="951">
        <f>SUM(AX546,AX547)</f>
        <v>0</v>
      </c>
      <c r="AY545" s="951">
        <f>SUM(AY546,AY547)</f>
        <v>0</v>
      </c>
      <c r="AZ545" s="951">
        <f>SUM(AZ546,AZ547)</f>
        <v>0</v>
      </c>
      <c r="BA545" s="951">
        <f>SUM(BA546,BA547)</f>
        <v>0</v>
      </c>
      <c r="BB545" s="951">
        <f>SUM(BB546,BB547)</f>
        <v>0</v>
      </c>
      <c r="BC545" s="951">
        <f>SUM(BC546,BC547)</f>
        <v>0</v>
      </c>
      <c r="BD545" s="951">
        <f>IF(AI545=0,0,(AT545-AI545)/AI545*100)</f>
        <v>0</v>
      </c>
      <c r="BE545" s="951">
        <f>IF(AT545=0,0,(AU545-AT545)/AT545*100)</f>
        <v>0</v>
      </c>
      <c r="BF545" s="951">
        <f>IF(AU545=0,0,(AV545-AU545)/AU545*100)</f>
        <v>0</v>
      </c>
      <c r="BG545" s="951">
        <f>IF(AV545=0,0,(AW545-AV545)/AV545*100)</f>
        <v>0</v>
      </c>
      <c r="BH545" s="951">
        <f>IF(AW545=0,0,(AX545-AW545)/AW545*100)</f>
        <v>0</v>
      </c>
      <c r="BI545" s="951">
        <f>IF(AX545=0,0,(AY545-AX545)/AX545*100)</f>
        <v>0</v>
      </c>
      <c r="BJ545" s="951">
        <f>IF(AY545=0,0,(AZ545-AY545)/AY545*100)</f>
        <v>0</v>
      </c>
      <c r="BK545" s="951">
        <f>IF(AZ545=0,0,(BA545-AZ545)/AZ545*100)</f>
        <v>0</v>
      </c>
      <c r="BL545" s="951">
        <f>IF(BA545=0,0,(BB545-BA545)/BA545*100)</f>
        <v>0</v>
      </c>
      <c r="BM545" s="951">
        <f>IF(BB545=0,0,(BC545-BB545)/BB545*100)</f>
        <v>0</v>
      </c>
      <c r="BN545" s="6533"/>
      <c r="BO545" s="6533"/>
      <c r="BP545" s="6533"/>
      <c r="BQ545" s="1297"/>
      <c r="BR545" s="1297"/>
      <c r="BS545" s="1072" t="s">
        <v>2356</v>
      </c>
      <c r="BT545" s="1072"/>
      <c r="BU545" s="1072"/>
      <c r="BV545" s="987"/>
      <c r="BW545" s="987"/>
    </row>
    <row s="1656" customFormat="1" customHeight="1" ht="14.625">
      <c r="A546" s="1297"/>
      <c r="B546" s="986"/>
      <c r="C546" s="1297"/>
      <c r="D546" s="1297"/>
      <c r="E546" s="709">
        <v>15</v>
      </c>
      <c r="F546" s="50" cm="1" t="str">
        <f t="array" ref="F546:F546">OFFSET(E546,-1,1)</f>
        <v>3</v>
      </c>
      <c r="G546" s="1297"/>
      <c r="H546" s="1297"/>
      <c r="I546" s="154" t="s">
        <v>2357</v>
      </c>
      <c r="J546" s="1297"/>
      <c r="K546" s="154" t="s">
        <v>2357</v>
      </c>
      <c r="L546" s="988"/>
      <c r="M546" s="103"/>
      <c r="N546" s="1297"/>
      <c r="O546" s="1297"/>
      <c r="P546" s="1297"/>
      <c r="Q546" s="1297"/>
      <c r="R546" s="1297"/>
      <c r="S546" s="1297"/>
      <c r="T546" s="468" cm="1" t="str">
        <f t="array" ref="T546:T546">T545</f>
        <v>true</v>
      </c>
      <c r="U546" s="1297"/>
      <c r="V546" s="1297"/>
      <c r="W546" s="1297"/>
      <c r="X546" s="1539"/>
      <c r="Y546" s="1297"/>
      <c r="Z546" s="1529"/>
      <c r="AA546" s="1297"/>
      <c r="AB546" s="295" t="s">
        <v>2358</v>
      </c>
      <c r="AC546" s="772" t="s">
        <v>2359</v>
      </c>
      <c r="AD546" s="296" t="s">
        <v>936</v>
      </c>
      <c r="AE546" s="6531"/>
      <c r="AF546" s="6531"/>
      <c r="AG546" s="6531"/>
      <c r="AH546" s="951">
        <f>AG546-AF546</f>
        <v>0</v>
      </c>
      <c r="AI546" s="6524">
        <v>0</v>
      </c>
      <c r="AJ546" s="6524"/>
      <c r="AK546" s="1272"/>
      <c r="AL546" s="1272"/>
      <c r="AM546" s="1272"/>
      <c r="AN546" s="1272"/>
      <c r="AO546" s="1272"/>
      <c r="AP546" s="1272"/>
      <c r="AQ546" s="1272"/>
      <c r="AR546" s="1272"/>
      <c r="AS546" s="1272"/>
      <c r="AT546" s="6524"/>
      <c r="AU546" s="1272"/>
      <c r="AV546" s="1272"/>
      <c r="AW546" s="1272"/>
      <c r="AX546" s="1272"/>
      <c r="AY546" s="1272"/>
      <c r="AZ546" s="1272"/>
      <c r="BA546" s="1272"/>
      <c r="BB546" s="1272"/>
      <c r="BC546" s="1272"/>
      <c r="BD546" s="951">
        <f>IF(AI546=0,0,(AT546-AI546)/AI546*100)</f>
        <v>0</v>
      </c>
      <c r="BE546" s="951">
        <f>IF(AT546=0,0,(AU546-AT546)/AT546*100)</f>
        <v>0</v>
      </c>
      <c r="BF546" s="951">
        <f>IF(AU546=0,0,(AV546-AU546)/AU546*100)</f>
        <v>0</v>
      </c>
      <c r="BG546" s="951">
        <f>IF(AV546=0,0,(AW546-AV546)/AV546*100)</f>
        <v>0</v>
      </c>
      <c r="BH546" s="951">
        <f>IF(AW546=0,0,(AX546-AW546)/AW546*100)</f>
        <v>0</v>
      </c>
      <c r="BI546" s="951">
        <f>IF(AX546=0,0,(AY546-AX546)/AX546*100)</f>
        <v>0</v>
      </c>
      <c r="BJ546" s="951">
        <f>IF(AY546=0,0,(AZ546-AY546)/AY546*100)</f>
        <v>0</v>
      </c>
      <c r="BK546" s="951">
        <f>IF(AZ546=0,0,(BA546-AZ546)/AZ546*100)</f>
        <v>0</v>
      </c>
      <c r="BL546" s="951">
        <f>IF(BA546=0,0,(BB546-BA546)/BA546*100)</f>
        <v>0</v>
      </c>
      <c r="BM546" s="951">
        <f>IF(BB546=0,0,(BC546-BB546)/BB546*100)</f>
        <v>0</v>
      </c>
      <c r="BN546" s="6533"/>
      <c r="BO546" s="6533"/>
      <c r="BP546" s="6533"/>
      <c r="BQ546" s="1297"/>
      <c r="BR546" s="1297"/>
      <c r="BS546" s="1072" t="s">
        <v>1456</v>
      </c>
      <c r="BT546" s="1072"/>
      <c r="BU546" s="1072"/>
      <c r="BV546" s="987"/>
      <c r="BW546" s="987"/>
    </row>
    <row s="1656" customFormat="1" customHeight="1" ht="78.80208333333333">
      <c r="A547" s="1297"/>
      <c r="B547" s="986"/>
      <c r="C547" s="1297"/>
      <c r="D547" s="1297"/>
      <c r="E547" s="709">
        <v>15</v>
      </c>
      <c r="F547" s="50" cm="1" t="str">
        <f t="array" ref="F547:F547">OFFSET(E547,-1,1)</f>
        <v>3</v>
      </c>
      <c r="G547" s="1297"/>
      <c r="H547" s="1297"/>
      <c r="I547" s="154" t="s">
        <v>2360</v>
      </c>
      <c r="J547" s="1297"/>
      <c r="K547" s="154" t="s">
        <v>2360</v>
      </c>
      <c r="L547" s="988" t="s">
        <v>1079</v>
      </c>
      <c r="M547" s="103"/>
      <c r="N547" s="1297"/>
      <c r="O547" s="1297"/>
      <c r="P547" s="1297"/>
      <c r="Q547" s="1297"/>
      <c r="R547" s="1297"/>
      <c r="S547" s="1297"/>
      <c r="T547" s="468" cm="1" t="str">
        <f t="array" ref="T547:T547">T546</f>
        <v>true</v>
      </c>
      <c r="U547" s="1297"/>
      <c r="V547" s="1297"/>
      <c r="W547" s="1297"/>
      <c r="X547" s="1539"/>
      <c r="Y547" s="1297"/>
      <c r="Z547" s="1529"/>
      <c r="AA547" s="1297"/>
      <c r="AB547" s="295" t="s">
        <v>2361</v>
      </c>
      <c r="AC547" s="772" t="s">
        <v>2362</v>
      </c>
      <c r="AD547" s="296" t="s">
        <v>936</v>
      </c>
      <c r="AE547" s="6531"/>
      <c r="AF547" s="6531">
        <v>460.69</v>
      </c>
      <c r="AG547" s="6531">
        <v>460.69</v>
      </c>
      <c r="AH547" s="951">
        <f>AG547-AF547</f>
        <v>0</v>
      </c>
      <c r="AI547" s="6524"/>
      <c r="AJ547" s="6524"/>
      <c r="AK547" s="1272"/>
      <c r="AL547" s="1272"/>
      <c r="AM547" s="1272"/>
      <c r="AN547" s="1272"/>
      <c r="AO547" s="1272"/>
      <c r="AP547" s="1272"/>
      <c r="AQ547" s="1272"/>
      <c r="AR547" s="1272"/>
      <c r="AS547" s="1272"/>
      <c r="AT547" s="6524"/>
      <c r="AU547" s="1272"/>
      <c r="AV547" s="1272"/>
      <c r="AW547" s="1272"/>
      <c r="AX547" s="1272"/>
      <c r="AY547" s="1272"/>
      <c r="AZ547" s="1272"/>
      <c r="BA547" s="1272"/>
      <c r="BB547" s="1272"/>
      <c r="BC547" s="1272"/>
      <c r="BD547" s="951">
        <f>IF(AI547=0,0,(AT547-AI547)/AI547*100)</f>
        <v>0</v>
      </c>
      <c r="BE547" s="951">
        <f>IF(AT547=0,0,(AU547-AT547)/AT547*100)</f>
        <v>0</v>
      </c>
      <c r="BF547" s="951">
        <f>IF(AU547=0,0,(AV547-AU547)/AU547*100)</f>
        <v>0</v>
      </c>
      <c r="BG547" s="951">
        <f>IF(AV547=0,0,(AW547-AV547)/AV547*100)</f>
        <v>0</v>
      </c>
      <c r="BH547" s="951">
        <f>IF(AW547=0,0,(AX547-AW547)/AW547*100)</f>
        <v>0</v>
      </c>
      <c r="BI547" s="951">
        <f>IF(AX547=0,0,(AY547-AX547)/AX547*100)</f>
        <v>0</v>
      </c>
      <c r="BJ547" s="951">
        <f>IF(AY547=0,0,(AZ547-AY547)/AY547*100)</f>
        <v>0</v>
      </c>
      <c r="BK547" s="951">
        <f>IF(AZ547=0,0,(BA547-AZ547)/AZ547*100)</f>
        <v>0</v>
      </c>
      <c r="BL547" s="951">
        <f>IF(BA547=0,0,(BB547-BA547)/BA547*100)</f>
        <v>0</v>
      </c>
      <c r="BM547" s="951">
        <f>IF(BB547=0,0,(BC547-BB547)/BB547*100)</f>
        <v>0</v>
      </c>
      <c r="BN547" s="6533" t="s">
        <v>2501</v>
      </c>
      <c r="BO547" s="6533" t="s">
        <v>2503</v>
      </c>
      <c r="BP547" s="6533" t="s">
        <v>2565</v>
      </c>
      <c r="BQ547" s="1297"/>
      <c r="BR547" s="1297"/>
      <c r="BS547" s="1072" t="s">
        <v>2363</v>
      </c>
      <c r="BT547" s="1072"/>
      <c r="BU547" s="1072"/>
      <c r="BV547" s="987"/>
      <c r="BW547" s="987"/>
    </row>
    <row s="1656" customFormat="1" customHeight="1" ht="47.135416666666664">
      <c r="A548" s="1297"/>
      <c r="B548" s="986"/>
      <c r="C548" s="1297"/>
      <c r="D548" s="1297"/>
      <c r="E548" s="709">
        <v>22.5</v>
      </c>
      <c r="F548" s="50" cm="1" t="str">
        <f t="array" ref="F548:F548">OFFSET(E548,-1,1)</f>
        <v>3</v>
      </c>
      <c r="G548" s="154" t="s">
        <v>1704</v>
      </c>
      <c r="H548" s="1297"/>
      <c r="I548" s="154" t="s">
        <v>2364</v>
      </c>
      <c r="J548" s="1297"/>
      <c r="K548" s="154" t="s">
        <v>2364</v>
      </c>
      <c r="L548" s="988"/>
      <c r="M548" s="103"/>
      <c r="N548" s="1297"/>
      <c r="O548" s="1297"/>
      <c r="P548" s="1297"/>
      <c r="Q548" s="1297"/>
      <c r="R548" s="1297"/>
      <c r="S548" s="1297"/>
      <c r="T548" s="468" cm="1" t="str">
        <f t="array" ref="T548:T548">T547</f>
        <v>true</v>
      </c>
      <c r="U548" s="1297"/>
      <c r="V548" s="1297"/>
      <c r="W548" s="1297"/>
      <c r="X548" s="1539"/>
      <c r="Y548" s="1297"/>
      <c r="Z548" s="1529"/>
      <c r="AA548" s="1297"/>
      <c r="AB548" s="295" t="s">
        <v>1768</v>
      </c>
      <c r="AC548" s="769" t="s">
        <v>2365</v>
      </c>
      <c r="AD548" s="296" t="s">
        <v>936</v>
      </c>
      <c r="AE548" s="6531"/>
      <c r="AF548" s="6531"/>
      <c r="AG548" s="6531"/>
      <c r="AH548" s="951">
        <f>AG548-AF548</f>
        <v>0</v>
      </c>
      <c r="AI548" s="6524"/>
      <c r="AJ548" s="6524"/>
      <c r="AK548" s="1272"/>
      <c r="AL548" s="1272"/>
      <c r="AM548" s="1272"/>
      <c r="AN548" s="1272"/>
      <c r="AO548" s="1272"/>
      <c r="AP548" s="1272"/>
      <c r="AQ548" s="1272"/>
      <c r="AR548" s="1272"/>
      <c r="AS548" s="1272"/>
      <c r="AT548" s="6524"/>
      <c r="AU548" s="1272"/>
      <c r="AV548" s="1272"/>
      <c r="AW548" s="1272"/>
      <c r="AX548" s="1272"/>
      <c r="AY548" s="1272"/>
      <c r="AZ548" s="1272"/>
      <c r="BA548" s="1272"/>
      <c r="BB548" s="1272"/>
      <c r="BC548" s="1272"/>
      <c r="BD548" s="951">
        <f>IF(AI548=0,0,(AT548-AI548)/AI548*100)</f>
        <v>0</v>
      </c>
      <c r="BE548" s="951">
        <f>IF(AT548=0,0,(AU548-AT548)/AT548*100)</f>
        <v>0</v>
      </c>
      <c r="BF548" s="951">
        <f>IF(AU548=0,0,(AV548-AU548)/AU548*100)</f>
        <v>0</v>
      </c>
      <c r="BG548" s="951">
        <f>IF(AV548=0,0,(AW548-AV548)/AV548*100)</f>
        <v>0</v>
      </c>
      <c r="BH548" s="951">
        <f>IF(AW548=0,0,(AX548-AW548)/AW548*100)</f>
        <v>0</v>
      </c>
      <c r="BI548" s="951">
        <f>IF(AX548=0,0,(AY548-AX548)/AX548*100)</f>
        <v>0</v>
      </c>
      <c r="BJ548" s="951">
        <f>IF(AY548=0,0,(AZ548-AY548)/AY548*100)</f>
        <v>0</v>
      </c>
      <c r="BK548" s="951">
        <f>IF(AZ548=0,0,(BA548-AZ548)/AZ548*100)</f>
        <v>0</v>
      </c>
      <c r="BL548" s="951">
        <f>IF(BA548=0,0,(BB548-BA548)/BA548*100)</f>
        <v>0</v>
      </c>
      <c r="BM548" s="951">
        <f>IF(BB548=0,0,(BC548-BB548)/BB548*100)</f>
        <v>0</v>
      </c>
      <c r="BN548" s="6533"/>
      <c r="BO548" s="6533"/>
      <c r="BP548" s="6533"/>
      <c r="BQ548" s="1297"/>
      <c r="BR548" s="1297"/>
      <c r="BS548" s="1072" t="s">
        <v>2366</v>
      </c>
      <c r="BT548" s="1072"/>
      <c r="BU548" s="1072"/>
      <c r="BV548" s="987"/>
      <c r="BW548" s="987"/>
    </row>
    <row s="6701" customFormat="1" customHeight="1" ht="235.46875">
      <c r="A549" s="706"/>
      <c r="B549" s="437"/>
      <c r="C549" s="706"/>
      <c r="D549" s="706"/>
      <c r="E549" s="713">
        <v>21</v>
      </c>
      <c r="F549" s="50" cm="1" t="str">
        <f t="array" ref="F549:F549">OFFSET(E549,-1,1)</f>
        <v>3</v>
      </c>
      <c r="G549" s="154" t="s">
        <v>2367</v>
      </c>
      <c r="H549" s="154"/>
      <c r="I549" s="154" t="s">
        <v>346</v>
      </c>
      <c r="J549" s="706"/>
      <c r="K549" s="154" t="s">
        <v>346</v>
      </c>
      <c r="L549" s="993" t="s">
        <v>1550</v>
      </c>
      <c r="M549" s="105"/>
      <c r="N549" s="706"/>
      <c r="O549" s="706"/>
      <c r="P549" s="706"/>
      <c r="Q549" s="706"/>
      <c r="R549" s="706"/>
      <c r="S549" s="706"/>
      <c r="T549" s="468" cm="1" t="str">
        <f t="array" ref="T549:T549">T548</f>
        <v>true</v>
      </c>
      <c r="U549" s="706"/>
      <c r="V549" s="706"/>
      <c r="W549" s="706"/>
      <c r="X549" s="1539"/>
      <c r="Y549" s="706"/>
      <c r="Z549" s="1529"/>
      <c r="AA549" s="706"/>
      <c r="AB549" s="214" t="s">
        <v>234</v>
      </c>
      <c r="AC549" s="208" t="s">
        <v>2368</v>
      </c>
      <c r="AD549" s="207" t="s">
        <v>936</v>
      </c>
      <c r="AE549" s="785">
        <f>_xlfn.SUMIFS(ЭЭ!AE$25:AE$175,ЭЭ!$F$25:$F$175,$F549,ЭЭ!$AC$25:$AC$175,"Всего по тарифу")</f>
        <v>5618.414</v>
      </c>
      <c r="AF549" s="785">
        <f>_xlfn.SUMIFS(ЭЭ!AF$25:AF$175,ЭЭ!$F$25:$F$175,$F549,ЭЭ!$AC$25:$AC$175,"Всего по тарифу")</f>
        <v>6367.79</v>
      </c>
      <c r="AG549" s="785">
        <f>_xlfn.SUMIFS(ЭЭ!AG$25:AG$175,ЭЭ!$F$25:$F$175,$F549,ЭЭ!$AC$25:$AC$175,"Всего по тарифу")</f>
        <v>4503.607732016</v>
      </c>
      <c r="AH549" s="768">
        <f>AG549-AF549</f>
        <v>-1864.182267984</v>
      </c>
      <c r="AI549" s="768">
        <f>_xlfn.SUMIFS(ЭЭ!AH$25:AH$175,ЭЭ!$F$25:$F$175,$F549,ЭЭ!$AC$25:$AC$175,"Всего по тарифу")</f>
        <v>6103.59</v>
      </c>
      <c r="AJ549" s="768">
        <f>_xlfn.SUMIFS(ЭЭ!AI$25:AI$175,ЭЭ!$F$25:$F$175,$F549,ЭЭ!$AC$25:$AC$175,"Всего по тарифу")</f>
        <v>6618.24</v>
      </c>
      <c r="AK549" s="768">
        <f>_xlfn.SUMIFS(ЭЭ!AJ$25:AJ$175,ЭЭ!$F$25:$F$175,$F549,ЭЭ!$AC$25:$AC$175,"Всего по тарифу")</f>
        <v>0</v>
      </c>
      <c r="AL549" s="768">
        <f>_xlfn.SUMIFS(ЭЭ!AK$25:AK$175,ЭЭ!$F$25:$F$175,$F549,ЭЭ!$AC$25:$AC$175,"Всего по тарифу")</f>
        <v>0</v>
      </c>
      <c r="AM549" s="768">
        <f>_xlfn.SUMIFS(ЭЭ!AL$25:AL$175,ЭЭ!$F$25:$F$175,$F549,ЭЭ!$AC$25:$AC$175,"Всего по тарифу")</f>
        <v>0</v>
      </c>
      <c r="AN549" s="768">
        <f>_xlfn.SUMIFS(ЭЭ!AM$25:AM$175,ЭЭ!$F$25:$F$175,$F549,ЭЭ!$AC$25:$AC$175,"Всего по тарифу")</f>
        <v>0</v>
      </c>
      <c r="AO549" s="768">
        <f>_xlfn.SUMIFS(ЭЭ!AN$25:AN$175,ЭЭ!$F$25:$F$175,$F549,ЭЭ!$AC$25:$AC$175,"Всего по тарифу")</f>
        <v>0</v>
      </c>
      <c r="AP549" s="768">
        <f>_xlfn.SUMIFS(ЭЭ!AO$25:AO$175,ЭЭ!$F$25:$F$175,$F549,ЭЭ!$AC$25:$AC$175,"Всего по тарифу")</f>
        <v>0</v>
      </c>
      <c r="AQ549" s="768">
        <f>_xlfn.SUMIFS(ЭЭ!AP$25:AP$175,ЭЭ!$F$25:$F$175,$F549,ЭЭ!$AC$25:$AC$175,"Всего по тарифу")</f>
        <v>0</v>
      </c>
      <c r="AR549" s="768">
        <f>_xlfn.SUMIFS(ЭЭ!AQ$25:AQ$175,ЭЭ!$F$25:$F$175,$F549,ЭЭ!$AC$25:$AC$175,"Всего по тарифу")</f>
        <v>0</v>
      </c>
      <c r="AS549" s="768">
        <f>_xlfn.SUMIFS(ЭЭ!AR$25:AR$175,ЭЭ!$F$25:$F$175,$F549,ЭЭ!$AC$25:$AC$175,"Всего по тарифу")</f>
        <v>0</v>
      </c>
      <c r="AT549" s="768">
        <f>_xlfn.SUMIFS(ЭЭ!AS$25:AS$175,ЭЭ!$F$25:$F$175,$F549,ЭЭ!$AC$25:$AC$175,"Всего по тарифу")</f>
        <v>6876.7</v>
      </c>
      <c r="AU549" s="768">
        <f>_xlfn.SUMIFS(ЭЭ!AT$25:AT$175,ЭЭ!$F$25:$F$175,$F549,ЭЭ!$AC$25:$AC$175,"Всего по тарифу")</f>
        <v>0</v>
      </c>
      <c r="AV549" s="768">
        <f>_xlfn.SUMIFS(ЭЭ!AU$25:AU$175,ЭЭ!$F$25:$F$175,$F549,ЭЭ!$AC$25:$AC$175,"Всего по тарифу")</f>
        <v>0</v>
      </c>
      <c r="AW549" s="768">
        <f>_xlfn.SUMIFS(ЭЭ!AV$25:AV$175,ЭЭ!$F$25:$F$175,$F549,ЭЭ!$AC$25:$AC$175,"Всего по тарифу")</f>
        <v>0</v>
      </c>
      <c r="AX549" s="768">
        <f>_xlfn.SUMIFS(ЭЭ!AW$25:AW$175,ЭЭ!$F$25:$F$175,$F549,ЭЭ!$AC$25:$AC$175,"Всего по тарифу")</f>
        <v>0</v>
      </c>
      <c r="AY549" s="768">
        <f>_xlfn.SUMIFS(ЭЭ!AX$25:AX$175,ЭЭ!$F$25:$F$175,$F549,ЭЭ!$AC$25:$AC$175,"Всего по тарифу")</f>
        <v>0</v>
      </c>
      <c r="AZ549" s="768">
        <f>_xlfn.SUMIFS(ЭЭ!AY$25:AY$175,ЭЭ!$F$25:$F$175,$F549,ЭЭ!$AC$25:$AC$175,"Всего по тарифу")</f>
        <v>0</v>
      </c>
      <c r="BA549" s="768">
        <f>_xlfn.SUMIFS(ЭЭ!AZ$25:AZ$175,ЭЭ!$F$25:$F$175,$F549,ЭЭ!$AC$25:$AC$175,"Всего по тарифу")</f>
        <v>0</v>
      </c>
      <c r="BB549" s="768">
        <f>_xlfn.SUMIFS(ЭЭ!BA$25:BA$175,ЭЭ!$F$25:$F$175,$F549,ЭЭ!$AC$25:$AC$175,"Всего по тарифу")</f>
        <v>0</v>
      </c>
      <c r="BC549" s="768">
        <f>_xlfn.SUMIFS(ЭЭ!BB$25:BB$175,ЭЭ!$F$25:$F$175,$F549,ЭЭ!$AC$25:$AC$175,"Всего по тарифу")</f>
        <v>0</v>
      </c>
      <c r="BD549" s="768">
        <f>IF(AI549=0,0,(AT549-AI549)/AI549*100)</f>
        <v>12.6664798913426</v>
      </c>
      <c r="BE549" s="768">
        <f>IF(AT549=0,0,(AU549-AT549)/AT549*100)</f>
        <v>-100</v>
      </c>
      <c r="BF549" s="768">
        <f>IF(AU549=0,0,(AV549-AU549)/AU549*100)</f>
        <v>0</v>
      </c>
      <c r="BG549" s="768">
        <f>IF(AV549=0,0,(AW549-AV549)/AV549*100)</f>
        <v>0</v>
      </c>
      <c r="BH549" s="768">
        <f>IF(AW549=0,0,(AX549-AW549)/AW549*100)</f>
        <v>0</v>
      </c>
      <c r="BI549" s="768">
        <f>IF(AX549=0,0,(AY549-AX549)/AX549*100)</f>
        <v>0</v>
      </c>
      <c r="BJ549" s="768">
        <f>IF(AY549=0,0,(AZ549-AY549)/AY549*100)</f>
        <v>0</v>
      </c>
      <c r="BK549" s="768">
        <f>IF(AZ549=0,0,(BA549-AZ549)/AZ549*100)</f>
        <v>0</v>
      </c>
      <c r="BL549" s="768">
        <f>IF(BA549=0,0,(BB549-BA549)/BA549*100)</f>
        <v>0</v>
      </c>
      <c r="BM549" s="768">
        <f>IF(BB549=0,0,(BC549-BB549)/BB549*100)</f>
        <v>0</v>
      </c>
      <c r="BN549" s="6533" t="s">
        <v>2505</v>
      </c>
      <c r="BO549" s="6580" t="s">
        <v>1035</v>
      </c>
      <c r="BP549" s="6533" t="s">
        <v>2599</v>
      </c>
      <c r="BQ549" s="706"/>
      <c r="BR549" s="706"/>
      <c r="BS549" s="1078" t="s">
        <v>1984</v>
      </c>
      <c r="BT549" s="1078"/>
      <c r="BU549" s="1078"/>
      <c r="BV549" s="713"/>
      <c r="BW549" s="713"/>
    </row>
    <row s="6702" customFormat="1" customHeight="1" ht="186.30208333333334">
      <c r="A550" s="706"/>
      <c r="B550" s="158">
        <f>method_reg="Метод индексации"</f>
        <v>1</v>
      </c>
      <c r="C550" s="706"/>
      <c r="D550" s="706"/>
      <c r="E550" s="713">
        <v>22.5</v>
      </c>
      <c r="F550" s="50" cm="1" t="str">
        <f t="array" ref="F550:F550">OFFSET(E550,-1,1)</f>
        <v>3</v>
      </c>
      <c r="G550" s="154" t="s">
        <v>1726</v>
      </c>
      <c r="H550" s="154"/>
      <c r="I550" s="154" t="s">
        <v>348</v>
      </c>
      <c r="J550" s="706"/>
      <c r="K550" s="154" t="s">
        <v>348</v>
      </c>
      <c r="L550" s="993" t="s">
        <v>347</v>
      </c>
      <c r="M550" s="105"/>
      <c r="N550" s="706"/>
      <c r="O550" s="706"/>
      <c r="P550" s="706"/>
      <c r="Q550" s="706"/>
      <c r="R550" s="706"/>
      <c r="S550" s="706"/>
      <c r="T550" s="468" cm="1" t="str">
        <f t="array" ref="T550:T550">T549</f>
        <v>true</v>
      </c>
      <c r="U550" s="706"/>
      <c r="V550" s="706"/>
      <c r="W550" s="706"/>
      <c r="X550" s="1539"/>
      <c r="Y550" s="706"/>
      <c r="Z550" s="1529"/>
      <c r="AA550" s="706"/>
      <c r="AB550" s="214" t="s">
        <v>451</v>
      </c>
      <c r="AC550" s="208" t="s">
        <v>2369</v>
      </c>
      <c r="AD550" s="207" t="s">
        <v>936</v>
      </c>
      <c r="AE550" s="785">
        <f>_xlfn.SUMIFS(Амортизация!AE$25:AE$223,Амортизация!$F$25:$F$223,$F550,Амортизация!$AC$25:$AC$223,"Сумма амортизационных отчислений")</f>
        <v>7218.43</v>
      </c>
      <c r="AF550" s="785">
        <f>_xlfn.SUMIFS(Амортизация!AF$25:AF$223,Амортизация!$F$25:$F$223,$F550,Амортизация!$AC$25:$AC$223,"Сумма амортизационных отчислений")</f>
        <v>2435.28</v>
      </c>
      <c r="AG550" s="785">
        <f>_xlfn.SUMIFS(Амортизация!AG$25:AG$223,Амортизация!$F$25:$F$223,$F550,Амортизация!$AC$25:$AC$223,"Сумма амортизационных отчислений")</f>
        <v>7258.66</v>
      </c>
      <c r="AH550" s="768">
        <f>AG550-AF550</f>
        <v>4823.38</v>
      </c>
      <c r="AI550" s="768">
        <f>_xlfn.SUMIFS(Амортизация!AH$25:AH$223,Амортизация!$F$25:$F$223,$F550,Амортизация!$AC$25:$AC$223,"Сумма амортизационных отчислений")</f>
        <v>7258.66</v>
      </c>
      <c r="AJ550" s="768">
        <f>_xlfn.SUMIFS(Амортизация!AI$25:AI$223,Амортизация!$F$25:$F$223,$F550,Амортизация!$AC$25:$AC$223,"Сумма амортизационных отчислений")</f>
        <v>7258.66</v>
      </c>
      <c r="AK550" s="768">
        <f>_xlfn.SUMIFS(Амортизация!AJ$25:AJ$223,Амортизация!$F$25:$F$223,$F550,Амортизация!$AC$25:$AC$223,"Сумма амортизационных отчислений")</f>
        <v>0</v>
      </c>
      <c r="AL550" s="768">
        <f>_xlfn.SUMIFS(Амортизация!AK$25:AK$223,Амортизация!$F$25:$F$223,$F550,Амортизация!$AC$25:$AC$223,"Сумма амортизационных отчислений")</f>
        <v>0</v>
      </c>
      <c r="AM550" s="768">
        <f>_xlfn.SUMIFS(Амортизация!AL$25:AL$223,Амортизация!$F$25:$F$223,$F550,Амортизация!$AC$25:$AC$223,"Сумма амортизационных отчислений")</f>
        <v>0</v>
      </c>
      <c r="AN550" s="768">
        <f>_xlfn.SUMIFS(Амортизация!AM$25:AM$223,Амортизация!$F$25:$F$223,$F550,Амортизация!$AC$25:$AC$223,"Сумма амортизационных отчислений")</f>
        <v>0</v>
      </c>
      <c r="AO550" s="768">
        <f>_xlfn.SUMIFS(Амортизация!AN$25:AN$223,Амортизация!$F$25:$F$223,$F550,Амортизация!$AC$25:$AC$223,"Сумма амортизационных отчислений")</f>
        <v>0</v>
      </c>
      <c r="AP550" s="768">
        <f>_xlfn.SUMIFS(Амортизация!AO$25:AO$223,Амортизация!$F$25:$F$223,$F550,Амортизация!$AC$25:$AC$223,"Сумма амортизационных отчислений")</f>
        <v>0</v>
      </c>
      <c r="AQ550" s="768">
        <f>_xlfn.SUMIFS(Амортизация!AP$25:AP$223,Амортизация!$F$25:$F$223,$F550,Амортизация!$AC$25:$AC$223,"Сумма амортизационных отчислений")</f>
        <v>0</v>
      </c>
      <c r="AR550" s="768">
        <f>_xlfn.SUMIFS(Амортизация!AQ$25:AQ$223,Амортизация!$F$25:$F$223,$F550,Амортизация!$AC$25:$AC$223,"Сумма амортизационных отчислений")</f>
        <v>0</v>
      </c>
      <c r="AS550" s="768">
        <f>_xlfn.SUMIFS(Амортизация!AR$25:AR$223,Амортизация!$F$25:$F$223,$F550,Амортизация!$AC$25:$AC$223,"Сумма амортизационных отчислений")</f>
        <v>0</v>
      </c>
      <c r="AT550" s="768">
        <f>_xlfn.SUMIFS(Амортизация!AS$25:AS$223,Амортизация!$F$25:$F$223,$F550,Амортизация!$AC$25:$AC$223,"Сумма амортизационных отчислений")</f>
        <v>7258.66</v>
      </c>
      <c r="AU550" s="768">
        <f>_xlfn.SUMIFS(Амортизация!AT$25:AT$223,Амортизация!$F$25:$F$223,$F550,Амортизация!$AC$25:$AC$223,"Сумма амортизационных отчислений")</f>
        <v>0</v>
      </c>
      <c r="AV550" s="768">
        <f>_xlfn.SUMIFS(Амортизация!AU$25:AU$223,Амортизация!$F$25:$F$223,$F550,Амортизация!$AC$25:$AC$223,"Сумма амортизационных отчислений")</f>
        <v>0</v>
      </c>
      <c r="AW550" s="768">
        <f>_xlfn.SUMIFS(Амортизация!AV$25:AV$223,Амортизация!$F$25:$F$223,$F550,Амортизация!$AC$25:$AC$223,"Сумма амортизационных отчислений")</f>
        <v>0</v>
      </c>
      <c r="AX550" s="768">
        <f>_xlfn.SUMIFS(Амортизация!AW$25:AW$223,Амортизация!$F$25:$F$223,$F550,Амортизация!$AC$25:$AC$223,"Сумма амортизационных отчислений")</f>
        <v>0</v>
      </c>
      <c r="AY550" s="768">
        <f>_xlfn.SUMIFS(Амортизация!AX$25:AX$223,Амортизация!$F$25:$F$223,$F550,Амортизация!$AC$25:$AC$223,"Сумма амортизационных отчислений")</f>
        <v>0</v>
      </c>
      <c r="AZ550" s="768">
        <f>_xlfn.SUMIFS(Амортизация!AY$25:AY$223,Амортизация!$F$25:$F$223,$F550,Амортизация!$AC$25:$AC$223,"Сумма амортизационных отчислений")</f>
        <v>0</v>
      </c>
      <c r="BA550" s="768">
        <f>_xlfn.SUMIFS(Амортизация!AZ$25:AZ$223,Амортизация!$F$25:$F$223,$F550,Амортизация!$AC$25:$AC$223,"Сумма амортизационных отчислений")</f>
        <v>0</v>
      </c>
      <c r="BB550" s="768">
        <f>_xlfn.SUMIFS(Амортизация!BA$25:BA$223,Амортизация!$F$25:$F$223,$F550,Амортизация!$AC$25:$AC$223,"Сумма амортизационных отчислений")</f>
        <v>0</v>
      </c>
      <c r="BC550" s="768">
        <f>_xlfn.SUMIFS(Амортизация!BB$25:BB$223,Амортизация!$F$25:$F$223,$F550,Амортизация!$AC$25:$AC$223,"Сумма амортизационных отчислений")</f>
        <v>0</v>
      </c>
      <c r="BD550" s="768">
        <f>IF(AI550=0,0,(AT550-AI550)/AI550*100)</f>
        <v>0</v>
      </c>
      <c r="BE550" s="768">
        <f>IF(AT550=0,0,(AU550-AT550)/AT550*100)</f>
        <v>-100</v>
      </c>
      <c r="BF550" s="768">
        <f>IF(AU550=0,0,(AV550-AU550)/AU550*100)</f>
        <v>0</v>
      </c>
      <c r="BG550" s="768">
        <f>IF(AV550=0,0,(AW550-AV550)/AV550*100)</f>
        <v>0</v>
      </c>
      <c r="BH550" s="768">
        <f>IF(AW550=0,0,(AX550-AW550)/AW550*100)</f>
        <v>0</v>
      </c>
      <c r="BI550" s="768">
        <f>IF(AX550=0,0,(AY550-AX550)/AX550*100)</f>
        <v>0</v>
      </c>
      <c r="BJ550" s="768">
        <f>IF(AY550=0,0,(AZ550-AY550)/AY550*100)</f>
        <v>0</v>
      </c>
      <c r="BK550" s="768">
        <f>IF(AZ550=0,0,(BA550-AZ550)/AZ550*100)</f>
        <v>0</v>
      </c>
      <c r="BL550" s="768">
        <f>IF(BA550=0,0,(BB550-BA550)/BA550*100)</f>
        <v>0</v>
      </c>
      <c r="BM550" s="768">
        <f>IF(BB550=0,0,(BC550-BB550)/BB550*100)</f>
        <v>0</v>
      </c>
      <c r="BN550" s="6533" t="s">
        <v>2507</v>
      </c>
      <c r="BO550" s="6525" t="s">
        <v>2600</v>
      </c>
      <c r="BP550" s="6533" t="s">
        <v>1829</v>
      </c>
      <c r="BQ550" s="706"/>
      <c r="BR550" s="706"/>
      <c r="BS550" s="1078" t="s">
        <v>1435</v>
      </c>
      <c r="BT550" s="1078"/>
      <c r="BU550" s="1078"/>
      <c r="BV550" s="713"/>
      <c r="BW550" s="713"/>
    </row>
    <row s="1656" customFormat="1" customHeight="1" ht="43.802083333333336">
      <c r="A551" s="1297"/>
      <c r="B551" s="434" cm="1" t="str">
        <f t="array" ref="B551:B551">B550</f>
        <v>true</v>
      </c>
      <c r="C551" s="1297"/>
      <c r="D551" s="1297"/>
      <c r="E551" s="709">
        <v>15</v>
      </c>
      <c r="F551" s="50" cm="1" t="str">
        <f t="array" ref="F551:F551">OFFSET(E551,-1,1)</f>
        <v>3</v>
      </c>
      <c r="G551" s="1297"/>
      <c r="H551" s="1297"/>
      <c r="I551" s="154" t="s">
        <v>659</v>
      </c>
      <c r="J551" s="1297"/>
      <c r="K551" s="154" t="s">
        <v>659</v>
      </c>
      <c r="L551" s="988" t="s">
        <v>673</v>
      </c>
      <c r="M551" s="103"/>
      <c r="N551" s="1297"/>
      <c r="O551" s="1297"/>
      <c r="P551" s="1297"/>
      <c r="Q551" s="1297"/>
      <c r="R551" s="1297"/>
      <c r="S551" s="1297"/>
      <c r="T551" s="468" cm="1" t="str">
        <f t="array" ref="T551:T551">T550</f>
        <v>true</v>
      </c>
      <c r="U551" s="1297"/>
      <c r="V551" s="1297"/>
      <c r="W551" s="1297"/>
      <c r="X551" s="1539"/>
      <c r="Y551" s="1297"/>
      <c r="Z551" s="1529"/>
      <c r="AA551" s="1297"/>
      <c r="AB551" s="295" t="s">
        <v>794</v>
      </c>
      <c r="AC551" s="769" t="s">
        <v>2076</v>
      </c>
      <c r="AD551" s="296" t="s">
        <v>936</v>
      </c>
      <c r="AE551" s="6531">
        <f>_xlfn.SUMIFS('ИП + источники'!AF$27:AF$174,'ИП + источники'!$F$27:$F$174,$F551,'ИП + источники'!$AC$27:$AC$174,"Амортизационные отчисления")+_xlfn.SUMIFS('ИП + источники'!AF$27:AF$174,'ИП + источники'!$F$27:$F$174,$F551,'ИП + источники'!$AC$27:$AC$174,"погашение займов и кредитов из амортизации")</f>
        <v>7215.87</v>
      </c>
      <c r="AF551" s="6531">
        <f>_xlfn.SUMIFS('ИП + источники'!AG$27:AG$174,'ИП + источники'!$F$27:$F$174,$F551,'ИП + источники'!$AC$27:$AC$174,"Амортизационные отчисления")+_xlfn.SUMIFS('ИП + источники'!AG$27:AG$174,'ИП + источники'!$F$27:$F$174,$F551,'ИП + источники'!$AC$27:$AC$174,"погашение займов и кредитов из амортизации")</f>
        <v>7215.87</v>
      </c>
      <c r="AG551" s="6531">
        <f>_xlfn.SUMIFS('ИП + источники'!AH$27:AH$174,'ИП + источники'!$F$27:$F$174,$F551,'ИП + источники'!$AC$27:$AC$174,"Амортизационные отчисления")+_xlfn.SUMIFS('ИП + источники'!AH$27:AH$174,'ИП + источники'!$F$27:$F$174,$F551,'ИП + источники'!$AC$27:$AC$174,"погашение займов и кредитов из амортизации")</f>
        <v>7215.87</v>
      </c>
      <c r="AH551" s="951">
        <f>AG551-AF551</f>
        <v>0</v>
      </c>
      <c r="AI551" s="6524">
        <f>_xlfn.SUMIFS('ИП + источники'!AJ$27:AJ$174,'ИП + источники'!$F$27:$F$174,$F551,'ИП + источники'!$AC$27:$AC$174,"Амортизационные отчисления")+_xlfn.SUMIFS('ИП + источники'!AJ$27:AJ$174,'ИП + источники'!$F$27:$F$174,$F551,'ИП + источники'!$AC$27:$AC$174,"погашение займов и кредитов из амортизации")</f>
        <v>7215.87</v>
      </c>
      <c r="AJ551" s="6524">
        <f>_xlfn.SUMIFS('ИП + источники'!AK$27:AK$174,'ИП + источники'!$F$27:$F$174,$F551,'ИП + источники'!$AC$27:$AC$174,"Амортизационные отчисления")+_xlfn.SUMIFS('ИП + источники'!AK$27:AK$174,'ИП + источники'!$F$27:$F$174,$F551,'ИП + источники'!$AC$27:$AC$174,"погашение займов и кредитов из амортизации")</f>
        <v>7215.87</v>
      </c>
      <c r="AK551" s="1272">
        <f>_xlfn.SUMIFS('ИП + источники'!AL$27:AL$174,'ИП + источники'!$F$27:$F$174,$F551,'ИП + источники'!$AC$27:$AC$174,"Амортизационные отчисления")+_xlfn.SUMIFS('ИП + источники'!AL$27:AL$174,'ИП + источники'!$F$27:$F$174,$F551,'ИП + источники'!$AC$27:$AC$174,"погашение займов и кредитов из амортизации")</f>
        <v>0</v>
      </c>
      <c r="AL551" s="1272">
        <f>_xlfn.SUMIFS('ИП + источники'!AM$27:AM$174,'ИП + источники'!$F$27:$F$174,$F551,'ИП + источники'!$AC$27:$AC$174,"Амортизационные отчисления")+_xlfn.SUMIFS('ИП + источники'!AM$27:AM$174,'ИП + источники'!$F$27:$F$174,$F551,'ИП + источники'!$AC$27:$AC$174,"погашение займов и кредитов из амортизации")</f>
        <v>0</v>
      </c>
      <c r="AM551" s="1272">
        <f>_xlfn.SUMIFS('ИП + источники'!AN$27:AN$174,'ИП + источники'!$F$27:$F$174,$F551,'ИП + источники'!$AC$27:$AC$174,"Амортизационные отчисления")+_xlfn.SUMIFS('ИП + источники'!AN$27:AN$174,'ИП + источники'!$F$27:$F$174,$F551,'ИП + источники'!$AC$27:$AC$174,"погашение займов и кредитов из амортизации")</f>
        <v>0</v>
      </c>
      <c r="AN551" s="1272">
        <f>_xlfn.SUMIFS('ИП + источники'!AO$27:AO$174,'ИП + источники'!$F$27:$F$174,$F551,'ИП + источники'!$AC$27:$AC$174,"Амортизационные отчисления")+_xlfn.SUMIFS('ИП + источники'!AO$27:AO$174,'ИП + источники'!$F$27:$F$174,$F551,'ИП + источники'!$AC$27:$AC$174,"погашение займов и кредитов из амортизации")</f>
        <v>0</v>
      </c>
      <c r="AO551" s="1272">
        <f>_xlfn.SUMIFS('ИП + источники'!AP$27:AP$174,'ИП + источники'!$F$27:$F$174,$F551,'ИП + источники'!$AC$27:$AC$174,"Амортизационные отчисления")+_xlfn.SUMIFS('ИП + источники'!AP$27:AP$174,'ИП + источники'!$F$27:$F$174,$F551,'ИП + источники'!$AC$27:$AC$174,"погашение займов и кредитов из амортизации")</f>
        <v>0</v>
      </c>
      <c r="AP551" s="1272">
        <f>_xlfn.SUMIFS('ИП + источники'!AQ$27:AQ$174,'ИП + источники'!$F$27:$F$174,$F551,'ИП + источники'!$AC$27:$AC$174,"Амортизационные отчисления")+_xlfn.SUMIFS('ИП + источники'!AQ$27:AQ$174,'ИП + источники'!$F$27:$F$174,$F551,'ИП + источники'!$AC$27:$AC$174,"погашение займов и кредитов из амортизации")</f>
        <v>0</v>
      </c>
      <c r="AQ551" s="1272">
        <f>_xlfn.SUMIFS('ИП + источники'!AR$27:AR$174,'ИП + источники'!$F$27:$F$174,$F551,'ИП + источники'!$AC$27:$AC$174,"Амортизационные отчисления")+_xlfn.SUMIFS('ИП + источники'!AR$27:AR$174,'ИП + источники'!$F$27:$F$174,$F551,'ИП + источники'!$AC$27:$AC$174,"погашение займов и кредитов из амортизации")</f>
        <v>0</v>
      </c>
      <c r="AR551" s="1272">
        <f>_xlfn.SUMIFS('ИП + источники'!AS$27:AS$174,'ИП + источники'!$F$27:$F$174,$F551,'ИП + источники'!$AC$27:$AC$174,"Амортизационные отчисления")+_xlfn.SUMIFS('ИП + источники'!AS$27:AS$174,'ИП + источники'!$F$27:$F$174,$F551,'ИП + источники'!$AC$27:$AC$174,"погашение займов и кредитов из амортизации")</f>
        <v>0</v>
      </c>
      <c r="AS551" s="1272">
        <f>_xlfn.SUMIFS('ИП + источники'!AT$27:AT$174,'ИП + источники'!$F$27:$F$174,$F551,'ИП + источники'!$AC$27:$AC$174,"Амортизационные отчисления")+_xlfn.SUMIFS('ИП + источники'!AT$27:AT$174,'ИП + источники'!$F$27:$F$174,$F551,'ИП + источники'!$AC$27:$AC$174,"погашение займов и кредитов из амортизации")</f>
        <v>0</v>
      </c>
      <c r="AT551" s="6524">
        <f>_xlfn.SUMIFS('ИП + источники'!AU$27:AU$174,'ИП + источники'!$F$27:$F$174,$F551,'ИП + источники'!$AC$27:$AC$174,"Амортизационные отчисления")+_xlfn.SUMIFS('ИП + источники'!AU$27:AU$174,'ИП + источники'!$F$27:$F$174,$F551,'ИП + источники'!$AC$27:$AC$174,"погашение займов и кредитов из амортизации")</f>
        <v>7215.87</v>
      </c>
      <c r="AU551" s="1272">
        <f>_xlfn.SUMIFS('ИП + источники'!AV$27:AV$174,'ИП + источники'!$F$27:$F$174,$F551,'ИП + источники'!$AC$27:$AC$174,"Амортизационные отчисления")+_xlfn.SUMIFS('ИП + источники'!AV$27:AV$174,'ИП + источники'!$F$27:$F$174,$F551,'ИП + источники'!$AC$27:$AC$174,"погашение займов и кредитов из амортизации")</f>
        <v>0</v>
      </c>
      <c r="AV551" s="1272">
        <f>_xlfn.SUMIFS('ИП + источники'!AW$27:AW$174,'ИП + источники'!$F$27:$F$174,$F551,'ИП + источники'!$AC$27:$AC$174,"Амортизационные отчисления")+_xlfn.SUMIFS('ИП + источники'!AW$27:AW$174,'ИП + источники'!$F$27:$F$174,$F551,'ИП + источники'!$AC$27:$AC$174,"погашение займов и кредитов из амортизации")</f>
        <v>0</v>
      </c>
      <c r="AW551" s="1272">
        <f>_xlfn.SUMIFS('ИП + источники'!AX$27:AX$174,'ИП + источники'!$F$27:$F$174,$F551,'ИП + источники'!$AC$27:$AC$174,"Амортизационные отчисления")+_xlfn.SUMIFS('ИП + источники'!AX$27:AX$174,'ИП + источники'!$F$27:$F$174,$F551,'ИП + источники'!$AC$27:$AC$174,"погашение займов и кредитов из амортизации")</f>
        <v>0</v>
      </c>
      <c r="AX551" s="1272">
        <f>_xlfn.SUMIFS('ИП + источники'!AY$27:AY$174,'ИП + источники'!$F$27:$F$174,$F551,'ИП + источники'!$AC$27:$AC$174,"Амортизационные отчисления")+_xlfn.SUMIFS('ИП + источники'!AY$27:AY$174,'ИП + источники'!$F$27:$F$174,$F551,'ИП + источники'!$AC$27:$AC$174,"погашение займов и кредитов из амортизации")</f>
        <v>0</v>
      </c>
      <c r="AY551" s="1272">
        <f>_xlfn.SUMIFS('ИП + источники'!AZ$27:AZ$174,'ИП + источники'!$F$27:$F$174,$F551,'ИП + источники'!$AC$27:$AC$174,"Амортизационные отчисления")+_xlfn.SUMIFS('ИП + источники'!AZ$27:AZ$174,'ИП + источники'!$F$27:$F$174,$F551,'ИП + источники'!$AC$27:$AC$174,"погашение займов и кредитов из амортизации")</f>
        <v>0</v>
      </c>
      <c r="AZ551" s="1272">
        <f>_xlfn.SUMIFS('ИП + источники'!BA$27:BA$174,'ИП + источники'!$F$27:$F$174,$F551,'ИП + источники'!$AC$27:$AC$174,"Амортизационные отчисления")+_xlfn.SUMIFS('ИП + источники'!BA$27:BA$174,'ИП + источники'!$F$27:$F$174,$F551,'ИП + источники'!$AC$27:$AC$174,"погашение займов и кредитов из амортизации")</f>
        <v>0</v>
      </c>
      <c r="BA551" s="1272">
        <f>_xlfn.SUMIFS('ИП + источники'!BB$27:BB$174,'ИП + источники'!$F$27:$F$174,$F551,'ИП + источники'!$AC$27:$AC$174,"Амортизационные отчисления")+_xlfn.SUMIFS('ИП + источники'!BB$27:BB$174,'ИП + источники'!$F$27:$F$174,$F551,'ИП + источники'!$AC$27:$AC$174,"погашение займов и кредитов из амортизации")</f>
        <v>0</v>
      </c>
      <c r="BB551" s="1272">
        <f>_xlfn.SUMIFS('ИП + источники'!BC$27:BC$174,'ИП + источники'!$F$27:$F$174,$F551,'ИП + источники'!$AC$27:$AC$174,"Амортизационные отчисления")+_xlfn.SUMIFS('ИП + источники'!BC$27:BC$174,'ИП + источники'!$F$27:$F$174,$F551,'ИП + источники'!$AC$27:$AC$174,"погашение займов и кредитов из амортизации")</f>
        <v>0</v>
      </c>
      <c r="BC551" s="1272">
        <f>_xlfn.SUMIFS('ИП + источники'!BD$27:BD$174,'ИП + источники'!$F$27:$F$174,$F551,'ИП + источники'!$AC$27:$AC$174,"Амортизационные отчисления")+_xlfn.SUMIFS('ИП + источники'!BD$27:BD$174,'ИП + источники'!$F$27:$F$174,$F551,'ИП + источники'!$AC$27:$AC$174,"погашение займов и кредитов из амортизации")</f>
        <v>0</v>
      </c>
      <c r="BD551" s="951">
        <f>IF(AI551=0,0,(AT551-AI551)/AI551*100)</f>
        <v>0</v>
      </c>
      <c r="BE551" s="951">
        <f>IF(AT551=0,0,(AU551-AT551)/AT551*100)</f>
        <v>-100</v>
      </c>
      <c r="BF551" s="951">
        <f>IF(AU551=0,0,(AV551-AU551)/AU551*100)</f>
        <v>0</v>
      </c>
      <c r="BG551" s="951">
        <f>IF(AV551=0,0,(AW551-AV551)/AV551*100)</f>
        <v>0</v>
      </c>
      <c r="BH551" s="951">
        <f>IF(AW551=0,0,(AX551-AW551)/AW551*100)</f>
        <v>0</v>
      </c>
      <c r="BI551" s="951">
        <f>IF(AX551=0,0,(AY551-AX551)/AX551*100)</f>
        <v>0</v>
      </c>
      <c r="BJ551" s="951">
        <f>IF(AY551=0,0,(AZ551-AY551)/AY551*100)</f>
        <v>0</v>
      </c>
      <c r="BK551" s="951">
        <f>IF(AZ551=0,0,(BA551-AZ551)/AZ551*100)</f>
        <v>0</v>
      </c>
      <c r="BL551" s="951">
        <f>IF(BA551=0,0,(BB551-BA551)/BA551*100)</f>
        <v>0</v>
      </c>
      <c r="BM551" s="951">
        <f>IF(BB551=0,0,(BC551-BB551)/BB551*100)</f>
        <v>0</v>
      </c>
      <c r="BN551" s="6533"/>
      <c r="BO551" s="6533" t="s">
        <v>2601</v>
      </c>
      <c r="BP551" s="6533"/>
      <c r="BQ551" s="1297"/>
      <c r="BR551" s="1297"/>
      <c r="BS551" s="1072" t="s">
        <v>2077</v>
      </c>
      <c r="BT551" s="1072"/>
      <c r="BU551" s="1072"/>
      <c r="BV551" s="987"/>
      <c r="BW551" s="987"/>
    </row>
    <row s="6703" customFormat="1" customHeight="1" ht="164.13442611694336">
      <c r="A552" s="706"/>
      <c r="B552" s="434" cm="1" t="str">
        <f t="array" ref="B552:B552">B551</f>
        <v>true</v>
      </c>
      <c r="C552" s="706"/>
      <c r="D552" s="706"/>
      <c r="E552" s="713">
        <v>21</v>
      </c>
      <c r="F552" s="50" cm="1" t="str">
        <f t="array" ref="F552:F552">OFFSET(E552,-1,1)</f>
        <v>3</v>
      </c>
      <c r="G552" s="154" t="s">
        <v>1730</v>
      </c>
      <c r="H552" s="154"/>
      <c r="I552" s="154" t="s">
        <v>347</v>
      </c>
      <c r="J552" s="706"/>
      <c r="K552" s="154" t="s">
        <v>347</v>
      </c>
      <c r="L552" s="993" t="s">
        <v>685</v>
      </c>
      <c r="M552" s="105"/>
      <c r="N552" s="706"/>
      <c r="O552" s="706"/>
      <c r="P552" s="706"/>
      <c r="Q552" s="706"/>
      <c r="R552" s="706"/>
      <c r="S552" s="706"/>
      <c r="T552" s="468" cm="1" t="str">
        <f t="array" ref="T552:T552">T551</f>
        <v>true</v>
      </c>
      <c r="U552" s="706"/>
      <c r="V552" s="706"/>
      <c r="W552" s="706"/>
      <c r="X552" s="1539"/>
      <c r="Y552" s="706"/>
      <c r="Z552" s="1529"/>
      <c r="AA552" s="706"/>
      <c r="AB552" s="214" t="s">
        <v>454</v>
      </c>
      <c r="AC552" s="208" t="s">
        <v>1730</v>
      </c>
      <c r="AD552" s="230" t="s">
        <v>936</v>
      </c>
      <c r="AE552" s="209">
        <f>AE553+AE554+AE555+AE556</f>
        <v>14982.09</v>
      </c>
      <c r="AF552" s="209">
        <f>AF553+AF554+AF555+AF556</f>
        <v>22030.98</v>
      </c>
      <c r="AG552" s="209">
        <f>AG553+AG554+AG555+AG556</f>
        <v>15258.46</v>
      </c>
      <c r="AH552" s="777">
        <f>AG552-AF552</f>
        <v>-6772.52</v>
      </c>
      <c r="AI552" s="777">
        <f>AI553+AI554+AI555+AI556</f>
        <v>21608.95</v>
      </c>
      <c r="AJ552" s="777">
        <f>AJ553+AJ554+AJ555+AJ556</f>
        <v>57006.41</v>
      </c>
      <c r="AK552" s="777">
        <f>AK553+AK554+AK555+AK556</f>
        <v>0</v>
      </c>
      <c r="AL552" s="777">
        <f>AL553+AL554+AL555+AL556</f>
        <v>0</v>
      </c>
      <c r="AM552" s="777">
        <f>AM553+AM554+AM555+AM556</f>
        <v>0</v>
      </c>
      <c r="AN552" s="777">
        <f>AN553+AN554+AN555+AN556</f>
        <v>0</v>
      </c>
      <c r="AO552" s="777">
        <f>AO553+AO554+AO555+AO556</f>
        <v>0</v>
      </c>
      <c r="AP552" s="777">
        <f>AP553+AP554+AP555+AP556</f>
        <v>0</v>
      </c>
      <c r="AQ552" s="777">
        <f>AQ553+AQ554+AQ555+AQ556</f>
        <v>0</v>
      </c>
      <c r="AR552" s="777">
        <f>AR553+AR554+AR555+AR556</f>
        <v>0</v>
      </c>
      <c r="AS552" s="777">
        <f>AS553+AS554+AS555+AS556</f>
        <v>0</v>
      </c>
      <c r="AT552" s="777">
        <f>AT553+AT554+AT555+AT556</f>
        <v>28082.01</v>
      </c>
      <c r="AU552" s="777">
        <f>AU553+AU554+AU555+AU556</f>
        <v>0</v>
      </c>
      <c r="AV552" s="777">
        <f>AV553+AV554+AV555+AV556</f>
        <v>0</v>
      </c>
      <c r="AW552" s="777">
        <f>AW553+AW554+AW555+AW556</f>
        <v>0</v>
      </c>
      <c r="AX552" s="777">
        <f>AX553+AX554+AX555+AX556</f>
        <v>0</v>
      </c>
      <c r="AY552" s="777">
        <f>AY553+AY554+AY555+AY556</f>
        <v>0</v>
      </c>
      <c r="AZ552" s="777">
        <f>AZ553+AZ554+AZ555+AZ556</f>
        <v>0</v>
      </c>
      <c r="BA552" s="777">
        <f>BA553+BA554+BA555+BA556</f>
        <v>0</v>
      </c>
      <c r="BB552" s="777">
        <f>BB553+BB554+BB555+BB556</f>
        <v>0</v>
      </c>
      <c r="BC552" s="777">
        <f>BC553+BC554+BC555+BC556</f>
        <v>0</v>
      </c>
      <c r="BD552" s="768">
        <f>IF(AI552=0,0,(AT552-AI552)/AI552*100)</f>
        <v>29.9554582707628</v>
      </c>
      <c r="BE552" s="768">
        <f>IF(AT552=0,0,(AU552-AT552)/AT552*100)</f>
        <v>-100</v>
      </c>
      <c r="BF552" s="768">
        <f>IF(AU552=0,0,(AV552-AU552)/AU552*100)</f>
        <v>0</v>
      </c>
      <c r="BG552" s="768">
        <f>IF(AV552=0,0,(AW552-AV552)/AV552*100)</f>
        <v>0</v>
      </c>
      <c r="BH552" s="768">
        <f>IF(AW552=0,0,(AX552-AW552)/AW552*100)</f>
        <v>0</v>
      </c>
      <c r="BI552" s="768">
        <f>IF(AX552=0,0,(AY552-AX552)/AX552*100)</f>
        <v>0</v>
      </c>
      <c r="BJ552" s="768">
        <f>IF(AY552=0,0,(AZ552-AY552)/AY552*100)</f>
        <v>0</v>
      </c>
      <c r="BK552" s="768">
        <f>IF(AZ552=0,0,(BA552-AZ552)/AZ552*100)</f>
        <v>0</v>
      </c>
      <c r="BL552" s="768">
        <f>IF(BA552=0,0,(BB552-BA552)/BA552*100)</f>
        <v>0</v>
      </c>
      <c r="BM552" s="768">
        <f>IF(BB552=0,0,(BC552-BB552)/BB552*100)</f>
        <v>0</v>
      </c>
      <c r="BN552" s="6533"/>
      <c r="BO552" s="6533" t="s">
        <v>2602</v>
      </c>
      <c r="BP552" s="6533" t="s">
        <v>2603</v>
      </c>
      <c r="BQ552" s="706"/>
      <c r="BR552" s="706"/>
      <c r="BS552" s="1071" t="s">
        <v>1734</v>
      </c>
      <c r="BT552" s="1078"/>
      <c r="BU552" s="1078"/>
      <c r="BV552" s="713"/>
      <c r="BW552" s="713"/>
    </row>
    <row s="1656" customFormat="1" customHeight="1" ht="14.25">
      <c r="A553" s="1297"/>
      <c r="B553" s="434" cm="1" t="str">
        <f t="array" ref="B553:B553">B552</f>
        <v>true</v>
      </c>
      <c r="C553" s="1297"/>
      <c r="D553" s="1297"/>
      <c r="E553" s="709">
        <v>15</v>
      </c>
      <c r="F553" s="50" cm="1" t="str">
        <f t="array" ref="F553:F553">OFFSET(E553,-1,1)</f>
        <v>3</v>
      </c>
      <c r="G553" s="1297"/>
      <c r="H553" s="1297"/>
      <c r="I553" s="154" t="s">
        <v>673</v>
      </c>
      <c r="J553" s="1297"/>
      <c r="K553" s="154" t="s">
        <v>673</v>
      </c>
      <c r="L553" s="988"/>
      <c r="M553" s="103"/>
      <c r="N553" s="1297"/>
      <c r="O553" s="1297"/>
      <c r="P553" s="1297"/>
      <c r="Q553" s="1297"/>
      <c r="R553" s="1297"/>
      <c r="S553" s="1297"/>
      <c r="T553" s="468" cm="1" t="str">
        <f t="array" ref="T553:T553">T552</f>
        <v>true</v>
      </c>
      <c r="U553" s="1297"/>
      <c r="V553" s="1297"/>
      <c r="W553" s="1297"/>
      <c r="X553" s="1539"/>
      <c r="Y553" s="1297"/>
      <c r="Z553" s="1529"/>
      <c r="AA553" s="1297"/>
      <c r="AB553" s="295" t="s">
        <v>801</v>
      </c>
      <c r="AC553" s="769" t="s">
        <v>2370</v>
      </c>
      <c r="AD553" s="296" t="s">
        <v>936</v>
      </c>
      <c r="AE553" s="6531">
        <f>_xlfn.SUMIFS('ИП + источники'!AF$27:AF$174,'ИП + источники'!$F$27:$F$174,$F553,'ИП + источники'!$AC$27:$AC$174,"погашение займов и кредитов из нормативной прибыли")</f>
        <v>0</v>
      </c>
      <c r="AF553" s="6531">
        <f>_xlfn.SUMIFS('ИП + источники'!AG$27:AG$174,'ИП + источники'!$F$27:$F$174,$F553,'ИП + источники'!$AC$27:$AC$174,"погашение займов и кредитов из нормативной прибыли")</f>
        <v>0</v>
      </c>
      <c r="AG553" s="6531">
        <f>_xlfn.SUMIFS('ИП + источники'!AH$27:AH$174,'ИП + источники'!$F$27:$F$174,$F553,'ИП + источники'!$AC$27:$AC$174,"погашение займов и кредитов из нормативной прибыли")</f>
        <v>0</v>
      </c>
      <c r="AH553" s="951">
        <f>AG553-AF553</f>
        <v>0</v>
      </c>
      <c r="AI553" s="6524">
        <f>_xlfn.SUMIFS('ИП + источники'!AJ$27:AJ$174,'ИП + источники'!$F$27:$F$174,$F553,'ИП + источники'!$AC$27:$AC$174,"погашение займов и кредитов из нормативной прибыли")</f>
        <v>0</v>
      </c>
      <c r="AJ553" s="6524">
        <f>_xlfn.SUMIFS('ИП + источники'!AK$27:AK$174,'ИП + источники'!$F$27:$F$174,$F553,'ИП + источники'!$AC$27:$AC$174,"погашение займов и кредитов из нормативной прибыли")</f>
        <v>0</v>
      </c>
      <c r="AK553" s="1272">
        <f>_xlfn.SUMIFS('ИП + источники'!AL$27:AL$174,'ИП + источники'!$F$27:$F$174,$F553,'ИП + источники'!$AC$27:$AC$174,"погашение займов и кредитов из нормативной прибыли")</f>
        <v>0</v>
      </c>
      <c r="AL553" s="1272">
        <f>_xlfn.SUMIFS('ИП + источники'!AM$27:AM$174,'ИП + источники'!$F$27:$F$174,$F553,'ИП + источники'!$AC$27:$AC$174,"погашение займов и кредитов из нормативной прибыли")</f>
        <v>0</v>
      </c>
      <c r="AM553" s="1272">
        <f>_xlfn.SUMIFS('ИП + источники'!AN$27:AN$174,'ИП + источники'!$F$27:$F$174,$F553,'ИП + источники'!$AC$27:$AC$174,"погашение займов и кредитов из нормативной прибыли")</f>
        <v>0</v>
      </c>
      <c r="AN553" s="1272">
        <f>_xlfn.SUMIFS('ИП + источники'!AO$27:AO$174,'ИП + источники'!$F$27:$F$174,$F553,'ИП + источники'!$AC$27:$AC$174,"погашение займов и кредитов из нормативной прибыли")</f>
        <v>0</v>
      </c>
      <c r="AO553" s="1272">
        <f>_xlfn.SUMIFS('ИП + источники'!AP$27:AP$174,'ИП + источники'!$F$27:$F$174,$F553,'ИП + источники'!$AC$27:$AC$174,"погашение займов и кредитов из нормативной прибыли")</f>
        <v>0</v>
      </c>
      <c r="AP553" s="1272">
        <f>_xlfn.SUMIFS('ИП + источники'!AQ$27:AQ$174,'ИП + источники'!$F$27:$F$174,$F553,'ИП + источники'!$AC$27:$AC$174,"погашение займов и кредитов из нормативной прибыли")</f>
        <v>0</v>
      </c>
      <c r="AQ553" s="1272">
        <f>_xlfn.SUMIFS('ИП + источники'!AR$27:AR$174,'ИП + источники'!$F$27:$F$174,$F553,'ИП + источники'!$AC$27:$AC$174,"погашение займов и кредитов из нормативной прибыли")</f>
        <v>0</v>
      </c>
      <c r="AR553" s="1272">
        <f>_xlfn.SUMIFS('ИП + источники'!AS$27:AS$174,'ИП + источники'!$F$27:$F$174,$F553,'ИП + источники'!$AC$27:$AC$174,"погашение займов и кредитов из нормативной прибыли")</f>
        <v>0</v>
      </c>
      <c r="AS553" s="1272">
        <f>_xlfn.SUMIFS('ИП + источники'!AT$27:AT$174,'ИП + источники'!$F$27:$F$174,$F553,'ИП + источники'!$AC$27:$AC$174,"погашение займов и кредитов из нормативной прибыли")</f>
        <v>0</v>
      </c>
      <c r="AT553" s="6524">
        <f>_xlfn.SUMIFS('ИП + источники'!AU$27:AU$174,'ИП + источники'!$F$27:$F$174,$F553,'ИП + источники'!$AC$27:$AC$174,"погашение займов и кредитов из нормативной прибыли")</f>
        <v>0</v>
      </c>
      <c r="AU553" s="1272">
        <f>_xlfn.SUMIFS('ИП + источники'!AV$27:AV$174,'ИП + источники'!$F$27:$F$174,$F553,'ИП + источники'!$AC$27:$AC$174,"погашение займов и кредитов из нормативной прибыли")</f>
        <v>0</v>
      </c>
      <c r="AV553" s="1272">
        <f>_xlfn.SUMIFS('ИП + источники'!AW$27:AW$174,'ИП + источники'!$F$27:$F$174,$F553,'ИП + источники'!$AC$27:$AC$174,"погашение займов и кредитов из нормативной прибыли")</f>
        <v>0</v>
      </c>
      <c r="AW553" s="1272">
        <f>_xlfn.SUMIFS('ИП + источники'!AX$27:AX$174,'ИП + источники'!$F$27:$F$174,$F553,'ИП + источники'!$AC$27:$AC$174,"погашение займов и кредитов из нормативной прибыли")</f>
        <v>0</v>
      </c>
      <c r="AX553" s="1272">
        <f>_xlfn.SUMIFS('ИП + источники'!AY$27:AY$174,'ИП + источники'!$F$27:$F$174,$F553,'ИП + источники'!$AC$27:$AC$174,"погашение займов и кредитов из нормативной прибыли")</f>
        <v>0</v>
      </c>
      <c r="AY553" s="1272">
        <f>_xlfn.SUMIFS('ИП + источники'!AZ$27:AZ$174,'ИП + источники'!$F$27:$F$174,$F553,'ИП + источники'!$AC$27:$AC$174,"погашение займов и кредитов из нормативной прибыли")</f>
        <v>0</v>
      </c>
      <c r="AZ553" s="1272">
        <f>_xlfn.SUMIFS('ИП + источники'!BA$27:BA$174,'ИП + источники'!$F$27:$F$174,$F553,'ИП + источники'!$AC$27:$AC$174,"погашение займов и кредитов из нормативной прибыли")</f>
        <v>0</v>
      </c>
      <c r="BA553" s="1272">
        <f>_xlfn.SUMIFS('ИП + источники'!BB$27:BB$174,'ИП + источники'!$F$27:$F$174,$F553,'ИП + источники'!$AC$27:$AC$174,"погашение займов и кредитов из нормативной прибыли")</f>
        <v>0</v>
      </c>
      <c r="BB553" s="1272">
        <f>_xlfn.SUMIFS('ИП + источники'!BC$27:BC$174,'ИП + источники'!$F$27:$F$174,$F553,'ИП + источники'!$AC$27:$AC$174,"погашение займов и кредитов из нормативной прибыли")</f>
        <v>0</v>
      </c>
      <c r="BC553" s="1272">
        <f>_xlfn.SUMIFS('ИП + источники'!BD$27:BD$174,'ИП + источники'!$F$27:$F$174,$F553,'ИП + источники'!$AC$27:$AC$174,"погашение займов и кредитов из нормативной прибыли")</f>
        <v>0</v>
      </c>
      <c r="BD553" s="951">
        <f>IF(AI553=0,0,(AT553-AI553)/AI553*100)</f>
        <v>0</v>
      </c>
      <c r="BE553" s="951">
        <f>IF(AT553=0,0,(AU553-AT553)/AT553*100)</f>
        <v>0</v>
      </c>
      <c r="BF553" s="951">
        <f>IF(AU553=0,0,(AV553-AU553)/AU553*100)</f>
        <v>0</v>
      </c>
      <c r="BG553" s="951">
        <f>IF(AV553=0,0,(AW553-AV553)/AV553*100)</f>
        <v>0</v>
      </c>
      <c r="BH553" s="951">
        <f>IF(AW553=0,0,(AX553-AW553)/AW553*100)</f>
        <v>0</v>
      </c>
      <c r="BI553" s="951">
        <f>IF(AX553=0,0,(AY553-AX553)/AX553*100)</f>
        <v>0</v>
      </c>
      <c r="BJ553" s="951">
        <f>IF(AY553=0,0,(AZ553-AY553)/AY553*100)</f>
        <v>0</v>
      </c>
      <c r="BK553" s="951">
        <f>IF(AZ553=0,0,(BA553-AZ553)/AZ553*100)</f>
        <v>0</v>
      </c>
      <c r="BL553" s="951">
        <f>IF(BA553=0,0,(BB553-BA553)/BA553*100)</f>
        <v>0</v>
      </c>
      <c r="BM553" s="951">
        <f>IF(BB553=0,0,(BC553-BB553)/BB553*100)</f>
        <v>0</v>
      </c>
      <c r="BN553" s="6533"/>
      <c r="BO553" s="6525" t="str">
        <f>IF(_xlfn.IFERROR(INDEX('ИП + источники'!$K$57:$L$174,MATCH($F553&amp;"2komm",'ИП + источники'!$K$57:$K$174,0),2),"")=0,"",_xlfn.IFERROR(INDEX('ИП + источники'!$K$57:$L$174,MATCH($F553&amp;"2komm",'ИП + источники'!$K$57:$K$174,0),2),""))</f>
        <v/>
      </c>
      <c r="BP553" s="6533"/>
      <c r="BQ553" s="1297"/>
      <c r="BR553" s="1297"/>
      <c r="BS553" s="1072" t="s">
        <v>2371</v>
      </c>
      <c r="BT553" s="1072"/>
      <c r="BU553" s="1072"/>
      <c r="BV553" s="987"/>
      <c r="BW553" s="987"/>
    </row>
    <row s="1656" customFormat="1" customHeight="1" ht="14.25">
      <c r="A554" s="1297"/>
      <c r="B554" s="434" cm="1" t="str">
        <f t="array" ref="B554:B554">B553</f>
        <v>true</v>
      </c>
      <c r="C554" s="1297"/>
      <c r="D554" s="1297"/>
      <c r="E554" s="709">
        <v>15</v>
      </c>
      <c r="F554" s="50" cm="1" t="str">
        <f t="array" ref="F554:F554">OFFSET(E554,-1,1)</f>
        <v>3</v>
      </c>
      <c r="G554" s="1297"/>
      <c r="H554" s="1297"/>
      <c r="I554" s="154" t="s">
        <v>677</v>
      </c>
      <c r="J554" s="1297"/>
      <c r="K554" s="154" t="s">
        <v>677</v>
      </c>
      <c r="L554" s="988"/>
      <c r="M554" s="103"/>
      <c r="N554" s="1297"/>
      <c r="O554" s="1297"/>
      <c r="P554" s="1297"/>
      <c r="Q554" s="1297"/>
      <c r="R554" s="1297"/>
      <c r="S554" s="1297"/>
      <c r="T554" s="468" cm="1" t="str">
        <f t="array" ref="T554:T554">T553</f>
        <v>true</v>
      </c>
      <c r="U554" s="1297"/>
      <c r="V554" s="1297"/>
      <c r="W554" s="1297"/>
      <c r="X554" s="1539"/>
      <c r="Y554" s="1297"/>
      <c r="Z554" s="1529"/>
      <c r="AA554" s="1297"/>
      <c r="AB554" s="295" t="s">
        <v>804</v>
      </c>
      <c r="AC554" s="769" t="s">
        <v>2372</v>
      </c>
      <c r="AD554" s="296" t="s">
        <v>936</v>
      </c>
      <c r="AE554" s="6531">
        <f>_xlfn.SUMIFS('ИП + источники'!AF$27:AF$174,'ИП + источники'!$F$27:$F$174,$F554,'ИП + источники'!$AC$27:$AC$174,"уплата процентов по кредитам из нормативной прибыли")</f>
        <v>0</v>
      </c>
      <c r="AF554" s="6531">
        <f>_xlfn.SUMIFS('ИП + источники'!AG$27:AG$174,'ИП + источники'!$F$27:$F$174,$F554,'ИП + источники'!$AC$27:$AC$174,"уплата процентов по кредитам из нормативной прибыли")</f>
        <v>0</v>
      </c>
      <c r="AG554" s="6531">
        <f>_xlfn.SUMIFS('ИП + источники'!AH$27:AH$174,'ИП + источники'!$F$27:$F$174,$F554,'ИП + источники'!$AC$27:$AC$174,"уплата процентов по кредитам из нормативной прибыли")</f>
        <v>0</v>
      </c>
      <c r="AH554" s="951">
        <f>AG554-AF554</f>
        <v>0</v>
      </c>
      <c r="AI554" s="6524">
        <f>_xlfn.SUMIFS('ИП + источники'!AJ$27:AJ$174,'ИП + источники'!$F$27:$F$174,$F554,'ИП + источники'!$AC$27:$AC$174,"уплата процентов по кредитам из нормативной прибыли")</f>
        <v>0</v>
      </c>
      <c r="AJ554" s="6524">
        <f>_xlfn.SUMIFS('ИП + источники'!AK$27:AK$174,'ИП + источники'!$F$27:$F$174,$F554,'ИП + источники'!$AC$27:$AC$174,"уплата процентов по кредитам из нормативной прибыли")</f>
        <v>0</v>
      </c>
      <c r="AK554" s="1272">
        <f>_xlfn.SUMIFS('ИП + источники'!AL$27:AL$174,'ИП + источники'!$F$27:$F$174,$F554,'ИП + источники'!$AC$27:$AC$174,"уплата процентов по кредитам из нормативной прибыли")</f>
        <v>0</v>
      </c>
      <c r="AL554" s="1272">
        <f>_xlfn.SUMIFS('ИП + источники'!AM$27:AM$174,'ИП + источники'!$F$27:$F$174,$F554,'ИП + источники'!$AC$27:$AC$174,"уплата процентов по кредитам из нормативной прибыли")</f>
        <v>0</v>
      </c>
      <c r="AM554" s="1272">
        <f>_xlfn.SUMIFS('ИП + источники'!AN$27:AN$174,'ИП + источники'!$F$27:$F$174,$F554,'ИП + источники'!$AC$27:$AC$174,"уплата процентов по кредитам из нормативной прибыли")</f>
        <v>0</v>
      </c>
      <c r="AN554" s="1272">
        <f>_xlfn.SUMIFS('ИП + источники'!AO$27:AO$174,'ИП + источники'!$F$27:$F$174,$F554,'ИП + источники'!$AC$27:$AC$174,"уплата процентов по кредитам из нормативной прибыли")</f>
        <v>0</v>
      </c>
      <c r="AO554" s="1272">
        <f>_xlfn.SUMIFS('ИП + источники'!AP$27:AP$174,'ИП + источники'!$F$27:$F$174,$F554,'ИП + источники'!$AC$27:$AC$174,"уплата процентов по кредитам из нормативной прибыли")</f>
        <v>0</v>
      </c>
      <c r="AP554" s="1272">
        <f>_xlfn.SUMIFS('ИП + источники'!AQ$27:AQ$174,'ИП + источники'!$F$27:$F$174,$F554,'ИП + источники'!$AC$27:$AC$174,"уплата процентов по кредитам из нормативной прибыли")</f>
        <v>0</v>
      </c>
      <c r="AQ554" s="1272">
        <f>_xlfn.SUMIFS('ИП + источники'!AR$27:AR$174,'ИП + источники'!$F$27:$F$174,$F554,'ИП + источники'!$AC$27:$AC$174,"уплата процентов по кредитам из нормативной прибыли")</f>
        <v>0</v>
      </c>
      <c r="AR554" s="1272">
        <f>_xlfn.SUMIFS('ИП + источники'!AS$27:AS$174,'ИП + источники'!$F$27:$F$174,$F554,'ИП + источники'!$AC$27:$AC$174,"уплата процентов по кредитам из нормативной прибыли")</f>
        <v>0</v>
      </c>
      <c r="AS554" s="1272">
        <f>_xlfn.SUMIFS('ИП + источники'!AT$27:AT$174,'ИП + источники'!$F$27:$F$174,$F554,'ИП + источники'!$AC$27:$AC$174,"уплата процентов по кредитам из нормативной прибыли")</f>
        <v>0</v>
      </c>
      <c r="AT554" s="6524">
        <f>_xlfn.SUMIFS('ИП + источники'!AU$27:AU$174,'ИП + источники'!$F$27:$F$174,$F554,'ИП + источники'!$AC$27:$AC$174,"уплата процентов по кредитам из нормативной прибыли")</f>
        <v>0</v>
      </c>
      <c r="AU554" s="1272">
        <f>_xlfn.SUMIFS('ИП + источники'!AV$27:AV$174,'ИП + источники'!$F$27:$F$174,$F554,'ИП + источники'!$AC$27:$AC$174,"уплата процентов по кредитам из нормативной прибыли")</f>
        <v>0</v>
      </c>
      <c r="AV554" s="1272">
        <f>_xlfn.SUMIFS('ИП + источники'!AW$27:AW$174,'ИП + источники'!$F$27:$F$174,$F554,'ИП + источники'!$AC$27:$AC$174,"уплата процентов по кредитам из нормативной прибыли")</f>
        <v>0</v>
      </c>
      <c r="AW554" s="1272">
        <f>_xlfn.SUMIFS('ИП + источники'!AX$27:AX$174,'ИП + источники'!$F$27:$F$174,$F554,'ИП + источники'!$AC$27:$AC$174,"уплата процентов по кредитам из нормативной прибыли")</f>
        <v>0</v>
      </c>
      <c r="AX554" s="1272">
        <f>_xlfn.SUMIFS('ИП + источники'!AY$27:AY$174,'ИП + источники'!$F$27:$F$174,$F554,'ИП + источники'!$AC$27:$AC$174,"уплата процентов по кредитам из нормативной прибыли")</f>
        <v>0</v>
      </c>
      <c r="AY554" s="1272">
        <f>_xlfn.SUMIFS('ИП + источники'!AZ$27:AZ$174,'ИП + источники'!$F$27:$F$174,$F554,'ИП + источники'!$AC$27:$AC$174,"уплата процентов по кредитам из нормативной прибыли")</f>
        <v>0</v>
      </c>
      <c r="AZ554" s="1272">
        <f>_xlfn.SUMIFS('ИП + источники'!BA$27:BA$174,'ИП + источники'!$F$27:$F$174,$F554,'ИП + источники'!$AC$27:$AC$174,"уплата процентов по кредитам из нормативной прибыли")</f>
        <v>0</v>
      </c>
      <c r="BA554" s="1272">
        <f>_xlfn.SUMIFS('ИП + источники'!BB$27:BB$174,'ИП + источники'!$F$27:$F$174,$F554,'ИП + источники'!$AC$27:$AC$174,"уплата процентов по кредитам из нормативной прибыли")</f>
        <v>0</v>
      </c>
      <c r="BB554" s="1272">
        <f>_xlfn.SUMIFS('ИП + источники'!BC$27:BC$174,'ИП + источники'!$F$27:$F$174,$F554,'ИП + источники'!$AC$27:$AC$174,"уплата процентов по кредитам из нормативной прибыли")</f>
        <v>0</v>
      </c>
      <c r="BC554" s="1272">
        <f>_xlfn.SUMIFS('ИП + источники'!BD$27:BD$174,'ИП + источники'!$F$27:$F$174,$F554,'ИП + источники'!$AC$27:$AC$174,"уплата процентов по кредитам из нормативной прибыли")</f>
        <v>0</v>
      </c>
      <c r="BD554" s="951">
        <f>IF(AI554=0,0,(AT554-AI554)/AI554*100)</f>
        <v>0</v>
      </c>
      <c r="BE554" s="951">
        <f>IF(AT554=0,0,(AU554-AT554)/AT554*100)</f>
        <v>0</v>
      </c>
      <c r="BF554" s="951">
        <f>IF(AU554=0,0,(AV554-AU554)/AU554*100)</f>
        <v>0</v>
      </c>
      <c r="BG554" s="951">
        <f>IF(AV554=0,0,(AW554-AV554)/AV554*100)</f>
        <v>0</v>
      </c>
      <c r="BH554" s="951">
        <f>IF(AW554=0,0,(AX554-AW554)/AW554*100)</f>
        <v>0</v>
      </c>
      <c r="BI554" s="951">
        <f>IF(AX554=0,0,(AY554-AX554)/AX554*100)</f>
        <v>0</v>
      </c>
      <c r="BJ554" s="951">
        <f>IF(AY554=0,0,(AZ554-AY554)/AY554*100)</f>
        <v>0</v>
      </c>
      <c r="BK554" s="951">
        <f>IF(AZ554=0,0,(BA554-AZ554)/AZ554*100)</f>
        <v>0</v>
      </c>
      <c r="BL554" s="951">
        <f>IF(BA554=0,0,(BB554-BA554)/BA554*100)</f>
        <v>0</v>
      </c>
      <c r="BM554" s="951">
        <f>IF(BB554=0,0,(BC554-BB554)/BB554*100)</f>
        <v>0</v>
      </c>
      <c r="BN554" s="6533"/>
      <c r="BO554" s="6525" t="str">
        <f>IF(_xlfn.IFERROR(INDEX('ИП + источники'!$K$57:$L$174,MATCH($F554&amp;"3komm",'ИП + источники'!$K$57:$K$174,0),2),"")=0,"",_xlfn.IFERROR(INDEX('ИП + источники'!$K$57:$L$174,MATCH($F554&amp;"3komm",'ИП + источники'!$K$57:$K$174,0),2),""))</f>
        <v/>
      </c>
      <c r="BP554" s="6533"/>
      <c r="BQ554" s="1297"/>
      <c r="BR554" s="1297"/>
      <c r="BS554" s="1072" t="s">
        <v>2373</v>
      </c>
      <c r="BT554" s="1072"/>
      <c r="BU554" s="1072"/>
      <c r="BV554" s="987"/>
      <c r="BW554" s="987"/>
    </row>
    <row s="1656" customFormat="1" customHeight="1" ht="132.13541666666666">
      <c r="A555" s="1297"/>
      <c r="B555" s="434" cm="1" t="str">
        <f t="array" ref="B555:B555">B554</f>
        <v>true</v>
      </c>
      <c r="C555" s="1297"/>
      <c r="D555" s="1297"/>
      <c r="E555" s="709">
        <v>15</v>
      </c>
      <c r="F555" s="50" cm="1" t="str">
        <f t="array" ref="F555:F555">OFFSET(E555,-1,1)</f>
        <v>3</v>
      </c>
      <c r="G555" s="1297"/>
      <c r="H555" s="1297"/>
      <c r="I555" s="154" t="s">
        <v>889</v>
      </c>
      <c r="J555" s="1297"/>
      <c r="K555" s="154" t="s">
        <v>889</v>
      </c>
      <c r="L555" s="988" t="s">
        <v>692</v>
      </c>
      <c r="M555" s="103"/>
      <c r="N555" s="1297"/>
      <c r="O555" s="1297"/>
      <c r="P555" s="1297"/>
      <c r="Q555" s="1297"/>
      <c r="R555" s="1297"/>
      <c r="S555" s="1297"/>
      <c r="T555" s="468" cm="1" t="str">
        <f t="array" ref="T555:T555">T554</f>
        <v>true</v>
      </c>
      <c r="U555" s="1297"/>
      <c r="V555" s="1297"/>
      <c r="W555" s="1297"/>
      <c r="X555" s="1539"/>
      <c r="Y555" s="1297"/>
      <c r="Z555" s="1529"/>
      <c r="AA555" s="1297"/>
      <c r="AB555" s="295" t="s">
        <v>1122</v>
      </c>
      <c r="AC555" s="769" t="s">
        <v>2374</v>
      </c>
      <c r="AD555" s="296" t="s">
        <v>936</v>
      </c>
      <c r="AE555" s="6531">
        <v>14976.88</v>
      </c>
      <c r="AF555" s="6531">
        <v>21633.1</v>
      </c>
      <c r="AG555" s="6531">
        <v>15171.93</v>
      </c>
      <c r="AH555" s="951">
        <f>AG555-AF555</f>
        <v>-6461.17</v>
      </c>
      <c r="AI555" s="6524">
        <v>21591</v>
      </c>
      <c r="AJ555" s="6524">
        <v>56508.43</v>
      </c>
      <c r="AK555" s="1272">
        <f>_xlfn.SUMIFS('ИП + источники'!AL$27:AL$174,'ИП + источники'!$F$27:$F$174,$F555,'ИП + источники'!$AC$27:$AC$174,"Прибыль на капвложения")</f>
        <v>0</v>
      </c>
      <c r="AL555" s="1272">
        <f>_xlfn.SUMIFS('ИП + источники'!AM$27:AM$174,'ИП + источники'!$F$27:$F$174,$F555,'ИП + источники'!$AC$27:$AC$174,"Прибыль на капвложения")</f>
        <v>0</v>
      </c>
      <c r="AM555" s="1272">
        <f>_xlfn.SUMIFS('ИП + источники'!AN$27:AN$174,'ИП + источники'!$F$27:$F$174,$F555,'ИП + источники'!$AC$27:$AC$174,"Прибыль на капвложения")</f>
        <v>0</v>
      </c>
      <c r="AN555" s="1272">
        <f>_xlfn.SUMIFS('ИП + источники'!AO$27:AO$174,'ИП + источники'!$F$27:$F$174,$F555,'ИП + источники'!$AC$27:$AC$174,"Прибыль на капвложения")</f>
        <v>0</v>
      </c>
      <c r="AO555" s="1272">
        <f>_xlfn.SUMIFS('ИП + источники'!AP$27:AP$174,'ИП + источники'!$F$27:$F$174,$F555,'ИП + источники'!$AC$27:$AC$174,"Прибыль на капвложения")</f>
        <v>0</v>
      </c>
      <c r="AP555" s="1272">
        <f>_xlfn.SUMIFS('ИП + источники'!AQ$27:AQ$174,'ИП + источники'!$F$27:$F$174,$F555,'ИП + источники'!$AC$27:$AC$174,"Прибыль на капвложения")</f>
        <v>0</v>
      </c>
      <c r="AQ555" s="1272">
        <f>_xlfn.SUMIFS('ИП + источники'!AR$27:AR$174,'ИП + источники'!$F$27:$F$174,$F555,'ИП + источники'!$AC$27:$AC$174,"Прибыль на капвложения")</f>
        <v>0</v>
      </c>
      <c r="AR555" s="1272">
        <f>_xlfn.SUMIFS('ИП + источники'!AS$27:AS$174,'ИП + источники'!$F$27:$F$174,$F555,'ИП + источники'!$AC$27:$AC$174,"Прибыль на капвложения")</f>
        <v>0</v>
      </c>
      <c r="AS555" s="1272">
        <f>_xlfn.SUMIFS('ИП + источники'!AT$27:AT$174,'ИП + источники'!$F$27:$F$174,$F555,'ИП + источники'!$AC$27:$AC$174,"Прибыль на капвложения")</f>
        <v>0</v>
      </c>
      <c r="AT555" s="6524">
        <v>27982.89</v>
      </c>
      <c r="AU555" s="1272">
        <f>_xlfn.SUMIFS('ИП + источники'!AV$27:AV$174,'ИП + источники'!$F$27:$F$174,$F555,'ИП + источники'!$AC$27:$AC$174,"Прибыль на капвложения")</f>
        <v>0</v>
      </c>
      <c r="AV555" s="1272">
        <f>_xlfn.SUMIFS('ИП + источники'!AW$27:AW$174,'ИП + источники'!$F$27:$F$174,$F555,'ИП + источники'!$AC$27:$AC$174,"Прибыль на капвложения")</f>
        <v>0</v>
      </c>
      <c r="AW555" s="1272">
        <f>_xlfn.SUMIFS('ИП + источники'!AX$27:AX$174,'ИП + источники'!$F$27:$F$174,$F555,'ИП + источники'!$AC$27:$AC$174,"Прибыль на капвложения")</f>
        <v>0</v>
      </c>
      <c r="AX555" s="1272">
        <f>_xlfn.SUMIFS('ИП + источники'!AY$27:AY$174,'ИП + источники'!$F$27:$F$174,$F555,'ИП + источники'!$AC$27:$AC$174,"Прибыль на капвложения")</f>
        <v>0</v>
      </c>
      <c r="AY555" s="1272">
        <f>_xlfn.SUMIFS('ИП + источники'!AZ$27:AZ$174,'ИП + источники'!$F$27:$F$174,$F555,'ИП + источники'!$AC$27:$AC$174,"Прибыль на капвложения")</f>
        <v>0</v>
      </c>
      <c r="AZ555" s="1272">
        <f>_xlfn.SUMIFS('ИП + источники'!BA$27:BA$174,'ИП + источники'!$F$27:$F$174,$F555,'ИП + источники'!$AC$27:$AC$174,"Прибыль на капвложения")</f>
        <v>0</v>
      </c>
      <c r="BA555" s="1272">
        <f>_xlfn.SUMIFS('ИП + источники'!BB$27:BB$174,'ИП + источники'!$F$27:$F$174,$F555,'ИП + источники'!$AC$27:$AC$174,"Прибыль на капвложения")</f>
        <v>0</v>
      </c>
      <c r="BB555" s="1272">
        <f>_xlfn.SUMIFS('ИП + источники'!BC$27:BC$174,'ИП + источники'!$F$27:$F$174,$F555,'ИП + источники'!$AC$27:$AC$174,"Прибыль на капвложения")</f>
        <v>0</v>
      </c>
      <c r="BC555" s="1272">
        <f>_xlfn.SUMIFS('ИП + источники'!BD$27:BD$174,'ИП + источники'!$F$27:$F$174,$F555,'ИП + источники'!$AC$27:$AC$174,"Прибыль на капвложения")</f>
        <v>0</v>
      </c>
      <c r="BD555" s="951">
        <f>IF(AI555=0,0,(AT555-AI555)/AI555*100)</f>
        <v>29.6044185077115</v>
      </c>
      <c r="BE555" s="951">
        <f>IF(AT555=0,0,(AU555-AT555)/AT555*100)</f>
        <v>-100</v>
      </c>
      <c r="BF555" s="951">
        <f>IF(AU555=0,0,(AV555-AU555)/AU555*100)</f>
        <v>0</v>
      </c>
      <c r="BG555" s="951">
        <f>IF(AV555=0,0,(AW555-AV555)/AV555*100)</f>
        <v>0</v>
      </c>
      <c r="BH555" s="951">
        <f>IF(AW555=0,0,(AX555-AW555)/AW555*100)</f>
        <v>0</v>
      </c>
      <c r="BI555" s="951">
        <f>IF(AX555=0,0,(AY555-AX555)/AX555*100)</f>
        <v>0</v>
      </c>
      <c r="BJ555" s="951">
        <f>IF(AY555=0,0,(AZ555-AY555)/AY555*100)</f>
        <v>0</v>
      </c>
      <c r="BK555" s="951">
        <f>IF(AZ555=0,0,(BA555-AZ555)/AZ555*100)</f>
        <v>0</v>
      </c>
      <c r="BL555" s="951">
        <f>IF(BA555=0,0,(BB555-BA555)/BA555*100)</f>
        <v>0</v>
      </c>
      <c r="BM555" s="951">
        <f>IF(BB555=0,0,(BC555-BB555)/BB555*100)</f>
        <v>0</v>
      </c>
      <c r="BN555" s="6532" t="s">
        <v>2510</v>
      </c>
      <c r="BO555" s="6525" t="s">
        <v>1601</v>
      </c>
      <c r="BP555" s="6533" t="s">
        <v>2604</v>
      </c>
      <c r="BQ555" s="1297"/>
      <c r="BR555" s="1297"/>
      <c r="BS555" s="1072" t="s">
        <v>2084</v>
      </c>
      <c r="BT555" s="1072"/>
      <c r="BU555" s="1072"/>
      <c r="BV555" s="987"/>
      <c r="BW555" s="987"/>
    </row>
    <row s="1656" customFormat="1" customHeight="1" ht="100.46875">
      <c r="A556" s="1297"/>
      <c r="B556" s="434" cm="1" t="str">
        <f t="array" ref="B556:B556">B555</f>
        <v>true</v>
      </c>
      <c r="C556" s="1297"/>
      <c r="D556" s="1297"/>
      <c r="E556" s="709">
        <v>22.5</v>
      </c>
      <c r="F556" s="50" cm="1" t="str">
        <f t="array" ref="F556:F556">OFFSET(E556,-1,1)</f>
        <v>3</v>
      </c>
      <c r="G556" s="154" t="s">
        <v>2375</v>
      </c>
      <c r="H556" s="1297"/>
      <c r="I556" s="154" t="s">
        <v>1124</v>
      </c>
      <c r="J556" s="1297"/>
      <c r="K556" s="154" t="s">
        <v>1124</v>
      </c>
      <c r="L556" s="988" t="s">
        <v>696</v>
      </c>
      <c r="M556" s="103"/>
      <c r="N556" s="1297"/>
      <c r="O556" s="1297"/>
      <c r="P556" s="1297"/>
      <c r="Q556" s="1297"/>
      <c r="R556" s="1297"/>
      <c r="S556" s="1297"/>
      <c r="T556" s="468" cm="1" t="str">
        <f t="array" ref="T556:T556">T555</f>
        <v>true</v>
      </c>
      <c r="U556" s="1297"/>
      <c r="V556" s="1297"/>
      <c r="W556" s="1297"/>
      <c r="X556" s="1539"/>
      <c r="Y556" s="1297"/>
      <c r="Z556" s="1529"/>
      <c r="AA556" s="1297"/>
      <c r="AB556" s="295" t="s">
        <v>1125</v>
      </c>
      <c r="AC556" s="769" t="s">
        <v>2376</v>
      </c>
      <c r="AD556" s="296" t="s">
        <v>936</v>
      </c>
      <c r="AE556" s="6531">
        <v>5.21</v>
      </c>
      <c r="AF556" s="6531">
        <v>397.88</v>
      </c>
      <c r="AG556" s="6531">
        <v>86.53</v>
      </c>
      <c r="AH556" s="951">
        <f>AG556-AF556</f>
        <v>-311.35</v>
      </c>
      <c r="AI556" s="6524">
        <v>17.95</v>
      </c>
      <c r="AJ556" s="6524">
        <v>497.98</v>
      </c>
      <c r="AK556" s="1272"/>
      <c r="AL556" s="1272"/>
      <c r="AM556" s="1272"/>
      <c r="AN556" s="1272"/>
      <c r="AO556" s="1272"/>
      <c r="AP556" s="1272"/>
      <c r="AQ556" s="1272"/>
      <c r="AR556" s="1272"/>
      <c r="AS556" s="1272"/>
      <c r="AT556" s="6524">
        <f>99.13-0.01</f>
        <v>99.12</v>
      </c>
      <c r="AU556" s="1272"/>
      <c r="AV556" s="1272"/>
      <c r="AW556" s="1272"/>
      <c r="AX556" s="1272"/>
      <c r="AY556" s="1272"/>
      <c r="AZ556" s="1272"/>
      <c r="BA556" s="1272"/>
      <c r="BB556" s="1272"/>
      <c r="BC556" s="1272"/>
      <c r="BD556" s="951">
        <f>IF(AI556=0,0,(AT556-AI556)/AI556*100)</f>
        <v>452.200557103064</v>
      </c>
      <c r="BE556" s="951">
        <f>IF(AT556=0,0,(AU556-AT556)/AT556*100)</f>
        <v>-100</v>
      </c>
      <c r="BF556" s="951">
        <f>IF(AU556=0,0,(AV556-AU556)/AU556*100)</f>
        <v>0</v>
      </c>
      <c r="BG556" s="951">
        <f>IF(AV556=0,0,(AW556-AV556)/AV556*100)</f>
        <v>0</v>
      </c>
      <c r="BH556" s="951">
        <f>IF(AW556=0,0,(AX556-AW556)/AW556*100)</f>
        <v>0</v>
      </c>
      <c r="BI556" s="951">
        <f>IF(AX556=0,0,(AY556-AX556)/AX556*100)</f>
        <v>0</v>
      </c>
      <c r="BJ556" s="951">
        <f>IF(AY556=0,0,(AZ556-AY556)/AY556*100)</f>
        <v>0</v>
      </c>
      <c r="BK556" s="951">
        <f>IF(AZ556=0,0,(BA556-AZ556)/AZ556*100)</f>
        <v>0</v>
      </c>
      <c r="BL556" s="951">
        <f>IF(BA556=0,0,(BB556-BA556)/BA556*100)</f>
        <v>0</v>
      </c>
      <c r="BM556" s="951">
        <f>IF(BB556=0,0,(BC556-BB556)/BB556*100)</f>
        <v>0</v>
      </c>
      <c r="BN556" s="6532" t="s">
        <v>2605</v>
      </c>
      <c r="BO556" s="6533" t="s">
        <v>2572</v>
      </c>
      <c r="BP556" s="6533" t="s">
        <v>2606</v>
      </c>
      <c r="BQ556" s="1297"/>
      <c r="BR556" s="1297"/>
      <c r="BS556" s="1072" t="s">
        <v>2377</v>
      </c>
      <c r="BT556" s="1072"/>
      <c r="BU556" s="1072"/>
      <c r="BV556" s="987"/>
      <c r="BW556" s="987"/>
    </row>
    <row s="1656" customFormat="1" customHeight="1" ht="115.46875">
      <c r="A557" s="1297"/>
      <c r="B557" s="434">
        <f>AND(method_reg="Метод индексации",STATUS_GO="да")</f>
        <v>0</v>
      </c>
      <c r="C557" s="1297"/>
      <c r="D557" s="1297"/>
      <c r="E557" s="709">
        <v>15</v>
      </c>
      <c r="F557" s="50" cm="1" t="str">
        <f t="array" ref="F557:F557">OFFSET(E557,-1,1)</f>
        <v>3</v>
      </c>
      <c r="G557" s="154" t="s">
        <v>2087</v>
      </c>
      <c r="H557" s="1297"/>
      <c r="I557" s="154" t="s">
        <v>616</v>
      </c>
      <c r="J557" s="1297"/>
      <c r="K557" s="154" t="s">
        <v>616</v>
      </c>
      <c r="L557" s="988" t="s">
        <v>700</v>
      </c>
      <c r="M557" s="103"/>
      <c r="N557" s="1297"/>
      <c r="O557" s="1297"/>
      <c r="P557" s="1297"/>
      <c r="Q557" s="1297"/>
      <c r="R557" s="1297"/>
      <c r="S557" s="1297"/>
      <c r="T557" s="468" cm="1" t="str">
        <f t="array" ref="T557:T557">T556</f>
        <v>true</v>
      </c>
      <c r="U557" s="1297"/>
      <c r="V557" s="1297"/>
      <c r="W557" s="1297"/>
      <c r="X557" s="1539"/>
      <c r="Y557" s="1297"/>
      <c r="Z557" s="1529"/>
      <c r="AA557" s="1297"/>
      <c r="AB557" s="295" t="s">
        <v>457</v>
      </c>
      <c r="AC557" s="454" t="s">
        <v>2087</v>
      </c>
      <c r="AD557" s="296" t="s">
        <v>936</v>
      </c>
      <c r="AE557" s="6531">
        <v>2686.22</v>
      </c>
      <c r="AF557" s="6531">
        <v>2822.9</v>
      </c>
      <c r="AG557" s="6531">
        <v>2686.22</v>
      </c>
      <c r="AH557" s="951">
        <f>AG557-AF557</f>
        <v>-136.68</v>
      </c>
      <c r="AI557" s="6524">
        <v>2869.75</v>
      </c>
      <c r="AJ557" s="6524">
        <v>5033.39</v>
      </c>
      <c r="AK557" s="1272"/>
      <c r="AL557" s="1272"/>
      <c r="AM557" s="1272"/>
      <c r="AN557" s="1272"/>
      <c r="AO557" s="1272"/>
      <c r="AP557" s="1272"/>
      <c r="AQ557" s="1272"/>
      <c r="AR557" s="1272"/>
      <c r="AS557" s="1272"/>
      <c r="AT557" s="6524">
        <v>3127.31</v>
      </c>
      <c r="AU557" s="1272"/>
      <c r="AV557" s="1272"/>
      <c r="AW557" s="1272"/>
      <c r="AX557" s="1272"/>
      <c r="AY557" s="1272"/>
      <c r="AZ557" s="1272"/>
      <c r="BA557" s="1272"/>
      <c r="BB557" s="1272"/>
      <c r="BC557" s="1272"/>
      <c r="BD557" s="951">
        <f>IF(AI557=0,0,(AT557-AI557)/AI557*100)</f>
        <v>8.97499782210994</v>
      </c>
      <c r="BE557" s="951">
        <f>IF(AT557=0,0,(AU557-AT557)/AT557*100)</f>
        <v>-100</v>
      </c>
      <c r="BF557" s="951">
        <f>IF(AU557=0,0,(AV557-AU557)/AU557*100)</f>
        <v>0</v>
      </c>
      <c r="BG557" s="951">
        <f>IF(AV557=0,0,(AW557-AV557)/AV557*100)</f>
        <v>0</v>
      </c>
      <c r="BH557" s="951">
        <f>IF(AW557=0,0,(AX557-AW557)/AW557*100)</f>
        <v>0</v>
      </c>
      <c r="BI557" s="951">
        <f>IF(AX557=0,0,(AY557-AX557)/AX557*100)</f>
        <v>0</v>
      </c>
      <c r="BJ557" s="951">
        <f>IF(AY557=0,0,(AZ557-AY557)/AY557*100)</f>
        <v>0</v>
      </c>
      <c r="BK557" s="951">
        <f>IF(AZ557=0,0,(BA557-AZ557)/AZ557*100)</f>
        <v>0</v>
      </c>
      <c r="BL557" s="951">
        <f>IF(BA557=0,0,(BB557-BA557)/BA557*100)</f>
        <v>0</v>
      </c>
      <c r="BM557" s="951">
        <f>IF(BB557=0,0,(BC557-BB557)/BB557*100)</f>
        <v>0</v>
      </c>
      <c r="BN557" s="6532" t="s">
        <v>2607</v>
      </c>
      <c r="BO557" s="6533" t="s">
        <v>2608</v>
      </c>
      <c r="BP557" s="6533" t="s">
        <v>2609</v>
      </c>
      <c r="BQ557" s="1297"/>
      <c r="BR557" s="1297"/>
      <c r="BS557" s="1072" t="s">
        <v>2088</v>
      </c>
      <c r="BT557" s="1072"/>
      <c r="BU557" s="1072"/>
      <c r="BV557" s="987"/>
      <c r="BW557" s="987"/>
    </row>
    <row s="1656" customFormat="1" customHeight="1" ht="14.25" hidden="1">
      <c r="A558" s="1297"/>
      <c r="B558" s="983">
        <f>method_reg="Метод обеспечения доходности инвестированного капитала"</f>
        <v>0</v>
      </c>
      <c r="C558" s="1297"/>
      <c r="D558" s="1297"/>
      <c r="E558" s="709">
        <v>15</v>
      </c>
      <c r="F558" s="50" cm="1" t="str">
        <f t="array" ref="F558:F558">OFFSET(E558,-1,1)</f>
        <v>3</v>
      </c>
      <c r="G558" s="1297"/>
      <c r="H558" s="1297"/>
      <c r="I558" s="1297"/>
      <c r="J558" s="1297"/>
      <c r="K558" s="103" t="s">
        <v>348</v>
      </c>
      <c r="L558" s="988"/>
      <c r="M558" s="103"/>
      <c r="N558" s="1297"/>
      <c r="O558" s="1297"/>
      <c r="P558" s="1297"/>
      <c r="Q558" s="1297"/>
      <c r="R558" s="1297"/>
      <c r="S558" s="1297"/>
      <c r="T558" s="468" cm="1" t="str">
        <f t="array" ref="T558:T558">T557</f>
        <v>true</v>
      </c>
      <c r="U558" s="1297"/>
      <c r="V558" s="1297"/>
      <c r="W558" s="1297"/>
      <c r="X558" s="1539"/>
      <c r="Y558" s="1297"/>
      <c r="Z558" s="1529"/>
      <c r="AA558" s="1297"/>
      <c r="AB558" s="799" t="s">
        <v>451</v>
      </c>
      <c r="AC558" s="800" t="s">
        <v>2378</v>
      </c>
      <c r="AD558" s="801" t="s">
        <v>936</v>
      </c>
      <c r="AE558" s="1265"/>
      <c r="AF558" s="1265"/>
      <c r="AG558" s="1265"/>
      <c r="AH558" s="768">
        <f>AG558-AF558</f>
        <v>0</v>
      </c>
      <c r="AI558" s="1265"/>
      <c r="AJ558" s="1265"/>
      <c r="AK558" s="1265"/>
      <c r="AL558" s="1265"/>
      <c r="AM558" s="1265"/>
      <c r="AN558" s="1265"/>
      <c r="AO558" s="1265"/>
      <c r="AP558" s="1265"/>
      <c r="AQ558" s="1265"/>
      <c r="AR558" s="1265"/>
      <c r="AS558" s="1265"/>
      <c r="AT558" s="1265"/>
      <c r="AU558" s="1265"/>
      <c r="AV558" s="1265"/>
      <c r="AW558" s="1265"/>
      <c r="AX558" s="1265"/>
      <c r="AY558" s="1265"/>
      <c r="AZ558" s="1265"/>
      <c r="BA558" s="1265"/>
      <c r="BB558" s="1265"/>
      <c r="BC558" s="1265"/>
      <c r="BD558" s="768">
        <f>IF(AI558=0,0,(AT558-AI558)/AI558*100)</f>
        <v>0</v>
      </c>
      <c r="BE558" s="768">
        <f>IF(AT558=0,0,(AU558-AT558)/AT558*100)</f>
        <v>0</v>
      </c>
      <c r="BF558" s="768">
        <f>IF(AU558=0,0,(AV558-AU558)/AU558*100)</f>
        <v>0</v>
      </c>
      <c r="BG558" s="768">
        <f>IF(AV558=0,0,(AW558-AV558)/AV558*100)</f>
        <v>0</v>
      </c>
      <c r="BH558" s="768">
        <f>IF(AW558=0,0,(AX558-AW558)/AW558*100)</f>
        <v>0</v>
      </c>
      <c r="BI558" s="768">
        <f>IF(AX558=0,0,(AY558-AX558)/AX558*100)</f>
        <v>0</v>
      </c>
      <c r="BJ558" s="768">
        <f>IF(AY558=0,0,(AZ558-AY558)/AY558*100)</f>
        <v>0</v>
      </c>
      <c r="BK558" s="768">
        <f>IF(AZ558=0,0,(BA558-AZ558)/AZ558*100)</f>
        <v>0</v>
      </c>
      <c r="BL558" s="768">
        <f>IF(BA558=0,0,(BB558-BA558)/BA558*100)</f>
        <v>0</v>
      </c>
      <c r="BM558" s="768">
        <f>IF(BB558=0,0,(BC558-BB558)/BB558*100)</f>
        <v>0</v>
      </c>
      <c r="BN558" s="1266"/>
      <c r="BO558" s="1266"/>
      <c r="BP558" s="1266"/>
      <c r="BQ558" s="1297"/>
      <c r="BR558" s="1297"/>
      <c r="BS558" s="1072" t="s">
        <v>2379</v>
      </c>
      <c r="BT558" s="1072"/>
      <c r="BU558" s="1072"/>
      <c r="BV558" s="987"/>
      <c r="BW558" s="987"/>
    </row>
    <row s="1656" customFormat="1" customHeight="1" ht="14.25" hidden="1">
      <c r="A559" s="1297"/>
      <c r="B559" s="983" cm="1" t="str">
        <f t="array" ref="B559:B559">B558</f>
        <v>false</v>
      </c>
      <c r="C559" s="1297"/>
      <c r="D559" s="1297"/>
      <c r="E559" s="709">
        <v>15</v>
      </c>
      <c r="F559" s="50" cm="1" t="str">
        <f t="array" ref="F559:F559">OFFSET(E559,-1,1)</f>
        <v>3</v>
      </c>
      <c r="G559" s="1297"/>
      <c r="H559" s="1297"/>
      <c r="I559" s="1297"/>
      <c r="J559" s="1297"/>
      <c r="K559" s="103" t="s">
        <v>659</v>
      </c>
      <c r="L559" s="988"/>
      <c r="M559" s="103"/>
      <c r="N559" s="1297"/>
      <c r="O559" s="1297"/>
      <c r="P559" s="1297"/>
      <c r="Q559" s="1297"/>
      <c r="R559" s="1297"/>
      <c r="S559" s="1297"/>
      <c r="T559" s="468" cm="1" t="str">
        <f t="array" ref="T559:T559">T558</f>
        <v>true</v>
      </c>
      <c r="U559" s="1297"/>
      <c r="V559" s="1297"/>
      <c r="W559" s="1297"/>
      <c r="X559" s="1539"/>
      <c r="Y559" s="1297"/>
      <c r="Z559" s="1529"/>
      <c r="AA559" s="1297"/>
      <c r="AB559" s="802" t="s">
        <v>794</v>
      </c>
      <c r="AC559" s="803" t="s">
        <v>2380</v>
      </c>
      <c r="AD559" s="804" t="s">
        <v>936</v>
      </c>
      <c r="AE559" s="1272"/>
      <c r="AF559" s="1272"/>
      <c r="AG559" s="1272"/>
      <c r="AH559" s="950"/>
      <c r="AI559" s="1272"/>
      <c r="AJ559" s="1272"/>
      <c r="AK559" s="1272"/>
      <c r="AL559" s="1272"/>
      <c r="AM559" s="1272"/>
      <c r="AN559" s="1272"/>
      <c r="AO559" s="1272"/>
      <c r="AP559" s="1272"/>
      <c r="AQ559" s="1272"/>
      <c r="AR559" s="1272"/>
      <c r="AS559" s="1272"/>
      <c r="AT559" s="1272"/>
      <c r="AU559" s="1272"/>
      <c r="AV559" s="1272"/>
      <c r="AW559" s="1272"/>
      <c r="AX559" s="1272"/>
      <c r="AY559" s="1272"/>
      <c r="AZ559" s="1272"/>
      <c r="BA559" s="1272"/>
      <c r="BB559" s="1272"/>
      <c r="BC559" s="1272"/>
      <c r="BD559" s="950"/>
      <c r="BE559" s="950"/>
      <c r="BF559" s="950"/>
      <c r="BG559" s="950"/>
      <c r="BH559" s="950"/>
      <c r="BI559" s="950"/>
      <c r="BJ559" s="950"/>
      <c r="BK559" s="950"/>
      <c r="BL559" s="950"/>
      <c r="BM559" s="950"/>
      <c r="BN559" s="1270"/>
      <c r="BO559" s="1270"/>
      <c r="BP559" s="1270"/>
      <c r="BQ559" s="1297"/>
      <c r="BR559" s="1297"/>
      <c r="BS559" s="1072" t="s">
        <v>2381</v>
      </c>
      <c r="BT559" s="1072"/>
      <c r="BU559" s="1072"/>
      <c r="BV559" s="987"/>
      <c r="BW559" s="987"/>
    </row>
    <row s="1656" customFormat="1" customHeight="1" ht="14.25" hidden="1">
      <c r="A560" s="1297"/>
      <c r="B560" s="983" cm="1" t="str">
        <f t="array" ref="B560:B560">B559</f>
        <v>false</v>
      </c>
      <c r="C560" s="1297"/>
      <c r="D560" s="1297"/>
      <c r="E560" s="709">
        <v>15</v>
      </c>
      <c r="F560" s="50" cm="1" t="str">
        <f t="array" ref="F560:F560">OFFSET(E560,-1,1)</f>
        <v>3</v>
      </c>
      <c r="G560" s="1297"/>
      <c r="H560" s="1297"/>
      <c r="I560" s="1297"/>
      <c r="J560" s="1297"/>
      <c r="K560" s="103" t="s">
        <v>663</v>
      </c>
      <c r="L560" s="988"/>
      <c r="M560" s="103"/>
      <c r="N560" s="1297"/>
      <c r="O560" s="1297"/>
      <c r="P560" s="1297"/>
      <c r="Q560" s="1297"/>
      <c r="R560" s="1297"/>
      <c r="S560" s="1297"/>
      <c r="T560" s="468" cm="1" t="str">
        <f t="array" ref="T560:T560">T559</f>
        <v>true</v>
      </c>
      <c r="U560" s="1297"/>
      <c r="V560" s="1297"/>
      <c r="W560" s="1297"/>
      <c r="X560" s="1539"/>
      <c r="Y560" s="1297"/>
      <c r="Z560" s="1529"/>
      <c r="AA560" s="1297"/>
      <c r="AB560" s="802" t="s">
        <v>797</v>
      </c>
      <c r="AC560" s="803" t="s">
        <v>2382</v>
      </c>
      <c r="AD560" s="804" t="s">
        <v>2383</v>
      </c>
      <c r="AE560" s="1272"/>
      <c r="AF560" s="1272"/>
      <c r="AG560" s="1272"/>
      <c r="AH560" s="950"/>
      <c r="AI560" s="1272"/>
      <c r="AJ560" s="1272"/>
      <c r="AK560" s="1272"/>
      <c r="AL560" s="1272"/>
      <c r="AM560" s="1272"/>
      <c r="AN560" s="1272"/>
      <c r="AO560" s="1272"/>
      <c r="AP560" s="1272"/>
      <c r="AQ560" s="1272"/>
      <c r="AR560" s="1272"/>
      <c r="AS560" s="1272"/>
      <c r="AT560" s="1272"/>
      <c r="AU560" s="1272"/>
      <c r="AV560" s="1272"/>
      <c r="AW560" s="1272"/>
      <c r="AX560" s="1272"/>
      <c r="AY560" s="1272"/>
      <c r="AZ560" s="1272"/>
      <c r="BA560" s="1272"/>
      <c r="BB560" s="1272"/>
      <c r="BC560" s="1272"/>
      <c r="BD560" s="950"/>
      <c r="BE560" s="950"/>
      <c r="BF560" s="950"/>
      <c r="BG560" s="950"/>
      <c r="BH560" s="950"/>
      <c r="BI560" s="950"/>
      <c r="BJ560" s="950"/>
      <c r="BK560" s="950"/>
      <c r="BL560" s="950"/>
      <c r="BM560" s="950"/>
      <c r="BN560" s="1270"/>
      <c r="BO560" s="1270"/>
      <c r="BP560" s="1270"/>
      <c r="BQ560" s="1297"/>
      <c r="BR560" s="1297"/>
      <c r="BS560" s="1072" t="s">
        <v>2384</v>
      </c>
      <c r="BT560" s="1072"/>
      <c r="BU560" s="1072"/>
      <c r="BV560" s="987"/>
      <c r="BW560" s="987"/>
    </row>
    <row s="1656" customFormat="1" customHeight="1" ht="14.25" hidden="1">
      <c r="A561" s="1297"/>
      <c r="B561" s="983" cm="1" t="str">
        <f t="array" ref="B561:B561">B560</f>
        <v>false</v>
      </c>
      <c r="C561" s="1297"/>
      <c r="D561" s="1297"/>
      <c r="E561" s="709">
        <v>15</v>
      </c>
      <c r="F561" s="50" cm="1" t="str">
        <f t="array" ref="F561:F561">OFFSET(E561,-1,1)</f>
        <v>3</v>
      </c>
      <c r="G561" s="1297"/>
      <c r="H561" s="1297"/>
      <c r="I561" s="1297"/>
      <c r="J561" s="1297"/>
      <c r="K561" s="103" t="s">
        <v>347</v>
      </c>
      <c r="L561" s="988"/>
      <c r="M561" s="103"/>
      <c r="N561" s="1297"/>
      <c r="O561" s="1297"/>
      <c r="P561" s="1297"/>
      <c r="Q561" s="1297"/>
      <c r="R561" s="1297"/>
      <c r="S561" s="1297"/>
      <c r="T561" s="468" cm="1" t="str">
        <f t="array" ref="T561:T561">T560</f>
        <v>true</v>
      </c>
      <c r="U561" s="1297"/>
      <c r="V561" s="1297"/>
      <c r="W561" s="1297"/>
      <c r="X561" s="1539"/>
      <c r="Y561" s="1297"/>
      <c r="Z561" s="1529"/>
      <c r="AA561" s="1297"/>
      <c r="AB561" s="799" t="s">
        <v>454</v>
      </c>
      <c r="AC561" s="800" t="s">
        <v>2385</v>
      </c>
      <c r="AD561" s="801" t="s">
        <v>936</v>
      </c>
      <c r="AE561" s="1265"/>
      <c r="AF561" s="1265"/>
      <c r="AG561" s="1265"/>
      <c r="AH561" s="768">
        <f>AG561-AF561</f>
        <v>0</v>
      </c>
      <c r="AI561" s="1265"/>
      <c r="AJ561" s="1265"/>
      <c r="AK561" s="1265"/>
      <c r="AL561" s="1265"/>
      <c r="AM561" s="1265"/>
      <c r="AN561" s="1265"/>
      <c r="AO561" s="1265"/>
      <c r="AP561" s="1265"/>
      <c r="AQ561" s="1265"/>
      <c r="AR561" s="1265"/>
      <c r="AS561" s="1265"/>
      <c r="AT561" s="1265"/>
      <c r="AU561" s="1265"/>
      <c r="AV561" s="1265"/>
      <c r="AW561" s="1265"/>
      <c r="AX561" s="1265"/>
      <c r="AY561" s="1265"/>
      <c r="AZ561" s="1265"/>
      <c r="BA561" s="1265"/>
      <c r="BB561" s="1265"/>
      <c r="BC561" s="1265"/>
      <c r="BD561" s="768">
        <f>IF(AI561=0,0,(AT561-AI561)/AI561*100)</f>
        <v>0</v>
      </c>
      <c r="BE561" s="768">
        <f>IF(AT561=0,0,(AU561-AT561)/AT561*100)</f>
        <v>0</v>
      </c>
      <c r="BF561" s="768">
        <f>IF(AU561=0,0,(AV561-AU561)/AU561*100)</f>
        <v>0</v>
      </c>
      <c r="BG561" s="768">
        <f>IF(AV561=0,0,(AW561-AV561)/AV561*100)</f>
        <v>0</v>
      </c>
      <c r="BH561" s="768">
        <f>IF(AW561=0,0,(AX561-AW561)/AW561*100)</f>
        <v>0</v>
      </c>
      <c r="BI561" s="768">
        <f>IF(AX561=0,0,(AY561-AX561)/AX561*100)</f>
        <v>0</v>
      </c>
      <c r="BJ561" s="768">
        <f>IF(AY561=0,0,(AZ561-AY561)/AY561*100)</f>
        <v>0</v>
      </c>
      <c r="BK561" s="768">
        <f>IF(AZ561=0,0,(BA561-AZ561)/AZ561*100)</f>
        <v>0</v>
      </c>
      <c r="BL561" s="768">
        <f>IF(BA561=0,0,(BB561-BA561)/BA561*100)</f>
        <v>0</v>
      </c>
      <c r="BM561" s="768">
        <f>IF(BB561=0,0,(BC561-BB561)/BB561*100)</f>
        <v>0</v>
      </c>
      <c r="BN561" s="1266"/>
      <c r="BO561" s="1266"/>
      <c r="BP561" s="1266"/>
      <c r="BQ561" s="1297"/>
      <c r="BR561" s="1297"/>
      <c r="BS561" s="1072" t="s">
        <v>2386</v>
      </c>
      <c r="BT561" s="1072"/>
      <c r="BU561" s="1072"/>
      <c r="BV561" s="987"/>
      <c r="BW561" s="987"/>
    </row>
    <row s="1656" customFormat="1" customHeight="1" ht="14.25" hidden="1">
      <c r="A562" s="1297"/>
      <c r="B562" s="983" cm="1" t="str">
        <f t="array" ref="B562:B562">B561</f>
        <v>false</v>
      </c>
      <c r="C562" s="1297"/>
      <c r="D562" s="1297"/>
      <c r="E562" s="709">
        <v>15</v>
      </c>
      <c r="F562" s="50" cm="1" t="str">
        <f t="array" ref="F562:F562">OFFSET(E562,-1,1)</f>
        <v>3</v>
      </c>
      <c r="G562" s="1297"/>
      <c r="H562" s="1297"/>
      <c r="I562" s="1297"/>
      <c r="J562" s="1297"/>
      <c r="K562" s="103" t="s">
        <v>673</v>
      </c>
      <c r="L562" s="988"/>
      <c r="M562" s="103"/>
      <c r="N562" s="1297"/>
      <c r="O562" s="1297"/>
      <c r="P562" s="1297"/>
      <c r="Q562" s="1297"/>
      <c r="R562" s="1297"/>
      <c r="S562" s="1297"/>
      <c r="T562" s="468" cm="1" t="str">
        <f t="array" ref="T562:T562">T561</f>
        <v>true</v>
      </c>
      <c r="U562" s="1297"/>
      <c r="V562" s="1297"/>
      <c r="W562" s="1297"/>
      <c r="X562" s="1539"/>
      <c r="Y562" s="1297"/>
      <c r="Z562" s="1529"/>
      <c r="AA562" s="1297"/>
      <c r="AB562" s="802" t="s">
        <v>801</v>
      </c>
      <c r="AC562" s="803" t="s">
        <v>2387</v>
      </c>
      <c r="AD562" s="804" t="s">
        <v>936</v>
      </c>
      <c r="AE562" s="1272"/>
      <c r="AF562" s="1272"/>
      <c r="AG562" s="1272"/>
      <c r="AH562" s="950"/>
      <c r="AI562" s="1272"/>
      <c r="AJ562" s="1272"/>
      <c r="AK562" s="1272"/>
      <c r="AL562" s="1272"/>
      <c r="AM562" s="1272"/>
      <c r="AN562" s="1272"/>
      <c r="AO562" s="1272"/>
      <c r="AP562" s="1272"/>
      <c r="AQ562" s="1272"/>
      <c r="AR562" s="1272"/>
      <c r="AS562" s="1272"/>
      <c r="AT562" s="1272"/>
      <c r="AU562" s="1272"/>
      <c r="AV562" s="1272"/>
      <c r="AW562" s="1272"/>
      <c r="AX562" s="1272"/>
      <c r="AY562" s="1272"/>
      <c r="AZ562" s="1272"/>
      <c r="BA562" s="1272"/>
      <c r="BB562" s="1272"/>
      <c r="BC562" s="1272"/>
      <c r="BD562" s="950"/>
      <c r="BE562" s="950"/>
      <c r="BF562" s="950"/>
      <c r="BG562" s="950"/>
      <c r="BH562" s="950"/>
      <c r="BI562" s="950"/>
      <c r="BJ562" s="950"/>
      <c r="BK562" s="950"/>
      <c r="BL562" s="950"/>
      <c r="BM562" s="950"/>
      <c r="BN562" s="1270"/>
      <c r="BO562" s="1270"/>
      <c r="BP562" s="1270"/>
      <c r="BQ562" s="1297"/>
      <c r="BR562" s="1297"/>
      <c r="BS562" s="1072" t="s">
        <v>2388</v>
      </c>
      <c r="BT562" s="1072"/>
      <c r="BU562" s="1072"/>
      <c r="BV562" s="987"/>
      <c r="BW562" s="987"/>
    </row>
    <row s="1656" customFormat="1" customHeight="1" ht="14.25" hidden="1">
      <c r="A563" s="1297"/>
      <c r="B563" s="983" cm="1" t="str">
        <f t="array" ref="B563:B563">B562</f>
        <v>false</v>
      </c>
      <c r="C563" s="1297"/>
      <c r="D563" s="1297"/>
      <c r="E563" s="709">
        <v>15</v>
      </c>
      <c r="F563" s="50" cm="1" t="str">
        <f t="array" ref="F563:F563">OFFSET(E563,-1,1)</f>
        <v>3</v>
      </c>
      <c r="G563" s="1297"/>
      <c r="H563" s="1297"/>
      <c r="I563" s="1297"/>
      <c r="J563" s="1297"/>
      <c r="K563" s="103" t="s">
        <v>677</v>
      </c>
      <c r="L563" s="988"/>
      <c r="M563" s="103"/>
      <c r="N563" s="1297"/>
      <c r="O563" s="1297"/>
      <c r="P563" s="1297"/>
      <c r="Q563" s="1297"/>
      <c r="R563" s="1297"/>
      <c r="S563" s="1297"/>
      <c r="T563" s="468" cm="1" t="str">
        <f t="array" ref="T563:T563">T562</f>
        <v>true</v>
      </c>
      <c r="U563" s="1297"/>
      <c r="V563" s="1297"/>
      <c r="W563" s="1297"/>
      <c r="X563" s="1539"/>
      <c r="Y563" s="1297"/>
      <c r="Z563" s="1529"/>
      <c r="AA563" s="1297"/>
      <c r="AB563" s="802" t="s">
        <v>804</v>
      </c>
      <c r="AC563" s="803" t="s">
        <v>2389</v>
      </c>
      <c r="AD563" s="804" t="s">
        <v>561</v>
      </c>
      <c r="AE563" s="1272"/>
      <c r="AF563" s="1272"/>
      <c r="AG563" s="1272"/>
      <c r="AH563" s="950"/>
      <c r="AI563" s="1272"/>
      <c r="AJ563" s="1272"/>
      <c r="AK563" s="1272"/>
      <c r="AL563" s="1272"/>
      <c r="AM563" s="1272"/>
      <c r="AN563" s="1272"/>
      <c r="AO563" s="1272"/>
      <c r="AP563" s="1272"/>
      <c r="AQ563" s="1272"/>
      <c r="AR563" s="1272"/>
      <c r="AS563" s="1272"/>
      <c r="AT563" s="1272"/>
      <c r="AU563" s="1272"/>
      <c r="AV563" s="1272"/>
      <c r="AW563" s="1272"/>
      <c r="AX563" s="1272"/>
      <c r="AY563" s="1272"/>
      <c r="AZ563" s="1272"/>
      <c r="BA563" s="1272"/>
      <c r="BB563" s="1272"/>
      <c r="BC563" s="1272"/>
      <c r="BD563" s="950"/>
      <c r="BE563" s="950"/>
      <c r="BF563" s="950"/>
      <c r="BG563" s="950"/>
      <c r="BH563" s="950"/>
      <c r="BI563" s="950"/>
      <c r="BJ563" s="950"/>
      <c r="BK563" s="950"/>
      <c r="BL563" s="950"/>
      <c r="BM563" s="950"/>
      <c r="BN563" s="1270"/>
      <c r="BO563" s="1270"/>
      <c r="BP563" s="1270"/>
      <c r="BQ563" s="1297"/>
      <c r="BR563" s="1297"/>
      <c r="BS563" s="1072" t="s">
        <v>2390</v>
      </c>
      <c r="BT563" s="1072"/>
      <c r="BU563" s="1072"/>
      <c r="BV563" s="987"/>
      <c r="BW563" s="987"/>
    </row>
    <row s="1656" customFormat="1" customHeight="1" ht="14.25" hidden="1">
      <c r="A564" s="1297"/>
      <c r="B564" s="983" cm="1" t="str">
        <f t="array" ref="B564:B564">B563</f>
        <v>false</v>
      </c>
      <c r="C564" s="1297"/>
      <c r="D564" s="1297"/>
      <c r="E564" s="709">
        <v>15</v>
      </c>
      <c r="F564" s="50" cm="1" t="str">
        <f t="array" ref="F564:F564">OFFSET(E564,-1,1)</f>
        <v>3</v>
      </c>
      <c r="G564" s="1297"/>
      <c r="H564" s="1297"/>
      <c r="I564" s="1297"/>
      <c r="J564" s="1297"/>
      <c r="K564" s="103" t="s">
        <v>889</v>
      </c>
      <c r="L564" s="988"/>
      <c r="M564" s="103"/>
      <c r="N564" s="1297"/>
      <c r="O564" s="1297"/>
      <c r="P564" s="1297"/>
      <c r="Q564" s="1297"/>
      <c r="R564" s="1297"/>
      <c r="S564" s="1297"/>
      <c r="T564" s="468" cm="1" t="str">
        <f t="array" ref="T564:T564">T563</f>
        <v>true</v>
      </c>
      <c r="U564" s="1297"/>
      <c r="V564" s="1297"/>
      <c r="W564" s="1297"/>
      <c r="X564" s="1539"/>
      <c r="Y564" s="1297"/>
      <c r="Z564" s="1529"/>
      <c r="AA564" s="1297"/>
      <c r="AB564" s="802" t="s">
        <v>1122</v>
      </c>
      <c r="AC564" s="803" t="s">
        <v>2391</v>
      </c>
      <c r="AD564" s="804" t="s">
        <v>936</v>
      </c>
      <c r="AE564" s="1272"/>
      <c r="AF564" s="1272"/>
      <c r="AG564" s="1272"/>
      <c r="AH564" s="950"/>
      <c r="AI564" s="1272"/>
      <c r="AJ564" s="1272"/>
      <c r="AK564" s="1272"/>
      <c r="AL564" s="1272"/>
      <c r="AM564" s="1272"/>
      <c r="AN564" s="1272"/>
      <c r="AO564" s="1272"/>
      <c r="AP564" s="1272"/>
      <c r="AQ564" s="1272"/>
      <c r="AR564" s="1272"/>
      <c r="AS564" s="1272"/>
      <c r="AT564" s="1272"/>
      <c r="AU564" s="1272"/>
      <c r="AV564" s="1272"/>
      <c r="AW564" s="1272"/>
      <c r="AX564" s="1272"/>
      <c r="AY564" s="1272"/>
      <c r="AZ564" s="1272"/>
      <c r="BA564" s="1272"/>
      <c r="BB564" s="1272"/>
      <c r="BC564" s="1272"/>
      <c r="BD564" s="950"/>
      <c r="BE564" s="950"/>
      <c r="BF564" s="950"/>
      <c r="BG564" s="950"/>
      <c r="BH564" s="950"/>
      <c r="BI564" s="950"/>
      <c r="BJ564" s="950"/>
      <c r="BK564" s="950"/>
      <c r="BL564" s="950"/>
      <c r="BM564" s="950"/>
      <c r="BN564" s="1270"/>
      <c r="BO564" s="1270"/>
      <c r="BP564" s="1270"/>
      <c r="BQ564" s="1297"/>
      <c r="BR564" s="1297"/>
      <c r="BS564" s="1072" t="s">
        <v>2392</v>
      </c>
      <c r="BT564" s="1072"/>
      <c r="BU564" s="1072"/>
      <c r="BV564" s="987"/>
      <c r="BW564" s="987"/>
    </row>
    <row s="1656" customFormat="1" customHeight="1" ht="14.25" hidden="1">
      <c r="A565" s="1297"/>
      <c r="B565" s="983" cm="1" t="str">
        <f t="array" ref="B565:B565">B564</f>
        <v>false</v>
      </c>
      <c r="C565" s="1297"/>
      <c r="D565" s="1297"/>
      <c r="E565" s="709">
        <v>15</v>
      </c>
      <c r="F565" s="50" cm="1" t="str">
        <f t="array" ref="F565:F565">OFFSET(E565,-1,1)</f>
        <v>3</v>
      </c>
      <c r="G565" s="1297"/>
      <c r="H565" s="1297"/>
      <c r="I565" s="1297"/>
      <c r="J565" s="1297"/>
      <c r="K565" s="103" t="s">
        <v>1124</v>
      </c>
      <c r="L565" s="988"/>
      <c r="M565" s="103"/>
      <c r="N565" s="1297"/>
      <c r="O565" s="1297"/>
      <c r="P565" s="1297"/>
      <c r="Q565" s="1297"/>
      <c r="R565" s="1297"/>
      <c r="S565" s="1297"/>
      <c r="T565" s="468" cm="1" t="str">
        <f t="array" ref="T565:T565">T564</f>
        <v>true</v>
      </c>
      <c r="U565" s="1297"/>
      <c r="V565" s="1297"/>
      <c r="W565" s="1297"/>
      <c r="X565" s="1539"/>
      <c r="Y565" s="1297"/>
      <c r="Z565" s="1529"/>
      <c r="AA565" s="1297"/>
      <c r="AB565" s="802" t="s">
        <v>1125</v>
      </c>
      <c r="AC565" s="803" t="s">
        <v>2393</v>
      </c>
      <c r="AD565" s="804" t="s">
        <v>936</v>
      </c>
      <c r="AE565" s="1272"/>
      <c r="AF565" s="1272"/>
      <c r="AG565" s="1272"/>
      <c r="AH565" s="950"/>
      <c r="AI565" s="1272"/>
      <c r="AJ565" s="1272"/>
      <c r="AK565" s="1272"/>
      <c r="AL565" s="1272"/>
      <c r="AM565" s="1272"/>
      <c r="AN565" s="1272"/>
      <c r="AO565" s="1272"/>
      <c r="AP565" s="1272"/>
      <c r="AQ565" s="1272"/>
      <c r="AR565" s="1272"/>
      <c r="AS565" s="1272"/>
      <c r="AT565" s="1272"/>
      <c r="AU565" s="1272"/>
      <c r="AV565" s="1272"/>
      <c r="AW565" s="1272"/>
      <c r="AX565" s="1272"/>
      <c r="AY565" s="1272"/>
      <c r="AZ565" s="1272"/>
      <c r="BA565" s="1272"/>
      <c r="BB565" s="1272"/>
      <c r="BC565" s="1272"/>
      <c r="BD565" s="950"/>
      <c r="BE565" s="950"/>
      <c r="BF565" s="950"/>
      <c r="BG565" s="950"/>
      <c r="BH565" s="950"/>
      <c r="BI565" s="950"/>
      <c r="BJ565" s="950"/>
      <c r="BK565" s="950"/>
      <c r="BL565" s="950"/>
      <c r="BM565" s="950"/>
      <c r="BN565" s="1270"/>
      <c r="BO565" s="1270"/>
      <c r="BP565" s="1270"/>
      <c r="BQ565" s="1297"/>
      <c r="BR565" s="1297"/>
      <c r="BS565" s="1072" t="s">
        <v>2394</v>
      </c>
      <c r="BT565" s="1072"/>
      <c r="BU565" s="1072"/>
      <c r="BV565" s="987"/>
      <c r="BW565" s="987"/>
    </row>
    <row s="1656" customFormat="1" customHeight="1" ht="14.25" hidden="1">
      <c r="A566" s="1297"/>
      <c r="B566" s="983" cm="1" t="str">
        <f t="array" ref="B566:B566">B565</f>
        <v>false</v>
      </c>
      <c r="C566" s="1297"/>
      <c r="D566" s="1297"/>
      <c r="E566" s="709">
        <v>15</v>
      </c>
      <c r="F566" s="50" cm="1" t="str">
        <f t="array" ref="F566:F566">OFFSET(E566,-1,1)</f>
        <v>3</v>
      </c>
      <c r="G566" s="1297"/>
      <c r="H566" s="1297"/>
      <c r="I566" s="1297"/>
      <c r="J566" s="1297"/>
      <c r="K566" s="103" t="s">
        <v>2395</v>
      </c>
      <c r="L566" s="988"/>
      <c r="M566" s="103"/>
      <c r="N566" s="1297"/>
      <c r="O566" s="1297"/>
      <c r="P566" s="1297"/>
      <c r="Q566" s="1297"/>
      <c r="R566" s="1297"/>
      <c r="S566" s="1297"/>
      <c r="T566" s="468" cm="1" t="str">
        <f t="array" ref="T566:T566">T565</f>
        <v>true</v>
      </c>
      <c r="U566" s="1297"/>
      <c r="V566" s="1297"/>
      <c r="W566" s="1297"/>
      <c r="X566" s="1539"/>
      <c r="Y566" s="1297"/>
      <c r="Z566" s="1529"/>
      <c r="AA566" s="1297"/>
      <c r="AB566" s="802" t="s">
        <v>2396</v>
      </c>
      <c r="AC566" s="805" t="s">
        <v>2397</v>
      </c>
      <c r="AD566" s="804" t="s">
        <v>561</v>
      </c>
      <c r="AE566" s="1272"/>
      <c r="AF566" s="1272"/>
      <c r="AG566" s="1272"/>
      <c r="AH566" s="950"/>
      <c r="AI566" s="1272"/>
      <c r="AJ566" s="1272"/>
      <c r="AK566" s="1272"/>
      <c r="AL566" s="1272"/>
      <c r="AM566" s="1272"/>
      <c r="AN566" s="1272"/>
      <c r="AO566" s="1272"/>
      <c r="AP566" s="1272"/>
      <c r="AQ566" s="1272"/>
      <c r="AR566" s="1272"/>
      <c r="AS566" s="1272"/>
      <c r="AT566" s="1272"/>
      <c r="AU566" s="1272"/>
      <c r="AV566" s="1272"/>
      <c r="AW566" s="1272"/>
      <c r="AX566" s="1272"/>
      <c r="AY566" s="1272"/>
      <c r="AZ566" s="1272"/>
      <c r="BA566" s="1272"/>
      <c r="BB566" s="1272"/>
      <c r="BC566" s="1272"/>
      <c r="BD566" s="950"/>
      <c r="BE566" s="950"/>
      <c r="BF566" s="950"/>
      <c r="BG566" s="950"/>
      <c r="BH566" s="950"/>
      <c r="BI566" s="950"/>
      <c r="BJ566" s="950"/>
      <c r="BK566" s="950"/>
      <c r="BL566" s="950"/>
      <c r="BM566" s="950"/>
      <c r="BN566" s="1270"/>
      <c r="BO566" s="1270"/>
      <c r="BP566" s="1270"/>
      <c r="BQ566" s="1297"/>
      <c r="BR566" s="1297"/>
      <c r="BS566" s="1072" t="s">
        <v>2398</v>
      </c>
      <c r="BT566" s="1072"/>
      <c r="BU566" s="1072"/>
      <c r="BV566" s="987"/>
      <c r="BW566" s="987"/>
    </row>
    <row s="1656" customFormat="1" customHeight="1" ht="14.25" hidden="1">
      <c r="A567" s="1297"/>
      <c r="B567" s="983" cm="1" t="str">
        <f t="array" ref="B567:B567">B566</f>
        <v>false</v>
      </c>
      <c r="C567" s="1297"/>
      <c r="D567" s="1297"/>
      <c r="E567" s="709">
        <v>15</v>
      </c>
      <c r="F567" s="50" cm="1" t="str">
        <f t="array" ref="F567:F567">OFFSET(E567,-1,1)</f>
        <v>3</v>
      </c>
      <c r="G567" s="1297"/>
      <c r="H567" s="1297"/>
      <c r="I567" s="1297"/>
      <c r="J567" s="1297"/>
      <c r="K567" s="103" t="s">
        <v>1127</v>
      </c>
      <c r="L567" s="988"/>
      <c r="M567" s="103"/>
      <c r="N567" s="1297"/>
      <c r="O567" s="1297"/>
      <c r="P567" s="1297"/>
      <c r="Q567" s="1297"/>
      <c r="R567" s="1297"/>
      <c r="S567" s="1297"/>
      <c r="T567" s="468" cm="1" t="str">
        <f t="array" ref="T567:T567">T566</f>
        <v>true</v>
      </c>
      <c r="U567" s="1297"/>
      <c r="V567" s="1297"/>
      <c r="W567" s="1297"/>
      <c r="X567" s="1539"/>
      <c r="Y567" s="1297"/>
      <c r="Z567" s="1529"/>
      <c r="AA567" s="1297"/>
      <c r="AB567" s="802" t="s">
        <v>1128</v>
      </c>
      <c r="AC567" s="803" t="s">
        <v>2399</v>
      </c>
      <c r="AD567" s="804" t="s">
        <v>561</v>
      </c>
      <c r="AE567" s="1272"/>
      <c r="AF567" s="1272"/>
      <c r="AG567" s="1272"/>
      <c r="AH567" s="950"/>
      <c r="AI567" s="1272"/>
      <c r="AJ567" s="1272"/>
      <c r="AK567" s="1272"/>
      <c r="AL567" s="1272"/>
      <c r="AM567" s="1272"/>
      <c r="AN567" s="1272"/>
      <c r="AO567" s="1272"/>
      <c r="AP567" s="1272"/>
      <c r="AQ567" s="1272"/>
      <c r="AR567" s="1272"/>
      <c r="AS567" s="1272"/>
      <c r="AT567" s="1272"/>
      <c r="AU567" s="1272"/>
      <c r="AV567" s="1272"/>
      <c r="AW567" s="1272"/>
      <c r="AX567" s="1272"/>
      <c r="AY567" s="1272"/>
      <c r="AZ567" s="1272"/>
      <c r="BA567" s="1272"/>
      <c r="BB567" s="1272"/>
      <c r="BC567" s="1272"/>
      <c r="BD567" s="950"/>
      <c r="BE567" s="950"/>
      <c r="BF567" s="950"/>
      <c r="BG567" s="950"/>
      <c r="BH567" s="950"/>
      <c r="BI567" s="950"/>
      <c r="BJ567" s="950"/>
      <c r="BK567" s="950"/>
      <c r="BL567" s="950"/>
      <c r="BM567" s="950"/>
      <c r="BN567" s="1270"/>
      <c r="BO567" s="1270"/>
      <c r="BP567" s="1270"/>
      <c r="BQ567" s="1297"/>
      <c r="BR567" s="1297"/>
      <c r="BS567" s="1072" t="s">
        <v>2400</v>
      </c>
      <c r="BT567" s="1072"/>
      <c r="BU567" s="1072"/>
      <c r="BV567" s="987"/>
      <c r="BW567" s="987"/>
    </row>
    <row s="1656" customFormat="1" customHeight="1" ht="14.25" hidden="1">
      <c r="A568" s="1297"/>
      <c r="B568" s="983" cm="1" t="str">
        <f t="array" ref="B568:B568">B567</f>
        <v>false</v>
      </c>
      <c r="C568" s="1297"/>
      <c r="D568" s="1297"/>
      <c r="E568" s="709">
        <v>15</v>
      </c>
      <c r="F568" s="50" cm="1" t="str">
        <f t="array" ref="F568:F568">OFFSET(E568,-1,1)</f>
        <v>3</v>
      </c>
      <c r="G568" s="1297"/>
      <c r="H568" s="1297"/>
      <c r="I568" s="1297"/>
      <c r="J568" s="1297"/>
      <c r="K568" s="103" t="s">
        <v>2401</v>
      </c>
      <c r="L568" s="988"/>
      <c r="M568" s="103"/>
      <c r="N568" s="1297"/>
      <c r="O568" s="1297"/>
      <c r="P568" s="1297"/>
      <c r="Q568" s="1297"/>
      <c r="R568" s="1297"/>
      <c r="S568" s="1297"/>
      <c r="T568" s="468" cm="1" t="str">
        <f t="array" ref="T568:T568">T567</f>
        <v>true</v>
      </c>
      <c r="U568" s="1297"/>
      <c r="V568" s="1297"/>
      <c r="W568" s="1297"/>
      <c r="X568" s="1539"/>
      <c r="Y568" s="1297"/>
      <c r="Z568" s="1529"/>
      <c r="AA568" s="1297"/>
      <c r="AB568" s="802" t="s">
        <v>2402</v>
      </c>
      <c r="AC568" s="805" t="s">
        <v>2403</v>
      </c>
      <c r="AD568" s="804" t="s">
        <v>561</v>
      </c>
      <c r="AE568" s="1272"/>
      <c r="AF568" s="1272"/>
      <c r="AG568" s="1272"/>
      <c r="AH568" s="950"/>
      <c r="AI568" s="1272"/>
      <c r="AJ568" s="1272"/>
      <c r="AK568" s="1272"/>
      <c r="AL568" s="1272"/>
      <c r="AM568" s="1272"/>
      <c r="AN568" s="1272"/>
      <c r="AO568" s="1272"/>
      <c r="AP568" s="1272"/>
      <c r="AQ568" s="1272"/>
      <c r="AR568" s="1272"/>
      <c r="AS568" s="1272"/>
      <c r="AT568" s="1272"/>
      <c r="AU568" s="1272"/>
      <c r="AV568" s="1272"/>
      <c r="AW568" s="1272"/>
      <c r="AX568" s="1272"/>
      <c r="AY568" s="1272"/>
      <c r="AZ568" s="1272"/>
      <c r="BA568" s="1272"/>
      <c r="BB568" s="1272"/>
      <c r="BC568" s="1272"/>
      <c r="BD568" s="950"/>
      <c r="BE568" s="950"/>
      <c r="BF568" s="950"/>
      <c r="BG568" s="950"/>
      <c r="BH568" s="950"/>
      <c r="BI568" s="950"/>
      <c r="BJ568" s="950"/>
      <c r="BK568" s="950"/>
      <c r="BL568" s="950"/>
      <c r="BM568" s="950"/>
      <c r="BN568" s="1270"/>
      <c r="BO568" s="1270"/>
      <c r="BP568" s="1270"/>
      <c r="BQ568" s="1297"/>
      <c r="BR568" s="1297"/>
      <c r="BS568" s="1072" t="s">
        <v>2404</v>
      </c>
      <c r="BT568" s="1072"/>
      <c r="BU568" s="1072"/>
      <c r="BV568" s="987"/>
      <c r="BW568" s="987"/>
    </row>
    <row s="1656" customFormat="1" customHeight="1" ht="14.25" hidden="1">
      <c r="A569" s="1297"/>
      <c r="B569" s="983" cm="1" t="str">
        <f t="array" ref="B569:B569">B568</f>
        <v>false</v>
      </c>
      <c r="C569" s="1297"/>
      <c r="D569" s="1297"/>
      <c r="E569" s="709">
        <v>15</v>
      </c>
      <c r="F569" s="50" cm="1" t="str">
        <f t="array" ref="F569:F569">OFFSET(E569,-1,1)</f>
        <v>3</v>
      </c>
      <c r="G569" s="1297"/>
      <c r="H569" s="1297"/>
      <c r="I569" s="1297"/>
      <c r="J569" s="1297"/>
      <c r="K569" s="103" t="s">
        <v>2405</v>
      </c>
      <c r="L569" s="988"/>
      <c r="M569" s="103"/>
      <c r="N569" s="1297"/>
      <c r="O569" s="1297"/>
      <c r="P569" s="1297"/>
      <c r="Q569" s="1297"/>
      <c r="R569" s="1297"/>
      <c r="S569" s="1297"/>
      <c r="T569" s="468" cm="1" t="str">
        <f t="array" ref="T569:T569">T568</f>
        <v>true</v>
      </c>
      <c r="U569" s="1297"/>
      <c r="V569" s="1297"/>
      <c r="W569" s="1297"/>
      <c r="X569" s="1539"/>
      <c r="Y569" s="1297"/>
      <c r="Z569" s="1529"/>
      <c r="AA569" s="1297"/>
      <c r="AB569" s="802" t="s">
        <v>2406</v>
      </c>
      <c r="AC569" s="805" t="s">
        <v>2407</v>
      </c>
      <c r="AD569" s="804" t="s">
        <v>561</v>
      </c>
      <c r="AE569" s="1272"/>
      <c r="AF569" s="1272"/>
      <c r="AG569" s="1272"/>
      <c r="AH569" s="950"/>
      <c r="AI569" s="1272"/>
      <c r="AJ569" s="1272"/>
      <c r="AK569" s="1272"/>
      <c r="AL569" s="1272"/>
      <c r="AM569" s="1272"/>
      <c r="AN569" s="1272"/>
      <c r="AO569" s="1272"/>
      <c r="AP569" s="1272"/>
      <c r="AQ569" s="1272"/>
      <c r="AR569" s="1272"/>
      <c r="AS569" s="1272"/>
      <c r="AT569" s="1272"/>
      <c r="AU569" s="1272"/>
      <c r="AV569" s="1272"/>
      <c r="AW569" s="1272"/>
      <c r="AX569" s="1272"/>
      <c r="AY569" s="1272"/>
      <c r="AZ569" s="1272"/>
      <c r="BA569" s="1272"/>
      <c r="BB569" s="1272"/>
      <c r="BC569" s="1272"/>
      <c r="BD569" s="950"/>
      <c r="BE569" s="950"/>
      <c r="BF569" s="950"/>
      <c r="BG569" s="950"/>
      <c r="BH569" s="950"/>
      <c r="BI569" s="950"/>
      <c r="BJ569" s="950"/>
      <c r="BK569" s="950"/>
      <c r="BL569" s="950"/>
      <c r="BM569" s="950"/>
      <c r="BN569" s="1270"/>
      <c r="BO569" s="1270"/>
      <c r="BP569" s="1270"/>
      <c r="BQ569" s="1297"/>
      <c r="BR569" s="1297"/>
      <c r="BS569" s="1072" t="s">
        <v>2408</v>
      </c>
      <c r="BT569" s="1072"/>
      <c r="BU569" s="1072"/>
      <c r="BV569" s="987"/>
      <c r="BW569" s="987"/>
    </row>
    <row s="6704" customFormat="1" customHeight="1" ht="35.46875">
      <c r="A570" s="706"/>
      <c r="B570" s="437"/>
      <c r="C570" s="706"/>
      <c r="D570" s="105" t="str">
        <f>IF(B569,"6","7")</f>
        <v>7</v>
      </c>
      <c r="E570" s="713">
        <v>21</v>
      </c>
      <c r="F570" s="50" cm="1" t="str">
        <f t="array" ref="F570:F570">OFFSET(E570,-1,1)</f>
        <v>3</v>
      </c>
      <c r="G570" s="154" t="s">
        <v>2409</v>
      </c>
      <c r="H570" s="154"/>
      <c r="I570" s="376" t="s">
        <v>2410</v>
      </c>
      <c r="J570" s="706"/>
      <c r="K570" s="376" t="s">
        <v>2410</v>
      </c>
      <c r="L570" s="993"/>
      <c r="M570" s="105"/>
      <c r="N570" s="706"/>
      <c r="O570" s="706"/>
      <c r="P570" s="706"/>
      <c r="Q570" s="706"/>
      <c r="R570" s="706"/>
      <c r="S570" s="706"/>
      <c r="T570" s="468" cm="1" t="str">
        <f t="array" ref="T570:T570">T569</f>
        <v>true</v>
      </c>
      <c r="U570" s="706"/>
      <c r="V570" s="706"/>
      <c r="W570" s="706"/>
      <c r="X570" s="1539"/>
      <c r="Y570" s="706"/>
      <c r="Z570" s="1529"/>
      <c r="AA570" s="706"/>
      <c r="AB570" s="207" cm="1" t="str">
        <f t="array" ref="AB570:AB570">D570</f>
        <v>7</v>
      </c>
      <c r="AC570" s="215" t="s">
        <v>1815</v>
      </c>
      <c r="AD570" s="207" t="s">
        <v>936</v>
      </c>
      <c r="AE570" s="6350">
        <f>-7471.67795+0.02</f>
        <v>-7471.65795</v>
      </c>
      <c r="AF570" s="6350">
        <f>AF572+AF573+AF574-AF575-AF576+AF577-AF578</f>
        <v>-7471.68</v>
      </c>
      <c r="AG570" s="6350">
        <f>AG572+AG573+AG574-AG575-AG576+AG577-AG578-0.01</f>
        <v>-5855.29</v>
      </c>
      <c r="AH570" s="768">
        <f>AG570-AF570</f>
        <v>1616.39</v>
      </c>
      <c r="AI570" s="6519">
        <f>AI572+AI573+AI574-AI575-AI576+AI577-AI578</f>
        <v>1895.6040890542</v>
      </c>
      <c r="AJ570" s="6585">
        <f>AJ572+AJ573+AJ574-AJ575-AJ576+AJ577-AJ578</f>
        <v>34604.17</v>
      </c>
      <c r="AK570" s="1265"/>
      <c r="AL570" s="1265"/>
      <c r="AM570" s="1265"/>
      <c r="AN570" s="1265"/>
      <c r="AO570" s="1265"/>
      <c r="AP570" s="1265"/>
      <c r="AQ570" s="1265"/>
      <c r="AR570" s="1265"/>
      <c r="AS570" s="1265"/>
      <c r="AT570" s="6585">
        <f>AT572+AT573+AT574-AJ575-AT576+AT577-AT578-0.02</f>
        <v>25989.21</v>
      </c>
      <c r="AU570" s="1265"/>
      <c r="AV570" s="1265"/>
      <c r="AW570" s="1265"/>
      <c r="AX570" s="1265"/>
      <c r="AY570" s="1265"/>
      <c r="AZ570" s="1265"/>
      <c r="BA570" s="1265"/>
      <c r="BB570" s="1265"/>
      <c r="BC570" s="1265"/>
      <c r="BD570" s="768">
        <f>IF(AI570=0,0,(AT570-AI570)/AI570*100)</f>
        <v>1271.02521302152</v>
      </c>
      <c r="BE570" s="768">
        <f>IF(AT570=0,0,(AU570-AT570)/AT570*100)</f>
        <v>-100</v>
      </c>
      <c r="BF570" s="768">
        <f>IF(AU570=0,0,(AV570-AU570)/AU570*100)</f>
        <v>0</v>
      </c>
      <c r="BG570" s="768">
        <f>IF(AV570=0,0,(AW570-AV570)/AV570*100)</f>
        <v>0</v>
      </c>
      <c r="BH570" s="768">
        <f>IF(AW570=0,0,(AX570-AW570)/AW570*100)</f>
        <v>0</v>
      </c>
      <c r="BI570" s="768">
        <f>IF(AX570=0,0,(AY570-AX570)/AX570*100)</f>
        <v>0</v>
      </c>
      <c r="BJ570" s="768">
        <f>IF(AY570=0,0,(AZ570-AY570)/AY570*100)</f>
        <v>0</v>
      </c>
      <c r="BK570" s="768">
        <f>IF(AZ570=0,0,(BA570-AZ570)/AZ570*100)</f>
        <v>0</v>
      </c>
      <c r="BL570" s="768">
        <f>IF(BA570=0,0,(BB570-BA570)/BA570*100)</f>
        <v>0</v>
      </c>
      <c r="BM570" s="768">
        <f>IF(BB570=0,0,(BC570-BB570)/BB570*100)</f>
        <v>0</v>
      </c>
      <c r="BN570" s="6292"/>
      <c r="BO570" s="6525"/>
      <c r="BP570" s="6292"/>
      <c r="BQ570" s="706"/>
      <c r="BR570" s="706"/>
      <c r="BS570" s="1078" t="s">
        <v>2411</v>
      </c>
      <c r="BT570" s="1078"/>
      <c r="BU570" s="1078"/>
      <c r="BV570" s="713"/>
      <c r="BW570" s="713"/>
    </row>
    <row s="1656" customFormat="1" customHeight="1" ht="14.25">
      <c r="A571" s="1297"/>
      <c r="B571" s="986"/>
      <c r="C571" s="1297"/>
      <c r="D571" s="103" cm="1" t="str">
        <f t="array" ref="D571:D571">D570</f>
        <v>7</v>
      </c>
      <c r="E571" s="709">
        <v>15</v>
      </c>
      <c r="F571" s="50" cm="1" t="str">
        <f t="array" ref="F571:F571">OFFSET(E571,-1,1)</f>
        <v>3</v>
      </c>
      <c r="G571" s="1297"/>
      <c r="H571" s="1297"/>
      <c r="I571" s="1297"/>
      <c r="J571" s="1297"/>
      <c r="K571" s="1297"/>
      <c r="L571" s="988"/>
      <c r="M571" s="103"/>
      <c r="N571" s="1297"/>
      <c r="O571" s="1297"/>
      <c r="P571" s="1297"/>
      <c r="Q571" s="1297"/>
      <c r="R571" s="1297"/>
      <c r="S571" s="1297"/>
      <c r="T571" s="468" cm="1" t="str">
        <f t="array" ref="T571:T571">T570</f>
        <v>true</v>
      </c>
      <c r="U571" s="1297"/>
      <c r="V571" s="1297"/>
      <c r="W571" s="1297"/>
      <c r="X571" s="1539"/>
      <c r="Y571" s="1297"/>
      <c r="Z571" s="1529"/>
      <c r="AA571" s="1297"/>
      <c r="AB571" s="296"/>
      <c r="AC571" s="454" t="s">
        <v>2412</v>
      </c>
      <c r="AD571" s="296"/>
      <c r="AE571" s="953"/>
      <c r="AF571" s="953"/>
      <c r="AG571" s="953"/>
      <c r="AH571" s="950"/>
      <c r="AI571" s="950"/>
      <c r="AJ571" s="950"/>
      <c r="AK571" s="950"/>
      <c r="AL571" s="950"/>
      <c r="AM571" s="950"/>
      <c r="AN571" s="950"/>
      <c r="AO571" s="950"/>
      <c r="AP571" s="950"/>
      <c r="AQ571" s="950"/>
      <c r="AR571" s="950"/>
      <c r="AS571" s="950"/>
      <c r="AT571" s="950"/>
      <c r="AU571" s="950"/>
      <c r="AV571" s="950"/>
      <c r="AW571" s="950"/>
      <c r="AX571" s="950"/>
      <c r="AY571" s="950"/>
      <c r="AZ571" s="950"/>
      <c r="BA571" s="950"/>
      <c r="BB571" s="950"/>
      <c r="BC571" s="950"/>
      <c r="BD571" s="950"/>
      <c r="BE571" s="950"/>
      <c r="BF571" s="950"/>
      <c r="BG571" s="950"/>
      <c r="BH571" s="950"/>
      <c r="BI571" s="950"/>
      <c r="BJ571" s="950"/>
      <c r="BK571" s="950"/>
      <c r="BL571" s="950"/>
      <c r="BM571" s="950"/>
      <c r="BN571" s="529"/>
      <c r="BO571" s="529"/>
      <c r="BP571" s="529"/>
      <c r="BQ571" s="1297"/>
      <c r="BR571" s="1297"/>
      <c r="BS571" s="1072"/>
      <c r="BT571" s="1072"/>
      <c r="BU571" s="1072"/>
      <c r="BV571" s="987"/>
      <c r="BW571" s="987"/>
    </row>
    <row s="1656" customFormat="1" customHeight="1" ht="126.30208333333333">
      <c r="A572" s="1297"/>
      <c r="B572" s="986"/>
      <c r="C572" s="1297"/>
      <c r="D572" s="103" cm="1" t="str">
        <f t="array" ref="D572:D572">D571</f>
        <v>7</v>
      </c>
      <c r="E572" s="709">
        <v>22.5</v>
      </c>
      <c r="F572" s="50" cm="1" t="str">
        <f t="array" ref="F572:F572">OFFSET(E572,-1,1)</f>
        <v>3</v>
      </c>
      <c r="G572" s="154" t="s">
        <v>386</v>
      </c>
      <c r="H572" s="1297"/>
      <c r="I572" s="154" t="s">
        <v>619</v>
      </c>
      <c r="J572" s="1297"/>
      <c r="K572" s="154" t="s">
        <v>619</v>
      </c>
      <c r="L572" s="988"/>
      <c r="M572" s="103"/>
      <c r="N572" s="1297"/>
      <c r="O572" s="1297"/>
      <c r="P572" s="1297"/>
      <c r="Q572" s="1297"/>
      <c r="R572" s="1297"/>
      <c r="S572" s="1297"/>
      <c r="T572" s="468" cm="1" t="str">
        <f t="array" ref="T572:T572">T571</f>
        <v>true</v>
      </c>
      <c r="U572" s="1297"/>
      <c r="V572" s="1297"/>
      <c r="W572" s="1297"/>
      <c r="X572" s="1539"/>
      <c r="Y572" s="1297"/>
      <c r="Z572" s="1529"/>
      <c r="AA572" s="1297"/>
      <c r="AB572" s="296" t="str">
        <f>D572&amp;".1"</f>
        <v>7.1</v>
      </c>
      <c r="AC572" s="769" t="s">
        <v>2413</v>
      </c>
      <c r="AD572" s="296" t="s">
        <v>936</v>
      </c>
      <c r="AE572" s="6531">
        <v>0</v>
      </c>
      <c r="AF572" s="6531"/>
      <c r="AG572" s="6531"/>
      <c r="AH572" s="951">
        <f>AG572-AF572</f>
        <v>0</v>
      </c>
      <c r="AI572" s="6524">
        <v>0</v>
      </c>
      <c r="AJ572" s="6524">
        <f>_xlfn.SUMIFS('Корректировка НВВ'!$AF$25:$AF$231,'Корректировка НВВ'!$F$25:$F$231,$F572,'Корректировка НВВ'!$I$25:$I$231,$G572)</f>
        <v>0</v>
      </c>
      <c r="AK572" s="1272"/>
      <c r="AL572" s="1272"/>
      <c r="AM572" s="1272"/>
      <c r="AN572" s="1272"/>
      <c r="AO572" s="1272"/>
      <c r="AP572" s="1272"/>
      <c r="AQ572" s="1272"/>
      <c r="AR572" s="1272"/>
      <c r="AS572" s="1272"/>
      <c r="AT572" s="6524">
        <f>_xlfn.SUMIFS('Корректировка НВВ'!$AG$25:$AG$231,'Корректировка НВВ'!$F$25:$F$231,$F572,'Корректировка НВВ'!$I$25:$I$231,$G572)</f>
        <v>0</v>
      </c>
      <c r="AU572" s="1272"/>
      <c r="AV572" s="1272"/>
      <c r="AW572" s="1272"/>
      <c r="AX572" s="1272"/>
      <c r="AY572" s="1272"/>
      <c r="AZ572" s="1272"/>
      <c r="BA572" s="1272"/>
      <c r="BB572" s="1272"/>
      <c r="BC572" s="1272"/>
      <c r="BD572" s="950"/>
      <c r="BE572" s="950"/>
      <c r="BF572" s="950"/>
      <c r="BG572" s="950"/>
      <c r="BH572" s="950"/>
      <c r="BI572" s="950"/>
      <c r="BJ572" s="950"/>
      <c r="BK572" s="950"/>
      <c r="BL572" s="950"/>
      <c r="BM572" s="950"/>
      <c r="BN572" s="6532" t="s">
        <v>2610</v>
      </c>
      <c r="BO572" s="6525" t="s">
        <v>2611</v>
      </c>
      <c r="BP572" s="6533" t="s">
        <v>2612</v>
      </c>
      <c r="BQ572" s="1297"/>
      <c r="BR572" s="1297"/>
      <c r="BS572" s="1072" t="s">
        <v>2414</v>
      </c>
      <c r="BT572" s="1072"/>
      <c r="BU572" s="1072"/>
      <c r="BV572" s="987"/>
      <c r="BW572" s="987"/>
    </row>
    <row s="1656" customFormat="1" customHeight="1" ht="123.80208333333331">
      <c r="A573" s="1297"/>
      <c r="B573" s="986"/>
      <c r="C573" s="1297"/>
      <c r="D573" s="103" cm="1" t="str">
        <f t="array" ref="D573:D573">D572</f>
        <v>7</v>
      </c>
      <c r="E573" s="709">
        <v>101.25</v>
      </c>
      <c r="F573" s="50" cm="1" t="str">
        <f t="array" ref="F573:F573">OFFSET(E573,-1,1)</f>
        <v>3</v>
      </c>
      <c r="G573" s="154" t="s">
        <v>2415</v>
      </c>
      <c r="H573" s="1297"/>
      <c r="I573" s="154" t="s">
        <v>685</v>
      </c>
      <c r="J573" s="1297"/>
      <c r="K573" s="154" t="s">
        <v>685</v>
      </c>
      <c r="L573" s="988"/>
      <c r="M573" s="103"/>
      <c r="N573" s="1297"/>
      <c r="O573" s="1297"/>
      <c r="P573" s="1297"/>
      <c r="Q573" s="1297"/>
      <c r="R573" s="1297"/>
      <c r="S573" s="1297"/>
      <c r="T573" s="468" cm="1" t="str">
        <f t="array" ref="T573:T573">T572</f>
        <v>true</v>
      </c>
      <c r="U573" s="1297"/>
      <c r="V573" s="1297"/>
      <c r="W573" s="1297"/>
      <c r="X573" s="1539"/>
      <c r="Y573" s="1297"/>
      <c r="Z573" s="1529"/>
      <c r="AA573" s="1297"/>
      <c r="AB573" s="296" t="str">
        <f>D573&amp;".2"</f>
        <v>7.2</v>
      </c>
      <c r="AC573" s="769" t="s">
        <v>2416</v>
      </c>
      <c r="AD573" s="296" t="s">
        <v>936</v>
      </c>
      <c r="AE573" s="6531">
        <v>0</v>
      </c>
      <c r="AF573" s="6531"/>
      <c r="AG573" s="6531"/>
      <c r="AH573" s="951">
        <f>AG573-AF573</f>
        <v>0</v>
      </c>
      <c r="AI573" s="6524">
        <v>0</v>
      </c>
      <c r="AJ573" s="6524">
        <f>_xlfn.SUMIFS('Корректировка НВВ'!$AF$25:$AF$231,'Корректировка НВВ'!$F$25:$F$231,$F573,'Корректировка НВВ'!$I$25:$I$231,$G573)</f>
        <v>0</v>
      </c>
      <c r="AK573" s="1272"/>
      <c r="AL573" s="1272"/>
      <c r="AM573" s="1272"/>
      <c r="AN573" s="1272"/>
      <c r="AO573" s="1272"/>
      <c r="AP573" s="1272"/>
      <c r="AQ573" s="1272"/>
      <c r="AR573" s="1272"/>
      <c r="AS573" s="1272"/>
      <c r="AT573" s="6524">
        <f>_xlfn.SUMIFS('Корректировка НВВ'!$AG$25:$AG$231,'Корректировка НВВ'!$F$25:$F$231,$F573,'Корректировка НВВ'!$I$25:$I$231,$G573)</f>
        <v>0</v>
      </c>
      <c r="AU573" s="1272"/>
      <c r="AV573" s="1272"/>
      <c r="AW573" s="1272"/>
      <c r="AX573" s="1272"/>
      <c r="AY573" s="1272"/>
      <c r="AZ573" s="1272"/>
      <c r="BA573" s="1272"/>
      <c r="BB573" s="1272"/>
      <c r="BC573" s="1272"/>
      <c r="BD573" s="950"/>
      <c r="BE573" s="950"/>
      <c r="BF573" s="950"/>
      <c r="BG573" s="950"/>
      <c r="BH573" s="950"/>
      <c r="BI573" s="950"/>
      <c r="BJ573" s="950"/>
      <c r="BK573" s="950"/>
      <c r="BL573" s="950"/>
      <c r="BM573" s="950"/>
      <c r="BN573" s="6533" t="s">
        <v>2613</v>
      </c>
      <c r="BO573" s="6525" t="s">
        <v>2614</v>
      </c>
      <c r="BP573" s="6533" t="s">
        <v>2615</v>
      </c>
      <c r="BQ573" s="1297"/>
      <c r="BR573" s="1297"/>
      <c r="BS573" s="1072" t="s">
        <v>2417</v>
      </c>
      <c r="BT573" s="1072"/>
      <c r="BU573" s="1072"/>
      <c r="BV573" s="987"/>
      <c r="BW573" s="987"/>
    </row>
    <row s="1656" customFormat="1" customHeight="1" ht="122.96875">
      <c r="A574" s="1297"/>
      <c r="B574" s="986"/>
      <c r="C574" s="1297"/>
      <c r="D574" s="103" cm="1" t="str">
        <f t="array" ref="D574:D574">D573</f>
        <v>7</v>
      </c>
      <c r="E574" s="709">
        <v>45</v>
      </c>
      <c r="F574" s="50" cm="1" t="str">
        <f t="array" ref="F574:F574">OFFSET(E574,-1,1)</f>
        <v>3</v>
      </c>
      <c r="G574" s="1297"/>
      <c r="H574" s="1297"/>
      <c r="I574" s="154" t="s">
        <v>700</v>
      </c>
      <c r="J574" s="1297"/>
      <c r="K574" s="154" t="s">
        <v>700</v>
      </c>
      <c r="L574" s="988"/>
      <c r="M574" s="103"/>
      <c r="N574" s="1297"/>
      <c r="O574" s="1297"/>
      <c r="P574" s="1297"/>
      <c r="Q574" s="1297"/>
      <c r="R574" s="1297"/>
      <c r="S574" s="1297"/>
      <c r="T574" s="468" cm="1" t="str">
        <f t="array" ref="T574:T574">T573</f>
        <v>true</v>
      </c>
      <c r="U574" s="1297"/>
      <c r="V574" s="1297"/>
      <c r="W574" s="1297"/>
      <c r="X574" s="1539"/>
      <c r="Y574" s="1297"/>
      <c r="Z574" s="1529"/>
      <c r="AA574" s="1297"/>
      <c r="AB574" s="296" t="str">
        <f>D574&amp;".3"</f>
        <v>7.3</v>
      </c>
      <c r="AC574" s="769" t="s">
        <v>2418</v>
      </c>
      <c r="AD574" s="296" t="s">
        <v>936</v>
      </c>
      <c r="AE574" s="6531">
        <v>0</v>
      </c>
      <c r="AF574" s="6531"/>
      <c r="AG574" s="6531"/>
      <c r="AH574" s="951">
        <f>AG574-AF574</f>
        <v>0</v>
      </c>
      <c r="AI574" s="6524">
        <v>21187.2266890542</v>
      </c>
      <c r="AJ574" s="6524">
        <f>29604.18-0.01</f>
        <v>29604.17</v>
      </c>
      <c r="AK574" s="1272"/>
      <c r="AL574" s="1272"/>
      <c r="AM574" s="1272"/>
      <c r="AN574" s="1272"/>
      <c r="AO574" s="1272"/>
      <c r="AP574" s="1272"/>
      <c r="AQ574" s="1272"/>
      <c r="AR574" s="1272"/>
      <c r="AS574" s="1272"/>
      <c r="AT574" s="6524">
        <f>_xlfn.SUMIFS('Корректировка НВВ'!$AG$25:$AG$231,'Корректировка НВВ'!$F$25:$F$231,$F574,'Корректировка НВВ'!$I$25:$I$231,"L1")+_xlfn.SUMIFS('Корректировка НВВ'!$AF$25:$AF$231,'Корректировка НВВ'!$F$25:$F$231,$F574,'Корректировка НВВ'!$I$25:$I$231,"L2")</f>
        <v>21032.02</v>
      </c>
      <c r="AU574" s="1272"/>
      <c r="AV574" s="1272"/>
      <c r="AW574" s="1272"/>
      <c r="AX574" s="1272"/>
      <c r="AY574" s="1272"/>
      <c r="AZ574" s="1272"/>
      <c r="BA574" s="1272"/>
      <c r="BB574" s="1272"/>
      <c r="BC574" s="1272"/>
      <c r="BD574" s="950"/>
      <c r="BE574" s="950"/>
      <c r="BF574" s="950"/>
      <c r="BG574" s="950"/>
      <c r="BH574" s="950"/>
      <c r="BI574" s="950"/>
      <c r="BJ574" s="950"/>
      <c r="BK574" s="950"/>
      <c r="BL574" s="950"/>
      <c r="BM574" s="950"/>
      <c r="BN574" s="6532" t="s">
        <v>2616</v>
      </c>
      <c r="BO574" s="6525" t="s">
        <v>2617</v>
      </c>
      <c r="BP574" s="6533" t="s">
        <v>2500</v>
      </c>
      <c r="BQ574" s="1297"/>
      <c r="BR574" s="1297"/>
      <c r="BS574" s="1072" t="s">
        <v>2419</v>
      </c>
      <c r="BT574" s="1072"/>
      <c r="BU574" s="1072"/>
      <c r="BV574" s="987"/>
      <c r="BW574" s="987"/>
    </row>
    <row s="1656" customFormat="1" customHeight="1" ht="202.96875">
      <c r="A575" s="1297"/>
      <c r="B575" s="447">
        <f>S461="Водоотведение"</f>
        <v>1</v>
      </c>
      <c r="C575" s="1297"/>
      <c r="D575" s="103" cm="1" t="str">
        <f t="array" ref="D575:D575">D574</f>
        <v>7</v>
      </c>
      <c r="E575" s="709">
        <v>90</v>
      </c>
      <c r="F575" s="50" cm="1" t="str">
        <f t="array" ref="F575:F575">OFFSET(E575,-1,1)</f>
        <v>3</v>
      </c>
      <c r="G575" s="154" t="s">
        <v>2420</v>
      </c>
      <c r="H575" s="49"/>
      <c r="I575" s="154" t="s">
        <v>866</v>
      </c>
      <c r="J575" s="1297"/>
      <c r="K575" s="154" t="s">
        <v>866</v>
      </c>
      <c r="L575" s="988" t="s">
        <v>864</v>
      </c>
      <c r="M575" s="103"/>
      <c r="N575" s="1297"/>
      <c r="O575" s="1297"/>
      <c r="P575" s="1297"/>
      <c r="Q575" s="1297"/>
      <c r="R575" s="1297"/>
      <c r="S575" s="1297"/>
      <c r="T575" s="468" cm="1" t="str">
        <f t="array" ref="T575:T575">T574</f>
        <v>true</v>
      </c>
      <c r="U575" s="1297"/>
      <c r="V575" s="1297"/>
      <c r="W575" s="1297"/>
      <c r="X575" s="1539"/>
      <c r="Y575" s="1297"/>
      <c r="Z575" s="1529"/>
      <c r="AA575" s="1297"/>
      <c r="AB575" s="296" t="str">
        <f>D575&amp;".4"</f>
        <v>7.4</v>
      </c>
      <c r="AC575" s="769" t="s">
        <v>2090</v>
      </c>
      <c r="AD575" s="773" t="s">
        <v>936</v>
      </c>
      <c r="AE575" s="6531">
        <v>19907.78</v>
      </c>
      <c r="AF575" s="6531">
        <v>19907.78</v>
      </c>
      <c r="AG575" s="6531">
        <v>19907.78</v>
      </c>
      <c r="AH575" s="951">
        <f>AG575-AF575</f>
        <v>0</v>
      </c>
      <c r="AI575" s="6524">
        <v>7249.722</v>
      </c>
      <c r="AJ575" s="6524">
        <f>_xlfn.SUMIFS('Корректировка НВВ'!$AF$25:$AF$231,'Корректировка НВВ'!$F$25:$F$231,$F575,'Корректировка НВВ'!$I$25:$I$231,$G575)</f>
        <v>0</v>
      </c>
      <c r="AK575" s="1272"/>
      <c r="AL575" s="1272"/>
      <c r="AM575" s="1272"/>
      <c r="AN575" s="1272"/>
      <c r="AO575" s="1272"/>
      <c r="AP575" s="1272"/>
      <c r="AQ575" s="1272"/>
      <c r="AR575" s="1272"/>
      <c r="AS575" s="1272"/>
      <c r="AT575" s="6524">
        <f>_xlfn.SUMIFS('Корректировка НВВ'!$AG$25:$AG$231,'Корректировка НВВ'!$F$25:$F$231,$F575,'Корректировка НВВ'!$I$25:$I$231,$G575)</f>
        <v>0</v>
      </c>
      <c r="AU575" s="1272"/>
      <c r="AV575" s="1272"/>
      <c r="AW575" s="1272"/>
      <c r="AX575" s="1272"/>
      <c r="AY575" s="1272"/>
      <c r="AZ575" s="1272"/>
      <c r="BA575" s="1272"/>
      <c r="BB575" s="1272"/>
      <c r="BC575" s="1272"/>
      <c r="BD575" s="950"/>
      <c r="BE575" s="950"/>
      <c r="BF575" s="950"/>
      <c r="BG575" s="950"/>
      <c r="BH575" s="950"/>
      <c r="BI575" s="950"/>
      <c r="BJ575" s="950"/>
      <c r="BK575" s="950"/>
      <c r="BL575" s="950"/>
      <c r="BM575" s="950"/>
      <c r="BN575" s="6533" t="s">
        <v>2618</v>
      </c>
      <c r="BO575" s="6525" t="s">
        <v>2619</v>
      </c>
      <c r="BP575" s="6533" t="s">
        <v>2620</v>
      </c>
      <c r="BQ575" s="1297"/>
      <c r="BR575" s="1297"/>
      <c r="BS575" s="1072" t="s">
        <v>1580</v>
      </c>
      <c r="BT575" s="1072"/>
      <c r="BU575" s="1072"/>
      <c r="BV575" s="987"/>
      <c r="BW575" s="987"/>
    </row>
    <row s="1656" customFormat="1" customHeight="1" ht="132.96875">
      <c r="A576" s="1297"/>
      <c r="B576" s="447" cm="1" t="str">
        <f t="array" ref="B576:B576">B575</f>
        <v>true</v>
      </c>
      <c r="C576" s="1297"/>
      <c r="D576" s="103" cm="1" t="str">
        <f t="array" ref="D576:D576">D575</f>
        <v>7</v>
      </c>
      <c r="E576" s="709">
        <v>56.25</v>
      </c>
      <c r="F576" s="50" cm="1" t="str">
        <f t="array" ref="F576:F576">OFFSET(E576,-1,1)</f>
        <v>3</v>
      </c>
      <c r="G576" s="154" t="s">
        <v>2421</v>
      </c>
      <c r="H576" s="49"/>
      <c r="I576" s="154" t="s">
        <v>914</v>
      </c>
      <c r="J576" s="1297"/>
      <c r="K576" s="154" t="s">
        <v>914</v>
      </c>
      <c r="L576" s="988" t="s">
        <v>866</v>
      </c>
      <c r="M576" s="103"/>
      <c r="N576" s="1297"/>
      <c r="O576" s="1297"/>
      <c r="P576" s="1297"/>
      <c r="Q576" s="1297"/>
      <c r="R576" s="1297"/>
      <c r="S576" s="1297"/>
      <c r="T576" s="468" cm="1" t="str">
        <f t="array" ref="T576:T576">T575</f>
        <v>true</v>
      </c>
      <c r="U576" s="1297"/>
      <c r="V576" s="1297"/>
      <c r="W576" s="1297"/>
      <c r="X576" s="1539"/>
      <c r="Y576" s="1297"/>
      <c r="Z576" s="1529"/>
      <c r="AA576" s="1297"/>
      <c r="AB576" s="296" t="str">
        <f>D576&amp;".5"</f>
        <v>7.5</v>
      </c>
      <c r="AC576" s="769" t="s">
        <v>2091</v>
      </c>
      <c r="AD576" s="773" t="s">
        <v>936</v>
      </c>
      <c r="AE576" s="6531">
        <v>0</v>
      </c>
      <c r="AF576" s="6531"/>
      <c r="AG576" s="6531"/>
      <c r="AH576" s="951">
        <f>AG576-AF576</f>
        <v>0</v>
      </c>
      <c r="AI576" s="6524">
        <v>16598.5336</v>
      </c>
      <c r="AJ576" s="6524">
        <f>_xlfn.SUMIFS('Корректировка НВВ'!$AF$25:$AF$231,'Корректировка НВВ'!$F$25:$F$231,$F576,'Корректировка НВВ'!$I$25:$I$231,$G576)</f>
        <v>0</v>
      </c>
      <c r="AK576" s="1272"/>
      <c r="AL576" s="1272"/>
      <c r="AM576" s="1272"/>
      <c r="AN576" s="1272"/>
      <c r="AO576" s="1272"/>
      <c r="AP576" s="1272"/>
      <c r="AQ576" s="1272"/>
      <c r="AR576" s="1272"/>
      <c r="AS576" s="1272"/>
      <c r="AT576" s="6524">
        <f>_xlfn.SUMIFS('Корректировка НВВ'!$AG$25:$AG$231,'Корректировка НВВ'!$F$25:$F$231,$F576,'Корректировка НВВ'!$I$25:$I$231,$G576)</f>
        <v>0</v>
      </c>
      <c r="AU576" s="1272"/>
      <c r="AV576" s="1272"/>
      <c r="AW576" s="1272"/>
      <c r="AX576" s="1272"/>
      <c r="AY576" s="1272"/>
      <c r="AZ576" s="1272"/>
      <c r="BA576" s="1272"/>
      <c r="BB576" s="1272"/>
      <c r="BC576" s="1272"/>
      <c r="BD576" s="950"/>
      <c r="BE576" s="950"/>
      <c r="BF576" s="950"/>
      <c r="BG576" s="950"/>
      <c r="BH576" s="950"/>
      <c r="BI576" s="950"/>
      <c r="BJ576" s="950"/>
      <c r="BK576" s="950"/>
      <c r="BL576" s="950"/>
      <c r="BM576" s="950"/>
      <c r="BN576" s="6533" t="s">
        <v>2582</v>
      </c>
      <c r="BO576" s="6525" t="str">
        <f>IF(_xlfn.IFERROR(INDEX('Корректировка НВВ'!$K$26:$L$231,MATCH($F576&amp;"4komm",'Корректировка НВВ'!$K$26:$K$231,0),2),"")=0,"",_xlfn.IFERROR(INDEX('Корректировка НВВ'!$K$26:$L$231,MATCH($F576&amp;"4komm",'Корректировка НВВ'!$K$26:$K$231,0),2),""))</f>
        <v/>
      </c>
      <c r="BP576" s="6533"/>
      <c r="BQ576" s="1297"/>
      <c r="BR576" s="1297"/>
      <c r="BS576" s="1072" t="s">
        <v>1584</v>
      </c>
      <c r="BT576" s="1072"/>
      <c r="BU576" s="1072"/>
      <c r="BV576" s="987"/>
      <c r="BW576" s="987"/>
    </row>
    <row s="1656" customFormat="1" customHeight="1" ht="170.32366071428572">
      <c r="A577" s="1297"/>
      <c r="B577" s="986"/>
      <c r="C577" s="1297"/>
      <c r="D577" s="103" cm="1" t="str">
        <f t="array" ref="D577:D577">D576</f>
        <v>7</v>
      </c>
      <c r="E577" s="709">
        <v>15</v>
      </c>
      <c r="F577" s="50" cm="1" t="str">
        <f t="array" ref="F577:F577">OFFSET(E577,-1,1)</f>
        <v>3</v>
      </c>
      <c r="G577" s="154" t="s">
        <v>2422</v>
      </c>
      <c r="H577" s="1297"/>
      <c r="I577" s="154" t="s">
        <v>915</v>
      </c>
      <c r="J577" s="1297"/>
      <c r="K577" s="154" t="s">
        <v>915</v>
      </c>
      <c r="L577" s="988" t="s">
        <v>914</v>
      </c>
      <c r="M577" s="103"/>
      <c r="N577" s="1297"/>
      <c r="O577" s="1297"/>
      <c r="P577" s="1297"/>
      <c r="Q577" s="1297"/>
      <c r="R577" s="1297"/>
      <c r="S577" s="1297"/>
      <c r="T577" s="468" cm="1" t="str">
        <f t="array" ref="T577:T577">T576</f>
        <v>true</v>
      </c>
      <c r="U577" s="1297"/>
      <c r="V577" s="1297"/>
      <c r="W577" s="1297"/>
      <c r="X577" s="1539"/>
      <c r="Y577" s="1297"/>
      <c r="Z577" s="1529"/>
      <c r="AA577" s="1297"/>
      <c r="AB577" s="296" t="str">
        <f>IF(B576,D577&amp;".6",D577&amp;".4")</f>
        <v>7.6</v>
      </c>
      <c r="AC577" s="769" t="s">
        <v>1808</v>
      </c>
      <c r="AD577" s="296" t="s">
        <v>936</v>
      </c>
      <c r="AE577" s="6531">
        <f>12063.96+372.14-0.02</f>
        <v>12436.08</v>
      </c>
      <c r="AF577" s="6531">
        <f>12063.96+372.14</f>
        <v>12436.1</v>
      </c>
      <c r="AG577" s="6531">
        <f>12063.96+372.14+1616.4</f>
        <v>14052.5</v>
      </c>
      <c r="AH577" s="951">
        <f>AG577-AF577</f>
        <v>1616.4</v>
      </c>
      <c r="AI577" s="6524">
        <v>4602.53</v>
      </c>
      <c r="AJ577" s="6524">
        <v>5000</v>
      </c>
      <c r="AK577" s="1272"/>
      <c r="AL577" s="1272"/>
      <c r="AM577" s="1272"/>
      <c r="AN577" s="1272"/>
      <c r="AO577" s="1272"/>
      <c r="AP577" s="1272"/>
      <c r="AQ577" s="1272"/>
      <c r="AR577" s="1272"/>
      <c r="AS577" s="1272"/>
      <c r="AT577" s="6524">
        <f>5000</f>
        <v>5000</v>
      </c>
      <c r="AU577" s="1272"/>
      <c r="AV577" s="1272"/>
      <c r="AW577" s="1272"/>
      <c r="AX577" s="1272"/>
      <c r="AY577" s="1272"/>
      <c r="AZ577" s="1272"/>
      <c r="BA577" s="1272"/>
      <c r="BB577" s="1272"/>
      <c r="BC577" s="1272"/>
      <c r="BD577" s="950"/>
      <c r="BE577" s="950"/>
      <c r="BF577" s="950"/>
      <c r="BG577" s="950"/>
      <c r="BH577" s="950"/>
      <c r="BI577" s="950"/>
      <c r="BJ577" s="950"/>
      <c r="BK577" s="950"/>
      <c r="BL577" s="950"/>
      <c r="BM577" s="950"/>
      <c r="BN577" s="6532" t="s">
        <v>2621</v>
      </c>
      <c r="BO577" s="6525" t="s">
        <v>2622</v>
      </c>
      <c r="BP577" s="6533" t="s">
        <v>2623</v>
      </c>
      <c r="BQ577" s="1297"/>
      <c r="BR577" s="1297"/>
      <c r="BS577" s="1072" t="s">
        <v>2423</v>
      </c>
      <c r="BT577" s="1072"/>
      <c r="BU577" s="1072"/>
      <c r="BV577" s="987"/>
      <c r="BW577" s="987"/>
    </row>
    <row s="1656" customFormat="1" customHeight="1" ht="46.302083333333336">
      <c r="A578" s="1297"/>
      <c r="B578" s="986"/>
      <c r="C578" s="1297"/>
      <c r="D578" s="103" cm="1" t="str">
        <f t="array" ref="D578:D578">D577</f>
        <v>7</v>
      </c>
      <c r="E578" s="709">
        <v>15</v>
      </c>
      <c r="F578" s="50" cm="1" t="str">
        <f t="array" ref="F578:F578">OFFSET(E578,-1,1)</f>
        <v>3</v>
      </c>
      <c r="G578" s="154" t="s">
        <v>2424</v>
      </c>
      <c r="H578" s="1297"/>
      <c r="I578" s="154" t="s">
        <v>2099</v>
      </c>
      <c r="J578" s="1297"/>
      <c r="K578" s="154" t="s">
        <v>2099</v>
      </c>
      <c r="L578" s="988" t="s">
        <v>915</v>
      </c>
      <c r="M578" s="103"/>
      <c r="N578" s="1297"/>
      <c r="O578" s="1297"/>
      <c r="P578" s="1297"/>
      <c r="Q578" s="1297"/>
      <c r="R578" s="1297"/>
      <c r="S578" s="1297"/>
      <c r="T578" s="468" cm="1" t="str">
        <f t="array" ref="T578:T578">T577</f>
        <v>true</v>
      </c>
      <c r="U578" s="1297"/>
      <c r="V578" s="1297"/>
      <c r="W578" s="1297"/>
      <c r="X578" s="1539"/>
      <c r="Y578" s="1297"/>
      <c r="Z578" s="1529"/>
      <c r="AA578" s="1297"/>
      <c r="AB578" s="296" t="str">
        <f>IF(B576,D577&amp;".7",D577&amp;".5")</f>
        <v>7.7</v>
      </c>
      <c r="AC578" s="769" t="s">
        <v>1770</v>
      </c>
      <c r="AD578" s="296" t="s">
        <v>936</v>
      </c>
      <c r="AE578" s="6531">
        <f>AE579+AE580</f>
        <v>0</v>
      </c>
      <c r="AF578" s="6531">
        <f>AF579+AF580</f>
        <v>0</v>
      </c>
      <c r="AG578" s="6531">
        <f>AG579+AG580</f>
        <v>0</v>
      </c>
      <c r="AH578" s="951">
        <f>AG578-AF578</f>
        <v>0</v>
      </c>
      <c r="AI578" s="6524">
        <f>AI579+AI580</f>
        <v>45.897</v>
      </c>
      <c r="AJ578" s="6524">
        <f>_xlfn.SUMIFS('Корректировка НВВ'!$AF$25:$AF$231,'Корректировка НВВ'!$F$25:$F$231,$F578,'Корректировка НВВ'!$I$25:$I$231,$G578)</f>
        <v>0</v>
      </c>
      <c r="AK578" s="1272">
        <f>AK579+AK580</f>
        <v>0</v>
      </c>
      <c r="AL578" s="1272">
        <f>AL579+AL580</f>
        <v>0</v>
      </c>
      <c r="AM578" s="1272">
        <f>AM579+AM580</f>
        <v>0</v>
      </c>
      <c r="AN578" s="1272">
        <f>AN579+AN580</f>
        <v>0</v>
      </c>
      <c r="AO578" s="1272">
        <f>AO579+AO580</f>
        <v>0</v>
      </c>
      <c r="AP578" s="1272">
        <f>AP579+AP580</f>
        <v>0</v>
      </c>
      <c r="AQ578" s="1272">
        <f>AQ579+AQ580</f>
        <v>0</v>
      </c>
      <c r="AR578" s="1272">
        <f>AR579+AR580</f>
        <v>0</v>
      </c>
      <c r="AS578" s="1272">
        <f>AS579+AS580</f>
        <v>0</v>
      </c>
      <c r="AT578" s="6524" cm="1" t="str">
        <f t="array" ref="AT578:AT578">AT579</f>
        <v>42.79</v>
      </c>
      <c r="AU578" s="1272">
        <f>AU579+AU580</f>
        <v>0</v>
      </c>
      <c r="AV578" s="1272">
        <f>AV579+AV580</f>
        <v>0</v>
      </c>
      <c r="AW578" s="1272">
        <f>AW579+AW580</f>
        <v>0</v>
      </c>
      <c r="AX578" s="1272">
        <f>AX579+AX580</f>
        <v>0</v>
      </c>
      <c r="AY578" s="1272">
        <f>AY579+AY580</f>
        <v>0</v>
      </c>
      <c r="AZ578" s="1272">
        <f>AZ579+AZ580</f>
        <v>0</v>
      </c>
      <c r="BA578" s="1272">
        <f>BA579+BA580</f>
        <v>0</v>
      </c>
      <c r="BB578" s="1272">
        <f>BB579+BB580</f>
        <v>0</v>
      </c>
      <c r="BC578" s="1272">
        <f>BC579+BC580</f>
        <v>0</v>
      </c>
      <c r="BD578" s="951">
        <f>IF(AI578=0,0,(AT578-AI578)/AI578*100)</f>
        <v>-6.76950563217639</v>
      </c>
      <c r="BE578" s="951">
        <f>IF(AT578=0,0,(AU578-AT578)/AT578*100)</f>
        <v>-100</v>
      </c>
      <c r="BF578" s="951">
        <f>IF(AU578=0,0,(AV578-AU578)/AU578*100)</f>
        <v>0</v>
      </c>
      <c r="BG578" s="951">
        <f>IF(AV578=0,0,(AW578-AV578)/AV578*100)</f>
        <v>0</v>
      </c>
      <c r="BH578" s="951">
        <f>IF(AW578=0,0,(AX578-AW578)/AW578*100)</f>
        <v>0</v>
      </c>
      <c r="BI578" s="951">
        <f>IF(AX578=0,0,(AY578-AX578)/AX578*100)</f>
        <v>0</v>
      </c>
      <c r="BJ578" s="951">
        <f>IF(AY578=0,0,(AZ578-AY578)/AY578*100)</f>
        <v>0</v>
      </c>
      <c r="BK578" s="951">
        <f>IF(AZ578=0,0,(BA578-AZ578)/AZ578*100)</f>
        <v>0</v>
      </c>
      <c r="BL578" s="951">
        <f>IF(BA578=0,0,(BB578-BA578)/BA578*100)</f>
        <v>0</v>
      </c>
      <c r="BM578" s="951">
        <f>IF(BB578=0,0,(BC578-BB578)/BB578*100)</f>
        <v>0</v>
      </c>
      <c r="BN578" s="6533"/>
      <c r="BO578" s="6525" t="str">
        <f>IF(_xlfn.IFERROR(INDEX('Корректировка НВВ'!$K$26:$L$231,MATCH($F578&amp;"6komm",'Корректировка НВВ'!$K$26:$K$231,0),2),"")=0,"",_xlfn.IFERROR(INDEX('Корректировка НВВ'!$K$26:$L$231,MATCH($F578&amp;"6komm",'Корректировка НВВ'!$K$26:$K$231,0),2),""))</f>
        <v/>
      </c>
      <c r="BP578" s="6533"/>
      <c r="BQ578" s="1297"/>
      <c r="BR578" s="1297"/>
      <c r="BS578" s="1072" t="s">
        <v>1772</v>
      </c>
      <c r="BT578" s="1072"/>
      <c r="BU578" s="1072"/>
      <c r="BV578" s="987"/>
      <c r="BW578" s="987"/>
    </row>
    <row s="1656" customFormat="1" customHeight="1" ht="147.13541666666666">
      <c r="A579" s="1297"/>
      <c r="B579" s="986"/>
      <c r="C579" s="1297"/>
      <c r="D579" s="103" cm="1" t="str">
        <f t="array" ref="D579:D579">D578</f>
        <v>7</v>
      </c>
      <c r="E579" s="709">
        <v>22.5</v>
      </c>
      <c r="F579" s="50" cm="1" t="str">
        <f t="array" ref="F579:F579">OFFSET(E579,-1,1)</f>
        <v>3</v>
      </c>
      <c r="G579" s="154" t="s">
        <v>2425</v>
      </c>
      <c r="H579" s="1297"/>
      <c r="I579" s="154" t="s">
        <v>2426</v>
      </c>
      <c r="J579" s="1297"/>
      <c r="K579" s="154" t="s">
        <v>2426</v>
      </c>
      <c r="L579" s="988" t="s">
        <v>2094</v>
      </c>
      <c r="M579" s="103"/>
      <c r="N579" s="1297"/>
      <c r="O579" s="1297"/>
      <c r="P579" s="1297"/>
      <c r="Q579" s="1297"/>
      <c r="R579" s="1297"/>
      <c r="S579" s="1297"/>
      <c r="T579" s="468" cm="1" t="str">
        <f t="array" ref="T579:T579">T578</f>
        <v>true</v>
      </c>
      <c r="U579" s="1297"/>
      <c r="V579" s="1297"/>
      <c r="W579" s="1297"/>
      <c r="X579" s="1539"/>
      <c r="Y579" s="1297"/>
      <c r="Z579" s="1529"/>
      <c r="AA579" s="1297"/>
      <c r="AB579" s="296" t="str">
        <f>AB578&amp;".1"</f>
        <v>7.7.1</v>
      </c>
      <c r="AC579" s="788" t="s">
        <v>1773</v>
      </c>
      <c r="AD579" s="296" t="s">
        <v>936</v>
      </c>
      <c r="AE579" s="6531">
        <v>0</v>
      </c>
      <c r="AF579" s="6531"/>
      <c r="AG579" s="6531"/>
      <c r="AH579" s="951">
        <f>AG579-AF579</f>
        <v>0</v>
      </c>
      <c r="AI579" s="6524">
        <f>45.917-0.02</f>
        <v>45.897</v>
      </c>
      <c r="AJ579" s="6524">
        <f>_xlfn.SUMIFS('Корректировка НВВ'!$AF$25:$AF$231,'Корректировка НВВ'!$F$25:$F$231,$F579,'Корректировка НВВ'!$I$25:$I$231,$G579)</f>
        <v>0</v>
      </c>
      <c r="AK579" s="1272"/>
      <c r="AL579" s="1272"/>
      <c r="AM579" s="1272"/>
      <c r="AN579" s="1272"/>
      <c r="AO579" s="1272"/>
      <c r="AP579" s="1272"/>
      <c r="AQ579" s="1272"/>
      <c r="AR579" s="1272"/>
      <c r="AS579" s="1272"/>
      <c r="AT579" s="6524">
        <v>42.79</v>
      </c>
      <c r="AU579" s="1272"/>
      <c r="AV579" s="1272"/>
      <c r="AW579" s="1272"/>
      <c r="AX579" s="1272"/>
      <c r="AY579" s="1272"/>
      <c r="AZ579" s="1272"/>
      <c r="BA579" s="1272"/>
      <c r="BB579" s="1272"/>
      <c r="BC579" s="1272"/>
      <c r="BD579" s="950"/>
      <c r="BE579" s="950"/>
      <c r="BF579" s="950"/>
      <c r="BG579" s="950"/>
      <c r="BH579" s="950"/>
      <c r="BI579" s="950"/>
      <c r="BJ579" s="950"/>
      <c r="BK579" s="950"/>
      <c r="BL579" s="950"/>
      <c r="BM579" s="950"/>
      <c r="BN579" s="6533" t="s">
        <v>2624</v>
      </c>
      <c r="BO579" s="6525" t="s">
        <v>2625</v>
      </c>
      <c r="BP579" s="6533" t="s">
        <v>2536</v>
      </c>
      <c r="BQ579" s="1297"/>
      <c r="BR579" s="1297"/>
      <c r="BS579" s="1072" t="s">
        <v>1774</v>
      </c>
      <c r="BT579" s="1072"/>
      <c r="BU579" s="1072"/>
      <c r="BV579" s="987"/>
      <c r="BW579" s="987"/>
    </row>
    <row s="1656" customFormat="1" customHeight="1" ht="21.9375">
      <c r="A580" s="1297"/>
      <c r="B580" s="986"/>
      <c r="C580" s="1297"/>
      <c r="D580" s="103" cm="1" t="str">
        <f t="array" ref="D580:D580">D579</f>
        <v>7</v>
      </c>
      <c r="E580" s="709">
        <v>22.5</v>
      </c>
      <c r="F580" s="50" cm="1" t="str">
        <f t="array" ref="F580:F580">OFFSET(E580,-1,1)</f>
        <v>3</v>
      </c>
      <c r="G580" s="154" t="s">
        <v>2427</v>
      </c>
      <c r="H580" s="1297"/>
      <c r="I580" s="154" t="s">
        <v>2428</v>
      </c>
      <c r="J580" s="1297"/>
      <c r="K580" s="154" t="s">
        <v>2428</v>
      </c>
      <c r="L580" s="988" t="s">
        <v>2096</v>
      </c>
      <c r="M580" s="103"/>
      <c r="N580" s="1297"/>
      <c r="O580" s="1297"/>
      <c r="P580" s="1297"/>
      <c r="Q580" s="1297"/>
      <c r="R580" s="1297"/>
      <c r="S580" s="1297"/>
      <c r="T580" s="468" cm="1" t="str">
        <f t="array" ref="T580:T580">T579</f>
        <v>true</v>
      </c>
      <c r="U580" s="1297"/>
      <c r="V580" s="1297"/>
      <c r="W580" s="1297"/>
      <c r="X580" s="1539"/>
      <c r="Y580" s="1297"/>
      <c r="Z580" s="1529"/>
      <c r="AA580" s="1297"/>
      <c r="AB580" s="296" t="str">
        <f>AB578&amp;".2"</f>
        <v>7.7.2</v>
      </c>
      <c r="AC580" s="788" t="s">
        <v>1775</v>
      </c>
      <c r="AD580" s="296" t="s">
        <v>936</v>
      </c>
      <c r="AE580" s="6531">
        <v>0</v>
      </c>
      <c r="AF580" s="6531"/>
      <c r="AG580" s="6531"/>
      <c r="AH580" s="951">
        <f>AG580-AF580</f>
        <v>0</v>
      </c>
      <c r="AI580" s="6524">
        <v>0</v>
      </c>
      <c r="AJ580" s="6524">
        <f>_xlfn.SUMIFS('Корректировка НВВ'!$AF$25:$AF$231,'Корректировка НВВ'!$F$25:$F$231,$F580,'Корректировка НВВ'!$I$25:$I$231,$G580)</f>
        <v>0</v>
      </c>
      <c r="AK580" s="1272"/>
      <c r="AL580" s="1272"/>
      <c r="AM580" s="1272"/>
      <c r="AN580" s="1272"/>
      <c r="AO580" s="1272"/>
      <c r="AP580" s="1272"/>
      <c r="AQ580" s="1272"/>
      <c r="AR580" s="1272"/>
      <c r="AS580" s="1272"/>
      <c r="AT580" s="6524">
        <f>_xlfn.SUMIFS('Корректировка НВВ'!$AG$25:$AG$231,'Корректировка НВВ'!$F$25:$F$231,$F580,'Корректировка НВВ'!$I$25:$I$231,$G580)</f>
        <v>0</v>
      </c>
      <c r="AU580" s="1272"/>
      <c r="AV580" s="1272"/>
      <c r="AW580" s="1272"/>
      <c r="AX580" s="1272"/>
      <c r="AY580" s="1272"/>
      <c r="AZ580" s="1272"/>
      <c r="BA580" s="1272"/>
      <c r="BB580" s="1272"/>
      <c r="BC580" s="1272"/>
      <c r="BD580" s="950"/>
      <c r="BE580" s="950"/>
      <c r="BF580" s="950"/>
      <c r="BG580" s="950"/>
      <c r="BH580" s="950"/>
      <c r="BI580" s="950"/>
      <c r="BJ580" s="950"/>
      <c r="BK580" s="950"/>
      <c r="BL580" s="950"/>
      <c r="BM580" s="950"/>
      <c r="BN580" s="6533"/>
      <c r="BO580" s="6525" t="str">
        <f>IF(_xlfn.IFERROR(INDEX('Корректировка НВВ'!$K$26:$L$231,MATCH($F580&amp;"8komm",'Корректировка НВВ'!$K$26:$K$231,0),2),"")=0,"",_xlfn.IFERROR(INDEX('Корректировка НВВ'!$K$26:$L$231,MATCH($F580&amp;"8komm",'Корректировка НВВ'!$K$26:$K$231,0),2),""))</f>
        <v/>
      </c>
      <c r="BP580" s="6533"/>
      <c r="BQ580" s="1297"/>
      <c r="BR580" s="1297"/>
      <c r="BS580" s="1072" t="s">
        <v>1776</v>
      </c>
      <c r="BT580" s="1072"/>
      <c r="BU580" s="1072"/>
      <c r="BV580" s="987"/>
      <c r="BW580" s="987"/>
    </row>
    <row s="1656" customFormat="1" customHeight="1" ht="14.625">
      <c r="A581" s="1297"/>
      <c r="B581" s="986"/>
      <c r="C581" s="1297"/>
      <c r="D581" s="103" cm="1" t="str">
        <f t="array" ref="D581:D581">D580</f>
        <v>7</v>
      </c>
      <c r="E581" s="709">
        <v>15</v>
      </c>
      <c r="F581" s="50" cm="1" t="str">
        <f t="array" ref="F581:F581">OFFSET(E581,-1,1)</f>
        <v>3</v>
      </c>
      <c r="G581" s="154" t="s">
        <v>332</v>
      </c>
      <c r="H581" s="1297"/>
      <c r="I581" s="154" t="s">
        <v>2100</v>
      </c>
      <c r="J581" s="1297"/>
      <c r="K581" s="154" t="s">
        <v>2100</v>
      </c>
      <c r="L581" s="988" t="s">
        <v>2099</v>
      </c>
      <c r="M581" s="103"/>
      <c r="N581" s="1297"/>
      <c r="O581" s="1297"/>
      <c r="P581" s="1297"/>
      <c r="Q581" s="1297"/>
      <c r="R581" s="1297"/>
      <c r="S581" s="1297"/>
      <c r="T581" s="468" cm="1" t="str">
        <f t="array" ref="T581:T581">T580</f>
        <v>true</v>
      </c>
      <c r="U581" s="1297"/>
      <c r="V581" s="1297"/>
      <c r="W581" s="1297"/>
      <c r="X581" s="1539"/>
      <c r="Y581" s="1297"/>
      <c r="Z581" s="1529"/>
      <c r="AA581" s="1297"/>
      <c r="AB581" s="296" t="str">
        <f>IF(B576,D577&amp;".8",D577&amp;".6")</f>
        <v>7.8</v>
      </c>
      <c r="AC581" s="789" t="s">
        <v>1777</v>
      </c>
      <c r="AD581" s="296" t="s">
        <v>936</v>
      </c>
      <c r="AE581" s="6531">
        <v>0</v>
      </c>
      <c r="AF581" s="6531"/>
      <c r="AG581" s="6531"/>
      <c r="AH581" s="951">
        <f>AG581-AF581</f>
        <v>0</v>
      </c>
      <c r="AI581" s="6524">
        <v>0</v>
      </c>
      <c r="AJ581" s="6524">
        <f>_xlfn.SUMIFS('Корректировка НВВ'!$AF$25:$AF$231,'Корректировка НВВ'!$F$25:$F$231,$F581,'Корректировка НВВ'!$I$25:$I$231,$G581)</f>
        <v>0</v>
      </c>
      <c r="AK581" s="1272"/>
      <c r="AL581" s="1272"/>
      <c r="AM581" s="1272"/>
      <c r="AN581" s="1272"/>
      <c r="AO581" s="1272"/>
      <c r="AP581" s="1272"/>
      <c r="AQ581" s="1272"/>
      <c r="AR581" s="1272"/>
      <c r="AS581" s="1272"/>
      <c r="AT581" s="6524">
        <f>_xlfn.SUMIFS('Корректировка НВВ'!$AG$25:$AG$231,'Корректировка НВВ'!$F$25:$F$231,$F581,'Корректировка НВВ'!$I$25:$I$231,$G581)</f>
        <v>0</v>
      </c>
      <c r="AU581" s="1272"/>
      <c r="AV581" s="1272"/>
      <c r="AW581" s="1272"/>
      <c r="AX581" s="1272"/>
      <c r="AY581" s="1272"/>
      <c r="AZ581" s="1272"/>
      <c r="BA581" s="1272"/>
      <c r="BB581" s="1272"/>
      <c r="BC581" s="1272"/>
      <c r="BD581" s="950"/>
      <c r="BE581" s="950"/>
      <c r="BF581" s="950"/>
      <c r="BG581" s="950"/>
      <c r="BH581" s="950"/>
      <c r="BI581" s="950"/>
      <c r="BJ581" s="950"/>
      <c r="BK581" s="950"/>
      <c r="BL581" s="950"/>
      <c r="BM581" s="950"/>
      <c r="BN581" s="6533"/>
      <c r="BO581" s="6525" t="str">
        <f>IF(_xlfn.IFERROR(INDEX('Корректировка НВВ'!$K$26:$L$231,MATCH($F581&amp;"9komm",'Корректировка НВВ'!$K$26:$K$231,0),2),"")=0,"",_xlfn.IFERROR(INDEX('Корректировка НВВ'!$K$26:$L$231,MATCH($F581&amp;"9komm",'Корректировка НВВ'!$K$26:$K$231,0),2),""))</f>
        <v/>
      </c>
      <c r="BP581" s="6533"/>
      <c r="BQ581" s="1297"/>
      <c r="BR581" s="1297"/>
      <c r="BS581" s="1072" t="s">
        <v>2429</v>
      </c>
      <c r="BT581" s="1072"/>
      <c r="BU581" s="1072"/>
      <c r="BV581" s="987"/>
      <c r="BW581" s="987"/>
    </row>
    <row s="1656" customFormat="1" customHeight="1" ht="14.625">
      <c r="A582" s="1297"/>
      <c r="B582" s="986"/>
      <c r="C582" s="1297"/>
      <c r="D582" s="103" cm="1" t="str">
        <f t="array" ref="D582:D582">D581</f>
        <v>7</v>
      </c>
      <c r="E582" s="709">
        <v>15</v>
      </c>
      <c r="F582" s="50" cm="1" t="str">
        <f t="array" ref="F582:F582">OFFSET(E582,-1,1)</f>
        <v>3</v>
      </c>
      <c r="G582" s="154" t="s">
        <v>2430</v>
      </c>
      <c r="H582" s="1297"/>
      <c r="I582" s="154" t="s">
        <v>2101</v>
      </c>
      <c r="J582" s="1297"/>
      <c r="K582" s="154" t="s">
        <v>2101</v>
      </c>
      <c r="L582" s="988" t="s">
        <v>2100</v>
      </c>
      <c r="M582" s="103"/>
      <c r="N582" s="1297"/>
      <c r="O582" s="1297"/>
      <c r="P582" s="1297"/>
      <c r="Q582" s="1297"/>
      <c r="R582" s="1297"/>
      <c r="S582" s="1297"/>
      <c r="T582" s="468" cm="1" t="str">
        <f t="array" ref="T582:T582">T581</f>
        <v>true</v>
      </c>
      <c r="U582" s="1297"/>
      <c r="V582" s="1297"/>
      <c r="W582" s="1297"/>
      <c r="X582" s="1539"/>
      <c r="Y582" s="1297"/>
      <c r="Z582" s="1529"/>
      <c r="AA582" s="1297"/>
      <c r="AB582" s="296" t="str">
        <f>IF(B576,D577&amp;".9",D577&amp;".7")</f>
        <v>7.9</v>
      </c>
      <c r="AC582" s="789" t="s">
        <v>1779</v>
      </c>
      <c r="AD582" s="296" t="s">
        <v>936</v>
      </c>
      <c r="AE582" s="6531">
        <v>0</v>
      </c>
      <c r="AF582" s="6531"/>
      <c r="AG582" s="6531"/>
      <c r="AH582" s="951">
        <f>AG582-AF582</f>
        <v>0</v>
      </c>
      <c r="AI582" s="6524">
        <v>0</v>
      </c>
      <c r="AJ582" s="6524">
        <f>_xlfn.SUMIFS('Корректировка НВВ'!$AF$25:$AF$231,'Корректировка НВВ'!$F$25:$F$231,$F582,'Корректировка НВВ'!$I$25:$I$231,$G582)</f>
        <v>0</v>
      </c>
      <c r="AK582" s="1272"/>
      <c r="AL582" s="1272"/>
      <c r="AM582" s="1272"/>
      <c r="AN582" s="1272"/>
      <c r="AO582" s="1272"/>
      <c r="AP582" s="1272"/>
      <c r="AQ582" s="1272"/>
      <c r="AR582" s="1272"/>
      <c r="AS582" s="1272"/>
      <c r="AT582" s="6524">
        <f>_xlfn.SUMIFS('Корректировка НВВ'!$AG$25:$AG$231,'Корректировка НВВ'!$F$25:$F$231,$F582,'Корректировка НВВ'!$I$25:$I$231,$G582)</f>
        <v>0</v>
      </c>
      <c r="AU582" s="1272"/>
      <c r="AV582" s="1272"/>
      <c r="AW582" s="1272"/>
      <c r="AX582" s="1272"/>
      <c r="AY582" s="1272"/>
      <c r="AZ582" s="1272"/>
      <c r="BA582" s="1272"/>
      <c r="BB582" s="1272"/>
      <c r="BC582" s="1272"/>
      <c r="BD582" s="950"/>
      <c r="BE582" s="950"/>
      <c r="BF582" s="950"/>
      <c r="BG582" s="950"/>
      <c r="BH582" s="950"/>
      <c r="BI582" s="950"/>
      <c r="BJ582" s="950"/>
      <c r="BK582" s="950"/>
      <c r="BL582" s="950"/>
      <c r="BM582" s="950"/>
      <c r="BN582" s="6533"/>
      <c r="BO582" s="6525" t="str">
        <f>IF(_xlfn.IFERROR(INDEX('Корректировка НВВ'!$K$26:$L$231,MATCH($F582&amp;"10komm",'Корректировка НВВ'!$K$26:$K$231,0),2),"")=0,"",_xlfn.IFERROR(INDEX('Корректировка НВВ'!$K$26:$L$231,MATCH($F582&amp;"10komm",'Корректировка НВВ'!$K$26:$K$231,0),2),""))</f>
        <v/>
      </c>
      <c r="BP582" s="6533"/>
      <c r="BQ582" s="1297"/>
      <c r="BR582" s="1297"/>
      <c r="BS582" s="1072" t="s">
        <v>1780</v>
      </c>
      <c r="BT582" s="1072"/>
      <c r="BU582" s="1072"/>
      <c r="BV582" s="987"/>
      <c r="BW582" s="987"/>
    </row>
    <row s="6705" customFormat="1" customHeight="1" ht="199.2522321428572">
      <c r="A583" s="706"/>
      <c r="B583" s="437"/>
      <c r="C583" s="706"/>
      <c r="D583" s="105">
        <f>D582+1</f>
        <v>8</v>
      </c>
      <c r="E583" s="713">
        <v>21</v>
      </c>
      <c r="F583" s="50" cm="1" t="str">
        <f t="array" ref="F583:F583">OFFSET(E583,-1,1)</f>
        <v>3</v>
      </c>
      <c r="G583" s="706"/>
      <c r="H583" s="706"/>
      <c r="I583" s="158" t="s">
        <v>707</v>
      </c>
      <c r="J583" s="706"/>
      <c r="K583" s="158" t="s">
        <v>707</v>
      </c>
      <c r="L583" s="993"/>
      <c r="M583" s="105"/>
      <c r="N583" s="706"/>
      <c r="O583" s="706"/>
      <c r="P583" s="706"/>
      <c r="Q583" s="706"/>
      <c r="R583" s="706"/>
      <c r="S583" s="706"/>
      <c r="T583" s="468" cm="1" t="str">
        <f t="array" ref="T583:T583">T582</f>
        <v>true</v>
      </c>
      <c r="U583" s="706"/>
      <c r="V583" s="706"/>
      <c r="W583" s="706"/>
      <c r="X583" s="1539"/>
      <c r="Y583" s="706"/>
      <c r="Z583" s="1529"/>
      <c r="AA583" s="706"/>
      <c r="AB583" s="207" cm="1" t="str">
        <f t="array" ref="AB583:AB583">D583</f>
        <v>8</v>
      </c>
      <c r="AC583" s="208" t="s">
        <v>2431</v>
      </c>
      <c r="AD583" s="207" t="s">
        <v>936</v>
      </c>
      <c r="AE583" s="6350">
        <v>-8873.1132</v>
      </c>
      <c r="AF583" s="6350">
        <v>-8873.11</v>
      </c>
      <c r="AG583" s="6350">
        <v>-8873.11</v>
      </c>
      <c r="AH583" s="768">
        <f>AG583-AF583</f>
        <v>0</v>
      </c>
      <c r="AI583" s="6519">
        <v>-32476.15</v>
      </c>
      <c r="AJ583" s="6519">
        <v>41349.26</v>
      </c>
      <c r="AK583" s="1265"/>
      <c r="AL583" s="1265"/>
      <c r="AM583" s="1265"/>
      <c r="AN583" s="1265"/>
      <c r="AO583" s="1265"/>
      <c r="AP583" s="1265"/>
      <c r="AQ583" s="1265"/>
      <c r="AR583" s="1265"/>
      <c r="AS583" s="1265"/>
      <c r="AT583" s="6519">
        <f>-74991.92+9825.57+0.004</f>
        <v>-65166.346</v>
      </c>
      <c r="AU583" s="1265"/>
      <c r="AV583" s="1265"/>
      <c r="AW583" s="1265"/>
      <c r="AX583" s="1265"/>
      <c r="AY583" s="1265"/>
      <c r="AZ583" s="1265"/>
      <c r="BA583" s="1265"/>
      <c r="BB583" s="1265"/>
      <c r="BC583" s="1265"/>
      <c r="BD583" s="771"/>
      <c r="BE583" s="771"/>
      <c r="BF583" s="771"/>
      <c r="BG583" s="771"/>
      <c r="BH583" s="771"/>
      <c r="BI583" s="771"/>
      <c r="BJ583" s="771"/>
      <c r="BK583" s="771"/>
      <c r="BL583" s="771"/>
      <c r="BM583" s="771"/>
      <c r="BN583" s="6587" t="s">
        <v>2588</v>
      </c>
      <c r="BO583" s="6292" t="s">
        <v>2626</v>
      </c>
      <c r="BP583" s="6292" t="s">
        <v>2627</v>
      </c>
      <c r="BQ583" s="706"/>
      <c r="BR583" s="706"/>
      <c r="BS583" s="1078" t="s">
        <v>2432</v>
      </c>
      <c r="BT583" s="1078"/>
      <c r="BU583" s="1078"/>
      <c r="BV583" s="713"/>
      <c r="BW583" s="713"/>
    </row>
    <row s="1656" customFormat="1" customHeight="1" ht="24.635416666666668">
      <c r="A584" s="1297"/>
      <c r="B584" s="986"/>
      <c r="C584" s="1297"/>
      <c r="D584" s="105" cm="1" t="str">
        <f t="array" ref="D584:D584">D583</f>
        <v>8</v>
      </c>
      <c r="E584" s="709">
        <v>15</v>
      </c>
      <c r="F584" s="50" cm="1" t="str">
        <f t="array" ref="F584:F584">OFFSET(E584,-1,1)</f>
        <v>3</v>
      </c>
      <c r="G584" s="1297"/>
      <c r="H584" s="1297"/>
      <c r="I584" s="154" t="s">
        <v>710</v>
      </c>
      <c r="J584" s="1297"/>
      <c r="K584" s="154" t="s">
        <v>710</v>
      </c>
      <c r="L584" s="988"/>
      <c r="M584" s="103"/>
      <c r="N584" s="1297"/>
      <c r="O584" s="1297"/>
      <c r="P584" s="1297"/>
      <c r="Q584" s="1297"/>
      <c r="R584" s="1297"/>
      <c r="S584" s="1297"/>
      <c r="T584" s="468" cm="1" t="str">
        <f t="array" ref="T584:T584">T583</f>
        <v>true</v>
      </c>
      <c r="U584" s="1297"/>
      <c r="V584" s="1297"/>
      <c r="W584" s="1297"/>
      <c r="X584" s="1539"/>
      <c r="Y584" s="1297"/>
      <c r="Z584" s="1529"/>
      <c r="AA584" s="1297"/>
      <c r="AB584" s="296" t="str">
        <f>D584&amp;".1"</f>
        <v>8.1</v>
      </c>
      <c r="AC584" s="769" t="s">
        <v>2433</v>
      </c>
      <c r="AD584" s="296" t="s">
        <v>561</v>
      </c>
      <c r="AE584" s="255">
        <f>IF(AE585=0,0,AE583/(AE585+AE570)*100)</f>
        <v>-11.1057672229479</v>
      </c>
      <c r="AF584" s="255">
        <f>IF(AF585=0,0,AF583/(AF585+AF570)*100)</f>
        <v>-10.8509706808524</v>
      </c>
      <c r="AG584" s="255">
        <f>IF(AG585=0,0,AG583/(AG585+AG570)*100)</f>
        <v>-10.933262763917</v>
      </c>
      <c r="AH584" s="951">
        <f>AG584-AF584</f>
        <v>-0.0822920830645995</v>
      </c>
      <c r="AI584" s="951">
        <f>IF(AI585=0,0,AI583/(AI585+AI570)*100)</f>
        <v>-30.2429742755687</v>
      </c>
      <c r="AJ584" s="951">
        <f>IF(AJ585=0,0,AJ583/(AJ585+AJ570)*100)</f>
        <v>21.5011505687367</v>
      </c>
      <c r="AK584" s="951">
        <f>IF(AK585=0,0,AK583/(AK585+AK570)*100)</f>
        <v>0</v>
      </c>
      <c r="AL584" s="951">
        <f>IF(AL585=0,0,AL583/(AL585+AL570)*100)</f>
        <v>0</v>
      </c>
      <c r="AM584" s="951">
        <f>IF(AM585=0,0,AM583/(AM585+AM570)*100)</f>
        <v>0</v>
      </c>
      <c r="AN584" s="951">
        <f>IF(AN585=0,0,AN583/(AN585+AN570)*100)</f>
        <v>0</v>
      </c>
      <c r="AO584" s="951">
        <f>IF(AO585=0,0,AO583/(AO585+AO570)*100)</f>
        <v>0</v>
      </c>
      <c r="AP584" s="951">
        <f>IF(AP585=0,0,AP583/(AP585+AP570)*100)</f>
        <v>0</v>
      </c>
      <c r="AQ584" s="951">
        <f>IF(AQ585=0,0,AQ583/(AQ585+AQ570)*100)</f>
        <v>0</v>
      </c>
      <c r="AR584" s="951">
        <f>IF(AR585=0,0,AR583/(AR585+AR570)*100)</f>
        <v>0</v>
      </c>
      <c r="AS584" s="951">
        <f>IF(AS585=0,0,AS583/(AS585+AS570)*100)</f>
        <v>0</v>
      </c>
      <c r="AT584" s="951">
        <f>IF(AT585=0,0,AT583/(AT585+AT570)*100)</f>
        <v>-45.6298205896179</v>
      </c>
      <c r="AU584" s="951">
        <f>IF(AU585=0,0,AU583/(AU585+AU570)*100)</f>
        <v>0</v>
      </c>
      <c r="AV584" s="951">
        <f>IF(AV585=0,0,AV583/(AV585+AV570)*100)</f>
        <v>0</v>
      </c>
      <c r="AW584" s="951">
        <f>IF(AW585=0,0,AW583/(AW585+AW570)*100)</f>
        <v>0</v>
      </c>
      <c r="AX584" s="951">
        <f>IF(AX585=0,0,AX583/(AX585+AX570)*100)</f>
        <v>0</v>
      </c>
      <c r="AY584" s="951">
        <f>IF(AY585=0,0,AY583/(AY585+AY570)*100)</f>
        <v>0</v>
      </c>
      <c r="AZ584" s="951">
        <f>IF(AZ585=0,0,AZ583/(AZ585+AZ570)*100)</f>
        <v>0</v>
      </c>
      <c r="BA584" s="951">
        <f>IF(BA585=0,0,BA583/(BA585+BA570)*100)</f>
        <v>0</v>
      </c>
      <c r="BB584" s="951">
        <f>IF(BB585=0,0,BB583/(BB585+BB570)*100)</f>
        <v>0</v>
      </c>
      <c r="BC584" s="951">
        <f>IF(BC585=0,0,BC583/(BC585+BC570)*100)</f>
        <v>0</v>
      </c>
      <c r="BD584" s="950"/>
      <c r="BE584" s="950"/>
      <c r="BF584" s="950"/>
      <c r="BG584" s="950"/>
      <c r="BH584" s="950"/>
      <c r="BI584" s="950"/>
      <c r="BJ584" s="950"/>
      <c r="BK584" s="950"/>
      <c r="BL584" s="950"/>
      <c r="BM584" s="950"/>
      <c r="BN584" s="6533"/>
      <c r="BO584" s="6533"/>
      <c r="BP584" s="6533"/>
      <c r="BQ584" s="1297"/>
      <c r="BR584" s="1297"/>
      <c r="BS584" s="1072" t="s">
        <v>2434</v>
      </c>
      <c r="BT584" s="1072"/>
      <c r="BU584" s="1072"/>
      <c r="BV584" s="987"/>
      <c r="BW584" s="987"/>
    </row>
    <row s="6706" customFormat="1" customHeight="1" ht="35.46875">
      <c r="A585" s="706"/>
      <c r="B585" s="437"/>
      <c r="C585" s="706"/>
      <c r="D585" s="105">
        <f>D584+1</f>
        <v>9</v>
      </c>
      <c r="E585" s="713">
        <v>21</v>
      </c>
      <c r="F585" s="50" cm="1" t="str">
        <f t="array" ref="F585:F585">OFFSET(E585,-1,1)</f>
        <v>3</v>
      </c>
      <c r="G585" s="706"/>
      <c r="H585" s="154"/>
      <c r="I585" s="154" t="s">
        <v>864</v>
      </c>
      <c r="J585" s="706"/>
      <c r="K585" s="154" t="s">
        <v>864</v>
      </c>
      <c r="L585" s="993" t="s">
        <v>2101</v>
      </c>
      <c r="M585" s="105"/>
      <c r="N585" s="706"/>
      <c r="O585" s="706"/>
      <c r="P585" s="706"/>
      <c r="Q585" s="706"/>
      <c r="R585" s="706"/>
      <c r="S585" s="706"/>
      <c r="T585" s="468" cm="1" t="str">
        <f t="array" ref="T585:T585">T584</f>
        <v>true</v>
      </c>
      <c r="U585" s="706"/>
      <c r="V585" s="706"/>
      <c r="W585" s="706"/>
      <c r="X585" s="1539"/>
      <c r="Y585" s="706"/>
      <c r="Z585" s="1529"/>
      <c r="AA585" s="706"/>
      <c r="AB585" s="207" cm="1" t="str">
        <f t="array" ref="AB585:AB585">D585</f>
        <v>9</v>
      </c>
      <c r="AC585" s="208" t="s">
        <v>2102</v>
      </c>
      <c r="AD585" s="230" t="s">
        <v>936</v>
      </c>
      <c r="AE585" s="209">
        <f>AE462+AE513+AE549+AE550+AE552+AE557+AE558+AE561</f>
        <v>87368.10294</v>
      </c>
      <c r="AF585" s="209">
        <f>AF462+AF513+AF549+AF550+AF552+AF557+AF558+AF561</f>
        <v>89244.18</v>
      </c>
      <c r="AG585" s="209">
        <f>AG462+AG513+AG549+AG550+AG552+AG557+AG558+AG561</f>
        <v>87012.307732016</v>
      </c>
      <c r="AH585" s="768">
        <f>AG585-AF585</f>
        <v>-2231.872267984</v>
      </c>
      <c r="AI585" s="209">
        <f>AI462+AI513+AI549+AI550+AI552+AI557+AI558+AI561</f>
        <v>105488.51</v>
      </c>
      <c r="AJ585" s="209">
        <f>AJ462+AJ513+AJ549+AJ550+AJ552+AJ557+AJ558+AJ561</f>
        <v>157707.678</v>
      </c>
      <c r="AK585" s="209">
        <f>AK462+AK513+AK549+AK550+AK552+AK557+AK558+AK561</f>
        <v>70563.29</v>
      </c>
      <c r="AL585" s="209">
        <f>AL462+AL513+AL549+AL550+AL552+AL557+AL558+AL561</f>
        <v>70563.29</v>
      </c>
      <c r="AM585" s="209">
        <f>AM462+AM513+AM549+AM550+AM552+AM557+AM558+AM561</f>
        <v>70563.29</v>
      </c>
      <c r="AN585" s="209">
        <f>AN462+AN513+AN549+AN550+AN552+AN557+AN558+AN561</f>
        <v>70563.29</v>
      </c>
      <c r="AO585" s="209">
        <f>AO462+AO513+AO549+AO550+AO552+AO557+AO558+AO561</f>
        <v>70563.29</v>
      </c>
      <c r="AP585" s="209">
        <f>AP462+AP513+AP549+AP550+AP552+AP557+AP558+AP561</f>
        <v>70563.29</v>
      </c>
      <c r="AQ585" s="209">
        <f>AQ462+AQ513+AQ549+AQ550+AQ552+AQ557+AQ558+AQ561</f>
        <v>70563.29</v>
      </c>
      <c r="AR585" s="209">
        <f>AR462+AR513+AR549+AR550+AR552+AR557+AR558+AR561</f>
        <v>70563.29</v>
      </c>
      <c r="AS585" s="209">
        <f>AS462+AS513+AS549+AS550+AS552+AS557+AS558+AS561</f>
        <v>70563.29</v>
      </c>
      <c r="AT585" s="209">
        <f>AT462+AT513+AT549+AT550+AT552+AT557+AT558+AT561</f>
        <v>116826.048</v>
      </c>
      <c r="AU585" s="209">
        <f>AU462+AU513+AU549+AU550+AU552+AU557+AU558+AU561</f>
        <v>61353.49</v>
      </c>
      <c r="AV585" s="209">
        <f>AV462+AV513+AV549+AV550+AV552+AV557+AV558+AV561</f>
        <v>61353.49</v>
      </c>
      <c r="AW585" s="209">
        <f>AW462+AW513+AW549+AW550+AW552+AW557+AW558+AW561</f>
        <v>61353.49</v>
      </c>
      <c r="AX585" s="209">
        <f>AX462+AX513+AX549+AX550+AX552+AX557+AX558+AX561</f>
        <v>61353.49</v>
      </c>
      <c r="AY585" s="209">
        <f>AY462+AY513+AY549+AY550+AY552+AY557+AY558+AY561</f>
        <v>61353.49</v>
      </c>
      <c r="AZ585" s="209">
        <f>AZ462+AZ513+AZ549+AZ550+AZ552+AZ557+AZ558+AZ561</f>
        <v>61353.49</v>
      </c>
      <c r="BA585" s="209">
        <f>BA462+BA513+BA549+BA550+BA552+BA557+BA558+BA561</f>
        <v>61353.49</v>
      </c>
      <c r="BB585" s="209">
        <f>BB462+BB513+BB549+BB550+BB552+BB557+BB558+BB561</f>
        <v>61353.49</v>
      </c>
      <c r="BC585" s="209">
        <f>BC462+BC513+BC549+BC550+BC552+BC557+BC558+BC561</f>
        <v>61353.49</v>
      </c>
      <c r="BD585" s="768">
        <f>IF(AI585=0,0,(AT585-AI585)/AI585*100)</f>
        <v>10.7476520428623</v>
      </c>
      <c r="BE585" s="768">
        <f>IF(AT585=0,0,(AU585-AT585)/AT585*100)</f>
        <v>-47.4830390564953</v>
      </c>
      <c r="BF585" s="768">
        <f>IF(AU585=0,0,(AV585-AU585)/AU585*100)</f>
        <v>0</v>
      </c>
      <c r="BG585" s="768">
        <f>IF(AV585=0,0,(AW585-AV585)/AV585*100)</f>
        <v>0</v>
      </c>
      <c r="BH585" s="768">
        <f>IF(AW585=0,0,(AX585-AW585)/AW585*100)</f>
        <v>0</v>
      </c>
      <c r="BI585" s="768">
        <f>IF(AX585=0,0,(AY585-AX585)/AX585*100)</f>
        <v>0</v>
      </c>
      <c r="BJ585" s="768">
        <f>IF(AY585=0,0,(AZ585-AY585)/AY585*100)</f>
        <v>0</v>
      </c>
      <c r="BK585" s="768">
        <f>IF(AZ585=0,0,(BA585-AZ585)/AZ585*100)</f>
        <v>0</v>
      </c>
      <c r="BL585" s="768">
        <f>IF(BA585=0,0,(BB585-BA585)/BA585*100)</f>
        <v>0</v>
      </c>
      <c r="BM585" s="768">
        <f>IF(BB585=0,0,(BC585-BB585)/BB585*100)</f>
        <v>0</v>
      </c>
      <c r="BN585" s="6533"/>
      <c r="BO585" s="6533"/>
      <c r="BP585" s="6533"/>
      <c r="BQ585" s="706"/>
      <c r="BR585" s="706"/>
      <c r="BS585" s="1078" t="s">
        <v>2103</v>
      </c>
      <c r="BT585" s="1078"/>
      <c r="BU585" s="1078"/>
      <c r="BV585" s="713"/>
      <c r="BW585" s="713"/>
    </row>
    <row s="6707" customFormat="1" customHeight="1" ht="68.45348011363636">
      <c r="A586" s="706"/>
      <c r="B586" s="437"/>
      <c r="C586" s="706"/>
      <c r="D586" s="105">
        <f>D585+1</f>
        <v>10</v>
      </c>
      <c r="E586" s="713">
        <v>21</v>
      </c>
      <c r="F586" s="50" cm="1" t="str">
        <f t="array" ref="F586:F586">OFFSET(E586,-1,1)</f>
        <v>3</v>
      </c>
      <c r="G586" s="706"/>
      <c r="H586" s="154"/>
      <c r="I586" s="154" t="s">
        <v>2112</v>
      </c>
      <c r="J586" s="706"/>
      <c r="K586" s="154" t="s">
        <v>2112</v>
      </c>
      <c r="L586" s="993"/>
      <c r="M586" s="105"/>
      <c r="N586" s="706"/>
      <c r="O586" s="706"/>
      <c r="P586" s="706"/>
      <c r="Q586" s="706"/>
      <c r="R586" s="706"/>
      <c r="S586" s="706"/>
      <c r="T586" s="468" cm="1" t="str">
        <f t="array" ref="T586:T586">T585</f>
        <v>true</v>
      </c>
      <c r="U586" s="706"/>
      <c r="V586" s="706"/>
      <c r="W586" s="706"/>
      <c r="X586" s="1539"/>
      <c r="Y586" s="706"/>
      <c r="Z586" s="1529"/>
      <c r="AA586" s="706"/>
      <c r="AB586" s="207" cm="1" t="str">
        <f t="array" ref="AB586:AB586">D586</f>
        <v>10</v>
      </c>
      <c r="AC586" s="208" t="s">
        <v>2435</v>
      </c>
      <c r="AD586" s="207" t="s">
        <v>936</v>
      </c>
      <c r="AE586" s="209">
        <f>AE585+AE570+AE583</f>
        <v>71023.33179</v>
      </c>
      <c r="AF586" s="209">
        <f>AF585+AF570+AF583</f>
        <v>72899.39</v>
      </c>
      <c r="AG586" s="209">
        <f>AG585+AG570+AG583</f>
        <v>72283.907732016</v>
      </c>
      <c r="AH586" s="777">
        <f>AH585+AH570+AH583</f>
        <v>-615.482267984</v>
      </c>
      <c r="AI586" s="777">
        <f>AI585+AI570+AI583</f>
        <v>74907.9640890542</v>
      </c>
      <c r="AJ586" s="777">
        <f>AJ585+AJ570+AJ583</f>
        <v>233661.108</v>
      </c>
      <c r="AK586" s="777">
        <f>AK585+AK570+AK583</f>
        <v>70563.29</v>
      </c>
      <c r="AL586" s="777">
        <f>AL585+AL570+AL583</f>
        <v>70563.29</v>
      </c>
      <c r="AM586" s="777">
        <f>AM585+AM570+AM583</f>
        <v>70563.29</v>
      </c>
      <c r="AN586" s="777">
        <f>AN585+AN570+AN583</f>
        <v>70563.29</v>
      </c>
      <c r="AO586" s="777">
        <f>AO585+AO570+AO583</f>
        <v>70563.29</v>
      </c>
      <c r="AP586" s="777">
        <f>AP585+AP570+AP583</f>
        <v>70563.29</v>
      </c>
      <c r="AQ586" s="777">
        <f>AQ585+AQ570+AQ583</f>
        <v>70563.29</v>
      </c>
      <c r="AR586" s="777">
        <f>AR585+AR570+AR583</f>
        <v>70563.29</v>
      </c>
      <c r="AS586" s="777">
        <f>AS585+AS570+AS583</f>
        <v>70563.29</v>
      </c>
      <c r="AT586" s="777">
        <f>AT585+AT570+AT583</f>
        <v>77648.912</v>
      </c>
      <c r="AU586" s="777">
        <f>AU585+AU570+AU583</f>
        <v>61353.49</v>
      </c>
      <c r="AV586" s="777">
        <f>AV585+AV570+AV583</f>
        <v>61353.49</v>
      </c>
      <c r="AW586" s="777">
        <f>AW585+AW570+AW583</f>
        <v>61353.49</v>
      </c>
      <c r="AX586" s="777">
        <f>AX585+AX570+AX583</f>
        <v>61353.49</v>
      </c>
      <c r="AY586" s="777">
        <f>AY585+AY570+AY583</f>
        <v>61353.49</v>
      </c>
      <c r="AZ586" s="777">
        <f>AZ585+AZ570+AZ583</f>
        <v>61353.49</v>
      </c>
      <c r="BA586" s="777">
        <f>BA585+BA570+BA583</f>
        <v>61353.49</v>
      </c>
      <c r="BB586" s="777">
        <f>BB585+BB570+BB583</f>
        <v>61353.49</v>
      </c>
      <c r="BC586" s="777">
        <f>BC585+BC570+BC583</f>
        <v>61353.49</v>
      </c>
      <c r="BD586" s="768">
        <f>IF(AI586=0,0,(AT586-AI586)/AI586*100)</f>
        <v>3.65908744721351</v>
      </c>
      <c r="BE586" s="768">
        <f>IF(AT586=0,0,(AU586-AT586)/AT586*100)</f>
        <v>-20.9860274668111</v>
      </c>
      <c r="BF586" s="768">
        <f>IF(AU586=0,0,(AV586-AU586)/AU586*100)</f>
        <v>0</v>
      </c>
      <c r="BG586" s="768">
        <f>IF(AV586=0,0,(AW586-AV586)/AV586*100)</f>
        <v>0</v>
      </c>
      <c r="BH586" s="768">
        <f>IF(AW586=0,0,(AX586-AW586)/AW586*100)</f>
        <v>0</v>
      </c>
      <c r="BI586" s="768">
        <f>IF(AX586=0,0,(AY586-AX586)/AX586*100)</f>
        <v>0</v>
      </c>
      <c r="BJ586" s="768">
        <f>IF(AY586=0,0,(AZ586-AY586)/AY586*100)</f>
        <v>0</v>
      </c>
      <c r="BK586" s="768">
        <f>IF(AZ586=0,0,(BA586-AZ586)/AZ586*100)</f>
        <v>0</v>
      </c>
      <c r="BL586" s="768">
        <f>IF(BA586=0,0,(BB586-BA586)/BA586*100)</f>
        <v>0</v>
      </c>
      <c r="BM586" s="768">
        <f>IF(BB586=0,0,(BC586-BB586)/BB586*100)</f>
        <v>0</v>
      </c>
      <c r="BN586" s="6532" t="s">
        <v>2628</v>
      </c>
      <c r="BO586" s="6533"/>
      <c r="BP586" s="6533" t="s">
        <v>2591</v>
      </c>
      <c r="BQ586" s="706"/>
      <c r="BR586" s="706"/>
      <c r="BS586" s="1078" t="s">
        <v>2436</v>
      </c>
      <c r="BT586" s="1078"/>
      <c r="BU586" s="1078"/>
      <c r="BV586" s="713"/>
      <c r="BW586" s="713"/>
    </row>
    <row s="1656" customFormat="1" customHeight="1" ht="14.25" hidden="1">
      <c r="A587" s="1297"/>
      <c r="B587" s="447">
        <f>A461="двухставочный"</f>
        <v>0</v>
      </c>
      <c r="C587" s="1297"/>
      <c r="D587" s="103" cm="1" t="str">
        <f t="array" ref="D587:D587">D586</f>
        <v>10</v>
      </c>
      <c r="E587" s="709">
        <v>15</v>
      </c>
      <c r="F587" s="50" cm="1" t="str">
        <f t="array" ref="F587:F587">OFFSET(E587,-1,1)</f>
        <v>3</v>
      </c>
      <c r="G587" s="1297"/>
      <c r="H587" s="49"/>
      <c r="I587" s="375" t="s">
        <v>2115</v>
      </c>
      <c r="J587" s="1297"/>
      <c r="K587" s="375" t="s">
        <v>2115</v>
      </c>
      <c r="L587" s="988" t="s">
        <v>2104</v>
      </c>
      <c r="M587" s="103"/>
      <c r="N587" s="1297"/>
      <c r="O587" s="1297"/>
      <c r="P587" s="1297"/>
      <c r="Q587" s="1297"/>
      <c r="R587" s="1297"/>
      <c r="S587" s="1297"/>
      <c r="T587" s="468" cm="1" t="str">
        <f t="array" ref="T587:T587">T586</f>
        <v>true</v>
      </c>
      <c r="U587" s="1297"/>
      <c r="V587" s="1297"/>
      <c r="W587" s="1297"/>
      <c r="X587" s="1539"/>
      <c r="Y587" s="1297"/>
      <c r="Z587" s="1529"/>
      <c r="AA587" s="1297"/>
      <c r="AB587" s="296" t="str">
        <f>D587&amp;".1"</f>
        <v>10.1</v>
      </c>
      <c r="AC587" s="789" t="s">
        <v>2106</v>
      </c>
      <c r="AD587" s="296" t="s">
        <v>936</v>
      </c>
      <c r="AE587" s="1274"/>
      <c r="AF587" s="1274"/>
      <c r="AG587" s="1274"/>
      <c r="AH587" s="951">
        <f>AG587-AF587</f>
        <v>0</v>
      </c>
      <c r="AI587" s="1272"/>
      <c r="AJ587" s="1272"/>
      <c r="AK587" s="1272"/>
      <c r="AL587" s="1272"/>
      <c r="AM587" s="1272"/>
      <c r="AN587" s="1272"/>
      <c r="AO587" s="1272"/>
      <c r="AP587" s="1272"/>
      <c r="AQ587" s="1272"/>
      <c r="AR587" s="1272"/>
      <c r="AS587" s="1272"/>
      <c r="AT587" s="1272"/>
      <c r="AU587" s="1272"/>
      <c r="AV587" s="1272"/>
      <c r="AW587" s="1272"/>
      <c r="AX587" s="1272"/>
      <c r="AY587" s="1272"/>
      <c r="AZ587" s="1272"/>
      <c r="BA587" s="1272"/>
      <c r="BB587" s="1272"/>
      <c r="BC587" s="1272"/>
      <c r="BD587" s="950"/>
      <c r="BE587" s="950"/>
      <c r="BF587" s="950"/>
      <c r="BG587" s="950"/>
      <c r="BH587" s="950"/>
      <c r="BI587" s="950"/>
      <c r="BJ587" s="950"/>
      <c r="BK587" s="950"/>
      <c r="BL587" s="950"/>
      <c r="BM587" s="950"/>
      <c r="BN587" s="1275"/>
      <c r="BO587" s="1275"/>
      <c r="BP587" s="1275"/>
      <c r="BQ587" s="1297"/>
      <c r="BR587" s="1297"/>
      <c r="BS587" s="1070" t="s">
        <v>2107</v>
      </c>
      <c r="BT587" s="1072"/>
      <c r="BU587" s="1072"/>
      <c r="BV587" s="987"/>
      <c r="BW587" s="987"/>
    </row>
    <row s="1656" customFormat="1" customHeight="1" ht="14.25" hidden="1">
      <c r="A588" s="1297"/>
      <c r="B588" s="447">
        <f>A461="двухставочный"</f>
        <v>0</v>
      </c>
      <c r="C588" s="1297"/>
      <c r="D588" s="103" cm="1" t="str">
        <f t="array" ref="D588:D588">D587</f>
        <v>10</v>
      </c>
      <c r="E588" s="709">
        <v>15</v>
      </c>
      <c r="F588" s="50" cm="1" t="str">
        <f t="array" ref="F588:F588">OFFSET(E588,-1,1)</f>
        <v>3</v>
      </c>
      <c r="G588" s="1297"/>
      <c r="H588" s="49"/>
      <c r="I588" s="375" t="s">
        <v>2119</v>
      </c>
      <c r="J588" s="1297"/>
      <c r="K588" s="375" t="s">
        <v>2119</v>
      </c>
      <c r="L588" s="988" t="s">
        <v>2108</v>
      </c>
      <c r="M588" s="103"/>
      <c r="N588" s="1297"/>
      <c r="O588" s="1297"/>
      <c r="P588" s="1297"/>
      <c r="Q588" s="1297"/>
      <c r="R588" s="1297"/>
      <c r="S588" s="1297"/>
      <c r="T588" s="468" cm="1" t="str">
        <f t="array" ref="T588:T588">T587</f>
        <v>true</v>
      </c>
      <c r="U588" s="1297"/>
      <c r="V588" s="1297"/>
      <c r="W588" s="1297"/>
      <c r="X588" s="1539"/>
      <c r="Y588" s="1297"/>
      <c r="Z588" s="1529"/>
      <c r="AA588" s="1297"/>
      <c r="AB588" s="296" t="str">
        <f>D588&amp;".2"</f>
        <v>10.2</v>
      </c>
      <c r="AC588" s="789" t="s">
        <v>2110</v>
      </c>
      <c r="AD588" s="296" t="s">
        <v>936</v>
      </c>
      <c r="AE588" s="1274"/>
      <c r="AF588" s="1274"/>
      <c r="AG588" s="1274"/>
      <c r="AH588" s="951">
        <f>AG588-AF588</f>
        <v>0</v>
      </c>
      <c r="AI588" s="1272"/>
      <c r="AJ588" s="1272"/>
      <c r="AK588" s="1272"/>
      <c r="AL588" s="1272"/>
      <c r="AM588" s="1272"/>
      <c r="AN588" s="1272"/>
      <c r="AO588" s="1272"/>
      <c r="AP588" s="1272"/>
      <c r="AQ588" s="1272"/>
      <c r="AR588" s="1272"/>
      <c r="AS588" s="1272"/>
      <c r="AT588" s="1272"/>
      <c r="AU588" s="1272"/>
      <c r="AV588" s="1272"/>
      <c r="AW588" s="1272"/>
      <c r="AX588" s="1272"/>
      <c r="AY588" s="1272"/>
      <c r="AZ588" s="1272"/>
      <c r="BA588" s="1272"/>
      <c r="BB588" s="1272"/>
      <c r="BC588" s="1272"/>
      <c r="BD588" s="950"/>
      <c r="BE588" s="950"/>
      <c r="BF588" s="950"/>
      <c r="BG588" s="950"/>
      <c r="BH588" s="950"/>
      <c r="BI588" s="950"/>
      <c r="BJ588" s="950"/>
      <c r="BK588" s="950"/>
      <c r="BL588" s="950"/>
      <c r="BM588" s="950"/>
      <c r="BN588" s="1275"/>
      <c r="BO588" s="1275"/>
      <c r="BP588" s="1275"/>
      <c r="BQ588" s="1297"/>
      <c r="BR588" s="1297"/>
      <c r="BS588" s="1070" t="s">
        <v>2111</v>
      </c>
      <c r="BT588" s="1072"/>
      <c r="BU588" s="1072"/>
      <c r="BV588" s="987"/>
      <c r="BW588" s="987"/>
    </row>
    <row s="6708" customFormat="1" customHeight="1" ht="42.135416666666664">
      <c r="A589" s="706"/>
      <c r="B589" s="437"/>
      <c r="C589" s="706"/>
      <c r="D589" s="105">
        <f>D588+1</f>
        <v>11</v>
      </c>
      <c r="E589" s="713">
        <v>21</v>
      </c>
      <c r="F589" s="50" cm="1" t="str">
        <f t="array" ref="F589:F589">OFFSET(E589,-1,1)</f>
        <v>3</v>
      </c>
      <c r="G589" s="154" t="s">
        <v>1871</v>
      </c>
      <c r="H589" s="154"/>
      <c r="I589" s="154" t="s">
        <v>2139</v>
      </c>
      <c r="J589" s="706"/>
      <c r="K589" s="154" t="s">
        <v>2139</v>
      </c>
      <c r="L589" s="993" t="s">
        <v>2112</v>
      </c>
      <c r="M589" s="105"/>
      <c r="N589" s="706"/>
      <c r="O589" s="706"/>
      <c r="P589" s="706"/>
      <c r="Q589" s="706"/>
      <c r="R589" s="706"/>
      <c r="S589" s="706"/>
      <c r="T589" s="468" cm="1" t="str">
        <f t="array" ref="T589:T589">T588</f>
        <v>true</v>
      </c>
      <c r="U589" s="706"/>
      <c r="V589" s="706"/>
      <c r="W589" s="706"/>
      <c r="X589" s="1539"/>
      <c r="Y589" s="706"/>
      <c r="Z589" s="1529"/>
      <c r="AA589" s="706"/>
      <c r="AB589" s="207" cm="1" t="str">
        <f t="array" ref="AB589:AB589">D589</f>
        <v>11</v>
      </c>
      <c r="AC589" s="208" t="s">
        <v>2113</v>
      </c>
      <c r="AD589" s="207" t="s">
        <v>657</v>
      </c>
      <c r="AE589" s="792">
        <f>_xlfn.SUMIFS(Баланс!AE$26:AE$391,Баланс!$F$26:$F$391,$F589,Баланс!$G$26:$G$391,"ПО")</f>
        <v>1530.84022</v>
      </c>
      <c r="AF589" s="792">
        <f>_xlfn.SUMIFS(Баланс!AF$26:AF$391,Баланс!$F$26:$F$391,$F589,Баланс!$G$26:$G$391,"ПО")</f>
        <v>1106.15104</v>
      </c>
      <c r="AG589" s="792">
        <f>_xlfn.SUMIFS(Баланс!AG$26:AG$391,Баланс!$F$26:$F$391,$F589,Баланс!$G$26:$G$391,"ПО")</f>
        <v>1106.15104</v>
      </c>
      <c r="AH589" s="793">
        <f>AG589-AF589</f>
        <v>0</v>
      </c>
      <c r="AI589" s="793">
        <f>_xlfn.SUMIFS(Баланс!AH$26:AH$391,Баланс!$F$26:$F$391,$F589,Баланс!$G$26:$G$391,"ПО")</f>
        <v>1456.5032</v>
      </c>
      <c r="AJ589" s="793">
        <f>_xlfn.SUMIFS(Баланс!AI$26:AI$391,Баланс!$F$26:$F$391,$F589,Баланс!$G$26:$G$391,"ПО")</f>
        <v>1458.9532</v>
      </c>
      <c r="AK589" s="793">
        <f>_xlfn.SUMIFS(Баланс!AJ$26:AJ$391,Баланс!$F$26:$F$391,$F589,Баланс!$G$26:$G$391,"ПО")</f>
        <v>0</v>
      </c>
      <c r="AL589" s="793">
        <f>_xlfn.SUMIFS(Баланс!AK$26:AK$391,Баланс!$F$26:$F$391,$F589,Баланс!$G$26:$G$391,"ПО")</f>
        <v>0</v>
      </c>
      <c r="AM589" s="793">
        <f>_xlfn.SUMIFS(Баланс!AL$26:AL$391,Баланс!$F$26:$F$391,$F589,Баланс!$G$26:$G$391,"ПО")</f>
        <v>0</v>
      </c>
      <c r="AN589" s="793">
        <f>_xlfn.SUMIFS(Баланс!AM$26:AM$391,Баланс!$F$26:$F$391,$F589,Баланс!$G$26:$G$391,"ПО")</f>
        <v>0</v>
      </c>
      <c r="AO589" s="793">
        <f>_xlfn.SUMIFS(Баланс!AN$26:AN$391,Баланс!$F$26:$F$391,$F589,Баланс!$G$26:$G$391,"ПО")</f>
        <v>0</v>
      </c>
      <c r="AP589" s="793">
        <f>_xlfn.SUMIFS(Баланс!AO$26:AO$391,Баланс!$F$26:$F$391,$F589,Баланс!$G$26:$G$391,"ПО")</f>
        <v>0</v>
      </c>
      <c r="AQ589" s="793">
        <f>_xlfn.SUMIFS(Баланс!AP$26:AP$391,Баланс!$F$26:$F$391,$F589,Баланс!$G$26:$G$391,"ПО")</f>
        <v>0</v>
      </c>
      <c r="AR589" s="793">
        <f>_xlfn.SUMIFS(Баланс!AQ$26:AQ$391,Баланс!$F$26:$F$391,$F589,Баланс!$G$26:$G$391,"ПО")</f>
        <v>0</v>
      </c>
      <c r="AS589" s="793">
        <f>_xlfn.SUMIFS(Баланс!AR$26:AR$391,Баланс!$F$26:$F$391,$F589,Баланс!$G$26:$G$391,"ПО")</f>
        <v>0</v>
      </c>
      <c r="AT589" s="793">
        <f>_xlfn.SUMIFS(Баланс!AS$26:AS$391,Баланс!$F$26:$F$391,$F589,Баланс!$G$26:$G$391,"ПО")</f>
        <v>1387.33054</v>
      </c>
      <c r="AU589" s="793">
        <f>_xlfn.SUMIFS(Баланс!AT$26:AT$391,Баланс!$F$26:$F$391,$F589,Баланс!$G$26:$G$391,"ПО")</f>
        <v>0</v>
      </c>
      <c r="AV589" s="793">
        <f>_xlfn.SUMIFS(Баланс!AU$26:AU$391,Баланс!$F$26:$F$391,$F589,Баланс!$G$26:$G$391,"ПО")</f>
        <v>0</v>
      </c>
      <c r="AW589" s="793">
        <f>_xlfn.SUMIFS(Баланс!AV$26:AV$391,Баланс!$F$26:$F$391,$F589,Баланс!$G$26:$G$391,"ПО")</f>
        <v>0</v>
      </c>
      <c r="AX589" s="793">
        <f>_xlfn.SUMIFS(Баланс!AW$26:AW$391,Баланс!$F$26:$F$391,$F589,Баланс!$G$26:$G$391,"ПО")</f>
        <v>0</v>
      </c>
      <c r="AY589" s="793">
        <f>_xlfn.SUMIFS(Баланс!AX$26:AX$391,Баланс!$F$26:$F$391,$F589,Баланс!$G$26:$G$391,"ПО")</f>
        <v>0</v>
      </c>
      <c r="AZ589" s="793">
        <f>_xlfn.SUMIFS(Баланс!AY$26:AY$391,Баланс!$F$26:$F$391,$F589,Баланс!$G$26:$G$391,"ПО")</f>
        <v>0</v>
      </c>
      <c r="BA589" s="793">
        <f>_xlfn.SUMIFS(Баланс!AZ$26:AZ$391,Баланс!$F$26:$F$391,$F589,Баланс!$G$26:$G$391,"ПО")</f>
        <v>0</v>
      </c>
      <c r="BB589" s="793">
        <f>_xlfn.SUMIFS(Баланс!BA$26:BA$391,Баланс!$F$26:$F$391,$F589,Баланс!$G$26:$G$391,"ПО")</f>
        <v>0</v>
      </c>
      <c r="BC589" s="793">
        <f>_xlfn.SUMIFS(Баланс!BB$26:BB$391,Баланс!$F$26:$F$391,$F589,Баланс!$G$26:$G$391,"ПО")</f>
        <v>0</v>
      </c>
      <c r="BD589" s="771"/>
      <c r="BE589" s="771"/>
      <c r="BF589" s="771"/>
      <c r="BG589" s="771"/>
      <c r="BH589" s="771"/>
      <c r="BI589" s="771"/>
      <c r="BJ589" s="771"/>
      <c r="BK589" s="771"/>
      <c r="BL589" s="771"/>
      <c r="BM589" s="771"/>
      <c r="BN589" s="6533"/>
      <c r="BO589" s="6533"/>
      <c r="BP589" s="6533"/>
      <c r="BQ589" s="706"/>
      <c r="BR589" s="706"/>
      <c r="BS589" s="1071" t="s">
        <v>2114</v>
      </c>
      <c r="BT589" s="1078"/>
      <c r="BU589" s="1078"/>
      <c r="BV589" s="713"/>
      <c r="BW589" s="713"/>
    </row>
    <row s="1656" customFormat="1" customHeight="1" ht="39.635416666666664">
      <c r="A590" s="1297"/>
      <c r="B590" s="986"/>
      <c r="C590" s="1297"/>
      <c r="D590" s="103" cm="1" t="str">
        <f t="array" ref="D590:D590">D589</f>
        <v>11</v>
      </c>
      <c r="E590" s="709">
        <v>15</v>
      </c>
      <c r="F590" s="50" cm="1" t="str">
        <f t="array" ref="F590:F590">OFFSET(E590,-1,1)</f>
        <v>3</v>
      </c>
      <c r="G590" s="154" t="s">
        <v>1898</v>
      </c>
      <c r="H590" s="1297"/>
      <c r="I590" s="154" t="s">
        <v>2437</v>
      </c>
      <c r="J590" s="1297"/>
      <c r="K590" s="154" t="s">
        <v>2437</v>
      </c>
      <c r="L590" s="988" t="s">
        <v>2115</v>
      </c>
      <c r="M590" s="103"/>
      <c r="N590" s="1297"/>
      <c r="O590" s="1297"/>
      <c r="P590" s="1297"/>
      <c r="Q590" s="1297"/>
      <c r="R590" s="1297"/>
      <c r="S590" s="1297"/>
      <c r="T590" s="468" cm="1" t="str">
        <f t="array" ref="T590:T590">T589</f>
        <v>true</v>
      </c>
      <c r="U590" s="1297"/>
      <c r="V590" s="1297"/>
      <c r="W590" s="1297"/>
      <c r="X590" s="1539"/>
      <c r="Y590" s="1297"/>
      <c r="Z590" s="1529"/>
      <c r="AA590" s="1297"/>
      <c r="AB590" s="296" t="str">
        <f>D590&amp;".1"</f>
        <v>11.1</v>
      </c>
      <c r="AC590" s="1120" t="s">
        <v>2117</v>
      </c>
      <c r="AD590" s="296" t="s">
        <v>657</v>
      </c>
      <c r="AE590" s="6591">
        <v>765.42011</v>
      </c>
      <c r="AF590" s="6591">
        <f>IF(AF$24="2026 год",AF589/12*9,AF589/2)</f>
        <v>553.07552</v>
      </c>
      <c r="AG590" s="6591">
        <f>IF(AG$24="2026 год",AG589/12*9,AG589/2)</f>
        <v>553.07552</v>
      </c>
      <c r="AH590" s="949">
        <f>AG590-AF590</f>
        <v>0</v>
      </c>
      <c r="AI590" s="6356">
        <v>728.2516</v>
      </c>
      <c r="AJ590" s="6591">
        <f>IF(AJ$24="2026 год",AJ589/12*9,AJ589/2)</f>
        <v>1094.2149</v>
      </c>
      <c r="AK590" s="1279">
        <f>IF(AK$24="2026 год",AK589/12*9,AK589/2)</f>
        <v>0</v>
      </c>
      <c r="AL590" s="1280">
        <f>IF(AL$24="2026 год",AL589/12*9,AL589/2)</f>
        <v>0</v>
      </c>
      <c r="AM590" s="1280">
        <f>IF(AM$24="2026 год",AM589/12*9,AM589/2)</f>
        <v>0</v>
      </c>
      <c r="AN590" s="1280">
        <f>IF(AN$24="2026 год",AN589/12*9,AN589/2)</f>
        <v>0</v>
      </c>
      <c r="AO590" s="1280">
        <f>IF(AO$24="2026 год",AO589/12*9,AO589/2)</f>
        <v>0</v>
      </c>
      <c r="AP590" s="1280">
        <f>IF(AP$24="2026 год",AP589/12*9,AP589/2)</f>
        <v>0</v>
      </c>
      <c r="AQ590" s="1280">
        <f>IF(AQ$24="2026 год",AQ589/12*9,AQ589/2)</f>
        <v>0</v>
      </c>
      <c r="AR590" s="1280">
        <f>IF(AR$24="2026 год",AR589/12*9,AR589/2)</f>
        <v>0</v>
      </c>
      <c r="AS590" s="1280">
        <f>IF(AS$24="2026 год",AS589/12*9,AS589/2)</f>
        <v>0</v>
      </c>
      <c r="AT590" s="6356">
        <f>IF(AT$24="2026 год",AT589/12*9,AT589/2)</f>
        <v>1040.497905</v>
      </c>
      <c r="AU590" s="1280">
        <f>IF(AU$24="2026 год",AU589/12*9,AU589/2)</f>
        <v>0</v>
      </c>
      <c r="AV590" s="1280">
        <f>IF(AV$24="2026 год",AV589/12*9,AV589/2)</f>
        <v>0</v>
      </c>
      <c r="AW590" s="1280">
        <f>IF(AW$24="2026 год",AW589/12*9,AW589/2)</f>
        <v>0</v>
      </c>
      <c r="AX590" s="1280">
        <f>IF(AX$24="2026 год",AX589/12*9,AX589/2)</f>
        <v>0</v>
      </c>
      <c r="AY590" s="1280">
        <f>IF(AY$24="2026 год",AY589/12*9,AY589/2)</f>
        <v>0</v>
      </c>
      <c r="AZ590" s="1280">
        <f>IF(AZ$24="2026 год",AZ589/12*9,AZ589/2)</f>
        <v>0</v>
      </c>
      <c r="BA590" s="1280">
        <f>IF(BA$24="2026 год",BA589/12*9,BA589/2)</f>
        <v>0</v>
      </c>
      <c r="BB590" s="1280">
        <f>IF(BB$24="2026 год",BB589/12*9,BB589/2)</f>
        <v>0</v>
      </c>
      <c r="BC590" s="1280">
        <f>IF(BC$24="2026 год",BC589/12*9,BC589/2)</f>
        <v>0</v>
      </c>
      <c r="BD590" s="950"/>
      <c r="BE590" s="950"/>
      <c r="BF590" s="950"/>
      <c r="BG590" s="950"/>
      <c r="BH590" s="950"/>
      <c r="BI590" s="950"/>
      <c r="BJ590" s="950"/>
      <c r="BK590" s="950"/>
      <c r="BL590" s="950"/>
      <c r="BM590" s="950"/>
      <c r="BN590" s="6533"/>
      <c r="BO590" s="6533"/>
      <c r="BP590" s="6533"/>
      <c r="BQ590" s="1297"/>
      <c r="BR590" s="1297"/>
      <c r="BS590" s="1070" t="s">
        <v>2118</v>
      </c>
      <c r="BT590" s="1072"/>
      <c r="BU590" s="1072"/>
      <c r="BV590" s="987"/>
      <c r="BW590" s="987"/>
    </row>
    <row s="1656" customFormat="1" customHeight="1" ht="80.46874999999999">
      <c r="A591" s="1297"/>
      <c r="B591" s="986"/>
      <c r="C591" s="1297"/>
      <c r="D591" s="103" cm="1" t="str">
        <f t="array" ref="D591:D591">D590</f>
        <v>11</v>
      </c>
      <c r="E591" s="709">
        <v>15</v>
      </c>
      <c r="F591" s="50" cm="1" t="str">
        <f t="array" ref="F591:F591">OFFSET(E591,-1,1)</f>
        <v>3</v>
      </c>
      <c r="G591" s="154" t="s">
        <v>1859</v>
      </c>
      <c r="H591" s="1297"/>
      <c r="I591" s="154" t="s">
        <v>2438</v>
      </c>
      <c r="J591" s="1297"/>
      <c r="K591" s="154" t="s">
        <v>2438</v>
      </c>
      <c r="L591" s="988" t="s">
        <v>2119</v>
      </c>
      <c r="M591" s="103"/>
      <c r="N591" s="1297"/>
      <c r="O591" s="1297"/>
      <c r="P591" s="1297"/>
      <c r="Q591" s="1297"/>
      <c r="R591" s="1297"/>
      <c r="S591" s="1297"/>
      <c r="T591" s="468" cm="1" t="str">
        <f t="array" ref="T591:T591">T590</f>
        <v>true</v>
      </c>
      <c r="U591" s="1297"/>
      <c r="V591" s="1297"/>
      <c r="W591" s="1297"/>
      <c r="X591" s="1539"/>
      <c r="Y591" s="1297"/>
      <c r="Z591" s="1529"/>
      <c r="AA591" s="1297"/>
      <c r="AB591" s="296" t="str">
        <f>D591&amp;".2"</f>
        <v>11.2</v>
      </c>
      <c r="AC591" s="1120" t="s">
        <v>2121</v>
      </c>
      <c r="AD591" s="296" t="s">
        <v>1862</v>
      </c>
      <c r="AE591" s="6531">
        <v>44.27</v>
      </c>
      <c r="AF591" s="6531" cm="1" t="str">
        <f t="array" ref="AF591:AF591">AF595</f>
        <v>65.9036491074492</v>
      </c>
      <c r="AG591" s="6531" cm="1" t="str">
        <f t="array" ref="AG591:AG591">AG595</f>
        <v>65.3472311810293</v>
      </c>
      <c r="AH591" s="951">
        <f>AG591-AF591</f>
        <v>-0.556417926419897</v>
      </c>
      <c r="AI591" s="6360">
        <v>48.52</v>
      </c>
      <c r="AJ591" s="6360" cm="1" t="str">
        <f t="array" ref="AJ591:AJ591">AJ595</f>
        <v>160.156684943698</v>
      </c>
      <c r="AK591" s="1281"/>
      <c r="AL591" s="1281"/>
      <c r="AM591" s="1281"/>
      <c r="AN591" s="1281"/>
      <c r="AO591" s="1281"/>
      <c r="AP591" s="1281"/>
      <c r="AQ591" s="1281"/>
      <c r="AR591" s="1281"/>
      <c r="AS591" s="1281"/>
      <c r="AT591" s="6360">
        <v>54.34</v>
      </c>
      <c r="AU591" s="1281" cm="1" t="str">
        <f t="array" ref="AU591:AU591">AT593</f>
        <v>60.860062497579</v>
      </c>
      <c r="AV591" s="1281" cm="1" t="str">
        <f t="array" ref="AV591:AV591">AU593</f>
        <v>0</v>
      </c>
      <c r="AW591" s="1281" cm="1" t="str">
        <f t="array" ref="AW591:AW591">AV593</f>
        <v>0</v>
      </c>
      <c r="AX591" s="1281" cm="1" t="str">
        <f t="array" ref="AX591:AX591">AW593</f>
        <v>0</v>
      </c>
      <c r="AY591" s="1281" cm="1" t="str">
        <f t="array" ref="AY591:AY591">AX593</f>
        <v>0</v>
      </c>
      <c r="AZ591" s="1281" cm="1" t="str">
        <f t="array" ref="AZ591:AZ591">AY593</f>
        <v>0</v>
      </c>
      <c r="BA591" s="1281" cm="1" t="str">
        <f t="array" ref="BA591:BA591">AZ593</f>
        <v>0</v>
      </c>
      <c r="BB591" s="1281" cm="1" t="str">
        <f t="array" ref="BB591:BB591">BA593</f>
        <v>0</v>
      </c>
      <c r="BC591" s="1281" cm="1" t="str">
        <f t="array" ref="BC591:BC591">BB593</f>
        <v>0</v>
      </c>
      <c r="BD591" s="950"/>
      <c r="BE591" s="950"/>
      <c r="BF591" s="950"/>
      <c r="BG591" s="950"/>
      <c r="BH591" s="950"/>
      <c r="BI591" s="950"/>
      <c r="BJ591" s="950"/>
      <c r="BK591" s="950"/>
      <c r="BL591" s="950"/>
      <c r="BM591" s="950"/>
      <c r="BN591" s="6532" t="s">
        <v>2547</v>
      </c>
      <c r="BO591" s="6533" t="s">
        <v>2629</v>
      </c>
      <c r="BP591" s="6533" t="s">
        <v>2593</v>
      </c>
      <c r="BQ591" s="1297"/>
      <c r="BR591" s="1297"/>
      <c r="BS591" s="1070" t="s">
        <v>2122</v>
      </c>
      <c r="BT591" s="1072"/>
      <c r="BU591" s="1072"/>
      <c r="BV591" s="987"/>
      <c r="BW591" s="987"/>
    </row>
    <row s="1656" customFormat="1" customHeight="1" ht="34.635416666666664">
      <c r="A592" s="1297"/>
      <c r="B592" s="986"/>
      <c r="C592" s="1297"/>
      <c r="D592" s="103" cm="1" t="str">
        <f t="array" ref="D592:D592">D591</f>
        <v>11</v>
      </c>
      <c r="E592" s="709">
        <v>15</v>
      </c>
      <c r="F592" s="50" cm="1" t="str">
        <f t="array" ref="F592:F592">OFFSET(E592,-1,1)</f>
        <v>3</v>
      </c>
      <c r="G592" s="154" t="s">
        <v>1911</v>
      </c>
      <c r="H592" s="1297"/>
      <c r="I592" s="154" t="s">
        <v>2439</v>
      </c>
      <c r="J592" s="1297"/>
      <c r="K592" s="154" t="s">
        <v>2439</v>
      </c>
      <c r="L592" s="988" t="s">
        <v>2123</v>
      </c>
      <c r="M592" s="103"/>
      <c r="N592" s="1297"/>
      <c r="O592" s="1297"/>
      <c r="P592" s="1297"/>
      <c r="Q592" s="1297"/>
      <c r="R592" s="1297"/>
      <c r="S592" s="1297"/>
      <c r="T592" s="468" cm="1" t="str">
        <f t="array" ref="T592:T592">T591</f>
        <v>true</v>
      </c>
      <c r="U592" s="1297"/>
      <c r="V592" s="1297"/>
      <c r="W592" s="1297"/>
      <c r="X592" s="1539"/>
      <c r="Y592" s="1297"/>
      <c r="Z592" s="1529"/>
      <c r="AA592" s="1297"/>
      <c r="AB592" s="296" t="str">
        <f>D592&amp;".3"</f>
        <v>11.3</v>
      </c>
      <c r="AC592" s="1120" t="s">
        <v>2440</v>
      </c>
      <c r="AD592" s="296" t="s">
        <v>657</v>
      </c>
      <c r="AE592" s="954">
        <f>AE589-AE590</f>
        <v>765.42011</v>
      </c>
      <c r="AF592" s="954">
        <f>AF589-AF590</f>
        <v>553.07552</v>
      </c>
      <c r="AG592" s="954">
        <f>AG589-AG590</f>
        <v>553.07552</v>
      </c>
      <c r="AH592" s="949">
        <f>AG592-AF592</f>
        <v>0</v>
      </c>
      <c r="AI592" s="832">
        <f>AI589-AI590</f>
        <v>728.2516</v>
      </c>
      <c r="AJ592" s="832">
        <f>AJ589-AJ590</f>
        <v>364.7383</v>
      </c>
      <c r="AK592" s="832">
        <f>AK589-AK590</f>
        <v>0</v>
      </c>
      <c r="AL592" s="832">
        <f>AL589-AL590</f>
        <v>0</v>
      </c>
      <c r="AM592" s="832">
        <f>AM589-AM590</f>
        <v>0</v>
      </c>
      <c r="AN592" s="832">
        <f>AN589-AN590</f>
        <v>0</v>
      </c>
      <c r="AO592" s="832">
        <f>AO589-AO590</f>
        <v>0</v>
      </c>
      <c r="AP592" s="832">
        <f>AP589-AP590</f>
        <v>0</v>
      </c>
      <c r="AQ592" s="832">
        <f>AQ589-AQ590</f>
        <v>0</v>
      </c>
      <c r="AR592" s="832">
        <f>AR589-AR590</f>
        <v>0</v>
      </c>
      <c r="AS592" s="832">
        <f>AS589-AS590</f>
        <v>0</v>
      </c>
      <c r="AT592" s="832">
        <f>AT589-AT590</f>
        <v>346.832635</v>
      </c>
      <c r="AU592" s="832">
        <f>AU589-AU590</f>
        <v>0</v>
      </c>
      <c r="AV592" s="832">
        <f>AV589-AV590</f>
        <v>0</v>
      </c>
      <c r="AW592" s="832">
        <f>AW589-AW590</f>
        <v>0</v>
      </c>
      <c r="AX592" s="832">
        <f>AX589-AX590</f>
        <v>0</v>
      </c>
      <c r="AY592" s="832">
        <f>AY589-AY590</f>
        <v>0</v>
      </c>
      <c r="AZ592" s="832">
        <f>AZ589-AZ590</f>
        <v>0</v>
      </c>
      <c r="BA592" s="832">
        <f>BA589-BA590</f>
        <v>0</v>
      </c>
      <c r="BB592" s="832">
        <f>BB589-BB590</f>
        <v>0</v>
      </c>
      <c r="BC592" s="832">
        <f>BC589-BC590</f>
        <v>0</v>
      </c>
      <c r="BD592" s="950"/>
      <c r="BE592" s="950"/>
      <c r="BF592" s="950"/>
      <c r="BG592" s="950"/>
      <c r="BH592" s="950"/>
      <c r="BI592" s="950"/>
      <c r="BJ592" s="950"/>
      <c r="BK592" s="950"/>
      <c r="BL592" s="950"/>
      <c r="BM592" s="950"/>
      <c r="BN592" s="6533"/>
      <c r="BO592" s="6533"/>
      <c r="BP592" s="6533"/>
      <c r="BQ592" s="1297"/>
      <c r="BR592" s="1297"/>
      <c r="BS592" s="1070" t="s">
        <v>2126</v>
      </c>
      <c r="BT592" s="1072"/>
      <c r="BU592" s="1072"/>
      <c r="BV592" s="987"/>
      <c r="BW592" s="987"/>
    </row>
    <row s="1656" customFormat="1" customHeight="1" ht="27.96875">
      <c r="A593" s="1297"/>
      <c r="B593" s="986"/>
      <c r="C593" s="1297"/>
      <c r="D593" s="103" cm="1" t="str">
        <f t="array" ref="D593:D593">D592</f>
        <v>11</v>
      </c>
      <c r="E593" s="709">
        <v>15</v>
      </c>
      <c r="F593" s="50" cm="1" t="str">
        <f t="array" ref="F593:F593">OFFSET(E593,-1,1)</f>
        <v>3</v>
      </c>
      <c r="G593" s="154" t="s">
        <v>1864</v>
      </c>
      <c r="H593" s="1297"/>
      <c r="I593" s="154" t="s">
        <v>2441</v>
      </c>
      <c r="J593" s="1297"/>
      <c r="K593" s="154" t="s">
        <v>2441</v>
      </c>
      <c r="L593" s="988" t="s">
        <v>2127</v>
      </c>
      <c r="M593" s="103"/>
      <c r="N593" s="1297"/>
      <c r="O593" s="1297"/>
      <c r="P593" s="1297"/>
      <c r="Q593" s="1297"/>
      <c r="R593" s="1297"/>
      <c r="S593" s="1297"/>
      <c r="T593" s="468" cm="1" t="str">
        <f t="array" ref="T593:T593">T592</f>
        <v>true</v>
      </c>
      <c r="U593" s="1297"/>
      <c r="V593" s="1297"/>
      <c r="W593" s="1297"/>
      <c r="X593" s="1539"/>
      <c r="Y593" s="1297"/>
      <c r="Z593" s="1529"/>
      <c r="AA593" s="1297"/>
      <c r="AB593" s="296" t="str">
        <f>D593&amp;".4"</f>
        <v>11.4</v>
      </c>
      <c r="AC593" s="1120" t="s">
        <v>2129</v>
      </c>
      <c r="AD593" s="296" t="s">
        <v>1862</v>
      </c>
      <c r="AE593" s="6531">
        <v>48.5199915469</v>
      </c>
      <c r="AF593" s="6531">
        <f>IF(AF592=0,0,(AF586-AF590*AF591)/AF592)</f>
        <v>65.9036491074492</v>
      </c>
      <c r="AG593" s="6531">
        <f>IF(AG592=0,0,(AG586-AG590*AG591)/AG592)</f>
        <v>65.3472311810293</v>
      </c>
      <c r="AH593" s="951">
        <f>AG593-AF593</f>
        <v>-0.556417926419897</v>
      </c>
      <c r="AI593" s="6360">
        <v>54.3399938387</v>
      </c>
      <c r="AJ593" s="6360">
        <f>IF(AJ592=0,0,(AJ586-AJ590*AJ591)/AJ592)</f>
        <v>160.156684943698</v>
      </c>
      <c r="AK593" s="1281">
        <f>IF(AK592=0,0,(AK586-AK590*AK591)/AK592)</f>
        <v>0</v>
      </c>
      <c r="AL593" s="1281">
        <f>IF(AL592=0,0,(AL586-AL590*AL591)/AL592)</f>
        <v>0</v>
      </c>
      <c r="AM593" s="1281">
        <f>IF(AM592=0,0,(AM586-AM590*AM591)/AM592)</f>
        <v>0</v>
      </c>
      <c r="AN593" s="1281">
        <f>IF(AN592=0,0,(AN586-AN590*AN591)/AN592)</f>
        <v>0</v>
      </c>
      <c r="AO593" s="1281">
        <f>IF(AO592=0,0,(AO586-AO590*AO591)/AO592)</f>
        <v>0</v>
      </c>
      <c r="AP593" s="1281">
        <f>IF(AP592=0,0,(AP586-AP590*AP591)/AP592)</f>
        <v>0</v>
      </c>
      <c r="AQ593" s="1281">
        <f>IF(AQ592=0,0,(AQ586-AQ590*AQ591)/AQ592)</f>
        <v>0</v>
      </c>
      <c r="AR593" s="1281">
        <f>IF(AR592=0,0,(AR586-AR590*AR591)/AR592)</f>
        <v>0</v>
      </c>
      <c r="AS593" s="1281">
        <f>IF(AS592=0,0,(AS586-AS590*AS591)/AS592)</f>
        <v>0</v>
      </c>
      <c r="AT593" s="6360">
        <f>IF(AT592=0,0,(AT586-AT590*AT591)/AT592)</f>
        <v>60.860062497579</v>
      </c>
      <c r="AU593" s="1281">
        <f>IF(AU592=0,0,(AU586-AU590*AU591)/AU592)</f>
        <v>0</v>
      </c>
      <c r="AV593" s="1281">
        <f>IF(AV592=0,0,(AV586-AV590*AV591)/AV592)</f>
        <v>0</v>
      </c>
      <c r="AW593" s="1281">
        <f>IF(AW592=0,0,(AW586-AW590*AW591)/AW592)</f>
        <v>0</v>
      </c>
      <c r="AX593" s="1281">
        <f>IF(AX592=0,0,(AX586-AX590*AX591)/AX592)</f>
        <v>0</v>
      </c>
      <c r="AY593" s="1281">
        <f>IF(AY592=0,0,(AY586-AY590*AY591)/AY592)</f>
        <v>0</v>
      </c>
      <c r="AZ593" s="1281">
        <f>IF(AZ592=0,0,(AZ586-AZ590*AZ591)/AZ592)</f>
        <v>0</v>
      </c>
      <c r="BA593" s="1281">
        <f>IF(BA592=0,0,(BA586-BA590*BA591)/BA592)</f>
        <v>0</v>
      </c>
      <c r="BB593" s="1281">
        <f>IF(BB592=0,0,(BB586-BB590*BB591)/BB592)</f>
        <v>0</v>
      </c>
      <c r="BC593" s="1281">
        <f>IF(BC592=0,0,(BC586-BC590*BC591)/BC592)</f>
        <v>0</v>
      </c>
      <c r="BD593" s="950"/>
      <c r="BE593" s="950"/>
      <c r="BF593" s="950"/>
      <c r="BG593" s="950"/>
      <c r="BH593" s="950"/>
      <c r="BI593" s="950"/>
      <c r="BJ593" s="950"/>
      <c r="BK593" s="950"/>
      <c r="BL593" s="950"/>
      <c r="BM593" s="950"/>
      <c r="BN593" s="6533"/>
      <c r="BO593" s="6533"/>
      <c r="BP593" s="6533"/>
      <c r="BQ593" s="1297"/>
      <c r="BR593" s="1297"/>
      <c r="BS593" s="1070" t="s">
        <v>2130</v>
      </c>
      <c r="BT593" s="1072"/>
      <c r="BU593" s="1072"/>
      <c r="BV593" s="987"/>
      <c r="BW593" s="987"/>
    </row>
    <row s="1656" customFormat="1" customHeight="1" ht="22.135416666666668">
      <c r="A594" s="1297"/>
      <c r="B594" s="986"/>
      <c r="C594" s="1297"/>
      <c r="D594" s="103" cm="1" t="str">
        <f t="array" ref="D594:D594">D593</f>
        <v>11</v>
      </c>
      <c r="E594" s="709">
        <v>15</v>
      </c>
      <c r="F594" s="50" cm="1" t="str">
        <f t="array" ref="F594:F594">OFFSET(E594,-1,1)</f>
        <v>3</v>
      </c>
      <c r="G594" s="1297"/>
      <c r="H594" s="1297"/>
      <c r="I594" s="154" t="s">
        <v>2442</v>
      </c>
      <c r="J594" s="1297"/>
      <c r="K594" s="154" t="s">
        <v>2442</v>
      </c>
      <c r="L594" s="988" t="s">
        <v>2131</v>
      </c>
      <c r="M594" s="103"/>
      <c r="N594" s="1297"/>
      <c r="O594" s="1297"/>
      <c r="P594" s="1297"/>
      <c r="Q594" s="1297"/>
      <c r="R594" s="1297"/>
      <c r="S594" s="1297"/>
      <c r="T594" s="468" cm="1" t="str">
        <f t="array" ref="T594:T594">T593</f>
        <v>true</v>
      </c>
      <c r="U594" s="1297"/>
      <c r="V594" s="1297"/>
      <c r="W594" s="1297"/>
      <c r="X594" s="1539"/>
      <c r="Y594" s="1297"/>
      <c r="Z594" s="1529"/>
      <c r="AA594" s="1297"/>
      <c r="AB594" s="296" t="str">
        <f>D594&amp;".5"</f>
        <v>11.5</v>
      </c>
      <c r="AC594" s="1120" t="s">
        <v>2133</v>
      </c>
      <c r="AD594" s="296" t="s">
        <v>561</v>
      </c>
      <c r="AE594" s="255">
        <f>IF(AE591=0,0,AE593/AE591*100)</f>
        <v>109.600161614863</v>
      </c>
      <c r="AF594" s="255">
        <f>IF(AF591=0,0,AF593/AF591*100)</f>
        <v>100</v>
      </c>
      <c r="AG594" s="255">
        <f>IF(AG591=0,0,AG593/AG591*100)</f>
        <v>100</v>
      </c>
      <c r="AH594" s="950"/>
      <c r="AI594" s="809">
        <f>IF(AI591=0,0,AI593/AI591*100)</f>
        <v>111.995040887675</v>
      </c>
      <c r="AJ594" s="809">
        <f>IF(AJ591=0,0,AJ593/AJ591*100)</f>
        <v>100</v>
      </c>
      <c r="AK594" s="809">
        <f>IF(AK591=0,0,AK593/AK591*100)</f>
        <v>0</v>
      </c>
      <c r="AL594" s="809">
        <f>IF(AL591=0,0,AL593/AL591*100)</f>
        <v>0</v>
      </c>
      <c r="AM594" s="809">
        <f>IF(AM591=0,0,AM593/AM591*100)</f>
        <v>0</v>
      </c>
      <c r="AN594" s="809">
        <f>IF(AN591=0,0,AN593/AN591*100)</f>
        <v>0</v>
      </c>
      <c r="AO594" s="809">
        <f>IF(AO591=0,0,AO593/AO591*100)</f>
        <v>0</v>
      </c>
      <c r="AP594" s="809">
        <f>IF(AP591=0,0,AP593/AP591*100)</f>
        <v>0</v>
      </c>
      <c r="AQ594" s="809">
        <f>IF(AQ591=0,0,AQ593/AQ591*100)</f>
        <v>0</v>
      </c>
      <c r="AR594" s="809">
        <f>IF(AR591=0,0,AR593/AR591*100)</f>
        <v>0</v>
      </c>
      <c r="AS594" s="809">
        <f>IF(AS591=0,0,AS593/AS591*100)</f>
        <v>0</v>
      </c>
      <c r="AT594" s="809">
        <f>IF(AT591=0,0,AT593/AT591*100)</f>
        <v>111.998642800109</v>
      </c>
      <c r="AU594" s="809">
        <f>IF(AU591=0,0,AU593/AU591*100)</f>
        <v>0</v>
      </c>
      <c r="AV594" s="809">
        <f>IF(AV591=0,0,AV593/AV591*100)</f>
        <v>0</v>
      </c>
      <c r="AW594" s="809">
        <f>IF(AW591=0,0,AW593/AW591*100)</f>
        <v>0</v>
      </c>
      <c r="AX594" s="809">
        <f>IF(AX591=0,0,AX593/AX591*100)</f>
        <v>0</v>
      </c>
      <c r="AY594" s="809">
        <f>IF(AY591=0,0,AY593/AY591*100)</f>
        <v>0</v>
      </c>
      <c r="AZ594" s="809">
        <f>IF(AZ591=0,0,AZ593/AZ591*100)</f>
        <v>0</v>
      </c>
      <c r="BA594" s="809">
        <f>IF(BA591=0,0,BA593/BA591*100)</f>
        <v>0</v>
      </c>
      <c r="BB594" s="809">
        <f>IF(BB591=0,0,BB593/BB591*100)</f>
        <v>0</v>
      </c>
      <c r="BC594" s="809">
        <f>IF(BC591=0,0,BC593/BC591*100)</f>
        <v>0</v>
      </c>
      <c r="BD594" s="950"/>
      <c r="BE594" s="950"/>
      <c r="BF594" s="950"/>
      <c r="BG594" s="950"/>
      <c r="BH594" s="950"/>
      <c r="BI594" s="950"/>
      <c r="BJ594" s="950"/>
      <c r="BK594" s="950"/>
      <c r="BL594" s="950"/>
      <c r="BM594" s="950"/>
      <c r="BN594" s="6533"/>
      <c r="BO594" s="6533"/>
      <c r="BP594" s="6533"/>
      <c r="BQ594" s="1297"/>
      <c r="BR594" s="1297"/>
      <c r="BS594" s="1070" t="s">
        <v>2134</v>
      </c>
      <c r="BT594" s="1072"/>
      <c r="BU594" s="1072"/>
      <c r="BV594" s="987"/>
      <c r="BW594" s="987"/>
    </row>
    <row s="1656" customFormat="1" customHeight="1" ht="22.135416666666668">
      <c r="A595" s="1297"/>
      <c r="B595" s="986"/>
      <c r="C595" s="1297"/>
      <c r="D595" s="103" cm="1" t="str">
        <f t="array" ref="D595:D595">D594</f>
        <v>11</v>
      </c>
      <c r="E595" s="709">
        <v>15</v>
      </c>
      <c r="F595" s="50" cm="1" t="str">
        <f t="array" ref="F595:F595">OFFSET(E595,-1,1)</f>
        <v>3</v>
      </c>
      <c r="G595" s="1297"/>
      <c r="H595" s="1297"/>
      <c r="I595" s="154" t="s">
        <v>2443</v>
      </c>
      <c r="J595" s="1297"/>
      <c r="K595" s="154" t="s">
        <v>2443</v>
      </c>
      <c r="L595" s="988" t="s">
        <v>2135</v>
      </c>
      <c r="M595" s="103"/>
      <c r="N595" s="1297"/>
      <c r="O595" s="1297"/>
      <c r="P595" s="1297"/>
      <c r="Q595" s="1297"/>
      <c r="R595" s="1297"/>
      <c r="S595" s="1297"/>
      <c r="T595" s="468" cm="1" t="str">
        <f t="array" ref="T595:T595">T594</f>
        <v>true</v>
      </c>
      <c r="U595" s="1297"/>
      <c r="V595" s="1297"/>
      <c r="W595" s="1297"/>
      <c r="X595" s="1539"/>
      <c r="Y595" s="1297"/>
      <c r="Z595" s="1529"/>
      <c r="AA595" s="1297"/>
      <c r="AB595" s="296" t="str">
        <f>D595&amp;".6"</f>
        <v>11.6</v>
      </c>
      <c r="AC595" s="1120" t="s">
        <v>2137</v>
      </c>
      <c r="AD595" s="296" t="s">
        <v>1862</v>
      </c>
      <c r="AE595" s="6531">
        <v>46.3949957734</v>
      </c>
      <c r="AF595" s="6531">
        <f>IF(AF589=0,0,AF586/AF589)</f>
        <v>65.9036491074492</v>
      </c>
      <c r="AG595" s="6531">
        <f>IF(AG589=0,0,AG586/AG589)</f>
        <v>65.3472311810293</v>
      </c>
      <c r="AH595" s="951">
        <f>AG595-AF595</f>
        <v>-0.556417926419897</v>
      </c>
      <c r="AI595" s="6360">
        <v>51.4299969194</v>
      </c>
      <c r="AJ595" s="6360">
        <f>IF(AJ589=0,0,AJ586/AJ589)</f>
        <v>160.156684943698</v>
      </c>
      <c r="AK595" s="1281">
        <f>IF(AK589=0,0,AK586/AK589)</f>
        <v>0</v>
      </c>
      <c r="AL595" s="1281">
        <f>IF(AL589=0,0,AL586/AL589)</f>
        <v>0</v>
      </c>
      <c r="AM595" s="1281">
        <f>IF(AM589=0,0,AM586/AM589)</f>
        <v>0</v>
      </c>
      <c r="AN595" s="1281">
        <f>IF(AN589=0,0,AN586/AN589)</f>
        <v>0</v>
      </c>
      <c r="AO595" s="1281">
        <f>IF(AO589=0,0,AO586/AO589)</f>
        <v>0</v>
      </c>
      <c r="AP595" s="1281">
        <f>IF(AP589=0,0,AP586/AP589)</f>
        <v>0</v>
      </c>
      <c r="AQ595" s="1281">
        <f>IF(AQ589=0,0,AQ586/AQ589)</f>
        <v>0</v>
      </c>
      <c r="AR595" s="1281">
        <f>IF(AR589=0,0,AR586/AR589)</f>
        <v>0</v>
      </c>
      <c r="AS595" s="1281">
        <f>IF(AS589=0,0,AS586/AS589)</f>
        <v>0</v>
      </c>
      <c r="AT595" s="6360">
        <f>IF(AT589=0,0,AT586/AT589)</f>
        <v>55.9700156243947</v>
      </c>
      <c r="AU595" s="1281">
        <f>IF(AU589=0,0,AU586/AU589)</f>
        <v>0</v>
      </c>
      <c r="AV595" s="1281">
        <f>IF(AV589=0,0,AV586/AV589)</f>
        <v>0</v>
      </c>
      <c r="AW595" s="1281">
        <f>IF(AW589=0,0,AW586/AW589)</f>
        <v>0</v>
      </c>
      <c r="AX595" s="1281">
        <f>IF(AX589=0,0,AX586/AX589)</f>
        <v>0</v>
      </c>
      <c r="AY595" s="1281">
        <f>IF(AY589=0,0,AY586/AY589)</f>
        <v>0</v>
      </c>
      <c r="AZ595" s="1281">
        <f>IF(AZ589=0,0,AZ586/AZ589)</f>
        <v>0</v>
      </c>
      <c r="BA595" s="1281">
        <f>IF(BA589=0,0,BA586/BA589)</f>
        <v>0</v>
      </c>
      <c r="BB595" s="1281">
        <f>IF(BB589=0,0,BB586/BB589)</f>
        <v>0</v>
      </c>
      <c r="BC595" s="1281">
        <f>IF(BC589=0,0,BC586/BC589)</f>
        <v>0</v>
      </c>
      <c r="BD595" s="950"/>
      <c r="BE595" s="950"/>
      <c r="BF595" s="950"/>
      <c r="BG595" s="950"/>
      <c r="BH595" s="950"/>
      <c r="BI595" s="950"/>
      <c r="BJ595" s="950"/>
      <c r="BK595" s="950"/>
      <c r="BL595" s="950"/>
      <c r="BM595" s="950"/>
      <c r="BN595" s="6533"/>
      <c r="BO595" s="6533"/>
      <c r="BP595" s="6533"/>
      <c r="BQ595" s="1297"/>
      <c r="BR595" s="1297"/>
      <c r="BS595" s="1070" t="s">
        <v>2138</v>
      </c>
      <c r="BT595" s="1072"/>
      <c r="BU595" s="1072"/>
      <c r="BV595" s="987"/>
      <c r="BW595" s="987"/>
    </row>
    <row s="6709" customFormat="1" customHeight="1" ht="27.135416666666668">
      <c r="A596" s="706"/>
      <c r="B596" s="437"/>
      <c r="C596" s="706"/>
      <c r="D596" s="105">
        <f>D595+1</f>
        <v>12</v>
      </c>
      <c r="E596" s="713">
        <v>21</v>
      </c>
      <c r="F596" s="50" cm="1" t="str">
        <f t="array" ref="F596:F596">OFFSET(E596,-1,1)</f>
        <v>3</v>
      </c>
      <c r="G596" s="706"/>
      <c r="H596" s="154"/>
      <c r="I596" s="154" t="s">
        <v>2142</v>
      </c>
      <c r="J596" s="706"/>
      <c r="K596" s="154" t="s">
        <v>2142</v>
      </c>
      <c r="L596" s="993" t="s">
        <v>2139</v>
      </c>
      <c r="M596" s="105"/>
      <c r="N596" s="706"/>
      <c r="O596" s="706"/>
      <c r="P596" s="706"/>
      <c r="Q596" s="706"/>
      <c r="R596" s="706"/>
      <c r="S596" s="706"/>
      <c r="T596" s="468" cm="1" t="str">
        <f t="array" ref="T596:T596">T595</f>
        <v>true</v>
      </c>
      <c r="U596" s="706"/>
      <c r="V596" s="706"/>
      <c r="W596" s="706"/>
      <c r="X596" s="1539"/>
      <c r="Y596" s="706"/>
      <c r="Z596" s="1529"/>
      <c r="AA596" s="706"/>
      <c r="AB596" s="207" cm="1" t="str">
        <f t="array" ref="AB596:AB596">D596</f>
        <v>12</v>
      </c>
      <c r="AC596" s="208" t="s">
        <v>2140</v>
      </c>
      <c r="AD596" s="207" t="s">
        <v>936</v>
      </c>
      <c r="AE596" s="6358">
        <v>44073.9238845678</v>
      </c>
      <c r="AF596" s="6358">
        <f>IF(AF589=0,0,AF586/AF589*AF597)</f>
        <v>53055.4097860714</v>
      </c>
      <c r="AG596" s="6358">
        <f>IF(AG589=0,0,AG586/AG589*AG597)</f>
        <v>52607.4682608549</v>
      </c>
      <c r="AH596" s="777">
        <f>AH598*AH599+AH600*AH601</f>
        <v>0</v>
      </c>
      <c r="AI596" s="6593">
        <v>46414.1800097158</v>
      </c>
      <c r="AJ596" s="6593">
        <f>IF(AJ589=0,0,AJ586/AJ589*AJ597)</f>
        <v>144537.072720226</v>
      </c>
      <c r="AK596" s="1282">
        <f>IF(AK589=0,0,AK586/AK589*AK597)</f>
        <v>0</v>
      </c>
      <c r="AL596" s="1282">
        <f>IF(AL589=0,0,AL586/AL589*AL597)</f>
        <v>0</v>
      </c>
      <c r="AM596" s="1282">
        <f>IF(AM589=0,0,AM586/AM589*AM597)</f>
        <v>0</v>
      </c>
      <c r="AN596" s="1282">
        <f>IF(AN589=0,0,AN586/AN589*AN597)</f>
        <v>0</v>
      </c>
      <c r="AO596" s="1282">
        <f>IF(AO589=0,0,AO586/AO589*AO597)</f>
        <v>0</v>
      </c>
      <c r="AP596" s="1282">
        <f>IF(AP589=0,0,AP586/AP589*AP597)</f>
        <v>0</v>
      </c>
      <c r="AQ596" s="1282">
        <f>IF(AQ589=0,0,AQ586/AQ589*AQ597)</f>
        <v>0</v>
      </c>
      <c r="AR596" s="1282">
        <f>IF(AR589=0,0,AR586/AR589*AR597)</f>
        <v>0</v>
      </c>
      <c r="AS596" s="1282">
        <f>IF(AS589=0,0,AS586/AS589*AS597)</f>
        <v>0</v>
      </c>
      <c r="AT596" s="6593">
        <f>IF(AT589=0,0,AT586/AT589*AT597)</f>
        <v>47985.8525971636</v>
      </c>
      <c r="AU596" s="1282">
        <f>IF(AU589=0,0,AU586/AU589*AU597)</f>
        <v>0</v>
      </c>
      <c r="AV596" s="1282">
        <f>IF(AV589=0,0,AV586/AV589*AV597)</f>
        <v>0</v>
      </c>
      <c r="AW596" s="1282">
        <f>IF(AW589=0,0,AW586/AW589*AW597)</f>
        <v>0</v>
      </c>
      <c r="AX596" s="1282">
        <f>IF(AX589=0,0,AX586/AX589*AX597)</f>
        <v>0</v>
      </c>
      <c r="AY596" s="1282">
        <f>IF(AY589=0,0,AY586/AY589*AY597)</f>
        <v>0</v>
      </c>
      <c r="AZ596" s="1282">
        <f>IF(AZ589=0,0,AZ586/AZ589*AZ597)</f>
        <v>0</v>
      </c>
      <c r="BA596" s="1282">
        <f>IF(BA589=0,0,BA586/BA589*BA597)</f>
        <v>0</v>
      </c>
      <c r="BB596" s="1282">
        <f>IF(BB589=0,0,BB586/BB589*BB597)</f>
        <v>0</v>
      </c>
      <c r="BC596" s="1282">
        <f>IF(BC589=0,0,BC586/BC589*BC597)</f>
        <v>0</v>
      </c>
      <c r="BD596" s="768">
        <f>IF(AI596=0,0,(AT596-AI596)/AI596*100)</f>
        <v>3.38619057175804</v>
      </c>
      <c r="BE596" s="768">
        <f>IF(AT596=0,0,(AU596-AT596)/AT596*100)</f>
        <v>-100</v>
      </c>
      <c r="BF596" s="768">
        <f>IF(AU596=0,0,(AV596-AU596)/AU596*100)</f>
        <v>0</v>
      </c>
      <c r="BG596" s="768">
        <f>IF(AV596=0,0,(AW596-AV596)/AV596*100)</f>
        <v>0</v>
      </c>
      <c r="BH596" s="768">
        <f>IF(AW596=0,0,(AX596-AW596)/AW596*100)</f>
        <v>0</v>
      </c>
      <c r="BI596" s="768">
        <f>IF(AX596=0,0,(AY596-AX596)/AX596*100)</f>
        <v>0</v>
      </c>
      <c r="BJ596" s="768">
        <f>IF(AY596=0,0,(AZ596-AY596)/AY596*100)</f>
        <v>0</v>
      </c>
      <c r="BK596" s="768">
        <f>IF(AZ596=0,0,(BA596-AZ596)/AZ596*100)</f>
        <v>0</v>
      </c>
      <c r="BL596" s="768">
        <f>IF(BA596=0,0,(BB596-BA596)/BA596*100)</f>
        <v>0</v>
      </c>
      <c r="BM596" s="768">
        <f>IF(BB596=0,0,(BC596-BB596)/BB596*100)</f>
        <v>0</v>
      </c>
      <c r="BN596" s="6533"/>
      <c r="BO596" s="6533"/>
      <c r="BP596" s="6533"/>
      <c r="BQ596" s="706"/>
      <c r="BR596" s="706"/>
      <c r="BS596" s="1071" t="s">
        <v>2141</v>
      </c>
      <c r="BT596" s="1078"/>
      <c r="BU596" s="1078"/>
      <c r="BV596" s="713"/>
      <c r="BW596" s="713"/>
    </row>
    <row s="6710" customFormat="1" customHeight="1" ht="28.802083333333332">
      <c r="A597" s="706"/>
      <c r="B597" s="437"/>
      <c r="C597" s="706"/>
      <c r="D597" s="105">
        <f>D596+1</f>
        <v>13</v>
      </c>
      <c r="E597" s="713">
        <v>21</v>
      </c>
      <c r="F597" s="50" cm="1" t="str">
        <f t="array" ref="F597:F597">OFFSET(E597,-1,1)</f>
        <v>3</v>
      </c>
      <c r="G597" s="154" t="s">
        <v>1884</v>
      </c>
      <c r="H597" s="154"/>
      <c r="I597" s="154" t="s">
        <v>2444</v>
      </c>
      <c r="J597" s="706"/>
      <c r="K597" s="154" t="s">
        <v>2444</v>
      </c>
      <c r="L597" s="993" t="s">
        <v>2142</v>
      </c>
      <c r="M597" s="105"/>
      <c r="N597" s="706"/>
      <c r="O597" s="706"/>
      <c r="P597" s="706"/>
      <c r="Q597" s="706"/>
      <c r="R597" s="706"/>
      <c r="S597" s="706"/>
      <c r="T597" s="468" cm="1" t="str">
        <f t="array" ref="T597:T597">T596</f>
        <v>true</v>
      </c>
      <c r="U597" s="706"/>
      <c r="V597" s="706"/>
      <c r="W597" s="706"/>
      <c r="X597" s="1539"/>
      <c r="Y597" s="706"/>
      <c r="Z597" s="1529"/>
      <c r="AA597" s="706"/>
      <c r="AB597" s="207" cm="1" t="str">
        <f t="array" ref="AB597:AB597">D597</f>
        <v>13</v>
      </c>
      <c r="AC597" s="208" t="s">
        <v>2143</v>
      </c>
      <c r="AD597" s="207" t="s">
        <v>657</v>
      </c>
      <c r="AE597" s="792">
        <f>_xlfn.SUMIFS(Баланс!AE$26:AE$391,Баланс!$F$26:$F$391,$F597,Баланс!$G$26:$G$391,"население")</f>
        <v>949.9715</v>
      </c>
      <c r="AF597" s="792">
        <f>_xlfn.SUMIFS(Баланс!AF$26:AF$391,Баланс!$F$26:$F$391,$F597,Баланс!$G$26:$G$391,"население")</f>
        <v>805.0451</v>
      </c>
      <c r="AG597" s="792">
        <f>_xlfn.SUMIFS(Баланс!AG$26:AG$391,Баланс!$F$26:$F$391,$F597,Баланс!$G$26:$G$391,"население")</f>
        <v>805.0451</v>
      </c>
      <c r="AH597" s="793">
        <f>AG597-AF597</f>
        <v>0</v>
      </c>
      <c r="AI597" s="793">
        <f>_xlfn.SUMIFS(Баланс!AH$26:AH$391,Баланс!$F$26:$F$391,$F597,Баланс!$G$26:$G$391,"население")</f>
        <v>902.47293</v>
      </c>
      <c r="AJ597" s="793">
        <f>_xlfn.SUMIFS(Баланс!AI$26:AI$391,Баланс!$F$26:$F$391,$F597,Баланс!$G$26:$G$391,"население")</f>
        <v>902.47293</v>
      </c>
      <c r="AK597" s="793">
        <f>_xlfn.SUMIFS(Баланс!AJ$26:AJ$391,Баланс!$F$26:$F$391,$F597,Баланс!$G$26:$G$391,"население")</f>
        <v>0</v>
      </c>
      <c r="AL597" s="793">
        <f>_xlfn.SUMIFS(Баланс!AK$26:AK$391,Баланс!$F$26:$F$391,$F597,Баланс!$G$26:$G$391,"население")</f>
        <v>0</v>
      </c>
      <c r="AM597" s="793">
        <f>_xlfn.SUMIFS(Баланс!AL$26:AL$391,Баланс!$F$26:$F$391,$F597,Баланс!$G$26:$G$391,"население")</f>
        <v>0</v>
      </c>
      <c r="AN597" s="793">
        <f>_xlfn.SUMIFS(Баланс!AM$26:AM$391,Баланс!$F$26:$F$391,$F597,Баланс!$G$26:$G$391,"население")</f>
        <v>0</v>
      </c>
      <c r="AO597" s="793">
        <f>_xlfn.SUMIFS(Баланс!AN$26:AN$391,Баланс!$F$26:$F$391,$F597,Баланс!$G$26:$G$391,"население")</f>
        <v>0</v>
      </c>
      <c r="AP597" s="793">
        <f>_xlfn.SUMIFS(Баланс!AO$26:AO$391,Баланс!$F$26:$F$391,$F597,Баланс!$G$26:$G$391,"население")</f>
        <v>0</v>
      </c>
      <c r="AQ597" s="793">
        <f>_xlfn.SUMIFS(Баланс!AP$26:AP$391,Баланс!$F$26:$F$391,$F597,Баланс!$G$26:$G$391,"население")</f>
        <v>0</v>
      </c>
      <c r="AR597" s="793">
        <f>_xlfn.SUMIFS(Баланс!AQ$26:AQ$391,Баланс!$F$26:$F$391,$F597,Баланс!$G$26:$G$391,"население")</f>
        <v>0</v>
      </c>
      <c r="AS597" s="793">
        <f>_xlfn.SUMIFS(Баланс!AR$26:AR$391,Баланс!$F$26:$F$391,$F597,Баланс!$G$26:$G$391,"население")</f>
        <v>0</v>
      </c>
      <c r="AT597" s="793">
        <f>_xlfn.SUMIFS(Баланс!AS$26:AS$391,Баланс!$F$26:$F$391,$F597,Баланс!$G$26:$G$391,"население")</f>
        <v>857.34928</v>
      </c>
      <c r="AU597" s="793">
        <f>_xlfn.SUMIFS(Баланс!AT$26:AT$391,Баланс!$F$26:$F$391,$F597,Баланс!$G$26:$G$391,"население")</f>
        <v>0</v>
      </c>
      <c r="AV597" s="793">
        <f>_xlfn.SUMIFS(Баланс!AU$26:AU$391,Баланс!$F$26:$F$391,$F597,Баланс!$G$26:$G$391,"население")</f>
        <v>0</v>
      </c>
      <c r="AW597" s="793">
        <f>_xlfn.SUMIFS(Баланс!AV$26:AV$391,Баланс!$F$26:$F$391,$F597,Баланс!$G$26:$G$391,"население")</f>
        <v>0</v>
      </c>
      <c r="AX597" s="793">
        <f>_xlfn.SUMIFS(Баланс!AW$26:AW$391,Баланс!$F$26:$F$391,$F597,Баланс!$G$26:$G$391,"население")</f>
        <v>0</v>
      </c>
      <c r="AY597" s="793">
        <f>_xlfn.SUMIFS(Баланс!AX$26:AX$391,Баланс!$F$26:$F$391,$F597,Баланс!$G$26:$G$391,"население")</f>
        <v>0</v>
      </c>
      <c r="AZ597" s="793">
        <f>_xlfn.SUMIFS(Баланс!AY$26:AY$391,Баланс!$F$26:$F$391,$F597,Баланс!$G$26:$G$391,"население")</f>
        <v>0</v>
      </c>
      <c r="BA597" s="793">
        <f>_xlfn.SUMIFS(Баланс!AZ$26:AZ$391,Баланс!$F$26:$F$391,$F597,Баланс!$G$26:$G$391,"население")</f>
        <v>0</v>
      </c>
      <c r="BB597" s="793">
        <f>_xlfn.SUMIFS(Баланс!BA$26:BA$391,Баланс!$F$26:$F$391,$F597,Баланс!$G$26:$G$391,"население")</f>
        <v>0</v>
      </c>
      <c r="BC597" s="793">
        <f>_xlfn.SUMIFS(Баланс!BB$26:BB$391,Баланс!$F$26:$F$391,$F597,Баланс!$G$26:$G$391,"население")</f>
        <v>0</v>
      </c>
      <c r="BD597" s="771"/>
      <c r="BE597" s="771"/>
      <c r="BF597" s="771"/>
      <c r="BG597" s="771"/>
      <c r="BH597" s="771"/>
      <c r="BI597" s="771"/>
      <c r="BJ597" s="771"/>
      <c r="BK597" s="771"/>
      <c r="BL597" s="771"/>
      <c r="BM597" s="771"/>
      <c r="BN597" s="6533"/>
      <c r="BO597" s="6533"/>
      <c r="BP597" s="6533"/>
      <c r="BQ597" s="706"/>
      <c r="BR597" s="706"/>
      <c r="BS597" s="1071" t="s">
        <v>2144</v>
      </c>
      <c r="BT597" s="1078"/>
      <c r="BU597" s="1078"/>
      <c r="BV597" s="713"/>
      <c r="BW597" s="713"/>
    </row>
    <row s="1656" customFormat="1" customHeight="1" ht="14.625">
      <c r="A598" s="1297"/>
      <c r="B598" s="986"/>
      <c r="C598" s="1297"/>
      <c r="D598" s="103" cm="1" t="str">
        <f t="array" ref="D598:D598">D597</f>
        <v>13</v>
      </c>
      <c r="E598" s="709">
        <v>15</v>
      </c>
      <c r="F598" s="50" cm="1" t="str">
        <f t="array" ref="F598:F598">OFFSET(E598,-1,1)</f>
        <v>3</v>
      </c>
      <c r="G598" s="154" t="s">
        <v>1918</v>
      </c>
      <c r="H598" s="1297"/>
      <c r="I598" s="154" t="s">
        <v>2445</v>
      </c>
      <c r="J598" s="1297"/>
      <c r="K598" s="154" t="s">
        <v>2445</v>
      </c>
      <c r="L598" s="988" t="s">
        <v>2145</v>
      </c>
      <c r="M598" s="103"/>
      <c r="N598" s="1297"/>
      <c r="O598" s="1297"/>
      <c r="P598" s="1297"/>
      <c r="Q598" s="1297"/>
      <c r="R598" s="1297"/>
      <c r="S598" s="1297"/>
      <c r="T598" s="468" cm="1" t="str">
        <f t="array" ref="T598:T598">T597</f>
        <v>true</v>
      </c>
      <c r="U598" s="1297"/>
      <c r="V598" s="1297"/>
      <c r="W598" s="1297"/>
      <c r="X598" s="1539"/>
      <c r="Y598" s="1297"/>
      <c r="Z598" s="1529"/>
      <c r="AA598" s="1297"/>
      <c r="AB598" s="296" t="str">
        <f>D598&amp;".1"</f>
        <v>13.1</v>
      </c>
      <c r="AC598" s="1120" t="s">
        <v>2147</v>
      </c>
      <c r="AD598" s="296" t="s">
        <v>657</v>
      </c>
      <c r="AE598" s="6591">
        <v>474.98575</v>
      </c>
      <c r="AF598" s="6591">
        <f>IF(AF$24="2026 год",AF597/12*9,AF597/2)</f>
        <v>402.52255</v>
      </c>
      <c r="AG598" s="6591">
        <f>IF(AG$24="2026 год",AG597/12*9,AG597/2)</f>
        <v>402.52255</v>
      </c>
      <c r="AH598" s="949">
        <f>AG598-AF598</f>
        <v>0</v>
      </c>
      <c r="AI598" s="6356">
        <v>451.236465</v>
      </c>
      <c r="AJ598" s="6591">
        <f>IF(AJ$24="2026 год",AJ597/12*9,AJ597/2)</f>
        <v>676.8546975</v>
      </c>
      <c r="AK598" s="1279">
        <f>IF(AK$24="2026 год",AK597/12*9,AK597/2)</f>
        <v>0</v>
      </c>
      <c r="AL598" s="1280">
        <f>IF(AL$24="2026 год",AL597/12*9,AL597/2)</f>
        <v>0</v>
      </c>
      <c r="AM598" s="1280">
        <f>IF(AM$24="2026 год",AM597/12*9,AM597/2)</f>
        <v>0</v>
      </c>
      <c r="AN598" s="1280">
        <f>IF(AN$24="2026 год",AN597/12*9,AN597/2)</f>
        <v>0</v>
      </c>
      <c r="AO598" s="1280">
        <f>IF(AO$24="2026 год",AO597/12*9,AO597/2)</f>
        <v>0</v>
      </c>
      <c r="AP598" s="1280">
        <f>IF(AP$24="2026 год",AP597/12*9,AP597/2)</f>
        <v>0</v>
      </c>
      <c r="AQ598" s="1280">
        <f>IF(AQ$24="2026 год",AQ597/12*9,AQ597/2)</f>
        <v>0</v>
      </c>
      <c r="AR598" s="1280">
        <f>IF(AR$24="2026 год",AR597/12*9,AR597/2)</f>
        <v>0</v>
      </c>
      <c r="AS598" s="1280">
        <f>IF(AS$24="2026 год",AS597/12*9,AS597/2)</f>
        <v>0</v>
      </c>
      <c r="AT598" s="6356">
        <f>IF(AT$24="2026 год",AT597/12*9,AT597/2)</f>
        <v>643.01196</v>
      </c>
      <c r="AU598" s="1280">
        <f>IF(AU$24="2026 год",AU597/12*9,AU597/2)</f>
        <v>0</v>
      </c>
      <c r="AV598" s="1280">
        <f>IF(AV$24="2026 год",AV597/12*9,AV597/2)</f>
        <v>0</v>
      </c>
      <c r="AW598" s="1280">
        <f>IF(AW$24="2026 год",AW597/12*9,AW597/2)</f>
        <v>0</v>
      </c>
      <c r="AX598" s="1280">
        <f>IF(AX$24="2026 год",AX597/12*9,AX597/2)</f>
        <v>0</v>
      </c>
      <c r="AY598" s="1280">
        <f>IF(AY$24="2026 год",AY597/12*9,AY597/2)</f>
        <v>0</v>
      </c>
      <c r="AZ598" s="1280">
        <f>IF(AZ$24="2026 год",AZ597/12*9,AZ597/2)</f>
        <v>0</v>
      </c>
      <c r="BA598" s="1280">
        <f>IF(BA$24="2026 год",BA597/12*9,BA597/2)</f>
        <v>0</v>
      </c>
      <c r="BB598" s="1280">
        <f>IF(BB$24="2026 год",BB597/12*9,BB597/2)</f>
        <v>0</v>
      </c>
      <c r="BC598" s="1280">
        <f>IF(BC$24="2026 год",BC597/12*9,BC597/2)</f>
        <v>0</v>
      </c>
      <c r="BD598" s="950"/>
      <c r="BE598" s="950"/>
      <c r="BF598" s="950"/>
      <c r="BG598" s="950"/>
      <c r="BH598" s="950"/>
      <c r="BI598" s="950"/>
      <c r="BJ598" s="950"/>
      <c r="BK598" s="950"/>
      <c r="BL598" s="950"/>
      <c r="BM598" s="950"/>
      <c r="BN598" s="6533"/>
      <c r="BO598" s="6533"/>
      <c r="BP598" s="6533"/>
      <c r="BQ598" s="1297"/>
      <c r="BR598" s="1297"/>
      <c r="BS598" s="1070" t="s">
        <v>2148</v>
      </c>
      <c r="BT598" s="1072"/>
      <c r="BU598" s="1072"/>
      <c r="BV598" s="987"/>
      <c r="BW598" s="987"/>
    </row>
    <row s="1656" customFormat="1" customHeight="1" ht="14.625">
      <c r="A599" s="1297"/>
      <c r="B599" s="986"/>
      <c r="C599" s="1297"/>
      <c r="D599" s="103" cm="1" t="str">
        <f t="array" ref="D599:D599">D598</f>
        <v>13</v>
      </c>
      <c r="E599" s="709">
        <v>15</v>
      </c>
      <c r="F599" s="50" cm="1" t="str">
        <f t="array" ref="F599:F599">OFFSET(E599,-1,1)</f>
        <v>3</v>
      </c>
      <c r="G599" s="154" t="s">
        <v>1874</v>
      </c>
      <c r="H599" s="1297"/>
      <c r="I599" s="154" t="s">
        <v>2446</v>
      </c>
      <c r="J599" s="1297"/>
      <c r="K599" s="154" t="s">
        <v>2446</v>
      </c>
      <c r="L599" s="988" t="s">
        <v>2149</v>
      </c>
      <c r="M599" s="103"/>
      <c r="N599" s="1297"/>
      <c r="O599" s="1297"/>
      <c r="P599" s="1297"/>
      <c r="Q599" s="1297"/>
      <c r="R599" s="1297"/>
      <c r="S599" s="1297"/>
      <c r="T599" s="468" cm="1" t="str">
        <f t="array" ref="T599:T599">T598</f>
        <v>true</v>
      </c>
      <c r="U599" s="1297"/>
      <c r="V599" s="1297"/>
      <c r="W599" s="1297"/>
      <c r="X599" s="1539"/>
      <c r="Y599" s="1297"/>
      <c r="Z599" s="1529"/>
      <c r="AA599" s="1297"/>
      <c r="AB599" s="296" t="str">
        <f>D599&amp;".2"</f>
        <v>13.2</v>
      </c>
      <c r="AC599" s="1120" t="s">
        <v>2151</v>
      </c>
      <c r="AD599" s="296" t="s">
        <v>1862</v>
      </c>
      <c r="AE599" s="6360">
        <v>53.124</v>
      </c>
      <c r="AF599" s="6360">
        <f>IF(AF597=0,0,AF591*(1+Сценарии!AF$26/100))</f>
        <v>65.9036491074492</v>
      </c>
      <c r="AG599" s="6360">
        <f>IF(AG597=0,0,AG591*(1+Сценарии!AG$26/100))</f>
        <v>65.3472311810293</v>
      </c>
      <c r="AH599" s="951">
        <f>AG599-AF599</f>
        <v>-0.556417926419897</v>
      </c>
      <c r="AI599" s="6360">
        <v>58.224</v>
      </c>
      <c r="AJ599" s="6360">
        <f>IF(AJ597=0,0,AJ591*(1+Сценарии!AJ$26/100))</f>
        <v>160.156684943698</v>
      </c>
      <c r="AK599" s="1281">
        <f>IF(AK597=0,0,AK591*(1+Сценарии!AO$26/100))</f>
        <v>0</v>
      </c>
      <c r="AL599" s="1281">
        <f>IF(AL597=0,0,AL591*(1+Сценарии!AP$26/100))</f>
        <v>0</v>
      </c>
      <c r="AM599" s="1281">
        <f>IF(AM597=0,0,AM591*(1+Сценарии!AQ$26/100))</f>
        <v>0</v>
      </c>
      <c r="AN599" s="1281">
        <f>IF(AN597=0,0,AN591*(1+Сценарии!AR$26/100))</f>
        <v>0</v>
      </c>
      <c r="AO599" s="1281">
        <f>IF(AO597=0,0,AO591*(1+Сценарии!AS$26/100))</f>
        <v>0</v>
      </c>
      <c r="AP599" s="1281">
        <f>IF(AP597=0,0,AP591*(1+Сценарии!AT$26/100))</f>
        <v>0</v>
      </c>
      <c r="AQ599" s="1281">
        <f>IF(AQ597=0,0,AQ591*(1+Сценарии!AU$26/100))</f>
        <v>0</v>
      </c>
      <c r="AR599" s="1281">
        <f>IF(AR597=0,0,AR591*(1+Сценарии!AV$26/100))</f>
        <v>0</v>
      </c>
      <c r="AS599" s="1281">
        <f>IF(AS597=0,0,AS591*(1+Сценарии!AW$26/100))</f>
        <v>0</v>
      </c>
      <c r="AT599" s="6360">
        <f>IF(AT597=0,0,AT591*(1+Сценарии!AK$26/100))</f>
        <v>54.34</v>
      </c>
      <c r="AU599" s="1281">
        <f>IF(AU597=0,0,AU591*(1+Сценарии!AX$26/100))</f>
        <v>0</v>
      </c>
      <c r="AV599" s="1281">
        <f>IF(AV597=0,0,AV591*(1+Сценарии!AY$26/100))</f>
        <v>0</v>
      </c>
      <c r="AW599" s="1281">
        <f>IF(AW597=0,0,AW591*(1+Сценарии!AZ$26/100))</f>
        <v>0</v>
      </c>
      <c r="AX599" s="1281">
        <f>IF(AX597=0,0,AX591*(1+Сценарии!BA$26/100))</f>
        <v>0</v>
      </c>
      <c r="AY599" s="1281">
        <f>IF(AY597=0,0,AY591*(1+Сценарии!BB$26/100))</f>
        <v>0</v>
      </c>
      <c r="AZ599" s="1281">
        <f>IF(AZ597=0,0,AZ591*(1+Сценарии!BC$26/100))</f>
        <v>0</v>
      </c>
      <c r="BA599" s="1281">
        <f>IF(BA597=0,0,BA591*(1+Сценарии!BD$26/100))</f>
        <v>0</v>
      </c>
      <c r="BB599" s="1281">
        <f>IF(BB597=0,0,BB591*(1+Сценарии!BE$26/100))</f>
        <v>0</v>
      </c>
      <c r="BC599" s="1281">
        <f>IF(BC597=0,0,BC591*(1+Сценарии!BF$26/100))</f>
        <v>0</v>
      </c>
      <c r="BD599" s="950"/>
      <c r="BE599" s="950"/>
      <c r="BF599" s="950"/>
      <c r="BG599" s="950"/>
      <c r="BH599" s="950"/>
      <c r="BI599" s="950"/>
      <c r="BJ599" s="950"/>
      <c r="BK599" s="950"/>
      <c r="BL599" s="950"/>
      <c r="BM599" s="950"/>
      <c r="BN599" s="6533"/>
      <c r="BO599" s="6533"/>
      <c r="BP599" s="6533"/>
      <c r="BQ599" s="1297"/>
      <c r="BR599" s="1297"/>
      <c r="BS599" s="1070" t="s">
        <v>2152</v>
      </c>
      <c r="BT599" s="1072"/>
      <c r="BU599" s="1072"/>
      <c r="BV599" s="987"/>
      <c r="BW599" s="987"/>
    </row>
    <row s="1656" customFormat="1" customHeight="1" ht="14.25">
      <c r="A600" s="1297"/>
      <c r="B600" s="92"/>
      <c r="C600" s="103"/>
      <c r="D600" s="103" cm="1" t="str">
        <f t="array" ref="D600:D600">D599</f>
        <v>13</v>
      </c>
      <c r="E600" s="626">
        <v>15</v>
      </c>
      <c r="F600" s="50" cm="1" t="str">
        <f t="array" ref="F600:F600">OFFSET(E600,-1,1)</f>
        <v>3</v>
      </c>
      <c r="G600" s="103" t="s">
        <v>1925</v>
      </c>
      <c r="H600" s="103"/>
      <c r="I600" s="103" t="s">
        <v>2447</v>
      </c>
      <c r="J600" s="103"/>
      <c r="K600" s="103" t="s">
        <v>2447</v>
      </c>
      <c r="L600" s="988" t="s">
        <v>2153</v>
      </c>
      <c r="M600" s="103"/>
      <c r="N600" s="103"/>
      <c r="O600" s="103"/>
      <c r="P600" s="103"/>
      <c r="Q600" s="103"/>
      <c r="R600" s="103"/>
      <c r="S600" s="103"/>
      <c r="T600" s="468" cm="1" t="str">
        <f t="array" ref="T600:T600">T599</f>
        <v>true</v>
      </c>
      <c r="U600" s="103"/>
      <c r="V600" s="103"/>
      <c r="W600" s="103"/>
      <c r="X600" s="1539"/>
      <c r="Y600" s="1297"/>
      <c r="Z600" s="1529"/>
      <c r="AA600" s="1297"/>
      <c r="AB600" s="296" t="str">
        <f>D600&amp;".3"</f>
        <v>13.3</v>
      </c>
      <c r="AC600" s="1120" t="s">
        <v>2125</v>
      </c>
      <c r="AD600" s="296" t="s">
        <v>657</v>
      </c>
      <c r="AE600" s="954">
        <f>AE597-AE598</f>
        <v>474.98575</v>
      </c>
      <c r="AF600" s="954">
        <f>AF597-AF598</f>
        <v>402.52255</v>
      </c>
      <c r="AG600" s="954">
        <f>AG597-AG598</f>
        <v>402.52255</v>
      </c>
      <c r="AH600" s="949">
        <f>AG600-AF600</f>
        <v>0</v>
      </c>
      <c r="AI600" s="832">
        <f>AI597-AI598</f>
        <v>451.236465</v>
      </c>
      <c r="AJ600" s="832">
        <f>AJ597-AJ598</f>
        <v>225.6182325</v>
      </c>
      <c r="AK600" s="832">
        <f>AK597-AK598</f>
        <v>0</v>
      </c>
      <c r="AL600" s="832">
        <f>AL597-AL598</f>
        <v>0</v>
      </c>
      <c r="AM600" s="832">
        <f>AM597-AM598</f>
        <v>0</v>
      </c>
      <c r="AN600" s="832">
        <f>AN597-AN598</f>
        <v>0</v>
      </c>
      <c r="AO600" s="832">
        <f>AO597-AO598</f>
        <v>0</v>
      </c>
      <c r="AP600" s="832">
        <f>AP597-AP598</f>
        <v>0</v>
      </c>
      <c r="AQ600" s="832">
        <f>AQ597-AQ598</f>
        <v>0</v>
      </c>
      <c r="AR600" s="832">
        <f>AR597-AR598</f>
        <v>0</v>
      </c>
      <c r="AS600" s="832">
        <f>AS597-AS598</f>
        <v>0</v>
      </c>
      <c r="AT600" s="832">
        <f>AT597-AT598</f>
        <v>214.33732</v>
      </c>
      <c r="AU600" s="832">
        <f>AU597-AU598</f>
        <v>0</v>
      </c>
      <c r="AV600" s="832">
        <f>AV597-AV598</f>
        <v>0</v>
      </c>
      <c r="AW600" s="832">
        <f>AW597-AW598</f>
        <v>0</v>
      </c>
      <c r="AX600" s="832">
        <f>AX597-AX598</f>
        <v>0</v>
      </c>
      <c r="AY600" s="832">
        <f>AY597-AY598</f>
        <v>0</v>
      </c>
      <c r="AZ600" s="832">
        <f>AZ597-AZ598</f>
        <v>0</v>
      </c>
      <c r="BA600" s="832">
        <f>BA597-BA598</f>
        <v>0</v>
      </c>
      <c r="BB600" s="832">
        <f>BB597-BB598</f>
        <v>0</v>
      </c>
      <c r="BC600" s="832">
        <f>BC597-BC598</f>
        <v>0</v>
      </c>
      <c r="BD600" s="950"/>
      <c r="BE600" s="950"/>
      <c r="BF600" s="950"/>
      <c r="BG600" s="950"/>
      <c r="BH600" s="950"/>
      <c r="BI600" s="950"/>
      <c r="BJ600" s="950"/>
      <c r="BK600" s="950"/>
      <c r="BL600" s="950"/>
      <c r="BM600" s="950"/>
      <c r="BN600" s="6533"/>
      <c r="BO600" s="6533"/>
      <c r="BP600" s="6533"/>
      <c r="BQ600" s="1297"/>
      <c r="BR600" s="1297"/>
      <c r="BS600" s="1070" t="s">
        <v>2155</v>
      </c>
      <c r="BT600" s="1072"/>
      <c r="BU600" s="1072"/>
      <c r="BV600" s="987"/>
      <c r="BW600" s="987"/>
    </row>
    <row s="1656" customFormat="1" customHeight="1" ht="14.625">
      <c r="A601" s="1297"/>
      <c r="B601" s="92"/>
      <c r="C601" s="103"/>
      <c r="D601" s="103" cm="1" t="str">
        <f t="array" ref="D601:D601">D600</f>
        <v>13</v>
      </c>
      <c r="E601" s="626">
        <v>15</v>
      </c>
      <c r="F601" s="50" cm="1" t="str">
        <f t="array" ref="F601:F601">OFFSET(E601,-1,1)</f>
        <v>3</v>
      </c>
      <c r="G601" s="103" t="s">
        <v>1878</v>
      </c>
      <c r="H601" s="103"/>
      <c r="I601" s="103" t="s">
        <v>2448</v>
      </c>
      <c r="J601" s="103"/>
      <c r="K601" s="103" t="s">
        <v>2448</v>
      </c>
      <c r="L601" s="988" t="s">
        <v>2156</v>
      </c>
      <c r="M601" s="103"/>
      <c r="N601" s="103"/>
      <c r="O601" s="103"/>
      <c r="P601" s="103"/>
      <c r="Q601" s="103"/>
      <c r="R601" s="103"/>
      <c r="S601" s="103"/>
      <c r="T601" s="468" cm="1" t="str">
        <f t="array" ref="T601:T601">T600</f>
        <v>true</v>
      </c>
      <c r="U601" s="103"/>
      <c r="V601" s="103"/>
      <c r="W601" s="103"/>
      <c r="X601" s="1539"/>
      <c r="Y601" s="1297"/>
      <c r="Z601" s="1529"/>
      <c r="AA601" s="1297"/>
      <c r="AB601" s="296" t="str">
        <f>D601&amp;".4"</f>
        <v>13.4</v>
      </c>
      <c r="AC601" s="1120" t="s">
        <v>2129</v>
      </c>
      <c r="AD601" s="296" t="s">
        <v>1862</v>
      </c>
      <c r="AE601" s="6360">
        <v>58.2239898562</v>
      </c>
      <c r="AF601" s="6360">
        <f>IF(AF597=0,0,AF593*(1+Сценарии!AF$26/100))</f>
        <v>65.9036491074492</v>
      </c>
      <c r="AG601" s="6360">
        <f>IF(AG597=0,0,AG593*(1+Сценарии!AG$26/100))</f>
        <v>65.3472311810293</v>
      </c>
      <c r="AH601" s="951">
        <f>AG601-AF601</f>
        <v>-0.556417926419897</v>
      </c>
      <c r="AI601" s="6360">
        <v>65.2079926065</v>
      </c>
      <c r="AJ601" s="6360">
        <f>IF(AJ597=0,0,AJ593*(1+Сценарии!AJ$26/100))</f>
        <v>160.156684943698</v>
      </c>
      <c r="AK601" s="1281">
        <f>IF(AK597=0,0,AK593*(1+Сценарии!AO$26/100))</f>
        <v>0</v>
      </c>
      <c r="AL601" s="1281">
        <f>IF(AL597=0,0,AL593*(1+Сценарии!AP$26/100))</f>
        <v>0</v>
      </c>
      <c r="AM601" s="1281">
        <f>IF(AM597=0,0,AM593*(1+Сценарии!AQ$26/100))</f>
        <v>0</v>
      </c>
      <c r="AN601" s="1281">
        <f>IF(AN597=0,0,AN593*(1+Сценарии!AR$26/100))</f>
        <v>0</v>
      </c>
      <c r="AO601" s="1281">
        <f>IF(AO597=0,0,AO593*(1+Сценарии!AS$26/100))</f>
        <v>0</v>
      </c>
      <c r="AP601" s="1281">
        <f>IF(AP597=0,0,AP593*(1+Сценарии!AT$26/100))</f>
        <v>0</v>
      </c>
      <c r="AQ601" s="1281">
        <f>IF(AQ597=0,0,AQ593*(1+Сценарии!AU$26/100))</f>
        <v>0</v>
      </c>
      <c r="AR601" s="1281">
        <f>IF(AR597=0,0,AR593*(1+Сценарии!AV$26/100))</f>
        <v>0</v>
      </c>
      <c r="AS601" s="1281">
        <f>IF(AS597=0,0,AS593*(1+Сценарии!AW$26/100))</f>
        <v>0</v>
      </c>
      <c r="AT601" s="6360">
        <f>IF(AT597=0,0,AT593*(1+Сценарии!AK$26/100))</f>
        <v>60.860062497579</v>
      </c>
      <c r="AU601" s="1281">
        <f>IF(AU597=0,0,AU593*(1+Сценарии!AX$26/100))</f>
        <v>0</v>
      </c>
      <c r="AV601" s="1281">
        <f>IF(AV597=0,0,AV593*(1+Сценарии!AY$26/100))</f>
        <v>0</v>
      </c>
      <c r="AW601" s="1281">
        <f>IF(AW597=0,0,AW593*(1+Сценарии!AZ$26/100))</f>
        <v>0</v>
      </c>
      <c r="AX601" s="1281">
        <f>IF(AX597=0,0,AX593*(1+Сценарии!BA$26/100))</f>
        <v>0</v>
      </c>
      <c r="AY601" s="1281">
        <f>IF(AY597=0,0,AY593*(1+Сценарии!BB$26/100))</f>
        <v>0</v>
      </c>
      <c r="AZ601" s="1281">
        <f>IF(AZ597=0,0,AZ593*(1+Сценарии!BC$26/100))</f>
        <v>0</v>
      </c>
      <c r="BA601" s="1281">
        <f>IF(BA597=0,0,BA593*(1+Сценарии!BD$26/100))</f>
        <v>0</v>
      </c>
      <c r="BB601" s="1281">
        <f>IF(BB597=0,0,BB593*(1+Сценарии!BE$26/100))</f>
        <v>0</v>
      </c>
      <c r="BC601" s="1281">
        <f>IF(BC597=0,0,BC593*(1+Сценарии!BF$26/100))</f>
        <v>0</v>
      </c>
      <c r="BD601" s="950"/>
      <c r="BE601" s="950"/>
      <c r="BF601" s="950"/>
      <c r="BG601" s="950"/>
      <c r="BH601" s="950"/>
      <c r="BI601" s="950"/>
      <c r="BJ601" s="950"/>
      <c r="BK601" s="950"/>
      <c r="BL601" s="950"/>
      <c r="BM601" s="950"/>
      <c r="BN601" s="6533"/>
      <c r="BO601" s="6533"/>
      <c r="BP601" s="6533"/>
      <c r="BQ601" s="1297"/>
      <c r="BR601" s="1297"/>
      <c r="BS601" s="1070" t="s">
        <v>2159</v>
      </c>
      <c r="BT601" s="1072"/>
      <c r="BU601" s="1072"/>
      <c r="BV601" s="987"/>
      <c r="BW601" s="987"/>
    </row>
    <row s="1656" customFormat="1" customHeight="1" ht="14.25">
      <c r="A602" s="1297"/>
      <c r="B602" s="92"/>
      <c r="C602" s="103"/>
      <c r="D602" s="103">
        <f>D601+1</f>
        <v>14</v>
      </c>
      <c r="E602" s="626">
        <v>15</v>
      </c>
      <c r="F602" s="50" cm="1" t="str">
        <f t="array" ref="F602:F602">OFFSET(E602,-1,1)</f>
        <v>3</v>
      </c>
      <c r="G602" s="103"/>
      <c r="H602" s="103"/>
      <c r="I602" s="103"/>
      <c r="J602" s="103"/>
      <c r="K602" s="103"/>
      <c r="L602" s="988"/>
      <c r="M602" s="103"/>
      <c r="N602" s="103"/>
      <c r="O602" s="103"/>
      <c r="P602" s="103"/>
      <c r="Q602" s="103"/>
      <c r="R602" s="103"/>
      <c r="S602" s="103"/>
      <c r="T602" s="468" cm="1" t="str">
        <f t="array" ref="T602:T602">T601</f>
        <v>true</v>
      </c>
      <c r="U602" s="103"/>
      <c r="V602" s="103"/>
      <c r="W602" s="103"/>
      <c r="X602" s="1539"/>
      <c r="Y602" s="1297"/>
      <c r="Z602" s="1529"/>
      <c r="AA602" s="1297"/>
      <c r="AB602" s="207" cm="1" t="str">
        <f t="array" ref="AB602:AB602">D602</f>
        <v>14</v>
      </c>
      <c r="AC602" s="208" t="s">
        <v>2160</v>
      </c>
      <c r="AD602" s="207" t="s">
        <v>936</v>
      </c>
      <c r="AE602" s="6531"/>
      <c r="AF602" s="6531"/>
      <c r="AG602" s="6531"/>
      <c r="AH602" s="951"/>
      <c r="AI602" s="6360"/>
      <c r="AJ602" s="6360"/>
      <c r="AK602" s="1281"/>
      <c r="AL602" s="1281"/>
      <c r="AM602" s="1281"/>
      <c r="AN602" s="1281"/>
      <c r="AO602" s="1281"/>
      <c r="AP602" s="1281"/>
      <c r="AQ602" s="1281"/>
      <c r="AR602" s="1281"/>
      <c r="AS602" s="1281"/>
      <c r="AT602" s="6360"/>
      <c r="AU602" s="1281"/>
      <c r="AV602" s="1281"/>
      <c r="AW602" s="1281"/>
      <c r="AX602" s="1281"/>
      <c r="AY602" s="1281"/>
      <c r="AZ602" s="1281"/>
      <c r="BA602" s="1281"/>
      <c r="BB602" s="1281"/>
      <c r="BC602" s="1281"/>
      <c r="BD602" s="950"/>
      <c r="BE602" s="950"/>
      <c r="BF602" s="950"/>
      <c r="BG602" s="950"/>
      <c r="BH602" s="950"/>
      <c r="BI602" s="950"/>
      <c r="BJ602" s="950"/>
      <c r="BK602" s="950"/>
      <c r="BL602" s="950"/>
      <c r="BM602" s="950"/>
      <c r="BN602" s="6533"/>
      <c r="BO602" s="6533"/>
      <c r="BP602" s="6533"/>
      <c r="BQ602" s="1297"/>
      <c r="BR602" s="1297"/>
      <c r="BS602" s="1070" t="s">
        <v>2161</v>
      </c>
      <c r="BT602" s="1072"/>
      <c r="BU602" s="1072"/>
      <c r="BV602" s="987"/>
      <c r="BW602" s="987"/>
    </row>
    <row s="1656" customFormat="1" customHeight="1" ht="20.25">
      <c r="A603" s="1297"/>
      <c r="B603" s="92"/>
      <c r="C603" s="103"/>
      <c r="D603" s="103" cm="1" t="str">
        <f t="array" ref="D603:D603">D602</f>
        <v>14</v>
      </c>
      <c r="E603" s="626">
        <v>21</v>
      </c>
      <c r="F603" s="50" cm="1" t="str">
        <f t="array" ref="F603:F603">OFFSET(E603,-1,1)</f>
        <v>3</v>
      </c>
      <c r="G603" s="103"/>
      <c r="H603" s="103"/>
      <c r="I603" s="103"/>
      <c r="J603" s="103"/>
      <c r="K603" s="103"/>
      <c r="L603" s="988"/>
      <c r="M603" s="103"/>
      <c r="N603" s="103"/>
      <c r="O603" s="103"/>
      <c r="P603" s="103"/>
      <c r="Q603" s="103"/>
      <c r="R603" s="103"/>
      <c r="S603" s="103"/>
      <c r="T603" s="468" cm="1" t="str">
        <f t="array" ref="T603:T603">T602</f>
        <v>true</v>
      </c>
      <c r="U603" s="103"/>
      <c r="V603" s="103"/>
      <c r="W603" s="103"/>
      <c r="X603" s="1539"/>
      <c r="Y603" s="1297"/>
      <c r="Z603" s="1529"/>
      <c r="AA603" s="1297"/>
      <c r="AB603" s="296" t="str">
        <f>D603&amp;".1"</f>
        <v>14.1</v>
      </c>
      <c r="AC603" s="769" t="s">
        <v>2163</v>
      </c>
      <c r="AD603" s="296" t="s">
        <v>936</v>
      </c>
      <c r="AE603" s="6531"/>
      <c r="AF603" s="6531"/>
      <c r="AG603" s="6531"/>
      <c r="AH603" s="951">
        <f>AG603-AF603</f>
        <v>0</v>
      </c>
      <c r="AI603" s="6360"/>
      <c r="AJ603" s="6360"/>
      <c r="AK603" s="1281"/>
      <c r="AL603" s="1281"/>
      <c r="AM603" s="1281"/>
      <c r="AN603" s="1281"/>
      <c r="AO603" s="1281"/>
      <c r="AP603" s="1281"/>
      <c r="AQ603" s="1281"/>
      <c r="AR603" s="1281"/>
      <c r="AS603" s="1281"/>
      <c r="AT603" s="6360"/>
      <c r="AU603" s="1281"/>
      <c r="AV603" s="1281"/>
      <c r="AW603" s="1281"/>
      <c r="AX603" s="1281"/>
      <c r="AY603" s="1281"/>
      <c r="AZ603" s="1281"/>
      <c r="BA603" s="1281"/>
      <c r="BB603" s="1281"/>
      <c r="BC603" s="1281"/>
      <c r="BD603" s="950"/>
      <c r="BE603" s="950"/>
      <c r="BF603" s="950"/>
      <c r="BG603" s="950"/>
      <c r="BH603" s="950"/>
      <c r="BI603" s="950"/>
      <c r="BJ603" s="950"/>
      <c r="BK603" s="950"/>
      <c r="BL603" s="950"/>
      <c r="BM603" s="950"/>
      <c r="BN603" s="6533"/>
      <c r="BO603" s="6533"/>
      <c r="BP603" s="6533"/>
      <c r="BQ603" s="1297"/>
      <c r="BR603" s="1297"/>
      <c r="BS603" s="1070" t="s">
        <v>2164</v>
      </c>
      <c r="BT603" s="1079"/>
      <c r="BU603" s="1079"/>
      <c r="BV603" s="1080"/>
      <c r="BW603" s="1080"/>
    </row>
    <row s="1656" customFormat="1" customHeight="1" ht="64.5">
      <c r="A604" s="1297"/>
      <c r="B604" s="92"/>
      <c r="C604" s="103"/>
      <c r="D604" s="103" cm="1" t="str">
        <f t="array" ref="D604:D604">D603</f>
        <v>14</v>
      </c>
      <c r="E604" s="626">
        <v>66.6</v>
      </c>
      <c r="F604" s="50" cm="1" t="str">
        <f t="array" ref="F604:F604">OFFSET(E604,-1,1)</f>
        <v>3</v>
      </c>
      <c r="G604" s="103"/>
      <c r="H604" s="103"/>
      <c r="I604" s="103"/>
      <c r="J604" s="103"/>
      <c r="K604" s="103"/>
      <c r="L604" s="988"/>
      <c r="M604" s="103"/>
      <c r="N604" s="103"/>
      <c r="O604" s="103"/>
      <c r="P604" s="103"/>
      <c r="Q604" s="103"/>
      <c r="R604" s="103"/>
      <c r="S604" s="103"/>
      <c r="T604" s="468" cm="1" t="str">
        <f t="array" ref="T604:T604">T603</f>
        <v>true</v>
      </c>
      <c r="U604" s="103"/>
      <c r="V604" s="103"/>
      <c r="W604" s="103"/>
      <c r="X604" s="1539"/>
      <c r="Y604" s="1297"/>
      <c r="Z604" s="1529"/>
      <c r="AA604" s="1297"/>
      <c r="AB604" s="296" t="str">
        <f>D604&amp;".2"</f>
        <v>14.2</v>
      </c>
      <c r="AC604" s="769" t="s">
        <v>2166</v>
      </c>
      <c r="AD604" s="296" t="s">
        <v>936</v>
      </c>
      <c r="AE604" s="6531"/>
      <c r="AF604" s="6531"/>
      <c r="AG604" s="6531"/>
      <c r="AH604" s="951">
        <f>AG604-AF604</f>
        <v>0</v>
      </c>
      <c r="AI604" s="6360"/>
      <c r="AJ604" s="6360"/>
      <c r="AK604" s="1281"/>
      <c r="AL604" s="1281"/>
      <c r="AM604" s="1281"/>
      <c r="AN604" s="1281"/>
      <c r="AO604" s="1281"/>
      <c r="AP604" s="1281"/>
      <c r="AQ604" s="1281"/>
      <c r="AR604" s="1281"/>
      <c r="AS604" s="1281"/>
      <c r="AT604" s="6360"/>
      <c r="AU604" s="1281"/>
      <c r="AV604" s="1281"/>
      <c r="AW604" s="1281"/>
      <c r="AX604" s="1281"/>
      <c r="AY604" s="1281"/>
      <c r="AZ604" s="1281"/>
      <c r="BA604" s="1281"/>
      <c r="BB604" s="1281"/>
      <c r="BC604" s="1281"/>
      <c r="BD604" s="950"/>
      <c r="BE604" s="950"/>
      <c r="BF604" s="950"/>
      <c r="BG604" s="950"/>
      <c r="BH604" s="950"/>
      <c r="BI604" s="950"/>
      <c r="BJ604" s="950"/>
      <c r="BK604" s="950"/>
      <c r="BL604" s="950"/>
      <c r="BM604" s="950"/>
      <c r="BN604" s="6533"/>
      <c r="BO604" s="6533"/>
      <c r="BP604" s="6533"/>
      <c r="BQ604" s="1297"/>
      <c r="BR604" s="1297"/>
      <c r="BS604" s="1070" t="s">
        <v>2167</v>
      </c>
      <c r="BT604" s="1079"/>
      <c r="BU604" s="1079"/>
      <c r="BV604" s="1080"/>
      <c r="BW604" s="1080"/>
    </row>
    <row s="1656" customFormat="1" customHeight="1" ht="44.25">
      <c r="A605" s="501"/>
      <c r="B605" s="760"/>
      <c r="C605" s="103"/>
      <c r="D605" s="103" cm="1" t="str">
        <f t="array" ref="D605:D605">D604</f>
        <v>14</v>
      </c>
      <c r="E605" s="626">
        <v>45.6</v>
      </c>
      <c r="F605" s="50" cm="1" t="str">
        <f t="array" ref="F605:F605">OFFSET(E605,-1,1)</f>
        <v>3</v>
      </c>
      <c r="G605" s="103"/>
      <c r="H605" s="103"/>
      <c r="I605" s="103"/>
      <c r="J605" s="103"/>
      <c r="K605" s="103"/>
      <c r="L605" s="988"/>
      <c r="M605" s="103"/>
      <c r="N605" s="103"/>
      <c r="O605" s="103"/>
      <c r="P605" s="103"/>
      <c r="Q605" s="103"/>
      <c r="R605" s="103"/>
      <c r="S605" s="103"/>
      <c r="T605" s="468" cm="1" t="str">
        <f t="array" ref="T605:T605">T604</f>
        <v>true</v>
      </c>
      <c r="U605" s="103"/>
      <c r="V605" s="103"/>
      <c r="W605" s="103"/>
      <c r="X605" s="1539"/>
      <c r="Y605" s="501"/>
      <c r="Z605" s="1529"/>
      <c r="AA605" s="501"/>
      <c r="AB605" s="296" t="str">
        <f>D605&amp;".3"</f>
        <v>14.3</v>
      </c>
      <c r="AC605" s="769" t="s">
        <v>2449</v>
      </c>
      <c r="AD605" s="296" t="s">
        <v>936</v>
      </c>
      <c r="AE605" s="953"/>
      <c r="AF605" s="6531"/>
      <c r="AG605" s="6531"/>
      <c r="AH605" s="255">
        <f>AG605-AF605</f>
        <v>0</v>
      </c>
      <c r="AI605" s="953"/>
      <c r="AJ605" s="953"/>
      <c r="AK605" s="953"/>
      <c r="AL605" s="953"/>
      <c r="AM605" s="953"/>
      <c r="AN605" s="953"/>
      <c r="AO605" s="953"/>
      <c r="AP605" s="953"/>
      <c r="AQ605" s="953"/>
      <c r="AR605" s="953"/>
      <c r="AS605" s="953"/>
      <c r="AT605" s="953"/>
      <c r="AU605" s="953"/>
      <c r="AV605" s="953"/>
      <c r="AW605" s="953"/>
      <c r="AX605" s="953"/>
      <c r="AY605" s="953"/>
      <c r="AZ605" s="953"/>
      <c r="BA605" s="953"/>
      <c r="BB605" s="953"/>
      <c r="BC605" s="953"/>
      <c r="BD605" s="953"/>
      <c r="BE605" s="953"/>
      <c r="BF605" s="953"/>
      <c r="BG605" s="953"/>
      <c r="BH605" s="953"/>
      <c r="BI605" s="953"/>
      <c r="BJ605" s="953"/>
      <c r="BK605" s="953"/>
      <c r="BL605" s="953"/>
      <c r="BM605" s="953"/>
      <c r="BN605" s="6533"/>
      <c r="BO605" s="6533"/>
      <c r="BP605" s="6533"/>
      <c r="BQ605" s="1297"/>
      <c r="BR605" s="1297"/>
      <c r="BS605" s="1079" t="s">
        <v>2450</v>
      </c>
      <c r="BT605" s="1079"/>
      <c r="BU605" s="1079"/>
      <c r="BV605" s="1080"/>
      <c r="BW605" s="1080"/>
    </row>
    <row s="1656" customFormat="1" customHeight="1" ht="10.96875">
      <c r="B606" s="834"/>
      <c r="C606" s="0"/>
      <c r="D606" s="0"/>
      <c r="E606" s="677">
        <v>11.25</v>
      </c>
      <c r="F606" s="81"/>
      <c r="G606" s="0"/>
      <c r="H606" s="0"/>
      <c r="I606" s="0"/>
      <c r="J606" s="0"/>
      <c r="K606" s="0"/>
      <c r="L606" s="0"/>
      <c r="M606" s="0"/>
      <c r="N606" s="0"/>
      <c r="O606" s="0"/>
      <c r="P606" s="0"/>
      <c r="Q606" s="0"/>
      <c r="R606" s="0"/>
      <c r="S606" s="0"/>
      <c r="T606" s="0"/>
      <c r="U606" s="0" t="s">
        <v>177</v>
      </c>
      <c r="V606" s="835" t="s">
        <v>2630</v>
      </c>
      <c r="W606" s="0"/>
      <c r="AB606" s="0"/>
      <c r="AC606" s="485"/>
      <c r="AD606" s="485"/>
      <c r="AE606" s="485"/>
      <c r="AF606" s="485"/>
      <c r="AG606" s="0"/>
      <c r="AH606" s="0"/>
      <c r="AI606" s="0"/>
      <c r="AJ606" s="47"/>
      <c r="AK606" s="47"/>
      <c r="AL606" s="47"/>
      <c r="AM606" s="47"/>
      <c r="AN606" s="47"/>
      <c r="AO606" s="47"/>
      <c r="AP606" s="47"/>
      <c r="AQ606" s="47"/>
      <c r="AR606" s="47"/>
      <c r="AS606" s="47"/>
      <c r="AT606" s="47"/>
      <c r="AU606" s="47"/>
      <c r="AV606" s="47"/>
      <c r="AW606" s="47"/>
      <c r="AX606" s="47"/>
      <c r="AY606" s="47"/>
      <c r="AZ606" s="47"/>
      <c r="BA606" s="47"/>
      <c r="BB606" s="47"/>
      <c r="BC606" s="47"/>
      <c r="BD606" s="47"/>
      <c r="BE606" s="47"/>
      <c r="BF606" s="47"/>
      <c r="BG606" s="47"/>
      <c r="BH606" s="47"/>
      <c r="BI606" s="47"/>
      <c r="BJ606" s="47"/>
      <c r="BK606" s="47"/>
      <c r="BL606" s="47"/>
      <c r="BM606" s="47"/>
      <c r="BN606" s="0"/>
      <c r="BO606" s="0"/>
      <c r="BP606" s="0"/>
      <c r="BS606" s="1012"/>
      <c r="BT606" s="1012"/>
      <c r="BU606" s="1012"/>
      <c r="BV606" s="629"/>
      <c r="BW606" s="629"/>
    </row>
    <row customHeight="1" ht="14.625">
      <c r="B607" s="92"/>
      <c r="C607" s="103"/>
      <c r="D607" s="103"/>
      <c r="E607" s="626">
        <v>15</v>
      </c>
      <c r="F607" s="103"/>
      <c r="G607" s="103"/>
      <c r="H607" s="103"/>
      <c r="I607" s="103"/>
      <c r="J607" s="103"/>
      <c r="K607" s="103"/>
      <c r="L607" s="988"/>
      <c r="M607" s="103"/>
      <c r="N607" s="103"/>
      <c r="O607" s="103"/>
      <c r="P607" s="103"/>
      <c r="Q607" s="103"/>
      <c r="R607" s="103"/>
      <c r="S607" s="103"/>
      <c r="T607" s="103"/>
      <c r="U607" s="103"/>
      <c r="V607" s="103"/>
      <c r="W607" s="103"/>
      <c r="AB607" s="1553" t="s">
        <v>420</v>
      </c>
      <c r="AC607" s="1553"/>
      <c r="AD607" s="1553"/>
      <c r="AE607" s="1553"/>
      <c r="AF607" s="1553"/>
      <c r="AG607" s="1553"/>
      <c r="AH607" s="1553"/>
      <c r="AI607" s="1553"/>
      <c r="AJ607" s="1553"/>
      <c r="AK607" s="1553"/>
      <c r="AL607" s="1553"/>
      <c r="AM607" s="1553"/>
      <c r="AN607" s="1553"/>
      <c r="AO607" s="1553"/>
      <c r="AP607" s="1553"/>
      <c r="AQ607" s="1553"/>
      <c r="AR607" s="1553"/>
      <c r="AS607" s="1553"/>
      <c r="AT607" s="1553"/>
      <c r="AU607" s="1553"/>
      <c r="AV607" s="1553"/>
      <c r="AW607" s="1553"/>
      <c r="AX607" s="1553"/>
      <c r="AY607" s="1553"/>
      <c r="AZ607" s="1553"/>
      <c r="BA607" s="1553"/>
      <c r="BB607" s="1553"/>
      <c r="BC607" s="1553"/>
      <c r="BD607" s="1553"/>
      <c r="BE607" s="1553"/>
      <c r="BF607" s="1553"/>
      <c r="BG607" s="1553"/>
      <c r="BH607" s="1553"/>
      <c r="BI607" s="1553"/>
      <c r="BJ607" s="1553"/>
      <c r="BK607" s="1553"/>
      <c r="BL607" s="1553"/>
      <c r="BM607" s="1553"/>
      <c r="BN607" s="1553"/>
      <c r="BO607" s="1553"/>
      <c r="BP607" s="1553"/>
    </row>
    <row customHeight="1" ht="45.46875">
      <c r="B608" s="92"/>
      <c r="C608" s="103"/>
      <c r="D608" s="103"/>
      <c r="E608" s="626">
        <v>15</v>
      </c>
      <c r="F608" s="103"/>
      <c r="G608" s="103"/>
      <c r="H608" s="103"/>
      <c r="I608" s="103"/>
      <c r="J608" s="103"/>
      <c r="K608" s="103"/>
      <c r="N608" s="103"/>
      <c r="O608" s="103"/>
      <c r="P608" s="103"/>
      <c r="Q608" s="103"/>
      <c r="R608" s="103"/>
      <c r="S608" s="103"/>
      <c r="T608" s="103"/>
      <c r="U608" s="103"/>
      <c r="V608" s="103"/>
      <c r="W608" s="103"/>
      <c r="AA608" s="169"/>
      <c r="AB608" s="1602" t="s">
        <v>2631</v>
      </c>
      <c r="AC608" s="1605"/>
      <c r="AD608" s="1605"/>
      <c r="AE608" s="1605"/>
      <c r="AF608" s="1605"/>
      <c r="AG608" s="1605"/>
      <c r="AH608" s="1605"/>
      <c r="AI608" s="1605"/>
      <c r="AJ608" s="1605"/>
      <c r="AK608" s="1605"/>
      <c r="AL608" s="1605"/>
      <c r="AM608" s="1605"/>
      <c r="AN608" s="1605"/>
      <c r="AO608" s="1605"/>
      <c r="AP608" s="1605"/>
      <c r="AQ608" s="1605"/>
      <c r="AR608" s="1605"/>
      <c r="AS608" s="1605"/>
      <c r="AT608" s="1605"/>
      <c r="AU608" s="1605"/>
      <c r="AV608" s="1605"/>
      <c r="AW608" s="1605"/>
      <c r="AX608" s="1605"/>
      <c r="AY608" s="1605"/>
      <c r="AZ608" s="1605"/>
      <c r="BA608" s="1605"/>
      <c r="BB608" s="1605"/>
      <c r="BC608" s="1605"/>
      <c r="BD608" s="1605"/>
      <c r="BE608" s="1605"/>
      <c r="BF608" s="1605"/>
      <c r="BG608" s="1605"/>
      <c r="BH608" s="1605"/>
      <c r="BI608" s="1605"/>
      <c r="BJ608" s="1605"/>
      <c r="BK608" s="1605"/>
      <c r="BL608" s="1605"/>
      <c r="BM608" s="1605"/>
      <c r="BN608" s="1605"/>
      <c r="BO608" s="1605"/>
      <c r="BP608" s="1605"/>
    </row>
    <row customHeight="1" ht="14.625" hidden="1">
      <c r="E609" s="626">
        <v>15</v>
      </c>
      <c r="T609" s="468">
        <f>ROW(W609)&gt;ROW(W$609)</f>
        <v>0</v>
      </c>
      <c r="W609" s="103" t="s">
        <v>173</v>
      </c>
      <c r="AA609" s="51" t="s">
        <v>174</v>
      </c>
      <c r="AB609" s="1619" t="s">
        <v>240</v>
      </c>
      <c r="AC609" s="1605"/>
      <c r="AD609" s="1605"/>
      <c r="AE609" s="1605"/>
      <c r="AF609" s="1605"/>
      <c r="AG609" s="1605"/>
      <c r="AH609" s="1605"/>
      <c r="AI609" s="1605"/>
      <c r="AJ609" s="1605"/>
      <c r="AK609" s="1605"/>
      <c r="AL609" s="1605"/>
      <c r="AM609" s="1605"/>
      <c r="AN609" s="1605"/>
      <c r="AO609" s="1605"/>
      <c r="AP609" s="1605"/>
      <c r="AQ609" s="1605"/>
      <c r="AR609" s="1605"/>
      <c r="AS609" s="1605"/>
      <c r="AT609" s="1605"/>
      <c r="AU609" s="1605"/>
      <c r="AV609" s="1605"/>
      <c r="AW609" s="1605"/>
      <c r="AX609" s="1605"/>
      <c r="AY609" s="1605"/>
      <c r="AZ609" s="1605"/>
      <c r="BA609" s="1605"/>
      <c r="BB609" s="1605"/>
      <c r="BC609" s="1605"/>
      <c r="BD609" s="1605"/>
      <c r="BE609" s="1605"/>
      <c r="BF609" s="1605"/>
      <c r="BG609" s="1605"/>
      <c r="BH609" s="1605"/>
      <c r="BI609" s="1605"/>
      <c r="BJ609" s="1605"/>
      <c r="BK609" s="1605"/>
      <c r="BL609" s="1605"/>
      <c r="BM609" s="1605"/>
      <c r="BN609" s="1605"/>
      <c r="BO609" s="1605"/>
      <c r="BP609" s="1605"/>
    </row>
    <row s="1656" customFormat="1" customHeight="1" ht="42.96875">
      <c r="A610" s="1297"/>
      <c r="B610" s="92"/>
      <c r="C610" s="103"/>
      <c r="D610" s="103"/>
      <c r="E610" s="626">
        <v>15</v>
      </c>
      <c r="F610" s="103"/>
      <c r="G610" s="103"/>
      <c r="H610" s="103"/>
      <c r="I610" s="103"/>
      <c r="J610" s="103"/>
      <c r="K610" s="103"/>
      <c r="L610" s="1297"/>
      <c r="M610" s="1297"/>
      <c r="N610" s="103"/>
      <c r="O610" s="103"/>
      <c r="P610" s="103"/>
      <c r="Q610" s="103"/>
      <c r="R610" s="103"/>
      <c r="S610" s="103"/>
      <c r="T610" s="468">
        <f>ROW(W610)&gt;ROW(W$609)</f>
        <v>1</v>
      </c>
      <c r="U610" s="103"/>
      <c r="V610" s="103"/>
      <c r="W610" s="103"/>
      <c r="X610" s="1297"/>
      <c r="Y610" s="1297" t="s">
        <v>240</v>
      </c>
      <c r="Z610" s="1297"/>
      <c r="AA610" s="422" t="s">
        <v>174</v>
      </c>
      <c r="AB610" s="6711" t="s">
        <v>2632</v>
      </c>
      <c r="AC610" s="1605"/>
      <c r="AD610" s="1605"/>
      <c r="AE610" s="1605"/>
      <c r="AF610" s="1605"/>
      <c r="AG610" s="1605"/>
      <c r="AH610" s="1605"/>
      <c r="AI610" s="1605"/>
      <c r="AJ610" s="1605"/>
      <c r="AK610" s="1605"/>
      <c r="AL610" s="1605"/>
      <c r="AM610" s="1605"/>
      <c r="AN610" s="1605"/>
      <c r="AO610" s="1605"/>
      <c r="AP610" s="1605"/>
      <c r="AQ610" s="1605"/>
      <c r="AR610" s="1605"/>
      <c r="AS610" s="1605"/>
      <c r="AT610" s="1605"/>
      <c r="AU610" s="1605"/>
      <c r="AV610" s="1605"/>
      <c r="AW610" s="1605"/>
      <c r="AX610" s="1605"/>
      <c r="AY610" s="1605"/>
      <c r="AZ610" s="1605"/>
      <c r="BA610" s="1605"/>
      <c r="BB610" s="1605"/>
      <c r="BC610" s="1605"/>
      <c r="BD610" s="1605"/>
      <c r="BE610" s="1605"/>
      <c r="BF610" s="1605"/>
      <c r="BG610" s="1605"/>
      <c r="BH610" s="1605"/>
      <c r="BI610" s="1605"/>
      <c r="BJ610" s="1605"/>
      <c r="BK610" s="1605"/>
      <c r="BL610" s="1605"/>
      <c r="BM610" s="1605"/>
      <c r="BN610" s="1605"/>
      <c r="BO610" s="1605"/>
      <c r="BP610" s="1605"/>
      <c r="BQ610" s="1297"/>
      <c r="BR610" s="1297"/>
      <c r="BS610" s="1072"/>
      <c r="BT610" s="1072"/>
      <c r="BU610" s="1072"/>
      <c r="BV610" s="987"/>
      <c r="BW610" s="987"/>
    </row>
    <row s="1656" customFormat="1" customHeight="1" ht="41.302083333333336">
      <c r="A611" s="1297"/>
      <c r="B611" s="92"/>
      <c r="C611" s="103"/>
      <c r="D611" s="103"/>
      <c r="E611" s="626">
        <v>15</v>
      </c>
      <c r="F611" s="103"/>
      <c r="G611" s="103"/>
      <c r="H611" s="103"/>
      <c r="I611" s="103"/>
      <c r="J611" s="103"/>
      <c r="K611" s="103"/>
      <c r="L611" s="1297"/>
      <c r="M611" s="1297"/>
      <c r="N611" s="103"/>
      <c r="O611" s="103"/>
      <c r="P611" s="103"/>
      <c r="Q611" s="103"/>
      <c r="R611" s="103"/>
      <c r="S611" s="103"/>
      <c r="T611" s="468">
        <f>ROW(W611)&gt;ROW(W$609)</f>
        <v>1</v>
      </c>
      <c r="U611" s="103"/>
      <c r="V611" s="103"/>
      <c r="W611" s="103"/>
      <c r="X611" s="1297"/>
      <c r="Y611" s="1297" t="s">
        <v>240</v>
      </c>
      <c r="Z611" s="1297"/>
      <c r="AA611" s="422" t="s">
        <v>174</v>
      </c>
      <c r="AB611" s="6711" t="s">
        <v>2633</v>
      </c>
      <c r="AC611" s="1605"/>
      <c r="AD611" s="1605"/>
      <c r="AE611" s="1605"/>
      <c r="AF611" s="1605"/>
      <c r="AG611" s="1605"/>
      <c r="AH611" s="1605"/>
      <c r="AI611" s="1605"/>
      <c r="AJ611" s="1605"/>
      <c r="AK611" s="1605"/>
      <c r="AL611" s="1605"/>
      <c r="AM611" s="1605"/>
      <c r="AN611" s="1605"/>
      <c r="AO611" s="1605"/>
      <c r="AP611" s="1605"/>
      <c r="AQ611" s="1605"/>
      <c r="AR611" s="1605"/>
      <c r="AS611" s="1605"/>
      <c r="AT611" s="1605"/>
      <c r="AU611" s="1605"/>
      <c r="AV611" s="1605"/>
      <c r="AW611" s="1605"/>
      <c r="AX611" s="1605"/>
      <c r="AY611" s="1605"/>
      <c r="AZ611" s="1605"/>
      <c r="BA611" s="1605"/>
      <c r="BB611" s="1605"/>
      <c r="BC611" s="1605"/>
      <c r="BD611" s="1605"/>
      <c r="BE611" s="1605"/>
      <c r="BF611" s="1605"/>
      <c r="BG611" s="1605"/>
      <c r="BH611" s="1605"/>
      <c r="BI611" s="1605"/>
      <c r="BJ611" s="1605"/>
      <c r="BK611" s="1605"/>
      <c r="BL611" s="1605"/>
      <c r="BM611" s="1605"/>
      <c r="BN611" s="1605"/>
      <c r="BO611" s="1605"/>
      <c r="BP611" s="1605"/>
      <c r="BQ611" s="1297"/>
      <c r="BR611" s="1297"/>
      <c r="BS611" s="1072"/>
      <c r="BT611" s="1072"/>
      <c r="BU611" s="1072"/>
      <c r="BV611" s="987"/>
      <c r="BW611" s="987"/>
    </row>
    <row s="1656" customFormat="1" customHeight="1" ht="32.135416666666664">
      <c r="A612" s="1297"/>
      <c r="B612" s="92"/>
      <c r="C612" s="103"/>
      <c r="D612" s="103"/>
      <c r="E612" s="626">
        <v>15</v>
      </c>
      <c r="F612" s="103"/>
      <c r="G612" s="103"/>
      <c r="H612" s="103"/>
      <c r="I612" s="103"/>
      <c r="J612" s="103"/>
      <c r="K612" s="103"/>
      <c r="L612" s="1297"/>
      <c r="M612" s="1297"/>
      <c r="N612" s="103"/>
      <c r="O612" s="103"/>
      <c r="P612" s="103"/>
      <c r="Q612" s="103"/>
      <c r="R612" s="103"/>
      <c r="S612" s="103"/>
      <c r="T612" s="468">
        <f>ROW(W612)&gt;ROW(W$609)</f>
        <v>1</v>
      </c>
      <c r="U612" s="103"/>
      <c r="V612" s="103"/>
      <c r="W612" s="103"/>
      <c r="X612" s="1297"/>
      <c r="Y612" s="1297" t="s">
        <v>240</v>
      </c>
      <c r="Z612" s="1297"/>
      <c r="AA612" s="422" t="s">
        <v>174</v>
      </c>
      <c r="AB612" s="6711" t="s">
        <v>2634</v>
      </c>
      <c r="AC612" s="1605"/>
      <c r="AD612" s="1605"/>
      <c r="AE612" s="1605"/>
      <c r="AF612" s="1605"/>
      <c r="AG612" s="1605"/>
      <c r="AH612" s="1605"/>
      <c r="AI612" s="1605"/>
      <c r="AJ612" s="1605"/>
      <c r="AK612" s="1605"/>
      <c r="AL612" s="1605"/>
      <c r="AM612" s="1605"/>
      <c r="AN612" s="1605"/>
      <c r="AO612" s="1605"/>
      <c r="AP612" s="1605"/>
      <c r="AQ612" s="1605"/>
      <c r="AR612" s="1605"/>
      <c r="AS612" s="1605"/>
      <c r="AT612" s="1605"/>
      <c r="AU612" s="1605"/>
      <c r="AV612" s="1605"/>
      <c r="AW612" s="1605"/>
      <c r="AX612" s="1605"/>
      <c r="AY612" s="1605"/>
      <c r="AZ612" s="1605"/>
      <c r="BA612" s="1605"/>
      <c r="BB612" s="1605"/>
      <c r="BC612" s="1605"/>
      <c r="BD612" s="1605"/>
      <c r="BE612" s="1605"/>
      <c r="BF612" s="1605"/>
      <c r="BG612" s="1605"/>
      <c r="BH612" s="1605"/>
      <c r="BI612" s="1605"/>
      <c r="BJ612" s="1605"/>
      <c r="BK612" s="1605"/>
      <c r="BL612" s="1605"/>
      <c r="BM612" s="1605"/>
      <c r="BN612" s="1605"/>
      <c r="BO612" s="1605"/>
      <c r="BP612" s="1605"/>
      <c r="BQ612" s="1297"/>
      <c r="BR612" s="1297"/>
      <c r="BS612" s="1072"/>
      <c r="BT612" s="1072"/>
      <c r="BU612" s="1072"/>
      <c r="BV612" s="987"/>
      <c r="BW612" s="987"/>
    </row>
    <row s="1656" customFormat="1" customHeight="1" ht="21.302083333333332">
      <c r="A613" s="1297"/>
      <c r="B613" s="92"/>
      <c r="C613" s="103"/>
      <c r="D613" s="103"/>
      <c r="E613" s="626">
        <v>15</v>
      </c>
      <c r="F613" s="103"/>
      <c r="G613" s="103"/>
      <c r="H613" s="103"/>
      <c r="I613" s="103"/>
      <c r="J613" s="103"/>
      <c r="K613" s="103"/>
      <c r="L613" s="1297"/>
      <c r="M613" s="1297"/>
      <c r="N613" s="103"/>
      <c r="O613" s="103"/>
      <c r="P613" s="103"/>
      <c r="Q613" s="103"/>
      <c r="R613" s="103"/>
      <c r="S613" s="103"/>
      <c r="T613" s="468">
        <f>ROW(W613)&gt;ROW(W$609)</f>
        <v>1</v>
      </c>
      <c r="U613" s="103"/>
      <c r="V613" s="103"/>
      <c r="W613" s="103"/>
      <c r="X613" s="1297"/>
      <c r="Y613" s="1297" t="s">
        <v>240</v>
      </c>
      <c r="Z613" s="1297"/>
      <c r="AA613" s="422" t="s">
        <v>174</v>
      </c>
      <c r="AB613" s="6711" t="s">
        <v>2635</v>
      </c>
      <c r="AC613" s="1605"/>
      <c r="AD613" s="1605"/>
      <c r="AE613" s="1605"/>
      <c r="AF613" s="1605"/>
      <c r="AG613" s="1605"/>
      <c r="AH613" s="1605"/>
      <c r="AI613" s="1605"/>
      <c r="AJ613" s="1605"/>
      <c r="AK613" s="1605"/>
      <c r="AL613" s="1605"/>
      <c r="AM613" s="1605"/>
      <c r="AN613" s="1605"/>
      <c r="AO613" s="1605"/>
      <c r="AP613" s="1605"/>
      <c r="AQ613" s="1605"/>
      <c r="AR613" s="1605"/>
      <c r="AS613" s="1605"/>
      <c r="AT613" s="1605"/>
      <c r="AU613" s="1605"/>
      <c r="AV613" s="1605"/>
      <c r="AW613" s="1605"/>
      <c r="AX613" s="1605"/>
      <c r="AY613" s="1605"/>
      <c r="AZ613" s="1605"/>
      <c r="BA613" s="1605"/>
      <c r="BB613" s="1605"/>
      <c r="BC613" s="1605"/>
      <c r="BD613" s="1605"/>
      <c r="BE613" s="1605"/>
      <c r="BF613" s="1605"/>
      <c r="BG613" s="1605"/>
      <c r="BH613" s="1605"/>
      <c r="BI613" s="1605"/>
      <c r="BJ613" s="1605"/>
      <c r="BK613" s="1605"/>
      <c r="BL613" s="1605"/>
      <c r="BM613" s="1605"/>
      <c r="BN613" s="1605"/>
      <c r="BO613" s="1605"/>
      <c r="BP613" s="1605"/>
      <c r="BQ613" s="1297"/>
      <c r="BR613" s="1297"/>
      <c r="BS613" s="1072"/>
      <c r="BT613" s="1072"/>
      <c r="BU613" s="1072"/>
      <c r="BV613" s="987"/>
      <c r="BW613" s="987"/>
    </row>
    <row s="1656" customFormat="1" customHeight="1" ht="27.96875">
      <c r="A614" s="1297"/>
      <c r="B614" s="92"/>
      <c r="C614" s="103"/>
      <c r="D614" s="103"/>
      <c r="E614" s="626">
        <v>15</v>
      </c>
      <c r="F614" s="103"/>
      <c r="G614" s="103"/>
      <c r="H614" s="103"/>
      <c r="I614" s="103"/>
      <c r="J614" s="103"/>
      <c r="K614" s="103"/>
      <c r="L614" s="1297"/>
      <c r="M614" s="1297"/>
      <c r="N614" s="103"/>
      <c r="O614" s="103"/>
      <c r="P614" s="103"/>
      <c r="Q614" s="103"/>
      <c r="R614" s="103"/>
      <c r="S614" s="103"/>
      <c r="T614" s="468">
        <f>ROW(W614)&gt;ROW(W$609)</f>
        <v>1</v>
      </c>
      <c r="U614" s="103"/>
      <c r="V614" s="103"/>
      <c r="W614" s="103"/>
      <c r="X614" s="1297"/>
      <c r="Y614" s="1297" t="s">
        <v>240</v>
      </c>
      <c r="Z614" s="1297"/>
      <c r="AA614" s="422" t="s">
        <v>174</v>
      </c>
      <c r="AB614" s="6711" t="s">
        <v>2636</v>
      </c>
      <c r="AC614" s="1605"/>
      <c r="AD614" s="1605"/>
      <c r="AE614" s="1605"/>
      <c r="AF614" s="1605"/>
      <c r="AG614" s="1605"/>
      <c r="AH614" s="1605"/>
      <c r="AI614" s="1605"/>
      <c r="AJ614" s="1605"/>
      <c r="AK614" s="1605"/>
      <c r="AL614" s="1605"/>
      <c r="AM614" s="1605"/>
      <c r="AN614" s="1605"/>
      <c r="AO614" s="1605"/>
      <c r="AP614" s="1605"/>
      <c r="AQ614" s="1605"/>
      <c r="AR614" s="1605"/>
      <c r="AS614" s="1605"/>
      <c r="AT614" s="1605"/>
      <c r="AU614" s="1605"/>
      <c r="AV614" s="1605"/>
      <c r="AW614" s="1605"/>
      <c r="AX614" s="1605"/>
      <c r="AY614" s="1605"/>
      <c r="AZ614" s="1605"/>
      <c r="BA614" s="1605"/>
      <c r="BB614" s="1605"/>
      <c r="BC614" s="1605"/>
      <c r="BD614" s="1605"/>
      <c r="BE614" s="1605"/>
      <c r="BF614" s="1605"/>
      <c r="BG614" s="1605"/>
      <c r="BH614" s="1605"/>
      <c r="BI614" s="1605"/>
      <c r="BJ614" s="1605"/>
      <c r="BK614" s="1605"/>
      <c r="BL614" s="1605"/>
      <c r="BM614" s="1605"/>
      <c r="BN614" s="1605"/>
      <c r="BO614" s="1605"/>
      <c r="BP614" s="1605"/>
      <c r="BQ614" s="1297"/>
      <c r="BR614" s="1297"/>
      <c r="BS614" s="1072"/>
      <c r="BT614" s="1072"/>
      <c r="BU614" s="1072"/>
      <c r="BV614" s="987"/>
      <c r="BW614" s="987"/>
    </row>
    <row s="1656" customFormat="1" customHeight="1" ht="27.96875">
      <c r="A615" s="1297"/>
      <c r="B615" s="92"/>
      <c r="C615" s="103"/>
      <c r="D615" s="103"/>
      <c r="E615" s="626">
        <v>15</v>
      </c>
      <c r="F615" s="103"/>
      <c r="G615" s="103"/>
      <c r="H615" s="103"/>
      <c r="I615" s="103"/>
      <c r="J615" s="103"/>
      <c r="K615" s="103"/>
      <c r="L615" s="1297"/>
      <c r="M615" s="1297"/>
      <c r="N615" s="103"/>
      <c r="O615" s="103"/>
      <c r="P615" s="103"/>
      <c r="Q615" s="103"/>
      <c r="R615" s="103"/>
      <c r="S615" s="103"/>
      <c r="T615" s="468">
        <f>ROW(W615)&gt;ROW(W$609)</f>
        <v>1</v>
      </c>
      <c r="U615" s="103"/>
      <c r="V615" s="103"/>
      <c r="W615" s="103"/>
      <c r="X615" s="1297"/>
      <c r="Y615" s="1297" t="s">
        <v>240</v>
      </c>
      <c r="Z615" s="1297"/>
      <c r="AA615" s="422" t="s">
        <v>174</v>
      </c>
      <c r="AB615" s="6711" t="s">
        <v>2637</v>
      </c>
      <c r="AC615" s="1605"/>
      <c r="AD615" s="1605"/>
      <c r="AE615" s="1605"/>
      <c r="AF615" s="1605"/>
      <c r="AG615" s="1605"/>
      <c r="AH615" s="1605"/>
      <c r="AI615" s="1605"/>
      <c r="AJ615" s="1605"/>
      <c r="AK615" s="1605"/>
      <c r="AL615" s="1605"/>
      <c r="AM615" s="1605"/>
      <c r="AN615" s="1605"/>
      <c r="AO615" s="1605"/>
      <c r="AP615" s="1605"/>
      <c r="AQ615" s="1605"/>
      <c r="AR615" s="1605"/>
      <c r="AS615" s="1605"/>
      <c r="AT615" s="1605"/>
      <c r="AU615" s="1605"/>
      <c r="AV615" s="1605"/>
      <c r="AW615" s="1605"/>
      <c r="AX615" s="1605"/>
      <c r="AY615" s="1605"/>
      <c r="AZ615" s="1605"/>
      <c r="BA615" s="1605"/>
      <c r="BB615" s="1605"/>
      <c r="BC615" s="1605"/>
      <c r="BD615" s="1605"/>
      <c r="BE615" s="1605"/>
      <c r="BF615" s="1605"/>
      <c r="BG615" s="1605"/>
      <c r="BH615" s="1605"/>
      <c r="BI615" s="1605"/>
      <c r="BJ615" s="1605"/>
      <c r="BK615" s="1605"/>
      <c r="BL615" s="1605"/>
      <c r="BM615" s="1605"/>
      <c r="BN615" s="1605"/>
      <c r="BO615" s="1605"/>
      <c r="BP615" s="1605"/>
      <c r="BQ615" s="1297"/>
      <c r="BR615" s="1297"/>
      <c r="BS615" s="1072"/>
      <c r="BT615" s="1072"/>
      <c r="BU615" s="1072"/>
      <c r="BV615" s="987"/>
      <c r="BW615" s="987"/>
    </row>
    <row s="1656" customFormat="1" customHeight="1" ht="27.54438920454545">
      <c r="A616" s="1297"/>
      <c r="B616" s="92"/>
      <c r="C616" s="103"/>
      <c r="D616" s="103"/>
      <c r="E616" s="626">
        <v>15</v>
      </c>
      <c r="F616" s="103"/>
      <c r="G616" s="103"/>
      <c r="H616" s="103"/>
      <c r="I616" s="103"/>
      <c r="J616" s="103"/>
      <c r="K616" s="103"/>
      <c r="L616" s="1297"/>
      <c r="M616" s="1297"/>
      <c r="N616" s="103"/>
      <c r="O616" s="103"/>
      <c r="P616" s="103"/>
      <c r="Q616" s="103"/>
      <c r="R616" s="103"/>
      <c r="S616" s="103"/>
      <c r="T616" s="468">
        <f>ROW(W616)&gt;ROW(W$609)</f>
        <v>1</v>
      </c>
      <c r="U616" s="103"/>
      <c r="V616" s="103"/>
      <c r="W616" s="103"/>
      <c r="X616" s="1297"/>
      <c r="Y616" s="1297" t="s">
        <v>240</v>
      </c>
      <c r="Z616" s="1297"/>
      <c r="AA616" s="422" t="s">
        <v>174</v>
      </c>
      <c r="AB616" s="6711" t="s">
        <v>2638</v>
      </c>
      <c r="AC616" s="1605"/>
      <c r="AD616" s="1605"/>
      <c r="AE616" s="1605"/>
      <c r="AF616" s="1605"/>
      <c r="AG616" s="1605"/>
      <c r="AH616" s="1605"/>
      <c r="AI616" s="1605"/>
      <c r="AJ616" s="1605"/>
      <c r="AK616" s="1605"/>
      <c r="AL616" s="1605"/>
      <c r="AM616" s="1605"/>
      <c r="AN616" s="1605"/>
      <c r="AO616" s="1605"/>
      <c r="AP616" s="1605"/>
      <c r="AQ616" s="1605"/>
      <c r="AR616" s="1605"/>
      <c r="AS616" s="1605"/>
      <c r="AT616" s="1605"/>
      <c r="AU616" s="1605"/>
      <c r="AV616" s="1605"/>
      <c r="AW616" s="1605"/>
      <c r="AX616" s="1605"/>
      <c r="AY616" s="1605"/>
      <c r="AZ616" s="1605"/>
      <c r="BA616" s="1605"/>
      <c r="BB616" s="1605"/>
      <c r="BC616" s="1605"/>
      <c r="BD616" s="1605"/>
      <c r="BE616" s="1605"/>
      <c r="BF616" s="1605"/>
      <c r="BG616" s="1605"/>
      <c r="BH616" s="1605"/>
      <c r="BI616" s="1605"/>
      <c r="BJ616" s="1605"/>
      <c r="BK616" s="1605"/>
      <c r="BL616" s="1605"/>
      <c r="BM616" s="1605"/>
      <c r="BN616" s="1605"/>
      <c r="BO616" s="1605"/>
      <c r="BP616" s="1605"/>
      <c r="BQ616" s="1297"/>
      <c r="BR616" s="1297"/>
      <c r="BS616" s="1072"/>
      <c r="BT616" s="1072"/>
      <c r="BU616" s="1072"/>
      <c r="BV616" s="987"/>
      <c r="BW616" s="987"/>
    </row>
    <row s="1656" customFormat="1" customHeight="1" ht="27.28794642857143">
      <c r="A617" s="1297"/>
      <c r="B617" s="986"/>
      <c r="C617" s="1297"/>
      <c r="D617" s="1297"/>
      <c r="E617" s="626">
        <v>15</v>
      </c>
      <c r="F617" s="1297"/>
      <c r="G617" s="1297"/>
      <c r="H617" s="1297"/>
      <c r="I617" s="1297"/>
      <c r="J617" s="1297"/>
      <c r="K617" s="1297"/>
      <c r="L617" s="1297"/>
      <c r="M617" s="1297"/>
      <c r="N617" s="1297"/>
      <c r="O617" s="1297"/>
      <c r="P617" s="1297"/>
      <c r="Q617" s="1297"/>
      <c r="R617" s="1297"/>
      <c r="S617" s="1297"/>
      <c r="T617" s="468">
        <f>ROW(W617)&gt;ROW(W$609)</f>
        <v>1</v>
      </c>
      <c r="U617" s="1297"/>
      <c r="V617" s="1297"/>
      <c r="W617" s="103"/>
      <c r="X617" s="1297"/>
      <c r="Y617" s="1297" t="s">
        <v>240</v>
      </c>
      <c r="Z617" s="1297"/>
      <c r="AA617" s="51" t="s">
        <v>174</v>
      </c>
      <c r="AB617" s="6711" t="s">
        <v>2639</v>
      </c>
      <c r="AC617" s="1605"/>
      <c r="AD617" s="1605"/>
      <c r="AE617" s="1605"/>
      <c r="AF617" s="1605"/>
      <c r="AG617" s="1605"/>
      <c r="AH617" s="1605"/>
      <c r="AI617" s="1605"/>
      <c r="AJ617" s="1605"/>
      <c r="AK617" s="1605"/>
      <c r="AL617" s="1605"/>
      <c r="AM617" s="1605"/>
      <c r="AN617" s="1605"/>
      <c r="AO617" s="1605"/>
      <c r="AP617" s="1605"/>
      <c r="AQ617" s="1605"/>
      <c r="AR617" s="1605"/>
      <c r="AS617" s="1605"/>
      <c r="AT617" s="1605"/>
      <c r="AU617" s="1605"/>
      <c r="AV617" s="1605"/>
      <c r="AW617" s="1605"/>
      <c r="AX617" s="1605"/>
      <c r="AY617" s="1605"/>
      <c r="AZ617" s="1605"/>
      <c r="BA617" s="1605"/>
      <c r="BB617" s="1605"/>
      <c r="BC617" s="1605"/>
      <c r="BD617" s="1605"/>
      <c r="BE617" s="1605"/>
      <c r="BF617" s="1605"/>
      <c r="BG617" s="1605"/>
      <c r="BH617" s="1605"/>
      <c r="BI617" s="1605"/>
      <c r="BJ617" s="1605"/>
      <c r="BK617" s="1605"/>
      <c r="BL617" s="1605"/>
      <c r="BM617" s="1605"/>
      <c r="BN617" s="1605"/>
      <c r="BO617" s="1605"/>
      <c r="BP617" s="1605"/>
      <c r="BQ617" s="1297"/>
      <c r="BR617" s="1297"/>
      <c r="BS617" s="1072"/>
      <c r="BT617" s="1072"/>
      <c r="BU617" s="1072"/>
      <c r="BV617" s="987"/>
      <c r="BW617" s="987"/>
    </row>
    <row s="1656" customFormat="1" customHeight="1" ht="20.859375">
      <c r="A618" s="1297"/>
      <c r="B618" s="986"/>
      <c r="C618" s="1297"/>
      <c r="D618" s="1297"/>
      <c r="E618" s="626">
        <v>15</v>
      </c>
      <c r="F618" s="1297"/>
      <c r="G618" s="1297"/>
      <c r="H618" s="1297"/>
      <c r="I618" s="1297"/>
      <c r="J618" s="1297"/>
      <c r="K618" s="1297"/>
      <c r="L618" s="1297"/>
      <c r="M618" s="1297"/>
      <c r="N618" s="1297"/>
      <c r="O618" s="1297"/>
      <c r="P618" s="1297"/>
      <c r="Q618" s="1297"/>
      <c r="R618" s="1297"/>
      <c r="S618" s="1297"/>
      <c r="T618" s="468">
        <f>ROW(W618)&gt;ROW(W$609)</f>
        <v>1</v>
      </c>
      <c r="U618" s="1297"/>
      <c r="V618" s="1297"/>
      <c r="W618" s="103"/>
      <c r="X618" s="1297"/>
      <c r="Y618" s="1297"/>
      <c r="Z618" s="1297"/>
      <c r="AA618" s="51" t="s">
        <v>174</v>
      </c>
      <c r="AB618" s="6711" t="s">
        <v>2640</v>
      </c>
      <c r="AC618" s="1605"/>
      <c r="AD618" s="1605"/>
      <c r="AE618" s="1605"/>
      <c r="AF618" s="1605"/>
      <c r="AG618" s="1605"/>
      <c r="AH618" s="1605"/>
      <c r="AI618" s="1605"/>
      <c r="AJ618" s="1605"/>
      <c r="AK618" s="1605"/>
      <c r="AL618" s="1605"/>
      <c r="AM618" s="1605"/>
      <c r="AN618" s="1605"/>
      <c r="AO618" s="1605"/>
      <c r="AP618" s="1605"/>
      <c r="AQ618" s="1605"/>
      <c r="AR618" s="1605"/>
      <c r="AS618" s="1605"/>
      <c r="AT618" s="1605"/>
      <c r="AU618" s="1605"/>
      <c r="AV618" s="1605"/>
      <c r="AW618" s="1605"/>
      <c r="AX618" s="1605"/>
      <c r="AY618" s="1605"/>
      <c r="AZ618" s="1605"/>
      <c r="BA618" s="1605"/>
      <c r="BB618" s="1605"/>
      <c r="BC618" s="1605"/>
      <c r="BD618" s="1605"/>
      <c r="BE618" s="1605"/>
      <c r="BF618" s="1605"/>
      <c r="BG618" s="1605"/>
      <c r="BH618" s="1605"/>
      <c r="BI618" s="1605"/>
      <c r="BJ618" s="1605"/>
      <c r="BK618" s="1605"/>
      <c r="BL618" s="1605"/>
      <c r="BM618" s="1605"/>
      <c r="BN618" s="1605"/>
      <c r="BO618" s="1605"/>
      <c r="BP618" s="1605"/>
      <c r="BQ618" s="1297"/>
      <c r="BR618" s="1297"/>
      <c r="BS618" s="1072"/>
      <c r="BT618" s="1072"/>
      <c r="BU618" s="1072"/>
      <c r="BV618" s="987"/>
      <c r="BW618" s="987"/>
    </row>
    <row s="1656" customFormat="1" customHeight="1" ht="24.609375">
      <c r="A619" s="1297"/>
      <c r="B619" s="986"/>
      <c r="C619" s="1297"/>
      <c r="D619" s="1297"/>
      <c r="E619" s="626">
        <v>15</v>
      </c>
      <c r="F619" s="1297"/>
      <c r="G619" s="1297"/>
      <c r="H619" s="1297"/>
      <c r="I619" s="1297"/>
      <c r="J619" s="1297"/>
      <c r="K619" s="1297"/>
      <c r="L619" s="1297"/>
      <c r="M619" s="1297"/>
      <c r="N619" s="1297"/>
      <c r="O619" s="1297"/>
      <c r="P619" s="1297"/>
      <c r="Q619" s="1297"/>
      <c r="R619" s="1297"/>
      <c r="S619" s="1297"/>
      <c r="T619" s="468">
        <f>ROW(W619)&gt;ROW(W$609)</f>
        <v>1</v>
      </c>
      <c r="U619" s="1297"/>
      <c r="V619" s="1297"/>
      <c r="W619" s="103"/>
      <c r="X619" s="1297"/>
      <c r="Y619" s="1297"/>
      <c r="Z619" s="1297"/>
      <c r="AA619" s="51" t="s">
        <v>174</v>
      </c>
      <c r="AB619" s="6711" t="s">
        <v>2641</v>
      </c>
      <c r="AC619" s="1605"/>
      <c r="AD619" s="1605"/>
      <c r="AE619" s="1605"/>
      <c r="AF619" s="1605"/>
      <c r="AG619" s="1605"/>
      <c r="AH619" s="1605"/>
      <c r="AI619" s="1605"/>
      <c r="AJ619" s="1605"/>
      <c r="AK619" s="1605"/>
      <c r="AL619" s="1605"/>
      <c r="AM619" s="1605"/>
      <c r="AN619" s="1605"/>
      <c r="AO619" s="1605"/>
      <c r="AP619" s="1605"/>
      <c r="AQ619" s="1605"/>
      <c r="AR619" s="1605"/>
      <c r="AS619" s="1605"/>
      <c r="AT619" s="1605"/>
      <c r="AU619" s="1605"/>
      <c r="AV619" s="1605"/>
      <c r="AW619" s="1605"/>
      <c r="AX619" s="1605"/>
      <c r="AY619" s="1605"/>
      <c r="AZ619" s="1605"/>
      <c r="BA619" s="1605"/>
      <c r="BB619" s="1605"/>
      <c r="BC619" s="1605"/>
      <c r="BD619" s="1605"/>
      <c r="BE619" s="1605"/>
      <c r="BF619" s="1605"/>
      <c r="BG619" s="1605"/>
      <c r="BH619" s="1605"/>
      <c r="BI619" s="1605"/>
      <c r="BJ619" s="1605"/>
      <c r="BK619" s="1605"/>
      <c r="BL619" s="1605"/>
      <c r="BM619" s="1605"/>
      <c r="BN619" s="1605"/>
      <c r="BO619" s="1605"/>
      <c r="BP619" s="1605"/>
      <c r="BQ619" s="1297"/>
      <c r="BR619" s="1297"/>
      <c r="BS619" s="1072"/>
      <c r="BT619" s="1072"/>
      <c r="BU619" s="1072"/>
      <c r="BV619" s="987"/>
      <c r="BW619" s="987"/>
    </row>
    <row s="1656" customFormat="1" customHeight="1" ht="46.03794642857144">
      <c r="A620" s="1297"/>
      <c r="B620" s="986"/>
      <c r="C620" s="1297"/>
      <c r="D620" s="1297"/>
      <c r="E620" s="626">
        <v>15</v>
      </c>
      <c r="F620" s="1297"/>
      <c r="G620" s="1297"/>
      <c r="H620" s="1297"/>
      <c r="I620" s="1297"/>
      <c r="J620" s="1297"/>
      <c r="K620" s="1297"/>
      <c r="L620" s="1297"/>
      <c r="M620" s="1297"/>
      <c r="N620" s="1297"/>
      <c r="O620" s="1297"/>
      <c r="P620" s="1297"/>
      <c r="Q620" s="1297"/>
      <c r="R620" s="1297"/>
      <c r="S620" s="1297"/>
      <c r="T620" s="468">
        <f>ROW(W620)&gt;ROW(W$609)</f>
        <v>1</v>
      </c>
      <c r="U620" s="1297"/>
      <c r="V620" s="1297"/>
      <c r="W620" s="103"/>
      <c r="X620" s="1297"/>
      <c r="Y620" s="1297"/>
      <c r="Z620" s="1297"/>
      <c r="AA620" s="51" t="s">
        <v>174</v>
      </c>
      <c r="AB620" s="6711" t="s">
        <v>2642</v>
      </c>
      <c r="AC620" s="1605"/>
      <c r="AD620" s="1605"/>
      <c r="AE620" s="1605"/>
      <c r="AF620" s="1605"/>
      <c r="AG620" s="1605"/>
      <c r="AH620" s="1605"/>
      <c r="AI620" s="1605"/>
      <c r="AJ620" s="1605"/>
      <c r="AK620" s="1605"/>
      <c r="AL620" s="1605"/>
      <c r="AM620" s="1605"/>
      <c r="AN620" s="1605"/>
      <c r="AO620" s="1605"/>
      <c r="AP620" s="1605"/>
      <c r="AQ620" s="1605"/>
      <c r="AR620" s="1605"/>
      <c r="AS620" s="1605"/>
      <c r="AT620" s="1605"/>
      <c r="AU620" s="1605"/>
      <c r="AV620" s="1605"/>
      <c r="AW620" s="1605"/>
      <c r="AX620" s="1605"/>
      <c r="AY620" s="1605"/>
      <c r="AZ620" s="1605"/>
      <c r="BA620" s="1605"/>
      <c r="BB620" s="1605"/>
      <c r="BC620" s="1605"/>
      <c r="BD620" s="1605"/>
      <c r="BE620" s="1605"/>
      <c r="BF620" s="1605"/>
      <c r="BG620" s="1605"/>
      <c r="BH620" s="1605"/>
      <c r="BI620" s="1605"/>
      <c r="BJ620" s="1605"/>
      <c r="BK620" s="1605"/>
      <c r="BL620" s="1605"/>
      <c r="BM620" s="1605"/>
      <c r="BN620" s="1605"/>
      <c r="BO620" s="1605"/>
      <c r="BP620" s="1605"/>
      <c r="BQ620" s="1297"/>
      <c r="BR620" s="1297"/>
      <c r="BS620" s="1072"/>
      <c r="BT620" s="1072"/>
      <c r="BU620" s="1072"/>
      <c r="BV620" s="987"/>
      <c r="BW620" s="987"/>
    </row>
    <row s="1656" customFormat="1" customHeight="1" ht="41.21651785714286">
      <c r="A621" s="1297"/>
      <c r="B621" s="986"/>
      <c r="C621" s="1297"/>
      <c r="D621" s="1297"/>
      <c r="E621" s="626">
        <v>15</v>
      </c>
      <c r="F621" s="1297"/>
      <c r="G621" s="1297"/>
      <c r="H621" s="1297"/>
      <c r="I621" s="1297"/>
      <c r="J621" s="1297"/>
      <c r="K621" s="1297"/>
      <c r="L621" s="1297"/>
      <c r="M621" s="1297"/>
      <c r="N621" s="1297"/>
      <c r="O621" s="1297"/>
      <c r="P621" s="1297"/>
      <c r="Q621" s="1297"/>
      <c r="R621" s="1297"/>
      <c r="S621" s="1297"/>
      <c r="T621" s="468">
        <f>ROW(W621)&gt;ROW(W$609)</f>
        <v>1</v>
      </c>
      <c r="U621" s="1297"/>
      <c r="V621" s="1297"/>
      <c r="W621" s="103"/>
      <c r="X621" s="1297"/>
      <c r="Y621" s="1297"/>
      <c r="Z621" s="1297"/>
      <c r="AA621" s="51" t="s">
        <v>174</v>
      </c>
      <c r="AB621" s="6711" t="s">
        <v>2643</v>
      </c>
      <c r="AC621" s="1605"/>
      <c r="AD621" s="1605"/>
      <c r="AE621" s="1605"/>
      <c r="AF621" s="1605"/>
      <c r="AG621" s="1605"/>
      <c r="AH621" s="1605"/>
      <c r="AI621" s="1605"/>
      <c r="AJ621" s="1605"/>
      <c r="AK621" s="1605"/>
      <c r="AL621" s="1605"/>
      <c r="AM621" s="1605"/>
      <c r="AN621" s="1605"/>
      <c r="AO621" s="1605"/>
      <c r="AP621" s="1605"/>
      <c r="AQ621" s="1605"/>
      <c r="AR621" s="1605"/>
      <c r="AS621" s="1605"/>
      <c r="AT621" s="1605"/>
      <c r="AU621" s="1605"/>
      <c r="AV621" s="1605"/>
      <c r="AW621" s="1605"/>
      <c r="AX621" s="1605"/>
      <c r="AY621" s="1605"/>
      <c r="AZ621" s="1605"/>
      <c r="BA621" s="1605"/>
      <c r="BB621" s="1605"/>
      <c r="BC621" s="1605"/>
      <c r="BD621" s="1605"/>
      <c r="BE621" s="1605"/>
      <c r="BF621" s="1605"/>
      <c r="BG621" s="1605"/>
      <c r="BH621" s="1605"/>
      <c r="BI621" s="1605"/>
      <c r="BJ621" s="1605"/>
      <c r="BK621" s="1605"/>
      <c r="BL621" s="1605"/>
      <c r="BM621" s="1605"/>
      <c r="BN621" s="1605"/>
      <c r="BO621" s="1605"/>
      <c r="BP621" s="1605"/>
      <c r="BQ621" s="1297"/>
      <c r="BR621" s="1297"/>
      <c r="BS621" s="1072"/>
      <c r="BT621" s="1072"/>
      <c r="BU621" s="1072"/>
      <c r="BV621" s="987"/>
      <c r="BW621" s="987"/>
    </row>
    <row s="1656" customFormat="1" customHeight="1" ht="46.63529829545454">
      <c r="A622" s="1297"/>
      <c r="B622" s="986"/>
      <c r="C622" s="1297"/>
      <c r="D622" s="1297"/>
      <c r="E622" s="626">
        <v>15</v>
      </c>
      <c r="F622" s="1297"/>
      <c r="G622" s="1297"/>
      <c r="H622" s="1297"/>
      <c r="I622" s="1297"/>
      <c r="J622" s="1297"/>
      <c r="K622" s="1297"/>
      <c r="L622" s="1297"/>
      <c r="M622" s="1297"/>
      <c r="N622" s="1297"/>
      <c r="O622" s="1297"/>
      <c r="P622" s="1297"/>
      <c r="Q622" s="1297"/>
      <c r="R622" s="1297"/>
      <c r="S622" s="1297"/>
      <c r="T622" s="468">
        <f>ROW(W622)&gt;ROW(W$609)</f>
        <v>1</v>
      </c>
      <c r="U622" s="1297"/>
      <c r="V622" s="1297"/>
      <c r="W622" s="103"/>
      <c r="X622" s="1297"/>
      <c r="Y622" s="1297"/>
      <c r="Z622" s="1297"/>
      <c r="AA622" s="51" t="s">
        <v>174</v>
      </c>
      <c r="AB622" s="6711" t="s">
        <v>2644</v>
      </c>
      <c r="AC622" s="1605"/>
      <c r="AD622" s="1605"/>
      <c r="AE622" s="1605"/>
      <c r="AF622" s="1605"/>
      <c r="AG622" s="1605"/>
      <c r="AH622" s="1605"/>
      <c r="AI622" s="1605"/>
      <c r="AJ622" s="1605"/>
      <c r="AK622" s="1605"/>
      <c r="AL622" s="1605"/>
      <c r="AM622" s="1605"/>
      <c r="AN622" s="1605"/>
      <c r="AO622" s="1605"/>
      <c r="AP622" s="1605"/>
      <c r="AQ622" s="1605"/>
      <c r="AR622" s="1605"/>
      <c r="AS622" s="1605"/>
      <c r="AT622" s="1605"/>
      <c r="AU622" s="1605"/>
      <c r="AV622" s="1605"/>
      <c r="AW622" s="1605"/>
      <c r="AX622" s="1605"/>
      <c r="AY622" s="1605"/>
      <c r="AZ622" s="1605"/>
      <c r="BA622" s="1605"/>
      <c r="BB622" s="1605"/>
      <c r="BC622" s="1605"/>
      <c r="BD622" s="1605"/>
      <c r="BE622" s="1605"/>
      <c r="BF622" s="1605"/>
      <c r="BG622" s="1605"/>
      <c r="BH622" s="1605"/>
      <c r="BI622" s="1605"/>
      <c r="BJ622" s="1605"/>
      <c r="BK622" s="1605"/>
      <c r="BL622" s="1605"/>
      <c r="BM622" s="1605"/>
      <c r="BN622" s="1605"/>
      <c r="BO622" s="1605"/>
      <c r="BP622" s="1605"/>
      <c r="BQ622" s="1297"/>
      <c r="BR622" s="1297"/>
      <c r="BS622" s="1072"/>
      <c r="BT622" s="1072"/>
      <c r="BU622" s="1072"/>
      <c r="BV622" s="987"/>
      <c r="BW622" s="987"/>
    </row>
    <row s="1656" customFormat="1" customHeight="1" ht="33.680752840909086">
      <c r="A623" s="1297"/>
      <c r="B623" s="986"/>
      <c r="C623" s="1297"/>
      <c r="D623" s="1297"/>
      <c r="E623" s="626">
        <v>15</v>
      </c>
      <c r="F623" s="1297"/>
      <c r="G623" s="1297"/>
      <c r="H623" s="1297"/>
      <c r="I623" s="1297"/>
      <c r="J623" s="1297"/>
      <c r="K623" s="1297"/>
      <c r="L623" s="1297"/>
      <c r="M623" s="1297"/>
      <c r="N623" s="1297"/>
      <c r="O623" s="1297"/>
      <c r="P623" s="1297"/>
      <c r="Q623" s="1297"/>
      <c r="R623" s="1297"/>
      <c r="S623" s="1297"/>
      <c r="T623" s="468">
        <f>ROW(W623)&gt;ROW(W$609)</f>
        <v>1</v>
      </c>
      <c r="U623" s="1297"/>
      <c r="V623" s="1297"/>
      <c r="W623" s="103"/>
      <c r="X623" s="1297"/>
      <c r="Y623" s="1297"/>
      <c r="Z623" s="1297"/>
      <c r="AA623" s="51" t="s">
        <v>174</v>
      </c>
      <c r="AB623" s="6711" t="s">
        <v>2645</v>
      </c>
      <c r="AC623" s="1605"/>
      <c r="AD623" s="1605"/>
      <c r="AE623" s="1605"/>
      <c r="AF623" s="1605"/>
      <c r="AG623" s="1605"/>
      <c r="AH623" s="1605"/>
      <c r="AI623" s="1605"/>
      <c r="AJ623" s="1605"/>
      <c r="AK623" s="1605"/>
      <c r="AL623" s="1605"/>
      <c r="AM623" s="1605"/>
      <c r="AN623" s="1605"/>
      <c r="AO623" s="1605"/>
      <c r="AP623" s="1605"/>
      <c r="AQ623" s="1605"/>
      <c r="AR623" s="1605"/>
      <c r="AS623" s="1605"/>
      <c r="AT623" s="1605"/>
      <c r="AU623" s="1605"/>
      <c r="AV623" s="1605"/>
      <c r="AW623" s="1605"/>
      <c r="AX623" s="1605"/>
      <c r="AY623" s="1605"/>
      <c r="AZ623" s="1605"/>
      <c r="BA623" s="1605"/>
      <c r="BB623" s="1605"/>
      <c r="BC623" s="1605"/>
      <c r="BD623" s="1605"/>
      <c r="BE623" s="1605"/>
      <c r="BF623" s="1605"/>
      <c r="BG623" s="1605"/>
      <c r="BH623" s="1605"/>
      <c r="BI623" s="1605"/>
      <c r="BJ623" s="1605"/>
      <c r="BK623" s="1605"/>
      <c r="BL623" s="1605"/>
      <c r="BM623" s="1605"/>
      <c r="BN623" s="1605"/>
      <c r="BO623" s="1605"/>
      <c r="BP623" s="1605"/>
      <c r="BQ623" s="1297"/>
      <c r="BR623" s="1297"/>
      <c r="BS623" s="1072"/>
      <c r="BT623" s="1072"/>
      <c r="BU623" s="1072"/>
      <c r="BV623" s="987"/>
      <c r="BW623" s="987"/>
    </row>
    <row s="1656" customFormat="1" customHeight="1" ht="44.58984374999999">
      <c r="A624" s="1297"/>
      <c r="B624" s="986"/>
      <c r="C624" s="1297"/>
      <c r="D624" s="1297"/>
      <c r="E624" s="626">
        <v>15</v>
      </c>
      <c r="F624" s="1297"/>
      <c r="G624" s="1297"/>
      <c r="H624" s="1297"/>
      <c r="I624" s="1297"/>
      <c r="J624" s="1297"/>
      <c r="K624" s="1297"/>
      <c r="L624" s="1297"/>
      <c r="M624" s="1297"/>
      <c r="N624" s="1297"/>
      <c r="O624" s="1297"/>
      <c r="P624" s="1297"/>
      <c r="Q624" s="1297"/>
      <c r="R624" s="1297"/>
      <c r="S624" s="1297"/>
      <c r="T624" s="468">
        <f>ROW(W624)&gt;ROW(W$609)</f>
        <v>1</v>
      </c>
      <c r="U624" s="1297"/>
      <c r="V624" s="1297"/>
      <c r="W624" s="103"/>
      <c r="X624" s="1297"/>
      <c r="Y624" s="1297"/>
      <c r="Z624" s="1297"/>
      <c r="AA624" s="51" t="s">
        <v>174</v>
      </c>
      <c r="AB624" s="6711" t="s">
        <v>2646</v>
      </c>
      <c r="AC624" s="1605"/>
      <c r="AD624" s="1605"/>
      <c r="AE624" s="1605"/>
      <c r="AF624" s="1605"/>
      <c r="AG624" s="1605"/>
      <c r="AH624" s="1605"/>
      <c r="AI624" s="1605"/>
      <c r="AJ624" s="1605"/>
      <c r="AK624" s="1605"/>
      <c r="AL624" s="1605"/>
      <c r="AM624" s="1605"/>
      <c r="AN624" s="1605"/>
      <c r="AO624" s="1605"/>
      <c r="AP624" s="1605"/>
      <c r="AQ624" s="1605"/>
      <c r="AR624" s="1605"/>
      <c r="AS624" s="1605"/>
      <c r="AT624" s="1605"/>
      <c r="AU624" s="1605"/>
      <c r="AV624" s="1605"/>
      <c r="AW624" s="1605"/>
      <c r="AX624" s="1605"/>
      <c r="AY624" s="1605"/>
      <c r="AZ624" s="1605"/>
      <c r="BA624" s="1605"/>
      <c r="BB624" s="1605"/>
      <c r="BC624" s="1605"/>
      <c r="BD624" s="1605"/>
      <c r="BE624" s="1605"/>
      <c r="BF624" s="1605"/>
      <c r="BG624" s="1605"/>
      <c r="BH624" s="1605"/>
      <c r="BI624" s="1605"/>
      <c r="BJ624" s="1605"/>
      <c r="BK624" s="1605"/>
      <c r="BL624" s="1605"/>
      <c r="BM624" s="1605"/>
      <c r="BN624" s="1605"/>
      <c r="BO624" s="1605"/>
      <c r="BP624" s="1605"/>
      <c r="BQ624" s="1297"/>
      <c r="BR624" s="1297"/>
      <c r="BS624" s="1072"/>
      <c r="BT624" s="1072"/>
      <c r="BU624" s="1072"/>
      <c r="BV624" s="987"/>
      <c r="BW624" s="987"/>
    </row>
    <row s="1656" customFormat="1" customHeight="1" ht="51.93080357142858">
      <c r="A625" s="1297"/>
      <c r="B625" s="986"/>
      <c r="C625" s="1297"/>
      <c r="D625" s="1297"/>
      <c r="E625" s="626">
        <v>15</v>
      </c>
      <c r="F625" s="1297"/>
      <c r="G625" s="1297"/>
      <c r="H625" s="1297"/>
      <c r="I625" s="1297"/>
      <c r="J625" s="1297"/>
      <c r="K625" s="1297"/>
      <c r="L625" s="1297"/>
      <c r="M625" s="1297"/>
      <c r="N625" s="1297"/>
      <c r="O625" s="1297"/>
      <c r="P625" s="1297"/>
      <c r="Q625" s="1297"/>
      <c r="R625" s="1297"/>
      <c r="S625" s="1297"/>
      <c r="T625" s="468">
        <f>ROW(W625)&gt;ROW(W$609)</f>
        <v>1</v>
      </c>
      <c r="U625" s="1297"/>
      <c r="V625" s="1297"/>
      <c r="W625" s="103"/>
      <c r="X625" s="1297"/>
      <c r="Y625" s="1297"/>
      <c r="Z625" s="1297"/>
      <c r="AA625" s="51" t="s">
        <v>174</v>
      </c>
      <c r="AB625" s="6711" t="s">
        <v>2647</v>
      </c>
      <c r="AC625" s="1605"/>
      <c r="AD625" s="1605"/>
      <c r="AE625" s="1605"/>
      <c r="AF625" s="1605"/>
      <c r="AG625" s="1605"/>
      <c r="AH625" s="1605"/>
      <c r="AI625" s="1605"/>
      <c r="AJ625" s="1605"/>
      <c r="AK625" s="1605"/>
      <c r="AL625" s="1605"/>
      <c r="AM625" s="1605"/>
      <c r="AN625" s="1605"/>
      <c r="AO625" s="1605"/>
      <c r="AP625" s="1605"/>
      <c r="AQ625" s="1605"/>
      <c r="AR625" s="1605"/>
      <c r="AS625" s="1605"/>
      <c r="AT625" s="1605"/>
      <c r="AU625" s="1605"/>
      <c r="AV625" s="1605"/>
      <c r="AW625" s="1605"/>
      <c r="AX625" s="1605"/>
      <c r="AY625" s="1605"/>
      <c r="AZ625" s="1605"/>
      <c r="BA625" s="1605"/>
      <c r="BB625" s="1605"/>
      <c r="BC625" s="1605"/>
      <c r="BD625" s="1605"/>
      <c r="BE625" s="1605"/>
      <c r="BF625" s="1605"/>
      <c r="BG625" s="1605"/>
      <c r="BH625" s="1605"/>
      <c r="BI625" s="1605"/>
      <c r="BJ625" s="1605"/>
      <c r="BK625" s="1605"/>
      <c r="BL625" s="1605"/>
      <c r="BM625" s="1605"/>
      <c r="BN625" s="1605"/>
      <c r="BO625" s="1605"/>
      <c r="BP625" s="1605"/>
      <c r="BQ625" s="1297"/>
      <c r="BR625" s="1297"/>
      <c r="BS625" s="1072"/>
      <c r="BT625" s="1072"/>
      <c r="BU625" s="1072"/>
      <c r="BV625" s="987"/>
      <c r="BW625" s="987"/>
    </row>
    <row s="1656" customFormat="1" customHeight="1" ht="38.53794642857143">
      <c r="A626" s="1297"/>
      <c r="B626" s="986"/>
      <c r="C626" s="1297"/>
      <c r="D626" s="1297"/>
      <c r="E626" s="626">
        <v>15</v>
      </c>
      <c r="F626" s="1297"/>
      <c r="G626" s="1297"/>
      <c r="H626" s="1297"/>
      <c r="I626" s="1297"/>
      <c r="J626" s="1297"/>
      <c r="K626" s="1297"/>
      <c r="L626" s="1297"/>
      <c r="M626" s="1297"/>
      <c r="N626" s="1297"/>
      <c r="O626" s="1297"/>
      <c r="P626" s="1297"/>
      <c r="Q626" s="1297"/>
      <c r="R626" s="1297"/>
      <c r="S626" s="1297"/>
      <c r="T626" s="468">
        <f>ROW(W626)&gt;ROW(W$609)</f>
        <v>1</v>
      </c>
      <c r="U626" s="1297"/>
      <c r="V626" s="1297"/>
      <c r="W626" s="103"/>
      <c r="X626" s="1297"/>
      <c r="Y626" s="1297"/>
      <c r="Z626" s="1297"/>
      <c r="AA626" s="51" t="s">
        <v>174</v>
      </c>
      <c r="AB626" s="6711" t="s">
        <v>2648</v>
      </c>
      <c r="AC626" s="1605"/>
      <c r="AD626" s="1605"/>
      <c r="AE626" s="1605"/>
      <c r="AF626" s="1605"/>
      <c r="AG626" s="1605"/>
      <c r="AH626" s="1605"/>
      <c r="AI626" s="1605"/>
      <c r="AJ626" s="1605"/>
      <c r="AK626" s="1605"/>
      <c r="AL626" s="1605"/>
      <c r="AM626" s="1605"/>
      <c r="AN626" s="1605"/>
      <c r="AO626" s="1605"/>
      <c r="AP626" s="1605"/>
      <c r="AQ626" s="1605"/>
      <c r="AR626" s="1605"/>
      <c r="AS626" s="1605"/>
      <c r="AT626" s="1605"/>
      <c r="AU626" s="1605"/>
      <c r="AV626" s="1605"/>
      <c r="AW626" s="1605"/>
      <c r="AX626" s="1605"/>
      <c r="AY626" s="1605"/>
      <c r="AZ626" s="1605"/>
      <c r="BA626" s="1605"/>
      <c r="BB626" s="1605"/>
      <c r="BC626" s="1605"/>
      <c r="BD626" s="1605"/>
      <c r="BE626" s="1605"/>
      <c r="BF626" s="1605"/>
      <c r="BG626" s="1605"/>
      <c r="BH626" s="1605"/>
      <c r="BI626" s="1605"/>
      <c r="BJ626" s="1605"/>
      <c r="BK626" s="1605"/>
      <c r="BL626" s="1605"/>
      <c r="BM626" s="1605"/>
      <c r="BN626" s="1605"/>
      <c r="BO626" s="1605"/>
      <c r="BP626" s="1605"/>
      <c r="BQ626" s="1297"/>
      <c r="BR626" s="1297"/>
      <c r="BS626" s="1072"/>
      <c r="BT626" s="1072"/>
      <c r="BU626" s="1072"/>
      <c r="BV626" s="987"/>
      <c r="BW626" s="987"/>
    </row>
    <row s="1656" customFormat="1" customHeight="1" ht="43.35937500000001">
      <c r="A627" s="1297"/>
      <c r="B627" s="986"/>
      <c r="C627" s="1297"/>
      <c r="D627" s="1297"/>
      <c r="E627" s="626">
        <v>15</v>
      </c>
      <c r="F627" s="1297"/>
      <c r="G627" s="1297"/>
      <c r="H627" s="1297"/>
      <c r="I627" s="1297"/>
      <c r="J627" s="1297"/>
      <c r="K627" s="1297"/>
      <c r="L627" s="1297"/>
      <c r="M627" s="1297"/>
      <c r="N627" s="1297"/>
      <c r="O627" s="1297"/>
      <c r="P627" s="1297"/>
      <c r="Q627" s="1297"/>
      <c r="R627" s="1297"/>
      <c r="S627" s="1297"/>
      <c r="T627" s="468">
        <f>ROW(W627)&gt;ROW(W$609)</f>
        <v>1</v>
      </c>
      <c r="U627" s="1297"/>
      <c r="V627" s="1297"/>
      <c r="W627" s="103"/>
      <c r="X627" s="1297"/>
      <c r="Y627" s="1297"/>
      <c r="Z627" s="1297"/>
      <c r="AA627" s="51" t="s">
        <v>174</v>
      </c>
      <c r="AB627" s="6711" t="s">
        <v>2649</v>
      </c>
      <c r="AC627" s="1605"/>
      <c r="AD627" s="1605"/>
      <c r="AE627" s="1605"/>
      <c r="AF627" s="1605"/>
      <c r="AG627" s="1605"/>
      <c r="AH627" s="1605"/>
      <c r="AI627" s="1605"/>
      <c r="AJ627" s="1605"/>
      <c r="AK627" s="1605"/>
      <c r="AL627" s="1605"/>
      <c r="AM627" s="1605"/>
      <c r="AN627" s="1605"/>
      <c r="AO627" s="1605"/>
      <c r="AP627" s="1605"/>
      <c r="AQ627" s="1605"/>
      <c r="AR627" s="1605"/>
      <c r="AS627" s="1605"/>
      <c r="AT627" s="1605"/>
      <c r="AU627" s="1605"/>
      <c r="AV627" s="1605"/>
      <c r="AW627" s="1605"/>
      <c r="AX627" s="1605"/>
      <c r="AY627" s="1605"/>
      <c r="AZ627" s="1605"/>
      <c r="BA627" s="1605"/>
      <c r="BB627" s="1605"/>
      <c r="BC627" s="1605"/>
      <c r="BD627" s="1605"/>
      <c r="BE627" s="1605"/>
      <c r="BF627" s="1605"/>
      <c r="BG627" s="1605"/>
      <c r="BH627" s="1605"/>
      <c r="BI627" s="1605"/>
      <c r="BJ627" s="1605"/>
      <c r="BK627" s="1605"/>
      <c r="BL627" s="1605"/>
      <c r="BM627" s="1605"/>
      <c r="BN627" s="1605"/>
      <c r="BO627" s="1605"/>
      <c r="BP627" s="1605"/>
      <c r="BQ627" s="1297"/>
      <c r="BR627" s="1297"/>
      <c r="BS627" s="1072"/>
      <c r="BT627" s="1072"/>
      <c r="BU627" s="1072"/>
      <c r="BV627" s="987"/>
      <c r="BW627" s="987"/>
    </row>
    <row s="1656" customFormat="1" customHeight="1" ht="41.752232142857146">
      <c r="A628" s="1297"/>
      <c r="B628" s="986"/>
      <c r="C628" s="1297"/>
      <c r="D628" s="1297"/>
      <c r="E628" s="626">
        <v>15</v>
      </c>
      <c r="F628" s="1297"/>
      <c r="G628" s="1297"/>
      <c r="H628" s="1297"/>
      <c r="I628" s="1297"/>
      <c r="J628" s="1297"/>
      <c r="K628" s="1297"/>
      <c r="L628" s="1297"/>
      <c r="M628" s="1297"/>
      <c r="N628" s="1297"/>
      <c r="O628" s="1297"/>
      <c r="P628" s="1297"/>
      <c r="Q628" s="1297"/>
      <c r="R628" s="1297"/>
      <c r="S628" s="1297"/>
      <c r="T628" s="468">
        <f>ROW(W628)&gt;ROW(W$609)</f>
        <v>1</v>
      </c>
      <c r="U628" s="1297"/>
      <c r="V628" s="1297"/>
      <c r="W628" s="103"/>
      <c r="X628" s="1297"/>
      <c r="Y628" s="1297"/>
      <c r="Z628" s="1297"/>
      <c r="AA628" s="51" t="s">
        <v>174</v>
      </c>
      <c r="AB628" s="6711" t="s">
        <v>2650</v>
      </c>
      <c r="AC628" s="1605"/>
      <c r="AD628" s="1605"/>
      <c r="AE628" s="1605"/>
      <c r="AF628" s="1605"/>
      <c r="AG628" s="1605"/>
      <c r="AH628" s="1605"/>
      <c r="AI628" s="1605"/>
      <c r="AJ628" s="1605"/>
      <c r="AK628" s="1605"/>
      <c r="AL628" s="1605"/>
      <c r="AM628" s="1605"/>
      <c r="AN628" s="1605"/>
      <c r="AO628" s="1605"/>
      <c r="AP628" s="1605"/>
      <c r="AQ628" s="1605"/>
      <c r="AR628" s="1605"/>
      <c r="AS628" s="1605"/>
      <c r="AT628" s="1605"/>
      <c r="AU628" s="1605"/>
      <c r="AV628" s="1605"/>
      <c r="AW628" s="1605"/>
      <c r="AX628" s="1605"/>
      <c r="AY628" s="1605"/>
      <c r="AZ628" s="1605"/>
      <c r="BA628" s="1605"/>
      <c r="BB628" s="1605"/>
      <c r="BC628" s="1605"/>
      <c r="BD628" s="1605"/>
      <c r="BE628" s="1605"/>
      <c r="BF628" s="1605"/>
      <c r="BG628" s="1605"/>
      <c r="BH628" s="1605"/>
      <c r="BI628" s="1605"/>
      <c r="BJ628" s="1605"/>
      <c r="BK628" s="1605"/>
      <c r="BL628" s="1605"/>
      <c r="BM628" s="1605"/>
      <c r="BN628" s="1605"/>
      <c r="BO628" s="1605"/>
      <c r="BP628" s="1605"/>
      <c r="BQ628" s="1297"/>
      <c r="BR628" s="1297"/>
      <c r="BS628" s="1072"/>
      <c r="BT628" s="1072"/>
      <c r="BU628" s="1072"/>
      <c r="BV628" s="987"/>
      <c r="BW628" s="987"/>
    </row>
    <row s="1656" customFormat="1" customHeight="1" ht="25.14508928571429">
      <c r="A629" s="1297"/>
      <c r="B629" s="986"/>
      <c r="C629" s="1297"/>
      <c r="D629" s="1297"/>
      <c r="E629" s="626">
        <v>15</v>
      </c>
      <c r="F629" s="1297"/>
      <c r="G629" s="1297"/>
      <c r="H629" s="1297"/>
      <c r="I629" s="1297"/>
      <c r="J629" s="1297"/>
      <c r="K629" s="1297"/>
      <c r="L629" s="1297"/>
      <c r="M629" s="1297"/>
      <c r="N629" s="1297"/>
      <c r="O629" s="1297"/>
      <c r="P629" s="1297"/>
      <c r="Q629" s="1297"/>
      <c r="R629" s="1297"/>
      <c r="S629" s="1297"/>
      <c r="T629" s="468">
        <f>ROW(W629)&gt;ROW(W$609)</f>
        <v>1</v>
      </c>
      <c r="U629" s="1297"/>
      <c r="V629" s="1297"/>
      <c r="W629" s="103"/>
      <c r="X629" s="1297"/>
      <c r="Y629" s="1297"/>
      <c r="Z629" s="1297"/>
      <c r="AA629" s="51" t="s">
        <v>174</v>
      </c>
      <c r="AB629" s="6711" t="s">
        <v>2651</v>
      </c>
      <c r="AC629" s="1605"/>
      <c r="AD629" s="1605"/>
      <c r="AE629" s="1605"/>
      <c r="AF629" s="1605"/>
      <c r="AG629" s="1605"/>
      <c r="AH629" s="1605"/>
      <c r="AI629" s="1605"/>
      <c r="AJ629" s="1605"/>
      <c r="AK629" s="1605"/>
      <c r="AL629" s="1605"/>
      <c r="AM629" s="1605"/>
      <c r="AN629" s="1605"/>
      <c r="AO629" s="1605"/>
      <c r="AP629" s="1605"/>
      <c r="AQ629" s="1605"/>
      <c r="AR629" s="1605"/>
      <c r="AS629" s="1605"/>
      <c r="AT629" s="1605"/>
      <c r="AU629" s="1605"/>
      <c r="AV629" s="1605"/>
      <c r="AW629" s="1605"/>
      <c r="AX629" s="1605"/>
      <c r="AY629" s="1605"/>
      <c r="AZ629" s="1605"/>
      <c r="BA629" s="1605"/>
      <c r="BB629" s="1605"/>
      <c r="BC629" s="1605"/>
      <c r="BD629" s="1605"/>
      <c r="BE629" s="1605"/>
      <c r="BF629" s="1605"/>
      <c r="BG629" s="1605"/>
      <c r="BH629" s="1605"/>
      <c r="BI629" s="1605"/>
      <c r="BJ629" s="1605"/>
      <c r="BK629" s="1605"/>
      <c r="BL629" s="1605"/>
      <c r="BM629" s="1605"/>
      <c r="BN629" s="1605"/>
      <c r="BO629" s="1605"/>
      <c r="BP629" s="1605"/>
      <c r="BQ629" s="1297"/>
      <c r="BR629" s="1297"/>
      <c r="BS629" s="1072"/>
      <c r="BT629" s="1072"/>
      <c r="BU629" s="1072"/>
      <c r="BV629" s="987"/>
      <c r="BW629" s="987"/>
    </row>
    <row s="1656" customFormat="1" customHeight="1" ht="35.323660714285715">
      <c r="A630" s="1297"/>
      <c r="B630" s="986"/>
      <c r="C630" s="1297"/>
      <c r="D630" s="1297"/>
      <c r="E630" s="626">
        <v>15</v>
      </c>
      <c r="F630" s="1297"/>
      <c r="G630" s="1297"/>
      <c r="H630" s="1297"/>
      <c r="I630" s="1297"/>
      <c r="J630" s="1297"/>
      <c r="K630" s="1297"/>
      <c r="L630" s="1297"/>
      <c r="M630" s="1297"/>
      <c r="N630" s="1297"/>
      <c r="O630" s="1297"/>
      <c r="P630" s="1297"/>
      <c r="Q630" s="1297"/>
      <c r="R630" s="1297"/>
      <c r="S630" s="1297"/>
      <c r="T630" s="468">
        <f>ROW(W630)&gt;ROW(W$609)</f>
        <v>1</v>
      </c>
      <c r="U630" s="1297"/>
      <c r="V630" s="1297"/>
      <c r="W630" s="103"/>
      <c r="X630" s="1297"/>
      <c r="Y630" s="1297"/>
      <c r="Z630" s="1297"/>
      <c r="AA630" s="51" t="s">
        <v>174</v>
      </c>
      <c r="AB630" s="6711" t="s">
        <v>2652</v>
      </c>
      <c r="AC630" s="1605"/>
      <c r="AD630" s="1605"/>
      <c r="AE630" s="1605"/>
      <c r="AF630" s="1605"/>
      <c r="AG630" s="1605"/>
      <c r="AH630" s="1605"/>
      <c r="AI630" s="1605"/>
      <c r="AJ630" s="1605"/>
      <c r="AK630" s="1605"/>
      <c r="AL630" s="1605"/>
      <c r="AM630" s="1605"/>
      <c r="AN630" s="1605"/>
      <c r="AO630" s="1605"/>
      <c r="AP630" s="1605"/>
      <c r="AQ630" s="1605"/>
      <c r="AR630" s="1605"/>
      <c r="AS630" s="1605"/>
      <c r="AT630" s="1605"/>
      <c r="AU630" s="1605"/>
      <c r="AV630" s="1605"/>
      <c r="AW630" s="1605"/>
      <c r="AX630" s="1605"/>
      <c r="AY630" s="1605"/>
      <c r="AZ630" s="1605"/>
      <c r="BA630" s="1605"/>
      <c r="BB630" s="1605"/>
      <c r="BC630" s="1605"/>
      <c r="BD630" s="1605"/>
      <c r="BE630" s="1605"/>
      <c r="BF630" s="1605"/>
      <c r="BG630" s="1605"/>
      <c r="BH630" s="1605"/>
      <c r="BI630" s="1605"/>
      <c r="BJ630" s="1605"/>
      <c r="BK630" s="1605"/>
      <c r="BL630" s="1605"/>
      <c r="BM630" s="1605"/>
      <c r="BN630" s="1605"/>
      <c r="BO630" s="1605"/>
      <c r="BP630" s="1605"/>
      <c r="BQ630" s="1297"/>
      <c r="BR630" s="1297"/>
      <c r="BS630" s="1072"/>
      <c r="BT630" s="1072"/>
      <c r="BU630" s="1072"/>
      <c r="BV630" s="987"/>
      <c r="BW630" s="987"/>
    </row>
    <row s="1656" customFormat="1" customHeight="1" ht="63.18080357142858">
      <c r="A631" s="1297"/>
      <c r="B631" s="986"/>
      <c r="C631" s="1297"/>
      <c r="D631" s="1297"/>
      <c r="E631" s="626">
        <v>15</v>
      </c>
      <c r="F631" s="1297"/>
      <c r="G631" s="1297"/>
      <c r="H631" s="1297"/>
      <c r="I631" s="1297"/>
      <c r="J631" s="1297"/>
      <c r="K631" s="1297"/>
      <c r="L631" s="1297"/>
      <c r="M631" s="1297"/>
      <c r="N631" s="1297"/>
      <c r="O631" s="1297"/>
      <c r="P631" s="1297"/>
      <c r="Q631" s="1297"/>
      <c r="R631" s="1297"/>
      <c r="S631" s="1297"/>
      <c r="T631" s="468">
        <f>ROW(W631)&gt;ROW(W$609)</f>
        <v>1</v>
      </c>
      <c r="U631" s="1297"/>
      <c r="V631" s="1297"/>
      <c r="W631" s="103"/>
      <c r="X631" s="1297"/>
      <c r="Y631" s="1297"/>
      <c r="Z631" s="1297"/>
      <c r="AA631" s="51" t="s">
        <v>174</v>
      </c>
      <c r="AB631" s="6711" t="s">
        <v>2653</v>
      </c>
      <c r="AC631" s="1605"/>
      <c r="AD631" s="1605"/>
      <c r="AE631" s="1605"/>
      <c r="AF631" s="1605"/>
      <c r="AG631" s="1605"/>
      <c r="AH631" s="1605"/>
      <c r="AI631" s="1605"/>
      <c r="AJ631" s="1605"/>
      <c r="AK631" s="1605"/>
      <c r="AL631" s="1605"/>
      <c r="AM631" s="1605"/>
      <c r="AN631" s="1605"/>
      <c r="AO631" s="1605"/>
      <c r="AP631" s="1605"/>
      <c r="AQ631" s="1605"/>
      <c r="AR631" s="1605"/>
      <c r="AS631" s="1605"/>
      <c r="AT631" s="1605"/>
      <c r="AU631" s="1605"/>
      <c r="AV631" s="1605"/>
      <c r="AW631" s="1605"/>
      <c r="AX631" s="1605"/>
      <c r="AY631" s="1605"/>
      <c r="AZ631" s="1605"/>
      <c r="BA631" s="1605"/>
      <c r="BB631" s="1605"/>
      <c r="BC631" s="1605"/>
      <c r="BD631" s="1605"/>
      <c r="BE631" s="1605"/>
      <c r="BF631" s="1605"/>
      <c r="BG631" s="1605"/>
      <c r="BH631" s="1605"/>
      <c r="BI631" s="1605"/>
      <c r="BJ631" s="1605"/>
      <c r="BK631" s="1605"/>
      <c r="BL631" s="1605"/>
      <c r="BM631" s="1605"/>
      <c r="BN631" s="1605"/>
      <c r="BO631" s="1605"/>
      <c r="BP631" s="1605"/>
      <c r="BQ631" s="1297"/>
      <c r="BR631" s="1297"/>
      <c r="BS631" s="1072"/>
      <c r="BT631" s="1072"/>
      <c r="BU631" s="1072"/>
      <c r="BV631" s="987"/>
      <c r="BW631" s="987"/>
    </row>
    <row s="1656" customFormat="1" customHeight="1" ht="22.46651785714286">
      <c r="A632" s="1297"/>
      <c r="B632" s="986"/>
      <c r="C632" s="1297"/>
      <c r="D632" s="1297"/>
      <c r="E632" s="626">
        <v>15</v>
      </c>
      <c r="F632" s="1297"/>
      <c r="G632" s="1297"/>
      <c r="H632" s="1297"/>
      <c r="I632" s="1297"/>
      <c r="J632" s="1297"/>
      <c r="K632" s="1297"/>
      <c r="L632" s="1297"/>
      <c r="M632" s="1297"/>
      <c r="N632" s="1297"/>
      <c r="O632" s="1297"/>
      <c r="P632" s="1297"/>
      <c r="Q632" s="1297"/>
      <c r="R632" s="1297"/>
      <c r="S632" s="1297"/>
      <c r="T632" s="468">
        <f>ROW(W632)&gt;ROW(W$609)</f>
        <v>1</v>
      </c>
      <c r="U632" s="1297"/>
      <c r="V632" s="1297"/>
      <c r="W632" s="103"/>
      <c r="X632" s="1297"/>
      <c r="Y632" s="1297" t="s">
        <v>240</v>
      </c>
      <c r="Z632" s="1297"/>
      <c r="AA632" s="51" t="s">
        <v>174</v>
      </c>
      <c r="AB632" s="6711" t="s">
        <v>2654</v>
      </c>
      <c r="AC632" s="1605"/>
      <c r="AD632" s="1605"/>
      <c r="AE632" s="1605"/>
      <c r="AF632" s="1605"/>
      <c r="AG632" s="1605"/>
      <c r="AH632" s="1605"/>
      <c r="AI632" s="1605"/>
      <c r="AJ632" s="1605"/>
      <c r="AK632" s="1605"/>
      <c r="AL632" s="1605"/>
      <c r="AM632" s="1605"/>
      <c r="AN632" s="1605"/>
      <c r="AO632" s="1605"/>
      <c r="AP632" s="1605"/>
      <c r="AQ632" s="1605"/>
      <c r="AR632" s="1605"/>
      <c r="AS632" s="1605"/>
      <c r="AT632" s="1605"/>
      <c r="AU632" s="1605"/>
      <c r="AV632" s="1605"/>
      <c r="AW632" s="1605"/>
      <c r="AX632" s="1605"/>
      <c r="AY632" s="1605"/>
      <c r="AZ632" s="1605"/>
      <c r="BA632" s="1605"/>
      <c r="BB632" s="1605"/>
      <c r="BC632" s="1605"/>
      <c r="BD632" s="1605"/>
      <c r="BE632" s="1605"/>
      <c r="BF632" s="1605"/>
      <c r="BG632" s="1605"/>
      <c r="BH632" s="1605"/>
      <c r="BI632" s="1605"/>
      <c r="BJ632" s="1605"/>
      <c r="BK632" s="1605"/>
      <c r="BL632" s="1605"/>
      <c r="BM632" s="1605"/>
      <c r="BN632" s="1605"/>
      <c r="BO632" s="1605"/>
      <c r="BP632" s="1605"/>
      <c r="BQ632" s="1297"/>
      <c r="BR632" s="1297"/>
      <c r="BS632" s="1072"/>
      <c r="BT632" s="1072"/>
      <c r="BU632" s="1072"/>
      <c r="BV632" s="987"/>
      <c r="BW632" s="987"/>
    </row>
    <row s="1656" customFormat="1" customHeight="1" ht="19.252232142857142">
      <c r="A633" s="1297"/>
      <c r="B633" s="986"/>
      <c r="C633" s="1297"/>
      <c r="D633" s="1297"/>
      <c r="E633" s="626">
        <v>15</v>
      </c>
      <c r="F633" s="1297"/>
      <c r="G633" s="1297"/>
      <c r="H633" s="1297"/>
      <c r="I633" s="1297"/>
      <c r="J633" s="1297"/>
      <c r="K633" s="1297"/>
      <c r="L633" s="1297"/>
      <c r="M633" s="1297"/>
      <c r="N633" s="1297"/>
      <c r="O633" s="1297"/>
      <c r="P633" s="1297"/>
      <c r="Q633" s="1297"/>
      <c r="R633" s="1297"/>
      <c r="S633" s="1297"/>
      <c r="T633" s="468">
        <f>ROW(W633)&gt;ROW(W$609)</f>
        <v>1</v>
      </c>
      <c r="U633" s="1297"/>
      <c r="V633" s="1297"/>
      <c r="W633" s="103"/>
      <c r="X633" s="1297"/>
      <c r="Y633" s="1297"/>
      <c r="Z633" s="1297"/>
      <c r="AA633" s="51" t="s">
        <v>174</v>
      </c>
      <c r="AB633" s="6711" t="s">
        <v>2655</v>
      </c>
      <c r="AC633" s="1605"/>
      <c r="AD633" s="1605"/>
      <c r="AE633" s="1605"/>
      <c r="AF633" s="1605"/>
      <c r="AG633" s="1605"/>
      <c r="AH633" s="1605"/>
      <c r="AI633" s="1605"/>
      <c r="AJ633" s="1605"/>
      <c r="AK633" s="1605"/>
      <c r="AL633" s="1605"/>
      <c r="AM633" s="1605"/>
      <c r="AN633" s="1605"/>
      <c r="AO633" s="1605"/>
      <c r="AP633" s="1605"/>
      <c r="AQ633" s="1605"/>
      <c r="AR633" s="1605"/>
      <c r="AS633" s="1605"/>
      <c r="AT633" s="1605"/>
      <c r="AU633" s="1605"/>
      <c r="AV633" s="1605"/>
      <c r="AW633" s="1605"/>
      <c r="AX633" s="1605"/>
      <c r="AY633" s="1605"/>
      <c r="AZ633" s="1605"/>
      <c r="BA633" s="1605"/>
      <c r="BB633" s="1605"/>
      <c r="BC633" s="1605"/>
      <c r="BD633" s="1605"/>
      <c r="BE633" s="1605"/>
      <c r="BF633" s="1605"/>
      <c r="BG633" s="1605"/>
      <c r="BH633" s="1605"/>
      <c r="BI633" s="1605"/>
      <c r="BJ633" s="1605"/>
      <c r="BK633" s="1605"/>
      <c r="BL633" s="1605"/>
      <c r="BM633" s="1605"/>
      <c r="BN633" s="1605"/>
      <c r="BO633" s="1605"/>
      <c r="BP633" s="1605"/>
      <c r="BQ633" s="1297"/>
      <c r="BR633" s="1297"/>
      <c r="BS633" s="1072"/>
      <c r="BT633" s="1072"/>
      <c r="BU633" s="1072"/>
      <c r="BV633" s="987"/>
      <c r="BW633" s="987"/>
    </row>
    <row s="1656" customFormat="1" customHeight="1" ht="19.78794642857143">
      <c r="A634" s="1297"/>
      <c r="B634" s="986"/>
      <c r="C634" s="1297"/>
      <c r="D634" s="1297"/>
      <c r="E634" s="626">
        <v>15</v>
      </c>
      <c r="F634" s="1297"/>
      <c r="G634" s="1297"/>
      <c r="H634" s="1297"/>
      <c r="I634" s="1297"/>
      <c r="J634" s="1297"/>
      <c r="K634" s="1297"/>
      <c r="L634" s="1297"/>
      <c r="M634" s="1297"/>
      <c r="N634" s="1297"/>
      <c r="O634" s="1297"/>
      <c r="P634" s="1297"/>
      <c r="Q634" s="1297"/>
      <c r="R634" s="1297"/>
      <c r="S634" s="1297"/>
      <c r="T634" s="468">
        <f>ROW(W634)&gt;ROW(W$609)</f>
        <v>1</v>
      </c>
      <c r="U634" s="1297"/>
      <c r="V634" s="1297"/>
      <c r="W634" s="103"/>
      <c r="X634" s="1297"/>
      <c r="Y634" s="1297"/>
      <c r="Z634" s="1297"/>
      <c r="AA634" s="51" t="s">
        <v>174</v>
      </c>
      <c r="AB634" s="6711" t="s">
        <v>2656</v>
      </c>
      <c r="AC634" s="1605"/>
      <c r="AD634" s="1605"/>
      <c r="AE634" s="1605"/>
      <c r="AF634" s="1605"/>
      <c r="AG634" s="1605"/>
      <c r="AH634" s="1605"/>
      <c r="AI634" s="1605"/>
      <c r="AJ634" s="1605"/>
      <c r="AK634" s="1605"/>
      <c r="AL634" s="1605"/>
      <c r="AM634" s="1605"/>
      <c r="AN634" s="1605"/>
      <c r="AO634" s="1605"/>
      <c r="AP634" s="1605"/>
      <c r="AQ634" s="1605"/>
      <c r="AR634" s="1605"/>
      <c r="AS634" s="1605"/>
      <c r="AT634" s="1605"/>
      <c r="AU634" s="1605"/>
      <c r="AV634" s="1605"/>
      <c r="AW634" s="1605"/>
      <c r="AX634" s="1605"/>
      <c r="AY634" s="1605"/>
      <c r="AZ634" s="1605"/>
      <c r="BA634" s="1605"/>
      <c r="BB634" s="1605"/>
      <c r="BC634" s="1605"/>
      <c r="BD634" s="1605"/>
      <c r="BE634" s="1605"/>
      <c r="BF634" s="1605"/>
      <c r="BG634" s="1605"/>
      <c r="BH634" s="1605"/>
      <c r="BI634" s="1605"/>
      <c r="BJ634" s="1605"/>
      <c r="BK634" s="1605"/>
      <c r="BL634" s="1605"/>
      <c r="BM634" s="1605"/>
      <c r="BN634" s="1605"/>
      <c r="BO634" s="1605"/>
      <c r="BP634" s="1605"/>
      <c r="BQ634" s="1297"/>
      <c r="BR634" s="1297"/>
      <c r="BS634" s="1072"/>
      <c r="BT634" s="1072"/>
      <c r="BU634" s="1072"/>
      <c r="BV634" s="987"/>
      <c r="BW634" s="987"/>
    </row>
    <row s="1656" customFormat="1" customHeight="1" ht="42.82366071428572">
      <c r="A635" s="1297"/>
      <c r="B635" s="986"/>
      <c r="C635" s="1297"/>
      <c r="D635" s="1297"/>
      <c r="E635" s="626">
        <v>15</v>
      </c>
      <c r="F635" s="1297"/>
      <c r="G635" s="1297"/>
      <c r="H635" s="1297"/>
      <c r="I635" s="1297"/>
      <c r="J635" s="1297"/>
      <c r="K635" s="1297"/>
      <c r="L635" s="1297"/>
      <c r="M635" s="1297"/>
      <c r="N635" s="1297"/>
      <c r="O635" s="1297"/>
      <c r="P635" s="1297"/>
      <c r="Q635" s="1297"/>
      <c r="R635" s="1297"/>
      <c r="S635" s="1297"/>
      <c r="T635" s="468">
        <f>ROW(W635)&gt;ROW(W$609)</f>
        <v>1</v>
      </c>
      <c r="U635" s="1297"/>
      <c r="V635" s="1297"/>
      <c r="W635" s="103"/>
      <c r="X635" s="1297"/>
      <c r="Y635" s="1297"/>
      <c r="Z635" s="1297"/>
      <c r="AA635" s="51" t="s">
        <v>174</v>
      </c>
      <c r="AB635" s="6711" t="s">
        <v>2657</v>
      </c>
      <c r="AC635" s="1605"/>
      <c r="AD635" s="1605"/>
      <c r="AE635" s="1605"/>
      <c r="AF635" s="1605"/>
      <c r="AG635" s="1605"/>
      <c r="AH635" s="1605"/>
      <c r="AI635" s="1605"/>
      <c r="AJ635" s="1605"/>
      <c r="AK635" s="1605"/>
      <c r="AL635" s="1605"/>
      <c r="AM635" s="1605"/>
      <c r="AN635" s="1605"/>
      <c r="AO635" s="1605"/>
      <c r="AP635" s="1605"/>
      <c r="AQ635" s="1605"/>
      <c r="AR635" s="1605"/>
      <c r="AS635" s="1605"/>
      <c r="AT635" s="1605"/>
      <c r="AU635" s="1605"/>
      <c r="AV635" s="1605"/>
      <c r="AW635" s="1605"/>
      <c r="AX635" s="1605"/>
      <c r="AY635" s="1605"/>
      <c r="AZ635" s="1605"/>
      <c r="BA635" s="1605"/>
      <c r="BB635" s="1605"/>
      <c r="BC635" s="1605"/>
      <c r="BD635" s="1605"/>
      <c r="BE635" s="1605"/>
      <c r="BF635" s="1605"/>
      <c r="BG635" s="1605"/>
      <c r="BH635" s="1605"/>
      <c r="BI635" s="1605"/>
      <c r="BJ635" s="1605"/>
      <c r="BK635" s="1605"/>
      <c r="BL635" s="1605"/>
      <c r="BM635" s="1605"/>
      <c r="BN635" s="1605"/>
      <c r="BO635" s="1605"/>
      <c r="BP635" s="1605"/>
      <c r="BQ635" s="1297"/>
      <c r="BR635" s="1297"/>
      <c r="BS635" s="1072"/>
      <c r="BT635" s="1072"/>
      <c r="BU635" s="1072"/>
      <c r="BV635" s="987"/>
      <c r="BW635" s="987"/>
    </row>
    <row s="1656" customFormat="1" customHeight="1" ht="28.89508928571429">
      <c r="A636" s="1297"/>
      <c r="B636" s="986"/>
      <c r="C636" s="1297"/>
      <c r="D636" s="1297"/>
      <c r="E636" s="626">
        <v>15</v>
      </c>
      <c r="F636" s="1297"/>
      <c r="G636" s="1297"/>
      <c r="H636" s="1297"/>
      <c r="I636" s="1297"/>
      <c r="J636" s="1297"/>
      <c r="K636" s="1297"/>
      <c r="L636" s="1297"/>
      <c r="M636" s="1297"/>
      <c r="N636" s="1297"/>
      <c r="O636" s="1297"/>
      <c r="P636" s="1297"/>
      <c r="Q636" s="1297"/>
      <c r="R636" s="1297"/>
      <c r="S636" s="1297"/>
      <c r="T636" s="468">
        <f>ROW(W636)&gt;ROW(W$609)</f>
        <v>1</v>
      </c>
      <c r="U636" s="1297"/>
      <c r="V636" s="1297"/>
      <c r="W636" s="103"/>
      <c r="X636" s="1297"/>
      <c r="Y636" s="1297" t="s">
        <v>240</v>
      </c>
      <c r="Z636" s="1297"/>
      <c r="AA636" s="51" t="s">
        <v>174</v>
      </c>
      <c r="AB636" s="6711" t="s">
        <v>2658</v>
      </c>
      <c r="AC636" s="1605"/>
      <c r="AD636" s="1605"/>
      <c r="AE636" s="1605"/>
      <c r="AF636" s="1605"/>
      <c r="AG636" s="1605"/>
      <c r="AH636" s="1605"/>
      <c r="AI636" s="1605"/>
      <c r="AJ636" s="1605"/>
      <c r="AK636" s="1605"/>
      <c r="AL636" s="1605"/>
      <c r="AM636" s="1605"/>
      <c r="AN636" s="1605"/>
      <c r="AO636" s="1605"/>
      <c r="AP636" s="1605"/>
      <c r="AQ636" s="1605"/>
      <c r="AR636" s="1605"/>
      <c r="AS636" s="1605"/>
      <c r="AT636" s="1605"/>
      <c r="AU636" s="1605"/>
      <c r="AV636" s="1605"/>
      <c r="AW636" s="1605"/>
      <c r="AX636" s="1605"/>
      <c r="AY636" s="1605"/>
      <c r="AZ636" s="1605"/>
      <c r="BA636" s="1605"/>
      <c r="BB636" s="1605"/>
      <c r="BC636" s="1605"/>
      <c r="BD636" s="1605"/>
      <c r="BE636" s="1605"/>
      <c r="BF636" s="1605"/>
      <c r="BG636" s="1605"/>
      <c r="BH636" s="1605"/>
      <c r="BI636" s="1605"/>
      <c r="BJ636" s="1605"/>
      <c r="BK636" s="1605"/>
      <c r="BL636" s="1605"/>
      <c r="BM636" s="1605"/>
      <c r="BN636" s="1605"/>
      <c r="BO636" s="1605"/>
      <c r="BP636" s="1605"/>
      <c r="BQ636" s="1297"/>
      <c r="BR636" s="1297"/>
      <c r="BS636" s="1072"/>
      <c r="BT636" s="1072"/>
      <c r="BU636" s="1072"/>
      <c r="BV636" s="987"/>
      <c r="BW636" s="987"/>
    </row>
    <row s="1656" customFormat="1" customHeight="1" ht="37.57192611694336">
      <c r="A637" s="1297"/>
      <c r="B637" s="986"/>
      <c r="C637" s="1297"/>
      <c r="D637" s="1297"/>
      <c r="E637" s="626">
        <v>15</v>
      </c>
      <c r="F637" s="1297"/>
      <c r="G637" s="1297"/>
      <c r="H637" s="1297"/>
      <c r="I637" s="1297"/>
      <c r="J637" s="1297"/>
      <c r="K637" s="1297"/>
      <c r="L637" s="1297"/>
      <c r="M637" s="1297"/>
      <c r="N637" s="1297"/>
      <c r="O637" s="1297"/>
      <c r="P637" s="1297"/>
      <c r="Q637" s="1297"/>
      <c r="R637" s="1297"/>
      <c r="S637" s="1297"/>
      <c r="T637" s="468">
        <f>ROW(W637)&gt;ROW(W$609)</f>
        <v>1</v>
      </c>
      <c r="U637" s="1297"/>
      <c r="V637" s="1297"/>
      <c r="W637" s="103"/>
      <c r="X637" s="1297"/>
      <c r="Y637" s="1297"/>
      <c r="Z637" s="1297"/>
      <c r="AA637" s="51" t="s">
        <v>174</v>
      </c>
      <c r="AB637" s="6711" t="s">
        <v>2659</v>
      </c>
      <c r="AC637" s="1605"/>
      <c r="AD637" s="1605"/>
      <c r="AE637" s="1605"/>
      <c r="AF637" s="1605"/>
      <c r="AG637" s="1605"/>
      <c r="AH637" s="1605"/>
      <c r="AI637" s="1605"/>
      <c r="AJ637" s="1605"/>
      <c r="AK637" s="1605"/>
      <c r="AL637" s="1605"/>
      <c r="AM637" s="1605"/>
      <c r="AN637" s="1605"/>
      <c r="AO637" s="1605"/>
      <c r="AP637" s="1605"/>
      <c r="AQ637" s="1605"/>
      <c r="AR637" s="1605"/>
      <c r="AS637" s="1605"/>
      <c r="AT637" s="1605"/>
      <c r="AU637" s="1605"/>
      <c r="AV637" s="1605"/>
      <c r="AW637" s="1605"/>
      <c r="AX637" s="1605"/>
      <c r="AY637" s="1605"/>
      <c r="AZ637" s="1605"/>
      <c r="BA637" s="1605"/>
      <c r="BB637" s="1605"/>
      <c r="BC637" s="1605"/>
      <c r="BD637" s="1605"/>
      <c r="BE637" s="1605"/>
      <c r="BF637" s="1605"/>
      <c r="BG637" s="1605"/>
      <c r="BH637" s="1605"/>
      <c r="BI637" s="1605"/>
      <c r="BJ637" s="1605"/>
      <c r="BK637" s="1605"/>
      <c r="BL637" s="1605"/>
      <c r="BM637" s="1605"/>
      <c r="BN637" s="1605"/>
      <c r="BO637" s="1605"/>
      <c r="BP637" s="1605"/>
      <c r="BQ637" s="1297"/>
      <c r="BR637" s="1297"/>
      <c r="BS637" s="1072"/>
      <c r="BT637" s="1072"/>
      <c r="BU637" s="1072"/>
      <c r="BV637" s="987"/>
      <c r="BW637" s="987"/>
    </row>
    <row s="1656" customFormat="1" customHeight="1" ht="41.32192611694336">
      <c r="A638" s="1297"/>
      <c r="B638" s="986"/>
      <c r="C638" s="1297"/>
      <c r="D638" s="1297"/>
      <c r="E638" s="626">
        <v>15</v>
      </c>
      <c r="F638" s="1297"/>
      <c r="G638" s="1297"/>
      <c r="H638" s="1297"/>
      <c r="I638" s="1297"/>
      <c r="J638" s="1297"/>
      <c r="K638" s="1297"/>
      <c r="L638" s="1297"/>
      <c r="M638" s="1297"/>
      <c r="N638" s="1297"/>
      <c r="O638" s="1297"/>
      <c r="P638" s="1297"/>
      <c r="Q638" s="1297"/>
      <c r="R638" s="1297"/>
      <c r="S638" s="1297"/>
      <c r="T638" s="468">
        <f>ROW(W638)&gt;ROW(W$609)</f>
        <v>1</v>
      </c>
      <c r="U638" s="1297"/>
      <c r="V638" s="1297"/>
      <c r="W638" s="103"/>
      <c r="X638" s="1297"/>
      <c r="Y638" s="1297"/>
      <c r="Z638" s="1297"/>
      <c r="AA638" s="51" t="s">
        <v>174</v>
      </c>
      <c r="AB638" s="6711" t="s">
        <v>2660</v>
      </c>
      <c r="AC638" s="1605"/>
      <c r="AD638" s="1605"/>
      <c r="AE638" s="1605"/>
      <c r="AF638" s="1605"/>
      <c r="AG638" s="1605"/>
      <c r="AH638" s="1605"/>
      <c r="AI638" s="1605"/>
      <c r="AJ638" s="1605"/>
      <c r="AK638" s="1605"/>
      <c r="AL638" s="1605"/>
      <c r="AM638" s="1605"/>
      <c r="AN638" s="1605"/>
      <c r="AO638" s="1605"/>
      <c r="AP638" s="1605"/>
      <c r="AQ638" s="1605"/>
      <c r="AR638" s="1605"/>
      <c r="AS638" s="1605"/>
      <c r="AT638" s="1605"/>
      <c r="AU638" s="1605"/>
      <c r="AV638" s="1605"/>
      <c r="AW638" s="1605"/>
      <c r="AX638" s="1605"/>
      <c r="AY638" s="1605"/>
      <c r="AZ638" s="1605"/>
      <c r="BA638" s="1605"/>
      <c r="BB638" s="1605"/>
      <c r="BC638" s="1605"/>
      <c r="BD638" s="1605"/>
      <c r="BE638" s="1605"/>
      <c r="BF638" s="1605"/>
      <c r="BG638" s="1605"/>
      <c r="BH638" s="1605"/>
      <c r="BI638" s="1605"/>
      <c r="BJ638" s="1605"/>
      <c r="BK638" s="1605"/>
      <c r="BL638" s="1605"/>
      <c r="BM638" s="1605"/>
      <c r="BN638" s="1605"/>
      <c r="BO638" s="1605"/>
      <c r="BP638" s="1605"/>
      <c r="BQ638" s="1297"/>
      <c r="BR638" s="1297"/>
      <c r="BS638" s="1072"/>
      <c r="BT638" s="1072"/>
      <c r="BU638" s="1072"/>
      <c r="BV638" s="987"/>
      <c r="BW638" s="987"/>
    </row>
    <row s="1656" customFormat="1" customHeight="1" ht="35.323660714285715">
      <c r="A639" s="1297"/>
      <c r="B639" s="986"/>
      <c r="C639" s="1297"/>
      <c r="D639" s="1297"/>
      <c r="E639" s="626">
        <v>15</v>
      </c>
      <c r="F639" s="1297"/>
      <c r="G639" s="1297"/>
      <c r="H639" s="1297"/>
      <c r="I639" s="1297"/>
      <c r="J639" s="1297"/>
      <c r="K639" s="1297"/>
      <c r="L639" s="1297"/>
      <c r="M639" s="1297"/>
      <c r="N639" s="1297"/>
      <c r="O639" s="1297"/>
      <c r="P639" s="1297"/>
      <c r="Q639" s="1297"/>
      <c r="R639" s="1297"/>
      <c r="S639" s="1297"/>
      <c r="T639" s="468">
        <f>ROW(W639)&gt;ROW(W$609)</f>
        <v>1</v>
      </c>
      <c r="U639" s="1297"/>
      <c r="V639" s="1297"/>
      <c r="W639" s="103"/>
      <c r="X639" s="1297"/>
      <c r="Y639" s="1297"/>
      <c r="Z639" s="1297"/>
      <c r="AA639" s="51" t="s">
        <v>174</v>
      </c>
      <c r="AB639" s="6711" t="s">
        <v>2661</v>
      </c>
      <c r="AC639" s="1605"/>
      <c r="AD639" s="1605"/>
      <c r="AE639" s="1605"/>
      <c r="AF639" s="1605"/>
      <c r="AG639" s="1605"/>
      <c r="AH639" s="1605"/>
      <c r="AI639" s="1605"/>
      <c r="AJ639" s="1605"/>
      <c r="AK639" s="1605"/>
      <c r="AL639" s="1605"/>
      <c r="AM639" s="1605"/>
      <c r="AN639" s="1605"/>
      <c r="AO639" s="1605"/>
      <c r="AP639" s="1605"/>
      <c r="AQ639" s="1605"/>
      <c r="AR639" s="1605"/>
      <c r="AS639" s="1605"/>
      <c r="AT639" s="1605"/>
      <c r="AU639" s="1605"/>
      <c r="AV639" s="1605"/>
      <c r="AW639" s="1605"/>
      <c r="AX639" s="1605"/>
      <c r="AY639" s="1605"/>
      <c r="AZ639" s="1605"/>
      <c r="BA639" s="1605"/>
      <c r="BB639" s="1605"/>
      <c r="BC639" s="1605"/>
      <c r="BD639" s="1605"/>
      <c r="BE639" s="1605"/>
      <c r="BF639" s="1605"/>
      <c r="BG639" s="1605"/>
      <c r="BH639" s="1605"/>
      <c r="BI639" s="1605"/>
      <c r="BJ639" s="1605"/>
      <c r="BK639" s="1605"/>
      <c r="BL639" s="1605"/>
      <c r="BM639" s="1605"/>
      <c r="BN639" s="1605"/>
      <c r="BO639" s="1605"/>
      <c r="BP639" s="1605"/>
      <c r="BQ639" s="1297"/>
      <c r="BR639" s="1297"/>
      <c r="BS639" s="1072"/>
      <c r="BT639" s="1072"/>
      <c r="BU639" s="1072"/>
      <c r="BV639" s="987"/>
      <c r="BW639" s="987"/>
    </row>
    <row s="1656" customFormat="1" customHeight="1" ht="38.50942611694336">
      <c r="A640" s="1297"/>
      <c r="B640" s="986"/>
      <c r="C640" s="1297"/>
      <c r="D640" s="1297"/>
      <c r="E640" s="626">
        <v>15</v>
      </c>
      <c r="F640" s="1297"/>
      <c r="G640" s="1297"/>
      <c r="H640" s="1297"/>
      <c r="I640" s="1297"/>
      <c r="J640" s="1297"/>
      <c r="K640" s="1297"/>
      <c r="L640" s="1297"/>
      <c r="M640" s="1297"/>
      <c r="N640" s="1297"/>
      <c r="O640" s="1297"/>
      <c r="P640" s="1297"/>
      <c r="Q640" s="1297"/>
      <c r="R640" s="1297"/>
      <c r="S640" s="1297"/>
      <c r="T640" s="468">
        <f>ROW(W640)&gt;ROW(W$609)</f>
        <v>1</v>
      </c>
      <c r="U640" s="1297"/>
      <c r="V640" s="1297"/>
      <c r="W640" s="103"/>
      <c r="X640" s="1297"/>
      <c r="Y640" s="1297" t="s">
        <v>240</v>
      </c>
      <c r="Z640" s="1297"/>
      <c r="AA640" s="51" t="s">
        <v>174</v>
      </c>
      <c r="AB640" s="6711" t="s">
        <v>2662</v>
      </c>
      <c r="AC640" s="1605"/>
      <c r="AD640" s="1605"/>
      <c r="AE640" s="1605"/>
      <c r="AF640" s="1605"/>
      <c r="AG640" s="1605"/>
      <c r="AH640" s="1605"/>
      <c r="AI640" s="1605"/>
      <c r="AJ640" s="1605"/>
      <c r="AK640" s="1605"/>
      <c r="AL640" s="1605"/>
      <c r="AM640" s="1605"/>
      <c r="AN640" s="1605"/>
      <c r="AO640" s="1605"/>
      <c r="AP640" s="1605"/>
      <c r="AQ640" s="1605"/>
      <c r="AR640" s="1605"/>
      <c r="AS640" s="1605"/>
      <c r="AT640" s="1605"/>
      <c r="AU640" s="1605"/>
      <c r="AV640" s="1605"/>
      <c r="AW640" s="1605"/>
      <c r="AX640" s="1605"/>
      <c r="AY640" s="1605"/>
      <c r="AZ640" s="1605"/>
      <c r="BA640" s="1605"/>
      <c r="BB640" s="1605"/>
      <c r="BC640" s="1605"/>
      <c r="BD640" s="1605"/>
      <c r="BE640" s="1605"/>
      <c r="BF640" s="1605"/>
      <c r="BG640" s="1605"/>
      <c r="BH640" s="1605"/>
      <c r="BI640" s="1605"/>
      <c r="BJ640" s="1605"/>
      <c r="BK640" s="1605"/>
      <c r="BL640" s="1605"/>
      <c r="BM640" s="1605"/>
      <c r="BN640" s="1605"/>
      <c r="BO640" s="1605"/>
      <c r="BP640" s="1605"/>
      <c r="BQ640" s="1297"/>
      <c r="BR640" s="1297"/>
      <c r="BS640" s="1072"/>
      <c r="BT640" s="1072"/>
      <c r="BU640" s="1072"/>
      <c r="BV640" s="987"/>
      <c r="BW640" s="987"/>
    </row>
    <row s="1656" customFormat="1" customHeight="1" ht="40.38442611694336">
      <c r="A641" s="1297"/>
      <c r="B641" s="986"/>
      <c r="C641" s="1297"/>
      <c r="D641" s="1297"/>
      <c r="E641" s="626">
        <v>15</v>
      </c>
      <c r="F641" s="1297"/>
      <c r="G641" s="1297"/>
      <c r="H641" s="1297"/>
      <c r="I641" s="1297"/>
      <c r="J641" s="1297"/>
      <c r="K641" s="1297"/>
      <c r="L641" s="1297"/>
      <c r="M641" s="1297"/>
      <c r="N641" s="1297"/>
      <c r="O641" s="1297"/>
      <c r="P641" s="1297"/>
      <c r="Q641" s="1297"/>
      <c r="R641" s="1297"/>
      <c r="S641" s="1297"/>
      <c r="T641" s="468">
        <f>ROW(W641)&gt;ROW(W$609)</f>
        <v>1</v>
      </c>
      <c r="U641" s="1297"/>
      <c r="V641" s="1297"/>
      <c r="W641" s="103"/>
      <c r="X641" s="1297"/>
      <c r="Y641" s="1297"/>
      <c r="Z641" s="1297"/>
      <c r="AA641" s="51" t="s">
        <v>174</v>
      </c>
      <c r="AB641" s="6711" t="s">
        <v>2663</v>
      </c>
      <c r="AC641" s="1605"/>
      <c r="AD641" s="1605"/>
      <c r="AE641" s="1605"/>
      <c r="AF641" s="1605"/>
      <c r="AG641" s="1605"/>
      <c r="AH641" s="1605"/>
      <c r="AI641" s="1605"/>
      <c r="AJ641" s="1605"/>
      <c r="AK641" s="1605"/>
      <c r="AL641" s="1605"/>
      <c r="AM641" s="1605"/>
      <c r="AN641" s="1605"/>
      <c r="AO641" s="1605"/>
      <c r="AP641" s="1605"/>
      <c r="AQ641" s="1605"/>
      <c r="AR641" s="1605"/>
      <c r="AS641" s="1605"/>
      <c r="AT641" s="1605"/>
      <c r="AU641" s="1605"/>
      <c r="AV641" s="1605"/>
      <c r="AW641" s="1605"/>
      <c r="AX641" s="1605"/>
      <c r="AY641" s="1605"/>
      <c r="AZ641" s="1605"/>
      <c r="BA641" s="1605"/>
      <c r="BB641" s="1605"/>
      <c r="BC641" s="1605"/>
      <c r="BD641" s="1605"/>
      <c r="BE641" s="1605"/>
      <c r="BF641" s="1605"/>
      <c r="BG641" s="1605"/>
      <c r="BH641" s="1605"/>
      <c r="BI641" s="1605"/>
      <c r="BJ641" s="1605"/>
      <c r="BK641" s="1605"/>
      <c r="BL641" s="1605"/>
      <c r="BM641" s="1605"/>
      <c r="BN641" s="1605"/>
      <c r="BO641" s="1605"/>
      <c r="BP641" s="1605"/>
      <c r="BQ641" s="1297"/>
      <c r="BR641" s="1297"/>
      <c r="BS641" s="1072"/>
      <c r="BT641" s="1072"/>
      <c r="BU641" s="1072"/>
      <c r="BV641" s="987"/>
      <c r="BW641" s="987"/>
    </row>
    <row s="1656" customFormat="1" customHeight="1" ht="46.00942611694336">
      <c r="A642" s="1297"/>
      <c r="B642" s="986"/>
      <c r="C642" s="1297"/>
      <c r="D642" s="1297"/>
      <c r="E642" s="626">
        <v>15</v>
      </c>
      <c r="F642" s="1297"/>
      <c r="G642" s="1297"/>
      <c r="H642" s="1297"/>
      <c r="I642" s="1297"/>
      <c r="J642" s="1297"/>
      <c r="K642" s="1297"/>
      <c r="L642" s="1297"/>
      <c r="M642" s="1297"/>
      <c r="N642" s="1297"/>
      <c r="O642" s="1297"/>
      <c r="P642" s="1297"/>
      <c r="Q642" s="1297"/>
      <c r="R642" s="1297"/>
      <c r="S642" s="1297"/>
      <c r="T642" s="468">
        <f>ROW(W642)&gt;ROW(W$609)</f>
        <v>1</v>
      </c>
      <c r="U642" s="1297"/>
      <c r="V642" s="1297"/>
      <c r="W642" s="103"/>
      <c r="X642" s="1297"/>
      <c r="Y642" s="1297"/>
      <c r="Z642" s="1297"/>
      <c r="AA642" s="51" t="s">
        <v>174</v>
      </c>
      <c r="AB642" s="6711" t="s">
        <v>2664</v>
      </c>
      <c r="AC642" s="1605"/>
      <c r="AD642" s="1605"/>
      <c r="AE642" s="1605"/>
      <c r="AF642" s="1605"/>
      <c r="AG642" s="1605"/>
      <c r="AH642" s="1605"/>
      <c r="AI642" s="1605"/>
      <c r="AJ642" s="1605"/>
      <c r="AK642" s="1605"/>
      <c r="AL642" s="1605"/>
      <c r="AM642" s="1605"/>
      <c r="AN642" s="1605"/>
      <c r="AO642" s="1605"/>
      <c r="AP642" s="1605"/>
      <c r="AQ642" s="1605"/>
      <c r="AR642" s="1605"/>
      <c r="AS642" s="1605"/>
      <c r="AT642" s="1605"/>
      <c r="AU642" s="1605"/>
      <c r="AV642" s="1605"/>
      <c r="AW642" s="1605"/>
      <c r="AX642" s="1605"/>
      <c r="AY642" s="1605"/>
      <c r="AZ642" s="1605"/>
      <c r="BA642" s="1605"/>
      <c r="BB642" s="1605"/>
      <c r="BC642" s="1605"/>
      <c r="BD642" s="1605"/>
      <c r="BE642" s="1605"/>
      <c r="BF642" s="1605"/>
      <c r="BG642" s="1605"/>
      <c r="BH642" s="1605"/>
      <c r="BI642" s="1605"/>
      <c r="BJ642" s="1605"/>
      <c r="BK642" s="1605"/>
      <c r="BL642" s="1605"/>
      <c r="BM642" s="1605"/>
      <c r="BN642" s="1605"/>
      <c r="BO642" s="1605"/>
      <c r="BP642" s="1605"/>
      <c r="BQ642" s="1297"/>
      <c r="BR642" s="1297"/>
      <c r="BS642" s="1072"/>
      <c r="BT642" s="1072"/>
      <c r="BU642" s="1072"/>
      <c r="BV642" s="987"/>
      <c r="BW642" s="987"/>
    </row>
    <row s="1656" customFormat="1" customHeight="1" ht="46.94692611694336">
      <c r="A643" s="1297"/>
      <c r="B643" s="986"/>
      <c r="C643" s="1297"/>
      <c r="D643" s="1297"/>
      <c r="E643" s="626">
        <v>15</v>
      </c>
      <c r="F643" s="1297"/>
      <c r="G643" s="1297"/>
      <c r="H643" s="1297"/>
      <c r="I643" s="1297"/>
      <c r="J643" s="1297"/>
      <c r="K643" s="1297"/>
      <c r="L643" s="1297"/>
      <c r="M643" s="1297"/>
      <c r="N643" s="1297"/>
      <c r="O643" s="1297"/>
      <c r="P643" s="1297"/>
      <c r="Q643" s="1297"/>
      <c r="R643" s="1297"/>
      <c r="S643" s="1297"/>
      <c r="T643" s="468">
        <f>ROW(W643)&gt;ROW(W$609)</f>
        <v>1</v>
      </c>
      <c r="U643" s="1297"/>
      <c r="V643" s="1297"/>
      <c r="W643" s="103"/>
      <c r="X643" s="1297"/>
      <c r="Y643" s="1297"/>
      <c r="Z643" s="1297"/>
      <c r="AA643" s="51" t="s">
        <v>174</v>
      </c>
      <c r="AB643" s="6711" t="s">
        <v>2665</v>
      </c>
      <c r="AC643" s="1605"/>
      <c r="AD643" s="1605"/>
      <c r="AE643" s="1605"/>
      <c r="AF643" s="1605"/>
      <c r="AG643" s="1605"/>
      <c r="AH643" s="1605"/>
      <c r="AI643" s="1605"/>
      <c r="AJ643" s="1605"/>
      <c r="AK643" s="1605"/>
      <c r="AL643" s="1605"/>
      <c r="AM643" s="1605"/>
      <c r="AN643" s="1605"/>
      <c r="AO643" s="1605"/>
      <c r="AP643" s="1605"/>
      <c r="AQ643" s="1605"/>
      <c r="AR643" s="1605"/>
      <c r="AS643" s="1605"/>
      <c r="AT643" s="1605"/>
      <c r="AU643" s="1605"/>
      <c r="AV643" s="1605"/>
      <c r="AW643" s="1605"/>
      <c r="AX643" s="1605"/>
      <c r="AY643" s="1605"/>
      <c r="AZ643" s="1605"/>
      <c r="BA643" s="1605"/>
      <c r="BB643" s="1605"/>
      <c r="BC643" s="1605"/>
      <c r="BD643" s="1605"/>
      <c r="BE643" s="1605"/>
      <c r="BF643" s="1605"/>
      <c r="BG643" s="1605"/>
      <c r="BH643" s="1605"/>
      <c r="BI643" s="1605"/>
      <c r="BJ643" s="1605"/>
      <c r="BK643" s="1605"/>
      <c r="BL643" s="1605"/>
      <c r="BM643" s="1605"/>
      <c r="BN643" s="1605"/>
      <c r="BO643" s="1605"/>
      <c r="BP643" s="1605"/>
      <c r="BQ643" s="1297"/>
      <c r="BR643" s="1297"/>
      <c r="BS643" s="1072"/>
      <c r="BT643" s="1072"/>
      <c r="BU643" s="1072"/>
      <c r="BV643" s="987"/>
      <c r="BW643" s="987"/>
    </row>
    <row s="1656" customFormat="1" customHeight="1" ht="35.69692611694336">
      <c r="A644" s="1297"/>
      <c r="B644" s="986"/>
      <c r="C644" s="1297"/>
      <c r="D644" s="1297"/>
      <c r="E644" s="626">
        <v>15</v>
      </c>
      <c r="F644" s="1297"/>
      <c r="G644" s="1297"/>
      <c r="H644" s="1297"/>
      <c r="I644" s="1297"/>
      <c r="J644" s="1297"/>
      <c r="K644" s="1297"/>
      <c r="L644" s="1297"/>
      <c r="M644" s="1297"/>
      <c r="N644" s="1297"/>
      <c r="O644" s="1297"/>
      <c r="P644" s="1297"/>
      <c r="Q644" s="1297"/>
      <c r="R644" s="1297"/>
      <c r="S644" s="1297"/>
      <c r="T644" s="468">
        <f>ROW(W644)&gt;ROW(W$609)</f>
        <v>1</v>
      </c>
      <c r="U644" s="1297"/>
      <c r="V644" s="1297"/>
      <c r="W644" s="103"/>
      <c r="X644" s="1297"/>
      <c r="Y644" s="1297"/>
      <c r="Z644" s="1297"/>
      <c r="AA644" s="51" t="s">
        <v>174</v>
      </c>
      <c r="AB644" s="6711" t="s">
        <v>2666</v>
      </c>
      <c r="AC644" s="1605"/>
      <c r="AD644" s="1605"/>
      <c r="AE644" s="1605"/>
      <c r="AF644" s="1605"/>
      <c r="AG644" s="1605"/>
      <c r="AH644" s="1605"/>
      <c r="AI644" s="1605"/>
      <c r="AJ644" s="1605"/>
      <c r="AK644" s="1605"/>
      <c r="AL644" s="1605"/>
      <c r="AM644" s="1605"/>
      <c r="AN644" s="1605"/>
      <c r="AO644" s="1605"/>
      <c r="AP644" s="1605"/>
      <c r="AQ644" s="1605"/>
      <c r="AR644" s="1605"/>
      <c r="AS644" s="1605"/>
      <c r="AT644" s="1605"/>
      <c r="AU644" s="1605"/>
      <c r="AV644" s="1605"/>
      <c r="AW644" s="1605"/>
      <c r="AX644" s="1605"/>
      <c r="AY644" s="1605"/>
      <c r="AZ644" s="1605"/>
      <c r="BA644" s="1605"/>
      <c r="BB644" s="1605"/>
      <c r="BC644" s="1605"/>
      <c r="BD644" s="1605"/>
      <c r="BE644" s="1605"/>
      <c r="BF644" s="1605"/>
      <c r="BG644" s="1605"/>
      <c r="BH644" s="1605"/>
      <c r="BI644" s="1605"/>
      <c r="BJ644" s="1605"/>
      <c r="BK644" s="1605"/>
      <c r="BL644" s="1605"/>
      <c r="BM644" s="1605"/>
      <c r="BN644" s="1605"/>
      <c r="BO644" s="1605"/>
      <c r="BP644" s="1605"/>
      <c r="BQ644" s="1297"/>
      <c r="BR644" s="1297"/>
      <c r="BS644" s="1072"/>
      <c r="BT644" s="1072"/>
      <c r="BU644" s="1072"/>
      <c r="BV644" s="987"/>
      <c r="BW644" s="987"/>
    </row>
    <row s="1656" customFormat="1" customHeight="1" ht="48.82192611694336">
      <c r="A645" s="1297"/>
      <c r="B645" s="986"/>
      <c r="C645" s="1297"/>
      <c r="D645" s="1297"/>
      <c r="E645" s="626">
        <v>15</v>
      </c>
      <c r="F645" s="1297"/>
      <c r="G645" s="1297"/>
      <c r="H645" s="1297"/>
      <c r="I645" s="1297"/>
      <c r="J645" s="1297"/>
      <c r="K645" s="1297"/>
      <c r="L645" s="1297"/>
      <c r="M645" s="1297"/>
      <c r="N645" s="1297"/>
      <c r="O645" s="1297"/>
      <c r="P645" s="1297"/>
      <c r="Q645" s="1297"/>
      <c r="R645" s="1297"/>
      <c r="S645" s="1297"/>
      <c r="T645" s="468">
        <f>ROW(W645)&gt;ROW(W$609)</f>
        <v>1</v>
      </c>
      <c r="U645" s="1297"/>
      <c r="V645" s="1297"/>
      <c r="W645" s="103"/>
      <c r="X645" s="1297"/>
      <c r="Y645" s="1297" t="s">
        <v>240</v>
      </c>
      <c r="Z645" s="1297"/>
      <c r="AA645" s="51" t="s">
        <v>174</v>
      </c>
      <c r="AB645" s="6711" t="s">
        <v>2667</v>
      </c>
      <c r="AC645" s="1605"/>
      <c r="AD645" s="1605"/>
      <c r="AE645" s="1605"/>
      <c r="AF645" s="1605"/>
      <c r="AG645" s="1605"/>
      <c r="AH645" s="1605"/>
      <c r="AI645" s="1605"/>
      <c r="AJ645" s="1605"/>
      <c r="AK645" s="1605"/>
      <c r="AL645" s="1605"/>
      <c r="AM645" s="1605"/>
      <c r="AN645" s="1605"/>
      <c r="AO645" s="1605"/>
      <c r="AP645" s="1605"/>
      <c r="AQ645" s="1605"/>
      <c r="AR645" s="1605"/>
      <c r="AS645" s="1605"/>
      <c r="AT645" s="1605"/>
      <c r="AU645" s="1605"/>
      <c r="AV645" s="1605"/>
      <c r="AW645" s="1605"/>
      <c r="AX645" s="1605"/>
      <c r="AY645" s="1605"/>
      <c r="AZ645" s="1605"/>
      <c r="BA645" s="1605"/>
      <c r="BB645" s="1605"/>
      <c r="BC645" s="1605"/>
      <c r="BD645" s="1605"/>
      <c r="BE645" s="1605"/>
      <c r="BF645" s="1605"/>
      <c r="BG645" s="1605"/>
      <c r="BH645" s="1605"/>
      <c r="BI645" s="1605"/>
      <c r="BJ645" s="1605"/>
      <c r="BK645" s="1605"/>
      <c r="BL645" s="1605"/>
      <c r="BM645" s="1605"/>
      <c r="BN645" s="1605"/>
      <c r="BO645" s="1605"/>
      <c r="BP645" s="1605"/>
      <c r="BQ645" s="1297"/>
      <c r="BR645" s="1297"/>
      <c r="BS645" s="1072"/>
      <c r="BT645" s="1072"/>
      <c r="BU645" s="1072"/>
      <c r="BV645" s="987"/>
      <c r="BW645" s="987"/>
    </row>
    <row customHeight="1" ht="14.625">
      <c r="B646" s="92"/>
      <c r="C646" s="103"/>
      <c r="D646" s="103"/>
      <c r="E646" s="626">
        <v>15</v>
      </c>
      <c r="F646" s="103"/>
      <c r="G646" s="103"/>
      <c r="H646" s="103"/>
      <c r="I646" s="103"/>
      <c r="J646" s="103"/>
      <c r="K646" s="103"/>
      <c r="N646" s="103"/>
      <c r="O646" s="103"/>
      <c r="P646" s="103"/>
      <c r="Q646" s="103"/>
      <c r="R646" s="103"/>
      <c r="S646" s="103"/>
      <c r="T646" s="103"/>
      <c r="U646" s="103"/>
      <c r="V646" s="103"/>
      <c r="W646" s="836" t="s">
        <v>421</v>
      </c>
      <c r="AB646" s="796"/>
      <c r="AC646" s="517" t="s">
        <v>422</v>
      </c>
      <c r="AD646" s="797"/>
      <c r="AE646" s="797"/>
      <c r="AF646" s="797"/>
      <c r="AG646" s="797"/>
      <c r="AH646" s="797"/>
      <c r="AI646" s="797"/>
      <c r="AJ646" s="797"/>
      <c r="AK646" s="797"/>
      <c r="AL646" s="797"/>
      <c r="AM646" s="797"/>
      <c r="AN646" s="797"/>
      <c r="AO646" s="797"/>
      <c r="AP646" s="797"/>
      <c r="AQ646" s="797"/>
      <c r="AR646" s="797"/>
      <c r="AS646" s="797"/>
      <c r="AT646" s="797"/>
      <c r="AU646" s="797"/>
      <c r="AV646" s="797"/>
      <c r="AW646" s="797"/>
      <c r="AX646" s="797"/>
      <c r="AY646" s="797"/>
      <c r="AZ646" s="797"/>
      <c r="BA646" s="797"/>
      <c r="BB646" s="797"/>
      <c r="BC646" s="797"/>
      <c r="BD646" s="797"/>
      <c r="BE646" s="797"/>
      <c r="BF646" s="797"/>
      <c r="BG646" s="797"/>
      <c r="BH646" s="797"/>
      <c r="BI646" s="797"/>
      <c r="BJ646" s="797"/>
      <c r="BK646" s="797"/>
      <c r="BL646" s="797"/>
      <c r="BM646" s="797"/>
      <c r="BN646" s="797"/>
      <c r="BO646" s="797"/>
      <c r="BP646" s="798"/>
    </row>
    <row customHeight="1" ht="10.96875">
      <c r="E647" s="709">
        <v>11.25</v>
      </c>
      <c r="AJ647" s="1297"/>
      <c r="AK647" s="1297"/>
      <c r="AL647" s="1297"/>
      <c r="AM647" s="1297"/>
      <c r="AN647" s="1297"/>
      <c r="AO647" s="1297"/>
      <c r="AP647" s="1297"/>
      <c r="AQ647" s="1297"/>
      <c r="AR647" s="1297"/>
      <c r="AS647" s="1297"/>
      <c r="AT647" s="1297"/>
      <c r="AU647" s="1297"/>
      <c r="AV647" s="1297"/>
      <c r="AW647" s="1297"/>
      <c r="AX647" s="1297"/>
      <c r="AY647" s="1297"/>
      <c r="AZ647" s="1297"/>
      <c r="BA647" s="1297"/>
      <c r="BB647" s="1297"/>
      <c r="BC647" s="1297"/>
      <c r="BD647" s="1297"/>
      <c r="BE647" s="1297"/>
      <c r="BF647" s="1297"/>
      <c r="BG647" s="1297"/>
      <c r="BH647" s="1297"/>
      <c r="BI647" s="1297"/>
      <c r="BJ647" s="1297"/>
      <c r="BK647" s="1297"/>
      <c r="BL647" s="1297"/>
      <c r="BM647" s="1297"/>
      <c r="BQ647" s="428"/>
    </row>
  </sheetData>
  <sheetProtection formatColumns="0" formatRows="0" insertRows="0" deleteColumns="0" deleteRows="0" sort="0" autoFilter="0" insertColumns="1"/>
  <mergeCells count="54">
    <mergeCell ref="AB607:BP607"/>
    <mergeCell ref="AB608:BP608"/>
    <mergeCell ref="AB609:BP609"/>
    <mergeCell ref="X27:X170"/>
    <mergeCell ref="Z27:Z170"/>
    <mergeCell ref="BP24:BP25"/>
    <mergeCell ref="BD25:BM25"/>
    <mergeCell ref="AB24:AB25"/>
    <mergeCell ref="AC24:AC25"/>
    <mergeCell ref="AD24:AD25"/>
    <mergeCell ref="BN24:BN25"/>
    <mergeCell ref="BO24:BO25"/>
    <mergeCell ref="X171:X315"/>
    <mergeCell ref="Z171:Z315"/>
    <mergeCell ref="X316:X460"/>
    <mergeCell ref="Z316:Z460"/>
    <mergeCell ref="X461:X605"/>
    <mergeCell ref="Z461:Z605"/>
    <mergeCell ref="AB610:BP610"/>
    <mergeCell ref="AB611:BP611"/>
    <mergeCell ref="AB612:BP612"/>
    <mergeCell ref="AB613:BP613"/>
    <mergeCell ref="AB614:BP614"/>
    <mergeCell ref="AB615:BP615"/>
    <mergeCell ref="AB616:BP616"/>
    <mergeCell ref="AB617:BP617"/>
    <mergeCell ref="AB618:BP618"/>
    <mergeCell ref="AB619:BP619"/>
    <mergeCell ref="AB620:BP620"/>
    <mergeCell ref="AB621:BP621"/>
    <mergeCell ref="AB622:BP622"/>
    <mergeCell ref="AB623:BP623"/>
    <mergeCell ref="AB624:BP624"/>
    <mergeCell ref="AB625:BP625"/>
    <mergeCell ref="AB626:BP626"/>
    <mergeCell ref="AB627:BP627"/>
    <mergeCell ref="AB628:BP628"/>
    <mergeCell ref="AB629:BP629"/>
    <mergeCell ref="AB630:BP630"/>
    <mergeCell ref="AB631:BP631"/>
    <mergeCell ref="AB632:BP632"/>
    <mergeCell ref="AB633:BP633"/>
    <mergeCell ref="AB634:BP634"/>
    <mergeCell ref="AB635:BP635"/>
    <mergeCell ref="AB636:BP636"/>
    <mergeCell ref="AB637:BP637"/>
    <mergeCell ref="AB638:BP638"/>
    <mergeCell ref="AB639:BP639"/>
    <mergeCell ref="AB640:BP640"/>
    <mergeCell ref="AB641:BP641"/>
    <mergeCell ref="AB642:BP642"/>
    <mergeCell ref="AB643:BP643"/>
    <mergeCell ref="AB644:BP644"/>
    <mergeCell ref="AB645:BP645"/>
  </mergeCells>
  <hyperlinks>
    <hyperlink ref="BN172" r:id="rId1" xr:uid="{EF402EB8-D487-DA18-C828-42B2376FA6A8}"/>
    <hyperlink ref="BN221" r:id="rId2" xr:uid="{48922D88-A3C5-1838-42DB-F8E28AC5A78E}"/>
    <hyperlink ref="BN238" r:id="rId3" xr:uid="{53ECE0DA-763B-4B99-A1E9-F4198A1DCED4}"/>
    <hyperlink ref="BN240" r:id="rId4" xr:uid="{01D22C5A-5488-139C-BBB6-B13DC6A0F7A8}"/>
    <hyperlink ref="BN243" r:id="rId5" xr:uid="{956A5118-BEE8-ACB8-A518-A51610446A08}"/>
    <hyperlink ref="BN262" r:id="rId6" xr:uid="{CA6ABEAE-C5D8-2F08-5228-C1400DCB11C4}"/>
    <hyperlink ref="BN265" r:id="rId7" xr:uid="{AFDA9428-D8D8-96F8-70B8-13F99C7FF2D8}"/>
    <hyperlink ref="BN266" r:id="rId8" xr:uid="{64EBE194-6318-EC39-9584-A707FBA5064D}"/>
    <hyperlink ref="BN282" r:id="rId9" xr:uid="{CCDAA876-F2D8-2BF8-57D8-54A2AC6D977F}"/>
    <hyperlink ref="BN284" r:id="rId10" xr:uid="{8303B5F7-D608-073A-9948-45E6539309F8}"/>
    <hyperlink ref="BN293" r:id="rId11" xr:uid="{B19803ED-2008-B3C8-7E89-B4EC8D2A2EDA}"/>
    <hyperlink ref="BN295" r:id="rId12" xr:uid="{9CA66C18-0BF8-D838-6BA8-ACC6892B3B5B}"/>
    <hyperlink ref="BN296" r:id="rId13" xr:uid="{F74124AD-8F6D-A1F3-6DE9-B97A454831C5}"/>
    <hyperlink ref="BN305" r:id="rId14" xr:uid="{EAB7F8B7-6DC8-3113-6558-C7E6F15BB4F8}"/>
    <hyperlink ref="BN317" r:id="rId15" xr:uid="{A9B84512-7718-E34F-5CFF-5C3FF7F57EAF}"/>
    <hyperlink ref="BN366" r:id="rId16" xr:uid="{3ED8D919-2AE8-8738-EDC8-6431A02631FC}"/>
    <hyperlink ref="BN383" r:id="rId17" xr:uid="{6AF60984-AAA8-C078-EDE8-20C7CCC3A348}"/>
    <hyperlink ref="BN385" r:id="rId18" xr:uid="{E7FA0E09-8FB7-A308-FF72-26A1AB2161D8}"/>
    <hyperlink ref="BN388" r:id="rId19" xr:uid="{1C375167-3BE8-C04D-A635-35B8B2D4F968}"/>
    <hyperlink ref="BN410" r:id="rId20" xr:uid="{2D0A9056-D1CD-BF08-D166-898FC2F7A0BE}"/>
    <hyperlink ref="BN412" r:id="rId21" xr:uid="{DE9AD176-CE4C-4908-B763-B6B75871396F}"/>
    <hyperlink ref="BN427" r:id="rId22" xr:uid="{467279B8-C479-1B98-2FC8-8BA679C45468}"/>
    <hyperlink ref="BN429" r:id="rId23" xr:uid="{A1BFF92C-FCF8-FDD1-BAC5-8192A6CFB88E}"/>
    <hyperlink ref="BN438" r:id="rId24" xr:uid="{7B05DDE7-7B08-FEF8-E138-36C8AC446938}"/>
    <hyperlink ref="BN441" r:id="rId25" xr:uid="{2737677B-F028-1AAA-DBE8-8F55FC04AC08}"/>
    <hyperlink ref="BN446" r:id="rId26" xr:uid="{47B62A68-D138-A158-4EA8-393759FEA7A1}"/>
    <hyperlink ref="BN462" r:id="rId27" xr:uid="{4F9E94ED-7968-6602-525F-6FDE63C9D098}"/>
    <hyperlink ref="BN511" r:id="rId28" xr:uid="{29EAC138-45DB-CAFE-A1A4-50DB9A811D08}"/>
    <hyperlink ref="BN528" r:id="rId29" xr:uid="{B55409E8-1AB8-4818-BBC8-80E616CFA54B}"/>
    <hyperlink ref="BN530" r:id="rId30" xr:uid="{EA7B5E48-5108-8DBF-7C08-BE51E552C588}"/>
    <hyperlink ref="BN533" r:id="rId31" xr:uid="{939C1752-1018-7CF8-92D4-F40A18A98A3C}"/>
    <hyperlink ref="BN555" r:id="rId32" xr:uid="{AEADC8ED-A1BD-D308-24C1-20530AA766E8}"/>
    <hyperlink ref="BN556" r:id="rId33" xr:uid="{419EC676-4FEA-8635-0638-486A5767D9DB}"/>
    <hyperlink ref="BN557" r:id="rId34" xr:uid="{51A9DC18-4CCD-6848-67D7-9C3C78BB6B4C}"/>
    <hyperlink ref="BN572" r:id="rId35" xr:uid="{EAF67EE8-50C2-4658-80A8-E5775AE69408}"/>
    <hyperlink ref="BN574" r:id="rId36" xr:uid="{E877DAC8-CF98-77B3-9F58-F33A58374DA8}"/>
    <hyperlink ref="BN577" r:id="rId37" xr:uid="{E999DD7B-9518-71A8-D9DF-15F50164D536}"/>
    <hyperlink ref="BN583" r:id="rId38" xr:uid="{1ED31358-D0F8-39A7-C0E5-92B66680C08B}"/>
    <hyperlink ref="BN586" r:id="rId39" xr:uid="{EFBDD509-AEC8-29D8-A327-FCB0EAADFE28}"/>
    <hyperlink ref="BN591" r:id="rId40" xr:uid="{31084D45-F627-0C08-F556-D9222C4F5563}"/>
  </hyperlinks>
  <printOptions horizontalCentered="1"/>
  <pageMargins left="0.35" right="0.35" top="0.40" bottom="0.40" header="0.08" footer="0.08"/>
  <pageSetup paperSize="9" scale="42" firstPageNumber="13" fitToHeight="0" pageOrder="downThenOver" orientation="landscape" useFirstPageNumber="1"/>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69ABD41-62D8-7AA1-1998-CE78554D9E27}" mc:Ignorable="x14ac xr xr2 xr3">
  <sheetPr>
    <tabColor rgb="FF000001"/>
  </sheetPr>
  <dimension ref="A1:V207"/>
  <sheetViews>
    <sheetView topLeftCell="A1" workbookViewId="0">
      <selection activeCell="C16" sqref="C16"/>
    </sheetView>
  </sheetViews>
  <sheetFormatPr defaultColWidth="8.8515625" customHeight="1" defaultRowHeight="15"/>
  <cols>
    <col min="2" max="2" width="14.7109375" customWidth="1"/>
    <col min="3" max="3" width="72.43359375" customWidth="1"/>
    <col min="4" max="4" width="15.28125" customWidth="1"/>
    <col min="5" max="5" width="11.8515625" customWidth="1"/>
    <col min="6" max="6" width="11.140625" customWidth="1"/>
    <col min="7" max="7" width="31.43359375" customWidth="1"/>
    <col min="8" max="8" width="13.57421875" customWidth="1"/>
    <col min="9" max="10" width="15.00390625" customWidth="1"/>
    <col min="11" max="11" width="13.8515625" customWidth="1"/>
    <col min="12" max="12" width="45.28125" customWidth="1"/>
  </cols>
  <sheetData>
    <row customHeight="1" ht="22.048828125">
      <c r="C1" s="0" t="s">
        <v>2668</v>
      </c>
    </row>
    <row customHeight="1" ht="15">
      <c r="B2" s="6713" t="s">
        <v>22</v>
      </c>
      <c r="C2" s="6714" t="s">
        <v>2669</v>
      </c>
      <c r="D2" s="6714" t="s">
        <v>2670</v>
      </c>
      <c r="E2" s="6715" t="s">
        <v>2671</v>
      </c>
      <c r="F2" s="6715" t="s">
        <v>2672</v>
      </c>
      <c r="G2" s="6715" t="s">
        <v>2673</v>
      </c>
      <c r="H2" s="6715" t="s">
        <v>2674</v>
      </c>
      <c r="I2" s="6716" t="s">
        <v>2675</v>
      </c>
      <c r="J2" s="6713" t="s">
        <v>2676</v>
      </c>
      <c r="K2" s="6717" t="s">
        <v>2677</v>
      </c>
      <c r="L2" s="6718" t="s">
        <v>2678</v>
      </c>
    </row>
    <row customHeight="1" ht="15">
      <c r="B3" s="6719">
        <v>1</v>
      </c>
      <c r="C3" s="6720" t="s">
        <v>2679</v>
      </c>
      <c r="D3" s="6721">
        <v>0</v>
      </c>
      <c r="E3" s="6722">
        <v>0</v>
      </c>
      <c r="F3" s="6723">
        <v>3167.23</v>
      </c>
      <c r="G3" s="6724">
        <v>-48474.4</v>
      </c>
      <c r="H3" s="6723">
        <v>-21855.54</v>
      </c>
      <c r="I3" s="6725" t="s">
        <v>2680</v>
      </c>
      <c r="J3" s="6726" t="s">
        <v>2681</v>
      </c>
      <c r="K3" s="6727" t="s">
        <v>2682</v>
      </c>
      <c r="L3" s="6728" t="s">
        <v>2683</v>
      </c>
    </row>
    <row customHeight="1" ht="15">
      <c r="B4" s="6729">
        <v>2</v>
      </c>
      <c r="C4" s="6720" t="s">
        <v>2684</v>
      </c>
      <c r="D4" s="6721">
        <v>0</v>
      </c>
      <c r="E4" s="6730">
        <v>0</v>
      </c>
      <c r="F4" s="6723">
        <v>14541.83</v>
      </c>
      <c r="G4" s="6723">
        <v>-15443.51</v>
      </c>
      <c r="H4" s="6731">
        <v>901.68</v>
      </c>
      <c r="I4" s="6732">
        <v>-4812.59</v>
      </c>
      <c r="J4" s="6733">
        <v>-18241.21</v>
      </c>
      <c r="K4" s="6734">
        <v>-42459.76</v>
      </c>
      <c r="L4" s="6726" t="s">
        <v>2685</v>
      </c>
    </row>
    <row customHeight="1" ht="15">
      <c r="B5" s="6729">
        <v>3</v>
      </c>
      <c r="C5" s="6720" t="s">
        <v>2686</v>
      </c>
      <c r="D5" s="6721">
        <v>0</v>
      </c>
      <c r="E5" s="6735">
        <v>0</v>
      </c>
      <c r="F5" s="6723">
        <v>5227.89</v>
      </c>
      <c r="G5" s="6724">
        <v>-13390.55</v>
      </c>
      <c r="H5" s="6723">
        <v>8162.66</v>
      </c>
      <c r="I5" s="6727" t="s">
        <v>2687</v>
      </c>
      <c r="J5" s="6726" t="s">
        <v>2688</v>
      </c>
      <c r="K5" s="6727" t="s">
        <v>2689</v>
      </c>
      <c r="L5" s="6726" t="s">
        <v>2690</v>
      </c>
    </row>
    <row customHeight="1" ht="15">
      <c r="C6" s="6736"/>
    </row>
    <row customHeight="1" ht="22.048828125">
      <c r="C7" s="0" t="s">
        <v>2691</v>
      </c>
    </row>
    <row customHeight="1" ht="15">
      <c r="B8" s="6713" t="s">
        <v>22</v>
      </c>
      <c r="C8" s="6714" t="s">
        <v>2669</v>
      </c>
      <c r="D8" s="6715" t="s">
        <v>2670</v>
      </c>
      <c r="E8" s="6715" t="s">
        <v>2671</v>
      </c>
      <c r="F8" s="6715" t="s">
        <v>2672</v>
      </c>
      <c r="G8" s="6715" t="s">
        <v>2673</v>
      </c>
      <c r="H8" s="6715" t="s">
        <v>2674</v>
      </c>
      <c r="I8" s="6716" t="s">
        <v>2675</v>
      </c>
      <c r="J8" s="6713" t="s">
        <v>2676</v>
      </c>
      <c r="K8" s="6717" t="s">
        <v>2677</v>
      </c>
      <c r="L8" s="6718" t="s">
        <v>2678</v>
      </c>
    </row>
    <row customHeight="1" ht="15">
      <c r="B9" s="6719">
        <v>1</v>
      </c>
      <c r="C9" s="6720" t="s">
        <v>2679</v>
      </c>
      <c r="D9" s="6722">
        <v>0</v>
      </c>
      <c r="E9" s="6722">
        <v>0</v>
      </c>
      <c r="F9" s="6723">
        <v>3167.23</v>
      </c>
      <c r="G9" s="6724">
        <v>-48474.4</v>
      </c>
      <c r="H9" s="6723">
        <v>-21855.54</v>
      </c>
      <c r="I9" s="6725" t="s">
        <v>2680</v>
      </c>
      <c r="J9" s="6726" t="s">
        <v>2681</v>
      </c>
      <c r="K9" s="6737" t="s">
        <v>2692</v>
      </c>
      <c r="L9" s="6738" t="s">
        <v>2693</v>
      </c>
    </row>
    <row customHeight="1" ht="15">
      <c r="B10" s="6729">
        <v>2</v>
      </c>
      <c r="C10" s="6720" t="s">
        <v>2684</v>
      </c>
      <c r="D10" s="6722">
        <v>0</v>
      </c>
      <c r="E10" s="6730">
        <v>0</v>
      </c>
      <c r="F10" s="6723">
        <v>14541.83</v>
      </c>
      <c r="G10" s="6723">
        <v>-15443.51</v>
      </c>
      <c r="H10" s="6731">
        <v>901.68</v>
      </c>
      <c r="I10" s="6732">
        <v>-4812.59</v>
      </c>
      <c r="J10" s="6733">
        <v>-18241.21</v>
      </c>
      <c r="K10" s="6734">
        <v>-42459.76</v>
      </c>
      <c r="L10" s="6726" t="s">
        <v>2685</v>
      </c>
    </row>
    <row customHeight="1" ht="15">
      <c r="B11" s="6729">
        <v>3</v>
      </c>
      <c r="C11" s="6720" t="s">
        <v>2686</v>
      </c>
      <c r="D11" s="6722">
        <v>0</v>
      </c>
      <c r="E11" s="6735">
        <v>0</v>
      </c>
      <c r="F11" s="6723">
        <v>5227.89</v>
      </c>
      <c r="G11" s="6724">
        <v>-13390.55</v>
      </c>
      <c r="H11" s="6723">
        <v>8162.66</v>
      </c>
      <c r="I11" s="6727" t="s">
        <v>2687</v>
      </c>
      <c r="J11" s="6726" t="s">
        <v>2688</v>
      </c>
      <c r="K11" s="6737" t="s">
        <v>2694</v>
      </c>
      <c r="L11" s="6739" t="s">
        <v>2695</v>
      </c>
    </row>
    <row r="15" customHeight="1" ht="15">
      <c r="C15" s="0" t="s">
        <v>2696</v>
      </c>
    </row>
    <row customHeight="1" ht="15">
      <c r="A16" s="6713" t="s">
        <v>22</v>
      </c>
      <c r="B16" s="6740" t="s">
        <v>2697</v>
      </c>
      <c r="C16" s="6716" t="s">
        <v>2698</v>
      </c>
      <c r="D16" s="6716" t="s">
        <v>2699</v>
      </c>
      <c r="E16" s="6741" t="s">
        <v>2700</v>
      </c>
      <c r="F16" s="6742" t="s">
        <v>2701</v>
      </c>
      <c r="G16" s="6742" t="s">
        <v>2702</v>
      </c>
      <c r="H16" s="6743" t="s">
        <v>2703</v>
      </c>
      <c r="I16" s="6744" t="s">
        <v>2704</v>
      </c>
      <c r="J16" s="6743"/>
    </row>
    <row customHeight="1" ht="15">
      <c r="A17" s="6719">
        <v>1</v>
      </c>
      <c r="B17" s="6745" t="s">
        <v>2705</v>
      </c>
      <c r="C17" s="6746" t="s">
        <v>2706</v>
      </c>
      <c r="D17" s="6747" t="s">
        <v>2707</v>
      </c>
      <c r="E17" s="6748">
        <v>3885.6</v>
      </c>
      <c r="F17" s="6749">
        <v>3848.22</v>
      </c>
      <c r="G17" s="6749">
        <v>3848.22</v>
      </c>
      <c r="H17" s="6750" t="s">
        <v>2708</v>
      </c>
      <c r="I17" s="6751" t="s">
        <v>2709</v>
      </c>
      <c r="J17" s="6752"/>
    </row>
    <row customHeight="1" ht="15">
      <c r="A18" s="6729">
        <v>2</v>
      </c>
      <c r="B18" s="6753" t="s">
        <v>2710</v>
      </c>
      <c r="C18" s="6754" t="s">
        <v>2711</v>
      </c>
      <c r="D18" s="6755" t="s">
        <v>2712</v>
      </c>
      <c r="E18" s="6756">
        <v>1893.6</v>
      </c>
      <c r="F18" s="6757">
        <v>1891.86</v>
      </c>
      <c r="G18" s="6749">
        <v>1891.86</v>
      </c>
      <c r="H18" s="6758" t="s">
        <v>2713</v>
      </c>
      <c r="I18" s="6759" t="s">
        <v>2714</v>
      </c>
      <c r="J18" s="6760"/>
    </row>
    <row customHeight="1" ht="15">
      <c r="A19" s="6729">
        <v>3</v>
      </c>
      <c r="B19" s="6753" t="s">
        <v>2715</v>
      </c>
      <c r="C19" s="6754" t="s">
        <v>2716</v>
      </c>
      <c r="D19" s="6729" t="s">
        <v>2717</v>
      </c>
      <c r="E19" s="6756">
        <v>2857</v>
      </c>
      <c r="F19" s="6761">
        <v>2783.84</v>
      </c>
      <c r="G19" s="6749">
        <v>2783.84</v>
      </c>
      <c r="H19" s="6758" t="s">
        <v>2718</v>
      </c>
      <c r="I19" s="6762" t="s">
        <v>2714</v>
      </c>
      <c r="J19" s="6760"/>
    </row>
    <row customHeight="1" ht="15">
      <c r="A20" s="6729">
        <v>4</v>
      </c>
      <c r="B20" s="6753" t="s">
        <v>2719</v>
      </c>
      <c r="C20" s="6754" t="s">
        <v>2720</v>
      </c>
      <c r="D20" s="6729" t="s">
        <v>2721</v>
      </c>
      <c r="E20" s="6756">
        <v>2896.9</v>
      </c>
      <c r="F20" s="6757">
        <v>2872.74</v>
      </c>
      <c r="G20" s="6749">
        <v>2872.74</v>
      </c>
      <c r="H20" s="6758" t="s">
        <v>2722</v>
      </c>
      <c r="I20" s="6763" t="s">
        <v>2714</v>
      </c>
      <c r="J20" s="6760"/>
    </row>
    <row customHeight="1" ht="15">
      <c r="A21" s="6729">
        <v>5</v>
      </c>
      <c r="B21" s="6753" t="s">
        <v>2723</v>
      </c>
      <c r="C21" s="6754" t="s">
        <v>2724</v>
      </c>
      <c r="D21" s="6729" t="s">
        <v>2725</v>
      </c>
      <c r="E21" s="6756">
        <v>22272.8</v>
      </c>
      <c r="F21" s="6757">
        <v>22272.8</v>
      </c>
      <c r="G21" s="6749">
        <v>22255</v>
      </c>
      <c r="H21" s="6764" t="s">
        <v>2726</v>
      </c>
      <c r="I21" s="6765" t="s">
        <v>2727</v>
      </c>
      <c r="J21" s="6766"/>
    </row>
    <row customHeight="1" ht="15">
      <c r="A22" s="6767" t="s">
        <v>2728</v>
      </c>
      <c r="B22" s="6768" t="s">
        <v>2728</v>
      </c>
      <c r="C22" s="6769" t="s">
        <v>2728</v>
      </c>
      <c r="D22" s="6767" t="s">
        <v>2728</v>
      </c>
      <c r="E22" s="6770" t="s">
        <v>2728</v>
      </c>
      <c r="F22" s="6771" t="s">
        <v>2728</v>
      </c>
      <c r="G22" s="6772" t="s">
        <v>2728</v>
      </c>
      <c r="H22" s="6773" t="s">
        <v>2728</v>
      </c>
      <c r="I22" s="6774" t="s">
        <v>2728</v>
      </c>
      <c r="J22" s="6775"/>
    </row>
    <row customHeight="1" ht="15">
      <c r="A23" s="6741" t="s">
        <v>2728</v>
      </c>
      <c r="B23" s="6742" t="s">
        <v>2728</v>
      </c>
      <c r="C23" s="6776" t="s">
        <v>2729</v>
      </c>
      <c r="D23" s="6777" t="s">
        <v>2728</v>
      </c>
      <c r="E23" s="6778">
        <v>33805.9</v>
      </c>
      <c r="F23" s="6778">
        <v>33669.46</v>
      </c>
      <c r="G23" s="6779">
        <v>33651.66</v>
      </c>
      <c r="H23" s="6780" t="s">
        <v>2730</v>
      </c>
      <c r="I23" s="6759" t="s">
        <v>2728</v>
      </c>
      <c r="J23" s="6781"/>
    </row>
  </sheetData>
  <sheetProtection sort="0" autoFilter="0" insertRows="0" deleteRows="0" deleteColumns="0"/>
  <pageSetup pageOrder="overThenDown"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3D970E8-B1F8-50E8-9498-46AC244B9C28}" mc:Ignorable="x14ac xr xr2 xr3">
  <sheetPr>
    <tabColor rgb="FFD3DBDB"/>
    <pageSetUpPr fitToPage="1"/>
  </sheetPr>
  <dimension ref="A1:AC40"/>
  <sheetViews>
    <sheetView topLeftCell="AA34" showGridLines="0" zoomScale="120" workbookViewId="0" tabSelected="1">
      <selection activeCell="AB35" sqref="AB35"/>
    </sheetView>
  </sheetViews>
  <sheetFormatPr defaultColWidth="9.140625" customHeight="1" defaultRowHeight="11.25"/>
  <cols>
    <col min="1" max="1" style="1240" width="3.57421875" hidden="1" customWidth="1"/>
    <col min="2" max="2" style="1223" width="8.57421875" hidden="1" customWidth="1"/>
    <col min="3" max="4" style="1240" width="3.57421875" hidden="1" customWidth="1"/>
    <col min="5" max="5" style="1183" width="3.57421875" hidden="1" customWidth="1"/>
    <col min="6" max="21" style="1240" width="3.57421875" hidden="1" customWidth="1"/>
    <col min="22" max="22" style="1240" width="4.57421875" hidden="1" customWidth="1"/>
    <col min="23" max="23" style="1240" width="8.421875" hidden="1" customWidth="1"/>
    <col min="24" max="26" style="1240" width="3.57421875" hidden="1" customWidth="1"/>
    <col min="27" max="27" style="1240" width="3.00390625" customWidth="1"/>
    <col min="28" max="28" style="1240" width="210.421875" customWidth="1"/>
    <col min="29" max="29" style="1240" width="9.140625"/>
  </cols>
  <sheetData>
    <row customHeight="1" ht="11.25" hidden="1">
      <c r="E1" s="100"/>
      <c r="W1" s="468" t="s">
        <v>93</v>
      </c>
      <c r="X1" s="468"/>
      <c r="Y1" s="468" t="s">
        <v>94</v>
      </c>
      <c r="Z1" s="468" t="s">
        <v>96</v>
      </c>
      <c r="AA1" s="468" t="s">
        <v>100</v>
      </c>
      <c r="AB1" s="468" t="s">
        <v>98</v>
      </c>
    </row>
    <row s="1223" customFormat="1" customHeight="1" ht="11.25" hidden="1">
      <c r="B2" s="448" t="s">
        <v>19</v>
      </c>
    </row>
    <row customHeight="1" ht="11.25" hidden="1">
      <c r="E3" s="100"/>
    </row>
    <row customHeight="1" ht="11.25" hidden="1">
      <c r="E4" s="100"/>
    </row>
    <row s="1183" customFormat="1" customHeight="1" ht="11.25" hidden="1">
      <c r="A5" s="100"/>
      <c r="B5" s="430"/>
      <c r="C5" s="100"/>
      <c r="D5" s="100"/>
      <c r="E5" s="709" t="s">
        <v>20</v>
      </c>
      <c r="AA5" s="633">
        <v>3</v>
      </c>
      <c r="AB5" s="633">
        <v>94.14</v>
      </c>
    </row>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4.625">
      <c r="E21" s="633">
        <v>15</v>
      </c>
      <c r="AA21" s="427"/>
      <c r="AB21" s="101"/>
    </row>
    <row customHeight="1" ht="19.0125">
      <c r="E22" s="633">
        <v>19.5</v>
      </c>
      <c r="AA22" s="101"/>
      <c r="AB22" s="99" t="s">
        <v>382</v>
      </c>
    </row>
    <row customHeight="1" ht="10.96875">
      <c r="E23" s="633">
        <v>11.25</v>
      </c>
      <c r="AA23" s="101"/>
      <c r="AB23" s="101"/>
    </row>
    <row customHeight="1" ht="61.921875">
      <c r="E24" s="633">
        <v>20</v>
      </c>
      <c r="AA24" s="101"/>
      <c r="AB24" s="102" t="s">
        <v>2731</v>
      </c>
    </row>
    <row customHeight="1" ht="55.921875">
      <c r="E25" s="633">
        <v>20</v>
      </c>
      <c r="AA25" s="101"/>
      <c r="AB25" s="102" t="s">
        <v>2732</v>
      </c>
    </row>
    <row customHeight="1" ht="52.171875">
      <c r="E26" s="633">
        <v>20</v>
      </c>
      <c r="AA26" s="101"/>
      <c r="AB26" s="102" t="s">
        <v>2733</v>
      </c>
    </row>
    <row customHeight="1" ht="67.171875">
      <c r="E27" s="633">
        <v>20</v>
      </c>
      <c r="AA27" s="101"/>
      <c r="AB27" s="102" t="s">
        <v>2734</v>
      </c>
    </row>
    <row customHeight="1" ht="37.921875">
      <c r="E28" s="633">
        <v>20</v>
      </c>
      <c r="AA28" s="101"/>
      <c r="AB28" s="102" t="s">
        <v>2735</v>
      </c>
    </row>
    <row customHeight="1" ht="46.4990234375">
      <c r="E29" s="633">
        <v>20</v>
      </c>
      <c r="AA29" s="101"/>
      <c r="AB29" s="102" t="s">
        <v>2736</v>
      </c>
    </row>
    <row customHeight="1" ht="46.171875">
      <c r="E30" s="633">
        <v>20</v>
      </c>
      <c r="AA30" s="101"/>
      <c r="AB30" s="102" t="s">
        <v>2737</v>
      </c>
    </row>
    <row customHeight="1" ht="46.171875">
      <c r="E31" s="633">
        <v>20</v>
      </c>
      <c r="AA31" s="101"/>
      <c r="AB31" s="102" t="s">
        <v>2738</v>
      </c>
    </row>
    <row customHeight="1" ht="19.5" hidden="1">
      <c r="E32" s="624">
        <v>20</v>
      </c>
      <c r="W32" s="94">
        <f>ROW(Z32)&gt;ROW(Z$32)</f>
        <v>0</v>
      </c>
      <c r="Y32" s="100" t="s">
        <v>279</v>
      </c>
      <c r="AA32" s="79" t="s">
        <v>174</v>
      </c>
      <c r="AB32" s="80"/>
    </row>
    <row s="1656" customFormat="1" customHeight="1" ht="56.671875">
      <c r="A33" s="1240"/>
      <c r="B33" s="1223"/>
      <c r="C33" s="1240"/>
      <c r="D33" s="1240"/>
      <c r="E33" s="633">
        <v>20</v>
      </c>
      <c r="F33" s="1240"/>
      <c r="G33" s="1240"/>
      <c r="H33" s="1240"/>
      <c r="I33" s="1240"/>
      <c r="J33" s="1240"/>
      <c r="K33" s="1240"/>
      <c r="L33" s="1240"/>
      <c r="M33" s="1240"/>
      <c r="N33" s="1240"/>
      <c r="O33" s="1240"/>
      <c r="P33" s="1240"/>
      <c r="Q33" s="1240"/>
      <c r="R33" s="1240"/>
      <c r="S33" s="1240"/>
      <c r="T33" s="1240"/>
      <c r="U33" s="1240"/>
      <c r="V33" s="1240"/>
      <c r="W33" s="558">
        <f>ROW(Z33)&gt;ROW(Z$32)</f>
        <v>1</v>
      </c>
      <c r="X33" s="1240"/>
      <c r="Y33" s="100"/>
      <c r="Z33" s="1240" t="s">
        <v>240</v>
      </c>
      <c r="AA33" s="668" t="s">
        <v>174</v>
      </c>
      <c r="AB33" s="102" t="s">
        <v>2739</v>
      </c>
      <c r="AC33" s="1240"/>
    </row>
    <row s="1656" customFormat="1" customHeight="1" ht="56.671875">
      <c r="A34" s="1240"/>
      <c r="B34" s="1223"/>
      <c r="C34" s="1240"/>
      <c r="D34" s="1240"/>
      <c r="E34" s="633">
        <v>20</v>
      </c>
      <c r="F34" s="1240"/>
      <c r="G34" s="1240"/>
      <c r="H34" s="1240"/>
      <c r="I34" s="1240"/>
      <c r="J34" s="1240"/>
      <c r="K34" s="1240"/>
      <c r="L34" s="1240"/>
      <c r="M34" s="1240"/>
      <c r="N34" s="1240"/>
      <c r="O34" s="1240"/>
      <c r="P34" s="1240"/>
      <c r="Q34" s="1240"/>
      <c r="R34" s="1240"/>
      <c r="S34" s="1240"/>
      <c r="T34" s="1240"/>
      <c r="U34" s="1240"/>
      <c r="V34" s="1240"/>
      <c r="W34" s="558">
        <f>ROW(Z34)&gt;ROW(Z$32)</f>
        <v>1</v>
      </c>
      <c r="X34" s="1240"/>
      <c r="Y34" s="100"/>
      <c r="Z34" s="1240" t="s">
        <v>240</v>
      </c>
      <c r="AA34" s="668" t="s">
        <v>174</v>
      </c>
      <c r="AB34" s="102" t="s">
        <v>2740</v>
      </c>
      <c r="AC34" s="1240"/>
    </row>
    <row s="1656" customFormat="1" customHeight="1" ht="58.3740234375">
      <c r="A35" s="1240"/>
      <c r="B35" s="1223"/>
      <c r="C35" s="1240"/>
      <c r="D35" s="1240"/>
      <c r="E35" s="624">
        <v>20</v>
      </c>
      <c r="F35" s="1240"/>
      <c r="G35" s="1240"/>
      <c r="H35" s="1240"/>
      <c r="I35" s="1240"/>
      <c r="J35" s="1240"/>
      <c r="K35" s="1240"/>
      <c r="L35" s="1240"/>
      <c r="M35" s="1240"/>
      <c r="N35" s="1240"/>
      <c r="O35" s="1240"/>
      <c r="P35" s="1240"/>
      <c r="Q35" s="1240"/>
      <c r="R35" s="1240"/>
      <c r="S35" s="1240"/>
      <c r="T35" s="1240"/>
      <c r="U35" s="1240"/>
      <c r="V35" s="1240"/>
      <c r="W35" s="94">
        <f>ROW(Z35)&gt;ROW(Z$32)</f>
        <v>1</v>
      </c>
      <c r="X35" s="1240"/>
      <c r="Y35" s="100"/>
      <c r="Z35" s="1240" t="s">
        <v>240</v>
      </c>
      <c r="AA35" s="79" t="s">
        <v>174</v>
      </c>
      <c r="AB35" s="6784" t="s">
        <v>2741</v>
      </c>
      <c r="AC35" s="1240"/>
    </row>
    <row s="1656" customFormat="1" customHeight="1" ht="40.2490234375">
      <c r="A36" s="1240"/>
      <c r="B36" s="1223"/>
      <c r="C36" s="1240"/>
      <c r="D36" s="1240"/>
      <c r="E36" s="624">
        <v>20</v>
      </c>
      <c r="F36" s="1240"/>
      <c r="G36" s="1240"/>
      <c r="H36" s="1240"/>
      <c r="I36" s="1240"/>
      <c r="J36" s="1240"/>
      <c r="K36" s="1240"/>
      <c r="L36" s="1240"/>
      <c r="M36" s="1240"/>
      <c r="N36" s="1240"/>
      <c r="O36" s="1240"/>
      <c r="P36" s="1240"/>
      <c r="Q36" s="1240"/>
      <c r="R36" s="1240"/>
      <c r="S36" s="1240"/>
      <c r="T36" s="1240"/>
      <c r="U36" s="1240"/>
      <c r="V36" s="1240"/>
      <c r="W36" s="94">
        <f>ROW(Z36)&gt;ROW(Z$32)</f>
        <v>1</v>
      </c>
      <c r="X36" s="1240"/>
      <c r="Y36" s="100"/>
      <c r="Z36" s="1240"/>
      <c r="AA36" s="79" t="s">
        <v>174</v>
      </c>
      <c r="AB36" s="6784" t="s">
        <v>2742</v>
      </c>
      <c r="AC36" s="1240"/>
    </row>
    <row s="1656" customFormat="1" customHeight="1" ht="48.3740234375">
      <c r="A37" s="1240"/>
      <c r="B37" s="1223"/>
      <c r="C37" s="1240"/>
      <c r="D37" s="1240"/>
      <c r="E37" s="624">
        <v>20</v>
      </c>
      <c r="F37" s="1240"/>
      <c r="G37" s="1240"/>
      <c r="H37" s="1240"/>
      <c r="I37" s="1240"/>
      <c r="J37" s="1240"/>
      <c r="K37" s="1240"/>
      <c r="L37" s="1240"/>
      <c r="M37" s="1240"/>
      <c r="N37" s="1240"/>
      <c r="O37" s="1240"/>
      <c r="P37" s="1240"/>
      <c r="Q37" s="1240"/>
      <c r="R37" s="1240"/>
      <c r="S37" s="1240"/>
      <c r="T37" s="1240"/>
      <c r="U37" s="1240"/>
      <c r="V37" s="1240"/>
      <c r="W37" s="94">
        <f>ROW(Z37)&gt;ROW(Z$32)</f>
        <v>1</v>
      </c>
      <c r="X37" s="1240"/>
      <c r="Y37" s="100"/>
      <c r="Z37" s="1240"/>
      <c r="AA37" s="79" t="s">
        <v>174</v>
      </c>
      <c r="AB37" s="6784" t="s">
        <v>2743</v>
      </c>
      <c r="AC37" s="1240"/>
    </row>
    <row s="1656" customFormat="1" customHeight="1" ht="46.4990234375">
      <c r="A38" s="1240"/>
      <c r="B38" s="1223"/>
      <c r="C38" s="1240"/>
      <c r="D38" s="1240"/>
      <c r="E38" s="624">
        <v>20</v>
      </c>
      <c r="F38" s="1240"/>
      <c r="G38" s="1240"/>
      <c r="H38" s="1240"/>
      <c r="I38" s="1240"/>
      <c r="J38" s="1240"/>
      <c r="K38" s="1240"/>
      <c r="L38" s="1240"/>
      <c r="M38" s="1240"/>
      <c r="N38" s="1240"/>
      <c r="O38" s="1240"/>
      <c r="P38" s="1240"/>
      <c r="Q38" s="1240"/>
      <c r="R38" s="1240"/>
      <c r="S38" s="1240"/>
      <c r="T38" s="1240"/>
      <c r="U38" s="1240"/>
      <c r="V38" s="1240"/>
      <c r="W38" s="94">
        <f>ROW(Z38)&gt;ROW(Z$32)</f>
        <v>1</v>
      </c>
      <c r="X38" s="1240"/>
      <c r="Y38" s="100"/>
      <c r="Z38" s="1240"/>
      <c r="AA38" s="79" t="s">
        <v>174</v>
      </c>
      <c r="AB38" s="6784" t="s">
        <v>2744</v>
      </c>
      <c r="AC38" s="1240"/>
    </row>
    <row customHeight="1" ht="19.5">
      <c r="E39" s="633">
        <v>20</v>
      </c>
      <c r="Y39" s="836" t="s">
        <v>421</v>
      </c>
      <c r="AA39" s="101"/>
      <c r="AB39" s="751" t="s">
        <v>422</v>
      </c>
    </row>
    <row customHeight="1" ht="11.25">
      <c r="AA40" s="101"/>
      <c r="AB40" s="101"/>
      <c r="AC40" s="428"/>
    </row>
  </sheetData>
  <sheetProtection formatColumns="0" formatRows="0" insertRows="0" deleteColumns="0" deleteRows="0" sort="0" autoFilter="0" insertColumns="1"/>
  <pageMargins left="0.75" right="0.75" top="1.00" bottom="1.00" header="0.50" footer="0.50"/>
  <pageSetup scale="74"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4B0B418-EC7A-E47B-C558-2CE92B9D49E8}" mc:Ignorable="x14ac xr xr2 xr3">
  <sheetPr>
    <tabColor rgb="FF002060"/>
    <outlinePr summaryRight="0" summaryBelow="0"/>
  </sheetPr>
  <dimension ref="A1:AQ240"/>
  <sheetViews>
    <sheetView showGridLines="0" workbookViewId="0">
      <pane xSplit="29" ySplit="28" topLeftCell="AD29" activePane="bottomRight" state="frozen"/>
      <selection pane="bottomLeft" activeCell="A29" sqref="A29"/>
      <selection pane="topRight" activeCell="AD1" sqref="AD1"/>
      <selection pane="bottomRight" activeCell="AB238" sqref="AB238"/>
    </sheetView>
  </sheetViews>
  <sheetFormatPr defaultColWidth="9.140625" customHeight="1" defaultRowHeight="11.25"/>
  <cols>
    <col min="1" max="1" style="1328" width="3.57421875" hidden="1" customWidth="1"/>
    <col min="2" max="2" style="1186" width="8.57421875" hidden="1" customWidth="1"/>
    <col min="3" max="4" style="1328" width="3.57421875" hidden="1" customWidth="1"/>
    <col min="5" max="5" style="1329" width="3.57421875" hidden="1" customWidth="1"/>
    <col min="6" max="10" style="1328" width="3.57421875" hidden="1" customWidth="1"/>
    <col min="11" max="11" style="1328" width="10.28125" hidden="1" customWidth="1"/>
    <col min="12" max="19" style="1328" width="3.57421875" hidden="1" customWidth="1"/>
    <col min="20" max="20" style="1328" width="8.28125" hidden="1" customWidth="1"/>
    <col min="21" max="21" style="1328" width="5.8515625" hidden="1" customWidth="1"/>
    <col min="22" max="23" style="1328" width="6.140625" hidden="1" customWidth="1"/>
    <col min="24" max="25" style="1328" width="5.57421875" hidden="1" customWidth="1"/>
    <col min="26" max="26" style="1328" width="5.28125" hidden="1" customWidth="1"/>
    <col min="27" max="27" style="1328" width="3.00390625" customWidth="1"/>
    <col min="28" max="28" style="203" width="14.7109375" customWidth="1"/>
    <col min="29" max="33" style="1328" width="17.00390625" customWidth="1"/>
    <col min="34" max="36" style="1328" width="23.00390625" hidden="1" customWidth="1"/>
    <col min="37" max="37" style="1328" width="25.00390625" hidden="1" customWidth="1"/>
    <col min="38" max="38" style="1328" width="3.00390625" customWidth="1"/>
    <col min="39" max="40" style="1328" width="9.140625" hidden="1"/>
    <col min="41" max="41" style="1330" width="9.140625" hidden="1"/>
    <col min="42" max="43" style="1328" width="9.140625" hidden="1"/>
  </cols>
  <sheetData>
    <row customHeight="1" ht="11.25" hidden="1">
      <c r="E1" s="94"/>
      <c r="F1" s="94" t="s">
        <v>333</v>
      </c>
      <c r="K1" s="94" t="s">
        <v>371</v>
      </c>
      <c r="T1" s="468" t="s">
        <v>93</v>
      </c>
      <c r="U1" s="468" t="s">
        <v>98</v>
      </c>
      <c r="V1" s="468" t="s">
        <v>94</v>
      </c>
      <c r="W1" s="468" t="s">
        <v>95</v>
      </c>
      <c r="X1" s="468" t="s">
        <v>96</v>
      </c>
      <c r="Y1" s="470" t="s">
        <v>335</v>
      </c>
      <c r="Z1" s="468" t="s">
        <v>100</v>
      </c>
      <c r="AA1" s="469" t="s">
        <v>97</v>
      </c>
      <c r="AB1" s="81"/>
      <c r="AC1" s="469" t="s">
        <v>99</v>
      </c>
      <c r="AH1" s="1328"/>
      <c r="AI1" s="1328"/>
      <c r="AJ1" s="1328"/>
      <c r="AK1" s="1328"/>
      <c r="AM1" s="94" t="s">
        <v>2745</v>
      </c>
      <c r="AO1" s="1023" t="s">
        <v>376</v>
      </c>
    </row>
    <row s="1186" customFormat="1" customHeight="1" ht="11.25" hidden="1">
      <c r="B2" s="447" t="s">
        <v>19</v>
      </c>
      <c r="AB2" s="431"/>
      <c r="AG2" s="447">
        <f>$AF$24="нет"</f>
        <v>1</v>
      </c>
      <c r="AH2" s="447">
        <f>$AF$24="да"</f>
        <v>0</v>
      </c>
      <c r="AI2" s="447">
        <f>$AF$24="да"</f>
        <v>0</v>
      </c>
      <c r="AJ2" s="447">
        <f>$AF$24="да"</f>
        <v>0</v>
      </c>
      <c r="AK2" s="447">
        <f>$AF$24="да"</f>
        <v>0</v>
      </c>
      <c r="AO2" s="1024"/>
    </row>
    <row customHeight="1" ht="11.25" hidden="1">
      <c r="E3" s="94"/>
      <c r="AH3" s="1328"/>
      <c r="AI3" s="1328"/>
      <c r="AJ3" s="1328"/>
      <c r="AK3" s="1328"/>
    </row>
    <row customHeight="1" ht="11.25" hidden="1">
      <c r="E4" s="94"/>
      <c r="AH4" s="1328"/>
      <c r="AI4" s="1328"/>
      <c r="AJ4" s="1328"/>
      <c r="AK4" s="1328"/>
    </row>
    <row s="1329" customFormat="1" customHeight="1" ht="11.25" hidden="1">
      <c r="A5" s="94"/>
      <c r="B5" s="429"/>
      <c r="C5" s="94"/>
      <c r="D5" s="94"/>
      <c r="E5" s="637" t="s">
        <v>20</v>
      </c>
      <c r="AA5" s="637">
        <v>3</v>
      </c>
      <c r="AB5" s="699">
        <v>14.71</v>
      </c>
      <c r="AC5" s="637">
        <v>17</v>
      </c>
      <c r="AD5" s="637">
        <v>17</v>
      </c>
      <c r="AE5" s="637">
        <v>17</v>
      </c>
      <c r="AF5" s="637">
        <v>17</v>
      </c>
      <c r="AG5" s="637">
        <v>17</v>
      </c>
      <c r="AH5" s="637">
        <v>23</v>
      </c>
      <c r="AI5" s="637">
        <v>23</v>
      </c>
      <c r="AJ5" s="637">
        <v>23</v>
      </c>
      <c r="AK5" s="637">
        <v>25</v>
      </c>
      <c r="AL5" s="637">
        <v>3</v>
      </c>
      <c r="AO5" s="1023"/>
    </row>
    <row customHeight="1" ht="11.25" hidden="1">
      <c r="A6" s="94" t="s">
        <v>343</v>
      </c>
      <c r="AC6" s="94" t="s">
        <v>344</v>
      </c>
      <c r="AD6" s="94" t="s">
        <v>345</v>
      </c>
      <c r="AE6" s="94" t="s">
        <v>346</v>
      </c>
      <c r="AF6" s="94" t="s">
        <v>659</v>
      </c>
      <c r="AG6" s="94" t="s">
        <v>663</v>
      </c>
      <c r="AH6" s="94" t="s">
        <v>2746</v>
      </c>
      <c r="AI6" s="94" t="s">
        <v>2747</v>
      </c>
      <c r="AJ6" s="94" t="s">
        <v>2748</v>
      </c>
      <c r="AK6" s="94" t="s">
        <v>2749</v>
      </c>
    </row>
    <row customHeight="1" ht="11.25" hidden="1">
      <c r="AH7" s="1328"/>
      <c r="AI7" s="1328"/>
      <c r="AJ7" s="1328"/>
      <c r="AK7" s="1328"/>
    </row>
    <row customHeight="1" ht="11.25" hidden="1">
      <c r="AH8" s="1328"/>
      <c r="AI8" s="1328"/>
      <c r="AJ8" s="1328"/>
      <c r="AK8" s="1328"/>
    </row>
    <row s="1330" customFormat="1" customHeight="1" ht="11.25" hidden="1">
      <c r="A9" s="1023" t="s">
        <v>336</v>
      </c>
      <c r="B9" s="1024"/>
      <c r="AB9" s="1062"/>
      <c r="AC9" s="1081" t="s">
        <v>2750</v>
      </c>
      <c r="AD9" s="1081" t="s">
        <v>2751</v>
      </c>
      <c r="AE9" s="1081" t="s">
        <v>2752</v>
      </c>
      <c r="AF9" s="1081" t="s">
        <v>2753</v>
      </c>
      <c r="AG9" s="1081" t="s">
        <v>2754</v>
      </c>
      <c r="AH9" s="1081" t="s">
        <v>2755</v>
      </c>
      <c r="AI9" s="1081" t="s">
        <v>2756</v>
      </c>
      <c r="AJ9" s="1081" t="s">
        <v>2757</v>
      </c>
      <c r="AK9" s="1023" t="s">
        <v>2758</v>
      </c>
    </row>
    <row customHeight="1" ht="11.25" hidden="1">
      <c r="AH10" s="1328"/>
      <c r="AI10" s="1328"/>
      <c r="AJ10" s="1328"/>
      <c r="AK10" s="1328"/>
    </row>
    <row customHeight="1" ht="11.25" hidden="1">
      <c r="AH11" s="1328"/>
      <c r="AI11" s="1328"/>
      <c r="AJ11" s="1328"/>
      <c r="AK11" s="1328"/>
    </row>
    <row customHeight="1" ht="11.25" hidden="1">
      <c r="AH12" s="1328"/>
      <c r="AI12" s="1328"/>
      <c r="AJ12" s="1328"/>
      <c r="AK12" s="1328"/>
    </row>
    <row customHeight="1" ht="11.25" hidden="1">
      <c r="AH13" s="1328"/>
      <c r="AI13" s="1328"/>
      <c r="AJ13" s="1328"/>
      <c r="AK13" s="1328"/>
    </row>
    <row customHeight="1" ht="11.25" hidden="1">
      <c r="AH14" s="1328"/>
      <c r="AI14" s="1328"/>
      <c r="AJ14" s="1328"/>
      <c r="AK14" s="1328"/>
    </row>
    <row customHeight="1" ht="11.25" hidden="1">
      <c r="AH15" s="1328"/>
      <c r="AI15" s="1328"/>
      <c r="AJ15" s="1328"/>
      <c r="AK15" s="1328"/>
    </row>
    <row customHeight="1" ht="11.25" hidden="1">
      <c r="AH16" s="1328"/>
      <c r="AI16" s="1328"/>
      <c r="AJ16" s="1328"/>
      <c r="AK16" s="1328"/>
    </row>
    <row customHeight="1" ht="11.25" hidden="1">
      <c r="AH17" s="1328"/>
      <c r="AI17" s="1328"/>
      <c r="AJ17" s="1328"/>
      <c r="AK17" s="1328"/>
    </row>
    <row customHeight="1" ht="11.25" hidden="1">
      <c r="AH18" s="1328"/>
      <c r="AI18" s="1328"/>
      <c r="AJ18" s="1328"/>
      <c r="AK18" s="1328"/>
    </row>
    <row customHeight="1" ht="11.25" hidden="1">
      <c r="AH19" s="1328"/>
      <c r="AI19" s="1328"/>
      <c r="AJ19" s="1328"/>
      <c r="AK19" s="1328"/>
    </row>
    <row customHeight="1" ht="11.25" hidden="1">
      <c r="AH20" s="1328"/>
      <c r="AI20" s="1328"/>
      <c r="AJ20" s="1328"/>
      <c r="AK20" s="1328"/>
    </row>
    <row customHeight="1" ht="14.625">
      <c r="E21" s="637">
        <v>15</v>
      </c>
      <c r="AA21" s="427"/>
      <c r="AB21" s="363" cm="1" t="str">
        <f t="array" ref="AB21:AB21">tpl_title</f>
        <v>Кемеровская область / 2026 / ОАО «СКЭК» (ИНН:4205153492, КПП:420501001) / ДПР: 2024-2028</v>
      </c>
      <c r="AH21" s="1328"/>
      <c r="AI21" s="1328"/>
      <c r="AJ21" s="1328"/>
      <c r="AK21" s="1328"/>
    </row>
    <row s="1363" customFormat="1" customHeight="1" ht="23.400000000000002">
      <c r="B22" s="429"/>
      <c r="E22" s="638">
        <v>24</v>
      </c>
      <c r="AB22" s="316" t="s">
        <v>85</v>
      </c>
      <c r="AC22" s="202"/>
      <c r="AD22" s="202"/>
      <c r="AE22" s="202"/>
      <c r="AF22" s="202"/>
      <c r="AG22" s="202"/>
      <c r="AH22" s="202"/>
      <c r="AI22" s="202"/>
      <c r="AJ22" s="202"/>
      <c r="AK22" s="202"/>
      <c r="AO22" s="1026"/>
    </row>
    <row customHeight="1" ht="10.96875">
      <c r="E23" s="637">
        <v>11.25</v>
      </c>
      <c r="AB23" s="140"/>
      <c r="AC23" s="140"/>
      <c r="AH23" s="1328"/>
      <c r="AI23" s="1328"/>
      <c r="AJ23" s="1328"/>
      <c r="AK23" s="1328"/>
    </row>
    <row customHeight="1" ht="19.74375">
      <c r="E24" s="637">
        <v>20.25</v>
      </c>
      <c r="AB24" s="1603" t="s">
        <v>2759</v>
      </c>
      <c r="AC24" s="1603"/>
      <c r="AD24" s="1603"/>
      <c r="AE24" s="1603"/>
      <c r="AF24" s="344" t="s">
        <v>152</v>
      </c>
      <c r="AH24" s="1328"/>
      <c r="AI24" s="1328"/>
      <c r="AJ24" s="1328"/>
      <c r="AK24" s="1328"/>
    </row>
    <row customHeight="1" ht="10.96875">
      <c r="E25" s="637">
        <v>11.25</v>
      </c>
      <c r="AB25" s="140"/>
      <c r="AC25" s="140"/>
      <c r="AH25" s="1328"/>
      <c r="AI25" s="1328"/>
      <c r="AJ25" s="1328"/>
      <c r="AK25" s="1328"/>
    </row>
    <row s="1189" customFormat="1" customHeight="1" ht="38.025">
      <c r="B26" s="431"/>
      <c r="E26" s="635">
        <v>39</v>
      </c>
      <c r="AB26" s="1621" t="s">
        <v>2760</v>
      </c>
      <c r="AC26" s="1545" t="s">
        <v>2761</v>
      </c>
      <c r="AD26" s="1545" t="s">
        <v>567</v>
      </c>
      <c r="AE26" s="1533" t="s">
        <v>2762</v>
      </c>
      <c r="AF26" s="1553" t="s">
        <v>2763</v>
      </c>
      <c r="AG26" s="1553"/>
      <c r="AH26" s="1553"/>
      <c r="AI26" s="1553"/>
      <c r="AJ26" s="1553"/>
      <c r="AK26" s="1553"/>
      <c r="AO26" s="1021"/>
    </row>
    <row s="1189" customFormat="1" customHeight="1" ht="35.1">
      <c r="B27" s="431"/>
      <c r="E27" s="635">
        <v>36</v>
      </c>
      <c r="AB27" s="1622"/>
      <c r="AC27" s="1545"/>
      <c r="AD27" s="1545"/>
      <c r="AE27" s="1545"/>
      <c r="AF27" s="837" t="s">
        <v>705</v>
      </c>
      <c r="AG27" s="837" t="s">
        <v>2764</v>
      </c>
      <c r="AH27" s="837" t="s">
        <v>2765</v>
      </c>
      <c r="AI27" s="837" t="s">
        <v>2766</v>
      </c>
      <c r="AJ27" s="837" t="s">
        <v>2767</v>
      </c>
      <c r="AK27" s="837" t="s">
        <v>2768</v>
      </c>
      <c r="AO27" s="1021"/>
    </row>
    <row s="1541" customFormat="1" customHeight="1" ht="11.2125">
      <c r="B28" s="431"/>
      <c r="E28" s="263">
        <v>11.5</v>
      </c>
      <c r="AB28" s="1623"/>
      <c r="AC28" s="838" t="s">
        <v>936</v>
      </c>
      <c r="AD28" s="838" t="s">
        <v>561</v>
      </c>
      <c r="AE28" s="773" t="s">
        <v>561</v>
      </c>
      <c r="AF28" s="838" t="s">
        <v>561</v>
      </c>
      <c r="AG28" s="838" t="s">
        <v>2769</v>
      </c>
      <c r="AH28" s="838" t="s">
        <v>2769</v>
      </c>
      <c r="AI28" s="838" t="s">
        <v>2769</v>
      </c>
      <c r="AJ28" s="838" t="s">
        <v>2769</v>
      </c>
      <c r="AK28" s="838" t="s">
        <v>2769</v>
      </c>
      <c r="AO28" s="1038"/>
    </row>
    <row s="1656" customFormat="1" customHeight="1" ht="11.25">
      <c r="B29" s="432"/>
      <c r="E29" s="677" t="s">
        <v>384</v>
      </c>
      <c r="F29" s="81"/>
      <c r="AB29" s="0"/>
      <c r="AC29" s="485"/>
      <c r="AD29" s="485"/>
      <c r="AE29" s="485"/>
      <c r="AF29" s="485"/>
      <c r="AG29" s="0"/>
      <c r="AH29" s="0"/>
      <c r="AI29" s="0"/>
      <c r="AJ29" s="0"/>
      <c r="AK29" s="0"/>
      <c r="AO29" s="1012"/>
      <c r="AQ29" s="97"/>
    </row>
    <row s="1331" customFormat="1" customHeight="1" ht="14.625" hidden="1">
      <c r="A30" s="1331"/>
      <c r="B30" s="430"/>
      <c r="C30" s="1331"/>
      <c r="D30" s="1331"/>
      <c r="E30" s="623">
        <v>15</v>
      </c>
      <c r="F30" s="94" cm="1" t="str">
        <f t="array" ref="F30:F30">X30</f>
        <v>0</v>
      </c>
      <c r="G30" s="1331"/>
      <c r="H30" s="1331"/>
      <c r="I30" s="1331"/>
      <c r="J30" s="1331"/>
      <c r="K30" s="1331"/>
      <c r="L30" s="1331"/>
      <c r="M30" s="1331"/>
      <c r="N30" s="1331"/>
      <c r="O30" s="1331"/>
      <c r="P30" s="1331"/>
      <c r="Q30" s="1331"/>
      <c r="R30" s="1331"/>
      <c r="S30" s="1331"/>
      <c r="T30" s="468">
        <f>X30&gt;0</f>
        <v>0</v>
      </c>
      <c r="U30" s="1331"/>
      <c r="V30" s="118" t="s">
        <v>279</v>
      </c>
      <c r="W30" s="1331"/>
      <c r="X30" s="1539">
        <v>0</v>
      </c>
      <c r="Y30" s="1331"/>
      <c r="Z30" s="1529"/>
      <c r="AA30" s="1331"/>
      <c r="AB30" s="377" cm="1" t="str">
        <f t="array" ref="AB30:AB30">INDEX('Общие сведения'!$AG$197:$AG$254,MATCH($X30,'Общие сведения'!$Z$197:$Z$254,0))</f>
        <v>Тариф 0 () - </v>
      </c>
      <c r="AC30" s="839"/>
      <c r="AD30" s="839"/>
      <c r="AE30" s="839"/>
      <c r="AF30" s="839"/>
      <c r="AG30" s="839"/>
      <c r="AH30" s="839"/>
      <c r="AI30" s="839"/>
      <c r="AJ30" s="839"/>
      <c r="AK30" s="839"/>
      <c r="AL30" s="403"/>
      <c r="AM30" s="1331"/>
      <c r="AN30" s="1331"/>
      <c r="AO30" s="1005"/>
      <c r="AP30" s="1331"/>
      <c r="AQ30" s="1331"/>
    </row>
    <row s="1297" customFormat="1" customHeight="1" ht="14.625" hidden="1">
      <c r="A31" s="1297"/>
      <c r="B31" s="447">
        <f>K31&lt;first_year+PERIOD_LENGTH</f>
        <v>1</v>
      </c>
      <c r="C31" s="1297"/>
      <c r="D31" s="1297"/>
      <c r="E31" s="709">
        <v>15</v>
      </c>
      <c r="F31" s="50" cm="1" t="str">
        <f t="array" ref="F31:F31">OFFSET(E31,-1,1)</f>
        <v>0</v>
      </c>
      <c r="G31" s="1297"/>
      <c r="H31" s="1297"/>
      <c r="I31" s="1297"/>
      <c r="J31" s="1297"/>
      <c r="K31" s="154" cm="1" t="str">
        <f t="array" ref="K31:K31">first_year</f>
        <v>2024</v>
      </c>
      <c r="L31" s="1297"/>
      <c r="M31" s="1297"/>
      <c r="N31" s="1297"/>
      <c r="O31" s="1297"/>
      <c r="P31" s="1297"/>
      <c r="Q31" s="1297"/>
      <c r="R31" s="1297"/>
      <c r="S31" s="1297"/>
      <c r="T31" s="468" cm="1" t="str">
        <f t="array" ref="T31:T31">T30</f>
        <v>false</v>
      </c>
      <c r="U31" s="1297"/>
      <c r="V31" s="1297"/>
      <c r="W31" s="1297"/>
      <c r="X31" s="1539"/>
      <c r="Y31" s="1297"/>
      <c r="Z31" s="1529"/>
      <c r="AA31" s="1297"/>
      <c r="AB31" s="840" t="str">
        <f>K31&amp;" год"</f>
        <v>2024 год</v>
      </c>
      <c r="AC31" s="6790">
        <f>IF(god=first_year,_xlfn.SUMIFS('Калькуляция (МИ)'!AT$26:AT$603,'Калькуляция (МИ)'!F$26:F$603,F31,'Калькуляция (МИ)'!AC$26:AC$603,"операционные расходы"),IF(god&lt;first_year+3,_xlfn.IFERROR(_xlfn.SUMIFS(INDEX('Калькуляция (МИ корр)'!$AE$25:$BC$606,,MATCH(K31&amp;"Принято органом регулирования",'Калькуляция (МИ корр)'!$AE$8:$BC$8,0)),'Калькуляция (МИ корр)'!$F$25:$F$606,F31,'Калькуляция (МИ корр)'!$AC$25:$AC$606,"Операционные расходы"),0),""))</f>
        <v>0</v>
      </c>
      <c r="AD31" s="6791">
        <f>_xlfn.IFERROR(_xlfn.SUMIFS(INDEX(Сценарии!$AE$25:$BF$136,,MATCH($K31&amp;"Принято органом регулирования",Сценарии!$AE$8:$BF$8,0)),Сценарии!$F$25:$F$136,$F31,Сценарии!$AC$25:$AC$136,"Индекс эффективности операционных расходов"),0)</f>
        <v>0</v>
      </c>
      <c r="AE31" s="6792"/>
      <c r="AF31" s="6792">
        <f>_xlfn.IFERROR(_xlfn.SUMIFS(INDEX(Баланс!$AE$25:$BB$391,,MATCH($K31&amp;"Принято органом регулирования",Баланс!$AE$8:$BB$8,0)),Баланс!$F$25:$F$391,$F31,Баланс!$AC$24:$AC$391,"Уровень потерь воды"),0)</f>
        <v>0</v>
      </c>
      <c r="AG31" s="6793">
        <f>_xlfn.IFERROR(_xlfn.SUMIFS(INDEX(Electricity_LOAD_1,,MATCH($K31&amp;"Принято органом регулирования",ЭЭ!$AE$8:$BB$8,0)),ЭЭ!$F$25:$F$175,$F31,ЭЭ!$AC$25:$AC$175,"Удельный расход электроэнергии"),0)</f>
        <v>0</v>
      </c>
      <c r="AH31" s="6791">
        <f>_xlfn.IFERROR(_xlfn.SUMIFS(INDEX(Electricity_LOAD_1,,MATCH($K31&amp;"Принято органом регулирования",ЭЭ!$AE$8:$BB$8,0)),ЭЭ!$F$25:$F$175,$F31,ЭЭ!$AC$25:$AC$175,"Удельный расход электроэнергии"),0)</f>
        <v>0</v>
      </c>
      <c r="AI31" s="6791">
        <f>_xlfn.IFERROR(_xlfn.SUMIFS(INDEX(Electricity_LOAD_1,,MATCH($K31&amp;"Принято органом регулирования",ЭЭ!$AE$8:$BB$8,0)),ЭЭ!$F$25:$F$175,$F31,ЭЭ!$AC$25:$AC$175,"Удельный расход электроэнергии"),0)</f>
        <v>0</v>
      </c>
      <c r="AJ31" s="6791">
        <f>_xlfn.IFERROR(_xlfn.SUMIFS(INDEX(Electricity_LOAD_1,,MATCH($K31&amp;"Принято органом регулирования",ЭЭ!$AE$8:$BB$8,0)),ЭЭ!$F$25:$F$175,$F31,ЭЭ!$AC$25:$AC$175,"Удельный расход электроэнергии"),0)</f>
        <v>0</v>
      </c>
      <c r="AK31" s="6791">
        <f>_xlfn.IFERROR(_xlfn.SUMIFS(INDEX(Electricity_LOAD_1,,MATCH($K31&amp;"Принято органом регулирования",ЭЭ!$AE$8:$BB$8,0)),ЭЭ!$F$25:$F$175,$F31,ЭЭ!$AC$25:$AC$175,"Удельный расход электроэнергии"),0)</f>
        <v>0</v>
      </c>
      <c r="AL31" s="404"/>
      <c r="AM31" s="154" t="s">
        <v>2770</v>
      </c>
      <c r="AN31" s="1297"/>
      <c r="AO31" s="1072" cm="1" t="str">
        <f t="array" ref="AO31:AO31">K31</f>
        <v>2024</v>
      </c>
      <c r="AP31" s="1297"/>
      <c r="AQ31" s="1297"/>
    </row>
    <row s="1297" customFormat="1" customHeight="1" ht="14.625" hidden="1">
      <c r="A32" s="1297"/>
      <c r="B32" s="447">
        <f>K32&lt;first_year+PERIOD_LENGTH</f>
        <v>1</v>
      </c>
      <c r="C32" s="1297"/>
      <c r="D32" s="1297"/>
      <c r="E32" s="709">
        <v>15</v>
      </c>
      <c r="F32" s="50" cm="1" t="str">
        <f t="array" ref="F32:F32">OFFSET(E32,-1,1)</f>
        <v>0</v>
      </c>
      <c r="G32" s="1297"/>
      <c r="H32" s="1297"/>
      <c r="I32" s="1297"/>
      <c r="J32" s="1297"/>
      <c r="K32" s="154">
        <f>first_year+1</f>
        <v>2025</v>
      </c>
      <c r="L32" s="1297"/>
      <c r="M32" s="1297"/>
      <c r="N32" s="1297"/>
      <c r="O32" s="1297"/>
      <c r="P32" s="1297"/>
      <c r="Q32" s="1297"/>
      <c r="R32" s="1297"/>
      <c r="S32" s="1297"/>
      <c r="T32" s="468" cm="1" t="str">
        <f t="array" ref="T32:T32">T31</f>
        <v>false</v>
      </c>
      <c r="U32" s="1297"/>
      <c r="V32" s="1297"/>
      <c r="W32" s="1297"/>
      <c r="X32" s="1539"/>
      <c r="Y32" s="1297"/>
      <c r="Z32" s="1529"/>
      <c r="AA32" s="1297"/>
      <c r="AB32" s="840" t="str">
        <f>K32&amp;" год"</f>
        <v>2025 год</v>
      </c>
      <c r="AC32" s="6792"/>
      <c r="AD32" s="6791">
        <f>_xlfn.IFERROR(_xlfn.SUMIFS(INDEX(Сценарии!$AE$25:$BF$136,,MATCH($K32&amp;"Принято органом регулирования",Сценарии!$AE$8:$BF$8,0)),Сценарии!$F$25:$F$136,$F32,Сценарии!$AC$25:$AC$136,"Индекс эффективности операционных расходов"),0)</f>
        <v>0</v>
      </c>
      <c r="AE32" s="6792"/>
      <c r="AF32" s="6792">
        <f>_xlfn.IFERROR(_xlfn.SUMIFS(INDEX(Баланс!$AE$25:$BB$391,,MATCH($K32&amp;"Принято органом регулирования",Баланс!$AE$8:$BB$8,0)),Баланс!$F$25:$F$391,$F32,Баланс!$AC$24:$AC$391,"Уровень потерь воды"),0)</f>
        <v>0</v>
      </c>
      <c r="AG32" s="6793">
        <f>_xlfn.IFERROR(_xlfn.SUMIFS(INDEX(Electricity_LOAD_1,,MATCH($K32&amp;"Принято органом регулирования",ЭЭ!$AE$8:$BB$8,0)),ЭЭ!$F$25:$F$175,$F32,ЭЭ!$AC$25:$AC$175,"Удельный расход электроэнергии"),0)</f>
        <v>0</v>
      </c>
      <c r="AH32" s="6791">
        <f>_xlfn.IFERROR(_xlfn.SUMIFS(INDEX(Electricity_LOAD_1,,MATCH($K32&amp;"Принято органом регулирования",ЭЭ!$AE$8:$BB$8,0)),ЭЭ!$F$25:$F$175,$F32,ЭЭ!$AC$25:$AC$175,"Удельный расход электроэнергии"),0)</f>
        <v>0</v>
      </c>
      <c r="AI32" s="6791">
        <f>_xlfn.IFERROR(_xlfn.SUMIFS(INDEX(Electricity_LOAD_1,,MATCH($K32&amp;"Принято органом регулирования",ЭЭ!$AE$8:$BB$8,0)),ЭЭ!$F$25:$F$175,$F32,ЭЭ!$AC$25:$AC$175,"Удельный расход электроэнергии"),0)</f>
        <v>0</v>
      </c>
      <c r="AJ32" s="6791">
        <f>_xlfn.IFERROR(_xlfn.SUMIFS(INDEX(Electricity_LOAD_1,,MATCH($K32&amp;"Принято органом регулирования",ЭЭ!$AE$8:$BB$8,0)),ЭЭ!$F$25:$F$175,$F32,ЭЭ!$AC$25:$AC$175,"Удельный расход электроэнергии"),0)</f>
        <v>0</v>
      </c>
      <c r="AK32" s="6791">
        <f>_xlfn.IFERROR(_xlfn.SUMIFS(INDEX(Electricity_LOAD_1,,MATCH($K32&amp;"Принято органом регулирования",ЭЭ!$AE$8:$BB$8,0)),ЭЭ!$F$25:$F$175,$F32,ЭЭ!$AC$25:$AC$175,"Удельный расход электроэнергии"),0)</f>
        <v>0</v>
      </c>
      <c r="AL32" s="404"/>
      <c r="AM32" s="1297" t="s">
        <v>2770</v>
      </c>
      <c r="AN32" s="1297"/>
      <c r="AO32" s="1072" cm="1" t="str">
        <f t="array" ref="AO32:AO32">K32</f>
        <v>2025</v>
      </c>
      <c r="AP32" s="1297"/>
      <c r="AQ32" s="1297"/>
    </row>
    <row s="1297" customFormat="1" customHeight="1" ht="14.625" hidden="1">
      <c r="A33" s="1297"/>
      <c r="B33" s="447">
        <f>K33&lt;first_year+PERIOD_LENGTH</f>
        <v>1</v>
      </c>
      <c r="C33" s="1297"/>
      <c r="D33" s="1297"/>
      <c r="E33" s="709">
        <v>15</v>
      </c>
      <c r="F33" s="50" cm="1" t="str">
        <f t="array" ref="F33:F33">OFFSET(E33,-1,1)</f>
        <v>0</v>
      </c>
      <c r="G33" s="1297"/>
      <c r="H33" s="1297"/>
      <c r="I33" s="1297"/>
      <c r="J33" s="1297"/>
      <c r="K33" s="154">
        <f>first_year+2</f>
        <v>2026</v>
      </c>
      <c r="L33" s="1297"/>
      <c r="M33" s="1297"/>
      <c r="N33" s="1297"/>
      <c r="O33" s="1297"/>
      <c r="P33" s="1297"/>
      <c r="Q33" s="1297"/>
      <c r="R33" s="1297"/>
      <c r="S33" s="1297"/>
      <c r="T33" s="468" cm="1" t="str">
        <f t="array" ref="T33:T33">T32</f>
        <v>false</v>
      </c>
      <c r="U33" s="1297"/>
      <c r="V33" s="1297"/>
      <c r="W33" s="1297"/>
      <c r="X33" s="1539"/>
      <c r="Y33" s="1297"/>
      <c r="Z33" s="1529"/>
      <c r="AA33" s="1297"/>
      <c r="AB33" s="840" t="str">
        <f>K33&amp;" год"</f>
        <v>2026 год</v>
      </c>
      <c r="AC33" s="6792"/>
      <c r="AD33" s="6791">
        <f>_xlfn.IFERROR(_xlfn.SUMIFS(INDEX(Сценарии!$AE$25:$BF$136,,MATCH($K33&amp;"Принято органом регулирования",Сценарии!$AE$8:$BF$8,0)),Сценарии!$F$25:$F$136,$F33,Сценарии!$AC$25:$AC$136,"Индекс эффективности операционных расходов"),0)</f>
        <v>0</v>
      </c>
      <c r="AE33" s="6792"/>
      <c r="AF33" s="6792">
        <f>_xlfn.IFERROR(_xlfn.SUMIFS(INDEX(Баланс!$AE$25:$BB$391,,MATCH($K33&amp;"Принято органом регулирования",Баланс!$AE$8:$BB$8,0)),Баланс!$F$25:$F$391,$F33,Баланс!$AC$24:$AC$391,"Уровень потерь воды"),0)</f>
        <v>0</v>
      </c>
      <c r="AG33" s="6793">
        <f>_xlfn.IFERROR(_xlfn.SUMIFS(INDEX(Electricity_LOAD_1,,MATCH($K33&amp;"Принято органом регулирования",ЭЭ!$AE$8:$BB$8,0)),ЭЭ!$F$25:$F$175,$F33,ЭЭ!$AC$25:$AC$175,"Удельный расход электроэнергии"),0)</f>
        <v>0</v>
      </c>
      <c r="AH33" s="6791">
        <f>_xlfn.IFERROR(_xlfn.SUMIFS(INDEX(Electricity_LOAD_1,,MATCH($K33&amp;"Принято органом регулирования",ЭЭ!$AE$8:$BB$8,0)),ЭЭ!$F$25:$F$175,$F33,ЭЭ!$AC$25:$AC$175,"Удельный расход электроэнергии"),0)</f>
        <v>0</v>
      </c>
      <c r="AI33" s="6791">
        <f>_xlfn.IFERROR(_xlfn.SUMIFS(INDEX(Electricity_LOAD_1,,MATCH($K33&amp;"Принято органом регулирования",ЭЭ!$AE$8:$BB$8,0)),ЭЭ!$F$25:$F$175,$F33,ЭЭ!$AC$25:$AC$175,"Удельный расход электроэнергии"),0)</f>
        <v>0</v>
      </c>
      <c r="AJ33" s="6791">
        <f>_xlfn.IFERROR(_xlfn.SUMIFS(INDEX(Electricity_LOAD_1,,MATCH($K33&amp;"Принято органом регулирования",ЭЭ!$AE$8:$BB$8,0)),ЭЭ!$F$25:$F$175,$F33,ЭЭ!$AC$25:$AC$175,"Удельный расход электроэнергии"),0)</f>
        <v>0</v>
      </c>
      <c r="AK33" s="6791">
        <f>_xlfn.IFERROR(_xlfn.SUMIFS(INDEX(Electricity_LOAD_1,,MATCH($K33&amp;"Принято органом регулирования",ЭЭ!$AE$8:$BB$8,0)),ЭЭ!$F$25:$F$175,$F33,ЭЭ!$AC$25:$AC$175,"Удельный расход электроэнергии"),0)</f>
        <v>0</v>
      </c>
      <c r="AL33" s="404"/>
      <c r="AM33" s="1297" t="s">
        <v>2770</v>
      </c>
      <c r="AN33" s="1297"/>
      <c r="AO33" s="1072" cm="1" t="str">
        <f t="array" ref="AO33:AO33">K33</f>
        <v>2026</v>
      </c>
      <c r="AP33" s="1297"/>
      <c r="AQ33" s="1297"/>
    </row>
    <row s="1297" customFormat="1" customHeight="1" ht="14.625" hidden="1">
      <c r="A34" s="1297"/>
      <c r="B34" s="447">
        <f>K34&lt;first_year+PERIOD_LENGTH</f>
        <v>1</v>
      </c>
      <c r="C34" s="1297"/>
      <c r="D34" s="1297"/>
      <c r="E34" s="709">
        <v>15</v>
      </c>
      <c r="F34" s="50" cm="1" t="str">
        <f t="array" ref="F34:F34">OFFSET(E34,-1,1)</f>
        <v>0</v>
      </c>
      <c r="G34" s="1297"/>
      <c r="H34" s="1297"/>
      <c r="I34" s="1297"/>
      <c r="J34" s="1297"/>
      <c r="K34" s="154">
        <f>first_year+3</f>
        <v>2027</v>
      </c>
      <c r="L34" s="1297"/>
      <c r="M34" s="1297"/>
      <c r="N34" s="1297"/>
      <c r="O34" s="1297"/>
      <c r="P34" s="1297"/>
      <c r="Q34" s="1297"/>
      <c r="R34" s="1297"/>
      <c r="S34" s="1297"/>
      <c r="T34" s="468" cm="1" t="str">
        <f t="array" ref="T34:T34">T33</f>
        <v>false</v>
      </c>
      <c r="U34" s="1297"/>
      <c r="V34" s="1297"/>
      <c r="W34" s="1297"/>
      <c r="X34" s="1539"/>
      <c r="Y34" s="1297"/>
      <c r="Z34" s="1529"/>
      <c r="AA34" s="1297"/>
      <c r="AB34" s="840" t="str">
        <f>K34&amp;" год"</f>
        <v>2027 год</v>
      </c>
      <c r="AC34" s="6792"/>
      <c r="AD34" s="6791">
        <f>_xlfn.IFERROR(_xlfn.SUMIFS(INDEX(Сценарии!$AE$25:$BF$136,,MATCH($K34&amp;"Принято органом регулирования",Сценарии!$AE$8:$BF$8,0)),Сценарии!$F$25:$F$136,$F34,Сценарии!$AC$25:$AC$136,"Индекс эффективности операционных расходов"),0)</f>
        <v>0</v>
      </c>
      <c r="AE34" s="6792"/>
      <c r="AF34" s="6792">
        <f>_xlfn.IFERROR(_xlfn.SUMIFS(INDEX(Баланс!$AE$25:$BB$391,,MATCH($K34&amp;"Принято органом регулирования",Баланс!$AE$8:$BB$8,0)),Баланс!$F$25:$F$391,$F34,Баланс!$AC$24:$AC$391,"Уровень потерь воды"),0)</f>
        <v>0</v>
      </c>
      <c r="AG34" s="6793">
        <f>_xlfn.IFERROR(_xlfn.SUMIFS(INDEX(Electricity_LOAD_1,,MATCH($K34&amp;"Принято органом регулирования",ЭЭ!$AE$8:$BB$8,0)),ЭЭ!$F$25:$F$175,$F34,ЭЭ!$AC$25:$AC$175,"Удельный расход электроэнергии"),0)</f>
        <v>0</v>
      </c>
      <c r="AH34" s="6791">
        <f>_xlfn.IFERROR(_xlfn.SUMIFS(INDEX(Electricity_LOAD_1,,MATCH($K34&amp;"Принято органом регулирования",ЭЭ!$AE$8:$BB$8,0)),ЭЭ!$F$25:$F$175,$F34,ЭЭ!$AC$25:$AC$175,"Удельный расход электроэнергии"),0)</f>
        <v>0</v>
      </c>
      <c r="AI34" s="6791">
        <f>_xlfn.IFERROR(_xlfn.SUMIFS(INDEX(Electricity_LOAD_1,,MATCH($K34&amp;"Принято органом регулирования",ЭЭ!$AE$8:$BB$8,0)),ЭЭ!$F$25:$F$175,$F34,ЭЭ!$AC$25:$AC$175,"Удельный расход электроэнергии"),0)</f>
        <v>0</v>
      </c>
      <c r="AJ34" s="6791">
        <f>_xlfn.IFERROR(_xlfn.SUMIFS(INDEX(Electricity_LOAD_1,,MATCH($K34&amp;"Принято органом регулирования",ЭЭ!$AE$8:$BB$8,0)),ЭЭ!$F$25:$F$175,$F34,ЭЭ!$AC$25:$AC$175,"Удельный расход электроэнергии"),0)</f>
        <v>0</v>
      </c>
      <c r="AK34" s="6791">
        <f>_xlfn.IFERROR(_xlfn.SUMIFS(INDEX(Electricity_LOAD_1,,MATCH($K34&amp;"Принято органом регулирования",ЭЭ!$AE$8:$BB$8,0)),ЭЭ!$F$25:$F$175,$F34,ЭЭ!$AC$25:$AC$175,"Удельный расход электроэнергии"),0)</f>
        <v>0</v>
      </c>
      <c r="AL34" s="404"/>
      <c r="AM34" s="1297" t="s">
        <v>2770</v>
      </c>
      <c r="AN34" s="1297"/>
      <c r="AO34" s="1072" cm="1" t="str">
        <f t="array" ref="AO34:AO34">K34</f>
        <v>2027</v>
      </c>
      <c r="AP34" s="1297"/>
      <c r="AQ34" s="1297"/>
    </row>
    <row s="1297" customFormat="1" customHeight="1" ht="14.625" hidden="1">
      <c r="A35" s="1297"/>
      <c r="B35" s="447">
        <f>K35&lt;first_year+PERIOD_LENGTH</f>
        <v>1</v>
      </c>
      <c r="C35" s="1297"/>
      <c r="D35" s="1297"/>
      <c r="E35" s="709">
        <v>15</v>
      </c>
      <c r="F35" s="50" cm="1" t="str">
        <f t="array" ref="F35:F35">OFFSET(E35,-1,1)</f>
        <v>0</v>
      </c>
      <c r="G35" s="1297"/>
      <c r="H35" s="1297"/>
      <c r="I35" s="1297"/>
      <c r="J35" s="1297"/>
      <c r="K35" s="154">
        <f>first_year+4</f>
        <v>2028</v>
      </c>
      <c r="L35" s="1297"/>
      <c r="M35" s="1297"/>
      <c r="N35" s="1297"/>
      <c r="O35" s="1297"/>
      <c r="P35" s="1297"/>
      <c r="Q35" s="1297"/>
      <c r="R35" s="1297"/>
      <c r="S35" s="1297"/>
      <c r="T35" s="468" cm="1" t="str">
        <f t="array" ref="T35:T35">T34</f>
        <v>false</v>
      </c>
      <c r="U35" s="1297"/>
      <c r="V35" s="1297"/>
      <c r="W35" s="1297"/>
      <c r="X35" s="1539"/>
      <c r="Y35" s="1297"/>
      <c r="Z35" s="1529"/>
      <c r="AA35" s="1297"/>
      <c r="AB35" s="840" t="str">
        <f>K35&amp;" год"</f>
        <v>2028 год</v>
      </c>
      <c r="AC35" s="6792"/>
      <c r="AD35" s="6791">
        <f>_xlfn.IFERROR(_xlfn.SUMIFS(INDEX(Сценарии!$AE$25:$BF$136,,MATCH($K35&amp;"Принято органом регулирования",Сценарии!$AE$8:$BF$8,0)),Сценарии!$F$25:$F$136,$F35,Сценарии!$AC$25:$AC$136,"Индекс эффективности операционных расходов"),0)</f>
        <v>0</v>
      </c>
      <c r="AE35" s="6792"/>
      <c r="AF35" s="6792">
        <f>_xlfn.IFERROR(_xlfn.SUMIFS(INDEX(Баланс!$AE$25:$BB$391,,MATCH($K35&amp;"Принято органом регулирования",Баланс!$AE$8:$BB$8,0)),Баланс!$F$25:$F$391,$F35,Баланс!$AC$24:$AC$391,"Уровень потерь воды"),0)</f>
        <v>0</v>
      </c>
      <c r="AG35" s="6793">
        <f>_xlfn.IFERROR(_xlfn.SUMIFS(INDEX(Electricity_LOAD_1,,MATCH($K35&amp;"Принято органом регулирования",ЭЭ!$AE$8:$BB$8,0)),ЭЭ!$F$25:$F$175,$F35,ЭЭ!$AC$25:$AC$175,"Удельный расход электроэнергии"),0)</f>
        <v>0</v>
      </c>
      <c r="AH35" s="6791">
        <f>_xlfn.IFERROR(_xlfn.SUMIFS(INDEX(Electricity_LOAD_1,,MATCH($K35&amp;"Принято органом регулирования",ЭЭ!$AE$8:$BB$8,0)),ЭЭ!$F$25:$F$175,$F35,ЭЭ!$AC$25:$AC$175,"Удельный расход электроэнергии"),0)</f>
        <v>0</v>
      </c>
      <c r="AI35" s="6791">
        <f>_xlfn.IFERROR(_xlfn.SUMIFS(INDEX(Electricity_LOAD_1,,MATCH($K35&amp;"Принято органом регулирования",ЭЭ!$AE$8:$BB$8,0)),ЭЭ!$F$25:$F$175,$F35,ЭЭ!$AC$25:$AC$175,"Удельный расход электроэнергии"),0)</f>
        <v>0</v>
      </c>
      <c r="AJ35" s="6791">
        <f>_xlfn.IFERROR(_xlfn.SUMIFS(INDEX(Electricity_LOAD_1,,MATCH($K35&amp;"Принято органом регулирования",ЭЭ!$AE$8:$BB$8,0)),ЭЭ!$F$25:$F$175,$F35,ЭЭ!$AC$25:$AC$175,"Удельный расход электроэнергии"),0)</f>
        <v>0</v>
      </c>
      <c r="AK35" s="6791">
        <f>_xlfn.IFERROR(_xlfn.SUMIFS(INDEX(Electricity_LOAD_1,,MATCH($K35&amp;"Принято органом регулирования",ЭЭ!$AE$8:$BB$8,0)),ЭЭ!$F$25:$F$175,$F35,ЭЭ!$AC$25:$AC$175,"Удельный расход электроэнергии"),0)</f>
        <v>0</v>
      </c>
      <c r="AL35" s="404"/>
      <c r="AM35" s="1297" t="s">
        <v>2770</v>
      </c>
      <c r="AN35" s="1297"/>
      <c r="AO35" s="1072" cm="1" t="str">
        <f t="array" ref="AO35:AO35">K35</f>
        <v>2028</v>
      </c>
      <c r="AP35" s="1297"/>
      <c r="AQ35" s="1297"/>
    </row>
    <row s="1297" customFormat="1" customHeight="1" ht="14.625" hidden="1">
      <c r="A36" s="1297"/>
      <c r="B36" s="447">
        <f>K36&lt;first_year+PERIOD_LENGTH</f>
        <v>0</v>
      </c>
      <c r="C36" s="1297"/>
      <c r="D36" s="1297"/>
      <c r="E36" s="709">
        <v>15</v>
      </c>
      <c r="F36" s="50" cm="1" t="str">
        <f t="array" ref="F36:F36">OFFSET(E36,-1,1)</f>
        <v>0</v>
      </c>
      <c r="G36" s="1297"/>
      <c r="H36" s="1297"/>
      <c r="I36" s="1297"/>
      <c r="J36" s="1297"/>
      <c r="K36" s="154">
        <f>first_year+5</f>
        <v>2029</v>
      </c>
      <c r="L36" s="1297"/>
      <c r="M36" s="1297"/>
      <c r="N36" s="1297"/>
      <c r="O36" s="1297"/>
      <c r="P36" s="1297"/>
      <c r="Q36" s="1297"/>
      <c r="R36" s="1297"/>
      <c r="S36" s="1297"/>
      <c r="T36" s="468" cm="1" t="str">
        <f t="array" ref="T36:T36">T35</f>
        <v>false</v>
      </c>
      <c r="U36" s="1297"/>
      <c r="V36" s="1297"/>
      <c r="W36" s="1297"/>
      <c r="X36" s="1539"/>
      <c r="Y36" s="1297"/>
      <c r="Z36" s="1529"/>
      <c r="AA36" s="1297"/>
      <c r="AB36" s="840" t="str">
        <f>K36&amp;" год"</f>
        <v>2029 год</v>
      </c>
      <c r="AC36" s="6792"/>
      <c r="AD36" s="6791">
        <f>_xlfn.IFERROR(_xlfn.SUMIFS(INDEX(Сценарии!$AE$25:$BF$136,,MATCH($K36&amp;"Принято органом регулирования",Сценарии!$AE$8:$BF$8,0)),Сценарии!$F$25:$F$136,$F36,Сценарии!$AC$25:$AC$136,"Индекс эффективности операционных расходов"),0)</f>
        <v>0</v>
      </c>
      <c r="AE36" s="6792"/>
      <c r="AF36" s="6792">
        <f>_xlfn.IFERROR(_xlfn.SUMIFS(INDEX(Баланс!$AE$25:$BB$391,,MATCH($K36&amp;"Принято органом регулирования",Баланс!$AE$8:$BB$8,0)),Баланс!$F$25:$F$391,$F36,Баланс!$AC$24:$AC$391,"Уровень потерь воды"),0)</f>
        <v>0</v>
      </c>
      <c r="AG36" s="6793">
        <f>_xlfn.IFERROR(_xlfn.SUMIFS(INDEX(Electricity_LOAD_1,,MATCH($K36&amp;"Принято органом регулирования",ЭЭ!$AE$8:$BB$8,0)),ЭЭ!$F$25:$F$175,$F36,ЭЭ!$AC$25:$AC$175,"Удельный расход электроэнергии"),0)</f>
        <v>0</v>
      </c>
      <c r="AH36" s="6791">
        <f>_xlfn.IFERROR(_xlfn.SUMIFS(INDEX(Electricity_LOAD_1,,MATCH($K36&amp;"Принято органом регулирования",ЭЭ!$AE$8:$BB$8,0)),ЭЭ!$F$25:$F$175,$F36,ЭЭ!$AC$25:$AC$175,"Удельный расход электроэнергии"),0)</f>
        <v>0</v>
      </c>
      <c r="AI36" s="6791">
        <f>_xlfn.IFERROR(_xlfn.SUMIFS(INDEX(Electricity_LOAD_1,,MATCH($K36&amp;"Принято органом регулирования",ЭЭ!$AE$8:$BB$8,0)),ЭЭ!$F$25:$F$175,$F36,ЭЭ!$AC$25:$AC$175,"Удельный расход электроэнергии"),0)</f>
        <v>0</v>
      </c>
      <c r="AJ36" s="6791">
        <f>_xlfn.IFERROR(_xlfn.SUMIFS(INDEX(Electricity_LOAD_1,,MATCH($K36&amp;"Принято органом регулирования",ЭЭ!$AE$8:$BB$8,0)),ЭЭ!$F$25:$F$175,$F36,ЭЭ!$AC$25:$AC$175,"Удельный расход электроэнергии"),0)</f>
        <v>0</v>
      </c>
      <c r="AK36" s="6791">
        <f>_xlfn.IFERROR(_xlfn.SUMIFS(INDEX(Electricity_LOAD_1,,MATCH($K36&amp;"Принято органом регулирования",ЭЭ!$AE$8:$BB$8,0)),ЭЭ!$F$25:$F$175,$F36,ЭЭ!$AC$25:$AC$175,"Удельный расход электроэнергии"),0)</f>
        <v>0</v>
      </c>
      <c r="AL36" s="404"/>
      <c r="AM36" s="1297" t="s">
        <v>2770</v>
      </c>
      <c r="AN36" s="1297"/>
      <c r="AO36" s="1072" cm="1" t="str">
        <f t="array" ref="AO36:AO36">K36</f>
        <v>2029</v>
      </c>
      <c r="AP36" s="1297"/>
      <c r="AQ36" s="1297"/>
    </row>
    <row s="1297" customFormat="1" customHeight="1" ht="14.625" hidden="1">
      <c r="A37" s="1297"/>
      <c r="B37" s="447">
        <f>K37&lt;first_year+PERIOD_LENGTH</f>
        <v>0</v>
      </c>
      <c r="C37" s="1297"/>
      <c r="D37" s="1297"/>
      <c r="E37" s="709">
        <v>15</v>
      </c>
      <c r="F37" s="50" cm="1" t="str">
        <f t="array" ref="F37:F37">OFFSET(E37,-1,1)</f>
        <v>0</v>
      </c>
      <c r="G37" s="1297"/>
      <c r="H37" s="1297"/>
      <c r="I37" s="1297"/>
      <c r="J37" s="1297"/>
      <c r="K37" s="154">
        <f>first_year+6</f>
        <v>2030</v>
      </c>
      <c r="L37" s="1297"/>
      <c r="M37" s="1297"/>
      <c r="N37" s="1297"/>
      <c r="O37" s="1297"/>
      <c r="P37" s="1297"/>
      <c r="Q37" s="1297"/>
      <c r="R37" s="1297"/>
      <c r="S37" s="1297"/>
      <c r="T37" s="468" cm="1" t="str">
        <f t="array" ref="T37:T37">T36</f>
        <v>false</v>
      </c>
      <c r="U37" s="1297"/>
      <c r="V37" s="1297"/>
      <c r="W37" s="1297"/>
      <c r="X37" s="1539"/>
      <c r="Y37" s="1297"/>
      <c r="Z37" s="1529"/>
      <c r="AA37" s="1297"/>
      <c r="AB37" s="840" t="str">
        <f>K37&amp;" год"</f>
        <v>2030 год</v>
      </c>
      <c r="AC37" s="6792"/>
      <c r="AD37" s="6791">
        <f>_xlfn.IFERROR(_xlfn.SUMIFS(INDEX(Сценарии!$AE$25:$BF$136,,MATCH($K37&amp;"Принято органом регулирования",Сценарии!$AE$8:$BF$8,0)),Сценарии!$F$25:$F$136,$F37,Сценарии!$AC$25:$AC$136,"Индекс эффективности операционных расходов"),0)</f>
        <v>0</v>
      </c>
      <c r="AE37" s="6792"/>
      <c r="AF37" s="6792">
        <f>_xlfn.IFERROR(_xlfn.SUMIFS(INDEX(Баланс!$AE$25:$BB$391,,MATCH($K37&amp;"Принято органом регулирования",Баланс!$AE$8:$BB$8,0)),Баланс!$F$25:$F$391,$F37,Баланс!$AC$24:$AC$391,"Уровень потерь воды"),0)</f>
        <v>0</v>
      </c>
      <c r="AG37" s="6793">
        <f>_xlfn.IFERROR(_xlfn.SUMIFS(INDEX(Electricity_LOAD_1,,MATCH($K37&amp;"Принято органом регулирования",ЭЭ!$AE$8:$BB$8,0)),ЭЭ!$F$25:$F$175,$F37,ЭЭ!$AC$25:$AC$175,"Удельный расход электроэнергии"),0)</f>
        <v>0</v>
      </c>
      <c r="AH37" s="6791">
        <f>_xlfn.IFERROR(_xlfn.SUMIFS(INDEX(Electricity_LOAD_1,,MATCH($K37&amp;"Принято органом регулирования",ЭЭ!$AE$8:$BB$8,0)),ЭЭ!$F$25:$F$175,$F37,ЭЭ!$AC$25:$AC$175,"Удельный расход электроэнергии"),0)</f>
        <v>0</v>
      </c>
      <c r="AI37" s="6791">
        <f>_xlfn.IFERROR(_xlfn.SUMIFS(INDEX(Electricity_LOAD_1,,MATCH($K37&amp;"Принято органом регулирования",ЭЭ!$AE$8:$BB$8,0)),ЭЭ!$F$25:$F$175,$F37,ЭЭ!$AC$25:$AC$175,"Удельный расход электроэнергии"),0)</f>
        <v>0</v>
      </c>
      <c r="AJ37" s="6791">
        <f>_xlfn.IFERROR(_xlfn.SUMIFS(INDEX(Electricity_LOAD_1,,MATCH($K37&amp;"Принято органом регулирования",ЭЭ!$AE$8:$BB$8,0)),ЭЭ!$F$25:$F$175,$F37,ЭЭ!$AC$25:$AC$175,"Удельный расход электроэнергии"),0)</f>
        <v>0</v>
      </c>
      <c r="AK37" s="6791">
        <f>_xlfn.IFERROR(_xlfn.SUMIFS(INDEX(Electricity_LOAD_1,,MATCH($K37&amp;"Принято органом регулирования",ЭЭ!$AE$8:$BB$8,0)),ЭЭ!$F$25:$F$175,$F37,ЭЭ!$AC$25:$AC$175,"Удельный расход электроэнергии"),0)</f>
        <v>0</v>
      </c>
      <c r="AL37" s="404"/>
      <c r="AM37" s="1297" t="s">
        <v>2770</v>
      </c>
      <c r="AN37" s="1297"/>
      <c r="AO37" s="1072" cm="1" t="str">
        <f t="array" ref="AO37:AO37">K37</f>
        <v>2030</v>
      </c>
      <c r="AP37" s="1297"/>
      <c r="AQ37" s="1297"/>
    </row>
    <row s="1297" customFormat="1" customHeight="1" ht="14.625" hidden="1">
      <c r="A38" s="1297"/>
      <c r="B38" s="447">
        <f>K38&lt;first_year+PERIOD_LENGTH</f>
        <v>0</v>
      </c>
      <c r="C38" s="1297"/>
      <c r="D38" s="1297"/>
      <c r="E38" s="709">
        <v>15</v>
      </c>
      <c r="F38" s="50" cm="1" t="str">
        <f t="array" ref="F38:F38">OFFSET(E38,-1,1)</f>
        <v>0</v>
      </c>
      <c r="G38" s="1297"/>
      <c r="H38" s="1297"/>
      <c r="I38" s="1297"/>
      <c r="J38" s="1297"/>
      <c r="K38" s="154">
        <f>first_year+7</f>
        <v>2031</v>
      </c>
      <c r="L38" s="1297"/>
      <c r="M38" s="1297"/>
      <c r="N38" s="1297"/>
      <c r="O38" s="1297"/>
      <c r="P38" s="1297"/>
      <c r="Q38" s="1297"/>
      <c r="R38" s="1297"/>
      <c r="S38" s="1297"/>
      <c r="T38" s="468" cm="1" t="str">
        <f t="array" ref="T38:T38">T37</f>
        <v>false</v>
      </c>
      <c r="U38" s="1297"/>
      <c r="V38" s="1297"/>
      <c r="W38" s="1297"/>
      <c r="X38" s="1539"/>
      <c r="Y38" s="1297"/>
      <c r="Z38" s="1529"/>
      <c r="AA38" s="1297"/>
      <c r="AB38" s="840" t="str">
        <f>K38&amp;" год"</f>
        <v>2031 год</v>
      </c>
      <c r="AC38" s="6792"/>
      <c r="AD38" s="6791">
        <f>_xlfn.IFERROR(_xlfn.SUMIFS(INDEX(Сценарии!$AE$25:$BF$136,,MATCH($K38&amp;"Принято органом регулирования",Сценарии!$AE$8:$BF$8,0)),Сценарии!$F$25:$F$136,$F38,Сценарии!$AC$25:$AC$136,"Индекс эффективности операционных расходов"),0)</f>
        <v>0</v>
      </c>
      <c r="AE38" s="6792"/>
      <c r="AF38" s="6792">
        <f>_xlfn.IFERROR(_xlfn.SUMIFS(INDEX(Баланс!$AE$25:$BB$391,,MATCH($K38&amp;"Принято органом регулирования",Баланс!$AE$8:$BB$8,0)),Баланс!$F$25:$F$391,$F38,Баланс!$AC$24:$AC$391,"Уровень потерь воды"),0)</f>
        <v>0</v>
      </c>
      <c r="AG38" s="6793">
        <f>_xlfn.IFERROR(_xlfn.SUMIFS(INDEX(Electricity_LOAD_1,,MATCH($K38&amp;"Принято органом регулирования",ЭЭ!$AE$8:$BB$8,0)),ЭЭ!$F$25:$F$175,$F38,ЭЭ!$AC$25:$AC$175,"Удельный расход электроэнергии"),0)</f>
        <v>0</v>
      </c>
      <c r="AH38" s="6791">
        <f>_xlfn.IFERROR(_xlfn.SUMIFS(INDEX(Electricity_LOAD_1,,MATCH($K38&amp;"Принято органом регулирования",ЭЭ!$AE$8:$BB$8,0)),ЭЭ!$F$25:$F$175,$F38,ЭЭ!$AC$25:$AC$175,"Удельный расход электроэнергии"),0)</f>
        <v>0</v>
      </c>
      <c r="AI38" s="6791">
        <f>_xlfn.IFERROR(_xlfn.SUMIFS(INDEX(Electricity_LOAD_1,,MATCH($K38&amp;"Принято органом регулирования",ЭЭ!$AE$8:$BB$8,0)),ЭЭ!$F$25:$F$175,$F38,ЭЭ!$AC$25:$AC$175,"Удельный расход электроэнергии"),0)</f>
        <v>0</v>
      </c>
      <c r="AJ38" s="6791">
        <f>_xlfn.IFERROR(_xlfn.SUMIFS(INDEX(Electricity_LOAD_1,,MATCH($K38&amp;"Принято органом регулирования",ЭЭ!$AE$8:$BB$8,0)),ЭЭ!$F$25:$F$175,$F38,ЭЭ!$AC$25:$AC$175,"Удельный расход электроэнергии"),0)</f>
        <v>0</v>
      </c>
      <c r="AK38" s="6791">
        <f>_xlfn.IFERROR(_xlfn.SUMIFS(INDEX(Electricity_LOAD_1,,MATCH($K38&amp;"Принято органом регулирования",ЭЭ!$AE$8:$BB$8,0)),ЭЭ!$F$25:$F$175,$F38,ЭЭ!$AC$25:$AC$175,"Удельный расход электроэнергии"),0)</f>
        <v>0</v>
      </c>
      <c r="AL38" s="404"/>
      <c r="AM38" s="1297" t="s">
        <v>2770</v>
      </c>
      <c r="AN38" s="1297"/>
      <c r="AO38" s="1072" cm="1" t="str">
        <f t="array" ref="AO38:AO38">K38</f>
        <v>2031</v>
      </c>
      <c r="AP38" s="1297"/>
      <c r="AQ38" s="1297"/>
    </row>
    <row s="1297" customFormat="1" customHeight="1" ht="14.625" hidden="1">
      <c r="A39" s="1297"/>
      <c r="B39" s="447">
        <f>K39&lt;first_year+PERIOD_LENGTH</f>
        <v>0</v>
      </c>
      <c r="C39" s="1297"/>
      <c r="D39" s="1297"/>
      <c r="E39" s="709">
        <v>15</v>
      </c>
      <c r="F39" s="50" cm="1" t="str">
        <f t="array" ref="F39:F39">OFFSET(E39,-1,1)</f>
        <v>0</v>
      </c>
      <c r="G39" s="1297"/>
      <c r="H39" s="1297"/>
      <c r="I39" s="1297"/>
      <c r="J39" s="1297"/>
      <c r="K39" s="154">
        <f>first_year+8</f>
        <v>2032</v>
      </c>
      <c r="L39" s="1297"/>
      <c r="M39" s="1297"/>
      <c r="N39" s="1297"/>
      <c r="O39" s="1297"/>
      <c r="P39" s="1297"/>
      <c r="Q39" s="1297"/>
      <c r="R39" s="1297"/>
      <c r="S39" s="1297"/>
      <c r="T39" s="468" cm="1" t="str">
        <f t="array" ref="T39:T39">T38</f>
        <v>false</v>
      </c>
      <c r="U39" s="1297"/>
      <c r="V39" s="1297"/>
      <c r="W39" s="1297"/>
      <c r="X39" s="1539"/>
      <c r="Y39" s="1297"/>
      <c r="Z39" s="1529"/>
      <c r="AA39" s="1297"/>
      <c r="AB39" s="840" t="str">
        <f>K39&amp;" год"</f>
        <v>2032 год</v>
      </c>
      <c r="AC39" s="6792"/>
      <c r="AD39" s="6791">
        <f>_xlfn.IFERROR(_xlfn.SUMIFS(INDEX(Сценарии!$AE$25:$BF$136,,MATCH($K39&amp;"Принято органом регулирования",Сценарии!$AE$8:$BF$8,0)),Сценарии!$F$25:$F$136,$F39,Сценарии!$AC$25:$AC$136,"Индекс эффективности операционных расходов"),0)</f>
        <v>0</v>
      </c>
      <c r="AE39" s="6792"/>
      <c r="AF39" s="6792">
        <f>_xlfn.IFERROR(_xlfn.SUMIFS(INDEX(Баланс!$AE$25:$BB$391,,MATCH($K39&amp;"Принято органом регулирования",Баланс!$AE$8:$BB$8,0)),Баланс!$F$25:$F$391,$F39,Баланс!$AC$24:$AC$391,"Уровень потерь воды"),0)</f>
        <v>0</v>
      </c>
      <c r="AG39" s="6793">
        <f>_xlfn.IFERROR(_xlfn.SUMIFS(INDEX(Electricity_LOAD_1,,MATCH($K39&amp;"Принято органом регулирования",ЭЭ!$AE$8:$BB$8,0)),ЭЭ!$F$25:$F$175,$F39,ЭЭ!$AC$25:$AC$175,"Удельный расход электроэнергии"),0)</f>
        <v>0</v>
      </c>
      <c r="AH39" s="6791">
        <f>_xlfn.IFERROR(_xlfn.SUMIFS(INDEX(Electricity_LOAD_1,,MATCH($K39&amp;"Принято органом регулирования",ЭЭ!$AE$8:$BB$8,0)),ЭЭ!$F$25:$F$175,$F39,ЭЭ!$AC$25:$AC$175,"Удельный расход электроэнергии"),0)</f>
        <v>0</v>
      </c>
      <c r="AI39" s="6791">
        <f>_xlfn.IFERROR(_xlfn.SUMIFS(INDEX(Electricity_LOAD_1,,MATCH($K39&amp;"Принято органом регулирования",ЭЭ!$AE$8:$BB$8,0)),ЭЭ!$F$25:$F$175,$F39,ЭЭ!$AC$25:$AC$175,"Удельный расход электроэнергии"),0)</f>
        <v>0</v>
      </c>
      <c r="AJ39" s="6791">
        <f>_xlfn.IFERROR(_xlfn.SUMIFS(INDEX(Electricity_LOAD_1,,MATCH($K39&amp;"Принято органом регулирования",ЭЭ!$AE$8:$BB$8,0)),ЭЭ!$F$25:$F$175,$F39,ЭЭ!$AC$25:$AC$175,"Удельный расход электроэнергии"),0)</f>
        <v>0</v>
      </c>
      <c r="AK39" s="6791">
        <f>_xlfn.IFERROR(_xlfn.SUMIFS(INDEX(Electricity_LOAD_1,,MATCH($K39&amp;"Принято органом регулирования",ЭЭ!$AE$8:$BB$8,0)),ЭЭ!$F$25:$F$175,$F39,ЭЭ!$AC$25:$AC$175,"Удельный расход электроэнергии"),0)</f>
        <v>0</v>
      </c>
      <c r="AL39" s="404"/>
      <c r="AM39" s="1297" t="s">
        <v>2770</v>
      </c>
      <c r="AN39" s="1297"/>
      <c r="AO39" s="1072" cm="1" t="str">
        <f t="array" ref="AO39:AO39">K39</f>
        <v>2032</v>
      </c>
      <c r="AP39" s="1297"/>
      <c r="AQ39" s="1297"/>
    </row>
    <row s="1297" customFormat="1" customHeight="1" ht="14.625" hidden="1">
      <c r="A40" s="1297"/>
      <c r="B40" s="447">
        <f>K40&lt;first_year+PERIOD_LENGTH</f>
        <v>0</v>
      </c>
      <c r="C40" s="1297"/>
      <c r="D40" s="1297"/>
      <c r="E40" s="709">
        <v>15</v>
      </c>
      <c r="F40" s="50" cm="1" t="str">
        <f t="array" ref="F40:F40">OFFSET(E40,-1,1)</f>
        <v>0</v>
      </c>
      <c r="G40" s="1297"/>
      <c r="H40" s="1297"/>
      <c r="I40" s="1297"/>
      <c r="J40" s="1297"/>
      <c r="K40" s="154">
        <f>first_year+9</f>
        <v>2033</v>
      </c>
      <c r="L40" s="1297"/>
      <c r="M40" s="1297"/>
      <c r="N40" s="1297"/>
      <c r="O40" s="1297"/>
      <c r="P40" s="1297"/>
      <c r="Q40" s="1297"/>
      <c r="R40" s="1297"/>
      <c r="S40" s="1297"/>
      <c r="T40" s="468" cm="1" t="str">
        <f t="array" ref="T40:T40">T39</f>
        <v>false</v>
      </c>
      <c r="U40" s="1297"/>
      <c r="V40" s="1297"/>
      <c r="W40" s="1297"/>
      <c r="X40" s="1539"/>
      <c r="Y40" s="1297"/>
      <c r="Z40" s="1529"/>
      <c r="AA40" s="1297"/>
      <c r="AB40" s="840" t="str">
        <f>K40&amp;" год"</f>
        <v>2033 год</v>
      </c>
      <c r="AC40" s="6792"/>
      <c r="AD40" s="6791">
        <f>_xlfn.IFERROR(_xlfn.SUMIFS(INDEX(Сценарии!$AE$25:$BF$136,,MATCH($K40&amp;"Принято органом регулирования",Сценарии!$AE$8:$BF$8,0)),Сценарии!$F$25:$F$136,$F40,Сценарии!$AC$25:$AC$136,"Индекс эффективности операционных расходов"),0)</f>
        <v>0</v>
      </c>
      <c r="AE40" s="6792"/>
      <c r="AF40" s="6792">
        <f>_xlfn.IFERROR(_xlfn.SUMIFS(INDEX(Баланс!$AE$25:$BB$391,,MATCH($K40&amp;"Принято органом регулирования",Баланс!$AE$8:$BB$8,0)),Баланс!$F$25:$F$391,$F40,Баланс!$AC$24:$AC$391,"Уровень потерь воды"),0)</f>
        <v>0</v>
      </c>
      <c r="AG40" s="6793">
        <f>_xlfn.IFERROR(_xlfn.SUMIFS(INDEX(Electricity_LOAD_1,,MATCH($K40&amp;"Принято органом регулирования",ЭЭ!$AE$8:$BB$8,0)),ЭЭ!$F$25:$F$175,$F40,ЭЭ!$AC$25:$AC$175,"Удельный расход электроэнергии"),0)</f>
        <v>0</v>
      </c>
      <c r="AH40" s="6791">
        <f>_xlfn.IFERROR(_xlfn.SUMIFS(INDEX(Electricity_LOAD_1,,MATCH($K40&amp;"Принято органом регулирования",ЭЭ!$AE$8:$BB$8,0)),ЭЭ!$F$25:$F$175,$F40,ЭЭ!$AC$25:$AC$175,"Удельный расход электроэнергии"),0)</f>
        <v>0</v>
      </c>
      <c r="AI40" s="6791">
        <f>_xlfn.IFERROR(_xlfn.SUMIFS(INDEX(Electricity_LOAD_1,,MATCH($K40&amp;"Принято органом регулирования",ЭЭ!$AE$8:$BB$8,0)),ЭЭ!$F$25:$F$175,$F40,ЭЭ!$AC$25:$AC$175,"Удельный расход электроэнергии"),0)</f>
        <v>0</v>
      </c>
      <c r="AJ40" s="6791">
        <f>_xlfn.IFERROR(_xlfn.SUMIFS(INDEX(Electricity_LOAD_1,,MATCH($K40&amp;"Принято органом регулирования",ЭЭ!$AE$8:$BB$8,0)),ЭЭ!$F$25:$F$175,$F40,ЭЭ!$AC$25:$AC$175,"Удельный расход электроэнергии"),0)</f>
        <v>0</v>
      </c>
      <c r="AK40" s="6791">
        <f>_xlfn.IFERROR(_xlfn.SUMIFS(INDEX(Electricity_LOAD_1,,MATCH($K40&amp;"Принято органом регулирования",ЭЭ!$AE$8:$BB$8,0)),ЭЭ!$F$25:$F$175,$F40,ЭЭ!$AC$25:$AC$175,"Удельный расход электроэнергии"),0)</f>
        <v>0</v>
      </c>
      <c r="AL40" s="404"/>
      <c r="AM40" s="1297" t="s">
        <v>2770</v>
      </c>
      <c r="AN40" s="1297"/>
      <c r="AO40" s="1072" cm="1" t="str">
        <f t="array" ref="AO40:AO40">K40</f>
        <v>2033</v>
      </c>
      <c r="AP40" s="1297"/>
      <c r="AQ40" s="1297"/>
    </row>
    <row s="1297" customFormat="1" customHeight="1" ht="14.625" hidden="1">
      <c r="A41" s="1297"/>
      <c r="B41" s="447">
        <f>K41&lt;first_year+PERIOD_LENGTH</f>
        <v>0</v>
      </c>
      <c r="C41" s="1297"/>
      <c r="D41" s="1297"/>
      <c r="E41" s="709">
        <v>15</v>
      </c>
      <c r="F41" s="50" cm="1" t="str">
        <f t="array" ref="F41:F41">OFFSET(E41,-1,1)</f>
        <v>0</v>
      </c>
      <c r="G41" s="1297"/>
      <c r="H41" s="1297"/>
      <c r="I41" s="1297"/>
      <c r="J41" s="1297"/>
      <c r="K41" s="154">
        <f>first_year+10</f>
        <v>2034</v>
      </c>
      <c r="L41" s="1297"/>
      <c r="M41" s="1297"/>
      <c r="N41" s="1297"/>
      <c r="O41" s="1297"/>
      <c r="P41" s="1297"/>
      <c r="Q41" s="1297"/>
      <c r="R41" s="1297"/>
      <c r="S41" s="1297"/>
      <c r="T41" s="468" cm="1" t="str">
        <f t="array" ref="T41:T41">T40</f>
        <v>false</v>
      </c>
      <c r="U41" s="1297"/>
      <c r="V41" s="1297"/>
      <c r="W41" s="1297"/>
      <c r="X41" s="1539"/>
      <c r="Y41" s="1297"/>
      <c r="Z41" s="1529"/>
      <c r="AA41" s="1297"/>
      <c r="AB41" s="840" t="str">
        <f>K41&amp;" год"</f>
        <v>2034 год</v>
      </c>
      <c r="AC41" s="6792"/>
      <c r="AD41" s="6791"/>
      <c r="AE41" s="6792"/>
      <c r="AF41" s="6792"/>
      <c r="AG41" s="6791"/>
      <c r="AH41" s="6791"/>
      <c r="AI41" s="6791"/>
      <c r="AJ41" s="6791"/>
      <c r="AK41" s="6796"/>
      <c r="AL41" s="404"/>
      <c r="AM41" s="1297"/>
      <c r="AN41" s="1297"/>
      <c r="AO41" s="1072" cm="1" t="str">
        <f t="array" ref="AO41:AO41">K41</f>
        <v>2034</v>
      </c>
      <c r="AP41" s="1297"/>
      <c r="AQ41" s="1297"/>
    </row>
    <row s="1297" customFormat="1" customHeight="1" ht="14.625" hidden="1">
      <c r="A42" s="1297"/>
      <c r="B42" s="447">
        <f>K42&lt;first_year+PERIOD_LENGTH</f>
        <v>0</v>
      </c>
      <c r="C42" s="1297"/>
      <c r="D42" s="1297"/>
      <c r="E42" s="709">
        <v>15</v>
      </c>
      <c r="F42" s="50" cm="1" t="str">
        <f t="array" ref="F42:F42">OFFSET(E42,-1,1)</f>
        <v>0</v>
      </c>
      <c r="G42" s="1297"/>
      <c r="H42" s="1297"/>
      <c r="I42" s="1297"/>
      <c r="J42" s="1297"/>
      <c r="K42" s="154">
        <f>first_year+11</f>
        <v>2035</v>
      </c>
      <c r="L42" s="1297"/>
      <c r="M42" s="1297"/>
      <c r="N42" s="1297"/>
      <c r="O42" s="1297"/>
      <c r="P42" s="1297"/>
      <c r="Q42" s="1297"/>
      <c r="R42" s="1297"/>
      <c r="S42" s="1297"/>
      <c r="T42" s="468" cm="1" t="str">
        <f t="array" ref="T42:T42">T41</f>
        <v>false</v>
      </c>
      <c r="U42" s="1297"/>
      <c r="V42" s="1297"/>
      <c r="W42" s="1297"/>
      <c r="X42" s="1539"/>
      <c r="Y42" s="1297"/>
      <c r="Z42" s="1529"/>
      <c r="AA42" s="1297"/>
      <c r="AB42" s="251" t="str">
        <f>K42&amp;" год"</f>
        <v>2035 год</v>
      </c>
      <c r="AC42" s="6792"/>
      <c r="AD42" s="6798"/>
      <c r="AE42" s="6799"/>
      <c r="AF42" s="6799"/>
      <c r="AG42" s="6798"/>
      <c r="AH42" s="6798"/>
      <c r="AI42" s="6798"/>
      <c r="AJ42" s="6798"/>
      <c r="AK42" s="6800"/>
      <c r="AL42" s="404"/>
      <c r="AM42" s="1297"/>
      <c r="AN42" s="1297"/>
      <c r="AO42" s="1072" cm="1" t="str">
        <f t="array" ref="AO42:AO42">K42</f>
        <v>2035</v>
      </c>
      <c r="AP42" s="1297"/>
      <c r="AQ42" s="1297"/>
    </row>
    <row s="1297" customFormat="1" customHeight="1" ht="14.625" hidden="1">
      <c r="A43" s="1297"/>
      <c r="B43" s="447">
        <f>K43&lt;first_year+PERIOD_LENGTH</f>
        <v>0</v>
      </c>
      <c r="C43" s="1297"/>
      <c r="D43" s="1297"/>
      <c r="E43" s="709">
        <v>15</v>
      </c>
      <c r="F43" s="50" cm="1" t="str">
        <f t="array" ref="F43:F43">OFFSET(E43,-1,1)</f>
        <v>0</v>
      </c>
      <c r="G43" s="1297"/>
      <c r="H43" s="1297"/>
      <c r="I43" s="1297"/>
      <c r="J43" s="1297"/>
      <c r="K43" s="154">
        <f>first_year+12</f>
        <v>2036</v>
      </c>
      <c r="L43" s="1297"/>
      <c r="M43" s="1297"/>
      <c r="N43" s="1297"/>
      <c r="O43" s="1297"/>
      <c r="P43" s="1297"/>
      <c r="Q43" s="1297"/>
      <c r="R43" s="1297"/>
      <c r="S43" s="1297"/>
      <c r="T43" s="468" cm="1" t="str">
        <f t="array" ref="T43:T43">T42</f>
        <v>false</v>
      </c>
      <c r="U43" s="1297"/>
      <c r="V43" s="1297"/>
      <c r="W43" s="1297"/>
      <c r="X43" s="1539"/>
      <c r="Y43" s="1297"/>
      <c r="Z43" s="1529"/>
      <c r="AA43" s="1297"/>
      <c r="AB43" s="251" t="str">
        <f>K43&amp;" год"</f>
        <v>2036 год</v>
      </c>
      <c r="AC43" s="6792"/>
      <c r="AD43" s="6798"/>
      <c r="AE43" s="6799"/>
      <c r="AF43" s="6799"/>
      <c r="AG43" s="6798"/>
      <c r="AH43" s="6798"/>
      <c r="AI43" s="6798"/>
      <c r="AJ43" s="6798"/>
      <c r="AK43" s="6800"/>
      <c r="AL43" s="404"/>
      <c r="AM43" s="1297"/>
      <c r="AN43" s="1297"/>
      <c r="AO43" s="1072" cm="1" t="str">
        <f t="array" ref="AO43:AO43">K43</f>
        <v>2036</v>
      </c>
      <c r="AP43" s="1297"/>
      <c r="AQ43" s="1297"/>
    </row>
    <row s="1297" customFormat="1" customHeight="1" ht="14.625" hidden="1">
      <c r="A44" s="1297"/>
      <c r="B44" s="447">
        <f>K44&lt;first_year+PERIOD_LENGTH</f>
        <v>0</v>
      </c>
      <c r="C44" s="1297"/>
      <c r="D44" s="1297"/>
      <c r="E44" s="709">
        <v>15</v>
      </c>
      <c r="F44" s="50" cm="1" t="str">
        <f t="array" ref="F44:F44">OFFSET(E44,-1,1)</f>
        <v>0</v>
      </c>
      <c r="G44" s="1297"/>
      <c r="H44" s="1297"/>
      <c r="I44" s="1297"/>
      <c r="J44" s="1297"/>
      <c r="K44" s="154">
        <f>first_year+13</f>
        <v>2037</v>
      </c>
      <c r="L44" s="1297"/>
      <c r="M44" s="1297"/>
      <c r="N44" s="1297"/>
      <c r="O44" s="1297"/>
      <c r="P44" s="1297"/>
      <c r="Q44" s="1297"/>
      <c r="R44" s="1297"/>
      <c r="S44" s="1297"/>
      <c r="T44" s="468" cm="1" t="str">
        <f t="array" ref="T44:T44">T43</f>
        <v>false</v>
      </c>
      <c r="U44" s="1297"/>
      <c r="V44" s="1297"/>
      <c r="W44" s="1297"/>
      <c r="X44" s="1539"/>
      <c r="Y44" s="1297"/>
      <c r="Z44" s="1529"/>
      <c r="AA44" s="1297"/>
      <c r="AB44" s="251" t="str">
        <f>K44&amp;" год"</f>
        <v>2037 год</v>
      </c>
      <c r="AC44" s="6792"/>
      <c r="AD44" s="6798"/>
      <c r="AE44" s="6799"/>
      <c r="AF44" s="6799"/>
      <c r="AG44" s="6798"/>
      <c r="AH44" s="6798"/>
      <c r="AI44" s="6798"/>
      <c r="AJ44" s="6798"/>
      <c r="AK44" s="6800"/>
      <c r="AL44" s="404"/>
      <c r="AM44" s="1297"/>
      <c r="AN44" s="1297"/>
      <c r="AO44" s="1072" cm="1" t="str">
        <f t="array" ref="AO44:AO44">K44</f>
        <v>2037</v>
      </c>
      <c r="AP44" s="1297"/>
      <c r="AQ44" s="1297"/>
    </row>
    <row s="1297" customFormat="1" customHeight="1" ht="14.625" hidden="1">
      <c r="A45" s="1297"/>
      <c r="B45" s="447">
        <f>K45&lt;first_year+PERIOD_LENGTH</f>
        <v>0</v>
      </c>
      <c r="C45" s="1297"/>
      <c r="D45" s="1297"/>
      <c r="E45" s="709">
        <v>15</v>
      </c>
      <c r="F45" s="50" cm="1" t="str">
        <f t="array" ref="F45:F45">OFFSET(E45,-1,1)</f>
        <v>0</v>
      </c>
      <c r="G45" s="1297"/>
      <c r="H45" s="1297"/>
      <c r="I45" s="1297"/>
      <c r="J45" s="1297"/>
      <c r="K45" s="154">
        <f>first_year+14</f>
        <v>2038</v>
      </c>
      <c r="L45" s="1297"/>
      <c r="M45" s="1297"/>
      <c r="N45" s="1297"/>
      <c r="O45" s="1297"/>
      <c r="P45" s="1297"/>
      <c r="Q45" s="1297"/>
      <c r="R45" s="1297"/>
      <c r="S45" s="1297"/>
      <c r="T45" s="468" cm="1" t="str">
        <f t="array" ref="T45:T45">T44</f>
        <v>false</v>
      </c>
      <c r="U45" s="1297"/>
      <c r="V45" s="1297"/>
      <c r="W45" s="1297"/>
      <c r="X45" s="1539"/>
      <c r="Y45" s="1297"/>
      <c r="Z45" s="1529"/>
      <c r="AA45" s="1297"/>
      <c r="AB45" s="251" t="str">
        <f>K45&amp;" год"</f>
        <v>2038 год</v>
      </c>
      <c r="AC45" s="6792"/>
      <c r="AD45" s="6798"/>
      <c r="AE45" s="6799"/>
      <c r="AF45" s="6799"/>
      <c r="AG45" s="6798"/>
      <c r="AH45" s="6798"/>
      <c r="AI45" s="6798"/>
      <c r="AJ45" s="6798"/>
      <c r="AK45" s="6800"/>
      <c r="AL45" s="404"/>
      <c r="AM45" s="1297"/>
      <c r="AN45" s="1297"/>
      <c r="AO45" s="1072" cm="1" t="str">
        <f t="array" ref="AO45:AO45">K45</f>
        <v>2038</v>
      </c>
      <c r="AP45" s="1297"/>
      <c r="AQ45" s="1297"/>
    </row>
    <row s="1297" customFormat="1" customHeight="1" ht="14.625" hidden="1">
      <c r="A46" s="1297"/>
      <c r="B46" s="447">
        <f>K46&lt;first_year+PERIOD_LENGTH</f>
        <v>0</v>
      </c>
      <c r="C46" s="1297"/>
      <c r="D46" s="1297"/>
      <c r="E46" s="709">
        <v>15</v>
      </c>
      <c r="F46" s="50" cm="1" t="str">
        <f t="array" ref="F46:F46">OFFSET(E46,-1,1)</f>
        <v>0</v>
      </c>
      <c r="G46" s="1297"/>
      <c r="H46" s="1297"/>
      <c r="I46" s="1297"/>
      <c r="J46" s="1297"/>
      <c r="K46" s="154">
        <f>first_year+15</f>
        <v>2039</v>
      </c>
      <c r="L46" s="1297"/>
      <c r="M46" s="1297"/>
      <c r="N46" s="1297"/>
      <c r="O46" s="1297"/>
      <c r="P46" s="1297"/>
      <c r="Q46" s="1297"/>
      <c r="R46" s="1297"/>
      <c r="S46" s="1297"/>
      <c r="T46" s="468" cm="1" t="str">
        <f t="array" ref="T46:T46">T45</f>
        <v>false</v>
      </c>
      <c r="U46" s="1297"/>
      <c r="V46" s="1297"/>
      <c r="W46" s="1297"/>
      <c r="X46" s="1539"/>
      <c r="Y46" s="1297"/>
      <c r="Z46" s="1529"/>
      <c r="AA46" s="1297"/>
      <c r="AB46" s="251" t="str">
        <f>K46&amp;" год"</f>
        <v>2039 год</v>
      </c>
      <c r="AC46" s="6792"/>
      <c r="AD46" s="6798"/>
      <c r="AE46" s="6799"/>
      <c r="AF46" s="6799"/>
      <c r="AG46" s="6798"/>
      <c r="AH46" s="6798"/>
      <c r="AI46" s="6798"/>
      <c r="AJ46" s="6798"/>
      <c r="AK46" s="6800"/>
      <c r="AL46" s="404"/>
      <c r="AM46" s="1297"/>
      <c r="AN46" s="1297"/>
      <c r="AO46" s="1072" cm="1" t="str">
        <f t="array" ref="AO46:AO46">K46</f>
        <v>2039</v>
      </c>
      <c r="AP46" s="1297"/>
      <c r="AQ46" s="1297"/>
    </row>
    <row s="1297" customFormat="1" customHeight="1" ht="14.625" hidden="1">
      <c r="A47" s="1297"/>
      <c r="B47" s="447">
        <f>K47&lt;first_year+PERIOD_LENGTH</f>
        <v>0</v>
      </c>
      <c r="C47" s="1297"/>
      <c r="D47" s="1297"/>
      <c r="E47" s="709">
        <v>15</v>
      </c>
      <c r="F47" s="50" cm="1" t="str">
        <f t="array" ref="F47:F47">OFFSET(E47,-1,1)</f>
        <v>0</v>
      </c>
      <c r="G47" s="1297"/>
      <c r="H47" s="1297"/>
      <c r="I47" s="1297"/>
      <c r="J47" s="1297"/>
      <c r="K47" s="154">
        <f>first_year+16</f>
        <v>2040</v>
      </c>
      <c r="L47" s="1297"/>
      <c r="M47" s="1297"/>
      <c r="N47" s="1297"/>
      <c r="O47" s="1297"/>
      <c r="P47" s="1297"/>
      <c r="Q47" s="1297"/>
      <c r="R47" s="1297"/>
      <c r="S47" s="1297"/>
      <c r="T47" s="468" cm="1" t="str">
        <f t="array" ref="T47:T47">T46</f>
        <v>false</v>
      </c>
      <c r="U47" s="1297"/>
      <c r="V47" s="1297"/>
      <c r="W47" s="1297"/>
      <c r="X47" s="1539"/>
      <c r="Y47" s="1297"/>
      <c r="Z47" s="1529"/>
      <c r="AA47" s="1297"/>
      <c r="AB47" s="251" t="str">
        <f>K47&amp;" год"</f>
        <v>2040 год</v>
      </c>
      <c r="AC47" s="6792"/>
      <c r="AD47" s="6798"/>
      <c r="AE47" s="6799"/>
      <c r="AF47" s="6799"/>
      <c r="AG47" s="6798"/>
      <c r="AH47" s="6798"/>
      <c r="AI47" s="6798"/>
      <c r="AJ47" s="6798"/>
      <c r="AK47" s="6800"/>
      <c r="AL47" s="404"/>
      <c r="AM47" s="1297"/>
      <c r="AN47" s="1297"/>
      <c r="AO47" s="1072" cm="1" t="str">
        <f t="array" ref="AO47:AO47">K47</f>
        <v>2040</v>
      </c>
      <c r="AP47" s="1297"/>
      <c r="AQ47" s="1297"/>
    </row>
    <row s="1297" customFormat="1" customHeight="1" ht="14.625" hidden="1">
      <c r="A48" s="1297"/>
      <c r="B48" s="447">
        <f>K48&lt;first_year+PERIOD_LENGTH</f>
        <v>0</v>
      </c>
      <c r="C48" s="1297"/>
      <c r="D48" s="1297"/>
      <c r="E48" s="709">
        <v>15</v>
      </c>
      <c r="F48" s="50" cm="1" t="str">
        <f t="array" ref="F48:F48">OFFSET(E48,-1,1)</f>
        <v>0</v>
      </c>
      <c r="G48" s="1297"/>
      <c r="H48" s="1297"/>
      <c r="I48" s="1297"/>
      <c r="J48" s="1297"/>
      <c r="K48" s="154">
        <f>first_year+17</f>
        <v>2041</v>
      </c>
      <c r="L48" s="1297"/>
      <c r="M48" s="1297"/>
      <c r="N48" s="1297"/>
      <c r="O48" s="1297"/>
      <c r="P48" s="1297"/>
      <c r="Q48" s="1297"/>
      <c r="R48" s="1297"/>
      <c r="S48" s="1297"/>
      <c r="T48" s="468" cm="1" t="str">
        <f t="array" ref="T48:T48">T47</f>
        <v>false</v>
      </c>
      <c r="U48" s="1297"/>
      <c r="V48" s="1297"/>
      <c r="W48" s="1297"/>
      <c r="X48" s="1539"/>
      <c r="Y48" s="1297"/>
      <c r="Z48" s="1529"/>
      <c r="AA48" s="1297"/>
      <c r="AB48" s="251" t="str">
        <f>K48&amp;" год"</f>
        <v>2041 год</v>
      </c>
      <c r="AC48" s="6792"/>
      <c r="AD48" s="6798"/>
      <c r="AE48" s="6799"/>
      <c r="AF48" s="6799"/>
      <c r="AG48" s="6798"/>
      <c r="AH48" s="6798"/>
      <c r="AI48" s="6798"/>
      <c r="AJ48" s="6798"/>
      <c r="AK48" s="6800"/>
      <c r="AL48" s="404"/>
      <c r="AM48" s="1297"/>
      <c r="AN48" s="1297"/>
      <c r="AO48" s="1072" cm="1" t="str">
        <f t="array" ref="AO48:AO48">K48</f>
        <v>2041</v>
      </c>
      <c r="AP48" s="1297"/>
      <c r="AQ48" s="1297"/>
    </row>
    <row s="1297" customFormat="1" customHeight="1" ht="14.625" hidden="1">
      <c r="A49" s="1297"/>
      <c r="B49" s="447">
        <f>K49&lt;first_year+PERIOD_LENGTH</f>
        <v>0</v>
      </c>
      <c r="C49" s="1297"/>
      <c r="D49" s="1297"/>
      <c r="E49" s="709">
        <v>15</v>
      </c>
      <c r="F49" s="50" cm="1" t="str">
        <f t="array" ref="F49:F49">OFFSET(E49,-1,1)</f>
        <v>0</v>
      </c>
      <c r="G49" s="1297"/>
      <c r="H49" s="1297"/>
      <c r="I49" s="1297"/>
      <c r="J49" s="1297"/>
      <c r="K49" s="154">
        <f>first_year+18</f>
        <v>2042</v>
      </c>
      <c r="L49" s="1297"/>
      <c r="M49" s="1297"/>
      <c r="N49" s="1297"/>
      <c r="O49" s="1297"/>
      <c r="P49" s="1297"/>
      <c r="Q49" s="1297"/>
      <c r="R49" s="1297"/>
      <c r="S49" s="1297"/>
      <c r="T49" s="468" cm="1" t="str">
        <f t="array" ref="T49:T49">T48</f>
        <v>false</v>
      </c>
      <c r="U49" s="1297"/>
      <c r="V49" s="1297"/>
      <c r="W49" s="1297"/>
      <c r="X49" s="1539"/>
      <c r="Y49" s="1297"/>
      <c r="Z49" s="1529"/>
      <c r="AA49" s="1297"/>
      <c r="AB49" s="251" t="str">
        <f>K49&amp;" год"</f>
        <v>2042 год</v>
      </c>
      <c r="AC49" s="6792"/>
      <c r="AD49" s="6798"/>
      <c r="AE49" s="6799"/>
      <c r="AF49" s="6799"/>
      <c r="AG49" s="6798"/>
      <c r="AH49" s="6798"/>
      <c r="AI49" s="6798"/>
      <c r="AJ49" s="6798"/>
      <c r="AK49" s="6800"/>
      <c r="AL49" s="404"/>
      <c r="AM49" s="1297"/>
      <c r="AN49" s="1297"/>
      <c r="AO49" s="1072" cm="1" t="str">
        <f t="array" ref="AO49:AO49">K49</f>
        <v>2042</v>
      </c>
      <c r="AP49" s="1297"/>
      <c r="AQ49" s="1297"/>
    </row>
    <row s="1297" customFormat="1" customHeight="1" ht="14.625" hidden="1">
      <c r="A50" s="1297"/>
      <c r="B50" s="447">
        <f>K50&lt;first_year+PERIOD_LENGTH</f>
        <v>0</v>
      </c>
      <c r="C50" s="1297"/>
      <c r="D50" s="1297"/>
      <c r="E50" s="709">
        <v>15</v>
      </c>
      <c r="F50" s="50" cm="1" t="str">
        <f t="array" ref="F50:F50">OFFSET(E50,-1,1)</f>
        <v>0</v>
      </c>
      <c r="G50" s="1297"/>
      <c r="H50" s="1297"/>
      <c r="I50" s="1297"/>
      <c r="J50" s="1297"/>
      <c r="K50" s="154">
        <f>first_year+19</f>
        <v>2043</v>
      </c>
      <c r="L50" s="1297"/>
      <c r="M50" s="1297"/>
      <c r="N50" s="1297"/>
      <c r="O50" s="1297"/>
      <c r="P50" s="1297"/>
      <c r="Q50" s="1297"/>
      <c r="R50" s="1297"/>
      <c r="S50" s="1297"/>
      <c r="T50" s="468" cm="1" t="str">
        <f t="array" ref="T50:T50">T49</f>
        <v>false</v>
      </c>
      <c r="U50" s="1297"/>
      <c r="V50" s="1297"/>
      <c r="W50" s="1297"/>
      <c r="X50" s="1539"/>
      <c r="Y50" s="1297"/>
      <c r="Z50" s="1529"/>
      <c r="AA50" s="1297"/>
      <c r="AB50" s="251" t="str">
        <f>K50&amp;" год"</f>
        <v>2043 год</v>
      </c>
      <c r="AC50" s="6792"/>
      <c r="AD50" s="6798"/>
      <c r="AE50" s="6799"/>
      <c r="AF50" s="6799"/>
      <c r="AG50" s="6798"/>
      <c r="AH50" s="6798"/>
      <c r="AI50" s="6798"/>
      <c r="AJ50" s="6798"/>
      <c r="AK50" s="6800"/>
      <c r="AL50" s="404"/>
      <c r="AM50" s="1297"/>
      <c r="AN50" s="1297"/>
      <c r="AO50" s="1072" cm="1" t="str">
        <f t="array" ref="AO50:AO50">K50</f>
        <v>2043</v>
      </c>
      <c r="AP50" s="1297"/>
      <c r="AQ50" s="1297"/>
    </row>
    <row s="1297" customFormat="1" customHeight="1" ht="14.625" hidden="1">
      <c r="A51" s="1297"/>
      <c r="B51" s="447">
        <f>K51&lt;first_year+PERIOD_LENGTH</f>
        <v>0</v>
      </c>
      <c r="C51" s="1297"/>
      <c r="D51" s="1297"/>
      <c r="E51" s="709">
        <v>15</v>
      </c>
      <c r="F51" s="50" cm="1" t="str">
        <f t="array" ref="F51:F51">OFFSET(E51,-1,1)</f>
        <v>0</v>
      </c>
      <c r="G51" s="1297"/>
      <c r="H51" s="1297"/>
      <c r="I51" s="1297"/>
      <c r="J51" s="1297"/>
      <c r="K51" s="154">
        <f>first_year+20</f>
        <v>2044</v>
      </c>
      <c r="L51" s="1297"/>
      <c r="M51" s="1297"/>
      <c r="N51" s="1297"/>
      <c r="O51" s="1297"/>
      <c r="P51" s="1297"/>
      <c r="Q51" s="1297"/>
      <c r="R51" s="1297"/>
      <c r="S51" s="1297"/>
      <c r="T51" s="468" cm="1" t="str">
        <f t="array" ref="T51:T51">T50</f>
        <v>false</v>
      </c>
      <c r="U51" s="1297"/>
      <c r="V51" s="1297"/>
      <c r="W51" s="1297"/>
      <c r="X51" s="1539"/>
      <c r="Y51" s="1297"/>
      <c r="Z51" s="1529"/>
      <c r="AA51" s="1297"/>
      <c r="AB51" s="251" t="str">
        <f>K51&amp;" год"</f>
        <v>2044 год</v>
      </c>
      <c r="AC51" s="6792"/>
      <c r="AD51" s="6798"/>
      <c r="AE51" s="6799"/>
      <c r="AF51" s="6799"/>
      <c r="AG51" s="6798"/>
      <c r="AH51" s="6798"/>
      <c r="AI51" s="6798"/>
      <c r="AJ51" s="6798"/>
      <c r="AK51" s="6800"/>
      <c r="AL51" s="404"/>
      <c r="AM51" s="1297"/>
      <c r="AN51" s="1297"/>
      <c r="AO51" s="1072" cm="1" t="str">
        <f t="array" ref="AO51:AO51">K51</f>
        <v>2044</v>
      </c>
      <c r="AP51" s="1297"/>
      <c r="AQ51" s="1297"/>
    </row>
    <row s="1297" customFormat="1" customHeight="1" ht="14.625" hidden="1">
      <c r="A52" s="1297"/>
      <c r="B52" s="447">
        <f>K52&lt;first_year+PERIOD_LENGTH</f>
        <v>0</v>
      </c>
      <c r="C52" s="1297"/>
      <c r="D52" s="1297"/>
      <c r="E52" s="709">
        <v>15</v>
      </c>
      <c r="F52" s="50" cm="1" t="str">
        <f t="array" ref="F52:F52">OFFSET(E52,-1,1)</f>
        <v>0</v>
      </c>
      <c r="G52" s="1297"/>
      <c r="H52" s="1297"/>
      <c r="I52" s="1297"/>
      <c r="J52" s="1297"/>
      <c r="K52" s="154">
        <f>first_year+21</f>
        <v>2045</v>
      </c>
      <c r="L52" s="1297"/>
      <c r="M52" s="1297"/>
      <c r="N52" s="1297"/>
      <c r="O52" s="1297"/>
      <c r="P52" s="1297"/>
      <c r="Q52" s="1297"/>
      <c r="R52" s="1297"/>
      <c r="S52" s="1297"/>
      <c r="T52" s="468" cm="1" t="str">
        <f t="array" ref="T52:T52">T51</f>
        <v>false</v>
      </c>
      <c r="U52" s="1297"/>
      <c r="V52" s="1297"/>
      <c r="W52" s="1297"/>
      <c r="X52" s="1539"/>
      <c r="Y52" s="1297"/>
      <c r="Z52" s="1529"/>
      <c r="AA52" s="1297"/>
      <c r="AB52" s="251" t="str">
        <f>K52&amp;" год"</f>
        <v>2045 год</v>
      </c>
      <c r="AC52" s="6792"/>
      <c r="AD52" s="6798"/>
      <c r="AE52" s="6799"/>
      <c r="AF52" s="6799"/>
      <c r="AG52" s="6798"/>
      <c r="AH52" s="6798"/>
      <c r="AI52" s="6798"/>
      <c r="AJ52" s="6798"/>
      <c r="AK52" s="6800"/>
      <c r="AL52" s="404"/>
      <c r="AM52" s="1297"/>
      <c r="AN52" s="1297"/>
      <c r="AO52" s="1072" cm="1" t="str">
        <f t="array" ref="AO52:AO52">K52</f>
        <v>2045</v>
      </c>
      <c r="AP52" s="1297"/>
      <c r="AQ52" s="1297"/>
    </row>
    <row s="1297" customFormat="1" customHeight="1" ht="14.625" hidden="1">
      <c r="A53" s="1297"/>
      <c r="B53" s="447">
        <f>K53&lt;first_year+PERIOD_LENGTH</f>
        <v>0</v>
      </c>
      <c r="C53" s="1297"/>
      <c r="D53" s="1297"/>
      <c r="E53" s="709">
        <v>15</v>
      </c>
      <c r="F53" s="50" cm="1" t="str">
        <f t="array" ref="F53:F53">OFFSET(E53,-1,1)</f>
        <v>0</v>
      </c>
      <c r="G53" s="1297"/>
      <c r="H53" s="1297"/>
      <c r="I53" s="1297"/>
      <c r="J53" s="1297"/>
      <c r="K53" s="154">
        <f>first_year+22</f>
        <v>2046</v>
      </c>
      <c r="L53" s="1297"/>
      <c r="M53" s="1297"/>
      <c r="N53" s="1297"/>
      <c r="O53" s="1297"/>
      <c r="P53" s="1297"/>
      <c r="Q53" s="1297"/>
      <c r="R53" s="1297"/>
      <c r="S53" s="1297"/>
      <c r="T53" s="468" cm="1" t="str">
        <f t="array" ref="T53:T53">T52</f>
        <v>false</v>
      </c>
      <c r="U53" s="1297"/>
      <c r="V53" s="1297"/>
      <c r="W53" s="1297"/>
      <c r="X53" s="1539"/>
      <c r="Y53" s="1297"/>
      <c r="Z53" s="1529"/>
      <c r="AA53" s="1297"/>
      <c r="AB53" s="251" t="str">
        <f>K53&amp;" год"</f>
        <v>2046 год</v>
      </c>
      <c r="AC53" s="6792"/>
      <c r="AD53" s="6798"/>
      <c r="AE53" s="6799"/>
      <c r="AF53" s="6799"/>
      <c r="AG53" s="6798"/>
      <c r="AH53" s="6798"/>
      <c r="AI53" s="6798"/>
      <c r="AJ53" s="6798"/>
      <c r="AK53" s="6800"/>
      <c r="AL53" s="404"/>
      <c r="AM53" s="1297"/>
      <c r="AN53" s="1297"/>
      <c r="AO53" s="1072" cm="1" t="str">
        <f t="array" ref="AO53:AO53">K53</f>
        <v>2046</v>
      </c>
      <c r="AP53" s="1297"/>
      <c r="AQ53" s="1297"/>
    </row>
    <row s="1297" customFormat="1" customHeight="1" ht="14.625" hidden="1">
      <c r="A54" s="1297"/>
      <c r="B54" s="447">
        <f>K54&lt;first_year+PERIOD_LENGTH</f>
        <v>0</v>
      </c>
      <c r="C54" s="1297"/>
      <c r="D54" s="1297"/>
      <c r="E54" s="709">
        <v>15</v>
      </c>
      <c r="F54" s="50" cm="1" t="str">
        <f t="array" ref="F54:F54">OFFSET(E54,-1,1)</f>
        <v>0</v>
      </c>
      <c r="G54" s="1297"/>
      <c r="H54" s="1297"/>
      <c r="I54" s="1297"/>
      <c r="J54" s="1297"/>
      <c r="K54" s="154">
        <f>first_year+23</f>
        <v>2047</v>
      </c>
      <c r="L54" s="1297"/>
      <c r="M54" s="1297"/>
      <c r="N54" s="1297"/>
      <c r="O54" s="1297"/>
      <c r="P54" s="1297"/>
      <c r="Q54" s="1297"/>
      <c r="R54" s="1297"/>
      <c r="S54" s="1297"/>
      <c r="T54" s="468" cm="1" t="str">
        <f t="array" ref="T54:T54">T53</f>
        <v>false</v>
      </c>
      <c r="U54" s="1297"/>
      <c r="V54" s="1297"/>
      <c r="W54" s="1297"/>
      <c r="X54" s="1539"/>
      <c r="Y54" s="1297"/>
      <c r="Z54" s="1529"/>
      <c r="AA54" s="1297"/>
      <c r="AB54" s="251" t="str">
        <f>K54&amp;" год"</f>
        <v>2047 год</v>
      </c>
      <c r="AC54" s="6792"/>
      <c r="AD54" s="6798"/>
      <c r="AE54" s="6799"/>
      <c r="AF54" s="6799"/>
      <c r="AG54" s="6798"/>
      <c r="AH54" s="6798"/>
      <c r="AI54" s="6798"/>
      <c r="AJ54" s="6798"/>
      <c r="AK54" s="6800"/>
      <c r="AL54" s="404"/>
      <c r="AM54" s="1297"/>
      <c r="AN54" s="1297"/>
      <c r="AO54" s="1072" cm="1" t="str">
        <f t="array" ref="AO54:AO54">K54</f>
        <v>2047</v>
      </c>
      <c r="AP54" s="1297"/>
      <c r="AQ54" s="1297"/>
    </row>
    <row s="1297" customFormat="1" customHeight="1" ht="14.625" hidden="1">
      <c r="A55" s="1297"/>
      <c r="B55" s="447">
        <f>K55&lt;first_year+PERIOD_LENGTH</f>
        <v>0</v>
      </c>
      <c r="C55" s="1297"/>
      <c r="D55" s="1297"/>
      <c r="E55" s="709">
        <v>15</v>
      </c>
      <c r="F55" s="50" cm="1" t="str">
        <f t="array" ref="F55:F55">OFFSET(E55,-1,1)</f>
        <v>0</v>
      </c>
      <c r="G55" s="1297"/>
      <c r="H55" s="1297"/>
      <c r="I55" s="1297"/>
      <c r="J55" s="1297"/>
      <c r="K55" s="154">
        <f>first_year+24</f>
        <v>2048</v>
      </c>
      <c r="L55" s="1297"/>
      <c r="M55" s="1297"/>
      <c r="N55" s="1297"/>
      <c r="O55" s="1297"/>
      <c r="P55" s="1297"/>
      <c r="Q55" s="1297"/>
      <c r="R55" s="1297"/>
      <c r="S55" s="1297"/>
      <c r="T55" s="468" cm="1" t="str">
        <f t="array" ref="T55:T55">T54</f>
        <v>false</v>
      </c>
      <c r="U55" s="1297"/>
      <c r="V55" s="1297"/>
      <c r="W55" s="1297"/>
      <c r="X55" s="1539"/>
      <c r="Y55" s="1297"/>
      <c r="Z55" s="1529"/>
      <c r="AA55" s="1297"/>
      <c r="AB55" s="251" t="str">
        <f>K55&amp;" год"</f>
        <v>2048 год</v>
      </c>
      <c r="AC55" s="6792"/>
      <c r="AD55" s="6798"/>
      <c r="AE55" s="6799"/>
      <c r="AF55" s="6799"/>
      <c r="AG55" s="6798"/>
      <c r="AH55" s="6798"/>
      <c r="AI55" s="6798"/>
      <c r="AJ55" s="6798"/>
      <c r="AK55" s="6800"/>
      <c r="AL55" s="404"/>
      <c r="AM55" s="1297"/>
      <c r="AN55" s="1297"/>
      <c r="AO55" s="1072" cm="1" t="str">
        <f t="array" ref="AO55:AO55">K55</f>
        <v>2048</v>
      </c>
      <c r="AP55" s="1297"/>
      <c r="AQ55" s="1297"/>
    </row>
    <row s="1297" customFormat="1" customHeight="1" ht="14.625" hidden="1">
      <c r="A56" s="1297"/>
      <c r="B56" s="447">
        <f>K56&lt;first_year+PERIOD_LENGTH</f>
        <v>0</v>
      </c>
      <c r="C56" s="1297"/>
      <c r="D56" s="1297"/>
      <c r="E56" s="709">
        <v>15</v>
      </c>
      <c r="F56" s="50" cm="1" t="str">
        <f t="array" ref="F56:F56">OFFSET(E56,-1,1)</f>
        <v>0</v>
      </c>
      <c r="G56" s="1297"/>
      <c r="H56" s="1297"/>
      <c r="I56" s="1297"/>
      <c r="J56" s="1297"/>
      <c r="K56" s="154">
        <f>first_year+25</f>
        <v>2049</v>
      </c>
      <c r="L56" s="1297"/>
      <c r="M56" s="1297"/>
      <c r="N56" s="1297"/>
      <c r="O56" s="1297"/>
      <c r="P56" s="1297"/>
      <c r="Q56" s="1297"/>
      <c r="R56" s="1297"/>
      <c r="S56" s="1297"/>
      <c r="T56" s="468" cm="1" t="str">
        <f t="array" ref="T56:T56">T55</f>
        <v>false</v>
      </c>
      <c r="U56" s="1297"/>
      <c r="V56" s="1297"/>
      <c r="W56" s="1297"/>
      <c r="X56" s="1539"/>
      <c r="Y56" s="1297"/>
      <c r="Z56" s="1529"/>
      <c r="AA56" s="1297"/>
      <c r="AB56" s="251" t="str">
        <f>K56&amp;" год"</f>
        <v>2049 год</v>
      </c>
      <c r="AC56" s="6792"/>
      <c r="AD56" s="6798"/>
      <c r="AE56" s="6799"/>
      <c r="AF56" s="6799"/>
      <c r="AG56" s="6798"/>
      <c r="AH56" s="6798"/>
      <c r="AI56" s="6798"/>
      <c r="AJ56" s="6798"/>
      <c r="AK56" s="6800"/>
      <c r="AL56" s="404"/>
      <c r="AM56" s="1297"/>
      <c r="AN56" s="1297"/>
      <c r="AO56" s="1072" cm="1" t="str">
        <f t="array" ref="AO56:AO56">K56</f>
        <v>2049</v>
      </c>
      <c r="AP56" s="1297"/>
      <c r="AQ56" s="1297"/>
    </row>
    <row s="1297" customFormat="1" customHeight="1" ht="14.625" hidden="1">
      <c r="A57" s="1297"/>
      <c r="B57" s="447">
        <f>K57&lt;first_year+PERIOD_LENGTH</f>
        <v>0</v>
      </c>
      <c r="C57" s="1297"/>
      <c r="D57" s="1297"/>
      <c r="E57" s="709">
        <v>15</v>
      </c>
      <c r="F57" s="50" cm="1" t="str">
        <f t="array" ref="F57:F57">OFFSET(E57,-1,1)</f>
        <v>0</v>
      </c>
      <c r="G57" s="1297"/>
      <c r="H57" s="1297"/>
      <c r="I57" s="1297"/>
      <c r="J57" s="1297"/>
      <c r="K57" s="154">
        <f>first_year+26</f>
        <v>2050</v>
      </c>
      <c r="L57" s="1297"/>
      <c r="M57" s="1297"/>
      <c r="N57" s="1297"/>
      <c r="O57" s="1297"/>
      <c r="P57" s="1297"/>
      <c r="Q57" s="1297"/>
      <c r="R57" s="1297"/>
      <c r="S57" s="1297"/>
      <c r="T57" s="468" cm="1" t="str">
        <f t="array" ref="T57:T57">T56</f>
        <v>false</v>
      </c>
      <c r="U57" s="1297"/>
      <c r="V57" s="1297"/>
      <c r="W57" s="1297"/>
      <c r="X57" s="1539"/>
      <c r="Y57" s="1297"/>
      <c r="Z57" s="1529"/>
      <c r="AA57" s="1297"/>
      <c r="AB57" s="251" t="str">
        <f>K57&amp;" год"</f>
        <v>2050 год</v>
      </c>
      <c r="AC57" s="6792"/>
      <c r="AD57" s="6798"/>
      <c r="AE57" s="6799"/>
      <c r="AF57" s="6799"/>
      <c r="AG57" s="6798"/>
      <c r="AH57" s="6798"/>
      <c r="AI57" s="6798"/>
      <c r="AJ57" s="6798"/>
      <c r="AK57" s="6800"/>
      <c r="AL57" s="404"/>
      <c r="AM57" s="1297"/>
      <c r="AN57" s="1297"/>
      <c r="AO57" s="1072" cm="1" t="str">
        <f t="array" ref="AO57:AO57">K57</f>
        <v>2050</v>
      </c>
      <c r="AP57" s="1297"/>
      <c r="AQ57" s="1297"/>
    </row>
    <row s="1297" customFormat="1" customHeight="1" ht="14.625" hidden="1">
      <c r="A58" s="1297"/>
      <c r="B58" s="447">
        <f>K58&lt;first_year+PERIOD_LENGTH</f>
        <v>0</v>
      </c>
      <c r="C58" s="1297"/>
      <c r="D58" s="1297"/>
      <c r="E58" s="709">
        <v>15</v>
      </c>
      <c r="F58" s="50" cm="1" t="str">
        <f t="array" ref="F58:F58">OFFSET(E58,-1,1)</f>
        <v>0</v>
      </c>
      <c r="G58" s="1297"/>
      <c r="H58" s="1297"/>
      <c r="I58" s="1297"/>
      <c r="J58" s="1297"/>
      <c r="K58" s="154">
        <f>first_year+27</f>
        <v>2051</v>
      </c>
      <c r="L58" s="1297"/>
      <c r="M58" s="1297"/>
      <c r="N58" s="1297"/>
      <c r="O58" s="1297"/>
      <c r="P58" s="1297"/>
      <c r="Q58" s="1297"/>
      <c r="R58" s="1297"/>
      <c r="S58" s="1297"/>
      <c r="T58" s="468" cm="1" t="str">
        <f t="array" ref="T58:T58">T57</f>
        <v>false</v>
      </c>
      <c r="U58" s="1297"/>
      <c r="V58" s="1297"/>
      <c r="W58" s="1297"/>
      <c r="X58" s="1539"/>
      <c r="Y58" s="1297"/>
      <c r="Z58" s="1529"/>
      <c r="AA58" s="1297"/>
      <c r="AB58" s="251" t="str">
        <f>K58&amp;" год"</f>
        <v>2051 год</v>
      </c>
      <c r="AC58" s="6792"/>
      <c r="AD58" s="6798"/>
      <c r="AE58" s="6799"/>
      <c r="AF58" s="6799"/>
      <c r="AG58" s="6798"/>
      <c r="AH58" s="6798"/>
      <c r="AI58" s="6798"/>
      <c r="AJ58" s="6798"/>
      <c r="AK58" s="6800"/>
      <c r="AL58" s="404"/>
      <c r="AM58" s="1297"/>
      <c r="AN58" s="1297"/>
      <c r="AO58" s="1072" cm="1" t="str">
        <f t="array" ref="AO58:AO58">K58</f>
        <v>2051</v>
      </c>
      <c r="AP58" s="1297"/>
      <c r="AQ58" s="1297"/>
    </row>
    <row s="1297" customFormat="1" customHeight="1" ht="14.625" hidden="1">
      <c r="A59" s="1297"/>
      <c r="B59" s="447">
        <f>K59&lt;first_year+PERIOD_LENGTH</f>
        <v>0</v>
      </c>
      <c r="C59" s="1297"/>
      <c r="D59" s="1297"/>
      <c r="E59" s="709">
        <v>15</v>
      </c>
      <c r="F59" s="50" cm="1" t="str">
        <f t="array" ref="F59:F59">OFFSET(E59,-1,1)</f>
        <v>0</v>
      </c>
      <c r="G59" s="1297"/>
      <c r="H59" s="1297"/>
      <c r="I59" s="1297"/>
      <c r="J59" s="1297"/>
      <c r="K59" s="154">
        <f>first_year+28</f>
        <v>2052</v>
      </c>
      <c r="L59" s="1297"/>
      <c r="M59" s="1297"/>
      <c r="N59" s="1297"/>
      <c r="O59" s="1297"/>
      <c r="P59" s="1297"/>
      <c r="Q59" s="1297"/>
      <c r="R59" s="1297"/>
      <c r="S59" s="1297"/>
      <c r="T59" s="468" cm="1" t="str">
        <f t="array" ref="T59:T59">T58</f>
        <v>false</v>
      </c>
      <c r="U59" s="1297"/>
      <c r="V59" s="1297"/>
      <c r="W59" s="1297"/>
      <c r="X59" s="1539"/>
      <c r="Y59" s="1297"/>
      <c r="Z59" s="1529"/>
      <c r="AA59" s="1297"/>
      <c r="AB59" s="251" t="str">
        <f>K59&amp;" год"</f>
        <v>2052 год</v>
      </c>
      <c r="AC59" s="6792"/>
      <c r="AD59" s="6798"/>
      <c r="AE59" s="6799"/>
      <c r="AF59" s="6799"/>
      <c r="AG59" s="6798"/>
      <c r="AH59" s="6798"/>
      <c r="AI59" s="6798"/>
      <c r="AJ59" s="6798"/>
      <c r="AK59" s="6800"/>
      <c r="AL59" s="404"/>
      <c r="AM59" s="1297"/>
      <c r="AN59" s="1297"/>
      <c r="AO59" s="1072" cm="1" t="str">
        <f t="array" ref="AO59:AO59">K59</f>
        <v>2052</v>
      </c>
      <c r="AP59" s="1297"/>
      <c r="AQ59" s="1297"/>
    </row>
    <row s="1297" customFormat="1" customHeight="1" ht="14.625" hidden="1">
      <c r="A60" s="1297"/>
      <c r="B60" s="447">
        <f>K60&lt;first_year+PERIOD_LENGTH</f>
        <v>0</v>
      </c>
      <c r="C60" s="1297"/>
      <c r="D60" s="1297"/>
      <c r="E60" s="709">
        <v>15</v>
      </c>
      <c r="F60" s="50" cm="1" t="str">
        <f t="array" ref="F60:F60">OFFSET(E60,-1,1)</f>
        <v>0</v>
      </c>
      <c r="G60" s="1297"/>
      <c r="H60" s="1297"/>
      <c r="I60" s="1297"/>
      <c r="J60" s="1297"/>
      <c r="K60" s="154">
        <f>first_year+29</f>
        <v>2053</v>
      </c>
      <c r="L60" s="1297"/>
      <c r="M60" s="1297"/>
      <c r="N60" s="1297"/>
      <c r="O60" s="1297"/>
      <c r="P60" s="1297"/>
      <c r="Q60" s="1297"/>
      <c r="R60" s="1297"/>
      <c r="S60" s="1297"/>
      <c r="T60" s="468" cm="1" t="str">
        <f t="array" ref="T60:T60">T59</f>
        <v>false</v>
      </c>
      <c r="U60" s="1297"/>
      <c r="V60" s="1297"/>
      <c r="W60" s="1297"/>
      <c r="X60" s="1539"/>
      <c r="Y60" s="1297"/>
      <c r="Z60" s="1529"/>
      <c r="AA60" s="1297"/>
      <c r="AB60" s="251" t="str">
        <f>K60&amp;" год"</f>
        <v>2053 год</v>
      </c>
      <c r="AC60" s="6792"/>
      <c r="AD60" s="6798"/>
      <c r="AE60" s="6799"/>
      <c r="AF60" s="6799"/>
      <c r="AG60" s="6798"/>
      <c r="AH60" s="6798"/>
      <c r="AI60" s="6798"/>
      <c r="AJ60" s="6798"/>
      <c r="AK60" s="6800"/>
      <c r="AL60" s="404"/>
      <c r="AM60" s="1297"/>
      <c r="AN60" s="1297"/>
      <c r="AO60" s="1072" cm="1" t="str">
        <f t="array" ref="AO60:AO60">K60</f>
        <v>2053</v>
      </c>
      <c r="AP60" s="1297"/>
      <c r="AQ60" s="1297"/>
    </row>
    <row s="1297" customFormat="1" customHeight="1" ht="14.625" hidden="1">
      <c r="A61" s="1297"/>
      <c r="B61" s="447">
        <f>K61&lt;first_year+PERIOD_LENGTH</f>
        <v>0</v>
      </c>
      <c r="C61" s="1297"/>
      <c r="D61" s="1297"/>
      <c r="E61" s="709">
        <v>15</v>
      </c>
      <c r="F61" s="50" cm="1" t="str">
        <f t="array" ref="F61:F61">OFFSET(E61,-1,1)</f>
        <v>0</v>
      </c>
      <c r="G61" s="1297"/>
      <c r="H61" s="1297"/>
      <c r="I61" s="1297"/>
      <c r="J61" s="1297"/>
      <c r="K61" s="154">
        <f>first_year+30</f>
        <v>2054</v>
      </c>
      <c r="L61" s="1297"/>
      <c r="M61" s="1297"/>
      <c r="N61" s="1297"/>
      <c r="O61" s="1297"/>
      <c r="P61" s="1297"/>
      <c r="Q61" s="1297"/>
      <c r="R61" s="1297"/>
      <c r="S61" s="1297"/>
      <c r="T61" s="468" cm="1" t="str">
        <f t="array" ref="T61:T61">T60</f>
        <v>false</v>
      </c>
      <c r="U61" s="1297"/>
      <c r="V61" s="1297"/>
      <c r="W61" s="1297"/>
      <c r="X61" s="1539"/>
      <c r="Y61" s="1297"/>
      <c r="Z61" s="1529"/>
      <c r="AA61" s="1297"/>
      <c r="AB61" s="251" t="str">
        <f>K61&amp;" год"</f>
        <v>2054 год</v>
      </c>
      <c r="AC61" s="6792"/>
      <c r="AD61" s="6798"/>
      <c r="AE61" s="6799"/>
      <c r="AF61" s="6799"/>
      <c r="AG61" s="6798"/>
      <c r="AH61" s="6798"/>
      <c r="AI61" s="6798"/>
      <c r="AJ61" s="6798"/>
      <c r="AK61" s="6800"/>
      <c r="AL61" s="404"/>
      <c r="AM61" s="1297"/>
      <c r="AN61" s="1297"/>
      <c r="AO61" s="1072" cm="1" t="str">
        <f t="array" ref="AO61:AO61">K61</f>
        <v>2054</v>
      </c>
      <c r="AP61" s="1297"/>
      <c r="AQ61" s="1297"/>
    </row>
    <row s="1297" customFormat="1" customHeight="1" ht="14.625" hidden="1">
      <c r="A62" s="1297"/>
      <c r="B62" s="447">
        <f>K62&lt;first_year+PERIOD_LENGTH</f>
        <v>0</v>
      </c>
      <c r="C62" s="1297"/>
      <c r="D62" s="1297"/>
      <c r="E62" s="709">
        <v>15</v>
      </c>
      <c r="F62" s="50" cm="1" t="str">
        <f t="array" ref="F62:F62">OFFSET(E62,-1,1)</f>
        <v>0</v>
      </c>
      <c r="G62" s="1297"/>
      <c r="H62" s="1297"/>
      <c r="I62" s="1297"/>
      <c r="J62" s="1297"/>
      <c r="K62" s="154">
        <f>first_year+31</f>
        <v>2055</v>
      </c>
      <c r="L62" s="1297"/>
      <c r="M62" s="1297"/>
      <c r="N62" s="1297"/>
      <c r="O62" s="1297"/>
      <c r="P62" s="1297"/>
      <c r="Q62" s="1297"/>
      <c r="R62" s="1297"/>
      <c r="S62" s="1297"/>
      <c r="T62" s="468" cm="1" t="str">
        <f t="array" ref="T62:T62">T61</f>
        <v>false</v>
      </c>
      <c r="U62" s="1297"/>
      <c r="V62" s="1297"/>
      <c r="W62" s="1297"/>
      <c r="X62" s="1539"/>
      <c r="Y62" s="1297"/>
      <c r="Z62" s="1529"/>
      <c r="AA62" s="1297"/>
      <c r="AB62" s="251" t="str">
        <f>K62&amp;" год"</f>
        <v>2055 год</v>
      </c>
      <c r="AC62" s="6792"/>
      <c r="AD62" s="6798"/>
      <c r="AE62" s="6799"/>
      <c r="AF62" s="6799"/>
      <c r="AG62" s="6798"/>
      <c r="AH62" s="6798"/>
      <c r="AI62" s="6798"/>
      <c r="AJ62" s="6798"/>
      <c r="AK62" s="6800"/>
      <c r="AL62" s="404"/>
      <c r="AM62" s="1297"/>
      <c r="AN62" s="1297"/>
      <c r="AO62" s="1072" cm="1" t="str">
        <f t="array" ref="AO62:AO62">K62</f>
        <v>2055</v>
      </c>
      <c r="AP62" s="1297"/>
      <c r="AQ62" s="1297"/>
    </row>
    <row s="1297" customFormat="1" customHeight="1" ht="14.625" hidden="1">
      <c r="A63" s="1297"/>
      <c r="B63" s="447">
        <f>K63&lt;first_year+PERIOD_LENGTH</f>
        <v>0</v>
      </c>
      <c r="C63" s="1297"/>
      <c r="D63" s="1297"/>
      <c r="E63" s="709">
        <v>15</v>
      </c>
      <c r="F63" s="50" cm="1" t="str">
        <f t="array" ref="F63:F63">OFFSET(E63,-1,1)</f>
        <v>0</v>
      </c>
      <c r="G63" s="1297"/>
      <c r="H63" s="1297"/>
      <c r="I63" s="1297"/>
      <c r="J63" s="1297"/>
      <c r="K63" s="154">
        <f>first_year+32</f>
        <v>2056</v>
      </c>
      <c r="L63" s="1297"/>
      <c r="M63" s="1297"/>
      <c r="N63" s="1297"/>
      <c r="O63" s="1297"/>
      <c r="P63" s="1297"/>
      <c r="Q63" s="1297"/>
      <c r="R63" s="1297"/>
      <c r="S63" s="1297"/>
      <c r="T63" s="468" cm="1" t="str">
        <f t="array" ref="T63:T63">T62</f>
        <v>false</v>
      </c>
      <c r="U63" s="1297"/>
      <c r="V63" s="1297"/>
      <c r="W63" s="1297"/>
      <c r="X63" s="1539"/>
      <c r="Y63" s="1297"/>
      <c r="Z63" s="1529"/>
      <c r="AA63" s="1297"/>
      <c r="AB63" s="251" t="str">
        <f>K63&amp;" год"</f>
        <v>2056 год</v>
      </c>
      <c r="AC63" s="6792"/>
      <c r="AD63" s="6798"/>
      <c r="AE63" s="6799"/>
      <c r="AF63" s="6799"/>
      <c r="AG63" s="6798"/>
      <c r="AH63" s="6798"/>
      <c r="AI63" s="6798"/>
      <c r="AJ63" s="6798"/>
      <c r="AK63" s="6800"/>
      <c r="AL63" s="404"/>
      <c r="AM63" s="1297"/>
      <c r="AN63" s="1297"/>
      <c r="AO63" s="1072" cm="1" t="str">
        <f t="array" ref="AO63:AO63">K63</f>
        <v>2056</v>
      </c>
      <c r="AP63" s="1297"/>
      <c r="AQ63" s="1297"/>
    </row>
    <row s="1297" customFormat="1" customHeight="1" ht="14.625" hidden="1">
      <c r="A64" s="1297"/>
      <c r="B64" s="447">
        <f>K64&lt;first_year+PERIOD_LENGTH</f>
        <v>0</v>
      </c>
      <c r="C64" s="1297"/>
      <c r="D64" s="1297"/>
      <c r="E64" s="709">
        <v>15</v>
      </c>
      <c r="F64" s="50" cm="1" t="str">
        <f t="array" ref="F64:F64">OFFSET(E64,-1,1)</f>
        <v>0</v>
      </c>
      <c r="G64" s="1297"/>
      <c r="H64" s="1297"/>
      <c r="I64" s="1297"/>
      <c r="J64" s="1297"/>
      <c r="K64" s="154">
        <f>first_year+33</f>
        <v>2057</v>
      </c>
      <c r="L64" s="1297"/>
      <c r="M64" s="1297"/>
      <c r="N64" s="1297"/>
      <c r="O64" s="1297"/>
      <c r="P64" s="1297"/>
      <c r="Q64" s="1297"/>
      <c r="R64" s="1297"/>
      <c r="S64" s="1297"/>
      <c r="T64" s="468" cm="1" t="str">
        <f t="array" ref="T64:T64">T63</f>
        <v>false</v>
      </c>
      <c r="U64" s="1297"/>
      <c r="V64" s="1297"/>
      <c r="W64" s="1297"/>
      <c r="X64" s="1539"/>
      <c r="Y64" s="1297"/>
      <c r="Z64" s="1529"/>
      <c r="AA64" s="1297"/>
      <c r="AB64" s="251" t="str">
        <f>K64&amp;" год"</f>
        <v>2057 год</v>
      </c>
      <c r="AC64" s="6792"/>
      <c r="AD64" s="6798"/>
      <c r="AE64" s="6799"/>
      <c r="AF64" s="6799"/>
      <c r="AG64" s="6798"/>
      <c r="AH64" s="6798"/>
      <c r="AI64" s="6798"/>
      <c r="AJ64" s="6798"/>
      <c r="AK64" s="6800"/>
      <c r="AL64" s="404"/>
      <c r="AM64" s="1297"/>
      <c r="AN64" s="1297"/>
      <c r="AO64" s="1072" cm="1" t="str">
        <f t="array" ref="AO64:AO64">K64</f>
        <v>2057</v>
      </c>
      <c r="AP64" s="1297"/>
      <c r="AQ64" s="1297"/>
    </row>
    <row s="1297" customFormat="1" customHeight="1" ht="14.625" hidden="1">
      <c r="A65" s="1297"/>
      <c r="B65" s="447">
        <f>K65&lt;first_year+PERIOD_LENGTH</f>
        <v>0</v>
      </c>
      <c r="C65" s="1297"/>
      <c r="D65" s="1297"/>
      <c r="E65" s="709">
        <v>15</v>
      </c>
      <c r="F65" s="50" cm="1" t="str">
        <f t="array" ref="F65:F65">OFFSET(E65,-1,1)</f>
        <v>0</v>
      </c>
      <c r="G65" s="1297"/>
      <c r="H65" s="1297"/>
      <c r="I65" s="1297"/>
      <c r="J65" s="1297"/>
      <c r="K65" s="154">
        <f>first_year+34</f>
        <v>2058</v>
      </c>
      <c r="L65" s="1297"/>
      <c r="M65" s="1297"/>
      <c r="N65" s="1297"/>
      <c r="O65" s="1297"/>
      <c r="P65" s="1297"/>
      <c r="Q65" s="1297"/>
      <c r="R65" s="1297"/>
      <c r="S65" s="1297"/>
      <c r="T65" s="468" cm="1" t="str">
        <f t="array" ref="T65:T65">T64</f>
        <v>false</v>
      </c>
      <c r="U65" s="1297"/>
      <c r="V65" s="1297"/>
      <c r="W65" s="1297"/>
      <c r="X65" s="1539"/>
      <c r="Y65" s="1297"/>
      <c r="Z65" s="1529"/>
      <c r="AA65" s="1297"/>
      <c r="AB65" s="251" t="str">
        <f>K65&amp;" год"</f>
        <v>2058 год</v>
      </c>
      <c r="AC65" s="6792"/>
      <c r="AD65" s="6798"/>
      <c r="AE65" s="6799"/>
      <c r="AF65" s="6799"/>
      <c r="AG65" s="6798"/>
      <c r="AH65" s="6798"/>
      <c r="AI65" s="6798"/>
      <c r="AJ65" s="6798"/>
      <c r="AK65" s="6800"/>
      <c r="AL65" s="404"/>
      <c r="AM65" s="1297"/>
      <c r="AN65" s="1297"/>
      <c r="AO65" s="1072" cm="1" t="str">
        <f t="array" ref="AO65:AO65">K65</f>
        <v>2058</v>
      </c>
      <c r="AP65" s="1297"/>
      <c r="AQ65" s="1297"/>
    </row>
    <row s="1297" customFormat="1" customHeight="1" ht="14.625" hidden="1">
      <c r="A66" s="1297"/>
      <c r="B66" s="447">
        <f>K66&lt;first_year+PERIOD_LENGTH</f>
        <v>0</v>
      </c>
      <c r="C66" s="1297"/>
      <c r="D66" s="1297"/>
      <c r="E66" s="709">
        <v>15</v>
      </c>
      <c r="F66" s="50" cm="1" t="str">
        <f t="array" ref="F66:F66">OFFSET(E66,-1,1)</f>
        <v>0</v>
      </c>
      <c r="G66" s="1297"/>
      <c r="H66" s="1297"/>
      <c r="I66" s="1297"/>
      <c r="J66" s="1297"/>
      <c r="K66" s="154">
        <f>first_year+35</f>
        <v>2059</v>
      </c>
      <c r="L66" s="1297"/>
      <c r="M66" s="1297"/>
      <c r="N66" s="1297"/>
      <c r="O66" s="1297"/>
      <c r="P66" s="1297"/>
      <c r="Q66" s="1297"/>
      <c r="R66" s="1297"/>
      <c r="S66" s="1297"/>
      <c r="T66" s="468" cm="1" t="str">
        <f t="array" ref="T66:T66">T65</f>
        <v>false</v>
      </c>
      <c r="U66" s="1297"/>
      <c r="V66" s="1297"/>
      <c r="W66" s="1297"/>
      <c r="X66" s="1539"/>
      <c r="Y66" s="1297"/>
      <c r="Z66" s="1529"/>
      <c r="AA66" s="1297"/>
      <c r="AB66" s="251" t="str">
        <f>K66&amp;" год"</f>
        <v>2059 год</v>
      </c>
      <c r="AC66" s="6792"/>
      <c r="AD66" s="6798"/>
      <c r="AE66" s="6799"/>
      <c r="AF66" s="6799"/>
      <c r="AG66" s="6798"/>
      <c r="AH66" s="6798"/>
      <c r="AI66" s="6798"/>
      <c r="AJ66" s="6798"/>
      <c r="AK66" s="6800"/>
      <c r="AL66" s="404"/>
      <c r="AM66" s="1297"/>
      <c r="AN66" s="1297"/>
      <c r="AO66" s="1072" cm="1" t="str">
        <f t="array" ref="AO66:AO66">K66</f>
        <v>2059</v>
      </c>
      <c r="AP66" s="1297"/>
      <c r="AQ66" s="1297"/>
    </row>
    <row s="1297" customFormat="1" customHeight="1" ht="14.625" hidden="1">
      <c r="A67" s="1297"/>
      <c r="B67" s="447">
        <f>K67&lt;first_year+PERIOD_LENGTH</f>
        <v>0</v>
      </c>
      <c r="C67" s="1297"/>
      <c r="D67" s="1297"/>
      <c r="E67" s="709">
        <v>15</v>
      </c>
      <c r="F67" s="50" cm="1" t="str">
        <f t="array" ref="F67:F67">OFFSET(E67,-1,1)</f>
        <v>0</v>
      </c>
      <c r="G67" s="1297"/>
      <c r="H67" s="1297"/>
      <c r="I67" s="1297"/>
      <c r="J67" s="1297"/>
      <c r="K67" s="154">
        <f>first_year+36</f>
        <v>2060</v>
      </c>
      <c r="L67" s="1297"/>
      <c r="M67" s="1297"/>
      <c r="N67" s="1297"/>
      <c r="O67" s="1297"/>
      <c r="P67" s="1297"/>
      <c r="Q67" s="1297"/>
      <c r="R67" s="1297"/>
      <c r="S67" s="1297"/>
      <c r="T67" s="468" cm="1" t="str">
        <f t="array" ref="T67:T67">T66</f>
        <v>false</v>
      </c>
      <c r="U67" s="1297"/>
      <c r="V67" s="1297"/>
      <c r="W67" s="1297"/>
      <c r="X67" s="1539"/>
      <c r="Y67" s="1297"/>
      <c r="Z67" s="1529"/>
      <c r="AA67" s="1297"/>
      <c r="AB67" s="251" t="str">
        <f>K67&amp;" год"</f>
        <v>2060 год</v>
      </c>
      <c r="AC67" s="6792"/>
      <c r="AD67" s="6798"/>
      <c r="AE67" s="6799"/>
      <c r="AF67" s="6799"/>
      <c r="AG67" s="6798"/>
      <c r="AH67" s="6798"/>
      <c r="AI67" s="6798"/>
      <c r="AJ67" s="6798"/>
      <c r="AK67" s="6800"/>
      <c r="AL67" s="404"/>
      <c r="AM67" s="1297"/>
      <c r="AN67" s="1297"/>
      <c r="AO67" s="1072" cm="1" t="str">
        <f t="array" ref="AO67:AO67">K67</f>
        <v>2060</v>
      </c>
      <c r="AP67" s="1297"/>
      <c r="AQ67" s="1297"/>
    </row>
    <row s="1297" customFormat="1" customHeight="1" ht="14.625" hidden="1">
      <c r="A68" s="1297"/>
      <c r="B68" s="447">
        <f>K68&lt;first_year+PERIOD_LENGTH</f>
        <v>0</v>
      </c>
      <c r="C68" s="1297"/>
      <c r="D68" s="1297"/>
      <c r="E68" s="709">
        <v>15</v>
      </c>
      <c r="F68" s="50" cm="1" t="str">
        <f t="array" ref="F68:F68">OFFSET(E68,-1,1)</f>
        <v>0</v>
      </c>
      <c r="G68" s="1297"/>
      <c r="H68" s="1297"/>
      <c r="I68" s="1297"/>
      <c r="J68" s="1297"/>
      <c r="K68" s="154">
        <f>first_year+37</f>
        <v>2061</v>
      </c>
      <c r="L68" s="1297"/>
      <c r="M68" s="1297"/>
      <c r="N68" s="1297"/>
      <c r="O68" s="1297"/>
      <c r="P68" s="1297"/>
      <c r="Q68" s="1297"/>
      <c r="R68" s="1297"/>
      <c r="S68" s="1297"/>
      <c r="T68" s="468" cm="1" t="str">
        <f t="array" ref="T68:T68">T67</f>
        <v>false</v>
      </c>
      <c r="U68" s="1297"/>
      <c r="V68" s="1297"/>
      <c r="W68" s="1297"/>
      <c r="X68" s="1539"/>
      <c r="Y68" s="1297"/>
      <c r="Z68" s="1529"/>
      <c r="AA68" s="1297"/>
      <c r="AB68" s="251" t="str">
        <f>K68&amp;" год"</f>
        <v>2061 год</v>
      </c>
      <c r="AC68" s="6792"/>
      <c r="AD68" s="6798"/>
      <c r="AE68" s="6799"/>
      <c r="AF68" s="6799"/>
      <c r="AG68" s="6798"/>
      <c r="AH68" s="6798"/>
      <c r="AI68" s="6798"/>
      <c r="AJ68" s="6798"/>
      <c r="AK68" s="6800"/>
      <c r="AL68" s="404"/>
      <c r="AM68" s="1297"/>
      <c r="AN68" s="1297"/>
      <c r="AO68" s="1072" cm="1" t="str">
        <f t="array" ref="AO68:AO68">K68</f>
        <v>2061</v>
      </c>
      <c r="AP68" s="1297"/>
      <c r="AQ68" s="1297"/>
    </row>
    <row s="1297" customFormat="1" customHeight="1" ht="14.625" hidden="1">
      <c r="A69" s="1297"/>
      <c r="B69" s="447">
        <f>K69&lt;first_year+PERIOD_LENGTH</f>
        <v>0</v>
      </c>
      <c r="C69" s="1297"/>
      <c r="D69" s="1297"/>
      <c r="E69" s="709">
        <v>15</v>
      </c>
      <c r="F69" s="50" cm="1" t="str">
        <f t="array" ref="F69:F69">OFFSET(E69,-1,1)</f>
        <v>0</v>
      </c>
      <c r="G69" s="1297"/>
      <c r="H69" s="1297"/>
      <c r="I69" s="1297"/>
      <c r="J69" s="1297"/>
      <c r="K69" s="154">
        <f>first_year+38</f>
        <v>2062</v>
      </c>
      <c r="L69" s="1297"/>
      <c r="M69" s="1297"/>
      <c r="N69" s="1297"/>
      <c r="O69" s="1297"/>
      <c r="P69" s="1297"/>
      <c r="Q69" s="1297"/>
      <c r="R69" s="1297"/>
      <c r="S69" s="1297"/>
      <c r="T69" s="468" cm="1" t="str">
        <f t="array" ref="T69:T69">T68</f>
        <v>false</v>
      </c>
      <c r="U69" s="1297"/>
      <c r="V69" s="1297"/>
      <c r="W69" s="1297"/>
      <c r="X69" s="1539"/>
      <c r="Y69" s="1297"/>
      <c r="Z69" s="1529"/>
      <c r="AA69" s="1297"/>
      <c r="AB69" s="251" t="str">
        <f>K69&amp;" год"</f>
        <v>2062 год</v>
      </c>
      <c r="AC69" s="6792"/>
      <c r="AD69" s="6798"/>
      <c r="AE69" s="6799"/>
      <c r="AF69" s="6799"/>
      <c r="AG69" s="6798"/>
      <c r="AH69" s="6798"/>
      <c r="AI69" s="6798"/>
      <c r="AJ69" s="6798"/>
      <c r="AK69" s="6800"/>
      <c r="AL69" s="404"/>
      <c r="AM69" s="1297"/>
      <c r="AN69" s="1297"/>
      <c r="AO69" s="1072" cm="1" t="str">
        <f t="array" ref="AO69:AO69">K69</f>
        <v>2062</v>
      </c>
      <c r="AP69" s="1297"/>
      <c r="AQ69" s="1297"/>
    </row>
    <row s="1297" customFormat="1" customHeight="1" ht="14.625" hidden="1">
      <c r="A70" s="1297"/>
      <c r="B70" s="447">
        <f>K70&lt;first_year+PERIOD_LENGTH</f>
        <v>0</v>
      </c>
      <c r="C70" s="1297"/>
      <c r="D70" s="1297"/>
      <c r="E70" s="709">
        <v>15</v>
      </c>
      <c r="F70" s="50" cm="1" t="str">
        <f t="array" ref="F70:F70">OFFSET(E70,-1,1)</f>
        <v>0</v>
      </c>
      <c r="G70" s="1297"/>
      <c r="H70" s="1297"/>
      <c r="I70" s="1297"/>
      <c r="J70" s="1297"/>
      <c r="K70" s="154">
        <f>first_year+39</f>
        <v>2063</v>
      </c>
      <c r="L70" s="1297"/>
      <c r="M70" s="1297"/>
      <c r="N70" s="1297"/>
      <c r="O70" s="1297"/>
      <c r="P70" s="1297"/>
      <c r="Q70" s="1297"/>
      <c r="R70" s="1297"/>
      <c r="S70" s="1297"/>
      <c r="T70" s="468" cm="1" t="str">
        <f t="array" ref="T70:T70">T69</f>
        <v>false</v>
      </c>
      <c r="U70" s="1297"/>
      <c r="V70" s="1297"/>
      <c r="W70" s="1297"/>
      <c r="X70" s="1539"/>
      <c r="Y70" s="1297"/>
      <c r="Z70" s="1529"/>
      <c r="AA70" s="1297"/>
      <c r="AB70" s="251" t="str">
        <f>K70&amp;" год"</f>
        <v>2063 год</v>
      </c>
      <c r="AC70" s="6792"/>
      <c r="AD70" s="6798"/>
      <c r="AE70" s="6799"/>
      <c r="AF70" s="6799"/>
      <c r="AG70" s="6798"/>
      <c r="AH70" s="6798"/>
      <c r="AI70" s="6798"/>
      <c r="AJ70" s="6798"/>
      <c r="AK70" s="6800"/>
      <c r="AL70" s="404"/>
      <c r="AM70" s="1297"/>
      <c r="AN70" s="1297"/>
      <c r="AO70" s="1072" cm="1" t="str">
        <f t="array" ref="AO70:AO70">K70</f>
        <v>2063</v>
      </c>
      <c r="AP70" s="1297"/>
      <c r="AQ70" s="1297"/>
    </row>
    <row s="1297" customFormat="1" customHeight="1" ht="14.625" hidden="1">
      <c r="A71" s="1297"/>
      <c r="B71" s="447">
        <f>K71&lt;first_year+PERIOD_LENGTH</f>
        <v>0</v>
      </c>
      <c r="C71" s="1297"/>
      <c r="D71" s="1297"/>
      <c r="E71" s="709">
        <v>15</v>
      </c>
      <c r="F71" s="50" cm="1" t="str">
        <f t="array" ref="F71:F71">OFFSET(E71,-1,1)</f>
        <v>0</v>
      </c>
      <c r="G71" s="1297"/>
      <c r="H71" s="1297"/>
      <c r="I71" s="1297"/>
      <c r="J71" s="1297"/>
      <c r="K71" s="154">
        <f>first_year+40</f>
        <v>2064</v>
      </c>
      <c r="L71" s="1297"/>
      <c r="M71" s="1297"/>
      <c r="N71" s="1297"/>
      <c r="O71" s="1297"/>
      <c r="P71" s="1297"/>
      <c r="Q71" s="1297"/>
      <c r="R71" s="1297"/>
      <c r="S71" s="1297"/>
      <c r="T71" s="468" cm="1" t="str">
        <f t="array" ref="T71:T71">T70</f>
        <v>false</v>
      </c>
      <c r="U71" s="1297"/>
      <c r="V71" s="1297"/>
      <c r="W71" s="1297"/>
      <c r="X71" s="1539"/>
      <c r="Y71" s="1297"/>
      <c r="Z71" s="1529"/>
      <c r="AA71" s="1297"/>
      <c r="AB71" s="251" t="str">
        <f>K71&amp;" год"</f>
        <v>2064 год</v>
      </c>
      <c r="AC71" s="6792"/>
      <c r="AD71" s="6798"/>
      <c r="AE71" s="6799"/>
      <c r="AF71" s="6799"/>
      <c r="AG71" s="6798"/>
      <c r="AH71" s="6798"/>
      <c r="AI71" s="6798"/>
      <c r="AJ71" s="6798"/>
      <c r="AK71" s="6800"/>
      <c r="AL71" s="404"/>
      <c r="AM71" s="1297"/>
      <c r="AN71" s="1297"/>
      <c r="AO71" s="1072" cm="1" t="str">
        <f t="array" ref="AO71:AO71">K71</f>
        <v>2064</v>
      </c>
      <c r="AP71" s="1297"/>
      <c r="AQ71" s="1297"/>
    </row>
    <row s="1297" customFormat="1" customHeight="1" ht="14.625" hidden="1">
      <c r="A72" s="1297"/>
      <c r="B72" s="447">
        <f>K72&lt;first_year+PERIOD_LENGTH</f>
        <v>0</v>
      </c>
      <c r="C72" s="1297"/>
      <c r="D72" s="1297"/>
      <c r="E72" s="709">
        <v>15</v>
      </c>
      <c r="F72" s="50" cm="1" t="str">
        <f t="array" ref="F72:F72">OFFSET(E72,-1,1)</f>
        <v>0</v>
      </c>
      <c r="G72" s="1297"/>
      <c r="H72" s="1297"/>
      <c r="I72" s="1297"/>
      <c r="J72" s="1297"/>
      <c r="K72" s="154">
        <f>first_year+41</f>
        <v>2065</v>
      </c>
      <c r="L72" s="1297"/>
      <c r="M72" s="1297"/>
      <c r="N72" s="1297"/>
      <c r="O72" s="1297"/>
      <c r="P72" s="1297"/>
      <c r="Q72" s="1297"/>
      <c r="R72" s="1297"/>
      <c r="S72" s="1297"/>
      <c r="T72" s="468" cm="1" t="str">
        <f t="array" ref="T72:T72">T71</f>
        <v>false</v>
      </c>
      <c r="U72" s="1297"/>
      <c r="V72" s="1297"/>
      <c r="W72" s="1297"/>
      <c r="X72" s="1539"/>
      <c r="Y72" s="1297"/>
      <c r="Z72" s="1529"/>
      <c r="AA72" s="1297"/>
      <c r="AB72" s="251" t="str">
        <f>K72&amp;" год"</f>
        <v>2065 год</v>
      </c>
      <c r="AC72" s="6792"/>
      <c r="AD72" s="6798"/>
      <c r="AE72" s="6799"/>
      <c r="AF72" s="6799"/>
      <c r="AG72" s="6798"/>
      <c r="AH72" s="6798"/>
      <c r="AI72" s="6798"/>
      <c r="AJ72" s="6798"/>
      <c r="AK72" s="6800"/>
      <c r="AL72" s="404"/>
      <c r="AM72" s="1297"/>
      <c r="AN72" s="1297"/>
      <c r="AO72" s="1072" cm="1" t="str">
        <f t="array" ref="AO72:AO72">K72</f>
        <v>2065</v>
      </c>
      <c r="AP72" s="1297"/>
      <c r="AQ72" s="1297"/>
    </row>
    <row s="1297" customFormat="1" customHeight="1" ht="14.625" hidden="1">
      <c r="A73" s="1297"/>
      <c r="B73" s="447">
        <f>K73&lt;first_year+PERIOD_LENGTH</f>
        <v>0</v>
      </c>
      <c r="C73" s="1297"/>
      <c r="D73" s="1297"/>
      <c r="E73" s="709">
        <v>15</v>
      </c>
      <c r="F73" s="50" cm="1" t="str">
        <f t="array" ref="F73:F73">OFFSET(E73,-1,1)</f>
        <v>0</v>
      </c>
      <c r="G73" s="1297"/>
      <c r="H73" s="1297"/>
      <c r="I73" s="1297"/>
      <c r="J73" s="1297"/>
      <c r="K73" s="154">
        <f>first_year+42</f>
        <v>2066</v>
      </c>
      <c r="L73" s="1297"/>
      <c r="M73" s="1297"/>
      <c r="N73" s="1297"/>
      <c r="O73" s="1297"/>
      <c r="P73" s="1297"/>
      <c r="Q73" s="1297"/>
      <c r="R73" s="1297"/>
      <c r="S73" s="1297"/>
      <c r="T73" s="468" cm="1" t="str">
        <f t="array" ref="T73:T73">T72</f>
        <v>false</v>
      </c>
      <c r="U73" s="1297"/>
      <c r="V73" s="1297"/>
      <c r="W73" s="1297"/>
      <c r="X73" s="1539"/>
      <c r="Y73" s="1297"/>
      <c r="Z73" s="1529"/>
      <c r="AA73" s="1297"/>
      <c r="AB73" s="251" t="str">
        <f>K73&amp;" год"</f>
        <v>2066 год</v>
      </c>
      <c r="AC73" s="6792"/>
      <c r="AD73" s="6798"/>
      <c r="AE73" s="6799"/>
      <c r="AF73" s="6799"/>
      <c r="AG73" s="6798"/>
      <c r="AH73" s="6798"/>
      <c r="AI73" s="6798"/>
      <c r="AJ73" s="6798"/>
      <c r="AK73" s="6800"/>
      <c r="AL73" s="404"/>
      <c r="AM73" s="1297"/>
      <c r="AN73" s="1297"/>
      <c r="AO73" s="1072" cm="1" t="str">
        <f t="array" ref="AO73:AO73">K73</f>
        <v>2066</v>
      </c>
      <c r="AP73" s="1297"/>
      <c r="AQ73" s="1297"/>
    </row>
    <row s="1297" customFormat="1" customHeight="1" ht="14.625" hidden="1">
      <c r="A74" s="1297"/>
      <c r="B74" s="447">
        <f>K74&lt;first_year+PERIOD_LENGTH</f>
        <v>0</v>
      </c>
      <c r="C74" s="1297"/>
      <c r="D74" s="1297"/>
      <c r="E74" s="709">
        <v>15</v>
      </c>
      <c r="F74" s="50" cm="1" t="str">
        <f t="array" ref="F74:F74">OFFSET(E74,-1,1)</f>
        <v>0</v>
      </c>
      <c r="G74" s="1297"/>
      <c r="H74" s="1297"/>
      <c r="I74" s="1297"/>
      <c r="J74" s="1297"/>
      <c r="K74" s="154">
        <f>first_year+43</f>
        <v>2067</v>
      </c>
      <c r="L74" s="1297"/>
      <c r="M74" s="1297"/>
      <c r="N74" s="1297"/>
      <c r="O74" s="1297"/>
      <c r="P74" s="1297"/>
      <c r="Q74" s="1297"/>
      <c r="R74" s="1297"/>
      <c r="S74" s="1297"/>
      <c r="T74" s="468" cm="1" t="str">
        <f t="array" ref="T74:T74">T73</f>
        <v>false</v>
      </c>
      <c r="U74" s="1297"/>
      <c r="V74" s="1297"/>
      <c r="W74" s="1297"/>
      <c r="X74" s="1539"/>
      <c r="Y74" s="1297"/>
      <c r="Z74" s="1529"/>
      <c r="AA74" s="1297"/>
      <c r="AB74" s="251" t="str">
        <f>K74&amp;" год"</f>
        <v>2067 год</v>
      </c>
      <c r="AC74" s="6792"/>
      <c r="AD74" s="6798"/>
      <c r="AE74" s="6799"/>
      <c r="AF74" s="6799"/>
      <c r="AG74" s="6798"/>
      <c r="AH74" s="6798"/>
      <c r="AI74" s="6798"/>
      <c r="AJ74" s="6798"/>
      <c r="AK74" s="6800"/>
      <c r="AL74" s="404"/>
      <c r="AM74" s="1297"/>
      <c r="AN74" s="1297"/>
      <c r="AO74" s="1072" cm="1" t="str">
        <f t="array" ref="AO74:AO74">K74</f>
        <v>2067</v>
      </c>
      <c r="AP74" s="1297"/>
      <c r="AQ74" s="1297"/>
    </row>
    <row s="1297" customFormat="1" customHeight="1" ht="14.625" hidden="1">
      <c r="A75" s="1297"/>
      <c r="B75" s="447">
        <f>K75&lt;first_year+PERIOD_LENGTH</f>
        <v>0</v>
      </c>
      <c r="C75" s="1297"/>
      <c r="D75" s="1297"/>
      <c r="E75" s="709">
        <v>15</v>
      </c>
      <c r="F75" s="50" cm="1" t="str">
        <f t="array" ref="F75:F75">OFFSET(E75,-1,1)</f>
        <v>0</v>
      </c>
      <c r="G75" s="1297"/>
      <c r="H75" s="1297"/>
      <c r="I75" s="1297"/>
      <c r="J75" s="1297"/>
      <c r="K75" s="154">
        <f>first_year+44</f>
        <v>2068</v>
      </c>
      <c r="L75" s="1297"/>
      <c r="M75" s="1297"/>
      <c r="N75" s="1297"/>
      <c r="O75" s="1297"/>
      <c r="P75" s="1297"/>
      <c r="Q75" s="1297"/>
      <c r="R75" s="1297"/>
      <c r="S75" s="1297"/>
      <c r="T75" s="468" cm="1" t="str">
        <f t="array" ref="T75:T75">T74</f>
        <v>false</v>
      </c>
      <c r="U75" s="1297"/>
      <c r="V75" s="1297"/>
      <c r="W75" s="1297"/>
      <c r="X75" s="1539"/>
      <c r="Y75" s="1297"/>
      <c r="Z75" s="1529"/>
      <c r="AA75" s="1297"/>
      <c r="AB75" s="251" t="str">
        <f>K75&amp;" год"</f>
        <v>2068 год</v>
      </c>
      <c r="AC75" s="6792"/>
      <c r="AD75" s="6798"/>
      <c r="AE75" s="6799"/>
      <c r="AF75" s="6799"/>
      <c r="AG75" s="6798"/>
      <c r="AH75" s="6798"/>
      <c r="AI75" s="6798"/>
      <c r="AJ75" s="6798"/>
      <c r="AK75" s="6800"/>
      <c r="AL75" s="404"/>
      <c r="AM75" s="1297"/>
      <c r="AN75" s="1297"/>
      <c r="AO75" s="1072" cm="1" t="str">
        <f t="array" ref="AO75:AO75">K75</f>
        <v>2068</v>
      </c>
      <c r="AP75" s="1297"/>
      <c r="AQ75" s="1297"/>
    </row>
    <row s="1297" customFormat="1" customHeight="1" ht="14.625" hidden="1">
      <c r="A76" s="1297"/>
      <c r="B76" s="447">
        <f>K76&lt;first_year+PERIOD_LENGTH</f>
        <v>0</v>
      </c>
      <c r="C76" s="1297"/>
      <c r="D76" s="1297"/>
      <c r="E76" s="709">
        <v>15</v>
      </c>
      <c r="F76" s="50" cm="1" t="str">
        <f t="array" ref="F76:F76">OFFSET(E76,-1,1)</f>
        <v>0</v>
      </c>
      <c r="G76" s="1297"/>
      <c r="H76" s="1297"/>
      <c r="I76" s="1297"/>
      <c r="J76" s="1297"/>
      <c r="K76" s="154">
        <f>first_year+45</f>
        <v>2069</v>
      </c>
      <c r="L76" s="1297"/>
      <c r="M76" s="1297"/>
      <c r="N76" s="1297"/>
      <c r="O76" s="1297"/>
      <c r="P76" s="1297"/>
      <c r="Q76" s="1297"/>
      <c r="R76" s="1297"/>
      <c r="S76" s="1297"/>
      <c r="T76" s="468" cm="1" t="str">
        <f t="array" ref="T76:T76">T75</f>
        <v>false</v>
      </c>
      <c r="U76" s="1297"/>
      <c r="V76" s="1297"/>
      <c r="W76" s="1297"/>
      <c r="X76" s="1539"/>
      <c r="Y76" s="1297"/>
      <c r="Z76" s="1529"/>
      <c r="AA76" s="1297"/>
      <c r="AB76" s="251" t="str">
        <f>K76&amp;" год"</f>
        <v>2069 год</v>
      </c>
      <c r="AC76" s="6792"/>
      <c r="AD76" s="6798"/>
      <c r="AE76" s="6799"/>
      <c r="AF76" s="6799"/>
      <c r="AG76" s="6798"/>
      <c r="AH76" s="6798"/>
      <c r="AI76" s="6798"/>
      <c r="AJ76" s="6798"/>
      <c r="AK76" s="6800"/>
      <c r="AL76" s="404"/>
      <c r="AM76" s="1297"/>
      <c r="AN76" s="1297"/>
      <c r="AO76" s="1072" cm="1" t="str">
        <f t="array" ref="AO76:AO76">K76</f>
        <v>2069</v>
      </c>
      <c r="AP76" s="1297"/>
      <c r="AQ76" s="1297"/>
    </row>
    <row s="1297" customFormat="1" customHeight="1" ht="14.625" hidden="1">
      <c r="A77" s="1297"/>
      <c r="B77" s="447">
        <f>K77&lt;first_year+PERIOD_LENGTH</f>
        <v>0</v>
      </c>
      <c r="C77" s="1297"/>
      <c r="D77" s="1297"/>
      <c r="E77" s="709">
        <v>15</v>
      </c>
      <c r="F77" s="50" cm="1" t="str">
        <f t="array" ref="F77:F77">OFFSET(E77,-1,1)</f>
        <v>0</v>
      </c>
      <c r="G77" s="1297"/>
      <c r="H77" s="1297"/>
      <c r="I77" s="1297"/>
      <c r="J77" s="1297"/>
      <c r="K77" s="154">
        <f>first_year+46</f>
        <v>2070</v>
      </c>
      <c r="L77" s="1297"/>
      <c r="M77" s="1297"/>
      <c r="N77" s="1297"/>
      <c r="O77" s="1297"/>
      <c r="P77" s="1297"/>
      <c r="Q77" s="1297"/>
      <c r="R77" s="1297"/>
      <c r="S77" s="1297"/>
      <c r="T77" s="468" cm="1" t="str">
        <f t="array" ref="T77:T77">T76</f>
        <v>false</v>
      </c>
      <c r="U77" s="1297"/>
      <c r="V77" s="1297"/>
      <c r="W77" s="1297"/>
      <c r="X77" s="1539"/>
      <c r="Y77" s="1297"/>
      <c r="Z77" s="1529"/>
      <c r="AA77" s="1297"/>
      <c r="AB77" s="251" t="str">
        <f>K77&amp;" год"</f>
        <v>2070 год</v>
      </c>
      <c r="AC77" s="6792"/>
      <c r="AD77" s="6798"/>
      <c r="AE77" s="6799"/>
      <c r="AF77" s="6799"/>
      <c r="AG77" s="6798"/>
      <c r="AH77" s="6798"/>
      <c r="AI77" s="6798"/>
      <c r="AJ77" s="6798"/>
      <c r="AK77" s="6800"/>
      <c r="AL77" s="404"/>
      <c r="AM77" s="1297"/>
      <c r="AN77" s="1297"/>
      <c r="AO77" s="1072" cm="1" t="str">
        <f t="array" ref="AO77:AO77">K77</f>
        <v>2070</v>
      </c>
      <c r="AP77" s="1297"/>
      <c r="AQ77" s="1297"/>
    </row>
    <row s="1297" customFormat="1" customHeight="1" ht="14.625" hidden="1">
      <c r="A78" s="1297"/>
      <c r="B78" s="447">
        <f>K78&lt;first_year+PERIOD_LENGTH</f>
        <v>0</v>
      </c>
      <c r="C78" s="1297"/>
      <c r="D78" s="1297"/>
      <c r="E78" s="709">
        <v>15</v>
      </c>
      <c r="F78" s="50" cm="1" t="str">
        <f t="array" ref="F78:F78">OFFSET(E78,-1,1)</f>
        <v>0</v>
      </c>
      <c r="G78" s="1297"/>
      <c r="H78" s="1297"/>
      <c r="I78" s="1297"/>
      <c r="J78" s="1297"/>
      <c r="K78" s="154">
        <f>first_year+47</f>
        <v>2071</v>
      </c>
      <c r="L78" s="1297"/>
      <c r="M78" s="1297"/>
      <c r="N78" s="1297"/>
      <c r="O78" s="1297"/>
      <c r="P78" s="1297"/>
      <c r="Q78" s="1297"/>
      <c r="R78" s="1297"/>
      <c r="S78" s="1297"/>
      <c r="T78" s="468" cm="1" t="str">
        <f t="array" ref="T78:T78">T77</f>
        <v>false</v>
      </c>
      <c r="U78" s="1297"/>
      <c r="V78" s="1297"/>
      <c r="W78" s="1297"/>
      <c r="X78" s="1539"/>
      <c r="Y78" s="1297"/>
      <c r="Z78" s="1529"/>
      <c r="AA78" s="1297"/>
      <c r="AB78" s="251" t="str">
        <f>K78&amp;" год"</f>
        <v>2071 год</v>
      </c>
      <c r="AC78" s="6792"/>
      <c r="AD78" s="6798"/>
      <c r="AE78" s="6799"/>
      <c r="AF78" s="6799"/>
      <c r="AG78" s="6798"/>
      <c r="AH78" s="6798"/>
      <c r="AI78" s="6798"/>
      <c r="AJ78" s="6798"/>
      <c r="AK78" s="6800"/>
      <c r="AL78" s="404"/>
      <c r="AM78" s="1297"/>
      <c r="AN78" s="1297"/>
      <c r="AO78" s="1072" cm="1" t="str">
        <f t="array" ref="AO78:AO78">K78</f>
        <v>2071</v>
      </c>
      <c r="AP78" s="1297"/>
      <c r="AQ78" s="1297"/>
    </row>
    <row s="1297" customFormat="1" customHeight="1" ht="14.625" hidden="1">
      <c r="A79" s="1297"/>
      <c r="B79" s="447">
        <f>K79&lt;first_year+PERIOD_LENGTH</f>
        <v>0</v>
      </c>
      <c r="C79" s="1297"/>
      <c r="D79" s="1297"/>
      <c r="E79" s="709">
        <v>15</v>
      </c>
      <c r="F79" s="50" cm="1" t="str">
        <f t="array" ref="F79:F79">OFFSET(E79,-1,1)</f>
        <v>0</v>
      </c>
      <c r="G79" s="1297"/>
      <c r="H79" s="1297"/>
      <c r="I79" s="1297"/>
      <c r="J79" s="1297"/>
      <c r="K79" s="154">
        <f>first_year+48</f>
        <v>2072</v>
      </c>
      <c r="L79" s="1297"/>
      <c r="M79" s="1297"/>
      <c r="N79" s="1297"/>
      <c r="O79" s="1297"/>
      <c r="P79" s="1297"/>
      <c r="Q79" s="1297"/>
      <c r="R79" s="1297"/>
      <c r="S79" s="1297"/>
      <c r="T79" s="468" cm="1" t="str">
        <f t="array" ref="T79:T79">T78</f>
        <v>false</v>
      </c>
      <c r="U79" s="1297"/>
      <c r="V79" s="1297"/>
      <c r="W79" s="1297"/>
      <c r="X79" s="1539"/>
      <c r="Y79" s="1297"/>
      <c r="Z79" s="1529"/>
      <c r="AA79" s="1297"/>
      <c r="AB79" s="251" t="str">
        <f>K79&amp;" год"</f>
        <v>2072 год</v>
      </c>
      <c r="AC79" s="6792"/>
      <c r="AD79" s="6798"/>
      <c r="AE79" s="6799"/>
      <c r="AF79" s="6799"/>
      <c r="AG79" s="6798"/>
      <c r="AH79" s="6798"/>
      <c r="AI79" s="6798"/>
      <c r="AJ79" s="6798"/>
      <c r="AK79" s="6800"/>
      <c r="AL79" s="404"/>
      <c r="AM79" s="1297"/>
      <c r="AN79" s="1297"/>
      <c r="AO79" s="1072" cm="1" t="str">
        <f t="array" ref="AO79:AO79">K79</f>
        <v>2072</v>
      </c>
      <c r="AP79" s="1297"/>
      <c r="AQ79" s="1297"/>
    </row>
    <row s="1297" customFormat="1" customHeight="1" ht="14.625" hidden="1">
      <c r="A80" s="1297"/>
      <c r="B80" s="447">
        <f>K80&lt;first_year+PERIOD_LENGTH</f>
        <v>0</v>
      </c>
      <c r="C80" s="1297"/>
      <c r="D80" s="1297"/>
      <c r="E80" s="709">
        <v>15</v>
      </c>
      <c r="F80" s="50" cm="1" t="str">
        <f t="array" ref="F80:F80">OFFSET(E80,-1,1)</f>
        <v>0</v>
      </c>
      <c r="G80" s="1297"/>
      <c r="H80" s="1297"/>
      <c r="I80" s="1297"/>
      <c r="J80" s="1297"/>
      <c r="K80" s="154">
        <f>first_year+49</f>
        <v>2073</v>
      </c>
      <c r="L80" s="1297"/>
      <c r="M80" s="1297"/>
      <c r="N80" s="1297"/>
      <c r="O80" s="1297"/>
      <c r="P80" s="1297"/>
      <c r="Q80" s="1297"/>
      <c r="R80" s="1297"/>
      <c r="S80" s="1297"/>
      <c r="T80" s="468" cm="1" t="str">
        <f t="array" ref="T80:T80">T79</f>
        <v>false</v>
      </c>
      <c r="U80" s="1297"/>
      <c r="V80" s="1297"/>
      <c r="W80" s="1297"/>
      <c r="X80" s="1539"/>
      <c r="Y80" s="1297"/>
      <c r="Z80" s="1529"/>
      <c r="AA80" s="1297"/>
      <c r="AB80" s="251" t="str">
        <f>K80&amp;" год"</f>
        <v>2073 год</v>
      </c>
      <c r="AC80" s="6792"/>
      <c r="AD80" s="6798"/>
      <c r="AE80" s="6799"/>
      <c r="AF80" s="6799"/>
      <c r="AG80" s="6798"/>
      <c r="AH80" s="6798"/>
      <c r="AI80" s="6798"/>
      <c r="AJ80" s="6798"/>
      <c r="AK80" s="6800"/>
      <c r="AL80" s="404"/>
      <c r="AM80" s="1297"/>
      <c r="AN80" s="1297"/>
      <c r="AO80" s="1072" cm="1" t="str">
        <f t="array" ref="AO80:AO80">K80</f>
        <v>2073</v>
      </c>
      <c r="AP80" s="1297"/>
      <c r="AQ80" s="1297"/>
    </row>
    <row s="541" customFormat="1" customHeight="1" ht="25.921875">
      <c r="A81" s="1331"/>
      <c r="B81" s="430"/>
      <c r="C81" s="1331"/>
      <c r="D81" s="1331"/>
      <c r="E81" s="623">
        <v>15</v>
      </c>
      <c r="F81" s="94" cm="1" t="str">
        <f t="array" ref="F81:F81">X81</f>
        <v>1</v>
      </c>
      <c r="G81" s="1331"/>
      <c r="H81" s="1331"/>
      <c r="I81" s="1331"/>
      <c r="J81" s="1331"/>
      <c r="K81" s="1331"/>
      <c r="L81" s="1331"/>
      <c r="M81" s="1331"/>
      <c r="N81" s="1331"/>
      <c r="O81" s="1331"/>
      <c r="P81" s="1331"/>
      <c r="Q81" s="1331"/>
      <c r="R81" s="1331"/>
      <c r="S81" s="1331"/>
      <c r="T81" s="468">
        <f>X81&gt;0</f>
        <v>1</v>
      </c>
      <c r="U81" s="1331"/>
      <c r="V81" s="118" cm="1" t="str">
        <f t="array" ref="V81:V81">'Калькуляция (МИ корр)'!$AB$171</f>
        <v>Тариф 1 (Водоснабжение) - тариф на питьевую воду (Оказание услуг на территории: город Ленинск-Кузнецкий (ОКТМО: 32719000) - г Ленинск-Кузнецкий, г Полысаево)</v>
      </c>
      <c r="W81" s="1331"/>
      <c r="X81" s="1539" t="s">
        <v>290</v>
      </c>
      <c r="Y81" s="1331"/>
      <c r="Z81" s="1529"/>
      <c r="AA81" s="1331"/>
      <c r="AB81" s="377" cm="1" t="str">
        <f t="array" ref="AB81:AB81">'Калькуляция (МИ корр)'!$AB$171</f>
        <v>Тариф 1 (Водоснабжение) - тариф на питьевую воду (Оказание услуг на территории: город Ленинск-Кузнецкий (ОКТМО: 32719000) - г Ленинск-Кузнецкий, г Полысаево)</v>
      </c>
      <c r="AC81" s="839"/>
      <c r="AD81" s="839"/>
      <c r="AE81" s="839"/>
      <c r="AF81" s="839"/>
      <c r="AG81" s="839"/>
      <c r="AH81" s="839"/>
      <c r="AI81" s="839"/>
      <c r="AJ81" s="839"/>
      <c r="AK81" s="839"/>
      <c r="AL81" s="403"/>
      <c r="AM81" s="1331"/>
      <c r="AN81" s="1331"/>
      <c r="AO81" s="1005"/>
      <c r="AP81" s="1331"/>
      <c r="AQ81" s="1331"/>
    </row>
    <row s="6801" customFormat="1" customHeight="1" ht="19.921875">
      <c r="A82" s="1297"/>
      <c r="B82" s="447">
        <f>K82&lt;first_year+PERIOD_LENGTH</f>
        <v>1</v>
      </c>
      <c r="C82" s="1297"/>
      <c r="D82" s="1297"/>
      <c r="E82" s="709">
        <v>15</v>
      </c>
      <c r="F82" s="50" cm="1" t="str">
        <f t="array" ref="F82:F82">OFFSET(E82,-1,1)</f>
        <v>1</v>
      </c>
      <c r="G82" s="1297"/>
      <c r="H82" s="1297"/>
      <c r="I82" s="1297"/>
      <c r="J82" s="1297"/>
      <c r="K82" s="154" cm="1" t="str">
        <f t="array" ref="K82:K82">first_year</f>
        <v>2024</v>
      </c>
      <c r="L82" s="1297"/>
      <c r="M82" s="1297"/>
      <c r="N82" s="1297"/>
      <c r="O82" s="1297"/>
      <c r="P82" s="1297"/>
      <c r="Q82" s="1297"/>
      <c r="R82" s="1297"/>
      <c r="S82" s="1297"/>
      <c r="T82" s="468" cm="1" t="str">
        <f t="array" ref="T82:T82">T81</f>
        <v>true</v>
      </c>
      <c r="U82" s="1297"/>
      <c r="V82" s="1297"/>
      <c r="W82" s="1297"/>
      <c r="X82" s="1539"/>
      <c r="Y82" s="1297"/>
      <c r="Z82" s="1529"/>
      <c r="AA82" s="1297"/>
      <c r="AB82" s="840" t="str">
        <f>K82&amp;" год"</f>
        <v>2024 год</v>
      </c>
      <c r="AC82" s="928">
        <v>3427.54</v>
      </c>
      <c r="AD82" s="842"/>
      <c r="AE82" s="841">
        <v>0</v>
      </c>
      <c r="AF82" s="841">
        <v>0</v>
      </c>
      <c r="AG82" s="1283" cm="1" t="str">
        <f t="array" ref="AG82:AG82">ЭЭ!AE54</f>
        <v>1.32438047743621</v>
      </c>
      <c r="AH82" s="6791">
        <f>_xlfn.IFERROR(_xlfn.SUMIFS(INDEX(Electricity_LOAD_1,,MATCH($K82&amp;"Принято органом регулирования",ЭЭ!$AE$8:$BB$8,0)),ЭЭ!$F$25:$F$175,$F82,ЭЭ!$AC$25:$AC$175,"Удельный расход электроэнергии"),0)</f>
        <v>1.32438047743621</v>
      </c>
      <c r="AI82" s="6791">
        <f>_xlfn.IFERROR(_xlfn.SUMIFS(INDEX(Electricity_LOAD_1,,MATCH($K82&amp;"Принято органом регулирования",ЭЭ!$AE$8:$BB$8,0)),ЭЭ!$F$25:$F$175,$F82,ЭЭ!$AC$25:$AC$175,"Удельный расход электроэнергии"),0)</f>
        <v>1.32438047743621</v>
      </c>
      <c r="AJ82" s="6806"/>
      <c r="AK82" s="6806"/>
      <c r="AL82" s="404"/>
      <c r="AM82" s="154" t="s">
        <v>2770</v>
      </c>
      <c r="AN82" s="1297"/>
      <c r="AO82" s="1072" cm="1" t="str">
        <f t="array" ref="AO82:AO82">K82</f>
        <v>2024</v>
      </c>
      <c r="AP82" s="1297"/>
      <c r="AQ82" s="1297"/>
    </row>
    <row s="6807" customFormat="1" customHeight="1" ht="16.171875">
      <c r="A83" s="1297"/>
      <c r="B83" s="447">
        <f>K83&lt;first_year+PERIOD_LENGTH</f>
        <v>1</v>
      </c>
      <c r="C83" s="1297"/>
      <c r="D83" s="1297"/>
      <c r="E83" s="709">
        <v>15</v>
      </c>
      <c r="F83" s="50" cm="1" t="str">
        <f t="array" ref="F83:F83">OFFSET(E83,-1,1)</f>
        <v>1</v>
      </c>
      <c r="G83" s="1297"/>
      <c r="H83" s="1297"/>
      <c r="I83" s="1297"/>
      <c r="J83" s="1297"/>
      <c r="K83" s="154">
        <f>first_year+1</f>
        <v>2025</v>
      </c>
      <c r="L83" s="1297"/>
      <c r="M83" s="1297"/>
      <c r="N83" s="1297"/>
      <c r="O83" s="1297"/>
      <c r="P83" s="1297"/>
      <c r="Q83" s="1297"/>
      <c r="R83" s="1297"/>
      <c r="S83" s="1297"/>
      <c r="T83" s="468" cm="1" t="str">
        <f t="array" ref="T83:T83">T82</f>
        <v>true</v>
      </c>
      <c r="U83" s="1297"/>
      <c r="V83" s="1297"/>
      <c r="W83" s="1297"/>
      <c r="X83" s="1539"/>
      <c r="Y83" s="1297"/>
      <c r="Z83" s="1529"/>
      <c r="AA83" s="1297"/>
      <c r="AB83" s="840" t="str">
        <f>K83&amp;" год"</f>
        <v>2025 год</v>
      </c>
      <c r="AC83" s="841"/>
      <c r="AD83" s="842">
        <v>1</v>
      </c>
      <c r="AE83" s="841">
        <v>0</v>
      </c>
      <c r="AF83" s="841">
        <v>0</v>
      </c>
      <c r="AG83" s="1283" cm="1" t="str">
        <f t="array" ref="AG83:AG83">ЭЭ!AH54</f>
        <v>1.32712016047178</v>
      </c>
      <c r="AH83" s="6791">
        <f>_xlfn.IFERROR(_xlfn.SUMIFS(INDEX(Electricity_LOAD_1,,MATCH($K83&amp;"Принято органом регулирования",ЭЭ!$AE$8:$BB$8,0)),ЭЭ!$F$25:$F$175,$F83,ЭЭ!$AC$25:$AC$175,"Удельный расход электроэнергии"),0)</f>
        <v>1.32712016047178</v>
      </c>
      <c r="AI83" s="6791">
        <f>_xlfn.IFERROR(_xlfn.SUMIFS(INDEX(Electricity_LOAD_1,,MATCH($K83&amp;"Принято органом регулирования",ЭЭ!$AE$8:$BB$8,0)),ЭЭ!$F$25:$F$175,$F83,ЭЭ!$AC$25:$AC$175,"Удельный расход электроэнергии"),0)</f>
        <v>1.32712016047178</v>
      </c>
      <c r="AJ83" s="6806"/>
      <c r="AK83" s="6806"/>
      <c r="AL83" s="404"/>
      <c r="AM83" s="1297" t="s">
        <v>2770</v>
      </c>
      <c r="AN83" s="1297"/>
      <c r="AO83" s="1072" cm="1" t="str">
        <f t="array" ref="AO83:AO83">K83</f>
        <v>2025</v>
      </c>
      <c r="AP83" s="1297"/>
      <c r="AQ83" s="1297"/>
    </row>
    <row s="6808" customFormat="1" customHeight="1" ht="15.421875">
      <c r="A84" s="1297"/>
      <c r="B84" s="447">
        <f>K84&lt;first_year+PERIOD_LENGTH</f>
        <v>1</v>
      </c>
      <c r="C84" s="1297"/>
      <c r="D84" s="1297"/>
      <c r="E84" s="709">
        <v>15</v>
      </c>
      <c r="F84" s="50" cm="1" t="str">
        <f t="array" ref="F84:F84">OFFSET(E84,-1,1)</f>
        <v>1</v>
      </c>
      <c r="G84" s="1297"/>
      <c r="H84" s="1297"/>
      <c r="I84" s="1297"/>
      <c r="J84" s="1297"/>
      <c r="K84" s="154">
        <f>first_year+2</f>
        <v>2026</v>
      </c>
      <c r="L84" s="1297"/>
      <c r="M84" s="1297"/>
      <c r="N84" s="1297"/>
      <c r="O84" s="1297"/>
      <c r="P84" s="1297"/>
      <c r="Q84" s="1297"/>
      <c r="R84" s="1297"/>
      <c r="S84" s="1297"/>
      <c r="T84" s="468" cm="1" t="str">
        <f t="array" ref="T84:T84">T83</f>
        <v>true</v>
      </c>
      <c r="U84" s="1297"/>
      <c r="V84" s="1297"/>
      <c r="W84" s="1297"/>
      <c r="X84" s="1539"/>
      <c r="Y84" s="1297"/>
      <c r="Z84" s="1529"/>
      <c r="AA84" s="1297"/>
      <c r="AB84" s="840" t="str">
        <f>K84&amp;" год"</f>
        <v>2026 год</v>
      </c>
      <c r="AC84" s="841"/>
      <c r="AD84" s="842">
        <v>1</v>
      </c>
      <c r="AE84" s="841">
        <v>0</v>
      </c>
      <c r="AF84" s="841">
        <v>0</v>
      </c>
      <c r="AG84" s="1283" cm="1" t="str">
        <f t="array" ref="AG84:AG84">ЭЭ!AS54</f>
        <v>1.34422249179371</v>
      </c>
      <c r="AH84" s="6791">
        <f>_xlfn.IFERROR(_xlfn.SUMIFS(INDEX(Electricity_LOAD_1,,MATCH($K84&amp;"Принято органом регулирования",ЭЭ!$AE$8:$BB$8,0)),ЭЭ!$F$25:$F$175,$F84,ЭЭ!$AC$25:$AC$175,"Удельный расход электроэнергии"),0)</f>
        <v>1.34422249179371</v>
      </c>
      <c r="AI84" s="6791">
        <f>_xlfn.IFERROR(_xlfn.SUMIFS(INDEX(Electricity_LOAD_1,,MATCH($K84&amp;"Принято органом регулирования",ЭЭ!$AE$8:$BB$8,0)),ЭЭ!$F$25:$F$175,$F84,ЭЭ!$AC$25:$AC$175,"Удельный расход электроэнергии"),0)</f>
        <v>1.34422249179371</v>
      </c>
      <c r="AJ84" s="6806"/>
      <c r="AK84" s="6806"/>
      <c r="AL84" s="404"/>
      <c r="AM84" s="1297" t="s">
        <v>2770</v>
      </c>
      <c r="AN84" s="1297"/>
      <c r="AO84" s="1072" cm="1" t="str">
        <f t="array" ref="AO84:AO84">K84</f>
        <v>2026</v>
      </c>
      <c r="AP84" s="1297"/>
      <c r="AQ84" s="1297"/>
    </row>
    <row s="6809" customFormat="1" customHeight="1" ht="16.921875">
      <c r="A85" s="1297"/>
      <c r="B85" s="447">
        <f>K85&lt;first_year+PERIOD_LENGTH</f>
        <v>1</v>
      </c>
      <c r="C85" s="1297"/>
      <c r="D85" s="1297"/>
      <c r="E85" s="709">
        <v>15</v>
      </c>
      <c r="F85" s="50" cm="1" t="str">
        <f t="array" ref="F85:F85">OFFSET(E85,-1,1)</f>
        <v>1</v>
      </c>
      <c r="G85" s="1297"/>
      <c r="H85" s="1297"/>
      <c r="I85" s="1297"/>
      <c r="J85" s="1297"/>
      <c r="K85" s="154">
        <f>first_year+3</f>
        <v>2027</v>
      </c>
      <c r="L85" s="1297"/>
      <c r="M85" s="1297"/>
      <c r="N85" s="1297"/>
      <c r="O85" s="1297"/>
      <c r="P85" s="1297"/>
      <c r="Q85" s="1297"/>
      <c r="R85" s="1297"/>
      <c r="S85" s="1297"/>
      <c r="T85" s="468" cm="1" t="str">
        <f t="array" ref="T85:T85">T84</f>
        <v>true</v>
      </c>
      <c r="U85" s="1297"/>
      <c r="V85" s="1297"/>
      <c r="W85" s="1297"/>
      <c r="X85" s="1539"/>
      <c r="Y85" s="1297"/>
      <c r="Z85" s="1529"/>
      <c r="AA85" s="1297"/>
      <c r="AB85" s="840" t="str">
        <f>K85&amp;" год"</f>
        <v>2027 год</v>
      </c>
      <c r="AC85" s="841"/>
      <c r="AD85" s="842">
        <v>1</v>
      </c>
      <c r="AE85" s="841">
        <v>0</v>
      </c>
      <c r="AF85" s="841">
        <v>0</v>
      </c>
      <c r="AG85" s="1283" cm="1" t="str">
        <f t="array" ref="AG85:AG85">AG84</f>
        <v>1.34422249179371</v>
      </c>
      <c r="AH85" s="6791">
        <f>_xlfn.IFERROR(_xlfn.SUMIFS(INDEX(Electricity_LOAD_1,,MATCH($K85&amp;"Принято органом регулирования",ЭЭ!$AE$8:$BB$8,0)),ЭЭ!$F$25:$F$175,$F85,ЭЭ!$AC$25:$AC$175,"Удельный расход электроэнергии"),0)</f>
        <v>1.34422249179371</v>
      </c>
      <c r="AI85" s="6791">
        <f>_xlfn.IFERROR(_xlfn.SUMIFS(INDEX(Electricity_LOAD_1,,MATCH($K85&amp;"Принято органом регулирования",ЭЭ!$AE$8:$BB$8,0)),ЭЭ!$F$25:$F$175,$F85,ЭЭ!$AC$25:$AC$175,"Удельный расход электроэнергии"),0)</f>
        <v>1.34422249179371</v>
      </c>
      <c r="AJ85" s="6806"/>
      <c r="AK85" s="6806"/>
      <c r="AL85" s="404"/>
      <c r="AM85" s="1297" t="s">
        <v>2770</v>
      </c>
      <c r="AN85" s="1297"/>
      <c r="AO85" s="1072" cm="1" t="str">
        <f t="array" ref="AO85:AO85">K85</f>
        <v>2027</v>
      </c>
      <c r="AP85" s="1297"/>
      <c r="AQ85" s="1297"/>
    </row>
    <row s="6810" customFormat="1" customHeight="1" ht="19.921875">
      <c r="A86" s="1297"/>
      <c r="B86" s="447">
        <f>K86&lt;first_year+PERIOD_LENGTH</f>
        <v>1</v>
      </c>
      <c r="C86" s="1297"/>
      <c r="D86" s="1297"/>
      <c r="E86" s="709">
        <v>15</v>
      </c>
      <c r="F86" s="50" cm="1" t="str">
        <f t="array" ref="F86:F86">OFFSET(E86,-1,1)</f>
        <v>1</v>
      </c>
      <c r="G86" s="1297"/>
      <c r="H86" s="1297"/>
      <c r="I86" s="1297"/>
      <c r="J86" s="1297"/>
      <c r="K86" s="154">
        <f>first_year+4</f>
        <v>2028</v>
      </c>
      <c r="L86" s="1297"/>
      <c r="M86" s="1297"/>
      <c r="N86" s="1297"/>
      <c r="O86" s="1297"/>
      <c r="P86" s="1297"/>
      <c r="Q86" s="1297"/>
      <c r="R86" s="1297"/>
      <c r="S86" s="1297"/>
      <c r="T86" s="468" cm="1" t="str">
        <f t="array" ref="T86:T86">T85</f>
        <v>true</v>
      </c>
      <c r="U86" s="1297"/>
      <c r="V86" s="1297"/>
      <c r="W86" s="1297"/>
      <c r="X86" s="1539"/>
      <c r="Y86" s="1297"/>
      <c r="Z86" s="1529"/>
      <c r="AA86" s="1297"/>
      <c r="AB86" s="840" t="str">
        <f>K86&amp;" год"</f>
        <v>2028 год</v>
      </c>
      <c r="AC86" s="841"/>
      <c r="AD86" s="842">
        <v>1</v>
      </c>
      <c r="AE86" s="841">
        <v>0</v>
      </c>
      <c r="AF86" s="841">
        <v>0</v>
      </c>
      <c r="AG86" s="1283" cm="1" t="str">
        <f t="array" ref="AG86:AG86">AG84</f>
        <v>1.34422249179371</v>
      </c>
      <c r="AH86" s="6791">
        <f>_xlfn.IFERROR(_xlfn.SUMIFS(INDEX(Electricity_LOAD_1,,MATCH($K86&amp;"Принято органом регулирования",ЭЭ!$AE$8:$BB$8,0)),ЭЭ!$F$25:$F$175,$F86,ЭЭ!$AC$25:$AC$175,"Удельный расход электроэнергии"),0)</f>
        <v>1.34422249179371</v>
      </c>
      <c r="AI86" s="6791">
        <f>_xlfn.IFERROR(_xlfn.SUMIFS(INDEX(Electricity_LOAD_1,,MATCH($K86&amp;"Принято органом регулирования",ЭЭ!$AE$8:$BB$8,0)),ЭЭ!$F$25:$F$175,$F86,ЭЭ!$AC$25:$AC$175,"Удельный расход электроэнергии"),0)</f>
        <v>1.34422249179371</v>
      </c>
      <c r="AJ86" s="6806"/>
      <c r="AK86" s="6806"/>
      <c r="AL86" s="404"/>
      <c r="AM86" s="1297" t="s">
        <v>2770</v>
      </c>
      <c r="AN86" s="1297"/>
      <c r="AO86" s="1072" cm="1" t="str">
        <f t="array" ref="AO86:AO86">K86</f>
        <v>2028</v>
      </c>
      <c r="AP86" s="1297"/>
      <c r="AQ86" s="1297"/>
    </row>
    <row s="6811" customFormat="1" customHeight="1" ht="14.25" hidden="1">
      <c r="A87" s="1297"/>
      <c r="B87" s="447">
        <f>K87&lt;first_year+PERIOD_LENGTH</f>
        <v>0</v>
      </c>
      <c r="C87" s="1297"/>
      <c r="D87" s="1297"/>
      <c r="E87" s="709">
        <v>15</v>
      </c>
      <c r="F87" s="50" cm="1" t="str">
        <f t="array" ref="F87:F87">OFFSET(E87,-1,1)</f>
        <v>1</v>
      </c>
      <c r="G87" s="1297"/>
      <c r="H87" s="1297"/>
      <c r="I87" s="1297"/>
      <c r="J87" s="1297"/>
      <c r="K87" s="154">
        <f>first_year+5</f>
        <v>2029</v>
      </c>
      <c r="L87" s="1297"/>
      <c r="M87" s="1297"/>
      <c r="N87" s="1297"/>
      <c r="O87" s="1297"/>
      <c r="P87" s="1297"/>
      <c r="Q87" s="1297"/>
      <c r="R87" s="1297"/>
      <c r="S87" s="1297"/>
      <c r="T87" s="468" cm="1" t="str">
        <f t="array" ref="T87:T87">T86</f>
        <v>true</v>
      </c>
      <c r="U87" s="1297"/>
      <c r="V87" s="1297"/>
      <c r="W87" s="1297"/>
      <c r="X87" s="1539"/>
      <c r="Y87" s="1297"/>
      <c r="Z87" s="1529"/>
      <c r="AA87" s="1297"/>
      <c r="AB87" s="840" t="str">
        <f>K87&amp;" год"</f>
        <v>2029 год</v>
      </c>
      <c r="AC87" s="6792"/>
      <c r="AD87" s="6791">
        <f>_xlfn.IFERROR(_xlfn.SUMIFS(INDEX(Сценарии!$AE$25:$BF$136,,MATCH($K87&amp;"Принято органом регулирования",Сценарии!$AE$8:$BF$8,0)),Сценарии!$F$25:$F$136,$F87,Сценарии!$AC$25:$AC$136,"Индекс эффективности операционных расходов"),0)</f>
        <v>0</v>
      </c>
      <c r="AE87" s="6792"/>
      <c r="AF87" s="6792">
        <f>_xlfn.IFERROR(_xlfn.SUMIFS(INDEX(Баланс!$AE$25:$BB$391,,MATCH($K87&amp;"Принято органом регулирования",Баланс!$AE$8:$BB$8,0)),Баланс!$F$25:$F$391,$F87,Баланс!$AC$24:$AC$391,"Уровень потерь воды"),0)</f>
        <v>0</v>
      </c>
      <c r="AG87" s="6793">
        <f>_xlfn.IFERROR(_xlfn.SUMIFS(INDEX(Electricity_LOAD_1,,MATCH($K87&amp;"Принято органом регулирования",ЭЭ!$AE$8:$BB$8,0)),ЭЭ!$F$25:$F$175,$F87,ЭЭ!$AC$25:$AC$175,"Удельный расход электроэнергии"),0)</f>
        <v>0</v>
      </c>
      <c r="AH87" s="6791">
        <f>_xlfn.IFERROR(_xlfn.SUMIFS(INDEX(Electricity_LOAD_1,,MATCH($K87&amp;"Принято органом регулирования",ЭЭ!$AE$8:$BB$8,0)),ЭЭ!$F$25:$F$175,$F87,ЭЭ!$AC$25:$AC$175,"Удельный расход электроэнергии"),0)</f>
        <v>0</v>
      </c>
      <c r="AI87" s="6791">
        <f>_xlfn.IFERROR(_xlfn.SUMIFS(INDEX(Electricity_LOAD_1,,MATCH($K87&amp;"Принято органом регулирования",ЭЭ!$AE$8:$BB$8,0)),ЭЭ!$F$25:$F$175,$F87,ЭЭ!$AC$25:$AC$175,"Удельный расход электроэнергии"),0)</f>
        <v>0</v>
      </c>
      <c r="AJ87" s="6806"/>
      <c r="AK87" s="6806"/>
      <c r="AL87" s="404"/>
      <c r="AM87" s="1297" t="s">
        <v>2770</v>
      </c>
      <c r="AN87" s="1297"/>
      <c r="AO87" s="1072" cm="1" t="str">
        <f t="array" ref="AO87:AO87">K87</f>
        <v>2029</v>
      </c>
      <c r="AP87" s="1297"/>
      <c r="AQ87" s="1297"/>
    </row>
    <row s="6812" customFormat="1" customHeight="1" ht="14.25" hidden="1">
      <c r="A88" s="1297"/>
      <c r="B88" s="447">
        <f>K88&lt;first_year+PERIOD_LENGTH</f>
        <v>0</v>
      </c>
      <c r="C88" s="1297"/>
      <c r="D88" s="1297"/>
      <c r="E88" s="709">
        <v>15</v>
      </c>
      <c r="F88" s="50" cm="1" t="str">
        <f t="array" ref="F88:F88">OFFSET(E88,-1,1)</f>
        <v>1</v>
      </c>
      <c r="G88" s="1297"/>
      <c r="H88" s="1297"/>
      <c r="I88" s="1297"/>
      <c r="J88" s="1297"/>
      <c r="K88" s="154">
        <f>first_year+6</f>
        <v>2030</v>
      </c>
      <c r="L88" s="1297"/>
      <c r="M88" s="1297"/>
      <c r="N88" s="1297"/>
      <c r="O88" s="1297"/>
      <c r="P88" s="1297"/>
      <c r="Q88" s="1297"/>
      <c r="R88" s="1297"/>
      <c r="S88" s="1297"/>
      <c r="T88" s="468" cm="1" t="str">
        <f t="array" ref="T88:T88">T87</f>
        <v>true</v>
      </c>
      <c r="U88" s="1297"/>
      <c r="V88" s="1297"/>
      <c r="W88" s="1297"/>
      <c r="X88" s="1539"/>
      <c r="Y88" s="1297"/>
      <c r="Z88" s="1529"/>
      <c r="AA88" s="1297"/>
      <c r="AB88" s="840" t="str">
        <f>K88&amp;" год"</f>
        <v>2030 год</v>
      </c>
      <c r="AC88" s="6792"/>
      <c r="AD88" s="6791">
        <f>_xlfn.IFERROR(_xlfn.SUMIFS(INDEX(Сценарии!$AE$25:$BF$136,,MATCH($K88&amp;"Принято органом регулирования",Сценарии!$AE$8:$BF$8,0)),Сценарии!$F$25:$F$136,$F88,Сценарии!$AC$25:$AC$136,"Индекс эффективности операционных расходов"),0)</f>
        <v>0</v>
      </c>
      <c r="AE88" s="6792"/>
      <c r="AF88" s="6792">
        <f>_xlfn.IFERROR(_xlfn.SUMIFS(INDEX(Баланс!$AE$25:$BB$391,,MATCH($K88&amp;"Принято органом регулирования",Баланс!$AE$8:$BB$8,0)),Баланс!$F$25:$F$391,$F88,Баланс!$AC$24:$AC$391,"Уровень потерь воды"),0)</f>
        <v>0</v>
      </c>
      <c r="AG88" s="6793">
        <f>_xlfn.IFERROR(_xlfn.SUMIFS(INDEX(Electricity_LOAD_1,,MATCH($K88&amp;"Принято органом регулирования",ЭЭ!$AE$8:$BB$8,0)),ЭЭ!$F$25:$F$175,$F88,ЭЭ!$AC$25:$AC$175,"Удельный расход электроэнергии"),0)</f>
        <v>0</v>
      </c>
      <c r="AH88" s="6791">
        <f>_xlfn.IFERROR(_xlfn.SUMIFS(INDEX(Electricity_LOAD_1,,MATCH($K88&amp;"Принято органом регулирования",ЭЭ!$AE$8:$BB$8,0)),ЭЭ!$F$25:$F$175,$F88,ЭЭ!$AC$25:$AC$175,"Удельный расход электроэнергии"),0)</f>
        <v>0</v>
      </c>
      <c r="AI88" s="6791">
        <f>_xlfn.IFERROR(_xlfn.SUMIFS(INDEX(Electricity_LOAD_1,,MATCH($K88&amp;"Принято органом регулирования",ЭЭ!$AE$8:$BB$8,0)),ЭЭ!$F$25:$F$175,$F88,ЭЭ!$AC$25:$AC$175,"Удельный расход электроэнергии"),0)</f>
        <v>0</v>
      </c>
      <c r="AJ88" s="6806"/>
      <c r="AK88" s="6806"/>
      <c r="AL88" s="404"/>
      <c r="AM88" s="1297" t="s">
        <v>2770</v>
      </c>
      <c r="AN88" s="1297"/>
      <c r="AO88" s="1072" cm="1" t="str">
        <f t="array" ref="AO88:AO88">K88</f>
        <v>2030</v>
      </c>
      <c r="AP88" s="1297"/>
      <c r="AQ88" s="1297"/>
    </row>
    <row s="6813" customFormat="1" customHeight="1" ht="14.25" hidden="1">
      <c r="A89" s="1297"/>
      <c r="B89" s="447">
        <f>K89&lt;first_year+PERIOD_LENGTH</f>
        <v>0</v>
      </c>
      <c r="C89" s="1297"/>
      <c r="D89" s="1297"/>
      <c r="E89" s="709">
        <v>15</v>
      </c>
      <c r="F89" s="50" cm="1" t="str">
        <f t="array" ref="F89:F89">OFFSET(E89,-1,1)</f>
        <v>1</v>
      </c>
      <c r="G89" s="1297"/>
      <c r="H89" s="1297"/>
      <c r="I89" s="1297"/>
      <c r="J89" s="1297"/>
      <c r="K89" s="154">
        <f>first_year+7</f>
        <v>2031</v>
      </c>
      <c r="L89" s="1297"/>
      <c r="M89" s="1297"/>
      <c r="N89" s="1297"/>
      <c r="O89" s="1297"/>
      <c r="P89" s="1297"/>
      <c r="Q89" s="1297"/>
      <c r="R89" s="1297"/>
      <c r="S89" s="1297"/>
      <c r="T89" s="468" cm="1" t="str">
        <f t="array" ref="T89:T89">T88</f>
        <v>true</v>
      </c>
      <c r="U89" s="1297"/>
      <c r="V89" s="1297"/>
      <c r="W89" s="1297"/>
      <c r="X89" s="1539"/>
      <c r="Y89" s="1297"/>
      <c r="Z89" s="1529"/>
      <c r="AA89" s="1297"/>
      <c r="AB89" s="840" t="str">
        <f>K89&amp;" год"</f>
        <v>2031 год</v>
      </c>
      <c r="AC89" s="6792"/>
      <c r="AD89" s="6791">
        <f>_xlfn.IFERROR(_xlfn.SUMIFS(INDEX(Сценарии!$AE$25:$BF$136,,MATCH($K89&amp;"Принято органом регулирования",Сценарии!$AE$8:$BF$8,0)),Сценарии!$F$25:$F$136,$F89,Сценарии!$AC$25:$AC$136,"Индекс эффективности операционных расходов"),0)</f>
        <v>0</v>
      </c>
      <c r="AE89" s="6792"/>
      <c r="AF89" s="6792">
        <f>_xlfn.IFERROR(_xlfn.SUMIFS(INDEX(Баланс!$AE$25:$BB$391,,MATCH($K89&amp;"Принято органом регулирования",Баланс!$AE$8:$BB$8,0)),Баланс!$F$25:$F$391,$F89,Баланс!$AC$24:$AC$391,"Уровень потерь воды"),0)</f>
        <v>0</v>
      </c>
      <c r="AG89" s="6793">
        <f>_xlfn.IFERROR(_xlfn.SUMIFS(INDEX(Electricity_LOAD_1,,MATCH($K89&amp;"Принято органом регулирования",ЭЭ!$AE$8:$BB$8,0)),ЭЭ!$F$25:$F$175,$F89,ЭЭ!$AC$25:$AC$175,"Удельный расход электроэнергии"),0)</f>
        <v>0</v>
      </c>
      <c r="AH89" s="6791">
        <f>_xlfn.IFERROR(_xlfn.SUMIFS(INDEX(Electricity_LOAD_1,,MATCH($K89&amp;"Принято органом регулирования",ЭЭ!$AE$8:$BB$8,0)),ЭЭ!$F$25:$F$175,$F89,ЭЭ!$AC$25:$AC$175,"Удельный расход электроэнергии"),0)</f>
        <v>0</v>
      </c>
      <c r="AI89" s="6791">
        <f>_xlfn.IFERROR(_xlfn.SUMIFS(INDEX(Electricity_LOAD_1,,MATCH($K89&amp;"Принято органом регулирования",ЭЭ!$AE$8:$BB$8,0)),ЭЭ!$F$25:$F$175,$F89,ЭЭ!$AC$25:$AC$175,"Удельный расход электроэнергии"),0)</f>
        <v>0</v>
      </c>
      <c r="AJ89" s="6806"/>
      <c r="AK89" s="6806"/>
      <c r="AL89" s="404"/>
      <c r="AM89" s="1297" t="s">
        <v>2770</v>
      </c>
      <c r="AN89" s="1297"/>
      <c r="AO89" s="1072" cm="1" t="str">
        <f t="array" ref="AO89:AO89">K89</f>
        <v>2031</v>
      </c>
      <c r="AP89" s="1297"/>
      <c r="AQ89" s="1297"/>
    </row>
    <row s="6814" customFormat="1" customHeight="1" ht="14.25" hidden="1">
      <c r="A90" s="1297"/>
      <c r="B90" s="447">
        <f>K90&lt;first_year+PERIOD_LENGTH</f>
        <v>0</v>
      </c>
      <c r="C90" s="1297"/>
      <c r="D90" s="1297"/>
      <c r="E90" s="709">
        <v>15</v>
      </c>
      <c r="F90" s="50" cm="1" t="str">
        <f t="array" ref="F90:F90">OFFSET(E90,-1,1)</f>
        <v>1</v>
      </c>
      <c r="G90" s="1297"/>
      <c r="H90" s="1297"/>
      <c r="I90" s="1297"/>
      <c r="J90" s="1297"/>
      <c r="K90" s="154">
        <f>first_year+8</f>
        <v>2032</v>
      </c>
      <c r="L90" s="1297"/>
      <c r="M90" s="1297"/>
      <c r="N90" s="1297"/>
      <c r="O90" s="1297"/>
      <c r="P90" s="1297"/>
      <c r="Q90" s="1297"/>
      <c r="R90" s="1297"/>
      <c r="S90" s="1297"/>
      <c r="T90" s="468" cm="1" t="str">
        <f t="array" ref="T90:T90">T89</f>
        <v>true</v>
      </c>
      <c r="U90" s="1297"/>
      <c r="V90" s="1297"/>
      <c r="W90" s="1297"/>
      <c r="X90" s="1539"/>
      <c r="Y90" s="1297"/>
      <c r="Z90" s="1529"/>
      <c r="AA90" s="1297"/>
      <c r="AB90" s="840" t="str">
        <f>K90&amp;" год"</f>
        <v>2032 год</v>
      </c>
      <c r="AC90" s="6792"/>
      <c r="AD90" s="6791">
        <f>_xlfn.IFERROR(_xlfn.SUMIFS(INDEX(Сценарии!$AE$25:$BF$136,,MATCH($K90&amp;"Принято органом регулирования",Сценарии!$AE$8:$BF$8,0)),Сценарии!$F$25:$F$136,$F90,Сценарии!$AC$25:$AC$136,"Индекс эффективности операционных расходов"),0)</f>
        <v>0</v>
      </c>
      <c r="AE90" s="6792"/>
      <c r="AF90" s="6792">
        <f>_xlfn.IFERROR(_xlfn.SUMIFS(INDEX(Баланс!$AE$25:$BB$391,,MATCH($K90&amp;"Принято органом регулирования",Баланс!$AE$8:$BB$8,0)),Баланс!$F$25:$F$391,$F90,Баланс!$AC$24:$AC$391,"Уровень потерь воды"),0)</f>
        <v>0</v>
      </c>
      <c r="AG90" s="6793">
        <f>_xlfn.IFERROR(_xlfn.SUMIFS(INDEX(Electricity_LOAD_1,,MATCH($K90&amp;"Принято органом регулирования",ЭЭ!$AE$8:$BB$8,0)),ЭЭ!$F$25:$F$175,$F90,ЭЭ!$AC$25:$AC$175,"Удельный расход электроэнергии"),0)</f>
        <v>0</v>
      </c>
      <c r="AH90" s="6791">
        <f>_xlfn.IFERROR(_xlfn.SUMIFS(INDEX(Electricity_LOAD_1,,MATCH($K90&amp;"Принято органом регулирования",ЭЭ!$AE$8:$BB$8,0)),ЭЭ!$F$25:$F$175,$F90,ЭЭ!$AC$25:$AC$175,"Удельный расход электроэнергии"),0)</f>
        <v>0</v>
      </c>
      <c r="AI90" s="6791">
        <f>_xlfn.IFERROR(_xlfn.SUMIFS(INDEX(Electricity_LOAD_1,,MATCH($K90&amp;"Принято органом регулирования",ЭЭ!$AE$8:$BB$8,0)),ЭЭ!$F$25:$F$175,$F90,ЭЭ!$AC$25:$AC$175,"Удельный расход электроэнергии"),0)</f>
        <v>0</v>
      </c>
      <c r="AJ90" s="6806"/>
      <c r="AK90" s="6806"/>
      <c r="AL90" s="404"/>
      <c r="AM90" s="1297" t="s">
        <v>2770</v>
      </c>
      <c r="AN90" s="1297"/>
      <c r="AO90" s="1072" cm="1" t="str">
        <f t="array" ref="AO90:AO90">K90</f>
        <v>2032</v>
      </c>
      <c r="AP90" s="1297"/>
      <c r="AQ90" s="1297"/>
    </row>
    <row s="6815" customFormat="1" customHeight="1" ht="14.25" hidden="1">
      <c r="A91" s="1297"/>
      <c r="B91" s="447">
        <f>K91&lt;first_year+PERIOD_LENGTH</f>
        <v>0</v>
      </c>
      <c r="C91" s="1297"/>
      <c r="D91" s="1297"/>
      <c r="E91" s="709">
        <v>15</v>
      </c>
      <c r="F91" s="50" cm="1" t="str">
        <f t="array" ref="F91:F91">OFFSET(E91,-1,1)</f>
        <v>1</v>
      </c>
      <c r="G91" s="1297"/>
      <c r="H91" s="1297"/>
      <c r="I91" s="1297"/>
      <c r="J91" s="1297"/>
      <c r="K91" s="154">
        <f>first_year+9</f>
        <v>2033</v>
      </c>
      <c r="L91" s="1297"/>
      <c r="M91" s="1297"/>
      <c r="N91" s="1297"/>
      <c r="O91" s="1297"/>
      <c r="P91" s="1297"/>
      <c r="Q91" s="1297"/>
      <c r="R91" s="1297"/>
      <c r="S91" s="1297"/>
      <c r="T91" s="468" cm="1" t="str">
        <f t="array" ref="T91:T91">T90</f>
        <v>true</v>
      </c>
      <c r="U91" s="1297"/>
      <c r="V91" s="1297"/>
      <c r="W91" s="1297"/>
      <c r="X91" s="1539"/>
      <c r="Y91" s="1297"/>
      <c r="Z91" s="1529"/>
      <c r="AA91" s="1297"/>
      <c r="AB91" s="840" t="str">
        <f>K91&amp;" год"</f>
        <v>2033 год</v>
      </c>
      <c r="AC91" s="6792"/>
      <c r="AD91" s="6791">
        <f>_xlfn.IFERROR(_xlfn.SUMIFS(INDEX(Сценарии!$AE$25:$BF$136,,MATCH($K91&amp;"Принято органом регулирования",Сценарии!$AE$8:$BF$8,0)),Сценарии!$F$25:$F$136,$F91,Сценарии!$AC$25:$AC$136,"Индекс эффективности операционных расходов"),0)</f>
        <v>0</v>
      </c>
      <c r="AE91" s="6792"/>
      <c r="AF91" s="6792">
        <f>_xlfn.IFERROR(_xlfn.SUMIFS(INDEX(Баланс!$AE$25:$BB$391,,MATCH($K91&amp;"Принято органом регулирования",Баланс!$AE$8:$BB$8,0)),Баланс!$F$25:$F$391,$F91,Баланс!$AC$24:$AC$391,"Уровень потерь воды"),0)</f>
        <v>0</v>
      </c>
      <c r="AG91" s="6793">
        <f>_xlfn.IFERROR(_xlfn.SUMIFS(INDEX(Electricity_LOAD_1,,MATCH($K91&amp;"Принято органом регулирования",ЭЭ!$AE$8:$BB$8,0)),ЭЭ!$F$25:$F$175,$F91,ЭЭ!$AC$25:$AC$175,"Удельный расход электроэнергии"),0)</f>
        <v>0</v>
      </c>
      <c r="AH91" s="6791">
        <f>_xlfn.IFERROR(_xlfn.SUMIFS(INDEX(Electricity_LOAD_1,,MATCH($K91&amp;"Принято органом регулирования",ЭЭ!$AE$8:$BB$8,0)),ЭЭ!$F$25:$F$175,$F91,ЭЭ!$AC$25:$AC$175,"Удельный расход электроэнергии"),0)</f>
        <v>0</v>
      </c>
      <c r="AI91" s="6791">
        <f>_xlfn.IFERROR(_xlfn.SUMIFS(INDEX(Electricity_LOAD_1,,MATCH($K91&amp;"Принято органом регулирования",ЭЭ!$AE$8:$BB$8,0)),ЭЭ!$F$25:$F$175,$F91,ЭЭ!$AC$25:$AC$175,"Удельный расход электроэнергии"),0)</f>
        <v>0</v>
      </c>
      <c r="AJ91" s="6806"/>
      <c r="AK91" s="6806"/>
      <c r="AL91" s="404"/>
      <c r="AM91" s="1297" t="s">
        <v>2770</v>
      </c>
      <c r="AN91" s="1297"/>
      <c r="AO91" s="1072" cm="1" t="str">
        <f t="array" ref="AO91:AO91">K91</f>
        <v>2033</v>
      </c>
      <c r="AP91" s="1297"/>
      <c r="AQ91" s="1297"/>
    </row>
    <row s="6816" customFormat="1" customHeight="1" ht="14.25" hidden="1">
      <c r="A92" s="1297"/>
      <c r="B92" s="447">
        <f>K92&lt;first_year+PERIOD_LENGTH</f>
        <v>0</v>
      </c>
      <c r="C92" s="1297"/>
      <c r="D92" s="1297"/>
      <c r="E92" s="709">
        <v>15</v>
      </c>
      <c r="F92" s="50" cm="1" t="str">
        <f t="array" ref="F92:F92">OFFSET(E92,-1,1)</f>
        <v>1</v>
      </c>
      <c r="G92" s="1297"/>
      <c r="H92" s="1297"/>
      <c r="I92" s="1297"/>
      <c r="J92" s="1297"/>
      <c r="K92" s="154">
        <f>first_year+10</f>
        <v>2034</v>
      </c>
      <c r="L92" s="1297"/>
      <c r="M92" s="1297"/>
      <c r="N92" s="1297"/>
      <c r="O92" s="1297"/>
      <c r="P92" s="1297"/>
      <c r="Q92" s="1297"/>
      <c r="R92" s="1297"/>
      <c r="S92" s="1297"/>
      <c r="T92" s="468" cm="1" t="str">
        <f t="array" ref="T92:T92">T91</f>
        <v>true</v>
      </c>
      <c r="U92" s="1297"/>
      <c r="V92" s="1297"/>
      <c r="W92" s="1297"/>
      <c r="X92" s="1539"/>
      <c r="Y92" s="1297"/>
      <c r="Z92" s="1529"/>
      <c r="AA92" s="1297"/>
      <c r="AB92" s="840" t="str">
        <f>K92&amp;" год"</f>
        <v>2034 год</v>
      </c>
      <c r="AC92" s="6792"/>
      <c r="AD92" s="6791"/>
      <c r="AE92" s="6792"/>
      <c r="AF92" s="6792"/>
      <c r="AG92" s="6791"/>
      <c r="AH92" s="6791"/>
      <c r="AI92" s="6791"/>
      <c r="AJ92" s="6806"/>
      <c r="AK92" s="6817"/>
      <c r="AL92" s="404"/>
      <c r="AM92" s="1297"/>
      <c r="AN92" s="1297"/>
      <c r="AO92" s="1072" cm="1" t="str">
        <f t="array" ref="AO92:AO92">K92</f>
        <v>2034</v>
      </c>
      <c r="AP92" s="1297"/>
      <c r="AQ92" s="1297"/>
    </row>
    <row s="6818" customFormat="1" customHeight="1" ht="14.25" hidden="1">
      <c r="A93" s="1297"/>
      <c r="B93" s="447">
        <f>K93&lt;first_year+PERIOD_LENGTH</f>
        <v>0</v>
      </c>
      <c r="C93" s="1297"/>
      <c r="D93" s="1297"/>
      <c r="E93" s="709">
        <v>15</v>
      </c>
      <c r="F93" s="50" cm="1" t="str">
        <f t="array" ref="F93:F93">OFFSET(E93,-1,1)</f>
        <v>1</v>
      </c>
      <c r="G93" s="1297"/>
      <c r="H93" s="1297"/>
      <c r="I93" s="1297"/>
      <c r="J93" s="1297"/>
      <c r="K93" s="154">
        <f>first_year+11</f>
        <v>2035</v>
      </c>
      <c r="L93" s="1297"/>
      <c r="M93" s="1297"/>
      <c r="N93" s="1297"/>
      <c r="O93" s="1297"/>
      <c r="P93" s="1297"/>
      <c r="Q93" s="1297"/>
      <c r="R93" s="1297"/>
      <c r="S93" s="1297"/>
      <c r="T93" s="468" cm="1" t="str">
        <f t="array" ref="T93:T93">T92</f>
        <v>true</v>
      </c>
      <c r="U93" s="1297"/>
      <c r="V93" s="1297"/>
      <c r="W93" s="1297"/>
      <c r="X93" s="1539"/>
      <c r="Y93" s="1297"/>
      <c r="Z93" s="1529"/>
      <c r="AA93" s="1297"/>
      <c r="AB93" s="251" t="str">
        <f>K93&amp;" год"</f>
        <v>2035 год</v>
      </c>
      <c r="AC93" s="6792"/>
      <c r="AD93" s="6798"/>
      <c r="AE93" s="6799"/>
      <c r="AF93" s="6799"/>
      <c r="AG93" s="6798"/>
      <c r="AH93" s="6798"/>
      <c r="AI93" s="6798"/>
      <c r="AJ93" s="6819"/>
      <c r="AK93" s="6820"/>
      <c r="AL93" s="404"/>
      <c r="AM93" s="1297"/>
      <c r="AN93" s="1297"/>
      <c r="AO93" s="1072" cm="1" t="str">
        <f t="array" ref="AO93:AO93">K93</f>
        <v>2035</v>
      </c>
      <c r="AP93" s="1297"/>
      <c r="AQ93" s="1297"/>
    </row>
    <row s="6821" customFormat="1" customHeight="1" ht="14.25" hidden="1">
      <c r="A94" s="1297"/>
      <c r="B94" s="447">
        <f>K94&lt;first_year+PERIOD_LENGTH</f>
        <v>0</v>
      </c>
      <c r="C94" s="1297"/>
      <c r="D94" s="1297"/>
      <c r="E94" s="709">
        <v>15</v>
      </c>
      <c r="F94" s="50" cm="1" t="str">
        <f t="array" ref="F94:F94">OFFSET(E94,-1,1)</f>
        <v>1</v>
      </c>
      <c r="G94" s="1297"/>
      <c r="H94" s="1297"/>
      <c r="I94" s="1297"/>
      <c r="J94" s="1297"/>
      <c r="K94" s="154">
        <f>first_year+12</f>
        <v>2036</v>
      </c>
      <c r="L94" s="1297"/>
      <c r="M94" s="1297"/>
      <c r="N94" s="1297"/>
      <c r="O94" s="1297"/>
      <c r="P94" s="1297"/>
      <c r="Q94" s="1297"/>
      <c r="R94" s="1297"/>
      <c r="S94" s="1297"/>
      <c r="T94" s="468" cm="1" t="str">
        <f t="array" ref="T94:T94">T93</f>
        <v>true</v>
      </c>
      <c r="U94" s="1297"/>
      <c r="V94" s="1297"/>
      <c r="W94" s="1297"/>
      <c r="X94" s="1539"/>
      <c r="Y94" s="1297"/>
      <c r="Z94" s="1529"/>
      <c r="AA94" s="1297"/>
      <c r="AB94" s="251" t="str">
        <f>K94&amp;" год"</f>
        <v>2036 год</v>
      </c>
      <c r="AC94" s="6792"/>
      <c r="AD94" s="6798"/>
      <c r="AE94" s="6799"/>
      <c r="AF94" s="6799"/>
      <c r="AG94" s="6798"/>
      <c r="AH94" s="6798"/>
      <c r="AI94" s="6798"/>
      <c r="AJ94" s="6819"/>
      <c r="AK94" s="6820"/>
      <c r="AL94" s="404"/>
      <c r="AM94" s="1297"/>
      <c r="AN94" s="1297"/>
      <c r="AO94" s="1072" cm="1" t="str">
        <f t="array" ref="AO94:AO94">K94</f>
        <v>2036</v>
      </c>
      <c r="AP94" s="1297"/>
      <c r="AQ94" s="1297"/>
    </row>
    <row s="6822" customFormat="1" customHeight="1" ht="14.25" hidden="1">
      <c r="A95" s="1297"/>
      <c r="B95" s="447">
        <f>K95&lt;first_year+PERIOD_LENGTH</f>
        <v>0</v>
      </c>
      <c r="C95" s="1297"/>
      <c r="D95" s="1297"/>
      <c r="E95" s="709">
        <v>15</v>
      </c>
      <c r="F95" s="50" cm="1" t="str">
        <f t="array" ref="F95:F95">OFFSET(E95,-1,1)</f>
        <v>1</v>
      </c>
      <c r="G95" s="1297"/>
      <c r="H95" s="1297"/>
      <c r="I95" s="1297"/>
      <c r="J95" s="1297"/>
      <c r="K95" s="154">
        <f>first_year+13</f>
        <v>2037</v>
      </c>
      <c r="L95" s="1297"/>
      <c r="M95" s="1297"/>
      <c r="N95" s="1297"/>
      <c r="O95" s="1297"/>
      <c r="P95" s="1297"/>
      <c r="Q95" s="1297"/>
      <c r="R95" s="1297"/>
      <c r="S95" s="1297"/>
      <c r="T95" s="468" cm="1" t="str">
        <f t="array" ref="T95:T95">T94</f>
        <v>true</v>
      </c>
      <c r="U95" s="1297"/>
      <c r="V95" s="1297"/>
      <c r="W95" s="1297"/>
      <c r="X95" s="1539"/>
      <c r="Y95" s="1297"/>
      <c r="Z95" s="1529"/>
      <c r="AA95" s="1297"/>
      <c r="AB95" s="251" t="str">
        <f>K95&amp;" год"</f>
        <v>2037 год</v>
      </c>
      <c r="AC95" s="6792"/>
      <c r="AD95" s="6798"/>
      <c r="AE95" s="6799"/>
      <c r="AF95" s="6799"/>
      <c r="AG95" s="6798"/>
      <c r="AH95" s="6798"/>
      <c r="AI95" s="6798"/>
      <c r="AJ95" s="6819"/>
      <c r="AK95" s="6820"/>
      <c r="AL95" s="404"/>
      <c r="AM95" s="1297"/>
      <c r="AN95" s="1297"/>
      <c r="AO95" s="1072" cm="1" t="str">
        <f t="array" ref="AO95:AO95">K95</f>
        <v>2037</v>
      </c>
      <c r="AP95" s="1297"/>
      <c r="AQ95" s="1297"/>
    </row>
    <row s="6823" customFormat="1" customHeight="1" ht="14.25" hidden="1">
      <c r="A96" s="1297"/>
      <c r="B96" s="447">
        <f>K96&lt;first_year+PERIOD_LENGTH</f>
        <v>0</v>
      </c>
      <c r="C96" s="1297"/>
      <c r="D96" s="1297"/>
      <c r="E96" s="709">
        <v>15</v>
      </c>
      <c r="F96" s="50" cm="1" t="str">
        <f t="array" ref="F96:F96">OFFSET(E96,-1,1)</f>
        <v>1</v>
      </c>
      <c r="G96" s="1297"/>
      <c r="H96" s="1297"/>
      <c r="I96" s="1297"/>
      <c r="J96" s="1297"/>
      <c r="K96" s="154">
        <f>first_year+14</f>
        <v>2038</v>
      </c>
      <c r="L96" s="1297"/>
      <c r="M96" s="1297"/>
      <c r="N96" s="1297"/>
      <c r="O96" s="1297"/>
      <c r="P96" s="1297"/>
      <c r="Q96" s="1297"/>
      <c r="R96" s="1297"/>
      <c r="S96" s="1297"/>
      <c r="T96" s="468" cm="1" t="str">
        <f t="array" ref="T96:T96">T95</f>
        <v>true</v>
      </c>
      <c r="U96" s="1297"/>
      <c r="V96" s="1297"/>
      <c r="W96" s="1297"/>
      <c r="X96" s="1539"/>
      <c r="Y96" s="1297"/>
      <c r="Z96" s="1529"/>
      <c r="AA96" s="1297"/>
      <c r="AB96" s="251" t="str">
        <f>K96&amp;" год"</f>
        <v>2038 год</v>
      </c>
      <c r="AC96" s="6792"/>
      <c r="AD96" s="6798"/>
      <c r="AE96" s="6799"/>
      <c r="AF96" s="6799"/>
      <c r="AG96" s="6798"/>
      <c r="AH96" s="6798"/>
      <c r="AI96" s="6798"/>
      <c r="AJ96" s="6819"/>
      <c r="AK96" s="6820"/>
      <c r="AL96" s="404"/>
      <c r="AM96" s="1297"/>
      <c r="AN96" s="1297"/>
      <c r="AO96" s="1072" cm="1" t="str">
        <f t="array" ref="AO96:AO96">K96</f>
        <v>2038</v>
      </c>
      <c r="AP96" s="1297"/>
      <c r="AQ96" s="1297"/>
    </row>
    <row s="6824" customFormat="1" customHeight="1" ht="14.25" hidden="1">
      <c r="A97" s="1297"/>
      <c r="B97" s="447">
        <f>K97&lt;first_year+PERIOD_LENGTH</f>
        <v>0</v>
      </c>
      <c r="C97" s="1297"/>
      <c r="D97" s="1297"/>
      <c r="E97" s="709">
        <v>15</v>
      </c>
      <c r="F97" s="50" cm="1" t="str">
        <f t="array" ref="F97:F97">OFFSET(E97,-1,1)</f>
        <v>1</v>
      </c>
      <c r="G97" s="1297"/>
      <c r="H97" s="1297"/>
      <c r="I97" s="1297"/>
      <c r="J97" s="1297"/>
      <c r="K97" s="154">
        <f>first_year+15</f>
        <v>2039</v>
      </c>
      <c r="L97" s="1297"/>
      <c r="M97" s="1297"/>
      <c r="N97" s="1297"/>
      <c r="O97" s="1297"/>
      <c r="P97" s="1297"/>
      <c r="Q97" s="1297"/>
      <c r="R97" s="1297"/>
      <c r="S97" s="1297"/>
      <c r="T97" s="468" cm="1" t="str">
        <f t="array" ref="T97:T97">T96</f>
        <v>true</v>
      </c>
      <c r="U97" s="1297"/>
      <c r="V97" s="1297"/>
      <c r="W97" s="1297"/>
      <c r="X97" s="1539"/>
      <c r="Y97" s="1297"/>
      <c r="Z97" s="1529"/>
      <c r="AA97" s="1297"/>
      <c r="AB97" s="251" t="str">
        <f>K97&amp;" год"</f>
        <v>2039 год</v>
      </c>
      <c r="AC97" s="6792"/>
      <c r="AD97" s="6798"/>
      <c r="AE97" s="6799"/>
      <c r="AF97" s="6799"/>
      <c r="AG97" s="6798"/>
      <c r="AH97" s="6798"/>
      <c r="AI97" s="6798"/>
      <c r="AJ97" s="6819"/>
      <c r="AK97" s="6820"/>
      <c r="AL97" s="404"/>
      <c r="AM97" s="1297"/>
      <c r="AN97" s="1297"/>
      <c r="AO97" s="1072" cm="1" t="str">
        <f t="array" ref="AO97:AO97">K97</f>
        <v>2039</v>
      </c>
      <c r="AP97" s="1297"/>
      <c r="AQ97" s="1297"/>
    </row>
    <row s="6825" customFormat="1" customHeight="1" ht="14.25" hidden="1">
      <c r="A98" s="1297"/>
      <c r="B98" s="447">
        <f>K98&lt;first_year+PERIOD_LENGTH</f>
        <v>0</v>
      </c>
      <c r="C98" s="1297"/>
      <c r="D98" s="1297"/>
      <c r="E98" s="709">
        <v>15</v>
      </c>
      <c r="F98" s="50" cm="1" t="str">
        <f t="array" ref="F98:F98">OFFSET(E98,-1,1)</f>
        <v>1</v>
      </c>
      <c r="G98" s="1297"/>
      <c r="H98" s="1297"/>
      <c r="I98" s="1297"/>
      <c r="J98" s="1297"/>
      <c r="K98" s="154">
        <f>first_year+16</f>
        <v>2040</v>
      </c>
      <c r="L98" s="1297"/>
      <c r="M98" s="1297"/>
      <c r="N98" s="1297"/>
      <c r="O98" s="1297"/>
      <c r="P98" s="1297"/>
      <c r="Q98" s="1297"/>
      <c r="R98" s="1297"/>
      <c r="S98" s="1297"/>
      <c r="T98" s="468" cm="1" t="str">
        <f t="array" ref="T98:T98">T97</f>
        <v>true</v>
      </c>
      <c r="U98" s="1297"/>
      <c r="V98" s="1297"/>
      <c r="W98" s="1297"/>
      <c r="X98" s="1539"/>
      <c r="Y98" s="1297"/>
      <c r="Z98" s="1529"/>
      <c r="AA98" s="1297"/>
      <c r="AB98" s="251" t="str">
        <f>K98&amp;" год"</f>
        <v>2040 год</v>
      </c>
      <c r="AC98" s="6792"/>
      <c r="AD98" s="6798"/>
      <c r="AE98" s="6799"/>
      <c r="AF98" s="6799"/>
      <c r="AG98" s="6798"/>
      <c r="AH98" s="6798"/>
      <c r="AI98" s="6798"/>
      <c r="AJ98" s="6819"/>
      <c r="AK98" s="6820"/>
      <c r="AL98" s="404"/>
      <c r="AM98" s="1297"/>
      <c r="AN98" s="1297"/>
      <c r="AO98" s="1072" cm="1" t="str">
        <f t="array" ref="AO98:AO98">K98</f>
        <v>2040</v>
      </c>
      <c r="AP98" s="1297"/>
      <c r="AQ98" s="1297"/>
    </row>
    <row s="6826" customFormat="1" customHeight="1" ht="14.25" hidden="1">
      <c r="A99" s="1297"/>
      <c r="B99" s="447">
        <f>K99&lt;first_year+PERIOD_LENGTH</f>
        <v>0</v>
      </c>
      <c r="C99" s="1297"/>
      <c r="D99" s="1297"/>
      <c r="E99" s="709">
        <v>15</v>
      </c>
      <c r="F99" s="50" cm="1" t="str">
        <f t="array" ref="F99:F99">OFFSET(E99,-1,1)</f>
        <v>1</v>
      </c>
      <c r="G99" s="1297"/>
      <c r="H99" s="1297"/>
      <c r="I99" s="1297"/>
      <c r="J99" s="1297"/>
      <c r="K99" s="154">
        <f>first_year+17</f>
        <v>2041</v>
      </c>
      <c r="L99" s="1297"/>
      <c r="M99" s="1297"/>
      <c r="N99" s="1297"/>
      <c r="O99" s="1297"/>
      <c r="P99" s="1297"/>
      <c r="Q99" s="1297"/>
      <c r="R99" s="1297"/>
      <c r="S99" s="1297"/>
      <c r="T99" s="468" cm="1" t="str">
        <f t="array" ref="T99:T99">T98</f>
        <v>true</v>
      </c>
      <c r="U99" s="1297"/>
      <c r="V99" s="1297"/>
      <c r="W99" s="1297"/>
      <c r="X99" s="1539"/>
      <c r="Y99" s="1297"/>
      <c r="Z99" s="1529"/>
      <c r="AA99" s="1297"/>
      <c r="AB99" s="251" t="str">
        <f>K99&amp;" год"</f>
        <v>2041 год</v>
      </c>
      <c r="AC99" s="6792"/>
      <c r="AD99" s="6798"/>
      <c r="AE99" s="6799"/>
      <c r="AF99" s="6799"/>
      <c r="AG99" s="6798"/>
      <c r="AH99" s="6798"/>
      <c r="AI99" s="6798"/>
      <c r="AJ99" s="6819"/>
      <c r="AK99" s="6820"/>
      <c r="AL99" s="404"/>
      <c r="AM99" s="1297"/>
      <c r="AN99" s="1297"/>
      <c r="AO99" s="1072" cm="1" t="str">
        <f t="array" ref="AO99:AO99">K99</f>
        <v>2041</v>
      </c>
      <c r="AP99" s="1297"/>
      <c r="AQ99" s="1297"/>
    </row>
    <row s="6827" customFormat="1" customHeight="1" ht="14.25" hidden="1">
      <c r="A100" s="1297"/>
      <c r="B100" s="447">
        <f>K100&lt;first_year+PERIOD_LENGTH</f>
        <v>0</v>
      </c>
      <c r="C100" s="1297"/>
      <c r="D100" s="1297"/>
      <c r="E100" s="709">
        <v>15</v>
      </c>
      <c r="F100" s="50" cm="1" t="str">
        <f t="array" ref="F100:F100">OFFSET(E100,-1,1)</f>
        <v>1</v>
      </c>
      <c r="G100" s="1297"/>
      <c r="H100" s="1297"/>
      <c r="I100" s="1297"/>
      <c r="J100" s="1297"/>
      <c r="K100" s="154">
        <f>first_year+18</f>
        <v>2042</v>
      </c>
      <c r="L100" s="1297"/>
      <c r="M100" s="1297"/>
      <c r="N100" s="1297"/>
      <c r="O100" s="1297"/>
      <c r="P100" s="1297"/>
      <c r="Q100" s="1297"/>
      <c r="R100" s="1297"/>
      <c r="S100" s="1297"/>
      <c r="T100" s="468" cm="1" t="str">
        <f t="array" ref="T100:T100">T99</f>
        <v>true</v>
      </c>
      <c r="U100" s="1297"/>
      <c r="V100" s="1297"/>
      <c r="W100" s="1297"/>
      <c r="X100" s="1539"/>
      <c r="Y100" s="1297"/>
      <c r="Z100" s="1529"/>
      <c r="AA100" s="1297"/>
      <c r="AB100" s="251" t="str">
        <f>K100&amp;" год"</f>
        <v>2042 год</v>
      </c>
      <c r="AC100" s="6792"/>
      <c r="AD100" s="6798"/>
      <c r="AE100" s="6799"/>
      <c r="AF100" s="6799"/>
      <c r="AG100" s="6798"/>
      <c r="AH100" s="6798"/>
      <c r="AI100" s="6798"/>
      <c r="AJ100" s="6819"/>
      <c r="AK100" s="6820"/>
      <c r="AL100" s="404"/>
      <c r="AM100" s="1297"/>
      <c r="AN100" s="1297"/>
      <c r="AO100" s="1072" cm="1" t="str">
        <f t="array" ref="AO100:AO100">K100</f>
        <v>2042</v>
      </c>
      <c r="AP100" s="1297"/>
      <c r="AQ100" s="1297"/>
    </row>
    <row s="6828" customFormat="1" customHeight="1" ht="14.25" hidden="1">
      <c r="A101" s="1297"/>
      <c r="B101" s="447">
        <f>K101&lt;first_year+PERIOD_LENGTH</f>
        <v>0</v>
      </c>
      <c r="C101" s="1297"/>
      <c r="D101" s="1297"/>
      <c r="E101" s="709">
        <v>15</v>
      </c>
      <c r="F101" s="50" cm="1" t="str">
        <f t="array" ref="F101:F101">OFFSET(E101,-1,1)</f>
        <v>1</v>
      </c>
      <c r="G101" s="1297"/>
      <c r="H101" s="1297"/>
      <c r="I101" s="1297"/>
      <c r="J101" s="1297"/>
      <c r="K101" s="154">
        <f>first_year+19</f>
        <v>2043</v>
      </c>
      <c r="L101" s="1297"/>
      <c r="M101" s="1297"/>
      <c r="N101" s="1297"/>
      <c r="O101" s="1297"/>
      <c r="P101" s="1297"/>
      <c r="Q101" s="1297"/>
      <c r="R101" s="1297"/>
      <c r="S101" s="1297"/>
      <c r="T101" s="468" cm="1" t="str">
        <f t="array" ref="T101:T101">T100</f>
        <v>true</v>
      </c>
      <c r="U101" s="1297"/>
      <c r="V101" s="1297"/>
      <c r="W101" s="1297"/>
      <c r="X101" s="1539"/>
      <c r="Y101" s="1297"/>
      <c r="Z101" s="1529"/>
      <c r="AA101" s="1297"/>
      <c r="AB101" s="251" t="str">
        <f>K101&amp;" год"</f>
        <v>2043 год</v>
      </c>
      <c r="AC101" s="6792"/>
      <c r="AD101" s="6798"/>
      <c r="AE101" s="6799"/>
      <c r="AF101" s="6799"/>
      <c r="AG101" s="6798"/>
      <c r="AH101" s="6798"/>
      <c r="AI101" s="6798"/>
      <c r="AJ101" s="6819"/>
      <c r="AK101" s="6820"/>
      <c r="AL101" s="404"/>
      <c r="AM101" s="1297"/>
      <c r="AN101" s="1297"/>
      <c r="AO101" s="1072" cm="1" t="str">
        <f t="array" ref="AO101:AO101">K101</f>
        <v>2043</v>
      </c>
      <c r="AP101" s="1297"/>
      <c r="AQ101" s="1297"/>
    </row>
    <row s="6829" customFormat="1" customHeight="1" ht="14.25" hidden="1">
      <c r="A102" s="1297"/>
      <c r="B102" s="447">
        <f>K102&lt;first_year+PERIOD_LENGTH</f>
        <v>0</v>
      </c>
      <c r="C102" s="1297"/>
      <c r="D102" s="1297"/>
      <c r="E102" s="709">
        <v>15</v>
      </c>
      <c r="F102" s="50" cm="1" t="str">
        <f t="array" ref="F102:F102">OFFSET(E102,-1,1)</f>
        <v>1</v>
      </c>
      <c r="G102" s="1297"/>
      <c r="H102" s="1297"/>
      <c r="I102" s="1297"/>
      <c r="J102" s="1297"/>
      <c r="K102" s="154">
        <f>first_year+20</f>
        <v>2044</v>
      </c>
      <c r="L102" s="1297"/>
      <c r="M102" s="1297"/>
      <c r="N102" s="1297"/>
      <c r="O102" s="1297"/>
      <c r="P102" s="1297"/>
      <c r="Q102" s="1297"/>
      <c r="R102" s="1297"/>
      <c r="S102" s="1297"/>
      <c r="T102" s="468" cm="1" t="str">
        <f t="array" ref="T102:T102">T101</f>
        <v>true</v>
      </c>
      <c r="U102" s="1297"/>
      <c r="V102" s="1297"/>
      <c r="W102" s="1297"/>
      <c r="X102" s="1539"/>
      <c r="Y102" s="1297"/>
      <c r="Z102" s="1529"/>
      <c r="AA102" s="1297"/>
      <c r="AB102" s="251" t="str">
        <f>K102&amp;" год"</f>
        <v>2044 год</v>
      </c>
      <c r="AC102" s="6792"/>
      <c r="AD102" s="6798"/>
      <c r="AE102" s="6799"/>
      <c r="AF102" s="6799"/>
      <c r="AG102" s="6798"/>
      <c r="AH102" s="6798"/>
      <c r="AI102" s="6798"/>
      <c r="AJ102" s="6819"/>
      <c r="AK102" s="6820"/>
      <c r="AL102" s="404"/>
      <c r="AM102" s="1297"/>
      <c r="AN102" s="1297"/>
      <c r="AO102" s="1072" cm="1" t="str">
        <f t="array" ref="AO102:AO102">K102</f>
        <v>2044</v>
      </c>
      <c r="AP102" s="1297"/>
      <c r="AQ102" s="1297"/>
    </row>
    <row s="6830" customFormat="1" customHeight="1" ht="14.25" hidden="1">
      <c r="A103" s="1297"/>
      <c r="B103" s="447">
        <f>K103&lt;first_year+PERIOD_LENGTH</f>
        <v>0</v>
      </c>
      <c r="C103" s="1297"/>
      <c r="D103" s="1297"/>
      <c r="E103" s="709">
        <v>15</v>
      </c>
      <c r="F103" s="50" cm="1" t="str">
        <f t="array" ref="F103:F103">OFFSET(E103,-1,1)</f>
        <v>1</v>
      </c>
      <c r="G103" s="1297"/>
      <c r="H103" s="1297"/>
      <c r="I103" s="1297"/>
      <c r="J103" s="1297"/>
      <c r="K103" s="154">
        <f>first_year+21</f>
        <v>2045</v>
      </c>
      <c r="L103" s="1297"/>
      <c r="M103" s="1297"/>
      <c r="N103" s="1297"/>
      <c r="O103" s="1297"/>
      <c r="P103" s="1297"/>
      <c r="Q103" s="1297"/>
      <c r="R103" s="1297"/>
      <c r="S103" s="1297"/>
      <c r="T103" s="468" cm="1" t="str">
        <f t="array" ref="T103:T103">T102</f>
        <v>true</v>
      </c>
      <c r="U103" s="1297"/>
      <c r="V103" s="1297"/>
      <c r="W103" s="1297"/>
      <c r="X103" s="1539"/>
      <c r="Y103" s="1297"/>
      <c r="Z103" s="1529"/>
      <c r="AA103" s="1297"/>
      <c r="AB103" s="251" t="str">
        <f>K103&amp;" год"</f>
        <v>2045 год</v>
      </c>
      <c r="AC103" s="6792"/>
      <c r="AD103" s="6798"/>
      <c r="AE103" s="6799"/>
      <c r="AF103" s="6799"/>
      <c r="AG103" s="6798"/>
      <c r="AH103" s="6798"/>
      <c r="AI103" s="6798"/>
      <c r="AJ103" s="6819"/>
      <c r="AK103" s="6820"/>
      <c r="AL103" s="404"/>
      <c r="AM103" s="1297"/>
      <c r="AN103" s="1297"/>
      <c r="AO103" s="1072" cm="1" t="str">
        <f t="array" ref="AO103:AO103">K103</f>
        <v>2045</v>
      </c>
      <c r="AP103" s="1297"/>
      <c r="AQ103" s="1297"/>
    </row>
    <row s="6831" customFormat="1" customHeight="1" ht="14.25" hidden="1">
      <c r="A104" s="1297"/>
      <c r="B104" s="447">
        <f>K104&lt;first_year+PERIOD_LENGTH</f>
        <v>0</v>
      </c>
      <c r="C104" s="1297"/>
      <c r="D104" s="1297"/>
      <c r="E104" s="709">
        <v>15</v>
      </c>
      <c r="F104" s="50" cm="1" t="str">
        <f t="array" ref="F104:F104">OFFSET(E104,-1,1)</f>
        <v>1</v>
      </c>
      <c r="G104" s="1297"/>
      <c r="H104" s="1297"/>
      <c r="I104" s="1297"/>
      <c r="J104" s="1297"/>
      <c r="K104" s="154">
        <f>first_year+22</f>
        <v>2046</v>
      </c>
      <c r="L104" s="1297"/>
      <c r="M104" s="1297"/>
      <c r="N104" s="1297"/>
      <c r="O104" s="1297"/>
      <c r="P104" s="1297"/>
      <c r="Q104" s="1297"/>
      <c r="R104" s="1297"/>
      <c r="S104" s="1297"/>
      <c r="T104" s="468" cm="1" t="str">
        <f t="array" ref="T104:T104">T103</f>
        <v>true</v>
      </c>
      <c r="U104" s="1297"/>
      <c r="V104" s="1297"/>
      <c r="W104" s="1297"/>
      <c r="X104" s="1539"/>
      <c r="Y104" s="1297"/>
      <c r="Z104" s="1529"/>
      <c r="AA104" s="1297"/>
      <c r="AB104" s="251" t="str">
        <f>K104&amp;" год"</f>
        <v>2046 год</v>
      </c>
      <c r="AC104" s="6792"/>
      <c r="AD104" s="6798"/>
      <c r="AE104" s="6799"/>
      <c r="AF104" s="6799"/>
      <c r="AG104" s="6798"/>
      <c r="AH104" s="6798"/>
      <c r="AI104" s="6798"/>
      <c r="AJ104" s="6819"/>
      <c r="AK104" s="6820"/>
      <c r="AL104" s="404"/>
      <c r="AM104" s="1297"/>
      <c r="AN104" s="1297"/>
      <c r="AO104" s="1072" cm="1" t="str">
        <f t="array" ref="AO104:AO104">K104</f>
        <v>2046</v>
      </c>
      <c r="AP104" s="1297"/>
      <c r="AQ104" s="1297"/>
    </row>
    <row s="6832" customFormat="1" customHeight="1" ht="14.25" hidden="1">
      <c r="A105" s="1297"/>
      <c r="B105" s="447">
        <f>K105&lt;first_year+PERIOD_LENGTH</f>
        <v>0</v>
      </c>
      <c r="C105" s="1297"/>
      <c r="D105" s="1297"/>
      <c r="E105" s="709">
        <v>15</v>
      </c>
      <c r="F105" s="50" cm="1" t="str">
        <f t="array" ref="F105:F105">OFFSET(E105,-1,1)</f>
        <v>1</v>
      </c>
      <c r="G105" s="1297"/>
      <c r="H105" s="1297"/>
      <c r="I105" s="1297"/>
      <c r="J105" s="1297"/>
      <c r="K105" s="154">
        <f>first_year+23</f>
        <v>2047</v>
      </c>
      <c r="L105" s="1297"/>
      <c r="M105" s="1297"/>
      <c r="N105" s="1297"/>
      <c r="O105" s="1297"/>
      <c r="P105" s="1297"/>
      <c r="Q105" s="1297"/>
      <c r="R105" s="1297"/>
      <c r="S105" s="1297"/>
      <c r="T105" s="468" cm="1" t="str">
        <f t="array" ref="T105:T105">T104</f>
        <v>true</v>
      </c>
      <c r="U105" s="1297"/>
      <c r="V105" s="1297"/>
      <c r="W105" s="1297"/>
      <c r="X105" s="1539"/>
      <c r="Y105" s="1297"/>
      <c r="Z105" s="1529"/>
      <c r="AA105" s="1297"/>
      <c r="AB105" s="251" t="str">
        <f>K105&amp;" год"</f>
        <v>2047 год</v>
      </c>
      <c r="AC105" s="6792"/>
      <c r="AD105" s="6798"/>
      <c r="AE105" s="6799"/>
      <c r="AF105" s="6799"/>
      <c r="AG105" s="6798"/>
      <c r="AH105" s="6798"/>
      <c r="AI105" s="6798"/>
      <c r="AJ105" s="6819"/>
      <c r="AK105" s="6820"/>
      <c r="AL105" s="404"/>
      <c r="AM105" s="1297"/>
      <c r="AN105" s="1297"/>
      <c r="AO105" s="1072" cm="1" t="str">
        <f t="array" ref="AO105:AO105">K105</f>
        <v>2047</v>
      </c>
      <c r="AP105" s="1297"/>
      <c r="AQ105" s="1297"/>
    </row>
    <row s="6833" customFormat="1" customHeight="1" ht="14.25" hidden="1">
      <c r="A106" s="1297"/>
      <c r="B106" s="447">
        <f>K106&lt;first_year+PERIOD_LENGTH</f>
        <v>0</v>
      </c>
      <c r="C106" s="1297"/>
      <c r="D106" s="1297"/>
      <c r="E106" s="709">
        <v>15</v>
      </c>
      <c r="F106" s="50" cm="1" t="str">
        <f t="array" ref="F106:F106">OFFSET(E106,-1,1)</f>
        <v>1</v>
      </c>
      <c r="G106" s="1297"/>
      <c r="H106" s="1297"/>
      <c r="I106" s="1297"/>
      <c r="J106" s="1297"/>
      <c r="K106" s="154">
        <f>first_year+24</f>
        <v>2048</v>
      </c>
      <c r="L106" s="1297"/>
      <c r="M106" s="1297"/>
      <c r="N106" s="1297"/>
      <c r="O106" s="1297"/>
      <c r="P106" s="1297"/>
      <c r="Q106" s="1297"/>
      <c r="R106" s="1297"/>
      <c r="S106" s="1297"/>
      <c r="T106" s="468" cm="1" t="str">
        <f t="array" ref="T106:T106">T105</f>
        <v>true</v>
      </c>
      <c r="U106" s="1297"/>
      <c r="V106" s="1297"/>
      <c r="W106" s="1297"/>
      <c r="X106" s="1539"/>
      <c r="Y106" s="1297"/>
      <c r="Z106" s="1529"/>
      <c r="AA106" s="1297"/>
      <c r="AB106" s="251" t="str">
        <f>K106&amp;" год"</f>
        <v>2048 год</v>
      </c>
      <c r="AC106" s="6792"/>
      <c r="AD106" s="6798"/>
      <c r="AE106" s="6799"/>
      <c r="AF106" s="6799"/>
      <c r="AG106" s="6798"/>
      <c r="AH106" s="6798"/>
      <c r="AI106" s="6798"/>
      <c r="AJ106" s="6819"/>
      <c r="AK106" s="6820"/>
      <c r="AL106" s="404"/>
      <c r="AM106" s="1297"/>
      <c r="AN106" s="1297"/>
      <c r="AO106" s="1072" cm="1" t="str">
        <f t="array" ref="AO106:AO106">K106</f>
        <v>2048</v>
      </c>
      <c r="AP106" s="1297"/>
      <c r="AQ106" s="1297"/>
    </row>
    <row s="6834" customFormat="1" customHeight="1" ht="14.25" hidden="1">
      <c r="A107" s="1297"/>
      <c r="B107" s="447">
        <f>K107&lt;first_year+PERIOD_LENGTH</f>
        <v>0</v>
      </c>
      <c r="C107" s="1297"/>
      <c r="D107" s="1297"/>
      <c r="E107" s="709">
        <v>15</v>
      </c>
      <c r="F107" s="50" cm="1" t="str">
        <f t="array" ref="F107:F107">OFFSET(E107,-1,1)</f>
        <v>1</v>
      </c>
      <c r="G107" s="1297"/>
      <c r="H107" s="1297"/>
      <c r="I107" s="1297"/>
      <c r="J107" s="1297"/>
      <c r="K107" s="154">
        <f>first_year+25</f>
        <v>2049</v>
      </c>
      <c r="L107" s="1297"/>
      <c r="M107" s="1297"/>
      <c r="N107" s="1297"/>
      <c r="O107" s="1297"/>
      <c r="P107" s="1297"/>
      <c r="Q107" s="1297"/>
      <c r="R107" s="1297"/>
      <c r="S107" s="1297"/>
      <c r="T107" s="468" cm="1" t="str">
        <f t="array" ref="T107:T107">T106</f>
        <v>true</v>
      </c>
      <c r="U107" s="1297"/>
      <c r="V107" s="1297"/>
      <c r="W107" s="1297"/>
      <c r="X107" s="1539"/>
      <c r="Y107" s="1297"/>
      <c r="Z107" s="1529"/>
      <c r="AA107" s="1297"/>
      <c r="AB107" s="251" t="str">
        <f>K107&amp;" год"</f>
        <v>2049 год</v>
      </c>
      <c r="AC107" s="6792"/>
      <c r="AD107" s="6798"/>
      <c r="AE107" s="6799"/>
      <c r="AF107" s="6799"/>
      <c r="AG107" s="6798"/>
      <c r="AH107" s="6798"/>
      <c r="AI107" s="6798"/>
      <c r="AJ107" s="6819"/>
      <c r="AK107" s="6820"/>
      <c r="AL107" s="404"/>
      <c r="AM107" s="1297"/>
      <c r="AN107" s="1297"/>
      <c r="AO107" s="1072" cm="1" t="str">
        <f t="array" ref="AO107:AO107">K107</f>
        <v>2049</v>
      </c>
      <c r="AP107" s="1297"/>
      <c r="AQ107" s="1297"/>
    </row>
    <row s="6835" customFormat="1" customHeight="1" ht="14.25" hidden="1">
      <c r="A108" s="1297"/>
      <c r="B108" s="447">
        <f>K108&lt;first_year+PERIOD_LENGTH</f>
        <v>0</v>
      </c>
      <c r="C108" s="1297"/>
      <c r="D108" s="1297"/>
      <c r="E108" s="709">
        <v>15</v>
      </c>
      <c r="F108" s="50" cm="1" t="str">
        <f t="array" ref="F108:F108">OFFSET(E108,-1,1)</f>
        <v>1</v>
      </c>
      <c r="G108" s="1297"/>
      <c r="H108" s="1297"/>
      <c r="I108" s="1297"/>
      <c r="J108" s="1297"/>
      <c r="K108" s="154">
        <f>first_year+26</f>
        <v>2050</v>
      </c>
      <c r="L108" s="1297"/>
      <c r="M108" s="1297"/>
      <c r="N108" s="1297"/>
      <c r="O108" s="1297"/>
      <c r="P108" s="1297"/>
      <c r="Q108" s="1297"/>
      <c r="R108" s="1297"/>
      <c r="S108" s="1297"/>
      <c r="T108" s="468" cm="1" t="str">
        <f t="array" ref="T108:T108">T107</f>
        <v>true</v>
      </c>
      <c r="U108" s="1297"/>
      <c r="V108" s="1297"/>
      <c r="W108" s="1297"/>
      <c r="X108" s="1539"/>
      <c r="Y108" s="1297"/>
      <c r="Z108" s="1529"/>
      <c r="AA108" s="1297"/>
      <c r="AB108" s="251" t="str">
        <f>K108&amp;" год"</f>
        <v>2050 год</v>
      </c>
      <c r="AC108" s="6792"/>
      <c r="AD108" s="6798"/>
      <c r="AE108" s="6799"/>
      <c r="AF108" s="6799"/>
      <c r="AG108" s="6798"/>
      <c r="AH108" s="6798"/>
      <c r="AI108" s="6798"/>
      <c r="AJ108" s="6819"/>
      <c r="AK108" s="6820"/>
      <c r="AL108" s="404"/>
      <c r="AM108" s="1297"/>
      <c r="AN108" s="1297"/>
      <c r="AO108" s="1072" cm="1" t="str">
        <f t="array" ref="AO108:AO108">K108</f>
        <v>2050</v>
      </c>
      <c r="AP108" s="1297"/>
      <c r="AQ108" s="1297"/>
    </row>
    <row s="6836" customFormat="1" customHeight="1" ht="14.25" hidden="1">
      <c r="A109" s="1297"/>
      <c r="B109" s="447">
        <f>K109&lt;first_year+PERIOD_LENGTH</f>
        <v>0</v>
      </c>
      <c r="C109" s="1297"/>
      <c r="D109" s="1297"/>
      <c r="E109" s="709">
        <v>15</v>
      </c>
      <c r="F109" s="50" cm="1" t="str">
        <f t="array" ref="F109:F109">OFFSET(E109,-1,1)</f>
        <v>1</v>
      </c>
      <c r="G109" s="1297"/>
      <c r="H109" s="1297"/>
      <c r="I109" s="1297"/>
      <c r="J109" s="1297"/>
      <c r="K109" s="154">
        <f>first_year+27</f>
        <v>2051</v>
      </c>
      <c r="L109" s="1297"/>
      <c r="M109" s="1297"/>
      <c r="N109" s="1297"/>
      <c r="O109" s="1297"/>
      <c r="P109" s="1297"/>
      <c r="Q109" s="1297"/>
      <c r="R109" s="1297"/>
      <c r="S109" s="1297"/>
      <c r="T109" s="468" cm="1" t="str">
        <f t="array" ref="T109:T109">T108</f>
        <v>true</v>
      </c>
      <c r="U109" s="1297"/>
      <c r="V109" s="1297"/>
      <c r="W109" s="1297"/>
      <c r="X109" s="1539"/>
      <c r="Y109" s="1297"/>
      <c r="Z109" s="1529"/>
      <c r="AA109" s="1297"/>
      <c r="AB109" s="251" t="str">
        <f>K109&amp;" год"</f>
        <v>2051 год</v>
      </c>
      <c r="AC109" s="6792"/>
      <c r="AD109" s="6798"/>
      <c r="AE109" s="6799"/>
      <c r="AF109" s="6799"/>
      <c r="AG109" s="6798"/>
      <c r="AH109" s="6798"/>
      <c r="AI109" s="6798"/>
      <c r="AJ109" s="6819"/>
      <c r="AK109" s="6820"/>
      <c r="AL109" s="404"/>
      <c r="AM109" s="1297"/>
      <c r="AN109" s="1297"/>
      <c r="AO109" s="1072" cm="1" t="str">
        <f t="array" ref="AO109:AO109">K109</f>
        <v>2051</v>
      </c>
      <c r="AP109" s="1297"/>
      <c r="AQ109" s="1297"/>
    </row>
    <row s="6837" customFormat="1" customHeight="1" ht="14.25" hidden="1">
      <c r="A110" s="1297"/>
      <c r="B110" s="447">
        <f>K110&lt;first_year+PERIOD_LENGTH</f>
        <v>0</v>
      </c>
      <c r="C110" s="1297"/>
      <c r="D110" s="1297"/>
      <c r="E110" s="709">
        <v>15</v>
      </c>
      <c r="F110" s="50" cm="1" t="str">
        <f t="array" ref="F110:F110">OFFSET(E110,-1,1)</f>
        <v>1</v>
      </c>
      <c r="G110" s="1297"/>
      <c r="H110" s="1297"/>
      <c r="I110" s="1297"/>
      <c r="J110" s="1297"/>
      <c r="K110" s="154">
        <f>first_year+28</f>
        <v>2052</v>
      </c>
      <c r="L110" s="1297"/>
      <c r="M110" s="1297"/>
      <c r="N110" s="1297"/>
      <c r="O110" s="1297"/>
      <c r="P110" s="1297"/>
      <c r="Q110" s="1297"/>
      <c r="R110" s="1297"/>
      <c r="S110" s="1297"/>
      <c r="T110" s="468" cm="1" t="str">
        <f t="array" ref="T110:T110">T109</f>
        <v>true</v>
      </c>
      <c r="U110" s="1297"/>
      <c r="V110" s="1297"/>
      <c r="W110" s="1297"/>
      <c r="X110" s="1539"/>
      <c r="Y110" s="1297"/>
      <c r="Z110" s="1529"/>
      <c r="AA110" s="1297"/>
      <c r="AB110" s="251" t="str">
        <f>K110&amp;" год"</f>
        <v>2052 год</v>
      </c>
      <c r="AC110" s="6792"/>
      <c r="AD110" s="6798"/>
      <c r="AE110" s="6799"/>
      <c r="AF110" s="6799"/>
      <c r="AG110" s="6798"/>
      <c r="AH110" s="6798"/>
      <c r="AI110" s="6798"/>
      <c r="AJ110" s="6819"/>
      <c r="AK110" s="6820"/>
      <c r="AL110" s="404"/>
      <c r="AM110" s="1297"/>
      <c r="AN110" s="1297"/>
      <c r="AO110" s="1072" cm="1" t="str">
        <f t="array" ref="AO110:AO110">K110</f>
        <v>2052</v>
      </c>
      <c r="AP110" s="1297"/>
      <c r="AQ110" s="1297"/>
    </row>
    <row s="6838" customFormat="1" customHeight="1" ht="14.25" hidden="1">
      <c r="A111" s="1297"/>
      <c r="B111" s="447">
        <f>K111&lt;first_year+PERIOD_LENGTH</f>
        <v>0</v>
      </c>
      <c r="C111" s="1297"/>
      <c r="D111" s="1297"/>
      <c r="E111" s="709">
        <v>15</v>
      </c>
      <c r="F111" s="50" cm="1" t="str">
        <f t="array" ref="F111:F111">OFFSET(E111,-1,1)</f>
        <v>1</v>
      </c>
      <c r="G111" s="1297"/>
      <c r="H111" s="1297"/>
      <c r="I111" s="1297"/>
      <c r="J111" s="1297"/>
      <c r="K111" s="154">
        <f>first_year+29</f>
        <v>2053</v>
      </c>
      <c r="L111" s="1297"/>
      <c r="M111" s="1297"/>
      <c r="N111" s="1297"/>
      <c r="O111" s="1297"/>
      <c r="P111" s="1297"/>
      <c r="Q111" s="1297"/>
      <c r="R111" s="1297"/>
      <c r="S111" s="1297"/>
      <c r="T111" s="468" cm="1" t="str">
        <f t="array" ref="T111:T111">T110</f>
        <v>true</v>
      </c>
      <c r="U111" s="1297"/>
      <c r="V111" s="1297"/>
      <c r="W111" s="1297"/>
      <c r="X111" s="1539"/>
      <c r="Y111" s="1297"/>
      <c r="Z111" s="1529"/>
      <c r="AA111" s="1297"/>
      <c r="AB111" s="251" t="str">
        <f>K111&amp;" год"</f>
        <v>2053 год</v>
      </c>
      <c r="AC111" s="6792"/>
      <c r="AD111" s="6798"/>
      <c r="AE111" s="6799"/>
      <c r="AF111" s="6799"/>
      <c r="AG111" s="6798"/>
      <c r="AH111" s="6798"/>
      <c r="AI111" s="6798"/>
      <c r="AJ111" s="6819"/>
      <c r="AK111" s="6820"/>
      <c r="AL111" s="404"/>
      <c r="AM111" s="1297"/>
      <c r="AN111" s="1297"/>
      <c r="AO111" s="1072" cm="1" t="str">
        <f t="array" ref="AO111:AO111">K111</f>
        <v>2053</v>
      </c>
      <c r="AP111" s="1297"/>
      <c r="AQ111" s="1297"/>
    </row>
    <row s="6839" customFormat="1" customHeight="1" ht="14.25" hidden="1">
      <c r="A112" s="1297"/>
      <c r="B112" s="447">
        <f>K112&lt;first_year+PERIOD_LENGTH</f>
        <v>0</v>
      </c>
      <c r="C112" s="1297"/>
      <c r="D112" s="1297"/>
      <c r="E112" s="709">
        <v>15</v>
      </c>
      <c r="F112" s="50" cm="1" t="str">
        <f t="array" ref="F112:F112">OFFSET(E112,-1,1)</f>
        <v>1</v>
      </c>
      <c r="G112" s="1297"/>
      <c r="H112" s="1297"/>
      <c r="I112" s="1297"/>
      <c r="J112" s="1297"/>
      <c r="K112" s="154">
        <f>first_year+30</f>
        <v>2054</v>
      </c>
      <c r="L112" s="1297"/>
      <c r="M112" s="1297"/>
      <c r="N112" s="1297"/>
      <c r="O112" s="1297"/>
      <c r="P112" s="1297"/>
      <c r="Q112" s="1297"/>
      <c r="R112" s="1297"/>
      <c r="S112" s="1297"/>
      <c r="T112" s="468" cm="1" t="str">
        <f t="array" ref="T112:T112">T111</f>
        <v>true</v>
      </c>
      <c r="U112" s="1297"/>
      <c r="V112" s="1297"/>
      <c r="W112" s="1297"/>
      <c r="X112" s="1539"/>
      <c r="Y112" s="1297"/>
      <c r="Z112" s="1529"/>
      <c r="AA112" s="1297"/>
      <c r="AB112" s="251" t="str">
        <f>K112&amp;" год"</f>
        <v>2054 год</v>
      </c>
      <c r="AC112" s="6792"/>
      <c r="AD112" s="6798"/>
      <c r="AE112" s="6799"/>
      <c r="AF112" s="6799"/>
      <c r="AG112" s="6798"/>
      <c r="AH112" s="6798"/>
      <c r="AI112" s="6798"/>
      <c r="AJ112" s="6819"/>
      <c r="AK112" s="6820"/>
      <c r="AL112" s="404"/>
      <c r="AM112" s="1297"/>
      <c r="AN112" s="1297"/>
      <c r="AO112" s="1072" cm="1" t="str">
        <f t="array" ref="AO112:AO112">K112</f>
        <v>2054</v>
      </c>
      <c r="AP112" s="1297"/>
      <c r="AQ112" s="1297"/>
    </row>
    <row s="6840" customFormat="1" customHeight="1" ht="14.25" hidden="1">
      <c r="A113" s="1297"/>
      <c r="B113" s="447">
        <f>K113&lt;first_year+PERIOD_LENGTH</f>
        <v>0</v>
      </c>
      <c r="C113" s="1297"/>
      <c r="D113" s="1297"/>
      <c r="E113" s="709">
        <v>15</v>
      </c>
      <c r="F113" s="50" cm="1" t="str">
        <f t="array" ref="F113:F113">OFFSET(E113,-1,1)</f>
        <v>1</v>
      </c>
      <c r="G113" s="1297"/>
      <c r="H113" s="1297"/>
      <c r="I113" s="1297"/>
      <c r="J113" s="1297"/>
      <c r="K113" s="154">
        <f>first_year+31</f>
        <v>2055</v>
      </c>
      <c r="L113" s="1297"/>
      <c r="M113" s="1297"/>
      <c r="N113" s="1297"/>
      <c r="O113" s="1297"/>
      <c r="P113" s="1297"/>
      <c r="Q113" s="1297"/>
      <c r="R113" s="1297"/>
      <c r="S113" s="1297"/>
      <c r="T113" s="468" cm="1" t="str">
        <f t="array" ref="T113:T113">T112</f>
        <v>true</v>
      </c>
      <c r="U113" s="1297"/>
      <c r="V113" s="1297"/>
      <c r="W113" s="1297"/>
      <c r="X113" s="1539"/>
      <c r="Y113" s="1297"/>
      <c r="Z113" s="1529"/>
      <c r="AA113" s="1297"/>
      <c r="AB113" s="251" t="str">
        <f>K113&amp;" год"</f>
        <v>2055 год</v>
      </c>
      <c r="AC113" s="6792"/>
      <c r="AD113" s="6798"/>
      <c r="AE113" s="6799"/>
      <c r="AF113" s="6799"/>
      <c r="AG113" s="6798"/>
      <c r="AH113" s="6798"/>
      <c r="AI113" s="6798"/>
      <c r="AJ113" s="6819"/>
      <c r="AK113" s="6820"/>
      <c r="AL113" s="404"/>
      <c r="AM113" s="1297"/>
      <c r="AN113" s="1297"/>
      <c r="AO113" s="1072" cm="1" t="str">
        <f t="array" ref="AO113:AO113">K113</f>
        <v>2055</v>
      </c>
      <c r="AP113" s="1297"/>
      <c r="AQ113" s="1297"/>
    </row>
    <row s="6841" customFormat="1" customHeight="1" ht="14.25" hidden="1">
      <c r="A114" s="1297"/>
      <c r="B114" s="447">
        <f>K114&lt;first_year+PERIOD_LENGTH</f>
        <v>0</v>
      </c>
      <c r="C114" s="1297"/>
      <c r="D114" s="1297"/>
      <c r="E114" s="709">
        <v>15</v>
      </c>
      <c r="F114" s="50" cm="1" t="str">
        <f t="array" ref="F114:F114">OFFSET(E114,-1,1)</f>
        <v>1</v>
      </c>
      <c r="G114" s="1297"/>
      <c r="H114" s="1297"/>
      <c r="I114" s="1297"/>
      <c r="J114" s="1297"/>
      <c r="K114" s="154">
        <f>first_year+32</f>
        <v>2056</v>
      </c>
      <c r="L114" s="1297"/>
      <c r="M114" s="1297"/>
      <c r="N114" s="1297"/>
      <c r="O114" s="1297"/>
      <c r="P114" s="1297"/>
      <c r="Q114" s="1297"/>
      <c r="R114" s="1297"/>
      <c r="S114" s="1297"/>
      <c r="T114" s="468" cm="1" t="str">
        <f t="array" ref="T114:T114">T113</f>
        <v>true</v>
      </c>
      <c r="U114" s="1297"/>
      <c r="V114" s="1297"/>
      <c r="W114" s="1297"/>
      <c r="X114" s="1539"/>
      <c r="Y114" s="1297"/>
      <c r="Z114" s="1529"/>
      <c r="AA114" s="1297"/>
      <c r="AB114" s="251" t="str">
        <f>K114&amp;" год"</f>
        <v>2056 год</v>
      </c>
      <c r="AC114" s="6792"/>
      <c r="AD114" s="6798"/>
      <c r="AE114" s="6799"/>
      <c r="AF114" s="6799"/>
      <c r="AG114" s="6798"/>
      <c r="AH114" s="6798"/>
      <c r="AI114" s="6798"/>
      <c r="AJ114" s="6819"/>
      <c r="AK114" s="6820"/>
      <c r="AL114" s="404"/>
      <c r="AM114" s="1297"/>
      <c r="AN114" s="1297"/>
      <c r="AO114" s="1072" cm="1" t="str">
        <f t="array" ref="AO114:AO114">K114</f>
        <v>2056</v>
      </c>
      <c r="AP114" s="1297"/>
      <c r="AQ114" s="1297"/>
    </row>
    <row s="6842" customFormat="1" customHeight="1" ht="14.25" hidden="1">
      <c r="A115" s="1297"/>
      <c r="B115" s="447">
        <f>K115&lt;first_year+PERIOD_LENGTH</f>
        <v>0</v>
      </c>
      <c r="C115" s="1297"/>
      <c r="D115" s="1297"/>
      <c r="E115" s="709">
        <v>15</v>
      </c>
      <c r="F115" s="50" cm="1" t="str">
        <f t="array" ref="F115:F115">OFFSET(E115,-1,1)</f>
        <v>1</v>
      </c>
      <c r="G115" s="1297"/>
      <c r="H115" s="1297"/>
      <c r="I115" s="1297"/>
      <c r="J115" s="1297"/>
      <c r="K115" s="154">
        <f>first_year+33</f>
        <v>2057</v>
      </c>
      <c r="L115" s="1297"/>
      <c r="M115" s="1297"/>
      <c r="N115" s="1297"/>
      <c r="O115" s="1297"/>
      <c r="P115" s="1297"/>
      <c r="Q115" s="1297"/>
      <c r="R115" s="1297"/>
      <c r="S115" s="1297"/>
      <c r="T115" s="468" cm="1" t="str">
        <f t="array" ref="T115:T115">T114</f>
        <v>true</v>
      </c>
      <c r="U115" s="1297"/>
      <c r="V115" s="1297"/>
      <c r="W115" s="1297"/>
      <c r="X115" s="1539"/>
      <c r="Y115" s="1297"/>
      <c r="Z115" s="1529"/>
      <c r="AA115" s="1297"/>
      <c r="AB115" s="251" t="str">
        <f>K115&amp;" год"</f>
        <v>2057 год</v>
      </c>
      <c r="AC115" s="6792"/>
      <c r="AD115" s="6798"/>
      <c r="AE115" s="6799"/>
      <c r="AF115" s="6799"/>
      <c r="AG115" s="6798"/>
      <c r="AH115" s="6798"/>
      <c r="AI115" s="6798"/>
      <c r="AJ115" s="6819"/>
      <c r="AK115" s="6820"/>
      <c r="AL115" s="404"/>
      <c r="AM115" s="1297"/>
      <c r="AN115" s="1297"/>
      <c r="AO115" s="1072" cm="1" t="str">
        <f t="array" ref="AO115:AO115">K115</f>
        <v>2057</v>
      </c>
      <c r="AP115" s="1297"/>
      <c r="AQ115" s="1297"/>
    </row>
    <row s="6843" customFormat="1" customHeight="1" ht="14.25" hidden="1">
      <c r="A116" s="1297"/>
      <c r="B116" s="447">
        <f>K116&lt;first_year+PERIOD_LENGTH</f>
        <v>0</v>
      </c>
      <c r="C116" s="1297"/>
      <c r="D116" s="1297"/>
      <c r="E116" s="709">
        <v>15</v>
      </c>
      <c r="F116" s="50" cm="1" t="str">
        <f t="array" ref="F116:F116">OFFSET(E116,-1,1)</f>
        <v>1</v>
      </c>
      <c r="G116" s="1297"/>
      <c r="H116" s="1297"/>
      <c r="I116" s="1297"/>
      <c r="J116" s="1297"/>
      <c r="K116" s="154">
        <f>first_year+34</f>
        <v>2058</v>
      </c>
      <c r="L116" s="1297"/>
      <c r="M116" s="1297"/>
      <c r="N116" s="1297"/>
      <c r="O116" s="1297"/>
      <c r="P116" s="1297"/>
      <c r="Q116" s="1297"/>
      <c r="R116" s="1297"/>
      <c r="S116" s="1297"/>
      <c r="T116" s="468" cm="1" t="str">
        <f t="array" ref="T116:T116">T115</f>
        <v>true</v>
      </c>
      <c r="U116" s="1297"/>
      <c r="V116" s="1297"/>
      <c r="W116" s="1297"/>
      <c r="X116" s="1539"/>
      <c r="Y116" s="1297"/>
      <c r="Z116" s="1529"/>
      <c r="AA116" s="1297"/>
      <c r="AB116" s="251" t="str">
        <f>K116&amp;" год"</f>
        <v>2058 год</v>
      </c>
      <c r="AC116" s="6792"/>
      <c r="AD116" s="6798"/>
      <c r="AE116" s="6799"/>
      <c r="AF116" s="6799"/>
      <c r="AG116" s="6798"/>
      <c r="AH116" s="6798"/>
      <c r="AI116" s="6798"/>
      <c r="AJ116" s="6819"/>
      <c r="AK116" s="6820"/>
      <c r="AL116" s="404"/>
      <c r="AM116" s="1297"/>
      <c r="AN116" s="1297"/>
      <c r="AO116" s="1072" cm="1" t="str">
        <f t="array" ref="AO116:AO116">K116</f>
        <v>2058</v>
      </c>
      <c r="AP116" s="1297"/>
      <c r="AQ116" s="1297"/>
    </row>
    <row s="6844" customFormat="1" customHeight="1" ht="14.25" hidden="1">
      <c r="A117" s="1297"/>
      <c r="B117" s="447">
        <f>K117&lt;first_year+PERIOD_LENGTH</f>
        <v>0</v>
      </c>
      <c r="C117" s="1297"/>
      <c r="D117" s="1297"/>
      <c r="E117" s="709">
        <v>15</v>
      </c>
      <c r="F117" s="50" cm="1" t="str">
        <f t="array" ref="F117:F117">OFFSET(E117,-1,1)</f>
        <v>1</v>
      </c>
      <c r="G117" s="1297"/>
      <c r="H117" s="1297"/>
      <c r="I117" s="1297"/>
      <c r="J117" s="1297"/>
      <c r="K117" s="154">
        <f>first_year+35</f>
        <v>2059</v>
      </c>
      <c r="L117" s="1297"/>
      <c r="M117" s="1297"/>
      <c r="N117" s="1297"/>
      <c r="O117" s="1297"/>
      <c r="P117" s="1297"/>
      <c r="Q117" s="1297"/>
      <c r="R117" s="1297"/>
      <c r="S117" s="1297"/>
      <c r="T117" s="468" cm="1" t="str">
        <f t="array" ref="T117:T117">T116</f>
        <v>true</v>
      </c>
      <c r="U117" s="1297"/>
      <c r="V117" s="1297"/>
      <c r="W117" s="1297"/>
      <c r="X117" s="1539"/>
      <c r="Y117" s="1297"/>
      <c r="Z117" s="1529"/>
      <c r="AA117" s="1297"/>
      <c r="AB117" s="251" t="str">
        <f>K117&amp;" год"</f>
        <v>2059 год</v>
      </c>
      <c r="AC117" s="6792"/>
      <c r="AD117" s="6798"/>
      <c r="AE117" s="6799"/>
      <c r="AF117" s="6799"/>
      <c r="AG117" s="6798"/>
      <c r="AH117" s="6798"/>
      <c r="AI117" s="6798"/>
      <c r="AJ117" s="6819"/>
      <c r="AK117" s="6820"/>
      <c r="AL117" s="404"/>
      <c r="AM117" s="1297"/>
      <c r="AN117" s="1297"/>
      <c r="AO117" s="1072" cm="1" t="str">
        <f t="array" ref="AO117:AO117">K117</f>
        <v>2059</v>
      </c>
      <c r="AP117" s="1297"/>
      <c r="AQ117" s="1297"/>
    </row>
    <row s="6845" customFormat="1" customHeight="1" ht="14.25" hidden="1">
      <c r="A118" s="1297"/>
      <c r="B118" s="447">
        <f>K118&lt;first_year+PERIOD_LENGTH</f>
        <v>0</v>
      </c>
      <c r="C118" s="1297"/>
      <c r="D118" s="1297"/>
      <c r="E118" s="709">
        <v>15</v>
      </c>
      <c r="F118" s="50" cm="1" t="str">
        <f t="array" ref="F118:F118">OFFSET(E118,-1,1)</f>
        <v>1</v>
      </c>
      <c r="G118" s="1297"/>
      <c r="H118" s="1297"/>
      <c r="I118" s="1297"/>
      <c r="J118" s="1297"/>
      <c r="K118" s="154">
        <f>first_year+36</f>
        <v>2060</v>
      </c>
      <c r="L118" s="1297"/>
      <c r="M118" s="1297"/>
      <c r="N118" s="1297"/>
      <c r="O118" s="1297"/>
      <c r="P118" s="1297"/>
      <c r="Q118" s="1297"/>
      <c r="R118" s="1297"/>
      <c r="S118" s="1297"/>
      <c r="T118" s="468" cm="1" t="str">
        <f t="array" ref="T118:T118">T117</f>
        <v>true</v>
      </c>
      <c r="U118" s="1297"/>
      <c r="V118" s="1297"/>
      <c r="W118" s="1297"/>
      <c r="X118" s="1539"/>
      <c r="Y118" s="1297"/>
      <c r="Z118" s="1529"/>
      <c r="AA118" s="1297"/>
      <c r="AB118" s="251" t="str">
        <f>K118&amp;" год"</f>
        <v>2060 год</v>
      </c>
      <c r="AC118" s="6792"/>
      <c r="AD118" s="6798"/>
      <c r="AE118" s="6799"/>
      <c r="AF118" s="6799"/>
      <c r="AG118" s="6798"/>
      <c r="AH118" s="6798"/>
      <c r="AI118" s="6798"/>
      <c r="AJ118" s="6819"/>
      <c r="AK118" s="6820"/>
      <c r="AL118" s="404"/>
      <c r="AM118" s="1297"/>
      <c r="AN118" s="1297"/>
      <c r="AO118" s="1072" cm="1" t="str">
        <f t="array" ref="AO118:AO118">K118</f>
        <v>2060</v>
      </c>
      <c r="AP118" s="1297"/>
      <c r="AQ118" s="1297"/>
    </row>
    <row s="6846" customFormat="1" customHeight="1" ht="14.25" hidden="1">
      <c r="A119" s="1297"/>
      <c r="B119" s="447">
        <f>K119&lt;first_year+PERIOD_LENGTH</f>
        <v>0</v>
      </c>
      <c r="C119" s="1297"/>
      <c r="D119" s="1297"/>
      <c r="E119" s="709">
        <v>15</v>
      </c>
      <c r="F119" s="50" cm="1" t="str">
        <f t="array" ref="F119:F119">OFFSET(E119,-1,1)</f>
        <v>1</v>
      </c>
      <c r="G119" s="1297"/>
      <c r="H119" s="1297"/>
      <c r="I119" s="1297"/>
      <c r="J119" s="1297"/>
      <c r="K119" s="154">
        <f>first_year+37</f>
        <v>2061</v>
      </c>
      <c r="L119" s="1297"/>
      <c r="M119" s="1297"/>
      <c r="N119" s="1297"/>
      <c r="O119" s="1297"/>
      <c r="P119" s="1297"/>
      <c r="Q119" s="1297"/>
      <c r="R119" s="1297"/>
      <c r="S119" s="1297"/>
      <c r="T119" s="468" cm="1" t="str">
        <f t="array" ref="T119:T119">T118</f>
        <v>true</v>
      </c>
      <c r="U119" s="1297"/>
      <c r="V119" s="1297"/>
      <c r="W119" s="1297"/>
      <c r="X119" s="1539"/>
      <c r="Y119" s="1297"/>
      <c r="Z119" s="1529"/>
      <c r="AA119" s="1297"/>
      <c r="AB119" s="251" t="str">
        <f>K119&amp;" год"</f>
        <v>2061 год</v>
      </c>
      <c r="AC119" s="6792"/>
      <c r="AD119" s="6798"/>
      <c r="AE119" s="6799"/>
      <c r="AF119" s="6799"/>
      <c r="AG119" s="6798"/>
      <c r="AH119" s="6798"/>
      <c r="AI119" s="6798"/>
      <c r="AJ119" s="6819"/>
      <c r="AK119" s="6820"/>
      <c r="AL119" s="404"/>
      <c r="AM119" s="1297"/>
      <c r="AN119" s="1297"/>
      <c r="AO119" s="1072" cm="1" t="str">
        <f t="array" ref="AO119:AO119">K119</f>
        <v>2061</v>
      </c>
      <c r="AP119" s="1297"/>
      <c r="AQ119" s="1297"/>
    </row>
    <row s="6847" customFormat="1" customHeight="1" ht="14.25" hidden="1">
      <c r="A120" s="1297"/>
      <c r="B120" s="447">
        <f>K120&lt;first_year+PERIOD_LENGTH</f>
        <v>0</v>
      </c>
      <c r="C120" s="1297"/>
      <c r="D120" s="1297"/>
      <c r="E120" s="709">
        <v>15</v>
      </c>
      <c r="F120" s="50" cm="1" t="str">
        <f t="array" ref="F120:F120">OFFSET(E120,-1,1)</f>
        <v>1</v>
      </c>
      <c r="G120" s="1297"/>
      <c r="H120" s="1297"/>
      <c r="I120" s="1297"/>
      <c r="J120" s="1297"/>
      <c r="K120" s="154">
        <f>first_year+38</f>
        <v>2062</v>
      </c>
      <c r="L120" s="1297"/>
      <c r="M120" s="1297"/>
      <c r="N120" s="1297"/>
      <c r="O120" s="1297"/>
      <c r="P120" s="1297"/>
      <c r="Q120" s="1297"/>
      <c r="R120" s="1297"/>
      <c r="S120" s="1297"/>
      <c r="T120" s="468" cm="1" t="str">
        <f t="array" ref="T120:T120">T119</f>
        <v>true</v>
      </c>
      <c r="U120" s="1297"/>
      <c r="V120" s="1297"/>
      <c r="W120" s="1297"/>
      <c r="X120" s="1539"/>
      <c r="Y120" s="1297"/>
      <c r="Z120" s="1529"/>
      <c r="AA120" s="1297"/>
      <c r="AB120" s="251" t="str">
        <f>K120&amp;" год"</f>
        <v>2062 год</v>
      </c>
      <c r="AC120" s="6792"/>
      <c r="AD120" s="6798"/>
      <c r="AE120" s="6799"/>
      <c r="AF120" s="6799"/>
      <c r="AG120" s="6798"/>
      <c r="AH120" s="6798"/>
      <c r="AI120" s="6798"/>
      <c r="AJ120" s="6819"/>
      <c r="AK120" s="6820"/>
      <c r="AL120" s="404"/>
      <c r="AM120" s="1297"/>
      <c r="AN120" s="1297"/>
      <c r="AO120" s="1072" cm="1" t="str">
        <f t="array" ref="AO120:AO120">K120</f>
        <v>2062</v>
      </c>
      <c r="AP120" s="1297"/>
      <c r="AQ120" s="1297"/>
    </row>
    <row s="6848" customFormat="1" customHeight="1" ht="14.25" hidden="1">
      <c r="A121" s="1297"/>
      <c r="B121" s="447">
        <f>K121&lt;first_year+PERIOD_LENGTH</f>
        <v>0</v>
      </c>
      <c r="C121" s="1297"/>
      <c r="D121" s="1297"/>
      <c r="E121" s="709">
        <v>15</v>
      </c>
      <c r="F121" s="50" cm="1" t="str">
        <f t="array" ref="F121:F121">OFFSET(E121,-1,1)</f>
        <v>1</v>
      </c>
      <c r="G121" s="1297"/>
      <c r="H121" s="1297"/>
      <c r="I121" s="1297"/>
      <c r="J121" s="1297"/>
      <c r="K121" s="154">
        <f>first_year+39</f>
        <v>2063</v>
      </c>
      <c r="L121" s="1297"/>
      <c r="M121" s="1297"/>
      <c r="N121" s="1297"/>
      <c r="O121" s="1297"/>
      <c r="P121" s="1297"/>
      <c r="Q121" s="1297"/>
      <c r="R121" s="1297"/>
      <c r="S121" s="1297"/>
      <c r="T121" s="468" cm="1" t="str">
        <f t="array" ref="T121:T121">T120</f>
        <v>true</v>
      </c>
      <c r="U121" s="1297"/>
      <c r="V121" s="1297"/>
      <c r="W121" s="1297"/>
      <c r="X121" s="1539"/>
      <c r="Y121" s="1297"/>
      <c r="Z121" s="1529"/>
      <c r="AA121" s="1297"/>
      <c r="AB121" s="251" t="str">
        <f>K121&amp;" год"</f>
        <v>2063 год</v>
      </c>
      <c r="AC121" s="6792"/>
      <c r="AD121" s="6798"/>
      <c r="AE121" s="6799"/>
      <c r="AF121" s="6799"/>
      <c r="AG121" s="6798"/>
      <c r="AH121" s="6798"/>
      <c r="AI121" s="6798"/>
      <c r="AJ121" s="6819"/>
      <c r="AK121" s="6820"/>
      <c r="AL121" s="404"/>
      <c r="AM121" s="1297"/>
      <c r="AN121" s="1297"/>
      <c r="AO121" s="1072" cm="1" t="str">
        <f t="array" ref="AO121:AO121">K121</f>
        <v>2063</v>
      </c>
      <c r="AP121" s="1297"/>
      <c r="AQ121" s="1297"/>
    </row>
    <row s="6849" customFormat="1" customHeight="1" ht="14.25" hidden="1">
      <c r="A122" s="1297"/>
      <c r="B122" s="447">
        <f>K122&lt;first_year+PERIOD_LENGTH</f>
        <v>0</v>
      </c>
      <c r="C122" s="1297"/>
      <c r="D122" s="1297"/>
      <c r="E122" s="709">
        <v>15</v>
      </c>
      <c r="F122" s="50" cm="1" t="str">
        <f t="array" ref="F122:F122">OFFSET(E122,-1,1)</f>
        <v>1</v>
      </c>
      <c r="G122" s="1297"/>
      <c r="H122" s="1297"/>
      <c r="I122" s="1297"/>
      <c r="J122" s="1297"/>
      <c r="K122" s="154">
        <f>first_year+40</f>
        <v>2064</v>
      </c>
      <c r="L122" s="1297"/>
      <c r="M122" s="1297"/>
      <c r="N122" s="1297"/>
      <c r="O122" s="1297"/>
      <c r="P122" s="1297"/>
      <c r="Q122" s="1297"/>
      <c r="R122" s="1297"/>
      <c r="S122" s="1297"/>
      <c r="T122" s="468" cm="1" t="str">
        <f t="array" ref="T122:T122">T121</f>
        <v>true</v>
      </c>
      <c r="U122" s="1297"/>
      <c r="V122" s="1297"/>
      <c r="W122" s="1297"/>
      <c r="X122" s="1539"/>
      <c r="Y122" s="1297"/>
      <c r="Z122" s="1529"/>
      <c r="AA122" s="1297"/>
      <c r="AB122" s="251" t="str">
        <f>K122&amp;" год"</f>
        <v>2064 год</v>
      </c>
      <c r="AC122" s="6792"/>
      <c r="AD122" s="6798"/>
      <c r="AE122" s="6799"/>
      <c r="AF122" s="6799"/>
      <c r="AG122" s="6798"/>
      <c r="AH122" s="6798"/>
      <c r="AI122" s="6798"/>
      <c r="AJ122" s="6819"/>
      <c r="AK122" s="6820"/>
      <c r="AL122" s="404"/>
      <c r="AM122" s="1297"/>
      <c r="AN122" s="1297"/>
      <c r="AO122" s="1072" cm="1" t="str">
        <f t="array" ref="AO122:AO122">K122</f>
        <v>2064</v>
      </c>
      <c r="AP122" s="1297"/>
      <c r="AQ122" s="1297"/>
    </row>
    <row s="6850" customFormat="1" customHeight="1" ht="14.25" hidden="1">
      <c r="A123" s="1297"/>
      <c r="B123" s="447">
        <f>K123&lt;first_year+PERIOD_LENGTH</f>
        <v>0</v>
      </c>
      <c r="C123" s="1297"/>
      <c r="D123" s="1297"/>
      <c r="E123" s="709">
        <v>15</v>
      </c>
      <c r="F123" s="50" cm="1" t="str">
        <f t="array" ref="F123:F123">OFFSET(E123,-1,1)</f>
        <v>1</v>
      </c>
      <c r="G123" s="1297"/>
      <c r="H123" s="1297"/>
      <c r="I123" s="1297"/>
      <c r="J123" s="1297"/>
      <c r="K123" s="154">
        <f>first_year+41</f>
        <v>2065</v>
      </c>
      <c r="L123" s="1297"/>
      <c r="M123" s="1297"/>
      <c r="N123" s="1297"/>
      <c r="O123" s="1297"/>
      <c r="P123" s="1297"/>
      <c r="Q123" s="1297"/>
      <c r="R123" s="1297"/>
      <c r="S123" s="1297"/>
      <c r="T123" s="468" cm="1" t="str">
        <f t="array" ref="T123:T123">T122</f>
        <v>true</v>
      </c>
      <c r="U123" s="1297"/>
      <c r="V123" s="1297"/>
      <c r="W123" s="1297"/>
      <c r="X123" s="1539"/>
      <c r="Y123" s="1297"/>
      <c r="Z123" s="1529"/>
      <c r="AA123" s="1297"/>
      <c r="AB123" s="251" t="str">
        <f>K123&amp;" год"</f>
        <v>2065 год</v>
      </c>
      <c r="AC123" s="6792"/>
      <c r="AD123" s="6798"/>
      <c r="AE123" s="6799"/>
      <c r="AF123" s="6799"/>
      <c r="AG123" s="6798"/>
      <c r="AH123" s="6798"/>
      <c r="AI123" s="6798"/>
      <c r="AJ123" s="6819"/>
      <c r="AK123" s="6820"/>
      <c r="AL123" s="404"/>
      <c r="AM123" s="1297"/>
      <c r="AN123" s="1297"/>
      <c r="AO123" s="1072" cm="1" t="str">
        <f t="array" ref="AO123:AO123">K123</f>
        <v>2065</v>
      </c>
      <c r="AP123" s="1297"/>
      <c r="AQ123" s="1297"/>
    </row>
    <row s="6851" customFormat="1" customHeight="1" ht="14.25" hidden="1">
      <c r="A124" s="1297"/>
      <c r="B124" s="447">
        <f>K124&lt;first_year+PERIOD_LENGTH</f>
        <v>0</v>
      </c>
      <c r="C124" s="1297"/>
      <c r="D124" s="1297"/>
      <c r="E124" s="709">
        <v>15</v>
      </c>
      <c r="F124" s="50" cm="1" t="str">
        <f t="array" ref="F124:F124">OFFSET(E124,-1,1)</f>
        <v>1</v>
      </c>
      <c r="G124" s="1297"/>
      <c r="H124" s="1297"/>
      <c r="I124" s="1297"/>
      <c r="J124" s="1297"/>
      <c r="K124" s="154">
        <f>first_year+42</f>
        <v>2066</v>
      </c>
      <c r="L124" s="1297"/>
      <c r="M124" s="1297"/>
      <c r="N124" s="1297"/>
      <c r="O124" s="1297"/>
      <c r="P124" s="1297"/>
      <c r="Q124" s="1297"/>
      <c r="R124" s="1297"/>
      <c r="S124" s="1297"/>
      <c r="T124" s="468" cm="1" t="str">
        <f t="array" ref="T124:T124">T123</f>
        <v>true</v>
      </c>
      <c r="U124" s="1297"/>
      <c r="V124" s="1297"/>
      <c r="W124" s="1297"/>
      <c r="X124" s="1539"/>
      <c r="Y124" s="1297"/>
      <c r="Z124" s="1529"/>
      <c r="AA124" s="1297"/>
      <c r="AB124" s="251" t="str">
        <f>K124&amp;" год"</f>
        <v>2066 год</v>
      </c>
      <c r="AC124" s="6792"/>
      <c r="AD124" s="6798"/>
      <c r="AE124" s="6799"/>
      <c r="AF124" s="6799"/>
      <c r="AG124" s="6798"/>
      <c r="AH124" s="6798"/>
      <c r="AI124" s="6798"/>
      <c r="AJ124" s="6819"/>
      <c r="AK124" s="6820"/>
      <c r="AL124" s="404"/>
      <c r="AM124" s="1297"/>
      <c r="AN124" s="1297"/>
      <c r="AO124" s="1072" cm="1" t="str">
        <f t="array" ref="AO124:AO124">K124</f>
        <v>2066</v>
      </c>
      <c r="AP124" s="1297"/>
      <c r="AQ124" s="1297"/>
    </row>
    <row s="6852" customFormat="1" customHeight="1" ht="14.25" hidden="1">
      <c r="A125" s="1297"/>
      <c r="B125" s="447">
        <f>K125&lt;first_year+PERIOD_LENGTH</f>
        <v>0</v>
      </c>
      <c r="C125" s="1297"/>
      <c r="D125" s="1297"/>
      <c r="E125" s="709">
        <v>15</v>
      </c>
      <c r="F125" s="50" cm="1" t="str">
        <f t="array" ref="F125:F125">OFFSET(E125,-1,1)</f>
        <v>1</v>
      </c>
      <c r="G125" s="1297"/>
      <c r="H125" s="1297"/>
      <c r="I125" s="1297"/>
      <c r="J125" s="1297"/>
      <c r="K125" s="154">
        <f>first_year+43</f>
        <v>2067</v>
      </c>
      <c r="L125" s="1297"/>
      <c r="M125" s="1297"/>
      <c r="N125" s="1297"/>
      <c r="O125" s="1297"/>
      <c r="P125" s="1297"/>
      <c r="Q125" s="1297"/>
      <c r="R125" s="1297"/>
      <c r="S125" s="1297"/>
      <c r="T125" s="468" cm="1" t="str">
        <f t="array" ref="T125:T125">T124</f>
        <v>true</v>
      </c>
      <c r="U125" s="1297"/>
      <c r="V125" s="1297"/>
      <c r="W125" s="1297"/>
      <c r="X125" s="1539"/>
      <c r="Y125" s="1297"/>
      <c r="Z125" s="1529"/>
      <c r="AA125" s="1297"/>
      <c r="AB125" s="251" t="str">
        <f>K125&amp;" год"</f>
        <v>2067 год</v>
      </c>
      <c r="AC125" s="6792"/>
      <c r="AD125" s="6798"/>
      <c r="AE125" s="6799"/>
      <c r="AF125" s="6799"/>
      <c r="AG125" s="6798"/>
      <c r="AH125" s="6798"/>
      <c r="AI125" s="6798"/>
      <c r="AJ125" s="6819"/>
      <c r="AK125" s="6820"/>
      <c r="AL125" s="404"/>
      <c r="AM125" s="1297"/>
      <c r="AN125" s="1297"/>
      <c r="AO125" s="1072" cm="1" t="str">
        <f t="array" ref="AO125:AO125">K125</f>
        <v>2067</v>
      </c>
      <c r="AP125" s="1297"/>
      <c r="AQ125" s="1297"/>
    </row>
    <row s="6853" customFormat="1" customHeight="1" ht="14.25" hidden="1">
      <c r="A126" s="1297"/>
      <c r="B126" s="447">
        <f>K126&lt;first_year+PERIOD_LENGTH</f>
        <v>0</v>
      </c>
      <c r="C126" s="1297"/>
      <c r="D126" s="1297"/>
      <c r="E126" s="709">
        <v>15</v>
      </c>
      <c r="F126" s="50" cm="1" t="str">
        <f t="array" ref="F126:F126">OFFSET(E126,-1,1)</f>
        <v>1</v>
      </c>
      <c r="G126" s="1297"/>
      <c r="H126" s="1297"/>
      <c r="I126" s="1297"/>
      <c r="J126" s="1297"/>
      <c r="K126" s="154">
        <f>first_year+44</f>
        <v>2068</v>
      </c>
      <c r="L126" s="1297"/>
      <c r="M126" s="1297"/>
      <c r="N126" s="1297"/>
      <c r="O126" s="1297"/>
      <c r="P126" s="1297"/>
      <c r="Q126" s="1297"/>
      <c r="R126" s="1297"/>
      <c r="S126" s="1297"/>
      <c r="T126" s="468" cm="1" t="str">
        <f t="array" ref="T126:T126">T125</f>
        <v>true</v>
      </c>
      <c r="U126" s="1297"/>
      <c r="V126" s="1297"/>
      <c r="W126" s="1297"/>
      <c r="X126" s="1539"/>
      <c r="Y126" s="1297"/>
      <c r="Z126" s="1529"/>
      <c r="AA126" s="1297"/>
      <c r="AB126" s="251" t="str">
        <f>K126&amp;" год"</f>
        <v>2068 год</v>
      </c>
      <c r="AC126" s="6792"/>
      <c r="AD126" s="6798"/>
      <c r="AE126" s="6799"/>
      <c r="AF126" s="6799"/>
      <c r="AG126" s="6798"/>
      <c r="AH126" s="6798"/>
      <c r="AI126" s="6798"/>
      <c r="AJ126" s="6819"/>
      <c r="AK126" s="6820"/>
      <c r="AL126" s="404"/>
      <c r="AM126" s="1297"/>
      <c r="AN126" s="1297"/>
      <c r="AO126" s="1072" cm="1" t="str">
        <f t="array" ref="AO126:AO126">K126</f>
        <v>2068</v>
      </c>
      <c r="AP126" s="1297"/>
      <c r="AQ126" s="1297"/>
    </row>
    <row s="6854" customFormat="1" customHeight="1" ht="14.25" hidden="1">
      <c r="A127" s="1297"/>
      <c r="B127" s="447">
        <f>K127&lt;first_year+PERIOD_LENGTH</f>
        <v>0</v>
      </c>
      <c r="C127" s="1297"/>
      <c r="D127" s="1297"/>
      <c r="E127" s="709">
        <v>15</v>
      </c>
      <c r="F127" s="50" cm="1" t="str">
        <f t="array" ref="F127:F127">OFFSET(E127,-1,1)</f>
        <v>1</v>
      </c>
      <c r="G127" s="1297"/>
      <c r="H127" s="1297"/>
      <c r="I127" s="1297"/>
      <c r="J127" s="1297"/>
      <c r="K127" s="154">
        <f>first_year+45</f>
        <v>2069</v>
      </c>
      <c r="L127" s="1297"/>
      <c r="M127" s="1297"/>
      <c r="N127" s="1297"/>
      <c r="O127" s="1297"/>
      <c r="P127" s="1297"/>
      <c r="Q127" s="1297"/>
      <c r="R127" s="1297"/>
      <c r="S127" s="1297"/>
      <c r="T127" s="468" cm="1" t="str">
        <f t="array" ref="T127:T127">T126</f>
        <v>true</v>
      </c>
      <c r="U127" s="1297"/>
      <c r="V127" s="1297"/>
      <c r="W127" s="1297"/>
      <c r="X127" s="1539"/>
      <c r="Y127" s="1297"/>
      <c r="Z127" s="1529"/>
      <c r="AA127" s="1297"/>
      <c r="AB127" s="251" t="str">
        <f>K127&amp;" год"</f>
        <v>2069 год</v>
      </c>
      <c r="AC127" s="6792"/>
      <c r="AD127" s="6798"/>
      <c r="AE127" s="6799"/>
      <c r="AF127" s="6799"/>
      <c r="AG127" s="6798"/>
      <c r="AH127" s="6798"/>
      <c r="AI127" s="6798"/>
      <c r="AJ127" s="6819"/>
      <c r="AK127" s="6820"/>
      <c r="AL127" s="404"/>
      <c r="AM127" s="1297"/>
      <c r="AN127" s="1297"/>
      <c r="AO127" s="1072" cm="1" t="str">
        <f t="array" ref="AO127:AO127">K127</f>
        <v>2069</v>
      </c>
      <c r="AP127" s="1297"/>
      <c r="AQ127" s="1297"/>
    </row>
    <row s="6855" customFormat="1" customHeight="1" ht="14.25" hidden="1">
      <c r="A128" s="1297"/>
      <c r="B128" s="447">
        <f>K128&lt;first_year+PERIOD_LENGTH</f>
        <v>0</v>
      </c>
      <c r="C128" s="1297"/>
      <c r="D128" s="1297"/>
      <c r="E128" s="709">
        <v>15</v>
      </c>
      <c r="F128" s="50" cm="1" t="str">
        <f t="array" ref="F128:F128">OFFSET(E128,-1,1)</f>
        <v>1</v>
      </c>
      <c r="G128" s="1297"/>
      <c r="H128" s="1297"/>
      <c r="I128" s="1297"/>
      <c r="J128" s="1297"/>
      <c r="K128" s="154">
        <f>first_year+46</f>
        <v>2070</v>
      </c>
      <c r="L128" s="1297"/>
      <c r="M128" s="1297"/>
      <c r="N128" s="1297"/>
      <c r="O128" s="1297"/>
      <c r="P128" s="1297"/>
      <c r="Q128" s="1297"/>
      <c r="R128" s="1297"/>
      <c r="S128" s="1297"/>
      <c r="T128" s="468" cm="1" t="str">
        <f t="array" ref="T128:T128">T127</f>
        <v>true</v>
      </c>
      <c r="U128" s="1297"/>
      <c r="V128" s="1297"/>
      <c r="W128" s="1297"/>
      <c r="X128" s="1539"/>
      <c r="Y128" s="1297"/>
      <c r="Z128" s="1529"/>
      <c r="AA128" s="1297"/>
      <c r="AB128" s="251" t="str">
        <f>K128&amp;" год"</f>
        <v>2070 год</v>
      </c>
      <c r="AC128" s="6792"/>
      <c r="AD128" s="6798"/>
      <c r="AE128" s="6799"/>
      <c r="AF128" s="6799"/>
      <c r="AG128" s="6798"/>
      <c r="AH128" s="6798"/>
      <c r="AI128" s="6798"/>
      <c r="AJ128" s="6819"/>
      <c r="AK128" s="6820"/>
      <c r="AL128" s="404"/>
      <c r="AM128" s="1297"/>
      <c r="AN128" s="1297"/>
      <c r="AO128" s="1072" cm="1" t="str">
        <f t="array" ref="AO128:AO128">K128</f>
        <v>2070</v>
      </c>
      <c r="AP128" s="1297"/>
      <c r="AQ128" s="1297"/>
    </row>
    <row s="6856" customFormat="1" customHeight="1" ht="14.25" hidden="1">
      <c r="A129" s="1297"/>
      <c r="B129" s="447">
        <f>K129&lt;first_year+PERIOD_LENGTH</f>
        <v>0</v>
      </c>
      <c r="C129" s="1297"/>
      <c r="D129" s="1297"/>
      <c r="E129" s="709">
        <v>15</v>
      </c>
      <c r="F129" s="50" cm="1" t="str">
        <f t="array" ref="F129:F129">OFFSET(E129,-1,1)</f>
        <v>1</v>
      </c>
      <c r="G129" s="1297"/>
      <c r="H129" s="1297"/>
      <c r="I129" s="1297"/>
      <c r="J129" s="1297"/>
      <c r="K129" s="154">
        <f>first_year+47</f>
        <v>2071</v>
      </c>
      <c r="L129" s="1297"/>
      <c r="M129" s="1297"/>
      <c r="N129" s="1297"/>
      <c r="O129" s="1297"/>
      <c r="P129" s="1297"/>
      <c r="Q129" s="1297"/>
      <c r="R129" s="1297"/>
      <c r="S129" s="1297"/>
      <c r="T129" s="468" cm="1" t="str">
        <f t="array" ref="T129:T129">T128</f>
        <v>true</v>
      </c>
      <c r="U129" s="1297"/>
      <c r="V129" s="1297"/>
      <c r="W129" s="1297"/>
      <c r="X129" s="1539"/>
      <c r="Y129" s="1297"/>
      <c r="Z129" s="1529"/>
      <c r="AA129" s="1297"/>
      <c r="AB129" s="251" t="str">
        <f>K129&amp;" год"</f>
        <v>2071 год</v>
      </c>
      <c r="AC129" s="6792"/>
      <c r="AD129" s="6798"/>
      <c r="AE129" s="6799"/>
      <c r="AF129" s="6799"/>
      <c r="AG129" s="6798"/>
      <c r="AH129" s="6798"/>
      <c r="AI129" s="6798"/>
      <c r="AJ129" s="6819"/>
      <c r="AK129" s="6820"/>
      <c r="AL129" s="404"/>
      <c r="AM129" s="1297"/>
      <c r="AN129" s="1297"/>
      <c r="AO129" s="1072" cm="1" t="str">
        <f t="array" ref="AO129:AO129">K129</f>
        <v>2071</v>
      </c>
      <c r="AP129" s="1297"/>
      <c r="AQ129" s="1297"/>
    </row>
    <row s="6857" customFormat="1" customHeight="1" ht="14.25" hidden="1">
      <c r="A130" s="1297"/>
      <c r="B130" s="447">
        <f>K130&lt;first_year+PERIOD_LENGTH</f>
        <v>0</v>
      </c>
      <c r="C130" s="1297"/>
      <c r="D130" s="1297"/>
      <c r="E130" s="709">
        <v>15</v>
      </c>
      <c r="F130" s="50" cm="1" t="str">
        <f t="array" ref="F130:F130">OFFSET(E130,-1,1)</f>
        <v>1</v>
      </c>
      <c r="G130" s="1297"/>
      <c r="H130" s="1297"/>
      <c r="I130" s="1297"/>
      <c r="J130" s="1297"/>
      <c r="K130" s="154">
        <f>first_year+48</f>
        <v>2072</v>
      </c>
      <c r="L130" s="1297"/>
      <c r="M130" s="1297"/>
      <c r="N130" s="1297"/>
      <c r="O130" s="1297"/>
      <c r="P130" s="1297"/>
      <c r="Q130" s="1297"/>
      <c r="R130" s="1297"/>
      <c r="S130" s="1297"/>
      <c r="T130" s="468" cm="1" t="str">
        <f t="array" ref="T130:T130">T129</f>
        <v>true</v>
      </c>
      <c r="U130" s="1297"/>
      <c r="V130" s="1297"/>
      <c r="W130" s="1297"/>
      <c r="X130" s="1539"/>
      <c r="Y130" s="1297"/>
      <c r="Z130" s="1529"/>
      <c r="AA130" s="1297"/>
      <c r="AB130" s="251" t="str">
        <f>K130&amp;" год"</f>
        <v>2072 год</v>
      </c>
      <c r="AC130" s="6792"/>
      <c r="AD130" s="6798"/>
      <c r="AE130" s="6799"/>
      <c r="AF130" s="6799"/>
      <c r="AG130" s="6798"/>
      <c r="AH130" s="6798"/>
      <c r="AI130" s="6798"/>
      <c r="AJ130" s="6819"/>
      <c r="AK130" s="6820"/>
      <c r="AL130" s="404"/>
      <c r="AM130" s="1297"/>
      <c r="AN130" s="1297"/>
      <c r="AO130" s="1072" cm="1" t="str">
        <f t="array" ref="AO130:AO130">K130</f>
        <v>2072</v>
      </c>
      <c r="AP130" s="1297"/>
      <c r="AQ130" s="1297"/>
    </row>
    <row s="6858" customFormat="1" customHeight="1" ht="14.25" hidden="1">
      <c r="A131" s="1297"/>
      <c r="B131" s="447">
        <f>K131&lt;first_year+PERIOD_LENGTH</f>
        <v>0</v>
      </c>
      <c r="C131" s="1297"/>
      <c r="D131" s="1297"/>
      <c r="E131" s="709">
        <v>15</v>
      </c>
      <c r="F131" s="50" cm="1" t="str">
        <f t="array" ref="F131:F131">OFFSET(E131,-1,1)</f>
        <v>1</v>
      </c>
      <c r="G131" s="1297"/>
      <c r="H131" s="1297"/>
      <c r="I131" s="1297"/>
      <c r="J131" s="1297"/>
      <c r="K131" s="154">
        <f>first_year+49</f>
        <v>2073</v>
      </c>
      <c r="L131" s="1297"/>
      <c r="M131" s="1297"/>
      <c r="N131" s="1297"/>
      <c r="O131" s="1297"/>
      <c r="P131" s="1297"/>
      <c r="Q131" s="1297"/>
      <c r="R131" s="1297"/>
      <c r="S131" s="1297"/>
      <c r="T131" s="468" cm="1" t="str">
        <f t="array" ref="T131:T131">T130</f>
        <v>true</v>
      </c>
      <c r="U131" s="1297"/>
      <c r="V131" s="1297"/>
      <c r="W131" s="1297"/>
      <c r="X131" s="1539"/>
      <c r="Y131" s="1297"/>
      <c r="Z131" s="1529"/>
      <c r="AA131" s="1297"/>
      <c r="AB131" s="251" t="str">
        <f>K131&amp;" год"</f>
        <v>2073 год</v>
      </c>
      <c r="AC131" s="6792"/>
      <c r="AD131" s="6798"/>
      <c r="AE131" s="6799"/>
      <c r="AF131" s="6799"/>
      <c r="AG131" s="6798"/>
      <c r="AH131" s="6798"/>
      <c r="AI131" s="6798"/>
      <c r="AJ131" s="6819"/>
      <c r="AK131" s="6820"/>
      <c r="AL131" s="404"/>
      <c r="AM131" s="1297"/>
      <c r="AN131" s="1297"/>
      <c r="AO131" s="1072" cm="1" t="str">
        <f t="array" ref="AO131:AO131">K131</f>
        <v>2073</v>
      </c>
      <c r="AP131" s="1297"/>
      <c r="AQ131" s="1297"/>
    </row>
    <row s="541" customFormat="1" customHeight="1" ht="28.171875">
      <c r="A132" s="1331"/>
      <c r="B132" s="430"/>
      <c r="C132" s="1331"/>
      <c r="D132" s="1331"/>
      <c r="E132" s="623">
        <v>15</v>
      </c>
      <c r="F132" s="94" cm="1" t="str">
        <f t="array" ref="F132:F132">X132</f>
        <v>2</v>
      </c>
      <c r="G132" s="1331"/>
      <c r="H132" s="1331"/>
      <c r="I132" s="1331"/>
      <c r="J132" s="1331"/>
      <c r="K132" s="1331"/>
      <c r="L132" s="1331"/>
      <c r="M132" s="1331"/>
      <c r="N132" s="1331"/>
      <c r="O132" s="1331"/>
      <c r="P132" s="1331"/>
      <c r="Q132" s="1331"/>
      <c r="R132" s="1331"/>
      <c r="S132" s="1331"/>
      <c r="T132" s="468">
        <f>X132&gt;0</f>
        <v>1</v>
      </c>
      <c r="U132" s="1331"/>
      <c r="V132" s="118" cm="1" t="str">
        <f t="array" ref="V132:V132">'Калькуляция (МИ корр)'!$AB$316</f>
        <v>Тариф 2 (Водоотведение) - тариф на водоотведение (Оказание услуг на территории: город Ленинск-Кузнецкий (ОКТМО: 32719000) - г Ленинск-Кузнецкий)</v>
      </c>
      <c r="W132" s="1331"/>
      <c r="X132" s="1539" t="s">
        <v>299</v>
      </c>
      <c r="Y132" s="1331"/>
      <c r="Z132" s="1529"/>
      <c r="AA132" s="1331"/>
      <c r="AB132" s="377" cm="1" t="str">
        <f t="array" ref="AB132:AB132">'Калькуляция (МИ корр)'!$AB$316</f>
        <v>Тариф 2 (Водоотведение) - тариф на водоотведение (Оказание услуг на территории: город Ленинск-Кузнецкий (ОКТМО: 32719000) - г Ленинск-Кузнецкий)</v>
      </c>
      <c r="AC132" s="839"/>
      <c r="AD132" s="839"/>
      <c r="AE132" s="839"/>
      <c r="AF132" s="839"/>
      <c r="AG132" s="839"/>
      <c r="AH132" s="839"/>
      <c r="AI132" s="839"/>
      <c r="AJ132" s="839"/>
      <c r="AK132" s="839"/>
      <c r="AL132" s="403"/>
      <c r="AM132" s="1331"/>
      <c r="AN132" s="1331"/>
      <c r="AO132" s="1005"/>
      <c r="AP132" s="1331"/>
      <c r="AQ132" s="1331"/>
    </row>
    <row s="6859" customFormat="1" customHeight="1" ht="16.921875">
      <c r="A133" s="1297"/>
      <c r="B133" s="447">
        <f>K133&lt;first_year+PERIOD_LENGTH</f>
        <v>1</v>
      </c>
      <c r="C133" s="1297"/>
      <c r="D133" s="1297"/>
      <c r="E133" s="709">
        <v>15</v>
      </c>
      <c r="F133" s="50" cm="1" t="str">
        <f t="array" ref="F133:F133">OFFSET(E133,-1,1)</f>
        <v>2</v>
      </c>
      <c r="G133" s="1297"/>
      <c r="H133" s="1297"/>
      <c r="I133" s="1297"/>
      <c r="J133" s="1297"/>
      <c r="K133" s="154" cm="1" t="str">
        <f t="array" ref="K133:K133">first_year</f>
        <v>2024</v>
      </c>
      <c r="L133" s="1297"/>
      <c r="M133" s="1297"/>
      <c r="N133" s="1297"/>
      <c r="O133" s="1297"/>
      <c r="P133" s="1297"/>
      <c r="Q133" s="1297"/>
      <c r="R133" s="1297"/>
      <c r="S133" s="1297"/>
      <c r="T133" s="468" cm="1" t="str">
        <f t="array" ref="T133:T133">T132</f>
        <v>true</v>
      </c>
      <c r="U133" s="1297"/>
      <c r="V133" s="1297"/>
      <c r="W133" s="1297"/>
      <c r="X133" s="1539"/>
      <c r="Y133" s="1297"/>
      <c r="Z133" s="1529"/>
      <c r="AA133" s="1297"/>
      <c r="AB133" s="840" t="str">
        <f>K133&amp;" год"</f>
        <v>2024 год</v>
      </c>
      <c r="AC133" s="928">
        <f>IF(god=first_year,_xlfn.SUMIFS('Калькуляция (МИ)'!AT$26:AT$603,'Калькуляция (МИ)'!F$26:F$603,F133,'Калькуляция (МИ)'!AC$26:AC$603,"операционные расходы"),IF(god&lt;first_year+3,_xlfn.IFERROR(_xlfn.SUMIFS(INDEX('Калькуляция (МИ корр)'!$AE$25:$BC$606,,MATCH(K133&amp;"Принято органом регулирования",'Калькуляция (МИ корр)'!$AE$8:$BC$8,0)),'Калькуляция (МИ корр)'!$F$25:$F$606,F133,'Калькуляция (МИ корр)'!$AC$25:$AC$606,"Операционные расходы"),0),""))</f>
        <v>163199.05</v>
      </c>
      <c r="AD133" s="842"/>
      <c r="AE133" s="841"/>
      <c r="AF133" s="841"/>
      <c r="AG133" s="1283" cm="1" t="str">
        <f t="array" ref="AG133:AG133">'ДПР (концессии)'!AG289</f>
        <v>0.73</v>
      </c>
      <c r="AH133" s="6806"/>
      <c r="AI133" s="6806"/>
      <c r="AJ133" s="6791">
        <f>_xlfn.IFERROR(_xlfn.SUMIFS(INDEX(Electricity_LOAD_1,,MATCH($K133&amp;"Принято органом регулирования",ЭЭ!$AE$8:$BB$8,0)),ЭЭ!$F$25:$F$175,$F133,ЭЭ!$AC$25:$AC$175,"Удельный расход электроэнергии"),0)</f>
        <v>0.73000038156003</v>
      </c>
      <c r="AK133" s="6791">
        <f>_xlfn.IFERROR(_xlfn.SUMIFS(INDEX(Electricity_LOAD_1,,MATCH($K133&amp;"Принято органом регулирования",ЭЭ!$AE$8:$BB$8,0)),ЭЭ!$F$25:$F$175,$F133,ЭЭ!$AC$25:$AC$175,"Удельный расход электроэнергии"),0)</f>
        <v>0.73000038156003</v>
      </c>
      <c r="AL133" s="404"/>
      <c r="AM133" s="154" t="s">
        <v>2770</v>
      </c>
      <c r="AN133" s="1297"/>
      <c r="AO133" s="1072" cm="1" t="str">
        <f t="array" ref="AO133:AO133">K133</f>
        <v>2024</v>
      </c>
      <c r="AP133" s="1297"/>
      <c r="AQ133" s="1297"/>
    </row>
    <row s="6860" customFormat="1" customHeight="1" ht="14.25">
      <c r="A134" s="1297"/>
      <c r="B134" s="447">
        <f>K134&lt;first_year+PERIOD_LENGTH</f>
        <v>1</v>
      </c>
      <c r="C134" s="1297"/>
      <c r="D134" s="1297"/>
      <c r="E134" s="709">
        <v>15</v>
      </c>
      <c r="F134" s="50" cm="1" t="str">
        <f t="array" ref="F134:F134">OFFSET(E134,-1,1)</f>
        <v>2</v>
      </c>
      <c r="G134" s="1297"/>
      <c r="H134" s="1297"/>
      <c r="I134" s="1297"/>
      <c r="J134" s="1297"/>
      <c r="K134" s="154">
        <f>first_year+1</f>
        <v>2025</v>
      </c>
      <c r="L134" s="1297"/>
      <c r="M134" s="1297"/>
      <c r="N134" s="1297"/>
      <c r="O134" s="1297"/>
      <c r="P134" s="1297"/>
      <c r="Q134" s="1297"/>
      <c r="R134" s="1297"/>
      <c r="S134" s="1297"/>
      <c r="T134" s="468" cm="1" t="str">
        <f t="array" ref="T134:T134">T133</f>
        <v>true</v>
      </c>
      <c r="U134" s="1297"/>
      <c r="V134" s="1297"/>
      <c r="W134" s="1297"/>
      <c r="X134" s="1539"/>
      <c r="Y134" s="1297"/>
      <c r="Z134" s="1529"/>
      <c r="AA134" s="1297"/>
      <c r="AB134" s="840" t="str">
        <f>K134&amp;" год"</f>
        <v>2025 год</v>
      </c>
      <c r="AC134" s="841"/>
      <c r="AD134" s="842"/>
      <c r="AE134" s="841"/>
      <c r="AF134" s="841"/>
      <c r="AG134" s="1283" cm="1" t="str">
        <f t="array" ref="AG134:AG134">'ДПР (концессии)'!AG290</f>
        <v>0.73</v>
      </c>
      <c r="AH134" s="6806"/>
      <c r="AI134" s="6806"/>
      <c r="AJ134" s="6791">
        <f>_xlfn.IFERROR(_xlfn.SUMIFS(INDEX(Electricity_LOAD_1,,MATCH($K134&amp;"Принято органом регулирования",ЭЭ!$AE$8:$BB$8,0)),ЭЭ!$F$25:$F$175,$F134,ЭЭ!$AC$25:$AC$175,"Удельный расход электроэнергии"),0)</f>
        <v>0.72999984674452</v>
      </c>
      <c r="AK134" s="6791">
        <f>_xlfn.IFERROR(_xlfn.SUMIFS(INDEX(Electricity_LOAD_1,,MATCH($K134&amp;"Принято органом регулирования",ЭЭ!$AE$8:$BB$8,0)),ЭЭ!$F$25:$F$175,$F134,ЭЭ!$AC$25:$AC$175,"Удельный расход электроэнергии"),0)</f>
        <v>0.72999984674452</v>
      </c>
      <c r="AL134" s="404"/>
      <c r="AM134" s="1297" t="s">
        <v>2770</v>
      </c>
      <c r="AN134" s="1297"/>
      <c r="AO134" s="1072" cm="1" t="str">
        <f t="array" ref="AO134:AO134">K134</f>
        <v>2025</v>
      </c>
      <c r="AP134" s="1297"/>
      <c r="AQ134" s="1297"/>
    </row>
    <row s="6861" customFormat="1" customHeight="1" ht="14.25">
      <c r="A135" s="1297"/>
      <c r="B135" s="447">
        <f>K135&lt;first_year+PERIOD_LENGTH</f>
        <v>1</v>
      </c>
      <c r="C135" s="1297"/>
      <c r="D135" s="1297"/>
      <c r="E135" s="709">
        <v>15</v>
      </c>
      <c r="F135" s="50" cm="1" t="str">
        <f t="array" ref="F135:F135">OFFSET(E135,-1,1)</f>
        <v>2</v>
      </c>
      <c r="G135" s="1297"/>
      <c r="H135" s="1297"/>
      <c r="I135" s="1297"/>
      <c r="J135" s="1297"/>
      <c r="K135" s="154">
        <f>first_year+2</f>
        <v>2026</v>
      </c>
      <c r="L135" s="1297"/>
      <c r="M135" s="1297"/>
      <c r="N135" s="1297"/>
      <c r="O135" s="1297"/>
      <c r="P135" s="1297"/>
      <c r="Q135" s="1297"/>
      <c r="R135" s="1297"/>
      <c r="S135" s="1297"/>
      <c r="T135" s="468" cm="1" t="str">
        <f t="array" ref="T135:T135">T134</f>
        <v>true</v>
      </c>
      <c r="U135" s="1297"/>
      <c r="V135" s="1297"/>
      <c r="W135" s="1297"/>
      <c r="X135" s="1539"/>
      <c r="Y135" s="1297"/>
      <c r="Z135" s="1529"/>
      <c r="AA135" s="1297"/>
      <c r="AB135" s="840" t="str">
        <f>K135&amp;" год"</f>
        <v>2026 год</v>
      </c>
      <c r="AC135" s="841"/>
      <c r="AD135" s="842"/>
      <c r="AE135" s="841"/>
      <c r="AF135" s="841"/>
      <c r="AG135" s="1283" cm="1" t="str">
        <f t="array" ref="AG135:AG135">'ДПР (концессии)'!AG291</f>
        <v>0.73</v>
      </c>
      <c r="AH135" s="6806"/>
      <c r="AI135" s="6806"/>
      <c r="AJ135" s="6791">
        <f>_xlfn.IFERROR(_xlfn.SUMIFS(INDEX(Electricity_LOAD_1,,MATCH($K135&amp;"Принято органом регулирования",ЭЭ!$AE$8:$BB$8,0)),ЭЭ!$F$25:$F$175,$F135,ЭЭ!$AC$25:$AC$175,"Удельный расход электроэнергии"),0)</f>
        <v>0.730000697963862</v>
      </c>
      <c r="AK135" s="6791">
        <f>_xlfn.IFERROR(_xlfn.SUMIFS(INDEX(Electricity_LOAD_1,,MATCH($K135&amp;"Принято органом регулирования",ЭЭ!$AE$8:$BB$8,0)),ЭЭ!$F$25:$F$175,$F135,ЭЭ!$AC$25:$AC$175,"Удельный расход электроэнергии"),0)</f>
        <v>0.730000697963862</v>
      </c>
      <c r="AL135" s="404"/>
      <c r="AM135" s="1297" t="s">
        <v>2770</v>
      </c>
      <c r="AN135" s="1297"/>
      <c r="AO135" s="1072" cm="1" t="str">
        <f t="array" ref="AO135:AO135">K135</f>
        <v>2026</v>
      </c>
      <c r="AP135" s="1297"/>
      <c r="AQ135" s="1297"/>
    </row>
    <row s="6862" customFormat="1" customHeight="1" ht="14.25">
      <c r="A136" s="1297"/>
      <c r="B136" s="447">
        <f>K136&lt;first_year+PERIOD_LENGTH</f>
        <v>1</v>
      </c>
      <c r="C136" s="1297"/>
      <c r="D136" s="1297"/>
      <c r="E136" s="709">
        <v>15</v>
      </c>
      <c r="F136" s="50" cm="1" t="str">
        <f t="array" ref="F136:F136">OFFSET(E136,-1,1)</f>
        <v>2</v>
      </c>
      <c r="G136" s="1297"/>
      <c r="H136" s="1297"/>
      <c r="I136" s="1297"/>
      <c r="J136" s="1297"/>
      <c r="K136" s="154">
        <f>first_year+3</f>
        <v>2027</v>
      </c>
      <c r="L136" s="1297"/>
      <c r="M136" s="1297"/>
      <c r="N136" s="1297"/>
      <c r="O136" s="1297"/>
      <c r="P136" s="1297"/>
      <c r="Q136" s="1297"/>
      <c r="R136" s="1297"/>
      <c r="S136" s="1297"/>
      <c r="T136" s="468" cm="1" t="str">
        <f t="array" ref="T136:T136">T135</f>
        <v>true</v>
      </c>
      <c r="U136" s="1297"/>
      <c r="V136" s="1297"/>
      <c r="W136" s="1297"/>
      <c r="X136" s="1539"/>
      <c r="Y136" s="1297"/>
      <c r="Z136" s="1529"/>
      <c r="AA136" s="1297"/>
      <c r="AB136" s="840" t="str">
        <f>K136&amp;" год"</f>
        <v>2027 год</v>
      </c>
      <c r="AC136" s="841"/>
      <c r="AD136" s="842"/>
      <c r="AE136" s="841"/>
      <c r="AF136" s="841"/>
      <c r="AG136" s="1283" cm="1" t="str">
        <f t="array" ref="AG136:AG136">'ДПР (концессии)'!AG292</f>
        <v>0.73</v>
      </c>
      <c r="AH136" s="6806"/>
      <c r="AI136" s="6806"/>
      <c r="AJ136" s="6791">
        <f>_xlfn.IFERROR(_xlfn.SUMIFS(INDEX(Electricity_LOAD_1,,MATCH($K136&amp;"Принято органом регулирования",ЭЭ!$AE$8:$BB$8,0)),ЭЭ!$F$25:$F$175,$F136,ЭЭ!$AC$25:$AC$175,"Удельный расход электроэнергии"),0)</f>
        <v>0.730000697963862</v>
      </c>
      <c r="AK136" s="6791">
        <f>_xlfn.IFERROR(_xlfn.SUMIFS(INDEX(Electricity_LOAD_1,,MATCH($K136&amp;"Принято органом регулирования",ЭЭ!$AE$8:$BB$8,0)),ЭЭ!$F$25:$F$175,$F136,ЭЭ!$AC$25:$AC$175,"Удельный расход электроэнергии"),0)</f>
        <v>0.730000697963862</v>
      </c>
      <c r="AL136" s="404"/>
      <c r="AM136" s="1297" t="s">
        <v>2770</v>
      </c>
      <c r="AN136" s="1297"/>
      <c r="AO136" s="1072" cm="1" t="str">
        <f t="array" ref="AO136:AO136">K136</f>
        <v>2027</v>
      </c>
      <c r="AP136" s="1297"/>
      <c r="AQ136" s="1297"/>
    </row>
    <row s="6863" customFormat="1" customHeight="1" ht="14.25">
      <c r="A137" s="1297"/>
      <c r="B137" s="447">
        <f>K137&lt;first_year+PERIOD_LENGTH</f>
        <v>1</v>
      </c>
      <c r="C137" s="1297"/>
      <c r="D137" s="1297"/>
      <c r="E137" s="709">
        <v>15</v>
      </c>
      <c r="F137" s="50" cm="1" t="str">
        <f t="array" ref="F137:F137">OFFSET(E137,-1,1)</f>
        <v>2</v>
      </c>
      <c r="G137" s="1297"/>
      <c r="H137" s="1297"/>
      <c r="I137" s="1297"/>
      <c r="J137" s="1297"/>
      <c r="K137" s="154">
        <f>first_year+4</f>
        <v>2028</v>
      </c>
      <c r="L137" s="1297"/>
      <c r="M137" s="1297"/>
      <c r="N137" s="1297"/>
      <c r="O137" s="1297"/>
      <c r="P137" s="1297"/>
      <c r="Q137" s="1297"/>
      <c r="R137" s="1297"/>
      <c r="S137" s="1297"/>
      <c r="T137" s="468" cm="1" t="str">
        <f t="array" ref="T137:T137">T136</f>
        <v>true</v>
      </c>
      <c r="U137" s="1297"/>
      <c r="V137" s="1297"/>
      <c r="W137" s="1297"/>
      <c r="X137" s="1539"/>
      <c r="Y137" s="1297"/>
      <c r="Z137" s="1529"/>
      <c r="AA137" s="1297"/>
      <c r="AB137" s="840" t="str">
        <f>K137&amp;" год"</f>
        <v>2028 год</v>
      </c>
      <c r="AC137" s="841"/>
      <c r="AD137" s="842"/>
      <c r="AE137" s="841"/>
      <c r="AF137" s="841"/>
      <c r="AG137" s="1283" cm="1" t="str">
        <f t="array" ref="AG137:AG137">'ДПР (концессии)'!AG293</f>
        <v>0.73</v>
      </c>
      <c r="AH137" s="6806"/>
      <c r="AI137" s="6806"/>
      <c r="AJ137" s="6791">
        <f>_xlfn.IFERROR(_xlfn.SUMIFS(INDEX(Electricity_LOAD_1,,MATCH($K137&amp;"Принято органом регулирования",ЭЭ!$AE$8:$BB$8,0)),ЭЭ!$F$25:$F$175,$F137,ЭЭ!$AC$25:$AC$175,"Удельный расход электроэнергии"),0)</f>
        <v>0.730000697963862</v>
      </c>
      <c r="AK137" s="6791">
        <f>_xlfn.IFERROR(_xlfn.SUMIFS(INDEX(Electricity_LOAD_1,,MATCH($K137&amp;"Принято органом регулирования",ЭЭ!$AE$8:$BB$8,0)),ЭЭ!$F$25:$F$175,$F137,ЭЭ!$AC$25:$AC$175,"Удельный расход электроэнергии"),0)</f>
        <v>0.730000697963862</v>
      </c>
      <c r="AL137" s="404"/>
      <c r="AM137" s="1297" t="s">
        <v>2770</v>
      </c>
      <c r="AN137" s="1297"/>
      <c r="AO137" s="1072" cm="1" t="str">
        <f t="array" ref="AO137:AO137">K137</f>
        <v>2028</v>
      </c>
      <c r="AP137" s="1297"/>
      <c r="AQ137" s="1297"/>
    </row>
    <row s="6864" customFormat="1" customHeight="1" ht="14.25" hidden="1">
      <c r="A138" s="1297"/>
      <c r="B138" s="447">
        <f>K138&lt;first_year+PERIOD_LENGTH</f>
        <v>0</v>
      </c>
      <c r="C138" s="1297"/>
      <c r="D138" s="1297"/>
      <c r="E138" s="709">
        <v>15</v>
      </c>
      <c r="F138" s="50" cm="1" t="str">
        <f t="array" ref="F138:F138">OFFSET(E138,-1,1)</f>
        <v>2</v>
      </c>
      <c r="G138" s="1297"/>
      <c r="H138" s="1297"/>
      <c r="I138" s="1297"/>
      <c r="J138" s="1297"/>
      <c r="K138" s="154">
        <f>first_year+5</f>
        <v>2029</v>
      </c>
      <c r="L138" s="1297"/>
      <c r="M138" s="1297"/>
      <c r="N138" s="1297"/>
      <c r="O138" s="1297"/>
      <c r="P138" s="1297"/>
      <c r="Q138" s="1297"/>
      <c r="R138" s="1297"/>
      <c r="S138" s="1297"/>
      <c r="T138" s="468" cm="1" t="str">
        <f t="array" ref="T138:T138">T137</f>
        <v>true</v>
      </c>
      <c r="U138" s="1297"/>
      <c r="V138" s="1297"/>
      <c r="W138" s="1297"/>
      <c r="X138" s="1539"/>
      <c r="Y138" s="1297"/>
      <c r="Z138" s="1529"/>
      <c r="AA138" s="1297"/>
      <c r="AB138" s="840" t="str">
        <f>K138&amp;" год"</f>
        <v>2029 год</v>
      </c>
      <c r="AC138" s="6792"/>
      <c r="AD138" s="6791">
        <f>_xlfn.IFERROR(_xlfn.SUMIFS(INDEX(Сценарии!$AE$25:$BF$136,,MATCH($K138&amp;"Принято органом регулирования",Сценарии!$AE$8:$BF$8,0)),Сценарии!$F$25:$F$136,$F138,Сценарии!$AC$25:$AC$136,"Индекс эффективности операционных расходов"),0)</f>
        <v>0</v>
      </c>
      <c r="AE138" s="6792"/>
      <c r="AF138" s="6792">
        <f>_xlfn.IFERROR(_xlfn.SUMIFS(INDEX(Баланс!$AE$25:$BB$391,,MATCH($K138&amp;"Принято органом регулирования",Баланс!$AE$8:$BB$8,0)),Баланс!$F$25:$F$391,$F138,Баланс!$AC$24:$AC$391,"Уровень потерь воды"),0)</f>
        <v>0</v>
      </c>
      <c r="AG138" s="6793">
        <f>_xlfn.IFERROR(_xlfn.SUMIFS(INDEX(Electricity_LOAD_1,,MATCH($K138&amp;"Принято органом регулирования",ЭЭ!$AE$8:$BB$8,0)),ЭЭ!$F$25:$F$175,$F138,ЭЭ!$AC$25:$AC$175,"Удельный расход электроэнергии"),0)</f>
        <v>0</v>
      </c>
      <c r="AH138" s="6806"/>
      <c r="AI138" s="6806"/>
      <c r="AJ138" s="6791">
        <f>_xlfn.IFERROR(_xlfn.SUMIFS(INDEX(Electricity_LOAD_1,,MATCH($K138&amp;"Принято органом регулирования",ЭЭ!$AE$8:$BB$8,0)),ЭЭ!$F$25:$F$175,$F138,ЭЭ!$AC$25:$AC$175,"Удельный расход электроэнергии"),0)</f>
        <v>0</v>
      </c>
      <c r="AK138" s="6791">
        <f>_xlfn.IFERROR(_xlfn.SUMIFS(INDEX(Electricity_LOAD_1,,MATCH($K138&amp;"Принято органом регулирования",ЭЭ!$AE$8:$BB$8,0)),ЭЭ!$F$25:$F$175,$F138,ЭЭ!$AC$25:$AC$175,"Удельный расход электроэнергии"),0)</f>
        <v>0</v>
      </c>
      <c r="AL138" s="404"/>
      <c r="AM138" s="1297" t="s">
        <v>2770</v>
      </c>
      <c r="AN138" s="1297"/>
      <c r="AO138" s="1072" cm="1" t="str">
        <f t="array" ref="AO138:AO138">K138</f>
        <v>2029</v>
      </c>
      <c r="AP138" s="1297"/>
      <c r="AQ138" s="1297"/>
    </row>
    <row s="6865" customFormat="1" customHeight="1" ht="14.25" hidden="1">
      <c r="A139" s="1297"/>
      <c r="B139" s="447">
        <f>K139&lt;first_year+PERIOD_LENGTH</f>
        <v>0</v>
      </c>
      <c r="C139" s="1297"/>
      <c r="D139" s="1297"/>
      <c r="E139" s="709">
        <v>15</v>
      </c>
      <c r="F139" s="50" cm="1" t="str">
        <f t="array" ref="F139:F139">OFFSET(E139,-1,1)</f>
        <v>2</v>
      </c>
      <c r="G139" s="1297"/>
      <c r="H139" s="1297"/>
      <c r="I139" s="1297"/>
      <c r="J139" s="1297"/>
      <c r="K139" s="154">
        <f>first_year+6</f>
        <v>2030</v>
      </c>
      <c r="L139" s="1297"/>
      <c r="M139" s="1297"/>
      <c r="N139" s="1297"/>
      <c r="O139" s="1297"/>
      <c r="P139" s="1297"/>
      <c r="Q139" s="1297"/>
      <c r="R139" s="1297"/>
      <c r="S139" s="1297"/>
      <c r="T139" s="468" cm="1" t="str">
        <f t="array" ref="T139:T139">T138</f>
        <v>true</v>
      </c>
      <c r="U139" s="1297"/>
      <c r="V139" s="1297"/>
      <c r="W139" s="1297"/>
      <c r="X139" s="1539"/>
      <c r="Y139" s="1297"/>
      <c r="Z139" s="1529"/>
      <c r="AA139" s="1297"/>
      <c r="AB139" s="840" t="str">
        <f>K139&amp;" год"</f>
        <v>2030 год</v>
      </c>
      <c r="AC139" s="6792"/>
      <c r="AD139" s="6791">
        <f>_xlfn.IFERROR(_xlfn.SUMIFS(INDEX(Сценарии!$AE$25:$BF$136,,MATCH($K139&amp;"Принято органом регулирования",Сценарии!$AE$8:$BF$8,0)),Сценарии!$F$25:$F$136,$F139,Сценарии!$AC$25:$AC$136,"Индекс эффективности операционных расходов"),0)</f>
        <v>0</v>
      </c>
      <c r="AE139" s="6792"/>
      <c r="AF139" s="6792">
        <f>_xlfn.IFERROR(_xlfn.SUMIFS(INDEX(Баланс!$AE$25:$BB$391,,MATCH($K139&amp;"Принято органом регулирования",Баланс!$AE$8:$BB$8,0)),Баланс!$F$25:$F$391,$F139,Баланс!$AC$24:$AC$391,"Уровень потерь воды"),0)</f>
        <v>0</v>
      </c>
      <c r="AG139" s="6793">
        <f>_xlfn.IFERROR(_xlfn.SUMIFS(INDEX(Electricity_LOAD_1,,MATCH($K139&amp;"Принято органом регулирования",ЭЭ!$AE$8:$BB$8,0)),ЭЭ!$F$25:$F$175,$F139,ЭЭ!$AC$25:$AC$175,"Удельный расход электроэнергии"),0)</f>
        <v>0</v>
      </c>
      <c r="AH139" s="6806"/>
      <c r="AI139" s="6806"/>
      <c r="AJ139" s="6791">
        <f>_xlfn.IFERROR(_xlfn.SUMIFS(INDEX(Electricity_LOAD_1,,MATCH($K139&amp;"Принято органом регулирования",ЭЭ!$AE$8:$BB$8,0)),ЭЭ!$F$25:$F$175,$F139,ЭЭ!$AC$25:$AC$175,"Удельный расход электроэнергии"),0)</f>
        <v>0</v>
      </c>
      <c r="AK139" s="6791">
        <f>_xlfn.IFERROR(_xlfn.SUMIFS(INDEX(Electricity_LOAD_1,,MATCH($K139&amp;"Принято органом регулирования",ЭЭ!$AE$8:$BB$8,0)),ЭЭ!$F$25:$F$175,$F139,ЭЭ!$AC$25:$AC$175,"Удельный расход электроэнергии"),0)</f>
        <v>0</v>
      </c>
      <c r="AL139" s="404"/>
      <c r="AM139" s="1297" t="s">
        <v>2770</v>
      </c>
      <c r="AN139" s="1297"/>
      <c r="AO139" s="1072" cm="1" t="str">
        <f t="array" ref="AO139:AO139">K139</f>
        <v>2030</v>
      </c>
      <c r="AP139" s="1297"/>
      <c r="AQ139" s="1297"/>
    </row>
    <row s="6866" customFormat="1" customHeight="1" ht="14.25" hidden="1">
      <c r="A140" s="1297"/>
      <c r="B140" s="447">
        <f>K140&lt;first_year+PERIOD_LENGTH</f>
        <v>0</v>
      </c>
      <c r="C140" s="1297"/>
      <c r="D140" s="1297"/>
      <c r="E140" s="709">
        <v>15</v>
      </c>
      <c r="F140" s="50" cm="1" t="str">
        <f t="array" ref="F140:F140">OFFSET(E140,-1,1)</f>
        <v>2</v>
      </c>
      <c r="G140" s="1297"/>
      <c r="H140" s="1297"/>
      <c r="I140" s="1297"/>
      <c r="J140" s="1297"/>
      <c r="K140" s="154">
        <f>first_year+7</f>
        <v>2031</v>
      </c>
      <c r="L140" s="1297"/>
      <c r="M140" s="1297"/>
      <c r="N140" s="1297"/>
      <c r="O140" s="1297"/>
      <c r="P140" s="1297"/>
      <c r="Q140" s="1297"/>
      <c r="R140" s="1297"/>
      <c r="S140" s="1297"/>
      <c r="T140" s="468" cm="1" t="str">
        <f t="array" ref="T140:T140">T139</f>
        <v>true</v>
      </c>
      <c r="U140" s="1297"/>
      <c r="V140" s="1297"/>
      <c r="W140" s="1297"/>
      <c r="X140" s="1539"/>
      <c r="Y140" s="1297"/>
      <c r="Z140" s="1529"/>
      <c r="AA140" s="1297"/>
      <c r="AB140" s="840" t="str">
        <f>K140&amp;" год"</f>
        <v>2031 год</v>
      </c>
      <c r="AC140" s="6792"/>
      <c r="AD140" s="6791">
        <f>_xlfn.IFERROR(_xlfn.SUMIFS(INDEX(Сценарии!$AE$25:$BF$136,,MATCH($K140&amp;"Принято органом регулирования",Сценарии!$AE$8:$BF$8,0)),Сценарии!$F$25:$F$136,$F140,Сценарии!$AC$25:$AC$136,"Индекс эффективности операционных расходов"),0)</f>
        <v>0</v>
      </c>
      <c r="AE140" s="6792"/>
      <c r="AF140" s="6792">
        <f>_xlfn.IFERROR(_xlfn.SUMIFS(INDEX(Баланс!$AE$25:$BB$391,,MATCH($K140&amp;"Принято органом регулирования",Баланс!$AE$8:$BB$8,0)),Баланс!$F$25:$F$391,$F140,Баланс!$AC$24:$AC$391,"Уровень потерь воды"),0)</f>
        <v>0</v>
      </c>
      <c r="AG140" s="6793">
        <f>_xlfn.IFERROR(_xlfn.SUMIFS(INDEX(Electricity_LOAD_1,,MATCH($K140&amp;"Принято органом регулирования",ЭЭ!$AE$8:$BB$8,0)),ЭЭ!$F$25:$F$175,$F140,ЭЭ!$AC$25:$AC$175,"Удельный расход электроэнергии"),0)</f>
        <v>0</v>
      </c>
      <c r="AH140" s="6806"/>
      <c r="AI140" s="6806"/>
      <c r="AJ140" s="6791">
        <f>_xlfn.IFERROR(_xlfn.SUMIFS(INDEX(Electricity_LOAD_1,,MATCH($K140&amp;"Принято органом регулирования",ЭЭ!$AE$8:$BB$8,0)),ЭЭ!$F$25:$F$175,$F140,ЭЭ!$AC$25:$AC$175,"Удельный расход электроэнергии"),0)</f>
        <v>0</v>
      </c>
      <c r="AK140" s="6791">
        <f>_xlfn.IFERROR(_xlfn.SUMIFS(INDEX(Electricity_LOAD_1,,MATCH($K140&amp;"Принято органом регулирования",ЭЭ!$AE$8:$BB$8,0)),ЭЭ!$F$25:$F$175,$F140,ЭЭ!$AC$25:$AC$175,"Удельный расход электроэнергии"),0)</f>
        <v>0</v>
      </c>
      <c r="AL140" s="404"/>
      <c r="AM140" s="1297" t="s">
        <v>2770</v>
      </c>
      <c r="AN140" s="1297"/>
      <c r="AO140" s="1072" cm="1" t="str">
        <f t="array" ref="AO140:AO140">K140</f>
        <v>2031</v>
      </c>
      <c r="AP140" s="1297"/>
      <c r="AQ140" s="1297"/>
    </row>
    <row s="6867" customFormat="1" customHeight="1" ht="14.25" hidden="1">
      <c r="A141" s="1297"/>
      <c r="B141" s="447">
        <f>K141&lt;first_year+PERIOD_LENGTH</f>
        <v>0</v>
      </c>
      <c r="C141" s="1297"/>
      <c r="D141" s="1297"/>
      <c r="E141" s="709">
        <v>15</v>
      </c>
      <c r="F141" s="50" cm="1" t="str">
        <f t="array" ref="F141:F141">OFFSET(E141,-1,1)</f>
        <v>2</v>
      </c>
      <c r="G141" s="1297"/>
      <c r="H141" s="1297"/>
      <c r="I141" s="1297"/>
      <c r="J141" s="1297"/>
      <c r="K141" s="154">
        <f>first_year+8</f>
        <v>2032</v>
      </c>
      <c r="L141" s="1297"/>
      <c r="M141" s="1297"/>
      <c r="N141" s="1297"/>
      <c r="O141" s="1297"/>
      <c r="P141" s="1297"/>
      <c r="Q141" s="1297"/>
      <c r="R141" s="1297"/>
      <c r="S141" s="1297"/>
      <c r="T141" s="468" cm="1" t="str">
        <f t="array" ref="T141:T141">T140</f>
        <v>true</v>
      </c>
      <c r="U141" s="1297"/>
      <c r="V141" s="1297"/>
      <c r="W141" s="1297"/>
      <c r="X141" s="1539"/>
      <c r="Y141" s="1297"/>
      <c r="Z141" s="1529"/>
      <c r="AA141" s="1297"/>
      <c r="AB141" s="840" t="str">
        <f>K141&amp;" год"</f>
        <v>2032 год</v>
      </c>
      <c r="AC141" s="6792"/>
      <c r="AD141" s="6791">
        <f>_xlfn.IFERROR(_xlfn.SUMIFS(INDEX(Сценарии!$AE$25:$BF$136,,MATCH($K141&amp;"Принято органом регулирования",Сценарии!$AE$8:$BF$8,0)),Сценарии!$F$25:$F$136,$F141,Сценарии!$AC$25:$AC$136,"Индекс эффективности операционных расходов"),0)</f>
        <v>0</v>
      </c>
      <c r="AE141" s="6792"/>
      <c r="AF141" s="6792">
        <f>_xlfn.IFERROR(_xlfn.SUMIFS(INDEX(Баланс!$AE$25:$BB$391,,MATCH($K141&amp;"Принято органом регулирования",Баланс!$AE$8:$BB$8,0)),Баланс!$F$25:$F$391,$F141,Баланс!$AC$24:$AC$391,"Уровень потерь воды"),0)</f>
        <v>0</v>
      </c>
      <c r="AG141" s="6793">
        <f>_xlfn.IFERROR(_xlfn.SUMIFS(INDEX(Electricity_LOAD_1,,MATCH($K141&amp;"Принято органом регулирования",ЭЭ!$AE$8:$BB$8,0)),ЭЭ!$F$25:$F$175,$F141,ЭЭ!$AC$25:$AC$175,"Удельный расход электроэнергии"),0)</f>
        <v>0</v>
      </c>
      <c r="AH141" s="6806"/>
      <c r="AI141" s="6806"/>
      <c r="AJ141" s="6791">
        <f>_xlfn.IFERROR(_xlfn.SUMIFS(INDEX(Electricity_LOAD_1,,MATCH($K141&amp;"Принято органом регулирования",ЭЭ!$AE$8:$BB$8,0)),ЭЭ!$F$25:$F$175,$F141,ЭЭ!$AC$25:$AC$175,"Удельный расход электроэнергии"),0)</f>
        <v>0</v>
      </c>
      <c r="AK141" s="6791">
        <f>_xlfn.IFERROR(_xlfn.SUMIFS(INDEX(Electricity_LOAD_1,,MATCH($K141&amp;"Принято органом регулирования",ЭЭ!$AE$8:$BB$8,0)),ЭЭ!$F$25:$F$175,$F141,ЭЭ!$AC$25:$AC$175,"Удельный расход электроэнергии"),0)</f>
        <v>0</v>
      </c>
      <c r="AL141" s="404"/>
      <c r="AM141" s="1297" t="s">
        <v>2770</v>
      </c>
      <c r="AN141" s="1297"/>
      <c r="AO141" s="1072" cm="1" t="str">
        <f t="array" ref="AO141:AO141">K141</f>
        <v>2032</v>
      </c>
      <c r="AP141" s="1297"/>
      <c r="AQ141" s="1297"/>
    </row>
    <row s="6868" customFormat="1" customHeight="1" ht="14.25" hidden="1">
      <c r="A142" s="1297"/>
      <c r="B142" s="447">
        <f>K142&lt;first_year+PERIOD_LENGTH</f>
        <v>0</v>
      </c>
      <c r="C142" s="1297"/>
      <c r="D142" s="1297"/>
      <c r="E142" s="709">
        <v>15</v>
      </c>
      <c r="F142" s="50" cm="1" t="str">
        <f t="array" ref="F142:F142">OFFSET(E142,-1,1)</f>
        <v>2</v>
      </c>
      <c r="G142" s="1297"/>
      <c r="H142" s="1297"/>
      <c r="I142" s="1297"/>
      <c r="J142" s="1297"/>
      <c r="K142" s="154">
        <f>first_year+9</f>
        <v>2033</v>
      </c>
      <c r="L142" s="1297"/>
      <c r="M142" s="1297"/>
      <c r="N142" s="1297"/>
      <c r="O142" s="1297"/>
      <c r="P142" s="1297"/>
      <c r="Q142" s="1297"/>
      <c r="R142" s="1297"/>
      <c r="S142" s="1297"/>
      <c r="T142" s="468" cm="1" t="str">
        <f t="array" ref="T142:T142">T141</f>
        <v>true</v>
      </c>
      <c r="U142" s="1297"/>
      <c r="V142" s="1297"/>
      <c r="W142" s="1297"/>
      <c r="X142" s="1539"/>
      <c r="Y142" s="1297"/>
      <c r="Z142" s="1529"/>
      <c r="AA142" s="1297"/>
      <c r="AB142" s="840" t="str">
        <f>K142&amp;" год"</f>
        <v>2033 год</v>
      </c>
      <c r="AC142" s="6792"/>
      <c r="AD142" s="6791">
        <f>_xlfn.IFERROR(_xlfn.SUMIFS(INDEX(Сценарии!$AE$25:$BF$136,,MATCH($K142&amp;"Принято органом регулирования",Сценарии!$AE$8:$BF$8,0)),Сценарии!$F$25:$F$136,$F142,Сценарии!$AC$25:$AC$136,"Индекс эффективности операционных расходов"),0)</f>
        <v>0</v>
      </c>
      <c r="AE142" s="6792"/>
      <c r="AF142" s="6792">
        <f>_xlfn.IFERROR(_xlfn.SUMIFS(INDEX(Баланс!$AE$25:$BB$391,,MATCH($K142&amp;"Принято органом регулирования",Баланс!$AE$8:$BB$8,0)),Баланс!$F$25:$F$391,$F142,Баланс!$AC$24:$AC$391,"Уровень потерь воды"),0)</f>
        <v>0</v>
      </c>
      <c r="AG142" s="6793">
        <f>_xlfn.IFERROR(_xlfn.SUMIFS(INDEX(Electricity_LOAD_1,,MATCH($K142&amp;"Принято органом регулирования",ЭЭ!$AE$8:$BB$8,0)),ЭЭ!$F$25:$F$175,$F142,ЭЭ!$AC$25:$AC$175,"Удельный расход электроэнергии"),0)</f>
        <v>0</v>
      </c>
      <c r="AH142" s="6806"/>
      <c r="AI142" s="6806"/>
      <c r="AJ142" s="6791">
        <f>_xlfn.IFERROR(_xlfn.SUMIFS(INDEX(Electricity_LOAD_1,,MATCH($K142&amp;"Принято органом регулирования",ЭЭ!$AE$8:$BB$8,0)),ЭЭ!$F$25:$F$175,$F142,ЭЭ!$AC$25:$AC$175,"Удельный расход электроэнергии"),0)</f>
        <v>0</v>
      </c>
      <c r="AK142" s="6791">
        <f>_xlfn.IFERROR(_xlfn.SUMIFS(INDEX(Electricity_LOAD_1,,MATCH($K142&amp;"Принято органом регулирования",ЭЭ!$AE$8:$BB$8,0)),ЭЭ!$F$25:$F$175,$F142,ЭЭ!$AC$25:$AC$175,"Удельный расход электроэнергии"),0)</f>
        <v>0</v>
      </c>
      <c r="AL142" s="404"/>
      <c r="AM142" s="1297" t="s">
        <v>2770</v>
      </c>
      <c r="AN142" s="1297"/>
      <c r="AO142" s="1072" cm="1" t="str">
        <f t="array" ref="AO142:AO142">K142</f>
        <v>2033</v>
      </c>
      <c r="AP142" s="1297"/>
      <c r="AQ142" s="1297"/>
    </row>
    <row s="6869" customFormat="1" customHeight="1" ht="14.25" hidden="1">
      <c r="A143" s="1297"/>
      <c r="B143" s="447">
        <f>K143&lt;first_year+PERIOD_LENGTH</f>
        <v>0</v>
      </c>
      <c r="C143" s="1297"/>
      <c r="D143" s="1297"/>
      <c r="E143" s="709">
        <v>15</v>
      </c>
      <c r="F143" s="50" cm="1" t="str">
        <f t="array" ref="F143:F143">OFFSET(E143,-1,1)</f>
        <v>2</v>
      </c>
      <c r="G143" s="1297"/>
      <c r="H143" s="1297"/>
      <c r="I143" s="1297"/>
      <c r="J143" s="1297"/>
      <c r="K143" s="154">
        <f>first_year+10</f>
        <v>2034</v>
      </c>
      <c r="L143" s="1297"/>
      <c r="M143" s="1297"/>
      <c r="N143" s="1297"/>
      <c r="O143" s="1297"/>
      <c r="P143" s="1297"/>
      <c r="Q143" s="1297"/>
      <c r="R143" s="1297"/>
      <c r="S143" s="1297"/>
      <c r="T143" s="468" cm="1" t="str">
        <f t="array" ref="T143:T143">T142</f>
        <v>true</v>
      </c>
      <c r="U143" s="1297"/>
      <c r="V143" s="1297"/>
      <c r="W143" s="1297"/>
      <c r="X143" s="1539"/>
      <c r="Y143" s="1297"/>
      <c r="Z143" s="1529"/>
      <c r="AA143" s="1297"/>
      <c r="AB143" s="840" t="str">
        <f>K143&amp;" год"</f>
        <v>2034 год</v>
      </c>
      <c r="AC143" s="6792"/>
      <c r="AD143" s="6791"/>
      <c r="AE143" s="6792"/>
      <c r="AF143" s="6792"/>
      <c r="AG143" s="6791"/>
      <c r="AH143" s="6806"/>
      <c r="AI143" s="6806"/>
      <c r="AJ143" s="6791"/>
      <c r="AK143" s="6796"/>
      <c r="AL143" s="404"/>
      <c r="AM143" s="1297"/>
      <c r="AN143" s="1297"/>
      <c r="AO143" s="1072" cm="1" t="str">
        <f t="array" ref="AO143:AO143">K143</f>
        <v>2034</v>
      </c>
      <c r="AP143" s="1297"/>
      <c r="AQ143" s="1297"/>
    </row>
    <row s="6870" customFormat="1" customHeight="1" ht="14.25" hidden="1">
      <c r="A144" s="1297"/>
      <c r="B144" s="447">
        <f>K144&lt;first_year+PERIOD_LENGTH</f>
        <v>0</v>
      </c>
      <c r="C144" s="1297"/>
      <c r="D144" s="1297"/>
      <c r="E144" s="709">
        <v>15</v>
      </c>
      <c r="F144" s="50" cm="1" t="str">
        <f t="array" ref="F144:F144">OFFSET(E144,-1,1)</f>
        <v>2</v>
      </c>
      <c r="G144" s="1297"/>
      <c r="H144" s="1297"/>
      <c r="I144" s="1297"/>
      <c r="J144" s="1297"/>
      <c r="K144" s="154">
        <f>first_year+11</f>
        <v>2035</v>
      </c>
      <c r="L144" s="1297"/>
      <c r="M144" s="1297"/>
      <c r="N144" s="1297"/>
      <c r="O144" s="1297"/>
      <c r="P144" s="1297"/>
      <c r="Q144" s="1297"/>
      <c r="R144" s="1297"/>
      <c r="S144" s="1297"/>
      <c r="T144" s="468" cm="1" t="str">
        <f t="array" ref="T144:T144">T143</f>
        <v>true</v>
      </c>
      <c r="U144" s="1297"/>
      <c r="V144" s="1297"/>
      <c r="W144" s="1297"/>
      <c r="X144" s="1539"/>
      <c r="Y144" s="1297"/>
      <c r="Z144" s="1529"/>
      <c r="AA144" s="1297"/>
      <c r="AB144" s="251" t="str">
        <f>K144&amp;" год"</f>
        <v>2035 год</v>
      </c>
      <c r="AC144" s="6792"/>
      <c r="AD144" s="6798"/>
      <c r="AE144" s="6799"/>
      <c r="AF144" s="6799"/>
      <c r="AG144" s="6798"/>
      <c r="AH144" s="6819"/>
      <c r="AI144" s="6819"/>
      <c r="AJ144" s="6798"/>
      <c r="AK144" s="6800"/>
      <c r="AL144" s="404"/>
      <c r="AM144" s="1297"/>
      <c r="AN144" s="1297"/>
      <c r="AO144" s="1072" cm="1" t="str">
        <f t="array" ref="AO144:AO144">K144</f>
        <v>2035</v>
      </c>
      <c r="AP144" s="1297"/>
      <c r="AQ144" s="1297"/>
    </row>
    <row s="6871" customFormat="1" customHeight="1" ht="14.25" hidden="1">
      <c r="A145" s="1297"/>
      <c r="B145" s="447">
        <f>K145&lt;first_year+PERIOD_LENGTH</f>
        <v>0</v>
      </c>
      <c r="C145" s="1297"/>
      <c r="D145" s="1297"/>
      <c r="E145" s="709">
        <v>15</v>
      </c>
      <c r="F145" s="50" cm="1" t="str">
        <f t="array" ref="F145:F145">OFFSET(E145,-1,1)</f>
        <v>2</v>
      </c>
      <c r="G145" s="1297"/>
      <c r="H145" s="1297"/>
      <c r="I145" s="1297"/>
      <c r="J145" s="1297"/>
      <c r="K145" s="154">
        <f>first_year+12</f>
        <v>2036</v>
      </c>
      <c r="L145" s="1297"/>
      <c r="M145" s="1297"/>
      <c r="N145" s="1297"/>
      <c r="O145" s="1297"/>
      <c r="P145" s="1297"/>
      <c r="Q145" s="1297"/>
      <c r="R145" s="1297"/>
      <c r="S145" s="1297"/>
      <c r="T145" s="468" cm="1" t="str">
        <f t="array" ref="T145:T145">T144</f>
        <v>true</v>
      </c>
      <c r="U145" s="1297"/>
      <c r="V145" s="1297"/>
      <c r="W145" s="1297"/>
      <c r="X145" s="1539"/>
      <c r="Y145" s="1297"/>
      <c r="Z145" s="1529"/>
      <c r="AA145" s="1297"/>
      <c r="AB145" s="251" t="str">
        <f>K145&amp;" год"</f>
        <v>2036 год</v>
      </c>
      <c r="AC145" s="6792"/>
      <c r="AD145" s="6798"/>
      <c r="AE145" s="6799"/>
      <c r="AF145" s="6799"/>
      <c r="AG145" s="6798"/>
      <c r="AH145" s="6819"/>
      <c r="AI145" s="6819"/>
      <c r="AJ145" s="6798"/>
      <c r="AK145" s="6800"/>
      <c r="AL145" s="404"/>
      <c r="AM145" s="1297"/>
      <c r="AN145" s="1297"/>
      <c r="AO145" s="1072" cm="1" t="str">
        <f t="array" ref="AO145:AO145">K145</f>
        <v>2036</v>
      </c>
      <c r="AP145" s="1297"/>
      <c r="AQ145" s="1297"/>
    </row>
    <row s="6872" customFormat="1" customHeight="1" ht="14.25" hidden="1">
      <c r="A146" s="1297"/>
      <c r="B146" s="447">
        <f>K146&lt;first_year+PERIOD_LENGTH</f>
        <v>0</v>
      </c>
      <c r="C146" s="1297"/>
      <c r="D146" s="1297"/>
      <c r="E146" s="709">
        <v>15</v>
      </c>
      <c r="F146" s="50" cm="1" t="str">
        <f t="array" ref="F146:F146">OFFSET(E146,-1,1)</f>
        <v>2</v>
      </c>
      <c r="G146" s="1297"/>
      <c r="H146" s="1297"/>
      <c r="I146" s="1297"/>
      <c r="J146" s="1297"/>
      <c r="K146" s="154">
        <f>first_year+13</f>
        <v>2037</v>
      </c>
      <c r="L146" s="1297"/>
      <c r="M146" s="1297"/>
      <c r="N146" s="1297"/>
      <c r="O146" s="1297"/>
      <c r="P146" s="1297"/>
      <c r="Q146" s="1297"/>
      <c r="R146" s="1297"/>
      <c r="S146" s="1297"/>
      <c r="T146" s="468" cm="1" t="str">
        <f t="array" ref="T146:T146">T145</f>
        <v>true</v>
      </c>
      <c r="U146" s="1297"/>
      <c r="V146" s="1297"/>
      <c r="W146" s="1297"/>
      <c r="X146" s="1539"/>
      <c r="Y146" s="1297"/>
      <c r="Z146" s="1529"/>
      <c r="AA146" s="1297"/>
      <c r="AB146" s="251" t="str">
        <f>K146&amp;" год"</f>
        <v>2037 год</v>
      </c>
      <c r="AC146" s="6792"/>
      <c r="AD146" s="6798"/>
      <c r="AE146" s="6799"/>
      <c r="AF146" s="6799"/>
      <c r="AG146" s="6798"/>
      <c r="AH146" s="6819"/>
      <c r="AI146" s="6819"/>
      <c r="AJ146" s="6798"/>
      <c r="AK146" s="6800"/>
      <c r="AL146" s="404"/>
      <c r="AM146" s="1297"/>
      <c r="AN146" s="1297"/>
      <c r="AO146" s="1072" cm="1" t="str">
        <f t="array" ref="AO146:AO146">K146</f>
        <v>2037</v>
      </c>
      <c r="AP146" s="1297"/>
      <c r="AQ146" s="1297"/>
    </row>
    <row s="6873" customFormat="1" customHeight="1" ht="14.25" hidden="1">
      <c r="A147" s="1297"/>
      <c r="B147" s="447">
        <f>K147&lt;first_year+PERIOD_LENGTH</f>
        <v>0</v>
      </c>
      <c r="C147" s="1297"/>
      <c r="D147" s="1297"/>
      <c r="E147" s="709">
        <v>15</v>
      </c>
      <c r="F147" s="50" cm="1" t="str">
        <f t="array" ref="F147:F147">OFFSET(E147,-1,1)</f>
        <v>2</v>
      </c>
      <c r="G147" s="1297"/>
      <c r="H147" s="1297"/>
      <c r="I147" s="1297"/>
      <c r="J147" s="1297"/>
      <c r="K147" s="154">
        <f>first_year+14</f>
        <v>2038</v>
      </c>
      <c r="L147" s="1297"/>
      <c r="M147" s="1297"/>
      <c r="N147" s="1297"/>
      <c r="O147" s="1297"/>
      <c r="P147" s="1297"/>
      <c r="Q147" s="1297"/>
      <c r="R147" s="1297"/>
      <c r="S147" s="1297"/>
      <c r="T147" s="468" cm="1" t="str">
        <f t="array" ref="T147:T147">T146</f>
        <v>true</v>
      </c>
      <c r="U147" s="1297"/>
      <c r="V147" s="1297"/>
      <c r="W147" s="1297"/>
      <c r="X147" s="1539"/>
      <c r="Y147" s="1297"/>
      <c r="Z147" s="1529"/>
      <c r="AA147" s="1297"/>
      <c r="AB147" s="251" t="str">
        <f>K147&amp;" год"</f>
        <v>2038 год</v>
      </c>
      <c r="AC147" s="6792"/>
      <c r="AD147" s="6798"/>
      <c r="AE147" s="6799"/>
      <c r="AF147" s="6799"/>
      <c r="AG147" s="6798"/>
      <c r="AH147" s="6819"/>
      <c r="AI147" s="6819"/>
      <c r="AJ147" s="6798"/>
      <c r="AK147" s="6800"/>
      <c r="AL147" s="404"/>
      <c r="AM147" s="1297"/>
      <c r="AN147" s="1297"/>
      <c r="AO147" s="1072" cm="1" t="str">
        <f t="array" ref="AO147:AO147">K147</f>
        <v>2038</v>
      </c>
      <c r="AP147" s="1297"/>
      <c r="AQ147" s="1297"/>
    </row>
    <row s="6874" customFormat="1" customHeight="1" ht="14.25" hidden="1">
      <c r="A148" s="1297"/>
      <c r="B148" s="447">
        <f>K148&lt;first_year+PERIOD_LENGTH</f>
        <v>0</v>
      </c>
      <c r="C148" s="1297"/>
      <c r="D148" s="1297"/>
      <c r="E148" s="709">
        <v>15</v>
      </c>
      <c r="F148" s="50" cm="1" t="str">
        <f t="array" ref="F148:F148">OFFSET(E148,-1,1)</f>
        <v>2</v>
      </c>
      <c r="G148" s="1297"/>
      <c r="H148" s="1297"/>
      <c r="I148" s="1297"/>
      <c r="J148" s="1297"/>
      <c r="K148" s="154">
        <f>first_year+15</f>
        <v>2039</v>
      </c>
      <c r="L148" s="1297"/>
      <c r="M148" s="1297"/>
      <c r="N148" s="1297"/>
      <c r="O148" s="1297"/>
      <c r="P148" s="1297"/>
      <c r="Q148" s="1297"/>
      <c r="R148" s="1297"/>
      <c r="S148" s="1297"/>
      <c r="T148" s="468" cm="1" t="str">
        <f t="array" ref="T148:T148">T147</f>
        <v>true</v>
      </c>
      <c r="U148" s="1297"/>
      <c r="V148" s="1297"/>
      <c r="W148" s="1297"/>
      <c r="X148" s="1539"/>
      <c r="Y148" s="1297"/>
      <c r="Z148" s="1529"/>
      <c r="AA148" s="1297"/>
      <c r="AB148" s="251" t="str">
        <f>K148&amp;" год"</f>
        <v>2039 год</v>
      </c>
      <c r="AC148" s="6792"/>
      <c r="AD148" s="6798"/>
      <c r="AE148" s="6799"/>
      <c r="AF148" s="6799"/>
      <c r="AG148" s="6798"/>
      <c r="AH148" s="6819"/>
      <c r="AI148" s="6819"/>
      <c r="AJ148" s="6798"/>
      <c r="AK148" s="6800"/>
      <c r="AL148" s="404"/>
      <c r="AM148" s="1297"/>
      <c r="AN148" s="1297"/>
      <c r="AO148" s="1072" cm="1" t="str">
        <f t="array" ref="AO148:AO148">K148</f>
        <v>2039</v>
      </c>
      <c r="AP148" s="1297"/>
      <c r="AQ148" s="1297"/>
    </row>
    <row s="6875" customFormat="1" customHeight="1" ht="14.25" hidden="1">
      <c r="A149" s="1297"/>
      <c r="B149" s="447">
        <f>K149&lt;first_year+PERIOD_LENGTH</f>
        <v>0</v>
      </c>
      <c r="C149" s="1297"/>
      <c r="D149" s="1297"/>
      <c r="E149" s="709">
        <v>15</v>
      </c>
      <c r="F149" s="50" cm="1" t="str">
        <f t="array" ref="F149:F149">OFFSET(E149,-1,1)</f>
        <v>2</v>
      </c>
      <c r="G149" s="1297"/>
      <c r="H149" s="1297"/>
      <c r="I149" s="1297"/>
      <c r="J149" s="1297"/>
      <c r="K149" s="154">
        <f>first_year+16</f>
        <v>2040</v>
      </c>
      <c r="L149" s="1297"/>
      <c r="M149" s="1297"/>
      <c r="N149" s="1297"/>
      <c r="O149" s="1297"/>
      <c r="P149" s="1297"/>
      <c r="Q149" s="1297"/>
      <c r="R149" s="1297"/>
      <c r="S149" s="1297"/>
      <c r="T149" s="468" cm="1" t="str">
        <f t="array" ref="T149:T149">T148</f>
        <v>true</v>
      </c>
      <c r="U149" s="1297"/>
      <c r="V149" s="1297"/>
      <c r="W149" s="1297"/>
      <c r="X149" s="1539"/>
      <c r="Y149" s="1297"/>
      <c r="Z149" s="1529"/>
      <c r="AA149" s="1297"/>
      <c r="AB149" s="251" t="str">
        <f>K149&amp;" год"</f>
        <v>2040 год</v>
      </c>
      <c r="AC149" s="6792"/>
      <c r="AD149" s="6798"/>
      <c r="AE149" s="6799"/>
      <c r="AF149" s="6799"/>
      <c r="AG149" s="6798"/>
      <c r="AH149" s="6819"/>
      <c r="AI149" s="6819"/>
      <c r="AJ149" s="6798"/>
      <c r="AK149" s="6800"/>
      <c r="AL149" s="404"/>
      <c r="AM149" s="1297"/>
      <c r="AN149" s="1297"/>
      <c r="AO149" s="1072" cm="1" t="str">
        <f t="array" ref="AO149:AO149">K149</f>
        <v>2040</v>
      </c>
      <c r="AP149" s="1297"/>
      <c r="AQ149" s="1297"/>
    </row>
    <row s="6876" customFormat="1" customHeight="1" ht="14.25" hidden="1">
      <c r="A150" s="1297"/>
      <c r="B150" s="447">
        <f>K150&lt;first_year+PERIOD_LENGTH</f>
        <v>0</v>
      </c>
      <c r="C150" s="1297"/>
      <c r="D150" s="1297"/>
      <c r="E150" s="709">
        <v>15</v>
      </c>
      <c r="F150" s="50" cm="1" t="str">
        <f t="array" ref="F150:F150">OFFSET(E150,-1,1)</f>
        <v>2</v>
      </c>
      <c r="G150" s="1297"/>
      <c r="H150" s="1297"/>
      <c r="I150" s="1297"/>
      <c r="J150" s="1297"/>
      <c r="K150" s="154">
        <f>first_year+17</f>
        <v>2041</v>
      </c>
      <c r="L150" s="1297"/>
      <c r="M150" s="1297"/>
      <c r="N150" s="1297"/>
      <c r="O150" s="1297"/>
      <c r="P150" s="1297"/>
      <c r="Q150" s="1297"/>
      <c r="R150" s="1297"/>
      <c r="S150" s="1297"/>
      <c r="T150" s="468" cm="1" t="str">
        <f t="array" ref="T150:T150">T149</f>
        <v>true</v>
      </c>
      <c r="U150" s="1297"/>
      <c r="V150" s="1297"/>
      <c r="W150" s="1297"/>
      <c r="X150" s="1539"/>
      <c r="Y150" s="1297"/>
      <c r="Z150" s="1529"/>
      <c r="AA150" s="1297"/>
      <c r="AB150" s="251" t="str">
        <f>K150&amp;" год"</f>
        <v>2041 год</v>
      </c>
      <c r="AC150" s="6792"/>
      <c r="AD150" s="6798"/>
      <c r="AE150" s="6799"/>
      <c r="AF150" s="6799"/>
      <c r="AG150" s="6798"/>
      <c r="AH150" s="6819"/>
      <c r="AI150" s="6819"/>
      <c r="AJ150" s="6798"/>
      <c r="AK150" s="6800"/>
      <c r="AL150" s="404"/>
      <c r="AM150" s="1297"/>
      <c r="AN150" s="1297"/>
      <c r="AO150" s="1072" cm="1" t="str">
        <f t="array" ref="AO150:AO150">K150</f>
        <v>2041</v>
      </c>
      <c r="AP150" s="1297"/>
      <c r="AQ150" s="1297"/>
    </row>
    <row s="6877" customFormat="1" customHeight="1" ht="14.25" hidden="1">
      <c r="A151" s="1297"/>
      <c r="B151" s="447">
        <f>K151&lt;first_year+PERIOD_LENGTH</f>
        <v>0</v>
      </c>
      <c r="C151" s="1297"/>
      <c r="D151" s="1297"/>
      <c r="E151" s="709">
        <v>15</v>
      </c>
      <c r="F151" s="50" cm="1" t="str">
        <f t="array" ref="F151:F151">OFFSET(E151,-1,1)</f>
        <v>2</v>
      </c>
      <c r="G151" s="1297"/>
      <c r="H151" s="1297"/>
      <c r="I151" s="1297"/>
      <c r="J151" s="1297"/>
      <c r="K151" s="154">
        <f>first_year+18</f>
        <v>2042</v>
      </c>
      <c r="L151" s="1297"/>
      <c r="M151" s="1297"/>
      <c r="N151" s="1297"/>
      <c r="O151" s="1297"/>
      <c r="P151" s="1297"/>
      <c r="Q151" s="1297"/>
      <c r="R151" s="1297"/>
      <c r="S151" s="1297"/>
      <c r="T151" s="468" cm="1" t="str">
        <f t="array" ref="T151:T151">T150</f>
        <v>true</v>
      </c>
      <c r="U151" s="1297"/>
      <c r="V151" s="1297"/>
      <c r="W151" s="1297"/>
      <c r="X151" s="1539"/>
      <c r="Y151" s="1297"/>
      <c r="Z151" s="1529"/>
      <c r="AA151" s="1297"/>
      <c r="AB151" s="251" t="str">
        <f>K151&amp;" год"</f>
        <v>2042 год</v>
      </c>
      <c r="AC151" s="6792"/>
      <c r="AD151" s="6798"/>
      <c r="AE151" s="6799"/>
      <c r="AF151" s="6799"/>
      <c r="AG151" s="6798"/>
      <c r="AH151" s="6819"/>
      <c r="AI151" s="6819"/>
      <c r="AJ151" s="6798"/>
      <c r="AK151" s="6800"/>
      <c r="AL151" s="404"/>
      <c r="AM151" s="1297"/>
      <c r="AN151" s="1297"/>
      <c r="AO151" s="1072" cm="1" t="str">
        <f t="array" ref="AO151:AO151">K151</f>
        <v>2042</v>
      </c>
      <c r="AP151" s="1297"/>
      <c r="AQ151" s="1297"/>
    </row>
    <row s="6878" customFormat="1" customHeight="1" ht="14.25" hidden="1">
      <c r="A152" s="1297"/>
      <c r="B152" s="447">
        <f>K152&lt;first_year+PERIOD_LENGTH</f>
        <v>0</v>
      </c>
      <c r="C152" s="1297"/>
      <c r="D152" s="1297"/>
      <c r="E152" s="709">
        <v>15</v>
      </c>
      <c r="F152" s="50" cm="1" t="str">
        <f t="array" ref="F152:F152">OFFSET(E152,-1,1)</f>
        <v>2</v>
      </c>
      <c r="G152" s="1297"/>
      <c r="H152" s="1297"/>
      <c r="I152" s="1297"/>
      <c r="J152" s="1297"/>
      <c r="K152" s="154">
        <f>first_year+19</f>
        <v>2043</v>
      </c>
      <c r="L152" s="1297"/>
      <c r="M152" s="1297"/>
      <c r="N152" s="1297"/>
      <c r="O152" s="1297"/>
      <c r="P152" s="1297"/>
      <c r="Q152" s="1297"/>
      <c r="R152" s="1297"/>
      <c r="S152" s="1297"/>
      <c r="T152" s="468" cm="1" t="str">
        <f t="array" ref="T152:T152">T151</f>
        <v>true</v>
      </c>
      <c r="U152" s="1297"/>
      <c r="V152" s="1297"/>
      <c r="W152" s="1297"/>
      <c r="X152" s="1539"/>
      <c r="Y152" s="1297"/>
      <c r="Z152" s="1529"/>
      <c r="AA152" s="1297"/>
      <c r="AB152" s="251" t="str">
        <f>K152&amp;" год"</f>
        <v>2043 год</v>
      </c>
      <c r="AC152" s="6792"/>
      <c r="AD152" s="6798"/>
      <c r="AE152" s="6799"/>
      <c r="AF152" s="6799"/>
      <c r="AG152" s="6798"/>
      <c r="AH152" s="6819"/>
      <c r="AI152" s="6819"/>
      <c r="AJ152" s="6798"/>
      <c r="AK152" s="6800"/>
      <c r="AL152" s="404"/>
      <c r="AM152" s="1297"/>
      <c r="AN152" s="1297"/>
      <c r="AO152" s="1072" cm="1" t="str">
        <f t="array" ref="AO152:AO152">K152</f>
        <v>2043</v>
      </c>
      <c r="AP152" s="1297"/>
      <c r="AQ152" s="1297"/>
    </row>
    <row s="6879" customFormat="1" customHeight="1" ht="14.25" hidden="1">
      <c r="A153" s="1297"/>
      <c r="B153" s="447">
        <f>K153&lt;first_year+PERIOD_LENGTH</f>
        <v>0</v>
      </c>
      <c r="C153" s="1297"/>
      <c r="D153" s="1297"/>
      <c r="E153" s="709">
        <v>15</v>
      </c>
      <c r="F153" s="50" cm="1" t="str">
        <f t="array" ref="F153:F153">OFFSET(E153,-1,1)</f>
        <v>2</v>
      </c>
      <c r="G153" s="1297"/>
      <c r="H153" s="1297"/>
      <c r="I153" s="1297"/>
      <c r="J153" s="1297"/>
      <c r="K153" s="154">
        <f>first_year+20</f>
        <v>2044</v>
      </c>
      <c r="L153" s="1297"/>
      <c r="M153" s="1297"/>
      <c r="N153" s="1297"/>
      <c r="O153" s="1297"/>
      <c r="P153" s="1297"/>
      <c r="Q153" s="1297"/>
      <c r="R153" s="1297"/>
      <c r="S153" s="1297"/>
      <c r="T153" s="468" cm="1" t="str">
        <f t="array" ref="T153:T153">T152</f>
        <v>true</v>
      </c>
      <c r="U153" s="1297"/>
      <c r="V153" s="1297"/>
      <c r="W153" s="1297"/>
      <c r="X153" s="1539"/>
      <c r="Y153" s="1297"/>
      <c r="Z153" s="1529"/>
      <c r="AA153" s="1297"/>
      <c r="AB153" s="251" t="str">
        <f>K153&amp;" год"</f>
        <v>2044 год</v>
      </c>
      <c r="AC153" s="6792"/>
      <c r="AD153" s="6798"/>
      <c r="AE153" s="6799"/>
      <c r="AF153" s="6799"/>
      <c r="AG153" s="6798"/>
      <c r="AH153" s="6819"/>
      <c r="AI153" s="6819"/>
      <c r="AJ153" s="6798"/>
      <c r="AK153" s="6800"/>
      <c r="AL153" s="404"/>
      <c r="AM153" s="1297"/>
      <c r="AN153" s="1297"/>
      <c r="AO153" s="1072" cm="1" t="str">
        <f t="array" ref="AO153:AO153">K153</f>
        <v>2044</v>
      </c>
      <c r="AP153" s="1297"/>
      <c r="AQ153" s="1297"/>
    </row>
    <row s="6880" customFormat="1" customHeight="1" ht="14.25" hidden="1">
      <c r="A154" s="1297"/>
      <c r="B154" s="447">
        <f>K154&lt;first_year+PERIOD_LENGTH</f>
        <v>0</v>
      </c>
      <c r="C154" s="1297"/>
      <c r="D154" s="1297"/>
      <c r="E154" s="709">
        <v>15</v>
      </c>
      <c r="F154" s="50" cm="1" t="str">
        <f t="array" ref="F154:F154">OFFSET(E154,-1,1)</f>
        <v>2</v>
      </c>
      <c r="G154" s="1297"/>
      <c r="H154" s="1297"/>
      <c r="I154" s="1297"/>
      <c r="J154" s="1297"/>
      <c r="K154" s="154">
        <f>first_year+21</f>
        <v>2045</v>
      </c>
      <c r="L154" s="1297"/>
      <c r="M154" s="1297"/>
      <c r="N154" s="1297"/>
      <c r="O154" s="1297"/>
      <c r="P154" s="1297"/>
      <c r="Q154" s="1297"/>
      <c r="R154" s="1297"/>
      <c r="S154" s="1297"/>
      <c r="T154" s="468" cm="1" t="str">
        <f t="array" ref="T154:T154">T153</f>
        <v>true</v>
      </c>
      <c r="U154" s="1297"/>
      <c r="V154" s="1297"/>
      <c r="W154" s="1297"/>
      <c r="X154" s="1539"/>
      <c r="Y154" s="1297"/>
      <c r="Z154" s="1529"/>
      <c r="AA154" s="1297"/>
      <c r="AB154" s="251" t="str">
        <f>K154&amp;" год"</f>
        <v>2045 год</v>
      </c>
      <c r="AC154" s="6792"/>
      <c r="AD154" s="6798"/>
      <c r="AE154" s="6799"/>
      <c r="AF154" s="6799"/>
      <c r="AG154" s="6798"/>
      <c r="AH154" s="6819"/>
      <c r="AI154" s="6819"/>
      <c r="AJ154" s="6798"/>
      <c r="AK154" s="6800"/>
      <c r="AL154" s="404"/>
      <c r="AM154" s="1297"/>
      <c r="AN154" s="1297"/>
      <c r="AO154" s="1072" cm="1" t="str">
        <f t="array" ref="AO154:AO154">K154</f>
        <v>2045</v>
      </c>
      <c r="AP154" s="1297"/>
      <c r="AQ154" s="1297"/>
    </row>
    <row s="6881" customFormat="1" customHeight="1" ht="14.25" hidden="1">
      <c r="A155" s="1297"/>
      <c r="B155" s="447">
        <f>K155&lt;first_year+PERIOD_LENGTH</f>
        <v>0</v>
      </c>
      <c r="C155" s="1297"/>
      <c r="D155" s="1297"/>
      <c r="E155" s="709">
        <v>15</v>
      </c>
      <c r="F155" s="50" cm="1" t="str">
        <f t="array" ref="F155:F155">OFFSET(E155,-1,1)</f>
        <v>2</v>
      </c>
      <c r="G155" s="1297"/>
      <c r="H155" s="1297"/>
      <c r="I155" s="1297"/>
      <c r="J155" s="1297"/>
      <c r="K155" s="154">
        <f>first_year+22</f>
        <v>2046</v>
      </c>
      <c r="L155" s="1297"/>
      <c r="M155" s="1297"/>
      <c r="N155" s="1297"/>
      <c r="O155" s="1297"/>
      <c r="P155" s="1297"/>
      <c r="Q155" s="1297"/>
      <c r="R155" s="1297"/>
      <c r="S155" s="1297"/>
      <c r="T155" s="468" cm="1" t="str">
        <f t="array" ref="T155:T155">T154</f>
        <v>true</v>
      </c>
      <c r="U155" s="1297"/>
      <c r="V155" s="1297"/>
      <c r="W155" s="1297"/>
      <c r="X155" s="1539"/>
      <c r="Y155" s="1297"/>
      <c r="Z155" s="1529"/>
      <c r="AA155" s="1297"/>
      <c r="AB155" s="251" t="str">
        <f>K155&amp;" год"</f>
        <v>2046 год</v>
      </c>
      <c r="AC155" s="6792"/>
      <c r="AD155" s="6798"/>
      <c r="AE155" s="6799"/>
      <c r="AF155" s="6799"/>
      <c r="AG155" s="6798"/>
      <c r="AH155" s="6819"/>
      <c r="AI155" s="6819"/>
      <c r="AJ155" s="6798"/>
      <c r="AK155" s="6800"/>
      <c r="AL155" s="404"/>
      <c r="AM155" s="1297"/>
      <c r="AN155" s="1297"/>
      <c r="AO155" s="1072" cm="1" t="str">
        <f t="array" ref="AO155:AO155">K155</f>
        <v>2046</v>
      </c>
      <c r="AP155" s="1297"/>
      <c r="AQ155" s="1297"/>
    </row>
    <row s="6882" customFormat="1" customHeight="1" ht="14.25" hidden="1">
      <c r="A156" s="1297"/>
      <c r="B156" s="447">
        <f>K156&lt;first_year+PERIOD_LENGTH</f>
        <v>0</v>
      </c>
      <c r="C156" s="1297"/>
      <c r="D156" s="1297"/>
      <c r="E156" s="709">
        <v>15</v>
      </c>
      <c r="F156" s="50" cm="1" t="str">
        <f t="array" ref="F156:F156">OFFSET(E156,-1,1)</f>
        <v>2</v>
      </c>
      <c r="G156" s="1297"/>
      <c r="H156" s="1297"/>
      <c r="I156" s="1297"/>
      <c r="J156" s="1297"/>
      <c r="K156" s="154">
        <f>first_year+23</f>
        <v>2047</v>
      </c>
      <c r="L156" s="1297"/>
      <c r="M156" s="1297"/>
      <c r="N156" s="1297"/>
      <c r="O156" s="1297"/>
      <c r="P156" s="1297"/>
      <c r="Q156" s="1297"/>
      <c r="R156" s="1297"/>
      <c r="S156" s="1297"/>
      <c r="T156" s="468" cm="1" t="str">
        <f t="array" ref="T156:T156">T155</f>
        <v>true</v>
      </c>
      <c r="U156" s="1297"/>
      <c r="V156" s="1297"/>
      <c r="W156" s="1297"/>
      <c r="X156" s="1539"/>
      <c r="Y156" s="1297"/>
      <c r="Z156" s="1529"/>
      <c r="AA156" s="1297"/>
      <c r="AB156" s="251" t="str">
        <f>K156&amp;" год"</f>
        <v>2047 год</v>
      </c>
      <c r="AC156" s="6792"/>
      <c r="AD156" s="6798"/>
      <c r="AE156" s="6799"/>
      <c r="AF156" s="6799"/>
      <c r="AG156" s="6798"/>
      <c r="AH156" s="6819"/>
      <c r="AI156" s="6819"/>
      <c r="AJ156" s="6798"/>
      <c r="AK156" s="6800"/>
      <c r="AL156" s="404"/>
      <c r="AM156" s="1297"/>
      <c r="AN156" s="1297"/>
      <c r="AO156" s="1072" cm="1" t="str">
        <f t="array" ref="AO156:AO156">K156</f>
        <v>2047</v>
      </c>
      <c r="AP156" s="1297"/>
      <c r="AQ156" s="1297"/>
    </row>
    <row s="6883" customFormat="1" customHeight="1" ht="14.25" hidden="1">
      <c r="A157" s="1297"/>
      <c r="B157" s="447">
        <f>K157&lt;first_year+PERIOD_LENGTH</f>
        <v>0</v>
      </c>
      <c r="C157" s="1297"/>
      <c r="D157" s="1297"/>
      <c r="E157" s="709">
        <v>15</v>
      </c>
      <c r="F157" s="50" cm="1" t="str">
        <f t="array" ref="F157:F157">OFFSET(E157,-1,1)</f>
        <v>2</v>
      </c>
      <c r="G157" s="1297"/>
      <c r="H157" s="1297"/>
      <c r="I157" s="1297"/>
      <c r="J157" s="1297"/>
      <c r="K157" s="154">
        <f>first_year+24</f>
        <v>2048</v>
      </c>
      <c r="L157" s="1297"/>
      <c r="M157" s="1297"/>
      <c r="N157" s="1297"/>
      <c r="O157" s="1297"/>
      <c r="P157" s="1297"/>
      <c r="Q157" s="1297"/>
      <c r="R157" s="1297"/>
      <c r="S157" s="1297"/>
      <c r="T157" s="468" cm="1" t="str">
        <f t="array" ref="T157:T157">T156</f>
        <v>true</v>
      </c>
      <c r="U157" s="1297"/>
      <c r="V157" s="1297"/>
      <c r="W157" s="1297"/>
      <c r="X157" s="1539"/>
      <c r="Y157" s="1297"/>
      <c r="Z157" s="1529"/>
      <c r="AA157" s="1297"/>
      <c r="AB157" s="251" t="str">
        <f>K157&amp;" год"</f>
        <v>2048 год</v>
      </c>
      <c r="AC157" s="6792"/>
      <c r="AD157" s="6798"/>
      <c r="AE157" s="6799"/>
      <c r="AF157" s="6799"/>
      <c r="AG157" s="6798"/>
      <c r="AH157" s="6819"/>
      <c r="AI157" s="6819"/>
      <c r="AJ157" s="6798"/>
      <c r="AK157" s="6800"/>
      <c r="AL157" s="404"/>
      <c r="AM157" s="1297"/>
      <c r="AN157" s="1297"/>
      <c r="AO157" s="1072" cm="1" t="str">
        <f t="array" ref="AO157:AO157">K157</f>
        <v>2048</v>
      </c>
      <c r="AP157" s="1297"/>
      <c r="AQ157" s="1297"/>
    </row>
    <row s="6884" customFormat="1" customHeight="1" ht="14.25" hidden="1">
      <c r="A158" s="1297"/>
      <c r="B158" s="447">
        <f>K158&lt;first_year+PERIOD_LENGTH</f>
        <v>0</v>
      </c>
      <c r="C158" s="1297"/>
      <c r="D158" s="1297"/>
      <c r="E158" s="709">
        <v>15</v>
      </c>
      <c r="F158" s="50" cm="1" t="str">
        <f t="array" ref="F158:F158">OFFSET(E158,-1,1)</f>
        <v>2</v>
      </c>
      <c r="G158" s="1297"/>
      <c r="H158" s="1297"/>
      <c r="I158" s="1297"/>
      <c r="J158" s="1297"/>
      <c r="K158" s="154">
        <f>first_year+25</f>
        <v>2049</v>
      </c>
      <c r="L158" s="1297"/>
      <c r="M158" s="1297"/>
      <c r="N158" s="1297"/>
      <c r="O158" s="1297"/>
      <c r="P158" s="1297"/>
      <c r="Q158" s="1297"/>
      <c r="R158" s="1297"/>
      <c r="S158" s="1297"/>
      <c r="T158" s="468" cm="1" t="str">
        <f t="array" ref="T158:T158">T157</f>
        <v>true</v>
      </c>
      <c r="U158" s="1297"/>
      <c r="V158" s="1297"/>
      <c r="W158" s="1297"/>
      <c r="X158" s="1539"/>
      <c r="Y158" s="1297"/>
      <c r="Z158" s="1529"/>
      <c r="AA158" s="1297"/>
      <c r="AB158" s="251" t="str">
        <f>K158&amp;" год"</f>
        <v>2049 год</v>
      </c>
      <c r="AC158" s="6792"/>
      <c r="AD158" s="6798"/>
      <c r="AE158" s="6799"/>
      <c r="AF158" s="6799"/>
      <c r="AG158" s="6798"/>
      <c r="AH158" s="6819"/>
      <c r="AI158" s="6819"/>
      <c r="AJ158" s="6798"/>
      <c r="AK158" s="6800"/>
      <c r="AL158" s="404"/>
      <c r="AM158" s="1297"/>
      <c r="AN158" s="1297"/>
      <c r="AO158" s="1072" cm="1" t="str">
        <f t="array" ref="AO158:AO158">K158</f>
        <v>2049</v>
      </c>
      <c r="AP158" s="1297"/>
      <c r="AQ158" s="1297"/>
    </row>
    <row s="6885" customFormat="1" customHeight="1" ht="14.25" hidden="1">
      <c r="A159" s="1297"/>
      <c r="B159" s="447">
        <f>K159&lt;first_year+PERIOD_LENGTH</f>
        <v>0</v>
      </c>
      <c r="C159" s="1297"/>
      <c r="D159" s="1297"/>
      <c r="E159" s="709">
        <v>15</v>
      </c>
      <c r="F159" s="50" cm="1" t="str">
        <f t="array" ref="F159:F159">OFFSET(E159,-1,1)</f>
        <v>2</v>
      </c>
      <c r="G159" s="1297"/>
      <c r="H159" s="1297"/>
      <c r="I159" s="1297"/>
      <c r="J159" s="1297"/>
      <c r="K159" s="154">
        <f>first_year+26</f>
        <v>2050</v>
      </c>
      <c r="L159" s="1297"/>
      <c r="M159" s="1297"/>
      <c r="N159" s="1297"/>
      <c r="O159" s="1297"/>
      <c r="P159" s="1297"/>
      <c r="Q159" s="1297"/>
      <c r="R159" s="1297"/>
      <c r="S159" s="1297"/>
      <c r="T159" s="468" cm="1" t="str">
        <f t="array" ref="T159:T159">T158</f>
        <v>true</v>
      </c>
      <c r="U159" s="1297"/>
      <c r="V159" s="1297"/>
      <c r="W159" s="1297"/>
      <c r="X159" s="1539"/>
      <c r="Y159" s="1297"/>
      <c r="Z159" s="1529"/>
      <c r="AA159" s="1297"/>
      <c r="AB159" s="251" t="str">
        <f>K159&amp;" год"</f>
        <v>2050 год</v>
      </c>
      <c r="AC159" s="6792"/>
      <c r="AD159" s="6798"/>
      <c r="AE159" s="6799"/>
      <c r="AF159" s="6799"/>
      <c r="AG159" s="6798"/>
      <c r="AH159" s="6819"/>
      <c r="AI159" s="6819"/>
      <c r="AJ159" s="6798"/>
      <c r="AK159" s="6800"/>
      <c r="AL159" s="404"/>
      <c r="AM159" s="1297"/>
      <c r="AN159" s="1297"/>
      <c r="AO159" s="1072" cm="1" t="str">
        <f t="array" ref="AO159:AO159">K159</f>
        <v>2050</v>
      </c>
      <c r="AP159" s="1297"/>
      <c r="AQ159" s="1297"/>
    </row>
    <row s="6886" customFormat="1" customHeight="1" ht="14.25" hidden="1">
      <c r="A160" s="1297"/>
      <c r="B160" s="447">
        <f>K160&lt;first_year+PERIOD_LENGTH</f>
        <v>0</v>
      </c>
      <c r="C160" s="1297"/>
      <c r="D160" s="1297"/>
      <c r="E160" s="709">
        <v>15</v>
      </c>
      <c r="F160" s="50" cm="1" t="str">
        <f t="array" ref="F160:F160">OFFSET(E160,-1,1)</f>
        <v>2</v>
      </c>
      <c r="G160" s="1297"/>
      <c r="H160" s="1297"/>
      <c r="I160" s="1297"/>
      <c r="J160" s="1297"/>
      <c r="K160" s="154">
        <f>first_year+27</f>
        <v>2051</v>
      </c>
      <c r="L160" s="1297"/>
      <c r="M160" s="1297"/>
      <c r="N160" s="1297"/>
      <c r="O160" s="1297"/>
      <c r="P160" s="1297"/>
      <c r="Q160" s="1297"/>
      <c r="R160" s="1297"/>
      <c r="S160" s="1297"/>
      <c r="T160" s="468" cm="1" t="str">
        <f t="array" ref="T160:T160">T159</f>
        <v>true</v>
      </c>
      <c r="U160" s="1297"/>
      <c r="V160" s="1297"/>
      <c r="W160" s="1297"/>
      <c r="X160" s="1539"/>
      <c r="Y160" s="1297"/>
      <c r="Z160" s="1529"/>
      <c r="AA160" s="1297"/>
      <c r="AB160" s="251" t="str">
        <f>K160&amp;" год"</f>
        <v>2051 год</v>
      </c>
      <c r="AC160" s="6792"/>
      <c r="AD160" s="6798"/>
      <c r="AE160" s="6799"/>
      <c r="AF160" s="6799"/>
      <c r="AG160" s="6798"/>
      <c r="AH160" s="6819"/>
      <c r="AI160" s="6819"/>
      <c r="AJ160" s="6798"/>
      <c r="AK160" s="6800"/>
      <c r="AL160" s="404"/>
      <c r="AM160" s="1297"/>
      <c r="AN160" s="1297"/>
      <c r="AO160" s="1072" cm="1" t="str">
        <f t="array" ref="AO160:AO160">K160</f>
        <v>2051</v>
      </c>
      <c r="AP160" s="1297"/>
      <c r="AQ160" s="1297"/>
    </row>
    <row s="6887" customFormat="1" customHeight="1" ht="14.25" hidden="1">
      <c r="A161" s="1297"/>
      <c r="B161" s="447">
        <f>K161&lt;first_year+PERIOD_LENGTH</f>
        <v>0</v>
      </c>
      <c r="C161" s="1297"/>
      <c r="D161" s="1297"/>
      <c r="E161" s="709">
        <v>15</v>
      </c>
      <c r="F161" s="50" cm="1" t="str">
        <f t="array" ref="F161:F161">OFFSET(E161,-1,1)</f>
        <v>2</v>
      </c>
      <c r="G161" s="1297"/>
      <c r="H161" s="1297"/>
      <c r="I161" s="1297"/>
      <c r="J161" s="1297"/>
      <c r="K161" s="154">
        <f>first_year+28</f>
        <v>2052</v>
      </c>
      <c r="L161" s="1297"/>
      <c r="M161" s="1297"/>
      <c r="N161" s="1297"/>
      <c r="O161" s="1297"/>
      <c r="P161" s="1297"/>
      <c r="Q161" s="1297"/>
      <c r="R161" s="1297"/>
      <c r="S161" s="1297"/>
      <c r="T161" s="468" cm="1" t="str">
        <f t="array" ref="T161:T161">T160</f>
        <v>true</v>
      </c>
      <c r="U161" s="1297"/>
      <c r="V161" s="1297"/>
      <c r="W161" s="1297"/>
      <c r="X161" s="1539"/>
      <c r="Y161" s="1297"/>
      <c r="Z161" s="1529"/>
      <c r="AA161" s="1297"/>
      <c r="AB161" s="251" t="str">
        <f>K161&amp;" год"</f>
        <v>2052 год</v>
      </c>
      <c r="AC161" s="6792"/>
      <c r="AD161" s="6798"/>
      <c r="AE161" s="6799"/>
      <c r="AF161" s="6799"/>
      <c r="AG161" s="6798"/>
      <c r="AH161" s="6819"/>
      <c r="AI161" s="6819"/>
      <c r="AJ161" s="6798"/>
      <c r="AK161" s="6800"/>
      <c r="AL161" s="404"/>
      <c r="AM161" s="1297"/>
      <c r="AN161" s="1297"/>
      <c r="AO161" s="1072" cm="1" t="str">
        <f t="array" ref="AO161:AO161">K161</f>
        <v>2052</v>
      </c>
      <c r="AP161" s="1297"/>
      <c r="AQ161" s="1297"/>
    </row>
    <row s="6888" customFormat="1" customHeight="1" ht="14.25" hidden="1">
      <c r="A162" s="1297"/>
      <c r="B162" s="447">
        <f>K162&lt;first_year+PERIOD_LENGTH</f>
        <v>0</v>
      </c>
      <c r="C162" s="1297"/>
      <c r="D162" s="1297"/>
      <c r="E162" s="709">
        <v>15</v>
      </c>
      <c r="F162" s="50" cm="1" t="str">
        <f t="array" ref="F162:F162">OFFSET(E162,-1,1)</f>
        <v>2</v>
      </c>
      <c r="G162" s="1297"/>
      <c r="H162" s="1297"/>
      <c r="I162" s="1297"/>
      <c r="J162" s="1297"/>
      <c r="K162" s="154">
        <f>first_year+29</f>
        <v>2053</v>
      </c>
      <c r="L162" s="1297"/>
      <c r="M162" s="1297"/>
      <c r="N162" s="1297"/>
      <c r="O162" s="1297"/>
      <c r="P162" s="1297"/>
      <c r="Q162" s="1297"/>
      <c r="R162" s="1297"/>
      <c r="S162" s="1297"/>
      <c r="T162" s="468" cm="1" t="str">
        <f t="array" ref="T162:T162">T161</f>
        <v>true</v>
      </c>
      <c r="U162" s="1297"/>
      <c r="V162" s="1297"/>
      <c r="W162" s="1297"/>
      <c r="X162" s="1539"/>
      <c r="Y162" s="1297"/>
      <c r="Z162" s="1529"/>
      <c r="AA162" s="1297"/>
      <c r="AB162" s="251" t="str">
        <f>K162&amp;" год"</f>
        <v>2053 год</v>
      </c>
      <c r="AC162" s="6792"/>
      <c r="AD162" s="6798"/>
      <c r="AE162" s="6799"/>
      <c r="AF162" s="6799"/>
      <c r="AG162" s="6798"/>
      <c r="AH162" s="6819"/>
      <c r="AI162" s="6819"/>
      <c r="AJ162" s="6798"/>
      <c r="AK162" s="6800"/>
      <c r="AL162" s="404"/>
      <c r="AM162" s="1297"/>
      <c r="AN162" s="1297"/>
      <c r="AO162" s="1072" cm="1" t="str">
        <f t="array" ref="AO162:AO162">K162</f>
        <v>2053</v>
      </c>
      <c r="AP162" s="1297"/>
      <c r="AQ162" s="1297"/>
    </row>
    <row s="6889" customFormat="1" customHeight="1" ht="14.25" hidden="1">
      <c r="A163" s="1297"/>
      <c r="B163" s="447">
        <f>K163&lt;first_year+PERIOD_LENGTH</f>
        <v>0</v>
      </c>
      <c r="C163" s="1297"/>
      <c r="D163" s="1297"/>
      <c r="E163" s="709">
        <v>15</v>
      </c>
      <c r="F163" s="50" cm="1" t="str">
        <f t="array" ref="F163:F163">OFFSET(E163,-1,1)</f>
        <v>2</v>
      </c>
      <c r="G163" s="1297"/>
      <c r="H163" s="1297"/>
      <c r="I163" s="1297"/>
      <c r="J163" s="1297"/>
      <c r="K163" s="154">
        <f>first_year+30</f>
        <v>2054</v>
      </c>
      <c r="L163" s="1297"/>
      <c r="M163" s="1297"/>
      <c r="N163" s="1297"/>
      <c r="O163" s="1297"/>
      <c r="P163" s="1297"/>
      <c r="Q163" s="1297"/>
      <c r="R163" s="1297"/>
      <c r="S163" s="1297"/>
      <c r="T163" s="468" cm="1" t="str">
        <f t="array" ref="T163:T163">T162</f>
        <v>true</v>
      </c>
      <c r="U163" s="1297"/>
      <c r="V163" s="1297"/>
      <c r="W163" s="1297"/>
      <c r="X163" s="1539"/>
      <c r="Y163" s="1297"/>
      <c r="Z163" s="1529"/>
      <c r="AA163" s="1297"/>
      <c r="AB163" s="251" t="str">
        <f>K163&amp;" год"</f>
        <v>2054 год</v>
      </c>
      <c r="AC163" s="6792"/>
      <c r="AD163" s="6798"/>
      <c r="AE163" s="6799"/>
      <c r="AF163" s="6799"/>
      <c r="AG163" s="6798"/>
      <c r="AH163" s="6819"/>
      <c r="AI163" s="6819"/>
      <c r="AJ163" s="6798"/>
      <c r="AK163" s="6800"/>
      <c r="AL163" s="404"/>
      <c r="AM163" s="1297"/>
      <c r="AN163" s="1297"/>
      <c r="AO163" s="1072" cm="1" t="str">
        <f t="array" ref="AO163:AO163">K163</f>
        <v>2054</v>
      </c>
      <c r="AP163" s="1297"/>
      <c r="AQ163" s="1297"/>
    </row>
    <row s="6890" customFormat="1" customHeight="1" ht="14.25" hidden="1">
      <c r="A164" s="1297"/>
      <c r="B164" s="447">
        <f>K164&lt;first_year+PERIOD_LENGTH</f>
        <v>0</v>
      </c>
      <c r="C164" s="1297"/>
      <c r="D164" s="1297"/>
      <c r="E164" s="709">
        <v>15</v>
      </c>
      <c r="F164" s="50" cm="1" t="str">
        <f t="array" ref="F164:F164">OFFSET(E164,-1,1)</f>
        <v>2</v>
      </c>
      <c r="G164" s="1297"/>
      <c r="H164" s="1297"/>
      <c r="I164" s="1297"/>
      <c r="J164" s="1297"/>
      <c r="K164" s="154">
        <f>first_year+31</f>
        <v>2055</v>
      </c>
      <c r="L164" s="1297"/>
      <c r="M164" s="1297"/>
      <c r="N164" s="1297"/>
      <c r="O164" s="1297"/>
      <c r="P164" s="1297"/>
      <c r="Q164" s="1297"/>
      <c r="R164" s="1297"/>
      <c r="S164" s="1297"/>
      <c r="T164" s="468" cm="1" t="str">
        <f t="array" ref="T164:T164">T163</f>
        <v>true</v>
      </c>
      <c r="U164" s="1297"/>
      <c r="V164" s="1297"/>
      <c r="W164" s="1297"/>
      <c r="X164" s="1539"/>
      <c r="Y164" s="1297"/>
      <c r="Z164" s="1529"/>
      <c r="AA164" s="1297"/>
      <c r="AB164" s="251" t="str">
        <f>K164&amp;" год"</f>
        <v>2055 год</v>
      </c>
      <c r="AC164" s="6792"/>
      <c r="AD164" s="6798"/>
      <c r="AE164" s="6799"/>
      <c r="AF164" s="6799"/>
      <c r="AG164" s="6798"/>
      <c r="AH164" s="6819"/>
      <c r="AI164" s="6819"/>
      <c r="AJ164" s="6798"/>
      <c r="AK164" s="6800"/>
      <c r="AL164" s="404"/>
      <c r="AM164" s="1297"/>
      <c r="AN164" s="1297"/>
      <c r="AO164" s="1072" cm="1" t="str">
        <f t="array" ref="AO164:AO164">K164</f>
        <v>2055</v>
      </c>
      <c r="AP164" s="1297"/>
      <c r="AQ164" s="1297"/>
    </row>
    <row s="6891" customFormat="1" customHeight="1" ht="14.25" hidden="1">
      <c r="A165" s="1297"/>
      <c r="B165" s="447">
        <f>K165&lt;first_year+PERIOD_LENGTH</f>
        <v>0</v>
      </c>
      <c r="C165" s="1297"/>
      <c r="D165" s="1297"/>
      <c r="E165" s="709">
        <v>15</v>
      </c>
      <c r="F165" s="50" cm="1" t="str">
        <f t="array" ref="F165:F165">OFFSET(E165,-1,1)</f>
        <v>2</v>
      </c>
      <c r="G165" s="1297"/>
      <c r="H165" s="1297"/>
      <c r="I165" s="1297"/>
      <c r="J165" s="1297"/>
      <c r="K165" s="154">
        <f>first_year+32</f>
        <v>2056</v>
      </c>
      <c r="L165" s="1297"/>
      <c r="M165" s="1297"/>
      <c r="N165" s="1297"/>
      <c r="O165" s="1297"/>
      <c r="P165" s="1297"/>
      <c r="Q165" s="1297"/>
      <c r="R165" s="1297"/>
      <c r="S165" s="1297"/>
      <c r="T165" s="468" cm="1" t="str">
        <f t="array" ref="T165:T165">T164</f>
        <v>true</v>
      </c>
      <c r="U165" s="1297"/>
      <c r="V165" s="1297"/>
      <c r="W165" s="1297"/>
      <c r="X165" s="1539"/>
      <c r="Y165" s="1297"/>
      <c r="Z165" s="1529"/>
      <c r="AA165" s="1297"/>
      <c r="AB165" s="251" t="str">
        <f>K165&amp;" год"</f>
        <v>2056 год</v>
      </c>
      <c r="AC165" s="6792"/>
      <c r="AD165" s="6798"/>
      <c r="AE165" s="6799"/>
      <c r="AF165" s="6799"/>
      <c r="AG165" s="6798"/>
      <c r="AH165" s="6819"/>
      <c r="AI165" s="6819"/>
      <c r="AJ165" s="6798"/>
      <c r="AK165" s="6800"/>
      <c r="AL165" s="404"/>
      <c r="AM165" s="1297"/>
      <c r="AN165" s="1297"/>
      <c r="AO165" s="1072" cm="1" t="str">
        <f t="array" ref="AO165:AO165">K165</f>
        <v>2056</v>
      </c>
      <c r="AP165" s="1297"/>
      <c r="AQ165" s="1297"/>
    </row>
    <row s="6892" customFormat="1" customHeight="1" ht="14.25" hidden="1">
      <c r="A166" s="1297"/>
      <c r="B166" s="447">
        <f>K166&lt;first_year+PERIOD_LENGTH</f>
        <v>0</v>
      </c>
      <c r="C166" s="1297"/>
      <c r="D166" s="1297"/>
      <c r="E166" s="709">
        <v>15</v>
      </c>
      <c r="F166" s="50" cm="1" t="str">
        <f t="array" ref="F166:F166">OFFSET(E166,-1,1)</f>
        <v>2</v>
      </c>
      <c r="G166" s="1297"/>
      <c r="H166" s="1297"/>
      <c r="I166" s="1297"/>
      <c r="J166" s="1297"/>
      <c r="K166" s="154">
        <f>first_year+33</f>
        <v>2057</v>
      </c>
      <c r="L166" s="1297"/>
      <c r="M166" s="1297"/>
      <c r="N166" s="1297"/>
      <c r="O166" s="1297"/>
      <c r="P166" s="1297"/>
      <c r="Q166" s="1297"/>
      <c r="R166" s="1297"/>
      <c r="S166" s="1297"/>
      <c r="T166" s="468" cm="1" t="str">
        <f t="array" ref="T166:T166">T165</f>
        <v>true</v>
      </c>
      <c r="U166" s="1297"/>
      <c r="V166" s="1297"/>
      <c r="W166" s="1297"/>
      <c r="X166" s="1539"/>
      <c r="Y166" s="1297"/>
      <c r="Z166" s="1529"/>
      <c r="AA166" s="1297"/>
      <c r="AB166" s="251" t="str">
        <f>K166&amp;" год"</f>
        <v>2057 год</v>
      </c>
      <c r="AC166" s="6792"/>
      <c r="AD166" s="6798"/>
      <c r="AE166" s="6799"/>
      <c r="AF166" s="6799"/>
      <c r="AG166" s="6798"/>
      <c r="AH166" s="6819"/>
      <c r="AI166" s="6819"/>
      <c r="AJ166" s="6798"/>
      <c r="AK166" s="6800"/>
      <c r="AL166" s="404"/>
      <c r="AM166" s="1297"/>
      <c r="AN166" s="1297"/>
      <c r="AO166" s="1072" cm="1" t="str">
        <f t="array" ref="AO166:AO166">K166</f>
        <v>2057</v>
      </c>
      <c r="AP166" s="1297"/>
      <c r="AQ166" s="1297"/>
    </row>
    <row s="6893" customFormat="1" customHeight="1" ht="14.25" hidden="1">
      <c r="A167" s="1297"/>
      <c r="B167" s="447">
        <f>K167&lt;first_year+PERIOD_LENGTH</f>
        <v>0</v>
      </c>
      <c r="C167" s="1297"/>
      <c r="D167" s="1297"/>
      <c r="E167" s="709">
        <v>15</v>
      </c>
      <c r="F167" s="50" cm="1" t="str">
        <f t="array" ref="F167:F167">OFFSET(E167,-1,1)</f>
        <v>2</v>
      </c>
      <c r="G167" s="1297"/>
      <c r="H167" s="1297"/>
      <c r="I167" s="1297"/>
      <c r="J167" s="1297"/>
      <c r="K167" s="154">
        <f>first_year+34</f>
        <v>2058</v>
      </c>
      <c r="L167" s="1297"/>
      <c r="M167" s="1297"/>
      <c r="N167" s="1297"/>
      <c r="O167" s="1297"/>
      <c r="P167" s="1297"/>
      <c r="Q167" s="1297"/>
      <c r="R167" s="1297"/>
      <c r="S167" s="1297"/>
      <c r="T167" s="468" cm="1" t="str">
        <f t="array" ref="T167:T167">T166</f>
        <v>true</v>
      </c>
      <c r="U167" s="1297"/>
      <c r="V167" s="1297"/>
      <c r="W167" s="1297"/>
      <c r="X167" s="1539"/>
      <c r="Y167" s="1297"/>
      <c r="Z167" s="1529"/>
      <c r="AA167" s="1297"/>
      <c r="AB167" s="251" t="str">
        <f>K167&amp;" год"</f>
        <v>2058 год</v>
      </c>
      <c r="AC167" s="6792"/>
      <c r="AD167" s="6798"/>
      <c r="AE167" s="6799"/>
      <c r="AF167" s="6799"/>
      <c r="AG167" s="6798"/>
      <c r="AH167" s="6819"/>
      <c r="AI167" s="6819"/>
      <c r="AJ167" s="6798"/>
      <c r="AK167" s="6800"/>
      <c r="AL167" s="404"/>
      <c r="AM167" s="1297"/>
      <c r="AN167" s="1297"/>
      <c r="AO167" s="1072" cm="1" t="str">
        <f t="array" ref="AO167:AO167">K167</f>
        <v>2058</v>
      </c>
      <c r="AP167" s="1297"/>
      <c r="AQ167" s="1297"/>
    </row>
    <row s="6894" customFormat="1" customHeight="1" ht="14.25" hidden="1">
      <c r="A168" s="1297"/>
      <c r="B168" s="447">
        <f>K168&lt;first_year+PERIOD_LENGTH</f>
        <v>0</v>
      </c>
      <c r="C168" s="1297"/>
      <c r="D168" s="1297"/>
      <c r="E168" s="709">
        <v>15</v>
      </c>
      <c r="F168" s="50" cm="1" t="str">
        <f t="array" ref="F168:F168">OFFSET(E168,-1,1)</f>
        <v>2</v>
      </c>
      <c r="G168" s="1297"/>
      <c r="H168" s="1297"/>
      <c r="I168" s="1297"/>
      <c r="J168" s="1297"/>
      <c r="K168" s="154">
        <f>first_year+35</f>
        <v>2059</v>
      </c>
      <c r="L168" s="1297"/>
      <c r="M168" s="1297"/>
      <c r="N168" s="1297"/>
      <c r="O168" s="1297"/>
      <c r="P168" s="1297"/>
      <c r="Q168" s="1297"/>
      <c r="R168" s="1297"/>
      <c r="S168" s="1297"/>
      <c r="T168" s="468" cm="1" t="str">
        <f t="array" ref="T168:T168">T167</f>
        <v>true</v>
      </c>
      <c r="U168" s="1297"/>
      <c r="V168" s="1297"/>
      <c r="W168" s="1297"/>
      <c r="X168" s="1539"/>
      <c r="Y168" s="1297"/>
      <c r="Z168" s="1529"/>
      <c r="AA168" s="1297"/>
      <c r="AB168" s="251" t="str">
        <f>K168&amp;" год"</f>
        <v>2059 год</v>
      </c>
      <c r="AC168" s="6792"/>
      <c r="AD168" s="6798"/>
      <c r="AE168" s="6799"/>
      <c r="AF168" s="6799"/>
      <c r="AG168" s="6798"/>
      <c r="AH168" s="6819"/>
      <c r="AI168" s="6819"/>
      <c r="AJ168" s="6798"/>
      <c r="AK168" s="6800"/>
      <c r="AL168" s="404"/>
      <c r="AM168" s="1297"/>
      <c r="AN168" s="1297"/>
      <c r="AO168" s="1072" cm="1" t="str">
        <f t="array" ref="AO168:AO168">K168</f>
        <v>2059</v>
      </c>
      <c r="AP168" s="1297"/>
      <c r="AQ168" s="1297"/>
    </row>
    <row s="6895" customFormat="1" customHeight="1" ht="14.25" hidden="1">
      <c r="A169" s="1297"/>
      <c r="B169" s="447">
        <f>K169&lt;first_year+PERIOD_LENGTH</f>
        <v>0</v>
      </c>
      <c r="C169" s="1297"/>
      <c r="D169" s="1297"/>
      <c r="E169" s="709">
        <v>15</v>
      </c>
      <c r="F169" s="50" cm="1" t="str">
        <f t="array" ref="F169:F169">OFFSET(E169,-1,1)</f>
        <v>2</v>
      </c>
      <c r="G169" s="1297"/>
      <c r="H169" s="1297"/>
      <c r="I169" s="1297"/>
      <c r="J169" s="1297"/>
      <c r="K169" s="154">
        <f>first_year+36</f>
        <v>2060</v>
      </c>
      <c r="L169" s="1297"/>
      <c r="M169" s="1297"/>
      <c r="N169" s="1297"/>
      <c r="O169" s="1297"/>
      <c r="P169" s="1297"/>
      <c r="Q169" s="1297"/>
      <c r="R169" s="1297"/>
      <c r="S169" s="1297"/>
      <c r="T169" s="468" cm="1" t="str">
        <f t="array" ref="T169:T169">T168</f>
        <v>true</v>
      </c>
      <c r="U169" s="1297"/>
      <c r="V169" s="1297"/>
      <c r="W169" s="1297"/>
      <c r="X169" s="1539"/>
      <c r="Y169" s="1297"/>
      <c r="Z169" s="1529"/>
      <c r="AA169" s="1297"/>
      <c r="AB169" s="251" t="str">
        <f>K169&amp;" год"</f>
        <v>2060 год</v>
      </c>
      <c r="AC169" s="6792"/>
      <c r="AD169" s="6798"/>
      <c r="AE169" s="6799"/>
      <c r="AF169" s="6799"/>
      <c r="AG169" s="6798"/>
      <c r="AH169" s="6819"/>
      <c r="AI169" s="6819"/>
      <c r="AJ169" s="6798"/>
      <c r="AK169" s="6800"/>
      <c r="AL169" s="404"/>
      <c r="AM169" s="1297"/>
      <c r="AN169" s="1297"/>
      <c r="AO169" s="1072" cm="1" t="str">
        <f t="array" ref="AO169:AO169">K169</f>
        <v>2060</v>
      </c>
      <c r="AP169" s="1297"/>
      <c r="AQ169" s="1297"/>
    </row>
    <row s="6896" customFormat="1" customHeight="1" ht="14.25" hidden="1">
      <c r="A170" s="1297"/>
      <c r="B170" s="447">
        <f>K170&lt;first_year+PERIOD_LENGTH</f>
        <v>0</v>
      </c>
      <c r="C170" s="1297"/>
      <c r="D170" s="1297"/>
      <c r="E170" s="709">
        <v>15</v>
      </c>
      <c r="F170" s="50" cm="1" t="str">
        <f t="array" ref="F170:F170">OFFSET(E170,-1,1)</f>
        <v>2</v>
      </c>
      <c r="G170" s="1297"/>
      <c r="H170" s="1297"/>
      <c r="I170" s="1297"/>
      <c r="J170" s="1297"/>
      <c r="K170" s="154">
        <f>first_year+37</f>
        <v>2061</v>
      </c>
      <c r="L170" s="1297"/>
      <c r="M170" s="1297"/>
      <c r="N170" s="1297"/>
      <c r="O170" s="1297"/>
      <c r="P170" s="1297"/>
      <c r="Q170" s="1297"/>
      <c r="R170" s="1297"/>
      <c r="S170" s="1297"/>
      <c r="T170" s="468" cm="1" t="str">
        <f t="array" ref="T170:T170">T169</f>
        <v>true</v>
      </c>
      <c r="U170" s="1297"/>
      <c r="V170" s="1297"/>
      <c r="W170" s="1297"/>
      <c r="X170" s="1539"/>
      <c r="Y170" s="1297"/>
      <c r="Z170" s="1529"/>
      <c r="AA170" s="1297"/>
      <c r="AB170" s="251" t="str">
        <f>K170&amp;" год"</f>
        <v>2061 год</v>
      </c>
      <c r="AC170" s="6792"/>
      <c r="AD170" s="6798"/>
      <c r="AE170" s="6799"/>
      <c r="AF170" s="6799"/>
      <c r="AG170" s="6798"/>
      <c r="AH170" s="6819"/>
      <c r="AI170" s="6819"/>
      <c r="AJ170" s="6798"/>
      <c r="AK170" s="6800"/>
      <c r="AL170" s="404"/>
      <c r="AM170" s="1297"/>
      <c r="AN170" s="1297"/>
      <c r="AO170" s="1072" cm="1" t="str">
        <f t="array" ref="AO170:AO170">K170</f>
        <v>2061</v>
      </c>
      <c r="AP170" s="1297"/>
      <c r="AQ170" s="1297"/>
    </row>
    <row s="6897" customFormat="1" customHeight="1" ht="14.25" hidden="1">
      <c r="A171" s="1297"/>
      <c r="B171" s="447">
        <f>K171&lt;first_year+PERIOD_LENGTH</f>
        <v>0</v>
      </c>
      <c r="C171" s="1297"/>
      <c r="D171" s="1297"/>
      <c r="E171" s="709">
        <v>15</v>
      </c>
      <c r="F171" s="50" cm="1" t="str">
        <f t="array" ref="F171:F171">OFFSET(E171,-1,1)</f>
        <v>2</v>
      </c>
      <c r="G171" s="1297"/>
      <c r="H171" s="1297"/>
      <c r="I171" s="1297"/>
      <c r="J171" s="1297"/>
      <c r="K171" s="154">
        <f>first_year+38</f>
        <v>2062</v>
      </c>
      <c r="L171" s="1297"/>
      <c r="M171" s="1297"/>
      <c r="N171" s="1297"/>
      <c r="O171" s="1297"/>
      <c r="P171" s="1297"/>
      <c r="Q171" s="1297"/>
      <c r="R171" s="1297"/>
      <c r="S171" s="1297"/>
      <c r="T171" s="468" cm="1" t="str">
        <f t="array" ref="T171:T171">T170</f>
        <v>true</v>
      </c>
      <c r="U171" s="1297"/>
      <c r="V171" s="1297"/>
      <c r="W171" s="1297"/>
      <c r="X171" s="1539"/>
      <c r="Y171" s="1297"/>
      <c r="Z171" s="1529"/>
      <c r="AA171" s="1297"/>
      <c r="AB171" s="251" t="str">
        <f>K171&amp;" год"</f>
        <v>2062 год</v>
      </c>
      <c r="AC171" s="6792"/>
      <c r="AD171" s="6798"/>
      <c r="AE171" s="6799"/>
      <c r="AF171" s="6799"/>
      <c r="AG171" s="6798"/>
      <c r="AH171" s="6819"/>
      <c r="AI171" s="6819"/>
      <c r="AJ171" s="6798"/>
      <c r="AK171" s="6800"/>
      <c r="AL171" s="404"/>
      <c r="AM171" s="1297"/>
      <c r="AN171" s="1297"/>
      <c r="AO171" s="1072" cm="1" t="str">
        <f t="array" ref="AO171:AO171">K171</f>
        <v>2062</v>
      </c>
      <c r="AP171" s="1297"/>
      <c r="AQ171" s="1297"/>
    </row>
    <row s="6898" customFormat="1" customHeight="1" ht="14.25" hidden="1">
      <c r="A172" s="1297"/>
      <c r="B172" s="447">
        <f>K172&lt;first_year+PERIOD_LENGTH</f>
        <v>0</v>
      </c>
      <c r="C172" s="1297"/>
      <c r="D172" s="1297"/>
      <c r="E172" s="709">
        <v>15</v>
      </c>
      <c r="F172" s="50" cm="1" t="str">
        <f t="array" ref="F172:F172">OFFSET(E172,-1,1)</f>
        <v>2</v>
      </c>
      <c r="G172" s="1297"/>
      <c r="H172" s="1297"/>
      <c r="I172" s="1297"/>
      <c r="J172" s="1297"/>
      <c r="K172" s="154">
        <f>first_year+39</f>
        <v>2063</v>
      </c>
      <c r="L172" s="1297"/>
      <c r="M172" s="1297"/>
      <c r="N172" s="1297"/>
      <c r="O172" s="1297"/>
      <c r="P172" s="1297"/>
      <c r="Q172" s="1297"/>
      <c r="R172" s="1297"/>
      <c r="S172" s="1297"/>
      <c r="T172" s="468" cm="1" t="str">
        <f t="array" ref="T172:T172">T171</f>
        <v>true</v>
      </c>
      <c r="U172" s="1297"/>
      <c r="V172" s="1297"/>
      <c r="W172" s="1297"/>
      <c r="X172" s="1539"/>
      <c r="Y172" s="1297"/>
      <c r="Z172" s="1529"/>
      <c r="AA172" s="1297"/>
      <c r="AB172" s="251" t="str">
        <f>K172&amp;" год"</f>
        <v>2063 год</v>
      </c>
      <c r="AC172" s="6792"/>
      <c r="AD172" s="6798"/>
      <c r="AE172" s="6799"/>
      <c r="AF172" s="6799"/>
      <c r="AG172" s="6798"/>
      <c r="AH172" s="6819"/>
      <c r="AI172" s="6819"/>
      <c r="AJ172" s="6798"/>
      <c r="AK172" s="6800"/>
      <c r="AL172" s="404"/>
      <c r="AM172" s="1297"/>
      <c r="AN172" s="1297"/>
      <c r="AO172" s="1072" cm="1" t="str">
        <f t="array" ref="AO172:AO172">K172</f>
        <v>2063</v>
      </c>
      <c r="AP172" s="1297"/>
      <c r="AQ172" s="1297"/>
    </row>
    <row s="6899" customFormat="1" customHeight="1" ht="14.25" hidden="1">
      <c r="A173" s="1297"/>
      <c r="B173" s="447">
        <f>K173&lt;first_year+PERIOD_LENGTH</f>
        <v>0</v>
      </c>
      <c r="C173" s="1297"/>
      <c r="D173" s="1297"/>
      <c r="E173" s="709">
        <v>15</v>
      </c>
      <c r="F173" s="50" cm="1" t="str">
        <f t="array" ref="F173:F173">OFFSET(E173,-1,1)</f>
        <v>2</v>
      </c>
      <c r="G173" s="1297"/>
      <c r="H173" s="1297"/>
      <c r="I173" s="1297"/>
      <c r="J173" s="1297"/>
      <c r="K173" s="154">
        <f>first_year+40</f>
        <v>2064</v>
      </c>
      <c r="L173" s="1297"/>
      <c r="M173" s="1297"/>
      <c r="N173" s="1297"/>
      <c r="O173" s="1297"/>
      <c r="P173" s="1297"/>
      <c r="Q173" s="1297"/>
      <c r="R173" s="1297"/>
      <c r="S173" s="1297"/>
      <c r="T173" s="468" cm="1" t="str">
        <f t="array" ref="T173:T173">T172</f>
        <v>true</v>
      </c>
      <c r="U173" s="1297"/>
      <c r="V173" s="1297"/>
      <c r="W173" s="1297"/>
      <c r="X173" s="1539"/>
      <c r="Y173" s="1297"/>
      <c r="Z173" s="1529"/>
      <c r="AA173" s="1297"/>
      <c r="AB173" s="251" t="str">
        <f>K173&amp;" год"</f>
        <v>2064 год</v>
      </c>
      <c r="AC173" s="6792"/>
      <c r="AD173" s="6798"/>
      <c r="AE173" s="6799"/>
      <c r="AF173" s="6799"/>
      <c r="AG173" s="6798"/>
      <c r="AH173" s="6819"/>
      <c r="AI173" s="6819"/>
      <c r="AJ173" s="6798"/>
      <c r="AK173" s="6800"/>
      <c r="AL173" s="404"/>
      <c r="AM173" s="1297"/>
      <c r="AN173" s="1297"/>
      <c r="AO173" s="1072" cm="1" t="str">
        <f t="array" ref="AO173:AO173">K173</f>
        <v>2064</v>
      </c>
      <c r="AP173" s="1297"/>
      <c r="AQ173" s="1297"/>
    </row>
    <row s="6900" customFormat="1" customHeight="1" ht="14.25" hidden="1">
      <c r="A174" s="1297"/>
      <c r="B174" s="447">
        <f>K174&lt;first_year+PERIOD_LENGTH</f>
        <v>0</v>
      </c>
      <c r="C174" s="1297"/>
      <c r="D174" s="1297"/>
      <c r="E174" s="709">
        <v>15</v>
      </c>
      <c r="F174" s="50" cm="1" t="str">
        <f t="array" ref="F174:F174">OFFSET(E174,-1,1)</f>
        <v>2</v>
      </c>
      <c r="G174" s="1297"/>
      <c r="H174" s="1297"/>
      <c r="I174" s="1297"/>
      <c r="J174" s="1297"/>
      <c r="K174" s="154">
        <f>first_year+41</f>
        <v>2065</v>
      </c>
      <c r="L174" s="1297"/>
      <c r="M174" s="1297"/>
      <c r="N174" s="1297"/>
      <c r="O174" s="1297"/>
      <c r="P174" s="1297"/>
      <c r="Q174" s="1297"/>
      <c r="R174" s="1297"/>
      <c r="S174" s="1297"/>
      <c r="T174" s="468" cm="1" t="str">
        <f t="array" ref="T174:T174">T173</f>
        <v>true</v>
      </c>
      <c r="U174" s="1297"/>
      <c r="V174" s="1297"/>
      <c r="W174" s="1297"/>
      <c r="X174" s="1539"/>
      <c r="Y174" s="1297"/>
      <c r="Z174" s="1529"/>
      <c r="AA174" s="1297"/>
      <c r="AB174" s="251" t="str">
        <f>K174&amp;" год"</f>
        <v>2065 год</v>
      </c>
      <c r="AC174" s="6792"/>
      <c r="AD174" s="6798"/>
      <c r="AE174" s="6799"/>
      <c r="AF174" s="6799"/>
      <c r="AG174" s="6798"/>
      <c r="AH174" s="6819"/>
      <c r="AI174" s="6819"/>
      <c r="AJ174" s="6798"/>
      <c r="AK174" s="6800"/>
      <c r="AL174" s="404"/>
      <c r="AM174" s="1297"/>
      <c r="AN174" s="1297"/>
      <c r="AO174" s="1072" cm="1" t="str">
        <f t="array" ref="AO174:AO174">K174</f>
        <v>2065</v>
      </c>
      <c r="AP174" s="1297"/>
      <c r="AQ174" s="1297"/>
    </row>
    <row s="6901" customFormat="1" customHeight="1" ht="14.25" hidden="1">
      <c r="A175" s="1297"/>
      <c r="B175" s="447">
        <f>K175&lt;first_year+PERIOD_LENGTH</f>
        <v>0</v>
      </c>
      <c r="C175" s="1297"/>
      <c r="D175" s="1297"/>
      <c r="E175" s="709">
        <v>15</v>
      </c>
      <c r="F175" s="50" cm="1" t="str">
        <f t="array" ref="F175:F175">OFFSET(E175,-1,1)</f>
        <v>2</v>
      </c>
      <c r="G175" s="1297"/>
      <c r="H175" s="1297"/>
      <c r="I175" s="1297"/>
      <c r="J175" s="1297"/>
      <c r="K175" s="154">
        <f>first_year+42</f>
        <v>2066</v>
      </c>
      <c r="L175" s="1297"/>
      <c r="M175" s="1297"/>
      <c r="N175" s="1297"/>
      <c r="O175" s="1297"/>
      <c r="P175" s="1297"/>
      <c r="Q175" s="1297"/>
      <c r="R175" s="1297"/>
      <c r="S175" s="1297"/>
      <c r="T175" s="468" cm="1" t="str">
        <f t="array" ref="T175:T175">T174</f>
        <v>true</v>
      </c>
      <c r="U175" s="1297"/>
      <c r="V175" s="1297"/>
      <c r="W175" s="1297"/>
      <c r="X175" s="1539"/>
      <c r="Y175" s="1297"/>
      <c r="Z175" s="1529"/>
      <c r="AA175" s="1297"/>
      <c r="AB175" s="251" t="str">
        <f>K175&amp;" год"</f>
        <v>2066 год</v>
      </c>
      <c r="AC175" s="6792"/>
      <c r="AD175" s="6798"/>
      <c r="AE175" s="6799"/>
      <c r="AF175" s="6799"/>
      <c r="AG175" s="6798"/>
      <c r="AH175" s="6819"/>
      <c r="AI175" s="6819"/>
      <c r="AJ175" s="6798"/>
      <c r="AK175" s="6800"/>
      <c r="AL175" s="404"/>
      <c r="AM175" s="1297"/>
      <c r="AN175" s="1297"/>
      <c r="AO175" s="1072" cm="1" t="str">
        <f t="array" ref="AO175:AO175">K175</f>
        <v>2066</v>
      </c>
      <c r="AP175" s="1297"/>
      <c r="AQ175" s="1297"/>
    </row>
    <row s="6902" customFormat="1" customHeight="1" ht="14.25" hidden="1">
      <c r="A176" s="1297"/>
      <c r="B176" s="447">
        <f>K176&lt;first_year+PERIOD_LENGTH</f>
        <v>0</v>
      </c>
      <c r="C176" s="1297"/>
      <c r="D176" s="1297"/>
      <c r="E176" s="709">
        <v>15</v>
      </c>
      <c r="F176" s="50" cm="1" t="str">
        <f t="array" ref="F176:F176">OFFSET(E176,-1,1)</f>
        <v>2</v>
      </c>
      <c r="G176" s="1297"/>
      <c r="H176" s="1297"/>
      <c r="I176" s="1297"/>
      <c r="J176" s="1297"/>
      <c r="K176" s="154">
        <f>first_year+43</f>
        <v>2067</v>
      </c>
      <c r="L176" s="1297"/>
      <c r="M176" s="1297"/>
      <c r="N176" s="1297"/>
      <c r="O176" s="1297"/>
      <c r="P176" s="1297"/>
      <c r="Q176" s="1297"/>
      <c r="R176" s="1297"/>
      <c r="S176" s="1297"/>
      <c r="T176" s="468" cm="1" t="str">
        <f t="array" ref="T176:T176">T175</f>
        <v>true</v>
      </c>
      <c r="U176" s="1297"/>
      <c r="V176" s="1297"/>
      <c r="W176" s="1297"/>
      <c r="X176" s="1539"/>
      <c r="Y176" s="1297"/>
      <c r="Z176" s="1529"/>
      <c r="AA176" s="1297"/>
      <c r="AB176" s="251" t="str">
        <f>K176&amp;" год"</f>
        <v>2067 год</v>
      </c>
      <c r="AC176" s="6792"/>
      <c r="AD176" s="6798"/>
      <c r="AE176" s="6799"/>
      <c r="AF176" s="6799"/>
      <c r="AG176" s="6798"/>
      <c r="AH176" s="6819"/>
      <c r="AI176" s="6819"/>
      <c r="AJ176" s="6798"/>
      <c r="AK176" s="6800"/>
      <c r="AL176" s="404"/>
      <c r="AM176" s="1297"/>
      <c r="AN176" s="1297"/>
      <c r="AO176" s="1072" cm="1" t="str">
        <f t="array" ref="AO176:AO176">K176</f>
        <v>2067</v>
      </c>
      <c r="AP176" s="1297"/>
      <c r="AQ176" s="1297"/>
    </row>
    <row s="6903" customFormat="1" customHeight="1" ht="14.25" hidden="1">
      <c r="A177" s="1297"/>
      <c r="B177" s="447">
        <f>K177&lt;first_year+PERIOD_LENGTH</f>
        <v>0</v>
      </c>
      <c r="C177" s="1297"/>
      <c r="D177" s="1297"/>
      <c r="E177" s="709">
        <v>15</v>
      </c>
      <c r="F177" s="50" cm="1" t="str">
        <f t="array" ref="F177:F177">OFFSET(E177,-1,1)</f>
        <v>2</v>
      </c>
      <c r="G177" s="1297"/>
      <c r="H177" s="1297"/>
      <c r="I177" s="1297"/>
      <c r="J177" s="1297"/>
      <c r="K177" s="154">
        <f>first_year+44</f>
        <v>2068</v>
      </c>
      <c r="L177" s="1297"/>
      <c r="M177" s="1297"/>
      <c r="N177" s="1297"/>
      <c r="O177" s="1297"/>
      <c r="P177" s="1297"/>
      <c r="Q177" s="1297"/>
      <c r="R177" s="1297"/>
      <c r="S177" s="1297"/>
      <c r="T177" s="468" cm="1" t="str">
        <f t="array" ref="T177:T177">T176</f>
        <v>true</v>
      </c>
      <c r="U177" s="1297"/>
      <c r="V177" s="1297"/>
      <c r="W177" s="1297"/>
      <c r="X177" s="1539"/>
      <c r="Y177" s="1297"/>
      <c r="Z177" s="1529"/>
      <c r="AA177" s="1297"/>
      <c r="AB177" s="251" t="str">
        <f>K177&amp;" год"</f>
        <v>2068 год</v>
      </c>
      <c r="AC177" s="6792"/>
      <c r="AD177" s="6798"/>
      <c r="AE177" s="6799"/>
      <c r="AF177" s="6799"/>
      <c r="AG177" s="6798"/>
      <c r="AH177" s="6819"/>
      <c r="AI177" s="6819"/>
      <c r="AJ177" s="6798"/>
      <c r="AK177" s="6800"/>
      <c r="AL177" s="404"/>
      <c r="AM177" s="1297"/>
      <c r="AN177" s="1297"/>
      <c r="AO177" s="1072" cm="1" t="str">
        <f t="array" ref="AO177:AO177">K177</f>
        <v>2068</v>
      </c>
      <c r="AP177" s="1297"/>
      <c r="AQ177" s="1297"/>
    </row>
    <row s="6904" customFormat="1" customHeight="1" ht="14.25" hidden="1">
      <c r="A178" s="1297"/>
      <c r="B178" s="447">
        <f>K178&lt;first_year+PERIOD_LENGTH</f>
        <v>0</v>
      </c>
      <c r="C178" s="1297"/>
      <c r="D178" s="1297"/>
      <c r="E178" s="709">
        <v>15</v>
      </c>
      <c r="F178" s="50" cm="1" t="str">
        <f t="array" ref="F178:F178">OFFSET(E178,-1,1)</f>
        <v>2</v>
      </c>
      <c r="G178" s="1297"/>
      <c r="H178" s="1297"/>
      <c r="I178" s="1297"/>
      <c r="J178" s="1297"/>
      <c r="K178" s="154">
        <f>first_year+45</f>
        <v>2069</v>
      </c>
      <c r="L178" s="1297"/>
      <c r="M178" s="1297"/>
      <c r="N178" s="1297"/>
      <c r="O178" s="1297"/>
      <c r="P178" s="1297"/>
      <c r="Q178" s="1297"/>
      <c r="R178" s="1297"/>
      <c r="S178" s="1297"/>
      <c r="T178" s="468" cm="1" t="str">
        <f t="array" ref="T178:T178">T177</f>
        <v>true</v>
      </c>
      <c r="U178" s="1297"/>
      <c r="V178" s="1297"/>
      <c r="W178" s="1297"/>
      <c r="X178" s="1539"/>
      <c r="Y178" s="1297"/>
      <c r="Z178" s="1529"/>
      <c r="AA178" s="1297"/>
      <c r="AB178" s="251" t="str">
        <f>K178&amp;" год"</f>
        <v>2069 год</v>
      </c>
      <c r="AC178" s="6792"/>
      <c r="AD178" s="6798"/>
      <c r="AE178" s="6799"/>
      <c r="AF178" s="6799"/>
      <c r="AG178" s="6798"/>
      <c r="AH178" s="6819"/>
      <c r="AI178" s="6819"/>
      <c r="AJ178" s="6798"/>
      <c r="AK178" s="6800"/>
      <c r="AL178" s="404"/>
      <c r="AM178" s="1297"/>
      <c r="AN178" s="1297"/>
      <c r="AO178" s="1072" cm="1" t="str">
        <f t="array" ref="AO178:AO178">K178</f>
        <v>2069</v>
      </c>
      <c r="AP178" s="1297"/>
      <c r="AQ178" s="1297"/>
    </row>
    <row s="6905" customFormat="1" customHeight="1" ht="14.25" hidden="1">
      <c r="A179" s="1297"/>
      <c r="B179" s="447">
        <f>K179&lt;first_year+PERIOD_LENGTH</f>
        <v>0</v>
      </c>
      <c r="C179" s="1297"/>
      <c r="D179" s="1297"/>
      <c r="E179" s="709">
        <v>15</v>
      </c>
      <c r="F179" s="50" cm="1" t="str">
        <f t="array" ref="F179:F179">OFFSET(E179,-1,1)</f>
        <v>2</v>
      </c>
      <c r="G179" s="1297"/>
      <c r="H179" s="1297"/>
      <c r="I179" s="1297"/>
      <c r="J179" s="1297"/>
      <c r="K179" s="154">
        <f>first_year+46</f>
        <v>2070</v>
      </c>
      <c r="L179" s="1297"/>
      <c r="M179" s="1297"/>
      <c r="N179" s="1297"/>
      <c r="O179" s="1297"/>
      <c r="P179" s="1297"/>
      <c r="Q179" s="1297"/>
      <c r="R179" s="1297"/>
      <c r="S179" s="1297"/>
      <c r="T179" s="468" cm="1" t="str">
        <f t="array" ref="T179:T179">T178</f>
        <v>true</v>
      </c>
      <c r="U179" s="1297"/>
      <c r="V179" s="1297"/>
      <c r="W179" s="1297"/>
      <c r="X179" s="1539"/>
      <c r="Y179" s="1297"/>
      <c r="Z179" s="1529"/>
      <c r="AA179" s="1297"/>
      <c r="AB179" s="251" t="str">
        <f>K179&amp;" год"</f>
        <v>2070 год</v>
      </c>
      <c r="AC179" s="6792"/>
      <c r="AD179" s="6798"/>
      <c r="AE179" s="6799"/>
      <c r="AF179" s="6799"/>
      <c r="AG179" s="6798"/>
      <c r="AH179" s="6819"/>
      <c r="AI179" s="6819"/>
      <c r="AJ179" s="6798"/>
      <c r="AK179" s="6800"/>
      <c r="AL179" s="404"/>
      <c r="AM179" s="1297"/>
      <c r="AN179" s="1297"/>
      <c r="AO179" s="1072" cm="1" t="str">
        <f t="array" ref="AO179:AO179">K179</f>
        <v>2070</v>
      </c>
      <c r="AP179" s="1297"/>
      <c r="AQ179" s="1297"/>
    </row>
    <row s="6906" customFormat="1" customHeight="1" ht="14.25" hidden="1">
      <c r="A180" s="1297"/>
      <c r="B180" s="447">
        <f>K180&lt;first_year+PERIOD_LENGTH</f>
        <v>0</v>
      </c>
      <c r="C180" s="1297"/>
      <c r="D180" s="1297"/>
      <c r="E180" s="709">
        <v>15</v>
      </c>
      <c r="F180" s="50" cm="1" t="str">
        <f t="array" ref="F180:F180">OFFSET(E180,-1,1)</f>
        <v>2</v>
      </c>
      <c r="G180" s="1297"/>
      <c r="H180" s="1297"/>
      <c r="I180" s="1297"/>
      <c r="J180" s="1297"/>
      <c r="K180" s="154">
        <f>first_year+47</f>
        <v>2071</v>
      </c>
      <c r="L180" s="1297"/>
      <c r="M180" s="1297"/>
      <c r="N180" s="1297"/>
      <c r="O180" s="1297"/>
      <c r="P180" s="1297"/>
      <c r="Q180" s="1297"/>
      <c r="R180" s="1297"/>
      <c r="S180" s="1297"/>
      <c r="T180" s="468" cm="1" t="str">
        <f t="array" ref="T180:T180">T179</f>
        <v>true</v>
      </c>
      <c r="U180" s="1297"/>
      <c r="V180" s="1297"/>
      <c r="W180" s="1297"/>
      <c r="X180" s="1539"/>
      <c r="Y180" s="1297"/>
      <c r="Z180" s="1529"/>
      <c r="AA180" s="1297"/>
      <c r="AB180" s="251" t="str">
        <f>K180&amp;" год"</f>
        <v>2071 год</v>
      </c>
      <c r="AC180" s="6792"/>
      <c r="AD180" s="6798"/>
      <c r="AE180" s="6799"/>
      <c r="AF180" s="6799"/>
      <c r="AG180" s="6798"/>
      <c r="AH180" s="6819"/>
      <c r="AI180" s="6819"/>
      <c r="AJ180" s="6798"/>
      <c r="AK180" s="6800"/>
      <c r="AL180" s="404"/>
      <c r="AM180" s="1297"/>
      <c r="AN180" s="1297"/>
      <c r="AO180" s="1072" cm="1" t="str">
        <f t="array" ref="AO180:AO180">K180</f>
        <v>2071</v>
      </c>
      <c r="AP180" s="1297"/>
      <c r="AQ180" s="1297"/>
    </row>
    <row s="6907" customFormat="1" customHeight="1" ht="14.25" hidden="1">
      <c r="A181" s="1297"/>
      <c r="B181" s="447">
        <f>K181&lt;first_year+PERIOD_LENGTH</f>
        <v>0</v>
      </c>
      <c r="C181" s="1297"/>
      <c r="D181" s="1297"/>
      <c r="E181" s="709">
        <v>15</v>
      </c>
      <c r="F181" s="50" cm="1" t="str">
        <f t="array" ref="F181:F181">OFFSET(E181,-1,1)</f>
        <v>2</v>
      </c>
      <c r="G181" s="1297"/>
      <c r="H181" s="1297"/>
      <c r="I181" s="1297"/>
      <c r="J181" s="1297"/>
      <c r="K181" s="154">
        <f>first_year+48</f>
        <v>2072</v>
      </c>
      <c r="L181" s="1297"/>
      <c r="M181" s="1297"/>
      <c r="N181" s="1297"/>
      <c r="O181" s="1297"/>
      <c r="P181" s="1297"/>
      <c r="Q181" s="1297"/>
      <c r="R181" s="1297"/>
      <c r="S181" s="1297"/>
      <c r="T181" s="468" cm="1" t="str">
        <f t="array" ref="T181:T181">T180</f>
        <v>true</v>
      </c>
      <c r="U181" s="1297"/>
      <c r="V181" s="1297"/>
      <c r="W181" s="1297"/>
      <c r="X181" s="1539"/>
      <c r="Y181" s="1297"/>
      <c r="Z181" s="1529"/>
      <c r="AA181" s="1297"/>
      <c r="AB181" s="251" t="str">
        <f>K181&amp;" год"</f>
        <v>2072 год</v>
      </c>
      <c r="AC181" s="6792"/>
      <c r="AD181" s="6798"/>
      <c r="AE181" s="6799"/>
      <c r="AF181" s="6799"/>
      <c r="AG181" s="6798"/>
      <c r="AH181" s="6819"/>
      <c r="AI181" s="6819"/>
      <c r="AJ181" s="6798"/>
      <c r="AK181" s="6800"/>
      <c r="AL181" s="404"/>
      <c r="AM181" s="1297"/>
      <c r="AN181" s="1297"/>
      <c r="AO181" s="1072" cm="1" t="str">
        <f t="array" ref="AO181:AO181">K181</f>
        <v>2072</v>
      </c>
      <c r="AP181" s="1297"/>
      <c r="AQ181" s="1297"/>
    </row>
    <row s="6908" customFormat="1" customHeight="1" ht="14.25" hidden="1">
      <c r="A182" s="1297"/>
      <c r="B182" s="447">
        <f>K182&lt;first_year+PERIOD_LENGTH</f>
        <v>0</v>
      </c>
      <c r="C182" s="1297"/>
      <c r="D182" s="1297"/>
      <c r="E182" s="709">
        <v>15</v>
      </c>
      <c r="F182" s="50" cm="1" t="str">
        <f t="array" ref="F182:F182">OFFSET(E182,-1,1)</f>
        <v>2</v>
      </c>
      <c r="G182" s="1297"/>
      <c r="H182" s="1297"/>
      <c r="I182" s="1297"/>
      <c r="J182" s="1297"/>
      <c r="K182" s="154">
        <f>first_year+49</f>
        <v>2073</v>
      </c>
      <c r="L182" s="1297"/>
      <c r="M182" s="1297"/>
      <c r="N182" s="1297"/>
      <c r="O182" s="1297"/>
      <c r="P182" s="1297"/>
      <c r="Q182" s="1297"/>
      <c r="R182" s="1297"/>
      <c r="S182" s="1297"/>
      <c r="T182" s="468" cm="1" t="str">
        <f t="array" ref="T182:T182">T181</f>
        <v>true</v>
      </c>
      <c r="U182" s="1297"/>
      <c r="V182" s="1297"/>
      <c r="W182" s="1297"/>
      <c r="X182" s="1539"/>
      <c r="Y182" s="1297"/>
      <c r="Z182" s="1529"/>
      <c r="AA182" s="1297"/>
      <c r="AB182" s="251" t="str">
        <f>K182&amp;" год"</f>
        <v>2073 год</v>
      </c>
      <c r="AC182" s="6792"/>
      <c r="AD182" s="6798"/>
      <c r="AE182" s="6799"/>
      <c r="AF182" s="6799"/>
      <c r="AG182" s="6798"/>
      <c r="AH182" s="6819"/>
      <c r="AI182" s="6819"/>
      <c r="AJ182" s="6798"/>
      <c r="AK182" s="6800"/>
      <c r="AL182" s="404"/>
      <c r="AM182" s="1297"/>
      <c r="AN182" s="1297"/>
      <c r="AO182" s="1072" cm="1" t="str">
        <f t="array" ref="AO182:AO182">K182</f>
        <v>2073</v>
      </c>
      <c r="AP182" s="1297"/>
      <c r="AQ182" s="1297"/>
    </row>
    <row s="541" customFormat="1" customHeight="1" ht="28.171875">
      <c r="A183" s="1331"/>
      <c r="B183" s="430"/>
      <c r="C183" s="1331"/>
      <c r="D183" s="1331"/>
      <c r="E183" s="623">
        <v>15</v>
      </c>
      <c r="F183" s="94" cm="1" t="str">
        <f t="array" ref="F183:F183">X183</f>
        <v>3</v>
      </c>
      <c r="G183" s="1331"/>
      <c r="H183" s="1331"/>
      <c r="I183" s="1331"/>
      <c r="J183" s="1331"/>
      <c r="K183" s="1331"/>
      <c r="L183" s="1331"/>
      <c r="M183" s="1331"/>
      <c r="N183" s="1331"/>
      <c r="O183" s="1331"/>
      <c r="P183" s="1331"/>
      <c r="Q183" s="1331"/>
      <c r="R183" s="1331"/>
      <c r="S183" s="1331"/>
      <c r="T183" s="468">
        <f>X183&gt;0</f>
        <v>1</v>
      </c>
      <c r="U183" s="1331"/>
      <c r="V183" s="118" cm="1" t="str">
        <f t="array" ref="V183:V183">'Калькуляция (МИ корр)'!$AB$461</f>
        <v>Тариф 3 (Водоотведение) - тариф на водоотведение (Оказание услуг на территории: город Полысаево (ОКТМО: 32732000) - г Полысаево)</v>
      </c>
      <c r="W183" s="1331"/>
      <c r="X183" s="1539" t="s">
        <v>234</v>
      </c>
      <c r="Y183" s="1331"/>
      <c r="Z183" s="1529"/>
      <c r="AA183" s="1331"/>
      <c r="AB183" s="377" cm="1" t="str">
        <f t="array" ref="AB183:AB183">'Калькуляция (МИ корр)'!$AB$461</f>
        <v>Тариф 3 (Водоотведение) - тариф на водоотведение (Оказание услуг на территории: город Полысаево (ОКТМО: 32732000) - г Полысаево)</v>
      </c>
      <c r="AC183" s="839"/>
      <c r="AD183" s="839"/>
      <c r="AE183" s="839"/>
      <c r="AF183" s="839"/>
      <c r="AG183" s="839"/>
      <c r="AH183" s="839"/>
      <c r="AI183" s="839"/>
      <c r="AJ183" s="839"/>
      <c r="AK183" s="839"/>
      <c r="AL183" s="403"/>
      <c r="AM183" s="1331"/>
      <c r="AN183" s="1331"/>
      <c r="AO183" s="1005"/>
      <c r="AP183" s="1331"/>
      <c r="AQ183" s="1331"/>
    </row>
    <row s="6909" customFormat="1" customHeight="1" ht="14.25">
      <c r="A184" s="1297"/>
      <c r="B184" s="447">
        <f>K184&lt;first_year+PERIOD_LENGTH</f>
        <v>1</v>
      </c>
      <c r="C184" s="1297"/>
      <c r="D184" s="1297"/>
      <c r="E184" s="709">
        <v>15</v>
      </c>
      <c r="F184" s="50" cm="1" t="str">
        <f t="array" ref="F184:F184">OFFSET(E184,-1,1)</f>
        <v>3</v>
      </c>
      <c r="G184" s="1297"/>
      <c r="H184" s="1297"/>
      <c r="I184" s="1297"/>
      <c r="J184" s="1297"/>
      <c r="K184" s="154" cm="1" t="str">
        <f t="array" ref="K184:K184">first_year</f>
        <v>2024</v>
      </c>
      <c r="L184" s="1297"/>
      <c r="M184" s="1297"/>
      <c r="N184" s="1297"/>
      <c r="O184" s="1297"/>
      <c r="P184" s="1297"/>
      <c r="Q184" s="1297"/>
      <c r="R184" s="1297"/>
      <c r="S184" s="1297"/>
      <c r="T184" s="468" cm="1" t="str">
        <f t="array" ref="T184:T184">T183</f>
        <v>true</v>
      </c>
      <c r="U184" s="1297"/>
      <c r="V184" s="1297"/>
      <c r="W184" s="1297"/>
      <c r="X184" s="1539"/>
      <c r="Y184" s="1297"/>
      <c r="Z184" s="1529"/>
      <c r="AA184" s="1297"/>
      <c r="AB184" s="840" t="str">
        <f>K184&amp;" год"</f>
        <v>2024 год</v>
      </c>
      <c r="AC184" s="928">
        <f>IF(god=first_year,_xlfn.SUMIFS('Калькуляция (МИ)'!AT$26:AT$603,'Калькуляция (МИ)'!F$26:F$603,F184,'Калькуляция (МИ)'!AC$26:AC$603,"операционные расходы"),IF(god&lt;first_year+3,_xlfn.IFERROR(_xlfn.SUMIFS(INDEX('Калькуляция (МИ корр)'!$AE$25:$BC$606,,MATCH(K184&amp;"Принято органом регулирования",'Калькуляция (МИ корр)'!$AE$8:$BC$8,0)),'Калькуляция (МИ корр)'!$F$25:$F$606,F184,'Калькуляция (МИ корр)'!$AC$25:$AC$606,"Операционные расходы"),0),""))</f>
        <v>54535.19</v>
      </c>
      <c r="AD184" s="842"/>
      <c r="AE184" s="841"/>
      <c r="AF184" s="841"/>
      <c r="AG184" s="1283" cm="1" t="str">
        <f t="array" ref="AG184:AG184">'ДПР (концессии)'!AG393</f>
        <v>0.63</v>
      </c>
      <c r="AH184" s="6806"/>
      <c r="AI184" s="6806"/>
      <c r="AJ184" s="6791">
        <f>_xlfn.IFERROR(_xlfn.SUMIFS(INDEX(Electricity_LOAD_1,,MATCH($K184&amp;"Принято органом регулирования",ЭЭ!$AE$8:$BB$8,0)),ЭЭ!$F$25:$F$175,$F184,ЭЭ!$AC$25:$AC$175,"Удельный расход электроэнергии"),0)</f>
        <v>0.630000432050315</v>
      </c>
      <c r="AK184" s="6791">
        <f>_xlfn.IFERROR(_xlfn.SUMIFS(INDEX(Electricity_LOAD_1,,MATCH($K184&amp;"Принято органом регулирования",ЭЭ!$AE$8:$BB$8,0)),ЭЭ!$F$25:$F$175,$F184,ЭЭ!$AC$25:$AC$175,"Удельный расход электроэнергии"),0)</f>
        <v>0.630000432050315</v>
      </c>
      <c r="AL184" s="404"/>
      <c r="AM184" s="154" t="s">
        <v>2770</v>
      </c>
      <c r="AN184" s="1297"/>
      <c r="AO184" s="1072" cm="1" t="str">
        <f t="array" ref="AO184:AO184">K184</f>
        <v>2024</v>
      </c>
      <c r="AP184" s="1297"/>
      <c r="AQ184" s="1297"/>
    </row>
    <row s="6910" customFormat="1" customHeight="1" ht="14.25">
      <c r="A185" s="1297"/>
      <c r="B185" s="447">
        <f>K185&lt;first_year+PERIOD_LENGTH</f>
        <v>1</v>
      </c>
      <c r="C185" s="1297"/>
      <c r="D185" s="1297"/>
      <c r="E185" s="709">
        <v>15</v>
      </c>
      <c r="F185" s="50" cm="1" t="str">
        <f t="array" ref="F185:F185">OFFSET(E185,-1,1)</f>
        <v>3</v>
      </c>
      <c r="G185" s="1297"/>
      <c r="H185" s="1297"/>
      <c r="I185" s="1297"/>
      <c r="J185" s="1297"/>
      <c r="K185" s="154">
        <f>first_year+1</f>
        <v>2025</v>
      </c>
      <c r="L185" s="1297"/>
      <c r="M185" s="1297"/>
      <c r="N185" s="1297"/>
      <c r="O185" s="1297"/>
      <c r="P185" s="1297"/>
      <c r="Q185" s="1297"/>
      <c r="R185" s="1297"/>
      <c r="S185" s="1297"/>
      <c r="T185" s="468" cm="1" t="str">
        <f t="array" ref="T185:T185">T184</f>
        <v>true</v>
      </c>
      <c r="U185" s="1297"/>
      <c r="V185" s="1297"/>
      <c r="W185" s="1297"/>
      <c r="X185" s="1539"/>
      <c r="Y185" s="1297"/>
      <c r="Z185" s="1529"/>
      <c r="AA185" s="1297"/>
      <c r="AB185" s="840" t="str">
        <f>K185&amp;" год"</f>
        <v>2025 год</v>
      </c>
      <c r="AC185" s="841"/>
      <c r="AD185" s="842"/>
      <c r="AE185" s="841"/>
      <c r="AF185" s="841"/>
      <c r="AG185" s="1283" cm="1" t="str">
        <f t="array" ref="AG185:AG185">'ДПР (концессии)'!AG394</f>
        <v>0.63</v>
      </c>
      <c r="AH185" s="6806"/>
      <c r="AI185" s="6806"/>
      <c r="AJ185" s="6791">
        <f>_xlfn.IFERROR(_xlfn.SUMIFS(INDEX(Electricity_LOAD_1,,MATCH($K185&amp;"Принято органом регулирования",ЭЭ!$AE$8:$BB$8,0)),ЭЭ!$F$25:$F$175,$F185,ЭЭ!$AC$25:$AC$175,"Удельный расход электроэнергии"),0)</f>
        <v>0.629995182983463</v>
      </c>
      <c r="AK185" s="6791">
        <f>_xlfn.IFERROR(_xlfn.SUMIFS(INDEX(Electricity_LOAD_1,,MATCH($K185&amp;"Принято органом регулирования",ЭЭ!$AE$8:$BB$8,0)),ЭЭ!$F$25:$F$175,$F185,ЭЭ!$AC$25:$AC$175,"Удельный расход электроэнергии"),0)</f>
        <v>0.629995182983463</v>
      </c>
      <c r="AL185" s="404"/>
      <c r="AM185" s="1297" t="s">
        <v>2770</v>
      </c>
      <c r="AN185" s="1297"/>
      <c r="AO185" s="1072" cm="1" t="str">
        <f t="array" ref="AO185:AO185">K185</f>
        <v>2025</v>
      </c>
      <c r="AP185" s="1297"/>
      <c r="AQ185" s="1297"/>
    </row>
    <row s="6911" customFormat="1" customHeight="1" ht="14.25">
      <c r="A186" s="1297"/>
      <c r="B186" s="447">
        <f>K186&lt;first_year+PERIOD_LENGTH</f>
        <v>1</v>
      </c>
      <c r="C186" s="1297"/>
      <c r="D186" s="1297"/>
      <c r="E186" s="709">
        <v>15</v>
      </c>
      <c r="F186" s="50" cm="1" t="str">
        <f t="array" ref="F186:F186">OFFSET(E186,-1,1)</f>
        <v>3</v>
      </c>
      <c r="G186" s="1297"/>
      <c r="H186" s="1297"/>
      <c r="I186" s="1297"/>
      <c r="J186" s="1297"/>
      <c r="K186" s="154">
        <f>first_year+2</f>
        <v>2026</v>
      </c>
      <c r="L186" s="1297"/>
      <c r="M186" s="1297"/>
      <c r="N186" s="1297"/>
      <c r="O186" s="1297"/>
      <c r="P186" s="1297"/>
      <c r="Q186" s="1297"/>
      <c r="R186" s="1297"/>
      <c r="S186" s="1297"/>
      <c r="T186" s="468" cm="1" t="str">
        <f t="array" ref="T186:T186">T185</f>
        <v>true</v>
      </c>
      <c r="U186" s="1297"/>
      <c r="V186" s="1297"/>
      <c r="W186" s="1297"/>
      <c r="X186" s="1539"/>
      <c r="Y186" s="1297"/>
      <c r="Z186" s="1529"/>
      <c r="AA186" s="1297"/>
      <c r="AB186" s="840" t="str">
        <f>K186&amp;" год"</f>
        <v>2026 год</v>
      </c>
      <c r="AC186" s="841"/>
      <c r="AD186" s="842"/>
      <c r="AE186" s="841"/>
      <c r="AF186" s="841"/>
      <c r="AG186" s="1283" cm="1" t="str">
        <f t="array" ref="AG186:AG186">'ДПР (концессии)'!AG395</f>
        <v>0.63</v>
      </c>
      <c r="AH186" s="6806"/>
      <c r="AI186" s="6806"/>
      <c r="AJ186" s="6791">
        <f>_xlfn.IFERROR(_xlfn.SUMIFS(INDEX(Electricity_LOAD_1,,MATCH($K186&amp;"Принято органом регулирования",ЭЭ!$AE$8:$BB$8,0)),ЭЭ!$F$25:$F$175,$F186,ЭЭ!$AC$25:$AC$175,"Удельный расход электроэнергии"),0)</f>
        <v>0.630001268479248</v>
      </c>
      <c r="AK186" s="6791">
        <f>_xlfn.IFERROR(_xlfn.SUMIFS(INDEX(Electricity_LOAD_1,,MATCH($K186&amp;"Принято органом регулирования",ЭЭ!$AE$8:$BB$8,0)),ЭЭ!$F$25:$F$175,$F186,ЭЭ!$AC$25:$AC$175,"Удельный расход электроэнергии"),0)</f>
        <v>0.630001268479248</v>
      </c>
      <c r="AL186" s="404"/>
      <c r="AM186" s="1297" t="s">
        <v>2770</v>
      </c>
      <c r="AN186" s="1297"/>
      <c r="AO186" s="1072" cm="1" t="str">
        <f t="array" ref="AO186:AO186">K186</f>
        <v>2026</v>
      </c>
      <c r="AP186" s="1297"/>
      <c r="AQ186" s="1297"/>
    </row>
    <row s="6912" customFormat="1" customHeight="1" ht="14.25">
      <c r="A187" s="1297"/>
      <c r="B187" s="447">
        <f>K187&lt;first_year+PERIOD_LENGTH</f>
        <v>1</v>
      </c>
      <c r="C187" s="1297"/>
      <c r="D187" s="1297"/>
      <c r="E187" s="709">
        <v>15</v>
      </c>
      <c r="F187" s="50" cm="1" t="str">
        <f t="array" ref="F187:F187">OFFSET(E187,-1,1)</f>
        <v>3</v>
      </c>
      <c r="G187" s="1297"/>
      <c r="H187" s="1297"/>
      <c r="I187" s="1297"/>
      <c r="J187" s="1297"/>
      <c r="K187" s="154">
        <f>first_year+3</f>
        <v>2027</v>
      </c>
      <c r="L187" s="1297"/>
      <c r="M187" s="1297"/>
      <c r="N187" s="1297"/>
      <c r="O187" s="1297"/>
      <c r="P187" s="1297"/>
      <c r="Q187" s="1297"/>
      <c r="R187" s="1297"/>
      <c r="S187" s="1297"/>
      <c r="T187" s="468" cm="1" t="str">
        <f t="array" ref="T187:T187">T186</f>
        <v>true</v>
      </c>
      <c r="U187" s="1297"/>
      <c r="V187" s="1297"/>
      <c r="W187" s="1297"/>
      <c r="X187" s="1539"/>
      <c r="Y187" s="1297"/>
      <c r="Z187" s="1529"/>
      <c r="AA187" s="1297"/>
      <c r="AB187" s="840" t="str">
        <f>K187&amp;" год"</f>
        <v>2027 год</v>
      </c>
      <c r="AC187" s="841"/>
      <c r="AD187" s="842"/>
      <c r="AE187" s="841"/>
      <c r="AF187" s="841"/>
      <c r="AG187" s="1283" cm="1" t="str">
        <f t="array" ref="AG187:AG187">'ДПР (концессии)'!AG396</f>
        <v>0.63</v>
      </c>
      <c r="AH187" s="6806"/>
      <c r="AI187" s="6806"/>
      <c r="AJ187" s="6791">
        <f>_xlfn.IFERROR(_xlfn.SUMIFS(INDEX(Electricity_LOAD_1,,MATCH($K187&amp;"Принято органом регулирования",ЭЭ!$AE$8:$BB$8,0)),ЭЭ!$F$25:$F$175,$F187,ЭЭ!$AC$25:$AC$175,"Удельный расход электроэнергии"),0)</f>
        <v>0.630001268479248</v>
      </c>
      <c r="AK187" s="6791">
        <f>_xlfn.IFERROR(_xlfn.SUMIFS(INDEX(Electricity_LOAD_1,,MATCH($K187&amp;"Принято органом регулирования",ЭЭ!$AE$8:$BB$8,0)),ЭЭ!$F$25:$F$175,$F187,ЭЭ!$AC$25:$AC$175,"Удельный расход электроэнергии"),0)</f>
        <v>0.630001268479248</v>
      </c>
      <c r="AL187" s="404"/>
      <c r="AM187" s="1297" t="s">
        <v>2770</v>
      </c>
      <c r="AN187" s="1297"/>
      <c r="AO187" s="1072" cm="1" t="str">
        <f t="array" ref="AO187:AO187">K187</f>
        <v>2027</v>
      </c>
      <c r="AP187" s="1297"/>
      <c r="AQ187" s="1297"/>
    </row>
    <row s="6913" customFormat="1" customHeight="1" ht="14.25">
      <c r="A188" s="1297"/>
      <c r="B188" s="447">
        <f>K188&lt;first_year+PERIOD_LENGTH</f>
        <v>1</v>
      </c>
      <c r="C188" s="1297"/>
      <c r="D188" s="1297"/>
      <c r="E188" s="709">
        <v>15</v>
      </c>
      <c r="F188" s="50" cm="1" t="str">
        <f t="array" ref="F188:F188">OFFSET(E188,-1,1)</f>
        <v>3</v>
      </c>
      <c r="G188" s="1297"/>
      <c r="H188" s="1297"/>
      <c r="I188" s="1297"/>
      <c r="J188" s="1297"/>
      <c r="K188" s="154">
        <f>first_year+4</f>
        <v>2028</v>
      </c>
      <c r="L188" s="1297"/>
      <c r="M188" s="1297"/>
      <c r="N188" s="1297"/>
      <c r="O188" s="1297"/>
      <c r="P188" s="1297"/>
      <c r="Q188" s="1297"/>
      <c r="R188" s="1297"/>
      <c r="S188" s="1297"/>
      <c r="T188" s="468" cm="1" t="str">
        <f t="array" ref="T188:T188">T187</f>
        <v>true</v>
      </c>
      <c r="U188" s="1297"/>
      <c r="V188" s="1297"/>
      <c r="W188" s="1297"/>
      <c r="X188" s="1539"/>
      <c r="Y188" s="1297"/>
      <c r="Z188" s="1529"/>
      <c r="AA188" s="1297"/>
      <c r="AB188" s="840" t="str">
        <f>K188&amp;" год"</f>
        <v>2028 год</v>
      </c>
      <c r="AC188" s="841"/>
      <c r="AD188" s="842"/>
      <c r="AE188" s="841"/>
      <c r="AF188" s="841"/>
      <c r="AG188" s="1283" cm="1" t="str">
        <f t="array" ref="AG188:AG188">'ДПР (концессии)'!AG397</f>
        <v>0.63</v>
      </c>
      <c r="AH188" s="6806"/>
      <c r="AI188" s="6806"/>
      <c r="AJ188" s="6791">
        <f>_xlfn.IFERROR(_xlfn.SUMIFS(INDEX(Electricity_LOAD_1,,MATCH($K188&amp;"Принято органом регулирования",ЭЭ!$AE$8:$BB$8,0)),ЭЭ!$F$25:$F$175,$F188,ЭЭ!$AC$25:$AC$175,"Удельный расход электроэнергии"),0)</f>
        <v>0.630001268479248</v>
      </c>
      <c r="AK188" s="6791">
        <f>_xlfn.IFERROR(_xlfn.SUMIFS(INDEX(Electricity_LOAD_1,,MATCH($K188&amp;"Принято органом регулирования",ЭЭ!$AE$8:$BB$8,0)),ЭЭ!$F$25:$F$175,$F188,ЭЭ!$AC$25:$AC$175,"Удельный расход электроэнергии"),0)</f>
        <v>0.630001268479248</v>
      </c>
      <c r="AL188" s="404"/>
      <c r="AM188" s="1297" t="s">
        <v>2770</v>
      </c>
      <c r="AN188" s="1297"/>
      <c r="AO188" s="1072" cm="1" t="str">
        <f t="array" ref="AO188:AO188">K188</f>
        <v>2028</v>
      </c>
      <c r="AP188" s="1297"/>
      <c r="AQ188" s="1297"/>
    </row>
    <row s="6914" customFormat="1" customHeight="1" ht="14.25" hidden="1">
      <c r="A189" s="1297"/>
      <c r="B189" s="447">
        <f>K189&lt;first_year+PERIOD_LENGTH</f>
        <v>0</v>
      </c>
      <c r="C189" s="1297"/>
      <c r="D189" s="1297"/>
      <c r="E189" s="709">
        <v>15</v>
      </c>
      <c r="F189" s="50" cm="1" t="str">
        <f t="array" ref="F189:F189">OFFSET(E189,-1,1)</f>
        <v>3</v>
      </c>
      <c r="G189" s="1297"/>
      <c r="H189" s="1297"/>
      <c r="I189" s="1297"/>
      <c r="J189" s="1297"/>
      <c r="K189" s="154">
        <f>first_year+5</f>
        <v>2029</v>
      </c>
      <c r="L189" s="1297"/>
      <c r="M189" s="1297"/>
      <c r="N189" s="1297"/>
      <c r="O189" s="1297"/>
      <c r="P189" s="1297"/>
      <c r="Q189" s="1297"/>
      <c r="R189" s="1297"/>
      <c r="S189" s="1297"/>
      <c r="T189" s="468" cm="1" t="str">
        <f t="array" ref="T189:T189">T188</f>
        <v>true</v>
      </c>
      <c r="U189" s="1297"/>
      <c r="V189" s="1297"/>
      <c r="W189" s="1297"/>
      <c r="X189" s="1539"/>
      <c r="Y189" s="1297"/>
      <c r="Z189" s="1529"/>
      <c r="AA189" s="1297"/>
      <c r="AB189" s="840" t="str">
        <f>K189&amp;" год"</f>
        <v>2029 год</v>
      </c>
      <c r="AC189" s="6792"/>
      <c r="AD189" s="6791">
        <f>_xlfn.IFERROR(_xlfn.SUMIFS(INDEX(Сценарии!$AE$25:$BF$136,,MATCH($K189&amp;"Принято органом регулирования",Сценарии!$AE$8:$BF$8,0)),Сценарии!$F$25:$F$136,$F189,Сценарии!$AC$25:$AC$136,"Индекс эффективности операционных расходов"),0)</f>
        <v>0</v>
      </c>
      <c r="AE189" s="6792"/>
      <c r="AF189" s="6792">
        <f>_xlfn.IFERROR(_xlfn.SUMIFS(INDEX(Баланс!$AE$25:$BB$391,,MATCH($K189&amp;"Принято органом регулирования",Баланс!$AE$8:$BB$8,0)),Баланс!$F$25:$F$391,$F189,Баланс!$AC$24:$AC$391,"Уровень потерь воды"),0)</f>
        <v>0</v>
      </c>
      <c r="AG189" s="6793">
        <f>_xlfn.IFERROR(_xlfn.SUMIFS(INDEX(Electricity_LOAD_1,,MATCH($K189&amp;"Принято органом регулирования",ЭЭ!$AE$8:$BB$8,0)),ЭЭ!$F$25:$F$175,$F189,ЭЭ!$AC$25:$AC$175,"Удельный расход электроэнергии"),0)</f>
        <v>0</v>
      </c>
      <c r="AH189" s="6806"/>
      <c r="AI189" s="6806"/>
      <c r="AJ189" s="6791">
        <f>_xlfn.IFERROR(_xlfn.SUMIFS(INDEX(Electricity_LOAD_1,,MATCH($K189&amp;"Принято органом регулирования",ЭЭ!$AE$8:$BB$8,0)),ЭЭ!$F$25:$F$175,$F189,ЭЭ!$AC$25:$AC$175,"Удельный расход электроэнергии"),0)</f>
        <v>0</v>
      </c>
      <c r="AK189" s="6791">
        <f>_xlfn.IFERROR(_xlfn.SUMIFS(INDEX(Electricity_LOAD_1,,MATCH($K189&amp;"Принято органом регулирования",ЭЭ!$AE$8:$BB$8,0)),ЭЭ!$F$25:$F$175,$F189,ЭЭ!$AC$25:$AC$175,"Удельный расход электроэнергии"),0)</f>
        <v>0</v>
      </c>
      <c r="AL189" s="404"/>
      <c r="AM189" s="1297" t="s">
        <v>2770</v>
      </c>
      <c r="AN189" s="1297"/>
      <c r="AO189" s="1072" cm="1" t="str">
        <f t="array" ref="AO189:AO189">K189</f>
        <v>2029</v>
      </c>
      <c r="AP189" s="1297"/>
      <c r="AQ189" s="1297"/>
    </row>
    <row s="6915" customFormat="1" customHeight="1" ht="14.25" hidden="1">
      <c r="A190" s="1297"/>
      <c r="B190" s="447">
        <f>K190&lt;first_year+PERIOD_LENGTH</f>
        <v>0</v>
      </c>
      <c r="C190" s="1297"/>
      <c r="D190" s="1297"/>
      <c r="E190" s="709">
        <v>15</v>
      </c>
      <c r="F190" s="50" cm="1" t="str">
        <f t="array" ref="F190:F190">OFFSET(E190,-1,1)</f>
        <v>3</v>
      </c>
      <c r="G190" s="1297"/>
      <c r="H190" s="1297"/>
      <c r="I190" s="1297"/>
      <c r="J190" s="1297"/>
      <c r="K190" s="154">
        <f>first_year+6</f>
        <v>2030</v>
      </c>
      <c r="L190" s="1297"/>
      <c r="M190" s="1297"/>
      <c r="N190" s="1297"/>
      <c r="O190" s="1297"/>
      <c r="P190" s="1297"/>
      <c r="Q190" s="1297"/>
      <c r="R190" s="1297"/>
      <c r="S190" s="1297"/>
      <c r="T190" s="468" cm="1" t="str">
        <f t="array" ref="T190:T190">T189</f>
        <v>true</v>
      </c>
      <c r="U190" s="1297"/>
      <c r="V190" s="1297"/>
      <c r="W190" s="1297"/>
      <c r="X190" s="1539"/>
      <c r="Y190" s="1297"/>
      <c r="Z190" s="1529"/>
      <c r="AA190" s="1297"/>
      <c r="AB190" s="840" t="str">
        <f>K190&amp;" год"</f>
        <v>2030 год</v>
      </c>
      <c r="AC190" s="6792"/>
      <c r="AD190" s="6791">
        <f>_xlfn.IFERROR(_xlfn.SUMIFS(INDEX(Сценарии!$AE$25:$BF$136,,MATCH($K190&amp;"Принято органом регулирования",Сценарии!$AE$8:$BF$8,0)),Сценарии!$F$25:$F$136,$F190,Сценарии!$AC$25:$AC$136,"Индекс эффективности операционных расходов"),0)</f>
        <v>0</v>
      </c>
      <c r="AE190" s="6792"/>
      <c r="AF190" s="6792">
        <f>_xlfn.IFERROR(_xlfn.SUMIFS(INDEX(Баланс!$AE$25:$BB$391,,MATCH($K190&amp;"Принято органом регулирования",Баланс!$AE$8:$BB$8,0)),Баланс!$F$25:$F$391,$F190,Баланс!$AC$24:$AC$391,"Уровень потерь воды"),0)</f>
        <v>0</v>
      </c>
      <c r="AG190" s="6793">
        <f>_xlfn.IFERROR(_xlfn.SUMIFS(INDEX(Electricity_LOAD_1,,MATCH($K190&amp;"Принято органом регулирования",ЭЭ!$AE$8:$BB$8,0)),ЭЭ!$F$25:$F$175,$F190,ЭЭ!$AC$25:$AC$175,"Удельный расход электроэнергии"),0)</f>
        <v>0</v>
      </c>
      <c r="AH190" s="6806"/>
      <c r="AI190" s="6806"/>
      <c r="AJ190" s="6791">
        <f>_xlfn.IFERROR(_xlfn.SUMIFS(INDEX(Electricity_LOAD_1,,MATCH($K190&amp;"Принято органом регулирования",ЭЭ!$AE$8:$BB$8,0)),ЭЭ!$F$25:$F$175,$F190,ЭЭ!$AC$25:$AC$175,"Удельный расход электроэнергии"),0)</f>
        <v>0</v>
      </c>
      <c r="AK190" s="6791">
        <f>_xlfn.IFERROR(_xlfn.SUMIFS(INDEX(Electricity_LOAD_1,,MATCH($K190&amp;"Принято органом регулирования",ЭЭ!$AE$8:$BB$8,0)),ЭЭ!$F$25:$F$175,$F190,ЭЭ!$AC$25:$AC$175,"Удельный расход электроэнергии"),0)</f>
        <v>0</v>
      </c>
      <c r="AL190" s="404"/>
      <c r="AM190" s="1297" t="s">
        <v>2770</v>
      </c>
      <c r="AN190" s="1297"/>
      <c r="AO190" s="1072" cm="1" t="str">
        <f t="array" ref="AO190:AO190">K190</f>
        <v>2030</v>
      </c>
      <c r="AP190" s="1297"/>
      <c r="AQ190" s="1297"/>
    </row>
    <row s="6916" customFormat="1" customHeight="1" ht="14.25" hidden="1">
      <c r="A191" s="1297"/>
      <c r="B191" s="447">
        <f>K191&lt;first_year+PERIOD_LENGTH</f>
        <v>0</v>
      </c>
      <c r="C191" s="1297"/>
      <c r="D191" s="1297"/>
      <c r="E191" s="709">
        <v>15</v>
      </c>
      <c r="F191" s="50" cm="1" t="str">
        <f t="array" ref="F191:F191">OFFSET(E191,-1,1)</f>
        <v>3</v>
      </c>
      <c r="G191" s="1297"/>
      <c r="H191" s="1297"/>
      <c r="I191" s="1297"/>
      <c r="J191" s="1297"/>
      <c r="K191" s="154">
        <f>first_year+7</f>
        <v>2031</v>
      </c>
      <c r="L191" s="1297"/>
      <c r="M191" s="1297"/>
      <c r="N191" s="1297"/>
      <c r="O191" s="1297"/>
      <c r="P191" s="1297"/>
      <c r="Q191" s="1297"/>
      <c r="R191" s="1297"/>
      <c r="S191" s="1297"/>
      <c r="T191" s="468" cm="1" t="str">
        <f t="array" ref="T191:T191">T190</f>
        <v>true</v>
      </c>
      <c r="U191" s="1297"/>
      <c r="V191" s="1297"/>
      <c r="W191" s="1297"/>
      <c r="X191" s="1539"/>
      <c r="Y191" s="1297"/>
      <c r="Z191" s="1529"/>
      <c r="AA191" s="1297"/>
      <c r="AB191" s="840" t="str">
        <f>K191&amp;" год"</f>
        <v>2031 год</v>
      </c>
      <c r="AC191" s="6792"/>
      <c r="AD191" s="6791">
        <f>_xlfn.IFERROR(_xlfn.SUMIFS(INDEX(Сценарии!$AE$25:$BF$136,,MATCH($K191&amp;"Принято органом регулирования",Сценарии!$AE$8:$BF$8,0)),Сценарии!$F$25:$F$136,$F191,Сценарии!$AC$25:$AC$136,"Индекс эффективности операционных расходов"),0)</f>
        <v>0</v>
      </c>
      <c r="AE191" s="6792"/>
      <c r="AF191" s="6792">
        <f>_xlfn.IFERROR(_xlfn.SUMIFS(INDEX(Баланс!$AE$25:$BB$391,,MATCH($K191&amp;"Принято органом регулирования",Баланс!$AE$8:$BB$8,0)),Баланс!$F$25:$F$391,$F191,Баланс!$AC$24:$AC$391,"Уровень потерь воды"),0)</f>
        <v>0</v>
      </c>
      <c r="AG191" s="6793">
        <f>_xlfn.IFERROR(_xlfn.SUMIFS(INDEX(Electricity_LOAD_1,,MATCH($K191&amp;"Принято органом регулирования",ЭЭ!$AE$8:$BB$8,0)),ЭЭ!$F$25:$F$175,$F191,ЭЭ!$AC$25:$AC$175,"Удельный расход электроэнергии"),0)</f>
        <v>0</v>
      </c>
      <c r="AH191" s="6806"/>
      <c r="AI191" s="6806"/>
      <c r="AJ191" s="6791">
        <f>_xlfn.IFERROR(_xlfn.SUMIFS(INDEX(Electricity_LOAD_1,,MATCH($K191&amp;"Принято органом регулирования",ЭЭ!$AE$8:$BB$8,0)),ЭЭ!$F$25:$F$175,$F191,ЭЭ!$AC$25:$AC$175,"Удельный расход электроэнергии"),0)</f>
        <v>0</v>
      </c>
      <c r="AK191" s="6791">
        <f>_xlfn.IFERROR(_xlfn.SUMIFS(INDEX(Electricity_LOAD_1,,MATCH($K191&amp;"Принято органом регулирования",ЭЭ!$AE$8:$BB$8,0)),ЭЭ!$F$25:$F$175,$F191,ЭЭ!$AC$25:$AC$175,"Удельный расход электроэнергии"),0)</f>
        <v>0</v>
      </c>
      <c r="AL191" s="404"/>
      <c r="AM191" s="1297" t="s">
        <v>2770</v>
      </c>
      <c r="AN191" s="1297"/>
      <c r="AO191" s="1072" cm="1" t="str">
        <f t="array" ref="AO191:AO191">K191</f>
        <v>2031</v>
      </c>
      <c r="AP191" s="1297"/>
      <c r="AQ191" s="1297"/>
    </row>
    <row s="6917" customFormat="1" customHeight="1" ht="14.25" hidden="1">
      <c r="A192" s="1297"/>
      <c r="B192" s="447">
        <f>K192&lt;first_year+PERIOD_LENGTH</f>
        <v>0</v>
      </c>
      <c r="C192" s="1297"/>
      <c r="D192" s="1297"/>
      <c r="E192" s="709">
        <v>15</v>
      </c>
      <c r="F192" s="50" cm="1" t="str">
        <f t="array" ref="F192:F192">OFFSET(E192,-1,1)</f>
        <v>3</v>
      </c>
      <c r="G192" s="1297"/>
      <c r="H192" s="1297"/>
      <c r="I192" s="1297"/>
      <c r="J192" s="1297"/>
      <c r="K192" s="154">
        <f>first_year+8</f>
        <v>2032</v>
      </c>
      <c r="L192" s="1297"/>
      <c r="M192" s="1297"/>
      <c r="N192" s="1297"/>
      <c r="O192" s="1297"/>
      <c r="P192" s="1297"/>
      <c r="Q192" s="1297"/>
      <c r="R192" s="1297"/>
      <c r="S192" s="1297"/>
      <c r="T192" s="468" cm="1" t="str">
        <f t="array" ref="T192:T192">T191</f>
        <v>true</v>
      </c>
      <c r="U192" s="1297"/>
      <c r="V192" s="1297"/>
      <c r="W192" s="1297"/>
      <c r="X192" s="1539"/>
      <c r="Y192" s="1297"/>
      <c r="Z192" s="1529"/>
      <c r="AA192" s="1297"/>
      <c r="AB192" s="840" t="str">
        <f>K192&amp;" год"</f>
        <v>2032 год</v>
      </c>
      <c r="AC192" s="6792"/>
      <c r="AD192" s="6791">
        <f>_xlfn.IFERROR(_xlfn.SUMIFS(INDEX(Сценарии!$AE$25:$BF$136,,MATCH($K192&amp;"Принято органом регулирования",Сценарии!$AE$8:$BF$8,0)),Сценарии!$F$25:$F$136,$F192,Сценарии!$AC$25:$AC$136,"Индекс эффективности операционных расходов"),0)</f>
        <v>0</v>
      </c>
      <c r="AE192" s="6792"/>
      <c r="AF192" s="6792">
        <f>_xlfn.IFERROR(_xlfn.SUMIFS(INDEX(Баланс!$AE$25:$BB$391,,MATCH($K192&amp;"Принято органом регулирования",Баланс!$AE$8:$BB$8,0)),Баланс!$F$25:$F$391,$F192,Баланс!$AC$24:$AC$391,"Уровень потерь воды"),0)</f>
        <v>0</v>
      </c>
      <c r="AG192" s="6793">
        <f>_xlfn.IFERROR(_xlfn.SUMIFS(INDEX(Electricity_LOAD_1,,MATCH($K192&amp;"Принято органом регулирования",ЭЭ!$AE$8:$BB$8,0)),ЭЭ!$F$25:$F$175,$F192,ЭЭ!$AC$25:$AC$175,"Удельный расход электроэнергии"),0)</f>
        <v>0</v>
      </c>
      <c r="AH192" s="6806"/>
      <c r="AI192" s="6806"/>
      <c r="AJ192" s="6791">
        <f>_xlfn.IFERROR(_xlfn.SUMIFS(INDEX(Electricity_LOAD_1,,MATCH($K192&amp;"Принято органом регулирования",ЭЭ!$AE$8:$BB$8,0)),ЭЭ!$F$25:$F$175,$F192,ЭЭ!$AC$25:$AC$175,"Удельный расход электроэнергии"),0)</f>
        <v>0</v>
      </c>
      <c r="AK192" s="6791">
        <f>_xlfn.IFERROR(_xlfn.SUMIFS(INDEX(Electricity_LOAD_1,,MATCH($K192&amp;"Принято органом регулирования",ЭЭ!$AE$8:$BB$8,0)),ЭЭ!$F$25:$F$175,$F192,ЭЭ!$AC$25:$AC$175,"Удельный расход электроэнергии"),0)</f>
        <v>0</v>
      </c>
      <c r="AL192" s="404"/>
      <c r="AM192" s="1297" t="s">
        <v>2770</v>
      </c>
      <c r="AN192" s="1297"/>
      <c r="AO192" s="1072" cm="1" t="str">
        <f t="array" ref="AO192:AO192">K192</f>
        <v>2032</v>
      </c>
      <c r="AP192" s="1297"/>
      <c r="AQ192" s="1297"/>
    </row>
    <row s="6918" customFormat="1" customHeight="1" ht="14.25" hidden="1">
      <c r="A193" s="1297"/>
      <c r="B193" s="447">
        <f>K193&lt;first_year+PERIOD_LENGTH</f>
        <v>0</v>
      </c>
      <c r="C193" s="1297"/>
      <c r="D193" s="1297"/>
      <c r="E193" s="709">
        <v>15</v>
      </c>
      <c r="F193" s="50" cm="1" t="str">
        <f t="array" ref="F193:F193">OFFSET(E193,-1,1)</f>
        <v>3</v>
      </c>
      <c r="G193" s="1297"/>
      <c r="H193" s="1297"/>
      <c r="I193" s="1297"/>
      <c r="J193" s="1297"/>
      <c r="K193" s="154">
        <f>first_year+9</f>
        <v>2033</v>
      </c>
      <c r="L193" s="1297"/>
      <c r="M193" s="1297"/>
      <c r="N193" s="1297"/>
      <c r="O193" s="1297"/>
      <c r="P193" s="1297"/>
      <c r="Q193" s="1297"/>
      <c r="R193" s="1297"/>
      <c r="S193" s="1297"/>
      <c r="T193" s="468" cm="1" t="str">
        <f t="array" ref="T193:T193">T192</f>
        <v>true</v>
      </c>
      <c r="U193" s="1297"/>
      <c r="V193" s="1297"/>
      <c r="W193" s="1297"/>
      <c r="X193" s="1539"/>
      <c r="Y193" s="1297"/>
      <c r="Z193" s="1529"/>
      <c r="AA193" s="1297"/>
      <c r="AB193" s="840" t="str">
        <f>K193&amp;" год"</f>
        <v>2033 год</v>
      </c>
      <c r="AC193" s="6792"/>
      <c r="AD193" s="6791">
        <f>_xlfn.IFERROR(_xlfn.SUMIFS(INDEX(Сценарии!$AE$25:$BF$136,,MATCH($K193&amp;"Принято органом регулирования",Сценарии!$AE$8:$BF$8,0)),Сценарии!$F$25:$F$136,$F193,Сценарии!$AC$25:$AC$136,"Индекс эффективности операционных расходов"),0)</f>
        <v>0</v>
      </c>
      <c r="AE193" s="6792"/>
      <c r="AF193" s="6792">
        <f>_xlfn.IFERROR(_xlfn.SUMIFS(INDEX(Баланс!$AE$25:$BB$391,,MATCH($K193&amp;"Принято органом регулирования",Баланс!$AE$8:$BB$8,0)),Баланс!$F$25:$F$391,$F193,Баланс!$AC$24:$AC$391,"Уровень потерь воды"),0)</f>
        <v>0</v>
      </c>
      <c r="AG193" s="6793">
        <f>_xlfn.IFERROR(_xlfn.SUMIFS(INDEX(Electricity_LOAD_1,,MATCH($K193&amp;"Принято органом регулирования",ЭЭ!$AE$8:$BB$8,0)),ЭЭ!$F$25:$F$175,$F193,ЭЭ!$AC$25:$AC$175,"Удельный расход электроэнергии"),0)</f>
        <v>0</v>
      </c>
      <c r="AH193" s="6806"/>
      <c r="AI193" s="6806"/>
      <c r="AJ193" s="6791">
        <f>_xlfn.IFERROR(_xlfn.SUMIFS(INDEX(Electricity_LOAD_1,,MATCH($K193&amp;"Принято органом регулирования",ЭЭ!$AE$8:$BB$8,0)),ЭЭ!$F$25:$F$175,$F193,ЭЭ!$AC$25:$AC$175,"Удельный расход электроэнергии"),0)</f>
        <v>0</v>
      </c>
      <c r="AK193" s="6791">
        <f>_xlfn.IFERROR(_xlfn.SUMIFS(INDEX(Electricity_LOAD_1,,MATCH($K193&amp;"Принято органом регулирования",ЭЭ!$AE$8:$BB$8,0)),ЭЭ!$F$25:$F$175,$F193,ЭЭ!$AC$25:$AC$175,"Удельный расход электроэнергии"),0)</f>
        <v>0</v>
      </c>
      <c r="AL193" s="404"/>
      <c r="AM193" s="1297" t="s">
        <v>2770</v>
      </c>
      <c r="AN193" s="1297"/>
      <c r="AO193" s="1072" cm="1" t="str">
        <f t="array" ref="AO193:AO193">K193</f>
        <v>2033</v>
      </c>
      <c r="AP193" s="1297"/>
      <c r="AQ193" s="1297"/>
    </row>
    <row s="6919" customFormat="1" customHeight="1" ht="14.25" hidden="1">
      <c r="A194" s="1297"/>
      <c r="B194" s="447">
        <f>K194&lt;first_year+PERIOD_LENGTH</f>
        <v>0</v>
      </c>
      <c r="C194" s="1297"/>
      <c r="D194" s="1297"/>
      <c r="E194" s="709">
        <v>15</v>
      </c>
      <c r="F194" s="50" cm="1" t="str">
        <f t="array" ref="F194:F194">OFFSET(E194,-1,1)</f>
        <v>3</v>
      </c>
      <c r="G194" s="1297"/>
      <c r="H194" s="1297"/>
      <c r="I194" s="1297"/>
      <c r="J194" s="1297"/>
      <c r="K194" s="154">
        <f>first_year+10</f>
        <v>2034</v>
      </c>
      <c r="L194" s="1297"/>
      <c r="M194" s="1297"/>
      <c r="N194" s="1297"/>
      <c r="O194" s="1297"/>
      <c r="P194" s="1297"/>
      <c r="Q194" s="1297"/>
      <c r="R194" s="1297"/>
      <c r="S194" s="1297"/>
      <c r="T194" s="468" cm="1" t="str">
        <f t="array" ref="T194:T194">T193</f>
        <v>true</v>
      </c>
      <c r="U194" s="1297"/>
      <c r="V194" s="1297"/>
      <c r="W194" s="1297"/>
      <c r="X194" s="1539"/>
      <c r="Y194" s="1297"/>
      <c r="Z194" s="1529"/>
      <c r="AA194" s="1297"/>
      <c r="AB194" s="840" t="str">
        <f>K194&amp;" год"</f>
        <v>2034 год</v>
      </c>
      <c r="AC194" s="6792"/>
      <c r="AD194" s="6791"/>
      <c r="AE194" s="6792"/>
      <c r="AF194" s="6792"/>
      <c r="AG194" s="6791"/>
      <c r="AH194" s="6806"/>
      <c r="AI194" s="6806"/>
      <c r="AJ194" s="6791"/>
      <c r="AK194" s="6796"/>
      <c r="AL194" s="404"/>
      <c r="AM194" s="1297"/>
      <c r="AN194" s="1297"/>
      <c r="AO194" s="1072" cm="1" t="str">
        <f t="array" ref="AO194:AO194">K194</f>
        <v>2034</v>
      </c>
      <c r="AP194" s="1297"/>
      <c r="AQ194" s="1297"/>
    </row>
    <row s="6920" customFormat="1" customHeight="1" ht="14.25" hidden="1">
      <c r="A195" s="1297"/>
      <c r="B195" s="447">
        <f>K195&lt;first_year+PERIOD_LENGTH</f>
        <v>0</v>
      </c>
      <c r="C195" s="1297"/>
      <c r="D195" s="1297"/>
      <c r="E195" s="709">
        <v>15</v>
      </c>
      <c r="F195" s="50" cm="1" t="str">
        <f t="array" ref="F195:F195">OFFSET(E195,-1,1)</f>
        <v>3</v>
      </c>
      <c r="G195" s="1297"/>
      <c r="H195" s="1297"/>
      <c r="I195" s="1297"/>
      <c r="J195" s="1297"/>
      <c r="K195" s="154">
        <f>first_year+11</f>
        <v>2035</v>
      </c>
      <c r="L195" s="1297"/>
      <c r="M195" s="1297"/>
      <c r="N195" s="1297"/>
      <c r="O195" s="1297"/>
      <c r="P195" s="1297"/>
      <c r="Q195" s="1297"/>
      <c r="R195" s="1297"/>
      <c r="S195" s="1297"/>
      <c r="T195" s="468" cm="1" t="str">
        <f t="array" ref="T195:T195">T194</f>
        <v>true</v>
      </c>
      <c r="U195" s="1297"/>
      <c r="V195" s="1297"/>
      <c r="W195" s="1297"/>
      <c r="X195" s="1539"/>
      <c r="Y195" s="1297"/>
      <c r="Z195" s="1529"/>
      <c r="AA195" s="1297"/>
      <c r="AB195" s="251" t="str">
        <f>K195&amp;" год"</f>
        <v>2035 год</v>
      </c>
      <c r="AC195" s="6792"/>
      <c r="AD195" s="6798"/>
      <c r="AE195" s="6799"/>
      <c r="AF195" s="6799"/>
      <c r="AG195" s="6798"/>
      <c r="AH195" s="6819"/>
      <c r="AI195" s="6819"/>
      <c r="AJ195" s="6798"/>
      <c r="AK195" s="6800"/>
      <c r="AL195" s="404"/>
      <c r="AM195" s="1297"/>
      <c r="AN195" s="1297"/>
      <c r="AO195" s="1072" cm="1" t="str">
        <f t="array" ref="AO195:AO195">K195</f>
        <v>2035</v>
      </c>
      <c r="AP195" s="1297"/>
      <c r="AQ195" s="1297"/>
    </row>
    <row s="6921" customFormat="1" customHeight="1" ht="14.25" hidden="1">
      <c r="A196" s="1297"/>
      <c r="B196" s="447">
        <f>K196&lt;first_year+PERIOD_LENGTH</f>
        <v>0</v>
      </c>
      <c r="C196" s="1297"/>
      <c r="D196" s="1297"/>
      <c r="E196" s="709">
        <v>15</v>
      </c>
      <c r="F196" s="50" cm="1" t="str">
        <f t="array" ref="F196:F196">OFFSET(E196,-1,1)</f>
        <v>3</v>
      </c>
      <c r="G196" s="1297"/>
      <c r="H196" s="1297"/>
      <c r="I196" s="1297"/>
      <c r="J196" s="1297"/>
      <c r="K196" s="154">
        <f>first_year+12</f>
        <v>2036</v>
      </c>
      <c r="L196" s="1297"/>
      <c r="M196" s="1297"/>
      <c r="N196" s="1297"/>
      <c r="O196" s="1297"/>
      <c r="P196" s="1297"/>
      <c r="Q196" s="1297"/>
      <c r="R196" s="1297"/>
      <c r="S196" s="1297"/>
      <c r="T196" s="468" cm="1" t="str">
        <f t="array" ref="T196:T196">T195</f>
        <v>true</v>
      </c>
      <c r="U196" s="1297"/>
      <c r="V196" s="1297"/>
      <c r="W196" s="1297"/>
      <c r="X196" s="1539"/>
      <c r="Y196" s="1297"/>
      <c r="Z196" s="1529"/>
      <c r="AA196" s="1297"/>
      <c r="AB196" s="251" t="str">
        <f>K196&amp;" год"</f>
        <v>2036 год</v>
      </c>
      <c r="AC196" s="6792"/>
      <c r="AD196" s="6798"/>
      <c r="AE196" s="6799"/>
      <c r="AF196" s="6799"/>
      <c r="AG196" s="6798"/>
      <c r="AH196" s="6819"/>
      <c r="AI196" s="6819"/>
      <c r="AJ196" s="6798"/>
      <c r="AK196" s="6800"/>
      <c r="AL196" s="404"/>
      <c r="AM196" s="1297"/>
      <c r="AN196" s="1297"/>
      <c r="AO196" s="1072" cm="1" t="str">
        <f t="array" ref="AO196:AO196">K196</f>
        <v>2036</v>
      </c>
      <c r="AP196" s="1297"/>
      <c r="AQ196" s="1297"/>
    </row>
    <row s="6922" customFormat="1" customHeight="1" ht="14.25" hidden="1">
      <c r="A197" s="1297"/>
      <c r="B197" s="447">
        <f>K197&lt;first_year+PERIOD_LENGTH</f>
        <v>0</v>
      </c>
      <c r="C197" s="1297"/>
      <c r="D197" s="1297"/>
      <c r="E197" s="709">
        <v>15</v>
      </c>
      <c r="F197" s="50" cm="1" t="str">
        <f t="array" ref="F197:F197">OFFSET(E197,-1,1)</f>
        <v>3</v>
      </c>
      <c r="G197" s="1297"/>
      <c r="H197" s="1297"/>
      <c r="I197" s="1297"/>
      <c r="J197" s="1297"/>
      <c r="K197" s="154">
        <f>first_year+13</f>
        <v>2037</v>
      </c>
      <c r="L197" s="1297"/>
      <c r="M197" s="1297"/>
      <c r="N197" s="1297"/>
      <c r="O197" s="1297"/>
      <c r="P197" s="1297"/>
      <c r="Q197" s="1297"/>
      <c r="R197" s="1297"/>
      <c r="S197" s="1297"/>
      <c r="T197" s="468" cm="1" t="str">
        <f t="array" ref="T197:T197">T196</f>
        <v>true</v>
      </c>
      <c r="U197" s="1297"/>
      <c r="V197" s="1297"/>
      <c r="W197" s="1297"/>
      <c r="X197" s="1539"/>
      <c r="Y197" s="1297"/>
      <c r="Z197" s="1529"/>
      <c r="AA197" s="1297"/>
      <c r="AB197" s="251" t="str">
        <f>K197&amp;" год"</f>
        <v>2037 год</v>
      </c>
      <c r="AC197" s="6792"/>
      <c r="AD197" s="6798"/>
      <c r="AE197" s="6799"/>
      <c r="AF197" s="6799"/>
      <c r="AG197" s="6798"/>
      <c r="AH197" s="6819"/>
      <c r="AI197" s="6819"/>
      <c r="AJ197" s="6798"/>
      <c r="AK197" s="6800"/>
      <c r="AL197" s="404"/>
      <c r="AM197" s="1297"/>
      <c r="AN197" s="1297"/>
      <c r="AO197" s="1072" cm="1" t="str">
        <f t="array" ref="AO197:AO197">K197</f>
        <v>2037</v>
      </c>
      <c r="AP197" s="1297"/>
      <c r="AQ197" s="1297"/>
    </row>
    <row s="6923" customFormat="1" customHeight="1" ht="14.25" hidden="1">
      <c r="A198" s="1297"/>
      <c r="B198" s="447">
        <f>K198&lt;first_year+PERIOD_LENGTH</f>
        <v>0</v>
      </c>
      <c r="C198" s="1297"/>
      <c r="D198" s="1297"/>
      <c r="E198" s="709">
        <v>15</v>
      </c>
      <c r="F198" s="50" cm="1" t="str">
        <f t="array" ref="F198:F198">OFFSET(E198,-1,1)</f>
        <v>3</v>
      </c>
      <c r="G198" s="1297"/>
      <c r="H198" s="1297"/>
      <c r="I198" s="1297"/>
      <c r="J198" s="1297"/>
      <c r="K198" s="154">
        <f>first_year+14</f>
        <v>2038</v>
      </c>
      <c r="L198" s="1297"/>
      <c r="M198" s="1297"/>
      <c r="N198" s="1297"/>
      <c r="O198" s="1297"/>
      <c r="P198" s="1297"/>
      <c r="Q198" s="1297"/>
      <c r="R198" s="1297"/>
      <c r="S198" s="1297"/>
      <c r="T198" s="468" cm="1" t="str">
        <f t="array" ref="T198:T198">T197</f>
        <v>true</v>
      </c>
      <c r="U198" s="1297"/>
      <c r="V198" s="1297"/>
      <c r="W198" s="1297"/>
      <c r="X198" s="1539"/>
      <c r="Y198" s="1297"/>
      <c r="Z198" s="1529"/>
      <c r="AA198" s="1297"/>
      <c r="AB198" s="251" t="str">
        <f>K198&amp;" год"</f>
        <v>2038 год</v>
      </c>
      <c r="AC198" s="6792"/>
      <c r="AD198" s="6798"/>
      <c r="AE198" s="6799"/>
      <c r="AF198" s="6799"/>
      <c r="AG198" s="6798"/>
      <c r="AH198" s="6819"/>
      <c r="AI198" s="6819"/>
      <c r="AJ198" s="6798"/>
      <c r="AK198" s="6800"/>
      <c r="AL198" s="404"/>
      <c r="AM198" s="1297"/>
      <c r="AN198" s="1297"/>
      <c r="AO198" s="1072" cm="1" t="str">
        <f t="array" ref="AO198:AO198">K198</f>
        <v>2038</v>
      </c>
      <c r="AP198" s="1297"/>
      <c r="AQ198" s="1297"/>
    </row>
    <row s="6924" customFormat="1" customHeight="1" ht="14.25" hidden="1">
      <c r="A199" s="1297"/>
      <c r="B199" s="447">
        <f>K199&lt;first_year+PERIOD_LENGTH</f>
        <v>0</v>
      </c>
      <c r="C199" s="1297"/>
      <c r="D199" s="1297"/>
      <c r="E199" s="709">
        <v>15</v>
      </c>
      <c r="F199" s="50" cm="1" t="str">
        <f t="array" ref="F199:F199">OFFSET(E199,-1,1)</f>
        <v>3</v>
      </c>
      <c r="G199" s="1297"/>
      <c r="H199" s="1297"/>
      <c r="I199" s="1297"/>
      <c r="J199" s="1297"/>
      <c r="K199" s="154">
        <f>first_year+15</f>
        <v>2039</v>
      </c>
      <c r="L199" s="1297"/>
      <c r="M199" s="1297"/>
      <c r="N199" s="1297"/>
      <c r="O199" s="1297"/>
      <c r="P199" s="1297"/>
      <c r="Q199" s="1297"/>
      <c r="R199" s="1297"/>
      <c r="S199" s="1297"/>
      <c r="T199" s="468" cm="1" t="str">
        <f t="array" ref="T199:T199">T198</f>
        <v>true</v>
      </c>
      <c r="U199" s="1297"/>
      <c r="V199" s="1297"/>
      <c r="W199" s="1297"/>
      <c r="X199" s="1539"/>
      <c r="Y199" s="1297"/>
      <c r="Z199" s="1529"/>
      <c r="AA199" s="1297"/>
      <c r="AB199" s="251" t="str">
        <f>K199&amp;" год"</f>
        <v>2039 год</v>
      </c>
      <c r="AC199" s="6792"/>
      <c r="AD199" s="6798"/>
      <c r="AE199" s="6799"/>
      <c r="AF199" s="6799"/>
      <c r="AG199" s="6798"/>
      <c r="AH199" s="6819"/>
      <c r="AI199" s="6819"/>
      <c r="AJ199" s="6798"/>
      <c r="AK199" s="6800"/>
      <c r="AL199" s="404"/>
      <c r="AM199" s="1297"/>
      <c r="AN199" s="1297"/>
      <c r="AO199" s="1072" cm="1" t="str">
        <f t="array" ref="AO199:AO199">K199</f>
        <v>2039</v>
      </c>
      <c r="AP199" s="1297"/>
      <c r="AQ199" s="1297"/>
    </row>
    <row s="6925" customFormat="1" customHeight="1" ht="14.25" hidden="1">
      <c r="A200" s="1297"/>
      <c r="B200" s="447">
        <f>K200&lt;first_year+PERIOD_LENGTH</f>
        <v>0</v>
      </c>
      <c r="C200" s="1297"/>
      <c r="D200" s="1297"/>
      <c r="E200" s="709">
        <v>15</v>
      </c>
      <c r="F200" s="50" cm="1" t="str">
        <f t="array" ref="F200:F200">OFFSET(E200,-1,1)</f>
        <v>3</v>
      </c>
      <c r="G200" s="1297"/>
      <c r="H200" s="1297"/>
      <c r="I200" s="1297"/>
      <c r="J200" s="1297"/>
      <c r="K200" s="154">
        <f>first_year+16</f>
        <v>2040</v>
      </c>
      <c r="L200" s="1297"/>
      <c r="M200" s="1297"/>
      <c r="N200" s="1297"/>
      <c r="O200" s="1297"/>
      <c r="P200" s="1297"/>
      <c r="Q200" s="1297"/>
      <c r="R200" s="1297"/>
      <c r="S200" s="1297"/>
      <c r="T200" s="468" cm="1" t="str">
        <f t="array" ref="T200:T200">T199</f>
        <v>true</v>
      </c>
      <c r="U200" s="1297"/>
      <c r="V200" s="1297"/>
      <c r="W200" s="1297"/>
      <c r="X200" s="1539"/>
      <c r="Y200" s="1297"/>
      <c r="Z200" s="1529"/>
      <c r="AA200" s="1297"/>
      <c r="AB200" s="251" t="str">
        <f>K200&amp;" год"</f>
        <v>2040 год</v>
      </c>
      <c r="AC200" s="6792"/>
      <c r="AD200" s="6798"/>
      <c r="AE200" s="6799"/>
      <c r="AF200" s="6799"/>
      <c r="AG200" s="6798"/>
      <c r="AH200" s="6819"/>
      <c r="AI200" s="6819"/>
      <c r="AJ200" s="6798"/>
      <c r="AK200" s="6800"/>
      <c r="AL200" s="404"/>
      <c r="AM200" s="1297"/>
      <c r="AN200" s="1297"/>
      <c r="AO200" s="1072" cm="1" t="str">
        <f t="array" ref="AO200:AO200">K200</f>
        <v>2040</v>
      </c>
      <c r="AP200" s="1297"/>
      <c r="AQ200" s="1297"/>
    </row>
    <row s="6926" customFormat="1" customHeight="1" ht="14.25" hidden="1">
      <c r="A201" s="1297"/>
      <c r="B201" s="447">
        <f>K201&lt;first_year+PERIOD_LENGTH</f>
        <v>0</v>
      </c>
      <c r="C201" s="1297"/>
      <c r="D201" s="1297"/>
      <c r="E201" s="709">
        <v>15</v>
      </c>
      <c r="F201" s="50" cm="1" t="str">
        <f t="array" ref="F201:F201">OFFSET(E201,-1,1)</f>
        <v>3</v>
      </c>
      <c r="G201" s="1297"/>
      <c r="H201" s="1297"/>
      <c r="I201" s="1297"/>
      <c r="J201" s="1297"/>
      <c r="K201" s="154">
        <f>first_year+17</f>
        <v>2041</v>
      </c>
      <c r="L201" s="1297"/>
      <c r="M201" s="1297"/>
      <c r="N201" s="1297"/>
      <c r="O201" s="1297"/>
      <c r="P201" s="1297"/>
      <c r="Q201" s="1297"/>
      <c r="R201" s="1297"/>
      <c r="S201" s="1297"/>
      <c r="T201" s="468" cm="1" t="str">
        <f t="array" ref="T201:T201">T200</f>
        <v>true</v>
      </c>
      <c r="U201" s="1297"/>
      <c r="V201" s="1297"/>
      <c r="W201" s="1297"/>
      <c r="X201" s="1539"/>
      <c r="Y201" s="1297"/>
      <c r="Z201" s="1529"/>
      <c r="AA201" s="1297"/>
      <c r="AB201" s="251" t="str">
        <f>K201&amp;" год"</f>
        <v>2041 год</v>
      </c>
      <c r="AC201" s="6792"/>
      <c r="AD201" s="6798"/>
      <c r="AE201" s="6799"/>
      <c r="AF201" s="6799"/>
      <c r="AG201" s="6798"/>
      <c r="AH201" s="6819"/>
      <c r="AI201" s="6819"/>
      <c r="AJ201" s="6798"/>
      <c r="AK201" s="6800"/>
      <c r="AL201" s="404"/>
      <c r="AM201" s="1297"/>
      <c r="AN201" s="1297"/>
      <c r="AO201" s="1072" cm="1" t="str">
        <f t="array" ref="AO201:AO201">K201</f>
        <v>2041</v>
      </c>
      <c r="AP201" s="1297"/>
      <c r="AQ201" s="1297"/>
    </row>
    <row s="6927" customFormat="1" customHeight="1" ht="14.25" hidden="1">
      <c r="A202" s="1297"/>
      <c r="B202" s="447">
        <f>K202&lt;first_year+PERIOD_LENGTH</f>
        <v>0</v>
      </c>
      <c r="C202" s="1297"/>
      <c r="D202" s="1297"/>
      <c r="E202" s="709">
        <v>15</v>
      </c>
      <c r="F202" s="50" cm="1" t="str">
        <f t="array" ref="F202:F202">OFFSET(E202,-1,1)</f>
        <v>3</v>
      </c>
      <c r="G202" s="1297"/>
      <c r="H202" s="1297"/>
      <c r="I202" s="1297"/>
      <c r="J202" s="1297"/>
      <c r="K202" s="154">
        <f>first_year+18</f>
        <v>2042</v>
      </c>
      <c r="L202" s="1297"/>
      <c r="M202" s="1297"/>
      <c r="N202" s="1297"/>
      <c r="O202" s="1297"/>
      <c r="P202" s="1297"/>
      <c r="Q202" s="1297"/>
      <c r="R202" s="1297"/>
      <c r="S202" s="1297"/>
      <c r="T202" s="468" cm="1" t="str">
        <f t="array" ref="T202:T202">T201</f>
        <v>true</v>
      </c>
      <c r="U202" s="1297"/>
      <c r="V202" s="1297"/>
      <c r="W202" s="1297"/>
      <c r="X202" s="1539"/>
      <c r="Y202" s="1297"/>
      <c r="Z202" s="1529"/>
      <c r="AA202" s="1297"/>
      <c r="AB202" s="251" t="str">
        <f>K202&amp;" год"</f>
        <v>2042 год</v>
      </c>
      <c r="AC202" s="6792"/>
      <c r="AD202" s="6798"/>
      <c r="AE202" s="6799"/>
      <c r="AF202" s="6799"/>
      <c r="AG202" s="6798"/>
      <c r="AH202" s="6819"/>
      <c r="AI202" s="6819"/>
      <c r="AJ202" s="6798"/>
      <c r="AK202" s="6800"/>
      <c r="AL202" s="404"/>
      <c r="AM202" s="1297"/>
      <c r="AN202" s="1297"/>
      <c r="AO202" s="1072" cm="1" t="str">
        <f t="array" ref="AO202:AO202">K202</f>
        <v>2042</v>
      </c>
      <c r="AP202" s="1297"/>
      <c r="AQ202" s="1297"/>
    </row>
    <row s="6928" customFormat="1" customHeight="1" ht="14.25" hidden="1">
      <c r="A203" s="1297"/>
      <c r="B203" s="447">
        <f>K203&lt;first_year+PERIOD_LENGTH</f>
        <v>0</v>
      </c>
      <c r="C203" s="1297"/>
      <c r="D203" s="1297"/>
      <c r="E203" s="709">
        <v>15</v>
      </c>
      <c r="F203" s="50" cm="1" t="str">
        <f t="array" ref="F203:F203">OFFSET(E203,-1,1)</f>
        <v>3</v>
      </c>
      <c r="G203" s="1297"/>
      <c r="H203" s="1297"/>
      <c r="I203" s="1297"/>
      <c r="J203" s="1297"/>
      <c r="K203" s="154">
        <f>first_year+19</f>
        <v>2043</v>
      </c>
      <c r="L203" s="1297"/>
      <c r="M203" s="1297"/>
      <c r="N203" s="1297"/>
      <c r="O203" s="1297"/>
      <c r="P203" s="1297"/>
      <c r="Q203" s="1297"/>
      <c r="R203" s="1297"/>
      <c r="S203" s="1297"/>
      <c r="T203" s="468" cm="1" t="str">
        <f t="array" ref="T203:T203">T202</f>
        <v>true</v>
      </c>
      <c r="U203" s="1297"/>
      <c r="V203" s="1297"/>
      <c r="W203" s="1297"/>
      <c r="X203" s="1539"/>
      <c r="Y203" s="1297"/>
      <c r="Z203" s="1529"/>
      <c r="AA203" s="1297"/>
      <c r="AB203" s="251" t="str">
        <f>K203&amp;" год"</f>
        <v>2043 год</v>
      </c>
      <c r="AC203" s="6792"/>
      <c r="AD203" s="6798"/>
      <c r="AE203" s="6799"/>
      <c r="AF203" s="6799"/>
      <c r="AG203" s="6798"/>
      <c r="AH203" s="6819"/>
      <c r="AI203" s="6819"/>
      <c r="AJ203" s="6798"/>
      <c r="AK203" s="6800"/>
      <c r="AL203" s="404"/>
      <c r="AM203" s="1297"/>
      <c r="AN203" s="1297"/>
      <c r="AO203" s="1072" cm="1" t="str">
        <f t="array" ref="AO203:AO203">K203</f>
        <v>2043</v>
      </c>
      <c r="AP203" s="1297"/>
      <c r="AQ203" s="1297"/>
    </row>
    <row s="6929" customFormat="1" customHeight="1" ht="14.25" hidden="1">
      <c r="A204" s="1297"/>
      <c r="B204" s="447">
        <f>K204&lt;first_year+PERIOD_LENGTH</f>
        <v>0</v>
      </c>
      <c r="C204" s="1297"/>
      <c r="D204" s="1297"/>
      <c r="E204" s="709">
        <v>15</v>
      </c>
      <c r="F204" s="50" cm="1" t="str">
        <f t="array" ref="F204:F204">OFFSET(E204,-1,1)</f>
        <v>3</v>
      </c>
      <c r="G204" s="1297"/>
      <c r="H204" s="1297"/>
      <c r="I204" s="1297"/>
      <c r="J204" s="1297"/>
      <c r="K204" s="154">
        <f>first_year+20</f>
        <v>2044</v>
      </c>
      <c r="L204" s="1297"/>
      <c r="M204" s="1297"/>
      <c r="N204" s="1297"/>
      <c r="O204" s="1297"/>
      <c r="P204" s="1297"/>
      <c r="Q204" s="1297"/>
      <c r="R204" s="1297"/>
      <c r="S204" s="1297"/>
      <c r="T204" s="468" cm="1" t="str">
        <f t="array" ref="T204:T204">T203</f>
        <v>true</v>
      </c>
      <c r="U204" s="1297"/>
      <c r="V204" s="1297"/>
      <c r="W204" s="1297"/>
      <c r="X204" s="1539"/>
      <c r="Y204" s="1297"/>
      <c r="Z204" s="1529"/>
      <c r="AA204" s="1297"/>
      <c r="AB204" s="251" t="str">
        <f>K204&amp;" год"</f>
        <v>2044 год</v>
      </c>
      <c r="AC204" s="6792"/>
      <c r="AD204" s="6798"/>
      <c r="AE204" s="6799"/>
      <c r="AF204" s="6799"/>
      <c r="AG204" s="6798"/>
      <c r="AH204" s="6819"/>
      <c r="AI204" s="6819"/>
      <c r="AJ204" s="6798"/>
      <c r="AK204" s="6800"/>
      <c r="AL204" s="404"/>
      <c r="AM204" s="1297"/>
      <c r="AN204" s="1297"/>
      <c r="AO204" s="1072" cm="1" t="str">
        <f t="array" ref="AO204:AO204">K204</f>
        <v>2044</v>
      </c>
      <c r="AP204" s="1297"/>
      <c r="AQ204" s="1297"/>
    </row>
    <row s="6930" customFormat="1" customHeight="1" ht="14.25" hidden="1">
      <c r="A205" s="1297"/>
      <c r="B205" s="447">
        <f>K205&lt;first_year+PERIOD_LENGTH</f>
        <v>0</v>
      </c>
      <c r="C205" s="1297"/>
      <c r="D205" s="1297"/>
      <c r="E205" s="709">
        <v>15</v>
      </c>
      <c r="F205" s="50" cm="1" t="str">
        <f t="array" ref="F205:F205">OFFSET(E205,-1,1)</f>
        <v>3</v>
      </c>
      <c r="G205" s="1297"/>
      <c r="H205" s="1297"/>
      <c r="I205" s="1297"/>
      <c r="J205" s="1297"/>
      <c r="K205" s="154">
        <f>first_year+21</f>
        <v>2045</v>
      </c>
      <c r="L205" s="1297"/>
      <c r="M205" s="1297"/>
      <c r="N205" s="1297"/>
      <c r="O205" s="1297"/>
      <c r="P205" s="1297"/>
      <c r="Q205" s="1297"/>
      <c r="R205" s="1297"/>
      <c r="S205" s="1297"/>
      <c r="T205" s="468" cm="1" t="str">
        <f t="array" ref="T205:T205">T204</f>
        <v>true</v>
      </c>
      <c r="U205" s="1297"/>
      <c r="V205" s="1297"/>
      <c r="W205" s="1297"/>
      <c r="X205" s="1539"/>
      <c r="Y205" s="1297"/>
      <c r="Z205" s="1529"/>
      <c r="AA205" s="1297"/>
      <c r="AB205" s="251" t="str">
        <f>K205&amp;" год"</f>
        <v>2045 год</v>
      </c>
      <c r="AC205" s="6792"/>
      <c r="AD205" s="6798"/>
      <c r="AE205" s="6799"/>
      <c r="AF205" s="6799"/>
      <c r="AG205" s="6798"/>
      <c r="AH205" s="6819"/>
      <c r="AI205" s="6819"/>
      <c r="AJ205" s="6798"/>
      <c r="AK205" s="6800"/>
      <c r="AL205" s="404"/>
      <c r="AM205" s="1297"/>
      <c r="AN205" s="1297"/>
      <c r="AO205" s="1072" cm="1" t="str">
        <f t="array" ref="AO205:AO205">K205</f>
        <v>2045</v>
      </c>
      <c r="AP205" s="1297"/>
      <c r="AQ205" s="1297"/>
    </row>
    <row s="6931" customFormat="1" customHeight="1" ht="14.25" hidden="1">
      <c r="A206" s="1297"/>
      <c r="B206" s="447">
        <f>K206&lt;first_year+PERIOD_LENGTH</f>
        <v>0</v>
      </c>
      <c r="C206" s="1297"/>
      <c r="D206" s="1297"/>
      <c r="E206" s="709">
        <v>15</v>
      </c>
      <c r="F206" s="50" cm="1" t="str">
        <f t="array" ref="F206:F206">OFFSET(E206,-1,1)</f>
        <v>3</v>
      </c>
      <c r="G206" s="1297"/>
      <c r="H206" s="1297"/>
      <c r="I206" s="1297"/>
      <c r="J206" s="1297"/>
      <c r="K206" s="154">
        <f>first_year+22</f>
        <v>2046</v>
      </c>
      <c r="L206" s="1297"/>
      <c r="M206" s="1297"/>
      <c r="N206" s="1297"/>
      <c r="O206" s="1297"/>
      <c r="P206" s="1297"/>
      <c r="Q206" s="1297"/>
      <c r="R206" s="1297"/>
      <c r="S206" s="1297"/>
      <c r="T206" s="468" cm="1" t="str">
        <f t="array" ref="T206:T206">T205</f>
        <v>true</v>
      </c>
      <c r="U206" s="1297"/>
      <c r="V206" s="1297"/>
      <c r="W206" s="1297"/>
      <c r="X206" s="1539"/>
      <c r="Y206" s="1297"/>
      <c r="Z206" s="1529"/>
      <c r="AA206" s="1297"/>
      <c r="AB206" s="251" t="str">
        <f>K206&amp;" год"</f>
        <v>2046 год</v>
      </c>
      <c r="AC206" s="6792"/>
      <c r="AD206" s="6798"/>
      <c r="AE206" s="6799"/>
      <c r="AF206" s="6799"/>
      <c r="AG206" s="6798"/>
      <c r="AH206" s="6819"/>
      <c r="AI206" s="6819"/>
      <c r="AJ206" s="6798"/>
      <c r="AK206" s="6800"/>
      <c r="AL206" s="404"/>
      <c r="AM206" s="1297"/>
      <c r="AN206" s="1297"/>
      <c r="AO206" s="1072" cm="1" t="str">
        <f t="array" ref="AO206:AO206">K206</f>
        <v>2046</v>
      </c>
      <c r="AP206" s="1297"/>
      <c r="AQ206" s="1297"/>
    </row>
    <row s="6932" customFormat="1" customHeight="1" ht="14.25" hidden="1">
      <c r="A207" s="1297"/>
      <c r="B207" s="447">
        <f>K207&lt;first_year+PERIOD_LENGTH</f>
        <v>0</v>
      </c>
      <c r="C207" s="1297"/>
      <c r="D207" s="1297"/>
      <c r="E207" s="709">
        <v>15</v>
      </c>
      <c r="F207" s="50" cm="1" t="str">
        <f t="array" ref="F207:F207">OFFSET(E207,-1,1)</f>
        <v>3</v>
      </c>
      <c r="G207" s="1297"/>
      <c r="H207" s="1297"/>
      <c r="I207" s="1297"/>
      <c r="J207" s="1297"/>
      <c r="K207" s="154">
        <f>first_year+23</f>
        <v>2047</v>
      </c>
      <c r="L207" s="1297"/>
      <c r="M207" s="1297"/>
      <c r="N207" s="1297"/>
      <c r="O207" s="1297"/>
      <c r="P207" s="1297"/>
      <c r="Q207" s="1297"/>
      <c r="R207" s="1297"/>
      <c r="S207" s="1297"/>
      <c r="T207" s="468" cm="1" t="str">
        <f t="array" ref="T207:T207">T206</f>
        <v>true</v>
      </c>
      <c r="U207" s="1297"/>
      <c r="V207" s="1297"/>
      <c r="W207" s="1297"/>
      <c r="X207" s="1539"/>
      <c r="Y207" s="1297"/>
      <c r="Z207" s="1529"/>
      <c r="AA207" s="1297"/>
      <c r="AB207" s="251" t="str">
        <f>K207&amp;" год"</f>
        <v>2047 год</v>
      </c>
      <c r="AC207" s="6792"/>
      <c r="AD207" s="6798"/>
      <c r="AE207" s="6799"/>
      <c r="AF207" s="6799"/>
      <c r="AG207" s="6798"/>
      <c r="AH207" s="6819"/>
      <c r="AI207" s="6819"/>
      <c r="AJ207" s="6798"/>
      <c r="AK207" s="6800"/>
      <c r="AL207" s="404"/>
      <c r="AM207" s="1297"/>
      <c r="AN207" s="1297"/>
      <c r="AO207" s="1072" cm="1" t="str">
        <f t="array" ref="AO207:AO207">K207</f>
        <v>2047</v>
      </c>
      <c r="AP207" s="1297"/>
      <c r="AQ207" s="1297"/>
    </row>
    <row s="6933" customFormat="1" customHeight="1" ht="14.25" hidden="1">
      <c r="A208" s="1297"/>
      <c r="B208" s="447">
        <f>K208&lt;first_year+PERIOD_LENGTH</f>
        <v>0</v>
      </c>
      <c r="C208" s="1297"/>
      <c r="D208" s="1297"/>
      <c r="E208" s="709">
        <v>15</v>
      </c>
      <c r="F208" s="50" cm="1" t="str">
        <f t="array" ref="F208:F208">OFFSET(E208,-1,1)</f>
        <v>3</v>
      </c>
      <c r="G208" s="1297"/>
      <c r="H208" s="1297"/>
      <c r="I208" s="1297"/>
      <c r="J208" s="1297"/>
      <c r="K208" s="154">
        <f>first_year+24</f>
        <v>2048</v>
      </c>
      <c r="L208" s="1297"/>
      <c r="M208" s="1297"/>
      <c r="N208" s="1297"/>
      <c r="O208" s="1297"/>
      <c r="P208" s="1297"/>
      <c r="Q208" s="1297"/>
      <c r="R208" s="1297"/>
      <c r="S208" s="1297"/>
      <c r="T208" s="468" cm="1" t="str">
        <f t="array" ref="T208:T208">T207</f>
        <v>true</v>
      </c>
      <c r="U208" s="1297"/>
      <c r="V208" s="1297"/>
      <c r="W208" s="1297"/>
      <c r="X208" s="1539"/>
      <c r="Y208" s="1297"/>
      <c r="Z208" s="1529"/>
      <c r="AA208" s="1297"/>
      <c r="AB208" s="251" t="str">
        <f>K208&amp;" год"</f>
        <v>2048 год</v>
      </c>
      <c r="AC208" s="6792"/>
      <c r="AD208" s="6798"/>
      <c r="AE208" s="6799"/>
      <c r="AF208" s="6799"/>
      <c r="AG208" s="6798"/>
      <c r="AH208" s="6819"/>
      <c r="AI208" s="6819"/>
      <c r="AJ208" s="6798"/>
      <c r="AK208" s="6800"/>
      <c r="AL208" s="404"/>
      <c r="AM208" s="1297"/>
      <c r="AN208" s="1297"/>
      <c r="AO208" s="1072" cm="1" t="str">
        <f t="array" ref="AO208:AO208">K208</f>
        <v>2048</v>
      </c>
      <c r="AP208" s="1297"/>
      <c r="AQ208" s="1297"/>
    </row>
    <row s="6934" customFormat="1" customHeight="1" ht="14.25" hidden="1">
      <c r="A209" s="1297"/>
      <c r="B209" s="447">
        <f>K209&lt;first_year+PERIOD_LENGTH</f>
        <v>0</v>
      </c>
      <c r="C209" s="1297"/>
      <c r="D209" s="1297"/>
      <c r="E209" s="709">
        <v>15</v>
      </c>
      <c r="F209" s="50" cm="1" t="str">
        <f t="array" ref="F209:F209">OFFSET(E209,-1,1)</f>
        <v>3</v>
      </c>
      <c r="G209" s="1297"/>
      <c r="H209" s="1297"/>
      <c r="I209" s="1297"/>
      <c r="J209" s="1297"/>
      <c r="K209" s="154">
        <f>first_year+25</f>
        <v>2049</v>
      </c>
      <c r="L209" s="1297"/>
      <c r="M209" s="1297"/>
      <c r="N209" s="1297"/>
      <c r="O209" s="1297"/>
      <c r="P209" s="1297"/>
      <c r="Q209" s="1297"/>
      <c r="R209" s="1297"/>
      <c r="S209" s="1297"/>
      <c r="T209" s="468" cm="1" t="str">
        <f t="array" ref="T209:T209">T208</f>
        <v>true</v>
      </c>
      <c r="U209" s="1297"/>
      <c r="V209" s="1297"/>
      <c r="W209" s="1297"/>
      <c r="X209" s="1539"/>
      <c r="Y209" s="1297"/>
      <c r="Z209" s="1529"/>
      <c r="AA209" s="1297"/>
      <c r="AB209" s="251" t="str">
        <f>K209&amp;" год"</f>
        <v>2049 год</v>
      </c>
      <c r="AC209" s="6792"/>
      <c r="AD209" s="6798"/>
      <c r="AE209" s="6799"/>
      <c r="AF209" s="6799"/>
      <c r="AG209" s="6798"/>
      <c r="AH209" s="6819"/>
      <c r="AI209" s="6819"/>
      <c r="AJ209" s="6798"/>
      <c r="AK209" s="6800"/>
      <c r="AL209" s="404"/>
      <c r="AM209" s="1297"/>
      <c r="AN209" s="1297"/>
      <c r="AO209" s="1072" cm="1" t="str">
        <f t="array" ref="AO209:AO209">K209</f>
        <v>2049</v>
      </c>
      <c r="AP209" s="1297"/>
      <c r="AQ209" s="1297"/>
    </row>
    <row s="6935" customFormat="1" customHeight="1" ht="14.25" hidden="1">
      <c r="A210" s="1297"/>
      <c r="B210" s="447">
        <f>K210&lt;first_year+PERIOD_LENGTH</f>
        <v>0</v>
      </c>
      <c r="C210" s="1297"/>
      <c r="D210" s="1297"/>
      <c r="E210" s="709">
        <v>15</v>
      </c>
      <c r="F210" s="50" cm="1" t="str">
        <f t="array" ref="F210:F210">OFFSET(E210,-1,1)</f>
        <v>3</v>
      </c>
      <c r="G210" s="1297"/>
      <c r="H210" s="1297"/>
      <c r="I210" s="1297"/>
      <c r="J210" s="1297"/>
      <c r="K210" s="154">
        <f>first_year+26</f>
        <v>2050</v>
      </c>
      <c r="L210" s="1297"/>
      <c r="M210" s="1297"/>
      <c r="N210" s="1297"/>
      <c r="O210" s="1297"/>
      <c r="P210" s="1297"/>
      <c r="Q210" s="1297"/>
      <c r="R210" s="1297"/>
      <c r="S210" s="1297"/>
      <c r="T210" s="468" cm="1" t="str">
        <f t="array" ref="T210:T210">T209</f>
        <v>true</v>
      </c>
      <c r="U210" s="1297"/>
      <c r="V210" s="1297"/>
      <c r="W210" s="1297"/>
      <c r="X210" s="1539"/>
      <c r="Y210" s="1297"/>
      <c r="Z210" s="1529"/>
      <c r="AA210" s="1297"/>
      <c r="AB210" s="251" t="str">
        <f>K210&amp;" год"</f>
        <v>2050 год</v>
      </c>
      <c r="AC210" s="6792"/>
      <c r="AD210" s="6798"/>
      <c r="AE210" s="6799"/>
      <c r="AF210" s="6799"/>
      <c r="AG210" s="6798"/>
      <c r="AH210" s="6819"/>
      <c r="AI210" s="6819"/>
      <c r="AJ210" s="6798"/>
      <c r="AK210" s="6800"/>
      <c r="AL210" s="404"/>
      <c r="AM210" s="1297"/>
      <c r="AN210" s="1297"/>
      <c r="AO210" s="1072" cm="1" t="str">
        <f t="array" ref="AO210:AO210">K210</f>
        <v>2050</v>
      </c>
      <c r="AP210" s="1297"/>
      <c r="AQ210" s="1297"/>
    </row>
    <row s="6936" customFormat="1" customHeight="1" ht="14.25" hidden="1">
      <c r="A211" s="1297"/>
      <c r="B211" s="447">
        <f>K211&lt;first_year+PERIOD_LENGTH</f>
        <v>0</v>
      </c>
      <c r="C211" s="1297"/>
      <c r="D211" s="1297"/>
      <c r="E211" s="709">
        <v>15</v>
      </c>
      <c r="F211" s="50" cm="1" t="str">
        <f t="array" ref="F211:F211">OFFSET(E211,-1,1)</f>
        <v>3</v>
      </c>
      <c r="G211" s="1297"/>
      <c r="H211" s="1297"/>
      <c r="I211" s="1297"/>
      <c r="J211" s="1297"/>
      <c r="K211" s="154">
        <f>first_year+27</f>
        <v>2051</v>
      </c>
      <c r="L211" s="1297"/>
      <c r="M211" s="1297"/>
      <c r="N211" s="1297"/>
      <c r="O211" s="1297"/>
      <c r="P211" s="1297"/>
      <c r="Q211" s="1297"/>
      <c r="R211" s="1297"/>
      <c r="S211" s="1297"/>
      <c r="T211" s="468" cm="1" t="str">
        <f t="array" ref="T211:T211">T210</f>
        <v>true</v>
      </c>
      <c r="U211" s="1297"/>
      <c r="V211" s="1297"/>
      <c r="W211" s="1297"/>
      <c r="X211" s="1539"/>
      <c r="Y211" s="1297"/>
      <c r="Z211" s="1529"/>
      <c r="AA211" s="1297"/>
      <c r="AB211" s="251" t="str">
        <f>K211&amp;" год"</f>
        <v>2051 год</v>
      </c>
      <c r="AC211" s="6792"/>
      <c r="AD211" s="6798"/>
      <c r="AE211" s="6799"/>
      <c r="AF211" s="6799"/>
      <c r="AG211" s="6798"/>
      <c r="AH211" s="6819"/>
      <c r="AI211" s="6819"/>
      <c r="AJ211" s="6798"/>
      <c r="AK211" s="6800"/>
      <c r="AL211" s="404"/>
      <c r="AM211" s="1297"/>
      <c r="AN211" s="1297"/>
      <c r="AO211" s="1072" cm="1" t="str">
        <f t="array" ref="AO211:AO211">K211</f>
        <v>2051</v>
      </c>
      <c r="AP211" s="1297"/>
      <c r="AQ211" s="1297"/>
    </row>
    <row s="6937" customFormat="1" customHeight="1" ht="14.25" hidden="1">
      <c r="A212" s="1297"/>
      <c r="B212" s="447">
        <f>K212&lt;first_year+PERIOD_LENGTH</f>
        <v>0</v>
      </c>
      <c r="C212" s="1297"/>
      <c r="D212" s="1297"/>
      <c r="E212" s="709">
        <v>15</v>
      </c>
      <c r="F212" s="50" cm="1" t="str">
        <f t="array" ref="F212:F212">OFFSET(E212,-1,1)</f>
        <v>3</v>
      </c>
      <c r="G212" s="1297"/>
      <c r="H212" s="1297"/>
      <c r="I212" s="1297"/>
      <c r="J212" s="1297"/>
      <c r="K212" s="154">
        <f>first_year+28</f>
        <v>2052</v>
      </c>
      <c r="L212" s="1297"/>
      <c r="M212" s="1297"/>
      <c r="N212" s="1297"/>
      <c r="O212" s="1297"/>
      <c r="P212" s="1297"/>
      <c r="Q212" s="1297"/>
      <c r="R212" s="1297"/>
      <c r="S212" s="1297"/>
      <c r="T212" s="468" cm="1" t="str">
        <f t="array" ref="T212:T212">T211</f>
        <v>true</v>
      </c>
      <c r="U212" s="1297"/>
      <c r="V212" s="1297"/>
      <c r="W212" s="1297"/>
      <c r="X212" s="1539"/>
      <c r="Y212" s="1297"/>
      <c r="Z212" s="1529"/>
      <c r="AA212" s="1297"/>
      <c r="AB212" s="251" t="str">
        <f>K212&amp;" год"</f>
        <v>2052 год</v>
      </c>
      <c r="AC212" s="6792"/>
      <c r="AD212" s="6798"/>
      <c r="AE212" s="6799"/>
      <c r="AF212" s="6799"/>
      <c r="AG212" s="6798"/>
      <c r="AH212" s="6819"/>
      <c r="AI212" s="6819"/>
      <c r="AJ212" s="6798"/>
      <c r="AK212" s="6800"/>
      <c r="AL212" s="404"/>
      <c r="AM212" s="1297"/>
      <c r="AN212" s="1297"/>
      <c r="AO212" s="1072" cm="1" t="str">
        <f t="array" ref="AO212:AO212">K212</f>
        <v>2052</v>
      </c>
      <c r="AP212" s="1297"/>
      <c r="AQ212" s="1297"/>
    </row>
    <row s="6938" customFormat="1" customHeight="1" ht="14.25" hidden="1">
      <c r="A213" s="1297"/>
      <c r="B213" s="447">
        <f>K213&lt;first_year+PERIOD_LENGTH</f>
        <v>0</v>
      </c>
      <c r="C213" s="1297"/>
      <c r="D213" s="1297"/>
      <c r="E213" s="709">
        <v>15</v>
      </c>
      <c r="F213" s="50" cm="1" t="str">
        <f t="array" ref="F213:F213">OFFSET(E213,-1,1)</f>
        <v>3</v>
      </c>
      <c r="G213" s="1297"/>
      <c r="H213" s="1297"/>
      <c r="I213" s="1297"/>
      <c r="J213" s="1297"/>
      <c r="K213" s="154">
        <f>first_year+29</f>
        <v>2053</v>
      </c>
      <c r="L213" s="1297"/>
      <c r="M213" s="1297"/>
      <c r="N213" s="1297"/>
      <c r="O213" s="1297"/>
      <c r="P213" s="1297"/>
      <c r="Q213" s="1297"/>
      <c r="R213" s="1297"/>
      <c r="S213" s="1297"/>
      <c r="T213" s="468" cm="1" t="str">
        <f t="array" ref="T213:T213">T212</f>
        <v>true</v>
      </c>
      <c r="U213" s="1297"/>
      <c r="V213" s="1297"/>
      <c r="W213" s="1297"/>
      <c r="X213" s="1539"/>
      <c r="Y213" s="1297"/>
      <c r="Z213" s="1529"/>
      <c r="AA213" s="1297"/>
      <c r="AB213" s="251" t="str">
        <f>K213&amp;" год"</f>
        <v>2053 год</v>
      </c>
      <c r="AC213" s="6792"/>
      <c r="AD213" s="6798"/>
      <c r="AE213" s="6799"/>
      <c r="AF213" s="6799"/>
      <c r="AG213" s="6798"/>
      <c r="AH213" s="6819"/>
      <c r="AI213" s="6819"/>
      <c r="AJ213" s="6798"/>
      <c r="AK213" s="6800"/>
      <c r="AL213" s="404"/>
      <c r="AM213" s="1297"/>
      <c r="AN213" s="1297"/>
      <c r="AO213" s="1072" cm="1" t="str">
        <f t="array" ref="AO213:AO213">K213</f>
        <v>2053</v>
      </c>
      <c r="AP213" s="1297"/>
      <c r="AQ213" s="1297"/>
    </row>
    <row s="6939" customFormat="1" customHeight="1" ht="14.25" hidden="1">
      <c r="A214" s="1297"/>
      <c r="B214" s="447">
        <f>K214&lt;first_year+PERIOD_LENGTH</f>
        <v>0</v>
      </c>
      <c r="C214" s="1297"/>
      <c r="D214" s="1297"/>
      <c r="E214" s="709">
        <v>15</v>
      </c>
      <c r="F214" s="50" cm="1" t="str">
        <f t="array" ref="F214:F214">OFFSET(E214,-1,1)</f>
        <v>3</v>
      </c>
      <c r="G214" s="1297"/>
      <c r="H214" s="1297"/>
      <c r="I214" s="1297"/>
      <c r="J214" s="1297"/>
      <c r="K214" s="154">
        <f>first_year+30</f>
        <v>2054</v>
      </c>
      <c r="L214" s="1297"/>
      <c r="M214" s="1297"/>
      <c r="N214" s="1297"/>
      <c r="O214" s="1297"/>
      <c r="P214" s="1297"/>
      <c r="Q214" s="1297"/>
      <c r="R214" s="1297"/>
      <c r="S214" s="1297"/>
      <c r="T214" s="468" cm="1" t="str">
        <f t="array" ref="T214:T214">T213</f>
        <v>true</v>
      </c>
      <c r="U214" s="1297"/>
      <c r="V214" s="1297"/>
      <c r="W214" s="1297"/>
      <c r="X214" s="1539"/>
      <c r="Y214" s="1297"/>
      <c r="Z214" s="1529"/>
      <c r="AA214" s="1297"/>
      <c r="AB214" s="251" t="str">
        <f>K214&amp;" год"</f>
        <v>2054 год</v>
      </c>
      <c r="AC214" s="6792"/>
      <c r="AD214" s="6798"/>
      <c r="AE214" s="6799"/>
      <c r="AF214" s="6799"/>
      <c r="AG214" s="6798"/>
      <c r="AH214" s="6819"/>
      <c r="AI214" s="6819"/>
      <c r="AJ214" s="6798"/>
      <c r="AK214" s="6800"/>
      <c r="AL214" s="404"/>
      <c r="AM214" s="1297"/>
      <c r="AN214" s="1297"/>
      <c r="AO214" s="1072" cm="1" t="str">
        <f t="array" ref="AO214:AO214">K214</f>
        <v>2054</v>
      </c>
      <c r="AP214" s="1297"/>
      <c r="AQ214" s="1297"/>
    </row>
    <row s="6940" customFormat="1" customHeight="1" ht="14.25" hidden="1">
      <c r="A215" s="1297"/>
      <c r="B215" s="447">
        <f>K215&lt;first_year+PERIOD_LENGTH</f>
        <v>0</v>
      </c>
      <c r="C215" s="1297"/>
      <c r="D215" s="1297"/>
      <c r="E215" s="709">
        <v>15</v>
      </c>
      <c r="F215" s="50" cm="1" t="str">
        <f t="array" ref="F215:F215">OFFSET(E215,-1,1)</f>
        <v>3</v>
      </c>
      <c r="G215" s="1297"/>
      <c r="H215" s="1297"/>
      <c r="I215" s="1297"/>
      <c r="J215" s="1297"/>
      <c r="K215" s="154">
        <f>first_year+31</f>
        <v>2055</v>
      </c>
      <c r="L215" s="1297"/>
      <c r="M215" s="1297"/>
      <c r="N215" s="1297"/>
      <c r="O215" s="1297"/>
      <c r="P215" s="1297"/>
      <c r="Q215" s="1297"/>
      <c r="R215" s="1297"/>
      <c r="S215" s="1297"/>
      <c r="T215" s="468" cm="1" t="str">
        <f t="array" ref="T215:T215">T214</f>
        <v>true</v>
      </c>
      <c r="U215" s="1297"/>
      <c r="V215" s="1297"/>
      <c r="W215" s="1297"/>
      <c r="X215" s="1539"/>
      <c r="Y215" s="1297"/>
      <c r="Z215" s="1529"/>
      <c r="AA215" s="1297"/>
      <c r="AB215" s="251" t="str">
        <f>K215&amp;" год"</f>
        <v>2055 год</v>
      </c>
      <c r="AC215" s="6792"/>
      <c r="AD215" s="6798"/>
      <c r="AE215" s="6799"/>
      <c r="AF215" s="6799"/>
      <c r="AG215" s="6798"/>
      <c r="AH215" s="6819"/>
      <c r="AI215" s="6819"/>
      <c r="AJ215" s="6798"/>
      <c r="AK215" s="6800"/>
      <c r="AL215" s="404"/>
      <c r="AM215" s="1297"/>
      <c r="AN215" s="1297"/>
      <c r="AO215" s="1072" cm="1" t="str">
        <f t="array" ref="AO215:AO215">K215</f>
        <v>2055</v>
      </c>
      <c r="AP215" s="1297"/>
      <c r="AQ215" s="1297"/>
    </row>
    <row s="6941" customFormat="1" customHeight="1" ht="14.25" hidden="1">
      <c r="A216" s="1297"/>
      <c r="B216" s="447">
        <f>K216&lt;first_year+PERIOD_LENGTH</f>
        <v>0</v>
      </c>
      <c r="C216" s="1297"/>
      <c r="D216" s="1297"/>
      <c r="E216" s="709">
        <v>15</v>
      </c>
      <c r="F216" s="50" cm="1" t="str">
        <f t="array" ref="F216:F216">OFFSET(E216,-1,1)</f>
        <v>3</v>
      </c>
      <c r="G216" s="1297"/>
      <c r="H216" s="1297"/>
      <c r="I216" s="1297"/>
      <c r="J216" s="1297"/>
      <c r="K216" s="154">
        <f>first_year+32</f>
        <v>2056</v>
      </c>
      <c r="L216" s="1297"/>
      <c r="M216" s="1297"/>
      <c r="N216" s="1297"/>
      <c r="O216" s="1297"/>
      <c r="P216" s="1297"/>
      <c r="Q216" s="1297"/>
      <c r="R216" s="1297"/>
      <c r="S216" s="1297"/>
      <c r="T216" s="468" cm="1" t="str">
        <f t="array" ref="T216:T216">T215</f>
        <v>true</v>
      </c>
      <c r="U216" s="1297"/>
      <c r="V216" s="1297"/>
      <c r="W216" s="1297"/>
      <c r="X216" s="1539"/>
      <c r="Y216" s="1297"/>
      <c r="Z216" s="1529"/>
      <c r="AA216" s="1297"/>
      <c r="AB216" s="251" t="str">
        <f>K216&amp;" год"</f>
        <v>2056 год</v>
      </c>
      <c r="AC216" s="6792"/>
      <c r="AD216" s="6798"/>
      <c r="AE216" s="6799"/>
      <c r="AF216" s="6799"/>
      <c r="AG216" s="6798"/>
      <c r="AH216" s="6819"/>
      <c r="AI216" s="6819"/>
      <c r="AJ216" s="6798"/>
      <c r="AK216" s="6800"/>
      <c r="AL216" s="404"/>
      <c r="AM216" s="1297"/>
      <c r="AN216" s="1297"/>
      <c r="AO216" s="1072" cm="1" t="str">
        <f t="array" ref="AO216:AO216">K216</f>
        <v>2056</v>
      </c>
      <c r="AP216" s="1297"/>
      <c r="AQ216" s="1297"/>
    </row>
    <row s="6942" customFormat="1" customHeight="1" ht="14.25" hidden="1">
      <c r="A217" s="1297"/>
      <c r="B217" s="447">
        <f>K217&lt;first_year+PERIOD_LENGTH</f>
        <v>0</v>
      </c>
      <c r="C217" s="1297"/>
      <c r="D217" s="1297"/>
      <c r="E217" s="709">
        <v>15</v>
      </c>
      <c r="F217" s="50" cm="1" t="str">
        <f t="array" ref="F217:F217">OFFSET(E217,-1,1)</f>
        <v>3</v>
      </c>
      <c r="G217" s="1297"/>
      <c r="H217" s="1297"/>
      <c r="I217" s="1297"/>
      <c r="J217" s="1297"/>
      <c r="K217" s="154">
        <f>first_year+33</f>
        <v>2057</v>
      </c>
      <c r="L217" s="1297"/>
      <c r="M217" s="1297"/>
      <c r="N217" s="1297"/>
      <c r="O217" s="1297"/>
      <c r="P217" s="1297"/>
      <c r="Q217" s="1297"/>
      <c r="R217" s="1297"/>
      <c r="S217" s="1297"/>
      <c r="T217" s="468" cm="1" t="str">
        <f t="array" ref="T217:T217">T216</f>
        <v>true</v>
      </c>
      <c r="U217" s="1297"/>
      <c r="V217" s="1297"/>
      <c r="W217" s="1297"/>
      <c r="X217" s="1539"/>
      <c r="Y217" s="1297"/>
      <c r="Z217" s="1529"/>
      <c r="AA217" s="1297"/>
      <c r="AB217" s="251" t="str">
        <f>K217&amp;" год"</f>
        <v>2057 год</v>
      </c>
      <c r="AC217" s="6792"/>
      <c r="AD217" s="6798"/>
      <c r="AE217" s="6799"/>
      <c r="AF217" s="6799"/>
      <c r="AG217" s="6798"/>
      <c r="AH217" s="6819"/>
      <c r="AI217" s="6819"/>
      <c r="AJ217" s="6798"/>
      <c r="AK217" s="6800"/>
      <c r="AL217" s="404"/>
      <c r="AM217" s="1297"/>
      <c r="AN217" s="1297"/>
      <c r="AO217" s="1072" cm="1" t="str">
        <f t="array" ref="AO217:AO217">K217</f>
        <v>2057</v>
      </c>
      <c r="AP217" s="1297"/>
      <c r="AQ217" s="1297"/>
    </row>
    <row s="6943" customFormat="1" customHeight="1" ht="14.25" hidden="1">
      <c r="A218" s="1297"/>
      <c r="B218" s="447">
        <f>K218&lt;first_year+PERIOD_LENGTH</f>
        <v>0</v>
      </c>
      <c r="C218" s="1297"/>
      <c r="D218" s="1297"/>
      <c r="E218" s="709">
        <v>15</v>
      </c>
      <c r="F218" s="50" cm="1" t="str">
        <f t="array" ref="F218:F218">OFFSET(E218,-1,1)</f>
        <v>3</v>
      </c>
      <c r="G218" s="1297"/>
      <c r="H218" s="1297"/>
      <c r="I218" s="1297"/>
      <c r="J218" s="1297"/>
      <c r="K218" s="154">
        <f>first_year+34</f>
        <v>2058</v>
      </c>
      <c r="L218" s="1297"/>
      <c r="M218" s="1297"/>
      <c r="N218" s="1297"/>
      <c r="O218" s="1297"/>
      <c r="P218" s="1297"/>
      <c r="Q218" s="1297"/>
      <c r="R218" s="1297"/>
      <c r="S218" s="1297"/>
      <c r="T218" s="468" cm="1" t="str">
        <f t="array" ref="T218:T218">T217</f>
        <v>true</v>
      </c>
      <c r="U218" s="1297"/>
      <c r="V218" s="1297"/>
      <c r="W218" s="1297"/>
      <c r="X218" s="1539"/>
      <c r="Y218" s="1297"/>
      <c r="Z218" s="1529"/>
      <c r="AA218" s="1297"/>
      <c r="AB218" s="251" t="str">
        <f>K218&amp;" год"</f>
        <v>2058 год</v>
      </c>
      <c r="AC218" s="6792"/>
      <c r="AD218" s="6798"/>
      <c r="AE218" s="6799"/>
      <c r="AF218" s="6799"/>
      <c r="AG218" s="6798"/>
      <c r="AH218" s="6819"/>
      <c r="AI218" s="6819"/>
      <c r="AJ218" s="6798"/>
      <c r="AK218" s="6800"/>
      <c r="AL218" s="404"/>
      <c r="AM218" s="1297"/>
      <c r="AN218" s="1297"/>
      <c r="AO218" s="1072" cm="1" t="str">
        <f t="array" ref="AO218:AO218">K218</f>
        <v>2058</v>
      </c>
      <c r="AP218" s="1297"/>
      <c r="AQ218" s="1297"/>
    </row>
    <row s="6944" customFormat="1" customHeight="1" ht="14.25" hidden="1">
      <c r="A219" s="1297"/>
      <c r="B219" s="447">
        <f>K219&lt;first_year+PERIOD_LENGTH</f>
        <v>0</v>
      </c>
      <c r="C219" s="1297"/>
      <c r="D219" s="1297"/>
      <c r="E219" s="709">
        <v>15</v>
      </c>
      <c r="F219" s="50" cm="1" t="str">
        <f t="array" ref="F219:F219">OFFSET(E219,-1,1)</f>
        <v>3</v>
      </c>
      <c r="G219" s="1297"/>
      <c r="H219" s="1297"/>
      <c r="I219" s="1297"/>
      <c r="J219" s="1297"/>
      <c r="K219" s="154">
        <f>first_year+35</f>
        <v>2059</v>
      </c>
      <c r="L219" s="1297"/>
      <c r="M219" s="1297"/>
      <c r="N219" s="1297"/>
      <c r="O219" s="1297"/>
      <c r="P219" s="1297"/>
      <c r="Q219" s="1297"/>
      <c r="R219" s="1297"/>
      <c r="S219" s="1297"/>
      <c r="T219" s="468" cm="1" t="str">
        <f t="array" ref="T219:T219">T218</f>
        <v>true</v>
      </c>
      <c r="U219" s="1297"/>
      <c r="V219" s="1297"/>
      <c r="W219" s="1297"/>
      <c r="X219" s="1539"/>
      <c r="Y219" s="1297"/>
      <c r="Z219" s="1529"/>
      <c r="AA219" s="1297"/>
      <c r="AB219" s="251" t="str">
        <f>K219&amp;" год"</f>
        <v>2059 год</v>
      </c>
      <c r="AC219" s="6792"/>
      <c r="AD219" s="6798"/>
      <c r="AE219" s="6799"/>
      <c r="AF219" s="6799"/>
      <c r="AG219" s="6798"/>
      <c r="AH219" s="6819"/>
      <c r="AI219" s="6819"/>
      <c r="AJ219" s="6798"/>
      <c r="AK219" s="6800"/>
      <c r="AL219" s="404"/>
      <c r="AM219" s="1297"/>
      <c r="AN219" s="1297"/>
      <c r="AO219" s="1072" cm="1" t="str">
        <f t="array" ref="AO219:AO219">K219</f>
        <v>2059</v>
      </c>
      <c r="AP219" s="1297"/>
      <c r="AQ219" s="1297"/>
    </row>
    <row s="6945" customFormat="1" customHeight="1" ht="14.25" hidden="1">
      <c r="A220" s="1297"/>
      <c r="B220" s="447">
        <f>K220&lt;first_year+PERIOD_LENGTH</f>
        <v>0</v>
      </c>
      <c r="C220" s="1297"/>
      <c r="D220" s="1297"/>
      <c r="E220" s="709">
        <v>15</v>
      </c>
      <c r="F220" s="50" cm="1" t="str">
        <f t="array" ref="F220:F220">OFFSET(E220,-1,1)</f>
        <v>3</v>
      </c>
      <c r="G220" s="1297"/>
      <c r="H220" s="1297"/>
      <c r="I220" s="1297"/>
      <c r="J220" s="1297"/>
      <c r="K220" s="154">
        <f>first_year+36</f>
        <v>2060</v>
      </c>
      <c r="L220" s="1297"/>
      <c r="M220" s="1297"/>
      <c r="N220" s="1297"/>
      <c r="O220" s="1297"/>
      <c r="P220" s="1297"/>
      <c r="Q220" s="1297"/>
      <c r="R220" s="1297"/>
      <c r="S220" s="1297"/>
      <c r="T220" s="468" cm="1" t="str">
        <f t="array" ref="T220:T220">T219</f>
        <v>true</v>
      </c>
      <c r="U220" s="1297"/>
      <c r="V220" s="1297"/>
      <c r="W220" s="1297"/>
      <c r="X220" s="1539"/>
      <c r="Y220" s="1297"/>
      <c r="Z220" s="1529"/>
      <c r="AA220" s="1297"/>
      <c r="AB220" s="251" t="str">
        <f>K220&amp;" год"</f>
        <v>2060 год</v>
      </c>
      <c r="AC220" s="6792"/>
      <c r="AD220" s="6798"/>
      <c r="AE220" s="6799"/>
      <c r="AF220" s="6799"/>
      <c r="AG220" s="6798"/>
      <c r="AH220" s="6819"/>
      <c r="AI220" s="6819"/>
      <c r="AJ220" s="6798"/>
      <c r="AK220" s="6800"/>
      <c r="AL220" s="404"/>
      <c r="AM220" s="1297"/>
      <c r="AN220" s="1297"/>
      <c r="AO220" s="1072" cm="1" t="str">
        <f t="array" ref="AO220:AO220">K220</f>
        <v>2060</v>
      </c>
      <c r="AP220" s="1297"/>
      <c r="AQ220" s="1297"/>
    </row>
    <row s="6946" customFormat="1" customHeight="1" ht="14.25" hidden="1">
      <c r="A221" s="1297"/>
      <c r="B221" s="447">
        <f>K221&lt;first_year+PERIOD_LENGTH</f>
        <v>0</v>
      </c>
      <c r="C221" s="1297"/>
      <c r="D221" s="1297"/>
      <c r="E221" s="709">
        <v>15</v>
      </c>
      <c r="F221" s="50" cm="1" t="str">
        <f t="array" ref="F221:F221">OFFSET(E221,-1,1)</f>
        <v>3</v>
      </c>
      <c r="G221" s="1297"/>
      <c r="H221" s="1297"/>
      <c r="I221" s="1297"/>
      <c r="J221" s="1297"/>
      <c r="K221" s="154">
        <f>first_year+37</f>
        <v>2061</v>
      </c>
      <c r="L221" s="1297"/>
      <c r="M221" s="1297"/>
      <c r="N221" s="1297"/>
      <c r="O221" s="1297"/>
      <c r="P221" s="1297"/>
      <c r="Q221" s="1297"/>
      <c r="R221" s="1297"/>
      <c r="S221" s="1297"/>
      <c r="T221" s="468" cm="1" t="str">
        <f t="array" ref="T221:T221">T220</f>
        <v>true</v>
      </c>
      <c r="U221" s="1297"/>
      <c r="V221" s="1297"/>
      <c r="W221" s="1297"/>
      <c r="X221" s="1539"/>
      <c r="Y221" s="1297"/>
      <c r="Z221" s="1529"/>
      <c r="AA221" s="1297"/>
      <c r="AB221" s="251" t="str">
        <f>K221&amp;" год"</f>
        <v>2061 год</v>
      </c>
      <c r="AC221" s="6792"/>
      <c r="AD221" s="6798"/>
      <c r="AE221" s="6799"/>
      <c r="AF221" s="6799"/>
      <c r="AG221" s="6798"/>
      <c r="AH221" s="6819"/>
      <c r="AI221" s="6819"/>
      <c r="AJ221" s="6798"/>
      <c r="AK221" s="6800"/>
      <c r="AL221" s="404"/>
      <c r="AM221" s="1297"/>
      <c r="AN221" s="1297"/>
      <c r="AO221" s="1072" cm="1" t="str">
        <f t="array" ref="AO221:AO221">K221</f>
        <v>2061</v>
      </c>
      <c r="AP221" s="1297"/>
      <c r="AQ221" s="1297"/>
    </row>
    <row s="6947" customFormat="1" customHeight="1" ht="14.25" hidden="1">
      <c r="A222" s="1297"/>
      <c r="B222" s="447">
        <f>K222&lt;first_year+PERIOD_LENGTH</f>
        <v>0</v>
      </c>
      <c r="C222" s="1297"/>
      <c r="D222" s="1297"/>
      <c r="E222" s="709">
        <v>15</v>
      </c>
      <c r="F222" s="50" cm="1" t="str">
        <f t="array" ref="F222:F222">OFFSET(E222,-1,1)</f>
        <v>3</v>
      </c>
      <c r="G222" s="1297"/>
      <c r="H222" s="1297"/>
      <c r="I222" s="1297"/>
      <c r="J222" s="1297"/>
      <c r="K222" s="154">
        <f>first_year+38</f>
        <v>2062</v>
      </c>
      <c r="L222" s="1297"/>
      <c r="M222" s="1297"/>
      <c r="N222" s="1297"/>
      <c r="O222" s="1297"/>
      <c r="P222" s="1297"/>
      <c r="Q222" s="1297"/>
      <c r="R222" s="1297"/>
      <c r="S222" s="1297"/>
      <c r="T222" s="468" cm="1" t="str">
        <f t="array" ref="T222:T222">T221</f>
        <v>true</v>
      </c>
      <c r="U222" s="1297"/>
      <c r="V222" s="1297"/>
      <c r="W222" s="1297"/>
      <c r="X222" s="1539"/>
      <c r="Y222" s="1297"/>
      <c r="Z222" s="1529"/>
      <c r="AA222" s="1297"/>
      <c r="AB222" s="251" t="str">
        <f>K222&amp;" год"</f>
        <v>2062 год</v>
      </c>
      <c r="AC222" s="6792"/>
      <c r="AD222" s="6798"/>
      <c r="AE222" s="6799"/>
      <c r="AF222" s="6799"/>
      <c r="AG222" s="6798"/>
      <c r="AH222" s="6819"/>
      <c r="AI222" s="6819"/>
      <c r="AJ222" s="6798"/>
      <c r="AK222" s="6800"/>
      <c r="AL222" s="404"/>
      <c r="AM222" s="1297"/>
      <c r="AN222" s="1297"/>
      <c r="AO222" s="1072" cm="1" t="str">
        <f t="array" ref="AO222:AO222">K222</f>
        <v>2062</v>
      </c>
      <c r="AP222" s="1297"/>
      <c r="AQ222" s="1297"/>
    </row>
    <row s="6948" customFormat="1" customHeight="1" ht="14.25" hidden="1">
      <c r="A223" s="1297"/>
      <c r="B223" s="447">
        <f>K223&lt;first_year+PERIOD_LENGTH</f>
        <v>0</v>
      </c>
      <c r="C223" s="1297"/>
      <c r="D223" s="1297"/>
      <c r="E223" s="709">
        <v>15</v>
      </c>
      <c r="F223" s="50" cm="1" t="str">
        <f t="array" ref="F223:F223">OFFSET(E223,-1,1)</f>
        <v>3</v>
      </c>
      <c r="G223" s="1297"/>
      <c r="H223" s="1297"/>
      <c r="I223" s="1297"/>
      <c r="J223" s="1297"/>
      <c r="K223" s="154">
        <f>first_year+39</f>
        <v>2063</v>
      </c>
      <c r="L223" s="1297"/>
      <c r="M223" s="1297"/>
      <c r="N223" s="1297"/>
      <c r="O223" s="1297"/>
      <c r="P223" s="1297"/>
      <c r="Q223" s="1297"/>
      <c r="R223" s="1297"/>
      <c r="S223" s="1297"/>
      <c r="T223" s="468" cm="1" t="str">
        <f t="array" ref="T223:T223">T222</f>
        <v>true</v>
      </c>
      <c r="U223" s="1297"/>
      <c r="V223" s="1297"/>
      <c r="W223" s="1297"/>
      <c r="X223" s="1539"/>
      <c r="Y223" s="1297"/>
      <c r="Z223" s="1529"/>
      <c r="AA223" s="1297"/>
      <c r="AB223" s="251" t="str">
        <f>K223&amp;" год"</f>
        <v>2063 год</v>
      </c>
      <c r="AC223" s="6792"/>
      <c r="AD223" s="6798"/>
      <c r="AE223" s="6799"/>
      <c r="AF223" s="6799"/>
      <c r="AG223" s="6798"/>
      <c r="AH223" s="6819"/>
      <c r="AI223" s="6819"/>
      <c r="AJ223" s="6798"/>
      <c r="AK223" s="6800"/>
      <c r="AL223" s="404"/>
      <c r="AM223" s="1297"/>
      <c r="AN223" s="1297"/>
      <c r="AO223" s="1072" cm="1" t="str">
        <f t="array" ref="AO223:AO223">K223</f>
        <v>2063</v>
      </c>
      <c r="AP223" s="1297"/>
      <c r="AQ223" s="1297"/>
    </row>
    <row s="6949" customFormat="1" customHeight="1" ht="14.25" hidden="1">
      <c r="A224" s="1297"/>
      <c r="B224" s="447">
        <f>K224&lt;first_year+PERIOD_LENGTH</f>
        <v>0</v>
      </c>
      <c r="C224" s="1297"/>
      <c r="D224" s="1297"/>
      <c r="E224" s="709">
        <v>15</v>
      </c>
      <c r="F224" s="50" cm="1" t="str">
        <f t="array" ref="F224:F224">OFFSET(E224,-1,1)</f>
        <v>3</v>
      </c>
      <c r="G224" s="1297"/>
      <c r="H224" s="1297"/>
      <c r="I224" s="1297"/>
      <c r="J224" s="1297"/>
      <c r="K224" s="154">
        <f>first_year+40</f>
        <v>2064</v>
      </c>
      <c r="L224" s="1297"/>
      <c r="M224" s="1297"/>
      <c r="N224" s="1297"/>
      <c r="O224" s="1297"/>
      <c r="P224" s="1297"/>
      <c r="Q224" s="1297"/>
      <c r="R224" s="1297"/>
      <c r="S224" s="1297"/>
      <c r="T224" s="468" cm="1" t="str">
        <f t="array" ref="T224:T224">T223</f>
        <v>true</v>
      </c>
      <c r="U224" s="1297"/>
      <c r="V224" s="1297"/>
      <c r="W224" s="1297"/>
      <c r="X224" s="1539"/>
      <c r="Y224" s="1297"/>
      <c r="Z224" s="1529"/>
      <c r="AA224" s="1297"/>
      <c r="AB224" s="251" t="str">
        <f>K224&amp;" год"</f>
        <v>2064 год</v>
      </c>
      <c r="AC224" s="6792"/>
      <c r="AD224" s="6798"/>
      <c r="AE224" s="6799"/>
      <c r="AF224" s="6799"/>
      <c r="AG224" s="6798"/>
      <c r="AH224" s="6819"/>
      <c r="AI224" s="6819"/>
      <c r="AJ224" s="6798"/>
      <c r="AK224" s="6800"/>
      <c r="AL224" s="404"/>
      <c r="AM224" s="1297"/>
      <c r="AN224" s="1297"/>
      <c r="AO224" s="1072" cm="1" t="str">
        <f t="array" ref="AO224:AO224">K224</f>
        <v>2064</v>
      </c>
      <c r="AP224" s="1297"/>
      <c r="AQ224" s="1297"/>
    </row>
    <row s="6950" customFormat="1" customHeight="1" ht="14.25" hidden="1">
      <c r="A225" s="1297"/>
      <c r="B225" s="447">
        <f>K225&lt;first_year+PERIOD_LENGTH</f>
        <v>0</v>
      </c>
      <c r="C225" s="1297"/>
      <c r="D225" s="1297"/>
      <c r="E225" s="709">
        <v>15</v>
      </c>
      <c r="F225" s="50" cm="1" t="str">
        <f t="array" ref="F225:F225">OFFSET(E225,-1,1)</f>
        <v>3</v>
      </c>
      <c r="G225" s="1297"/>
      <c r="H225" s="1297"/>
      <c r="I225" s="1297"/>
      <c r="J225" s="1297"/>
      <c r="K225" s="154">
        <f>first_year+41</f>
        <v>2065</v>
      </c>
      <c r="L225" s="1297"/>
      <c r="M225" s="1297"/>
      <c r="N225" s="1297"/>
      <c r="O225" s="1297"/>
      <c r="P225" s="1297"/>
      <c r="Q225" s="1297"/>
      <c r="R225" s="1297"/>
      <c r="S225" s="1297"/>
      <c r="T225" s="468" cm="1" t="str">
        <f t="array" ref="T225:T225">T224</f>
        <v>true</v>
      </c>
      <c r="U225" s="1297"/>
      <c r="V225" s="1297"/>
      <c r="W225" s="1297"/>
      <c r="X225" s="1539"/>
      <c r="Y225" s="1297"/>
      <c r="Z225" s="1529"/>
      <c r="AA225" s="1297"/>
      <c r="AB225" s="251" t="str">
        <f>K225&amp;" год"</f>
        <v>2065 год</v>
      </c>
      <c r="AC225" s="6792"/>
      <c r="AD225" s="6798"/>
      <c r="AE225" s="6799"/>
      <c r="AF225" s="6799"/>
      <c r="AG225" s="6798"/>
      <c r="AH225" s="6819"/>
      <c r="AI225" s="6819"/>
      <c r="AJ225" s="6798"/>
      <c r="AK225" s="6800"/>
      <c r="AL225" s="404"/>
      <c r="AM225" s="1297"/>
      <c r="AN225" s="1297"/>
      <c r="AO225" s="1072" cm="1" t="str">
        <f t="array" ref="AO225:AO225">K225</f>
        <v>2065</v>
      </c>
      <c r="AP225" s="1297"/>
      <c r="AQ225" s="1297"/>
    </row>
    <row s="6951" customFormat="1" customHeight="1" ht="14.25" hidden="1">
      <c r="A226" s="1297"/>
      <c r="B226" s="447">
        <f>K226&lt;first_year+PERIOD_LENGTH</f>
        <v>0</v>
      </c>
      <c r="C226" s="1297"/>
      <c r="D226" s="1297"/>
      <c r="E226" s="709">
        <v>15</v>
      </c>
      <c r="F226" s="50" cm="1" t="str">
        <f t="array" ref="F226:F226">OFFSET(E226,-1,1)</f>
        <v>3</v>
      </c>
      <c r="G226" s="1297"/>
      <c r="H226" s="1297"/>
      <c r="I226" s="1297"/>
      <c r="J226" s="1297"/>
      <c r="K226" s="154">
        <f>first_year+42</f>
        <v>2066</v>
      </c>
      <c r="L226" s="1297"/>
      <c r="M226" s="1297"/>
      <c r="N226" s="1297"/>
      <c r="O226" s="1297"/>
      <c r="P226" s="1297"/>
      <c r="Q226" s="1297"/>
      <c r="R226" s="1297"/>
      <c r="S226" s="1297"/>
      <c r="T226" s="468" cm="1" t="str">
        <f t="array" ref="T226:T226">T225</f>
        <v>true</v>
      </c>
      <c r="U226" s="1297"/>
      <c r="V226" s="1297"/>
      <c r="W226" s="1297"/>
      <c r="X226" s="1539"/>
      <c r="Y226" s="1297"/>
      <c r="Z226" s="1529"/>
      <c r="AA226" s="1297"/>
      <c r="AB226" s="251" t="str">
        <f>K226&amp;" год"</f>
        <v>2066 год</v>
      </c>
      <c r="AC226" s="6792"/>
      <c r="AD226" s="6798"/>
      <c r="AE226" s="6799"/>
      <c r="AF226" s="6799"/>
      <c r="AG226" s="6798"/>
      <c r="AH226" s="6819"/>
      <c r="AI226" s="6819"/>
      <c r="AJ226" s="6798"/>
      <c r="AK226" s="6800"/>
      <c r="AL226" s="404"/>
      <c r="AM226" s="1297"/>
      <c r="AN226" s="1297"/>
      <c r="AO226" s="1072" cm="1" t="str">
        <f t="array" ref="AO226:AO226">K226</f>
        <v>2066</v>
      </c>
      <c r="AP226" s="1297"/>
      <c r="AQ226" s="1297"/>
    </row>
    <row s="6952" customFormat="1" customHeight="1" ht="14.25" hidden="1">
      <c r="A227" s="1297"/>
      <c r="B227" s="447">
        <f>K227&lt;first_year+PERIOD_LENGTH</f>
        <v>0</v>
      </c>
      <c r="C227" s="1297"/>
      <c r="D227" s="1297"/>
      <c r="E227" s="709">
        <v>15</v>
      </c>
      <c r="F227" s="50" cm="1" t="str">
        <f t="array" ref="F227:F227">OFFSET(E227,-1,1)</f>
        <v>3</v>
      </c>
      <c r="G227" s="1297"/>
      <c r="H227" s="1297"/>
      <c r="I227" s="1297"/>
      <c r="J227" s="1297"/>
      <c r="K227" s="154">
        <f>first_year+43</f>
        <v>2067</v>
      </c>
      <c r="L227" s="1297"/>
      <c r="M227" s="1297"/>
      <c r="N227" s="1297"/>
      <c r="O227" s="1297"/>
      <c r="P227" s="1297"/>
      <c r="Q227" s="1297"/>
      <c r="R227" s="1297"/>
      <c r="S227" s="1297"/>
      <c r="T227" s="468" cm="1" t="str">
        <f t="array" ref="T227:T227">T226</f>
        <v>true</v>
      </c>
      <c r="U227" s="1297"/>
      <c r="V227" s="1297"/>
      <c r="W227" s="1297"/>
      <c r="X227" s="1539"/>
      <c r="Y227" s="1297"/>
      <c r="Z227" s="1529"/>
      <c r="AA227" s="1297"/>
      <c r="AB227" s="251" t="str">
        <f>K227&amp;" год"</f>
        <v>2067 год</v>
      </c>
      <c r="AC227" s="6792"/>
      <c r="AD227" s="6798"/>
      <c r="AE227" s="6799"/>
      <c r="AF227" s="6799"/>
      <c r="AG227" s="6798"/>
      <c r="AH227" s="6819"/>
      <c r="AI227" s="6819"/>
      <c r="AJ227" s="6798"/>
      <c r="AK227" s="6800"/>
      <c r="AL227" s="404"/>
      <c r="AM227" s="1297"/>
      <c r="AN227" s="1297"/>
      <c r="AO227" s="1072" cm="1" t="str">
        <f t="array" ref="AO227:AO227">K227</f>
        <v>2067</v>
      </c>
      <c r="AP227" s="1297"/>
      <c r="AQ227" s="1297"/>
    </row>
    <row s="6953" customFormat="1" customHeight="1" ht="14.25" hidden="1">
      <c r="A228" s="1297"/>
      <c r="B228" s="447">
        <f>K228&lt;first_year+PERIOD_LENGTH</f>
        <v>0</v>
      </c>
      <c r="C228" s="1297"/>
      <c r="D228" s="1297"/>
      <c r="E228" s="709">
        <v>15</v>
      </c>
      <c r="F228" s="50" cm="1" t="str">
        <f t="array" ref="F228:F228">OFFSET(E228,-1,1)</f>
        <v>3</v>
      </c>
      <c r="G228" s="1297"/>
      <c r="H228" s="1297"/>
      <c r="I228" s="1297"/>
      <c r="J228" s="1297"/>
      <c r="K228" s="154">
        <f>first_year+44</f>
        <v>2068</v>
      </c>
      <c r="L228" s="1297"/>
      <c r="M228" s="1297"/>
      <c r="N228" s="1297"/>
      <c r="O228" s="1297"/>
      <c r="P228" s="1297"/>
      <c r="Q228" s="1297"/>
      <c r="R228" s="1297"/>
      <c r="S228" s="1297"/>
      <c r="T228" s="468" cm="1" t="str">
        <f t="array" ref="T228:T228">T227</f>
        <v>true</v>
      </c>
      <c r="U228" s="1297"/>
      <c r="V228" s="1297"/>
      <c r="W228" s="1297"/>
      <c r="X228" s="1539"/>
      <c r="Y228" s="1297"/>
      <c r="Z228" s="1529"/>
      <c r="AA228" s="1297"/>
      <c r="AB228" s="251" t="str">
        <f>K228&amp;" год"</f>
        <v>2068 год</v>
      </c>
      <c r="AC228" s="6792"/>
      <c r="AD228" s="6798"/>
      <c r="AE228" s="6799"/>
      <c r="AF228" s="6799"/>
      <c r="AG228" s="6798"/>
      <c r="AH228" s="6819"/>
      <c r="AI228" s="6819"/>
      <c r="AJ228" s="6798"/>
      <c r="AK228" s="6800"/>
      <c r="AL228" s="404"/>
      <c r="AM228" s="1297"/>
      <c r="AN228" s="1297"/>
      <c r="AO228" s="1072" cm="1" t="str">
        <f t="array" ref="AO228:AO228">K228</f>
        <v>2068</v>
      </c>
      <c r="AP228" s="1297"/>
      <c r="AQ228" s="1297"/>
    </row>
    <row s="6954" customFormat="1" customHeight="1" ht="14.25" hidden="1">
      <c r="A229" s="1297"/>
      <c r="B229" s="447">
        <f>K229&lt;first_year+PERIOD_LENGTH</f>
        <v>0</v>
      </c>
      <c r="C229" s="1297"/>
      <c r="D229" s="1297"/>
      <c r="E229" s="709">
        <v>15</v>
      </c>
      <c r="F229" s="50" cm="1" t="str">
        <f t="array" ref="F229:F229">OFFSET(E229,-1,1)</f>
        <v>3</v>
      </c>
      <c r="G229" s="1297"/>
      <c r="H229" s="1297"/>
      <c r="I229" s="1297"/>
      <c r="J229" s="1297"/>
      <c r="K229" s="154">
        <f>first_year+45</f>
        <v>2069</v>
      </c>
      <c r="L229" s="1297"/>
      <c r="M229" s="1297"/>
      <c r="N229" s="1297"/>
      <c r="O229" s="1297"/>
      <c r="P229" s="1297"/>
      <c r="Q229" s="1297"/>
      <c r="R229" s="1297"/>
      <c r="S229" s="1297"/>
      <c r="T229" s="468" cm="1" t="str">
        <f t="array" ref="T229:T229">T228</f>
        <v>true</v>
      </c>
      <c r="U229" s="1297"/>
      <c r="V229" s="1297"/>
      <c r="W229" s="1297"/>
      <c r="X229" s="1539"/>
      <c r="Y229" s="1297"/>
      <c r="Z229" s="1529"/>
      <c r="AA229" s="1297"/>
      <c r="AB229" s="251" t="str">
        <f>K229&amp;" год"</f>
        <v>2069 год</v>
      </c>
      <c r="AC229" s="6792"/>
      <c r="AD229" s="6798"/>
      <c r="AE229" s="6799"/>
      <c r="AF229" s="6799"/>
      <c r="AG229" s="6798"/>
      <c r="AH229" s="6819"/>
      <c r="AI229" s="6819"/>
      <c r="AJ229" s="6798"/>
      <c r="AK229" s="6800"/>
      <c r="AL229" s="404"/>
      <c r="AM229" s="1297"/>
      <c r="AN229" s="1297"/>
      <c r="AO229" s="1072" cm="1" t="str">
        <f t="array" ref="AO229:AO229">K229</f>
        <v>2069</v>
      </c>
      <c r="AP229" s="1297"/>
      <c r="AQ229" s="1297"/>
    </row>
    <row s="6955" customFormat="1" customHeight="1" ht="14.25" hidden="1">
      <c r="A230" s="1297"/>
      <c r="B230" s="447">
        <f>K230&lt;first_year+PERIOD_LENGTH</f>
        <v>0</v>
      </c>
      <c r="C230" s="1297"/>
      <c r="D230" s="1297"/>
      <c r="E230" s="709">
        <v>15</v>
      </c>
      <c r="F230" s="50" cm="1" t="str">
        <f t="array" ref="F230:F230">OFFSET(E230,-1,1)</f>
        <v>3</v>
      </c>
      <c r="G230" s="1297"/>
      <c r="H230" s="1297"/>
      <c r="I230" s="1297"/>
      <c r="J230" s="1297"/>
      <c r="K230" s="154">
        <f>first_year+46</f>
        <v>2070</v>
      </c>
      <c r="L230" s="1297"/>
      <c r="M230" s="1297"/>
      <c r="N230" s="1297"/>
      <c r="O230" s="1297"/>
      <c r="P230" s="1297"/>
      <c r="Q230" s="1297"/>
      <c r="R230" s="1297"/>
      <c r="S230" s="1297"/>
      <c r="T230" s="468" cm="1" t="str">
        <f t="array" ref="T230:T230">T229</f>
        <v>true</v>
      </c>
      <c r="U230" s="1297"/>
      <c r="V230" s="1297"/>
      <c r="W230" s="1297"/>
      <c r="X230" s="1539"/>
      <c r="Y230" s="1297"/>
      <c r="Z230" s="1529"/>
      <c r="AA230" s="1297"/>
      <c r="AB230" s="251" t="str">
        <f>K230&amp;" год"</f>
        <v>2070 год</v>
      </c>
      <c r="AC230" s="6792"/>
      <c r="AD230" s="6798"/>
      <c r="AE230" s="6799"/>
      <c r="AF230" s="6799"/>
      <c r="AG230" s="6798"/>
      <c r="AH230" s="6819"/>
      <c r="AI230" s="6819"/>
      <c r="AJ230" s="6798"/>
      <c r="AK230" s="6800"/>
      <c r="AL230" s="404"/>
      <c r="AM230" s="1297"/>
      <c r="AN230" s="1297"/>
      <c r="AO230" s="1072" cm="1" t="str">
        <f t="array" ref="AO230:AO230">K230</f>
        <v>2070</v>
      </c>
      <c r="AP230" s="1297"/>
      <c r="AQ230" s="1297"/>
    </row>
    <row s="6956" customFormat="1" customHeight="1" ht="14.25" hidden="1">
      <c r="A231" s="1297"/>
      <c r="B231" s="447">
        <f>K231&lt;first_year+PERIOD_LENGTH</f>
        <v>0</v>
      </c>
      <c r="C231" s="1297"/>
      <c r="D231" s="1297"/>
      <c r="E231" s="709">
        <v>15</v>
      </c>
      <c r="F231" s="50" cm="1" t="str">
        <f t="array" ref="F231:F231">OFFSET(E231,-1,1)</f>
        <v>3</v>
      </c>
      <c r="G231" s="1297"/>
      <c r="H231" s="1297"/>
      <c r="I231" s="1297"/>
      <c r="J231" s="1297"/>
      <c r="K231" s="154">
        <f>first_year+47</f>
        <v>2071</v>
      </c>
      <c r="L231" s="1297"/>
      <c r="M231" s="1297"/>
      <c r="N231" s="1297"/>
      <c r="O231" s="1297"/>
      <c r="P231" s="1297"/>
      <c r="Q231" s="1297"/>
      <c r="R231" s="1297"/>
      <c r="S231" s="1297"/>
      <c r="T231" s="468" cm="1" t="str">
        <f t="array" ref="T231:T231">T230</f>
        <v>true</v>
      </c>
      <c r="U231" s="1297"/>
      <c r="V231" s="1297"/>
      <c r="W231" s="1297"/>
      <c r="X231" s="1539"/>
      <c r="Y231" s="1297"/>
      <c r="Z231" s="1529"/>
      <c r="AA231" s="1297"/>
      <c r="AB231" s="251" t="str">
        <f>K231&amp;" год"</f>
        <v>2071 год</v>
      </c>
      <c r="AC231" s="6792"/>
      <c r="AD231" s="6798"/>
      <c r="AE231" s="6799"/>
      <c r="AF231" s="6799"/>
      <c r="AG231" s="6798"/>
      <c r="AH231" s="6819"/>
      <c r="AI231" s="6819"/>
      <c r="AJ231" s="6798"/>
      <c r="AK231" s="6800"/>
      <c r="AL231" s="404"/>
      <c r="AM231" s="1297"/>
      <c r="AN231" s="1297"/>
      <c r="AO231" s="1072" cm="1" t="str">
        <f t="array" ref="AO231:AO231">K231</f>
        <v>2071</v>
      </c>
      <c r="AP231" s="1297"/>
      <c r="AQ231" s="1297"/>
    </row>
    <row s="6957" customFormat="1" customHeight="1" ht="14.25" hidden="1">
      <c r="A232" s="1297"/>
      <c r="B232" s="447">
        <f>K232&lt;first_year+PERIOD_LENGTH</f>
        <v>0</v>
      </c>
      <c r="C232" s="1297"/>
      <c r="D232" s="1297"/>
      <c r="E232" s="709">
        <v>15</v>
      </c>
      <c r="F232" s="50" cm="1" t="str">
        <f t="array" ref="F232:F232">OFFSET(E232,-1,1)</f>
        <v>3</v>
      </c>
      <c r="G232" s="1297"/>
      <c r="H232" s="1297"/>
      <c r="I232" s="1297"/>
      <c r="J232" s="1297"/>
      <c r="K232" s="154">
        <f>first_year+48</f>
        <v>2072</v>
      </c>
      <c r="L232" s="1297"/>
      <c r="M232" s="1297"/>
      <c r="N232" s="1297"/>
      <c r="O232" s="1297"/>
      <c r="P232" s="1297"/>
      <c r="Q232" s="1297"/>
      <c r="R232" s="1297"/>
      <c r="S232" s="1297"/>
      <c r="T232" s="468" cm="1" t="str">
        <f t="array" ref="T232:T232">T231</f>
        <v>true</v>
      </c>
      <c r="U232" s="1297"/>
      <c r="V232" s="1297"/>
      <c r="W232" s="1297"/>
      <c r="X232" s="1539"/>
      <c r="Y232" s="1297"/>
      <c r="Z232" s="1529"/>
      <c r="AA232" s="1297"/>
      <c r="AB232" s="251" t="str">
        <f>K232&amp;" год"</f>
        <v>2072 год</v>
      </c>
      <c r="AC232" s="6792"/>
      <c r="AD232" s="6798"/>
      <c r="AE232" s="6799"/>
      <c r="AF232" s="6799"/>
      <c r="AG232" s="6798"/>
      <c r="AH232" s="6819"/>
      <c r="AI232" s="6819"/>
      <c r="AJ232" s="6798"/>
      <c r="AK232" s="6800"/>
      <c r="AL232" s="404"/>
      <c r="AM232" s="1297"/>
      <c r="AN232" s="1297"/>
      <c r="AO232" s="1072" cm="1" t="str">
        <f t="array" ref="AO232:AO232">K232</f>
        <v>2072</v>
      </c>
      <c r="AP232" s="1297"/>
      <c r="AQ232" s="1297"/>
    </row>
    <row s="6958" customFormat="1" customHeight="1" ht="14.25" hidden="1">
      <c r="A233" s="1297"/>
      <c r="B233" s="447">
        <f>K233&lt;first_year+PERIOD_LENGTH</f>
        <v>0</v>
      </c>
      <c r="C233" s="1297"/>
      <c r="D233" s="1297"/>
      <c r="E233" s="709">
        <v>15</v>
      </c>
      <c r="F233" s="50" cm="1" t="str">
        <f t="array" ref="F233:F233">OFFSET(E233,-1,1)</f>
        <v>3</v>
      </c>
      <c r="G233" s="1297"/>
      <c r="H233" s="1297"/>
      <c r="I233" s="1297"/>
      <c r="J233" s="1297"/>
      <c r="K233" s="154">
        <f>first_year+49</f>
        <v>2073</v>
      </c>
      <c r="L233" s="1297"/>
      <c r="M233" s="1297"/>
      <c r="N233" s="1297"/>
      <c r="O233" s="1297"/>
      <c r="P233" s="1297"/>
      <c r="Q233" s="1297"/>
      <c r="R233" s="1297"/>
      <c r="S233" s="1297"/>
      <c r="T233" s="468" cm="1" t="str">
        <f t="array" ref="T233:T233">T232</f>
        <v>true</v>
      </c>
      <c r="U233" s="1297"/>
      <c r="V233" s="1297"/>
      <c r="W233" s="1297"/>
      <c r="X233" s="1539"/>
      <c r="Y233" s="1297"/>
      <c r="Z233" s="1529"/>
      <c r="AA233" s="1297"/>
      <c r="AB233" s="251" t="str">
        <f>K233&amp;" год"</f>
        <v>2073 год</v>
      </c>
      <c r="AC233" s="6792"/>
      <c r="AD233" s="6798"/>
      <c r="AE233" s="6799"/>
      <c r="AF233" s="6799"/>
      <c r="AG233" s="6798"/>
      <c r="AH233" s="6819"/>
      <c r="AI233" s="6819"/>
      <c r="AJ233" s="6798"/>
      <c r="AK233" s="6800"/>
      <c r="AL233" s="404"/>
      <c r="AM233" s="1297"/>
      <c r="AN233" s="1297"/>
      <c r="AO233" s="1072" cm="1" t="str">
        <f t="array" ref="AO233:AO233">K233</f>
        <v>2073</v>
      </c>
      <c r="AP233" s="1297"/>
      <c r="AQ233" s="1297"/>
    </row>
    <row customHeight="1" ht="10.725000000000001">
      <c r="E234" s="709">
        <v>11</v>
      </c>
      <c r="U234" s="702" t="s">
        <v>177</v>
      </c>
      <c r="V234" s="715" t="s">
        <v>2771</v>
      </c>
      <c r="AH234" s="1328"/>
      <c r="AI234" s="1328"/>
      <c r="AJ234" s="1328"/>
      <c r="AK234" s="1328"/>
      <c r="AO234" s="1014"/>
    </row>
    <row s="1297" customFormat="1" customHeight="1" ht="14.625">
      <c r="A235" s="94"/>
      <c r="B235" s="429"/>
      <c r="C235" s="94"/>
      <c r="D235" s="94"/>
      <c r="E235" s="637">
        <v>15</v>
      </c>
      <c r="F235" s="94"/>
      <c r="G235" s="94"/>
      <c r="H235" s="94"/>
      <c r="I235" s="94"/>
      <c r="J235" s="94"/>
      <c r="K235" s="94"/>
      <c r="L235" s="94"/>
      <c r="M235" s="94"/>
      <c r="N235" s="94"/>
      <c r="O235" s="94"/>
      <c r="P235" s="94"/>
      <c r="Q235" s="94"/>
      <c r="R235" s="94"/>
      <c r="S235" s="94"/>
      <c r="T235" s="94"/>
      <c r="U235" s="94"/>
      <c r="V235" s="94"/>
      <c r="W235" s="94"/>
      <c r="X235" s="94"/>
      <c r="Y235" s="94"/>
      <c r="Z235" s="94"/>
      <c r="AA235" s="94"/>
      <c r="AB235" s="1545" t="s">
        <v>420</v>
      </c>
      <c r="AC235" s="1545"/>
      <c r="AD235" s="1545"/>
      <c r="AE235" s="1545"/>
      <c r="AF235" s="1545"/>
      <c r="AG235" s="1545"/>
      <c r="AH235" s="1545"/>
      <c r="AI235" s="1545"/>
      <c r="AJ235" s="1545"/>
      <c r="AK235" s="1545"/>
      <c r="AL235" s="94"/>
      <c r="AO235" s="1072"/>
    </row>
    <row s="1297" customFormat="1" customHeight="1" ht="85.171875">
      <c r="A236" s="94"/>
      <c r="B236" s="429"/>
      <c r="C236" s="94"/>
      <c r="D236" s="94"/>
      <c r="E236" s="637">
        <v>15</v>
      </c>
      <c r="F236" s="94"/>
      <c r="G236" s="94"/>
      <c r="H236" s="94"/>
      <c r="I236" s="94"/>
      <c r="J236" s="94"/>
      <c r="K236" s="94"/>
      <c r="L236" s="94"/>
      <c r="M236" s="94"/>
      <c r="N236" s="94"/>
      <c r="O236" s="94"/>
      <c r="P236" s="94"/>
      <c r="Q236" s="94"/>
      <c r="R236" s="94"/>
      <c r="S236" s="94"/>
      <c r="T236" s="94"/>
      <c r="U236" s="94"/>
      <c r="V236" s="94"/>
      <c r="W236" s="94"/>
      <c r="X236" s="94"/>
      <c r="Y236" s="94"/>
      <c r="Z236" s="94"/>
      <c r="AA236" s="169"/>
      <c r="AB236" s="1620" t="s">
        <v>2772</v>
      </c>
      <c r="AC236" s="1620"/>
      <c r="AD236" s="1620"/>
      <c r="AE236" s="1620"/>
      <c r="AF236" s="1620"/>
      <c r="AG236" s="1620"/>
      <c r="AH236" s="6960"/>
      <c r="AI236" s="6960"/>
      <c r="AJ236" s="6960"/>
      <c r="AK236" s="6960"/>
      <c r="AL236" s="94"/>
      <c r="AO236" s="1072"/>
    </row>
    <row s="1656" customFormat="1" customHeight="1" ht="14.625" hidden="1">
      <c r="A237" s="94"/>
      <c r="B237" s="429"/>
      <c r="C237" s="94"/>
      <c r="D237" s="94"/>
      <c r="E237" s="637">
        <v>15</v>
      </c>
      <c r="F237" s="94"/>
      <c r="G237" s="94"/>
      <c r="H237" s="94"/>
      <c r="I237" s="94"/>
      <c r="J237" s="94"/>
      <c r="K237" s="94"/>
      <c r="L237" s="94"/>
      <c r="M237" s="94"/>
      <c r="N237" s="94"/>
      <c r="O237" s="94"/>
      <c r="P237" s="94"/>
      <c r="Q237" s="94"/>
      <c r="R237" s="94"/>
      <c r="S237" s="94"/>
      <c r="T237" s="492">
        <f>ROW(W237)&gt;ROW(W$237)</f>
        <v>0</v>
      </c>
      <c r="U237" s="94"/>
      <c r="V237" s="94"/>
      <c r="W237" s="154" t="s">
        <v>173</v>
      </c>
      <c r="X237" s="94"/>
      <c r="Y237" s="94"/>
      <c r="Z237" s="94"/>
      <c r="AA237" s="422" t="s">
        <v>174</v>
      </c>
      <c r="AB237" s="6960" t="s">
        <v>240</v>
      </c>
      <c r="AC237" s="6960"/>
      <c r="AD237" s="6960"/>
      <c r="AE237" s="6960"/>
      <c r="AF237" s="6960"/>
      <c r="AG237" s="6960"/>
      <c r="AH237" s="6960"/>
      <c r="AI237" s="6960"/>
      <c r="AJ237" s="6960"/>
      <c r="AK237" s="6960"/>
      <c r="AL237" s="94"/>
      <c r="AM237" s="1656"/>
      <c r="AN237" s="1656"/>
      <c r="AO237" s="1012"/>
      <c r="AP237" s="1656"/>
      <c r="AQ237" s="97"/>
    </row>
    <row s="1656" customFormat="1" customHeight="1" ht="14.625">
      <c r="A238" s="94"/>
      <c r="B238" s="429"/>
      <c r="C238" s="94"/>
      <c r="D238" s="94"/>
      <c r="E238" s="637">
        <v>15</v>
      </c>
      <c r="F238" s="94"/>
      <c r="G238" s="94"/>
      <c r="H238" s="94"/>
      <c r="I238" s="94"/>
      <c r="J238" s="94"/>
      <c r="K238" s="94"/>
      <c r="L238" s="94"/>
      <c r="M238" s="94"/>
      <c r="N238" s="94"/>
      <c r="O238" s="94"/>
      <c r="P238" s="94"/>
      <c r="Q238" s="94"/>
      <c r="R238" s="94"/>
      <c r="S238" s="94"/>
      <c r="T238" s="94"/>
      <c r="U238" s="94"/>
      <c r="V238" s="94"/>
      <c r="W238" s="836" t="s">
        <v>421</v>
      </c>
      <c r="X238" s="94"/>
      <c r="Y238" s="94"/>
      <c r="Z238" s="94"/>
      <c r="AA238" s="94"/>
      <c r="AB238" s="653"/>
      <c r="AC238" s="517" t="s">
        <v>422</v>
      </c>
      <c r="AD238" s="309"/>
      <c r="AE238" s="309"/>
      <c r="AF238" s="309"/>
      <c r="AG238" s="309"/>
      <c r="AH238" s="309"/>
      <c r="AI238" s="309"/>
      <c r="AJ238" s="309"/>
      <c r="AK238" s="310"/>
      <c r="AL238" s="94"/>
      <c r="AO238" s="1012"/>
      <c r="AQ238" s="97"/>
    </row>
    <row s="1656" customFormat="1" customHeight="1" ht="10.725000000000001">
      <c r="A239" s="94"/>
      <c r="B239" s="429"/>
      <c r="C239" s="94"/>
      <c r="D239" s="94"/>
      <c r="E239" s="637">
        <v>11</v>
      </c>
      <c r="F239" s="94"/>
      <c r="G239" s="94"/>
      <c r="H239" s="94"/>
      <c r="I239" s="94"/>
      <c r="J239" s="94"/>
      <c r="K239" s="94"/>
      <c r="L239" s="94"/>
      <c r="M239" s="94"/>
      <c r="N239" s="94"/>
      <c r="O239" s="94"/>
      <c r="P239" s="94"/>
      <c r="Q239" s="94"/>
      <c r="R239" s="94"/>
      <c r="S239" s="94"/>
      <c r="T239" s="94"/>
      <c r="U239" s="94"/>
      <c r="V239" s="94"/>
      <c r="W239" s="94"/>
      <c r="X239" s="94"/>
      <c r="Y239" s="94"/>
      <c r="Z239" s="94"/>
      <c r="AA239" s="94"/>
      <c r="AB239" s="203"/>
      <c r="AC239" s="94"/>
      <c r="AD239" s="94"/>
      <c r="AE239" s="94"/>
      <c r="AF239" s="94"/>
      <c r="AG239" s="94"/>
      <c r="AH239" s="94"/>
      <c r="AI239" s="94"/>
      <c r="AJ239" s="94"/>
      <c r="AK239" s="94"/>
      <c r="AL239" s="428"/>
      <c r="AO239" s="1012"/>
      <c r="AQ239" s="97"/>
    </row>
    <row s="1656" customFormat="1" customHeight="1" ht="11.25" hidden="1">
      <c r="B240" s="432"/>
      <c r="E240" s="629"/>
      <c r="AC240" s="96"/>
      <c r="AD240" s="96"/>
      <c r="AE240" s="96"/>
      <c r="AF240" s="96"/>
      <c r="AH240" s="1656"/>
      <c r="AI240" s="1656"/>
      <c r="AJ240" s="1656"/>
      <c r="AK240" s="1656"/>
      <c r="AO240" s="1012"/>
      <c r="AQ240" s="97"/>
    </row>
  </sheetData>
  <sheetProtection formatColumns="0" formatRows="0" insertRows="0" deleteColumns="0" deleteRows="0" sort="0" autoFilter="0" insertColumns="1"/>
  <mergeCells count="17">
    <mergeCell ref="AB237:AK237"/>
    <mergeCell ref="X30:X80"/>
    <mergeCell ref="Z30:Z80"/>
    <mergeCell ref="AB24:AE24"/>
    <mergeCell ref="AB235:AK235"/>
    <mergeCell ref="AB236:AK236"/>
    <mergeCell ref="AB26:AB28"/>
    <mergeCell ref="AC26:AC27"/>
    <mergeCell ref="AD26:AD27"/>
    <mergeCell ref="AE26:AE27"/>
    <mergeCell ref="AF26:AK26"/>
    <mergeCell ref="X81:X131"/>
    <mergeCell ref="Z81:Z131"/>
    <mergeCell ref="X132:X182"/>
    <mergeCell ref="Z132:Z182"/>
    <mergeCell ref="X183:X233"/>
    <mergeCell ref="Z183:Z233"/>
  </mergeCells>
  <dataValidations count="2">
    <dataValidation type="list" allowBlank="1" showInputMessage="1" showErrorMessage="1" errorTitle="Внимание" error="Пожалуйста, выберите значение из списка!" sqref="AF24">
      <formula1>YES_NO</formula1>
    </dataValidation>
    <dataValidation type="decimal" allowBlank="1" showErrorMessage="1" errorTitle="Ошибка" error="Допускается ввод только неотрицательных чисел!" sqref="AE31:AE80 AE82:AE131 AE133:AE182 AE184:AE233">
      <formula1>0</formula1>
      <formula2>9.99999999999999E+23</formula2>
    </dataValidation>
  </dataValidations>
  <printOptions horizontalCentered="1"/>
  <pageMargins left="0.35" right="0.35" top="0.40" bottom="0.40" header="0.08" footer="0.08"/>
  <pageSetup paperSize="9" scale="60" firstPageNumber="16" pageOrder="downThenOver" orientation="landscape" useFirstPageNumber="1"/>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2FF4125-C368-B0E4-0185-0A8A8C01EFD8}" mc:Ignorable="x14ac xr xr2 xr3">
  <sheetPr>
    <tabColor rgb="FF002060"/>
    <outlinePr summaryRight="0" summaryBelow="0"/>
  </sheetPr>
  <dimension ref="A1:AR451"/>
  <sheetViews>
    <sheetView showGridLines="0" workbookViewId="0">
      <pane xSplit="29" ySplit="26" topLeftCell="AD397" activePane="bottomRight" state="frozen"/>
      <selection pane="bottomLeft" activeCell="A27" sqref="A27"/>
      <selection pane="topRight" activeCell="AD1" sqref="AD1"/>
      <selection pane="bottomRight" activeCell="AB450" sqref="AB450"/>
    </sheetView>
  </sheetViews>
  <sheetFormatPr defaultColWidth="9.140625" customHeight="1" defaultRowHeight="11.25"/>
  <cols>
    <col min="1" max="1" style="1328" width="3.57421875" hidden="1" customWidth="1"/>
    <col min="2" max="2" style="1186" width="8.57421875" hidden="1" customWidth="1"/>
    <col min="3" max="4" style="1328" width="3.57421875" hidden="1" customWidth="1"/>
    <col min="5" max="5" style="1329" width="3.57421875" hidden="1" customWidth="1"/>
    <col min="6" max="10" style="1328" width="3.57421875" hidden="1" customWidth="1"/>
    <col min="11" max="11" style="1328" width="7.140625" hidden="1" customWidth="1"/>
    <col min="12" max="19" style="1328" width="3.57421875" hidden="1" customWidth="1"/>
    <col min="20" max="20" style="1328" width="9.140625" hidden="1"/>
    <col min="21" max="26" style="1328" width="3.57421875" hidden="1" customWidth="1"/>
    <col min="27" max="27" style="1328" width="3.00390625" customWidth="1"/>
    <col min="28" max="28" style="203" width="14.7109375" customWidth="1"/>
    <col min="29" max="33" style="1328" width="17.00390625" customWidth="1"/>
    <col min="34" max="36" style="1328" width="23.00390625" hidden="1" customWidth="1"/>
    <col min="37" max="37" style="1328" width="25.00390625" hidden="1" customWidth="1"/>
    <col min="38" max="38" style="1328" width="3.00390625" customWidth="1"/>
    <col min="39" max="39" style="1328" width="9.140625" hidden="1"/>
    <col min="40" max="42" style="1330" width="9.140625" hidden="1"/>
    <col min="43" max="44" style="1329" width="9.140625" hidden="1"/>
  </cols>
  <sheetData>
    <row customHeight="1" ht="11.25" hidden="1">
      <c r="E1" s="94"/>
      <c r="F1" s="94" t="s">
        <v>333</v>
      </c>
      <c r="G1" s="94" t="s">
        <v>368</v>
      </c>
      <c r="K1" s="94" t="s">
        <v>371</v>
      </c>
      <c r="T1" s="468" t="s">
        <v>93</v>
      </c>
      <c r="U1" s="468" t="s">
        <v>98</v>
      </c>
      <c r="V1" s="468" t="s">
        <v>94</v>
      </c>
      <c r="W1" s="468" t="s">
        <v>95</v>
      </c>
      <c r="X1" s="468" t="s">
        <v>96</v>
      </c>
      <c r="Y1" s="470" t="s">
        <v>335</v>
      </c>
      <c r="Z1" s="468" t="s">
        <v>100</v>
      </c>
      <c r="AA1" s="469" t="s">
        <v>97</v>
      </c>
      <c r="AB1" s="468" t="s">
        <v>99</v>
      </c>
      <c r="AC1" s="469" t="s">
        <v>99</v>
      </c>
      <c r="AH1" s="1328"/>
      <c r="AI1" s="1328"/>
      <c r="AJ1" s="1328"/>
      <c r="AK1" s="1328"/>
      <c r="AN1" s="1023" t="s">
        <v>376</v>
      </c>
      <c r="AO1" s="1023" t="s">
        <v>337</v>
      </c>
      <c r="AP1" s="1023" t="s">
        <v>338</v>
      </c>
      <c r="AQ1" s="637" t="s">
        <v>341</v>
      </c>
      <c r="AR1" s="637" t="s">
        <v>342</v>
      </c>
    </row>
    <row s="1186" customFormat="1" customHeight="1" ht="11.25" hidden="1">
      <c r="B2" s="447" t="s">
        <v>19</v>
      </c>
      <c r="AB2" s="431"/>
      <c r="AG2" s="447">
        <f>DPR_ee_divide="нет"</f>
        <v>1</v>
      </c>
      <c r="AH2" s="447">
        <f>DPR_ee_divide="да"</f>
        <v>0</v>
      </c>
      <c r="AI2" s="447">
        <f>DPR_ee_divide="да"</f>
        <v>0</v>
      </c>
      <c r="AJ2" s="447">
        <f>DPR_ee_divide="да"</f>
        <v>0</v>
      </c>
      <c r="AK2" s="447">
        <f>DPR_ee_divide="да"</f>
        <v>0</v>
      </c>
      <c r="AN2" s="1024"/>
      <c r="AO2" s="1024"/>
      <c r="AP2" s="1024"/>
      <c r="AQ2" s="1037"/>
      <c r="AR2" s="1037"/>
    </row>
    <row customHeight="1" ht="11.25" hidden="1">
      <c r="E3" s="94"/>
      <c r="AH3" s="1328"/>
      <c r="AI3" s="1328"/>
      <c r="AJ3" s="1328"/>
      <c r="AK3" s="1328"/>
    </row>
    <row customHeight="1" ht="11.25" hidden="1">
      <c r="E4" s="94"/>
      <c r="AH4" s="1328"/>
      <c r="AI4" s="1328"/>
      <c r="AJ4" s="1328"/>
      <c r="AK4" s="1328"/>
    </row>
    <row s="1329" customFormat="1" customHeight="1" ht="11.25" hidden="1">
      <c r="A5" s="94"/>
      <c r="B5" s="429"/>
      <c r="C5" s="94"/>
      <c r="D5" s="94"/>
      <c r="E5" s="637" t="s">
        <v>20</v>
      </c>
      <c r="AA5" s="637">
        <v>3</v>
      </c>
      <c r="AB5" s="699">
        <v>14.71</v>
      </c>
      <c r="AC5" s="637">
        <v>17</v>
      </c>
      <c r="AD5" s="637">
        <v>17</v>
      </c>
      <c r="AE5" s="637">
        <v>17</v>
      </c>
      <c r="AF5" s="637">
        <v>17</v>
      </c>
      <c r="AG5" s="637">
        <v>17</v>
      </c>
      <c r="AH5" s="637">
        <v>23</v>
      </c>
      <c r="AI5" s="637">
        <v>23</v>
      </c>
      <c r="AJ5" s="637">
        <v>23</v>
      </c>
      <c r="AK5" s="637">
        <v>25</v>
      </c>
      <c r="AL5" s="637">
        <v>3</v>
      </c>
      <c r="AN5" s="1023"/>
      <c r="AO5" s="1023"/>
      <c r="AP5" s="1023"/>
    </row>
    <row customHeight="1" ht="11.25" hidden="1">
      <c r="A6" s="94" t="s">
        <v>343</v>
      </c>
      <c r="AC6" s="94" t="s">
        <v>344</v>
      </c>
      <c r="AD6" s="94" t="s">
        <v>345</v>
      </c>
      <c r="AE6" s="94" t="s">
        <v>346</v>
      </c>
      <c r="AF6" s="94" t="s">
        <v>659</v>
      </c>
      <c r="AG6" s="94" t="s">
        <v>663</v>
      </c>
      <c r="AH6" s="94" t="s">
        <v>2746</v>
      </c>
      <c r="AI6" s="94" t="s">
        <v>2747</v>
      </c>
      <c r="AJ6" s="94" t="s">
        <v>2748</v>
      </c>
      <c r="AK6" s="94" t="s">
        <v>2749</v>
      </c>
    </row>
    <row customHeight="1" ht="11.25" hidden="1">
      <c r="AH7" s="1328"/>
      <c r="AI7" s="1328"/>
      <c r="AJ7" s="1328"/>
      <c r="AK7" s="1328"/>
    </row>
    <row customHeight="1" ht="11.25" hidden="1">
      <c r="AH8" s="1328"/>
      <c r="AI8" s="1328"/>
      <c r="AJ8" s="1328"/>
      <c r="AK8" s="1328"/>
    </row>
    <row s="1330" customFormat="1" customHeight="1" ht="11.25" hidden="1">
      <c r="A9" s="1023" t="s">
        <v>336</v>
      </c>
      <c r="B9" s="1024"/>
      <c r="AB9" s="1062"/>
      <c r="AC9" s="1081" t="s">
        <v>2750</v>
      </c>
      <c r="AD9" s="1081" t="s">
        <v>2751</v>
      </c>
      <c r="AE9" s="1081" t="s">
        <v>2752</v>
      </c>
      <c r="AF9" s="1081" t="s">
        <v>2753</v>
      </c>
      <c r="AG9" s="1081" t="s">
        <v>2754</v>
      </c>
      <c r="AH9" s="1081" t="s">
        <v>2755</v>
      </c>
      <c r="AI9" s="1081" t="s">
        <v>2756</v>
      </c>
      <c r="AJ9" s="1081" t="s">
        <v>2757</v>
      </c>
      <c r="AK9" s="1023" t="s">
        <v>2758</v>
      </c>
      <c r="AQ9" s="637"/>
      <c r="AR9" s="637"/>
    </row>
    <row s="1330" customFormat="1" customHeight="1" ht="11.25" hidden="1">
      <c r="A10" s="1023" t="s">
        <v>350</v>
      </c>
      <c r="B10" s="1024"/>
      <c r="AB10" s="1062" t="s">
        <v>338</v>
      </c>
      <c r="AH10" s="1330"/>
      <c r="AI10" s="1330"/>
      <c r="AJ10" s="1330"/>
      <c r="AK10" s="1330"/>
      <c r="AQ10" s="637"/>
      <c r="AR10" s="637"/>
    </row>
    <row customHeight="1" ht="11.25" hidden="1">
      <c r="AH11" s="1328"/>
      <c r="AI11" s="1328"/>
      <c r="AJ11" s="1328"/>
      <c r="AK11" s="1328"/>
    </row>
    <row customHeight="1" ht="11.25" hidden="1">
      <c r="AH12" s="1328"/>
      <c r="AI12" s="1328"/>
      <c r="AJ12" s="1328"/>
      <c r="AK12" s="1328"/>
    </row>
    <row customHeight="1" ht="11.25" hidden="1">
      <c r="AH13" s="1328"/>
      <c r="AI13" s="1328"/>
      <c r="AJ13" s="1328"/>
      <c r="AK13" s="1328"/>
    </row>
    <row customHeight="1" ht="11.25" hidden="1">
      <c r="AH14" s="1328"/>
      <c r="AI14" s="1328"/>
      <c r="AJ14" s="1328"/>
      <c r="AK14" s="1328"/>
    </row>
    <row customHeight="1" ht="11.25" hidden="1">
      <c r="AH15" s="1328"/>
      <c r="AI15" s="1328"/>
      <c r="AJ15" s="1328"/>
      <c r="AK15" s="1328"/>
    </row>
    <row customHeight="1" ht="11.25" hidden="1">
      <c r="AH16" s="1328"/>
      <c r="AI16" s="1328"/>
      <c r="AJ16" s="1328"/>
      <c r="AK16" s="1328"/>
    </row>
    <row customHeight="1" ht="11.25" hidden="1">
      <c r="AH17" s="1328"/>
      <c r="AI17" s="1328"/>
      <c r="AJ17" s="1328"/>
      <c r="AK17" s="1328"/>
    </row>
    <row customHeight="1" ht="11.25" hidden="1">
      <c r="A18" s="94" t="s">
        <v>379</v>
      </c>
      <c r="AB18" s="203" t="s">
        <v>194</v>
      </c>
      <c r="AH18" s="1328"/>
      <c r="AI18" s="1328"/>
      <c r="AJ18" s="1328"/>
      <c r="AK18" s="1328"/>
    </row>
    <row customHeight="1" ht="11.25" hidden="1">
      <c r="AH19" s="1328"/>
      <c r="AI19" s="1328"/>
      <c r="AJ19" s="1328"/>
      <c r="AK19" s="1328"/>
    </row>
    <row customHeight="1" ht="11.25" hidden="1">
      <c r="AH20" s="1328"/>
      <c r="AI20" s="1328"/>
      <c r="AJ20" s="1328"/>
      <c r="AK20" s="1328"/>
    </row>
    <row customHeight="1" ht="14.625">
      <c r="E21" s="637">
        <v>15</v>
      </c>
      <c r="AA21" s="663"/>
      <c r="AB21" s="363" cm="1" t="str">
        <f t="array" ref="AB21:AB21">tpl_title</f>
        <v>Кемеровская область / 2026 / ОАО «СКЭК» (ИНН:4205153492, КПП:420501001) / ДПР: 2024-2028</v>
      </c>
      <c r="AH21" s="1328"/>
      <c r="AI21" s="1328"/>
      <c r="AJ21" s="1328"/>
      <c r="AK21" s="1328"/>
    </row>
    <row s="1363" customFormat="1" customHeight="1" ht="23.400000000000002">
      <c r="B22" s="429"/>
      <c r="E22" s="638">
        <v>24</v>
      </c>
      <c r="AB22" s="316" t="s">
        <v>87</v>
      </c>
      <c r="AC22" s="202"/>
      <c r="AD22" s="202"/>
      <c r="AE22" s="202"/>
      <c r="AF22" s="202"/>
      <c r="AG22" s="202"/>
      <c r="AH22" s="202"/>
      <c r="AI22" s="202"/>
      <c r="AJ22" s="202"/>
      <c r="AK22" s="202"/>
      <c r="AN22" s="1026"/>
      <c r="AO22" s="1026"/>
      <c r="AP22" s="1026"/>
      <c r="AQ22" s="638"/>
      <c r="AR22" s="638"/>
    </row>
    <row customHeight="1" ht="10.96875">
      <c r="E23" s="637">
        <v>11.25</v>
      </c>
      <c r="AB23" s="140"/>
      <c r="AC23" s="140"/>
      <c r="AH23" s="1328"/>
      <c r="AI23" s="1328"/>
      <c r="AJ23" s="1328"/>
      <c r="AK23" s="1328"/>
    </row>
    <row s="1189" customFormat="1" customHeight="1" ht="38.025">
      <c r="B24" s="431"/>
      <c r="E24" s="635">
        <v>39</v>
      </c>
      <c r="AB24" s="1625" t="s">
        <v>2760</v>
      </c>
      <c r="AC24" s="1628" t="s">
        <v>2761</v>
      </c>
      <c r="AD24" s="1628" t="s">
        <v>567</v>
      </c>
      <c r="AE24" s="1628" t="s">
        <v>2762</v>
      </c>
      <c r="AF24" s="1628" t="s">
        <v>2763</v>
      </c>
      <c r="AG24" s="1628"/>
      <c r="AH24" s="1628"/>
      <c r="AI24" s="1628"/>
      <c r="AJ24" s="1628"/>
      <c r="AK24" s="1629"/>
      <c r="AN24" s="1021"/>
      <c r="AO24" s="1021"/>
      <c r="AP24" s="1021"/>
      <c r="AQ24" s="635"/>
      <c r="AR24" s="635"/>
    </row>
    <row s="1189" customFormat="1" customHeight="1" ht="35.1">
      <c r="B25" s="431"/>
      <c r="E25" s="635">
        <v>36</v>
      </c>
      <c r="AB25" s="1626"/>
      <c r="AC25" s="1628"/>
      <c r="AD25" s="1628"/>
      <c r="AE25" s="1628"/>
      <c r="AF25" s="250" t="s">
        <v>705</v>
      </c>
      <c r="AG25" s="250" t="s">
        <v>2764</v>
      </c>
      <c r="AH25" s="250" t="s">
        <v>2765</v>
      </c>
      <c r="AI25" s="250" t="s">
        <v>2766</v>
      </c>
      <c r="AJ25" s="250" t="s">
        <v>2767</v>
      </c>
      <c r="AK25" s="251" t="s">
        <v>2768</v>
      </c>
      <c r="AN25" s="1021"/>
      <c r="AO25" s="1021"/>
      <c r="AP25" s="1021"/>
      <c r="AQ25" s="635"/>
      <c r="AR25" s="635"/>
    </row>
    <row s="1541" customFormat="1" customHeight="1" ht="10.96875">
      <c r="B26" s="431"/>
      <c r="E26" s="263">
        <v>11.25</v>
      </c>
      <c r="AB26" s="1627"/>
      <c r="AC26" s="250" t="s">
        <v>936</v>
      </c>
      <c r="AD26" s="250" t="s">
        <v>561</v>
      </c>
      <c r="AE26" s="87" t="s">
        <v>561</v>
      </c>
      <c r="AF26" s="250" t="s">
        <v>561</v>
      </c>
      <c r="AG26" s="250" t="s">
        <v>2769</v>
      </c>
      <c r="AH26" s="250" t="s">
        <v>2769</v>
      </c>
      <c r="AI26" s="250" t="s">
        <v>2769</v>
      </c>
      <c r="AJ26" s="250" t="s">
        <v>2769</v>
      </c>
      <c r="AK26" s="251" t="s">
        <v>2769</v>
      </c>
      <c r="AN26" s="1038"/>
      <c r="AO26" s="1038"/>
      <c r="AP26" s="1038"/>
      <c r="AQ26" s="263"/>
      <c r="AR26" s="263"/>
    </row>
    <row s="1656" customFormat="1" customHeight="1" ht="11.25" hidden="1">
      <c r="A27" s="502"/>
      <c r="B27" s="664"/>
      <c r="C27" s="502"/>
      <c r="D27" s="502"/>
      <c r="E27" s="665">
        <v>0</v>
      </c>
      <c r="F27" s="81"/>
      <c r="G27" s="502"/>
      <c r="H27" s="502"/>
      <c r="I27" s="502"/>
      <c r="J27" s="502"/>
      <c r="K27" s="502"/>
      <c r="L27" s="502"/>
      <c r="M27" s="502"/>
      <c r="N27" s="502"/>
      <c r="O27" s="502"/>
      <c r="P27" s="502"/>
      <c r="Q27" s="502"/>
      <c r="R27" s="502"/>
      <c r="S27" s="502"/>
      <c r="T27" s="502"/>
      <c r="U27" s="502"/>
      <c r="V27" s="502"/>
      <c r="W27" s="502"/>
      <c r="X27" s="502"/>
      <c r="Y27" s="502"/>
      <c r="Z27" s="502"/>
      <c r="AA27" s="502"/>
      <c r="AC27" s="96"/>
      <c r="AD27" s="96"/>
      <c r="AE27" s="96"/>
      <c r="AF27" s="96"/>
      <c r="AH27" s="1656"/>
      <c r="AI27" s="1656"/>
      <c r="AJ27" s="1656"/>
      <c r="AK27" s="1656"/>
      <c r="AN27" s="1012"/>
      <c r="AO27" s="1012"/>
      <c r="AP27" s="1012"/>
      <c r="AQ27" s="1015"/>
      <c r="AR27" s="629"/>
    </row>
    <row s="1331" customFormat="1" customHeight="1" ht="14.625" hidden="1">
      <c r="A28" s="1331"/>
      <c r="B28" s="430"/>
      <c r="C28" s="1331"/>
      <c r="D28" s="1331"/>
      <c r="E28" s="623">
        <v>15</v>
      </c>
      <c r="F28" s="94" cm="1" t="str">
        <f t="array" ref="F28:F28">X28</f>
        <v>0</v>
      </c>
      <c r="G28" s="1331"/>
      <c r="H28" s="1331"/>
      <c r="I28" s="1331"/>
      <c r="J28" s="1331"/>
      <c r="K28" s="1331"/>
      <c r="L28" s="1331"/>
      <c r="M28" s="1331"/>
      <c r="N28" s="1331"/>
      <c r="O28" s="1331"/>
      <c r="P28" s="1331"/>
      <c r="Q28" s="1331"/>
      <c r="R28" s="1331"/>
      <c r="S28" s="1331"/>
      <c r="T28" s="468">
        <f>X28&gt;0</f>
        <v>0</v>
      </c>
      <c r="U28" s="1331"/>
      <c r="V28" s="118" t="s">
        <v>279</v>
      </c>
      <c r="W28" s="1331"/>
      <c r="X28" s="1539">
        <v>0</v>
      </c>
      <c r="Y28" s="1331"/>
      <c r="Z28" s="1529"/>
      <c r="AA28" s="1331"/>
      <c r="AB28" s="377" cm="1" t="str">
        <f t="array" ref="AB28:AB28">INDEX('Общие сведения'!$AG$197:$AG$254,MATCH($X28,'Общие сведения'!$Z$197:$Z$254,0))</f>
        <v>Тариф 0 () - </v>
      </c>
      <c r="AC28" s="239"/>
      <c r="AD28" s="239"/>
      <c r="AE28" s="239"/>
      <c r="AF28" s="239"/>
      <c r="AG28" s="239"/>
      <c r="AH28" s="239"/>
      <c r="AI28" s="239"/>
      <c r="AJ28" s="239"/>
      <c r="AK28" s="239"/>
      <c r="AL28" s="403"/>
      <c r="AM28" s="1331"/>
      <c r="AN28" s="1005"/>
      <c r="AO28" s="1005"/>
      <c r="AP28" s="1005"/>
      <c r="AQ28" s="623"/>
      <c r="AR28" s="623"/>
    </row>
    <row s="1331" customFormat="1" customHeight="1" ht="14.625" hidden="1">
      <c r="A29" s="1331"/>
      <c r="B29" s="430"/>
      <c r="C29" s="1331"/>
      <c r="D29" s="1331"/>
      <c r="E29" s="623">
        <v>15</v>
      </c>
      <c r="F29" s="50" cm="1" t="str">
        <f t="array" ref="F29:F29">OFFSET(E29,-1,1)</f>
        <v>0</v>
      </c>
      <c r="G29" s="118" cm="1" t="str">
        <f t="array" ref="G29:G29">AB29</f>
        <v>0</v>
      </c>
      <c r="H29" s="1331"/>
      <c r="I29" s="1331"/>
      <c r="J29" s="1331"/>
      <c r="K29" s="1331"/>
      <c r="L29" s="1331"/>
      <c r="M29" s="1331"/>
      <c r="N29" s="1331"/>
      <c r="O29" s="1331"/>
      <c r="P29" s="1331"/>
      <c r="Q29" s="1331"/>
      <c r="R29" s="1331"/>
      <c r="S29" s="1331"/>
      <c r="T29" s="468">
        <f>AND(F29&gt;0,Y29&gt;0)</f>
        <v>0</v>
      </c>
      <c r="U29" s="1331"/>
      <c r="V29" s="1331"/>
      <c r="W29" s="118" t="s">
        <v>173</v>
      </c>
      <c r="X29" s="1539"/>
      <c r="Y29" s="1539">
        <v>0</v>
      </c>
      <c r="Z29" s="1529"/>
      <c r="AA29" s="1630" t="s">
        <v>174</v>
      </c>
      <c r="AB29" s="6967"/>
      <c r="AC29" s="6967"/>
      <c r="AD29" s="6967"/>
      <c r="AE29" s="6967"/>
      <c r="AF29" s="6967"/>
      <c r="AG29" s="6967"/>
      <c r="AH29" s="6967"/>
      <c r="AI29" s="6967"/>
      <c r="AJ29" s="6967"/>
      <c r="AK29" s="6968"/>
      <c r="AL29" s="403"/>
      <c r="AM29" s="1331"/>
      <c r="AN29" s="1005"/>
      <c r="AO29" s="1072" t="s">
        <v>2773</v>
      </c>
      <c r="AP29" s="1087" cm="1" t="str">
        <f t="array" ref="AP29:AP29">AB29</f>
        <v>0</v>
      </c>
      <c r="AQ29" s="623"/>
      <c r="AR29" s="623" t="b">
        <v>1</v>
      </c>
    </row>
    <row s="1297" customFormat="1" customHeight="1" ht="14.625" hidden="1">
      <c r="A30" s="1297"/>
      <c r="B30" s="447">
        <f>K30&lt;first_year+PERIOD_LENGTH</f>
        <v>1</v>
      </c>
      <c r="C30" s="1297"/>
      <c r="D30" s="1297"/>
      <c r="E30" s="709">
        <v>15</v>
      </c>
      <c r="F30" s="50" cm="1" t="str">
        <f t="array" ref="F30:F30">OFFSET(E30,-1,1)</f>
        <v>0</v>
      </c>
      <c r="G30" s="94" cm="1" t="str">
        <f t="array" ref="G30:G30">G29</f>
        <v>0</v>
      </c>
      <c r="H30" s="1297"/>
      <c r="I30" s="1297"/>
      <c r="J30" s="1297"/>
      <c r="K30" s="154" cm="1" t="str">
        <f t="array" ref="K30:K30">first_year</f>
        <v>2024</v>
      </c>
      <c r="L30" s="1297"/>
      <c r="M30" s="1297"/>
      <c r="N30" s="1297"/>
      <c r="O30" s="1297"/>
      <c r="P30" s="1297"/>
      <c r="Q30" s="1297"/>
      <c r="R30" s="1297"/>
      <c r="S30" s="1297"/>
      <c r="T30" s="468" cm="1" t="str">
        <f t="array" ref="T30:T30">T29</f>
        <v>false</v>
      </c>
      <c r="U30" s="1297"/>
      <c r="V30" s="1297"/>
      <c r="W30" s="1297"/>
      <c r="X30" s="1539"/>
      <c r="Y30" s="1539"/>
      <c r="Z30" s="1529"/>
      <c r="AA30" s="1630"/>
      <c r="AB30" s="298" t="str">
        <f>K30&amp;" год"</f>
        <v>2024 год</v>
      </c>
      <c r="AC30" s="6971"/>
      <c r="AD30" s="6972"/>
      <c r="AE30" s="6971"/>
      <c r="AF30" s="6971"/>
      <c r="AG30" s="6972"/>
      <c r="AH30" s="6971"/>
      <c r="AI30" s="6972"/>
      <c r="AJ30" s="6971"/>
      <c r="AK30" s="6973"/>
      <c r="AL30" s="404"/>
      <c r="AM30" s="1297"/>
      <c r="AN30" s="1072" cm="1" t="str">
        <f t="array" ref="AN30:AN30">K30</f>
        <v>2024</v>
      </c>
      <c r="AO30" s="1072" t="s">
        <v>2773</v>
      </c>
      <c r="AP30" s="1082" cm="1" t="str">
        <f t="array" ref="AP30:AP30">AP29</f>
        <v>0</v>
      </c>
      <c r="AQ30" s="709"/>
      <c r="AR30" s="709"/>
    </row>
    <row s="1297" customFormat="1" customHeight="1" ht="14.625" hidden="1">
      <c r="A31" s="1297"/>
      <c r="B31" s="447">
        <f>K31&lt;first_year+PERIOD_LENGTH</f>
        <v>1</v>
      </c>
      <c r="C31" s="1297"/>
      <c r="D31" s="1297"/>
      <c r="E31" s="709">
        <v>15</v>
      </c>
      <c r="F31" s="50" cm="1" t="str">
        <f t="array" ref="F31:F31">OFFSET(E31,-1,1)</f>
        <v>0</v>
      </c>
      <c r="G31" s="94" cm="1" t="str">
        <f t="array" ref="G31:G31">G30</f>
        <v>0</v>
      </c>
      <c r="H31" s="1297"/>
      <c r="I31" s="1297"/>
      <c r="J31" s="1297"/>
      <c r="K31" s="154">
        <f>first_year+1</f>
        <v>2025</v>
      </c>
      <c r="L31" s="1297"/>
      <c r="M31" s="1297"/>
      <c r="N31" s="1297"/>
      <c r="O31" s="1297"/>
      <c r="P31" s="1297"/>
      <c r="Q31" s="1297"/>
      <c r="R31" s="1297"/>
      <c r="S31" s="1297"/>
      <c r="T31" s="468" cm="1" t="str">
        <f t="array" ref="T31:T31">T30</f>
        <v>false</v>
      </c>
      <c r="U31" s="1297"/>
      <c r="V31" s="1297"/>
      <c r="W31" s="1297"/>
      <c r="X31" s="1539"/>
      <c r="Y31" s="1539"/>
      <c r="Z31" s="1529"/>
      <c r="AA31" s="1630"/>
      <c r="AB31" s="251" t="str">
        <f>K31&amp;" год"</f>
        <v>2025 год</v>
      </c>
      <c r="AC31" s="409"/>
      <c r="AD31" s="6972"/>
      <c r="AE31" s="6971"/>
      <c r="AF31" s="6971"/>
      <c r="AG31" s="6972"/>
      <c r="AH31" s="6971"/>
      <c r="AI31" s="6972"/>
      <c r="AJ31" s="6971"/>
      <c r="AK31" s="6973"/>
      <c r="AL31" s="404"/>
      <c r="AM31" s="1297"/>
      <c r="AN31" s="1072" cm="1" t="str">
        <f t="array" ref="AN31:AN31">K31</f>
        <v>2025</v>
      </c>
      <c r="AO31" s="1072" t="s">
        <v>2773</v>
      </c>
      <c r="AP31" s="1082" cm="1" t="str">
        <f t="array" ref="AP31:AP31">AP30</f>
        <v>0</v>
      </c>
      <c r="AQ31" s="709"/>
      <c r="AR31" s="709"/>
    </row>
    <row s="1297" customFormat="1" customHeight="1" ht="14.625" hidden="1">
      <c r="A32" s="1297"/>
      <c r="B32" s="447">
        <f>K32&lt;first_year+PERIOD_LENGTH</f>
        <v>1</v>
      </c>
      <c r="C32" s="1297"/>
      <c r="D32" s="1297"/>
      <c r="E32" s="709">
        <v>15</v>
      </c>
      <c r="F32" s="50" cm="1" t="str">
        <f t="array" ref="F32:F32">OFFSET(E32,-1,1)</f>
        <v>0</v>
      </c>
      <c r="G32" s="94" cm="1" t="str">
        <f t="array" ref="G32:G32">G31</f>
        <v>0</v>
      </c>
      <c r="H32" s="1297"/>
      <c r="I32" s="1297"/>
      <c r="J32" s="1297"/>
      <c r="K32" s="154">
        <f>first_year+2</f>
        <v>2026</v>
      </c>
      <c r="L32" s="1297"/>
      <c r="M32" s="1297"/>
      <c r="N32" s="1297"/>
      <c r="O32" s="1297"/>
      <c r="P32" s="1297"/>
      <c r="Q32" s="1297"/>
      <c r="R32" s="1297"/>
      <c r="S32" s="1297"/>
      <c r="T32" s="468" cm="1" t="str">
        <f t="array" ref="T32:T32">T31</f>
        <v>false</v>
      </c>
      <c r="U32" s="1297"/>
      <c r="V32" s="1297"/>
      <c r="W32" s="1297"/>
      <c r="X32" s="1539"/>
      <c r="Y32" s="1539"/>
      <c r="Z32" s="1529"/>
      <c r="AA32" s="1630"/>
      <c r="AB32" s="251" t="str">
        <f>K32&amp;" год"</f>
        <v>2026 год</v>
      </c>
      <c r="AC32" s="409"/>
      <c r="AD32" s="6972"/>
      <c r="AE32" s="6971"/>
      <c r="AF32" s="6971"/>
      <c r="AG32" s="6972"/>
      <c r="AH32" s="6971"/>
      <c r="AI32" s="6972"/>
      <c r="AJ32" s="6971"/>
      <c r="AK32" s="6973"/>
      <c r="AL32" s="404"/>
      <c r="AM32" s="1297"/>
      <c r="AN32" s="1072" cm="1" t="str">
        <f t="array" ref="AN32:AN32">K32</f>
        <v>2026</v>
      </c>
      <c r="AO32" s="1072" t="s">
        <v>2773</v>
      </c>
      <c r="AP32" s="1082" cm="1" t="str">
        <f t="array" ref="AP32:AP32">AP31</f>
        <v>0</v>
      </c>
      <c r="AQ32" s="709"/>
      <c r="AR32" s="709"/>
    </row>
    <row s="1297" customFormat="1" customHeight="1" ht="14.625" hidden="1">
      <c r="A33" s="1297"/>
      <c r="B33" s="447">
        <f>K33&lt;first_year+PERIOD_LENGTH</f>
        <v>1</v>
      </c>
      <c r="C33" s="1297"/>
      <c r="D33" s="1297"/>
      <c r="E33" s="709">
        <v>15</v>
      </c>
      <c r="F33" s="50" cm="1" t="str">
        <f t="array" ref="F33:F33">OFFSET(E33,-1,1)</f>
        <v>0</v>
      </c>
      <c r="G33" s="94" cm="1" t="str">
        <f t="array" ref="G33:G33">G32</f>
        <v>0</v>
      </c>
      <c r="H33" s="1297"/>
      <c r="I33" s="1297"/>
      <c r="J33" s="1297"/>
      <c r="K33" s="154">
        <f>first_year+3</f>
        <v>2027</v>
      </c>
      <c r="L33" s="1297"/>
      <c r="M33" s="1297"/>
      <c r="N33" s="1297"/>
      <c r="O33" s="1297"/>
      <c r="P33" s="1297"/>
      <c r="Q33" s="1297"/>
      <c r="R33" s="1297"/>
      <c r="S33" s="1297"/>
      <c r="T33" s="468" cm="1" t="str">
        <f t="array" ref="T33:T33">T32</f>
        <v>false</v>
      </c>
      <c r="U33" s="1297"/>
      <c r="V33" s="1297"/>
      <c r="W33" s="1297"/>
      <c r="X33" s="1539"/>
      <c r="Y33" s="1539"/>
      <c r="Z33" s="1529"/>
      <c r="AA33" s="1630"/>
      <c r="AB33" s="251" t="str">
        <f>K33&amp;" год"</f>
        <v>2027 год</v>
      </c>
      <c r="AC33" s="409"/>
      <c r="AD33" s="6972"/>
      <c r="AE33" s="6971"/>
      <c r="AF33" s="6971"/>
      <c r="AG33" s="6972"/>
      <c r="AH33" s="6971"/>
      <c r="AI33" s="6972"/>
      <c r="AJ33" s="6971"/>
      <c r="AK33" s="6973"/>
      <c r="AL33" s="404"/>
      <c r="AM33" s="1297"/>
      <c r="AN33" s="1072" cm="1" t="str">
        <f t="array" ref="AN33:AN33">K33</f>
        <v>2027</v>
      </c>
      <c r="AO33" s="1072" t="s">
        <v>2773</v>
      </c>
      <c r="AP33" s="1082" cm="1" t="str">
        <f t="array" ref="AP33:AP33">AP32</f>
        <v>0</v>
      </c>
      <c r="AQ33" s="709"/>
      <c r="AR33" s="709"/>
    </row>
    <row s="1297" customFormat="1" customHeight="1" ht="14.625" hidden="1">
      <c r="A34" s="1297"/>
      <c r="B34" s="447">
        <f>K34&lt;first_year+PERIOD_LENGTH</f>
        <v>1</v>
      </c>
      <c r="C34" s="1297"/>
      <c r="D34" s="1297"/>
      <c r="E34" s="709">
        <v>15</v>
      </c>
      <c r="F34" s="50" cm="1" t="str">
        <f t="array" ref="F34:F34">OFFSET(E34,-1,1)</f>
        <v>0</v>
      </c>
      <c r="G34" s="94" cm="1" t="str">
        <f t="array" ref="G34:G34">G33</f>
        <v>0</v>
      </c>
      <c r="H34" s="1297"/>
      <c r="I34" s="1297"/>
      <c r="J34" s="1297"/>
      <c r="K34" s="154">
        <f>first_year+4</f>
        <v>2028</v>
      </c>
      <c r="L34" s="1297"/>
      <c r="M34" s="1297"/>
      <c r="N34" s="1297"/>
      <c r="O34" s="1297"/>
      <c r="P34" s="1297"/>
      <c r="Q34" s="1297"/>
      <c r="R34" s="1297"/>
      <c r="S34" s="1297"/>
      <c r="T34" s="468" cm="1" t="str">
        <f t="array" ref="T34:T34">T33</f>
        <v>false</v>
      </c>
      <c r="U34" s="1297"/>
      <c r="V34" s="1297"/>
      <c r="W34" s="1297"/>
      <c r="X34" s="1539"/>
      <c r="Y34" s="1539"/>
      <c r="Z34" s="1529"/>
      <c r="AA34" s="1630"/>
      <c r="AB34" s="251" t="str">
        <f>K34&amp;" год"</f>
        <v>2028 год</v>
      </c>
      <c r="AC34" s="409"/>
      <c r="AD34" s="6972"/>
      <c r="AE34" s="6971"/>
      <c r="AF34" s="6971"/>
      <c r="AG34" s="6972"/>
      <c r="AH34" s="6971"/>
      <c r="AI34" s="6972"/>
      <c r="AJ34" s="6971"/>
      <c r="AK34" s="6973"/>
      <c r="AL34" s="404"/>
      <c r="AM34" s="1297"/>
      <c r="AN34" s="1072" cm="1" t="str">
        <f t="array" ref="AN34:AN34">K34</f>
        <v>2028</v>
      </c>
      <c r="AO34" s="1072" t="s">
        <v>2773</v>
      </c>
      <c r="AP34" s="1082" cm="1" t="str">
        <f t="array" ref="AP34:AP34">AP33</f>
        <v>0</v>
      </c>
      <c r="AQ34" s="709"/>
      <c r="AR34" s="709"/>
    </row>
    <row s="1297" customFormat="1" customHeight="1" ht="14.625" hidden="1">
      <c r="A35" s="1297"/>
      <c r="B35" s="447">
        <f>K35&lt;first_year+PERIOD_LENGTH</f>
        <v>0</v>
      </c>
      <c r="C35" s="1297"/>
      <c r="D35" s="1297"/>
      <c r="E35" s="709">
        <v>15</v>
      </c>
      <c r="F35" s="50" cm="1" t="str">
        <f t="array" ref="F35:F35">OFFSET(E35,-1,1)</f>
        <v>0</v>
      </c>
      <c r="G35" s="94" cm="1" t="str">
        <f t="array" ref="G35:G35">G34</f>
        <v>0</v>
      </c>
      <c r="H35" s="1297"/>
      <c r="I35" s="1297"/>
      <c r="J35" s="1297"/>
      <c r="K35" s="154">
        <f>first_year+5</f>
        <v>2029</v>
      </c>
      <c r="L35" s="1297"/>
      <c r="M35" s="1297"/>
      <c r="N35" s="1297"/>
      <c r="O35" s="1297"/>
      <c r="P35" s="1297"/>
      <c r="Q35" s="1297"/>
      <c r="R35" s="1297"/>
      <c r="S35" s="1297"/>
      <c r="T35" s="468" cm="1" t="str">
        <f t="array" ref="T35:T35">T34</f>
        <v>false</v>
      </c>
      <c r="U35" s="1297"/>
      <c r="V35" s="1297"/>
      <c r="W35" s="1297"/>
      <c r="X35" s="1539"/>
      <c r="Y35" s="1539"/>
      <c r="Z35" s="1529"/>
      <c r="AA35" s="1630"/>
      <c r="AB35" s="251" t="str">
        <f>K35&amp;" год"</f>
        <v>2029 год</v>
      </c>
      <c r="AC35" s="409"/>
      <c r="AD35" s="6972"/>
      <c r="AE35" s="6971"/>
      <c r="AF35" s="6971"/>
      <c r="AG35" s="6972"/>
      <c r="AH35" s="6971"/>
      <c r="AI35" s="6972"/>
      <c r="AJ35" s="6971"/>
      <c r="AK35" s="6973"/>
      <c r="AL35" s="404"/>
      <c r="AM35" s="1297"/>
      <c r="AN35" s="1072" cm="1" t="str">
        <f t="array" ref="AN35:AN35">K35</f>
        <v>2029</v>
      </c>
      <c r="AO35" s="1072" t="s">
        <v>2773</v>
      </c>
      <c r="AP35" s="1082" cm="1" t="str">
        <f t="array" ref="AP35:AP35">AP34</f>
        <v>0</v>
      </c>
      <c r="AQ35" s="709"/>
      <c r="AR35" s="709"/>
    </row>
    <row s="1297" customFormat="1" customHeight="1" ht="14.625" hidden="1">
      <c r="A36" s="1297"/>
      <c r="B36" s="447">
        <f>K36&lt;first_year+PERIOD_LENGTH</f>
        <v>0</v>
      </c>
      <c r="C36" s="1297"/>
      <c r="D36" s="1297"/>
      <c r="E36" s="709">
        <v>15</v>
      </c>
      <c r="F36" s="50" cm="1" t="str">
        <f t="array" ref="F36:F36">OFFSET(E36,-1,1)</f>
        <v>0</v>
      </c>
      <c r="G36" s="94" cm="1" t="str">
        <f t="array" ref="G36:G36">G35</f>
        <v>0</v>
      </c>
      <c r="H36" s="1297"/>
      <c r="I36" s="1297"/>
      <c r="J36" s="1297"/>
      <c r="K36" s="154">
        <f>first_year+6</f>
        <v>2030</v>
      </c>
      <c r="L36" s="1297"/>
      <c r="M36" s="1297"/>
      <c r="N36" s="1297"/>
      <c r="O36" s="1297"/>
      <c r="P36" s="1297"/>
      <c r="Q36" s="1297"/>
      <c r="R36" s="1297"/>
      <c r="S36" s="1297"/>
      <c r="T36" s="468" cm="1" t="str">
        <f t="array" ref="T36:T36">T35</f>
        <v>false</v>
      </c>
      <c r="U36" s="1297"/>
      <c r="V36" s="1297"/>
      <c r="W36" s="1297"/>
      <c r="X36" s="1539"/>
      <c r="Y36" s="1539"/>
      <c r="Z36" s="1529"/>
      <c r="AA36" s="1630"/>
      <c r="AB36" s="251" t="str">
        <f>K36&amp;" год"</f>
        <v>2030 год</v>
      </c>
      <c r="AC36" s="409"/>
      <c r="AD36" s="6972"/>
      <c r="AE36" s="6971"/>
      <c r="AF36" s="6971"/>
      <c r="AG36" s="6972"/>
      <c r="AH36" s="6971"/>
      <c r="AI36" s="6972"/>
      <c r="AJ36" s="6971"/>
      <c r="AK36" s="6973"/>
      <c r="AL36" s="404"/>
      <c r="AM36" s="1297"/>
      <c r="AN36" s="1072" cm="1" t="str">
        <f t="array" ref="AN36:AN36">K36</f>
        <v>2030</v>
      </c>
      <c r="AO36" s="1072" t="s">
        <v>2773</v>
      </c>
      <c r="AP36" s="1082" cm="1" t="str">
        <f t="array" ref="AP36:AP36">AP35</f>
        <v>0</v>
      </c>
      <c r="AQ36" s="709"/>
      <c r="AR36" s="709"/>
    </row>
    <row s="1297" customFormat="1" customHeight="1" ht="14.625" hidden="1">
      <c r="A37" s="1297"/>
      <c r="B37" s="447">
        <f>K37&lt;first_year+PERIOD_LENGTH</f>
        <v>0</v>
      </c>
      <c r="C37" s="1297"/>
      <c r="D37" s="1297"/>
      <c r="E37" s="709">
        <v>15</v>
      </c>
      <c r="F37" s="50" cm="1" t="str">
        <f t="array" ref="F37:F37">OFFSET(E37,-1,1)</f>
        <v>0</v>
      </c>
      <c r="G37" s="94" cm="1" t="str">
        <f t="array" ref="G37:G37">G36</f>
        <v>0</v>
      </c>
      <c r="H37" s="1297"/>
      <c r="I37" s="1297"/>
      <c r="J37" s="1297"/>
      <c r="K37" s="154">
        <f>first_year+7</f>
        <v>2031</v>
      </c>
      <c r="L37" s="1297"/>
      <c r="M37" s="1297"/>
      <c r="N37" s="1297"/>
      <c r="O37" s="1297"/>
      <c r="P37" s="1297"/>
      <c r="Q37" s="1297"/>
      <c r="R37" s="1297"/>
      <c r="S37" s="1297"/>
      <c r="T37" s="468" cm="1" t="str">
        <f t="array" ref="T37:T37">T36</f>
        <v>false</v>
      </c>
      <c r="U37" s="1297"/>
      <c r="V37" s="1297"/>
      <c r="W37" s="1297"/>
      <c r="X37" s="1539"/>
      <c r="Y37" s="1539"/>
      <c r="Z37" s="1529"/>
      <c r="AA37" s="1630"/>
      <c r="AB37" s="251" t="str">
        <f>K37&amp;" год"</f>
        <v>2031 год</v>
      </c>
      <c r="AC37" s="409"/>
      <c r="AD37" s="6972"/>
      <c r="AE37" s="6971"/>
      <c r="AF37" s="6971"/>
      <c r="AG37" s="6972"/>
      <c r="AH37" s="6971"/>
      <c r="AI37" s="6972"/>
      <c r="AJ37" s="6971"/>
      <c r="AK37" s="6973"/>
      <c r="AL37" s="404"/>
      <c r="AM37" s="1297"/>
      <c r="AN37" s="1072" cm="1" t="str">
        <f t="array" ref="AN37:AN37">K37</f>
        <v>2031</v>
      </c>
      <c r="AO37" s="1072" t="s">
        <v>2773</v>
      </c>
      <c r="AP37" s="1082" cm="1" t="str">
        <f t="array" ref="AP37:AP37">AP36</f>
        <v>0</v>
      </c>
      <c r="AQ37" s="709"/>
      <c r="AR37" s="709"/>
    </row>
    <row s="1297" customFormat="1" customHeight="1" ht="14.625" hidden="1">
      <c r="A38" s="1297"/>
      <c r="B38" s="447">
        <f>K38&lt;first_year+PERIOD_LENGTH</f>
        <v>0</v>
      </c>
      <c r="C38" s="1297"/>
      <c r="D38" s="1297"/>
      <c r="E38" s="709">
        <v>15</v>
      </c>
      <c r="F38" s="50" cm="1" t="str">
        <f t="array" ref="F38:F38">OFFSET(E38,-1,1)</f>
        <v>0</v>
      </c>
      <c r="G38" s="94" cm="1" t="str">
        <f t="array" ref="G38:G38">G37</f>
        <v>0</v>
      </c>
      <c r="H38" s="1297"/>
      <c r="I38" s="1297"/>
      <c r="J38" s="1297"/>
      <c r="K38" s="154">
        <f>first_year+8</f>
        <v>2032</v>
      </c>
      <c r="L38" s="1297"/>
      <c r="M38" s="1297"/>
      <c r="N38" s="1297"/>
      <c r="O38" s="1297"/>
      <c r="P38" s="1297"/>
      <c r="Q38" s="1297"/>
      <c r="R38" s="1297"/>
      <c r="S38" s="1297"/>
      <c r="T38" s="468" cm="1" t="str">
        <f t="array" ref="T38:T38">T37</f>
        <v>false</v>
      </c>
      <c r="U38" s="1297"/>
      <c r="V38" s="1297"/>
      <c r="W38" s="1297"/>
      <c r="X38" s="1539"/>
      <c r="Y38" s="1539"/>
      <c r="Z38" s="1529"/>
      <c r="AA38" s="1630"/>
      <c r="AB38" s="251" t="str">
        <f>K38&amp;" год"</f>
        <v>2032 год</v>
      </c>
      <c r="AC38" s="409"/>
      <c r="AD38" s="6972"/>
      <c r="AE38" s="6971"/>
      <c r="AF38" s="6971"/>
      <c r="AG38" s="6972"/>
      <c r="AH38" s="6971"/>
      <c r="AI38" s="6972"/>
      <c r="AJ38" s="6971"/>
      <c r="AK38" s="6973"/>
      <c r="AL38" s="404"/>
      <c r="AM38" s="1297"/>
      <c r="AN38" s="1072" cm="1" t="str">
        <f t="array" ref="AN38:AN38">K38</f>
        <v>2032</v>
      </c>
      <c r="AO38" s="1072" t="s">
        <v>2773</v>
      </c>
      <c r="AP38" s="1082" cm="1" t="str">
        <f t="array" ref="AP38:AP38">AP37</f>
        <v>0</v>
      </c>
      <c r="AQ38" s="709"/>
      <c r="AR38" s="709"/>
    </row>
    <row s="1297" customFormat="1" customHeight="1" ht="14.625" hidden="1">
      <c r="A39" s="1297"/>
      <c r="B39" s="447">
        <f>K39&lt;first_year+PERIOD_LENGTH</f>
        <v>0</v>
      </c>
      <c r="C39" s="1297"/>
      <c r="D39" s="1297"/>
      <c r="E39" s="709">
        <v>15</v>
      </c>
      <c r="F39" s="50" cm="1" t="str">
        <f t="array" ref="F39:F39">OFFSET(E39,-1,1)</f>
        <v>0</v>
      </c>
      <c r="G39" s="94" cm="1" t="str">
        <f t="array" ref="G39:G39">G38</f>
        <v>0</v>
      </c>
      <c r="H39" s="1297"/>
      <c r="I39" s="1297"/>
      <c r="J39" s="1297"/>
      <c r="K39" s="154">
        <f>first_year+9</f>
        <v>2033</v>
      </c>
      <c r="L39" s="1297"/>
      <c r="M39" s="1297"/>
      <c r="N39" s="1297"/>
      <c r="O39" s="1297"/>
      <c r="P39" s="1297"/>
      <c r="Q39" s="1297"/>
      <c r="R39" s="1297"/>
      <c r="S39" s="1297"/>
      <c r="T39" s="468" cm="1" t="str">
        <f t="array" ref="T39:T39">T38</f>
        <v>false</v>
      </c>
      <c r="U39" s="1297"/>
      <c r="V39" s="1297"/>
      <c r="W39" s="1297"/>
      <c r="X39" s="1539"/>
      <c r="Y39" s="1539"/>
      <c r="Z39" s="1529"/>
      <c r="AA39" s="1630"/>
      <c r="AB39" s="251" t="str">
        <f>K39&amp;" год"</f>
        <v>2033 год</v>
      </c>
      <c r="AC39" s="409"/>
      <c r="AD39" s="6972"/>
      <c r="AE39" s="6971"/>
      <c r="AF39" s="6971"/>
      <c r="AG39" s="6972"/>
      <c r="AH39" s="6971"/>
      <c r="AI39" s="6972"/>
      <c r="AJ39" s="6971"/>
      <c r="AK39" s="6973"/>
      <c r="AL39" s="404"/>
      <c r="AM39" s="1297"/>
      <c r="AN39" s="1072" cm="1" t="str">
        <f t="array" ref="AN39:AN39">K39</f>
        <v>2033</v>
      </c>
      <c r="AO39" s="1072" t="s">
        <v>2773</v>
      </c>
      <c r="AP39" s="1082" cm="1" t="str">
        <f t="array" ref="AP39:AP39">AP38</f>
        <v>0</v>
      </c>
      <c r="AQ39" s="709"/>
      <c r="AR39" s="709"/>
    </row>
    <row s="1297" customFormat="1" customHeight="1" ht="14.625" hidden="1">
      <c r="A40" s="1297"/>
      <c r="B40" s="447">
        <f>K40&lt;first_year+PERIOD_LENGTH</f>
        <v>0</v>
      </c>
      <c r="C40" s="1297"/>
      <c r="D40" s="1297"/>
      <c r="E40" s="709">
        <v>15</v>
      </c>
      <c r="F40" s="50" cm="1" t="str">
        <f t="array" ref="F40:F40">OFFSET(E40,-1,1)</f>
        <v>0</v>
      </c>
      <c r="G40" s="94" cm="1" t="str">
        <f t="array" ref="G40:G40">G39</f>
        <v>0</v>
      </c>
      <c r="H40" s="1297"/>
      <c r="I40" s="1297"/>
      <c r="J40" s="1297"/>
      <c r="K40" s="154">
        <f>first_year+10</f>
        <v>2034</v>
      </c>
      <c r="L40" s="1297"/>
      <c r="M40" s="1297"/>
      <c r="N40" s="1297"/>
      <c r="O40" s="1297"/>
      <c r="P40" s="1297"/>
      <c r="Q40" s="1297"/>
      <c r="R40" s="1297"/>
      <c r="S40" s="1297"/>
      <c r="T40" s="468" cm="1" t="str">
        <f t="array" ref="T40:T40">T39</f>
        <v>false</v>
      </c>
      <c r="U40" s="1297"/>
      <c r="V40" s="1297"/>
      <c r="W40" s="1297"/>
      <c r="X40" s="1539"/>
      <c r="Y40" s="1539"/>
      <c r="Z40" s="1529"/>
      <c r="AA40" s="1630"/>
      <c r="AB40" s="251" t="str">
        <f>K40&amp;" год"</f>
        <v>2034 год</v>
      </c>
      <c r="AC40" s="409"/>
      <c r="AD40" s="6972"/>
      <c r="AE40" s="6971"/>
      <c r="AF40" s="6971"/>
      <c r="AG40" s="6972"/>
      <c r="AH40" s="6971"/>
      <c r="AI40" s="6972"/>
      <c r="AJ40" s="6971"/>
      <c r="AK40" s="6973"/>
      <c r="AL40" s="404"/>
      <c r="AM40" s="1297"/>
      <c r="AN40" s="1072" cm="1" t="str">
        <f t="array" ref="AN40:AN40">K40</f>
        <v>2034</v>
      </c>
      <c r="AO40" s="1072" t="s">
        <v>2773</v>
      </c>
      <c r="AP40" s="1082" cm="1" t="str">
        <f t="array" ref="AP40:AP40">AP39</f>
        <v>0</v>
      </c>
      <c r="AQ40" s="709"/>
      <c r="AR40" s="709"/>
    </row>
    <row s="1297" customFormat="1" customHeight="1" ht="14.625" hidden="1">
      <c r="A41" s="1297"/>
      <c r="B41" s="447">
        <f>K41&lt;first_year+PERIOD_LENGTH</f>
        <v>0</v>
      </c>
      <c r="C41" s="1297"/>
      <c r="D41" s="1297"/>
      <c r="E41" s="709">
        <v>15</v>
      </c>
      <c r="F41" s="50" cm="1" t="str">
        <f t="array" ref="F41:F41">OFFSET(E41,-1,1)</f>
        <v>0</v>
      </c>
      <c r="G41" s="94" cm="1" t="str">
        <f t="array" ref="G41:G41">G40</f>
        <v>0</v>
      </c>
      <c r="H41" s="1297"/>
      <c r="I41" s="1297"/>
      <c r="J41" s="1297"/>
      <c r="K41" s="154">
        <f>first_year+11</f>
        <v>2035</v>
      </c>
      <c r="L41" s="1297"/>
      <c r="M41" s="1297"/>
      <c r="N41" s="1297"/>
      <c r="O41" s="1297"/>
      <c r="P41" s="1297"/>
      <c r="Q41" s="1297"/>
      <c r="R41" s="1297"/>
      <c r="S41" s="1297"/>
      <c r="T41" s="468" cm="1" t="str">
        <f t="array" ref="T41:T41">T40</f>
        <v>false</v>
      </c>
      <c r="U41" s="1297"/>
      <c r="V41" s="1297"/>
      <c r="W41" s="1297"/>
      <c r="X41" s="1539"/>
      <c r="Y41" s="1539"/>
      <c r="Z41" s="1529"/>
      <c r="AA41" s="1630"/>
      <c r="AB41" s="251" t="str">
        <f>K41&amp;" год"</f>
        <v>2035 год</v>
      </c>
      <c r="AC41" s="409"/>
      <c r="AD41" s="6972"/>
      <c r="AE41" s="6971"/>
      <c r="AF41" s="6971"/>
      <c r="AG41" s="6972"/>
      <c r="AH41" s="6971"/>
      <c r="AI41" s="6972"/>
      <c r="AJ41" s="6971"/>
      <c r="AK41" s="6973"/>
      <c r="AL41" s="404"/>
      <c r="AM41" s="1297"/>
      <c r="AN41" s="1072" cm="1" t="str">
        <f t="array" ref="AN41:AN41">K41</f>
        <v>2035</v>
      </c>
      <c r="AO41" s="1072" t="s">
        <v>2773</v>
      </c>
      <c r="AP41" s="1082" cm="1" t="str">
        <f t="array" ref="AP41:AP41">AP40</f>
        <v>0</v>
      </c>
      <c r="AQ41" s="709"/>
      <c r="AR41" s="709"/>
    </row>
    <row s="1297" customFormat="1" customHeight="1" ht="14.625" hidden="1">
      <c r="A42" s="1297"/>
      <c r="B42" s="447">
        <f>K42&lt;first_year+PERIOD_LENGTH</f>
        <v>0</v>
      </c>
      <c r="C42" s="1297"/>
      <c r="D42" s="1297"/>
      <c r="E42" s="709">
        <v>15</v>
      </c>
      <c r="F42" s="50" cm="1" t="str">
        <f t="array" ref="F42:F42">OFFSET(E42,-1,1)</f>
        <v>0</v>
      </c>
      <c r="G42" s="94" cm="1" t="str">
        <f t="array" ref="G42:G42">G41</f>
        <v>0</v>
      </c>
      <c r="H42" s="1297"/>
      <c r="I42" s="1297"/>
      <c r="J42" s="1297"/>
      <c r="K42" s="154">
        <f>first_year+12</f>
        <v>2036</v>
      </c>
      <c r="L42" s="1297"/>
      <c r="M42" s="1297"/>
      <c r="N42" s="1297"/>
      <c r="O42" s="1297"/>
      <c r="P42" s="1297"/>
      <c r="Q42" s="1297"/>
      <c r="R42" s="1297"/>
      <c r="S42" s="1297"/>
      <c r="T42" s="468" cm="1" t="str">
        <f t="array" ref="T42:T42">T41</f>
        <v>false</v>
      </c>
      <c r="U42" s="1297"/>
      <c r="V42" s="1297"/>
      <c r="W42" s="1297"/>
      <c r="X42" s="1539"/>
      <c r="Y42" s="1539"/>
      <c r="Z42" s="1529"/>
      <c r="AA42" s="1630"/>
      <c r="AB42" s="251" t="str">
        <f>K42&amp;" год"</f>
        <v>2036 год</v>
      </c>
      <c r="AC42" s="409"/>
      <c r="AD42" s="6972"/>
      <c r="AE42" s="6971"/>
      <c r="AF42" s="6971"/>
      <c r="AG42" s="6972"/>
      <c r="AH42" s="6971"/>
      <c r="AI42" s="6972"/>
      <c r="AJ42" s="6971"/>
      <c r="AK42" s="6973"/>
      <c r="AL42" s="404"/>
      <c r="AM42" s="1297"/>
      <c r="AN42" s="1072" cm="1" t="str">
        <f t="array" ref="AN42:AN42">K42</f>
        <v>2036</v>
      </c>
      <c r="AO42" s="1072" t="s">
        <v>2773</v>
      </c>
      <c r="AP42" s="1082" cm="1" t="str">
        <f t="array" ref="AP42:AP42">AP41</f>
        <v>0</v>
      </c>
      <c r="AQ42" s="709"/>
      <c r="AR42" s="709"/>
    </row>
    <row s="1297" customFormat="1" customHeight="1" ht="14.625" hidden="1">
      <c r="A43" s="1297"/>
      <c r="B43" s="447">
        <f>K43&lt;first_year+PERIOD_LENGTH</f>
        <v>0</v>
      </c>
      <c r="C43" s="1297"/>
      <c r="D43" s="1297"/>
      <c r="E43" s="709">
        <v>15</v>
      </c>
      <c r="F43" s="50" cm="1" t="str">
        <f t="array" ref="F43:F43">OFFSET(E43,-1,1)</f>
        <v>0</v>
      </c>
      <c r="G43" s="94" cm="1" t="str">
        <f t="array" ref="G43:G43">G42</f>
        <v>0</v>
      </c>
      <c r="H43" s="1297"/>
      <c r="I43" s="1297"/>
      <c r="J43" s="1297"/>
      <c r="K43" s="154">
        <f>first_year+13</f>
        <v>2037</v>
      </c>
      <c r="L43" s="1297"/>
      <c r="M43" s="1297"/>
      <c r="N43" s="1297"/>
      <c r="O43" s="1297"/>
      <c r="P43" s="1297"/>
      <c r="Q43" s="1297"/>
      <c r="R43" s="1297"/>
      <c r="S43" s="1297"/>
      <c r="T43" s="468" cm="1" t="str">
        <f t="array" ref="T43:T43">T42</f>
        <v>false</v>
      </c>
      <c r="U43" s="1297"/>
      <c r="V43" s="1297"/>
      <c r="W43" s="1297"/>
      <c r="X43" s="1539"/>
      <c r="Y43" s="1539"/>
      <c r="Z43" s="1529"/>
      <c r="AA43" s="1630"/>
      <c r="AB43" s="251" t="str">
        <f>K43&amp;" год"</f>
        <v>2037 год</v>
      </c>
      <c r="AC43" s="409"/>
      <c r="AD43" s="6972"/>
      <c r="AE43" s="6971"/>
      <c r="AF43" s="6971"/>
      <c r="AG43" s="6972"/>
      <c r="AH43" s="6971"/>
      <c r="AI43" s="6972"/>
      <c r="AJ43" s="6971"/>
      <c r="AK43" s="6973"/>
      <c r="AL43" s="404"/>
      <c r="AM43" s="1297"/>
      <c r="AN43" s="1072" cm="1" t="str">
        <f t="array" ref="AN43:AN43">K43</f>
        <v>2037</v>
      </c>
      <c r="AO43" s="1072" t="s">
        <v>2773</v>
      </c>
      <c r="AP43" s="1082" cm="1" t="str">
        <f t="array" ref="AP43:AP43">AP42</f>
        <v>0</v>
      </c>
      <c r="AQ43" s="709"/>
      <c r="AR43" s="709"/>
    </row>
    <row s="1297" customFormat="1" customHeight="1" ht="14.625" hidden="1">
      <c r="A44" s="1297"/>
      <c r="B44" s="447">
        <f>K44&lt;first_year+PERIOD_LENGTH</f>
        <v>0</v>
      </c>
      <c r="C44" s="1297"/>
      <c r="D44" s="1297"/>
      <c r="E44" s="709">
        <v>15</v>
      </c>
      <c r="F44" s="50" cm="1" t="str">
        <f t="array" ref="F44:F44">OFFSET(E44,-1,1)</f>
        <v>0</v>
      </c>
      <c r="G44" s="94" cm="1" t="str">
        <f t="array" ref="G44:G44">G43</f>
        <v>0</v>
      </c>
      <c r="H44" s="1297"/>
      <c r="I44" s="1297"/>
      <c r="J44" s="1297"/>
      <c r="K44" s="154">
        <f>first_year+14</f>
        <v>2038</v>
      </c>
      <c r="L44" s="1297"/>
      <c r="M44" s="1297"/>
      <c r="N44" s="1297"/>
      <c r="O44" s="1297"/>
      <c r="P44" s="1297"/>
      <c r="Q44" s="1297"/>
      <c r="R44" s="1297"/>
      <c r="S44" s="1297"/>
      <c r="T44" s="468" cm="1" t="str">
        <f t="array" ref="T44:T44">T43</f>
        <v>false</v>
      </c>
      <c r="U44" s="1297"/>
      <c r="V44" s="1297"/>
      <c r="W44" s="1297"/>
      <c r="X44" s="1539"/>
      <c r="Y44" s="1539"/>
      <c r="Z44" s="1529"/>
      <c r="AA44" s="1630"/>
      <c r="AB44" s="251" t="str">
        <f>K44&amp;" год"</f>
        <v>2038 год</v>
      </c>
      <c r="AC44" s="409"/>
      <c r="AD44" s="6972"/>
      <c r="AE44" s="6971"/>
      <c r="AF44" s="6971"/>
      <c r="AG44" s="6972"/>
      <c r="AH44" s="6971"/>
      <c r="AI44" s="6972"/>
      <c r="AJ44" s="6971"/>
      <c r="AK44" s="6973"/>
      <c r="AL44" s="404"/>
      <c r="AM44" s="1297"/>
      <c r="AN44" s="1072" cm="1" t="str">
        <f t="array" ref="AN44:AN44">K44</f>
        <v>2038</v>
      </c>
      <c r="AO44" s="1072" t="s">
        <v>2773</v>
      </c>
      <c r="AP44" s="1082" cm="1" t="str">
        <f t="array" ref="AP44:AP44">AP43</f>
        <v>0</v>
      </c>
      <c r="AQ44" s="709"/>
      <c r="AR44" s="709"/>
    </row>
    <row s="1297" customFormat="1" customHeight="1" ht="14.625" hidden="1">
      <c r="A45" s="1297"/>
      <c r="B45" s="447">
        <f>K45&lt;first_year+PERIOD_LENGTH</f>
        <v>0</v>
      </c>
      <c r="C45" s="1297"/>
      <c r="D45" s="1297"/>
      <c r="E45" s="709">
        <v>15</v>
      </c>
      <c r="F45" s="50" cm="1" t="str">
        <f t="array" ref="F45:F45">OFFSET(E45,-1,1)</f>
        <v>0</v>
      </c>
      <c r="G45" s="94" cm="1" t="str">
        <f t="array" ref="G45:G45">G44</f>
        <v>0</v>
      </c>
      <c r="H45" s="1297"/>
      <c r="I45" s="1297"/>
      <c r="J45" s="1297"/>
      <c r="K45" s="154">
        <f>first_year+15</f>
        <v>2039</v>
      </c>
      <c r="L45" s="1297"/>
      <c r="M45" s="1297"/>
      <c r="N45" s="1297"/>
      <c r="O45" s="1297"/>
      <c r="P45" s="1297"/>
      <c r="Q45" s="1297"/>
      <c r="R45" s="1297"/>
      <c r="S45" s="1297"/>
      <c r="T45" s="468" cm="1" t="str">
        <f t="array" ref="T45:T45">T44</f>
        <v>false</v>
      </c>
      <c r="U45" s="1297"/>
      <c r="V45" s="1297"/>
      <c r="W45" s="1297"/>
      <c r="X45" s="1539"/>
      <c r="Y45" s="1539"/>
      <c r="Z45" s="1529"/>
      <c r="AA45" s="1630"/>
      <c r="AB45" s="251" t="str">
        <f>K45&amp;" год"</f>
        <v>2039 год</v>
      </c>
      <c r="AC45" s="409"/>
      <c r="AD45" s="6972"/>
      <c r="AE45" s="6971"/>
      <c r="AF45" s="6971"/>
      <c r="AG45" s="6972"/>
      <c r="AH45" s="6971"/>
      <c r="AI45" s="6972"/>
      <c r="AJ45" s="6971"/>
      <c r="AK45" s="6973"/>
      <c r="AL45" s="404"/>
      <c r="AM45" s="1297"/>
      <c r="AN45" s="1072" cm="1" t="str">
        <f t="array" ref="AN45:AN45">K45</f>
        <v>2039</v>
      </c>
      <c r="AO45" s="1072" t="s">
        <v>2773</v>
      </c>
      <c r="AP45" s="1082" cm="1" t="str">
        <f t="array" ref="AP45:AP45">AP44</f>
        <v>0</v>
      </c>
      <c r="AQ45" s="709"/>
      <c r="AR45" s="709"/>
    </row>
    <row s="1297" customFormat="1" customHeight="1" ht="14.625" hidden="1">
      <c r="A46" s="1297"/>
      <c r="B46" s="447">
        <f>K46&lt;first_year+PERIOD_LENGTH</f>
        <v>0</v>
      </c>
      <c r="C46" s="1297"/>
      <c r="D46" s="1297"/>
      <c r="E46" s="709">
        <v>15</v>
      </c>
      <c r="F46" s="50" cm="1" t="str">
        <f t="array" ref="F46:F46">OFFSET(E46,-1,1)</f>
        <v>0</v>
      </c>
      <c r="G46" s="94" cm="1" t="str">
        <f t="array" ref="G46:G46">G45</f>
        <v>0</v>
      </c>
      <c r="H46" s="1297"/>
      <c r="I46" s="1297"/>
      <c r="J46" s="1297"/>
      <c r="K46" s="154">
        <f>first_year+16</f>
        <v>2040</v>
      </c>
      <c r="L46" s="1297"/>
      <c r="M46" s="1297"/>
      <c r="N46" s="1297"/>
      <c r="O46" s="1297"/>
      <c r="P46" s="1297"/>
      <c r="Q46" s="1297"/>
      <c r="R46" s="1297"/>
      <c r="S46" s="1297"/>
      <c r="T46" s="468" cm="1" t="str">
        <f t="array" ref="T46:T46">T45</f>
        <v>false</v>
      </c>
      <c r="U46" s="1297"/>
      <c r="V46" s="1297"/>
      <c r="W46" s="1297"/>
      <c r="X46" s="1539"/>
      <c r="Y46" s="1539"/>
      <c r="Z46" s="1529"/>
      <c r="AA46" s="1630"/>
      <c r="AB46" s="251" t="str">
        <f>K46&amp;" год"</f>
        <v>2040 год</v>
      </c>
      <c r="AC46" s="409"/>
      <c r="AD46" s="6972"/>
      <c r="AE46" s="6971"/>
      <c r="AF46" s="6971"/>
      <c r="AG46" s="6972"/>
      <c r="AH46" s="6971"/>
      <c r="AI46" s="6972"/>
      <c r="AJ46" s="6971"/>
      <c r="AK46" s="6973"/>
      <c r="AL46" s="404"/>
      <c r="AM46" s="1297"/>
      <c r="AN46" s="1072" cm="1" t="str">
        <f t="array" ref="AN46:AN46">K46</f>
        <v>2040</v>
      </c>
      <c r="AO46" s="1072" t="s">
        <v>2773</v>
      </c>
      <c r="AP46" s="1082" cm="1" t="str">
        <f t="array" ref="AP46:AP46">AP45</f>
        <v>0</v>
      </c>
      <c r="AQ46" s="709"/>
      <c r="AR46" s="709"/>
    </row>
    <row s="1297" customFormat="1" customHeight="1" ht="14.625" hidden="1">
      <c r="A47" s="1297"/>
      <c r="B47" s="447">
        <f>K47&lt;first_year+PERIOD_LENGTH</f>
        <v>0</v>
      </c>
      <c r="C47" s="1297"/>
      <c r="D47" s="1297"/>
      <c r="E47" s="709">
        <v>15</v>
      </c>
      <c r="F47" s="50" cm="1" t="str">
        <f t="array" ref="F47:F47">OFFSET(E47,-1,1)</f>
        <v>0</v>
      </c>
      <c r="G47" s="94" cm="1" t="str">
        <f t="array" ref="G47:G47">G46</f>
        <v>0</v>
      </c>
      <c r="H47" s="1297"/>
      <c r="I47" s="1297"/>
      <c r="J47" s="1297"/>
      <c r="K47" s="154">
        <f>first_year+17</f>
        <v>2041</v>
      </c>
      <c r="L47" s="1297"/>
      <c r="M47" s="1297"/>
      <c r="N47" s="1297"/>
      <c r="O47" s="1297"/>
      <c r="P47" s="1297"/>
      <c r="Q47" s="1297"/>
      <c r="R47" s="1297"/>
      <c r="S47" s="1297"/>
      <c r="T47" s="468" cm="1" t="str">
        <f t="array" ref="T47:T47">T46</f>
        <v>false</v>
      </c>
      <c r="U47" s="1297"/>
      <c r="V47" s="1297"/>
      <c r="W47" s="1297"/>
      <c r="X47" s="1539"/>
      <c r="Y47" s="1539"/>
      <c r="Z47" s="1529"/>
      <c r="AA47" s="1630"/>
      <c r="AB47" s="251" t="str">
        <f>K47&amp;" год"</f>
        <v>2041 год</v>
      </c>
      <c r="AC47" s="409"/>
      <c r="AD47" s="6972"/>
      <c r="AE47" s="6971"/>
      <c r="AF47" s="6971"/>
      <c r="AG47" s="6972"/>
      <c r="AH47" s="6971"/>
      <c r="AI47" s="6972"/>
      <c r="AJ47" s="6971"/>
      <c r="AK47" s="6973"/>
      <c r="AL47" s="404"/>
      <c r="AM47" s="1297"/>
      <c r="AN47" s="1072" cm="1" t="str">
        <f t="array" ref="AN47:AN47">K47</f>
        <v>2041</v>
      </c>
      <c r="AO47" s="1072" t="s">
        <v>2773</v>
      </c>
      <c r="AP47" s="1082" cm="1" t="str">
        <f t="array" ref="AP47:AP47">AP46</f>
        <v>0</v>
      </c>
      <c r="AQ47" s="709"/>
      <c r="AR47" s="709"/>
    </row>
    <row s="1297" customFormat="1" customHeight="1" ht="14.625" hidden="1">
      <c r="A48" s="1297"/>
      <c r="B48" s="447">
        <f>K48&lt;first_year+PERIOD_LENGTH</f>
        <v>0</v>
      </c>
      <c r="C48" s="1297"/>
      <c r="D48" s="1297"/>
      <c r="E48" s="709">
        <v>15</v>
      </c>
      <c r="F48" s="50" cm="1" t="str">
        <f t="array" ref="F48:F48">OFFSET(E48,-1,1)</f>
        <v>0</v>
      </c>
      <c r="G48" s="94" cm="1" t="str">
        <f t="array" ref="G48:G48">G47</f>
        <v>0</v>
      </c>
      <c r="H48" s="1297"/>
      <c r="I48" s="1297"/>
      <c r="J48" s="1297"/>
      <c r="K48" s="154">
        <f>first_year+18</f>
        <v>2042</v>
      </c>
      <c r="L48" s="1297"/>
      <c r="M48" s="1297"/>
      <c r="N48" s="1297"/>
      <c r="O48" s="1297"/>
      <c r="P48" s="1297"/>
      <c r="Q48" s="1297"/>
      <c r="R48" s="1297"/>
      <c r="S48" s="1297"/>
      <c r="T48" s="468" cm="1" t="str">
        <f t="array" ref="T48:T48">T47</f>
        <v>false</v>
      </c>
      <c r="U48" s="1297"/>
      <c r="V48" s="1297"/>
      <c r="W48" s="1297"/>
      <c r="X48" s="1539"/>
      <c r="Y48" s="1539"/>
      <c r="Z48" s="1529"/>
      <c r="AA48" s="1630"/>
      <c r="AB48" s="251" t="str">
        <f>K48&amp;" год"</f>
        <v>2042 год</v>
      </c>
      <c r="AC48" s="409"/>
      <c r="AD48" s="6972"/>
      <c r="AE48" s="6971"/>
      <c r="AF48" s="6971"/>
      <c r="AG48" s="6972"/>
      <c r="AH48" s="6971"/>
      <c r="AI48" s="6972"/>
      <c r="AJ48" s="6971"/>
      <c r="AK48" s="6973"/>
      <c r="AL48" s="404"/>
      <c r="AM48" s="1297"/>
      <c r="AN48" s="1072" cm="1" t="str">
        <f t="array" ref="AN48:AN48">K48</f>
        <v>2042</v>
      </c>
      <c r="AO48" s="1072" t="s">
        <v>2773</v>
      </c>
      <c r="AP48" s="1082" cm="1" t="str">
        <f t="array" ref="AP48:AP48">AP47</f>
        <v>0</v>
      </c>
      <c r="AQ48" s="709"/>
      <c r="AR48" s="709"/>
    </row>
    <row s="1297" customFormat="1" customHeight="1" ht="14.625" hidden="1">
      <c r="A49" s="1297"/>
      <c r="B49" s="447">
        <f>K49&lt;first_year+PERIOD_LENGTH</f>
        <v>0</v>
      </c>
      <c r="C49" s="1297"/>
      <c r="D49" s="1297"/>
      <c r="E49" s="709">
        <v>15</v>
      </c>
      <c r="F49" s="50" cm="1" t="str">
        <f t="array" ref="F49:F49">OFFSET(E49,-1,1)</f>
        <v>0</v>
      </c>
      <c r="G49" s="94" cm="1" t="str">
        <f t="array" ref="G49:G49">G48</f>
        <v>0</v>
      </c>
      <c r="H49" s="1297"/>
      <c r="I49" s="1297"/>
      <c r="J49" s="1297"/>
      <c r="K49" s="154">
        <f>first_year+19</f>
        <v>2043</v>
      </c>
      <c r="L49" s="1297"/>
      <c r="M49" s="1297"/>
      <c r="N49" s="1297"/>
      <c r="O49" s="1297"/>
      <c r="P49" s="1297"/>
      <c r="Q49" s="1297"/>
      <c r="R49" s="1297"/>
      <c r="S49" s="1297"/>
      <c r="T49" s="468" cm="1" t="str">
        <f t="array" ref="T49:T49">T48</f>
        <v>false</v>
      </c>
      <c r="U49" s="1297"/>
      <c r="V49" s="1297"/>
      <c r="W49" s="1297"/>
      <c r="X49" s="1539"/>
      <c r="Y49" s="1539"/>
      <c r="Z49" s="1529"/>
      <c r="AA49" s="1630"/>
      <c r="AB49" s="251" t="str">
        <f>K49&amp;" год"</f>
        <v>2043 год</v>
      </c>
      <c r="AC49" s="409"/>
      <c r="AD49" s="6972"/>
      <c r="AE49" s="6971"/>
      <c r="AF49" s="6971"/>
      <c r="AG49" s="6972"/>
      <c r="AH49" s="6971"/>
      <c r="AI49" s="6972"/>
      <c r="AJ49" s="6971"/>
      <c r="AK49" s="6973"/>
      <c r="AL49" s="404"/>
      <c r="AM49" s="1297"/>
      <c r="AN49" s="1072" cm="1" t="str">
        <f t="array" ref="AN49:AN49">K49</f>
        <v>2043</v>
      </c>
      <c r="AO49" s="1072" t="s">
        <v>2773</v>
      </c>
      <c r="AP49" s="1082" cm="1" t="str">
        <f t="array" ref="AP49:AP49">AP48</f>
        <v>0</v>
      </c>
      <c r="AQ49" s="709"/>
      <c r="AR49" s="709"/>
    </row>
    <row s="1297" customFormat="1" customHeight="1" ht="14.625" hidden="1">
      <c r="A50" s="1297"/>
      <c r="B50" s="447">
        <f>K50&lt;first_year+PERIOD_LENGTH</f>
        <v>0</v>
      </c>
      <c r="C50" s="1297"/>
      <c r="D50" s="1297"/>
      <c r="E50" s="709">
        <v>15</v>
      </c>
      <c r="F50" s="50" cm="1" t="str">
        <f t="array" ref="F50:F50">OFFSET(E50,-1,1)</f>
        <v>0</v>
      </c>
      <c r="G50" s="94" cm="1" t="str">
        <f t="array" ref="G50:G50">G49</f>
        <v>0</v>
      </c>
      <c r="H50" s="1297"/>
      <c r="I50" s="1297"/>
      <c r="J50" s="1297"/>
      <c r="K50" s="154">
        <f>first_year+20</f>
        <v>2044</v>
      </c>
      <c r="L50" s="1297"/>
      <c r="M50" s="1297"/>
      <c r="N50" s="1297"/>
      <c r="O50" s="1297"/>
      <c r="P50" s="1297"/>
      <c r="Q50" s="1297"/>
      <c r="R50" s="1297"/>
      <c r="S50" s="1297"/>
      <c r="T50" s="468" cm="1" t="str">
        <f t="array" ref="T50:T50">T49</f>
        <v>false</v>
      </c>
      <c r="U50" s="1297"/>
      <c r="V50" s="1297"/>
      <c r="W50" s="1297"/>
      <c r="X50" s="1539"/>
      <c r="Y50" s="1539"/>
      <c r="Z50" s="1529"/>
      <c r="AA50" s="1630"/>
      <c r="AB50" s="251" t="str">
        <f>K50&amp;" год"</f>
        <v>2044 год</v>
      </c>
      <c r="AC50" s="409"/>
      <c r="AD50" s="6972"/>
      <c r="AE50" s="6971"/>
      <c r="AF50" s="6971"/>
      <c r="AG50" s="6972"/>
      <c r="AH50" s="6971"/>
      <c r="AI50" s="6972"/>
      <c r="AJ50" s="6971"/>
      <c r="AK50" s="6973"/>
      <c r="AL50" s="404"/>
      <c r="AM50" s="1297"/>
      <c r="AN50" s="1072" cm="1" t="str">
        <f t="array" ref="AN50:AN50">K50</f>
        <v>2044</v>
      </c>
      <c r="AO50" s="1072" t="s">
        <v>2773</v>
      </c>
      <c r="AP50" s="1082" cm="1" t="str">
        <f t="array" ref="AP50:AP50">AP49</f>
        <v>0</v>
      </c>
      <c r="AQ50" s="709"/>
      <c r="AR50" s="709"/>
    </row>
    <row s="1297" customFormat="1" customHeight="1" ht="14.625" hidden="1">
      <c r="A51" s="1297"/>
      <c r="B51" s="447">
        <f>K51&lt;first_year+PERIOD_LENGTH</f>
        <v>0</v>
      </c>
      <c r="C51" s="1297"/>
      <c r="D51" s="1297"/>
      <c r="E51" s="709">
        <v>15</v>
      </c>
      <c r="F51" s="50" cm="1" t="str">
        <f t="array" ref="F51:F51">OFFSET(E51,-1,1)</f>
        <v>0</v>
      </c>
      <c r="G51" s="94" cm="1" t="str">
        <f t="array" ref="G51:G51">G50</f>
        <v>0</v>
      </c>
      <c r="H51" s="1297"/>
      <c r="I51" s="1297"/>
      <c r="J51" s="1297"/>
      <c r="K51" s="154">
        <f>first_year+21</f>
        <v>2045</v>
      </c>
      <c r="L51" s="1297"/>
      <c r="M51" s="1297"/>
      <c r="N51" s="1297"/>
      <c r="O51" s="1297"/>
      <c r="P51" s="1297"/>
      <c r="Q51" s="1297"/>
      <c r="R51" s="1297"/>
      <c r="S51" s="1297"/>
      <c r="T51" s="468" cm="1" t="str">
        <f t="array" ref="T51:T51">T50</f>
        <v>false</v>
      </c>
      <c r="U51" s="1297"/>
      <c r="V51" s="1297"/>
      <c r="W51" s="1297"/>
      <c r="X51" s="1539"/>
      <c r="Y51" s="1539"/>
      <c r="Z51" s="1529"/>
      <c r="AA51" s="1630"/>
      <c r="AB51" s="251" t="str">
        <f>K51&amp;" год"</f>
        <v>2045 год</v>
      </c>
      <c r="AC51" s="409"/>
      <c r="AD51" s="6972"/>
      <c r="AE51" s="6971"/>
      <c r="AF51" s="6971"/>
      <c r="AG51" s="6972"/>
      <c r="AH51" s="6971"/>
      <c r="AI51" s="6972"/>
      <c r="AJ51" s="6971"/>
      <c r="AK51" s="6973"/>
      <c r="AL51" s="404"/>
      <c r="AM51" s="1297"/>
      <c r="AN51" s="1072" cm="1" t="str">
        <f t="array" ref="AN51:AN51">K51</f>
        <v>2045</v>
      </c>
      <c r="AO51" s="1072" t="s">
        <v>2773</v>
      </c>
      <c r="AP51" s="1082" cm="1" t="str">
        <f t="array" ref="AP51:AP51">AP50</f>
        <v>0</v>
      </c>
      <c r="AQ51" s="709"/>
      <c r="AR51" s="709"/>
    </row>
    <row s="1297" customFormat="1" customHeight="1" ht="14.625" hidden="1">
      <c r="A52" s="1297"/>
      <c r="B52" s="447">
        <f>K52&lt;first_year+PERIOD_LENGTH</f>
        <v>0</v>
      </c>
      <c r="C52" s="1297"/>
      <c r="D52" s="1297"/>
      <c r="E52" s="709">
        <v>15</v>
      </c>
      <c r="F52" s="50" cm="1" t="str">
        <f t="array" ref="F52:F52">OFFSET(E52,-1,1)</f>
        <v>0</v>
      </c>
      <c r="G52" s="94" cm="1" t="str">
        <f t="array" ref="G52:G52">G51</f>
        <v>0</v>
      </c>
      <c r="H52" s="1297"/>
      <c r="I52" s="1297"/>
      <c r="J52" s="1297"/>
      <c r="K52" s="154">
        <f>first_year+22</f>
        <v>2046</v>
      </c>
      <c r="L52" s="1297"/>
      <c r="M52" s="1297"/>
      <c r="N52" s="1297"/>
      <c r="O52" s="1297"/>
      <c r="P52" s="1297"/>
      <c r="Q52" s="1297"/>
      <c r="R52" s="1297"/>
      <c r="S52" s="1297"/>
      <c r="T52" s="468" cm="1" t="str">
        <f t="array" ref="T52:T52">T51</f>
        <v>false</v>
      </c>
      <c r="U52" s="1297"/>
      <c r="V52" s="1297"/>
      <c r="W52" s="1297"/>
      <c r="X52" s="1539"/>
      <c r="Y52" s="1539"/>
      <c r="Z52" s="1529"/>
      <c r="AA52" s="1630"/>
      <c r="AB52" s="251" t="str">
        <f>K52&amp;" год"</f>
        <v>2046 год</v>
      </c>
      <c r="AC52" s="409"/>
      <c r="AD52" s="6972"/>
      <c r="AE52" s="6971"/>
      <c r="AF52" s="6971"/>
      <c r="AG52" s="6972"/>
      <c r="AH52" s="6971"/>
      <c r="AI52" s="6972"/>
      <c r="AJ52" s="6971"/>
      <c r="AK52" s="6973"/>
      <c r="AL52" s="404"/>
      <c r="AM52" s="1297"/>
      <c r="AN52" s="1072" cm="1" t="str">
        <f t="array" ref="AN52:AN52">K52</f>
        <v>2046</v>
      </c>
      <c r="AO52" s="1072" t="s">
        <v>2773</v>
      </c>
      <c r="AP52" s="1082" cm="1" t="str">
        <f t="array" ref="AP52:AP52">AP51</f>
        <v>0</v>
      </c>
      <c r="AQ52" s="709"/>
      <c r="AR52" s="709"/>
    </row>
    <row s="1297" customFormat="1" customHeight="1" ht="14.625" hidden="1">
      <c r="A53" s="1297"/>
      <c r="B53" s="447">
        <f>K53&lt;first_year+PERIOD_LENGTH</f>
        <v>0</v>
      </c>
      <c r="C53" s="1297"/>
      <c r="D53" s="1297"/>
      <c r="E53" s="709">
        <v>15</v>
      </c>
      <c r="F53" s="50" cm="1" t="str">
        <f t="array" ref="F53:F53">OFFSET(E53,-1,1)</f>
        <v>0</v>
      </c>
      <c r="G53" s="94" cm="1" t="str">
        <f t="array" ref="G53:G53">G52</f>
        <v>0</v>
      </c>
      <c r="H53" s="1297"/>
      <c r="I53" s="1297"/>
      <c r="J53" s="1297"/>
      <c r="K53" s="154">
        <f>first_year+23</f>
        <v>2047</v>
      </c>
      <c r="L53" s="1297"/>
      <c r="M53" s="1297"/>
      <c r="N53" s="1297"/>
      <c r="O53" s="1297"/>
      <c r="P53" s="1297"/>
      <c r="Q53" s="1297"/>
      <c r="R53" s="1297"/>
      <c r="S53" s="1297"/>
      <c r="T53" s="468" cm="1" t="str">
        <f t="array" ref="T53:T53">T52</f>
        <v>false</v>
      </c>
      <c r="U53" s="1297"/>
      <c r="V53" s="1297"/>
      <c r="W53" s="1297"/>
      <c r="X53" s="1539"/>
      <c r="Y53" s="1539"/>
      <c r="Z53" s="1529"/>
      <c r="AA53" s="1630"/>
      <c r="AB53" s="251" t="str">
        <f>K53&amp;" год"</f>
        <v>2047 год</v>
      </c>
      <c r="AC53" s="409"/>
      <c r="AD53" s="6972"/>
      <c r="AE53" s="6971"/>
      <c r="AF53" s="6971"/>
      <c r="AG53" s="6972"/>
      <c r="AH53" s="6971"/>
      <c r="AI53" s="6972"/>
      <c r="AJ53" s="6971"/>
      <c r="AK53" s="6973"/>
      <c r="AL53" s="404"/>
      <c r="AM53" s="1297"/>
      <c r="AN53" s="1072" cm="1" t="str">
        <f t="array" ref="AN53:AN53">K53</f>
        <v>2047</v>
      </c>
      <c r="AO53" s="1072" t="s">
        <v>2773</v>
      </c>
      <c r="AP53" s="1082" cm="1" t="str">
        <f t="array" ref="AP53:AP53">AP52</f>
        <v>0</v>
      </c>
      <c r="AQ53" s="709"/>
      <c r="AR53" s="709"/>
    </row>
    <row s="1297" customFormat="1" customHeight="1" ht="14.625" hidden="1">
      <c r="A54" s="1297"/>
      <c r="B54" s="447">
        <f>K54&lt;first_year+PERIOD_LENGTH</f>
        <v>0</v>
      </c>
      <c r="C54" s="1297"/>
      <c r="D54" s="1297"/>
      <c r="E54" s="709">
        <v>15</v>
      </c>
      <c r="F54" s="50" cm="1" t="str">
        <f t="array" ref="F54:F54">OFFSET(E54,-1,1)</f>
        <v>0</v>
      </c>
      <c r="G54" s="94" cm="1" t="str">
        <f t="array" ref="G54:G54">G53</f>
        <v>0</v>
      </c>
      <c r="H54" s="1297"/>
      <c r="I54" s="1297"/>
      <c r="J54" s="1297"/>
      <c r="K54" s="154">
        <f>first_year+24</f>
        <v>2048</v>
      </c>
      <c r="L54" s="1297"/>
      <c r="M54" s="1297"/>
      <c r="N54" s="1297"/>
      <c r="O54" s="1297"/>
      <c r="P54" s="1297"/>
      <c r="Q54" s="1297"/>
      <c r="R54" s="1297"/>
      <c r="S54" s="1297"/>
      <c r="T54" s="468" cm="1" t="str">
        <f t="array" ref="T54:T54">T53</f>
        <v>false</v>
      </c>
      <c r="U54" s="1297"/>
      <c r="V54" s="1297"/>
      <c r="W54" s="1297"/>
      <c r="X54" s="1539"/>
      <c r="Y54" s="1539"/>
      <c r="Z54" s="1529"/>
      <c r="AA54" s="1630"/>
      <c r="AB54" s="251" t="str">
        <f>K54&amp;" год"</f>
        <v>2048 год</v>
      </c>
      <c r="AC54" s="409"/>
      <c r="AD54" s="6972"/>
      <c r="AE54" s="6971"/>
      <c r="AF54" s="6971"/>
      <c r="AG54" s="6972"/>
      <c r="AH54" s="6971"/>
      <c r="AI54" s="6972"/>
      <c r="AJ54" s="6971"/>
      <c r="AK54" s="6973"/>
      <c r="AL54" s="404"/>
      <c r="AM54" s="1297"/>
      <c r="AN54" s="1072" cm="1" t="str">
        <f t="array" ref="AN54:AN54">K54</f>
        <v>2048</v>
      </c>
      <c r="AO54" s="1072" t="s">
        <v>2773</v>
      </c>
      <c r="AP54" s="1082" cm="1" t="str">
        <f t="array" ref="AP54:AP54">AP53</f>
        <v>0</v>
      </c>
      <c r="AQ54" s="709"/>
      <c r="AR54" s="709"/>
    </row>
    <row s="1297" customFormat="1" customHeight="1" ht="14.625" hidden="1">
      <c r="A55" s="1297"/>
      <c r="B55" s="447">
        <f>K55&lt;first_year+PERIOD_LENGTH</f>
        <v>0</v>
      </c>
      <c r="C55" s="1297"/>
      <c r="D55" s="1297"/>
      <c r="E55" s="709">
        <v>15</v>
      </c>
      <c r="F55" s="50" cm="1" t="str">
        <f t="array" ref="F55:F55">OFFSET(E55,-1,1)</f>
        <v>0</v>
      </c>
      <c r="G55" s="94" cm="1" t="str">
        <f t="array" ref="G55:G55">G54</f>
        <v>0</v>
      </c>
      <c r="H55" s="1297"/>
      <c r="I55" s="1297"/>
      <c r="J55" s="1297"/>
      <c r="K55" s="154">
        <f>first_year+25</f>
        <v>2049</v>
      </c>
      <c r="L55" s="1297"/>
      <c r="M55" s="1297"/>
      <c r="N55" s="1297"/>
      <c r="O55" s="1297"/>
      <c r="P55" s="1297"/>
      <c r="Q55" s="1297"/>
      <c r="R55" s="1297"/>
      <c r="S55" s="1297"/>
      <c r="T55" s="468" cm="1" t="str">
        <f t="array" ref="T55:T55">T54</f>
        <v>false</v>
      </c>
      <c r="U55" s="1297"/>
      <c r="V55" s="1297"/>
      <c r="W55" s="1297"/>
      <c r="X55" s="1539"/>
      <c r="Y55" s="1539"/>
      <c r="Z55" s="1529"/>
      <c r="AA55" s="1630"/>
      <c r="AB55" s="251" t="str">
        <f>K55&amp;" год"</f>
        <v>2049 год</v>
      </c>
      <c r="AC55" s="409"/>
      <c r="AD55" s="6972"/>
      <c r="AE55" s="6971"/>
      <c r="AF55" s="6971"/>
      <c r="AG55" s="6972"/>
      <c r="AH55" s="6971"/>
      <c r="AI55" s="6972"/>
      <c r="AJ55" s="6971"/>
      <c r="AK55" s="6973"/>
      <c r="AL55" s="404"/>
      <c r="AM55" s="1297"/>
      <c r="AN55" s="1072" cm="1" t="str">
        <f t="array" ref="AN55:AN55">K55</f>
        <v>2049</v>
      </c>
      <c r="AO55" s="1072" t="s">
        <v>2773</v>
      </c>
      <c r="AP55" s="1082" cm="1" t="str">
        <f t="array" ref="AP55:AP55">AP54</f>
        <v>0</v>
      </c>
      <c r="AQ55" s="709"/>
      <c r="AR55" s="709"/>
    </row>
    <row s="1297" customFormat="1" customHeight="1" ht="14.625" hidden="1">
      <c r="A56" s="1297"/>
      <c r="B56" s="447">
        <f>K56&lt;first_year+PERIOD_LENGTH</f>
        <v>0</v>
      </c>
      <c r="C56" s="1297"/>
      <c r="D56" s="1297"/>
      <c r="E56" s="709">
        <v>15</v>
      </c>
      <c r="F56" s="50" cm="1" t="str">
        <f t="array" ref="F56:F56">OFFSET(E56,-1,1)</f>
        <v>0</v>
      </c>
      <c r="G56" s="94" cm="1" t="str">
        <f t="array" ref="G56:G56">G55</f>
        <v>0</v>
      </c>
      <c r="H56" s="1297"/>
      <c r="I56" s="1297"/>
      <c r="J56" s="1297"/>
      <c r="K56" s="154">
        <f>first_year+26</f>
        <v>2050</v>
      </c>
      <c r="L56" s="1297"/>
      <c r="M56" s="1297"/>
      <c r="N56" s="1297"/>
      <c r="O56" s="1297"/>
      <c r="P56" s="1297"/>
      <c r="Q56" s="1297"/>
      <c r="R56" s="1297"/>
      <c r="S56" s="1297"/>
      <c r="T56" s="468" cm="1" t="str">
        <f t="array" ref="T56:T56">T55</f>
        <v>false</v>
      </c>
      <c r="U56" s="1297"/>
      <c r="V56" s="1297"/>
      <c r="W56" s="1297"/>
      <c r="X56" s="1539"/>
      <c r="Y56" s="1539"/>
      <c r="Z56" s="1529"/>
      <c r="AA56" s="1630"/>
      <c r="AB56" s="251" t="str">
        <f>K56&amp;" год"</f>
        <v>2050 год</v>
      </c>
      <c r="AC56" s="409"/>
      <c r="AD56" s="6972"/>
      <c r="AE56" s="6971"/>
      <c r="AF56" s="6971"/>
      <c r="AG56" s="6972"/>
      <c r="AH56" s="6971"/>
      <c r="AI56" s="6972"/>
      <c r="AJ56" s="6971"/>
      <c r="AK56" s="6973"/>
      <c r="AL56" s="404"/>
      <c r="AM56" s="1297"/>
      <c r="AN56" s="1072" cm="1" t="str">
        <f t="array" ref="AN56:AN56">K56</f>
        <v>2050</v>
      </c>
      <c r="AO56" s="1072" t="s">
        <v>2773</v>
      </c>
      <c r="AP56" s="1082" cm="1" t="str">
        <f t="array" ref="AP56:AP56">AP55</f>
        <v>0</v>
      </c>
      <c r="AQ56" s="709"/>
      <c r="AR56" s="709"/>
    </row>
    <row s="1297" customFormat="1" customHeight="1" ht="14.625" hidden="1">
      <c r="A57" s="1297"/>
      <c r="B57" s="447">
        <f>K57&lt;first_year+PERIOD_LENGTH</f>
        <v>0</v>
      </c>
      <c r="C57" s="1297"/>
      <c r="D57" s="1297"/>
      <c r="E57" s="709">
        <v>15</v>
      </c>
      <c r="F57" s="50" cm="1" t="str">
        <f t="array" ref="F57:F57">OFFSET(E57,-1,1)</f>
        <v>0</v>
      </c>
      <c r="G57" s="94" cm="1" t="str">
        <f t="array" ref="G57:G57">G56</f>
        <v>0</v>
      </c>
      <c r="H57" s="1297"/>
      <c r="I57" s="1297"/>
      <c r="J57" s="1297"/>
      <c r="K57" s="154">
        <f>first_year+27</f>
        <v>2051</v>
      </c>
      <c r="L57" s="1297"/>
      <c r="M57" s="1297"/>
      <c r="N57" s="1297"/>
      <c r="O57" s="1297"/>
      <c r="P57" s="1297"/>
      <c r="Q57" s="1297"/>
      <c r="R57" s="1297"/>
      <c r="S57" s="1297"/>
      <c r="T57" s="468" cm="1" t="str">
        <f t="array" ref="T57:T57">T56</f>
        <v>false</v>
      </c>
      <c r="U57" s="1297"/>
      <c r="V57" s="1297"/>
      <c r="W57" s="1297"/>
      <c r="X57" s="1539"/>
      <c r="Y57" s="1539"/>
      <c r="Z57" s="1529"/>
      <c r="AA57" s="1630"/>
      <c r="AB57" s="251" t="str">
        <f>K57&amp;" год"</f>
        <v>2051 год</v>
      </c>
      <c r="AC57" s="409"/>
      <c r="AD57" s="6972"/>
      <c r="AE57" s="6971"/>
      <c r="AF57" s="6971"/>
      <c r="AG57" s="6972"/>
      <c r="AH57" s="6971"/>
      <c r="AI57" s="6972"/>
      <c r="AJ57" s="6971"/>
      <c r="AK57" s="6973"/>
      <c r="AL57" s="404"/>
      <c r="AM57" s="1297"/>
      <c r="AN57" s="1072" cm="1" t="str">
        <f t="array" ref="AN57:AN57">K57</f>
        <v>2051</v>
      </c>
      <c r="AO57" s="1072" t="s">
        <v>2773</v>
      </c>
      <c r="AP57" s="1082" cm="1" t="str">
        <f t="array" ref="AP57:AP57">AP56</f>
        <v>0</v>
      </c>
      <c r="AQ57" s="709"/>
      <c r="AR57" s="709"/>
    </row>
    <row s="1297" customFormat="1" customHeight="1" ht="14.625" hidden="1">
      <c r="A58" s="1297"/>
      <c r="B58" s="447">
        <f>K58&lt;first_year+PERIOD_LENGTH</f>
        <v>0</v>
      </c>
      <c r="C58" s="1297"/>
      <c r="D58" s="1297"/>
      <c r="E58" s="709">
        <v>15</v>
      </c>
      <c r="F58" s="50" cm="1" t="str">
        <f t="array" ref="F58:F58">OFFSET(E58,-1,1)</f>
        <v>0</v>
      </c>
      <c r="G58" s="94" cm="1" t="str">
        <f t="array" ref="G58:G58">G57</f>
        <v>0</v>
      </c>
      <c r="H58" s="1297"/>
      <c r="I58" s="1297"/>
      <c r="J58" s="1297"/>
      <c r="K58" s="154">
        <f>first_year+28</f>
        <v>2052</v>
      </c>
      <c r="L58" s="1297"/>
      <c r="M58" s="1297"/>
      <c r="N58" s="1297"/>
      <c r="O58" s="1297"/>
      <c r="P58" s="1297"/>
      <c r="Q58" s="1297"/>
      <c r="R58" s="1297"/>
      <c r="S58" s="1297"/>
      <c r="T58" s="468" cm="1" t="str">
        <f t="array" ref="T58:T58">T57</f>
        <v>false</v>
      </c>
      <c r="U58" s="1297"/>
      <c r="V58" s="1297"/>
      <c r="W58" s="1297"/>
      <c r="X58" s="1539"/>
      <c r="Y58" s="1539"/>
      <c r="Z58" s="1529"/>
      <c r="AA58" s="1630"/>
      <c r="AB58" s="251" t="str">
        <f>K58&amp;" год"</f>
        <v>2052 год</v>
      </c>
      <c r="AC58" s="409"/>
      <c r="AD58" s="6972"/>
      <c r="AE58" s="6971"/>
      <c r="AF58" s="6971"/>
      <c r="AG58" s="6972"/>
      <c r="AH58" s="6971"/>
      <c r="AI58" s="6972"/>
      <c r="AJ58" s="6971"/>
      <c r="AK58" s="6973"/>
      <c r="AL58" s="404"/>
      <c r="AM58" s="1297"/>
      <c r="AN58" s="1072" cm="1" t="str">
        <f t="array" ref="AN58:AN58">K58</f>
        <v>2052</v>
      </c>
      <c r="AO58" s="1072" t="s">
        <v>2773</v>
      </c>
      <c r="AP58" s="1082" cm="1" t="str">
        <f t="array" ref="AP58:AP58">AP57</f>
        <v>0</v>
      </c>
      <c r="AQ58" s="709"/>
      <c r="AR58" s="709"/>
    </row>
    <row s="1297" customFormat="1" customHeight="1" ht="14.625" hidden="1">
      <c r="A59" s="1297"/>
      <c r="B59" s="447">
        <f>K59&lt;first_year+PERIOD_LENGTH</f>
        <v>0</v>
      </c>
      <c r="C59" s="1297"/>
      <c r="D59" s="1297"/>
      <c r="E59" s="709">
        <v>15</v>
      </c>
      <c r="F59" s="50" cm="1" t="str">
        <f t="array" ref="F59:F59">OFFSET(E59,-1,1)</f>
        <v>0</v>
      </c>
      <c r="G59" s="94" cm="1" t="str">
        <f t="array" ref="G59:G59">G58</f>
        <v>0</v>
      </c>
      <c r="H59" s="1297"/>
      <c r="I59" s="1297"/>
      <c r="J59" s="1297"/>
      <c r="K59" s="154">
        <f>first_year+29</f>
        <v>2053</v>
      </c>
      <c r="L59" s="1297"/>
      <c r="M59" s="1297"/>
      <c r="N59" s="1297"/>
      <c r="O59" s="1297"/>
      <c r="P59" s="1297"/>
      <c r="Q59" s="1297"/>
      <c r="R59" s="1297"/>
      <c r="S59" s="1297"/>
      <c r="T59" s="468" cm="1" t="str">
        <f t="array" ref="T59:T59">T58</f>
        <v>false</v>
      </c>
      <c r="U59" s="1297"/>
      <c r="V59" s="1297"/>
      <c r="W59" s="1297"/>
      <c r="X59" s="1539"/>
      <c r="Y59" s="1539"/>
      <c r="Z59" s="1529"/>
      <c r="AA59" s="1630"/>
      <c r="AB59" s="251" t="str">
        <f>K59&amp;" год"</f>
        <v>2053 год</v>
      </c>
      <c r="AC59" s="409"/>
      <c r="AD59" s="6972"/>
      <c r="AE59" s="6971"/>
      <c r="AF59" s="6971"/>
      <c r="AG59" s="6972"/>
      <c r="AH59" s="6971"/>
      <c r="AI59" s="6972"/>
      <c r="AJ59" s="6971"/>
      <c r="AK59" s="6973"/>
      <c r="AL59" s="404"/>
      <c r="AM59" s="1297"/>
      <c r="AN59" s="1072" cm="1" t="str">
        <f t="array" ref="AN59:AN59">K59</f>
        <v>2053</v>
      </c>
      <c r="AO59" s="1072" t="s">
        <v>2773</v>
      </c>
      <c r="AP59" s="1082" cm="1" t="str">
        <f t="array" ref="AP59:AP59">AP58</f>
        <v>0</v>
      </c>
      <c r="AQ59" s="709"/>
      <c r="AR59" s="709"/>
    </row>
    <row s="1297" customFormat="1" customHeight="1" ht="14.625" hidden="1">
      <c r="A60" s="1297"/>
      <c r="B60" s="447">
        <f>K60&lt;first_year+PERIOD_LENGTH</f>
        <v>0</v>
      </c>
      <c r="C60" s="1297"/>
      <c r="D60" s="1297"/>
      <c r="E60" s="709">
        <v>15</v>
      </c>
      <c r="F60" s="50" cm="1" t="str">
        <f t="array" ref="F60:F60">OFFSET(E60,-1,1)</f>
        <v>0</v>
      </c>
      <c r="G60" s="94" cm="1" t="str">
        <f t="array" ref="G60:G60">G59</f>
        <v>0</v>
      </c>
      <c r="H60" s="1297"/>
      <c r="I60" s="1297"/>
      <c r="J60" s="1297"/>
      <c r="K60" s="154">
        <f>first_year+30</f>
        <v>2054</v>
      </c>
      <c r="L60" s="1297"/>
      <c r="M60" s="1297"/>
      <c r="N60" s="1297"/>
      <c r="O60" s="1297"/>
      <c r="P60" s="1297"/>
      <c r="Q60" s="1297"/>
      <c r="R60" s="1297"/>
      <c r="S60" s="1297"/>
      <c r="T60" s="468" cm="1" t="str">
        <f t="array" ref="T60:T60">T59</f>
        <v>false</v>
      </c>
      <c r="U60" s="1297"/>
      <c r="V60" s="1297"/>
      <c r="W60" s="1297"/>
      <c r="X60" s="1539"/>
      <c r="Y60" s="1539"/>
      <c r="Z60" s="1529"/>
      <c r="AA60" s="1630"/>
      <c r="AB60" s="251" t="str">
        <f>K60&amp;" год"</f>
        <v>2054 год</v>
      </c>
      <c r="AC60" s="409"/>
      <c r="AD60" s="6972"/>
      <c r="AE60" s="6971"/>
      <c r="AF60" s="6971"/>
      <c r="AG60" s="6972"/>
      <c r="AH60" s="6971"/>
      <c r="AI60" s="6972"/>
      <c r="AJ60" s="6971"/>
      <c r="AK60" s="6973"/>
      <c r="AL60" s="404"/>
      <c r="AM60" s="1297"/>
      <c r="AN60" s="1072" cm="1" t="str">
        <f t="array" ref="AN60:AN60">K60</f>
        <v>2054</v>
      </c>
      <c r="AO60" s="1072" t="s">
        <v>2773</v>
      </c>
      <c r="AP60" s="1082" cm="1" t="str">
        <f t="array" ref="AP60:AP60">AP59</f>
        <v>0</v>
      </c>
      <c r="AQ60" s="709"/>
      <c r="AR60" s="709"/>
    </row>
    <row s="1297" customFormat="1" customHeight="1" ht="14.625" hidden="1">
      <c r="A61" s="1297"/>
      <c r="B61" s="447">
        <f>K61&lt;first_year+PERIOD_LENGTH</f>
        <v>0</v>
      </c>
      <c r="C61" s="1297"/>
      <c r="D61" s="1297"/>
      <c r="E61" s="709">
        <v>15</v>
      </c>
      <c r="F61" s="50" cm="1" t="str">
        <f t="array" ref="F61:F61">OFFSET(E61,-1,1)</f>
        <v>0</v>
      </c>
      <c r="G61" s="94" cm="1" t="str">
        <f t="array" ref="G61:G61">G60</f>
        <v>0</v>
      </c>
      <c r="H61" s="1297"/>
      <c r="I61" s="1297"/>
      <c r="J61" s="1297"/>
      <c r="K61" s="154">
        <f>first_year+31</f>
        <v>2055</v>
      </c>
      <c r="L61" s="1297"/>
      <c r="M61" s="1297"/>
      <c r="N61" s="1297"/>
      <c r="O61" s="1297"/>
      <c r="P61" s="1297"/>
      <c r="Q61" s="1297"/>
      <c r="R61" s="1297"/>
      <c r="S61" s="1297"/>
      <c r="T61" s="468" cm="1" t="str">
        <f t="array" ref="T61:T61">T60</f>
        <v>false</v>
      </c>
      <c r="U61" s="1297"/>
      <c r="V61" s="1297"/>
      <c r="W61" s="1297"/>
      <c r="X61" s="1539"/>
      <c r="Y61" s="1539"/>
      <c r="Z61" s="1529"/>
      <c r="AA61" s="1630"/>
      <c r="AB61" s="251" t="str">
        <f>K61&amp;" год"</f>
        <v>2055 год</v>
      </c>
      <c r="AC61" s="409"/>
      <c r="AD61" s="6972"/>
      <c r="AE61" s="6971"/>
      <c r="AF61" s="6971"/>
      <c r="AG61" s="6972"/>
      <c r="AH61" s="6971"/>
      <c r="AI61" s="6972"/>
      <c r="AJ61" s="6971"/>
      <c r="AK61" s="6973"/>
      <c r="AL61" s="404"/>
      <c r="AM61" s="1297"/>
      <c r="AN61" s="1072" cm="1" t="str">
        <f t="array" ref="AN61:AN61">K61</f>
        <v>2055</v>
      </c>
      <c r="AO61" s="1072" t="s">
        <v>2773</v>
      </c>
      <c r="AP61" s="1082" cm="1" t="str">
        <f t="array" ref="AP61:AP61">AP60</f>
        <v>0</v>
      </c>
      <c r="AQ61" s="709"/>
      <c r="AR61" s="709"/>
    </row>
    <row s="1297" customFormat="1" customHeight="1" ht="14.625" hidden="1">
      <c r="A62" s="1297"/>
      <c r="B62" s="447">
        <f>K62&lt;first_year+PERIOD_LENGTH</f>
        <v>0</v>
      </c>
      <c r="C62" s="1297"/>
      <c r="D62" s="1297"/>
      <c r="E62" s="709">
        <v>15</v>
      </c>
      <c r="F62" s="50" cm="1" t="str">
        <f t="array" ref="F62:F62">OFFSET(E62,-1,1)</f>
        <v>0</v>
      </c>
      <c r="G62" s="94" cm="1" t="str">
        <f t="array" ref="G62:G62">G61</f>
        <v>0</v>
      </c>
      <c r="H62" s="1297"/>
      <c r="I62" s="1297"/>
      <c r="J62" s="1297"/>
      <c r="K62" s="154">
        <f>first_year+32</f>
        <v>2056</v>
      </c>
      <c r="L62" s="1297"/>
      <c r="M62" s="1297"/>
      <c r="N62" s="1297"/>
      <c r="O62" s="1297"/>
      <c r="P62" s="1297"/>
      <c r="Q62" s="1297"/>
      <c r="R62" s="1297"/>
      <c r="S62" s="1297"/>
      <c r="T62" s="468" cm="1" t="str">
        <f t="array" ref="T62:T62">T61</f>
        <v>false</v>
      </c>
      <c r="U62" s="1297"/>
      <c r="V62" s="1297"/>
      <c r="W62" s="1297"/>
      <c r="X62" s="1539"/>
      <c r="Y62" s="1539"/>
      <c r="Z62" s="1529"/>
      <c r="AA62" s="1630"/>
      <c r="AB62" s="251" t="str">
        <f>K62&amp;" год"</f>
        <v>2056 год</v>
      </c>
      <c r="AC62" s="409"/>
      <c r="AD62" s="6972"/>
      <c r="AE62" s="6971"/>
      <c r="AF62" s="6971"/>
      <c r="AG62" s="6972"/>
      <c r="AH62" s="6971"/>
      <c r="AI62" s="6972"/>
      <c r="AJ62" s="6971"/>
      <c r="AK62" s="6973"/>
      <c r="AL62" s="404"/>
      <c r="AM62" s="1297"/>
      <c r="AN62" s="1072" cm="1" t="str">
        <f t="array" ref="AN62:AN62">K62</f>
        <v>2056</v>
      </c>
      <c r="AO62" s="1072" t="s">
        <v>2773</v>
      </c>
      <c r="AP62" s="1082" cm="1" t="str">
        <f t="array" ref="AP62:AP62">AP61</f>
        <v>0</v>
      </c>
      <c r="AQ62" s="709"/>
      <c r="AR62" s="709"/>
    </row>
    <row s="1297" customFormat="1" customHeight="1" ht="14.625" hidden="1">
      <c r="A63" s="1297"/>
      <c r="B63" s="447">
        <f>K63&lt;first_year+PERIOD_LENGTH</f>
        <v>0</v>
      </c>
      <c r="C63" s="1297"/>
      <c r="D63" s="1297"/>
      <c r="E63" s="709">
        <v>15</v>
      </c>
      <c r="F63" s="50" cm="1" t="str">
        <f t="array" ref="F63:F63">OFFSET(E63,-1,1)</f>
        <v>0</v>
      </c>
      <c r="G63" s="94" cm="1" t="str">
        <f t="array" ref="G63:G63">G62</f>
        <v>0</v>
      </c>
      <c r="H63" s="1297"/>
      <c r="I63" s="1297"/>
      <c r="J63" s="1297"/>
      <c r="K63" s="154">
        <f>first_year+33</f>
        <v>2057</v>
      </c>
      <c r="L63" s="1297"/>
      <c r="M63" s="1297"/>
      <c r="N63" s="1297"/>
      <c r="O63" s="1297"/>
      <c r="P63" s="1297"/>
      <c r="Q63" s="1297"/>
      <c r="R63" s="1297"/>
      <c r="S63" s="1297"/>
      <c r="T63" s="468" cm="1" t="str">
        <f t="array" ref="T63:T63">T62</f>
        <v>false</v>
      </c>
      <c r="U63" s="1297"/>
      <c r="V63" s="1297"/>
      <c r="W63" s="1297"/>
      <c r="X63" s="1539"/>
      <c r="Y63" s="1539"/>
      <c r="Z63" s="1529"/>
      <c r="AA63" s="1630"/>
      <c r="AB63" s="251" t="str">
        <f>K63&amp;" год"</f>
        <v>2057 год</v>
      </c>
      <c r="AC63" s="409"/>
      <c r="AD63" s="6972"/>
      <c r="AE63" s="6971"/>
      <c r="AF63" s="6971"/>
      <c r="AG63" s="6972"/>
      <c r="AH63" s="6971"/>
      <c r="AI63" s="6972"/>
      <c r="AJ63" s="6971"/>
      <c r="AK63" s="6973"/>
      <c r="AL63" s="404"/>
      <c r="AM63" s="1297"/>
      <c r="AN63" s="1072" cm="1" t="str">
        <f t="array" ref="AN63:AN63">K63</f>
        <v>2057</v>
      </c>
      <c r="AO63" s="1072" t="s">
        <v>2773</v>
      </c>
      <c r="AP63" s="1082" cm="1" t="str">
        <f t="array" ref="AP63:AP63">AP62</f>
        <v>0</v>
      </c>
      <c r="AQ63" s="709"/>
      <c r="AR63" s="709"/>
    </row>
    <row s="1297" customFormat="1" customHeight="1" ht="14.625" hidden="1">
      <c r="A64" s="1297"/>
      <c r="B64" s="447">
        <f>K64&lt;first_year+PERIOD_LENGTH</f>
        <v>0</v>
      </c>
      <c r="C64" s="1297"/>
      <c r="D64" s="1297"/>
      <c r="E64" s="709">
        <v>15</v>
      </c>
      <c r="F64" s="50" cm="1" t="str">
        <f t="array" ref="F64:F64">OFFSET(E64,-1,1)</f>
        <v>0</v>
      </c>
      <c r="G64" s="94" cm="1" t="str">
        <f t="array" ref="G64:G64">G63</f>
        <v>0</v>
      </c>
      <c r="H64" s="1297"/>
      <c r="I64" s="1297"/>
      <c r="J64" s="1297"/>
      <c r="K64" s="154">
        <f>first_year+34</f>
        <v>2058</v>
      </c>
      <c r="L64" s="1297"/>
      <c r="M64" s="1297"/>
      <c r="N64" s="1297"/>
      <c r="O64" s="1297"/>
      <c r="P64" s="1297"/>
      <c r="Q64" s="1297"/>
      <c r="R64" s="1297"/>
      <c r="S64" s="1297"/>
      <c r="T64" s="468" cm="1" t="str">
        <f t="array" ref="T64:T64">T63</f>
        <v>false</v>
      </c>
      <c r="U64" s="1297"/>
      <c r="V64" s="1297"/>
      <c r="W64" s="1297"/>
      <c r="X64" s="1539"/>
      <c r="Y64" s="1539"/>
      <c r="Z64" s="1529"/>
      <c r="AA64" s="1630"/>
      <c r="AB64" s="251" t="str">
        <f>K64&amp;" год"</f>
        <v>2058 год</v>
      </c>
      <c r="AC64" s="409"/>
      <c r="AD64" s="6972"/>
      <c r="AE64" s="6971"/>
      <c r="AF64" s="6971"/>
      <c r="AG64" s="6972"/>
      <c r="AH64" s="6971"/>
      <c r="AI64" s="6972"/>
      <c r="AJ64" s="6971"/>
      <c r="AK64" s="6973"/>
      <c r="AL64" s="404"/>
      <c r="AM64" s="1297"/>
      <c r="AN64" s="1072" cm="1" t="str">
        <f t="array" ref="AN64:AN64">K64</f>
        <v>2058</v>
      </c>
      <c r="AO64" s="1072" t="s">
        <v>2773</v>
      </c>
      <c r="AP64" s="1082" cm="1" t="str">
        <f t="array" ref="AP64:AP64">AP63</f>
        <v>0</v>
      </c>
      <c r="AQ64" s="709"/>
      <c r="AR64" s="709"/>
    </row>
    <row s="1297" customFormat="1" customHeight="1" ht="14.625" hidden="1">
      <c r="A65" s="1297"/>
      <c r="B65" s="447">
        <f>K65&lt;first_year+PERIOD_LENGTH</f>
        <v>0</v>
      </c>
      <c r="C65" s="1297"/>
      <c r="D65" s="1297"/>
      <c r="E65" s="709">
        <v>15</v>
      </c>
      <c r="F65" s="50" cm="1" t="str">
        <f t="array" ref="F65:F65">OFFSET(E65,-1,1)</f>
        <v>0</v>
      </c>
      <c r="G65" s="94" cm="1" t="str">
        <f t="array" ref="G65:G65">G64</f>
        <v>0</v>
      </c>
      <c r="H65" s="1297"/>
      <c r="I65" s="1297"/>
      <c r="J65" s="1297"/>
      <c r="K65" s="154">
        <f>first_year+35</f>
        <v>2059</v>
      </c>
      <c r="L65" s="1297"/>
      <c r="M65" s="1297"/>
      <c r="N65" s="1297"/>
      <c r="O65" s="1297"/>
      <c r="P65" s="1297"/>
      <c r="Q65" s="1297"/>
      <c r="R65" s="1297"/>
      <c r="S65" s="1297"/>
      <c r="T65" s="468" cm="1" t="str">
        <f t="array" ref="T65:T65">T64</f>
        <v>false</v>
      </c>
      <c r="U65" s="1297"/>
      <c r="V65" s="1297"/>
      <c r="W65" s="1297"/>
      <c r="X65" s="1539"/>
      <c r="Y65" s="1539"/>
      <c r="Z65" s="1529"/>
      <c r="AA65" s="1630"/>
      <c r="AB65" s="251" t="str">
        <f>K65&amp;" год"</f>
        <v>2059 год</v>
      </c>
      <c r="AC65" s="409"/>
      <c r="AD65" s="6972"/>
      <c r="AE65" s="6971"/>
      <c r="AF65" s="6971"/>
      <c r="AG65" s="6972"/>
      <c r="AH65" s="6971"/>
      <c r="AI65" s="6972"/>
      <c r="AJ65" s="6971"/>
      <c r="AK65" s="6973"/>
      <c r="AL65" s="404"/>
      <c r="AM65" s="1297"/>
      <c r="AN65" s="1072" cm="1" t="str">
        <f t="array" ref="AN65:AN65">K65</f>
        <v>2059</v>
      </c>
      <c r="AO65" s="1072" t="s">
        <v>2773</v>
      </c>
      <c r="AP65" s="1082" cm="1" t="str">
        <f t="array" ref="AP65:AP65">AP64</f>
        <v>0</v>
      </c>
      <c r="AQ65" s="709"/>
      <c r="AR65" s="709"/>
    </row>
    <row s="1297" customFormat="1" customHeight="1" ht="14.625" hidden="1">
      <c r="A66" s="1297"/>
      <c r="B66" s="447">
        <f>K66&lt;first_year+PERIOD_LENGTH</f>
        <v>0</v>
      </c>
      <c r="C66" s="1297"/>
      <c r="D66" s="1297"/>
      <c r="E66" s="709">
        <v>15</v>
      </c>
      <c r="F66" s="50" cm="1" t="str">
        <f t="array" ref="F66:F66">OFFSET(E66,-1,1)</f>
        <v>0</v>
      </c>
      <c r="G66" s="94" cm="1" t="str">
        <f t="array" ref="G66:G66">G65</f>
        <v>0</v>
      </c>
      <c r="H66" s="1297"/>
      <c r="I66" s="1297"/>
      <c r="J66" s="1297"/>
      <c r="K66" s="154">
        <f>first_year+36</f>
        <v>2060</v>
      </c>
      <c r="L66" s="1297"/>
      <c r="M66" s="1297"/>
      <c r="N66" s="1297"/>
      <c r="O66" s="1297"/>
      <c r="P66" s="1297"/>
      <c r="Q66" s="1297"/>
      <c r="R66" s="1297"/>
      <c r="S66" s="1297"/>
      <c r="T66" s="468" cm="1" t="str">
        <f t="array" ref="T66:T66">T65</f>
        <v>false</v>
      </c>
      <c r="U66" s="1297"/>
      <c r="V66" s="1297"/>
      <c r="W66" s="1297"/>
      <c r="X66" s="1539"/>
      <c r="Y66" s="1539"/>
      <c r="Z66" s="1529"/>
      <c r="AA66" s="1630"/>
      <c r="AB66" s="251" t="str">
        <f>K66&amp;" год"</f>
        <v>2060 год</v>
      </c>
      <c r="AC66" s="409"/>
      <c r="AD66" s="6972"/>
      <c r="AE66" s="6971"/>
      <c r="AF66" s="6971"/>
      <c r="AG66" s="6972"/>
      <c r="AH66" s="6971"/>
      <c r="AI66" s="6972"/>
      <c r="AJ66" s="6971"/>
      <c r="AK66" s="6973"/>
      <c r="AL66" s="404"/>
      <c r="AM66" s="1297"/>
      <c r="AN66" s="1072" cm="1" t="str">
        <f t="array" ref="AN66:AN66">K66</f>
        <v>2060</v>
      </c>
      <c r="AO66" s="1072" t="s">
        <v>2773</v>
      </c>
      <c r="AP66" s="1082" cm="1" t="str">
        <f t="array" ref="AP66:AP66">AP65</f>
        <v>0</v>
      </c>
      <c r="AQ66" s="709"/>
      <c r="AR66" s="709"/>
    </row>
    <row s="1297" customFormat="1" customHeight="1" ht="14.625" hidden="1">
      <c r="A67" s="1297"/>
      <c r="B67" s="447">
        <f>K67&lt;first_year+PERIOD_LENGTH</f>
        <v>0</v>
      </c>
      <c r="C67" s="1297"/>
      <c r="D67" s="1297"/>
      <c r="E67" s="709">
        <v>15</v>
      </c>
      <c r="F67" s="50" cm="1" t="str">
        <f t="array" ref="F67:F67">OFFSET(E67,-1,1)</f>
        <v>0</v>
      </c>
      <c r="G67" s="94" cm="1" t="str">
        <f t="array" ref="G67:G67">G66</f>
        <v>0</v>
      </c>
      <c r="H67" s="1297"/>
      <c r="I67" s="1297"/>
      <c r="J67" s="1297"/>
      <c r="K67" s="154">
        <f>first_year+37</f>
        <v>2061</v>
      </c>
      <c r="L67" s="1297"/>
      <c r="M67" s="1297"/>
      <c r="N67" s="1297"/>
      <c r="O67" s="1297"/>
      <c r="P67" s="1297"/>
      <c r="Q67" s="1297"/>
      <c r="R67" s="1297"/>
      <c r="S67" s="1297"/>
      <c r="T67" s="468" cm="1" t="str">
        <f t="array" ref="T67:T67">T66</f>
        <v>false</v>
      </c>
      <c r="U67" s="1297"/>
      <c r="V67" s="1297"/>
      <c r="W67" s="1297"/>
      <c r="X67" s="1539"/>
      <c r="Y67" s="1539"/>
      <c r="Z67" s="1529"/>
      <c r="AA67" s="1630"/>
      <c r="AB67" s="251" t="str">
        <f>K67&amp;" год"</f>
        <v>2061 год</v>
      </c>
      <c r="AC67" s="409"/>
      <c r="AD67" s="6972"/>
      <c r="AE67" s="6971"/>
      <c r="AF67" s="6971"/>
      <c r="AG67" s="6972"/>
      <c r="AH67" s="6971"/>
      <c r="AI67" s="6972"/>
      <c r="AJ67" s="6971"/>
      <c r="AK67" s="6973"/>
      <c r="AL67" s="404"/>
      <c r="AM67" s="1297"/>
      <c r="AN67" s="1072" cm="1" t="str">
        <f t="array" ref="AN67:AN67">K67</f>
        <v>2061</v>
      </c>
      <c r="AO67" s="1072" t="s">
        <v>2773</v>
      </c>
      <c r="AP67" s="1082" cm="1" t="str">
        <f t="array" ref="AP67:AP67">AP66</f>
        <v>0</v>
      </c>
      <c r="AQ67" s="709"/>
      <c r="AR67" s="709"/>
    </row>
    <row s="1297" customFormat="1" customHeight="1" ht="14.625" hidden="1">
      <c r="A68" s="1297"/>
      <c r="B68" s="447">
        <f>K68&lt;first_year+PERIOD_LENGTH</f>
        <v>0</v>
      </c>
      <c r="C68" s="1297"/>
      <c r="D68" s="1297"/>
      <c r="E68" s="709">
        <v>15</v>
      </c>
      <c r="F68" s="50" cm="1" t="str">
        <f t="array" ref="F68:F68">OFFSET(E68,-1,1)</f>
        <v>0</v>
      </c>
      <c r="G68" s="94" cm="1" t="str">
        <f t="array" ref="G68:G68">G67</f>
        <v>0</v>
      </c>
      <c r="H68" s="1297"/>
      <c r="I68" s="1297"/>
      <c r="J68" s="1297"/>
      <c r="K68" s="154">
        <f>first_year+38</f>
        <v>2062</v>
      </c>
      <c r="L68" s="1297"/>
      <c r="M68" s="1297"/>
      <c r="N68" s="1297"/>
      <c r="O68" s="1297"/>
      <c r="P68" s="1297"/>
      <c r="Q68" s="1297"/>
      <c r="R68" s="1297"/>
      <c r="S68" s="1297"/>
      <c r="T68" s="468" cm="1" t="str">
        <f t="array" ref="T68:T68">T67</f>
        <v>false</v>
      </c>
      <c r="U68" s="1297"/>
      <c r="V68" s="1297"/>
      <c r="W68" s="1297"/>
      <c r="X68" s="1539"/>
      <c r="Y68" s="1539"/>
      <c r="Z68" s="1529"/>
      <c r="AA68" s="1630"/>
      <c r="AB68" s="251" t="str">
        <f>K68&amp;" год"</f>
        <v>2062 год</v>
      </c>
      <c r="AC68" s="409"/>
      <c r="AD68" s="6972"/>
      <c r="AE68" s="6971"/>
      <c r="AF68" s="6971"/>
      <c r="AG68" s="6972"/>
      <c r="AH68" s="6971"/>
      <c r="AI68" s="6972"/>
      <c r="AJ68" s="6971"/>
      <c r="AK68" s="6973"/>
      <c r="AL68" s="404"/>
      <c r="AM68" s="1297"/>
      <c r="AN68" s="1072" cm="1" t="str">
        <f t="array" ref="AN68:AN68">K68</f>
        <v>2062</v>
      </c>
      <c r="AO68" s="1072" t="s">
        <v>2773</v>
      </c>
      <c r="AP68" s="1082" cm="1" t="str">
        <f t="array" ref="AP68:AP68">AP67</f>
        <v>0</v>
      </c>
      <c r="AQ68" s="709"/>
      <c r="AR68" s="709"/>
    </row>
    <row s="1297" customFormat="1" customHeight="1" ht="14.625" hidden="1">
      <c r="A69" s="1297"/>
      <c r="B69" s="447">
        <f>K69&lt;first_year+PERIOD_LENGTH</f>
        <v>0</v>
      </c>
      <c r="C69" s="1297"/>
      <c r="D69" s="1297"/>
      <c r="E69" s="709">
        <v>15</v>
      </c>
      <c r="F69" s="50" cm="1" t="str">
        <f t="array" ref="F69:F69">OFFSET(E69,-1,1)</f>
        <v>0</v>
      </c>
      <c r="G69" s="94" cm="1" t="str">
        <f t="array" ref="G69:G69">G68</f>
        <v>0</v>
      </c>
      <c r="H69" s="1297"/>
      <c r="I69" s="1297"/>
      <c r="J69" s="1297"/>
      <c r="K69" s="154">
        <f>first_year+39</f>
        <v>2063</v>
      </c>
      <c r="L69" s="1297"/>
      <c r="M69" s="1297"/>
      <c r="N69" s="1297"/>
      <c r="O69" s="1297"/>
      <c r="P69" s="1297"/>
      <c r="Q69" s="1297"/>
      <c r="R69" s="1297"/>
      <c r="S69" s="1297"/>
      <c r="T69" s="468" cm="1" t="str">
        <f t="array" ref="T69:T69">T68</f>
        <v>false</v>
      </c>
      <c r="U69" s="1297"/>
      <c r="V69" s="1297"/>
      <c r="W69" s="1297"/>
      <c r="X69" s="1539"/>
      <c r="Y69" s="1539"/>
      <c r="Z69" s="1529"/>
      <c r="AA69" s="1630"/>
      <c r="AB69" s="251" t="str">
        <f>K69&amp;" год"</f>
        <v>2063 год</v>
      </c>
      <c r="AC69" s="409"/>
      <c r="AD69" s="6972"/>
      <c r="AE69" s="6971"/>
      <c r="AF69" s="6971"/>
      <c r="AG69" s="6972"/>
      <c r="AH69" s="6971"/>
      <c r="AI69" s="6972"/>
      <c r="AJ69" s="6971"/>
      <c r="AK69" s="6973"/>
      <c r="AL69" s="404"/>
      <c r="AM69" s="1297"/>
      <c r="AN69" s="1072" cm="1" t="str">
        <f t="array" ref="AN69:AN69">K69</f>
        <v>2063</v>
      </c>
      <c r="AO69" s="1072" t="s">
        <v>2773</v>
      </c>
      <c r="AP69" s="1082" cm="1" t="str">
        <f t="array" ref="AP69:AP69">AP68</f>
        <v>0</v>
      </c>
      <c r="AQ69" s="709"/>
      <c r="AR69" s="709"/>
    </row>
    <row s="1297" customFormat="1" customHeight="1" ht="14.625" hidden="1">
      <c r="A70" s="1297"/>
      <c r="B70" s="447">
        <f>K70&lt;first_year+PERIOD_LENGTH</f>
        <v>0</v>
      </c>
      <c r="C70" s="1297"/>
      <c r="D70" s="1297"/>
      <c r="E70" s="709">
        <v>15</v>
      </c>
      <c r="F70" s="50" cm="1" t="str">
        <f t="array" ref="F70:F70">OFFSET(E70,-1,1)</f>
        <v>0</v>
      </c>
      <c r="G70" s="94" cm="1" t="str">
        <f t="array" ref="G70:G70">G69</f>
        <v>0</v>
      </c>
      <c r="H70" s="1297"/>
      <c r="I70" s="1297"/>
      <c r="J70" s="1297"/>
      <c r="K70" s="154">
        <f>first_year+40</f>
        <v>2064</v>
      </c>
      <c r="L70" s="1297"/>
      <c r="M70" s="1297"/>
      <c r="N70" s="1297"/>
      <c r="O70" s="1297"/>
      <c r="P70" s="1297"/>
      <c r="Q70" s="1297"/>
      <c r="R70" s="1297"/>
      <c r="S70" s="1297"/>
      <c r="T70" s="468" cm="1" t="str">
        <f t="array" ref="T70:T70">T69</f>
        <v>false</v>
      </c>
      <c r="U70" s="1297"/>
      <c r="V70" s="1297"/>
      <c r="W70" s="1297"/>
      <c r="X70" s="1539"/>
      <c r="Y70" s="1539"/>
      <c r="Z70" s="1529"/>
      <c r="AA70" s="1630"/>
      <c r="AB70" s="251" t="str">
        <f>K70&amp;" год"</f>
        <v>2064 год</v>
      </c>
      <c r="AC70" s="409"/>
      <c r="AD70" s="6972"/>
      <c r="AE70" s="6971"/>
      <c r="AF70" s="6971"/>
      <c r="AG70" s="6972"/>
      <c r="AH70" s="6971"/>
      <c r="AI70" s="6972"/>
      <c r="AJ70" s="6971"/>
      <c r="AK70" s="6973"/>
      <c r="AL70" s="404"/>
      <c r="AM70" s="1297"/>
      <c r="AN70" s="1072" cm="1" t="str">
        <f t="array" ref="AN70:AN70">K70</f>
        <v>2064</v>
      </c>
      <c r="AO70" s="1072" t="s">
        <v>2773</v>
      </c>
      <c r="AP70" s="1082" cm="1" t="str">
        <f t="array" ref="AP70:AP70">AP69</f>
        <v>0</v>
      </c>
      <c r="AQ70" s="709"/>
      <c r="AR70" s="709"/>
    </row>
    <row s="1297" customFormat="1" customHeight="1" ht="14.625" hidden="1">
      <c r="A71" s="1297"/>
      <c r="B71" s="447">
        <f>K71&lt;first_year+PERIOD_LENGTH</f>
        <v>0</v>
      </c>
      <c r="C71" s="1297"/>
      <c r="D71" s="1297"/>
      <c r="E71" s="709">
        <v>15</v>
      </c>
      <c r="F71" s="50" cm="1" t="str">
        <f t="array" ref="F71:F71">OFFSET(E71,-1,1)</f>
        <v>0</v>
      </c>
      <c r="G71" s="94" cm="1" t="str">
        <f t="array" ref="G71:G71">G70</f>
        <v>0</v>
      </c>
      <c r="H71" s="1297"/>
      <c r="I71" s="1297"/>
      <c r="J71" s="1297"/>
      <c r="K71" s="154">
        <f>first_year+41</f>
        <v>2065</v>
      </c>
      <c r="L71" s="1297"/>
      <c r="M71" s="1297"/>
      <c r="N71" s="1297"/>
      <c r="O71" s="1297"/>
      <c r="P71" s="1297"/>
      <c r="Q71" s="1297"/>
      <c r="R71" s="1297"/>
      <c r="S71" s="1297"/>
      <c r="T71" s="468" cm="1" t="str">
        <f t="array" ref="T71:T71">T70</f>
        <v>false</v>
      </c>
      <c r="U71" s="1297"/>
      <c r="V71" s="1297"/>
      <c r="W71" s="1297"/>
      <c r="X71" s="1539"/>
      <c r="Y71" s="1539"/>
      <c r="Z71" s="1529"/>
      <c r="AA71" s="1630"/>
      <c r="AB71" s="251" t="str">
        <f>K71&amp;" год"</f>
        <v>2065 год</v>
      </c>
      <c r="AC71" s="409"/>
      <c r="AD71" s="6972"/>
      <c r="AE71" s="6971"/>
      <c r="AF71" s="6971"/>
      <c r="AG71" s="6972"/>
      <c r="AH71" s="6971"/>
      <c r="AI71" s="6972"/>
      <c r="AJ71" s="6971"/>
      <c r="AK71" s="6973"/>
      <c r="AL71" s="404"/>
      <c r="AM71" s="1297"/>
      <c r="AN71" s="1072" cm="1" t="str">
        <f t="array" ref="AN71:AN71">K71</f>
        <v>2065</v>
      </c>
      <c r="AO71" s="1072" t="s">
        <v>2773</v>
      </c>
      <c r="AP71" s="1082" cm="1" t="str">
        <f t="array" ref="AP71:AP71">AP70</f>
        <v>0</v>
      </c>
      <c r="AQ71" s="709"/>
      <c r="AR71" s="709"/>
    </row>
    <row s="1297" customFormat="1" customHeight="1" ht="14.625" hidden="1">
      <c r="A72" s="1297"/>
      <c r="B72" s="447">
        <f>K72&lt;first_year+PERIOD_LENGTH</f>
        <v>0</v>
      </c>
      <c r="C72" s="1297"/>
      <c r="D72" s="1297"/>
      <c r="E72" s="709">
        <v>15</v>
      </c>
      <c r="F72" s="50" cm="1" t="str">
        <f t="array" ref="F72:F72">OFFSET(E72,-1,1)</f>
        <v>0</v>
      </c>
      <c r="G72" s="94" cm="1" t="str">
        <f t="array" ref="G72:G72">G71</f>
        <v>0</v>
      </c>
      <c r="H72" s="1297"/>
      <c r="I72" s="1297"/>
      <c r="J72" s="1297"/>
      <c r="K72" s="154">
        <f>first_year+42</f>
        <v>2066</v>
      </c>
      <c r="L72" s="1297"/>
      <c r="M72" s="1297"/>
      <c r="N72" s="1297"/>
      <c r="O72" s="1297"/>
      <c r="P72" s="1297"/>
      <c r="Q72" s="1297"/>
      <c r="R72" s="1297"/>
      <c r="S72" s="1297"/>
      <c r="T72" s="468" cm="1" t="str">
        <f t="array" ref="T72:T72">T71</f>
        <v>false</v>
      </c>
      <c r="U72" s="1297"/>
      <c r="V72" s="1297"/>
      <c r="W72" s="1297"/>
      <c r="X72" s="1539"/>
      <c r="Y72" s="1539"/>
      <c r="Z72" s="1529"/>
      <c r="AA72" s="1630"/>
      <c r="AB72" s="251" t="str">
        <f>K72&amp;" год"</f>
        <v>2066 год</v>
      </c>
      <c r="AC72" s="409"/>
      <c r="AD72" s="6972"/>
      <c r="AE72" s="6971"/>
      <c r="AF72" s="6971"/>
      <c r="AG72" s="6972"/>
      <c r="AH72" s="6971"/>
      <c r="AI72" s="6972"/>
      <c r="AJ72" s="6971"/>
      <c r="AK72" s="6973"/>
      <c r="AL72" s="404"/>
      <c r="AM72" s="1297"/>
      <c r="AN72" s="1072" cm="1" t="str">
        <f t="array" ref="AN72:AN72">K72</f>
        <v>2066</v>
      </c>
      <c r="AO72" s="1072" t="s">
        <v>2773</v>
      </c>
      <c r="AP72" s="1082" cm="1" t="str">
        <f t="array" ref="AP72:AP72">AP71</f>
        <v>0</v>
      </c>
      <c r="AQ72" s="709"/>
      <c r="AR72" s="709"/>
    </row>
    <row s="1297" customFormat="1" customHeight="1" ht="14.625" hidden="1">
      <c r="A73" s="1297"/>
      <c r="B73" s="447">
        <f>K73&lt;first_year+PERIOD_LENGTH</f>
        <v>0</v>
      </c>
      <c r="C73" s="1297"/>
      <c r="D73" s="1297"/>
      <c r="E73" s="709">
        <v>15</v>
      </c>
      <c r="F73" s="50" cm="1" t="str">
        <f t="array" ref="F73:F73">OFFSET(E73,-1,1)</f>
        <v>0</v>
      </c>
      <c r="G73" s="94" cm="1" t="str">
        <f t="array" ref="G73:G73">G72</f>
        <v>0</v>
      </c>
      <c r="H73" s="1297"/>
      <c r="I73" s="1297"/>
      <c r="J73" s="1297"/>
      <c r="K73" s="154">
        <f>first_year+43</f>
        <v>2067</v>
      </c>
      <c r="L73" s="1297"/>
      <c r="M73" s="1297"/>
      <c r="N73" s="1297"/>
      <c r="O73" s="1297"/>
      <c r="P73" s="1297"/>
      <c r="Q73" s="1297"/>
      <c r="R73" s="1297"/>
      <c r="S73" s="1297"/>
      <c r="T73" s="468" cm="1" t="str">
        <f t="array" ref="T73:T73">T72</f>
        <v>false</v>
      </c>
      <c r="U73" s="1297"/>
      <c r="V73" s="1297"/>
      <c r="W73" s="1297"/>
      <c r="X73" s="1539"/>
      <c r="Y73" s="1539"/>
      <c r="Z73" s="1529"/>
      <c r="AA73" s="1630"/>
      <c r="AB73" s="251" t="str">
        <f>K73&amp;" год"</f>
        <v>2067 год</v>
      </c>
      <c r="AC73" s="409"/>
      <c r="AD73" s="6972"/>
      <c r="AE73" s="6971"/>
      <c r="AF73" s="6971"/>
      <c r="AG73" s="6972"/>
      <c r="AH73" s="6971"/>
      <c r="AI73" s="6972"/>
      <c r="AJ73" s="6971"/>
      <c r="AK73" s="6973"/>
      <c r="AL73" s="404"/>
      <c r="AM73" s="1297"/>
      <c r="AN73" s="1072" cm="1" t="str">
        <f t="array" ref="AN73:AN73">K73</f>
        <v>2067</v>
      </c>
      <c r="AO73" s="1072" t="s">
        <v>2773</v>
      </c>
      <c r="AP73" s="1082" cm="1" t="str">
        <f t="array" ref="AP73:AP73">AP72</f>
        <v>0</v>
      </c>
      <c r="AQ73" s="709"/>
      <c r="AR73" s="709"/>
    </row>
    <row s="1297" customFormat="1" customHeight="1" ht="14.625" hidden="1">
      <c r="A74" s="1297"/>
      <c r="B74" s="447">
        <f>K74&lt;first_year+PERIOD_LENGTH</f>
        <v>0</v>
      </c>
      <c r="C74" s="1297"/>
      <c r="D74" s="1297"/>
      <c r="E74" s="709">
        <v>15</v>
      </c>
      <c r="F74" s="50" cm="1" t="str">
        <f t="array" ref="F74:F74">OFFSET(E74,-1,1)</f>
        <v>0</v>
      </c>
      <c r="G74" s="94" cm="1" t="str">
        <f t="array" ref="G74:G74">G73</f>
        <v>0</v>
      </c>
      <c r="H74" s="1297"/>
      <c r="I74" s="1297"/>
      <c r="J74" s="1297"/>
      <c r="K74" s="154">
        <f>first_year+44</f>
        <v>2068</v>
      </c>
      <c r="L74" s="1297"/>
      <c r="M74" s="1297"/>
      <c r="N74" s="1297"/>
      <c r="O74" s="1297"/>
      <c r="P74" s="1297"/>
      <c r="Q74" s="1297"/>
      <c r="R74" s="1297"/>
      <c r="S74" s="1297"/>
      <c r="T74" s="468" cm="1" t="str">
        <f t="array" ref="T74:T74">T73</f>
        <v>false</v>
      </c>
      <c r="U74" s="1297"/>
      <c r="V74" s="1297"/>
      <c r="W74" s="1297"/>
      <c r="X74" s="1539"/>
      <c r="Y74" s="1539"/>
      <c r="Z74" s="1529"/>
      <c r="AA74" s="1630"/>
      <c r="AB74" s="251" t="str">
        <f>K74&amp;" год"</f>
        <v>2068 год</v>
      </c>
      <c r="AC74" s="409"/>
      <c r="AD74" s="6972"/>
      <c r="AE74" s="6971"/>
      <c r="AF74" s="6971"/>
      <c r="AG74" s="6972"/>
      <c r="AH74" s="6971"/>
      <c r="AI74" s="6972"/>
      <c r="AJ74" s="6971"/>
      <c r="AK74" s="6973"/>
      <c r="AL74" s="404"/>
      <c r="AM74" s="1297"/>
      <c r="AN74" s="1072" cm="1" t="str">
        <f t="array" ref="AN74:AN74">K74</f>
        <v>2068</v>
      </c>
      <c r="AO74" s="1072" t="s">
        <v>2773</v>
      </c>
      <c r="AP74" s="1082" cm="1" t="str">
        <f t="array" ref="AP74:AP74">AP73</f>
        <v>0</v>
      </c>
      <c r="AQ74" s="709"/>
      <c r="AR74" s="709"/>
    </row>
    <row s="1297" customFormat="1" customHeight="1" ht="14.625" hidden="1">
      <c r="A75" s="1297"/>
      <c r="B75" s="447">
        <f>K75&lt;first_year+PERIOD_LENGTH</f>
        <v>0</v>
      </c>
      <c r="C75" s="1297"/>
      <c r="D75" s="1297"/>
      <c r="E75" s="709">
        <v>15</v>
      </c>
      <c r="F75" s="50" cm="1" t="str">
        <f t="array" ref="F75:F75">OFFSET(E75,-1,1)</f>
        <v>0</v>
      </c>
      <c r="G75" s="94" cm="1" t="str">
        <f t="array" ref="G75:G75">G74</f>
        <v>0</v>
      </c>
      <c r="H75" s="1297"/>
      <c r="I75" s="1297"/>
      <c r="J75" s="1297"/>
      <c r="K75" s="154">
        <f>first_year+45</f>
        <v>2069</v>
      </c>
      <c r="L75" s="1297"/>
      <c r="M75" s="1297"/>
      <c r="N75" s="1297"/>
      <c r="O75" s="1297"/>
      <c r="P75" s="1297"/>
      <c r="Q75" s="1297"/>
      <c r="R75" s="1297"/>
      <c r="S75" s="1297"/>
      <c r="T75" s="468" cm="1" t="str">
        <f t="array" ref="T75:T75">T74</f>
        <v>false</v>
      </c>
      <c r="U75" s="1297"/>
      <c r="V75" s="1297"/>
      <c r="W75" s="1297"/>
      <c r="X75" s="1539"/>
      <c r="Y75" s="1539"/>
      <c r="Z75" s="1529"/>
      <c r="AA75" s="1630"/>
      <c r="AB75" s="251" t="str">
        <f>K75&amp;" год"</f>
        <v>2069 год</v>
      </c>
      <c r="AC75" s="409"/>
      <c r="AD75" s="6972"/>
      <c r="AE75" s="6971"/>
      <c r="AF75" s="6971"/>
      <c r="AG75" s="6972"/>
      <c r="AH75" s="6971"/>
      <c r="AI75" s="6972"/>
      <c r="AJ75" s="6971"/>
      <c r="AK75" s="6973"/>
      <c r="AL75" s="404"/>
      <c r="AM75" s="1297"/>
      <c r="AN75" s="1072" cm="1" t="str">
        <f t="array" ref="AN75:AN75">K75</f>
        <v>2069</v>
      </c>
      <c r="AO75" s="1072" t="s">
        <v>2773</v>
      </c>
      <c r="AP75" s="1082" cm="1" t="str">
        <f t="array" ref="AP75:AP75">AP74</f>
        <v>0</v>
      </c>
      <c r="AQ75" s="709"/>
      <c r="AR75" s="709"/>
    </row>
    <row s="1297" customFormat="1" customHeight="1" ht="14.625" hidden="1">
      <c r="A76" s="1297"/>
      <c r="B76" s="447">
        <f>K76&lt;first_year+PERIOD_LENGTH</f>
        <v>0</v>
      </c>
      <c r="C76" s="1297"/>
      <c r="D76" s="1297"/>
      <c r="E76" s="709">
        <v>15</v>
      </c>
      <c r="F76" s="50" cm="1" t="str">
        <f t="array" ref="F76:F76">OFFSET(E76,-1,1)</f>
        <v>0</v>
      </c>
      <c r="G76" s="94" cm="1" t="str">
        <f t="array" ref="G76:G76">G75</f>
        <v>0</v>
      </c>
      <c r="H76" s="1297"/>
      <c r="I76" s="1297"/>
      <c r="J76" s="1297"/>
      <c r="K76" s="154">
        <f>first_year+46</f>
        <v>2070</v>
      </c>
      <c r="L76" s="1297"/>
      <c r="M76" s="1297"/>
      <c r="N76" s="1297"/>
      <c r="O76" s="1297"/>
      <c r="P76" s="1297"/>
      <c r="Q76" s="1297"/>
      <c r="R76" s="1297"/>
      <c r="S76" s="1297"/>
      <c r="T76" s="468" cm="1" t="str">
        <f t="array" ref="T76:T76">T75</f>
        <v>false</v>
      </c>
      <c r="U76" s="1297"/>
      <c r="V76" s="1297"/>
      <c r="W76" s="1297"/>
      <c r="X76" s="1539"/>
      <c r="Y76" s="1539"/>
      <c r="Z76" s="1529"/>
      <c r="AA76" s="1630"/>
      <c r="AB76" s="251" t="str">
        <f>K76&amp;" год"</f>
        <v>2070 год</v>
      </c>
      <c r="AC76" s="409"/>
      <c r="AD76" s="6972"/>
      <c r="AE76" s="6971"/>
      <c r="AF76" s="6971"/>
      <c r="AG76" s="6972"/>
      <c r="AH76" s="6971"/>
      <c r="AI76" s="6972"/>
      <c r="AJ76" s="6971"/>
      <c r="AK76" s="6973"/>
      <c r="AL76" s="404"/>
      <c r="AM76" s="1297"/>
      <c r="AN76" s="1072" cm="1" t="str">
        <f t="array" ref="AN76:AN76">K76</f>
        <v>2070</v>
      </c>
      <c r="AO76" s="1072" t="s">
        <v>2773</v>
      </c>
      <c r="AP76" s="1082" cm="1" t="str">
        <f t="array" ref="AP76:AP76">AP75</f>
        <v>0</v>
      </c>
      <c r="AQ76" s="709"/>
      <c r="AR76" s="709"/>
    </row>
    <row s="1297" customFormat="1" customHeight="1" ht="14.625" hidden="1">
      <c r="A77" s="1297"/>
      <c r="B77" s="447">
        <f>K77&lt;first_year+PERIOD_LENGTH</f>
        <v>0</v>
      </c>
      <c r="C77" s="1297"/>
      <c r="D77" s="1297"/>
      <c r="E77" s="709">
        <v>15</v>
      </c>
      <c r="F77" s="50" cm="1" t="str">
        <f t="array" ref="F77:F77">OFFSET(E77,-1,1)</f>
        <v>0</v>
      </c>
      <c r="G77" s="94" cm="1" t="str">
        <f t="array" ref="G77:G77">G76</f>
        <v>0</v>
      </c>
      <c r="H77" s="1297"/>
      <c r="I77" s="1297"/>
      <c r="J77" s="1297"/>
      <c r="K77" s="154">
        <f>first_year+47</f>
        <v>2071</v>
      </c>
      <c r="L77" s="1297"/>
      <c r="M77" s="1297"/>
      <c r="N77" s="1297"/>
      <c r="O77" s="1297"/>
      <c r="P77" s="1297"/>
      <c r="Q77" s="1297"/>
      <c r="R77" s="1297"/>
      <c r="S77" s="1297"/>
      <c r="T77" s="468" cm="1" t="str">
        <f t="array" ref="T77:T77">T76</f>
        <v>false</v>
      </c>
      <c r="U77" s="1297"/>
      <c r="V77" s="1297"/>
      <c r="W77" s="1297"/>
      <c r="X77" s="1539"/>
      <c r="Y77" s="1539"/>
      <c r="Z77" s="1529"/>
      <c r="AA77" s="1630"/>
      <c r="AB77" s="251" t="str">
        <f>K77&amp;" год"</f>
        <v>2071 год</v>
      </c>
      <c r="AC77" s="409"/>
      <c r="AD77" s="6972"/>
      <c r="AE77" s="6971"/>
      <c r="AF77" s="6971"/>
      <c r="AG77" s="6972"/>
      <c r="AH77" s="6971"/>
      <c r="AI77" s="6972"/>
      <c r="AJ77" s="6971"/>
      <c r="AK77" s="6973"/>
      <c r="AL77" s="404"/>
      <c r="AM77" s="1297"/>
      <c r="AN77" s="1072" cm="1" t="str">
        <f t="array" ref="AN77:AN77">K77</f>
        <v>2071</v>
      </c>
      <c r="AO77" s="1072" t="s">
        <v>2773</v>
      </c>
      <c r="AP77" s="1082" cm="1" t="str">
        <f t="array" ref="AP77:AP77">AP76</f>
        <v>0</v>
      </c>
      <c r="AQ77" s="709"/>
      <c r="AR77" s="709"/>
    </row>
    <row s="1297" customFormat="1" customHeight="1" ht="14.625" hidden="1">
      <c r="A78" s="1297"/>
      <c r="B78" s="447">
        <f>K78&lt;first_year+PERIOD_LENGTH</f>
        <v>0</v>
      </c>
      <c r="C78" s="1297"/>
      <c r="D78" s="1297"/>
      <c r="E78" s="709">
        <v>15</v>
      </c>
      <c r="F78" s="50" cm="1" t="str">
        <f t="array" ref="F78:F78">OFFSET(E78,-1,1)</f>
        <v>0</v>
      </c>
      <c r="G78" s="94" cm="1" t="str">
        <f t="array" ref="G78:G78">G77</f>
        <v>0</v>
      </c>
      <c r="H78" s="1297"/>
      <c r="I78" s="1297"/>
      <c r="J78" s="1297"/>
      <c r="K78" s="154">
        <f>first_year+48</f>
        <v>2072</v>
      </c>
      <c r="L78" s="1297"/>
      <c r="M78" s="1297"/>
      <c r="N78" s="1297"/>
      <c r="O78" s="1297"/>
      <c r="P78" s="1297"/>
      <c r="Q78" s="1297"/>
      <c r="R78" s="1297"/>
      <c r="S78" s="1297"/>
      <c r="T78" s="468" cm="1" t="str">
        <f t="array" ref="T78:T78">T77</f>
        <v>false</v>
      </c>
      <c r="U78" s="1297"/>
      <c r="V78" s="1297"/>
      <c r="W78" s="1297"/>
      <c r="X78" s="1539"/>
      <c r="Y78" s="1539"/>
      <c r="Z78" s="1529"/>
      <c r="AA78" s="1630"/>
      <c r="AB78" s="251" t="str">
        <f>K78&amp;" год"</f>
        <v>2072 год</v>
      </c>
      <c r="AC78" s="409"/>
      <c r="AD78" s="6972"/>
      <c r="AE78" s="6971"/>
      <c r="AF78" s="6971"/>
      <c r="AG78" s="6972"/>
      <c r="AH78" s="6971"/>
      <c r="AI78" s="6972"/>
      <c r="AJ78" s="6971"/>
      <c r="AK78" s="6973"/>
      <c r="AL78" s="404"/>
      <c r="AM78" s="1297"/>
      <c r="AN78" s="1072" cm="1" t="str">
        <f t="array" ref="AN78:AN78">K78</f>
        <v>2072</v>
      </c>
      <c r="AO78" s="1072" t="s">
        <v>2773</v>
      </c>
      <c r="AP78" s="1082" cm="1" t="str">
        <f t="array" ref="AP78:AP78">AP77</f>
        <v>0</v>
      </c>
      <c r="AQ78" s="709"/>
      <c r="AR78" s="709"/>
    </row>
    <row s="1297" customFormat="1" customHeight="1" ht="14.625" hidden="1">
      <c r="A79" s="1297"/>
      <c r="B79" s="447">
        <f>K79&lt;first_year+PERIOD_LENGTH</f>
        <v>0</v>
      </c>
      <c r="C79" s="1297"/>
      <c r="D79" s="1297"/>
      <c r="E79" s="709">
        <v>15</v>
      </c>
      <c r="F79" s="50" cm="1" t="str">
        <f t="array" ref="F79:F79">OFFSET(E79,-1,1)</f>
        <v>0</v>
      </c>
      <c r="G79" s="94" cm="1" t="str">
        <f t="array" ref="G79:G79">G78</f>
        <v>0</v>
      </c>
      <c r="H79" s="1297"/>
      <c r="I79" s="1297"/>
      <c r="J79" s="1297"/>
      <c r="K79" s="154">
        <f>first_year+49</f>
        <v>2073</v>
      </c>
      <c r="L79" s="1297"/>
      <c r="M79" s="1297"/>
      <c r="N79" s="1297"/>
      <c r="O79" s="1297"/>
      <c r="P79" s="1297"/>
      <c r="Q79" s="1297"/>
      <c r="R79" s="1297"/>
      <c r="S79" s="1297"/>
      <c r="T79" s="468" cm="1" t="str">
        <f t="array" ref="T79:T79">T78</f>
        <v>false</v>
      </c>
      <c r="U79" s="1297"/>
      <c r="V79" s="1297"/>
      <c r="W79" s="1297"/>
      <c r="X79" s="1539"/>
      <c r="Y79" s="1539"/>
      <c r="Z79" s="1529"/>
      <c r="AA79" s="1630"/>
      <c r="AB79" s="251" t="str">
        <f>K79&amp;" год"</f>
        <v>2073 год</v>
      </c>
      <c r="AC79" s="409"/>
      <c r="AD79" s="6972"/>
      <c r="AE79" s="6971"/>
      <c r="AF79" s="6971"/>
      <c r="AG79" s="6972"/>
      <c r="AH79" s="6971"/>
      <c r="AI79" s="6972"/>
      <c r="AJ79" s="6971"/>
      <c r="AK79" s="6973"/>
      <c r="AL79" s="404"/>
      <c r="AM79" s="1297"/>
      <c r="AN79" s="1072" cm="1" t="str">
        <f t="array" ref="AN79:AN79">K79</f>
        <v>2073</v>
      </c>
      <c r="AO79" s="1072" t="s">
        <v>2773</v>
      </c>
      <c r="AP79" s="1082" cm="1" t="str">
        <f t="array" ref="AP79:AP79">AP78</f>
        <v>0</v>
      </c>
      <c r="AQ79" s="709"/>
      <c r="AR79" s="709"/>
    </row>
    <row s="1656" customFormat="1" customHeight="1" ht="14.625" hidden="1">
      <c r="A80" s="154"/>
      <c r="B80" s="434"/>
      <c r="C80" s="154"/>
      <c r="D80" s="154"/>
      <c r="E80" s="709">
        <v>15</v>
      </c>
      <c r="F80" s="1194" cm="1" t="str">
        <f t="array" ref="F80:F80">OFFSET(E80,-1,1)</f>
        <v>0</v>
      </c>
      <c r="G80" s="154" t="str">
        <f>"!== 'не определено'"</f>
        <v>!== 'не определено'</v>
      </c>
      <c r="H80" s="154"/>
      <c r="I80" s="154"/>
      <c r="J80" s="154"/>
      <c r="K80" s="154"/>
      <c r="L80" s="154"/>
      <c r="M80" s="154"/>
      <c r="N80" s="154"/>
      <c r="O80" s="154"/>
      <c r="P80" s="154"/>
      <c r="Q80" s="154"/>
      <c r="R80" s="154"/>
      <c r="S80" s="154"/>
      <c r="T80" s="468">
        <f>F80&gt;0</f>
        <v>0</v>
      </c>
      <c r="U80" s="154"/>
      <c r="V80" s="154"/>
      <c r="W80" s="836" t="s">
        <v>2774</v>
      </c>
      <c r="X80" s="1539"/>
      <c r="Y80" s="154"/>
      <c r="Z80" s="1529"/>
      <c r="AA80" s="154"/>
      <c r="AB80" s="945" t="s">
        <v>177</v>
      </c>
      <c r="AC80" s="300"/>
      <c r="AD80" s="300"/>
      <c r="AE80" s="300"/>
      <c r="AF80" s="300"/>
      <c r="AG80" s="300"/>
      <c r="AH80" s="300"/>
      <c r="AI80" s="300"/>
      <c r="AJ80" s="300"/>
      <c r="AK80" s="300"/>
      <c r="AL80" s="404"/>
      <c r="AM80" s="1656"/>
      <c r="AN80" s="1012"/>
      <c r="AO80" s="1012"/>
      <c r="AP80" s="1012"/>
      <c r="AQ80" s="1015" t="s">
        <v>2773</v>
      </c>
      <c r="AR80" s="629"/>
    </row>
    <row s="541" customFormat="1" customHeight="1" ht="31.921875">
      <c r="A81" s="1331"/>
      <c r="B81" s="430"/>
      <c r="C81" s="1331"/>
      <c r="D81" s="1331"/>
      <c r="E81" s="623">
        <v>15</v>
      </c>
      <c r="F81" s="94" cm="1" t="str">
        <f t="array" ref="F81:F81">X81</f>
        <v>1</v>
      </c>
      <c r="G81" s="1331"/>
      <c r="H81" s="1331"/>
      <c r="I81" s="1331"/>
      <c r="J81" s="1331"/>
      <c r="K81" s="1331"/>
      <c r="L81" s="1331"/>
      <c r="M81" s="1331"/>
      <c r="N81" s="1331"/>
      <c r="O81" s="1331"/>
      <c r="P81" s="1331"/>
      <c r="Q81" s="1331"/>
      <c r="R81" s="1331"/>
      <c r="S81" s="1331"/>
      <c r="T81" s="468">
        <f>X81&gt;0</f>
        <v>1</v>
      </c>
      <c r="U81" s="1331"/>
      <c r="V81" s="118" cm="1" t="str">
        <f t="array" ref="V81:V81">ДПР!$AB$81</f>
        <v>Тариф 1 (Водоснабжение) - тариф на питьевую воду (Оказание услуг на территории: город Ленинск-Кузнецкий (ОКТМО: 32719000) - г Ленинск-Кузнецкий, г Полысаево)</v>
      </c>
      <c r="W81" s="1331"/>
      <c r="X81" s="1539" t="s">
        <v>290</v>
      </c>
      <c r="Y81" s="1331"/>
      <c r="Z81" s="1529"/>
      <c r="AA81" s="1331"/>
      <c r="AB81" s="377" cm="1" t="str">
        <f t="array" ref="AB81:AB81">ДПР!$AB$81</f>
        <v>Тариф 1 (Водоснабжение) - тариф на питьевую воду (Оказание услуг на территории: город Ленинск-Кузнецкий (ОКТМО: 32719000) - г Ленинск-Кузнецкий, г Полысаево)</v>
      </c>
      <c r="AC81" s="239"/>
      <c r="AD81" s="239"/>
      <c r="AE81" s="239"/>
      <c r="AF81" s="239"/>
      <c r="AG81" s="239"/>
      <c r="AH81" s="239"/>
      <c r="AI81" s="239"/>
      <c r="AJ81" s="239"/>
      <c r="AK81" s="239"/>
      <c r="AL81" s="403"/>
      <c r="AM81" s="1331"/>
      <c r="AN81" s="1005"/>
      <c r="AO81" s="1005"/>
      <c r="AP81" s="1005"/>
      <c r="AQ81" s="623"/>
      <c r="AR81" s="623"/>
    </row>
    <row s="541" customFormat="1" customHeight="1" ht="14.25" hidden="1">
      <c r="A82" s="1331"/>
      <c r="B82" s="430"/>
      <c r="C82" s="1331"/>
      <c r="D82" s="1331"/>
      <c r="E82" s="623">
        <v>15</v>
      </c>
      <c r="F82" s="50" cm="1" t="str">
        <f t="array" ref="F82:F82">OFFSET(E82,-1,1)</f>
        <v>1</v>
      </c>
      <c r="G82" s="118" cm="1" t="str">
        <f t="array" ref="G82:G82">AB82</f>
        <v>0</v>
      </c>
      <c r="H82" s="1331"/>
      <c r="I82" s="1331"/>
      <c r="J82" s="1331"/>
      <c r="K82" s="1331"/>
      <c r="L82" s="1331"/>
      <c r="M82" s="1331"/>
      <c r="N82" s="1331"/>
      <c r="O82" s="1331"/>
      <c r="P82" s="1331"/>
      <c r="Q82" s="1331"/>
      <c r="R82" s="1331"/>
      <c r="S82" s="1331"/>
      <c r="T82" s="468">
        <f>AND(F82&gt;0,Y82&gt;0)</f>
        <v>0</v>
      </c>
      <c r="U82" s="1331"/>
      <c r="V82" s="1331"/>
      <c r="W82" s="118" t="s">
        <v>173</v>
      </c>
      <c r="X82" s="1539"/>
      <c r="Y82" s="1539">
        <v>0</v>
      </c>
      <c r="Z82" s="1529"/>
      <c r="AA82" s="1630" t="s">
        <v>174</v>
      </c>
      <c r="AB82" s="6967"/>
      <c r="AC82" s="6967"/>
      <c r="AD82" s="6967"/>
      <c r="AE82" s="6967"/>
      <c r="AF82" s="6967"/>
      <c r="AG82" s="6967"/>
      <c r="AH82" s="6967"/>
      <c r="AI82" s="6967"/>
      <c r="AJ82" s="6967"/>
      <c r="AK82" s="6968"/>
      <c r="AL82" s="403"/>
      <c r="AM82" s="1331"/>
      <c r="AN82" s="1005"/>
      <c r="AO82" s="1072" t="s">
        <v>2773</v>
      </c>
      <c r="AP82" s="1087" cm="1" t="str">
        <f t="array" ref="AP82:AP82">AB82</f>
        <v>0</v>
      </c>
      <c r="AQ82" s="623"/>
      <c r="AR82" s="623" t="b">
        <v>1</v>
      </c>
    </row>
    <row s="6979" customFormat="1" customHeight="1" ht="14.25" hidden="1">
      <c r="A83" s="1297"/>
      <c r="B83" s="447">
        <f>K83&lt;first_year+PERIOD_LENGTH</f>
        <v>1</v>
      </c>
      <c r="C83" s="1297"/>
      <c r="D83" s="1297"/>
      <c r="E83" s="709">
        <v>15</v>
      </c>
      <c r="F83" s="50" cm="1" t="str">
        <f t="array" ref="F83:F83">OFFSET(E83,-1,1)</f>
        <v>1</v>
      </c>
      <c r="G83" s="94" cm="1" t="str">
        <f t="array" ref="G83:G83">G82</f>
        <v>0</v>
      </c>
      <c r="H83" s="1297"/>
      <c r="I83" s="1297"/>
      <c r="J83" s="1297"/>
      <c r="K83" s="154" cm="1" t="str">
        <f t="array" ref="K83:K83">first_year</f>
        <v>2024</v>
      </c>
      <c r="L83" s="1297"/>
      <c r="M83" s="1297"/>
      <c r="N83" s="1297"/>
      <c r="O83" s="1297"/>
      <c r="P83" s="1297"/>
      <c r="Q83" s="1297"/>
      <c r="R83" s="1297"/>
      <c r="S83" s="1297"/>
      <c r="T83" s="468" cm="1" t="str">
        <f t="array" ref="T83:T83">T82</f>
        <v>false</v>
      </c>
      <c r="U83" s="1297"/>
      <c r="V83" s="1297"/>
      <c r="W83" s="1297"/>
      <c r="X83" s="1539"/>
      <c r="Y83" s="1539"/>
      <c r="Z83" s="1529"/>
      <c r="AA83" s="1630"/>
      <c r="AB83" s="298" t="str">
        <f>K83&amp;" год"</f>
        <v>2024 год</v>
      </c>
      <c r="AC83" s="6971"/>
      <c r="AD83" s="6972"/>
      <c r="AE83" s="6971"/>
      <c r="AF83" s="6971"/>
      <c r="AG83" s="6972"/>
      <c r="AH83" s="6971"/>
      <c r="AI83" s="6972"/>
      <c r="AJ83" s="6971"/>
      <c r="AK83" s="6973"/>
      <c r="AL83" s="404"/>
      <c r="AM83" s="1297"/>
      <c r="AN83" s="1072" cm="1" t="str">
        <f t="array" ref="AN83:AN83">K83</f>
        <v>2024</v>
      </c>
      <c r="AO83" s="1072" t="s">
        <v>2773</v>
      </c>
      <c r="AP83" s="1082" cm="1" t="str">
        <f t="array" ref="AP83:AP83">AP82</f>
        <v>0</v>
      </c>
      <c r="AQ83" s="709"/>
      <c r="AR83" s="709"/>
    </row>
    <row s="6980" customFormat="1" customHeight="1" ht="14.25" hidden="1">
      <c r="A84" s="1297"/>
      <c r="B84" s="447">
        <f>K84&lt;first_year+PERIOD_LENGTH</f>
        <v>1</v>
      </c>
      <c r="C84" s="1297"/>
      <c r="D84" s="1297"/>
      <c r="E84" s="709">
        <v>15</v>
      </c>
      <c r="F84" s="50" cm="1" t="str">
        <f t="array" ref="F84:F84">OFFSET(E84,-1,1)</f>
        <v>1</v>
      </c>
      <c r="G84" s="94" cm="1" t="str">
        <f t="array" ref="G84:G84">G83</f>
        <v>0</v>
      </c>
      <c r="H84" s="1297"/>
      <c r="I84" s="1297"/>
      <c r="J84" s="1297"/>
      <c r="K84" s="154">
        <f>first_year+1</f>
        <v>2025</v>
      </c>
      <c r="L84" s="1297"/>
      <c r="M84" s="1297"/>
      <c r="N84" s="1297"/>
      <c r="O84" s="1297"/>
      <c r="P84" s="1297"/>
      <c r="Q84" s="1297"/>
      <c r="R84" s="1297"/>
      <c r="S84" s="1297"/>
      <c r="T84" s="468" cm="1" t="str">
        <f t="array" ref="T84:T84">T83</f>
        <v>false</v>
      </c>
      <c r="U84" s="1297"/>
      <c r="V84" s="1297"/>
      <c r="W84" s="1297"/>
      <c r="X84" s="1539"/>
      <c r="Y84" s="1539"/>
      <c r="Z84" s="1529"/>
      <c r="AA84" s="1630"/>
      <c r="AB84" s="251" t="str">
        <f>K84&amp;" год"</f>
        <v>2025 год</v>
      </c>
      <c r="AC84" s="409"/>
      <c r="AD84" s="6972"/>
      <c r="AE84" s="6971"/>
      <c r="AF84" s="6971"/>
      <c r="AG84" s="6972"/>
      <c r="AH84" s="6971"/>
      <c r="AI84" s="6972"/>
      <c r="AJ84" s="6971"/>
      <c r="AK84" s="6973"/>
      <c r="AL84" s="404"/>
      <c r="AM84" s="1297"/>
      <c r="AN84" s="1072" cm="1" t="str">
        <f t="array" ref="AN84:AN84">K84</f>
        <v>2025</v>
      </c>
      <c r="AO84" s="1072" t="s">
        <v>2773</v>
      </c>
      <c r="AP84" s="1082" cm="1" t="str">
        <f t="array" ref="AP84:AP84">AP83</f>
        <v>0</v>
      </c>
      <c r="AQ84" s="709"/>
      <c r="AR84" s="709"/>
    </row>
    <row s="6981" customFormat="1" customHeight="1" ht="14.25" hidden="1">
      <c r="A85" s="1297"/>
      <c r="B85" s="447">
        <f>K85&lt;first_year+PERIOD_LENGTH</f>
        <v>1</v>
      </c>
      <c r="C85" s="1297"/>
      <c r="D85" s="1297"/>
      <c r="E85" s="709">
        <v>15</v>
      </c>
      <c r="F85" s="50" cm="1" t="str">
        <f t="array" ref="F85:F85">OFFSET(E85,-1,1)</f>
        <v>1</v>
      </c>
      <c r="G85" s="94" cm="1" t="str">
        <f t="array" ref="G85:G85">G84</f>
        <v>0</v>
      </c>
      <c r="H85" s="1297"/>
      <c r="I85" s="1297"/>
      <c r="J85" s="1297"/>
      <c r="K85" s="154">
        <f>first_year+2</f>
        <v>2026</v>
      </c>
      <c r="L85" s="1297"/>
      <c r="M85" s="1297"/>
      <c r="N85" s="1297"/>
      <c r="O85" s="1297"/>
      <c r="P85" s="1297"/>
      <c r="Q85" s="1297"/>
      <c r="R85" s="1297"/>
      <c r="S85" s="1297"/>
      <c r="T85" s="468" cm="1" t="str">
        <f t="array" ref="T85:T85">T84</f>
        <v>false</v>
      </c>
      <c r="U85" s="1297"/>
      <c r="V85" s="1297"/>
      <c r="W85" s="1297"/>
      <c r="X85" s="1539"/>
      <c r="Y85" s="1539"/>
      <c r="Z85" s="1529"/>
      <c r="AA85" s="1630"/>
      <c r="AB85" s="251" t="str">
        <f>K85&amp;" год"</f>
        <v>2026 год</v>
      </c>
      <c r="AC85" s="409"/>
      <c r="AD85" s="6972"/>
      <c r="AE85" s="6971"/>
      <c r="AF85" s="6971"/>
      <c r="AG85" s="6972"/>
      <c r="AH85" s="6971"/>
      <c r="AI85" s="6972"/>
      <c r="AJ85" s="6971"/>
      <c r="AK85" s="6973"/>
      <c r="AL85" s="404"/>
      <c r="AM85" s="1297"/>
      <c r="AN85" s="1072" cm="1" t="str">
        <f t="array" ref="AN85:AN85">K85</f>
        <v>2026</v>
      </c>
      <c r="AO85" s="1072" t="s">
        <v>2773</v>
      </c>
      <c r="AP85" s="1082" cm="1" t="str">
        <f t="array" ref="AP85:AP85">AP84</f>
        <v>0</v>
      </c>
      <c r="AQ85" s="709"/>
      <c r="AR85" s="709"/>
    </row>
    <row s="6982" customFormat="1" customHeight="1" ht="14.25" hidden="1">
      <c r="A86" s="1297"/>
      <c r="B86" s="447">
        <f>K86&lt;first_year+PERIOD_LENGTH</f>
        <v>1</v>
      </c>
      <c r="C86" s="1297"/>
      <c r="D86" s="1297"/>
      <c r="E86" s="709">
        <v>15</v>
      </c>
      <c r="F86" s="50" cm="1" t="str">
        <f t="array" ref="F86:F86">OFFSET(E86,-1,1)</f>
        <v>1</v>
      </c>
      <c r="G86" s="94" cm="1" t="str">
        <f t="array" ref="G86:G86">G85</f>
        <v>0</v>
      </c>
      <c r="H86" s="1297"/>
      <c r="I86" s="1297"/>
      <c r="J86" s="1297"/>
      <c r="K86" s="154">
        <f>first_year+3</f>
        <v>2027</v>
      </c>
      <c r="L86" s="1297"/>
      <c r="M86" s="1297"/>
      <c r="N86" s="1297"/>
      <c r="O86" s="1297"/>
      <c r="P86" s="1297"/>
      <c r="Q86" s="1297"/>
      <c r="R86" s="1297"/>
      <c r="S86" s="1297"/>
      <c r="T86" s="468" cm="1" t="str">
        <f t="array" ref="T86:T86">T85</f>
        <v>false</v>
      </c>
      <c r="U86" s="1297"/>
      <c r="V86" s="1297"/>
      <c r="W86" s="1297"/>
      <c r="X86" s="1539"/>
      <c r="Y86" s="1539"/>
      <c r="Z86" s="1529"/>
      <c r="AA86" s="1630"/>
      <c r="AB86" s="251" t="str">
        <f>K86&amp;" год"</f>
        <v>2027 год</v>
      </c>
      <c r="AC86" s="409"/>
      <c r="AD86" s="6972"/>
      <c r="AE86" s="6971"/>
      <c r="AF86" s="6971"/>
      <c r="AG86" s="6972"/>
      <c r="AH86" s="6971"/>
      <c r="AI86" s="6972"/>
      <c r="AJ86" s="6971"/>
      <c r="AK86" s="6973"/>
      <c r="AL86" s="404"/>
      <c r="AM86" s="1297"/>
      <c r="AN86" s="1072" cm="1" t="str">
        <f t="array" ref="AN86:AN86">K86</f>
        <v>2027</v>
      </c>
      <c r="AO86" s="1072" t="s">
        <v>2773</v>
      </c>
      <c r="AP86" s="1082" cm="1" t="str">
        <f t="array" ref="AP86:AP86">AP85</f>
        <v>0</v>
      </c>
      <c r="AQ86" s="709"/>
      <c r="AR86" s="709"/>
    </row>
    <row s="6983" customFormat="1" customHeight="1" ht="14.25" hidden="1">
      <c r="A87" s="1297"/>
      <c r="B87" s="447">
        <f>K87&lt;first_year+PERIOD_LENGTH</f>
        <v>1</v>
      </c>
      <c r="C87" s="1297"/>
      <c r="D87" s="1297"/>
      <c r="E87" s="709">
        <v>15</v>
      </c>
      <c r="F87" s="50" cm="1" t="str">
        <f t="array" ref="F87:F87">OFFSET(E87,-1,1)</f>
        <v>1</v>
      </c>
      <c r="G87" s="94" cm="1" t="str">
        <f t="array" ref="G87:G87">G86</f>
        <v>0</v>
      </c>
      <c r="H87" s="1297"/>
      <c r="I87" s="1297"/>
      <c r="J87" s="1297"/>
      <c r="K87" s="154">
        <f>first_year+4</f>
        <v>2028</v>
      </c>
      <c r="L87" s="1297"/>
      <c r="M87" s="1297"/>
      <c r="N87" s="1297"/>
      <c r="O87" s="1297"/>
      <c r="P87" s="1297"/>
      <c r="Q87" s="1297"/>
      <c r="R87" s="1297"/>
      <c r="S87" s="1297"/>
      <c r="T87" s="468" cm="1" t="str">
        <f t="array" ref="T87:T87">T86</f>
        <v>false</v>
      </c>
      <c r="U87" s="1297"/>
      <c r="V87" s="1297"/>
      <c r="W87" s="1297"/>
      <c r="X87" s="1539"/>
      <c r="Y87" s="1539"/>
      <c r="Z87" s="1529"/>
      <c r="AA87" s="1630"/>
      <c r="AB87" s="251" t="str">
        <f>K87&amp;" год"</f>
        <v>2028 год</v>
      </c>
      <c r="AC87" s="409"/>
      <c r="AD87" s="6972"/>
      <c r="AE87" s="6971"/>
      <c r="AF87" s="6971"/>
      <c r="AG87" s="6972"/>
      <c r="AH87" s="6971"/>
      <c r="AI87" s="6972"/>
      <c r="AJ87" s="6971"/>
      <c r="AK87" s="6973"/>
      <c r="AL87" s="404"/>
      <c r="AM87" s="1297"/>
      <c r="AN87" s="1072" cm="1" t="str">
        <f t="array" ref="AN87:AN87">K87</f>
        <v>2028</v>
      </c>
      <c r="AO87" s="1072" t="s">
        <v>2773</v>
      </c>
      <c r="AP87" s="1082" cm="1" t="str">
        <f t="array" ref="AP87:AP87">AP86</f>
        <v>0</v>
      </c>
      <c r="AQ87" s="709"/>
      <c r="AR87" s="709"/>
    </row>
    <row s="6984" customFormat="1" customHeight="1" ht="14.25" hidden="1">
      <c r="A88" s="1297"/>
      <c r="B88" s="447">
        <f>K88&lt;first_year+PERIOD_LENGTH</f>
        <v>0</v>
      </c>
      <c r="C88" s="1297"/>
      <c r="D88" s="1297"/>
      <c r="E88" s="709">
        <v>15</v>
      </c>
      <c r="F88" s="50" cm="1" t="str">
        <f t="array" ref="F88:F88">OFFSET(E88,-1,1)</f>
        <v>1</v>
      </c>
      <c r="G88" s="94" cm="1" t="str">
        <f t="array" ref="G88:G88">G87</f>
        <v>0</v>
      </c>
      <c r="H88" s="1297"/>
      <c r="I88" s="1297"/>
      <c r="J88" s="1297"/>
      <c r="K88" s="154">
        <f>first_year+5</f>
        <v>2029</v>
      </c>
      <c r="L88" s="1297"/>
      <c r="M88" s="1297"/>
      <c r="N88" s="1297"/>
      <c r="O88" s="1297"/>
      <c r="P88" s="1297"/>
      <c r="Q88" s="1297"/>
      <c r="R88" s="1297"/>
      <c r="S88" s="1297"/>
      <c r="T88" s="468" cm="1" t="str">
        <f t="array" ref="T88:T88">T87</f>
        <v>false</v>
      </c>
      <c r="U88" s="1297"/>
      <c r="V88" s="1297"/>
      <c r="W88" s="1297"/>
      <c r="X88" s="1539"/>
      <c r="Y88" s="1539"/>
      <c r="Z88" s="1529"/>
      <c r="AA88" s="1630"/>
      <c r="AB88" s="251" t="str">
        <f>K88&amp;" год"</f>
        <v>2029 год</v>
      </c>
      <c r="AC88" s="409"/>
      <c r="AD88" s="6972"/>
      <c r="AE88" s="6971"/>
      <c r="AF88" s="6971"/>
      <c r="AG88" s="6972"/>
      <c r="AH88" s="6971"/>
      <c r="AI88" s="6972"/>
      <c r="AJ88" s="6971"/>
      <c r="AK88" s="6973"/>
      <c r="AL88" s="404"/>
      <c r="AM88" s="1297"/>
      <c r="AN88" s="1072" cm="1" t="str">
        <f t="array" ref="AN88:AN88">K88</f>
        <v>2029</v>
      </c>
      <c r="AO88" s="1072" t="s">
        <v>2773</v>
      </c>
      <c r="AP88" s="1082" cm="1" t="str">
        <f t="array" ref="AP88:AP88">AP87</f>
        <v>0</v>
      </c>
      <c r="AQ88" s="709"/>
      <c r="AR88" s="709"/>
    </row>
    <row s="6985" customFormat="1" customHeight="1" ht="14.25" hidden="1">
      <c r="A89" s="1297"/>
      <c r="B89" s="447">
        <f>K89&lt;first_year+PERIOD_LENGTH</f>
        <v>0</v>
      </c>
      <c r="C89" s="1297"/>
      <c r="D89" s="1297"/>
      <c r="E89" s="709">
        <v>15</v>
      </c>
      <c r="F89" s="50" cm="1" t="str">
        <f t="array" ref="F89:F89">OFFSET(E89,-1,1)</f>
        <v>1</v>
      </c>
      <c r="G89" s="94" cm="1" t="str">
        <f t="array" ref="G89:G89">G88</f>
        <v>0</v>
      </c>
      <c r="H89" s="1297"/>
      <c r="I89" s="1297"/>
      <c r="J89" s="1297"/>
      <c r="K89" s="154">
        <f>first_year+6</f>
        <v>2030</v>
      </c>
      <c r="L89" s="1297"/>
      <c r="M89" s="1297"/>
      <c r="N89" s="1297"/>
      <c r="O89" s="1297"/>
      <c r="P89" s="1297"/>
      <c r="Q89" s="1297"/>
      <c r="R89" s="1297"/>
      <c r="S89" s="1297"/>
      <c r="T89" s="468" cm="1" t="str">
        <f t="array" ref="T89:T89">T88</f>
        <v>false</v>
      </c>
      <c r="U89" s="1297"/>
      <c r="V89" s="1297"/>
      <c r="W89" s="1297"/>
      <c r="X89" s="1539"/>
      <c r="Y89" s="1539"/>
      <c r="Z89" s="1529"/>
      <c r="AA89" s="1630"/>
      <c r="AB89" s="251" t="str">
        <f>K89&amp;" год"</f>
        <v>2030 год</v>
      </c>
      <c r="AC89" s="409"/>
      <c r="AD89" s="6972"/>
      <c r="AE89" s="6971"/>
      <c r="AF89" s="6971"/>
      <c r="AG89" s="6972"/>
      <c r="AH89" s="6971"/>
      <c r="AI89" s="6972"/>
      <c r="AJ89" s="6971"/>
      <c r="AK89" s="6973"/>
      <c r="AL89" s="404"/>
      <c r="AM89" s="1297"/>
      <c r="AN89" s="1072" cm="1" t="str">
        <f t="array" ref="AN89:AN89">K89</f>
        <v>2030</v>
      </c>
      <c r="AO89" s="1072" t="s">
        <v>2773</v>
      </c>
      <c r="AP89" s="1082" cm="1" t="str">
        <f t="array" ref="AP89:AP89">AP88</f>
        <v>0</v>
      </c>
      <c r="AQ89" s="709"/>
      <c r="AR89" s="709"/>
    </row>
    <row s="6986" customFormat="1" customHeight="1" ht="14.25" hidden="1">
      <c r="A90" s="1297"/>
      <c r="B90" s="447">
        <f>K90&lt;first_year+PERIOD_LENGTH</f>
        <v>0</v>
      </c>
      <c r="C90" s="1297"/>
      <c r="D90" s="1297"/>
      <c r="E90" s="709">
        <v>15</v>
      </c>
      <c r="F90" s="50" cm="1" t="str">
        <f t="array" ref="F90:F90">OFFSET(E90,-1,1)</f>
        <v>1</v>
      </c>
      <c r="G90" s="94" cm="1" t="str">
        <f t="array" ref="G90:G90">G89</f>
        <v>0</v>
      </c>
      <c r="H90" s="1297"/>
      <c r="I90" s="1297"/>
      <c r="J90" s="1297"/>
      <c r="K90" s="154">
        <f>first_year+7</f>
        <v>2031</v>
      </c>
      <c r="L90" s="1297"/>
      <c r="M90" s="1297"/>
      <c r="N90" s="1297"/>
      <c r="O90" s="1297"/>
      <c r="P90" s="1297"/>
      <c r="Q90" s="1297"/>
      <c r="R90" s="1297"/>
      <c r="S90" s="1297"/>
      <c r="T90" s="468" cm="1" t="str">
        <f t="array" ref="T90:T90">T89</f>
        <v>false</v>
      </c>
      <c r="U90" s="1297"/>
      <c r="V90" s="1297"/>
      <c r="W90" s="1297"/>
      <c r="X90" s="1539"/>
      <c r="Y90" s="1539"/>
      <c r="Z90" s="1529"/>
      <c r="AA90" s="1630"/>
      <c r="AB90" s="251" t="str">
        <f>K90&amp;" год"</f>
        <v>2031 год</v>
      </c>
      <c r="AC90" s="409"/>
      <c r="AD90" s="6972"/>
      <c r="AE90" s="6971"/>
      <c r="AF90" s="6971"/>
      <c r="AG90" s="6972"/>
      <c r="AH90" s="6971"/>
      <c r="AI90" s="6972"/>
      <c r="AJ90" s="6971"/>
      <c r="AK90" s="6973"/>
      <c r="AL90" s="404"/>
      <c r="AM90" s="1297"/>
      <c r="AN90" s="1072" cm="1" t="str">
        <f t="array" ref="AN90:AN90">K90</f>
        <v>2031</v>
      </c>
      <c r="AO90" s="1072" t="s">
        <v>2773</v>
      </c>
      <c r="AP90" s="1082" cm="1" t="str">
        <f t="array" ref="AP90:AP90">AP89</f>
        <v>0</v>
      </c>
      <c r="AQ90" s="709"/>
      <c r="AR90" s="709"/>
    </row>
    <row s="6987" customFormat="1" customHeight="1" ht="14.25" hidden="1">
      <c r="A91" s="1297"/>
      <c r="B91" s="447">
        <f>K91&lt;first_year+PERIOD_LENGTH</f>
        <v>0</v>
      </c>
      <c r="C91" s="1297"/>
      <c r="D91" s="1297"/>
      <c r="E91" s="709">
        <v>15</v>
      </c>
      <c r="F91" s="50" cm="1" t="str">
        <f t="array" ref="F91:F91">OFFSET(E91,-1,1)</f>
        <v>1</v>
      </c>
      <c r="G91" s="94" cm="1" t="str">
        <f t="array" ref="G91:G91">G90</f>
        <v>0</v>
      </c>
      <c r="H91" s="1297"/>
      <c r="I91" s="1297"/>
      <c r="J91" s="1297"/>
      <c r="K91" s="154">
        <f>first_year+8</f>
        <v>2032</v>
      </c>
      <c r="L91" s="1297"/>
      <c r="M91" s="1297"/>
      <c r="N91" s="1297"/>
      <c r="O91" s="1297"/>
      <c r="P91" s="1297"/>
      <c r="Q91" s="1297"/>
      <c r="R91" s="1297"/>
      <c r="S91" s="1297"/>
      <c r="T91" s="468" cm="1" t="str">
        <f t="array" ref="T91:T91">T90</f>
        <v>false</v>
      </c>
      <c r="U91" s="1297"/>
      <c r="V91" s="1297"/>
      <c r="W91" s="1297"/>
      <c r="X91" s="1539"/>
      <c r="Y91" s="1539"/>
      <c r="Z91" s="1529"/>
      <c r="AA91" s="1630"/>
      <c r="AB91" s="251" t="str">
        <f>K91&amp;" год"</f>
        <v>2032 год</v>
      </c>
      <c r="AC91" s="409"/>
      <c r="AD91" s="6972"/>
      <c r="AE91" s="6971"/>
      <c r="AF91" s="6971"/>
      <c r="AG91" s="6972"/>
      <c r="AH91" s="6971"/>
      <c r="AI91" s="6972"/>
      <c r="AJ91" s="6971"/>
      <c r="AK91" s="6973"/>
      <c r="AL91" s="404"/>
      <c r="AM91" s="1297"/>
      <c r="AN91" s="1072" cm="1" t="str">
        <f t="array" ref="AN91:AN91">K91</f>
        <v>2032</v>
      </c>
      <c r="AO91" s="1072" t="s">
        <v>2773</v>
      </c>
      <c r="AP91" s="1082" cm="1" t="str">
        <f t="array" ref="AP91:AP91">AP90</f>
        <v>0</v>
      </c>
      <c r="AQ91" s="709"/>
      <c r="AR91" s="709"/>
    </row>
    <row s="6988" customFormat="1" customHeight="1" ht="14.25" hidden="1">
      <c r="A92" s="1297"/>
      <c r="B92" s="447">
        <f>K92&lt;first_year+PERIOD_LENGTH</f>
        <v>0</v>
      </c>
      <c r="C92" s="1297"/>
      <c r="D92" s="1297"/>
      <c r="E92" s="709">
        <v>15</v>
      </c>
      <c r="F92" s="50" cm="1" t="str">
        <f t="array" ref="F92:F92">OFFSET(E92,-1,1)</f>
        <v>1</v>
      </c>
      <c r="G92" s="94" cm="1" t="str">
        <f t="array" ref="G92:G92">G91</f>
        <v>0</v>
      </c>
      <c r="H92" s="1297"/>
      <c r="I92" s="1297"/>
      <c r="J92" s="1297"/>
      <c r="K92" s="154">
        <f>first_year+9</f>
        <v>2033</v>
      </c>
      <c r="L92" s="1297"/>
      <c r="M92" s="1297"/>
      <c r="N92" s="1297"/>
      <c r="O92" s="1297"/>
      <c r="P92" s="1297"/>
      <c r="Q92" s="1297"/>
      <c r="R92" s="1297"/>
      <c r="S92" s="1297"/>
      <c r="T92" s="468" cm="1" t="str">
        <f t="array" ref="T92:T92">T91</f>
        <v>false</v>
      </c>
      <c r="U92" s="1297"/>
      <c r="V92" s="1297"/>
      <c r="W92" s="1297"/>
      <c r="X92" s="1539"/>
      <c r="Y92" s="1539"/>
      <c r="Z92" s="1529"/>
      <c r="AA92" s="1630"/>
      <c r="AB92" s="251" t="str">
        <f>K92&amp;" год"</f>
        <v>2033 год</v>
      </c>
      <c r="AC92" s="409"/>
      <c r="AD92" s="6972"/>
      <c r="AE92" s="6971"/>
      <c r="AF92" s="6971"/>
      <c r="AG92" s="6972"/>
      <c r="AH92" s="6971"/>
      <c r="AI92" s="6972"/>
      <c r="AJ92" s="6971"/>
      <c r="AK92" s="6973"/>
      <c r="AL92" s="404"/>
      <c r="AM92" s="1297"/>
      <c r="AN92" s="1072" cm="1" t="str">
        <f t="array" ref="AN92:AN92">K92</f>
        <v>2033</v>
      </c>
      <c r="AO92" s="1072" t="s">
        <v>2773</v>
      </c>
      <c r="AP92" s="1082" cm="1" t="str">
        <f t="array" ref="AP92:AP92">AP91</f>
        <v>0</v>
      </c>
      <c r="AQ92" s="709"/>
      <c r="AR92" s="709"/>
    </row>
    <row s="6989" customFormat="1" customHeight="1" ht="14.25" hidden="1">
      <c r="A93" s="1297"/>
      <c r="B93" s="447">
        <f>K93&lt;first_year+PERIOD_LENGTH</f>
        <v>0</v>
      </c>
      <c r="C93" s="1297"/>
      <c r="D93" s="1297"/>
      <c r="E93" s="709">
        <v>15</v>
      </c>
      <c r="F93" s="50" cm="1" t="str">
        <f t="array" ref="F93:F93">OFFSET(E93,-1,1)</f>
        <v>1</v>
      </c>
      <c r="G93" s="94" cm="1" t="str">
        <f t="array" ref="G93:G93">G92</f>
        <v>0</v>
      </c>
      <c r="H93" s="1297"/>
      <c r="I93" s="1297"/>
      <c r="J93" s="1297"/>
      <c r="K93" s="154">
        <f>first_year+10</f>
        <v>2034</v>
      </c>
      <c r="L93" s="1297"/>
      <c r="M93" s="1297"/>
      <c r="N93" s="1297"/>
      <c r="O93" s="1297"/>
      <c r="P93" s="1297"/>
      <c r="Q93" s="1297"/>
      <c r="R93" s="1297"/>
      <c r="S93" s="1297"/>
      <c r="T93" s="468" cm="1" t="str">
        <f t="array" ref="T93:T93">T92</f>
        <v>false</v>
      </c>
      <c r="U93" s="1297"/>
      <c r="V93" s="1297"/>
      <c r="W93" s="1297"/>
      <c r="X93" s="1539"/>
      <c r="Y93" s="1539"/>
      <c r="Z93" s="1529"/>
      <c r="AA93" s="1630"/>
      <c r="AB93" s="251" t="str">
        <f>K93&amp;" год"</f>
        <v>2034 год</v>
      </c>
      <c r="AC93" s="409"/>
      <c r="AD93" s="6972"/>
      <c r="AE93" s="6971"/>
      <c r="AF93" s="6971"/>
      <c r="AG93" s="6972"/>
      <c r="AH93" s="6971"/>
      <c r="AI93" s="6972"/>
      <c r="AJ93" s="6971"/>
      <c r="AK93" s="6973"/>
      <c r="AL93" s="404"/>
      <c r="AM93" s="1297"/>
      <c r="AN93" s="1072" cm="1" t="str">
        <f t="array" ref="AN93:AN93">K93</f>
        <v>2034</v>
      </c>
      <c r="AO93" s="1072" t="s">
        <v>2773</v>
      </c>
      <c r="AP93" s="1082" cm="1" t="str">
        <f t="array" ref="AP93:AP93">AP92</f>
        <v>0</v>
      </c>
      <c r="AQ93" s="709"/>
      <c r="AR93" s="709"/>
    </row>
    <row s="6990" customFormat="1" customHeight="1" ht="14.25" hidden="1">
      <c r="A94" s="1297"/>
      <c r="B94" s="447">
        <f>K94&lt;first_year+PERIOD_LENGTH</f>
        <v>0</v>
      </c>
      <c r="C94" s="1297"/>
      <c r="D94" s="1297"/>
      <c r="E94" s="709">
        <v>15</v>
      </c>
      <c r="F94" s="50" cm="1" t="str">
        <f t="array" ref="F94:F94">OFFSET(E94,-1,1)</f>
        <v>1</v>
      </c>
      <c r="G94" s="94" cm="1" t="str">
        <f t="array" ref="G94:G94">G93</f>
        <v>0</v>
      </c>
      <c r="H94" s="1297"/>
      <c r="I94" s="1297"/>
      <c r="J94" s="1297"/>
      <c r="K94" s="154">
        <f>first_year+11</f>
        <v>2035</v>
      </c>
      <c r="L94" s="1297"/>
      <c r="M94" s="1297"/>
      <c r="N94" s="1297"/>
      <c r="O94" s="1297"/>
      <c r="P94" s="1297"/>
      <c r="Q94" s="1297"/>
      <c r="R94" s="1297"/>
      <c r="S94" s="1297"/>
      <c r="T94" s="468" cm="1" t="str">
        <f t="array" ref="T94:T94">T93</f>
        <v>false</v>
      </c>
      <c r="U94" s="1297"/>
      <c r="V94" s="1297"/>
      <c r="W94" s="1297"/>
      <c r="X94" s="1539"/>
      <c r="Y94" s="1539"/>
      <c r="Z94" s="1529"/>
      <c r="AA94" s="1630"/>
      <c r="AB94" s="251" t="str">
        <f>K94&amp;" год"</f>
        <v>2035 год</v>
      </c>
      <c r="AC94" s="409"/>
      <c r="AD94" s="6972"/>
      <c r="AE94" s="6971"/>
      <c r="AF94" s="6971"/>
      <c r="AG94" s="6972"/>
      <c r="AH94" s="6971"/>
      <c r="AI94" s="6972"/>
      <c r="AJ94" s="6971"/>
      <c r="AK94" s="6973"/>
      <c r="AL94" s="404"/>
      <c r="AM94" s="1297"/>
      <c r="AN94" s="1072" cm="1" t="str">
        <f t="array" ref="AN94:AN94">K94</f>
        <v>2035</v>
      </c>
      <c r="AO94" s="1072" t="s">
        <v>2773</v>
      </c>
      <c r="AP94" s="1082" cm="1" t="str">
        <f t="array" ref="AP94:AP94">AP93</f>
        <v>0</v>
      </c>
      <c r="AQ94" s="709"/>
      <c r="AR94" s="709"/>
    </row>
    <row s="6991" customFormat="1" customHeight="1" ht="14.25" hidden="1">
      <c r="A95" s="1297"/>
      <c r="B95" s="447">
        <f>K95&lt;first_year+PERIOD_LENGTH</f>
        <v>0</v>
      </c>
      <c r="C95" s="1297"/>
      <c r="D95" s="1297"/>
      <c r="E95" s="709">
        <v>15</v>
      </c>
      <c r="F95" s="50" cm="1" t="str">
        <f t="array" ref="F95:F95">OFFSET(E95,-1,1)</f>
        <v>1</v>
      </c>
      <c r="G95" s="94" cm="1" t="str">
        <f t="array" ref="G95:G95">G94</f>
        <v>0</v>
      </c>
      <c r="H95" s="1297"/>
      <c r="I95" s="1297"/>
      <c r="J95" s="1297"/>
      <c r="K95" s="154">
        <f>first_year+12</f>
        <v>2036</v>
      </c>
      <c r="L95" s="1297"/>
      <c r="M95" s="1297"/>
      <c r="N95" s="1297"/>
      <c r="O95" s="1297"/>
      <c r="P95" s="1297"/>
      <c r="Q95" s="1297"/>
      <c r="R95" s="1297"/>
      <c r="S95" s="1297"/>
      <c r="T95" s="468" cm="1" t="str">
        <f t="array" ref="T95:T95">T94</f>
        <v>false</v>
      </c>
      <c r="U95" s="1297"/>
      <c r="V95" s="1297"/>
      <c r="W95" s="1297"/>
      <c r="X95" s="1539"/>
      <c r="Y95" s="1539"/>
      <c r="Z95" s="1529"/>
      <c r="AA95" s="1630"/>
      <c r="AB95" s="251" t="str">
        <f>K95&amp;" год"</f>
        <v>2036 год</v>
      </c>
      <c r="AC95" s="409"/>
      <c r="AD95" s="6972"/>
      <c r="AE95" s="6971"/>
      <c r="AF95" s="6971"/>
      <c r="AG95" s="6972"/>
      <c r="AH95" s="6971"/>
      <c r="AI95" s="6972"/>
      <c r="AJ95" s="6971"/>
      <c r="AK95" s="6973"/>
      <c r="AL95" s="404"/>
      <c r="AM95" s="1297"/>
      <c r="AN95" s="1072" cm="1" t="str">
        <f t="array" ref="AN95:AN95">K95</f>
        <v>2036</v>
      </c>
      <c r="AO95" s="1072" t="s">
        <v>2773</v>
      </c>
      <c r="AP95" s="1082" cm="1" t="str">
        <f t="array" ref="AP95:AP95">AP94</f>
        <v>0</v>
      </c>
      <c r="AQ95" s="709"/>
      <c r="AR95" s="709"/>
    </row>
    <row s="6992" customFormat="1" customHeight="1" ht="14.25" hidden="1">
      <c r="A96" s="1297"/>
      <c r="B96" s="447">
        <f>K96&lt;first_year+PERIOD_LENGTH</f>
        <v>0</v>
      </c>
      <c r="C96" s="1297"/>
      <c r="D96" s="1297"/>
      <c r="E96" s="709">
        <v>15</v>
      </c>
      <c r="F96" s="50" cm="1" t="str">
        <f t="array" ref="F96:F96">OFFSET(E96,-1,1)</f>
        <v>1</v>
      </c>
      <c r="G96" s="94" cm="1" t="str">
        <f t="array" ref="G96:G96">G95</f>
        <v>0</v>
      </c>
      <c r="H96" s="1297"/>
      <c r="I96" s="1297"/>
      <c r="J96" s="1297"/>
      <c r="K96" s="154">
        <f>first_year+13</f>
        <v>2037</v>
      </c>
      <c r="L96" s="1297"/>
      <c r="M96" s="1297"/>
      <c r="N96" s="1297"/>
      <c r="O96" s="1297"/>
      <c r="P96" s="1297"/>
      <c r="Q96" s="1297"/>
      <c r="R96" s="1297"/>
      <c r="S96" s="1297"/>
      <c r="T96" s="468" cm="1" t="str">
        <f t="array" ref="T96:T96">T95</f>
        <v>false</v>
      </c>
      <c r="U96" s="1297"/>
      <c r="V96" s="1297"/>
      <c r="W96" s="1297"/>
      <c r="X96" s="1539"/>
      <c r="Y96" s="1539"/>
      <c r="Z96" s="1529"/>
      <c r="AA96" s="1630"/>
      <c r="AB96" s="251" t="str">
        <f>K96&amp;" год"</f>
        <v>2037 год</v>
      </c>
      <c r="AC96" s="409"/>
      <c r="AD96" s="6972"/>
      <c r="AE96" s="6971"/>
      <c r="AF96" s="6971"/>
      <c r="AG96" s="6972"/>
      <c r="AH96" s="6971"/>
      <c r="AI96" s="6972"/>
      <c r="AJ96" s="6971"/>
      <c r="AK96" s="6973"/>
      <c r="AL96" s="404"/>
      <c r="AM96" s="1297"/>
      <c r="AN96" s="1072" cm="1" t="str">
        <f t="array" ref="AN96:AN96">K96</f>
        <v>2037</v>
      </c>
      <c r="AO96" s="1072" t="s">
        <v>2773</v>
      </c>
      <c r="AP96" s="1082" cm="1" t="str">
        <f t="array" ref="AP96:AP96">AP95</f>
        <v>0</v>
      </c>
      <c r="AQ96" s="709"/>
      <c r="AR96" s="709"/>
    </row>
    <row s="6993" customFormat="1" customHeight="1" ht="14.25" hidden="1">
      <c r="A97" s="1297"/>
      <c r="B97" s="447">
        <f>K97&lt;first_year+PERIOD_LENGTH</f>
        <v>0</v>
      </c>
      <c r="C97" s="1297"/>
      <c r="D97" s="1297"/>
      <c r="E97" s="709">
        <v>15</v>
      </c>
      <c r="F97" s="50" cm="1" t="str">
        <f t="array" ref="F97:F97">OFFSET(E97,-1,1)</f>
        <v>1</v>
      </c>
      <c r="G97" s="94" cm="1" t="str">
        <f t="array" ref="G97:G97">G96</f>
        <v>0</v>
      </c>
      <c r="H97" s="1297"/>
      <c r="I97" s="1297"/>
      <c r="J97" s="1297"/>
      <c r="K97" s="154">
        <f>first_year+14</f>
        <v>2038</v>
      </c>
      <c r="L97" s="1297"/>
      <c r="M97" s="1297"/>
      <c r="N97" s="1297"/>
      <c r="O97" s="1297"/>
      <c r="P97" s="1297"/>
      <c r="Q97" s="1297"/>
      <c r="R97" s="1297"/>
      <c r="S97" s="1297"/>
      <c r="T97" s="468" cm="1" t="str">
        <f t="array" ref="T97:T97">T96</f>
        <v>false</v>
      </c>
      <c r="U97" s="1297"/>
      <c r="V97" s="1297"/>
      <c r="W97" s="1297"/>
      <c r="X97" s="1539"/>
      <c r="Y97" s="1539"/>
      <c r="Z97" s="1529"/>
      <c r="AA97" s="1630"/>
      <c r="AB97" s="251" t="str">
        <f>K97&amp;" год"</f>
        <v>2038 год</v>
      </c>
      <c r="AC97" s="409"/>
      <c r="AD97" s="6972"/>
      <c r="AE97" s="6971"/>
      <c r="AF97" s="6971"/>
      <c r="AG97" s="6972"/>
      <c r="AH97" s="6971"/>
      <c r="AI97" s="6972"/>
      <c r="AJ97" s="6971"/>
      <c r="AK97" s="6973"/>
      <c r="AL97" s="404"/>
      <c r="AM97" s="1297"/>
      <c r="AN97" s="1072" cm="1" t="str">
        <f t="array" ref="AN97:AN97">K97</f>
        <v>2038</v>
      </c>
      <c r="AO97" s="1072" t="s">
        <v>2773</v>
      </c>
      <c r="AP97" s="1082" cm="1" t="str">
        <f t="array" ref="AP97:AP97">AP96</f>
        <v>0</v>
      </c>
      <c r="AQ97" s="709"/>
      <c r="AR97" s="709"/>
    </row>
    <row s="6994" customFormat="1" customHeight="1" ht="14.25" hidden="1">
      <c r="A98" s="1297"/>
      <c r="B98" s="447">
        <f>K98&lt;first_year+PERIOD_LENGTH</f>
        <v>0</v>
      </c>
      <c r="C98" s="1297"/>
      <c r="D98" s="1297"/>
      <c r="E98" s="709">
        <v>15</v>
      </c>
      <c r="F98" s="50" cm="1" t="str">
        <f t="array" ref="F98:F98">OFFSET(E98,-1,1)</f>
        <v>1</v>
      </c>
      <c r="G98" s="94" cm="1" t="str">
        <f t="array" ref="G98:G98">G97</f>
        <v>0</v>
      </c>
      <c r="H98" s="1297"/>
      <c r="I98" s="1297"/>
      <c r="J98" s="1297"/>
      <c r="K98" s="154">
        <f>first_year+15</f>
        <v>2039</v>
      </c>
      <c r="L98" s="1297"/>
      <c r="M98" s="1297"/>
      <c r="N98" s="1297"/>
      <c r="O98" s="1297"/>
      <c r="P98" s="1297"/>
      <c r="Q98" s="1297"/>
      <c r="R98" s="1297"/>
      <c r="S98" s="1297"/>
      <c r="T98" s="468" cm="1" t="str">
        <f t="array" ref="T98:T98">T97</f>
        <v>false</v>
      </c>
      <c r="U98" s="1297"/>
      <c r="V98" s="1297"/>
      <c r="W98" s="1297"/>
      <c r="X98" s="1539"/>
      <c r="Y98" s="1539"/>
      <c r="Z98" s="1529"/>
      <c r="AA98" s="1630"/>
      <c r="AB98" s="251" t="str">
        <f>K98&amp;" год"</f>
        <v>2039 год</v>
      </c>
      <c r="AC98" s="409"/>
      <c r="AD98" s="6972"/>
      <c r="AE98" s="6971"/>
      <c r="AF98" s="6971"/>
      <c r="AG98" s="6972"/>
      <c r="AH98" s="6971"/>
      <c r="AI98" s="6972"/>
      <c r="AJ98" s="6971"/>
      <c r="AK98" s="6973"/>
      <c r="AL98" s="404"/>
      <c r="AM98" s="1297"/>
      <c r="AN98" s="1072" cm="1" t="str">
        <f t="array" ref="AN98:AN98">K98</f>
        <v>2039</v>
      </c>
      <c r="AO98" s="1072" t="s">
        <v>2773</v>
      </c>
      <c r="AP98" s="1082" cm="1" t="str">
        <f t="array" ref="AP98:AP98">AP97</f>
        <v>0</v>
      </c>
      <c r="AQ98" s="709"/>
      <c r="AR98" s="709"/>
    </row>
    <row s="6995" customFormat="1" customHeight="1" ht="14.25" hidden="1">
      <c r="A99" s="1297"/>
      <c r="B99" s="447">
        <f>K99&lt;first_year+PERIOD_LENGTH</f>
        <v>0</v>
      </c>
      <c r="C99" s="1297"/>
      <c r="D99" s="1297"/>
      <c r="E99" s="709">
        <v>15</v>
      </c>
      <c r="F99" s="50" cm="1" t="str">
        <f t="array" ref="F99:F99">OFFSET(E99,-1,1)</f>
        <v>1</v>
      </c>
      <c r="G99" s="94" cm="1" t="str">
        <f t="array" ref="G99:G99">G98</f>
        <v>0</v>
      </c>
      <c r="H99" s="1297"/>
      <c r="I99" s="1297"/>
      <c r="J99" s="1297"/>
      <c r="K99" s="154">
        <f>first_year+16</f>
        <v>2040</v>
      </c>
      <c r="L99" s="1297"/>
      <c r="M99" s="1297"/>
      <c r="N99" s="1297"/>
      <c r="O99" s="1297"/>
      <c r="P99" s="1297"/>
      <c r="Q99" s="1297"/>
      <c r="R99" s="1297"/>
      <c r="S99" s="1297"/>
      <c r="T99" s="468" cm="1" t="str">
        <f t="array" ref="T99:T99">T98</f>
        <v>false</v>
      </c>
      <c r="U99" s="1297"/>
      <c r="V99" s="1297"/>
      <c r="W99" s="1297"/>
      <c r="X99" s="1539"/>
      <c r="Y99" s="1539"/>
      <c r="Z99" s="1529"/>
      <c r="AA99" s="1630"/>
      <c r="AB99" s="251" t="str">
        <f>K99&amp;" год"</f>
        <v>2040 год</v>
      </c>
      <c r="AC99" s="409"/>
      <c r="AD99" s="6972"/>
      <c r="AE99" s="6971"/>
      <c r="AF99" s="6971"/>
      <c r="AG99" s="6972"/>
      <c r="AH99" s="6971"/>
      <c r="AI99" s="6972"/>
      <c r="AJ99" s="6971"/>
      <c r="AK99" s="6973"/>
      <c r="AL99" s="404"/>
      <c r="AM99" s="1297"/>
      <c r="AN99" s="1072" cm="1" t="str">
        <f t="array" ref="AN99:AN99">K99</f>
        <v>2040</v>
      </c>
      <c r="AO99" s="1072" t="s">
        <v>2773</v>
      </c>
      <c r="AP99" s="1082" cm="1" t="str">
        <f t="array" ref="AP99:AP99">AP98</f>
        <v>0</v>
      </c>
      <c r="AQ99" s="709"/>
      <c r="AR99" s="709"/>
    </row>
    <row s="6996" customFormat="1" customHeight="1" ht="14.25" hidden="1">
      <c r="A100" s="1297"/>
      <c r="B100" s="447">
        <f>K100&lt;first_year+PERIOD_LENGTH</f>
        <v>0</v>
      </c>
      <c r="C100" s="1297"/>
      <c r="D100" s="1297"/>
      <c r="E100" s="709">
        <v>15</v>
      </c>
      <c r="F100" s="50" cm="1" t="str">
        <f t="array" ref="F100:F100">OFFSET(E100,-1,1)</f>
        <v>1</v>
      </c>
      <c r="G100" s="94" cm="1" t="str">
        <f t="array" ref="G100:G100">G99</f>
        <v>0</v>
      </c>
      <c r="H100" s="1297"/>
      <c r="I100" s="1297"/>
      <c r="J100" s="1297"/>
      <c r="K100" s="154">
        <f>first_year+17</f>
        <v>2041</v>
      </c>
      <c r="L100" s="1297"/>
      <c r="M100" s="1297"/>
      <c r="N100" s="1297"/>
      <c r="O100" s="1297"/>
      <c r="P100" s="1297"/>
      <c r="Q100" s="1297"/>
      <c r="R100" s="1297"/>
      <c r="S100" s="1297"/>
      <c r="T100" s="468" cm="1" t="str">
        <f t="array" ref="T100:T100">T99</f>
        <v>false</v>
      </c>
      <c r="U100" s="1297"/>
      <c r="V100" s="1297"/>
      <c r="W100" s="1297"/>
      <c r="X100" s="1539"/>
      <c r="Y100" s="1539"/>
      <c r="Z100" s="1529"/>
      <c r="AA100" s="1630"/>
      <c r="AB100" s="251" t="str">
        <f>K100&amp;" год"</f>
        <v>2041 год</v>
      </c>
      <c r="AC100" s="409"/>
      <c r="AD100" s="6972"/>
      <c r="AE100" s="6971"/>
      <c r="AF100" s="6971"/>
      <c r="AG100" s="6972"/>
      <c r="AH100" s="6971"/>
      <c r="AI100" s="6972"/>
      <c r="AJ100" s="6971"/>
      <c r="AK100" s="6973"/>
      <c r="AL100" s="404"/>
      <c r="AM100" s="1297"/>
      <c r="AN100" s="1072" cm="1" t="str">
        <f t="array" ref="AN100:AN100">K100</f>
        <v>2041</v>
      </c>
      <c r="AO100" s="1072" t="s">
        <v>2773</v>
      </c>
      <c r="AP100" s="1082" cm="1" t="str">
        <f t="array" ref="AP100:AP100">AP99</f>
        <v>0</v>
      </c>
      <c r="AQ100" s="709"/>
      <c r="AR100" s="709"/>
    </row>
    <row s="6997" customFormat="1" customHeight="1" ht="14.25" hidden="1">
      <c r="A101" s="1297"/>
      <c r="B101" s="447">
        <f>K101&lt;first_year+PERIOD_LENGTH</f>
        <v>0</v>
      </c>
      <c r="C101" s="1297"/>
      <c r="D101" s="1297"/>
      <c r="E101" s="709">
        <v>15</v>
      </c>
      <c r="F101" s="50" cm="1" t="str">
        <f t="array" ref="F101:F101">OFFSET(E101,-1,1)</f>
        <v>1</v>
      </c>
      <c r="G101" s="94" cm="1" t="str">
        <f t="array" ref="G101:G101">G100</f>
        <v>0</v>
      </c>
      <c r="H101" s="1297"/>
      <c r="I101" s="1297"/>
      <c r="J101" s="1297"/>
      <c r="K101" s="154">
        <f>first_year+18</f>
        <v>2042</v>
      </c>
      <c r="L101" s="1297"/>
      <c r="M101" s="1297"/>
      <c r="N101" s="1297"/>
      <c r="O101" s="1297"/>
      <c r="P101" s="1297"/>
      <c r="Q101" s="1297"/>
      <c r="R101" s="1297"/>
      <c r="S101" s="1297"/>
      <c r="T101" s="468" cm="1" t="str">
        <f t="array" ref="T101:T101">T100</f>
        <v>false</v>
      </c>
      <c r="U101" s="1297"/>
      <c r="V101" s="1297"/>
      <c r="W101" s="1297"/>
      <c r="X101" s="1539"/>
      <c r="Y101" s="1539"/>
      <c r="Z101" s="1529"/>
      <c r="AA101" s="1630"/>
      <c r="AB101" s="251" t="str">
        <f>K101&amp;" год"</f>
        <v>2042 год</v>
      </c>
      <c r="AC101" s="409"/>
      <c r="AD101" s="6972"/>
      <c r="AE101" s="6971"/>
      <c r="AF101" s="6971"/>
      <c r="AG101" s="6972"/>
      <c r="AH101" s="6971"/>
      <c r="AI101" s="6972"/>
      <c r="AJ101" s="6971"/>
      <c r="AK101" s="6973"/>
      <c r="AL101" s="404"/>
      <c r="AM101" s="1297"/>
      <c r="AN101" s="1072" cm="1" t="str">
        <f t="array" ref="AN101:AN101">K101</f>
        <v>2042</v>
      </c>
      <c r="AO101" s="1072" t="s">
        <v>2773</v>
      </c>
      <c r="AP101" s="1082" cm="1" t="str">
        <f t="array" ref="AP101:AP101">AP100</f>
        <v>0</v>
      </c>
      <c r="AQ101" s="709"/>
      <c r="AR101" s="709"/>
    </row>
    <row s="6998" customFormat="1" customHeight="1" ht="14.25" hidden="1">
      <c r="A102" s="1297"/>
      <c r="B102" s="447">
        <f>K102&lt;first_year+PERIOD_LENGTH</f>
        <v>0</v>
      </c>
      <c r="C102" s="1297"/>
      <c r="D102" s="1297"/>
      <c r="E102" s="709">
        <v>15</v>
      </c>
      <c r="F102" s="50" cm="1" t="str">
        <f t="array" ref="F102:F102">OFFSET(E102,-1,1)</f>
        <v>1</v>
      </c>
      <c r="G102" s="94" cm="1" t="str">
        <f t="array" ref="G102:G102">G101</f>
        <v>0</v>
      </c>
      <c r="H102" s="1297"/>
      <c r="I102" s="1297"/>
      <c r="J102" s="1297"/>
      <c r="K102" s="154">
        <f>first_year+19</f>
        <v>2043</v>
      </c>
      <c r="L102" s="1297"/>
      <c r="M102" s="1297"/>
      <c r="N102" s="1297"/>
      <c r="O102" s="1297"/>
      <c r="P102" s="1297"/>
      <c r="Q102" s="1297"/>
      <c r="R102" s="1297"/>
      <c r="S102" s="1297"/>
      <c r="T102" s="468" cm="1" t="str">
        <f t="array" ref="T102:T102">T101</f>
        <v>false</v>
      </c>
      <c r="U102" s="1297"/>
      <c r="V102" s="1297"/>
      <c r="W102" s="1297"/>
      <c r="X102" s="1539"/>
      <c r="Y102" s="1539"/>
      <c r="Z102" s="1529"/>
      <c r="AA102" s="1630"/>
      <c r="AB102" s="251" t="str">
        <f>K102&amp;" год"</f>
        <v>2043 год</v>
      </c>
      <c r="AC102" s="409"/>
      <c r="AD102" s="6972"/>
      <c r="AE102" s="6971"/>
      <c r="AF102" s="6971"/>
      <c r="AG102" s="6972"/>
      <c r="AH102" s="6971"/>
      <c r="AI102" s="6972"/>
      <c r="AJ102" s="6971"/>
      <c r="AK102" s="6973"/>
      <c r="AL102" s="404"/>
      <c r="AM102" s="1297"/>
      <c r="AN102" s="1072" cm="1" t="str">
        <f t="array" ref="AN102:AN102">K102</f>
        <v>2043</v>
      </c>
      <c r="AO102" s="1072" t="s">
        <v>2773</v>
      </c>
      <c r="AP102" s="1082" cm="1" t="str">
        <f t="array" ref="AP102:AP102">AP101</f>
        <v>0</v>
      </c>
      <c r="AQ102" s="709"/>
      <c r="AR102" s="709"/>
    </row>
    <row s="6999" customFormat="1" customHeight="1" ht="14.25" hidden="1">
      <c r="A103" s="1297"/>
      <c r="B103" s="447">
        <f>K103&lt;first_year+PERIOD_LENGTH</f>
        <v>0</v>
      </c>
      <c r="C103" s="1297"/>
      <c r="D103" s="1297"/>
      <c r="E103" s="709">
        <v>15</v>
      </c>
      <c r="F103" s="50" cm="1" t="str">
        <f t="array" ref="F103:F103">OFFSET(E103,-1,1)</f>
        <v>1</v>
      </c>
      <c r="G103" s="94" cm="1" t="str">
        <f t="array" ref="G103:G103">G102</f>
        <v>0</v>
      </c>
      <c r="H103" s="1297"/>
      <c r="I103" s="1297"/>
      <c r="J103" s="1297"/>
      <c r="K103" s="154">
        <f>first_year+20</f>
        <v>2044</v>
      </c>
      <c r="L103" s="1297"/>
      <c r="M103" s="1297"/>
      <c r="N103" s="1297"/>
      <c r="O103" s="1297"/>
      <c r="P103" s="1297"/>
      <c r="Q103" s="1297"/>
      <c r="R103" s="1297"/>
      <c r="S103" s="1297"/>
      <c r="T103" s="468" cm="1" t="str">
        <f t="array" ref="T103:T103">T102</f>
        <v>false</v>
      </c>
      <c r="U103" s="1297"/>
      <c r="V103" s="1297"/>
      <c r="W103" s="1297"/>
      <c r="X103" s="1539"/>
      <c r="Y103" s="1539"/>
      <c r="Z103" s="1529"/>
      <c r="AA103" s="1630"/>
      <c r="AB103" s="251" t="str">
        <f>K103&amp;" год"</f>
        <v>2044 год</v>
      </c>
      <c r="AC103" s="409"/>
      <c r="AD103" s="6972"/>
      <c r="AE103" s="6971"/>
      <c r="AF103" s="6971"/>
      <c r="AG103" s="6972"/>
      <c r="AH103" s="6971"/>
      <c r="AI103" s="6972"/>
      <c r="AJ103" s="6971"/>
      <c r="AK103" s="6973"/>
      <c r="AL103" s="404"/>
      <c r="AM103" s="1297"/>
      <c r="AN103" s="1072" cm="1" t="str">
        <f t="array" ref="AN103:AN103">K103</f>
        <v>2044</v>
      </c>
      <c r="AO103" s="1072" t="s">
        <v>2773</v>
      </c>
      <c r="AP103" s="1082" cm="1" t="str">
        <f t="array" ref="AP103:AP103">AP102</f>
        <v>0</v>
      </c>
      <c r="AQ103" s="709"/>
      <c r="AR103" s="709"/>
    </row>
    <row s="7000" customFormat="1" customHeight="1" ht="14.25" hidden="1">
      <c r="A104" s="1297"/>
      <c r="B104" s="447">
        <f>K104&lt;first_year+PERIOD_LENGTH</f>
        <v>0</v>
      </c>
      <c r="C104" s="1297"/>
      <c r="D104" s="1297"/>
      <c r="E104" s="709">
        <v>15</v>
      </c>
      <c r="F104" s="50" cm="1" t="str">
        <f t="array" ref="F104:F104">OFFSET(E104,-1,1)</f>
        <v>1</v>
      </c>
      <c r="G104" s="94" cm="1" t="str">
        <f t="array" ref="G104:G104">G103</f>
        <v>0</v>
      </c>
      <c r="H104" s="1297"/>
      <c r="I104" s="1297"/>
      <c r="J104" s="1297"/>
      <c r="K104" s="154">
        <f>first_year+21</f>
        <v>2045</v>
      </c>
      <c r="L104" s="1297"/>
      <c r="M104" s="1297"/>
      <c r="N104" s="1297"/>
      <c r="O104" s="1297"/>
      <c r="P104" s="1297"/>
      <c r="Q104" s="1297"/>
      <c r="R104" s="1297"/>
      <c r="S104" s="1297"/>
      <c r="T104" s="468" cm="1" t="str">
        <f t="array" ref="T104:T104">T103</f>
        <v>false</v>
      </c>
      <c r="U104" s="1297"/>
      <c r="V104" s="1297"/>
      <c r="W104" s="1297"/>
      <c r="X104" s="1539"/>
      <c r="Y104" s="1539"/>
      <c r="Z104" s="1529"/>
      <c r="AA104" s="1630"/>
      <c r="AB104" s="251" t="str">
        <f>K104&amp;" год"</f>
        <v>2045 год</v>
      </c>
      <c r="AC104" s="409"/>
      <c r="AD104" s="6972"/>
      <c r="AE104" s="6971"/>
      <c r="AF104" s="6971"/>
      <c r="AG104" s="6972"/>
      <c r="AH104" s="6971"/>
      <c r="AI104" s="6972"/>
      <c r="AJ104" s="6971"/>
      <c r="AK104" s="6973"/>
      <c r="AL104" s="404"/>
      <c r="AM104" s="1297"/>
      <c r="AN104" s="1072" cm="1" t="str">
        <f t="array" ref="AN104:AN104">K104</f>
        <v>2045</v>
      </c>
      <c r="AO104" s="1072" t="s">
        <v>2773</v>
      </c>
      <c r="AP104" s="1082" cm="1" t="str">
        <f t="array" ref="AP104:AP104">AP103</f>
        <v>0</v>
      </c>
      <c r="AQ104" s="709"/>
      <c r="AR104" s="709"/>
    </row>
    <row s="7001" customFormat="1" customHeight="1" ht="14.25" hidden="1">
      <c r="A105" s="1297"/>
      <c r="B105" s="447">
        <f>K105&lt;first_year+PERIOD_LENGTH</f>
        <v>0</v>
      </c>
      <c r="C105" s="1297"/>
      <c r="D105" s="1297"/>
      <c r="E105" s="709">
        <v>15</v>
      </c>
      <c r="F105" s="50" cm="1" t="str">
        <f t="array" ref="F105:F105">OFFSET(E105,-1,1)</f>
        <v>1</v>
      </c>
      <c r="G105" s="94" cm="1" t="str">
        <f t="array" ref="G105:G105">G104</f>
        <v>0</v>
      </c>
      <c r="H105" s="1297"/>
      <c r="I105" s="1297"/>
      <c r="J105" s="1297"/>
      <c r="K105" s="154">
        <f>first_year+22</f>
        <v>2046</v>
      </c>
      <c r="L105" s="1297"/>
      <c r="M105" s="1297"/>
      <c r="N105" s="1297"/>
      <c r="O105" s="1297"/>
      <c r="P105" s="1297"/>
      <c r="Q105" s="1297"/>
      <c r="R105" s="1297"/>
      <c r="S105" s="1297"/>
      <c r="T105" s="468" cm="1" t="str">
        <f t="array" ref="T105:T105">T104</f>
        <v>false</v>
      </c>
      <c r="U105" s="1297"/>
      <c r="V105" s="1297"/>
      <c r="W105" s="1297"/>
      <c r="X105" s="1539"/>
      <c r="Y105" s="1539"/>
      <c r="Z105" s="1529"/>
      <c r="AA105" s="1630"/>
      <c r="AB105" s="251" t="str">
        <f>K105&amp;" год"</f>
        <v>2046 год</v>
      </c>
      <c r="AC105" s="409"/>
      <c r="AD105" s="6972"/>
      <c r="AE105" s="6971"/>
      <c r="AF105" s="6971"/>
      <c r="AG105" s="6972"/>
      <c r="AH105" s="6971"/>
      <c r="AI105" s="6972"/>
      <c r="AJ105" s="6971"/>
      <c r="AK105" s="6973"/>
      <c r="AL105" s="404"/>
      <c r="AM105" s="1297"/>
      <c r="AN105" s="1072" cm="1" t="str">
        <f t="array" ref="AN105:AN105">K105</f>
        <v>2046</v>
      </c>
      <c r="AO105" s="1072" t="s">
        <v>2773</v>
      </c>
      <c r="AP105" s="1082" cm="1" t="str">
        <f t="array" ref="AP105:AP105">AP104</f>
        <v>0</v>
      </c>
      <c r="AQ105" s="709"/>
      <c r="AR105" s="709"/>
    </row>
    <row s="7002" customFormat="1" customHeight="1" ht="14.25" hidden="1">
      <c r="A106" s="1297"/>
      <c r="B106" s="447">
        <f>K106&lt;first_year+PERIOD_LENGTH</f>
        <v>0</v>
      </c>
      <c r="C106" s="1297"/>
      <c r="D106" s="1297"/>
      <c r="E106" s="709">
        <v>15</v>
      </c>
      <c r="F106" s="50" cm="1" t="str">
        <f t="array" ref="F106:F106">OFFSET(E106,-1,1)</f>
        <v>1</v>
      </c>
      <c r="G106" s="94" cm="1" t="str">
        <f t="array" ref="G106:G106">G105</f>
        <v>0</v>
      </c>
      <c r="H106" s="1297"/>
      <c r="I106" s="1297"/>
      <c r="J106" s="1297"/>
      <c r="K106" s="154">
        <f>first_year+23</f>
        <v>2047</v>
      </c>
      <c r="L106" s="1297"/>
      <c r="M106" s="1297"/>
      <c r="N106" s="1297"/>
      <c r="O106" s="1297"/>
      <c r="P106" s="1297"/>
      <c r="Q106" s="1297"/>
      <c r="R106" s="1297"/>
      <c r="S106" s="1297"/>
      <c r="T106" s="468" cm="1" t="str">
        <f t="array" ref="T106:T106">T105</f>
        <v>false</v>
      </c>
      <c r="U106" s="1297"/>
      <c r="V106" s="1297"/>
      <c r="W106" s="1297"/>
      <c r="X106" s="1539"/>
      <c r="Y106" s="1539"/>
      <c r="Z106" s="1529"/>
      <c r="AA106" s="1630"/>
      <c r="AB106" s="251" t="str">
        <f>K106&amp;" год"</f>
        <v>2047 год</v>
      </c>
      <c r="AC106" s="409"/>
      <c r="AD106" s="6972"/>
      <c r="AE106" s="6971"/>
      <c r="AF106" s="6971"/>
      <c r="AG106" s="6972"/>
      <c r="AH106" s="6971"/>
      <c r="AI106" s="6972"/>
      <c r="AJ106" s="6971"/>
      <c r="AK106" s="6973"/>
      <c r="AL106" s="404"/>
      <c r="AM106" s="1297"/>
      <c r="AN106" s="1072" cm="1" t="str">
        <f t="array" ref="AN106:AN106">K106</f>
        <v>2047</v>
      </c>
      <c r="AO106" s="1072" t="s">
        <v>2773</v>
      </c>
      <c r="AP106" s="1082" cm="1" t="str">
        <f t="array" ref="AP106:AP106">AP105</f>
        <v>0</v>
      </c>
      <c r="AQ106" s="709"/>
      <c r="AR106" s="709"/>
    </row>
    <row s="7003" customFormat="1" customHeight="1" ht="14.25" hidden="1">
      <c r="A107" s="1297"/>
      <c r="B107" s="447">
        <f>K107&lt;first_year+PERIOD_LENGTH</f>
        <v>0</v>
      </c>
      <c r="C107" s="1297"/>
      <c r="D107" s="1297"/>
      <c r="E107" s="709">
        <v>15</v>
      </c>
      <c r="F107" s="50" cm="1" t="str">
        <f t="array" ref="F107:F107">OFFSET(E107,-1,1)</f>
        <v>1</v>
      </c>
      <c r="G107" s="94" cm="1" t="str">
        <f t="array" ref="G107:G107">G106</f>
        <v>0</v>
      </c>
      <c r="H107" s="1297"/>
      <c r="I107" s="1297"/>
      <c r="J107" s="1297"/>
      <c r="K107" s="154">
        <f>first_year+24</f>
        <v>2048</v>
      </c>
      <c r="L107" s="1297"/>
      <c r="M107" s="1297"/>
      <c r="N107" s="1297"/>
      <c r="O107" s="1297"/>
      <c r="P107" s="1297"/>
      <c r="Q107" s="1297"/>
      <c r="R107" s="1297"/>
      <c r="S107" s="1297"/>
      <c r="T107" s="468" cm="1" t="str">
        <f t="array" ref="T107:T107">T106</f>
        <v>false</v>
      </c>
      <c r="U107" s="1297"/>
      <c r="V107" s="1297"/>
      <c r="W107" s="1297"/>
      <c r="X107" s="1539"/>
      <c r="Y107" s="1539"/>
      <c r="Z107" s="1529"/>
      <c r="AA107" s="1630"/>
      <c r="AB107" s="251" t="str">
        <f>K107&amp;" год"</f>
        <v>2048 год</v>
      </c>
      <c r="AC107" s="409"/>
      <c r="AD107" s="6972"/>
      <c r="AE107" s="6971"/>
      <c r="AF107" s="6971"/>
      <c r="AG107" s="6972"/>
      <c r="AH107" s="6971"/>
      <c r="AI107" s="6972"/>
      <c r="AJ107" s="6971"/>
      <c r="AK107" s="6973"/>
      <c r="AL107" s="404"/>
      <c r="AM107" s="1297"/>
      <c r="AN107" s="1072" cm="1" t="str">
        <f t="array" ref="AN107:AN107">K107</f>
        <v>2048</v>
      </c>
      <c r="AO107" s="1072" t="s">
        <v>2773</v>
      </c>
      <c r="AP107" s="1082" cm="1" t="str">
        <f t="array" ref="AP107:AP107">AP106</f>
        <v>0</v>
      </c>
      <c r="AQ107" s="709"/>
      <c r="AR107" s="709"/>
    </row>
    <row s="7004" customFormat="1" customHeight="1" ht="14.25" hidden="1">
      <c r="A108" s="1297"/>
      <c r="B108" s="447">
        <f>K108&lt;first_year+PERIOD_LENGTH</f>
        <v>0</v>
      </c>
      <c r="C108" s="1297"/>
      <c r="D108" s="1297"/>
      <c r="E108" s="709">
        <v>15</v>
      </c>
      <c r="F108" s="50" cm="1" t="str">
        <f t="array" ref="F108:F108">OFFSET(E108,-1,1)</f>
        <v>1</v>
      </c>
      <c r="G108" s="94" cm="1" t="str">
        <f t="array" ref="G108:G108">G107</f>
        <v>0</v>
      </c>
      <c r="H108" s="1297"/>
      <c r="I108" s="1297"/>
      <c r="J108" s="1297"/>
      <c r="K108" s="154">
        <f>first_year+25</f>
        <v>2049</v>
      </c>
      <c r="L108" s="1297"/>
      <c r="M108" s="1297"/>
      <c r="N108" s="1297"/>
      <c r="O108" s="1297"/>
      <c r="P108" s="1297"/>
      <c r="Q108" s="1297"/>
      <c r="R108" s="1297"/>
      <c r="S108" s="1297"/>
      <c r="T108" s="468" cm="1" t="str">
        <f t="array" ref="T108:T108">T107</f>
        <v>false</v>
      </c>
      <c r="U108" s="1297"/>
      <c r="V108" s="1297"/>
      <c r="W108" s="1297"/>
      <c r="X108" s="1539"/>
      <c r="Y108" s="1539"/>
      <c r="Z108" s="1529"/>
      <c r="AA108" s="1630"/>
      <c r="AB108" s="251" t="str">
        <f>K108&amp;" год"</f>
        <v>2049 год</v>
      </c>
      <c r="AC108" s="409"/>
      <c r="AD108" s="6972"/>
      <c r="AE108" s="6971"/>
      <c r="AF108" s="6971"/>
      <c r="AG108" s="6972"/>
      <c r="AH108" s="6971"/>
      <c r="AI108" s="6972"/>
      <c r="AJ108" s="6971"/>
      <c r="AK108" s="6973"/>
      <c r="AL108" s="404"/>
      <c r="AM108" s="1297"/>
      <c r="AN108" s="1072" cm="1" t="str">
        <f t="array" ref="AN108:AN108">K108</f>
        <v>2049</v>
      </c>
      <c r="AO108" s="1072" t="s">
        <v>2773</v>
      </c>
      <c r="AP108" s="1082" cm="1" t="str">
        <f t="array" ref="AP108:AP108">AP107</f>
        <v>0</v>
      </c>
      <c r="AQ108" s="709"/>
      <c r="AR108" s="709"/>
    </row>
    <row s="7005" customFormat="1" customHeight="1" ht="14.25" hidden="1">
      <c r="A109" s="1297"/>
      <c r="B109" s="447">
        <f>K109&lt;first_year+PERIOD_LENGTH</f>
        <v>0</v>
      </c>
      <c r="C109" s="1297"/>
      <c r="D109" s="1297"/>
      <c r="E109" s="709">
        <v>15</v>
      </c>
      <c r="F109" s="50" cm="1" t="str">
        <f t="array" ref="F109:F109">OFFSET(E109,-1,1)</f>
        <v>1</v>
      </c>
      <c r="G109" s="94" cm="1" t="str">
        <f t="array" ref="G109:G109">G108</f>
        <v>0</v>
      </c>
      <c r="H109" s="1297"/>
      <c r="I109" s="1297"/>
      <c r="J109" s="1297"/>
      <c r="K109" s="154">
        <f>first_year+26</f>
        <v>2050</v>
      </c>
      <c r="L109" s="1297"/>
      <c r="M109" s="1297"/>
      <c r="N109" s="1297"/>
      <c r="O109" s="1297"/>
      <c r="P109" s="1297"/>
      <c r="Q109" s="1297"/>
      <c r="R109" s="1297"/>
      <c r="S109" s="1297"/>
      <c r="T109" s="468" cm="1" t="str">
        <f t="array" ref="T109:T109">T108</f>
        <v>false</v>
      </c>
      <c r="U109" s="1297"/>
      <c r="V109" s="1297"/>
      <c r="W109" s="1297"/>
      <c r="X109" s="1539"/>
      <c r="Y109" s="1539"/>
      <c r="Z109" s="1529"/>
      <c r="AA109" s="1630"/>
      <c r="AB109" s="251" t="str">
        <f>K109&amp;" год"</f>
        <v>2050 год</v>
      </c>
      <c r="AC109" s="409"/>
      <c r="AD109" s="6972"/>
      <c r="AE109" s="6971"/>
      <c r="AF109" s="6971"/>
      <c r="AG109" s="6972"/>
      <c r="AH109" s="6971"/>
      <c r="AI109" s="6972"/>
      <c r="AJ109" s="6971"/>
      <c r="AK109" s="6973"/>
      <c r="AL109" s="404"/>
      <c r="AM109" s="1297"/>
      <c r="AN109" s="1072" cm="1" t="str">
        <f t="array" ref="AN109:AN109">K109</f>
        <v>2050</v>
      </c>
      <c r="AO109" s="1072" t="s">
        <v>2773</v>
      </c>
      <c r="AP109" s="1082" cm="1" t="str">
        <f t="array" ref="AP109:AP109">AP108</f>
        <v>0</v>
      </c>
      <c r="AQ109" s="709"/>
      <c r="AR109" s="709"/>
    </row>
    <row s="7006" customFormat="1" customHeight="1" ht="14.25" hidden="1">
      <c r="A110" s="1297"/>
      <c r="B110" s="447">
        <f>K110&lt;first_year+PERIOD_LENGTH</f>
        <v>0</v>
      </c>
      <c r="C110" s="1297"/>
      <c r="D110" s="1297"/>
      <c r="E110" s="709">
        <v>15</v>
      </c>
      <c r="F110" s="50" cm="1" t="str">
        <f t="array" ref="F110:F110">OFFSET(E110,-1,1)</f>
        <v>1</v>
      </c>
      <c r="G110" s="94" cm="1" t="str">
        <f t="array" ref="G110:G110">G109</f>
        <v>0</v>
      </c>
      <c r="H110" s="1297"/>
      <c r="I110" s="1297"/>
      <c r="J110" s="1297"/>
      <c r="K110" s="154">
        <f>first_year+27</f>
        <v>2051</v>
      </c>
      <c r="L110" s="1297"/>
      <c r="M110" s="1297"/>
      <c r="N110" s="1297"/>
      <c r="O110" s="1297"/>
      <c r="P110" s="1297"/>
      <c r="Q110" s="1297"/>
      <c r="R110" s="1297"/>
      <c r="S110" s="1297"/>
      <c r="T110" s="468" cm="1" t="str">
        <f t="array" ref="T110:T110">T109</f>
        <v>false</v>
      </c>
      <c r="U110" s="1297"/>
      <c r="V110" s="1297"/>
      <c r="W110" s="1297"/>
      <c r="X110" s="1539"/>
      <c r="Y110" s="1539"/>
      <c r="Z110" s="1529"/>
      <c r="AA110" s="1630"/>
      <c r="AB110" s="251" t="str">
        <f>K110&amp;" год"</f>
        <v>2051 год</v>
      </c>
      <c r="AC110" s="409"/>
      <c r="AD110" s="6972"/>
      <c r="AE110" s="6971"/>
      <c r="AF110" s="6971"/>
      <c r="AG110" s="6972"/>
      <c r="AH110" s="6971"/>
      <c r="AI110" s="6972"/>
      <c r="AJ110" s="6971"/>
      <c r="AK110" s="6973"/>
      <c r="AL110" s="404"/>
      <c r="AM110" s="1297"/>
      <c r="AN110" s="1072" cm="1" t="str">
        <f t="array" ref="AN110:AN110">K110</f>
        <v>2051</v>
      </c>
      <c r="AO110" s="1072" t="s">
        <v>2773</v>
      </c>
      <c r="AP110" s="1082" cm="1" t="str">
        <f t="array" ref="AP110:AP110">AP109</f>
        <v>0</v>
      </c>
      <c r="AQ110" s="709"/>
      <c r="AR110" s="709"/>
    </row>
    <row s="7007" customFormat="1" customHeight="1" ht="14.25" hidden="1">
      <c r="A111" s="1297"/>
      <c r="B111" s="447">
        <f>K111&lt;first_year+PERIOD_LENGTH</f>
        <v>0</v>
      </c>
      <c r="C111" s="1297"/>
      <c r="D111" s="1297"/>
      <c r="E111" s="709">
        <v>15</v>
      </c>
      <c r="F111" s="50" cm="1" t="str">
        <f t="array" ref="F111:F111">OFFSET(E111,-1,1)</f>
        <v>1</v>
      </c>
      <c r="G111" s="94" cm="1" t="str">
        <f t="array" ref="G111:G111">G110</f>
        <v>0</v>
      </c>
      <c r="H111" s="1297"/>
      <c r="I111" s="1297"/>
      <c r="J111" s="1297"/>
      <c r="K111" s="154">
        <f>first_year+28</f>
        <v>2052</v>
      </c>
      <c r="L111" s="1297"/>
      <c r="M111" s="1297"/>
      <c r="N111" s="1297"/>
      <c r="O111" s="1297"/>
      <c r="P111" s="1297"/>
      <c r="Q111" s="1297"/>
      <c r="R111" s="1297"/>
      <c r="S111" s="1297"/>
      <c r="T111" s="468" cm="1" t="str">
        <f t="array" ref="T111:T111">T110</f>
        <v>false</v>
      </c>
      <c r="U111" s="1297"/>
      <c r="V111" s="1297"/>
      <c r="W111" s="1297"/>
      <c r="X111" s="1539"/>
      <c r="Y111" s="1539"/>
      <c r="Z111" s="1529"/>
      <c r="AA111" s="1630"/>
      <c r="AB111" s="251" t="str">
        <f>K111&amp;" год"</f>
        <v>2052 год</v>
      </c>
      <c r="AC111" s="409"/>
      <c r="AD111" s="6972"/>
      <c r="AE111" s="6971"/>
      <c r="AF111" s="6971"/>
      <c r="AG111" s="6972"/>
      <c r="AH111" s="6971"/>
      <c r="AI111" s="6972"/>
      <c r="AJ111" s="6971"/>
      <c r="AK111" s="6973"/>
      <c r="AL111" s="404"/>
      <c r="AM111" s="1297"/>
      <c r="AN111" s="1072" cm="1" t="str">
        <f t="array" ref="AN111:AN111">K111</f>
        <v>2052</v>
      </c>
      <c r="AO111" s="1072" t="s">
        <v>2773</v>
      </c>
      <c r="AP111" s="1082" cm="1" t="str">
        <f t="array" ref="AP111:AP111">AP110</f>
        <v>0</v>
      </c>
      <c r="AQ111" s="709"/>
      <c r="AR111" s="709"/>
    </row>
    <row s="7008" customFormat="1" customHeight="1" ht="14.25" hidden="1">
      <c r="A112" s="1297"/>
      <c r="B112" s="447">
        <f>K112&lt;first_year+PERIOD_LENGTH</f>
        <v>0</v>
      </c>
      <c r="C112" s="1297"/>
      <c r="D112" s="1297"/>
      <c r="E112" s="709">
        <v>15</v>
      </c>
      <c r="F112" s="50" cm="1" t="str">
        <f t="array" ref="F112:F112">OFFSET(E112,-1,1)</f>
        <v>1</v>
      </c>
      <c r="G112" s="94" cm="1" t="str">
        <f t="array" ref="G112:G112">G111</f>
        <v>0</v>
      </c>
      <c r="H112" s="1297"/>
      <c r="I112" s="1297"/>
      <c r="J112" s="1297"/>
      <c r="K112" s="154">
        <f>first_year+29</f>
        <v>2053</v>
      </c>
      <c r="L112" s="1297"/>
      <c r="M112" s="1297"/>
      <c r="N112" s="1297"/>
      <c r="O112" s="1297"/>
      <c r="P112" s="1297"/>
      <c r="Q112" s="1297"/>
      <c r="R112" s="1297"/>
      <c r="S112" s="1297"/>
      <c r="T112" s="468" cm="1" t="str">
        <f t="array" ref="T112:T112">T111</f>
        <v>false</v>
      </c>
      <c r="U112" s="1297"/>
      <c r="V112" s="1297"/>
      <c r="W112" s="1297"/>
      <c r="X112" s="1539"/>
      <c r="Y112" s="1539"/>
      <c r="Z112" s="1529"/>
      <c r="AA112" s="1630"/>
      <c r="AB112" s="251" t="str">
        <f>K112&amp;" год"</f>
        <v>2053 год</v>
      </c>
      <c r="AC112" s="409"/>
      <c r="AD112" s="6972"/>
      <c r="AE112" s="6971"/>
      <c r="AF112" s="6971"/>
      <c r="AG112" s="6972"/>
      <c r="AH112" s="6971"/>
      <c r="AI112" s="6972"/>
      <c r="AJ112" s="6971"/>
      <c r="AK112" s="6973"/>
      <c r="AL112" s="404"/>
      <c r="AM112" s="1297"/>
      <c r="AN112" s="1072" cm="1" t="str">
        <f t="array" ref="AN112:AN112">K112</f>
        <v>2053</v>
      </c>
      <c r="AO112" s="1072" t="s">
        <v>2773</v>
      </c>
      <c r="AP112" s="1082" cm="1" t="str">
        <f t="array" ref="AP112:AP112">AP111</f>
        <v>0</v>
      </c>
      <c r="AQ112" s="709"/>
      <c r="AR112" s="709"/>
    </row>
    <row s="7009" customFormat="1" customHeight="1" ht="14.25" hidden="1">
      <c r="A113" s="1297"/>
      <c r="B113" s="447">
        <f>K113&lt;first_year+PERIOD_LENGTH</f>
        <v>0</v>
      </c>
      <c r="C113" s="1297"/>
      <c r="D113" s="1297"/>
      <c r="E113" s="709">
        <v>15</v>
      </c>
      <c r="F113" s="50" cm="1" t="str">
        <f t="array" ref="F113:F113">OFFSET(E113,-1,1)</f>
        <v>1</v>
      </c>
      <c r="G113" s="94" cm="1" t="str">
        <f t="array" ref="G113:G113">G112</f>
        <v>0</v>
      </c>
      <c r="H113" s="1297"/>
      <c r="I113" s="1297"/>
      <c r="J113" s="1297"/>
      <c r="K113" s="154">
        <f>first_year+30</f>
        <v>2054</v>
      </c>
      <c r="L113" s="1297"/>
      <c r="M113" s="1297"/>
      <c r="N113" s="1297"/>
      <c r="O113" s="1297"/>
      <c r="P113" s="1297"/>
      <c r="Q113" s="1297"/>
      <c r="R113" s="1297"/>
      <c r="S113" s="1297"/>
      <c r="T113" s="468" cm="1" t="str">
        <f t="array" ref="T113:T113">T112</f>
        <v>false</v>
      </c>
      <c r="U113" s="1297"/>
      <c r="V113" s="1297"/>
      <c r="W113" s="1297"/>
      <c r="X113" s="1539"/>
      <c r="Y113" s="1539"/>
      <c r="Z113" s="1529"/>
      <c r="AA113" s="1630"/>
      <c r="AB113" s="251" t="str">
        <f>K113&amp;" год"</f>
        <v>2054 год</v>
      </c>
      <c r="AC113" s="409"/>
      <c r="AD113" s="6972"/>
      <c r="AE113" s="6971"/>
      <c r="AF113" s="6971"/>
      <c r="AG113" s="6972"/>
      <c r="AH113" s="6971"/>
      <c r="AI113" s="6972"/>
      <c r="AJ113" s="6971"/>
      <c r="AK113" s="6973"/>
      <c r="AL113" s="404"/>
      <c r="AM113" s="1297"/>
      <c r="AN113" s="1072" cm="1" t="str">
        <f t="array" ref="AN113:AN113">K113</f>
        <v>2054</v>
      </c>
      <c r="AO113" s="1072" t="s">
        <v>2773</v>
      </c>
      <c r="AP113" s="1082" cm="1" t="str">
        <f t="array" ref="AP113:AP113">AP112</f>
        <v>0</v>
      </c>
      <c r="AQ113" s="709"/>
      <c r="AR113" s="709"/>
    </row>
    <row s="7010" customFormat="1" customHeight="1" ht="14.25" hidden="1">
      <c r="A114" s="1297"/>
      <c r="B114" s="447">
        <f>K114&lt;first_year+PERIOD_LENGTH</f>
        <v>0</v>
      </c>
      <c r="C114" s="1297"/>
      <c r="D114" s="1297"/>
      <c r="E114" s="709">
        <v>15</v>
      </c>
      <c r="F114" s="50" cm="1" t="str">
        <f t="array" ref="F114:F114">OFFSET(E114,-1,1)</f>
        <v>1</v>
      </c>
      <c r="G114" s="94" cm="1" t="str">
        <f t="array" ref="G114:G114">G113</f>
        <v>0</v>
      </c>
      <c r="H114" s="1297"/>
      <c r="I114" s="1297"/>
      <c r="J114" s="1297"/>
      <c r="K114" s="154">
        <f>first_year+31</f>
        <v>2055</v>
      </c>
      <c r="L114" s="1297"/>
      <c r="M114" s="1297"/>
      <c r="N114" s="1297"/>
      <c r="O114" s="1297"/>
      <c r="P114" s="1297"/>
      <c r="Q114" s="1297"/>
      <c r="R114" s="1297"/>
      <c r="S114" s="1297"/>
      <c r="T114" s="468" cm="1" t="str">
        <f t="array" ref="T114:T114">T113</f>
        <v>false</v>
      </c>
      <c r="U114" s="1297"/>
      <c r="V114" s="1297"/>
      <c r="W114" s="1297"/>
      <c r="X114" s="1539"/>
      <c r="Y114" s="1539"/>
      <c r="Z114" s="1529"/>
      <c r="AA114" s="1630"/>
      <c r="AB114" s="251" t="str">
        <f>K114&amp;" год"</f>
        <v>2055 год</v>
      </c>
      <c r="AC114" s="409"/>
      <c r="AD114" s="6972"/>
      <c r="AE114" s="6971"/>
      <c r="AF114" s="6971"/>
      <c r="AG114" s="6972"/>
      <c r="AH114" s="6971"/>
      <c r="AI114" s="6972"/>
      <c r="AJ114" s="6971"/>
      <c r="AK114" s="6973"/>
      <c r="AL114" s="404"/>
      <c r="AM114" s="1297"/>
      <c r="AN114" s="1072" cm="1" t="str">
        <f t="array" ref="AN114:AN114">K114</f>
        <v>2055</v>
      </c>
      <c r="AO114" s="1072" t="s">
        <v>2773</v>
      </c>
      <c r="AP114" s="1082" cm="1" t="str">
        <f t="array" ref="AP114:AP114">AP113</f>
        <v>0</v>
      </c>
      <c r="AQ114" s="709"/>
      <c r="AR114" s="709"/>
    </row>
    <row s="7011" customFormat="1" customHeight="1" ht="14.25" hidden="1">
      <c r="A115" s="1297"/>
      <c r="B115" s="447">
        <f>K115&lt;first_year+PERIOD_LENGTH</f>
        <v>0</v>
      </c>
      <c r="C115" s="1297"/>
      <c r="D115" s="1297"/>
      <c r="E115" s="709">
        <v>15</v>
      </c>
      <c r="F115" s="50" cm="1" t="str">
        <f t="array" ref="F115:F115">OFFSET(E115,-1,1)</f>
        <v>1</v>
      </c>
      <c r="G115" s="94" cm="1" t="str">
        <f t="array" ref="G115:G115">G114</f>
        <v>0</v>
      </c>
      <c r="H115" s="1297"/>
      <c r="I115" s="1297"/>
      <c r="J115" s="1297"/>
      <c r="K115" s="154">
        <f>first_year+32</f>
        <v>2056</v>
      </c>
      <c r="L115" s="1297"/>
      <c r="M115" s="1297"/>
      <c r="N115" s="1297"/>
      <c r="O115" s="1297"/>
      <c r="P115" s="1297"/>
      <c r="Q115" s="1297"/>
      <c r="R115" s="1297"/>
      <c r="S115" s="1297"/>
      <c r="T115" s="468" cm="1" t="str">
        <f t="array" ref="T115:T115">T114</f>
        <v>false</v>
      </c>
      <c r="U115" s="1297"/>
      <c r="V115" s="1297"/>
      <c r="W115" s="1297"/>
      <c r="X115" s="1539"/>
      <c r="Y115" s="1539"/>
      <c r="Z115" s="1529"/>
      <c r="AA115" s="1630"/>
      <c r="AB115" s="251" t="str">
        <f>K115&amp;" год"</f>
        <v>2056 год</v>
      </c>
      <c r="AC115" s="409"/>
      <c r="AD115" s="6972"/>
      <c r="AE115" s="6971"/>
      <c r="AF115" s="6971"/>
      <c r="AG115" s="6972"/>
      <c r="AH115" s="6971"/>
      <c r="AI115" s="6972"/>
      <c r="AJ115" s="6971"/>
      <c r="AK115" s="6973"/>
      <c r="AL115" s="404"/>
      <c r="AM115" s="1297"/>
      <c r="AN115" s="1072" cm="1" t="str">
        <f t="array" ref="AN115:AN115">K115</f>
        <v>2056</v>
      </c>
      <c r="AO115" s="1072" t="s">
        <v>2773</v>
      </c>
      <c r="AP115" s="1082" cm="1" t="str">
        <f t="array" ref="AP115:AP115">AP114</f>
        <v>0</v>
      </c>
      <c r="AQ115" s="709"/>
      <c r="AR115" s="709"/>
    </row>
    <row s="7012" customFormat="1" customHeight="1" ht="14.25" hidden="1">
      <c r="A116" s="1297"/>
      <c r="B116" s="447">
        <f>K116&lt;first_year+PERIOD_LENGTH</f>
        <v>0</v>
      </c>
      <c r="C116" s="1297"/>
      <c r="D116" s="1297"/>
      <c r="E116" s="709">
        <v>15</v>
      </c>
      <c r="F116" s="50" cm="1" t="str">
        <f t="array" ref="F116:F116">OFFSET(E116,-1,1)</f>
        <v>1</v>
      </c>
      <c r="G116" s="94" cm="1" t="str">
        <f t="array" ref="G116:G116">G115</f>
        <v>0</v>
      </c>
      <c r="H116" s="1297"/>
      <c r="I116" s="1297"/>
      <c r="J116" s="1297"/>
      <c r="K116" s="154">
        <f>first_year+33</f>
        <v>2057</v>
      </c>
      <c r="L116" s="1297"/>
      <c r="M116" s="1297"/>
      <c r="N116" s="1297"/>
      <c r="O116" s="1297"/>
      <c r="P116" s="1297"/>
      <c r="Q116" s="1297"/>
      <c r="R116" s="1297"/>
      <c r="S116" s="1297"/>
      <c r="T116" s="468" cm="1" t="str">
        <f t="array" ref="T116:T116">T115</f>
        <v>false</v>
      </c>
      <c r="U116" s="1297"/>
      <c r="V116" s="1297"/>
      <c r="W116" s="1297"/>
      <c r="X116" s="1539"/>
      <c r="Y116" s="1539"/>
      <c r="Z116" s="1529"/>
      <c r="AA116" s="1630"/>
      <c r="AB116" s="251" t="str">
        <f>K116&amp;" год"</f>
        <v>2057 год</v>
      </c>
      <c r="AC116" s="409"/>
      <c r="AD116" s="6972"/>
      <c r="AE116" s="6971"/>
      <c r="AF116" s="6971"/>
      <c r="AG116" s="6972"/>
      <c r="AH116" s="6971"/>
      <c r="AI116" s="6972"/>
      <c r="AJ116" s="6971"/>
      <c r="AK116" s="6973"/>
      <c r="AL116" s="404"/>
      <c r="AM116" s="1297"/>
      <c r="AN116" s="1072" cm="1" t="str">
        <f t="array" ref="AN116:AN116">K116</f>
        <v>2057</v>
      </c>
      <c r="AO116" s="1072" t="s">
        <v>2773</v>
      </c>
      <c r="AP116" s="1082" cm="1" t="str">
        <f t="array" ref="AP116:AP116">AP115</f>
        <v>0</v>
      </c>
      <c r="AQ116" s="709"/>
      <c r="AR116" s="709"/>
    </row>
    <row s="7013" customFormat="1" customHeight="1" ht="14.25" hidden="1">
      <c r="A117" s="1297"/>
      <c r="B117" s="447">
        <f>K117&lt;first_year+PERIOD_LENGTH</f>
        <v>0</v>
      </c>
      <c r="C117" s="1297"/>
      <c r="D117" s="1297"/>
      <c r="E117" s="709">
        <v>15</v>
      </c>
      <c r="F117" s="50" cm="1" t="str">
        <f t="array" ref="F117:F117">OFFSET(E117,-1,1)</f>
        <v>1</v>
      </c>
      <c r="G117" s="94" cm="1" t="str">
        <f t="array" ref="G117:G117">G116</f>
        <v>0</v>
      </c>
      <c r="H117" s="1297"/>
      <c r="I117" s="1297"/>
      <c r="J117" s="1297"/>
      <c r="K117" s="154">
        <f>first_year+34</f>
        <v>2058</v>
      </c>
      <c r="L117" s="1297"/>
      <c r="M117" s="1297"/>
      <c r="N117" s="1297"/>
      <c r="O117" s="1297"/>
      <c r="P117" s="1297"/>
      <c r="Q117" s="1297"/>
      <c r="R117" s="1297"/>
      <c r="S117" s="1297"/>
      <c r="T117" s="468" cm="1" t="str">
        <f t="array" ref="T117:T117">T116</f>
        <v>false</v>
      </c>
      <c r="U117" s="1297"/>
      <c r="V117" s="1297"/>
      <c r="W117" s="1297"/>
      <c r="X117" s="1539"/>
      <c r="Y117" s="1539"/>
      <c r="Z117" s="1529"/>
      <c r="AA117" s="1630"/>
      <c r="AB117" s="251" t="str">
        <f>K117&amp;" год"</f>
        <v>2058 год</v>
      </c>
      <c r="AC117" s="409"/>
      <c r="AD117" s="6972"/>
      <c r="AE117" s="6971"/>
      <c r="AF117" s="6971"/>
      <c r="AG117" s="6972"/>
      <c r="AH117" s="6971"/>
      <c r="AI117" s="6972"/>
      <c r="AJ117" s="6971"/>
      <c r="AK117" s="6973"/>
      <c r="AL117" s="404"/>
      <c r="AM117" s="1297"/>
      <c r="AN117" s="1072" cm="1" t="str">
        <f t="array" ref="AN117:AN117">K117</f>
        <v>2058</v>
      </c>
      <c r="AO117" s="1072" t="s">
        <v>2773</v>
      </c>
      <c r="AP117" s="1082" cm="1" t="str">
        <f t="array" ref="AP117:AP117">AP116</f>
        <v>0</v>
      </c>
      <c r="AQ117" s="709"/>
      <c r="AR117" s="709"/>
    </row>
    <row s="7014" customFormat="1" customHeight="1" ht="14.25" hidden="1">
      <c r="A118" s="1297"/>
      <c r="B118" s="447">
        <f>K118&lt;first_year+PERIOD_LENGTH</f>
        <v>0</v>
      </c>
      <c r="C118" s="1297"/>
      <c r="D118" s="1297"/>
      <c r="E118" s="709">
        <v>15</v>
      </c>
      <c r="F118" s="50" cm="1" t="str">
        <f t="array" ref="F118:F118">OFFSET(E118,-1,1)</f>
        <v>1</v>
      </c>
      <c r="G118" s="94" cm="1" t="str">
        <f t="array" ref="G118:G118">G117</f>
        <v>0</v>
      </c>
      <c r="H118" s="1297"/>
      <c r="I118" s="1297"/>
      <c r="J118" s="1297"/>
      <c r="K118" s="154">
        <f>first_year+35</f>
        <v>2059</v>
      </c>
      <c r="L118" s="1297"/>
      <c r="M118" s="1297"/>
      <c r="N118" s="1297"/>
      <c r="O118" s="1297"/>
      <c r="P118" s="1297"/>
      <c r="Q118" s="1297"/>
      <c r="R118" s="1297"/>
      <c r="S118" s="1297"/>
      <c r="T118" s="468" cm="1" t="str">
        <f t="array" ref="T118:T118">T117</f>
        <v>false</v>
      </c>
      <c r="U118" s="1297"/>
      <c r="V118" s="1297"/>
      <c r="W118" s="1297"/>
      <c r="X118" s="1539"/>
      <c r="Y118" s="1539"/>
      <c r="Z118" s="1529"/>
      <c r="AA118" s="1630"/>
      <c r="AB118" s="251" t="str">
        <f>K118&amp;" год"</f>
        <v>2059 год</v>
      </c>
      <c r="AC118" s="409"/>
      <c r="AD118" s="6972"/>
      <c r="AE118" s="6971"/>
      <c r="AF118" s="6971"/>
      <c r="AG118" s="6972"/>
      <c r="AH118" s="6971"/>
      <c r="AI118" s="6972"/>
      <c r="AJ118" s="6971"/>
      <c r="AK118" s="6973"/>
      <c r="AL118" s="404"/>
      <c r="AM118" s="1297"/>
      <c r="AN118" s="1072" cm="1" t="str">
        <f t="array" ref="AN118:AN118">K118</f>
        <v>2059</v>
      </c>
      <c r="AO118" s="1072" t="s">
        <v>2773</v>
      </c>
      <c r="AP118" s="1082" cm="1" t="str">
        <f t="array" ref="AP118:AP118">AP117</f>
        <v>0</v>
      </c>
      <c r="AQ118" s="709"/>
      <c r="AR118" s="709"/>
    </row>
    <row s="7015" customFormat="1" customHeight="1" ht="14.25" hidden="1">
      <c r="A119" s="1297"/>
      <c r="B119" s="447">
        <f>K119&lt;first_year+PERIOD_LENGTH</f>
        <v>0</v>
      </c>
      <c r="C119" s="1297"/>
      <c r="D119" s="1297"/>
      <c r="E119" s="709">
        <v>15</v>
      </c>
      <c r="F119" s="50" cm="1" t="str">
        <f t="array" ref="F119:F119">OFFSET(E119,-1,1)</f>
        <v>1</v>
      </c>
      <c r="G119" s="94" cm="1" t="str">
        <f t="array" ref="G119:G119">G118</f>
        <v>0</v>
      </c>
      <c r="H119" s="1297"/>
      <c r="I119" s="1297"/>
      <c r="J119" s="1297"/>
      <c r="K119" s="154">
        <f>first_year+36</f>
        <v>2060</v>
      </c>
      <c r="L119" s="1297"/>
      <c r="M119" s="1297"/>
      <c r="N119" s="1297"/>
      <c r="O119" s="1297"/>
      <c r="P119" s="1297"/>
      <c r="Q119" s="1297"/>
      <c r="R119" s="1297"/>
      <c r="S119" s="1297"/>
      <c r="T119" s="468" cm="1" t="str">
        <f t="array" ref="T119:T119">T118</f>
        <v>false</v>
      </c>
      <c r="U119" s="1297"/>
      <c r="V119" s="1297"/>
      <c r="W119" s="1297"/>
      <c r="X119" s="1539"/>
      <c r="Y119" s="1539"/>
      <c r="Z119" s="1529"/>
      <c r="AA119" s="1630"/>
      <c r="AB119" s="251" t="str">
        <f>K119&amp;" год"</f>
        <v>2060 год</v>
      </c>
      <c r="AC119" s="409"/>
      <c r="AD119" s="6972"/>
      <c r="AE119" s="6971"/>
      <c r="AF119" s="6971"/>
      <c r="AG119" s="6972"/>
      <c r="AH119" s="6971"/>
      <c r="AI119" s="6972"/>
      <c r="AJ119" s="6971"/>
      <c r="AK119" s="6973"/>
      <c r="AL119" s="404"/>
      <c r="AM119" s="1297"/>
      <c r="AN119" s="1072" cm="1" t="str">
        <f t="array" ref="AN119:AN119">K119</f>
        <v>2060</v>
      </c>
      <c r="AO119" s="1072" t="s">
        <v>2773</v>
      </c>
      <c r="AP119" s="1082" cm="1" t="str">
        <f t="array" ref="AP119:AP119">AP118</f>
        <v>0</v>
      </c>
      <c r="AQ119" s="709"/>
      <c r="AR119" s="709"/>
    </row>
    <row s="7016" customFormat="1" customHeight="1" ht="14.25" hidden="1">
      <c r="A120" s="1297"/>
      <c r="B120" s="447">
        <f>K120&lt;first_year+PERIOD_LENGTH</f>
        <v>0</v>
      </c>
      <c r="C120" s="1297"/>
      <c r="D120" s="1297"/>
      <c r="E120" s="709">
        <v>15</v>
      </c>
      <c r="F120" s="50" cm="1" t="str">
        <f t="array" ref="F120:F120">OFFSET(E120,-1,1)</f>
        <v>1</v>
      </c>
      <c r="G120" s="94" cm="1" t="str">
        <f t="array" ref="G120:G120">G119</f>
        <v>0</v>
      </c>
      <c r="H120" s="1297"/>
      <c r="I120" s="1297"/>
      <c r="J120" s="1297"/>
      <c r="K120" s="154">
        <f>first_year+37</f>
        <v>2061</v>
      </c>
      <c r="L120" s="1297"/>
      <c r="M120" s="1297"/>
      <c r="N120" s="1297"/>
      <c r="O120" s="1297"/>
      <c r="P120" s="1297"/>
      <c r="Q120" s="1297"/>
      <c r="R120" s="1297"/>
      <c r="S120" s="1297"/>
      <c r="T120" s="468" cm="1" t="str">
        <f t="array" ref="T120:T120">T119</f>
        <v>false</v>
      </c>
      <c r="U120" s="1297"/>
      <c r="V120" s="1297"/>
      <c r="W120" s="1297"/>
      <c r="X120" s="1539"/>
      <c r="Y120" s="1539"/>
      <c r="Z120" s="1529"/>
      <c r="AA120" s="1630"/>
      <c r="AB120" s="251" t="str">
        <f>K120&amp;" год"</f>
        <v>2061 год</v>
      </c>
      <c r="AC120" s="409"/>
      <c r="AD120" s="6972"/>
      <c r="AE120" s="6971"/>
      <c r="AF120" s="6971"/>
      <c r="AG120" s="6972"/>
      <c r="AH120" s="6971"/>
      <c r="AI120" s="6972"/>
      <c r="AJ120" s="6971"/>
      <c r="AK120" s="6973"/>
      <c r="AL120" s="404"/>
      <c r="AM120" s="1297"/>
      <c r="AN120" s="1072" cm="1" t="str">
        <f t="array" ref="AN120:AN120">K120</f>
        <v>2061</v>
      </c>
      <c r="AO120" s="1072" t="s">
        <v>2773</v>
      </c>
      <c r="AP120" s="1082" cm="1" t="str">
        <f t="array" ref="AP120:AP120">AP119</f>
        <v>0</v>
      </c>
      <c r="AQ120" s="709"/>
      <c r="AR120" s="709"/>
    </row>
    <row s="7017" customFormat="1" customHeight="1" ht="14.25" hidden="1">
      <c r="A121" s="1297"/>
      <c r="B121" s="447">
        <f>K121&lt;first_year+PERIOD_LENGTH</f>
        <v>0</v>
      </c>
      <c r="C121" s="1297"/>
      <c r="D121" s="1297"/>
      <c r="E121" s="709">
        <v>15</v>
      </c>
      <c r="F121" s="50" cm="1" t="str">
        <f t="array" ref="F121:F121">OFFSET(E121,-1,1)</f>
        <v>1</v>
      </c>
      <c r="G121" s="94" cm="1" t="str">
        <f t="array" ref="G121:G121">G120</f>
        <v>0</v>
      </c>
      <c r="H121" s="1297"/>
      <c r="I121" s="1297"/>
      <c r="J121" s="1297"/>
      <c r="K121" s="154">
        <f>first_year+38</f>
        <v>2062</v>
      </c>
      <c r="L121" s="1297"/>
      <c r="M121" s="1297"/>
      <c r="N121" s="1297"/>
      <c r="O121" s="1297"/>
      <c r="P121" s="1297"/>
      <c r="Q121" s="1297"/>
      <c r="R121" s="1297"/>
      <c r="S121" s="1297"/>
      <c r="T121" s="468" cm="1" t="str">
        <f t="array" ref="T121:T121">T120</f>
        <v>false</v>
      </c>
      <c r="U121" s="1297"/>
      <c r="V121" s="1297"/>
      <c r="W121" s="1297"/>
      <c r="X121" s="1539"/>
      <c r="Y121" s="1539"/>
      <c r="Z121" s="1529"/>
      <c r="AA121" s="1630"/>
      <c r="AB121" s="251" t="str">
        <f>K121&amp;" год"</f>
        <v>2062 год</v>
      </c>
      <c r="AC121" s="409"/>
      <c r="AD121" s="6972"/>
      <c r="AE121" s="6971"/>
      <c r="AF121" s="6971"/>
      <c r="AG121" s="6972"/>
      <c r="AH121" s="6971"/>
      <c r="AI121" s="6972"/>
      <c r="AJ121" s="6971"/>
      <c r="AK121" s="6973"/>
      <c r="AL121" s="404"/>
      <c r="AM121" s="1297"/>
      <c r="AN121" s="1072" cm="1" t="str">
        <f t="array" ref="AN121:AN121">K121</f>
        <v>2062</v>
      </c>
      <c r="AO121" s="1072" t="s">
        <v>2773</v>
      </c>
      <c r="AP121" s="1082" cm="1" t="str">
        <f t="array" ref="AP121:AP121">AP120</f>
        <v>0</v>
      </c>
      <c r="AQ121" s="709"/>
      <c r="AR121" s="709"/>
    </row>
    <row s="7018" customFormat="1" customHeight="1" ht="14.25" hidden="1">
      <c r="A122" s="1297"/>
      <c r="B122" s="447">
        <f>K122&lt;first_year+PERIOD_LENGTH</f>
        <v>0</v>
      </c>
      <c r="C122" s="1297"/>
      <c r="D122" s="1297"/>
      <c r="E122" s="709">
        <v>15</v>
      </c>
      <c r="F122" s="50" cm="1" t="str">
        <f t="array" ref="F122:F122">OFFSET(E122,-1,1)</f>
        <v>1</v>
      </c>
      <c r="G122" s="94" cm="1" t="str">
        <f t="array" ref="G122:G122">G121</f>
        <v>0</v>
      </c>
      <c r="H122" s="1297"/>
      <c r="I122" s="1297"/>
      <c r="J122" s="1297"/>
      <c r="K122" s="154">
        <f>first_year+39</f>
        <v>2063</v>
      </c>
      <c r="L122" s="1297"/>
      <c r="M122" s="1297"/>
      <c r="N122" s="1297"/>
      <c r="O122" s="1297"/>
      <c r="P122" s="1297"/>
      <c r="Q122" s="1297"/>
      <c r="R122" s="1297"/>
      <c r="S122" s="1297"/>
      <c r="T122" s="468" cm="1" t="str">
        <f t="array" ref="T122:T122">T121</f>
        <v>false</v>
      </c>
      <c r="U122" s="1297"/>
      <c r="V122" s="1297"/>
      <c r="W122" s="1297"/>
      <c r="X122" s="1539"/>
      <c r="Y122" s="1539"/>
      <c r="Z122" s="1529"/>
      <c r="AA122" s="1630"/>
      <c r="AB122" s="251" t="str">
        <f>K122&amp;" год"</f>
        <v>2063 год</v>
      </c>
      <c r="AC122" s="409"/>
      <c r="AD122" s="6972"/>
      <c r="AE122" s="6971"/>
      <c r="AF122" s="6971"/>
      <c r="AG122" s="6972"/>
      <c r="AH122" s="6971"/>
      <c r="AI122" s="6972"/>
      <c r="AJ122" s="6971"/>
      <c r="AK122" s="6973"/>
      <c r="AL122" s="404"/>
      <c r="AM122" s="1297"/>
      <c r="AN122" s="1072" cm="1" t="str">
        <f t="array" ref="AN122:AN122">K122</f>
        <v>2063</v>
      </c>
      <c r="AO122" s="1072" t="s">
        <v>2773</v>
      </c>
      <c r="AP122" s="1082" cm="1" t="str">
        <f t="array" ref="AP122:AP122">AP121</f>
        <v>0</v>
      </c>
      <c r="AQ122" s="709"/>
      <c r="AR122" s="709"/>
    </row>
    <row s="7019" customFormat="1" customHeight="1" ht="14.25" hidden="1">
      <c r="A123" s="1297"/>
      <c r="B123" s="447">
        <f>K123&lt;first_year+PERIOD_LENGTH</f>
        <v>0</v>
      </c>
      <c r="C123" s="1297"/>
      <c r="D123" s="1297"/>
      <c r="E123" s="709">
        <v>15</v>
      </c>
      <c r="F123" s="50" cm="1" t="str">
        <f t="array" ref="F123:F123">OFFSET(E123,-1,1)</f>
        <v>1</v>
      </c>
      <c r="G123" s="94" cm="1" t="str">
        <f t="array" ref="G123:G123">G122</f>
        <v>0</v>
      </c>
      <c r="H123" s="1297"/>
      <c r="I123" s="1297"/>
      <c r="J123" s="1297"/>
      <c r="K123" s="154">
        <f>first_year+40</f>
        <v>2064</v>
      </c>
      <c r="L123" s="1297"/>
      <c r="M123" s="1297"/>
      <c r="N123" s="1297"/>
      <c r="O123" s="1297"/>
      <c r="P123" s="1297"/>
      <c r="Q123" s="1297"/>
      <c r="R123" s="1297"/>
      <c r="S123" s="1297"/>
      <c r="T123" s="468" cm="1" t="str">
        <f t="array" ref="T123:T123">T122</f>
        <v>false</v>
      </c>
      <c r="U123" s="1297"/>
      <c r="V123" s="1297"/>
      <c r="W123" s="1297"/>
      <c r="X123" s="1539"/>
      <c r="Y123" s="1539"/>
      <c r="Z123" s="1529"/>
      <c r="AA123" s="1630"/>
      <c r="AB123" s="251" t="str">
        <f>K123&amp;" год"</f>
        <v>2064 год</v>
      </c>
      <c r="AC123" s="409"/>
      <c r="AD123" s="6972"/>
      <c r="AE123" s="6971"/>
      <c r="AF123" s="6971"/>
      <c r="AG123" s="6972"/>
      <c r="AH123" s="6971"/>
      <c r="AI123" s="6972"/>
      <c r="AJ123" s="6971"/>
      <c r="AK123" s="6973"/>
      <c r="AL123" s="404"/>
      <c r="AM123" s="1297"/>
      <c r="AN123" s="1072" cm="1" t="str">
        <f t="array" ref="AN123:AN123">K123</f>
        <v>2064</v>
      </c>
      <c r="AO123" s="1072" t="s">
        <v>2773</v>
      </c>
      <c r="AP123" s="1082" cm="1" t="str">
        <f t="array" ref="AP123:AP123">AP122</f>
        <v>0</v>
      </c>
      <c r="AQ123" s="709"/>
      <c r="AR123" s="709"/>
    </row>
    <row s="7020" customFormat="1" customHeight="1" ht="14.25" hidden="1">
      <c r="A124" s="1297"/>
      <c r="B124" s="447">
        <f>K124&lt;first_year+PERIOD_LENGTH</f>
        <v>0</v>
      </c>
      <c r="C124" s="1297"/>
      <c r="D124" s="1297"/>
      <c r="E124" s="709">
        <v>15</v>
      </c>
      <c r="F124" s="50" cm="1" t="str">
        <f t="array" ref="F124:F124">OFFSET(E124,-1,1)</f>
        <v>1</v>
      </c>
      <c r="G124" s="94" cm="1" t="str">
        <f t="array" ref="G124:G124">G123</f>
        <v>0</v>
      </c>
      <c r="H124" s="1297"/>
      <c r="I124" s="1297"/>
      <c r="J124" s="1297"/>
      <c r="K124" s="154">
        <f>first_year+41</f>
        <v>2065</v>
      </c>
      <c r="L124" s="1297"/>
      <c r="M124" s="1297"/>
      <c r="N124" s="1297"/>
      <c r="O124" s="1297"/>
      <c r="P124" s="1297"/>
      <c r="Q124" s="1297"/>
      <c r="R124" s="1297"/>
      <c r="S124" s="1297"/>
      <c r="T124" s="468" cm="1" t="str">
        <f t="array" ref="T124:T124">T123</f>
        <v>false</v>
      </c>
      <c r="U124" s="1297"/>
      <c r="V124" s="1297"/>
      <c r="W124" s="1297"/>
      <c r="X124" s="1539"/>
      <c r="Y124" s="1539"/>
      <c r="Z124" s="1529"/>
      <c r="AA124" s="1630"/>
      <c r="AB124" s="251" t="str">
        <f>K124&amp;" год"</f>
        <v>2065 год</v>
      </c>
      <c r="AC124" s="409"/>
      <c r="AD124" s="6972"/>
      <c r="AE124" s="6971"/>
      <c r="AF124" s="6971"/>
      <c r="AG124" s="6972"/>
      <c r="AH124" s="6971"/>
      <c r="AI124" s="6972"/>
      <c r="AJ124" s="6971"/>
      <c r="AK124" s="6973"/>
      <c r="AL124" s="404"/>
      <c r="AM124" s="1297"/>
      <c r="AN124" s="1072" cm="1" t="str">
        <f t="array" ref="AN124:AN124">K124</f>
        <v>2065</v>
      </c>
      <c r="AO124" s="1072" t="s">
        <v>2773</v>
      </c>
      <c r="AP124" s="1082" cm="1" t="str">
        <f t="array" ref="AP124:AP124">AP123</f>
        <v>0</v>
      </c>
      <c r="AQ124" s="709"/>
      <c r="AR124" s="709"/>
    </row>
    <row s="7021" customFormat="1" customHeight="1" ht="14.25" hidden="1">
      <c r="A125" s="1297"/>
      <c r="B125" s="447">
        <f>K125&lt;first_year+PERIOD_LENGTH</f>
        <v>0</v>
      </c>
      <c r="C125" s="1297"/>
      <c r="D125" s="1297"/>
      <c r="E125" s="709">
        <v>15</v>
      </c>
      <c r="F125" s="50" cm="1" t="str">
        <f t="array" ref="F125:F125">OFFSET(E125,-1,1)</f>
        <v>1</v>
      </c>
      <c r="G125" s="94" cm="1" t="str">
        <f t="array" ref="G125:G125">G124</f>
        <v>0</v>
      </c>
      <c r="H125" s="1297"/>
      <c r="I125" s="1297"/>
      <c r="J125" s="1297"/>
      <c r="K125" s="154">
        <f>first_year+42</f>
        <v>2066</v>
      </c>
      <c r="L125" s="1297"/>
      <c r="M125" s="1297"/>
      <c r="N125" s="1297"/>
      <c r="O125" s="1297"/>
      <c r="P125" s="1297"/>
      <c r="Q125" s="1297"/>
      <c r="R125" s="1297"/>
      <c r="S125" s="1297"/>
      <c r="T125" s="468" cm="1" t="str">
        <f t="array" ref="T125:T125">T124</f>
        <v>false</v>
      </c>
      <c r="U125" s="1297"/>
      <c r="V125" s="1297"/>
      <c r="W125" s="1297"/>
      <c r="X125" s="1539"/>
      <c r="Y125" s="1539"/>
      <c r="Z125" s="1529"/>
      <c r="AA125" s="1630"/>
      <c r="AB125" s="251" t="str">
        <f>K125&amp;" год"</f>
        <v>2066 год</v>
      </c>
      <c r="AC125" s="409"/>
      <c r="AD125" s="6972"/>
      <c r="AE125" s="6971"/>
      <c r="AF125" s="6971"/>
      <c r="AG125" s="6972"/>
      <c r="AH125" s="6971"/>
      <c r="AI125" s="6972"/>
      <c r="AJ125" s="6971"/>
      <c r="AK125" s="6973"/>
      <c r="AL125" s="404"/>
      <c r="AM125" s="1297"/>
      <c r="AN125" s="1072" cm="1" t="str">
        <f t="array" ref="AN125:AN125">K125</f>
        <v>2066</v>
      </c>
      <c r="AO125" s="1072" t="s">
        <v>2773</v>
      </c>
      <c r="AP125" s="1082" cm="1" t="str">
        <f t="array" ref="AP125:AP125">AP124</f>
        <v>0</v>
      </c>
      <c r="AQ125" s="709"/>
      <c r="AR125" s="709"/>
    </row>
    <row s="7022" customFormat="1" customHeight="1" ht="14.25" hidden="1">
      <c r="A126" s="1297"/>
      <c r="B126" s="447">
        <f>K126&lt;first_year+PERIOD_LENGTH</f>
        <v>0</v>
      </c>
      <c r="C126" s="1297"/>
      <c r="D126" s="1297"/>
      <c r="E126" s="709">
        <v>15</v>
      </c>
      <c r="F126" s="50" cm="1" t="str">
        <f t="array" ref="F126:F126">OFFSET(E126,-1,1)</f>
        <v>1</v>
      </c>
      <c r="G126" s="94" cm="1" t="str">
        <f t="array" ref="G126:G126">G125</f>
        <v>0</v>
      </c>
      <c r="H126" s="1297"/>
      <c r="I126" s="1297"/>
      <c r="J126" s="1297"/>
      <c r="K126" s="154">
        <f>first_year+43</f>
        <v>2067</v>
      </c>
      <c r="L126" s="1297"/>
      <c r="M126" s="1297"/>
      <c r="N126" s="1297"/>
      <c r="O126" s="1297"/>
      <c r="P126" s="1297"/>
      <c r="Q126" s="1297"/>
      <c r="R126" s="1297"/>
      <c r="S126" s="1297"/>
      <c r="T126" s="468" cm="1" t="str">
        <f t="array" ref="T126:T126">T125</f>
        <v>false</v>
      </c>
      <c r="U126" s="1297"/>
      <c r="V126" s="1297"/>
      <c r="W126" s="1297"/>
      <c r="X126" s="1539"/>
      <c r="Y126" s="1539"/>
      <c r="Z126" s="1529"/>
      <c r="AA126" s="1630"/>
      <c r="AB126" s="251" t="str">
        <f>K126&amp;" год"</f>
        <v>2067 год</v>
      </c>
      <c r="AC126" s="409"/>
      <c r="AD126" s="6972"/>
      <c r="AE126" s="6971"/>
      <c r="AF126" s="6971"/>
      <c r="AG126" s="6972"/>
      <c r="AH126" s="6971"/>
      <c r="AI126" s="6972"/>
      <c r="AJ126" s="6971"/>
      <c r="AK126" s="6973"/>
      <c r="AL126" s="404"/>
      <c r="AM126" s="1297"/>
      <c r="AN126" s="1072" cm="1" t="str">
        <f t="array" ref="AN126:AN126">K126</f>
        <v>2067</v>
      </c>
      <c r="AO126" s="1072" t="s">
        <v>2773</v>
      </c>
      <c r="AP126" s="1082" cm="1" t="str">
        <f t="array" ref="AP126:AP126">AP125</f>
        <v>0</v>
      </c>
      <c r="AQ126" s="709"/>
      <c r="AR126" s="709"/>
    </row>
    <row s="7023" customFormat="1" customHeight="1" ht="14.25" hidden="1">
      <c r="A127" s="1297"/>
      <c r="B127" s="447">
        <f>K127&lt;first_year+PERIOD_LENGTH</f>
        <v>0</v>
      </c>
      <c r="C127" s="1297"/>
      <c r="D127" s="1297"/>
      <c r="E127" s="709">
        <v>15</v>
      </c>
      <c r="F127" s="50" cm="1" t="str">
        <f t="array" ref="F127:F127">OFFSET(E127,-1,1)</f>
        <v>1</v>
      </c>
      <c r="G127" s="94" cm="1" t="str">
        <f t="array" ref="G127:G127">G126</f>
        <v>0</v>
      </c>
      <c r="H127" s="1297"/>
      <c r="I127" s="1297"/>
      <c r="J127" s="1297"/>
      <c r="K127" s="154">
        <f>first_year+44</f>
        <v>2068</v>
      </c>
      <c r="L127" s="1297"/>
      <c r="M127" s="1297"/>
      <c r="N127" s="1297"/>
      <c r="O127" s="1297"/>
      <c r="P127" s="1297"/>
      <c r="Q127" s="1297"/>
      <c r="R127" s="1297"/>
      <c r="S127" s="1297"/>
      <c r="T127" s="468" cm="1" t="str">
        <f t="array" ref="T127:T127">T126</f>
        <v>false</v>
      </c>
      <c r="U127" s="1297"/>
      <c r="V127" s="1297"/>
      <c r="W127" s="1297"/>
      <c r="X127" s="1539"/>
      <c r="Y127" s="1539"/>
      <c r="Z127" s="1529"/>
      <c r="AA127" s="1630"/>
      <c r="AB127" s="251" t="str">
        <f>K127&amp;" год"</f>
        <v>2068 год</v>
      </c>
      <c r="AC127" s="409"/>
      <c r="AD127" s="6972"/>
      <c r="AE127" s="6971"/>
      <c r="AF127" s="6971"/>
      <c r="AG127" s="6972"/>
      <c r="AH127" s="6971"/>
      <c r="AI127" s="6972"/>
      <c r="AJ127" s="6971"/>
      <c r="AK127" s="6973"/>
      <c r="AL127" s="404"/>
      <c r="AM127" s="1297"/>
      <c r="AN127" s="1072" cm="1" t="str">
        <f t="array" ref="AN127:AN127">K127</f>
        <v>2068</v>
      </c>
      <c r="AO127" s="1072" t="s">
        <v>2773</v>
      </c>
      <c r="AP127" s="1082" cm="1" t="str">
        <f t="array" ref="AP127:AP127">AP126</f>
        <v>0</v>
      </c>
      <c r="AQ127" s="709"/>
      <c r="AR127" s="709"/>
    </row>
    <row s="7024" customFormat="1" customHeight="1" ht="14.25" hidden="1">
      <c r="A128" s="1297"/>
      <c r="B128" s="447">
        <f>K128&lt;first_year+PERIOD_LENGTH</f>
        <v>0</v>
      </c>
      <c r="C128" s="1297"/>
      <c r="D128" s="1297"/>
      <c r="E128" s="709">
        <v>15</v>
      </c>
      <c r="F128" s="50" cm="1" t="str">
        <f t="array" ref="F128:F128">OFFSET(E128,-1,1)</f>
        <v>1</v>
      </c>
      <c r="G128" s="94" cm="1" t="str">
        <f t="array" ref="G128:G128">G127</f>
        <v>0</v>
      </c>
      <c r="H128" s="1297"/>
      <c r="I128" s="1297"/>
      <c r="J128" s="1297"/>
      <c r="K128" s="154">
        <f>first_year+45</f>
        <v>2069</v>
      </c>
      <c r="L128" s="1297"/>
      <c r="M128" s="1297"/>
      <c r="N128" s="1297"/>
      <c r="O128" s="1297"/>
      <c r="P128" s="1297"/>
      <c r="Q128" s="1297"/>
      <c r="R128" s="1297"/>
      <c r="S128" s="1297"/>
      <c r="T128" s="468" cm="1" t="str">
        <f t="array" ref="T128:T128">T127</f>
        <v>false</v>
      </c>
      <c r="U128" s="1297"/>
      <c r="V128" s="1297"/>
      <c r="W128" s="1297"/>
      <c r="X128" s="1539"/>
      <c r="Y128" s="1539"/>
      <c r="Z128" s="1529"/>
      <c r="AA128" s="1630"/>
      <c r="AB128" s="251" t="str">
        <f>K128&amp;" год"</f>
        <v>2069 год</v>
      </c>
      <c r="AC128" s="409"/>
      <c r="AD128" s="6972"/>
      <c r="AE128" s="6971"/>
      <c r="AF128" s="6971"/>
      <c r="AG128" s="6972"/>
      <c r="AH128" s="6971"/>
      <c r="AI128" s="6972"/>
      <c r="AJ128" s="6971"/>
      <c r="AK128" s="6973"/>
      <c r="AL128" s="404"/>
      <c r="AM128" s="1297"/>
      <c r="AN128" s="1072" cm="1" t="str">
        <f t="array" ref="AN128:AN128">K128</f>
        <v>2069</v>
      </c>
      <c r="AO128" s="1072" t="s">
        <v>2773</v>
      </c>
      <c r="AP128" s="1082" cm="1" t="str">
        <f t="array" ref="AP128:AP128">AP127</f>
        <v>0</v>
      </c>
      <c r="AQ128" s="709"/>
      <c r="AR128" s="709"/>
    </row>
    <row s="7025" customFormat="1" customHeight="1" ht="14.25" hidden="1">
      <c r="A129" s="1297"/>
      <c r="B129" s="447">
        <f>K129&lt;first_year+PERIOD_LENGTH</f>
        <v>0</v>
      </c>
      <c r="C129" s="1297"/>
      <c r="D129" s="1297"/>
      <c r="E129" s="709">
        <v>15</v>
      </c>
      <c r="F129" s="50" cm="1" t="str">
        <f t="array" ref="F129:F129">OFFSET(E129,-1,1)</f>
        <v>1</v>
      </c>
      <c r="G129" s="94" cm="1" t="str">
        <f t="array" ref="G129:G129">G128</f>
        <v>0</v>
      </c>
      <c r="H129" s="1297"/>
      <c r="I129" s="1297"/>
      <c r="J129" s="1297"/>
      <c r="K129" s="154">
        <f>first_year+46</f>
        <v>2070</v>
      </c>
      <c r="L129" s="1297"/>
      <c r="M129" s="1297"/>
      <c r="N129" s="1297"/>
      <c r="O129" s="1297"/>
      <c r="P129" s="1297"/>
      <c r="Q129" s="1297"/>
      <c r="R129" s="1297"/>
      <c r="S129" s="1297"/>
      <c r="T129" s="468" cm="1" t="str">
        <f t="array" ref="T129:T129">T128</f>
        <v>false</v>
      </c>
      <c r="U129" s="1297"/>
      <c r="V129" s="1297"/>
      <c r="W129" s="1297"/>
      <c r="X129" s="1539"/>
      <c r="Y129" s="1539"/>
      <c r="Z129" s="1529"/>
      <c r="AA129" s="1630"/>
      <c r="AB129" s="251" t="str">
        <f>K129&amp;" год"</f>
        <v>2070 год</v>
      </c>
      <c r="AC129" s="409"/>
      <c r="AD129" s="6972"/>
      <c r="AE129" s="6971"/>
      <c r="AF129" s="6971"/>
      <c r="AG129" s="6972"/>
      <c r="AH129" s="6971"/>
      <c r="AI129" s="6972"/>
      <c r="AJ129" s="6971"/>
      <c r="AK129" s="6973"/>
      <c r="AL129" s="404"/>
      <c r="AM129" s="1297"/>
      <c r="AN129" s="1072" cm="1" t="str">
        <f t="array" ref="AN129:AN129">K129</f>
        <v>2070</v>
      </c>
      <c r="AO129" s="1072" t="s">
        <v>2773</v>
      </c>
      <c r="AP129" s="1082" cm="1" t="str">
        <f t="array" ref="AP129:AP129">AP128</f>
        <v>0</v>
      </c>
      <c r="AQ129" s="709"/>
      <c r="AR129" s="709"/>
    </row>
    <row s="7026" customFormat="1" customHeight="1" ht="14.25" hidden="1">
      <c r="A130" s="1297"/>
      <c r="B130" s="447">
        <f>K130&lt;first_year+PERIOD_LENGTH</f>
        <v>0</v>
      </c>
      <c r="C130" s="1297"/>
      <c r="D130" s="1297"/>
      <c r="E130" s="709">
        <v>15</v>
      </c>
      <c r="F130" s="50" cm="1" t="str">
        <f t="array" ref="F130:F130">OFFSET(E130,-1,1)</f>
        <v>1</v>
      </c>
      <c r="G130" s="94" cm="1" t="str">
        <f t="array" ref="G130:G130">G129</f>
        <v>0</v>
      </c>
      <c r="H130" s="1297"/>
      <c r="I130" s="1297"/>
      <c r="J130" s="1297"/>
      <c r="K130" s="154">
        <f>first_year+47</f>
        <v>2071</v>
      </c>
      <c r="L130" s="1297"/>
      <c r="M130" s="1297"/>
      <c r="N130" s="1297"/>
      <c r="O130" s="1297"/>
      <c r="P130" s="1297"/>
      <c r="Q130" s="1297"/>
      <c r="R130" s="1297"/>
      <c r="S130" s="1297"/>
      <c r="T130" s="468" cm="1" t="str">
        <f t="array" ref="T130:T130">T129</f>
        <v>false</v>
      </c>
      <c r="U130" s="1297"/>
      <c r="V130" s="1297"/>
      <c r="W130" s="1297"/>
      <c r="X130" s="1539"/>
      <c r="Y130" s="1539"/>
      <c r="Z130" s="1529"/>
      <c r="AA130" s="1630"/>
      <c r="AB130" s="251" t="str">
        <f>K130&amp;" год"</f>
        <v>2071 год</v>
      </c>
      <c r="AC130" s="409"/>
      <c r="AD130" s="6972"/>
      <c r="AE130" s="6971"/>
      <c r="AF130" s="6971"/>
      <c r="AG130" s="6972"/>
      <c r="AH130" s="6971"/>
      <c r="AI130" s="6972"/>
      <c r="AJ130" s="6971"/>
      <c r="AK130" s="6973"/>
      <c r="AL130" s="404"/>
      <c r="AM130" s="1297"/>
      <c r="AN130" s="1072" cm="1" t="str">
        <f t="array" ref="AN130:AN130">K130</f>
        <v>2071</v>
      </c>
      <c r="AO130" s="1072" t="s">
        <v>2773</v>
      </c>
      <c r="AP130" s="1082" cm="1" t="str">
        <f t="array" ref="AP130:AP130">AP129</f>
        <v>0</v>
      </c>
      <c r="AQ130" s="709"/>
      <c r="AR130" s="709"/>
    </row>
    <row s="7027" customFormat="1" customHeight="1" ht="14.25" hidden="1">
      <c r="A131" s="1297"/>
      <c r="B131" s="447">
        <f>K131&lt;first_year+PERIOD_LENGTH</f>
        <v>0</v>
      </c>
      <c r="C131" s="1297"/>
      <c r="D131" s="1297"/>
      <c r="E131" s="709">
        <v>15</v>
      </c>
      <c r="F131" s="50" cm="1" t="str">
        <f t="array" ref="F131:F131">OFFSET(E131,-1,1)</f>
        <v>1</v>
      </c>
      <c r="G131" s="94" cm="1" t="str">
        <f t="array" ref="G131:G131">G130</f>
        <v>0</v>
      </c>
      <c r="H131" s="1297"/>
      <c r="I131" s="1297"/>
      <c r="J131" s="1297"/>
      <c r="K131" s="154">
        <f>first_year+48</f>
        <v>2072</v>
      </c>
      <c r="L131" s="1297"/>
      <c r="M131" s="1297"/>
      <c r="N131" s="1297"/>
      <c r="O131" s="1297"/>
      <c r="P131" s="1297"/>
      <c r="Q131" s="1297"/>
      <c r="R131" s="1297"/>
      <c r="S131" s="1297"/>
      <c r="T131" s="468" cm="1" t="str">
        <f t="array" ref="T131:T131">T130</f>
        <v>false</v>
      </c>
      <c r="U131" s="1297"/>
      <c r="V131" s="1297"/>
      <c r="W131" s="1297"/>
      <c r="X131" s="1539"/>
      <c r="Y131" s="1539"/>
      <c r="Z131" s="1529"/>
      <c r="AA131" s="1630"/>
      <c r="AB131" s="251" t="str">
        <f>K131&amp;" год"</f>
        <v>2072 год</v>
      </c>
      <c r="AC131" s="409"/>
      <c r="AD131" s="6972"/>
      <c r="AE131" s="6971"/>
      <c r="AF131" s="6971"/>
      <c r="AG131" s="6972"/>
      <c r="AH131" s="6971"/>
      <c r="AI131" s="6972"/>
      <c r="AJ131" s="6971"/>
      <c r="AK131" s="6973"/>
      <c r="AL131" s="404"/>
      <c r="AM131" s="1297"/>
      <c r="AN131" s="1072" cm="1" t="str">
        <f t="array" ref="AN131:AN131">K131</f>
        <v>2072</v>
      </c>
      <c r="AO131" s="1072" t="s">
        <v>2773</v>
      </c>
      <c r="AP131" s="1082" cm="1" t="str">
        <f t="array" ref="AP131:AP131">AP130</f>
        <v>0</v>
      </c>
      <c r="AQ131" s="709"/>
      <c r="AR131" s="709"/>
    </row>
    <row s="7028" customFormat="1" customHeight="1" ht="14.25" hidden="1">
      <c r="A132" s="1297"/>
      <c r="B132" s="447">
        <f>K132&lt;first_year+PERIOD_LENGTH</f>
        <v>0</v>
      </c>
      <c r="C132" s="1297"/>
      <c r="D132" s="1297"/>
      <c r="E132" s="709">
        <v>15</v>
      </c>
      <c r="F132" s="50" cm="1" t="str">
        <f t="array" ref="F132:F132">OFFSET(E132,-1,1)</f>
        <v>1</v>
      </c>
      <c r="G132" s="94" cm="1" t="str">
        <f t="array" ref="G132:G132">G131</f>
        <v>0</v>
      </c>
      <c r="H132" s="1297"/>
      <c r="I132" s="1297"/>
      <c r="J132" s="1297"/>
      <c r="K132" s="154">
        <f>first_year+49</f>
        <v>2073</v>
      </c>
      <c r="L132" s="1297"/>
      <c r="M132" s="1297"/>
      <c r="N132" s="1297"/>
      <c r="O132" s="1297"/>
      <c r="P132" s="1297"/>
      <c r="Q132" s="1297"/>
      <c r="R132" s="1297"/>
      <c r="S132" s="1297"/>
      <c r="T132" s="468" cm="1" t="str">
        <f t="array" ref="T132:T132">T131</f>
        <v>false</v>
      </c>
      <c r="U132" s="1297"/>
      <c r="V132" s="1297"/>
      <c r="W132" s="1297"/>
      <c r="X132" s="1539"/>
      <c r="Y132" s="1539"/>
      <c r="Z132" s="1529"/>
      <c r="AA132" s="1630"/>
      <c r="AB132" s="251" t="str">
        <f>K132&amp;" год"</f>
        <v>2073 год</v>
      </c>
      <c r="AC132" s="409"/>
      <c r="AD132" s="6972"/>
      <c r="AE132" s="6971"/>
      <c r="AF132" s="6971"/>
      <c r="AG132" s="6972"/>
      <c r="AH132" s="6971"/>
      <c r="AI132" s="6972"/>
      <c r="AJ132" s="6971"/>
      <c r="AK132" s="6973"/>
      <c r="AL132" s="404"/>
      <c r="AM132" s="1297"/>
      <c r="AN132" s="1072" cm="1" t="str">
        <f t="array" ref="AN132:AN132">K132</f>
        <v>2073</v>
      </c>
      <c r="AO132" s="1072" t="s">
        <v>2773</v>
      </c>
      <c r="AP132" s="1082" cm="1" t="str">
        <f t="array" ref="AP132:AP132">AP131</f>
        <v>0</v>
      </c>
      <c r="AQ132" s="709"/>
      <c r="AR132" s="709"/>
    </row>
    <row s="541" customFormat="1" customHeight="1" ht="64.171875">
      <c r="A133" s="1331"/>
      <c r="B133" s="430"/>
      <c r="C133" s="1331"/>
      <c r="D133" s="1331"/>
      <c r="E133" s="623">
        <v>15</v>
      </c>
      <c r="F133" s="50" cm="1" t="str">
        <f t="array" ref="F133:F133">OFFSET(E133,-1,1)</f>
        <v>1</v>
      </c>
      <c r="G133" s="118" cm="1" t="str">
        <f t="array" ref="G133:G133">AB133</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ЛЕНИНСК-КУЗНЕЦКИЙ ГОРОДСКОЙ ОКРУГ</v>
      </c>
      <c r="H133" s="1331"/>
      <c r="I133" s="1331"/>
      <c r="J133" s="1331"/>
      <c r="K133" s="1331"/>
      <c r="L133" s="1331"/>
      <c r="M133" s="1331"/>
      <c r="N133" s="1331"/>
      <c r="O133" s="1331"/>
      <c r="P133" s="1331"/>
      <c r="Q133" s="1331"/>
      <c r="R133" s="1331"/>
      <c r="S133" s="1331"/>
      <c r="T133" s="468">
        <f>AND(F133&gt;0,Y133&gt;0)</f>
        <v>1</v>
      </c>
      <c r="U133" s="1331"/>
      <c r="V133" s="1331"/>
      <c r="W133" s="118"/>
      <c r="X133" s="1539"/>
      <c r="Y133" s="1539" t="s">
        <v>290</v>
      </c>
      <c r="Z133" s="1529"/>
      <c r="AA133" s="1630" t="s">
        <v>174</v>
      </c>
      <c r="AB133" s="1631" t="s">
        <v>2775</v>
      </c>
      <c r="AC133" s="1631"/>
      <c r="AD133" s="1631"/>
      <c r="AE133" s="1631"/>
      <c r="AF133" s="1631"/>
      <c r="AG133" s="1631"/>
      <c r="AH133" s="6967"/>
      <c r="AI133" s="6967"/>
      <c r="AJ133" s="6967"/>
      <c r="AK133" s="6968"/>
      <c r="AL133" s="403"/>
      <c r="AM133" s="1331"/>
      <c r="AN133" s="1005"/>
      <c r="AO133" s="1072" t="s">
        <v>2773</v>
      </c>
      <c r="AP133" s="1087" cm="1" t="str">
        <f t="array" ref="AP133:AP133">AB133</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ЛЕНИНСК-КУЗНЕЦКИЙ ГОРОДСКОЙ ОКРУГ</v>
      </c>
      <c r="AQ133" s="623"/>
      <c r="AR133" s="623" t="b">
        <v>1</v>
      </c>
    </row>
    <row s="7030" customFormat="1" customHeight="1" ht="22.171875">
      <c r="A134" s="1297"/>
      <c r="B134" s="447">
        <f>K134&lt;first_year+PERIOD_LENGTH</f>
        <v>1</v>
      </c>
      <c r="C134" s="1297"/>
      <c r="D134" s="1297"/>
      <c r="E134" s="709">
        <v>15</v>
      </c>
      <c r="F134" s="50" cm="1" t="str">
        <f t="array" ref="F134:F134">OFFSET(E134,-1,1)</f>
        <v>1</v>
      </c>
      <c r="G134" s="94" cm="1" t="str">
        <f t="array" ref="G134:G134">G133</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ЛЕНИНСК-КУЗНЕЦКИЙ ГОРОДСКОЙ ОКРУГ</v>
      </c>
      <c r="H134" s="1297"/>
      <c r="I134" s="1297"/>
      <c r="J134" s="1297"/>
      <c r="K134" s="154" cm="1" t="str">
        <f t="array" ref="K134:K134">first_year</f>
        <v>2024</v>
      </c>
      <c r="L134" s="1297"/>
      <c r="M134" s="1297"/>
      <c r="N134" s="1297"/>
      <c r="O134" s="1297"/>
      <c r="P134" s="1297"/>
      <c r="Q134" s="1297"/>
      <c r="R134" s="1297"/>
      <c r="S134" s="1297"/>
      <c r="T134" s="468" cm="1" t="str">
        <f t="array" ref="T134:T134">T133</f>
        <v>true</v>
      </c>
      <c r="U134" s="1297"/>
      <c r="V134" s="1297"/>
      <c r="W134" s="1297"/>
      <c r="X134" s="1539"/>
      <c r="Y134" s="1539"/>
      <c r="Z134" s="1529"/>
      <c r="AA134" s="1630"/>
      <c r="AB134" s="298" t="str">
        <f>K134&amp;" год"</f>
        <v>2024 год</v>
      </c>
      <c r="AC134" s="299"/>
      <c r="AD134" s="313">
        <v>1</v>
      </c>
      <c r="AE134" s="299">
        <v>9.7</v>
      </c>
      <c r="AF134" s="299">
        <v>43.01</v>
      </c>
      <c r="AG134" s="313">
        <v>1.324</v>
      </c>
      <c r="AH134" s="6971"/>
      <c r="AI134" s="6972"/>
      <c r="AJ134" s="6971"/>
      <c r="AK134" s="6973"/>
      <c r="AL134" s="404"/>
      <c r="AM134" s="1297"/>
      <c r="AN134" s="1072" cm="1" t="str">
        <f t="array" ref="AN134:AN134">K134</f>
        <v>2024</v>
      </c>
      <c r="AO134" s="1072" t="s">
        <v>2773</v>
      </c>
      <c r="AP134" s="1082" cm="1" t="str">
        <f t="array" ref="AP134:AP134">AP133</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ЛЕНИНСК-КУЗНЕЦКИЙ ГОРОДСКОЙ ОКРУГ</v>
      </c>
      <c r="AQ134" s="709"/>
      <c r="AR134" s="709"/>
    </row>
    <row s="7033" customFormat="1" customHeight="1" ht="21.421875">
      <c r="A135" s="1297"/>
      <c r="B135" s="447">
        <f>K135&lt;first_year+PERIOD_LENGTH</f>
        <v>1</v>
      </c>
      <c r="C135" s="1297"/>
      <c r="D135" s="1297"/>
      <c r="E135" s="709">
        <v>15</v>
      </c>
      <c r="F135" s="50" cm="1" t="str">
        <f t="array" ref="F135:F135">OFFSET(E135,-1,1)</f>
        <v>1</v>
      </c>
      <c r="G135" s="94" cm="1" t="str">
        <f t="array" ref="G135:G135">G134</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ЛЕНИНСК-КУЗНЕЦКИЙ ГОРОДСКОЙ ОКРУГ</v>
      </c>
      <c r="H135" s="1297"/>
      <c r="I135" s="1297"/>
      <c r="J135" s="1297"/>
      <c r="K135" s="154">
        <f>first_year+1</f>
        <v>2025</v>
      </c>
      <c r="L135" s="1297"/>
      <c r="M135" s="1297"/>
      <c r="N135" s="1297"/>
      <c r="O135" s="1297"/>
      <c r="P135" s="1297"/>
      <c r="Q135" s="1297"/>
      <c r="R135" s="1297"/>
      <c r="S135" s="1297"/>
      <c r="T135" s="468" cm="1" t="str">
        <f t="array" ref="T135:T135">T134</f>
        <v>true</v>
      </c>
      <c r="U135" s="1297"/>
      <c r="V135" s="1297"/>
      <c r="W135" s="1297"/>
      <c r="X135" s="1539"/>
      <c r="Y135" s="1539"/>
      <c r="Z135" s="1529"/>
      <c r="AA135" s="1630"/>
      <c r="AB135" s="251" t="str">
        <f>K135&amp;" год"</f>
        <v>2025 год</v>
      </c>
      <c r="AC135" s="409"/>
      <c r="AD135" s="313">
        <v>0</v>
      </c>
      <c r="AE135" s="299">
        <v>14.38</v>
      </c>
      <c r="AF135" s="299">
        <v>42.96</v>
      </c>
      <c r="AG135" s="313">
        <v>1.327</v>
      </c>
      <c r="AH135" s="6971"/>
      <c r="AI135" s="6972"/>
      <c r="AJ135" s="6971"/>
      <c r="AK135" s="6973"/>
      <c r="AL135" s="404"/>
      <c r="AM135" s="1297"/>
      <c r="AN135" s="1072" cm="1" t="str">
        <f t="array" ref="AN135:AN135">K135</f>
        <v>2025</v>
      </c>
      <c r="AO135" s="1072" t="s">
        <v>2773</v>
      </c>
      <c r="AP135" s="1082" cm="1" t="str">
        <f t="array" ref="AP135:AP135">AP134</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ЛЕНИНСК-КУЗНЕЦКИЙ ГОРОДСКОЙ ОКРУГ</v>
      </c>
      <c r="AQ135" s="709"/>
      <c r="AR135" s="709"/>
    </row>
    <row s="7034" customFormat="1" customHeight="1" ht="19.921875">
      <c r="A136" s="1297"/>
      <c r="B136" s="447">
        <f>K136&lt;first_year+PERIOD_LENGTH</f>
        <v>1</v>
      </c>
      <c r="C136" s="1297"/>
      <c r="D136" s="1297"/>
      <c r="E136" s="709">
        <v>15</v>
      </c>
      <c r="F136" s="50" cm="1" t="str">
        <f t="array" ref="F136:F136">OFFSET(E136,-1,1)</f>
        <v>1</v>
      </c>
      <c r="G136" s="94" cm="1" t="str">
        <f t="array" ref="G136:G136">G135</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ЛЕНИНСК-КУЗНЕЦКИЙ ГОРОДСКОЙ ОКРУГ</v>
      </c>
      <c r="H136" s="1297"/>
      <c r="I136" s="1297"/>
      <c r="J136" s="1297"/>
      <c r="K136" s="154">
        <f>first_year+2</f>
        <v>2026</v>
      </c>
      <c r="L136" s="1297"/>
      <c r="M136" s="1297"/>
      <c r="N136" s="1297"/>
      <c r="O136" s="1297"/>
      <c r="P136" s="1297"/>
      <c r="Q136" s="1297"/>
      <c r="R136" s="1297"/>
      <c r="S136" s="1297"/>
      <c r="T136" s="468" cm="1" t="str">
        <f t="array" ref="T136:T136">T135</f>
        <v>true</v>
      </c>
      <c r="U136" s="1297"/>
      <c r="V136" s="1297"/>
      <c r="W136" s="1297"/>
      <c r="X136" s="1539"/>
      <c r="Y136" s="1539"/>
      <c r="Z136" s="1529"/>
      <c r="AA136" s="1630"/>
      <c r="AB136" s="251" t="str">
        <f>K136&amp;" год"</f>
        <v>2026 год</v>
      </c>
      <c r="AC136" s="409"/>
      <c r="AD136" s="313">
        <v>1</v>
      </c>
      <c r="AE136" s="299">
        <v>17.6</v>
      </c>
      <c r="AF136" s="299">
        <v>42.91</v>
      </c>
      <c r="AG136" s="313">
        <v>1.344</v>
      </c>
      <c r="AH136" s="6971"/>
      <c r="AI136" s="6972"/>
      <c r="AJ136" s="6971"/>
      <c r="AK136" s="6973"/>
      <c r="AL136" s="404"/>
      <c r="AM136" s="1297"/>
      <c r="AN136" s="1072" cm="1" t="str">
        <f t="array" ref="AN136:AN136">K136</f>
        <v>2026</v>
      </c>
      <c r="AO136" s="1072" t="s">
        <v>2773</v>
      </c>
      <c r="AP136" s="1082" cm="1" t="str">
        <f t="array" ref="AP136:AP136">AP135</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ЛЕНИНСК-КУЗНЕЦКИЙ ГОРОДСКОЙ ОКРУГ</v>
      </c>
      <c r="AQ136" s="709"/>
      <c r="AR136" s="709"/>
    </row>
    <row s="7035" customFormat="1" customHeight="1" ht="19.171875">
      <c r="A137" s="1297"/>
      <c r="B137" s="447">
        <f>K137&lt;first_year+PERIOD_LENGTH</f>
        <v>1</v>
      </c>
      <c r="C137" s="1297"/>
      <c r="D137" s="1297"/>
      <c r="E137" s="709">
        <v>15</v>
      </c>
      <c r="F137" s="50" cm="1" t="str">
        <f t="array" ref="F137:F137">OFFSET(E137,-1,1)</f>
        <v>1</v>
      </c>
      <c r="G137" s="94" cm="1" t="str">
        <f t="array" ref="G137:G137">G136</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ЛЕНИНСК-КУЗНЕЦКИЙ ГОРОДСКОЙ ОКРУГ</v>
      </c>
      <c r="H137" s="1297"/>
      <c r="I137" s="1297"/>
      <c r="J137" s="1297"/>
      <c r="K137" s="154">
        <f>first_year+3</f>
        <v>2027</v>
      </c>
      <c r="L137" s="1297"/>
      <c r="M137" s="1297"/>
      <c r="N137" s="1297"/>
      <c r="O137" s="1297"/>
      <c r="P137" s="1297"/>
      <c r="Q137" s="1297"/>
      <c r="R137" s="1297"/>
      <c r="S137" s="1297"/>
      <c r="T137" s="468" cm="1" t="str">
        <f t="array" ref="T137:T137">T136</f>
        <v>true</v>
      </c>
      <c r="U137" s="1297"/>
      <c r="V137" s="1297"/>
      <c r="W137" s="1297"/>
      <c r="X137" s="1539"/>
      <c r="Y137" s="1539"/>
      <c r="Z137" s="1529"/>
      <c r="AA137" s="1630"/>
      <c r="AB137" s="251" t="str">
        <f>K137&amp;" год"</f>
        <v>2027 год</v>
      </c>
      <c r="AC137" s="409"/>
      <c r="AD137" s="313">
        <v>1</v>
      </c>
      <c r="AE137" s="299">
        <v>1.9</v>
      </c>
      <c r="AF137" s="299">
        <v>42.86</v>
      </c>
      <c r="AG137" s="313">
        <v>1.344</v>
      </c>
      <c r="AH137" s="6971"/>
      <c r="AI137" s="6972"/>
      <c r="AJ137" s="6971"/>
      <c r="AK137" s="6973"/>
      <c r="AL137" s="404"/>
      <c r="AM137" s="1297"/>
      <c r="AN137" s="1072" cm="1" t="str">
        <f t="array" ref="AN137:AN137">K137</f>
        <v>2027</v>
      </c>
      <c r="AO137" s="1072" t="s">
        <v>2773</v>
      </c>
      <c r="AP137" s="1082" cm="1" t="str">
        <f t="array" ref="AP137:AP137">AP136</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ЛЕНИНСК-КУЗНЕЦКИЙ ГОРОДСКОЙ ОКРУГ</v>
      </c>
      <c r="AQ137" s="709"/>
      <c r="AR137" s="709"/>
    </row>
    <row s="7036" customFormat="1" customHeight="1" ht="21.421875">
      <c r="A138" s="1297"/>
      <c r="B138" s="447">
        <f>K138&lt;first_year+PERIOD_LENGTH</f>
        <v>1</v>
      </c>
      <c r="C138" s="1297"/>
      <c r="D138" s="1297"/>
      <c r="E138" s="709">
        <v>15</v>
      </c>
      <c r="F138" s="50" cm="1" t="str">
        <f t="array" ref="F138:F138">OFFSET(E138,-1,1)</f>
        <v>1</v>
      </c>
      <c r="G138" s="94" cm="1" t="str">
        <f t="array" ref="G138:G138">G137</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ЛЕНИНСК-КУЗНЕЦКИЙ ГОРОДСКОЙ ОКРУГ</v>
      </c>
      <c r="H138" s="1297"/>
      <c r="I138" s="1297"/>
      <c r="J138" s="1297"/>
      <c r="K138" s="154">
        <f>first_year+4</f>
        <v>2028</v>
      </c>
      <c r="L138" s="1297"/>
      <c r="M138" s="1297"/>
      <c r="N138" s="1297"/>
      <c r="O138" s="1297"/>
      <c r="P138" s="1297"/>
      <c r="Q138" s="1297"/>
      <c r="R138" s="1297"/>
      <c r="S138" s="1297"/>
      <c r="T138" s="468" cm="1" t="str">
        <f t="array" ref="T138:T138">T137</f>
        <v>true</v>
      </c>
      <c r="U138" s="1297"/>
      <c r="V138" s="1297"/>
      <c r="W138" s="1297"/>
      <c r="X138" s="1539"/>
      <c r="Y138" s="1539"/>
      <c r="Z138" s="1529"/>
      <c r="AA138" s="1630"/>
      <c r="AB138" s="251" t="str">
        <f>K138&amp;" год"</f>
        <v>2028 год</v>
      </c>
      <c r="AC138" s="409"/>
      <c r="AD138" s="313">
        <v>1</v>
      </c>
      <c r="AE138" s="299">
        <v>3.53</v>
      </c>
      <c r="AF138" s="299">
        <v>42.81</v>
      </c>
      <c r="AG138" s="313">
        <v>1.344</v>
      </c>
      <c r="AH138" s="6971"/>
      <c r="AI138" s="6972"/>
      <c r="AJ138" s="6971"/>
      <c r="AK138" s="6973"/>
      <c r="AL138" s="404"/>
      <c r="AM138" s="1297"/>
      <c r="AN138" s="1072" cm="1" t="str">
        <f t="array" ref="AN138:AN138">K138</f>
        <v>2028</v>
      </c>
      <c r="AO138" s="1072" t="s">
        <v>2773</v>
      </c>
      <c r="AP138" s="1082" cm="1" t="str">
        <f t="array" ref="AP138:AP138">AP137</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ЛЕНИНСК-КУЗНЕЦКИЙ ГОРОДСКОЙ ОКРУГ</v>
      </c>
      <c r="AQ138" s="709"/>
      <c r="AR138" s="709"/>
    </row>
    <row s="7037" customFormat="1" customHeight="1" ht="14.25" hidden="1">
      <c r="A139" s="1297"/>
      <c r="B139" s="447">
        <f>K139&lt;first_year+PERIOD_LENGTH</f>
        <v>0</v>
      </c>
      <c r="C139" s="1297"/>
      <c r="D139" s="1297"/>
      <c r="E139" s="709">
        <v>15</v>
      </c>
      <c r="F139" s="50" cm="1" t="str">
        <f t="array" ref="F139:F139">OFFSET(E139,-1,1)</f>
        <v>1</v>
      </c>
      <c r="G139" s="94" cm="1" t="str">
        <f t="array" ref="G139:G139">G138</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ЛЕНИНСК-КУЗНЕЦКИЙ ГОРОДСКОЙ ОКРУГ</v>
      </c>
      <c r="H139" s="1297"/>
      <c r="I139" s="1297"/>
      <c r="J139" s="1297"/>
      <c r="K139" s="154">
        <f>first_year+5</f>
        <v>2029</v>
      </c>
      <c r="L139" s="1297"/>
      <c r="M139" s="1297"/>
      <c r="N139" s="1297"/>
      <c r="O139" s="1297"/>
      <c r="P139" s="1297"/>
      <c r="Q139" s="1297"/>
      <c r="R139" s="1297"/>
      <c r="S139" s="1297"/>
      <c r="T139" s="468" cm="1" t="str">
        <f t="array" ref="T139:T139">T138</f>
        <v>true</v>
      </c>
      <c r="U139" s="1297"/>
      <c r="V139" s="1297"/>
      <c r="W139" s="1297"/>
      <c r="X139" s="1539"/>
      <c r="Y139" s="1539"/>
      <c r="Z139" s="1529"/>
      <c r="AA139" s="1630"/>
      <c r="AB139" s="251" t="str">
        <f>K139&amp;" год"</f>
        <v>2029 год</v>
      </c>
      <c r="AC139" s="409"/>
      <c r="AD139" s="6972"/>
      <c r="AE139" s="6971"/>
      <c r="AF139" s="6971"/>
      <c r="AG139" s="6972"/>
      <c r="AH139" s="6971"/>
      <c r="AI139" s="6972"/>
      <c r="AJ139" s="6971"/>
      <c r="AK139" s="6973"/>
      <c r="AL139" s="404"/>
      <c r="AM139" s="1297"/>
      <c r="AN139" s="1072" cm="1" t="str">
        <f t="array" ref="AN139:AN139">K139</f>
        <v>2029</v>
      </c>
      <c r="AO139" s="1072" t="s">
        <v>2773</v>
      </c>
      <c r="AP139" s="1082" cm="1" t="str">
        <f t="array" ref="AP139:AP139">AP138</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ЛЕНИНСК-КУЗНЕЦКИЙ ГОРОДСКОЙ ОКРУГ</v>
      </c>
      <c r="AQ139" s="709"/>
      <c r="AR139" s="709"/>
    </row>
    <row s="7038" customFormat="1" customHeight="1" ht="14.25" hidden="1">
      <c r="A140" s="1297"/>
      <c r="B140" s="447">
        <f>K140&lt;first_year+PERIOD_LENGTH</f>
        <v>0</v>
      </c>
      <c r="C140" s="1297"/>
      <c r="D140" s="1297"/>
      <c r="E140" s="709">
        <v>15</v>
      </c>
      <c r="F140" s="50" cm="1" t="str">
        <f t="array" ref="F140:F140">OFFSET(E140,-1,1)</f>
        <v>1</v>
      </c>
      <c r="G140" s="94" cm="1" t="str">
        <f t="array" ref="G140:G140">G139</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ЛЕНИНСК-КУЗНЕЦКИЙ ГОРОДСКОЙ ОКРУГ</v>
      </c>
      <c r="H140" s="1297"/>
      <c r="I140" s="1297"/>
      <c r="J140" s="1297"/>
      <c r="K140" s="154">
        <f>first_year+6</f>
        <v>2030</v>
      </c>
      <c r="L140" s="1297"/>
      <c r="M140" s="1297"/>
      <c r="N140" s="1297"/>
      <c r="O140" s="1297"/>
      <c r="P140" s="1297"/>
      <c r="Q140" s="1297"/>
      <c r="R140" s="1297"/>
      <c r="S140" s="1297"/>
      <c r="T140" s="468" cm="1" t="str">
        <f t="array" ref="T140:T140">T139</f>
        <v>true</v>
      </c>
      <c r="U140" s="1297"/>
      <c r="V140" s="1297"/>
      <c r="W140" s="1297"/>
      <c r="X140" s="1539"/>
      <c r="Y140" s="1539"/>
      <c r="Z140" s="1529"/>
      <c r="AA140" s="1630"/>
      <c r="AB140" s="251" t="str">
        <f>K140&amp;" год"</f>
        <v>2030 год</v>
      </c>
      <c r="AC140" s="409"/>
      <c r="AD140" s="6972"/>
      <c r="AE140" s="6971"/>
      <c r="AF140" s="6971"/>
      <c r="AG140" s="6972"/>
      <c r="AH140" s="6971"/>
      <c r="AI140" s="6972"/>
      <c r="AJ140" s="6971"/>
      <c r="AK140" s="6973"/>
      <c r="AL140" s="404"/>
      <c r="AM140" s="1297"/>
      <c r="AN140" s="1072" cm="1" t="str">
        <f t="array" ref="AN140:AN140">K140</f>
        <v>2030</v>
      </c>
      <c r="AO140" s="1072" t="s">
        <v>2773</v>
      </c>
      <c r="AP140" s="1082" cm="1" t="str">
        <f t="array" ref="AP140:AP140">AP139</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ЛЕНИНСК-КУЗНЕЦКИЙ ГОРОДСКОЙ ОКРУГ</v>
      </c>
      <c r="AQ140" s="709"/>
      <c r="AR140" s="709"/>
    </row>
    <row s="7039" customFormat="1" customHeight="1" ht="14.25" hidden="1">
      <c r="A141" s="1297"/>
      <c r="B141" s="447">
        <f>K141&lt;first_year+PERIOD_LENGTH</f>
        <v>0</v>
      </c>
      <c r="C141" s="1297"/>
      <c r="D141" s="1297"/>
      <c r="E141" s="709">
        <v>15</v>
      </c>
      <c r="F141" s="50" cm="1" t="str">
        <f t="array" ref="F141:F141">OFFSET(E141,-1,1)</f>
        <v>1</v>
      </c>
      <c r="G141" s="94" cm="1" t="str">
        <f t="array" ref="G141:G141">G140</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ЛЕНИНСК-КУЗНЕЦКИЙ ГОРОДСКОЙ ОКРУГ</v>
      </c>
      <c r="H141" s="1297"/>
      <c r="I141" s="1297"/>
      <c r="J141" s="1297"/>
      <c r="K141" s="154">
        <f>first_year+7</f>
        <v>2031</v>
      </c>
      <c r="L141" s="1297"/>
      <c r="M141" s="1297"/>
      <c r="N141" s="1297"/>
      <c r="O141" s="1297"/>
      <c r="P141" s="1297"/>
      <c r="Q141" s="1297"/>
      <c r="R141" s="1297"/>
      <c r="S141" s="1297"/>
      <c r="T141" s="468" cm="1" t="str">
        <f t="array" ref="T141:T141">T140</f>
        <v>true</v>
      </c>
      <c r="U141" s="1297"/>
      <c r="V141" s="1297"/>
      <c r="W141" s="1297"/>
      <c r="X141" s="1539"/>
      <c r="Y141" s="1539"/>
      <c r="Z141" s="1529"/>
      <c r="AA141" s="1630"/>
      <c r="AB141" s="251" t="str">
        <f>K141&amp;" год"</f>
        <v>2031 год</v>
      </c>
      <c r="AC141" s="409"/>
      <c r="AD141" s="6972"/>
      <c r="AE141" s="6971"/>
      <c r="AF141" s="6971"/>
      <c r="AG141" s="6972"/>
      <c r="AH141" s="6971"/>
      <c r="AI141" s="6972"/>
      <c r="AJ141" s="6971"/>
      <c r="AK141" s="6973"/>
      <c r="AL141" s="404"/>
      <c r="AM141" s="1297"/>
      <c r="AN141" s="1072" cm="1" t="str">
        <f t="array" ref="AN141:AN141">K141</f>
        <v>2031</v>
      </c>
      <c r="AO141" s="1072" t="s">
        <v>2773</v>
      </c>
      <c r="AP141" s="1082" cm="1" t="str">
        <f t="array" ref="AP141:AP141">AP140</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ЛЕНИНСК-КУЗНЕЦКИЙ ГОРОДСКОЙ ОКРУГ</v>
      </c>
      <c r="AQ141" s="709"/>
      <c r="AR141" s="709"/>
    </row>
    <row s="7040" customFormat="1" customHeight="1" ht="14.25" hidden="1">
      <c r="A142" s="1297"/>
      <c r="B142" s="447">
        <f>K142&lt;first_year+PERIOD_LENGTH</f>
        <v>0</v>
      </c>
      <c r="C142" s="1297"/>
      <c r="D142" s="1297"/>
      <c r="E142" s="709">
        <v>15</v>
      </c>
      <c r="F142" s="50" cm="1" t="str">
        <f t="array" ref="F142:F142">OFFSET(E142,-1,1)</f>
        <v>1</v>
      </c>
      <c r="G142" s="94" cm="1" t="str">
        <f t="array" ref="G142:G142">G141</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ЛЕНИНСК-КУЗНЕЦКИЙ ГОРОДСКОЙ ОКРУГ</v>
      </c>
      <c r="H142" s="1297"/>
      <c r="I142" s="1297"/>
      <c r="J142" s="1297"/>
      <c r="K142" s="154">
        <f>first_year+8</f>
        <v>2032</v>
      </c>
      <c r="L142" s="1297"/>
      <c r="M142" s="1297"/>
      <c r="N142" s="1297"/>
      <c r="O142" s="1297"/>
      <c r="P142" s="1297"/>
      <c r="Q142" s="1297"/>
      <c r="R142" s="1297"/>
      <c r="S142" s="1297"/>
      <c r="T142" s="468" cm="1" t="str">
        <f t="array" ref="T142:T142">T141</f>
        <v>true</v>
      </c>
      <c r="U142" s="1297"/>
      <c r="V142" s="1297"/>
      <c r="W142" s="1297"/>
      <c r="X142" s="1539"/>
      <c r="Y142" s="1539"/>
      <c r="Z142" s="1529"/>
      <c r="AA142" s="1630"/>
      <c r="AB142" s="251" t="str">
        <f>K142&amp;" год"</f>
        <v>2032 год</v>
      </c>
      <c r="AC142" s="409"/>
      <c r="AD142" s="6972"/>
      <c r="AE142" s="6971"/>
      <c r="AF142" s="6971"/>
      <c r="AG142" s="6972"/>
      <c r="AH142" s="6971"/>
      <c r="AI142" s="6972"/>
      <c r="AJ142" s="6971"/>
      <c r="AK142" s="6973"/>
      <c r="AL142" s="404"/>
      <c r="AM142" s="1297"/>
      <c r="AN142" s="1072" cm="1" t="str">
        <f t="array" ref="AN142:AN142">K142</f>
        <v>2032</v>
      </c>
      <c r="AO142" s="1072" t="s">
        <v>2773</v>
      </c>
      <c r="AP142" s="1082" cm="1" t="str">
        <f t="array" ref="AP142:AP142">AP141</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ЛЕНИНСК-КУЗНЕЦКИЙ ГОРОДСКОЙ ОКРУГ</v>
      </c>
      <c r="AQ142" s="709"/>
      <c r="AR142" s="709"/>
    </row>
    <row s="7041" customFormat="1" customHeight="1" ht="14.25" hidden="1">
      <c r="A143" s="1297"/>
      <c r="B143" s="447">
        <f>K143&lt;first_year+PERIOD_LENGTH</f>
        <v>0</v>
      </c>
      <c r="C143" s="1297"/>
      <c r="D143" s="1297"/>
      <c r="E143" s="709">
        <v>15</v>
      </c>
      <c r="F143" s="50" cm="1" t="str">
        <f t="array" ref="F143:F143">OFFSET(E143,-1,1)</f>
        <v>1</v>
      </c>
      <c r="G143" s="94" cm="1" t="str">
        <f t="array" ref="G143:G143">G142</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ЛЕНИНСК-КУЗНЕЦКИЙ ГОРОДСКОЙ ОКРУГ</v>
      </c>
      <c r="H143" s="1297"/>
      <c r="I143" s="1297"/>
      <c r="J143" s="1297"/>
      <c r="K143" s="154">
        <f>first_year+9</f>
        <v>2033</v>
      </c>
      <c r="L143" s="1297"/>
      <c r="M143" s="1297"/>
      <c r="N143" s="1297"/>
      <c r="O143" s="1297"/>
      <c r="P143" s="1297"/>
      <c r="Q143" s="1297"/>
      <c r="R143" s="1297"/>
      <c r="S143" s="1297"/>
      <c r="T143" s="468" cm="1" t="str">
        <f t="array" ref="T143:T143">T142</f>
        <v>true</v>
      </c>
      <c r="U143" s="1297"/>
      <c r="V143" s="1297"/>
      <c r="W143" s="1297"/>
      <c r="X143" s="1539"/>
      <c r="Y143" s="1539"/>
      <c r="Z143" s="1529"/>
      <c r="AA143" s="1630"/>
      <c r="AB143" s="251" t="str">
        <f>K143&amp;" год"</f>
        <v>2033 год</v>
      </c>
      <c r="AC143" s="409"/>
      <c r="AD143" s="6972"/>
      <c r="AE143" s="6971"/>
      <c r="AF143" s="6971"/>
      <c r="AG143" s="6972"/>
      <c r="AH143" s="6971"/>
      <c r="AI143" s="6972"/>
      <c r="AJ143" s="6971"/>
      <c r="AK143" s="6973"/>
      <c r="AL143" s="404"/>
      <c r="AM143" s="1297"/>
      <c r="AN143" s="1072" cm="1" t="str">
        <f t="array" ref="AN143:AN143">K143</f>
        <v>2033</v>
      </c>
      <c r="AO143" s="1072" t="s">
        <v>2773</v>
      </c>
      <c r="AP143" s="1082" cm="1" t="str">
        <f t="array" ref="AP143:AP143">AP142</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ЛЕНИНСК-КУЗНЕЦКИЙ ГОРОДСКОЙ ОКРУГ</v>
      </c>
      <c r="AQ143" s="709"/>
      <c r="AR143" s="709"/>
    </row>
    <row s="7042" customFormat="1" customHeight="1" ht="14.25" hidden="1">
      <c r="A144" s="1297"/>
      <c r="B144" s="447">
        <f>K144&lt;first_year+PERIOD_LENGTH</f>
        <v>0</v>
      </c>
      <c r="C144" s="1297"/>
      <c r="D144" s="1297"/>
      <c r="E144" s="709">
        <v>15</v>
      </c>
      <c r="F144" s="50" cm="1" t="str">
        <f t="array" ref="F144:F144">OFFSET(E144,-1,1)</f>
        <v>1</v>
      </c>
      <c r="G144" s="94" cm="1" t="str">
        <f t="array" ref="G144:G144">G143</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ЛЕНИНСК-КУЗНЕЦКИЙ ГОРОДСКОЙ ОКРУГ</v>
      </c>
      <c r="H144" s="1297"/>
      <c r="I144" s="1297"/>
      <c r="J144" s="1297"/>
      <c r="K144" s="154">
        <f>first_year+10</f>
        <v>2034</v>
      </c>
      <c r="L144" s="1297"/>
      <c r="M144" s="1297"/>
      <c r="N144" s="1297"/>
      <c r="O144" s="1297"/>
      <c r="P144" s="1297"/>
      <c r="Q144" s="1297"/>
      <c r="R144" s="1297"/>
      <c r="S144" s="1297"/>
      <c r="T144" s="468" cm="1" t="str">
        <f t="array" ref="T144:T144">T143</f>
        <v>true</v>
      </c>
      <c r="U144" s="1297"/>
      <c r="V144" s="1297"/>
      <c r="W144" s="1297"/>
      <c r="X144" s="1539"/>
      <c r="Y144" s="1539"/>
      <c r="Z144" s="1529"/>
      <c r="AA144" s="1630"/>
      <c r="AB144" s="251" t="str">
        <f>K144&amp;" год"</f>
        <v>2034 год</v>
      </c>
      <c r="AC144" s="409"/>
      <c r="AD144" s="6972"/>
      <c r="AE144" s="6971"/>
      <c r="AF144" s="6971"/>
      <c r="AG144" s="6972"/>
      <c r="AH144" s="6971"/>
      <c r="AI144" s="6972"/>
      <c r="AJ144" s="6971"/>
      <c r="AK144" s="6973"/>
      <c r="AL144" s="404"/>
      <c r="AM144" s="1297"/>
      <c r="AN144" s="1072" cm="1" t="str">
        <f t="array" ref="AN144:AN144">K144</f>
        <v>2034</v>
      </c>
      <c r="AO144" s="1072" t="s">
        <v>2773</v>
      </c>
      <c r="AP144" s="1082" cm="1" t="str">
        <f t="array" ref="AP144:AP144">AP143</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ЛЕНИНСК-КУЗНЕЦКИЙ ГОРОДСКОЙ ОКРУГ</v>
      </c>
      <c r="AQ144" s="709"/>
      <c r="AR144" s="709"/>
    </row>
    <row s="7043" customFormat="1" customHeight="1" ht="14.25" hidden="1">
      <c r="A145" s="1297"/>
      <c r="B145" s="447">
        <f>K145&lt;first_year+PERIOD_LENGTH</f>
        <v>0</v>
      </c>
      <c r="C145" s="1297"/>
      <c r="D145" s="1297"/>
      <c r="E145" s="709">
        <v>15</v>
      </c>
      <c r="F145" s="50" cm="1" t="str">
        <f t="array" ref="F145:F145">OFFSET(E145,-1,1)</f>
        <v>1</v>
      </c>
      <c r="G145" s="94" cm="1" t="str">
        <f t="array" ref="G145:G145">G144</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ЛЕНИНСК-КУЗНЕЦКИЙ ГОРОДСКОЙ ОКРУГ</v>
      </c>
      <c r="H145" s="1297"/>
      <c r="I145" s="1297"/>
      <c r="J145" s="1297"/>
      <c r="K145" s="154">
        <f>first_year+11</f>
        <v>2035</v>
      </c>
      <c r="L145" s="1297"/>
      <c r="M145" s="1297"/>
      <c r="N145" s="1297"/>
      <c r="O145" s="1297"/>
      <c r="P145" s="1297"/>
      <c r="Q145" s="1297"/>
      <c r="R145" s="1297"/>
      <c r="S145" s="1297"/>
      <c r="T145" s="468" cm="1" t="str">
        <f t="array" ref="T145:T145">T144</f>
        <v>true</v>
      </c>
      <c r="U145" s="1297"/>
      <c r="V145" s="1297"/>
      <c r="W145" s="1297"/>
      <c r="X145" s="1539"/>
      <c r="Y145" s="1539"/>
      <c r="Z145" s="1529"/>
      <c r="AA145" s="1630"/>
      <c r="AB145" s="251" t="str">
        <f>K145&amp;" год"</f>
        <v>2035 год</v>
      </c>
      <c r="AC145" s="409"/>
      <c r="AD145" s="6972"/>
      <c r="AE145" s="6971"/>
      <c r="AF145" s="6971"/>
      <c r="AG145" s="6972"/>
      <c r="AH145" s="6971"/>
      <c r="AI145" s="6972"/>
      <c r="AJ145" s="6971"/>
      <c r="AK145" s="6973"/>
      <c r="AL145" s="404"/>
      <c r="AM145" s="1297"/>
      <c r="AN145" s="1072" cm="1" t="str">
        <f t="array" ref="AN145:AN145">K145</f>
        <v>2035</v>
      </c>
      <c r="AO145" s="1072" t="s">
        <v>2773</v>
      </c>
      <c r="AP145" s="1082" cm="1" t="str">
        <f t="array" ref="AP145:AP145">AP144</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ЛЕНИНСК-КУЗНЕЦКИЙ ГОРОДСКОЙ ОКРУГ</v>
      </c>
      <c r="AQ145" s="709"/>
      <c r="AR145" s="709"/>
    </row>
    <row s="7044" customFormat="1" customHeight="1" ht="14.25" hidden="1">
      <c r="A146" s="1297"/>
      <c r="B146" s="447">
        <f>K146&lt;first_year+PERIOD_LENGTH</f>
        <v>0</v>
      </c>
      <c r="C146" s="1297"/>
      <c r="D146" s="1297"/>
      <c r="E146" s="709">
        <v>15</v>
      </c>
      <c r="F146" s="50" cm="1" t="str">
        <f t="array" ref="F146:F146">OFFSET(E146,-1,1)</f>
        <v>1</v>
      </c>
      <c r="G146" s="94" cm="1" t="str">
        <f t="array" ref="G146:G146">G145</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ЛЕНИНСК-КУЗНЕЦКИЙ ГОРОДСКОЙ ОКРУГ</v>
      </c>
      <c r="H146" s="1297"/>
      <c r="I146" s="1297"/>
      <c r="J146" s="1297"/>
      <c r="K146" s="154">
        <f>first_year+12</f>
        <v>2036</v>
      </c>
      <c r="L146" s="1297"/>
      <c r="M146" s="1297"/>
      <c r="N146" s="1297"/>
      <c r="O146" s="1297"/>
      <c r="P146" s="1297"/>
      <c r="Q146" s="1297"/>
      <c r="R146" s="1297"/>
      <c r="S146" s="1297"/>
      <c r="T146" s="468" cm="1" t="str">
        <f t="array" ref="T146:T146">T145</f>
        <v>true</v>
      </c>
      <c r="U146" s="1297"/>
      <c r="V146" s="1297"/>
      <c r="W146" s="1297"/>
      <c r="X146" s="1539"/>
      <c r="Y146" s="1539"/>
      <c r="Z146" s="1529"/>
      <c r="AA146" s="1630"/>
      <c r="AB146" s="251" t="str">
        <f>K146&amp;" год"</f>
        <v>2036 год</v>
      </c>
      <c r="AC146" s="409"/>
      <c r="AD146" s="6972"/>
      <c r="AE146" s="6971"/>
      <c r="AF146" s="6971"/>
      <c r="AG146" s="6972"/>
      <c r="AH146" s="6971"/>
      <c r="AI146" s="6972"/>
      <c r="AJ146" s="6971"/>
      <c r="AK146" s="6973"/>
      <c r="AL146" s="404"/>
      <c r="AM146" s="1297"/>
      <c r="AN146" s="1072" cm="1" t="str">
        <f t="array" ref="AN146:AN146">K146</f>
        <v>2036</v>
      </c>
      <c r="AO146" s="1072" t="s">
        <v>2773</v>
      </c>
      <c r="AP146" s="1082" cm="1" t="str">
        <f t="array" ref="AP146:AP146">AP145</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ЛЕНИНСК-КУЗНЕЦКИЙ ГОРОДСКОЙ ОКРУГ</v>
      </c>
      <c r="AQ146" s="709"/>
      <c r="AR146" s="709"/>
    </row>
    <row s="7045" customFormat="1" customHeight="1" ht="14.25" hidden="1">
      <c r="A147" s="1297"/>
      <c r="B147" s="447">
        <f>K147&lt;first_year+PERIOD_LENGTH</f>
        <v>0</v>
      </c>
      <c r="C147" s="1297"/>
      <c r="D147" s="1297"/>
      <c r="E147" s="709">
        <v>15</v>
      </c>
      <c r="F147" s="50" cm="1" t="str">
        <f t="array" ref="F147:F147">OFFSET(E147,-1,1)</f>
        <v>1</v>
      </c>
      <c r="G147" s="94" cm="1" t="str">
        <f t="array" ref="G147:G147">G146</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ЛЕНИНСК-КУЗНЕЦКИЙ ГОРОДСКОЙ ОКРУГ</v>
      </c>
      <c r="H147" s="1297"/>
      <c r="I147" s="1297"/>
      <c r="J147" s="1297"/>
      <c r="K147" s="154">
        <f>first_year+13</f>
        <v>2037</v>
      </c>
      <c r="L147" s="1297"/>
      <c r="M147" s="1297"/>
      <c r="N147" s="1297"/>
      <c r="O147" s="1297"/>
      <c r="P147" s="1297"/>
      <c r="Q147" s="1297"/>
      <c r="R147" s="1297"/>
      <c r="S147" s="1297"/>
      <c r="T147" s="468" cm="1" t="str">
        <f t="array" ref="T147:T147">T146</f>
        <v>true</v>
      </c>
      <c r="U147" s="1297"/>
      <c r="V147" s="1297"/>
      <c r="W147" s="1297"/>
      <c r="X147" s="1539"/>
      <c r="Y147" s="1539"/>
      <c r="Z147" s="1529"/>
      <c r="AA147" s="1630"/>
      <c r="AB147" s="251" t="str">
        <f>K147&amp;" год"</f>
        <v>2037 год</v>
      </c>
      <c r="AC147" s="409"/>
      <c r="AD147" s="6972"/>
      <c r="AE147" s="6971"/>
      <c r="AF147" s="6971"/>
      <c r="AG147" s="6972"/>
      <c r="AH147" s="6971"/>
      <c r="AI147" s="6972"/>
      <c r="AJ147" s="6971"/>
      <c r="AK147" s="6973"/>
      <c r="AL147" s="404"/>
      <c r="AM147" s="1297"/>
      <c r="AN147" s="1072" cm="1" t="str">
        <f t="array" ref="AN147:AN147">K147</f>
        <v>2037</v>
      </c>
      <c r="AO147" s="1072" t="s">
        <v>2773</v>
      </c>
      <c r="AP147" s="1082" cm="1" t="str">
        <f t="array" ref="AP147:AP147">AP146</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ЛЕНИНСК-КУЗНЕЦКИЙ ГОРОДСКОЙ ОКРУГ</v>
      </c>
      <c r="AQ147" s="709"/>
      <c r="AR147" s="709"/>
    </row>
    <row s="7046" customFormat="1" customHeight="1" ht="14.25" hidden="1">
      <c r="A148" s="1297"/>
      <c r="B148" s="447">
        <f>K148&lt;first_year+PERIOD_LENGTH</f>
        <v>0</v>
      </c>
      <c r="C148" s="1297"/>
      <c r="D148" s="1297"/>
      <c r="E148" s="709">
        <v>15</v>
      </c>
      <c r="F148" s="50" cm="1" t="str">
        <f t="array" ref="F148:F148">OFFSET(E148,-1,1)</f>
        <v>1</v>
      </c>
      <c r="G148" s="94" cm="1" t="str">
        <f t="array" ref="G148:G148">G147</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ЛЕНИНСК-КУЗНЕЦКИЙ ГОРОДСКОЙ ОКРУГ</v>
      </c>
      <c r="H148" s="1297"/>
      <c r="I148" s="1297"/>
      <c r="J148" s="1297"/>
      <c r="K148" s="154">
        <f>first_year+14</f>
        <v>2038</v>
      </c>
      <c r="L148" s="1297"/>
      <c r="M148" s="1297"/>
      <c r="N148" s="1297"/>
      <c r="O148" s="1297"/>
      <c r="P148" s="1297"/>
      <c r="Q148" s="1297"/>
      <c r="R148" s="1297"/>
      <c r="S148" s="1297"/>
      <c r="T148" s="468" cm="1" t="str">
        <f t="array" ref="T148:T148">T147</f>
        <v>true</v>
      </c>
      <c r="U148" s="1297"/>
      <c r="V148" s="1297"/>
      <c r="W148" s="1297"/>
      <c r="X148" s="1539"/>
      <c r="Y148" s="1539"/>
      <c r="Z148" s="1529"/>
      <c r="AA148" s="1630"/>
      <c r="AB148" s="251" t="str">
        <f>K148&amp;" год"</f>
        <v>2038 год</v>
      </c>
      <c r="AC148" s="409"/>
      <c r="AD148" s="6972"/>
      <c r="AE148" s="6971"/>
      <c r="AF148" s="6971"/>
      <c r="AG148" s="6972"/>
      <c r="AH148" s="6971"/>
      <c r="AI148" s="6972"/>
      <c r="AJ148" s="6971"/>
      <c r="AK148" s="6973"/>
      <c r="AL148" s="404"/>
      <c r="AM148" s="1297"/>
      <c r="AN148" s="1072" cm="1" t="str">
        <f t="array" ref="AN148:AN148">K148</f>
        <v>2038</v>
      </c>
      <c r="AO148" s="1072" t="s">
        <v>2773</v>
      </c>
      <c r="AP148" s="1082" cm="1" t="str">
        <f t="array" ref="AP148:AP148">AP147</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ЛЕНИНСК-КУЗНЕЦКИЙ ГОРОДСКОЙ ОКРУГ</v>
      </c>
      <c r="AQ148" s="709"/>
      <c r="AR148" s="709"/>
    </row>
    <row s="7047" customFormat="1" customHeight="1" ht="14.25" hidden="1">
      <c r="A149" s="1297"/>
      <c r="B149" s="447">
        <f>K149&lt;first_year+PERIOD_LENGTH</f>
        <v>0</v>
      </c>
      <c r="C149" s="1297"/>
      <c r="D149" s="1297"/>
      <c r="E149" s="709">
        <v>15</v>
      </c>
      <c r="F149" s="50" cm="1" t="str">
        <f t="array" ref="F149:F149">OFFSET(E149,-1,1)</f>
        <v>1</v>
      </c>
      <c r="G149" s="94" cm="1" t="str">
        <f t="array" ref="G149:G149">G148</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ЛЕНИНСК-КУЗНЕЦКИЙ ГОРОДСКОЙ ОКРУГ</v>
      </c>
      <c r="H149" s="1297"/>
      <c r="I149" s="1297"/>
      <c r="J149" s="1297"/>
      <c r="K149" s="154">
        <f>first_year+15</f>
        <v>2039</v>
      </c>
      <c r="L149" s="1297"/>
      <c r="M149" s="1297"/>
      <c r="N149" s="1297"/>
      <c r="O149" s="1297"/>
      <c r="P149" s="1297"/>
      <c r="Q149" s="1297"/>
      <c r="R149" s="1297"/>
      <c r="S149" s="1297"/>
      <c r="T149" s="468" cm="1" t="str">
        <f t="array" ref="T149:T149">T148</f>
        <v>true</v>
      </c>
      <c r="U149" s="1297"/>
      <c r="V149" s="1297"/>
      <c r="W149" s="1297"/>
      <c r="X149" s="1539"/>
      <c r="Y149" s="1539"/>
      <c r="Z149" s="1529"/>
      <c r="AA149" s="1630"/>
      <c r="AB149" s="251" t="str">
        <f>K149&amp;" год"</f>
        <v>2039 год</v>
      </c>
      <c r="AC149" s="409"/>
      <c r="AD149" s="6972"/>
      <c r="AE149" s="6971"/>
      <c r="AF149" s="6971"/>
      <c r="AG149" s="6972"/>
      <c r="AH149" s="6971"/>
      <c r="AI149" s="6972"/>
      <c r="AJ149" s="6971"/>
      <c r="AK149" s="6973"/>
      <c r="AL149" s="404"/>
      <c r="AM149" s="1297"/>
      <c r="AN149" s="1072" cm="1" t="str">
        <f t="array" ref="AN149:AN149">K149</f>
        <v>2039</v>
      </c>
      <c r="AO149" s="1072" t="s">
        <v>2773</v>
      </c>
      <c r="AP149" s="1082" cm="1" t="str">
        <f t="array" ref="AP149:AP149">AP148</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ЛЕНИНСК-КУЗНЕЦКИЙ ГОРОДСКОЙ ОКРУГ</v>
      </c>
      <c r="AQ149" s="709"/>
      <c r="AR149" s="709"/>
    </row>
    <row s="7048" customFormat="1" customHeight="1" ht="14.25" hidden="1">
      <c r="A150" s="1297"/>
      <c r="B150" s="447">
        <f>K150&lt;first_year+PERIOD_LENGTH</f>
        <v>0</v>
      </c>
      <c r="C150" s="1297"/>
      <c r="D150" s="1297"/>
      <c r="E150" s="709">
        <v>15</v>
      </c>
      <c r="F150" s="50" cm="1" t="str">
        <f t="array" ref="F150:F150">OFFSET(E150,-1,1)</f>
        <v>1</v>
      </c>
      <c r="G150" s="94" cm="1" t="str">
        <f t="array" ref="G150:G150">G149</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ЛЕНИНСК-КУЗНЕЦКИЙ ГОРОДСКОЙ ОКРУГ</v>
      </c>
      <c r="H150" s="1297"/>
      <c r="I150" s="1297"/>
      <c r="J150" s="1297"/>
      <c r="K150" s="154">
        <f>first_year+16</f>
        <v>2040</v>
      </c>
      <c r="L150" s="1297"/>
      <c r="M150" s="1297"/>
      <c r="N150" s="1297"/>
      <c r="O150" s="1297"/>
      <c r="P150" s="1297"/>
      <c r="Q150" s="1297"/>
      <c r="R150" s="1297"/>
      <c r="S150" s="1297"/>
      <c r="T150" s="468" cm="1" t="str">
        <f t="array" ref="T150:T150">T149</f>
        <v>true</v>
      </c>
      <c r="U150" s="1297"/>
      <c r="V150" s="1297"/>
      <c r="W150" s="1297"/>
      <c r="X150" s="1539"/>
      <c r="Y150" s="1539"/>
      <c r="Z150" s="1529"/>
      <c r="AA150" s="1630"/>
      <c r="AB150" s="251" t="str">
        <f>K150&amp;" год"</f>
        <v>2040 год</v>
      </c>
      <c r="AC150" s="409"/>
      <c r="AD150" s="6972"/>
      <c r="AE150" s="6971"/>
      <c r="AF150" s="6971"/>
      <c r="AG150" s="6972"/>
      <c r="AH150" s="6971"/>
      <c r="AI150" s="6972"/>
      <c r="AJ150" s="6971"/>
      <c r="AK150" s="6973"/>
      <c r="AL150" s="404"/>
      <c r="AM150" s="1297"/>
      <c r="AN150" s="1072" cm="1" t="str">
        <f t="array" ref="AN150:AN150">K150</f>
        <v>2040</v>
      </c>
      <c r="AO150" s="1072" t="s">
        <v>2773</v>
      </c>
      <c r="AP150" s="1082" cm="1" t="str">
        <f t="array" ref="AP150:AP150">AP149</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ЛЕНИНСК-КУЗНЕЦКИЙ ГОРОДСКОЙ ОКРУГ</v>
      </c>
      <c r="AQ150" s="709"/>
      <c r="AR150" s="709"/>
    </row>
    <row s="7049" customFormat="1" customHeight="1" ht="14.25" hidden="1">
      <c r="A151" s="1297"/>
      <c r="B151" s="447">
        <f>K151&lt;first_year+PERIOD_LENGTH</f>
        <v>0</v>
      </c>
      <c r="C151" s="1297"/>
      <c r="D151" s="1297"/>
      <c r="E151" s="709">
        <v>15</v>
      </c>
      <c r="F151" s="50" cm="1" t="str">
        <f t="array" ref="F151:F151">OFFSET(E151,-1,1)</f>
        <v>1</v>
      </c>
      <c r="G151" s="94" cm="1" t="str">
        <f t="array" ref="G151:G151">G150</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ЛЕНИНСК-КУЗНЕЦКИЙ ГОРОДСКОЙ ОКРУГ</v>
      </c>
      <c r="H151" s="1297"/>
      <c r="I151" s="1297"/>
      <c r="J151" s="1297"/>
      <c r="K151" s="154">
        <f>first_year+17</f>
        <v>2041</v>
      </c>
      <c r="L151" s="1297"/>
      <c r="M151" s="1297"/>
      <c r="N151" s="1297"/>
      <c r="O151" s="1297"/>
      <c r="P151" s="1297"/>
      <c r="Q151" s="1297"/>
      <c r="R151" s="1297"/>
      <c r="S151" s="1297"/>
      <c r="T151" s="468" cm="1" t="str">
        <f t="array" ref="T151:T151">T150</f>
        <v>true</v>
      </c>
      <c r="U151" s="1297"/>
      <c r="V151" s="1297"/>
      <c r="W151" s="1297"/>
      <c r="X151" s="1539"/>
      <c r="Y151" s="1539"/>
      <c r="Z151" s="1529"/>
      <c r="AA151" s="1630"/>
      <c r="AB151" s="251" t="str">
        <f>K151&amp;" год"</f>
        <v>2041 год</v>
      </c>
      <c r="AC151" s="409"/>
      <c r="AD151" s="6972"/>
      <c r="AE151" s="6971"/>
      <c r="AF151" s="6971"/>
      <c r="AG151" s="6972"/>
      <c r="AH151" s="6971"/>
      <c r="AI151" s="6972"/>
      <c r="AJ151" s="6971"/>
      <c r="AK151" s="6973"/>
      <c r="AL151" s="404"/>
      <c r="AM151" s="1297"/>
      <c r="AN151" s="1072" cm="1" t="str">
        <f t="array" ref="AN151:AN151">K151</f>
        <v>2041</v>
      </c>
      <c r="AO151" s="1072" t="s">
        <v>2773</v>
      </c>
      <c r="AP151" s="1082" cm="1" t="str">
        <f t="array" ref="AP151:AP151">AP150</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ЛЕНИНСК-КУЗНЕЦКИЙ ГОРОДСКОЙ ОКРУГ</v>
      </c>
      <c r="AQ151" s="709"/>
      <c r="AR151" s="709"/>
    </row>
    <row s="7050" customFormat="1" customHeight="1" ht="14.25" hidden="1">
      <c r="A152" s="1297"/>
      <c r="B152" s="447">
        <f>K152&lt;first_year+PERIOD_LENGTH</f>
        <v>0</v>
      </c>
      <c r="C152" s="1297"/>
      <c r="D152" s="1297"/>
      <c r="E152" s="709">
        <v>15</v>
      </c>
      <c r="F152" s="50" cm="1" t="str">
        <f t="array" ref="F152:F152">OFFSET(E152,-1,1)</f>
        <v>1</v>
      </c>
      <c r="G152" s="94" cm="1" t="str">
        <f t="array" ref="G152:G152">G151</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ЛЕНИНСК-КУЗНЕЦКИЙ ГОРОДСКОЙ ОКРУГ</v>
      </c>
      <c r="H152" s="1297"/>
      <c r="I152" s="1297"/>
      <c r="J152" s="1297"/>
      <c r="K152" s="154">
        <f>first_year+18</f>
        <v>2042</v>
      </c>
      <c r="L152" s="1297"/>
      <c r="M152" s="1297"/>
      <c r="N152" s="1297"/>
      <c r="O152" s="1297"/>
      <c r="P152" s="1297"/>
      <c r="Q152" s="1297"/>
      <c r="R152" s="1297"/>
      <c r="S152" s="1297"/>
      <c r="T152" s="468" cm="1" t="str">
        <f t="array" ref="T152:T152">T151</f>
        <v>true</v>
      </c>
      <c r="U152" s="1297"/>
      <c r="V152" s="1297"/>
      <c r="W152" s="1297"/>
      <c r="X152" s="1539"/>
      <c r="Y152" s="1539"/>
      <c r="Z152" s="1529"/>
      <c r="AA152" s="1630"/>
      <c r="AB152" s="251" t="str">
        <f>K152&amp;" год"</f>
        <v>2042 год</v>
      </c>
      <c r="AC152" s="409"/>
      <c r="AD152" s="6972"/>
      <c r="AE152" s="6971"/>
      <c r="AF152" s="6971"/>
      <c r="AG152" s="6972"/>
      <c r="AH152" s="6971"/>
      <c r="AI152" s="6972"/>
      <c r="AJ152" s="6971"/>
      <c r="AK152" s="6973"/>
      <c r="AL152" s="404"/>
      <c r="AM152" s="1297"/>
      <c r="AN152" s="1072" cm="1" t="str">
        <f t="array" ref="AN152:AN152">K152</f>
        <v>2042</v>
      </c>
      <c r="AO152" s="1072" t="s">
        <v>2773</v>
      </c>
      <c r="AP152" s="1082" cm="1" t="str">
        <f t="array" ref="AP152:AP152">AP151</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ЛЕНИНСК-КУЗНЕЦКИЙ ГОРОДСКОЙ ОКРУГ</v>
      </c>
      <c r="AQ152" s="709"/>
      <c r="AR152" s="709"/>
    </row>
    <row s="7051" customFormat="1" customHeight="1" ht="14.25" hidden="1">
      <c r="A153" s="1297"/>
      <c r="B153" s="447">
        <f>K153&lt;first_year+PERIOD_LENGTH</f>
        <v>0</v>
      </c>
      <c r="C153" s="1297"/>
      <c r="D153" s="1297"/>
      <c r="E153" s="709">
        <v>15</v>
      </c>
      <c r="F153" s="50" cm="1" t="str">
        <f t="array" ref="F153:F153">OFFSET(E153,-1,1)</f>
        <v>1</v>
      </c>
      <c r="G153" s="94" cm="1" t="str">
        <f t="array" ref="G153:G153">G152</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ЛЕНИНСК-КУЗНЕЦКИЙ ГОРОДСКОЙ ОКРУГ</v>
      </c>
      <c r="H153" s="1297"/>
      <c r="I153" s="1297"/>
      <c r="J153" s="1297"/>
      <c r="K153" s="154">
        <f>first_year+19</f>
        <v>2043</v>
      </c>
      <c r="L153" s="1297"/>
      <c r="M153" s="1297"/>
      <c r="N153" s="1297"/>
      <c r="O153" s="1297"/>
      <c r="P153" s="1297"/>
      <c r="Q153" s="1297"/>
      <c r="R153" s="1297"/>
      <c r="S153" s="1297"/>
      <c r="T153" s="468" cm="1" t="str">
        <f t="array" ref="T153:T153">T152</f>
        <v>true</v>
      </c>
      <c r="U153" s="1297"/>
      <c r="V153" s="1297"/>
      <c r="W153" s="1297"/>
      <c r="X153" s="1539"/>
      <c r="Y153" s="1539"/>
      <c r="Z153" s="1529"/>
      <c r="AA153" s="1630"/>
      <c r="AB153" s="251" t="str">
        <f>K153&amp;" год"</f>
        <v>2043 год</v>
      </c>
      <c r="AC153" s="409"/>
      <c r="AD153" s="6972"/>
      <c r="AE153" s="6971"/>
      <c r="AF153" s="6971"/>
      <c r="AG153" s="6972"/>
      <c r="AH153" s="6971"/>
      <c r="AI153" s="6972"/>
      <c r="AJ153" s="6971"/>
      <c r="AK153" s="6973"/>
      <c r="AL153" s="404"/>
      <c r="AM153" s="1297"/>
      <c r="AN153" s="1072" cm="1" t="str">
        <f t="array" ref="AN153:AN153">K153</f>
        <v>2043</v>
      </c>
      <c r="AO153" s="1072" t="s">
        <v>2773</v>
      </c>
      <c r="AP153" s="1082" cm="1" t="str">
        <f t="array" ref="AP153:AP153">AP152</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ЛЕНИНСК-КУЗНЕЦКИЙ ГОРОДСКОЙ ОКРУГ</v>
      </c>
      <c r="AQ153" s="709"/>
      <c r="AR153" s="709"/>
    </row>
    <row s="7052" customFormat="1" customHeight="1" ht="14.25" hidden="1">
      <c r="A154" s="1297"/>
      <c r="B154" s="447">
        <f>K154&lt;first_year+PERIOD_LENGTH</f>
        <v>0</v>
      </c>
      <c r="C154" s="1297"/>
      <c r="D154" s="1297"/>
      <c r="E154" s="709">
        <v>15</v>
      </c>
      <c r="F154" s="50" cm="1" t="str">
        <f t="array" ref="F154:F154">OFFSET(E154,-1,1)</f>
        <v>1</v>
      </c>
      <c r="G154" s="94" cm="1" t="str">
        <f t="array" ref="G154:G154">G153</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ЛЕНИНСК-КУЗНЕЦКИЙ ГОРОДСКОЙ ОКРУГ</v>
      </c>
      <c r="H154" s="1297"/>
      <c r="I154" s="1297"/>
      <c r="J154" s="1297"/>
      <c r="K154" s="154">
        <f>first_year+20</f>
        <v>2044</v>
      </c>
      <c r="L154" s="1297"/>
      <c r="M154" s="1297"/>
      <c r="N154" s="1297"/>
      <c r="O154" s="1297"/>
      <c r="P154" s="1297"/>
      <c r="Q154" s="1297"/>
      <c r="R154" s="1297"/>
      <c r="S154" s="1297"/>
      <c r="T154" s="468" cm="1" t="str">
        <f t="array" ref="T154:T154">T153</f>
        <v>true</v>
      </c>
      <c r="U154" s="1297"/>
      <c r="V154" s="1297"/>
      <c r="W154" s="1297"/>
      <c r="X154" s="1539"/>
      <c r="Y154" s="1539"/>
      <c r="Z154" s="1529"/>
      <c r="AA154" s="1630"/>
      <c r="AB154" s="251" t="str">
        <f>K154&amp;" год"</f>
        <v>2044 год</v>
      </c>
      <c r="AC154" s="409"/>
      <c r="AD154" s="6972"/>
      <c r="AE154" s="6971"/>
      <c r="AF154" s="6971"/>
      <c r="AG154" s="6972"/>
      <c r="AH154" s="6971"/>
      <c r="AI154" s="6972"/>
      <c r="AJ154" s="6971"/>
      <c r="AK154" s="6973"/>
      <c r="AL154" s="404"/>
      <c r="AM154" s="1297"/>
      <c r="AN154" s="1072" cm="1" t="str">
        <f t="array" ref="AN154:AN154">K154</f>
        <v>2044</v>
      </c>
      <c r="AO154" s="1072" t="s">
        <v>2773</v>
      </c>
      <c r="AP154" s="1082" cm="1" t="str">
        <f t="array" ref="AP154:AP154">AP153</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ЛЕНИНСК-КУЗНЕЦКИЙ ГОРОДСКОЙ ОКРУГ</v>
      </c>
      <c r="AQ154" s="709"/>
      <c r="AR154" s="709"/>
    </row>
    <row s="7053" customFormat="1" customHeight="1" ht="14.25" hidden="1">
      <c r="A155" s="1297"/>
      <c r="B155" s="447">
        <f>K155&lt;first_year+PERIOD_LENGTH</f>
        <v>0</v>
      </c>
      <c r="C155" s="1297"/>
      <c r="D155" s="1297"/>
      <c r="E155" s="709">
        <v>15</v>
      </c>
      <c r="F155" s="50" cm="1" t="str">
        <f t="array" ref="F155:F155">OFFSET(E155,-1,1)</f>
        <v>1</v>
      </c>
      <c r="G155" s="94" cm="1" t="str">
        <f t="array" ref="G155:G155">G154</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ЛЕНИНСК-КУЗНЕЦКИЙ ГОРОДСКОЙ ОКРУГ</v>
      </c>
      <c r="H155" s="1297"/>
      <c r="I155" s="1297"/>
      <c r="J155" s="1297"/>
      <c r="K155" s="154">
        <f>first_year+21</f>
        <v>2045</v>
      </c>
      <c r="L155" s="1297"/>
      <c r="M155" s="1297"/>
      <c r="N155" s="1297"/>
      <c r="O155" s="1297"/>
      <c r="P155" s="1297"/>
      <c r="Q155" s="1297"/>
      <c r="R155" s="1297"/>
      <c r="S155" s="1297"/>
      <c r="T155" s="468" cm="1" t="str">
        <f t="array" ref="T155:T155">T154</f>
        <v>true</v>
      </c>
      <c r="U155" s="1297"/>
      <c r="V155" s="1297"/>
      <c r="W155" s="1297"/>
      <c r="X155" s="1539"/>
      <c r="Y155" s="1539"/>
      <c r="Z155" s="1529"/>
      <c r="AA155" s="1630"/>
      <c r="AB155" s="251" t="str">
        <f>K155&amp;" год"</f>
        <v>2045 год</v>
      </c>
      <c r="AC155" s="409"/>
      <c r="AD155" s="6972"/>
      <c r="AE155" s="6971"/>
      <c r="AF155" s="6971"/>
      <c r="AG155" s="6972"/>
      <c r="AH155" s="6971"/>
      <c r="AI155" s="6972"/>
      <c r="AJ155" s="6971"/>
      <c r="AK155" s="6973"/>
      <c r="AL155" s="404"/>
      <c r="AM155" s="1297"/>
      <c r="AN155" s="1072" cm="1" t="str">
        <f t="array" ref="AN155:AN155">K155</f>
        <v>2045</v>
      </c>
      <c r="AO155" s="1072" t="s">
        <v>2773</v>
      </c>
      <c r="AP155" s="1082" cm="1" t="str">
        <f t="array" ref="AP155:AP155">AP154</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ЛЕНИНСК-КУЗНЕЦКИЙ ГОРОДСКОЙ ОКРУГ</v>
      </c>
      <c r="AQ155" s="709"/>
      <c r="AR155" s="709"/>
    </row>
    <row s="7054" customFormat="1" customHeight="1" ht="14.25" hidden="1">
      <c r="A156" s="1297"/>
      <c r="B156" s="447">
        <f>K156&lt;first_year+PERIOD_LENGTH</f>
        <v>0</v>
      </c>
      <c r="C156" s="1297"/>
      <c r="D156" s="1297"/>
      <c r="E156" s="709">
        <v>15</v>
      </c>
      <c r="F156" s="50" cm="1" t="str">
        <f t="array" ref="F156:F156">OFFSET(E156,-1,1)</f>
        <v>1</v>
      </c>
      <c r="G156" s="94" cm="1" t="str">
        <f t="array" ref="G156:G156">G155</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ЛЕНИНСК-КУЗНЕЦКИЙ ГОРОДСКОЙ ОКРУГ</v>
      </c>
      <c r="H156" s="1297"/>
      <c r="I156" s="1297"/>
      <c r="J156" s="1297"/>
      <c r="K156" s="154">
        <f>first_year+22</f>
        <v>2046</v>
      </c>
      <c r="L156" s="1297"/>
      <c r="M156" s="1297"/>
      <c r="N156" s="1297"/>
      <c r="O156" s="1297"/>
      <c r="P156" s="1297"/>
      <c r="Q156" s="1297"/>
      <c r="R156" s="1297"/>
      <c r="S156" s="1297"/>
      <c r="T156" s="468" cm="1" t="str">
        <f t="array" ref="T156:T156">T155</f>
        <v>true</v>
      </c>
      <c r="U156" s="1297"/>
      <c r="V156" s="1297"/>
      <c r="W156" s="1297"/>
      <c r="X156" s="1539"/>
      <c r="Y156" s="1539"/>
      <c r="Z156" s="1529"/>
      <c r="AA156" s="1630"/>
      <c r="AB156" s="251" t="str">
        <f>K156&amp;" год"</f>
        <v>2046 год</v>
      </c>
      <c r="AC156" s="409"/>
      <c r="AD156" s="6972"/>
      <c r="AE156" s="6971"/>
      <c r="AF156" s="6971"/>
      <c r="AG156" s="6972"/>
      <c r="AH156" s="6971"/>
      <c r="AI156" s="6972"/>
      <c r="AJ156" s="6971"/>
      <c r="AK156" s="6973"/>
      <c r="AL156" s="404"/>
      <c r="AM156" s="1297"/>
      <c r="AN156" s="1072" cm="1" t="str">
        <f t="array" ref="AN156:AN156">K156</f>
        <v>2046</v>
      </c>
      <c r="AO156" s="1072" t="s">
        <v>2773</v>
      </c>
      <c r="AP156" s="1082" cm="1" t="str">
        <f t="array" ref="AP156:AP156">AP155</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ЛЕНИНСК-КУЗНЕЦКИЙ ГОРОДСКОЙ ОКРУГ</v>
      </c>
      <c r="AQ156" s="709"/>
      <c r="AR156" s="709"/>
    </row>
    <row s="7055" customFormat="1" customHeight="1" ht="14.25" hidden="1">
      <c r="A157" s="1297"/>
      <c r="B157" s="447">
        <f>K157&lt;first_year+PERIOD_LENGTH</f>
        <v>0</v>
      </c>
      <c r="C157" s="1297"/>
      <c r="D157" s="1297"/>
      <c r="E157" s="709">
        <v>15</v>
      </c>
      <c r="F157" s="50" cm="1" t="str">
        <f t="array" ref="F157:F157">OFFSET(E157,-1,1)</f>
        <v>1</v>
      </c>
      <c r="G157" s="94" cm="1" t="str">
        <f t="array" ref="G157:G157">G156</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ЛЕНИНСК-КУЗНЕЦКИЙ ГОРОДСКОЙ ОКРУГ</v>
      </c>
      <c r="H157" s="1297"/>
      <c r="I157" s="1297"/>
      <c r="J157" s="1297"/>
      <c r="K157" s="154">
        <f>first_year+23</f>
        <v>2047</v>
      </c>
      <c r="L157" s="1297"/>
      <c r="M157" s="1297"/>
      <c r="N157" s="1297"/>
      <c r="O157" s="1297"/>
      <c r="P157" s="1297"/>
      <c r="Q157" s="1297"/>
      <c r="R157" s="1297"/>
      <c r="S157" s="1297"/>
      <c r="T157" s="468" cm="1" t="str">
        <f t="array" ref="T157:T157">T156</f>
        <v>true</v>
      </c>
      <c r="U157" s="1297"/>
      <c r="V157" s="1297"/>
      <c r="W157" s="1297"/>
      <c r="X157" s="1539"/>
      <c r="Y157" s="1539"/>
      <c r="Z157" s="1529"/>
      <c r="AA157" s="1630"/>
      <c r="AB157" s="251" t="str">
        <f>K157&amp;" год"</f>
        <v>2047 год</v>
      </c>
      <c r="AC157" s="409"/>
      <c r="AD157" s="6972"/>
      <c r="AE157" s="6971"/>
      <c r="AF157" s="6971"/>
      <c r="AG157" s="6972"/>
      <c r="AH157" s="6971"/>
      <c r="AI157" s="6972"/>
      <c r="AJ157" s="6971"/>
      <c r="AK157" s="6973"/>
      <c r="AL157" s="404"/>
      <c r="AM157" s="1297"/>
      <c r="AN157" s="1072" cm="1" t="str">
        <f t="array" ref="AN157:AN157">K157</f>
        <v>2047</v>
      </c>
      <c r="AO157" s="1072" t="s">
        <v>2773</v>
      </c>
      <c r="AP157" s="1082" cm="1" t="str">
        <f t="array" ref="AP157:AP157">AP156</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ЛЕНИНСК-КУЗНЕЦКИЙ ГОРОДСКОЙ ОКРУГ</v>
      </c>
      <c r="AQ157" s="709"/>
      <c r="AR157" s="709"/>
    </row>
    <row s="7056" customFormat="1" customHeight="1" ht="14.25" hidden="1">
      <c r="A158" s="1297"/>
      <c r="B158" s="447">
        <f>K158&lt;first_year+PERIOD_LENGTH</f>
        <v>0</v>
      </c>
      <c r="C158" s="1297"/>
      <c r="D158" s="1297"/>
      <c r="E158" s="709">
        <v>15</v>
      </c>
      <c r="F158" s="50" cm="1" t="str">
        <f t="array" ref="F158:F158">OFFSET(E158,-1,1)</f>
        <v>1</v>
      </c>
      <c r="G158" s="94" cm="1" t="str">
        <f t="array" ref="G158:G158">G157</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ЛЕНИНСК-КУЗНЕЦКИЙ ГОРОДСКОЙ ОКРУГ</v>
      </c>
      <c r="H158" s="1297"/>
      <c r="I158" s="1297"/>
      <c r="J158" s="1297"/>
      <c r="K158" s="154">
        <f>first_year+24</f>
        <v>2048</v>
      </c>
      <c r="L158" s="1297"/>
      <c r="M158" s="1297"/>
      <c r="N158" s="1297"/>
      <c r="O158" s="1297"/>
      <c r="P158" s="1297"/>
      <c r="Q158" s="1297"/>
      <c r="R158" s="1297"/>
      <c r="S158" s="1297"/>
      <c r="T158" s="468" cm="1" t="str">
        <f t="array" ref="T158:T158">T157</f>
        <v>true</v>
      </c>
      <c r="U158" s="1297"/>
      <c r="V158" s="1297"/>
      <c r="W158" s="1297"/>
      <c r="X158" s="1539"/>
      <c r="Y158" s="1539"/>
      <c r="Z158" s="1529"/>
      <c r="AA158" s="1630"/>
      <c r="AB158" s="251" t="str">
        <f>K158&amp;" год"</f>
        <v>2048 год</v>
      </c>
      <c r="AC158" s="409"/>
      <c r="AD158" s="6972"/>
      <c r="AE158" s="6971"/>
      <c r="AF158" s="6971"/>
      <c r="AG158" s="6972"/>
      <c r="AH158" s="6971"/>
      <c r="AI158" s="6972"/>
      <c r="AJ158" s="6971"/>
      <c r="AK158" s="6973"/>
      <c r="AL158" s="404"/>
      <c r="AM158" s="1297"/>
      <c r="AN158" s="1072" cm="1" t="str">
        <f t="array" ref="AN158:AN158">K158</f>
        <v>2048</v>
      </c>
      <c r="AO158" s="1072" t="s">
        <v>2773</v>
      </c>
      <c r="AP158" s="1082" cm="1" t="str">
        <f t="array" ref="AP158:AP158">AP157</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ЛЕНИНСК-КУЗНЕЦКИЙ ГОРОДСКОЙ ОКРУГ</v>
      </c>
      <c r="AQ158" s="709"/>
      <c r="AR158" s="709"/>
    </row>
    <row s="7057" customFormat="1" customHeight="1" ht="14.25" hidden="1">
      <c r="A159" s="1297"/>
      <c r="B159" s="447">
        <f>K159&lt;first_year+PERIOD_LENGTH</f>
        <v>0</v>
      </c>
      <c r="C159" s="1297"/>
      <c r="D159" s="1297"/>
      <c r="E159" s="709">
        <v>15</v>
      </c>
      <c r="F159" s="50" cm="1" t="str">
        <f t="array" ref="F159:F159">OFFSET(E159,-1,1)</f>
        <v>1</v>
      </c>
      <c r="G159" s="94" cm="1" t="str">
        <f t="array" ref="G159:G159">G158</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ЛЕНИНСК-КУЗНЕЦКИЙ ГОРОДСКОЙ ОКРУГ</v>
      </c>
      <c r="H159" s="1297"/>
      <c r="I159" s="1297"/>
      <c r="J159" s="1297"/>
      <c r="K159" s="154">
        <f>first_year+25</f>
        <v>2049</v>
      </c>
      <c r="L159" s="1297"/>
      <c r="M159" s="1297"/>
      <c r="N159" s="1297"/>
      <c r="O159" s="1297"/>
      <c r="P159" s="1297"/>
      <c r="Q159" s="1297"/>
      <c r="R159" s="1297"/>
      <c r="S159" s="1297"/>
      <c r="T159" s="468" cm="1" t="str">
        <f t="array" ref="T159:T159">T158</f>
        <v>true</v>
      </c>
      <c r="U159" s="1297"/>
      <c r="V159" s="1297"/>
      <c r="W159" s="1297"/>
      <c r="X159" s="1539"/>
      <c r="Y159" s="1539"/>
      <c r="Z159" s="1529"/>
      <c r="AA159" s="1630"/>
      <c r="AB159" s="251" t="str">
        <f>K159&amp;" год"</f>
        <v>2049 год</v>
      </c>
      <c r="AC159" s="409"/>
      <c r="AD159" s="6972"/>
      <c r="AE159" s="6971"/>
      <c r="AF159" s="6971"/>
      <c r="AG159" s="6972"/>
      <c r="AH159" s="6971"/>
      <c r="AI159" s="6972"/>
      <c r="AJ159" s="6971"/>
      <c r="AK159" s="6973"/>
      <c r="AL159" s="404"/>
      <c r="AM159" s="1297"/>
      <c r="AN159" s="1072" cm="1" t="str">
        <f t="array" ref="AN159:AN159">K159</f>
        <v>2049</v>
      </c>
      <c r="AO159" s="1072" t="s">
        <v>2773</v>
      </c>
      <c r="AP159" s="1082" cm="1" t="str">
        <f t="array" ref="AP159:AP159">AP158</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ЛЕНИНСК-КУЗНЕЦКИЙ ГОРОДСКОЙ ОКРУГ</v>
      </c>
      <c r="AQ159" s="709"/>
      <c r="AR159" s="709"/>
    </row>
    <row s="7058" customFormat="1" customHeight="1" ht="14.25" hidden="1">
      <c r="A160" s="1297"/>
      <c r="B160" s="447">
        <f>K160&lt;first_year+PERIOD_LENGTH</f>
        <v>0</v>
      </c>
      <c r="C160" s="1297"/>
      <c r="D160" s="1297"/>
      <c r="E160" s="709">
        <v>15</v>
      </c>
      <c r="F160" s="50" cm="1" t="str">
        <f t="array" ref="F160:F160">OFFSET(E160,-1,1)</f>
        <v>1</v>
      </c>
      <c r="G160" s="94" cm="1" t="str">
        <f t="array" ref="G160:G160">G159</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ЛЕНИНСК-КУЗНЕЦКИЙ ГОРОДСКОЙ ОКРУГ</v>
      </c>
      <c r="H160" s="1297"/>
      <c r="I160" s="1297"/>
      <c r="J160" s="1297"/>
      <c r="K160" s="154">
        <f>first_year+26</f>
        <v>2050</v>
      </c>
      <c r="L160" s="1297"/>
      <c r="M160" s="1297"/>
      <c r="N160" s="1297"/>
      <c r="O160" s="1297"/>
      <c r="P160" s="1297"/>
      <c r="Q160" s="1297"/>
      <c r="R160" s="1297"/>
      <c r="S160" s="1297"/>
      <c r="T160" s="468" cm="1" t="str">
        <f t="array" ref="T160:T160">T159</f>
        <v>true</v>
      </c>
      <c r="U160" s="1297"/>
      <c r="V160" s="1297"/>
      <c r="W160" s="1297"/>
      <c r="X160" s="1539"/>
      <c r="Y160" s="1539"/>
      <c r="Z160" s="1529"/>
      <c r="AA160" s="1630"/>
      <c r="AB160" s="251" t="str">
        <f>K160&amp;" год"</f>
        <v>2050 год</v>
      </c>
      <c r="AC160" s="409"/>
      <c r="AD160" s="6972"/>
      <c r="AE160" s="6971"/>
      <c r="AF160" s="6971"/>
      <c r="AG160" s="6972"/>
      <c r="AH160" s="6971"/>
      <c r="AI160" s="6972"/>
      <c r="AJ160" s="6971"/>
      <c r="AK160" s="6973"/>
      <c r="AL160" s="404"/>
      <c r="AM160" s="1297"/>
      <c r="AN160" s="1072" cm="1" t="str">
        <f t="array" ref="AN160:AN160">K160</f>
        <v>2050</v>
      </c>
      <c r="AO160" s="1072" t="s">
        <v>2773</v>
      </c>
      <c r="AP160" s="1082" cm="1" t="str">
        <f t="array" ref="AP160:AP160">AP159</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ЛЕНИНСК-КУЗНЕЦКИЙ ГОРОДСКОЙ ОКРУГ</v>
      </c>
      <c r="AQ160" s="709"/>
      <c r="AR160" s="709"/>
    </row>
    <row s="7059" customFormat="1" customHeight="1" ht="14.25" hidden="1">
      <c r="A161" s="1297"/>
      <c r="B161" s="447">
        <f>K161&lt;first_year+PERIOD_LENGTH</f>
        <v>0</v>
      </c>
      <c r="C161" s="1297"/>
      <c r="D161" s="1297"/>
      <c r="E161" s="709">
        <v>15</v>
      </c>
      <c r="F161" s="50" cm="1" t="str">
        <f t="array" ref="F161:F161">OFFSET(E161,-1,1)</f>
        <v>1</v>
      </c>
      <c r="G161" s="94" cm="1" t="str">
        <f t="array" ref="G161:G161">G160</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ЛЕНИНСК-КУЗНЕЦКИЙ ГОРОДСКОЙ ОКРУГ</v>
      </c>
      <c r="H161" s="1297"/>
      <c r="I161" s="1297"/>
      <c r="J161" s="1297"/>
      <c r="K161" s="154">
        <f>first_year+27</f>
        <v>2051</v>
      </c>
      <c r="L161" s="1297"/>
      <c r="M161" s="1297"/>
      <c r="N161" s="1297"/>
      <c r="O161" s="1297"/>
      <c r="P161" s="1297"/>
      <c r="Q161" s="1297"/>
      <c r="R161" s="1297"/>
      <c r="S161" s="1297"/>
      <c r="T161" s="468" cm="1" t="str">
        <f t="array" ref="T161:T161">T160</f>
        <v>true</v>
      </c>
      <c r="U161" s="1297"/>
      <c r="V161" s="1297"/>
      <c r="W161" s="1297"/>
      <c r="X161" s="1539"/>
      <c r="Y161" s="1539"/>
      <c r="Z161" s="1529"/>
      <c r="AA161" s="1630"/>
      <c r="AB161" s="251" t="str">
        <f>K161&amp;" год"</f>
        <v>2051 год</v>
      </c>
      <c r="AC161" s="409"/>
      <c r="AD161" s="6972"/>
      <c r="AE161" s="6971"/>
      <c r="AF161" s="6971"/>
      <c r="AG161" s="6972"/>
      <c r="AH161" s="6971"/>
      <c r="AI161" s="6972"/>
      <c r="AJ161" s="6971"/>
      <c r="AK161" s="6973"/>
      <c r="AL161" s="404"/>
      <c r="AM161" s="1297"/>
      <c r="AN161" s="1072" cm="1" t="str">
        <f t="array" ref="AN161:AN161">K161</f>
        <v>2051</v>
      </c>
      <c r="AO161" s="1072" t="s">
        <v>2773</v>
      </c>
      <c r="AP161" s="1082" cm="1" t="str">
        <f t="array" ref="AP161:AP161">AP160</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ЛЕНИНСК-КУЗНЕЦКИЙ ГОРОДСКОЙ ОКРУГ</v>
      </c>
      <c r="AQ161" s="709"/>
      <c r="AR161" s="709"/>
    </row>
    <row s="7060" customFormat="1" customHeight="1" ht="14.25" hidden="1">
      <c r="A162" s="1297"/>
      <c r="B162" s="447">
        <f>K162&lt;first_year+PERIOD_LENGTH</f>
        <v>0</v>
      </c>
      <c r="C162" s="1297"/>
      <c r="D162" s="1297"/>
      <c r="E162" s="709">
        <v>15</v>
      </c>
      <c r="F162" s="50" cm="1" t="str">
        <f t="array" ref="F162:F162">OFFSET(E162,-1,1)</f>
        <v>1</v>
      </c>
      <c r="G162" s="94" cm="1" t="str">
        <f t="array" ref="G162:G162">G161</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ЛЕНИНСК-КУЗНЕЦКИЙ ГОРОДСКОЙ ОКРУГ</v>
      </c>
      <c r="H162" s="1297"/>
      <c r="I162" s="1297"/>
      <c r="J162" s="1297"/>
      <c r="K162" s="154">
        <f>first_year+28</f>
        <v>2052</v>
      </c>
      <c r="L162" s="1297"/>
      <c r="M162" s="1297"/>
      <c r="N162" s="1297"/>
      <c r="O162" s="1297"/>
      <c r="P162" s="1297"/>
      <c r="Q162" s="1297"/>
      <c r="R162" s="1297"/>
      <c r="S162" s="1297"/>
      <c r="T162" s="468" cm="1" t="str">
        <f t="array" ref="T162:T162">T161</f>
        <v>true</v>
      </c>
      <c r="U162" s="1297"/>
      <c r="V162" s="1297"/>
      <c r="W162" s="1297"/>
      <c r="X162" s="1539"/>
      <c r="Y162" s="1539"/>
      <c r="Z162" s="1529"/>
      <c r="AA162" s="1630"/>
      <c r="AB162" s="251" t="str">
        <f>K162&amp;" год"</f>
        <v>2052 год</v>
      </c>
      <c r="AC162" s="409"/>
      <c r="AD162" s="6972"/>
      <c r="AE162" s="6971"/>
      <c r="AF162" s="6971"/>
      <c r="AG162" s="6972"/>
      <c r="AH162" s="6971"/>
      <c r="AI162" s="6972"/>
      <c r="AJ162" s="6971"/>
      <c r="AK162" s="6973"/>
      <c r="AL162" s="404"/>
      <c r="AM162" s="1297"/>
      <c r="AN162" s="1072" cm="1" t="str">
        <f t="array" ref="AN162:AN162">K162</f>
        <v>2052</v>
      </c>
      <c r="AO162" s="1072" t="s">
        <v>2773</v>
      </c>
      <c r="AP162" s="1082" cm="1" t="str">
        <f t="array" ref="AP162:AP162">AP161</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ЛЕНИНСК-КУЗНЕЦКИЙ ГОРОДСКОЙ ОКРУГ</v>
      </c>
      <c r="AQ162" s="709"/>
      <c r="AR162" s="709"/>
    </row>
    <row s="7061" customFormat="1" customHeight="1" ht="14.25" hidden="1">
      <c r="A163" s="1297"/>
      <c r="B163" s="447">
        <f>K163&lt;first_year+PERIOD_LENGTH</f>
        <v>0</v>
      </c>
      <c r="C163" s="1297"/>
      <c r="D163" s="1297"/>
      <c r="E163" s="709">
        <v>15</v>
      </c>
      <c r="F163" s="50" cm="1" t="str">
        <f t="array" ref="F163:F163">OFFSET(E163,-1,1)</f>
        <v>1</v>
      </c>
      <c r="G163" s="94" cm="1" t="str">
        <f t="array" ref="G163:G163">G162</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ЛЕНИНСК-КУЗНЕЦКИЙ ГОРОДСКОЙ ОКРУГ</v>
      </c>
      <c r="H163" s="1297"/>
      <c r="I163" s="1297"/>
      <c r="J163" s="1297"/>
      <c r="K163" s="154">
        <f>first_year+29</f>
        <v>2053</v>
      </c>
      <c r="L163" s="1297"/>
      <c r="M163" s="1297"/>
      <c r="N163" s="1297"/>
      <c r="O163" s="1297"/>
      <c r="P163" s="1297"/>
      <c r="Q163" s="1297"/>
      <c r="R163" s="1297"/>
      <c r="S163" s="1297"/>
      <c r="T163" s="468" cm="1" t="str">
        <f t="array" ref="T163:T163">T162</f>
        <v>true</v>
      </c>
      <c r="U163" s="1297"/>
      <c r="V163" s="1297"/>
      <c r="W163" s="1297"/>
      <c r="X163" s="1539"/>
      <c r="Y163" s="1539"/>
      <c r="Z163" s="1529"/>
      <c r="AA163" s="1630"/>
      <c r="AB163" s="251" t="str">
        <f>K163&amp;" год"</f>
        <v>2053 год</v>
      </c>
      <c r="AC163" s="409"/>
      <c r="AD163" s="6972"/>
      <c r="AE163" s="6971"/>
      <c r="AF163" s="6971"/>
      <c r="AG163" s="6972"/>
      <c r="AH163" s="6971"/>
      <c r="AI163" s="6972"/>
      <c r="AJ163" s="6971"/>
      <c r="AK163" s="6973"/>
      <c r="AL163" s="404"/>
      <c r="AM163" s="1297"/>
      <c r="AN163" s="1072" cm="1" t="str">
        <f t="array" ref="AN163:AN163">K163</f>
        <v>2053</v>
      </c>
      <c r="AO163" s="1072" t="s">
        <v>2773</v>
      </c>
      <c r="AP163" s="1082" cm="1" t="str">
        <f t="array" ref="AP163:AP163">AP162</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ЛЕНИНСК-КУЗНЕЦКИЙ ГОРОДСКОЙ ОКРУГ</v>
      </c>
      <c r="AQ163" s="709"/>
      <c r="AR163" s="709"/>
    </row>
    <row s="7062" customFormat="1" customHeight="1" ht="14.25" hidden="1">
      <c r="A164" s="1297"/>
      <c r="B164" s="447">
        <f>K164&lt;first_year+PERIOD_LENGTH</f>
        <v>0</v>
      </c>
      <c r="C164" s="1297"/>
      <c r="D164" s="1297"/>
      <c r="E164" s="709">
        <v>15</v>
      </c>
      <c r="F164" s="50" cm="1" t="str">
        <f t="array" ref="F164:F164">OFFSET(E164,-1,1)</f>
        <v>1</v>
      </c>
      <c r="G164" s="94" cm="1" t="str">
        <f t="array" ref="G164:G164">G163</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ЛЕНИНСК-КУЗНЕЦКИЙ ГОРОДСКОЙ ОКРУГ</v>
      </c>
      <c r="H164" s="1297"/>
      <c r="I164" s="1297"/>
      <c r="J164" s="1297"/>
      <c r="K164" s="154">
        <f>first_year+30</f>
        <v>2054</v>
      </c>
      <c r="L164" s="1297"/>
      <c r="M164" s="1297"/>
      <c r="N164" s="1297"/>
      <c r="O164" s="1297"/>
      <c r="P164" s="1297"/>
      <c r="Q164" s="1297"/>
      <c r="R164" s="1297"/>
      <c r="S164" s="1297"/>
      <c r="T164" s="468" cm="1" t="str">
        <f t="array" ref="T164:T164">T163</f>
        <v>true</v>
      </c>
      <c r="U164" s="1297"/>
      <c r="V164" s="1297"/>
      <c r="W164" s="1297"/>
      <c r="X164" s="1539"/>
      <c r="Y164" s="1539"/>
      <c r="Z164" s="1529"/>
      <c r="AA164" s="1630"/>
      <c r="AB164" s="251" t="str">
        <f>K164&amp;" год"</f>
        <v>2054 год</v>
      </c>
      <c r="AC164" s="409"/>
      <c r="AD164" s="6972"/>
      <c r="AE164" s="6971"/>
      <c r="AF164" s="6971"/>
      <c r="AG164" s="6972"/>
      <c r="AH164" s="6971"/>
      <c r="AI164" s="6972"/>
      <c r="AJ164" s="6971"/>
      <c r="AK164" s="6973"/>
      <c r="AL164" s="404"/>
      <c r="AM164" s="1297"/>
      <c r="AN164" s="1072" cm="1" t="str">
        <f t="array" ref="AN164:AN164">K164</f>
        <v>2054</v>
      </c>
      <c r="AO164" s="1072" t="s">
        <v>2773</v>
      </c>
      <c r="AP164" s="1082" cm="1" t="str">
        <f t="array" ref="AP164:AP164">AP163</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ЛЕНИНСК-КУЗНЕЦКИЙ ГОРОДСКОЙ ОКРУГ</v>
      </c>
      <c r="AQ164" s="709"/>
      <c r="AR164" s="709"/>
    </row>
    <row s="7063" customFormat="1" customHeight="1" ht="14.25" hidden="1">
      <c r="A165" s="1297"/>
      <c r="B165" s="447">
        <f>K165&lt;first_year+PERIOD_LENGTH</f>
        <v>0</v>
      </c>
      <c r="C165" s="1297"/>
      <c r="D165" s="1297"/>
      <c r="E165" s="709">
        <v>15</v>
      </c>
      <c r="F165" s="50" cm="1" t="str">
        <f t="array" ref="F165:F165">OFFSET(E165,-1,1)</f>
        <v>1</v>
      </c>
      <c r="G165" s="94" cm="1" t="str">
        <f t="array" ref="G165:G165">G164</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ЛЕНИНСК-КУЗНЕЦКИЙ ГОРОДСКОЙ ОКРУГ</v>
      </c>
      <c r="H165" s="1297"/>
      <c r="I165" s="1297"/>
      <c r="J165" s="1297"/>
      <c r="K165" s="154">
        <f>first_year+31</f>
        <v>2055</v>
      </c>
      <c r="L165" s="1297"/>
      <c r="M165" s="1297"/>
      <c r="N165" s="1297"/>
      <c r="O165" s="1297"/>
      <c r="P165" s="1297"/>
      <c r="Q165" s="1297"/>
      <c r="R165" s="1297"/>
      <c r="S165" s="1297"/>
      <c r="T165" s="468" cm="1" t="str">
        <f t="array" ref="T165:T165">T164</f>
        <v>true</v>
      </c>
      <c r="U165" s="1297"/>
      <c r="V165" s="1297"/>
      <c r="W165" s="1297"/>
      <c r="X165" s="1539"/>
      <c r="Y165" s="1539"/>
      <c r="Z165" s="1529"/>
      <c r="AA165" s="1630"/>
      <c r="AB165" s="251" t="str">
        <f>K165&amp;" год"</f>
        <v>2055 год</v>
      </c>
      <c r="AC165" s="409"/>
      <c r="AD165" s="6972"/>
      <c r="AE165" s="6971"/>
      <c r="AF165" s="6971"/>
      <c r="AG165" s="6972"/>
      <c r="AH165" s="6971"/>
      <c r="AI165" s="6972"/>
      <c r="AJ165" s="6971"/>
      <c r="AK165" s="6973"/>
      <c r="AL165" s="404"/>
      <c r="AM165" s="1297"/>
      <c r="AN165" s="1072" cm="1" t="str">
        <f t="array" ref="AN165:AN165">K165</f>
        <v>2055</v>
      </c>
      <c r="AO165" s="1072" t="s">
        <v>2773</v>
      </c>
      <c r="AP165" s="1082" cm="1" t="str">
        <f t="array" ref="AP165:AP165">AP164</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ЛЕНИНСК-КУЗНЕЦКИЙ ГОРОДСКОЙ ОКРУГ</v>
      </c>
      <c r="AQ165" s="709"/>
      <c r="AR165" s="709"/>
    </row>
    <row s="7064" customFormat="1" customHeight="1" ht="14.25" hidden="1">
      <c r="A166" s="1297"/>
      <c r="B166" s="447">
        <f>K166&lt;first_year+PERIOD_LENGTH</f>
        <v>0</v>
      </c>
      <c r="C166" s="1297"/>
      <c r="D166" s="1297"/>
      <c r="E166" s="709">
        <v>15</v>
      </c>
      <c r="F166" s="50" cm="1" t="str">
        <f t="array" ref="F166:F166">OFFSET(E166,-1,1)</f>
        <v>1</v>
      </c>
      <c r="G166" s="94" cm="1" t="str">
        <f t="array" ref="G166:G166">G165</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ЛЕНИНСК-КУЗНЕЦКИЙ ГОРОДСКОЙ ОКРУГ</v>
      </c>
      <c r="H166" s="1297"/>
      <c r="I166" s="1297"/>
      <c r="J166" s="1297"/>
      <c r="K166" s="154">
        <f>first_year+32</f>
        <v>2056</v>
      </c>
      <c r="L166" s="1297"/>
      <c r="M166" s="1297"/>
      <c r="N166" s="1297"/>
      <c r="O166" s="1297"/>
      <c r="P166" s="1297"/>
      <c r="Q166" s="1297"/>
      <c r="R166" s="1297"/>
      <c r="S166" s="1297"/>
      <c r="T166" s="468" cm="1" t="str">
        <f t="array" ref="T166:T166">T165</f>
        <v>true</v>
      </c>
      <c r="U166" s="1297"/>
      <c r="V166" s="1297"/>
      <c r="W166" s="1297"/>
      <c r="X166" s="1539"/>
      <c r="Y166" s="1539"/>
      <c r="Z166" s="1529"/>
      <c r="AA166" s="1630"/>
      <c r="AB166" s="251" t="str">
        <f>K166&amp;" год"</f>
        <v>2056 год</v>
      </c>
      <c r="AC166" s="409"/>
      <c r="AD166" s="6972"/>
      <c r="AE166" s="6971"/>
      <c r="AF166" s="6971"/>
      <c r="AG166" s="6972"/>
      <c r="AH166" s="6971"/>
      <c r="AI166" s="6972"/>
      <c r="AJ166" s="6971"/>
      <c r="AK166" s="6973"/>
      <c r="AL166" s="404"/>
      <c r="AM166" s="1297"/>
      <c r="AN166" s="1072" cm="1" t="str">
        <f t="array" ref="AN166:AN166">K166</f>
        <v>2056</v>
      </c>
      <c r="AO166" s="1072" t="s">
        <v>2773</v>
      </c>
      <c r="AP166" s="1082" cm="1" t="str">
        <f t="array" ref="AP166:AP166">AP165</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ЛЕНИНСК-КУЗНЕЦКИЙ ГОРОДСКОЙ ОКРУГ</v>
      </c>
      <c r="AQ166" s="709"/>
      <c r="AR166" s="709"/>
    </row>
    <row s="7065" customFormat="1" customHeight="1" ht="14.25" hidden="1">
      <c r="A167" s="1297"/>
      <c r="B167" s="447">
        <f>K167&lt;first_year+PERIOD_LENGTH</f>
        <v>0</v>
      </c>
      <c r="C167" s="1297"/>
      <c r="D167" s="1297"/>
      <c r="E167" s="709">
        <v>15</v>
      </c>
      <c r="F167" s="50" cm="1" t="str">
        <f t="array" ref="F167:F167">OFFSET(E167,-1,1)</f>
        <v>1</v>
      </c>
      <c r="G167" s="94" cm="1" t="str">
        <f t="array" ref="G167:G167">G166</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ЛЕНИНСК-КУЗНЕЦКИЙ ГОРОДСКОЙ ОКРУГ</v>
      </c>
      <c r="H167" s="1297"/>
      <c r="I167" s="1297"/>
      <c r="J167" s="1297"/>
      <c r="K167" s="154">
        <f>first_year+33</f>
        <v>2057</v>
      </c>
      <c r="L167" s="1297"/>
      <c r="M167" s="1297"/>
      <c r="N167" s="1297"/>
      <c r="O167" s="1297"/>
      <c r="P167" s="1297"/>
      <c r="Q167" s="1297"/>
      <c r="R167" s="1297"/>
      <c r="S167" s="1297"/>
      <c r="T167" s="468" cm="1" t="str">
        <f t="array" ref="T167:T167">T166</f>
        <v>true</v>
      </c>
      <c r="U167" s="1297"/>
      <c r="V167" s="1297"/>
      <c r="W167" s="1297"/>
      <c r="X167" s="1539"/>
      <c r="Y167" s="1539"/>
      <c r="Z167" s="1529"/>
      <c r="AA167" s="1630"/>
      <c r="AB167" s="251" t="str">
        <f>K167&amp;" год"</f>
        <v>2057 год</v>
      </c>
      <c r="AC167" s="409"/>
      <c r="AD167" s="6972"/>
      <c r="AE167" s="6971"/>
      <c r="AF167" s="6971"/>
      <c r="AG167" s="6972"/>
      <c r="AH167" s="6971"/>
      <c r="AI167" s="6972"/>
      <c r="AJ167" s="6971"/>
      <c r="AK167" s="6973"/>
      <c r="AL167" s="404"/>
      <c r="AM167" s="1297"/>
      <c r="AN167" s="1072" cm="1" t="str">
        <f t="array" ref="AN167:AN167">K167</f>
        <v>2057</v>
      </c>
      <c r="AO167" s="1072" t="s">
        <v>2773</v>
      </c>
      <c r="AP167" s="1082" cm="1" t="str">
        <f t="array" ref="AP167:AP167">AP166</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ЛЕНИНСК-КУЗНЕЦКИЙ ГОРОДСКОЙ ОКРУГ</v>
      </c>
      <c r="AQ167" s="709"/>
      <c r="AR167" s="709"/>
    </row>
    <row s="7066" customFormat="1" customHeight="1" ht="14.25" hidden="1">
      <c r="A168" s="1297"/>
      <c r="B168" s="447">
        <f>K168&lt;first_year+PERIOD_LENGTH</f>
        <v>0</v>
      </c>
      <c r="C168" s="1297"/>
      <c r="D168" s="1297"/>
      <c r="E168" s="709">
        <v>15</v>
      </c>
      <c r="F168" s="50" cm="1" t="str">
        <f t="array" ref="F168:F168">OFFSET(E168,-1,1)</f>
        <v>1</v>
      </c>
      <c r="G168" s="94" cm="1" t="str">
        <f t="array" ref="G168:G168">G167</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ЛЕНИНСК-КУЗНЕЦКИЙ ГОРОДСКОЙ ОКРУГ</v>
      </c>
      <c r="H168" s="1297"/>
      <c r="I168" s="1297"/>
      <c r="J168" s="1297"/>
      <c r="K168" s="154">
        <f>first_year+34</f>
        <v>2058</v>
      </c>
      <c r="L168" s="1297"/>
      <c r="M168" s="1297"/>
      <c r="N168" s="1297"/>
      <c r="O168" s="1297"/>
      <c r="P168" s="1297"/>
      <c r="Q168" s="1297"/>
      <c r="R168" s="1297"/>
      <c r="S168" s="1297"/>
      <c r="T168" s="468" cm="1" t="str">
        <f t="array" ref="T168:T168">T167</f>
        <v>true</v>
      </c>
      <c r="U168" s="1297"/>
      <c r="V168" s="1297"/>
      <c r="W168" s="1297"/>
      <c r="X168" s="1539"/>
      <c r="Y168" s="1539"/>
      <c r="Z168" s="1529"/>
      <c r="AA168" s="1630"/>
      <c r="AB168" s="251" t="str">
        <f>K168&amp;" год"</f>
        <v>2058 год</v>
      </c>
      <c r="AC168" s="409"/>
      <c r="AD168" s="6972"/>
      <c r="AE168" s="6971"/>
      <c r="AF168" s="6971"/>
      <c r="AG168" s="6972"/>
      <c r="AH168" s="6971"/>
      <c r="AI168" s="6972"/>
      <c r="AJ168" s="6971"/>
      <c r="AK168" s="6973"/>
      <c r="AL168" s="404"/>
      <c r="AM168" s="1297"/>
      <c r="AN168" s="1072" cm="1" t="str">
        <f t="array" ref="AN168:AN168">K168</f>
        <v>2058</v>
      </c>
      <c r="AO168" s="1072" t="s">
        <v>2773</v>
      </c>
      <c r="AP168" s="1082" cm="1" t="str">
        <f t="array" ref="AP168:AP168">AP167</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ЛЕНИНСК-КУЗНЕЦКИЙ ГОРОДСКОЙ ОКРУГ</v>
      </c>
      <c r="AQ168" s="709"/>
      <c r="AR168" s="709"/>
    </row>
    <row s="7067" customFormat="1" customHeight="1" ht="14.25" hidden="1">
      <c r="A169" s="1297"/>
      <c r="B169" s="447">
        <f>K169&lt;first_year+PERIOD_LENGTH</f>
        <v>0</v>
      </c>
      <c r="C169" s="1297"/>
      <c r="D169" s="1297"/>
      <c r="E169" s="709">
        <v>15</v>
      </c>
      <c r="F169" s="50" cm="1" t="str">
        <f t="array" ref="F169:F169">OFFSET(E169,-1,1)</f>
        <v>1</v>
      </c>
      <c r="G169" s="94" cm="1" t="str">
        <f t="array" ref="G169:G169">G168</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ЛЕНИНСК-КУЗНЕЦКИЙ ГОРОДСКОЙ ОКРУГ</v>
      </c>
      <c r="H169" s="1297"/>
      <c r="I169" s="1297"/>
      <c r="J169" s="1297"/>
      <c r="K169" s="154">
        <f>first_year+35</f>
        <v>2059</v>
      </c>
      <c r="L169" s="1297"/>
      <c r="M169" s="1297"/>
      <c r="N169" s="1297"/>
      <c r="O169" s="1297"/>
      <c r="P169" s="1297"/>
      <c r="Q169" s="1297"/>
      <c r="R169" s="1297"/>
      <c r="S169" s="1297"/>
      <c r="T169" s="468" cm="1" t="str">
        <f t="array" ref="T169:T169">T168</f>
        <v>true</v>
      </c>
      <c r="U169" s="1297"/>
      <c r="V169" s="1297"/>
      <c r="W169" s="1297"/>
      <c r="X169" s="1539"/>
      <c r="Y169" s="1539"/>
      <c r="Z169" s="1529"/>
      <c r="AA169" s="1630"/>
      <c r="AB169" s="251" t="str">
        <f>K169&amp;" год"</f>
        <v>2059 год</v>
      </c>
      <c r="AC169" s="409"/>
      <c r="AD169" s="6972"/>
      <c r="AE169" s="6971"/>
      <c r="AF169" s="6971"/>
      <c r="AG169" s="6972"/>
      <c r="AH169" s="6971"/>
      <c r="AI169" s="6972"/>
      <c r="AJ169" s="6971"/>
      <c r="AK169" s="6973"/>
      <c r="AL169" s="404"/>
      <c r="AM169" s="1297"/>
      <c r="AN169" s="1072" cm="1" t="str">
        <f t="array" ref="AN169:AN169">K169</f>
        <v>2059</v>
      </c>
      <c r="AO169" s="1072" t="s">
        <v>2773</v>
      </c>
      <c r="AP169" s="1082" cm="1" t="str">
        <f t="array" ref="AP169:AP169">AP168</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ЛЕНИНСК-КУЗНЕЦКИЙ ГОРОДСКОЙ ОКРУГ</v>
      </c>
      <c r="AQ169" s="709"/>
      <c r="AR169" s="709"/>
    </row>
    <row s="7068" customFormat="1" customHeight="1" ht="14.25" hidden="1">
      <c r="A170" s="1297"/>
      <c r="B170" s="447">
        <f>K170&lt;first_year+PERIOD_LENGTH</f>
        <v>0</v>
      </c>
      <c r="C170" s="1297"/>
      <c r="D170" s="1297"/>
      <c r="E170" s="709">
        <v>15</v>
      </c>
      <c r="F170" s="50" cm="1" t="str">
        <f t="array" ref="F170:F170">OFFSET(E170,-1,1)</f>
        <v>1</v>
      </c>
      <c r="G170" s="94" cm="1" t="str">
        <f t="array" ref="G170:G170">G169</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ЛЕНИНСК-КУЗНЕЦКИЙ ГОРОДСКОЙ ОКРУГ</v>
      </c>
      <c r="H170" s="1297"/>
      <c r="I170" s="1297"/>
      <c r="J170" s="1297"/>
      <c r="K170" s="154">
        <f>first_year+36</f>
        <v>2060</v>
      </c>
      <c r="L170" s="1297"/>
      <c r="M170" s="1297"/>
      <c r="N170" s="1297"/>
      <c r="O170" s="1297"/>
      <c r="P170" s="1297"/>
      <c r="Q170" s="1297"/>
      <c r="R170" s="1297"/>
      <c r="S170" s="1297"/>
      <c r="T170" s="468" cm="1" t="str">
        <f t="array" ref="T170:T170">T169</f>
        <v>true</v>
      </c>
      <c r="U170" s="1297"/>
      <c r="V170" s="1297"/>
      <c r="W170" s="1297"/>
      <c r="X170" s="1539"/>
      <c r="Y170" s="1539"/>
      <c r="Z170" s="1529"/>
      <c r="AA170" s="1630"/>
      <c r="AB170" s="251" t="str">
        <f>K170&amp;" год"</f>
        <v>2060 год</v>
      </c>
      <c r="AC170" s="409"/>
      <c r="AD170" s="6972"/>
      <c r="AE170" s="6971"/>
      <c r="AF170" s="6971"/>
      <c r="AG170" s="6972"/>
      <c r="AH170" s="6971"/>
      <c r="AI170" s="6972"/>
      <c r="AJ170" s="6971"/>
      <c r="AK170" s="6973"/>
      <c r="AL170" s="404"/>
      <c r="AM170" s="1297"/>
      <c r="AN170" s="1072" cm="1" t="str">
        <f t="array" ref="AN170:AN170">K170</f>
        <v>2060</v>
      </c>
      <c r="AO170" s="1072" t="s">
        <v>2773</v>
      </c>
      <c r="AP170" s="1082" cm="1" t="str">
        <f t="array" ref="AP170:AP170">AP169</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ЛЕНИНСК-КУЗНЕЦКИЙ ГОРОДСКОЙ ОКРУГ</v>
      </c>
      <c r="AQ170" s="709"/>
      <c r="AR170" s="709"/>
    </row>
    <row s="7069" customFormat="1" customHeight="1" ht="14.25" hidden="1">
      <c r="A171" s="1297"/>
      <c r="B171" s="447">
        <f>K171&lt;first_year+PERIOD_LENGTH</f>
        <v>0</v>
      </c>
      <c r="C171" s="1297"/>
      <c r="D171" s="1297"/>
      <c r="E171" s="709">
        <v>15</v>
      </c>
      <c r="F171" s="50" cm="1" t="str">
        <f t="array" ref="F171:F171">OFFSET(E171,-1,1)</f>
        <v>1</v>
      </c>
      <c r="G171" s="94" cm="1" t="str">
        <f t="array" ref="G171:G171">G170</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ЛЕНИНСК-КУЗНЕЦКИЙ ГОРОДСКОЙ ОКРУГ</v>
      </c>
      <c r="H171" s="1297"/>
      <c r="I171" s="1297"/>
      <c r="J171" s="1297"/>
      <c r="K171" s="154">
        <f>first_year+37</f>
        <v>2061</v>
      </c>
      <c r="L171" s="1297"/>
      <c r="M171" s="1297"/>
      <c r="N171" s="1297"/>
      <c r="O171" s="1297"/>
      <c r="P171" s="1297"/>
      <c r="Q171" s="1297"/>
      <c r="R171" s="1297"/>
      <c r="S171" s="1297"/>
      <c r="T171" s="468" cm="1" t="str">
        <f t="array" ref="T171:T171">T170</f>
        <v>true</v>
      </c>
      <c r="U171" s="1297"/>
      <c r="V171" s="1297"/>
      <c r="W171" s="1297"/>
      <c r="X171" s="1539"/>
      <c r="Y171" s="1539"/>
      <c r="Z171" s="1529"/>
      <c r="AA171" s="1630"/>
      <c r="AB171" s="251" t="str">
        <f>K171&amp;" год"</f>
        <v>2061 год</v>
      </c>
      <c r="AC171" s="409"/>
      <c r="AD171" s="6972"/>
      <c r="AE171" s="6971"/>
      <c r="AF171" s="6971"/>
      <c r="AG171" s="6972"/>
      <c r="AH171" s="6971"/>
      <c r="AI171" s="6972"/>
      <c r="AJ171" s="6971"/>
      <c r="AK171" s="6973"/>
      <c r="AL171" s="404"/>
      <c r="AM171" s="1297"/>
      <c r="AN171" s="1072" cm="1" t="str">
        <f t="array" ref="AN171:AN171">K171</f>
        <v>2061</v>
      </c>
      <c r="AO171" s="1072" t="s">
        <v>2773</v>
      </c>
      <c r="AP171" s="1082" cm="1" t="str">
        <f t="array" ref="AP171:AP171">AP170</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ЛЕНИНСК-КУЗНЕЦКИЙ ГОРОДСКОЙ ОКРУГ</v>
      </c>
      <c r="AQ171" s="709"/>
      <c r="AR171" s="709"/>
    </row>
    <row s="7070" customFormat="1" customHeight="1" ht="14.25" hidden="1">
      <c r="A172" s="1297"/>
      <c r="B172" s="447">
        <f>K172&lt;first_year+PERIOD_LENGTH</f>
        <v>0</v>
      </c>
      <c r="C172" s="1297"/>
      <c r="D172" s="1297"/>
      <c r="E172" s="709">
        <v>15</v>
      </c>
      <c r="F172" s="50" cm="1" t="str">
        <f t="array" ref="F172:F172">OFFSET(E172,-1,1)</f>
        <v>1</v>
      </c>
      <c r="G172" s="94" cm="1" t="str">
        <f t="array" ref="G172:G172">G171</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ЛЕНИНСК-КУЗНЕЦКИЙ ГОРОДСКОЙ ОКРУГ</v>
      </c>
      <c r="H172" s="1297"/>
      <c r="I172" s="1297"/>
      <c r="J172" s="1297"/>
      <c r="K172" s="154">
        <f>first_year+38</f>
        <v>2062</v>
      </c>
      <c r="L172" s="1297"/>
      <c r="M172" s="1297"/>
      <c r="N172" s="1297"/>
      <c r="O172" s="1297"/>
      <c r="P172" s="1297"/>
      <c r="Q172" s="1297"/>
      <c r="R172" s="1297"/>
      <c r="S172" s="1297"/>
      <c r="T172" s="468" cm="1" t="str">
        <f t="array" ref="T172:T172">T171</f>
        <v>true</v>
      </c>
      <c r="U172" s="1297"/>
      <c r="V172" s="1297"/>
      <c r="W172" s="1297"/>
      <c r="X172" s="1539"/>
      <c r="Y172" s="1539"/>
      <c r="Z172" s="1529"/>
      <c r="AA172" s="1630"/>
      <c r="AB172" s="251" t="str">
        <f>K172&amp;" год"</f>
        <v>2062 год</v>
      </c>
      <c r="AC172" s="409"/>
      <c r="AD172" s="6972"/>
      <c r="AE172" s="6971"/>
      <c r="AF172" s="6971"/>
      <c r="AG172" s="6972"/>
      <c r="AH172" s="6971"/>
      <c r="AI172" s="6972"/>
      <c r="AJ172" s="6971"/>
      <c r="AK172" s="6973"/>
      <c r="AL172" s="404"/>
      <c r="AM172" s="1297"/>
      <c r="AN172" s="1072" cm="1" t="str">
        <f t="array" ref="AN172:AN172">K172</f>
        <v>2062</v>
      </c>
      <c r="AO172" s="1072" t="s">
        <v>2773</v>
      </c>
      <c r="AP172" s="1082" cm="1" t="str">
        <f t="array" ref="AP172:AP172">AP171</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ЛЕНИНСК-КУЗНЕЦКИЙ ГОРОДСКОЙ ОКРУГ</v>
      </c>
      <c r="AQ172" s="709"/>
      <c r="AR172" s="709"/>
    </row>
    <row s="7071" customFormat="1" customHeight="1" ht="14.25" hidden="1">
      <c r="A173" s="1297"/>
      <c r="B173" s="447">
        <f>K173&lt;first_year+PERIOD_LENGTH</f>
        <v>0</v>
      </c>
      <c r="C173" s="1297"/>
      <c r="D173" s="1297"/>
      <c r="E173" s="709">
        <v>15</v>
      </c>
      <c r="F173" s="50" cm="1" t="str">
        <f t="array" ref="F173:F173">OFFSET(E173,-1,1)</f>
        <v>1</v>
      </c>
      <c r="G173" s="94" cm="1" t="str">
        <f t="array" ref="G173:G173">G172</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ЛЕНИНСК-КУЗНЕЦКИЙ ГОРОДСКОЙ ОКРУГ</v>
      </c>
      <c r="H173" s="1297"/>
      <c r="I173" s="1297"/>
      <c r="J173" s="1297"/>
      <c r="K173" s="154">
        <f>first_year+39</f>
        <v>2063</v>
      </c>
      <c r="L173" s="1297"/>
      <c r="M173" s="1297"/>
      <c r="N173" s="1297"/>
      <c r="O173" s="1297"/>
      <c r="P173" s="1297"/>
      <c r="Q173" s="1297"/>
      <c r="R173" s="1297"/>
      <c r="S173" s="1297"/>
      <c r="T173" s="468" cm="1" t="str">
        <f t="array" ref="T173:T173">T172</f>
        <v>true</v>
      </c>
      <c r="U173" s="1297"/>
      <c r="V173" s="1297"/>
      <c r="W173" s="1297"/>
      <c r="X173" s="1539"/>
      <c r="Y173" s="1539"/>
      <c r="Z173" s="1529"/>
      <c r="AA173" s="1630"/>
      <c r="AB173" s="251" t="str">
        <f>K173&amp;" год"</f>
        <v>2063 год</v>
      </c>
      <c r="AC173" s="409"/>
      <c r="AD173" s="6972"/>
      <c r="AE173" s="6971"/>
      <c r="AF173" s="6971"/>
      <c r="AG173" s="6972"/>
      <c r="AH173" s="6971"/>
      <c r="AI173" s="6972"/>
      <c r="AJ173" s="6971"/>
      <c r="AK173" s="6973"/>
      <c r="AL173" s="404"/>
      <c r="AM173" s="1297"/>
      <c r="AN173" s="1072" cm="1" t="str">
        <f t="array" ref="AN173:AN173">K173</f>
        <v>2063</v>
      </c>
      <c r="AO173" s="1072" t="s">
        <v>2773</v>
      </c>
      <c r="AP173" s="1082" cm="1" t="str">
        <f t="array" ref="AP173:AP173">AP172</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ЛЕНИНСК-КУЗНЕЦКИЙ ГОРОДСКОЙ ОКРУГ</v>
      </c>
      <c r="AQ173" s="709"/>
      <c r="AR173" s="709"/>
    </row>
    <row s="7072" customFormat="1" customHeight="1" ht="14.25" hidden="1">
      <c r="A174" s="1297"/>
      <c r="B174" s="447">
        <f>K174&lt;first_year+PERIOD_LENGTH</f>
        <v>0</v>
      </c>
      <c r="C174" s="1297"/>
      <c r="D174" s="1297"/>
      <c r="E174" s="709">
        <v>15</v>
      </c>
      <c r="F174" s="50" cm="1" t="str">
        <f t="array" ref="F174:F174">OFFSET(E174,-1,1)</f>
        <v>1</v>
      </c>
      <c r="G174" s="94" cm="1" t="str">
        <f t="array" ref="G174:G174">G173</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ЛЕНИНСК-КУЗНЕЦКИЙ ГОРОДСКОЙ ОКРУГ</v>
      </c>
      <c r="H174" s="1297"/>
      <c r="I174" s="1297"/>
      <c r="J174" s="1297"/>
      <c r="K174" s="154">
        <f>first_year+40</f>
        <v>2064</v>
      </c>
      <c r="L174" s="1297"/>
      <c r="M174" s="1297"/>
      <c r="N174" s="1297"/>
      <c r="O174" s="1297"/>
      <c r="P174" s="1297"/>
      <c r="Q174" s="1297"/>
      <c r="R174" s="1297"/>
      <c r="S174" s="1297"/>
      <c r="T174" s="468" cm="1" t="str">
        <f t="array" ref="T174:T174">T173</f>
        <v>true</v>
      </c>
      <c r="U174" s="1297"/>
      <c r="V174" s="1297"/>
      <c r="W174" s="1297"/>
      <c r="X174" s="1539"/>
      <c r="Y174" s="1539"/>
      <c r="Z174" s="1529"/>
      <c r="AA174" s="1630"/>
      <c r="AB174" s="251" t="str">
        <f>K174&amp;" год"</f>
        <v>2064 год</v>
      </c>
      <c r="AC174" s="409"/>
      <c r="AD174" s="6972"/>
      <c r="AE174" s="6971"/>
      <c r="AF174" s="6971"/>
      <c r="AG174" s="6972"/>
      <c r="AH174" s="6971"/>
      <c r="AI174" s="6972"/>
      <c r="AJ174" s="6971"/>
      <c r="AK174" s="6973"/>
      <c r="AL174" s="404"/>
      <c r="AM174" s="1297"/>
      <c r="AN174" s="1072" cm="1" t="str">
        <f t="array" ref="AN174:AN174">K174</f>
        <v>2064</v>
      </c>
      <c r="AO174" s="1072" t="s">
        <v>2773</v>
      </c>
      <c r="AP174" s="1082" cm="1" t="str">
        <f t="array" ref="AP174:AP174">AP173</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ЛЕНИНСК-КУЗНЕЦКИЙ ГОРОДСКОЙ ОКРУГ</v>
      </c>
      <c r="AQ174" s="709"/>
      <c r="AR174" s="709"/>
    </row>
    <row s="7073" customFormat="1" customHeight="1" ht="14.25" hidden="1">
      <c r="A175" s="1297"/>
      <c r="B175" s="447">
        <f>K175&lt;first_year+PERIOD_LENGTH</f>
        <v>0</v>
      </c>
      <c r="C175" s="1297"/>
      <c r="D175" s="1297"/>
      <c r="E175" s="709">
        <v>15</v>
      </c>
      <c r="F175" s="50" cm="1" t="str">
        <f t="array" ref="F175:F175">OFFSET(E175,-1,1)</f>
        <v>1</v>
      </c>
      <c r="G175" s="94" cm="1" t="str">
        <f t="array" ref="G175:G175">G174</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ЛЕНИНСК-КУЗНЕЦКИЙ ГОРОДСКОЙ ОКРУГ</v>
      </c>
      <c r="H175" s="1297"/>
      <c r="I175" s="1297"/>
      <c r="J175" s="1297"/>
      <c r="K175" s="154">
        <f>first_year+41</f>
        <v>2065</v>
      </c>
      <c r="L175" s="1297"/>
      <c r="M175" s="1297"/>
      <c r="N175" s="1297"/>
      <c r="O175" s="1297"/>
      <c r="P175" s="1297"/>
      <c r="Q175" s="1297"/>
      <c r="R175" s="1297"/>
      <c r="S175" s="1297"/>
      <c r="T175" s="468" cm="1" t="str">
        <f t="array" ref="T175:T175">T174</f>
        <v>true</v>
      </c>
      <c r="U175" s="1297"/>
      <c r="V175" s="1297"/>
      <c r="W175" s="1297"/>
      <c r="X175" s="1539"/>
      <c r="Y175" s="1539"/>
      <c r="Z175" s="1529"/>
      <c r="AA175" s="1630"/>
      <c r="AB175" s="251" t="str">
        <f>K175&amp;" год"</f>
        <v>2065 год</v>
      </c>
      <c r="AC175" s="409"/>
      <c r="AD175" s="6972"/>
      <c r="AE175" s="6971"/>
      <c r="AF175" s="6971"/>
      <c r="AG175" s="6972"/>
      <c r="AH175" s="6971"/>
      <c r="AI175" s="6972"/>
      <c r="AJ175" s="6971"/>
      <c r="AK175" s="6973"/>
      <c r="AL175" s="404"/>
      <c r="AM175" s="1297"/>
      <c r="AN175" s="1072" cm="1" t="str">
        <f t="array" ref="AN175:AN175">K175</f>
        <v>2065</v>
      </c>
      <c r="AO175" s="1072" t="s">
        <v>2773</v>
      </c>
      <c r="AP175" s="1082" cm="1" t="str">
        <f t="array" ref="AP175:AP175">AP174</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ЛЕНИНСК-КУЗНЕЦКИЙ ГОРОДСКОЙ ОКРУГ</v>
      </c>
      <c r="AQ175" s="709"/>
      <c r="AR175" s="709"/>
    </row>
    <row s="7074" customFormat="1" customHeight="1" ht="14.25" hidden="1">
      <c r="A176" s="1297"/>
      <c r="B176" s="447">
        <f>K176&lt;first_year+PERIOD_LENGTH</f>
        <v>0</v>
      </c>
      <c r="C176" s="1297"/>
      <c r="D176" s="1297"/>
      <c r="E176" s="709">
        <v>15</v>
      </c>
      <c r="F176" s="50" cm="1" t="str">
        <f t="array" ref="F176:F176">OFFSET(E176,-1,1)</f>
        <v>1</v>
      </c>
      <c r="G176" s="94" cm="1" t="str">
        <f t="array" ref="G176:G176">G175</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ЛЕНИНСК-КУЗНЕЦКИЙ ГОРОДСКОЙ ОКРУГ</v>
      </c>
      <c r="H176" s="1297"/>
      <c r="I176" s="1297"/>
      <c r="J176" s="1297"/>
      <c r="K176" s="154">
        <f>first_year+42</f>
        <v>2066</v>
      </c>
      <c r="L176" s="1297"/>
      <c r="M176" s="1297"/>
      <c r="N176" s="1297"/>
      <c r="O176" s="1297"/>
      <c r="P176" s="1297"/>
      <c r="Q176" s="1297"/>
      <c r="R176" s="1297"/>
      <c r="S176" s="1297"/>
      <c r="T176" s="468" cm="1" t="str">
        <f t="array" ref="T176:T176">T175</f>
        <v>true</v>
      </c>
      <c r="U176" s="1297"/>
      <c r="V176" s="1297"/>
      <c r="W176" s="1297"/>
      <c r="X176" s="1539"/>
      <c r="Y176" s="1539"/>
      <c r="Z176" s="1529"/>
      <c r="AA176" s="1630"/>
      <c r="AB176" s="251" t="str">
        <f>K176&amp;" год"</f>
        <v>2066 год</v>
      </c>
      <c r="AC176" s="409"/>
      <c r="AD176" s="6972"/>
      <c r="AE176" s="6971"/>
      <c r="AF176" s="6971"/>
      <c r="AG176" s="6972"/>
      <c r="AH176" s="6971"/>
      <c r="AI176" s="6972"/>
      <c r="AJ176" s="6971"/>
      <c r="AK176" s="6973"/>
      <c r="AL176" s="404"/>
      <c r="AM176" s="1297"/>
      <c r="AN176" s="1072" cm="1" t="str">
        <f t="array" ref="AN176:AN176">K176</f>
        <v>2066</v>
      </c>
      <c r="AO176" s="1072" t="s">
        <v>2773</v>
      </c>
      <c r="AP176" s="1082" cm="1" t="str">
        <f t="array" ref="AP176:AP176">AP175</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ЛЕНИНСК-КУЗНЕЦКИЙ ГОРОДСКОЙ ОКРУГ</v>
      </c>
      <c r="AQ176" s="709"/>
      <c r="AR176" s="709"/>
    </row>
    <row s="7075" customFormat="1" customHeight="1" ht="14.25" hidden="1">
      <c r="A177" s="1297"/>
      <c r="B177" s="447">
        <f>K177&lt;first_year+PERIOD_LENGTH</f>
        <v>0</v>
      </c>
      <c r="C177" s="1297"/>
      <c r="D177" s="1297"/>
      <c r="E177" s="709">
        <v>15</v>
      </c>
      <c r="F177" s="50" cm="1" t="str">
        <f t="array" ref="F177:F177">OFFSET(E177,-1,1)</f>
        <v>1</v>
      </c>
      <c r="G177" s="94" cm="1" t="str">
        <f t="array" ref="G177:G177">G176</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ЛЕНИНСК-КУЗНЕЦКИЙ ГОРОДСКОЙ ОКРУГ</v>
      </c>
      <c r="H177" s="1297"/>
      <c r="I177" s="1297"/>
      <c r="J177" s="1297"/>
      <c r="K177" s="154">
        <f>first_year+43</f>
        <v>2067</v>
      </c>
      <c r="L177" s="1297"/>
      <c r="M177" s="1297"/>
      <c r="N177" s="1297"/>
      <c r="O177" s="1297"/>
      <c r="P177" s="1297"/>
      <c r="Q177" s="1297"/>
      <c r="R177" s="1297"/>
      <c r="S177" s="1297"/>
      <c r="T177" s="468" cm="1" t="str">
        <f t="array" ref="T177:T177">T176</f>
        <v>true</v>
      </c>
      <c r="U177" s="1297"/>
      <c r="V177" s="1297"/>
      <c r="W177" s="1297"/>
      <c r="X177" s="1539"/>
      <c r="Y177" s="1539"/>
      <c r="Z177" s="1529"/>
      <c r="AA177" s="1630"/>
      <c r="AB177" s="251" t="str">
        <f>K177&amp;" год"</f>
        <v>2067 год</v>
      </c>
      <c r="AC177" s="409"/>
      <c r="AD177" s="6972"/>
      <c r="AE177" s="6971"/>
      <c r="AF177" s="6971"/>
      <c r="AG177" s="6972"/>
      <c r="AH177" s="6971"/>
      <c r="AI177" s="6972"/>
      <c r="AJ177" s="6971"/>
      <c r="AK177" s="6973"/>
      <c r="AL177" s="404"/>
      <c r="AM177" s="1297"/>
      <c r="AN177" s="1072" cm="1" t="str">
        <f t="array" ref="AN177:AN177">K177</f>
        <v>2067</v>
      </c>
      <c r="AO177" s="1072" t="s">
        <v>2773</v>
      </c>
      <c r="AP177" s="1082" cm="1" t="str">
        <f t="array" ref="AP177:AP177">AP176</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ЛЕНИНСК-КУЗНЕЦКИЙ ГОРОДСКОЙ ОКРУГ</v>
      </c>
      <c r="AQ177" s="709"/>
      <c r="AR177" s="709"/>
    </row>
    <row s="7076" customFormat="1" customHeight="1" ht="14.25" hidden="1">
      <c r="A178" s="1297"/>
      <c r="B178" s="447">
        <f>K178&lt;first_year+PERIOD_LENGTH</f>
        <v>0</v>
      </c>
      <c r="C178" s="1297"/>
      <c r="D178" s="1297"/>
      <c r="E178" s="709">
        <v>15</v>
      </c>
      <c r="F178" s="50" cm="1" t="str">
        <f t="array" ref="F178:F178">OFFSET(E178,-1,1)</f>
        <v>1</v>
      </c>
      <c r="G178" s="94" cm="1" t="str">
        <f t="array" ref="G178:G178">G177</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ЛЕНИНСК-КУЗНЕЦКИЙ ГОРОДСКОЙ ОКРУГ</v>
      </c>
      <c r="H178" s="1297"/>
      <c r="I178" s="1297"/>
      <c r="J178" s="1297"/>
      <c r="K178" s="154">
        <f>first_year+44</f>
        <v>2068</v>
      </c>
      <c r="L178" s="1297"/>
      <c r="M178" s="1297"/>
      <c r="N178" s="1297"/>
      <c r="O178" s="1297"/>
      <c r="P178" s="1297"/>
      <c r="Q178" s="1297"/>
      <c r="R178" s="1297"/>
      <c r="S178" s="1297"/>
      <c r="T178" s="468" cm="1" t="str">
        <f t="array" ref="T178:T178">T177</f>
        <v>true</v>
      </c>
      <c r="U178" s="1297"/>
      <c r="V178" s="1297"/>
      <c r="W178" s="1297"/>
      <c r="X178" s="1539"/>
      <c r="Y178" s="1539"/>
      <c r="Z178" s="1529"/>
      <c r="AA178" s="1630"/>
      <c r="AB178" s="251" t="str">
        <f>K178&amp;" год"</f>
        <v>2068 год</v>
      </c>
      <c r="AC178" s="409"/>
      <c r="AD178" s="6972"/>
      <c r="AE178" s="6971"/>
      <c r="AF178" s="6971"/>
      <c r="AG178" s="6972"/>
      <c r="AH178" s="6971"/>
      <c r="AI178" s="6972"/>
      <c r="AJ178" s="6971"/>
      <c r="AK178" s="6973"/>
      <c r="AL178" s="404"/>
      <c r="AM178" s="1297"/>
      <c r="AN178" s="1072" cm="1" t="str">
        <f t="array" ref="AN178:AN178">K178</f>
        <v>2068</v>
      </c>
      <c r="AO178" s="1072" t="s">
        <v>2773</v>
      </c>
      <c r="AP178" s="1082" cm="1" t="str">
        <f t="array" ref="AP178:AP178">AP177</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ЛЕНИНСК-КУЗНЕЦКИЙ ГОРОДСКОЙ ОКРУГ</v>
      </c>
      <c r="AQ178" s="709"/>
      <c r="AR178" s="709"/>
    </row>
    <row s="7077" customFormat="1" customHeight="1" ht="14.25" hidden="1">
      <c r="A179" s="1297"/>
      <c r="B179" s="447">
        <f>K179&lt;first_year+PERIOD_LENGTH</f>
        <v>0</v>
      </c>
      <c r="C179" s="1297"/>
      <c r="D179" s="1297"/>
      <c r="E179" s="709">
        <v>15</v>
      </c>
      <c r="F179" s="50" cm="1" t="str">
        <f t="array" ref="F179:F179">OFFSET(E179,-1,1)</f>
        <v>1</v>
      </c>
      <c r="G179" s="94" cm="1" t="str">
        <f t="array" ref="G179:G179">G178</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ЛЕНИНСК-КУЗНЕЦКИЙ ГОРОДСКОЙ ОКРУГ</v>
      </c>
      <c r="H179" s="1297"/>
      <c r="I179" s="1297"/>
      <c r="J179" s="1297"/>
      <c r="K179" s="154">
        <f>first_year+45</f>
        <v>2069</v>
      </c>
      <c r="L179" s="1297"/>
      <c r="M179" s="1297"/>
      <c r="N179" s="1297"/>
      <c r="O179" s="1297"/>
      <c r="P179" s="1297"/>
      <c r="Q179" s="1297"/>
      <c r="R179" s="1297"/>
      <c r="S179" s="1297"/>
      <c r="T179" s="468" cm="1" t="str">
        <f t="array" ref="T179:T179">T178</f>
        <v>true</v>
      </c>
      <c r="U179" s="1297"/>
      <c r="V179" s="1297"/>
      <c r="W179" s="1297"/>
      <c r="X179" s="1539"/>
      <c r="Y179" s="1539"/>
      <c r="Z179" s="1529"/>
      <c r="AA179" s="1630"/>
      <c r="AB179" s="251" t="str">
        <f>K179&amp;" год"</f>
        <v>2069 год</v>
      </c>
      <c r="AC179" s="409"/>
      <c r="AD179" s="6972"/>
      <c r="AE179" s="6971"/>
      <c r="AF179" s="6971"/>
      <c r="AG179" s="6972"/>
      <c r="AH179" s="6971"/>
      <c r="AI179" s="6972"/>
      <c r="AJ179" s="6971"/>
      <c r="AK179" s="6973"/>
      <c r="AL179" s="404"/>
      <c r="AM179" s="1297"/>
      <c r="AN179" s="1072" cm="1" t="str">
        <f t="array" ref="AN179:AN179">K179</f>
        <v>2069</v>
      </c>
      <c r="AO179" s="1072" t="s">
        <v>2773</v>
      </c>
      <c r="AP179" s="1082" cm="1" t="str">
        <f t="array" ref="AP179:AP179">AP178</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ЛЕНИНСК-КУЗНЕЦКИЙ ГОРОДСКОЙ ОКРУГ</v>
      </c>
      <c r="AQ179" s="709"/>
      <c r="AR179" s="709"/>
    </row>
    <row s="7078" customFormat="1" customHeight="1" ht="14.25" hidden="1">
      <c r="A180" s="1297"/>
      <c r="B180" s="447">
        <f>K180&lt;first_year+PERIOD_LENGTH</f>
        <v>0</v>
      </c>
      <c r="C180" s="1297"/>
      <c r="D180" s="1297"/>
      <c r="E180" s="709">
        <v>15</v>
      </c>
      <c r="F180" s="50" cm="1" t="str">
        <f t="array" ref="F180:F180">OFFSET(E180,-1,1)</f>
        <v>1</v>
      </c>
      <c r="G180" s="94" cm="1" t="str">
        <f t="array" ref="G180:G180">G179</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ЛЕНИНСК-КУЗНЕЦКИЙ ГОРОДСКОЙ ОКРУГ</v>
      </c>
      <c r="H180" s="1297"/>
      <c r="I180" s="1297"/>
      <c r="J180" s="1297"/>
      <c r="K180" s="154">
        <f>first_year+46</f>
        <v>2070</v>
      </c>
      <c r="L180" s="1297"/>
      <c r="M180" s="1297"/>
      <c r="N180" s="1297"/>
      <c r="O180" s="1297"/>
      <c r="P180" s="1297"/>
      <c r="Q180" s="1297"/>
      <c r="R180" s="1297"/>
      <c r="S180" s="1297"/>
      <c r="T180" s="468" cm="1" t="str">
        <f t="array" ref="T180:T180">T179</f>
        <v>true</v>
      </c>
      <c r="U180" s="1297"/>
      <c r="V180" s="1297"/>
      <c r="W180" s="1297"/>
      <c r="X180" s="1539"/>
      <c r="Y180" s="1539"/>
      <c r="Z180" s="1529"/>
      <c r="AA180" s="1630"/>
      <c r="AB180" s="251" t="str">
        <f>K180&amp;" год"</f>
        <v>2070 год</v>
      </c>
      <c r="AC180" s="409"/>
      <c r="AD180" s="6972"/>
      <c r="AE180" s="6971"/>
      <c r="AF180" s="6971"/>
      <c r="AG180" s="6972"/>
      <c r="AH180" s="6971"/>
      <c r="AI180" s="6972"/>
      <c r="AJ180" s="6971"/>
      <c r="AK180" s="6973"/>
      <c r="AL180" s="404"/>
      <c r="AM180" s="1297"/>
      <c r="AN180" s="1072" cm="1" t="str">
        <f t="array" ref="AN180:AN180">K180</f>
        <v>2070</v>
      </c>
      <c r="AO180" s="1072" t="s">
        <v>2773</v>
      </c>
      <c r="AP180" s="1082" cm="1" t="str">
        <f t="array" ref="AP180:AP180">AP179</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ЛЕНИНСК-КУЗНЕЦКИЙ ГОРОДСКОЙ ОКРУГ</v>
      </c>
      <c r="AQ180" s="709"/>
      <c r="AR180" s="709"/>
    </row>
    <row s="7079" customFormat="1" customHeight="1" ht="14.25" hidden="1">
      <c r="A181" s="1297"/>
      <c r="B181" s="447">
        <f>K181&lt;first_year+PERIOD_LENGTH</f>
        <v>0</v>
      </c>
      <c r="C181" s="1297"/>
      <c r="D181" s="1297"/>
      <c r="E181" s="709">
        <v>15</v>
      </c>
      <c r="F181" s="50" cm="1" t="str">
        <f t="array" ref="F181:F181">OFFSET(E181,-1,1)</f>
        <v>1</v>
      </c>
      <c r="G181" s="94" cm="1" t="str">
        <f t="array" ref="G181:G181">G180</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ЛЕНИНСК-КУЗНЕЦКИЙ ГОРОДСКОЙ ОКРУГ</v>
      </c>
      <c r="H181" s="1297"/>
      <c r="I181" s="1297"/>
      <c r="J181" s="1297"/>
      <c r="K181" s="154">
        <f>first_year+47</f>
        <v>2071</v>
      </c>
      <c r="L181" s="1297"/>
      <c r="M181" s="1297"/>
      <c r="N181" s="1297"/>
      <c r="O181" s="1297"/>
      <c r="P181" s="1297"/>
      <c r="Q181" s="1297"/>
      <c r="R181" s="1297"/>
      <c r="S181" s="1297"/>
      <c r="T181" s="468" cm="1" t="str">
        <f t="array" ref="T181:T181">T180</f>
        <v>true</v>
      </c>
      <c r="U181" s="1297"/>
      <c r="V181" s="1297"/>
      <c r="W181" s="1297"/>
      <c r="X181" s="1539"/>
      <c r="Y181" s="1539"/>
      <c r="Z181" s="1529"/>
      <c r="AA181" s="1630"/>
      <c r="AB181" s="251" t="str">
        <f>K181&amp;" год"</f>
        <v>2071 год</v>
      </c>
      <c r="AC181" s="409"/>
      <c r="AD181" s="6972"/>
      <c r="AE181" s="6971"/>
      <c r="AF181" s="6971"/>
      <c r="AG181" s="6972"/>
      <c r="AH181" s="6971"/>
      <c r="AI181" s="6972"/>
      <c r="AJ181" s="6971"/>
      <c r="AK181" s="6973"/>
      <c r="AL181" s="404"/>
      <c r="AM181" s="1297"/>
      <c r="AN181" s="1072" cm="1" t="str">
        <f t="array" ref="AN181:AN181">K181</f>
        <v>2071</v>
      </c>
      <c r="AO181" s="1072" t="s">
        <v>2773</v>
      </c>
      <c r="AP181" s="1082" cm="1" t="str">
        <f t="array" ref="AP181:AP181">AP180</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ЛЕНИНСК-КУЗНЕЦКИЙ ГОРОДСКОЙ ОКРУГ</v>
      </c>
      <c r="AQ181" s="709"/>
      <c r="AR181" s="709"/>
    </row>
    <row s="7080" customFormat="1" customHeight="1" ht="14.25" hidden="1">
      <c r="A182" s="1297"/>
      <c r="B182" s="447">
        <f>K182&lt;first_year+PERIOD_LENGTH</f>
        <v>0</v>
      </c>
      <c r="C182" s="1297"/>
      <c r="D182" s="1297"/>
      <c r="E182" s="709">
        <v>15</v>
      </c>
      <c r="F182" s="50" cm="1" t="str">
        <f t="array" ref="F182:F182">OFFSET(E182,-1,1)</f>
        <v>1</v>
      </c>
      <c r="G182" s="94" cm="1" t="str">
        <f t="array" ref="G182:G182">G181</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ЛЕНИНСК-КУЗНЕЦКИЙ ГОРОДСКОЙ ОКРУГ</v>
      </c>
      <c r="H182" s="1297"/>
      <c r="I182" s="1297"/>
      <c r="J182" s="1297"/>
      <c r="K182" s="154">
        <f>first_year+48</f>
        <v>2072</v>
      </c>
      <c r="L182" s="1297"/>
      <c r="M182" s="1297"/>
      <c r="N182" s="1297"/>
      <c r="O182" s="1297"/>
      <c r="P182" s="1297"/>
      <c r="Q182" s="1297"/>
      <c r="R182" s="1297"/>
      <c r="S182" s="1297"/>
      <c r="T182" s="468" cm="1" t="str">
        <f t="array" ref="T182:T182">T181</f>
        <v>true</v>
      </c>
      <c r="U182" s="1297"/>
      <c r="V182" s="1297"/>
      <c r="W182" s="1297"/>
      <c r="X182" s="1539"/>
      <c r="Y182" s="1539"/>
      <c r="Z182" s="1529"/>
      <c r="AA182" s="1630"/>
      <c r="AB182" s="251" t="str">
        <f>K182&amp;" год"</f>
        <v>2072 год</v>
      </c>
      <c r="AC182" s="409"/>
      <c r="AD182" s="6972"/>
      <c r="AE182" s="6971"/>
      <c r="AF182" s="6971"/>
      <c r="AG182" s="6972"/>
      <c r="AH182" s="6971"/>
      <c r="AI182" s="6972"/>
      <c r="AJ182" s="6971"/>
      <c r="AK182" s="6973"/>
      <c r="AL182" s="404"/>
      <c r="AM182" s="1297"/>
      <c r="AN182" s="1072" cm="1" t="str">
        <f t="array" ref="AN182:AN182">K182</f>
        <v>2072</v>
      </c>
      <c r="AO182" s="1072" t="s">
        <v>2773</v>
      </c>
      <c r="AP182" s="1082" cm="1" t="str">
        <f t="array" ref="AP182:AP182">AP181</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ЛЕНИНСК-КУЗНЕЦКИЙ ГОРОДСКОЙ ОКРУГ</v>
      </c>
      <c r="AQ182" s="709"/>
      <c r="AR182" s="709"/>
    </row>
    <row s="7081" customFormat="1" customHeight="1" ht="14.25" hidden="1">
      <c r="A183" s="1297"/>
      <c r="B183" s="447">
        <f>K183&lt;first_year+PERIOD_LENGTH</f>
        <v>0</v>
      </c>
      <c r="C183" s="1297"/>
      <c r="D183" s="1297"/>
      <c r="E183" s="709">
        <v>15</v>
      </c>
      <c r="F183" s="50" cm="1" t="str">
        <f t="array" ref="F183:F183">OFFSET(E183,-1,1)</f>
        <v>1</v>
      </c>
      <c r="G183" s="94" cm="1" t="str">
        <f t="array" ref="G183:G183">G182</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ЛЕНИНСК-КУЗНЕЦКИЙ ГОРОДСКОЙ ОКРУГ</v>
      </c>
      <c r="H183" s="1297"/>
      <c r="I183" s="1297"/>
      <c r="J183" s="1297"/>
      <c r="K183" s="154">
        <f>first_year+49</f>
        <v>2073</v>
      </c>
      <c r="L183" s="1297"/>
      <c r="M183" s="1297"/>
      <c r="N183" s="1297"/>
      <c r="O183" s="1297"/>
      <c r="P183" s="1297"/>
      <c r="Q183" s="1297"/>
      <c r="R183" s="1297"/>
      <c r="S183" s="1297"/>
      <c r="T183" s="468" cm="1" t="str">
        <f t="array" ref="T183:T183">T182</f>
        <v>true</v>
      </c>
      <c r="U183" s="1297"/>
      <c r="V183" s="1297"/>
      <c r="W183" s="1297"/>
      <c r="X183" s="1539"/>
      <c r="Y183" s="1539"/>
      <c r="Z183" s="1529"/>
      <c r="AA183" s="1630"/>
      <c r="AB183" s="251" t="str">
        <f>K183&amp;" год"</f>
        <v>2073 год</v>
      </c>
      <c r="AC183" s="409"/>
      <c r="AD183" s="6972"/>
      <c r="AE183" s="6971"/>
      <c r="AF183" s="6971"/>
      <c r="AG183" s="6972"/>
      <c r="AH183" s="6971"/>
      <c r="AI183" s="6972"/>
      <c r="AJ183" s="6971"/>
      <c r="AK183" s="6973"/>
      <c r="AL183" s="404"/>
      <c r="AM183" s="1297"/>
      <c r="AN183" s="1072" cm="1" t="str">
        <f t="array" ref="AN183:AN183">K183</f>
        <v>2073</v>
      </c>
      <c r="AO183" s="1072" t="s">
        <v>2773</v>
      </c>
      <c r="AP183" s="1082" cm="1" t="str">
        <f t="array" ref="AP183:AP183">AP182</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ЛЕНИНСК-КУЗНЕЦКИЙ ГОРОДСКОЙ ОКРУГ</v>
      </c>
      <c r="AQ183" s="709"/>
      <c r="AR183" s="709"/>
    </row>
    <row s="541" customFormat="1" customHeight="1" ht="55.171875">
      <c r="A184" s="1331"/>
      <c r="B184" s="430"/>
      <c r="C184" s="1331"/>
      <c r="D184" s="1331"/>
      <c r="E184" s="623">
        <v>15</v>
      </c>
      <c r="F184" s="50" cm="1" t="str">
        <f t="array" ref="F184:F184">OFFSET(E184,-1,1)</f>
        <v>1</v>
      </c>
      <c r="G184" s="118" cm="1" t="str">
        <f t="array" ref="G184:G184">AB184</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ПОЛЫСАЕВСКИЙ ГОРОДСКОЙ ОКРУГ</v>
      </c>
      <c r="H184" s="1331"/>
      <c r="I184" s="1331"/>
      <c r="J184" s="1331"/>
      <c r="K184" s="1331"/>
      <c r="L184" s="1331"/>
      <c r="M184" s="1331"/>
      <c r="N184" s="1331"/>
      <c r="O184" s="1331"/>
      <c r="P184" s="1331"/>
      <c r="Q184" s="1331"/>
      <c r="R184" s="1331"/>
      <c r="S184" s="1331"/>
      <c r="T184" s="468">
        <f>AND(F184&gt;0,Y184&gt;0)</f>
        <v>1</v>
      </c>
      <c r="U184" s="1331"/>
      <c r="V184" s="1331"/>
      <c r="W184" s="118"/>
      <c r="X184" s="1539"/>
      <c r="Y184" s="1539" t="s">
        <v>299</v>
      </c>
      <c r="Z184" s="1529"/>
      <c r="AA184" s="1630" t="s">
        <v>174</v>
      </c>
      <c r="AB184" s="1631" t="s">
        <v>2776</v>
      </c>
      <c r="AC184" s="1631"/>
      <c r="AD184" s="1631"/>
      <c r="AE184" s="1631"/>
      <c r="AF184" s="1631"/>
      <c r="AG184" s="1631"/>
      <c r="AH184" s="6967"/>
      <c r="AI184" s="6967"/>
      <c r="AJ184" s="6967"/>
      <c r="AK184" s="6968"/>
      <c r="AL184" s="403"/>
      <c r="AM184" s="1331"/>
      <c r="AN184" s="1005"/>
      <c r="AO184" s="1072" t="s">
        <v>2773</v>
      </c>
      <c r="AP184" s="1087" cm="1" t="str">
        <f t="array" ref="AP184:AP184">AB184</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ПОЛЫСАЕВСКИЙ ГОРОДСКОЙ ОКРУГ</v>
      </c>
      <c r="AQ184" s="623"/>
      <c r="AR184" s="623" t="b">
        <v>1</v>
      </c>
    </row>
    <row s="7082" customFormat="1" customHeight="1" ht="18.421875">
      <c r="A185" s="1297"/>
      <c r="B185" s="447">
        <f>K185&lt;first_year+PERIOD_LENGTH</f>
        <v>1</v>
      </c>
      <c r="C185" s="1297"/>
      <c r="D185" s="1297"/>
      <c r="E185" s="709">
        <v>15</v>
      </c>
      <c r="F185" s="50" cm="1" t="str">
        <f t="array" ref="F185:F185">OFFSET(E185,-1,1)</f>
        <v>1</v>
      </c>
      <c r="G185" s="94" cm="1" t="str">
        <f t="array" ref="G185:G185">G184</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ПОЛЫСАЕВСКИЙ ГОРОДСКОЙ ОКРУГ</v>
      </c>
      <c r="H185" s="1297"/>
      <c r="I185" s="1297"/>
      <c r="J185" s="1297"/>
      <c r="K185" s="154" cm="1" t="str">
        <f t="array" ref="K185:K185">first_year</f>
        <v>2024</v>
      </c>
      <c r="L185" s="1297"/>
      <c r="M185" s="1297"/>
      <c r="N185" s="1297"/>
      <c r="O185" s="1297"/>
      <c r="P185" s="1297"/>
      <c r="Q185" s="1297"/>
      <c r="R185" s="1297"/>
      <c r="S185" s="1297"/>
      <c r="T185" s="468" cm="1" t="str">
        <f t="array" ref="T185:T185">T184</f>
        <v>true</v>
      </c>
      <c r="U185" s="1297"/>
      <c r="V185" s="1297"/>
      <c r="W185" s="1297"/>
      <c r="X185" s="1539"/>
      <c r="Y185" s="1539"/>
      <c r="Z185" s="1529"/>
      <c r="AA185" s="1630"/>
      <c r="AB185" s="298" t="str">
        <f>K185&amp;" год"</f>
        <v>2024 год</v>
      </c>
      <c r="AC185" s="299"/>
      <c r="AD185" s="313">
        <v>1</v>
      </c>
      <c r="AE185" s="299">
        <v>16.73</v>
      </c>
      <c r="AF185" s="299">
        <v>32.81</v>
      </c>
      <c r="AG185" s="313">
        <v>0.63</v>
      </c>
      <c r="AH185" s="6971"/>
      <c r="AI185" s="6972"/>
      <c r="AJ185" s="6971"/>
      <c r="AK185" s="6973"/>
      <c r="AL185" s="404"/>
      <c r="AM185" s="1297"/>
      <c r="AN185" s="1072" cm="1" t="str">
        <f t="array" ref="AN185:AN185">K185</f>
        <v>2024</v>
      </c>
      <c r="AO185" s="1072" t="s">
        <v>2773</v>
      </c>
      <c r="AP185" s="1082" cm="1" t="str">
        <f t="array" ref="AP185:AP185">AP184</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ПОЛЫСАЕВСКИЙ ГОРОДСКОЙ ОКРУГ</v>
      </c>
      <c r="AQ185" s="709"/>
      <c r="AR185" s="709"/>
    </row>
    <row s="7083" customFormat="1" customHeight="1" ht="16.921875">
      <c r="A186" s="1297"/>
      <c r="B186" s="447">
        <f>K186&lt;first_year+PERIOD_LENGTH</f>
        <v>1</v>
      </c>
      <c r="C186" s="1297"/>
      <c r="D186" s="1297"/>
      <c r="E186" s="709">
        <v>15</v>
      </c>
      <c r="F186" s="50" cm="1" t="str">
        <f t="array" ref="F186:F186">OFFSET(E186,-1,1)</f>
        <v>1</v>
      </c>
      <c r="G186" s="94" cm="1" t="str">
        <f t="array" ref="G186:G186">G185</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ПОЛЫСАЕВСКИЙ ГОРОДСКОЙ ОКРУГ</v>
      </c>
      <c r="H186" s="1297"/>
      <c r="I186" s="1297"/>
      <c r="J186" s="1297"/>
      <c r="K186" s="154">
        <f>first_year+1</f>
        <v>2025</v>
      </c>
      <c r="L186" s="1297"/>
      <c r="M186" s="1297"/>
      <c r="N186" s="1297"/>
      <c r="O186" s="1297"/>
      <c r="P186" s="1297"/>
      <c r="Q186" s="1297"/>
      <c r="R186" s="1297"/>
      <c r="S186" s="1297"/>
      <c r="T186" s="468" cm="1" t="str">
        <f t="array" ref="T186:T186">T185</f>
        <v>true</v>
      </c>
      <c r="U186" s="1297"/>
      <c r="V186" s="1297"/>
      <c r="W186" s="1297"/>
      <c r="X186" s="1539"/>
      <c r="Y186" s="1539"/>
      <c r="Z186" s="1529"/>
      <c r="AA186" s="1630"/>
      <c r="AB186" s="251" t="str">
        <f>K186&amp;" год"</f>
        <v>2025 год</v>
      </c>
      <c r="AC186" s="409"/>
      <c r="AD186" s="313">
        <v>0</v>
      </c>
      <c r="AE186" s="299">
        <v>28.18</v>
      </c>
      <c r="AF186" s="299">
        <v>32.76</v>
      </c>
      <c r="AG186" s="313">
        <v>0.63</v>
      </c>
      <c r="AH186" s="6971"/>
      <c r="AI186" s="6972"/>
      <c r="AJ186" s="6971"/>
      <c r="AK186" s="6973"/>
      <c r="AL186" s="404"/>
      <c r="AM186" s="1297"/>
      <c r="AN186" s="1072" cm="1" t="str">
        <f t="array" ref="AN186:AN186">K186</f>
        <v>2025</v>
      </c>
      <c r="AO186" s="1072" t="s">
        <v>2773</v>
      </c>
      <c r="AP186" s="1082" cm="1" t="str">
        <f t="array" ref="AP186:AP186">AP185</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ПОЛЫСАЕВСКИЙ ГОРОДСКОЙ ОКРУГ</v>
      </c>
      <c r="AQ186" s="709"/>
      <c r="AR186" s="709"/>
    </row>
    <row s="7084" customFormat="1" customHeight="1" ht="17.671875">
      <c r="A187" s="1297"/>
      <c r="B187" s="447">
        <f>K187&lt;first_year+PERIOD_LENGTH</f>
        <v>1</v>
      </c>
      <c r="C187" s="1297"/>
      <c r="D187" s="1297"/>
      <c r="E187" s="709">
        <v>15</v>
      </c>
      <c r="F187" s="50" cm="1" t="str">
        <f t="array" ref="F187:F187">OFFSET(E187,-1,1)</f>
        <v>1</v>
      </c>
      <c r="G187" s="94" cm="1" t="str">
        <f t="array" ref="G187:G187">G186</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ПОЛЫСАЕВСКИЙ ГОРОДСКОЙ ОКРУГ</v>
      </c>
      <c r="H187" s="1297"/>
      <c r="I187" s="1297"/>
      <c r="J187" s="1297"/>
      <c r="K187" s="154">
        <f>first_year+2</f>
        <v>2026</v>
      </c>
      <c r="L187" s="1297"/>
      <c r="M187" s="1297"/>
      <c r="N187" s="1297"/>
      <c r="O187" s="1297"/>
      <c r="P187" s="1297"/>
      <c r="Q187" s="1297"/>
      <c r="R187" s="1297"/>
      <c r="S187" s="1297"/>
      <c r="T187" s="468" cm="1" t="str">
        <f t="array" ref="T187:T187">T186</f>
        <v>true</v>
      </c>
      <c r="U187" s="1297"/>
      <c r="V187" s="1297"/>
      <c r="W187" s="1297"/>
      <c r="X187" s="1539"/>
      <c r="Y187" s="1539"/>
      <c r="Z187" s="1529"/>
      <c r="AA187" s="1630"/>
      <c r="AB187" s="251" t="str">
        <f>K187&amp;" год"</f>
        <v>2026 год</v>
      </c>
      <c r="AC187" s="409"/>
      <c r="AD187" s="313">
        <v>1</v>
      </c>
      <c r="AE187" s="299">
        <v>20.16</v>
      </c>
      <c r="AF187" s="299">
        <v>32.71</v>
      </c>
      <c r="AG187" s="313">
        <v>0.63</v>
      </c>
      <c r="AH187" s="6971"/>
      <c r="AI187" s="6972"/>
      <c r="AJ187" s="6971"/>
      <c r="AK187" s="6973"/>
      <c r="AL187" s="404"/>
      <c r="AM187" s="1297"/>
      <c r="AN187" s="1072" cm="1" t="str">
        <f t="array" ref="AN187:AN187">K187</f>
        <v>2026</v>
      </c>
      <c r="AO187" s="1072" t="s">
        <v>2773</v>
      </c>
      <c r="AP187" s="1082" cm="1" t="str">
        <f t="array" ref="AP187:AP187">AP186</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ПОЛЫСАЕВСКИЙ ГОРОДСКОЙ ОКРУГ</v>
      </c>
      <c r="AQ187" s="709"/>
      <c r="AR187" s="709"/>
    </row>
    <row s="7085" customFormat="1" customHeight="1" ht="18.421875">
      <c r="A188" s="1297"/>
      <c r="B188" s="447">
        <f>K188&lt;first_year+PERIOD_LENGTH</f>
        <v>1</v>
      </c>
      <c r="C188" s="1297"/>
      <c r="D188" s="1297"/>
      <c r="E188" s="709">
        <v>15</v>
      </c>
      <c r="F188" s="50" cm="1" t="str">
        <f t="array" ref="F188:F188">OFFSET(E188,-1,1)</f>
        <v>1</v>
      </c>
      <c r="G188" s="94" cm="1" t="str">
        <f t="array" ref="G188:G188">G187</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ПОЛЫСАЕВСКИЙ ГОРОДСКОЙ ОКРУГ</v>
      </c>
      <c r="H188" s="1297"/>
      <c r="I188" s="1297"/>
      <c r="J188" s="1297"/>
      <c r="K188" s="154">
        <f>first_year+3</f>
        <v>2027</v>
      </c>
      <c r="L188" s="1297"/>
      <c r="M188" s="1297"/>
      <c r="N188" s="1297"/>
      <c r="O188" s="1297"/>
      <c r="P188" s="1297"/>
      <c r="Q188" s="1297"/>
      <c r="R188" s="1297"/>
      <c r="S188" s="1297"/>
      <c r="T188" s="468" cm="1" t="str">
        <f t="array" ref="T188:T188">T187</f>
        <v>true</v>
      </c>
      <c r="U188" s="1297"/>
      <c r="V188" s="1297"/>
      <c r="W188" s="1297"/>
      <c r="X188" s="1539"/>
      <c r="Y188" s="1539"/>
      <c r="Z188" s="1529"/>
      <c r="AA188" s="1630"/>
      <c r="AB188" s="251" t="str">
        <f>K188&amp;" год"</f>
        <v>2027 год</v>
      </c>
      <c r="AC188" s="409"/>
      <c r="AD188" s="313">
        <v>1</v>
      </c>
      <c r="AE188" s="299">
        <v>21.19</v>
      </c>
      <c r="AF188" s="299">
        <v>32.66</v>
      </c>
      <c r="AG188" s="313">
        <v>0.63</v>
      </c>
      <c r="AH188" s="6971"/>
      <c r="AI188" s="6972"/>
      <c r="AJ188" s="6971"/>
      <c r="AK188" s="6973"/>
      <c r="AL188" s="404"/>
      <c r="AM188" s="1297"/>
      <c r="AN188" s="1072" cm="1" t="str">
        <f t="array" ref="AN188:AN188">K188</f>
        <v>2027</v>
      </c>
      <c r="AO188" s="1072" t="s">
        <v>2773</v>
      </c>
      <c r="AP188" s="1082" cm="1" t="str">
        <f t="array" ref="AP188:AP188">AP187</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ПОЛЫСАЕВСКИЙ ГОРОДСКОЙ ОКРУГ</v>
      </c>
      <c r="AQ188" s="709"/>
      <c r="AR188" s="709"/>
    </row>
    <row s="7086" customFormat="1" customHeight="1" ht="18.421875">
      <c r="A189" s="1297"/>
      <c r="B189" s="447">
        <f>K189&lt;first_year+PERIOD_LENGTH</f>
        <v>1</v>
      </c>
      <c r="C189" s="1297"/>
      <c r="D189" s="1297"/>
      <c r="E189" s="709">
        <v>15</v>
      </c>
      <c r="F189" s="50" cm="1" t="str">
        <f t="array" ref="F189:F189">OFFSET(E189,-1,1)</f>
        <v>1</v>
      </c>
      <c r="G189" s="94" cm="1" t="str">
        <f t="array" ref="G189:G189">G188</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ПОЛЫСАЕВСКИЙ ГОРОДСКОЙ ОКРУГ</v>
      </c>
      <c r="H189" s="1297"/>
      <c r="I189" s="1297"/>
      <c r="J189" s="1297"/>
      <c r="K189" s="154">
        <f>first_year+4</f>
        <v>2028</v>
      </c>
      <c r="L189" s="1297"/>
      <c r="M189" s="1297"/>
      <c r="N189" s="1297"/>
      <c r="O189" s="1297"/>
      <c r="P189" s="1297"/>
      <c r="Q189" s="1297"/>
      <c r="R189" s="1297"/>
      <c r="S189" s="1297"/>
      <c r="T189" s="468" cm="1" t="str">
        <f t="array" ref="T189:T189">T188</f>
        <v>true</v>
      </c>
      <c r="U189" s="1297"/>
      <c r="V189" s="1297"/>
      <c r="W189" s="1297"/>
      <c r="X189" s="1539"/>
      <c r="Y189" s="1539"/>
      <c r="Z189" s="1529"/>
      <c r="AA189" s="1630"/>
      <c r="AB189" s="251" t="str">
        <f>K189&amp;" год"</f>
        <v>2028 год</v>
      </c>
      <c r="AC189" s="409"/>
      <c r="AD189" s="313">
        <v>1</v>
      </c>
      <c r="AE189" s="299">
        <v>16.92</v>
      </c>
      <c r="AF189" s="299">
        <v>32.61</v>
      </c>
      <c r="AG189" s="313">
        <v>0.63</v>
      </c>
      <c r="AH189" s="6971"/>
      <c r="AI189" s="6972"/>
      <c r="AJ189" s="6971"/>
      <c r="AK189" s="6973"/>
      <c r="AL189" s="404"/>
      <c r="AM189" s="1297"/>
      <c r="AN189" s="1072" cm="1" t="str">
        <f t="array" ref="AN189:AN189">K189</f>
        <v>2028</v>
      </c>
      <c r="AO189" s="1072" t="s">
        <v>2773</v>
      </c>
      <c r="AP189" s="1082" cm="1" t="str">
        <f t="array" ref="AP189:AP189">AP188</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ПОЛЫСАЕВСКИЙ ГОРОДСКОЙ ОКРУГ</v>
      </c>
      <c r="AQ189" s="709"/>
      <c r="AR189" s="709"/>
    </row>
    <row s="7087" customFormat="1" customHeight="1" ht="14.25" hidden="1">
      <c r="A190" s="1297"/>
      <c r="B190" s="447">
        <f>K190&lt;first_year+PERIOD_LENGTH</f>
        <v>0</v>
      </c>
      <c r="C190" s="1297"/>
      <c r="D190" s="1297"/>
      <c r="E190" s="709">
        <v>15</v>
      </c>
      <c r="F190" s="50" cm="1" t="str">
        <f t="array" ref="F190:F190">OFFSET(E190,-1,1)</f>
        <v>1</v>
      </c>
      <c r="G190" s="94" cm="1" t="str">
        <f t="array" ref="G190:G190">G189</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ПОЛЫСАЕВСКИЙ ГОРОДСКОЙ ОКРУГ</v>
      </c>
      <c r="H190" s="1297"/>
      <c r="I190" s="1297"/>
      <c r="J190" s="1297"/>
      <c r="K190" s="154">
        <f>first_year+5</f>
        <v>2029</v>
      </c>
      <c r="L190" s="1297"/>
      <c r="M190" s="1297"/>
      <c r="N190" s="1297"/>
      <c r="O190" s="1297"/>
      <c r="P190" s="1297"/>
      <c r="Q190" s="1297"/>
      <c r="R190" s="1297"/>
      <c r="S190" s="1297"/>
      <c r="T190" s="468" cm="1" t="str">
        <f t="array" ref="T190:T190">T189</f>
        <v>true</v>
      </c>
      <c r="U190" s="1297"/>
      <c r="V190" s="1297"/>
      <c r="W190" s="1297"/>
      <c r="X190" s="1539"/>
      <c r="Y190" s="1539"/>
      <c r="Z190" s="1529"/>
      <c r="AA190" s="1630"/>
      <c r="AB190" s="251" t="str">
        <f>K190&amp;" год"</f>
        <v>2029 год</v>
      </c>
      <c r="AC190" s="409"/>
      <c r="AD190" s="6972"/>
      <c r="AE190" s="6971"/>
      <c r="AF190" s="6971"/>
      <c r="AG190" s="6972"/>
      <c r="AH190" s="6971"/>
      <c r="AI190" s="6972"/>
      <c r="AJ190" s="6971"/>
      <c r="AK190" s="6973"/>
      <c r="AL190" s="404"/>
      <c r="AM190" s="1297"/>
      <c r="AN190" s="1072" cm="1" t="str">
        <f t="array" ref="AN190:AN190">K190</f>
        <v>2029</v>
      </c>
      <c r="AO190" s="1072" t="s">
        <v>2773</v>
      </c>
      <c r="AP190" s="1082" cm="1" t="str">
        <f t="array" ref="AP190:AP190">AP189</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ПОЛЫСАЕВСКИЙ ГОРОДСКОЙ ОКРУГ</v>
      </c>
      <c r="AQ190" s="709"/>
      <c r="AR190" s="709"/>
    </row>
    <row s="7088" customFormat="1" customHeight="1" ht="14.25" hidden="1">
      <c r="A191" s="1297"/>
      <c r="B191" s="447">
        <f>K191&lt;first_year+PERIOD_LENGTH</f>
        <v>0</v>
      </c>
      <c r="C191" s="1297"/>
      <c r="D191" s="1297"/>
      <c r="E191" s="709">
        <v>15</v>
      </c>
      <c r="F191" s="50" cm="1" t="str">
        <f t="array" ref="F191:F191">OFFSET(E191,-1,1)</f>
        <v>1</v>
      </c>
      <c r="G191" s="94" cm="1" t="str">
        <f t="array" ref="G191:G191">G190</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ПОЛЫСАЕВСКИЙ ГОРОДСКОЙ ОКРУГ</v>
      </c>
      <c r="H191" s="1297"/>
      <c r="I191" s="1297"/>
      <c r="J191" s="1297"/>
      <c r="K191" s="154">
        <f>first_year+6</f>
        <v>2030</v>
      </c>
      <c r="L191" s="1297"/>
      <c r="M191" s="1297"/>
      <c r="N191" s="1297"/>
      <c r="O191" s="1297"/>
      <c r="P191" s="1297"/>
      <c r="Q191" s="1297"/>
      <c r="R191" s="1297"/>
      <c r="S191" s="1297"/>
      <c r="T191" s="468" cm="1" t="str">
        <f t="array" ref="T191:T191">T190</f>
        <v>true</v>
      </c>
      <c r="U191" s="1297"/>
      <c r="V191" s="1297"/>
      <c r="W191" s="1297"/>
      <c r="X191" s="1539"/>
      <c r="Y191" s="1539"/>
      <c r="Z191" s="1529"/>
      <c r="AA191" s="1630"/>
      <c r="AB191" s="251" t="str">
        <f>K191&amp;" год"</f>
        <v>2030 год</v>
      </c>
      <c r="AC191" s="409"/>
      <c r="AD191" s="6972"/>
      <c r="AE191" s="6971"/>
      <c r="AF191" s="6971"/>
      <c r="AG191" s="6972"/>
      <c r="AH191" s="6971"/>
      <c r="AI191" s="6972"/>
      <c r="AJ191" s="6971"/>
      <c r="AK191" s="6973"/>
      <c r="AL191" s="404"/>
      <c r="AM191" s="1297"/>
      <c r="AN191" s="1072" cm="1" t="str">
        <f t="array" ref="AN191:AN191">K191</f>
        <v>2030</v>
      </c>
      <c r="AO191" s="1072" t="s">
        <v>2773</v>
      </c>
      <c r="AP191" s="1082" cm="1" t="str">
        <f t="array" ref="AP191:AP191">AP190</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ПОЛЫСАЕВСКИЙ ГОРОДСКОЙ ОКРУГ</v>
      </c>
      <c r="AQ191" s="709"/>
      <c r="AR191" s="709"/>
    </row>
    <row s="7089" customFormat="1" customHeight="1" ht="14.25" hidden="1">
      <c r="A192" s="1297"/>
      <c r="B192" s="447">
        <f>K192&lt;first_year+PERIOD_LENGTH</f>
        <v>0</v>
      </c>
      <c r="C192" s="1297"/>
      <c r="D192" s="1297"/>
      <c r="E192" s="709">
        <v>15</v>
      </c>
      <c r="F192" s="50" cm="1" t="str">
        <f t="array" ref="F192:F192">OFFSET(E192,-1,1)</f>
        <v>1</v>
      </c>
      <c r="G192" s="94" cm="1" t="str">
        <f t="array" ref="G192:G192">G191</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ПОЛЫСАЕВСКИЙ ГОРОДСКОЙ ОКРУГ</v>
      </c>
      <c r="H192" s="1297"/>
      <c r="I192" s="1297"/>
      <c r="J192" s="1297"/>
      <c r="K192" s="154">
        <f>first_year+7</f>
        <v>2031</v>
      </c>
      <c r="L192" s="1297"/>
      <c r="M192" s="1297"/>
      <c r="N192" s="1297"/>
      <c r="O192" s="1297"/>
      <c r="P192" s="1297"/>
      <c r="Q192" s="1297"/>
      <c r="R192" s="1297"/>
      <c r="S192" s="1297"/>
      <c r="T192" s="468" cm="1" t="str">
        <f t="array" ref="T192:T192">T191</f>
        <v>true</v>
      </c>
      <c r="U192" s="1297"/>
      <c r="V192" s="1297"/>
      <c r="W192" s="1297"/>
      <c r="X192" s="1539"/>
      <c r="Y192" s="1539"/>
      <c r="Z192" s="1529"/>
      <c r="AA192" s="1630"/>
      <c r="AB192" s="251" t="str">
        <f>K192&amp;" год"</f>
        <v>2031 год</v>
      </c>
      <c r="AC192" s="409"/>
      <c r="AD192" s="6972"/>
      <c r="AE192" s="6971"/>
      <c r="AF192" s="6971"/>
      <c r="AG192" s="6972"/>
      <c r="AH192" s="6971"/>
      <c r="AI192" s="6972"/>
      <c r="AJ192" s="6971"/>
      <c r="AK192" s="6973"/>
      <c r="AL192" s="404"/>
      <c r="AM192" s="1297"/>
      <c r="AN192" s="1072" cm="1" t="str">
        <f t="array" ref="AN192:AN192">K192</f>
        <v>2031</v>
      </c>
      <c r="AO192" s="1072" t="s">
        <v>2773</v>
      </c>
      <c r="AP192" s="1082" cm="1" t="str">
        <f t="array" ref="AP192:AP192">AP191</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ПОЛЫСАЕВСКИЙ ГОРОДСКОЙ ОКРУГ</v>
      </c>
      <c r="AQ192" s="709"/>
      <c r="AR192" s="709"/>
    </row>
    <row s="7090" customFormat="1" customHeight="1" ht="14.25" hidden="1">
      <c r="A193" s="1297"/>
      <c r="B193" s="447">
        <f>K193&lt;first_year+PERIOD_LENGTH</f>
        <v>0</v>
      </c>
      <c r="C193" s="1297"/>
      <c r="D193" s="1297"/>
      <c r="E193" s="709">
        <v>15</v>
      </c>
      <c r="F193" s="50" cm="1" t="str">
        <f t="array" ref="F193:F193">OFFSET(E193,-1,1)</f>
        <v>1</v>
      </c>
      <c r="G193" s="94" cm="1" t="str">
        <f t="array" ref="G193:G193">G192</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ПОЛЫСАЕВСКИЙ ГОРОДСКОЙ ОКРУГ</v>
      </c>
      <c r="H193" s="1297"/>
      <c r="I193" s="1297"/>
      <c r="J193" s="1297"/>
      <c r="K193" s="154">
        <f>first_year+8</f>
        <v>2032</v>
      </c>
      <c r="L193" s="1297"/>
      <c r="M193" s="1297"/>
      <c r="N193" s="1297"/>
      <c r="O193" s="1297"/>
      <c r="P193" s="1297"/>
      <c r="Q193" s="1297"/>
      <c r="R193" s="1297"/>
      <c r="S193" s="1297"/>
      <c r="T193" s="468" cm="1" t="str">
        <f t="array" ref="T193:T193">T192</f>
        <v>true</v>
      </c>
      <c r="U193" s="1297"/>
      <c r="V193" s="1297"/>
      <c r="W193" s="1297"/>
      <c r="X193" s="1539"/>
      <c r="Y193" s="1539"/>
      <c r="Z193" s="1529"/>
      <c r="AA193" s="1630"/>
      <c r="AB193" s="251" t="str">
        <f>K193&amp;" год"</f>
        <v>2032 год</v>
      </c>
      <c r="AC193" s="409"/>
      <c r="AD193" s="6972"/>
      <c r="AE193" s="6971"/>
      <c r="AF193" s="6971"/>
      <c r="AG193" s="6972"/>
      <c r="AH193" s="6971"/>
      <c r="AI193" s="6972"/>
      <c r="AJ193" s="6971"/>
      <c r="AK193" s="6973"/>
      <c r="AL193" s="404"/>
      <c r="AM193" s="1297"/>
      <c r="AN193" s="1072" cm="1" t="str">
        <f t="array" ref="AN193:AN193">K193</f>
        <v>2032</v>
      </c>
      <c r="AO193" s="1072" t="s">
        <v>2773</v>
      </c>
      <c r="AP193" s="1082" cm="1" t="str">
        <f t="array" ref="AP193:AP193">AP192</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ПОЛЫСАЕВСКИЙ ГОРОДСКОЙ ОКРУГ</v>
      </c>
      <c r="AQ193" s="709"/>
      <c r="AR193" s="709"/>
    </row>
    <row s="7091" customFormat="1" customHeight="1" ht="14.25" hidden="1">
      <c r="A194" s="1297"/>
      <c r="B194" s="447">
        <f>K194&lt;first_year+PERIOD_LENGTH</f>
        <v>0</v>
      </c>
      <c r="C194" s="1297"/>
      <c r="D194" s="1297"/>
      <c r="E194" s="709">
        <v>15</v>
      </c>
      <c r="F194" s="50" cm="1" t="str">
        <f t="array" ref="F194:F194">OFFSET(E194,-1,1)</f>
        <v>1</v>
      </c>
      <c r="G194" s="94" cm="1" t="str">
        <f t="array" ref="G194:G194">G193</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ПОЛЫСАЕВСКИЙ ГОРОДСКОЙ ОКРУГ</v>
      </c>
      <c r="H194" s="1297"/>
      <c r="I194" s="1297"/>
      <c r="J194" s="1297"/>
      <c r="K194" s="154">
        <f>first_year+9</f>
        <v>2033</v>
      </c>
      <c r="L194" s="1297"/>
      <c r="M194" s="1297"/>
      <c r="N194" s="1297"/>
      <c r="O194" s="1297"/>
      <c r="P194" s="1297"/>
      <c r="Q194" s="1297"/>
      <c r="R194" s="1297"/>
      <c r="S194" s="1297"/>
      <c r="T194" s="468" cm="1" t="str">
        <f t="array" ref="T194:T194">T193</f>
        <v>true</v>
      </c>
      <c r="U194" s="1297"/>
      <c r="V194" s="1297"/>
      <c r="W194" s="1297"/>
      <c r="X194" s="1539"/>
      <c r="Y194" s="1539"/>
      <c r="Z194" s="1529"/>
      <c r="AA194" s="1630"/>
      <c r="AB194" s="251" t="str">
        <f>K194&amp;" год"</f>
        <v>2033 год</v>
      </c>
      <c r="AC194" s="409"/>
      <c r="AD194" s="6972"/>
      <c r="AE194" s="6971"/>
      <c r="AF194" s="6971"/>
      <c r="AG194" s="6972"/>
      <c r="AH194" s="6971"/>
      <c r="AI194" s="6972"/>
      <c r="AJ194" s="6971"/>
      <c r="AK194" s="6973"/>
      <c r="AL194" s="404"/>
      <c r="AM194" s="1297"/>
      <c r="AN194" s="1072" cm="1" t="str">
        <f t="array" ref="AN194:AN194">K194</f>
        <v>2033</v>
      </c>
      <c r="AO194" s="1072" t="s">
        <v>2773</v>
      </c>
      <c r="AP194" s="1082" cm="1" t="str">
        <f t="array" ref="AP194:AP194">AP193</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ПОЛЫСАЕВСКИЙ ГОРОДСКОЙ ОКРУГ</v>
      </c>
      <c r="AQ194" s="709"/>
      <c r="AR194" s="709"/>
    </row>
    <row s="7092" customFormat="1" customHeight="1" ht="14.25" hidden="1">
      <c r="A195" s="1297"/>
      <c r="B195" s="447">
        <f>K195&lt;first_year+PERIOD_LENGTH</f>
        <v>0</v>
      </c>
      <c r="C195" s="1297"/>
      <c r="D195" s="1297"/>
      <c r="E195" s="709">
        <v>15</v>
      </c>
      <c r="F195" s="50" cm="1" t="str">
        <f t="array" ref="F195:F195">OFFSET(E195,-1,1)</f>
        <v>1</v>
      </c>
      <c r="G195" s="94" cm="1" t="str">
        <f t="array" ref="G195:G195">G194</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ПОЛЫСАЕВСКИЙ ГОРОДСКОЙ ОКРУГ</v>
      </c>
      <c r="H195" s="1297"/>
      <c r="I195" s="1297"/>
      <c r="J195" s="1297"/>
      <c r="K195" s="154">
        <f>first_year+10</f>
        <v>2034</v>
      </c>
      <c r="L195" s="1297"/>
      <c r="M195" s="1297"/>
      <c r="N195" s="1297"/>
      <c r="O195" s="1297"/>
      <c r="P195" s="1297"/>
      <c r="Q195" s="1297"/>
      <c r="R195" s="1297"/>
      <c r="S195" s="1297"/>
      <c r="T195" s="468" cm="1" t="str">
        <f t="array" ref="T195:T195">T194</f>
        <v>true</v>
      </c>
      <c r="U195" s="1297"/>
      <c r="V195" s="1297"/>
      <c r="W195" s="1297"/>
      <c r="X195" s="1539"/>
      <c r="Y195" s="1539"/>
      <c r="Z195" s="1529"/>
      <c r="AA195" s="1630"/>
      <c r="AB195" s="251" t="str">
        <f>K195&amp;" год"</f>
        <v>2034 год</v>
      </c>
      <c r="AC195" s="409"/>
      <c r="AD195" s="6972"/>
      <c r="AE195" s="6971"/>
      <c r="AF195" s="6971"/>
      <c r="AG195" s="6972"/>
      <c r="AH195" s="6971"/>
      <c r="AI195" s="6972"/>
      <c r="AJ195" s="6971"/>
      <c r="AK195" s="6973"/>
      <c r="AL195" s="404"/>
      <c r="AM195" s="1297"/>
      <c r="AN195" s="1072" cm="1" t="str">
        <f t="array" ref="AN195:AN195">K195</f>
        <v>2034</v>
      </c>
      <c r="AO195" s="1072" t="s">
        <v>2773</v>
      </c>
      <c r="AP195" s="1082" cm="1" t="str">
        <f t="array" ref="AP195:AP195">AP194</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ПОЛЫСАЕВСКИЙ ГОРОДСКОЙ ОКРУГ</v>
      </c>
      <c r="AQ195" s="709"/>
      <c r="AR195" s="709"/>
    </row>
    <row s="7093" customFormat="1" customHeight="1" ht="14.25" hidden="1">
      <c r="A196" s="1297"/>
      <c r="B196" s="447">
        <f>K196&lt;first_year+PERIOD_LENGTH</f>
        <v>0</v>
      </c>
      <c r="C196" s="1297"/>
      <c r="D196" s="1297"/>
      <c r="E196" s="709">
        <v>15</v>
      </c>
      <c r="F196" s="50" cm="1" t="str">
        <f t="array" ref="F196:F196">OFFSET(E196,-1,1)</f>
        <v>1</v>
      </c>
      <c r="G196" s="94" cm="1" t="str">
        <f t="array" ref="G196:G196">G195</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ПОЛЫСАЕВСКИЙ ГОРОДСКОЙ ОКРУГ</v>
      </c>
      <c r="H196" s="1297"/>
      <c r="I196" s="1297"/>
      <c r="J196" s="1297"/>
      <c r="K196" s="154">
        <f>first_year+11</f>
        <v>2035</v>
      </c>
      <c r="L196" s="1297"/>
      <c r="M196" s="1297"/>
      <c r="N196" s="1297"/>
      <c r="O196" s="1297"/>
      <c r="P196" s="1297"/>
      <c r="Q196" s="1297"/>
      <c r="R196" s="1297"/>
      <c r="S196" s="1297"/>
      <c r="T196" s="468" cm="1" t="str">
        <f t="array" ref="T196:T196">T195</f>
        <v>true</v>
      </c>
      <c r="U196" s="1297"/>
      <c r="V196" s="1297"/>
      <c r="W196" s="1297"/>
      <c r="X196" s="1539"/>
      <c r="Y196" s="1539"/>
      <c r="Z196" s="1529"/>
      <c r="AA196" s="1630"/>
      <c r="AB196" s="251" t="str">
        <f>K196&amp;" год"</f>
        <v>2035 год</v>
      </c>
      <c r="AC196" s="409"/>
      <c r="AD196" s="6972"/>
      <c r="AE196" s="6971"/>
      <c r="AF196" s="6971"/>
      <c r="AG196" s="6972"/>
      <c r="AH196" s="6971"/>
      <c r="AI196" s="6972"/>
      <c r="AJ196" s="6971"/>
      <c r="AK196" s="6973"/>
      <c r="AL196" s="404"/>
      <c r="AM196" s="1297"/>
      <c r="AN196" s="1072" cm="1" t="str">
        <f t="array" ref="AN196:AN196">K196</f>
        <v>2035</v>
      </c>
      <c r="AO196" s="1072" t="s">
        <v>2773</v>
      </c>
      <c r="AP196" s="1082" cm="1" t="str">
        <f t="array" ref="AP196:AP196">AP195</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ПОЛЫСАЕВСКИЙ ГОРОДСКОЙ ОКРУГ</v>
      </c>
      <c r="AQ196" s="709"/>
      <c r="AR196" s="709"/>
    </row>
    <row s="7094" customFormat="1" customHeight="1" ht="14.25" hidden="1">
      <c r="A197" s="1297"/>
      <c r="B197" s="447">
        <f>K197&lt;first_year+PERIOD_LENGTH</f>
        <v>0</v>
      </c>
      <c r="C197" s="1297"/>
      <c r="D197" s="1297"/>
      <c r="E197" s="709">
        <v>15</v>
      </c>
      <c r="F197" s="50" cm="1" t="str">
        <f t="array" ref="F197:F197">OFFSET(E197,-1,1)</f>
        <v>1</v>
      </c>
      <c r="G197" s="94" cm="1" t="str">
        <f t="array" ref="G197:G197">G196</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ПОЛЫСАЕВСКИЙ ГОРОДСКОЙ ОКРУГ</v>
      </c>
      <c r="H197" s="1297"/>
      <c r="I197" s="1297"/>
      <c r="J197" s="1297"/>
      <c r="K197" s="154">
        <f>first_year+12</f>
        <v>2036</v>
      </c>
      <c r="L197" s="1297"/>
      <c r="M197" s="1297"/>
      <c r="N197" s="1297"/>
      <c r="O197" s="1297"/>
      <c r="P197" s="1297"/>
      <c r="Q197" s="1297"/>
      <c r="R197" s="1297"/>
      <c r="S197" s="1297"/>
      <c r="T197" s="468" cm="1" t="str">
        <f t="array" ref="T197:T197">T196</f>
        <v>true</v>
      </c>
      <c r="U197" s="1297"/>
      <c r="V197" s="1297"/>
      <c r="W197" s="1297"/>
      <c r="X197" s="1539"/>
      <c r="Y197" s="1539"/>
      <c r="Z197" s="1529"/>
      <c r="AA197" s="1630"/>
      <c r="AB197" s="251" t="str">
        <f>K197&amp;" год"</f>
        <v>2036 год</v>
      </c>
      <c r="AC197" s="409"/>
      <c r="AD197" s="6972"/>
      <c r="AE197" s="6971"/>
      <c r="AF197" s="6971"/>
      <c r="AG197" s="6972"/>
      <c r="AH197" s="6971"/>
      <c r="AI197" s="6972"/>
      <c r="AJ197" s="6971"/>
      <c r="AK197" s="6973"/>
      <c r="AL197" s="404"/>
      <c r="AM197" s="1297"/>
      <c r="AN197" s="1072" cm="1" t="str">
        <f t="array" ref="AN197:AN197">K197</f>
        <v>2036</v>
      </c>
      <c r="AO197" s="1072" t="s">
        <v>2773</v>
      </c>
      <c r="AP197" s="1082" cm="1" t="str">
        <f t="array" ref="AP197:AP197">AP196</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ПОЛЫСАЕВСКИЙ ГОРОДСКОЙ ОКРУГ</v>
      </c>
      <c r="AQ197" s="709"/>
      <c r="AR197" s="709"/>
    </row>
    <row s="7095" customFormat="1" customHeight="1" ht="14.25" hidden="1">
      <c r="A198" s="1297"/>
      <c r="B198" s="447">
        <f>K198&lt;first_year+PERIOD_LENGTH</f>
        <v>0</v>
      </c>
      <c r="C198" s="1297"/>
      <c r="D198" s="1297"/>
      <c r="E198" s="709">
        <v>15</v>
      </c>
      <c r="F198" s="50" cm="1" t="str">
        <f t="array" ref="F198:F198">OFFSET(E198,-1,1)</f>
        <v>1</v>
      </c>
      <c r="G198" s="94" cm="1" t="str">
        <f t="array" ref="G198:G198">G197</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ПОЛЫСАЕВСКИЙ ГОРОДСКОЙ ОКРУГ</v>
      </c>
      <c r="H198" s="1297"/>
      <c r="I198" s="1297"/>
      <c r="J198" s="1297"/>
      <c r="K198" s="154">
        <f>first_year+13</f>
        <v>2037</v>
      </c>
      <c r="L198" s="1297"/>
      <c r="M198" s="1297"/>
      <c r="N198" s="1297"/>
      <c r="O198" s="1297"/>
      <c r="P198" s="1297"/>
      <c r="Q198" s="1297"/>
      <c r="R198" s="1297"/>
      <c r="S198" s="1297"/>
      <c r="T198" s="468" cm="1" t="str">
        <f t="array" ref="T198:T198">T197</f>
        <v>true</v>
      </c>
      <c r="U198" s="1297"/>
      <c r="V198" s="1297"/>
      <c r="W198" s="1297"/>
      <c r="X198" s="1539"/>
      <c r="Y198" s="1539"/>
      <c r="Z198" s="1529"/>
      <c r="AA198" s="1630"/>
      <c r="AB198" s="251" t="str">
        <f>K198&amp;" год"</f>
        <v>2037 год</v>
      </c>
      <c r="AC198" s="409"/>
      <c r="AD198" s="6972"/>
      <c r="AE198" s="6971"/>
      <c r="AF198" s="6971"/>
      <c r="AG198" s="6972"/>
      <c r="AH198" s="6971"/>
      <c r="AI198" s="6972"/>
      <c r="AJ198" s="6971"/>
      <c r="AK198" s="6973"/>
      <c r="AL198" s="404"/>
      <c r="AM198" s="1297"/>
      <c r="AN198" s="1072" cm="1" t="str">
        <f t="array" ref="AN198:AN198">K198</f>
        <v>2037</v>
      </c>
      <c r="AO198" s="1072" t="s">
        <v>2773</v>
      </c>
      <c r="AP198" s="1082" cm="1" t="str">
        <f t="array" ref="AP198:AP198">AP197</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ПОЛЫСАЕВСКИЙ ГОРОДСКОЙ ОКРУГ</v>
      </c>
      <c r="AQ198" s="709"/>
      <c r="AR198" s="709"/>
    </row>
    <row s="7096" customFormat="1" customHeight="1" ht="14.25" hidden="1">
      <c r="A199" s="1297"/>
      <c r="B199" s="447">
        <f>K199&lt;first_year+PERIOD_LENGTH</f>
        <v>0</v>
      </c>
      <c r="C199" s="1297"/>
      <c r="D199" s="1297"/>
      <c r="E199" s="709">
        <v>15</v>
      </c>
      <c r="F199" s="50" cm="1" t="str">
        <f t="array" ref="F199:F199">OFFSET(E199,-1,1)</f>
        <v>1</v>
      </c>
      <c r="G199" s="94" cm="1" t="str">
        <f t="array" ref="G199:G199">G198</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ПОЛЫСАЕВСКИЙ ГОРОДСКОЙ ОКРУГ</v>
      </c>
      <c r="H199" s="1297"/>
      <c r="I199" s="1297"/>
      <c r="J199" s="1297"/>
      <c r="K199" s="154">
        <f>first_year+14</f>
        <v>2038</v>
      </c>
      <c r="L199" s="1297"/>
      <c r="M199" s="1297"/>
      <c r="N199" s="1297"/>
      <c r="O199" s="1297"/>
      <c r="P199" s="1297"/>
      <c r="Q199" s="1297"/>
      <c r="R199" s="1297"/>
      <c r="S199" s="1297"/>
      <c r="T199" s="468" cm="1" t="str">
        <f t="array" ref="T199:T199">T198</f>
        <v>true</v>
      </c>
      <c r="U199" s="1297"/>
      <c r="V199" s="1297"/>
      <c r="W199" s="1297"/>
      <c r="X199" s="1539"/>
      <c r="Y199" s="1539"/>
      <c r="Z199" s="1529"/>
      <c r="AA199" s="1630"/>
      <c r="AB199" s="251" t="str">
        <f>K199&amp;" год"</f>
        <v>2038 год</v>
      </c>
      <c r="AC199" s="409"/>
      <c r="AD199" s="6972"/>
      <c r="AE199" s="6971"/>
      <c r="AF199" s="6971"/>
      <c r="AG199" s="6972"/>
      <c r="AH199" s="6971"/>
      <c r="AI199" s="6972"/>
      <c r="AJ199" s="6971"/>
      <c r="AK199" s="6973"/>
      <c r="AL199" s="404"/>
      <c r="AM199" s="1297"/>
      <c r="AN199" s="1072" cm="1" t="str">
        <f t="array" ref="AN199:AN199">K199</f>
        <v>2038</v>
      </c>
      <c r="AO199" s="1072" t="s">
        <v>2773</v>
      </c>
      <c r="AP199" s="1082" cm="1" t="str">
        <f t="array" ref="AP199:AP199">AP198</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ПОЛЫСАЕВСКИЙ ГОРОДСКОЙ ОКРУГ</v>
      </c>
      <c r="AQ199" s="709"/>
      <c r="AR199" s="709"/>
    </row>
    <row s="7097" customFormat="1" customHeight="1" ht="14.25" hidden="1">
      <c r="A200" s="1297"/>
      <c r="B200" s="447">
        <f>K200&lt;first_year+PERIOD_LENGTH</f>
        <v>0</v>
      </c>
      <c r="C200" s="1297"/>
      <c r="D200" s="1297"/>
      <c r="E200" s="709">
        <v>15</v>
      </c>
      <c r="F200" s="50" cm="1" t="str">
        <f t="array" ref="F200:F200">OFFSET(E200,-1,1)</f>
        <v>1</v>
      </c>
      <c r="G200" s="94" cm="1" t="str">
        <f t="array" ref="G200:G200">G199</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ПОЛЫСАЕВСКИЙ ГОРОДСКОЙ ОКРУГ</v>
      </c>
      <c r="H200" s="1297"/>
      <c r="I200" s="1297"/>
      <c r="J200" s="1297"/>
      <c r="K200" s="154">
        <f>first_year+15</f>
        <v>2039</v>
      </c>
      <c r="L200" s="1297"/>
      <c r="M200" s="1297"/>
      <c r="N200" s="1297"/>
      <c r="O200" s="1297"/>
      <c r="P200" s="1297"/>
      <c r="Q200" s="1297"/>
      <c r="R200" s="1297"/>
      <c r="S200" s="1297"/>
      <c r="T200" s="468" cm="1" t="str">
        <f t="array" ref="T200:T200">T199</f>
        <v>true</v>
      </c>
      <c r="U200" s="1297"/>
      <c r="V200" s="1297"/>
      <c r="W200" s="1297"/>
      <c r="X200" s="1539"/>
      <c r="Y200" s="1539"/>
      <c r="Z200" s="1529"/>
      <c r="AA200" s="1630"/>
      <c r="AB200" s="251" t="str">
        <f>K200&amp;" год"</f>
        <v>2039 год</v>
      </c>
      <c r="AC200" s="409"/>
      <c r="AD200" s="6972"/>
      <c r="AE200" s="6971"/>
      <c r="AF200" s="6971"/>
      <c r="AG200" s="6972"/>
      <c r="AH200" s="6971"/>
      <c r="AI200" s="6972"/>
      <c r="AJ200" s="6971"/>
      <c r="AK200" s="6973"/>
      <c r="AL200" s="404"/>
      <c r="AM200" s="1297"/>
      <c r="AN200" s="1072" cm="1" t="str">
        <f t="array" ref="AN200:AN200">K200</f>
        <v>2039</v>
      </c>
      <c r="AO200" s="1072" t="s">
        <v>2773</v>
      </c>
      <c r="AP200" s="1082" cm="1" t="str">
        <f t="array" ref="AP200:AP200">AP199</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ПОЛЫСАЕВСКИЙ ГОРОДСКОЙ ОКРУГ</v>
      </c>
      <c r="AQ200" s="709"/>
      <c r="AR200" s="709"/>
    </row>
    <row s="7098" customFormat="1" customHeight="1" ht="14.25" hidden="1">
      <c r="A201" s="1297"/>
      <c r="B201" s="447">
        <f>K201&lt;first_year+PERIOD_LENGTH</f>
        <v>0</v>
      </c>
      <c r="C201" s="1297"/>
      <c r="D201" s="1297"/>
      <c r="E201" s="709">
        <v>15</v>
      </c>
      <c r="F201" s="50" cm="1" t="str">
        <f t="array" ref="F201:F201">OFFSET(E201,-1,1)</f>
        <v>1</v>
      </c>
      <c r="G201" s="94" cm="1" t="str">
        <f t="array" ref="G201:G201">G200</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ПОЛЫСАЕВСКИЙ ГОРОДСКОЙ ОКРУГ</v>
      </c>
      <c r="H201" s="1297"/>
      <c r="I201" s="1297"/>
      <c r="J201" s="1297"/>
      <c r="K201" s="154">
        <f>first_year+16</f>
        <v>2040</v>
      </c>
      <c r="L201" s="1297"/>
      <c r="M201" s="1297"/>
      <c r="N201" s="1297"/>
      <c r="O201" s="1297"/>
      <c r="P201" s="1297"/>
      <c r="Q201" s="1297"/>
      <c r="R201" s="1297"/>
      <c r="S201" s="1297"/>
      <c r="T201" s="468" cm="1" t="str">
        <f t="array" ref="T201:T201">T200</f>
        <v>true</v>
      </c>
      <c r="U201" s="1297"/>
      <c r="V201" s="1297"/>
      <c r="W201" s="1297"/>
      <c r="X201" s="1539"/>
      <c r="Y201" s="1539"/>
      <c r="Z201" s="1529"/>
      <c r="AA201" s="1630"/>
      <c r="AB201" s="251" t="str">
        <f>K201&amp;" год"</f>
        <v>2040 год</v>
      </c>
      <c r="AC201" s="409"/>
      <c r="AD201" s="6972"/>
      <c r="AE201" s="6971"/>
      <c r="AF201" s="6971"/>
      <c r="AG201" s="6972"/>
      <c r="AH201" s="6971"/>
      <c r="AI201" s="6972"/>
      <c r="AJ201" s="6971"/>
      <c r="AK201" s="6973"/>
      <c r="AL201" s="404"/>
      <c r="AM201" s="1297"/>
      <c r="AN201" s="1072" cm="1" t="str">
        <f t="array" ref="AN201:AN201">K201</f>
        <v>2040</v>
      </c>
      <c r="AO201" s="1072" t="s">
        <v>2773</v>
      </c>
      <c r="AP201" s="1082" cm="1" t="str">
        <f t="array" ref="AP201:AP201">AP200</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ПОЛЫСАЕВСКИЙ ГОРОДСКОЙ ОКРУГ</v>
      </c>
      <c r="AQ201" s="709"/>
      <c r="AR201" s="709"/>
    </row>
    <row s="7099" customFormat="1" customHeight="1" ht="14.25" hidden="1">
      <c r="A202" s="1297"/>
      <c r="B202" s="447">
        <f>K202&lt;first_year+PERIOD_LENGTH</f>
        <v>0</v>
      </c>
      <c r="C202" s="1297"/>
      <c r="D202" s="1297"/>
      <c r="E202" s="709">
        <v>15</v>
      </c>
      <c r="F202" s="50" cm="1" t="str">
        <f t="array" ref="F202:F202">OFFSET(E202,-1,1)</f>
        <v>1</v>
      </c>
      <c r="G202" s="94" cm="1" t="str">
        <f t="array" ref="G202:G202">G201</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ПОЛЫСАЕВСКИЙ ГОРОДСКОЙ ОКРУГ</v>
      </c>
      <c r="H202" s="1297"/>
      <c r="I202" s="1297"/>
      <c r="J202" s="1297"/>
      <c r="K202" s="154">
        <f>first_year+17</f>
        <v>2041</v>
      </c>
      <c r="L202" s="1297"/>
      <c r="M202" s="1297"/>
      <c r="N202" s="1297"/>
      <c r="O202" s="1297"/>
      <c r="P202" s="1297"/>
      <c r="Q202" s="1297"/>
      <c r="R202" s="1297"/>
      <c r="S202" s="1297"/>
      <c r="T202" s="468" cm="1" t="str">
        <f t="array" ref="T202:T202">T201</f>
        <v>true</v>
      </c>
      <c r="U202" s="1297"/>
      <c r="V202" s="1297"/>
      <c r="W202" s="1297"/>
      <c r="X202" s="1539"/>
      <c r="Y202" s="1539"/>
      <c r="Z202" s="1529"/>
      <c r="AA202" s="1630"/>
      <c r="AB202" s="251" t="str">
        <f>K202&amp;" год"</f>
        <v>2041 год</v>
      </c>
      <c r="AC202" s="409"/>
      <c r="AD202" s="6972"/>
      <c r="AE202" s="6971"/>
      <c r="AF202" s="6971"/>
      <c r="AG202" s="6972"/>
      <c r="AH202" s="6971"/>
      <c r="AI202" s="6972"/>
      <c r="AJ202" s="6971"/>
      <c r="AK202" s="6973"/>
      <c r="AL202" s="404"/>
      <c r="AM202" s="1297"/>
      <c r="AN202" s="1072" cm="1" t="str">
        <f t="array" ref="AN202:AN202">K202</f>
        <v>2041</v>
      </c>
      <c r="AO202" s="1072" t="s">
        <v>2773</v>
      </c>
      <c r="AP202" s="1082" cm="1" t="str">
        <f t="array" ref="AP202:AP202">AP201</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ПОЛЫСАЕВСКИЙ ГОРОДСКОЙ ОКРУГ</v>
      </c>
      <c r="AQ202" s="709"/>
      <c r="AR202" s="709"/>
    </row>
    <row s="7100" customFormat="1" customHeight="1" ht="14.25" hidden="1">
      <c r="A203" s="1297"/>
      <c r="B203" s="447">
        <f>K203&lt;first_year+PERIOD_LENGTH</f>
        <v>0</v>
      </c>
      <c r="C203" s="1297"/>
      <c r="D203" s="1297"/>
      <c r="E203" s="709">
        <v>15</v>
      </c>
      <c r="F203" s="50" cm="1" t="str">
        <f t="array" ref="F203:F203">OFFSET(E203,-1,1)</f>
        <v>1</v>
      </c>
      <c r="G203" s="94" cm="1" t="str">
        <f t="array" ref="G203:G203">G202</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ПОЛЫСАЕВСКИЙ ГОРОДСКОЙ ОКРУГ</v>
      </c>
      <c r="H203" s="1297"/>
      <c r="I203" s="1297"/>
      <c r="J203" s="1297"/>
      <c r="K203" s="154">
        <f>first_year+18</f>
        <v>2042</v>
      </c>
      <c r="L203" s="1297"/>
      <c r="M203" s="1297"/>
      <c r="N203" s="1297"/>
      <c r="O203" s="1297"/>
      <c r="P203" s="1297"/>
      <c r="Q203" s="1297"/>
      <c r="R203" s="1297"/>
      <c r="S203" s="1297"/>
      <c r="T203" s="468" cm="1" t="str">
        <f t="array" ref="T203:T203">T202</f>
        <v>true</v>
      </c>
      <c r="U203" s="1297"/>
      <c r="V203" s="1297"/>
      <c r="W203" s="1297"/>
      <c r="X203" s="1539"/>
      <c r="Y203" s="1539"/>
      <c r="Z203" s="1529"/>
      <c r="AA203" s="1630"/>
      <c r="AB203" s="251" t="str">
        <f>K203&amp;" год"</f>
        <v>2042 год</v>
      </c>
      <c r="AC203" s="409"/>
      <c r="AD203" s="6972"/>
      <c r="AE203" s="6971"/>
      <c r="AF203" s="6971"/>
      <c r="AG203" s="6972"/>
      <c r="AH203" s="6971"/>
      <c r="AI203" s="6972"/>
      <c r="AJ203" s="6971"/>
      <c r="AK203" s="6973"/>
      <c r="AL203" s="404"/>
      <c r="AM203" s="1297"/>
      <c r="AN203" s="1072" cm="1" t="str">
        <f t="array" ref="AN203:AN203">K203</f>
        <v>2042</v>
      </c>
      <c r="AO203" s="1072" t="s">
        <v>2773</v>
      </c>
      <c r="AP203" s="1082" cm="1" t="str">
        <f t="array" ref="AP203:AP203">AP202</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ПОЛЫСАЕВСКИЙ ГОРОДСКОЙ ОКРУГ</v>
      </c>
      <c r="AQ203" s="709"/>
      <c r="AR203" s="709"/>
    </row>
    <row s="7101" customFormat="1" customHeight="1" ht="14.25" hidden="1">
      <c r="A204" s="1297"/>
      <c r="B204" s="447">
        <f>K204&lt;first_year+PERIOD_LENGTH</f>
        <v>0</v>
      </c>
      <c r="C204" s="1297"/>
      <c r="D204" s="1297"/>
      <c r="E204" s="709">
        <v>15</v>
      </c>
      <c r="F204" s="50" cm="1" t="str">
        <f t="array" ref="F204:F204">OFFSET(E204,-1,1)</f>
        <v>1</v>
      </c>
      <c r="G204" s="94" cm="1" t="str">
        <f t="array" ref="G204:G204">G203</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ПОЛЫСАЕВСКИЙ ГОРОДСКОЙ ОКРУГ</v>
      </c>
      <c r="H204" s="1297"/>
      <c r="I204" s="1297"/>
      <c r="J204" s="1297"/>
      <c r="K204" s="154">
        <f>first_year+19</f>
        <v>2043</v>
      </c>
      <c r="L204" s="1297"/>
      <c r="M204" s="1297"/>
      <c r="N204" s="1297"/>
      <c r="O204" s="1297"/>
      <c r="P204" s="1297"/>
      <c r="Q204" s="1297"/>
      <c r="R204" s="1297"/>
      <c r="S204" s="1297"/>
      <c r="T204" s="468" cm="1" t="str">
        <f t="array" ref="T204:T204">T203</f>
        <v>true</v>
      </c>
      <c r="U204" s="1297"/>
      <c r="V204" s="1297"/>
      <c r="W204" s="1297"/>
      <c r="X204" s="1539"/>
      <c r="Y204" s="1539"/>
      <c r="Z204" s="1529"/>
      <c r="AA204" s="1630"/>
      <c r="AB204" s="251" t="str">
        <f>K204&amp;" год"</f>
        <v>2043 год</v>
      </c>
      <c r="AC204" s="409"/>
      <c r="AD204" s="6972"/>
      <c r="AE204" s="6971"/>
      <c r="AF204" s="6971"/>
      <c r="AG204" s="6972"/>
      <c r="AH204" s="6971"/>
      <c r="AI204" s="6972"/>
      <c r="AJ204" s="6971"/>
      <c r="AK204" s="6973"/>
      <c r="AL204" s="404"/>
      <c r="AM204" s="1297"/>
      <c r="AN204" s="1072" cm="1" t="str">
        <f t="array" ref="AN204:AN204">K204</f>
        <v>2043</v>
      </c>
      <c r="AO204" s="1072" t="s">
        <v>2773</v>
      </c>
      <c r="AP204" s="1082" cm="1" t="str">
        <f t="array" ref="AP204:AP204">AP203</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ПОЛЫСАЕВСКИЙ ГОРОДСКОЙ ОКРУГ</v>
      </c>
      <c r="AQ204" s="709"/>
      <c r="AR204" s="709"/>
    </row>
    <row s="7102" customFormat="1" customHeight="1" ht="14.25" hidden="1">
      <c r="A205" s="1297"/>
      <c r="B205" s="447">
        <f>K205&lt;first_year+PERIOD_LENGTH</f>
        <v>0</v>
      </c>
      <c r="C205" s="1297"/>
      <c r="D205" s="1297"/>
      <c r="E205" s="709">
        <v>15</v>
      </c>
      <c r="F205" s="50" cm="1" t="str">
        <f t="array" ref="F205:F205">OFFSET(E205,-1,1)</f>
        <v>1</v>
      </c>
      <c r="G205" s="94" cm="1" t="str">
        <f t="array" ref="G205:G205">G204</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ПОЛЫСАЕВСКИЙ ГОРОДСКОЙ ОКРУГ</v>
      </c>
      <c r="H205" s="1297"/>
      <c r="I205" s="1297"/>
      <c r="J205" s="1297"/>
      <c r="K205" s="154">
        <f>first_year+20</f>
        <v>2044</v>
      </c>
      <c r="L205" s="1297"/>
      <c r="M205" s="1297"/>
      <c r="N205" s="1297"/>
      <c r="O205" s="1297"/>
      <c r="P205" s="1297"/>
      <c r="Q205" s="1297"/>
      <c r="R205" s="1297"/>
      <c r="S205" s="1297"/>
      <c r="T205" s="468" cm="1" t="str">
        <f t="array" ref="T205:T205">T204</f>
        <v>true</v>
      </c>
      <c r="U205" s="1297"/>
      <c r="V205" s="1297"/>
      <c r="W205" s="1297"/>
      <c r="X205" s="1539"/>
      <c r="Y205" s="1539"/>
      <c r="Z205" s="1529"/>
      <c r="AA205" s="1630"/>
      <c r="AB205" s="251" t="str">
        <f>K205&amp;" год"</f>
        <v>2044 год</v>
      </c>
      <c r="AC205" s="409"/>
      <c r="AD205" s="6972"/>
      <c r="AE205" s="6971"/>
      <c r="AF205" s="6971"/>
      <c r="AG205" s="6972"/>
      <c r="AH205" s="6971"/>
      <c r="AI205" s="6972"/>
      <c r="AJ205" s="6971"/>
      <c r="AK205" s="6973"/>
      <c r="AL205" s="404"/>
      <c r="AM205" s="1297"/>
      <c r="AN205" s="1072" cm="1" t="str">
        <f t="array" ref="AN205:AN205">K205</f>
        <v>2044</v>
      </c>
      <c r="AO205" s="1072" t="s">
        <v>2773</v>
      </c>
      <c r="AP205" s="1082" cm="1" t="str">
        <f t="array" ref="AP205:AP205">AP204</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ПОЛЫСАЕВСКИЙ ГОРОДСКОЙ ОКРУГ</v>
      </c>
      <c r="AQ205" s="709"/>
      <c r="AR205" s="709"/>
    </row>
    <row s="7103" customFormat="1" customHeight="1" ht="14.25" hidden="1">
      <c r="A206" s="1297"/>
      <c r="B206" s="447">
        <f>K206&lt;first_year+PERIOD_LENGTH</f>
        <v>0</v>
      </c>
      <c r="C206" s="1297"/>
      <c r="D206" s="1297"/>
      <c r="E206" s="709">
        <v>15</v>
      </c>
      <c r="F206" s="50" cm="1" t="str">
        <f t="array" ref="F206:F206">OFFSET(E206,-1,1)</f>
        <v>1</v>
      </c>
      <c r="G206" s="94" cm="1" t="str">
        <f t="array" ref="G206:G206">G205</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ПОЛЫСАЕВСКИЙ ГОРОДСКОЙ ОКРУГ</v>
      </c>
      <c r="H206" s="1297"/>
      <c r="I206" s="1297"/>
      <c r="J206" s="1297"/>
      <c r="K206" s="154">
        <f>first_year+21</f>
        <v>2045</v>
      </c>
      <c r="L206" s="1297"/>
      <c r="M206" s="1297"/>
      <c r="N206" s="1297"/>
      <c r="O206" s="1297"/>
      <c r="P206" s="1297"/>
      <c r="Q206" s="1297"/>
      <c r="R206" s="1297"/>
      <c r="S206" s="1297"/>
      <c r="T206" s="468" cm="1" t="str">
        <f t="array" ref="T206:T206">T205</f>
        <v>true</v>
      </c>
      <c r="U206" s="1297"/>
      <c r="V206" s="1297"/>
      <c r="W206" s="1297"/>
      <c r="X206" s="1539"/>
      <c r="Y206" s="1539"/>
      <c r="Z206" s="1529"/>
      <c r="AA206" s="1630"/>
      <c r="AB206" s="251" t="str">
        <f>K206&amp;" год"</f>
        <v>2045 год</v>
      </c>
      <c r="AC206" s="409"/>
      <c r="AD206" s="6972"/>
      <c r="AE206" s="6971"/>
      <c r="AF206" s="6971"/>
      <c r="AG206" s="6972"/>
      <c r="AH206" s="6971"/>
      <c r="AI206" s="6972"/>
      <c r="AJ206" s="6971"/>
      <c r="AK206" s="6973"/>
      <c r="AL206" s="404"/>
      <c r="AM206" s="1297"/>
      <c r="AN206" s="1072" cm="1" t="str">
        <f t="array" ref="AN206:AN206">K206</f>
        <v>2045</v>
      </c>
      <c r="AO206" s="1072" t="s">
        <v>2773</v>
      </c>
      <c r="AP206" s="1082" cm="1" t="str">
        <f t="array" ref="AP206:AP206">AP205</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ПОЛЫСАЕВСКИЙ ГОРОДСКОЙ ОКРУГ</v>
      </c>
      <c r="AQ206" s="709"/>
      <c r="AR206" s="709"/>
    </row>
    <row s="7104" customFormat="1" customHeight="1" ht="14.25" hidden="1">
      <c r="A207" s="1297"/>
      <c r="B207" s="447">
        <f>K207&lt;first_year+PERIOD_LENGTH</f>
        <v>0</v>
      </c>
      <c r="C207" s="1297"/>
      <c r="D207" s="1297"/>
      <c r="E207" s="709">
        <v>15</v>
      </c>
      <c r="F207" s="50" cm="1" t="str">
        <f t="array" ref="F207:F207">OFFSET(E207,-1,1)</f>
        <v>1</v>
      </c>
      <c r="G207" s="94" cm="1" t="str">
        <f t="array" ref="G207:G207">G206</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ПОЛЫСАЕВСКИЙ ГОРОДСКОЙ ОКРУГ</v>
      </c>
      <c r="H207" s="1297"/>
      <c r="I207" s="1297"/>
      <c r="J207" s="1297"/>
      <c r="K207" s="154">
        <f>first_year+22</f>
        <v>2046</v>
      </c>
      <c r="L207" s="1297"/>
      <c r="M207" s="1297"/>
      <c r="N207" s="1297"/>
      <c r="O207" s="1297"/>
      <c r="P207" s="1297"/>
      <c r="Q207" s="1297"/>
      <c r="R207" s="1297"/>
      <c r="S207" s="1297"/>
      <c r="T207" s="468" cm="1" t="str">
        <f t="array" ref="T207:T207">T206</f>
        <v>true</v>
      </c>
      <c r="U207" s="1297"/>
      <c r="V207" s="1297"/>
      <c r="W207" s="1297"/>
      <c r="X207" s="1539"/>
      <c r="Y207" s="1539"/>
      <c r="Z207" s="1529"/>
      <c r="AA207" s="1630"/>
      <c r="AB207" s="251" t="str">
        <f>K207&amp;" год"</f>
        <v>2046 год</v>
      </c>
      <c r="AC207" s="409"/>
      <c r="AD207" s="6972"/>
      <c r="AE207" s="6971"/>
      <c r="AF207" s="6971"/>
      <c r="AG207" s="6972"/>
      <c r="AH207" s="6971"/>
      <c r="AI207" s="6972"/>
      <c r="AJ207" s="6971"/>
      <c r="AK207" s="6973"/>
      <c r="AL207" s="404"/>
      <c r="AM207" s="1297"/>
      <c r="AN207" s="1072" cm="1" t="str">
        <f t="array" ref="AN207:AN207">K207</f>
        <v>2046</v>
      </c>
      <c r="AO207" s="1072" t="s">
        <v>2773</v>
      </c>
      <c r="AP207" s="1082" cm="1" t="str">
        <f t="array" ref="AP207:AP207">AP206</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ПОЛЫСАЕВСКИЙ ГОРОДСКОЙ ОКРУГ</v>
      </c>
      <c r="AQ207" s="709"/>
      <c r="AR207" s="709"/>
    </row>
    <row s="7105" customFormat="1" customHeight="1" ht="14.25" hidden="1">
      <c r="A208" s="1297"/>
      <c r="B208" s="447">
        <f>K208&lt;first_year+PERIOD_LENGTH</f>
        <v>0</v>
      </c>
      <c r="C208" s="1297"/>
      <c r="D208" s="1297"/>
      <c r="E208" s="709">
        <v>15</v>
      </c>
      <c r="F208" s="50" cm="1" t="str">
        <f t="array" ref="F208:F208">OFFSET(E208,-1,1)</f>
        <v>1</v>
      </c>
      <c r="G208" s="94" cm="1" t="str">
        <f t="array" ref="G208:G208">G207</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ПОЛЫСАЕВСКИЙ ГОРОДСКОЙ ОКРУГ</v>
      </c>
      <c r="H208" s="1297"/>
      <c r="I208" s="1297"/>
      <c r="J208" s="1297"/>
      <c r="K208" s="154">
        <f>first_year+23</f>
        <v>2047</v>
      </c>
      <c r="L208" s="1297"/>
      <c r="M208" s="1297"/>
      <c r="N208" s="1297"/>
      <c r="O208" s="1297"/>
      <c r="P208" s="1297"/>
      <c r="Q208" s="1297"/>
      <c r="R208" s="1297"/>
      <c r="S208" s="1297"/>
      <c r="T208" s="468" cm="1" t="str">
        <f t="array" ref="T208:T208">T207</f>
        <v>true</v>
      </c>
      <c r="U208" s="1297"/>
      <c r="V208" s="1297"/>
      <c r="W208" s="1297"/>
      <c r="X208" s="1539"/>
      <c r="Y208" s="1539"/>
      <c r="Z208" s="1529"/>
      <c r="AA208" s="1630"/>
      <c r="AB208" s="251" t="str">
        <f>K208&amp;" год"</f>
        <v>2047 год</v>
      </c>
      <c r="AC208" s="409"/>
      <c r="AD208" s="6972"/>
      <c r="AE208" s="6971"/>
      <c r="AF208" s="6971"/>
      <c r="AG208" s="6972"/>
      <c r="AH208" s="6971"/>
      <c r="AI208" s="6972"/>
      <c r="AJ208" s="6971"/>
      <c r="AK208" s="6973"/>
      <c r="AL208" s="404"/>
      <c r="AM208" s="1297"/>
      <c r="AN208" s="1072" cm="1" t="str">
        <f t="array" ref="AN208:AN208">K208</f>
        <v>2047</v>
      </c>
      <c r="AO208" s="1072" t="s">
        <v>2773</v>
      </c>
      <c r="AP208" s="1082" cm="1" t="str">
        <f t="array" ref="AP208:AP208">AP207</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ПОЛЫСАЕВСКИЙ ГОРОДСКОЙ ОКРУГ</v>
      </c>
      <c r="AQ208" s="709"/>
      <c r="AR208" s="709"/>
    </row>
    <row s="7106" customFormat="1" customHeight="1" ht="14.25" hidden="1">
      <c r="A209" s="1297"/>
      <c r="B209" s="447">
        <f>K209&lt;first_year+PERIOD_LENGTH</f>
        <v>0</v>
      </c>
      <c r="C209" s="1297"/>
      <c r="D209" s="1297"/>
      <c r="E209" s="709">
        <v>15</v>
      </c>
      <c r="F209" s="50" cm="1" t="str">
        <f t="array" ref="F209:F209">OFFSET(E209,-1,1)</f>
        <v>1</v>
      </c>
      <c r="G209" s="94" cm="1" t="str">
        <f t="array" ref="G209:G209">G208</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ПОЛЫСАЕВСКИЙ ГОРОДСКОЙ ОКРУГ</v>
      </c>
      <c r="H209" s="1297"/>
      <c r="I209" s="1297"/>
      <c r="J209" s="1297"/>
      <c r="K209" s="154">
        <f>first_year+24</f>
        <v>2048</v>
      </c>
      <c r="L209" s="1297"/>
      <c r="M209" s="1297"/>
      <c r="N209" s="1297"/>
      <c r="O209" s="1297"/>
      <c r="P209" s="1297"/>
      <c r="Q209" s="1297"/>
      <c r="R209" s="1297"/>
      <c r="S209" s="1297"/>
      <c r="T209" s="468" cm="1" t="str">
        <f t="array" ref="T209:T209">T208</f>
        <v>true</v>
      </c>
      <c r="U209" s="1297"/>
      <c r="V209" s="1297"/>
      <c r="W209" s="1297"/>
      <c r="X209" s="1539"/>
      <c r="Y209" s="1539"/>
      <c r="Z209" s="1529"/>
      <c r="AA209" s="1630"/>
      <c r="AB209" s="251" t="str">
        <f>K209&amp;" год"</f>
        <v>2048 год</v>
      </c>
      <c r="AC209" s="409"/>
      <c r="AD209" s="6972"/>
      <c r="AE209" s="6971"/>
      <c r="AF209" s="6971"/>
      <c r="AG209" s="6972"/>
      <c r="AH209" s="6971"/>
      <c r="AI209" s="6972"/>
      <c r="AJ209" s="6971"/>
      <c r="AK209" s="6973"/>
      <c r="AL209" s="404"/>
      <c r="AM209" s="1297"/>
      <c r="AN209" s="1072" cm="1" t="str">
        <f t="array" ref="AN209:AN209">K209</f>
        <v>2048</v>
      </c>
      <c r="AO209" s="1072" t="s">
        <v>2773</v>
      </c>
      <c r="AP209" s="1082" cm="1" t="str">
        <f t="array" ref="AP209:AP209">AP208</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ПОЛЫСАЕВСКИЙ ГОРОДСКОЙ ОКРУГ</v>
      </c>
      <c r="AQ209" s="709"/>
      <c r="AR209" s="709"/>
    </row>
    <row s="7107" customFormat="1" customHeight="1" ht="14.25" hidden="1">
      <c r="A210" s="1297"/>
      <c r="B210" s="447">
        <f>K210&lt;first_year+PERIOD_LENGTH</f>
        <v>0</v>
      </c>
      <c r="C210" s="1297"/>
      <c r="D210" s="1297"/>
      <c r="E210" s="709">
        <v>15</v>
      </c>
      <c r="F210" s="50" cm="1" t="str">
        <f t="array" ref="F210:F210">OFFSET(E210,-1,1)</f>
        <v>1</v>
      </c>
      <c r="G210" s="94" cm="1" t="str">
        <f t="array" ref="G210:G210">G209</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ПОЛЫСАЕВСКИЙ ГОРОДСКОЙ ОКРУГ</v>
      </c>
      <c r="H210" s="1297"/>
      <c r="I210" s="1297"/>
      <c r="J210" s="1297"/>
      <c r="K210" s="154">
        <f>first_year+25</f>
        <v>2049</v>
      </c>
      <c r="L210" s="1297"/>
      <c r="M210" s="1297"/>
      <c r="N210" s="1297"/>
      <c r="O210" s="1297"/>
      <c r="P210" s="1297"/>
      <c r="Q210" s="1297"/>
      <c r="R210" s="1297"/>
      <c r="S210" s="1297"/>
      <c r="T210" s="468" cm="1" t="str">
        <f t="array" ref="T210:T210">T209</f>
        <v>true</v>
      </c>
      <c r="U210" s="1297"/>
      <c r="V210" s="1297"/>
      <c r="W210" s="1297"/>
      <c r="X210" s="1539"/>
      <c r="Y210" s="1539"/>
      <c r="Z210" s="1529"/>
      <c r="AA210" s="1630"/>
      <c r="AB210" s="251" t="str">
        <f>K210&amp;" год"</f>
        <v>2049 год</v>
      </c>
      <c r="AC210" s="409"/>
      <c r="AD210" s="6972"/>
      <c r="AE210" s="6971"/>
      <c r="AF210" s="6971"/>
      <c r="AG210" s="6972"/>
      <c r="AH210" s="6971"/>
      <c r="AI210" s="6972"/>
      <c r="AJ210" s="6971"/>
      <c r="AK210" s="6973"/>
      <c r="AL210" s="404"/>
      <c r="AM210" s="1297"/>
      <c r="AN210" s="1072" cm="1" t="str">
        <f t="array" ref="AN210:AN210">K210</f>
        <v>2049</v>
      </c>
      <c r="AO210" s="1072" t="s">
        <v>2773</v>
      </c>
      <c r="AP210" s="1082" cm="1" t="str">
        <f t="array" ref="AP210:AP210">AP209</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ПОЛЫСАЕВСКИЙ ГОРОДСКОЙ ОКРУГ</v>
      </c>
      <c r="AQ210" s="709"/>
      <c r="AR210" s="709"/>
    </row>
    <row s="7108" customFormat="1" customHeight="1" ht="14.25" hidden="1">
      <c r="A211" s="1297"/>
      <c r="B211" s="447">
        <f>K211&lt;first_year+PERIOD_LENGTH</f>
        <v>0</v>
      </c>
      <c r="C211" s="1297"/>
      <c r="D211" s="1297"/>
      <c r="E211" s="709">
        <v>15</v>
      </c>
      <c r="F211" s="50" cm="1" t="str">
        <f t="array" ref="F211:F211">OFFSET(E211,-1,1)</f>
        <v>1</v>
      </c>
      <c r="G211" s="94" cm="1" t="str">
        <f t="array" ref="G211:G211">G210</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ПОЛЫСАЕВСКИЙ ГОРОДСКОЙ ОКРУГ</v>
      </c>
      <c r="H211" s="1297"/>
      <c r="I211" s="1297"/>
      <c r="J211" s="1297"/>
      <c r="K211" s="154">
        <f>first_year+26</f>
        <v>2050</v>
      </c>
      <c r="L211" s="1297"/>
      <c r="M211" s="1297"/>
      <c r="N211" s="1297"/>
      <c r="O211" s="1297"/>
      <c r="P211" s="1297"/>
      <c r="Q211" s="1297"/>
      <c r="R211" s="1297"/>
      <c r="S211" s="1297"/>
      <c r="T211" s="468" cm="1" t="str">
        <f t="array" ref="T211:T211">T210</f>
        <v>true</v>
      </c>
      <c r="U211" s="1297"/>
      <c r="V211" s="1297"/>
      <c r="W211" s="1297"/>
      <c r="X211" s="1539"/>
      <c r="Y211" s="1539"/>
      <c r="Z211" s="1529"/>
      <c r="AA211" s="1630"/>
      <c r="AB211" s="251" t="str">
        <f>K211&amp;" год"</f>
        <v>2050 год</v>
      </c>
      <c r="AC211" s="409"/>
      <c r="AD211" s="6972"/>
      <c r="AE211" s="6971"/>
      <c r="AF211" s="6971"/>
      <c r="AG211" s="6972"/>
      <c r="AH211" s="6971"/>
      <c r="AI211" s="6972"/>
      <c r="AJ211" s="6971"/>
      <c r="AK211" s="6973"/>
      <c r="AL211" s="404"/>
      <c r="AM211" s="1297"/>
      <c r="AN211" s="1072" cm="1" t="str">
        <f t="array" ref="AN211:AN211">K211</f>
        <v>2050</v>
      </c>
      <c r="AO211" s="1072" t="s">
        <v>2773</v>
      </c>
      <c r="AP211" s="1082" cm="1" t="str">
        <f t="array" ref="AP211:AP211">AP210</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ПОЛЫСАЕВСКИЙ ГОРОДСКОЙ ОКРУГ</v>
      </c>
      <c r="AQ211" s="709"/>
      <c r="AR211" s="709"/>
    </row>
    <row s="7109" customFormat="1" customHeight="1" ht="14.25" hidden="1">
      <c r="A212" s="1297"/>
      <c r="B212" s="447">
        <f>K212&lt;first_year+PERIOD_LENGTH</f>
        <v>0</v>
      </c>
      <c r="C212" s="1297"/>
      <c r="D212" s="1297"/>
      <c r="E212" s="709">
        <v>15</v>
      </c>
      <c r="F212" s="50" cm="1" t="str">
        <f t="array" ref="F212:F212">OFFSET(E212,-1,1)</f>
        <v>1</v>
      </c>
      <c r="G212" s="94" cm="1" t="str">
        <f t="array" ref="G212:G212">G211</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ПОЛЫСАЕВСКИЙ ГОРОДСКОЙ ОКРУГ</v>
      </c>
      <c r="H212" s="1297"/>
      <c r="I212" s="1297"/>
      <c r="J212" s="1297"/>
      <c r="K212" s="154">
        <f>first_year+27</f>
        <v>2051</v>
      </c>
      <c r="L212" s="1297"/>
      <c r="M212" s="1297"/>
      <c r="N212" s="1297"/>
      <c r="O212" s="1297"/>
      <c r="P212" s="1297"/>
      <c r="Q212" s="1297"/>
      <c r="R212" s="1297"/>
      <c r="S212" s="1297"/>
      <c r="T212" s="468" cm="1" t="str">
        <f t="array" ref="T212:T212">T211</f>
        <v>true</v>
      </c>
      <c r="U212" s="1297"/>
      <c r="V212" s="1297"/>
      <c r="W212" s="1297"/>
      <c r="X212" s="1539"/>
      <c r="Y212" s="1539"/>
      <c r="Z212" s="1529"/>
      <c r="AA212" s="1630"/>
      <c r="AB212" s="251" t="str">
        <f>K212&amp;" год"</f>
        <v>2051 год</v>
      </c>
      <c r="AC212" s="409"/>
      <c r="AD212" s="6972"/>
      <c r="AE212" s="6971"/>
      <c r="AF212" s="6971"/>
      <c r="AG212" s="6972"/>
      <c r="AH212" s="6971"/>
      <c r="AI212" s="6972"/>
      <c r="AJ212" s="6971"/>
      <c r="AK212" s="6973"/>
      <c r="AL212" s="404"/>
      <c r="AM212" s="1297"/>
      <c r="AN212" s="1072" cm="1" t="str">
        <f t="array" ref="AN212:AN212">K212</f>
        <v>2051</v>
      </c>
      <c r="AO212" s="1072" t="s">
        <v>2773</v>
      </c>
      <c r="AP212" s="1082" cm="1" t="str">
        <f t="array" ref="AP212:AP212">AP211</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ПОЛЫСАЕВСКИЙ ГОРОДСКОЙ ОКРУГ</v>
      </c>
      <c r="AQ212" s="709"/>
      <c r="AR212" s="709"/>
    </row>
    <row s="7110" customFormat="1" customHeight="1" ht="14.25" hidden="1">
      <c r="A213" s="1297"/>
      <c r="B213" s="447">
        <f>K213&lt;first_year+PERIOD_LENGTH</f>
        <v>0</v>
      </c>
      <c r="C213" s="1297"/>
      <c r="D213" s="1297"/>
      <c r="E213" s="709">
        <v>15</v>
      </c>
      <c r="F213" s="50" cm="1" t="str">
        <f t="array" ref="F213:F213">OFFSET(E213,-1,1)</f>
        <v>1</v>
      </c>
      <c r="G213" s="94" cm="1" t="str">
        <f t="array" ref="G213:G213">G212</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ПОЛЫСАЕВСКИЙ ГОРОДСКОЙ ОКРУГ</v>
      </c>
      <c r="H213" s="1297"/>
      <c r="I213" s="1297"/>
      <c r="J213" s="1297"/>
      <c r="K213" s="154">
        <f>first_year+28</f>
        <v>2052</v>
      </c>
      <c r="L213" s="1297"/>
      <c r="M213" s="1297"/>
      <c r="N213" s="1297"/>
      <c r="O213" s="1297"/>
      <c r="P213" s="1297"/>
      <c r="Q213" s="1297"/>
      <c r="R213" s="1297"/>
      <c r="S213" s="1297"/>
      <c r="T213" s="468" cm="1" t="str">
        <f t="array" ref="T213:T213">T212</f>
        <v>true</v>
      </c>
      <c r="U213" s="1297"/>
      <c r="V213" s="1297"/>
      <c r="W213" s="1297"/>
      <c r="X213" s="1539"/>
      <c r="Y213" s="1539"/>
      <c r="Z213" s="1529"/>
      <c r="AA213" s="1630"/>
      <c r="AB213" s="251" t="str">
        <f>K213&amp;" год"</f>
        <v>2052 год</v>
      </c>
      <c r="AC213" s="409"/>
      <c r="AD213" s="6972"/>
      <c r="AE213" s="6971"/>
      <c r="AF213" s="6971"/>
      <c r="AG213" s="6972"/>
      <c r="AH213" s="6971"/>
      <c r="AI213" s="6972"/>
      <c r="AJ213" s="6971"/>
      <c r="AK213" s="6973"/>
      <c r="AL213" s="404"/>
      <c r="AM213" s="1297"/>
      <c r="AN213" s="1072" cm="1" t="str">
        <f t="array" ref="AN213:AN213">K213</f>
        <v>2052</v>
      </c>
      <c r="AO213" s="1072" t="s">
        <v>2773</v>
      </c>
      <c r="AP213" s="1082" cm="1" t="str">
        <f t="array" ref="AP213:AP213">AP212</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ПОЛЫСАЕВСКИЙ ГОРОДСКОЙ ОКРУГ</v>
      </c>
      <c r="AQ213" s="709"/>
      <c r="AR213" s="709"/>
    </row>
    <row s="7111" customFormat="1" customHeight="1" ht="14.25" hidden="1">
      <c r="A214" s="1297"/>
      <c r="B214" s="447">
        <f>K214&lt;first_year+PERIOD_LENGTH</f>
        <v>0</v>
      </c>
      <c r="C214" s="1297"/>
      <c r="D214" s="1297"/>
      <c r="E214" s="709">
        <v>15</v>
      </c>
      <c r="F214" s="50" cm="1" t="str">
        <f t="array" ref="F214:F214">OFFSET(E214,-1,1)</f>
        <v>1</v>
      </c>
      <c r="G214" s="94" cm="1" t="str">
        <f t="array" ref="G214:G214">G213</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ПОЛЫСАЕВСКИЙ ГОРОДСКОЙ ОКРУГ</v>
      </c>
      <c r="H214" s="1297"/>
      <c r="I214" s="1297"/>
      <c r="J214" s="1297"/>
      <c r="K214" s="154">
        <f>first_year+29</f>
        <v>2053</v>
      </c>
      <c r="L214" s="1297"/>
      <c r="M214" s="1297"/>
      <c r="N214" s="1297"/>
      <c r="O214" s="1297"/>
      <c r="P214" s="1297"/>
      <c r="Q214" s="1297"/>
      <c r="R214" s="1297"/>
      <c r="S214" s="1297"/>
      <c r="T214" s="468" cm="1" t="str">
        <f t="array" ref="T214:T214">T213</f>
        <v>true</v>
      </c>
      <c r="U214" s="1297"/>
      <c r="V214" s="1297"/>
      <c r="W214" s="1297"/>
      <c r="X214" s="1539"/>
      <c r="Y214" s="1539"/>
      <c r="Z214" s="1529"/>
      <c r="AA214" s="1630"/>
      <c r="AB214" s="251" t="str">
        <f>K214&amp;" год"</f>
        <v>2053 год</v>
      </c>
      <c r="AC214" s="409"/>
      <c r="AD214" s="6972"/>
      <c r="AE214" s="6971"/>
      <c r="AF214" s="6971"/>
      <c r="AG214" s="6972"/>
      <c r="AH214" s="6971"/>
      <c r="AI214" s="6972"/>
      <c r="AJ214" s="6971"/>
      <c r="AK214" s="6973"/>
      <c r="AL214" s="404"/>
      <c r="AM214" s="1297"/>
      <c r="AN214" s="1072" cm="1" t="str">
        <f t="array" ref="AN214:AN214">K214</f>
        <v>2053</v>
      </c>
      <c r="AO214" s="1072" t="s">
        <v>2773</v>
      </c>
      <c r="AP214" s="1082" cm="1" t="str">
        <f t="array" ref="AP214:AP214">AP213</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ПОЛЫСАЕВСКИЙ ГОРОДСКОЙ ОКРУГ</v>
      </c>
      <c r="AQ214" s="709"/>
      <c r="AR214" s="709"/>
    </row>
    <row s="7112" customFormat="1" customHeight="1" ht="14.25" hidden="1">
      <c r="A215" s="1297"/>
      <c r="B215" s="447">
        <f>K215&lt;first_year+PERIOD_LENGTH</f>
        <v>0</v>
      </c>
      <c r="C215" s="1297"/>
      <c r="D215" s="1297"/>
      <c r="E215" s="709">
        <v>15</v>
      </c>
      <c r="F215" s="50" cm="1" t="str">
        <f t="array" ref="F215:F215">OFFSET(E215,-1,1)</f>
        <v>1</v>
      </c>
      <c r="G215" s="94" cm="1" t="str">
        <f t="array" ref="G215:G215">G214</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ПОЛЫСАЕВСКИЙ ГОРОДСКОЙ ОКРУГ</v>
      </c>
      <c r="H215" s="1297"/>
      <c r="I215" s="1297"/>
      <c r="J215" s="1297"/>
      <c r="K215" s="154">
        <f>first_year+30</f>
        <v>2054</v>
      </c>
      <c r="L215" s="1297"/>
      <c r="M215" s="1297"/>
      <c r="N215" s="1297"/>
      <c r="O215" s="1297"/>
      <c r="P215" s="1297"/>
      <c r="Q215" s="1297"/>
      <c r="R215" s="1297"/>
      <c r="S215" s="1297"/>
      <c r="T215" s="468" cm="1" t="str">
        <f t="array" ref="T215:T215">T214</f>
        <v>true</v>
      </c>
      <c r="U215" s="1297"/>
      <c r="V215" s="1297"/>
      <c r="W215" s="1297"/>
      <c r="X215" s="1539"/>
      <c r="Y215" s="1539"/>
      <c r="Z215" s="1529"/>
      <c r="AA215" s="1630"/>
      <c r="AB215" s="251" t="str">
        <f>K215&amp;" год"</f>
        <v>2054 год</v>
      </c>
      <c r="AC215" s="409"/>
      <c r="AD215" s="6972"/>
      <c r="AE215" s="6971"/>
      <c r="AF215" s="6971"/>
      <c r="AG215" s="6972"/>
      <c r="AH215" s="6971"/>
      <c r="AI215" s="6972"/>
      <c r="AJ215" s="6971"/>
      <c r="AK215" s="6973"/>
      <c r="AL215" s="404"/>
      <c r="AM215" s="1297"/>
      <c r="AN215" s="1072" cm="1" t="str">
        <f t="array" ref="AN215:AN215">K215</f>
        <v>2054</v>
      </c>
      <c r="AO215" s="1072" t="s">
        <v>2773</v>
      </c>
      <c r="AP215" s="1082" cm="1" t="str">
        <f t="array" ref="AP215:AP215">AP214</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ПОЛЫСАЕВСКИЙ ГОРОДСКОЙ ОКРУГ</v>
      </c>
      <c r="AQ215" s="709"/>
      <c r="AR215" s="709"/>
    </row>
    <row s="7113" customFormat="1" customHeight="1" ht="14.25" hidden="1">
      <c r="A216" s="1297"/>
      <c r="B216" s="447">
        <f>K216&lt;first_year+PERIOD_LENGTH</f>
        <v>0</v>
      </c>
      <c r="C216" s="1297"/>
      <c r="D216" s="1297"/>
      <c r="E216" s="709">
        <v>15</v>
      </c>
      <c r="F216" s="50" cm="1" t="str">
        <f t="array" ref="F216:F216">OFFSET(E216,-1,1)</f>
        <v>1</v>
      </c>
      <c r="G216" s="94" cm="1" t="str">
        <f t="array" ref="G216:G216">G215</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ПОЛЫСАЕВСКИЙ ГОРОДСКОЙ ОКРУГ</v>
      </c>
      <c r="H216" s="1297"/>
      <c r="I216" s="1297"/>
      <c r="J216" s="1297"/>
      <c r="K216" s="154">
        <f>first_year+31</f>
        <v>2055</v>
      </c>
      <c r="L216" s="1297"/>
      <c r="M216" s="1297"/>
      <c r="N216" s="1297"/>
      <c r="O216" s="1297"/>
      <c r="P216" s="1297"/>
      <c r="Q216" s="1297"/>
      <c r="R216" s="1297"/>
      <c r="S216" s="1297"/>
      <c r="T216" s="468" cm="1" t="str">
        <f t="array" ref="T216:T216">T215</f>
        <v>true</v>
      </c>
      <c r="U216" s="1297"/>
      <c r="V216" s="1297"/>
      <c r="W216" s="1297"/>
      <c r="X216" s="1539"/>
      <c r="Y216" s="1539"/>
      <c r="Z216" s="1529"/>
      <c r="AA216" s="1630"/>
      <c r="AB216" s="251" t="str">
        <f>K216&amp;" год"</f>
        <v>2055 год</v>
      </c>
      <c r="AC216" s="409"/>
      <c r="AD216" s="6972"/>
      <c r="AE216" s="6971"/>
      <c r="AF216" s="6971"/>
      <c r="AG216" s="6972"/>
      <c r="AH216" s="6971"/>
      <c r="AI216" s="6972"/>
      <c r="AJ216" s="6971"/>
      <c r="AK216" s="6973"/>
      <c r="AL216" s="404"/>
      <c r="AM216" s="1297"/>
      <c r="AN216" s="1072" cm="1" t="str">
        <f t="array" ref="AN216:AN216">K216</f>
        <v>2055</v>
      </c>
      <c r="AO216" s="1072" t="s">
        <v>2773</v>
      </c>
      <c r="AP216" s="1082" cm="1" t="str">
        <f t="array" ref="AP216:AP216">AP215</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ПОЛЫСАЕВСКИЙ ГОРОДСКОЙ ОКРУГ</v>
      </c>
      <c r="AQ216" s="709"/>
      <c r="AR216" s="709"/>
    </row>
    <row s="7114" customFormat="1" customHeight="1" ht="14.25" hidden="1">
      <c r="A217" s="1297"/>
      <c r="B217" s="447">
        <f>K217&lt;first_year+PERIOD_LENGTH</f>
        <v>0</v>
      </c>
      <c r="C217" s="1297"/>
      <c r="D217" s="1297"/>
      <c r="E217" s="709">
        <v>15</v>
      </c>
      <c r="F217" s="50" cm="1" t="str">
        <f t="array" ref="F217:F217">OFFSET(E217,-1,1)</f>
        <v>1</v>
      </c>
      <c r="G217" s="94" cm="1" t="str">
        <f t="array" ref="G217:G217">G216</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ПОЛЫСАЕВСКИЙ ГОРОДСКОЙ ОКРУГ</v>
      </c>
      <c r="H217" s="1297"/>
      <c r="I217" s="1297"/>
      <c r="J217" s="1297"/>
      <c r="K217" s="154">
        <f>first_year+32</f>
        <v>2056</v>
      </c>
      <c r="L217" s="1297"/>
      <c r="M217" s="1297"/>
      <c r="N217" s="1297"/>
      <c r="O217" s="1297"/>
      <c r="P217" s="1297"/>
      <c r="Q217" s="1297"/>
      <c r="R217" s="1297"/>
      <c r="S217" s="1297"/>
      <c r="T217" s="468" cm="1" t="str">
        <f t="array" ref="T217:T217">T216</f>
        <v>true</v>
      </c>
      <c r="U217" s="1297"/>
      <c r="V217" s="1297"/>
      <c r="W217" s="1297"/>
      <c r="X217" s="1539"/>
      <c r="Y217" s="1539"/>
      <c r="Z217" s="1529"/>
      <c r="AA217" s="1630"/>
      <c r="AB217" s="251" t="str">
        <f>K217&amp;" год"</f>
        <v>2056 год</v>
      </c>
      <c r="AC217" s="409"/>
      <c r="AD217" s="6972"/>
      <c r="AE217" s="6971"/>
      <c r="AF217" s="6971"/>
      <c r="AG217" s="6972"/>
      <c r="AH217" s="6971"/>
      <c r="AI217" s="6972"/>
      <c r="AJ217" s="6971"/>
      <c r="AK217" s="6973"/>
      <c r="AL217" s="404"/>
      <c r="AM217" s="1297"/>
      <c r="AN217" s="1072" cm="1" t="str">
        <f t="array" ref="AN217:AN217">K217</f>
        <v>2056</v>
      </c>
      <c r="AO217" s="1072" t="s">
        <v>2773</v>
      </c>
      <c r="AP217" s="1082" cm="1" t="str">
        <f t="array" ref="AP217:AP217">AP216</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ПОЛЫСАЕВСКИЙ ГОРОДСКОЙ ОКРУГ</v>
      </c>
      <c r="AQ217" s="709"/>
      <c r="AR217" s="709"/>
    </row>
    <row s="7115" customFormat="1" customHeight="1" ht="14.25" hidden="1">
      <c r="A218" s="1297"/>
      <c r="B218" s="447">
        <f>K218&lt;first_year+PERIOD_LENGTH</f>
        <v>0</v>
      </c>
      <c r="C218" s="1297"/>
      <c r="D218" s="1297"/>
      <c r="E218" s="709">
        <v>15</v>
      </c>
      <c r="F218" s="50" cm="1" t="str">
        <f t="array" ref="F218:F218">OFFSET(E218,-1,1)</f>
        <v>1</v>
      </c>
      <c r="G218" s="94" cm="1" t="str">
        <f t="array" ref="G218:G218">G217</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ПОЛЫСАЕВСКИЙ ГОРОДСКОЙ ОКРУГ</v>
      </c>
      <c r="H218" s="1297"/>
      <c r="I218" s="1297"/>
      <c r="J218" s="1297"/>
      <c r="K218" s="154">
        <f>first_year+33</f>
        <v>2057</v>
      </c>
      <c r="L218" s="1297"/>
      <c r="M218" s="1297"/>
      <c r="N218" s="1297"/>
      <c r="O218" s="1297"/>
      <c r="P218" s="1297"/>
      <c r="Q218" s="1297"/>
      <c r="R218" s="1297"/>
      <c r="S218" s="1297"/>
      <c r="T218" s="468" cm="1" t="str">
        <f t="array" ref="T218:T218">T217</f>
        <v>true</v>
      </c>
      <c r="U218" s="1297"/>
      <c r="V218" s="1297"/>
      <c r="W218" s="1297"/>
      <c r="X218" s="1539"/>
      <c r="Y218" s="1539"/>
      <c r="Z218" s="1529"/>
      <c r="AA218" s="1630"/>
      <c r="AB218" s="251" t="str">
        <f>K218&amp;" год"</f>
        <v>2057 год</v>
      </c>
      <c r="AC218" s="409"/>
      <c r="AD218" s="6972"/>
      <c r="AE218" s="6971"/>
      <c r="AF218" s="6971"/>
      <c r="AG218" s="6972"/>
      <c r="AH218" s="6971"/>
      <c r="AI218" s="6972"/>
      <c r="AJ218" s="6971"/>
      <c r="AK218" s="6973"/>
      <c r="AL218" s="404"/>
      <c r="AM218" s="1297"/>
      <c r="AN218" s="1072" cm="1" t="str">
        <f t="array" ref="AN218:AN218">K218</f>
        <v>2057</v>
      </c>
      <c r="AO218" s="1072" t="s">
        <v>2773</v>
      </c>
      <c r="AP218" s="1082" cm="1" t="str">
        <f t="array" ref="AP218:AP218">AP217</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ПОЛЫСАЕВСКИЙ ГОРОДСКОЙ ОКРУГ</v>
      </c>
      <c r="AQ218" s="709"/>
      <c r="AR218" s="709"/>
    </row>
    <row s="7116" customFormat="1" customHeight="1" ht="14.25" hidden="1">
      <c r="A219" s="1297"/>
      <c r="B219" s="447">
        <f>K219&lt;first_year+PERIOD_LENGTH</f>
        <v>0</v>
      </c>
      <c r="C219" s="1297"/>
      <c r="D219" s="1297"/>
      <c r="E219" s="709">
        <v>15</v>
      </c>
      <c r="F219" s="50" cm="1" t="str">
        <f t="array" ref="F219:F219">OFFSET(E219,-1,1)</f>
        <v>1</v>
      </c>
      <c r="G219" s="94" cm="1" t="str">
        <f t="array" ref="G219:G219">G218</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ПОЛЫСАЕВСКИЙ ГОРОДСКОЙ ОКРУГ</v>
      </c>
      <c r="H219" s="1297"/>
      <c r="I219" s="1297"/>
      <c r="J219" s="1297"/>
      <c r="K219" s="154">
        <f>first_year+34</f>
        <v>2058</v>
      </c>
      <c r="L219" s="1297"/>
      <c r="M219" s="1297"/>
      <c r="N219" s="1297"/>
      <c r="O219" s="1297"/>
      <c r="P219" s="1297"/>
      <c r="Q219" s="1297"/>
      <c r="R219" s="1297"/>
      <c r="S219" s="1297"/>
      <c r="T219" s="468" cm="1" t="str">
        <f t="array" ref="T219:T219">T218</f>
        <v>true</v>
      </c>
      <c r="U219" s="1297"/>
      <c r="V219" s="1297"/>
      <c r="W219" s="1297"/>
      <c r="X219" s="1539"/>
      <c r="Y219" s="1539"/>
      <c r="Z219" s="1529"/>
      <c r="AA219" s="1630"/>
      <c r="AB219" s="251" t="str">
        <f>K219&amp;" год"</f>
        <v>2058 год</v>
      </c>
      <c r="AC219" s="409"/>
      <c r="AD219" s="6972"/>
      <c r="AE219" s="6971"/>
      <c r="AF219" s="6971"/>
      <c r="AG219" s="6972"/>
      <c r="AH219" s="6971"/>
      <c r="AI219" s="6972"/>
      <c r="AJ219" s="6971"/>
      <c r="AK219" s="6973"/>
      <c r="AL219" s="404"/>
      <c r="AM219" s="1297"/>
      <c r="AN219" s="1072" cm="1" t="str">
        <f t="array" ref="AN219:AN219">K219</f>
        <v>2058</v>
      </c>
      <c r="AO219" s="1072" t="s">
        <v>2773</v>
      </c>
      <c r="AP219" s="1082" cm="1" t="str">
        <f t="array" ref="AP219:AP219">AP218</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ПОЛЫСАЕВСКИЙ ГОРОДСКОЙ ОКРУГ</v>
      </c>
      <c r="AQ219" s="709"/>
      <c r="AR219" s="709"/>
    </row>
    <row s="7117" customFormat="1" customHeight="1" ht="14.25" hidden="1">
      <c r="A220" s="1297"/>
      <c r="B220" s="447">
        <f>K220&lt;first_year+PERIOD_LENGTH</f>
        <v>0</v>
      </c>
      <c r="C220" s="1297"/>
      <c r="D220" s="1297"/>
      <c r="E220" s="709">
        <v>15</v>
      </c>
      <c r="F220" s="50" cm="1" t="str">
        <f t="array" ref="F220:F220">OFFSET(E220,-1,1)</f>
        <v>1</v>
      </c>
      <c r="G220" s="94" cm="1" t="str">
        <f t="array" ref="G220:G220">G219</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ПОЛЫСАЕВСКИЙ ГОРОДСКОЙ ОКРУГ</v>
      </c>
      <c r="H220" s="1297"/>
      <c r="I220" s="1297"/>
      <c r="J220" s="1297"/>
      <c r="K220" s="154">
        <f>first_year+35</f>
        <v>2059</v>
      </c>
      <c r="L220" s="1297"/>
      <c r="M220" s="1297"/>
      <c r="N220" s="1297"/>
      <c r="O220" s="1297"/>
      <c r="P220" s="1297"/>
      <c r="Q220" s="1297"/>
      <c r="R220" s="1297"/>
      <c r="S220" s="1297"/>
      <c r="T220" s="468" cm="1" t="str">
        <f t="array" ref="T220:T220">T219</f>
        <v>true</v>
      </c>
      <c r="U220" s="1297"/>
      <c r="V220" s="1297"/>
      <c r="W220" s="1297"/>
      <c r="X220" s="1539"/>
      <c r="Y220" s="1539"/>
      <c r="Z220" s="1529"/>
      <c r="AA220" s="1630"/>
      <c r="AB220" s="251" t="str">
        <f>K220&amp;" год"</f>
        <v>2059 год</v>
      </c>
      <c r="AC220" s="409"/>
      <c r="AD220" s="6972"/>
      <c r="AE220" s="6971"/>
      <c r="AF220" s="6971"/>
      <c r="AG220" s="6972"/>
      <c r="AH220" s="6971"/>
      <c r="AI220" s="6972"/>
      <c r="AJ220" s="6971"/>
      <c r="AK220" s="6973"/>
      <c r="AL220" s="404"/>
      <c r="AM220" s="1297"/>
      <c r="AN220" s="1072" cm="1" t="str">
        <f t="array" ref="AN220:AN220">K220</f>
        <v>2059</v>
      </c>
      <c r="AO220" s="1072" t="s">
        <v>2773</v>
      </c>
      <c r="AP220" s="1082" cm="1" t="str">
        <f t="array" ref="AP220:AP220">AP219</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ПОЛЫСАЕВСКИЙ ГОРОДСКОЙ ОКРУГ</v>
      </c>
      <c r="AQ220" s="709"/>
      <c r="AR220" s="709"/>
    </row>
    <row s="7118" customFormat="1" customHeight="1" ht="14.25" hidden="1">
      <c r="A221" s="1297"/>
      <c r="B221" s="447">
        <f>K221&lt;first_year+PERIOD_LENGTH</f>
        <v>0</v>
      </c>
      <c r="C221" s="1297"/>
      <c r="D221" s="1297"/>
      <c r="E221" s="709">
        <v>15</v>
      </c>
      <c r="F221" s="50" cm="1" t="str">
        <f t="array" ref="F221:F221">OFFSET(E221,-1,1)</f>
        <v>1</v>
      </c>
      <c r="G221" s="94" cm="1" t="str">
        <f t="array" ref="G221:G221">G220</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ПОЛЫСАЕВСКИЙ ГОРОДСКОЙ ОКРУГ</v>
      </c>
      <c r="H221" s="1297"/>
      <c r="I221" s="1297"/>
      <c r="J221" s="1297"/>
      <c r="K221" s="154">
        <f>first_year+36</f>
        <v>2060</v>
      </c>
      <c r="L221" s="1297"/>
      <c r="M221" s="1297"/>
      <c r="N221" s="1297"/>
      <c r="O221" s="1297"/>
      <c r="P221" s="1297"/>
      <c r="Q221" s="1297"/>
      <c r="R221" s="1297"/>
      <c r="S221" s="1297"/>
      <c r="T221" s="468" cm="1" t="str">
        <f t="array" ref="T221:T221">T220</f>
        <v>true</v>
      </c>
      <c r="U221" s="1297"/>
      <c r="V221" s="1297"/>
      <c r="W221" s="1297"/>
      <c r="X221" s="1539"/>
      <c r="Y221" s="1539"/>
      <c r="Z221" s="1529"/>
      <c r="AA221" s="1630"/>
      <c r="AB221" s="251" t="str">
        <f>K221&amp;" год"</f>
        <v>2060 год</v>
      </c>
      <c r="AC221" s="409"/>
      <c r="AD221" s="6972"/>
      <c r="AE221" s="6971"/>
      <c r="AF221" s="6971"/>
      <c r="AG221" s="6972"/>
      <c r="AH221" s="6971"/>
      <c r="AI221" s="6972"/>
      <c r="AJ221" s="6971"/>
      <c r="AK221" s="6973"/>
      <c r="AL221" s="404"/>
      <c r="AM221" s="1297"/>
      <c r="AN221" s="1072" cm="1" t="str">
        <f t="array" ref="AN221:AN221">K221</f>
        <v>2060</v>
      </c>
      <c r="AO221" s="1072" t="s">
        <v>2773</v>
      </c>
      <c r="AP221" s="1082" cm="1" t="str">
        <f t="array" ref="AP221:AP221">AP220</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ПОЛЫСАЕВСКИЙ ГОРОДСКОЙ ОКРУГ</v>
      </c>
      <c r="AQ221" s="709"/>
      <c r="AR221" s="709"/>
    </row>
    <row s="7119" customFormat="1" customHeight="1" ht="14.25" hidden="1">
      <c r="A222" s="1297"/>
      <c r="B222" s="447">
        <f>K222&lt;first_year+PERIOD_LENGTH</f>
        <v>0</v>
      </c>
      <c r="C222" s="1297"/>
      <c r="D222" s="1297"/>
      <c r="E222" s="709">
        <v>15</v>
      </c>
      <c r="F222" s="50" cm="1" t="str">
        <f t="array" ref="F222:F222">OFFSET(E222,-1,1)</f>
        <v>1</v>
      </c>
      <c r="G222" s="94" cm="1" t="str">
        <f t="array" ref="G222:G222">G221</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ПОЛЫСАЕВСКИЙ ГОРОДСКОЙ ОКРУГ</v>
      </c>
      <c r="H222" s="1297"/>
      <c r="I222" s="1297"/>
      <c r="J222" s="1297"/>
      <c r="K222" s="154">
        <f>first_year+37</f>
        <v>2061</v>
      </c>
      <c r="L222" s="1297"/>
      <c r="M222" s="1297"/>
      <c r="N222" s="1297"/>
      <c r="O222" s="1297"/>
      <c r="P222" s="1297"/>
      <c r="Q222" s="1297"/>
      <c r="R222" s="1297"/>
      <c r="S222" s="1297"/>
      <c r="T222" s="468" cm="1" t="str">
        <f t="array" ref="T222:T222">T221</f>
        <v>true</v>
      </c>
      <c r="U222" s="1297"/>
      <c r="V222" s="1297"/>
      <c r="W222" s="1297"/>
      <c r="X222" s="1539"/>
      <c r="Y222" s="1539"/>
      <c r="Z222" s="1529"/>
      <c r="AA222" s="1630"/>
      <c r="AB222" s="251" t="str">
        <f>K222&amp;" год"</f>
        <v>2061 год</v>
      </c>
      <c r="AC222" s="409"/>
      <c r="AD222" s="6972"/>
      <c r="AE222" s="6971"/>
      <c r="AF222" s="6971"/>
      <c r="AG222" s="6972"/>
      <c r="AH222" s="6971"/>
      <c r="AI222" s="6972"/>
      <c r="AJ222" s="6971"/>
      <c r="AK222" s="6973"/>
      <c r="AL222" s="404"/>
      <c r="AM222" s="1297"/>
      <c r="AN222" s="1072" cm="1" t="str">
        <f t="array" ref="AN222:AN222">K222</f>
        <v>2061</v>
      </c>
      <c r="AO222" s="1072" t="s">
        <v>2773</v>
      </c>
      <c r="AP222" s="1082" cm="1" t="str">
        <f t="array" ref="AP222:AP222">AP221</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ПОЛЫСАЕВСКИЙ ГОРОДСКОЙ ОКРУГ</v>
      </c>
      <c r="AQ222" s="709"/>
      <c r="AR222" s="709"/>
    </row>
    <row s="7120" customFormat="1" customHeight="1" ht="14.25" hidden="1">
      <c r="A223" s="1297"/>
      <c r="B223" s="447">
        <f>K223&lt;first_year+PERIOD_LENGTH</f>
        <v>0</v>
      </c>
      <c r="C223" s="1297"/>
      <c r="D223" s="1297"/>
      <c r="E223" s="709">
        <v>15</v>
      </c>
      <c r="F223" s="50" cm="1" t="str">
        <f t="array" ref="F223:F223">OFFSET(E223,-1,1)</f>
        <v>1</v>
      </c>
      <c r="G223" s="94" cm="1" t="str">
        <f t="array" ref="G223:G223">G222</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ПОЛЫСАЕВСКИЙ ГОРОДСКОЙ ОКРУГ</v>
      </c>
      <c r="H223" s="1297"/>
      <c r="I223" s="1297"/>
      <c r="J223" s="1297"/>
      <c r="K223" s="154">
        <f>first_year+38</f>
        <v>2062</v>
      </c>
      <c r="L223" s="1297"/>
      <c r="M223" s="1297"/>
      <c r="N223" s="1297"/>
      <c r="O223" s="1297"/>
      <c r="P223" s="1297"/>
      <c r="Q223" s="1297"/>
      <c r="R223" s="1297"/>
      <c r="S223" s="1297"/>
      <c r="T223" s="468" cm="1" t="str">
        <f t="array" ref="T223:T223">T222</f>
        <v>true</v>
      </c>
      <c r="U223" s="1297"/>
      <c r="V223" s="1297"/>
      <c r="W223" s="1297"/>
      <c r="X223" s="1539"/>
      <c r="Y223" s="1539"/>
      <c r="Z223" s="1529"/>
      <c r="AA223" s="1630"/>
      <c r="AB223" s="251" t="str">
        <f>K223&amp;" год"</f>
        <v>2062 год</v>
      </c>
      <c r="AC223" s="409"/>
      <c r="AD223" s="6972"/>
      <c r="AE223" s="6971"/>
      <c r="AF223" s="6971"/>
      <c r="AG223" s="6972"/>
      <c r="AH223" s="6971"/>
      <c r="AI223" s="6972"/>
      <c r="AJ223" s="6971"/>
      <c r="AK223" s="6973"/>
      <c r="AL223" s="404"/>
      <c r="AM223" s="1297"/>
      <c r="AN223" s="1072" cm="1" t="str">
        <f t="array" ref="AN223:AN223">K223</f>
        <v>2062</v>
      </c>
      <c r="AO223" s="1072" t="s">
        <v>2773</v>
      </c>
      <c r="AP223" s="1082" cm="1" t="str">
        <f t="array" ref="AP223:AP223">AP222</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ПОЛЫСАЕВСКИЙ ГОРОДСКОЙ ОКРУГ</v>
      </c>
      <c r="AQ223" s="709"/>
      <c r="AR223" s="709"/>
    </row>
    <row s="7121" customFormat="1" customHeight="1" ht="14.25" hidden="1">
      <c r="A224" s="1297"/>
      <c r="B224" s="447">
        <f>K224&lt;first_year+PERIOD_LENGTH</f>
        <v>0</v>
      </c>
      <c r="C224" s="1297"/>
      <c r="D224" s="1297"/>
      <c r="E224" s="709">
        <v>15</v>
      </c>
      <c r="F224" s="50" cm="1" t="str">
        <f t="array" ref="F224:F224">OFFSET(E224,-1,1)</f>
        <v>1</v>
      </c>
      <c r="G224" s="94" cm="1" t="str">
        <f t="array" ref="G224:G224">G223</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ПОЛЫСАЕВСКИЙ ГОРОДСКОЙ ОКРУГ</v>
      </c>
      <c r="H224" s="1297"/>
      <c r="I224" s="1297"/>
      <c r="J224" s="1297"/>
      <c r="K224" s="154">
        <f>first_year+39</f>
        <v>2063</v>
      </c>
      <c r="L224" s="1297"/>
      <c r="M224" s="1297"/>
      <c r="N224" s="1297"/>
      <c r="O224" s="1297"/>
      <c r="P224" s="1297"/>
      <c r="Q224" s="1297"/>
      <c r="R224" s="1297"/>
      <c r="S224" s="1297"/>
      <c r="T224" s="468" cm="1" t="str">
        <f t="array" ref="T224:T224">T223</f>
        <v>true</v>
      </c>
      <c r="U224" s="1297"/>
      <c r="V224" s="1297"/>
      <c r="W224" s="1297"/>
      <c r="X224" s="1539"/>
      <c r="Y224" s="1539"/>
      <c r="Z224" s="1529"/>
      <c r="AA224" s="1630"/>
      <c r="AB224" s="251" t="str">
        <f>K224&amp;" год"</f>
        <v>2063 год</v>
      </c>
      <c r="AC224" s="409"/>
      <c r="AD224" s="6972"/>
      <c r="AE224" s="6971"/>
      <c r="AF224" s="6971"/>
      <c r="AG224" s="6972"/>
      <c r="AH224" s="6971"/>
      <c r="AI224" s="6972"/>
      <c r="AJ224" s="6971"/>
      <c r="AK224" s="6973"/>
      <c r="AL224" s="404"/>
      <c r="AM224" s="1297"/>
      <c r="AN224" s="1072" cm="1" t="str">
        <f t="array" ref="AN224:AN224">K224</f>
        <v>2063</v>
      </c>
      <c r="AO224" s="1072" t="s">
        <v>2773</v>
      </c>
      <c r="AP224" s="1082" cm="1" t="str">
        <f t="array" ref="AP224:AP224">AP223</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ПОЛЫСАЕВСКИЙ ГОРОДСКОЙ ОКРУГ</v>
      </c>
      <c r="AQ224" s="709"/>
      <c r="AR224" s="709"/>
    </row>
    <row s="7122" customFormat="1" customHeight="1" ht="14.25" hidden="1">
      <c r="A225" s="1297"/>
      <c r="B225" s="447">
        <f>K225&lt;first_year+PERIOD_LENGTH</f>
        <v>0</v>
      </c>
      <c r="C225" s="1297"/>
      <c r="D225" s="1297"/>
      <c r="E225" s="709">
        <v>15</v>
      </c>
      <c r="F225" s="50" cm="1" t="str">
        <f t="array" ref="F225:F225">OFFSET(E225,-1,1)</f>
        <v>1</v>
      </c>
      <c r="G225" s="94" cm="1" t="str">
        <f t="array" ref="G225:G225">G224</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ПОЛЫСАЕВСКИЙ ГОРОДСКОЙ ОКРУГ</v>
      </c>
      <c r="H225" s="1297"/>
      <c r="I225" s="1297"/>
      <c r="J225" s="1297"/>
      <c r="K225" s="154">
        <f>first_year+40</f>
        <v>2064</v>
      </c>
      <c r="L225" s="1297"/>
      <c r="M225" s="1297"/>
      <c r="N225" s="1297"/>
      <c r="O225" s="1297"/>
      <c r="P225" s="1297"/>
      <c r="Q225" s="1297"/>
      <c r="R225" s="1297"/>
      <c r="S225" s="1297"/>
      <c r="T225" s="468" cm="1" t="str">
        <f t="array" ref="T225:T225">T224</f>
        <v>true</v>
      </c>
      <c r="U225" s="1297"/>
      <c r="V225" s="1297"/>
      <c r="W225" s="1297"/>
      <c r="X225" s="1539"/>
      <c r="Y225" s="1539"/>
      <c r="Z225" s="1529"/>
      <c r="AA225" s="1630"/>
      <c r="AB225" s="251" t="str">
        <f>K225&amp;" год"</f>
        <v>2064 год</v>
      </c>
      <c r="AC225" s="409"/>
      <c r="AD225" s="6972"/>
      <c r="AE225" s="6971"/>
      <c r="AF225" s="6971"/>
      <c r="AG225" s="6972"/>
      <c r="AH225" s="6971"/>
      <c r="AI225" s="6972"/>
      <c r="AJ225" s="6971"/>
      <c r="AK225" s="6973"/>
      <c r="AL225" s="404"/>
      <c r="AM225" s="1297"/>
      <c r="AN225" s="1072" cm="1" t="str">
        <f t="array" ref="AN225:AN225">K225</f>
        <v>2064</v>
      </c>
      <c r="AO225" s="1072" t="s">
        <v>2773</v>
      </c>
      <c r="AP225" s="1082" cm="1" t="str">
        <f t="array" ref="AP225:AP225">AP224</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ПОЛЫСАЕВСКИЙ ГОРОДСКОЙ ОКРУГ</v>
      </c>
      <c r="AQ225" s="709"/>
      <c r="AR225" s="709"/>
    </row>
    <row s="7123" customFormat="1" customHeight="1" ht="14.25" hidden="1">
      <c r="A226" s="1297"/>
      <c r="B226" s="447">
        <f>K226&lt;first_year+PERIOD_LENGTH</f>
        <v>0</v>
      </c>
      <c r="C226" s="1297"/>
      <c r="D226" s="1297"/>
      <c r="E226" s="709">
        <v>15</v>
      </c>
      <c r="F226" s="50" cm="1" t="str">
        <f t="array" ref="F226:F226">OFFSET(E226,-1,1)</f>
        <v>1</v>
      </c>
      <c r="G226" s="94" cm="1" t="str">
        <f t="array" ref="G226:G226">G225</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ПОЛЫСАЕВСКИЙ ГОРОДСКОЙ ОКРУГ</v>
      </c>
      <c r="H226" s="1297"/>
      <c r="I226" s="1297"/>
      <c r="J226" s="1297"/>
      <c r="K226" s="154">
        <f>first_year+41</f>
        <v>2065</v>
      </c>
      <c r="L226" s="1297"/>
      <c r="M226" s="1297"/>
      <c r="N226" s="1297"/>
      <c r="O226" s="1297"/>
      <c r="P226" s="1297"/>
      <c r="Q226" s="1297"/>
      <c r="R226" s="1297"/>
      <c r="S226" s="1297"/>
      <c r="T226" s="468" cm="1" t="str">
        <f t="array" ref="T226:T226">T225</f>
        <v>true</v>
      </c>
      <c r="U226" s="1297"/>
      <c r="V226" s="1297"/>
      <c r="W226" s="1297"/>
      <c r="X226" s="1539"/>
      <c r="Y226" s="1539"/>
      <c r="Z226" s="1529"/>
      <c r="AA226" s="1630"/>
      <c r="AB226" s="251" t="str">
        <f>K226&amp;" год"</f>
        <v>2065 год</v>
      </c>
      <c r="AC226" s="409"/>
      <c r="AD226" s="6972"/>
      <c r="AE226" s="6971"/>
      <c r="AF226" s="6971"/>
      <c r="AG226" s="6972"/>
      <c r="AH226" s="6971"/>
      <c r="AI226" s="6972"/>
      <c r="AJ226" s="6971"/>
      <c r="AK226" s="6973"/>
      <c r="AL226" s="404"/>
      <c r="AM226" s="1297"/>
      <c r="AN226" s="1072" cm="1" t="str">
        <f t="array" ref="AN226:AN226">K226</f>
        <v>2065</v>
      </c>
      <c r="AO226" s="1072" t="s">
        <v>2773</v>
      </c>
      <c r="AP226" s="1082" cm="1" t="str">
        <f t="array" ref="AP226:AP226">AP225</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ПОЛЫСАЕВСКИЙ ГОРОДСКОЙ ОКРУГ</v>
      </c>
      <c r="AQ226" s="709"/>
      <c r="AR226" s="709"/>
    </row>
    <row s="7124" customFormat="1" customHeight="1" ht="14.25" hidden="1">
      <c r="A227" s="1297"/>
      <c r="B227" s="447">
        <f>K227&lt;first_year+PERIOD_LENGTH</f>
        <v>0</v>
      </c>
      <c r="C227" s="1297"/>
      <c r="D227" s="1297"/>
      <c r="E227" s="709">
        <v>15</v>
      </c>
      <c r="F227" s="50" cm="1" t="str">
        <f t="array" ref="F227:F227">OFFSET(E227,-1,1)</f>
        <v>1</v>
      </c>
      <c r="G227" s="94" cm="1" t="str">
        <f t="array" ref="G227:G227">G226</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ПОЛЫСАЕВСКИЙ ГОРОДСКОЙ ОКРУГ</v>
      </c>
      <c r="H227" s="1297"/>
      <c r="I227" s="1297"/>
      <c r="J227" s="1297"/>
      <c r="K227" s="154">
        <f>first_year+42</f>
        <v>2066</v>
      </c>
      <c r="L227" s="1297"/>
      <c r="M227" s="1297"/>
      <c r="N227" s="1297"/>
      <c r="O227" s="1297"/>
      <c r="P227" s="1297"/>
      <c r="Q227" s="1297"/>
      <c r="R227" s="1297"/>
      <c r="S227" s="1297"/>
      <c r="T227" s="468" cm="1" t="str">
        <f t="array" ref="T227:T227">T226</f>
        <v>true</v>
      </c>
      <c r="U227" s="1297"/>
      <c r="V227" s="1297"/>
      <c r="W227" s="1297"/>
      <c r="X227" s="1539"/>
      <c r="Y227" s="1539"/>
      <c r="Z227" s="1529"/>
      <c r="AA227" s="1630"/>
      <c r="AB227" s="251" t="str">
        <f>K227&amp;" год"</f>
        <v>2066 год</v>
      </c>
      <c r="AC227" s="409"/>
      <c r="AD227" s="6972"/>
      <c r="AE227" s="6971"/>
      <c r="AF227" s="6971"/>
      <c r="AG227" s="6972"/>
      <c r="AH227" s="6971"/>
      <c r="AI227" s="6972"/>
      <c r="AJ227" s="6971"/>
      <c r="AK227" s="6973"/>
      <c r="AL227" s="404"/>
      <c r="AM227" s="1297"/>
      <c r="AN227" s="1072" cm="1" t="str">
        <f t="array" ref="AN227:AN227">K227</f>
        <v>2066</v>
      </c>
      <c r="AO227" s="1072" t="s">
        <v>2773</v>
      </c>
      <c r="AP227" s="1082" cm="1" t="str">
        <f t="array" ref="AP227:AP227">AP226</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ПОЛЫСАЕВСКИЙ ГОРОДСКОЙ ОКРУГ</v>
      </c>
      <c r="AQ227" s="709"/>
      <c r="AR227" s="709"/>
    </row>
    <row s="7125" customFormat="1" customHeight="1" ht="14.25" hidden="1">
      <c r="A228" s="1297"/>
      <c r="B228" s="447">
        <f>K228&lt;first_year+PERIOD_LENGTH</f>
        <v>0</v>
      </c>
      <c r="C228" s="1297"/>
      <c r="D228" s="1297"/>
      <c r="E228" s="709">
        <v>15</v>
      </c>
      <c r="F228" s="50" cm="1" t="str">
        <f t="array" ref="F228:F228">OFFSET(E228,-1,1)</f>
        <v>1</v>
      </c>
      <c r="G228" s="94" cm="1" t="str">
        <f t="array" ref="G228:G228">G227</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ПОЛЫСАЕВСКИЙ ГОРОДСКОЙ ОКРУГ</v>
      </c>
      <c r="H228" s="1297"/>
      <c r="I228" s="1297"/>
      <c r="J228" s="1297"/>
      <c r="K228" s="154">
        <f>first_year+43</f>
        <v>2067</v>
      </c>
      <c r="L228" s="1297"/>
      <c r="M228" s="1297"/>
      <c r="N228" s="1297"/>
      <c r="O228" s="1297"/>
      <c r="P228" s="1297"/>
      <c r="Q228" s="1297"/>
      <c r="R228" s="1297"/>
      <c r="S228" s="1297"/>
      <c r="T228" s="468" cm="1" t="str">
        <f t="array" ref="T228:T228">T227</f>
        <v>true</v>
      </c>
      <c r="U228" s="1297"/>
      <c r="V228" s="1297"/>
      <c r="W228" s="1297"/>
      <c r="X228" s="1539"/>
      <c r="Y228" s="1539"/>
      <c r="Z228" s="1529"/>
      <c r="AA228" s="1630"/>
      <c r="AB228" s="251" t="str">
        <f>K228&amp;" год"</f>
        <v>2067 год</v>
      </c>
      <c r="AC228" s="409"/>
      <c r="AD228" s="6972"/>
      <c r="AE228" s="6971"/>
      <c r="AF228" s="6971"/>
      <c r="AG228" s="6972"/>
      <c r="AH228" s="6971"/>
      <c r="AI228" s="6972"/>
      <c r="AJ228" s="6971"/>
      <c r="AK228" s="6973"/>
      <c r="AL228" s="404"/>
      <c r="AM228" s="1297"/>
      <c r="AN228" s="1072" cm="1" t="str">
        <f t="array" ref="AN228:AN228">K228</f>
        <v>2067</v>
      </c>
      <c r="AO228" s="1072" t="s">
        <v>2773</v>
      </c>
      <c r="AP228" s="1082" cm="1" t="str">
        <f t="array" ref="AP228:AP228">AP227</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ПОЛЫСАЕВСКИЙ ГОРОДСКОЙ ОКРУГ</v>
      </c>
      <c r="AQ228" s="709"/>
      <c r="AR228" s="709"/>
    </row>
    <row s="7126" customFormat="1" customHeight="1" ht="14.25" hidden="1">
      <c r="A229" s="1297"/>
      <c r="B229" s="447">
        <f>K229&lt;first_year+PERIOD_LENGTH</f>
        <v>0</v>
      </c>
      <c r="C229" s="1297"/>
      <c r="D229" s="1297"/>
      <c r="E229" s="709">
        <v>15</v>
      </c>
      <c r="F229" s="50" cm="1" t="str">
        <f t="array" ref="F229:F229">OFFSET(E229,-1,1)</f>
        <v>1</v>
      </c>
      <c r="G229" s="94" cm="1" t="str">
        <f t="array" ref="G229:G229">G228</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ПОЛЫСАЕВСКИЙ ГОРОДСКОЙ ОКРУГ</v>
      </c>
      <c r="H229" s="1297"/>
      <c r="I229" s="1297"/>
      <c r="J229" s="1297"/>
      <c r="K229" s="154">
        <f>first_year+44</f>
        <v>2068</v>
      </c>
      <c r="L229" s="1297"/>
      <c r="M229" s="1297"/>
      <c r="N229" s="1297"/>
      <c r="O229" s="1297"/>
      <c r="P229" s="1297"/>
      <c r="Q229" s="1297"/>
      <c r="R229" s="1297"/>
      <c r="S229" s="1297"/>
      <c r="T229" s="468" cm="1" t="str">
        <f t="array" ref="T229:T229">T228</f>
        <v>true</v>
      </c>
      <c r="U229" s="1297"/>
      <c r="V229" s="1297"/>
      <c r="W229" s="1297"/>
      <c r="X229" s="1539"/>
      <c r="Y229" s="1539"/>
      <c r="Z229" s="1529"/>
      <c r="AA229" s="1630"/>
      <c r="AB229" s="251" t="str">
        <f>K229&amp;" год"</f>
        <v>2068 год</v>
      </c>
      <c r="AC229" s="409"/>
      <c r="AD229" s="6972"/>
      <c r="AE229" s="6971"/>
      <c r="AF229" s="6971"/>
      <c r="AG229" s="6972"/>
      <c r="AH229" s="6971"/>
      <c r="AI229" s="6972"/>
      <c r="AJ229" s="6971"/>
      <c r="AK229" s="6973"/>
      <c r="AL229" s="404"/>
      <c r="AM229" s="1297"/>
      <c r="AN229" s="1072" cm="1" t="str">
        <f t="array" ref="AN229:AN229">K229</f>
        <v>2068</v>
      </c>
      <c r="AO229" s="1072" t="s">
        <v>2773</v>
      </c>
      <c r="AP229" s="1082" cm="1" t="str">
        <f t="array" ref="AP229:AP229">AP228</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ПОЛЫСАЕВСКИЙ ГОРОДСКОЙ ОКРУГ</v>
      </c>
      <c r="AQ229" s="709"/>
      <c r="AR229" s="709"/>
    </row>
    <row s="7127" customFormat="1" customHeight="1" ht="14.25" hidden="1">
      <c r="A230" s="1297"/>
      <c r="B230" s="447">
        <f>K230&lt;first_year+PERIOD_LENGTH</f>
        <v>0</v>
      </c>
      <c r="C230" s="1297"/>
      <c r="D230" s="1297"/>
      <c r="E230" s="709">
        <v>15</v>
      </c>
      <c r="F230" s="50" cm="1" t="str">
        <f t="array" ref="F230:F230">OFFSET(E230,-1,1)</f>
        <v>1</v>
      </c>
      <c r="G230" s="94" cm="1" t="str">
        <f t="array" ref="G230:G230">G229</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ПОЛЫСАЕВСКИЙ ГОРОДСКОЙ ОКРУГ</v>
      </c>
      <c r="H230" s="1297"/>
      <c r="I230" s="1297"/>
      <c r="J230" s="1297"/>
      <c r="K230" s="154">
        <f>first_year+45</f>
        <v>2069</v>
      </c>
      <c r="L230" s="1297"/>
      <c r="M230" s="1297"/>
      <c r="N230" s="1297"/>
      <c r="O230" s="1297"/>
      <c r="P230" s="1297"/>
      <c r="Q230" s="1297"/>
      <c r="R230" s="1297"/>
      <c r="S230" s="1297"/>
      <c r="T230" s="468" cm="1" t="str">
        <f t="array" ref="T230:T230">T229</f>
        <v>true</v>
      </c>
      <c r="U230" s="1297"/>
      <c r="V230" s="1297"/>
      <c r="W230" s="1297"/>
      <c r="X230" s="1539"/>
      <c r="Y230" s="1539"/>
      <c r="Z230" s="1529"/>
      <c r="AA230" s="1630"/>
      <c r="AB230" s="251" t="str">
        <f>K230&amp;" год"</f>
        <v>2069 год</v>
      </c>
      <c r="AC230" s="409"/>
      <c r="AD230" s="6972"/>
      <c r="AE230" s="6971"/>
      <c r="AF230" s="6971"/>
      <c r="AG230" s="6972"/>
      <c r="AH230" s="6971"/>
      <c r="AI230" s="6972"/>
      <c r="AJ230" s="6971"/>
      <c r="AK230" s="6973"/>
      <c r="AL230" s="404"/>
      <c r="AM230" s="1297"/>
      <c r="AN230" s="1072" cm="1" t="str">
        <f t="array" ref="AN230:AN230">K230</f>
        <v>2069</v>
      </c>
      <c r="AO230" s="1072" t="s">
        <v>2773</v>
      </c>
      <c r="AP230" s="1082" cm="1" t="str">
        <f t="array" ref="AP230:AP230">AP229</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ПОЛЫСАЕВСКИЙ ГОРОДСКОЙ ОКРУГ</v>
      </c>
      <c r="AQ230" s="709"/>
      <c r="AR230" s="709"/>
    </row>
    <row s="7128" customFormat="1" customHeight="1" ht="14.25" hidden="1">
      <c r="A231" s="1297"/>
      <c r="B231" s="447">
        <f>K231&lt;first_year+PERIOD_LENGTH</f>
        <v>0</v>
      </c>
      <c r="C231" s="1297"/>
      <c r="D231" s="1297"/>
      <c r="E231" s="709">
        <v>15</v>
      </c>
      <c r="F231" s="50" cm="1" t="str">
        <f t="array" ref="F231:F231">OFFSET(E231,-1,1)</f>
        <v>1</v>
      </c>
      <c r="G231" s="94" cm="1" t="str">
        <f t="array" ref="G231:G231">G230</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ПОЛЫСАЕВСКИЙ ГОРОДСКОЙ ОКРУГ</v>
      </c>
      <c r="H231" s="1297"/>
      <c r="I231" s="1297"/>
      <c r="J231" s="1297"/>
      <c r="K231" s="154">
        <f>first_year+46</f>
        <v>2070</v>
      </c>
      <c r="L231" s="1297"/>
      <c r="M231" s="1297"/>
      <c r="N231" s="1297"/>
      <c r="O231" s="1297"/>
      <c r="P231" s="1297"/>
      <c r="Q231" s="1297"/>
      <c r="R231" s="1297"/>
      <c r="S231" s="1297"/>
      <c r="T231" s="468" cm="1" t="str">
        <f t="array" ref="T231:T231">T230</f>
        <v>true</v>
      </c>
      <c r="U231" s="1297"/>
      <c r="V231" s="1297"/>
      <c r="W231" s="1297"/>
      <c r="X231" s="1539"/>
      <c r="Y231" s="1539"/>
      <c r="Z231" s="1529"/>
      <c r="AA231" s="1630"/>
      <c r="AB231" s="251" t="str">
        <f>K231&amp;" год"</f>
        <v>2070 год</v>
      </c>
      <c r="AC231" s="409"/>
      <c r="AD231" s="6972"/>
      <c r="AE231" s="6971"/>
      <c r="AF231" s="6971"/>
      <c r="AG231" s="6972"/>
      <c r="AH231" s="6971"/>
      <c r="AI231" s="6972"/>
      <c r="AJ231" s="6971"/>
      <c r="AK231" s="6973"/>
      <c r="AL231" s="404"/>
      <c r="AM231" s="1297"/>
      <c r="AN231" s="1072" cm="1" t="str">
        <f t="array" ref="AN231:AN231">K231</f>
        <v>2070</v>
      </c>
      <c r="AO231" s="1072" t="s">
        <v>2773</v>
      </c>
      <c r="AP231" s="1082" cm="1" t="str">
        <f t="array" ref="AP231:AP231">AP230</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ПОЛЫСАЕВСКИЙ ГОРОДСКОЙ ОКРУГ</v>
      </c>
      <c r="AQ231" s="709"/>
      <c r="AR231" s="709"/>
    </row>
    <row s="7129" customFormat="1" customHeight="1" ht="14.25" hidden="1">
      <c r="A232" s="1297"/>
      <c r="B232" s="447">
        <f>K232&lt;first_year+PERIOD_LENGTH</f>
        <v>0</v>
      </c>
      <c r="C232" s="1297"/>
      <c r="D232" s="1297"/>
      <c r="E232" s="709">
        <v>15</v>
      </c>
      <c r="F232" s="50" cm="1" t="str">
        <f t="array" ref="F232:F232">OFFSET(E232,-1,1)</f>
        <v>1</v>
      </c>
      <c r="G232" s="94" cm="1" t="str">
        <f t="array" ref="G232:G232">G231</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ПОЛЫСАЕВСКИЙ ГОРОДСКОЙ ОКРУГ</v>
      </c>
      <c r="H232" s="1297"/>
      <c r="I232" s="1297"/>
      <c r="J232" s="1297"/>
      <c r="K232" s="154">
        <f>first_year+47</f>
        <v>2071</v>
      </c>
      <c r="L232" s="1297"/>
      <c r="M232" s="1297"/>
      <c r="N232" s="1297"/>
      <c r="O232" s="1297"/>
      <c r="P232" s="1297"/>
      <c r="Q232" s="1297"/>
      <c r="R232" s="1297"/>
      <c r="S232" s="1297"/>
      <c r="T232" s="468" cm="1" t="str">
        <f t="array" ref="T232:T232">T231</f>
        <v>true</v>
      </c>
      <c r="U232" s="1297"/>
      <c r="V232" s="1297"/>
      <c r="W232" s="1297"/>
      <c r="X232" s="1539"/>
      <c r="Y232" s="1539"/>
      <c r="Z232" s="1529"/>
      <c r="AA232" s="1630"/>
      <c r="AB232" s="251" t="str">
        <f>K232&amp;" год"</f>
        <v>2071 год</v>
      </c>
      <c r="AC232" s="409"/>
      <c r="AD232" s="6972"/>
      <c r="AE232" s="6971"/>
      <c r="AF232" s="6971"/>
      <c r="AG232" s="6972"/>
      <c r="AH232" s="6971"/>
      <c r="AI232" s="6972"/>
      <c r="AJ232" s="6971"/>
      <c r="AK232" s="6973"/>
      <c r="AL232" s="404"/>
      <c r="AM232" s="1297"/>
      <c r="AN232" s="1072" cm="1" t="str">
        <f t="array" ref="AN232:AN232">K232</f>
        <v>2071</v>
      </c>
      <c r="AO232" s="1072" t="s">
        <v>2773</v>
      </c>
      <c r="AP232" s="1082" cm="1" t="str">
        <f t="array" ref="AP232:AP232">AP231</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ПОЛЫСАЕВСКИЙ ГОРОДСКОЙ ОКРУГ</v>
      </c>
      <c r="AQ232" s="709"/>
      <c r="AR232" s="709"/>
    </row>
    <row s="7130" customFormat="1" customHeight="1" ht="14.25" hidden="1">
      <c r="A233" s="1297"/>
      <c r="B233" s="447">
        <f>K233&lt;first_year+PERIOD_LENGTH</f>
        <v>0</v>
      </c>
      <c r="C233" s="1297"/>
      <c r="D233" s="1297"/>
      <c r="E233" s="709">
        <v>15</v>
      </c>
      <c r="F233" s="50" cm="1" t="str">
        <f t="array" ref="F233:F233">OFFSET(E233,-1,1)</f>
        <v>1</v>
      </c>
      <c r="G233" s="94" cm="1" t="str">
        <f t="array" ref="G233:G233">G232</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ПОЛЫСАЕВСКИЙ ГОРОДСКОЙ ОКРУГ</v>
      </c>
      <c r="H233" s="1297"/>
      <c r="I233" s="1297"/>
      <c r="J233" s="1297"/>
      <c r="K233" s="154">
        <f>first_year+48</f>
        <v>2072</v>
      </c>
      <c r="L233" s="1297"/>
      <c r="M233" s="1297"/>
      <c r="N233" s="1297"/>
      <c r="O233" s="1297"/>
      <c r="P233" s="1297"/>
      <c r="Q233" s="1297"/>
      <c r="R233" s="1297"/>
      <c r="S233" s="1297"/>
      <c r="T233" s="468" cm="1" t="str">
        <f t="array" ref="T233:T233">T232</f>
        <v>true</v>
      </c>
      <c r="U233" s="1297"/>
      <c r="V233" s="1297"/>
      <c r="W233" s="1297"/>
      <c r="X233" s="1539"/>
      <c r="Y233" s="1539"/>
      <c r="Z233" s="1529"/>
      <c r="AA233" s="1630"/>
      <c r="AB233" s="251" t="str">
        <f>K233&amp;" год"</f>
        <v>2072 год</v>
      </c>
      <c r="AC233" s="409"/>
      <c r="AD233" s="6972"/>
      <c r="AE233" s="6971"/>
      <c r="AF233" s="6971"/>
      <c r="AG233" s="6972"/>
      <c r="AH233" s="6971"/>
      <c r="AI233" s="6972"/>
      <c r="AJ233" s="6971"/>
      <c r="AK233" s="6973"/>
      <c r="AL233" s="404"/>
      <c r="AM233" s="1297"/>
      <c r="AN233" s="1072" cm="1" t="str">
        <f t="array" ref="AN233:AN233">K233</f>
        <v>2072</v>
      </c>
      <c r="AO233" s="1072" t="s">
        <v>2773</v>
      </c>
      <c r="AP233" s="1082" cm="1" t="str">
        <f t="array" ref="AP233:AP233">AP232</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ПОЛЫСАЕВСКИЙ ГОРОДСКОЙ ОКРУГ</v>
      </c>
      <c r="AQ233" s="709"/>
      <c r="AR233" s="709"/>
    </row>
    <row s="7131" customFormat="1" customHeight="1" ht="14.25" hidden="1">
      <c r="A234" s="1297"/>
      <c r="B234" s="447">
        <f>K234&lt;first_year+PERIOD_LENGTH</f>
        <v>0</v>
      </c>
      <c r="C234" s="1297"/>
      <c r="D234" s="1297"/>
      <c r="E234" s="709">
        <v>15</v>
      </c>
      <c r="F234" s="50" cm="1" t="str">
        <f t="array" ref="F234:F234">OFFSET(E234,-1,1)</f>
        <v>1</v>
      </c>
      <c r="G234" s="94" cm="1" t="str">
        <f t="array" ref="G234:G234">G233</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ПОЛЫСАЕВСКИЙ ГОРОДСКОЙ ОКРУГ</v>
      </c>
      <c r="H234" s="1297"/>
      <c r="I234" s="1297"/>
      <c r="J234" s="1297"/>
      <c r="K234" s="154">
        <f>first_year+49</f>
        <v>2073</v>
      </c>
      <c r="L234" s="1297"/>
      <c r="M234" s="1297"/>
      <c r="N234" s="1297"/>
      <c r="O234" s="1297"/>
      <c r="P234" s="1297"/>
      <c r="Q234" s="1297"/>
      <c r="R234" s="1297"/>
      <c r="S234" s="1297"/>
      <c r="T234" s="468" cm="1" t="str">
        <f t="array" ref="T234:T234">T233</f>
        <v>true</v>
      </c>
      <c r="U234" s="1297"/>
      <c r="V234" s="1297"/>
      <c r="W234" s="1297"/>
      <c r="X234" s="1539"/>
      <c r="Y234" s="1539"/>
      <c r="Z234" s="1529"/>
      <c r="AA234" s="1630"/>
      <c r="AB234" s="251" t="str">
        <f>K234&amp;" год"</f>
        <v>2073 год</v>
      </c>
      <c r="AC234" s="409"/>
      <c r="AD234" s="6972"/>
      <c r="AE234" s="6971"/>
      <c r="AF234" s="6971"/>
      <c r="AG234" s="6972"/>
      <c r="AH234" s="6971"/>
      <c r="AI234" s="6972"/>
      <c r="AJ234" s="6971"/>
      <c r="AK234" s="6973"/>
      <c r="AL234" s="404"/>
      <c r="AM234" s="1297"/>
      <c r="AN234" s="1072" cm="1" t="str">
        <f t="array" ref="AN234:AN234">K234</f>
        <v>2073</v>
      </c>
      <c r="AO234" s="1072" t="s">
        <v>2773</v>
      </c>
      <c r="AP234" s="1082" cm="1" t="str">
        <f t="array" ref="AP234:AP234">AP233</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  ПОЛЫСАЕВСКИЙ ГОРОДСКОЙ ОКРУГ</v>
      </c>
      <c r="AQ234" s="709"/>
      <c r="AR234" s="709"/>
    </row>
    <row s="1656" customFormat="1" customHeight="1" ht="14.25">
      <c r="A235" s="154"/>
      <c r="B235" s="434"/>
      <c r="C235" s="154"/>
      <c r="D235" s="154"/>
      <c r="E235" s="709">
        <v>15</v>
      </c>
      <c r="F235" s="1194" cm="1" t="str">
        <f t="array" ref="F235:F235">OFFSET(E235,-1,1)</f>
        <v>1</v>
      </c>
      <c r="G235" s="154" t="str">
        <f>"!== 'не определено'"</f>
        <v>!== 'не определено'</v>
      </c>
      <c r="H235" s="154"/>
      <c r="I235" s="154"/>
      <c r="J235" s="154"/>
      <c r="K235" s="154"/>
      <c r="L235" s="154"/>
      <c r="M235" s="154"/>
      <c r="N235" s="154"/>
      <c r="O235" s="154"/>
      <c r="P235" s="154"/>
      <c r="Q235" s="154"/>
      <c r="R235" s="154"/>
      <c r="S235" s="154"/>
      <c r="T235" s="468">
        <f>F235&gt;0</f>
        <v>1</v>
      </c>
      <c r="U235" s="154"/>
      <c r="V235" s="154"/>
      <c r="W235" s="836" t="s">
        <v>2774</v>
      </c>
      <c r="X235" s="1539"/>
      <c r="Y235" s="154"/>
      <c r="Z235" s="1529"/>
      <c r="AA235" s="154"/>
      <c r="AB235" s="945" t="s">
        <v>177</v>
      </c>
      <c r="AC235" s="300"/>
      <c r="AD235" s="300"/>
      <c r="AE235" s="300"/>
      <c r="AF235" s="300"/>
      <c r="AG235" s="300"/>
      <c r="AH235" s="300"/>
      <c r="AI235" s="300"/>
      <c r="AJ235" s="300"/>
      <c r="AK235" s="300"/>
      <c r="AL235" s="404"/>
      <c r="AM235" s="1656"/>
      <c r="AN235" s="1012"/>
      <c r="AO235" s="1012"/>
      <c r="AP235" s="1012"/>
      <c r="AQ235" s="1015" t="s">
        <v>2773</v>
      </c>
      <c r="AR235" s="629"/>
    </row>
    <row s="541" customFormat="1" customHeight="1" ht="25.921875">
      <c r="A236" s="1331"/>
      <c r="B236" s="430"/>
      <c r="C236" s="1331"/>
      <c r="D236" s="1331"/>
      <c r="E236" s="623">
        <v>15</v>
      </c>
      <c r="F236" s="94" cm="1" t="str">
        <f t="array" ref="F236:F236">X236</f>
        <v>2</v>
      </c>
      <c r="G236" s="1331"/>
      <c r="H236" s="1331"/>
      <c r="I236" s="1331"/>
      <c r="J236" s="1331"/>
      <c r="K236" s="1331"/>
      <c r="L236" s="1331"/>
      <c r="M236" s="1331"/>
      <c r="N236" s="1331"/>
      <c r="O236" s="1331"/>
      <c r="P236" s="1331"/>
      <c r="Q236" s="1331"/>
      <c r="R236" s="1331"/>
      <c r="S236" s="1331"/>
      <c r="T236" s="468">
        <f>X236&gt;0</f>
        <v>1</v>
      </c>
      <c r="U236" s="1331"/>
      <c r="V236" s="118" cm="1" t="str">
        <f t="array" ref="V236:V236">ДПР!$AB$132</f>
        <v>Тариф 2 (Водоотведение) - тариф на водоотведение (Оказание услуг на территории: город Ленинск-Кузнецкий (ОКТМО: 32719000) - г Ленинск-Кузнецкий)</v>
      </c>
      <c r="W236" s="1331"/>
      <c r="X236" s="1539" t="s">
        <v>299</v>
      </c>
      <c r="Y236" s="1331"/>
      <c r="Z236" s="1529"/>
      <c r="AA236" s="1331"/>
      <c r="AB236" s="377" cm="1" t="str">
        <f t="array" ref="AB236:AB236">ДПР!$AB$132</f>
        <v>Тариф 2 (Водоотведение) - тариф на водоотведение (Оказание услуг на территории: город Ленинск-Кузнецкий (ОКТМО: 32719000) - г Ленинск-Кузнецкий)</v>
      </c>
      <c r="AC236" s="239"/>
      <c r="AD236" s="239"/>
      <c r="AE236" s="239"/>
      <c r="AF236" s="239"/>
      <c r="AG236" s="239"/>
      <c r="AH236" s="239"/>
      <c r="AI236" s="239"/>
      <c r="AJ236" s="239"/>
      <c r="AK236" s="239"/>
      <c r="AL236" s="403"/>
      <c r="AM236" s="1331"/>
      <c r="AN236" s="1005"/>
      <c r="AO236" s="1005"/>
      <c r="AP236" s="1005"/>
      <c r="AQ236" s="623"/>
      <c r="AR236" s="623"/>
    </row>
    <row s="541" customFormat="1" customHeight="1" ht="14.25" hidden="1">
      <c r="A237" s="1331"/>
      <c r="B237" s="430"/>
      <c r="C237" s="1331"/>
      <c r="D237" s="1331"/>
      <c r="E237" s="623">
        <v>15</v>
      </c>
      <c r="F237" s="50" cm="1" t="str">
        <f t="array" ref="F237:F237">OFFSET(E237,-1,1)</f>
        <v>2</v>
      </c>
      <c r="G237" s="118" cm="1" t="str">
        <f t="array" ref="G237:G237">AB237</f>
        <v>0</v>
      </c>
      <c r="H237" s="1331"/>
      <c r="I237" s="1331"/>
      <c r="J237" s="1331"/>
      <c r="K237" s="1331"/>
      <c r="L237" s="1331"/>
      <c r="M237" s="1331"/>
      <c r="N237" s="1331"/>
      <c r="O237" s="1331"/>
      <c r="P237" s="1331"/>
      <c r="Q237" s="1331"/>
      <c r="R237" s="1331"/>
      <c r="S237" s="1331"/>
      <c r="T237" s="468">
        <f>AND(F237&gt;0,Y237&gt;0)</f>
        <v>0</v>
      </c>
      <c r="U237" s="1331"/>
      <c r="V237" s="1331"/>
      <c r="W237" s="118" t="s">
        <v>173</v>
      </c>
      <c r="X237" s="1539"/>
      <c r="Y237" s="1539">
        <v>0</v>
      </c>
      <c r="Z237" s="1529"/>
      <c r="AA237" s="1630" t="s">
        <v>174</v>
      </c>
      <c r="AB237" s="6967"/>
      <c r="AC237" s="6967"/>
      <c r="AD237" s="6967"/>
      <c r="AE237" s="6967"/>
      <c r="AF237" s="6967"/>
      <c r="AG237" s="6967"/>
      <c r="AH237" s="6967"/>
      <c r="AI237" s="6967"/>
      <c r="AJ237" s="6967"/>
      <c r="AK237" s="6968"/>
      <c r="AL237" s="403"/>
      <c r="AM237" s="1331"/>
      <c r="AN237" s="1005"/>
      <c r="AO237" s="1072" t="s">
        <v>2773</v>
      </c>
      <c r="AP237" s="1087" cm="1" t="str">
        <f t="array" ref="AP237:AP237">AB237</f>
        <v>0</v>
      </c>
      <c r="AQ237" s="623"/>
      <c r="AR237" s="623" t="b">
        <v>1</v>
      </c>
    </row>
    <row s="7142" customFormat="1" customHeight="1" ht="14.25" hidden="1">
      <c r="A238" s="1297"/>
      <c r="B238" s="447">
        <f>K238&lt;first_year+PERIOD_LENGTH</f>
        <v>1</v>
      </c>
      <c r="C238" s="1297"/>
      <c r="D238" s="1297"/>
      <c r="E238" s="709">
        <v>15</v>
      </c>
      <c r="F238" s="50" cm="1" t="str">
        <f t="array" ref="F238:F238">OFFSET(E238,-1,1)</f>
        <v>2</v>
      </c>
      <c r="G238" s="94" cm="1" t="str">
        <f t="array" ref="G238:G238">G237</f>
        <v>0</v>
      </c>
      <c r="H238" s="1297"/>
      <c r="I238" s="1297"/>
      <c r="J238" s="1297"/>
      <c r="K238" s="154" cm="1" t="str">
        <f t="array" ref="K238:K238">first_year</f>
        <v>2024</v>
      </c>
      <c r="L238" s="1297"/>
      <c r="M238" s="1297"/>
      <c r="N238" s="1297"/>
      <c r="O238" s="1297"/>
      <c r="P238" s="1297"/>
      <c r="Q238" s="1297"/>
      <c r="R238" s="1297"/>
      <c r="S238" s="1297"/>
      <c r="T238" s="468" cm="1" t="str">
        <f t="array" ref="T238:T238">T237</f>
        <v>false</v>
      </c>
      <c r="U238" s="1297"/>
      <c r="V238" s="1297"/>
      <c r="W238" s="1297"/>
      <c r="X238" s="1539"/>
      <c r="Y238" s="1539"/>
      <c r="Z238" s="1529"/>
      <c r="AA238" s="1630"/>
      <c r="AB238" s="298" t="str">
        <f>K238&amp;" год"</f>
        <v>2024 год</v>
      </c>
      <c r="AC238" s="6971"/>
      <c r="AD238" s="6972"/>
      <c r="AE238" s="6971"/>
      <c r="AF238" s="6971"/>
      <c r="AG238" s="6972"/>
      <c r="AH238" s="6971"/>
      <c r="AI238" s="6972"/>
      <c r="AJ238" s="6971"/>
      <c r="AK238" s="6973"/>
      <c r="AL238" s="404"/>
      <c r="AM238" s="1297"/>
      <c r="AN238" s="1072" cm="1" t="str">
        <f t="array" ref="AN238:AN238">K238</f>
        <v>2024</v>
      </c>
      <c r="AO238" s="1072" t="s">
        <v>2773</v>
      </c>
      <c r="AP238" s="1082" cm="1" t="str">
        <f t="array" ref="AP238:AP238">AP237</f>
        <v>0</v>
      </c>
      <c r="AQ238" s="709"/>
      <c r="AR238" s="709"/>
    </row>
    <row s="7143" customFormat="1" customHeight="1" ht="14.25" hidden="1">
      <c r="A239" s="1297"/>
      <c r="B239" s="447">
        <f>K239&lt;first_year+PERIOD_LENGTH</f>
        <v>1</v>
      </c>
      <c r="C239" s="1297"/>
      <c r="D239" s="1297"/>
      <c r="E239" s="709">
        <v>15</v>
      </c>
      <c r="F239" s="50" cm="1" t="str">
        <f t="array" ref="F239:F239">OFFSET(E239,-1,1)</f>
        <v>2</v>
      </c>
      <c r="G239" s="94" cm="1" t="str">
        <f t="array" ref="G239:G239">G238</f>
        <v>0</v>
      </c>
      <c r="H239" s="1297"/>
      <c r="I239" s="1297"/>
      <c r="J239" s="1297"/>
      <c r="K239" s="154">
        <f>first_year+1</f>
        <v>2025</v>
      </c>
      <c r="L239" s="1297"/>
      <c r="M239" s="1297"/>
      <c r="N239" s="1297"/>
      <c r="O239" s="1297"/>
      <c r="P239" s="1297"/>
      <c r="Q239" s="1297"/>
      <c r="R239" s="1297"/>
      <c r="S239" s="1297"/>
      <c r="T239" s="468" cm="1" t="str">
        <f t="array" ref="T239:T239">T238</f>
        <v>false</v>
      </c>
      <c r="U239" s="1297"/>
      <c r="V239" s="1297"/>
      <c r="W239" s="1297"/>
      <c r="X239" s="1539"/>
      <c r="Y239" s="1539"/>
      <c r="Z239" s="1529"/>
      <c r="AA239" s="1630"/>
      <c r="AB239" s="251" t="str">
        <f>K239&amp;" год"</f>
        <v>2025 год</v>
      </c>
      <c r="AC239" s="409"/>
      <c r="AD239" s="6972"/>
      <c r="AE239" s="6971"/>
      <c r="AF239" s="6971"/>
      <c r="AG239" s="6972"/>
      <c r="AH239" s="6971"/>
      <c r="AI239" s="6972"/>
      <c r="AJ239" s="6971"/>
      <c r="AK239" s="6973"/>
      <c r="AL239" s="404"/>
      <c r="AM239" s="1297"/>
      <c r="AN239" s="1072" cm="1" t="str">
        <f t="array" ref="AN239:AN239">K239</f>
        <v>2025</v>
      </c>
      <c r="AO239" s="1072" t="s">
        <v>2773</v>
      </c>
      <c r="AP239" s="1082" cm="1" t="str">
        <f t="array" ref="AP239:AP239">AP238</f>
        <v>0</v>
      </c>
      <c r="AQ239" s="709"/>
      <c r="AR239" s="709"/>
    </row>
    <row s="7144" customFormat="1" customHeight="1" ht="14.25" hidden="1">
      <c r="A240" s="1297"/>
      <c r="B240" s="447">
        <f>K240&lt;first_year+PERIOD_LENGTH</f>
        <v>1</v>
      </c>
      <c r="C240" s="1297"/>
      <c r="D240" s="1297"/>
      <c r="E240" s="709">
        <v>15</v>
      </c>
      <c r="F240" s="50" cm="1" t="str">
        <f t="array" ref="F240:F240">OFFSET(E240,-1,1)</f>
        <v>2</v>
      </c>
      <c r="G240" s="94" cm="1" t="str">
        <f t="array" ref="G240:G240">G239</f>
        <v>0</v>
      </c>
      <c r="H240" s="1297"/>
      <c r="I240" s="1297"/>
      <c r="J240" s="1297"/>
      <c r="K240" s="154">
        <f>first_year+2</f>
        <v>2026</v>
      </c>
      <c r="L240" s="1297"/>
      <c r="M240" s="1297"/>
      <c r="N240" s="1297"/>
      <c r="O240" s="1297"/>
      <c r="P240" s="1297"/>
      <c r="Q240" s="1297"/>
      <c r="R240" s="1297"/>
      <c r="S240" s="1297"/>
      <c r="T240" s="468" cm="1" t="str">
        <f t="array" ref="T240:T240">T239</f>
        <v>false</v>
      </c>
      <c r="U240" s="1297"/>
      <c r="V240" s="1297"/>
      <c r="W240" s="1297"/>
      <c r="X240" s="1539"/>
      <c r="Y240" s="1539"/>
      <c r="Z240" s="1529"/>
      <c r="AA240" s="1630"/>
      <c r="AB240" s="251" t="str">
        <f>K240&amp;" год"</f>
        <v>2026 год</v>
      </c>
      <c r="AC240" s="409"/>
      <c r="AD240" s="6972"/>
      <c r="AE240" s="6971"/>
      <c r="AF240" s="6971"/>
      <c r="AG240" s="6972"/>
      <c r="AH240" s="6971"/>
      <c r="AI240" s="6972"/>
      <c r="AJ240" s="6971"/>
      <c r="AK240" s="6973"/>
      <c r="AL240" s="404"/>
      <c r="AM240" s="1297"/>
      <c r="AN240" s="1072" cm="1" t="str">
        <f t="array" ref="AN240:AN240">K240</f>
        <v>2026</v>
      </c>
      <c r="AO240" s="1072" t="s">
        <v>2773</v>
      </c>
      <c r="AP240" s="1082" cm="1" t="str">
        <f t="array" ref="AP240:AP240">AP239</f>
        <v>0</v>
      </c>
      <c r="AQ240" s="709"/>
      <c r="AR240" s="709"/>
    </row>
    <row s="7145" customFormat="1" customHeight="1" ht="14.25" hidden="1">
      <c r="A241" s="1297"/>
      <c r="B241" s="447">
        <f>K241&lt;first_year+PERIOD_LENGTH</f>
        <v>1</v>
      </c>
      <c r="C241" s="1297"/>
      <c r="D241" s="1297"/>
      <c r="E241" s="709">
        <v>15</v>
      </c>
      <c r="F241" s="50" cm="1" t="str">
        <f t="array" ref="F241:F241">OFFSET(E241,-1,1)</f>
        <v>2</v>
      </c>
      <c r="G241" s="94" cm="1" t="str">
        <f t="array" ref="G241:G241">G240</f>
        <v>0</v>
      </c>
      <c r="H241" s="1297"/>
      <c r="I241" s="1297"/>
      <c r="J241" s="1297"/>
      <c r="K241" s="154">
        <f>first_year+3</f>
        <v>2027</v>
      </c>
      <c r="L241" s="1297"/>
      <c r="M241" s="1297"/>
      <c r="N241" s="1297"/>
      <c r="O241" s="1297"/>
      <c r="P241" s="1297"/>
      <c r="Q241" s="1297"/>
      <c r="R241" s="1297"/>
      <c r="S241" s="1297"/>
      <c r="T241" s="468" cm="1" t="str">
        <f t="array" ref="T241:T241">T240</f>
        <v>false</v>
      </c>
      <c r="U241" s="1297"/>
      <c r="V241" s="1297"/>
      <c r="W241" s="1297"/>
      <c r="X241" s="1539"/>
      <c r="Y241" s="1539"/>
      <c r="Z241" s="1529"/>
      <c r="AA241" s="1630"/>
      <c r="AB241" s="251" t="str">
        <f>K241&amp;" год"</f>
        <v>2027 год</v>
      </c>
      <c r="AC241" s="409"/>
      <c r="AD241" s="6972"/>
      <c r="AE241" s="6971"/>
      <c r="AF241" s="6971"/>
      <c r="AG241" s="6972"/>
      <c r="AH241" s="6971"/>
      <c r="AI241" s="6972"/>
      <c r="AJ241" s="6971"/>
      <c r="AK241" s="6973"/>
      <c r="AL241" s="404"/>
      <c r="AM241" s="1297"/>
      <c r="AN241" s="1072" cm="1" t="str">
        <f t="array" ref="AN241:AN241">K241</f>
        <v>2027</v>
      </c>
      <c r="AO241" s="1072" t="s">
        <v>2773</v>
      </c>
      <c r="AP241" s="1082" cm="1" t="str">
        <f t="array" ref="AP241:AP241">AP240</f>
        <v>0</v>
      </c>
      <c r="AQ241" s="709"/>
      <c r="AR241" s="709"/>
    </row>
    <row s="7146" customFormat="1" customHeight="1" ht="14.25" hidden="1">
      <c r="A242" s="1297"/>
      <c r="B242" s="447">
        <f>K242&lt;first_year+PERIOD_LENGTH</f>
        <v>1</v>
      </c>
      <c r="C242" s="1297"/>
      <c r="D242" s="1297"/>
      <c r="E242" s="709">
        <v>15</v>
      </c>
      <c r="F242" s="50" cm="1" t="str">
        <f t="array" ref="F242:F242">OFFSET(E242,-1,1)</f>
        <v>2</v>
      </c>
      <c r="G242" s="94" cm="1" t="str">
        <f t="array" ref="G242:G242">G241</f>
        <v>0</v>
      </c>
      <c r="H242" s="1297"/>
      <c r="I242" s="1297"/>
      <c r="J242" s="1297"/>
      <c r="K242" s="154">
        <f>first_year+4</f>
        <v>2028</v>
      </c>
      <c r="L242" s="1297"/>
      <c r="M242" s="1297"/>
      <c r="N242" s="1297"/>
      <c r="O242" s="1297"/>
      <c r="P242" s="1297"/>
      <c r="Q242" s="1297"/>
      <c r="R242" s="1297"/>
      <c r="S242" s="1297"/>
      <c r="T242" s="468" cm="1" t="str">
        <f t="array" ref="T242:T242">T241</f>
        <v>false</v>
      </c>
      <c r="U242" s="1297"/>
      <c r="V242" s="1297"/>
      <c r="W242" s="1297"/>
      <c r="X242" s="1539"/>
      <c r="Y242" s="1539"/>
      <c r="Z242" s="1529"/>
      <c r="AA242" s="1630"/>
      <c r="AB242" s="251" t="str">
        <f>K242&amp;" год"</f>
        <v>2028 год</v>
      </c>
      <c r="AC242" s="409"/>
      <c r="AD242" s="6972"/>
      <c r="AE242" s="6971"/>
      <c r="AF242" s="6971"/>
      <c r="AG242" s="6972"/>
      <c r="AH242" s="6971"/>
      <c r="AI242" s="6972"/>
      <c r="AJ242" s="6971"/>
      <c r="AK242" s="6973"/>
      <c r="AL242" s="404"/>
      <c r="AM242" s="1297"/>
      <c r="AN242" s="1072" cm="1" t="str">
        <f t="array" ref="AN242:AN242">K242</f>
        <v>2028</v>
      </c>
      <c r="AO242" s="1072" t="s">
        <v>2773</v>
      </c>
      <c r="AP242" s="1082" cm="1" t="str">
        <f t="array" ref="AP242:AP242">AP241</f>
        <v>0</v>
      </c>
      <c r="AQ242" s="709"/>
      <c r="AR242" s="709"/>
    </row>
    <row s="7147" customFormat="1" customHeight="1" ht="14.25" hidden="1">
      <c r="A243" s="1297"/>
      <c r="B243" s="447">
        <f>K243&lt;first_year+PERIOD_LENGTH</f>
        <v>0</v>
      </c>
      <c r="C243" s="1297"/>
      <c r="D243" s="1297"/>
      <c r="E243" s="709">
        <v>15</v>
      </c>
      <c r="F243" s="50" cm="1" t="str">
        <f t="array" ref="F243:F243">OFFSET(E243,-1,1)</f>
        <v>2</v>
      </c>
      <c r="G243" s="94" cm="1" t="str">
        <f t="array" ref="G243:G243">G242</f>
        <v>0</v>
      </c>
      <c r="H243" s="1297"/>
      <c r="I243" s="1297"/>
      <c r="J243" s="1297"/>
      <c r="K243" s="154">
        <f>first_year+5</f>
        <v>2029</v>
      </c>
      <c r="L243" s="1297"/>
      <c r="M243" s="1297"/>
      <c r="N243" s="1297"/>
      <c r="O243" s="1297"/>
      <c r="P243" s="1297"/>
      <c r="Q243" s="1297"/>
      <c r="R243" s="1297"/>
      <c r="S243" s="1297"/>
      <c r="T243" s="468" cm="1" t="str">
        <f t="array" ref="T243:T243">T242</f>
        <v>false</v>
      </c>
      <c r="U243" s="1297"/>
      <c r="V243" s="1297"/>
      <c r="W243" s="1297"/>
      <c r="X243" s="1539"/>
      <c r="Y243" s="1539"/>
      <c r="Z243" s="1529"/>
      <c r="AA243" s="1630"/>
      <c r="AB243" s="251" t="str">
        <f>K243&amp;" год"</f>
        <v>2029 год</v>
      </c>
      <c r="AC243" s="409"/>
      <c r="AD243" s="6972"/>
      <c r="AE243" s="6971"/>
      <c r="AF243" s="6971"/>
      <c r="AG243" s="6972"/>
      <c r="AH243" s="6971"/>
      <c r="AI243" s="6972"/>
      <c r="AJ243" s="6971"/>
      <c r="AK243" s="6973"/>
      <c r="AL243" s="404"/>
      <c r="AM243" s="1297"/>
      <c r="AN243" s="1072" cm="1" t="str">
        <f t="array" ref="AN243:AN243">K243</f>
        <v>2029</v>
      </c>
      <c r="AO243" s="1072" t="s">
        <v>2773</v>
      </c>
      <c r="AP243" s="1082" cm="1" t="str">
        <f t="array" ref="AP243:AP243">AP242</f>
        <v>0</v>
      </c>
      <c r="AQ243" s="709"/>
      <c r="AR243" s="709"/>
    </row>
    <row s="7148" customFormat="1" customHeight="1" ht="14.25" hidden="1">
      <c r="A244" s="1297"/>
      <c r="B244" s="447">
        <f>K244&lt;first_year+PERIOD_LENGTH</f>
        <v>0</v>
      </c>
      <c r="C244" s="1297"/>
      <c r="D244" s="1297"/>
      <c r="E244" s="709">
        <v>15</v>
      </c>
      <c r="F244" s="50" cm="1" t="str">
        <f t="array" ref="F244:F244">OFFSET(E244,-1,1)</f>
        <v>2</v>
      </c>
      <c r="G244" s="94" cm="1" t="str">
        <f t="array" ref="G244:G244">G243</f>
        <v>0</v>
      </c>
      <c r="H244" s="1297"/>
      <c r="I244" s="1297"/>
      <c r="J244" s="1297"/>
      <c r="K244" s="154">
        <f>first_year+6</f>
        <v>2030</v>
      </c>
      <c r="L244" s="1297"/>
      <c r="M244" s="1297"/>
      <c r="N244" s="1297"/>
      <c r="O244" s="1297"/>
      <c r="P244" s="1297"/>
      <c r="Q244" s="1297"/>
      <c r="R244" s="1297"/>
      <c r="S244" s="1297"/>
      <c r="T244" s="468" cm="1" t="str">
        <f t="array" ref="T244:T244">T243</f>
        <v>false</v>
      </c>
      <c r="U244" s="1297"/>
      <c r="V244" s="1297"/>
      <c r="W244" s="1297"/>
      <c r="X244" s="1539"/>
      <c r="Y244" s="1539"/>
      <c r="Z244" s="1529"/>
      <c r="AA244" s="1630"/>
      <c r="AB244" s="251" t="str">
        <f>K244&amp;" год"</f>
        <v>2030 год</v>
      </c>
      <c r="AC244" s="409"/>
      <c r="AD244" s="6972"/>
      <c r="AE244" s="6971"/>
      <c r="AF244" s="6971"/>
      <c r="AG244" s="6972"/>
      <c r="AH244" s="6971"/>
      <c r="AI244" s="6972"/>
      <c r="AJ244" s="6971"/>
      <c r="AK244" s="6973"/>
      <c r="AL244" s="404"/>
      <c r="AM244" s="1297"/>
      <c r="AN244" s="1072" cm="1" t="str">
        <f t="array" ref="AN244:AN244">K244</f>
        <v>2030</v>
      </c>
      <c r="AO244" s="1072" t="s">
        <v>2773</v>
      </c>
      <c r="AP244" s="1082" cm="1" t="str">
        <f t="array" ref="AP244:AP244">AP243</f>
        <v>0</v>
      </c>
      <c r="AQ244" s="709"/>
      <c r="AR244" s="709"/>
    </row>
    <row s="7149" customFormat="1" customHeight="1" ht="14.25" hidden="1">
      <c r="A245" s="1297"/>
      <c r="B245" s="447">
        <f>K245&lt;first_year+PERIOD_LENGTH</f>
        <v>0</v>
      </c>
      <c r="C245" s="1297"/>
      <c r="D245" s="1297"/>
      <c r="E245" s="709">
        <v>15</v>
      </c>
      <c r="F245" s="50" cm="1" t="str">
        <f t="array" ref="F245:F245">OFFSET(E245,-1,1)</f>
        <v>2</v>
      </c>
      <c r="G245" s="94" cm="1" t="str">
        <f t="array" ref="G245:G245">G244</f>
        <v>0</v>
      </c>
      <c r="H245" s="1297"/>
      <c r="I245" s="1297"/>
      <c r="J245" s="1297"/>
      <c r="K245" s="154">
        <f>first_year+7</f>
        <v>2031</v>
      </c>
      <c r="L245" s="1297"/>
      <c r="M245" s="1297"/>
      <c r="N245" s="1297"/>
      <c r="O245" s="1297"/>
      <c r="P245" s="1297"/>
      <c r="Q245" s="1297"/>
      <c r="R245" s="1297"/>
      <c r="S245" s="1297"/>
      <c r="T245" s="468" cm="1" t="str">
        <f t="array" ref="T245:T245">T244</f>
        <v>false</v>
      </c>
      <c r="U245" s="1297"/>
      <c r="V245" s="1297"/>
      <c r="W245" s="1297"/>
      <c r="X245" s="1539"/>
      <c r="Y245" s="1539"/>
      <c r="Z245" s="1529"/>
      <c r="AA245" s="1630"/>
      <c r="AB245" s="251" t="str">
        <f>K245&amp;" год"</f>
        <v>2031 год</v>
      </c>
      <c r="AC245" s="409"/>
      <c r="AD245" s="6972"/>
      <c r="AE245" s="6971"/>
      <c r="AF245" s="6971"/>
      <c r="AG245" s="6972"/>
      <c r="AH245" s="6971"/>
      <c r="AI245" s="6972"/>
      <c r="AJ245" s="6971"/>
      <c r="AK245" s="6973"/>
      <c r="AL245" s="404"/>
      <c r="AM245" s="1297"/>
      <c r="AN245" s="1072" cm="1" t="str">
        <f t="array" ref="AN245:AN245">K245</f>
        <v>2031</v>
      </c>
      <c r="AO245" s="1072" t="s">
        <v>2773</v>
      </c>
      <c r="AP245" s="1082" cm="1" t="str">
        <f t="array" ref="AP245:AP245">AP244</f>
        <v>0</v>
      </c>
      <c r="AQ245" s="709"/>
      <c r="AR245" s="709"/>
    </row>
    <row s="7150" customFormat="1" customHeight="1" ht="14.25" hidden="1">
      <c r="A246" s="1297"/>
      <c r="B246" s="447">
        <f>K246&lt;first_year+PERIOD_LENGTH</f>
        <v>0</v>
      </c>
      <c r="C246" s="1297"/>
      <c r="D246" s="1297"/>
      <c r="E246" s="709">
        <v>15</v>
      </c>
      <c r="F246" s="50" cm="1" t="str">
        <f t="array" ref="F246:F246">OFFSET(E246,-1,1)</f>
        <v>2</v>
      </c>
      <c r="G246" s="94" cm="1" t="str">
        <f t="array" ref="G246:G246">G245</f>
        <v>0</v>
      </c>
      <c r="H246" s="1297"/>
      <c r="I246" s="1297"/>
      <c r="J246" s="1297"/>
      <c r="K246" s="154">
        <f>first_year+8</f>
        <v>2032</v>
      </c>
      <c r="L246" s="1297"/>
      <c r="M246" s="1297"/>
      <c r="N246" s="1297"/>
      <c r="O246" s="1297"/>
      <c r="P246" s="1297"/>
      <c r="Q246" s="1297"/>
      <c r="R246" s="1297"/>
      <c r="S246" s="1297"/>
      <c r="T246" s="468" cm="1" t="str">
        <f t="array" ref="T246:T246">T245</f>
        <v>false</v>
      </c>
      <c r="U246" s="1297"/>
      <c r="V246" s="1297"/>
      <c r="W246" s="1297"/>
      <c r="X246" s="1539"/>
      <c r="Y246" s="1539"/>
      <c r="Z246" s="1529"/>
      <c r="AA246" s="1630"/>
      <c r="AB246" s="251" t="str">
        <f>K246&amp;" год"</f>
        <v>2032 год</v>
      </c>
      <c r="AC246" s="409"/>
      <c r="AD246" s="6972"/>
      <c r="AE246" s="6971"/>
      <c r="AF246" s="6971"/>
      <c r="AG246" s="6972"/>
      <c r="AH246" s="6971"/>
      <c r="AI246" s="6972"/>
      <c r="AJ246" s="6971"/>
      <c r="AK246" s="6973"/>
      <c r="AL246" s="404"/>
      <c r="AM246" s="1297"/>
      <c r="AN246" s="1072" cm="1" t="str">
        <f t="array" ref="AN246:AN246">K246</f>
        <v>2032</v>
      </c>
      <c r="AO246" s="1072" t="s">
        <v>2773</v>
      </c>
      <c r="AP246" s="1082" cm="1" t="str">
        <f t="array" ref="AP246:AP246">AP245</f>
        <v>0</v>
      </c>
      <c r="AQ246" s="709"/>
      <c r="AR246" s="709"/>
    </row>
    <row s="7151" customFormat="1" customHeight="1" ht="14.25" hidden="1">
      <c r="A247" s="1297"/>
      <c r="B247" s="447">
        <f>K247&lt;first_year+PERIOD_LENGTH</f>
        <v>0</v>
      </c>
      <c r="C247" s="1297"/>
      <c r="D247" s="1297"/>
      <c r="E247" s="709">
        <v>15</v>
      </c>
      <c r="F247" s="50" cm="1" t="str">
        <f t="array" ref="F247:F247">OFFSET(E247,-1,1)</f>
        <v>2</v>
      </c>
      <c r="G247" s="94" cm="1" t="str">
        <f t="array" ref="G247:G247">G246</f>
        <v>0</v>
      </c>
      <c r="H247" s="1297"/>
      <c r="I247" s="1297"/>
      <c r="J247" s="1297"/>
      <c r="K247" s="154">
        <f>first_year+9</f>
        <v>2033</v>
      </c>
      <c r="L247" s="1297"/>
      <c r="M247" s="1297"/>
      <c r="N247" s="1297"/>
      <c r="O247" s="1297"/>
      <c r="P247" s="1297"/>
      <c r="Q247" s="1297"/>
      <c r="R247" s="1297"/>
      <c r="S247" s="1297"/>
      <c r="T247" s="468" cm="1" t="str">
        <f t="array" ref="T247:T247">T246</f>
        <v>false</v>
      </c>
      <c r="U247" s="1297"/>
      <c r="V247" s="1297"/>
      <c r="W247" s="1297"/>
      <c r="X247" s="1539"/>
      <c r="Y247" s="1539"/>
      <c r="Z247" s="1529"/>
      <c r="AA247" s="1630"/>
      <c r="AB247" s="251" t="str">
        <f>K247&amp;" год"</f>
        <v>2033 год</v>
      </c>
      <c r="AC247" s="409"/>
      <c r="AD247" s="6972"/>
      <c r="AE247" s="6971"/>
      <c r="AF247" s="6971"/>
      <c r="AG247" s="6972"/>
      <c r="AH247" s="6971"/>
      <c r="AI247" s="6972"/>
      <c r="AJ247" s="6971"/>
      <c r="AK247" s="6973"/>
      <c r="AL247" s="404"/>
      <c r="AM247" s="1297"/>
      <c r="AN247" s="1072" cm="1" t="str">
        <f t="array" ref="AN247:AN247">K247</f>
        <v>2033</v>
      </c>
      <c r="AO247" s="1072" t="s">
        <v>2773</v>
      </c>
      <c r="AP247" s="1082" cm="1" t="str">
        <f t="array" ref="AP247:AP247">AP246</f>
        <v>0</v>
      </c>
      <c r="AQ247" s="709"/>
      <c r="AR247" s="709"/>
    </row>
    <row s="7152" customFormat="1" customHeight="1" ht="14.25" hidden="1">
      <c r="A248" s="1297"/>
      <c r="B248" s="447">
        <f>K248&lt;first_year+PERIOD_LENGTH</f>
        <v>0</v>
      </c>
      <c r="C248" s="1297"/>
      <c r="D248" s="1297"/>
      <c r="E248" s="709">
        <v>15</v>
      </c>
      <c r="F248" s="50" cm="1" t="str">
        <f t="array" ref="F248:F248">OFFSET(E248,-1,1)</f>
        <v>2</v>
      </c>
      <c r="G248" s="94" cm="1" t="str">
        <f t="array" ref="G248:G248">G247</f>
        <v>0</v>
      </c>
      <c r="H248" s="1297"/>
      <c r="I248" s="1297"/>
      <c r="J248" s="1297"/>
      <c r="K248" s="154">
        <f>first_year+10</f>
        <v>2034</v>
      </c>
      <c r="L248" s="1297"/>
      <c r="M248" s="1297"/>
      <c r="N248" s="1297"/>
      <c r="O248" s="1297"/>
      <c r="P248" s="1297"/>
      <c r="Q248" s="1297"/>
      <c r="R248" s="1297"/>
      <c r="S248" s="1297"/>
      <c r="T248" s="468" cm="1" t="str">
        <f t="array" ref="T248:T248">T247</f>
        <v>false</v>
      </c>
      <c r="U248" s="1297"/>
      <c r="V248" s="1297"/>
      <c r="W248" s="1297"/>
      <c r="X248" s="1539"/>
      <c r="Y248" s="1539"/>
      <c r="Z248" s="1529"/>
      <c r="AA248" s="1630"/>
      <c r="AB248" s="251" t="str">
        <f>K248&amp;" год"</f>
        <v>2034 год</v>
      </c>
      <c r="AC248" s="409"/>
      <c r="AD248" s="6972"/>
      <c r="AE248" s="6971"/>
      <c r="AF248" s="6971"/>
      <c r="AG248" s="6972"/>
      <c r="AH248" s="6971"/>
      <c r="AI248" s="6972"/>
      <c r="AJ248" s="6971"/>
      <c r="AK248" s="6973"/>
      <c r="AL248" s="404"/>
      <c r="AM248" s="1297"/>
      <c r="AN248" s="1072" cm="1" t="str">
        <f t="array" ref="AN248:AN248">K248</f>
        <v>2034</v>
      </c>
      <c r="AO248" s="1072" t="s">
        <v>2773</v>
      </c>
      <c r="AP248" s="1082" cm="1" t="str">
        <f t="array" ref="AP248:AP248">AP247</f>
        <v>0</v>
      </c>
      <c r="AQ248" s="709"/>
      <c r="AR248" s="709"/>
    </row>
    <row s="7153" customFormat="1" customHeight="1" ht="14.25" hidden="1">
      <c r="A249" s="1297"/>
      <c r="B249" s="447">
        <f>K249&lt;first_year+PERIOD_LENGTH</f>
        <v>0</v>
      </c>
      <c r="C249" s="1297"/>
      <c r="D249" s="1297"/>
      <c r="E249" s="709">
        <v>15</v>
      </c>
      <c r="F249" s="50" cm="1" t="str">
        <f t="array" ref="F249:F249">OFFSET(E249,-1,1)</f>
        <v>2</v>
      </c>
      <c r="G249" s="94" cm="1" t="str">
        <f t="array" ref="G249:G249">G248</f>
        <v>0</v>
      </c>
      <c r="H249" s="1297"/>
      <c r="I249" s="1297"/>
      <c r="J249" s="1297"/>
      <c r="K249" s="154">
        <f>first_year+11</f>
        <v>2035</v>
      </c>
      <c r="L249" s="1297"/>
      <c r="M249" s="1297"/>
      <c r="N249" s="1297"/>
      <c r="O249" s="1297"/>
      <c r="P249" s="1297"/>
      <c r="Q249" s="1297"/>
      <c r="R249" s="1297"/>
      <c r="S249" s="1297"/>
      <c r="T249" s="468" cm="1" t="str">
        <f t="array" ref="T249:T249">T248</f>
        <v>false</v>
      </c>
      <c r="U249" s="1297"/>
      <c r="V249" s="1297"/>
      <c r="W249" s="1297"/>
      <c r="X249" s="1539"/>
      <c r="Y249" s="1539"/>
      <c r="Z249" s="1529"/>
      <c r="AA249" s="1630"/>
      <c r="AB249" s="251" t="str">
        <f>K249&amp;" год"</f>
        <v>2035 год</v>
      </c>
      <c r="AC249" s="409"/>
      <c r="AD249" s="6972"/>
      <c r="AE249" s="6971"/>
      <c r="AF249" s="6971"/>
      <c r="AG249" s="6972"/>
      <c r="AH249" s="6971"/>
      <c r="AI249" s="6972"/>
      <c r="AJ249" s="6971"/>
      <c r="AK249" s="6973"/>
      <c r="AL249" s="404"/>
      <c r="AM249" s="1297"/>
      <c r="AN249" s="1072" cm="1" t="str">
        <f t="array" ref="AN249:AN249">K249</f>
        <v>2035</v>
      </c>
      <c r="AO249" s="1072" t="s">
        <v>2773</v>
      </c>
      <c r="AP249" s="1082" cm="1" t="str">
        <f t="array" ref="AP249:AP249">AP248</f>
        <v>0</v>
      </c>
      <c r="AQ249" s="709"/>
      <c r="AR249" s="709"/>
    </row>
    <row s="7154" customFormat="1" customHeight="1" ht="14.25" hidden="1">
      <c r="A250" s="1297"/>
      <c r="B250" s="447">
        <f>K250&lt;first_year+PERIOD_LENGTH</f>
        <v>0</v>
      </c>
      <c r="C250" s="1297"/>
      <c r="D250" s="1297"/>
      <c r="E250" s="709">
        <v>15</v>
      </c>
      <c r="F250" s="50" cm="1" t="str">
        <f t="array" ref="F250:F250">OFFSET(E250,-1,1)</f>
        <v>2</v>
      </c>
      <c r="G250" s="94" cm="1" t="str">
        <f t="array" ref="G250:G250">G249</f>
        <v>0</v>
      </c>
      <c r="H250" s="1297"/>
      <c r="I250" s="1297"/>
      <c r="J250" s="1297"/>
      <c r="K250" s="154">
        <f>first_year+12</f>
        <v>2036</v>
      </c>
      <c r="L250" s="1297"/>
      <c r="M250" s="1297"/>
      <c r="N250" s="1297"/>
      <c r="O250" s="1297"/>
      <c r="P250" s="1297"/>
      <c r="Q250" s="1297"/>
      <c r="R250" s="1297"/>
      <c r="S250" s="1297"/>
      <c r="T250" s="468" cm="1" t="str">
        <f t="array" ref="T250:T250">T249</f>
        <v>false</v>
      </c>
      <c r="U250" s="1297"/>
      <c r="V250" s="1297"/>
      <c r="W250" s="1297"/>
      <c r="X250" s="1539"/>
      <c r="Y250" s="1539"/>
      <c r="Z250" s="1529"/>
      <c r="AA250" s="1630"/>
      <c r="AB250" s="251" t="str">
        <f>K250&amp;" год"</f>
        <v>2036 год</v>
      </c>
      <c r="AC250" s="409"/>
      <c r="AD250" s="6972"/>
      <c r="AE250" s="6971"/>
      <c r="AF250" s="6971"/>
      <c r="AG250" s="6972"/>
      <c r="AH250" s="6971"/>
      <c r="AI250" s="6972"/>
      <c r="AJ250" s="6971"/>
      <c r="AK250" s="6973"/>
      <c r="AL250" s="404"/>
      <c r="AM250" s="1297"/>
      <c r="AN250" s="1072" cm="1" t="str">
        <f t="array" ref="AN250:AN250">K250</f>
        <v>2036</v>
      </c>
      <c r="AO250" s="1072" t="s">
        <v>2773</v>
      </c>
      <c r="AP250" s="1082" cm="1" t="str">
        <f t="array" ref="AP250:AP250">AP249</f>
        <v>0</v>
      </c>
      <c r="AQ250" s="709"/>
      <c r="AR250" s="709"/>
    </row>
    <row s="7155" customFormat="1" customHeight="1" ht="14.25" hidden="1">
      <c r="A251" s="1297"/>
      <c r="B251" s="447">
        <f>K251&lt;first_year+PERIOD_LENGTH</f>
        <v>0</v>
      </c>
      <c r="C251" s="1297"/>
      <c r="D251" s="1297"/>
      <c r="E251" s="709">
        <v>15</v>
      </c>
      <c r="F251" s="50" cm="1" t="str">
        <f t="array" ref="F251:F251">OFFSET(E251,-1,1)</f>
        <v>2</v>
      </c>
      <c r="G251" s="94" cm="1" t="str">
        <f t="array" ref="G251:G251">G250</f>
        <v>0</v>
      </c>
      <c r="H251" s="1297"/>
      <c r="I251" s="1297"/>
      <c r="J251" s="1297"/>
      <c r="K251" s="154">
        <f>first_year+13</f>
        <v>2037</v>
      </c>
      <c r="L251" s="1297"/>
      <c r="M251" s="1297"/>
      <c r="N251" s="1297"/>
      <c r="O251" s="1297"/>
      <c r="P251" s="1297"/>
      <c r="Q251" s="1297"/>
      <c r="R251" s="1297"/>
      <c r="S251" s="1297"/>
      <c r="T251" s="468" cm="1" t="str">
        <f t="array" ref="T251:T251">T250</f>
        <v>false</v>
      </c>
      <c r="U251" s="1297"/>
      <c r="V251" s="1297"/>
      <c r="W251" s="1297"/>
      <c r="X251" s="1539"/>
      <c r="Y251" s="1539"/>
      <c r="Z251" s="1529"/>
      <c r="AA251" s="1630"/>
      <c r="AB251" s="251" t="str">
        <f>K251&amp;" год"</f>
        <v>2037 год</v>
      </c>
      <c r="AC251" s="409"/>
      <c r="AD251" s="6972"/>
      <c r="AE251" s="6971"/>
      <c r="AF251" s="6971"/>
      <c r="AG251" s="6972"/>
      <c r="AH251" s="6971"/>
      <c r="AI251" s="6972"/>
      <c r="AJ251" s="6971"/>
      <c r="AK251" s="6973"/>
      <c r="AL251" s="404"/>
      <c r="AM251" s="1297"/>
      <c r="AN251" s="1072" cm="1" t="str">
        <f t="array" ref="AN251:AN251">K251</f>
        <v>2037</v>
      </c>
      <c r="AO251" s="1072" t="s">
        <v>2773</v>
      </c>
      <c r="AP251" s="1082" cm="1" t="str">
        <f t="array" ref="AP251:AP251">AP250</f>
        <v>0</v>
      </c>
      <c r="AQ251" s="709"/>
      <c r="AR251" s="709"/>
    </row>
    <row s="7156" customFormat="1" customHeight="1" ht="14.25" hidden="1">
      <c r="A252" s="1297"/>
      <c r="B252" s="447">
        <f>K252&lt;first_year+PERIOD_LENGTH</f>
        <v>0</v>
      </c>
      <c r="C252" s="1297"/>
      <c r="D252" s="1297"/>
      <c r="E252" s="709">
        <v>15</v>
      </c>
      <c r="F252" s="50" cm="1" t="str">
        <f t="array" ref="F252:F252">OFFSET(E252,-1,1)</f>
        <v>2</v>
      </c>
      <c r="G252" s="94" cm="1" t="str">
        <f t="array" ref="G252:G252">G251</f>
        <v>0</v>
      </c>
      <c r="H252" s="1297"/>
      <c r="I252" s="1297"/>
      <c r="J252" s="1297"/>
      <c r="K252" s="154">
        <f>first_year+14</f>
        <v>2038</v>
      </c>
      <c r="L252" s="1297"/>
      <c r="M252" s="1297"/>
      <c r="N252" s="1297"/>
      <c r="O252" s="1297"/>
      <c r="P252" s="1297"/>
      <c r="Q252" s="1297"/>
      <c r="R252" s="1297"/>
      <c r="S252" s="1297"/>
      <c r="T252" s="468" cm="1" t="str">
        <f t="array" ref="T252:T252">T251</f>
        <v>false</v>
      </c>
      <c r="U252" s="1297"/>
      <c r="V252" s="1297"/>
      <c r="W252" s="1297"/>
      <c r="X252" s="1539"/>
      <c r="Y252" s="1539"/>
      <c r="Z252" s="1529"/>
      <c r="AA252" s="1630"/>
      <c r="AB252" s="251" t="str">
        <f>K252&amp;" год"</f>
        <v>2038 год</v>
      </c>
      <c r="AC252" s="409"/>
      <c r="AD252" s="6972"/>
      <c r="AE252" s="6971"/>
      <c r="AF252" s="6971"/>
      <c r="AG252" s="6972"/>
      <c r="AH252" s="6971"/>
      <c r="AI252" s="6972"/>
      <c r="AJ252" s="6971"/>
      <c r="AK252" s="6973"/>
      <c r="AL252" s="404"/>
      <c r="AM252" s="1297"/>
      <c r="AN252" s="1072" cm="1" t="str">
        <f t="array" ref="AN252:AN252">K252</f>
        <v>2038</v>
      </c>
      <c r="AO252" s="1072" t="s">
        <v>2773</v>
      </c>
      <c r="AP252" s="1082" cm="1" t="str">
        <f t="array" ref="AP252:AP252">AP251</f>
        <v>0</v>
      </c>
      <c r="AQ252" s="709"/>
      <c r="AR252" s="709"/>
    </row>
    <row s="7157" customFormat="1" customHeight="1" ht="14.25" hidden="1">
      <c r="A253" s="1297"/>
      <c r="B253" s="447">
        <f>K253&lt;first_year+PERIOD_LENGTH</f>
        <v>0</v>
      </c>
      <c r="C253" s="1297"/>
      <c r="D253" s="1297"/>
      <c r="E253" s="709">
        <v>15</v>
      </c>
      <c r="F253" s="50" cm="1" t="str">
        <f t="array" ref="F253:F253">OFFSET(E253,-1,1)</f>
        <v>2</v>
      </c>
      <c r="G253" s="94" cm="1" t="str">
        <f t="array" ref="G253:G253">G252</f>
        <v>0</v>
      </c>
      <c r="H253" s="1297"/>
      <c r="I253" s="1297"/>
      <c r="J253" s="1297"/>
      <c r="K253" s="154">
        <f>first_year+15</f>
        <v>2039</v>
      </c>
      <c r="L253" s="1297"/>
      <c r="M253" s="1297"/>
      <c r="N253" s="1297"/>
      <c r="O253" s="1297"/>
      <c r="P253" s="1297"/>
      <c r="Q253" s="1297"/>
      <c r="R253" s="1297"/>
      <c r="S253" s="1297"/>
      <c r="T253" s="468" cm="1" t="str">
        <f t="array" ref="T253:T253">T252</f>
        <v>false</v>
      </c>
      <c r="U253" s="1297"/>
      <c r="V253" s="1297"/>
      <c r="W253" s="1297"/>
      <c r="X253" s="1539"/>
      <c r="Y253" s="1539"/>
      <c r="Z253" s="1529"/>
      <c r="AA253" s="1630"/>
      <c r="AB253" s="251" t="str">
        <f>K253&amp;" год"</f>
        <v>2039 год</v>
      </c>
      <c r="AC253" s="409"/>
      <c r="AD253" s="6972"/>
      <c r="AE253" s="6971"/>
      <c r="AF253" s="6971"/>
      <c r="AG253" s="6972"/>
      <c r="AH253" s="6971"/>
      <c r="AI253" s="6972"/>
      <c r="AJ253" s="6971"/>
      <c r="AK253" s="6973"/>
      <c r="AL253" s="404"/>
      <c r="AM253" s="1297"/>
      <c r="AN253" s="1072" cm="1" t="str">
        <f t="array" ref="AN253:AN253">K253</f>
        <v>2039</v>
      </c>
      <c r="AO253" s="1072" t="s">
        <v>2773</v>
      </c>
      <c r="AP253" s="1082" cm="1" t="str">
        <f t="array" ref="AP253:AP253">AP252</f>
        <v>0</v>
      </c>
      <c r="AQ253" s="709"/>
      <c r="AR253" s="709"/>
    </row>
    <row s="7158" customFormat="1" customHeight="1" ht="14.25" hidden="1">
      <c r="A254" s="1297"/>
      <c r="B254" s="447">
        <f>K254&lt;first_year+PERIOD_LENGTH</f>
        <v>0</v>
      </c>
      <c r="C254" s="1297"/>
      <c r="D254" s="1297"/>
      <c r="E254" s="709">
        <v>15</v>
      </c>
      <c r="F254" s="50" cm="1" t="str">
        <f t="array" ref="F254:F254">OFFSET(E254,-1,1)</f>
        <v>2</v>
      </c>
      <c r="G254" s="94" cm="1" t="str">
        <f t="array" ref="G254:G254">G253</f>
        <v>0</v>
      </c>
      <c r="H254" s="1297"/>
      <c r="I254" s="1297"/>
      <c r="J254" s="1297"/>
      <c r="K254" s="154">
        <f>first_year+16</f>
        <v>2040</v>
      </c>
      <c r="L254" s="1297"/>
      <c r="M254" s="1297"/>
      <c r="N254" s="1297"/>
      <c r="O254" s="1297"/>
      <c r="P254" s="1297"/>
      <c r="Q254" s="1297"/>
      <c r="R254" s="1297"/>
      <c r="S254" s="1297"/>
      <c r="T254" s="468" cm="1" t="str">
        <f t="array" ref="T254:T254">T253</f>
        <v>false</v>
      </c>
      <c r="U254" s="1297"/>
      <c r="V254" s="1297"/>
      <c r="W254" s="1297"/>
      <c r="X254" s="1539"/>
      <c r="Y254" s="1539"/>
      <c r="Z254" s="1529"/>
      <c r="AA254" s="1630"/>
      <c r="AB254" s="251" t="str">
        <f>K254&amp;" год"</f>
        <v>2040 год</v>
      </c>
      <c r="AC254" s="409"/>
      <c r="AD254" s="6972"/>
      <c r="AE254" s="6971"/>
      <c r="AF254" s="6971"/>
      <c r="AG254" s="6972"/>
      <c r="AH254" s="6971"/>
      <c r="AI254" s="6972"/>
      <c r="AJ254" s="6971"/>
      <c r="AK254" s="6973"/>
      <c r="AL254" s="404"/>
      <c r="AM254" s="1297"/>
      <c r="AN254" s="1072" cm="1" t="str">
        <f t="array" ref="AN254:AN254">K254</f>
        <v>2040</v>
      </c>
      <c r="AO254" s="1072" t="s">
        <v>2773</v>
      </c>
      <c r="AP254" s="1082" cm="1" t="str">
        <f t="array" ref="AP254:AP254">AP253</f>
        <v>0</v>
      </c>
      <c r="AQ254" s="709"/>
      <c r="AR254" s="709"/>
    </row>
    <row s="7159" customFormat="1" customHeight="1" ht="14.25" hidden="1">
      <c r="A255" s="1297"/>
      <c r="B255" s="447">
        <f>K255&lt;first_year+PERIOD_LENGTH</f>
        <v>0</v>
      </c>
      <c r="C255" s="1297"/>
      <c r="D255" s="1297"/>
      <c r="E255" s="709">
        <v>15</v>
      </c>
      <c r="F255" s="50" cm="1" t="str">
        <f t="array" ref="F255:F255">OFFSET(E255,-1,1)</f>
        <v>2</v>
      </c>
      <c r="G255" s="94" cm="1" t="str">
        <f t="array" ref="G255:G255">G254</f>
        <v>0</v>
      </c>
      <c r="H255" s="1297"/>
      <c r="I255" s="1297"/>
      <c r="J255" s="1297"/>
      <c r="K255" s="154">
        <f>first_year+17</f>
        <v>2041</v>
      </c>
      <c r="L255" s="1297"/>
      <c r="M255" s="1297"/>
      <c r="N255" s="1297"/>
      <c r="O255" s="1297"/>
      <c r="P255" s="1297"/>
      <c r="Q255" s="1297"/>
      <c r="R255" s="1297"/>
      <c r="S255" s="1297"/>
      <c r="T255" s="468" cm="1" t="str">
        <f t="array" ref="T255:T255">T254</f>
        <v>false</v>
      </c>
      <c r="U255" s="1297"/>
      <c r="V255" s="1297"/>
      <c r="W255" s="1297"/>
      <c r="X255" s="1539"/>
      <c r="Y255" s="1539"/>
      <c r="Z255" s="1529"/>
      <c r="AA255" s="1630"/>
      <c r="AB255" s="251" t="str">
        <f>K255&amp;" год"</f>
        <v>2041 год</v>
      </c>
      <c r="AC255" s="409"/>
      <c r="AD255" s="6972"/>
      <c r="AE255" s="6971"/>
      <c r="AF255" s="6971"/>
      <c r="AG255" s="6972"/>
      <c r="AH255" s="6971"/>
      <c r="AI255" s="6972"/>
      <c r="AJ255" s="6971"/>
      <c r="AK255" s="6973"/>
      <c r="AL255" s="404"/>
      <c r="AM255" s="1297"/>
      <c r="AN255" s="1072" cm="1" t="str">
        <f t="array" ref="AN255:AN255">K255</f>
        <v>2041</v>
      </c>
      <c r="AO255" s="1072" t="s">
        <v>2773</v>
      </c>
      <c r="AP255" s="1082" cm="1" t="str">
        <f t="array" ref="AP255:AP255">AP254</f>
        <v>0</v>
      </c>
      <c r="AQ255" s="709"/>
      <c r="AR255" s="709"/>
    </row>
    <row s="7160" customFormat="1" customHeight="1" ht="14.25" hidden="1">
      <c r="A256" s="1297"/>
      <c r="B256" s="447">
        <f>K256&lt;first_year+PERIOD_LENGTH</f>
        <v>0</v>
      </c>
      <c r="C256" s="1297"/>
      <c r="D256" s="1297"/>
      <c r="E256" s="709">
        <v>15</v>
      </c>
      <c r="F256" s="50" cm="1" t="str">
        <f t="array" ref="F256:F256">OFFSET(E256,-1,1)</f>
        <v>2</v>
      </c>
      <c r="G256" s="94" cm="1" t="str">
        <f t="array" ref="G256:G256">G255</f>
        <v>0</v>
      </c>
      <c r="H256" s="1297"/>
      <c r="I256" s="1297"/>
      <c r="J256" s="1297"/>
      <c r="K256" s="154">
        <f>first_year+18</f>
        <v>2042</v>
      </c>
      <c r="L256" s="1297"/>
      <c r="M256" s="1297"/>
      <c r="N256" s="1297"/>
      <c r="O256" s="1297"/>
      <c r="P256" s="1297"/>
      <c r="Q256" s="1297"/>
      <c r="R256" s="1297"/>
      <c r="S256" s="1297"/>
      <c r="T256" s="468" cm="1" t="str">
        <f t="array" ref="T256:T256">T255</f>
        <v>false</v>
      </c>
      <c r="U256" s="1297"/>
      <c r="V256" s="1297"/>
      <c r="W256" s="1297"/>
      <c r="X256" s="1539"/>
      <c r="Y256" s="1539"/>
      <c r="Z256" s="1529"/>
      <c r="AA256" s="1630"/>
      <c r="AB256" s="251" t="str">
        <f>K256&amp;" год"</f>
        <v>2042 год</v>
      </c>
      <c r="AC256" s="409"/>
      <c r="AD256" s="6972"/>
      <c r="AE256" s="6971"/>
      <c r="AF256" s="6971"/>
      <c r="AG256" s="6972"/>
      <c r="AH256" s="6971"/>
      <c r="AI256" s="6972"/>
      <c r="AJ256" s="6971"/>
      <c r="AK256" s="6973"/>
      <c r="AL256" s="404"/>
      <c r="AM256" s="1297"/>
      <c r="AN256" s="1072" cm="1" t="str">
        <f t="array" ref="AN256:AN256">K256</f>
        <v>2042</v>
      </c>
      <c r="AO256" s="1072" t="s">
        <v>2773</v>
      </c>
      <c r="AP256" s="1082" cm="1" t="str">
        <f t="array" ref="AP256:AP256">AP255</f>
        <v>0</v>
      </c>
      <c r="AQ256" s="709"/>
      <c r="AR256" s="709"/>
    </row>
    <row s="7161" customFormat="1" customHeight="1" ht="14.25" hidden="1">
      <c r="A257" s="1297"/>
      <c r="B257" s="447">
        <f>K257&lt;first_year+PERIOD_LENGTH</f>
        <v>0</v>
      </c>
      <c r="C257" s="1297"/>
      <c r="D257" s="1297"/>
      <c r="E257" s="709">
        <v>15</v>
      </c>
      <c r="F257" s="50" cm="1" t="str">
        <f t="array" ref="F257:F257">OFFSET(E257,-1,1)</f>
        <v>2</v>
      </c>
      <c r="G257" s="94" cm="1" t="str">
        <f t="array" ref="G257:G257">G256</f>
        <v>0</v>
      </c>
      <c r="H257" s="1297"/>
      <c r="I257" s="1297"/>
      <c r="J257" s="1297"/>
      <c r="K257" s="154">
        <f>first_year+19</f>
        <v>2043</v>
      </c>
      <c r="L257" s="1297"/>
      <c r="M257" s="1297"/>
      <c r="N257" s="1297"/>
      <c r="O257" s="1297"/>
      <c r="P257" s="1297"/>
      <c r="Q257" s="1297"/>
      <c r="R257" s="1297"/>
      <c r="S257" s="1297"/>
      <c r="T257" s="468" cm="1" t="str">
        <f t="array" ref="T257:T257">T256</f>
        <v>false</v>
      </c>
      <c r="U257" s="1297"/>
      <c r="V257" s="1297"/>
      <c r="W257" s="1297"/>
      <c r="X257" s="1539"/>
      <c r="Y257" s="1539"/>
      <c r="Z257" s="1529"/>
      <c r="AA257" s="1630"/>
      <c r="AB257" s="251" t="str">
        <f>K257&amp;" год"</f>
        <v>2043 год</v>
      </c>
      <c r="AC257" s="409"/>
      <c r="AD257" s="6972"/>
      <c r="AE257" s="6971"/>
      <c r="AF257" s="6971"/>
      <c r="AG257" s="6972"/>
      <c r="AH257" s="6971"/>
      <c r="AI257" s="6972"/>
      <c r="AJ257" s="6971"/>
      <c r="AK257" s="6973"/>
      <c r="AL257" s="404"/>
      <c r="AM257" s="1297"/>
      <c r="AN257" s="1072" cm="1" t="str">
        <f t="array" ref="AN257:AN257">K257</f>
        <v>2043</v>
      </c>
      <c r="AO257" s="1072" t="s">
        <v>2773</v>
      </c>
      <c r="AP257" s="1082" cm="1" t="str">
        <f t="array" ref="AP257:AP257">AP256</f>
        <v>0</v>
      </c>
      <c r="AQ257" s="709"/>
      <c r="AR257" s="709"/>
    </row>
    <row s="7162" customFormat="1" customHeight="1" ht="14.25" hidden="1">
      <c r="A258" s="1297"/>
      <c r="B258" s="447">
        <f>K258&lt;first_year+PERIOD_LENGTH</f>
        <v>0</v>
      </c>
      <c r="C258" s="1297"/>
      <c r="D258" s="1297"/>
      <c r="E258" s="709">
        <v>15</v>
      </c>
      <c r="F258" s="50" cm="1" t="str">
        <f t="array" ref="F258:F258">OFFSET(E258,-1,1)</f>
        <v>2</v>
      </c>
      <c r="G258" s="94" cm="1" t="str">
        <f t="array" ref="G258:G258">G257</f>
        <v>0</v>
      </c>
      <c r="H258" s="1297"/>
      <c r="I258" s="1297"/>
      <c r="J258" s="1297"/>
      <c r="K258" s="154">
        <f>first_year+20</f>
        <v>2044</v>
      </c>
      <c r="L258" s="1297"/>
      <c r="M258" s="1297"/>
      <c r="N258" s="1297"/>
      <c r="O258" s="1297"/>
      <c r="P258" s="1297"/>
      <c r="Q258" s="1297"/>
      <c r="R258" s="1297"/>
      <c r="S258" s="1297"/>
      <c r="T258" s="468" cm="1" t="str">
        <f t="array" ref="T258:T258">T257</f>
        <v>false</v>
      </c>
      <c r="U258" s="1297"/>
      <c r="V258" s="1297"/>
      <c r="W258" s="1297"/>
      <c r="X258" s="1539"/>
      <c r="Y258" s="1539"/>
      <c r="Z258" s="1529"/>
      <c r="AA258" s="1630"/>
      <c r="AB258" s="251" t="str">
        <f>K258&amp;" год"</f>
        <v>2044 год</v>
      </c>
      <c r="AC258" s="409"/>
      <c r="AD258" s="6972"/>
      <c r="AE258" s="6971"/>
      <c r="AF258" s="6971"/>
      <c r="AG258" s="6972"/>
      <c r="AH258" s="6971"/>
      <c r="AI258" s="6972"/>
      <c r="AJ258" s="6971"/>
      <c r="AK258" s="6973"/>
      <c r="AL258" s="404"/>
      <c r="AM258" s="1297"/>
      <c r="AN258" s="1072" cm="1" t="str">
        <f t="array" ref="AN258:AN258">K258</f>
        <v>2044</v>
      </c>
      <c r="AO258" s="1072" t="s">
        <v>2773</v>
      </c>
      <c r="AP258" s="1082" cm="1" t="str">
        <f t="array" ref="AP258:AP258">AP257</f>
        <v>0</v>
      </c>
      <c r="AQ258" s="709"/>
      <c r="AR258" s="709"/>
    </row>
    <row s="7163" customFormat="1" customHeight="1" ht="14.25" hidden="1">
      <c r="A259" s="1297"/>
      <c r="B259" s="447">
        <f>K259&lt;first_year+PERIOD_LENGTH</f>
        <v>0</v>
      </c>
      <c r="C259" s="1297"/>
      <c r="D259" s="1297"/>
      <c r="E259" s="709">
        <v>15</v>
      </c>
      <c r="F259" s="50" cm="1" t="str">
        <f t="array" ref="F259:F259">OFFSET(E259,-1,1)</f>
        <v>2</v>
      </c>
      <c r="G259" s="94" cm="1" t="str">
        <f t="array" ref="G259:G259">G258</f>
        <v>0</v>
      </c>
      <c r="H259" s="1297"/>
      <c r="I259" s="1297"/>
      <c r="J259" s="1297"/>
      <c r="K259" s="154">
        <f>first_year+21</f>
        <v>2045</v>
      </c>
      <c r="L259" s="1297"/>
      <c r="M259" s="1297"/>
      <c r="N259" s="1297"/>
      <c r="O259" s="1297"/>
      <c r="P259" s="1297"/>
      <c r="Q259" s="1297"/>
      <c r="R259" s="1297"/>
      <c r="S259" s="1297"/>
      <c r="T259" s="468" cm="1" t="str">
        <f t="array" ref="T259:T259">T258</f>
        <v>false</v>
      </c>
      <c r="U259" s="1297"/>
      <c r="V259" s="1297"/>
      <c r="W259" s="1297"/>
      <c r="X259" s="1539"/>
      <c r="Y259" s="1539"/>
      <c r="Z259" s="1529"/>
      <c r="AA259" s="1630"/>
      <c r="AB259" s="251" t="str">
        <f>K259&amp;" год"</f>
        <v>2045 год</v>
      </c>
      <c r="AC259" s="409"/>
      <c r="AD259" s="6972"/>
      <c r="AE259" s="6971"/>
      <c r="AF259" s="6971"/>
      <c r="AG259" s="6972"/>
      <c r="AH259" s="6971"/>
      <c r="AI259" s="6972"/>
      <c r="AJ259" s="6971"/>
      <c r="AK259" s="6973"/>
      <c r="AL259" s="404"/>
      <c r="AM259" s="1297"/>
      <c r="AN259" s="1072" cm="1" t="str">
        <f t="array" ref="AN259:AN259">K259</f>
        <v>2045</v>
      </c>
      <c r="AO259" s="1072" t="s">
        <v>2773</v>
      </c>
      <c r="AP259" s="1082" cm="1" t="str">
        <f t="array" ref="AP259:AP259">AP258</f>
        <v>0</v>
      </c>
      <c r="AQ259" s="709"/>
      <c r="AR259" s="709"/>
    </row>
    <row s="7164" customFormat="1" customHeight="1" ht="14.25" hidden="1">
      <c r="A260" s="1297"/>
      <c r="B260" s="447">
        <f>K260&lt;first_year+PERIOD_LENGTH</f>
        <v>0</v>
      </c>
      <c r="C260" s="1297"/>
      <c r="D260" s="1297"/>
      <c r="E260" s="709">
        <v>15</v>
      </c>
      <c r="F260" s="50" cm="1" t="str">
        <f t="array" ref="F260:F260">OFFSET(E260,-1,1)</f>
        <v>2</v>
      </c>
      <c r="G260" s="94" cm="1" t="str">
        <f t="array" ref="G260:G260">G259</f>
        <v>0</v>
      </c>
      <c r="H260" s="1297"/>
      <c r="I260" s="1297"/>
      <c r="J260" s="1297"/>
      <c r="K260" s="154">
        <f>first_year+22</f>
        <v>2046</v>
      </c>
      <c r="L260" s="1297"/>
      <c r="M260" s="1297"/>
      <c r="N260" s="1297"/>
      <c r="O260" s="1297"/>
      <c r="P260" s="1297"/>
      <c r="Q260" s="1297"/>
      <c r="R260" s="1297"/>
      <c r="S260" s="1297"/>
      <c r="T260" s="468" cm="1" t="str">
        <f t="array" ref="T260:T260">T259</f>
        <v>false</v>
      </c>
      <c r="U260" s="1297"/>
      <c r="V260" s="1297"/>
      <c r="W260" s="1297"/>
      <c r="X260" s="1539"/>
      <c r="Y260" s="1539"/>
      <c r="Z260" s="1529"/>
      <c r="AA260" s="1630"/>
      <c r="AB260" s="251" t="str">
        <f>K260&amp;" год"</f>
        <v>2046 год</v>
      </c>
      <c r="AC260" s="409"/>
      <c r="AD260" s="6972"/>
      <c r="AE260" s="6971"/>
      <c r="AF260" s="6971"/>
      <c r="AG260" s="6972"/>
      <c r="AH260" s="6971"/>
      <c r="AI260" s="6972"/>
      <c r="AJ260" s="6971"/>
      <c r="AK260" s="6973"/>
      <c r="AL260" s="404"/>
      <c r="AM260" s="1297"/>
      <c r="AN260" s="1072" cm="1" t="str">
        <f t="array" ref="AN260:AN260">K260</f>
        <v>2046</v>
      </c>
      <c r="AO260" s="1072" t="s">
        <v>2773</v>
      </c>
      <c r="AP260" s="1082" cm="1" t="str">
        <f t="array" ref="AP260:AP260">AP259</f>
        <v>0</v>
      </c>
      <c r="AQ260" s="709"/>
      <c r="AR260" s="709"/>
    </row>
    <row s="7165" customFormat="1" customHeight="1" ht="14.25" hidden="1">
      <c r="A261" s="1297"/>
      <c r="B261" s="447">
        <f>K261&lt;first_year+PERIOD_LENGTH</f>
        <v>0</v>
      </c>
      <c r="C261" s="1297"/>
      <c r="D261" s="1297"/>
      <c r="E261" s="709">
        <v>15</v>
      </c>
      <c r="F261" s="50" cm="1" t="str">
        <f t="array" ref="F261:F261">OFFSET(E261,-1,1)</f>
        <v>2</v>
      </c>
      <c r="G261" s="94" cm="1" t="str">
        <f t="array" ref="G261:G261">G260</f>
        <v>0</v>
      </c>
      <c r="H261" s="1297"/>
      <c r="I261" s="1297"/>
      <c r="J261" s="1297"/>
      <c r="K261" s="154">
        <f>first_year+23</f>
        <v>2047</v>
      </c>
      <c r="L261" s="1297"/>
      <c r="M261" s="1297"/>
      <c r="N261" s="1297"/>
      <c r="O261" s="1297"/>
      <c r="P261" s="1297"/>
      <c r="Q261" s="1297"/>
      <c r="R261" s="1297"/>
      <c r="S261" s="1297"/>
      <c r="T261" s="468" cm="1" t="str">
        <f t="array" ref="T261:T261">T260</f>
        <v>false</v>
      </c>
      <c r="U261" s="1297"/>
      <c r="V261" s="1297"/>
      <c r="W261" s="1297"/>
      <c r="X261" s="1539"/>
      <c r="Y261" s="1539"/>
      <c r="Z261" s="1529"/>
      <c r="AA261" s="1630"/>
      <c r="AB261" s="251" t="str">
        <f>K261&amp;" год"</f>
        <v>2047 год</v>
      </c>
      <c r="AC261" s="409"/>
      <c r="AD261" s="6972"/>
      <c r="AE261" s="6971"/>
      <c r="AF261" s="6971"/>
      <c r="AG261" s="6972"/>
      <c r="AH261" s="6971"/>
      <c r="AI261" s="6972"/>
      <c r="AJ261" s="6971"/>
      <c r="AK261" s="6973"/>
      <c r="AL261" s="404"/>
      <c r="AM261" s="1297"/>
      <c r="AN261" s="1072" cm="1" t="str">
        <f t="array" ref="AN261:AN261">K261</f>
        <v>2047</v>
      </c>
      <c r="AO261" s="1072" t="s">
        <v>2773</v>
      </c>
      <c r="AP261" s="1082" cm="1" t="str">
        <f t="array" ref="AP261:AP261">AP260</f>
        <v>0</v>
      </c>
      <c r="AQ261" s="709"/>
      <c r="AR261" s="709"/>
    </row>
    <row s="7166" customFormat="1" customHeight="1" ht="14.25" hidden="1">
      <c r="A262" s="1297"/>
      <c r="B262" s="447">
        <f>K262&lt;first_year+PERIOD_LENGTH</f>
        <v>0</v>
      </c>
      <c r="C262" s="1297"/>
      <c r="D262" s="1297"/>
      <c r="E262" s="709">
        <v>15</v>
      </c>
      <c r="F262" s="50" cm="1" t="str">
        <f t="array" ref="F262:F262">OFFSET(E262,-1,1)</f>
        <v>2</v>
      </c>
      <c r="G262" s="94" cm="1" t="str">
        <f t="array" ref="G262:G262">G261</f>
        <v>0</v>
      </c>
      <c r="H262" s="1297"/>
      <c r="I262" s="1297"/>
      <c r="J262" s="1297"/>
      <c r="K262" s="154">
        <f>first_year+24</f>
        <v>2048</v>
      </c>
      <c r="L262" s="1297"/>
      <c r="M262" s="1297"/>
      <c r="N262" s="1297"/>
      <c r="O262" s="1297"/>
      <c r="P262" s="1297"/>
      <c r="Q262" s="1297"/>
      <c r="R262" s="1297"/>
      <c r="S262" s="1297"/>
      <c r="T262" s="468" cm="1" t="str">
        <f t="array" ref="T262:T262">T261</f>
        <v>false</v>
      </c>
      <c r="U262" s="1297"/>
      <c r="V262" s="1297"/>
      <c r="W262" s="1297"/>
      <c r="X262" s="1539"/>
      <c r="Y262" s="1539"/>
      <c r="Z262" s="1529"/>
      <c r="AA262" s="1630"/>
      <c r="AB262" s="251" t="str">
        <f>K262&amp;" год"</f>
        <v>2048 год</v>
      </c>
      <c r="AC262" s="409"/>
      <c r="AD262" s="6972"/>
      <c r="AE262" s="6971"/>
      <c r="AF262" s="6971"/>
      <c r="AG262" s="6972"/>
      <c r="AH262" s="6971"/>
      <c r="AI262" s="6972"/>
      <c r="AJ262" s="6971"/>
      <c r="AK262" s="6973"/>
      <c r="AL262" s="404"/>
      <c r="AM262" s="1297"/>
      <c r="AN262" s="1072" cm="1" t="str">
        <f t="array" ref="AN262:AN262">K262</f>
        <v>2048</v>
      </c>
      <c r="AO262" s="1072" t="s">
        <v>2773</v>
      </c>
      <c r="AP262" s="1082" cm="1" t="str">
        <f t="array" ref="AP262:AP262">AP261</f>
        <v>0</v>
      </c>
      <c r="AQ262" s="709"/>
      <c r="AR262" s="709"/>
    </row>
    <row s="7167" customFormat="1" customHeight="1" ht="14.25" hidden="1">
      <c r="A263" s="1297"/>
      <c r="B263" s="447">
        <f>K263&lt;first_year+PERIOD_LENGTH</f>
        <v>0</v>
      </c>
      <c r="C263" s="1297"/>
      <c r="D263" s="1297"/>
      <c r="E263" s="709">
        <v>15</v>
      </c>
      <c r="F263" s="50" cm="1" t="str">
        <f t="array" ref="F263:F263">OFFSET(E263,-1,1)</f>
        <v>2</v>
      </c>
      <c r="G263" s="94" cm="1" t="str">
        <f t="array" ref="G263:G263">G262</f>
        <v>0</v>
      </c>
      <c r="H263" s="1297"/>
      <c r="I263" s="1297"/>
      <c r="J263" s="1297"/>
      <c r="K263" s="154">
        <f>first_year+25</f>
        <v>2049</v>
      </c>
      <c r="L263" s="1297"/>
      <c r="M263" s="1297"/>
      <c r="N263" s="1297"/>
      <c r="O263" s="1297"/>
      <c r="P263" s="1297"/>
      <c r="Q263" s="1297"/>
      <c r="R263" s="1297"/>
      <c r="S263" s="1297"/>
      <c r="T263" s="468" cm="1" t="str">
        <f t="array" ref="T263:T263">T262</f>
        <v>false</v>
      </c>
      <c r="U263" s="1297"/>
      <c r="V263" s="1297"/>
      <c r="W263" s="1297"/>
      <c r="X263" s="1539"/>
      <c r="Y263" s="1539"/>
      <c r="Z263" s="1529"/>
      <c r="AA263" s="1630"/>
      <c r="AB263" s="251" t="str">
        <f>K263&amp;" год"</f>
        <v>2049 год</v>
      </c>
      <c r="AC263" s="409"/>
      <c r="AD263" s="6972"/>
      <c r="AE263" s="6971"/>
      <c r="AF263" s="6971"/>
      <c r="AG263" s="6972"/>
      <c r="AH263" s="6971"/>
      <c r="AI263" s="6972"/>
      <c r="AJ263" s="6971"/>
      <c r="AK263" s="6973"/>
      <c r="AL263" s="404"/>
      <c r="AM263" s="1297"/>
      <c r="AN263" s="1072" cm="1" t="str">
        <f t="array" ref="AN263:AN263">K263</f>
        <v>2049</v>
      </c>
      <c r="AO263" s="1072" t="s">
        <v>2773</v>
      </c>
      <c r="AP263" s="1082" cm="1" t="str">
        <f t="array" ref="AP263:AP263">AP262</f>
        <v>0</v>
      </c>
      <c r="AQ263" s="709"/>
      <c r="AR263" s="709"/>
    </row>
    <row s="7168" customFormat="1" customHeight="1" ht="14.25" hidden="1">
      <c r="A264" s="1297"/>
      <c r="B264" s="447">
        <f>K264&lt;first_year+PERIOD_LENGTH</f>
        <v>0</v>
      </c>
      <c r="C264" s="1297"/>
      <c r="D264" s="1297"/>
      <c r="E264" s="709">
        <v>15</v>
      </c>
      <c r="F264" s="50" cm="1" t="str">
        <f t="array" ref="F264:F264">OFFSET(E264,-1,1)</f>
        <v>2</v>
      </c>
      <c r="G264" s="94" cm="1" t="str">
        <f t="array" ref="G264:G264">G263</f>
        <v>0</v>
      </c>
      <c r="H264" s="1297"/>
      <c r="I264" s="1297"/>
      <c r="J264" s="1297"/>
      <c r="K264" s="154">
        <f>first_year+26</f>
        <v>2050</v>
      </c>
      <c r="L264" s="1297"/>
      <c r="M264" s="1297"/>
      <c r="N264" s="1297"/>
      <c r="O264" s="1297"/>
      <c r="P264" s="1297"/>
      <c r="Q264" s="1297"/>
      <c r="R264" s="1297"/>
      <c r="S264" s="1297"/>
      <c r="T264" s="468" cm="1" t="str">
        <f t="array" ref="T264:T264">T263</f>
        <v>false</v>
      </c>
      <c r="U264" s="1297"/>
      <c r="V264" s="1297"/>
      <c r="W264" s="1297"/>
      <c r="X264" s="1539"/>
      <c r="Y264" s="1539"/>
      <c r="Z264" s="1529"/>
      <c r="AA264" s="1630"/>
      <c r="AB264" s="251" t="str">
        <f>K264&amp;" год"</f>
        <v>2050 год</v>
      </c>
      <c r="AC264" s="409"/>
      <c r="AD264" s="6972"/>
      <c r="AE264" s="6971"/>
      <c r="AF264" s="6971"/>
      <c r="AG264" s="6972"/>
      <c r="AH264" s="6971"/>
      <c r="AI264" s="6972"/>
      <c r="AJ264" s="6971"/>
      <c r="AK264" s="6973"/>
      <c r="AL264" s="404"/>
      <c r="AM264" s="1297"/>
      <c r="AN264" s="1072" cm="1" t="str">
        <f t="array" ref="AN264:AN264">K264</f>
        <v>2050</v>
      </c>
      <c r="AO264" s="1072" t="s">
        <v>2773</v>
      </c>
      <c r="AP264" s="1082" cm="1" t="str">
        <f t="array" ref="AP264:AP264">AP263</f>
        <v>0</v>
      </c>
      <c r="AQ264" s="709"/>
      <c r="AR264" s="709"/>
    </row>
    <row s="7169" customFormat="1" customHeight="1" ht="14.25" hidden="1">
      <c r="A265" s="1297"/>
      <c r="B265" s="447">
        <f>K265&lt;first_year+PERIOD_LENGTH</f>
        <v>0</v>
      </c>
      <c r="C265" s="1297"/>
      <c r="D265" s="1297"/>
      <c r="E265" s="709">
        <v>15</v>
      </c>
      <c r="F265" s="50" cm="1" t="str">
        <f t="array" ref="F265:F265">OFFSET(E265,-1,1)</f>
        <v>2</v>
      </c>
      <c r="G265" s="94" cm="1" t="str">
        <f t="array" ref="G265:G265">G264</f>
        <v>0</v>
      </c>
      <c r="H265" s="1297"/>
      <c r="I265" s="1297"/>
      <c r="J265" s="1297"/>
      <c r="K265" s="154">
        <f>first_year+27</f>
        <v>2051</v>
      </c>
      <c r="L265" s="1297"/>
      <c r="M265" s="1297"/>
      <c r="N265" s="1297"/>
      <c r="O265" s="1297"/>
      <c r="P265" s="1297"/>
      <c r="Q265" s="1297"/>
      <c r="R265" s="1297"/>
      <c r="S265" s="1297"/>
      <c r="T265" s="468" cm="1" t="str">
        <f t="array" ref="T265:T265">T264</f>
        <v>false</v>
      </c>
      <c r="U265" s="1297"/>
      <c r="V265" s="1297"/>
      <c r="W265" s="1297"/>
      <c r="X265" s="1539"/>
      <c r="Y265" s="1539"/>
      <c r="Z265" s="1529"/>
      <c r="AA265" s="1630"/>
      <c r="AB265" s="251" t="str">
        <f>K265&amp;" год"</f>
        <v>2051 год</v>
      </c>
      <c r="AC265" s="409"/>
      <c r="AD265" s="6972"/>
      <c r="AE265" s="6971"/>
      <c r="AF265" s="6971"/>
      <c r="AG265" s="6972"/>
      <c r="AH265" s="6971"/>
      <c r="AI265" s="6972"/>
      <c r="AJ265" s="6971"/>
      <c r="AK265" s="6973"/>
      <c r="AL265" s="404"/>
      <c r="AM265" s="1297"/>
      <c r="AN265" s="1072" cm="1" t="str">
        <f t="array" ref="AN265:AN265">K265</f>
        <v>2051</v>
      </c>
      <c r="AO265" s="1072" t="s">
        <v>2773</v>
      </c>
      <c r="AP265" s="1082" cm="1" t="str">
        <f t="array" ref="AP265:AP265">AP264</f>
        <v>0</v>
      </c>
      <c r="AQ265" s="709"/>
      <c r="AR265" s="709"/>
    </row>
    <row s="7170" customFormat="1" customHeight="1" ht="14.25" hidden="1">
      <c r="A266" s="1297"/>
      <c r="B266" s="447">
        <f>K266&lt;first_year+PERIOD_LENGTH</f>
        <v>0</v>
      </c>
      <c r="C266" s="1297"/>
      <c r="D266" s="1297"/>
      <c r="E266" s="709">
        <v>15</v>
      </c>
      <c r="F266" s="50" cm="1" t="str">
        <f t="array" ref="F266:F266">OFFSET(E266,-1,1)</f>
        <v>2</v>
      </c>
      <c r="G266" s="94" cm="1" t="str">
        <f t="array" ref="G266:G266">G265</f>
        <v>0</v>
      </c>
      <c r="H266" s="1297"/>
      <c r="I266" s="1297"/>
      <c r="J266" s="1297"/>
      <c r="K266" s="154">
        <f>first_year+28</f>
        <v>2052</v>
      </c>
      <c r="L266" s="1297"/>
      <c r="M266" s="1297"/>
      <c r="N266" s="1297"/>
      <c r="O266" s="1297"/>
      <c r="P266" s="1297"/>
      <c r="Q266" s="1297"/>
      <c r="R266" s="1297"/>
      <c r="S266" s="1297"/>
      <c r="T266" s="468" cm="1" t="str">
        <f t="array" ref="T266:T266">T265</f>
        <v>false</v>
      </c>
      <c r="U266" s="1297"/>
      <c r="V266" s="1297"/>
      <c r="W266" s="1297"/>
      <c r="X266" s="1539"/>
      <c r="Y266" s="1539"/>
      <c r="Z266" s="1529"/>
      <c r="AA266" s="1630"/>
      <c r="AB266" s="251" t="str">
        <f>K266&amp;" год"</f>
        <v>2052 год</v>
      </c>
      <c r="AC266" s="409"/>
      <c r="AD266" s="6972"/>
      <c r="AE266" s="6971"/>
      <c r="AF266" s="6971"/>
      <c r="AG266" s="6972"/>
      <c r="AH266" s="6971"/>
      <c r="AI266" s="6972"/>
      <c r="AJ266" s="6971"/>
      <c r="AK266" s="6973"/>
      <c r="AL266" s="404"/>
      <c r="AM266" s="1297"/>
      <c r="AN266" s="1072" cm="1" t="str">
        <f t="array" ref="AN266:AN266">K266</f>
        <v>2052</v>
      </c>
      <c r="AO266" s="1072" t="s">
        <v>2773</v>
      </c>
      <c r="AP266" s="1082" cm="1" t="str">
        <f t="array" ref="AP266:AP266">AP265</f>
        <v>0</v>
      </c>
      <c r="AQ266" s="709"/>
      <c r="AR266" s="709"/>
    </row>
    <row s="7171" customFormat="1" customHeight="1" ht="14.25" hidden="1">
      <c r="A267" s="1297"/>
      <c r="B267" s="447">
        <f>K267&lt;first_year+PERIOD_LENGTH</f>
        <v>0</v>
      </c>
      <c r="C267" s="1297"/>
      <c r="D267" s="1297"/>
      <c r="E267" s="709">
        <v>15</v>
      </c>
      <c r="F267" s="50" cm="1" t="str">
        <f t="array" ref="F267:F267">OFFSET(E267,-1,1)</f>
        <v>2</v>
      </c>
      <c r="G267" s="94" cm="1" t="str">
        <f t="array" ref="G267:G267">G266</f>
        <v>0</v>
      </c>
      <c r="H267" s="1297"/>
      <c r="I267" s="1297"/>
      <c r="J267" s="1297"/>
      <c r="K267" s="154">
        <f>first_year+29</f>
        <v>2053</v>
      </c>
      <c r="L267" s="1297"/>
      <c r="M267" s="1297"/>
      <c r="N267" s="1297"/>
      <c r="O267" s="1297"/>
      <c r="P267" s="1297"/>
      <c r="Q267" s="1297"/>
      <c r="R267" s="1297"/>
      <c r="S267" s="1297"/>
      <c r="T267" s="468" cm="1" t="str">
        <f t="array" ref="T267:T267">T266</f>
        <v>false</v>
      </c>
      <c r="U267" s="1297"/>
      <c r="V267" s="1297"/>
      <c r="W267" s="1297"/>
      <c r="X267" s="1539"/>
      <c r="Y267" s="1539"/>
      <c r="Z267" s="1529"/>
      <c r="AA267" s="1630"/>
      <c r="AB267" s="251" t="str">
        <f>K267&amp;" год"</f>
        <v>2053 год</v>
      </c>
      <c r="AC267" s="409"/>
      <c r="AD267" s="6972"/>
      <c r="AE267" s="6971"/>
      <c r="AF267" s="6971"/>
      <c r="AG267" s="6972"/>
      <c r="AH267" s="6971"/>
      <c r="AI267" s="6972"/>
      <c r="AJ267" s="6971"/>
      <c r="AK267" s="6973"/>
      <c r="AL267" s="404"/>
      <c r="AM267" s="1297"/>
      <c r="AN267" s="1072" cm="1" t="str">
        <f t="array" ref="AN267:AN267">K267</f>
        <v>2053</v>
      </c>
      <c r="AO267" s="1072" t="s">
        <v>2773</v>
      </c>
      <c r="AP267" s="1082" cm="1" t="str">
        <f t="array" ref="AP267:AP267">AP266</f>
        <v>0</v>
      </c>
      <c r="AQ267" s="709"/>
      <c r="AR267" s="709"/>
    </row>
    <row s="7172" customFormat="1" customHeight="1" ht="14.25" hidden="1">
      <c r="A268" s="1297"/>
      <c r="B268" s="447">
        <f>K268&lt;first_year+PERIOD_LENGTH</f>
        <v>0</v>
      </c>
      <c r="C268" s="1297"/>
      <c r="D268" s="1297"/>
      <c r="E268" s="709">
        <v>15</v>
      </c>
      <c r="F268" s="50" cm="1" t="str">
        <f t="array" ref="F268:F268">OFFSET(E268,-1,1)</f>
        <v>2</v>
      </c>
      <c r="G268" s="94" cm="1" t="str">
        <f t="array" ref="G268:G268">G267</f>
        <v>0</v>
      </c>
      <c r="H268" s="1297"/>
      <c r="I268" s="1297"/>
      <c r="J268" s="1297"/>
      <c r="K268" s="154">
        <f>first_year+30</f>
        <v>2054</v>
      </c>
      <c r="L268" s="1297"/>
      <c r="M268" s="1297"/>
      <c r="N268" s="1297"/>
      <c r="O268" s="1297"/>
      <c r="P268" s="1297"/>
      <c r="Q268" s="1297"/>
      <c r="R268" s="1297"/>
      <c r="S268" s="1297"/>
      <c r="T268" s="468" cm="1" t="str">
        <f t="array" ref="T268:T268">T267</f>
        <v>false</v>
      </c>
      <c r="U268" s="1297"/>
      <c r="V268" s="1297"/>
      <c r="W268" s="1297"/>
      <c r="X268" s="1539"/>
      <c r="Y268" s="1539"/>
      <c r="Z268" s="1529"/>
      <c r="AA268" s="1630"/>
      <c r="AB268" s="251" t="str">
        <f>K268&amp;" год"</f>
        <v>2054 год</v>
      </c>
      <c r="AC268" s="409"/>
      <c r="AD268" s="6972"/>
      <c r="AE268" s="6971"/>
      <c r="AF268" s="6971"/>
      <c r="AG268" s="6972"/>
      <c r="AH268" s="6971"/>
      <c r="AI268" s="6972"/>
      <c r="AJ268" s="6971"/>
      <c r="AK268" s="6973"/>
      <c r="AL268" s="404"/>
      <c r="AM268" s="1297"/>
      <c r="AN268" s="1072" cm="1" t="str">
        <f t="array" ref="AN268:AN268">K268</f>
        <v>2054</v>
      </c>
      <c r="AO268" s="1072" t="s">
        <v>2773</v>
      </c>
      <c r="AP268" s="1082" cm="1" t="str">
        <f t="array" ref="AP268:AP268">AP267</f>
        <v>0</v>
      </c>
      <c r="AQ268" s="709"/>
      <c r="AR268" s="709"/>
    </row>
    <row s="7173" customFormat="1" customHeight="1" ht="14.25" hidden="1">
      <c r="A269" s="1297"/>
      <c r="B269" s="447">
        <f>K269&lt;first_year+PERIOD_LENGTH</f>
        <v>0</v>
      </c>
      <c r="C269" s="1297"/>
      <c r="D269" s="1297"/>
      <c r="E269" s="709">
        <v>15</v>
      </c>
      <c r="F269" s="50" cm="1" t="str">
        <f t="array" ref="F269:F269">OFFSET(E269,-1,1)</f>
        <v>2</v>
      </c>
      <c r="G269" s="94" cm="1" t="str">
        <f t="array" ref="G269:G269">G268</f>
        <v>0</v>
      </c>
      <c r="H269" s="1297"/>
      <c r="I269" s="1297"/>
      <c r="J269" s="1297"/>
      <c r="K269" s="154">
        <f>first_year+31</f>
        <v>2055</v>
      </c>
      <c r="L269" s="1297"/>
      <c r="M269" s="1297"/>
      <c r="N269" s="1297"/>
      <c r="O269" s="1297"/>
      <c r="P269" s="1297"/>
      <c r="Q269" s="1297"/>
      <c r="R269" s="1297"/>
      <c r="S269" s="1297"/>
      <c r="T269" s="468" cm="1" t="str">
        <f t="array" ref="T269:T269">T268</f>
        <v>false</v>
      </c>
      <c r="U269" s="1297"/>
      <c r="V269" s="1297"/>
      <c r="W269" s="1297"/>
      <c r="X269" s="1539"/>
      <c r="Y269" s="1539"/>
      <c r="Z269" s="1529"/>
      <c r="AA269" s="1630"/>
      <c r="AB269" s="251" t="str">
        <f>K269&amp;" год"</f>
        <v>2055 год</v>
      </c>
      <c r="AC269" s="409"/>
      <c r="AD269" s="6972"/>
      <c r="AE269" s="6971"/>
      <c r="AF269" s="6971"/>
      <c r="AG269" s="6972"/>
      <c r="AH269" s="6971"/>
      <c r="AI269" s="6972"/>
      <c r="AJ269" s="6971"/>
      <c r="AK269" s="6973"/>
      <c r="AL269" s="404"/>
      <c r="AM269" s="1297"/>
      <c r="AN269" s="1072" cm="1" t="str">
        <f t="array" ref="AN269:AN269">K269</f>
        <v>2055</v>
      </c>
      <c r="AO269" s="1072" t="s">
        <v>2773</v>
      </c>
      <c r="AP269" s="1082" cm="1" t="str">
        <f t="array" ref="AP269:AP269">AP268</f>
        <v>0</v>
      </c>
      <c r="AQ269" s="709"/>
      <c r="AR269" s="709"/>
    </row>
    <row s="7174" customFormat="1" customHeight="1" ht="14.25" hidden="1">
      <c r="A270" s="1297"/>
      <c r="B270" s="447">
        <f>K270&lt;first_year+PERIOD_LENGTH</f>
        <v>0</v>
      </c>
      <c r="C270" s="1297"/>
      <c r="D270" s="1297"/>
      <c r="E270" s="709">
        <v>15</v>
      </c>
      <c r="F270" s="50" cm="1" t="str">
        <f t="array" ref="F270:F270">OFFSET(E270,-1,1)</f>
        <v>2</v>
      </c>
      <c r="G270" s="94" cm="1" t="str">
        <f t="array" ref="G270:G270">G269</f>
        <v>0</v>
      </c>
      <c r="H270" s="1297"/>
      <c r="I270" s="1297"/>
      <c r="J270" s="1297"/>
      <c r="K270" s="154">
        <f>first_year+32</f>
        <v>2056</v>
      </c>
      <c r="L270" s="1297"/>
      <c r="M270" s="1297"/>
      <c r="N270" s="1297"/>
      <c r="O270" s="1297"/>
      <c r="P270" s="1297"/>
      <c r="Q270" s="1297"/>
      <c r="R270" s="1297"/>
      <c r="S270" s="1297"/>
      <c r="T270" s="468" cm="1" t="str">
        <f t="array" ref="T270:T270">T269</f>
        <v>false</v>
      </c>
      <c r="U270" s="1297"/>
      <c r="V270" s="1297"/>
      <c r="W270" s="1297"/>
      <c r="X270" s="1539"/>
      <c r="Y270" s="1539"/>
      <c r="Z270" s="1529"/>
      <c r="AA270" s="1630"/>
      <c r="AB270" s="251" t="str">
        <f>K270&amp;" год"</f>
        <v>2056 год</v>
      </c>
      <c r="AC270" s="409"/>
      <c r="AD270" s="6972"/>
      <c r="AE270" s="6971"/>
      <c r="AF270" s="6971"/>
      <c r="AG270" s="6972"/>
      <c r="AH270" s="6971"/>
      <c r="AI270" s="6972"/>
      <c r="AJ270" s="6971"/>
      <c r="AK270" s="6973"/>
      <c r="AL270" s="404"/>
      <c r="AM270" s="1297"/>
      <c r="AN270" s="1072" cm="1" t="str">
        <f t="array" ref="AN270:AN270">K270</f>
        <v>2056</v>
      </c>
      <c r="AO270" s="1072" t="s">
        <v>2773</v>
      </c>
      <c r="AP270" s="1082" cm="1" t="str">
        <f t="array" ref="AP270:AP270">AP269</f>
        <v>0</v>
      </c>
      <c r="AQ270" s="709"/>
      <c r="AR270" s="709"/>
    </row>
    <row s="7175" customFormat="1" customHeight="1" ht="14.25" hidden="1">
      <c r="A271" s="1297"/>
      <c r="B271" s="447">
        <f>K271&lt;first_year+PERIOD_LENGTH</f>
        <v>0</v>
      </c>
      <c r="C271" s="1297"/>
      <c r="D271" s="1297"/>
      <c r="E271" s="709">
        <v>15</v>
      </c>
      <c r="F271" s="50" cm="1" t="str">
        <f t="array" ref="F271:F271">OFFSET(E271,-1,1)</f>
        <v>2</v>
      </c>
      <c r="G271" s="94" cm="1" t="str">
        <f t="array" ref="G271:G271">G270</f>
        <v>0</v>
      </c>
      <c r="H271" s="1297"/>
      <c r="I271" s="1297"/>
      <c r="J271" s="1297"/>
      <c r="K271" s="154">
        <f>first_year+33</f>
        <v>2057</v>
      </c>
      <c r="L271" s="1297"/>
      <c r="M271" s="1297"/>
      <c r="N271" s="1297"/>
      <c r="O271" s="1297"/>
      <c r="P271" s="1297"/>
      <c r="Q271" s="1297"/>
      <c r="R271" s="1297"/>
      <c r="S271" s="1297"/>
      <c r="T271" s="468" cm="1" t="str">
        <f t="array" ref="T271:T271">T270</f>
        <v>false</v>
      </c>
      <c r="U271" s="1297"/>
      <c r="V271" s="1297"/>
      <c r="W271" s="1297"/>
      <c r="X271" s="1539"/>
      <c r="Y271" s="1539"/>
      <c r="Z271" s="1529"/>
      <c r="AA271" s="1630"/>
      <c r="AB271" s="251" t="str">
        <f>K271&amp;" год"</f>
        <v>2057 год</v>
      </c>
      <c r="AC271" s="409"/>
      <c r="AD271" s="6972"/>
      <c r="AE271" s="6971"/>
      <c r="AF271" s="6971"/>
      <c r="AG271" s="6972"/>
      <c r="AH271" s="6971"/>
      <c r="AI271" s="6972"/>
      <c r="AJ271" s="6971"/>
      <c r="AK271" s="6973"/>
      <c r="AL271" s="404"/>
      <c r="AM271" s="1297"/>
      <c r="AN271" s="1072" cm="1" t="str">
        <f t="array" ref="AN271:AN271">K271</f>
        <v>2057</v>
      </c>
      <c r="AO271" s="1072" t="s">
        <v>2773</v>
      </c>
      <c r="AP271" s="1082" cm="1" t="str">
        <f t="array" ref="AP271:AP271">AP270</f>
        <v>0</v>
      </c>
      <c r="AQ271" s="709"/>
      <c r="AR271" s="709"/>
    </row>
    <row s="7176" customFormat="1" customHeight="1" ht="14.25" hidden="1">
      <c r="A272" s="1297"/>
      <c r="B272" s="447">
        <f>K272&lt;first_year+PERIOD_LENGTH</f>
        <v>0</v>
      </c>
      <c r="C272" s="1297"/>
      <c r="D272" s="1297"/>
      <c r="E272" s="709">
        <v>15</v>
      </c>
      <c r="F272" s="50" cm="1" t="str">
        <f t="array" ref="F272:F272">OFFSET(E272,-1,1)</f>
        <v>2</v>
      </c>
      <c r="G272" s="94" cm="1" t="str">
        <f t="array" ref="G272:G272">G271</f>
        <v>0</v>
      </c>
      <c r="H272" s="1297"/>
      <c r="I272" s="1297"/>
      <c r="J272" s="1297"/>
      <c r="K272" s="154">
        <f>first_year+34</f>
        <v>2058</v>
      </c>
      <c r="L272" s="1297"/>
      <c r="M272" s="1297"/>
      <c r="N272" s="1297"/>
      <c r="O272" s="1297"/>
      <c r="P272" s="1297"/>
      <c r="Q272" s="1297"/>
      <c r="R272" s="1297"/>
      <c r="S272" s="1297"/>
      <c r="T272" s="468" cm="1" t="str">
        <f t="array" ref="T272:T272">T271</f>
        <v>false</v>
      </c>
      <c r="U272" s="1297"/>
      <c r="V272" s="1297"/>
      <c r="W272" s="1297"/>
      <c r="X272" s="1539"/>
      <c r="Y272" s="1539"/>
      <c r="Z272" s="1529"/>
      <c r="AA272" s="1630"/>
      <c r="AB272" s="251" t="str">
        <f>K272&amp;" год"</f>
        <v>2058 год</v>
      </c>
      <c r="AC272" s="409"/>
      <c r="AD272" s="6972"/>
      <c r="AE272" s="6971"/>
      <c r="AF272" s="6971"/>
      <c r="AG272" s="6972"/>
      <c r="AH272" s="6971"/>
      <c r="AI272" s="6972"/>
      <c r="AJ272" s="6971"/>
      <c r="AK272" s="6973"/>
      <c r="AL272" s="404"/>
      <c r="AM272" s="1297"/>
      <c r="AN272" s="1072" cm="1" t="str">
        <f t="array" ref="AN272:AN272">K272</f>
        <v>2058</v>
      </c>
      <c r="AO272" s="1072" t="s">
        <v>2773</v>
      </c>
      <c r="AP272" s="1082" cm="1" t="str">
        <f t="array" ref="AP272:AP272">AP271</f>
        <v>0</v>
      </c>
      <c r="AQ272" s="709"/>
      <c r="AR272" s="709"/>
    </row>
    <row s="7177" customFormat="1" customHeight="1" ht="14.25" hidden="1">
      <c r="A273" s="1297"/>
      <c r="B273" s="447">
        <f>K273&lt;first_year+PERIOD_LENGTH</f>
        <v>0</v>
      </c>
      <c r="C273" s="1297"/>
      <c r="D273" s="1297"/>
      <c r="E273" s="709">
        <v>15</v>
      </c>
      <c r="F273" s="50" cm="1" t="str">
        <f t="array" ref="F273:F273">OFFSET(E273,-1,1)</f>
        <v>2</v>
      </c>
      <c r="G273" s="94" cm="1" t="str">
        <f t="array" ref="G273:G273">G272</f>
        <v>0</v>
      </c>
      <c r="H273" s="1297"/>
      <c r="I273" s="1297"/>
      <c r="J273" s="1297"/>
      <c r="K273" s="154">
        <f>first_year+35</f>
        <v>2059</v>
      </c>
      <c r="L273" s="1297"/>
      <c r="M273" s="1297"/>
      <c r="N273" s="1297"/>
      <c r="O273" s="1297"/>
      <c r="P273" s="1297"/>
      <c r="Q273" s="1297"/>
      <c r="R273" s="1297"/>
      <c r="S273" s="1297"/>
      <c r="T273" s="468" cm="1" t="str">
        <f t="array" ref="T273:T273">T272</f>
        <v>false</v>
      </c>
      <c r="U273" s="1297"/>
      <c r="V273" s="1297"/>
      <c r="W273" s="1297"/>
      <c r="X273" s="1539"/>
      <c r="Y273" s="1539"/>
      <c r="Z273" s="1529"/>
      <c r="AA273" s="1630"/>
      <c r="AB273" s="251" t="str">
        <f>K273&amp;" год"</f>
        <v>2059 год</v>
      </c>
      <c r="AC273" s="409"/>
      <c r="AD273" s="6972"/>
      <c r="AE273" s="6971"/>
      <c r="AF273" s="6971"/>
      <c r="AG273" s="6972"/>
      <c r="AH273" s="6971"/>
      <c r="AI273" s="6972"/>
      <c r="AJ273" s="6971"/>
      <c r="AK273" s="6973"/>
      <c r="AL273" s="404"/>
      <c r="AM273" s="1297"/>
      <c r="AN273" s="1072" cm="1" t="str">
        <f t="array" ref="AN273:AN273">K273</f>
        <v>2059</v>
      </c>
      <c r="AO273" s="1072" t="s">
        <v>2773</v>
      </c>
      <c r="AP273" s="1082" cm="1" t="str">
        <f t="array" ref="AP273:AP273">AP272</f>
        <v>0</v>
      </c>
      <c r="AQ273" s="709"/>
      <c r="AR273" s="709"/>
    </row>
    <row s="7178" customFormat="1" customHeight="1" ht="14.25" hidden="1">
      <c r="A274" s="1297"/>
      <c r="B274" s="447">
        <f>K274&lt;first_year+PERIOD_LENGTH</f>
        <v>0</v>
      </c>
      <c r="C274" s="1297"/>
      <c r="D274" s="1297"/>
      <c r="E274" s="709">
        <v>15</v>
      </c>
      <c r="F274" s="50" cm="1" t="str">
        <f t="array" ref="F274:F274">OFFSET(E274,-1,1)</f>
        <v>2</v>
      </c>
      <c r="G274" s="94" cm="1" t="str">
        <f t="array" ref="G274:G274">G273</f>
        <v>0</v>
      </c>
      <c r="H274" s="1297"/>
      <c r="I274" s="1297"/>
      <c r="J274" s="1297"/>
      <c r="K274" s="154">
        <f>first_year+36</f>
        <v>2060</v>
      </c>
      <c r="L274" s="1297"/>
      <c r="M274" s="1297"/>
      <c r="N274" s="1297"/>
      <c r="O274" s="1297"/>
      <c r="P274" s="1297"/>
      <c r="Q274" s="1297"/>
      <c r="R274" s="1297"/>
      <c r="S274" s="1297"/>
      <c r="T274" s="468" cm="1" t="str">
        <f t="array" ref="T274:T274">T273</f>
        <v>false</v>
      </c>
      <c r="U274" s="1297"/>
      <c r="V274" s="1297"/>
      <c r="W274" s="1297"/>
      <c r="X274" s="1539"/>
      <c r="Y274" s="1539"/>
      <c r="Z274" s="1529"/>
      <c r="AA274" s="1630"/>
      <c r="AB274" s="251" t="str">
        <f>K274&amp;" год"</f>
        <v>2060 год</v>
      </c>
      <c r="AC274" s="409"/>
      <c r="AD274" s="6972"/>
      <c r="AE274" s="6971"/>
      <c r="AF274" s="6971"/>
      <c r="AG274" s="6972"/>
      <c r="AH274" s="6971"/>
      <c r="AI274" s="6972"/>
      <c r="AJ274" s="6971"/>
      <c r="AK274" s="6973"/>
      <c r="AL274" s="404"/>
      <c r="AM274" s="1297"/>
      <c r="AN274" s="1072" cm="1" t="str">
        <f t="array" ref="AN274:AN274">K274</f>
        <v>2060</v>
      </c>
      <c r="AO274" s="1072" t="s">
        <v>2773</v>
      </c>
      <c r="AP274" s="1082" cm="1" t="str">
        <f t="array" ref="AP274:AP274">AP273</f>
        <v>0</v>
      </c>
      <c r="AQ274" s="709"/>
      <c r="AR274" s="709"/>
    </row>
    <row s="7179" customFormat="1" customHeight="1" ht="14.25" hidden="1">
      <c r="A275" s="1297"/>
      <c r="B275" s="447">
        <f>K275&lt;first_year+PERIOD_LENGTH</f>
        <v>0</v>
      </c>
      <c r="C275" s="1297"/>
      <c r="D275" s="1297"/>
      <c r="E275" s="709">
        <v>15</v>
      </c>
      <c r="F275" s="50" cm="1" t="str">
        <f t="array" ref="F275:F275">OFFSET(E275,-1,1)</f>
        <v>2</v>
      </c>
      <c r="G275" s="94" cm="1" t="str">
        <f t="array" ref="G275:G275">G274</f>
        <v>0</v>
      </c>
      <c r="H275" s="1297"/>
      <c r="I275" s="1297"/>
      <c r="J275" s="1297"/>
      <c r="K275" s="154">
        <f>first_year+37</f>
        <v>2061</v>
      </c>
      <c r="L275" s="1297"/>
      <c r="M275" s="1297"/>
      <c r="N275" s="1297"/>
      <c r="O275" s="1297"/>
      <c r="P275" s="1297"/>
      <c r="Q275" s="1297"/>
      <c r="R275" s="1297"/>
      <c r="S275" s="1297"/>
      <c r="T275" s="468" cm="1" t="str">
        <f t="array" ref="T275:T275">T274</f>
        <v>false</v>
      </c>
      <c r="U275" s="1297"/>
      <c r="V275" s="1297"/>
      <c r="W275" s="1297"/>
      <c r="X275" s="1539"/>
      <c r="Y275" s="1539"/>
      <c r="Z275" s="1529"/>
      <c r="AA275" s="1630"/>
      <c r="AB275" s="251" t="str">
        <f>K275&amp;" год"</f>
        <v>2061 год</v>
      </c>
      <c r="AC275" s="409"/>
      <c r="AD275" s="6972"/>
      <c r="AE275" s="6971"/>
      <c r="AF275" s="6971"/>
      <c r="AG275" s="6972"/>
      <c r="AH275" s="6971"/>
      <c r="AI275" s="6972"/>
      <c r="AJ275" s="6971"/>
      <c r="AK275" s="6973"/>
      <c r="AL275" s="404"/>
      <c r="AM275" s="1297"/>
      <c r="AN275" s="1072" cm="1" t="str">
        <f t="array" ref="AN275:AN275">K275</f>
        <v>2061</v>
      </c>
      <c r="AO275" s="1072" t="s">
        <v>2773</v>
      </c>
      <c r="AP275" s="1082" cm="1" t="str">
        <f t="array" ref="AP275:AP275">AP274</f>
        <v>0</v>
      </c>
      <c r="AQ275" s="709"/>
      <c r="AR275" s="709"/>
    </row>
    <row s="7180" customFormat="1" customHeight="1" ht="14.25" hidden="1">
      <c r="A276" s="1297"/>
      <c r="B276" s="447">
        <f>K276&lt;first_year+PERIOD_LENGTH</f>
        <v>0</v>
      </c>
      <c r="C276" s="1297"/>
      <c r="D276" s="1297"/>
      <c r="E276" s="709">
        <v>15</v>
      </c>
      <c r="F276" s="50" cm="1" t="str">
        <f t="array" ref="F276:F276">OFFSET(E276,-1,1)</f>
        <v>2</v>
      </c>
      <c r="G276" s="94" cm="1" t="str">
        <f t="array" ref="G276:G276">G275</f>
        <v>0</v>
      </c>
      <c r="H276" s="1297"/>
      <c r="I276" s="1297"/>
      <c r="J276" s="1297"/>
      <c r="K276" s="154">
        <f>first_year+38</f>
        <v>2062</v>
      </c>
      <c r="L276" s="1297"/>
      <c r="M276" s="1297"/>
      <c r="N276" s="1297"/>
      <c r="O276" s="1297"/>
      <c r="P276" s="1297"/>
      <c r="Q276" s="1297"/>
      <c r="R276" s="1297"/>
      <c r="S276" s="1297"/>
      <c r="T276" s="468" cm="1" t="str">
        <f t="array" ref="T276:T276">T275</f>
        <v>false</v>
      </c>
      <c r="U276" s="1297"/>
      <c r="V276" s="1297"/>
      <c r="W276" s="1297"/>
      <c r="X276" s="1539"/>
      <c r="Y276" s="1539"/>
      <c r="Z276" s="1529"/>
      <c r="AA276" s="1630"/>
      <c r="AB276" s="251" t="str">
        <f>K276&amp;" год"</f>
        <v>2062 год</v>
      </c>
      <c r="AC276" s="409"/>
      <c r="AD276" s="6972"/>
      <c r="AE276" s="6971"/>
      <c r="AF276" s="6971"/>
      <c r="AG276" s="6972"/>
      <c r="AH276" s="6971"/>
      <c r="AI276" s="6972"/>
      <c r="AJ276" s="6971"/>
      <c r="AK276" s="6973"/>
      <c r="AL276" s="404"/>
      <c r="AM276" s="1297"/>
      <c r="AN276" s="1072" cm="1" t="str">
        <f t="array" ref="AN276:AN276">K276</f>
        <v>2062</v>
      </c>
      <c r="AO276" s="1072" t="s">
        <v>2773</v>
      </c>
      <c r="AP276" s="1082" cm="1" t="str">
        <f t="array" ref="AP276:AP276">AP275</f>
        <v>0</v>
      </c>
      <c r="AQ276" s="709"/>
      <c r="AR276" s="709"/>
    </row>
    <row s="7181" customFormat="1" customHeight="1" ht="14.25" hidden="1">
      <c r="A277" s="1297"/>
      <c r="B277" s="447">
        <f>K277&lt;first_year+PERIOD_LENGTH</f>
        <v>0</v>
      </c>
      <c r="C277" s="1297"/>
      <c r="D277" s="1297"/>
      <c r="E277" s="709">
        <v>15</v>
      </c>
      <c r="F277" s="50" cm="1" t="str">
        <f t="array" ref="F277:F277">OFFSET(E277,-1,1)</f>
        <v>2</v>
      </c>
      <c r="G277" s="94" cm="1" t="str">
        <f t="array" ref="G277:G277">G276</f>
        <v>0</v>
      </c>
      <c r="H277" s="1297"/>
      <c r="I277" s="1297"/>
      <c r="J277" s="1297"/>
      <c r="K277" s="154">
        <f>first_year+39</f>
        <v>2063</v>
      </c>
      <c r="L277" s="1297"/>
      <c r="M277" s="1297"/>
      <c r="N277" s="1297"/>
      <c r="O277" s="1297"/>
      <c r="P277" s="1297"/>
      <c r="Q277" s="1297"/>
      <c r="R277" s="1297"/>
      <c r="S277" s="1297"/>
      <c r="T277" s="468" cm="1" t="str">
        <f t="array" ref="T277:T277">T276</f>
        <v>false</v>
      </c>
      <c r="U277" s="1297"/>
      <c r="V277" s="1297"/>
      <c r="W277" s="1297"/>
      <c r="X277" s="1539"/>
      <c r="Y277" s="1539"/>
      <c r="Z277" s="1529"/>
      <c r="AA277" s="1630"/>
      <c r="AB277" s="251" t="str">
        <f>K277&amp;" год"</f>
        <v>2063 год</v>
      </c>
      <c r="AC277" s="409"/>
      <c r="AD277" s="6972"/>
      <c r="AE277" s="6971"/>
      <c r="AF277" s="6971"/>
      <c r="AG277" s="6972"/>
      <c r="AH277" s="6971"/>
      <c r="AI277" s="6972"/>
      <c r="AJ277" s="6971"/>
      <c r="AK277" s="6973"/>
      <c r="AL277" s="404"/>
      <c r="AM277" s="1297"/>
      <c r="AN277" s="1072" cm="1" t="str">
        <f t="array" ref="AN277:AN277">K277</f>
        <v>2063</v>
      </c>
      <c r="AO277" s="1072" t="s">
        <v>2773</v>
      </c>
      <c r="AP277" s="1082" cm="1" t="str">
        <f t="array" ref="AP277:AP277">AP276</f>
        <v>0</v>
      </c>
      <c r="AQ277" s="709"/>
      <c r="AR277" s="709"/>
    </row>
    <row s="7182" customFormat="1" customHeight="1" ht="14.25" hidden="1">
      <c r="A278" s="1297"/>
      <c r="B278" s="447">
        <f>K278&lt;first_year+PERIOD_LENGTH</f>
        <v>0</v>
      </c>
      <c r="C278" s="1297"/>
      <c r="D278" s="1297"/>
      <c r="E278" s="709">
        <v>15</v>
      </c>
      <c r="F278" s="50" cm="1" t="str">
        <f t="array" ref="F278:F278">OFFSET(E278,-1,1)</f>
        <v>2</v>
      </c>
      <c r="G278" s="94" cm="1" t="str">
        <f t="array" ref="G278:G278">G277</f>
        <v>0</v>
      </c>
      <c r="H278" s="1297"/>
      <c r="I278" s="1297"/>
      <c r="J278" s="1297"/>
      <c r="K278" s="154">
        <f>first_year+40</f>
        <v>2064</v>
      </c>
      <c r="L278" s="1297"/>
      <c r="M278" s="1297"/>
      <c r="N278" s="1297"/>
      <c r="O278" s="1297"/>
      <c r="P278" s="1297"/>
      <c r="Q278" s="1297"/>
      <c r="R278" s="1297"/>
      <c r="S278" s="1297"/>
      <c r="T278" s="468" cm="1" t="str">
        <f t="array" ref="T278:T278">T277</f>
        <v>false</v>
      </c>
      <c r="U278" s="1297"/>
      <c r="V278" s="1297"/>
      <c r="W278" s="1297"/>
      <c r="X278" s="1539"/>
      <c r="Y278" s="1539"/>
      <c r="Z278" s="1529"/>
      <c r="AA278" s="1630"/>
      <c r="AB278" s="251" t="str">
        <f>K278&amp;" год"</f>
        <v>2064 год</v>
      </c>
      <c r="AC278" s="409"/>
      <c r="AD278" s="6972"/>
      <c r="AE278" s="6971"/>
      <c r="AF278" s="6971"/>
      <c r="AG278" s="6972"/>
      <c r="AH278" s="6971"/>
      <c r="AI278" s="6972"/>
      <c r="AJ278" s="6971"/>
      <c r="AK278" s="6973"/>
      <c r="AL278" s="404"/>
      <c r="AM278" s="1297"/>
      <c r="AN278" s="1072" cm="1" t="str">
        <f t="array" ref="AN278:AN278">K278</f>
        <v>2064</v>
      </c>
      <c r="AO278" s="1072" t="s">
        <v>2773</v>
      </c>
      <c r="AP278" s="1082" cm="1" t="str">
        <f t="array" ref="AP278:AP278">AP277</f>
        <v>0</v>
      </c>
      <c r="AQ278" s="709"/>
      <c r="AR278" s="709"/>
    </row>
    <row s="7183" customFormat="1" customHeight="1" ht="14.25" hidden="1">
      <c r="A279" s="1297"/>
      <c r="B279" s="447">
        <f>K279&lt;first_year+PERIOD_LENGTH</f>
        <v>0</v>
      </c>
      <c r="C279" s="1297"/>
      <c r="D279" s="1297"/>
      <c r="E279" s="709">
        <v>15</v>
      </c>
      <c r="F279" s="50" cm="1" t="str">
        <f t="array" ref="F279:F279">OFFSET(E279,-1,1)</f>
        <v>2</v>
      </c>
      <c r="G279" s="94" cm="1" t="str">
        <f t="array" ref="G279:G279">G278</f>
        <v>0</v>
      </c>
      <c r="H279" s="1297"/>
      <c r="I279" s="1297"/>
      <c r="J279" s="1297"/>
      <c r="K279" s="154">
        <f>first_year+41</f>
        <v>2065</v>
      </c>
      <c r="L279" s="1297"/>
      <c r="M279" s="1297"/>
      <c r="N279" s="1297"/>
      <c r="O279" s="1297"/>
      <c r="P279" s="1297"/>
      <c r="Q279" s="1297"/>
      <c r="R279" s="1297"/>
      <c r="S279" s="1297"/>
      <c r="T279" s="468" cm="1" t="str">
        <f t="array" ref="T279:T279">T278</f>
        <v>false</v>
      </c>
      <c r="U279" s="1297"/>
      <c r="V279" s="1297"/>
      <c r="W279" s="1297"/>
      <c r="X279" s="1539"/>
      <c r="Y279" s="1539"/>
      <c r="Z279" s="1529"/>
      <c r="AA279" s="1630"/>
      <c r="AB279" s="251" t="str">
        <f>K279&amp;" год"</f>
        <v>2065 год</v>
      </c>
      <c r="AC279" s="409"/>
      <c r="AD279" s="6972"/>
      <c r="AE279" s="6971"/>
      <c r="AF279" s="6971"/>
      <c r="AG279" s="6972"/>
      <c r="AH279" s="6971"/>
      <c r="AI279" s="6972"/>
      <c r="AJ279" s="6971"/>
      <c r="AK279" s="6973"/>
      <c r="AL279" s="404"/>
      <c r="AM279" s="1297"/>
      <c r="AN279" s="1072" cm="1" t="str">
        <f t="array" ref="AN279:AN279">K279</f>
        <v>2065</v>
      </c>
      <c r="AO279" s="1072" t="s">
        <v>2773</v>
      </c>
      <c r="AP279" s="1082" cm="1" t="str">
        <f t="array" ref="AP279:AP279">AP278</f>
        <v>0</v>
      </c>
      <c r="AQ279" s="709"/>
      <c r="AR279" s="709"/>
    </row>
    <row s="7184" customFormat="1" customHeight="1" ht="14.25" hidden="1">
      <c r="A280" s="1297"/>
      <c r="B280" s="447">
        <f>K280&lt;first_year+PERIOD_LENGTH</f>
        <v>0</v>
      </c>
      <c r="C280" s="1297"/>
      <c r="D280" s="1297"/>
      <c r="E280" s="709">
        <v>15</v>
      </c>
      <c r="F280" s="50" cm="1" t="str">
        <f t="array" ref="F280:F280">OFFSET(E280,-1,1)</f>
        <v>2</v>
      </c>
      <c r="G280" s="94" cm="1" t="str">
        <f t="array" ref="G280:G280">G279</f>
        <v>0</v>
      </c>
      <c r="H280" s="1297"/>
      <c r="I280" s="1297"/>
      <c r="J280" s="1297"/>
      <c r="K280" s="154">
        <f>first_year+42</f>
        <v>2066</v>
      </c>
      <c r="L280" s="1297"/>
      <c r="M280" s="1297"/>
      <c r="N280" s="1297"/>
      <c r="O280" s="1297"/>
      <c r="P280" s="1297"/>
      <c r="Q280" s="1297"/>
      <c r="R280" s="1297"/>
      <c r="S280" s="1297"/>
      <c r="T280" s="468" cm="1" t="str">
        <f t="array" ref="T280:T280">T279</f>
        <v>false</v>
      </c>
      <c r="U280" s="1297"/>
      <c r="V280" s="1297"/>
      <c r="W280" s="1297"/>
      <c r="X280" s="1539"/>
      <c r="Y280" s="1539"/>
      <c r="Z280" s="1529"/>
      <c r="AA280" s="1630"/>
      <c r="AB280" s="251" t="str">
        <f>K280&amp;" год"</f>
        <v>2066 год</v>
      </c>
      <c r="AC280" s="409"/>
      <c r="AD280" s="6972"/>
      <c r="AE280" s="6971"/>
      <c r="AF280" s="6971"/>
      <c r="AG280" s="6972"/>
      <c r="AH280" s="6971"/>
      <c r="AI280" s="6972"/>
      <c r="AJ280" s="6971"/>
      <c r="AK280" s="6973"/>
      <c r="AL280" s="404"/>
      <c r="AM280" s="1297"/>
      <c r="AN280" s="1072" cm="1" t="str">
        <f t="array" ref="AN280:AN280">K280</f>
        <v>2066</v>
      </c>
      <c r="AO280" s="1072" t="s">
        <v>2773</v>
      </c>
      <c r="AP280" s="1082" cm="1" t="str">
        <f t="array" ref="AP280:AP280">AP279</f>
        <v>0</v>
      </c>
      <c r="AQ280" s="709"/>
      <c r="AR280" s="709"/>
    </row>
    <row s="7185" customFormat="1" customHeight="1" ht="14.25" hidden="1">
      <c r="A281" s="1297"/>
      <c r="B281" s="447">
        <f>K281&lt;first_year+PERIOD_LENGTH</f>
        <v>0</v>
      </c>
      <c r="C281" s="1297"/>
      <c r="D281" s="1297"/>
      <c r="E281" s="709">
        <v>15</v>
      </c>
      <c r="F281" s="50" cm="1" t="str">
        <f t="array" ref="F281:F281">OFFSET(E281,-1,1)</f>
        <v>2</v>
      </c>
      <c r="G281" s="94" cm="1" t="str">
        <f t="array" ref="G281:G281">G280</f>
        <v>0</v>
      </c>
      <c r="H281" s="1297"/>
      <c r="I281" s="1297"/>
      <c r="J281" s="1297"/>
      <c r="K281" s="154">
        <f>first_year+43</f>
        <v>2067</v>
      </c>
      <c r="L281" s="1297"/>
      <c r="M281" s="1297"/>
      <c r="N281" s="1297"/>
      <c r="O281" s="1297"/>
      <c r="P281" s="1297"/>
      <c r="Q281" s="1297"/>
      <c r="R281" s="1297"/>
      <c r="S281" s="1297"/>
      <c r="T281" s="468" cm="1" t="str">
        <f t="array" ref="T281:T281">T280</f>
        <v>false</v>
      </c>
      <c r="U281" s="1297"/>
      <c r="V281" s="1297"/>
      <c r="W281" s="1297"/>
      <c r="X281" s="1539"/>
      <c r="Y281" s="1539"/>
      <c r="Z281" s="1529"/>
      <c r="AA281" s="1630"/>
      <c r="AB281" s="251" t="str">
        <f>K281&amp;" год"</f>
        <v>2067 год</v>
      </c>
      <c r="AC281" s="409"/>
      <c r="AD281" s="6972"/>
      <c r="AE281" s="6971"/>
      <c r="AF281" s="6971"/>
      <c r="AG281" s="6972"/>
      <c r="AH281" s="6971"/>
      <c r="AI281" s="6972"/>
      <c r="AJ281" s="6971"/>
      <c r="AK281" s="6973"/>
      <c r="AL281" s="404"/>
      <c r="AM281" s="1297"/>
      <c r="AN281" s="1072" cm="1" t="str">
        <f t="array" ref="AN281:AN281">K281</f>
        <v>2067</v>
      </c>
      <c r="AO281" s="1072" t="s">
        <v>2773</v>
      </c>
      <c r="AP281" s="1082" cm="1" t="str">
        <f t="array" ref="AP281:AP281">AP280</f>
        <v>0</v>
      </c>
      <c r="AQ281" s="709"/>
      <c r="AR281" s="709"/>
    </row>
    <row s="7186" customFormat="1" customHeight="1" ht="14.25" hidden="1">
      <c r="A282" s="1297"/>
      <c r="B282" s="447">
        <f>K282&lt;first_year+PERIOD_LENGTH</f>
        <v>0</v>
      </c>
      <c r="C282" s="1297"/>
      <c r="D282" s="1297"/>
      <c r="E282" s="709">
        <v>15</v>
      </c>
      <c r="F282" s="50" cm="1" t="str">
        <f t="array" ref="F282:F282">OFFSET(E282,-1,1)</f>
        <v>2</v>
      </c>
      <c r="G282" s="94" cm="1" t="str">
        <f t="array" ref="G282:G282">G281</f>
        <v>0</v>
      </c>
      <c r="H282" s="1297"/>
      <c r="I282" s="1297"/>
      <c r="J282" s="1297"/>
      <c r="K282" s="154">
        <f>first_year+44</f>
        <v>2068</v>
      </c>
      <c r="L282" s="1297"/>
      <c r="M282" s="1297"/>
      <c r="N282" s="1297"/>
      <c r="O282" s="1297"/>
      <c r="P282" s="1297"/>
      <c r="Q282" s="1297"/>
      <c r="R282" s="1297"/>
      <c r="S282" s="1297"/>
      <c r="T282" s="468" cm="1" t="str">
        <f t="array" ref="T282:T282">T281</f>
        <v>false</v>
      </c>
      <c r="U282" s="1297"/>
      <c r="V282" s="1297"/>
      <c r="W282" s="1297"/>
      <c r="X282" s="1539"/>
      <c r="Y282" s="1539"/>
      <c r="Z282" s="1529"/>
      <c r="AA282" s="1630"/>
      <c r="AB282" s="251" t="str">
        <f>K282&amp;" год"</f>
        <v>2068 год</v>
      </c>
      <c r="AC282" s="409"/>
      <c r="AD282" s="6972"/>
      <c r="AE282" s="6971"/>
      <c r="AF282" s="6971"/>
      <c r="AG282" s="6972"/>
      <c r="AH282" s="6971"/>
      <c r="AI282" s="6972"/>
      <c r="AJ282" s="6971"/>
      <c r="AK282" s="6973"/>
      <c r="AL282" s="404"/>
      <c r="AM282" s="1297"/>
      <c r="AN282" s="1072" cm="1" t="str">
        <f t="array" ref="AN282:AN282">K282</f>
        <v>2068</v>
      </c>
      <c r="AO282" s="1072" t="s">
        <v>2773</v>
      </c>
      <c r="AP282" s="1082" cm="1" t="str">
        <f t="array" ref="AP282:AP282">AP281</f>
        <v>0</v>
      </c>
      <c r="AQ282" s="709"/>
      <c r="AR282" s="709"/>
    </row>
    <row s="7187" customFormat="1" customHeight="1" ht="14.25" hidden="1">
      <c r="A283" s="1297"/>
      <c r="B283" s="447">
        <f>K283&lt;first_year+PERIOD_LENGTH</f>
        <v>0</v>
      </c>
      <c r="C283" s="1297"/>
      <c r="D283" s="1297"/>
      <c r="E283" s="709">
        <v>15</v>
      </c>
      <c r="F283" s="50" cm="1" t="str">
        <f t="array" ref="F283:F283">OFFSET(E283,-1,1)</f>
        <v>2</v>
      </c>
      <c r="G283" s="94" cm="1" t="str">
        <f t="array" ref="G283:G283">G282</f>
        <v>0</v>
      </c>
      <c r="H283" s="1297"/>
      <c r="I283" s="1297"/>
      <c r="J283" s="1297"/>
      <c r="K283" s="154">
        <f>first_year+45</f>
        <v>2069</v>
      </c>
      <c r="L283" s="1297"/>
      <c r="M283" s="1297"/>
      <c r="N283" s="1297"/>
      <c r="O283" s="1297"/>
      <c r="P283" s="1297"/>
      <c r="Q283" s="1297"/>
      <c r="R283" s="1297"/>
      <c r="S283" s="1297"/>
      <c r="T283" s="468" cm="1" t="str">
        <f t="array" ref="T283:T283">T282</f>
        <v>false</v>
      </c>
      <c r="U283" s="1297"/>
      <c r="V283" s="1297"/>
      <c r="W283" s="1297"/>
      <c r="X283" s="1539"/>
      <c r="Y283" s="1539"/>
      <c r="Z283" s="1529"/>
      <c r="AA283" s="1630"/>
      <c r="AB283" s="251" t="str">
        <f>K283&amp;" год"</f>
        <v>2069 год</v>
      </c>
      <c r="AC283" s="409"/>
      <c r="AD283" s="6972"/>
      <c r="AE283" s="6971"/>
      <c r="AF283" s="6971"/>
      <c r="AG283" s="6972"/>
      <c r="AH283" s="6971"/>
      <c r="AI283" s="6972"/>
      <c r="AJ283" s="6971"/>
      <c r="AK283" s="6973"/>
      <c r="AL283" s="404"/>
      <c r="AM283" s="1297"/>
      <c r="AN283" s="1072" cm="1" t="str">
        <f t="array" ref="AN283:AN283">K283</f>
        <v>2069</v>
      </c>
      <c r="AO283" s="1072" t="s">
        <v>2773</v>
      </c>
      <c r="AP283" s="1082" cm="1" t="str">
        <f t="array" ref="AP283:AP283">AP282</f>
        <v>0</v>
      </c>
      <c r="AQ283" s="709"/>
      <c r="AR283" s="709"/>
    </row>
    <row s="7188" customFormat="1" customHeight="1" ht="14.25" hidden="1">
      <c r="A284" s="1297"/>
      <c r="B284" s="447">
        <f>K284&lt;first_year+PERIOD_LENGTH</f>
        <v>0</v>
      </c>
      <c r="C284" s="1297"/>
      <c r="D284" s="1297"/>
      <c r="E284" s="709">
        <v>15</v>
      </c>
      <c r="F284" s="50" cm="1" t="str">
        <f t="array" ref="F284:F284">OFFSET(E284,-1,1)</f>
        <v>2</v>
      </c>
      <c r="G284" s="94" cm="1" t="str">
        <f t="array" ref="G284:G284">G283</f>
        <v>0</v>
      </c>
      <c r="H284" s="1297"/>
      <c r="I284" s="1297"/>
      <c r="J284" s="1297"/>
      <c r="K284" s="154">
        <f>first_year+46</f>
        <v>2070</v>
      </c>
      <c r="L284" s="1297"/>
      <c r="M284" s="1297"/>
      <c r="N284" s="1297"/>
      <c r="O284" s="1297"/>
      <c r="P284" s="1297"/>
      <c r="Q284" s="1297"/>
      <c r="R284" s="1297"/>
      <c r="S284" s="1297"/>
      <c r="T284" s="468" cm="1" t="str">
        <f t="array" ref="T284:T284">T283</f>
        <v>false</v>
      </c>
      <c r="U284" s="1297"/>
      <c r="V284" s="1297"/>
      <c r="W284" s="1297"/>
      <c r="X284" s="1539"/>
      <c r="Y284" s="1539"/>
      <c r="Z284" s="1529"/>
      <c r="AA284" s="1630"/>
      <c r="AB284" s="251" t="str">
        <f>K284&amp;" год"</f>
        <v>2070 год</v>
      </c>
      <c r="AC284" s="409"/>
      <c r="AD284" s="6972"/>
      <c r="AE284" s="6971"/>
      <c r="AF284" s="6971"/>
      <c r="AG284" s="6972"/>
      <c r="AH284" s="6971"/>
      <c r="AI284" s="6972"/>
      <c r="AJ284" s="6971"/>
      <c r="AK284" s="6973"/>
      <c r="AL284" s="404"/>
      <c r="AM284" s="1297"/>
      <c r="AN284" s="1072" cm="1" t="str">
        <f t="array" ref="AN284:AN284">K284</f>
        <v>2070</v>
      </c>
      <c r="AO284" s="1072" t="s">
        <v>2773</v>
      </c>
      <c r="AP284" s="1082" cm="1" t="str">
        <f t="array" ref="AP284:AP284">AP283</f>
        <v>0</v>
      </c>
      <c r="AQ284" s="709"/>
      <c r="AR284" s="709"/>
    </row>
    <row s="7189" customFormat="1" customHeight="1" ht="14.25" hidden="1">
      <c r="A285" s="1297"/>
      <c r="B285" s="447">
        <f>K285&lt;first_year+PERIOD_LENGTH</f>
        <v>0</v>
      </c>
      <c r="C285" s="1297"/>
      <c r="D285" s="1297"/>
      <c r="E285" s="709">
        <v>15</v>
      </c>
      <c r="F285" s="50" cm="1" t="str">
        <f t="array" ref="F285:F285">OFFSET(E285,-1,1)</f>
        <v>2</v>
      </c>
      <c r="G285" s="94" cm="1" t="str">
        <f t="array" ref="G285:G285">G284</f>
        <v>0</v>
      </c>
      <c r="H285" s="1297"/>
      <c r="I285" s="1297"/>
      <c r="J285" s="1297"/>
      <c r="K285" s="154">
        <f>first_year+47</f>
        <v>2071</v>
      </c>
      <c r="L285" s="1297"/>
      <c r="M285" s="1297"/>
      <c r="N285" s="1297"/>
      <c r="O285" s="1297"/>
      <c r="P285" s="1297"/>
      <c r="Q285" s="1297"/>
      <c r="R285" s="1297"/>
      <c r="S285" s="1297"/>
      <c r="T285" s="468" cm="1" t="str">
        <f t="array" ref="T285:T285">T284</f>
        <v>false</v>
      </c>
      <c r="U285" s="1297"/>
      <c r="V285" s="1297"/>
      <c r="W285" s="1297"/>
      <c r="X285" s="1539"/>
      <c r="Y285" s="1539"/>
      <c r="Z285" s="1529"/>
      <c r="AA285" s="1630"/>
      <c r="AB285" s="251" t="str">
        <f>K285&amp;" год"</f>
        <v>2071 год</v>
      </c>
      <c r="AC285" s="409"/>
      <c r="AD285" s="6972"/>
      <c r="AE285" s="6971"/>
      <c r="AF285" s="6971"/>
      <c r="AG285" s="6972"/>
      <c r="AH285" s="6971"/>
      <c r="AI285" s="6972"/>
      <c r="AJ285" s="6971"/>
      <c r="AK285" s="6973"/>
      <c r="AL285" s="404"/>
      <c r="AM285" s="1297"/>
      <c r="AN285" s="1072" cm="1" t="str">
        <f t="array" ref="AN285:AN285">K285</f>
        <v>2071</v>
      </c>
      <c r="AO285" s="1072" t="s">
        <v>2773</v>
      </c>
      <c r="AP285" s="1082" cm="1" t="str">
        <f t="array" ref="AP285:AP285">AP284</f>
        <v>0</v>
      </c>
      <c r="AQ285" s="709"/>
      <c r="AR285" s="709"/>
    </row>
    <row s="7190" customFormat="1" customHeight="1" ht="14.25" hidden="1">
      <c r="A286" s="1297"/>
      <c r="B286" s="447">
        <f>K286&lt;first_year+PERIOD_LENGTH</f>
        <v>0</v>
      </c>
      <c r="C286" s="1297"/>
      <c r="D286" s="1297"/>
      <c r="E286" s="709">
        <v>15</v>
      </c>
      <c r="F286" s="50" cm="1" t="str">
        <f t="array" ref="F286:F286">OFFSET(E286,-1,1)</f>
        <v>2</v>
      </c>
      <c r="G286" s="94" cm="1" t="str">
        <f t="array" ref="G286:G286">G285</f>
        <v>0</v>
      </c>
      <c r="H286" s="1297"/>
      <c r="I286" s="1297"/>
      <c r="J286" s="1297"/>
      <c r="K286" s="154">
        <f>first_year+48</f>
        <v>2072</v>
      </c>
      <c r="L286" s="1297"/>
      <c r="M286" s="1297"/>
      <c r="N286" s="1297"/>
      <c r="O286" s="1297"/>
      <c r="P286" s="1297"/>
      <c r="Q286" s="1297"/>
      <c r="R286" s="1297"/>
      <c r="S286" s="1297"/>
      <c r="T286" s="468" cm="1" t="str">
        <f t="array" ref="T286:T286">T285</f>
        <v>false</v>
      </c>
      <c r="U286" s="1297"/>
      <c r="V286" s="1297"/>
      <c r="W286" s="1297"/>
      <c r="X286" s="1539"/>
      <c r="Y286" s="1539"/>
      <c r="Z286" s="1529"/>
      <c r="AA286" s="1630"/>
      <c r="AB286" s="251" t="str">
        <f>K286&amp;" год"</f>
        <v>2072 год</v>
      </c>
      <c r="AC286" s="409"/>
      <c r="AD286" s="6972"/>
      <c r="AE286" s="6971"/>
      <c r="AF286" s="6971"/>
      <c r="AG286" s="6972"/>
      <c r="AH286" s="6971"/>
      <c r="AI286" s="6972"/>
      <c r="AJ286" s="6971"/>
      <c r="AK286" s="6973"/>
      <c r="AL286" s="404"/>
      <c r="AM286" s="1297"/>
      <c r="AN286" s="1072" cm="1" t="str">
        <f t="array" ref="AN286:AN286">K286</f>
        <v>2072</v>
      </c>
      <c r="AO286" s="1072" t="s">
        <v>2773</v>
      </c>
      <c r="AP286" s="1082" cm="1" t="str">
        <f t="array" ref="AP286:AP286">AP285</f>
        <v>0</v>
      </c>
      <c r="AQ286" s="709"/>
      <c r="AR286" s="709"/>
    </row>
    <row s="7191" customFormat="1" customHeight="1" ht="14.25" hidden="1">
      <c r="A287" s="1297"/>
      <c r="B287" s="447">
        <f>K287&lt;first_year+PERIOD_LENGTH</f>
        <v>0</v>
      </c>
      <c r="C287" s="1297"/>
      <c r="D287" s="1297"/>
      <c r="E287" s="709">
        <v>15</v>
      </c>
      <c r="F287" s="50" cm="1" t="str">
        <f t="array" ref="F287:F287">OFFSET(E287,-1,1)</f>
        <v>2</v>
      </c>
      <c r="G287" s="94" cm="1" t="str">
        <f t="array" ref="G287:G287">G286</f>
        <v>0</v>
      </c>
      <c r="H287" s="1297"/>
      <c r="I287" s="1297"/>
      <c r="J287" s="1297"/>
      <c r="K287" s="154">
        <f>first_year+49</f>
        <v>2073</v>
      </c>
      <c r="L287" s="1297"/>
      <c r="M287" s="1297"/>
      <c r="N287" s="1297"/>
      <c r="O287" s="1297"/>
      <c r="P287" s="1297"/>
      <c r="Q287" s="1297"/>
      <c r="R287" s="1297"/>
      <c r="S287" s="1297"/>
      <c r="T287" s="468" cm="1" t="str">
        <f t="array" ref="T287:T287">T286</f>
        <v>false</v>
      </c>
      <c r="U287" s="1297"/>
      <c r="V287" s="1297"/>
      <c r="W287" s="1297"/>
      <c r="X287" s="1539"/>
      <c r="Y287" s="1539"/>
      <c r="Z287" s="1529"/>
      <c r="AA287" s="1630"/>
      <c r="AB287" s="251" t="str">
        <f>K287&amp;" год"</f>
        <v>2073 год</v>
      </c>
      <c r="AC287" s="409"/>
      <c r="AD287" s="6972"/>
      <c r="AE287" s="6971"/>
      <c r="AF287" s="6971"/>
      <c r="AG287" s="6972"/>
      <c r="AH287" s="6971"/>
      <c r="AI287" s="6972"/>
      <c r="AJ287" s="6971"/>
      <c r="AK287" s="6973"/>
      <c r="AL287" s="404"/>
      <c r="AM287" s="1297"/>
      <c r="AN287" s="1072" cm="1" t="str">
        <f t="array" ref="AN287:AN287">K287</f>
        <v>2073</v>
      </c>
      <c r="AO287" s="1072" t="s">
        <v>2773</v>
      </c>
      <c r="AP287" s="1082" cm="1" t="str">
        <f t="array" ref="AP287:AP287">AP286</f>
        <v>0</v>
      </c>
      <c r="AQ287" s="709"/>
      <c r="AR287" s="709"/>
    </row>
    <row s="541" customFormat="1" customHeight="1" ht="54.421875">
      <c r="A288" s="1331"/>
      <c r="B288" s="430"/>
      <c r="C288" s="1331"/>
      <c r="D288" s="1331"/>
      <c r="E288" s="623">
        <v>15</v>
      </c>
      <c r="F288" s="50" cm="1" t="str">
        <f t="array" ref="F288:F288">OFFSET(E288,-1,1)</f>
        <v>2</v>
      </c>
      <c r="G288" s="118" cm="1" t="str">
        <f t="array" ref="G288:G288">AB288</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H288" s="1331"/>
      <c r="I288" s="1331"/>
      <c r="J288" s="1331"/>
      <c r="K288" s="1331"/>
      <c r="L288" s="1331"/>
      <c r="M288" s="1331"/>
      <c r="N288" s="1331"/>
      <c r="O288" s="1331"/>
      <c r="P288" s="1331"/>
      <c r="Q288" s="1331"/>
      <c r="R288" s="1331"/>
      <c r="S288" s="1331"/>
      <c r="T288" s="468">
        <f>AND(F288&gt;0,Y288&gt;0)</f>
        <v>1</v>
      </c>
      <c r="U288" s="1331"/>
      <c r="V288" s="1331"/>
      <c r="W288" s="118"/>
      <c r="X288" s="1539"/>
      <c r="Y288" s="1539" t="s">
        <v>290</v>
      </c>
      <c r="Z288" s="1529"/>
      <c r="AA288" s="1630" t="s">
        <v>174</v>
      </c>
      <c r="AB288" s="1631" t="s">
        <v>2777</v>
      </c>
      <c r="AC288" s="1631"/>
      <c r="AD288" s="1631"/>
      <c r="AE288" s="1631"/>
      <c r="AF288" s="1631"/>
      <c r="AG288" s="1631"/>
      <c r="AH288" s="6967"/>
      <c r="AI288" s="6967"/>
      <c r="AJ288" s="6967"/>
      <c r="AK288" s="6968"/>
      <c r="AL288" s="403"/>
      <c r="AM288" s="1331"/>
      <c r="AN288" s="1005"/>
      <c r="AO288" s="1072" t="s">
        <v>2773</v>
      </c>
      <c r="AP288" s="1087" cm="1" t="str">
        <f t="array" ref="AP288:AP288">AB288</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AQ288" s="623"/>
      <c r="AR288" s="623" t="b">
        <v>1</v>
      </c>
    </row>
    <row s="7192" customFormat="1" customHeight="1" ht="16.171875">
      <c r="A289" s="1297"/>
      <c r="B289" s="447">
        <f>K289&lt;first_year+PERIOD_LENGTH</f>
        <v>1</v>
      </c>
      <c r="C289" s="1297"/>
      <c r="D289" s="1297"/>
      <c r="E289" s="709">
        <v>15</v>
      </c>
      <c r="F289" s="50" cm="1" t="str">
        <f t="array" ref="F289:F289">OFFSET(E289,-1,1)</f>
        <v>2</v>
      </c>
      <c r="G289" s="94" cm="1" t="str">
        <f t="array" ref="G289:G289">G288</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H289" s="1297"/>
      <c r="I289" s="1297"/>
      <c r="J289" s="1297"/>
      <c r="K289" s="154" cm="1" t="str">
        <f t="array" ref="K289:K289">first_year</f>
        <v>2024</v>
      </c>
      <c r="L289" s="1297"/>
      <c r="M289" s="1297"/>
      <c r="N289" s="1297"/>
      <c r="O289" s="1297"/>
      <c r="P289" s="1297"/>
      <c r="Q289" s="1297"/>
      <c r="R289" s="1297"/>
      <c r="S289" s="1297"/>
      <c r="T289" s="468" cm="1" t="str">
        <f t="array" ref="T289:T289">T288</f>
        <v>true</v>
      </c>
      <c r="U289" s="1297"/>
      <c r="V289" s="1297"/>
      <c r="W289" s="1297"/>
      <c r="X289" s="1539"/>
      <c r="Y289" s="1539"/>
      <c r="Z289" s="1529"/>
      <c r="AA289" s="1630"/>
      <c r="AB289" s="298" t="str">
        <f>K289&amp;" год"</f>
        <v>2024 год</v>
      </c>
      <c r="AC289" s="299"/>
      <c r="AD289" s="313">
        <v>1</v>
      </c>
      <c r="AE289" s="299">
        <v>0.77</v>
      </c>
      <c r="AF289" s="299"/>
      <c r="AG289" s="313">
        <v>0.73</v>
      </c>
      <c r="AH289" s="6971"/>
      <c r="AI289" s="6972"/>
      <c r="AJ289" s="6971"/>
      <c r="AK289" s="6973"/>
      <c r="AL289" s="404"/>
      <c r="AM289" s="1297"/>
      <c r="AN289" s="1072" cm="1" t="str">
        <f t="array" ref="AN289:AN289">K289</f>
        <v>2024</v>
      </c>
      <c r="AO289" s="1072" t="s">
        <v>2773</v>
      </c>
      <c r="AP289" s="1082" cm="1" t="str">
        <f t="array" ref="AP289:AP289">AP288</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AQ289" s="709"/>
      <c r="AR289" s="709"/>
    </row>
    <row s="7193" customFormat="1" customHeight="1" ht="16.171875">
      <c r="A290" s="1297"/>
      <c r="B290" s="447">
        <f>K290&lt;first_year+PERIOD_LENGTH</f>
        <v>1</v>
      </c>
      <c r="C290" s="1297"/>
      <c r="D290" s="1297"/>
      <c r="E290" s="709">
        <v>15</v>
      </c>
      <c r="F290" s="50" cm="1" t="str">
        <f t="array" ref="F290:F290">OFFSET(E290,-1,1)</f>
        <v>2</v>
      </c>
      <c r="G290" s="94" cm="1" t="str">
        <f t="array" ref="G290:G290">G289</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H290" s="1297"/>
      <c r="I290" s="1297"/>
      <c r="J290" s="1297"/>
      <c r="K290" s="154">
        <f>first_year+1</f>
        <v>2025</v>
      </c>
      <c r="L290" s="1297"/>
      <c r="M290" s="1297"/>
      <c r="N290" s="1297"/>
      <c r="O290" s="1297"/>
      <c r="P290" s="1297"/>
      <c r="Q290" s="1297"/>
      <c r="R290" s="1297"/>
      <c r="S290" s="1297"/>
      <c r="T290" s="468" cm="1" t="str">
        <f t="array" ref="T290:T290">T289</f>
        <v>true</v>
      </c>
      <c r="U290" s="1297"/>
      <c r="V290" s="1297"/>
      <c r="W290" s="1297"/>
      <c r="X290" s="1539"/>
      <c r="Y290" s="1539"/>
      <c r="Z290" s="1529"/>
      <c r="AA290" s="1630"/>
      <c r="AB290" s="251" t="str">
        <f>K290&amp;" год"</f>
        <v>2025 год</v>
      </c>
      <c r="AC290" s="409"/>
      <c r="AD290" s="313">
        <v>0</v>
      </c>
      <c r="AE290" s="299">
        <v>0.73</v>
      </c>
      <c r="AF290" s="299"/>
      <c r="AG290" s="313">
        <v>0.73</v>
      </c>
      <c r="AH290" s="6971"/>
      <c r="AI290" s="6972"/>
      <c r="AJ290" s="6971"/>
      <c r="AK290" s="6973"/>
      <c r="AL290" s="404"/>
      <c r="AM290" s="1297"/>
      <c r="AN290" s="1072" cm="1" t="str">
        <f t="array" ref="AN290:AN290">K290</f>
        <v>2025</v>
      </c>
      <c r="AO290" s="1072" t="s">
        <v>2773</v>
      </c>
      <c r="AP290" s="1082" cm="1" t="str">
        <f t="array" ref="AP290:AP290">AP289</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AQ290" s="709"/>
      <c r="AR290" s="709"/>
    </row>
    <row s="7194" customFormat="1" customHeight="1" ht="15.421875">
      <c r="A291" s="1297"/>
      <c r="B291" s="447">
        <f>K291&lt;first_year+PERIOD_LENGTH</f>
        <v>1</v>
      </c>
      <c r="C291" s="1297"/>
      <c r="D291" s="1297"/>
      <c r="E291" s="709">
        <v>15</v>
      </c>
      <c r="F291" s="50" cm="1" t="str">
        <f t="array" ref="F291:F291">OFFSET(E291,-1,1)</f>
        <v>2</v>
      </c>
      <c r="G291" s="94" cm="1" t="str">
        <f t="array" ref="G291:G291">G290</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H291" s="1297"/>
      <c r="I291" s="1297"/>
      <c r="J291" s="1297"/>
      <c r="K291" s="154">
        <f>first_year+2</f>
        <v>2026</v>
      </c>
      <c r="L291" s="1297"/>
      <c r="M291" s="1297"/>
      <c r="N291" s="1297"/>
      <c r="O291" s="1297"/>
      <c r="P291" s="1297"/>
      <c r="Q291" s="1297"/>
      <c r="R291" s="1297"/>
      <c r="S291" s="1297"/>
      <c r="T291" s="468" cm="1" t="str">
        <f t="array" ref="T291:T291">T290</f>
        <v>true</v>
      </c>
      <c r="U291" s="1297"/>
      <c r="V291" s="1297"/>
      <c r="W291" s="1297"/>
      <c r="X291" s="1539"/>
      <c r="Y291" s="1539"/>
      <c r="Z291" s="1529"/>
      <c r="AA291" s="1630"/>
      <c r="AB291" s="251" t="str">
        <f>K291&amp;" год"</f>
        <v>2026 год</v>
      </c>
      <c r="AC291" s="409"/>
      <c r="AD291" s="313">
        <v>1</v>
      </c>
      <c r="AE291" s="299">
        <v>1.28</v>
      </c>
      <c r="AF291" s="299"/>
      <c r="AG291" s="313">
        <v>0.73</v>
      </c>
      <c r="AH291" s="6971"/>
      <c r="AI291" s="6972"/>
      <c r="AJ291" s="6971"/>
      <c r="AK291" s="6973"/>
      <c r="AL291" s="404"/>
      <c r="AM291" s="1297"/>
      <c r="AN291" s="1072" cm="1" t="str">
        <f t="array" ref="AN291:AN291">K291</f>
        <v>2026</v>
      </c>
      <c r="AO291" s="1072" t="s">
        <v>2773</v>
      </c>
      <c r="AP291" s="1082" cm="1" t="str">
        <f t="array" ref="AP291:AP291">AP290</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AQ291" s="709"/>
      <c r="AR291" s="709"/>
    </row>
    <row s="7195" customFormat="1" customHeight="1" ht="16.171875">
      <c r="A292" s="1297"/>
      <c r="B292" s="447">
        <f>K292&lt;first_year+PERIOD_LENGTH</f>
        <v>1</v>
      </c>
      <c r="C292" s="1297"/>
      <c r="D292" s="1297"/>
      <c r="E292" s="709">
        <v>15</v>
      </c>
      <c r="F292" s="50" cm="1" t="str">
        <f t="array" ref="F292:F292">OFFSET(E292,-1,1)</f>
        <v>2</v>
      </c>
      <c r="G292" s="94" cm="1" t="str">
        <f t="array" ref="G292:G292">G291</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H292" s="1297"/>
      <c r="I292" s="1297"/>
      <c r="J292" s="1297"/>
      <c r="K292" s="154">
        <f>first_year+3</f>
        <v>2027</v>
      </c>
      <c r="L292" s="1297"/>
      <c r="M292" s="1297"/>
      <c r="N292" s="1297"/>
      <c r="O292" s="1297"/>
      <c r="P292" s="1297"/>
      <c r="Q292" s="1297"/>
      <c r="R292" s="1297"/>
      <c r="S292" s="1297"/>
      <c r="T292" s="468" cm="1" t="str">
        <f t="array" ref="T292:T292">T291</f>
        <v>true</v>
      </c>
      <c r="U292" s="1297"/>
      <c r="V292" s="1297"/>
      <c r="W292" s="1297"/>
      <c r="X292" s="1539"/>
      <c r="Y292" s="1539"/>
      <c r="Z292" s="1529"/>
      <c r="AA292" s="1630"/>
      <c r="AB292" s="251" t="str">
        <f>K292&amp;" год"</f>
        <v>2027 год</v>
      </c>
      <c r="AC292" s="409"/>
      <c r="AD292" s="313">
        <v>1</v>
      </c>
      <c r="AE292" s="299">
        <v>1.63</v>
      </c>
      <c r="AF292" s="299"/>
      <c r="AG292" s="313">
        <v>0.73</v>
      </c>
      <c r="AH292" s="6971"/>
      <c r="AI292" s="6972"/>
      <c r="AJ292" s="6971"/>
      <c r="AK292" s="6973"/>
      <c r="AL292" s="404"/>
      <c r="AM292" s="1297"/>
      <c r="AN292" s="1072" cm="1" t="str">
        <f t="array" ref="AN292:AN292">K292</f>
        <v>2027</v>
      </c>
      <c r="AO292" s="1072" t="s">
        <v>2773</v>
      </c>
      <c r="AP292" s="1082" cm="1" t="str">
        <f t="array" ref="AP292:AP292">AP291</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AQ292" s="709"/>
      <c r="AR292" s="709"/>
    </row>
    <row s="7196" customFormat="1" customHeight="1" ht="17.671875">
      <c r="A293" s="1297"/>
      <c r="B293" s="447">
        <f>K293&lt;first_year+PERIOD_LENGTH</f>
        <v>1</v>
      </c>
      <c r="C293" s="1297"/>
      <c r="D293" s="1297"/>
      <c r="E293" s="709">
        <v>15</v>
      </c>
      <c r="F293" s="50" cm="1" t="str">
        <f t="array" ref="F293:F293">OFFSET(E293,-1,1)</f>
        <v>2</v>
      </c>
      <c r="G293" s="94" cm="1" t="str">
        <f t="array" ref="G293:G293">G292</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H293" s="1297"/>
      <c r="I293" s="1297"/>
      <c r="J293" s="1297"/>
      <c r="K293" s="154">
        <f>first_year+4</f>
        <v>2028</v>
      </c>
      <c r="L293" s="1297"/>
      <c r="M293" s="1297"/>
      <c r="N293" s="1297"/>
      <c r="O293" s="1297"/>
      <c r="P293" s="1297"/>
      <c r="Q293" s="1297"/>
      <c r="R293" s="1297"/>
      <c r="S293" s="1297"/>
      <c r="T293" s="468" cm="1" t="str">
        <f t="array" ref="T293:T293">T292</f>
        <v>true</v>
      </c>
      <c r="U293" s="1297"/>
      <c r="V293" s="1297"/>
      <c r="W293" s="1297"/>
      <c r="X293" s="1539"/>
      <c r="Y293" s="1539"/>
      <c r="Z293" s="1529"/>
      <c r="AA293" s="1630"/>
      <c r="AB293" s="251" t="str">
        <f>K293&amp;" год"</f>
        <v>2028 год</v>
      </c>
      <c r="AC293" s="409"/>
      <c r="AD293" s="313">
        <v>1</v>
      </c>
      <c r="AE293" s="299">
        <v>3.33</v>
      </c>
      <c r="AF293" s="299"/>
      <c r="AG293" s="313">
        <v>0.73</v>
      </c>
      <c r="AH293" s="6971"/>
      <c r="AI293" s="6972"/>
      <c r="AJ293" s="6971"/>
      <c r="AK293" s="6973"/>
      <c r="AL293" s="404"/>
      <c r="AM293" s="1297"/>
      <c r="AN293" s="1072" cm="1" t="str">
        <f t="array" ref="AN293:AN293">K293</f>
        <v>2028</v>
      </c>
      <c r="AO293" s="1072" t="s">
        <v>2773</v>
      </c>
      <c r="AP293" s="1082" cm="1" t="str">
        <f t="array" ref="AP293:AP293">AP292</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AQ293" s="709"/>
      <c r="AR293" s="709"/>
    </row>
    <row s="7197" customFormat="1" customHeight="1" ht="14.25" hidden="1">
      <c r="A294" s="1297"/>
      <c r="B294" s="447">
        <f>K294&lt;first_year+PERIOD_LENGTH</f>
        <v>0</v>
      </c>
      <c r="C294" s="1297"/>
      <c r="D294" s="1297"/>
      <c r="E294" s="709">
        <v>15</v>
      </c>
      <c r="F294" s="50" cm="1" t="str">
        <f t="array" ref="F294:F294">OFFSET(E294,-1,1)</f>
        <v>2</v>
      </c>
      <c r="G294" s="94" cm="1" t="str">
        <f t="array" ref="G294:G294">G293</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H294" s="1297"/>
      <c r="I294" s="1297"/>
      <c r="J294" s="1297"/>
      <c r="K294" s="154">
        <f>first_year+5</f>
        <v>2029</v>
      </c>
      <c r="L294" s="1297"/>
      <c r="M294" s="1297"/>
      <c r="N294" s="1297"/>
      <c r="O294" s="1297"/>
      <c r="P294" s="1297"/>
      <c r="Q294" s="1297"/>
      <c r="R294" s="1297"/>
      <c r="S294" s="1297"/>
      <c r="T294" s="468" cm="1" t="str">
        <f t="array" ref="T294:T294">T293</f>
        <v>true</v>
      </c>
      <c r="U294" s="1297"/>
      <c r="V294" s="1297"/>
      <c r="W294" s="1297"/>
      <c r="X294" s="1539"/>
      <c r="Y294" s="1539"/>
      <c r="Z294" s="1529"/>
      <c r="AA294" s="1630"/>
      <c r="AB294" s="251" t="str">
        <f>K294&amp;" год"</f>
        <v>2029 год</v>
      </c>
      <c r="AC294" s="409"/>
      <c r="AD294" s="6972"/>
      <c r="AE294" s="6971"/>
      <c r="AF294" s="6971"/>
      <c r="AG294" s="6972"/>
      <c r="AH294" s="6971"/>
      <c r="AI294" s="6972"/>
      <c r="AJ294" s="6971"/>
      <c r="AK294" s="6973"/>
      <c r="AL294" s="404"/>
      <c r="AM294" s="1297"/>
      <c r="AN294" s="1072" cm="1" t="str">
        <f t="array" ref="AN294:AN294">K294</f>
        <v>2029</v>
      </c>
      <c r="AO294" s="1072" t="s">
        <v>2773</v>
      </c>
      <c r="AP294" s="1082" cm="1" t="str">
        <f t="array" ref="AP294:AP294">AP293</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AQ294" s="709"/>
      <c r="AR294" s="709"/>
    </row>
    <row s="7198" customFormat="1" customHeight="1" ht="14.25" hidden="1">
      <c r="A295" s="1297"/>
      <c r="B295" s="447">
        <f>K295&lt;first_year+PERIOD_LENGTH</f>
        <v>0</v>
      </c>
      <c r="C295" s="1297"/>
      <c r="D295" s="1297"/>
      <c r="E295" s="709">
        <v>15</v>
      </c>
      <c r="F295" s="50" cm="1" t="str">
        <f t="array" ref="F295:F295">OFFSET(E295,-1,1)</f>
        <v>2</v>
      </c>
      <c r="G295" s="94" cm="1" t="str">
        <f t="array" ref="G295:G295">G294</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H295" s="1297"/>
      <c r="I295" s="1297"/>
      <c r="J295" s="1297"/>
      <c r="K295" s="154">
        <f>first_year+6</f>
        <v>2030</v>
      </c>
      <c r="L295" s="1297"/>
      <c r="M295" s="1297"/>
      <c r="N295" s="1297"/>
      <c r="O295" s="1297"/>
      <c r="P295" s="1297"/>
      <c r="Q295" s="1297"/>
      <c r="R295" s="1297"/>
      <c r="S295" s="1297"/>
      <c r="T295" s="468" cm="1" t="str">
        <f t="array" ref="T295:T295">T294</f>
        <v>true</v>
      </c>
      <c r="U295" s="1297"/>
      <c r="V295" s="1297"/>
      <c r="W295" s="1297"/>
      <c r="X295" s="1539"/>
      <c r="Y295" s="1539"/>
      <c r="Z295" s="1529"/>
      <c r="AA295" s="1630"/>
      <c r="AB295" s="251" t="str">
        <f>K295&amp;" год"</f>
        <v>2030 год</v>
      </c>
      <c r="AC295" s="409"/>
      <c r="AD295" s="6972"/>
      <c r="AE295" s="6971"/>
      <c r="AF295" s="6971"/>
      <c r="AG295" s="6972"/>
      <c r="AH295" s="6971"/>
      <c r="AI295" s="6972"/>
      <c r="AJ295" s="6971"/>
      <c r="AK295" s="6973"/>
      <c r="AL295" s="404"/>
      <c r="AM295" s="1297"/>
      <c r="AN295" s="1072" cm="1" t="str">
        <f t="array" ref="AN295:AN295">K295</f>
        <v>2030</v>
      </c>
      <c r="AO295" s="1072" t="s">
        <v>2773</v>
      </c>
      <c r="AP295" s="1082" cm="1" t="str">
        <f t="array" ref="AP295:AP295">AP294</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AQ295" s="709"/>
      <c r="AR295" s="709"/>
    </row>
    <row s="7199" customFormat="1" customHeight="1" ht="14.25" hidden="1">
      <c r="A296" s="1297"/>
      <c r="B296" s="447">
        <f>K296&lt;first_year+PERIOD_LENGTH</f>
        <v>0</v>
      </c>
      <c r="C296" s="1297"/>
      <c r="D296" s="1297"/>
      <c r="E296" s="709">
        <v>15</v>
      </c>
      <c r="F296" s="50" cm="1" t="str">
        <f t="array" ref="F296:F296">OFFSET(E296,-1,1)</f>
        <v>2</v>
      </c>
      <c r="G296" s="94" cm="1" t="str">
        <f t="array" ref="G296:G296">G295</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H296" s="1297"/>
      <c r="I296" s="1297"/>
      <c r="J296" s="1297"/>
      <c r="K296" s="154">
        <f>first_year+7</f>
        <v>2031</v>
      </c>
      <c r="L296" s="1297"/>
      <c r="M296" s="1297"/>
      <c r="N296" s="1297"/>
      <c r="O296" s="1297"/>
      <c r="P296" s="1297"/>
      <c r="Q296" s="1297"/>
      <c r="R296" s="1297"/>
      <c r="S296" s="1297"/>
      <c r="T296" s="468" cm="1" t="str">
        <f t="array" ref="T296:T296">T295</f>
        <v>true</v>
      </c>
      <c r="U296" s="1297"/>
      <c r="V296" s="1297"/>
      <c r="W296" s="1297"/>
      <c r="X296" s="1539"/>
      <c r="Y296" s="1539"/>
      <c r="Z296" s="1529"/>
      <c r="AA296" s="1630"/>
      <c r="AB296" s="251" t="str">
        <f>K296&amp;" год"</f>
        <v>2031 год</v>
      </c>
      <c r="AC296" s="409"/>
      <c r="AD296" s="6972"/>
      <c r="AE296" s="6971"/>
      <c r="AF296" s="6971"/>
      <c r="AG296" s="6972"/>
      <c r="AH296" s="6971"/>
      <c r="AI296" s="6972"/>
      <c r="AJ296" s="6971"/>
      <c r="AK296" s="6973"/>
      <c r="AL296" s="404"/>
      <c r="AM296" s="1297"/>
      <c r="AN296" s="1072" cm="1" t="str">
        <f t="array" ref="AN296:AN296">K296</f>
        <v>2031</v>
      </c>
      <c r="AO296" s="1072" t="s">
        <v>2773</v>
      </c>
      <c r="AP296" s="1082" cm="1" t="str">
        <f t="array" ref="AP296:AP296">AP295</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AQ296" s="709"/>
      <c r="AR296" s="709"/>
    </row>
    <row s="7200" customFormat="1" customHeight="1" ht="14.25" hidden="1">
      <c r="A297" s="1297"/>
      <c r="B297" s="447">
        <f>K297&lt;first_year+PERIOD_LENGTH</f>
        <v>0</v>
      </c>
      <c r="C297" s="1297"/>
      <c r="D297" s="1297"/>
      <c r="E297" s="709">
        <v>15</v>
      </c>
      <c r="F297" s="50" cm="1" t="str">
        <f t="array" ref="F297:F297">OFFSET(E297,-1,1)</f>
        <v>2</v>
      </c>
      <c r="G297" s="94" cm="1" t="str">
        <f t="array" ref="G297:G297">G296</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H297" s="1297"/>
      <c r="I297" s="1297"/>
      <c r="J297" s="1297"/>
      <c r="K297" s="154">
        <f>first_year+8</f>
        <v>2032</v>
      </c>
      <c r="L297" s="1297"/>
      <c r="M297" s="1297"/>
      <c r="N297" s="1297"/>
      <c r="O297" s="1297"/>
      <c r="P297" s="1297"/>
      <c r="Q297" s="1297"/>
      <c r="R297" s="1297"/>
      <c r="S297" s="1297"/>
      <c r="T297" s="468" cm="1" t="str">
        <f t="array" ref="T297:T297">T296</f>
        <v>true</v>
      </c>
      <c r="U297" s="1297"/>
      <c r="V297" s="1297"/>
      <c r="W297" s="1297"/>
      <c r="X297" s="1539"/>
      <c r="Y297" s="1539"/>
      <c r="Z297" s="1529"/>
      <c r="AA297" s="1630"/>
      <c r="AB297" s="251" t="str">
        <f>K297&amp;" год"</f>
        <v>2032 год</v>
      </c>
      <c r="AC297" s="409"/>
      <c r="AD297" s="6972"/>
      <c r="AE297" s="6971"/>
      <c r="AF297" s="6971"/>
      <c r="AG297" s="6972"/>
      <c r="AH297" s="6971"/>
      <c r="AI297" s="6972"/>
      <c r="AJ297" s="6971"/>
      <c r="AK297" s="6973"/>
      <c r="AL297" s="404"/>
      <c r="AM297" s="1297"/>
      <c r="AN297" s="1072" cm="1" t="str">
        <f t="array" ref="AN297:AN297">K297</f>
        <v>2032</v>
      </c>
      <c r="AO297" s="1072" t="s">
        <v>2773</v>
      </c>
      <c r="AP297" s="1082" cm="1" t="str">
        <f t="array" ref="AP297:AP297">AP296</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AQ297" s="709"/>
      <c r="AR297" s="709"/>
    </row>
    <row s="7201" customFormat="1" customHeight="1" ht="14.25" hidden="1">
      <c r="A298" s="1297"/>
      <c r="B298" s="447">
        <f>K298&lt;first_year+PERIOD_LENGTH</f>
        <v>0</v>
      </c>
      <c r="C298" s="1297"/>
      <c r="D298" s="1297"/>
      <c r="E298" s="709">
        <v>15</v>
      </c>
      <c r="F298" s="50" cm="1" t="str">
        <f t="array" ref="F298:F298">OFFSET(E298,-1,1)</f>
        <v>2</v>
      </c>
      <c r="G298" s="94" cm="1" t="str">
        <f t="array" ref="G298:G298">G297</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H298" s="1297"/>
      <c r="I298" s="1297"/>
      <c r="J298" s="1297"/>
      <c r="K298" s="154">
        <f>first_year+9</f>
        <v>2033</v>
      </c>
      <c r="L298" s="1297"/>
      <c r="M298" s="1297"/>
      <c r="N298" s="1297"/>
      <c r="O298" s="1297"/>
      <c r="P298" s="1297"/>
      <c r="Q298" s="1297"/>
      <c r="R298" s="1297"/>
      <c r="S298" s="1297"/>
      <c r="T298" s="468" cm="1" t="str">
        <f t="array" ref="T298:T298">T297</f>
        <v>true</v>
      </c>
      <c r="U298" s="1297"/>
      <c r="V298" s="1297"/>
      <c r="W298" s="1297"/>
      <c r="X298" s="1539"/>
      <c r="Y298" s="1539"/>
      <c r="Z298" s="1529"/>
      <c r="AA298" s="1630"/>
      <c r="AB298" s="251" t="str">
        <f>K298&amp;" год"</f>
        <v>2033 год</v>
      </c>
      <c r="AC298" s="409"/>
      <c r="AD298" s="6972"/>
      <c r="AE298" s="6971"/>
      <c r="AF298" s="6971"/>
      <c r="AG298" s="6972"/>
      <c r="AH298" s="6971"/>
      <c r="AI298" s="6972"/>
      <c r="AJ298" s="6971"/>
      <c r="AK298" s="6973"/>
      <c r="AL298" s="404"/>
      <c r="AM298" s="1297"/>
      <c r="AN298" s="1072" cm="1" t="str">
        <f t="array" ref="AN298:AN298">K298</f>
        <v>2033</v>
      </c>
      <c r="AO298" s="1072" t="s">
        <v>2773</v>
      </c>
      <c r="AP298" s="1082" cm="1" t="str">
        <f t="array" ref="AP298:AP298">AP297</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AQ298" s="709"/>
      <c r="AR298" s="709"/>
    </row>
    <row s="7202" customFormat="1" customHeight="1" ht="14.25" hidden="1">
      <c r="A299" s="1297"/>
      <c r="B299" s="447">
        <f>K299&lt;first_year+PERIOD_LENGTH</f>
        <v>0</v>
      </c>
      <c r="C299" s="1297"/>
      <c r="D299" s="1297"/>
      <c r="E299" s="709">
        <v>15</v>
      </c>
      <c r="F299" s="50" cm="1" t="str">
        <f t="array" ref="F299:F299">OFFSET(E299,-1,1)</f>
        <v>2</v>
      </c>
      <c r="G299" s="94" cm="1" t="str">
        <f t="array" ref="G299:G299">G298</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H299" s="1297"/>
      <c r="I299" s="1297"/>
      <c r="J299" s="1297"/>
      <c r="K299" s="154">
        <f>first_year+10</f>
        <v>2034</v>
      </c>
      <c r="L299" s="1297"/>
      <c r="M299" s="1297"/>
      <c r="N299" s="1297"/>
      <c r="O299" s="1297"/>
      <c r="P299" s="1297"/>
      <c r="Q299" s="1297"/>
      <c r="R299" s="1297"/>
      <c r="S299" s="1297"/>
      <c r="T299" s="468" cm="1" t="str">
        <f t="array" ref="T299:T299">T298</f>
        <v>true</v>
      </c>
      <c r="U299" s="1297"/>
      <c r="V299" s="1297"/>
      <c r="W299" s="1297"/>
      <c r="X299" s="1539"/>
      <c r="Y299" s="1539"/>
      <c r="Z299" s="1529"/>
      <c r="AA299" s="1630"/>
      <c r="AB299" s="251" t="str">
        <f>K299&amp;" год"</f>
        <v>2034 год</v>
      </c>
      <c r="AC299" s="409"/>
      <c r="AD299" s="6972"/>
      <c r="AE299" s="6971"/>
      <c r="AF299" s="6971"/>
      <c r="AG299" s="6972"/>
      <c r="AH299" s="6971"/>
      <c r="AI299" s="6972"/>
      <c r="AJ299" s="6971"/>
      <c r="AK299" s="6973"/>
      <c r="AL299" s="404"/>
      <c r="AM299" s="1297"/>
      <c r="AN299" s="1072" cm="1" t="str">
        <f t="array" ref="AN299:AN299">K299</f>
        <v>2034</v>
      </c>
      <c r="AO299" s="1072" t="s">
        <v>2773</v>
      </c>
      <c r="AP299" s="1082" cm="1" t="str">
        <f t="array" ref="AP299:AP299">AP298</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AQ299" s="709"/>
      <c r="AR299" s="709"/>
    </row>
    <row s="7203" customFormat="1" customHeight="1" ht="14.25" hidden="1">
      <c r="A300" s="1297"/>
      <c r="B300" s="447">
        <f>K300&lt;first_year+PERIOD_LENGTH</f>
        <v>0</v>
      </c>
      <c r="C300" s="1297"/>
      <c r="D300" s="1297"/>
      <c r="E300" s="709">
        <v>15</v>
      </c>
      <c r="F300" s="50" cm="1" t="str">
        <f t="array" ref="F300:F300">OFFSET(E300,-1,1)</f>
        <v>2</v>
      </c>
      <c r="G300" s="94" cm="1" t="str">
        <f t="array" ref="G300:G300">G299</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H300" s="1297"/>
      <c r="I300" s="1297"/>
      <c r="J300" s="1297"/>
      <c r="K300" s="154">
        <f>first_year+11</f>
        <v>2035</v>
      </c>
      <c r="L300" s="1297"/>
      <c r="M300" s="1297"/>
      <c r="N300" s="1297"/>
      <c r="O300" s="1297"/>
      <c r="P300" s="1297"/>
      <c r="Q300" s="1297"/>
      <c r="R300" s="1297"/>
      <c r="S300" s="1297"/>
      <c r="T300" s="468" cm="1" t="str">
        <f t="array" ref="T300:T300">T299</f>
        <v>true</v>
      </c>
      <c r="U300" s="1297"/>
      <c r="V300" s="1297"/>
      <c r="W300" s="1297"/>
      <c r="X300" s="1539"/>
      <c r="Y300" s="1539"/>
      <c r="Z300" s="1529"/>
      <c r="AA300" s="1630"/>
      <c r="AB300" s="251" t="str">
        <f>K300&amp;" год"</f>
        <v>2035 год</v>
      </c>
      <c r="AC300" s="409"/>
      <c r="AD300" s="6972"/>
      <c r="AE300" s="6971"/>
      <c r="AF300" s="6971"/>
      <c r="AG300" s="6972"/>
      <c r="AH300" s="6971"/>
      <c r="AI300" s="6972"/>
      <c r="AJ300" s="6971"/>
      <c r="AK300" s="6973"/>
      <c r="AL300" s="404"/>
      <c r="AM300" s="1297"/>
      <c r="AN300" s="1072" cm="1" t="str">
        <f t="array" ref="AN300:AN300">K300</f>
        <v>2035</v>
      </c>
      <c r="AO300" s="1072" t="s">
        <v>2773</v>
      </c>
      <c r="AP300" s="1082" cm="1" t="str">
        <f t="array" ref="AP300:AP300">AP299</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AQ300" s="709"/>
      <c r="AR300" s="709"/>
    </row>
    <row s="7204" customFormat="1" customHeight="1" ht="14.25" hidden="1">
      <c r="A301" s="1297"/>
      <c r="B301" s="447">
        <f>K301&lt;first_year+PERIOD_LENGTH</f>
        <v>0</v>
      </c>
      <c r="C301" s="1297"/>
      <c r="D301" s="1297"/>
      <c r="E301" s="709">
        <v>15</v>
      </c>
      <c r="F301" s="50" cm="1" t="str">
        <f t="array" ref="F301:F301">OFFSET(E301,-1,1)</f>
        <v>2</v>
      </c>
      <c r="G301" s="94" cm="1" t="str">
        <f t="array" ref="G301:G301">G300</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H301" s="1297"/>
      <c r="I301" s="1297"/>
      <c r="J301" s="1297"/>
      <c r="K301" s="154">
        <f>first_year+12</f>
        <v>2036</v>
      </c>
      <c r="L301" s="1297"/>
      <c r="M301" s="1297"/>
      <c r="N301" s="1297"/>
      <c r="O301" s="1297"/>
      <c r="P301" s="1297"/>
      <c r="Q301" s="1297"/>
      <c r="R301" s="1297"/>
      <c r="S301" s="1297"/>
      <c r="T301" s="468" cm="1" t="str">
        <f t="array" ref="T301:T301">T300</f>
        <v>true</v>
      </c>
      <c r="U301" s="1297"/>
      <c r="V301" s="1297"/>
      <c r="W301" s="1297"/>
      <c r="X301" s="1539"/>
      <c r="Y301" s="1539"/>
      <c r="Z301" s="1529"/>
      <c r="AA301" s="1630"/>
      <c r="AB301" s="251" t="str">
        <f>K301&amp;" год"</f>
        <v>2036 год</v>
      </c>
      <c r="AC301" s="409"/>
      <c r="AD301" s="6972"/>
      <c r="AE301" s="6971"/>
      <c r="AF301" s="6971"/>
      <c r="AG301" s="6972"/>
      <c r="AH301" s="6971"/>
      <c r="AI301" s="6972"/>
      <c r="AJ301" s="6971"/>
      <c r="AK301" s="6973"/>
      <c r="AL301" s="404"/>
      <c r="AM301" s="1297"/>
      <c r="AN301" s="1072" cm="1" t="str">
        <f t="array" ref="AN301:AN301">K301</f>
        <v>2036</v>
      </c>
      <c r="AO301" s="1072" t="s">
        <v>2773</v>
      </c>
      <c r="AP301" s="1082" cm="1" t="str">
        <f t="array" ref="AP301:AP301">AP300</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AQ301" s="709"/>
      <c r="AR301" s="709"/>
    </row>
    <row s="7205" customFormat="1" customHeight="1" ht="14.25" hidden="1">
      <c r="A302" s="1297"/>
      <c r="B302" s="447">
        <f>K302&lt;first_year+PERIOD_LENGTH</f>
        <v>0</v>
      </c>
      <c r="C302" s="1297"/>
      <c r="D302" s="1297"/>
      <c r="E302" s="709">
        <v>15</v>
      </c>
      <c r="F302" s="50" cm="1" t="str">
        <f t="array" ref="F302:F302">OFFSET(E302,-1,1)</f>
        <v>2</v>
      </c>
      <c r="G302" s="94" cm="1" t="str">
        <f t="array" ref="G302:G302">G301</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H302" s="1297"/>
      <c r="I302" s="1297"/>
      <c r="J302" s="1297"/>
      <c r="K302" s="154">
        <f>first_year+13</f>
        <v>2037</v>
      </c>
      <c r="L302" s="1297"/>
      <c r="M302" s="1297"/>
      <c r="N302" s="1297"/>
      <c r="O302" s="1297"/>
      <c r="P302" s="1297"/>
      <c r="Q302" s="1297"/>
      <c r="R302" s="1297"/>
      <c r="S302" s="1297"/>
      <c r="T302" s="468" cm="1" t="str">
        <f t="array" ref="T302:T302">T301</f>
        <v>true</v>
      </c>
      <c r="U302" s="1297"/>
      <c r="V302" s="1297"/>
      <c r="W302" s="1297"/>
      <c r="X302" s="1539"/>
      <c r="Y302" s="1539"/>
      <c r="Z302" s="1529"/>
      <c r="AA302" s="1630"/>
      <c r="AB302" s="251" t="str">
        <f>K302&amp;" год"</f>
        <v>2037 год</v>
      </c>
      <c r="AC302" s="409"/>
      <c r="AD302" s="6972"/>
      <c r="AE302" s="6971"/>
      <c r="AF302" s="6971"/>
      <c r="AG302" s="6972"/>
      <c r="AH302" s="6971"/>
      <c r="AI302" s="6972"/>
      <c r="AJ302" s="6971"/>
      <c r="AK302" s="6973"/>
      <c r="AL302" s="404"/>
      <c r="AM302" s="1297"/>
      <c r="AN302" s="1072" cm="1" t="str">
        <f t="array" ref="AN302:AN302">K302</f>
        <v>2037</v>
      </c>
      <c r="AO302" s="1072" t="s">
        <v>2773</v>
      </c>
      <c r="AP302" s="1082" cm="1" t="str">
        <f t="array" ref="AP302:AP302">AP301</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AQ302" s="709"/>
      <c r="AR302" s="709"/>
    </row>
    <row s="7206" customFormat="1" customHeight="1" ht="14.25" hidden="1">
      <c r="A303" s="1297"/>
      <c r="B303" s="447">
        <f>K303&lt;first_year+PERIOD_LENGTH</f>
        <v>0</v>
      </c>
      <c r="C303" s="1297"/>
      <c r="D303" s="1297"/>
      <c r="E303" s="709">
        <v>15</v>
      </c>
      <c r="F303" s="50" cm="1" t="str">
        <f t="array" ref="F303:F303">OFFSET(E303,-1,1)</f>
        <v>2</v>
      </c>
      <c r="G303" s="94" cm="1" t="str">
        <f t="array" ref="G303:G303">G302</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H303" s="1297"/>
      <c r="I303" s="1297"/>
      <c r="J303" s="1297"/>
      <c r="K303" s="154">
        <f>first_year+14</f>
        <v>2038</v>
      </c>
      <c r="L303" s="1297"/>
      <c r="M303" s="1297"/>
      <c r="N303" s="1297"/>
      <c r="O303" s="1297"/>
      <c r="P303" s="1297"/>
      <c r="Q303" s="1297"/>
      <c r="R303" s="1297"/>
      <c r="S303" s="1297"/>
      <c r="T303" s="468" cm="1" t="str">
        <f t="array" ref="T303:T303">T302</f>
        <v>true</v>
      </c>
      <c r="U303" s="1297"/>
      <c r="V303" s="1297"/>
      <c r="W303" s="1297"/>
      <c r="X303" s="1539"/>
      <c r="Y303" s="1539"/>
      <c r="Z303" s="1529"/>
      <c r="AA303" s="1630"/>
      <c r="AB303" s="251" t="str">
        <f>K303&amp;" год"</f>
        <v>2038 год</v>
      </c>
      <c r="AC303" s="409"/>
      <c r="AD303" s="6972"/>
      <c r="AE303" s="6971"/>
      <c r="AF303" s="6971"/>
      <c r="AG303" s="6972"/>
      <c r="AH303" s="6971"/>
      <c r="AI303" s="6972"/>
      <c r="AJ303" s="6971"/>
      <c r="AK303" s="6973"/>
      <c r="AL303" s="404"/>
      <c r="AM303" s="1297"/>
      <c r="AN303" s="1072" cm="1" t="str">
        <f t="array" ref="AN303:AN303">K303</f>
        <v>2038</v>
      </c>
      <c r="AO303" s="1072" t="s">
        <v>2773</v>
      </c>
      <c r="AP303" s="1082" cm="1" t="str">
        <f t="array" ref="AP303:AP303">AP302</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AQ303" s="709"/>
      <c r="AR303" s="709"/>
    </row>
    <row s="7207" customFormat="1" customHeight="1" ht="14.25" hidden="1">
      <c r="A304" s="1297"/>
      <c r="B304" s="447">
        <f>K304&lt;first_year+PERIOD_LENGTH</f>
        <v>0</v>
      </c>
      <c r="C304" s="1297"/>
      <c r="D304" s="1297"/>
      <c r="E304" s="709">
        <v>15</v>
      </c>
      <c r="F304" s="50" cm="1" t="str">
        <f t="array" ref="F304:F304">OFFSET(E304,-1,1)</f>
        <v>2</v>
      </c>
      <c r="G304" s="94" cm="1" t="str">
        <f t="array" ref="G304:G304">G303</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H304" s="1297"/>
      <c r="I304" s="1297"/>
      <c r="J304" s="1297"/>
      <c r="K304" s="154">
        <f>first_year+15</f>
        <v>2039</v>
      </c>
      <c r="L304" s="1297"/>
      <c r="M304" s="1297"/>
      <c r="N304" s="1297"/>
      <c r="O304" s="1297"/>
      <c r="P304" s="1297"/>
      <c r="Q304" s="1297"/>
      <c r="R304" s="1297"/>
      <c r="S304" s="1297"/>
      <c r="T304" s="468" cm="1" t="str">
        <f t="array" ref="T304:T304">T303</f>
        <v>true</v>
      </c>
      <c r="U304" s="1297"/>
      <c r="V304" s="1297"/>
      <c r="W304" s="1297"/>
      <c r="X304" s="1539"/>
      <c r="Y304" s="1539"/>
      <c r="Z304" s="1529"/>
      <c r="AA304" s="1630"/>
      <c r="AB304" s="251" t="str">
        <f>K304&amp;" год"</f>
        <v>2039 год</v>
      </c>
      <c r="AC304" s="409"/>
      <c r="AD304" s="6972"/>
      <c r="AE304" s="6971"/>
      <c r="AF304" s="6971"/>
      <c r="AG304" s="6972"/>
      <c r="AH304" s="6971"/>
      <c r="AI304" s="6972"/>
      <c r="AJ304" s="6971"/>
      <c r="AK304" s="6973"/>
      <c r="AL304" s="404"/>
      <c r="AM304" s="1297"/>
      <c r="AN304" s="1072" cm="1" t="str">
        <f t="array" ref="AN304:AN304">K304</f>
        <v>2039</v>
      </c>
      <c r="AO304" s="1072" t="s">
        <v>2773</v>
      </c>
      <c r="AP304" s="1082" cm="1" t="str">
        <f t="array" ref="AP304:AP304">AP303</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AQ304" s="709"/>
      <c r="AR304" s="709"/>
    </row>
    <row s="7208" customFormat="1" customHeight="1" ht="14.25" hidden="1">
      <c r="A305" s="1297"/>
      <c r="B305" s="447">
        <f>K305&lt;first_year+PERIOD_LENGTH</f>
        <v>0</v>
      </c>
      <c r="C305" s="1297"/>
      <c r="D305" s="1297"/>
      <c r="E305" s="709">
        <v>15</v>
      </c>
      <c r="F305" s="50" cm="1" t="str">
        <f t="array" ref="F305:F305">OFFSET(E305,-1,1)</f>
        <v>2</v>
      </c>
      <c r="G305" s="94" cm="1" t="str">
        <f t="array" ref="G305:G305">G304</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H305" s="1297"/>
      <c r="I305" s="1297"/>
      <c r="J305" s="1297"/>
      <c r="K305" s="154">
        <f>first_year+16</f>
        <v>2040</v>
      </c>
      <c r="L305" s="1297"/>
      <c r="M305" s="1297"/>
      <c r="N305" s="1297"/>
      <c r="O305" s="1297"/>
      <c r="P305" s="1297"/>
      <c r="Q305" s="1297"/>
      <c r="R305" s="1297"/>
      <c r="S305" s="1297"/>
      <c r="T305" s="468" cm="1" t="str">
        <f t="array" ref="T305:T305">T304</f>
        <v>true</v>
      </c>
      <c r="U305" s="1297"/>
      <c r="V305" s="1297"/>
      <c r="W305" s="1297"/>
      <c r="X305" s="1539"/>
      <c r="Y305" s="1539"/>
      <c r="Z305" s="1529"/>
      <c r="AA305" s="1630"/>
      <c r="AB305" s="251" t="str">
        <f>K305&amp;" год"</f>
        <v>2040 год</v>
      </c>
      <c r="AC305" s="409"/>
      <c r="AD305" s="6972"/>
      <c r="AE305" s="6971"/>
      <c r="AF305" s="6971"/>
      <c r="AG305" s="6972"/>
      <c r="AH305" s="6971"/>
      <c r="AI305" s="6972"/>
      <c r="AJ305" s="6971"/>
      <c r="AK305" s="6973"/>
      <c r="AL305" s="404"/>
      <c r="AM305" s="1297"/>
      <c r="AN305" s="1072" cm="1" t="str">
        <f t="array" ref="AN305:AN305">K305</f>
        <v>2040</v>
      </c>
      <c r="AO305" s="1072" t="s">
        <v>2773</v>
      </c>
      <c r="AP305" s="1082" cm="1" t="str">
        <f t="array" ref="AP305:AP305">AP304</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AQ305" s="709"/>
      <c r="AR305" s="709"/>
    </row>
    <row s="7209" customFormat="1" customHeight="1" ht="14.25" hidden="1">
      <c r="A306" s="1297"/>
      <c r="B306" s="447">
        <f>K306&lt;first_year+PERIOD_LENGTH</f>
        <v>0</v>
      </c>
      <c r="C306" s="1297"/>
      <c r="D306" s="1297"/>
      <c r="E306" s="709">
        <v>15</v>
      </c>
      <c r="F306" s="50" cm="1" t="str">
        <f t="array" ref="F306:F306">OFFSET(E306,-1,1)</f>
        <v>2</v>
      </c>
      <c r="G306" s="94" cm="1" t="str">
        <f t="array" ref="G306:G306">G305</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H306" s="1297"/>
      <c r="I306" s="1297"/>
      <c r="J306" s="1297"/>
      <c r="K306" s="154">
        <f>first_year+17</f>
        <v>2041</v>
      </c>
      <c r="L306" s="1297"/>
      <c r="M306" s="1297"/>
      <c r="N306" s="1297"/>
      <c r="O306" s="1297"/>
      <c r="P306" s="1297"/>
      <c r="Q306" s="1297"/>
      <c r="R306" s="1297"/>
      <c r="S306" s="1297"/>
      <c r="T306" s="468" cm="1" t="str">
        <f t="array" ref="T306:T306">T305</f>
        <v>true</v>
      </c>
      <c r="U306" s="1297"/>
      <c r="V306" s="1297"/>
      <c r="W306" s="1297"/>
      <c r="X306" s="1539"/>
      <c r="Y306" s="1539"/>
      <c r="Z306" s="1529"/>
      <c r="AA306" s="1630"/>
      <c r="AB306" s="251" t="str">
        <f>K306&amp;" год"</f>
        <v>2041 год</v>
      </c>
      <c r="AC306" s="409"/>
      <c r="AD306" s="6972"/>
      <c r="AE306" s="6971"/>
      <c r="AF306" s="6971"/>
      <c r="AG306" s="6972"/>
      <c r="AH306" s="6971"/>
      <c r="AI306" s="6972"/>
      <c r="AJ306" s="6971"/>
      <c r="AK306" s="6973"/>
      <c r="AL306" s="404"/>
      <c r="AM306" s="1297"/>
      <c r="AN306" s="1072" cm="1" t="str">
        <f t="array" ref="AN306:AN306">K306</f>
        <v>2041</v>
      </c>
      <c r="AO306" s="1072" t="s">
        <v>2773</v>
      </c>
      <c r="AP306" s="1082" cm="1" t="str">
        <f t="array" ref="AP306:AP306">AP305</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AQ306" s="709"/>
      <c r="AR306" s="709"/>
    </row>
    <row s="7210" customFormat="1" customHeight="1" ht="14.25" hidden="1">
      <c r="A307" s="1297"/>
      <c r="B307" s="447">
        <f>K307&lt;first_year+PERIOD_LENGTH</f>
        <v>0</v>
      </c>
      <c r="C307" s="1297"/>
      <c r="D307" s="1297"/>
      <c r="E307" s="709">
        <v>15</v>
      </c>
      <c r="F307" s="50" cm="1" t="str">
        <f t="array" ref="F307:F307">OFFSET(E307,-1,1)</f>
        <v>2</v>
      </c>
      <c r="G307" s="94" cm="1" t="str">
        <f t="array" ref="G307:G307">G306</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H307" s="1297"/>
      <c r="I307" s="1297"/>
      <c r="J307" s="1297"/>
      <c r="K307" s="154">
        <f>first_year+18</f>
        <v>2042</v>
      </c>
      <c r="L307" s="1297"/>
      <c r="M307" s="1297"/>
      <c r="N307" s="1297"/>
      <c r="O307" s="1297"/>
      <c r="P307" s="1297"/>
      <c r="Q307" s="1297"/>
      <c r="R307" s="1297"/>
      <c r="S307" s="1297"/>
      <c r="T307" s="468" cm="1" t="str">
        <f t="array" ref="T307:T307">T306</f>
        <v>true</v>
      </c>
      <c r="U307" s="1297"/>
      <c r="V307" s="1297"/>
      <c r="W307" s="1297"/>
      <c r="X307" s="1539"/>
      <c r="Y307" s="1539"/>
      <c r="Z307" s="1529"/>
      <c r="AA307" s="1630"/>
      <c r="AB307" s="251" t="str">
        <f>K307&amp;" год"</f>
        <v>2042 год</v>
      </c>
      <c r="AC307" s="409"/>
      <c r="AD307" s="6972"/>
      <c r="AE307" s="6971"/>
      <c r="AF307" s="6971"/>
      <c r="AG307" s="6972"/>
      <c r="AH307" s="6971"/>
      <c r="AI307" s="6972"/>
      <c r="AJ307" s="6971"/>
      <c r="AK307" s="6973"/>
      <c r="AL307" s="404"/>
      <c r="AM307" s="1297"/>
      <c r="AN307" s="1072" cm="1" t="str">
        <f t="array" ref="AN307:AN307">K307</f>
        <v>2042</v>
      </c>
      <c r="AO307" s="1072" t="s">
        <v>2773</v>
      </c>
      <c r="AP307" s="1082" cm="1" t="str">
        <f t="array" ref="AP307:AP307">AP306</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AQ307" s="709"/>
      <c r="AR307" s="709"/>
    </row>
    <row s="7211" customFormat="1" customHeight="1" ht="14.25" hidden="1">
      <c r="A308" s="1297"/>
      <c r="B308" s="447">
        <f>K308&lt;first_year+PERIOD_LENGTH</f>
        <v>0</v>
      </c>
      <c r="C308" s="1297"/>
      <c r="D308" s="1297"/>
      <c r="E308" s="709">
        <v>15</v>
      </c>
      <c r="F308" s="50" cm="1" t="str">
        <f t="array" ref="F308:F308">OFFSET(E308,-1,1)</f>
        <v>2</v>
      </c>
      <c r="G308" s="94" cm="1" t="str">
        <f t="array" ref="G308:G308">G307</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H308" s="1297"/>
      <c r="I308" s="1297"/>
      <c r="J308" s="1297"/>
      <c r="K308" s="154">
        <f>first_year+19</f>
        <v>2043</v>
      </c>
      <c r="L308" s="1297"/>
      <c r="M308" s="1297"/>
      <c r="N308" s="1297"/>
      <c r="O308" s="1297"/>
      <c r="P308" s="1297"/>
      <c r="Q308" s="1297"/>
      <c r="R308" s="1297"/>
      <c r="S308" s="1297"/>
      <c r="T308" s="468" cm="1" t="str">
        <f t="array" ref="T308:T308">T307</f>
        <v>true</v>
      </c>
      <c r="U308" s="1297"/>
      <c r="V308" s="1297"/>
      <c r="W308" s="1297"/>
      <c r="X308" s="1539"/>
      <c r="Y308" s="1539"/>
      <c r="Z308" s="1529"/>
      <c r="AA308" s="1630"/>
      <c r="AB308" s="251" t="str">
        <f>K308&amp;" год"</f>
        <v>2043 год</v>
      </c>
      <c r="AC308" s="409"/>
      <c r="AD308" s="6972"/>
      <c r="AE308" s="6971"/>
      <c r="AF308" s="6971"/>
      <c r="AG308" s="6972"/>
      <c r="AH308" s="6971"/>
      <c r="AI308" s="6972"/>
      <c r="AJ308" s="6971"/>
      <c r="AK308" s="6973"/>
      <c r="AL308" s="404"/>
      <c r="AM308" s="1297"/>
      <c r="AN308" s="1072" cm="1" t="str">
        <f t="array" ref="AN308:AN308">K308</f>
        <v>2043</v>
      </c>
      <c r="AO308" s="1072" t="s">
        <v>2773</v>
      </c>
      <c r="AP308" s="1082" cm="1" t="str">
        <f t="array" ref="AP308:AP308">AP307</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AQ308" s="709"/>
      <c r="AR308" s="709"/>
    </row>
    <row s="7212" customFormat="1" customHeight="1" ht="14.25" hidden="1">
      <c r="A309" s="1297"/>
      <c r="B309" s="447">
        <f>K309&lt;first_year+PERIOD_LENGTH</f>
        <v>0</v>
      </c>
      <c r="C309" s="1297"/>
      <c r="D309" s="1297"/>
      <c r="E309" s="709">
        <v>15</v>
      </c>
      <c r="F309" s="50" cm="1" t="str">
        <f t="array" ref="F309:F309">OFFSET(E309,-1,1)</f>
        <v>2</v>
      </c>
      <c r="G309" s="94" cm="1" t="str">
        <f t="array" ref="G309:G309">G308</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H309" s="1297"/>
      <c r="I309" s="1297"/>
      <c r="J309" s="1297"/>
      <c r="K309" s="154">
        <f>first_year+20</f>
        <v>2044</v>
      </c>
      <c r="L309" s="1297"/>
      <c r="M309" s="1297"/>
      <c r="N309" s="1297"/>
      <c r="O309" s="1297"/>
      <c r="P309" s="1297"/>
      <c r="Q309" s="1297"/>
      <c r="R309" s="1297"/>
      <c r="S309" s="1297"/>
      <c r="T309" s="468" cm="1" t="str">
        <f t="array" ref="T309:T309">T308</f>
        <v>true</v>
      </c>
      <c r="U309" s="1297"/>
      <c r="V309" s="1297"/>
      <c r="W309" s="1297"/>
      <c r="X309" s="1539"/>
      <c r="Y309" s="1539"/>
      <c r="Z309" s="1529"/>
      <c r="AA309" s="1630"/>
      <c r="AB309" s="251" t="str">
        <f>K309&amp;" год"</f>
        <v>2044 год</v>
      </c>
      <c r="AC309" s="409"/>
      <c r="AD309" s="6972"/>
      <c r="AE309" s="6971"/>
      <c r="AF309" s="6971"/>
      <c r="AG309" s="6972"/>
      <c r="AH309" s="6971"/>
      <c r="AI309" s="6972"/>
      <c r="AJ309" s="6971"/>
      <c r="AK309" s="6973"/>
      <c r="AL309" s="404"/>
      <c r="AM309" s="1297"/>
      <c r="AN309" s="1072" cm="1" t="str">
        <f t="array" ref="AN309:AN309">K309</f>
        <v>2044</v>
      </c>
      <c r="AO309" s="1072" t="s">
        <v>2773</v>
      </c>
      <c r="AP309" s="1082" cm="1" t="str">
        <f t="array" ref="AP309:AP309">AP308</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AQ309" s="709"/>
      <c r="AR309" s="709"/>
    </row>
    <row s="7213" customFormat="1" customHeight="1" ht="14.25" hidden="1">
      <c r="A310" s="1297"/>
      <c r="B310" s="447">
        <f>K310&lt;first_year+PERIOD_LENGTH</f>
        <v>0</v>
      </c>
      <c r="C310" s="1297"/>
      <c r="D310" s="1297"/>
      <c r="E310" s="709">
        <v>15</v>
      </c>
      <c r="F310" s="50" cm="1" t="str">
        <f t="array" ref="F310:F310">OFFSET(E310,-1,1)</f>
        <v>2</v>
      </c>
      <c r="G310" s="94" cm="1" t="str">
        <f t="array" ref="G310:G310">G309</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H310" s="1297"/>
      <c r="I310" s="1297"/>
      <c r="J310" s="1297"/>
      <c r="K310" s="154">
        <f>first_year+21</f>
        <v>2045</v>
      </c>
      <c r="L310" s="1297"/>
      <c r="M310" s="1297"/>
      <c r="N310" s="1297"/>
      <c r="O310" s="1297"/>
      <c r="P310" s="1297"/>
      <c r="Q310" s="1297"/>
      <c r="R310" s="1297"/>
      <c r="S310" s="1297"/>
      <c r="T310" s="468" cm="1" t="str">
        <f t="array" ref="T310:T310">T309</f>
        <v>true</v>
      </c>
      <c r="U310" s="1297"/>
      <c r="V310" s="1297"/>
      <c r="W310" s="1297"/>
      <c r="X310" s="1539"/>
      <c r="Y310" s="1539"/>
      <c r="Z310" s="1529"/>
      <c r="AA310" s="1630"/>
      <c r="AB310" s="251" t="str">
        <f>K310&amp;" год"</f>
        <v>2045 год</v>
      </c>
      <c r="AC310" s="409"/>
      <c r="AD310" s="6972"/>
      <c r="AE310" s="6971"/>
      <c r="AF310" s="6971"/>
      <c r="AG310" s="6972"/>
      <c r="AH310" s="6971"/>
      <c r="AI310" s="6972"/>
      <c r="AJ310" s="6971"/>
      <c r="AK310" s="6973"/>
      <c r="AL310" s="404"/>
      <c r="AM310" s="1297"/>
      <c r="AN310" s="1072" cm="1" t="str">
        <f t="array" ref="AN310:AN310">K310</f>
        <v>2045</v>
      </c>
      <c r="AO310" s="1072" t="s">
        <v>2773</v>
      </c>
      <c r="AP310" s="1082" cm="1" t="str">
        <f t="array" ref="AP310:AP310">AP309</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AQ310" s="709"/>
      <c r="AR310" s="709"/>
    </row>
    <row s="7214" customFormat="1" customHeight="1" ht="14.25" hidden="1">
      <c r="A311" s="1297"/>
      <c r="B311" s="447">
        <f>K311&lt;first_year+PERIOD_LENGTH</f>
        <v>0</v>
      </c>
      <c r="C311" s="1297"/>
      <c r="D311" s="1297"/>
      <c r="E311" s="709">
        <v>15</v>
      </c>
      <c r="F311" s="50" cm="1" t="str">
        <f t="array" ref="F311:F311">OFFSET(E311,-1,1)</f>
        <v>2</v>
      </c>
      <c r="G311" s="94" cm="1" t="str">
        <f t="array" ref="G311:G311">G310</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H311" s="1297"/>
      <c r="I311" s="1297"/>
      <c r="J311" s="1297"/>
      <c r="K311" s="154">
        <f>first_year+22</f>
        <v>2046</v>
      </c>
      <c r="L311" s="1297"/>
      <c r="M311" s="1297"/>
      <c r="N311" s="1297"/>
      <c r="O311" s="1297"/>
      <c r="P311" s="1297"/>
      <c r="Q311" s="1297"/>
      <c r="R311" s="1297"/>
      <c r="S311" s="1297"/>
      <c r="T311" s="468" cm="1" t="str">
        <f t="array" ref="T311:T311">T310</f>
        <v>true</v>
      </c>
      <c r="U311" s="1297"/>
      <c r="V311" s="1297"/>
      <c r="W311" s="1297"/>
      <c r="X311" s="1539"/>
      <c r="Y311" s="1539"/>
      <c r="Z311" s="1529"/>
      <c r="AA311" s="1630"/>
      <c r="AB311" s="251" t="str">
        <f>K311&amp;" год"</f>
        <v>2046 год</v>
      </c>
      <c r="AC311" s="409"/>
      <c r="AD311" s="6972"/>
      <c r="AE311" s="6971"/>
      <c r="AF311" s="6971"/>
      <c r="AG311" s="6972"/>
      <c r="AH311" s="6971"/>
      <c r="AI311" s="6972"/>
      <c r="AJ311" s="6971"/>
      <c r="AK311" s="6973"/>
      <c r="AL311" s="404"/>
      <c r="AM311" s="1297"/>
      <c r="AN311" s="1072" cm="1" t="str">
        <f t="array" ref="AN311:AN311">K311</f>
        <v>2046</v>
      </c>
      <c r="AO311" s="1072" t="s">
        <v>2773</v>
      </c>
      <c r="AP311" s="1082" cm="1" t="str">
        <f t="array" ref="AP311:AP311">AP310</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AQ311" s="709"/>
      <c r="AR311" s="709"/>
    </row>
    <row s="7215" customFormat="1" customHeight="1" ht="14.25" hidden="1">
      <c r="A312" s="1297"/>
      <c r="B312" s="447">
        <f>K312&lt;first_year+PERIOD_LENGTH</f>
        <v>0</v>
      </c>
      <c r="C312" s="1297"/>
      <c r="D312" s="1297"/>
      <c r="E312" s="709">
        <v>15</v>
      </c>
      <c r="F312" s="50" cm="1" t="str">
        <f t="array" ref="F312:F312">OFFSET(E312,-1,1)</f>
        <v>2</v>
      </c>
      <c r="G312" s="94" cm="1" t="str">
        <f t="array" ref="G312:G312">G311</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H312" s="1297"/>
      <c r="I312" s="1297"/>
      <c r="J312" s="1297"/>
      <c r="K312" s="154">
        <f>first_year+23</f>
        <v>2047</v>
      </c>
      <c r="L312" s="1297"/>
      <c r="M312" s="1297"/>
      <c r="N312" s="1297"/>
      <c r="O312" s="1297"/>
      <c r="P312" s="1297"/>
      <c r="Q312" s="1297"/>
      <c r="R312" s="1297"/>
      <c r="S312" s="1297"/>
      <c r="T312" s="468" cm="1" t="str">
        <f t="array" ref="T312:T312">T311</f>
        <v>true</v>
      </c>
      <c r="U312" s="1297"/>
      <c r="V312" s="1297"/>
      <c r="W312" s="1297"/>
      <c r="X312" s="1539"/>
      <c r="Y312" s="1539"/>
      <c r="Z312" s="1529"/>
      <c r="AA312" s="1630"/>
      <c r="AB312" s="251" t="str">
        <f>K312&amp;" год"</f>
        <v>2047 год</v>
      </c>
      <c r="AC312" s="409"/>
      <c r="AD312" s="6972"/>
      <c r="AE312" s="6971"/>
      <c r="AF312" s="6971"/>
      <c r="AG312" s="6972"/>
      <c r="AH312" s="6971"/>
      <c r="AI312" s="6972"/>
      <c r="AJ312" s="6971"/>
      <c r="AK312" s="6973"/>
      <c r="AL312" s="404"/>
      <c r="AM312" s="1297"/>
      <c r="AN312" s="1072" cm="1" t="str">
        <f t="array" ref="AN312:AN312">K312</f>
        <v>2047</v>
      </c>
      <c r="AO312" s="1072" t="s">
        <v>2773</v>
      </c>
      <c r="AP312" s="1082" cm="1" t="str">
        <f t="array" ref="AP312:AP312">AP311</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AQ312" s="709"/>
      <c r="AR312" s="709"/>
    </row>
    <row s="7216" customFormat="1" customHeight="1" ht="14.25" hidden="1">
      <c r="A313" s="1297"/>
      <c r="B313" s="447">
        <f>K313&lt;first_year+PERIOD_LENGTH</f>
        <v>0</v>
      </c>
      <c r="C313" s="1297"/>
      <c r="D313" s="1297"/>
      <c r="E313" s="709">
        <v>15</v>
      </c>
      <c r="F313" s="50" cm="1" t="str">
        <f t="array" ref="F313:F313">OFFSET(E313,-1,1)</f>
        <v>2</v>
      </c>
      <c r="G313" s="94" cm="1" t="str">
        <f t="array" ref="G313:G313">G312</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H313" s="1297"/>
      <c r="I313" s="1297"/>
      <c r="J313" s="1297"/>
      <c r="K313" s="154">
        <f>first_year+24</f>
        <v>2048</v>
      </c>
      <c r="L313" s="1297"/>
      <c r="M313" s="1297"/>
      <c r="N313" s="1297"/>
      <c r="O313" s="1297"/>
      <c r="P313" s="1297"/>
      <c r="Q313" s="1297"/>
      <c r="R313" s="1297"/>
      <c r="S313" s="1297"/>
      <c r="T313" s="468" cm="1" t="str">
        <f t="array" ref="T313:T313">T312</f>
        <v>true</v>
      </c>
      <c r="U313" s="1297"/>
      <c r="V313" s="1297"/>
      <c r="W313" s="1297"/>
      <c r="X313" s="1539"/>
      <c r="Y313" s="1539"/>
      <c r="Z313" s="1529"/>
      <c r="AA313" s="1630"/>
      <c r="AB313" s="251" t="str">
        <f>K313&amp;" год"</f>
        <v>2048 год</v>
      </c>
      <c r="AC313" s="409"/>
      <c r="AD313" s="6972"/>
      <c r="AE313" s="6971"/>
      <c r="AF313" s="6971"/>
      <c r="AG313" s="6972"/>
      <c r="AH313" s="6971"/>
      <c r="AI313" s="6972"/>
      <c r="AJ313" s="6971"/>
      <c r="AK313" s="6973"/>
      <c r="AL313" s="404"/>
      <c r="AM313" s="1297"/>
      <c r="AN313" s="1072" cm="1" t="str">
        <f t="array" ref="AN313:AN313">K313</f>
        <v>2048</v>
      </c>
      <c r="AO313" s="1072" t="s">
        <v>2773</v>
      </c>
      <c r="AP313" s="1082" cm="1" t="str">
        <f t="array" ref="AP313:AP313">AP312</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AQ313" s="709"/>
      <c r="AR313" s="709"/>
    </row>
    <row s="7217" customFormat="1" customHeight="1" ht="14.25" hidden="1">
      <c r="A314" s="1297"/>
      <c r="B314" s="447">
        <f>K314&lt;first_year+PERIOD_LENGTH</f>
        <v>0</v>
      </c>
      <c r="C314" s="1297"/>
      <c r="D314" s="1297"/>
      <c r="E314" s="709">
        <v>15</v>
      </c>
      <c r="F314" s="50" cm="1" t="str">
        <f t="array" ref="F314:F314">OFFSET(E314,-1,1)</f>
        <v>2</v>
      </c>
      <c r="G314" s="94" cm="1" t="str">
        <f t="array" ref="G314:G314">G313</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H314" s="1297"/>
      <c r="I314" s="1297"/>
      <c r="J314" s="1297"/>
      <c r="K314" s="154">
        <f>first_year+25</f>
        <v>2049</v>
      </c>
      <c r="L314" s="1297"/>
      <c r="M314" s="1297"/>
      <c r="N314" s="1297"/>
      <c r="O314" s="1297"/>
      <c r="P314" s="1297"/>
      <c r="Q314" s="1297"/>
      <c r="R314" s="1297"/>
      <c r="S314" s="1297"/>
      <c r="T314" s="468" cm="1" t="str">
        <f t="array" ref="T314:T314">T313</f>
        <v>true</v>
      </c>
      <c r="U314" s="1297"/>
      <c r="V314" s="1297"/>
      <c r="W314" s="1297"/>
      <c r="X314" s="1539"/>
      <c r="Y314" s="1539"/>
      <c r="Z314" s="1529"/>
      <c r="AA314" s="1630"/>
      <c r="AB314" s="251" t="str">
        <f>K314&amp;" год"</f>
        <v>2049 год</v>
      </c>
      <c r="AC314" s="409"/>
      <c r="AD314" s="6972"/>
      <c r="AE314" s="6971"/>
      <c r="AF314" s="6971"/>
      <c r="AG314" s="6972"/>
      <c r="AH314" s="6971"/>
      <c r="AI314" s="6972"/>
      <c r="AJ314" s="6971"/>
      <c r="AK314" s="6973"/>
      <c r="AL314" s="404"/>
      <c r="AM314" s="1297"/>
      <c r="AN314" s="1072" cm="1" t="str">
        <f t="array" ref="AN314:AN314">K314</f>
        <v>2049</v>
      </c>
      <c r="AO314" s="1072" t="s">
        <v>2773</v>
      </c>
      <c r="AP314" s="1082" cm="1" t="str">
        <f t="array" ref="AP314:AP314">AP313</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AQ314" s="709"/>
      <c r="AR314" s="709"/>
    </row>
    <row s="7218" customFormat="1" customHeight="1" ht="14.25" hidden="1">
      <c r="A315" s="1297"/>
      <c r="B315" s="447">
        <f>K315&lt;first_year+PERIOD_LENGTH</f>
        <v>0</v>
      </c>
      <c r="C315" s="1297"/>
      <c r="D315" s="1297"/>
      <c r="E315" s="709">
        <v>15</v>
      </c>
      <c r="F315" s="50" cm="1" t="str">
        <f t="array" ref="F315:F315">OFFSET(E315,-1,1)</f>
        <v>2</v>
      </c>
      <c r="G315" s="94" cm="1" t="str">
        <f t="array" ref="G315:G315">G314</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H315" s="1297"/>
      <c r="I315" s="1297"/>
      <c r="J315" s="1297"/>
      <c r="K315" s="154">
        <f>first_year+26</f>
        <v>2050</v>
      </c>
      <c r="L315" s="1297"/>
      <c r="M315" s="1297"/>
      <c r="N315" s="1297"/>
      <c r="O315" s="1297"/>
      <c r="P315" s="1297"/>
      <c r="Q315" s="1297"/>
      <c r="R315" s="1297"/>
      <c r="S315" s="1297"/>
      <c r="T315" s="468" cm="1" t="str">
        <f t="array" ref="T315:T315">T314</f>
        <v>true</v>
      </c>
      <c r="U315" s="1297"/>
      <c r="V315" s="1297"/>
      <c r="W315" s="1297"/>
      <c r="X315" s="1539"/>
      <c r="Y315" s="1539"/>
      <c r="Z315" s="1529"/>
      <c r="AA315" s="1630"/>
      <c r="AB315" s="251" t="str">
        <f>K315&amp;" год"</f>
        <v>2050 год</v>
      </c>
      <c r="AC315" s="409"/>
      <c r="AD315" s="6972"/>
      <c r="AE315" s="6971"/>
      <c r="AF315" s="6971"/>
      <c r="AG315" s="6972"/>
      <c r="AH315" s="6971"/>
      <c r="AI315" s="6972"/>
      <c r="AJ315" s="6971"/>
      <c r="AK315" s="6973"/>
      <c r="AL315" s="404"/>
      <c r="AM315" s="1297"/>
      <c r="AN315" s="1072" cm="1" t="str">
        <f t="array" ref="AN315:AN315">K315</f>
        <v>2050</v>
      </c>
      <c r="AO315" s="1072" t="s">
        <v>2773</v>
      </c>
      <c r="AP315" s="1082" cm="1" t="str">
        <f t="array" ref="AP315:AP315">AP314</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AQ315" s="709"/>
      <c r="AR315" s="709"/>
    </row>
    <row s="7219" customFormat="1" customHeight="1" ht="14.25" hidden="1">
      <c r="A316" s="1297"/>
      <c r="B316" s="447">
        <f>K316&lt;first_year+PERIOD_LENGTH</f>
        <v>0</v>
      </c>
      <c r="C316" s="1297"/>
      <c r="D316" s="1297"/>
      <c r="E316" s="709">
        <v>15</v>
      </c>
      <c r="F316" s="50" cm="1" t="str">
        <f t="array" ref="F316:F316">OFFSET(E316,-1,1)</f>
        <v>2</v>
      </c>
      <c r="G316" s="94" cm="1" t="str">
        <f t="array" ref="G316:G316">G315</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H316" s="1297"/>
      <c r="I316" s="1297"/>
      <c r="J316" s="1297"/>
      <c r="K316" s="154">
        <f>first_year+27</f>
        <v>2051</v>
      </c>
      <c r="L316" s="1297"/>
      <c r="M316" s="1297"/>
      <c r="N316" s="1297"/>
      <c r="O316" s="1297"/>
      <c r="P316" s="1297"/>
      <c r="Q316" s="1297"/>
      <c r="R316" s="1297"/>
      <c r="S316" s="1297"/>
      <c r="T316" s="468" cm="1" t="str">
        <f t="array" ref="T316:T316">T315</f>
        <v>true</v>
      </c>
      <c r="U316" s="1297"/>
      <c r="V316" s="1297"/>
      <c r="W316" s="1297"/>
      <c r="X316" s="1539"/>
      <c r="Y316" s="1539"/>
      <c r="Z316" s="1529"/>
      <c r="AA316" s="1630"/>
      <c r="AB316" s="251" t="str">
        <f>K316&amp;" год"</f>
        <v>2051 год</v>
      </c>
      <c r="AC316" s="409"/>
      <c r="AD316" s="6972"/>
      <c r="AE316" s="6971"/>
      <c r="AF316" s="6971"/>
      <c r="AG316" s="6972"/>
      <c r="AH316" s="6971"/>
      <c r="AI316" s="6972"/>
      <c r="AJ316" s="6971"/>
      <c r="AK316" s="6973"/>
      <c r="AL316" s="404"/>
      <c r="AM316" s="1297"/>
      <c r="AN316" s="1072" cm="1" t="str">
        <f t="array" ref="AN316:AN316">K316</f>
        <v>2051</v>
      </c>
      <c r="AO316" s="1072" t="s">
        <v>2773</v>
      </c>
      <c r="AP316" s="1082" cm="1" t="str">
        <f t="array" ref="AP316:AP316">AP315</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AQ316" s="709"/>
      <c r="AR316" s="709"/>
    </row>
    <row s="7220" customFormat="1" customHeight="1" ht="14.25" hidden="1">
      <c r="A317" s="1297"/>
      <c r="B317" s="447">
        <f>K317&lt;first_year+PERIOD_LENGTH</f>
        <v>0</v>
      </c>
      <c r="C317" s="1297"/>
      <c r="D317" s="1297"/>
      <c r="E317" s="709">
        <v>15</v>
      </c>
      <c r="F317" s="50" cm="1" t="str">
        <f t="array" ref="F317:F317">OFFSET(E317,-1,1)</f>
        <v>2</v>
      </c>
      <c r="G317" s="94" cm="1" t="str">
        <f t="array" ref="G317:G317">G316</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H317" s="1297"/>
      <c r="I317" s="1297"/>
      <c r="J317" s="1297"/>
      <c r="K317" s="154">
        <f>first_year+28</f>
        <v>2052</v>
      </c>
      <c r="L317" s="1297"/>
      <c r="M317" s="1297"/>
      <c r="N317" s="1297"/>
      <c r="O317" s="1297"/>
      <c r="P317" s="1297"/>
      <c r="Q317" s="1297"/>
      <c r="R317" s="1297"/>
      <c r="S317" s="1297"/>
      <c r="T317" s="468" cm="1" t="str">
        <f t="array" ref="T317:T317">T316</f>
        <v>true</v>
      </c>
      <c r="U317" s="1297"/>
      <c r="V317" s="1297"/>
      <c r="W317" s="1297"/>
      <c r="X317" s="1539"/>
      <c r="Y317" s="1539"/>
      <c r="Z317" s="1529"/>
      <c r="AA317" s="1630"/>
      <c r="AB317" s="251" t="str">
        <f>K317&amp;" год"</f>
        <v>2052 год</v>
      </c>
      <c r="AC317" s="409"/>
      <c r="AD317" s="6972"/>
      <c r="AE317" s="6971"/>
      <c r="AF317" s="6971"/>
      <c r="AG317" s="6972"/>
      <c r="AH317" s="6971"/>
      <c r="AI317" s="6972"/>
      <c r="AJ317" s="6971"/>
      <c r="AK317" s="6973"/>
      <c r="AL317" s="404"/>
      <c r="AM317" s="1297"/>
      <c r="AN317" s="1072" cm="1" t="str">
        <f t="array" ref="AN317:AN317">K317</f>
        <v>2052</v>
      </c>
      <c r="AO317" s="1072" t="s">
        <v>2773</v>
      </c>
      <c r="AP317" s="1082" cm="1" t="str">
        <f t="array" ref="AP317:AP317">AP316</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AQ317" s="709"/>
      <c r="AR317" s="709"/>
    </row>
    <row s="7221" customFormat="1" customHeight="1" ht="14.25" hidden="1">
      <c r="A318" s="1297"/>
      <c r="B318" s="447">
        <f>K318&lt;first_year+PERIOD_LENGTH</f>
        <v>0</v>
      </c>
      <c r="C318" s="1297"/>
      <c r="D318" s="1297"/>
      <c r="E318" s="709">
        <v>15</v>
      </c>
      <c r="F318" s="50" cm="1" t="str">
        <f t="array" ref="F318:F318">OFFSET(E318,-1,1)</f>
        <v>2</v>
      </c>
      <c r="G318" s="94" cm="1" t="str">
        <f t="array" ref="G318:G318">G317</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H318" s="1297"/>
      <c r="I318" s="1297"/>
      <c r="J318" s="1297"/>
      <c r="K318" s="154">
        <f>first_year+29</f>
        <v>2053</v>
      </c>
      <c r="L318" s="1297"/>
      <c r="M318" s="1297"/>
      <c r="N318" s="1297"/>
      <c r="O318" s="1297"/>
      <c r="P318" s="1297"/>
      <c r="Q318" s="1297"/>
      <c r="R318" s="1297"/>
      <c r="S318" s="1297"/>
      <c r="T318" s="468" cm="1" t="str">
        <f t="array" ref="T318:T318">T317</f>
        <v>true</v>
      </c>
      <c r="U318" s="1297"/>
      <c r="V318" s="1297"/>
      <c r="W318" s="1297"/>
      <c r="X318" s="1539"/>
      <c r="Y318" s="1539"/>
      <c r="Z318" s="1529"/>
      <c r="AA318" s="1630"/>
      <c r="AB318" s="251" t="str">
        <f>K318&amp;" год"</f>
        <v>2053 год</v>
      </c>
      <c r="AC318" s="409"/>
      <c r="AD318" s="6972"/>
      <c r="AE318" s="6971"/>
      <c r="AF318" s="6971"/>
      <c r="AG318" s="6972"/>
      <c r="AH318" s="6971"/>
      <c r="AI318" s="6972"/>
      <c r="AJ318" s="6971"/>
      <c r="AK318" s="6973"/>
      <c r="AL318" s="404"/>
      <c r="AM318" s="1297"/>
      <c r="AN318" s="1072" cm="1" t="str">
        <f t="array" ref="AN318:AN318">K318</f>
        <v>2053</v>
      </c>
      <c r="AO318" s="1072" t="s">
        <v>2773</v>
      </c>
      <c r="AP318" s="1082" cm="1" t="str">
        <f t="array" ref="AP318:AP318">AP317</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AQ318" s="709"/>
      <c r="AR318" s="709"/>
    </row>
    <row s="7222" customFormat="1" customHeight="1" ht="14.25" hidden="1">
      <c r="A319" s="1297"/>
      <c r="B319" s="447">
        <f>K319&lt;first_year+PERIOD_LENGTH</f>
        <v>0</v>
      </c>
      <c r="C319" s="1297"/>
      <c r="D319" s="1297"/>
      <c r="E319" s="709">
        <v>15</v>
      </c>
      <c r="F319" s="50" cm="1" t="str">
        <f t="array" ref="F319:F319">OFFSET(E319,-1,1)</f>
        <v>2</v>
      </c>
      <c r="G319" s="94" cm="1" t="str">
        <f t="array" ref="G319:G319">G318</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H319" s="1297"/>
      <c r="I319" s="1297"/>
      <c r="J319" s="1297"/>
      <c r="K319" s="154">
        <f>first_year+30</f>
        <v>2054</v>
      </c>
      <c r="L319" s="1297"/>
      <c r="M319" s="1297"/>
      <c r="N319" s="1297"/>
      <c r="O319" s="1297"/>
      <c r="P319" s="1297"/>
      <c r="Q319" s="1297"/>
      <c r="R319" s="1297"/>
      <c r="S319" s="1297"/>
      <c r="T319" s="468" cm="1" t="str">
        <f t="array" ref="T319:T319">T318</f>
        <v>true</v>
      </c>
      <c r="U319" s="1297"/>
      <c r="V319" s="1297"/>
      <c r="W319" s="1297"/>
      <c r="X319" s="1539"/>
      <c r="Y319" s="1539"/>
      <c r="Z319" s="1529"/>
      <c r="AA319" s="1630"/>
      <c r="AB319" s="251" t="str">
        <f>K319&amp;" год"</f>
        <v>2054 год</v>
      </c>
      <c r="AC319" s="409"/>
      <c r="AD319" s="6972"/>
      <c r="AE319" s="6971"/>
      <c r="AF319" s="6971"/>
      <c r="AG319" s="6972"/>
      <c r="AH319" s="6971"/>
      <c r="AI319" s="6972"/>
      <c r="AJ319" s="6971"/>
      <c r="AK319" s="6973"/>
      <c r="AL319" s="404"/>
      <c r="AM319" s="1297"/>
      <c r="AN319" s="1072" cm="1" t="str">
        <f t="array" ref="AN319:AN319">K319</f>
        <v>2054</v>
      </c>
      <c r="AO319" s="1072" t="s">
        <v>2773</v>
      </c>
      <c r="AP319" s="1082" cm="1" t="str">
        <f t="array" ref="AP319:AP319">AP318</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AQ319" s="709"/>
      <c r="AR319" s="709"/>
    </row>
    <row s="7223" customFormat="1" customHeight="1" ht="14.25" hidden="1">
      <c r="A320" s="1297"/>
      <c r="B320" s="447">
        <f>K320&lt;first_year+PERIOD_LENGTH</f>
        <v>0</v>
      </c>
      <c r="C320" s="1297"/>
      <c r="D320" s="1297"/>
      <c r="E320" s="709">
        <v>15</v>
      </c>
      <c r="F320" s="50" cm="1" t="str">
        <f t="array" ref="F320:F320">OFFSET(E320,-1,1)</f>
        <v>2</v>
      </c>
      <c r="G320" s="94" cm="1" t="str">
        <f t="array" ref="G320:G320">G319</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H320" s="1297"/>
      <c r="I320" s="1297"/>
      <c r="J320" s="1297"/>
      <c r="K320" s="154">
        <f>first_year+31</f>
        <v>2055</v>
      </c>
      <c r="L320" s="1297"/>
      <c r="M320" s="1297"/>
      <c r="N320" s="1297"/>
      <c r="O320" s="1297"/>
      <c r="P320" s="1297"/>
      <c r="Q320" s="1297"/>
      <c r="R320" s="1297"/>
      <c r="S320" s="1297"/>
      <c r="T320" s="468" cm="1" t="str">
        <f t="array" ref="T320:T320">T319</f>
        <v>true</v>
      </c>
      <c r="U320" s="1297"/>
      <c r="V320" s="1297"/>
      <c r="W320" s="1297"/>
      <c r="X320" s="1539"/>
      <c r="Y320" s="1539"/>
      <c r="Z320" s="1529"/>
      <c r="AA320" s="1630"/>
      <c r="AB320" s="251" t="str">
        <f>K320&amp;" год"</f>
        <v>2055 год</v>
      </c>
      <c r="AC320" s="409"/>
      <c r="AD320" s="6972"/>
      <c r="AE320" s="6971"/>
      <c r="AF320" s="6971"/>
      <c r="AG320" s="6972"/>
      <c r="AH320" s="6971"/>
      <c r="AI320" s="6972"/>
      <c r="AJ320" s="6971"/>
      <c r="AK320" s="6973"/>
      <c r="AL320" s="404"/>
      <c r="AM320" s="1297"/>
      <c r="AN320" s="1072" cm="1" t="str">
        <f t="array" ref="AN320:AN320">K320</f>
        <v>2055</v>
      </c>
      <c r="AO320" s="1072" t="s">
        <v>2773</v>
      </c>
      <c r="AP320" s="1082" cm="1" t="str">
        <f t="array" ref="AP320:AP320">AP319</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AQ320" s="709"/>
      <c r="AR320" s="709"/>
    </row>
    <row s="7224" customFormat="1" customHeight="1" ht="14.25" hidden="1">
      <c r="A321" s="1297"/>
      <c r="B321" s="447">
        <f>K321&lt;first_year+PERIOD_LENGTH</f>
        <v>0</v>
      </c>
      <c r="C321" s="1297"/>
      <c r="D321" s="1297"/>
      <c r="E321" s="709">
        <v>15</v>
      </c>
      <c r="F321" s="50" cm="1" t="str">
        <f t="array" ref="F321:F321">OFFSET(E321,-1,1)</f>
        <v>2</v>
      </c>
      <c r="G321" s="94" cm="1" t="str">
        <f t="array" ref="G321:G321">G320</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H321" s="1297"/>
      <c r="I321" s="1297"/>
      <c r="J321" s="1297"/>
      <c r="K321" s="154">
        <f>first_year+32</f>
        <v>2056</v>
      </c>
      <c r="L321" s="1297"/>
      <c r="M321" s="1297"/>
      <c r="N321" s="1297"/>
      <c r="O321" s="1297"/>
      <c r="P321" s="1297"/>
      <c r="Q321" s="1297"/>
      <c r="R321" s="1297"/>
      <c r="S321" s="1297"/>
      <c r="T321" s="468" cm="1" t="str">
        <f t="array" ref="T321:T321">T320</f>
        <v>true</v>
      </c>
      <c r="U321" s="1297"/>
      <c r="V321" s="1297"/>
      <c r="W321" s="1297"/>
      <c r="X321" s="1539"/>
      <c r="Y321" s="1539"/>
      <c r="Z321" s="1529"/>
      <c r="AA321" s="1630"/>
      <c r="AB321" s="251" t="str">
        <f>K321&amp;" год"</f>
        <v>2056 год</v>
      </c>
      <c r="AC321" s="409"/>
      <c r="AD321" s="6972"/>
      <c r="AE321" s="6971"/>
      <c r="AF321" s="6971"/>
      <c r="AG321" s="6972"/>
      <c r="AH321" s="6971"/>
      <c r="AI321" s="6972"/>
      <c r="AJ321" s="6971"/>
      <c r="AK321" s="6973"/>
      <c r="AL321" s="404"/>
      <c r="AM321" s="1297"/>
      <c r="AN321" s="1072" cm="1" t="str">
        <f t="array" ref="AN321:AN321">K321</f>
        <v>2056</v>
      </c>
      <c r="AO321" s="1072" t="s">
        <v>2773</v>
      </c>
      <c r="AP321" s="1082" cm="1" t="str">
        <f t="array" ref="AP321:AP321">AP320</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AQ321" s="709"/>
      <c r="AR321" s="709"/>
    </row>
    <row s="7225" customFormat="1" customHeight="1" ht="14.25" hidden="1">
      <c r="A322" s="1297"/>
      <c r="B322" s="447">
        <f>K322&lt;first_year+PERIOD_LENGTH</f>
        <v>0</v>
      </c>
      <c r="C322" s="1297"/>
      <c r="D322" s="1297"/>
      <c r="E322" s="709">
        <v>15</v>
      </c>
      <c r="F322" s="50" cm="1" t="str">
        <f t="array" ref="F322:F322">OFFSET(E322,-1,1)</f>
        <v>2</v>
      </c>
      <c r="G322" s="94" cm="1" t="str">
        <f t="array" ref="G322:G322">G321</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H322" s="1297"/>
      <c r="I322" s="1297"/>
      <c r="J322" s="1297"/>
      <c r="K322" s="154">
        <f>first_year+33</f>
        <v>2057</v>
      </c>
      <c r="L322" s="1297"/>
      <c r="M322" s="1297"/>
      <c r="N322" s="1297"/>
      <c r="O322" s="1297"/>
      <c r="P322" s="1297"/>
      <c r="Q322" s="1297"/>
      <c r="R322" s="1297"/>
      <c r="S322" s="1297"/>
      <c r="T322" s="468" cm="1" t="str">
        <f t="array" ref="T322:T322">T321</f>
        <v>true</v>
      </c>
      <c r="U322" s="1297"/>
      <c r="V322" s="1297"/>
      <c r="W322" s="1297"/>
      <c r="X322" s="1539"/>
      <c r="Y322" s="1539"/>
      <c r="Z322" s="1529"/>
      <c r="AA322" s="1630"/>
      <c r="AB322" s="251" t="str">
        <f>K322&amp;" год"</f>
        <v>2057 год</v>
      </c>
      <c r="AC322" s="409"/>
      <c r="AD322" s="6972"/>
      <c r="AE322" s="6971"/>
      <c r="AF322" s="6971"/>
      <c r="AG322" s="6972"/>
      <c r="AH322" s="6971"/>
      <c r="AI322" s="6972"/>
      <c r="AJ322" s="6971"/>
      <c r="AK322" s="6973"/>
      <c r="AL322" s="404"/>
      <c r="AM322" s="1297"/>
      <c r="AN322" s="1072" cm="1" t="str">
        <f t="array" ref="AN322:AN322">K322</f>
        <v>2057</v>
      </c>
      <c r="AO322" s="1072" t="s">
        <v>2773</v>
      </c>
      <c r="AP322" s="1082" cm="1" t="str">
        <f t="array" ref="AP322:AP322">AP321</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AQ322" s="709"/>
      <c r="AR322" s="709"/>
    </row>
    <row s="7226" customFormat="1" customHeight="1" ht="14.25" hidden="1">
      <c r="A323" s="1297"/>
      <c r="B323" s="447">
        <f>K323&lt;first_year+PERIOD_LENGTH</f>
        <v>0</v>
      </c>
      <c r="C323" s="1297"/>
      <c r="D323" s="1297"/>
      <c r="E323" s="709">
        <v>15</v>
      </c>
      <c r="F323" s="50" cm="1" t="str">
        <f t="array" ref="F323:F323">OFFSET(E323,-1,1)</f>
        <v>2</v>
      </c>
      <c r="G323" s="94" cm="1" t="str">
        <f t="array" ref="G323:G323">G322</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H323" s="1297"/>
      <c r="I323" s="1297"/>
      <c r="J323" s="1297"/>
      <c r="K323" s="154">
        <f>first_year+34</f>
        <v>2058</v>
      </c>
      <c r="L323" s="1297"/>
      <c r="M323" s="1297"/>
      <c r="N323" s="1297"/>
      <c r="O323" s="1297"/>
      <c r="P323" s="1297"/>
      <c r="Q323" s="1297"/>
      <c r="R323" s="1297"/>
      <c r="S323" s="1297"/>
      <c r="T323" s="468" cm="1" t="str">
        <f t="array" ref="T323:T323">T322</f>
        <v>true</v>
      </c>
      <c r="U323" s="1297"/>
      <c r="V323" s="1297"/>
      <c r="W323" s="1297"/>
      <c r="X323" s="1539"/>
      <c r="Y323" s="1539"/>
      <c r="Z323" s="1529"/>
      <c r="AA323" s="1630"/>
      <c r="AB323" s="251" t="str">
        <f>K323&amp;" год"</f>
        <v>2058 год</v>
      </c>
      <c r="AC323" s="409"/>
      <c r="AD323" s="6972"/>
      <c r="AE323" s="6971"/>
      <c r="AF323" s="6971"/>
      <c r="AG323" s="6972"/>
      <c r="AH323" s="6971"/>
      <c r="AI323" s="6972"/>
      <c r="AJ323" s="6971"/>
      <c r="AK323" s="6973"/>
      <c r="AL323" s="404"/>
      <c r="AM323" s="1297"/>
      <c r="AN323" s="1072" cm="1" t="str">
        <f t="array" ref="AN323:AN323">K323</f>
        <v>2058</v>
      </c>
      <c r="AO323" s="1072" t="s">
        <v>2773</v>
      </c>
      <c r="AP323" s="1082" cm="1" t="str">
        <f t="array" ref="AP323:AP323">AP322</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AQ323" s="709"/>
      <c r="AR323" s="709"/>
    </row>
    <row s="7227" customFormat="1" customHeight="1" ht="14.25" hidden="1">
      <c r="A324" s="1297"/>
      <c r="B324" s="447">
        <f>K324&lt;first_year+PERIOD_LENGTH</f>
        <v>0</v>
      </c>
      <c r="C324" s="1297"/>
      <c r="D324" s="1297"/>
      <c r="E324" s="709">
        <v>15</v>
      </c>
      <c r="F324" s="50" cm="1" t="str">
        <f t="array" ref="F324:F324">OFFSET(E324,-1,1)</f>
        <v>2</v>
      </c>
      <c r="G324" s="94" cm="1" t="str">
        <f t="array" ref="G324:G324">G323</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H324" s="1297"/>
      <c r="I324" s="1297"/>
      <c r="J324" s="1297"/>
      <c r="K324" s="154">
        <f>first_year+35</f>
        <v>2059</v>
      </c>
      <c r="L324" s="1297"/>
      <c r="M324" s="1297"/>
      <c r="N324" s="1297"/>
      <c r="O324" s="1297"/>
      <c r="P324" s="1297"/>
      <c r="Q324" s="1297"/>
      <c r="R324" s="1297"/>
      <c r="S324" s="1297"/>
      <c r="T324" s="468" cm="1" t="str">
        <f t="array" ref="T324:T324">T323</f>
        <v>true</v>
      </c>
      <c r="U324" s="1297"/>
      <c r="V324" s="1297"/>
      <c r="W324" s="1297"/>
      <c r="X324" s="1539"/>
      <c r="Y324" s="1539"/>
      <c r="Z324" s="1529"/>
      <c r="AA324" s="1630"/>
      <c r="AB324" s="251" t="str">
        <f>K324&amp;" год"</f>
        <v>2059 год</v>
      </c>
      <c r="AC324" s="409"/>
      <c r="AD324" s="6972"/>
      <c r="AE324" s="6971"/>
      <c r="AF324" s="6971"/>
      <c r="AG324" s="6972"/>
      <c r="AH324" s="6971"/>
      <c r="AI324" s="6972"/>
      <c r="AJ324" s="6971"/>
      <c r="AK324" s="6973"/>
      <c r="AL324" s="404"/>
      <c r="AM324" s="1297"/>
      <c r="AN324" s="1072" cm="1" t="str">
        <f t="array" ref="AN324:AN324">K324</f>
        <v>2059</v>
      </c>
      <c r="AO324" s="1072" t="s">
        <v>2773</v>
      </c>
      <c r="AP324" s="1082" cm="1" t="str">
        <f t="array" ref="AP324:AP324">AP323</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AQ324" s="709"/>
      <c r="AR324" s="709"/>
    </row>
    <row s="7228" customFormat="1" customHeight="1" ht="14.25" hidden="1">
      <c r="A325" s="1297"/>
      <c r="B325" s="447">
        <f>K325&lt;first_year+PERIOD_LENGTH</f>
        <v>0</v>
      </c>
      <c r="C325" s="1297"/>
      <c r="D325" s="1297"/>
      <c r="E325" s="709">
        <v>15</v>
      </c>
      <c r="F325" s="50" cm="1" t="str">
        <f t="array" ref="F325:F325">OFFSET(E325,-1,1)</f>
        <v>2</v>
      </c>
      <c r="G325" s="94" cm="1" t="str">
        <f t="array" ref="G325:G325">G324</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H325" s="1297"/>
      <c r="I325" s="1297"/>
      <c r="J325" s="1297"/>
      <c r="K325" s="154">
        <f>first_year+36</f>
        <v>2060</v>
      </c>
      <c r="L325" s="1297"/>
      <c r="M325" s="1297"/>
      <c r="N325" s="1297"/>
      <c r="O325" s="1297"/>
      <c r="P325" s="1297"/>
      <c r="Q325" s="1297"/>
      <c r="R325" s="1297"/>
      <c r="S325" s="1297"/>
      <c r="T325" s="468" cm="1" t="str">
        <f t="array" ref="T325:T325">T324</f>
        <v>true</v>
      </c>
      <c r="U325" s="1297"/>
      <c r="V325" s="1297"/>
      <c r="W325" s="1297"/>
      <c r="X325" s="1539"/>
      <c r="Y325" s="1539"/>
      <c r="Z325" s="1529"/>
      <c r="AA325" s="1630"/>
      <c r="AB325" s="251" t="str">
        <f>K325&amp;" год"</f>
        <v>2060 год</v>
      </c>
      <c r="AC325" s="409"/>
      <c r="AD325" s="6972"/>
      <c r="AE325" s="6971"/>
      <c r="AF325" s="6971"/>
      <c r="AG325" s="6972"/>
      <c r="AH325" s="6971"/>
      <c r="AI325" s="6972"/>
      <c r="AJ325" s="6971"/>
      <c r="AK325" s="6973"/>
      <c r="AL325" s="404"/>
      <c r="AM325" s="1297"/>
      <c r="AN325" s="1072" cm="1" t="str">
        <f t="array" ref="AN325:AN325">K325</f>
        <v>2060</v>
      </c>
      <c r="AO325" s="1072" t="s">
        <v>2773</v>
      </c>
      <c r="AP325" s="1082" cm="1" t="str">
        <f t="array" ref="AP325:AP325">AP324</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AQ325" s="709"/>
      <c r="AR325" s="709"/>
    </row>
    <row s="7229" customFormat="1" customHeight="1" ht="14.25" hidden="1">
      <c r="A326" s="1297"/>
      <c r="B326" s="447">
        <f>K326&lt;first_year+PERIOD_LENGTH</f>
        <v>0</v>
      </c>
      <c r="C326" s="1297"/>
      <c r="D326" s="1297"/>
      <c r="E326" s="709">
        <v>15</v>
      </c>
      <c r="F326" s="50" cm="1" t="str">
        <f t="array" ref="F326:F326">OFFSET(E326,-1,1)</f>
        <v>2</v>
      </c>
      <c r="G326" s="94" cm="1" t="str">
        <f t="array" ref="G326:G326">G325</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H326" s="1297"/>
      <c r="I326" s="1297"/>
      <c r="J326" s="1297"/>
      <c r="K326" s="154">
        <f>first_year+37</f>
        <v>2061</v>
      </c>
      <c r="L326" s="1297"/>
      <c r="M326" s="1297"/>
      <c r="N326" s="1297"/>
      <c r="O326" s="1297"/>
      <c r="P326" s="1297"/>
      <c r="Q326" s="1297"/>
      <c r="R326" s="1297"/>
      <c r="S326" s="1297"/>
      <c r="T326" s="468" cm="1" t="str">
        <f t="array" ref="T326:T326">T325</f>
        <v>true</v>
      </c>
      <c r="U326" s="1297"/>
      <c r="V326" s="1297"/>
      <c r="W326" s="1297"/>
      <c r="X326" s="1539"/>
      <c r="Y326" s="1539"/>
      <c r="Z326" s="1529"/>
      <c r="AA326" s="1630"/>
      <c r="AB326" s="251" t="str">
        <f>K326&amp;" год"</f>
        <v>2061 год</v>
      </c>
      <c r="AC326" s="409"/>
      <c r="AD326" s="6972"/>
      <c r="AE326" s="6971"/>
      <c r="AF326" s="6971"/>
      <c r="AG326" s="6972"/>
      <c r="AH326" s="6971"/>
      <c r="AI326" s="6972"/>
      <c r="AJ326" s="6971"/>
      <c r="AK326" s="6973"/>
      <c r="AL326" s="404"/>
      <c r="AM326" s="1297"/>
      <c r="AN326" s="1072" cm="1" t="str">
        <f t="array" ref="AN326:AN326">K326</f>
        <v>2061</v>
      </c>
      <c r="AO326" s="1072" t="s">
        <v>2773</v>
      </c>
      <c r="AP326" s="1082" cm="1" t="str">
        <f t="array" ref="AP326:AP326">AP325</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AQ326" s="709"/>
      <c r="AR326" s="709"/>
    </row>
    <row s="7230" customFormat="1" customHeight="1" ht="14.25" hidden="1">
      <c r="A327" s="1297"/>
      <c r="B327" s="447">
        <f>K327&lt;first_year+PERIOD_LENGTH</f>
        <v>0</v>
      </c>
      <c r="C327" s="1297"/>
      <c r="D327" s="1297"/>
      <c r="E327" s="709">
        <v>15</v>
      </c>
      <c r="F327" s="50" cm="1" t="str">
        <f t="array" ref="F327:F327">OFFSET(E327,-1,1)</f>
        <v>2</v>
      </c>
      <c r="G327" s="94" cm="1" t="str">
        <f t="array" ref="G327:G327">G326</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H327" s="1297"/>
      <c r="I327" s="1297"/>
      <c r="J327" s="1297"/>
      <c r="K327" s="154">
        <f>first_year+38</f>
        <v>2062</v>
      </c>
      <c r="L327" s="1297"/>
      <c r="M327" s="1297"/>
      <c r="N327" s="1297"/>
      <c r="O327" s="1297"/>
      <c r="P327" s="1297"/>
      <c r="Q327" s="1297"/>
      <c r="R327" s="1297"/>
      <c r="S327" s="1297"/>
      <c r="T327" s="468" cm="1" t="str">
        <f t="array" ref="T327:T327">T326</f>
        <v>true</v>
      </c>
      <c r="U327" s="1297"/>
      <c r="V327" s="1297"/>
      <c r="W327" s="1297"/>
      <c r="X327" s="1539"/>
      <c r="Y327" s="1539"/>
      <c r="Z327" s="1529"/>
      <c r="AA327" s="1630"/>
      <c r="AB327" s="251" t="str">
        <f>K327&amp;" год"</f>
        <v>2062 год</v>
      </c>
      <c r="AC327" s="409"/>
      <c r="AD327" s="6972"/>
      <c r="AE327" s="6971"/>
      <c r="AF327" s="6971"/>
      <c r="AG327" s="6972"/>
      <c r="AH327" s="6971"/>
      <c r="AI327" s="6972"/>
      <c r="AJ327" s="6971"/>
      <c r="AK327" s="6973"/>
      <c r="AL327" s="404"/>
      <c r="AM327" s="1297"/>
      <c r="AN327" s="1072" cm="1" t="str">
        <f t="array" ref="AN327:AN327">K327</f>
        <v>2062</v>
      </c>
      <c r="AO327" s="1072" t="s">
        <v>2773</v>
      </c>
      <c r="AP327" s="1082" cm="1" t="str">
        <f t="array" ref="AP327:AP327">AP326</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AQ327" s="709"/>
      <c r="AR327" s="709"/>
    </row>
    <row s="7231" customFormat="1" customHeight="1" ht="14.25" hidden="1">
      <c r="A328" s="1297"/>
      <c r="B328" s="447">
        <f>K328&lt;first_year+PERIOD_LENGTH</f>
        <v>0</v>
      </c>
      <c r="C328" s="1297"/>
      <c r="D328" s="1297"/>
      <c r="E328" s="709">
        <v>15</v>
      </c>
      <c r="F328" s="50" cm="1" t="str">
        <f t="array" ref="F328:F328">OFFSET(E328,-1,1)</f>
        <v>2</v>
      </c>
      <c r="G328" s="94" cm="1" t="str">
        <f t="array" ref="G328:G328">G327</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H328" s="1297"/>
      <c r="I328" s="1297"/>
      <c r="J328" s="1297"/>
      <c r="K328" s="154">
        <f>first_year+39</f>
        <v>2063</v>
      </c>
      <c r="L328" s="1297"/>
      <c r="M328" s="1297"/>
      <c r="N328" s="1297"/>
      <c r="O328" s="1297"/>
      <c r="P328" s="1297"/>
      <c r="Q328" s="1297"/>
      <c r="R328" s="1297"/>
      <c r="S328" s="1297"/>
      <c r="T328" s="468" cm="1" t="str">
        <f t="array" ref="T328:T328">T327</f>
        <v>true</v>
      </c>
      <c r="U328" s="1297"/>
      <c r="V328" s="1297"/>
      <c r="W328" s="1297"/>
      <c r="X328" s="1539"/>
      <c r="Y328" s="1539"/>
      <c r="Z328" s="1529"/>
      <c r="AA328" s="1630"/>
      <c r="AB328" s="251" t="str">
        <f>K328&amp;" год"</f>
        <v>2063 год</v>
      </c>
      <c r="AC328" s="409"/>
      <c r="AD328" s="6972"/>
      <c r="AE328" s="6971"/>
      <c r="AF328" s="6971"/>
      <c r="AG328" s="6972"/>
      <c r="AH328" s="6971"/>
      <c r="AI328" s="6972"/>
      <c r="AJ328" s="6971"/>
      <c r="AK328" s="6973"/>
      <c r="AL328" s="404"/>
      <c r="AM328" s="1297"/>
      <c r="AN328" s="1072" cm="1" t="str">
        <f t="array" ref="AN328:AN328">K328</f>
        <v>2063</v>
      </c>
      <c r="AO328" s="1072" t="s">
        <v>2773</v>
      </c>
      <c r="AP328" s="1082" cm="1" t="str">
        <f t="array" ref="AP328:AP328">AP327</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AQ328" s="709"/>
      <c r="AR328" s="709"/>
    </row>
    <row s="7232" customFormat="1" customHeight="1" ht="14.25" hidden="1">
      <c r="A329" s="1297"/>
      <c r="B329" s="447">
        <f>K329&lt;first_year+PERIOD_LENGTH</f>
        <v>0</v>
      </c>
      <c r="C329" s="1297"/>
      <c r="D329" s="1297"/>
      <c r="E329" s="709">
        <v>15</v>
      </c>
      <c r="F329" s="50" cm="1" t="str">
        <f t="array" ref="F329:F329">OFFSET(E329,-1,1)</f>
        <v>2</v>
      </c>
      <c r="G329" s="94" cm="1" t="str">
        <f t="array" ref="G329:G329">G328</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H329" s="1297"/>
      <c r="I329" s="1297"/>
      <c r="J329" s="1297"/>
      <c r="K329" s="154">
        <f>first_year+40</f>
        <v>2064</v>
      </c>
      <c r="L329" s="1297"/>
      <c r="M329" s="1297"/>
      <c r="N329" s="1297"/>
      <c r="O329" s="1297"/>
      <c r="P329" s="1297"/>
      <c r="Q329" s="1297"/>
      <c r="R329" s="1297"/>
      <c r="S329" s="1297"/>
      <c r="T329" s="468" cm="1" t="str">
        <f t="array" ref="T329:T329">T328</f>
        <v>true</v>
      </c>
      <c r="U329" s="1297"/>
      <c r="V329" s="1297"/>
      <c r="W329" s="1297"/>
      <c r="X329" s="1539"/>
      <c r="Y329" s="1539"/>
      <c r="Z329" s="1529"/>
      <c r="AA329" s="1630"/>
      <c r="AB329" s="251" t="str">
        <f>K329&amp;" год"</f>
        <v>2064 год</v>
      </c>
      <c r="AC329" s="409"/>
      <c r="AD329" s="6972"/>
      <c r="AE329" s="6971"/>
      <c r="AF329" s="6971"/>
      <c r="AG329" s="6972"/>
      <c r="AH329" s="6971"/>
      <c r="AI329" s="6972"/>
      <c r="AJ329" s="6971"/>
      <c r="AK329" s="6973"/>
      <c r="AL329" s="404"/>
      <c r="AM329" s="1297"/>
      <c r="AN329" s="1072" cm="1" t="str">
        <f t="array" ref="AN329:AN329">K329</f>
        <v>2064</v>
      </c>
      <c r="AO329" s="1072" t="s">
        <v>2773</v>
      </c>
      <c r="AP329" s="1082" cm="1" t="str">
        <f t="array" ref="AP329:AP329">AP328</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AQ329" s="709"/>
      <c r="AR329" s="709"/>
    </row>
    <row s="7233" customFormat="1" customHeight="1" ht="14.25" hidden="1">
      <c r="A330" s="1297"/>
      <c r="B330" s="447">
        <f>K330&lt;first_year+PERIOD_LENGTH</f>
        <v>0</v>
      </c>
      <c r="C330" s="1297"/>
      <c r="D330" s="1297"/>
      <c r="E330" s="709">
        <v>15</v>
      </c>
      <c r="F330" s="50" cm="1" t="str">
        <f t="array" ref="F330:F330">OFFSET(E330,-1,1)</f>
        <v>2</v>
      </c>
      <c r="G330" s="94" cm="1" t="str">
        <f t="array" ref="G330:G330">G329</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H330" s="1297"/>
      <c r="I330" s="1297"/>
      <c r="J330" s="1297"/>
      <c r="K330" s="154">
        <f>first_year+41</f>
        <v>2065</v>
      </c>
      <c r="L330" s="1297"/>
      <c r="M330" s="1297"/>
      <c r="N330" s="1297"/>
      <c r="O330" s="1297"/>
      <c r="P330" s="1297"/>
      <c r="Q330" s="1297"/>
      <c r="R330" s="1297"/>
      <c r="S330" s="1297"/>
      <c r="T330" s="468" cm="1" t="str">
        <f t="array" ref="T330:T330">T329</f>
        <v>true</v>
      </c>
      <c r="U330" s="1297"/>
      <c r="V330" s="1297"/>
      <c r="W330" s="1297"/>
      <c r="X330" s="1539"/>
      <c r="Y330" s="1539"/>
      <c r="Z330" s="1529"/>
      <c r="AA330" s="1630"/>
      <c r="AB330" s="251" t="str">
        <f>K330&amp;" год"</f>
        <v>2065 год</v>
      </c>
      <c r="AC330" s="409"/>
      <c r="AD330" s="6972"/>
      <c r="AE330" s="6971"/>
      <c r="AF330" s="6971"/>
      <c r="AG330" s="6972"/>
      <c r="AH330" s="6971"/>
      <c r="AI330" s="6972"/>
      <c r="AJ330" s="6971"/>
      <c r="AK330" s="6973"/>
      <c r="AL330" s="404"/>
      <c r="AM330" s="1297"/>
      <c r="AN330" s="1072" cm="1" t="str">
        <f t="array" ref="AN330:AN330">K330</f>
        <v>2065</v>
      </c>
      <c r="AO330" s="1072" t="s">
        <v>2773</v>
      </c>
      <c r="AP330" s="1082" cm="1" t="str">
        <f t="array" ref="AP330:AP330">AP329</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AQ330" s="709"/>
      <c r="AR330" s="709"/>
    </row>
    <row s="7234" customFormat="1" customHeight="1" ht="14.25" hidden="1">
      <c r="A331" s="1297"/>
      <c r="B331" s="447">
        <f>K331&lt;first_year+PERIOD_LENGTH</f>
        <v>0</v>
      </c>
      <c r="C331" s="1297"/>
      <c r="D331" s="1297"/>
      <c r="E331" s="709">
        <v>15</v>
      </c>
      <c r="F331" s="50" cm="1" t="str">
        <f t="array" ref="F331:F331">OFFSET(E331,-1,1)</f>
        <v>2</v>
      </c>
      <c r="G331" s="94" cm="1" t="str">
        <f t="array" ref="G331:G331">G330</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H331" s="1297"/>
      <c r="I331" s="1297"/>
      <c r="J331" s="1297"/>
      <c r="K331" s="154">
        <f>first_year+42</f>
        <v>2066</v>
      </c>
      <c r="L331" s="1297"/>
      <c r="M331" s="1297"/>
      <c r="N331" s="1297"/>
      <c r="O331" s="1297"/>
      <c r="P331" s="1297"/>
      <c r="Q331" s="1297"/>
      <c r="R331" s="1297"/>
      <c r="S331" s="1297"/>
      <c r="T331" s="468" cm="1" t="str">
        <f t="array" ref="T331:T331">T330</f>
        <v>true</v>
      </c>
      <c r="U331" s="1297"/>
      <c r="V331" s="1297"/>
      <c r="W331" s="1297"/>
      <c r="X331" s="1539"/>
      <c r="Y331" s="1539"/>
      <c r="Z331" s="1529"/>
      <c r="AA331" s="1630"/>
      <c r="AB331" s="251" t="str">
        <f>K331&amp;" год"</f>
        <v>2066 год</v>
      </c>
      <c r="AC331" s="409"/>
      <c r="AD331" s="6972"/>
      <c r="AE331" s="6971"/>
      <c r="AF331" s="6971"/>
      <c r="AG331" s="6972"/>
      <c r="AH331" s="6971"/>
      <c r="AI331" s="6972"/>
      <c r="AJ331" s="6971"/>
      <c r="AK331" s="6973"/>
      <c r="AL331" s="404"/>
      <c r="AM331" s="1297"/>
      <c r="AN331" s="1072" cm="1" t="str">
        <f t="array" ref="AN331:AN331">K331</f>
        <v>2066</v>
      </c>
      <c r="AO331" s="1072" t="s">
        <v>2773</v>
      </c>
      <c r="AP331" s="1082" cm="1" t="str">
        <f t="array" ref="AP331:AP331">AP330</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AQ331" s="709"/>
      <c r="AR331" s="709"/>
    </row>
    <row s="7235" customFormat="1" customHeight="1" ht="14.25" hidden="1">
      <c r="A332" s="1297"/>
      <c r="B332" s="447">
        <f>K332&lt;first_year+PERIOD_LENGTH</f>
        <v>0</v>
      </c>
      <c r="C332" s="1297"/>
      <c r="D332" s="1297"/>
      <c r="E332" s="709">
        <v>15</v>
      </c>
      <c r="F332" s="50" cm="1" t="str">
        <f t="array" ref="F332:F332">OFFSET(E332,-1,1)</f>
        <v>2</v>
      </c>
      <c r="G332" s="94" cm="1" t="str">
        <f t="array" ref="G332:G332">G331</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H332" s="1297"/>
      <c r="I332" s="1297"/>
      <c r="J332" s="1297"/>
      <c r="K332" s="154">
        <f>first_year+43</f>
        <v>2067</v>
      </c>
      <c r="L332" s="1297"/>
      <c r="M332" s="1297"/>
      <c r="N332" s="1297"/>
      <c r="O332" s="1297"/>
      <c r="P332" s="1297"/>
      <c r="Q332" s="1297"/>
      <c r="R332" s="1297"/>
      <c r="S332" s="1297"/>
      <c r="T332" s="468" cm="1" t="str">
        <f t="array" ref="T332:T332">T331</f>
        <v>true</v>
      </c>
      <c r="U332" s="1297"/>
      <c r="V332" s="1297"/>
      <c r="W332" s="1297"/>
      <c r="X332" s="1539"/>
      <c r="Y332" s="1539"/>
      <c r="Z332" s="1529"/>
      <c r="AA332" s="1630"/>
      <c r="AB332" s="251" t="str">
        <f>K332&amp;" год"</f>
        <v>2067 год</v>
      </c>
      <c r="AC332" s="409"/>
      <c r="AD332" s="6972"/>
      <c r="AE332" s="6971"/>
      <c r="AF332" s="6971"/>
      <c r="AG332" s="6972"/>
      <c r="AH332" s="6971"/>
      <c r="AI332" s="6972"/>
      <c r="AJ332" s="6971"/>
      <c r="AK332" s="6973"/>
      <c r="AL332" s="404"/>
      <c r="AM332" s="1297"/>
      <c r="AN332" s="1072" cm="1" t="str">
        <f t="array" ref="AN332:AN332">K332</f>
        <v>2067</v>
      </c>
      <c r="AO332" s="1072" t="s">
        <v>2773</v>
      </c>
      <c r="AP332" s="1082" cm="1" t="str">
        <f t="array" ref="AP332:AP332">AP331</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AQ332" s="709"/>
      <c r="AR332" s="709"/>
    </row>
    <row s="7236" customFormat="1" customHeight="1" ht="14.25" hidden="1">
      <c r="A333" s="1297"/>
      <c r="B333" s="447">
        <f>K333&lt;first_year+PERIOD_LENGTH</f>
        <v>0</v>
      </c>
      <c r="C333" s="1297"/>
      <c r="D333" s="1297"/>
      <c r="E333" s="709">
        <v>15</v>
      </c>
      <c r="F333" s="50" cm="1" t="str">
        <f t="array" ref="F333:F333">OFFSET(E333,-1,1)</f>
        <v>2</v>
      </c>
      <c r="G333" s="94" cm="1" t="str">
        <f t="array" ref="G333:G333">G332</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H333" s="1297"/>
      <c r="I333" s="1297"/>
      <c r="J333" s="1297"/>
      <c r="K333" s="154">
        <f>first_year+44</f>
        <v>2068</v>
      </c>
      <c r="L333" s="1297"/>
      <c r="M333" s="1297"/>
      <c r="N333" s="1297"/>
      <c r="O333" s="1297"/>
      <c r="P333" s="1297"/>
      <c r="Q333" s="1297"/>
      <c r="R333" s="1297"/>
      <c r="S333" s="1297"/>
      <c r="T333" s="468" cm="1" t="str">
        <f t="array" ref="T333:T333">T332</f>
        <v>true</v>
      </c>
      <c r="U333" s="1297"/>
      <c r="V333" s="1297"/>
      <c r="W333" s="1297"/>
      <c r="X333" s="1539"/>
      <c r="Y333" s="1539"/>
      <c r="Z333" s="1529"/>
      <c r="AA333" s="1630"/>
      <c r="AB333" s="251" t="str">
        <f>K333&amp;" год"</f>
        <v>2068 год</v>
      </c>
      <c r="AC333" s="409"/>
      <c r="AD333" s="6972"/>
      <c r="AE333" s="6971"/>
      <c r="AF333" s="6971"/>
      <c r="AG333" s="6972"/>
      <c r="AH333" s="6971"/>
      <c r="AI333" s="6972"/>
      <c r="AJ333" s="6971"/>
      <c r="AK333" s="6973"/>
      <c r="AL333" s="404"/>
      <c r="AM333" s="1297"/>
      <c r="AN333" s="1072" cm="1" t="str">
        <f t="array" ref="AN333:AN333">K333</f>
        <v>2068</v>
      </c>
      <c r="AO333" s="1072" t="s">
        <v>2773</v>
      </c>
      <c r="AP333" s="1082" cm="1" t="str">
        <f t="array" ref="AP333:AP333">AP332</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AQ333" s="709"/>
      <c r="AR333" s="709"/>
    </row>
    <row s="7237" customFormat="1" customHeight="1" ht="14.25" hidden="1">
      <c r="A334" s="1297"/>
      <c r="B334" s="447">
        <f>K334&lt;first_year+PERIOD_LENGTH</f>
        <v>0</v>
      </c>
      <c r="C334" s="1297"/>
      <c r="D334" s="1297"/>
      <c r="E334" s="709">
        <v>15</v>
      </c>
      <c r="F334" s="50" cm="1" t="str">
        <f t="array" ref="F334:F334">OFFSET(E334,-1,1)</f>
        <v>2</v>
      </c>
      <c r="G334" s="94" cm="1" t="str">
        <f t="array" ref="G334:G334">G333</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H334" s="1297"/>
      <c r="I334" s="1297"/>
      <c r="J334" s="1297"/>
      <c r="K334" s="154">
        <f>first_year+45</f>
        <v>2069</v>
      </c>
      <c r="L334" s="1297"/>
      <c r="M334" s="1297"/>
      <c r="N334" s="1297"/>
      <c r="O334" s="1297"/>
      <c r="P334" s="1297"/>
      <c r="Q334" s="1297"/>
      <c r="R334" s="1297"/>
      <c r="S334" s="1297"/>
      <c r="T334" s="468" cm="1" t="str">
        <f t="array" ref="T334:T334">T333</f>
        <v>true</v>
      </c>
      <c r="U334" s="1297"/>
      <c r="V334" s="1297"/>
      <c r="W334" s="1297"/>
      <c r="X334" s="1539"/>
      <c r="Y334" s="1539"/>
      <c r="Z334" s="1529"/>
      <c r="AA334" s="1630"/>
      <c r="AB334" s="251" t="str">
        <f>K334&amp;" год"</f>
        <v>2069 год</v>
      </c>
      <c r="AC334" s="409"/>
      <c r="AD334" s="6972"/>
      <c r="AE334" s="6971"/>
      <c r="AF334" s="6971"/>
      <c r="AG334" s="6972"/>
      <c r="AH334" s="6971"/>
      <c r="AI334" s="6972"/>
      <c r="AJ334" s="6971"/>
      <c r="AK334" s="6973"/>
      <c r="AL334" s="404"/>
      <c r="AM334" s="1297"/>
      <c r="AN334" s="1072" cm="1" t="str">
        <f t="array" ref="AN334:AN334">K334</f>
        <v>2069</v>
      </c>
      <c r="AO334" s="1072" t="s">
        <v>2773</v>
      </c>
      <c r="AP334" s="1082" cm="1" t="str">
        <f t="array" ref="AP334:AP334">AP333</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AQ334" s="709"/>
      <c r="AR334" s="709"/>
    </row>
    <row s="7238" customFormat="1" customHeight="1" ht="14.25" hidden="1">
      <c r="A335" s="1297"/>
      <c r="B335" s="447">
        <f>K335&lt;first_year+PERIOD_LENGTH</f>
        <v>0</v>
      </c>
      <c r="C335" s="1297"/>
      <c r="D335" s="1297"/>
      <c r="E335" s="709">
        <v>15</v>
      </c>
      <c r="F335" s="50" cm="1" t="str">
        <f t="array" ref="F335:F335">OFFSET(E335,-1,1)</f>
        <v>2</v>
      </c>
      <c r="G335" s="94" cm="1" t="str">
        <f t="array" ref="G335:G335">G334</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H335" s="1297"/>
      <c r="I335" s="1297"/>
      <c r="J335" s="1297"/>
      <c r="K335" s="154">
        <f>first_year+46</f>
        <v>2070</v>
      </c>
      <c r="L335" s="1297"/>
      <c r="M335" s="1297"/>
      <c r="N335" s="1297"/>
      <c r="O335" s="1297"/>
      <c r="P335" s="1297"/>
      <c r="Q335" s="1297"/>
      <c r="R335" s="1297"/>
      <c r="S335" s="1297"/>
      <c r="T335" s="468" cm="1" t="str">
        <f t="array" ref="T335:T335">T334</f>
        <v>true</v>
      </c>
      <c r="U335" s="1297"/>
      <c r="V335" s="1297"/>
      <c r="W335" s="1297"/>
      <c r="X335" s="1539"/>
      <c r="Y335" s="1539"/>
      <c r="Z335" s="1529"/>
      <c r="AA335" s="1630"/>
      <c r="AB335" s="251" t="str">
        <f>K335&amp;" год"</f>
        <v>2070 год</v>
      </c>
      <c r="AC335" s="409"/>
      <c r="AD335" s="6972"/>
      <c r="AE335" s="6971"/>
      <c r="AF335" s="6971"/>
      <c r="AG335" s="6972"/>
      <c r="AH335" s="6971"/>
      <c r="AI335" s="6972"/>
      <c r="AJ335" s="6971"/>
      <c r="AK335" s="6973"/>
      <c r="AL335" s="404"/>
      <c r="AM335" s="1297"/>
      <c r="AN335" s="1072" cm="1" t="str">
        <f t="array" ref="AN335:AN335">K335</f>
        <v>2070</v>
      </c>
      <c r="AO335" s="1072" t="s">
        <v>2773</v>
      </c>
      <c r="AP335" s="1082" cm="1" t="str">
        <f t="array" ref="AP335:AP335">AP334</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AQ335" s="709"/>
      <c r="AR335" s="709"/>
    </row>
    <row s="7239" customFormat="1" customHeight="1" ht="14.25" hidden="1">
      <c r="A336" s="1297"/>
      <c r="B336" s="447">
        <f>K336&lt;first_year+PERIOD_LENGTH</f>
        <v>0</v>
      </c>
      <c r="C336" s="1297"/>
      <c r="D336" s="1297"/>
      <c r="E336" s="709">
        <v>15</v>
      </c>
      <c r="F336" s="50" cm="1" t="str">
        <f t="array" ref="F336:F336">OFFSET(E336,-1,1)</f>
        <v>2</v>
      </c>
      <c r="G336" s="94" cm="1" t="str">
        <f t="array" ref="G336:G336">G335</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H336" s="1297"/>
      <c r="I336" s="1297"/>
      <c r="J336" s="1297"/>
      <c r="K336" s="154">
        <f>first_year+47</f>
        <v>2071</v>
      </c>
      <c r="L336" s="1297"/>
      <c r="M336" s="1297"/>
      <c r="N336" s="1297"/>
      <c r="O336" s="1297"/>
      <c r="P336" s="1297"/>
      <c r="Q336" s="1297"/>
      <c r="R336" s="1297"/>
      <c r="S336" s="1297"/>
      <c r="T336" s="468" cm="1" t="str">
        <f t="array" ref="T336:T336">T335</f>
        <v>true</v>
      </c>
      <c r="U336" s="1297"/>
      <c r="V336" s="1297"/>
      <c r="W336" s="1297"/>
      <c r="X336" s="1539"/>
      <c r="Y336" s="1539"/>
      <c r="Z336" s="1529"/>
      <c r="AA336" s="1630"/>
      <c r="AB336" s="251" t="str">
        <f>K336&amp;" год"</f>
        <v>2071 год</v>
      </c>
      <c r="AC336" s="409"/>
      <c r="AD336" s="6972"/>
      <c r="AE336" s="6971"/>
      <c r="AF336" s="6971"/>
      <c r="AG336" s="6972"/>
      <c r="AH336" s="6971"/>
      <c r="AI336" s="6972"/>
      <c r="AJ336" s="6971"/>
      <c r="AK336" s="6973"/>
      <c r="AL336" s="404"/>
      <c r="AM336" s="1297"/>
      <c r="AN336" s="1072" cm="1" t="str">
        <f t="array" ref="AN336:AN336">K336</f>
        <v>2071</v>
      </c>
      <c r="AO336" s="1072" t="s">
        <v>2773</v>
      </c>
      <c r="AP336" s="1082" cm="1" t="str">
        <f t="array" ref="AP336:AP336">AP335</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AQ336" s="709"/>
      <c r="AR336" s="709"/>
    </row>
    <row s="7240" customFormat="1" customHeight="1" ht="14.25" hidden="1">
      <c r="A337" s="1297"/>
      <c r="B337" s="447">
        <f>K337&lt;first_year+PERIOD_LENGTH</f>
        <v>0</v>
      </c>
      <c r="C337" s="1297"/>
      <c r="D337" s="1297"/>
      <c r="E337" s="709">
        <v>15</v>
      </c>
      <c r="F337" s="50" cm="1" t="str">
        <f t="array" ref="F337:F337">OFFSET(E337,-1,1)</f>
        <v>2</v>
      </c>
      <c r="G337" s="94" cm="1" t="str">
        <f t="array" ref="G337:G337">G336</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H337" s="1297"/>
      <c r="I337" s="1297"/>
      <c r="J337" s="1297"/>
      <c r="K337" s="154">
        <f>first_year+48</f>
        <v>2072</v>
      </c>
      <c r="L337" s="1297"/>
      <c r="M337" s="1297"/>
      <c r="N337" s="1297"/>
      <c r="O337" s="1297"/>
      <c r="P337" s="1297"/>
      <c r="Q337" s="1297"/>
      <c r="R337" s="1297"/>
      <c r="S337" s="1297"/>
      <c r="T337" s="468" cm="1" t="str">
        <f t="array" ref="T337:T337">T336</f>
        <v>true</v>
      </c>
      <c r="U337" s="1297"/>
      <c r="V337" s="1297"/>
      <c r="W337" s="1297"/>
      <c r="X337" s="1539"/>
      <c r="Y337" s="1539"/>
      <c r="Z337" s="1529"/>
      <c r="AA337" s="1630"/>
      <c r="AB337" s="251" t="str">
        <f>K337&amp;" год"</f>
        <v>2072 год</v>
      </c>
      <c r="AC337" s="409"/>
      <c r="AD337" s="6972"/>
      <c r="AE337" s="6971"/>
      <c r="AF337" s="6971"/>
      <c r="AG337" s="6972"/>
      <c r="AH337" s="6971"/>
      <c r="AI337" s="6972"/>
      <c r="AJ337" s="6971"/>
      <c r="AK337" s="6973"/>
      <c r="AL337" s="404"/>
      <c r="AM337" s="1297"/>
      <c r="AN337" s="1072" cm="1" t="str">
        <f t="array" ref="AN337:AN337">K337</f>
        <v>2072</v>
      </c>
      <c r="AO337" s="1072" t="s">
        <v>2773</v>
      </c>
      <c r="AP337" s="1082" cm="1" t="str">
        <f t="array" ref="AP337:AP337">AP336</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AQ337" s="709"/>
      <c r="AR337" s="709"/>
    </row>
    <row s="7241" customFormat="1" customHeight="1" ht="14.25" hidden="1">
      <c r="A338" s="1297"/>
      <c r="B338" s="447">
        <f>K338&lt;first_year+PERIOD_LENGTH</f>
        <v>0</v>
      </c>
      <c r="C338" s="1297"/>
      <c r="D338" s="1297"/>
      <c r="E338" s="709">
        <v>15</v>
      </c>
      <c r="F338" s="50" cm="1" t="str">
        <f t="array" ref="F338:F338">OFFSET(E338,-1,1)</f>
        <v>2</v>
      </c>
      <c r="G338" s="94" cm="1" t="str">
        <f t="array" ref="G338:G338">G337</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H338" s="1297"/>
      <c r="I338" s="1297"/>
      <c r="J338" s="1297"/>
      <c r="K338" s="154">
        <f>first_year+49</f>
        <v>2073</v>
      </c>
      <c r="L338" s="1297"/>
      <c r="M338" s="1297"/>
      <c r="N338" s="1297"/>
      <c r="O338" s="1297"/>
      <c r="P338" s="1297"/>
      <c r="Q338" s="1297"/>
      <c r="R338" s="1297"/>
      <c r="S338" s="1297"/>
      <c r="T338" s="468" cm="1" t="str">
        <f t="array" ref="T338:T338">T337</f>
        <v>true</v>
      </c>
      <c r="U338" s="1297"/>
      <c r="V338" s="1297"/>
      <c r="W338" s="1297"/>
      <c r="X338" s="1539"/>
      <c r="Y338" s="1539"/>
      <c r="Z338" s="1529"/>
      <c r="AA338" s="1630"/>
      <c r="AB338" s="251" t="str">
        <f>K338&amp;" год"</f>
        <v>2073 год</v>
      </c>
      <c r="AC338" s="409"/>
      <c r="AD338" s="6972"/>
      <c r="AE338" s="6971"/>
      <c r="AF338" s="6971"/>
      <c r="AG338" s="6972"/>
      <c r="AH338" s="6971"/>
      <c r="AI338" s="6972"/>
      <c r="AJ338" s="6971"/>
      <c r="AK338" s="6973"/>
      <c r="AL338" s="404"/>
      <c r="AM338" s="1297"/>
      <c r="AN338" s="1072" cm="1" t="str">
        <f t="array" ref="AN338:AN338">K338</f>
        <v>2073</v>
      </c>
      <c r="AO338" s="1072" t="s">
        <v>2773</v>
      </c>
      <c r="AP338" s="1082" cm="1" t="str">
        <f t="array" ref="AP338:AP338">AP337</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AQ338" s="709"/>
      <c r="AR338" s="709"/>
    </row>
    <row s="1656" customFormat="1" customHeight="1" ht="14.25">
      <c r="A339" s="154"/>
      <c r="B339" s="434"/>
      <c r="C339" s="154"/>
      <c r="D339" s="154"/>
      <c r="E339" s="709">
        <v>15</v>
      </c>
      <c r="F339" s="1194" cm="1" t="str">
        <f t="array" ref="F339:F339">OFFSET(E339,-1,1)</f>
        <v>2</v>
      </c>
      <c r="G339" s="154" t="str">
        <f>"!== 'не определено'"</f>
        <v>!== 'не определено'</v>
      </c>
      <c r="H339" s="154"/>
      <c r="I339" s="154"/>
      <c r="J339" s="154"/>
      <c r="K339" s="154"/>
      <c r="L339" s="154"/>
      <c r="M339" s="154"/>
      <c r="N339" s="154"/>
      <c r="O339" s="154"/>
      <c r="P339" s="154"/>
      <c r="Q339" s="154"/>
      <c r="R339" s="154"/>
      <c r="S339" s="154"/>
      <c r="T339" s="468">
        <f>F339&gt;0</f>
        <v>1</v>
      </c>
      <c r="U339" s="154"/>
      <c r="V339" s="154"/>
      <c r="W339" s="836" t="s">
        <v>2774</v>
      </c>
      <c r="X339" s="1539"/>
      <c r="Y339" s="154"/>
      <c r="Z339" s="1529"/>
      <c r="AA339" s="154"/>
      <c r="AB339" s="945" t="s">
        <v>177</v>
      </c>
      <c r="AC339" s="300"/>
      <c r="AD339" s="300"/>
      <c r="AE339" s="300"/>
      <c r="AF339" s="300"/>
      <c r="AG339" s="300"/>
      <c r="AH339" s="300"/>
      <c r="AI339" s="300"/>
      <c r="AJ339" s="300"/>
      <c r="AK339" s="300"/>
      <c r="AL339" s="404"/>
      <c r="AM339" s="1656"/>
      <c r="AN339" s="1012"/>
      <c r="AO339" s="1012"/>
      <c r="AP339" s="1012"/>
      <c r="AQ339" s="1015" t="s">
        <v>2773</v>
      </c>
      <c r="AR339" s="629"/>
    </row>
    <row s="541" customFormat="1" customHeight="1" ht="27.421875">
      <c r="A340" s="1331"/>
      <c r="B340" s="430"/>
      <c r="C340" s="1331"/>
      <c r="D340" s="1331"/>
      <c r="E340" s="623">
        <v>15</v>
      </c>
      <c r="F340" s="94" cm="1" t="str">
        <f t="array" ref="F340:F340">X340</f>
        <v>3</v>
      </c>
      <c r="G340" s="1331"/>
      <c r="H340" s="1331"/>
      <c r="I340" s="1331"/>
      <c r="J340" s="1331"/>
      <c r="K340" s="1331"/>
      <c r="L340" s="1331"/>
      <c r="M340" s="1331"/>
      <c r="N340" s="1331"/>
      <c r="O340" s="1331"/>
      <c r="P340" s="1331"/>
      <c r="Q340" s="1331"/>
      <c r="R340" s="1331"/>
      <c r="S340" s="1331"/>
      <c r="T340" s="468">
        <f>X340&gt;0</f>
        <v>1</v>
      </c>
      <c r="U340" s="1331"/>
      <c r="V340" s="118" cm="1" t="str">
        <f t="array" ref="V340:V340">ДПР!$AB$183</f>
        <v>Тариф 3 (Водоотведение) - тариф на водоотведение (Оказание услуг на территории: город Полысаево (ОКТМО: 32732000) - г Полысаево)</v>
      </c>
      <c r="W340" s="1331"/>
      <c r="X340" s="1539" t="s">
        <v>234</v>
      </c>
      <c r="Y340" s="1331"/>
      <c r="Z340" s="1529"/>
      <c r="AA340" s="1331"/>
      <c r="AB340" s="377" cm="1" t="str">
        <f t="array" ref="AB340:AB340">ДПР!$AB$183</f>
        <v>Тариф 3 (Водоотведение) - тариф на водоотведение (Оказание услуг на территории: город Полысаево (ОКТМО: 32732000) - г Полысаево)</v>
      </c>
      <c r="AC340" s="239"/>
      <c r="AD340" s="239"/>
      <c r="AE340" s="239"/>
      <c r="AF340" s="239"/>
      <c r="AG340" s="239"/>
      <c r="AH340" s="239"/>
      <c r="AI340" s="239"/>
      <c r="AJ340" s="239"/>
      <c r="AK340" s="239"/>
      <c r="AL340" s="403"/>
      <c r="AM340" s="1331"/>
      <c r="AN340" s="1005"/>
      <c r="AO340" s="1005"/>
      <c r="AP340" s="1005"/>
      <c r="AQ340" s="623"/>
      <c r="AR340" s="623"/>
    </row>
    <row s="541" customFormat="1" customHeight="1" ht="14.25" hidden="1">
      <c r="A341" s="1331"/>
      <c r="B341" s="430"/>
      <c r="C341" s="1331"/>
      <c r="D341" s="1331"/>
      <c r="E341" s="623">
        <v>15</v>
      </c>
      <c r="F341" s="50" cm="1" t="str">
        <f t="array" ref="F341:F341">OFFSET(E341,-1,1)</f>
        <v>3</v>
      </c>
      <c r="G341" s="118" cm="1" t="str">
        <f t="array" ref="G341:G341">AB341</f>
        <v>0</v>
      </c>
      <c r="H341" s="1331"/>
      <c r="I341" s="1331"/>
      <c r="J341" s="1331"/>
      <c r="K341" s="1331"/>
      <c r="L341" s="1331"/>
      <c r="M341" s="1331"/>
      <c r="N341" s="1331"/>
      <c r="O341" s="1331"/>
      <c r="P341" s="1331"/>
      <c r="Q341" s="1331"/>
      <c r="R341" s="1331"/>
      <c r="S341" s="1331"/>
      <c r="T341" s="468">
        <f>AND(F341&gt;0,Y341&gt;0)</f>
        <v>0</v>
      </c>
      <c r="U341" s="1331"/>
      <c r="V341" s="1331"/>
      <c r="W341" s="118" t="s">
        <v>173</v>
      </c>
      <c r="X341" s="1539"/>
      <c r="Y341" s="1539">
        <v>0</v>
      </c>
      <c r="Z341" s="1529"/>
      <c r="AA341" s="1630" t="s">
        <v>174</v>
      </c>
      <c r="AB341" s="6967"/>
      <c r="AC341" s="6967"/>
      <c r="AD341" s="6967"/>
      <c r="AE341" s="6967"/>
      <c r="AF341" s="6967"/>
      <c r="AG341" s="6967"/>
      <c r="AH341" s="6967"/>
      <c r="AI341" s="6967"/>
      <c r="AJ341" s="6967"/>
      <c r="AK341" s="6968"/>
      <c r="AL341" s="403"/>
      <c r="AM341" s="1331"/>
      <c r="AN341" s="1005"/>
      <c r="AO341" s="1072" t="s">
        <v>2773</v>
      </c>
      <c r="AP341" s="1087" cm="1" t="str">
        <f t="array" ref="AP341:AP341">AB341</f>
        <v>0</v>
      </c>
      <c r="AQ341" s="623"/>
      <c r="AR341" s="623" t="b">
        <v>1</v>
      </c>
    </row>
    <row s="7252" customFormat="1" customHeight="1" ht="14.25" hidden="1">
      <c r="A342" s="1297"/>
      <c r="B342" s="447">
        <f>K342&lt;first_year+PERIOD_LENGTH</f>
        <v>1</v>
      </c>
      <c r="C342" s="1297"/>
      <c r="D342" s="1297"/>
      <c r="E342" s="709">
        <v>15</v>
      </c>
      <c r="F342" s="50" cm="1" t="str">
        <f t="array" ref="F342:F342">OFFSET(E342,-1,1)</f>
        <v>3</v>
      </c>
      <c r="G342" s="94" cm="1" t="str">
        <f t="array" ref="G342:G342">G341</f>
        <v>0</v>
      </c>
      <c r="H342" s="1297"/>
      <c r="I342" s="1297"/>
      <c r="J342" s="1297"/>
      <c r="K342" s="154" cm="1" t="str">
        <f t="array" ref="K342:K342">first_year</f>
        <v>2024</v>
      </c>
      <c r="L342" s="1297"/>
      <c r="M342" s="1297"/>
      <c r="N342" s="1297"/>
      <c r="O342" s="1297"/>
      <c r="P342" s="1297"/>
      <c r="Q342" s="1297"/>
      <c r="R342" s="1297"/>
      <c r="S342" s="1297"/>
      <c r="T342" s="468" cm="1" t="str">
        <f t="array" ref="T342:T342">T341</f>
        <v>false</v>
      </c>
      <c r="U342" s="1297"/>
      <c r="V342" s="1297"/>
      <c r="W342" s="1297"/>
      <c r="X342" s="1539"/>
      <c r="Y342" s="1539"/>
      <c r="Z342" s="1529"/>
      <c r="AA342" s="1630"/>
      <c r="AB342" s="298" t="str">
        <f>K342&amp;" год"</f>
        <v>2024 год</v>
      </c>
      <c r="AC342" s="6971"/>
      <c r="AD342" s="6972"/>
      <c r="AE342" s="6971"/>
      <c r="AF342" s="6971"/>
      <c r="AG342" s="6972"/>
      <c r="AH342" s="6971"/>
      <c r="AI342" s="6972"/>
      <c r="AJ342" s="6971"/>
      <c r="AK342" s="6973"/>
      <c r="AL342" s="404"/>
      <c r="AM342" s="1297"/>
      <c r="AN342" s="1072" cm="1" t="str">
        <f t="array" ref="AN342:AN342">K342</f>
        <v>2024</v>
      </c>
      <c r="AO342" s="1072" t="s">
        <v>2773</v>
      </c>
      <c r="AP342" s="1082" cm="1" t="str">
        <f t="array" ref="AP342:AP342">AP341</f>
        <v>0</v>
      </c>
      <c r="AQ342" s="709"/>
      <c r="AR342" s="709"/>
    </row>
    <row s="7253" customFormat="1" customHeight="1" ht="14.25" hidden="1">
      <c r="A343" s="1297"/>
      <c r="B343" s="447">
        <f>K343&lt;first_year+PERIOD_LENGTH</f>
        <v>1</v>
      </c>
      <c r="C343" s="1297"/>
      <c r="D343" s="1297"/>
      <c r="E343" s="709">
        <v>15</v>
      </c>
      <c r="F343" s="50" cm="1" t="str">
        <f t="array" ref="F343:F343">OFFSET(E343,-1,1)</f>
        <v>3</v>
      </c>
      <c r="G343" s="94" cm="1" t="str">
        <f t="array" ref="G343:G343">G342</f>
        <v>0</v>
      </c>
      <c r="H343" s="1297"/>
      <c r="I343" s="1297"/>
      <c r="J343" s="1297"/>
      <c r="K343" s="154">
        <f>first_year+1</f>
        <v>2025</v>
      </c>
      <c r="L343" s="1297"/>
      <c r="M343" s="1297"/>
      <c r="N343" s="1297"/>
      <c r="O343" s="1297"/>
      <c r="P343" s="1297"/>
      <c r="Q343" s="1297"/>
      <c r="R343" s="1297"/>
      <c r="S343" s="1297"/>
      <c r="T343" s="468" cm="1" t="str">
        <f t="array" ref="T343:T343">T342</f>
        <v>false</v>
      </c>
      <c r="U343" s="1297"/>
      <c r="V343" s="1297"/>
      <c r="W343" s="1297"/>
      <c r="X343" s="1539"/>
      <c r="Y343" s="1539"/>
      <c r="Z343" s="1529"/>
      <c r="AA343" s="1630"/>
      <c r="AB343" s="251" t="str">
        <f>K343&amp;" год"</f>
        <v>2025 год</v>
      </c>
      <c r="AC343" s="409"/>
      <c r="AD343" s="6972"/>
      <c r="AE343" s="6971"/>
      <c r="AF343" s="6971"/>
      <c r="AG343" s="6972"/>
      <c r="AH343" s="6971"/>
      <c r="AI343" s="6972"/>
      <c r="AJ343" s="6971"/>
      <c r="AK343" s="6973"/>
      <c r="AL343" s="404"/>
      <c r="AM343" s="1297"/>
      <c r="AN343" s="1072" cm="1" t="str">
        <f t="array" ref="AN343:AN343">K343</f>
        <v>2025</v>
      </c>
      <c r="AO343" s="1072" t="s">
        <v>2773</v>
      </c>
      <c r="AP343" s="1082" cm="1" t="str">
        <f t="array" ref="AP343:AP343">AP342</f>
        <v>0</v>
      </c>
      <c r="AQ343" s="709"/>
      <c r="AR343" s="709"/>
    </row>
    <row s="7254" customFormat="1" customHeight="1" ht="14.25" hidden="1">
      <c r="A344" s="1297"/>
      <c r="B344" s="447">
        <f>K344&lt;first_year+PERIOD_LENGTH</f>
        <v>1</v>
      </c>
      <c r="C344" s="1297"/>
      <c r="D344" s="1297"/>
      <c r="E344" s="709">
        <v>15</v>
      </c>
      <c r="F344" s="50" cm="1" t="str">
        <f t="array" ref="F344:F344">OFFSET(E344,-1,1)</f>
        <v>3</v>
      </c>
      <c r="G344" s="94" cm="1" t="str">
        <f t="array" ref="G344:G344">G343</f>
        <v>0</v>
      </c>
      <c r="H344" s="1297"/>
      <c r="I344" s="1297"/>
      <c r="J344" s="1297"/>
      <c r="K344" s="154">
        <f>first_year+2</f>
        <v>2026</v>
      </c>
      <c r="L344" s="1297"/>
      <c r="M344" s="1297"/>
      <c r="N344" s="1297"/>
      <c r="O344" s="1297"/>
      <c r="P344" s="1297"/>
      <c r="Q344" s="1297"/>
      <c r="R344" s="1297"/>
      <c r="S344" s="1297"/>
      <c r="T344" s="468" cm="1" t="str">
        <f t="array" ref="T344:T344">T343</f>
        <v>false</v>
      </c>
      <c r="U344" s="1297"/>
      <c r="V344" s="1297"/>
      <c r="W344" s="1297"/>
      <c r="X344" s="1539"/>
      <c r="Y344" s="1539"/>
      <c r="Z344" s="1529"/>
      <c r="AA344" s="1630"/>
      <c r="AB344" s="251" t="str">
        <f>K344&amp;" год"</f>
        <v>2026 год</v>
      </c>
      <c r="AC344" s="409"/>
      <c r="AD344" s="6972"/>
      <c r="AE344" s="6971"/>
      <c r="AF344" s="6971"/>
      <c r="AG344" s="6972"/>
      <c r="AH344" s="6971"/>
      <c r="AI344" s="6972"/>
      <c r="AJ344" s="6971"/>
      <c r="AK344" s="6973"/>
      <c r="AL344" s="404"/>
      <c r="AM344" s="1297"/>
      <c r="AN344" s="1072" cm="1" t="str">
        <f t="array" ref="AN344:AN344">K344</f>
        <v>2026</v>
      </c>
      <c r="AO344" s="1072" t="s">
        <v>2773</v>
      </c>
      <c r="AP344" s="1082" cm="1" t="str">
        <f t="array" ref="AP344:AP344">AP343</f>
        <v>0</v>
      </c>
      <c r="AQ344" s="709"/>
      <c r="AR344" s="709"/>
    </row>
    <row s="7255" customFormat="1" customHeight="1" ht="14.25" hidden="1">
      <c r="A345" s="1297"/>
      <c r="B345" s="447">
        <f>K345&lt;first_year+PERIOD_LENGTH</f>
        <v>1</v>
      </c>
      <c r="C345" s="1297"/>
      <c r="D345" s="1297"/>
      <c r="E345" s="709">
        <v>15</v>
      </c>
      <c r="F345" s="50" cm="1" t="str">
        <f t="array" ref="F345:F345">OFFSET(E345,-1,1)</f>
        <v>3</v>
      </c>
      <c r="G345" s="94" cm="1" t="str">
        <f t="array" ref="G345:G345">G344</f>
        <v>0</v>
      </c>
      <c r="H345" s="1297"/>
      <c r="I345" s="1297"/>
      <c r="J345" s="1297"/>
      <c r="K345" s="154">
        <f>first_year+3</f>
        <v>2027</v>
      </c>
      <c r="L345" s="1297"/>
      <c r="M345" s="1297"/>
      <c r="N345" s="1297"/>
      <c r="O345" s="1297"/>
      <c r="P345" s="1297"/>
      <c r="Q345" s="1297"/>
      <c r="R345" s="1297"/>
      <c r="S345" s="1297"/>
      <c r="T345" s="468" cm="1" t="str">
        <f t="array" ref="T345:T345">T344</f>
        <v>false</v>
      </c>
      <c r="U345" s="1297"/>
      <c r="V345" s="1297"/>
      <c r="W345" s="1297"/>
      <c r="X345" s="1539"/>
      <c r="Y345" s="1539"/>
      <c r="Z345" s="1529"/>
      <c r="AA345" s="1630"/>
      <c r="AB345" s="251" t="str">
        <f>K345&amp;" год"</f>
        <v>2027 год</v>
      </c>
      <c r="AC345" s="409"/>
      <c r="AD345" s="6972"/>
      <c r="AE345" s="6971"/>
      <c r="AF345" s="6971"/>
      <c r="AG345" s="6972"/>
      <c r="AH345" s="6971"/>
      <c r="AI345" s="6972"/>
      <c r="AJ345" s="6971"/>
      <c r="AK345" s="6973"/>
      <c r="AL345" s="404"/>
      <c r="AM345" s="1297"/>
      <c r="AN345" s="1072" cm="1" t="str">
        <f t="array" ref="AN345:AN345">K345</f>
        <v>2027</v>
      </c>
      <c r="AO345" s="1072" t="s">
        <v>2773</v>
      </c>
      <c r="AP345" s="1082" cm="1" t="str">
        <f t="array" ref="AP345:AP345">AP344</f>
        <v>0</v>
      </c>
      <c r="AQ345" s="709"/>
      <c r="AR345" s="709"/>
    </row>
    <row s="7256" customFormat="1" customHeight="1" ht="14.25" hidden="1">
      <c r="A346" s="1297"/>
      <c r="B346" s="447">
        <f>K346&lt;first_year+PERIOD_LENGTH</f>
        <v>1</v>
      </c>
      <c r="C346" s="1297"/>
      <c r="D346" s="1297"/>
      <c r="E346" s="709">
        <v>15</v>
      </c>
      <c r="F346" s="50" cm="1" t="str">
        <f t="array" ref="F346:F346">OFFSET(E346,-1,1)</f>
        <v>3</v>
      </c>
      <c r="G346" s="94" cm="1" t="str">
        <f t="array" ref="G346:G346">G345</f>
        <v>0</v>
      </c>
      <c r="H346" s="1297"/>
      <c r="I346" s="1297"/>
      <c r="J346" s="1297"/>
      <c r="K346" s="154">
        <f>first_year+4</f>
        <v>2028</v>
      </c>
      <c r="L346" s="1297"/>
      <c r="M346" s="1297"/>
      <c r="N346" s="1297"/>
      <c r="O346" s="1297"/>
      <c r="P346" s="1297"/>
      <c r="Q346" s="1297"/>
      <c r="R346" s="1297"/>
      <c r="S346" s="1297"/>
      <c r="T346" s="468" cm="1" t="str">
        <f t="array" ref="T346:T346">T345</f>
        <v>false</v>
      </c>
      <c r="U346" s="1297"/>
      <c r="V346" s="1297"/>
      <c r="W346" s="1297"/>
      <c r="X346" s="1539"/>
      <c r="Y346" s="1539"/>
      <c r="Z346" s="1529"/>
      <c r="AA346" s="1630"/>
      <c r="AB346" s="251" t="str">
        <f>K346&amp;" год"</f>
        <v>2028 год</v>
      </c>
      <c r="AC346" s="409"/>
      <c r="AD346" s="6972"/>
      <c r="AE346" s="6971"/>
      <c r="AF346" s="6971"/>
      <c r="AG346" s="6972"/>
      <c r="AH346" s="6971"/>
      <c r="AI346" s="6972"/>
      <c r="AJ346" s="6971"/>
      <c r="AK346" s="6973"/>
      <c r="AL346" s="404"/>
      <c r="AM346" s="1297"/>
      <c r="AN346" s="1072" cm="1" t="str">
        <f t="array" ref="AN346:AN346">K346</f>
        <v>2028</v>
      </c>
      <c r="AO346" s="1072" t="s">
        <v>2773</v>
      </c>
      <c r="AP346" s="1082" cm="1" t="str">
        <f t="array" ref="AP346:AP346">AP345</f>
        <v>0</v>
      </c>
      <c r="AQ346" s="709"/>
      <c r="AR346" s="709"/>
    </row>
    <row s="7257" customFormat="1" customHeight="1" ht="14.25" hidden="1">
      <c r="A347" s="1297"/>
      <c r="B347" s="447">
        <f>K347&lt;first_year+PERIOD_LENGTH</f>
        <v>0</v>
      </c>
      <c r="C347" s="1297"/>
      <c r="D347" s="1297"/>
      <c r="E347" s="709">
        <v>15</v>
      </c>
      <c r="F347" s="50" cm="1" t="str">
        <f t="array" ref="F347:F347">OFFSET(E347,-1,1)</f>
        <v>3</v>
      </c>
      <c r="G347" s="94" cm="1" t="str">
        <f t="array" ref="G347:G347">G346</f>
        <v>0</v>
      </c>
      <c r="H347" s="1297"/>
      <c r="I347" s="1297"/>
      <c r="J347" s="1297"/>
      <c r="K347" s="154">
        <f>first_year+5</f>
        <v>2029</v>
      </c>
      <c r="L347" s="1297"/>
      <c r="M347" s="1297"/>
      <c r="N347" s="1297"/>
      <c r="O347" s="1297"/>
      <c r="P347" s="1297"/>
      <c r="Q347" s="1297"/>
      <c r="R347" s="1297"/>
      <c r="S347" s="1297"/>
      <c r="T347" s="468" cm="1" t="str">
        <f t="array" ref="T347:T347">T346</f>
        <v>false</v>
      </c>
      <c r="U347" s="1297"/>
      <c r="V347" s="1297"/>
      <c r="W347" s="1297"/>
      <c r="X347" s="1539"/>
      <c r="Y347" s="1539"/>
      <c r="Z347" s="1529"/>
      <c r="AA347" s="1630"/>
      <c r="AB347" s="251" t="str">
        <f>K347&amp;" год"</f>
        <v>2029 год</v>
      </c>
      <c r="AC347" s="409"/>
      <c r="AD347" s="6972"/>
      <c r="AE347" s="6971"/>
      <c r="AF347" s="6971"/>
      <c r="AG347" s="6972"/>
      <c r="AH347" s="6971"/>
      <c r="AI347" s="6972"/>
      <c r="AJ347" s="6971"/>
      <c r="AK347" s="6973"/>
      <c r="AL347" s="404"/>
      <c r="AM347" s="1297"/>
      <c r="AN347" s="1072" cm="1" t="str">
        <f t="array" ref="AN347:AN347">K347</f>
        <v>2029</v>
      </c>
      <c r="AO347" s="1072" t="s">
        <v>2773</v>
      </c>
      <c r="AP347" s="1082" cm="1" t="str">
        <f t="array" ref="AP347:AP347">AP346</f>
        <v>0</v>
      </c>
      <c r="AQ347" s="709"/>
      <c r="AR347" s="709"/>
    </row>
    <row s="7258" customFormat="1" customHeight="1" ht="14.25" hidden="1">
      <c r="A348" s="1297"/>
      <c r="B348" s="447">
        <f>K348&lt;first_year+PERIOD_LENGTH</f>
        <v>0</v>
      </c>
      <c r="C348" s="1297"/>
      <c r="D348" s="1297"/>
      <c r="E348" s="709">
        <v>15</v>
      </c>
      <c r="F348" s="50" cm="1" t="str">
        <f t="array" ref="F348:F348">OFFSET(E348,-1,1)</f>
        <v>3</v>
      </c>
      <c r="G348" s="94" cm="1" t="str">
        <f t="array" ref="G348:G348">G347</f>
        <v>0</v>
      </c>
      <c r="H348" s="1297"/>
      <c r="I348" s="1297"/>
      <c r="J348" s="1297"/>
      <c r="K348" s="154">
        <f>first_year+6</f>
        <v>2030</v>
      </c>
      <c r="L348" s="1297"/>
      <c r="M348" s="1297"/>
      <c r="N348" s="1297"/>
      <c r="O348" s="1297"/>
      <c r="P348" s="1297"/>
      <c r="Q348" s="1297"/>
      <c r="R348" s="1297"/>
      <c r="S348" s="1297"/>
      <c r="T348" s="468" cm="1" t="str">
        <f t="array" ref="T348:T348">T347</f>
        <v>false</v>
      </c>
      <c r="U348" s="1297"/>
      <c r="V348" s="1297"/>
      <c r="W348" s="1297"/>
      <c r="X348" s="1539"/>
      <c r="Y348" s="1539"/>
      <c r="Z348" s="1529"/>
      <c r="AA348" s="1630"/>
      <c r="AB348" s="251" t="str">
        <f>K348&amp;" год"</f>
        <v>2030 год</v>
      </c>
      <c r="AC348" s="409"/>
      <c r="AD348" s="6972"/>
      <c r="AE348" s="6971"/>
      <c r="AF348" s="6971"/>
      <c r="AG348" s="6972"/>
      <c r="AH348" s="6971"/>
      <c r="AI348" s="6972"/>
      <c r="AJ348" s="6971"/>
      <c r="AK348" s="6973"/>
      <c r="AL348" s="404"/>
      <c r="AM348" s="1297"/>
      <c r="AN348" s="1072" cm="1" t="str">
        <f t="array" ref="AN348:AN348">K348</f>
        <v>2030</v>
      </c>
      <c r="AO348" s="1072" t="s">
        <v>2773</v>
      </c>
      <c r="AP348" s="1082" cm="1" t="str">
        <f t="array" ref="AP348:AP348">AP347</f>
        <v>0</v>
      </c>
      <c r="AQ348" s="709"/>
      <c r="AR348" s="709"/>
    </row>
    <row s="7259" customFormat="1" customHeight="1" ht="14.25" hidden="1">
      <c r="A349" s="1297"/>
      <c r="B349" s="447">
        <f>K349&lt;first_year+PERIOD_LENGTH</f>
        <v>0</v>
      </c>
      <c r="C349" s="1297"/>
      <c r="D349" s="1297"/>
      <c r="E349" s="709">
        <v>15</v>
      </c>
      <c r="F349" s="50" cm="1" t="str">
        <f t="array" ref="F349:F349">OFFSET(E349,-1,1)</f>
        <v>3</v>
      </c>
      <c r="G349" s="94" cm="1" t="str">
        <f t="array" ref="G349:G349">G348</f>
        <v>0</v>
      </c>
      <c r="H349" s="1297"/>
      <c r="I349" s="1297"/>
      <c r="J349" s="1297"/>
      <c r="K349" s="154">
        <f>first_year+7</f>
        <v>2031</v>
      </c>
      <c r="L349" s="1297"/>
      <c r="M349" s="1297"/>
      <c r="N349" s="1297"/>
      <c r="O349" s="1297"/>
      <c r="P349" s="1297"/>
      <c r="Q349" s="1297"/>
      <c r="R349" s="1297"/>
      <c r="S349" s="1297"/>
      <c r="T349" s="468" cm="1" t="str">
        <f t="array" ref="T349:T349">T348</f>
        <v>false</v>
      </c>
      <c r="U349" s="1297"/>
      <c r="V349" s="1297"/>
      <c r="W349" s="1297"/>
      <c r="X349" s="1539"/>
      <c r="Y349" s="1539"/>
      <c r="Z349" s="1529"/>
      <c r="AA349" s="1630"/>
      <c r="AB349" s="251" t="str">
        <f>K349&amp;" год"</f>
        <v>2031 год</v>
      </c>
      <c r="AC349" s="409"/>
      <c r="AD349" s="6972"/>
      <c r="AE349" s="6971"/>
      <c r="AF349" s="6971"/>
      <c r="AG349" s="6972"/>
      <c r="AH349" s="6971"/>
      <c r="AI349" s="6972"/>
      <c r="AJ349" s="6971"/>
      <c r="AK349" s="6973"/>
      <c r="AL349" s="404"/>
      <c r="AM349" s="1297"/>
      <c r="AN349" s="1072" cm="1" t="str">
        <f t="array" ref="AN349:AN349">K349</f>
        <v>2031</v>
      </c>
      <c r="AO349" s="1072" t="s">
        <v>2773</v>
      </c>
      <c r="AP349" s="1082" cm="1" t="str">
        <f t="array" ref="AP349:AP349">AP348</f>
        <v>0</v>
      </c>
      <c r="AQ349" s="709"/>
      <c r="AR349" s="709"/>
    </row>
    <row s="7260" customFormat="1" customHeight="1" ht="14.25" hidden="1">
      <c r="A350" s="1297"/>
      <c r="B350" s="447">
        <f>K350&lt;first_year+PERIOD_LENGTH</f>
        <v>0</v>
      </c>
      <c r="C350" s="1297"/>
      <c r="D350" s="1297"/>
      <c r="E350" s="709">
        <v>15</v>
      </c>
      <c r="F350" s="50" cm="1" t="str">
        <f t="array" ref="F350:F350">OFFSET(E350,-1,1)</f>
        <v>3</v>
      </c>
      <c r="G350" s="94" cm="1" t="str">
        <f t="array" ref="G350:G350">G349</f>
        <v>0</v>
      </c>
      <c r="H350" s="1297"/>
      <c r="I350" s="1297"/>
      <c r="J350" s="1297"/>
      <c r="K350" s="154">
        <f>first_year+8</f>
        <v>2032</v>
      </c>
      <c r="L350" s="1297"/>
      <c r="M350" s="1297"/>
      <c r="N350" s="1297"/>
      <c r="O350" s="1297"/>
      <c r="P350" s="1297"/>
      <c r="Q350" s="1297"/>
      <c r="R350" s="1297"/>
      <c r="S350" s="1297"/>
      <c r="T350" s="468" cm="1" t="str">
        <f t="array" ref="T350:T350">T349</f>
        <v>false</v>
      </c>
      <c r="U350" s="1297"/>
      <c r="V350" s="1297"/>
      <c r="W350" s="1297"/>
      <c r="X350" s="1539"/>
      <c r="Y350" s="1539"/>
      <c r="Z350" s="1529"/>
      <c r="AA350" s="1630"/>
      <c r="AB350" s="251" t="str">
        <f>K350&amp;" год"</f>
        <v>2032 год</v>
      </c>
      <c r="AC350" s="409"/>
      <c r="AD350" s="6972"/>
      <c r="AE350" s="6971"/>
      <c r="AF350" s="6971"/>
      <c r="AG350" s="6972"/>
      <c r="AH350" s="6971"/>
      <c r="AI350" s="6972"/>
      <c r="AJ350" s="6971"/>
      <c r="AK350" s="6973"/>
      <c r="AL350" s="404"/>
      <c r="AM350" s="1297"/>
      <c r="AN350" s="1072" cm="1" t="str">
        <f t="array" ref="AN350:AN350">K350</f>
        <v>2032</v>
      </c>
      <c r="AO350" s="1072" t="s">
        <v>2773</v>
      </c>
      <c r="AP350" s="1082" cm="1" t="str">
        <f t="array" ref="AP350:AP350">AP349</f>
        <v>0</v>
      </c>
      <c r="AQ350" s="709"/>
      <c r="AR350" s="709"/>
    </row>
    <row s="7261" customFormat="1" customHeight="1" ht="14.25" hidden="1">
      <c r="A351" s="1297"/>
      <c r="B351" s="447">
        <f>K351&lt;first_year+PERIOD_LENGTH</f>
        <v>0</v>
      </c>
      <c r="C351" s="1297"/>
      <c r="D351" s="1297"/>
      <c r="E351" s="709">
        <v>15</v>
      </c>
      <c r="F351" s="50" cm="1" t="str">
        <f t="array" ref="F351:F351">OFFSET(E351,-1,1)</f>
        <v>3</v>
      </c>
      <c r="G351" s="94" cm="1" t="str">
        <f t="array" ref="G351:G351">G350</f>
        <v>0</v>
      </c>
      <c r="H351" s="1297"/>
      <c r="I351" s="1297"/>
      <c r="J351" s="1297"/>
      <c r="K351" s="154">
        <f>first_year+9</f>
        <v>2033</v>
      </c>
      <c r="L351" s="1297"/>
      <c r="M351" s="1297"/>
      <c r="N351" s="1297"/>
      <c r="O351" s="1297"/>
      <c r="P351" s="1297"/>
      <c r="Q351" s="1297"/>
      <c r="R351" s="1297"/>
      <c r="S351" s="1297"/>
      <c r="T351" s="468" cm="1" t="str">
        <f t="array" ref="T351:T351">T350</f>
        <v>false</v>
      </c>
      <c r="U351" s="1297"/>
      <c r="V351" s="1297"/>
      <c r="W351" s="1297"/>
      <c r="X351" s="1539"/>
      <c r="Y351" s="1539"/>
      <c r="Z351" s="1529"/>
      <c r="AA351" s="1630"/>
      <c r="AB351" s="251" t="str">
        <f>K351&amp;" год"</f>
        <v>2033 год</v>
      </c>
      <c r="AC351" s="409"/>
      <c r="AD351" s="6972"/>
      <c r="AE351" s="6971"/>
      <c r="AF351" s="6971"/>
      <c r="AG351" s="6972"/>
      <c r="AH351" s="6971"/>
      <c r="AI351" s="6972"/>
      <c r="AJ351" s="6971"/>
      <c r="AK351" s="6973"/>
      <c r="AL351" s="404"/>
      <c r="AM351" s="1297"/>
      <c r="AN351" s="1072" cm="1" t="str">
        <f t="array" ref="AN351:AN351">K351</f>
        <v>2033</v>
      </c>
      <c r="AO351" s="1072" t="s">
        <v>2773</v>
      </c>
      <c r="AP351" s="1082" cm="1" t="str">
        <f t="array" ref="AP351:AP351">AP350</f>
        <v>0</v>
      </c>
      <c r="AQ351" s="709"/>
      <c r="AR351" s="709"/>
    </row>
    <row s="7262" customFormat="1" customHeight="1" ht="14.25" hidden="1">
      <c r="A352" s="1297"/>
      <c r="B352" s="447">
        <f>K352&lt;first_year+PERIOD_LENGTH</f>
        <v>0</v>
      </c>
      <c r="C352" s="1297"/>
      <c r="D352" s="1297"/>
      <c r="E352" s="709">
        <v>15</v>
      </c>
      <c r="F352" s="50" cm="1" t="str">
        <f t="array" ref="F352:F352">OFFSET(E352,-1,1)</f>
        <v>3</v>
      </c>
      <c r="G352" s="94" cm="1" t="str">
        <f t="array" ref="G352:G352">G351</f>
        <v>0</v>
      </c>
      <c r="H352" s="1297"/>
      <c r="I352" s="1297"/>
      <c r="J352" s="1297"/>
      <c r="K352" s="154">
        <f>first_year+10</f>
        <v>2034</v>
      </c>
      <c r="L352" s="1297"/>
      <c r="M352" s="1297"/>
      <c r="N352" s="1297"/>
      <c r="O352" s="1297"/>
      <c r="P352" s="1297"/>
      <c r="Q352" s="1297"/>
      <c r="R352" s="1297"/>
      <c r="S352" s="1297"/>
      <c r="T352" s="468" cm="1" t="str">
        <f t="array" ref="T352:T352">T351</f>
        <v>false</v>
      </c>
      <c r="U352" s="1297"/>
      <c r="V352" s="1297"/>
      <c r="W352" s="1297"/>
      <c r="X352" s="1539"/>
      <c r="Y352" s="1539"/>
      <c r="Z352" s="1529"/>
      <c r="AA352" s="1630"/>
      <c r="AB352" s="251" t="str">
        <f>K352&amp;" год"</f>
        <v>2034 год</v>
      </c>
      <c r="AC352" s="409"/>
      <c r="AD352" s="6972"/>
      <c r="AE352" s="6971"/>
      <c r="AF352" s="6971"/>
      <c r="AG352" s="6972"/>
      <c r="AH352" s="6971"/>
      <c r="AI352" s="6972"/>
      <c r="AJ352" s="6971"/>
      <c r="AK352" s="6973"/>
      <c r="AL352" s="404"/>
      <c r="AM352" s="1297"/>
      <c r="AN352" s="1072" cm="1" t="str">
        <f t="array" ref="AN352:AN352">K352</f>
        <v>2034</v>
      </c>
      <c r="AO352" s="1072" t="s">
        <v>2773</v>
      </c>
      <c r="AP352" s="1082" cm="1" t="str">
        <f t="array" ref="AP352:AP352">AP351</f>
        <v>0</v>
      </c>
      <c r="AQ352" s="709"/>
      <c r="AR352" s="709"/>
    </row>
    <row s="7263" customFormat="1" customHeight="1" ht="14.25" hidden="1">
      <c r="A353" s="1297"/>
      <c r="B353" s="447">
        <f>K353&lt;first_year+PERIOD_LENGTH</f>
        <v>0</v>
      </c>
      <c r="C353" s="1297"/>
      <c r="D353" s="1297"/>
      <c r="E353" s="709">
        <v>15</v>
      </c>
      <c r="F353" s="50" cm="1" t="str">
        <f t="array" ref="F353:F353">OFFSET(E353,-1,1)</f>
        <v>3</v>
      </c>
      <c r="G353" s="94" cm="1" t="str">
        <f t="array" ref="G353:G353">G352</f>
        <v>0</v>
      </c>
      <c r="H353" s="1297"/>
      <c r="I353" s="1297"/>
      <c r="J353" s="1297"/>
      <c r="K353" s="154">
        <f>first_year+11</f>
        <v>2035</v>
      </c>
      <c r="L353" s="1297"/>
      <c r="M353" s="1297"/>
      <c r="N353" s="1297"/>
      <c r="O353" s="1297"/>
      <c r="P353" s="1297"/>
      <c r="Q353" s="1297"/>
      <c r="R353" s="1297"/>
      <c r="S353" s="1297"/>
      <c r="T353" s="468" cm="1" t="str">
        <f t="array" ref="T353:T353">T352</f>
        <v>false</v>
      </c>
      <c r="U353" s="1297"/>
      <c r="V353" s="1297"/>
      <c r="W353" s="1297"/>
      <c r="X353" s="1539"/>
      <c r="Y353" s="1539"/>
      <c r="Z353" s="1529"/>
      <c r="AA353" s="1630"/>
      <c r="AB353" s="251" t="str">
        <f>K353&amp;" год"</f>
        <v>2035 год</v>
      </c>
      <c r="AC353" s="409"/>
      <c r="AD353" s="6972"/>
      <c r="AE353" s="6971"/>
      <c r="AF353" s="6971"/>
      <c r="AG353" s="6972"/>
      <c r="AH353" s="6971"/>
      <c r="AI353" s="6972"/>
      <c r="AJ353" s="6971"/>
      <c r="AK353" s="6973"/>
      <c r="AL353" s="404"/>
      <c r="AM353" s="1297"/>
      <c r="AN353" s="1072" cm="1" t="str">
        <f t="array" ref="AN353:AN353">K353</f>
        <v>2035</v>
      </c>
      <c r="AO353" s="1072" t="s">
        <v>2773</v>
      </c>
      <c r="AP353" s="1082" cm="1" t="str">
        <f t="array" ref="AP353:AP353">AP352</f>
        <v>0</v>
      </c>
      <c r="AQ353" s="709"/>
      <c r="AR353" s="709"/>
    </row>
    <row s="7264" customFormat="1" customHeight="1" ht="14.25" hidden="1">
      <c r="A354" s="1297"/>
      <c r="B354" s="447">
        <f>K354&lt;first_year+PERIOD_LENGTH</f>
        <v>0</v>
      </c>
      <c r="C354" s="1297"/>
      <c r="D354" s="1297"/>
      <c r="E354" s="709">
        <v>15</v>
      </c>
      <c r="F354" s="50" cm="1" t="str">
        <f t="array" ref="F354:F354">OFFSET(E354,-1,1)</f>
        <v>3</v>
      </c>
      <c r="G354" s="94" cm="1" t="str">
        <f t="array" ref="G354:G354">G353</f>
        <v>0</v>
      </c>
      <c r="H354" s="1297"/>
      <c r="I354" s="1297"/>
      <c r="J354" s="1297"/>
      <c r="K354" s="154">
        <f>first_year+12</f>
        <v>2036</v>
      </c>
      <c r="L354" s="1297"/>
      <c r="M354" s="1297"/>
      <c r="N354" s="1297"/>
      <c r="O354" s="1297"/>
      <c r="P354" s="1297"/>
      <c r="Q354" s="1297"/>
      <c r="R354" s="1297"/>
      <c r="S354" s="1297"/>
      <c r="T354" s="468" cm="1" t="str">
        <f t="array" ref="T354:T354">T353</f>
        <v>false</v>
      </c>
      <c r="U354" s="1297"/>
      <c r="V354" s="1297"/>
      <c r="W354" s="1297"/>
      <c r="X354" s="1539"/>
      <c r="Y354" s="1539"/>
      <c r="Z354" s="1529"/>
      <c r="AA354" s="1630"/>
      <c r="AB354" s="251" t="str">
        <f>K354&amp;" год"</f>
        <v>2036 год</v>
      </c>
      <c r="AC354" s="409"/>
      <c r="AD354" s="6972"/>
      <c r="AE354" s="6971"/>
      <c r="AF354" s="6971"/>
      <c r="AG354" s="6972"/>
      <c r="AH354" s="6971"/>
      <c r="AI354" s="6972"/>
      <c r="AJ354" s="6971"/>
      <c r="AK354" s="6973"/>
      <c r="AL354" s="404"/>
      <c r="AM354" s="1297"/>
      <c r="AN354" s="1072" cm="1" t="str">
        <f t="array" ref="AN354:AN354">K354</f>
        <v>2036</v>
      </c>
      <c r="AO354" s="1072" t="s">
        <v>2773</v>
      </c>
      <c r="AP354" s="1082" cm="1" t="str">
        <f t="array" ref="AP354:AP354">AP353</f>
        <v>0</v>
      </c>
      <c r="AQ354" s="709"/>
      <c r="AR354" s="709"/>
    </row>
    <row s="7265" customFormat="1" customHeight="1" ht="14.25" hidden="1">
      <c r="A355" s="1297"/>
      <c r="B355" s="447">
        <f>K355&lt;first_year+PERIOD_LENGTH</f>
        <v>0</v>
      </c>
      <c r="C355" s="1297"/>
      <c r="D355" s="1297"/>
      <c r="E355" s="709">
        <v>15</v>
      </c>
      <c r="F355" s="50" cm="1" t="str">
        <f t="array" ref="F355:F355">OFFSET(E355,-1,1)</f>
        <v>3</v>
      </c>
      <c r="G355" s="94" cm="1" t="str">
        <f t="array" ref="G355:G355">G354</f>
        <v>0</v>
      </c>
      <c r="H355" s="1297"/>
      <c r="I355" s="1297"/>
      <c r="J355" s="1297"/>
      <c r="K355" s="154">
        <f>first_year+13</f>
        <v>2037</v>
      </c>
      <c r="L355" s="1297"/>
      <c r="M355" s="1297"/>
      <c r="N355" s="1297"/>
      <c r="O355" s="1297"/>
      <c r="P355" s="1297"/>
      <c r="Q355" s="1297"/>
      <c r="R355" s="1297"/>
      <c r="S355" s="1297"/>
      <c r="T355" s="468" cm="1" t="str">
        <f t="array" ref="T355:T355">T354</f>
        <v>false</v>
      </c>
      <c r="U355" s="1297"/>
      <c r="V355" s="1297"/>
      <c r="W355" s="1297"/>
      <c r="X355" s="1539"/>
      <c r="Y355" s="1539"/>
      <c r="Z355" s="1529"/>
      <c r="AA355" s="1630"/>
      <c r="AB355" s="251" t="str">
        <f>K355&amp;" год"</f>
        <v>2037 год</v>
      </c>
      <c r="AC355" s="409"/>
      <c r="AD355" s="6972"/>
      <c r="AE355" s="6971"/>
      <c r="AF355" s="6971"/>
      <c r="AG355" s="6972"/>
      <c r="AH355" s="6971"/>
      <c r="AI355" s="6972"/>
      <c r="AJ355" s="6971"/>
      <c r="AK355" s="6973"/>
      <c r="AL355" s="404"/>
      <c r="AM355" s="1297"/>
      <c r="AN355" s="1072" cm="1" t="str">
        <f t="array" ref="AN355:AN355">K355</f>
        <v>2037</v>
      </c>
      <c r="AO355" s="1072" t="s">
        <v>2773</v>
      </c>
      <c r="AP355" s="1082" cm="1" t="str">
        <f t="array" ref="AP355:AP355">AP354</f>
        <v>0</v>
      </c>
      <c r="AQ355" s="709"/>
      <c r="AR355" s="709"/>
    </row>
    <row s="7266" customFormat="1" customHeight="1" ht="14.25" hidden="1">
      <c r="A356" s="1297"/>
      <c r="B356" s="447">
        <f>K356&lt;first_year+PERIOD_LENGTH</f>
        <v>0</v>
      </c>
      <c r="C356" s="1297"/>
      <c r="D356" s="1297"/>
      <c r="E356" s="709">
        <v>15</v>
      </c>
      <c r="F356" s="50" cm="1" t="str">
        <f t="array" ref="F356:F356">OFFSET(E356,-1,1)</f>
        <v>3</v>
      </c>
      <c r="G356" s="94" cm="1" t="str">
        <f t="array" ref="G356:G356">G355</f>
        <v>0</v>
      </c>
      <c r="H356" s="1297"/>
      <c r="I356" s="1297"/>
      <c r="J356" s="1297"/>
      <c r="K356" s="154">
        <f>first_year+14</f>
        <v>2038</v>
      </c>
      <c r="L356" s="1297"/>
      <c r="M356" s="1297"/>
      <c r="N356" s="1297"/>
      <c r="O356" s="1297"/>
      <c r="P356" s="1297"/>
      <c r="Q356" s="1297"/>
      <c r="R356" s="1297"/>
      <c r="S356" s="1297"/>
      <c r="T356" s="468" cm="1" t="str">
        <f t="array" ref="T356:T356">T355</f>
        <v>false</v>
      </c>
      <c r="U356" s="1297"/>
      <c r="V356" s="1297"/>
      <c r="W356" s="1297"/>
      <c r="X356" s="1539"/>
      <c r="Y356" s="1539"/>
      <c r="Z356" s="1529"/>
      <c r="AA356" s="1630"/>
      <c r="AB356" s="251" t="str">
        <f>K356&amp;" год"</f>
        <v>2038 год</v>
      </c>
      <c r="AC356" s="409"/>
      <c r="AD356" s="6972"/>
      <c r="AE356" s="6971"/>
      <c r="AF356" s="6971"/>
      <c r="AG356" s="6972"/>
      <c r="AH356" s="6971"/>
      <c r="AI356" s="6972"/>
      <c r="AJ356" s="6971"/>
      <c r="AK356" s="6973"/>
      <c r="AL356" s="404"/>
      <c r="AM356" s="1297"/>
      <c r="AN356" s="1072" cm="1" t="str">
        <f t="array" ref="AN356:AN356">K356</f>
        <v>2038</v>
      </c>
      <c r="AO356" s="1072" t="s">
        <v>2773</v>
      </c>
      <c r="AP356" s="1082" cm="1" t="str">
        <f t="array" ref="AP356:AP356">AP355</f>
        <v>0</v>
      </c>
      <c r="AQ356" s="709"/>
      <c r="AR356" s="709"/>
    </row>
    <row s="7267" customFormat="1" customHeight="1" ht="14.25" hidden="1">
      <c r="A357" s="1297"/>
      <c r="B357" s="447">
        <f>K357&lt;first_year+PERIOD_LENGTH</f>
        <v>0</v>
      </c>
      <c r="C357" s="1297"/>
      <c r="D357" s="1297"/>
      <c r="E357" s="709">
        <v>15</v>
      </c>
      <c r="F357" s="50" cm="1" t="str">
        <f t="array" ref="F357:F357">OFFSET(E357,-1,1)</f>
        <v>3</v>
      </c>
      <c r="G357" s="94" cm="1" t="str">
        <f t="array" ref="G357:G357">G356</f>
        <v>0</v>
      </c>
      <c r="H357" s="1297"/>
      <c r="I357" s="1297"/>
      <c r="J357" s="1297"/>
      <c r="K357" s="154">
        <f>first_year+15</f>
        <v>2039</v>
      </c>
      <c r="L357" s="1297"/>
      <c r="M357" s="1297"/>
      <c r="N357" s="1297"/>
      <c r="O357" s="1297"/>
      <c r="P357" s="1297"/>
      <c r="Q357" s="1297"/>
      <c r="R357" s="1297"/>
      <c r="S357" s="1297"/>
      <c r="T357" s="468" cm="1" t="str">
        <f t="array" ref="T357:T357">T356</f>
        <v>false</v>
      </c>
      <c r="U357" s="1297"/>
      <c r="V357" s="1297"/>
      <c r="W357" s="1297"/>
      <c r="X357" s="1539"/>
      <c r="Y357" s="1539"/>
      <c r="Z357" s="1529"/>
      <c r="AA357" s="1630"/>
      <c r="AB357" s="251" t="str">
        <f>K357&amp;" год"</f>
        <v>2039 год</v>
      </c>
      <c r="AC357" s="409"/>
      <c r="AD357" s="6972"/>
      <c r="AE357" s="6971"/>
      <c r="AF357" s="6971"/>
      <c r="AG357" s="6972"/>
      <c r="AH357" s="6971"/>
      <c r="AI357" s="6972"/>
      <c r="AJ357" s="6971"/>
      <c r="AK357" s="6973"/>
      <c r="AL357" s="404"/>
      <c r="AM357" s="1297"/>
      <c r="AN357" s="1072" cm="1" t="str">
        <f t="array" ref="AN357:AN357">K357</f>
        <v>2039</v>
      </c>
      <c r="AO357" s="1072" t="s">
        <v>2773</v>
      </c>
      <c r="AP357" s="1082" cm="1" t="str">
        <f t="array" ref="AP357:AP357">AP356</f>
        <v>0</v>
      </c>
      <c r="AQ357" s="709"/>
      <c r="AR357" s="709"/>
    </row>
    <row s="7268" customFormat="1" customHeight="1" ht="14.25" hidden="1">
      <c r="A358" s="1297"/>
      <c r="B358" s="447">
        <f>K358&lt;first_year+PERIOD_LENGTH</f>
        <v>0</v>
      </c>
      <c r="C358" s="1297"/>
      <c r="D358" s="1297"/>
      <c r="E358" s="709">
        <v>15</v>
      </c>
      <c r="F358" s="50" cm="1" t="str">
        <f t="array" ref="F358:F358">OFFSET(E358,-1,1)</f>
        <v>3</v>
      </c>
      <c r="G358" s="94" cm="1" t="str">
        <f t="array" ref="G358:G358">G357</f>
        <v>0</v>
      </c>
      <c r="H358" s="1297"/>
      <c r="I358" s="1297"/>
      <c r="J358" s="1297"/>
      <c r="K358" s="154">
        <f>first_year+16</f>
        <v>2040</v>
      </c>
      <c r="L358" s="1297"/>
      <c r="M358" s="1297"/>
      <c r="N358" s="1297"/>
      <c r="O358" s="1297"/>
      <c r="P358" s="1297"/>
      <c r="Q358" s="1297"/>
      <c r="R358" s="1297"/>
      <c r="S358" s="1297"/>
      <c r="T358" s="468" cm="1" t="str">
        <f t="array" ref="T358:T358">T357</f>
        <v>false</v>
      </c>
      <c r="U358" s="1297"/>
      <c r="V358" s="1297"/>
      <c r="W358" s="1297"/>
      <c r="X358" s="1539"/>
      <c r="Y358" s="1539"/>
      <c r="Z358" s="1529"/>
      <c r="AA358" s="1630"/>
      <c r="AB358" s="251" t="str">
        <f>K358&amp;" год"</f>
        <v>2040 год</v>
      </c>
      <c r="AC358" s="409"/>
      <c r="AD358" s="6972"/>
      <c r="AE358" s="6971"/>
      <c r="AF358" s="6971"/>
      <c r="AG358" s="6972"/>
      <c r="AH358" s="6971"/>
      <c r="AI358" s="6972"/>
      <c r="AJ358" s="6971"/>
      <c r="AK358" s="6973"/>
      <c r="AL358" s="404"/>
      <c r="AM358" s="1297"/>
      <c r="AN358" s="1072" cm="1" t="str">
        <f t="array" ref="AN358:AN358">K358</f>
        <v>2040</v>
      </c>
      <c r="AO358" s="1072" t="s">
        <v>2773</v>
      </c>
      <c r="AP358" s="1082" cm="1" t="str">
        <f t="array" ref="AP358:AP358">AP357</f>
        <v>0</v>
      </c>
      <c r="AQ358" s="709"/>
      <c r="AR358" s="709"/>
    </row>
    <row s="7269" customFormat="1" customHeight="1" ht="14.25" hidden="1">
      <c r="A359" s="1297"/>
      <c r="B359" s="447">
        <f>K359&lt;first_year+PERIOD_LENGTH</f>
        <v>0</v>
      </c>
      <c r="C359" s="1297"/>
      <c r="D359" s="1297"/>
      <c r="E359" s="709">
        <v>15</v>
      </c>
      <c r="F359" s="50" cm="1" t="str">
        <f t="array" ref="F359:F359">OFFSET(E359,-1,1)</f>
        <v>3</v>
      </c>
      <c r="G359" s="94" cm="1" t="str">
        <f t="array" ref="G359:G359">G358</f>
        <v>0</v>
      </c>
      <c r="H359" s="1297"/>
      <c r="I359" s="1297"/>
      <c r="J359" s="1297"/>
      <c r="K359" s="154">
        <f>first_year+17</f>
        <v>2041</v>
      </c>
      <c r="L359" s="1297"/>
      <c r="M359" s="1297"/>
      <c r="N359" s="1297"/>
      <c r="O359" s="1297"/>
      <c r="P359" s="1297"/>
      <c r="Q359" s="1297"/>
      <c r="R359" s="1297"/>
      <c r="S359" s="1297"/>
      <c r="T359" s="468" cm="1" t="str">
        <f t="array" ref="T359:T359">T358</f>
        <v>false</v>
      </c>
      <c r="U359" s="1297"/>
      <c r="V359" s="1297"/>
      <c r="W359" s="1297"/>
      <c r="X359" s="1539"/>
      <c r="Y359" s="1539"/>
      <c r="Z359" s="1529"/>
      <c r="AA359" s="1630"/>
      <c r="AB359" s="251" t="str">
        <f>K359&amp;" год"</f>
        <v>2041 год</v>
      </c>
      <c r="AC359" s="409"/>
      <c r="AD359" s="6972"/>
      <c r="AE359" s="6971"/>
      <c r="AF359" s="6971"/>
      <c r="AG359" s="6972"/>
      <c r="AH359" s="6971"/>
      <c r="AI359" s="6972"/>
      <c r="AJ359" s="6971"/>
      <c r="AK359" s="6973"/>
      <c r="AL359" s="404"/>
      <c r="AM359" s="1297"/>
      <c r="AN359" s="1072" cm="1" t="str">
        <f t="array" ref="AN359:AN359">K359</f>
        <v>2041</v>
      </c>
      <c r="AO359" s="1072" t="s">
        <v>2773</v>
      </c>
      <c r="AP359" s="1082" cm="1" t="str">
        <f t="array" ref="AP359:AP359">AP358</f>
        <v>0</v>
      </c>
      <c r="AQ359" s="709"/>
      <c r="AR359" s="709"/>
    </row>
    <row s="7270" customFormat="1" customHeight="1" ht="14.25" hidden="1">
      <c r="A360" s="1297"/>
      <c r="B360" s="447">
        <f>K360&lt;first_year+PERIOD_LENGTH</f>
        <v>0</v>
      </c>
      <c r="C360" s="1297"/>
      <c r="D360" s="1297"/>
      <c r="E360" s="709">
        <v>15</v>
      </c>
      <c r="F360" s="50" cm="1" t="str">
        <f t="array" ref="F360:F360">OFFSET(E360,-1,1)</f>
        <v>3</v>
      </c>
      <c r="G360" s="94" cm="1" t="str">
        <f t="array" ref="G360:G360">G359</f>
        <v>0</v>
      </c>
      <c r="H360" s="1297"/>
      <c r="I360" s="1297"/>
      <c r="J360" s="1297"/>
      <c r="K360" s="154">
        <f>first_year+18</f>
        <v>2042</v>
      </c>
      <c r="L360" s="1297"/>
      <c r="M360" s="1297"/>
      <c r="N360" s="1297"/>
      <c r="O360" s="1297"/>
      <c r="P360" s="1297"/>
      <c r="Q360" s="1297"/>
      <c r="R360" s="1297"/>
      <c r="S360" s="1297"/>
      <c r="T360" s="468" cm="1" t="str">
        <f t="array" ref="T360:T360">T359</f>
        <v>false</v>
      </c>
      <c r="U360" s="1297"/>
      <c r="V360" s="1297"/>
      <c r="W360" s="1297"/>
      <c r="X360" s="1539"/>
      <c r="Y360" s="1539"/>
      <c r="Z360" s="1529"/>
      <c r="AA360" s="1630"/>
      <c r="AB360" s="251" t="str">
        <f>K360&amp;" год"</f>
        <v>2042 год</v>
      </c>
      <c r="AC360" s="409"/>
      <c r="AD360" s="6972"/>
      <c r="AE360" s="6971"/>
      <c r="AF360" s="6971"/>
      <c r="AG360" s="6972"/>
      <c r="AH360" s="6971"/>
      <c r="AI360" s="6972"/>
      <c r="AJ360" s="6971"/>
      <c r="AK360" s="6973"/>
      <c r="AL360" s="404"/>
      <c r="AM360" s="1297"/>
      <c r="AN360" s="1072" cm="1" t="str">
        <f t="array" ref="AN360:AN360">K360</f>
        <v>2042</v>
      </c>
      <c r="AO360" s="1072" t="s">
        <v>2773</v>
      </c>
      <c r="AP360" s="1082" cm="1" t="str">
        <f t="array" ref="AP360:AP360">AP359</f>
        <v>0</v>
      </c>
      <c r="AQ360" s="709"/>
      <c r="AR360" s="709"/>
    </row>
    <row s="7271" customFormat="1" customHeight="1" ht="14.25" hidden="1">
      <c r="A361" s="1297"/>
      <c r="B361" s="447">
        <f>K361&lt;first_year+PERIOD_LENGTH</f>
        <v>0</v>
      </c>
      <c r="C361" s="1297"/>
      <c r="D361" s="1297"/>
      <c r="E361" s="709">
        <v>15</v>
      </c>
      <c r="F361" s="50" cm="1" t="str">
        <f t="array" ref="F361:F361">OFFSET(E361,-1,1)</f>
        <v>3</v>
      </c>
      <c r="G361" s="94" cm="1" t="str">
        <f t="array" ref="G361:G361">G360</f>
        <v>0</v>
      </c>
      <c r="H361" s="1297"/>
      <c r="I361" s="1297"/>
      <c r="J361" s="1297"/>
      <c r="K361" s="154">
        <f>first_year+19</f>
        <v>2043</v>
      </c>
      <c r="L361" s="1297"/>
      <c r="M361" s="1297"/>
      <c r="N361" s="1297"/>
      <c r="O361" s="1297"/>
      <c r="P361" s="1297"/>
      <c r="Q361" s="1297"/>
      <c r="R361" s="1297"/>
      <c r="S361" s="1297"/>
      <c r="T361" s="468" cm="1" t="str">
        <f t="array" ref="T361:T361">T360</f>
        <v>false</v>
      </c>
      <c r="U361" s="1297"/>
      <c r="V361" s="1297"/>
      <c r="W361" s="1297"/>
      <c r="X361" s="1539"/>
      <c r="Y361" s="1539"/>
      <c r="Z361" s="1529"/>
      <c r="AA361" s="1630"/>
      <c r="AB361" s="251" t="str">
        <f>K361&amp;" год"</f>
        <v>2043 год</v>
      </c>
      <c r="AC361" s="409"/>
      <c r="AD361" s="6972"/>
      <c r="AE361" s="6971"/>
      <c r="AF361" s="6971"/>
      <c r="AG361" s="6972"/>
      <c r="AH361" s="6971"/>
      <c r="AI361" s="6972"/>
      <c r="AJ361" s="6971"/>
      <c r="AK361" s="6973"/>
      <c r="AL361" s="404"/>
      <c r="AM361" s="1297"/>
      <c r="AN361" s="1072" cm="1" t="str">
        <f t="array" ref="AN361:AN361">K361</f>
        <v>2043</v>
      </c>
      <c r="AO361" s="1072" t="s">
        <v>2773</v>
      </c>
      <c r="AP361" s="1082" cm="1" t="str">
        <f t="array" ref="AP361:AP361">AP360</f>
        <v>0</v>
      </c>
      <c r="AQ361" s="709"/>
      <c r="AR361" s="709"/>
    </row>
    <row s="7272" customFormat="1" customHeight="1" ht="14.25" hidden="1">
      <c r="A362" s="1297"/>
      <c r="B362" s="447">
        <f>K362&lt;first_year+PERIOD_LENGTH</f>
        <v>0</v>
      </c>
      <c r="C362" s="1297"/>
      <c r="D362" s="1297"/>
      <c r="E362" s="709">
        <v>15</v>
      </c>
      <c r="F362" s="50" cm="1" t="str">
        <f t="array" ref="F362:F362">OFFSET(E362,-1,1)</f>
        <v>3</v>
      </c>
      <c r="G362" s="94" cm="1" t="str">
        <f t="array" ref="G362:G362">G361</f>
        <v>0</v>
      </c>
      <c r="H362" s="1297"/>
      <c r="I362" s="1297"/>
      <c r="J362" s="1297"/>
      <c r="K362" s="154">
        <f>first_year+20</f>
        <v>2044</v>
      </c>
      <c r="L362" s="1297"/>
      <c r="M362" s="1297"/>
      <c r="N362" s="1297"/>
      <c r="O362" s="1297"/>
      <c r="P362" s="1297"/>
      <c r="Q362" s="1297"/>
      <c r="R362" s="1297"/>
      <c r="S362" s="1297"/>
      <c r="T362" s="468" cm="1" t="str">
        <f t="array" ref="T362:T362">T361</f>
        <v>false</v>
      </c>
      <c r="U362" s="1297"/>
      <c r="V362" s="1297"/>
      <c r="W362" s="1297"/>
      <c r="X362" s="1539"/>
      <c r="Y362" s="1539"/>
      <c r="Z362" s="1529"/>
      <c r="AA362" s="1630"/>
      <c r="AB362" s="251" t="str">
        <f>K362&amp;" год"</f>
        <v>2044 год</v>
      </c>
      <c r="AC362" s="409"/>
      <c r="AD362" s="6972"/>
      <c r="AE362" s="6971"/>
      <c r="AF362" s="6971"/>
      <c r="AG362" s="6972"/>
      <c r="AH362" s="6971"/>
      <c r="AI362" s="6972"/>
      <c r="AJ362" s="6971"/>
      <c r="AK362" s="6973"/>
      <c r="AL362" s="404"/>
      <c r="AM362" s="1297"/>
      <c r="AN362" s="1072" cm="1" t="str">
        <f t="array" ref="AN362:AN362">K362</f>
        <v>2044</v>
      </c>
      <c r="AO362" s="1072" t="s">
        <v>2773</v>
      </c>
      <c r="AP362" s="1082" cm="1" t="str">
        <f t="array" ref="AP362:AP362">AP361</f>
        <v>0</v>
      </c>
      <c r="AQ362" s="709"/>
      <c r="AR362" s="709"/>
    </row>
    <row s="7273" customFormat="1" customHeight="1" ht="14.25" hidden="1">
      <c r="A363" s="1297"/>
      <c r="B363" s="447">
        <f>K363&lt;first_year+PERIOD_LENGTH</f>
        <v>0</v>
      </c>
      <c r="C363" s="1297"/>
      <c r="D363" s="1297"/>
      <c r="E363" s="709">
        <v>15</v>
      </c>
      <c r="F363" s="50" cm="1" t="str">
        <f t="array" ref="F363:F363">OFFSET(E363,-1,1)</f>
        <v>3</v>
      </c>
      <c r="G363" s="94" cm="1" t="str">
        <f t="array" ref="G363:G363">G362</f>
        <v>0</v>
      </c>
      <c r="H363" s="1297"/>
      <c r="I363" s="1297"/>
      <c r="J363" s="1297"/>
      <c r="K363" s="154">
        <f>first_year+21</f>
        <v>2045</v>
      </c>
      <c r="L363" s="1297"/>
      <c r="M363" s="1297"/>
      <c r="N363" s="1297"/>
      <c r="O363" s="1297"/>
      <c r="P363" s="1297"/>
      <c r="Q363" s="1297"/>
      <c r="R363" s="1297"/>
      <c r="S363" s="1297"/>
      <c r="T363" s="468" cm="1" t="str">
        <f t="array" ref="T363:T363">T362</f>
        <v>false</v>
      </c>
      <c r="U363" s="1297"/>
      <c r="V363" s="1297"/>
      <c r="W363" s="1297"/>
      <c r="X363" s="1539"/>
      <c r="Y363" s="1539"/>
      <c r="Z363" s="1529"/>
      <c r="AA363" s="1630"/>
      <c r="AB363" s="251" t="str">
        <f>K363&amp;" год"</f>
        <v>2045 год</v>
      </c>
      <c r="AC363" s="409"/>
      <c r="AD363" s="6972"/>
      <c r="AE363" s="6971"/>
      <c r="AF363" s="6971"/>
      <c r="AG363" s="6972"/>
      <c r="AH363" s="6971"/>
      <c r="AI363" s="6972"/>
      <c r="AJ363" s="6971"/>
      <c r="AK363" s="6973"/>
      <c r="AL363" s="404"/>
      <c r="AM363" s="1297"/>
      <c r="AN363" s="1072" cm="1" t="str">
        <f t="array" ref="AN363:AN363">K363</f>
        <v>2045</v>
      </c>
      <c r="AO363" s="1072" t="s">
        <v>2773</v>
      </c>
      <c r="AP363" s="1082" cm="1" t="str">
        <f t="array" ref="AP363:AP363">AP362</f>
        <v>0</v>
      </c>
      <c r="AQ363" s="709"/>
      <c r="AR363" s="709"/>
    </row>
    <row s="7274" customFormat="1" customHeight="1" ht="14.25" hidden="1">
      <c r="A364" s="1297"/>
      <c r="B364" s="447">
        <f>K364&lt;first_year+PERIOD_LENGTH</f>
        <v>0</v>
      </c>
      <c r="C364" s="1297"/>
      <c r="D364" s="1297"/>
      <c r="E364" s="709">
        <v>15</v>
      </c>
      <c r="F364" s="50" cm="1" t="str">
        <f t="array" ref="F364:F364">OFFSET(E364,-1,1)</f>
        <v>3</v>
      </c>
      <c r="G364" s="94" cm="1" t="str">
        <f t="array" ref="G364:G364">G363</f>
        <v>0</v>
      </c>
      <c r="H364" s="1297"/>
      <c r="I364" s="1297"/>
      <c r="J364" s="1297"/>
      <c r="K364" s="154">
        <f>first_year+22</f>
        <v>2046</v>
      </c>
      <c r="L364" s="1297"/>
      <c r="M364" s="1297"/>
      <c r="N364" s="1297"/>
      <c r="O364" s="1297"/>
      <c r="P364" s="1297"/>
      <c r="Q364" s="1297"/>
      <c r="R364" s="1297"/>
      <c r="S364" s="1297"/>
      <c r="T364" s="468" cm="1" t="str">
        <f t="array" ref="T364:T364">T363</f>
        <v>false</v>
      </c>
      <c r="U364" s="1297"/>
      <c r="V364" s="1297"/>
      <c r="W364" s="1297"/>
      <c r="X364" s="1539"/>
      <c r="Y364" s="1539"/>
      <c r="Z364" s="1529"/>
      <c r="AA364" s="1630"/>
      <c r="AB364" s="251" t="str">
        <f>K364&amp;" год"</f>
        <v>2046 год</v>
      </c>
      <c r="AC364" s="409"/>
      <c r="AD364" s="6972"/>
      <c r="AE364" s="6971"/>
      <c r="AF364" s="6971"/>
      <c r="AG364" s="6972"/>
      <c r="AH364" s="6971"/>
      <c r="AI364" s="6972"/>
      <c r="AJ364" s="6971"/>
      <c r="AK364" s="6973"/>
      <c r="AL364" s="404"/>
      <c r="AM364" s="1297"/>
      <c r="AN364" s="1072" cm="1" t="str">
        <f t="array" ref="AN364:AN364">K364</f>
        <v>2046</v>
      </c>
      <c r="AO364" s="1072" t="s">
        <v>2773</v>
      </c>
      <c r="AP364" s="1082" cm="1" t="str">
        <f t="array" ref="AP364:AP364">AP363</f>
        <v>0</v>
      </c>
      <c r="AQ364" s="709"/>
      <c r="AR364" s="709"/>
    </row>
    <row s="7275" customFormat="1" customHeight="1" ht="14.25" hidden="1">
      <c r="A365" s="1297"/>
      <c r="B365" s="447">
        <f>K365&lt;first_year+PERIOD_LENGTH</f>
        <v>0</v>
      </c>
      <c r="C365" s="1297"/>
      <c r="D365" s="1297"/>
      <c r="E365" s="709">
        <v>15</v>
      </c>
      <c r="F365" s="50" cm="1" t="str">
        <f t="array" ref="F365:F365">OFFSET(E365,-1,1)</f>
        <v>3</v>
      </c>
      <c r="G365" s="94" cm="1" t="str">
        <f t="array" ref="G365:G365">G364</f>
        <v>0</v>
      </c>
      <c r="H365" s="1297"/>
      <c r="I365" s="1297"/>
      <c r="J365" s="1297"/>
      <c r="K365" s="154">
        <f>first_year+23</f>
        <v>2047</v>
      </c>
      <c r="L365" s="1297"/>
      <c r="M365" s="1297"/>
      <c r="N365" s="1297"/>
      <c r="O365" s="1297"/>
      <c r="P365" s="1297"/>
      <c r="Q365" s="1297"/>
      <c r="R365" s="1297"/>
      <c r="S365" s="1297"/>
      <c r="T365" s="468" cm="1" t="str">
        <f t="array" ref="T365:T365">T364</f>
        <v>false</v>
      </c>
      <c r="U365" s="1297"/>
      <c r="V365" s="1297"/>
      <c r="W365" s="1297"/>
      <c r="X365" s="1539"/>
      <c r="Y365" s="1539"/>
      <c r="Z365" s="1529"/>
      <c r="AA365" s="1630"/>
      <c r="AB365" s="251" t="str">
        <f>K365&amp;" год"</f>
        <v>2047 год</v>
      </c>
      <c r="AC365" s="409"/>
      <c r="AD365" s="6972"/>
      <c r="AE365" s="6971"/>
      <c r="AF365" s="6971"/>
      <c r="AG365" s="6972"/>
      <c r="AH365" s="6971"/>
      <c r="AI365" s="6972"/>
      <c r="AJ365" s="6971"/>
      <c r="AK365" s="6973"/>
      <c r="AL365" s="404"/>
      <c r="AM365" s="1297"/>
      <c r="AN365" s="1072" cm="1" t="str">
        <f t="array" ref="AN365:AN365">K365</f>
        <v>2047</v>
      </c>
      <c r="AO365" s="1072" t="s">
        <v>2773</v>
      </c>
      <c r="AP365" s="1082" cm="1" t="str">
        <f t="array" ref="AP365:AP365">AP364</f>
        <v>0</v>
      </c>
      <c r="AQ365" s="709"/>
      <c r="AR365" s="709"/>
    </row>
    <row s="7276" customFormat="1" customHeight="1" ht="14.25" hidden="1">
      <c r="A366" s="1297"/>
      <c r="B366" s="447">
        <f>K366&lt;first_year+PERIOD_LENGTH</f>
        <v>0</v>
      </c>
      <c r="C366" s="1297"/>
      <c r="D366" s="1297"/>
      <c r="E366" s="709">
        <v>15</v>
      </c>
      <c r="F366" s="50" cm="1" t="str">
        <f t="array" ref="F366:F366">OFFSET(E366,-1,1)</f>
        <v>3</v>
      </c>
      <c r="G366" s="94" cm="1" t="str">
        <f t="array" ref="G366:G366">G365</f>
        <v>0</v>
      </c>
      <c r="H366" s="1297"/>
      <c r="I366" s="1297"/>
      <c r="J366" s="1297"/>
      <c r="K366" s="154">
        <f>first_year+24</f>
        <v>2048</v>
      </c>
      <c r="L366" s="1297"/>
      <c r="M366" s="1297"/>
      <c r="N366" s="1297"/>
      <c r="O366" s="1297"/>
      <c r="P366" s="1297"/>
      <c r="Q366" s="1297"/>
      <c r="R366" s="1297"/>
      <c r="S366" s="1297"/>
      <c r="T366" s="468" cm="1" t="str">
        <f t="array" ref="T366:T366">T365</f>
        <v>false</v>
      </c>
      <c r="U366" s="1297"/>
      <c r="V366" s="1297"/>
      <c r="W366" s="1297"/>
      <c r="X366" s="1539"/>
      <c r="Y366" s="1539"/>
      <c r="Z366" s="1529"/>
      <c r="AA366" s="1630"/>
      <c r="AB366" s="251" t="str">
        <f>K366&amp;" год"</f>
        <v>2048 год</v>
      </c>
      <c r="AC366" s="409"/>
      <c r="AD366" s="6972"/>
      <c r="AE366" s="6971"/>
      <c r="AF366" s="6971"/>
      <c r="AG366" s="6972"/>
      <c r="AH366" s="6971"/>
      <c r="AI366" s="6972"/>
      <c r="AJ366" s="6971"/>
      <c r="AK366" s="6973"/>
      <c r="AL366" s="404"/>
      <c r="AM366" s="1297"/>
      <c r="AN366" s="1072" cm="1" t="str">
        <f t="array" ref="AN366:AN366">K366</f>
        <v>2048</v>
      </c>
      <c r="AO366" s="1072" t="s">
        <v>2773</v>
      </c>
      <c r="AP366" s="1082" cm="1" t="str">
        <f t="array" ref="AP366:AP366">AP365</f>
        <v>0</v>
      </c>
      <c r="AQ366" s="709"/>
      <c r="AR366" s="709"/>
    </row>
    <row s="7277" customFormat="1" customHeight="1" ht="14.25" hidden="1">
      <c r="A367" s="1297"/>
      <c r="B367" s="447">
        <f>K367&lt;first_year+PERIOD_LENGTH</f>
        <v>0</v>
      </c>
      <c r="C367" s="1297"/>
      <c r="D367" s="1297"/>
      <c r="E367" s="709">
        <v>15</v>
      </c>
      <c r="F367" s="50" cm="1" t="str">
        <f t="array" ref="F367:F367">OFFSET(E367,-1,1)</f>
        <v>3</v>
      </c>
      <c r="G367" s="94" cm="1" t="str">
        <f t="array" ref="G367:G367">G366</f>
        <v>0</v>
      </c>
      <c r="H367" s="1297"/>
      <c r="I367" s="1297"/>
      <c r="J367" s="1297"/>
      <c r="K367" s="154">
        <f>first_year+25</f>
        <v>2049</v>
      </c>
      <c r="L367" s="1297"/>
      <c r="M367" s="1297"/>
      <c r="N367" s="1297"/>
      <c r="O367" s="1297"/>
      <c r="P367" s="1297"/>
      <c r="Q367" s="1297"/>
      <c r="R367" s="1297"/>
      <c r="S367" s="1297"/>
      <c r="T367" s="468" cm="1" t="str">
        <f t="array" ref="T367:T367">T366</f>
        <v>false</v>
      </c>
      <c r="U367" s="1297"/>
      <c r="V367" s="1297"/>
      <c r="W367" s="1297"/>
      <c r="X367" s="1539"/>
      <c r="Y367" s="1539"/>
      <c r="Z367" s="1529"/>
      <c r="AA367" s="1630"/>
      <c r="AB367" s="251" t="str">
        <f>K367&amp;" год"</f>
        <v>2049 год</v>
      </c>
      <c r="AC367" s="409"/>
      <c r="AD367" s="6972"/>
      <c r="AE367" s="6971"/>
      <c r="AF367" s="6971"/>
      <c r="AG367" s="6972"/>
      <c r="AH367" s="6971"/>
      <c r="AI367" s="6972"/>
      <c r="AJ367" s="6971"/>
      <c r="AK367" s="6973"/>
      <c r="AL367" s="404"/>
      <c r="AM367" s="1297"/>
      <c r="AN367" s="1072" cm="1" t="str">
        <f t="array" ref="AN367:AN367">K367</f>
        <v>2049</v>
      </c>
      <c r="AO367" s="1072" t="s">
        <v>2773</v>
      </c>
      <c r="AP367" s="1082" cm="1" t="str">
        <f t="array" ref="AP367:AP367">AP366</f>
        <v>0</v>
      </c>
      <c r="AQ367" s="709"/>
      <c r="AR367" s="709"/>
    </row>
    <row s="7278" customFormat="1" customHeight="1" ht="14.25" hidden="1">
      <c r="A368" s="1297"/>
      <c r="B368" s="447">
        <f>K368&lt;first_year+PERIOD_LENGTH</f>
        <v>0</v>
      </c>
      <c r="C368" s="1297"/>
      <c r="D368" s="1297"/>
      <c r="E368" s="709">
        <v>15</v>
      </c>
      <c r="F368" s="50" cm="1" t="str">
        <f t="array" ref="F368:F368">OFFSET(E368,-1,1)</f>
        <v>3</v>
      </c>
      <c r="G368" s="94" cm="1" t="str">
        <f t="array" ref="G368:G368">G367</f>
        <v>0</v>
      </c>
      <c r="H368" s="1297"/>
      <c r="I368" s="1297"/>
      <c r="J368" s="1297"/>
      <c r="K368" s="154">
        <f>first_year+26</f>
        <v>2050</v>
      </c>
      <c r="L368" s="1297"/>
      <c r="M368" s="1297"/>
      <c r="N368" s="1297"/>
      <c r="O368" s="1297"/>
      <c r="P368" s="1297"/>
      <c r="Q368" s="1297"/>
      <c r="R368" s="1297"/>
      <c r="S368" s="1297"/>
      <c r="T368" s="468" cm="1" t="str">
        <f t="array" ref="T368:T368">T367</f>
        <v>false</v>
      </c>
      <c r="U368" s="1297"/>
      <c r="V368" s="1297"/>
      <c r="W368" s="1297"/>
      <c r="X368" s="1539"/>
      <c r="Y368" s="1539"/>
      <c r="Z368" s="1529"/>
      <c r="AA368" s="1630"/>
      <c r="AB368" s="251" t="str">
        <f>K368&amp;" год"</f>
        <v>2050 год</v>
      </c>
      <c r="AC368" s="409"/>
      <c r="AD368" s="6972"/>
      <c r="AE368" s="6971"/>
      <c r="AF368" s="6971"/>
      <c r="AG368" s="6972"/>
      <c r="AH368" s="6971"/>
      <c r="AI368" s="6972"/>
      <c r="AJ368" s="6971"/>
      <c r="AK368" s="6973"/>
      <c r="AL368" s="404"/>
      <c r="AM368" s="1297"/>
      <c r="AN368" s="1072" cm="1" t="str">
        <f t="array" ref="AN368:AN368">K368</f>
        <v>2050</v>
      </c>
      <c r="AO368" s="1072" t="s">
        <v>2773</v>
      </c>
      <c r="AP368" s="1082" cm="1" t="str">
        <f t="array" ref="AP368:AP368">AP367</f>
        <v>0</v>
      </c>
      <c r="AQ368" s="709"/>
      <c r="AR368" s="709"/>
    </row>
    <row s="7279" customFormat="1" customHeight="1" ht="14.25" hidden="1">
      <c r="A369" s="1297"/>
      <c r="B369" s="447">
        <f>K369&lt;first_year+PERIOD_LENGTH</f>
        <v>0</v>
      </c>
      <c r="C369" s="1297"/>
      <c r="D369" s="1297"/>
      <c r="E369" s="709">
        <v>15</v>
      </c>
      <c r="F369" s="50" cm="1" t="str">
        <f t="array" ref="F369:F369">OFFSET(E369,-1,1)</f>
        <v>3</v>
      </c>
      <c r="G369" s="94" cm="1" t="str">
        <f t="array" ref="G369:G369">G368</f>
        <v>0</v>
      </c>
      <c r="H369" s="1297"/>
      <c r="I369" s="1297"/>
      <c r="J369" s="1297"/>
      <c r="K369" s="154">
        <f>first_year+27</f>
        <v>2051</v>
      </c>
      <c r="L369" s="1297"/>
      <c r="M369" s="1297"/>
      <c r="N369" s="1297"/>
      <c r="O369" s="1297"/>
      <c r="P369" s="1297"/>
      <c r="Q369" s="1297"/>
      <c r="R369" s="1297"/>
      <c r="S369" s="1297"/>
      <c r="T369" s="468" cm="1" t="str">
        <f t="array" ref="T369:T369">T368</f>
        <v>false</v>
      </c>
      <c r="U369" s="1297"/>
      <c r="V369" s="1297"/>
      <c r="W369" s="1297"/>
      <c r="X369" s="1539"/>
      <c r="Y369" s="1539"/>
      <c r="Z369" s="1529"/>
      <c r="AA369" s="1630"/>
      <c r="AB369" s="251" t="str">
        <f>K369&amp;" год"</f>
        <v>2051 год</v>
      </c>
      <c r="AC369" s="409"/>
      <c r="AD369" s="6972"/>
      <c r="AE369" s="6971"/>
      <c r="AF369" s="6971"/>
      <c r="AG369" s="6972"/>
      <c r="AH369" s="6971"/>
      <c r="AI369" s="6972"/>
      <c r="AJ369" s="6971"/>
      <c r="AK369" s="6973"/>
      <c r="AL369" s="404"/>
      <c r="AM369" s="1297"/>
      <c r="AN369" s="1072" cm="1" t="str">
        <f t="array" ref="AN369:AN369">K369</f>
        <v>2051</v>
      </c>
      <c r="AO369" s="1072" t="s">
        <v>2773</v>
      </c>
      <c r="AP369" s="1082" cm="1" t="str">
        <f t="array" ref="AP369:AP369">AP368</f>
        <v>0</v>
      </c>
      <c r="AQ369" s="709"/>
      <c r="AR369" s="709"/>
    </row>
    <row s="7280" customFormat="1" customHeight="1" ht="14.25" hidden="1">
      <c r="A370" s="1297"/>
      <c r="B370" s="447">
        <f>K370&lt;first_year+PERIOD_LENGTH</f>
        <v>0</v>
      </c>
      <c r="C370" s="1297"/>
      <c r="D370" s="1297"/>
      <c r="E370" s="709">
        <v>15</v>
      </c>
      <c r="F370" s="50" cm="1" t="str">
        <f t="array" ref="F370:F370">OFFSET(E370,-1,1)</f>
        <v>3</v>
      </c>
      <c r="G370" s="94" cm="1" t="str">
        <f t="array" ref="G370:G370">G369</f>
        <v>0</v>
      </c>
      <c r="H370" s="1297"/>
      <c r="I370" s="1297"/>
      <c r="J370" s="1297"/>
      <c r="K370" s="154">
        <f>first_year+28</f>
        <v>2052</v>
      </c>
      <c r="L370" s="1297"/>
      <c r="M370" s="1297"/>
      <c r="N370" s="1297"/>
      <c r="O370" s="1297"/>
      <c r="P370" s="1297"/>
      <c r="Q370" s="1297"/>
      <c r="R370" s="1297"/>
      <c r="S370" s="1297"/>
      <c r="T370" s="468" cm="1" t="str">
        <f t="array" ref="T370:T370">T369</f>
        <v>false</v>
      </c>
      <c r="U370" s="1297"/>
      <c r="V370" s="1297"/>
      <c r="W370" s="1297"/>
      <c r="X370" s="1539"/>
      <c r="Y370" s="1539"/>
      <c r="Z370" s="1529"/>
      <c r="AA370" s="1630"/>
      <c r="AB370" s="251" t="str">
        <f>K370&amp;" год"</f>
        <v>2052 год</v>
      </c>
      <c r="AC370" s="409"/>
      <c r="AD370" s="6972"/>
      <c r="AE370" s="6971"/>
      <c r="AF370" s="6971"/>
      <c r="AG370" s="6972"/>
      <c r="AH370" s="6971"/>
      <c r="AI370" s="6972"/>
      <c r="AJ370" s="6971"/>
      <c r="AK370" s="6973"/>
      <c r="AL370" s="404"/>
      <c r="AM370" s="1297"/>
      <c r="AN370" s="1072" cm="1" t="str">
        <f t="array" ref="AN370:AN370">K370</f>
        <v>2052</v>
      </c>
      <c r="AO370" s="1072" t="s">
        <v>2773</v>
      </c>
      <c r="AP370" s="1082" cm="1" t="str">
        <f t="array" ref="AP370:AP370">AP369</f>
        <v>0</v>
      </c>
      <c r="AQ370" s="709"/>
      <c r="AR370" s="709"/>
    </row>
    <row s="7281" customFormat="1" customHeight="1" ht="14.25" hidden="1">
      <c r="A371" s="1297"/>
      <c r="B371" s="447">
        <f>K371&lt;first_year+PERIOD_LENGTH</f>
        <v>0</v>
      </c>
      <c r="C371" s="1297"/>
      <c r="D371" s="1297"/>
      <c r="E371" s="709">
        <v>15</v>
      </c>
      <c r="F371" s="50" cm="1" t="str">
        <f t="array" ref="F371:F371">OFFSET(E371,-1,1)</f>
        <v>3</v>
      </c>
      <c r="G371" s="94" cm="1" t="str">
        <f t="array" ref="G371:G371">G370</f>
        <v>0</v>
      </c>
      <c r="H371" s="1297"/>
      <c r="I371" s="1297"/>
      <c r="J371" s="1297"/>
      <c r="K371" s="154">
        <f>first_year+29</f>
        <v>2053</v>
      </c>
      <c r="L371" s="1297"/>
      <c r="M371" s="1297"/>
      <c r="N371" s="1297"/>
      <c r="O371" s="1297"/>
      <c r="P371" s="1297"/>
      <c r="Q371" s="1297"/>
      <c r="R371" s="1297"/>
      <c r="S371" s="1297"/>
      <c r="T371" s="468" cm="1" t="str">
        <f t="array" ref="T371:T371">T370</f>
        <v>false</v>
      </c>
      <c r="U371" s="1297"/>
      <c r="V371" s="1297"/>
      <c r="W371" s="1297"/>
      <c r="X371" s="1539"/>
      <c r="Y371" s="1539"/>
      <c r="Z371" s="1529"/>
      <c r="AA371" s="1630"/>
      <c r="AB371" s="251" t="str">
        <f>K371&amp;" год"</f>
        <v>2053 год</v>
      </c>
      <c r="AC371" s="409"/>
      <c r="AD371" s="6972"/>
      <c r="AE371" s="6971"/>
      <c r="AF371" s="6971"/>
      <c r="AG371" s="6972"/>
      <c r="AH371" s="6971"/>
      <c r="AI371" s="6972"/>
      <c r="AJ371" s="6971"/>
      <c r="AK371" s="6973"/>
      <c r="AL371" s="404"/>
      <c r="AM371" s="1297"/>
      <c r="AN371" s="1072" cm="1" t="str">
        <f t="array" ref="AN371:AN371">K371</f>
        <v>2053</v>
      </c>
      <c r="AO371" s="1072" t="s">
        <v>2773</v>
      </c>
      <c r="AP371" s="1082" cm="1" t="str">
        <f t="array" ref="AP371:AP371">AP370</f>
        <v>0</v>
      </c>
      <c r="AQ371" s="709"/>
      <c r="AR371" s="709"/>
    </row>
    <row s="7282" customFormat="1" customHeight="1" ht="14.25" hidden="1">
      <c r="A372" s="1297"/>
      <c r="B372" s="447">
        <f>K372&lt;first_year+PERIOD_LENGTH</f>
        <v>0</v>
      </c>
      <c r="C372" s="1297"/>
      <c r="D372" s="1297"/>
      <c r="E372" s="709">
        <v>15</v>
      </c>
      <c r="F372" s="50" cm="1" t="str">
        <f t="array" ref="F372:F372">OFFSET(E372,-1,1)</f>
        <v>3</v>
      </c>
      <c r="G372" s="94" cm="1" t="str">
        <f t="array" ref="G372:G372">G371</f>
        <v>0</v>
      </c>
      <c r="H372" s="1297"/>
      <c r="I372" s="1297"/>
      <c r="J372" s="1297"/>
      <c r="K372" s="154">
        <f>first_year+30</f>
        <v>2054</v>
      </c>
      <c r="L372" s="1297"/>
      <c r="M372" s="1297"/>
      <c r="N372" s="1297"/>
      <c r="O372" s="1297"/>
      <c r="P372" s="1297"/>
      <c r="Q372" s="1297"/>
      <c r="R372" s="1297"/>
      <c r="S372" s="1297"/>
      <c r="T372" s="468" cm="1" t="str">
        <f t="array" ref="T372:T372">T371</f>
        <v>false</v>
      </c>
      <c r="U372" s="1297"/>
      <c r="V372" s="1297"/>
      <c r="W372" s="1297"/>
      <c r="X372" s="1539"/>
      <c r="Y372" s="1539"/>
      <c r="Z372" s="1529"/>
      <c r="AA372" s="1630"/>
      <c r="AB372" s="251" t="str">
        <f>K372&amp;" год"</f>
        <v>2054 год</v>
      </c>
      <c r="AC372" s="409"/>
      <c r="AD372" s="6972"/>
      <c r="AE372" s="6971"/>
      <c r="AF372" s="6971"/>
      <c r="AG372" s="6972"/>
      <c r="AH372" s="6971"/>
      <c r="AI372" s="6972"/>
      <c r="AJ372" s="6971"/>
      <c r="AK372" s="6973"/>
      <c r="AL372" s="404"/>
      <c r="AM372" s="1297"/>
      <c r="AN372" s="1072" cm="1" t="str">
        <f t="array" ref="AN372:AN372">K372</f>
        <v>2054</v>
      </c>
      <c r="AO372" s="1072" t="s">
        <v>2773</v>
      </c>
      <c r="AP372" s="1082" cm="1" t="str">
        <f t="array" ref="AP372:AP372">AP371</f>
        <v>0</v>
      </c>
      <c r="AQ372" s="709"/>
      <c r="AR372" s="709"/>
    </row>
    <row s="7283" customFormat="1" customHeight="1" ht="14.25" hidden="1">
      <c r="A373" s="1297"/>
      <c r="B373" s="447">
        <f>K373&lt;first_year+PERIOD_LENGTH</f>
        <v>0</v>
      </c>
      <c r="C373" s="1297"/>
      <c r="D373" s="1297"/>
      <c r="E373" s="709">
        <v>15</v>
      </c>
      <c r="F373" s="50" cm="1" t="str">
        <f t="array" ref="F373:F373">OFFSET(E373,-1,1)</f>
        <v>3</v>
      </c>
      <c r="G373" s="94" cm="1" t="str">
        <f t="array" ref="G373:G373">G372</f>
        <v>0</v>
      </c>
      <c r="H373" s="1297"/>
      <c r="I373" s="1297"/>
      <c r="J373" s="1297"/>
      <c r="K373" s="154">
        <f>first_year+31</f>
        <v>2055</v>
      </c>
      <c r="L373" s="1297"/>
      <c r="M373" s="1297"/>
      <c r="N373" s="1297"/>
      <c r="O373" s="1297"/>
      <c r="P373" s="1297"/>
      <c r="Q373" s="1297"/>
      <c r="R373" s="1297"/>
      <c r="S373" s="1297"/>
      <c r="T373" s="468" cm="1" t="str">
        <f t="array" ref="T373:T373">T372</f>
        <v>false</v>
      </c>
      <c r="U373" s="1297"/>
      <c r="V373" s="1297"/>
      <c r="W373" s="1297"/>
      <c r="X373" s="1539"/>
      <c r="Y373" s="1539"/>
      <c r="Z373" s="1529"/>
      <c r="AA373" s="1630"/>
      <c r="AB373" s="251" t="str">
        <f>K373&amp;" год"</f>
        <v>2055 год</v>
      </c>
      <c r="AC373" s="409"/>
      <c r="AD373" s="6972"/>
      <c r="AE373" s="6971"/>
      <c r="AF373" s="6971"/>
      <c r="AG373" s="6972"/>
      <c r="AH373" s="6971"/>
      <c r="AI373" s="6972"/>
      <c r="AJ373" s="6971"/>
      <c r="AK373" s="6973"/>
      <c r="AL373" s="404"/>
      <c r="AM373" s="1297"/>
      <c r="AN373" s="1072" cm="1" t="str">
        <f t="array" ref="AN373:AN373">K373</f>
        <v>2055</v>
      </c>
      <c r="AO373" s="1072" t="s">
        <v>2773</v>
      </c>
      <c r="AP373" s="1082" cm="1" t="str">
        <f t="array" ref="AP373:AP373">AP372</f>
        <v>0</v>
      </c>
      <c r="AQ373" s="709"/>
      <c r="AR373" s="709"/>
    </row>
    <row s="7284" customFormat="1" customHeight="1" ht="14.25" hidden="1">
      <c r="A374" s="1297"/>
      <c r="B374" s="447">
        <f>K374&lt;first_year+PERIOD_LENGTH</f>
        <v>0</v>
      </c>
      <c r="C374" s="1297"/>
      <c r="D374" s="1297"/>
      <c r="E374" s="709">
        <v>15</v>
      </c>
      <c r="F374" s="50" cm="1" t="str">
        <f t="array" ref="F374:F374">OFFSET(E374,-1,1)</f>
        <v>3</v>
      </c>
      <c r="G374" s="94" cm="1" t="str">
        <f t="array" ref="G374:G374">G373</f>
        <v>0</v>
      </c>
      <c r="H374" s="1297"/>
      <c r="I374" s="1297"/>
      <c r="J374" s="1297"/>
      <c r="K374" s="154">
        <f>first_year+32</f>
        <v>2056</v>
      </c>
      <c r="L374" s="1297"/>
      <c r="M374" s="1297"/>
      <c r="N374" s="1297"/>
      <c r="O374" s="1297"/>
      <c r="P374" s="1297"/>
      <c r="Q374" s="1297"/>
      <c r="R374" s="1297"/>
      <c r="S374" s="1297"/>
      <c r="T374" s="468" cm="1" t="str">
        <f t="array" ref="T374:T374">T373</f>
        <v>false</v>
      </c>
      <c r="U374" s="1297"/>
      <c r="V374" s="1297"/>
      <c r="W374" s="1297"/>
      <c r="X374" s="1539"/>
      <c r="Y374" s="1539"/>
      <c r="Z374" s="1529"/>
      <c r="AA374" s="1630"/>
      <c r="AB374" s="251" t="str">
        <f>K374&amp;" год"</f>
        <v>2056 год</v>
      </c>
      <c r="AC374" s="409"/>
      <c r="AD374" s="6972"/>
      <c r="AE374" s="6971"/>
      <c r="AF374" s="6971"/>
      <c r="AG374" s="6972"/>
      <c r="AH374" s="6971"/>
      <c r="AI374" s="6972"/>
      <c r="AJ374" s="6971"/>
      <c r="AK374" s="6973"/>
      <c r="AL374" s="404"/>
      <c r="AM374" s="1297"/>
      <c r="AN374" s="1072" cm="1" t="str">
        <f t="array" ref="AN374:AN374">K374</f>
        <v>2056</v>
      </c>
      <c r="AO374" s="1072" t="s">
        <v>2773</v>
      </c>
      <c r="AP374" s="1082" cm="1" t="str">
        <f t="array" ref="AP374:AP374">AP373</f>
        <v>0</v>
      </c>
      <c r="AQ374" s="709"/>
      <c r="AR374" s="709"/>
    </row>
    <row s="7285" customFormat="1" customHeight="1" ht="14.25" hidden="1">
      <c r="A375" s="1297"/>
      <c r="B375" s="447">
        <f>K375&lt;first_year+PERIOD_LENGTH</f>
        <v>0</v>
      </c>
      <c r="C375" s="1297"/>
      <c r="D375" s="1297"/>
      <c r="E375" s="709">
        <v>15</v>
      </c>
      <c r="F375" s="50" cm="1" t="str">
        <f t="array" ref="F375:F375">OFFSET(E375,-1,1)</f>
        <v>3</v>
      </c>
      <c r="G375" s="94" cm="1" t="str">
        <f t="array" ref="G375:G375">G374</f>
        <v>0</v>
      </c>
      <c r="H375" s="1297"/>
      <c r="I375" s="1297"/>
      <c r="J375" s="1297"/>
      <c r="K375" s="154">
        <f>first_year+33</f>
        <v>2057</v>
      </c>
      <c r="L375" s="1297"/>
      <c r="M375" s="1297"/>
      <c r="N375" s="1297"/>
      <c r="O375" s="1297"/>
      <c r="P375" s="1297"/>
      <c r="Q375" s="1297"/>
      <c r="R375" s="1297"/>
      <c r="S375" s="1297"/>
      <c r="T375" s="468" cm="1" t="str">
        <f t="array" ref="T375:T375">T374</f>
        <v>false</v>
      </c>
      <c r="U375" s="1297"/>
      <c r="V375" s="1297"/>
      <c r="W375" s="1297"/>
      <c r="X375" s="1539"/>
      <c r="Y375" s="1539"/>
      <c r="Z375" s="1529"/>
      <c r="AA375" s="1630"/>
      <c r="AB375" s="251" t="str">
        <f>K375&amp;" год"</f>
        <v>2057 год</v>
      </c>
      <c r="AC375" s="409"/>
      <c r="AD375" s="6972"/>
      <c r="AE375" s="6971"/>
      <c r="AF375" s="6971"/>
      <c r="AG375" s="6972"/>
      <c r="AH375" s="6971"/>
      <c r="AI375" s="6972"/>
      <c r="AJ375" s="6971"/>
      <c r="AK375" s="6973"/>
      <c r="AL375" s="404"/>
      <c r="AM375" s="1297"/>
      <c r="AN375" s="1072" cm="1" t="str">
        <f t="array" ref="AN375:AN375">K375</f>
        <v>2057</v>
      </c>
      <c r="AO375" s="1072" t="s">
        <v>2773</v>
      </c>
      <c r="AP375" s="1082" cm="1" t="str">
        <f t="array" ref="AP375:AP375">AP374</f>
        <v>0</v>
      </c>
      <c r="AQ375" s="709"/>
      <c r="AR375" s="709"/>
    </row>
    <row s="7286" customFormat="1" customHeight="1" ht="14.25" hidden="1">
      <c r="A376" s="1297"/>
      <c r="B376" s="447">
        <f>K376&lt;first_year+PERIOD_LENGTH</f>
        <v>0</v>
      </c>
      <c r="C376" s="1297"/>
      <c r="D376" s="1297"/>
      <c r="E376" s="709">
        <v>15</v>
      </c>
      <c r="F376" s="50" cm="1" t="str">
        <f t="array" ref="F376:F376">OFFSET(E376,-1,1)</f>
        <v>3</v>
      </c>
      <c r="G376" s="94" cm="1" t="str">
        <f t="array" ref="G376:G376">G375</f>
        <v>0</v>
      </c>
      <c r="H376" s="1297"/>
      <c r="I376" s="1297"/>
      <c r="J376" s="1297"/>
      <c r="K376" s="154">
        <f>first_year+34</f>
        <v>2058</v>
      </c>
      <c r="L376" s="1297"/>
      <c r="M376" s="1297"/>
      <c r="N376" s="1297"/>
      <c r="O376" s="1297"/>
      <c r="P376" s="1297"/>
      <c r="Q376" s="1297"/>
      <c r="R376" s="1297"/>
      <c r="S376" s="1297"/>
      <c r="T376" s="468" cm="1" t="str">
        <f t="array" ref="T376:T376">T375</f>
        <v>false</v>
      </c>
      <c r="U376" s="1297"/>
      <c r="V376" s="1297"/>
      <c r="W376" s="1297"/>
      <c r="X376" s="1539"/>
      <c r="Y376" s="1539"/>
      <c r="Z376" s="1529"/>
      <c r="AA376" s="1630"/>
      <c r="AB376" s="251" t="str">
        <f>K376&amp;" год"</f>
        <v>2058 год</v>
      </c>
      <c r="AC376" s="409"/>
      <c r="AD376" s="6972"/>
      <c r="AE376" s="6971"/>
      <c r="AF376" s="6971"/>
      <c r="AG376" s="6972"/>
      <c r="AH376" s="6971"/>
      <c r="AI376" s="6972"/>
      <c r="AJ376" s="6971"/>
      <c r="AK376" s="6973"/>
      <c r="AL376" s="404"/>
      <c r="AM376" s="1297"/>
      <c r="AN376" s="1072" cm="1" t="str">
        <f t="array" ref="AN376:AN376">K376</f>
        <v>2058</v>
      </c>
      <c r="AO376" s="1072" t="s">
        <v>2773</v>
      </c>
      <c r="AP376" s="1082" cm="1" t="str">
        <f t="array" ref="AP376:AP376">AP375</f>
        <v>0</v>
      </c>
      <c r="AQ376" s="709"/>
      <c r="AR376" s="709"/>
    </row>
    <row s="7287" customFormat="1" customHeight="1" ht="14.25" hidden="1">
      <c r="A377" s="1297"/>
      <c r="B377" s="447">
        <f>K377&lt;first_year+PERIOD_LENGTH</f>
        <v>0</v>
      </c>
      <c r="C377" s="1297"/>
      <c r="D377" s="1297"/>
      <c r="E377" s="709">
        <v>15</v>
      </c>
      <c r="F377" s="50" cm="1" t="str">
        <f t="array" ref="F377:F377">OFFSET(E377,-1,1)</f>
        <v>3</v>
      </c>
      <c r="G377" s="94" cm="1" t="str">
        <f t="array" ref="G377:G377">G376</f>
        <v>0</v>
      </c>
      <c r="H377" s="1297"/>
      <c r="I377" s="1297"/>
      <c r="J377" s="1297"/>
      <c r="K377" s="154">
        <f>first_year+35</f>
        <v>2059</v>
      </c>
      <c r="L377" s="1297"/>
      <c r="M377" s="1297"/>
      <c r="N377" s="1297"/>
      <c r="O377" s="1297"/>
      <c r="P377" s="1297"/>
      <c r="Q377" s="1297"/>
      <c r="R377" s="1297"/>
      <c r="S377" s="1297"/>
      <c r="T377" s="468" cm="1" t="str">
        <f t="array" ref="T377:T377">T376</f>
        <v>false</v>
      </c>
      <c r="U377" s="1297"/>
      <c r="V377" s="1297"/>
      <c r="W377" s="1297"/>
      <c r="X377" s="1539"/>
      <c r="Y377" s="1539"/>
      <c r="Z377" s="1529"/>
      <c r="AA377" s="1630"/>
      <c r="AB377" s="251" t="str">
        <f>K377&amp;" год"</f>
        <v>2059 год</v>
      </c>
      <c r="AC377" s="409"/>
      <c r="AD377" s="6972"/>
      <c r="AE377" s="6971"/>
      <c r="AF377" s="6971"/>
      <c r="AG377" s="6972"/>
      <c r="AH377" s="6971"/>
      <c r="AI377" s="6972"/>
      <c r="AJ377" s="6971"/>
      <c r="AK377" s="6973"/>
      <c r="AL377" s="404"/>
      <c r="AM377" s="1297"/>
      <c r="AN377" s="1072" cm="1" t="str">
        <f t="array" ref="AN377:AN377">K377</f>
        <v>2059</v>
      </c>
      <c r="AO377" s="1072" t="s">
        <v>2773</v>
      </c>
      <c r="AP377" s="1082" cm="1" t="str">
        <f t="array" ref="AP377:AP377">AP376</f>
        <v>0</v>
      </c>
      <c r="AQ377" s="709"/>
      <c r="AR377" s="709"/>
    </row>
    <row s="7288" customFormat="1" customHeight="1" ht="14.25" hidden="1">
      <c r="A378" s="1297"/>
      <c r="B378" s="447">
        <f>K378&lt;first_year+PERIOD_LENGTH</f>
        <v>0</v>
      </c>
      <c r="C378" s="1297"/>
      <c r="D378" s="1297"/>
      <c r="E378" s="709">
        <v>15</v>
      </c>
      <c r="F378" s="50" cm="1" t="str">
        <f t="array" ref="F378:F378">OFFSET(E378,-1,1)</f>
        <v>3</v>
      </c>
      <c r="G378" s="94" cm="1" t="str">
        <f t="array" ref="G378:G378">G377</f>
        <v>0</v>
      </c>
      <c r="H378" s="1297"/>
      <c r="I378" s="1297"/>
      <c r="J378" s="1297"/>
      <c r="K378" s="154">
        <f>first_year+36</f>
        <v>2060</v>
      </c>
      <c r="L378" s="1297"/>
      <c r="M378" s="1297"/>
      <c r="N378" s="1297"/>
      <c r="O378" s="1297"/>
      <c r="P378" s="1297"/>
      <c r="Q378" s="1297"/>
      <c r="R378" s="1297"/>
      <c r="S378" s="1297"/>
      <c r="T378" s="468" cm="1" t="str">
        <f t="array" ref="T378:T378">T377</f>
        <v>false</v>
      </c>
      <c r="U378" s="1297"/>
      <c r="V378" s="1297"/>
      <c r="W378" s="1297"/>
      <c r="X378" s="1539"/>
      <c r="Y378" s="1539"/>
      <c r="Z378" s="1529"/>
      <c r="AA378" s="1630"/>
      <c r="AB378" s="251" t="str">
        <f>K378&amp;" год"</f>
        <v>2060 год</v>
      </c>
      <c r="AC378" s="409"/>
      <c r="AD378" s="6972"/>
      <c r="AE378" s="6971"/>
      <c r="AF378" s="6971"/>
      <c r="AG378" s="6972"/>
      <c r="AH378" s="6971"/>
      <c r="AI378" s="6972"/>
      <c r="AJ378" s="6971"/>
      <c r="AK378" s="6973"/>
      <c r="AL378" s="404"/>
      <c r="AM378" s="1297"/>
      <c r="AN378" s="1072" cm="1" t="str">
        <f t="array" ref="AN378:AN378">K378</f>
        <v>2060</v>
      </c>
      <c r="AO378" s="1072" t="s">
        <v>2773</v>
      </c>
      <c r="AP378" s="1082" cm="1" t="str">
        <f t="array" ref="AP378:AP378">AP377</f>
        <v>0</v>
      </c>
      <c r="AQ378" s="709"/>
      <c r="AR378" s="709"/>
    </row>
    <row s="7289" customFormat="1" customHeight="1" ht="14.25" hidden="1">
      <c r="A379" s="1297"/>
      <c r="B379" s="447">
        <f>K379&lt;first_year+PERIOD_LENGTH</f>
        <v>0</v>
      </c>
      <c r="C379" s="1297"/>
      <c r="D379" s="1297"/>
      <c r="E379" s="709">
        <v>15</v>
      </c>
      <c r="F379" s="50" cm="1" t="str">
        <f t="array" ref="F379:F379">OFFSET(E379,-1,1)</f>
        <v>3</v>
      </c>
      <c r="G379" s="94" cm="1" t="str">
        <f t="array" ref="G379:G379">G378</f>
        <v>0</v>
      </c>
      <c r="H379" s="1297"/>
      <c r="I379" s="1297"/>
      <c r="J379" s="1297"/>
      <c r="K379" s="154">
        <f>first_year+37</f>
        <v>2061</v>
      </c>
      <c r="L379" s="1297"/>
      <c r="M379" s="1297"/>
      <c r="N379" s="1297"/>
      <c r="O379" s="1297"/>
      <c r="P379" s="1297"/>
      <c r="Q379" s="1297"/>
      <c r="R379" s="1297"/>
      <c r="S379" s="1297"/>
      <c r="T379" s="468" cm="1" t="str">
        <f t="array" ref="T379:T379">T378</f>
        <v>false</v>
      </c>
      <c r="U379" s="1297"/>
      <c r="V379" s="1297"/>
      <c r="W379" s="1297"/>
      <c r="X379" s="1539"/>
      <c r="Y379" s="1539"/>
      <c r="Z379" s="1529"/>
      <c r="AA379" s="1630"/>
      <c r="AB379" s="251" t="str">
        <f>K379&amp;" год"</f>
        <v>2061 год</v>
      </c>
      <c r="AC379" s="409"/>
      <c r="AD379" s="6972"/>
      <c r="AE379" s="6971"/>
      <c r="AF379" s="6971"/>
      <c r="AG379" s="6972"/>
      <c r="AH379" s="6971"/>
      <c r="AI379" s="6972"/>
      <c r="AJ379" s="6971"/>
      <c r="AK379" s="6973"/>
      <c r="AL379" s="404"/>
      <c r="AM379" s="1297"/>
      <c r="AN379" s="1072" cm="1" t="str">
        <f t="array" ref="AN379:AN379">K379</f>
        <v>2061</v>
      </c>
      <c r="AO379" s="1072" t="s">
        <v>2773</v>
      </c>
      <c r="AP379" s="1082" cm="1" t="str">
        <f t="array" ref="AP379:AP379">AP378</f>
        <v>0</v>
      </c>
      <c r="AQ379" s="709"/>
      <c r="AR379" s="709"/>
    </row>
    <row s="7290" customFormat="1" customHeight="1" ht="14.25" hidden="1">
      <c r="A380" s="1297"/>
      <c r="B380" s="447">
        <f>K380&lt;first_year+PERIOD_LENGTH</f>
        <v>0</v>
      </c>
      <c r="C380" s="1297"/>
      <c r="D380" s="1297"/>
      <c r="E380" s="709">
        <v>15</v>
      </c>
      <c r="F380" s="50" cm="1" t="str">
        <f t="array" ref="F380:F380">OFFSET(E380,-1,1)</f>
        <v>3</v>
      </c>
      <c r="G380" s="94" cm="1" t="str">
        <f t="array" ref="G380:G380">G379</f>
        <v>0</v>
      </c>
      <c r="H380" s="1297"/>
      <c r="I380" s="1297"/>
      <c r="J380" s="1297"/>
      <c r="K380" s="154">
        <f>first_year+38</f>
        <v>2062</v>
      </c>
      <c r="L380" s="1297"/>
      <c r="M380" s="1297"/>
      <c r="N380" s="1297"/>
      <c r="O380" s="1297"/>
      <c r="P380" s="1297"/>
      <c r="Q380" s="1297"/>
      <c r="R380" s="1297"/>
      <c r="S380" s="1297"/>
      <c r="T380" s="468" cm="1" t="str">
        <f t="array" ref="T380:T380">T379</f>
        <v>false</v>
      </c>
      <c r="U380" s="1297"/>
      <c r="V380" s="1297"/>
      <c r="W380" s="1297"/>
      <c r="X380" s="1539"/>
      <c r="Y380" s="1539"/>
      <c r="Z380" s="1529"/>
      <c r="AA380" s="1630"/>
      <c r="AB380" s="251" t="str">
        <f>K380&amp;" год"</f>
        <v>2062 год</v>
      </c>
      <c r="AC380" s="409"/>
      <c r="AD380" s="6972"/>
      <c r="AE380" s="6971"/>
      <c r="AF380" s="6971"/>
      <c r="AG380" s="6972"/>
      <c r="AH380" s="6971"/>
      <c r="AI380" s="6972"/>
      <c r="AJ380" s="6971"/>
      <c r="AK380" s="6973"/>
      <c r="AL380" s="404"/>
      <c r="AM380" s="1297"/>
      <c r="AN380" s="1072" cm="1" t="str">
        <f t="array" ref="AN380:AN380">K380</f>
        <v>2062</v>
      </c>
      <c r="AO380" s="1072" t="s">
        <v>2773</v>
      </c>
      <c r="AP380" s="1082" cm="1" t="str">
        <f t="array" ref="AP380:AP380">AP379</f>
        <v>0</v>
      </c>
      <c r="AQ380" s="709"/>
      <c r="AR380" s="709"/>
    </row>
    <row s="7291" customFormat="1" customHeight="1" ht="14.25" hidden="1">
      <c r="A381" s="1297"/>
      <c r="B381" s="447">
        <f>K381&lt;first_year+PERIOD_LENGTH</f>
        <v>0</v>
      </c>
      <c r="C381" s="1297"/>
      <c r="D381" s="1297"/>
      <c r="E381" s="709">
        <v>15</v>
      </c>
      <c r="F381" s="50" cm="1" t="str">
        <f t="array" ref="F381:F381">OFFSET(E381,-1,1)</f>
        <v>3</v>
      </c>
      <c r="G381" s="94" cm="1" t="str">
        <f t="array" ref="G381:G381">G380</f>
        <v>0</v>
      </c>
      <c r="H381" s="1297"/>
      <c r="I381" s="1297"/>
      <c r="J381" s="1297"/>
      <c r="K381" s="154">
        <f>first_year+39</f>
        <v>2063</v>
      </c>
      <c r="L381" s="1297"/>
      <c r="M381" s="1297"/>
      <c r="N381" s="1297"/>
      <c r="O381" s="1297"/>
      <c r="P381" s="1297"/>
      <c r="Q381" s="1297"/>
      <c r="R381" s="1297"/>
      <c r="S381" s="1297"/>
      <c r="T381" s="468" cm="1" t="str">
        <f t="array" ref="T381:T381">T380</f>
        <v>false</v>
      </c>
      <c r="U381" s="1297"/>
      <c r="V381" s="1297"/>
      <c r="W381" s="1297"/>
      <c r="X381" s="1539"/>
      <c r="Y381" s="1539"/>
      <c r="Z381" s="1529"/>
      <c r="AA381" s="1630"/>
      <c r="AB381" s="251" t="str">
        <f>K381&amp;" год"</f>
        <v>2063 год</v>
      </c>
      <c r="AC381" s="409"/>
      <c r="AD381" s="6972"/>
      <c r="AE381" s="6971"/>
      <c r="AF381" s="6971"/>
      <c r="AG381" s="6972"/>
      <c r="AH381" s="6971"/>
      <c r="AI381" s="6972"/>
      <c r="AJ381" s="6971"/>
      <c r="AK381" s="6973"/>
      <c r="AL381" s="404"/>
      <c r="AM381" s="1297"/>
      <c r="AN381" s="1072" cm="1" t="str">
        <f t="array" ref="AN381:AN381">K381</f>
        <v>2063</v>
      </c>
      <c r="AO381" s="1072" t="s">
        <v>2773</v>
      </c>
      <c r="AP381" s="1082" cm="1" t="str">
        <f t="array" ref="AP381:AP381">AP380</f>
        <v>0</v>
      </c>
      <c r="AQ381" s="709"/>
      <c r="AR381" s="709"/>
    </row>
    <row s="7292" customFormat="1" customHeight="1" ht="14.25" hidden="1">
      <c r="A382" s="1297"/>
      <c r="B382" s="447">
        <f>K382&lt;first_year+PERIOD_LENGTH</f>
        <v>0</v>
      </c>
      <c r="C382" s="1297"/>
      <c r="D382" s="1297"/>
      <c r="E382" s="709">
        <v>15</v>
      </c>
      <c r="F382" s="50" cm="1" t="str">
        <f t="array" ref="F382:F382">OFFSET(E382,-1,1)</f>
        <v>3</v>
      </c>
      <c r="G382" s="94" cm="1" t="str">
        <f t="array" ref="G382:G382">G381</f>
        <v>0</v>
      </c>
      <c r="H382" s="1297"/>
      <c r="I382" s="1297"/>
      <c r="J382" s="1297"/>
      <c r="K382" s="154">
        <f>first_year+40</f>
        <v>2064</v>
      </c>
      <c r="L382" s="1297"/>
      <c r="M382" s="1297"/>
      <c r="N382" s="1297"/>
      <c r="O382" s="1297"/>
      <c r="P382" s="1297"/>
      <c r="Q382" s="1297"/>
      <c r="R382" s="1297"/>
      <c r="S382" s="1297"/>
      <c r="T382" s="468" cm="1" t="str">
        <f t="array" ref="T382:T382">T381</f>
        <v>false</v>
      </c>
      <c r="U382" s="1297"/>
      <c r="V382" s="1297"/>
      <c r="W382" s="1297"/>
      <c r="X382" s="1539"/>
      <c r="Y382" s="1539"/>
      <c r="Z382" s="1529"/>
      <c r="AA382" s="1630"/>
      <c r="AB382" s="251" t="str">
        <f>K382&amp;" год"</f>
        <v>2064 год</v>
      </c>
      <c r="AC382" s="409"/>
      <c r="AD382" s="6972"/>
      <c r="AE382" s="6971"/>
      <c r="AF382" s="6971"/>
      <c r="AG382" s="6972"/>
      <c r="AH382" s="6971"/>
      <c r="AI382" s="6972"/>
      <c r="AJ382" s="6971"/>
      <c r="AK382" s="6973"/>
      <c r="AL382" s="404"/>
      <c r="AM382" s="1297"/>
      <c r="AN382" s="1072" cm="1" t="str">
        <f t="array" ref="AN382:AN382">K382</f>
        <v>2064</v>
      </c>
      <c r="AO382" s="1072" t="s">
        <v>2773</v>
      </c>
      <c r="AP382" s="1082" cm="1" t="str">
        <f t="array" ref="AP382:AP382">AP381</f>
        <v>0</v>
      </c>
      <c r="AQ382" s="709"/>
      <c r="AR382" s="709"/>
    </row>
    <row s="7293" customFormat="1" customHeight="1" ht="14.25" hidden="1">
      <c r="A383" s="1297"/>
      <c r="B383" s="447">
        <f>K383&lt;first_year+PERIOD_LENGTH</f>
        <v>0</v>
      </c>
      <c r="C383" s="1297"/>
      <c r="D383" s="1297"/>
      <c r="E383" s="709">
        <v>15</v>
      </c>
      <c r="F383" s="50" cm="1" t="str">
        <f t="array" ref="F383:F383">OFFSET(E383,-1,1)</f>
        <v>3</v>
      </c>
      <c r="G383" s="94" cm="1" t="str">
        <f t="array" ref="G383:G383">G382</f>
        <v>0</v>
      </c>
      <c r="H383" s="1297"/>
      <c r="I383" s="1297"/>
      <c r="J383" s="1297"/>
      <c r="K383" s="154">
        <f>first_year+41</f>
        <v>2065</v>
      </c>
      <c r="L383" s="1297"/>
      <c r="M383" s="1297"/>
      <c r="N383" s="1297"/>
      <c r="O383" s="1297"/>
      <c r="P383" s="1297"/>
      <c r="Q383" s="1297"/>
      <c r="R383" s="1297"/>
      <c r="S383" s="1297"/>
      <c r="T383" s="468" cm="1" t="str">
        <f t="array" ref="T383:T383">T382</f>
        <v>false</v>
      </c>
      <c r="U383" s="1297"/>
      <c r="V383" s="1297"/>
      <c r="W383" s="1297"/>
      <c r="X383" s="1539"/>
      <c r="Y383" s="1539"/>
      <c r="Z383" s="1529"/>
      <c r="AA383" s="1630"/>
      <c r="AB383" s="251" t="str">
        <f>K383&amp;" год"</f>
        <v>2065 год</v>
      </c>
      <c r="AC383" s="409"/>
      <c r="AD383" s="6972"/>
      <c r="AE383" s="6971"/>
      <c r="AF383" s="6971"/>
      <c r="AG383" s="6972"/>
      <c r="AH383" s="6971"/>
      <c r="AI383" s="6972"/>
      <c r="AJ383" s="6971"/>
      <c r="AK383" s="6973"/>
      <c r="AL383" s="404"/>
      <c r="AM383" s="1297"/>
      <c r="AN383" s="1072" cm="1" t="str">
        <f t="array" ref="AN383:AN383">K383</f>
        <v>2065</v>
      </c>
      <c r="AO383" s="1072" t="s">
        <v>2773</v>
      </c>
      <c r="AP383" s="1082" cm="1" t="str">
        <f t="array" ref="AP383:AP383">AP382</f>
        <v>0</v>
      </c>
      <c r="AQ383" s="709"/>
      <c r="AR383" s="709"/>
    </row>
    <row s="7294" customFormat="1" customHeight="1" ht="14.25" hidden="1">
      <c r="A384" s="1297"/>
      <c r="B384" s="447">
        <f>K384&lt;first_year+PERIOD_LENGTH</f>
        <v>0</v>
      </c>
      <c r="C384" s="1297"/>
      <c r="D384" s="1297"/>
      <c r="E384" s="709">
        <v>15</v>
      </c>
      <c r="F384" s="50" cm="1" t="str">
        <f t="array" ref="F384:F384">OFFSET(E384,-1,1)</f>
        <v>3</v>
      </c>
      <c r="G384" s="94" cm="1" t="str">
        <f t="array" ref="G384:G384">G383</f>
        <v>0</v>
      </c>
      <c r="H384" s="1297"/>
      <c r="I384" s="1297"/>
      <c r="J384" s="1297"/>
      <c r="K384" s="154">
        <f>first_year+42</f>
        <v>2066</v>
      </c>
      <c r="L384" s="1297"/>
      <c r="M384" s="1297"/>
      <c r="N384" s="1297"/>
      <c r="O384" s="1297"/>
      <c r="P384" s="1297"/>
      <c r="Q384" s="1297"/>
      <c r="R384" s="1297"/>
      <c r="S384" s="1297"/>
      <c r="T384" s="468" cm="1" t="str">
        <f t="array" ref="T384:T384">T383</f>
        <v>false</v>
      </c>
      <c r="U384" s="1297"/>
      <c r="V384" s="1297"/>
      <c r="W384" s="1297"/>
      <c r="X384" s="1539"/>
      <c r="Y384" s="1539"/>
      <c r="Z384" s="1529"/>
      <c r="AA384" s="1630"/>
      <c r="AB384" s="251" t="str">
        <f>K384&amp;" год"</f>
        <v>2066 год</v>
      </c>
      <c r="AC384" s="409"/>
      <c r="AD384" s="6972"/>
      <c r="AE384" s="6971"/>
      <c r="AF384" s="6971"/>
      <c r="AG384" s="6972"/>
      <c r="AH384" s="6971"/>
      <c r="AI384" s="6972"/>
      <c r="AJ384" s="6971"/>
      <c r="AK384" s="6973"/>
      <c r="AL384" s="404"/>
      <c r="AM384" s="1297"/>
      <c r="AN384" s="1072" cm="1" t="str">
        <f t="array" ref="AN384:AN384">K384</f>
        <v>2066</v>
      </c>
      <c r="AO384" s="1072" t="s">
        <v>2773</v>
      </c>
      <c r="AP384" s="1082" cm="1" t="str">
        <f t="array" ref="AP384:AP384">AP383</f>
        <v>0</v>
      </c>
      <c r="AQ384" s="709"/>
      <c r="AR384" s="709"/>
    </row>
    <row s="7295" customFormat="1" customHeight="1" ht="14.25" hidden="1">
      <c r="A385" s="1297"/>
      <c r="B385" s="447">
        <f>K385&lt;first_year+PERIOD_LENGTH</f>
        <v>0</v>
      </c>
      <c r="C385" s="1297"/>
      <c r="D385" s="1297"/>
      <c r="E385" s="709">
        <v>15</v>
      </c>
      <c r="F385" s="50" cm="1" t="str">
        <f t="array" ref="F385:F385">OFFSET(E385,-1,1)</f>
        <v>3</v>
      </c>
      <c r="G385" s="94" cm="1" t="str">
        <f t="array" ref="G385:G385">G384</f>
        <v>0</v>
      </c>
      <c r="H385" s="1297"/>
      <c r="I385" s="1297"/>
      <c r="J385" s="1297"/>
      <c r="K385" s="154">
        <f>first_year+43</f>
        <v>2067</v>
      </c>
      <c r="L385" s="1297"/>
      <c r="M385" s="1297"/>
      <c r="N385" s="1297"/>
      <c r="O385" s="1297"/>
      <c r="P385" s="1297"/>
      <c r="Q385" s="1297"/>
      <c r="R385" s="1297"/>
      <c r="S385" s="1297"/>
      <c r="T385" s="468" cm="1" t="str">
        <f t="array" ref="T385:T385">T384</f>
        <v>false</v>
      </c>
      <c r="U385" s="1297"/>
      <c r="V385" s="1297"/>
      <c r="W385" s="1297"/>
      <c r="X385" s="1539"/>
      <c r="Y385" s="1539"/>
      <c r="Z385" s="1529"/>
      <c r="AA385" s="1630"/>
      <c r="AB385" s="251" t="str">
        <f>K385&amp;" год"</f>
        <v>2067 год</v>
      </c>
      <c r="AC385" s="409"/>
      <c r="AD385" s="6972"/>
      <c r="AE385" s="6971"/>
      <c r="AF385" s="6971"/>
      <c r="AG385" s="6972"/>
      <c r="AH385" s="6971"/>
      <c r="AI385" s="6972"/>
      <c r="AJ385" s="6971"/>
      <c r="AK385" s="6973"/>
      <c r="AL385" s="404"/>
      <c r="AM385" s="1297"/>
      <c r="AN385" s="1072" cm="1" t="str">
        <f t="array" ref="AN385:AN385">K385</f>
        <v>2067</v>
      </c>
      <c r="AO385" s="1072" t="s">
        <v>2773</v>
      </c>
      <c r="AP385" s="1082" cm="1" t="str">
        <f t="array" ref="AP385:AP385">AP384</f>
        <v>0</v>
      </c>
      <c r="AQ385" s="709"/>
      <c r="AR385" s="709"/>
    </row>
    <row s="7296" customFormat="1" customHeight="1" ht="14.25" hidden="1">
      <c r="A386" s="1297"/>
      <c r="B386" s="447">
        <f>K386&lt;first_year+PERIOD_LENGTH</f>
        <v>0</v>
      </c>
      <c r="C386" s="1297"/>
      <c r="D386" s="1297"/>
      <c r="E386" s="709">
        <v>15</v>
      </c>
      <c r="F386" s="50" cm="1" t="str">
        <f t="array" ref="F386:F386">OFFSET(E386,-1,1)</f>
        <v>3</v>
      </c>
      <c r="G386" s="94" cm="1" t="str">
        <f t="array" ref="G386:G386">G385</f>
        <v>0</v>
      </c>
      <c r="H386" s="1297"/>
      <c r="I386" s="1297"/>
      <c r="J386" s="1297"/>
      <c r="K386" s="154">
        <f>first_year+44</f>
        <v>2068</v>
      </c>
      <c r="L386" s="1297"/>
      <c r="M386" s="1297"/>
      <c r="N386" s="1297"/>
      <c r="O386" s="1297"/>
      <c r="P386" s="1297"/>
      <c r="Q386" s="1297"/>
      <c r="R386" s="1297"/>
      <c r="S386" s="1297"/>
      <c r="T386" s="468" cm="1" t="str">
        <f t="array" ref="T386:T386">T385</f>
        <v>false</v>
      </c>
      <c r="U386" s="1297"/>
      <c r="V386" s="1297"/>
      <c r="W386" s="1297"/>
      <c r="X386" s="1539"/>
      <c r="Y386" s="1539"/>
      <c r="Z386" s="1529"/>
      <c r="AA386" s="1630"/>
      <c r="AB386" s="251" t="str">
        <f>K386&amp;" год"</f>
        <v>2068 год</v>
      </c>
      <c r="AC386" s="409"/>
      <c r="AD386" s="6972"/>
      <c r="AE386" s="6971"/>
      <c r="AF386" s="6971"/>
      <c r="AG386" s="6972"/>
      <c r="AH386" s="6971"/>
      <c r="AI386" s="6972"/>
      <c r="AJ386" s="6971"/>
      <c r="AK386" s="6973"/>
      <c r="AL386" s="404"/>
      <c r="AM386" s="1297"/>
      <c r="AN386" s="1072" cm="1" t="str">
        <f t="array" ref="AN386:AN386">K386</f>
        <v>2068</v>
      </c>
      <c r="AO386" s="1072" t="s">
        <v>2773</v>
      </c>
      <c r="AP386" s="1082" cm="1" t="str">
        <f t="array" ref="AP386:AP386">AP385</f>
        <v>0</v>
      </c>
      <c r="AQ386" s="709"/>
      <c r="AR386" s="709"/>
    </row>
    <row s="7297" customFormat="1" customHeight="1" ht="14.25" hidden="1">
      <c r="A387" s="1297"/>
      <c r="B387" s="447">
        <f>K387&lt;first_year+PERIOD_LENGTH</f>
        <v>0</v>
      </c>
      <c r="C387" s="1297"/>
      <c r="D387" s="1297"/>
      <c r="E387" s="709">
        <v>15</v>
      </c>
      <c r="F387" s="50" cm="1" t="str">
        <f t="array" ref="F387:F387">OFFSET(E387,-1,1)</f>
        <v>3</v>
      </c>
      <c r="G387" s="94" cm="1" t="str">
        <f t="array" ref="G387:G387">G386</f>
        <v>0</v>
      </c>
      <c r="H387" s="1297"/>
      <c r="I387" s="1297"/>
      <c r="J387" s="1297"/>
      <c r="K387" s="154">
        <f>first_year+45</f>
        <v>2069</v>
      </c>
      <c r="L387" s="1297"/>
      <c r="M387" s="1297"/>
      <c r="N387" s="1297"/>
      <c r="O387" s="1297"/>
      <c r="P387" s="1297"/>
      <c r="Q387" s="1297"/>
      <c r="R387" s="1297"/>
      <c r="S387" s="1297"/>
      <c r="T387" s="468" cm="1" t="str">
        <f t="array" ref="T387:T387">T386</f>
        <v>false</v>
      </c>
      <c r="U387" s="1297"/>
      <c r="V387" s="1297"/>
      <c r="W387" s="1297"/>
      <c r="X387" s="1539"/>
      <c r="Y387" s="1539"/>
      <c r="Z387" s="1529"/>
      <c r="AA387" s="1630"/>
      <c r="AB387" s="251" t="str">
        <f>K387&amp;" год"</f>
        <v>2069 год</v>
      </c>
      <c r="AC387" s="409"/>
      <c r="AD387" s="6972"/>
      <c r="AE387" s="6971"/>
      <c r="AF387" s="6971"/>
      <c r="AG387" s="6972"/>
      <c r="AH387" s="6971"/>
      <c r="AI387" s="6972"/>
      <c r="AJ387" s="6971"/>
      <c r="AK387" s="6973"/>
      <c r="AL387" s="404"/>
      <c r="AM387" s="1297"/>
      <c r="AN387" s="1072" cm="1" t="str">
        <f t="array" ref="AN387:AN387">K387</f>
        <v>2069</v>
      </c>
      <c r="AO387" s="1072" t="s">
        <v>2773</v>
      </c>
      <c r="AP387" s="1082" cm="1" t="str">
        <f t="array" ref="AP387:AP387">AP386</f>
        <v>0</v>
      </c>
      <c r="AQ387" s="709"/>
      <c r="AR387" s="709"/>
    </row>
    <row s="7298" customFormat="1" customHeight="1" ht="14.25" hidden="1">
      <c r="A388" s="1297"/>
      <c r="B388" s="447">
        <f>K388&lt;first_year+PERIOD_LENGTH</f>
        <v>0</v>
      </c>
      <c r="C388" s="1297"/>
      <c r="D388" s="1297"/>
      <c r="E388" s="709">
        <v>15</v>
      </c>
      <c r="F388" s="50" cm="1" t="str">
        <f t="array" ref="F388:F388">OFFSET(E388,-1,1)</f>
        <v>3</v>
      </c>
      <c r="G388" s="94" cm="1" t="str">
        <f t="array" ref="G388:G388">G387</f>
        <v>0</v>
      </c>
      <c r="H388" s="1297"/>
      <c r="I388" s="1297"/>
      <c r="J388" s="1297"/>
      <c r="K388" s="154">
        <f>first_year+46</f>
        <v>2070</v>
      </c>
      <c r="L388" s="1297"/>
      <c r="M388" s="1297"/>
      <c r="N388" s="1297"/>
      <c r="O388" s="1297"/>
      <c r="P388" s="1297"/>
      <c r="Q388" s="1297"/>
      <c r="R388" s="1297"/>
      <c r="S388" s="1297"/>
      <c r="T388" s="468" cm="1" t="str">
        <f t="array" ref="T388:T388">T387</f>
        <v>false</v>
      </c>
      <c r="U388" s="1297"/>
      <c r="V388" s="1297"/>
      <c r="W388" s="1297"/>
      <c r="X388" s="1539"/>
      <c r="Y388" s="1539"/>
      <c r="Z388" s="1529"/>
      <c r="AA388" s="1630"/>
      <c r="AB388" s="251" t="str">
        <f>K388&amp;" год"</f>
        <v>2070 год</v>
      </c>
      <c r="AC388" s="409"/>
      <c r="AD388" s="6972"/>
      <c r="AE388" s="6971"/>
      <c r="AF388" s="6971"/>
      <c r="AG388" s="6972"/>
      <c r="AH388" s="6971"/>
      <c r="AI388" s="6972"/>
      <c r="AJ388" s="6971"/>
      <c r="AK388" s="6973"/>
      <c r="AL388" s="404"/>
      <c r="AM388" s="1297"/>
      <c r="AN388" s="1072" cm="1" t="str">
        <f t="array" ref="AN388:AN388">K388</f>
        <v>2070</v>
      </c>
      <c r="AO388" s="1072" t="s">
        <v>2773</v>
      </c>
      <c r="AP388" s="1082" cm="1" t="str">
        <f t="array" ref="AP388:AP388">AP387</f>
        <v>0</v>
      </c>
      <c r="AQ388" s="709"/>
      <c r="AR388" s="709"/>
    </row>
    <row s="7299" customFormat="1" customHeight="1" ht="14.25" hidden="1">
      <c r="A389" s="1297"/>
      <c r="B389" s="447">
        <f>K389&lt;first_year+PERIOD_LENGTH</f>
        <v>0</v>
      </c>
      <c r="C389" s="1297"/>
      <c r="D389" s="1297"/>
      <c r="E389" s="709">
        <v>15</v>
      </c>
      <c r="F389" s="50" cm="1" t="str">
        <f t="array" ref="F389:F389">OFFSET(E389,-1,1)</f>
        <v>3</v>
      </c>
      <c r="G389" s="94" cm="1" t="str">
        <f t="array" ref="G389:G389">G388</f>
        <v>0</v>
      </c>
      <c r="H389" s="1297"/>
      <c r="I389" s="1297"/>
      <c r="J389" s="1297"/>
      <c r="K389" s="154">
        <f>first_year+47</f>
        <v>2071</v>
      </c>
      <c r="L389" s="1297"/>
      <c r="M389" s="1297"/>
      <c r="N389" s="1297"/>
      <c r="O389" s="1297"/>
      <c r="P389" s="1297"/>
      <c r="Q389" s="1297"/>
      <c r="R389" s="1297"/>
      <c r="S389" s="1297"/>
      <c r="T389" s="468" cm="1" t="str">
        <f t="array" ref="T389:T389">T388</f>
        <v>false</v>
      </c>
      <c r="U389" s="1297"/>
      <c r="V389" s="1297"/>
      <c r="W389" s="1297"/>
      <c r="X389" s="1539"/>
      <c r="Y389" s="1539"/>
      <c r="Z389" s="1529"/>
      <c r="AA389" s="1630"/>
      <c r="AB389" s="251" t="str">
        <f>K389&amp;" год"</f>
        <v>2071 год</v>
      </c>
      <c r="AC389" s="409"/>
      <c r="AD389" s="6972"/>
      <c r="AE389" s="6971"/>
      <c r="AF389" s="6971"/>
      <c r="AG389" s="6972"/>
      <c r="AH389" s="6971"/>
      <c r="AI389" s="6972"/>
      <c r="AJ389" s="6971"/>
      <c r="AK389" s="6973"/>
      <c r="AL389" s="404"/>
      <c r="AM389" s="1297"/>
      <c r="AN389" s="1072" cm="1" t="str">
        <f t="array" ref="AN389:AN389">K389</f>
        <v>2071</v>
      </c>
      <c r="AO389" s="1072" t="s">
        <v>2773</v>
      </c>
      <c r="AP389" s="1082" cm="1" t="str">
        <f t="array" ref="AP389:AP389">AP388</f>
        <v>0</v>
      </c>
      <c r="AQ389" s="709"/>
      <c r="AR389" s="709"/>
    </row>
    <row s="7300" customFormat="1" customHeight="1" ht="14.25" hidden="1">
      <c r="A390" s="1297"/>
      <c r="B390" s="447">
        <f>K390&lt;first_year+PERIOD_LENGTH</f>
        <v>0</v>
      </c>
      <c r="C390" s="1297"/>
      <c r="D390" s="1297"/>
      <c r="E390" s="709">
        <v>15</v>
      </c>
      <c r="F390" s="50" cm="1" t="str">
        <f t="array" ref="F390:F390">OFFSET(E390,-1,1)</f>
        <v>3</v>
      </c>
      <c r="G390" s="94" cm="1" t="str">
        <f t="array" ref="G390:G390">G389</f>
        <v>0</v>
      </c>
      <c r="H390" s="1297"/>
      <c r="I390" s="1297"/>
      <c r="J390" s="1297"/>
      <c r="K390" s="154">
        <f>first_year+48</f>
        <v>2072</v>
      </c>
      <c r="L390" s="1297"/>
      <c r="M390" s="1297"/>
      <c r="N390" s="1297"/>
      <c r="O390" s="1297"/>
      <c r="P390" s="1297"/>
      <c r="Q390" s="1297"/>
      <c r="R390" s="1297"/>
      <c r="S390" s="1297"/>
      <c r="T390" s="468" cm="1" t="str">
        <f t="array" ref="T390:T390">T389</f>
        <v>false</v>
      </c>
      <c r="U390" s="1297"/>
      <c r="V390" s="1297"/>
      <c r="W390" s="1297"/>
      <c r="X390" s="1539"/>
      <c r="Y390" s="1539"/>
      <c r="Z390" s="1529"/>
      <c r="AA390" s="1630"/>
      <c r="AB390" s="251" t="str">
        <f>K390&amp;" год"</f>
        <v>2072 год</v>
      </c>
      <c r="AC390" s="409"/>
      <c r="AD390" s="6972"/>
      <c r="AE390" s="6971"/>
      <c r="AF390" s="6971"/>
      <c r="AG390" s="6972"/>
      <c r="AH390" s="6971"/>
      <c r="AI390" s="6972"/>
      <c r="AJ390" s="6971"/>
      <c r="AK390" s="6973"/>
      <c r="AL390" s="404"/>
      <c r="AM390" s="1297"/>
      <c r="AN390" s="1072" cm="1" t="str">
        <f t="array" ref="AN390:AN390">K390</f>
        <v>2072</v>
      </c>
      <c r="AO390" s="1072" t="s">
        <v>2773</v>
      </c>
      <c r="AP390" s="1082" cm="1" t="str">
        <f t="array" ref="AP390:AP390">AP389</f>
        <v>0</v>
      </c>
      <c r="AQ390" s="709"/>
      <c r="AR390" s="709"/>
    </row>
    <row s="7301" customFormat="1" customHeight="1" ht="14.25" hidden="1">
      <c r="A391" s="1297"/>
      <c r="B391" s="447">
        <f>K391&lt;first_year+PERIOD_LENGTH</f>
        <v>0</v>
      </c>
      <c r="C391" s="1297"/>
      <c r="D391" s="1297"/>
      <c r="E391" s="709">
        <v>15</v>
      </c>
      <c r="F391" s="50" cm="1" t="str">
        <f t="array" ref="F391:F391">OFFSET(E391,-1,1)</f>
        <v>3</v>
      </c>
      <c r="G391" s="94" cm="1" t="str">
        <f t="array" ref="G391:G391">G390</f>
        <v>0</v>
      </c>
      <c r="H391" s="1297"/>
      <c r="I391" s="1297"/>
      <c r="J391" s="1297"/>
      <c r="K391" s="154">
        <f>first_year+49</f>
        <v>2073</v>
      </c>
      <c r="L391" s="1297"/>
      <c r="M391" s="1297"/>
      <c r="N391" s="1297"/>
      <c r="O391" s="1297"/>
      <c r="P391" s="1297"/>
      <c r="Q391" s="1297"/>
      <c r="R391" s="1297"/>
      <c r="S391" s="1297"/>
      <c r="T391" s="468" cm="1" t="str">
        <f t="array" ref="T391:T391">T390</f>
        <v>false</v>
      </c>
      <c r="U391" s="1297"/>
      <c r="V391" s="1297"/>
      <c r="W391" s="1297"/>
      <c r="X391" s="1539"/>
      <c r="Y391" s="1539"/>
      <c r="Z391" s="1529"/>
      <c r="AA391" s="1630"/>
      <c r="AB391" s="251" t="str">
        <f>K391&amp;" год"</f>
        <v>2073 год</v>
      </c>
      <c r="AC391" s="409"/>
      <c r="AD391" s="6972"/>
      <c r="AE391" s="6971"/>
      <c r="AF391" s="6971"/>
      <c r="AG391" s="6972"/>
      <c r="AH391" s="6971"/>
      <c r="AI391" s="6972"/>
      <c r="AJ391" s="6971"/>
      <c r="AK391" s="6973"/>
      <c r="AL391" s="404"/>
      <c r="AM391" s="1297"/>
      <c r="AN391" s="1072" cm="1" t="str">
        <f t="array" ref="AN391:AN391">K391</f>
        <v>2073</v>
      </c>
      <c r="AO391" s="1072" t="s">
        <v>2773</v>
      </c>
      <c r="AP391" s="1082" cm="1" t="str">
        <f t="array" ref="AP391:AP391">AP390</f>
        <v>0</v>
      </c>
      <c r="AQ391" s="709"/>
      <c r="AR391" s="709"/>
    </row>
    <row s="541" customFormat="1" customHeight="1" ht="56.671875">
      <c r="A392" s="1331"/>
      <c r="B392" s="430"/>
      <c r="C392" s="1331"/>
      <c r="D392" s="1331"/>
      <c r="E392" s="623">
        <v>15</v>
      </c>
      <c r="F392" s="50" cm="1" t="str">
        <f t="array" ref="F392:F392">OFFSET(E392,-1,1)</f>
        <v>3</v>
      </c>
      <c r="G392" s="118" cm="1" t="str">
        <f t="array" ref="G392:G392">AB392</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H392" s="1331"/>
      <c r="I392" s="1331"/>
      <c r="J392" s="1331"/>
      <c r="K392" s="1331"/>
      <c r="L392" s="1331"/>
      <c r="M392" s="1331"/>
      <c r="N392" s="1331"/>
      <c r="O392" s="1331"/>
      <c r="P392" s="1331"/>
      <c r="Q392" s="1331"/>
      <c r="R392" s="1331"/>
      <c r="S392" s="1331"/>
      <c r="T392" s="468">
        <f>AND(F392&gt;0,Y392&gt;0)</f>
        <v>1</v>
      </c>
      <c r="U392" s="1331"/>
      <c r="V392" s="1331"/>
      <c r="W392" s="118"/>
      <c r="X392" s="1539"/>
      <c r="Y392" s="1539" t="s">
        <v>290</v>
      </c>
      <c r="Z392" s="1529"/>
      <c r="AA392" s="1630" t="s">
        <v>174</v>
      </c>
      <c r="AB392" s="1631" t="s">
        <v>2777</v>
      </c>
      <c r="AC392" s="1631"/>
      <c r="AD392" s="1631"/>
      <c r="AE392" s="1631"/>
      <c r="AF392" s="1631"/>
      <c r="AG392" s="1631"/>
      <c r="AH392" s="6967"/>
      <c r="AI392" s="6967"/>
      <c r="AJ392" s="6967"/>
      <c r="AK392" s="6968"/>
      <c r="AL392" s="403"/>
      <c r="AM392" s="1331"/>
      <c r="AN392" s="1005"/>
      <c r="AO392" s="1072" t="s">
        <v>2773</v>
      </c>
      <c r="AP392" s="1087" cm="1" t="str">
        <f t="array" ref="AP392:AP392">AB392</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AQ392" s="623"/>
      <c r="AR392" s="623" t="b">
        <v>1</v>
      </c>
    </row>
    <row s="7302" customFormat="1" customHeight="1" ht="20.671875">
      <c r="A393" s="1297"/>
      <c r="B393" s="447">
        <f>K393&lt;first_year+PERIOD_LENGTH</f>
        <v>1</v>
      </c>
      <c r="C393" s="1297"/>
      <c r="D393" s="1297"/>
      <c r="E393" s="709">
        <v>15</v>
      </c>
      <c r="F393" s="50" cm="1" t="str">
        <f t="array" ref="F393:F393">OFFSET(E393,-1,1)</f>
        <v>3</v>
      </c>
      <c r="G393" s="94" cm="1" t="str">
        <f t="array" ref="G393:G393">G392</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H393" s="1297"/>
      <c r="I393" s="1297"/>
      <c r="J393" s="1297"/>
      <c r="K393" s="154" cm="1" t="str">
        <f t="array" ref="K393:K393">first_year</f>
        <v>2024</v>
      </c>
      <c r="L393" s="1297"/>
      <c r="M393" s="1297"/>
      <c r="N393" s="1297"/>
      <c r="O393" s="1297"/>
      <c r="P393" s="1297"/>
      <c r="Q393" s="1297"/>
      <c r="R393" s="1297"/>
      <c r="S393" s="1297"/>
      <c r="T393" s="468" cm="1" t="str">
        <f t="array" ref="T393:T393">T392</f>
        <v>true</v>
      </c>
      <c r="U393" s="1297"/>
      <c r="V393" s="1297"/>
      <c r="W393" s="1297"/>
      <c r="X393" s="1539"/>
      <c r="Y393" s="1539"/>
      <c r="Z393" s="1529"/>
      <c r="AA393" s="1630"/>
      <c r="AB393" s="298" t="str">
        <f>K393&amp;" год"</f>
        <v>2024 год</v>
      </c>
      <c r="AC393" s="299"/>
      <c r="AD393" s="313">
        <v>1</v>
      </c>
      <c r="AE393" s="299">
        <v>28.08</v>
      </c>
      <c r="AF393" s="299"/>
      <c r="AG393" s="313">
        <v>0.63</v>
      </c>
      <c r="AH393" s="6971"/>
      <c r="AI393" s="6972"/>
      <c r="AJ393" s="6971"/>
      <c r="AK393" s="6973"/>
      <c r="AL393" s="404"/>
      <c r="AM393" s="1297"/>
      <c r="AN393" s="1072" cm="1" t="str">
        <f t="array" ref="AN393:AN393">K393</f>
        <v>2024</v>
      </c>
      <c r="AO393" s="1072" t="s">
        <v>2773</v>
      </c>
      <c r="AP393" s="1082" cm="1" t="str">
        <f t="array" ref="AP393:AP393">AP392</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AQ393" s="709"/>
      <c r="AR393" s="709"/>
    </row>
    <row s="7303" customFormat="1" customHeight="1" ht="16.171875">
      <c r="A394" s="1297"/>
      <c r="B394" s="447">
        <f>K394&lt;first_year+PERIOD_LENGTH</f>
        <v>1</v>
      </c>
      <c r="C394" s="1297"/>
      <c r="D394" s="1297"/>
      <c r="E394" s="709">
        <v>15</v>
      </c>
      <c r="F394" s="50" cm="1" t="str">
        <f t="array" ref="F394:F394">OFFSET(E394,-1,1)</f>
        <v>3</v>
      </c>
      <c r="G394" s="94" cm="1" t="str">
        <f t="array" ref="G394:G394">G393</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H394" s="1297"/>
      <c r="I394" s="1297"/>
      <c r="J394" s="1297"/>
      <c r="K394" s="154">
        <f>first_year+1</f>
        <v>2025</v>
      </c>
      <c r="L394" s="1297"/>
      <c r="M394" s="1297"/>
      <c r="N394" s="1297"/>
      <c r="O394" s="1297"/>
      <c r="P394" s="1297"/>
      <c r="Q394" s="1297"/>
      <c r="R394" s="1297"/>
      <c r="S394" s="1297"/>
      <c r="T394" s="468" cm="1" t="str">
        <f t="array" ref="T394:T394">T393</f>
        <v>true</v>
      </c>
      <c r="U394" s="1297"/>
      <c r="V394" s="1297"/>
      <c r="W394" s="1297"/>
      <c r="X394" s="1539"/>
      <c r="Y394" s="1539"/>
      <c r="Z394" s="1529"/>
      <c r="AA394" s="1630"/>
      <c r="AB394" s="251" t="str">
        <f>K394&amp;" год"</f>
        <v>2025 год</v>
      </c>
      <c r="AC394" s="409"/>
      <c r="AD394" s="313">
        <v>0</v>
      </c>
      <c r="AE394" s="299">
        <v>42.85</v>
      </c>
      <c r="AF394" s="299"/>
      <c r="AG394" s="313">
        <v>0.63</v>
      </c>
      <c r="AH394" s="6971"/>
      <c r="AI394" s="6972"/>
      <c r="AJ394" s="6971"/>
      <c r="AK394" s="6973"/>
      <c r="AL394" s="404"/>
      <c r="AM394" s="1297"/>
      <c r="AN394" s="1072" cm="1" t="str">
        <f t="array" ref="AN394:AN394">K394</f>
        <v>2025</v>
      </c>
      <c r="AO394" s="1072" t="s">
        <v>2773</v>
      </c>
      <c r="AP394" s="1082" cm="1" t="str">
        <f t="array" ref="AP394:AP394">AP393</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AQ394" s="709"/>
      <c r="AR394" s="709"/>
    </row>
    <row s="7304" customFormat="1" customHeight="1" ht="14.671875">
      <c r="A395" s="1297"/>
      <c r="B395" s="447">
        <f>K395&lt;first_year+PERIOD_LENGTH</f>
        <v>1</v>
      </c>
      <c r="C395" s="1297"/>
      <c r="D395" s="1297"/>
      <c r="E395" s="709">
        <v>15</v>
      </c>
      <c r="F395" s="50" cm="1" t="str">
        <f t="array" ref="F395:F395">OFFSET(E395,-1,1)</f>
        <v>3</v>
      </c>
      <c r="G395" s="94" cm="1" t="str">
        <f t="array" ref="G395:G395">G394</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H395" s="1297"/>
      <c r="I395" s="1297"/>
      <c r="J395" s="1297"/>
      <c r="K395" s="154">
        <f>first_year+2</f>
        <v>2026</v>
      </c>
      <c r="L395" s="1297"/>
      <c r="M395" s="1297"/>
      <c r="N395" s="1297"/>
      <c r="O395" s="1297"/>
      <c r="P395" s="1297"/>
      <c r="Q395" s="1297"/>
      <c r="R395" s="1297"/>
      <c r="S395" s="1297"/>
      <c r="T395" s="468" cm="1" t="str">
        <f t="array" ref="T395:T395">T394</f>
        <v>true</v>
      </c>
      <c r="U395" s="1297"/>
      <c r="V395" s="1297"/>
      <c r="W395" s="1297"/>
      <c r="X395" s="1539"/>
      <c r="Y395" s="1539"/>
      <c r="Z395" s="1529"/>
      <c r="AA395" s="1630"/>
      <c r="AB395" s="251" t="str">
        <f>K395&amp;" год"</f>
        <v>2026 год</v>
      </c>
      <c r="AC395" s="409"/>
      <c r="AD395" s="313">
        <v>1</v>
      </c>
      <c r="AE395" s="299">
        <v>60.47</v>
      </c>
      <c r="AF395" s="299"/>
      <c r="AG395" s="313">
        <v>0.63</v>
      </c>
      <c r="AH395" s="6971"/>
      <c r="AI395" s="6972"/>
      <c r="AJ395" s="6971"/>
      <c r="AK395" s="6973"/>
      <c r="AL395" s="404"/>
      <c r="AM395" s="1297"/>
      <c r="AN395" s="1072" cm="1" t="str">
        <f t="array" ref="AN395:AN395">K395</f>
        <v>2026</v>
      </c>
      <c r="AO395" s="1072" t="s">
        <v>2773</v>
      </c>
      <c r="AP395" s="1082" cm="1" t="str">
        <f t="array" ref="AP395:AP395">AP394</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AQ395" s="709"/>
      <c r="AR395" s="709"/>
    </row>
    <row s="7305" customFormat="1" customHeight="1" ht="16.171875">
      <c r="A396" s="1297"/>
      <c r="B396" s="447">
        <f>K396&lt;first_year+PERIOD_LENGTH</f>
        <v>1</v>
      </c>
      <c r="C396" s="1297"/>
      <c r="D396" s="1297"/>
      <c r="E396" s="709">
        <v>15</v>
      </c>
      <c r="F396" s="50" cm="1" t="str">
        <f t="array" ref="F396:F396">OFFSET(E396,-1,1)</f>
        <v>3</v>
      </c>
      <c r="G396" s="94" cm="1" t="str">
        <f t="array" ref="G396:G396">G395</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H396" s="1297"/>
      <c r="I396" s="1297"/>
      <c r="J396" s="1297"/>
      <c r="K396" s="154">
        <f>first_year+3</f>
        <v>2027</v>
      </c>
      <c r="L396" s="1297"/>
      <c r="M396" s="1297"/>
      <c r="N396" s="1297"/>
      <c r="O396" s="1297"/>
      <c r="P396" s="1297"/>
      <c r="Q396" s="1297"/>
      <c r="R396" s="1297"/>
      <c r="S396" s="1297"/>
      <c r="T396" s="468" cm="1" t="str">
        <f t="array" ref="T396:T396">T395</f>
        <v>true</v>
      </c>
      <c r="U396" s="1297"/>
      <c r="V396" s="1297"/>
      <c r="W396" s="1297"/>
      <c r="X396" s="1539"/>
      <c r="Y396" s="1539"/>
      <c r="Z396" s="1529"/>
      <c r="AA396" s="1630"/>
      <c r="AB396" s="251" t="str">
        <f>K396&amp;" год"</f>
        <v>2027 год</v>
      </c>
      <c r="AC396" s="409"/>
      <c r="AD396" s="313">
        <v>1</v>
      </c>
      <c r="AE396" s="299">
        <v>80.99</v>
      </c>
      <c r="AF396" s="299"/>
      <c r="AG396" s="313">
        <v>0.63</v>
      </c>
      <c r="AH396" s="6971"/>
      <c r="AI396" s="6972"/>
      <c r="AJ396" s="6971"/>
      <c r="AK396" s="6973"/>
      <c r="AL396" s="404"/>
      <c r="AM396" s="1297"/>
      <c r="AN396" s="1072" cm="1" t="str">
        <f t="array" ref="AN396:AN396">K396</f>
        <v>2027</v>
      </c>
      <c r="AO396" s="1072" t="s">
        <v>2773</v>
      </c>
      <c r="AP396" s="1082" cm="1" t="str">
        <f t="array" ref="AP396:AP396">AP395</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AQ396" s="709"/>
      <c r="AR396" s="709"/>
    </row>
    <row s="7306" customFormat="1" customHeight="1" ht="17.671875">
      <c r="A397" s="1297"/>
      <c r="B397" s="447">
        <f>K397&lt;first_year+PERIOD_LENGTH</f>
        <v>1</v>
      </c>
      <c r="C397" s="1297"/>
      <c r="D397" s="1297"/>
      <c r="E397" s="709">
        <v>15</v>
      </c>
      <c r="F397" s="50" cm="1" t="str">
        <f t="array" ref="F397:F397">OFFSET(E397,-1,1)</f>
        <v>3</v>
      </c>
      <c r="G397" s="94" cm="1" t="str">
        <f t="array" ref="G397:G397">G396</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H397" s="1297"/>
      <c r="I397" s="1297"/>
      <c r="J397" s="1297"/>
      <c r="K397" s="154">
        <f>first_year+4</f>
        <v>2028</v>
      </c>
      <c r="L397" s="1297"/>
      <c r="M397" s="1297"/>
      <c r="N397" s="1297"/>
      <c r="O397" s="1297"/>
      <c r="P397" s="1297"/>
      <c r="Q397" s="1297"/>
      <c r="R397" s="1297"/>
      <c r="S397" s="1297"/>
      <c r="T397" s="468" cm="1" t="str">
        <f t="array" ref="T397:T397">T396</f>
        <v>true</v>
      </c>
      <c r="U397" s="1297"/>
      <c r="V397" s="1297"/>
      <c r="W397" s="1297"/>
      <c r="X397" s="1539"/>
      <c r="Y397" s="1539"/>
      <c r="Z397" s="1529"/>
      <c r="AA397" s="1630"/>
      <c r="AB397" s="251" t="str">
        <f>K397&amp;" год"</f>
        <v>2028 год</v>
      </c>
      <c r="AC397" s="409"/>
      <c r="AD397" s="313">
        <v>1</v>
      </c>
      <c r="AE397" s="299">
        <v>87.5</v>
      </c>
      <c r="AF397" s="299"/>
      <c r="AG397" s="313">
        <v>0.63</v>
      </c>
      <c r="AH397" s="6971"/>
      <c r="AI397" s="6972"/>
      <c r="AJ397" s="6971"/>
      <c r="AK397" s="6973"/>
      <c r="AL397" s="404"/>
      <c r="AM397" s="1297"/>
      <c r="AN397" s="1072" cm="1" t="str">
        <f t="array" ref="AN397:AN397">K397</f>
        <v>2028</v>
      </c>
      <c r="AO397" s="1072" t="s">
        <v>2773</v>
      </c>
      <c r="AP397" s="1082" cm="1" t="str">
        <f t="array" ref="AP397:AP397">AP396</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AQ397" s="709"/>
      <c r="AR397" s="709"/>
    </row>
    <row s="7307" customFormat="1" customHeight="1" ht="14.25" hidden="1">
      <c r="A398" s="1297"/>
      <c r="B398" s="447">
        <f>K398&lt;first_year+PERIOD_LENGTH</f>
        <v>0</v>
      </c>
      <c r="C398" s="1297"/>
      <c r="D398" s="1297"/>
      <c r="E398" s="709">
        <v>15</v>
      </c>
      <c r="F398" s="50" cm="1" t="str">
        <f t="array" ref="F398:F398">OFFSET(E398,-1,1)</f>
        <v>3</v>
      </c>
      <c r="G398" s="94" cm="1" t="str">
        <f t="array" ref="G398:G398">G397</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H398" s="1297"/>
      <c r="I398" s="1297"/>
      <c r="J398" s="1297"/>
      <c r="K398" s="154">
        <f>first_year+5</f>
        <v>2029</v>
      </c>
      <c r="L398" s="1297"/>
      <c r="M398" s="1297"/>
      <c r="N398" s="1297"/>
      <c r="O398" s="1297"/>
      <c r="P398" s="1297"/>
      <c r="Q398" s="1297"/>
      <c r="R398" s="1297"/>
      <c r="S398" s="1297"/>
      <c r="T398" s="468" cm="1" t="str">
        <f t="array" ref="T398:T398">T397</f>
        <v>true</v>
      </c>
      <c r="U398" s="1297"/>
      <c r="V398" s="1297"/>
      <c r="W398" s="1297"/>
      <c r="X398" s="1539"/>
      <c r="Y398" s="1539"/>
      <c r="Z398" s="1529"/>
      <c r="AA398" s="1630"/>
      <c r="AB398" s="251" t="str">
        <f>K398&amp;" год"</f>
        <v>2029 год</v>
      </c>
      <c r="AC398" s="409"/>
      <c r="AD398" s="6972"/>
      <c r="AE398" s="6971"/>
      <c r="AF398" s="6971"/>
      <c r="AG398" s="6972"/>
      <c r="AH398" s="6971"/>
      <c r="AI398" s="6972"/>
      <c r="AJ398" s="6971"/>
      <c r="AK398" s="6973"/>
      <c r="AL398" s="404"/>
      <c r="AM398" s="1297"/>
      <c r="AN398" s="1072" cm="1" t="str">
        <f t="array" ref="AN398:AN398">K398</f>
        <v>2029</v>
      </c>
      <c r="AO398" s="1072" t="s">
        <v>2773</v>
      </c>
      <c r="AP398" s="1082" cm="1" t="str">
        <f t="array" ref="AP398:AP398">AP397</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AQ398" s="709"/>
      <c r="AR398" s="709"/>
    </row>
    <row s="7308" customFormat="1" customHeight="1" ht="14.25" hidden="1">
      <c r="A399" s="1297"/>
      <c r="B399" s="447">
        <f>K399&lt;first_year+PERIOD_LENGTH</f>
        <v>0</v>
      </c>
      <c r="C399" s="1297"/>
      <c r="D399" s="1297"/>
      <c r="E399" s="709">
        <v>15</v>
      </c>
      <c r="F399" s="50" cm="1" t="str">
        <f t="array" ref="F399:F399">OFFSET(E399,-1,1)</f>
        <v>3</v>
      </c>
      <c r="G399" s="94" cm="1" t="str">
        <f t="array" ref="G399:G399">G398</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H399" s="1297"/>
      <c r="I399" s="1297"/>
      <c r="J399" s="1297"/>
      <c r="K399" s="154">
        <f>first_year+6</f>
        <v>2030</v>
      </c>
      <c r="L399" s="1297"/>
      <c r="M399" s="1297"/>
      <c r="N399" s="1297"/>
      <c r="O399" s="1297"/>
      <c r="P399" s="1297"/>
      <c r="Q399" s="1297"/>
      <c r="R399" s="1297"/>
      <c r="S399" s="1297"/>
      <c r="T399" s="468" cm="1" t="str">
        <f t="array" ref="T399:T399">T398</f>
        <v>true</v>
      </c>
      <c r="U399" s="1297"/>
      <c r="V399" s="1297"/>
      <c r="W399" s="1297"/>
      <c r="X399" s="1539"/>
      <c r="Y399" s="1539"/>
      <c r="Z399" s="1529"/>
      <c r="AA399" s="1630"/>
      <c r="AB399" s="251" t="str">
        <f>K399&amp;" год"</f>
        <v>2030 год</v>
      </c>
      <c r="AC399" s="409"/>
      <c r="AD399" s="6972"/>
      <c r="AE399" s="6971"/>
      <c r="AF399" s="6971"/>
      <c r="AG399" s="6972"/>
      <c r="AH399" s="6971"/>
      <c r="AI399" s="6972"/>
      <c r="AJ399" s="6971"/>
      <c r="AK399" s="6973"/>
      <c r="AL399" s="404"/>
      <c r="AM399" s="1297"/>
      <c r="AN399" s="1072" cm="1" t="str">
        <f t="array" ref="AN399:AN399">K399</f>
        <v>2030</v>
      </c>
      <c r="AO399" s="1072" t="s">
        <v>2773</v>
      </c>
      <c r="AP399" s="1082" cm="1" t="str">
        <f t="array" ref="AP399:AP399">AP398</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AQ399" s="709"/>
      <c r="AR399" s="709"/>
    </row>
    <row s="7309" customFormat="1" customHeight="1" ht="14.25" hidden="1">
      <c r="A400" s="1297"/>
      <c r="B400" s="447">
        <f>K400&lt;first_year+PERIOD_LENGTH</f>
        <v>0</v>
      </c>
      <c r="C400" s="1297"/>
      <c r="D400" s="1297"/>
      <c r="E400" s="709">
        <v>15</v>
      </c>
      <c r="F400" s="50" cm="1" t="str">
        <f t="array" ref="F400:F400">OFFSET(E400,-1,1)</f>
        <v>3</v>
      </c>
      <c r="G400" s="94" cm="1" t="str">
        <f t="array" ref="G400:G400">G399</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H400" s="1297"/>
      <c r="I400" s="1297"/>
      <c r="J400" s="1297"/>
      <c r="K400" s="154">
        <f>first_year+7</f>
        <v>2031</v>
      </c>
      <c r="L400" s="1297"/>
      <c r="M400" s="1297"/>
      <c r="N400" s="1297"/>
      <c r="O400" s="1297"/>
      <c r="P400" s="1297"/>
      <c r="Q400" s="1297"/>
      <c r="R400" s="1297"/>
      <c r="S400" s="1297"/>
      <c r="T400" s="468" cm="1" t="str">
        <f t="array" ref="T400:T400">T399</f>
        <v>true</v>
      </c>
      <c r="U400" s="1297"/>
      <c r="V400" s="1297"/>
      <c r="W400" s="1297"/>
      <c r="X400" s="1539"/>
      <c r="Y400" s="1539"/>
      <c r="Z400" s="1529"/>
      <c r="AA400" s="1630"/>
      <c r="AB400" s="251" t="str">
        <f>K400&amp;" год"</f>
        <v>2031 год</v>
      </c>
      <c r="AC400" s="409"/>
      <c r="AD400" s="6972"/>
      <c r="AE400" s="6971"/>
      <c r="AF400" s="6971"/>
      <c r="AG400" s="6972"/>
      <c r="AH400" s="6971"/>
      <c r="AI400" s="6972"/>
      <c r="AJ400" s="6971"/>
      <c r="AK400" s="6973"/>
      <c r="AL400" s="404"/>
      <c r="AM400" s="1297"/>
      <c r="AN400" s="1072" cm="1" t="str">
        <f t="array" ref="AN400:AN400">K400</f>
        <v>2031</v>
      </c>
      <c r="AO400" s="1072" t="s">
        <v>2773</v>
      </c>
      <c r="AP400" s="1082" cm="1" t="str">
        <f t="array" ref="AP400:AP400">AP399</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AQ400" s="709"/>
      <c r="AR400" s="709"/>
    </row>
    <row s="7310" customFormat="1" customHeight="1" ht="14.25" hidden="1">
      <c r="A401" s="1297"/>
      <c r="B401" s="447">
        <f>K401&lt;first_year+PERIOD_LENGTH</f>
        <v>0</v>
      </c>
      <c r="C401" s="1297"/>
      <c r="D401" s="1297"/>
      <c r="E401" s="709">
        <v>15</v>
      </c>
      <c r="F401" s="50" cm="1" t="str">
        <f t="array" ref="F401:F401">OFFSET(E401,-1,1)</f>
        <v>3</v>
      </c>
      <c r="G401" s="94" cm="1" t="str">
        <f t="array" ref="G401:G401">G400</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H401" s="1297"/>
      <c r="I401" s="1297"/>
      <c r="J401" s="1297"/>
      <c r="K401" s="154">
        <f>first_year+8</f>
        <v>2032</v>
      </c>
      <c r="L401" s="1297"/>
      <c r="M401" s="1297"/>
      <c r="N401" s="1297"/>
      <c r="O401" s="1297"/>
      <c r="P401" s="1297"/>
      <c r="Q401" s="1297"/>
      <c r="R401" s="1297"/>
      <c r="S401" s="1297"/>
      <c r="T401" s="468" cm="1" t="str">
        <f t="array" ref="T401:T401">T400</f>
        <v>true</v>
      </c>
      <c r="U401" s="1297"/>
      <c r="V401" s="1297"/>
      <c r="W401" s="1297"/>
      <c r="X401" s="1539"/>
      <c r="Y401" s="1539"/>
      <c r="Z401" s="1529"/>
      <c r="AA401" s="1630"/>
      <c r="AB401" s="251" t="str">
        <f>K401&amp;" год"</f>
        <v>2032 год</v>
      </c>
      <c r="AC401" s="409"/>
      <c r="AD401" s="6972"/>
      <c r="AE401" s="6971"/>
      <c r="AF401" s="6971"/>
      <c r="AG401" s="6972"/>
      <c r="AH401" s="6971"/>
      <c r="AI401" s="6972"/>
      <c r="AJ401" s="6971"/>
      <c r="AK401" s="6973"/>
      <c r="AL401" s="404"/>
      <c r="AM401" s="1297"/>
      <c r="AN401" s="1072" cm="1" t="str">
        <f t="array" ref="AN401:AN401">K401</f>
        <v>2032</v>
      </c>
      <c r="AO401" s="1072" t="s">
        <v>2773</v>
      </c>
      <c r="AP401" s="1082" cm="1" t="str">
        <f t="array" ref="AP401:AP401">AP400</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AQ401" s="709"/>
      <c r="AR401" s="709"/>
    </row>
    <row s="7311" customFormat="1" customHeight="1" ht="14.25" hidden="1">
      <c r="A402" s="1297"/>
      <c r="B402" s="447">
        <f>K402&lt;first_year+PERIOD_LENGTH</f>
        <v>0</v>
      </c>
      <c r="C402" s="1297"/>
      <c r="D402" s="1297"/>
      <c r="E402" s="709">
        <v>15</v>
      </c>
      <c r="F402" s="50" cm="1" t="str">
        <f t="array" ref="F402:F402">OFFSET(E402,-1,1)</f>
        <v>3</v>
      </c>
      <c r="G402" s="94" cm="1" t="str">
        <f t="array" ref="G402:G402">G401</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H402" s="1297"/>
      <c r="I402" s="1297"/>
      <c r="J402" s="1297"/>
      <c r="K402" s="154">
        <f>first_year+9</f>
        <v>2033</v>
      </c>
      <c r="L402" s="1297"/>
      <c r="M402" s="1297"/>
      <c r="N402" s="1297"/>
      <c r="O402" s="1297"/>
      <c r="P402" s="1297"/>
      <c r="Q402" s="1297"/>
      <c r="R402" s="1297"/>
      <c r="S402" s="1297"/>
      <c r="T402" s="468" cm="1" t="str">
        <f t="array" ref="T402:T402">T401</f>
        <v>true</v>
      </c>
      <c r="U402" s="1297"/>
      <c r="V402" s="1297"/>
      <c r="W402" s="1297"/>
      <c r="X402" s="1539"/>
      <c r="Y402" s="1539"/>
      <c r="Z402" s="1529"/>
      <c r="AA402" s="1630"/>
      <c r="AB402" s="251" t="str">
        <f>K402&amp;" год"</f>
        <v>2033 год</v>
      </c>
      <c r="AC402" s="409"/>
      <c r="AD402" s="6972"/>
      <c r="AE402" s="6971"/>
      <c r="AF402" s="6971"/>
      <c r="AG402" s="6972"/>
      <c r="AH402" s="6971"/>
      <c r="AI402" s="6972"/>
      <c r="AJ402" s="6971"/>
      <c r="AK402" s="6973"/>
      <c r="AL402" s="404"/>
      <c r="AM402" s="1297"/>
      <c r="AN402" s="1072" cm="1" t="str">
        <f t="array" ref="AN402:AN402">K402</f>
        <v>2033</v>
      </c>
      <c r="AO402" s="1072" t="s">
        <v>2773</v>
      </c>
      <c r="AP402" s="1082" cm="1" t="str">
        <f t="array" ref="AP402:AP402">AP401</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AQ402" s="709"/>
      <c r="AR402" s="709"/>
    </row>
    <row s="7312" customFormat="1" customHeight="1" ht="14.25" hidden="1">
      <c r="A403" s="1297"/>
      <c r="B403" s="447">
        <f>K403&lt;first_year+PERIOD_LENGTH</f>
        <v>0</v>
      </c>
      <c r="C403" s="1297"/>
      <c r="D403" s="1297"/>
      <c r="E403" s="709">
        <v>15</v>
      </c>
      <c r="F403" s="50" cm="1" t="str">
        <f t="array" ref="F403:F403">OFFSET(E403,-1,1)</f>
        <v>3</v>
      </c>
      <c r="G403" s="94" cm="1" t="str">
        <f t="array" ref="G403:G403">G402</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H403" s="1297"/>
      <c r="I403" s="1297"/>
      <c r="J403" s="1297"/>
      <c r="K403" s="154">
        <f>first_year+10</f>
        <v>2034</v>
      </c>
      <c r="L403" s="1297"/>
      <c r="M403" s="1297"/>
      <c r="N403" s="1297"/>
      <c r="O403" s="1297"/>
      <c r="P403" s="1297"/>
      <c r="Q403" s="1297"/>
      <c r="R403" s="1297"/>
      <c r="S403" s="1297"/>
      <c r="T403" s="468" cm="1" t="str">
        <f t="array" ref="T403:T403">T402</f>
        <v>true</v>
      </c>
      <c r="U403" s="1297"/>
      <c r="V403" s="1297"/>
      <c r="W403" s="1297"/>
      <c r="X403" s="1539"/>
      <c r="Y403" s="1539"/>
      <c r="Z403" s="1529"/>
      <c r="AA403" s="1630"/>
      <c r="AB403" s="251" t="str">
        <f>K403&amp;" год"</f>
        <v>2034 год</v>
      </c>
      <c r="AC403" s="409"/>
      <c r="AD403" s="6972"/>
      <c r="AE403" s="6971"/>
      <c r="AF403" s="6971"/>
      <c r="AG403" s="6972"/>
      <c r="AH403" s="6971"/>
      <c r="AI403" s="6972"/>
      <c r="AJ403" s="6971"/>
      <c r="AK403" s="6973"/>
      <c r="AL403" s="404"/>
      <c r="AM403" s="1297"/>
      <c r="AN403" s="1072" cm="1" t="str">
        <f t="array" ref="AN403:AN403">K403</f>
        <v>2034</v>
      </c>
      <c r="AO403" s="1072" t="s">
        <v>2773</v>
      </c>
      <c r="AP403" s="1082" cm="1" t="str">
        <f t="array" ref="AP403:AP403">AP402</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AQ403" s="709"/>
      <c r="AR403" s="709"/>
    </row>
    <row s="7313" customFormat="1" customHeight="1" ht="14.25" hidden="1">
      <c r="A404" s="1297"/>
      <c r="B404" s="447">
        <f>K404&lt;first_year+PERIOD_LENGTH</f>
        <v>0</v>
      </c>
      <c r="C404" s="1297"/>
      <c r="D404" s="1297"/>
      <c r="E404" s="709">
        <v>15</v>
      </c>
      <c r="F404" s="50" cm="1" t="str">
        <f t="array" ref="F404:F404">OFFSET(E404,-1,1)</f>
        <v>3</v>
      </c>
      <c r="G404" s="94" cm="1" t="str">
        <f t="array" ref="G404:G404">G403</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H404" s="1297"/>
      <c r="I404" s="1297"/>
      <c r="J404" s="1297"/>
      <c r="K404" s="154">
        <f>first_year+11</f>
        <v>2035</v>
      </c>
      <c r="L404" s="1297"/>
      <c r="M404" s="1297"/>
      <c r="N404" s="1297"/>
      <c r="O404" s="1297"/>
      <c r="P404" s="1297"/>
      <c r="Q404" s="1297"/>
      <c r="R404" s="1297"/>
      <c r="S404" s="1297"/>
      <c r="T404" s="468" cm="1" t="str">
        <f t="array" ref="T404:T404">T403</f>
        <v>true</v>
      </c>
      <c r="U404" s="1297"/>
      <c r="V404" s="1297"/>
      <c r="W404" s="1297"/>
      <c r="X404" s="1539"/>
      <c r="Y404" s="1539"/>
      <c r="Z404" s="1529"/>
      <c r="AA404" s="1630"/>
      <c r="AB404" s="251" t="str">
        <f>K404&amp;" год"</f>
        <v>2035 год</v>
      </c>
      <c r="AC404" s="409"/>
      <c r="AD404" s="6972"/>
      <c r="AE404" s="6971"/>
      <c r="AF404" s="6971"/>
      <c r="AG404" s="6972"/>
      <c r="AH404" s="6971"/>
      <c r="AI404" s="6972"/>
      <c r="AJ404" s="6971"/>
      <c r="AK404" s="6973"/>
      <c r="AL404" s="404"/>
      <c r="AM404" s="1297"/>
      <c r="AN404" s="1072" cm="1" t="str">
        <f t="array" ref="AN404:AN404">K404</f>
        <v>2035</v>
      </c>
      <c r="AO404" s="1072" t="s">
        <v>2773</v>
      </c>
      <c r="AP404" s="1082" cm="1" t="str">
        <f t="array" ref="AP404:AP404">AP403</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AQ404" s="709"/>
      <c r="AR404" s="709"/>
    </row>
    <row s="7314" customFormat="1" customHeight="1" ht="14.25" hidden="1">
      <c r="A405" s="1297"/>
      <c r="B405" s="447">
        <f>K405&lt;first_year+PERIOD_LENGTH</f>
        <v>0</v>
      </c>
      <c r="C405" s="1297"/>
      <c r="D405" s="1297"/>
      <c r="E405" s="709">
        <v>15</v>
      </c>
      <c r="F405" s="50" cm="1" t="str">
        <f t="array" ref="F405:F405">OFFSET(E405,-1,1)</f>
        <v>3</v>
      </c>
      <c r="G405" s="94" cm="1" t="str">
        <f t="array" ref="G405:G405">G404</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H405" s="1297"/>
      <c r="I405" s="1297"/>
      <c r="J405" s="1297"/>
      <c r="K405" s="154">
        <f>first_year+12</f>
        <v>2036</v>
      </c>
      <c r="L405" s="1297"/>
      <c r="M405" s="1297"/>
      <c r="N405" s="1297"/>
      <c r="O405" s="1297"/>
      <c r="P405" s="1297"/>
      <c r="Q405" s="1297"/>
      <c r="R405" s="1297"/>
      <c r="S405" s="1297"/>
      <c r="T405" s="468" cm="1" t="str">
        <f t="array" ref="T405:T405">T404</f>
        <v>true</v>
      </c>
      <c r="U405" s="1297"/>
      <c r="V405" s="1297"/>
      <c r="W405" s="1297"/>
      <c r="X405" s="1539"/>
      <c r="Y405" s="1539"/>
      <c r="Z405" s="1529"/>
      <c r="AA405" s="1630"/>
      <c r="AB405" s="251" t="str">
        <f>K405&amp;" год"</f>
        <v>2036 год</v>
      </c>
      <c r="AC405" s="409"/>
      <c r="AD405" s="6972"/>
      <c r="AE405" s="6971"/>
      <c r="AF405" s="6971"/>
      <c r="AG405" s="6972"/>
      <c r="AH405" s="6971"/>
      <c r="AI405" s="6972"/>
      <c r="AJ405" s="6971"/>
      <c r="AK405" s="6973"/>
      <c r="AL405" s="404"/>
      <c r="AM405" s="1297"/>
      <c r="AN405" s="1072" cm="1" t="str">
        <f t="array" ref="AN405:AN405">K405</f>
        <v>2036</v>
      </c>
      <c r="AO405" s="1072" t="s">
        <v>2773</v>
      </c>
      <c r="AP405" s="1082" cm="1" t="str">
        <f t="array" ref="AP405:AP405">AP404</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AQ405" s="709"/>
      <c r="AR405" s="709"/>
    </row>
    <row s="7315" customFormat="1" customHeight="1" ht="14.25" hidden="1">
      <c r="A406" s="1297"/>
      <c r="B406" s="447">
        <f>K406&lt;first_year+PERIOD_LENGTH</f>
        <v>0</v>
      </c>
      <c r="C406" s="1297"/>
      <c r="D406" s="1297"/>
      <c r="E406" s="709">
        <v>15</v>
      </c>
      <c r="F406" s="50" cm="1" t="str">
        <f t="array" ref="F406:F406">OFFSET(E406,-1,1)</f>
        <v>3</v>
      </c>
      <c r="G406" s="94" cm="1" t="str">
        <f t="array" ref="G406:G406">G405</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H406" s="1297"/>
      <c r="I406" s="1297"/>
      <c r="J406" s="1297"/>
      <c r="K406" s="154">
        <f>first_year+13</f>
        <v>2037</v>
      </c>
      <c r="L406" s="1297"/>
      <c r="M406" s="1297"/>
      <c r="N406" s="1297"/>
      <c r="O406" s="1297"/>
      <c r="P406" s="1297"/>
      <c r="Q406" s="1297"/>
      <c r="R406" s="1297"/>
      <c r="S406" s="1297"/>
      <c r="T406" s="468" cm="1" t="str">
        <f t="array" ref="T406:T406">T405</f>
        <v>true</v>
      </c>
      <c r="U406" s="1297"/>
      <c r="V406" s="1297"/>
      <c r="W406" s="1297"/>
      <c r="X406" s="1539"/>
      <c r="Y406" s="1539"/>
      <c r="Z406" s="1529"/>
      <c r="AA406" s="1630"/>
      <c r="AB406" s="251" t="str">
        <f>K406&amp;" год"</f>
        <v>2037 год</v>
      </c>
      <c r="AC406" s="409"/>
      <c r="AD406" s="6972"/>
      <c r="AE406" s="6971"/>
      <c r="AF406" s="6971"/>
      <c r="AG406" s="6972"/>
      <c r="AH406" s="6971"/>
      <c r="AI406" s="6972"/>
      <c r="AJ406" s="6971"/>
      <c r="AK406" s="6973"/>
      <c r="AL406" s="404"/>
      <c r="AM406" s="1297"/>
      <c r="AN406" s="1072" cm="1" t="str">
        <f t="array" ref="AN406:AN406">K406</f>
        <v>2037</v>
      </c>
      <c r="AO406" s="1072" t="s">
        <v>2773</v>
      </c>
      <c r="AP406" s="1082" cm="1" t="str">
        <f t="array" ref="AP406:AP406">AP405</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AQ406" s="709"/>
      <c r="AR406" s="709"/>
    </row>
    <row s="7316" customFormat="1" customHeight="1" ht="14.25" hidden="1">
      <c r="A407" s="1297"/>
      <c r="B407" s="447">
        <f>K407&lt;first_year+PERIOD_LENGTH</f>
        <v>0</v>
      </c>
      <c r="C407" s="1297"/>
      <c r="D407" s="1297"/>
      <c r="E407" s="709">
        <v>15</v>
      </c>
      <c r="F407" s="50" cm="1" t="str">
        <f t="array" ref="F407:F407">OFFSET(E407,-1,1)</f>
        <v>3</v>
      </c>
      <c r="G407" s="94" cm="1" t="str">
        <f t="array" ref="G407:G407">G406</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H407" s="1297"/>
      <c r="I407" s="1297"/>
      <c r="J407" s="1297"/>
      <c r="K407" s="154">
        <f>first_year+14</f>
        <v>2038</v>
      </c>
      <c r="L407" s="1297"/>
      <c r="M407" s="1297"/>
      <c r="N407" s="1297"/>
      <c r="O407" s="1297"/>
      <c r="P407" s="1297"/>
      <c r="Q407" s="1297"/>
      <c r="R407" s="1297"/>
      <c r="S407" s="1297"/>
      <c r="T407" s="468" cm="1" t="str">
        <f t="array" ref="T407:T407">T406</f>
        <v>true</v>
      </c>
      <c r="U407" s="1297"/>
      <c r="V407" s="1297"/>
      <c r="W407" s="1297"/>
      <c r="X407" s="1539"/>
      <c r="Y407" s="1539"/>
      <c r="Z407" s="1529"/>
      <c r="AA407" s="1630"/>
      <c r="AB407" s="251" t="str">
        <f>K407&amp;" год"</f>
        <v>2038 год</v>
      </c>
      <c r="AC407" s="409"/>
      <c r="AD407" s="6972"/>
      <c r="AE407" s="6971"/>
      <c r="AF407" s="6971"/>
      <c r="AG407" s="6972"/>
      <c r="AH407" s="6971"/>
      <c r="AI407" s="6972"/>
      <c r="AJ407" s="6971"/>
      <c r="AK407" s="6973"/>
      <c r="AL407" s="404"/>
      <c r="AM407" s="1297"/>
      <c r="AN407" s="1072" cm="1" t="str">
        <f t="array" ref="AN407:AN407">K407</f>
        <v>2038</v>
      </c>
      <c r="AO407" s="1072" t="s">
        <v>2773</v>
      </c>
      <c r="AP407" s="1082" cm="1" t="str">
        <f t="array" ref="AP407:AP407">AP406</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AQ407" s="709"/>
      <c r="AR407" s="709"/>
    </row>
    <row s="7317" customFormat="1" customHeight="1" ht="14.25" hidden="1">
      <c r="A408" s="1297"/>
      <c r="B408" s="447">
        <f>K408&lt;first_year+PERIOD_LENGTH</f>
        <v>0</v>
      </c>
      <c r="C408" s="1297"/>
      <c r="D408" s="1297"/>
      <c r="E408" s="709">
        <v>15</v>
      </c>
      <c r="F408" s="50" cm="1" t="str">
        <f t="array" ref="F408:F408">OFFSET(E408,-1,1)</f>
        <v>3</v>
      </c>
      <c r="G408" s="94" cm="1" t="str">
        <f t="array" ref="G408:G408">G407</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H408" s="1297"/>
      <c r="I408" s="1297"/>
      <c r="J408" s="1297"/>
      <c r="K408" s="154">
        <f>first_year+15</f>
        <v>2039</v>
      </c>
      <c r="L408" s="1297"/>
      <c r="M408" s="1297"/>
      <c r="N408" s="1297"/>
      <c r="O408" s="1297"/>
      <c r="P408" s="1297"/>
      <c r="Q408" s="1297"/>
      <c r="R408" s="1297"/>
      <c r="S408" s="1297"/>
      <c r="T408" s="468" cm="1" t="str">
        <f t="array" ref="T408:T408">T407</f>
        <v>true</v>
      </c>
      <c r="U408" s="1297"/>
      <c r="V408" s="1297"/>
      <c r="W408" s="1297"/>
      <c r="X408" s="1539"/>
      <c r="Y408" s="1539"/>
      <c r="Z408" s="1529"/>
      <c r="AA408" s="1630"/>
      <c r="AB408" s="251" t="str">
        <f>K408&amp;" год"</f>
        <v>2039 год</v>
      </c>
      <c r="AC408" s="409"/>
      <c r="AD408" s="6972"/>
      <c r="AE408" s="6971"/>
      <c r="AF408" s="6971"/>
      <c r="AG408" s="6972"/>
      <c r="AH408" s="6971"/>
      <c r="AI408" s="6972"/>
      <c r="AJ408" s="6971"/>
      <c r="AK408" s="6973"/>
      <c r="AL408" s="404"/>
      <c r="AM408" s="1297"/>
      <c r="AN408" s="1072" cm="1" t="str">
        <f t="array" ref="AN408:AN408">K408</f>
        <v>2039</v>
      </c>
      <c r="AO408" s="1072" t="s">
        <v>2773</v>
      </c>
      <c r="AP408" s="1082" cm="1" t="str">
        <f t="array" ref="AP408:AP408">AP407</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AQ408" s="709"/>
      <c r="AR408" s="709"/>
    </row>
    <row s="7318" customFormat="1" customHeight="1" ht="14.25" hidden="1">
      <c r="A409" s="1297"/>
      <c r="B409" s="447">
        <f>K409&lt;first_year+PERIOD_LENGTH</f>
        <v>0</v>
      </c>
      <c r="C409" s="1297"/>
      <c r="D409" s="1297"/>
      <c r="E409" s="709">
        <v>15</v>
      </c>
      <c r="F409" s="50" cm="1" t="str">
        <f t="array" ref="F409:F409">OFFSET(E409,-1,1)</f>
        <v>3</v>
      </c>
      <c r="G409" s="94" cm="1" t="str">
        <f t="array" ref="G409:G409">G408</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H409" s="1297"/>
      <c r="I409" s="1297"/>
      <c r="J409" s="1297"/>
      <c r="K409" s="154">
        <f>first_year+16</f>
        <v>2040</v>
      </c>
      <c r="L409" s="1297"/>
      <c r="M409" s="1297"/>
      <c r="N409" s="1297"/>
      <c r="O409" s="1297"/>
      <c r="P409" s="1297"/>
      <c r="Q409" s="1297"/>
      <c r="R409" s="1297"/>
      <c r="S409" s="1297"/>
      <c r="T409" s="468" cm="1" t="str">
        <f t="array" ref="T409:T409">T408</f>
        <v>true</v>
      </c>
      <c r="U409" s="1297"/>
      <c r="V409" s="1297"/>
      <c r="W409" s="1297"/>
      <c r="X409" s="1539"/>
      <c r="Y409" s="1539"/>
      <c r="Z409" s="1529"/>
      <c r="AA409" s="1630"/>
      <c r="AB409" s="251" t="str">
        <f>K409&amp;" год"</f>
        <v>2040 год</v>
      </c>
      <c r="AC409" s="409"/>
      <c r="AD409" s="6972"/>
      <c r="AE409" s="6971"/>
      <c r="AF409" s="6971"/>
      <c r="AG409" s="6972"/>
      <c r="AH409" s="6971"/>
      <c r="AI409" s="6972"/>
      <c r="AJ409" s="6971"/>
      <c r="AK409" s="6973"/>
      <c r="AL409" s="404"/>
      <c r="AM409" s="1297"/>
      <c r="AN409" s="1072" cm="1" t="str">
        <f t="array" ref="AN409:AN409">K409</f>
        <v>2040</v>
      </c>
      <c r="AO409" s="1072" t="s">
        <v>2773</v>
      </c>
      <c r="AP409" s="1082" cm="1" t="str">
        <f t="array" ref="AP409:AP409">AP408</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AQ409" s="709"/>
      <c r="AR409" s="709"/>
    </row>
    <row s="7319" customFormat="1" customHeight="1" ht="14.25" hidden="1">
      <c r="A410" s="1297"/>
      <c r="B410" s="447">
        <f>K410&lt;first_year+PERIOD_LENGTH</f>
        <v>0</v>
      </c>
      <c r="C410" s="1297"/>
      <c r="D410" s="1297"/>
      <c r="E410" s="709">
        <v>15</v>
      </c>
      <c r="F410" s="50" cm="1" t="str">
        <f t="array" ref="F410:F410">OFFSET(E410,-1,1)</f>
        <v>3</v>
      </c>
      <c r="G410" s="94" cm="1" t="str">
        <f t="array" ref="G410:G410">G409</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H410" s="1297"/>
      <c r="I410" s="1297"/>
      <c r="J410" s="1297"/>
      <c r="K410" s="154">
        <f>first_year+17</f>
        <v>2041</v>
      </c>
      <c r="L410" s="1297"/>
      <c r="M410" s="1297"/>
      <c r="N410" s="1297"/>
      <c r="O410" s="1297"/>
      <c r="P410" s="1297"/>
      <c r="Q410" s="1297"/>
      <c r="R410" s="1297"/>
      <c r="S410" s="1297"/>
      <c r="T410" s="468" cm="1" t="str">
        <f t="array" ref="T410:T410">T409</f>
        <v>true</v>
      </c>
      <c r="U410" s="1297"/>
      <c r="V410" s="1297"/>
      <c r="W410" s="1297"/>
      <c r="X410" s="1539"/>
      <c r="Y410" s="1539"/>
      <c r="Z410" s="1529"/>
      <c r="AA410" s="1630"/>
      <c r="AB410" s="251" t="str">
        <f>K410&amp;" год"</f>
        <v>2041 год</v>
      </c>
      <c r="AC410" s="409"/>
      <c r="AD410" s="6972"/>
      <c r="AE410" s="6971"/>
      <c r="AF410" s="6971"/>
      <c r="AG410" s="6972"/>
      <c r="AH410" s="6971"/>
      <c r="AI410" s="6972"/>
      <c r="AJ410" s="6971"/>
      <c r="AK410" s="6973"/>
      <c r="AL410" s="404"/>
      <c r="AM410" s="1297"/>
      <c r="AN410" s="1072" cm="1" t="str">
        <f t="array" ref="AN410:AN410">K410</f>
        <v>2041</v>
      </c>
      <c r="AO410" s="1072" t="s">
        <v>2773</v>
      </c>
      <c r="AP410" s="1082" cm="1" t="str">
        <f t="array" ref="AP410:AP410">AP409</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AQ410" s="709"/>
      <c r="AR410" s="709"/>
    </row>
    <row s="7320" customFormat="1" customHeight="1" ht="14.25" hidden="1">
      <c r="A411" s="1297"/>
      <c r="B411" s="447">
        <f>K411&lt;first_year+PERIOD_LENGTH</f>
        <v>0</v>
      </c>
      <c r="C411" s="1297"/>
      <c r="D411" s="1297"/>
      <c r="E411" s="709">
        <v>15</v>
      </c>
      <c r="F411" s="50" cm="1" t="str">
        <f t="array" ref="F411:F411">OFFSET(E411,-1,1)</f>
        <v>3</v>
      </c>
      <c r="G411" s="94" cm="1" t="str">
        <f t="array" ref="G411:G411">G410</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H411" s="1297"/>
      <c r="I411" s="1297"/>
      <c r="J411" s="1297"/>
      <c r="K411" s="154">
        <f>first_year+18</f>
        <v>2042</v>
      </c>
      <c r="L411" s="1297"/>
      <c r="M411" s="1297"/>
      <c r="N411" s="1297"/>
      <c r="O411" s="1297"/>
      <c r="P411" s="1297"/>
      <c r="Q411" s="1297"/>
      <c r="R411" s="1297"/>
      <c r="S411" s="1297"/>
      <c r="T411" s="468" cm="1" t="str">
        <f t="array" ref="T411:T411">T410</f>
        <v>true</v>
      </c>
      <c r="U411" s="1297"/>
      <c r="V411" s="1297"/>
      <c r="W411" s="1297"/>
      <c r="X411" s="1539"/>
      <c r="Y411" s="1539"/>
      <c r="Z411" s="1529"/>
      <c r="AA411" s="1630"/>
      <c r="AB411" s="251" t="str">
        <f>K411&amp;" год"</f>
        <v>2042 год</v>
      </c>
      <c r="AC411" s="409"/>
      <c r="AD411" s="6972"/>
      <c r="AE411" s="6971"/>
      <c r="AF411" s="6971"/>
      <c r="AG411" s="6972"/>
      <c r="AH411" s="6971"/>
      <c r="AI411" s="6972"/>
      <c r="AJ411" s="6971"/>
      <c r="AK411" s="6973"/>
      <c r="AL411" s="404"/>
      <c r="AM411" s="1297"/>
      <c r="AN411" s="1072" cm="1" t="str">
        <f t="array" ref="AN411:AN411">K411</f>
        <v>2042</v>
      </c>
      <c r="AO411" s="1072" t="s">
        <v>2773</v>
      </c>
      <c r="AP411" s="1082" cm="1" t="str">
        <f t="array" ref="AP411:AP411">AP410</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AQ411" s="709"/>
      <c r="AR411" s="709"/>
    </row>
    <row s="7321" customFormat="1" customHeight="1" ht="14.25" hidden="1">
      <c r="A412" s="1297"/>
      <c r="B412" s="447">
        <f>K412&lt;first_year+PERIOD_LENGTH</f>
        <v>0</v>
      </c>
      <c r="C412" s="1297"/>
      <c r="D412" s="1297"/>
      <c r="E412" s="709">
        <v>15</v>
      </c>
      <c r="F412" s="50" cm="1" t="str">
        <f t="array" ref="F412:F412">OFFSET(E412,-1,1)</f>
        <v>3</v>
      </c>
      <c r="G412" s="94" cm="1" t="str">
        <f t="array" ref="G412:G412">G411</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H412" s="1297"/>
      <c r="I412" s="1297"/>
      <c r="J412" s="1297"/>
      <c r="K412" s="154">
        <f>first_year+19</f>
        <v>2043</v>
      </c>
      <c r="L412" s="1297"/>
      <c r="M412" s="1297"/>
      <c r="N412" s="1297"/>
      <c r="O412" s="1297"/>
      <c r="P412" s="1297"/>
      <c r="Q412" s="1297"/>
      <c r="R412" s="1297"/>
      <c r="S412" s="1297"/>
      <c r="T412" s="468" cm="1" t="str">
        <f t="array" ref="T412:T412">T411</f>
        <v>true</v>
      </c>
      <c r="U412" s="1297"/>
      <c r="V412" s="1297"/>
      <c r="W412" s="1297"/>
      <c r="X412" s="1539"/>
      <c r="Y412" s="1539"/>
      <c r="Z412" s="1529"/>
      <c r="AA412" s="1630"/>
      <c r="AB412" s="251" t="str">
        <f>K412&amp;" год"</f>
        <v>2043 год</v>
      </c>
      <c r="AC412" s="409"/>
      <c r="AD412" s="6972"/>
      <c r="AE412" s="6971"/>
      <c r="AF412" s="6971"/>
      <c r="AG412" s="6972"/>
      <c r="AH412" s="6971"/>
      <c r="AI412" s="6972"/>
      <c r="AJ412" s="6971"/>
      <c r="AK412" s="6973"/>
      <c r="AL412" s="404"/>
      <c r="AM412" s="1297"/>
      <c r="AN412" s="1072" cm="1" t="str">
        <f t="array" ref="AN412:AN412">K412</f>
        <v>2043</v>
      </c>
      <c r="AO412" s="1072" t="s">
        <v>2773</v>
      </c>
      <c r="AP412" s="1082" cm="1" t="str">
        <f t="array" ref="AP412:AP412">AP411</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AQ412" s="709"/>
      <c r="AR412" s="709"/>
    </row>
    <row s="7322" customFormat="1" customHeight="1" ht="14.25" hidden="1">
      <c r="A413" s="1297"/>
      <c r="B413" s="447">
        <f>K413&lt;first_year+PERIOD_LENGTH</f>
        <v>0</v>
      </c>
      <c r="C413" s="1297"/>
      <c r="D413" s="1297"/>
      <c r="E413" s="709">
        <v>15</v>
      </c>
      <c r="F413" s="50" cm="1" t="str">
        <f t="array" ref="F413:F413">OFFSET(E413,-1,1)</f>
        <v>3</v>
      </c>
      <c r="G413" s="94" cm="1" t="str">
        <f t="array" ref="G413:G413">G412</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H413" s="1297"/>
      <c r="I413" s="1297"/>
      <c r="J413" s="1297"/>
      <c r="K413" s="154">
        <f>first_year+20</f>
        <v>2044</v>
      </c>
      <c r="L413" s="1297"/>
      <c r="M413" s="1297"/>
      <c r="N413" s="1297"/>
      <c r="O413" s="1297"/>
      <c r="P413" s="1297"/>
      <c r="Q413" s="1297"/>
      <c r="R413" s="1297"/>
      <c r="S413" s="1297"/>
      <c r="T413" s="468" cm="1" t="str">
        <f t="array" ref="T413:T413">T412</f>
        <v>true</v>
      </c>
      <c r="U413" s="1297"/>
      <c r="V413" s="1297"/>
      <c r="W413" s="1297"/>
      <c r="X413" s="1539"/>
      <c r="Y413" s="1539"/>
      <c r="Z413" s="1529"/>
      <c r="AA413" s="1630"/>
      <c r="AB413" s="251" t="str">
        <f>K413&amp;" год"</f>
        <v>2044 год</v>
      </c>
      <c r="AC413" s="409"/>
      <c r="AD413" s="6972"/>
      <c r="AE413" s="6971"/>
      <c r="AF413" s="6971"/>
      <c r="AG413" s="6972"/>
      <c r="AH413" s="6971"/>
      <c r="AI413" s="6972"/>
      <c r="AJ413" s="6971"/>
      <c r="AK413" s="6973"/>
      <c r="AL413" s="404"/>
      <c r="AM413" s="1297"/>
      <c r="AN413" s="1072" cm="1" t="str">
        <f t="array" ref="AN413:AN413">K413</f>
        <v>2044</v>
      </c>
      <c r="AO413" s="1072" t="s">
        <v>2773</v>
      </c>
      <c r="AP413" s="1082" cm="1" t="str">
        <f t="array" ref="AP413:AP413">AP412</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AQ413" s="709"/>
      <c r="AR413" s="709"/>
    </row>
    <row s="7323" customFormat="1" customHeight="1" ht="14.25" hidden="1">
      <c r="A414" s="1297"/>
      <c r="B414" s="447">
        <f>K414&lt;first_year+PERIOD_LENGTH</f>
        <v>0</v>
      </c>
      <c r="C414" s="1297"/>
      <c r="D414" s="1297"/>
      <c r="E414" s="709">
        <v>15</v>
      </c>
      <c r="F414" s="50" cm="1" t="str">
        <f t="array" ref="F414:F414">OFFSET(E414,-1,1)</f>
        <v>3</v>
      </c>
      <c r="G414" s="94" cm="1" t="str">
        <f t="array" ref="G414:G414">G413</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H414" s="1297"/>
      <c r="I414" s="1297"/>
      <c r="J414" s="1297"/>
      <c r="K414" s="154">
        <f>first_year+21</f>
        <v>2045</v>
      </c>
      <c r="L414" s="1297"/>
      <c r="M414" s="1297"/>
      <c r="N414" s="1297"/>
      <c r="O414" s="1297"/>
      <c r="P414" s="1297"/>
      <c r="Q414" s="1297"/>
      <c r="R414" s="1297"/>
      <c r="S414" s="1297"/>
      <c r="T414" s="468" cm="1" t="str">
        <f t="array" ref="T414:T414">T413</f>
        <v>true</v>
      </c>
      <c r="U414" s="1297"/>
      <c r="V414" s="1297"/>
      <c r="W414" s="1297"/>
      <c r="X414" s="1539"/>
      <c r="Y414" s="1539"/>
      <c r="Z414" s="1529"/>
      <c r="AA414" s="1630"/>
      <c r="AB414" s="251" t="str">
        <f>K414&amp;" год"</f>
        <v>2045 год</v>
      </c>
      <c r="AC414" s="409"/>
      <c r="AD414" s="6972"/>
      <c r="AE414" s="6971"/>
      <c r="AF414" s="6971"/>
      <c r="AG414" s="6972"/>
      <c r="AH414" s="6971"/>
      <c r="AI414" s="6972"/>
      <c r="AJ414" s="6971"/>
      <c r="AK414" s="6973"/>
      <c r="AL414" s="404"/>
      <c r="AM414" s="1297"/>
      <c r="AN414" s="1072" cm="1" t="str">
        <f t="array" ref="AN414:AN414">K414</f>
        <v>2045</v>
      </c>
      <c r="AO414" s="1072" t="s">
        <v>2773</v>
      </c>
      <c r="AP414" s="1082" cm="1" t="str">
        <f t="array" ref="AP414:AP414">AP413</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AQ414" s="709"/>
      <c r="AR414" s="709"/>
    </row>
    <row s="7324" customFormat="1" customHeight="1" ht="14.25" hidden="1">
      <c r="A415" s="1297"/>
      <c r="B415" s="447">
        <f>K415&lt;first_year+PERIOD_LENGTH</f>
        <v>0</v>
      </c>
      <c r="C415" s="1297"/>
      <c r="D415" s="1297"/>
      <c r="E415" s="709">
        <v>15</v>
      </c>
      <c r="F415" s="50" cm="1" t="str">
        <f t="array" ref="F415:F415">OFFSET(E415,-1,1)</f>
        <v>3</v>
      </c>
      <c r="G415" s="94" cm="1" t="str">
        <f t="array" ref="G415:G415">G414</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H415" s="1297"/>
      <c r="I415" s="1297"/>
      <c r="J415" s="1297"/>
      <c r="K415" s="154">
        <f>first_year+22</f>
        <v>2046</v>
      </c>
      <c r="L415" s="1297"/>
      <c r="M415" s="1297"/>
      <c r="N415" s="1297"/>
      <c r="O415" s="1297"/>
      <c r="P415" s="1297"/>
      <c r="Q415" s="1297"/>
      <c r="R415" s="1297"/>
      <c r="S415" s="1297"/>
      <c r="T415" s="468" cm="1" t="str">
        <f t="array" ref="T415:T415">T414</f>
        <v>true</v>
      </c>
      <c r="U415" s="1297"/>
      <c r="V415" s="1297"/>
      <c r="W415" s="1297"/>
      <c r="X415" s="1539"/>
      <c r="Y415" s="1539"/>
      <c r="Z415" s="1529"/>
      <c r="AA415" s="1630"/>
      <c r="AB415" s="251" t="str">
        <f>K415&amp;" год"</f>
        <v>2046 год</v>
      </c>
      <c r="AC415" s="409"/>
      <c r="AD415" s="6972"/>
      <c r="AE415" s="6971"/>
      <c r="AF415" s="6971"/>
      <c r="AG415" s="6972"/>
      <c r="AH415" s="6971"/>
      <c r="AI415" s="6972"/>
      <c r="AJ415" s="6971"/>
      <c r="AK415" s="6973"/>
      <c r="AL415" s="404"/>
      <c r="AM415" s="1297"/>
      <c r="AN415" s="1072" cm="1" t="str">
        <f t="array" ref="AN415:AN415">K415</f>
        <v>2046</v>
      </c>
      <c r="AO415" s="1072" t="s">
        <v>2773</v>
      </c>
      <c r="AP415" s="1082" cm="1" t="str">
        <f t="array" ref="AP415:AP415">AP414</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AQ415" s="709"/>
      <c r="AR415" s="709"/>
    </row>
    <row s="7325" customFormat="1" customHeight="1" ht="14.25" hidden="1">
      <c r="A416" s="1297"/>
      <c r="B416" s="447">
        <f>K416&lt;first_year+PERIOD_LENGTH</f>
        <v>0</v>
      </c>
      <c r="C416" s="1297"/>
      <c r="D416" s="1297"/>
      <c r="E416" s="709">
        <v>15</v>
      </c>
      <c r="F416" s="50" cm="1" t="str">
        <f t="array" ref="F416:F416">OFFSET(E416,-1,1)</f>
        <v>3</v>
      </c>
      <c r="G416" s="94" cm="1" t="str">
        <f t="array" ref="G416:G416">G415</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H416" s="1297"/>
      <c r="I416" s="1297"/>
      <c r="J416" s="1297"/>
      <c r="K416" s="154">
        <f>first_year+23</f>
        <v>2047</v>
      </c>
      <c r="L416" s="1297"/>
      <c r="M416" s="1297"/>
      <c r="N416" s="1297"/>
      <c r="O416" s="1297"/>
      <c r="P416" s="1297"/>
      <c r="Q416" s="1297"/>
      <c r="R416" s="1297"/>
      <c r="S416" s="1297"/>
      <c r="T416" s="468" cm="1" t="str">
        <f t="array" ref="T416:T416">T415</f>
        <v>true</v>
      </c>
      <c r="U416" s="1297"/>
      <c r="V416" s="1297"/>
      <c r="W416" s="1297"/>
      <c r="X416" s="1539"/>
      <c r="Y416" s="1539"/>
      <c r="Z416" s="1529"/>
      <c r="AA416" s="1630"/>
      <c r="AB416" s="251" t="str">
        <f>K416&amp;" год"</f>
        <v>2047 год</v>
      </c>
      <c r="AC416" s="409"/>
      <c r="AD416" s="6972"/>
      <c r="AE416" s="6971"/>
      <c r="AF416" s="6971"/>
      <c r="AG416" s="6972"/>
      <c r="AH416" s="6971"/>
      <c r="AI416" s="6972"/>
      <c r="AJ416" s="6971"/>
      <c r="AK416" s="6973"/>
      <c r="AL416" s="404"/>
      <c r="AM416" s="1297"/>
      <c r="AN416" s="1072" cm="1" t="str">
        <f t="array" ref="AN416:AN416">K416</f>
        <v>2047</v>
      </c>
      <c r="AO416" s="1072" t="s">
        <v>2773</v>
      </c>
      <c r="AP416" s="1082" cm="1" t="str">
        <f t="array" ref="AP416:AP416">AP415</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AQ416" s="709"/>
      <c r="AR416" s="709"/>
    </row>
    <row s="7326" customFormat="1" customHeight="1" ht="14.25" hidden="1">
      <c r="A417" s="1297"/>
      <c r="B417" s="447">
        <f>K417&lt;first_year+PERIOD_LENGTH</f>
        <v>0</v>
      </c>
      <c r="C417" s="1297"/>
      <c r="D417" s="1297"/>
      <c r="E417" s="709">
        <v>15</v>
      </c>
      <c r="F417" s="50" cm="1" t="str">
        <f t="array" ref="F417:F417">OFFSET(E417,-1,1)</f>
        <v>3</v>
      </c>
      <c r="G417" s="94" cm="1" t="str">
        <f t="array" ref="G417:G417">G416</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H417" s="1297"/>
      <c r="I417" s="1297"/>
      <c r="J417" s="1297"/>
      <c r="K417" s="154">
        <f>first_year+24</f>
        <v>2048</v>
      </c>
      <c r="L417" s="1297"/>
      <c r="M417" s="1297"/>
      <c r="N417" s="1297"/>
      <c r="O417" s="1297"/>
      <c r="P417" s="1297"/>
      <c r="Q417" s="1297"/>
      <c r="R417" s="1297"/>
      <c r="S417" s="1297"/>
      <c r="T417" s="468" cm="1" t="str">
        <f t="array" ref="T417:T417">T416</f>
        <v>true</v>
      </c>
      <c r="U417" s="1297"/>
      <c r="V417" s="1297"/>
      <c r="W417" s="1297"/>
      <c r="X417" s="1539"/>
      <c r="Y417" s="1539"/>
      <c r="Z417" s="1529"/>
      <c r="AA417" s="1630"/>
      <c r="AB417" s="251" t="str">
        <f>K417&amp;" год"</f>
        <v>2048 год</v>
      </c>
      <c r="AC417" s="409"/>
      <c r="AD417" s="6972"/>
      <c r="AE417" s="6971"/>
      <c r="AF417" s="6971"/>
      <c r="AG417" s="6972"/>
      <c r="AH417" s="6971"/>
      <c r="AI417" s="6972"/>
      <c r="AJ417" s="6971"/>
      <c r="AK417" s="6973"/>
      <c r="AL417" s="404"/>
      <c r="AM417" s="1297"/>
      <c r="AN417" s="1072" cm="1" t="str">
        <f t="array" ref="AN417:AN417">K417</f>
        <v>2048</v>
      </c>
      <c r="AO417" s="1072" t="s">
        <v>2773</v>
      </c>
      <c r="AP417" s="1082" cm="1" t="str">
        <f t="array" ref="AP417:AP417">AP416</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AQ417" s="709"/>
      <c r="AR417" s="709"/>
    </row>
    <row s="7327" customFormat="1" customHeight="1" ht="14.25" hidden="1">
      <c r="A418" s="1297"/>
      <c r="B418" s="447">
        <f>K418&lt;first_year+PERIOD_LENGTH</f>
        <v>0</v>
      </c>
      <c r="C418" s="1297"/>
      <c r="D418" s="1297"/>
      <c r="E418" s="709">
        <v>15</v>
      </c>
      <c r="F418" s="50" cm="1" t="str">
        <f t="array" ref="F418:F418">OFFSET(E418,-1,1)</f>
        <v>3</v>
      </c>
      <c r="G418" s="94" cm="1" t="str">
        <f t="array" ref="G418:G418">G417</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H418" s="1297"/>
      <c r="I418" s="1297"/>
      <c r="J418" s="1297"/>
      <c r="K418" s="154">
        <f>first_year+25</f>
        <v>2049</v>
      </c>
      <c r="L418" s="1297"/>
      <c r="M418" s="1297"/>
      <c r="N418" s="1297"/>
      <c r="O418" s="1297"/>
      <c r="P418" s="1297"/>
      <c r="Q418" s="1297"/>
      <c r="R418" s="1297"/>
      <c r="S418" s="1297"/>
      <c r="T418" s="468" cm="1" t="str">
        <f t="array" ref="T418:T418">T417</f>
        <v>true</v>
      </c>
      <c r="U418" s="1297"/>
      <c r="V418" s="1297"/>
      <c r="W418" s="1297"/>
      <c r="X418" s="1539"/>
      <c r="Y418" s="1539"/>
      <c r="Z418" s="1529"/>
      <c r="AA418" s="1630"/>
      <c r="AB418" s="251" t="str">
        <f>K418&amp;" год"</f>
        <v>2049 год</v>
      </c>
      <c r="AC418" s="409"/>
      <c r="AD418" s="6972"/>
      <c r="AE418" s="6971"/>
      <c r="AF418" s="6971"/>
      <c r="AG418" s="6972"/>
      <c r="AH418" s="6971"/>
      <c r="AI418" s="6972"/>
      <c r="AJ418" s="6971"/>
      <c r="AK418" s="6973"/>
      <c r="AL418" s="404"/>
      <c r="AM418" s="1297"/>
      <c r="AN418" s="1072" cm="1" t="str">
        <f t="array" ref="AN418:AN418">K418</f>
        <v>2049</v>
      </c>
      <c r="AO418" s="1072" t="s">
        <v>2773</v>
      </c>
      <c r="AP418" s="1082" cm="1" t="str">
        <f t="array" ref="AP418:AP418">AP417</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AQ418" s="709"/>
      <c r="AR418" s="709"/>
    </row>
    <row s="7328" customFormat="1" customHeight="1" ht="14.25" hidden="1">
      <c r="A419" s="1297"/>
      <c r="B419" s="447">
        <f>K419&lt;first_year+PERIOD_LENGTH</f>
        <v>0</v>
      </c>
      <c r="C419" s="1297"/>
      <c r="D419" s="1297"/>
      <c r="E419" s="709">
        <v>15</v>
      </c>
      <c r="F419" s="50" cm="1" t="str">
        <f t="array" ref="F419:F419">OFFSET(E419,-1,1)</f>
        <v>3</v>
      </c>
      <c r="G419" s="94" cm="1" t="str">
        <f t="array" ref="G419:G419">G418</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H419" s="1297"/>
      <c r="I419" s="1297"/>
      <c r="J419" s="1297"/>
      <c r="K419" s="154">
        <f>first_year+26</f>
        <v>2050</v>
      </c>
      <c r="L419" s="1297"/>
      <c r="M419" s="1297"/>
      <c r="N419" s="1297"/>
      <c r="O419" s="1297"/>
      <c r="P419" s="1297"/>
      <c r="Q419" s="1297"/>
      <c r="R419" s="1297"/>
      <c r="S419" s="1297"/>
      <c r="T419" s="468" cm="1" t="str">
        <f t="array" ref="T419:T419">T418</f>
        <v>true</v>
      </c>
      <c r="U419" s="1297"/>
      <c r="V419" s="1297"/>
      <c r="W419" s="1297"/>
      <c r="X419" s="1539"/>
      <c r="Y419" s="1539"/>
      <c r="Z419" s="1529"/>
      <c r="AA419" s="1630"/>
      <c r="AB419" s="251" t="str">
        <f>K419&amp;" год"</f>
        <v>2050 год</v>
      </c>
      <c r="AC419" s="409"/>
      <c r="AD419" s="6972"/>
      <c r="AE419" s="6971"/>
      <c r="AF419" s="6971"/>
      <c r="AG419" s="6972"/>
      <c r="AH419" s="6971"/>
      <c r="AI419" s="6972"/>
      <c r="AJ419" s="6971"/>
      <c r="AK419" s="6973"/>
      <c r="AL419" s="404"/>
      <c r="AM419" s="1297"/>
      <c r="AN419" s="1072" cm="1" t="str">
        <f t="array" ref="AN419:AN419">K419</f>
        <v>2050</v>
      </c>
      <c r="AO419" s="1072" t="s">
        <v>2773</v>
      </c>
      <c r="AP419" s="1082" cm="1" t="str">
        <f t="array" ref="AP419:AP419">AP418</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AQ419" s="709"/>
      <c r="AR419" s="709"/>
    </row>
    <row s="7329" customFormat="1" customHeight="1" ht="14.25" hidden="1">
      <c r="A420" s="1297"/>
      <c r="B420" s="447">
        <f>K420&lt;first_year+PERIOD_LENGTH</f>
        <v>0</v>
      </c>
      <c r="C420" s="1297"/>
      <c r="D420" s="1297"/>
      <c r="E420" s="709">
        <v>15</v>
      </c>
      <c r="F420" s="50" cm="1" t="str">
        <f t="array" ref="F420:F420">OFFSET(E420,-1,1)</f>
        <v>3</v>
      </c>
      <c r="G420" s="94" cm="1" t="str">
        <f t="array" ref="G420:G420">G419</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H420" s="1297"/>
      <c r="I420" s="1297"/>
      <c r="J420" s="1297"/>
      <c r="K420" s="154">
        <f>first_year+27</f>
        <v>2051</v>
      </c>
      <c r="L420" s="1297"/>
      <c r="M420" s="1297"/>
      <c r="N420" s="1297"/>
      <c r="O420" s="1297"/>
      <c r="P420" s="1297"/>
      <c r="Q420" s="1297"/>
      <c r="R420" s="1297"/>
      <c r="S420" s="1297"/>
      <c r="T420" s="468" cm="1" t="str">
        <f t="array" ref="T420:T420">T419</f>
        <v>true</v>
      </c>
      <c r="U420" s="1297"/>
      <c r="V420" s="1297"/>
      <c r="W420" s="1297"/>
      <c r="X420" s="1539"/>
      <c r="Y420" s="1539"/>
      <c r="Z420" s="1529"/>
      <c r="AA420" s="1630"/>
      <c r="AB420" s="251" t="str">
        <f>K420&amp;" год"</f>
        <v>2051 год</v>
      </c>
      <c r="AC420" s="409"/>
      <c r="AD420" s="6972"/>
      <c r="AE420" s="6971"/>
      <c r="AF420" s="6971"/>
      <c r="AG420" s="6972"/>
      <c r="AH420" s="6971"/>
      <c r="AI420" s="6972"/>
      <c r="AJ420" s="6971"/>
      <c r="AK420" s="6973"/>
      <c r="AL420" s="404"/>
      <c r="AM420" s="1297"/>
      <c r="AN420" s="1072" cm="1" t="str">
        <f t="array" ref="AN420:AN420">K420</f>
        <v>2051</v>
      </c>
      <c r="AO420" s="1072" t="s">
        <v>2773</v>
      </c>
      <c r="AP420" s="1082" cm="1" t="str">
        <f t="array" ref="AP420:AP420">AP419</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AQ420" s="709"/>
      <c r="AR420" s="709"/>
    </row>
    <row s="7330" customFormat="1" customHeight="1" ht="14.25" hidden="1">
      <c r="A421" s="1297"/>
      <c r="B421" s="447">
        <f>K421&lt;first_year+PERIOD_LENGTH</f>
        <v>0</v>
      </c>
      <c r="C421" s="1297"/>
      <c r="D421" s="1297"/>
      <c r="E421" s="709">
        <v>15</v>
      </c>
      <c r="F421" s="50" cm="1" t="str">
        <f t="array" ref="F421:F421">OFFSET(E421,-1,1)</f>
        <v>3</v>
      </c>
      <c r="G421" s="94" cm="1" t="str">
        <f t="array" ref="G421:G421">G420</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H421" s="1297"/>
      <c r="I421" s="1297"/>
      <c r="J421" s="1297"/>
      <c r="K421" s="154">
        <f>first_year+28</f>
        <v>2052</v>
      </c>
      <c r="L421" s="1297"/>
      <c r="M421" s="1297"/>
      <c r="N421" s="1297"/>
      <c r="O421" s="1297"/>
      <c r="P421" s="1297"/>
      <c r="Q421" s="1297"/>
      <c r="R421" s="1297"/>
      <c r="S421" s="1297"/>
      <c r="T421" s="468" cm="1" t="str">
        <f t="array" ref="T421:T421">T420</f>
        <v>true</v>
      </c>
      <c r="U421" s="1297"/>
      <c r="V421" s="1297"/>
      <c r="W421" s="1297"/>
      <c r="X421" s="1539"/>
      <c r="Y421" s="1539"/>
      <c r="Z421" s="1529"/>
      <c r="AA421" s="1630"/>
      <c r="AB421" s="251" t="str">
        <f>K421&amp;" год"</f>
        <v>2052 год</v>
      </c>
      <c r="AC421" s="409"/>
      <c r="AD421" s="6972"/>
      <c r="AE421" s="6971"/>
      <c r="AF421" s="6971"/>
      <c r="AG421" s="6972"/>
      <c r="AH421" s="6971"/>
      <c r="AI421" s="6972"/>
      <c r="AJ421" s="6971"/>
      <c r="AK421" s="6973"/>
      <c r="AL421" s="404"/>
      <c r="AM421" s="1297"/>
      <c r="AN421" s="1072" cm="1" t="str">
        <f t="array" ref="AN421:AN421">K421</f>
        <v>2052</v>
      </c>
      <c r="AO421" s="1072" t="s">
        <v>2773</v>
      </c>
      <c r="AP421" s="1082" cm="1" t="str">
        <f t="array" ref="AP421:AP421">AP420</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AQ421" s="709"/>
      <c r="AR421" s="709"/>
    </row>
    <row s="7331" customFormat="1" customHeight="1" ht="14.25" hidden="1">
      <c r="A422" s="1297"/>
      <c r="B422" s="447">
        <f>K422&lt;first_year+PERIOD_LENGTH</f>
        <v>0</v>
      </c>
      <c r="C422" s="1297"/>
      <c r="D422" s="1297"/>
      <c r="E422" s="709">
        <v>15</v>
      </c>
      <c r="F422" s="50" cm="1" t="str">
        <f t="array" ref="F422:F422">OFFSET(E422,-1,1)</f>
        <v>3</v>
      </c>
      <c r="G422" s="94" cm="1" t="str">
        <f t="array" ref="G422:G422">G421</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H422" s="1297"/>
      <c r="I422" s="1297"/>
      <c r="J422" s="1297"/>
      <c r="K422" s="154">
        <f>first_year+29</f>
        <v>2053</v>
      </c>
      <c r="L422" s="1297"/>
      <c r="M422" s="1297"/>
      <c r="N422" s="1297"/>
      <c r="O422" s="1297"/>
      <c r="P422" s="1297"/>
      <c r="Q422" s="1297"/>
      <c r="R422" s="1297"/>
      <c r="S422" s="1297"/>
      <c r="T422" s="468" cm="1" t="str">
        <f t="array" ref="T422:T422">T421</f>
        <v>true</v>
      </c>
      <c r="U422" s="1297"/>
      <c r="V422" s="1297"/>
      <c r="W422" s="1297"/>
      <c r="X422" s="1539"/>
      <c r="Y422" s="1539"/>
      <c r="Z422" s="1529"/>
      <c r="AA422" s="1630"/>
      <c r="AB422" s="251" t="str">
        <f>K422&amp;" год"</f>
        <v>2053 год</v>
      </c>
      <c r="AC422" s="409"/>
      <c r="AD422" s="6972"/>
      <c r="AE422" s="6971"/>
      <c r="AF422" s="6971"/>
      <c r="AG422" s="6972"/>
      <c r="AH422" s="6971"/>
      <c r="AI422" s="6972"/>
      <c r="AJ422" s="6971"/>
      <c r="AK422" s="6973"/>
      <c r="AL422" s="404"/>
      <c r="AM422" s="1297"/>
      <c r="AN422" s="1072" cm="1" t="str">
        <f t="array" ref="AN422:AN422">K422</f>
        <v>2053</v>
      </c>
      <c r="AO422" s="1072" t="s">
        <v>2773</v>
      </c>
      <c r="AP422" s="1082" cm="1" t="str">
        <f t="array" ref="AP422:AP422">AP421</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AQ422" s="709"/>
      <c r="AR422" s="709"/>
    </row>
    <row s="7332" customFormat="1" customHeight="1" ht="14.25" hidden="1">
      <c r="A423" s="1297"/>
      <c r="B423" s="447">
        <f>K423&lt;first_year+PERIOD_LENGTH</f>
        <v>0</v>
      </c>
      <c r="C423" s="1297"/>
      <c r="D423" s="1297"/>
      <c r="E423" s="709">
        <v>15</v>
      </c>
      <c r="F423" s="50" cm="1" t="str">
        <f t="array" ref="F423:F423">OFFSET(E423,-1,1)</f>
        <v>3</v>
      </c>
      <c r="G423" s="94" cm="1" t="str">
        <f t="array" ref="G423:G423">G422</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H423" s="1297"/>
      <c r="I423" s="1297"/>
      <c r="J423" s="1297"/>
      <c r="K423" s="154">
        <f>first_year+30</f>
        <v>2054</v>
      </c>
      <c r="L423" s="1297"/>
      <c r="M423" s="1297"/>
      <c r="N423" s="1297"/>
      <c r="O423" s="1297"/>
      <c r="P423" s="1297"/>
      <c r="Q423" s="1297"/>
      <c r="R423" s="1297"/>
      <c r="S423" s="1297"/>
      <c r="T423" s="468" cm="1" t="str">
        <f t="array" ref="T423:T423">T422</f>
        <v>true</v>
      </c>
      <c r="U423" s="1297"/>
      <c r="V423" s="1297"/>
      <c r="W423" s="1297"/>
      <c r="X423" s="1539"/>
      <c r="Y423" s="1539"/>
      <c r="Z423" s="1529"/>
      <c r="AA423" s="1630"/>
      <c r="AB423" s="251" t="str">
        <f>K423&amp;" год"</f>
        <v>2054 год</v>
      </c>
      <c r="AC423" s="409"/>
      <c r="AD423" s="6972"/>
      <c r="AE423" s="6971"/>
      <c r="AF423" s="6971"/>
      <c r="AG423" s="6972"/>
      <c r="AH423" s="6971"/>
      <c r="AI423" s="6972"/>
      <c r="AJ423" s="6971"/>
      <c r="AK423" s="6973"/>
      <c r="AL423" s="404"/>
      <c r="AM423" s="1297"/>
      <c r="AN423" s="1072" cm="1" t="str">
        <f t="array" ref="AN423:AN423">K423</f>
        <v>2054</v>
      </c>
      <c r="AO423" s="1072" t="s">
        <v>2773</v>
      </c>
      <c r="AP423" s="1082" cm="1" t="str">
        <f t="array" ref="AP423:AP423">AP422</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AQ423" s="709"/>
      <c r="AR423" s="709"/>
    </row>
    <row s="7333" customFormat="1" customHeight="1" ht="14.25" hidden="1">
      <c r="A424" s="1297"/>
      <c r="B424" s="447">
        <f>K424&lt;first_year+PERIOD_LENGTH</f>
        <v>0</v>
      </c>
      <c r="C424" s="1297"/>
      <c r="D424" s="1297"/>
      <c r="E424" s="709">
        <v>15</v>
      </c>
      <c r="F424" s="50" cm="1" t="str">
        <f t="array" ref="F424:F424">OFFSET(E424,-1,1)</f>
        <v>3</v>
      </c>
      <c r="G424" s="94" cm="1" t="str">
        <f t="array" ref="G424:G424">G423</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H424" s="1297"/>
      <c r="I424" s="1297"/>
      <c r="J424" s="1297"/>
      <c r="K424" s="154">
        <f>first_year+31</f>
        <v>2055</v>
      </c>
      <c r="L424" s="1297"/>
      <c r="M424" s="1297"/>
      <c r="N424" s="1297"/>
      <c r="O424" s="1297"/>
      <c r="P424" s="1297"/>
      <c r="Q424" s="1297"/>
      <c r="R424" s="1297"/>
      <c r="S424" s="1297"/>
      <c r="T424" s="468" cm="1" t="str">
        <f t="array" ref="T424:T424">T423</f>
        <v>true</v>
      </c>
      <c r="U424" s="1297"/>
      <c r="V424" s="1297"/>
      <c r="W424" s="1297"/>
      <c r="X424" s="1539"/>
      <c r="Y424" s="1539"/>
      <c r="Z424" s="1529"/>
      <c r="AA424" s="1630"/>
      <c r="AB424" s="251" t="str">
        <f>K424&amp;" год"</f>
        <v>2055 год</v>
      </c>
      <c r="AC424" s="409"/>
      <c r="AD424" s="6972"/>
      <c r="AE424" s="6971"/>
      <c r="AF424" s="6971"/>
      <c r="AG424" s="6972"/>
      <c r="AH424" s="6971"/>
      <c r="AI424" s="6972"/>
      <c r="AJ424" s="6971"/>
      <c r="AK424" s="6973"/>
      <c r="AL424" s="404"/>
      <c r="AM424" s="1297"/>
      <c r="AN424" s="1072" cm="1" t="str">
        <f t="array" ref="AN424:AN424">K424</f>
        <v>2055</v>
      </c>
      <c r="AO424" s="1072" t="s">
        <v>2773</v>
      </c>
      <c r="AP424" s="1082" cm="1" t="str">
        <f t="array" ref="AP424:AP424">AP423</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AQ424" s="709"/>
      <c r="AR424" s="709"/>
    </row>
    <row s="7334" customFormat="1" customHeight="1" ht="14.25" hidden="1">
      <c r="A425" s="1297"/>
      <c r="B425" s="447">
        <f>K425&lt;first_year+PERIOD_LENGTH</f>
        <v>0</v>
      </c>
      <c r="C425" s="1297"/>
      <c r="D425" s="1297"/>
      <c r="E425" s="709">
        <v>15</v>
      </c>
      <c r="F425" s="50" cm="1" t="str">
        <f t="array" ref="F425:F425">OFFSET(E425,-1,1)</f>
        <v>3</v>
      </c>
      <c r="G425" s="94" cm="1" t="str">
        <f t="array" ref="G425:G425">G424</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H425" s="1297"/>
      <c r="I425" s="1297"/>
      <c r="J425" s="1297"/>
      <c r="K425" s="154">
        <f>first_year+32</f>
        <v>2056</v>
      </c>
      <c r="L425" s="1297"/>
      <c r="M425" s="1297"/>
      <c r="N425" s="1297"/>
      <c r="O425" s="1297"/>
      <c r="P425" s="1297"/>
      <c r="Q425" s="1297"/>
      <c r="R425" s="1297"/>
      <c r="S425" s="1297"/>
      <c r="T425" s="468" cm="1" t="str">
        <f t="array" ref="T425:T425">T424</f>
        <v>true</v>
      </c>
      <c r="U425" s="1297"/>
      <c r="V425" s="1297"/>
      <c r="W425" s="1297"/>
      <c r="X425" s="1539"/>
      <c r="Y425" s="1539"/>
      <c r="Z425" s="1529"/>
      <c r="AA425" s="1630"/>
      <c r="AB425" s="251" t="str">
        <f>K425&amp;" год"</f>
        <v>2056 год</v>
      </c>
      <c r="AC425" s="409"/>
      <c r="AD425" s="6972"/>
      <c r="AE425" s="6971"/>
      <c r="AF425" s="6971"/>
      <c r="AG425" s="6972"/>
      <c r="AH425" s="6971"/>
      <c r="AI425" s="6972"/>
      <c r="AJ425" s="6971"/>
      <c r="AK425" s="6973"/>
      <c r="AL425" s="404"/>
      <c r="AM425" s="1297"/>
      <c r="AN425" s="1072" cm="1" t="str">
        <f t="array" ref="AN425:AN425">K425</f>
        <v>2056</v>
      </c>
      <c r="AO425" s="1072" t="s">
        <v>2773</v>
      </c>
      <c r="AP425" s="1082" cm="1" t="str">
        <f t="array" ref="AP425:AP425">AP424</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AQ425" s="709"/>
      <c r="AR425" s="709"/>
    </row>
    <row s="7335" customFormat="1" customHeight="1" ht="14.25" hidden="1">
      <c r="A426" s="1297"/>
      <c r="B426" s="447">
        <f>K426&lt;first_year+PERIOD_LENGTH</f>
        <v>0</v>
      </c>
      <c r="C426" s="1297"/>
      <c r="D426" s="1297"/>
      <c r="E426" s="709">
        <v>15</v>
      </c>
      <c r="F426" s="50" cm="1" t="str">
        <f t="array" ref="F426:F426">OFFSET(E426,-1,1)</f>
        <v>3</v>
      </c>
      <c r="G426" s="94" cm="1" t="str">
        <f t="array" ref="G426:G426">G425</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H426" s="1297"/>
      <c r="I426" s="1297"/>
      <c r="J426" s="1297"/>
      <c r="K426" s="154">
        <f>first_year+33</f>
        <v>2057</v>
      </c>
      <c r="L426" s="1297"/>
      <c r="M426" s="1297"/>
      <c r="N426" s="1297"/>
      <c r="O426" s="1297"/>
      <c r="P426" s="1297"/>
      <c r="Q426" s="1297"/>
      <c r="R426" s="1297"/>
      <c r="S426" s="1297"/>
      <c r="T426" s="468" cm="1" t="str">
        <f t="array" ref="T426:T426">T425</f>
        <v>true</v>
      </c>
      <c r="U426" s="1297"/>
      <c r="V426" s="1297"/>
      <c r="W426" s="1297"/>
      <c r="X426" s="1539"/>
      <c r="Y426" s="1539"/>
      <c r="Z426" s="1529"/>
      <c r="AA426" s="1630"/>
      <c r="AB426" s="251" t="str">
        <f>K426&amp;" год"</f>
        <v>2057 год</v>
      </c>
      <c r="AC426" s="409"/>
      <c r="AD426" s="6972"/>
      <c r="AE426" s="6971"/>
      <c r="AF426" s="6971"/>
      <c r="AG426" s="6972"/>
      <c r="AH426" s="6971"/>
      <c r="AI426" s="6972"/>
      <c r="AJ426" s="6971"/>
      <c r="AK426" s="6973"/>
      <c r="AL426" s="404"/>
      <c r="AM426" s="1297"/>
      <c r="AN426" s="1072" cm="1" t="str">
        <f t="array" ref="AN426:AN426">K426</f>
        <v>2057</v>
      </c>
      <c r="AO426" s="1072" t="s">
        <v>2773</v>
      </c>
      <c r="AP426" s="1082" cm="1" t="str">
        <f t="array" ref="AP426:AP426">AP425</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AQ426" s="709"/>
      <c r="AR426" s="709"/>
    </row>
    <row s="7336" customFormat="1" customHeight="1" ht="14.25" hidden="1">
      <c r="A427" s="1297"/>
      <c r="B427" s="447">
        <f>K427&lt;first_year+PERIOD_LENGTH</f>
        <v>0</v>
      </c>
      <c r="C427" s="1297"/>
      <c r="D427" s="1297"/>
      <c r="E427" s="709">
        <v>15</v>
      </c>
      <c r="F427" s="50" cm="1" t="str">
        <f t="array" ref="F427:F427">OFFSET(E427,-1,1)</f>
        <v>3</v>
      </c>
      <c r="G427" s="94" cm="1" t="str">
        <f t="array" ref="G427:G427">G426</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H427" s="1297"/>
      <c r="I427" s="1297"/>
      <c r="J427" s="1297"/>
      <c r="K427" s="154">
        <f>first_year+34</f>
        <v>2058</v>
      </c>
      <c r="L427" s="1297"/>
      <c r="M427" s="1297"/>
      <c r="N427" s="1297"/>
      <c r="O427" s="1297"/>
      <c r="P427" s="1297"/>
      <c r="Q427" s="1297"/>
      <c r="R427" s="1297"/>
      <c r="S427" s="1297"/>
      <c r="T427" s="468" cm="1" t="str">
        <f t="array" ref="T427:T427">T426</f>
        <v>true</v>
      </c>
      <c r="U427" s="1297"/>
      <c r="V427" s="1297"/>
      <c r="W427" s="1297"/>
      <c r="X427" s="1539"/>
      <c r="Y427" s="1539"/>
      <c r="Z427" s="1529"/>
      <c r="AA427" s="1630"/>
      <c r="AB427" s="251" t="str">
        <f>K427&amp;" год"</f>
        <v>2058 год</v>
      </c>
      <c r="AC427" s="409"/>
      <c r="AD427" s="6972"/>
      <c r="AE427" s="6971"/>
      <c r="AF427" s="6971"/>
      <c r="AG427" s="6972"/>
      <c r="AH427" s="6971"/>
      <c r="AI427" s="6972"/>
      <c r="AJ427" s="6971"/>
      <c r="AK427" s="6973"/>
      <c r="AL427" s="404"/>
      <c r="AM427" s="1297"/>
      <c r="AN427" s="1072" cm="1" t="str">
        <f t="array" ref="AN427:AN427">K427</f>
        <v>2058</v>
      </c>
      <c r="AO427" s="1072" t="s">
        <v>2773</v>
      </c>
      <c r="AP427" s="1082" cm="1" t="str">
        <f t="array" ref="AP427:AP427">AP426</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AQ427" s="709"/>
      <c r="AR427" s="709"/>
    </row>
    <row s="7337" customFormat="1" customHeight="1" ht="14.25" hidden="1">
      <c r="A428" s="1297"/>
      <c r="B428" s="447">
        <f>K428&lt;first_year+PERIOD_LENGTH</f>
        <v>0</v>
      </c>
      <c r="C428" s="1297"/>
      <c r="D428" s="1297"/>
      <c r="E428" s="709">
        <v>15</v>
      </c>
      <c r="F428" s="50" cm="1" t="str">
        <f t="array" ref="F428:F428">OFFSET(E428,-1,1)</f>
        <v>3</v>
      </c>
      <c r="G428" s="94" cm="1" t="str">
        <f t="array" ref="G428:G428">G427</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H428" s="1297"/>
      <c r="I428" s="1297"/>
      <c r="J428" s="1297"/>
      <c r="K428" s="154">
        <f>first_year+35</f>
        <v>2059</v>
      </c>
      <c r="L428" s="1297"/>
      <c r="M428" s="1297"/>
      <c r="N428" s="1297"/>
      <c r="O428" s="1297"/>
      <c r="P428" s="1297"/>
      <c r="Q428" s="1297"/>
      <c r="R428" s="1297"/>
      <c r="S428" s="1297"/>
      <c r="T428" s="468" cm="1" t="str">
        <f t="array" ref="T428:T428">T427</f>
        <v>true</v>
      </c>
      <c r="U428" s="1297"/>
      <c r="V428" s="1297"/>
      <c r="W428" s="1297"/>
      <c r="X428" s="1539"/>
      <c r="Y428" s="1539"/>
      <c r="Z428" s="1529"/>
      <c r="AA428" s="1630"/>
      <c r="AB428" s="251" t="str">
        <f>K428&amp;" год"</f>
        <v>2059 год</v>
      </c>
      <c r="AC428" s="409"/>
      <c r="AD428" s="6972"/>
      <c r="AE428" s="6971"/>
      <c r="AF428" s="6971"/>
      <c r="AG428" s="6972"/>
      <c r="AH428" s="6971"/>
      <c r="AI428" s="6972"/>
      <c r="AJ428" s="6971"/>
      <c r="AK428" s="6973"/>
      <c r="AL428" s="404"/>
      <c r="AM428" s="1297"/>
      <c r="AN428" s="1072" cm="1" t="str">
        <f t="array" ref="AN428:AN428">K428</f>
        <v>2059</v>
      </c>
      <c r="AO428" s="1072" t="s">
        <v>2773</v>
      </c>
      <c r="AP428" s="1082" cm="1" t="str">
        <f t="array" ref="AP428:AP428">AP427</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AQ428" s="709"/>
      <c r="AR428" s="709"/>
    </row>
    <row s="7338" customFormat="1" customHeight="1" ht="14.25" hidden="1">
      <c r="A429" s="1297"/>
      <c r="B429" s="447">
        <f>K429&lt;first_year+PERIOD_LENGTH</f>
        <v>0</v>
      </c>
      <c r="C429" s="1297"/>
      <c r="D429" s="1297"/>
      <c r="E429" s="709">
        <v>15</v>
      </c>
      <c r="F429" s="50" cm="1" t="str">
        <f t="array" ref="F429:F429">OFFSET(E429,-1,1)</f>
        <v>3</v>
      </c>
      <c r="G429" s="94" cm="1" t="str">
        <f t="array" ref="G429:G429">G428</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H429" s="1297"/>
      <c r="I429" s="1297"/>
      <c r="J429" s="1297"/>
      <c r="K429" s="154">
        <f>first_year+36</f>
        <v>2060</v>
      </c>
      <c r="L429" s="1297"/>
      <c r="M429" s="1297"/>
      <c r="N429" s="1297"/>
      <c r="O429" s="1297"/>
      <c r="P429" s="1297"/>
      <c r="Q429" s="1297"/>
      <c r="R429" s="1297"/>
      <c r="S429" s="1297"/>
      <c r="T429" s="468" cm="1" t="str">
        <f t="array" ref="T429:T429">T428</f>
        <v>true</v>
      </c>
      <c r="U429" s="1297"/>
      <c r="V429" s="1297"/>
      <c r="W429" s="1297"/>
      <c r="X429" s="1539"/>
      <c r="Y429" s="1539"/>
      <c r="Z429" s="1529"/>
      <c r="AA429" s="1630"/>
      <c r="AB429" s="251" t="str">
        <f>K429&amp;" год"</f>
        <v>2060 год</v>
      </c>
      <c r="AC429" s="409"/>
      <c r="AD429" s="6972"/>
      <c r="AE429" s="6971"/>
      <c r="AF429" s="6971"/>
      <c r="AG429" s="6972"/>
      <c r="AH429" s="6971"/>
      <c r="AI429" s="6972"/>
      <c r="AJ429" s="6971"/>
      <c r="AK429" s="6973"/>
      <c r="AL429" s="404"/>
      <c r="AM429" s="1297"/>
      <c r="AN429" s="1072" cm="1" t="str">
        <f t="array" ref="AN429:AN429">K429</f>
        <v>2060</v>
      </c>
      <c r="AO429" s="1072" t="s">
        <v>2773</v>
      </c>
      <c r="AP429" s="1082" cm="1" t="str">
        <f t="array" ref="AP429:AP429">AP428</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AQ429" s="709"/>
      <c r="AR429" s="709"/>
    </row>
    <row s="7339" customFormat="1" customHeight="1" ht="14.25" hidden="1">
      <c r="A430" s="1297"/>
      <c r="B430" s="447">
        <f>K430&lt;first_year+PERIOD_LENGTH</f>
        <v>0</v>
      </c>
      <c r="C430" s="1297"/>
      <c r="D430" s="1297"/>
      <c r="E430" s="709">
        <v>15</v>
      </c>
      <c r="F430" s="50" cm="1" t="str">
        <f t="array" ref="F430:F430">OFFSET(E430,-1,1)</f>
        <v>3</v>
      </c>
      <c r="G430" s="94" cm="1" t="str">
        <f t="array" ref="G430:G430">G429</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H430" s="1297"/>
      <c r="I430" s="1297"/>
      <c r="J430" s="1297"/>
      <c r="K430" s="154">
        <f>first_year+37</f>
        <v>2061</v>
      </c>
      <c r="L430" s="1297"/>
      <c r="M430" s="1297"/>
      <c r="N430" s="1297"/>
      <c r="O430" s="1297"/>
      <c r="P430" s="1297"/>
      <c r="Q430" s="1297"/>
      <c r="R430" s="1297"/>
      <c r="S430" s="1297"/>
      <c r="T430" s="468" cm="1" t="str">
        <f t="array" ref="T430:T430">T429</f>
        <v>true</v>
      </c>
      <c r="U430" s="1297"/>
      <c r="V430" s="1297"/>
      <c r="W430" s="1297"/>
      <c r="X430" s="1539"/>
      <c r="Y430" s="1539"/>
      <c r="Z430" s="1529"/>
      <c r="AA430" s="1630"/>
      <c r="AB430" s="251" t="str">
        <f>K430&amp;" год"</f>
        <v>2061 год</v>
      </c>
      <c r="AC430" s="409"/>
      <c r="AD430" s="6972"/>
      <c r="AE430" s="6971"/>
      <c r="AF430" s="6971"/>
      <c r="AG430" s="6972"/>
      <c r="AH430" s="6971"/>
      <c r="AI430" s="6972"/>
      <c r="AJ430" s="6971"/>
      <c r="AK430" s="6973"/>
      <c r="AL430" s="404"/>
      <c r="AM430" s="1297"/>
      <c r="AN430" s="1072" cm="1" t="str">
        <f t="array" ref="AN430:AN430">K430</f>
        <v>2061</v>
      </c>
      <c r="AO430" s="1072" t="s">
        <v>2773</v>
      </c>
      <c r="AP430" s="1082" cm="1" t="str">
        <f t="array" ref="AP430:AP430">AP429</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AQ430" s="709"/>
      <c r="AR430" s="709"/>
    </row>
    <row s="7340" customFormat="1" customHeight="1" ht="14.25" hidden="1">
      <c r="A431" s="1297"/>
      <c r="B431" s="447">
        <f>K431&lt;first_year+PERIOD_LENGTH</f>
        <v>0</v>
      </c>
      <c r="C431" s="1297"/>
      <c r="D431" s="1297"/>
      <c r="E431" s="709">
        <v>15</v>
      </c>
      <c r="F431" s="50" cm="1" t="str">
        <f t="array" ref="F431:F431">OFFSET(E431,-1,1)</f>
        <v>3</v>
      </c>
      <c r="G431" s="94" cm="1" t="str">
        <f t="array" ref="G431:G431">G430</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H431" s="1297"/>
      <c r="I431" s="1297"/>
      <c r="J431" s="1297"/>
      <c r="K431" s="154">
        <f>first_year+38</f>
        <v>2062</v>
      </c>
      <c r="L431" s="1297"/>
      <c r="M431" s="1297"/>
      <c r="N431" s="1297"/>
      <c r="O431" s="1297"/>
      <c r="P431" s="1297"/>
      <c r="Q431" s="1297"/>
      <c r="R431" s="1297"/>
      <c r="S431" s="1297"/>
      <c r="T431" s="468" cm="1" t="str">
        <f t="array" ref="T431:T431">T430</f>
        <v>true</v>
      </c>
      <c r="U431" s="1297"/>
      <c r="V431" s="1297"/>
      <c r="W431" s="1297"/>
      <c r="X431" s="1539"/>
      <c r="Y431" s="1539"/>
      <c r="Z431" s="1529"/>
      <c r="AA431" s="1630"/>
      <c r="AB431" s="251" t="str">
        <f>K431&amp;" год"</f>
        <v>2062 год</v>
      </c>
      <c r="AC431" s="409"/>
      <c r="AD431" s="6972"/>
      <c r="AE431" s="6971"/>
      <c r="AF431" s="6971"/>
      <c r="AG431" s="6972"/>
      <c r="AH431" s="6971"/>
      <c r="AI431" s="6972"/>
      <c r="AJ431" s="6971"/>
      <c r="AK431" s="6973"/>
      <c r="AL431" s="404"/>
      <c r="AM431" s="1297"/>
      <c r="AN431" s="1072" cm="1" t="str">
        <f t="array" ref="AN431:AN431">K431</f>
        <v>2062</v>
      </c>
      <c r="AO431" s="1072" t="s">
        <v>2773</v>
      </c>
      <c r="AP431" s="1082" cm="1" t="str">
        <f t="array" ref="AP431:AP431">AP430</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AQ431" s="709"/>
      <c r="AR431" s="709"/>
    </row>
    <row s="7341" customFormat="1" customHeight="1" ht="14.25" hidden="1">
      <c r="A432" s="1297"/>
      <c r="B432" s="447">
        <f>K432&lt;first_year+PERIOD_LENGTH</f>
        <v>0</v>
      </c>
      <c r="C432" s="1297"/>
      <c r="D432" s="1297"/>
      <c r="E432" s="709">
        <v>15</v>
      </c>
      <c r="F432" s="50" cm="1" t="str">
        <f t="array" ref="F432:F432">OFFSET(E432,-1,1)</f>
        <v>3</v>
      </c>
      <c r="G432" s="94" cm="1" t="str">
        <f t="array" ref="G432:G432">G431</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H432" s="1297"/>
      <c r="I432" s="1297"/>
      <c r="J432" s="1297"/>
      <c r="K432" s="154">
        <f>first_year+39</f>
        <v>2063</v>
      </c>
      <c r="L432" s="1297"/>
      <c r="M432" s="1297"/>
      <c r="N432" s="1297"/>
      <c r="O432" s="1297"/>
      <c r="P432" s="1297"/>
      <c r="Q432" s="1297"/>
      <c r="R432" s="1297"/>
      <c r="S432" s="1297"/>
      <c r="T432" s="468" cm="1" t="str">
        <f t="array" ref="T432:T432">T431</f>
        <v>true</v>
      </c>
      <c r="U432" s="1297"/>
      <c r="V432" s="1297"/>
      <c r="W432" s="1297"/>
      <c r="X432" s="1539"/>
      <c r="Y432" s="1539"/>
      <c r="Z432" s="1529"/>
      <c r="AA432" s="1630"/>
      <c r="AB432" s="251" t="str">
        <f>K432&amp;" год"</f>
        <v>2063 год</v>
      </c>
      <c r="AC432" s="409"/>
      <c r="AD432" s="6972"/>
      <c r="AE432" s="6971"/>
      <c r="AF432" s="6971"/>
      <c r="AG432" s="6972"/>
      <c r="AH432" s="6971"/>
      <c r="AI432" s="6972"/>
      <c r="AJ432" s="6971"/>
      <c r="AK432" s="6973"/>
      <c r="AL432" s="404"/>
      <c r="AM432" s="1297"/>
      <c r="AN432" s="1072" cm="1" t="str">
        <f t="array" ref="AN432:AN432">K432</f>
        <v>2063</v>
      </c>
      <c r="AO432" s="1072" t="s">
        <v>2773</v>
      </c>
      <c r="AP432" s="1082" cm="1" t="str">
        <f t="array" ref="AP432:AP432">AP431</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AQ432" s="709"/>
      <c r="AR432" s="709"/>
    </row>
    <row s="7342" customFormat="1" customHeight="1" ht="14.25" hidden="1">
      <c r="A433" s="1297"/>
      <c r="B433" s="447">
        <f>K433&lt;first_year+PERIOD_LENGTH</f>
        <v>0</v>
      </c>
      <c r="C433" s="1297"/>
      <c r="D433" s="1297"/>
      <c r="E433" s="709">
        <v>15</v>
      </c>
      <c r="F433" s="50" cm="1" t="str">
        <f t="array" ref="F433:F433">OFFSET(E433,-1,1)</f>
        <v>3</v>
      </c>
      <c r="G433" s="94" cm="1" t="str">
        <f t="array" ref="G433:G433">G432</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H433" s="1297"/>
      <c r="I433" s="1297"/>
      <c r="J433" s="1297"/>
      <c r="K433" s="154">
        <f>first_year+40</f>
        <v>2064</v>
      </c>
      <c r="L433" s="1297"/>
      <c r="M433" s="1297"/>
      <c r="N433" s="1297"/>
      <c r="O433" s="1297"/>
      <c r="P433" s="1297"/>
      <c r="Q433" s="1297"/>
      <c r="R433" s="1297"/>
      <c r="S433" s="1297"/>
      <c r="T433" s="468" cm="1" t="str">
        <f t="array" ref="T433:T433">T432</f>
        <v>true</v>
      </c>
      <c r="U433" s="1297"/>
      <c r="V433" s="1297"/>
      <c r="W433" s="1297"/>
      <c r="X433" s="1539"/>
      <c r="Y433" s="1539"/>
      <c r="Z433" s="1529"/>
      <c r="AA433" s="1630"/>
      <c r="AB433" s="251" t="str">
        <f>K433&amp;" год"</f>
        <v>2064 год</v>
      </c>
      <c r="AC433" s="409"/>
      <c r="AD433" s="6972"/>
      <c r="AE433" s="6971"/>
      <c r="AF433" s="6971"/>
      <c r="AG433" s="6972"/>
      <c r="AH433" s="6971"/>
      <c r="AI433" s="6972"/>
      <c r="AJ433" s="6971"/>
      <c r="AK433" s="6973"/>
      <c r="AL433" s="404"/>
      <c r="AM433" s="1297"/>
      <c r="AN433" s="1072" cm="1" t="str">
        <f t="array" ref="AN433:AN433">K433</f>
        <v>2064</v>
      </c>
      <c r="AO433" s="1072" t="s">
        <v>2773</v>
      </c>
      <c r="AP433" s="1082" cm="1" t="str">
        <f t="array" ref="AP433:AP433">AP432</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AQ433" s="709"/>
      <c r="AR433" s="709"/>
    </row>
    <row s="7343" customFormat="1" customHeight="1" ht="14.25" hidden="1">
      <c r="A434" s="1297"/>
      <c r="B434" s="447">
        <f>K434&lt;first_year+PERIOD_LENGTH</f>
        <v>0</v>
      </c>
      <c r="C434" s="1297"/>
      <c r="D434" s="1297"/>
      <c r="E434" s="709">
        <v>15</v>
      </c>
      <c r="F434" s="50" cm="1" t="str">
        <f t="array" ref="F434:F434">OFFSET(E434,-1,1)</f>
        <v>3</v>
      </c>
      <c r="G434" s="94" cm="1" t="str">
        <f t="array" ref="G434:G434">G433</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H434" s="1297"/>
      <c r="I434" s="1297"/>
      <c r="J434" s="1297"/>
      <c r="K434" s="154">
        <f>first_year+41</f>
        <v>2065</v>
      </c>
      <c r="L434" s="1297"/>
      <c r="M434" s="1297"/>
      <c r="N434" s="1297"/>
      <c r="O434" s="1297"/>
      <c r="P434" s="1297"/>
      <c r="Q434" s="1297"/>
      <c r="R434" s="1297"/>
      <c r="S434" s="1297"/>
      <c r="T434" s="468" cm="1" t="str">
        <f t="array" ref="T434:T434">T433</f>
        <v>true</v>
      </c>
      <c r="U434" s="1297"/>
      <c r="V434" s="1297"/>
      <c r="W434" s="1297"/>
      <c r="X434" s="1539"/>
      <c r="Y434" s="1539"/>
      <c r="Z434" s="1529"/>
      <c r="AA434" s="1630"/>
      <c r="AB434" s="251" t="str">
        <f>K434&amp;" год"</f>
        <v>2065 год</v>
      </c>
      <c r="AC434" s="409"/>
      <c r="AD434" s="6972"/>
      <c r="AE434" s="6971"/>
      <c r="AF434" s="6971"/>
      <c r="AG434" s="6972"/>
      <c r="AH434" s="6971"/>
      <c r="AI434" s="6972"/>
      <c r="AJ434" s="6971"/>
      <c r="AK434" s="6973"/>
      <c r="AL434" s="404"/>
      <c r="AM434" s="1297"/>
      <c r="AN434" s="1072" cm="1" t="str">
        <f t="array" ref="AN434:AN434">K434</f>
        <v>2065</v>
      </c>
      <c r="AO434" s="1072" t="s">
        <v>2773</v>
      </c>
      <c r="AP434" s="1082" cm="1" t="str">
        <f t="array" ref="AP434:AP434">AP433</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AQ434" s="709"/>
      <c r="AR434" s="709"/>
    </row>
    <row s="7344" customFormat="1" customHeight="1" ht="14.25" hidden="1">
      <c r="A435" s="1297"/>
      <c r="B435" s="447">
        <f>K435&lt;first_year+PERIOD_LENGTH</f>
        <v>0</v>
      </c>
      <c r="C435" s="1297"/>
      <c r="D435" s="1297"/>
      <c r="E435" s="709">
        <v>15</v>
      </c>
      <c r="F435" s="50" cm="1" t="str">
        <f t="array" ref="F435:F435">OFFSET(E435,-1,1)</f>
        <v>3</v>
      </c>
      <c r="G435" s="94" cm="1" t="str">
        <f t="array" ref="G435:G435">G434</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H435" s="1297"/>
      <c r="I435" s="1297"/>
      <c r="J435" s="1297"/>
      <c r="K435" s="154">
        <f>first_year+42</f>
        <v>2066</v>
      </c>
      <c r="L435" s="1297"/>
      <c r="M435" s="1297"/>
      <c r="N435" s="1297"/>
      <c r="O435" s="1297"/>
      <c r="P435" s="1297"/>
      <c r="Q435" s="1297"/>
      <c r="R435" s="1297"/>
      <c r="S435" s="1297"/>
      <c r="T435" s="468" cm="1" t="str">
        <f t="array" ref="T435:T435">T434</f>
        <v>true</v>
      </c>
      <c r="U435" s="1297"/>
      <c r="V435" s="1297"/>
      <c r="W435" s="1297"/>
      <c r="X435" s="1539"/>
      <c r="Y435" s="1539"/>
      <c r="Z435" s="1529"/>
      <c r="AA435" s="1630"/>
      <c r="AB435" s="251" t="str">
        <f>K435&amp;" год"</f>
        <v>2066 год</v>
      </c>
      <c r="AC435" s="409"/>
      <c r="AD435" s="6972"/>
      <c r="AE435" s="6971"/>
      <c r="AF435" s="6971"/>
      <c r="AG435" s="6972"/>
      <c r="AH435" s="6971"/>
      <c r="AI435" s="6972"/>
      <c r="AJ435" s="6971"/>
      <c r="AK435" s="6973"/>
      <c r="AL435" s="404"/>
      <c r="AM435" s="1297"/>
      <c r="AN435" s="1072" cm="1" t="str">
        <f t="array" ref="AN435:AN435">K435</f>
        <v>2066</v>
      </c>
      <c r="AO435" s="1072" t="s">
        <v>2773</v>
      </c>
      <c r="AP435" s="1082" cm="1" t="str">
        <f t="array" ref="AP435:AP435">AP434</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AQ435" s="709"/>
      <c r="AR435" s="709"/>
    </row>
    <row s="7345" customFormat="1" customHeight="1" ht="14.25" hidden="1">
      <c r="A436" s="1297"/>
      <c r="B436" s="447">
        <f>K436&lt;first_year+PERIOD_LENGTH</f>
        <v>0</v>
      </c>
      <c r="C436" s="1297"/>
      <c r="D436" s="1297"/>
      <c r="E436" s="709">
        <v>15</v>
      </c>
      <c r="F436" s="50" cm="1" t="str">
        <f t="array" ref="F436:F436">OFFSET(E436,-1,1)</f>
        <v>3</v>
      </c>
      <c r="G436" s="94" cm="1" t="str">
        <f t="array" ref="G436:G436">G435</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H436" s="1297"/>
      <c r="I436" s="1297"/>
      <c r="J436" s="1297"/>
      <c r="K436" s="154">
        <f>first_year+43</f>
        <v>2067</v>
      </c>
      <c r="L436" s="1297"/>
      <c r="M436" s="1297"/>
      <c r="N436" s="1297"/>
      <c r="O436" s="1297"/>
      <c r="P436" s="1297"/>
      <c r="Q436" s="1297"/>
      <c r="R436" s="1297"/>
      <c r="S436" s="1297"/>
      <c r="T436" s="468" cm="1" t="str">
        <f t="array" ref="T436:T436">T435</f>
        <v>true</v>
      </c>
      <c r="U436" s="1297"/>
      <c r="V436" s="1297"/>
      <c r="W436" s="1297"/>
      <c r="X436" s="1539"/>
      <c r="Y436" s="1539"/>
      <c r="Z436" s="1529"/>
      <c r="AA436" s="1630"/>
      <c r="AB436" s="251" t="str">
        <f>K436&amp;" год"</f>
        <v>2067 год</v>
      </c>
      <c r="AC436" s="409"/>
      <c r="AD436" s="6972"/>
      <c r="AE436" s="6971"/>
      <c r="AF436" s="6971"/>
      <c r="AG436" s="6972"/>
      <c r="AH436" s="6971"/>
      <c r="AI436" s="6972"/>
      <c r="AJ436" s="6971"/>
      <c r="AK436" s="6973"/>
      <c r="AL436" s="404"/>
      <c r="AM436" s="1297"/>
      <c r="AN436" s="1072" cm="1" t="str">
        <f t="array" ref="AN436:AN436">K436</f>
        <v>2067</v>
      </c>
      <c r="AO436" s="1072" t="s">
        <v>2773</v>
      </c>
      <c r="AP436" s="1082" cm="1" t="str">
        <f t="array" ref="AP436:AP436">AP435</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AQ436" s="709"/>
      <c r="AR436" s="709"/>
    </row>
    <row s="7346" customFormat="1" customHeight="1" ht="14.25" hidden="1">
      <c r="A437" s="1297"/>
      <c r="B437" s="447">
        <f>K437&lt;first_year+PERIOD_LENGTH</f>
        <v>0</v>
      </c>
      <c r="C437" s="1297"/>
      <c r="D437" s="1297"/>
      <c r="E437" s="709">
        <v>15</v>
      </c>
      <c r="F437" s="50" cm="1" t="str">
        <f t="array" ref="F437:F437">OFFSET(E437,-1,1)</f>
        <v>3</v>
      </c>
      <c r="G437" s="94" cm="1" t="str">
        <f t="array" ref="G437:G437">G436</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H437" s="1297"/>
      <c r="I437" s="1297"/>
      <c r="J437" s="1297"/>
      <c r="K437" s="154">
        <f>first_year+44</f>
        <v>2068</v>
      </c>
      <c r="L437" s="1297"/>
      <c r="M437" s="1297"/>
      <c r="N437" s="1297"/>
      <c r="O437" s="1297"/>
      <c r="P437" s="1297"/>
      <c r="Q437" s="1297"/>
      <c r="R437" s="1297"/>
      <c r="S437" s="1297"/>
      <c r="T437" s="468" cm="1" t="str">
        <f t="array" ref="T437:T437">T436</f>
        <v>true</v>
      </c>
      <c r="U437" s="1297"/>
      <c r="V437" s="1297"/>
      <c r="W437" s="1297"/>
      <c r="X437" s="1539"/>
      <c r="Y437" s="1539"/>
      <c r="Z437" s="1529"/>
      <c r="AA437" s="1630"/>
      <c r="AB437" s="251" t="str">
        <f>K437&amp;" год"</f>
        <v>2068 год</v>
      </c>
      <c r="AC437" s="409"/>
      <c r="AD437" s="6972"/>
      <c r="AE437" s="6971"/>
      <c r="AF437" s="6971"/>
      <c r="AG437" s="6972"/>
      <c r="AH437" s="6971"/>
      <c r="AI437" s="6972"/>
      <c r="AJ437" s="6971"/>
      <c r="AK437" s="6973"/>
      <c r="AL437" s="404"/>
      <c r="AM437" s="1297"/>
      <c r="AN437" s="1072" cm="1" t="str">
        <f t="array" ref="AN437:AN437">K437</f>
        <v>2068</v>
      </c>
      <c r="AO437" s="1072" t="s">
        <v>2773</v>
      </c>
      <c r="AP437" s="1082" cm="1" t="str">
        <f t="array" ref="AP437:AP437">AP436</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AQ437" s="709"/>
      <c r="AR437" s="709"/>
    </row>
    <row s="7347" customFormat="1" customHeight="1" ht="14.25" hidden="1">
      <c r="A438" s="1297"/>
      <c r="B438" s="447">
        <f>K438&lt;first_year+PERIOD_LENGTH</f>
        <v>0</v>
      </c>
      <c r="C438" s="1297"/>
      <c r="D438" s="1297"/>
      <c r="E438" s="709">
        <v>15</v>
      </c>
      <c r="F438" s="50" cm="1" t="str">
        <f t="array" ref="F438:F438">OFFSET(E438,-1,1)</f>
        <v>3</v>
      </c>
      <c r="G438" s="94" cm="1" t="str">
        <f t="array" ref="G438:G438">G437</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H438" s="1297"/>
      <c r="I438" s="1297"/>
      <c r="J438" s="1297"/>
      <c r="K438" s="154">
        <f>first_year+45</f>
        <v>2069</v>
      </c>
      <c r="L438" s="1297"/>
      <c r="M438" s="1297"/>
      <c r="N438" s="1297"/>
      <c r="O438" s="1297"/>
      <c r="P438" s="1297"/>
      <c r="Q438" s="1297"/>
      <c r="R438" s="1297"/>
      <c r="S438" s="1297"/>
      <c r="T438" s="468" cm="1" t="str">
        <f t="array" ref="T438:T438">T437</f>
        <v>true</v>
      </c>
      <c r="U438" s="1297"/>
      <c r="V438" s="1297"/>
      <c r="W438" s="1297"/>
      <c r="X438" s="1539"/>
      <c r="Y438" s="1539"/>
      <c r="Z438" s="1529"/>
      <c r="AA438" s="1630"/>
      <c r="AB438" s="251" t="str">
        <f>K438&amp;" год"</f>
        <v>2069 год</v>
      </c>
      <c r="AC438" s="409"/>
      <c r="AD438" s="6972"/>
      <c r="AE438" s="6971"/>
      <c r="AF438" s="6971"/>
      <c r="AG438" s="6972"/>
      <c r="AH438" s="6971"/>
      <c r="AI438" s="6972"/>
      <c r="AJ438" s="6971"/>
      <c r="AK438" s="6973"/>
      <c r="AL438" s="404"/>
      <c r="AM438" s="1297"/>
      <c r="AN438" s="1072" cm="1" t="str">
        <f t="array" ref="AN438:AN438">K438</f>
        <v>2069</v>
      </c>
      <c r="AO438" s="1072" t="s">
        <v>2773</v>
      </c>
      <c r="AP438" s="1082" cm="1" t="str">
        <f t="array" ref="AP438:AP438">AP437</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AQ438" s="709"/>
      <c r="AR438" s="709"/>
    </row>
    <row s="7348" customFormat="1" customHeight="1" ht="14.25" hidden="1">
      <c r="A439" s="1297"/>
      <c r="B439" s="447">
        <f>K439&lt;first_year+PERIOD_LENGTH</f>
        <v>0</v>
      </c>
      <c r="C439" s="1297"/>
      <c r="D439" s="1297"/>
      <c r="E439" s="709">
        <v>15</v>
      </c>
      <c r="F439" s="50" cm="1" t="str">
        <f t="array" ref="F439:F439">OFFSET(E439,-1,1)</f>
        <v>3</v>
      </c>
      <c r="G439" s="94" cm="1" t="str">
        <f t="array" ref="G439:G439">G438</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H439" s="1297"/>
      <c r="I439" s="1297"/>
      <c r="J439" s="1297"/>
      <c r="K439" s="154">
        <f>first_year+46</f>
        <v>2070</v>
      </c>
      <c r="L439" s="1297"/>
      <c r="M439" s="1297"/>
      <c r="N439" s="1297"/>
      <c r="O439" s="1297"/>
      <c r="P439" s="1297"/>
      <c r="Q439" s="1297"/>
      <c r="R439" s="1297"/>
      <c r="S439" s="1297"/>
      <c r="T439" s="468" cm="1" t="str">
        <f t="array" ref="T439:T439">T438</f>
        <v>true</v>
      </c>
      <c r="U439" s="1297"/>
      <c r="V439" s="1297"/>
      <c r="W439" s="1297"/>
      <c r="X439" s="1539"/>
      <c r="Y439" s="1539"/>
      <c r="Z439" s="1529"/>
      <c r="AA439" s="1630"/>
      <c r="AB439" s="251" t="str">
        <f>K439&amp;" год"</f>
        <v>2070 год</v>
      </c>
      <c r="AC439" s="409"/>
      <c r="AD439" s="6972"/>
      <c r="AE439" s="6971"/>
      <c r="AF439" s="6971"/>
      <c r="AG439" s="6972"/>
      <c r="AH439" s="6971"/>
      <c r="AI439" s="6972"/>
      <c r="AJ439" s="6971"/>
      <c r="AK439" s="6973"/>
      <c r="AL439" s="404"/>
      <c r="AM439" s="1297"/>
      <c r="AN439" s="1072" cm="1" t="str">
        <f t="array" ref="AN439:AN439">K439</f>
        <v>2070</v>
      </c>
      <c r="AO439" s="1072" t="s">
        <v>2773</v>
      </c>
      <c r="AP439" s="1082" cm="1" t="str">
        <f t="array" ref="AP439:AP439">AP438</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AQ439" s="709"/>
      <c r="AR439" s="709"/>
    </row>
    <row s="7349" customFormat="1" customHeight="1" ht="14.25" hidden="1">
      <c r="A440" s="1297"/>
      <c r="B440" s="447">
        <f>K440&lt;first_year+PERIOD_LENGTH</f>
        <v>0</v>
      </c>
      <c r="C440" s="1297"/>
      <c r="D440" s="1297"/>
      <c r="E440" s="709">
        <v>15</v>
      </c>
      <c r="F440" s="50" cm="1" t="str">
        <f t="array" ref="F440:F440">OFFSET(E440,-1,1)</f>
        <v>3</v>
      </c>
      <c r="G440" s="94" cm="1" t="str">
        <f t="array" ref="G440:G440">G439</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H440" s="1297"/>
      <c r="I440" s="1297"/>
      <c r="J440" s="1297"/>
      <c r="K440" s="154">
        <f>first_year+47</f>
        <v>2071</v>
      </c>
      <c r="L440" s="1297"/>
      <c r="M440" s="1297"/>
      <c r="N440" s="1297"/>
      <c r="O440" s="1297"/>
      <c r="P440" s="1297"/>
      <c r="Q440" s="1297"/>
      <c r="R440" s="1297"/>
      <c r="S440" s="1297"/>
      <c r="T440" s="468" cm="1" t="str">
        <f t="array" ref="T440:T440">T439</f>
        <v>true</v>
      </c>
      <c r="U440" s="1297"/>
      <c r="V440" s="1297"/>
      <c r="W440" s="1297"/>
      <c r="X440" s="1539"/>
      <c r="Y440" s="1539"/>
      <c r="Z440" s="1529"/>
      <c r="AA440" s="1630"/>
      <c r="AB440" s="251" t="str">
        <f>K440&amp;" год"</f>
        <v>2071 год</v>
      </c>
      <c r="AC440" s="409"/>
      <c r="AD440" s="6972"/>
      <c r="AE440" s="6971"/>
      <c r="AF440" s="6971"/>
      <c r="AG440" s="6972"/>
      <c r="AH440" s="6971"/>
      <c r="AI440" s="6972"/>
      <c r="AJ440" s="6971"/>
      <c r="AK440" s="6973"/>
      <c r="AL440" s="404"/>
      <c r="AM440" s="1297"/>
      <c r="AN440" s="1072" cm="1" t="str">
        <f t="array" ref="AN440:AN440">K440</f>
        <v>2071</v>
      </c>
      <c r="AO440" s="1072" t="s">
        <v>2773</v>
      </c>
      <c r="AP440" s="1082" cm="1" t="str">
        <f t="array" ref="AP440:AP440">AP439</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AQ440" s="709"/>
      <c r="AR440" s="709"/>
    </row>
    <row s="7350" customFormat="1" customHeight="1" ht="14.25" hidden="1">
      <c r="A441" s="1297"/>
      <c r="B441" s="447">
        <f>K441&lt;first_year+PERIOD_LENGTH</f>
        <v>0</v>
      </c>
      <c r="C441" s="1297"/>
      <c r="D441" s="1297"/>
      <c r="E441" s="709">
        <v>15</v>
      </c>
      <c r="F441" s="50" cm="1" t="str">
        <f t="array" ref="F441:F441">OFFSET(E441,-1,1)</f>
        <v>3</v>
      </c>
      <c r="G441" s="94" cm="1" t="str">
        <f t="array" ref="G441:G441">G440</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H441" s="1297"/>
      <c r="I441" s="1297"/>
      <c r="J441" s="1297"/>
      <c r="K441" s="154">
        <f>first_year+48</f>
        <v>2072</v>
      </c>
      <c r="L441" s="1297"/>
      <c r="M441" s="1297"/>
      <c r="N441" s="1297"/>
      <c r="O441" s="1297"/>
      <c r="P441" s="1297"/>
      <c r="Q441" s="1297"/>
      <c r="R441" s="1297"/>
      <c r="S441" s="1297"/>
      <c r="T441" s="468" cm="1" t="str">
        <f t="array" ref="T441:T441">T440</f>
        <v>true</v>
      </c>
      <c r="U441" s="1297"/>
      <c r="V441" s="1297"/>
      <c r="W441" s="1297"/>
      <c r="X441" s="1539"/>
      <c r="Y441" s="1539"/>
      <c r="Z441" s="1529"/>
      <c r="AA441" s="1630"/>
      <c r="AB441" s="251" t="str">
        <f>K441&amp;" год"</f>
        <v>2072 год</v>
      </c>
      <c r="AC441" s="409"/>
      <c r="AD441" s="6972"/>
      <c r="AE441" s="6971"/>
      <c r="AF441" s="6971"/>
      <c r="AG441" s="6972"/>
      <c r="AH441" s="6971"/>
      <c r="AI441" s="6972"/>
      <c r="AJ441" s="6971"/>
      <c r="AK441" s="6973"/>
      <c r="AL441" s="404"/>
      <c r="AM441" s="1297"/>
      <c r="AN441" s="1072" cm="1" t="str">
        <f t="array" ref="AN441:AN441">K441</f>
        <v>2072</v>
      </c>
      <c r="AO441" s="1072" t="s">
        <v>2773</v>
      </c>
      <c r="AP441" s="1082" cm="1" t="str">
        <f t="array" ref="AP441:AP441">AP440</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AQ441" s="709"/>
      <c r="AR441" s="709"/>
    </row>
    <row s="7351" customFormat="1" customHeight="1" ht="14.25" hidden="1">
      <c r="A442" s="1297"/>
      <c r="B442" s="447">
        <f>K442&lt;first_year+PERIOD_LENGTH</f>
        <v>0</v>
      </c>
      <c r="C442" s="1297"/>
      <c r="D442" s="1297"/>
      <c r="E442" s="709">
        <v>15</v>
      </c>
      <c r="F442" s="50" cm="1" t="str">
        <f t="array" ref="F442:F442">OFFSET(E442,-1,1)</f>
        <v>3</v>
      </c>
      <c r="G442" s="94" cm="1" t="str">
        <f t="array" ref="G442:G442">G441</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H442" s="1297"/>
      <c r="I442" s="1297"/>
      <c r="J442" s="1297"/>
      <c r="K442" s="154">
        <f>first_year+49</f>
        <v>2073</v>
      </c>
      <c r="L442" s="1297"/>
      <c r="M442" s="1297"/>
      <c r="N442" s="1297"/>
      <c r="O442" s="1297"/>
      <c r="P442" s="1297"/>
      <c r="Q442" s="1297"/>
      <c r="R442" s="1297"/>
      <c r="S442" s="1297"/>
      <c r="T442" s="468" cm="1" t="str">
        <f t="array" ref="T442:T442">T441</f>
        <v>true</v>
      </c>
      <c r="U442" s="1297"/>
      <c r="V442" s="1297"/>
      <c r="W442" s="1297"/>
      <c r="X442" s="1539"/>
      <c r="Y442" s="1539"/>
      <c r="Z442" s="1529"/>
      <c r="AA442" s="1630"/>
      <c r="AB442" s="251" t="str">
        <f>K442&amp;" год"</f>
        <v>2073 год</v>
      </c>
      <c r="AC442" s="409"/>
      <c r="AD442" s="6972"/>
      <c r="AE442" s="6971"/>
      <c r="AF442" s="6971"/>
      <c r="AG442" s="6972"/>
      <c r="AH442" s="6971"/>
      <c r="AI442" s="6972"/>
      <c r="AJ442" s="6971"/>
      <c r="AK442" s="6973"/>
      <c r="AL442" s="404"/>
      <c r="AM442" s="1297"/>
      <c r="AN442" s="1072" cm="1" t="str">
        <f t="array" ref="AN442:AN442">K442</f>
        <v>2073</v>
      </c>
      <c r="AO442" s="1072" t="s">
        <v>2773</v>
      </c>
      <c r="AP442" s="1082" cm="1" t="str">
        <f t="array" ref="AP442:AP442">AP441</f>
        <v>Постановление РЭК Кемеровской области от 17.12.2019 N 602 (ред. от 02.02.2021) "Об установлении долгосрочных параметров регулирования тарифов в сфере холодного водоснабжения питьевой водой, водоотведения ОАО "Северо-Кузбасская энергетическая компания" (Ленинск-Кузнецкий городской округ, Полысаевский городской округ)" (в ред. постановлений РЭК Кузбасса от 18.12.2020 № 747, от 02.02.2021 № 42).</v>
      </c>
      <c r="AQ442" s="709"/>
      <c r="AR442" s="709"/>
    </row>
    <row s="1656" customFormat="1" customHeight="1" ht="14.25">
      <c r="A443" s="154"/>
      <c r="B443" s="434"/>
      <c r="C443" s="154"/>
      <c r="D443" s="154"/>
      <c r="E443" s="709">
        <v>15</v>
      </c>
      <c r="F443" s="1194" cm="1" t="str">
        <f t="array" ref="F443:F443">OFFSET(E443,-1,1)</f>
        <v>3</v>
      </c>
      <c r="G443" s="154" t="str">
        <f>"!== 'не определено'"</f>
        <v>!== 'не определено'</v>
      </c>
      <c r="H443" s="154"/>
      <c r="I443" s="154"/>
      <c r="J443" s="154"/>
      <c r="K443" s="154"/>
      <c r="L443" s="154"/>
      <c r="M443" s="154"/>
      <c r="N443" s="154"/>
      <c r="O443" s="154"/>
      <c r="P443" s="154"/>
      <c r="Q443" s="154"/>
      <c r="R443" s="154"/>
      <c r="S443" s="154"/>
      <c r="T443" s="468">
        <f>F443&gt;0</f>
        <v>1</v>
      </c>
      <c r="U443" s="154"/>
      <c r="V443" s="154"/>
      <c r="W443" s="836" t="s">
        <v>2774</v>
      </c>
      <c r="X443" s="1539"/>
      <c r="Y443" s="154"/>
      <c r="Z443" s="1529"/>
      <c r="AA443" s="154"/>
      <c r="AB443" s="945" t="s">
        <v>177</v>
      </c>
      <c r="AC443" s="300"/>
      <c r="AD443" s="300"/>
      <c r="AE443" s="300"/>
      <c r="AF443" s="300"/>
      <c r="AG443" s="300"/>
      <c r="AH443" s="300"/>
      <c r="AI443" s="300"/>
      <c r="AJ443" s="300"/>
      <c r="AK443" s="300"/>
      <c r="AL443" s="404"/>
      <c r="AM443" s="1656"/>
      <c r="AN443" s="1012"/>
      <c r="AO443" s="1012"/>
      <c r="AP443" s="1012"/>
      <c r="AQ443" s="1015" t="s">
        <v>2773</v>
      </c>
      <c r="AR443" s="629"/>
    </row>
    <row customHeight="1" ht="10.96875">
      <c r="E444" s="709">
        <v>11.25</v>
      </c>
      <c r="U444" s="702" t="s">
        <v>177</v>
      </c>
      <c r="V444" s="715" t="s">
        <v>2778</v>
      </c>
      <c r="AH444" s="1328"/>
      <c r="AI444" s="1328"/>
      <c r="AJ444" s="1328"/>
      <c r="AK444" s="1328"/>
      <c r="AN444" s="1014"/>
      <c r="AO444" s="1014"/>
      <c r="AP444" s="1014"/>
      <c r="AQ444" s="681"/>
      <c r="AR444" s="681"/>
    </row>
    <row customHeight="1" ht="14.625">
      <c r="E445" s="637">
        <v>15</v>
      </c>
      <c r="AB445" s="1545" t="s">
        <v>420</v>
      </c>
      <c r="AC445" s="1545"/>
      <c r="AD445" s="1545"/>
      <c r="AE445" s="1545"/>
      <c r="AF445" s="1545"/>
      <c r="AG445" s="1545"/>
      <c r="AH445" s="1545"/>
      <c r="AI445" s="1545"/>
      <c r="AJ445" s="1545"/>
      <c r="AK445" s="1545"/>
    </row>
    <row customHeight="1" ht="46.921875">
      <c r="E446" s="637">
        <v>15</v>
      </c>
      <c r="AA446" s="667"/>
      <c r="AB446" s="1620" t="s">
        <v>2779</v>
      </c>
      <c r="AC446" s="1620"/>
      <c r="AD446" s="1620"/>
      <c r="AE446" s="1620"/>
      <c r="AF446" s="1620"/>
      <c r="AG446" s="1620"/>
      <c r="AH446" s="6960"/>
      <c r="AI446" s="6960"/>
      <c r="AJ446" s="6960"/>
      <c r="AK446" s="6960"/>
    </row>
    <row customHeight="1" ht="14.625" hidden="1">
      <c r="A447" s="1328"/>
      <c r="B447" s="1186"/>
      <c r="C447" s="1328"/>
      <c r="D447" s="1328"/>
      <c r="E447" s="637">
        <v>15</v>
      </c>
      <c r="F447" s="1328"/>
      <c r="G447" s="1328"/>
      <c r="H447" s="1328"/>
      <c r="I447" s="1328"/>
      <c r="J447" s="1328"/>
      <c r="K447" s="1328"/>
      <c r="L447" s="1328"/>
      <c r="M447" s="1328"/>
      <c r="N447" s="1328"/>
      <c r="O447" s="1328"/>
      <c r="P447" s="1328"/>
      <c r="Q447" s="1328"/>
      <c r="R447" s="1328"/>
      <c r="S447" s="1328"/>
      <c r="T447" s="94">
        <f>ROW(W447)&gt;ROW(W$447)</f>
        <v>0</v>
      </c>
      <c r="U447" s="1328"/>
      <c r="V447" s="1328"/>
      <c r="W447" s="94" t="s">
        <v>173</v>
      </c>
      <c r="X447" s="1328"/>
      <c r="Y447" s="1328"/>
      <c r="Z447" s="1328"/>
      <c r="AA447" s="422" t="s">
        <v>174</v>
      </c>
      <c r="AB447" s="6960" t="s">
        <v>240</v>
      </c>
      <c r="AC447" s="6960"/>
      <c r="AD447" s="6960"/>
      <c r="AE447" s="6960"/>
      <c r="AF447" s="6960"/>
      <c r="AG447" s="6960"/>
      <c r="AH447" s="6960"/>
      <c r="AI447" s="6960"/>
      <c r="AJ447" s="6960"/>
      <c r="AK447" s="7362"/>
      <c r="AL447" s="1328"/>
      <c r="AM447" s="1328"/>
      <c r="AN447" s="1330"/>
      <c r="AO447" s="1330"/>
      <c r="AP447" s="1330"/>
      <c r="AQ447" s="1329"/>
      <c r="AR447" s="1329"/>
    </row>
    <row s="1656" customFormat="1" customHeight="1" ht="72.421875">
      <c r="A448" s="1328"/>
      <c r="B448" s="1186"/>
      <c r="C448" s="1328"/>
      <c r="D448" s="1328"/>
      <c r="E448" s="637">
        <v>15</v>
      </c>
      <c r="F448" s="1328"/>
      <c r="G448" s="1328"/>
      <c r="H448" s="1328"/>
      <c r="I448" s="1328"/>
      <c r="J448" s="1328"/>
      <c r="K448" s="1328"/>
      <c r="L448" s="1328"/>
      <c r="M448" s="1328"/>
      <c r="N448" s="1328"/>
      <c r="O448" s="1328"/>
      <c r="P448" s="1328"/>
      <c r="Q448" s="1328"/>
      <c r="R448" s="1328"/>
      <c r="S448" s="1328"/>
      <c r="T448" s="94">
        <f>ROW(W448)&gt;ROW(W$447)</f>
        <v>1</v>
      </c>
      <c r="U448" s="1328"/>
      <c r="V448" s="1328"/>
      <c r="W448" s="94"/>
      <c r="X448" s="1328"/>
      <c r="Y448" s="1328" t="s">
        <v>240</v>
      </c>
      <c r="Z448" s="1328"/>
      <c r="AA448" s="422" t="s">
        <v>174</v>
      </c>
      <c r="AB448" s="1620" t="s">
        <v>2772</v>
      </c>
      <c r="AC448" s="1620"/>
      <c r="AD448" s="1620"/>
      <c r="AE448" s="1620"/>
      <c r="AF448" s="1620"/>
      <c r="AG448" s="1620"/>
      <c r="AH448" s="1620"/>
      <c r="AI448" s="1620"/>
      <c r="AJ448" s="1620"/>
      <c r="AK448" s="1624"/>
      <c r="AL448" s="1328"/>
      <c r="AM448" s="1328"/>
      <c r="AN448" s="1330"/>
      <c r="AO448" s="1330"/>
      <c r="AP448" s="1330"/>
      <c r="AQ448" s="1329"/>
      <c r="AR448" s="1329"/>
    </row>
    <row s="1656" customFormat="1" customHeight="1" ht="49.171875">
      <c r="A449" s="1328"/>
      <c r="B449" s="1186"/>
      <c r="C449" s="1328"/>
      <c r="D449" s="1328"/>
      <c r="E449" s="637">
        <v>15</v>
      </c>
      <c r="F449" s="1328"/>
      <c r="G449" s="1328"/>
      <c r="H449" s="1328"/>
      <c r="I449" s="1328"/>
      <c r="J449" s="1328"/>
      <c r="K449" s="1328"/>
      <c r="L449" s="1328"/>
      <c r="M449" s="1328"/>
      <c r="N449" s="1328"/>
      <c r="O449" s="1328"/>
      <c r="P449" s="1328"/>
      <c r="Q449" s="1328"/>
      <c r="R449" s="1328"/>
      <c r="S449" s="1328"/>
      <c r="T449" s="94">
        <f>ROW(W449)&gt;ROW(W$447)</f>
        <v>1</v>
      </c>
      <c r="U449" s="1328"/>
      <c r="V449" s="1328"/>
      <c r="W449" s="94"/>
      <c r="X449" s="1328"/>
      <c r="Y449" s="1328" t="s">
        <v>240</v>
      </c>
      <c r="Z449" s="1328"/>
      <c r="AA449" s="422" t="s">
        <v>174</v>
      </c>
      <c r="AB449" s="1620" t="s">
        <v>2780</v>
      </c>
      <c r="AC449" s="1620"/>
      <c r="AD449" s="1620"/>
      <c r="AE449" s="1620"/>
      <c r="AF449" s="1620"/>
      <c r="AG449" s="1620"/>
      <c r="AH449" s="1620"/>
      <c r="AI449" s="1620"/>
      <c r="AJ449" s="1620"/>
      <c r="AK449" s="1624"/>
      <c r="AL449" s="1328"/>
      <c r="AM449" s="1328"/>
      <c r="AN449" s="1330"/>
      <c r="AO449" s="1330"/>
      <c r="AP449" s="1330"/>
      <c r="AQ449" s="1329"/>
      <c r="AR449" s="1329"/>
    </row>
    <row customHeight="1" ht="14.625">
      <c r="E450" s="637">
        <v>15</v>
      </c>
      <c r="W450" s="836" t="s">
        <v>421</v>
      </c>
      <c r="AB450" s="653"/>
      <c r="AC450" s="517" t="s">
        <v>422</v>
      </c>
      <c r="AD450" s="309"/>
      <c r="AE450" s="309"/>
      <c r="AF450" s="309"/>
      <c r="AG450" s="309"/>
      <c r="AH450" s="309"/>
      <c r="AI450" s="309"/>
      <c r="AJ450" s="309"/>
      <c r="AK450" s="716"/>
    </row>
    <row customHeight="1" ht="10.725000000000001">
      <c r="E451" s="637">
        <v>11</v>
      </c>
      <c r="AH451" s="1328"/>
      <c r="AI451" s="1328"/>
      <c r="AJ451" s="1328"/>
      <c r="AK451" s="1328"/>
      <c r="AL451" s="428"/>
    </row>
  </sheetData>
  <sheetProtection formatColumns="0" formatRows="0" insertRows="0" deleteColumns="0" deleteRows="0" sort="0" autoFilter="0" insertColumns="1"/>
  <mergeCells count="42">
    <mergeCell ref="X28:X80"/>
    <mergeCell ref="Z28:Z80"/>
    <mergeCell ref="Y29:Y79"/>
    <mergeCell ref="AA29:AA79"/>
    <mergeCell ref="AB29:AK29"/>
    <mergeCell ref="AB446:AK446"/>
    <mergeCell ref="AB445:AK445"/>
    <mergeCell ref="AB447:AK447"/>
    <mergeCell ref="AB24:AB26"/>
    <mergeCell ref="AC24:AC25"/>
    <mergeCell ref="AD24:AD25"/>
    <mergeCell ref="AE24:AE25"/>
    <mergeCell ref="AF24:AK24"/>
    <mergeCell ref="X81:X235"/>
    <mergeCell ref="Z81:Z235"/>
    <mergeCell ref="Y82:Y132"/>
    <mergeCell ref="AA82:AA132"/>
    <mergeCell ref="AB82:AK82"/>
    <mergeCell ref="Y133:Y183"/>
    <mergeCell ref="AA133:AA183"/>
    <mergeCell ref="AB133:AK133"/>
    <mergeCell ref="Y184:Y234"/>
    <mergeCell ref="AA184:AA234"/>
    <mergeCell ref="AB184:AK184"/>
    <mergeCell ref="X236:X339"/>
    <mergeCell ref="Z236:Z339"/>
    <mergeCell ref="Y237:Y287"/>
    <mergeCell ref="AA237:AA287"/>
    <mergeCell ref="AB237:AK237"/>
    <mergeCell ref="Y288:Y338"/>
    <mergeCell ref="AA288:AA338"/>
    <mergeCell ref="AB288:AK288"/>
    <mergeCell ref="X340:X443"/>
    <mergeCell ref="Z340:Z443"/>
    <mergeCell ref="Y341:Y391"/>
    <mergeCell ref="AA341:AA391"/>
    <mergeCell ref="AB341:AK341"/>
    <mergeCell ref="Y392:Y442"/>
    <mergeCell ref="AA392:AA442"/>
    <mergeCell ref="AB392:AK392"/>
    <mergeCell ref="AB448:AK448"/>
    <mergeCell ref="AB449:AK449"/>
  </mergeCells>
  <dataValidations count="1">
    <dataValidation type="decimal" allowBlank="1" showErrorMessage="1" errorTitle="Ошибка" error="Допускается ввод только неотрицательных чисел!" sqref="AK30:AK80 AK83:AK132 AK134:AK183 AK185:AK235 AK238:AK287 AK289:AK339 AK342:AK391 AK393:AK443 AJ30:AJ80 AJ83:AJ132 AJ134:AJ183 AJ185:AJ235 AJ238:AJ287 AJ289:AJ339 AJ342:AJ391 AJ393:AJ443 AI30:AI80 AI83:AI132 AI134:AI183 AI185:AI235 AI238:AI287 AI289:AI339 AI342:AI391 AI393:AI443 AH30:AH80 AH83:AH132 AH134:AH183 AH185:AH235 AH238:AH287 AH289:AH339 AH342:AH391 AH393:AH443 AG30:AG80 AG83:AG132 AG134:AG183 AG185:AG235 AG238:AG287 AG289:AG339 AG342:AG391 AG393:AG443 AF30:AF80 AF83:AF132 AF134:AF183 AF185:AF235 AF238:AF287 AF289:AF339 AF342:AF391 AF393:AF443 AE30:AE80 AE83:AE132 AE134:AE183 AE185:AE235 AE238:AE287 AE289:AE339 AE342:AE391 AE393:AE443 AD30:AD80 AD83:AD132 AD134:AD183 AD185:AD235 AD238:AD287 AD289:AD339 AD342:AD391 AD393:AD443 AC30:AC80 AC83:AC132 AC134:AC183 AC185:AC235 AC238:AC287 AC289:AC339 AC342:AC391 AC393:AC443">
      <formula1>0</formula1>
      <formula2>9.99999999999999E+23</formula2>
    </dataValidation>
  </dataValidations>
  <printOptions horizontalCentered="1"/>
  <pageMargins left="0.35" right="0.35" top="0.40" bottom="0.40" header="0.08" footer="0.08"/>
  <pageSetup paperSize="9" scale="60" firstPageNumber="16" pageOrder="downThenOver" orientation="landscape" useFirstPageNumber="1"/>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7435CC8-C3C8-A688-BC06-370C462CB3F4}" mc:Ignorable="x14ac xr xr2 xr3">
  <sheetPr>
    <tabColor rgb="FF002060"/>
    <outlinePr summaryRight="0" summaryBelow="0"/>
    <pageSetUpPr fitToPage="1"/>
  </sheetPr>
  <dimension ref="A1:AP407"/>
  <sheetViews>
    <sheetView showGridLines="0" workbookViewId="0">
      <pane xSplit="30" ySplit="25" topLeftCell="AE240" activePane="bottomRight" state="frozen"/>
      <selection pane="bottomLeft" activeCell="A26" sqref="A26"/>
      <selection pane="topRight" activeCell="AE1" sqref="AE1"/>
      <selection pane="bottomRight" activeCell="AA21" sqref="AA21"/>
    </sheetView>
  </sheetViews>
  <sheetFormatPr defaultColWidth="8.7109375" customHeight="1" defaultRowHeight="11.25"/>
  <cols>
    <col min="1" max="1" style="673" width="5.140625" hidden="1" customWidth="1"/>
    <col min="2" max="2" style="1240" width="9.28125" hidden="1" customWidth="1"/>
    <col min="3" max="3" style="1240" width="5.140625" hidden="1" customWidth="1"/>
    <col min="4" max="4" style="1240" width="2.7109375" hidden="1" customWidth="1"/>
    <col min="5" max="5" style="1183" width="5.7109375" hidden="1" customWidth="1"/>
    <col min="6" max="6" style="1240" width="2.7109375" hidden="1" customWidth="1"/>
    <col min="7" max="7" style="1240" width="7.57421875" hidden="1" customWidth="1"/>
    <col min="8" max="9" style="1240" width="2.7109375" hidden="1" customWidth="1"/>
    <col min="10" max="10" style="1240" width="8.140625" hidden="1" customWidth="1"/>
    <col min="11" max="18" style="1240" width="2.7109375" hidden="1" customWidth="1"/>
    <col min="19" max="19" style="1240" width="4.421875" hidden="1" customWidth="1"/>
    <col min="20" max="20" style="1240" width="9.140625" hidden="1" customWidth="1"/>
    <col min="21" max="21" style="1240" width="5.8515625" hidden="1" customWidth="1"/>
    <col min="22" max="23" style="1240" width="6.140625" hidden="1" customWidth="1"/>
    <col min="24" max="25" style="1240" width="5.57421875" hidden="1" customWidth="1"/>
    <col min="26" max="26" style="1240" width="5.28125" hidden="1" customWidth="1"/>
    <col min="27" max="27" style="1240" width="3.00390625" customWidth="1"/>
    <col min="28" max="28" style="1240" width="11.00390625" customWidth="1"/>
    <col min="29" max="29" style="1240" width="58.00390625" customWidth="1"/>
    <col min="30" max="30" style="1560" width="11.00390625" customWidth="1"/>
    <col min="31" max="31" style="1560" width="18.29296875" customWidth="1"/>
    <col min="32" max="32" style="1308" width="8.7109375"/>
    <col min="33" max="33" style="1308" width="8.7109375" hidden="1"/>
    <col min="34" max="36" style="1309" width="8.7109375" hidden="1"/>
    <col min="37" max="38" style="1310" width="8.7109375" hidden="1"/>
    <col min="39" max="42" width="8.7109375" hidden="1"/>
  </cols>
  <sheetData>
    <row customHeight="1" ht="11.25" hidden="1">
      <c r="E1" s="491"/>
      <c r="F1" s="491" t="s">
        <v>333</v>
      </c>
      <c r="H1" s="491" t="s">
        <v>343</v>
      </c>
      <c r="I1" s="491" t="s">
        <v>368</v>
      </c>
      <c r="T1" s="468" t="s">
        <v>93</v>
      </c>
      <c r="U1" s="468" t="s">
        <v>98</v>
      </c>
      <c r="V1" s="468" t="s">
        <v>94</v>
      </c>
      <c r="W1" s="468" t="s">
        <v>95</v>
      </c>
      <c r="X1" s="468" t="s">
        <v>96</v>
      </c>
      <c r="Y1" s="470" t="s">
        <v>335</v>
      </c>
      <c r="Z1" s="468" t="s">
        <v>100</v>
      </c>
      <c r="AA1" s="470" t="s">
        <v>97</v>
      </c>
      <c r="AB1" s="417"/>
      <c r="AC1" s="469" t="s">
        <v>99</v>
      </c>
      <c r="AH1" s="1009" t="s">
        <v>336</v>
      </c>
      <c r="AI1" s="1009" t="s">
        <v>337</v>
      </c>
      <c r="AJ1" s="1009" t="s">
        <v>338</v>
      </c>
      <c r="AK1" s="662" t="s">
        <v>341</v>
      </c>
      <c r="AL1" s="662" t="s">
        <v>342</v>
      </c>
    </row>
    <row customHeight="1" ht="11.25" hidden="1">
      <c r="B2" s="1284" t="s">
        <v>19</v>
      </c>
      <c r="E2" s="491"/>
    </row>
    <row customHeight="1" ht="11.25" hidden="1">
      <c r="E3" s="491"/>
    </row>
    <row customHeight="1" ht="11.25" hidden="1">
      <c r="E4" s="491"/>
    </row>
    <row s="1183" customFormat="1" customHeight="1" ht="11.25" hidden="1">
      <c r="A5" s="673"/>
      <c r="B5" s="491"/>
      <c r="C5" s="491"/>
      <c r="D5" s="491"/>
      <c r="E5" s="655" t="s">
        <v>20</v>
      </c>
      <c r="AA5" s="655">
        <v>3</v>
      </c>
      <c r="AB5" s="655">
        <v>11</v>
      </c>
      <c r="AC5" s="655">
        <v>58</v>
      </c>
      <c r="AD5" s="657">
        <v>11</v>
      </c>
      <c r="AE5" s="657">
        <v>18.29</v>
      </c>
      <c r="AF5" s="662" t="s">
        <v>234</v>
      </c>
      <c r="AG5" s="662"/>
      <c r="AH5" s="1009"/>
      <c r="AI5" s="1009"/>
      <c r="AJ5" s="1009"/>
      <c r="AK5" s="662"/>
      <c r="AL5" s="662"/>
      <c r="AM5" s="681"/>
      <c r="AN5" s="681"/>
      <c r="AO5" s="681"/>
      <c r="AP5" s="681"/>
    </row>
    <row customHeight="1" ht="13.5" hidden="1">
      <c r="A6" s="673" t="s">
        <v>371</v>
      </c>
      <c r="AE6" s="558">
        <f>god-2</f>
        <v>2024</v>
      </c>
    </row>
    <row customHeight="1" ht="11.25" hidden="1">
      <c r="AE7" s="558"/>
    </row>
    <row customHeight="1" ht="11.25" hidden="1">
      <c r="AE8" s="558"/>
    </row>
    <row customHeight="1" ht="11.25" hidden="1">
      <c r="AE9" s="558" cm="1" t="str">
        <f t="array" ref="AE9:AE9">god</f>
        <v>2026</v>
      </c>
    </row>
    <row s="1184" customFormat="1" customHeight="1" ht="11.25" hidden="1">
      <c r="A10" s="1083" t="s">
        <v>350</v>
      </c>
      <c r="AC10" s="1033" t="s">
        <v>338</v>
      </c>
      <c r="AD10" s="1034"/>
      <c r="AE10" s="1084"/>
      <c r="AF10" s="1009"/>
      <c r="AG10" s="1009"/>
      <c r="AH10" s="1009"/>
      <c r="AI10" s="1009"/>
      <c r="AJ10" s="1009"/>
      <c r="AK10" s="662"/>
      <c r="AL10" s="662"/>
      <c r="AM10" s="1014"/>
      <c r="AN10" s="1014"/>
      <c r="AO10" s="1014"/>
      <c r="AP10" s="1014"/>
    </row>
    <row customHeight="1" ht="11.25" hidden="1">
      <c r="AE11" s="558"/>
    </row>
    <row customHeight="1" ht="11.25" hidden="1">
      <c r="AE12" s="558"/>
    </row>
    <row customHeight="1" ht="11.25" hidden="1">
      <c r="AE13" s="558"/>
    </row>
    <row customHeight="1" ht="11.25" hidden="1">
      <c r="AE14" s="558"/>
    </row>
    <row customHeight="1" ht="11.25" hidden="1">
      <c r="AE15" s="558"/>
    </row>
    <row customHeight="1" ht="11.25" hidden="1">
      <c r="AE16" s="558"/>
    </row>
    <row customHeight="1" ht="11.25" hidden="1">
      <c r="AE17" s="520"/>
    </row>
    <row customHeight="1" ht="11.25" hidden="1">
      <c r="A18" s="673" t="s">
        <v>379</v>
      </c>
      <c r="AC18" s="491" t="s">
        <v>194</v>
      </c>
    </row>
    <row customHeight="1" ht="11.25" hidden="1"/>
    <row customHeight="1" ht="11.25" hidden="1"/>
    <row customHeight="1" ht="14.625">
      <c r="E21" s="655">
        <v>15</v>
      </c>
      <c r="AA21" s="491"/>
      <c r="AC21" s="526" cm="1" t="str">
        <f t="array" ref="AC21:AC21">tpl_title</f>
        <v>Кемеровская область / 2026 / ОАО «СКЭК» (ИНН:4205153492, КПП:420501001) / ДПР: 2024-2028</v>
      </c>
    </row>
    <row customHeight="1" ht="43.875">
      <c r="E22" s="655">
        <v>45</v>
      </c>
      <c r="AB22" s="1633" t="str">
        <f>IF(method_reg="Метод сравнения аналогов"," Калькуляция текущих расходов гарантирующей организации ("&amp;STATUS_GO&amp;")","Текущие 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Текущие 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c r="AC22" s="1634" t="str">
        <f>IF(method_reg="Метод сравнения аналогов"," Калькуляция расходов гарантирующей организации ("&amp;STATUS_GO&amp;")","Расходы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c r="AD22" s="1635" t="str">
        <f>IF(method_reg="Метод сравнения аналогов"," Калькуляция расходов гарантирующей организации ("&amp;STATUS_GO&amp;")","Расходы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c r="AE22" s="1634" t="str">
        <f>IF(method_reg="Метод сравнения аналогов"," Калькуляция расходов гарантирующей организации ("&amp;STATUS_GO&amp;")","Расходы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row>
    <row customHeight="1" ht="10.96875">
      <c r="E23" s="655">
        <v>11.25</v>
      </c>
      <c r="AB23" s="1568"/>
      <c r="AC23" s="1568"/>
      <c r="AD23" s="1568"/>
      <c r="AE23" s="1568"/>
    </row>
    <row customHeight="1" ht="14.625">
      <c r="E24" s="655">
        <v>15</v>
      </c>
      <c r="AB24" s="1553" t="s">
        <v>918</v>
      </c>
      <c r="AC24" s="1584" t="s">
        <v>194</v>
      </c>
      <c r="AD24" s="1553" t="s">
        <v>381</v>
      </c>
      <c r="AE24" s="1354" t="str">
        <f>god-2&amp;" год"</f>
        <v>2024 год</v>
      </c>
    </row>
    <row customHeight="1" ht="48.75">
      <c r="E25" s="655">
        <v>50</v>
      </c>
      <c r="AB25" s="1553"/>
      <c r="AC25" s="1584"/>
      <c r="AD25" s="1581"/>
      <c r="AE25" s="559" t="s">
        <v>2781</v>
      </c>
    </row>
    <row customHeight="1" ht="11.25" hidden="1">
      <c r="E26" s="655">
        <v>0</v>
      </c>
      <c r="AB26" s="729"/>
      <c r="AC26" s="728"/>
      <c r="AD26" s="729"/>
      <c r="AE26" s="735"/>
    </row>
    <row customHeight="1" ht="14.625" hidden="1">
      <c r="A27" s="673"/>
      <c r="B27" s="1240"/>
      <c r="C27" s="1240"/>
      <c r="D27" s="1240"/>
      <c r="E27" s="655">
        <v>15</v>
      </c>
      <c r="F27" s="843" cm="1" t="str">
        <f t="array" ref="F27:F27">X27</f>
        <v>0</v>
      </c>
      <c r="G27" s="491" t="s">
        <v>929</v>
      </c>
      <c r="H27" s="1240"/>
      <c r="I27" s="1240"/>
      <c r="J27" s="1240"/>
      <c r="K27" s="1240"/>
      <c r="L27" s="1240"/>
      <c r="M27" s="1240"/>
      <c r="N27" s="1240"/>
      <c r="O27" s="1240"/>
      <c r="P27" s="1240"/>
      <c r="Q27" s="1240"/>
      <c r="R27" s="1240"/>
      <c r="S27" s="1240"/>
      <c r="T27" s="468">
        <f>X27&gt;0</f>
        <v>0</v>
      </c>
      <c r="U27" s="1240"/>
      <c r="V27" s="491" t="s">
        <v>279</v>
      </c>
      <c r="W27" s="1240"/>
      <c r="X27" s="1559">
        <v>0</v>
      </c>
      <c r="Y27" s="1240"/>
      <c r="Z27" s="1560"/>
      <c r="AA27" s="1240"/>
      <c r="AB27" s="218" cm="1" t="str">
        <f t="array" ref="AB27:AB27">INDEX('Общие сведения'!$AG$197:$AG$254,MATCH($X27,'Общие сведения'!$Z$197:$Z$254,0))</f>
        <v>Тариф 0 () - </v>
      </c>
      <c r="AC27" s="176"/>
      <c r="AD27" s="170"/>
      <c r="AE27" s="1285">
        <f>AE28+AE78+AE115</f>
        <v>0</v>
      </c>
      <c r="AF27" s="1308"/>
      <c r="AG27" s="1308"/>
      <c r="AH27" s="1309"/>
      <c r="AI27" s="1309"/>
      <c r="AJ27" s="1309"/>
      <c r="AK27" s="1310"/>
      <c r="AL27" s="1310"/>
      <c r="AM27" s="7368"/>
      <c r="AN27" s="7368"/>
      <c r="AO27" s="7368"/>
      <c r="AP27" s="7368"/>
    </row>
    <row customHeight="1" ht="14.625" hidden="1">
      <c r="A28" s="673"/>
      <c r="B28" s="1240"/>
      <c r="C28" s="1240"/>
      <c r="D28" s="1240"/>
      <c r="E28" s="655">
        <v>15</v>
      </c>
      <c r="F28" s="50" cm="1" t="str">
        <f t="array" ref="F28:F28">OFFSET(E28,-1,1)</f>
        <v>0</v>
      </c>
      <c r="G28" s="1240"/>
      <c r="H28" s="491" t="s">
        <v>344</v>
      </c>
      <c r="I28" s="1240"/>
      <c r="J28" s="1240"/>
      <c r="K28" s="1240"/>
      <c r="L28" s="1240"/>
      <c r="M28" s="1240"/>
      <c r="N28" s="1240"/>
      <c r="O28" s="1240"/>
      <c r="P28" s="1240"/>
      <c r="Q28" s="1240"/>
      <c r="R28" s="1240"/>
      <c r="S28" s="1240"/>
      <c r="T28" s="468" cm="1" t="str">
        <f t="array" ref="T28:T28">T27</f>
        <v>false</v>
      </c>
      <c r="U28" s="1240"/>
      <c r="V28" s="1240"/>
      <c r="W28" s="1240"/>
      <c r="X28" s="1559"/>
      <c r="Y28" s="1240"/>
      <c r="Z28" s="1560"/>
      <c r="AA28" s="1240"/>
      <c r="AB28" s="1286" t="s">
        <v>290</v>
      </c>
      <c r="AC28" s="1287" t="s">
        <v>2174</v>
      </c>
      <c r="AD28" s="1288" t="s">
        <v>936</v>
      </c>
      <c r="AE28" s="1355">
        <f>AE29+AE47+AE55+AE75</f>
        <v>0</v>
      </c>
      <c r="AF28" s="1308"/>
      <c r="AG28" s="1308"/>
      <c r="AH28" s="1009" t="s">
        <v>649</v>
      </c>
      <c r="AI28" s="1309"/>
      <c r="AJ28" s="1309"/>
      <c r="AK28" s="1310"/>
      <c r="AL28" s="1310"/>
      <c r="AM28" s="7368"/>
      <c r="AN28" s="7368"/>
      <c r="AO28" s="7368"/>
      <c r="AP28" s="7368"/>
    </row>
    <row customHeight="1" ht="14.625" hidden="1">
      <c r="A29" s="673"/>
      <c r="B29" s="1240"/>
      <c r="C29" s="1240"/>
      <c r="D29" s="1240"/>
      <c r="E29" s="655">
        <v>15</v>
      </c>
      <c r="F29" s="50" cm="1" t="str">
        <f t="array" ref="F29:F29">OFFSET(E29,-1,1)</f>
        <v>0</v>
      </c>
      <c r="G29" s="1240"/>
      <c r="H29" s="491" t="s">
        <v>566</v>
      </c>
      <c r="I29" s="1240"/>
      <c r="J29" s="1240"/>
      <c r="K29" s="1240"/>
      <c r="L29" s="1240"/>
      <c r="M29" s="1240"/>
      <c r="N29" s="1240"/>
      <c r="O29" s="1240"/>
      <c r="P29" s="1240"/>
      <c r="Q29" s="1240"/>
      <c r="R29" s="1240"/>
      <c r="S29" s="1240"/>
      <c r="T29" s="468" cm="1" t="str">
        <f t="array" ref="T29:T29">T28</f>
        <v>false</v>
      </c>
      <c r="U29" s="1240"/>
      <c r="V29" s="1240"/>
      <c r="W29" s="1240"/>
      <c r="X29" s="1559"/>
      <c r="Y29" s="1240"/>
      <c r="Z29" s="1560"/>
      <c r="AA29" s="1240"/>
      <c r="AB29" s="1289" t="s">
        <v>1067</v>
      </c>
      <c r="AC29" s="1290" t="s">
        <v>1972</v>
      </c>
      <c r="AD29" s="1291" t="s">
        <v>936</v>
      </c>
      <c r="AE29" s="560">
        <f>AE30+AE31+AE32+AE37+AE38+AE39</f>
        <v>0</v>
      </c>
      <c r="AF29" s="1308"/>
      <c r="AG29" s="1308"/>
      <c r="AH29" s="1009" t="s">
        <v>1352</v>
      </c>
      <c r="AI29" s="1309"/>
      <c r="AJ29" s="1309"/>
      <c r="AK29" s="1310"/>
      <c r="AL29" s="1310"/>
      <c r="AM29" s="7368"/>
      <c r="AN29" s="7368"/>
      <c r="AO29" s="7368"/>
      <c r="AP29" s="7368"/>
    </row>
    <row customHeight="1" ht="14.625" hidden="1">
      <c r="A30" s="673"/>
      <c r="B30" s="1240"/>
      <c r="C30" s="1240"/>
      <c r="D30" s="1240"/>
      <c r="E30" s="655">
        <v>15</v>
      </c>
      <c r="F30" s="50" cm="1" t="str">
        <f t="array" ref="F30:F30">OFFSET(E30,-1,1)</f>
        <v>0</v>
      </c>
      <c r="G30" s="1240"/>
      <c r="H30" s="491" t="s">
        <v>1197</v>
      </c>
      <c r="I30" s="1240"/>
      <c r="J30" s="1240"/>
      <c r="K30" s="1240"/>
      <c r="L30" s="1240"/>
      <c r="M30" s="1240"/>
      <c r="N30" s="1240"/>
      <c r="O30" s="1240"/>
      <c r="P30" s="1240"/>
      <c r="Q30" s="1240"/>
      <c r="R30" s="1240"/>
      <c r="S30" s="1240"/>
      <c r="T30" s="468" cm="1" t="str">
        <f t="array" ref="T30:T30">T29</f>
        <v>false</v>
      </c>
      <c r="U30" s="1240"/>
      <c r="V30" s="1240"/>
      <c r="W30" s="1240"/>
      <c r="X30" s="1559"/>
      <c r="Y30" s="1240"/>
      <c r="Z30" s="1560"/>
      <c r="AA30" s="1240"/>
      <c r="AB30" s="721" t="s">
        <v>1198</v>
      </c>
      <c r="AC30" s="1292" t="s">
        <v>2782</v>
      </c>
      <c r="AD30" s="551" t="s">
        <v>936</v>
      </c>
      <c r="AE30" s="7380"/>
      <c r="AF30" s="1308"/>
      <c r="AG30" s="1308"/>
      <c r="AH30" s="1009" t="s">
        <v>1448</v>
      </c>
      <c r="AI30" s="1309"/>
      <c r="AJ30" s="1309"/>
      <c r="AK30" s="1310"/>
      <c r="AL30" s="1310"/>
      <c r="AM30" s="7368"/>
      <c r="AN30" s="7368"/>
      <c r="AO30" s="7368"/>
      <c r="AP30" s="7368"/>
    </row>
    <row customHeight="1" ht="21.9375" hidden="1">
      <c r="A31" s="673"/>
      <c r="B31" s="1240"/>
      <c r="C31" s="1240"/>
      <c r="D31" s="1240"/>
      <c r="E31" s="655">
        <v>22.5</v>
      </c>
      <c r="F31" s="50" cm="1" t="str">
        <f t="array" ref="F31:F31">OFFSET(E31,-1,1)</f>
        <v>0</v>
      </c>
      <c r="G31" s="1240"/>
      <c r="H31" s="491" t="s">
        <v>1201</v>
      </c>
      <c r="I31" s="1240"/>
      <c r="J31" s="1240"/>
      <c r="K31" s="1240"/>
      <c r="L31" s="1240"/>
      <c r="M31" s="1240"/>
      <c r="N31" s="1240"/>
      <c r="O31" s="1240"/>
      <c r="P31" s="1240"/>
      <c r="Q31" s="1240"/>
      <c r="R31" s="1240"/>
      <c r="S31" s="1240"/>
      <c r="T31" s="468" cm="1" t="str">
        <f t="array" ref="T31:T31">T30</f>
        <v>false</v>
      </c>
      <c r="U31" s="1240"/>
      <c r="V31" s="1240"/>
      <c r="W31" s="1240"/>
      <c r="X31" s="1559"/>
      <c r="Y31" s="1240"/>
      <c r="Z31" s="1560"/>
      <c r="AA31" s="1240"/>
      <c r="AB31" s="721" t="s">
        <v>1202</v>
      </c>
      <c r="AC31" s="552" t="s">
        <v>2182</v>
      </c>
      <c r="AD31" s="551" t="s">
        <v>936</v>
      </c>
      <c r="AE31" s="7380"/>
      <c r="AF31" s="1308"/>
      <c r="AG31" s="1308"/>
      <c r="AH31" s="1009" t="s">
        <v>2005</v>
      </c>
      <c r="AI31" s="1309"/>
      <c r="AJ31" s="1309"/>
      <c r="AK31" s="1310"/>
      <c r="AL31" s="1310"/>
      <c r="AM31" s="7368"/>
      <c r="AN31" s="7368"/>
      <c r="AO31" s="7368"/>
      <c r="AP31" s="7368"/>
    </row>
    <row customHeight="1" ht="32.90625" hidden="1">
      <c r="A32" s="673"/>
      <c r="B32" s="1240"/>
      <c r="C32" s="1240"/>
      <c r="D32" s="1240"/>
      <c r="E32" s="655">
        <v>33.75</v>
      </c>
      <c r="F32" s="50" cm="1" t="str">
        <f t="array" ref="F32:F32">OFFSET(E32,-1,1)</f>
        <v>0</v>
      </c>
      <c r="G32" s="1240"/>
      <c r="H32" s="491" t="s">
        <v>1525</v>
      </c>
      <c r="I32" s="1240"/>
      <c r="J32" s="1240"/>
      <c r="K32" s="1240"/>
      <c r="L32" s="1240"/>
      <c r="M32" s="1240"/>
      <c r="N32" s="1240"/>
      <c r="O32" s="1240"/>
      <c r="P32" s="1240"/>
      <c r="Q32" s="1240"/>
      <c r="R32" s="1240"/>
      <c r="S32" s="1240"/>
      <c r="T32" s="468" cm="1" t="str">
        <f t="array" ref="T32:T32">T31</f>
        <v>false</v>
      </c>
      <c r="U32" s="1240"/>
      <c r="V32" s="1240"/>
      <c r="W32" s="1240"/>
      <c r="X32" s="1559"/>
      <c r="Y32" s="1240"/>
      <c r="Z32" s="1560"/>
      <c r="AA32" s="1240"/>
      <c r="AB32" s="721" t="s">
        <v>1526</v>
      </c>
      <c r="AC32" s="552" t="s">
        <v>2783</v>
      </c>
      <c r="AD32" s="551" t="s">
        <v>936</v>
      </c>
      <c r="AE32" s="560">
        <f>AE33+AE36</f>
        <v>0</v>
      </c>
      <c r="AF32" s="1308"/>
      <c r="AG32" s="1308"/>
      <c r="AH32" s="1009" t="s">
        <v>2007</v>
      </c>
      <c r="AI32" s="1309"/>
      <c r="AJ32" s="1309"/>
      <c r="AK32" s="1310"/>
      <c r="AL32" s="1310"/>
      <c r="AM32" s="7368"/>
      <c r="AN32" s="7368"/>
      <c r="AO32" s="7368"/>
      <c r="AP32" s="7368"/>
    </row>
    <row customHeight="1" ht="21.9375" hidden="1">
      <c r="A33" s="673"/>
      <c r="B33" s="1240"/>
      <c r="C33" s="1240"/>
      <c r="D33" s="1240"/>
      <c r="E33" s="655">
        <v>22.5</v>
      </c>
      <c r="F33" s="50" cm="1" t="str">
        <f t="array" ref="F33:F33">OFFSET(E33,-1,1)</f>
        <v>0</v>
      </c>
      <c r="G33" s="1240"/>
      <c r="H33" s="491" t="s">
        <v>2784</v>
      </c>
      <c r="I33" s="1240"/>
      <c r="J33" s="1240"/>
      <c r="K33" s="1240"/>
      <c r="L33" s="1240"/>
      <c r="M33" s="1240"/>
      <c r="N33" s="1240"/>
      <c r="O33" s="1240"/>
      <c r="P33" s="1240"/>
      <c r="Q33" s="1240"/>
      <c r="R33" s="1240"/>
      <c r="S33" s="1240"/>
      <c r="T33" s="468" cm="1" t="str">
        <f t="array" ref="T33:T33">T32</f>
        <v>false</v>
      </c>
      <c r="U33" s="1240"/>
      <c r="V33" s="1240"/>
      <c r="W33" s="1240"/>
      <c r="X33" s="1559"/>
      <c r="Y33" s="1240"/>
      <c r="Z33" s="1560"/>
      <c r="AA33" s="1240"/>
      <c r="AB33" s="721" t="s">
        <v>2785</v>
      </c>
      <c r="AC33" s="1293" t="s">
        <v>2786</v>
      </c>
      <c r="AD33" s="551" t="s">
        <v>936</v>
      </c>
      <c r="AE33" s="7380"/>
      <c r="AF33" s="1308"/>
      <c r="AG33" s="1308"/>
      <c r="AH33" s="1009" t="s">
        <v>2009</v>
      </c>
      <c r="AI33" s="1309"/>
      <c r="AJ33" s="1309"/>
      <c r="AK33" s="1310"/>
      <c r="AL33" s="1310"/>
      <c r="AM33" s="7368"/>
      <c r="AN33" s="7368"/>
      <c r="AO33" s="7368"/>
      <c r="AP33" s="7368"/>
    </row>
    <row customHeight="1" ht="21.9375" hidden="1">
      <c r="A34" s="673"/>
      <c r="B34" s="1240"/>
      <c r="C34" s="1240"/>
      <c r="D34" s="1240"/>
      <c r="E34" s="655">
        <v>22.5</v>
      </c>
      <c r="F34" s="50" cm="1" t="str">
        <f t="array" ref="F34:F34">OFFSET(E34,-1,1)</f>
        <v>0</v>
      </c>
      <c r="G34" s="1240"/>
      <c r="H34" s="491" t="s">
        <v>2787</v>
      </c>
      <c r="I34" s="1240"/>
      <c r="J34" s="1240"/>
      <c r="K34" s="1240"/>
      <c r="L34" s="1240"/>
      <c r="M34" s="1240"/>
      <c r="N34" s="1240"/>
      <c r="O34" s="1240"/>
      <c r="P34" s="1240"/>
      <c r="Q34" s="1240"/>
      <c r="R34" s="1240"/>
      <c r="S34" s="1240"/>
      <c r="T34" s="468" cm="1" t="str">
        <f t="array" ref="T34:T34">T33</f>
        <v>false</v>
      </c>
      <c r="U34" s="1240"/>
      <c r="V34" s="1240"/>
      <c r="W34" s="1240"/>
      <c r="X34" s="1559"/>
      <c r="Y34" s="1240"/>
      <c r="Z34" s="1560"/>
      <c r="AA34" s="1240"/>
      <c r="AB34" s="721" t="s">
        <v>2788</v>
      </c>
      <c r="AC34" s="1294" t="s">
        <v>2789</v>
      </c>
      <c r="AD34" s="551" t="s">
        <v>2790</v>
      </c>
      <c r="AE34" s="7380"/>
      <c r="AF34" s="1308"/>
      <c r="AG34" s="1308"/>
      <c r="AH34" s="1009" t="s">
        <v>2791</v>
      </c>
      <c r="AI34" s="1309"/>
      <c r="AJ34" s="1309"/>
      <c r="AK34" s="1310"/>
      <c r="AL34" s="1310"/>
      <c r="AM34" s="7368"/>
      <c r="AN34" s="7368"/>
      <c r="AO34" s="7368"/>
      <c r="AP34" s="7368"/>
    </row>
    <row customHeight="1" ht="21.9375" hidden="1">
      <c r="A35" s="673"/>
      <c r="B35" s="1240"/>
      <c r="C35" s="1240"/>
      <c r="D35" s="1240"/>
      <c r="E35" s="655">
        <v>22.5</v>
      </c>
      <c r="F35" s="50" cm="1" t="str">
        <f t="array" ref="F35:F35">OFFSET(E35,-1,1)</f>
        <v>0</v>
      </c>
      <c r="G35" s="1240"/>
      <c r="H35" s="491" t="s">
        <v>2792</v>
      </c>
      <c r="I35" s="1240"/>
      <c r="J35" s="1240"/>
      <c r="K35" s="1240"/>
      <c r="L35" s="1240"/>
      <c r="M35" s="1240"/>
      <c r="N35" s="1240"/>
      <c r="O35" s="1240"/>
      <c r="P35" s="1240"/>
      <c r="Q35" s="1240"/>
      <c r="R35" s="1240"/>
      <c r="S35" s="1240"/>
      <c r="T35" s="468" cm="1" t="str">
        <f t="array" ref="T35:T35">T34</f>
        <v>false</v>
      </c>
      <c r="U35" s="1240"/>
      <c r="V35" s="1240"/>
      <c r="W35" s="1240"/>
      <c r="X35" s="1559"/>
      <c r="Y35" s="1240"/>
      <c r="Z35" s="1560"/>
      <c r="AA35" s="1240"/>
      <c r="AB35" s="721" t="s">
        <v>2793</v>
      </c>
      <c r="AC35" s="554" t="s">
        <v>2794</v>
      </c>
      <c r="AD35" s="551" t="s">
        <v>2795</v>
      </c>
      <c r="AE35" s="7380"/>
      <c r="AF35" s="1308"/>
      <c r="AG35" s="1308"/>
      <c r="AH35" s="1009" t="s">
        <v>2796</v>
      </c>
      <c r="AI35" s="1309"/>
      <c r="AJ35" s="1309"/>
      <c r="AK35" s="1310"/>
      <c r="AL35" s="1310"/>
      <c r="AM35" s="7368"/>
      <c r="AN35" s="7368"/>
      <c r="AO35" s="7368"/>
      <c r="AP35" s="7368"/>
    </row>
    <row customHeight="1" ht="21.9375" hidden="1">
      <c r="A36" s="673"/>
      <c r="B36" s="1240"/>
      <c r="C36" s="1240"/>
      <c r="D36" s="1240"/>
      <c r="E36" s="655">
        <v>22.5</v>
      </c>
      <c r="F36" s="50" cm="1" t="str">
        <f t="array" ref="F36:F36">OFFSET(E36,-1,1)</f>
        <v>0</v>
      </c>
      <c r="G36" s="1240"/>
      <c r="H36" s="491" t="s">
        <v>2797</v>
      </c>
      <c r="I36" s="1240"/>
      <c r="J36" s="1240"/>
      <c r="K36" s="1240"/>
      <c r="L36" s="1240"/>
      <c r="M36" s="1240"/>
      <c r="N36" s="1240"/>
      <c r="O36" s="1240"/>
      <c r="P36" s="1240"/>
      <c r="Q36" s="1240"/>
      <c r="R36" s="1240"/>
      <c r="S36" s="1240"/>
      <c r="T36" s="468" cm="1" t="str">
        <f t="array" ref="T36:T36">T35</f>
        <v>false</v>
      </c>
      <c r="U36" s="1240"/>
      <c r="V36" s="1240"/>
      <c r="W36" s="1240"/>
      <c r="X36" s="1559"/>
      <c r="Y36" s="1240"/>
      <c r="Z36" s="1560"/>
      <c r="AA36" s="1240"/>
      <c r="AB36" s="721" t="s">
        <v>2798</v>
      </c>
      <c r="AC36" s="553" t="s">
        <v>2799</v>
      </c>
      <c r="AD36" s="551" t="s">
        <v>936</v>
      </c>
      <c r="AE36" s="7380"/>
      <c r="AF36" s="1308"/>
      <c r="AG36" s="1308"/>
      <c r="AH36" s="1009" t="s">
        <v>2011</v>
      </c>
      <c r="AI36" s="1309"/>
      <c r="AJ36" s="1309"/>
      <c r="AK36" s="1310"/>
      <c r="AL36" s="1310"/>
      <c r="AM36" s="7368"/>
      <c r="AN36" s="7368"/>
      <c r="AO36" s="7368"/>
      <c r="AP36" s="7368"/>
    </row>
    <row customHeight="1" ht="14.625" hidden="1">
      <c r="A37" s="673"/>
      <c r="B37" s="1240"/>
      <c r="C37" s="1240"/>
      <c r="D37" s="1240"/>
      <c r="E37" s="655">
        <v>15</v>
      </c>
      <c r="F37" s="50" cm="1" t="str">
        <f t="array" ref="F37:F37">OFFSET(E37,-1,1)</f>
        <v>0</v>
      </c>
      <c r="G37" s="1240"/>
      <c r="H37" s="491" t="s">
        <v>1529</v>
      </c>
      <c r="I37" s="1240"/>
      <c r="J37" s="1240"/>
      <c r="K37" s="1240"/>
      <c r="L37" s="1240"/>
      <c r="M37" s="1240"/>
      <c r="N37" s="1240"/>
      <c r="O37" s="1240"/>
      <c r="P37" s="1240"/>
      <c r="Q37" s="1240"/>
      <c r="R37" s="1240"/>
      <c r="S37" s="1240"/>
      <c r="T37" s="468" cm="1" t="str">
        <f t="array" ref="T37:T37">T36</f>
        <v>false</v>
      </c>
      <c r="U37" s="1240"/>
      <c r="V37" s="1240"/>
      <c r="W37" s="1240"/>
      <c r="X37" s="1559"/>
      <c r="Y37" s="1240"/>
      <c r="Z37" s="1560"/>
      <c r="AA37" s="1240"/>
      <c r="AB37" s="721" t="s">
        <v>1530</v>
      </c>
      <c r="AC37" s="552" t="s">
        <v>2800</v>
      </c>
      <c r="AD37" s="551" t="s">
        <v>936</v>
      </c>
      <c r="AE37" s="7380"/>
      <c r="AF37" s="1308"/>
      <c r="AG37" s="1308"/>
      <c r="AH37" s="1009" t="s">
        <v>2363</v>
      </c>
      <c r="AI37" s="1309"/>
      <c r="AJ37" s="1309"/>
      <c r="AK37" s="1310"/>
      <c r="AL37" s="1310"/>
      <c r="AM37" s="7368"/>
      <c r="AN37" s="7368"/>
      <c r="AO37" s="7368"/>
      <c r="AP37" s="7368"/>
    </row>
    <row customHeight="1" ht="14.625" hidden="1">
      <c r="A38" s="673"/>
      <c r="B38" s="1240"/>
      <c r="C38" s="1240"/>
      <c r="D38" s="1240"/>
      <c r="E38" s="655">
        <v>15</v>
      </c>
      <c r="F38" s="50" cm="1" t="str">
        <f t="array" ref="F38:F38">OFFSET(E38,-1,1)</f>
        <v>0</v>
      </c>
      <c r="G38" s="1240"/>
      <c r="H38" s="491" t="s">
        <v>2801</v>
      </c>
      <c r="I38" s="1240"/>
      <c r="J38" s="1240"/>
      <c r="K38" s="1240"/>
      <c r="L38" s="1240"/>
      <c r="M38" s="1240"/>
      <c r="N38" s="1240"/>
      <c r="O38" s="1240"/>
      <c r="P38" s="1240"/>
      <c r="Q38" s="1240"/>
      <c r="R38" s="1240"/>
      <c r="S38" s="1240"/>
      <c r="T38" s="468" cm="1" t="str">
        <f t="array" ref="T38:T38">T37</f>
        <v>false</v>
      </c>
      <c r="U38" s="1240"/>
      <c r="V38" s="1240"/>
      <c r="W38" s="1240"/>
      <c r="X38" s="1559"/>
      <c r="Y38" s="1240"/>
      <c r="Z38" s="1560"/>
      <c r="AA38" s="1240"/>
      <c r="AB38" s="721" t="s">
        <v>1533</v>
      </c>
      <c r="AC38" s="552" t="s">
        <v>2188</v>
      </c>
      <c r="AD38" s="551" t="s">
        <v>936</v>
      </c>
      <c r="AE38" s="7380"/>
      <c r="AF38" s="1308"/>
      <c r="AG38" s="1308"/>
      <c r="AH38" s="1009" t="s">
        <v>2016</v>
      </c>
      <c r="AI38" s="1309"/>
      <c r="AJ38" s="1309"/>
      <c r="AK38" s="1310"/>
      <c r="AL38" s="1310"/>
      <c r="AM38" s="7368"/>
      <c r="AN38" s="7368"/>
      <c r="AO38" s="7368"/>
      <c r="AP38" s="7368"/>
    </row>
    <row customHeight="1" ht="14.625" hidden="1">
      <c r="A39" s="673"/>
      <c r="B39" s="1240"/>
      <c r="C39" s="1240"/>
      <c r="D39" s="1240"/>
      <c r="E39" s="655">
        <v>15</v>
      </c>
      <c r="F39" s="50" cm="1" t="str">
        <f t="array" ref="F39:F39">OFFSET(E39,-1,1)</f>
        <v>0</v>
      </c>
      <c r="G39" s="1240"/>
      <c r="H39" s="491" t="s">
        <v>2802</v>
      </c>
      <c r="I39" s="1240"/>
      <c r="J39" s="1240"/>
      <c r="K39" s="1240"/>
      <c r="L39" s="1240"/>
      <c r="M39" s="1240"/>
      <c r="N39" s="1240"/>
      <c r="O39" s="1240"/>
      <c r="P39" s="1240"/>
      <c r="Q39" s="1240"/>
      <c r="R39" s="1240"/>
      <c r="S39" s="1240"/>
      <c r="T39" s="468" cm="1" t="str">
        <f t="array" ref="T39:T39">T38</f>
        <v>false</v>
      </c>
      <c r="U39" s="1240"/>
      <c r="V39" s="1240"/>
      <c r="W39" s="1240"/>
      <c r="X39" s="1559"/>
      <c r="Y39" s="1240"/>
      <c r="Z39" s="1560"/>
      <c r="AA39" s="1240"/>
      <c r="AB39" s="721" t="s">
        <v>2803</v>
      </c>
      <c r="AC39" s="552" t="s">
        <v>2804</v>
      </c>
      <c r="AD39" s="551" t="s">
        <v>936</v>
      </c>
      <c r="AE39" s="560">
        <f>SUM(AE40:AE46)</f>
        <v>0</v>
      </c>
      <c r="AF39" s="1308"/>
      <c r="AG39" s="1308"/>
      <c r="AH39" s="1009" t="s">
        <v>2020</v>
      </c>
      <c r="AI39" s="1309"/>
      <c r="AJ39" s="1309"/>
      <c r="AK39" s="1310"/>
      <c r="AL39" s="1310"/>
      <c r="AM39" s="7368"/>
      <c r="AN39" s="7368"/>
      <c r="AO39" s="7368"/>
      <c r="AP39" s="7368"/>
    </row>
    <row customHeight="1" ht="14.625" hidden="1">
      <c r="A40" s="673"/>
      <c r="B40" s="1240"/>
      <c r="C40" s="1240"/>
      <c r="D40" s="1240"/>
      <c r="E40" s="655">
        <v>15</v>
      </c>
      <c r="F40" s="50" cm="1" t="str">
        <f t="array" ref="F40:F40">OFFSET(E40,-1,1)</f>
        <v>0</v>
      </c>
      <c r="G40" s="1240"/>
      <c r="H40" s="491" t="s">
        <v>2805</v>
      </c>
      <c r="I40" s="1240"/>
      <c r="J40" s="1240"/>
      <c r="K40" s="1240"/>
      <c r="L40" s="1240"/>
      <c r="M40" s="1240"/>
      <c r="N40" s="1240"/>
      <c r="O40" s="1240"/>
      <c r="P40" s="1240"/>
      <c r="Q40" s="1240"/>
      <c r="R40" s="1240"/>
      <c r="S40" s="1240"/>
      <c r="T40" s="468" cm="1" t="str">
        <f t="array" ref="T40:T40">T39</f>
        <v>false</v>
      </c>
      <c r="U40" s="1240"/>
      <c r="V40" s="1240"/>
      <c r="W40" s="1240"/>
      <c r="X40" s="1559"/>
      <c r="Y40" s="1240"/>
      <c r="Z40" s="1560"/>
      <c r="AA40" s="1240"/>
      <c r="AB40" s="721" t="s">
        <v>2806</v>
      </c>
      <c r="AC40" s="553" t="s">
        <v>2027</v>
      </c>
      <c r="AD40" s="551" t="s">
        <v>936</v>
      </c>
      <c r="AE40" s="7380"/>
      <c r="AF40" s="1308"/>
      <c r="AG40" s="1308"/>
      <c r="AH40" s="1009" t="s">
        <v>2807</v>
      </c>
      <c r="AI40" s="1309"/>
      <c r="AJ40" s="1309"/>
      <c r="AK40" s="1310"/>
      <c r="AL40" s="1310"/>
      <c r="AM40" s="7368"/>
      <c r="AN40" s="7368"/>
      <c r="AO40" s="7368"/>
      <c r="AP40" s="7368"/>
    </row>
    <row customHeight="1" ht="21.9375" hidden="1">
      <c r="A41" s="673"/>
      <c r="B41" s="1240"/>
      <c r="C41" s="1240"/>
      <c r="D41" s="1240"/>
      <c r="E41" s="655">
        <v>22.5</v>
      </c>
      <c r="F41" s="50" cm="1" t="str">
        <f t="array" ref="F41:F41">OFFSET(E41,-1,1)</f>
        <v>0</v>
      </c>
      <c r="G41" s="1240"/>
      <c r="H41" s="491" t="s">
        <v>2808</v>
      </c>
      <c r="I41" s="1240"/>
      <c r="J41" s="1240"/>
      <c r="K41" s="1240"/>
      <c r="L41" s="1240"/>
      <c r="M41" s="1240"/>
      <c r="N41" s="1240"/>
      <c r="O41" s="1240"/>
      <c r="P41" s="1240"/>
      <c r="Q41" s="1240"/>
      <c r="R41" s="1240"/>
      <c r="S41" s="1240"/>
      <c r="T41" s="468" cm="1" t="str">
        <f t="array" ref="T41:T41">T40</f>
        <v>false</v>
      </c>
      <c r="U41" s="1240"/>
      <c r="V41" s="1240"/>
      <c r="W41" s="1240"/>
      <c r="X41" s="1559"/>
      <c r="Y41" s="1240"/>
      <c r="Z41" s="1560"/>
      <c r="AA41" s="1240"/>
      <c r="AB41" s="721" t="s">
        <v>2809</v>
      </c>
      <c r="AC41" s="553" t="s">
        <v>2196</v>
      </c>
      <c r="AD41" s="551" t="s">
        <v>936</v>
      </c>
      <c r="AE41" s="7380"/>
      <c r="AF41" s="1308"/>
      <c r="AG41" s="1308"/>
      <c r="AH41" s="1072" t="s">
        <v>2197</v>
      </c>
      <c r="AI41" s="1309"/>
      <c r="AJ41" s="1309"/>
      <c r="AK41" s="1310"/>
      <c r="AL41" s="1310"/>
      <c r="AM41" s="7368"/>
      <c r="AN41" s="7368"/>
      <c r="AO41" s="7368"/>
      <c r="AP41" s="7368"/>
    </row>
    <row customHeight="1" ht="21.9375" hidden="1">
      <c r="A42" s="673"/>
      <c r="B42" s="1240"/>
      <c r="C42" s="1240"/>
      <c r="D42" s="1240"/>
      <c r="E42" s="655">
        <v>22.5</v>
      </c>
      <c r="F42" s="50" cm="1" t="str">
        <f t="array" ref="F42:F42">OFFSET(E42,-1,1)</f>
        <v>0</v>
      </c>
      <c r="G42" s="1240"/>
      <c r="H42" s="491" t="s">
        <v>2810</v>
      </c>
      <c r="I42" s="1240"/>
      <c r="J42" s="1240"/>
      <c r="K42" s="1240"/>
      <c r="L42" s="1240"/>
      <c r="M42" s="1240"/>
      <c r="N42" s="1240"/>
      <c r="O42" s="1240"/>
      <c r="P42" s="1240"/>
      <c r="Q42" s="1240"/>
      <c r="R42" s="1240"/>
      <c r="S42" s="1240"/>
      <c r="T42" s="468" cm="1" t="str">
        <f t="array" ref="T42:T42">T41</f>
        <v>false</v>
      </c>
      <c r="U42" s="1240"/>
      <c r="V42" s="1240"/>
      <c r="W42" s="1240"/>
      <c r="X42" s="1559"/>
      <c r="Y42" s="1240"/>
      <c r="Z42" s="1560"/>
      <c r="AA42" s="1240"/>
      <c r="AB42" s="721" t="s">
        <v>2811</v>
      </c>
      <c r="AC42" s="553" t="s">
        <v>2200</v>
      </c>
      <c r="AD42" s="551" t="s">
        <v>936</v>
      </c>
      <c r="AE42" s="7380"/>
      <c r="AF42" s="1308"/>
      <c r="AG42" s="1308"/>
      <c r="AH42" s="1072" t="s">
        <v>2201</v>
      </c>
      <c r="AI42" s="1309"/>
      <c r="AJ42" s="1309"/>
      <c r="AK42" s="1310"/>
      <c r="AL42" s="1310"/>
      <c r="AM42" s="7368"/>
      <c r="AN42" s="7368"/>
      <c r="AO42" s="7368"/>
      <c r="AP42" s="7368"/>
    </row>
    <row customHeight="1" ht="21.9375" hidden="1">
      <c r="A43" s="673"/>
      <c r="B43" s="1240"/>
      <c r="C43" s="1240"/>
      <c r="D43" s="1240"/>
      <c r="E43" s="655">
        <v>22.5</v>
      </c>
      <c r="F43" s="50" cm="1" t="str">
        <f t="array" ref="F43:F43">OFFSET(E43,-1,1)</f>
        <v>0</v>
      </c>
      <c r="G43" s="1240"/>
      <c r="H43" s="491" t="s">
        <v>2812</v>
      </c>
      <c r="I43" s="1240"/>
      <c r="J43" s="1240"/>
      <c r="K43" s="1240"/>
      <c r="L43" s="1240"/>
      <c r="M43" s="1240"/>
      <c r="N43" s="1240"/>
      <c r="O43" s="1240"/>
      <c r="P43" s="1240"/>
      <c r="Q43" s="1240"/>
      <c r="R43" s="1240"/>
      <c r="S43" s="1240"/>
      <c r="T43" s="468" cm="1" t="str">
        <f t="array" ref="T43:T43">T42</f>
        <v>false</v>
      </c>
      <c r="U43" s="1240"/>
      <c r="V43" s="1240"/>
      <c r="W43" s="1240"/>
      <c r="X43" s="1559"/>
      <c r="Y43" s="1240"/>
      <c r="Z43" s="1560"/>
      <c r="AA43" s="1240"/>
      <c r="AB43" s="721" t="s">
        <v>2813</v>
      </c>
      <c r="AC43" s="553" t="s">
        <v>2814</v>
      </c>
      <c r="AD43" s="551" t="s">
        <v>936</v>
      </c>
      <c r="AE43" s="7380"/>
      <c r="AF43" s="1308"/>
      <c r="AG43" s="1308"/>
      <c r="AH43" s="1072" t="s">
        <v>2205</v>
      </c>
      <c r="AI43" s="1309"/>
      <c r="AJ43" s="1309"/>
      <c r="AK43" s="1310"/>
      <c r="AL43" s="1310"/>
      <c r="AM43" s="7368"/>
      <c r="AN43" s="7368"/>
      <c r="AO43" s="7368"/>
      <c r="AP43" s="7368"/>
    </row>
    <row customHeight="1" ht="54.84375" hidden="1">
      <c r="A44" s="673"/>
      <c r="B44" s="1240"/>
      <c r="C44" s="1240"/>
      <c r="D44" s="1240"/>
      <c r="E44" s="655">
        <v>56.25</v>
      </c>
      <c r="F44" s="50" cm="1" t="str">
        <f t="array" ref="F44:F44">OFFSET(E44,-1,1)</f>
        <v>0</v>
      </c>
      <c r="G44" s="1240"/>
      <c r="H44" s="491" t="s">
        <v>2815</v>
      </c>
      <c r="I44" s="1240"/>
      <c r="J44" s="1240"/>
      <c r="K44" s="1240"/>
      <c r="L44" s="1240"/>
      <c r="M44" s="1240"/>
      <c r="N44" s="1240"/>
      <c r="O44" s="1240"/>
      <c r="P44" s="1240"/>
      <c r="Q44" s="1240"/>
      <c r="R44" s="1240"/>
      <c r="S44" s="1240"/>
      <c r="T44" s="468" cm="1" t="str">
        <f t="array" ref="T44:T44">T43</f>
        <v>false</v>
      </c>
      <c r="U44" s="1240"/>
      <c r="V44" s="1240"/>
      <c r="W44" s="1240"/>
      <c r="X44" s="1559"/>
      <c r="Y44" s="1240"/>
      <c r="Z44" s="1560"/>
      <c r="AA44" s="1240"/>
      <c r="AB44" s="721" t="s">
        <v>2816</v>
      </c>
      <c r="AC44" s="553" t="s">
        <v>2208</v>
      </c>
      <c r="AD44" s="551" t="s">
        <v>936</v>
      </c>
      <c r="AE44" s="7380"/>
      <c r="AF44" s="1308"/>
      <c r="AG44" s="1308"/>
      <c r="AH44" s="1072" t="s">
        <v>2032</v>
      </c>
      <c r="AI44" s="1309"/>
      <c r="AJ44" s="1309"/>
      <c r="AK44" s="1310"/>
      <c r="AL44" s="1310"/>
      <c r="AM44" s="7368"/>
      <c r="AN44" s="7368"/>
      <c r="AO44" s="7368"/>
      <c r="AP44" s="7368"/>
    </row>
    <row customHeight="1" ht="14.625" hidden="1">
      <c r="A45" s="673"/>
      <c r="B45" s="1240"/>
      <c r="C45" s="1240"/>
      <c r="D45" s="1240"/>
      <c r="E45" s="655">
        <v>15</v>
      </c>
      <c r="F45" s="50" cm="1" t="str">
        <f t="array" ref="F45:F45">OFFSET(E45,-1,1)</f>
        <v>0</v>
      </c>
      <c r="G45" s="1240"/>
      <c r="H45" s="491" t="s">
        <v>2817</v>
      </c>
      <c r="I45" s="1240"/>
      <c r="J45" s="1240"/>
      <c r="K45" s="1240"/>
      <c r="L45" s="1240"/>
      <c r="M45" s="1240"/>
      <c r="N45" s="1240"/>
      <c r="O45" s="1240"/>
      <c r="P45" s="1240"/>
      <c r="Q45" s="1240"/>
      <c r="R45" s="1240"/>
      <c r="S45" s="1240"/>
      <c r="T45" s="468" cm="1" t="str">
        <f t="array" ref="T45:T45">T44</f>
        <v>false</v>
      </c>
      <c r="U45" s="1240"/>
      <c r="V45" s="1240"/>
      <c r="W45" s="1240"/>
      <c r="X45" s="1559"/>
      <c r="Y45" s="1240"/>
      <c r="Z45" s="1560"/>
      <c r="AA45" s="1240"/>
      <c r="AB45" s="721" t="s">
        <v>2818</v>
      </c>
      <c r="AC45" s="553" t="s">
        <v>2035</v>
      </c>
      <c r="AD45" s="551" t="s">
        <v>936</v>
      </c>
      <c r="AE45" s="7380"/>
      <c r="AF45" s="1308"/>
      <c r="AG45" s="1308"/>
      <c r="AH45" s="1072" t="s">
        <v>2036</v>
      </c>
      <c r="AI45" s="1309"/>
      <c r="AJ45" s="1309"/>
      <c r="AK45" s="1310"/>
      <c r="AL45" s="1310"/>
      <c r="AM45" s="7368"/>
      <c r="AN45" s="7368"/>
      <c r="AO45" s="7368"/>
      <c r="AP45" s="7368"/>
    </row>
    <row customHeight="1" ht="14.625" hidden="1">
      <c r="A46" s="673"/>
      <c r="B46" s="1240"/>
      <c r="C46" s="1240"/>
      <c r="D46" s="1240"/>
      <c r="E46" s="655">
        <v>15</v>
      </c>
      <c r="F46" s="50" cm="1" t="str">
        <f t="array" ref="F46:F46">OFFSET(E46,-1,1)</f>
        <v>0</v>
      </c>
      <c r="G46" s="1240"/>
      <c r="H46" s="491" t="s">
        <v>2819</v>
      </c>
      <c r="I46" s="1240"/>
      <c r="J46" s="1240"/>
      <c r="K46" s="1240"/>
      <c r="L46" s="1240"/>
      <c r="M46" s="1240"/>
      <c r="N46" s="1240"/>
      <c r="O46" s="1240"/>
      <c r="P46" s="1240"/>
      <c r="Q46" s="1240"/>
      <c r="R46" s="1240"/>
      <c r="S46" s="1240"/>
      <c r="T46" s="468" cm="1" t="str">
        <f t="array" ref="T46:T46">T45</f>
        <v>false</v>
      </c>
      <c r="U46" s="1240"/>
      <c r="V46" s="1240"/>
      <c r="W46" s="1240"/>
      <c r="X46" s="1559"/>
      <c r="Y46" s="1240"/>
      <c r="Z46" s="1560"/>
      <c r="AA46" s="1240"/>
      <c r="AB46" s="721" t="s">
        <v>2820</v>
      </c>
      <c r="AC46" s="553" t="s">
        <v>1440</v>
      </c>
      <c r="AD46" s="551" t="s">
        <v>936</v>
      </c>
      <c r="AE46" s="7380"/>
      <c r="AF46" s="1308"/>
      <c r="AG46" s="1308"/>
      <c r="AH46" s="1072" t="s">
        <v>2020</v>
      </c>
      <c r="AI46" s="1309"/>
      <c r="AJ46" s="1309"/>
      <c r="AK46" s="1310"/>
      <c r="AL46" s="1310"/>
      <c r="AM46" s="7368"/>
      <c r="AN46" s="7368"/>
      <c r="AO46" s="7368"/>
      <c r="AP46" s="7368"/>
    </row>
    <row customHeight="1" ht="14.625" hidden="1">
      <c r="A47" s="673"/>
      <c r="B47" s="1240"/>
      <c r="C47" s="1240"/>
      <c r="D47" s="1240"/>
      <c r="E47" s="655">
        <v>15</v>
      </c>
      <c r="F47" s="50" cm="1" t="str">
        <f t="array" ref="F47:F47">OFFSET(E47,-1,1)</f>
        <v>0</v>
      </c>
      <c r="G47" s="1240"/>
      <c r="H47" s="491" t="s">
        <v>570</v>
      </c>
      <c r="I47" s="1240"/>
      <c r="J47" s="1240"/>
      <c r="K47" s="1240"/>
      <c r="L47" s="1240"/>
      <c r="M47" s="1240"/>
      <c r="N47" s="1240"/>
      <c r="O47" s="1240"/>
      <c r="P47" s="1240"/>
      <c r="Q47" s="1240"/>
      <c r="R47" s="1240"/>
      <c r="S47" s="1240"/>
      <c r="T47" s="468" cm="1" t="str">
        <f t="array" ref="T47:T47">T46</f>
        <v>false</v>
      </c>
      <c r="U47" s="1240"/>
      <c r="V47" s="1240"/>
      <c r="W47" s="1240"/>
      <c r="X47" s="1559"/>
      <c r="Y47" s="1240"/>
      <c r="Z47" s="1560"/>
      <c r="AA47" s="1240"/>
      <c r="AB47" s="721" t="s">
        <v>1070</v>
      </c>
      <c r="AC47" s="550" t="s">
        <v>2821</v>
      </c>
      <c r="AD47" s="551" t="s">
        <v>936</v>
      </c>
      <c r="AE47" s="560">
        <f>AE48+AE49+AE50</f>
        <v>0</v>
      </c>
      <c r="AF47" s="1308"/>
      <c r="AG47" s="1308"/>
      <c r="AH47" s="1071" t="s">
        <v>2040</v>
      </c>
      <c r="AI47" s="1309"/>
      <c r="AJ47" s="1309"/>
      <c r="AK47" s="1310"/>
      <c r="AL47" s="1310"/>
      <c r="AM47" s="7368"/>
      <c r="AN47" s="7368"/>
      <c r="AO47" s="7368"/>
      <c r="AP47" s="7368"/>
    </row>
    <row customHeight="1" ht="14.625" hidden="1">
      <c r="A48" s="673"/>
      <c r="B48" s="1240"/>
      <c r="C48" s="1240"/>
      <c r="D48" s="1240"/>
      <c r="E48" s="655">
        <v>15</v>
      </c>
      <c r="F48" s="50" cm="1" t="str">
        <f t="array" ref="F48:F48">OFFSET(E48,-1,1)</f>
        <v>0</v>
      </c>
      <c r="G48" s="1240"/>
      <c r="H48" s="491" t="s">
        <v>1550</v>
      </c>
      <c r="I48" s="1240"/>
      <c r="J48" s="1240"/>
      <c r="K48" s="1240"/>
      <c r="L48" s="1240"/>
      <c r="M48" s="1240"/>
      <c r="N48" s="1240"/>
      <c r="O48" s="1240"/>
      <c r="P48" s="1240"/>
      <c r="Q48" s="1240"/>
      <c r="R48" s="1240"/>
      <c r="S48" s="1240"/>
      <c r="T48" s="468" cm="1" t="str">
        <f t="array" ref="T48:T48">T47</f>
        <v>false</v>
      </c>
      <c r="U48" s="1240"/>
      <c r="V48" s="1240"/>
      <c r="W48" s="1240"/>
      <c r="X48" s="1559"/>
      <c r="Y48" s="1240"/>
      <c r="Z48" s="1560"/>
      <c r="AA48" s="1240"/>
      <c r="AB48" s="721" t="s">
        <v>1551</v>
      </c>
      <c r="AC48" s="552" t="s">
        <v>2822</v>
      </c>
      <c r="AD48" s="551" t="s">
        <v>936</v>
      </c>
      <c r="AE48" s="7380"/>
      <c r="AF48" s="1308"/>
      <c r="AG48" s="1308"/>
      <c r="AH48" s="1070" t="s">
        <v>2042</v>
      </c>
      <c r="AI48" s="1309"/>
      <c r="AJ48" s="1309"/>
      <c r="AK48" s="1310"/>
      <c r="AL48" s="1310"/>
      <c r="AM48" s="7368"/>
      <c r="AN48" s="7368"/>
      <c r="AO48" s="7368"/>
      <c r="AP48" s="7368"/>
    </row>
    <row customHeight="1" ht="14.625" hidden="1">
      <c r="A49" s="673"/>
      <c r="B49" s="1240"/>
      <c r="C49" s="1240"/>
      <c r="D49" s="1240"/>
      <c r="E49" s="655">
        <v>15</v>
      </c>
      <c r="F49" s="50" cm="1" t="str">
        <f t="array" ref="F49:F49">OFFSET(E49,-1,1)</f>
        <v>0</v>
      </c>
      <c r="G49" s="1240"/>
      <c r="H49" s="491" t="s">
        <v>1553</v>
      </c>
      <c r="I49" s="1240"/>
      <c r="J49" s="1240"/>
      <c r="K49" s="1240"/>
      <c r="L49" s="1240"/>
      <c r="M49" s="1240"/>
      <c r="N49" s="1240"/>
      <c r="O49" s="1240"/>
      <c r="P49" s="1240"/>
      <c r="Q49" s="1240"/>
      <c r="R49" s="1240"/>
      <c r="S49" s="1240"/>
      <c r="T49" s="468" cm="1" t="str">
        <f t="array" ref="T49:T49">T48</f>
        <v>false</v>
      </c>
      <c r="U49" s="1240"/>
      <c r="V49" s="1240"/>
      <c r="W49" s="1240"/>
      <c r="X49" s="1559"/>
      <c r="Y49" s="1240"/>
      <c r="Z49" s="1560"/>
      <c r="AA49" s="1240"/>
      <c r="AB49" s="721" t="s">
        <v>1554</v>
      </c>
      <c r="AC49" s="552" t="s">
        <v>2823</v>
      </c>
      <c r="AD49" s="551" t="s">
        <v>936</v>
      </c>
      <c r="AE49" s="7380"/>
      <c r="AF49" s="1308"/>
      <c r="AG49" s="1308"/>
      <c r="AH49" s="1072" t="s">
        <v>2216</v>
      </c>
      <c r="AI49" s="1309"/>
      <c r="AJ49" s="1309"/>
      <c r="AK49" s="1310"/>
      <c r="AL49" s="1310"/>
      <c r="AM49" s="7368"/>
      <c r="AN49" s="7368"/>
      <c r="AO49" s="7368"/>
      <c r="AP49" s="7368"/>
    </row>
    <row customHeight="1" ht="21.9375" hidden="1">
      <c r="A50" s="673"/>
      <c r="B50" s="1240"/>
      <c r="C50" s="1240"/>
      <c r="D50" s="1240"/>
      <c r="E50" s="655">
        <v>22.5</v>
      </c>
      <c r="F50" s="50" cm="1" t="str">
        <f t="array" ref="F50:F50">OFFSET(E50,-1,1)</f>
        <v>0</v>
      </c>
      <c r="G50" s="1240"/>
      <c r="H50" s="491" t="s">
        <v>1557</v>
      </c>
      <c r="I50" s="1240"/>
      <c r="J50" s="1240"/>
      <c r="K50" s="1240"/>
      <c r="L50" s="1240"/>
      <c r="M50" s="1240"/>
      <c r="N50" s="1240"/>
      <c r="O50" s="1240"/>
      <c r="P50" s="1240"/>
      <c r="Q50" s="1240"/>
      <c r="R50" s="1240"/>
      <c r="S50" s="1240"/>
      <c r="T50" s="468" cm="1" t="str">
        <f t="array" ref="T50:T50">T49</f>
        <v>false</v>
      </c>
      <c r="U50" s="1240"/>
      <c r="V50" s="1240"/>
      <c r="W50" s="1240"/>
      <c r="X50" s="1559"/>
      <c r="Y50" s="1240"/>
      <c r="Z50" s="1560"/>
      <c r="AA50" s="1240"/>
      <c r="AB50" s="721" t="s">
        <v>1558</v>
      </c>
      <c r="AC50" s="552" t="s">
        <v>2824</v>
      </c>
      <c r="AD50" s="551" t="s">
        <v>936</v>
      </c>
      <c r="AE50" s="560">
        <f>AE51+AE54</f>
        <v>0</v>
      </c>
      <c r="AF50" s="1308"/>
      <c r="AG50" s="1308"/>
      <c r="AH50" s="1070" t="s">
        <v>2044</v>
      </c>
      <c r="AI50" s="1309"/>
      <c r="AJ50" s="1309"/>
      <c r="AK50" s="1310"/>
      <c r="AL50" s="1310"/>
      <c r="AM50" s="7368"/>
      <c r="AN50" s="7368"/>
      <c r="AO50" s="7368"/>
      <c r="AP50" s="7368"/>
    </row>
    <row customHeight="1" ht="14.625" hidden="1">
      <c r="A51" s="673"/>
      <c r="B51" s="1240"/>
      <c r="C51" s="1240"/>
      <c r="D51" s="1240"/>
      <c r="E51" s="655">
        <v>15</v>
      </c>
      <c r="F51" s="50" cm="1" t="str">
        <f t="array" ref="F51:F51">OFFSET(E51,-1,1)</f>
        <v>0</v>
      </c>
      <c r="G51" s="1240"/>
      <c r="H51" s="491" t="s">
        <v>1712</v>
      </c>
      <c r="I51" s="1240"/>
      <c r="J51" s="1240"/>
      <c r="K51" s="1240"/>
      <c r="L51" s="1240"/>
      <c r="M51" s="1240"/>
      <c r="N51" s="1240"/>
      <c r="O51" s="1240"/>
      <c r="P51" s="1240"/>
      <c r="Q51" s="1240"/>
      <c r="R51" s="1240"/>
      <c r="S51" s="1240"/>
      <c r="T51" s="468" cm="1" t="str">
        <f t="array" ref="T51:T51">T50</f>
        <v>false</v>
      </c>
      <c r="U51" s="1240"/>
      <c r="V51" s="1240"/>
      <c r="W51" s="1240"/>
      <c r="X51" s="1559"/>
      <c r="Y51" s="1240"/>
      <c r="Z51" s="1560"/>
      <c r="AA51" s="1240"/>
      <c r="AB51" s="721" t="s">
        <v>2185</v>
      </c>
      <c r="AC51" s="553" t="s">
        <v>2046</v>
      </c>
      <c r="AD51" s="551" t="s">
        <v>936</v>
      </c>
      <c r="AE51" s="7380"/>
      <c r="AF51" s="1308"/>
      <c r="AG51" s="1308"/>
      <c r="AH51" s="1070" t="s">
        <v>2047</v>
      </c>
      <c r="AI51" s="1309"/>
      <c r="AJ51" s="1309"/>
      <c r="AK51" s="1310"/>
      <c r="AL51" s="1310"/>
      <c r="AM51" s="7368"/>
      <c r="AN51" s="7368"/>
      <c r="AO51" s="7368"/>
      <c r="AP51" s="7368"/>
    </row>
    <row customHeight="1" ht="14.625" hidden="1">
      <c r="A52" s="673"/>
      <c r="B52" s="1240"/>
      <c r="C52" s="1240"/>
      <c r="D52" s="1240"/>
      <c r="E52" s="655">
        <v>15</v>
      </c>
      <c r="F52" s="50" cm="1" t="str">
        <f t="array" ref="F52:F52">OFFSET(E52,-1,1)</f>
        <v>0</v>
      </c>
      <c r="G52" s="1240"/>
      <c r="H52" s="491" t="s">
        <v>2825</v>
      </c>
      <c r="I52" s="1240"/>
      <c r="J52" s="1240"/>
      <c r="K52" s="1240"/>
      <c r="L52" s="1240"/>
      <c r="M52" s="1240"/>
      <c r="N52" s="1240"/>
      <c r="O52" s="1240"/>
      <c r="P52" s="1240"/>
      <c r="Q52" s="1240"/>
      <c r="R52" s="1240"/>
      <c r="S52" s="1240"/>
      <c r="T52" s="468" cm="1" t="str">
        <f t="array" ref="T52:T52">T51</f>
        <v>false</v>
      </c>
      <c r="U52" s="1240"/>
      <c r="V52" s="1240"/>
      <c r="W52" s="1240"/>
      <c r="X52" s="1559"/>
      <c r="Y52" s="1240"/>
      <c r="Z52" s="1560"/>
      <c r="AA52" s="1240"/>
      <c r="AB52" s="721" t="s">
        <v>2826</v>
      </c>
      <c r="AC52" s="554" t="s">
        <v>2827</v>
      </c>
      <c r="AD52" s="551" t="s">
        <v>2790</v>
      </c>
      <c r="AE52" s="7380"/>
      <c r="AF52" s="1308"/>
      <c r="AG52" s="1308"/>
      <c r="AH52" s="1009" t="s">
        <v>2828</v>
      </c>
      <c r="AI52" s="1309"/>
      <c r="AJ52" s="1309"/>
      <c r="AK52" s="1310"/>
      <c r="AL52" s="1310"/>
      <c r="AM52" s="7368"/>
      <c r="AN52" s="7368"/>
      <c r="AO52" s="7368"/>
      <c r="AP52" s="7368"/>
    </row>
    <row customHeight="1" ht="14.625" hidden="1">
      <c r="A53" s="673"/>
      <c r="B53" s="1240"/>
      <c r="C53" s="1240"/>
      <c r="D53" s="1240"/>
      <c r="E53" s="655">
        <v>15</v>
      </c>
      <c r="F53" s="50" cm="1" t="str">
        <f t="array" ref="F53:F53">OFFSET(E53,-1,1)</f>
        <v>0</v>
      </c>
      <c r="G53" s="1240"/>
      <c r="H53" s="491" t="s">
        <v>2829</v>
      </c>
      <c r="I53" s="1240"/>
      <c r="J53" s="1240"/>
      <c r="K53" s="1240"/>
      <c r="L53" s="1240"/>
      <c r="M53" s="1240"/>
      <c r="N53" s="1240"/>
      <c r="O53" s="1240"/>
      <c r="P53" s="1240"/>
      <c r="Q53" s="1240"/>
      <c r="R53" s="1240"/>
      <c r="S53" s="1240"/>
      <c r="T53" s="468" cm="1" t="str">
        <f t="array" ref="T53:T53">T52</f>
        <v>false</v>
      </c>
      <c r="U53" s="1240"/>
      <c r="V53" s="1240"/>
      <c r="W53" s="1240"/>
      <c r="X53" s="1559"/>
      <c r="Y53" s="1240"/>
      <c r="Z53" s="1560"/>
      <c r="AA53" s="1240"/>
      <c r="AB53" s="721" t="s">
        <v>2830</v>
      </c>
      <c r="AC53" s="554" t="s">
        <v>2831</v>
      </c>
      <c r="AD53" s="551" t="s">
        <v>2795</v>
      </c>
      <c r="AE53" s="7380"/>
      <c r="AF53" s="1308"/>
      <c r="AG53" s="1308"/>
      <c r="AH53" s="1009" t="s">
        <v>2832</v>
      </c>
      <c r="AI53" s="1309"/>
      <c r="AJ53" s="1309"/>
      <c r="AK53" s="1310"/>
      <c r="AL53" s="1310"/>
      <c r="AM53" s="7368"/>
      <c r="AN53" s="7368"/>
      <c r="AO53" s="7368"/>
      <c r="AP53" s="7368"/>
    </row>
    <row customHeight="1" ht="21.9375" hidden="1">
      <c r="A54" s="673"/>
      <c r="B54" s="1240"/>
      <c r="C54" s="1240"/>
      <c r="D54" s="1240"/>
      <c r="E54" s="655">
        <v>22.5</v>
      </c>
      <c r="F54" s="50" cm="1" t="str">
        <f t="array" ref="F54:F54">OFFSET(E54,-1,1)</f>
        <v>0</v>
      </c>
      <c r="G54" s="1240"/>
      <c r="H54" s="491" t="s">
        <v>1716</v>
      </c>
      <c r="I54" s="1240"/>
      <c r="J54" s="1240"/>
      <c r="K54" s="1240"/>
      <c r="L54" s="1240"/>
      <c r="M54" s="1240"/>
      <c r="N54" s="1240"/>
      <c r="O54" s="1240"/>
      <c r="P54" s="1240"/>
      <c r="Q54" s="1240"/>
      <c r="R54" s="1240"/>
      <c r="S54" s="1240"/>
      <c r="T54" s="468" cm="1" t="str">
        <f t="array" ref="T54:T54">T53</f>
        <v>false</v>
      </c>
      <c r="U54" s="1240"/>
      <c r="V54" s="1240"/>
      <c r="W54" s="1240"/>
      <c r="X54" s="1559"/>
      <c r="Y54" s="1240"/>
      <c r="Z54" s="1560"/>
      <c r="AA54" s="1240"/>
      <c r="AB54" s="721" t="s">
        <v>2186</v>
      </c>
      <c r="AC54" s="553" t="s">
        <v>2222</v>
      </c>
      <c r="AD54" s="551" t="s">
        <v>936</v>
      </c>
      <c r="AE54" s="7380"/>
      <c r="AF54" s="1308"/>
      <c r="AG54" s="1308"/>
      <c r="AH54" s="1070" t="s">
        <v>2050</v>
      </c>
      <c r="AI54" s="1309"/>
      <c r="AJ54" s="1309"/>
      <c r="AK54" s="1310"/>
      <c r="AL54" s="1310"/>
      <c r="AM54" s="7368"/>
      <c r="AN54" s="7368"/>
      <c r="AO54" s="7368"/>
      <c r="AP54" s="7368"/>
    </row>
    <row customHeight="1" ht="14.625" hidden="1">
      <c r="A55" s="673"/>
      <c r="B55" s="1240"/>
      <c r="C55" s="1240"/>
      <c r="D55" s="1240"/>
      <c r="E55" s="655">
        <v>15</v>
      </c>
      <c r="F55" s="50" cm="1" t="str">
        <f t="array" ref="F55:F55">OFFSET(E55,-1,1)</f>
        <v>0</v>
      </c>
      <c r="G55" s="1240"/>
      <c r="H55" s="491" t="s">
        <v>573</v>
      </c>
      <c r="I55" s="1240"/>
      <c r="J55" s="1240"/>
      <c r="K55" s="1240"/>
      <c r="L55" s="1240"/>
      <c r="M55" s="1240"/>
      <c r="N55" s="1240"/>
      <c r="O55" s="1240"/>
      <c r="P55" s="1240"/>
      <c r="Q55" s="1240"/>
      <c r="R55" s="1240"/>
      <c r="S55" s="1240"/>
      <c r="T55" s="468" cm="1" t="str">
        <f t="array" ref="T55:T55">T54</f>
        <v>false</v>
      </c>
      <c r="U55" s="1240"/>
      <c r="V55" s="1240"/>
      <c r="W55" s="1240"/>
      <c r="X55" s="1559"/>
      <c r="Y55" s="1240"/>
      <c r="Z55" s="1560"/>
      <c r="AA55" s="1240"/>
      <c r="AB55" s="721" t="s">
        <v>1073</v>
      </c>
      <c r="AC55" s="550" t="s">
        <v>2223</v>
      </c>
      <c r="AD55" s="551" t="s">
        <v>936</v>
      </c>
      <c r="AE55" s="560">
        <f>AE56+AE62+AE67+AE68+AE69+AE70+AE71</f>
        <v>0</v>
      </c>
      <c r="AF55" s="1308"/>
      <c r="AG55" s="1308"/>
      <c r="AH55" s="1071" t="s">
        <v>2052</v>
      </c>
      <c r="AI55" s="1309"/>
      <c r="AJ55" s="1309"/>
      <c r="AK55" s="1310"/>
      <c r="AL55" s="1310"/>
      <c r="AM55" s="7368"/>
      <c r="AN55" s="7368"/>
      <c r="AO55" s="7368"/>
      <c r="AP55" s="7368"/>
    </row>
    <row customHeight="1" ht="21.9375" hidden="1">
      <c r="A56" s="673"/>
      <c r="B56" s="1240"/>
      <c r="C56" s="1240"/>
      <c r="D56" s="1240"/>
      <c r="E56" s="655">
        <v>22.5</v>
      </c>
      <c r="F56" s="50" cm="1" t="str">
        <f t="array" ref="F56:F56">OFFSET(E56,-1,1)</f>
        <v>0</v>
      </c>
      <c r="G56" s="1240"/>
      <c r="H56" s="491" t="s">
        <v>1563</v>
      </c>
      <c r="I56" s="1240"/>
      <c r="J56" s="1240"/>
      <c r="K56" s="1240"/>
      <c r="L56" s="1240"/>
      <c r="M56" s="1240"/>
      <c r="N56" s="1240"/>
      <c r="O56" s="1240"/>
      <c r="P56" s="1240"/>
      <c r="Q56" s="1240"/>
      <c r="R56" s="1240"/>
      <c r="S56" s="1240"/>
      <c r="T56" s="468" cm="1" t="str">
        <f t="array" ref="T56:T56">T55</f>
        <v>false</v>
      </c>
      <c r="U56" s="1240"/>
      <c r="V56" s="1240"/>
      <c r="W56" s="1240"/>
      <c r="X56" s="1559"/>
      <c r="Y56" s="1240"/>
      <c r="Z56" s="1560"/>
      <c r="AA56" s="1240"/>
      <c r="AB56" s="721" t="s">
        <v>1564</v>
      </c>
      <c r="AC56" s="552" t="s">
        <v>2053</v>
      </c>
      <c r="AD56" s="551" t="s">
        <v>936</v>
      </c>
      <c r="AE56" s="560">
        <f>SUM(AE57:AE61)</f>
        <v>0</v>
      </c>
      <c r="AF56" s="1308"/>
      <c r="AG56" s="1308"/>
      <c r="AH56" s="1070" t="s">
        <v>1393</v>
      </c>
      <c r="AI56" s="1309"/>
      <c r="AJ56" s="1309"/>
      <c r="AK56" s="1310"/>
      <c r="AL56" s="1310"/>
      <c r="AM56" s="7368"/>
      <c r="AN56" s="7368"/>
      <c r="AO56" s="7368"/>
      <c r="AP56" s="7368"/>
    </row>
    <row customHeight="1" ht="14.625" hidden="1">
      <c r="A57" s="673"/>
      <c r="B57" s="1240"/>
      <c r="C57" s="1240"/>
      <c r="D57" s="1240"/>
      <c r="E57" s="655">
        <v>15</v>
      </c>
      <c r="F57" s="50" cm="1" t="str">
        <f t="array" ref="F57:F57">OFFSET(E57,-1,1)</f>
        <v>0</v>
      </c>
      <c r="G57" s="1240"/>
      <c r="H57" s="491" t="s">
        <v>2833</v>
      </c>
      <c r="I57" s="1240"/>
      <c r="J57" s="1240"/>
      <c r="K57" s="1240"/>
      <c r="L57" s="1240"/>
      <c r="M57" s="1240"/>
      <c r="N57" s="1240"/>
      <c r="O57" s="1240"/>
      <c r="P57" s="1240"/>
      <c r="Q57" s="1240"/>
      <c r="R57" s="1240"/>
      <c r="S57" s="1240"/>
      <c r="T57" s="468" cm="1" t="str">
        <f t="array" ref="T57:T57">T56</f>
        <v>false</v>
      </c>
      <c r="U57" s="1240"/>
      <c r="V57" s="1240"/>
      <c r="W57" s="1240"/>
      <c r="X57" s="1559"/>
      <c r="Y57" s="1240"/>
      <c r="Z57" s="1560"/>
      <c r="AA57" s="1240"/>
      <c r="AB57" s="721" t="s">
        <v>2834</v>
      </c>
      <c r="AC57" s="553" t="s">
        <v>1395</v>
      </c>
      <c r="AD57" s="551" t="s">
        <v>936</v>
      </c>
      <c r="AE57" s="7380"/>
      <c r="AF57" s="1308"/>
      <c r="AG57" s="1308"/>
      <c r="AH57" s="1072" t="s">
        <v>1396</v>
      </c>
      <c r="AI57" s="1309"/>
      <c r="AJ57" s="1309"/>
      <c r="AK57" s="1310"/>
      <c r="AL57" s="1310"/>
      <c r="AM57" s="7368"/>
      <c r="AN57" s="7368"/>
      <c r="AO57" s="7368"/>
      <c r="AP57" s="7368"/>
    </row>
    <row customHeight="1" ht="14.625" hidden="1">
      <c r="A58" s="673"/>
      <c r="B58" s="1240"/>
      <c r="C58" s="1240"/>
      <c r="D58" s="1240"/>
      <c r="E58" s="655">
        <v>15</v>
      </c>
      <c r="F58" s="50" cm="1" t="str">
        <f t="array" ref="F58:F58">OFFSET(E58,-1,1)</f>
        <v>0</v>
      </c>
      <c r="G58" s="1240"/>
      <c r="H58" s="491" t="s">
        <v>2835</v>
      </c>
      <c r="I58" s="1240"/>
      <c r="J58" s="1240"/>
      <c r="K58" s="1240"/>
      <c r="L58" s="1240"/>
      <c r="M58" s="1240"/>
      <c r="N58" s="1240"/>
      <c r="O58" s="1240"/>
      <c r="P58" s="1240"/>
      <c r="Q58" s="1240"/>
      <c r="R58" s="1240"/>
      <c r="S58" s="1240"/>
      <c r="T58" s="468" cm="1" t="str">
        <f t="array" ref="T58:T58">T57</f>
        <v>false</v>
      </c>
      <c r="U58" s="1240"/>
      <c r="V58" s="1240"/>
      <c r="W58" s="1240"/>
      <c r="X58" s="1559"/>
      <c r="Y58" s="1240"/>
      <c r="Z58" s="1560"/>
      <c r="AA58" s="1240"/>
      <c r="AB58" s="721" t="s">
        <v>2836</v>
      </c>
      <c r="AC58" s="553" t="s">
        <v>1398</v>
      </c>
      <c r="AD58" s="551" t="s">
        <v>936</v>
      </c>
      <c r="AE58" s="7380"/>
      <c r="AF58" s="1308"/>
      <c r="AG58" s="1308"/>
      <c r="AH58" s="1072" t="s">
        <v>1399</v>
      </c>
      <c r="AI58" s="1309"/>
      <c r="AJ58" s="1309"/>
      <c r="AK58" s="1310"/>
      <c r="AL58" s="1310"/>
      <c r="AM58" s="7368"/>
      <c r="AN58" s="7368"/>
      <c r="AO58" s="7368"/>
      <c r="AP58" s="7368"/>
    </row>
    <row customHeight="1" ht="14.625" hidden="1">
      <c r="A59" s="673"/>
      <c r="B59" s="1240"/>
      <c r="C59" s="1240"/>
      <c r="D59" s="1240"/>
      <c r="E59" s="655">
        <v>15</v>
      </c>
      <c r="F59" s="50" cm="1" t="str">
        <f t="array" ref="F59:F59">OFFSET(E59,-1,1)</f>
        <v>0</v>
      </c>
      <c r="G59" s="1240"/>
      <c r="H59" s="491" t="s">
        <v>2837</v>
      </c>
      <c r="I59" s="1240"/>
      <c r="J59" s="1240"/>
      <c r="K59" s="1240"/>
      <c r="L59" s="1240"/>
      <c r="M59" s="1240"/>
      <c r="N59" s="1240"/>
      <c r="O59" s="1240"/>
      <c r="P59" s="1240"/>
      <c r="Q59" s="1240"/>
      <c r="R59" s="1240"/>
      <c r="S59" s="1240"/>
      <c r="T59" s="468" cm="1" t="str">
        <f t="array" ref="T59:T59">T58</f>
        <v>false</v>
      </c>
      <c r="U59" s="1240"/>
      <c r="V59" s="1240"/>
      <c r="W59" s="1240"/>
      <c r="X59" s="1559"/>
      <c r="Y59" s="1240"/>
      <c r="Z59" s="1560"/>
      <c r="AA59" s="1240"/>
      <c r="AB59" s="721" t="s">
        <v>2838</v>
      </c>
      <c r="AC59" s="553" t="s">
        <v>1401</v>
      </c>
      <c r="AD59" s="551" t="s">
        <v>936</v>
      </c>
      <c r="AE59" s="7380"/>
      <c r="AF59" s="1308"/>
      <c r="AG59" s="1308"/>
      <c r="AH59" s="1072" t="s">
        <v>1402</v>
      </c>
      <c r="AI59" s="1309"/>
      <c r="AJ59" s="1309"/>
      <c r="AK59" s="1310"/>
      <c r="AL59" s="1310"/>
      <c r="AM59" s="7368"/>
      <c r="AN59" s="7368"/>
      <c r="AO59" s="7368"/>
      <c r="AP59" s="7368"/>
    </row>
    <row customHeight="1" ht="14.625" hidden="1">
      <c r="A60" s="673"/>
      <c r="B60" s="1240"/>
      <c r="C60" s="1240"/>
      <c r="D60" s="1240"/>
      <c r="E60" s="655">
        <v>15</v>
      </c>
      <c r="F60" s="50" cm="1" t="str">
        <f t="array" ref="F60:F60">OFFSET(E60,-1,1)</f>
        <v>0</v>
      </c>
      <c r="G60" s="1240"/>
      <c r="H60" s="491" t="s">
        <v>2839</v>
      </c>
      <c r="I60" s="1240"/>
      <c r="J60" s="1240"/>
      <c r="K60" s="1240"/>
      <c r="L60" s="1240"/>
      <c r="M60" s="1240"/>
      <c r="N60" s="1240"/>
      <c r="O60" s="1240"/>
      <c r="P60" s="1240"/>
      <c r="Q60" s="1240"/>
      <c r="R60" s="1240"/>
      <c r="S60" s="1240"/>
      <c r="T60" s="468" cm="1" t="str">
        <f t="array" ref="T60:T60">T59</f>
        <v>false</v>
      </c>
      <c r="U60" s="1240"/>
      <c r="V60" s="1240"/>
      <c r="W60" s="1240"/>
      <c r="X60" s="1559"/>
      <c r="Y60" s="1240"/>
      <c r="Z60" s="1560"/>
      <c r="AA60" s="1240"/>
      <c r="AB60" s="721" t="s">
        <v>2840</v>
      </c>
      <c r="AC60" s="553" t="s">
        <v>1404</v>
      </c>
      <c r="AD60" s="551" t="s">
        <v>936</v>
      </c>
      <c r="AE60" s="7380"/>
      <c r="AF60" s="1308"/>
      <c r="AG60" s="1308"/>
      <c r="AH60" s="1072" t="s">
        <v>1405</v>
      </c>
      <c r="AI60" s="1309"/>
      <c r="AJ60" s="1309"/>
      <c r="AK60" s="1310"/>
      <c r="AL60" s="1310"/>
      <c r="AM60" s="7368"/>
      <c r="AN60" s="7368"/>
      <c r="AO60" s="7368"/>
      <c r="AP60" s="7368"/>
    </row>
    <row customHeight="1" ht="14.625" hidden="1">
      <c r="A61" s="673"/>
      <c r="B61" s="1240"/>
      <c r="C61" s="1240"/>
      <c r="D61" s="1240"/>
      <c r="E61" s="655">
        <v>15</v>
      </c>
      <c r="F61" s="50" cm="1" t="str">
        <f t="array" ref="F61:F61">OFFSET(E61,-1,1)</f>
        <v>0</v>
      </c>
      <c r="G61" s="1240"/>
      <c r="H61" s="491" t="s">
        <v>2841</v>
      </c>
      <c r="I61" s="1240"/>
      <c r="J61" s="1240"/>
      <c r="K61" s="1240"/>
      <c r="L61" s="1240"/>
      <c r="M61" s="1240"/>
      <c r="N61" s="1240"/>
      <c r="O61" s="1240"/>
      <c r="P61" s="1240"/>
      <c r="Q61" s="1240"/>
      <c r="R61" s="1240"/>
      <c r="S61" s="1240"/>
      <c r="T61" s="468" cm="1" t="str">
        <f t="array" ref="T61:T61">T60</f>
        <v>false</v>
      </c>
      <c r="U61" s="1240"/>
      <c r="V61" s="1240"/>
      <c r="W61" s="1240"/>
      <c r="X61" s="1559"/>
      <c r="Y61" s="1240"/>
      <c r="Z61" s="1560"/>
      <c r="AA61" s="1240"/>
      <c r="AB61" s="721" t="s">
        <v>2842</v>
      </c>
      <c r="AC61" s="553" t="s">
        <v>1412</v>
      </c>
      <c r="AD61" s="551" t="s">
        <v>936</v>
      </c>
      <c r="AE61" s="7380"/>
      <c r="AF61" s="1308"/>
      <c r="AG61" s="1308"/>
      <c r="AH61" s="1072" t="s">
        <v>1413</v>
      </c>
      <c r="AI61" s="1309"/>
      <c r="AJ61" s="1309"/>
      <c r="AK61" s="1310"/>
      <c r="AL61" s="1310"/>
      <c r="AM61" s="7368"/>
      <c r="AN61" s="7368"/>
      <c r="AO61" s="7368"/>
      <c r="AP61" s="7368"/>
    </row>
    <row customHeight="1" ht="32.90625" hidden="1">
      <c r="A62" s="673"/>
      <c r="B62" s="1240"/>
      <c r="C62" s="1240"/>
      <c r="D62" s="1240"/>
      <c r="E62" s="655">
        <v>33.75</v>
      </c>
      <c r="F62" s="50" cm="1" t="str">
        <f t="array" ref="F62:F62">OFFSET(E62,-1,1)</f>
        <v>0</v>
      </c>
      <c r="G62" s="1240"/>
      <c r="H62" s="491" t="s">
        <v>1567</v>
      </c>
      <c r="I62" s="1240"/>
      <c r="J62" s="1240"/>
      <c r="K62" s="1240"/>
      <c r="L62" s="1240"/>
      <c r="M62" s="1240"/>
      <c r="N62" s="1240"/>
      <c r="O62" s="1240"/>
      <c r="P62" s="1240"/>
      <c r="Q62" s="1240"/>
      <c r="R62" s="1240"/>
      <c r="S62" s="1240"/>
      <c r="T62" s="468" cm="1" t="str">
        <f t="array" ref="T62:T62">T61</f>
        <v>false</v>
      </c>
      <c r="U62" s="1240"/>
      <c r="V62" s="1240"/>
      <c r="W62" s="1240"/>
      <c r="X62" s="1559"/>
      <c r="Y62" s="1240"/>
      <c r="Z62" s="1560"/>
      <c r="AA62" s="1240"/>
      <c r="AB62" s="721" t="s">
        <v>1568</v>
      </c>
      <c r="AC62" s="552" t="s">
        <v>2843</v>
      </c>
      <c r="AD62" s="551" t="s">
        <v>936</v>
      </c>
      <c r="AE62" s="560">
        <f>AE63+AE66</f>
        <v>0</v>
      </c>
      <c r="AF62" s="1308"/>
      <c r="AG62" s="1308"/>
      <c r="AH62" s="1070" t="s">
        <v>2055</v>
      </c>
      <c r="AI62" s="1309"/>
      <c r="AJ62" s="1309"/>
      <c r="AK62" s="1310"/>
      <c r="AL62" s="1310"/>
      <c r="AM62" s="7368"/>
      <c r="AN62" s="7368"/>
      <c r="AO62" s="7368"/>
      <c r="AP62" s="7368"/>
    </row>
    <row customHeight="1" ht="21.9375" hidden="1">
      <c r="A63" s="673"/>
      <c r="B63" s="1240"/>
      <c r="C63" s="1240"/>
      <c r="D63" s="1240"/>
      <c r="E63" s="655">
        <v>22.5</v>
      </c>
      <c r="F63" s="50" cm="1" t="str">
        <f t="array" ref="F63:F63">OFFSET(E63,-1,1)</f>
        <v>0</v>
      </c>
      <c r="G63" s="1240"/>
      <c r="H63" s="491" t="s">
        <v>2844</v>
      </c>
      <c r="I63" s="1240"/>
      <c r="J63" s="1240"/>
      <c r="K63" s="1240"/>
      <c r="L63" s="1240"/>
      <c r="M63" s="1240"/>
      <c r="N63" s="1240"/>
      <c r="O63" s="1240"/>
      <c r="P63" s="1240"/>
      <c r="Q63" s="1240"/>
      <c r="R63" s="1240"/>
      <c r="S63" s="1240"/>
      <c r="T63" s="468" cm="1" t="str">
        <f t="array" ref="T63:T63">T62</f>
        <v>false</v>
      </c>
      <c r="U63" s="1240"/>
      <c r="V63" s="1240"/>
      <c r="W63" s="1240"/>
      <c r="X63" s="1559"/>
      <c r="Y63" s="1240"/>
      <c r="Z63" s="1560"/>
      <c r="AA63" s="1240"/>
      <c r="AB63" s="721" t="s">
        <v>2845</v>
      </c>
      <c r="AC63" s="553" t="s">
        <v>2056</v>
      </c>
      <c r="AD63" s="551" t="s">
        <v>936</v>
      </c>
      <c r="AE63" s="7380"/>
      <c r="AF63" s="1308"/>
      <c r="AG63" s="1308"/>
      <c r="AH63" s="1070" t="s">
        <v>1390</v>
      </c>
      <c r="AI63" s="1309"/>
      <c r="AJ63" s="1309"/>
      <c r="AK63" s="1310"/>
      <c r="AL63" s="1310"/>
      <c r="AM63" s="7368"/>
      <c r="AN63" s="7368"/>
      <c r="AO63" s="7368"/>
      <c r="AP63" s="7368"/>
    </row>
    <row customHeight="1" ht="14.625" hidden="1">
      <c r="A64" s="673"/>
      <c r="B64" s="1240"/>
      <c r="C64" s="1240"/>
      <c r="D64" s="1240"/>
      <c r="E64" s="655">
        <v>15</v>
      </c>
      <c r="F64" s="50" cm="1" t="str">
        <f t="array" ref="F64:F64">OFFSET(E64,-1,1)</f>
        <v>0</v>
      </c>
      <c r="G64" s="1240"/>
      <c r="H64" s="491" t="s">
        <v>2846</v>
      </c>
      <c r="I64" s="1240"/>
      <c r="J64" s="1240"/>
      <c r="K64" s="1240"/>
      <c r="L64" s="1240"/>
      <c r="M64" s="1240"/>
      <c r="N64" s="1240"/>
      <c r="O64" s="1240"/>
      <c r="P64" s="1240"/>
      <c r="Q64" s="1240"/>
      <c r="R64" s="1240"/>
      <c r="S64" s="1240"/>
      <c r="T64" s="468" cm="1" t="str">
        <f t="array" ref="T64:T64">T63</f>
        <v>false</v>
      </c>
      <c r="U64" s="1240"/>
      <c r="V64" s="1240"/>
      <c r="W64" s="1240"/>
      <c r="X64" s="1559"/>
      <c r="Y64" s="1240"/>
      <c r="Z64" s="1560"/>
      <c r="AA64" s="1240"/>
      <c r="AB64" s="721" t="s">
        <v>2847</v>
      </c>
      <c r="AC64" s="554" t="s">
        <v>2848</v>
      </c>
      <c r="AD64" s="551" t="s">
        <v>2790</v>
      </c>
      <c r="AE64" s="7380"/>
      <c r="AF64" s="1308"/>
      <c r="AG64" s="1308"/>
      <c r="AH64" s="1009" t="s">
        <v>2849</v>
      </c>
      <c r="AI64" s="1309"/>
      <c r="AJ64" s="1309"/>
      <c r="AK64" s="1310"/>
      <c r="AL64" s="1310"/>
      <c r="AM64" s="7368"/>
      <c r="AN64" s="7368"/>
      <c r="AO64" s="7368"/>
      <c r="AP64" s="7368"/>
    </row>
    <row customHeight="1" ht="21.9375" hidden="1">
      <c r="A65" s="673"/>
      <c r="B65" s="1240"/>
      <c r="C65" s="1240"/>
      <c r="D65" s="1240"/>
      <c r="E65" s="655">
        <v>22.5</v>
      </c>
      <c r="F65" s="50" cm="1" t="str">
        <f t="array" ref="F65:F65">OFFSET(E65,-1,1)</f>
        <v>0</v>
      </c>
      <c r="G65" s="1240"/>
      <c r="H65" s="491" t="s">
        <v>2850</v>
      </c>
      <c r="I65" s="1240"/>
      <c r="J65" s="1240"/>
      <c r="K65" s="1240"/>
      <c r="L65" s="1240"/>
      <c r="M65" s="1240"/>
      <c r="N65" s="1240"/>
      <c r="O65" s="1240"/>
      <c r="P65" s="1240"/>
      <c r="Q65" s="1240"/>
      <c r="R65" s="1240"/>
      <c r="S65" s="1240"/>
      <c r="T65" s="468" cm="1" t="str">
        <f t="array" ref="T65:T65">T64</f>
        <v>false</v>
      </c>
      <c r="U65" s="1240"/>
      <c r="V65" s="1240"/>
      <c r="W65" s="1240"/>
      <c r="X65" s="1559"/>
      <c r="Y65" s="1240"/>
      <c r="Z65" s="1560"/>
      <c r="AA65" s="1240"/>
      <c r="AB65" s="721" t="s">
        <v>2851</v>
      </c>
      <c r="AC65" s="554" t="s">
        <v>2852</v>
      </c>
      <c r="AD65" s="551" t="s">
        <v>2795</v>
      </c>
      <c r="AE65" s="7380"/>
      <c r="AF65" s="1308"/>
      <c r="AG65" s="1308"/>
      <c r="AH65" s="1009" t="s">
        <v>2853</v>
      </c>
      <c r="AI65" s="1309"/>
      <c r="AJ65" s="1309"/>
      <c r="AK65" s="1310"/>
      <c r="AL65" s="1310"/>
      <c r="AM65" s="7368"/>
      <c r="AN65" s="7368"/>
      <c r="AO65" s="7368"/>
      <c r="AP65" s="7368"/>
    </row>
    <row customHeight="1" ht="21.9375" hidden="1">
      <c r="A66" s="673"/>
      <c r="B66" s="1240"/>
      <c r="C66" s="1240"/>
      <c r="D66" s="1240"/>
      <c r="E66" s="655">
        <v>22.5</v>
      </c>
      <c r="F66" s="50" cm="1" t="str">
        <f t="array" ref="F66:F66">OFFSET(E66,-1,1)</f>
        <v>0</v>
      </c>
      <c r="G66" s="1240"/>
      <c r="H66" s="491" t="s">
        <v>2854</v>
      </c>
      <c r="I66" s="1240"/>
      <c r="J66" s="1240"/>
      <c r="K66" s="1240"/>
      <c r="L66" s="1240"/>
      <c r="M66" s="1240"/>
      <c r="N66" s="1240"/>
      <c r="O66" s="1240"/>
      <c r="P66" s="1240"/>
      <c r="Q66" s="1240"/>
      <c r="R66" s="1240"/>
      <c r="S66" s="1240"/>
      <c r="T66" s="468" cm="1" t="str">
        <f t="array" ref="T66:T66">T65</f>
        <v>false</v>
      </c>
      <c r="U66" s="1240"/>
      <c r="V66" s="1240"/>
      <c r="W66" s="1240"/>
      <c r="X66" s="1559"/>
      <c r="Y66" s="1240"/>
      <c r="Z66" s="1560"/>
      <c r="AA66" s="1240"/>
      <c r="AB66" s="721" t="s">
        <v>2855</v>
      </c>
      <c r="AC66" s="553" t="s">
        <v>2246</v>
      </c>
      <c r="AD66" s="551" t="s">
        <v>936</v>
      </c>
      <c r="AE66" s="7380"/>
      <c r="AF66" s="1308"/>
      <c r="AG66" s="1308"/>
      <c r="AH66" s="1070" t="s">
        <v>2058</v>
      </c>
      <c r="AI66" s="1309"/>
      <c r="AJ66" s="1309"/>
      <c r="AK66" s="1310"/>
      <c r="AL66" s="1310"/>
      <c r="AM66" s="7368"/>
      <c r="AN66" s="7368"/>
      <c r="AO66" s="7368"/>
      <c r="AP66" s="7368"/>
    </row>
    <row customHeight="1" ht="21.9375" hidden="1">
      <c r="A67" s="673"/>
      <c r="B67" s="1240"/>
      <c r="C67" s="1240"/>
      <c r="D67" s="1240"/>
      <c r="E67" s="655">
        <v>22.5</v>
      </c>
      <c r="F67" s="50" cm="1" t="str">
        <f t="array" ref="F67:F67">OFFSET(E67,-1,1)</f>
        <v>0</v>
      </c>
      <c r="G67" s="1240"/>
      <c r="H67" s="491" t="s">
        <v>1571</v>
      </c>
      <c r="I67" s="1240"/>
      <c r="J67" s="1240"/>
      <c r="K67" s="1240"/>
      <c r="L67" s="1240"/>
      <c r="M67" s="1240"/>
      <c r="N67" s="1240"/>
      <c r="O67" s="1240"/>
      <c r="P67" s="1240"/>
      <c r="Q67" s="1240"/>
      <c r="R67" s="1240"/>
      <c r="S67" s="1240"/>
      <c r="T67" s="468" cm="1" t="str">
        <f t="array" ref="T67:T67">T66</f>
        <v>false</v>
      </c>
      <c r="U67" s="1240"/>
      <c r="V67" s="1240"/>
      <c r="W67" s="1240"/>
      <c r="X67" s="1559"/>
      <c r="Y67" s="1240"/>
      <c r="Z67" s="1560"/>
      <c r="AA67" s="1240"/>
      <c r="AB67" s="721" t="s">
        <v>1572</v>
      </c>
      <c r="AC67" s="552" t="s">
        <v>2856</v>
      </c>
      <c r="AD67" s="551" t="s">
        <v>936</v>
      </c>
      <c r="AE67" s="7380"/>
      <c r="AF67" s="1308"/>
      <c r="AG67" s="1308"/>
      <c r="AH67" s="1070" t="s">
        <v>1421</v>
      </c>
      <c r="AI67" s="1309"/>
      <c r="AJ67" s="1309"/>
      <c r="AK67" s="1310"/>
      <c r="AL67" s="1310"/>
      <c r="AM67" s="7368"/>
      <c r="AN67" s="7368"/>
      <c r="AO67" s="7368"/>
      <c r="AP67" s="7368"/>
    </row>
    <row customHeight="1" ht="14.625" hidden="1">
      <c r="A68" s="673"/>
      <c r="B68" s="1240"/>
      <c r="C68" s="1240"/>
      <c r="D68" s="1240"/>
      <c r="E68" s="655">
        <v>15</v>
      </c>
      <c r="F68" s="50" cm="1" t="str">
        <f t="array" ref="F68:F68">OFFSET(E68,-1,1)</f>
        <v>0</v>
      </c>
      <c r="G68" s="1240"/>
      <c r="H68" s="491" t="s">
        <v>2857</v>
      </c>
      <c r="I68" s="1240"/>
      <c r="J68" s="1240"/>
      <c r="K68" s="1240"/>
      <c r="L68" s="1240"/>
      <c r="M68" s="1240"/>
      <c r="N68" s="1240"/>
      <c r="O68" s="1240"/>
      <c r="P68" s="1240"/>
      <c r="Q68" s="1240"/>
      <c r="R68" s="1240"/>
      <c r="S68" s="1240"/>
      <c r="T68" s="468" cm="1" t="str">
        <f t="array" ref="T68:T68">T67</f>
        <v>false</v>
      </c>
      <c r="U68" s="1240"/>
      <c r="V68" s="1240"/>
      <c r="W68" s="1240"/>
      <c r="X68" s="1559"/>
      <c r="Y68" s="1240"/>
      <c r="Z68" s="1560"/>
      <c r="AA68" s="1240"/>
      <c r="AB68" s="721" t="s">
        <v>2858</v>
      </c>
      <c r="AC68" s="552" t="s">
        <v>1423</v>
      </c>
      <c r="AD68" s="551" t="s">
        <v>936</v>
      </c>
      <c r="AE68" s="7380"/>
      <c r="AF68" s="1308"/>
      <c r="AG68" s="1308"/>
      <c r="AH68" s="1070" t="s">
        <v>1424</v>
      </c>
      <c r="AI68" s="1309"/>
      <c r="AJ68" s="1309"/>
      <c r="AK68" s="1310"/>
      <c r="AL68" s="1310"/>
      <c r="AM68" s="7368"/>
      <c r="AN68" s="7368"/>
      <c r="AO68" s="7368"/>
      <c r="AP68" s="7368"/>
    </row>
    <row customHeight="1" ht="14.625" hidden="1">
      <c r="A69" s="673"/>
      <c r="B69" s="1240"/>
      <c r="C69" s="1240"/>
      <c r="D69" s="1240"/>
      <c r="E69" s="655">
        <v>15</v>
      </c>
      <c r="F69" s="50" cm="1" t="str">
        <f t="array" ref="F69:F69">OFFSET(E69,-1,1)</f>
        <v>0</v>
      </c>
      <c r="G69" s="1240"/>
      <c r="H69" s="491" t="s">
        <v>2859</v>
      </c>
      <c r="I69" s="1240"/>
      <c r="J69" s="1240"/>
      <c r="K69" s="1240"/>
      <c r="L69" s="1240"/>
      <c r="M69" s="1240"/>
      <c r="N69" s="1240"/>
      <c r="O69" s="1240"/>
      <c r="P69" s="1240"/>
      <c r="Q69" s="1240"/>
      <c r="R69" s="1240"/>
      <c r="S69" s="1240"/>
      <c r="T69" s="468" cm="1" t="str">
        <f t="array" ref="T69:T69">T68</f>
        <v>false</v>
      </c>
      <c r="U69" s="1240"/>
      <c r="V69" s="1240"/>
      <c r="W69" s="1240"/>
      <c r="X69" s="1559"/>
      <c r="Y69" s="1240"/>
      <c r="Z69" s="1560"/>
      <c r="AA69" s="1240"/>
      <c r="AB69" s="721" t="s">
        <v>2860</v>
      </c>
      <c r="AC69" s="552" t="s">
        <v>1426</v>
      </c>
      <c r="AD69" s="551" t="s">
        <v>936</v>
      </c>
      <c r="AE69" s="7380"/>
      <c r="AF69" s="1308"/>
      <c r="AG69" s="1308"/>
      <c r="AH69" s="1070" t="s">
        <v>1427</v>
      </c>
      <c r="AI69" s="1309"/>
      <c r="AJ69" s="1309"/>
      <c r="AK69" s="1310"/>
      <c r="AL69" s="1310"/>
      <c r="AM69" s="7368"/>
      <c r="AN69" s="7368"/>
      <c r="AO69" s="7368"/>
      <c r="AP69" s="7368"/>
    </row>
    <row customHeight="1" ht="21.9375" hidden="1">
      <c r="A70" s="673"/>
      <c r="B70" s="1240"/>
      <c r="C70" s="1240"/>
      <c r="D70" s="1240"/>
      <c r="E70" s="655">
        <v>22.5</v>
      </c>
      <c r="F70" s="50" cm="1" t="str">
        <f t="array" ref="F70:F70">OFFSET(E70,-1,1)</f>
        <v>0</v>
      </c>
      <c r="G70" s="1240"/>
      <c r="H70" s="491" t="s">
        <v>2861</v>
      </c>
      <c r="I70" s="1240"/>
      <c r="J70" s="1240"/>
      <c r="K70" s="1240"/>
      <c r="L70" s="1240"/>
      <c r="M70" s="1240"/>
      <c r="N70" s="1240"/>
      <c r="O70" s="1240"/>
      <c r="P70" s="1240"/>
      <c r="Q70" s="1240"/>
      <c r="R70" s="1240"/>
      <c r="S70" s="1240"/>
      <c r="T70" s="468" cm="1" t="str">
        <f t="array" ref="T70:T70">T69</f>
        <v>false</v>
      </c>
      <c r="U70" s="1240"/>
      <c r="V70" s="1240"/>
      <c r="W70" s="1240"/>
      <c r="X70" s="1559"/>
      <c r="Y70" s="1240"/>
      <c r="Z70" s="1560"/>
      <c r="AA70" s="1240"/>
      <c r="AB70" s="721" t="s">
        <v>2862</v>
      </c>
      <c r="AC70" s="552" t="s">
        <v>2863</v>
      </c>
      <c r="AD70" s="551" t="s">
        <v>936</v>
      </c>
      <c r="AE70" s="7380"/>
      <c r="AF70" s="1308"/>
      <c r="AG70" s="1308"/>
      <c r="AH70" s="1070" t="s">
        <v>2060</v>
      </c>
      <c r="AI70" s="1309"/>
      <c r="AJ70" s="1309"/>
      <c r="AK70" s="1310"/>
      <c r="AL70" s="1310"/>
      <c r="AM70" s="7368"/>
      <c r="AN70" s="7368"/>
      <c r="AO70" s="7368"/>
      <c r="AP70" s="7368"/>
    </row>
    <row customHeight="1" ht="14.625" hidden="1">
      <c r="A71" s="673"/>
      <c r="B71" s="1240"/>
      <c r="C71" s="1240"/>
      <c r="D71" s="1240"/>
      <c r="E71" s="655">
        <v>15</v>
      </c>
      <c r="F71" s="50" cm="1" t="str">
        <f t="array" ref="F71:F71">OFFSET(E71,-1,1)</f>
        <v>0</v>
      </c>
      <c r="G71" s="1240"/>
      <c r="H71" s="491" t="s">
        <v>2864</v>
      </c>
      <c r="I71" s="1240"/>
      <c r="J71" s="1240"/>
      <c r="K71" s="1240"/>
      <c r="L71" s="1240"/>
      <c r="M71" s="1240"/>
      <c r="N71" s="1240"/>
      <c r="O71" s="1240"/>
      <c r="P71" s="1240"/>
      <c r="Q71" s="1240"/>
      <c r="R71" s="1240"/>
      <c r="S71" s="1240"/>
      <c r="T71" s="468" cm="1" t="str">
        <f t="array" ref="T71:T71">T70</f>
        <v>false</v>
      </c>
      <c r="U71" s="1240"/>
      <c r="V71" s="1240"/>
      <c r="W71" s="1240"/>
      <c r="X71" s="1559"/>
      <c r="Y71" s="1240"/>
      <c r="Z71" s="1560"/>
      <c r="AA71" s="1240"/>
      <c r="AB71" s="721" t="s">
        <v>2865</v>
      </c>
      <c r="AC71" s="552" t="s">
        <v>2866</v>
      </c>
      <c r="AD71" s="551" t="s">
        <v>936</v>
      </c>
      <c r="AE71" s="560">
        <f>AE72+AE73+AE74</f>
        <v>0</v>
      </c>
      <c r="AF71" s="1308"/>
      <c r="AG71" s="1308"/>
      <c r="AH71" s="1070" t="s">
        <v>2062</v>
      </c>
      <c r="AI71" s="1309"/>
      <c r="AJ71" s="1309"/>
      <c r="AK71" s="1310"/>
      <c r="AL71" s="1310"/>
      <c r="AM71" s="7368"/>
      <c r="AN71" s="7368"/>
      <c r="AO71" s="7368"/>
      <c r="AP71" s="7368"/>
    </row>
    <row customHeight="1" ht="14.625" hidden="1">
      <c r="A72" s="673"/>
      <c r="B72" s="1240"/>
      <c r="C72" s="1240"/>
      <c r="D72" s="1240"/>
      <c r="E72" s="655">
        <v>15</v>
      </c>
      <c r="F72" s="50" cm="1" t="str">
        <f t="array" ref="F72:F72">OFFSET(E72,-1,1)</f>
        <v>0</v>
      </c>
      <c r="G72" s="1240"/>
      <c r="H72" s="491" t="s">
        <v>2867</v>
      </c>
      <c r="I72" s="1240"/>
      <c r="J72" s="1240"/>
      <c r="K72" s="1240"/>
      <c r="L72" s="1240"/>
      <c r="M72" s="1240"/>
      <c r="N72" s="1240"/>
      <c r="O72" s="1240"/>
      <c r="P72" s="1240"/>
      <c r="Q72" s="1240"/>
      <c r="R72" s="1240"/>
      <c r="S72" s="1240"/>
      <c r="T72" s="468" cm="1" t="str">
        <f t="array" ref="T72:T72">T71</f>
        <v>false</v>
      </c>
      <c r="U72" s="1240"/>
      <c r="V72" s="1240"/>
      <c r="W72" s="1240"/>
      <c r="X72" s="1559"/>
      <c r="Y72" s="1240"/>
      <c r="Z72" s="1560"/>
      <c r="AA72" s="1240"/>
      <c r="AB72" s="721" t="s">
        <v>2868</v>
      </c>
      <c r="AC72" s="553" t="s">
        <v>2869</v>
      </c>
      <c r="AD72" s="551" t="s">
        <v>936</v>
      </c>
      <c r="AE72" s="7380"/>
      <c r="AF72" s="1308"/>
      <c r="AG72" s="1308"/>
      <c r="AH72" s="1070" t="s">
        <v>2066</v>
      </c>
      <c r="AI72" s="1309"/>
      <c r="AJ72" s="1309"/>
      <c r="AK72" s="1310"/>
      <c r="AL72" s="1310"/>
      <c r="AM72" s="7368"/>
      <c r="AN72" s="7368"/>
      <c r="AO72" s="7368"/>
      <c r="AP72" s="7368"/>
    </row>
    <row customHeight="1" ht="14.625" hidden="1">
      <c r="A73" s="673"/>
      <c r="B73" s="1240"/>
      <c r="C73" s="1240"/>
      <c r="D73" s="1240"/>
      <c r="E73" s="655">
        <v>15</v>
      </c>
      <c r="F73" s="50" cm="1" t="str">
        <f t="array" ref="F73:F73">OFFSET(E73,-1,1)</f>
        <v>0</v>
      </c>
      <c r="G73" s="1240"/>
      <c r="H73" s="491" t="s">
        <v>2870</v>
      </c>
      <c r="I73" s="1240"/>
      <c r="J73" s="1240"/>
      <c r="K73" s="1240"/>
      <c r="L73" s="1240"/>
      <c r="M73" s="1240"/>
      <c r="N73" s="1240"/>
      <c r="O73" s="1240"/>
      <c r="P73" s="1240"/>
      <c r="Q73" s="1240"/>
      <c r="R73" s="1240"/>
      <c r="S73" s="1240"/>
      <c r="T73" s="468" cm="1" t="str">
        <f t="array" ref="T73:T73">T72</f>
        <v>false</v>
      </c>
      <c r="U73" s="1240"/>
      <c r="V73" s="1240"/>
      <c r="W73" s="1240"/>
      <c r="X73" s="1559"/>
      <c r="Y73" s="1240"/>
      <c r="Z73" s="1560"/>
      <c r="AA73" s="1240"/>
      <c r="AB73" s="722" t="s">
        <v>2871</v>
      </c>
      <c r="AC73" s="555" t="s">
        <v>2872</v>
      </c>
      <c r="AD73" s="556" t="s">
        <v>936</v>
      </c>
      <c r="AE73" s="7380"/>
      <c r="AF73" s="1308"/>
      <c r="AG73" s="1308"/>
      <c r="AH73" s="1070" t="s">
        <v>2069</v>
      </c>
      <c r="AI73" s="1309"/>
      <c r="AJ73" s="1309"/>
      <c r="AK73" s="1310"/>
      <c r="AL73" s="1310"/>
      <c r="AM73" s="7368"/>
      <c r="AN73" s="7368"/>
      <c r="AO73" s="7368"/>
      <c r="AP73" s="7368"/>
    </row>
    <row customHeight="1" ht="14.625" hidden="1">
      <c r="A74" s="673"/>
      <c r="B74" s="1240"/>
      <c r="C74" s="1240"/>
      <c r="D74" s="1240"/>
      <c r="E74" s="655">
        <v>15</v>
      </c>
      <c r="F74" s="50" cm="1" t="str">
        <f t="array" ref="F74:F74">OFFSET(E74,-1,1)</f>
        <v>0</v>
      </c>
      <c r="G74" s="1240"/>
      <c r="H74" s="491" t="s">
        <v>2873</v>
      </c>
      <c r="I74" s="1240"/>
      <c r="J74" s="1240"/>
      <c r="K74" s="1240"/>
      <c r="L74" s="1240"/>
      <c r="M74" s="1240"/>
      <c r="N74" s="1240"/>
      <c r="O74" s="1240"/>
      <c r="P74" s="1240"/>
      <c r="Q74" s="1240"/>
      <c r="R74" s="1240"/>
      <c r="S74" s="1240"/>
      <c r="T74" s="468" cm="1" t="str">
        <f t="array" ref="T74:T74">T73</f>
        <v>false</v>
      </c>
      <c r="U74" s="1240"/>
      <c r="V74" s="1240"/>
      <c r="W74" s="1240"/>
      <c r="X74" s="1559"/>
      <c r="Y74" s="1240"/>
      <c r="Z74" s="1560"/>
      <c r="AA74" s="1240"/>
      <c r="AB74" s="722" t="s">
        <v>2874</v>
      </c>
      <c r="AC74" s="555" t="s">
        <v>1440</v>
      </c>
      <c r="AD74" s="556" t="s">
        <v>936</v>
      </c>
      <c r="AE74" s="7380"/>
      <c r="AF74" s="1308"/>
      <c r="AG74" s="1308"/>
      <c r="AH74" s="1070" t="s">
        <v>2072</v>
      </c>
      <c r="AI74" s="1309"/>
      <c r="AJ74" s="1309"/>
      <c r="AK74" s="1310"/>
      <c r="AL74" s="1310"/>
      <c r="AM74" s="7368"/>
      <c r="AN74" s="7368"/>
      <c r="AO74" s="7368"/>
      <c r="AP74" s="7368"/>
    </row>
    <row customHeight="1" ht="14.625" hidden="1">
      <c r="A75" s="673"/>
      <c r="B75" s="1240"/>
      <c r="C75" s="1240"/>
      <c r="D75" s="1240"/>
      <c r="E75" s="655">
        <v>15</v>
      </c>
      <c r="F75" s="50" cm="1" t="str">
        <f t="array" ref="F75:F75">OFFSET(E75,-1,1)</f>
        <v>0</v>
      </c>
      <c r="G75" s="1240"/>
      <c r="H75" s="491" t="s">
        <v>577</v>
      </c>
      <c r="I75" s="1240"/>
      <c r="J75" s="1240"/>
      <c r="K75" s="1240"/>
      <c r="L75" s="1240"/>
      <c r="M75" s="1240"/>
      <c r="N75" s="1240"/>
      <c r="O75" s="1240"/>
      <c r="P75" s="1240"/>
      <c r="Q75" s="1240"/>
      <c r="R75" s="1240"/>
      <c r="S75" s="1240"/>
      <c r="T75" s="468" cm="1" t="str">
        <f t="array" ref="T75:T75">T74</f>
        <v>false</v>
      </c>
      <c r="U75" s="1240"/>
      <c r="V75" s="1240"/>
      <c r="W75" s="1240"/>
      <c r="X75" s="1559"/>
      <c r="Y75" s="1240"/>
      <c r="Z75" s="1560"/>
      <c r="AA75" s="1240"/>
      <c r="AB75" s="722" t="s">
        <v>1076</v>
      </c>
      <c r="AC75" s="557" t="s">
        <v>2875</v>
      </c>
      <c r="AD75" s="556" t="s">
        <v>936</v>
      </c>
      <c r="AE75" s="560">
        <f>SUM(AE76:AE77)</f>
        <v>0</v>
      </c>
      <c r="AF75" s="1308"/>
      <c r="AG75" s="1308"/>
      <c r="AH75" s="1072" t="s">
        <v>2876</v>
      </c>
      <c r="AI75" s="1309"/>
      <c r="AJ75" s="1309"/>
      <c r="AK75" s="1310"/>
      <c r="AL75" s="1310"/>
      <c r="AM75" s="7368"/>
      <c r="AN75" s="7368"/>
      <c r="AO75" s="7368"/>
      <c r="AP75" s="7368"/>
    </row>
    <row customHeight="1" ht="14.625" hidden="1">
      <c r="A76" s="673"/>
      <c r="B76" s="1240"/>
      <c r="C76" s="1240"/>
      <c r="D76" s="1240"/>
      <c r="E76" s="655">
        <v>15</v>
      </c>
      <c r="F76" s="50" cm="1" t="str">
        <f t="array" ref="F76:F76">OFFSET(E76,-1,1)</f>
        <v>0</v>
      </c>
      <c r="G76" s="1240"/>
      <c r="H76" s="491" t="s">
        <v>577</v>
      </c>
      <c r="I76" s="566" cm="1" t="str">
        <f t="array" ref="I76:I76">AC76</f>
        <v>0</v>
      </c>
      <c r="J76" s="1240"/>
      <c r="K76" s="1240"/>
      <c r="L76" s="1240"/>
      <c r="M76" s="1240"/>
      <c r="N76" s="1240"/>
      <c r="O76" s="1240"/>
      <c r="P76" s="1240"/>
      <c r="Q76" s="1240"/>
      <c r="R76" s="1240"/>
      <c r="S76" s="1240"/>
      <c r="T76" s="468">
        <f>AND(F76&gt;0,Y76&gt;0)</f>
        <v>0</v>
      </c>
      <c r="U76" s="1240"/>
      <c r="V76" s="1240"/>
      <c r="W76" s="558" t="s">
        <v>173</v>
      </c>
      <c r="X76" s="1559"/>
      <c r="Y76" s="491">
        <v>0</v>
      </c>
      <c r="Z76" s="1560"/>
      <c r="AA76" s="1295" t="s">
        <v>174</v>
      </c>
      <c r="AB76" s="721" t="str">
        <f>"1.4."&amp;Y76</f>
        <v>1.4.0</v>
      </c>
      <c r="AC76" s="7393"/>
      <c r="AD76" s="551" t="s">
        <v>936</v>
      </c>
      <c r="AE76" s="7394"/>
      <c r="AF76" s="1308"/>
      <c r="AG76" s="1308"/>
      <c r="AH76" s="1072" t="s">
        <v>2876</v>
      </c>
      <c r="AI76" s="1009" t="s">
        <v>2877</v>
      </c>
      <c r="AJ76" s="1009" cm="1" t="str">
        <f t="array" ref="AJ76:AJ76">AC76</f>
        <v>0</v>
      </c>
      <c r="AK76" s="1310"/>
      <c r="AL76" s="662" t="b">
        <v>1</v>
      </c>
      <c r="AM76" s="7368"/>
      <c r="AN76" s="7368"/>
      <c r="AO76" s="7368"/>
      <c r="AP76" s="7368"/>
    </row>
    <row customHeight="1" ht="14.625" hidden="1">
      <c r="A77" s="673"/>
      <c r="B77" s="1240"/>
      <c r="C77" s="1240"/>
      <c r="D77" s="1240"/>
      <c r="E77" s="655">
        <v>15</v>
      </c>
      <c r="F77" s="50" cm="1" t="str">
        <f t="array" ref="F77:F77">OFFSET(E77,-1,1)</f>
        <v>0</v>
      </c>
      <c r="G77" s="1240"/>
      <c r="H77" s="1240"/>
      <c r="I77" s="1297" t="str">
        <f>"!== 'не определено' &amp;&amp; row.l1_4 !== null"</f>
        <v>!== 'не определено' &amp;&amp; row.l1_4 !== null</v>
      </c>
      <c r="J77" s="1240"/>
      <c r="K77" s="1240"/>
      <c r="L77" s="1240"/>
      <c r="M77" s="1240"/>
      <c r="N77" s="1240"/>
      <c r="O77" s="1240"/>
      <c r="P77" s="1240"/>
      <c r="Q77" s="1240"/>
      <c r="R77" s="1240"/>
      <c r="S77" s="1240"/>
      <c r="T77" s="468">
        <f>F77&gt;0</f>
        <v>0</v>
      </c>
      <c r="U77" s="1240"/>
      <c r="V77" s="1240"/>
      <c r="W77" s="1446" t="s">
        <v>410</v>
      </c>
      <c r="X77" s="1559"/>
      <c r="Y77" s="1240"/>
      <c r="Z77" s="1560"/>
      <c r="AA77" s="1240"/>
      <c r="AB77" s="1298"/>
      <c r="AC77" s="1299" t="s">
        <v>177</v>
      </c>
      <c r="AD77" s="1300"/>
      <c r="AE77" s="1357"/>
      <c r="AF77" s="1308"/>
      <c r="AG77" s="1308"/>
      <c r="AH77" s="1309"/>
      <c r="AI77" s="1309"/>
      <c r="AJ77" s="1309"/>
      <c r="AK77" s="662" t="s">
        <v>2877</v>
      </c>
      <c r="AL77" s="1310"/>
      <c r="AM77" s="7368"/>
      <c r="AN77" s="7368"/>
      <c r="AO77" s="7368"/>
      <c r="AP77" s="7368"/>
    </row>
    <row customHeight="1" ht="14.625" hidden="1">
      <c r="A78" s="673"/>
      <c r="B78" s="1240"/>
      <c r="C78" s="1240"/>
      <c r="D78" s="1240"/>
      <c r="E78" s="655">
        <v>15</v>
      </c>
      <c r="F78" s="50" cm="1" t="str">
        <f t="array" ref="F78:F78">OFFSET(E78,-1,1)</f>
        <v>0</v>
      </c>
      <c r="G78" s="1240"/>
      <c r="H78" s="491" t="s">
        <v>345</v>
      </c>
      <c r="I78" s="1240"/>
      <c r="J78" s="1240"/>
      <c r="K78" s="1240"/>
      <c r="L78" s="1240"/>
      <c r="M78" s="1240"/>
      <c r="N78" s="1240"/>
      <c r="O78" s="1240"/>
      <c r="P78" s="1240"/>
      <c r="Q78" s="1240"/>
      <c r="R78" s="1240"/>
      <c r="S78" s="1240"/>
      <c r="T78" s="468" cm="1" t="str">
        <f t="array" ref="T78:T78">T77</f>
        <v>false</v>
      </c>
      <c r="U78" s="1240"/>
      <c r="V78" s="1240"/>
      <c r="W78" s="1240"/>
      <c r="X78" s="1559"/>
      <c r="Y78" s="1240"/>
      <c r="Z78" s="1560"/>
      <c r="AA78" s="1240"/>
      <c r="AB78" s="720" t="s">
        <v>299</v>
      </c>
      <c r="AC78" s="548" t="s">
        <v>2271</v>
      </c>
      <c r="AD78" s="549" t="s">
        <v>936</v>
      </c>
      <c r="AE78" s="560">
        <f>AE79+AE91+AE92+AE102+AE103+AE104+AE107+AE108+AE109+AE110+AE111+AE112</f>
        <v>0</v>
      </c>
      <c r="AF78" s="1308"/>
      <c r="AG78" s="1308"/>
      <c r="AH78" s="1009" t="s">
        <v>2878</v>
      </c>
      <c r="AI78" s="1309"/>
      <c r="AJ78" s="1309"/>
      <c r="AK78" s="1310"/>
      <c r="AL78" s="1310"/>
      <c r="AM78" s="7368"/>
      <c r="AN78" s="7368"/>
      <c r="AO78" s="7368"/>
      <c r="AP78" s="7368"/>
    </row>
    <row s="1441" customFormat="1" customHeight="1" ht="26.325000000000003" hidden="1">
      <c r="A79" s="673"/>
      <c r="B79" s="491"/>
      <c r="C79" s="491"/>
      <c r="D79" s="491"/>
      <c r="E79" s="655">
        <v>27</v>
      </c>
      <c r="F79" s="526" cm="1" t="str">
        <f t="array" ref="F79:F79">OFFSET(E79,-1,1)</f>
        <v>0</v>
      </c>
      <c r="G79" s="491"/>
      <c r="H79" s="491"/>
      <c r="I79" s="491"/>
      <c r="J79" s="491"/>
      <c r="K79" s="491"/>
      <c r="L79" s="491"/>
      <c r="M79" s="491"/>
      <c r="N79" s="491"/>
      <c r="O79" s="491"/>
      <c r="P79" s="491"/>
      <c r="Q79" s="491"/>
      <c r="R79" s="491"/>
      <c r="S79" s="491"/>
      <c r="T79" s="468" cm="1" t="str">
        <f t="array" ref="T79:T79">T78</f>
        <v>false</v>
      </c>
      <c r="U79" s="491"/>
      <c r="V79" s="491"/>
      <c r="W79" s="491"/>
      <c r="X79" s="1559"/>
      <c r="Y79" s="491"/>
      <c r="Z79" s="1560"/>
      <c r="AA79" s="491"/>
      <c r="AB79" s="1289" t="s">
        <v>660</v>
      </c>
      <c r="AC79" s="1301" t="s">
        <v>2273</v>
      </c>
      <c r="AD79" s="1288" t="s">
        <v>936</v>
      </c>
      <c r="AE79" s="560">
        <f>SUM(AE80:AE90)</f>
        <v>0</v>
      </c>
      <c r="AF79" s="1117"/>
      <c r="AG79" s="1117"/>
      <c r="AH79" s="1072" t="s">
        <v>1441</v>
      </c>
      <c r="AI79" s="1066"/>
      <c r="AJ79" s="1066"/>
      <c r="AK79" s="973"/>
      <c r="AL79" s="973"/>
      <c r="AM79" s="1441"/>
      <c r="AN79" s="1441"/>
      <c r="AO79" s="1441"/>
      <c r="AP79" s="1441"/>
    </row>
    <row s="1441" customFormat="1" customHeight="1" ht="14.625" hidden="1">
      <c r="A80" s="673"/>
      <c r="B80" s="491"/>
      <c r="C80" s="491"/>
      <c r="D80" s="491"/>
      <c r="E80" s="655">
        <v>15</v>
      </c>
      <c r="F80" s="526" cm="1" t="str">
        <f t="array" ref="F80:F80">OFFSET(E80,-1,1)</f>
        <v>0</v>
      </c>
      <c r="G80" s="491"/>
      <c r="H80" s="491"/>
      <c r="I80" s="491"/>
      <c r="J80" s="491"/>
      <c r="K80" s="491"/>
      <c r="L80" s="491"/>
      <c r="M80" s="491"/>
      <c r="N80" s="491"/>
      <c r="O80" s="491"/>
      <c r="P80" s="491"/>
      <c r="Q80" s="491"/>
      <c r="R80" s="491"/>
      <c r="S80" s="491"/>
      <c r="T80" s="468" cm="1" t="str">
        <f t="array" ref="T80:T80">T79</f>
        <v>false</v>
      </c>
      <c r="U80" s="491"/>
      <c r="V80" s="491"/>
      <c r="W80" s="491"/>
      <c r="X80" s="1559"/>
      <c r="Y80" s="491"/>
      <c r="Z80" s="1560"/>
      <c r="AA80" s="491"/>
      <c r="AB80" s="1289" t="s">
        <v>592</v>
      </c>
      <c r="AC80" s="1292" t="s">
        <v>2275</v>
      </c>
      <c r="AD80" s="1291" t="s">
        <v>936</v>
      </c>
      <c r="AE80" s="7408"/>
      <c r="AF80" s="1117"/>
      <c r="AG80" s="1117"/>
      <c r="AH80" s="1072" t="s">
        <v>2879</v>
      </c>
      <c r="AI80" s="1066"/>
      <c r="AJ80" s="1066"/>
      <c r="AK80" s="973"/>
      <c r="AL80" s="973"/>
      <c r="AM80" s="1441"/>
      <c r="AN80" s="1441"/>
      <c r="AO80" s="1441"/>
      <c r="AP80" s="1441"/>
    </row>
    <row s="1441" customFormat="1" customHeight="1" ht="14.625" hidden="1">
      <c r="A81" s="673"/>
      <c r="B81" s="491"/>
      <c r="C81" s="491"/>
      <c r="D81" s="491"/>
      <c r="E81" s="655">
        <v>15</v>
      </c>
      <c r="F81" s="526" cm="1" t="str">
        <f t="array" ref="F81:F81">OFFSET(E81,-1,1)</f>
        <v>0</v>
      </c>
      <c r="G81" s="491"/>
      <c r="H81" s="491"/>
      <c r="I81" s="491"/>
      <c r="J81" s="491"/>
      <c r="K81" s="491"/>
      <c r="L81" s="491"/>
      <c r="M81" s="491"/>
      <c r="N81" s="491"/>
      <c r="O81" s="491"/>
      <c r="P81" s="491"/>
      <c r="Q81" s="491"/>
      <c r="R81" s="491"/>
      <c r="S81" s="491"/>
      <c r="T81" s="468" cm="1" t="str">
        <f t="array" ref="T81:T81">T80</f>
        <v>false</v>
      </c>
      <c r="U81" s="491"/>
      <c r="V81" s="491"/>
      <c r="W81" s="491"/>
      <c r="X81" s="1559"/>
      <c r="Y81" s="491"/>
      <c r="Z81" s="1560"/>
      <c r="AA81" s="491"/>
      <c r="AB81" s="1289" t="s">
        <v>2276</v>
      </c>
      <c r="AC81" s="1292" t="s">
        <v>2277</v>
      </c>
      <c r="AD81" s="1291" t="s">
        <v>936</v>
      </c>
      <c r="AE81" s="7408"/>
      <c r="AF81" s="1117"/>
      <c r="AG81" s="1117"/>
      <c r="AH81" s="1072" t="s">
        <v>2880</v>
      </c>
      <c r="AI81" s="1066"/>
      <c r="AJ81" s="1066"/>
      <c r="AK81" s="973"/>
      <c r="AL81" s="973"/>
      <c r="AM81" s="1441"/>
      <c r="AN81" s="1441"/>
      <c r="AO81" s="1441"/>
      <c r="AP81" s="1441"/>
    </row>
    <row s="1441" customFormat="1" customHeight="1" ht="14.625" hidden="1">
      <c r="A82" s="673"/>
      <c r="B82" s="491"/>
      <c r="C82" s="491"/>
      <c r="D82" s="491"/>
      <c r="E82" s="655">
        <v>15</v>
      </c>
      <c r="F82" s="526" cm="1" t="str">
        <f t="array" ref="F82:F82">OFFSET(E82,-1,1)</f>
        <v>0</v>
      </c>
      <c r="G82" s="491"/>
      <c r="H82" s="491"/>
      <c r="I82" s="491"/>
      <c r="J82" s="491"/>
      <c r="K82" s="491"/>
      <c r="L82" s="491"/>
      <c r="M82" s="491"/>
      <c r="N82" s="491"/>
      <c r="O82" s="491"/>
      <c r="P82" s="491"/>
      <c r="Q82" s="491"/>
      <c r="R82" s="491"/>
      <c r="S82" s="491"/>
      <c r="T82" s="468" cm="1" t="str">
        <f t="array" ref="T82:T82">T81</f>
        <v>false</v>
      </c>
      <c r="U82" s="491"/>
      <c r="V82" s="491"/>
      <c r="W82" s="491"/>
      <c r="X82" s="1559"/>
      <c r="Y82" s="491"/>
      <c r="Z82" s="1560"/>
      <c r="AA82" s="491"/>
      <c r="AB82" s="1289" t="s">
        <v>2278</v>
      </c>
      <c r="AC82" s="1292" t="s">
        <v>2279</v>
      </c>
      <c r="AD82" s="1291" t="s">
        <v>936</v>
      </c>
      <c r="AE82" s="7408"/>
      <c r="AF82" s="1117"/>
      <c r="AG82" s="1117"/>
      <c r="AH82" s="1072" t="s">
        <v>2881</v>
      </c>
      <c r="AI82" s="1066"/>
      <c r="AJ82" s="1066"/>
      <c r="AK82" s="973"/>
      <c r="AL82" s="973"/>
      <c r="AM82" s="1441"/>
      <c r="AN82" s="1441"/>
      <c r="AO82" s="1441"/>
      <c r="AP82" s="1441"/>
    </row>
    <row s="1441" customFormat="1" customHeight="1" ht="14.625" hidden="1">
      <c r="A83" s="673"/>
      <c r="B83" s="491"/>
      <c r="C83" s="491"/>
      <c r="D83" s="491"/>
      <c r="E83" s="655">
        <v>15</v>
      </c>
      <c r="F83" s="526" cm="1" t="str">
        <f t="array" ref="F83:F83">OFFSET(E83,-1,1)</f>
        <v>0</v>
      </c>
      <c r="G83" s="491"/>
      <c r="H83" s="491"/>
      <c r="I83" s="491"/>
      <c r="J83" s="491"/>
      <c r="K83" s="491"/>
      <c r="L83" s="491"/>
      <c r="M83" s="491"/>
      <c r="N83" s="491"/>
      <c r="O83" s="491"/>
      <c r="P83" s="491"/>
      <c r="Q83" s="491"/>
      <c r="R83" s="491"/>
      <c r="S83" s="491"/>
      <c r="T83" s="468" cm="1" t="str">
        <f t="array" ref="T83:T83">T82</f>
        <v>false</v>
      </c>
      <c r="U83" s="491"/>
      <c r="V83" s="491"/>
      <c r="W83" s="491"/>
      <c r="X83" s="1559"/>
      <c r="Y83" s="491"/>
      <c r="Z83" s="1560"/>
      <c r="AA83" s="491"/>
      <c r="AB83" s="1289" t="s">
        <v>2281</v>
      </c>
      <c r="AC83" s="1292" t="s">
        <v>2282</v>
      </c>
      <c r="AD83" s="1291" t="s">
        <v>936</v>
      </c>
      <c r="AE83" s="7408"/>
      <c r="AF83" s="1117"/>
      <c r="AG83" s="1117"/>
      <c r="AH83" s="1072" t="s">
        <v>2882</v>
      </c>
      <c r="AI83" s="1066"/>
      <c r="AJ83" s="1066"/>
      <c r="AK83" s="973"/>
      <c r="AL83" s="973"/>
      <c r="AM83" s="1441"/>
      <c r="AN83" s="1441"/>
      <c r="AO83" s="1441"/>
      <c r="AP83" s="1441"/>
    </row>
    <row s="1441" customFormat="1" customHeight="1" ht="14.625" hidden="1">
      <c r="A84" s="673"/>
      <c r="B84" s="491"/>
      <c r="C84" s="491"/>
      <c r="D84" s="491"/>
      <c r="E84" s="655">
        <v>15</v>
      </c>
      <c r="F84" s="526" cm="1" t="str">
        <f t="array" ref="F84:F84">OFFSET(E84,-1,1)</f>
        <v>0</v>
      </c>
      <c r="G84" s="491"/>
      <c r="H84" s="491"/>
      <c r="I84" s="491"/>
      <c r="J84" s="491"/>
      <c r="K84" s="491"/>
      <c r="L84" s="491"/>
      <c r="M84" s="491"/>
      <c r="N84" s="491"/>
      <c r="O84" s="491"/>
      <c r="P84" s="491"/>
      <c r="Q84" s="491"/>
      <c r="R84" s="491"/>
      <c r="S84" s="491"/>
      <c r="T84" s="468" cm="1" t="str">
        <f t="array" ref="T84:T84">T83</f>
        <v>false</v>
      </c>
      <c r="U84" s="491"/>
      <c r="V84" s="491"/>
      <c r="W84" s="491"/>
      <c r="X84" s="1559"/>
      <c r="Y84" s="491"/>
      <c r="Z84" s="1560"/>
      <c r="AA84" s="491"/>
      <c r="AB84" s="1289" t="s">
        <v>2284</v>
      </c>
      <c r="AC84" s="1292" t="s">
        <v>2285</v>
      </c>
      <c r="AD84" s="1291" t="s">
        <v>936</v>
      </c>
      <c r="AE84" s="7408"/>
      <c r="AF84" s="1117"/>
      <c r="AG84" s="1117"/>
      <c r="AH84" s="1072" t="s">
        <v>2883</v>
      </c>
      <c r="AI84" s="1066"/>
      <c r="AJ84" s="1066"/>
      <c r="AK84" s="973"/>
      <c r="AL84" s="973"/>
      <c r="AM84" s="1441"/>
      <c r="AN84" s="1441"/>
      <c r="AO84" s="1441"/>
      <c r="AP84" s="1441"/>
    </row>
    <row s="1441" customFormat="1" customHeight="1" ht="26.325000000000003" hidden="1">
      <c r="A85" s="673"/>
      <c r="B85" s="491"/>
      <c r="C85" s="491"/>
      <c r="D85" s="491"/>
      <c r="E85" s="655">
        <v>27</v>
      </c>
      <c r="F85" s="526" cm="1" t="str">
        <f t="array" ref="F85:F85">OFFSET(E85,-1,1)</f>
        <v>0</v>
      </c>
      <c r="G85" s="491"/>
      <c r="H85" s="491"/>
      <c r="I85" s="491"/>
      <c r="J85" s="491"/>
      <c r="K85" s="491"/>
      <c r="L85" s="491"/>
      <c r="M85" s="491"/>
      <c r="N85" s="491"/>
      <c r="O85" s="491"/>
      <c r="P85" s="491"/>
      <c r="Q85" s="491"/>
      <c r="R85" s="491"/>
      <c r="S85" s="491"/>
      <c r="T85" s="468" cm="1" t="str">
        <f t="array" ref="T85:T85">T84</f>
        <v>false</v>
      </c>
      <c r="U85" s="491"/>
      <c r="V85" s="491"/>
      <c r="W85" s="491"/>
      <c r="X85" s="1559"/>
      <c r="Y85" s="491"/>
      <c r="Z85" s="1560"/>
      <c r="AA85" s="491"/>
      <c r="AB85" s="1289" t="s">
        <v>2287</v>
      </c>
      <c r="AC85" s="1292" t="s">
        <v>2288</v>
      </c>
      <c r="AD85" s="1291" t="s">
        <v>936</v>
      </c>
      <c r="AE85" s="7408"/>
      <c r="AF85" s="1117"/>
      <c r="AG85" s="1117"/>
      <c r="AH85" s="1072" t="s">
        <v>2884</v>
      </c>
      <c r="AI85" s="1066"/>
      <c r="AJ85" s="1066"/>
      <c r="AK85" s="973"/>
      <c r="AL85" s="973"/>
      <c r="AM85" s="1441"/>
      <c r="AN85" s="1441"/>
      <c r="AO85" s="1441"/>
      <c r="AP85" s="1441"/>
    </row>
    <row s="1441" customFormat="1" customHeight="1" ht="14.625" hidden="1">
      <c r="A86" s="673"/>
      <c r="B86" s="491"/>
      <c r="C86" s="491"/>
      <c r="D86" s="491"/>
      <c r="E86" s="655">
        <v>15</v>
      </c>
      <c r="F86" s="526" cm="1" t="str">
        <f t="array" ref="F86:F86">OFFSET(E86,-1,1)</f>
        <v>0</v>
      </c>
      <c r="G86" s="491"/>
      <c r="H86" s="491"/>
      <c r="I86" s="491"/>
      <c r="J86" s="491"/>
      <c r="K86" s="491"/>
      <c r="L86" s="491"/>
      <c r="M86" s="491"/>
      <c r="N86" s="491"/>
      <c r="O86" s="491"/>
      <c r="P86" s="491"/>
      <c r="Q86" s="491"/>
      <c r="R86" s="491"/>
      <c r="S86" s="491"/>
      <c r="T86" s="468" cm="1" t="str">
        <f t="array" ref="T86:T86">T85</f>
        <v>false</v>
      </c>
      <c r="U86" s="491"/>
      <c r="V86" s="491"/>
      <c r="W86" s="491"/>
      <c r="X86" s="1559"/>
      <c r="Y86" s="491"/>
      <c r="Z86" s="1560"/>
      <c r="AA86" s="491"/>
      <c r="AB86" s="1289" t="s">
        <v>2291</v>
      </c>
      <c r="AC86" s="1292" t="s">
        <v>2292</v>
      </c>
      <c r="AD86" s="1291" t="s">
        <v>936</v>
      </c>
      <c r="AE86" s="7408"/>
      <c r="AF86" s="1117"/>
      <c r="AG86" s="1117"/>
      <c r="AH86" s="1072" t="s">
        <v>2885</v>
      </c>
      <c r="AI86" s="1066"/>
      <c r="AJ86" s="1066"/>
      <c r="AK86" s="973"/>
      <c r="AL86" s="973"/>
      <c r="AM86" s="1441"/>
      <c r="AN86" s="1441"/>
      <c r="AO86" s="1441"/>
      <c r="AP86" s="1441"/>
    </row>
    <row s="1441" customFormat="1" customHeight="1" ht="14.625" hidden="1">
      <c r="A87" s="673"/>
      <c r="B87" s="491"/>
      <c r="C87" s="491"/>
      <c r="D87" s="491"/>
      <c r="E87" s="655">
        <v>15</v>
      </c>
      <c r="F87" s="526" cm="1" t="str">
        <f t="array" ref="F87:F87">OFFSET(E87,-1,1)</f>
        <v>0</v>
      </c>
      <c r="G87" s="491"/>
      <c r="H87" s="491"/>
      <c r="I87" s="491"/>
      <c r="J87" s="491"/>
      <c r="K87" s="491"/>
      <c r="L87" s="491"/>
      <c r="M87" s="491"/>
      <c r="N87" s="491"/>
      <c r="O87" s="491"/>
      <c r="P87" s="491"/>
      <c r="Q87" s="491"/>
      <c r="R87" s="491"/>
      <c r="S87" s="491"/>
      <c r="T87" s="468" cm="1" t="str">
        <f t="array" ref="T87:T87">T86</f>
        <v>false</v>
      </c>
      <c r="U87" s="491"/>
      <c r="V87" s="491"/>
      <c r="W87" s="491"/>
      <c r="X87" s="1559"/>
      <c r="Y87" s="491"/>
      <c r="Z87" s="1560"/>
      <c r="AA87" s="491"/>
      <c r="AB87" s="1289" t="s">
        <v>2295</v>
      </c>
      <c r="AC87" s="1292" t="s">
        <v>2296</v>
      </c>
      <c r="AD87" s="1291" t="s">
        <v>936</v>
      </c>
      <c r="AE87" s="7408"/>
      <c r="AF87" s="1117"/>
      <c r="AG87" s="1117"/>
      <c r="AH87" s="1072" t="s">
        <v>2886</v>
      </c>
      <c r="AI87" s="1066"/>
      <c r="AJ87" s="1066"/>
      <c r="AK87" s="973"/>
      <c r="AL87" s="973"/>
      <c r="AM87" s="1441"/>
      <c r="AN87" s="1441"/>
      <c r="AO87" s="1441"/>
      <c r="AP87" s="1441"/>
    </row>
    <row s="1441" customFormat="1" customHeight="1" ht="14.625" hidden="1">
      <c r="A88" s="673"/>
      <c r="B88" s="491"/>
      <c r="C88" s="491"/>
      <c r="D88" s="491"/>
      <c r="E88" s="655">
        <v>15</v>
      </c>
      <c r="F88" s="526" cm="1" t="str">
        <f t="array" ref="F88:F88">OFFSET(E88,-1,1)</f>
        <v>0</v>
      </c>
      <c r="G88" s="491"/>
      <c r="H88" s="491"/>
      <c r="I88" s="491"/>
      <c r="J88" s="491"/>
      <c r="K88" s="491"/>
      <c r="L88" s="491"/>
      <c r="M88" s="491"/>
      <c r="N88" s="491"/>
      <c r="O88" s="491"/>
      <c r="P88" s="491"/>
      <c r="Q88" s="491"/>
      <c r="R88" s="491"/>
      <c r="S88" s="491"/>
      <c r="T88" s="468" cm="1" t="str">
        <f t="array" ref="T88:T88">T87</f>
        <v>false</v>
      </c>
      <c r="U88" s="491"/>
      <c r="V88" s="491"/>
      <c r="W88" s="491"/>
      <c r="X88" s="1559"/>
      <c r="Y88" s="491"/>
      <c r="Z88" s="1560"/>
      <c r="AA88" s="491"/>
      <c r="AB88" s="1289" t="s">
        <v>2298</v>
      </c>
      <c r="AC88" s="1292" t="s">
        <v>2299</v>
      </c>
      <c r="AD88" s="1291" t="s">
        <v>936</v>
      </c>
      <c r="AE88" s="7408"/>
      <c r="AF88" s="1117"/>
      <c r="AG88" s="1117"/>
      <c r="AH88" s="1072" t="s">
        <v>2887</v>
      </c>
      <c r="AI88" s="1066"/>
      <c r="AJ88" s="1066"/>
      <c r="AK88" s="973"/>
      <c r="AL88" s="973"/>
      <c r="AM88" s="1441"/>
      <c r="AN88" s="1441"/>
      <c r="AO88" s="1441"/>
      <c r="AP88" s="1441"/>
    </row>
    <row s="1441" customFormat="1" customHeight="1" ht="14.625" hidden="1">
      <c r="A89" s="673"/>
      <c r="B89" s="491"/>
      <c r="C89" s="491"/>
      <c r="D89" s="491"/>
      <c r="E89" s="655">
        <v>15</v>
      </c>
      <c r="F89" s="526" cm="1" t="str">
        <f t="array" ref="F89:F89">OFFSET(E89,-1,1)</f>
        <v>0</v>
      </c>
      <c r="G89" s="491"/>
      <c r="H89" s="491"/>
      <c r="I89" s="491"/>
      <c r="J89" s="491"/>
      <c r="K89" s="491"/>
      <c r="L89" s="491"/>
      <c r="M89" s="491"/>
      <c r="N89" s="491"/>
      <c r="O89" s="491"/>
      <c r="P89" s="491"/>
      <c r="Q89" s="491"/>
      <c r="R89" s="491"/>
      <c r="S89" s="491"/>
      <c r="T89" s="468" cm="1" t="str">
        <f t="array" ref="T89:T89">T88</f>
        <v>false</v>
      </c>
      <c r="U89" s="491"/>
      <c r="V89" s="491"/>
      <c r="W89" s="491"/>
      <c r="X89" s="1559"/>
      <c r="Y89" s="491"/>
      <c r="Z89" s="1560"/>
      <c r="AA89" s="491"/>
      <c r="AB89" s="1289" t="s">
        <v>2301</v>
      </c>
      <c r="AC89" s="1292" t="s">
        <v>2302</v>
      </c>
      <c r="AD89" s="1291" t="s">
        <v>936</v>
      </c>
      <c r="AE89" s="7408"/>
      <c r="AF89" s="1117"/>
      <c r="AG89" s="1117"/>
      <c r="AH89" s="1072" t="s">
        <v>2888</v>
      </c>
      <c r="AI89" s="1066"/>
      <c r="AJ89" s="1066"/>
      <c r="AK89" s="973"/>
      <c r="AL89" s="973"/>
      <c r="AM89" s="1441"/>
      <c r="AN89" s="1441"/>
      <c r="AO89" s="1441"/>
      <c r="AP89" s="1441"/>
    </row>
    <row s="1441" customFormat="1" customHeight="1" ht="14.625" hidden="1">
      <c r="A90" s="673"/>
      <c r="B90" s="491"/>
      <c r="C90" s="491"/>
      <c r="D90" s="491"/>
      <c r="E90" s="655">
        <v>15</v>
      </c>
      <c r="F90" s="526" cm="1" t="str">
        <f t="array" ref="F90:F90">OFFSET(E90,-1,1)</f>
        <v>0</v>
      </c>
      <c r="G90" s="491"/>
      <c r="H90" s="491"/>
      <c r="I90" s="491"/>
      <c r="J90" s="491"/>
      <c r="K90" s="491"/>
      <c r="L90" s="491"/>
      <c r="M90" s="491"/>
      <c r="N90" s="491"/>
      <c r="O90" s="491"/>
      <c r="P90" s="491"/>
      <c r="Q90" s="491"/>
      <c r="R90" s="491"/>
      <c r="S90" s="491"/>
      <c r="T90" s="468" cm="1" t="str">
        <f t="array" ref="T90:T90">T89</f>
        <v>false</v>
      </c>
      <c r="U90" s="491"/>
      <c r="V90" s="491"/>
      <c r="W90" s="491"/>
      <c r="X90" s="1559"/>
      <c r="Y90" s="491"/>
      <c r="Z90" s="1560"/>
      <c r="AA90" s="491"/>
      <c r="AB90" s="1289" t="s">
        <v>2303</v>
      </c>
      <c r="AC90" s="1292" t="s">
        <v>2304</v>
      </c>
      <c r="AD90" s="1291" t="s">
        <v>936</v>
      </c>
      <c r="AE90" s="7408"/>
      <c r="AF90" s="1117"/>
      <c r="AG90" s="1117"/>
      <c r="AH90" s="1072" t="s">
        <v>2889</v>
      </c>
      <c r="AI90" s="1066"/>
      <c r="AJ90" s="1066"/>
      <c r="AK90" s="973"/>
      <c r="AL90" s="973"/>
      <c r="AM90" s="1441"/>
      <c r="AN90" s="1441"/>
      <c r="AO90" s="1441"/>
      <c r="AP90" s="1441"/>
    </row>
    <row s="1441" customFormat="1" customHeight="1" ht="14.625" hidden="1">
      <c r="A91" s="673"/>
      <c r="B91" s="491"/>
      <c r="C91" s="491"/>
      <c r="D91" s="491"/>
      <c r="E91" s="655">
        <v>15</v>
      </c>
      <c r="F91" s="526" cm="1" t="str">
        <f t="array" ref="F91:F91">OFFSET(E91,-1,1)</f>
        <v>0</v>
      </c>
      <c r="G91" s="491"/>
      <c r="H91" s="491"/>
      <c r="I91" s="491"/>
      <c r="J91" s="491"/>
      <c r="K91" s="491"/>
      <c r="L91" s="491"/>
      <c r="M91" s="491"/>
      <c r="N91" s="491"/>
      <c r="O91" s="491"/>
      <c r="P91" s="491"/>
      <c r="Q91" s="491"/>
      <c r="R91" s="491"/>
      <c r="S91" s="491"/>
      <c r="T91" s="468" cm="1" t="str">
        <f t="array" ref="T91:T91">T90</f>
        <v>false</v>
      </c>
      <c r="U91" s="491"/>
      <c r="V91" s="491"/>
      <c r="W91" s="491"/>
      <c r="X91" s="1559"/>
      <c r="Y91" s="491"/>
      <c r="Z91" s="1560"/>
      <c r="AA91" s="491"/>
      <c r="AB91" s="1289" t="s">
        <v>664</v>
      </c>
      <c r="AC91" s="1290" t="s">
        <v>2305</v>
      </c>
      <c r="AD91" s="1291" t="s">
        <v>936</v>
      </c>
      <c r="AE91" s="7408"/>
      <c r="AF91" s="1117"/>
      <c r="AG91" s="1117"/>
      <c r="AH91" s="1072" t="s">
        <v>2890</v>
      </c>
      <c r="AI91" s="1066"/>
      <c r="AJ91" s="1066"/>
      <c r="AK91" s="973"/>
      <c r="AL91" s="973"/>
      <c r="AM91" s="1441"/>
      <c r="AN91" s="1441"/>
      <c r="AO91" s="1441"/>
      <c r="AP91" s="1441"/>
    </row>
    <row customHeight="1" ht="14.625" hidden="1">
      <c r="A92" s="673"/>
      <c r="B92" s="1240"/>
      <c r="C92" s="1240"/>
      <c r="D92" s="1240"/>
      <c r="E92" s="655">
        <v>15</v>
      </c>
      <c r="F92" s="50" cm="1" t="str">
        <f t="array" ref="F92:F92">OFFSET(E92,-1,1)</f>
        <v>0</v>
      </c>
      <c r="G92" s="1240"/>
      <c r="H92" s="491" t="s">
        <v>587</v>
      </c>
      <c r="I92" s="1240"/>
      <c r="J92" s="1240"/>
      <c r="K92" s="1240"/>
      <c r="L92" s="1240"/>
      <c r="M92" s="1240"/>
      <c r="N92" s="1240"/>
      <c r="O92" s="1240"/>
      <c r="P92" s="1240"/>
      <c r="Q92" s="1240"/>
      <c r="R92" s="1240"/>
      <c r="S92" s="1240"/>
      <c r="T92" s="468" cm="1" t="str">
        <f t="array" ref="T92:T92">T78</f>
        <v>false</v>
      </c>
      <c r="U92" s="1240"/>
      <c r="V92" s="1240"/>
      <c r="W92" s="1240"/>
      <c r="X92" s="1559"/>
      <c r="Y92" s="1240"/>
      <c r="Z92" s="1560"/>
      <c r="AA92" s="1240"/>
      <c r="AB92" s="721" t="s">
        <v>668</v>
      </c>
      <c r="AC92" s="550" t="s">
        <v>2891</v>
      </c>
      <c r="AD92" s="551" t="s">
        <v>936</v>
      </c>
      <c r="AE92" s="560">
        <f>SUM(AE93:AE101)</f>
        <v>0</v>
      </c>
      <c r="AF92" s="1308"/>
      <c r="AG92" s="1308"/>
      <c r="AH92" s="1078" t="s">
        <v>1464</v>
      </c>
      <c r="AI92" s="1309"/>
      <c r="AJ92" s="1309"/>
      <c r="AK92" s="1310"/>
      <c r="AL92" s="1310"/>
      <c r="AM92" s="7368"/>
      <c r="AN92" s="7368"/>
      <c r="AO92" s="7368"/>
      <c r="AP92" s="7368"/>
    </row>
    <row customHeight="1" ht="14.625" hidden="1">
      <c r="A93" s="673"/>
      <c r="B93" s="1240"/>
      <c r="C93" s="1240"/>
      <c r="D93" s="1240"/>
      <c r="E93" s="655">
        <v>15</v>
      </c>
      <c r="F93" s="50" cm="1" t="str">
        <f t="array" ref="F93:F93">OFFSET(E93,-1,1)</f>
        <v>0</v>
      </c>
      <c r="G93" s="1240"/>
      <c r="H93" s="491" t="s">
        <v>2045</v>
      </c>
      <c r="I93" s="1240"/>
      <c r="J93" s="1240"/>
      <c r="K93" s="1240"/>
      <c r="L93" s="1240"/>
      <c r="M93" s="1240"/>
      <c r="N93" s="1240"/>
      <c r="O93" s="1240"/>
      <c r="P93" s="1240"/>
      <c r="Q93" s="1240"/>
      <c r="R93" s="1240"/>
      <c r="S93" s="1240"/>
      <c r="T93" s="468" cm="1" t="str">
        <f t="array" ref="T93:T93">T92</f>
        <v>false</v>
      </c>
      <c r="U93" s="1240"/>
      <c r="V93" s="1240"/>
      <c r="W93" s="1240"/>
      <c r="X93" s="1559"/>
      <c r="Y93" s="1240"/>
      <c r="Z93" s="1560"/>
      <c r="AA93" s="1240"/>
      <c r="AB93" s="721" t="s">
        <v>603</v>
      </c>
      <c r="AC93" s="552" t="s">
        <v>1479</v>
      </c>
      <c r="AD93" s="551" t="s">
        <v>936</v>
      </c>
      <c r="AE93" s="7380"/>
      <c r="AF93" s="1308"/>
      <c r="AG93" s="1308"/>
      <c r="AH93" s="1072" t="s">
        <v>2308</v>
      </c>
      <c r="AI93" s="1309"/>
      <c r="AJ93" s="1309"/>
      <c r="AK93" s="1310"/>
      <c r="AL93" s="1310"/>
      <c r="AM93" s="7368"/>
      <c r="AN93" s="7368"/>
      <c r="AO93" s="7368"/>
      <c r="AP93" s="7368"/>
    </row>
    <row customHeight="1" ht="14.625" hidden="1">
      <c r="A94" s="673"/>
      <c r="B94" s="1240"/>
      <c r="C94" s="1240"/>
      <c r="D94" s="1240"/>
      <c r="E94" s="655">
        <v>15</v>
      </c>
      <c r="F94" s="50" cm="1" t="str">
        <f t="array" ref="F94:F94">OFFSET(E94,-1,1)</f>
        <v>0</v>
      </c>
      <c r="G94" s="1240"/>
      <c r="H94" s="491" t="s">
        <v>2048</v>
      </c>
      <c r="I94" s="1240"/>
      <c r="J94" s="1240"/>
      <c r="K94" s="1240"/>
      <c r="L94" s="1240"/>
      <c r="M94" s="1240"/>
      <c r="N94" s="1240"/>
      <c r="O94" s="1240"/>
      <c r="P94" s="1240"/>
      <c r="Q94" s="1240"/>
      <c r="R94" s="1240"/>
      <c r="S94" s="1240"/>
      <c r="T94" s="468" cm="1" t="str">
        <f t="array" ref="T94:T94">T93</f>
        <v>false</v>
      </c>
      <c r="U94" s="1240"/>
      <c r="V94" s="1240"/>
      <c r="W94" s="1240"/>
      <c r="X94" s="1559"/>
      <c r="Y94" s="1240"/>
      <c r="Z94" s="1560"/>
      <c r="AA94" s="1240"/>
      <c r="AB94" s="721" t="s">
        <v>1717</v>
      </c>
      <c r="AC94" s="552" t="s">
        <v>2892</v>
      </c>
      <c r="AD94" s="551" t="s">
        <v>936</v>
      </c>
      <c r="AE94" s="7380"/>
      <c r="AF94" s="1308"/>
      <c r="AG94" s="1308"/>
      <c r="AH94" s="1072" t="s">
        <v>2311</v>
      </c>
      <c r="AI94" s="1309"/>
      <c r="AJ94" s="1309"/>
      <c r="AK94" s="1310"/>
      <c r="AL94" s="1310"/>
      <c r="AM94" s="7368"/>
      <c r="AN94" s="7368"/>
      <c r="AO94" s="7368"/>
      <c r="AP94" s="7368"/>
    </row>
    <row customHeight="1" ht="14.625" hidden="1">
      <c r="A95" s="673"/>
      <c r="B95" s="1240"/>
      <c r="C95" s="1240"/>
      <c r="D95" s="1240"/>
      <c r="E95" s="655">
        <v>15</v>
      </c>
      <c r="F95" s="50" cm="1" t="str">
        <f t="array" ref="F95:F95">OFFSET(E95,-1,1)</f>
        <v>0</v>
      </c>
      <c r="G95" s="1240"/>
      <c r="H95" s="491" t="s">
        <v>2893</v>
      </c>
      <c r="I95" s="1240"/>
      <c r="J95" s="1240"/>
      <c r="K95" s="1240"/>
      <c r="L95" s="1240"/>
      <c r="M95" s="1240"/>
      <c r="N95" s="1240"/>
      <c r="O95" s="1240"/>
      <c r="P95" s="1240"/>
      <c r="Q95" s="1240"/>
      <c r="R95" s="1240"/>
      <c r="S95" s="1240"/>
      <c r="T95" s="468" cm="1" t="str">
        <f t="array" ref="T95:T95">T94</f>
        <v>false</v>
      </c>
      <c r="U95" s="1240"/>
      <c r="V95" s="1240"/>
      <c r="W95" s="1240"/>
      <c r="X95" s="1559"/>
      <c r="Y95" s="1240"/>
      <c r="Z95" s="1560"/>
      <c r="AA95" s="1240"/>
      <c r="AB95" s="721" t="s">
        <v>1722</v>
      </c>
      <c r="AC95" s="552" t="s">
        <v>2894</v>
      </c>
      <c r="AD95" s="551" t="s">
        <v>936</v>
      </c>
      <c r="AE95" s="7380"/>
      <c r="AF95" s="1308"/>
      <c r="AG95" s="1308"/>
      <c r="AH95" s="1072" t="s">
        <v>2314</v>
      </c>
      <c r="AI95" s="1309"/>
      <c r="AJ95" s="1309"/>
      <c r="AK95" s="1310"/>
      <c r="AL95" s="1310"/>
      <c r="AM95" s="7368"/>
      <c r="AN95" s="7368"/>
      <c r="AO95" s="7368"/>
      <c r="AP95" s="7368"/>
    </row>
    <row customHeight="1" ht="14.625" hidden="1">
      <c r="A96" s="673"/>
      <c r="B96" s="1240"/>
      <c r="C96" s="1240"/>
      <c r="D96" s="1240"/>
      <c r="E96" s="655">
        <v>15</v>
      </c>
      <c r="F96" s="50" cm="1" t="str">
        <f t="array" ref="F96:F96">OFFSET(E96,-1,1)</f>
        <v>0</v>
      </c>
      <c r="G96" s="1240"/>
      <c r="H96" s="491" t="s">
        <v>2895</v>
      </c>
      <c r="I96" s="1240"/>
      <c r="J96" s="1240"/>
      <c r="K96" s="1240"/>
      <c r="L96" s="1240"/>
      <c r="M96" s="1240"/>
      <c r="N96" s="1240"/>
      <c r="O96" s="1240"/>
      <c r="P96" s="1240"/>
      <c r="Q96" s="1240"/>
      <c r="R96" s="1240"/>
      <c r="S96" s="1240"/>
      <c r="T96" s="468" cm="1" t="str">
        <f t="array" ref="T96:T96">T95</f>
        <v>false</v>
      </c>
      <c r="U96" s="1240"/>
      <c r="V96" s="1240"/>
      <c r="W96" s="1240"/>
      <c r="X96" s="1559"/>
      <c r="Y96" s="1240"/>
      <c r="Z96" s="1560"/>
      <c r="AA96" s="1240"/>
      <c r="AB96" s="721" t="s">
        <v>2316</v>
      </c>
      <c r="AC96" s="552" t="s">
        <v>1472</v>
      </c>
      <c r="AD96" s="551" t="s">
        <v>936</v>
      </c>
      <c r="AE96" s="7380"/>
      <c r="AF96" s="1308"/>
      <c r="AG96" s="1308"/>
      <c r="AH96" s="1072" t="s">
        <v>2318</v>
      </c>
      <c r="AI96" s="1309"/>
      <c r="AJ96" s="1309"/>
      <c r="AK96" s="1310"/>
      <c r="AL96" s="1310"/>
      <c r="AM96" s="7368"/>
      <c r="AN96" s="7368"/>
      <c r="AO96" s="7368"/>
      <c r="AP96" s="7368"/>
    </row>
    <row customHeight="1" ht="14.625" hidden="1">
      <c r="A97" s="673"/>
      <c r="B97" s="1240"/>
      <c r="C97" s="1240"/>
      <c r="D97" s="1240"/>
      <c r="E97" s="655">
        <v>15</v>
      </c>
      <c r="F97" s="50" cm="1" t="str">
        <f t="array" ref="F97:F97">OFFSET(E97,-1,1)</f>
        <v>0</v>
      </c>
      <c r="G97" s="1240"/>
      <c r="H97" s="491" t="s">
        <v>2896</v>
      </c>
      <c r="I97" s="1240"/>
      <c r="J97" s="1240"/>
      <c r="K97" s="1240"/>
      <c r="L97" s="1240"/>
      <c r="M97" s="1240"/>
      <c r="N97" s="1240"/>
      <c r="O97" s="1240"/>
      <c r="P97" s="1240"/>
      <c r="Q97" s="1240"/>
      <c r="R97" s="1240"/>
      <c r="S97" s="1240"/>
      <c r="T97" s="468" cm="1" t="str">
        <f t="array" ref="T97:T97">T96</f>
        <v>false</v>
      </c>
      <c r="U97" s="1240"/>
      <c r="V97" s="1240"/>
      <c r="W97" s="1240"/>
      <c r="X97" s="1559"/>
      <c r="Y97" s="1240"/>
      <c r="Z97" s="1560"/>
      <c r="AA97" s="1240"/>
      <c r="AB97" s="721" t="s">
        <v>2320</v>
      </c>
      <c r="AC97" s="552" t="s">
        <v>1474</v>
      </c>
      <c r="AD97" s="551" t="s">
        <v>936</v>
      </c>
      <c r="AE97" s="7380"/>
      <c r="AF97" s="1308"/>
      <c r="AG97" s="1308"/>
      <c r="AH97" s="1072" t="s">
        <v>2322</v>
      </c>
      <c r="AI97" s="1309"/>
      <c r="AJ97" s="1309"/>
      <c r="AK97" s="1310"/>
      <c r="AL97" s="1310"/>
      <c r="AM97" s="7368"/>
      <c r="AN97" s="7368"/>
      <c r="AO97" s="7368"/>
      <c r="AP97" s="7368"/>
    </row>
    <row customHeight="1" ht="14.625" hidden="1">
      <c r="A98" s="673"/>
      <c r="B98" s="1240"/>
      <c r="C98" s="1240"/>
      <c r="D98" s="1240"/>
      <c r="E98" s="655">
        <v>15</v>
      </c>
      <c r="F98" s="50" cm="1" t="str">
        <f t="array" ref="F98:F98">OFFSET(E98,-1,1)</f>
        <v>0</v>
      </c>
      <c r="G98" s="1240"/>
      <c r="H98" s="491" t="s">
        <v>2897</v>
      </c>
      <c r="I98" s="1240"/>
      <c r="J98" s="1240"/>
      <c r="K98" s="1240"/>
      <c r="L98" s="1240"/>
      <c r="M98" s="1240"/>
      <c r="N98" s="1240"/>
      <c r="O98" s="1240"/>
      <c r="P98" s="1240"/>
      <c r="Q98" s="1240"/>
      <c r="R98" s="1240"/>
      <c r="S98" s="1240"/>
      <c r="T98" s="468" cm="1" t="str">
        <f t="array" ref="T98:T98">T97</f>
        <v>false</v>
      </c>
      <c r="U98" s="1240"/>
      <c r="V98" s="1240"/>
      <c r="W98" s="1240"/>
      <c r="X98" s="1559"/>
      <c r="Y98" s="1240"/>
      <c r="Z98" s="1560"/>
      <c r="AA98" s="1240"/>
      <c r="AB98" s="721" t="s">
        <v>2324</v>
      </c>
      <c r="AC98" s="552" t="s">
        <v>1465</v>
      </c>
      <c r="AD98" s="551" t="s">
        <v>936</v>
      </c>
      <c r="AE98" s="7380"/>
      <c r="AF98" s="1308"/>
      <c r="AG98" s="1308"/>
      <c r="AH98" s="1072" t="s">
        <v>2326</v>
      </c>
      <c r="AI98" s="1309"/>
      <c r="AJ98" s="1309"/>
      <c r="AK98" s="1310"/>
      <c r="AL98" s="1310"/>
      <c r="AM98" s="7368"/>
      <c r="AN98" s="7368"/>
      <c r="AO98" s="7368"/>
      <c r="AP98" s="7368"/>
    </row>
    <row s="1441" customFormat="1" customHeight="1" ht="14.625" hidden="1">
      <c r="A99" s="673"/>
      <c r="B99" s="491"/>
      <c r="C99" s="491"/>
      <c r="D99" s="491"/>
      <c r="E99" s="655">
        <v>15</v>
      </c>
      <c r="F99" s="526" cm="1" t="str">
        <f t="array" ref="F99:F99">OFFSET(E99,-1,1)</f>
        <v>0</v>
      </c>
      <c r="G99" s="491"/>
      <c r="H99" s="491"/>
      <c r="I99" s="491"/>
      <c r="J99" s="491"/>
      <c r="K99" s="491"/>
      <c r="L99" s="491"/>
      <c r="M99" s="491"/>
      <c r="N99" s="491"/>
      <c r="O99" s="491"/>
      <c r="P99" s="491"/>
      <c r="Q99" s="491"/>
      <c r="R99" s="491"/>
      <c r="S99" s="491"/>
      <c r="T99" s="468" cm="1" t="str">
        <f t="array" ref="T99:T99">T98</f>
        <v>false</v>
      </c>
      <c r="U99" s="491"/>
      <c r="V99" s="491"/>
      <c r="W99" s="491"/>
      <c r="X99" s="1559"/>
      <c r="Y99" s="491"/>
      <c r="Z99" s="1560"/>
      <c r="AA99" s="491"/>
      <c r="AB99" s="1289" t="s">
        <v>2328</v>
      </c>
      <c r="AC99" s="1292" t="s">
        <v>2898</v>
      </c>
      <c r="AD99" s="1291" t="s">
        <v>936</v>
      </c>
      <c r="AE99" s="7408"/>
      <c r="AF99" s="1117"/>
      <c r="AG99" s="1117"/>
      <c r="AH99" s="1072" t="s">
        <v>1482</v>
      </c>
      <c r="AI99" s="1066"/>
      <c r="AJ99" s="1066"/>
      <c r="AK99" s="973"/>
      <c r="AL99" s="973"/>
      <c r="AM99" s="1441"/>
      <c r="AN99" s="1441"/>
      <c r="AO99" s="1441"/>
      <c r="AP99" s="1441"/>
    </row>
    <row s="1441" customFormat="1" customHeight="1" ht="14.625" hidden="1">
      <c r="A100" s="673"/>
      <c r="B100" s="491"/>
      <c r="C100" s="491"/>
      <c r="D100" s="491"/>
      <c r="E100" s="655">
        <v>15</v>
      </c>
      <c r="F100" s="526" cm="1" t="str">
        <f t="array" ref="F100:F100">OFFSET(E100,-1,1)</f>
        <v>0</v>
      </c>
      <c r="G100" s="491"/>
      <c r="H100" s="491"/>
      <c r="I100" s="491"/>
      <c r="J100" s="491"/>
      <c r="K100" s="491"/>
      <c r="L100" s="491"/>
      <c r="M100" s="491"/>
      <c r="N100" s="491"/>
      <c r="O100" s="491"/>
      <c r="P100" s="491"/>
      <c r="Q100" s="491"/>
      <c r="R100" s="491"/>
      <c r="S100" s="491"/>
      <c r="T100" s="468" cm="1" t="str">
        <f t="array" ref="T100:T100">T99</f>
        <v>false</v>
      </c>
      <c r="U100" s="491"/>
      <c r="V100" s="491"/>
      <c r="W100" s="491"/>
      <c r="X100" s="1559"/>
      <c r="Y100" s="491"/>
      <c r="Z100" s="1560"/>
      <c r="AA100" s="491"/>
      <c r="AB100" s="1289" t="s">
        <v>2332</v>
      </c>
      <c r="AC100" s="1292" t="s">
        <v>1483</v>
      </c>
      <c r="AD100" s="1291" t="s">
        <v>936</v>
      </c>
      <c r="AE100" s="7408"/>
      <c r="AF100" s="1117"/>
      <c r="AG100" s="1117"/>
      <c r="AH100" s="1072" t="s">
        <v>2899</v>
      </c>
      <c r="AI100" s="1066"/>
      <c r="AJ100" s="1066"/>
      <c r="AK100" s="973"/>
      <c r="AL100" s="973"/>
      <c r="AM100" s="1441"/>
      <c r="AN100" s="1441"/>
      <c r="AO100" s="1441"/>
      <c r="AP100" s="1441"/>
    </row>
    <row customHeight="1" ht="14.625" hidden="1">
      <c r="A101" s="673"/>
      <c r="B101" s="1240"/>
      <c r="C101" s="1240"/>
      <c r="D101" s="1240"/>
      <c r="E101" s="655">
        <v>15</v>
      </c>
      <c r="F101" s="50" cm="1" t="str">
        <f t="array" ref="F101:F101">OFFSET(E101,-1,1)</f>
        <v>0</v>
      </c>
      <c r="G101" s="1240"/>
      <c r="H101" s="491" t="s">
        <v>2900</v>
      </c>
      <c r="I101" s="1240"/>
      <c r="J101" s="1240"/>
      <c r="K101" s="1240"/>
      <c r="L101" s="1240"/>
      <c r="M101" s="1240"/>
      <c r="N101" s="1240"/>
      <c r="O101" s="1240"/>
      <c r="P101" s="1240"/>
      <c r="Q101" s="1240"/>
      <c r="R101" s="1240"/>
      <c r="S101" s="1240"/>
      <c r="T101" s="468" cm="1" t="str">
        <f t="array" ref="T101:T101">T98</f>
        <v>false</v>
      </c>
      <c r="U101" s="1240"/>
      <c r="V101" s="1240"/>
      <c r="W101" s="1240"/>
      <c r="X101" s="1559"/>
      <c r="Y101" s="1240"/>
      <c r="Z101" s="1560"/>
      <c r="AA101" s="1240"/>
      <c r="AB101" s="721" t="s">
        <v>2334</v>
      </c>
      <c r="AC101" s="552" t="s">
        <v>1485</v>
      </c>
      <c r="AD101" s="551" t="s">
        <v>936</v>
      </c>
      <c r="AE101" s="7380"/>
      <c r="AF101" s="1308"/>
      <c r="AG101" s="1308"/>
      <c r="AH101" s="1072" t="s">
        <v>2340</v>
      </c>
      <c r="AI101" s="1309"/>
      <c r="AJ101" s="1309"/>
      <c r="AK101" s="1310"/>
      <c r="AL101" s="1310"/>
      <c r="AM101" s="7368"/>
      <c r="AN101" s="7368"/>
      <c r="AO101" s="7368"/>
      <c r="AP101" s="7368"/>
    </row>
    <row customHeight="1" ht="14.625" hidden="1">
      <c r="A102" s="673"/>
      <c r="B102" s="1240"/>
      <c r="C102" s="1240"/>
      <c r="D102" s="1240"/>
      <c r="E102" s="655">
        <v>15</v>
      </c>
      <c r="F102" s="50" cm="1" t="str">
        <f t="array" ref="F102:F102">OFFSET(E102,-1,1)</f>
        <v>0</v>
      </c>
      <c r="G102" s="1240"/>
      <c r="H102" s="491" t="s">
        <v>1087</v>
      </c>
      <c r="I102" s="1240"/>
      <c r="J102" s="1240"/>
      <c r="K102" s="1240"/>
      <c r="L102" s="1240"/>
      <c r="M102" s="1240"/>
      <c r="N102" s="1240"/>
      <c r="O102" s="1240"/>
      <c r="P102" s="1240"/>
      <c r="Q102" s="1240"/>
      <c r="R102" s="1240"/>
      <c r="S102" s="1240"/>
      <c r="T102" s="468" cm="1" t="str">
        <f t="array" ref="T102:T102">T101</f>
        <v>false</v>
      </c>
      <c r="U102" s="1240"/>
      <c r="V102" s="1240"/>
      <c r="W102" s="1240"/>
      <c r="X102" s="1559"/>
      <c r="Y102" s="1240"/>
      <c r="Z102" s="1560"/>
      <c r="AA102" s="1240"/>
      <c r="AB102" s="721" t="s">
        <v>1090</v>
      </c>
      <c r="AC102" s="552" t="s">
        <v>1212</v>
      </c>
      <c r="AD102" s="551" t="s">
        <v>936</v>
      </c>
      <c r="AE102" s="7380"/>
      <c r="AF102" s="1308"/>
      <c r="AG102" s="1308"/>
      <c r="AH102" s="1072" t="s">
        <v>1421</v>
      </c>
      <c r="AI102" s="1309"/>
      <c r="AJ102" s="1309"/>
      <c r="AK102" s="1310"/>
      <c r="AL102" s="1310"/>
      <c r="AM102" s="7368"/>
      <c r="AN102" s="7368"/>
      <c r="AO102" s="7368"/>
      <c r="AP102" s="7368"/>
    </row>
    <row customHeight="1" ht="14.625" hidden="1">
      <c r="A103" s="673"/>
      <c r="B103" s="1240"/>
      <c r="C103" s="1240"/>
      <c r="D103" s="1240"/>
      <c r="E103" s="655">
        <v>15</v>
      </c>
      <c r="F103" s="50" cm="1" t="str">
        <f t="array" ref="F103:F103">OFFSET(E103,-1,1)</f>
        <v>0</v>
      </c>
      <c r="G103" s="1240"/>
      <c r="H103" s="491" t="s">
        <v>2343</v>
      </c>
      <c r="I103" s="1240"/>
      <c r="J103" s="1240"/>
      <c r="K103" s="1240"/>
      <c r="L103" s="1240"/>
      <c r="M103" s="1240"/>
      <c r="N103" s="1240"/>
      <c r="O103" s="1240"/>
      <c r="P103" s="1240"/>
      <c r="Q103" s="1240"/>
      <c r="R103" s="1240"/>
      <c r="S103" s="1240"/>
      <c r="T103" s="468" cm="1" t="str">
        <f t="array" ref="T103:T103">T102</f>
        <v>false</v>
      </c>
      <c r="U103" s="1240"/>
      <c r="V103" s="1240"/>
      <c r="W103" s="1240"/>
      <c r="X103" s="1559"/>
      <c r="Y103" s="1240"/>
      <c r="Z103" s="1560"/>
      <c r="AA103" s="1240"/>
      <c r="AB103" s="721" t="s">
        <v>1093</v>
      </c>
      <c r="AC103" s="550" t="s">
        <v>1689</v>
      </c>
      <c r="AD103" s="551" t="s">
        <v>936</v>
      </c>
      <c r="AE103" s="7380"/>
      <c r="AF103" s="1308"/>
      <c r="AG103" s="1308"/>
      <c r="AH103" s="1079" t="s">
        <v>2089</v>
      </c>
      <c r="AI103" s="1309"/>
      <c r="AJ103" s="1309"/>
      <c r="AK103" s="1310"/>
      <c r="AL103" s="1310"/>
      <c r="AM103" s="7368"/>
      <c r="AN103" s="7368"/>
      <c r="AO103" s="7368"/>
      <c r="AP103" s="7368"/>
    </row>
    <row customHeight="1" ht="14.625" hidden="1">
      <c r="A104" s="673"/>
      <c r="B104" s="1240"/>
      <c r="C104" s="1240"/>
      <c r="D104" s="1240"/>
      <c r="E104" s="655">
        <v>15</v>
      </c>
      <c r="F104" s="50" cm="1" t="str">
        <f t="array" ref="F104:F104">OFFSET(E104,-1,1)</f>
        <v>0</v>
      </c>
      <c r="G104" s="1240"/>
      <c r="H104" s="491" t="s">
        <v>2351</v>
      </c>
      <c r="I104" s="1240"/>
      <c r="J104" s="1240"/>
      <c r="K104" s="1240"/>
      <c r="L104" s="1240"/>
      <c r="M104" s="1240"/>
      <c r="N104" s="1240"/>
      <c r="O104" s="1240"/>
      <c r="P104" s="1240"/>
      <c r="Q104" s="1240"/>
      <c r="R104" s="1240"/>
      <c r="S104" s="1240"/>
      <c r="T104" s="468" cm="1" t="str">
        <f t="array" ref="T104:T104">T103</f>
        <v>false</v>
      </c>
      <c r="U104" s="1240"/>
      <c r="V104" s="1240"/>
      <c r="W104" s="1240"/>
      <c r="X104" s="1559"/>
      <c r="Y104" s="1240"/>
      <c r="Z104" s="1560"/>
      <c r="AA104" s="1240"/>
      <c r="AB104" s="721" t="s">
        <v>1737</v>
      </c>
      <c r="AC104" s="550" t="s">
        <v>1699</v>
      </c>
      <c r="AD104" s="551" t="s">
        <v>936</v>
      </c>
      <c r="AE104" s="560">
        <f>AE105+AE106</f>
        <v>0</v>
      </c>
      <c r="AF104" s="1308"/>
      <c r="AG104" s="1308"/>
      <c r="AH104" s="1072" t="s">
        <v>2356</v>
      </c>
      <c r="AI104" s="1309"/>
      <c r="AJ104" s="1309"/>
      <c r="AK104" s="1310"/>
      <c r="AL104" s="1310"/>
      <c r="AM104" s="7368"/>
      <c r="AN104" s="7368"/>
      <c r="AO104" s="7368"/>
      <c r="AP104" s="7368"/>
    </row>
    <row customHeight="1" ht="14.625" hidden="1">
      <c r="A105" s="673"/>
      <c r="B105" s="1240"/>
      <c r="C105" s="1240"/>
      <c r="D105" s="1240"/>
      <c r="E105" s="655">
        <v>15</v>
      </c>
      <c r="F105" s="50" cm="1" t="str">
        <f t="array" ref="F105:F105">OFFSET(E105,-1,1)</f>
        <v>0</v>
      </c>
      <c r="G105" s="1240"/>
      <c r="H105" s="491" t="s">
        <v>2901</v>
      </c>
      <c r="I105" s="1240"/>
      <c r="J105" s="1240"/>
      <c r="K105" s="1240"/>
      <c r="L105" s="1240"/>
      <c r="M105" s="1240"/>
      <c r="N105" s="1240"/>
      <c r="O105" s="1240"/>
      <c r="P105" s="1240"/>
      <c r="Q105" s="1240"/>
      <c r="R105" s="1240"/>
      <c r="S105" s="1240"/>
      <c r="T105" s="468" cm="1" t="str">
        <f t="array" ref="T105:T105">T104</f>
        <v>false</v>
      </c>
      <c r="U105" s="1240"/>
      <c r="V105" s="1240"/>
      <c r="W105" s="1240"/>
      <c r="X105" s="1559"/>
      <c r="Y105" s="1240"/>
      <c r="Z105" s="1560"/>
      <c r="AA105" s="1240"/>
      <c r="AB105" s="721" t="s">
        <v>2347</v>
      </c>
      <c r="AC105" s="552" t="s">
        <v>2902</v>
      </c>
      <c r="AD105" s="551" t="s">
        <v>936</v>
      </c>
      <c r="AE105" s="7380"/>
      <c r="AF105" s="1308"/>
      <c r="AG105" s="1308"/>
      <c r="AH105" s="1072" t="s">
        <v>1456</v>
      </c>
      <c r="AI105" s="1309"/>
      <c r="AJ105" s="1309"/>
      <c r="AK105" s="1310"/>
      <c r="AL105" s="1310"/>
      <c r="AM105" s="7368"/>
      <c r="AN105" s="7368"/>
      <c r="AO105" s="7368"/>
      <c r="AP105" s="7368"/>
    </row>
    <row customHeight="1" ht="21.9375" hidden="1">
      <c r="A106" s="673"/>
      <c r="B106" s="1240"/>
      <c r="C106" s="1240"/>
      <c r="D106" s="1240"/>
      <c r="E106" s="655">
        <v>22.5</v>
      </c>
      <c r="F106" s="50" cm="1" t="str">
        <f t="array" ref="F106:F106">OFFSET(E106,-1,1)</f>
        <v>0</v>
      </c>
      <c r="G106" s="1240"/>
      <c r="H106" s="491" t="s">
        <v>2903</v>
      </c>
      <c r="I106" s="1240"/>
      <c r="J106" s="1240"/>
      <c r="K106" s="1240"/>
      <c r="L106" s="1240"/>
      <c r="M106" s="1240"/>
      <c r="N106" s="1240"/>
      <c r="O106" s="1240"/>
      <c r="P106" s="1240"/>
      <c r="Q106" s="1240"/>
      <c r="R106" s="1240"/>
      <c r="S106" s="1240"/>
      <c r="T106" s="468" cm="1" t="str">
        <f t="array" ref="T106:T106">T105</f>
        <v>false</v>
      </c>
      <c r="U106" s="1240"/>
      <c r="V106" s="1240"/>
      <c r="W106" s="1240"/>
      <c r="X106" s="1559"/>
      <c r="Y106" s="1240"/>
      <c r="Z106" s="1560"/>
      <c r="AA106" s="1240"/>
      <c r="AB106" s="721" t="s">
        <v>2904</v>
      </c>
      <c r="AC106" s="552" t="s">
        <v>2905</v>
      </c>
      <c r="AD106" s="551" t="s">
        <v>936</v>
      </c>
      <c r="AE106" s="7380"/>
      <c r="AF106" s="1308"/>
      <c r="AG106" s="1308"/>
      <c r="AH106" s="1072" t="s">
        <v>2363</v>
      </c>
      <c r="AI106" s="1309"/>
      <c r="AJ106" s="1309"/>
      <c r="AK106" s="1310"/>
      <c r="AL106" s="1310"/>
      <c r="AM106" s="7368"/>
      <c r="AN106" s="7368"/>
      <c r="AO106" s="7368"/>
      <c r="AP106" s="7368"/>
    </row>
    <row customHeight="1" ht="76.78125" hidden="1">
      <c r="A107" s="673"/>
      <c r="B107" s="1240"/>
      <c r="C107" s="1240"/>
      <c r="D107" s="1240"/>
      <c r="E107" s="655">
        <v>78.75</v>
      </c>
      <c r="F107" s="50" cm="1" t="str">
        <f t="array" ref="F107:F107">OFFSET(E107,-1,1)</f>
        <v>0</v>
      </c>
      <c r="G107" s="1240"/>
      <c r="H107" s="491" t="s">
        <v>2355</v>
      </c>
      <c r="I107" s="1240"/>
      <c r="J107" s="1240"/>
      <c r="K107" s="1240"/>
      <c r="L107" s="1240"/>
      <c r="M107" s="1240"/>
      <c r="N107" s="1240"/>
      <c r="O107" s="1240"/>
      <c r="P107" s="1240"/>
      <c r="Q107" s="1240"/>
      <c r="R107" s="1240"/>
      <c r="S107" s="1240"/>
      <c r="T107" s="468" cm="1" t="str">
        <f t="array" ref="T107:T107">T106</f>
        <v>false</v>
      </c>
      <c r="U107" s="1240"/>
      <c r="V107" s="1240"/>
      <c r="W107" s="1240"/>
      <c r="X107" s="1559"/>
      <c r="Y107" s="1240"/>
      <c r="Z107" s="1560"/>
      <c r="AA107" s="1240"/>
      <c r="AB107" s="721" t="s">
        <v>1742</v>
      </c>
      <c r="AC107" s="1303" t="s">
        <v>1673</v>
      </c>
      <c r="AD107" s="551" t="s">
        <v>936</v>
      </c>
      <c r="AE107" s="7380"/>
      <c r="AF107" s="1308"/>
      <c r="AG107" s="1308"/>
      <c r="AH107" s="1072" t="s">
        <v>2341</v>
      </c>
      <c r="AI107" s="1309"/>
      <c r="AJ107" s="1309"/>
      <c r="AK107" s="1310"/>
      <c r="AL107" s="1310"/>
      <c r="AM107" s="7368"/>
      <c r="AN107" s="7368"/>
      <c r="AO107" s="7368"/>
      <c r="AP107" s="7368"/>
    </row>
    <row s="1441" customFormat="1" customHeight="1" ht="14.625" hidden="1">
      <c r="A108" s="673"/>
      <c r="B108" s="491"/>
      <c r="C108" s="491"/>
      <c r="D108" s="491"/>
      <c r="E108" s="655">
        <v>15</v>
      </c>
      <c r="F108" s="526" cm="1" t="str">
        <f t="array" ref="F108:F108">OFFSET(E108,-1,1)</f>
        <v>0</v>
      </c>
      <c r="G108" s="491"/>
      <c r="H108" s="491"/>
      <c r="I108" s="491"/>
      <c r="J108" s="491"/>
      <c r="K108" s="491"/>
      <c r="L108" s="491"/>
      <c r="M108" s="491"/>
      <c r="N108" s="491"/>
      <c r="O108" s="491"/>
      <c r="P108" s="491"/>
      <c r="Q108" s="491"/>
      <c r="R108" s="491"/>
      <c r="S108" s="491"/>
      <c r="T108" s="468" cm="1" t="str">
        <f t="array" ref="T108:T108">T107</f>
        <v>false</v>
      </c>
      <c r="U108" s="491"/>
      <c r="V108" s="491"/>
      <c r="W108" s="491"/>
      <c r="X108" s="1559"/>
      <c r="Y108" s="491"/>
      <c r="Z108" s="1560"/>
      <c r="AA108" s="491"/>
      <c r="AB108" s="1289" t="s">
        <v>2352</v>
      </c>
      <c r="AC108" s="1303" t="s">
        <v>1192</v>
      </c>
      <c r="AD108" s="1291" t="s">
        <v>936</v>
      </c>
      <c r="AE108" s="7408"/>
      <c r="AF108" s="1117"/>
      <c r="AG108" s="1117"/>
      <c r="AH108" s="1072" t="s">
        <v>1194</v>
      </c>
      <c r="AI108" s="1066"/>
      <c r="AJ108" s="1066"/>
      <c r="AK108" s="973"/>
      <c r="AL108" s="973"/>
      <c r="AM108" s="1441"/>
      <c r="AN108" s="1441"/>
      <c r="AO108" s="1441"/>
      <c r="AP108" s="1441"/>
    </row>
    <row s="1441" customFormat="1" customHeight="1" ht="14.625" hidden="1">
      <c r="A109" s="673"/>
      <c r="B109" s="491"/>
      <c r="C109" s="491"/>
      <c r="D109" s="491"/>
      <c r="E109" s="655">
        <v>15</v>
      </c>
      <c r="F109" s="526" cm="1" t="str">
        <f t="array" ref="F109:F109">OFFSET(E109,-1,1)</f>
        <v>0</v>
      </c>
      <c r="G109" s="491"/>
      <c r="H109" s="491"/>
      <c r="I109" s="491"/>
      <c r="J109" s="491"/>
      <c r="K109" s="491"/>
      <c r="L109" s="491"/>
      <c r="M109" s="491"/>
      <c r="N109" s="491"/>
      <c r="O109" s="491"/>
      <c r="P109" s="491"/>
      <c r="Q109" s="491"/>
      <c r="R109" s="491"/>
      <c r="S109" s="491"/>
      <c r="T109" s="468" cm="1" t="str">
        <f t="array" ref="T109:T109">T108</f>
        <v>false</v>
      </c>
      <c r="U109" s="491"/>
      <c r="V109" s="491"/>
      <c r="W109" s="491"/>
      <c r="X109" s="1559"/>
      <c r="Y109" s="491"/>
      <c r="Z109" s="1560"/>
      <c r="AA109" s="491"/>
      <c r="AB109" s="1289" t="s">
        <v>1761</v>
      </c>
      <c r="AC109" s="1303" t="s">
        <v>1684</v>
      </c>
      <c r="AD109" s="1291" t="s">
        <v>936</v>
      </c>
      <c r="AE109" s="7408"/>
      <c r="AF109" s="1117"/>
      <c r="AG109" s="1117"/>
      <c r="AH109" s="1072" t="s">
        <v>2906</v>
      </c>
      <c r="AI109" s="1066"/>
      <c r="AJ109" s="1066"/>
      <c r="AK109" s="973"/>
      <c r="AL109" s="973"/>
      <c r="AM109" s="1441"/>
      <c r="AN109" s="1441"/>
      <c r="AO109" s="1441"/>
      <c r="AP109" s="1441"/>
    </row>
    <row customHeight="1" ht="14.625" hidden="1">
      <c r="A110" s="673"/>
      <c r="B110" s="1240"/>
      <c r="C110" s="1240"/>
      <c r="D110" s="1240"/>
      <c r="E110" s="655">
        <v>15</v>
      </c>
      <c r="F110" s="50" cm="1" t="str">
        <f t="array" ref="F110:F110">OFFSET(E110,-1,1)</f>
        <v>0</v>
      </c>
      <c r="G110" s="1240"/>
      <c r="H110" s="491" t="s">
        <v>2907</v>
      </c>
      <c r="I110" s="1240"/>
      <c r="J110" s="1240"/>
      <c r="K110" s="1240"/>
      <c r="L110" s="1240"/>
      <c r="M110" s="1240"/>
      <c r="N110" s="1240"/>
      <c r="O110" s="1240"/>
      <c r="P110" s="1240"/>
      <c r="Q110" s="1240"/>
      <c r="R110" s="1240"/>
      <c r="S110" s="1240"/>
      <c r="T110" s="468" cm="1" t="str">
        <f t="array" ref="T110:T110">T107</f>
        <v>false</v>
      </c>
      <c r="U110" s="1240"/>
      <c r="V110" s="1240"/>
      <c r="W110" s="1240"/>
      <c r="X110" s="1559"/>
      <c r="Y110" s="1240"/>
      <c r="Z110" s="1560"/>
      <c r="AA110" s="1240"/>
      <c r="AB110" s="721" t="s">
        <v>1765</v>
      </c>
      <c r="AC110" s="550" t="s">
        <v>2908</v>
      </c>
      <c r="AD110" s="551" t="s">
        <v>936</v>
      </c>
      <c r="AE110" s="7380"/>
      <c r="AF110" s="1308"/>
      <c r="AG110" s="1308"/>
      <c r="AH110" s="1009" t="s">
        <v>2909</v>
      </c>
      <c r="AI110" s="1309"/>
      <c r="AJ110" s="1309"/>
      <c r="AK110" s="1310"/>
      <c r="AL110" s="1310"/>
      <c r="AM110" s="7368"/>
      <c r="AN110" s="7368"/>
      <c r="AO110" s="7368"/>
      <c r="AP110" s="7368"/>
    </row>
    <row s="1441" customFormat="1" customHeight="1" ht="32.175" hidden="1">
      <c r="A111" s="673"/>
      <c r="B111" s="491"/>
      <c r="C111" s="491"/>
      <c r="D111" s="491"/>
      <c r="E111" s="655">
        <v>33</v>
      </c>
      <c r="F111" s="526" cm="1" t="str">
        <f t="array" ref="F111:F111">OFFSET(E111,-1,1)</f>
        <v>0</v>
      </c>
      <c r="G111" s="491"/>
      <c r="H111" s="491"/>
      <c r="I111" s="491"/>
      <c r="J111" s="491"/>
      <c r="K111" s="491"/>
      <c r="L111" s="491"/>
      <c r="M111" s="491"/>
      <c r="N111" s="491"/>
      <c r="O111" s="491"/>
      <c r="P111" s="491"/>
      <c r="Q111" s="491"/>
      <c r="R111" s="491"/>
      <c r="S111" s="491"/>
      <c r="T111" s="468" cm="1" t="str">
        <f t="array" ref="T111:T111">T110</f>
        <v>false</v>
      </c>
      <c r="U111" s="491"/>
      <c r="V111" s="491"/>
      <c r="W111" s="491"/>
      <c r="X111" s="1559"/>
      <c r="Y111" s="491"/>
      <c r="Z111" s="1560"/>
      <c r="AA111" s="491"/>
      <c r="AB111" s="1289" t="s">
        <v>1768</v>
      </c>
      <c r="AC111" s="1290" t="s">
        <v>2365</v>
      </c>
      <c r="AD111" s="1291" t="s">
        <v>936</v>
      </c>
      <c r="AE111" s="7408"/>
      <c r="AF111" s="1117"/>
      <c r="AG111" s="1117"/>
      <c r="AH111" s="1066" t="s">
        <v>2910</v>
      </c>
      <c r="AI111" s="1066"/>
      <c r="AJ111" s="1066"/>
      <c r="AK111" s="973"/>
      <c r="AL111" s="973"/>
      <c r="AM111" s="1441"/>
      <c r="AN111" s="1441"/>
      <c r="AO111" s="1441"/>
      <c r="AP111" s="1441"/>
    </row>
    <row customHeight="1" ht="14.625" hidden="1">
      <c r="A112" s="673"/>
      <c r="B112" s="1240"/>
      <c r="C112" s="1240"/>
      <c r="D112" s="1240"/>
      <c r="E112" s="655">
        <v>15</v>
      </c>
      <c r="F112" s="50" cm="1" t="str">
        <f t="array" ref="F112:F112">OFFSET(E112,-1,1)</f>
        <v>0</v>
      </c>
      <c r="G112" s="1240"/>
      <c r="H112" s="491" t="s">
        <v>2911</v>
      </c>
      <c r="I112" s="1240"/>
      <c r="J112" s="1240"/>
      <c r="K112" s="1240"/>
      <c r="L112" s="1240"/>
      <c r="M112" s="1240"/>
      <c r="N112" s="1240"/>
      <c r="O112" s="1240"/>
      <c r="P112" s="1240"/>
      <c r="Q112" s="1240"/>
      <c r="R112" s="1240"/>
      <c r="S112" s="1240"/>
      <c r="T112" s="468" cm="1" t="str">
        <f t="array" ref="T112:T112">T110</f>
        <v>false</v>
      </c>
      <c r="U112" s="1240"/>
      <c r="V112" s="1240"/>
      <c r="W112" s="1240"/>
      <c r="X112" s="1559"/>
      <c r="Y112" s="1240"/>
      <c r="Z112" s="1560"/>
      <c r="AA112" s="1240"/>
      <c r="AB112" s="721" t="s">
        <v>2912</v>
      </c>
      <c r="AC112" s="550" t="s">
        <v>2913</v>
      </c>
      <c r="AD112" s="551" t="s">
        <v>936</v>
      </c>
      <c r="AE112" s="560">
        <f>SUM(AE113:AE114)</f>
        <v>0</v>
      </c>
      <c r="AF112" s="1308"/>
      <c r="AG112" s="1308"/>
      <c r="AH112" s="1009" t="s">
        <v>2914</v>
      </c>
      <c r="AI112" s="1309"/>
      <c r="AJ112" s="1309"/>
      <c r="AK112" s="1310"/>
      <c r="AL112" s="1310"/>
      <c r="AM112" s="7368"/>
      <c r="AN112" s="7368"/>
      <c r="AO112" s="7368"/>
      <c r="AP112" s="7368"/>
    </row>
    <row customHeight="1" ht="14.625" hidden="1">
      <c r="A113" s="673"/>
      <c r="B113" s="1240"/>
      <c r="C113" s="1240"/>
      <c r="D113" s="1240"/>
      <c r="E113" s="655">
        <v>15</v>
      </c>
      <c r="F113" s="50" cm="1" t="str">
        <f t="array" ref="F113:F113">OFFSET(E113,-1,1)</f>
        <v>0</v>
      </c>
      <c r="G113" s="1240"/>
      <c r="H113" s="491" t="s">
        <v>2911</v>
      </c>
      <c r="I113" s="566" cm="1" t="str">
        <f t="array" ref="I113:I113">AC113</f>
        <v>0</v>
      </c>
      <c r="J113" s="1240"/>
      <c r="K113" s="1240"/>
      <c r="L113" s="1240"/>
      <c r="M113" s="1240"/>
      <c r="N113" s="1240"/>
      <c r="O113" s="1240"/>
      <c r="P113" s="1240"/>
      <c r="Q113" s="1240"/>
      <c r="R113" s="1240"/>
      <c r="S113" s="1240"/>
      <c r="T113" s="468">
        <f>AND(F113&gt;0,Y113&gt;0)</f>
        <v>0</v>
      </c>
      <c r="U113" s="1240"/>
      <c r="V113" s="1240"/>
      <c r="W113" s="558" t="s">
        <v>173</v>
      </c>
      <c r="X113" s="1559"/>
      <c r="Y113" s="491">
        <v>0</v>
      </c>
      <c r="Z113" s="1560"/>
      <c r="AA113" s="668" t="s">
        <v>174</v>
      </c>
      <c r="AB113" s="721" t="str">
        <f>"2.12."&amp;Y113</f>
        <v>2.12.0</v>
      </c>
      <c r="AC113" s="7393"/>
      <c r="AD113" s="551" t="s">
        <v>936</v>
      </c>
      <c r="AE113" s="7394"/>
      <c r="AF113" s="1308"/>
      <c r="AG113" s="1308"/>
      <c r="AH113" s="1009" t="s">
        <v>2914</v>
      </c>
      <c r="AI113" s="1009" t="s">
        <v>2915</v>
      </c>
      <c r="AJ113" s="1014" cm="1" t="str">
        <f t="array" ref="AJ113:AJ113">AC113</f>
        <v>0</v>
      </c>
      <c r="AK113" s="1310"/>
      <c r="AL113" s="662" t="b">
        <v>1</v>
      </c>
      <c r="AM113" s="7368"/>
      <c r="AN113" s="7368"/>
      <c r="AO113" s="7368"/>
      <c r="AP113" s="7368"/>
    </row>
    <row customHeight="1" ht="14.625" hidden="1">
      <c r="A114" s="673"/>
      <c r="B114" s="1240"/>
      <c r="C114" s="1240"/>
      <c r="D114" s="1240"/>
      <c r="E114" s="655">
        <v>15</v>
      </c>
      <c r="F114" s="50" cm="1" t="str">
        <f t="array" ref="F114:F114">OFFSET(E114,-1,1)</f>
        <v>0</v>
      </c>
      <c r="G114" s="1240"/>
      <c r="H114" s="1240"/>
      <c r="I114" s="154" t="str">
        <f>"!== 'не определено' &amp;&amp; row.l2_13 !== null"</f>
        <v>!== 'не определено' &amp;&amp; row.l2_13 !== null</v>
      </c>
      <c r="J114" s="1240"/>
      <c r="K114" s="1240"/>
      <c r="L114" s="1240"/>
      <c r="M114" s="1240"/>
      <c r="N114" s="1240"/>
      <c r="O114" s="1240"/>
      <c r="P114" s="1240"/>
      <c r="Q114" s="1240"/>
      <c r="R114" s="1240"/>
      <c r="S114" s="1240"/>
      <c r="T114" s="468">
        <f>F114&gt;0</f>
        <v>0</v>
      </c>
      <c r="U114" s="1240"/>
      <c r="V114" s="1240"/>
      <c r="W114" s="836" t="s">
        <v>1012</v>
      </c>
      <c r="X114" s="1559"/>
      <c r="Y114" s="1240"/>
      <c r="Z114" s="1560"/>
      <c r="AA114" s="1240"/>
      <c r="AB114" s="1298"/>
      <c r="AC114" s="1358" t="s">
        <v>177</v>
      </c>
      <c r="AD114" s="1300"/>
      <c r="AE114" s="1357"/>
      <c r="AF114" s="1308"/>
      <c r="AG114" s="1308"/>
      <c r="AH114" s="1309"/>
      <c r="AI114" s="1309"/>
      <c r="AJ114" s="1309"/>
      <c r="AK114" s="662" t="s">
        <v>2915</v>
      </c>
      <c r="AL114" s="1310"/>
      <c r="AM114" s="7368"/>
      <c r="AN114" s="7368"/>
      <c r="AO114" s="7368"/>
      <c r="AP114" s="7368"/>
    </row>
    <row customHeight="1" ht="14.625" hidden="1">
      <c r="A115" s="673"/>
      <c r="B115" s="1240"/>
      <c r="C115" s="1240"/>
      <c r="D115" s="1240"/>
      <c r="E115" s="655">
        <v>15</v>
      </c>
      <c r="F115" s="50" cm="1" t="str">
        <f t="array" ref="F115:F115">OFFSET(E115,-1,1)</f>
        <v>0</v>
      </c>
      <c r="G115" s="491" t="s">
        <v>50</v>
      </c>
      <c r="H115" s="491" t="s">
        <v>346</v>
      </c>
      <c r="I115" s="1240"/>
      <c r="J115" s="1240"/>
      <c r="K115" s="1240"/>
      <c r="L115" s="1240"/>
      <c r="M115" s="1240"/>
      <c r="N115" s="1240"/>
      <c r="O115" s="1240"/>
      <c r="P115" s="1240"/>
      <c r="Q115" s="1240"/>
      <c r="R115" s="1240"/>
      <c r="S115" s="1240"/>
      <c r="T115" s="468" cm="1" t="str">
        <f t="array" ref="T115:T115">T114</f>
        <v>false</v>
      </c>
      <c r="U115" s="1240"/>
      <c r="V115" s="1240"/>
      <c r="W115" s="1240"/>
      <c r="X115" s="1559"/>
      <c r="Y115" s="1240"/>
      <c r="Z115" s="1560"/>
      <c r="AA115" s="1240"/>
      <c r="AB115" s="720" t="s">
        <v>234</v>
      </c>
      <c r="AC115" s="548" t="s">
        <v>2368</v>
      </c>
      <c r="AD115" s="549" t="s">
        <v>936</v>
      </c>
      <c r="AE115" s="7411"/>
      <c r="AF115" s="1308"/>
      <c r="AG115" s="1308"/>
      <c r="AH115" s="1009" t="s">
        <v>1984</v>
      </c>
      <c r="AI115" s="1309"/>
      <c r="AJ115" s="1309"/>
      <c r="AK115" s="1310"/>
      <c r="AL115" s="1310"/>
      <c r="AM115" s="7368"/>
      <c r="AN115" s="7368"/>
      <c r="AO115" s="7368"/>
      <c r="AP115" s="7368"/>
    </row>
    <row s="1656" customFormat="1" customHeight="1" ht="14.25">
      <c r="A116" s="673"/>
      <c r="B116" s="1240"/>
      <c r="C116" s="1240"/>
      <c r="D116" s="1240"/>
      <c r="E116" s="655">
        <v>15</v>
      </c>
      <c r="F116" s="843" cm="1" t="str">
        <f t="array" ref="F116:F116">X116</f>
        <v>1</v>
      </c>
      <c r="G116" s="491" t="s">
        <v>929</v>
      </c>
      <c r="H116" s="1240"/>
      <c r="I116" s="1240"/>
      <c r="J116" s="1240"/>
      <c r="K116" s="1240"/>
      <c r="L116" s="1240"/>
      <c r="M116" s="1240"/>
      <c r="N116" s="1240"/>
      <c r="O116" s="1240"/>
      <c r="P116" s="1240"/>
      <c r="Q116" s="1240"/>
      <c r="R116" s="1240"/>
      <c r="S116" s="1240"/>
      <c r="T116" s="468">
        <f>X116&gt;0</f>
        <v>1</v>
      </c>
      <c r="U116" s="1240"/>
      <c r="V116" s="491" cm="1" t="str">
        <f t="array" ref="V116:V116">'ДПР (концессии)'!$AB$81</f>
        <v>Тариф 1 (Водоснабжение) - тариф на питьевую воду (Оказание услуг на территории: город Ленинск-Кузнецкий (ОКТМО: 32719000) - г Ленинск-Кузнецкий, г Полысаево)</v>
      </c>
      <c r="W116" s="1240"/>
      <c r="X116" s="1559" t="s">
        <v>290</v>
      </c>
      <c r="Y116" s="1240"/>
      <c r="Z116" s="1560"/>
      <c r="AA116" s="1240"/>
      <c r="AB116" s="218" cm="1" t="str">
        <f t="array" ref="AB116:AB116">'ДПР (концессии)'!$AB$81</f>
        <v>Тариф 1 (Водоснабжение) - тариф на питьевую воду (Оказание услуг на территории: город Ленинск-Кузнецкий (ОКТМО: 32719000) - г Ленинск-Кузнецкий, г Полысаево)</v>
      </c>
      <c r="AC116" s="176"/>
      <c r="AD116" s="170"/>
      <c r="AE116" s="1285">
        <f>AE117+AE167+AE204</f>
        <v>0</v>
      </c>
      <c r="AF116" s="1308"/>
      <c r="AG116" s="1308"/>
      <c r="AH116" s="1309"/>
      <c r="AI116" s="1309"/>
      <c r="AJ116" s="1309"/>
      <c r="AK116" s="1310"/>
      <c r="AL116" s="1310"/>
      <c r="AM116" s="1656"/>
      <c r="AN116" s="1656"/>
      <c r="AO116" s="1656"/>
      <c r="AP116" s="1656"/>
    </row>
    <row s="1656" customFormat="1" customHeight="1" ht="14.25">
      <c r="A117" s="673"/>
      <c r="B117" s="1240"/>
      <c r="C117" s="1240"/>
      <c r="D117" s="1240"/>
      <c r="E117" s="655">
        <v>15</v>
      </c>
      <c r="F117" s="50" cm="1" t="str">
        <f t="array" ref="F117:F117">OFFSET(E117,-1,1)</f>
        <v>1</v>
      </c>
      <c r="G117" s="1240"/>
      <c r="H117" s="491" t="s">
        <v>344</v>
      </c>
      <c r="I117" s="1240"/>
      <c r="J117" s="1240"/>
      <c r="K117" s="1240"/>
      <c r="L117" s="1240"/>
      <c r="M117" s="1240"/>
      <c r="N117" s="1240"/>
      <c r="O117" s="1240"/>
      <c r="P117" s="1240"/>
      <c r="Q117" s="1240"/>
      <c r="R117" s="1240"/>
      <c r="S117" s="1240"/>
      <c r="T117" s="468" cm="1" t="str">
        <f t="array" ref="T117:T117">T116</f>
        <v>true</v>
      </c>
      <c r="U117" s="1240"/>
      <c r="V117" s="1240"/>
      <c r="W117" s="1240"/>
      <c r="X117" s="1559"/>
      <c r="Y117" s="1240"/>
      <c r="Z117" s="1560"/>
      <c r="AA117" s="1240"/>
      <c r="AB117" s="1286" t="s">
        <v>290</v>
      </c>
      <c r="AC117" s="1287" t="s">
        <v>2174</v>
      </c>
      <c r="AD117" s="1288" t="s">
        <v>936</v>
      </c>
      <c r="AE117" s="1355">
        <f>AE118+AE136+AE144+AE164</f>
        <v>0</v>
      </c>
      <c r="AF117" s="1308"/>
      <c r="AG117" s="1308"/>
      <c r="AH117" s="1009" t="s">
        <v>649</v>
      </c>
      <c r="AI117" s="1309"/>
      <c r="AJ117" s="1309"/>
      <c r="AK117" s="1310"/>
      <c r="AL117" s="1310"/>
      <c r="AM117" s="1656"/>
      <c r="AN117" s="1656"/>
      <c r="AO117" s="1656"/>
      <c r="AP117" s="1656"/>
    </row>
    <row s="1656" customFormat="1" customHeight="1" ht="14.25">
      <c r="A118" s="673"/>
      <c r="B118" s="1240"/>
      <c r="C118" s="1240"/>
      <c r="D118" s="1240"/>
      <c r="E118" s="655">
        <v>15</v>
      </c>
      <c r="F118" s="50" cm="1" t="str">
        <f t="array" ref="F118:F118">OFFSET(E118,-1,1)</f>
        <v>1</v>
      </c>
      <c r="G118" s="1240"/>
      <c r="H118" s="491" t="s">
        <v>566</v>
      </c>
      <c r="I118" s="1240"/>
      <c r="J118" s="1240"/>
      <c r="K118" s="1240"/>
      <c r="L118" s="1240"/>
      <c r="M118" s="1240"/>
      <c r="N118" s="1240"/>
      <c r="O118" s="1240"/>
      <c r="P118" s="1240"/>
      <c r="Q118" s="1240"/>
      <c r="R118" s="1240"/>
      <c r="S118" s="1240"/>
      <c r="T118" s="468" cm="1" t="str">
        <f t="array" ref="T118:T118">T117</f>
        <v>true</v>
      </c>
      <c r="U118" s="1240"/>
      <c r="V118" s="1240"/>
      <c r="W118" s="1240"/>
      <c r="X118" s="1559"/>
      <c r="Y118" s="1240"/>
      <c r="Z118" s="1560"/>
      <c r="AA118" s="1240"/>
      <c r="AB118" s="1289" t="s">
        <v>1067</v>
      </c>
      <c r="AC118" s="1290" t="s">
        <v>1972</v>
      </c>
      <c r="AD118" s="1291" t="s">
        <v>936</v>
      </c>
      <c r="AE118" s="560">
        <f>AE119+AE120+AE121+AE126+AE127+AE128</f>
        <v>0</v>
      </c>
      <c r="AF118" s="1308"/>
      <c r="AG118" s="1308"/>
      <c r="AH118" s="1009" t="s">
        <v>1352</v>
      </c>
      <c r="AI118" s="1309"/>
      <c r="AJ118" s="1309"/>
      <c r="AK118" s="1310"/>
      <c r="AL118" s="1310"/>
      <c r="AM118" s="1656"/>
      <c r="AN118" s="1656"/>
      <c r="AO118" s="1656"/>
      <c r="AP118" s="1656"/>
    </row>
    <row s="1656" customFormat="1" customHeight="1" ht="14.25">
      <c r="A119" s="673"/>
      <c r="B119" s="1240"/>
      <c r="C119" s="1240"/>
      <c r="D119" s="1240"/>
      <c r="E119" s="655">
        <v>15</v>
      </c>
      <c r="F119" s="50" cm="1" t="str">
        <f t="array" ref="F119:F119">OFFSET(E119,-1,1)</f>
        <v>1</v>
      </c>
      <c r="G119" s="1240"/>
      <c r="H119" s="491" t="s">
        <v>1197</v>
      </c>
      <c r="I119" s="1240"/>
      <c r="J119" s="1240"/>
      <c r="K119" s="1240"/>
      <c r="L119" s="1240"/>
      <c r="M119" s="1240"/>
      <c r="N119" s="1240"/>
      <c r="O119" s="1240"/>
      <c r="P119" s="1240"/>
      <c r="Q119" s="1240"/>
      <c r="R119" s="1240"/>
      <c r="S119" s="1240"/>
      <c r="T119" s="468" cm="1" t="str">
        <f t="array" ref="T119:T119">T118</f>
        <v>true</v>
      </c>
      <c r="U119" s="1240"/>
      <c r="V119" s="1240"/>
      <c r="W119" s="1240"/>
      <c r="X119" s="1559"/>
      <c r="Y119" s="1240"/>
      <c r="Z119" s="1560"/>
      <c r="AA119" s="1240"/>
      <c r="AB119" s="721" t="s">
        <v>1198</v>
      </c>
      <c r="AC119" s="1292" t="s">
        <v>2782</v>
      </c>
      <c r="AD119" s="551" t="s">
        <v>936</v>
      </c>
      <c r="AE119" s="1356"/>
      <c r="AF119" s="1308"/>
      <c r="AG119" s="1308"/>
      <c r="AH119" s="1009" t="s">
        <v>1448</v>
      </c>
      <c r="AI119" s="1309"/>
      <c r="AJ119" s="1309"/>
      <c r="AK119" s="1310"/>
      <c r="AL119" s="1310"/>
      <c r="AM119" s="1656"/>
      <c r="AN119" s="1656"/>
      <c r="AO119" s="1656"/>
      <c r="AP119" s="1656"/>
    </row>
    <row s="1656" customFormat="1" customHeight="1" ht="21.75">
      <c r="A120" s="673"/>
      <c r="B120" s="1240"/>
      <c r="C120" s="1240"/>
      <c r="D120" s="1240"/>
      <c r="E120" s="655">
        <v>22.5</v>
      </c>
      <c r="F120" s="50" cm="1" t="str">
        <f t="array" ref="F120:F120">OFFSET(E120,-1,1)</f>
        <v>1</v>
      </c>
      <c r="G120" s="1240"/>
      <c r="H120" s="491" t="s">
        <v>1201</v>
      </c>
      <c r="I120" s="1240"/>
      <c r="J120" s="1240"/>
      <c r="K120" s="1240"/>
      <c r="L120" s="1240"/>
      <c r="M120" s="1240"/>
      <c r="N120" s="1240"/>
      <c r="O120" s="1240"/>
      <c r="P120" s="1240"/>
      <c r="Q120" s="1240"/>
      <c r="R120" s="1240"/>
      <c r="S120" s="1240"/>
      <c r="T120" s="468" cm="1" t="str">
        <f t="array" ref="T120:T120">T119</f>
        <v>true</v>
      </c>
      <c r="U120" s="1240"/>
      <c r="V120" s="1240"/>
      <c r="W120" s="1240"/>
      <c r="X120" s="1559"/>
      <c r="Y120" s="1240"/>
      <c r="Z120" s="1560"/>
      <c r="AA120" s="1240"/>
      <c r="AB120" s="721" t="s">
        <v>1202</v>
      </c>
      <c r="AC120" s="552" t="s">
        <v>2182</v>
      </c>
      <c r="AD120" s="551" t="s">
        <v>936</v>
      </c>
      <c r="AE120" s="1356"/>
      <c r="AF120" s="1308"/>
      <c r="AG120" s="1308"/>
      <c r="AH120" s="1009" t="s">
        <v>2005</v>
      </c>
      <c r="AI120" s="1309"/>
      <c r="AJ120" s="1309"/>
      <c r="AK120" s="1310"/>
      <c r="AL120" s="1310"/>
      <c r="AM120" s="1656"/>
      <c r="AN120" s="1656"/>
      <c r="AO120" s="1656"/>
      <c r="AP120" s="1656"/>
    </row>
    <row s="1656" customFormat="1" customHeight="1" ht="32.25">
      <c r="A121" s="673"/>
      <c r="B121" s="1240"/>
      <c r="C121" s="1240"/>
      <c r="D121" s="1240"/>
      <c r="E121" s="655">
        <v>33.75</v>
      </c>
      <c r="F121" s="50" cm="1" t="str">
        <f t="array" ref="F121:F121">OFFSET(E121,-1,1)</f>
        <v>1</v>
      </c>
      <c r="G121" s="1240"/>
      <c r="H121" s="491" t="s">
        <v>1525</v>
      </c>
      <c r="I121" s="1240"/>
      <c r="J121" s="1240"/>
      <c r="K121" s="1240"/>
      <c r="L121" s="1240"/>
      <c r="M121" s="1240"/>
      <c r="N121" s="1240"/>
      <c r="O121" s="1240"/>
      <c r="P121" s="1240"/>
      <c r="Q121" s="1240"/>
      <c r="R121" s="1240"/>
      <c r="S121" s="1240"/>
      <c r="T121" s="468" cm="1" t="str">
        <f t="array" ref="T121:T121">T120</f>
        <v>true</v>
      </c>
      <c r="U121" s="1240"/>
      <c r="V121" s="1240"/>
      <c r="W121" s="1240"/>
      <c r="X121" s="1559"/>
      <c r="Y121" s="1240"/>
      <c r="Z121" s="1560"/>
      <c r="AA121" s="1240"/>
      <c r="AB121" s="721" t="s">
        <v>1526</v>
      </c>
      <c r="AC121" s="552" t="s">
        <v>2783</v>
      </c>
      <c r="AD121" s="551" t="s">
        <v>936</v>
      </c>
      <c r="AE121" s="560">
        <f>AE122+AE125</f>
        <v>0</v>
      </c>
      <c r="AF121" s="1308"/>
      <c r="AG121" s="1308"/>
      <c r="AH121" s="1009" t="s">
        <v>2007</v>
      </c>
      <c r="AI121" s="1309"/>
      <c r="AJ121" s="1309"/>
      <c r="AK121" s="1310"/>
      <c r="AL121" s="1310"/>
      <c r="AM121" s="1656"/>
      <c r="AN121" s="1656"/>
      <c r="AO121" s="1656"/>
      <c r="AP121" s="1656"/>
    </row>
    <row s="1656" customFormat="1" customHeight="1" ht="21.75">
      <c r="A122" s="673"/>
      <c r="B122" s="1240"/>
      <c r="C122" s="1240"/>
      <c r="D122" s="1240"/>
      <c r="E122" s="655">
        <v>22.5</v>
      </c>
      <c r="F122" s="50" cm="1" t="str">
        <f t="array" ref="F122:F122">OFFSET(E122,-1,1)</f>
        <v>1</v>
      </c>
      <c r="G122" s="1240"/>
      <c r="H122" s="491" t="s">
        <v>2784</v>
      </c>
      <c r="I122" s="1240"/>
      <c r="J122" s="1240"/>
      <c r="K122" s="1240"/>
      <c r="L122" s="1240"/>
      <c r="M122" s="1240"/>
      <c r="N122" s="1240"/>
      <c r="O122" s="1240"/>
      <c r="P122" s="1240"/>
      <c r="Q122" s="1240"/>
      <c r="R122" s="1240"/>
      <c r="S122" s="1240"/>
      <c r="T122" s="468" cm="1" t="str">
        <f t="array" ref="T122:T122">T121</f>
        <v>true</v>
      </c>
      <c r="U122" s="1240"/>
      <c r="V122" s="1240"/>
      <c r="W122" s="1240"/>
      <c r="X122" s="1559"/>
      <c r="Y122" s="1240"/>
      <c r="Z122" s="1560"/>
      <c r="AA122" s="1240"/>
      <c r="AB122" s="721" t="s">
        <v>2785</v>
      </c>
      <c r="AC122" s="1293" t="s">
        <v>2786</v>
      </c>
      <c r="AD122" s="551" t="s">
        <v>936</v>
      </c>
      <c r="AE122" s="1356"/>
      <c r="AF122" s="1308"/>
      <c r="AG122" s="1308"/>
      <c r="AH122" s="1009" t="s">
        <v>2009</v>
      </c>
      <c r="AI122" s="1309"/>
      <c r="AJ122" s="1309"/>
      <c r="AK122" s="1310"/>
      <c r="AL122" s="1310"/>
      <c r="AM122" s="1656"/>
      <c r="AN122" s="1656"/>
      <c r="AO122" s="1656"/>
      <c r="AP122" s="1656"/>
    </row>
    <row s="1656" customFormat="1" customHeight="1" ht="21.75">
      <c r="A123" s="673"/>
      <c r="B123" s="1240"/>
      <c r="C123" s="1240"/>
      <c r="D123" s="1240"/>
      <c r="E123" s="655">
        <v>22.5</v>
      </c>
      <c r="F123" s="50" cm="1" t="str">
        <f t="array" ref="F123:F123">OFFSET(E123,-1,1)</f>
        <v>1</v>
      </c>
      <c r="G123" s="1240"/>
      <c r="H123" s="491" t="s">
        <v>2787</v>
      </c>
      <c r="I123" s="1240"/>
      <c r="J123" s="1240"/>
      <c r="K123" s="1240"/>
      <c r="L123" s="1240"/>
      <c r="M123" s="1240"/>
      <c r="N123" s="1240"/>
      <c r="O123" s="1240"/>
      <c r="P123" s="1240"/>
      <c r="Q123" s="1240"/>
      <c r="R123" s="1240"/>
      <c r="S123" s="1240"/>
      <c r="T123" s="468" cm="1" t="str">
        <f t="array" ref="T123:T123">T122</f>
        <v>true</v>
      </c>
      <c r="U123" s="1240"/>
      <c r="V123" s="1240"/>
      <c r="W123" s="1240"/>
      <c r="X123" s="1559"/>
      <c r="Y123" s="1240"/>
      <c r="Z123" s="1560"/>
      <c r="AA123" s="1240"/>
      <c r="AB123" s="721" t="s">
        <v>2788</v>
      </c>
      <c r="AC123" s="1294" t="s">
        <v>2789</v>
      </c>
      <c r="AD123" s="551" t="s">
        <v>2790</v>
      </c>
      <c r="AE123" s="1356"/>
      <c r="AF123" s="1308"/>
      <c r="AG123" s="1308"/>
      <c r="AH123" s="1009" t="s">
        <v>2791</v>
      </c>
      <c r="AI123" s="1309"/>
      <c r="AJ123" s="1309"/>
      <c r="AK123" s="1310"/>
      <c r="AL123" s="1310"/>
      <c r="AM123" s="1656"/>
      <c r="AN123" s="1656"/>
      <c r="AO123" s="1656"/>
      <c r="AP123" s="1656"/>
    </row>
    <row s="1656" customFormat="1" customHeight="1" ht="21.75">
      <c r="A124" s="673"/>
      <c r="B124" s="1240"/>
      <c r="C124" s="1240"/>
      <c r="D124" s="1240"/>
      <c r="E124" s="655">
        <v>22.5</v>
      </c>
      <c r="F124" s="50" cm="1" t="str">
        <f t="array" ref="F124:F124">OFFSET(E124,-1,1)</f>
        <v>1</v>
      </c>
      <c r="G124" s="1240"/>
      <c r="H124" s="491" t="s">
        <v>2792</v>
      </c>
      <c r="I124" s="1240"/>
      <c r="J124" s="1240"/>
      <c r="K124" s="1240"/>
      <c r="L124" s="1240"/>
      <c r="M124" s="1240"/>
      <c r="N124" s="1240"/>
      <c r="O124" s="1240"/>
      <c r="P124" s="1240"/>
      <c r="Q124" s="1240"/>
      <c r="R124" s="1240"/>
      <c r="S124" s="1240"/>
      <c r="T124" s="468" cm="1" t="str">
        <f t="array" ref="T124:T124">T123</f>
        <v>true</v>
      </c>
      <c r="U124" s="1240"/>
      <c r="V124" s="1240"/>
      <c r="W124" s="1240"/>
      <c r="X124" s="1559"/>
      <c r="Y124" s="1240"/>
      <c r="Z124" s="1560"/>
      <c r="AA124" s="1240"/>
      <c r="AB124" s="721" t="s">
        <v>2793</v>
      </c>
      <c r="AC124" s="554" t="s">
        <v>2794</v>
      </c>
      <c r="AD124" s="551" t="s">
        <v>2795</v>
      </c>
      <c r="AE124" s="1356"/>
      <c r="AF124" s="1308"/>
      <c r="AG124" s="1308"/>
      <c r="AH124" s="1009" t="s">
        <v>2796</v>
      </c>
      <c r="AI124" s="1309"/>
      <c r="AJ124" s="1309"/>
      <c r="AK124" s="1310"/>
      <c r="AL124" s="1310"/>
      <c r="AM124" s="1656"/>
      <c r="AN124" s="1656"/>
      <c r="AO124" s="1656"/>
      <c r="AP124" s="1656"/>
    </row>
    <row s="1656" customFormat="1" customHeight="1" ht="21.75">
      <c r="A125" s="673"/>
      <c r="B125" s="1240"/>
      <c r="C125" s="1240"/>
      <c r="D125" s="1240"/>
      <c r="E125" s="655">
        <v>22.5</v>
      </c>
      <c r="F125" s="50" cm="1" t="str">
        <f t="array" ref="F125:F125">OFFSET(E125,-1,1)</f>
        <v>1</v>
      </c>
      <c r="G125" s="1240"/>
      <c r="H125" s="491" t="s">
        <v>2797</v>
      </c>
      <c r="I125" s="1240"/>
      <c r="J125" s="1240"/>
      <c r="K125" s="1240"/>
      <c r="L125" s="1240"/>
      <c r="M125" s="1240"/>
      <c r="N125" s="1240"/>
      <c r="O125" s="1240"/>
      <c r="P125" s="1240"/>
      <c r="Q125" s="1240"/>
      <c r="R125" s="1240"/>
      <c r="S125" s="1240"/>
      <c r="T125" s="468" cm="1" t="str">
        <f t="array" ref="T125:T125">T124</f>
        <v>true</v>
      </c>
      <c r="U125" s="1240"/>
      <c r="V125" s="1240"/>
      <c r="W125" s="1240"/>
      <c r="X125" s="1559"/>
      <c r="Y125" s="1240"/>
      <c r="Z125" s="1560"/>
      <c r="AA125" s="1240"/>
      <c r="AB125" s="721" t="s">
        <v>2798</v>
      </c>
      <c r="AC125" s="553" t="s">
        <v>2799</v>
      </c>
      <c r="AD125" s="551" t="s">
        <v>936</v>
      </c>
      <c r="AE125" s="1356"/>
      <c r="AF125" s="1308"/>
      <c r="AG125" s="1308"/>
      <c r="AH125" s="1009" t="s">
        <v>2011</v>
      </c>
      <c r="AI125" s="1309"/>
      <c r="AJ125" s="1309"/>
      <c r="AK125" s="1310"/>
      <c r="AL125" s="1310"/>
      <c r="AM125" s="1656"/>
      <c r="AN125" s="1656"/>
      <c r="AO125" s="1656"/>
      <c r="AP125" s="1656"/>
    </row>
    <row s="1656" customFormat="1" customHeight="1" ht="14.25">
      <c r="A126" s="673"/>
      <c r="B126" s="1240"/>
      <c r="C126" s="1240"/>
      <c r="D126" s="1240"/>
      <c r="E126" s="655">
        <v>15</v>
      </c>
      <c r="F126" s="50" cm="1" t="str">
        <f t="array" ref="F126:F126">OFFSET(E126,-1,1)</f>
        <v>1</v>
      </c>
      <c r="G126" s="1240"/>
      <c r="H126" s="491" t="s">
        <v>1529</v>
      </c>
      <c r="I126" s="1240"/>
      <c r="J126" s="1240"/>
      <c r="K126" s="1240"/>
      <c r="L126" s="1240"/>
      <c r="M126" s="1240"/>
      <c r="N126" s="1240"/>
      <c r="O126" s="1240"/>
      <c r="P126" s="1240"/>
      <c r="Q126" s="1240"/>
      <c r="R126" s="1240"/>
      <c r="S126" s="1240"/>
      <c r="T126" s="468" cm="1" t="str">
        <f t="array" ref="T126:T126">T125</f>
        <v>true</v>
      </c>
      <c r="U126" s="1240"/>
      <c r="V126" s="1240"/>
      <c r="W126" s="1240"/>
      <c r="X126" s="1559"/>
      <c r="Y126" s="1240"/>
      <c r="Z126" s="1560"/>
      <c r="AA126" s="1240"/>
      <c r="AB126" s="721" t="s">
        <v>1530</v>
      </c>
      <c r="AC126" s="552" t="s">
        <v>2800</v>
      </c>
      <c r="AD126" s="551" t="s">
        <v>936</v>
      </c>
      <c r="AE126" s="1356"/>
      <c r="AF126" s="1308"/>
      <c r="AG126" s="1308"/>
      <c r="AH126" s="1009" t="s">
        <v>2363</v>
      </c>
      <c r="AI126" s="1309"/>
      <c r="AJ126" s="1309"/>
      <c r="AK126" s="1310"/>
      <c r="AL126" s="1310"/>
      <c r="AM126" s="1656"/>
      <c r="AN126" s="1656"/>
      <c r="AO126" s="1656"/>
      <c r="AP126" s="1656"/>
    </row>
    <row s="1656" customFormat="1" customHeight="1" ht="14.25">
      <c r="A127" s="673"/>
      <c r="B127" s="1240"/>
      <c r="C127" s="1240"/>
      <c r="D127" s="1240"/>
      <c r="E127" s="655">
        <v>15</v>
      </c>
      <c r="F127" s="50" cm="1" t="str">
        <f t="array" ref="F127:F127">OFFSET(E127,-1,1)</f>
        <v>1</v>
      </c>
      <c r="G127" s="1240"/>
      <c r="H127" s="491" t="s">
        <v>2801</v>
      </c>
      <c r="I127" s="1240"/>
      <c r="J127" s="1240"/>
      <c r="K127" s="1240"/>
      <c r="L127" s="1240"/>
      <c r="M127" s="1240"/>
      <c r="N127" s="1240"/>
      <c r="O127" s="1240"/>
      <c r="P127" s="1240"/>
      <c r="Q127" s="1240"/>
      <c r="R127" s="1240"/>
      <c r="S127" s="1240"/>
      <c r="T127" s="468" cm="1" t="str">
        <f t="array" ref="T127:T127">T126</f>
        <v>true</v>
      </c>
      <c r="U127" s="1240"/>
      <c r="V127" s="1240"/>
      <c r="W127" s="1240"/>
      <c r="X127" s="1559"/>
      <c r="Y127" s="1240"/>
      <c r="Z127" s="1560"/>
      <c r="AA127" s="1240"/>
      <c r="AB127" s="721" t="s">
        <v>1533</v>
      </c>
      <c r="AC127" s="552" t="s">
        <v>2188</v>
      </c>
      <c r="AD127" s="551" t="s">
        <v>936</v>
      </c>
      <c r="AE127" s="1356"/>
      <c r="AF127" s="1308"/>
      <c r="AG127" s="1308"/>
      <c r="AH127" s="1009" t="s">
        <v>2016</v>
      </c>
      <c r="AI127" s="1309"/>
      <c r="AJ127" s="1309"/>
      <c r="AK127" s="1310"/>
      <c r="AL127" s="1310"/>
      <c r="AM127" s="1656"/>
      <c r="AN127" s="1656"/>
      <c r="AO127" s="1656"/>
      <c r="AP127" s="1656"/>
    </row>
    <row s="1656" customFormat="1" customHeight="1" ht="14.25">
      <c r="A128" s="673"/>
      <c r="B128" s="1240"/>
      <c r="C128" s="1240"/>
      <c r="D128" s="1240"/>
      <c r="E128" s="655">
        <v>15</v>
      </c>
      <c r="F128" s="50" cm="1" t="str">
        <f t="array" ref="F128:F128">OFFSET(E128,-1,1)</f>
        <v>1</v>
      </c>
      <c r="G128" s="1240"/>
      <c r="H128" s="491" t="s">
        <v>2802</v>
      </c>
      <c r="I128" s="1240"/>
      <c r="J128" s="1240"/>
      <c r="K128" s="1240"/>
      <c r="L128" s="1240"/>
      <c r="M128" s="1240"/>
      <c r="N128" s="1240"/>
      <c r="O128" s="1240"/>
      <c r="P128" s="1240"/>
      <c r="Q128" s="1240"/>
      <c r="R128" s="1240"/>
      <c r="S128" s="1240"/>
      <c r="T128" s="468" cm="1" t="str">
        <f t="array" ref="T128:T128">T127</f>
        <v>true</v>
      </c>
      <c r="U128" s="1240"/>
      <c r="V128" s="1240"/>
      <c r="W128" s="1240"/>
      <c r="X128" s="1559"/>
      <c r="Y128" s="1240"/>
      <c r="Z128" s="1560"/>
      <c r="AA128" s="1240"/>
      <c r="AB128" s="721" t="s">
        <v>2803</v>
      </c>
      <c r="AC128" s="552" t="s">
        <v>2804</v>
      </c>
      <c r="AD128" s="551" t="s">
        <v>936</v>
      </c>
      <c r="AE128" s="560">
        <f>SUM(AE129:AE135)</f>
        <v>0</v>
      </c>
      <c r="AF128" s="1308"/>
      <c r="AG128" s="1308"/>
      <c r="AH128" s="1009" t="s">
        <v>2020</v>
      </c>
      <c r="AI128" s="1309"/>
      <c r="AJ128" s="1309"/>
      <c r="AK128" s="1310"/>
      <c r="AL128" s="1310"/>
      <c r="AM128" s="1656"/>
      <c r="AN128" s="1656"/>
      <c r="AO128" s="1656"/>
      <c r="AP128" s="1656"/>
    </row>
    <row s="1656" customFormat="1" customHeight="1" ht="14.25">
      <c r="A129" s="673"/>
      <c r="B129" s="1240"/>
      <c r="C129" s="1240"/>
      <c r="D129" s="1240"/>
      <c r="E129" s="655">
        <v>15</v>
      </c>
      <c r="F129" s="50" cm="1" t="str">
        <f t="array" ref="F129:F129">OFFSET(E129,-1,1)</f>
        <v>1</v>
      </c>
      <c r="G129" s="1240"/>
      <c r="H129" s="491" t="s">
        <v>2805</v>
      </c>
      <c r="I129" s="1240"/>
      <c r="J129" s="1240"/>
      <c r="K129" s="1240"/>
      <c r="L129" s="1240"/>
      <c r="M129" s="1240"/>
      <c r="N129" s="1240"/>
      <c r="O129" s="1240"/>
      <c r="P129" s="1240"/>
      <c r="Q129" s="1240"/>
      <c r="R129" s="1240"/>
      <c r="S129" s="1240"/>
      <c r="T129" s="468" cm="1" t="str">
        <f t="array" ref="T129:T129">T128</f>
        <v>true</v>
      </c>
      <c r="U129" s="1240"/>
      <c r="V129" s="1240"/>
      <c r="W129" s="1240"/>
      <c r="X129" s="1559"/>
      <c r="Y129" s="1240"/>
      <c r="Z129" s="1560"/>
      <c r="AA129" s="1240"/>
      <c r="AB129" s="721" t="s">
        <v>2806</v>
      </c>
      <c r="AC129" s="553" t="s">
        <v>2027</v>
      </c>
      <c r="AD129" s="551" t="s">
        <v>936</v>
      </c>
      <c r="AE129" s="1356"/>
      <c r="AF129" s="1308"/>
      <c r="AG129" s="1308"/>
      <c r="AH129" s="1009" t="s">
        <v>2807</v>
      </c>
      <c r="AI129" s="1309"/>
      <c r="AJ129" s="1309"/>
      <c r="AK129" s="1310"/>
      <c r="AL129" s="1310"/>
      <c r="AM129" s="1656"/>
      <c r="AN129" s="1656"/>
      <c r="AO129" s="1656"/>
      <c r="AP129" s="1656"/>
    </row>
    <row s="1656" customFormat="1" customHeight="1" ht="21.75">
      <c r="A130" s="673"/>
      <c r="B130" s="1240"/>
      <c r="C130" s="1240"/>
      <c r="D130" s="1240"/>
      <c r="E130" s="655">
        <v>22.5</v>
      </c>
      <c r="F130" s="50" cm="1" t="str">
        <f t="array" ref="F130:F130">OFFSET(E130,-1,1)</f>
        <v>1</v>
      </c>
      <c r="G130" s="1240"/>
      <c r="H130" s="491" t="s">
        <v>2808</v>
      </c>
      <c r="I130" s="1240"/>
      <c r="J130" s="1240"/>
      <c r="K130" s="1240"/>
      <c r="L130" s="1240"/>
      <c r="M130" s="1240"/>
      <c r="N130" s="1240"/>
      <c r="O130" s="1240"/>
      <c r="P130" s="1240"/>
      <c r="Q130" s="1240"/>
      <c r="R130" s="1240"/>
      <c r="S130" s="1240"/>
      <c r="T130" s="468" cm="1" t="str">
        <f t="array" ref="T130:T130">T129</f>
        <v>true</v>
      </c>
      <c r="U130" s="1240"/>
      <c r="V130" s="1240"/>
      <c r="W130" s="1240"/>
      <c r="X130" s="1559"/>
      <c r="Y130" s="1240"/>
      <c r="Z130" s="1560"/>
      <c r="AA130" s="1240"/>
      <c r="AB130" s="721" t="s">
        <v>2809</v>
      </c>
      <c r="AC130" s="553" t="s">
        <v>2196</v>
      </c>
      <c r="AD130" s="551" t="s">
        <v>936</v>
      </c>
      <c r="AE130" s="1356"/>
      <c r="AF130" s="1308"/>
      <c r="AG130" s="1308"/>
      <c r="AH130" s="1072" t="s">
        <v>2197</v>
      </c>
      <c r="AI130" s="1309"/>
      <c r="AJ130" s="1309"/>
      <c r="AK130" s="1310"/>
      <c r="AL130" s="1310"/>
      <c r="AM130" s="1656"/>
      <c r="AN130" s="1656"/>
      <c r="AO130" s="1656"/>
      <c r="AP130" s="1656"/>
    </row>
    <row s="1656" customFormat="1" customHeight="1" ht="21.75">
      <c r="A131" s="673"/>
      <c r="B131" s="1240"/>
      <c r="C131" s="1240"/>
      <c r="D131" s="1240"/>
      <c r="E131" s="655">
        <v>22.5</v>
      </c>
      <c r="F131" s="50" cm="1" t="str">
        <f t="array" ref="F131:F131">OFFSET(E131,-1,1)</f>
        <v>1</v>
      </c>
      <c r="G131" s="1240"/>
      <c r="H131" s="491" t="s">
        <v>2810</v>
      </c>
      <c r="I131" s="1240"/>
      <c r="J131" s="1240"/>
      <c r="K131" s="1240"/>
      <c r="L131" s="1240"/>
      <c r="M131" s="1240"/>
      <c r="N131" s="1240"/>
      <c r="O131" s="1240"/>
      <c r="P131" s="1240"/>
      <c r="Q131" s="1240"/>
      <c r="R131" s="1240"/>
      <c r="S131" s="1240"/>
      <c r="T131" s="468" cm="1" t="str">
        <f t="array" ref="T131:T131">T130</f>
        <v>true</v>
      </c>
      <c r="U131" s="1240"/>
      <c r="V131" s="1240"/>
      <c r="W131" s="1240"/>
      <c r="X131" s="1559"/>
      <c r="Y131" s="1240"/>
      <c r="Z131" s="1560"/>
      <c r="AA131" s="1240"/>
      <c r="AB131" s="721" t="s">
        <v>2811</v>
      </c>
      <c r="AC131" s="553" t="s">
        <v>2200</v>
      </c>
      <c r="AD131" s="551" t="s">
        <v>936</v>
      </c>
      <c r="AE131" s="1356"/>
      <c r="AF131" s="1308"/>
      <c r="AG131" s="1308"/>
      <c r="AH131" s="1072" t="s">
        <v>2201</v>
      </c>
      <c r="AI131" s="1309"/>
      <c r="AJ131" s="1309"/>
      <c r="AK131" s="1310"/>
      <c r="AL131" s="1310"/>
      <c r="AM131" s="1656"/>
      <c r="AN131" s="1656"/>
      <c r="AO131" s="1656"/>
      <c r="AP131" s="1656"/>
    </row>
    <row s="1656" customFormat="1" customHeight="1" ht="21.75">
      <c r="A132" s="673"/>
      <c r="B132" s="1240"/>
      <c r="C132" s="1240"/>
      <c r="D132" s="1240"/>
      <c r="E132" s="655">
        <v>22.5</v>
      </c>
      <c r="F132" s="50" cm="1" t="str">
        <f t="array" ref="F132:F132">OFFSET(E132,-1,1)</f>
        <v>1</v>
      </c>
      <c r="G132" s="1240"/>
      <c r="H132" s="491" t="s">
        <v>2812</v>
      </c>
      <c r="I132" s="1240"/>
      <c r="J132" s="1240"/>
      <c r="K132" s="1240"/>
      <c r="L132" s="1240"/>
      <c r="M132" s="1240"/>
      <c r="N132" s="1240"/>
      <c r="O132" s="1240"/>
      <c r="P132" s="1240"/>
      <c r="Q132" s="1240"/>
      <c r="R132" s="1240"/>
      <c r="S132" s="1240"/>
      <c r="T132" s="468" cm="1" t="str">
        <f t="array" ref="T132:T132">T131</f>
        <v>true</v>
      </c>
      <c r="U132" s="1240"/>
      <c r="V132" s="1240"/>
      <c r="W132" s="1240"/>
      <c r="X132" s="1559"/>
      <c r="Y132" s="1240"/>
      <c r="Z132" s="1560"/>
      <c r="AA132" s="1240"/>
      <c r="AB132" s="721" t="s">
        <v>2813</v>
      </c>
      <c r="AC132" s="553" t="s">
        <v>2814</v>
      </c>
      <c r="AD132" s="551" t="s">
        <v>936</v>
      </c>
      <c r="AE132" s="1356"/>
      <c r="AF132" s="1308"/>
      <c r="AG132" s="1308"/>
      <c r="AH132" s="1072" t="s">
        <v>2205</v>
      </c>
      <c r="AI132" s="1309"/>
      <c r="AJ132" s="1309"/>
      <c r="AK132" s="1310"/>
      <c r="AL132" s="1310"/>
      <c r="AM132" s="1656"/>
      <c r="AN132" s="1656"/>
      <c r="AO132" s="1656"/>
      <c r="AP132" s="1656"/>
    </row>
    <row s="1656" customFormat="1" customHeight="1" ht="54.75">
      <c r="A133" s="673"/>
      <c r="B133" s="1240"/>
      <c r="C133" s="1240"/>
      <c r="D133" s="1240"/>
      <c r="E133" s="655">
        <v>56.25</v>
      </c>
      <c r="F133" s="50" cm="1" t="str">
        <f t="array" ref="F133:F133">OFFSET(E133,-1,1)</f>
        <v>1</v>
      </c>
      <c r="G133" s="1240"/>
      <c r="H133" s="491" t="s">
        <v>2815</v>
      </c>
      <c r="I133" s="1240"/>
      <c r="J133" s="1240"/>
      <c r="K133" s="1240"/>
      <c r="L133" s="1240"/>
      <c r="M133" s="1240"/>
      <c r="N133" s="1240"/>
      <c r="O133" s="1240"/>
      <c r="P133" s="1240"/>
      <c r="Q133" s="1240"/>
      <c r="R133" s="1240"/>
      <c r="S133" s="1240"/>
      <c r="T133" s="468" cm="1" t="str">
        <f t="array" ref="T133:T133">T132</f>
        <v>true</v>
      </c>
      <c r="U133" s="1240"/>
      <c r="V133" s="1240"/>
      <c r="W133" s="1240"/>
      <c r="X133" s="1559"/>
      <c r="Y133" s="1240"/>
      <c r="Z133" s="1560"/>
      <c r="AA133" s="1240"/>
      <c r="AB133" s="721" t="s">
        <v>2816</v>
      </c>
      <c r="AC133" s="553" t="s">
        <v>2208</v>
      </c>
      <c r="AD133" s="551" t="s">
        <v>936</v>
      </c>
      <c r="AE133" s="1356"/>
      <c r="AF133" s="1308"/>
      <c r="AG133" s="1308"/>
      <c r="AH133" s="1072" t="s">
        <v>2032</v>
      </c>
      <c r="AI133" s="1309"/>
      <c r="AJ133" s="1309"/>
      <c r="AK133" s="1310"/>
      <c r="AL133" s="1310"/>
      <c r="AM133" s="1656"/>
      <c r="AN133" s="1656"/>
      <c r="AO133" s="1656"/>
      <c r="AP133" s="1656"/>
    </row>
    <row s="1656" customFormat="1" customHeight="1" ht="14.25">
      <c r="A134" s="673"/>
      <c r="B134" s="1240"/>
      <c r="C134" s="1240"/>
      <c r="D134" s="1240"/>
      <c r="E134" s="655">
        <v>15</v>
      </c>
      <c r="F134" s="50" cm="1" t="str">
        <f t="array" ref="F134:F134">OFFSET(E134,-1,1)</f>
        <v>1</v>
      </c>
      <c r="G134" s="1240"/>
      <c r="H134" s="491" t="s">
        <v>2817</v>
      </c>
      <c r="I134" s="1240"/>
      <c r="J134" s="1240"/>
      <c r="K134" s="1240"/>
      <c r="L134" s="1240"/>
      <c r="M134" s="1240"/>
      <c r="N134" s="1240"/>
      <c r="O134" s="1240"/>
      <c r="P134" s="1240"/>
      <c r="Q134" s="1240"/>
      <c r="R134" s="1240"/>
      <c r="S134" s="1240"/>
      <c r="T134" s="468" cm="1" t="str">
        <f t="array" ref="T134:T134">T133</f>
        <v>true</v>
      </c>
      <c r="U134" s="1240"/>
      <c r="V134" s="1240"/>
      <c r="W134" s="1240"/>
      <c r="X134" s="1559"/>
      <c r="Y134" s="1240"/>
      <c r="Z134" s="1560"/>
      <c r="AA134" s="1240"/>
      <c r="AB134" s="721" t="s">
        <v>2818</v>
      </c>
      <c r="AC134" s="553" t="s">
        <v>2035</v>
      </c>
      <c r="AD134" s="551" t="s">
        <v>936</v>
      </c>
      <c r="AE134" s="1356"/>
      <c r="AF134" s="1308"/>
      <c r="AG134" s="1308"/>
      <c r="AH134" s="1072" t="s">
        <v>2036</v>
      </c>
      <c r="AI134" s="1309"/>
      <c r="AJ134" s="1309"/>
      <c r="AK134" s="1310"/>
      <c r="AL134" s="1310"/>
      <c r="AM134" s="1656"/>
      <c r="AN134" s="1656"/>
      <c r="AO134" s="1656"/>
      <c r="AP134" s="1656"/>
    </row>
    <row s="1656" customFormat="1" customHeight="1" ht="14.25">
      <c r="A135" s="673"/>
      <c r="B135" s="1240"/>
      <c r="C135" s="1240"/>
      <c r="D135" s="1240"/>
      <c r="E135" s="655">
        <v>15</v>
      </c>
      <c r="F135" s="50" cm="1" t="str">
        <f t="array" ref="F135:F135">OFFSET(E135,-1,1)</f>
        <v>1</v>
      </c>
      <c r="G135" s="1240"/>
      <c r="H135" s="491" t="s">
        <v>2819</v>
      </c>
      <c r="I135" s="1240"/>
      <c r="J135" s="1240"/>
      <c r="K135" s="1240"/>
      <c r="L135" s="1240"/>
      <c r="M135" s="1240"/>
      <c r="N135" s="1240"/>
      <c r="O135" s="1240"/>
      <c r="P135" s="1240"/>
      <c r="Q135" s="1240"/>
      <c r="R135" s="1240"/>
      <c r="S135" s="1240"/>
      <c r="T135" s="468" cm="1" t="str">
        <f t="array" ref="T135:T135">T134</f>
        <v>true</v>
      </c>
      <c r="U135" s="1240"/>
      <c r="V135" s="1240"/>
      <c r="W135" s="1240"/>
      <c r="X135" s="1559"/>
      <c r="Y135" s="1240"/>
      <c r="Z135" s="1560"/>
      <c r="AA135" s="1240"/>
      <c r="AB135" s="721" t="s">
        <v>2820</v>
      </c>
      <c r="AC135" s="553" t="s">
        <v>1440</v>
      </c>
      <c r="AD135" s="551" t="s">
        <v>936</v>
      </c>
      <c r="AE135" s="1356"/>
      <c r="AF135" s="1308"/>
      <c r="AG135" s="1308"/>
      <c r="AH135" s="1072" t="s">
        <v>2020</v>
      </c>
      <c r="AI135" s="1309"/>
      <c r="AJ135" s="1309"/>
      <c r="AK135" s="1310"/>
      <c r="AL135" s="1310"/>
      <c r="AM135" s="1656"/>
      <c r="AN135" s="1656"/>
      <c r="AO135" s="1656"/>
      <c r="AP135" s="1656"/>
    </row>
    <row s="1656" customFormat="1" customHeight="1" ht="14.25">
      <c r="A136" s="673"/>
      <c r="B136" s="1240"/>
      <c r="C136" s="1240"/>
      <c r="D136" s="1240"/>
      <c r="E136" s="655">
        <v>15</v>
      </c>
      <c r="F136" s="50" cm="1" t="str">
        <f t="array" ref="F136:F136">OFFSET(E136,-1,1)</f>
        <v>1</v>
      </c>
      <c r="G136" s="1240"/>
      <c r="H136" s="491" t="s">
        <v>570</v>
      </c>
      <c r="I136" s="1240"/>
      <c r="J136" s="1240"/>
      <c r="K136" s="1240"/>
      <c r="L136" s="1240"/>
      <c r="M136" s="1240"/>
      <c r="N136" s="1240"/>
      <c r="O136" s="1240"/>
      <c r="P136" s="1240"/>
      <c r="Q136" s="1240"/>
      <c r="R136" s="1240"/>
      <c r="S136" s="1240"/>
      <c r="T136" s="468" cm="1" t="str">
        <f t="array" ref="T136:T136">T135</f>
        <v>true</v>
      </c>
      <c r="U136" s="1240"/>
      <c r="V136" s="1240"/>
      <c r="W136" s="1240"/>
      <c r="X136" s="1559"/>
      <c r="Y136" s="1240"/>
      <c r="Z136" s="1560"/>
      <c r="AA136" s="1240"/>
      <c r="AB136" s="721" t="s">
        <v>1070</v>
      </c>
      <c r="AC136" s="550" t="s">
        <v>2821</v>
      </c>
      <c r="AD136" s="551" t="s">
        <v>936</v>
      </c>
      <c r="AE136" s="560">
        <f>AE137+AE138+AE139</f>
        <v>0</v>
      </c>
      <c r="AF136" s="1308"/>
      <c r="AG136" s="1308"/>
      <c r="AH136" s="1071" t="s">
        <v>2040</v>
      </c>
      <c r="AI136" s="1309"/>
      <c r="AJ136" s="1309"/>
      <c r="AK136" s="1310"/>
      <c r="AL136" s="1310"/>
      <c r="AM136" s="1656"/>
      <c r="AN136" s="1656"/>
      <c r="AO136" s="1656"/>
      <c r="AP136" s="1656"/>
    </row>
    <row s="1656" customFormat="1" customHeight="1" ht="14.25">
      <c r="A137" s="673"/>
      <c r="B137" s="1240"/>
      <c r="C137" s="1240"/>
      <c r="D137" s="1240"/>
      <c r="E137" s="655">
        <v>15</v>
      </c>
      <c r="F137" s="50" cm="1" t="str">
        <f t="array" ref="F137:F137">OFFSET(E137,-1,1)</f>
        <v>1</v>
      </c>
      <c r="G137" s="1240"/>
      <c r="H137" s="491" t="s">
        <v>1550</v>
      </c>
      <c r="I137" s="1240"/>
      <c r="J137" s="1240"/>
      <c r="K137" s="1240"/>
      <c r="L137" s="1240"/>
      <c r="M137" s="1240"/>
      <c r="N137" s="1240"/>
      <c r="O137" s="1240"/>
      <c r="P137" s="1240"/>
      <c r="Q137" s="1240"/>
      <c r="R137" s="1240"/>
      <c r="S137" s="1240"/>
      <c r="T137" s="468" cm="1" t="str">
        <f t="array" ref="T137:T137">T136</f>
        <v>true</v>
      </c>
      <c r="U137" s="1240"/>
      <c r="V137" s="1240"/>
      <c r="W137" s="1240"/>
      <c r="X137" s="1559"/>
      <c r="Y137" s="1240"/>
      <c r="Z137" s="1560"/>
      <c r="AA137" s="1240"/>
      <c r="AB137" s="721" t="s">
        <v>1551</v>
      </c>
      <c r="AC137" s="552" t="s">
        <v>2822</v>
      </c>
      <c r="AD137" s="551" t="s">
        <v>936</v>
      </c>
      <c r="AE137" s="1356"/>
      <c r="AF137" s="1308"/>
      <c r="AG137" s="1308"/>
      <c r="AH137" s="1070" t="s">
        <v>2042</v>
      </c>
      <c r="AI137" s="1309"/>
      <c r="AJ137" s="1309"/>
      <c r="AK137" s="1310"/>
      <c r="AL137" s="1310"/>
      <c r="AM137" s="1656"/>
      <c r="AN137" s="1656"/>
      <c r="AO137" s="1656"/>
      <c r="AP137" s="1656"/>
    </row>
    <row s="1656" customFormat="1" customHeight="1" ht="14.25">
      <c r="A138" s="673"/>
      <c r="B138" s="1240"/>
      <c r="C138" s="1240"/>
      <c r="D138" s="1240"/>
      <c r="E138" s="655">
        <v>15</v>
      </c>
      <c r="F138" s="50" cm="1" t="str">
        <f t="array" ref="F138:F138">OFFSET(E138,-1,1)</f>
        <v>1</v>
      </c>
      <c r="G138" s="1240"/>
      <c r="H138" s="491" t="s">
        <v>1553</v>
      </c>
      <c r="I138" s="1240"/>
      <c r="J138" s="1240"/>
      <c r="K138" s="1240"/>
      <c r="L138" s="1240"/>
      <c r="M138" s="1240"/>
      <c r="N138" s="1240"/>
      <c r="O138" s="1240"/>
      <c r="P138" s="1240"/>
      <c r="Q138" s="1240"/>
      <c r="R138" s="1240"/>
      <c r="S138" s="1240"/>
      <c r="T138" s="468" cm="1" t="str">
        <f t="array" ref="T138:T138">T137</f>
        <v>true</v>
      </c>
      <c r="U138" s="1240"/>
      <c r="V138" s="1240"/>
      <c r="W138" s="1240"/>
      <c r="X138" s="1559"/>
      <c r="Y138" s="1240"/>
      <c r="Z138" s="1560"/>
      <c r="AA138" s="1240"/>
      <c r="AB138" s="721" t="s">
        <v>1554</v>
      </c>
      <c r="AC138" s="552" t="s">
        <v>2823</v>
      </c>
      <c r="AD138" s="551" t="s">
        <v>936</v>
      </c>
      <c r="AE138" s="1356"/>
      <c r="AF138" s="1308"/>
      <c r="AG138" s="1308"/>
      <c r="AH138" s="1072" t="s">
        <v>2216</v>
      </c>
      <c r="AI138" s="1309"/>
      <c r="AJ138" s="1309"/>
      <c r="AK138" s="1310"/>
      <c r="AL138" s="1310"/>
      <c r="AM138" s="1656"/>
      <c r="AN138" s="1656"/>
      <c r="AO138" s="1656"/>
      <c r="AP138" s="1656"/>
    </row>
    <row s="1656" customFormat="1" customHeight="1" ht="21.75">
      <c r="A139" s="673"/>
      <c r="B139" s="1240"/>
      <c r="C139" s="1240"/>
      <c r="D139" s="1240"/>
      <c r="E139" s="655">
        <v>22.5</v>
      </c>
      <c r="F139" s="50" cm="1" t="str">
        <f t="array" ref="F139:F139">OFFSET(E139,-1,1)</f>
        <v>1</v>
      </c>
      <c r="G139" s="1240"/>
      <c r="H139" s="491" t="s">
        <v>1557</v>
      </c>
      <c r="I139" s="1240"/>
      <c r="J139" s="1240"/>
      <c r="K139" s="1240"/>
      <c r="L139" s="1240"/>
      <c r="M139" s="1240"/>
      <c r="N139" s="1240"/>
      <c r="O139" s="1240"/>
      <c r="P139" s="1240"/>
      <c r="Q139" s="1240"/>
      <c r="R139" s="1240"/>
      <c r="S139" s="1240"/>
      <c r="T139" s="468" cm="1" t="str">
        <f t="array" ref="T139:T139">T138</f>
        <v>true</v>
      </c>
      <c r="U139" s="1240"/>
      <c r="V139" s="1240"/>
      <c r="W139" s="1240"/>
      <c r="X139" s="1559"/>
      <c r="Y139" s="1240"/>
      <c r="Z139" s="1560"/>
      <c r="AA139" s="1240"/>
      <c r="AB139" s="721" t="s">
        <v>1558</v>
      </c>
      <c r="AC139" s="552" t="s">
        <v>2824</v>
      </c>
      <c r="AD139" s="551" t="s">
        <v>936</v>
      </c>
      <c r="AE139" s="560">
        <f>AE140+AE143</f>
        <v>0</v>
      </c>
      <c r="AF139" s="1308"/>
      <c r="AG139" s="1308"/>
      <c r="AH139" s="1070" t="s">
        <v>2044</v>
      </c>
      <c r="AI139" s="1309"/>
      <c r="AJ139" s="1309"/>
      <c r="AK139" s="1310"/>
      <c r="AL139" s="1310"/>
      <c r="AM139" s="1656"/>
      <c r="AN139" s="1656"/>
      <c r="AO139" s="1656"/>
      <c r="AP139" s="1656"/>
    </row>
    <row s="1656" customFormat="1" customHeight="1" ht="14.25">
      <c r="A140" s="673"/>
      <c r="B140" s="1240"/>
      <c r="C140" s="1240"/>
      <c r="D140" s="1240"/>
      <c r="E140" s="655">
        <v>15</v>
      </c>
      <c r="F140" s="50" cm="1" t="str">
        <f t="array" ref="F140:F140">OFFSET(E140,-1,1)</f>
        <v>1</v>
      </c>
      <c r="G140" s="1240"/>
      <c r="H140" s="491" t="s">
        <v>1712</v>
      </c>
      <c r="I140" s="1240"/>
      <c r="J140" s="1240"/>
      <c r="K140" s="1240"/>
      <c r="L140" s="1240"/>
      <c r="M140" s="1240"/>
      <c r="N140" s="1240"/>
      <c r="O140" s="1240"/>
      <c r="P140" s="1240"/>
      <c r="Q140" s="1240"/>
      <c r="R140" s="1240"/>
      <c r="S140" s="1240"/>
      <c r="T140" s="468" cm="1" t="str">
        <f t="array" ref="T140:T140">T139</f>
        <v>true</v>
      </c>
      <c r="U140" s="1240"/>
      <c r="V140" s="1240"/>
      <c r="W140" s="1240"/>
      <c r="X140" s="1559"/>
      <c r="Y140" s="1240"/>
      <c r="Z140" s="1560"/>
      <c r="AA140" s="1240"/>
      <c r="AB140" s="721" t="s">
        <v>2185</v>
      </c>
      <c r="AC140" s="553" t="s">
        <v>2046</v>
      </c>
      <c r="AD140" s="551" t="s">
        <v>936</v>
      </c>
      <c r="AE140" s="1356"/>
      <c r="AF140" s="1308"/>
      <c r="AG140" s="1308"/>
      <c r="AH140" s="1070" t="s">
        <v>2047</v>
      </c>
      <c r="AI140" s="1309"/>
      <c r="AJ140" s="1309"/>
      <c r="AK140" s="1310"/>
      <c r="AL140" s="1310"/>
      <c r="AM140" s="1656"/>
      <c r="AN140" s="1656"/>
      <c r="AO140" s="1656"/>
      <c r="AP140" s="1656"/>
    </row>
    <row s="1656" customFormat="1" customHeight="1" ht="14.25">
      <c r="A141" s="673"/>
      <c r="B141" s="1240"/>
      <c r="C141" s="1240"/>
      <c r="D141" s="1240"/>
      <c r="E141" s="655">
        <v>15</v>
      </c>
      <c r="F141" s="50" cm="1" t="str">
        <f t="array" ref="F141:F141">OFFSET(E141,-1,1)</f>
        <v>1</v>
      </c>
      <c r="G141" s="1240"/>
      <c r="H141" s="491" t="s">
        <v>2825</v>
      </c>
      <c r="I141" s="1240"/>
      <c r="J141" s="1240"/>
      <c r="K141" s="1240"/>
      <c r="L141" s="1240"/>
      <c r="M141" s="1240"/>
      <c r="N141" s="1240"/>
      <c r="O141" s="1240"/>
      <c r="P141" s="1240"/>
      <c r="Q141" s="1240"/>
      <c r="R141" s="1240"/>
      <c r="S141" s="1240"/>
      <c r="T141" s="468" cm="1" t="str">
        <f t="array" ref="T141:T141">T140</f>
        <v>true</v>
      </c>
      <c r="U141" s="1240"/>
      <c r="V141" s="1240"/>
      <c r="W141" s="1240"/>
      <c r="X141" s="1559"/>
      <c r="Y141" s="1240"/>
      <c r="Z141" s="1560"/>
      <c r="AA141" s="1240"/>
      <c r="AB141" s="721" t="s">
        <v>2826</v>
      </c>
      <c r="AC141" s="554" t="s">
        <v>2827</v>
      </c>
      <c r="AD141" s="551" t="s">
        <v>2790</v>
      </c>
      <c r="AE141" s="1356"/>
      <c r="AF141" s="1308"/>
      <c r="AG141" s="1308"/>
      <c r="AH141" s="1009" t="s">
        <v>2828</v>
      </c>
      <c r="AI141" s="1309"/>
      <c r="AJ141" s="1309"/>
      <c r="AK141" s="1310"/>
      <c r="AL141" s="1310"/>
      <c r="AM141" s="1656"/>
      <c r="AN141" s="1656"/>
      <c r="AO141" s="1656"/>
      <c r="AP141" s="1656"/>
    </row>
    <row s="1656" customFormat="1" customHeight="1" ht="14.25">
      <c r="A142" s="673"/>
      <c r="B142" s="1240"/>
      <c r="C142" s="1240"/>
      <c r="D142" s="1240"/>
      <c r="E142" s="655">
        <v>15</v>
      </c>
      <c r="F142" s="50" cm="1" t="str">
        <f t="array" ref="F142:F142">OFFSET(E142,-1,1)</f>
        <v>1</v>
      </c>
      <c r="G142" s="1240"/>
      <c r="H142" s="491" t="s">
        <v>2829</v>
      </c>
      <c r="I142" s="1240"/>
      <c r="J142" s="1240"/>
      <c r="K142" s="1240"/>
      <c r="L142" s="1240"/>
      <c r="M142" s="1240"/>
      <c r="N142" s="1240"/>
      <c r="O142" s="1240"/>
      <c r="P142" s="1240"/>
      <c r="Q142" s="1240"/>
      <c r="R142" s="1240"/>
      <c r="S142" s="1240"/>
      <c r="T142" s="468" cm="1" t="str">
        <f t="array" ref="T142:T142">T141</f>
        <v>true</v>
      </c>
      <c r="U142" s="1240"/>
      <c r="V142" s="1240"/>
      <c r="W142" s="1240"/>
      <c r="X142" s="1559"/>
      <c r="Y142" s="1240"/>
      <c r="Z142" s="1560"/>
      <c r="AA142" s="1240"/>
      <c r="AB142" s="721" t="s">
        <v>2830</v>
      </c>
      <c r="AC142" s="554" t="s">
        <v>2831</v>
      </c>
      <c r="AD142" s="551" t="s">
        <v>2795</v>
      </c>
      <c r="AE142" s="1356"/>
      <c r="AF142" s="1308"/>
      <c r="AG142" s="1308"/>
      <c r="AH142" s="1009" t="s">
        <v>2832</v>
      </c>
      <c r="AI142" s="1309"/>
      <c r="AJ142" s="1309"/>
      <c r="AK142" s="1310"/>
      <c r="AL142" s="1310"/>
      <c r="AM142" s="1656"/>
      <c r="AN142" s="1656"/>
      <c r="AO142" s="1656"/>
      <c r="AP142" s="1656"/>
    </row>
    <row s="1656" customFormat="1" customHeight="1" ht="21.75">
      <c r="A143" s="673"/>
      <c r="B143" s="1240"/>
      <c r="C143" s="1240"/>
      <c r="D143" s="1240"/>
      <c r="E143" s="655">
        <v>22.5</v>
      </c>
      <c r="F143" s="50" cm="1" t="str">
        <f t="array" ref="F143:F143">OFFSET(E143,-1,1)</f>
        <v>1</v>
      </c>
      <c r="G143" s="1240"/>
      <c r="H143" s="491" t="s">
        <v>1716</v>
      </c>
      <c r="I143" s="1240"/>
      <c r="J143" s="1240"/>
      <c r="K143" s="1240"/>
      <c r="L143" s="1240"/>
      <c r="M143" s="1240"/>
      <c r="N143" s="1240"/>
      <c r="O143" s="1240"/>
      <c r="P143" s="1240"/>
      <c r="Q143" s="1240"/>
      <c r="R143" s="1240"/>
      <c r="S143" s="1240"/>
      <c r="T143" s="468" cm="1" t="str">
        <f t="array" ref="T143:T143">T142</f>
        <v>true</v>
      </c>
      <c r="U143" s="1240"/>
      <c r="V143" s="1240"/>
      <c r="W143" s="1240"/>
      <c r="X143" s="1559"/>
      <c r="Y143" s="1240"/>
      <c r="Z143" s="1560"/>
      <c r="AA143" s="1240"/>
      <c r="AB143" s="721" t="s">
        <v>2186</v>
      </c>
      <c r="AC143" s="553" t="s">
        <v>2222</v>
      </c>
      <c r="AD143" s="551" t="s">
        <v>936</v>
      </c>
      <c r="AE143" s="1356"/>
      <c r="AF143" s="1308"/>
      <c r="AG143" s="1308"/>
      <c r="AH143" s="1070" t="s">
        <v>2050</v>
      </c>
      <c r="AI143" s="1309"/>
      <c r="AJ143" s="1309"/>
      <c r="AK143" s="1310"/>
      <c r="AL143" s="1310"/>
      <c r="AM143" s="1656"/>
      <c r="AN143" s="1656"/>
      <c r="AO143" s="1656"/>
      <c r="AP143" s="1656"/>
    </row>
    <row s="1656" customFormat="1" customHeight="1" ht="14.25">
      <c r="A144" s="673"/>
      <c r="B144" s="1240"/>
      <c r="C144" s="1240"/>
      <c r="D144" s="1240"/>
      <c r="E144" s="655">
        <v>15</v>
      </c>
      <c r="F144" s="50" cm="1" t="str">
        <f t="array" ref="F144:F144">OFFSET(E144,-1,1)</f>
        <v>1</v>
      </c>
      <c r="G144" s="1240"/>
      <c r="H144" s="491" t="s">
        <v>573</v>
      </c>
      <c r="I144" s="1240"/>
      <c r="J144" s="1240"/>
      <c r="K144" s="1240"/>
      <c r="L144" s="1240"/>
      <c r="M144" s="1240"/>
      <c r="N144" s="1240"/>
      <c r="O144" s="1240"/>
      <c r="P144" s="1240"/>
      <c r="Q144" s="1240"/>
      <c r="R144" s="1240"/>
      <c r="S144" s="1240"/>
      <c r="T144" s="468" cm="1" t="str">
        <f t="array" ref="T144:T144">T143</f>
        <v>true</v>
      </c>
      <c r="U144" s="1240"/>
      <c r="V144" s="1240"/>
      <c r="W144" s="1240"/>
      <c r="X144" s="1559"/>
      <c r="Y144" s="1240"/>
      <c r="Z144" s="1560"/>
      <c r="AA144" s="1240"/>
      <c r="AB144" s="721" t="s">
        <v>1073</v>
      </c>
      <c r="AC144" s="550" t="s">
        <v>2223</v>
      </c>
      <c r="AD144" s="551" t="s">
        <v>936</v>
      </c>
      <c r="AE144" s="560">
        <f>AE145+AE151+AE156+AE157+AE158+AE159+AE160</f>
        <v>0</v>
      </c>
      <c r="AF144" s="1308"/>
      <c r="AG144" s="1308"/>
      <c r="AH144" s="1071" t="s">
        <v>2052</v>
      </c>
      <c r="AI144" s="1309"/>
      <c r="AJ144" s="1309"/>
      <c r="AK144" s="1310"/>
      <c r="AL144" s="1310"/>
      <c r="AM144" s="1656"/>
      <c r="AN144" s="1656"/>
      <c r="AO144" s="1656"/>
      <c r="AP144" s="1656"/>
    </row>
    <row s="1656" customFormat="1" customHeight="1" ht="21.75">
      <c r="A145" s="673"/>
      <c r="B145" s="1240"/>
      <c r="C145" s="1240"/>
      <c r="D145" s="1240"/>
      <c r="E145" s="655">
        <v>22.5</v>
      </c>
      <c r="F145" s="50" cm="1" t="str">
        <f t="array" ref="F145:F145">OFFSET(E145,-1,1)</f>
        <v>1</v>
      </c>
      <c r="G145" s="1240"/>
      <c r="H145" s="491" t="s">
        <v>1563</v>
      </c>
      <c r="I145" s="1240"/>
      <c r="J145" s="1240"/>
      <c r="K145" s="1240"/>
      <c r="L145" s="1240"/>
      <c r="M145" s="1240"/>
      <c r="N145" s="1240"/>
      <c r="O145" s="1240"/>
      <c r="P145" s="1240"/>
      <c r="Q145" s="1240"/>
      <c r="R145" s="1240"/>
      <c r="S145" s="1240"/>
      <c r="T145" s="468" cm="1" t="str">
        <f t="array" ref="T145:T145">T144</f>
        <v>true</v>
      </c>
      <c r="U145" s="1240"/>
      <c r="V145" s="1240"/>
      <c r="W145" s="1240"/>
      <c r="X145" s="1559"/>
      <c r="Y145" s="1240"/>
      <c r="Z145" s="1560"/>
      <c r="AA145" s="1240"/>
      <c r="AB145" s="721" t="s">
        <v>1564</v>
      </c>
      <c r="AC145" s="552" t="s">
        <v>2053</v>
      </c>
      <c r="AD145" s="551" t="s">
        <v>936</v>
      </c>
      <c r="AE145" s="560">
        <f>SUM(AE146:AE150)</f>
        <v>0</v>
      </c>
      <c r="AF145" s="1308"/>
      <c r="AG145" s="1308"/>
      <c r="AH145" s="1070" t="s">
        <v>1393</v>
      </c>
      <c r="AI145" s="1309"/>
      <c r="AJ145" s="1309"/>
      <c r="AK145" s="1310"/>
      <c r="AL145" s="1310"/>
      <c r="AM145" s="1656"/>
      <c r="AN145" s="1656"/>
      <c r="AO145" s="1656"/>
      <c r="AP145" s="1656"/>
    </row>
    <row s="1656" customFormat="1" customHeight="1" ht="14.25">
      <c r="A146" s="673"/>
      <c r="B146" s="1240"/>
      <c r="C146" s="1240"/>
      <c r="D146" s="1240"/>
      <c r="E146" s="655">
        <v>15</v>
      </c>
      <c r="F146" s="50" cm="1" t="str">
        <f t="array" ref="F146:F146">OFFSET(E146,-1,1)</f>
        <v>1</v>
      </c>
      <c r="G146" s="1240"/>
      <c r="H146" s="491" t="s">
        <v>2833</v>
      </c>
      <c r="I146" s="1240"/>
      <c r="J146" s="1240"/>
      <c r="K146" s="1240"/>
      <c r="L146" s="1240"/>
      <c r="M146" s="1240"/>
      <c r="N146" s="1240"/>
      <c r="O146" s="1240"/>
      <c r="P146" s="1240"/>
      <c r="Q146" s="1240"/>
      <c r="R146" s="1240"/>
      <c r="S146" s="1240"/>
      <c r="T146" s="468" cm="1" t="str">
        <f t="array" ref="T146:T146">T145</f>
        <v>true</v>
      </c>
      <c r="U146" s="1240"/>
      <c r="V146" s="1240"/>
      <c r="W146" s="1240"/>
      <c r="X146" s="1559"/>
      <c r="Y146" s="1240"/>
      <c r="Z146" s="1560"/>
      <c r="AA146" s="1240"/>
      <c r="AB146" s="721" t="s">
        <v>2834</v>
      </c>
      <c r="AC146" s="553" t="s">
        <v>1395</v>
      </c>
      <c r="AD146" s="551" t="s">
        <v>936</v>
      </c>
      <c r="AE146" s="1356"/>
      <c r="AF146" s="1308"/>
      <c r="AG146" s="1308"/>
      <c r="AH146" s="1072" t="s">
        <v>1396</v>
      </c>
      <c r="AI146" s="1309"/>
      <c r="AJ146" s="1309"/>
      <c r="AK146" s="1310"/>
      <c r="AL146" s="1310"/>
      <c r="AM146" s="1656"/>
      <c r="AN146" s="1656"/>
      <c r="AO146" s="1656"/>
      <c r="AP146" s="1656"/>
    </row>
    <row s="1656" customFormat="1" customHeight="1" ht="14.25">
      <c r="A147" s="673"/>
      <c r="B147" s="1240"/>
      <c r="C147" s="1240"/>
      <c r="D147" s="1240"/>
      <c r="E147" s="655">
        <v>15</v>
      </c>
      <c r="F147" s="50" cm="1" t="str">
        <f t="array" ref="F147:F147">OFFSET(E147,-1,1)</f>
        <v>1</v>
      </c>
      <c r="G147" s="1240"/>
      <c r="H147" s="491" t="s">
        <v>2835</v>
      </c>
      <c r="I147" s="1240"/>
      <c r="J147" s="1240"/>
      <c r="K147" s="1240"/>
      <c r="L147" s="1240"/>
      <c r="M147" s="1240"/>
      <c r="N147" s="1240"/>
      <c r="O147" s="1240"/>
      <c r="P147" s="1240"/>
      <c r="Q147" s="1240"/>
      <c r="R147" s="1240"/>
      <c r="S147" s="1240"/>
      <c r="T147" s="468" cm="1" t="str">
        <f t="array" ref="T147:T147">T146</f>
        <v>true</v>
      </c>
      <c r="U147" s="1240"/>
      <c r="V147" s="1240"/>
      <c r="W147" s="1240"/>
      <c r="X147" s="1559"/>
      <c r="Y147" s="1240"/>
      <c r="Z147" s="1560"/>
      <c r="AA147" s="1240"/>
      <c r="AB147" s="721" t="s">
        <v>2836</v>
      </c>
      <c r="AC147" s="553" t="s">
        <v>1398</v>
      </c>
      <c r="AD147" s="551" t="s">
        <v>936</v>
      </c>
      <c r="AE147" s="1356"/>
      <c r="AF147" s="1308"/>
      <c r="AG147" s="1308"/>
      <c r="AH147" s="1072" t="s">
        <v>1399</v>
      </c>
      <c r="AI147" s="1309"/>
      <c r="AJ147" s="1309"/>
      <c r="AK147" s="1310"/>
      <c r="AL147" s="1310"/>
      <c r="AM147" s="1656"/>
      <c r="AN147" s="1656"/>
      <c r="AO147" s="1656"/>
      <c r="AP147" s="1656"/>
    </row>
    <row s="1656" customFormat="1" customHeight="1" ht="14.25">
      <c r="A148" s="673"/>
      <c r="B148" s="1240"/>
      <c r="C148" s="1240"/>
      <c r="D148" s="1240"/>
      <c r="E148" s="655">
        <v>15</v>
      </c>
      <c r="F148" s="50" cm="1" t="str">
        <f t="array" ref="F148:F148">OFFSET(E148,-1,1)</f>
        <v>1</v>
      </c>
      <c r="G148" s="1240"/>
      <c r="H148" s="491" t="s">
        <v>2837</v>
      </c>
      <c r="I148" s="1240"/>
      <c r="J148" s="1240"/>
      <c r="K148" s="1240"/>
      <c r="L148" s="1240"/>
      <c r="M148" s="1240"/>
      <c r="N148" s="1240"/>
      <c r="O148" s="1240"/>
      <c r="P148" s="1240"/>
      <c r="Q148" s="1240"/>
      <c r="R148" s="1240"/>
      <c r="S148" s="1240"/>
      <c r="T148" s="468" cm="1" t="str">
        <f t="array" ref="T148:T148">T147</f>
        <v>true</v>
      </c>
      <c r="U148" s="1240"/>
      <c r="V148" s="1240"/>
      <c r="W148" s="1240"/>
      <c r="X148" s="1559"/>
      <c r="Y148" s="1240"/>
      <c r="Z148" s="1560"/>
      <c r="AA148" s="1240"/>
      <c r="AB148" s="721" t="s">
        <v>2838</v>
      </c>
      <c r="AC148" s="553" t="s">
        <v>1401</v>
      </c>
      <c r="AD148" s="551" t="s">
        <v>936</v>
      </c>
      <c r="AE148" s="1356"/>
      <c r="AF148" s="1308"/>
      <c r="AG148" s="1308"/>
      <c r="AH148" s="1072" t="s">
        <v>1402</v>
      </c>
      <c r="AI148" s="1309"/>
      <c r="AJ148" s="1309"/>
      <c r="AK148" s="1310"/>
      <c r="AL148" s="1310"/>
      <c r="AM148" s="1656"/>
      <c r="AN148" s="1656"/>
      <c r="AO148" s="1656"/>
      <c r="AP148" s="1656"/>
    </row>
    <row s="1656" customFormat="1" customHeight="1" ht="14.25">
      <c r="A149" s="673"/>
      <c r="B149" s="1240"/>
      <c r="C149" s="1240"/>
      <c r="D149" s="1240"/>
      <c r="E149" s="655">
        <v>15</v>
      </c>
      <c r="F149" s="50" cm="1" t="str">
        <f t="array" ref="F149:F149">OFFSET(E149,-1,1)</f>
        <v>1</v>
      </c>
      <c r="G149" s="1240"/>
      <c r="H149" s="491" t="s">
        <v>2839</v>
      </c>
      <c r="I149" s="1240"/>
      <c r="J149" s="1240"/>
      <c r="K149" s="1240"/>
      <c r="L149" s="1240"/>
      <c r="M149" s="1240"/>
      <c r="N149" s="1240"/>
      <c r="O149" s="1240"/>
      <c r="P149" s="1240"/>
      <c r="Q149" s="1240"/>
      <c r="R149" s="1240"/>
      <c r="S149" s="1240"/>
      <c r="T149" s="468" cm="1" t="str">
        <f t="array" ref="T149:T149">T148</f>
        <v>true</v>
      </c>
      <c r="U149" s="1240"/>
      <c r="V149" s="1240"/>
      <c r="W149" s="1240"/>
      <c r="X149" s="1559"/>
      <c r="Y149" s="1240"/>
      <c r="Z149" s="1560"/>
      <c r="AA149" s="1240"/>
      <c r="AB149" s="721" t="s">
        <v>2840</v>
      </c>
      <c r="AC149" s="553" t="s">
        <v>1404</v>
      </c>
      <c r="AD149" s="551" t="s">
        <v>936</v>
      </c>
      <c r="AE149" s="1356"/>
      <c r="AF149" s="1308"/>
      <c r="AG149" s="1308"/>
      <c r="AH149" s="1072" t="s">
        <v>1405</v>
      </c>
      <c r="AI149" s="1309"/>
      <c r="AJ149" s="1309"/>
      <c r="AK149" s="1310"/>
      <c r="AL149" s="1310"/>
      <c r="AM149" s="1656"/>
      <c r="AN149" s="1656"/>
      <c r="AO149" s="1656"/>
      <c r="AP149" s="1656"/>
    </row>
    <row s="1656" customFormat="1" customHeight="1" ht="14.25">
      <c r="A150" s="673"/>
      <c r="B150" s="1240"/>
      <c r="C150" s="1240"/>
      <c r="D150" s="1240"/>
      <c r="E150" s="655">
        <v>15</v>
      </c>
      <c r="F150" s="50" cm="1" t="str">
        <f t="array" ref="F150:F150">OFFSET(E150,-1,1)</f>
        <v>1</v>
      </c>
      <c r="G150" s="1240"/>
      <c r="H150" s="491" t="s">
        <v>2841</v>
      </c>
      <c r="I150" s="1240"/>
      <c r="J150" s="1240"/>
      <c r="K150" s="1240"/>
      <c r="L150" s="1240"/>
      <c r="M150" s="1240"/>
      <c r="N150" s="1240"/>
      <c r="O150" s="1240"/>
      <c r="P150" s="1240"/>
      <c r="Q150" s="1240"/>
      <c r="R150" s="1240"/>
      <c r="S150" s="1240"/>
      <c r="T150" s="468" cm="1" t="str">
        <f t="array" ref="T150:T150">T149</f>
        <v>true</v>
      </c>
      <c r="U150" s="1240"/>
      <c r="V150" s="1240"/>
      <c r="W150" s="1240"/>
      <c r="X150" s="1559"/>
      <c r="Y150" s="1240"/>
      <c r="Z150" s="1560"/>
      <c r="AA150" s="1240"/>
      <c r="AB150" s="721" t="s">
        <v>2842</v>
      </c>
      <c r="AC150" s="553" t="s">
        <v>1412</v>
      </c>
      <c r="AD150" s="551" t="s">
        <v>936</v>
      </c>
      <c r="AE150" s="1356"/>
      <c r="AF150" s="1308"/>
      <c r="AG150" s="1308"/>
      <c r="AH150" s="1072" t="s">
        <v>1413</v>
      </c>
      <c r="AI150" s="1309"/>
      <c r="AJ150" s="1309"/>
      <c r="AK150" s="1310"/>
      <c r="AL150" s="1310"/>
      <c r="AM150" s="1656"/>
      <c r="AN150" s="1656"/>
      <c r="AO150" s="1656"/>
      <c r="AP150" s="1656"/>
    </row>
    <row s="1656" customFormat="1" customHeight="1" ht="32.25">
      <c r="A151" s="673"/>
      <c r="B151" s="1240"/>
      <c r="C151" s="1240"/>
      <c r="D151" s="1240"/>
      <c r="E151" s="655">
        <v>33.75</v>
      </c>
      <c r="F151" s="50" cm="1" t="str">
        <f t="array" ref="F151:F151">OFFSET(E151,-1,1)</f>
        <v>1</v>
      </c>
      <c r="G151" s="1240"/>
      <c r="H151" s="491" t="s">
        <v>1567</v>
      </c>
      <c r="I151" s="1240"/>
      <c r="J151" s="1240"/>
      <c r="K151" s="1240"/>
      <c r="L151" s="1240"/>
      <c r="M151" s="1240"/>
      <c r="N151" s="1240"/>
      <c r="O151" s="1240"/>
      <c r="P151" s="1240"/>
      <c r="Q151" s="1240"/>
      <c r="R151" s="1240"/>
      <c r="S151" s="1240"/>
      <c r="T151" s="468" cm="1" t="str">
        <f t="array" ref="T151:T151">T150</f>
        <v>true</v>
      </c>
      <c r="U151" s="1240"/>
      <c r="V151" s="1240"/>
      <c r="W151" s="1240"/>
      <c r="X151" s="1559"/>
      <c r="Y151" s="1240"/>
      <c r="Z151" s="1560"/>
      <c r="AA151" s="1240"/>
      <c r="AB151" s="721" t="s">
        <v>1568</v>
      </c>
      <c r="AC151" s="552" t="s">
        <v>2843</v>
      </c>
      <c r="AD151" s="551" t="s">
        <v>936</v>
      </c>
      <c r="AE151" s="560">
        <f>AE152+AE155</f>
        <v>0</v>
      </c>
      <c r="AF151" s="1308"/>
      <c r="AG151" s="1308"/>
      <c r="AH151" s="1070" t="s">
        <v>2055</v>
      </c>
      <c r="AI151" s="1309"/>
      <c r="AJ151" s="1309"/>
      <c r="AK151" s="1310"/>
      <c r="AL151" s="1310"/>
      <c r="AM151" s="1656"/>
      <c r="AN151" s="1656"/>
      <c r="AO151" s="1656"/>
      <c r="AP151" s="1656"/>
    </row>
    <row s="1656" customFormat="1" customHeight="1" ht="21.75">
      <c r="A152" s="673"/>
      <c r="B152" s="1240"/>
      <c r="C152" s="1240"/>
      <c r="D152" s="1240"/>
      <c r="E152" s="655">
        <v>22.5</v>
      </c>
      <c r="F152" s="50" cm="1" t="str">
        <f t="array" ref="F152:F152">OFFSET(E152,-1,1)</f>
        <v>1</v>
      </c>
      <c r="G152" s="1240"/>
      <c r="H152" s="491" t="s">
        <v>2844</v>
      </c>
      <c r="I152" s="1240"/>
      <c r="J152" s="1240"/>
      <c r="K152" s="1240"/>
      <c r="L152" s="1240"/>
      <c r="M152" s="1240"/>
      <c r="N152" s="1240"/>
      <c r="O152" s="1240"/>
      <c r="P152" s="1240"/>
      <c r="Q152" s="1240"/>
      <c r="R152" s="1240"/>
      <c r="S152" s="1240"/>
      <c r="T152" s="468" cm="1" t="str">
        <f t="array" ref="T152:T152">T151</f>
        <v>true</v>
      </c>
      <c r="U152" s="1240"/>
      <c r="V152" s="1240"/>
      <c r="W152" s="1240"/>
      <c r="X152" s="1559"/>
      <c r="Y152" s="1240"/>
      <c r="Z152" s="1560"/>
      <c r="AA152" s="1240"/>
      <c r="AB152" s="721" t="s">
        <v>2845</v>
      </c>
      <c r="AC152" s="553" t="s">
        <v>2056</v>
      </c>
      <c r="AD152" s="551" t="s">
        <v>936</v>
      </c>
      <c r="AE152" s="1356"/>
      <c r="AF152" s="1308"/>
      <c r="AG152" s="1308"/>
      <c r="AH152" s="1070" t="s">
        <v>1390</v>
      </c>
      <c r="AI152" s="1309"/>
      <c r="AJ152" s="1309"/>
      <c r="AK152" s="1310"/>
      <c r="AL152" s="1310"/>
      <c r="AM152" s="1656"/>
      <c r="AN152" s="1656"/>
      <c r="AO152" s="1656"/>
      <c r="AP152" s="1656"/>
    </row>
    <row s="1656" customFormat="1" customHeight="1" ht="14.25">
      <c r="A153" s="673"/>
      <c r="B153" s="1240"/>
      <c r="C153" s="1240"/>
      <c r="D153" s="1240"/>
      <c r="E153" s="655">
        <v>15</v>
      </c>
      <c r="F153" s="50" cm="1" t="str">
        <f t="array" ref="F153:F153">OFFSET(E153,-1,1)</f>
        <v>1</v>
      </c>
      <c r="G153" s="1240"/>
      <c r="H153" s="491" t="s">
        <v>2846</v>
      </c>
      <c r="I153" s="1240"/>
      <c r="J153" s="1240"/>
      <c r="K153" s="1240"/>
      <c r="L153" s="1240"/>
      <c r="M153" s="1240"/>
      <c r="N153" s="1240"/>
      <c r="O153" s="1240"/>
      <c r="P153" s="1240"/>
      <c r="Q153" s="1240"/>
      <c r="R153" s="1240"/>
      <c r="S153" s="1240"/>
      <c r="T153" s="468" cm="1" t="str">
        <f t="array" ref="T153:T153">T152</f>
        <v>true</v>
      </c>
      <c r="U153" s="1240"/>
      <c r="V153" s="1240"/>
      <c r="W153" s="1240"/>
      <c r="X153" s="1559"/>
      <c r="Y153" s="1240"/>
      <c r="Z153" s="1560"/>
      <c r="AA153" s="1240"/>
      <c r="AB153" s="721" t="s">
        <v>2847</v>
      </c>
      <c r="AC153" s="554" t="s">
        <v>2848</v>
      </c>
      <c r="AD153" s="551" t="s">
        <v>2790</v>
      </c>
      <c r="AE153" s="1356"/>
      <c r="AF153" s="1308"/>
      <c r="AG153" s="1308"/>
      <c r="AH153" s="1009" t="s">
        <v>2849</v>
      </c>
      <c r="AI153" s="1309"/>
      <c r="AJ153" s="1309"/>
      <c r="AK153" s="1310"/>
      <c r="AL153" s="1310"/>
      <c r="AM153" s="1656"/>
      <c r="AN153" s="1656"/>
      <c r="AO153" s="1656"/>
      <c r="AP153" s="1656"/>
    </row>
    <row s="1656" customFormat="1" customHeight="1" ht="21.75">
      <c r="A154" s="673"/>
      <c r="B154" s="1240"/>
      <c r="C154" s="1240"/>
      <c r="D154" s="1240"/>
      <c r="E154" s="655">
        <v>22.5</v>
      </c>
      <c r="F154" s="50" cm="1" t="str">
        <f t="array" ref="F154:F154">OFFSET(E154,-1,1)</f>
        <v>1</v>
      </c>
      <c r="G154" s="1240"/>
      <c r="H154" s="491" t="s">
        <v>2850</v>
      </c>
      <c r="I154" s="1240"/>
      <c r="J154" s="1240"/>
      <c r="K154" s="1240"/>
      <c r="L154" s="1240"/>
      <c r="M154" s="1240"/>
      <c r="N154" s="1240"/>
      <c r="O154" s="1240"/>
      <c r="P154" s="1240"/>
      <c r="Q154" s="1240"/>
      <c r="R154" s="1240"/>
      <c r="S154" s="1240"/>
      <c r="T154" s="468" cm="1" t="str">
        <f t="array" ref="T154:T154">T153</f>
        <v>true</v>
      </c>
      <c r="U154" s="1240"/>
      <c r="V154" s="1240"/>
      <c r="W154" s="1240"/>
      <c r="X154" s="1559"/>
      <c r="Y154" s="1240"/>
      <c r="Z154" s="1560"/>
      <c r="AA154" s="1240"/>
      <c r="AB154" s="721" t="s">
        <v>2851</v>
      </c>
      <c r="AC154" s="554" t="s">
        <v>2852</v>
      </c>
      <c r="AD154" s="551" t="s">
        <v>2795</v>
      </c>
      <c r="AE154" s="1356"/>
      <c r="AF154" s="1308"/>
      <c r="AG154" s="1308"/>
      <c r="AH154" s="1009" t="s">
        <v>2853</v>
      </c>
      <c r="AI154" s="1309"/>
      <c r="AJ154" s="1309"/>
      <c r="AK154" s="1310"/>
      <c r="AL154" s="1310"/>
      <c r="AM154" s="1656"/>
      <c r="AN154" s="1656"/>
      <c r="AO154" s="1656"/>
      <c r="AP154" s="1656"/>
    </row>
    <row s="1656" customFormat="1" customHeight="1" ht="21.75">
      <c r="A155" s="673"/>
      <c r="B155" s="1240"/>
      <c r="C155" s="1240"/>
      <c r="D155" s="1240"/>
      <c r="E155" s="655">
        <v>22.5</v>
      </c>
      <c r="F155" s="50" cm="1" t="str">
        <f t="array" ref="F155:F155">OFFSET(E155,-1,1)</f>
        <v>1</v>
      </c>
      <c r="G155" s="1240"/>
      <c r="H155" s="491" t="s">
        <v>2854</v>
      </c>
      <c r="I155" s="1240"/>
      <c r="J155" s="1240"/>
      <c r="K155" s="1240"/>
      <c r="L155" s="1240"/>
      <c r="M155" s="1240"/>
      <c r="N155" s="1240"/>
      <c r="O155" s="1240"/>
      <c r="P155" s="1240"/>
      <c r="Q155" s="1240"/>
      <c r="R155" s="1240"/>
      <c r="S155" s="1240"/>
      <c r="T155" s="468" cm="1" t="str">
        <f t="array" ref="T155:T155">T154</f>
        <v>true</v>
      </c>
      <c r="U155" s="1240"/>
      <c r="V155" s="1240"/>
      <c r="W155" s="1240"/>
      <c r="X155" s="1559"/>
      <c r="Y155" s="1240"/>
      <c r="Z155" s="1560"/>
      <c r="AA155" s="1240"/>
      <c r="AB155" s="721" t="s">
        <v>2855</v>
      </c>
      <c r="AC155" s="553" t="s">
        <v>2246</v>
      </c>
      <c r="AD155" s="551" t="s">
        <v>936</v>
      </c>
      <c r="AE155" s="1356"/>
      <c r="AF155" s="1308"/>
      <c r="AG155" s="1308"/>
      <c r="AH155" s="1070" t="s">
        <v>2058</v>
      </c>
      <c r="AI155" s="1309"/>
      <c r="AJ155" s="1309"/>
      <c r="AK155" s="1310"/>
      <c r="AL155" s="1310"/>
      <c r="AM155" s="1656"/>
      <c r="AN155" s="1656"/>
      <c r="AO155" s="1656"/>
      <c r="AP155" s="1656"/>
    </row>
    <row s="1656" customFormat="1" customHeight="1" ht="21.75">
      <c r="A156" s="673"/>
      <c r="B156" s="1240"/>
      <c r="C156" s="1240"/>
      <c r="D156" s="1240"/>
      <c r="E156" s="655">
        <v>22.5</v>
      </c>
      <c r="F156" s="50" cm="1" t="str">
        <f t="array" ref="F156:F156">OFFSET(E156,-1,1)</f>
        <v>1</v>
      </c>
      <c r="G156" s="1240"/>
      <c r="H156" s="491" t="s">
        <v>1571</v>
      </c>
      <c r="I156" s="1240"/>
      <c r="J156" s="1240"/>
      <c r="K156" s="1240"/>
      <c r="L156" s="1240"/>
      <c r="M156" s="1240"/>
      <c r="N156" s="1240"/>
      <c r="O156" s="1240"/>
      <c r="P156" s="1240"/>
      <c r="Q156" s="1240"/>
      <c r="R156" s="1240"/>
      <c r="S156" s="1240"/>
      <c r="T156" s="468" cm="1" t="str">
        <f t="array" ref="T156:T156">T155</f>
        <v>true</v>
      </c>
      <c r="U156" s="1240"/>
      <c r="V156" s="1240"/>
      <c r="W156" s="1240"/>
      <c r="X156" s="1559"/>
      <c r="Y156" s="1240"/>
      <c r="Z156" s="1560"/>
      <c r="AA156" s="1240"/>
      <c r="AB156" s="721" t="s">
        <v>1572</v>
      </c>
      <c r="AC156" s="552" t="s">
        <v>2856</v>
      </c>
      <c r="AD156" s="551" t="s">
        <v>936</v>
      </c>
      <c r="AE156" s="1356"/>
      <c r="AF156" s="1308"/>
      <c r="AG156" s="1308"/>
      <c r="AH156" s="1070" t="s">
        <v>1421</v>
      </c>
      <c r="AI156" s="1309"/>
      <c r="AJ156" s="1309"/>
      <c r="AK156" s="1310"/>
      <c r="AL156" s="1310"/>
      <c r="AM156" s="1656"/>
      <c r="AN156" s="1656"/>
      <c r="AO156" s="1656"/>
      <c r="AP156" s="1656"/>
    </row>
    <row s="1656" customFormat="1" customHeight="1" ht="14.25">
      <c r="A157" s="673"/>
      <c r="B157" s="1240"/>
      <c r="C157" s="1240"/>
      <c r="D157" s="1240"/>
      <c r="E157" s="655">
        <v>15</v>
      </c>
      <c r="F157" s="50" cm="1" t="str">
        <f t="array" ref="F157:F157">OFFSET(E157,-1,1)</f>
        <v>1</v>
      </c>
      <c r="G157" s="1240"/>
      <c r="H157" s="491" t="s">
        <v>2857</v>
      </c>
      <c r="I157" s="1240"/>
      <c r="J157" s="1240"/>
      <c r="K157" s="1240"/>
      <c r="L157" s="1240"/>
      <c r="M157" s="1240"/>
      <c r="N157" s="1240"/>
      <c r="O157" s="1240"/>
      <c r="P157" s="1240"/>
      <c r="Q157" s="1240"/>
      <c r="R157" s="1240"/>
      <c r="S157" s="1240"/>
      <c r="T157" s="468" cm="1" t="str">
        <f t="array" ref="T157:T157">T156</f>
        <v>true</v>
      </c>
      <c r="U157" s="1240"/>
      <c r="V157" s="1240"/>
      <c r="W157" s="1240"/>
      <c r="X157" s="1559"/>
      <c r="Y157" s="1240"/>
      <c r="Z157" s="1560"/>
      <c r="AA157" s="1240"/>
      <c r="AB157" s="721" t="s">
        <v>2858</v>
      </c>
      <c r="AC157" s="552" t="s">
        <v>1423</v>
      </c>
      <c r="AD157" s="551" t="s">
        <v>936</v>
      </c>
      <c r="AE157" s="1356"/>
      <c r="AF157" s="1308"/>
      <c r="AG157" s="1308"/>
      <c r="AH157" s="1070" t="s">
        <v>1424</v>
      </c>
      <c r="AI157" s="1309"/>
      <c r="AJ157" s="1309"/>
      <c r="AK157" s="1310"/>
      <c r="AL157" s="1310"/>
      <c r="AM157" s="1656"/>
      <c r="AN157" s="1656"/>
      <c r="AO157" s="1656"/>
      <c r="AP157" s="1656"/>
    </row>
    <row s="1656" customFormat="1" customHeight="1" ht="14.25">
      <c r="A158" s="673"/>
      <c r="B158" s="1240"/>
      <c r="C158" s="1240"/>
      <c r="D158" s="1240"/>
      <c r="E158" s="655">
        <v>15</v>
      </c>
      <c r="F158" s="50" cm="1" t="str">
        <f t="array" ref="F158:F158">OFFSET(E158,-1,1)</f>
        <v>1</v>
      </c>
      <c r="G158" s="1240"/>
      <c r="H158" s="491" t="s">
        <v>2859</v>
      </c>
      <c r="I158" s="1240"/>
      <c r="J158" s="1240"/>
      <c r="K158" s="1240"/>
      <c r="L158" s="1240"/>
      <c r="M158" s="1240"/>
      <c r="N158" s="1240"/>
      <c r="O158" s="1240"/>
      <c r="P158" s="1240"/>
      <c r="Q158" s="1240"/>
      <c r="R158" s="1240"/>
      <c r="S158" s="1240"/>
      <c r="T158" s="468" cm="1" t="str">
        <f t="array" ref="T158:T158">T157</f>
        <v>true</v>
      </c>
      <c r="U158" s="1240"/>
      <c r="V158" s="1240"/>
      <c r="W158" s="1240"/>
      <c r="X158" s="1559"/>
      <c r="Y158" s="1240"/>
      <c r="Z158" s="1560"/>
      <c r="AA158" s="1240"/>
      <c r="AB158" s="721" t="s">
        <v>2860</v>
      </c>
      <c r="AC158" s="552" t="s">
        <v>1426</v>
      </c>
      <c r="AD158" s="551" t="s">
        <v>936</v>
      </c>
      <c r="AE158" s="1356"/>
      <c r="AF158" s="1308"/>
      <c r="AG158" s="1308"/>
      <c r="AH158" s="1070" t="s">
        <v>1427</v>
      </c>
      <c r="AI158" s="1309"/>
      <c r="AJ158" s="1309"/>
      <c r="AK158" s="1310"/>
      <c r="AL158" s="1310"/>
      <c r="AM158" s="1656"/>
      <c r="AN158" s="1656"/>
      <c r="AO158" s="1656"/>
      <c r="AP158" s="1656"/>
    </row>
    <row s="1656" customFormat="1" customHeight="1" ht="21.75">
      <c r="A159" s="673"/>
      <c r="B159" s="1240"/>
      <c r="C159" s="1240"/>
      <c r="D159" s="1240"/>
      <c r="E159" s="655">
        <v>22.5</v>
      </c>
      <c r="F159" s="50" cm="1" t="str">
        <f t="array" ref="F159:F159">OFFSET(E159,-1,1)</f>
        <v>1</v>
      </c>
      <c r="G159" s="1240"/>
      <c r="H159" s="491" t="s">
        <v>2861</v>
      </c>
      <c r="I159" s="1240"/>
      <c r="J159" s="1240"/>
      <c r="K159" s="1240"/>
      <c r="L159" s="1240"/>
      <c r="M159" s="1240"/>
      <c r="N159" s="1240"/>
      <c r="O159" s="1240"/>
      <c r="P159" s="1240"/>
      <c r="Q159" s="1240"/>
      <c r="R159" s="1240"/>
      <c r="S159" s="1240"/>
      <c r="T159" s="468" cm="1" t="str">
        <f t="array" ref="T159:T159">T158</f>
        <v>true</v>
      </c>
      <c r="U159" s="1240"/>
      <c r="V159" s="1240"/>
      <c r="W159" s="1240"/>
      <c r="X159" s="1559"/>
      <c r="Y159" s="1240"/>
      <c r="Z159" s="1560"/>
      <c r="AA159" s="1240"/>
      <c r="AB159" s="721" t="s">
        <v>2862</v>
      </c>
      <c r="AC159" s="552" t="s">
        <v>2863</v>
      </c>
      <c r="AD159" s="551" t="s">
        <v>936</v>
      </c>
      <c r="AE159" s="1356"/>
      <c r="AF159" s="1308"/>
      <c r="AG159" s="1308"/>
      <c r="AH159" s="1070" t="s">
        <v>2060</v>
      </c>
      <c r="AI159" s="1309"/>
      <c r="AJ159" s="1309"/>
      <c r="AK159" s="1310"/>
      <c r="AL159" s="1310"/>
      <c r="AM159" s="1656"/>
      <c r="AN159" s="1656"/>
      <c r="AO159" s="1656"/>
      <c r="AP159" s="1656"/>
    </row>
    <row s="1656" customFormat="1" customHeight="1" ht="14.25">
      <c r="A160" s="673"/>
      <c r="B160" s="1240"/>
      <c r="C160" s="1240"/>
      <c r="D160" s="1240"/>
      <c r="E160" s="655">
        <v>15</v>
      </c>
      <c r="F160" s="50" cm="1" t="str">
        <f t="array" ref="F160:F160">OFFSET(E160,-1,1)</f>
        <v>1</v>
      </c>
      <c r="G160" s="1240"/>
      <c r="H160" s="491" t="s">
        <v>2864</v>
      </c>
      <c r="I160" s="1240"/>
      <c r="J160" s="1240"/>
      <c r="K160" s="1240"/>
      <c r="L160" s="1240"/>
      <c r="M160" s="1240"/>
      <c r="N160" s="1240"/>
      <c r="O160" s="1240"/>
      <c r="P160" s="1240"/>
      <c r="Q160" s="1240"/>
      <c r="R160" s="1240"/>
      <c r="S160" s="1240"/>
      <c r="T160" s="468" cm="1" t="str">
        <f t="array" ref="T160:T160">T159</f>
        <v>true</v>
      </c>
      <c r="U160" s="1240"/>
      <c r="V160" s="1240"/>
      <c r="W160" s="1240"/>
      <c r="X160" s="1559"/>
      <c r="Y160" s="1240"/>
      <c r="Z160" s="1560"/>
      <c r="AA160" s="1240"/>
      <c r="AB160" s="721" t="s">
        <v>2865</v>
      </c>
      <c r="AC160" s="552" t="s">
        <v>2866</v>
      </c>
      <c r="AD160" s="551" t="s">
        <v>936</v>
      </c>
      <c r="AE160" s="560">
        <f>AE161+AE162+AE163</f>
        <v>0</v>
      </c>
      <c r="AF160" s="1308"/>
      <c r="AG160" s="1308"/>
      <c r="AH160" s="1070" t="s">
        <v>2062</v>
      </c>
      <c r="AI160" s="1309"/>
      <c r="AJ160" s="1309"/>
      <c r="AK160" s="1310"/>
      <c r="AL160" s="1310"/>
      <c r="AM160" s="1656"/>
      <c r="AN160" s="1656"/>
      <c r="AO160" s="1656"/>
      <c r="AP160" s="1656"/>
    </row>
    <row s="1656" customFormat="1" customHeight="1" ht="14.25">
      <c r="A161" s="673"/>
      <c r="B161" s="1240"/>
      <c r="C161" s="1240"/>
      <c r="D161" s="1240"/>
      <c r="E161" s="655">
        <v>15</v>
      </c>
      <c r="F161" s="50" cm="1" t="str">
        <f t="array" ref="F161:F161">OFFSET(E161,-1,1)</f>
        <v>1</v>
      </c>
      <c r="G161" s="1240"/>
      <c r="H161" s="491" t="s">
        <v>2867</v>
      </c>
      <c r="I161" s="1240"/>
      <c r="J161" s="1240"/>
      <c r="K161" s="1240"/>
      <c r="L161" s="1240"/>
      <c r="M161" s="1240"/>
      <c r="N161" s="1240"/>
      <c r="O161" s="1240"/>
      <c r="P161" s="1240"/>
      <c r="Q161" s="1240"/>
      <c r="R161" s="1240"/>
      <c r="S161" s="1240"/>
      <c r="T161" s="468" cm="1" t="str">
        <f t="array" ref="T161:T161">T160</f>
        <v>true</v>
      </c>
      <c r="U161" s="1240"/>
      <c r="V161" s="1240"/>
      <c r="W161" s="1240"/>
      <c r="X161" s="1559"/>
      <c r="Y161" s="1240"/>
      <c r="Z161" s="1560"/>
      <c r="AA161" s="1240"/>
      <c r="AB161" s="721" t="s">
        <v>2868</v>
      </c>
      <c r="AC161" s="553" t="s">
        <v>2869</v>
      </c>
      <c r="AD161" s="551" t="s">
        <v>936</v>
      </c>
      <c r="AE161" s="1356"/>
      <c r="AF161" s="1308"/>
      <c r="AG161" s="1308"/>
      <c r="AH161" s="1070" t="s">
        <v>2066</v>
      </c>
      <c r="AI161" s="1309"/>
      <c r="AJ161" s="1309"/>
      <c r="AK161" s="1310"/>
      <c r="AL161" s="1310"/>
      <c r="AM161" s="1656"/>
      <c r="AN161" s="1656"/>
      <c r="AO161" s="1656"/>
      <c r="AP161" s="1656"/>
    </row>
    <row s="1656" customFormat="1" customHeight="1" ht="14.25">
      <c r="A162" s="673"/>
      <c r="B162" s="1240"/>
      <c r="C162" s="1240"/>
      <c r="D162" s="1240"/>
      <c r="E162" s="655">
        <v>15</v>
      </c>
      <c r="F162" s="50" cm="1" t="str">
        <f t="array" ref="F162:F162">OFFSET(E162,-1,1)</f>
        <v>1</v>
      </c>
      <c r="G162" s="1240"/>
      <c r="H162" s="491" t="s">
        <v>2870</v>
      </c>
      <c r="I162" s="1240"/>
      <c r="J162" s="1240"/>
      <c r="K162" s="1240"/>
      <c r="L162" s="1240"/>
      <c r="M162" s="1240"/>
      <c r="N162" s="1240"/>
      <c r="O162" s="1240"/>
      <c r="P162" s="1240"/>
      <c r="Q162" s="1240"/>
      <c r="R162" s="1240"/>
      <c r="S162" s="1240"/>
      <c r="T162" s="468" cm="1" t="str">
        <f t="array" ref="T162:T162">T161</f>
        <v>true</v>
      </c>
      <c r="U162" s="1240"/>
      <c r="V162" s="1240"/>
      <c r="W162" s="1240"/>
      <c r="X162" s="1559"/>
      <c r="Y162" s="1240"/>
      <c r="Z162" s="1560"/>
      <c r="AA162" s="1240"/>
      <c r="AB162" s="722" t="s">
        <v>2871</v>
      </c>
      <c r="AC162" s="555" t="s">
        <v>2872</v>
      </c>
      <c r="AD162" s="556" t="s">
        <v>936</v>
      </c>
      <c r="AE162" s="1356"/>
      <c r="AF162" s="1308"/>
      <c r="AG162" s="1308"/>
      <c r="AH162" s="1070" t="s">
        <v>2069</v>
      </c>
      <c r="AI162" s="1309"/>
      <c r="AJ162" s="1309"/>
      <c r="AK162" s="1310"/>
      <c r="AL162" s="1310"/>
      <c r="AM162" s="1656"/>
      <c r="AN162" s="1656"/>
      <c r="AO162" s="1656"/>
      <c r="AP162" s="1656"/>
    </row>
    <row s="1656" customFormat="1" customHeight="1" ht="14.25">
      <c r="A163" s="673"/>
      <c r="B163" s="1240"/>
      <c r="C163" s="1240"/>
      <c r="D163" s="1240"/>
      <c r="E163" s="655">
        <v>15</v>
      </c>
      <c r="F163" s="50" cm="1" t="str">
        <f t="array" ref="F163:F163">OFFSET(E163,-1,1)</f>
        <v>1</v>
      </c>
      <c r="G163" s="1240"/>
      <c r="H163" s="491" t="s">
        <v>2873</v>
      </c>
      <c r="I163" s="1240"/>
      <c r="J163" s="1240"/>
      <c r="K163" s="1240"/>
      <c r="L163" s="1240"/>
      <c r="M163" s="1240"/>
      <c r="N163" s="1240"/>
      <c r="O163" s="1240"/>
      <c r="P163" s="1240"/>
      <c r="Q163" s="1240"/>
      <c r="R163" s="1240"/>
      <c r="S163" s="1240"/>
      <c r="T163" s="468" cm="1" t="str">
        <f t="array" ref="T163:T163">T162</f>
        <v>true</v>
      </c>
      <c r="U163" s="1240"/>
      <c r="V163" s="1240"/>
      <c r="W163" s="1240"/>
      <c r="X163" s="1559"/>
      <c r="Y163" s="1240"/>
      <c r="Z163" s="1560"/>
      <c r="AA163" s="1240"/>
      <c r="AB163" s="722" t="s">
        <v>2874</v>
      </c>
      <c r="AC163" s="555" t="s">
        <v>1440</v>
      </c>
      <c r="AD163" s="556" t="s">
        <v>936</v>
      </c>
      <c r="AE163" s="1356"/>
      <c r="AF163" s="1308"/>
      <c r="AG163" s="1308"/>
      <c r="AH163" s="1070" t="s">
        <v>2072</v>
      </c>
      <c r="AI163" s="1309"/>
      <c r="AJ163" s="1309"/>
      <c r="AK163" s="1310"/>
      <c r="AL163" s="1310"/>
      <c r="AM163" s="1656"/>
      <c r="AN163" s="1656"/>
      <c r="AO163" s="1656"/>
      <c r="AP163" s="1656"/>
    </row>
    <row s="1656" customFormat="1" customHeight="1" ht="14.25">
      <c r="A164" s="673"/>
      <c r="B164" s="1240"/>
      <c r="C164" s="1240"/>
      <c r="D164" s="1240"/>
      <c r="E164" s="655">
        <v>15</v>
      </c>
      <c r="F164" s="50" cm="1" t="str">
        <f t="array" ref="F164:F164">OFFSET(E164,-1,1)</f>
        <v>1</v>
      </c>
      <c r="G164" s="1240"/>
      <c r="H164" s="491" t="s">
        <v>577</v>
      </c>
      <c r="I164" s="1240"/>
      <c r="J164" s="1240"/>
      <c r="K164" s="1240"/>
      <c r="L164" s="1240"/>
      <c r="M164" s="1240"/>
      <c r="N164" s="1240"/>
      <c r="O164" s="1240"/>
      <c r="P164" s="1240"/>
      <c r="Q164" s="1240"/>
      <c r="R164" s="1240"/>
      <c r="S164" s="1240"/>
      <c r="T164" s="468" cm="1" t="str">
        <f t="array" ref="T164:T164">T163</f>
        <v>true</v>
      </c>
      <c r="U164" s="1240"/>
      <c r="V164" s="1240"/>
      <c r="W164" s="1240"/>
      <c r="X164" s="1559"/>
      <c r="Y164" s="1240"/>
      <c r="Z164" s="1560"/>
      <c r="AA164" s="1240"/>
      <c r="AB164" s="722" t="s">
        <v>1076</v>
      </c>
      <c r="AC164" s="557" t="s">
        <v>2875</v>
      </c>
      <c r="AD164" s="556" t="s">
        <v>936</v>
      </c>
      <c r="AE164" s="560">
        <f>SUM(AE165:AE166)</f>
        <v>0</v>
      </c>
      <c r="AF164" s="1308"/>
      <c r="AG164" s="1308"/>
      <c r="AH164" s="1072" t="s">
        <v>2876</v>
      </c>
      <c r="AI164" s="1309"/>
      <c r="AJ164" s="1309"/>
      <c r="AK164" s="1310"/>
      <c r="AL164" s="1310"/>
      <c r="AM164" s="1656"/>
      <c r="AN164" s="1656"/>
      <c r="AO164" s="1656"/>
      <c r="AP164" s="1656"/>
    </row>
    <row s="1656" customFormat="1" customHeight="1" ht="14.25" hidden="1">
      <c r="A165" s="673"/>
      <c r="B165" s="1240"/>
      <c r="C165" s="1240"/>
      <c r="D165" s="1240"/>
      <c r="E165" s="655">
        <v>15</v>
      </c>
      <c r="F165" s="50" cm="1" t="str">
        <f t="array" ref="F165:F165">OFFSET(E165,-1,1)</f>
        <v>1</v>
      </c>
      <c r="G165" s="1240"/>
      <c r="H165" s="491" t="s">
        <v>577</v>
      </c>
      <c r="I165" s="566" cm="1" t="str">
        <f t="array" ref="I165:I165">AC165</f>
        <v>0</v>
      </c>
      <c r="J165" s="1240"/>
      <c r="K165" s="1240"/>
      <c r="L165" s="1240"/>
      <c r="M165" s="1240"/>
      <c r="N165" s="1240"/>
      <c r="O165" s="1240"/>
      <c r="P165" s="1240"/>
      <c r="Q165" s="1240"/>
      <c r="R165" s="1240"/>
      <c r="S165" s="1240"/>
      <c r="T165" s="468">
        <f>AND(F165&gt;0,Y165&gt;0)</f>
        <v>0</v>
      </c>
      <c r="U165" s="1240"/>
      <c r="V165" s="1240"/>
      <c r="W165" s="558" t="s">
        <v>173</v>
      </c>
      <c r="X165" s="1559"/>
      <c r="Y165" s="491">
        <v>0</v>
      </c>
      <c r="Z165" s="1560"/>
      <c r="AA165" s="1295" t="s">
        <v>174</v>
      </c>
      <c r="AB165" s="721" t="str">
        <f>"1.4."&amp;Y165</f>
        <v>1.4.0</v>
      </c>
      <c r="AC165" s="7393"/>
      <c r="AD165" s="551" t="s">
        <v>936</v>
      </c>
      <c r="AE165" s="7394"/>
      <c r="AF165" s="1308"/>
      <c r="AG165" s="1308"/>
      <c r="AH165" s="1072" t="s">
        <v>2876</v>
      </c>
      <c r="AI165" s="1009" t="s">
        <v>2877</v>
      </c>
      <c r="AJ165" s="1009" cm="1" t="str">
        <f t="array" ref="AJ165:AJ165">AC165</f>
        <v>0</v>
      </c>
      <c r="AK165" s="1310"/>
      <c r="AL165" s="662" t="b">
        <v>1</v>
      </c>
      <c r="AM165" s="1656"/>
      <c r="AN165" s="1656"/>
      <c r="AO165" s="1656"/>
      <c r="AP165" s="1656"/>
    </row>
    <row s="1656" customFormat="1" customHeight="1" ht="14.25">
      <c r="A166" s="673"/>
      <c r="B166" s="1240"/>
      <c r="C166" s="1240"/>
      <c r="D166" s="1240"/>
      <c r="E166" s="655">
        <v>15</v>
      </c>
      <c r="F166" s="50" cm="1" t="str">
        <f t="array" ref="F166:F166">OFFSET(E166,-1,1)</f>
        <v>1</v>
      </c>
      <c r="G166" s="1240"/>
      <c r="H166" s="1240"/>
      <c r="I166" s="1297" t="str">
        <f>"!== 'не определено' &amp;&amp; row.l1_4 !== null"</f>
        <v>!== 'не определено' &amp;&amp; row.l1_4 !== null</v>
      </c>
      <c r="J166" s="1240"/>
      <c r="K166" s="1240"/>
      <c r="L166" s="1240"/>
      <c r="M166" s="1240"/>
      <c r="N166" s="1240"/>
      <c r="O166" s="1240"/>
      <c r="P166" s="1240"/>
      <c r="Q166" s="1240"/>
      <c r="R166" s="1240"/>
      <c r="S166" s="1240"/>
      <c r="T166" s="468">
        <f>F166&gt;0</f>
        <v>1</v>
      </c>
      <c r="U166" s="1240"/>
      <c r="V166" s="1240"/>
      <c r="W166" s="1446" t="s">
        <v>410</v>
      </c>
      <c r="X166" s="1559"/>
      <c r="Y166" s="1240"/>
      <c r="Z166" s="1560"/>
      <c r="AA166" s="1240"/>
      <c r="AB166" s="1298"/>
      <c r="AC166" s="1299" t="s">
        <v>177</v>
      </c>
      <c r="AD166" s="1300"/>
      <c r="AE166" s="1357"/>
      <c r="AF166" s="1308"/>
      <c r="AG166" s="1308"/>
      <c r="AH166" s="1309"/>
      <c r="AI166" s="1309"/>
      <c r="AJ166" s="1309"/>
      <c r="AK166" s="662" t="s">
        <v>2877</v>
      </c>
      <c r="AL166" s="1310"/>
      <c r="AM166" s="1656"/>
      <c r="AN166" s="1656"/>
      <c r="AO166" s="1656"/>
      <c r="AP166" s="1656"/>
    </row>
    <row s="1656" customFormat="1" customHeight="1" ht="14.25">
      <c r="A167" s="673"/>
      <c r="B167" s="1240"/>
      <c r="C167" s="1240"/>
      <c r="D167" s="1240"/>
      <c r="E167" s="655">
        <v>15</v>
      </c>
      <c r="F167" s="50" cm="1" t="str">
        <f t="array" ref="F167:F167">OFFSET(E167,-1,1)</f>
        <v>1</v>
      </c>
      <c r="G167" s="1240"/>
      <c r="H167" s="491" t="s">
        <v>345</v>
      </c>
      <c r="I167" s="1240"/>
      <c r="J167" s="1240"/>
      <c r="K167" s="1240"/>
      <c r="L167" s="1240"/>
      <c r="M167" s="1240"/>
      <c r="N167" s="1240"/>
      <c r="O167" s="1240"/>
      <c r="P167" s="1240"/>
      <c r="Q167" s="1240"/>
      <c r="R167" s="1240"/>
      <c r="S167" s="1240"/>
      <c r="T167" s="468" cm="1" t="str">
        <f t="array" ref="T167:T167">T166</f>
        <v>true</v>
      </c>
      <c r="U167" s="1240"/>
      <c r="V167" s="1240"/>
      <c r="W167" s="1240"/>
      <c r="X167" s="1559"/>
      <c r="Y167" s="1240"/>
      <c r="Z167" s="1560"/>
      <c r="AA167" s="1240"/>
      <c r="AB167" s="720" t="s">
        <v>299</v>
      </c>
      <c r="AC167" s="548" t="s">
        <v>2271</v>
      </c>
      <c r="AD167" s="549" t="s">
        <v>936</v>
      </c>
      <c r="AE167" s="560">
        <f>AE168+AE180+AE181+AE191+AE192+AE193+AE196+AE197+AE198+AE199+AE200+AE201</f>
        <v>0</v>
      </c>
      <c r="AF167" s="1308"/>
      <c r="AG167" s="1308"/>
      <c r="AH167" s="1009" t="s">
        <v>2878</v>
      </c>
      <c r="AI167" s="1309"/>
      <c r="AJ167" s="1309"/>
      <c r="AK167" s="1310"/>
      <c r="AL167" s="1310"/>
      <c r="AM167" s="1656"/>
      <c r="AN167" s="1656"/>
      <c r="AO167" s="1656"/>
      <c r="AP167" s="1656"/>
    </row>
    <row s="1441" customFormat="1" customHeight="1" ht="26.25">
      <c r="A168" s="673"/>
      <c r="B168" s="491"/>
      <c r="C168" s="491"/>
      <c r="D168" s="491"/>
      <c r="E168" s="655">
        <v>27</v>
      </c>
      <c r="F168" s="526" cm="1" t="str">
        <f t="array" ref="F168:F168">OFFSET(E168,-1,1)</f>
        <v>1</v>
      </c>
      <c r="G168" s="491"/>
      <c r="H168" s="491"/>
      <c r="I168" s="491"/>
      <c r="J168" s="491"/>
      <c r="K168" s="491"/>
      <c r="L168" s="491"/>
      <c r="M168" s="491"/>
      <c r="N168" s="491"/>
      <c r="O168" s="491"/>
      <c r="P168" s="491"/>
      <c r="Q168" s="491"/>
      <c r="R168" s="491"/>
      <c r="S168" s="491"/>
      <c r="T168" s="468" cm="1" t="str">
        <f t="array" ref="T168:T168">T167</f>
        <v>true</v>
      </c>
      <c r="U168" s="491"/>
      <c r="V168" s="491"/>
      <c r="W168" s="491"/>
      <c r="X168" s="1559"/>
      <c r="Y168" s="491"/>
      <c r="Z168" s="1560"/>
      <c r="AA168" s="491"/>
      <c r="AB168" s="1289" t="s">
        <v>660</v>
      </c>
      <c r="AC168" s="1301" t="s">
        <v>2273</v>
      </c>
      <c r="AD168" s="1288" t="s">
        <v>936</v>
      </c>
      <c r="AE168" s="560">
        <f>SUM(AE169:AE179)</f>
        <v>0</v>
      </c>
      <c r="AF168" s="1117"/>
      <c r="AG168" s="1117"/>
      <c r="AH168" s="1072" t="s">
        <v>1441</v>
      </c>
      <c r="AI168" s="1066"/>
      <c r="AJ168" s="1066"/>
      <c r="AK168" s="973"/>
      <c r="AL168" s="973"/>
      <c r="AM168" s="1441"/>
      <c r="AN168" s="1441"/>
      <c r="AO168" s="1441"/>
      <c r="AP168" s="1441"/>
    </row>
    <row s="1441" customFormat="1" customHeight="1" ht="14.25">
      <c r="A169" s="673"/>
      <c r="B169" s="491"/>
      <c r="C169" s="491"/>
      <c r="D169" s="491"/>
      <c r="E169" s="655">
        <v>15</v>
      </c>
      <c r="F169" s="526" cm="1" t="str">
        <f t="array" ref="F169:F169">OFFSET(E169,-1,1)</f>
        <v>1</v>
      </c>
      <c r="G169" s="491"/>
      <c r="H169" s="491"/>
      <c r="I169" s="491"/>
      <c r="J169" s="491"/>
      <c r="K169" s="491"/>
      <c r="L169" s="491"/>
      <c r="M169" s="491"/>
      <c r="N169" s="491"/>
      <c r="O169" s="491"/>
      <c r="P169" s="491"/>
      <c r="Q169" s="491"/>
      <c r="R169" s="491"/>
      <c r="S169" s="491"/>
      <c r="T169" s="468" cm="1" t="str">
        <f t="array" ref="T169:T169">T168</f>
        <v>true</v>
      </c>
      <c r="U169" s="491"/>
      <c r="V169" s="491"/>
      <c r="W169" s="491"/>
      <c r="X169" s="1559"/>
      <c r="Y169" s="491"/>
      <c r="Z169" s="1560"/>
      <c r="AA169" s="491"/>
      <c r="AB169" s="1289" t="s">
        <v>592</v>
      </c>
      <c r="AC169" s="1292" t="s">
        <v>2275</v>
      </c>
      <c r="AD169" s="1291" t="s">
        <v>936</v>
      </c>
      <c r="AE169" s="561"/>
      <c r="AF169" s="1117"/>
      <c r="AG169" s="1117"/>
      <c r="AH169" s="1072" t="s">
        <v>2879</v>
      </c>
      <c r="AI169" s="1066"/>
      <c r="AJ169" s="1066"/>
      <c r="AK169" s="973"/>
      <c r="AL169" s="973"/>
      <c r="AM169" s="1441"/>
      <c r="AN169" s="1441"/>
      <c r="AO169" s="1441"/>
      <c r="AP169" s="1441"/>
    </row>
    <row s="1441" customFormat="1" customHeight="1" ht="14.25">
      <c r="A170" s="673"/>
      <c r="B170" s="491"/>
      <c r="C170" s="491"/>
      <c r="D170" s="491"/>
      <c r="E170" s="655">
        <v>15</v>
      </c>
      <c r="F170" s="526" cm="1" t="str">
        <f t="array" ref="F170:F170">OFFSET(E170,-1,1)</f>
        <v>1</v>
      </c>
      <c r="G170" s="491"/>
      <c r="H170" s="491"/>
      <c r="I170" s="491"/>
      <c r="J170" s="491"/>
      <c r="K170" s="491"/>
      <c r="L170" s="491"/>
      <c r="M170" s="491"/>
      <c r="N170" s="491"/>
      <c r="O170" s="491"/>
      <c r="P170" s="491"/>
      <c r="Q170" s="491"/>
      <c r="R170" s="491"/>
      <c r="S170" s="491"/>
      <c r="T170" s="468" cm="1" t="str">
        <f t="array" ref="T170:T170">T169</f>
        <v>true</v>
      </c>
      <c r="U170" s="491"/>
      <c r="V170" s="491"/>
      <c r="W170" s="491"/>
      <c r="X170" s="1559"/>
      <c r="Y170" s="491"/>
      <c r="Z170" s="1560"/>
      <c r="AA170" s="491"/>
      <c r="AB170" s="1289" t="s">
        <v>2276</v>
      </c>
      <c r="AC170" s="1292" t="s">
        <v>2277</v>
      </c>
      <c r="AD170" s="1291" t="s">
        <v>936</v>
      </c>
      <c r="AE170" s="561"/>
      <c r="AF170" s="1117"/>
      <c r="AG170" s="1117"/>
      <c r="AH170" s="1072" t="s">
        <v>2880</v>
      </c>
      <c r="AI170" s="1066"/>
      <c r="AJ170" s="1066"/>
      <c r="AK170" s="973"/>
      <c r="AL170" s="973"/>
      <c r="AM170" s="1441"/>
      <c r="AN170" s="1441"/>
      <c r="AO170" s="1441"/>
      <c r="AP170" s="1441"/>
    </row>
    <row s="1441" customFormat="1" customHeight="1" ht="14.25">
      <c r="A171" s="673"/>
      <c r="B171" s="491"/>
      <c r="C171" s="491"/>
      <c r="D171" s="491"/>
      <c r="E171" s="655">
        <v>15</v>
      </c>
      <c r="F171" s="526" cm="1" t="str">
        <f t="array" ref="F171:F171">OFFSET(E171,-1,1)</f>
        <v>1</v>
      </c>
      <c r="G171" s="491"/>
      <c r="H171" s="491"/>
      <c r="I171" s="491"/>
      <c r="J171" s="491"/>
      <c r="K171" s="491"/>
      <c r="L171" s="491"/>
      <c r="M171" s="491"/>
      <c r="N171" s="491"/>
      <c r="O171" s="491"/>
      <c r="P171" s="491"/>
      <c r="Q171" s="491"/>
      <c r="R171" s="491"/>
      <c r="S171" s="491"/>
      <c r="T171" s="468" cm="1" t="str">
        <f t="array" ref="T171:T171">T170</f>
        <v>true</v>
      </c>
      <c r="U171" s="491"/>
      <c r="V171" s="491"/>
      <c r="W171" s="491"/>
      <c r="X171" s="1559"/>
      <c r="Y171" s="491"/>
      <c r="Z171" s="1560"/>
      <c r="AA171" s="491"/>
      <c r="AB171" s="1289" t="s">
        <v>2278</v>
      </c>
      <c r="AC171" s="1292" t="s">
        <v>2279</v>
      </c>
      <c r="AD171" s="1291" t="s">
        <v>936</v>
      </c>
      <c r="AE171" s="561"/>
      <c r="AF171" s="1117"/>
      <c r="AG171" s="1117"/>
      <c r="AH171" s="1072" t="s">
        <v>2881</v>
      </c>
      <c r="AI171" s="1066"/>
      <c r="AJ171" s="1066"/>
      <c r="AK171" s="973"/>
      <c r="AL171" s="973"/>
      <c r="AM171" s="1441"/>
      <c r="AN171" s="1441"/>
      <c r="AO171" s="1441"/>
      <c r="AP171" s="1441"/>
    </row>
    <row s="1441" customFormat="1" customHeight="1" ht="14.25">
      <c r="A172" s="673"/>
      <c r="B172" s="491"/>
      <c r="C172" s="491"/>
      <c r="D172" s="491"/>
      <c r="E172" s="655">
        <v>15</v>
      </c>
      <c r="F172" s="526" cm="1" t="str">
        <f t="array" ref="F172:F172">OFFSET(E172,-1,1)</f>
        <v>1</v>
      </c>
      <c r="G172" s="491"/>
      <c r="H172" s="491"/>
      <c r="I172" s="491"/>
      <c r="J172" s="491"/>
      <c r="K172" s="491"/>
      <c r="L172" s="491"/>
      <c r="M172" s="491"/>
      <c r="N172" s="491"/>
      <c r="O172" s="491"/>
      <c r="P172" s="491"/>
      <c r="Q172" s="491"/>
      <c r="R172" s="491"/>
      <c r="S172" s="491"/>
      <c r="T172" s="468" cm="1" t="str">
        <f t="array" ref="T172:T172">T171</f>
        <v>true</v>
      </c>
      <c r="U172" s="491"/>
      <c r="V172" s="491"/>
      <c r="W172" s="491"/>
      <c r="X172" s="1559"/>
      <c r="Y172" s="491"/>
      <c r="Z172" s="1560"/>
      <c r="AA172" s="491"/>
      <c r="AB172" s="1289" t="s">
        <v>2281</v>
      </c>
      <c r="AC172" s="1292" t="s">
        <v>2282</v>
      </c>
      <c r="AD172" s="1291" t="s">
        <v>936</v>
      </c>
      <c r="AE172" s="561"/>
      <c r="AF172" s="1117"/>
      <c r="AG172" s="1117"/>
      <c r="AH172" s="1072" t="s">
        <v>2882</v>
      </c>
      <c r="AI172" s="1066"/>
      <c r="AJ172" s="1066"/>
      <c r="AK172" s="973"/>
      <c r="AL172" s="973"/>
      <c r="AM172" s="1441"/>
      <c r="AN172" s="1441"/>
      <c r="AO172" s="1441"/>
      <c r="AP172" s="1441"/>
    </row>
    <row s="1441" customFormat="1" customHeight="1" ht="14.25">
      <c r="A173" s="673"/>
      <c r="B173" s="491"/>
      <c r="C173" s="491"/>
      <c r="D173" s="491"/>
      <c r="E173" s="655">
        <v>15</v>
      </c>
      <c r="F173" s="526" cm="1" t="str">
        <f t="array" ref="F173:F173">OFFSET(E173,-1,1)</f>
        <v>1</v>
      </c>
      <c r="G173" s="491"/>
      <c r="H173" s="491"/>
      <c r="I173" s="491"/>
      <c r="J173" s="491"/>
      <c r="K173" s="491"/>
      <c r="L173" s="491"/>
      <c r="M173" s="491"/>
      <c r="N173" s="491"/>
      <c r="O173" s="491"/>
      <c r="P173" s="491"/>
      <c r="Q173" s="491"/>
      <c r="R173" s="491"/>
      <c r="S173" s="491"/>
      <c r="T173" s="468" cm="1" t="str">
        <f t="array" ref="T173:T173">T172</f>
        <v>true</v>
      </c>
      <c r="U173" s="491"/>
      <c r="V173" s="491"/>
      <c r="W173" s="491"/>
      <c r="X173" s="1559"/>
      <c r="Y173" s="491"/>
      <c r="Z173" s="1560"/>
      <c r="AA173" s="491"/>
      <c r="AB173" s="1289" t="s">
        <v>2284</v>
      </c>
      <c r="AC173" s="1292" t="s">
        <v>2285</v>
      </c>
      <c r="AD173" s="1291" t="s">
        <v>936</v>
      </c>
      <c r="AE173" s="561"/>
      <c r="AF173" s="1117"/>
      <c r="AG173" s="1117"/>
      <c r="AH173" s="1072" t="s">
        <v>2883</v>
      </c>
      <c r="AI173" s="1066"/>
      <c r="AJ173" s="1066"/>
      <c r="AK173" s="973"/>
      <c r="AL173" s="973"/>
      <c r="AM173" s="1441"/>
      <c r="AN173" s="1441"/>
      <c r="AO173" s="1441"/>
      <c r="AP173" s="1441"/>
    </row>
    <row s="1441" customFormat="1" customHeight="1" ht="26.25">
      <c r="A174" s="673"/>
      <c r="B174" s="491"/>
      <c r="C174" s="491"/>
      <c r="D174" s="491"/>
      <c r="E174" s="655">
        <v>27</v>
      </c>
      <c r="F174" s="526" cm="1" t="str">
        <f t="array" ref="F174:F174">OFFSET(E174,-1,1)</f>
        <v>1</v>
      </c>
      <c r="G174" s="491"/>
      <c r="H174" s="491"/>
      <c r="I174" s="491"/>
      <c r="J174" s="491"/>
      <c r="K174" s="491"/>
      <c r="L174" s="491"/>
      <c r="M174" s="491"/>
      <c r="N174" s="491"/>
      <c r="O174" s="491"/>
      <c r="P174" s="491"/>
      <c r="Q174" s="491"/>
      <c r="R174" s="491"/>
      <c r="S174" s="491"/>
      <c r="T174" s="468" cm="1" t="str">
        <f t="array" ref="T174:T174">T173</f>
        <v>true</v>
      </c>
      <c r="U174" s="491"/>
      <c r="V174" s="491"/>
      <c r="W174" s="491"/>
      <c r="X174" s="1559"/>
      <c r="Y174" s="491"/>
      <c r="Z174" s="1560"/>
      <c r="AA174" s="491"/>
      <c r="AB174" s="1289" t="s">
        <v>2287</v>
      </c>
      <c r="AC174" s="1292" t="s">
        <v>2288</v>
      </c>
      <c r="AD174" s="1291" t="s">
        <v>936</v>
      </c>
      <c r="AE174" s="561"/>
      <c r="AF174" s="1117"/>
      <c r="AG174" s="1117"/>
      <c r="AH174" s="1072" t="s">
        <v>2884</v>
      </c>
      <c r="AI174" s="1066"/>
      <c r="AJ174" s="1066"/>
      <c r="AK174" s="973"/>
      <c r="AL174" s="973"/>
      <c r="AM174" s="1441"/>
      <c r="AN174" s="1441"/>
      <c r="AO174" s="1441"/>
      <c r="AP174" s="1441"/>
    </row>
    <row s="1441" customFormat="1" customHeight="1" ht="14.25">
      <c r="A175" s="673"/>
      <c r="B175" s="491"/>
      <c r="C175" s="491"/>
      <c r="D175" s="491"/>
      <c r="E175" s="655">
        <v>15</v>
      </c>
      <c r="F175" s="526" cm="1" t="str">
        <f t="array" ref="F175:F175">OFFSET(E175,-1,1)</f>
        <v>1</v>
      </c>
      <c r="G175" s="491"/>
      <c r="H175" s="491"/>
      <c r="I175" s="491"/>
      <c r="J175" s="491"/>
      <c r="K175" s="491"/>
      <c r="L175" s="491"/>
      <c r="M175" s="491"/>
      <c r="N175" s="491"/>
      <c r="O175" s="491"/>
      <c r="P175" s="491"/>
      <c r="Q175" s="491"/>
      <c r="R175" s="491"/>
      <c r="S175" s="491"/>
      <c r="T175" s="468" cm="1" t="str">
        <f t="array" ref="T175:T175">T174</f>
        <v>true</v>
      </c>
      <c r="U175" s="491"/>
      <c r="V175" s="491"/>
      <c r="W175" s="491"/>
      <c r="X175" s="1559"/>
      <c r="Y175" s="491"/>
      <c r="Z175" s="1560"/>
      <c r="AA175" s="491"/>
      <c r="AB175" s="1289" t="s">
        <v>2291</v>
      </c>
      <c r="AC175" s="1292" t="s">
        <v>2292</v>
      </c>
      <c r="AD175" s="1291" t="s">
        <v>936</v>
      </c>
      <c r="AE175" s="561"/>
      <c r="AF175" s="1117"/>
      <c r="AG175" s="1117"/>
      <c r="AH175" s="1072" t="s">
        <v>2885</v>
      </c>
      <c r="AI175" s="1066"/>
      <c r="AJ175" s="1066"/>
      <c r="AK175" s="973"/>
      <c r="AL175" s="973"/>
      <c r="AM175" s="1441"/>
      <c r="AN175" s="1441"/>
      <c r="AO175" s="1441"/>
      <c r="AP175" s="1441"/>
    </row>
    <row s="1441" customFormat="1" customHeight="1" ht="14.25">
      <c r="A176" s="673"/>
      <c r="B176" s="491"/>
      <c r="C176" s="491"/>
      <c r="D176" s="491"/>
      <c r="E176" s="655">
        <v>15</v>
      </c>
      <c r="F176" s="526" cm="1" t="str">
        <f t="array" ref="F176:F176">OFFSET(E176,-1,1)</f>
        <v>1</v>
      </c>
      <c r="G176" s="491"/>
      <c r="H176" s="491"/>
      <c r="I176" s="491"/>
      <c r="J176" s="491"/>
      <c r="K176" s="491"/>
      <c r="L176" s="491"/>
      <c r="M176" s="491"/>
      <c r="N176" s="491"/>
      <c r="O176" s="491"/>
      <c r="P176" s="491"/>
      <c r="Q176" s="491"/>
      <c r="R176" s="491"/>
      <c r="S176" s="491"/>
      <c r="T176" s="468" cm="1" t="str">
        <f t="array" ref="T176:T176">T175</f>
        <v>true</v>
      </c>
      <c r="U176" s="491"/>
      <c r="V176" s="491"/>
      <c r="W176" s="491"/>
      <c r="X176" s="1559"/>
      <c r="Y176" s="491"/>
      <c r="Z176" s="1560"/>
      <c r="AA176" s="491"/>
      <c r="AB176" s="1289" t="s">
        <v>2295</v>
      </c>
      <c r="AC176" s="1292" t="s">
        <v>2296</v>
      </c>
      <c r="AD176" s="1291" t="s">
        <v>936</v>
      </c>
      <c r="AE176" s="561"/>
      <c r="AF176" s="1117"/>
      <c r="AG176" s="1117"/>
      <c r="AH176" s="1072" t="s">
        <v>2886</v>
      </c>
      <c r="AI176" s="1066"/>
      <c r="AJ176" s="1066"/>
      <c r="AK176" s="973"/>
      <c r="AL176" s="973"/>
      <c r="AM176" s="1441"/>
      <c r="AN176" s="1441"/>
      <c r="AO176" s="1441"/>
      <c r="AP176" s="1441"/>
    </row>
    <row s="1441" customFormat="1" customHeight="1" ht="14.25">
      <c r="A177" s="673"/>
      <c r="B177" s="491"/>
      <c r="C177" s="491"/>
      <c r="D177" s="491"/>
      <c r="E177" s="655">
        <v>15</v>
      </c>
      <c r="F177" s="526" cm="1" t="str">
        <f t="array" ref="F177:F177">OFFSET(E177,-1,1)</f>
        <v>1</v>
      </c>
      <c r="G177" s="491"/>
      <c r="H177" s="491"/>
      <c r="I177" s="491"/>
      <c r="J177" s="491"/>
      <c r="K177" s="491"/>
      <c r="L177" s="491"/>
      <c r="M177" s="491"/>
      <c r="N177" s="491"/>
      <c r="O177" s="491"/>
      <c r="P177" s="491"/>
      <c r="Q177" s="491"/>
      <c r="R177" s="491"/>
      <c r="S177" s="491"/>
      <c r="T177" s="468" cm="1" t="str">
        <f t="array" ref="T177:T177">T176</f>
        <v>true</v>
      </c>
      <c r="U177" s="491"/>
      <c r="V177" s="491"/>
      <c r="W177" s="491"/>
      <c r="X177" s="1559"/>
      <c r="Y177" s="491"/>
      <c r="Z177" s="1560"/>
      <c r="AA177" s="491"/>
      <c r="AB177" s="1289" t="s">
        <v>2298</v>
      </c>
      <c r="AC177" s="1292" t="s">
        <v>2299</v>
      </c>
      <c r="AD177" s="1291" t="s">
        <v>936</v>
      </c>
      <c r="AE177" s="561"/>
      <c r="AF177" s="1117"/>
      <c r="AG177" s="1117"/>
      <c r="AH177" s="1072" t="s">
        <v>2887</v>
      </c>
      <c r="AI177" s="1066"/>
      <c r="AJ177" s="1066"/>
      <c r="AK177" s="973"/>
      <c r="AL177" s="973"/>
      <c r="AM177" s="1441"/>
      <c r="AN177" s="1441"/>
      <c r="AO177" s="1441"/>
      <c r="AP177" s="1441"/>
    </row>
    <row s="1441" customFormat="1" customHeight="1" ht="14.25">
      <c r="A178" s="673"/>
      <c r="B178" s="491"/>
      <c r="C178" s="491"/>
      <c r="D178" s="491"/>
      <c r="E178" s="655">
        <v>15</v>
      </c>
      <c r="F178" s="526" cm="1" t="str">
        <f t="array" ref="F178:F178">OFFSET(E178,-1,1)</f>
        <v>1</v>
      </c>
      <c r="G178" s="491"/>
      <c r="H178" s="491"/>
      <c r="I178" s="491"/>
      <c r="J178" s="491"/>
      <c r="K178" s="491"/>
      <c r="L178" s="491"/>
      <c r="M178" s="491"/>
      <c r="N178" s="491"/>
      <c r="O178" s="491"/>
      <c r="P178" s="491"/>
      <c r="Q178" s="491"/>
      <c r="R178" s="491"/>
      <c r="S178" s="491"/>
      <c r="T178" s="468" cm="1" t="str">
        <f t="array" ref="T178:T178">T177</f>
        <v>true</v>
      </c>
      <c r="U178" s="491"/>
      <c r="V178" s="491"/>
      <c r="W178" s="491"/>
      <c r="X178" s="1559"/>
      <c r="Y178" s="491"/>
      <c r="Z178" s="1560"/>
      <c r="AA178" s="491"/>
      <c r="AB178" s="1289" t="s">
        <v>2301</v>
      </c>
      <c r="AC178" s="1292" t="s">
        <v>2302</v>
      </c>
      <c r="AD178" s="1291" t="s">
        <v>936</v>
      </c>
      <c r="AE178" s="561"/>
      <c r="AF178" s="1117"/>
      <c r="AG178" s="1117"/>
      <c r="AH178" s="1072" t="s">
        <v>2888</v>
      </c>
      <c r="AI178" s="1066"/>
      <c r="AJ178" s="1066"/>
      <c r="AK178" s="973"/>
      <c r="AL178" s="973"/>
      <c r="AM178" s="1441"/>
      <c r="AN178" s="1441"/>
      <c r="AO178" s="1441"/>
      <c r="AP178" s="1441"/>
    </row>
    <row s="1441" customFormat="1" customHeight="1" ht="14.25">
      <c r="A179" s="673"/>
      <c r="B179" s="491"/>
      <c r="C179" s="491"/>
      <c r="D179" s="491"/>
      <c r="E179" s="655">
        <v>15</v>
      </c>
      <c r="F179" s="526" cm="1" t="str">
        <f t="array" ref="F179:F179">OFFSET(E179,-1,1)</f>
        <v>1</v>
      </c>
      <c r="G179" s="491"/>
      <c r="H179" s="491"/>
      <c r="I179" s="491"/>
      <c r="J179" s="491"/>
      <c r="K179" s="491"/>
      <c r="L179" s="491"/>
      <c r="M179" s="491"/>
      <c r="N179" s="491"/>
      <c r="O179" s="491"/>
      <c r="P179" s="491"/>
      <c r="Q179" s="491"/>
      <c r="R179" s="491"/>
      <c r="S179" s="491"/>
      <c r="T179" s="468" cm="1" t="str">
        <f t="array" ref="T179:T179">T178</f>
        <v>true</v>
      </c>
      <c r="U179" s="491"/>
      <c r="V179" s="491"/>
      <c r="W179" s="491"/>
      <c r="X179" s="1559"/>
      <c r="Y179" s="491"/>
      <c r="Z179" s="1560"/>
      <c r="AA179" s="491"/>
      <c r="AB179" s="1289" t="s">
        <v>2303</v>
      </c>
      <c r="AC179" s="1292" t="s">
        <v>2304</v>
      </c>
      <c r="AD179" s="1291" t="s">
        <v>936</v>
      </c>
      <c r="AE179" s="561"/>
      <c r="AF179" s="1117"/>
      <c r="AG179" s="1117"/>
      <c r="AH179" s="1072" t="s">
        <v>2889</v>
      </c>
      <c r="AI179" s="1066"/>
      <c r="AJ179" s="1066"/>
      <c r="AK179" s="973"/>
      <c r="AL179" s="973"/>
      <c r="AM179" s="1441"/>
      <c r="AN179" s="1441"/>
      <c r="AO179" s="1441"/>
      <c r="AP179" s="1441"/>
    </row>
    <row s="1441" customFormat="1" customHeight="1" ht="14.25">
      <c r="A180" s="673"/>
      <c r="B180" s="491"/>
      <c r="C180" s="491"/>
      <c r="D180" s="491"/>
      <c r="E180" s="655">
        <v>15</v>
      </c>
      <c r="F180" s="526" cm="1" t="str">
        <f t="array" ref="F180:F180">OFFSET(E180,-1,1)</f>
        <v>1</v>
      </c>
      <c r="G180" s="491"/>
      <c r="H180" s="491"/>
      <c r="I180" s="491"/>
      <c r="J180" s="491"/>
      <c r="K180" s="491"/>
      <c r="L180" s="491"/>
      <c r="M180" s="491"/>
      <c r="N180" s="491"/>
      <c r="O180" s="491"/>
      <c r="P180" s="491"/>
      <c r="Q180" s="491"/>
      <c r="R180" s="491"/>
      <c r="S180" s="491"/>
      <c r="T180" s="468" cm="1" t="str">
        <f t="array" ref="T180:T180">T179</f>
        <v>true</v>
      </c>
      <c r="U180" s="491"/>
      <c r="V180" s="491"/>
      <c r="W180" s="491"/>
      <c r="X180" s="1559"/>
      <c r="Y180" s="491"/>
      <c r="Z180" s="1560"/>
      <c r="AA180" s="491"/>
      <c r="AB180" s="1289" t="s">
        <v>664</v>
      </c>
      <c r="AC180" s="1290" t="s">
        <v>2305</v>
      </c>
      <c r="AD180" s="1291" t="s">
        <v>936</v>
      </c>
      <c r="AE180" s="561"/>
      <c r="AF180" s="1117"/>
      <c r="AG180" s="1117"/>
      <c r="AH180" s="1072" t="s">
        <v>2890</v>
      </c>
      <c r="AI180" s="1066"/>
      <c r="AJ180" s="1066"/>
      <c r="AK180" s="973"/>
      <c r="AL180" s="973"/>
      <c r="AM180" s="1441"/>
      <c r="AN180" s="1441"/>
      <c r="AO180" s="1441"/>
      <c r="AP180" s="1441"/>
    </row>
    <row s="1656" customFormat="1" customHeight="1" ht="14.25">
      <c r="A181" s="673"/>
      <c r="B181" s="1240"/>
      <c r="C181" s="1240"/>
      <c r="D181" s="1240"/>
      <c r="E181" s="655">
        <v>15</v>
      </c>
      <c r="F181" s="50" cm="1" t="str">
        <f t="array" ref="F181:F181">OFFSET(E181,-1,1)</f>
        <v>1</v>
      </c>
      <c r="G181" s="1240"/>
      <c r="H181" s="491" t="s">
        <v>587</v>
      </c>
      <c r="I181" s="1240"/>
      <c r="J181" s="1240"/>
      <c r="K181" s="1240"/>
      <c r="L181" s="1240"/>
      <c r="M181" s="1240"/>
      <c r="N181" s="1240"/>
      <c r="O181" s="1240"/>
      <c r="P181" s="1240"/>
      <c r="Q181" s="1240"/>
      <c r="R181" s="1240"/>
      <c r="S181" s="1240"/>
      <c r="T181" s="468" cm="1" t="str">
        <f t="array" ref="T181:T181">T167</f>
        <v>true</v>
      </c>
      <c r="U181" s="1240"/>
      <c r="V181" s="1240"/>
      <c r="W181" s="1240"/>
      <c r="X181" s="1559"/>
      <c r="Y181" s="1240"/>
      <c r="Z181" s="1560"/>
      <c r="AA181" s="1240"/>
      <c r="AB181" s="721" t="s">
        <v>668</v>
      </c>
      <c r="AC181" s="550" t="s">
        <v>2891</v>
      </c>
      <c r="AD181" s="551" t="s">
        <v>936</v>
      </c>
      <c r="AE181" s="560">
        <f>SUM(AE182:AE190)</f>
        <v>0</v>
      </c>
      <c r="AF181" s="1308"/>
      <c r="AG181" s="1308"/>
      <c r="AH181" s="1078" t="s">
        <v>1464</v>
      </c>
      <c r="AI181" s="1309"/>
      <c r="AJ181" s="1309"/>
      <c r="AK181" s="1310"/>
      <c r="AL181" s="1310"/>
      <c r="AM181" s="1656"/>
      <c r="AN181" s="1656"/>
      <c r="AO181" s="1656"/>
      <c r="AP181" s="1656"/>
    </row>
    <row s="1656" customFormat="1" customHeight="1" ht="14.25">
      <c r="A182" s="673"/>
      <c r="B182" s="1240"/>
      <c r="C182" s="1240"/>
      <c r="D182" s="1240"/>
      <c r="E182" s="655">
        <v>15</v>
      </c>
      <c r="F182" s="50" cm="1" t="str">
        <f t="array" ref="F182:F182">OFFSET(E182,-1,1)</f>
        <v>1</v>
      </c>
      <c r="G182" s="1240"/>
      <c r="H182" s="491" t="s">
        <v>2045</v>
      </c>
      <c r="I182" s="1240"/>
      <c r="J182" s="1240"/>
      <c r="K182" s="1240"/>
      <c r="L182" s="1240"/>
      <c r="M182" s="1240"/>
      <c r="N182" s="1240"/>
      <c r="O182" s="1240"/>
      <c r="P182" s="1240"/>
      <c r="Q182" s="1240"/>
      <c r="R182" s="1240"/>
      <c r="S182" s="1240"/>
      <c r="T182" s="468" cm="1" t="str">
        <f t="array" ref="T182:T182">T181</f>
        <v>true</v>
      </c>
      <c r="U182" s="1240"/>
      <c r="V182" s="1240"/>
      <c r="W182" s="1240"/>
      <c r="X182" s="1559"/>
      <c r="Y182" s="1240"/>
      <c r="Z182" s="1560"/>
      <c r="AA182" s="1240"/>
      <c r="AB182" s="721" t="s">
        <v>603</v>
      </c>
      <c r="AC182" s="552" t="s">
        <v>1479</v>
      </c>
      <c r="AD182" s="551" t="s">
        <v>936</v>
      </c>
      <c r="AE182" s="1356"/>
      <c r="AF182" s="1308"/>
      <c r="AG182" s="1308"/>
      <c r="AH182" s="1072" t="s">
        <v>2308</v>
      </c>
      <c r="AI182" s="1309"/>
      <c r="AJ182" s="1309"/>
      <c r="AK182" s="1310"/>
      <c r="AL182" s="1310"/>
      <c r="AM182" s="1656"/>
      <c r="AN182" s="1656"/>
      <c r="AO182" s="1656"/>
      <c r="AP182" s="1656"/>
    </row>
    <row s="1656" customFormat="1" customHeight="1" ht="14.25">
      <c r="A183" s="673"/>
      <c r="B183" s="1240"/>
      <c r="C183" s="1240"/>
      <c r="D183" s="1240"/>
      <c r="E183" s="655">
        <v>15</v>
      </c>
      <c r="F183" s="50" cm="1" t="str">
        <f t="array" ref="F183:F183">OFFSET(E183,-1,1)</f>
        <v>1</v>
      </c>
      <c r="G183" s="1240"/>
      <c r="H183" s="491" t="s">
        <v>2048</v>
      </c>
      <c r="I183" s="1240"/>
      <c r="J183" s="1240"/>
      <c r="K183" s="1240"/>
      <c r="L183" s="1240"/>
      <c r="M183" s="1240"/>
      <c r="N183" s="1240"/>
      <c r="O183" s="1240"/>
      <c r="P183" s="1240"/>
      <c r="Q183" s="1240"/>
      <c r="R183" s="1240"/>
      <c r="S183" s="1240"/>
      <c r="T183" s="468" cm="1" t="str">
        <f t="array" ref="T183:T183">T182</f>
        <v>true</v>
      </c>
      <c r="U183" s="1240"/>
      <c r="V183" s="1240"/>
      <c r="W183" s="1240"/>
      <c r="X183" s="1559"/>
      <c r="Y183" s="1240"/>
      <c r="Z183" s="1560"/>
      <c r="AA183" s="1240"/>
      <c r="AB183" s="721" t="s">
        <v>1717</v>
      </c>
      <c r="AC183" s="552" t="s">
        <v>2892</v>
      </c>
      <c r="AD183" s="551" t="s">
        <v>936</v>
      </c>
      <c r="AE183" s="1356"/>
      <c r="AF183" s="1308"/>
      <c r="AG183" s="1308"/>
      <c r="AH183" s="1072" t="s">
        <v>2311</v>
      </c>
      <c r="AI183" s="1309"/>
      <c r="AJ183" s="1309"/>
      <c r="AK183" s="1310"/>
      <c r="AL183" s="1310"/>
      <c r="AM183" s="1656"/>
      <c r="AN183" s="1656"/>
      <c r="AO183" s="1656"/>
      <c r="AP183" s="1656"/>
    </row>
    <row s="1656" customFormat="1" customHeight="1" ht="14.25">
      <c r="A184" s="673"/>
      <c r="B184" s="1240"/>
      <c r="C184" s="1240"/>
      <c r="D184" s="1240"/>
      <c r="E184" s="655">
        <v>15</v>
      </c>
      <c r="F184" s="50" cm="1" t="str">
        <f t="array" ref="F184:F184">OFFSET(E184,-1,1)</f>
        <v>1</v>
      </c>
      <c r="G184" s="1240"/>
      <c r="H184" s="491" t="s">
        <v>2893</v>
      </c>
      <c r="I184" s="1240"/>
      <c r="J184" s="1240"/>
      <c r="K184" s="1240"/>
      <c r="L184" s="1240"/>
      <c r="M184" s="1240"/>
      <c r="N184" s="1240"/>
      <c r="O184" s="1240"/>
      <c r="P184" s="1240"/>
      <c r="Q184" s="1240"/>
      <c r="R184" s="1240"/>
      <c r="S184" s="1240"/>
      <c r="T184" s="468" cm="1" t="str">
        <f t="array" ref="T184:T184">T183</f>
        <v>true</v>
      </c>
      <c r="U184" s="1240"/>
      <c r="V184" s="1240"/>
      <c r="W184" s="1240"/>
      <c r="X184" s="1559"/>
      <c r="Y184" s="1240"/>
      <c r="Z184" s="1560"/>
      <c r="AA184" s="1240"/>
      <c r="AB184" s="721" t="s">
        <v>1722</v>
      </c>
      <c r="AC184" s="552" t="s">
        <v>2894</v>
      </c>
      <c r="AD184" s="551" t="s">
        <v>936</v>
      </c>
      <c r="AE184" s="1356"/>
      <c r="AF184" s="1308"/>
      <c r="AG184" s="1308"/>
      <c r="AH184" s="1072" t="s">
        <v>2314</v>
      </c>
      <c r="AI184" s="1309"/>
      <c r="AJ184" s="1309"/>
      <c r="AK184" s="1310"/>
      <c r="AL184" s="1310"/>
      <c r="AM184" s="1656"/>
      <c r="AN184" s="1656"/>
      <c r="AO184" s="1656"/>
      <c r="AP184" s="1656"/>
    </row>
    <row s="1656" customFormat="1" customHeight="1" ht="14.25">
      <c r="A185" s="673"/>
      <c r="B185" s="1240"/>
      <c r="C185" s="1240"/>
      <c r="D185" s="1240"/>
      <c r="E185" s="655">
        <v>15</v>
      </c>
      <c r="F185" s="50" cm="1" t="str">
        <f t="array" ref="F185:F185">OFFSET(E185,-1,1)</f>
        <v>1</v>
      </c>
      <c r="G185" s="1240"/>
      <c r="H185" s="491" t="s">
        <v>2895</v>
      </c>
      <c r="I185" s="1240"/>
      <c r="J185" s="1240"/>
      <c r="K185" s="1240"/>
      <c r="L185" s="1240"/>
      <c r="M185" s="1240"/>
      <c r="N185" s="1240"/>
      <c r="O185" s="1240"/>
      <c r="P185" s="1240"/>
      <c r="Q185" s="1240"/>
      <c r="R185" s="1240"/>
      <c r="S185" s="1240"/>
      <c r="T185" s="468" cm="1" t="str">
        <f t="array" ref="T185:T185">T184</f>
        <v>true</v>
      </c>
      <c r="U185" s="1240"/>
      <c r="V185" s="1240"/>
      <c r="W185" s="1240"/>
      <c r="X185" s="1559"/>
      <c r="Y185" s="1240"/>
      <c r="Z185" s="1560"/>
      <c r="AA185" s="1240"/>
      <c r="AB185" s="721" t="s">
        <v>2316</v>
      </c>
      <c r="AC185" s="552" t="s">
        <v>1472</v>
      </c>
      <c r="AD185" s="551" t="s">
        <v>936</v>
      </c>
      <c r="AE185" s="1356"/>
      <c r="AF185" s="1308"/>
      <c r="AG185" s="1308"/>
      <c r="AH185" s="1072" t="s">
        <v>2318</v>
      </c>
      <c r="AI185" s="1309"/>
      <c r="AJ185" s="1309"/>
      <c r="AK185" s="1310"/>
      <c r="AL185" s="1310"/>
      <c r="AM185" s="1656"/>
      <c r="AN185" s="1656"/>
      <c r="AO185" s="1656"/>
      <c r="AP185" s="1656"/>
    </row>
    <row s="1656" customFormat="1" customHeight="1" ht="14.25">
      <c r="A186" s="673"/>
      <c r="B186" s="1240"/>
      <c r="C186" s="1240"/>
      <c r="D186" s="1240"/>
      <c r="E186" s="655">
        <v>15</v>
      </c>
      <c r="F186" s="50" cm="1" t="str">
        <f t="array" ref="F186:F186">OFFSET(E186,-1,1)</f>
        <v>1</v>
      </c>
      <c r="G186" s="1240"/>
      <c r="H186" s="491" t="s">
        <v>2896</v>
      </c>
      <c r="I186" s="1240"/>
      <c r="J186" s="1240"/>
      <c r="K186" s="1240"/>
      <c r="L186" s="1240"/>
      <c r="M186" s="1240"/>
      <c r="N186" s="1240"/>
      <c r="O186" s="1240"/>
      <c r="P186" s="1240"/>
      <c r="Q186" s="1240"/>
      <c r="R186" s="1240"/>
      <c r="S186" s="1240"/>
      <c r="T186" s="468" cm="1" t="str">
        <f t="array" ref="T186:T186">T185</f>
        <v>true</v>
      </c>
      <c r="U186" s="1240"/>
      <c r="V186" s="1240"/>
      <c r="W186" s="1240"/>
      <c r="X186" s="1559"/>
      <c r="Y186" s="1240"/>
      <c r="Z186" s="1560"/>
      <c r="AA186" s="1240"/>
      <c r="AB186" s="721" t="s">
        <v>2320</v>
      </c>
      <c r="AC186" s="552" t="s">
        <v>1474</v>
      </c>
      <c r="AD186" s="551" t="s">
        <v>936</v>
      </c>
      <c r="AE186" s="1356"/>
      <c r="AF186" s="1308"/>
      <c r="AG186" s="1308"/>
      <c r="AH186" s="1072" t="s">
        <v>2322</v>
      </c>
      <c r="AI186" s="1309"/>
      <c r="AJ186" s="1309"/>
      <c r="AK186" s="1310"/>
      <c r="AL186" s="1310"/>
      <c r="AM186" s="1656"/>
      <c r="AN186" s="1656"/>
      <c r="AO186" s="1656"/>
      <c r="AP186" s="1656"/>
    </row>
    <row s="1656" customFormat="1" customHeight="1" ht="14.25">
      <c r="A187" s="673"/>
      <c r="B187" s="1240"/>
      <c r="C187" s="1240"/>
      <c r="D187" s="1240"/>
      <c r="E187" s="655">
        <v>15</v>
      </c>
      <c r="F187" s="50" cm="1" t="str">
        <f t="array" ref="F187:F187">OFFSET(E187,-1,1)</f>
        <v>1</v>
      </c>
      <c r="G187" s="1240"/>
      <c r="H187" s="491" t="s">
        <v>2897</v>
      </c>
      <c r="I187" s="1240"/>
      <c r="J187" s="1240"/>
      <c r="K187" s="1240"/>
      <c r="L187" s="1240"/>
      <c r="M187" s="1240"/>
      <c r="N187" s="1240"/>
      <c r="O187" s="1240"/>
      <c r="P187" s="1240"/>
      <c r="Q187" s="1240"/>
      <c r="R187" s="1240"/>
      <c r="S187" s="1240"/>
      <c r="T187" s="468" cm="1" t="str">
        <f t="array" ref="T187:T187">T186</f>
        <v>true</v>
      </c>
      <c r="U187" s="1240"/>
      <c r="V187" s="1240"/>
      <c r="W187" s="1240"/>
      <c r="X187" s="1559"/>
      <c r="Y187" s="1240"/>
      <c r="Z187" s="1560"/>
      <c r="AA187" s="1240"/>
      <c r="AB187" s="721" t="s">
        <v>2324</v>
      </c>
      <c r="AC187" s="552" t="s">
        <v>1465</v>
      </c>
      <c r="AD187" s="551" t="s">
        <v>936</v>
      </c>
      <c r="AE187" s="1356"/>
      <c r="AF187" s="1308"/>
      <c r="AG187" s="1308"/>
      <c r="AH187" s="1072" t="s">
        <v>2326</v>
      </c>
      <c r="AI187" s="1309"/>
      <c r="AJ187" s="1309"/>
      <c r="AK187" s="1310"/>
      <c r="AL187" s="1310"/>
      <c r="AM187" s="1656"/>
      <c r="AN187" s="1656"/>
      <c r="AO187" s="1656"/>
      <c r="AP187" s="1656"/>
    </row>
    <row s="1441" customFormat="1" customHeight="1" ht="14.25">
      <c r="A188" s="673"/>
      <c r="B188" s="491"/>
      <c r="C188" s="491"/>
      <c r="D188" s="491"/>
      <c r="E188" s="655">
        <v>15</v>
      </c>
      <c r="F188" s="526" cm="1" t="str">
        <f t="array" ref="F188:F188">OFFSET(E188,-1,1)</f>
        <v>1</v>
      </c>
      <c r="G188" s="491"/>
      <c r="H188" s="491"/>
      <c r="I188" s="491"/>
      <c r="J188" s="491"/>
      <c r="K188" s="491"/>
      <c r="L188" s="491"/>
      <c r="M188" s="491"/>
      <c r="N188" s="491"/>
      <c r="O188" s="491"/>
      <c r="P188" s="491"/>
      <c r="Q188" s="491"/>
      <c r="R188" s="491"/>
      <c r="S188" s="491"/>
      <c r="T188" s="468" cm="1" t="str">
        <f t="array" ref="T188:T188">T187</f>
        <v>true</v>
      </c>
      <c r="U188" s="491"/>
      <c r="V188" s="491"/>
      <c r="W188" s="491"/>
      <c r="X188" s="1559"/>
      <c r="Y188" s="491"/>
      <c r="Z188" s="1560"/>
      <c r="AA188" s="491"/>
      <c r="AB188" s="1289" t="s">
        <v>2328</v>
      </c>
      <c r="AC188" s="1292" t="s">
        <v>2898</v>
      </c>
      <c r="AD188" s="1291" t="s">
        <v>936</v>
      </c>
      <c r="AE188" s="561"/>
      <c r="AF188" s="1117"/>
      <c r="AG188" s="1117"/>
      <c r="AH188" s="1072" t="s">
        <v>1482</v>
      </c>
      <c r="AI188" s="1066"/>
      <c r="AJ188" s="1066"/>
      <c r="AK188" s="973"/>
      <c r="AL188" s="973"/>
      <c r="AM188" s="1441"/>
      <c r="AN188" s="1441"/>
      <c r="AO188" s="1441"/>
      <c r="AP188" s="1441"/>
    </row>
    <row s="1441" customFormat="1" customHeight="1" ht="14.25">
      <c r="A189" s="673"/>
      <c r="B189" s="491"/>
      <c r="C189" s="491"/>
      <c r="D189" s="491"/>
      <c r="E189" s="655">
        <v>15</v>
      </c>
      <c r="F189" s="526" cm="1" t="str">
        <f t="array" ref="F189:F189">OFFSET(E189,-1,1)</f>
        <v>1</v>
      </c>
      <c r="G189" s="491"/>
      <c r="H189" s="491"/>
      <c r="I189" s="491"/>
      <c r="J189" s="491"/>
      <c r="K189" s="491"/>
      <c r="L189" s="491"/>
      <c r="M189" s="491"/>
      <c r="N189" s="491"/>
      <c r="O189" s="491"/>
      <c r="P189" s="491"/>
      <c r="Q189" s="491"/>
      <c r="R189" s="491"/>
      <c r="S189" s="491"/>
      <c r="T189" s="468" cm="1" t="str">
        <f t="array" ref="T189:T189">T188</f>
        <v>true</v>
      </c>
      <c r="U189" s="491"/>
      <c r="V189" s="491"/>
      <c r="W189" s="491"/>
      <c r="X189" s="1559"/>
      <c r="Y189" s="491"/>
      <c r="Z189" s="1560"/>
      <c r="AA189" s="491"/>
      <c r="AB189" s="1289" t="s">
        <v>2332</v>
      </c>
      <c r="AC189" s="1292" t="s">
        <v>1483</v>
      </c>
      <c r="AD189" s="1291" t="s">
        <v>936</v>
      </c>
      <c r="AE189" s="561"/>
      <c r="AF189" s="1117"/>
      <c r="AG189" s="1117"/>
      <c r="AH189" s="1072" t="s">
        <v>2899</v>
      </c>
      <c r="AI189" s="1066"/>
      <c r="AJ189" s="1066"/>
      <c r="AK189" s="973"/>
      <c r="AL189" s="973"/>
      <c r="AM189" s="1441"/>
      <c r="AN189" s="1441"/>
      <c r="AO189" s="1441"/>
      <c r="AP189" s="1441"/>
    </row>
    <row s="1656" customFormat="1" customHeight="1" ht="14.25">
      <c r="A190" s="673"/>
      <c r="B190" s="1240"/>
      <c r="C190" s="1240"/>
      <c r="D190" s="1240"/>
      <c r="E190" s="655">
        <v>15</v>
      </c>
      <c r="F190" s="50" cm="1" t="str">
        <f t="array" ref="F190:F190">OFFSET(E190,-1,1)</f>
        <v>1</v>
      </c>
      <c r="G190" s="1240"/>
      <c r="H190" s="491" t="s">
        <v>2900</v>
      </c>
      <c r="I190" s="1240"/>
      <c r="J190" s="1240"/>
      <c r="K190" s="1240"/>
      <c r="L190" s="1240"/>
      <c r="M190" s="1240"/>
      <c r="N190" s="1240"/>
      <c r="O190" s="1240"/>
      <c r="P190" s="1240"/>
      <c r="Q190" s="1240"/>
      <c r="R190" s="1240"/>
      <c r="S190" s="1240"/>
      <c r="T190" s="468" cm="1" t="str">
        <f t="array" ref="T190:T190">T187</f>
        <v>true</v>
      </c>
      <c r="U190" s="1240"/>
      <c r="V190" s="1240"/>
      <c r="W190" s="1240"/>
      <c r="X190" s="1559"/>
      <c r="Y190" s="1240"/>
      <c r="Z190" s="1560"/>
      <c r="AA190" s="1240"/>
      <c r="AB190" s="721" t="s">
        <v>2334</v>
      </c>
      <c r="AC190" s="552" t="s">
        <v>1485</v>
      </c>
      <c r="AD190" s="551" t="s">
        <v>936</v>
      </c>
      <c r="AE190" s="1356"/>
      <c r="AF190" s="1308"/>
      <c r="AG190" s="1308"/>
      <c r="AH190" s="1072" t="s">
        <v>2340</v>
      </c>
      <c r="AI190" s="1309"/>
      <c r="AJ190" s="1309"/>
      <c r="AK190" s="1310"/>
      <c r="AL190" s="1310"/>
      <c r="AM190" s="1656"/>
      <c r="AN190" s="1656"/>
      <c r="AO190" s="1656"/>
      <c r="AP190" s="1656"/>
    </row>
    <row s="1656" customFormat="1" customHeight="1" ht="14.25">
      <c r="A191" s="673"/>
      <c r="B191" s="1240"/>
      <c r="C191" s="1240"/>
      <c r="D191" s="1240"/>
      <c r="E191" s="655">
        <v>15</v>
      </c>
      <c r="F191" s="50" cm="1" t="str">
        <f t="array" ref="F191:F191">OFFSET(E191,-1,1)</f>
        <v>1</v>
      </c>
      <c r="G191" s="1240"/>
      <c r="H191" s="491" t="s">
        <v>1087</v>
      </c>
      <c r="I191" s="1240"/>
      <c r="J191" s="1240"/>
      <c r="K191" s="1240"/>
      <c r="L191" s="1240"/>
      <c r="M191" s="1240"/>
      <c r="N191" s="1240"/>
      <c r="O191" s="1240"/>
      <c r="P191" s="1240"/>
      <c r="Q191" s="1240"/>
      <c r="R191" s="1240"/>
      <c r="S191" s="1240"/>
      <c r="T191" s="468" cm="1" t="str">
        <f t="array" ref="T191:T191">T190</f>
        <v>true</v>
      </c>
      <c r="U191" s="1240"/>
      <c r="V191" s="1240"/>
      <c r="W191" s="1240"/>
      <c r="X191" s="1559"/>
      <c r="Y191" s="1240"/>
      <c r="Z191" s="1560"/>
      <c r="AA191" s="1240"/>
      <c r="AB191" s="721" t="s">
        <v>1090</v>
      </c>
      <c r="AC191" s="552" t="s">
        <v>1212</v>
      </c>
      <c r="AD191" s="551" t="s">
        <v>936</v>
      </c>
      <c r="AE191" s="1356"/>
      <c r="AF191" s="1308"/>
      <c r="AG191" s="1308"/>
      <c r="AH191" s="1072" t="s">
        <v>1421</v>
      </c>
      <c r="AI191" s="1309"/>
      <c r="AJ191" s="1309"/>
      <c r="AK191" s="1310"/>
      <c r="AL191" s="1310"/>
      <c r="AM191" s="1656"/>
      <c r="AN191" s="1656"/>
      <c r="AO191" s="1656"/>
      <c r="AP191" s="1656"/>
    </row>
    <row s="1656" customFormat="1" customHeight="1" ht="14.25">
      <c r="A192" s="673"/>
      <c r="B192" s="1240"/>
      <c r="C192" s="1240"/>
      <c r="D192" s="1240"/>
      <c r="E192" s="655">
        <v>15</v>
      </c>
      <c r="F192" s="50" cm="1" t="str">
        <f t="array" ref="F192:F192">OFFSET(E192,-1,1)</f>
        <v>1</v>
      </c>
      <c r="G192" s="1240"/>
      <c r="H192" s="491" t="s">
        <v>2343</v>
      </c>
      <c r="I192" s="1240"/>
      <c r="J192" s="1240"/>
      <c r="K192" s="1240"/>
      <c r="L192" s="1240"/>
      <c r="M192" s="1240"/>
      <c r="N192" s="1240"/>
      <c r="O192" s="1240"/>
      <c r="P192" s="1240"/>
      <c r="Q192" s="1240"/>
      <c r="R192" s="1240"/>
      <c r="S192" s="1240"/>
      <c r="T192" s="468" cm="1" t="str">
        <f t="array" ref="T192:T192">T191</f>
        <v>true</v>
      </c>
      <c r="U192" s="1240"/>
      <c r="V192" s="1240"/>
      <c r="W192" s="1240"/>
      <c r="X192" s="1559"/>
      <c r="Y192" s="1240"/>
      <c r="Z192" s="1560"/>
      <c r="AA192" s="1240"/>
      <c r="AB192" s="721" t="s">
        <v>1093</v>
      </c>
      <c r="AC192" s="550" t="s">
        <v>1689</v>
      </c>
      <c r="AD192" s="551" t="s">
        <v>936</v>
      </c>
      <c r="AE192" s="1356"/>
      <c r="AF192" s="1308"/>
      <c r="AG192" s="1308"/>
      <c r="AH192" s="1079" t="s">
        <v>2089</v>
      </c>
      <c r="AI192" s="1309"/>
      <c r="AJ192" s="1309"/>
      <c r="AK192" s="1310"/>
      <c r="AL192" s="1310"/>
      <c r="AM192" s="1656"/>
      <c r="AN192" s="1656"/>
      <c r="AO192" s="1656"/>
      <c r="AP192" s="1656"/>
    </row>
    <row s="1656" customFormat="1" customHeight="1" ht="14.25">
      <c r="A193" s="673"/>
      <c r="B193" s="1240"/>
      <c r="C193" s="1240"/>
      <c r="D193" s="1240"/>
      <c r="E193" s="655">
        <v>15</v>
      </c>
      <c r="F193" s="50" cm="1" t="str">
        <f t="array" ref="F193:F193">OFFSET(E193,-1,1)</f>
        <v>1</v>
      </c>
      <c r="G193" s="1240"/>
      <c r="H193" s="491" t="s">
        <v>2351</v>
      </c>
      <c r="I193" s="1240"/>
      <c r="J193" s="1240"/>
      <c r="K193" s="1240"/>
      <c r="L193" s="1240"/>
      <c r="M193" s="1240"/>
      <c r="N193" s="1240"/>
      <c r="O193" s="1240"/>
      <c r="P193" s="1240"/>
      <c r="Q193" s="1240"/>
      <c r="R193" s="1240"/>
      <c r="S193" s="1240"/>
      <c r="T193" s="468" cm="1" t="str">
        <f t="array" ref="T193:T193">T192</f>
        <v>true</v>
      </c>
      <c r="U193" s="1240"/>
      <c r="V193" s="1240"/>
      <c r="W193" s="1240"/>
      <c r="X193" s="1559"/>
      <c r="Y193" s="1240"/>
      <c r="Z193" s="1560"/>
      <c r="AA193" s="1240"/>
      <c r="AB193" s="721" t="s">
        <v>1737</v>
      </c>
      <c r="AC193" s="550" t="s">
        <v>1699</v>
      </c>
      <c r="AD193" s="551" t="s">
        <v>936</v>
      </c>
      <c r="AE193" s="560">
        <f>AE194+AE195</f>
        <v>0</v>
      </c>
      <c r="AF193" s="1308"/>
      <c r="AG193" s="1308"/>
      <c r="AH193" s="1072" t="s">
        <v>2356</v>
      </c>
      <c r="AI193" s="1309"/>
      <c r="AJ193" s="1309"/>
      <c r="AK193" s="1310"/>
      <c r="AL193" s="1310"/>
      <c r="AM193" s="1656"/>
      <c r="AN193" s="1656"/>
      <c r="AO193" s="1656"/>
      <c r="AP193" s="1656"/>
    </row>
    <row s="1656" customFormat="1" customHeight="1" ht="14.25">
      <c r="A194" s="673"/>
      <c r="B194" s="1240"/>
      <c r="C194" s="1240"/>
      <c r="D194" s="1240"/>
      <c r="E194" s="655">
        <v>15</v>
      </c>
      <c r="F194" s="50" cm="1" t="str">
        <f t="array" ref="F194:F194">OFFSET(E194,-1,1)</f>
        <v>1</v>
      </c>
      <c r="G194" s="1240"/>
      <c r="H194" s="491" t="s">
        <v>2901</v>
      </c>
      <c r="I194" s="1240"/>
      <c r="J194" s="1240"/>
      <c r="K194" s="1240"/>
      <c r="L194" s="1240"/>
      <c r="M194" s="1240"/>
      <c r="N194" s="1240"/>
      <c r="O194" s="1240"/>
      <c r="P194" s="1240"/>
      <c r="Q194" s="1240"/>
      <c r="R194" s="1240"/>
      <c r="S194" s="1240"/>
      <c r="T194" s="468" cm="1" t="str">
        <f t="array" ref="T194:T194">T193</f>
        <v>true</v>
      </c>
      <c r="U194" s="1240"/>
      <c r="V194" s="1240"/>
      <c r="W194" s="1240"/>
      <c r="X194" s="1559"/>
      <c r="Y194" s="1240"/>
      <c r="Z194" s="1560"/>
      <c r="AA194" s="1240"/>
      <c r="AB194" s="721" t="s">
        <v>2347</v>
      </c>
      <c r="AC194" s="552" t="s">
        <v>2902</v>
      </c>
      <c r="AD194" s="551" t="s">
        <v>936</v>
      </c>
      <c r="AE194" s="1356"/>
      <c r="AF194" s="1308"/>
      <c r="AG194" s="1308"/>
      <c r="AH194" s="1072" t="s">
        <v>1456</v>
      </c>
      <c r="AI194" s="1309"/>
      <c r="AJ194" s="1309"/>
      <c r="AK194" s="1310"/>
      <c r="AL194" s="1310"/>
      <c r="AM194" s="1656"/>
      <c r="AN194" s="1656"/>
      <c r="AO194" s="1656"/>
      <c r="AP194" s="1656"/>
    </row>
    <row s="1656" customFormat="1" customHeight="1" ht="21.75">
      <c r="A195" s="673"/>
      <c r="B195" s="1240"/>
      <c r="C195" s="1240"/>
      <c r="D195" s="1240"/>
      <c r="E195" s="655">
        <v>22.5</v>
      </c>
      <c r="F195" s="50" cm="1" t="str">
        <f t="array" ref="F195:F195">OFFSET(E195,-1,1)</f>
        <v>1</v>
      </c>
      <c r="G195" s="1240"/>
      <c r="H195" s="491" t="s">
        <v>2903</v>
      </c>
      <c r="I195" s="1240"/>
      <c r="J195" s="1240"/>
      <c r="K195" s="1240"/>
      <c r="L195" s="1240"/>
      <c r="M195" s="1240"/>
      <c r="N195" s="1240"/>
      <c r="O195" s="1240"/>
      <c r="P195" s="1240"/>
      <c r="Q195" s="1240"/>
      <c r="R195" s="1240"/>
      <c r="S195" s="1240"/>
      <c r="T195" s="468" cm="1" t="str">
        <f t="array" ref="T195:T195">T194</f>
        <v>true</v>
      </c>
      <c r="U195" s="1240"/>
      <c r="V195" s="1240"/>
      <c r="W195" s="1240"/>
      <c r="X195" s="1559"/>
      <c r="Y195" s="1240"/>
      <c r="Z195" s="1560"/>
      <c r="AA195" s="1240"/>
      <c r="AB195" s="721" t="s">
        <v>2904</v>
      </c>
      <c r="AC195" s="552" t="s">
        <v>2905</v>
      </c>
      <c r="AD195" s="551" t="s">
        <v>936</v>
      </c>
      <c r="AE195" s="1356"/>
      <c r="AF195" s="1308"/>
      <c r="AG195" s="1308"/>
      <c r="AH195" s="1072" t="s">
        <v>2363</v>
      </c>
      <c r="AI195" s="1309"/>
      <c r="AJ195" s="1309"/>
      <c r="AK195" s="1310"/>
      <c r="AL195" s="1310"/>
      <c r="AM195" s="1656"/>
      <c r="AN195" s="1656"/>
      <c r="AO195" s="1656"/>
      <c r="AP195" s="1656"/>
    </row>
    <row s="1656" customFormat="1" customHeight="1" ht="76.5">
      <c r="A196" s="673"/>
      <c r="B196" s="1240"/>
      <c r="C196" s="1240"/>
      <c r="D196" s="1240"/>
      <c r="E196" s="655">
        <v>78.75</v>
      </c>
      <c r="F196" s="50" cm="1" t="str">
        <f t="array" ref="F196:F196">OFFSET(E196,-1,1)</f>
        <v>1</v>
      </c>
      <c r="G196" s="1240"/>
      <c r="H196" s="491" t="s">
        <v>2355</v>
      </c>
      <c r="I196" s="1240"/>
      <c r="J196" s="1240"/>
      <c r="K196" s="1240"/>
      <c r="L196" s="1240"/>
      <c r="M196" s="1240"/>
      <c r="N196" s="1240"/>
      <c r="O196" s="1240"/>
      <c r="P196" s="1240"/>
      <c r="Q196" s="1240"/>
      <c r="R196" s="1240"/>
      <c r="S196" s="1240"/>
      <c r="T196" s="468" cm="1" t="str">
        <f t="array" ref="T196:T196">T195</f>
        <v>true</v>
      </c>
      <c r="U196" s="1240"/>
      <c r="V196" s="1240"/>
      <c r="W196" s="1240"/>
      <c r="X196" s="1559"/>
      <c r="Y196" s="1240"/>
      <c r="Z196" s="1560"/>
      <c r="AA196" s="1240"/>
      <c r="AB196" s="721" t="s">
        <v>1742</v>
      </c>
      <c r="AC196" s="1303" t="s">
        <v>1673</v>
      </c>
      <c r="AD196" s="551" t="s">
        <v>936</v>
      </c>
      <c r="AE196" s="1356"/>
      <c r="AF196" s="1308"/>
      <c r="AG196" s="1308"/>
      <c r="AH196" s="1072" t="s">
        <v>2341</v>
      </c>
      <c r="AI196" s="1309"/>
      <c r="AJ196" s="1309"/>
      <c r="AK196" s="1310"/>
      <c r="AL196" s="1310"/>
      <c r="AM196" s="1656"/>
      <c r="AN196" s="1656"/>
      <c r="AO196" s="1656"/>
      <c r="AP196" s="1656"/>
    </row>
    <row s="1441" customFormat="1" customHeight="1" ht="14.25">
      <c r="A197" s="673"/>
      <c r="B197" s="491"/>
      <c r="C197" s="491"/>
      <c r="D197" s="491"/>
      <c r="E197" s="655">
        <v>15</v>
      </c>
      <c r="F197" s="526" cm="1" t="str">
        <f t="array" ref="F197:F197">OFFSET(E197,-1,1)</f>
        <v>1</v>
      </c>
      <c r="G197" s="491"/>
      <c r="H197" s="491"/>
      <c r="I197" s="491"/>
      <c r="J197" s="491"/>
      <c r="K197" s="491"/>
      <c r="L197" s="491"/>
      <c r="M197" s="491"/>
      <c r="N197" s="491"/>
      <c r="O197" s="491"/>
      <c r="P197" s="491"/>
      <c r="Q197" s="491"/>
      <c r="R197" s="491"/>
      <c r="S197" s="491"/>
      <c r="T197" s="468" cm="1" t="str">
        <f t="array" ref="T197:T197">T196</f>
        <v>true</v>
      </c>
      <c r="U197" s="491"/>
      <c r="V197" s="491"/>
      <c r="W197" s="491"/>
      <c r="X197" s="1559"/>
      <c r="Y197" s="491"/>
      <c r="Z197" s="1560"/>
      <c r="AA197" s="491"/>
      <c r="AB197" s="1289" t="s">
        <v>2352</v>
      </c>
      <c r="AC197" s="1303" t="s">
        <v>1192</v>
      </c>
      <c r="AD197" s="1291" t="s">
        <v>936</v>
      </c>
      <c r="AE197" s="561"/>
      <c r="AF197" s="1117"/>
      <c r="AG197" s="1117"/>
      <c r="AH197" s="1072" t="s">
        <v>1194</v>
      </c>
      <c r="AI197" s="1066"/>
      <c r="AJ197" s="1066"/>
      <c r="AK197" s="973"/>
      <c r="AL197" s="973"/>
      <c r="AM197" s="1441"/>
      <c r="AN197" s="1441"/>
      <c r="AO197" s="1441"/>
      <c r="AP197" s="1441"/>
    </row>
    <row s="1441" customFormat="1" customHeight="1" ht="14.25">
      <c r="A198" s="673"/>
      <c r="B198" s="491"/>
      <c r="C198" s="491"/>
      <c r="D198" s="491"/>
      <c r="E198" s="655">
        <v>15</v>
      </c>
      <c r="F198" s="526" cm="1" t="str">
        <f t="array" ref="F198:F198">OFFSET(E198,-1,1)</f>
        <v>1</v>
      </c>
      <c r="G198" s="491"/>
      <c r="H198" s="491"/>
      <c r="I198" s="491"/>
      <c r="J198" s="491"/>
      <c r="K198" s="491"/>
      <c r="L198" s="491"/>
      <c r="M198" s="491"/>
      <c r="N198" s="491"/>
      <c r="O198" s="491"/>
      <c r="P198" s="491"/>
      <c r="Q198" s="491"/>
      <c r="R198" s="491"/>
      <c r="S198" s="491"/>
      <c r="T198" s="468" cm="1" t="str">
        <f t="array" ref="T198:T198">T197</f>
        <v>true</v>
      </c>
      <c r="U198" s="491"/>
      <c r="V198" s="491"/>
      <c r="W198" s="491"/>
      <c r="X198" s="1559"/>
      <c r="Y198" s="491"/>
      <c r="Z198" s="1560"/>
      <c r="AA198" s="491"/>
      <c r="AB198" s="1289" t="s">
        <v>1761</v>
      </c>
      <c r="AC198" s="1303" t="s">
        <v>1684</v>
      </c>
      <c r="AD198" s="1291" t="s">
        <v>936</v>
      </c>
      <c r="AE198" s="561"/>
      <c r="AF198" s="1117"/>
      <c r="AG198" s="1117"/>
      <c r="AH198" s="1072" t="s">
        <v>2906</v>
      </c>
      <c r="AI198" s="1066"/>
      <c r="AJ198" s="1066"/>
      <c r="AK198" s="973"/>
      <c r="AL198" s="973"/>
      <c r="AM198" s="1441"/>
      <c r="AN198" s="1441"/>
      <c r="AO198" s="1441"/>
      <c r="AP198" s="1441"/>
    </row>
    <row s="1656" customFormat="1" customHeight="1" ht="14.25">
      <c r="A199" s="673"/>
      <c r="B199" s="1240"/>
      <c r="C199" s="1240"/>
      <c r="D199" s="1240"/>
      <c r="E199" s="655">
        <v>15</v>
      </c>
      <c r="F199" s="50" cm="1" t="str">
        <f t="array" ref="F199:F199">OFFSET(E199,-1,1)</f>
        <v>1</v>
      </c>
      <c r="G199" s="1240"/>
      <c r="H199" s="491" t="s">
        <v>2907</v>
      </c>
      <c r="I199" s="1240"/>
      <c r="J199" s="1240"/>
      <c r="K199" s="1240"/>
      <c r="L199" s="1240"/>
      <c r="M199" s="1240"/>
      <c r="N199" s="1240"/>
      <c r="O199" s="1240"/>
      <c r="P199" s="1240"/>
      <c r="Q199" s="1240"/>
      <c r="R199" s="1240"/>
      <c r="S199" s="1240"/>
      <c r="T199" s="468" cm="1" t="str">
        <f t="array" ref="T199:T199">T196</f>
        <v>true</v>
      </c>
      <c r="U199" s="1240"/>
      <c r="V199" s="1240"/>
      <c r="W199" s="1240"/>
      <c r="X199" s="1559"/>
      <c r="Y199" s="1240"/>
      <c r="Z199" s="1560"/>
      <c r="AA199" s="1240"/>
      <c r="AB199" s="721" t="s">
        <v>1765</v>
      </c>
      <c r="AC199" s="550" t="s">
        <v>2908</v>
      </c>
      <c r="AD199" s="551" t="s">
        <v>936</v>
      </c>
      <c r="AE199" s="1356"/>
      <c r="AF199" s="1308"/>
      <c r="AG199" s="1308"/>
      <c r="AH199" s="1009" t="s">
        <v>2909</v>
      </c>
      <c r="AI199" s="1309"/>
      <c r="AJ199" s="1309"/>
      <c r="AK199" s="1310"/>
      <c r="AL199" s="1310"/>
      <c r="AM199" s="1656"/>
      <c r="AN199" s="1656"/>
      <c r="AO199" s="1656"/>
      <c r="AP199" s="1656"/>
    </row>
    <row s="1441" customFormat="1" customHeight="1" ht="31.5">
      <c r="A200" s="673"/>
      <c r="B200" s="491"/>
      <c r="C200" s="491"/>
      <c r="D200" s="491"/>
      <c r="E200" s="655">
        <v>33</v>
      </c>
      <c r="F200" s="526" cm="1" t="str">
        <f t="array" ref="F200:F200">OFFSET(E200,-1,1)</f>
        <v>1</v>
      </c>
      <c r="G200" s="491"/>
      <c r="H200" s="491"/>
      <c r="I200" s="491"/>
      <c r="J200" s="491"/>
      <c r="K200" s="491"/>
      <c r="L200" s="491"/>
      <c r="M200" s="491"/>
      <c r="N200" s="491"/>
      <c r="O200" s="491"/>
      <c r="P200" s="491"/>
      <c r="Q200" s="491"/>
      <c r="R200" s="491"/>
      <c r="S200" s="491"/>
      <c r="T200" s="468" cm="1" t="str">
        <f t="array" ref="T200:T200">T199</f>
        <v>true</v>
      </c>
      <c r="U200" s="491"/>
      <c r="V200" s="491"/>
      <c r="W200" s="491"/>
      <c r="X200" s="1559"/>
      <c r="Y200" s="491"/>
      <c r="Z200" s="1560"/>
      <c r="AA200" s="491"/>
      <c r="AB200" s="1289" t="s">
        <v>1768</v>
      </c>
      <c r="AC200" s="1290" t="s">
        <v>2365</v>
      </c>
      <c r="AD200" s="1291" t="s">
        <v>936</v>
      </c>
      <c r="AE200" s="561"/>
      <c r="AF200" s="1117"/>
      <c r="AG200" s="1117"/>
      <c r="AH200" s="1066" t="s">
        <v>2910</v>
      </c>
      <c r="AI200" s="1066"/>
      <c r="AJ200" s="1066"/>
      <c r="AK200" s="973"/>
      <c r="AL200" s="973"/>
      <c r="AM200" s="1441"/>
      <c r="AN200" s="1441"/>
      <c r="AO200" s="1441"/>
      <c r="AP200" s="1441"/>
    </row>
    <row s="1656" customFormat="1" customHeight="1" ht="14.25">
      <c r="A201" s="673"/>
      <c r="B201" s="1240"/>
      <c r="C201" s="1240"/>
      <c r="D201" s="1240"/>
      <c r="E201" s="655">
        <v>15</v>
      </c>
      <c r="F201" s="50" cm="1" t="str">
        <f t="array" ref="F201:F201">OFFSET(E201,-1,1)</f>
        <v>1</v>
      </c>
      <c r="G201" s="1240"/>
      <c r="H201" s="491" t="s">
        <v>2911</v>
      </c>
      <c r="I201" s="1240"/>
      <c r="J201" s="1240"/>
      <c r="K201" s="1240"/>
      <c r="L201" s="1240"/>
      <c r="M201" s="1240"/>
      <c r="N201" s="1240"/>
      <c r="O201" s="1240"/>
      <c r="P201" s="1240"/>
      <c r="Q201" s="1240"/>
      <c r="R201" s="1240"/>
      <c r="S201" s="1240"/>
      <c r="T201" s="468" cm="1" t="str">
        <f t="array" ref="T201:T201">T199</f>
        <v>true</v>
      </c>
      <c r="U201" s="1240"/>
      <c r="V201" s="1240"/>
      <c r="W201" s="1240"/>
      <c r="X201" s="1559"/>
      <c r="Y201" s="1240"/>
      <c r="Z201" s="1560"/>
      <c r="AA201" s="1240"/>
      <c r="AB201" s="721" t="s">
        <v>2912</v>
      </c>
      <c r="AC201" s="550" t="s">
        <v>2913</v>
      </c>
      <c r="AD201" s="551" t="s">
        <v>936</v>
      </c>
      <c r="AE201" s="560">
        <f>SUM(AE202:AE203)</f>
        <v>0</v>
      </c>
      <c r="AF201" s="1308"/>
      <c r="AG201" s="1308"/>
      <c r="AH201" s="1009" t="s">
        <v>2914</v>
      </c>
      <c r="AI201" s="1309"/>
      <c r="AJ201" s="1309"/>
      <c r="AK201" s="1310"/>
      <c r="AL201" s="1310"/>
      <c r="AM201" s="1656"/>
      <c r="AN201" s="1656"/>
      <c r="AO201" s="1656"/>
      <c r="AP201" s="1656"/>
    </row>
    <row s="1656" customFormat="1" customHeight="1" ht="14.25" hidden="1">
      <c r="A202" s="673"/>
      <c r="B202" s="1240"/>
      <c r="C202" s="1240"/>
      <c r="D202" s="1240"/>
      <c r="E202" s="655">
        <v>15</v>
      </c>
      <c r="F202" s="50" cm="1" t="str">
        <f t="array" ref="F202:F202">OFFSET(E202,-1,1)</f>
        <v>1</v>
      </c>
      <c r="G202" s="1240"/>
      <c r="H202" s="491" t="s">
        <v>2911</v>
      </c>
      <c r="I202" s="566" cm="1" t="str">
        <f t="array" ref="I202:I202">AC202</f>
        <v>0</v>
      </c>
      <c r="J202" s="1240"/>
      <c r="K202" s="1240"/>
      <c r="L202" s="1240"/>
      <c r="M202" s="1240"/>
      <c r="N202" s="1240"/>
      <c r="O202" s="1240"/>
      <c r="P202" s="1240"/>
      <c r="Q202" s="1240"/>
      <c r="R202" s="1240"/>
      <c r="S202" s="1240"/>
      <c r="T202" s="468">
        <f>AND(F202&gt;0,Y202&gt;0)</f>
        <v>0</v>
      </c>
      <c r="U202" s="1240"/>
      <c r="V202" s="1240"/>
      <c r="W202" s="558" t="s">
        <v>173</v>
      </c>
      <c r="X202" s="1559"/>
      <c r="Y202" s="491">
        <v>0</v>
      </c>
      <c r="Z202" s="1560"/>
      <c r="AA202" s="668" t="s">
        <v>174</v>
      </c>
      <c r="AB202" s="721" t="str">
        <f>"2.12."&amp;Y202</f>
        <v>2.12.0</v>
      </c>
      <c r="AC202" s="7393"/>
      <c r="AD202" s="551" t="s">
        <v>936</v>
      </c>
      <c r="AE202" s="7394"/>
      <c r="AF202" s="1308"/>
      <c r="AG202" s="1308"/>
      <c r="AH202" s="1009" t="s">
        <v>2914</v>
      </c>
      <c r="AI202" s="1009" t="s">
        <v>2915</v>
      </c>
      <c r="AJ202" s="1014" cm="1" t="str">
        <f t="array" ref="AJ202:AJ202">AC202</f>
        <v>0</v>
      </c>
      <c r="AK202" s="1310"/>
      <c r="AL202" s="662" t="b">
        <v>1</v>
      </c>
      <c r="AM202" s="1656"/>
      <c r="AN202" s="1656"/>
      <c r="AO202" s="1656"/>
      <c r="AP202" s="1656"/>
    </row>
    <row s="1656" customFormat="1" customHeight="1" ht="14.25">
      <c r="A203" s="673"/>
      <c r="B203" s="1240"/>
      <c r="C203" s="1240"/>
      <c r="D203" s="1240"/>
      <c r="E203" s="655">
        <v>15</v>
      </c>
      <c r="F203" s="50" cm="1" t="str">
        <f t="array" ref="F203:F203">OFFSET(E203,-1,1)</f>
        <v>1</v>
      </c>
      <c r="G203" s="1240"/>
      <c r="H203" s="1240"/>
      <c r="I203" s="154" t="str">
        <f>"!== 'не определено' &amp;&amp; row.l2_13 !== null"</f>
        <v>!== 'не определено' &amp;&amp; row.l2_13 !== null</v>
      </c>
      <c r="J203" s="1240"/>
      <c r="K203" s="1240"/>
      <c r="L203" s="1240"/>
      <c r="M203" s="1240"/>
      <c r="N203" s="1240"/>
      <c r="O203" s="1240"/>
      <c r="P203" s="1240"/>
      <c r="Q203" s="1240"/>
      <c r="R203" s="1240"/>
      <c r="S203" s="1240"/>
      <c r="T203" s="468">
        <f>F203&gt;0</f>
        <v>1</v>
      </c>
      <c r="U203" s="1240"/>
      <c r="V203" s="1240"/>
      <c r="W203" s="836" t="s">
        <v>1012</v>
      </c>
      <c r="X203" s="1559"/>
      <c r="Y203" s="1240"/>
      <c r="Z203" s="1560"/>
      <c r="AA203" s="1240"/>
      <c r="AB203" s="1298"/>
      <c r="AC203" s="1358" t="s">
        <v>177</v>
      </c>
      <c r="AD203" s="1300"/>
      <c r="AE203" s="1357"/>
      <c r="AF203" s="1308"/>
      <c r="AG203" s="1308"/>
      <c r="AH203" s="1309"/>
      <c r="AI203" s="1309"/>
      <c r="AJ203" s="1309"/>
      <c r="AK203" s="662" t="s">
        <v>2915</v>
      </c>
      <c r="AL203" s="1310"/>
      <c r="AM203" s="1656"/>
      <c r="AN203" s="1656"/>
      <c r="AO203" s="1656"/>
      <c r="AP203" s="1656"/>
    </row>
    <row s="1656" customFormat="1" customHeight="1" ht="14.25">
      <c r="A204" s="673"/>
      <c r="B204" s="1240"/>
      <c r="C204" s="1240"/>
      <c r="D204" s="1240"/>
      <c r="E204" s="655">
        <v>15</v>
      </c>
      <c r="F204" s="50" cm="1" t="str">
        <f t="array" ref="F204:F204">OFFSET(E204,-1,1)</f>
        <v>1</v>
      </c>
      <c r="G204" s="491" t="s">
        <v>50</v>
      </c>
      <c r="H204" s="491" t="s">
        <v>346</v>
      </c>
      <c r="I204" s="1240"/>
      <c r="J204" s="1240"/>
      <c r="K204" s="1240"/>
      <c r="L204" s="1240"/>
      <c r="M204" s="1240"/>
      <c r="N204" s="1240"/>
      <c r="O204" s="1240"/>
      <c r="P204" s="1240"/>
      <c r="Q204" s="1240"/>
      <c r="R204" s="1240"/>
      <c r="S204" s="1240"/>
      <c r="T204" s="468" cm="1" t="str">
        <f t="array" ref="T204:T204">T203</f>
        <v>true</v>
      </c>
      <c r="U204" s="1240"/>
      <c r="V204" s="1240"/>
      <c r="W204" s="1240"/>
      <c r="X204" s="1559"/>
      <c r="Y204" s="1240"/>
      <c r="Z204" s="1560"/>
      <c r="AA204" s="1240"/>
      <c r="AB204" s="720" t="s">
        <v>234</v>
      </c>
      <c r="AC204" s="548" t="s">
        <v>2368</v>
      </c>
      <c r="AD204" s="549" t="s">
        <v>936</v>
      </c>
      <c r="AE204" s="1359"/>
      <c r="AF204" s="1308"/>
      <c r="AG204" s="1308"/>
      <c r="AH204" s="1009" t="s">
        <v>1984</v>
      </c>
      <c r="AI204" s="1309"/>
      <c r="AJ204" s="1309"/>
      <c r="AK204" s="1310"/>
      <c r="AL204" s="1310"/>
      <c r="AM204" s="1656"/>
      <c r="AN204" s="1656"/>
      <c r="AO204" s="1656"/>
      <c r="AP204" s="1656"/>
    </row>
    <row s="1656" customFormat="1" customHeight="1" ht="14.25">
      <c r="A205" s="673"/>
      <c r="B205" s="1240"/>
      <c r="C205" s="1240"/>
      <c r="D205" s="1240"/>
      <c r="E205" s="655">
        <v>15</v>
      </c>
      <c r="F205" s="843" cm="1" t="str">
        <f t="array" ref="F205:F205">X205</f>
        <v>2</v>
      </c>
      <c r="G205" s="491" t="s">
        <v>929</v>
      </c>
      <c r="H205" s="1240"/>
      <c r="I205" s="1240"/>
      <c r="J205" s="1240"/>
      <c r="K205" s="1240"/>
      <c r="L205" s="1240"/>
      <c r="M205" s="1240"/>
      <c r="N205" s="1240"/>
      <c r="O205" s="1240"/>
      <c r="P205" s="1240"/>
      <c r="Q205" s="1240"/>
      <c r="R205" s="1240"/>
      <c r="S205" s="1240"/>
      <c r="T205" s="468">
        <f>X205&gt;0</f>
        <v>1</v>
      </c>
      <c r="U205" s="1240"/>
      <c r="V205" s="491" cm="1" t="str">
        <f t="array" ref="V205:V205">'ДПР (концессии)'!$AB$236</f>
        <v>Тариф 2 (Водоотведение) - тариф на водоотведение (Оказание услуг на территории: город Ленинск-Кузнецкий (ОКТМО: 32719000) - г Ленинск-Кузнецкий)</v>
      </c>
      <c r="W205" s="1240"/>
      <c r="X205" s="1559" t="s">
        <v>299</v>
      </c>
      <c r="Y205" s="1240"/>
      <c r="Z205" s="1560"/>
      <c r="AA205" s="1240"/>
      <c r="AB205" s="218" cm="1" t="str">
        <f t="array" ref="AB205:AB205">'ДПР (концессии)'!$AB$236</f>
        <v>Тариф 2 (Водоотведение) - тариф на водоотведение (Оказание услуг на территории: город Ленинск-Кузнецкий (ОКТМО: 32719000) - г Ленинск-Кузнецкий)</v>
      </c>
      <c r="AC205" s="176"/>
      <c r="AD205" s="170"/>
      <c r="AE205" s="1285">
        <f>AE206+AE256+AE293</f>
        <v>0</v>
      </c>
      <c r="AF205" s="1308"/>
      <c r="AG205" s="1308"/>
      <c r="AH205" s="1309"/>
      <c r="AI205" s="1309"/>
      <c r="AJ205" s="1309"/>
      <c r="AK205" s="1310"/>
      <c r="AL205" s="1310"/>
      <c r="AM205" s="1656"/>
      <c r="AN205" s="1656"/>
      <c r="AO205" s="1656"/>
      <c r="AP205" s="1656"/>
    </row>
    <row s="1656" customFormat="1" customHeight="1" ht="14.25">
      <c r="A206" s="673"/>
      <c r="B206" s="1240"/>
      <c r="C206" s="1240"/>
      <c r="D206" s="1240"/>
      <c r="E206" s="655">
        <v>15</v>
      </c>
      <c r="F206" s="50" cm="1" t="str">
        <f t="array" ref="F206:F206">OFFSET(E206,-1,1)</f>
        <v>2</v>
      </c>
      <c r="G206" s="1240"/>
      <c r="H206" s="491" t="s">
        <v>344</v>
      </c>
      <c r="I206" s="1240"/>
      <c r="J206" s="1240"/>
      <c r="K206" s="1240"/>
      <c r="L206" s="1240"/>
      <c r="M206" s="1240"/>
      <c r="N206" s="1240"/>
      <c r="O206" s="1240"/>
      <c r="P206" s="1240"/>
      <c r="Q206" s="1240"/>
      <c r="R206" s="1240"/>
      <c r="S206" s="1240"/>
      <c r="T206" s="468" cm="1" t="str">
        <f t="array" ref="T206:T206">T205</f>
        <v>true</v>
      </c>
      <c r="U206" s="1240"/>
      <c r="V206" s="1240"/>
      <c r="W206" s="1240"/>
      <c r="X206" s="1559"/>
      <c r="Y206" s="1240"/>
      <c r="Z206" s="1560"/>
      <c r="AA206" s="1240"/>
      <c r="AB206" s="1286" t="s">
        <v>290</v>
      </c>
      <c r="AC206" s="1287" t="s">
        <v>2174</v>
      </c>
      <c r="AD206" s="1288" t="s">
        <v>936</v>
      </c>
      <c r="AE206" s="1355">
        <f>AE207+AE225+AE233+AE253</f>
        <v>0</v>
      </c>
      <c r="AF206" s="1308"/>
      <c r="AG206" s="1308"/>
      <c r="AH206" s="1009" t="s">
        <v>649</v>
      </c>
      <c r="AI206" s="1309"/>
      <c r="AJ206" s="1309"/>
      <c r="AK206" s="1310"/>
      <c r="AL206" s="1310"/>
      <c r="AM206" s="1656"/>
      <c r="AN206" s="1656"/>
      <c r="AO206" s="1656"/>
      <c r="AP206" s="1656"/>
    </row>
    <row s="1656" customFormat="1" customHeight="1" ht="14.25">
      <c r="A207" s="673"/>
      <c r="B207" s="1240"/>
      <c r="C207" s="1240"/>
      <c r="D207" s="1240"/>
      <c r="E207" s="655">
        <v>15</v>
      </c>
      <c r="F207" s="50" cm="1" t="str">
        <f t="array" ref="F207:F207">OFFSET(E207,-1,1)</f>
        <v>2</v>
      </c>
      <c r="G207" s="1240"/>
      <c r="H207" s="491" t="s">
        <v>566</v>
      </c>
      <c r="I207" s="1240"/>
      <c r="J207" s="1240"/>
      <c r="K207" s="1240"/>
      <c r="L207" s="1240"/>
      <c r="M207" s="1240"/>
      <c r="N207" s="1240"/>
      <c r="O207" s="1240"/>
      <c r="P207" s="1240"/>
      <c r="Q207" s="1240"/>
      <c r="R207" s="1240"/>
      <c r="S207" s="1240"/>
      <c r="T207" s="468" cm="1" t="str">
        <f t="array" ref="T207:T207">T206</f>
        <v>true</v>
      </c>
      <c r="U207" s="1240"/>
      <c r="V207" s="1240"/>
      <c r="W207" s="1240"/>
      <c r="X207" s="1559"/>
      <c r="Y207" s="1240"/>
      <c r="Z207" s="1560"/>
      <c r="AA207" s="1240"/>
      <c r="AB207" s="1289" t="s">
        <v>1067</v>
      </c>
      <c r="AC207" s="1290" t="s">
        <v>1972</v>
      </c>
      <c r="AD207" s="1291" t="s">
        <v>936</v>
      </c>
      <c r="AE207" s="560">
        <f>AE208+AE209+AE210+AE215+AE216+AE217</f>
        <v>0</v>
      </c>
      <c r="AF207" s="1308"/>
      <c r="AG207" s="1308"/>
      <c r="AH207" s="1009" t="s">
        <v>1352</v>
      </c>
      <c r="AI207" s="1309"/>
      <c r="AJ207" s="1309"/>
      <c r="AK207" s="1310"/>
      <c r="AL207" s="1310"/>
      <c r="AM207" s="1656"/>
      <c r="AN207" s="1656"/>
      <c r="AO207" s="1656"/>
      <c r="AP207" s="1656"/>
    </row>
    <row s="1656" customFormat="1" customHeight="1" ht="14.25">
      <c r="A208" s="673"/>
      <c r="B208" s="1240"/>
      <c r="C208" s="1240"/>
      <c r="D208" s="1240"/>
      <c r="E208" s="655">
        <v>15</v>
      </c>
      <c r="F208" s="50" cm="1" t="str">
        <f t="array" ref="F208:F208">OFFSET(E208,-1,1)</f>
        <v>2</v>
      </c>
      <c r="G208" s="1240"/>
      <c r="H208" s="491" t="s">
        <v>1197</v>
      </c>
      <c r="I208" s="1240"/>
      <c r="J208" s="1240"/>
      <c r="K208" s="1240"/>
      <c r="L208" s="1240"/>
      <c r="M208" s="1240"/>
      <c r="N208" s="1240"/>
      <c r="O208" s="1240"/>
      <c r="P208" s="1240"/>
      <c r="Q208" s="1240"/>
      <c r="R208" s="1240"/>
      <c r="S208" s="1240"/>
      <c r="T208" s="468" cm="1" t="str">
        <f t="array" ref="T208:T208">T207</f>
        <v>true</v>
      </c>
      <c r="U208" s="1240"/>
      <c r="V208" s="1240"/>
      <c r="W208" s="1240"/>
      <c r="X208" s="1559"/>
      <c r="Y208" s="1240"/>
      <c r="Z208" s="1560"/>
      <c r="AA208" s="1240"/>
      <c r="AB208" s="721" t="s">
        <v>1198</v>
      </c>
      <c r="AC208" s="1292" t="s">
        <v>2782</v>
      </c>
      <c r="AD208" s="551" t="s">
        <v>936</v>
      </c>
      <c r="AE208" s="1356"/>
      <c r="AF208" s="1308"/>
      <c r="AG208" s="1308"/>
      <c r="AH208" s="1009" t="s">
        <v>1448</v>
      </c>
      <c r="AI208" s="1309"/>
      <c r="AJ208" s="1309"/>
      <c r="AK208" s="1310"/>
      <c r="AL208" s="1310"/>
      <c r="AM208" s="1656"/>
      <c r="AN208" s="1656"/>
      <c r="AO208" s="1656"/>
      <c r="AP208" s="1656"/>
    </row>
    <row s="1656" customFormat="1" customHeight="1" ht="21.75">
      <c r="A209" s="673"/>
      <c r="B209" s="1240"/>
      <c r="C209" s="1240"/>
      <c r="D209" s="1240"/>
      <c r="E209" s="655">
        <v>22.5</v>
      </c>
      <c r="F209" s="50" cm="1" t="str">
        <f t="array" ref="F209:F209">OFFSET(E209,-1,1)</f>
        <v>2</v>
      </c>
      <c r="G209" s="1240"/>
      <c r="H209" s="491" t="s">
        <v>1201</v>
      </c>
      <c r="I209" s="1240"/>
      <c r="J209" s="1240"/>
      <c r="K209" s="1240"/>
      <c r="L209" s="1240"/>
      <c r="M209" s="1240"/>
      <c r="N209" s="1240"/>
      <c r="O209" s="1240"/>
      <c r="P209" s="1240"/>
      <c r="Q209" s="1240"/>
      <c r="R209" s="1240"/>
      <c r="S209" s="1240"/>
      <c r="T209" s="468" cm="1" t="str">
        <f t="array" ref="T209:T209">T208</f>
        <v>true</v>
      </c>
      <c r="U209" s="1240"/>
      <c r="V209" s="1240"/>
      <c r="W209" s="1240"/>
      <c r="X209" s="1559"/>
      <c r="Y209" s="1240"/>
      <c r="Z209" s="1560"/>
      <c r="AA209" s="1240"/>
      <c r="AB209" s="721" t="s">
        <v>1202</v>
      </c>
      <c r="AC209" s="552" t="s">
        <v>2182</v>
      </c>
      <c r="AD209" s="551" t="s">
        <v>936</v>
      </c>
      <c r="AE209" s="1356"/>
      <c r="AF209" s="1308"/>
      <c r="AG209" s="1308"/>
      <c r="AH209" s="1009" t="s">
        <v>2005</v>
      </c>
      <c r="AI209" s="1309"/>
      <c r="AJ209" s="1309"/>
      <c r="AK209" s="1310"/>
      <c r="AL209" s="1310"/>
      <c r="AM209" s="1656"/>
      <c r="AN209" s="1656"/>
      <c r="AO209" s="1656"/>
      <c r="AP209" s="1656"/>
    </row>
    <row s="1656" customFormat="1" customHeight="1" ht="32.25">
      <c r="A210" s="673"/>
      <c r="B210" s="1240"/>
      <c r="C210" s="1240"/>
      <c r="D210" s="1240"/>
      <c r="E210" s="655">
        <v>33.75</v>
      </c>
      <c r="F210" s="50" cm="1" t="str">
        <f t="array" ref="F210:F210">OFFSET(E210,-1,1)</f>
        <v>2</v>
      </c>
      <c r="G210" s="1240"/>
      <c r="H210" s="491" t="s">
        <v>1525</v>
      </c>
      <c r="I210" s="1240"/>
      <c r="J210" s="1240"/>
      <c r="K210" s="1240"/>
      <c r="L210" s="1240"/>
      <c r="M210" s="1240"/>
      <c r="N210" s="1240"/>
      <c r="O210" s="1240"/>
      <c r="P210" s="1240"/>
      <c r="Q210" s="1240"/>
      <c r="R210" s="1240"/>
      <c r="S210" s="1240"/>
      <c r="T210" s="468" cm="1" t="str">
        <f t="array" ref="T210:T210">T209</f>
        <v>true</v>
      </c>
      <c r="U210" s="1240"/>
      <c r="V210" s="1240"/>
      <c r="W210" s="1240"/>
      <c r="X210" s="1559"/>
      <c r="Y210" s="1240"/>
      <c r="Z210" s="1560"/>
      <c r="AA210" s="1240"/>
      <c r="AB210" s="721" t="s">
        <v>1526</v>
      </c>
      <c r="AC210" s="552" t="s">
        <v>2783</v>
      </c>
      <c r="AD210" s="551" t="s">
        <v>936</v>
      </c>
      <c r="AE210" s="560">
        <f>AE211+AE214</f>
        <v>0</v>
      </c>
      <c r="AF210" s="1308"/>
      <c r="AG210" s="1308"/>
      <c r="AH210" s="1009" t="s">
        <v>2007</v>
      </c>
      <c r="AI210" s="1309"/>
      <c r="AJ210" s="1309"/>
      <c r="AK210" s="1310"/>
      <c r="AL210" s="1310"/>
      <c r="AM210" s="1656"/>
      <c r="AN210" s="1656"/>
      <c r="AO210" s="1656"/>
      <c r="AP210" s="1656"/>
    </row>
    <row s="1656" customFormat="1" customHeight="1" ht="21.75">
      <c r="A211" s="673"/>
      <c r="B211" s="1240"/>
      <c r="C211" s="1240"/>
      <c r="D211" s="1240"/>
      <c r="E211" s="655">
        <v>22.5</v>
      </c>
      <c r="F211" s="50" cm="1" t="str">
        <f t="array" ref="F211:F211">OFFSET(E211,-1,1)</f>
        <v>2</v>
      </c>
      <c r="G211" s="1240"/>
      <c r="H211" s="491" t="s">
        <v>2784</v>
      </c>
      <c r="I211" s="1240"/>
      <c r="J211" s="1240"/>
      <c r="K211" s="1240"/>
      <c r="L211" s="1240"/>
      <c r="M211" s="1240"/>
      <c r="N211" s="1240"/>
      <c r="O211" s="1240"/>
      <c r="P211" s="1240"/>
      <c r="Q211" s="1240"/>
      <c r="R211" s="1240"/>
      <c r="S211" s="1240"/>
      <c r="T211" s="468" cm="1" t="str">
        <f t="array" ref="T211:T211">T210</f>
        <v>true</v>
      </c>
      <c r="U211" s="1240"/>
      <c r="V211" s="1240"/>
      <c r="W211" s="1240"/>
      <c r="X211" s="1559"/>
      <c r="Y211" s="1240"/>
      <c r="Z211" s="1560"/>
      <c r="AA211" s="1240"/>
      <c r="AB211" s="721" t="s">
        <v>2785</v>
      </c>
      <c r="AC211" s="1293" t="s">
        <v>2786</v>
      </c>
      <c r="AD211" s="551" t="s">
        <v>936</v>
      </c>
      <c r="AE211" s="1356"/>
      <c r="AF211" s="1308"/>
      <c r="AG211" s="1308"/>
      <c r="AH211" s="1009" t="s">
        <v>2009</v>
      </c>
      <c r="AI211" s="1309"/>
      <c r="AJ211" s="1309"/>
      <c r="AK211" s="1310"/>
      <c r="AL211" s="1310"/>
      <c r="AM211" s="1656"/>
      <c r="AN211" s="1656"/>
      <c r="AO211" s="1656"/>
      <c r="AP211" s="1656"/>
    </row>
    <row s="1656" customFormat="1" customHeight="1" ht="21.75">
      <c r="A212" s="673"/>
      <c r="B212" s="1240"/>
      <c r="C212" s="1240"/>
      <c r="D212" s="1240"/>
      <c r="E212" s="655">
        <v>22.5</v>
      </c>
      <c r="F212" s="50" cm="1" t="str">
        <f t="array" ref="F212:F212">OFFSET(E212,-1,1)</f>
        <v>2</v>
      </c>
      <c r="G212" s="1240"/>
      <c r="H212" s="491" t="s">
        <v>2787</v>
      </c>
      <c r="I212" s="1240"/>
      <c r="J212" s="1240"/>
      <c r="K212" s="1240"/>
      <c r="L212" s="1240"/>
      <c r="M212" s="1240"/>
      <c r="N212" s="1240"/>
      <c r="O212" s="1240"/>
      <c r="P212" s="1240"/>
      <c r="Q212" s="1240"/>
      <c r="R212" s="1240"/>
      <c r="S212" s="1240"/>
      <c r="T212" s="468" cm="1" t="str">
        <f t="array" ref="T212:T212">T211</f>
        <v>true</v>
      </c>
      <c r="U212" s="1240"/>
      <c r="V212" s="1240"/>
      <c r="W212" s="1240"/>
      <c r="X212" s="1559"/>
      <c r="Y212" s="1240"/>
      <c r="Z212" s="1560"/>
      <c r="AA212" s="1240"/>
      <c r="AB212" s="721" t="s">
        <v>2788</v>
      </c>
      <c r="AC212" s="1294" t="s">
        <v>2789</v>
      </c>
      <c r="AD212" s="551" t="s">
        <v>2790</v>
      </c>
      <c r="AE212" s="1356"/>
      <c r="AF212" s="1308"/>
      <c r="AG212" s="1308"/>
      <c r="AH212" s="1009" t="s">
        <v>2791</v>
      </c>
      <c r="AI212" s="1309"/>
      <c r="AJ212" s="1309"/>
      <c r="AK212" s="1310"/>
      <c r="AL212" s="1310"/>
      <c r="AM212" s="1656"/>
      <c r="AN212" s="1656"/>
      <c r="AO212" s="1656"/>
      <c r="AP212" s="1656"/>
    </row>
    <row s="1656" customFormat="1" customHeight="1" ht="21.75">
      <c r="A213" s="673"/>
      <c r="B213" s="1240"/>
      <c r="C213" s="1240"/>
      <c r="D213" s="1240"/>
      <c r="E213" s="655">
        <v>22.5</v>
      </c>
      <c r="F213" s="50" cm="1" t="str">
        <f t="array" ref="F213:F213">OFFSET(E213,-1,1)</f>
        <v>2</v>
      </c>
      <c r="G213" s="1240"/>
      <c r="H213" s="491" t="s">
        <v>2792</v>
      </c>
      <c r="I213" s="1240"/>
      <c r="J213" s="1240"/>
      <c r="K213" s="1240"/>
      <c r="L213" s="1240"/>
      <c r="M213" s="1240"/>
      <c r="N213" s="1240"/>
      <c r="O213" s="1240"/>
      <c r="P213" s="1240"/>
      <c r="Q213" s="1240"/>
      <c r="R213" s="1240"/>
      <c r="S213" s="1240"/>
      <c r="T213" s="468" cm="1" t="str">
        <f t="array" ref="T213:T213">T212</f>
        <v>true</v>
      </c>
      <c r="U213" s="1240"/>
      <c r="V213" s="1240"/>
      <c r="W213" s="1240"/>
      <c r="X213" s="1559"/>
      <c r="Y213" s="1240"/>
      <c r="Z213" s="1560"/>
      <c r="AA213" s="1240"/>
      <c r="AB213" s="721" t="s">
        <v>2793</v>
      </c>
      <c r="AC213" s="554" t="s">
        <v>2794</v>
      </c>
      <c r="AD213" s="551" t="s">
        <v>2795</v>
      </c>
      <c r="AE213" s="1356"/>
      <c r="AF213" s="1308"/>
      <c r="AG213" s="1308"/>
      <c r="AH213" s="1009" t="s">
        <v>2796</v>
      </c>
      <c r="AI213" s="1309"/>
      <c r="AJ213" s="1309"/>
      <c r="AK213" s="1310"/>
      <c r="AL213" s="1310"/>
      <c r="AM213" s="1656"/>
      <c r="AN213" s="1656"/>
      <c r="AO213" s="1656"/>
      <c r="AP213" s="1656"/>
    </row>
    <row s="1656" customFormat="1" customHeight="1" ht="21.75">
      <c r="A214" s="673"/>
      <c r="B214" s="1240"/>
      <c r="C214" s="1240"/>
      <c r="D214" s="1240"/>
      <c r="E214" s="655">
        <v>22.5</v>
      </c>
      <c r="F214" s="50" cm="1" t="str">
        <f t="array" ref="F214:F214">OFFSET(E214,-1,1)</f>
        <v>2</v>
      </c>
      <c r="G214" s="1240"/>
      <c r="H214" s="491" t="s">
        <v>2797</v>
      </c>
      <c r="I214" s="1240"/>
      <c r="J214" s="1240"/>
      <c r="K214" s="1240"/>
      <c r="L214" s="1240"/>
      <c r="M214" s="1240"/>
      <c r="N214" s="1240"/>
      <c r="O214" s="1240"/>
      <c r="P214" s="1240"/>
      <c r="Q214" s="1240"/>
      <c r="R214" s="1240"/>
      <c r="S214" s="1240"/>
      <c r="T214" s="468" cm="1" t="str">
        <f t="array" ref="T214:T214">T213</f>
        <v>true</v>
      </c>
      <c r="U214" s="1240"/>
      <c r="V214" s="1240"/>
      <c r="W214" s="1240"/>
      <c r="X214" s="1559"/>
      <c r="Y214" s="1240"/>
      <c r="Z214" s="1560"/>
      <c r="AA214" s="1240"/>
      <c r="AB214" s="721" t="s">
        <v>2798</v>
      </c>
      <c r="AC214" s="553" t="s">
        <v>2799</v>
      </c>
      <c r="AD214" s="551" t="s">
        <v>936</v>
      </c>
      <c r="AE214" s="1356"/>
      <c r="AF214" s="1308"/>
      <c r="AG214" s="1308"/>
      <c r="AH214" s="1009" t="s">
        <v>2011</v>
      </c>
      <c r="AI214" s="1309"/>
      <c r="AJ214" s="1309"/>
      <c r="AK214" s="1310"/>
      <c r="AL214" s="1310"/>
      <c r="AM214" s="1656"/>
      <c r="AN214" s="1656"/>
      <c r="AO214" s="1656"/>
      <c r="AP214" s="1656"/>
    </row>
    <row s="1656" customFormat="1" customHeight="1" ht="14.25">
      <c r="A215" s="673"/>
      <c r="B215" s="1240"/>
      <c r="C215" s="1240"/>
      <c r="D215" s="1240"/>
      <c r="E215" s="655">
        <v>15</v>
      </c>
      <c r="F215" s="50" cm="1" t="str">
        <f t="array" ref="F215:F215">OFFSET(E215,-1,1)</f>
        <v>2</v>
      </c>
      <c r="G215" s="1240"/>
      <c r="H215" s="491" t="s">
        <v>1529</v>
      </c>
      <c r="I215" s="1240"/>
      <c r="J215" s="1240"/>
      <c r="K215" s="1240"/>
      <c r="L215" s="1240"/>
      <c r="M215" s="1240"/>
      <c r="N215" s="1240"/>
      <c r="O215" s="1240"/>
      <c r="P215" s="1240"/>
      <c r="Q215" s="1240"/>
      <c r="R215" s="1240"/>
      <c r="S215" s="1240"/>
      <c r="T215" s="468" cm="1" t="str">
        <f t="array" ref="T215:T215">T214</f>
        <v>true</v>
      </c>
      <c r="U215" s="1240"/>
      <c r="V215" s="1240"/>
      <c r="W215" s="1240"/>
      <c r="X215" s="1559"/>
      <c r="Y215" s="1240"/>
      <c r="Z215" s="1560"/>
      <c r="AA215" s="1240"/>
      <c r="AB215" s="721" t="s">
        <v>1530</v>
      </c>
      <c r="AC215" s="552" t="s">
        <v>2800</v>
      </c>
      <c r="AD215" s="551" t="s">
        <v>936</v>
      </c>
      <c r="AE215" s="1356"/>
      <c r="AF215" s="1308"/>
      <c r="AG215" s="1308"/>
      <c r="AH215" s="1009" t="s">
        <v>2363</v>
      </c>
      <c r="AI215" s="1309"/>
      <c r="AJ215" s="1309"/>
      <c r="AK215" s="1310"/>
      <c r="AL215" s="1310"/>
      <c r="AM215" s="1656"/>
      <c r="AN215" s="1656"/>
      <c r="AO215" s="1656"/>
      <c r="AP215" s="1656"/>
    </row>
    <row s="1656" customFormat="1" customHeight="1" ht="14.25">
      <c r="A216" s="673"/>
      <c r="B216" s="1240"/>
      <c r="C216" s="1240"/>
      <c r="D216" s="1240"/>
      <c r="E216" s="655">
        <v>15</v>
      </c>
      <c r="F216" s="50" cm="1" t="str">
        <f t="array" ref="F216:F216">OFFSET(E216,-1,1)</f>
        <v>2</v>
      </c>
      <c r="G216" s="1240"/>
      <c r="H216" s="491" t="s">
        <v>2801</v>
      </c>
      <c r="I216" s="1240"/>
      <c r="J216" s="1240"/>
      <c r="K216" s="1240"/>
      <c r="L216" s="1240"/>
      <c r="M216" s="1240"/>
      <c r="N216" s="1240"/>
      <c r="O216" s="1240"/>
      <c r="P216" s="1240"/>
      <c r="Q216" s="1240"/>
      <c r="R216" s="1240"/>
      <c r="S216" s="1240"/>
      <c r="T216" s="468" cm="1" t="str">
        <f t="array" ref="T216:T216">T215</f>
        <v>true</v>
      </c>
      <c r="U216" s="1240"/>
      <c r="V216" s="1240"/>
      <c r="W216" s="1240"/>
      <c r="X216" s="1559"/>
      <c r="Y216" s="1240"/>
      <c r="Z216" s="1560"/>
      <c r="AA216" s="1240"/>
      <c r="AB216" s="721" t="s">
        <v>1533</v>
      </c>
      <c r="AC216" s="552" t="s">
        <v>2188</v>
      </c>
      <c r="AD216" s="551" t="s">
        <v>936</v>
      </c>
      <c r="AE216" s="1356"/>
      <c r="AF216" s="1308"/>
      <c r="AG216" s="1308"/>
      <c r="AH216" s="1009" t="s">
        <v>2016</v>
      </c>
      <c r="AI216" s="1309"/>
      <c r="AJ216" s="1309"/>
      <c r="AK216" s="1310"/>
      <c r="AL216" s="1310"/>
      <c r="AM216" s="1656"/>
      <c r="AN216" s="1656"/>
      <c r="AO216" s="1656"/>
      <c r="AP216" s="1656"/>
    </row>
    <row s="1656" customFormat="1" customHeight="1" ht="14.25">
      <c r="A217" s="673"/>
      <c r="B217" s="1240"/>
      <c r="C217" s="1240"/>
      <c r="D217" s="1240"/>
      <c r="E217" s="655">
        <v>15</v>
      </c>
      <c r="F217" s="50" cm="1" t="str">
        <f t="array" ref="F217:F217">OFFSET(E217,-1,1)</f>
        <v>2</v>
      </c>
      <c r="G217" s="1240"/>
      <c r="H217" s="491" t="s">
        <v>2802</v>
      </c>
      <c r="I217" s="1240"/>
      <c r="J217" s="1240"/>
      <c r="K217" s="1240"/>
      <c r="L217" s="1240"/>
      <c r="M217" s="1240"/>
      <c r="N217" s="1240"/>
      <c r="O217" s="1240"/>
      <c r="P217" s="1240"/>
      <c r="Q217" s="1240"/>
      <c r="R217" s="1240"/>
      <c r="S217" s="1240"/>
      <c r="T217" s="468" cm="1" t="str">
        <f t="array" ref="T217:T217">T216</f>
        <v>true</v>
      </c>
      <c r="U217" s="1240"/>
      <c r="V217" s="1240"/>
      <c r="W217" s="1240"/>
      <c r="X217" s="1559"/>
      <c r="Y217" s="1240"/>
      <c r="Z217" s="1560"/>
      <c r="AA217" s="1240"/>
      <c r="AB217" s="721" t="s">
        <v>2803</v>
      </c>
      <c r="AC217" s="552" t="s">
        <v>2804</v>
      </c>
      <c r="AD217" s="551" t="s">
        <v>936</v>
      </c>
      <c r="AE217" s="560">
        <f>SUM(AE218:AE224)</f>
        <v>0</v>
      </c>
      <c r="AF217" s="1308"/>
      <c r="AG217" s="1308"/>
      <c r="AH217" s="1009" t="s">
        <v>2020</v>
      </c>
      <c r="AI217" s="1309"/>
      <c r="AJ217" s="1309"/>
      <c r="AK217" s="1310"/>
      <c r="AL217" s="1310"/>
      <c r="AM217" s="1656"/>
      <c r="AN217" s="1656"/>
      <c r="AO217" s="1656"/>
      <c r="AP217" s="1656"/>
    </row>
    <row s="1656" customFormat="1" customHeight="1" ht="14.25">
      <c r="A218" s="673"/>
      <c r="B218" s="1240"/>
      <c r="C218" s="1240"/>
      <c r="D218" s="1240"/>
      <c r="E218" s="655">
        <v>15</v>
      </c>
      <c r="F218" s="50" cm="1" t="str">
        <f t="array" ref="F218:F218">OFFSET(E218,-1,1)</f>
        <v>2</v>
      </c>
      <c r="G218" s="1240"/>
      <c r="H218" s="491" t="s">
        <v>2805</v>
      </c>
      <c r="I218" s="1240"/>
      <c r="J218" s="1240"/>
      <c r="K218" s="1240"/>
      <c r="L218" s="1240"/>
      <c r="M218" s="1240"/>
      <c r="N218" s="1240"/>
      <c r="O218" s="1240"/>
      <c r="P218" s="1240"/>
      <c r="Q218" s="1240"/>
      <c r="R218" s="1240"/>
      <c r="S218" s="1240"/>
      <c r="T218" s="468" cm="1" t="str">
        <f t="array" ref="T218:T218">T217</f>
        <v>true</v>
      </c>
      <c r="U218" s="1240"/>
      <c r="V218" s="1240"/>
      <c r="W218" s="1240"/>
      <c r="X218" s="1559"/>
      <c r="Y218" s="1240"/>
      <c r="Z218" s="1560"/>
      <c r="AA218" s="1240"/>
      <c r="AB218" s="721" t="s">
        <v>2806</v>
      </c>
      <c r="AC218" s="553" t="s">
        <v>2027</v>
      </c>
      <c r="AD218" s="551" t="s">
        <v>936</v>
      </c>
      <c r="AE218" s="1356"/>
      <c r="AF218" s="1308"/>
      <c r="AG218" s="1308"/>
      <c r="AH218" s="1009" t="s">
        <v>2807</v>
      </c>
      <c r="AI218" s="1309"/>
      <c r="AJ218" s="1309"/>
      <c r="AK218" s="1310"/>
      <c r="AL218" s="1310"/>
      <c r="AM218" s="1656"/>
      <c r="AN218" s="1656"/>
      <c r="AO218" s="1656"/>
      <c r="AP218" s="1656"/>
    </row>
    <row s="1656" customFormat="1" customHeight="1" ht="21.75">
      <c r="A219" s="673"/>
      <c r="B219" s="1240"/>
      <c r="C219" s="1240"/>
      <c r="D219" s="1240"/>
      <c r="E219" s="655">
        <v>22.5</v>
      </c>
      <c r="F219" s="50" cm="1" t="str">
        <f t="array" ref="F219:F219">OFFSET(E219,-1,1)</f>
        <v>2</v>
      </c>
      <c r="G219" s="1240"/>
      <c r="H219" s="491" t="s">
        <v>2808</v>
      </c>
      <c r="I219" s="1240"/>
      <c r="J219" s="1240"/>
      <c r="K219" s="1240"/>
      <c r="L219" s="1240"/>
      <c r="M219" s="1240"/>
      <c r="N219" s="1240"/>
      <c r="O219" s="1240"/>
      <c r="P219" s="1240"/>
      <c r="Q219" s="1240"/>
      <c r="R219" s="1240"/>
      <c r="S219" s="1240"/>
      <c r="T219" s="468" cm="1" t="str">
        <f t="array" ref="T219:T219">T218</f>
        <v>true</v>
      </c>
      <c r="U219" s="1240"/>
      <c r="V219" s="1240"/>
      <c r="W219" s="1240"/>
      <c r="X219" s="1559"/>
      <c r="Y219" s="1240"/>
      <c r="Z219" s="1560"/>
      <c r="AA219" s="1240"/>
      <c r="AB219" s="721" t="s">
        <v>2809</v>
      </c>
      <c r="AC219" s="553" t="s">
        <v>2196</v>
      </c>
      <c r="AD219" s="551" t="s">
        <v>936</v>
      </c>
      <c r="AE219" s="1356"/>
      <c r="AF219" s="1308"/>
      <c r="AG219" s="1308"/>
      <c r="AH219" s="1072" t="s">
        <v>2197</v>
      </c>
      <c r="AI219" s="1309"/>
      <c r="AJ219" s="1309"/>
      <c r="AK219" s="1310"/>
      <c r="AL219" s="1310"/>
      <c r="AM219" s="1656"/>
      <c r="AN219" s="1656"/>
      <c r="AO219" s="1656"/>
      <c r="AP219" s="1656"/>
    </row>
    <row s="1656" customFormat="1" customHeight="1" ht="21.75">
      <c r="A220" s="673"/>
      <c r="B220" s="1240"/>
      <c r="C220" s="1240"/>
      <c r="D220" s="1240"/>
      <c r="E220" s="655">
        <v>22.5</v>
      </c>
      <c r="F220" s="50" cm="1" t="str">
        <f t="array" ref="F220:F220">OFFSET(E220,-1,1)</f>
        <v>2</v>
      </c>
      <c r="G220" s="1240"/>
      <c r="H220" s="491" t="s">
        <v>2810</v>
      </c>
      <c r="I220" s="1240"/>
      <c r="J220" s="1240"/>
      <c r="K220" s="1240"/>
      <c r="L220" s="1240"/>
      <c r="M220" s="1240"/>
      <c r="N220" s="1240"/>
      <c r="O220" s="1240"/>
      <c r="P220" s="1240"/>
      <c r="Q220" s="1240"/>
      <c r="R220" s="1240"/>
      <c r="S220" s="1240"/>
      <c r="T220" s="468" cm="1" t="str">
        <f t="array" ref="T220:T220">T219</f>
        <v>true</v>
      </c>
      <c r="U220" s="1240"/>
      <c r="V220" s="1240"/>
      <c r="W220" s="1240"/>
      <c r="X220" s="1559"/>
      <c r="Y220" s="1240"/>
      <c r="Z220" s="1560"/>
      <c r="AA220" s="1240"/>
      <c r="AB220" s="721" t="s">
        <v>2811</v>
      </c>
      <c r="AC220" s="553" t="s">
        <v>2200</v>
      </c>
      <c r="AD220" s="551" t="s">
        <v>936</v>
      </c>
      <c r="AE220" s="1356"/>
      <c r="AF220" s="1308"/>
      <c r="AG220" s="1308"/>
      <c r="AH220" s="1072" t="s">
        <v>2201</v>
      </c>
      <c r="AI220" s="1309"/>
      <c r="AJ220" s="1309"/>
      <c r="AK220" s="1310"/>
      <c r="AL220" s="1310"/>
      <c r="AM220" s="1656"/>
      <c r="AN220" s="1656"/>
      <c r="AO220" s="1656"/>
      <c r="AP220" s="1656"/>
    </row>
    <row s="1656" customFormat="1" customHeight="1" ht="21.75">
      <c r="A221" s="673"/>
      <c r="B221" s="1240"/>
      <c r="C221" s="1240"/>
      <c r="D221" s="1240"/>
      <c r="E221" s="655">
        <v>22.5</v>
      </c>
      <c r="F221" s="50" cm="1" t="str">
        <f t="array" ref="F221:F221">OFFSET(E221,-1,1)</f>
        <v>2</v>
      </c>
      <c r="G221" s="1240"/>
      <c r="H221" s="491" t="s">
        <v>2812</v>
      </c>
      <c r="I221" s="1240"/>
      <c r="J221" s="1240"/>
      <c r="K221" s="1240"/>
      <c r="L221" s="1240"/>
      <c r="M221" s="1240"/>
      <c r="N221" s="1240"/>
      <c r="O221" s="1240"/>
      <c r="P221" s="1240"/>
      <c r="Q221" s="1240"/>
      <c r="R221" s="1240"/>
      <c r="S221" s="1240"/>
      <c r="T221" s="468" cm="1" t="str">
        <f t="array" ref="T221:T221">T220</f>
        <v>true</v>
      </c>
      <c r="U221" s="1240"/>
      <c r="V221" s="1240"/>
      <c r="W221" s="1240"/>
      <c r="X221" s="1559"/>
      <c r="Y221" s="1240"/>
      <c r="Z221" s="1560"/>
      <c r="AA221" s="1240"/>
      <c r="AB221" s="721" t="s">
        <v>2813</v>
      </c>
      <c r="AC221" s="553" t="s">
        <v>2814</v>
      </c>
      <c r="AD221" s="551" t="s">
        <v>936</v>
      </c>
      <c r="AE221" s="1356"/>
      <c r="AF221" s="1308"/>
      <c r="AG221" s="1308"/>
      <c r="AH221" s="1072" t="s">
        <v>2205</v>
      </c>
      <c r="AI221" s="1309"/>
      <c r="AJ221" s="1309"/>
      <c r="AK221" s="1310"/>
      <c r="AL221" s="1310"/>
      <c r="AM221" s="1656"/>
      <c r="AN221" s="1656"/>
      <c r="AO221" s="1656"/>
      <c r="AP221" s="1656"/>
    </row>
    <row s="1656" customFormat="1" customHeight="1" ht="54.75">
      <c r="A222" s="673"/>
      <c r="B222" s="1240"/>
      <c r="C222" s="1240"/>
      <c r="D222" s="1240"/>
      <c r="E222" s="655">
        <v>56.25</v>
      </c>
      <c r="F222" s="50" cm="1" t="str">
        <f t="array" ref="F222:F222">OFFSET(E222,-1,1)</f>
        <v>2</v>
      </c>
      <c r="G222" s="1240"/>
      <c r="H222" s="491" t="s">
        <v>2815</v>
      </c>
      <c r="I222" s="1240"/>
      <c r="J222" s="1240"/>
      <c r="K222" s="1240"/>
      <c r="L222" s="1240"/>
      <c r="M222" s="1240"/>
      <c r="N222" s="1240"/>
      <c r="O222" s="1240"/>
      <c r="P222" s="1240"/>
      <c r="Q222" s="1240"/>
      <c r="R222" s="1240"/>
      <c r="S222" s="1240"/>
      <c r="T222" s="468" cm="1" t="str">
        <f t="array" ref="T222:T222">T221</f>
        <v>true</v>
      </c>
      <c r="U222" s="1240"/>
      <c r="V222" s="1240"/>
      <c r="W222" s="1240"/>
      <c r="X222" s="1559"/>
      <c r="Y222" s="1240"/>
      <c r="Z222" s="1560"/>
      <c r="AA222" s="1240"/>
      <c r="AB222" s="721" t="s">
        <v>2816</v>
      </c>
      <c r="AC222" s="553" t="s">
        <v>2208</v>
      </c>
      <c r="AD222" s="551" t="s">
        <v>936</v>
      </c>
      <c r="AE222" s="1356"/>
      <c r="AF222" s="1308"/>
      <c r="AG222" s="1308"/>
      <c r="AH222" s="1072" t="s">
        <v>2032</v>
      </c>
      <c r="AI222" s="1309"/>
      <c r="AJ222" s="1309"/>
      <c r="AK222" s="1310"/>
      <c r="AL222" s="1310"/>
      <c r="AM222" s="1656"/>
      <c r="AN222" s="1656"/>
      <c r="AO222" s="1656"/>
      <c r="AP222" s="1656"/>
    </row>
    <row s="1656" customFormat="1" customHeight="1" ht="14.25">
      <c r="A223" s="673"/>
      <c r="B223" s="1240"/>
      <c r="C223" s="1240"/>
      <c r="D223" s="1240"/>
      <c r="E223" s="655">
        <v>15</v>
      </c>
      <c r="F223" s="50" cm="1" t="str">
        <f t="array" ref="F223:F223">OFFSET(E223,-1,1)</f>
        <v>2</v>
      </c>
      <c r="G223" s="1240"/>
      <c r="H223" s="491" t="s">
        <v>2817</v>
      </c>
      <c r="I223" s="1240"/>
      <c r="J223" s="1240"/>
      <c r="K223" s="1240"/>
      <c r="L223" s="1240"/>
      <c r="M223" s="1240"/>
      <c r="N223" s="1240"/>
      <c r="O223" s="1240"/>
      <c r="P223" s="1240"/>
      <c r="Q223" s="1240"/>
      <c r="R223" s="1240"/>
      <c r="S223" s="1240"/>
      <c r="T223" s="468" cm="1" t="str">
        <f t="array" ref="T223:T223">T222</f>
        <v>true</v>
      </c>
      <c r="U223" s="1240"/>
      <c r="V223" s="1240"/>
      <c r="W223" s="1240"/>
      <c r="X223" s="1559"/>
      <c r="Y223" s="1240"/>
      <c r="Z223" s="1560"/>
      <c r="AA223" s="1240"/>
      <c r="AB223" s="721" t="s">
        <v>2818</v>
      </c>
      <c r="AC223" s="553" t="s">
        <v>2035</v>
      </c>
      <c r="AD223" s="551" t="s">
        <v>936</v>
      </c>
      <c r="AE223" s="1356"/>
      <c r="AF223" s="1308"/>
      <c r="AG223" s="1308"/>
      <c r="AH223" s="1072" t="s">
        <v>2036</v>
      </c>
      <c r="AI223" s="1309"/>
      <c r="AJ223" s="1309"/>
      <c r="AK223" s="1310"/>
      <c r="AL223" s="1310"/>
      <c r="AM223" s="1656"/>
      <c r="AN223" s="1656"/>
      <c r="AO223" s="1656"/>
      <c r="AP223" s="1656"/>
    </row>
    <row s="1656" customFormat="1" customHeight="1" ht="14.25">
      <c r="A224" s="673"/>
      <c r="B224" s="1240"/>
      <c r="C224" s="1240"/>
      <c r="D224" s="1240"/>
      <c r="E224" s="655">
        <v>15</v>
      </c>
      <c r="F224" s="50" cm="1" t="str">
        <f t="array" ref="F224:F224">OFFSET(E224,-1,1)</f>
        <v>2</v>
      </c>
      <c r="G224" s="1240"/>
      <c r="H224" s="491" t="s">
        <v>2819</v>
      </c>
      <c r="I224" s="1240"/>
      <c r="J224" s="1240"/>
      <c r="K224" s="1240"/>
      <c r="L224" s="1240"/>
      <c r="M224" s="1240"/>
      <c r="N224" s="1240"/>
      <c r="O224" s="1240"/>
      <c r="P224" s="1240"/>
      <c r="Q224" s="1240"/>
      <c r="R224" s="1240"/>
      <c r="S224" s="1240"/>
      <c r="T224" s="468" cm="1" t="str">
        <f t="array" ref="T224:T224">T223</f>
        <v>true</v>
      </c>
      <c r="U224" s="1240"/>
      <c r="V224" s="1240"/>
      <c r="W224" s="1240"/>
      <c r="X224" s="1559"/>
      <c r="Y224" s="1240"/>
      <c r="Z224" s="1560"/>
      <c r="AA224" s="1240"/>
      <c r="AB224" s="721" t="s">
        <v>2820</v>
      </c>
      <c r="AC224" s="553" t="s">
        <v>1440</v>
      </c>
      <c r="AD224" s="551" t="s">
        <v>936</v>
      </c>
      <c r="AE224" s="1356"/>
      <c r="AF224" s="1308"/>
      <c r="AG224" s="1308"/>
      <c r="AH224" s="1072" t="s">
        <v>2020</v>
      </c>
      <c r="AI224" s="1309"/>
      <c r="AJ224" s="1309"/>
      <c r="AK224" s="1310"/>
      <c r="AL224" s="1310"/>
      <c r="AM224" s="1656"/>
      <c r="AN224" s="1656"/>
      <c r="AO224" s="1656"/>
      <c r="AP224" s="1656"/>
    </row>
    <row s="1656" customFormat="1" customHeight="1" ht="14.25">
      <c r="A225" s="673"/>
      <c r="B225" s="1240"/>
      <c r="C225" s="1240"/>
      <c r="D225" s="1240"/>
      <c r="E225" s="655">
        <v>15</v>
      </c>
      <c r="F225" s="50" cm="1" t="str">
        <f t="array" ref="F225:F225">OFFSET(E225,-1,1)</f>
        <v>2</v>
      </c>
      <c r="G225" s="1240"/>
      <c r="H225" s="491" t="s">
        <v>570</v>
      </c>
      <c r="I225" s="1240"/>
      <c r="J225" s="1240"/>
      <c r="K225" s="1240"/>
      <c r="L225" s="1240"/>
      <c r="M225" s="1240"/>
      <c r="N225" s="1240"/>
      <c r="O225" s="1240"/>
      <c r="P225" s="1240"/>
      <c r="Q225" s="1240"/>
      <c r="R225" s="1240"/>
      <c r="S225" s="1240"/>
      <c r="T225" s="468" cm="1" t="str">
        <f t="array" ref="T225:T225">T224</f>
        <v>true</v>
      </c>
      <c r="U225" s="1240"/>
      <c r="V225" s="1240"/>
      <c r="W225" s="1240"/>
      <c r="X225" s="1559"/>
      <c r="Y225" s="1240"/>
      <c r="Z225" s="1560"/>
      <c r="AA225" s="1240"/>
      <c r="AB225" s="721" t="s">
        <v>1070</v>
      </c>
      <c r="AC225" s="550" t="s">
        <v>2821</v>
      </c>
      <c r="AD225" s="551" t="s">
        <v>936</v>
      </c>
      <c r="AE225" s="560">
        <f>AE226+AE227+AE228</f>
        <v>0</v>
      </c>
      <c r="AF225" s="1308"/>
      <c r="AG225" s="1308"/>
      <c r="AH225" s="1071" t="s">
        <v>2040</v>
      </c>
      <c r="AI225" s="1309"/>
      <c r="AJ225" s="1309"/>
      <c r="AK225" s="1310"/>
      <c r="AL225" s="1310"/>
      <c r="AM225" s="1656"/>
      <c r="AN225" s="1656"/>
      <c r="AO225" s="1656"/>
      <c r="AP225" s="1656"/>
    </row>
    <row s="1656" customFormat="1" customHeight="1" ht="14.25">
      <c r="A226" s="673"/>
      <c r="B226" s="1240"/>
      <c r="C226" s="1240"/>
      <c r="D226" s="1240"/>
      <c r="E226" s="655">
        <v>15</v>
      </c>
      <c r="F226" s="50" cm="1" t="str">
        <f t="array" ref="F226:F226">OFFSET(E226,-1,1)</f>
        <v>2</v>
      </c>
      <c r="G226" s="1240"/>
      <c r="H226" s="491" t="s">
        <v>1550</v>
      </c>
      <c r="I226" s="1240"/>
      <c r="J226" s="1240"/>
      <c r="K226" s="1240"/>
      <c r="L226" s="1240"/>
      <c r="M226" s="1240"/>
      <c r="N226" s="1240"/>
      <c r="O226" s="1240"/>
      <c r="P226" s="1240"/>
      <c r="Q226" s="1240"/>
      <c r="R226" s="1240"/>
      <c r="S226" s="1240"/>
      <c r="T226" s="468" cm="1" t="str">
        <f t="array" ref="T226:T226">T225</f>
        <v>true</v>
      </c>
      <c r="U226" s="1240"/>
      <c r="V226" s="1240"/>
      <c r="W226" s="1240"/>
      <c r="X226" s="1559"/>
      <c r="Y226" s="1240"/>
      <c r="Z226" s="1560"/>
      <c r="AA226" s="1240"/>
      <c r="AB226" s="721" t="s">
        <v>1551</v>
      </c>
      <c r="AC226" s="552" t="s">
        <v>2822</v>
      </c>
      <c r="AD226" s="551" t="s">
        <v>936</v>
      </c>
      <c r="AE226" s="1356"/>
      <c r="AF226" s="1308"/>
      <c r="AG226" s="1308"/>
      <c r="AH226" s="1070" t="s">
        <v>2042</v>
      </c>
      <c r="AI226" s="1309"/>
      <c r="AJ226" s="1309"/>
      <c r="AK226" s="1310"/>
      <c r="AL226" s="1310"/>
      <c r="AM226" s="1656"/>
      <c r="AN226" s="1656"/>
      <c r="AO226" s="1656"/>
      <c r="AP226" s="1656"/>
    </row>
    <row s="1656" customFormat="1" customHeight="1" ht="14.25">
      <c r="A227" s="673"/>
      <c r="B227" s="1240"/>
      <c r="C227" s="1240"/>
      <c r="D227" s="1240"/>
      <c r="E227" s="655">
        <v>15</v>
      </c>
      <c r="F227" s="50" cm="1" t="str">
        <f t="array" ref="F227:F227">OFFSET(E227,-1,1)</f>
        <v>2</v>
      </c>
      <c r="G227" s="1240"/>
      <c r="H227" s="491" t="s">
        <v>1553</v>
      </c>
      <c r="I227" s="1240"/>
      <c r="J227" s="1240"/>
      <c r="K227" s="1240"/>
      <c r="L227" s="1240"/>
      <c r="M227" s="1240"/>
      <c r="N227" s="1240"/>
      <c r="O227" s="1240"/>
      <c r="P227" s="1240"/>
      <c r="Q227" s="1240"/>
      <c r="R227" s="1240"/>
      <c r="S227" s="1240"/>
      <c r="T227" s="468" cm="1" t="str">
        <f t="array" ref="T227:T227">T226</f>
        <v>true</v>
      </c>
      <c r="U227" s="1240"/>
      <c r="V227" s="1240"/>
      <c r="W227" s="1240"/>
      <c r="X227" s="1559"/>
      <c r="Y227" s="1240"/>
      <c r="Z227" s="1560"/>
      <c r="AA227" s="1240"/>
      <c r="AB227" s="721" t="s">
        <v>1554</v>
      </c>
      <c r="AC227" s="552" t="s">
        <v>2823</v>
      </c>
      <c r="AD227" s="551" t="s">
        <v>936</v>
      </c>
      <c r="AE227" s="1356"/>
      <c r="AF227" s="1308"/>
      <c r="AG227" s="1308"/>
      <c r="AH227" s="1072" t="s">
        <v>2216</v>
      </c>
      <c r="AI227" s="1309"/>
      <c r="AJ227" s="1309"/>
      <c r="AK227" s="1310"/>
      <c r="AL227" s="1310"/>
      <c r="AM227" s="1656"/>
      <c r="AN227" s="1656"/>
      <c r="AO227" s="1656"/>
      <c r="AP227" s="1656"/>
    </row>
    <row s="1656" customFormat="1" customHeight="1" ht="21.75">
      <c r="A228" s="673"/>
      <c r="B228" s="1240"/>
      <c r="C228" s="1240"/>
      <c r="D228" s="1240"/>
      <c r="E228" s="655">
        <v>22.5</v>
      </c>
      <c r="F228" s="50" cm="1" t="str">
        <f t="array" ref="F228:F228">OFFSET(E228,-1,1)</f>
        <v>2</v>
      </c>
      <c r="G228" s="1240"/>
      <c r="H228" s="491" t="s">
        <v>1557</v>
      </c>
      <c r="I228" s="1240"/>
      <c r="J228" s="1240"/>
      <c r="K228" s="1240"/>
      <c r="L228" s="1240"/>
      <c r="M228" s="1240"/>
      <c r="N228" s="1240"/>
      <c r="O228" s="1240"/>
      <c r="P228" s="1240"/>
      <c r="Q228" s="1240"/>
      <c r="R228" s="1240"/>
      <c r="S228" s="1240"/>
      <c r="T228" s="468" cm="1" t="str">
        <f t="array" ref="T228:T228">T227</f>
        <v>true</v>
      </c>
      <c r="U228" s="1240"/>
      <c r="V228" s="1240"/>
      <c r="W228" s="1240"/>
      <c r="X228" s="1559"/>
      <c r="Y228" s="1240"/>
      <c r="Z228" s="1560"/>
      <c r="AA228" s="1240"/>
      <c r="AB228" s="721" t="s">
        <v>1558</v>
      </c>
      <c r="AC228" s="552" t="s">
        <v>2824</v>
      </c>
      <c r="AD228" s="551" t="s">
        <v>936</v>
      </c>
      <c r="AE228" s="560">
        <f>AE229+AE232</f>
        <v>0</v>
      </c>
      <c r="AF228" s="1308"/>
      <c r="AG228" s="1308"/>
      <c r="AH228" s="1070" t="s">
        <v>2044</v>
      </c>
      <c r="AI228" s="1309"/>
      <c r="AJ228" s="1309"/>
      <c r="AK228" s="1310"/>
      <c r="AL228" s="1310"/>
      <c r="AM228" s="1656"/>
      <c r="AN228" s="1656"/>
      <c r="AO228" s="1656"/>
      <c r="AP228" s="1656"/>
    </row>
    <row s="1656" customFormat="1" customHeight="1" ht="14.25">
      <c r="A229" s="673"/>
      <c r="B229" s="1240"/>
      <c r="C229" s="1240"/>
      <c r="D229" s="1240"/>
      <c r="E229" s="655">
        <v>15</v>
      </c>
      <c r="F229" s="50" cm="1" t="str">
        <f t="array" ref="F229:F229">OFFSET(E229,-1,1)</f>
        <v>2</v>
      </c>
      <c r="G229" s="1240"/>
      <c r="H229" s="491" t="s">
        <v>1712</v>
      </c>
      <c r="I229" s="1240"/>
      <c r="J229" s="1240"/>
      <c r="K229" s="1240"/>
      <c r="L229" s="1240"/>
      <c r="M229" s="1240"/>
      <c r="N229" s="1240"/>
      <c r="O229" s="1240"/>
      <c r="P229" s="1240"/>
      <c r="Q229" s="1240"/>
      <c r="R229" s="1240"/>
      <c r="S229" s="1240"/>
      <c r="T229" s="468" cm="1" t="str">
        <f t="array" ref="T229:T229">T228</f>
        <v>true</v>
      </c>
      <c r="U229" s="1240"/>
      <c r="V229" s="1240"/>
      <c r="W229" s="1240"/>
      <c r="X229" s="1559"/>
      <c r="Y229" s="1240"/>
      <c r="Z229" s="1560"/>
      <c r="AA229" s="1240"/>
      <c r="AB229" s="721" t="s">
        <v>2185</v>
      </c>
      <c r="AC229" s="553" t="s">
        <v>2046</v>
      </c>
      <c r="AD229" s="551" t="s">
        <v>936</v>
      </c>
      <c r="AE229" s="1356"/>
      <c r="AF229" s="1308"/>
      <c r="AG229" s="1308"/>
      <c r="AH229" s="1070" t="s">
        <v>2047</v>
      </c>
      <c r="AI229" s="1309"/>
      <c r="AJ229" s="1309"/>
      <c r="AK229" s="1310"/>
      <c r="AL229" s="1310"/>
      <c r="AM229" s="1656"/>
      <c r="AN229" s="1656"/>
      <c r="AO229" s="1656"/>
      <c r="AP229" s="1656"/>
    </row>
    <row s="1656" customFormat="1" customHeight="1" ht="14.25">
      <c r="A230" s="673"/>
      <c r="B230" s="1240"/>
      <c r="C230" s="1240"/>
      <c r="D230" s="1240"/>
      <c r="E230" s="655">
        <v>15</v>
      </c>
      <c r="F230" s="50" cm="1" t="str">
        <f t="array" ref="F230:F230">OFFSET(E230,-1,1)</f>
        <v>2</v>
      </c>
      <c r="G230" s="1240"/>
      <c r="H230" s="491" t="s">
        <v>2825</v>
      </c>
      <c r="I230" s="1240"/>
      <c r="J230" s="1240"/>
      <c r="K230" s="1240"/>
      <c r="L230" s="1240"/>
      <c r="M230" s="1240"/>
      <c r="N230" s="1240"/>
      <c r="O230" s="1240"/>
      <c r="P230" s="1240"/>
      <c r="Q230" s="1240"/>
      <c r="R230" s="1240"/>
      <c r="S230" s="1240"/>
      <c r="T230" s="468" cm="1" t="str">
        <f t="array" ref="T230:T230">T229</f>
        <v>true</v>
      </c>
      <c r="U230" s="1240"/>
      <c r="V230" s="1240"/>
      <c r="W230" s="1240"/>
      <c r="X230" s="1559"/>
      <c r="Y230" s="1240"/>
      <c r="Z230" s="1560"/>
      <c r="AA230" s="1240"/>
      <c r="AB230" s="721" t="s">
        <v>2826</v>
      </c>
      <c r="AC230" s="554" t="s">
        <v>2827</v>
      </c>
      <c r="AD230" s="551" t="s">
        <v>2790</v>
      </c>
      <c r="AE230" s="1356"/>
      <c r="AF230" s="1308"/>
      <c r="AG230" s="1308"/>
      <c r="AH230" s="1009" t="s">
        <v>2828</v>
      </c>
      <c r="AI230" s="1309"/>
      <c r="AJ230" s="1309"/>
      <c r="AK230" s="1310"/>
      <c r="AL230" s="1310"/>
      <c r="AM230" s="1656"/>
      <c r="AN230" s="1656"/>
      <c r="AO230" s="1656"/>
      <c r="AP230" s="1656"/>
    </row>
    <row s="1656" customFormat="1" customHeight="1" ht="14.25">
      <c r="A231" s="673"/>
      <c r="B231" s="1240"/>
      <c r="C231" s="1240"/>
      <c r="D231" s="1240"/>
      <c r="E231" s="655">
        <v>15</v>
      </c>
      <c r="F231" s="50" cm="1" t="str">
        <f t="array" ref="F231:F231">OFFSET(E231,-1,1)</f>
        <v>2</v>
      </c>
      <c r="G231" s="1240"/>
      <c r="H231" s="491" t="s">
        <v>2829</v>
      </c>
      <c r="I231" s="1240"/>
      <c r="J231" s="1240"/>
      <c r="K231" s="1240"/>
      <c r="L231" s="1240"/>
      <c r="M231" s="1240"/>
      <c r="N231" s="1240"/>
      <c r="O231" s="1240"/>
      <c r="P231" s="1240"/>
      <c r="Q231" s="1240"/>
      <c r="R231" s="1240"/>
      <c r="S231" s="1240"/>
      <c r="T231" s="468" cm="1" t="str">
        <f t="array" ref="T231:T231">T230</f>
        <v>true</v>
      </c>
      <c r="U231" s="1240"/>
      <c r="V231" s="1240"/>
      <c r="W231" s="1240"/>
      <c r="X231" s="1559"/>
      <c r="Y231" s="1240"/>
      <c r="Z231" s="1560"/>
      <c r="AA231" s="1240"/>
      <c r="AB231" s="721" t="s">
        <v>2830</v>
      </c>
      <c r="AC231" s="554" t="s">
        <v>2831</v>
      </c>
      <c r="AD231" s="551" t="s">
        <v>2795</v>
      </c>
      <c r="AE231" s="1356"/>
      <c r="AF231" s="1308"/>
      <c r="AG231" s="1308"/>
      <c r="AH231" s="1009" t="s">
        <v>2832</v>
      </c>
      <c r="AI231" s="1309"/>
      <c r="AJ231" s="1309"/>
      <c r="AK231" s="1310"/>
      <c r="AL231" s="1310"/>
      <c r="AM231" s="1656"/>
      <c r="AN231" s="1656"/>
      <c r="AO231" s="1656"/>
      <c r="AP231" s="1656"/>
    </row>
    <row s="1656" customFormat="1" customHeight="1" ht="21.75">
      <c r="A232" s="673"/>
      <c r="B232" s="1240"/>
      <c r="C232" s="1240"/>
      <c r="D232" s="1240"/>
      <c r="E232" s="655">
        <v>22.5</v>
      </c>
      <c r="F232" s="50" cm="1" t="str">
        <f t="array" ref="F232:F232">OFFSET(E232,-1,1)</f>
        <v>2</v>
      </c>
      <c r="G232" s="1240"/>
      <c r="H232" s="491" t="s">
        <v>1716</v>
      </c>
      <c r="I232" s="1240"/>
      <c r="J232" s="1240"/>
      <c r="K232" s="1240"/>
      <c r="L232" s="1240"/>
      <c r="M232" s="1240"/>
      <c r="N232" s="1240"/>
      <c r="O232" s="1240"/>
      <c r="P232" s="1240"/>
      <c r="Q232" s="1240"/>
      <c r="R232" s="1240"/>
      <c r="S232" s="1240"/>
      <c r="T232" s="468" cm="1" t="str">
        <f t="array" ref="T232:T232">T231</f>
        <v>true</v>
      </c>
      <c r="U232" s="1240"/>
      <c r="V232" s="1240"/>
      <c r="W232" s="1240"/>
      <c r="X232" s="1559"/>
      <c r="Y232" s="1240"/>
      <c r="Z232" s="1560"/>
      <c r="AA232" s="1240"/>
      <c r="AB232" s="721" t="s">
        <v>2186</v>
      </c>
      <c r="AC232" s="553" t="s">
        <v>2222</v>
      </c>
      <c r="AD232" s="551" t="s">
        <v>936</v>
      </c>
      <c r="AE232" s="1356"/>
      <c r="AF232" s="1308"/>
      <c r="AG232" s="1308"/>
      <c r="AH232" s="1070" t="s">
        <v>2050</v>
      </c>
      <c r="AI232" s="1309"/>
      <c r="AJ232" s="1309"/>
      <c r="AK232" s="1310"/>
      <c r="AL232" s="1310"/>
      <c r="AM232" s="1656"/>
      <c r="AN232" s="1656"/>
      <c r="AO232" s="1656"/>
      <c r="AP232" s="1656"/>
    </row>
    <row s="1656" customFormat="1" customHeight="1" ht="14.25">
      <c r="A233" s="673"/>
      <c r="B233" s="1240"/>
      <c r="C233" s="1240"/>
      <c r="D233" s="1240"/>
      <c r="E233" s="655">
        <v>15</v>
      </c>
      <c r="F233" s="50" cm="1" t="str">
        <f t="array" ref="F233:F233">OFFSET(E233,-1,1)</f>
        <v>2</v>
      </c>
      <c r="G233" s="1240"/>
      <c r="H233" s="491" t="s">
        <v>573</v>
      </c>
      <c r="I233" s="1240"/>
      <c r="J233" s="1240"/>
      <c r="K233" s="1240"/>
      <c r="L233" s="1240"/>
      <c r="M233" s="1240"/>
      <c r="N233" s="1240"/>
      <c r="O233" s="1240"/>
      <c r="P233" s="1240"/>
      <c r="Q233" s="1240"/>
      <c r="R233" s="1240"/>
      <c r="S233" s="1240"/>
      <c r="T233" s="468" cm="1" t="str">
        <f t="array" ref="T233:T233">T232</f>
        <v>true</v>
      </c>
      <c r="U233" s="1240"/>
      <c r="V233" s="1240"/>
      <c r="W233" s="1240"/>
      <c r="X233" s="1559"/>
      <c r="Y233" s="1240"/>
      <c r="Z233" s="1560"/>
      <c r="AA233" s="1240"/>
      <c r="AB233" s="721" t="s">
        <v>1073</v>
      </c>
      <c r="AC233" s="550" t="s">
        <v>2223</v>
      </c>
      <c r="AD233" s="551" t="s">
        <v>936</v>
      </c>
      <c r="AE233" s="560">
        <f>AE234+AE240+AE245+AE246+AE247+AE248+AE249</f>
        <v>0</v>
      </c>
      <c r="AF233" s="1308"/>
      <c r="AG233" s="1308"/>
      <c r="AH233" s="1071" t="s">
        <v>2052</v>
      </c>
      <c r="AI233" s="1309"/>
      <c r="AJ233" s="1309"/>
      <c r="AK233" s="1310"/>
      <c r="AL233" s="1310"/>
      <c r="AM233" s="1656"/>
      <c r="AN233" s="1656"/>
      <c r="AO233" s="1656"/>
      <c r="AP233" s="1656"/>
    </row>
    <row s="1656" customFormat="1" customHeight="1" ht="21.75">
      <c r="A234" s="673"/>
      <c r="B234" s="1240"/>
      <c r="C234" s="1240"/>
      <c r="D234" s="1240"/>
      <c r="E234" s="655">
        <v>22.5</v>
      </c>
      <c r="F234" s="50" cm="1" t="str">
        <f t="array" ref="F234:F234">OFFSET(E234,-1,1)</f>
        <v>2</v>
      </c>
      <c r="G234" s="1240"/>
      <c r="H234" s="491" t="s">
        <v>1563</v>
      </c>
      <c r="I234" s="1240"/>
      <c r="J234" s="1240"/>
      <c r="K234" s="1240"/>
      <c r="L234" s="1240"/>
      <c r="M234" s="1240"/>
      <c r="N234" s="1240"/>
      <c r="O234" s="1240"/>
      <c r="P234" s="1240"/>
      <c r="Q234" s="1240"/>
      <c r="R234" s="1240"/>
      <c r="S234" s="1240"/>
      <c r="T234" s="468" cm="1" t="str">
        <f t="array" ref="T234:T234">T233</f>
        <v>true</v>
      </c>
      <c r="U234" s="1240"/>
      <c r="V234" s="1240"/>
      <c r="W234" s="1240"/>
      <c r="X234" s="1559"/>
      <c r="Y234" s="1240"/>
      <c r="Z234" s="1560"/>
      <c r="AA234" s="1240"/>
      <c r="AB234" s="721" t="s">
        <v>1564</v>
      </c>
      <c r="AC234" s="552" t="s">
        <v>2053</v>
      </c>
      <c r="AD234" s="551" t="s">
        <v>936</v>
      </c>
      <c r="AE234" s="560">
        <f>SUM(AE235:AE239)</f>
        <v>0</v>
      </c>
      <c r="AF234" s="1308"/>
      <c r="AG234" s="1308"/>
      <c r="AH234" s="1070" t="s">
        <v>1393</v>
      </c>
      <c r="AI234" s="1309"/>
      <c r="AJ234" s="1309"/>
      <c r="AK234" s="1310"/>
      <c r="AL234" s="1310"/>
      <c r="AM234" s="1656"/>
      <c r="AN234" s="1656"/>
      <c r="AO234" s="1656"/>
      <c r="AP234" s="1656"/>
    </row>
    <row s="1656" customFormat="1" customHeight="1" ht="14.25">
      <c r="A235" s="673"/>
      <c r="B235" s="1240"/>
      <c r="C235" s="1240"/>
      <c r="D235" s="1240"/>
      <c r="E235" s="655">
        <v>15</v>
      </c>
      <c r="F235" s="50" cm="1" t="str">
        <f t="array" ref="F235:F235">OFFSET(E235,-1,1)</f>
        <v>2</v>
      </c>
      <c r="G235" s="1240"/>
      <c r="H235" s="491" t="s">
        <v>2833</v>
      </c>
      <c r="I235" s="1240"/>
      <c r="J235" s="1240"/>
      <c r="K235" s="1240"/>
      <c r="L235" s="1240"/>
      <c r="M235" s="1240"/>
      <c r="N235" s="1240"/>
      <c r="O235" s="1240"/>
      <c r="P235" s="1240"/>
      <c r="Q235" s="1240"/>
      <c r="R235" s="1240"/>
      <c r="S235" s="1240"/>
      <c r="T235" s="468" cm="1" t="str">
        <f t="array" ref="T235:T235">T234</f>
        <v>true</v>
      </c>
      <c r="U235" s="1240"/>
      <c r="V235" s="1240"/>
      <c r="W235" s="1240"/>
      <c r="X235" s="1559"/>
      <c r="Y235" s="1240"/>
      <c r="Z235" s="1560"/>
      <c r="AA235" s="1240"/>
      <c r="AB235" s="721" t="s">
        <v>2834</v>
      </c>
      <c r="AC235" s="553" t="s">
        <v>1395</v>
      </c>
      <c r="AD235" s="551" t="s">
        <v>936</v>
      </c>
      <c r="AE235" s="1356"/>
      <c r="AF235" s="1308"/>
      <c r="AG235" s="1308"/>
      <c r="AH235" s="1072" t="s">
        <v>1396</v>
      </c>
      <c r="AI235" s="1309"/>
      <c r="AJ235" s="1309"/>
      <c r="AK235" s="1310"/>
      <c r="AL235" s="1310"/>
      <c r="AM235" s="1656"/>
      <c r="AN235" s="1656"/>
      <c r="AO235" s="1656"/>
      <c r="AP235" s="1656"/>
    </row>
    <row s="1656" customFormat="1" customHeight="1" ht="14.25">
      <c r="A236" s="673"/>
      <c r="B236" s="1240"/>
      <c r="C236" s="1240"/>
      <c r="D236" s="1240"/>
      <c r="E236" s="655">
        <v>15</v>
      </c>
      <c r="F236" s="50" cm="1" t="str">
        <f t="array" ref="F236:F236">OFFSET(E236,-1,1)</f>
        <v>2</v>
      </c>
      <c r="G236" s="1240"/>
      <c r="H236" s="491" t="s">
        <v>2835</v>
      </c>
      <c r="I236" s="1240"/>
      <c r="J236" s="1240"/>
      <c r="K236" s="1240"/>
      <c r="L236" s="1240"/>
      <c r="M236" s="1240"/>
      <c r="N236" s="1240"/>
      <c r="O236" s="1240"/>
      <c r="P236" s="1240"/>
      <c r="Q236" s="1240"/>
      <c r="R236" s="1240"/>
      <c r="S236" s="1240"/>
      <c r="T236" s="468" cm="1" t="str">
        <f t="array" ref="T236:T236">T235</f>
        <v>true</v>
      </c>
      <c r="U236" s="1240"/>
      <c r="V236" s="1240"/>
      <c r="W236" s="1240"/>
      <c r="X236" s="1559"/>
      <c r="Y236" s="1240"/>
      <c r="Z236" s="1560"/>
      <c r="AA236" s="1240"/>
      <c r="AB236" s="721" t="s">
        <v>2836</v>
      </c>
      <c r="AC236" s="553" t="s">
        <v>1398</v>
      </c>
      <c r="AD236" s="551" t="s">
        <v>936</v>
      </c>
      <c r="AE236" s="1356"/>
      <c r="AF236" s="1308"/>
      <c r="AG236" s="1308"/>
      <c r="AH236" s="1072" t="s">
        <v>1399</v>
      </c>
      <c r="AI236" s="1309"/>
      <c r="AJ236" s="1309"/>
      <c r="AK236" s="1310"/>
      <c r="AL236" s="1310"/>
      <c r="AM236" s="1656"/>
      <c r="AN236" s="1656"/>
      <c r="AO236" s="1656"/>
      <c r="AP236" s="1656"/>
    </row>
    <row s="1656" customFormat="1" customHeight="1" ht="14.25">
      <c r="A237" s="673"/>
      <c r="B237" s="1240"/>
      <c r="C237" s="1240"/>
      <c r="D237" s="1240"/>
      <c r="E237" s="655">
        <v>15</v>
      </c>
      <c r="F237" s="50" cm="1" t="str">
        <f t="array" ref="F237:F237">OFFSET(E237,-1,1)</f>
        <v>2</v>
      </c>
      <c r="G237" s="1240"/>
      <c r="H237" s="491" t="s">
        <v>2837</v>
      </c>
      <c r="I237" s="1240"/>
      <c r="J237" s="1240"/>
      <c r="K237" s="1240"/>
      <c r="L237" s="1240"/>
      <c r="M237" s="1240"/>
      <c r="N237" s="1240"/>
      <c r="O237" s="1240"/>
      <c r="P237" s="1240"/>
      <c r="Q237" s="1240"/>
      <c r="R237" s="1240"/>
      <c r="S237" s="1240"/>
      <c r="T237" s="468" cm="1" t="str">
        <f t="array" ref="T237:T237">T236</f>
        <v>true</v>
      </c>
      <c r="U237" s="1240"/>
      <c r="V237" s="1240"/>
      <c r="W237" s="1240"/>
      <c r="X237" s="1559"/>
      <c r="Y237" s="1240"/>
      <c r="Z237" s="1560"/>
      <c r="AA237" s="1240"/>
      <c r="AB237" s="721" t="s">
        <v>2838</v>
      </c>
      <c r="AC237" s="553" t="s">
        <v>1401</v>
      </c>
      <c r="AD237" s="551" t="s">
        <v>936</v>
      </c>
      <c r="AE237" s="1356"/>
      <c r="AF237" s="1308"/>
      <c r="AG237" s="1308"/>
      <c r="AH237" s="1072" t="s">
        <v>1402</v>
      </c>
      <c r="AI237" s="1309"/>
      <c r="AJ237" s="1309"/>
      <c r="AK237" s="1310"/>
      <c r="AL237" s="1310"/>
      <c r="AM237" s="1656"/>
      <c r="AN237" s="1656"/>
      <c r="AO237" s="1656"/>
      <c r="AP237" s="1656"/>
    </row>
    <row s="1656" customFormat="1" customHeight="1" ht="14.25">
      <c r="A238" s="673"/>
      <c r="B238" s="1240"/>
      <c r="C238" s="1240"/>
      <c r="D238" s="1240"/>
      <c r="E238" s="655">
        <v>15</v>
      </c>
      <c r="F238" s="50" cm="1" t="str">
        <f t="array" ref="F238:F238">OFFSET(E238,-1,1)</f>
        <v>2</v>
      </c>
      <c r="G238" s="1240"/>
      <c r="H238" s="491" t="s">
        <v>2839</v>
      </c>
      <c r="I238" s="1240"/>
      <c r="J238" s="1240"/>
      <c r="K238" s="1240"/>
      <c r="L238" s="1240"/>
      <c r="M238" s="1240"/>
      <c r="N238" s="1240"/>
      <c r="O238" s="1240"/>
      <c r="P238" s="1240"/>
      <c r="Q238" s="1240"/>
      <c r="R238" s="1240"/>
      <c r="S238" s="1240"/>
      <c r="T238" s="468" cm="1" t="str">
        <f t="array" ref="T238:T238">T237</f>
        <v>true</v>
      </c>
      <c r="U238" s="1240"/>
      <c r="V238" s="1240"/>
      <c r="W238" s="1240"/>
      <c r="X238" s="1559"/>
      <c r="Y238" s="1240"/>
      <c r="Z238" s="1560"/>
      <c r="AA238" s="1240"/>
      <c r="AB238" s="721" t="s">
        <v>2840</v>
      </c>
      <c r="AC238" s="553" t="s">
        <v>1404</v>
      </c>
      <c r="AD238" s="551" t="s">
        <v>936</v>
      </c>
      <c r="AE238" s="1356"/>
      <c r="AF238" s="1308"/>
      <c r="AG238" s="1308"/>
      <c r="AH238" s="1072" t="s">
        <v>1405</v>
      </c>
      <c r="AI238" s="1309"/>
      <c r="AJ238" s="1309"/>
      <c r="AK238" s="1310"/>
      <c r="AL238" s="1310"/>
      <c r="AM238" s="1656"/>
      <c r="AN238" s="1656"/>
      <c r="AO238" s="1656"/>
      <c r="AP238" s="1656"/>
    </row>
    <row s="1656" customFormat="1" customHeight="1" ht="14.25">
      <c r="A239" s="673"/>
      <c r="B239" s="1240"/>
      <c r="C239" s="1240"/>
      <c r="D239" s="1240"/>
      <c r="E239" s="655">
        <v>15</v>
      </c>
      <c r="F239" s="50" cm="1" t="str">
        <f t="array" ref="F239:F239">OFFSET(E239,-1,1)</f>
        <v>2</v>
      </c>
      <c r="G239" s="1240"/>
      <c r="H239" s="491" t="s">
        <v>2841</v>
      </c>
      <c r="I239" s="1240"/>
      <c r="J239" s="1240"/>
      <c r="K239" s="1240"/>
      <c r="L239" s="1240"/>
      <c r="M239" s="1240"/>
      <c r="N239" s="1240"/>
      <c r="O239" s="1240"/>
      <c r="P239" s="1240"/>
      <c r="Q239" s="1240"/>
      <c r="R239" s="1240"/>
      <c r="S239" s="1240"/>
      <c r="T239" s="468" cm="1" t="str">
        <f t="array" ref="T239:T239">T238</f>
        <v>true</v>
      </c>
      <c r="U239" s="1240"/>
      <c r="V239" s="1240"/>
      <c r="W239" s="1240"/>
      <c r="X239" s="1559"/>
      <c r="Y239" s="1240"/>
      <c r="Z239" s="1560"/>
      <c r="AA239" s="1240"/>
      <c r="AB239" s="721" t="s">
        <v>2842</v>
      </c>
      <c r="AC239" s="553" t="s">
        <v>1412</v>
      </c>
      <c r="AD239" s="551" t="s">
        <v>936</v>
      </c>
      <c r="AE239" s="1356"/>
      <c r="AF239" s="1308"/>
      <c r="AG239" s="1308"/>
      <c r="AH239" s="1072" t="s">
        <v>1413</v>
      </c>
      <c r="AI239" s="1309"/>
      <c r="AJ239" s="1309"/>
      <c r="AK239" s="1310"/>
      <c r="AL239" s="1310"/>
      <c r="AM239" s="1656"/>
      <c r="AN239" s="1656"/>
      <c r="AO239" s="1656"/>
      <c r="AP239" s="1656"/>
    </row>
    <row s="1656" customFormat="1" customHeight="1" ht="32.25">
      <c r="A240" s="673"/>
      <c r="B240" s="1240"/>
      <c r="C240" s="1240"/>
      <c r="D240" s="1240"/>
      <c r="E240" s="655">
        <v>33.75</v>
      </c>
      <c r="F240" s="50" cm="1" t="str">
        <f t="array" ref="F240:F240">OFFSET(E240,-1,1)</f>
        <v>2</v>
      </c>
      <c r="G240" s="1240"/>
      <c r="H240" s="491" t="s">
        <v>1567</v>
      </c>
      <c r="I240" s="1240"/>
      <c r="J240" s="1240"/>
      <c r="K240" s="1240"/>
      <c r="L240" s="1240"/>
      <c r="M240" s="1240"/>
      <c r="N240" s="1240"/>
      <c r="O240" s="1240"/>
      <c r="P240" s="1240"/>
      <c r="Q240" s="1240"/>
      <c r="R240" s="1240"/>
      <c r="S240" s="1240"/>
      <c r="T240" s="468" cm="1" t="str">
        <f t="array" ref="T240:T240">T239</f>
        <v>true</v>
      </c>
      <c r="U240" s="1240"/>
      <c r="V240" s="1240"/>
      <c r="W240" s="1240"/>
      <c r="X240" s="1559"/>
      <c r="Y240" s="1240"/>
      <c r="Z240" s="1560"/>
      <c r="AA240" s="1240"/>
      <c r="AB240" s="721" t="s">
        <v>1568</v>
      </c>
      <c r="AC240" s="552" t="s">
        <v>2843</v>
      </c>
      <c r="AD240" s="551" t="s">
        <v>936</v>
      </c>
      <c r="AE240" s="560">
        <f>AE241+AE244</f>
        <v>0</v>
      </c>
      <c r="AF240" s="1308"/>
      <c r="AG240" s="1308"/>
      <c r="AH240" s="1070" t="s">
        <v>2055</v>
      </c>
      <c r="AI240" s="1309"/>
      <c r="AJ240" s="1309"/>
      <c r="AK240" s="1310"/>
      <c r="AL240" s="1310"/>
      <c r="AM240" s="1656"/>
      <c r="AN240" s="1656"/>
      <c r="AO240" s="1656"/>
      <c r="AP240" s="1656"/>
    </row>
    <row s="1656" customFormat="1" customHeight="1" ht="21.75">
      <c r="A241" s="673"/>
      <c r="B241" s="1240"/>
      <c r="C241" s="1240"/>
      <c r="D241" s="1240"/>
      <c r="E241" s="655">
        <v>22.5</v>
      </c>
      <c r="F241" s="50" cm="1" t="str">
        <f t="array" ref="F241:F241">OFFSET(E241,-1,1)</f>
        <v>2</v>
      </c>
      <c r="G241" s="1240"/>
      <c r="H241" s="491" t="s">
        <v>2844</v>
      </c>
      <c r="I241" s="1240"/>
      <c r="J241" s="1240"/>
      <c r="K241" s="1240"/>
      <c r="L241" s="1240"/>
      <c r="M241" s="1240"/>
      <c r="N241" s="1240"/>
      <c r="O241" s="1240"/>
      <c r="P241" s="1240"/>
      <c r="Q241" s="1240"/>
      <c r="R241" s="1240"/>
      <c r="S241" s="1240"/>
      <c r="T241" s="468" cm="1" t="str">
        <f t="array" ref="T241:T241">T240</f>
        <v>true</v>
      </c>
      <c r="U241" s="1240"/>
      <c r="V241" s="1240"/>
      <c r="W241" s="1240"/>
      <c r="X241" s="1559"/>
      <c r="Y241" s="1240"/>
      <c r="Z241" s="1560"/>
      <c r="AA241" s="1240"/>
      <c r="AB241" s="721" t="s">
        <v>2845</v>
      </c>
      <c r="AC241" s="553" t="s">
        <v>2056</v>
      </c>
      <c r="AD241" s="551" t="s">
        <v>936</v>
      </c>
      <c r="AE241" s="1356"/>
      <c r="AF241" s="1308"/>
      <c r="AG241" s="1308"/>
      <c r="AH241" s="1070" t="s">
        <v>1390</v>
      </c>
      <c r="AI241" s="1309"/>
      <c r="AJ241" s="1309"/>
      <c r="AK241" s="1310"/>
      <c r="AL241" s="1310"/>
      <c r="AM241" s="1656"/>
      <c r="AN241" s="1656"/>
      <c r="AO241" s="1656"/>
      <c r="AP241" s="1656"/>
    </row>
    <row s="1656" customFormat="1" customHeight="1" ht="14.25">
      <c r="A242" s="673"/>
      <c r="B242" s="1240"/>
      <c r="C242" s="1240"/>
      <c r="D242" s="1240"/>
      <c r="E242" s="655">
        <v>15</v>
      </c>
      <c r="F242" s="50" cm="1" t="str">
        <f t="array" ref="F242:F242">OFFSET(E242,-1,1)</f>
        <v>2</v>
      </c>
      <c r="G242" s="1240"/>
      <c r="H242" s="491" t="s">
        <v>2846</v>
      </c>
      <c r="I242" s="1240"/>
      <c r="J242" s="1240"/>
      <c r="K242" s="1240"/>
      <c r="L242" s="1240"/>
      <c r="M242" s="1240"/>
      <c r="N242" s="1240"/>
      <c r="O242" s="1240"/>
      <c r="P242" s="1240"/>
      <c r="Q242" s="1240"/>
      <c r="R242" s="1240"/>
      <c r="S242" s="1240"/>
      <c r="T242" s="468" cm="1" t="str">
        <f t="array" ref="T242:T242">T241</f>
        <v>true</v>
      </c>
      <c r="U242" s="1240"/>
      <c r="V242" s="1240"/>
      <c r="W242" s="1240"/>
      <c r="X242" s="1559"/>
      <c r="Y242" s="1240"/>
      <c r="Z242" s="1560"/>
      <c r="AA242" s="1240"/>
      <c r="AB242" s="721" t="s">
        <v>2847</v>
      </c>
      <c r="AC242" s="554" t="s">
        <v>2848</v>
      </c>
      <c r="AD242" s="551" t="s">
        <v>2790</v>
      </c>
      <c r="AE242" s="1356"/>
      <c r="AF242" s="1308"/>
      <c r="AG242" s="1308"/>
      <c r="AH242" s="1009" t="s">
        <v>2849</v>
      </c>
      <c r="AI242" s="1309"/>
      <c r="AJ242" s="1309"/>
      <c r="AK242" s="1310"/>
      <c r="AL242" s="1310"/>
      <c r="AM242" s="1656"/>
      <c r="AN242" s="1656"/>
      <c r="AO242" s="1656"/>
      <c r="AP242" s="1656"/>
    </row>
    <row s="1656" customFormat="1" customHeight="1" ht="21.75">
      <c r="A243" s="673"/>
      <c r="B243" s="1240"/>
      <c r="C243" s="1240"/>
      <c r="D243" s="1240"/>
      <c r="E243" s="655">
        <v>22.5</v>
      </c>
      <c r="F243" s="50" cm="1" t="str">
        <f t="array" ref="F243:F243">OFFSET(E243,-1,1)</f>
        <v>2</v>
      </c>
      <c r="G243" s="1240"/>
      <c r="H243" s="491" t="s">
        <v>2850</v>
      </c>
      <c r="I243" s="1240"/>
      <c r="J243" s="1240"/>
      <c r="K243" s="1240"/>
      <c r="L243" s="1240"/>
      <c r="M243" s="1240"/>
      <c r="N243" s="1240"/>
      <c r="O243" s="1240"/>
      <c r="P243" s="1240"/>
      <c r="Q243" s="1240"/>
      <c r="R243" s="1240"/>
      <c r="S243" s="1240"/>
      <c r="T243" s="468" cm="1" t="str">
        <f t="array" ref="T243:T243">T242</f>
        <v>true</v>
      </c>
      <c r="U243" s="1240"/>
      <c r="V243" s="1240"/>
      <c r="W243" s="1240"/>
      <c r="X243" s="1559"/>
      <c r="Y243" s="1240"/>
      <c r="Z243" s="1560"/>
      <c r="AA243" s="1240"/>
      <c r="AB243" s="721" t="s">
        <v>2851</v>
      </c>
      <c r="AC243" s="554" t="s">
        <v>2852</v>
      </c>
      <c r="AD243" s="551" t="s">
        <v>2795</v>
      </c>
      <c r="AE243" s="1356"/>
      <c r="AF243" s="1308"/>
      <c r="AG243" s="1308"/>
      <c r="AH243" s="1009" t="s">
        <v>2853</v>
      </c>
      <c r="AI243" s="1309"/>
      <c r="AJ243" s="1309"/>
      <c r="AK243" s="1310"/>
      <c r="AL243" s="1310"/>
      <c r="AM243" s="1656"/>
      <c r="AN243" s="1656"/>
      <c r="AO243" s="1656"/>
      <c r="AP243" s="1656"/>
    </row>
    <row s="1656" customFormat="1" customHeight="1" ht="21.75">
      <c r="A244" s="673"/>
      <c r="B244" s="1240"/>
      <c r="C244" s="1240"/>
      <c r="D244" s="1240"/>
      <c r="E244" s="655">
        <v>22.5</v>
      </c>
      <c r="F244" s="50" cm="1" t="str">
        <f t="array" ref="F244:F244">OFFSET(E244,-1,1)</f>
        <v>2</v>
      </c>
      <c r="G244" s="1240"/>
      <c r="H244" s="491" t="s">
        <v>2854</v>
      </c>
      <c r="I244" s="1240"/>
      <c r="J244" s="1240"/>
      <c r="K244" s="1240"/>
      <c r="L244" s="1240"/>
      <c r="M244" s="1240"/>
      <c r="N244" s="1240"/>
      <c r="O244" s="1240"/>
      <c r="P244" s="1240"/>
      <c r="Q244" s="1240"/>
      <c r="R244" s="1240"/>
      <c r="S244" s="1240"/>
      <c r="T244" s="468" cm="1" t="str">
        <f t="array" ref="T244:T244">T243</f>
        <v>true</v>
      </c>
      <c r="U244" s="1240"/>
      <c r="V244" s="1240"/>
      <c r="W244" s="1240"/>
      <c r="X244" s="1559"/>
      <c r="Y244" s="1240"/>
      <c r="Z244" s="1560"/>
      <c r="AA244" s="1240"/>
      <c r="AB244" s="721" t="s">
        <v>2855</v>
      </c>
      <c r="AC244" s="553" t="s">
        <v>2246</v>
      </c>
      <c r="AD244" s="551" t="s">
        <v>936</v>
      </c>
      <c r="AE244" s="1356"/>
      <c r="AF244" s="1308"/>
      <c r="AG244" s="1308"/>
      <c r="AH244" s="1070" t="s">
        <v>2058</v>
      </c>
      <c r="AI244" s="1309"/>
      <c r="AJ244" s="1309"/>
      <c r="AK244" s="1310"/>
      <c r="AL244" s="1310"/>
      <c r="AM244" s="1656"/>
      <c r="AN244" s="1656"/>
      <c r="AO244" s="1656"/>
      <c r="AP244" s="1656"/>
    </row>
    <row s="1656" customFormat="1" customHeight="1" ht="21.75">
      <c r="A245" s="673"/>
      <c r="B245" s="1240"/>
      <c r="C245" s="1240"/>
      <c r="D245" s="1240"/>
      <c r="E245" s="655">
        <v>22.5</v>
      </c>
      <c r="F245" s="50" cm="1" t="str">
        <f t="array" ref="F245:F245">OFFSET(E245,-1,1)</f>
        <v>2</v>
      </c>
      <c r="G245" s="1240"/>
      <c r="H245" s="491" t="s">
        <v>1571</v>
      </c>
      <c r="I245" s="1240"/>
      <c r="J245" s="1240"/>
      <c r="K245" s="1240"/>
      <c r="L245" s="1240"/>
      <c r="M245" s="1240"/>
      <c r="N245" s="1240"/>
      <c r="O245" s="1240"/>
      <c r="P245" s="1240"/>
      <c r="Q245" s="1240"/>
      <c r="R245" s="1240"/>
      <c r="S245" s="1240"/>
      <c r="T245" s="468" cm="1" t="str">
        <f t="array" ref="T245:T245">T244</f>
        <v>true</v>
      </c>
      <c r="U245" s="1240"/>
      <c r="V245" s="1240"/>
      <c r="W245" s="1240"/>
      <c r="X245" s="1559"/>
      <c r="Y245" s="1240"/>
      <c r="Z245" s="1560"/>
      <c r="AA245" s="1240"/>
      <c r="AB245" s="721" t="s">
        <v>1572</v>
      </c>
      <c r="AC245" s="552" t="s">
        <v>2856</v>
      </c>
      <c r="AD245" s="551" t="s">
        <v>936</v>
      </c>
      <c r="AE245" s="1356"/>
      <c r="AF245" s="1308"/>
      <c r="AG245" s="1308"/>
      <c r="AH245" s="1070" t="s">
        <v>1421</v>
      </c>
      <c r="AI245" s="1309"/>
      <c r="AJ245" s="1309"/>
      <c r="AK245" s="1310"/>
      <c r="AL245" s="1310"/>
      <c r="AM245" s="1656"/>
      <c r="AN245" s="1656"/>
      <c r="AO245" s="1656"/>
      <c r="AP245" s="1656"/>
    </row>
    <row s="1656" customFormat="1" customHeight="1" ht="14.25">
      <c r="A246" s="673"/>
      <c r="B246" s="1240"/>
      <c r="C246" s="1240"/>
      <c r="D246" s="1240"/>
      <c r="E246" s="655">
        <v>15</v>
      </c>
      <c r="F246" s="50" cm="1" t="str">
        <f t="array" ref="F246:F246">OFFSET(E246,-1,1)</f>
        <v>2</v>
      </c>
      <c r="G246" s="1240"/>
      <c r="H246" s="491" t="s">
        <v>2857</v>
      </c>
      <c r="I246" s="1240"/>
      <c r="J246" s="1240"/>
      <c r="K246" s="1240"/>
      <c r="L246" s="1240"/>
      <c r="M246" s="1240"/>
      <c r="N246" s="1240"/>
      <c r="O246" s="1240"/>
      <c r="P246" s="1240"/>
      <c r="Q246" s="1240"/>
      <c r="R246" s="1240"/>
      <c r="S246" s="1240"/>
      <c r="T246" s="468" cm="1" t="str">
        <f t="array" ref="T246:T246">T245</f>
        <v>true</v>
      </c>
      <c r="U246" s="1240"/>
      <c r="V246" s="1240"/>
      <c r="W246" s="1240"/>
      <c r="X246" s="1559"/>
      <c r="Y246" s="1240"/>
      <c r="Z246" s="1560"/>
      <c r="AA246" s="1240"/>
      <c r="AB246" s="721" t="s">
        <v>2858</v>
      </c>
      <c r="AC246" s="552" t="s">
        <v>1423</v>
      </c>
      <c r="AD246" s="551" t="s">
        <v>936</v>
      </c>
      <c r="AE246" s="1356"/>
      <c r="AF246" s="1308"/>
      <c r="AG246" s="1308"/>
      <c r="AH246" s="1070" t="s">
        <v>1424</v>
      </c>
      <c r="AI246" s="1309"/>
      <c r="AJ246" s="1309"/>
      <c r="AK246" s="1310"/>
      <c r="AL246" s="1310"/>
      <c r="AM246" s="1656"/>
      <c r="AN246" s="1656"/>
      <c r="AO246" s="1656"/>
      <c r="AP246" s="1656"/>
    </row>
    <row s="1656" customFormat="1" customHeight="1" ht="14.25">
      <c r="A247" s="673"/>
      <c r="B247" s="1240"/>
      <c r="C247" s="1240"/>
      <c r="D247" s="1240"/>
      <c r="E247" s="655">
        <v>15</v>
      </c>
      <c r="F247" s="50" cm="1" t="str">
        <f t="array" ref="F247:F247">OFFSET(E247,-1,1)</f>
        <v>2</v>
      </c>
      <c r="G247" s="1240"/>
      <c r="H247" s="491" t="s">
        <v>2859</v>
      </c>
      <c r="I247" s="1240"/>
      <c r="J247" s="1240"/>
      <c r="K247" s="1240"/>
      <c r="L247" s="1240"/>
      <c r="M247" s="1240"/>
      <c r="N247" s="1240"/>
      <c r="O247" s="1240"/>
      <c r="P247" s="1240"/>
      <c r="Q247" s="1240"/>
      <c r="R247" s="1240"/>
      <c r="S247" s="1240"/>
      <c r="T247" s="468" cm="1" t="str">
        <f t="array" ref="T247:T247">T246</f>
        <v>true</v>
      </c>
      <c r="U247" s="1240"/>
      <c r="V247" s="1240"/>
      <c r="W247" s="1240"/>
      <c r="X247" s="1559"/>
      <c r="Y247" s="1240"/>
      <c r="Z247" s="1560"/>
      <c r="AA247" s="1240"/>
      <c r="AB247" s="721" t="s">
        <v>2860</v>
      </c>
      <c r="AC247" s="552" t="s">
        <v>1426</v>
      </c>
      <c r="AD247" s="551" t="s">
        <v>936</v>
      </c>
      <c r="AE247" s="1356"/>
      <c r="AF247" s="1308"/>
      <c r="AG247" s="1308"/>
      <c r="AH247" s="1070" t="s">
        <v>1427</v>
      </c>
      <c r="AI247" s="1309"/>
      <c r="AJ247" s="1309"/>
      <c r="AK247" s="1310"/>
      <c r="AL247" s="1310"/>
      <c r="AM247" s="1656"/>
      <c r="AN247" s="1656"/>
      <c r="AO247" s="1656"/>
      <c r="AP247" s="1656"/>
    </row>
    <row s="1656" customFormat="1" customHeight="1" ht="21.75">
      <c r="A248" s="673"/>
      <c r="B248" s="1240"/>
      <c r="C248" s="1240"/>
      <c r="D248" s="1240"/>
      <c r="E248" s="655">
        <v>22.5</v>
      </c>
      <c r="F248" s="50" cm="1" t="str">
        <f t="array" ref="F248:F248">OFFSET(E248,-1,1)</f>
        <v>2</v>
      </c>
      <c r="G248" s="1240"/>
      <c r="H248" s="491" t="s">
        <v>2861</v>
      </c>
      <c r="I248" s="1240"/>
      <c r="J248" s="1240"/>
      <c r="K248" s="1240"/>
      <c r="L248" s="1240"/>
      <c r="M248" s="1240"/>
      <c r="N248" s="1240"/>
      <c r="O248" s="1240"/>
      <c r="P248" s="1240"/>
      <c r="Q248" s="1240"/>
      <c r="R248" s="1240"/>
      <c r="S248" s="1240"/>
      <c r="T248" s="468" cm="1" t="str">
        <f t="array" ref="T248:T248">T247</f>
        <v>true</v>
      </c>
      <c r="U248" s="1240"/>
      <c r="V248" s="1240"/>
      <c r="W248" s="1240"/>
      <c r="X248" s="1559"/>
      <c r="Y248" s="1240"/>
      <c r="Z248" s="1560"/>
      <c r="AA248" s="1240"/>
      <c r="AB248" s="721" t="s">
        <v>2862</v>
      </c>
      <c r="AC248" s="552" t="s">
        <v>2863</v>
      </c>
      <c r="AD248" s="551" t="s">
        <v>936</v>
      </c>
      <c r="AE248" s="1356"/>
      <c r="AF248" s="1308"/>
      <c r="AG248" s="1308"/>
      <c r="AH248" s="1070" t="s">
        <v>2060</v>
      </c>
      <c r="AI248" s="1309"/>
      <c r="AJ248" s="1309"/>
      <c r="AK248" s="1310"/>
      <c r="AL248" s="1310"/>
      <c r="AM248" s="1656"/>
      <c r="AN248" s="1656"/>
      <c r="AO248" s="1656"/>
      <c r="AP248" s="1656"/>
    </row>
    <row s="1656" customFormat="1" customHeight="1" ht="14.25">
      <c r="A249" s="673"/>
      <c r="B249" s="1240"/>
      <c r="C249" s="1240"/>
      <c r="D249" s="1240"/>
      <c r="E249" s="655">
        <v>15</v>
      </c>
      <c r="F249" s="50" cm="1" t="str">
        <f t="array" ref="F249:F249">OFFSET(E249,-1,1)</f>
        <v>2</v>
      </c>
      <c r="G249" s="1240"/>
      <c r="H249" s="491" t="s">
        <v>2864</v>
      </c>
      <c r="I249" s="1240"/>
      <c r="J249" s="1240"/>
      <c r="K249" s="1240"/>
      <c r="L249" s="1240"/>
      <c r="M249" s="1240"/>
      <c r="N249" s="1240"/>
      <c r="O249" s="1240"/>
      <c r="P249" s="1240"/>
      <c r="Q249" s="1240"/>
      <c r="R249" s="1240"/>
      <c r="S249" s="1240"/>
      <c r="T249" s="468" cm="1" t="str">
        <f t="array" ref="T249:T249">T248</f>
        <v>true</v>
      </c>
      <c r="U249" s="1240"/>
      <c r="V249" s="1240"/>
      <c r="W249" s="1240"/>
      <c r="X249" s="1559"/>
      <c r="Y249" s="1240"/>
      <c r="Z249" s="1560"/>
      <c r="AA249" s="1240"/>
      <c r="AB249" s="721" t="s">
        <v>2865</v>
      </c>
      <c r="AC249" s="552" t="s">
        <v>2866</v>
      </c>
      <c r="AD249" s="551" t="s">
        <v>936</v>
      </c>
      <c r="AE249" s="560">
        <f>AE250+AE251+AE252</f>
        <v>0</v>
      </c>
      <c r="AF249" s="1308"/>
      <c r="AG249" s="1308"/>
      <c r="AH249" s="1070" t="s">
        <v>2062</v>
      </c>
      <c r="AI249" s="1309"/>
      <c r="AJ249" s="1309"/>
      <c r="AK249" s="1310"/>
      <c r="AL249" s="1310"/>
      <c r="AM249" s="1656"/>
      <c r="AN249" s="1656"/>
      <c r="AO249" s="1656"/>
      <c r="AP249" s="1656"/>
    </row>
    <row s="1656" customFormat="1" customHeight="1" ht="14.25">
      <c r="A250" s="673"/>
      <c r="B250" s="1240"/>
      <c r="C250" s="1240"/>
      <c r="D250" s="1240"/>
      <c r="E250" s="655">
        <v>15</v>
      </c>
      <c r="F250" s="50" cm="1" t="str">
        <f t="array" ref="F250:F250">OFFSET(E250,-1,1)</f>
        <v>2</v>
      </c>
      <c r="G250" s="1240"/>
      <c r="H250" s="491" t="s">
        <v>2867</v>
      </c>
      <c r="I250" s="1240"/>
      <c r="J250" s="1240"/>
      <c r="K250" s="1240"/>
      <c r="L250" s="1240"/>
      <c r="M250" s="1240"/>
      <c r="N250" s="1240"/>
      <c r="O250" s="1240"/>
      <c r="P250" s="1240"/>
      <c r="Q250" s="1240"/>
      <c r="R250" s="1240"/>
      <c r="S250" s="1240"/>
      <c r="T250" s="468" cm="1" t="str">
        <f t="array" ref="T250:T250">T249</f>
        <v>true</v>
      </c>
      <c r="U250" s="1240"/>
      <c r="V250" s="1240"/>
      <c r="W250" s="1240"/>
      <c r="X250" s="1559"/>
      <c r="Y250" s="1240"/>
      <c r="Z250" s="1560"/>
      <c r="AA250" s="1240"/>
      <c r="AB250" s="721" t="s">
        <v>2868</v>
      </c>
      <c r="AC250" s="553" t="s">
        <v>2869</v>
      </c>
      <c r="AD250" s="551" t="s">
        <v>936</v>
      </c>
      <c r="AE250" s="1356"/>
      <c r="AF250" s="1308"/>
      <c r="AG250" s="1308"/>
      <c r="AH250" s="1070" t="s">
        <v>2066</v>
      </c>
      <c r="AI250" s="1309"/>
      <c r="AJ250" s="1309"/>
      <c r="AK250" s="1310"/>
      <c r="AL250" s="1310"/>
      <c r="AM250" s="1656"/>
      <c r="AN250" s="1656"/>
      <c r="AO250" s="1656"/>
      <c r="AP250" s="1656"/>
    </row>
    <row s="1656" customFormat="1" customHeight="1" ht="14.25">
      <c r="A251" s="673"/>
      <c r="B251" s="1240"/>
      <c r="C251" s="1240"/>
      <c r="D251" s="1240"/>
      <c r="E251" s="655">
        <v>15</v>
      </c>
      <c r="F251" s="50" cm="1" t="str">
        <f t="array" ref="F251:F251">OFFSET(E251,-1,1)</f>
        <v>2</v>
      </c>
      <c r="G251" s="1240"/>
      <c r="H251" s="491" t="s">
        <v>2870</v>
      </c>
      <c r="I251" s="1240"/>
      <c r="J251" s="1240"/>
      <c r="K251" s="1240"/>
      <c r="L251" s="1240"/>
      <c r="M251" s="1240"/>
      <c r="N251" s="1240"/>
      <c r="O251" s="1240"/>
      <c r="P251" s="1240"/>
      <c r="Q251" s="1240"/>
      <c r="R251" s="1240"/>
      <c r="S251" s="1240"/>
      <c r="T251" s="468" cm="1" t="str">
        <f t="array" ref="T251:T251">T250</f>
        <v>true</v>
      </c>
      <c r="U251" s="1240"/>
      <c r="V251" s="1240"/>
      <c r="W251" s="1240"/>
      <c r="X251" s="1559"/>
      <c r="Y251" s="1240"/>
      <c r="Z251" s="1560"/>
      <c r="AA251" s="1240"/>
      <c r="AB251" s="722" t="s">
        <v>2871</v>
      </c>
      <c r="AC251" s="555" t="s">
        <v>2872</v>
      </c>
      <c r="AD251" s="556" t="s">
        <v>936</v>
      </c>
      <c r="AE251" s="1356"/>
      <c r="AF251" s="1308"/>
      <c r="AG251" s="1308"/>
      <c r="AH251" s="1070" t="s">
        <v>2069</v>
      </c>
      <c r="AI251" s="1309"/>
      <c r="AJ251" s="1309"/>
      <c r="AK251" s="1310"/>
      <c r="AL251" s="1310"/>
      <c r="AM251" s="1656"/>
      <c r="AN251" s="1656"/>
      <c r="AO251" s="1656"/>
      <c r="AP251" s="1656"/>
    </row>
    <row s="1656" customFormat="1" customHeight="1" ht="14.25">
      <c r="A252" s="673"/>
      <c r="B252" s="1240"/>
      <c r="C252" s="1240"/>
      <c r="D252" s="1240"/>
      <c r="E252" s="655">
        <v>15</v>
      </c>
      <c r="F252" s="50" cm="1" t="str">
        <f t="array" ref="F252:F252">OFFSET(E252,-1,1)</f>
        <v>2</v>
      </c>
      <c r="G252" s="1240"/>
      <c r="H252" s="491" t="s">
        <v>2873</v>
      </c>
      <c r="I252" s="1240"/>
      <c r="J252" s="1240"/>
      <c r="K252" s="1240"/>
      <c r="L252" s="1240"/>
      <c r="M252" s="1240"/>
      <c r="N252" s="1240"/>
      <c r="O252" s="1240"/>
      <c r="P252" s="1240"/>
      <c r="Q252" s="1240"/>
      <c r="R252" s="1240"/>
      <c r="S252" s="1240"/>
      <c r="T252" s="468" cm="1" t="str">
        <f t="array" ref="T252:T252">T251</f>
        <v>true</v>
      </c>
      <c r="U252" s="1240"/>
      <c r="V252" s="1240"/>
      <c r="W252" s="1240"/>
      <c r="X252" s="1559"/>
      <c r="Y252" s="1240"/>
      <c r="Z252" s="1560"/>
      <c r="AA252" s="1240"/>
      <c r="AB252" s="722" t="s">
        <v>2874</v>
      </c>
      <c r="AC252" s="555" t="s">
        <v>1440</v>
      </c>
      <c r="AD252" s="556" t="s">
        <v>936</v>
      </c>
      <c r="AE252" s="1356"/>
      <c r="AF252" s="1308"/>
      <c r="AG252" s="1308"/>
      <c r="AH252" s="1070" t="s">
        <v>2072</v>
      </c>
      <c r="AI252" s="1309"/>
      <c r="AJ252" s="1309"/>
      <c r="AK252" s="1310"/>
      <c r="AL252" s="1310"/>
      <c r="AM252" s="1656"/>
      <c r="AN252" s="1656"/>
      <c r="AO252" s="1656"/>
      <c r="AP252" s="1656"/>
    </row>
    <row s="1656" customFormat="1" customHeight="1" ht="14.25">
      <c r="A253" s="673"/>
      <c r="B253" s="1240"/>
      <c r="C253" s="1240"/>
      <c r="D253" s="1240"/>
      <c r="E253" s="655">
        <v>15</v>
      </c>
      <c r="F253" s="50" cm="1" t="str">
        <f t="array" ref="F253:F253">OFFSET(E253,-1,1)</f>
        <v>2</v>
      </c>
      <c r="G253" s="1240"/>
      <c r="H253" s="491" t="s">
        <v>577</v>
      </c>
      <c r="I253" s="1240"/>
      <c r="J253" s="1240"/>
      <c r="K253" s="1240"/>
      <c r="L253" s="1240"/>
      <c r="M253" s="1240"/>
      <c r="N253" s="1240"/>
      <c r="O253" s="1240"/>
      <c r="P253" s="1240"/>
      <c r="Q253" s="1240"/>
      <c r="R253" s="1240"/>
      <c r="S253" s="1240"/>
      <c r="T253" s="468" cm="1" t="str">
        <f t="array" ref="T253:T253">T252</f>
        <v>true</v>
      </c>
      <c r="U253" s="1240"/>
      <c r="V253" s="1240"/>
      <c r="W253" s="1240"/>
      <c r="X253" s="1559"/>
      <c r="Y253" s="1240"/>
      <c r="Z253" s="1560"/>
      <c r="AA253" s="1240"/>
      <c r="AB253" s="722" t="s">
        <v>1076</v>
      </c>
      <c r="AC253" s="557" t="s">
        <v>2875</v>
      </c>
      <c r="AD253" s="556" t="s">
        <v>936</v>
      </c>
      <c r="AE253" s="560">
        <f>SUM(AE254:AE255)</f>
        <v>0</v>
      </c>
      <c r="AF253" s="1308"/>
      <c r="AG253" s="1308"/>
      <c r="AH253" s="1072" t="s">
        <v>2876</v>
      </c>
      <c r="AI253" s="1309"/>
      <c r="AJ253" s="1309"/>
      <c r="AK253" s="1310"/>
      <c r="AL253" s="1310"/>
      <c r="AM253" s="1656"/>
      <c r="AN253" s="1656"/>
      <c r="AO253" s="1656"/>
      <c r="AP253" s="1656"/>
    </row>
    <row s="1656" customFormat="1" customHeight="1" ht="14.25" hidden="1">
      <c r="A254" s="673"/>
      <c r="B254" s="1240"/>
      <c r="C254" s="1240"/>
      <c r="D254" s="1240"/>
      <c r="E254" s="655">
        <v>15</v>
      </c>
      <c r="F254" s="50" cm="1" t="str">
        <f t="array" ref="F254:F254">OFFSET(E254,-1,1)</f>
        <v>2</v>
      </c>
      <c r="G254" s="1240"/>
      <c r="H254" s="491" t="s">
        <v>577</v>
      </c>
      <c r="I254" s="566" cm="1" t="str">
        <f t="array" ref="I254:I254">AC254</f>
        <v>0</v>
      </c>
      <c r="J254" s="1240"/>
      <c r="K254" s="1240"/>
      <c r="L254" s="1240"/>
      <c r="M254" s="1240"/>
      <c r="N254" s="1240"/>
      <c r="O254" s="1240"/>
      <c r="P254" s="1240"/>
      <c r="Q254" s="1240"/>
      <c r="R254" s="1240"/>
      <c r="S254" s="1240"/>
      <c r="T254" s="468">
        <f>AND(F254&gt;0,Y254&gt;0)</f>
        <v>0</v>
      </c>
      <c r="U254" s="1240"/>
      <c r="V254" s="1240"/>
      <c r="W254" s="558" t="s">
        <v>173</v>
      </c>
      <c r="X254" s="1559"/>
      <c r="Y254" s="491">
        <v>0</v>
      </c>
      <c r="Z254" s="1560"/>
      <c r="AA254" s="1295" t="s">
        <v>174</v>
      </c>
      <c r="AB254" s="721" t="str">
        <f>"1.4."&amp;Y254</f>
        <v>1.4.0</v>
      </c>
      <c r="AC254" s="7393"/>
      <c r="AD254" s="551" t="s">
        <v>936</v>
      </c>
      <c r="AE254" s="7394"/>
      <c r="AF254" s="1308"/>
      <c r="AG254" s="1308"/>
      <c r="AH254" s="1072" t="s">
        <v>2876</v>
      </c>
      <c r="AI254" s="1009" t="s">
        <v>2877</v>
      </c>
      <c r="AJ254" s="1009" cm="1" t="str">
        <f t="array" ref="AJ254:AJ254">AC254</f>
        <v>0</v>
      </c>
      <c r="AK254" s="1310"/>
      <c r="AL254" s="662" t="b">
        <v>1</v>
      </c>
      <c r="AM254" s="1656"/>
      <c r="AN254" s="1656"/>
      <c r="AO254" s="1656"/>
      <c r="AP254" s="1656"/>
    </row>
    <row s="1656" customFormat="1" customHeight="1" ht="14.25">
      <c r="A255" s="673"/>
      <c r="B255" s="1240"/>
      <c r="C255" s="1240"/>
      <c r="D255" s="1240"/>
      <c r="E255" s="655">
        <v>15</v>
      </c>
      <c r="F255" s="50" cm="1" t="str">
        <f t="array" ref="F255:F255">OFFSET(E255,-1,1)</f>
        <v>2</v>
      </c>
      <c r="G255" s="1240"/>
      <c r="H255" s="1240"/>
      <c r="I255" s="1297" t="str">
        <f>"!== 'не определено' &amp;&amp; row.l1_4 !== null"</f>
        <v>!== 'не определено' &amp;&amp; row.l1_4 !== null</v>
      </c>
      <c r="J255" s="1240"/>
      <c r="K255" s="1240"/>
      <c r="L255" s="1240"/>
      <c r="M255" s="1240"/>
      <c r="N255" s="1240"/>
      <c r="O255" s="1240"/>
      <c r="P255" s="1240"/>
      <c r="Q255" s="1240"/>
      <c r="R255" s="1240"/>
      <c r="S255" s="1240"/>
      <c r="T255" s="468">
        <f>F255&gt;0</f>
        <v>1</v>
      </c>
      <c r="U255" s="1240"/>
      <c r="V255" s="1240"/>
      <c r="W255" s="1446" t="s">
        <v>410</v>
      </c>
      <c r="X255" s="1559"/>
      <c r="Y255" s="1240"/>
      <c r="Z255" s="1560"/>
      <c r="AA255" s="1240"/>
      <c r="AB255" s="1298"/>
      <c r="AC255" s="1299" t="s">
        <v>177</v>
      </c>
      <c r="AD255" s="1300"/>
      <c r="AE255" s="1357"/>
      <c r="AF255" s="1308"/>
      <c r="AG255" s="1308"/>
      <c r="AH255" s="1309"/>
      <c r="AI255" s="1309"/>
      <c r="AJ255" s="1309"/>
      <c r="AK255" s="662" t="s">
        <v>2877</v>
      </c>
      <c r="AL255" s="1310"/>
      <c r="AM255" s="1656"/>
      <c r="AN255" s="1656"/>
      <c r="AO255" s="1656"/>
      <c r="AP255" s="1656"/>
    </row>
    <row s="1656" customFormat="1" customHeight="1" ht="14.25">
      <c r="A256" s="673"/>
      <c r="B256" s="1240"/>
      <c r="C256" s="1240"/>
      <c r="D256" s="1240"/>
      <c r="E256" s="655">
        <v>15</v>
      </c>
      <c r="F256" s="50" cm="1" t="str">
        <f t="array" ref="F256:F256">OFFSET(E256,-1,1)</f>
        <v>2</v>
      </c>
      <c r="G256" s="1240"/>
      <c r="H256" s="491" t="s">
        <v>345</v>
      </c>
      <c r="I256" s="1240"/>
      <c r="J256" s="1240"/>
      <c r="K256" s="1240"/>
      <c r="L256" s="1240"/>
      <c r="M256" s="1240"/>
      <c r="N256" s="1240"/>
      <c r="O256" s="1240"/>
      <c r="P256" s="1240"/>
      <c r="Q256" s="1240"/>
      <c r="R256" s="1240"/>
      <c r="S256" s="1240"/>
      <c r="T256" s="468" cm="1" t="str">
        <f t="array" ref="T256:T256">T255</f>
        <v>true</v>
      </c>
      <c r="U256" s="1240"/>
      <c r="V256" s="1240"/>
      <c r="W256" s="1240"/>
      <c r="X256" s="1559"/>
      <c r="Y256" s="1240"/>
      <c r="Z256" s="1560"/>
      <c r="AA256" s="1240"/>
      <c r="AB256" s="720" t="s">
        <v>299</v>
      </c>
      <c r="AC256" s="548" t="s">
        <v>2271</v>
      </c>
      <c r="AD256" s="549" t="s">
        <v>936</v>
      </c>
      <c r="AE256" s="560">
        <f>AE257+AE269+AE270+AE280+AE281+AE282+AE285+AE286+AE287+AE288+AE289+AE290</f>
        <v>0</v>
      </c>
      <c r="AF256" s="1308"/>
      <c r="AG256" s="1308"/>
      <c r="AH256" s="1009" t="s">
        <v>2878</v>
      </c>
      <c r="AI256" s="1309"/>
      <c r="AJ256" s="1309"/>
      <c r="AK256" s="1310"/>
      <c r="AL256" s="1310"/>
      <c r="AM256" s="1656"/>
      <c r="AN256" s="1656"/>
      <c r="AO256" s="1656"/>
      <c r="AP256" s="1656"/>
    </row>
    <row s="1441" customFormat="1" customHeight="1" ht="26.25">
      <c r="A257" s="673"/>
      <c r="B257" s="491"/>
      <c r="C257" s="491"/>
      <c r="D257" s="491"/>
      <c r="E257" s="655">
        <v>27</v>
      </c>
      <c r="F257" s="526" cm="1" t="str">
        <f t="array" ref="F257:F257">OFFSET(E257,-1,1)</f>
        <v>2</v>
      </c>
      <c r="G257" s="491"/>
      <c r="H257" s="491"/>
      <c r="I257" s="491"/>
      <c r="J257" s="491"/>
      <c r="K257" s="491"/>
      <c r="L257" s="491"/>
      <c r="M257" s="491"/>
      <c r="N257" s="491"/>
      <c r="O257" s="491"/>
      <c r="P257" s="491"/>
      <c r="Q257" s="491"/>
      <c r="R257" s="491"/>
      <c r="S257" s="491"/>
      <c r="T257" s="468" cm="1" t="str">
        <f t="array" ref="T257:T257">T256</f>
        <v>true</v>
      </c>
      <c r="U257" s="491"/>
      <c r="V257" s="491"/>
      <c r="W257" s="491"/>
      <c r="X257" s="1559"/>
      <c r="Y257" s="491"/>
      <c r="Z257" s="1560"/>
      <c r="AA257" s="491"/>
      <c r="AB257" s="1289" t="s">
        <v>660</v>
      </c>
      <c r="AC257" s="1301" t="s">
        <v>2273</v>
      </c>
      <c r="AD257" s="1288" t="s">
        <v>936</v>
      </c>
      <c r="AE257" s="560">
        <f>SUM(AE258:AE268)</f>
        <v>0</v>
      </c>
      <c r="AF257" s="1117"/>
      <c r="AG257" s="1117"/>
      <c r="AH257" s="1072" t="s">
        <v>1441</v>
      </c>
      <c r="AI257" s="1066"/>
      <c r="AJ257" s="1066"/>
      <c r="AK257" s="973"/>
      <c r="AL257" s="973"/>
      <c r="AM257" s="1441"/>
      <c r="AN257" s="1441"/>
      <c r="AO257" s="1441"/>
      <c r="AP257" s="1441"/>
    </row>
    <row s="1441" customFormat="1" customHeight="1" ht="14.25">
      <c r="A258" s="673"/>
      <c r="B258" s="491"/>
      <c r="C258" s="491"/>
      <c r="D258" s="491"/>
      <c r="E258" s="655">
        <v>15</v>
      </c>
      <c r="F258" s="526" cm="1" t="str">
        <f t="array" ref="F258:F258">OFFSET(E258,-1,1)</f>
        <v>2</v>
      </c>
      <c r="G258" s="491"/>
      <c r="H258" s="491"/>
      <c r="I258" s="491"/>
      <c r="J258" s="491"/>
      <c r="K258" s="491"/>
      <c r="L258" s="491"/>
      <c r="M258" s="491"/>
      <c r="N258" s="491"/>
      <c r="O258" s="491"/>
      <c r="P258" s="491"/>
      <c r="Q258" s="491"/>
      <c r="R258" s="491"/>
      <c r="S258" s="491"/>
      <c r="T258" s="468" cm="1" t="str">
        <f t="array" ref="T258:T258">T257</f>
        <v>true</v>
      </c>
      <c r="U258" s="491"/>
      <c r="V258" s="491"/>
      <c r="W258" s="491"/>
      <c r="X258" s="1559"/>
      <c r="Y258" s="491"/>
      <c r="Z258" s="1560"/>
      <c r="AA258" s="491"/>
      <c r="AB258" s="1289" t="s">
        <v>592</v>
      </c>
      <c r="AC258" s="1292" t="s">
        <v>2275</v>
      </c>
      <c r="AD258" s="1291" t="s">
        <v>936</v>
      </c>
      <c r="AE258" s="561"/>
      <c r="AF258" s="1117"/>
      <c r="AG258" s="1117"/>
      <c r="AH258" s="1072" t="s">
        <v>2879</v>
      </c>
      <c r="AI258" s="1066"/>
      <c r="AJ258" s="1066"/>
      <c r="AK258" s="973"/>
      <c r="AL258" s="973"/>
      <c r="AM258" s="1441"/>
      <c r="AN258" s="1441"/>
      <c r="AO258" s="1441"/>
      <c r="AP258" s="1441"/>
    </row>
    <row s="1441" customFormat="1" customHeight="1" ht="14.25">
      <c r="A259" s="673"/>
      <c r="B259" s="491"/>
      <c r="C259" s="491"/>
      <c r="D259" s="491"/>
      <c r="E259" s="655">
        <v>15</v>
      </c>
      <c r="F259" s="526" cm="1" t="str">
        <f t="array" ref="F259:F259">OFFSET(E259,-1,1)</f>
        <v>2</v>
      </c>
      <c r="G259" s="491"/>
      <c r="H259" s="491"/>
      <c r="I259" s="491"/>
      <c r="J259" s="491"/>
      <c r="K259" s="491"/>
      <c r="L259" s="491"/>
      <c r="M259" s="491"/>
      <c r="N259" s="491"/>
      <c r="O259" s="491"/>
      <c r="P259" s="491"/>
      <c r="Q259" s="491"/>
      <c r="R259" s="491"/>
      <c r="S259" s="491"/>
      <c r="T259" s="468" cm="1" t="str">
        <f t="array" ref="T259:T259">T258</f>
        <v>true</v>
      </c>
      <c r="U259" s="491"/>
      <c r="V259" s="491"/>
      <c r="W259" s="491"/>
      <c r="X259" s="1559"/>
      <c r="Y259" s="491"/>
      <c r="Z259" s="1560"/>
      <c r="AA259" s="491"/>
      <c r="AB259" s="1289" t="s">
        <v>2276</v>
      </c>
      <c r="AC259" s="1292" t="s">
        <v>2277</v>
      </c>
      <c r="AD259" s="1291" t="s">
        <v>936</v>
      </c>
      <c r="AE259" s="561"/>
      <c r="AF259" s="1117"/>
      <c r="AG259" s="1117"/>
      <c r="AH259" s="1072" t="s">
        <v>2880</v>
      </c>
      <c r="AI259" s="1066"/>
      <c r="AJ259" s="1066"/>
      <c r="AK259" s="973"/>
      <c r="AL259" s="973"/>
      <c r="AM259" s="1441"/>
      <c r="AN259" s="1441"/>
      <c r="AO259" s="1441"/>
      <c r="AP259" s="1441"/>
    </row>
    <row s="1441" customFormat="1" customHeight="1" ht="14.25">
      <c r="A260" s="673"/>
      <c r="B260" s="491"/>
      <c r="C260" s="491"/>
      <c r="D260" s="491"/>
      <c r="E260" s="655">
        <v>15</v>
      </c>
      <c r="F260" s="526" cm="1" t="str">
        <f t="array" ref="F260:F260">OFFSET(E260,-1,1)</f>
        <v>2</v>
      </c>
      <c r="G260" s="491"/>
      <c r="H260" s="491"/>
      <c r="I260" s="491"/>
      <c r="J260" s="491"/>
      <c r="K260" s="491"/>
      <c r="L260" s="491"/>
      <c r="M260" s="491"/>
      <c r="N260" s="491"/>
      <c r="O260" s="491"/>
      <c r="P260" s="491"/>
      <c r="Q260" s="491"/>
      <c r="R260" s="491"/>
      <c r="S260" s="491"/>
      <c r="T260" s="468" cm="1" t="str">
        <f t="array" ref="T260:T260">T259</f>
        <v>true</v>
      </c>
      <c r="U260" s="491"/>
      <c r="V260" s="491"/>
      <c r="W260" s="491"/>
      <c r="X260" s="1559"/>
      <c r="Y260" s="491"/>
      <c r="Z260" s="1560"/>
      <c r="AA260" s="491"/>
      <c r="AB260" s="1289" t="s">
        <v>2278</v>
      </c>
      <c r="AC260" s="1292" t="s">
        <v>2279</v>
      </c>
      <c r="AD260" s="1291" t="s">
        <v>936</v>
      </c>
      <c r="AE260" s="561"/>
      <c r="AF260" s="1117"/>
      <c r="AG260" s="1117"/>
      <c r="AH260" s="1072" t="s">
        <v>2881</v>
      </c>
      <c r="AI260" s="1066"/>
      <c r="AJ260" s="1066"/>
      <c r="AK260" s="973"/>
      <c r="AL260" s="973"/>
      <c r="AM260" s="1441"/>
      <c r="AN260" s="1441"/>
      <c r="AO260" s="1441"/>
      <c r="AP260" s="1441"/>
    </row>
    <row s="1441" customFormat="1" customHeight="1" ht="14.25">
      <c r="A261" s="673"/>
      <c r="B261" s="491"/>
      <c r="C261" s="491"/>
      <c r="D261" s="491"/>
      <c r="E261" s="655">
        <v>15</v>
      </c>
      <c r="F261" s="526" cm="1" t="str">
        <f t="array" ref="F261:F261">OFFSET(E261,-1,1)</f>
        <v>2</v>
      </c>
      <c r="G261" s="491"/>
      <c r="H261" s="491"/>
      <c r="I261" s="491"/>
      <c r="J261" s="491"/>
      <c r="K261" s="491"/>
      <c r="L261" s="491"/>
      <c r="M261" s="491"/>
      <c r="N261" s="491"/>
      <c r="O261" s="491"/>
      <c r="P261" s="491"/>
      <c r="Q261" s="491"/>
      <c r="R261" s="491"/>
      <c r="S261" s="491"/>
      <c r="T261" s="468" cm="1" t="str">
        <f t="array" ref="T261:T261">T260</f>
        <v>true</v>
      </c>
      <c r="U261" s="491"/>
      <c r="V261" s="491"/>
      <c r="W261" s="491"/>
      <c r="X261" s="1559"/>
      <c r="Y261" s="491"/>
      <c r="Z261" s="1560"/>
      <c r="AA261" s="491"/>
      <c r="AB261" s="1289" t="s">
        <v>2281</v>
      </c>
      <c r="AC261" s="1292" t="s">
        <v>2282</v>
      </c>
      <c r="AD261" s="1291" t="s">
        <v>936</v>
      </c>
      <c r="AE261" s="561"/>
      <c r="AF261" s="1117"/>
      <c r="AG261" s="1117"/>
      <c r="AH261" s="1072" t="s">
        <v>2882</v>
      </c>
      <c r="AI261" s="1066"/>
      <c r="AJ261" s="1066"/>
      <c r="AK261" s="973"/>
      <c r="AL261" s="973"/>
      <c r="AM261" s="1441"/>
      <c r="AN261" s="1441"/>
      <c r="AO261" s="1441"/>
      <c r="AP261" s="1441"/>
    </row>
    <row s="1441" customFormat="1" customHeight="1" ht="14.25">
      <c r="A262" s="673"/>
      <c r="B262" s="491"/>
      <c r="C262" s="491"/>
      <c r="D262" s="491"/>
      <c r="E262" s="655">
        <v>15</v>
      </c>
      <c r="F262" s="526" cm="1" t="str">
        <f t="array" ref="F262:F262">OFFSET(E262,-1,1)</f>
        <v>2</v>
      </c>
      <c r="G262" s="491"/>
      <c r="H262" s="491"/>
      <c r="I262" s="491"/>
      <c r="J262" s="491"/>
      <c r="K262" s="491"/>
      <c r="L262" s="491"/>
      <c r="M262" s="491"/>
      <c r="N262" s="491"/>
      <c r="O262" s="491"/>
      <c r="P262" s="491"/>
      <c r="Q262" s="491"/>
      <c r="R262" s="491"/>
      <c r="S262" s="491"/>
      <c r="T262" s="468" cm="1" t="str">
        <f t="array" ref="T262:T262">T261</f>
        <v>true</v>
      </c>
      <c r="U262" s="491"/>
      <c r="V262" s="491"/>
      <c r="W262" s="491"/>
      <c r="X262" s="1559"/>
      <c r="Y262" s="491"/>
      <c r="Z262" s="1560"/>
      <c r="AA262" s="491"/>
      <c r="AB262" s="1289" t="s">
        <v>2284</v>
      </c>
      <c r="AC262" s="1292" t="s">
        <v>2285</v>
      </c>
      <c r="AD262" s="1291" t="s">
        <v>936</v>
      </c>
      <c r="AE262" s="561"/>
      <c r="AF262" s="1117"/>
      <c r="AG262" s="1117"/>
      <c r="AH262" s="1072" t="s">
        <v>2883</v>
      </c>
      <c r="AI262" s="1066"/>
      <c r="AJ262" s="1066"/>
      <c r="AK262" s="973"/>
      <c r="AL262" s="973"/>
      <c r="AM262" s="1441"/>
      <c r="AN262" s="1441"/>
      <c r="AO262" s="1441"/>
      <c r="AP262" s="1441"/>
    </row>
    <row s="1441" customFormat="1" customHeight="1" ht="26.25">
      <c r="A263" s="673"/>
      <c r="B263" s="491"/>
      <c r="C263" s="491"/>
      <c r="D263" s="491"/>
      <c r="E263" s="655">
        <v>27</v>
      </c>
      <c r="F263" s="526" cm="1" t="str">
        <f t="array" ref="F263:F263">OFFSET(E263,-1,1)</f>
        <v>2</v>
      </c>
      <c r="G263" s="491"/>
      <c r="H263" s="491"/>
      <c r="I263" s="491"/>
      <c r="J263" s="491"/>
      <c r="K263" s="491"/>
      <c r="L263" s="491"/>
      <c r="M263" s="491"/>
      <c r="N263" s="491"/>
      <c r="O263" s="491"/>
      <c r="P263" s="491"/>
      <c r="Q263" s="491"/>
      <c r="R263" s="491"/>
      <c r="S263" s="491"/>
      <c r="T263" s="468" cm="1" t="str">
        <f t="array" ref="T263:T263">T262</f>
        <v>true</v>
      </c>
      <c r="U263" s="491"/>
      <c r="V263" s="491"/>
      <c r="W263" s="491"/>
      <c r="X263" s="1559"/>
      <c r="Y263" s="491"/>
      <c r="Z263" s="1560"/>
      <c r="AA263" s="491"/>
      <c r="AB263" s="1289" t="s">
        <v>2287</v>
      </c>
      <c r="AC263" s="1292" t="s">
        <v>2288</v>
      </c>
      <c r="AD263" s="1291" t="s">
        <v>936</v>
      </c>
      <c r="AE263" s="561"/>
      <c r="AF263" s="1117"/>
      <c r="AG263" s="1117"/>
      <c r="AH263" s="1072" t="s">
        <v>2884</v>
      </c>
      <c r="AI263" s="1066"/>
      <c r="AJ263" s="1066"/>
      <c r="AK263" s="973"/>
      <c r="AL263" s="973"/>
      <c r="AM263" s="1441"/>
      <c r="AN263" s="1441"/>
      <c r="AO263" s="1441"/>
      <c r="AP263" s="1441"/>
    </row>
    <row s="1441" customFormat="1" customHeight="1" ht="14.25">
      <c r="A264" s="673"/>
      <c r="B264" s="491"/>
      <c r="C264" s="491"/>
      <c r="D264" s="491"/>
      <c r="E264" s="655">
        <v>15</v>
      </c>
      <c r="F264" s="526" cm="1" t="str">
        <f t="array" ref="F264:F264">OFFSET(E264,-1,1)</f>
        <v>2</v>
      </c>
      <c r="G264" s="491"/>
      <c r="H264" s="491"/>
      <c r="I264" s="491"/>
      <c r="J264" s="491"/>
      <c r="K264" s="491"/>
      <c r="L264" s="491"/>
      <c r="M264" s="491"/>
      <c r="N264" s="491"/>
      <c r="O264" s="491"/>
      <c r="P264" s="491"/>
      <c r="Q264" s="491"/>
      <c r="R264" s="491"/>
      <c r="S264" s="491"/>
      <c r="T264" s="468" cm="1" t="str">
        <f t="array" ref="T264:T264">T263</f>
        <v>true</v>
      </c>
      <c r="U264" s="491"/>
      <c r="V264" s="491"/>
      <c r="W264" s="491"/>
      <c r="X264" s="1559"/>
      <c r="Y264" s="491"/>
      <c r="Z264" s="1560"/>
      <c r="AA264" s="491"/>
      <c r="AB264" s="1289" t="s">
        <v>2291</v>
      </c>
      <c r="AC264" s="1292" t="s">
        <v>2292</v>
      </c>
      <c r="AD264" s="1291" t="s">
        <v>936</v>
      </c>
      <c r="AE264" s="561"/>
      <c r="AF264" s="1117"/>
      <c r="AG264" s="1117"/>
      <c r="AH264" s="1072" t="s">
        <v>2885</v>
      </c>
      <c r="AI264" s="1066"/>
      <c r="AJ264" s="1066"/>
      <c r="AK264" s="973"/>
      <c r="AL264" s="973"/>
      <c r="AM264" s="1441"/>
      <c r="AN264" s="1441"/>
      <c r="AO264" s="1441"/>
      <c r="AP264" s="1441"/>
    </row>
    <row s="1441" customFormat="1" customHeight="1" ht="14.25">
      <c r="A265" s="673"/>
      <c r="B265" s="491"/>
      <c r="C265" s="491"/>
      <c r="D265" s="491"/>
      <c r="E265" s="655">
        <v>15</v>
      </c>
      <c r="F265" s="526" cm="1" t="str">
        <f t="array" ref="F265:F265">OFFSET(E265,-1,1)</f>
        <v>2</v>
      </c>
      <c r="G265" s="491"/>
      <c r="H265" s="491"/>
      <c r="I265" s="491"/>
      <c r="J265" s="491"/>
      <c r="K265" s="491"/>
      <c r="L265" s="491"/>
      <c r="M265" s="491"/>
      <c r="N265" s="491"/>
      <c r="O265" s="491"/>
      <c r="P265" s="491"/>
      <c r="Q265" s="491"/>
      <c r="R265" s="491"/>
      <c r="S265" s="491"/>
      <c r="T265" s="468" cm="1" t="str">
        <f t="array" ref="T265:T265">T264</f>
        <v>true</v>
      </c>
      <c r="U265" s="491"/>
      <c r="V265" s="491"/>
      <c r="W265" s="491"/>
      <c r="X265" s="1559"/>
      <c r="Y265" s="491"/>
      <c r="Z265" s="1560"/>
      <c r="AA265" s="491"/>
      <c r="AB265" s="1289" t="s">
        <v>2295</v>
      </c>
      <c r="AC265" s="1292" t="s">
        <v>2296</v>
      </c>
      <c r="AD265" s="1291" t="s">
        <v>936</v>
      </c>
      <c r="AE265" s="561"/>
      <c r="AF265" s="1117"/>
      <c r="AG265" s="1117"/>
      <c r="AH265" s="1072" t="s">
        <v>2886</v>
      </c>
      <c r="AI265" s="1066"/>
      <c r="AJ265" s="1066"/>
      <c r="AK265" s="973"/>
      <c r="AL265" s="973"/>
      <c r="AM265" s="1441"/>
      <c r="AN265" s="1441"/>
      <c r="AO265" s="1441"/>
      <c r="AP265" s="1441"/>
    </row>
    <row s="1441" customFormat="1" customHeight="1" ht="14.25">
      <c r="A266" s="673"/>
      <c r="B266" s="491"/>
      <c r="C266" s="491"/>
      <c r="D266" s="491"/>
      <c r="E266" s="655">
        <v>15</v>
      </c>
      <c r="F266" s="526" cm="1" t="str">
        <f t="array" ref="F266:F266">OFFSET(E266,-1,1)</f>
        <v>2</v>
      </c>
      <c r="G266" s="491"/>
      <c r="H266" s="491"/>
      <c r="I266" s="491"/>
      <c r="J266" s="491"/>
      <c r="K266" s="491"/>
      <c r="L266" s="491"/>
      <c r="M266" s="491"/>
      <c r="N266" s="491"/>
      <c r="O266" s="491"/>
      <c r="P266" s="491"/>
      <c r="Q266" s="491"/>
      <c r="R266" s="491"/>
      <c r="S266" s="491"/>
      <c r="T266" s="468" cm="1" t="str">
        <f t="array" ref="T266:T266">T265</f>
        <v>true</v>
      </c>
      <c r="U266" s="491"/>
      <c r="V266" s="491"/>
      <c r="W266" s="491"/>
      <c r="X266" s="1559"/>
      <c r="Y266" s="491"/>
      <c r="Z266" s="1560"/>
      <c r="AA266" s="491"/>
      <c r="AB266" s="1289" t="s">
        <v>2298</v>
      </c>
      <c r="AC266" s="1292" t="s">
        <v>2299</v>
      </c>
      <c r="AD266" s="1291" t="s">
        <v>936</v>
      </c>
      <c r="AE266" s="561"/>
      <c r="AF266" s="1117"/>
      <c r="AG266" s="1117"/>
      <c r="AH266" s="1072" t="s">
        <v>2887</v>
      </c>
      <c r="AI266" s="1066"/>
      <c r="AJ266" s="1066"/>
      <c r="AK266" s="973"/>
      <c r="AL266" s="973"/>
      <c r="AM266" s="1441"/>
      <c r="AN266" s="1441"/>
      <c r="AO266" s="1441"/>
      <c r="AP266" s="1441"/>
    </row>
    <row s="1441" customFormat="1" customHeight="1" ht="14.25">
      <c r="A267" s="673"/>
      <c r="B267" s="491"/>
      <c r="C267" s="491"/>
      <c r="D267" s="491"/>
      <c r="E267" s="655">
        <v>15</v>
      </c>
      <c r="F267" s="526" cm="1" t="str">
        <f t="array" ref="F267:F267">OFFSET(E267,-1,1)</f>
        <v>2</v>
      </c>
      <c r="G267" s="491"/>
      <c r="H267" s="491"/>
      <c r="I267" s="491"/>
      <c r="J267" s="491"/>
      <c r="K267" s="491"/>
      <c r="L267" s="491"/>
      <c r="M267" s="491"/>
      <c r="N267" s="491"/>
      <c r="O267" s="491"/>
      <c r="P267" s="491"/>
      <c r="Q267" s="491"/>
      <c r="R267" s="491"/>
      <c r="S267" s="491"/>
      <c r="T267" s="468" cm="1" t="str">
        <f t="array" ref="T267:T267">T266</f>
        <v>true</v>
      </c>
      <c r="U267" s="491"/>
      <c r="V267" s="491"/>
      <c r="W267" s="491"/>
      <c r="X267" s="1559"/>
      <c r="Y267" s="491"/>
      <c r="Z267" s="1560"/>
      <c r="AA267" s="491"/>
      <c r="AB267" s="1289" t="s">
        <v>2301</v>
      </c>
      <c r="AC267" s="1292" t="s">
        <v>2302</v>
      </c>
      <c r="AD267" s="1291" t="s">
        <v>936</v>
      </c>
      <c r="AE267" s="561"/>
      <c r="AF267" s="1117"/>
      <c r="AG267" s="1117"/>
      <c r="AH267" s="1072" t="s">
        <v>2888</v>
      </c>
      <c r="AI267" s="1066"/>
      <c r="AJ267" s="1066"/>
      <c r="AK267" s="973"/>
      <c r="AL267" s="973"/>
      <c r="AM267" s="1441"/>
      <c r="AN267" s="1441"/>
      <c r="AO267" s="1441"/>
      <c r="AP267" s="1441"/>
    </row>
    <row s="1441" customFormat="1" customHeight="1" ht="14.25">
      <c r="A268" s="673"/>
      <c r="B268" s="491"/>
      <c r="C268" s="491"/>
      <c r="D268" s="491"/>
      <c r="E268" s="655">
        <v>15</v>
      </c>
      <c r="F268" s="526" cm="1" t="str">
        <f t="array" ref="F268:F268">OFFSET(E268,-1,1)</f>
        <v>2</v>
      </c>
      <c r="G268" s="491"/>
      <c r="H268" s="491"/>
      <c r="I268" s="491"/>
      <c r="J268" s="491"/>
      <c r="K268" s="491"/>
      <c r="L268" s="491"/>
      <c r="M268" s="491"/>
      <c r="N268" s="491"/>
      <c r="O268" s="491"/>
      <c r="P268" s="491"/>
      <c r="Q268" s="491"/>
      <c r="R268" s="491"/>
      <c r="S268" s="491"/>
      <c r="T268" s="468" cm="1" t="str">
        <f t="array" ref="T268:T268">T267</f>
        <v>true</v>
      </c>
      <c r="U268" s="491"/>
      <c r="V268" s="491"/>
      <c r="W268" s="491"/>
      <c r="X268" s="1559"/>
      <c r="Y268" s="491"/>
      <c r="Z268" s="1560"/>
      <c r="AA268" s="491"/>
      <c r="AB268" s="1289" t="s">
        <v>2303</v>
      </c>
      <c r="AC268" s="1292" t="s">
        <v>2304</v>
      </c>
      <c r="AD268" s="1291" t="s">
        <v>936</v>
      </c>
      <c r="AE268" s="561"/>
      <c r="AF268" s="1117"/>
      <c r="AG268" s="1117"/>
      <c r="AH268" s="1072" t="s">
        <v>2889</v>
      </c>
      <c r="AI268" s="1066"/>
      <c r="AJ268" s="1066"/>
      <c r="AK268" s="973"/>
      <c r="AL268" s="973"/>
      <c r="AM268" s="1441"/>
      <c r="AN268" s="1441"/>
      <c r="AO268" s="1441"/>
      <c r="AP268" s="1441"/>
    </row>
    <row s="1441" customFormat="1" customHeight="1" ht="14.25">
      <c r="A269" s="673"/>
      <c r="B269" s="491"/>
      <c r="C269" s="491"/>
      <c r="D269" s="491"/>
      <c r="E269" s="655">
        <v>15</v>
      </c>
      <c r="F269" s="526" cm="1" t="str">
        <f t="array" ref="F269:F269">OFFSET(E269,-1,1)</f>
        <v>2</v>
      </c>
      <c r="G269" s="491"/>
      <c r="H269" s="491"/>
      <c r="I269" s="491"/>
      <c r="J269" s="491"/>
      <c r="K269" s="491"/>
      <c r="L269" s="491"/>
      <c r="M269" s="491"/>
      <c r="N269" s="491"/>
      <c r="O269" s="491"/>
      <c r="P269" s="491"/>
      <c r="Q269" s="491"/>
      <c r="R269" s="491"/>
      <c r="S269" s="491"/>
      <c r="T269" s="468" cm="1" t="str">
        <f t="array" ref="T269:T269">T268</f>
        <v>true</v>
      </c>
      <c r="U269" s="491"/>
      <c r="V269" s="491"/>
      <c r="W269" s="491"/>
      <c r="X269" s="1559"/>
      <c r="Y269" s="491"/>
      <c r="Z269" s="1560"/>
      <c r="AA269" s="491"/>
      <c r="AB269" s="1289" t="s">
        <v>664</v>
      </c>
      <c r="AC269" s="1290" t="s">
        <v>2305</v>
      </c>
      <c r="AD269" s="1291" t="s">
        <v>936</v>
      </c>
      <c r="AE269" s="561"/>
      <c r="AF269" s="1117"/>
      <c r="AG269" s="1117"/>
      <c r="AH269" s="1072" t="s">
        <v>2890</v>
      </c>
      <c r="AI269" s="1066"/>
      <c r="AJ269" s="1066"/>
      <c r="AK269" s="973"/>
      <c r="AL269" s="973"/>
      <c r="AM269" s="1441"/>
      <c r="AN269" s="1441"/>
      <c r="AO269" s="1441"/>
      <c r="AP269" s="1441"/>
    </row>
    <row s="1656" customFormat="1" customHeight="1" ht="14.25">
      <c r="A270" s="673"/>
      <c r="B270" s="1240"/>
      <c r="C270" s="1240"/>
      <c r="D270" s="1240"/>
      <c r="E270" s="655">
        <v>15</v>
      </c>
      <c r="F270" s="50" cm="1" t="str">
        <f t="array" ref="F270:F270">OFFSET(E270,-1,1)</f>
        <v>2</v>
      </c>
      <c r="G270" s="1240"/>
      <c r="H270" s="491" t="s">
        <v>587</v>
      </c>
      <c r="I270" s="1240"/>
      <c r="J270" s="1240"/>
      <c r="K270" s="1240"/>
      <c r="L270" s="1240"/>
      <c r="M270" s="1240"/>
      <c r="N270" s="1240"/>
      <c r="O270" s="1240"/>
      <c r="P270" s="1240"/>
      <c r="Q270" s="1240"/>
      <c r="R270" s="1240"/>
      <c r="S270" s="1240"/>
      <c r="T270" s="468" cm="1" t="str">
        <f t="array" ref="T270:T270">T256</f>
        <v>true</v>
      </c>
      <c r="U270" s="1240"/>
      <c r="V270" s="1240"/>
      <c r="W270" s="1240"/>
      <c r="X270" s="1559"/>
      <c r="Y270" s="1240"/>
      <c r="Z270" s="1560"/>
      <c r="AA270" s="1240"/>
      <c r="AB270" s="721" t="s">
        <v>668</v>
      </c>
      <c r="AC270" s="550" t="s">
        <v>2891</v>
      </c>
      <c r="AD270" s="551" t="s">
        <v>936</v>
      </c>
      <c r="AE270" s="560">
        <f>SUM(AE271:AE279)</f>
        <v>0</v>
      </c>
      <c r="AF270" s="1308"/>
      <c r="AG270" s="1308"/>
      <c r="AH270" s="1078" t="s">
        <v>1464</v>
      </c>
      <c r="AI270" s="1309"/>
      <c r="AJ270" s="1309"/>
      <c r="AK270" s="1310"/>
      <c r="AL270" s="1310"/>
      <c r="AM270" s="1656"/>
      <c r="AN270" s="1656"/>
      <c r="AO270" s="1656"/>
      <c r="AP270" s="1656"/>
    </row>
    <row s="1656" customFormat="1" customHeight="1" ht="14.25">
      <c r="A271" s="673"/>
      <c r="B271" s="1240"/>
      <c r="C271" s="1240"/>
      <c r="D271" s="1240"/>
      <c r="E271" s="655">
        <v>15</v>
      </c>
      <c r="F271" s="50" cm="1" t="str">
        <f t="array" ref="F271:F271">OFFSET(E271,-1,1)</f>
        <v>2</v>
      </c>
      <c r="G271" s="1240"/>
      <c r="H271" s="491" t="s">
        <v>2045</v>
      </c>
      <c r="I271" s="1240"/>
      <c r="J271" s="1240"/>
      <c r="K271" s="1240"/>
      <c r="L271" s="1240"/>
      <c r="M271" s="1240"/>
      <c r="N271" s="1240"/>
      <c r="O271" s="1240"/>
      <c r="P271" s="1240"/>
      <c r="Q271" s="1240"/>
      <c r="R271" s="1240"/>
      <c r="S271" s="1240"/>
      <c r="T271" s="468" cm="1" t="str">
        <f t="array" ref="T271:T271">T270</f>
        <v>true</v>
      </c>
      <c r="U271" s="1240"/>
      <c r="V271" s="1240"/>
      <c r="W271" s="1240"/>
      <c r="X271" s="1559"/>
      <c r="Y271" s="1240"/>
      <c r="Z271" s="1560"/>
      <c r="AA271" s="1240"/>
      <c r="AB271" s="721" t="s">
        <v>603</v>
      </c>
      <c r="AC271" s="552" t="s">
        <v>1479</v>
      </c>
      <c r="AD271" s="551" t="s">
        <v>936</v>
      </c>
      <c r="AE271" s="1356"/>
      <c r="AF271" s="1308"/>
      <c r="AG271" s="1308"/>
      <c r="AH271" s="1072" t="s">
        <v>2308</v>
      </c>
      <c r="AI271" s="1309"/>
      <c r="AJ271" s="1309"/>
      <c r="AK271" s="1310"/>
      <c r="AL271" s="1310"/>
      <c r="AM271" s="1656"/>
      <c r="AN271" s="1656"/>
      <c r="AO271" s="1656"/>
      <c r="AP271" s="1656"/>
    </row>
    <row s="1656" customFormat="1" customHeight="1" ht="14.25">
      <c r="A272" s="673"/>
      <c r="B272" s="1240"/>
      <c r="C272" s="1240"/>
      <c r="D272" s="1240"/>
      <c r="E272" s="655">
        <v>15</v>
      </c>
      <c r="F272" s="50" cm="1" t="str">
        <f t="array" ref="F272:F272">OFFSET(E272,-1,1)</f>
        <v>2</v>
      </c>
      <c r="G272" s="1240"/>
      <c r="H272" s="491" t="s">
        <v>2048</v>
      </c>
      <c r="I272" s="1240"/>
      <c r="J272" s="1240"/>
      <c r="K272" s="1240"/>
      <c r="L272" s="1240"/>
      <c r="M272" s="1240"/>
      <c r="N272" s="1240"/>
      <c r="O272" s="1240"/>
      <c r="P272" s="1240"/>
      <c r="Q272" s="1240"/>
      <c r="R272" s="1240"/>
      <c r="S272" s="1240"/>
      <c r="T272" s="468" cm="1" t="str">
        <f t="array" ref="T272:T272">T271</f>
        <v>true</v>
      </c>
      <c r="U272" s="1240"/>
      <c r="V272" s="1240"/>
      <c r="W272" s="1240"/>
      <c r="X272" s="1559"/>
      <c r="Y272" s="1240"/>
      <c r="Z272" s="1560"/>
      <c r="AA272" s="1240"/>
      <c r="AB272" s="721" t="s">
        <v>1717</v>
      </c>
      <c r="AC272" s="552" t="s">
        <v>2892</v>
      </c>
      <c r="AD272" s="551" t="s">
        <v>936</v>
      </c>
      <c r="AE272" s="1356"/>
      <c r="AF272" s="1308"/>
      <c r="AG272" s="1308"/>
      <c r="AH272" s="1072" t="s">
        <v>2311</v>
      </c>
      <c r="AI272" s="1309"/>
      <c r="AJ272" s="1309"/>
      <c r="AK272" s="1310"/>
      <c r="AL272" s="1310"/>
      <c r="AM272" s="1656"/>
      <c r="AN272" s="1656"/>
      <c r="AO272" s="1656"/>
      <c r="AP272" s="1656"/>
    </row>
    <row s="1656" customFormat="1" customHeight="1" ht="14.25">
      <c r="A273" s="673"/>
      <c r="B273" s="1240"/>
      <c r="C273" s="1240"/>
      <c r="D273" s="1240"/>
      <c r="E273" s="655">
        <v>15</v>
      </c>
      <c r="F273" s="50" cm="1" t="str">
        <f t="array" ref="F273:F273">OFFSET(E273,-1,1)</f>
        <v>2</v>
      </c>
      <c r="G273" s="1240"/>
      <c r="H273" s="491" t="s">
        <v>2893</v>
      </c>
      <c r="I273" s="1240"/>
      <c r="J273" s="1240"/>
      <c r="K273" s="1240"/>
      <c r="L273" s="1240"/>
      <c r="M273" s="1240"/>
      <c r="N273" s="1240"/>
      <c r="O273" s="1240"/>
      <c r="P273" s="1240"/>
      <c r="Q273" s="1240"/>
      <c r="R273" s="1240"/>
      <c r="S273" s="1240"/>
      <c r="T273" s="468" cm="1" t="str">
        <f t="array" ref="T273:T273">T272</f>
        <v>true</v>
      </c>
      <c r="U273" s="1240"/>
      <c r="V273" s="1240"/>
      <c r="W273" s="1240"/>
      <c r="X273" s="1559"/>
      <c r="Y273" s="1240"/>
      <c r="Z273" s="1560"/>
      <c r="AA273" s="1240"/>
      <c r="AB273" s="721" t="s">
        <v>1722</v>
      </c>
      <c r="AC273" s="552" t="s">
        <v>2894</v>
      </c>
      <c r="AD273" s="551" t="s">
        <v>936</v>
      </c>
      <c r="AE273" s="1356"/>
      <c r="AF273" s="1308"/>
      <c r="AG273" s="1308"/>
      <c r="AH273" s="1072" t="s">
        <v>2314</v>
      </c>
      <c r="AI273" s="1309"/>
      <c r="AJ273" s="1309"/>
      <c r="AK273" s="1310"/>
      <c r="AL273" s="1310"/>
      <c r="AM273" s="1656"/>
      <c r="AN273" s="1656"/>
      <c r="AO273" s="1656"/>
      <c r="AP273" s="1656"/>
    </row>
    <row s="1656" customFormat="1" customHeight="1" ht="14.25">
      <c r="A274" s="673"/>
      <c r="B274" s="1240"/>
      <c r="C274" s="1240"/>
      <c r="D274" s="1240"/>
      <c r="E274" s="655">
        <v>15</v>
      </c>
      <c r="F274" s="50" cm="1" t="str">
        <f t="array" ref="F274:F274">OFFSET(E274,-1,1)</f>
        <v>2</v>
      </c>
      <c r="G274" s="1240"/>
      <c r="H274" s="491" t="s">
        <v>2895</v>
      </c>
      <c r="I274" s="1240"/>
      <c r="J274" s="1240"/>
      <c r="K274" s="1240"/>
      <c r="L274" s="1240"/>
      <c r="M274" s="1240"/>
      <c r="N274" s="1240"/>
      <c r="O274" s="1240"/>
      <c r="P274" s="1240"/>
      <c r="Q274" s="1240"/>
      <c r="R274" s="1240"/>
      <c r="S274" s="1240"/>
      <c r="T274" s="468" cm="1" t="str">
        <f t="array" ref="T274:T274">T273</f>
        <v>true</v>
      </c>
      <c r="U274" s="1240"/>
      <c r="V274" s="1240"/>
      <c r="W274" s="1240"/>
      <c r="X274" s="1559"/>
      <c r="Y274" s="1240"/>
      <c r="Z274" s="1560"/>
      <c r="AA274" s="1240"/>
      <c r="AB274" s="721" t="s">
        <v>2316</v>
      </c>
      <c r="AC274" s="552" t="s">
        <v>1472</v>
      </c>
      <c r="AD274" s="551" t="s">
        <v>936</v>
      </c>
      <c r="AE274" s="1356"/>
      <c r="AF274" s="1308"/>
      <c r="AG274" s="1308"/>
      <c r="AH274" s="1072" t="s">
        <v>2318</v>
      </c>
      <c r="AI274" s="1309"/>
      <c r="AJ274" s="1309"/>
      <c r="AK274" s="1310"/>
      <c r="AL274" s="1310"/>
      <c r="AM274" s="1656"/>
      <c r="AN274" s="1656"/>
      <c r="AO274" s="1656"/>
      <c r="AP274" s="1656"/>
    </row>
    <row s="1656" customFormat="1" customHeight="1" ht="14.25">
      <c r="A275" s="673"/>
      <c r="B275" s="1240"/>
      <c r="C275" s="1240"/>
      <c r="D275" s="1240"/>
      <c r="E275" s="655">
        <v>15</v>
      </c>
      <c r="F275" s="50" cm="1" t="str">
        <f t="array" ref="F275:F275">OFFSET(E275,-1,1)</f>
        <v>2</v>
      </c>
      <c r="G275" s="1240"/>
      <c r="H275" s="491" t="s">
        <v>2896</v>
      </c>
      <c r="I275" s="1240"/>
      <c r="J275" s="1240"/>
      <c r="K275" s="1240"/>
      <c r="L275" s="1240"/>
      <c r="M275" s="1240"/>
      <c r="N275" s="1240"/>
      <c r="O275" s="1240"/>
      <c r="P275" s="1240"/>
      <c r="Q275" s="1240"/>
      <c r="R275" s="1240"/>
      <c r="S275" s="1240"/>
      <c r="T275" s="468" cm="1" t="str">
        <f t="array" ref="T275:T275">T274</f>
        <v>true</v>
      </c>
      <c r="U275" s="1240"/>
      <c r="V275" s="1240"/>
      <c r="W275" s="1240"/>
      <c r="X275" s="1559"/>
      <c r="Y275" s="1240"/>
      <c r="Z275" s="1560"/>
      <c r="AA275" s="1240"/>
      <c r="AB275" s="721" t="s">
        <v>2320</v>
      </c>
      <c r="AC275" s="552" t="s">
        <v>1474</v>
      </c>
      <c r="AD275" s="551" t="s">
        <v>936</v>
      </c>
      <c r="AE275" s="1356"/>
      <c r="AF275" s="1308"/>
      <c r="AG275" s="1308"/>
      <c r="AH275" s="1072" t="s">
        <v>2322</v>
      </c>
      <c r="AI275" s="1309"/>
      <c r="AJ275" s="1309"/>
      <c r="AK275" s="1310"/>
      <c r="AL275" s="1310"/>
      <c r="AM275" s="1656"/>
      <c r="AN275" s="1656"/>
      <c r="AO275" s="1656"/>
      <c r="AP275" s="1656"/>
    </row>
    <row s="1656" customFormat="1" customHeight="1" ht="14.25">
      <c r="A276" s="673"/>
      <c r="B276" s="1240"/>
      <c r="C276" s="1240"/>
      <c r="D276" s="1240"/>
      <c r="E276" s="655">
        <v>15</v>
      </c>
      <c r="F276" s="50" cm="1" t="str">
        <f t="array" ref="F276:F276">OFFSET(E276,-1,1)</f>
        <v>2</v>
      </c>
      <c r="G276" s="1240"/>
      <c r="H276" s="491" t="s">
        <v>2897</v>
      </c>
      <c r="I276" s="1240"/>
      <c r="J276" s="1240"/>
      <c r="K276" s="1240"/>
      <c r="L276" s="1240"/>
      <c r="M276" s="1240"/>
      <c r="N276" s="1240"/>
      <c r="O276" s="1240"/>
      <c r="P276" s="1240"/>
      <c r="Q276" s="1240"/>
      <c r="R276" s="1240"/>
      <c r="S276" s="1240"/>
      <c r="T276" s="468" cm="1" t="str">
        <f t="array" ref="T276:T276">T275</f>
        <v>true</v>
      </c>
      <c r="U276" s="1240"/>
      <c r="V276" s="1240"/>
      <c r="W276" s="1240"/>
      <c r="X276" s="1559"/>
      <c r="Y276" s="1240"/>
      <c r="Z276" s="1560"/>
      <c r="AA276" s="1240"/>
      <c r="AB276" s="721" t="s">
        <v>2324</v>
      </c>
      <c r="AC276" s="552" t="s">
        <v>1465</v>
      </c>
      <c r="AD276" s="551" t="s">
        <v>936</v>
      </c>
      <c r="AE276" s="1356"/>
      <c r="AF276" s="1308"/>
      <c r="AG276" s="1308"/>
      <c r="AH276" s="1072" t="s">
        <v>2326</v>
      </c>
      <c r="AI276" s="1309"/>
      <c r="AJ276" s="1309"/>
      <c r="AK276" s="1310"/>
      <c r="AL276" s="1310"/>
      <c r="AM276" s="1656"/>
      <c r="AN276" s="1656"/>
      <c r="AO276" s="1656"/>
      <c r="AP276" s="1656"/>
    </row>
    <row s="1441" customFormat="1" customHeight="1" ht="14.25">
      <c r="A277" s="673"/>
      <c r="B277" s="491"/>
      <c r="C277" s="491"/>
      <c r="D277" s="491"/>
      <c r="E277" s="655">
        <v>15</v>
      </c>
      <c r="F277" s="526" cm="1" t="str">
        <f t="array" ref="F277:F277">OFFSET(E277,-1,1)</f>
        <v>2</v>
      </c>
      <c r="G277" s="491"/>
      <c r="H277" s="491"/>
      <c r="I277" s="491"/>
      <c r="J277" s="491"/>
      <c r="K277" s="491"/>
      <c r="L277" s="491"/>
      <c r="M277" s="491"/>
      <c r="N277" s="491"/>
      <c r="O277" s="491"/>
      <c r="P277" s="491"/>
      <c r="Q277" s="491"/>
      <c r="R277" s="491"/>
      <c r="S277" s="491"/>
      <c r="T277" s="468" cm="1" t="str">
        <f t="array" ref="T277:T277">T276</f>
        <v>true</v>
      </c>
      <c r="U277" s="491"/>
      <c r="V277" s="491"/>
      <c r="W277" s="491"/>
      <c r="X277" s="1559"/>
      <c r="Y277" s="491"/>
      <c r="Z277" s="1560"/>
      <c r="AA277" s="491"/>
      <c r="AB277" s="1289" t="s">
        <v>2328</v>
      </c>
      <c r="AC277" s="1292" t="s">
        <v>2898</v>
      </c>
      <c r="AD277" s="1291" t="s">
        <v>936</v>
      </c>
      <c r="AE277" s="561"/>
      <c r="AF277" s="1117"/>
      <c r="AG277" s="1117"/>
      <c r="AH277" s="1072" t="s">
        <v>1482</v>
      </c>
      <c r="AI277" s="1066"/>
      <c r="AJ277" s="1066"/>
      <c r="AK277" s="973"/>
      <c r="AL277" s="973"/>
      <c r="AM277" s="1441"/>
      <c r="AN277" s="1441"/>
      <c r="AO277" s="1441"/>
      <c r="AP277" s="1441"/>
    </row>
    <row s="1441" customFormat="1" customHeight="1" ht="14.25">
      <c r="A278" s="673"/>
      <c r="B278" s="491"/>
      <c r="C278" s="491"/>
      <c r="D278" s="491"/>
      <c r="E278" s="655">
        <v>15</v>
      </c>
      <c r="F278" s="526" cm="1" t="str">
        <f t="array" ref="F278:F278">OFFSET(E278,-1,1)</f>
        <v>2</v>
      </c>
      <c r="G278" s="491"/>
      <c r="H278" s="491"/>
      <c r="I278" s="491"/>
      <c r="J278" s="491"/>
      <c r="K278" s="491"/>
      <c r="L278" s="491"/>
      <c r="M278" s="491"/>
      <c r="N278" s="491"/>
      <c r="O278" s="491"/>
      <c r="P278" s="491"/>
      <c r="Q278" s="491"/>
      <c r="R278" s="491"/>
      <c r="S278" s="491"/>
      <c r="T278" s="468" cm="1" t="str">
        <f t="array" ref="T278:T278">T277</f>
        <v>true</v>
      </c>
      <c r="U278" s="491"/>
      <c r="V278" s="491"/>
      <c r="W278" s="491"/>
      <c r="X278" s="1559"/>
      <c r="Y278" s="491"/>
      <c r="Z278" s="1560"/>
      <c r="AA278" s="491"/>
      <c r="AB278" s="1289" t="s">
        <v>2332</v>
      </c>
      <c r="AC278" s="1292" t="s">
        <v>1483</v>
      </c>
      <c r="AD278" s="1291" t="s">
        <v>936</v>
      </c>
      <c r="AE278" s="561"/>
      <c r="AF278" s="1117"/>
      <c r="AG278" s="1117"/>
      <c r="AH278" s="1072" t="s">
        <v>2899</v>
      </c>
      <c r="AI278" s="1066"/>
      <c r="AJ278" s="1066"/>
      <c r="AK278" s="973"/>
      <c r="AL278" s="973"/>
      <c r="AM278" s="1441"/>
      <c r="AN278" s="1441"/>
      <c r="AO278" s="1441"/>
      <c r="AP278" s="1441"/>
    </row>
    <row s="1656" customFormat="1" customHeight="1" ht="14.25">
      <c r="A279" s="673"/>
      <c r="B279" s="1240"/>
      <c r="C279" s="1240"/>
      <c r="D279" s="1240"/>
      <c r="E279" s="655">
        <v>15</v>
      </c>
      <c r="F279" s="50" cm="1" t="str">
        <f t="array" ref="F279:F279">OFFSET(E279,-1,1)</f>
        <v>2</v>
      </c>
      <c r="G279" s="1240"/>
      <c r="H279" s="491" t="s">
        <v>2900</v>
      </c>
      <c r="I279" s="1240"/>
      <c r="J279" s="1240"/>
      <c r="K279" s="1240"/>
      <c r="L279" s="1240"/>
      <c r="M279" s="1240"/>
      <c r="N279" s="1240"/>
      <c r="O279" s="1240"/>
      <c r="P279" s="1240"/>
      <c r="Q279" s="1240"/>
      <c r="R279" s="1240"/>
      <c r="S279" s="1240"/>
      <c r="T279" s="468" cm="1" t="str">
        <f t="array" ref="T279:T279">T276</f>
        <v>true</v>
      </c>
      <c r="U279" s="1240"/>
      <c r="V279" s="1240"/>
      <c r="W279" s="1240"/>
      <c r="X279" s="1559"/>
      <c r="Y279" s="1240"/>
      <c r="Z279" s="1560"/>
      <c r="AA279" s="1240"/>
      <c r="AB279" s="721" t="s">
        <v>2334</v>
      </c>
      <c r="AC279" s="552" t="s">
        <v>1485</v>
      </c>
      <c r="AD279" s="551" t="s">
        <v>936</v>
      </c>
      <c r="AE279" s="1356"/>
      <c r="AF279" s="1308"/>
      <c r="AG279" s="1308"/>
      <c r="AH279" s="1072" t="s">
        <v>2340</v>
      </c>
      <c r="AI279" s="1309"/>
      <c r="AJ279" s="1309"/>
      <c r="AK279" s="1310"/>
      <c r="AL279" s="1310"/>
      <c r="AM279" s="1656"/>
      <c r="AN279" s="1656"/>
      <c r="AO279" s="1656"/>
      <c r="AP279" s="1656"/>
    </row>
    <row s="1656" customFormat="1" customHeight="1" ht="14.25">
      <c r="A280" s="673"/>
      <c r="B280" s="1240"/>
      <c r="C280" s="1240"/>
      <c r="D280" s="1240"/>
      <c r="E280" s="655">
        <v>15</v>
      </c>
      <c r="F280" s="50" cm="1" t="str">
        <f t="array" ref="F280:F280">OFFSET(E280,-1,1)</f>
        <v>2</v>
      </c>
      <c r="G280" s="1240"/>
      <c r="H280" s="491" t="s">
        <v>1087</v>
      </c>
      <c r="I280" s="1240"/>
      <c r="J280" s="1240"/>
      <c r="K280" s="1240"/>
      <c r="L280" s="1240"/>
      <c r="M280" s="1240"/>
      <c r="N280" s="1240"/>
      <c r="O280" s="1240"/>
      <c r="P280" s="1240"/>
      <c r="Q280" s="1240"/>
      <c r="R280" s="1240"/>
      <c r="S280" s="1240"/>
      <c r="T280" s="468" cm="1" t="str">
        <f t="array" ref="T280:T280">T279</f>
        <v>true</v>
      </c>
      <c r="U280" s="1240"/>
      <c r="V280" s="1240"/>
      <c r="W280" s="1240"/>
      <c r="X280" s="1559"/>
      <c r="Y280" s="1240"/>
      <c r="Z280" s="1560"/>
      <c r="AA280" s="1240"/>
      <c r="AB280" s="721" t="s">
        <v>1090</v>
      </c>
      <c r="AC280" s="552" t="s">
        <v>1212</v>
      </c>
      <c r="AD280" s="551" t="s">
        <v>936</v>
      </c>
      <c r="AE280" s="1356"/>
      <c r="AF280" s="1308"/>
      <c r="AG280" s="1308"/>
      <c r="AH280" s="1072" t="s">
        <v>1421</v>
      </c>
      <c r="AI280" s="1309"/>
      <c r="AJ280" s="1309"/>
      <c r="AK280" s="1310"/>
      <c r="AL280" s="1310"/>
      <c r="AM280" s="1656"/>
      <c r="AN280" s="1656"/>
      <c r="AO280" s="1656"/>
      <c r="AP280" s="1656"/>
    </row>
    <row s="1656" customFormat="1" customHeight="1" ht="14.25">
      <c r="A281" s="673"/>
      <c r="B281" s="1240"/>
      <c r="C281" s="1240"/>
      <c r="D281" s="1240"/>
      <c r="E281" s="655">
        <v>15</v>
      </c>
      <c r="F281" s="50" cm="1" t="str">
        <f t="array" ref="F281:F281">OFFSET(E281,-1,1)</f>
        <v>2</v>
      </c>
      <c r="G281" s="1240"/>
      <c r="H281" s="491" t="s">
        <v>2343</v>
      </c>
      <c r="I281" s="1240"/>
      <c r="J281" s="1240"/>
      <c r="K281" s="1240"/>
      <c r="L281" s="1240"/>
      <c r="M281" s="1240"/>
      <c r="N281" s="1240"/>
      <c r="O281" s="1240"/>
      <c r="P281" s="1240"/>
      <c r="Q281" s="1240"/>
      <c r="R281" s="1240"/>
      <c r="S281" s="1240"/>
      <c r="T281" s="468" cm="1" t="str">
        <f t="array" ref="T281:T281">T280</f>
        <v>true</v>
      </c>
      <c r="U281" s="1240"/>
      <c r="V281" s="1240"/>
      <c r="W281" s="1240"/>
      <c r="X281" s="1559"/>
      <c r="Y281" s="1240"/>
      <c r="Z281" s="1560"/>
      <c r="AA281" s="1240"/>
      <c r="AB281" s="721" t="s">
        <v>1093</v>
      </c>
      <c r="AC281" s="550" t="s">
        <v>1689</v>
      </c>
      <c r="AD281" s="551" t="s">
        <v>936</v>
      </c>
      <c r="AE281" s="1356"/>
      <c r="AF281" s="1308"/>
      <c r="AG281" s="1308"/>
      <c r="AH281" s="1079" t="s">
        <v>2089</v>
      </c>
      <c r="AI281" s="1309"/>
      <c r="AJ281" s="1309"/>
      <c r="AK281" s="1310"/>
      <c r="AL281" s="1310"/>
      <c r="AM281" s="1656"/>
      <c r="AN281" s="1656"/>
      <c r="AO281" s="1656"/>
      <c r="AP281" s="1656"/>
    </row>
    <row s="1656" customFormat="1" customHeight="1" ht="14.25">
      <c r="A282" s="673"/>
      <c r="B282" s="1240"/>
      <c r="C282" s="1240"/>
      <c r="D282" s="1240"/>
      <c r="E282" s="655">
        <v>15</v>
      </c>
      <c r="F282" s="50" cm="1" t="str">
        <f t="array" ref="F282:F282">OFFSET(E282,-1,1)</f>
        <v>2</v>
      </c>
      <c r="G282" s="1240"/>
      <c r="H282" s="491" t="s">
        <v>2351</v>
      </c>
      <c r="I282" s="1240"/>
      <c r="J282" s="1240"/>
      <c r="K282" s="1240"/>
      <c r="L282" s="1240"/>
      <c r="M282" s="1240"/>
      <c r="N282" s="1240"/>
      <c r="O282" s="1240"/>
      <c r="P282" s="1240"/>
      <c r="Q282" s="1240"/>
      <c r="R282" s="1240"/>
      <c r="S282" s="1240"/>
      <c r="T282" s="468" cm="1" t="str">
        <f t="array" ref="T282:T282">T281</f>
        <v>true</v>
      </c>
      <c r="U282" s="1240"/>
      <c r="V282" s="1240"/>
      <c r="W282" s="1240"/>
      <c r="X282" s="1559"/>
      <c r="Y282" s="1240"/>
      <c r="Z282" s="1560"/>
      <c r="AA282" s="1240"/>
      <c r="AB282" s="721" t="s">
        <v>1737</v>
      </c>
      <c r="AC282" s="550" t="s">
        <v>1699</v>
      </c>
      <c r="AD282" s="551" t="s">
        <v>936</v>
      </c>
      <c r="AE282" s="560">
        <f>AE283+AE284</f>
        <v>0</v>
      </c>
      <c r="AF282" s="1308"/>
      <c r="AG282" s="1308"/>
      <c r="AH282" s="1072" t="s">
        <v>2356</v>
      </c>
      <c r="AI282" s="1309"/>
      <c r="AJ282" s="1309"/>
      <c r="AK282" s="1310"/>
      <c r="AL282" s="1310"/>
      <c r="AM282" s="1656"/>
      <c r="AN282" s="1656"/>
      <c r="AO282" s="1656"/>
      <c r="AP282" s="1656"/>
    </row>
    <row s="1656" customFormat="1" customHeight="1" ht="14.25">
      <c r="A283" s="673"/>
      <c r="B283" s="1240"/>
      <c r="C283" s="1240"/>
      <c r="D283" s="1240"/>
      <c r="E283" s="655">
        <v>15</v>
      </c>
      <c r="F283" s="50" cm="1" t="str">
        <f t="array" ref="F283:F283">OFFSET(E283,-1,1)</f>
        <v>2</v>
      </c>
      <c r="G283" s="1240"/>
      <c r="H283" s="491" t="s">
        <v>2901</v>
      </c>
      <c r="I283" s="1240"/>
      <c r="J283" s="1240"/>
      <c r="K283" s="1240"/>
      <c r="L283" s="1240"/>
      <c r="M283" s="1240"/>
      <c r="N283" s="1240"/>
      <c r="O283" s="1240"/>
      <c r="P283" s="1240"/>
      <c r="Q283" s="1240"/>
      <c r="R283" s="1240"/>
      <c r="S283" s="1240"/>
      <c r="T283" s="468" cm="1" t="str">
        <f t="array" ref="T283:T283">T282</f>
        <v>true</v>
      </c>
      <c r="U283" s="1240"/>
      <c r="V283" s="1240"/>
      <c r="W283" s="1240"/>
      <c r="X283" s="1559"/>
      <c r="Y283" s="1240"/>
      <c r="Z283" s="1560"/>
      <c r="AA283" s="1240"/>
      <c r="AB283" s="721" t="s">
        <v>2347</v>
      </c>
      <c r="AC283" s="552" t="s">
        <v>2902</v>
      </c>
      <c r="AD283" s="551" t="s">
        <v>936</v>
      </c>
      <c r="AE283" s="1356"/>
      <c r="AF283" s="1308"/>
      <c r="AG283" s="1308"/>
      <c r="AH283" s="1072" t="s">
        <v>1456</v>
      </c>
      <c r="AI283" s="1309"/>
      <c r="AJ283" s="1309"/>
      <c r="AK283" s="1310"/>
      <c r="AL283" s="1310"/>
      <c r="AM283" s="1656"/>
      <c r="AN283" s="1656"/>
      <c r="AO283" s="1656"/>
      <c r="AP283" s="1656"/>
    </row>
    <row s="1656" customFormat="1" customHeight="1" ht="21.75">
      <c r="A284" s="673"/>
      <c r="B284" s="1240"/>
      <c r="C284" s="1240"/>
      <c r="D284" s="1240"/>
      <c r="E284" s="655">
        <v>22.5</v>
      </c>
      <c r="F284" s="50" cm="1" t="str">
        <f t="array" ref="F284:F284">OFFSET(E284,-1,1)</f>
        <v>2</v>
      </c>
      <c r="G284" s="1240"/>
      <c r="H284" s="491" t="s">
        <v>2903</v>
      </c>
      <c r="I284" s="1240"/>
      <c r="J284" s="1240"/>
      <c r="K284" s="1240"/>
      <c r="L284" s="1240"/>
      <c r="M284" s="1240"/>
      <c r="N284" s="1240"/>
      <c r="O284" s="1240"/>
      <c r="P284" s="1240"/>
      <c r="Q284" s="1240"/>
      <c r="R284" s="1240"/>
      <c r="S284" s="1240"/>
      <c r="T284" s="468" cm="1" t="str">
        <f t="array" ref="T284:T284">T283</f>
        <v>true</v>
      </c>
      <c r="U284" s="1240"/>
      <c r="V284" s="1240"/>
      <c r="W284" s="1240"/>
      <c r="X284" s="1559"/>
      <c r="Y284" s="1240"/>
      <c r="Z284" s="1560"/>
      <c r="AA284" s="1240"/>
      <c r="AB284" s="721" t="s">
        <v>2904</v>
      </c>
      <c r="AC284" s="552" t="s">
        <v>2905</v>
      </c>
      <c r="AD284" s="551" t="s">
        <v>936</v>
      </c>
      <c r="AE284" s="1356"/>
      <c r="AF284" s="1308"/>
      <c r="AG284" s="1308"/>
      <c r="AH284" s="1072" t="s">
        <v>2363</v>
      </c>
      <c r="AI284" s="1309"/>
      <c r="AJ284" s="1309"/>
      <c r="AK284" s="1310"/>
      <c r="AL284" s="1310"/>
      <c r="AM284" s="1656"/>
      <c r="AN284" s="1656"/>
      <c r="AO284" s="1656"/>
      <c r="AP284" s="1656"/>
    </row>
    <row s="1656" customFormat="1" customHeight="1" ht="76.5">
      <c r="A285" s="673"/>
      <c r="B285" s="1240"/>
      <c r="C285" s="1240"/>
      <c r="D285" s="1240"/>
      <c r="E285" s="655">
        <v>78.75</v>
      </c>
      <c r="F285" s="50" cm="1" t="str">
        <f t="array" ref="F285:F285">OFFSET(E285,-1,1)</f>
        <v>2</v>
      </c>
      <c r="G285" s="1240"/>
      <c r="H285" s="491" t="s">
        <v>2355</v>
      </c>
      <c r="I285" s="1240"/>
      <c r="J285" s="1240"/>
      <c r="K285" s="1240"/>
      <c r="L285" s="1240"/>
      <c r="M285" s="1240"/>
      <c r="N285" s="1240"/>
      <c r="O285" s="1240"/>
      <c r="P285" s="1240"/>
      <c r="Q285" s="1240"/>
      <c r="R285" s="1240"/>
      <c r="S285" s="1240"/>
      <c r="T285" s="468" cm="1" t="str">
        <f t="array" ref="T285:T285">T284</f>
        <v>true</v>
      </c>
      <c r="U285" s="1240"/>
      <c r="V285" s="1240"/>
      <c r="W285" s="1240"/>
      <c r="X285" s="1559"/>
      <c r="Y285" s="1240"/>
      <c r="Z285" s="1560"/>
      <c r="AA285" s="1240"/>
      <c r="AB285" s="721" t="s">
        <v>1742</v>
      </c>
      <c r="AC285" s="1303" t="s">
        <v>1673</v>
      </c>
      <c r="AD285" s="551" t="s">
        <v>936</v>
      </c>
      <c r="AE285" s="1356"/>
      <c r="AF285" s="1308"/>
      <c r="AG285" s="1308"/>
      <c r="AH285" s="1072" t="s">
        <v>2341</v>
      </c>
      <c r="AI285" s="1309"/>
      <c r="AJ285" s="1309"/>
      <c r="AK285" s="1310"/>
      <c r="AL285" s="1310"/>
      <c r="AM285" s="1656"/>
      <c r="AN285" s="1656"/>
      <c r="AO285" s="1656"/>
      <c r="AP285" s="1656"/>
    </row>
    <row s="1441" customFormat="1" customHeight="1" ht="14.25">
      <c r="A286" s="673"/>
      <c r="B286" s="491"/>
      <c r="C286" s="491"/>
      <c r="D286" s="491"/>
      <c r="E286" s="655">
        <v>15</v>
      </c>
      <c r="F286" s="526" cm="1" t="str">
        <f t="array" ref="F286:F286">OFFSET(E286,-1,1)</f>
        <v>2</v>
      </c>
      <c r="G286" s="491"/>
      <c r="H286" s="491"/>
      <c r="I286" s="491"/>
      <c r="J286" s="491"/>
      <c r="K286" s="491"/>
      <c r="L286" s="491"/>
      <c r="M286" s="491"/>
      <c r="N286" s="491"/>
      <c r="O286" s="491"/>
      <c r="P286" s="491"/>
      <c r="Q286" s="491"/>
      <c r="R286" s="491"/>
      <c r="S286" s="491"/>
      <c r="T286" s="468" cm="1" t="str">
        <f t="array" ref="T286:T286">T285</f>
        <v>true</v>
      </c>
      <c r="U286" s="491"/>
      <c r="V286" s="491"/>
      <c r="W286" s="491"/>
      <c r="X286" s="1559"/>
      <c r="Y286" s="491"/>
      <c r="Z286" s="1560"/>
      <c r="AA286" s="491"/>
      <c r="AB286" s="1289" t="s">
        <v>2352</v>
      </c>
      <c r="AC286" s="1303" t="s">
        <v>1192</v>
      </c>
      <c r="AD286" s="1291" t="s">
        <v>936</v>
      </c>
      <c r="AE286" s="561"/>
      <c r="AF286" s="1117"/>
      <c r="AG286" s="1117"/>
      <c r="AH286" s="1072" t="s">
        <v>1194</v>
      </c>
      <c r="AI286" s="1066"/>
      <c r="AJ286" s="1066"/>
      <c r="AK286" s="973"/>
      <c r="AL286" s="973"/>
      <c r="AM286" s="1441"/>
      <c r="AN286" s="1441"/>
      <c r="AO286" s="1441"/>
      <c r="AP286" s="1441"/>
    </row>
    <row s="1441" customFormat="1" customHeight="1" ht="14.25">
      <c r="A287" s="673"/>
      <c r="B287" s="491"/>
      <c r="C287" s="491"/>
      <c r="D287" s="491"/>
      <c r="E287" s="655">
        <v>15</v>
      </c>
      <c r="F287" s="526" cm="1" t="str">
        <f t="array" ref="F287:F287">OFFSET(E287,-1,1)</f>
        <v>2</v>
      </c>
      <c r="G287" s="491"/>
      <c r="H287" s="491"/>
      <c r="I287" s="491"/>
      <c r="J287" s="491"/>
      <c r="K287" s="491"/>
      <c r="L287" s="491"/>
      <c r="M287" s="491"/>
      <c r="N287" s="491"/>
      <c r="O287" s="491"/>
      <c r="P287" s="491"/>
      <c r="Q287" s="491"/>
      <c r="R287" s="491"/>
      <c r="S287" s="491"/>
      <c r="T287" s="468" cm="1" t="str">
        <f t="array" ref="T287:T287">T286</f>
        <v>true</v>
      </c>
      <c r="U287" s="491"/>
      <c r="V287" s="491"/>
      <c r="W287" s="491"/>
      <c r="X287" s="1559"/>
      <c r="Y287" s="491"/>
      <c r="Z287" s="1560"/>
      <c r="AA287" s="491"/>
      <c r="AB287" s="1289" t="s">
        <v>1761</v>
      </c>
      <c r="AC287" s="1303" t="s">
        <v>1684</v>
      </c>
      <c r="AD287" s="1291" t="s">
        <v>936</v>
      </c>
      <c r="AE287" s="561"/>
      <c r="AF287" s="1117"/>
      <c r="AG287" s="1117"/>
      <c r="AH287" s="1072" t="s">
        <v>2906</v>
      </c>
      <c r="AI287" s="1066"/>
      <c r="AJ287" s="1066"/>
      <c r="AK287" s="973"/>
      <c r="AL287" s="973"/>
      <c r="AM287" s="1441"/>
      <c r="AN287" s="1441"/>
      <c r="AO287" s="1441"/>
      <c r="AP287" s="1441"/>
    </row>
    <row s="1656" customFormat="1" customHeight="1" ht="14.25">
      <c r="A288" s="673"/>
      <c r="B288" s="1240"/>
      <c r="C288" s="1240"/>
      <c r="D288" s="1240"/>
      <c r="E288" s="655">
        <v>15</v>
      </c>
      <c r="F288" s="50" cm="1" t="str">
        <f t="array" ref="F288:F288">OFFSET(E288,-1,1)</f>
        <v>2</v>
      </c>
      <c r="G288" s="1240"/>
      <c r="H288" s="491" t="s">
        <v>2907</v>
      </c>
      <c r="I288" s="1240"/>
      <c r="J288" s="1240"/>
      <c r="K288" s="1240"/>
      <c r="L288" s="1240"/>
      <c r="M288" s="1240"/>
      <c r="N288" s="1240"/>
      <c r="O288" s="1240"/>
      <c r="P288" s="1240"/>
      <c r="Q288" s="1240"/>
      <c r="R288" s="1240"/>
      <c r="S288" s="1240"/>
      <c r="T288" s="468" cm="1" t="str">
        <f t="array" ref="T288:T288">T285</f>
        <v>true</v>
      </c>
      <c r="U288" s="1240"/>
      <c r="V288" s="1240"/>
      <c r="W288" s="1240"/>
      <c r="X288" s="1559"/>
      <c r="Y288" s="1240"/>
      <c r="Z288" s="1560"/>
      <c r="AA288" s="1240"/>
      <c r="AB288" s="721" t="s">
        <v>1765</v>
      </c>
      <c r="AC288" s="550" t="s">
        <v>2908</v>
      </c>
      <c r="AD288" s="551" t="s">
        <v>936</v>
      </c>
      <c r="AE288" s="1356"/>
      <c r="AF288" s="1308"/>
      <c r="AG288" s="1308"/>
      <c r="AH288" s="1009" t="s">
        <v>2909</v>
      </c>
      <c r="AI288" s="1309"/>
      <c r="AJ288" s="1309"/>
      <c r="AK288" s="1310"/>
      <c r="AL288" s="1310"/>
      <c r="AM288" s="1656"/>
      <c r="AN288" s="1656"/>
      <c r="AO288" s="1656"/>
      <c r="AP288" s="1656"/>
    </row>
    <row s="1441" customFormat="1" customHeight="1" ht="31.5">
      <c r="A289" s="673"/>
      <c r="B289" s="491"/>
      <c r="C289" s="491"/>
      <c r="D289" s="491"/>
      <c r="E289" s="655">
        <v>33</v>
      </c>
      <c r="F289" s="526" cm="1" t="str">
        <f t="array" ref="F289:F289">OFFSET(E289,-1,1)</f>
        <v>2</v>
      </c>
      <c r="G289" s="491"/>
      <c r="H289" s="491"/>
      <c r="I289" s="491"/>
      <c r="J289" s="491"/>
      <c r="K289" s="491"/>
      <c r="L289" s="491"/>
      <c r="M289" s="491"/>
      <c r="N289" s="491"/>
      <c r="O289" s="491"/>
      <c r="P289" s="491"/>
      <c r="Q289" s="491"/>
      <c r="R289" s="491"/>
      <c r="S289" s="491"/>
      <c r="T289" s="468" cm="1" t="str">
        <f t="array" ref="T289:T289">T288</f>
        <v>true</v>
      </c>
      <c r="U289" s="491"/>
      <c r="V289" s="491"/>
      <c r="W289" s="491"/>
      <c r="X289" s="1559"/>
      <c r="Y289" s="491"/>
      <c r="Z289" s="1560"/>
      <c r="AA289" s="491"/>
      <c r="AB289" s="1289" t="s">
        <v>1768</v>
      </c>
      <c r="AC289" s="1290" t="s">
        <v>2365</v>
      </c>
      <c r="AD289" s="1291" t="s">
        <v>936</v>
      </c>
      <c r="AE289" s="561"/>
      <c r="AF289" s="1117"/>
      <c r="AG289" s="1117"/>
      <c r="AH289" s="1066" t="s">
        <v>2910</v>
      </c>
      <c r="AI289" s="1066"/>
      <c r="AJ289" s="1066"/>
      <c r="AK289" s="973"/>
      <c r="AL289" s="973"/>
      <c r="AM289" s="1441"/>
      <c r="AN289" s="1441"/>
      <c r="AO289" s="1441"/>
      <c r="AP289" s="1441"/>
    </row>
    <row s="1656" customFormat="1" customHeight="1" ht="14.25">
      <c r="A290" s="673"/>
      <c r="B290" s="1240"/>
      <c r="C290" s="1240"/>
      <c r="D290" s="1240"/>
      <c r="E290" s="655">
        <v>15</v>
      </c>
      <c r="F290" s="50" cm="1" t="str">
        <f t="array" ref="F290:F290">OFFSET(E290,-1,1)</f>
        <v>2</v>
      </c>
      <c r="G290" s="1240"/>
      <c r="H290" s="491" t="s">
        <v>2911</v>
      </c>
      <c r="I290" s="1240"/>
      <c r="J290" s="1240"/>
      <c r="K290" s="1240"/>
      <c r="L290" s="1240"/>
      <c r="M290" s="1240"/>
      <c r="N290" s="1240"/>
      <c r="O290" s="1240"/>
      <c r="P290" s="1240"/>
      <c r="Q290" s="1240"/>
      <c r="R290" s="1240"/>
      <c r="S290" s="1240"/>
      <c r="T290" s="468" cm="1" t="str">
        <f t="array" ref="T290:T290">T288</f>
        <v>true</v>
      </c>
      <c r="U290" s="1240"/>
      <c r="V290" s="1240"/>
      <c r="W290" s="1240"/>
      <c r="X290" s="1559"/>
      <c r="Y290" s="1240"/>
      <c r="Z290" s="1560"/>
      <c r="AA290" s="1240"/>
      <c r="AB290" s="721" t="s">
        <v>2912</v>
      </c>
      <c r="AC290" s="550" t="s">
        <v>2913</v>
      </c>
      <c r="AD290" s="551" t="s">
        <v>936</v>
      </c>
      <c r="AE290" s="560">
        <f>SUM(AE291:AE292)</f>
        <v>0</v>
      </c>
      <c r="AF290" s="1308"/>
      <c r="AG290" s="1308"/>
      <c r="AH290" s="1009" t="s">
        <v>2914</v>
      </c>
      <c r="AI290" s="1309"/>
      <c r="AJ290" s="1309"/>
      <c r="AK290" s="1310"/>
      <c r="AL290" s="1310"/>
      <c r="AM290" s="1656"/>
      <c r="AN290" s="1656"/>
      <c r="AO290" s="1656"/>
      <c r="AP290" s="1656"/>
    </row>
    <row s="1656" customFormat="1" customHeight="1" ht="14.25" hidden="1">
      <c r="A291" s="673"/>
      <c r="B291" s="1240"/>
      <c r="C291" s="1240"/>
      <c r="D291" s="1240"/>
      <c r="E291" s="655">
        <v>15</v>
      </c>
      <c r="F291" s="50" cm="1" t="str">
        <f t="array" ref="F291:F291">OFFSET(E291,-1,1)</f>
        <v>2</v>
      </c>
      <c r="G291" s="1240"/>
      <c r="H291" s="491" t="s">
        <v>2911</v>
      </c>
      <c r="I291" s="566" cm="1" t="str">
        <f t="array" ref="I291:I291">AC291</f>
        <v>0</v>
      </c>
      <c r="J291" s="1240"/>
      <c r="K291" s="1240"/>
      <c r="L291" s="1240"/>
      <c r="M291" s="1240"/>
      <c r="N291" s="1240"/>
      <c r="O291" s="1240"/>
      <c r="P291" s="1240"/>
      <c r="Q291" s="1240"/>
      <c r="R291" s="1240"/>
      <c r="S291" s="1240"/>
      <c r="T291" s="468">
        <f>AND(F291&gt;0,Y291&gt;0)</f>
        <v>0</v>
      </c>
      <c r="U291" s="1240"/>
      <c r="V291" s="1240"/>
      <c r="W291" s="558" t="s">
        <v>173</v>
      </c>
      <c r="X291" s="1559"/>
      <c r="Y291" s="491">
        <v>0</v>
      </c>
      <c r="Z291" s="1560"/>
      <c r="AA291" s="668" t="s">
        <v>174</v>
      </c>
      <c r="AB291" s="721" t="str">
        <f>"2.12."&amp;Y291</f>
        <v>2.12.0</v>
      </c>
      <c r="AC291" s="7393"/>
      <c r="AD291" s="551" t="s">
        <v>936</v>
      </c>
      <c r="AE291" s="7394"/>
      <c r="AF291" s="1308"/>
      <c r="AG291" s="1308"/>
      <c r="AH291" s="1009" t="s">
        <v>2914</v>
      </c>
      <c r="AI291" s="1009" t="s">
        <v>2915</v>
      </c>
      <c r="AJ291" s="1014" cm="1" t="str">
        <f t="array" ref="AJ291:AJ291">AC291</f>
        <v>0</v>
      </c>
      <c r="AK291" s="1310"/>
      <c r="AL291" s="662" t="b">
        <v>1</v>
      </c>
      <c r="AM291" s="1656"/>
      <c r="AN291" s="1656"/>
      <c r="AO291" s="1656"/>
      <c r="AP291" s="1656"/>
    </row>
    <row s="1656" customFormat="1" customHeight="1" ht="14.25">
      <c r="A292" s="673"/>
      <c r="B292" s="1240"/>
      <c r="C292" s="1240"/>
      <c r="D292" s="1240"/>
      <c r="E292" s="655">
        <v>15</v>
      </c>
      <c r="F292" s="50" cm="1" t="str">
        <f t="array" ref="F292:F292">OFFSET(E292,-1,1)</f>
        <v>2</v>
      </c>
      <c r="G292" s="1240"/>
      <c r="H292" s="1240"/>
      <c r="I292" s="154" t="str">
        <f>"!== 'не определено' &amp;&amp; row.l2_13 !== null"</f>
        <v>!== 'не определено' &amp;&amp; row.l2_13 !== null</v>
      </c>
      <c r="J292" s="1240"/>
      <c r="K292" s="1240"/>
      <c r="L292" s="1240"/>
      <c r="M292" s="1240"/>
      <c r="N292" s="1240"/>
      <c r="O292" s="1240"/>
      <c r="P292" s="1240"/>
      <c r="Q292" s="1240"/>
      <c r="R292" s="1240"/>
      <c r="S292" s="1240"/>
      <c r="T292" s="468">
        <f>F292&gt;0</f>
        <v>1</v>
      </c>
      <c r="U292" s="1240"/>
      <c r="V292" s="1240"/>
      <c r="W292" s="836" t="s">
        <v>1012</v>
      </c>
      <c r="X292" s="1559"/>
      <c r="Y292" s="1240"/>
      <c r="Z292" s="1560"/>
      <c r="AA292" s="1240"/>
      <c r="AB292" s="1298"/>
      <c r="AC292" s="1358" t="s">
        <v>177</v>
      </c>
      <c r="AD292" s="1300"/>
      <c r="AE292" s="1357"/>
      <c r="AF292" s="1308"/>
      <c r="AG292" s="1308"/>
      <c r="AH292" s="1309"/>
      <c r="AI292" s="1309"/>
      <c r="AJ292" s="1309"/>
      <c r="AK292" s="662" t="s">
        <v>2915</v>
      </c>
      <c r="AL292" s="1310"/>
      <c r="AM292" s="1656"/>
      <c r="AN292" s="1656"/>
      <c r="AO292" s="1656"/>
      <c r="AP292" s="1656"/>
    </row>
    <row s="1656" customFormat="1" customHeight="1" ht="14.25">
      <c r="A293" s="673"/>
      <c r="B293" s="1240"/>
      <c r="C293" s="1240"/>
      <c r="D293" s="1240"/>
      <c r="E293" s="655">
        <v>15</v>
      </c>
      <c r="F293" s="50" cm="1" t="str">
        <f t="array" ref="F293:F293">OFFSET(E293,-1,1)</f>
        <v>2</v>
      </c>
      <c r="G293" s="491" t="s">
        <v>50</v>
      </c>
      <c r="H293" s="491" t="s">
        <v>346</v>
      </c>
      <c r="I293" s="1240"/>
      <c r="J293" s="1240"/>
      <c r="K293" s="1240"/>
      <c r="L293" s="1240"/>
      <c r="M293" s="1240"/>
      <c r="N293" s="1240"/>
      <c r="O293" s="1240"/>
      <c r="P293" s="1240"/>
      <c r="Q293" s="1240"/>
      <c r="R293" s="1240"/>
      <c r="S293" s="1240"/>
      <c r="T293" s="468" cm="1" t="str">
        <f t="array" ref="T293:T293">T292</f>
        <v>true</v>
      </c>
      <c r="U293" s="1240"/>
      <c r="V293" s="1240"/>
      <c r="W293" s="1240"/>
      <c r="X293" s="1559"/>
      <c r="Y293" s="1240"/>
      <c r="Z293" s="1560"/>
      <c r="AA293" s="1240"/>
      <c r="AB293" s="720" t="s">
        <v>234</v>
      </c>
      <c r="AC293" s="548" t="s">
        <v>2368</v>
      </c>
      <c r="AD293" s="549" t="s">
        <v>936</v>
      </c>
      <c r="AE293" s="1359"/>
      <c r="AF293" s="1308"/>
      <c r="AG293" s="1308"/>
      <c r="AH293" s="1009" t="s">
        <v>1984</v>
      </c>
      <c r="AI293" s="1309"/>
      <c r="AJ293" s="1309"/>
      <c r="AK293" s="1310"/>
      <c r="AL293" s="1310"/>
      <c r="AM293" s="1656"/>
      <c r="AN293" s="1656"/>
      <c r="AO293" s="1656"/>
      <c r="AP293" s="1656"/>
    </row>
    <row s="1656" customFormat="1" customHeight="1" ht="14.25">
      <c r="A294" s="673"/>
      <c r="B294" s="1240"/>
      <c r="C294" s="1240"/>
      <c r="D294" s="1240"/>
      <c r="E294" s="655">
        <v>15</v>
      </c>
      <c r="F294" s="843" cm="1" t="str">
        <f t="array" ref="F294:F294">X294</f>
        <v>3</v>
      </c>
      <c r="G294" s="491" t="s">
        <v>929</v>
      </c>
      <c r="H294" s="1240"/>
      <c r="I294" s="1240"/>
      <c r="J294" s="1240"/>
      <c r="K294" s="1240"/>
      <c r="L294" s="1240"/>
      <c r="M294" s="1240"/>
      <c r="N294" s="1240"/>
      <c r="O294" s="1240"/>
      <c r="P294" s="1240"/>
      <c r="Q294" s="1240"/>
      <c r="R294" s="1240"/>
      <c r="S294" s="1240"/>
      <c r="T294" s="468">
        <f>X294&gt;0</f>
        <v>1</v>
      </c>
      <c r="U294" s="1240"/>
      <c r="V294" s="491" cm="1" t="str">
        <f t="array" ref="V294:V294">'ДПР (концессии)'!$AB$340</f>
        <v>Тариф 3 (Водоотведение) - тариф на водоотведение (Оказание услуг на территории: город Полысаево (ОКТМО: 32732000) - г Полысаево)</v>
      </c>
      <c r="W294" s="1240"/>
      <c r="X294" s="1559" t="s">
        <v>234</v>
      </c>
      <c r="Y294" s="1240"/>
      <c r="Z294" s="1560"/>
      <c r="AA294" s="1240"/>
      <c r="AB294" s="218" cm="1" t="str">
        <f t="array" ref="AB294:AB294">'ДПР (концессии)'!$AB$340</f>
        <v>Тариф 3 (Водоотведение) - тариф на водоотведение (Оказание услуг на территории: город Полысаево (ОКТМО: 32732000) - г Полысаево)</v>
      </c>
      <c r="AC294" s="176"/>
      <c r="AD294" s="170"/>
      <c r="AE294" s="1285">
        <f>AE295+AE345+AE382</f>
        <v>0</v>
      </c>
      <c r="AF294" s="1308"/>
      <c r="AG294" s="1308"/>
      <c r="AH294" s="1309"/>
      <c r="AI294" s="1309"/>
      <c r="AJ294" s="1309"/>
      <c r="AK294" s="1310"/>
      <c r="AL294" s="1310"/>
      <c r="AM294" s="1656"/>
      <c r="AN294" s="1656"/>
      <c r="AO294" s="1656"/>
      <c r="AP294" s="1656"/>
    </row>
    <row s="1656" customFormat="1" customHeight="1" ht="14.25">
      <c r="A295" s="673"/>
      <c r="B295" s="1240"/>
      <c r="C295" s="1240"/>
      <c r="D295" s="1240"/>
      <c r="E295" s="655">
        <v>15</v>
      </c>
      <c r="F295" s="50" cm="1" t="str">
        <f t="array" ref="F295:F295">OFFSET(E295,-1,1)</f>
        <v>3</v>
      </c>
      <c r="G295" s="1240"/>
      <c r="H295" s="491" t="s">
        <v>344</v>
      </c>
      <c r="I295" s="1240"/>
      <c r="J295" s="1240"/>
      <c r="K295" s="1240"/>
      <c r="L295" s="1240"/>
      <c r="M295" s="1240"/>
      <c r="N295" s="1240"/>
      <c r="O295" s="1240"/>
      <c r="P295" s="1240"/>
      <c r="Q295" s="1240"/>
      <c r="R295" s="1240"/>
      <c r="S295" s="1240"/>
      <c r="T295" s="468" cm="1" t="str">
        <f t="array" ref="T295:T295">T294</f>
        <v>true</v>
      </c>
      <c r="U295" s="1240"/>
      <c r="V295" s="1240"/>
      <c r="W295" s="1240"/>
      <c r="X295" s="1559"/>
      <c r="Y295" s="1240"/>
      <c r="Z295" s="1560"/>
      <c r="AA295" s="1240"/>
      <c r="AB295" s="1286" t="s">
        <v>290</v>
      </c>
      <c r="AC295" s="1287" t="s">
        <v>2174</v>
      </c>
      <c r="AD295" s="1288" t="s">
        <v>936</v>
      </c>
      <c r="AE295" s="1355">
        <f>AE296+AE314+AE322+AE342</f>
        <v>0</v>
      </c>
      <c r="AF295" s="1308"/>
      <c r="AG295" s="1308"/>
      <c r="AH295" s="1009" t="s">
        <v>649</v>
      </c>
      <c r="AI295" s="1309"/>
      <c r="AJ295" s="1309"/>
      <c r="AK295" s="1310"/>
      <c r="AL295" s="1310"/>
      <c r="AM295" s="1656"/>
      <c r="AN295" s="1656"/>
      <c r="AO295" s="1656"/>
      <c r="AP295" s="1656"/>
    </row>
    <row s="1656" customFormat="1" customHeight="1" ht="14.25">
      <c r="A296" s="673"/>
      <c r="B296" s="1240"/>
      <c r="C296" s="1240"/>
      <c r="D296" s="1240"/>
      <c r="E296" s="655">
        <v>15</v>
      </c>
      <c r="F296" s="50" cm="1" t="str">
        <f t="array" ref="F296:F296">OFFSET(E296,-1,1)</f>
        <v>3</v>
      </c>
      <c r="G296" s="1240"/>
      <c r="H296" s="491" t="s">
        <v>566</v>
      </c>
      <c r="I296" s="1240"/>
      <c r="J296" s="1240"/>
      <c r="K296" s="1240"/>
      <c r="L296" s="1240"/>
      <c r="M296" s="1240"/>
      <c r="N296" s="1240"/>
      <c r="O296" s="1240"/>
      <c r="P296" s="1240"/>
      <c r="Q296" s="1240"/>
      <c r="R296" s="1240"/>
      <c r="S296" s="1240"/>
      <c r="T296" s="468" cm="1" t="str">
        <f t="array" ref="T296:T296">T295</f>
        <v>true</v>
      </c>
      <c r="U296" s="1240"/>
      <c r="V296" s="1240"/>
      <c r="W296" s="1240"/>
      <c r="X296" s="1559"/>
      <c r="Y296" s="1240"/>
      <c r="Z296" s="1560"/>
      <c r="AA296" s="1240"/>
      <c r="AB296" s="1289" t="s">
        <v>1067</v>
      </c>
      <c r="AC296" s="1290" t="s">
        <v>1972</v>
      </c>
      <c r="AD296" s="1291" t="s">
        <v>936</v>
      </c>
      <c r="AE296" s="560">
        <f>AE297+AE298+AE299+AE304+AE305+AE306</f>
        <v>0</v>
      </c>
      <c r="AF296" s="1308"/>
      <c r="AG296" s="1308"/>
      <c r="AH296" s="1009" t="s">
        <v>1352</v>
      </c>
      <c r="AI296" s="1309"/>
      <c r="AJ296" s="1309"/>
      <c r="AK296" s="1310"/>
      <c r="AL296" s="1310"/>
      <c r="AM296" s="1656"/>
      <c r="AN296" s="1656"/>
      <c r="AO296" s="1656"/>
      <c r="AP296" s="1656"/>
    </row>
    <row s="1656" customFormat="1" customHeight="1" ht="14.25">
      <c r="A297" s="673"/>
      <c r="B297" s="1240"/>
      <c r="C297" s="1240"/>
      <c r="D297" s="1240"/>
      <c r="E297" s="655">
        <v>15</v>
      </c>
      <c r="F297" s="50" cm="1" t="str">
        <f t="array" ref="F297:F297">OFFSET(E297,-1,1)</f>
        <v>3</v>
      </c>
      <c r="G297" s="1240"/>
      <c r="H297" s="491" t="s">
        <v>1197</v>
      </c>
      <c r="I297" s="1240"/>
      <c r="J297" s="1240"/>
      <c r="K297" s="1240"/>
      <c r="L297" s="1240"/>
      <c r="M297" s="1240"/>
      <c r="N297" s="1240"/>
      <c r="O297" s="1240"/>
      <c r="P297" s="1240"/>
      <c r="Q297" s="1240"/>
      <c r="R297" s="1240"/>
      <c r="S297" s="1240"/>
      <c r="T297" s="468" cm="1" t="str">
        <f t="array" ref="T297:T297">T296</f>
        <v>true</v>
      </c>
      <c r="U297" s="1240"/>
      <c r="V297" s="1240"/>
      <c r="W297" s="1240"/>
      <c r="X297" s="1559"/>
      <c r="Y297" s="1240"/>
      <c r="Z297" s="1560"/>
      <c r="AA297" s="1240"/>
      <c r="AB297" s="721" t="s">
        <v>1198</v>
      </c>
      <c r="AC297" s="1292" t="s">
        <v>2782</v>
      </c>
      <c r="AD297" s="551" t="s">
        <v>936</v>
      </c>
      <c r="AE297" s="1356"/>
      <c r="AF297" s="1308"/>
      <c r="AG297" s="1308"/>
      <c r="AH297" s="1009" t="s">
        <v>1448</v>
      </c>
      <c r="AI297" s="1309"/>
      <c r="AJ297" s="1309"/>
      <c r="AK297" s="1310"/>
      <c r="AL297" s="1310"/>
      <c r="AM297" s="1656"/>
      <c r="AN297" s="1656"/>
      <c r="AO297" s="1656"/>
      <c r="AP297" s="1656"/>
    </row>
    <row s="1656" customFormat="1" customHeight="1" ht="21.75">
      <c r="A298" s="673"/>
      <c r="B298" s="1240"/>
      <c r="C298" s="1240"/>
      <c r="D298" s="1240"/>
      <c r="E298" s="655">
        <v>22.5</v>
      </c>
      <c r="F298" s="50" cm="1" t="str">
        <f t="array" ref="F298:F298">OFFSET(E298,-1,1)</f>
        <v>3</v>
      </c>
      <c r="G298" s="1240"/>
      <c r="H298" s="491" t="s">
        <v>1201</v>
      </c>
      <c r="I298" s="1240"/>
      <c r="J298" s="1240"/>
      <c r="K298" s="1240"/>
      <c r="L298" s="1240"/>
      <c r="M298" s="1240"/>
      <c r="N298" s="1240"/>
      <c r="O298" s="1240"/>
      <c r="P298" s="1240"/>
      <c r="Q298" s="1240"/>
      <c r="R298" s="1240"/>
      <c r="S298" s="1240"/>
      <c r="T298" s="468" cm="1" t="str">
        <f t="array" ref="T298:T298">T297</f>
        <v>true</v>
      </c>
      <c r="U298" s="1240"/>
      <c r="V298" s="1240"/>
      <c r="W298" s="1240"/>
      <c r="X298" s="1559"/>
      <c r="Y298" s="1240"/>
      <c r="Z298" s="1560"/>
      <c r="AA298" s="1240"/>
      <c r="AB298" s="721" t="s">
        <v>1202</v>
      </c>
      <c r="AC298" s="552" t="s">
        <v>2182</v>
      </c>
      <c r="AD298" s="551" t="s">
        <v>936</v>
      </c>
      <c r="AE298" s="1356"/>
      <c r="AF298" s="1308"/>
      <c r="AG298" s="1308"/>
      <c r="AH298" s="1009" t="s">
        <v>2005</v>
      </c>
      <c r="AI298" s="1309"/>
      <c r="AJ298" s="1309"/>
      <c r="AK298" s="1310"/>
      <c r="AL298" s="1310"/>
      <c r="AM298" s="1656"/>
      <c r="AN298" s="1656"/>
      <c r="AO298" s="1656"/>
      <c r="AP298" s="1656"/>
    </row>
    <row s="1656" customFormat="1" customHeight="1" ht="32.25">
      <c r="A299" s="673"/>
      <c r="B299" s="1240"/>
      <c r="C299" s="1240"/>
      <c r="D299" s="1240"/>
      <c r="E299" s="655">
        <v>33.75</v>
      </c>
      <c r="F299" s="50" cm="1" t="str">
        <f t="array" ref="F299:F299">OFFSET(E299,-1,1)</f>
        <v>3</v>
      </c>
      <c r="G299" s="1240"/>
      <c r="H299" s="491" t="s">
        <v>1525</v>
      </c>
      <c r="I299" s="1240"/>
      <c r="J299" s="1240"/>
      <c r="K299" s="1240"/>
      <c r="L299" s="1240"/>
      <c r="M299" s="1240"/>
      <c r="N299" s="1240"/>
      <c r="O299" s="1240"/>
      <c r="P299" s="1240"/>
      <c r="Q299" s="1240"/>
      <c r="R299" s="1240"/>
      <c r="S299" s="1240"/>
      <c r="T299" s="468" cm="1" t="str">
        <f t="array" ref="T299:T299">T298</f>
        <v>true</v>
      </c>
      <c r="U299" s="1240"/>
      <c r="V299" s="1240"/>
      <c r="W299" s="1240"/>
      <c r="X299" s="1559"/>
      <c r="Y299" s="1240"/>
      <c r="Z299" s="1560"/>
      <c r="AA299" s="1240"/>
      <c r="AB299" s="721" t="s">
        <v>1526</v>
      </c>
      <c r="AC299" s="552" t="s">
        <v>2783</v>
      </c>
      <c r="AD299" s="551" t="s">
        <v>936</v>
      </c>
      <c r="AE299" s="560">
        <f>AE300+AE303</f>
        <v>0</v>
      </c>
      <c r="AF299" s="1308"/>
      <c r="AG299" s="1308"/>
      <c r="AH299" s="1009" t="s">
        <v>2007</v>
      </c>
      <c r="AI299" s="1309"/>
      <c r="AJ299" s="1309"/>
      <c r="AK299" s="1310"/>
      <c r="AL299" s="1310"/>
      <c r="AM299" s="1656"/>
      <c r="AN299" s="1656"/>
      <c r="AO299" s="1656"/>
      <c r="AP299" s="1656"/>
    </row>
    <row s="1656" customFormat="1" customHeight="1" ht="21.75">
      <c r="A300" s="673"/>
      <c r="B300" s="1240"/>
      <c r="C300" s="1240"/>
      <c r="D300" s="1240"/>
      <c r="E300" s="655">
        <v>22.5</v>
      </c>
      <c r="F300" s="50" cm="1" t="str">
        <f t="array" ref="F300:F300">OFFSET(E300,-1,1)</f>
        <v>3</v>
      </c>
      <c r="G300" s="1240"/>
      <c r="H300" s="491" t="s">
        <v>2784</v>
      </c>
      <c r="I300" s="1240"/>
      <c r="J300" s="1240"/>
      <c r="K300" s="1240"/>
      <c r="L300" s="1240"/>
      <c r="M300" s="1240"/>
      <c r="N300" s="1240"/>
      <c r="O300" s="1240"/>
      <c r="P300" s="1240"/>
      <c r="Q300" s="1240"/>
      <c r="R300" s="1240"/>
      <c r="S300" s="1240"/>
      <c r="T300" s="468" cm="1" t="str">
        <f t="array" ref="T300:T300">T299</f>
        <v>true</v>
      </c>
      <c r="U300" s="1240"/>
      <c r="V300" s="1240"/>
      <c r="W300" s="1240"/>
      <c r="X300" s="1559"/>
      <c r="Y300" s="1240"/>
      <c r="Z300" s="1560"/>
      <c r="AA300" s="1240"/>
      <c r="AB300" s="721" t="s">
        <v>2785</v>
      </c>
      <c r="AC300" s="1293" t="s">
        <v>2786</v>
      </c>
      <c r="AD300" s="551" t="s">
        <v>936</v>
      </c>
      <c r="AE300" s="1356"/>
      <c r="AF300" s="1308"/>
      <c r="AG300" s="1308"/>
      <c r="AH300" s="1009" t="s">
        <v>2009</v>
      </c>
      <c r="AI300" s="1309"/>
      <c r="AJ300" s="1309"/>
      <c r="AK300" s="1310"/>
      <c r="AL300" s="1310"/>
      <c r="AM300" s="1656"/>
      <c r="AN300" s="1656"/>
      <c r="AO300" s="1656"/>
      <c r="AP300" s="1656"/>
    </row>
    <row s="1656" customFormat="1" customHeight="1" ht="21.75">
      <c r="A301" s="673"/>
      <c r="B301" s="1240"/>
      <c r="C301" s="1240"/>
      <c r="D301" s="1240"/>
      <c r="E301" s="655">
        <v>22.5</v>
      </c>
      <c r="F301" s="50" cm="1" t="str">
        <f t="array" ref="F301:F301">OFFSET(E301,-1,1)</f>
        <v>3</v>
      </c>
      <c r="G301" s="1240"/>
      <c r="H301" s="491" t="s">
        <v>2787</v>
      </c>
      <c r="I301" s="1240"/>
      <c r="J301" s="1240"/>
      <c r="K301" s="1240"/>
      <c r="L301" s="1240"/>
      <c r="M301" s="1240"/>
      <c r="N301" s="1240"/>
      <c r="O301" s="1240"/>
      <c r="P301" s="1240"/>
      <c r="Q301" s="1240"/>
      <c r="R301" s="1240"/>
      <c r="S301" s="1240"/>
      <c r="T301" s="468" cm="1" t="str">
        <f t="array" ref="T301:T301">T300</f>
        <v>true</v>
      </c>
      <c r="U301" s="1240"/>
      <c r="V301" s="1240"/>
      <c r="W301" s="1240"/>
      <c r="X301" s="1559"/>
      <c r="Y301" s="1240"/>
      <c r="Z301" s="1560"/>
      <c r="AA301" s="1240"/>
      <c r="AB301" s="721" t="s">
        <v>2788</v>
      </c>
      <c r="AC301" s="1294" t="s">
        <v>2789</v>
      </c>
      <c r="AD301" s="551" t="s">
        <v>2790</v>
      </c>
      <c r="AE301" s="1356"/>
      <c r="AF301" s="1308"/>
      <c r="AG301" s="1308"/>
      <c r="AH301" s="1009" t="s">
        <v>2791</v>
      </c>
      <c r="AI301" s="1309"/>
      <c r="AJ301" s="1309"/>
      <c r="AK301" s="1310"/>
      <c r="AL301" s="1310"/>
      <c r="AM301" s="1656"/>
      <c r="AN301" s="1656"/>
      <c r="AO301" s="1656"/>
      <c r="AP301" s="1656"/>
    </row>
    <row s="1656" customFormat="1" customHeight="1" ht="21.75">
      <c r="A302" s="673"/>
      <c r="B302" s="1240"/>
      <c r="C302" s="1240"/>
      <c r="D302" s="1240"/>
      <c r="E302" s="655">
        <v>22.5</v>
      </c>
      <c r="F302" s="50" cm="1" t="str">
        <f t="array" ref="F302:F302">OFFSET(E302,-1,1)</f>
        <v>3</v>
      </c>
      <c r="G302" s="1240"/>
      <c r="H302" s="491" t="s">
        <v>2792</v>
      </c>
      <c r="I302" s="1240"/>
      <c r="J302" s="1240"/>
      <c r="K302" s="1240"/>
      <c r="L302" s="1240"/>
      <c r="M302" s="1240"/>
      <c r="N302" s="1240"/>
      <c r="O302" s="1240"/>
      <c r="P302" s="1240"/>
      <c r="Q302" s="1240"/>
      <c r="R302" s="1240"/>
      <c r="S302" s="1240"/>
      <c r="T302" s="468" cm="1" t="str">
        <f t="array" ref="T302:T302">T301</f>
        <v>true</v>
      </c>
      <c r="U302" s="1240"/>
      <c r="V302" s="1240"/>
      <c r="W302" s="1240"/>
      <c r="X302" s="1559"/>
      <c r="Y302" s="1240"/>
      <c r="Z302" s="1560"/>
      <c r="AA302" s="1240"/>
      <c r="AB302" s="721" t="s">
        <v>2793</v>
      </c>
      <c r="AC302" s="554" t="s">
        <v>2794</v>
      </c>
      <c r="AD302" s="551" t="s">
        <v>2795</v>
      </c>
      <c r="AE302" s="1356"/>
      <c r="AF302" s="1308"/>
      <c r="AG302" s="1308"/>
      <c r="AH302" s="1009" t="s">
        <v>2796</v>
      </c>
      <c r="AI302" s="1309"/>
      <c r="AJ302" s="1309"/>
      <c r="AK302" s="1310"/>
      <c r="AL302" s="1310"/>
      <c r="AM302" s="1656"/>
      <c r="AN302" s="1656"/>
      <c r="AO302" s="1656"/>
      <c r="AP302" s="1656"/>
    </row>
    <row s="1656" customFormat="1" customHeight="1" ht="21.75">
      <c r="A303" s="673"/>
      <c r="B303" s="1240"/>
      <c r="C303" s="1240"/>
      <c r="D303" s="1240"/>
      <c r="E303" s="655">
        <v>22.5</v>
      </c>
      <c r="F303" s="50" cm="1" t="str">
        <f t="array" ref="F303:F303">OFFSET(E303,-1,1)</f>
        <v>3</v>
      </c>
      <c r="G303" s="1240"/>
      <c r="H303" s="491" t="s">
        <v>2797</v>
      </c>
      <c r="I303" s="1240"/>
      <c r="J303" s="1240"/>
      <c r="K303" s="1240"/>
      <c r="L303" s="1240"/>
      <c r="M303" s="1240"/>
      <c r="N303" s="1240"/>
      <c r="O303" s="1240"/>
      <c r="P303" s="1240"/>
      <c r="Q303" s="1240"/>
      <c r="R303" s="1240"/>
      <c r="S303" s="1240"/>
      <c r="T303" s="468" cm="1" t="str">
        <f t="array" ref="T303:T303">T302</f>
        <v>true</v>
      </c>
      <c r="U303" s="1240"/>
      <c r="V303" s="1240"/>
      <c r="W303" s="1240"/>
      <c r="X303" s="1559"/>
      <c r="Y303" s="1240"/>
      <c r="Z303" s="1560"/>
      <c r="AA303" s="1240"/>
      <c r="AB303" s="721" t="s">
        <v>2798</v>
      </c>
      <c r="AC303" s="553" t="s">
        <v>2799</v>
      </c>
      <c r="AD303" s="551" t="s">
        <v>936</v>
      </c>
      <c r="AE303" s="1356"/>
      <c r="AF303" s="1308"/>
      <c r="AG303" s="1308"/>
      <c r="AH303" s="1009" t="s">
        <v>2011</v>
      </c>
      <c r="AI303" s="1309"/>
      <c r="AJ303" s="1309"/>
      <c r="AK303" s="1310"/>
      <c r="AL303" s="1310"/>
      <c r="AM303" s="1656"/>
      <c r="AN303" s="1656"/>
      <c r="AO303" s="1656"/>
      <c r="AP303" s="1656"/>
    </row>
    <row s="1656" customFormat="1" customHeight="1" ht="14.25">
      <c r="A304" s="673"/>
      <c r="B304" s="1240"/>
      <c r="C304" s="1240"/>
      <c r="D304" s="1240"/>
      <c r="E304" s="655">
        <v>15</v>
      </c>
      <c r="F304" s="50" cm="1" t="str">
        <f t="array" ref="F304:F304">OFFSET(E304,-1,1)</f>
        <v>3</v>
      </c>
      <c r="G304" s="1240"/>
      <c r="H304" s="491" t="s">
        <v>1529</v>
      </c>
      <c r="I304" s="1240"/>
      <c r="J304" s="1240"/>
      <c r="K304" s="1240"/>
      <c r="L304" s="1240"/>
      <c r="M304" s="1240"/>
      <c r="N304" s="1240"/>
      <c r="O304" s="1240"/>
      <c r="P304" s="1240"/>
      <c r="Q304" s="1240"/>
      <c r="R304" s="1240"/>
      <c r="S304" s="1240"/>
      <c r="T304" s="468" cm="1" t="str">
        <f t="array" ref="T304:T304">T303</f>
        <v>true</v>
      </c>
      <c r="U304" s="1240"/>
      <c r="V304" s="1240"/>
      <c r="W304" s="1240"/>
      <c r="X304" s="1559"/>
      <c r="Y304" s="1240"/>
      <c r="Z304" s="1560"/>
      <c r="AA304" s="1240"/>
      <c r="AB304" s="721" t="s">
        <v>1530</v>
      </c>
      <c r="AC304" s="552" t="s">
        <v>2800</v>
      </c>
      <c r="AD304" s="551" t="s">
        <v>936</v>
      </c>
      <c r="AE304" s="1356"/>
      <c r="AF304" s="1308"/>
      <c r="AG304" s="1308"/>
      <c r="AH304" s="1009" t="s">
        <v>2363</v>
      </c>
      <c r="AI304" s="1309"/>
      <c r="AJ304" s="1309"/>
      <c r="AK304" s="1310"/>
      <c r="AL304" s="1310"/>
      <c r="AM304" s="1656"/>
      <c r="AN304" s="1656"/>
      <c r="AO304" s="1656"/>
      <c r="AP304" s="1656"/>
    </row>
    <row s="1656" customFormat="1" customHeight="1" ht="14.25">
      <c r="A305" s="673"/>
      <c r="B305" s="1240"/>
      <c r="C305" s="1240"/>
      <c r="D305" s="1240"/>
      <c r="E305" s="655">
        <v>15</v>
      </c>
      <c r="F305" s="50" cm="1" t="str">
        <f t="array" ref="F305:F305">OFFSET(E305,-1,1)</f>
        <v>3</v>
      </c>
      <c r="G305" s="1240"/>
      <c r="H305" s="491" t="s">
        <v>2801</v>
      </c>
      <c r="I305" s="1240"/>
      <c r="J305" s="1240"/>
      <c r="K305" s="1240"/>
      <c r="L305" s="1240"/>
      <c r="M305" s="1240"/>
      <c r="N305" s="1240"/>
      <c r="O305" s="1240"/>
      <c r="P305" s="1240"/>
      <c r="Q305" s="1240"/>
      <c r="R305" s="1240"/>
      <c r="S305" s="1240"/>
      <c r="T305" s="468" cm="1" t="str">
        <f t="array" ref="T305:T305">T304</f>
        <v>true</v>
      </c>
      <c r="U305" s="1240"/>
      <c r="V305" s="1240"/>
      <c r="W305" s="1240"/>
      <c r="X305" s="1559"/>
      <c r="Y305" s="1240"/>
      <c r="Z305" s="1560"/>
      <c r="AA305" s="1240"/>
      <c r="AB305" s="721" t="s">
        <v>1533</v>
      </c>
      <c r="AC305" s="552" t="s">
        <v>2188</v>
      </c>
      <c r="AD305" s="551" t="s">
        <v>936</v>
      </c>
      <c r="AE305" s="1356"/>
      <c r="AF305" s="1308"/>
      <c r="AG305" s="1308"/>
      <c r="AH305" s="1009" t="s">
        <v>2016</v>
      </c>
      <c r="AI305" s="1309"/>
      <c r="AJ305" s="1309"/>
      <c r="AK305" s="1310"/>
      <c r="AL305" s="1310"/>
      <c r="AM305" s="1656"/>
      <c r="AN305" s="1656"/>
      <c r="AO305" s="1656"/>
      <c r="AP305" s="1656"/>
    </row>
    <row s="1656" customFormat="1" customHeight="1" ht="14.25">
      <c r="A306" s="673"/>
      <c r="B306" s="1240"/>
      <c r="C306" s="1240"/>
      <c r="D306" s="1240"/>
      <c r="E306" s="655">
        <v>15</v>
      </c>
      <c r="F306" s="50" cm="1" t="str">
        <f t="array" ref="F306:F306">OFFSET(E306,-1,1)</f>
        <v>3</v>
      </c>
      <c r="G306" s="1240"/>
      <c r="H306" s="491" t="s">
        <v>2802</v>
      </c>
      <c r="I306" s="1240"/>
      <c r="J306" s="1240"/>
      <c r="K306" s="1240"/>
      <c r="L306" s="1240"/>
      <c r="M306" s="1240"/>
      <c r="N306" s="1240"/>
      <c r="O306" s="1240"/>
      <c r="P306" s="1240"/>
      <c r="Q306" s="1240"/>
      <c r="R306" s="1240"/>
      <c r="S306" s="1240"/>
      <c r="T306" s="468" cm="1" t="str">
        <f t="array" ref="T306:T306">T305</f>
        <v>true</v>
      </c>
      <c r="U306" s="1240"/>
      <c r="V306" s="1240"/>
      <c r="W306" s="1240"/>
      <c r="X306" s="1559"/>
      <c r="Y306" s="1240"/>
      <c r="Z306" s="1560"/>
      <c r="AA306" s="1240"/>
      <c r="AB306" s="721" t="s">
        <v>2803</v>
      </c>
      <c r="AC306" s="552" t="s">
        <v>2804</v>
      </c>
      <c r="AD306" s="551" t="s">
        <v>936</v>
      </c>
      <c r="AE306" s="560">
        <f>SUM(AE307:AE313)</f>
        <v>0</v>
      </c>
      <c r="AF306" s="1308"/>
      <c r="AG306" s="1308"/>
      <c r="AH306" s="1009" t="s">
        <v>2020</v>
      </c>
      <c r="AI306" s="1309"/>
      <c r="AJ306" s="1309"/>
      <c r="AK306" s="1310"/>
      <c r="AL306" s="1310"/>
      <c r="AM306" s="1656"/>
      <c r="AN306" s="1656"/>
      <c r="AO306" s="1656"/>
      <c r="AP306" s="1656"/>
    </row>
    <row s="1656" customFormat="1" customHeight="1" ht="14.25">
      <c r="A307" s="673"/>
      <c r="B307" s="1240"/>
      <c r="C307" s="1240"/>
      <c r="D307" s="1240"/>
      <c r="E307" s="655">
        <v>15</v>
      </c>
      <c r="F307" s="50" cm="1" t="str">
        <f t="array" ref="F307:F307">OFFSET(E307,-1,1)</f>
        <v>3</v>
      </c>
      <c r="G307" s="1240"/>
      <c r="H307" s="491" t="s">
        <v>2805</v>
      </c>
      <c r="I307" s="1240"/>
      <c r="J307" s="1240"/>
      <c r="K307" s="1240"/>
      <c r="L307" s="1240"/>
      <c r="M307" s="1240"/>
      <c r="N307" s="1240"/>
      <c r="O307" s="1240"/>
      <c r="P307" s="1240"/>
      <c r="Q307" s="1240"/>
      <c r="R307" s="1240"/>
      <c r="S307" s="1240"/>
      <c r="T307" s="468" cm="1" t="str">
        <f t="array" ref="T307:T307">T306</f>
        <v>true</v>
      </c>
      <c r="U307" s="1240"/>
      <c r="V307" s="1240"/>
      <c r="W307" s="1240"/>
      <c r="X307" s="1559"/>
      <c r="Y307" s="1240"/>
      <c r="Z307" s="1560"/>
      <c r="AA307" s="1240"/>
      <c r="AB307" s="721" t="s">
        <v>2806</v>
      </c>
      <c r="AC307" s="553" t="s">
        <v>2027</v>
      </c>
      <c r="AD307" s="551" t="s">
        <v>936</v>
      </c>
      <c r="AE307" s="1356"/>
      <c r="AF307" s="1308"/>
      <c r="AG307" s="1308"/>
      <c r="AH307" s="1009" t="s">
        <v>2807</v>
      </c>
      <c r="AI307" s="1309"/>
      <c r="AJ307" s="1309"/>
      <c r="AK307" s="1310"/>
      <c r="AL307" s="1310"/>
      <c r="AM307" s="1656"/>
      <c r="AN307" s="1656"/>
      <c r="AO307" s="1656"/>
      <c r="AP307" s="1656"/>
    </row>
    <row s="1656" customFormat="1" customHeight="1" ht="21.75">
      <c r="A308" s="673"/>
      <c r="B308" s="1240"/>
      <c r="C308" s="1240"/>
      <c r="D308" s="1240"/>
      <c r="E308" s="655">
        <v>22.5</v>
      </c>
      <c r="F308" s="50" cm="1" t="str">
        <f t="array" ref="F308:F308">OFFSET(E308,-1,1)</f>
        <v>3</v>
      </c>
      <c r="G308" s="1240"/>
      <c r="H308" s="491" t="s">
        <v>2808</v>
      </c>
      <c r="I308" s="1240"/>
      <c r="J308" s="1240"/>
      <c r="K308" s="1240"/>
      <c r="L308" s="1240"/>
      <c r="M308" s="1240"/>
      <c r="N308" s="1240"/>
      <c r="O308" s="1240"/>
      <c r="P308" s="1240"/>
      <c r="Q308" s="1240"/>
      <c r="R308" s="1240"/>
      <c r="S308" s="1240"/>
      <c r="T308" s="468" cm="1" t="str">
        <f t="array" ref="T308:T308">T307</f>
        <v>true</v>
      </c>
      <c r="U308" s="1240"/>
      <c r="V308" s="1240"/>
      <c r="W308" s="1240"/>
      <c r="X308" s="1559"/>
      <c r="Y308" s="1240"/>
      <c r="Z308" s="1560"/>
      <c r="AA308" s="1240"/>
      <c r="AB308" s="721" t="s">
        <v>2809</v>
      </c>
      <c r="AC308" s="553" t="s">
        <v>2196</v>
      </c>
      <c r="AD308" s="551" t="s">
        <v>936</v>
      </c>
      <c r="AE308" s="1356"/>
      <c r="AF308" s="1308"/>
      <c r="AG308" s="1308"/>
      <c r="AH308" s="1072" t="s">
        <v>2197</v>
      </c>
      <c r="AI308" s="1309"/>
      <c r="AJ308" s="1309"/>
      <c r="AK308" s="1310"/>
      <c r="AL308" s="1310"/>
      <c r="AM308" s="1656"/>
      <c r="AN308" s="1656"/>
      <c r="AO308" s="1656"/>
      <c r="AP308" s="1656"/>
    </row>
    <row s="1656" customFormat="1" customHeight="1" ht="21.75">
      <c r="A309" s="673"/>
      <c r="B309" s="1240"/>
      <c r="C309" s="1240"/>
      <c r="D309" s="1240"/>
      <c r="E309" s="655">
        <v>22.5</v>
      </c>
      <c r="F309" s="50" cm="1" t="str">
        <f t="array" ref="F309:F309">OFFSET(E309,-1,1)</f>
        <v>3</v>
      </c>
      <c r="G309" s="1240"/>
      <c r="H309" s="491" t="s">
        <v>2810</v>
      </c>
      <c r="I309" s="1240"/>
      <c r="J309" s="1240"/>
      <c r="K309" s="1240"/>
      <c r="L309" s="1240"/>
      <c r="M309" s="1240"/>
      <c r="N309" s="1240"/>
      <c r="O309" s="1240"/>
      <c r="P309" s="1240"/>
      <c r="Q309" s="1240"/>
      <c r="R309" s="1240"/>
      <c r="S309" s="1240"/>
      <c r="T309" s="468" cm="1" t="str">
        <f t="array" ref="T309:T309">T308</f>
        <v>true</v>
      </c>
      <c r="U309" s="1240"/>
      <c r="V309" s="1240"/>
      <c r="W309" s="1240"/>
      <c r="X309" s="1559"/>
      <c r="Y309" s="1240"/>
      <c r="Z309" s="1560"/>
      <c r="AA309" s="1240"/>
      <c r="AB309" s="721" t="s">
        <v>2811</v>
      </c>
      <c r="AC309" s="553" t="s">
        <v>2200</v>
      </c>
      <c r="AD309" s="551" t="s">
        <v>936</v>
      </c>
      <c r="AE309" s="1356"/>
      <c r="AF309" s="1308"/>
      <c r="AG309" s="1308"/>
      <c r="AH309" s="1072" t="s">
        <v>2201</v>
      </c>
      <c r="AI309" s="1309"/>
      <c r="AJ309" s="1309"/>
      <c r="AK309" s="1310"/>
      <c r="AL309" s="1310"/>
      <c r="AM309" s="1656"/>
      <c r="AN309" s="1656"/>
      <c r="AO309" s="1656"/>
      <c r="AP309" s="1656"/>
    </row>
    <row s="1656" customFormat="1" customHeight="1" ht="21.75">
      <c r="A310" s="673"/>
      <c r="B310" s="1240"/>
      <c r="C310" s="1240"/>
      <c r="D310" s="1240"/>
      <c r="E310" s="655">
        <v>22.5</v>
      </c>
      <c r="F310" s="50" cm="1" t="str">
        <f t="array" ref="F310:F310">OFFSET(E310,-1,1)</f>
        <v>3</v>
      </c>
      <c r="G310" s="1240"/>
      <c r="H310" s="491" t="s">
        <v>2812</v>
      </c>
      <c r="I310" s="1240"/>
      <c r="J310" s="1240"/>
      <c r="K310" s="1240"/>
      <c r="L310" s="1240"/>
      <c r="M310" s="1240"/>
      <c r="N310" s="1240"/>
      <c r="O310" s="1240"/>
      <c r="P310" s="1240"/>
      <c r="Q310" s="1240"/>
      <c r="R310" s="1240"/>
      <c r="S310" s="1240"/>
      <c r="T310" s="468" cm="1" t="str">
        <f t="array" ref="T310:T310">T309</f>
        <v>true</v>
      </c>
      <c r="U310" s="1240"/>
      <c r="V310" s="1240"/>
      <c r="W310" s="1240"/>
      <c r="X310" s="1559"/>
      <c r="Y310" s="1240"/>
      <c r="Z310" s="1560"/>
      <c r="AA310" s="1240"/>
      <c r="AB310" s="721" t="s">
        <v>2813</v>
      </c>
      <c r="AC310" s="553" t="s">
        <v>2814</v>
      </c>
      <c r="AD310" s="551" t="s">
        <v>936</v>
      </c>
      <c r="AE310" s="1356"/>
      <c r="AF310" s="1308"/>
      <c r="AG310" s="1308"/>
      <c r="AH310" s="1072" t="s">
        <v>2205</v>
      </c>
      <c r="AI310" s="1309"/>
      <c r="AJ310" s="1309"/>
      <c r="AK310" s="1310"/>
      <c r="AL310" s="1310"/>
      <c r="AM310" s="1656"/>
      <c r="AN310" s="1656"/>
      <c r="AO310" s="1656"/>
      <c r="AP310" s="1656"/>
    </row>
    <row s="1656" customFormat="1" customHeight="1" ht="54.75">
      <c r="A311" s="673"/>
      <c r="B311" s="1240"/>
      <c r="C311" s="1240"/>
      <c r="D311" s="1240"/>
      <c r="E311" s="655">
        <v>56.25</v>
      </c>
      <c r="F311" s="50" cm="1" t="str">
        <f t="array" ref="F311:F311">OFFSET(E311,-1,1)</f>
        <v>3</v>
      </c>
      <c r="G311" s="1240"/>
      <c r="H311" s="491" t="s">
        <v>2815</v>
      </c>
      <c r="I311" s="1240"/>
      <c r="J311" s="1240"/>
      <c r="K311" s="1240"/>
      <c r="L311" s="1240"/>
      <c r="M311" s="1240"/>
      <c r="N311" s="1240"/>
      <c r="O311" s="1240"/>
      <c r="P311" s="1240"/>
      <c r="Q311" s="1240"/>
      <c r="R311" s="1240"/>
      <c r="S311" s="1240"/>
      <c r="T311" s="468" cm="1" t="str">
        <f t="array" ref="T311:T311">T310</f>
        <v>true</v>
      </c>
      <c r="U311" s="1240"/>
      <c r="V311" s="1240"/>
      <c r="W311" s="1240"/>
      <c r="X311" s="1559"/>
      <c r="Y311" s="1240"/>
      <c r="Z311" s="1560"/>
      <c r="AA311" s="1240"/>
      <c r="AB311" s="721" t="s">
        <v>2816</v>
      </c>
      <c r="AC311" s="553" t="s">
        <v>2208</v>
      </c>
      <c r="AD311" s="551" t="s">
        <v>936</v>
      </c>
      <c r="AE311" s="1356"/>
      <c r="AF311" s="1308"/>
      <c r="AG311" s="1308"/>
      <c r="AH311" s="1072" t="s">
        <v>2032</v>
      </c>
      <c r="AI311" s="1309"/>
      <c r="AJ311" s="1309"/>
      <c r="AK311" s="1310"/>
      <c r="AL311" s="1310"/>
      <c r="AM311" s="1656"/>
      <c r="AN311" s="1656"/>
      <c r="AO311" s="1656"/>
      <c r="AP311" s="1656"/>
    </row>
    <row s="1656" customFormat="1" customHeight="1" ht="14.25">
      <c r="A312" s="673"/>
      <c r="B312" s="1240"/>
      <c r="C312" s="1240"/>
      <c r="D312" s="1240"/>
      <c r="E312" s="655">
        <v>15</v>
      </c>
      <c r="F312" s="50" cm="1" t="str">
        <f t="array" ref="F312:F312">OFFSET(E312,-1,1)</f>
        <v>3</v>
      </c>
      <c r="G312" s="1240"/>
      <c r="H312" s="491" t="s">
        <v>2817</v>
      </c>
      <c r="I312" s="1240"/>
      <c r="J312" s="1240"/>
      <c r="K312" s="1240"/>
      <c r="L312" s="1240"/>
      <c r="M312" s="1240"/>
      <c r="N312" s="1240"/>
      <c r="O312" s="1240"/>
      <c r="P312" s="1240"/>
      <c r="Q312" s="1240"/>
      <c r="R312" s="1240"/>
      <c r="S312" s="1240"/>
      <c r="T312" s="468" cm="1" t="str">
        <f t="array" ref="T312:T312">T311</f>
        <v>true</v>
      </c>
      <c r="U312" s="1240"/>
      <c r="V312" s="1240"/>
      <c r="W312" s="1240"/>
      <c r="X312" s="1559"/>
      <c r="Y312" s="1240"/>
      <c r="Z312" s="1560"/>
      <c r="AA312" s="1240"/>
      <c r="AB312" s="721" t="s">
        <v>2818</v>
      </c>
      <c r="AC312" s="553" t="s">
        <v>2035</v>
      </c>
      <c r="AD312" s="551" t="s">
        <v>936</v>
      </c>
      <c r="AE312" s="1356"/>
      <c r="AF312" s="1308"/>
      <c r="AG312" s="1308"/>
      <c r="AH312" s="1072" t="s">
        <v>2036</v>
      </c>
      <c r="AI312" s="1309"/>
      <c r="AJ312" s="1309"/>
      <c r="AK312" s="1310"/>
      <c r="AL312" s="1310"/>
      <c r="AM312" s="1656"/>
      <c r="AN312" s="1656"/>
      <c r="AO312" s="1656"/>
      <c r="AP312" s="1656"/>
    </row>
    <row s="1656" customFormat="1" customHeight="1" ht="14.25">
      <c r="A313" s="673"/>
      <c r="B313" s="1240"/>
      <c r="C313" s="1240"/>
      <c r="D313" s="1240"/>
      <c r="E313" s="655">
        <v>15</v>
      </c>
      <c r="F313" s="50" cm="1" t="str">
        <f t="array" ref="F313:F313">OFFSET(E313,-1,1)</f>
        <v>3</v>
      </c>
      <c r="G313" s="1240"/>
      <c r="H313" s="491" t="s">
        <v>2819</v>
      </c>
      <c r="I313" s="1240"/>
      <c r="J313" s="1240"/>
      <c r="K313" s="1240"/>
      <c r="L313" s="1240"/>
      <c r="M313" s="1240"/>
      <c r="N313" s="1240"/>
      <c r="O313" s="1240"/>
      <c r="P313" s="1240"/>
      <c r="Q313" s="1240"/>
      <c r="R313" s="1240"/>
      <c r="S313" s="1240"/>
      <c r="T313" s="468" cm="1" t="str">
        <f t="array" ref="T313:T313">T312</f>
        <v>true</v>
      </c>
      <c r="U313" s="1240"/>
      <c r="V313" s="1240"/>
      <c r="W313" s="1240"/>
      <c r="X313" s="1559"/>
      <c r="Y313" s="1240"/>
      <c r="Z313" s="1560"/>
      <c r="AA313" s="1240"/>
      <c r="AB313" s="721" t="s">
        <v>2820</v>
      </c>
      <c r="AC313" s="553" t="s">
        <v>1440</v>
      </c>
      <c r="AD313" s="551" t="s">
        <v>936</v>
      </c>
      <c r="AE313" s="1356"/>
      <c r="AF313" s="1308"/>
      <c r="AG313" s="1308"/>
      <c r="AH313" s="1072" t="s">
        <v>2020</v>
      </c>
      <c r="AI313" s="1309"/>
      <c r="AJ313" s="1309"/>
      <c r="AK313" s="1310"/>
      <c r="AL313" s="1310"/>
      <c r="AM313" s="1656"/>
      <c r="AN313" s="1656"/>
      <c r="AO313" s="1656"/>
      <c r="AP313" s="1656"/>
    </row>
    <row s="1656" customFormat="1" customHeight="1" ht="14.25">
      <c r="A314" s="673"/>
      <c r="B314" s="1240"/>
      <c r="C314" s="1240"/>
      <c r="D314" s="1240"/>
      <c r="E314" s="655">
        <v>15</v>
      </c>
      <c r="F314" s="50" cm="1" t="str">
        <f t="array" ref="F314:F314">OFFSET(E314,-1,1)</f>
        <v>3</v>
      </c>
      <c r="G314" s="1240"/>
      <c r="H314" s="491" t="s">
        <v>570</v>
      </c>
      <c r="I314" s="1240"/>
      <c r="J314" s="1240"/>
      <c r="K314" s="1240"/>
      <c r="L314" s="1240"/>
      <c r="M314" s="1240"/>
      <c r="N314" s="1240"/>
      <c r="O314" s="1240"/>
      <c r="P314" s="1240"/>
      <c r="Q314" s="1240"/>
      <c r="R314" s="1240"/>
      <c r="S314" s="1240"/>
      <c r="T314" s="468" cm="1" t="str">
        <f t="array" ref="T314:T314">T313</f>
        <v>true</v>
      </c>
      <c r="U314" s="1240"/>
      <c r="V314" s="1240"/>
      <c r="W314" s="1240"/>
      <c r="X314" s="1559"/>
      <c r="Y314" s="1240"/>
      <c r="Z314" s="1560"/>
      <c r="AA314" s="1240"/>
      <c r="AB314" s="721" t="s">
        <v>1070</v>
      </c>
      <c r="AC314" s="550" t="s">
        <v>2821</v>
      </c>
      <c r="AD314" s="551" t="s">
        <v>936</v>
      </c>
      <c r="AE314" s="560">
        <f>AE315+AE316+AE317</f>
        <v>0</v>
      </c>
      <c r="AF314" s="1308"/>
      <c r="AG314" s="1308"/>
      <c r="AH314" s="1071" t="s">
        <v>2040</v>
      </c>
      <c r="AI314" s="1309"/>
      <c r="AJ314" s="1309"/>
      <c r="AK314" s="1310"/>
      <c r="AL314" s="1310"/>
      <c r="AM314" s="1656"/>
      <c r="AN314" s="1656"/>
      <c r="AO314" s="1656"/>
      <c r="AP314" s="1656"/>
    </row>
    <row s="1656" customFormat="1" customHeight="1" ht="14.25">
      <c r="A315" s="673"/>
      <c r="B315" s="1240"/>
      <c r="C315" s="1240"/>
      <c r="D315" s="1240"/>
      <c r="E315" s="655">
        <v>15</v>
      </c>
      <c r="F315" s="50" cm="1" t="str">
        <f t="array" ref="F315:F315">OFFSET(E315,-1,1)</f>
        <v>3</v>
      </c>
      <c r="G315" s="1240"/>
      <c r="H315" s="491" t="s">
        <v>1550</v>
      </c>
      <c r="I315" s="1240"/>
      <c r="J315" s="1240"/>
      <c r="K315" s="1240"/>
      <c r="L315" s="1240"/>
      <c r="M315" s="1240"/>
      <c r="N315" s="1240"/>
      <c r="O315" s="1240"/>
      <c r="P315" s="1240"/>
      <c r="Q315" s="1240"/>
      <c r="R315" s="1240"/>
      <c r="S315" s="1240"/>
      <c r="T315" s="468" cm="1" t="str">
        <f t="array" ref="T315:T315">T314</f>
        <v>true</v>
      </c>
      <c r="U315" s="1240"/>
      <c r="V315" s="1240"/>
      <c r="W315" s="1240"/>
      <c r="X315" s="1559"/>
      <c r="Y315" s="1240"/>
      <c r="Z315" s="1560"/>
      <c r="AA315" s="1240"/>
      <c r="AB315" s="721" t="s">
        <v>1551</v>
      </c>
      <c r="AC315" s="552" t="s">
        <v>2822</v>
      </c>
      <c r="AD315" s="551" t="s">
        <v>936</v>
      </c>
      <c r="AE315" s="1356"/>
      <c r="AF315" s="1308"/>
      <c r="AG315" s="1308"/>
      <c r="AH315" s="1070" t="s">
        <v>2042</v>
      </c>
      <c r="AI315" s="1309"/>
      <c r="AJ315" s="1309"/>
      <c r="AK315" s="1310"/>
      <c r="AL315" s="1310"/>
      <c r="AM315" s="1656"/>
      <c r="AN315" s="1656"/>
      <c r="AO315" s="1656"/>
      <c r="AP315" s="1656"/>
    </row>
    <row s="1656" customFormat="1" customHeight="1" ht="14.25">
      <c r="A316" s="673"/>
      <c r="B316" s="1240"/>
      <c r="C316" s="1240"/>
      <c r="D316" s="1240"/>
      <c r="E316" s="655">
        <v>15</v>
      </c>
      <c r="F316" s="50" cm="1" t="str">
        <f t="array" ref="F316:F316">OFFSET(E316,-1,1)</f>
        <v>3</v>
      </c>
      <c r="G316" s="1240"/>
      <c r="H316" s="491" t="s">
        <v>1553</v>
      </c>
      <c r="I316" s="1240"/>
      <c r="J316" s="1240"/>
      <c r="K316" s="1240"/>
      <c r="L316" s="1240"/>
      <c r="M316" s="1240"/>
      <c r="N316" s="1240"/>
      <c r="O316" s="1240"/>
      <c r="P316" s="1240"/>
      <c r="Q316" s="1240"/>
      <c r="R316" s="1240"/>
      <c r="S316" s="1240"/>
      <c r="T316" s="468" cm="1" t="str">
        <f t="array" ref="T316:T316">T315</f>
        <v>true</v>
      </c>
      <c r="U316" s="1240"/>
      <c r="V316" s="1240"/>
      <c r="W316" s="1240"/>
      <c r="X316" s="1559"/>
      <c r="Y316" s="1240"/>
      <c r="Z316" s="1560"/>
      <c r="AA316" s="1240"/>
      <c r="AB316" s="721" t="s">
        <v>1554</v>
      </c>
      <c r="AC316" s="552" t="s">
        <v>2823</v>
      </c>
      <c r="AD316" s="551" t="s">
        <v>936</v>
      </c>
      <c r="AE316" s="1356"/>
      <c r="AF316" s="1308"/>
      <c r="AG316" s="1308"/>
      <c r="AH316" s="1072" t="s">
        <v>2216</v>
      </c>
      <c r="AI316" s="1309"/>
      <c r="AJ316" s="1309"/>
      <c r="AK316" s="1310"/>
      <c r="AL316" s="1310"/>
      <c r="AM316" s="1656"/>
      <c r="AN316" s="1656"/>
      <c r="AO316" s="1656"/>
      <c r="AP316" s="1656"/>
    </row>
    <row s="1656" customFormat="1" customHeight="1" ht="21.75">
      <c r="A317" s="673"/>
      <c r="B317" s="1240"/>
      <c r="C317" s="1240"/>
      <c r="D317" s="1240"/>
      <c r="E317" s="655">
        <v>22.5</v>
      </c>
      <c r="F317" s="50" cm="1" t="str">
        <f t="array" ref="F317:F317">OFFSET(E317,-1,1)</f>
        <v>3</v>
      </c>
      <c r="G317" s="1240"/>
      <c r="H317" s="491" t="s">
        <v>1557</v>
      </c>
      <c r="I317" s="1240"/>
      <c r="J317" s="1240"/>
      <c r="K317" s="1240"/>
      <c r="L317" s="1240"/>
      <c r="M317" s="1240"/>
      <c r="N317" s="1240"/>
      <c r="O317" s="1240"/>
      <c r="P317" s="1240"/>
      <c r="Q317" s="1240"/>
      <c r="R317" s="1240"/>
      <c r="S317" s="1240"/>
      <c r="T317" s="468" cm="1" t="str">
        <f t="array" ref="T317:T317">T316</f>
        <v>true</v>
      </c>
      <c r="U317" s="1240"/>
      <c r="V317" s="1240"/>
      <c r="W317" s="1240"/>
      <c r="X317" s="1559"/>
      <c r="Y317" s="1240"/>
      <c r="Z317" s="1560"/>
      <c r="AA317" s="1240"/>
      <c r="AB317" s="721" t="s">
        <v>1558</v>
      </c>
      <c r="AC317" s="552" t="s">
        <v>2824</v>
      </c>
      <c r="AD317" s="551" t="s">
        <v>936</v>
      </c>
      <c r="AE317" s="560">
        <f>AE318+AE321</f>
        <v>0</v>
      </c>
      <c r="AF317" s="1308"/>
      <c r="AG317" s="1308"/>
      <c r="AH317" s="1070" t="s">
        <v>2044</v>
      </c>
      <c r="AI317" s="1309"/>
      <c r="AJ317" s="1309"/>
      <c r="AK317" s="1310"/>
      <c r="AL317" s="1310"/>
      <c r="AM317" s="1656"/>
      <c r="AN317" s="1656"/>
      <c r="AO317" s="1656"/>
      <c r="AP317" s="1656"/>
    </row>
    <row s="1656" customFormat="1" customHeight="1" ht="14.25">
      <c r="A318" s="673"/>
      <c r="B318" s="1240"/>
      <c r="C318" s="1240"/>
      <c r="D318" s="1240"/>
      <c r="E318" s="655">
        <v>15</v>
      </c>
      <c r="F318" s="50" cm="1" t="str">
        <f t="array" ref="F318:F318">OFFSET(E318,-1,1)</f>
        <v>3</v>
      </c>
      <c r="G318" s="1240"/>
      <c r="H318" s="491" t="s">
        <v>1712</v>
      </c>
      <c r="I318" s="1240"/>
      <c r="J318" s="1240"/>
      <c r="K318" s="1240"/>
      <c r="L318" s="1240"/>
      <c r="M318" s="1240"/>
      <c r="N318" s="1240"/>
      <c r="O318" s="1240"/>
      <c r="P318" s="1240"/>
      <c r="Q318" s="1240"/>
      <c r="R318" s="1240"/>
      <c r="S318" s="1240"/>
      <c r="T318" s="468" cm="1" t="str">
        <f t="array" ref="T318:T318">T317</f>
        <v>true</v>
      </c>
      <c r="U318" s="1240"/>
      <c r="V318" s="1240"/>
      <c r="W318" s="1240"/>
      <c r="X318" s="1559"/>
      <c r="Y318" s="1240"/>
      <c r="Z318" s="1560"/>
      <c r="AA318" s="1240"/>
      <c r="AB318" s="721" t="s">
        <v>2185</v>
      </c>
      <c r="AC318" s="553" t="s">
        <v>2046</v>
      </c>
      <c r="AD318" s="551" t="s">
        <v>936</v>
      </c>
      <c r="AE318" s="1356"/>
      <c r="AF318" s="1308"/>
      <c r="AG318" s="1308"/>
      <c r="AH318" s="1070" t="s">
        <v>2047</v>
      </c>
      <c r="AI318" s="1309"/>
      <c r="AJ318" s="1309"/>
      <c r="AK318" s="1310"/>
      <c r="AL318" s="1310"/>
      <c r="AM318" s="1656"/>
      <c r="AN318" s="1656"/>
      <c r="AO318" s="1656"/>
      <c r="AP318" s="1656"/>
    </row>
    <row s="1656" customFormat="1" customHeight="1" ht="14.25">
      <c r="A319" s="673"/>
      <c r="B319" s="1240"/>
      <c r="C319" s="1240"/>
      <c r="D319" s="1240"/>
      <c r="E319" s="655">
        <v>15</v>
      </c>
      <c r="F319" s="50" cm="1" t="str">
        <f t="array" ref="F319:F319">OFFSET(E319,-1,1)</f>
        <v>3</v>
      </c>
      <c r="G319" s="1240"/>
      <c r="H319" s="491" t="s">
        <v>2825</v>
      </c>
      <c r="I319" s="1240"/>
      <c r="J319" s="1240"/>
      <c r="K319" s="1240"/>
      <c r="L319" s="1240"/>
      <c r="M319" s="1240"/>
      <c r="N319" s="1240"/>
      <c r="O319" s="1240"/>
      <c r="P319" s="1240"/>
      <c r="Q319" s="1240"/>
      <c r="R319" s="1240"/>
      <c r="S319" s="1240"/>
      <c r="T319" s="468" cm="1" t="str">
        <f t="array" ref="T319:T319">T318</f>
        <v>true</v>
      </c>
      <c r="U319" s="1240"/>
      <c r="V319" s="1240"/>
      <c r="W319" s="1240"/>
      <c r="X319" s="1559"/>
      <c r="Y319" s="1240"/>
      <c r="Z319" s="1560"/>
      <c r="AA319" s="1240"/>
      <c r="AB319" s="721" t="s">
        <v>2826</v>
      </c>
      <c r="AC319" s="554" t="s">
        <v>2827</v>
      </c>
      <c r="AD319" s="551" t="s">
        <v>2790</v>
      </c>
      <c r="AE319" s="1356"/>
      <c r="AF319" s="1308"/>
      <c r="AG319" s="1308"/>
      <c r="AH319" s="1009" t="s">
        <v>2828</v>
      </c>
      <c r="AI319" s="1309"/>
      <c r="AJ319" s="1309"/>
      <c r="AK319" s="1310"/>
      <c r="AL319" s="1310"/>
      <c r="AM319" s="1656"/>
      <c r="AN319" s="1656"/>
      <c r="AO319" s="1656"/>
      <c r="AP319" s="1656"/>
    </row>
    <row s="1656" customFormat="1" customHeight="1" ht="14.25">
      <c r="A320" s="673"/>
      <c r="B320" s="1240"/>
      <c r="C320" s="1240"/>
      <c r="D320" s="1240"/>
      <c r="E320" s="655">
        <v>15</v>
      </c>
      <c r="F320" s="50" cm="1" t="str">
        <f t="array" ref="F320:F320">OFFSET(E320,-1,1)</f>
        <v>3</v>
      </c>
      <c r="G320" s="1240"/>
      <c r="H320" s="491" t="s">
        <v>2829</v>
      </c>
      <c r="I320" s="1240"/>
      <c r="J320" s="1240"/>
      <c r="K320" s="1240"/>
      <c r="L320" s="1240"/>
      <c r="M320" s="1240"/>
      <c r="N320" s="1240"/>
      <c r="O320" s="1240"/>
      <c r="P320" s="1240"/>
      <c r="Q320" s="1240"/>
      <c r="R320" s="1240"/>
      <c r="S320" s="1240"/>
      <c r="T320" s="468" cm="1" t="str">
        <f t="array" ref="T320:T320">T319</f>
        <v>true</v>
      </c>
      <c r="U320" s="1240"/>
      <c r="V320" s="1240"/>
      <c r="W320" s="1240"/>
      <c r="X320" s="1559"/>
      <c r="Y320" s="1240"/>
      <c r="Z320" s="1560"/>
      <c r="AA320" s="1240"/>
      <c r="AB320" s="721" t="s">
        <v>2830</v>
      </c>
      <c r="AC320" s="554" t="s">
        <v>2831</v>
      </c>
      <c r="AD320" s="551" t="s">
        <v>2795</v>
      </c>
      <c r="AE320" s="1356"/>
      <c r="AF320" s="1308"/>
      <c r="AG320" s="1308"/>
      <c r="AH320" s="1009" t="s">
        <v>2832</v>
      </c>
      <c r="AI320" s="1309"/>
      <c r="AJ320" s="1309"/>
      <c r="AK320" s="1310"/>
      <c r="AL320" s="1310"/>
      <c r="AM320" s="1656"/>
      <c r="AN320" s="1656"/>
      <c r="AO320" s="1656"/>
      <c r="AP320" s="1656"/>
    </row>
    <row s="1656" customFormat="1" customHeight="1" ht="21.75">
      <c r="A321" s="673"/>
      <c r="B321" s="1240"/>
      <c r="C321" s="1240"/>
      <c r="D321" s="1240"/>
      <c r="E321" s="655">
        <v>22.5</v>
      </c>
      <c r="F321" s="50" cm="1" t="str">
        <f t="array" ref="F321:F321">OFFSET(E321,-1,1)</f>
        <v>3</v>
      </c>
      <c r="G321" s="1240"/>
      <c r="H321" s="491" t="s">
        <v>1716</v>
      </c>
      <c r="I321" s="1240"/>
      <c r="J321" s="1240"/>
      <c r="K321" s="1240"/>
      <c r="L321" s="1240"/>
      <c r="M321" s="1240"/>
      <c r="N321" s="1240"/>
      <c r="O321" s="1240"/>
      <c r="P321" s="1240"/>
      <c r="Q321" s="1240"/>
      <c r="R321" s="1240"/>
      <c r="S321" s="1240"/>
      <c r="T321" s="468" cm="1" t="str">
        <f t="array" ref="T321:T321">T320</f>
        <v>true</v>
      </c>
      <c r="U321" s="1240"/>
      <c r="V321" s="1240"/>
      <c r="W321" s="1240"/>
      <c r="X321" s="1559"/>
      <c r="Y321" s="1240"/>
      <c r="Z321" s="1560"/>
      <c r="AA321" s="1240"/>
      <c r="AB321" s="721" t="s">
        <v>2186</v>
      </c>
      <c r="AC321" s="553" t="s">
        <v>2222</v>
      </c>
      <c r="AD321" s="551" t="s">
        <v>936</v>
      </c>
      <c r="AE321" s="1356"/>
      <c r="AF321" s="1308"/>
      <c r="AG321" s="1308"/>
      <c r="AH321" s="1070" t="s">
        <v>2050</v>
      </c>
      <c r="AI321" s="1309"/>
      <c r="AJ321" s="1309"/>
      <c r="AK321" s="1310"/>
      <c r="AL321" s="1310"/>
      <c r="AM321" s="1656"/>
      <c r="AN321" s="1656"/>
      <c r="AO321" s="1656"/>
      <c r="AP321" s="1656"/>
    </row>
    <row s="1656" customFormat="1" customHeight="1" ht="14.25">
      <c r="A322" s="673"/>
      <c r="B322" s="1240"/>
      <c r="C322" s="1240"/>
      <c r="D322" s="1240"/>
      <c r="E322" s="655">
        <v>15</v>
      </c>
      <c r="F322" s="50" cm="1" t="str">
        <f t="array" ref="F322:F322">OFFSET(E322,-1,1)</f>
        <v>3</v>
      </c>
      <c r="G322" s="1240"/>
      <c r="H322" s="491" t="s">
        <v>573</v>
      </c>
      <c r="I322" s="1240"/>
      <c r="J322" s="1240"/>
      <c r="K322" s="1240"/>
      <c r="L322" s="1240"/>
      <c r="M322" s="1240"/>
      <c r="N322" s="1240"/>
      <c r="O322" s="1240"/>
      <c r="P322" s="1240"/>
      <c r="Q322" s="1240"/>
      <c r="R322" s="1240"/>
      <c r="S322" s="1240"/>
      <c r="T322" s="468" cm="1" t="str">
        <f t="array" ref="T322:T322">T321</f>
        <v>true</v>
      </c>
      <c r="U322" s="1240"/>
      <c r="V322" s="1240"/>
      <c r="W322" s="1240"/>
      <c r="X322" s="1559"/>
      <c r="Y322" s="1240"/>
      <c r="Z322" s="1560"/>
      <c r="AA322" s="1240"/>
      <c r="AB322" s="721" t="s">
        <v>1073</v>
      </c>
      <c r="AC322" s="550" t="s">
        <v>2223</v>
      </c>
      <c r="AD322" s="551" t="s">
        <v>936</v>
      </c>
      <c r="AE322" s="560">
        <f>AE323+AE329+AE334+AE335+AE336+AE337+AE338</f>
        <v>0</v>
      </c>
      <c r="AF322" s="1308"/>
      <c r="AG322" s="1308"/>
      <c r="AH322" s="1071" t="s">
        <v>2052</v>
      </c>
      <c r="AI322" s="1309"/>
      <c r="AJ322" s="1309"/>
      <c r="AK322" s="1310"/>
      <c r="AL322" s="1310"/>
      <c r="AM322" s="1656"/>
      <c r="AN322" s="1656"/>
      <c r="AO322" s="1656"/>
      <c r="AP322" s="1656"/>
    </row>
    <row s="1656" customFormat="1" customHeight="1" ht="21.75">
      <c r="A323" s="673"/>
      <c r="B323" s="1240"/>
      <c r="C323" s="1240"/>
      <c r="D323" s="1240"/>
      <c r="E323" s="655">
        <v>22.5</v>
      </c>
      <c r="F323" s="50" cm="1" t="str">
        <f t="array" ref="F323:F323">OFFSET(E323,-1,1)</f>
        <v>3</v>
      </c>
      <c r="G323" s="1240"/>
      <c r="H323" s="491" t="s">
        <v>1563</v>
      </c>
      <c r="I323" s="1240"/>
      <c r="J323" s="1240"/>
      <c r="K323" s="1240"/>
      <c r="L323" s="1240"/>
      <c r="M323" s="1240"/>
      <c r="N323" s="1240"/>
      <c r="O323" s="1240"/>
      <c r="P323" s="1240"/>
      <c r="Q323" s="1240"/>
      <c r="R323" s="1240"/>
      <c r="S323" s="1240"/>
      <c r="T323" s="468" cm="1" t="str">
        <f t="array" ref="T323:T323">T322</f>
        <v>true</v>
      </c>
      <c r="U323" s="1240"/>
      <c r="V323" s="1240"/>
      <c r="W323" s="1240"/>
      <c r="X323" s="1559"/>
      <c r="Y323" s="1240"/>
      <c r="Z323" s="1560"/>
      <c r="AA323" s="1240"/>
      <c r="AB323" s="721" t="s">
        <v>1564</v>
      </c>
      <c r="AC323" s="552" t="s">
        <v>2053</v>
      </c>
      <c r="AD323" s="551" t="s">
        <v>936</v>
      </c>
      <c r="AE323" s="560">
        <f>SUM(AE324:AE328)</f>
        <v>0</v>
      </c>
      <c r="AF323" s="1308"/>
      <c r="AG323" s="1308"/>
      <c r="AH323" s="1070" t="s">
        <v>1393</v>
      </c>
      <c r="AI323" s="1309"/>
      <c r="AJ323" s="1309"/>
      <c r="AK323" s="1310"/>
      <c r="AL323" s="1310"/>
      <c r="AM323" s="1656"/>
      <c r="AN323" s="1656"/>
      <c r="AO323" s="1656"/>
      <c r="AP323" s="1656"/>
    </row>
    <row s="1656" customFormat="1" customHeight="1" ht="14.25">
      <c r="A324" s="673"/>
      <c r="B324" s="1240"/>
      <c r="C324" s="1240"/>
      <c r="D324" s="1240"/>
      <c r="E324" s="655">
        <v>15</v>
      </c>
      <c r="F324" s="50" cm="1" t="str">
        <f t="array" ref="F324:F324">OFFSET(E324,-1,1)</f>
        <v>3</v>
      </c>
      <c r="G324" s="1240"/>
      <c r="H324" s="491" t="s">
        <v>2833</v>
      </c>
      <c r="I324" s="1240"/>
      <c r="J324" s="1240"/>
      <c r="K324" s="1240"/>
      <c r="L324" s="1240"/>
      <c r="M324" s="1240"/>
      <c r="N324" s="1240"/>
      <c r="O324" s="1240"/>
      <c r="P324" s="1240"/>
      <c r="Q324" s="1240"/>
      <c r="R324" s="1240"/>
      <c r="S324" s="1240"/>
      <c r="T324" s="468" cm="1" t="str">
        <f t="array" ref="T324:T324">T323</f>
        <v>true</v>
      </c>
      <c r="U324" s="1240"/>
      <c r="V324" s="1240"/>
      <c r="W324" s="1240"/>
      <c r="X324" s="1559"/>
      <c r="Y324" s="1240"/>
      <c r="Z324" s="1560"/>
      <c r="AA324" s="1240"/>
      <c r="AB324" s="721" t="s">
        <v>2834</v>
      </c>
      <c r="AC324" s="553" t="s">
        <v>1395</v>
      </c>
      <c r="AD324" s="551" t="s">
        <v>936</v>
      </c>
      <c r="AE324" s="1356"/>
      <c r="AF324" s="1308"/>
      <c r="AG324" s="1308"/>
      <c r="AH324" s="1072" t="s">
        <v>1396</v>
      </c>
      <c r="AI324" s="1309"/>
      <c r="AJ324" s="1309"/>
      <c r="AK324" s="1310"/>
      <c r="AL324" s="1310"/>
      <c r="AM324" s="1656"/>
      <c r="AN324" s="1656"/>
      <c r="AO324" s="1656"/>
      <c r="AP324" s="1656"/>
    </row>
    <row s="1656" customFormat="1" customHeight="1" ht="14.25">
      <c r="A325" s="673"/>
      <c r="B325" s="1240"/>
      <c r="C325" s="1240"/>
      <c r="D325" s="1240"/>
      <c r="E325" s="655">
        <v>15</v>
      </c>
      <c r="F325" s="50" cm="1" t="str">
        <f t="array" ref="F325:F325">OFFSET(E325,-1,1)</f>
        <v>3</v>
      </c>
      <c r="G325" s="1240"/>
      <c r="H325" s="491" t="s">
        <v>2835</v>
      </c>
      <c r="I325" s="1240"/>
      <c r="J325" s="1240"/>
      <c r="K325" s="1240"/>
      <c r="L325" s="1240"/>
      <c r="M325" s="1240"/>
      <c r="N325" s="1240"/>
      <c r="O325" s="1240"/>
      <c r="P325" s="1240"/>
      <c r="Q325" s="1240"/>
      <c r="R325" s="1240"/>
      <c r="S325" s="1240"/>
      <c r="T325" s="468" cm="1" t="str">
        <f t="array" ref="T325:T325">T324</f>
        <v>true</v>
      </c>
      <c r="U325" s="1240"/>
      <c r="V325" s="1240"/>
      <c r="W325" s="1240"/>
      <c r="X325" s="1559"/>
      <c r="Y325" s="1240"/>
      <c r="Z325" s="1560"/>
      <c r="AA325" s="1240"/>
      <c r="AB325" s="721" t="s">
        <v>2836</v>
      </c>
      <c r="AC325" s="553" t="s">
        <v>1398</v>
      </c>
      <c r="AD325" s="551" t="s">
        <v>936</v>
      </c>
      <c r="AE325" s="1356"/>
      <c r="AF325" s="1308"/>
      <c r="AG325" s="1308"/>
      <c r="AH325" s="1072" t="s">
        <v>1399</v>
      </c>
      <c r="AI325" s="1309"/>
      <c r="AJ325" s="1309"/>
      <c r="AK325" s="1310"/>
      <c r="AL325" s="1310"/>
      <c r="AM325" s="1656"/>
      <c r="AN325" s="1656"/>
      <c r="AO325" s="1656"/>
      <c r="AP325" s="1656"/>
    </row>
    <row s="1656" customFormat="1" customHeight="1" ht="14.25">
      <c r="A326" s="673"/>
      <c r="B326" s="1240"/>
      <c r="C326" s="1240"/>
      <c r="D326" s="1240"/>
      <c r="E326" s="655">
        <v>15</v>
      </c>
      <c r="F326" s="50" cm="1" t="str">
        <f t="array" ref="F326:F326">OFFSET(E326,-1,1)</f>
        <v>3</v>
      </c>
      <c r="G326" s="1240"/>
      <c r="H326" s="491" t="s">
        <v>2837</v>
      </c>
      <c r="I326" s="1240"/>
      <c r="J326" s="1240"/>
      <c r="K326" s="1240"/>
      <c r="L326" s="1240"/>
      <c r="M326" s="1240"/>
      <c r="N326" s="1240"/>
      <c r="O326" s="1240"/>
      <c r="P326" s="1240"/>
      <c r="Q326" s="1240"/>
      <c r="R326" s="1240"/>
      <c r="S326" s="1240"/>
      <c r="T326" s="468" cm="1" t="str">
        <f t="array" ref="T326:T326">T325</f>
        <v>true</v>
      </c>
      <c r="U326" s="1240"/>
      <c r="V326" s="1240"/>
      <c r="W326" s="1240"/>
      <c r="X326" s="1559"/>
      <c r="Y326" s="1240"/>
      <c r="Z326" s="1560"/>
      <c r="AA326" s="1240"/>
      <c r="AB326" s="721" t="s">
        <v>2838</v>
      </c>
      <c r="AC326" s="553" t="s">
        <v>1401</v>
      </c>
      <c r="AD326" s="551" t="s">
        <v>936</v>
      </c>
      <c r="AE326" s="1356"/>
      <c r="AF326" s="1308"/>
      <c r="AG326" s="1308"/>
      <c r="AH326" s="1072" t="s">
        <v>1402</v>
      </c>
      <c r="AI326" s="1309"/>
      <c r="AJ326" s="1309"/>
      <c r="AK326" s="1310"/>
      <c r="AL326" s="1310"/>
      <c r="AM326" s="1656"/>
      <c r="AN326" s="1656"/>
      <c r="AO326" s="1656"/>
      <c r="AP326" s="1656"/>
    </row>
    <row s="1656" customFormat="1" customHeight="1" ht="14.25">
      <c r="A327" s="673"/>
      <c r="B327" s="1240"/>
      <c r="C327" s="1240"/>
      <c r="D327" s="1240"/>
      <c r="E327" s="655">
        <v>15</v>
      </c>
      <c r="F327" s="50" cm="1" t="str">
        <f t="array" ref="F327:F327">OFFSET(E327,-1,1)</f>
        <v>3</v>
      </c>
      <c r="G327" s="1240"/>
      <c r="H327" s="491" t="s">
        <v>2839</v>
      </c>
      <c r="I327" s="1240"/>
      <c r="J327" s="1240"/>
      <c r="K327" s="1240"/>
      <c r="L327" s="1240"/>
      <c r="M327" s="1240"/>
      <c r="N327" s="1240"/>
      <c r="O327" s="1240"/>
      <c r="P327" s="1240"/>
      <c r="Q327" s="1240"/>
      <c r="R327" s="1240"/>
      <c r="S327" s="1240"/>
      <c r="T327" s="468" cm="1" t="str">
        <f t="array" ref="T327:T327">T326</f>
        <v>true</v>
      </c>
      <c r="U327" s="1240"/>
      <c r="V327" s="1240"/>
      <c r="W327" s="1240"/>
      <c r="X327" s="1559"/>
      <c r="Y327" s="1240"/>
      <c r="Z327" s="1560"/>
      <c r="AA327" s="1240"/>
      <c r="AB327" s="721" t="s">
        <v>2840</v>
      </c>
      <c r="AC327" s="553" t="s">
        <v>1404</v>
      </c>
      <c r="AD327" s="551" t="s">
        <v>936</v>
      </c>
      <c r="AE327" s="1356"/>
      <c r="AF327" s="1308"/>
      <c r="AG327" s="1308"/>
      <c r="AH327" s="1072" t="s">
        <v>1405</v>
      </c>
      <c r="AI327" s="1309"/>
      <c r="AJ327" s="1309"/>
      <c r="AK327" s="1310"/>
      <c r="AL327" s="1310"/>
      <c r="AM327" s="1656"/>
      <c r="AN327" s="1656"/>
      <c r="AO327" s="1656"/>
      <c r="AP327" s="1656"/>
    </row>
    <row s="1656" customFormat="1" customHeight="1" ht="14.25">
      <c r="A328" s="673"/>
      <c r="B328" s="1240"/>
      <c r="C328" s="1240"/>
      <c r="D328" s="1240"/>
      <c r="E328" s="655">
        <v>15</v>
      </c>
      <c r="F328" s="50" cm="1" t="str">
        <f t="array" ref="F328:F328">OFFSET(E328,-1,1)</f>
        <v>3</v>
      </c>
      <c r="G328" s="1240"/>
      <c r="H328" s="491" t="s">
        <v>2841</v>
      </c>
      <c r="I328" s="1240"/>
      <c r="J328" s="1240"/>
      <c r="K328" s="1240"/>
      <c r="L328" s="1240"/>
      <c r="M328" s="1240"/>
      <c r="N328" s="1240"/>
      <c r="O328" s="1240"/>
      <c r="P328" s="1240"/>
      <c r="Q328" s="1240"/>
      <c r="R328" s="1240"/>
      <c r="S328" s="1240"/>
      <c r="T328" s="468" cm="1" t="str">
        <f t="array" ref="T328:T328">T327</f>
        <v>true</v>
      </c>
      <c r="U328" s="1240"/>
      <c r="V328" s="1240"/>
      <c r="W328" s="1240"/>
      <c r="X328" s="1559"/>
      <c r="Y328" s="1240"/>
      <c r="Z328" s="1560"/>
      <c r="AA328" s="1240"/>
      <c r="AB328" s="721" t="s">
        <v>2842</v>
      </c>
      <c r="AC328" s="553" t="s">
        <v>1412</v>
      </c>
      <c r="AD328" s="551" t="s">
        <v>936</v>
      </c>
      <c r="AE328" s="1356"/>
      <c r="AF328" s="1308"/>
      <c r="AG328" s="1308"/>
      <c r="AH328" s="1072" t="s">
        <v>1413</v>
      </c>
      <c r="AI328" s="1309"/>
      <c r="AJ328" s="1309"/>
      <c r="AK328" s="1310"/>
      <c r="AL328" s="1310"/>
      <c r="AM328" s="1656"/>
      <c r="AN328" s="1656"/>
      <c r="AO328" s="1656"/>
      <c r="AP328" s="1656"/>
    </row>
    <row s="1656" customFormat="1" customHeight="1" ht="32.25">
      <c r="A329" s="673"/>
      <c r="B329" s="1240"/>
      <c r="C329" s="1240"/>
      <c r="D329" s="1240"/>
      <c r="E329" s="655">
        <v>33.75</v>
      </c>
      <c r="F329" s="50" cm="1" t="str">
        <f t="array" ref="F329:F329">OFFSET(E329,-1,1)</f>
        <v>3</v>
      </c>
      <c r="G329" s="1240"/>
      <c r="H329" s="491" t="s">
        <v>1567</v>
      </c>
      <c r="I329" s="1240"/>
      <c r="J329" s="1240"/>
      <c r="K329" s="1240"/>
      <c r="L329" s="1240"/>
      <c r="M329" s="1240"/>
      <c r="N329" s="1240"/>
      <c r="O329" s="1240"/>
      <c r="P329" s="1240"/>
      <c r="Q329" s="1240"/>
      <c r="R329" s="1240"/>
      <c r="S329" s="1240"/>
      <c r="T329" s="468" cm="1" t="str">
        <f t="array" ref="T329:T329">T328</f>
        <v>true</v>
      </c>
      <c r="U329" s="1240"/>
      <c r="V329" s="1240"/>
      <c r="W329" s="1240"/>
      <c r="X329" s="1559"/>
      <c r="Y329" s="1240"/>
      <c r="Z329" s="1560"/>
      <c r="AA329" s="1240"/>
      <c r="AB329" s="721" t="s">
        <v>1568</v>
      </c>
      <c r="AC329" s="552" t="s">
        <v>2843</v>
      </c>
      <c r="AD329" s="551" t="s">
        <v>936</v>
      </c>
      <c r="AE329" s="560">
        <f>AE330+AE333</f>
        <v>0</v>
      </c>
      <c r="AF329" s="1308"/>
      <c r="AG329" s="1308"/>
      <c r="AH329" s="1070" t="s">
        <v>2055</v>
      </c>
      <c r="AI329" s="1309"/>
      <c r="AJ329" s="1309"/>
      <c r="AK329" s="1310"/>
      <c r="AL329" s="1310"/>
      <c r="AM329" s="1656"/>
      <c r="AN329" s="1656"/>
      <c r="AO329" s="1656"/>
      <c r="AP329" s="1656"/>
    </row>
    <row s="1656" customFormat="1" customHeight="1" ht="21.75">
      <c r="A330" s="673"/>
      <c r="B330" s="1240"/>
      <c r="C330" s="1240"/>
      <c r="D330" s="1240"/>
      <c r="E330" s="655">
        <v>22.5</v>
      </c>
      <c r="F330" s="50" cm="1" t="str">
        <f t="array" ref="F330:F330">OFFSET(E330,-1,1)</f>
        <v>3</v>
      </c>
      <c r="G330" s="1240"/>
      <c r="H330" s="491" t="s">
        <v>2844</v>
      </c>
      <c r="I330" s="1240"/>
      <c r="J330" s="1240"/>
      <c r="K330" s="1240"/>
      <c r="L330" s="1240"/>
      <c r="M330" s="1240"/>
      <c r="N330" s="1240"/>
      <c r="O330" s="1240"/>
      <c r="P330" s="1240"/>
      <c r="Q330" s="1240"/>
      <c r="R330" s="1240"/>
      <c r="S330" s="1240"/>
      <c r="T330" s="468" cm="1" t="str">
        <f t="array" ref="T330:T330">T329</f>
        <v>true</v>
      </c>
      <c r="U330" s="1240"/>
      <c r="V330" s="1240"/>
      <c r="W330" s="1240"/>
      <c r="X330" s="1559"/>
      <c r="Y330" s="1240"/>
      <c r="Z330" s="1560"/>
      <c r="AA330" s="1240"/>
      <c r="AB330" s="721" t="s">
        <v>2845</v>
      </c>
      <c r="AC330" s="553" t="s">
        <v>2056</v>
      </c>
      <c r="AD330" s="551" t="s">
        <v>936</v>
      </c>
      <c r="AE330" s="1356"/>
      <c r="AF330" s="1308"/>
      <c r="AG330" s="1308"/>
      <c r="AH330" s="1070" t="s">
        <v>1390</v>
      </c>
      <c r="AI330" s="1309"/>
      <c r="AJ330" s="1309"/>
      <c r="AK330" s="1310"/>
      <c r="AL330" s="1310"/>
      <c r="AM330" s="1656"/>
      <c r="AN330" s="1656"/>
      <c r="AO330" s="1656"/>
      <c r="AP330" s="1656"/>
    </row>
    <row s="1656" customFormat="1" customHeight="1" ht="14.25">
      <c r="A331" s="673"/>
      <c r="B331" s="1240"/>
      <c r="C331" s="1240"/>
      <c r="D331" s="1240"/>
      <c r="E331" s="655">
        <v>15</v>
      </c>
      <c r="F331" s="50" cm="1" t="str">
        <f t="array" ref="F331:F331">OFFSET(E331,-1,1)</f>
        <v>3</v>
      </c>
      <c r="G331" s="1240"/>
      <c r="H331" s="491" t="s">
        <v>2846</v>
      </c>
      <c r="I331" s="1240"/>
      <c r="J331" s="1240"/>
      <c r="K331" s="1240"/>
      <c r="L331" s="1240"/>
      <c r="M331" s="1240"/>
      <c r="N331" s="1240"/>
      <c r="O331" s="1240"/>
      <c r="P331" s="1240"/>
      <c r="Q331" s="1240"/>
      <c r="R331" s="1240"/>
      <c r="S331" s="1240"/>
      <c r="T331" s="468" cm="1" t="str">
        <f t="array" ref="T331:T331">T330</f>
        <v>true</v>
      </c>
      <c r="U331" s="1240"/>
      <c r="V331" s="1240"/>
      <c r="W331" s="1240"/>
      <c r="X331" s="1559"/>
      <c r="Y331" s="1240"/>
      <c r="Z331" s="1560"/>
      <c r="AA331" s="1240"/>
      <c r="AB331" s="721" t="s">
        <v>2847</v>
      </c>
      <c r="AC331" s="554" t="s">
        <v>2848</v>
      </c>
      <c r="AD331" s="551" t="s">
        <v>2790</v>
      </c>
      <c r="AE331" s="1356"/>
      <c r="AF331" s="1308"/>
      <c r="AG331" s="1308"/>
      <c r="AH331" s="1009" t="s">
        <v>2849</v>
      </c>
      <c r="AI331" s="1309"/>
      <c r="AJ331" s="1309"/>
      <c r="AK331" s="1310"/>
      <c r="AL331" s="1310"/>
      <c r="AM331" s="1656"/>
      <c r="AN331" s="1656"/>
      <c r="AO331" s="1656"/>
      <c r="AP331" s="1656"/>
    </row>
    <row s="1656" customFormat="1" customHeight="1" ht="21.75">
      <c r="A332" s="673"/>
      <c r="B332" s="1240"/>
      <c r="C332" s="1240"/>
      <c r="D332" s="1240"/>
      <c r="E332" s="655">
        <v>22.5</v>
      </c>
      <c r="F332" s="50" cm="1" t="str">
        <f t="array" ref="F332:F332">OFFSET(E332,-1,1)</f>
        <v>3</v>
      </c>
      <c r="G332" s="1240"/>
      <c r="H332" s="491" t="s">
        <v>2850</v>
      </c>
      <c r="I332" s="1240"/>
      <c r="J332" s="1240"/>
      <c r="K332" s="1240"/>
      <c r="L332" s="1240"/>
      <c r="M332" s="1240"/>
      <c r="N332" s="1240"/>
      <c r="O332" s="1240"/>
      <c r="P332" s="1240"/>
      <c r="Q332" s="1240"/>
      <c r="R332" s="1240"/>
      <c r="S332" s="1240"/>
      <c r="T332" s="468" cm="1" t="str">
        <f t="array" ref="T332:T332">T331</f>
        <v>true</v>
      </c>
      <c r="U332" s="1240"/>
      <c r="V332" s="1240"/>
      <c r="W332" s="1240"/>
      <c r="X332" s="1559"/>
      <c r="Y332" s="1240"/>
      <c r="Z332" s="1560"/>
      <c r="AA332" s="1240"/>
      <c r="AB332" s="721" t="s">
        <v>2851</v>
      </c>
      <c r="AC332" s="554" t="s">
        <v>2852</v>
      </c>
      <c r="AD332" s="551" t="s">
        <v>2795</v>
      </c>
      <c r="AE332" s="1356"/>
      <c r="AF332" s="1308"/>
      <c r="AG332" s="1308"/>
      <c r="AH332" s="1009" t="s">
        <v>2853</v>
      </c>
      <c r="AI332" s="1309"/>
      <c r="AJ332" s="1309"/>
      <c r="AK332" s="1310"/>
      <c r="AL332" s="1310"/>
      <c r="AM332" s="1656"/>
      <c r="AN332" s="1656"/>
      <c r="AO332" s="1656"/>
      <c r="AP332" s="1656"/>
    </row>
    <row s="1656" customFormat="1" customHeight="1" ht="21.75">
      <c r="A333" s="673"/>
      <c r="B333" s="1240"/>
      <c r="C333" s="1240"/>
      <c r="D333" s="1240"/>
      <c r="E333" s="655">
        <v>22.5</v>
      </c>
      <c r="F333" s="50" cm="1" t="str">
        <f t="array" ref="F333:F333">OFFSET(E333,-1,1)</f>
        <v>3</v>
      </c>
      <c r="G333" s="1240"/>
      <c r="H333" s="491" t="s">
        <v>2854</v>
      </c>
      <c r="I333" s="1240"/>
      <c r="J333" s="1240"/>
      <c r="K333" s="1240"/>
      <c r="L333" s="1240"/>
      <c r="M333" s="1240"/>
      <c r="N333" s="1240"/>
      <c r="O333" s="1240"/>
      <c r="P333" s="1240"/>
      <c r="Q333" s="1240"/>
      <c r="R333" s="1240"/>
      <c r="S333" s="1240"/>
      <c r="T333" s="468" cm="1" t="str">
        <f t="array" ref="T333:T333">T332</f>
        <v>true</v>
      </c>
      <c r="U333" s="1240"/>
      <c r="V333" s="1240"/>
      <c r="W333" s="1240"/>
      <c r="X333" s="1559"/>
      <c r="Y333" s="1240"/>
      <c r="Z333" s="1560"/>
      <c r="AA333" s="1240"/>
      <c r="AB333" s="721" t="s">
        <v>2855</v>
      </c>
      <c r="AC333" s="553" t="s">
        <v>2246</v>
      </c>
      <c r="AD333" s="551" t="s">
        <v>936</v>
      </c>
      <c r="AE333" s="1356"/>
      <c r="AF333" s="1308"/>
      <c r="AG333" s="1308"/>
      <c r="AH333" s="1070" t="s">
        <v>2058</v>
      </c>
      <c r="AI333" s="1309"/>
      <c r="AJ333" s="1309"/>
      <c r="AK333" s="1310"/>
      <c r="AL333" s="1310"/>
      <c r="AM333" s="1656"/>
      <c r="AN333" s="1656"/>
      <c r="AO333" s="1656"/>
      <c r="AP333" s="1656"/>
    </row>
    <row s="1656" customFormat="1" customHeight="1" ht="21.75">
      <c r="A334" s="673"/>
      <c r="B334" s="1240"/>
      <c r="C334" s="1240"/>
      <c r="D334" s="1240"/>
      <c r="E334" s="655">
        <v>22.5</v>
      </c>
      <c r="F334" s="50" cm="1" t="str">
        <f t="array" ref="F334:F334">OFFSET(E334,-1,1)</f>
        <v>3</v>
      </c>
      <c r="G334" s="1240"/>
      <c r="H334" s="491" t="s">
        <v>1571</v>
      </c>
      <c r="I334" s="1240"/>
      <c r="J334" s="1240"/>
      <c r="K334" s="1240"/>
      <c r="L334" s="1240"/>
      <c r="M334" s="1240"/>
      <c r="N334" s="1240"/>
      <c r="O334" s="1240"/>
      <c r="P334" s="1240"/>
      <c r="Q334" s="1240"/>
      <c r="R334" s="1240"/>
      <c r="S334" s="1240"/>
      <c r="T334" s="468" cm="1" t="str">
        <f t="array" ref="T334:T334">T333</f>
        <v>true</v>
      </c>
      <c r="U334" s="1240"/>
      <c r="V334" s="1240"/>
      <c r="W334" s="1240"/>
      <c r="X334" s="1559"/>
      <c r="Y334" s="1240"/>
      <c r="Z334" s="1560"/>
      <c r="AA334" s="1240"/>
      <c r="AB334" s="721" t="s">
        <v>1572</v>
      </c>
      <c r="AC334" s="552" t="s">
        <v>2856</v>
      </c>
      <c r="AD334" s="551" t="s">
        <v>936</v>
      </c>
      <c r="AE334" s="1356"/>
      <c r="AF334" s="1308"/>
      <c r="AG334" s="1308"/>
      <c r="AH334" s="1070" t="s">
        <v>1421</v>
      </c>
      <c r="AI334" s="1309"/>
      <c r="AJ334" s="1309"/>
      <c r="AK334" s="1310"/>
      <c r="AL334" s="1310"/>
      <c r="AM334" s="1656"/>
      <c r="AN334" s="1656"/>
      <c r="AO334" s="1656"/>
      <c r="AP334" s="1656"/>
    </row>
    <row s="1656" customFormat="1" customHeight="1" ht="14.25">
      <c r="A335" s="673"/>
      <c r="B335" s="1240"/>
      <c r="C335" s="1240"/>
      <c r="D335" s="1240"/>
      <c r="E335" s="655">
        <v>15</v>
      </c>
      <c r="F335" s="50" cm="1" t="str">
        <f t="array" ref="F335:F335">OFFSET(E335,-1,1)</f>
        <v>3</v>
      </c>
      <c r="G335" s="1240"/>
      <c r="H335" s="491" t="s">
        <v>2857</v>
      </c>
      <c r="I335" s="1240"/>
      <c r="J335" s="1240"/>
      <c r="K335" s="1240"/>
      <c r="L335" s="1240"/>
      <c r="M335" s="1240"/>
      <c r="N335" s="1240"/>
      <c r="O335" s="1240"/>
      <c r="P335" s="1240"/>
      <c r="Q335" s="1240"/>
      <c r="R335" s="1240"/>
      <c r="S335" s="1240"/>
      <c r="T335" s="468" cm="1" t="str">
        <f t="array" ref="T335:T335">T334</f>
        <v>true</v>
      </c>
      <c r="U335" s="1240"/>
      <c r="V335" s="1240"/>
      <c r="W335" s="1240"/>
      <c r="X335" s="1559"/>
      <c r="Y335" s="1240"/>
      <c r="Z335" s="1560"/>
      <c r="AA335" s="1240"/>
      <c r="AB335" s="721" t="s">
        <v>2858</v>
      </c>
      <c r="AC335" s="552" t="s">
        <v>1423</v>
      </c>
      <c r="AD335" s="551" t="s">
        <v>936</v>
      </c>
      <c r="AE335" s="1356"/>
      <c r="AF335" s="1308"/>
      <c r="AG335" s="1308"/>
      <c r="AH335" s="1070" t="s">
        <v>1424</v>
      </c>
      <c r="AI335" s="1309"/>
      <c r="AJ335" s="1309"/>
      <c r="AK335" s="1310"/>
      <c r="AL335" s="1310"/>
      <c r="AM335" s="1656"/>
      <c r="AN335" s="1656"/>
      <c r="AO335" s="1656"/>
      <c r="AP335" s="1656"/>
    </row>
    <row s="1656" customFormat="1" customHeight="1" ht="14.25">
      <c r="A336" s="673"/>
      <c r="B336" s="1240"/>
      <c r="C336" s="1240"/>
      <c r="D336" s="1240"/>
      <c r="E336" s="655">
        <v>15</v>
      </c>
      <c r="F336" s="50" cm="1" t="str">
        <f t="array" ref="F336:F336">OFFSET(E336,-1,1)</f>
        <v>3</v>
      </c>
      <c r="G336" s="1240"/>
      <c r="H336" s="491" t="s">
        <v>2859</v>
      </c>
      <c r="I336" s="1240"/>
      <c r="J336" s="1240"/>
      <c r="K336" s="1240"/>
      <c r="L336" s="1240"/>
      <c r="M336" s="1240"/>
      <c r="N336" s="1240"/>
      <c r="O336" s="1240"/>
      <c r="P336" s="1240"/>
      <c r="Q336" s="1240"/>
      <c r="R336" s="1240"/>
      <c r="S336" s="1240"/>
      <c r="T336" s="468" cm="1" t="str">
        <f t="array" ref="T336:T336">T335</f>
        <v>true</v>
      </c>
      <c r="U336" s="1240"/>
      <c r="V336" s="1240"/>
      <c r="W336" s="1240"/>
      <c r="X336" s="1559"/>
      <c r="Y336" s="1240"/>
      <c r="Z336" s="1560"/>
      <c r="AA336" s="1240"/>
      <c r="AB336" s="721" t="s">
        <v>2860</v>
      </c>
      <c r="AC336" s="552" t="s">
        <v>1426</v>
      </c>
      <c r="AD336" s="551" t="s">
        <v>936</v>
      </c>
      <c r="AE336" s="1356"/>
      <c r="AF336" s="1308"/>
      <c r="AG336" s="1308"/>
      <c r="AH336" s="1070" t="s">
        <v>1427</v>
      </c>
      <c r="AI336" s="1309"/>
      <c r="AJ336" s="1309"/>
      <c r="AK336" s="1310"/>
      <c r="AL336" s="1310"/>
      <c r="AM336" s="1656"/>
      <c r="AN336" s="1656"/>
      <c r="AO336" s="1656"/>
      <c r="AP336" s="1656"/>
    </row>
    <row s="1656" customFormat="1" customHeight="1" ht="21.75">
      <c r="A337" s="673"/>
      <c r="B337" s="1240"/>
      <c r="C337" s="1240"/>
      <c r="D337" s="1240"/>
      <c r="E337" s="655">
        <v>22.5</v>
      </c>
      <c r="F337" s="50" cm="1" t="str">
        <f t="array" ref="F337:F337">OFFSET(E337,-1,1)</f>
        <v>3</v>
      </c>
      <c r="G337" s="1240"/>
      <c r="H337" s="491" t="s">
        <v>2861</v>
      </c>
      <c r="I337" s="1240"/>
      <c r="J337" s="1240"/>
      <c r="K337" s="1240"/>
      <c r="L337" s="1240"/>
      <c r="M337" s="1240"/>
      <c r="N337" s="1240"/>
      <c r="O337" s="1240"/>
      <c r="P337" s="1240"/>
      <c r="Q337" s="1240"/>
      <c r="R337" s="1240"/>
      <c r="S337" s="1240"/>
      <c r="T337" s="468" cm="1" t="str">
        <f t="array" ref="T337:T337">T336</f>
        <v>true</v>
      </c>
      <c r="U337" s="1240"/>
      <c r="V337" s="1240"/>
      <c r="W337" s="1240"/>
      <c r="X337" s="1559"/>
      <c r="Y337" s="1240"/>
      <c r="Z337" s="1560"/>
      <c r="AA337" s="1240"/>
      <c r="AB337" s="721" t="s">
        <v>2862</v>
      </c>
      <c r="AC337" s="552" t="s">
        <v>2863</v>
      </c>
      <c r="AD337" s="551" t="s">
        <v>936</v>
      </c>
      <c r="AE337" s="1356"/>
      <c r="AF337" s="1308"/>
      <c r="AG337" s="1308"/>
      <c r="AH337" s="1070" t="s">
        <v>2060</v>
      </c>
      <c r="AI337" s="1309"/>
      <c r="AJ337" s="1309"/>
      <c r="AK337" s="1310"/>
      <c r="AL337" s="1310"/>
      <c r="AM337" s="1656"/>
      <c r="AN337" s="1656"/>
      <c r="AO337" s="1656"/>
      <c r="AP337" s="1656"/>
    </row>
    <row s="1656" customFormat="1" customHeight="1" ht="14.25">
      <c r="A338" s="673"/>
      <c r="B338" s="1240"/>
      <c r="C338" s="1240"/>
      <c r="D338" s="1240"/>
      <c r="E338" s="655">
        <v>15</v>
      </c>
      <c r="F338" s="50" cm="1" t="str">
        <f t="array" ref="F338:F338">OFFSET(E338,-1,1)</f>
        <v>3</v>
      </c>
      <c r="G338" s="1240"/>
      <c r="H338" s="491" t="s">
        <v>2864</v>
      </c>
      <c r="I338" s="1240"/>
      <c r="J338" s="1240"/>
      <c r="K338" s="1240"/>
      <c r="L338" s="1240"/>
      <c r="M338" s="1240"/>
      <c r="N338" s="1240"/>
      <c r="O338" s="1240"/>
      <c r="P338" s="1240"/>
      <c r="Q338" s="1240"/>
      <c r="R338" s="1240"/>
      <c r="S338" s="1240"/>
      <c r="T338" s="468" cm="1" t="str">
        <f t="array" ref="T338:T338">T337</f>
        <v>true</v>
      </c>
      <c r="U338" s="1240"/>
      <c r="V338" s="1240"/>
      <c r="W338" s="1240"/>
      <c r="X338" s="1559"/>
      <c r="Y338" s="1240"/>
      <c r="Z338" s="1560"/>
      <c r="AA338" s="1240"/>
      <c r="AB338" s="721" t="s">
        <v>2865</v>
      </c>
      <c r="AC338" s="552" t="s">
        <v>2866</v>
      </c>
      <c r="AD338" s="551" t="s">
        <v>936</v>
      </c>
      <c r="AE338" s="560">
        <f>AE339+AE340+AE341</f>
        <v>0</v>
      </c>
      <c r="AF338" s="1308"/>
      <c r="AG338" s="1308"/>
      <c r="AH338" s="1070" t="s">
        <v>2062</v>
      </c>
      <c r="AI338" s="1309"/>
      <c r="AJ338" s="1309"/>
      <c r="AK338" s="1310"/>
      <c r="AL338" s="1310"/>
      <c r="AM338" s="1656"/>
      <c r="AN338" s="1656"/>
      <c r="AO338" s="1656"/>
      <c r="AP338" s="1656"/>
    </row>
    <row s="1656" customFormat="1" customHeight="1" ht="14.25">
      <c r="A339" s="673"/>
      <c r="B339" s="1240"/>
      <c r="C339" s="1240"/>
      <c r="D339" s="1240"/>
      <c r="E339" s="655">
        <v>15</v>
      </c>
      <c r="F339" s="50" cm="1" t="str">
        <f t="array" ref="F339:F339">OFFSET(E339,-1,1)</f>
        <v>3</v>
      </c>
      <c r="G339" s="1240"/>
      <c r="H339" s="491" t="s">
        <v>2867</v>
      </c>
      <c r="I339" s="1240"/>
      <c r="J339" s="1240"/>
      <c r="K339" s="1240"/>
      <c r="L339" s="1240"/>
      <c r="M339" s="1240"/>
      <c r="N339" s="1240"/>
      <c r="O339" s="1240"/>
      <c r="P339" s="1240"/>
      <c r="Q339" s="1240"/>
      <c r="R339" s="1240"/>
      <c r="S339" s="1240"/>
      <c r="T339" s="468" cm="1" t="str">
        <f t="array" ref="T339:T339">T338</f>
        <v>true</v>
      </c>
      <c r="U339" s="1240"/>
      <c r="V339" s="1240"/>
      <c r="W339" s="1240"/>
      <c r="X339" s="1559"/>
      <c r="Y339" s="1240"/>
      <c r="Z339" s="1560"/>
      <c r="AA339" s="1240"/>
      <c r="AB339" s="721" t="s">
        <v>2868</v>
      </c>
      <c r="AC339" s="553" t="s">
        <v>2869</v>
      </c>
      <c r="AD339" s="551" t="s">
        <v>936</v>
      </c>
      <c r="AE339" s="1356"/>
      <c r="AF339" s="1308"/>
      <c r="AG339" s="1308"/>
      <c r="AH339" s="1070" t="s">
        <v>2066</v>
      </c>
      <c r="AI339" s="1309"/>
      <c r="AJ339" s="1309"/>
      <c r="AK339" s="1310"/>
      <c r="AL339" s="1310"/>
      <c r="AM339" s="1656"/>
      <c r="AN339" s="1656"/>
      <c r="AO339" s="1656"/>
      <c r="AP339" s="1656"/>
    </row>
    <row s="1656" customFormat="1" customHeight="1" ht="14.25">
      <c r="A340" s="673"/>
      <c r="B340" s="1240"/>
      <c r="C340" s="1240"/>
      <c r="D340" s="1240"/>
      <c r="E340" s="655">
        <v>15</v>
      </c>
      <c r="F340" s="50" cm="1" t="str">
        <f t="array" ref="F340:F340">OFFSET(E340,-1,1)</f>
        <v>3</v>
      </c>
      <c r="G340" s="1240"/>
      <c r="H340" s="491" t="s">
        <v>2870</v>
      </c>
      <c r="I340" s="1240"/>
      <c r="J340" s="1240"/>
      <c r="K340" s="1240"/>
      <c r="L340" s="1240"/>
      <c r="M340" s="1240"/>
      <c r="N340" s="1240"/>
      <c r="O340" s="1240"/>
      <c r="P340" s="1240"/>
      <c r="Q340" s="1240"/>
      <c r="R340" s="1240"/>
      <c r="S340" s="1240"/>
      <c r="T340" s="468" cm="1" t="str">
        <f t="array" ref="T340:T340">T339</f>
        <v>true</v>
      </c>
      <c r="U340" s="1240"/>
      <c r="V340" s="1240"/>
      <c r="W340" s="1240"/>
      <c r="X340" s="1559"/>
      <c r="Y340" s="1240"/>
      <c r="Z340" s="1560"/>
      <c r="AA340" s="1240"/>
      <c r="AB340" s="722" t="s">
        <v>2871</v>
      </c>
      <c r="AC340" s="555" t="s">
        <v>2872</v>
      </c>
      <c r="AD340" s="556" t="s">
        <v>936</v>
      </c>
      <c r="AE340" s="1356"/>
      <c r="AF340" s="1308"/>
      <c r="AG340" s="1308"/>
      <c r="AH340" s="1070" t="s">
        <v>2069</v>
      </c>
      <c r="AI340" s="1309"/>
      <c r="AJ340" s="1309"/>
      <c r="AK340" s="1310"/>
      <c r="AL340" s="1310"/>
      <c r="AM340" s="1656"/>
      <c r="AN340" s="1656"/>
      <c r="AO340" s="1656"/>
      <c r="AP340" s="1656"/>
    </row>
    <row s="1656" customFormat="1" customHeight="1" ht="14.25">
      <c r="A341" s="673"/>
      <c r="B341" s="1240"/>
      <c r="C341" s="1240"/>
      <c r="D341" s="1240"/>
      <c r="E341" s="655">
        <v>15</v>
      </c>
      <c r="F341" s="50" cm="1" t="str">
        <f t="array" ref="F341:F341">OFFSET(E341,-1,1)</f>
        <v>3</v>
      </c>
      <c r="G341" s="1240"/>
      <c r="H341" s="491" t="s">
        <v>2873</v>
      </c>
      <c r="I341" s="1240"/>
      <c r="J341" s="1240"/>
      <c r="K341" s="1240"/>
      <c r="L341" s="1240"/>
      <c r="M341" s="1240"/>
      <c r="N341" s="1240"/>
      <c r="O341" s="1240"/>
      <c r="P341" s="1240"/>
      <c r="Q341" s="1240"/>
      <c r="R341" s="1240"/>
      <c r="S341" s="1240"/>
      <c r="T341" s="468" cm="1" t="str">
        <f t="array" ref="T341:T341">T340</f>
        <v>true</v>
      </c>
      <c r="U341" s="1240"/>
      <c r="V341" s="1240"/>
      <c r="W341" s="1240"/>
      <c r="X341" s="1559"/>
      <c r="Y341" s="1240"/>
      <c r="Z341" s="1560"/>
      <c r="AA341" s="1240"/>
      <c r="AB341" s="722" t="s">
        <v>2874</v>
      </c>
      <c r="AC341" s="555" t="s">
        <v>1440</v>
      </c>
      <c r="AD341" s="556" t="s">
        <v>936</v>
      </c>
      <c r="AE341" s="1356"/>
      <c r="AF341" s="1308"/>
      <c r="AG341" s="1308"/>
      <c r="AH341" s="1070" t="s">
        <v>2072</v>
      </c>
      <c r="AI341" s="1309"/>
      <c r="AJ341" s="1309"/>
      <c r="AK341" s="1310"/>
      <c r="AL341" s="1310"/>
      <c r="AM341" s="1656"/>
      <c r="AN341" s="1656"/>
      <c r="AO341" s="1656"/>
      <c r="AP341" s="1656"/>
    </row>
    <row s="1656" customFormat="1" customHeight="1" ht="14.25">
      <c r="A342" s="673"/>
      <c r="B342" s="1240"/>
      <c r="C342" s="1240"/>
      <c r="D342" s="1240"/>
      <c r="E342" s="655">
        <v>15</v>
      </c>
      <c r="F342" s="50" cm="1" t="str">
        <f t="array" ref="F342:F342">OFFSET(E342,-1,1)</f>
        <v>3</v>
      </c>
      <c r="G342" s="1240"/>
      <c r="H342" s="491" t="s">
        <v>577</v>
      </c>
      <c r="I342" s="1240"/>
      <c r="J342" s="1240"/>
      <c r="K342" s="1240"/>
      <c r="L342" s="1240"/>
      <c r="M342" s="1240"/>
      <c r="N342" s="1240"/>
      <c r="O342" s="1240"/>
      <c r="P342" s="1240"/>
      <c r="Q342" s="1240"/>
      <c r="R342" s="1240"/>
      <c r="S342" s="1240"/>
      <c r="T342" s="468" cm="1" t="str">
        <f t="array" ref="T342:T342">T341</f>
        <v>true</v>
      </c>
      <c r="U342" s="1240"/>
      <c r="V342" s="1240"/>
      <c r="W342" s="1240"/>
      <c r="X342" s="1559"/>
      <c r="Y342" s="1240"/>
      <c r="Z342" s="1560"/>
      <c r="AA342" s="1240"/>
      <c r="AB342" s="722" t="s">
        <v>1076</v>
      </c>
      <c r="AC342" s="557" t="s">
        <v>2875</v>
      </c>
      <c r="AD342" s="556" t="s">
        <v>936</v>
      </c>
      <c r="AE342" s="560">
        <f>SUM(AE343:AE344)</f>
        <v>0</v>
      </c>
      <c r="AF342" s="1308"/>
      <c r="AG342" s="1308"/>
      <c r="AH342" s="1072" t="s">
        <v>2876</v>
      </c>
      <c r="AI342" s="1309"/>
      <c r="AJ342" s="1309"/>
      <c r="AK342" s="1310"/>
      <c r="AL342" s="1310"/>
      <c r="AM342" s="1656"/>
      <c r="AN342" s="1656"/>
      <c r="AO342" s="1656"/>
      <c r="AP342" s="1656"/>
    </row>
    <row s="1656" customFormat="1" customHeight="1" ht="14.25" hidden="1">
      <c r="A343" s="673"/>
      <c r="B343" s="1240"/>
      <c r="C343" s="1240"/>
      <c r="D343" s="1240"/>
      <c r="E343" s="655">
        <v>15</v>
      </c>
      <c r="F343" s="50" cm="1" t="str">
        <f t="array" ref="F343:F343">OFFSET(E343,-1,1)</f>
        <v>3</v>
      </c>
      <c r="G343" s="1240"/>
      <c r="H343" s="491" t="s">
        <v>577</v>
      </c>
      <c r="I343" s="566" cm="1" t="str">
        <f t="array" ref="I343:I343">AC343</f>
        <v>0</v>
      </c>
      <c r="J343" s="1240"/>
      <c r="K343" s="1240"/>
      <c r="L343" s="1240"/>
      <c r="M343" s="1240"/>
      <c r="N343" s="1240"/>
      <c r="O343" s="1240"/>
      <c r="P343" s="1240"/>
      <c r="Q343" s="1240"/>
      <c r="R343" s="1240"/>
      <c r="S343" s="1240"/>
      <c r="T343" s="468">
        <f>AND(F343&gt;0,Y343&gt;0)</f>
        <v>0</v>
      </c>
      <c r="U343" s="1240"/>
      <c r="V343" s="1240"/>
      <c r="W343" s="558" t="s">
        <v>173</v>
      </c>
      <c r="X343" s="1559"/>
      <c r="Y343" s="491">
        <v>0</v>
      </c>
      <c r="Z343" s="1560"/>
      <c r="AA343" s="1295" t="s">
        <v>174</v>
      </c>
      <c r="AB343" s="721" t="str">
        <f>"1.4."&amp;Y343</f>
        <v>1.4.0</v>
      </c>
      <c r="AC343" s="7393"/>
      <c r="AD343" s="551" t="s">
        <v>936</v>
      </c>
      <c r="AE343" s="7394"/>
      <c r="AF343" s="1308"/>
      <c r="AG343" s="1308"/>
      <c r="AH343" s="1072" t="s">
        <v>2876</v>
      </c>
      <c r="AI343" s="1009" t="s">
        <v>2877</v>
      </c>
      <c r="AJ343" s="1009" cm="1" t="str">
        <f t="array" ref="AJ343:AJ343">AC343</f>
        <v>0</v>
      </c>
      <c r="AK343" s="1310"/>
      <c r="AL343" s="662" t="b">
        <v>1</v>
      </c>
      <c r="AM343" s="1656"/>
      <c r="AN343" s="1656"/>
      <c r="AO343" s="1656"/>
      <c r="AP343" s="1656"/>
    </row>
    <row s="1656" customFormat="1" customHeight="1" ht="14.25">
      <c r="A344" s="673"/>
      <c r="B344" s="1240"/>
      <c r="C344" s="1240"/>
      <c r="D344" s="1240"/>
      <c r="E344" s="655">
        <v>15</v>
      </c>
      <c r="F344" s="50" cm="1" t="str">
        <f t="array" ref="F344:F344">OFFSET(E344,-1,1)</f>
        <v>3</v>
      </c>
      <c r="G344" s="1240"/>
      <c r="H344" s="1240"/>
      <c r="I344" s="1297" t="str">
        <f>"!== 'не определено' &amp;&amp; row.l1_4 !== null"</f>
        <v>!== 'не определено' &amp;&amp; row.l1_4 !== null</v>
      </c>
      <c r="J344" s="1240"/>
      <c r="K344" s="1240"/>
      <c r="L344" s="1240"/>
      <c r="M344" s="1240"/>
      <c r="N344" s="1240"/>
      <c r="O344" s="1240"/>
      <c r="P344" s="1240"/>
      <c r="Q344" s="1240"/>
      <c r="R344" s="1240"/>
      <c r="S344" s="1240"/>
      <c r="T344" s="468">
        <f>F344&gt;0</f>
        <v>1</v>
      </c>
      <c r="U344" s="1240"/>
      <c r="V344" s="1240"/>
      <c r="W344" s="1446" t="s">
        <v>410</v>
      </c>
      <c r="X344" s="1559"/>
      <c r="Y344" s="1240"/>
      <c r="Z344" s="1560"/>
      <c r="AA344" s="1240"/>
      <c r="AB344" s="1298"/>
      <c r="AC344" s="1299" t="s">
        <v>177</v>
      </c>
      <c r="AD344" s="1300"/>
      <c r="AE344" s="1357"/>
      <c r="AF344" s="1308"/>
      <c r="AG344" s="1308"/>
      <c r="AH344" s="1309"/>
      <c r="AI344" s="1309"/>
      <c r="AJ344" s="1309"/>
      <c r="AK344" s="662" t="s">
        <v>2877</v>
      </c>
      <c r="AL344" s="1310"/>
      <c r="AM344" s="1656"/>
      <c r="AN344" s="1656"/>
      <c r="AO344" s="1656"/>
      <c r="AP344" s="1656"/>
    </row>
    <row s="1656" customFormat="1" customHeight="1" ht="14.25">
      <c r="A345" s="673"/>
      <c r="B345" s="1240"/>
      <c r="C345" s="1240"/>
      <c r="D345" s="1240"/>
      <c r="E345" s="655">
        <v>15</v>
      </c>
      <c r="F345" s="50" cm="1" t="str">
        <f t="array" ref="F345:F345">OFFSET(E345,-1,1)</f>
        <v>3</v>
      </c>
      <c r="G345" s="1240"/>
      <c r="H345" s="491" t="s">
        <v>345</v>
      </c>
      <c r="I345" s="1240"/>
      <c r="J345" s="1240"/>
      <c r="K345" s="1240"/>
      <c r="L345" s="1240"/>
      <c r="M345" s="1240"/>
      <c r="N345" s="1240"/>
      <c r="O345" s="1240"/>
      <c r="P345" s="1240"/>
      <c r="Q345" s="1240"/>
      <c r="R345" s="1240"/>
      <c r="S345" s="1240"/>
      <c r="T345" s="468" cm="1" t="str">
        <f t="array" ref="T345:T345">T344</f>
        <v>true</v>
      </c>
      <c r="U345" s="1240"/>
      <c r="V345" s="1240"/>
      <c r="W345" s="1240"/>
      <c r="X345" s="1559"/>
      <c r="Y345" s="1240"/>
      <c r="Z345" s="1560"/>
      <c r="AA345" s="1240"/>
      <c r="AB345" s="720" t="s">
        <v>299</v>
      </c>
      <c r="AC345" s="548" t="s">
        <v>2271</v>
      </c>
      <c r="AD345" s="549" t="s">
        <v>936</v>
      </c>
      <c r="AE345" s="560">
        <f>AE346+AE358+AE359+AE369+AE370+AE371+AE374+AE375+AE376+AE377+AE378+AE379</f>
        <v>0</v>
      </c>
      <c r="AF345" s="1308"/>
      <c r="AG345" s="1308"/>
      <c r="AH345" s="1009" t="s">
        <v>2878</v>
      </c>
      <c r="AI345" s="1309"/>
      <c r="AJ345" s="1309"/>
      <c r="AK345" s="1310"/>
      <c r="AL345" s="1310"/>
      <c r="AM345" s="1656"/>
      <c r="AN345" s="1656"/>
      <c r="AO345" s="1656"/>
      <c r="AP345" s="1656"/>
    </row>
    <row s="1441" customFormat="1" customHeight="1" ht="26.25">
      <c r="A346" s="673"/>
      <c r="B346" s="491"/>
      <c r="C346" s="491"/>
      <c r="D346" s="491"/>
      <c r="E346" s="655">
        <v>27</v>
      </c>
      <c r="F346" s="526" cm="1" t="str">
        <f t="array" ref="F346:F346">OFFSET(E346,-1,1)</f>
        <v>3</v>
      </c>
      <c r="G346" s="491"/>
      <c r="H346" s="491"/>
      <c r="I346" s="491"/>
      <c r="J346" s="491"/>
      <c r="K346" s="491"/>
      <c r="L346" s="491"/>
      <c r="M346" s="491"/>
      <c r="N346" s="491"/>
      <c r="O346" s="491"/>
      <c r="P346" s="491"/>
      <c r="Q346" s="491"/>
      <c r="R346" s="491"/>
      <c r="S346" s="491"/>
      <c r="T346" s="468" cm="1" t="str">
        <f t="array" ref="T346:T346">T345</f>
        <v>true</v>
      </c>
      <c r="U346" s="491"/>
      <c r="V346" s="491"/>
      <c r="W346" s="491"/>
      <c r="X346" s="1559"/>
      <c r="Y346" s="491"/>
      <c r="Z346" s="1560"/>
      <c r="AA346" s="491"/>
      <c r="AB346" s="1289" t="s">
        <v>660</v>
      </c>
      <c r="AC346" s="1301" t="s">
        <v>2273</v>
      </c>
      <c r="AD346" s="1288" t="s">
        <v>936</v>
      </c>
      <c r="AE346" s="560">
        <f>SUM(AE347:AE357)</f>
        <v>0</v>
      </c>
      <c r="AF346" s="1117"/>
      <c r="AG346" s="1117"/>
      <c r="AH346" s="1072" t="s">
        <v>1441</v>
      </c>
      <c r="AI346" s="1066"/>
      <c r="AJ346" s="1066"/>
      <c r="AK346" s="973"/>
      <c r="AL346" s="973"/>
      <c r="AM346" s="1441"/>
      <c r="AN346" s="1441"/>
      <c r="AO346" s="1441"/>
      <c r="AP346" s="1441"/>
    </row>
    <row s="1441" customFormat="1" customHeight="1" ht="14.25">
      <c r="A347" s="673"/>
      <c r="B347" s="491"/>
      <c r="C347" s="491"/>
      <c r="D347" s="491"/>
      <c r="E347" s="655">
        <v>15</v>
      </c>
      <c r="F347" s="526" cm="1" t="str">
        <f t="array" ref="F347:F347">OFFSET(E347,-1,1)</f>
        <v>3</v>
      </c>
      <c r="G347" s="491"/>
      <c r="H347" s="491"/>
      <c r="I347" s="491"/>
      <c r="J347" s="491"/>
      <c r="K347" s="491"/>
      <c r="L347" s="491"/>
      <c r="M347" s="491"/>
      <c r="N347" s="491"/>
      <c r="O347" s="491"/>
      <c r="P347" s="491"/>
      <c r="Q347" s="491"/>
      <c r="R347" s="491"/>
      <c r="S347" s="491"/>
      <c r="T347" s="468" cm="1" t="str">
        <f t="array" ref="T347:T347">T346</f>
        <v>true</v>
      </c>
      <c r="U347" s="491"/>
      <c r="V347" s="491"/>
      <c r="W347" s="491"/>
      <c r="X347" s="1559"/>
      <c r="Y347" s="491"/>
      <c r="Z347" s="1560"/>
      <c r="AA347" s="491"/>
      <c r="AB347" s="1289" t="s">
        <v>592</v>
      </c>
      <c r="AC347" s="1292" t="s">
        <v>2275</v>
      </c>
      <c r="AD347" s="1291" t="s">
        <v>936</v>
      </c>
      <c r="AE347" s="561"/>
      <c r="AF347" s="1117"/>
      <c r="AG347" s="1117"/>
      <c r="AH347" s="1072" t="s">
        <v>2879</v>
      </c>
      <c r="AI347" s="1066"/>
      <c r="AJ347" s="1066"/>
      <c r="AK347" s="973"/>
      <c r="AL347" s="973"/>
      <c r="AM347" s="1441"/>
      <c r="AN347" s="1441"/>
      <c r="AO347" s="1441"/>
      <c r="AP347" s="1441"/>
    </row>
    <row s="1441" customFormat="1" customHeight="1" ht="14.25">
      <c r="A348" s="673"/>
      <c r="B348" s="491"/>
      <c r="C348" s="491"/>
      <c r="D348" s="491"/>
      <c r="E348" s="655">
        <v>15</v>
      </c>
      <c r="F348" s="526" cm="1" t="str">
        <f t="array" ref="F348:F348">OFFSET(E348,-1,1)</f>
        <v>3</v>
      </c>
      <c r="G348" s="491"/>
      <c r="H348" s="491"/>
      <c r="I348" s="491"/>
      <c r="J348" s="491"/>
      <c r="K348" s="491"/>
      <c r="L348" s="491"/>
      <c r="M348" s="491"/>
      <c r="N348" s="491"/>
      <c r="O348" s="491"/>
      <c r="P348" s="491"/>
      <c r="Q348" s="491"/>
      <c r="R348" s="491"/>
      <c r="S348" s="491"/>
      <c r="T348" s="468" cm="1" t="str">
        <f t="array" ref="T348:T348">T347</f>
        <v>true</v>
      </c>
      <c r="U348" s="491"/>
      <c r="V348" s="491"/>
      <c r="W348" s="491"/>
      <c r="X348" s="1559"/>
      <c r="Y348" s="491"/>
      <c r="Z348" s="1560"/>
      <c r="AA348" s="491"/>
      <c r="AB348" s="1289" t="s">
        <v>2276</v>
      </c>
      <c r="AC348" s="1292" t="s">
        <v>2277</v>
      </c>
      <c r="AD348" s="1291" t="s">
        <v>936</v>
      </c>
      <c r="AE348" s="561"/>
      <c r="AF348" s="1117"/>
      <c r="AG348" s="1117"/>
      <c r="AH348" s="1072" t="s">
        <v>2880</v>
      </c>
      <c r="AI348" s="1066"/>
      <c r="AJ348" s="1066"/>
      <c r="AK348" s="973"/>
      <c r="AL348" s="973"/>
      <c r="AM348" s="1441"/>
      <c r="AN348" s="1441"/>
      <c r="AO348" s="1441"/>
      <c r="AP348" s="1441"/>
    </row>
    <row s="1441" customFormat="1" customHeight="1" ht="14.25">
      <c r="A349" s="673"/>
      <c r="B349" s="491"/>
      <c r="C349" s="491"/>
      <c r="D349" s="491"/>
      <c r="E349" s="655">
        <v>15</v>
      </c>
      <c r="F349" s="526" cm="1" t="str">
        <f t="array" ref="F349:F349">OFFSET(E349,-1,1)</f>
        <v>3</v>
      </c>
      <c r="G349" s="491"/>
      <c r="H349" s="491"/>
      <c r="I349" s="491"/>
      <c r="J349" s="491"/>
      <c r="K349" s="491"/>
      <c r="L349" s="491"/>
      <c r="M349" s="491"/>
      <c r="N349" s="491"/>
      <c r="O349" s="491"/>
      <c r="P349" s="491"/>
      <c r="Q349" s="491"/>
      <c r="R349" s="491"/>
      <c r="S349" s="491"/>
      <c r="T349" s="468" cm="1" t="str">
        <f t="array" ref="T349:T349">T348</f>
        <v>true</v>
      </c>
      <c r="U349" s="491"/>
      <c r="V349" s="491"/>
      <c r="W349" s="491"/>
      <c r="X349" s="1559"/>
      <c r="Y349" s="491"/>
      <c r="Z349" s="1560"/>
      <c r="AA349" s="491"/>
      <c r="AB349" s="1289" t="s">
        <v>2278</v>
      </c>
      <c r="AC349" s="1292" t="s">
        <v>2279</v>
      </c>
      <c r="AD349" s="1291" t="s">
        <v>936</v>
      </c>
      <c r="AE349" s="561"/>
      <c r="AF349" s="1117"/>
      <c r="AG349" s="1117"/>
      <c r="AH349" s="1072" t="s">
        <v>2881</v>
      </c>
      <c r="AI349" s="1066"/>
      <c r="AJ349" s="1066"/>
      <c r="AK349" s="973"/>
      <c r="AL349" s="973"/>
      <c r="AM349" s="1441"/>
      <c r="AN349" s="1441"/>
      <c r="AO349" s="1441"/>
      <c r="AP349" s="1441"/>
    </row>
    <row s="1441" customFormat="1" customHeight="1" ht="14.25">
      <c r="A350" s="673"/>
      <c r="B350" s="491"/>
      <c r="C350" s="491"/>
      <c r="D350" s="491"/>
      <c r="E350" s="655">
        <v>15</v>
      </c>
      <c r="F350" s="526" cm="1" t="str">
        <f t="array" ref="F350:F350">OFFSET(E350,-1,1)</f>
        <v>3</v>
      </c>
      <c r="G350" s="491"/>
      <c r="H350" s="491"/>
      <c r="I350" s="491"/>
      <c r="J350" s="491"/>
      <c r="K350" s="491"/>
      <c r="L350" s="491"/>
      <c r="M350" s="491"/>
      <c r="N350" s="491"/>
      <c r="O350" s="491"/>
      <c r="P350" s="491"/>
      <c r="Q350" s="491"/>
      <c r="R350" s="491"/>
      <c r="S350" s="491"/>
      <c r="T350" s="468" cm="1" t="str">
        <f t="array" ref="T350:T350">T349</f>
        <v>true</v>
      </c>
      <c r="U350" s="491"/>
      <c r="V350" s="491"/>
      <c r="W350" s="491"/>
      <c r="X350" s="1559"/>
      <c r="Y350" s="491"/>
      <c r="Z350" s="1560"/>
      <c r="AA350" s="491"/>
      <c r="AB350" s="1289" t="s">
        <v>2281</v>
      </c>
      <c r="AC350" s="1292" t="s">
        <v>2282</v>
      </c>
      <c r="AD350" s="1291" t="s">
        <v>936</v>
      </c>
      <c r="AE350" s="561"/>
      <c r="AF350" s="1117"/>
      <c r="AG350" s="1117"/>
      <c r="AH350" s="1072" t="s">
        <v>2882</v>
      </c>
      <c r="AI350" s="1066"/>
      <c r="AJ350" s="1066"/>
      <c r="AK350" s="973"/>
      <c r="AL350" s="973"/>
      <c r="AM350" s="1441"/>
      <c r="AN350" s="1441"/>
      <c r="AO350" s="1441"/>
      <c r="AP350" s="1441"/>
    </row>
    <row s="1441" customFormat="1" customHeight="1" ht="14.25">
      <c r="A351" s="673"/>
      <c r="B351" s="491"/>
      <c r="C351" s="491"/>
      <c r="D351" s="491"/>
      <c r="E351" s="655">
        <v>15</v>
      </c>
      <c r="F351" s="526" cm="1" t="str">
        <f t="array" ref="F351:F351">OFFSET(E351,-1,1)</f>
        <v>3</v>
      </c>
      <c r="G351" s="491"/>
      <c r="H351" s="491"/>
      <c r="I351" s="491"/>
      <c r="J351" s="491"/>
      <c r="K351" s="491"/>
      <c r="L351" s="491"/>
      <c r="M351" s="491"/>
      <c r="N351" s="491"/>
      <c r="O351" s="491"/>
      <c r="P351" s="491"/>
      <c r="Q351" s="491"/>
      <c r="R351" s="491"/>
      <c r="S351" s="491"/>
      <c r="T351" s="468" cm="1" t="str">
        <f t="array" ref="T351:T351">T350</f>
        <v>true</v>
      </c>
      <c r="U351" s="491"/>
      <c r="V351" s="491"/>
      <c r="W351" s="491"/>
      <c r="X351" s="1559"/>
      <c r="Y351" s="491"/>
      <c r="Z351" s="1560"/>
      <c r="AA351" s="491"/>
      <c r="AB351" s="1289" t="s">
        <v>2284</v>
      </c>
      <c r="AC351" s="1292" t="s">
        <v>2285</v>
      </c>
      <c r="AD351" s="1291" t="s">
        <v>936</v>
      </c>
      <c r="AE351" s="561"/>
      <c r="AF351" s="1117"/>
      <c r="AG351" s="1117"/>
      <c r="AH351" s="1072" t="s">
        <v>2883</v>
      </c>
      <c r="AI351" s="1066"/>
      <c r="AJ351" s="1066"/>
      <c r="AK351" s="973"/>
      <c r="AL351" s="973"/>
      <c r="AM351" s="1441"/>
      <c r="AN351" s="1441"/>
      <c r="AO351" s="1441"/>
      <c r="AP351" s="1441"/>
    </row>
    <row s="1441" customFormat="1" customHeight="1" ht="26.25">
      <c r="A352" s="673"/>
      <c r="B352" s="491"/>
      <c r="C352" s="491"/>
      <c r="D352" s="491"/>
      <c r="E352" s="655">
        <v>27</v>
      </c>
      <c r="F352" s="526" cm="1" t="str">
        <f t="array" ref="F352:F352">OFFSET(E352,-1,1)</f>
        <v>3</v>
      </c>
      <c r="G352" s="491"/>
      <c r="H352" s="491"/>
      <c r="I352" s="491"/>
      <c r="J352" s="491"/>
      <c r="K352" s="491"/>
      <c r="L352" s="491"/>
      <c r="M352" s="491"/>
      <c r="N352" s="491"/>
      <c r="O352" s="491"/>
      <c r="P352" s="491"/>
      <c r="Q352" s="491"/>
      <c r="R352" s="491"/>
      <c r="S352" s="491"/>
      <c r="T352" s="468" cm="1" t="str">
        <f t="array" ref="T352:T352">T351</f>
        <v>true</v>
      </c>
      <c r="U352" s="491"/>
      <c r="V352" s="491"/>
      <c r="W352" s="491"/>
      <c r="X352" s="1559"/>
      <c r="Y352" s="491"/>
      <c r="Z352" s="1560"/>
      <c r="AA352" s="491"/>
      <c r="AB352" s="1289" t="s">
        <v>2287</v>
      </c>
      <c r="AC352" s="1292" t="s">
        <v>2288</v>
      </c>
      <c r="AD352" s="1291" t="s">
        <v>936</v>
      </c>
      <c r="AE352" s="561"/>
      <c r="AF352" s="1117"/>
      <c r="AG352" s="1117"/>
      <c r="AH352" s="1072" t="s">
        <v>2884</v>
      </c>
      <c r="AI352" s="1066"/>
      <c r="AJ352" s="1066"/>
      <c r="AK352" s="973"/>
      <c r="AL352" s="973"/>
      <c r="AM352" s="1441"/>
      <c r="AN352" s="1441"/>
      <c r="AO352" s="1441"/>
      <c r="AP352" s="1441"/>
    </row>
    <row s="1441" customFormat="1" customHeight="1" ht="14.25">
      <c r="A353" s="673"/>
      <c r="B353" s="491"/>
      <c r="C353" s="491"/>
      <c r="D353" s="491"/>
      <c r="E353" s="655">
        <v>15</v>
      </c>
      <c r="F353" s="526" cm="1" t="str">
        <f t="array" ref="F353:F353">OFFSET(E353,-1,1)</f>
        <v>3</v>
      </c>
      <c r="G353" s="491"/>
      <c r="H353" s="491"/>
      <c r="I353" s="491"/>
      <c r="J353" s="491"/>
      <c r="K353" s="491"/>
      <c r="L353" s="491"/>
      <c r="M353" s="491"/>
      <c r="N353" s="491"/>
      <c r="O353" s="491"/>
      <c r="P353" s="491"/>
      <c r="Q353" s="491"/>
      <c r="R353" s="491"/>
      <c r="S353" s="491"/>
      <c r="T353" s="468" cm="1" t="str">
        <f t="array" ref="T353:T353">T352</f>
        <v>true</v>
      </c>
      <c r="U353" s="491"/>
      <c r="V353" s="491"/>
      <c r="W353" s="491"/>
      <c r="X353" s="1559"/>
      <c r="Y353" s="491"/>
      <c r="Z353" s="1560"/>
      <c r="AA353" s="491"/>
      <c r="AB353" s="1289" t="s">
        <v>2291</v>
      </c>
      <c r="AC353" s="1292" t="s">
        <v>2292</v>
      </c>
      <c r="AD353" s="1291" t="s">
        <v>936</v>
      </c>
      <c r="AE353" s="561"/>
      <c r="AF353" s="1117"/>
      <c r="AG353" s="1117"/>
      <c r="AH353" s="1072" t="s">
        <v>2885</v>
      </c>
      <c r="AI353" s="1066"/>
      <c r="AJ353" s="1066"/>
      <c r="AK353" s="973"/>
      <c r="AL353" s="973"/>
      <c r="AM353" s="1441"/>
      <c r="AN353" s="1441"/>
      <c r="AO353" s="1441"/>
      <c r="AP353" s="1441"/>
    </row>
    <row s="1441" customFormat="1" customHeight="1" ht="14.25">
      <c r="A354" s="673"/>
      <c r="B354" s="491"/>
      <c r="C354" s="491"/>
      <c r="D354" s="491"/>
      <c r="E354" s="655">
        <v>15</v>
      </c>
      <c r="F354" s="526" cm="1" t="str">
        <f t="array" ref="F354:F354">OFFSET(E354,-1,1)</f>
        <v>3</v>
      </c>
      <c r="G354" s="491"/>
      <c r="H354" s="491"/>
      <c r="I354" s="491"/>
      <c r="J354" s="491"/>
      <c r="K354" s="491"/>
      <c r="L354" s="491"/>
      <c r="M354" s="491"/>
      <c r="N354" s="491"/>
      <c r="O354" s="491"/>
      <c r="P354" s="491"/>
      <c r="Q354" s="491"/>
      <c r="R354" s="491"/>
      <c r="S354" s="491"/>
      <c r="T354" s="468" cm="1" t="str">
        <f t="array" ref="T354:T354">T353</f>
        <v>true</v>
      </c>
      <c r="U354" s="491"/>
      <c r="V354" s="491"/>
      <c r="W354" s="491"/>
      <c r="X354" s="1559"/>
      <c r="Y354" s="491"/>
      <c r="Z354" s="1560"/>
      <c r="AA354" s="491"/>
      <c r="AB354" s="1289" t="s">
        <v>2295</v>
      </c>
      <c r="AC354" s="1292" t="s">
        <v>2296</v>
      </c>
      <c r="AD354" s="1291" t="s">
        <v>936</v>
      </c>
      <c r="AE354" s="561"/>
      <c r="AF354" s="1117"/>
      <c r="AG354" s="1117"/>
      <c r="AH354" s="1072" t="s">
        <v>2886</v>
      </c>
      <c r="AI354" s="1066"/>
      <c r="AJ354" s="1066"/>
      <c r="AK354" s="973"/>
      <c r="AL354" s="973"/>
      <c r="AM354" s="1441"/>
      <c r="AN354" s="1441"/>
      <c r="AO354" s="1441"/>
      <c r="AP354" s="1441"/>
    </row>
    <row s="1441" customFormat="1" customHeight="1" ht="14.25">
      <c r="A355" s="673"/>
      <c r="B355" s="491"/>
      <c r="C355" s="491"/>
      <c r="D355" s="491"/>
      <c r="E355" s="655">
        <v>15</v>
      </c>
      <c r="F355" s="526" cm="1" t="str">
        <f t="array" ref="F355:F355">OFFSET(E355,-1,1)</f>
        <v>3</v>
      </c>
      <c r="G355" s="491"/>
      <c r="H355" s="491"/>
      <c r="I355" s="491"/>
      <c r="J355" s="491"/>
      <c r="K355" s="491"/>
      <c r="L355" s="491"/>
      <c r="M355" s="491"/>
      <c r="N355" s="491"/>
      <c r="O355" s="491"/>
      <c r="P355" s="491"/>
      <c r="Q355" s="491"/>
      <c r="R355" s="491"/>
      <c r="S355" s="491"/>
      <c r="T355" s="468" cm="1" t="str">
        <f t="array" ref="T355:T355">T354</f>
        <v>true</v>
      </c>
      <c r="U355" s="491"/>
      <c r="V355" s="491"/>
      <c r="W355" s="491"/>
      <c r="X355" s="1559"/>
      <c r="Y355" s="491"/>
      <c r="Z355" s="1560"/>
      <c r="AA355" s="491"/>
      <c r="AB355" s="1289" t="s">
        <v>2298</v>
      </c>
      <c r="AC355" s="1292" t="s">
        <v>2299</v>
      </c>
      <c r="AD355" s="1291" t="s">
        <v>936</v>
      </c>
      <c r="AE355" s="561"/>
      <c r="AF355" s="1117"/>
      <c r="AG355" s="1117"/>
      <c r="AH355" s="1072" t="s">
        <v>2887</v>
      </c>
      <c r="AI355" s="1066"/>
      <c r="AJ355" s="1066"/>
      <c r="AK355" s="973"/>
      <c r="AL355" s="973"/>
      <c r="AM355" s="1441"/>
      <c r="AN355" s="1441"/>
      <c r="AO355" s="1441"/>
      <c r="AP355" s="1441"/>
    </row>
    <row s="1441" customFormat="1" customHeight="1" ht="14.25">
      <c r="A356" s="673"/>
      <c r="B356" s="491"/>
      <c r="C356" s="491"/>
      <c r="D356" s="491"/>
      <c r="E356" s="655">
        <v>15</v>
      </c>
      <c r="F356" s="526" cm="1" t="str">
        <f t="array" ref="F356:F356">OFFSET(E356,-1,1)</f>
        <v>3</v>
      </c>
      <c r="G356" s="491"/>
      <c r="H356" s="491"/>
      <c r="I356" s="491"/>
      <c r="J356" s="491"/>
      <c r="K356" s="491"/>
      <c r="L356" s="491"/>
      <c r="M356" s="491"/>
      <c r="N356" s="491"/>
      <c r="O356" s="491"/>
      <c r="P356" s="491"/>
      <c r="Q356" s="491"/>
      <c r="R356" s="491"/>
      <c r="S356" s="491"/>
      <c r="T356" s="468" cm="1" t="str">
        <f t="array" ref="T356:T356">T355</f>
        <v>true</v>
      </c>
      <c r="U356" s="491"/>
      <c r="V356" s="491"/>
      <c r="W356" s="491"/>
      <c r="X356" s="1559"/>
      <c r="Y356" s="491"/>
      <c r="Z356" s="1560"/>
      <c r="AA356" s="491"/>
      <c r="AB356" s="1289" t="s">
        <v>2301</v>
      </c>
      <c r="AC356" s="1292" t="s">
        <v>2302</v>
      </c>
      <c r="AD356" s="1291" t="s">
        <v>936</v>
      </c>
      <c r="AE356" s="561"/>
      <c r="AF356" s="1117"/>
      <c r="AG356" s="1117"/>
      <c r="AH356" s="1072" t="s">
        <v>2888</v>
      </c>
      <c r="AI356" s="1066"/>
      <c r="AJ356" s="1066"/>
      <c r="AK356" s="973"/>
      <c r="AL356" s="973"/>
      <c r="AM356" s="1441"/>
      <c r="AN356" s="1441"/>
      <c r="AO356" s="1441"/>
      <c r="AP356" s="1441"/>
    </row>
    <row s="1441" customFormat="1" customHeight="1" ht="14.25">
      <c r="A357" s="673"/>
      <c r="B357" s="491"/>
      <c r="C357" s="491"/>
      <c r="D357" s="491"/>
      <c r="E357" s="655">
        <v>15</v>
      </c>
      <c r="F357" s="526" cm="1" t="str">
        <f t="array" ref="F357:F357">OFFSET(E357,-1,1)</f>
        <v>3</v>
      </c>
      <c r="G357" s="491"/>
      <c r="H357" s="491"/>
      <c r="I357" s="491"/>
      <c r="J357" s="491"/>
      <c r="K357" s="491"/>
      <c r="L357" s="491"/>
      <c r="M357" s="491"/>
      <c r="N357" s="491"/>
      <c r="O357" s="491"/>
      <c r="P357" s="491"/>
      <c r="Q357" s="491"/>
      <c r="R357" s="491"/>
      <c r="S357" s="491"/>
      <c r="T357" s="468" cm="1" t="str">
        <f t="array" ref="T357:T357">T356</f>
        <v>true</v>
      </c>
      <c r="U357" s="491"/>
      <c r="V357" s="491"/>
      <c r="W357" s="491"/>
      <c r="X357" s="1559"/>
      <c r="Y357" s="491"/>
      <c r="Z357" s="1560"/>
      <c r="AA357" s="491"/>
      <c r="AB357" s="1289" t="s">
        <v>2303</v>
      </c>
      <c r="AC357" s="1292" t="s">
        <v>2304</v>
      </c>
      <c r="AD357" s="1291" t="s">
        <v>936</v>
      </c>
      <c r="AE357" s="561"/>
      <c r="AF357" s="1117"/>
      <c r="AG357" s="1117"/>
      <c r="AH357" s="1072" t="s">
        <v>2889</v>
      </c>
      <c r="AI357" s="1066"/>
      <c r="AJ357" s="1066"/>
      <c r="AK357" s="973"/>
      <c r="AL357" s="973"/>
      <c r="AM357" s="1441"/>
      <c r="AN357" s="1441"/>
      <c r="AO357" s="1441"/>
      <c r="AP357" s="1441"/>
    </row>
    <row s="1441" customFormat="1" customHeight="1" ht="14.25">
      <c r="A358" s="673"/>
      <c r="B358" s="491"/>
      <c r="C358" s="491"/>
      <c r="D358" s="491"/>
      <c r="E358" s="655">
        <v>15</v>
      </c>
      <c r="F358" s="526" cm="1" t="str">
        <f t="array" ref="F358:F358">OFFSET(E358,-1,1)</f>
        <v>3</v>
      </c>
      <c r="G358" s="491"/>
      <c r="H358" s="491"/>
      <c r="I358" s="491"/>
      <c r="J358" s="491"/>
      <c r="K358" s="491"/>
      <c r="L358" s="491"/>
      <c r="M358" s="491"/>
      <c r="N358" s="491"/>
      <c r="O358" s="491"/>
      <c r="P358" s="491"/>
      <c r="Q358" s="491"/>
      <c r="R358" s="491"/>
      <c r="S358" s="491"/>
      <c r="T358" s="468" cm="1" t="str">
        <f t="array" ref="T358:T358">T357</f>
        <v>true</v>
      </c>
      <c r="U358" s="491"/>
      <c r="V358" s="491"/>
      <c r="W358" s="491"/>
      <c r="X358" s="1559"/>
      <c r="Y358" s="491"/>
      <c r="Z358" s="1560"/>
      <c r="AA358" s="491"/>
      <c r="AB358" s="1289" t="s">
        <v>664</v>
      </c>
      <c r="AC358" s="1290" t="s">
        <v>2305</v>
      </c>
      <c r="AD358" s="1291" t="s">
        <v>936</v>
      </c>
      <c r="AE358" s="561"/>
      <c r="AF358" s="1117"/>
      <c r="AG358" s="1117"/>
      <c r="AH358" s="1072" t="s">
        <v>2890</v>
      </c>
      <c r="AI358" s="1066"/>
      <c r="AJ358" s="1066"/>
      <c r="AK358" s="973"/>
      <c r="AL358" s="973"/>
      <c r="AM358" s="1441"/>
      <c r="AN358" s="1441"/>
      <c r="AO358" s="1441"/>
      <c r="AP358" s="1441"/>
    </row>
    <row s="1656" customFormat="1" customHeight="1" ht="14.25">
      <c r="A359" s="673"/>
      <c r="B359" s="1240"/>
      <c r="C359" s="1240"/>
      <c r="D359" s="1240"/>
      <c r="E359" s="655">
        <v>15</v>
      </c>
      <c r="F359" s="50" cm="1" t="str">
        <f t="array" ref="F359:F359">OFFSET(E359,-1,1)</f>
        <v>3</v>
      </c>
      <c r="G359" s="1240"/>
      <c r="H359" s="491" t="s">
        <v>587</v>
      </c>
      <c r="I359" s="1240"/>
      <c r="J359" s="1240"/>
      <c r="K359" s="1240"/>
      <c r="L359" s="1240"/>
      <c r="M359" s="1240"/>
      <c r="N359" s="1240"/>
      <c r="O359" s="1240"/>
      <c r="P359" s="1240"/>
      <c r="Q359" s="1240"/>
      <c r="R359" s="1240"/>
      <c r="S359" s="1240"/>
      <c r="T359" s="468" cm="1" t="str">
        <f t="array" ref="T359:T359">T345</f>
        <v>true</v>
      </c>
      <c r="U359" s="1240"/>
      <c r="V359" s="1240"/>
      <c r="W359" s="1240"/>
      <c r="X359" s="1559"/>
      <c r="Y359" s="1240"/>
      <c r="Z359" s="1560"/>
      <c r="AA359" s="1240"/>
      <c r="AB359" s="721" t="s">
        <v>668</v>
      </c>
      <c r="AC359" s="550" t="s">
        <v>2891</v>
      </c>
      <c r="AD359" s="551" t="s">
        <v>936</v>
      </c>
      <c r="AE359" s="560">
        <f>SUM(AE360:AE368)</f>
        <v>0</v>
      </c>
      <c r="AF359" s="1308"/>
      <c r="AG359" s="1308"/>
      <c r="AH359" s="1078" t="s">
        <v>1464</v>
      </c>
      <c r="AI359" s="1309"/>
      <c r="AJ359" s="1309"/>
      <c r="AK359" s="1310"/>
      <c r="AL359" s="1310"/>
      <c r="AM359" s="1656"/>
      <c r="AN359" s="1656"/>
      <c r="AO359" s="1656"/>
      <c r="AP359" s="1656"/>
    </row>
    <row s="1656" customFormat="1" customHeight="1" ht="14.25">
      <c r="A360" s="673"/>
      <c r="B360" s="1240"/>
      <c r="C360" s="1240"/>
      <c r="D360" s="1240"/>
      <c r="E360" s="655">
        <v>15</v>
      </c>
      <c r="F360" s="50" cm="1" t="str">
        <f t="array" ref="F360:F360">OFFSET(E360,-1,1)</f>
        <v>3</v>
      </c>
      <c r="G360" s="1240"/>
      <c r="H360" s="491" t="s">
        <v>2045</v>
      </c>
      <c r="I360" s="1240"/>
      <c r="J360" s="1240"/>
      <c r="K360" s="1240"/>
      <c r="L360" s="1240"/>
      <c r="M360" s="1240"/>
      <c r="N360" s="1240"/>
      <c r="O360" s="1240"/>
      <c r="P360" s="1240"/>
      <c r="Q360" s="1240"/>
      <c r="R360" s="1240"/>
      <c r="S360" s="1240"/>
      <c r="T360" s="468" cm="1" t="str">
        <f t="array" ref="T360:T360">T359</f>
        <v>true</v>
      </c>
      <c r="U360" s="1240"/>
      <c r="V360" s="1240"/>
      <c r="W360" s="1240"/>
      <c r="X360" s="1559"/>
      <c r="Y360" s="1240"/>
      <c r="Z360" s="1560"/>
      <c r="AA360" s="1240"/>
      <c r="AB360" s="721" t="s">
        <v>603</v>
      </c>
      <c r="AC360" s="552" t="s">
        <v>1479</v>
      </c>
      <c r="AD360" s="551" t="s">
        <v>936</v>
      </c>
      <c r="AE360" s="1356"/>
      <c r="AF360" s="1308"/>
      <c r="AG360" s="1308"/>
      <c r="AH360" s="1072" t="s">
        <v>2308</v>
      </c>
      <c r="AI360" s="1309"/>
      <c r="AJ360" s="1309"/>
      <c r="AK360" s="1310"/>
      <c r="AL360" s="1310"/>
      <c r="AM360" s="1656"/>
      <c r="AN360" s="1656"/>
      <c r="AO360" s="1656"/>
      <c r="AP360" s="1656"/>
    </row>
    <row s="1656" customFormat="1" customHeight="1" ht="14.25">
      <c r="A361" s="673"/>
      <c r="B361" s="1240"/>
      <c r="C361" s="1240"/>
      <c r="D361" s="1240"/>
      <c r="E361" s="655">
        <v>15</v>
      </c>
      <c r="F361" s="50" cm="1" t="str">
        <f t="array" ref="F361:F361">OFFSET(E361,-1,1)</f>
        <v>3</v>
      </c>
      <c r="G361" s="1240"/>
      <c r="H361" s="491" t="s">
        <v>2048</v>
      </c>
      <c r="I361" s="1240"/>
      <c r="J361" s="1240"/>
      <c r="K361" s="1240"/>
      <c r="L361" s="1240"/>
      <c r="M361" s="1240"/>
      <c r="N361" s="1240"/>
      <c r="O361" s="1240"/>
      <c r="P361" s="1240"/>
      <c r="Q361" s="1240"/>
      <c r="R361" s="1240"/>
      <c r="S361" s="1240"/>
      <c r="T361" s="468" cm="1" t="str">
        <f t="array" ref="T361:T361">T360</f>
        <v>true</v>
      </c>
      <c r="U361" s="1240"/>
      <c r="V361" s="1240"/>
      <c r="W361" s="1240"/>
      <c r="X361" s="1559"/>
      <c r="Y361" s="1240"/>
      <c r="Z361" s="1560"/>
      <c r="AA361" s="1240"/>
      <c r="AB361" s="721" t="s">
        <v>1717</v>
      </c>
      <c r="AC361" s="552" t="s">
        <v>2892</v>
      </c>
      <c r="AD361" s="551" t="s">
        <v>936</v>
      </c>
      <c r="AE361" s="1356"/>
      <c r="AF361" s="1308"/>
      <c r="AG361" s="1308"/>
      <c r="AH361" s="1072" t="s">
        <v>2311</v>
      </c>
      <c r="AI361" s="1309"/>
      <c r="AJ361" s="1309"/>
      <c r="AK361" s="1310"/>
      <c r="AL361" s="1310"/>
      <c r="AM361" s="1656"/>
      <c r="AN361" s="1656"/>
      <c r="AO361" s="1656"/>
      <c r="AP361" s="1656"/>
    </row>
    <row s="1656" customFormat="1" customHeight="1" ht="14.25">
      <c r="A362" s="673"/>
      <c r="B362" s="1240"/>
      <c r="C362" s="1240"/>
      <c r="D362" s="1240"/>
      <c r="E362" s="655">
        <v>15</v>
      </c>
      <c r="F362" s="50" cm="1" t="str">
        <f t="array" ref="F362:F362">OFFSET(E362,-1,1)</f>
        <v>3</v>
      </c>
      <c r="G362" s="1240"/>
      <c r="H362" s="491" t="s">
        <v>2893</v>
      </c>
      <c r="I362" s="1240"/>
      <c r="J362" s="1240"/>
      <c r="K362" s="1240"/>
      <c r="L362" s="1240"/>
      <c r="M362" s="1240"/>
      <c r="N362" s="1240"/>
      <c r="O362" s="1240"/>
      <c r="P362" s="1240"/>
      <c r="Q362" s="1240"/>
      <c r="R362" s="1240"/>
      <c r="S362" s="1240"/>
      <c r="T362" s="468" cm="1" t="str">
        <f t="array" ref="T362:T362">T361</f>
        <v>true</v>
      </c>
      <c r="U362" s="1240"/>
      <c r="V362" s="1240"/>
      <c r="W362" s="1240"/>
      <c r="X362" s="1559"/>
      <c r="Y362" s="1240"/>
      <c r="Z362" s="1560"/>
      <c r="AA362" s="1240"/>
      <c r="AB362" s="721" t="s">
        <v>1722</v>
      </c>
      <c r="AC362" s="552" t="s">
        <v>2894</v>
      </c>
      <c r="AD362" s="551" t="s">
        <v>936</v>
      </c>
      <c r="AE362" s="1356"/>
      <c r="AF362" s="1308"/>
      <c r="AG362" s="1308"/>
      <c r="AH362" s="1072" t="s">
        <v>2314</v>
      </c>
      <c r="AI362" s="1309"/>
      <c r="AJ362" s="1309"/>
      <c r="AK362" s="1310"/>
      <c r="AL362" s="1310"/>
      <c r="AM362" s="1656"/>
      <c r="AN362" s="1656"/>
      <c r="AO362" s="1656"/>
      <c r="AP362" s="1656"/>
    </row>
    <row s="1656" customFormat="1" customHeight="1" ht="14.25">
      <c r="A363" s="673"/>
      <c r="B363" s="1240"/>
      <c r="C363" s="1240"/>
      <c r="D363" s="1240"/>
      <c r="E363" s="655">
        <v>15</v>
      </c>
      <c r="F363" s="50" cm="1" t="str">
        <f t="array" ref="F363:F363">OFFSET(E363,-1,1)</f>
        <v>3</v>
      </c>
      <c r="G363" s="1240"/>
      <c r="H363" s="491" t="s">
        <v>2895</v>
      </c>
      <c r="I363" s="1240"/>
      <c r="J363" s="1240"/>
      <c r="K363" s="1240"/>
      <c r="L363" s="1240"/>
      <c r="M363" s="1240"/>
      <c r="N363" s="1240"/>
      <c r="O363" s="1240"/>
      <c r="P363" s="1240"/>
      <c r="Q363" s="1240"/>
      <c r="R363" s="1240"/>
      <c r="S363" s="1240"/>
      <c r="T363" s="468" cm="1" t="str">
        <f t="array" ref="T363:T363">T362</f>
        <v>true</v>
      </c>
      <c r="U363" s="1240"/>
      <c r="V363" s="1240"/>
      <c r="W363" s="1240"/>
      <c r="X363" s="1559"/>
      <c r="Y363" s="1240"/>
      <c r="Z363" s="1560"/>
      <c r="AA363" s="1240"/>
      <c r="AB363" s="721" t="s">
        <v>2316</v>
      </c>
      <c r="AC363" s="552" t="s">
        <v>1472</v>
      </c>
      <c r="AD363" s="551" t="s">
        <v>936</v>
      </c>
      <c r="AE363" s="1356"/>
      <c r="AF363" s="1308"/>
      <c r="AG363" s="1308"/>
      <c r="AH363" s="1072" t="s">
        <v>2318</v>
      </c>
      <c r="AI363" s="1309"/>
      <c r="AJ363" s="1309"/>
      <c r="AK363" s="1310"/>
      <c r="AL363" s="1310"/>
      <c r="AM363" s="1656"/>
      <c r="AN363" s="1656"/>
      <c r="AO363" s="1656"/>
      <c r="AP363" s="1656"/>
    </row>
    <row s="1656" customFormat="1" customHeight="1" ht="14.25">
      <c r="A364" s="673"/>
      <c r="B364" s="1240"/>
      <c r="C364" s="1240"/>
      <c r="D364" s="1240"/>
      <c r="E364" s="655">
        <v>15</v>
      </c>
      <c r="F364" s="50" cm="1" t="str">
        <f t="array" ref="F364:F364">OFFSET(E364,-1,1)</f>
        <v>3</v>
      </c>
      <c r="G364" s="1240"/>
      <c r="H364" s="491" t="s">
        <v>2896</v>
      </c>
      <c r="I364" s="1240"/>
      <c r="J364" s="1240"/>
      <c r="K364" s="1240"/>
      <c r="L364" s="1240"/>
      <c r="M364" s="1240"/>
      <c r="N364" s="1240"/>
      <c r="O364" s="1240"/>
      <c r="P364" s="1240"/>
      <c r="Q364" s="1240"/>
      <c r="R364" s="1240"/>
      <c r="S364" s="1240"/>
      <c r="T364" s="468" cm="1" t="str">
        <f t="array" ref="T364:T364">T363</f>
        <v>true</v>
      </c>
      <c r="U364" s="1240"/>
      <c r="V364" s="1240"/>
      <c r="W364" s="1240"/>
      <c r="X364" s="1559"/>
      <c r="Y364" s="1240"/>
      <c r="Z364" s="1560"/>
      <c r="AA364" s="1240"/>
      <c r="AB364" s="721" t="s">
        <v>2320</v>
      </c>
      <c r="AC364" s="552" t="s">
        <v>1474</v>
      </c>
      <c r="AD364" s="551" t="s">
        <v>936</v>
      </c>
      <c r="AE364" s="1356"/>
      <c r="AF364" s="1308"/>
      <c r="AG364" s="1308"/>
      <c r="AH364" s="1072" t="s">
        <v>2322</v>
      </c>
      <c r="AI364" s="1309"/>
      <c r="AJ364" s="1309"/>
      <c r="AK364" s="1310"/>
      <c r="AL364" s="1310"/>
      <c r="AM364" s="1656"/>
      <c r="AN364" s="1656"/>
      <c r="AO364" s="1656"/>
      <c r="AP364" s="1656"/>
    </row>
    <row s="1656" customFormat="1" customHeight="1" ht="14.25">
      <c r="A365" s="673"/>
      <c r="B365" s="1240"/>
      <c r="C365" s="1240"/>
      <c r="D365" s="1240"/>
      <c r="E365" s="655">
        <v>15</v>
      </c>
      <c r="F365" s="50" cm="1" t="str">
        <f t="array" ref="F365:F365">OFFSET(E365,-1,1)</f>
        <v>3</v>
      </c>
      <c r="G365" s="1240"/>
      <c r="H365" s="491" t="s">
        <v>2897</v>
      </c>
      <c r="I365" s="1240"/>
      <c r="J365" s="1240"/>
      <c r="K365" s="1240"/>
      <c r="L365" s="1240"/>
      <c r="M365" s="1240"/>
      <c r="N365" s="1240"/>
      <c r="O365" s="1240"/>
      <c r="P365" s="1240"/>
      <c r="Q365" s="1240"/>
      <c r="R365" s="1240"/>
      <c r="S365" s="1240"/>
      <c r="T365" s="468" cm="1" t="str">
        <f t="array" ref="T365:T365">T364</f>
        <v>true</v>
      </c>
      <c r="U365" s="1240"/>
      <c r="V365" s="1240"/>
      <c r="W365" s="1240"/>
      <c r="X365" s="1559"/>
      <c r="Y365" s="1240"/>
      <c r="Z365" s="1560"/>
      <c r="AA365" s="1240"/>
      <c r="AB365" s="721" t="s">
        <v>2324</v>
      </c>
      <c r="AC365" s="552" t="s">
        <v>1465</v>
      </c>
      <c r="AD365" s="551" t="s">
        <v>936</v>
      </c>
      <c r="AE365" s="1356"/>
      <c r="AF365" s="1308"/>
      <c r="AG365" s="1308"/>
      <c r="AH365" s="1072" t="s">
        <v>2326</v>
      </c>
      <c r="AI365" s="1309"/>
      <c r="AJ365" s="1309"/>
      <c r="AK365" s="1310"/>
      <c r="AL365" s="1310"/>
      <c r="AM365" s="1656"/>
      <c r="AN365" s="1656"/>
      <c r="AO365" s="1656"/>
      <c r="AP365" s="1656"/>
    </row>
    <row s="1441" customFormat="1" customHeight="1" ht="14.25">
      <c r="A366" s="673"/>
      <c r="B366" s="491"/>
      <c r="C366" s="491"/>
      <c r="D366" s="491"/>
      <c r="E366" s="655">
        <v>15</v>
      </c>
      <c r="F366" s="526" cm="1" t="str">
        <f t="array" ref="F366:F366">OFFSET(E366,-1,1)</f>
        <v>3</v>
      </c>
      <c r="G366" s="491"/>
      <c r="H366" s="491"/>
      <c r="I366" s="491"/>
      <c r="J366" s="491"/>
      <c r="K366" s="491"/>
      <c r="L366" s="491"/>
      <c r="M366" s="491"/>
      <c r="N366" s="491"/>
      <c r="O366" s="491"/>
      <c r="P366" s="491"/>
      <c r="Q366" s="491"/>
      <c r="R366" s="491"/>
      <c r="S366" s="491"/>
      <c r="T366" s="468" cm="1" t="str">
        <f t="array" ref="T366:T366">T365</f>
        <v>true</v>
      </c>
      <c r="U366" s="491"/>
      <c r="V366" s="491"/>
      <c r="W366" s="491"/>
      <c r="X366" s="1559"/>
      <c r="Y366" s="491"/>
      <c r="Z366" s="1560"/>
      <c r="AA366" s="491"/>
      <c r="AB366" s="1289" t="s">
        <v>2328</v>
      </c>
      <c r="AC366" s="1292" t="s">
        <v>2898</v>
      </c>
      <c r="AD366" s="1291" t="s">
        <v>936</v>
      </c>
      <c r="AE366" s="561"/>
      <c r="AF366" s="1117"/>
      <c r="AG366" s="1117"/>
      <c r="AH366" s="1072" t="s">
        <v>1482</v>
      </c>
      <c r="AI366" s="1066"/>
      <c r="AJ366" s="1066"/>
      <c r="AK366" s="973"/>
      <c r="AL366" s="973"/>
      <c r="AM366" s="1441"/>
      <c r="AN366" s="1441"/>
      <c r="AO366" s="1441"/>
      <c r="AP366" s="1441"/>
    </row>
    <row s="1441" customFormat="1" customHeight="1" ht="14.25">
      <c r="A367" s="673"/>
      <c r="B367" s="491"/>
      <c r="C367" s="491"/>
      <c r="D367" s="491"/>
      <c r="E367" s="655">
        <v>15</v>
      </c>
      <c r="F367" s="526" cm="1" t="str">
        <f t="array" ref="F367:F367">OFFSET(E367,-1,1)</f>
        <v>3</v>
      </c>
      <c r="G367" s="491"/>
      <c r="H367" s="491"/>
      <c r="I367" s="491"/>
      <c r="J367" s="491"/>
      <c r="K367" s="491"/>
      <c r="L367" s="491"/>
      <c r="M367" s="491"/>
      <c r="N367" s="491"/>
      <c r="O367" s="491"/>
      <c r="P367" s="491"/>
      <c r="Q367" s="491"/>
      <c r="R367" s="491"/>
      <c r="S367" s="491"/>
      <c r="T367" s="468" cm="1" t="str">
        <f t="array" ref="T367:T367">T366</f>
        <v>true</v>
      </c>
      <c r="U367" s="491"/>
      <c r="V367" s="491"/>
      <c r="W367" s="491"/>
      <c r="X367" s="1559"/>
      <c r="Y367" s="491"/>
      <c r="Z367" s="1560"/>
      <c r="AA367" s="491"/>
      <c r="AB367" s="1289" t="s">
        <v>2332</v>
      </c>
      <c r="AC367" s="1292" t="s">
        <v>1483</v>
      </c>
      <c r="AD367" s="1291" t="s">
        <v>936</v>
      </c>
      <c r="AE367" s="561"/>
      <c r="AF367" s="1117"/>
      <c r="AG367" s="1117"/>
      <c r="AH367" s="1072" t="s">
        <v>2899</v>
      </c>
      <c r="AI367" s="1066"/>
      <c r="AJ367" s="1066"/>
      <c r="AK367" s="973"/>
      <c r="AL367" s="973"/>
      <c r="AM367" s="1441"/>
      <c r="AN367" s="1441"/>
      <c r="AO367" s="1441"/>
      <c r="AP367" s="1441"/>
    </row>
    <row s="1656" customFormat="1" customHeight="1" ht="14.25">
      <c r="A368" s="673"/>
      <c r="B368" s="1240"/>
      <c r="C368" s="1240"/>
      <c r="D368" s="1240"/>
      <c r="E368" s="655">
        <v>15</v>
      </c>
      <c r="F368" s="50" cm="1" t="str">
        <f t="array" ref="F368:F368">OFFSET(E368,-1,1)</f>
        <v>3</v>
      </c>
      <c r="G368" s="1240"/>
      <c r="H368" s="491" t="s">
        <v>2900</v>
      </c>
      <c r="I368" s="1240"/>
      <c r="J368" s="1240"/>
      <c r="K368" s="1240"/>
      <c r="L368" s="1240"/>
      <c r="M368" s="1240"/>
      <c r="N368" s="1240"/>
      <c r="O368" s="1240"/>
      <c r="P368" s="1240"/>
      <c r="Q368" s="1240"/>
      <c r="R368" s="1240"/>
      <c r="S368" s="1240"/>
      <c r="T368" s="468" cm="1" t="str">
        <f t="array" ref="T368:T368">T365</f>
        <v>true</v>
      </c>
      <c r="U368" s="1240"/>
      <c r="V368" s="1240"/>
      <c r="W368" s="1240"/>
      <c r="X368" s="1559"/>
      <c r="Y368" s="1240"/>
      <c r="Z368" s="1560"/>
      <c r="AA368" s="1240"/>
      <c r="AB368" s="721" t="s">
        <v>2334</v>
      </c>
      <c r="AC368" s="552" t="s">
        <v>1485</v>
      </c>
      <c r="AD368" s="551" t="s">
        <v>936</v>
      </c>
      <c r="AE368" s="1356"/>
      <c r="AF368" s="1308"/>
      <c r="AG368" s="1308"/>
      <c r="AH368" s="1072" t="s">
        <v>2340</v>
      </c>
      <c r="AI368" s="1309"/>
      <c r="AJ368" s="1309"/>
      <c r="AK368" s="1310"/>
      <c r="AL368" s="1310"/>
      <c r="AM368" s="1656"/>
      <c r="AN368" s="1656"/>
      <c r="AO368" s="1656"/>
      <c r="AP368" s="1656"/>
    </row>
    <row s="1656" customFormat="1" customHeight="1" ht="14.25">
      <c r="A369" s="673"/>
      <c r="B369" s="1240"/>
      <c r="C369" s="1240"/>
      <c r="D369" s="1240"/>
      <c r="E369" s="655">
        <v>15</v>
      </c>
      <c r="F369" s="50" cm="1" t="str">
        <f t="array" ref="F369:F369">OFFSET(E369,-1,1)</f>
        <v>3</v>
      </c>
      <c r="G369" s="1240"/>
      <c r="H369" s="491" t="s">
        <v>1087</v>
      </c>
      <c r="I369" s="1240"/>
      <c r="J369" s="1240"/>
      <c r="K369" s="1240"/>
      <c r="L369" s="1240"/>
      <c r="M369" s="1240"/>
      <c r="N369" s="1240"/>
      <c r="O369" s="1240"/>
      <c r="P369" s="1240"/>
      <c r="Q369" s="1240"/>
      <c r="R369" s="1240"/>
      <c r="S369" s="1240"/>
      <c r="T369" s="468" cm="1" t="str">
        <f t="array" ref="T369:T369">T368</f>
        <v>true</v>
      </c>
      <c r="U369" s="1240"/>
      <c r="V369" s="1240"/>
      <c r="W369" s="1240"/>
      <c r="X369" s="1559"/>
      <c r="Y369" s="1240"/>
      <c r="Z369" s="1560"/>
      <c r="AA369" s="1240"/>
      <c r="AB369" s="721" t="s">
        <v>1090</v>
      </c>
      <c r="AC369" s="552" t="s">
        <v>1212</v>
      </c>
      <c r="AD369" s="551" t="s">
        <v>936</v>
      </c>
      <c r="AE369" s="1356"/>
      <c r="AF369" s="1308"/>
      <c r="AG369" s="1308"/>
      <c r="AH369" s="1072" t="s">
        <v>1421</v>
      </c>
      <c r="AI369" s="1309"/>
      <c r="AJ369" s="1309"/>
      <c r="AK369" s="1310"/>
      <c r="AL369" s="1310"/>
      <c r="AM369" s="1656"/>
      <c r="AN369" s="1656"/>
      <c r="AO369" s="1656"/>
      <c r="AP369" s="1656"/>
    </row>
    <row s="1656" customFormat="1" customHeight="1" ht="14.25">
      <c r="A370" s="673"/>
      <c r="B370" s="1240"/>
      <c r="C370" s="1240"/>
      <c r="D370" s="1240"/>
      <c r="E370" s="655">
        <v>15</v>
      </c>
      <c r="F370" s="50" cm="1" t="str">
        <f t="array" ref="F370:F370">OFFSET(E370,-1,1)</f>
        <v>3</v>
      </c>
      <c r="G370" s="1240"/>
      <c r="H370" s="491" t="s">
        <v>2343</v>
      </c>
      <c r="I370" s="1240"/>
      <c r="J370" s="1240"/>
      <c r="K370" s="1240"/>
      <c r="L370" s="1240"/>
      <c r="M370" s="1240"/>
      <c r="N370" s="1240"/>
      <c r="O370" s="1240"/>
      <c r="P370" s="1240"/>
      <c r="Q370" s="1240"/>
      <c r="R370" s="1240"/>
      <c r="S370" s="1240"/>
      <c r="T370" s="468" cm="1" t="str">
        <f t="array" ref="T370:T370">T369</f>
        <v>true</v>
      </c>
      <c r="U370" s="1240"/>
      <c r="V370" s="1240"/>
      <c r="W370" s="1240"/>
      <c r="X370" s="1559"/>
      <c r="Y370" s="1240"/>
      <c r="Z370" s="1560"/>
      <c r="AA370" s="1240"/>
      <c r="AB370" s="721" t="s">
        <v>1093</v>
      </c>
      <c r="AC370" s="550" t="s">
        <v>1689</v>
      </c>
      <c r="AD370" s="551" t="s">
        <v>936</v>
      </c>
      <c r="AE370" s="1356"/>
      <c r="AF370" s="1308"/>
      <c r="AG370" s="1308"/>
      <c r="AH370" s="1079" t="s">
        <v>2089</v>
      </c>
      <c r="AI370" s="1309"/>
      <c r="AJ370" s="1309"/>
      <c r="AK370" s="1310"/>
      <c r="AL370" s="1310"/>
      <c r="AM370" s="1656"/>
      <c r="AN370" s="1656"/>
      <c r="AO370" s="1656"/>
      <c r="AP370" s="1656"/>
    </row>
    <row s="1656" customFormat="1" customHeight="1" ht="14.25">
      <c r="A371" s="673"/>
      <c r="B371" s="1240"/>
      <c r="C371" s="1240"/>
      <c r="D371" s="1240"/>
      <c r="E371" s="655">
        <v>15</v>
      </c>
      <c r="F371" s="50" cm="1" t="str">
        <f t="array" ref="F371:F371">OFFSET(E371,-1,1)</f>
        <v>3</v>
      </c>
      <c r="G371" s="1240"/>
      <c r="H371" s="491" t="s">
        <v>2351</v>
      </c>
      <c r="I371" s="1240"/>
      <c r="J371" s="1240"/>
      <c r="K371" s="1240"/>
      <c r="L371" s="1240"/>
      <c r="M371" s="1240"/>
      <c r="N371" s="1240"/>
      <c r="O371" s="1240"/>
      <c r="P371" s="1240"/>
      <c r="Q371" s="1240"/>
      <c r="R371" s="1240"/>
      <c r="S371" s="1240"/>
      <c r="T371" s="468" cm="1" t="str">
        <f t="array" ref="T371:T371">T370</f>
        <v>true</v>
      </c>
      <c r="U371" s="1240"/>
      <c r="V371" s="1240"/>
      <c r="W371" s="1240"/>
      <c r="X371" s="1559"/>
      <c r="Y371" s="1240"/>
      <c r="Z371" s="1560"/>
      <c r="AA371" s="1240"/>
      <c r="AB371" s="721" t="s">
        <v>1737</v>
      </c>
      <c r="AC371" s="550" t="s">
        <v>1699</v>
      </c>
      <c r="AD371" s="551" t="s">
        <v>936</v>
      </c>
      <c r="AE371" s="560">
        <f>AE372+AE373</f>
        <v>0</v>
      </c>
      <c r="AF371" s="1308"/>
      <c r="AG371" s="1308"/>
      <c r="AH371" s="1072" t="s">
        <v>2356</v>
      </c>
      <c r="AI371" s="1309"/>
      <c r="AJ371" s="1309"/>
      <c r="AK371" s="1310"/>
      <c r="AL371" s="1310"/>
      <c r="AM371" s="1656"/>
      <c r="AN371" s="1656"/>
      <c r="AO371" s="1656"/>
      <c r="AP371" s="1656"/>
    </row>
    <row s="1656" customFormat="1" customHeight="1" ht="14.25">
      <c r="A372" s="673"/>
      <c r="B372" s="1240"/>
      <c r="C372" s="1240"/>
      <c r="D372" s="1240"/>
      <c r="E372" s="655">
        <v>15</v>
      </c>
      <c r="F372" s="50" cm="1" t="str">
        <f t="array" ref="F372:F372">OFFSET(E372,-1,1)</f>
        <v>3</v>
      </c>
      <c r="G372" s="1240"/>
      <c r="H372" s="491" t="s">
        <v>2901</v>
      </c>
      <c r="I372" s="1240"/>
      <c r="J372" s="1240"/>
      <c r="K372" s="1240"/>
      <c r="L372" s="1240"/>
      <c r="M372" s="1240"/>
      <c r="N372" s="1240"/>
      <c r="O372" s="1240"/>
      <c r="P372" s="1240"/>
      <c r="Q372" s="1240"/>
      <c r="R372" s="1240"/>
      <c r="S372" s="1240"/>
      <c r="T372" s="468" cm="1" t="str">
        <f t="array" ref="T372:T372">T371</f>
        <v>true</v>
      </c>
      <c r="U372" s="1240"/>
      <c r="V372" s="1240"/>
      <c r="W372" s="1240"/>
      <c r="X372" s="1559"/>
      <c r="Y372" s="1240"/>
      <c r="Z372" s="1560"/>
      <c r="AA372" s="1240"/>
      <c r="AB372" s="721" t="s">
        <v>2347</v>
      </c>
      <c r="AC372" s="552" t="s">
        <v>2902</v>
      </c>
      <c r="AD372" s="551" t="s">
        <v>936</v>
      </c>
      <c r="AE372" s="1356"/>
      <c r="AF372" s="1308"/>
      <c r="AG372" s="1308"/>
      <c r="AH372" s="1072" t="s">
        <v>1456</v>
      </c>
      <c r="AI372" s="1309"/>
      <c r="AJ372" s="1309"/>
      <c r="AK372" s="1310"/>
      <c r="AL372" s="1310"/>
      <c r="AM372" s="1656"/>
      <c r="AN372" s="1656"/>
      <c r="AO372" s="1656"/>
      <c r="AP372" s="1656"/>
    </row>
    <row s="1656" customFormat="1" customHeight="1" ht="21.75">
      <c r="A373" s="673"/>
      <c r="B373" s="1240"/>
      <c r="C373" s="1240"/>
      <c r="D373" s="1240"/>
      <c r="E373" s="655">
        <v>22.5</v>
      </c>
      <c r="F373" s="50" cm="1" t="str">
        <f t="array" ref="F373:F373">OFFSET(E373,-1,1)</f>
        <v>3</v>
      </c>
      <c r="G373" s="1240"/>
      <c r="H373" s="491" t="s">
        <v>2903</v>
      </c>
      <c r="I373" s="1240"/>
      <c r="J373" s="1240"/>
      <c r="K373" s="1240"/>
      <c r="L373" s="1240"/>
      <c r="M373" s="1240"/>
      <c r="N373" s="1240"/>
      <c r="O373" s="1240"/>
      <c r="P373" s="1240"/>
      <c r="Q373" s="1240"/>
      <c r="R373" s="1240"/>
      <c r="S373" s="1240"/>
      <c r="T373" s="468" cm="1" t="str">
        <f t="array" ref="T373:T373">T372</f>
        <v>true</v>
      </c>
      <c r="U373" s="1240"/>
      <c r="V373" s="1240"/>
      <c r="W373" s="1240"/>
      <c r="X373" s="1559"/>
      <c r="Y373" s="1240"/>
      <c r="Z373" s="1560"/>
      <c r="AA373" s="1240"/>
      <c r="AB373" s="721" t="s">
        <v>2904</v>
      </c>
      <c r="AC373" s="552" t="s">
        <v>2905</v>
      </c>
      <c r="AD373" s="551" t="s">
        <v>936</v>
      </c>
      <c r="AE373" s="1356"/>
      <c r="AF373" s="1308"/>
      <c r="AG373" s="1308"/>
      <c r="AH373" s="1072" t="s">
        <v>2363</v>
      </c>
      <c r="AI373" s="1309"/>
      <c r="AJ373" s="1309"/>
      <c r="AK373" s="1310"/>
      <c r="AL373" s="1310"/>
      <c r="AM373" s="1656"/>
      <c r="AN373" s="1656"/>
      <c r="AO373" s="1656"/>
      <c r="AP373" s="1656"/>
    </row>
    <row s="1656" customFormat="1" customHeight="1" ht="76.5">
      <c r="A374" s="673"/>
      <c r="B374" s="1240"/>
      <c r="C374" s="1240"/>
      <c r="D374" s="1240"/>
      <c r="E374" s="655">
        <v>78.75</v>
      </c>
      <c r="F374" s="50" cm="1" t="str">
        <f t="array" ref="F374:F374">OFFSET(E374,-1,1)</f>
        <v>3</v>
      </c>
      <c r="G374" s="1240"/>
      <c r="H374" s="491" t="s">
        <v>2355</v>
      </c>
      <c r="I374" s="1240"/>
      <c r="J374" s="1240"/>
      <c r="K374" s="1240"/>
      <c r="L374" s="1240"/>
      <c r="M374" s="1240"/>
      <c r="N374" s="1240"/>
      <c r="O374" s="1240"/>
      <c r="P374" s="1240"/>
      <c r="Q374" s="1240"/>
      <c r="R374" s="1240"/>
      <c r="S374" s="1240"/>
      <c r="T374" s="468" cm="1" t="str">
        <f t="array" ref="T374:T374">T373</f>
        <v>true</v>
      </c>
      <c r="U374" s="1240"/>
      <c r="V374" s="1240"/>
      <c r="W374" s="1240"/>
      <c r="X374" s="1559"/>
      <c r="Y374" s="1240"/>
      <c r="Z374" s="1560"/>
      <c r="AA374" s="1240"/>
      <c r="AB374" s="721" t="s">
        <v>1742</v>
      </c>
      <c r="AC374" s="1303" t="s">
        <v>1673</v>
      </c>
      <c r="AD374" s="551" t="s">
        <v>936</v>
      </c>
      <c r="AE374" s="1356"/>
      <c r="AF374" s="1308"/>
      <c r="AG374" s="1308"/>
      <c r="AH374" s="1072" t="s">
        <v>2341</v>
      </c>
      <c r="AI374" s="1309"/>
      <c r="AJ374" s="1309"/>
      <c r="AK374" s="1310"/>
      <c r="AL374" s="1310"/>
      <c r="AM374" s="1656"/>
      <c r="AN374" s="1656"/>
      <c r="AO374" s="1656"/>
      <c r="AP374" s="1656"/>
    </row>
    <row s="1441" customFormat="1" customHeight="1" ht="14.25">
      <c r="A375" s="673"/>
      <c r="B375" s="491"/>
      <c r="C375" s="491"/>
      <c r="D375" s="491"/>
      <c r="E375" s="655">
        <v>15</v>
      </c>
      <c r="F375" s="526" cm="1" t="str">
        <f t="array" ref="F375:F375">OFFSET(E375,-1,1)</f>
        <v>3</v>
      </c>
      <c r="G375" s="491"/>
      <c r="H375" s="491"/>
      <c r="I375" s="491"/>
      <c r="J375" s="491"/>
      <c r="K375" s="491"/>
      <c r="L375" s="491"/>
      <c r="M375" s="491"/>
      <c r="N375" s="491"/>
      <c r="O375" s="491"/>
      <c r="P375" s="491"/>
      <c r="Q375" s="491"/>
      <c r="R375" s="491"/>
      <c r="S375" s="491"/>
      <c r="T375" s="468" cm="1" t="str">
        <f t="array" ref="T375:T375">T374</f>
        <v>true</v>
      </c>
      <c r="U375" s="491"/>
      <c r="V375" s="491"/>
      <c r="W375" s="491"/>
      <c r="X375" s="1559"/>
      <c r="Y375" s="491"/>
      <c r="Z375" s="1560"/>
      <c r="AA375" s="491"/>
      <c r="AB375" s="1289" t="s">
        <v>2352</v>
      </c>
      <c r="AC375" s="1303" t="s">
        <v>1192</v>
      </c>
      <c r="AD375" s="1291" t="s">
        <v>936</v>
      </c>
      <c r="AE375" s="561"/>
      <c r="AF375" s="1117"/>
      <c r="AG375" s="1117"/>
      <c r="AH375" s="1072" t="s">
        <v>1194</v>
      </c>
      <c r="AI375" s="1066"/>
      <c r="AJ375" s="1066"/>
      <c r="AK375" s="973"/>
      <c r="AL375" s="973"/>
      <c r="AM375" s="1441"/>
      <c r="AN375" s="1441"/>
      <c r="AO375" s="1441"/>
      <c r="AP375" s="1441"/>
    </row>
    <row s="1441" customFormat="1" customHeight="1" ht="14.25">
      <c r="A376" s="673"/>
      <c r="B376" s="491"/>
      <c r="C376" s="491"/>
      <c r="D376" s="491"/>
      <c r="E376" s="655">
        <v>15</v>
      </c>
      <c r="F376" s="526" cm="1" t="str">
        <f t="array" ref="F376:F376">OFFSET(E376,-1,1)</f>
        <v>3</v>
      </c>
      <c r="G376" s="491"/>
      <c r="H376" s="491"/>
      <c r="I376" s="491"/>
      <c r="J376" s="491"/>
      <c r="K376" s="491"/>
      <c r="L376" s="491"/>
      <c r="M376" s="491"/>
      <c r="N376" s="491"/>
      <c r="O376" s="491"/>
      <c r="P376" s="491"/>
      <c r="Q376" s="491"/>
      <c r="R376" s="491"/>
      <c r="S376" s="491"/>
      <c r="T376" s="468" cm="1" t="str">
        <f t="array" ref="T376:T376">T375</f>
        <v>true</v>
      </c>
      <c r="U376" s="491"/>
      <c r="V376" s="491"/>
      <c r="W376" s="491"/>
      <c r="X376" s="1559"/>
      <c r="Y376" s="491"/>
      <c r="Z376" s="1560"/>
      <c r="AA376" s="491"/>
      <c r="AB376" s="1289" t="s">
        <v>1761</v>
      </c>
      <c r="AC376" s="1303" t="s">
        <v>1684</v>
      </c>
      <c r="AD376" s="1291" t="s">
        <v>936</v>
      </c>
      <c r="AE376" s="561"/>
      <c r="AF376" s="1117"/>
      <c r="AG376" s="1117"/>
      <c r="AH376" s="1072" t="s">
        <v>2906</v>
      </c>
      <c r="AI376" s="1066"/>
      <c r="AJ376" s="1066"/>
      <c r="AK376" s="973"/>
      <c r="AL376" s="973"/>
      <c r="AM376" s="1441"/>
      <c r="AN376" s="1441"/>
      <c r="AO376" s="1441"/>
      <c r="AP376" s="1441"/>
    </row>
    <row s="1656" customFormat="1" customHeight="1" ht="14.25">
      <c r="A377" s="673"/>
      <c r="B377" s="1240"/>
      <c r="C377" s="1240"/>
      <c r="D377" s="1240"/>
      <c r="E377" s="655">
        <v>15</v>
      </c>
      <c r="F377" s="50" cm="1" t="str">
        <f t="array" ref="F377:F377">OFFSET(E377,-1,1)</f>
        <v>3</v>
      </c>
      <c r="G377" s="1240"/>
      <c r="H377" s="491" t="s">
        <v>2907</v>
      </c>
      <c r="I377" s="1240"/>
      <c r="J377" s="1240"/>
      <c r="K377" s="1240"/>
      <c r="L377" s="1240"/>
      <c r="M377" s="1240"/>
      <c r="N377" s="1240"/>
      <c r="O377" s="1240"/>
      <c r="P377" s="1240"/>
      <c r="Q377" s="1240"/>
      <c r="R377" s="1240"/>
      <c r="S377" s="1240"/>
      <c r="T377" s="468" cm="1" t="str">
        <f t="array" ref="T377:T377">T374</f>
        <v>true</v>
      </c>
      <c r="U377" s="1240"/>
      <c r="V377" s="1240"/>
      <c r="W377" s="1240"/>
      <c r="X377" s="1559"/>
      <c r="Y377" s="1240"/>
      <c r="Z377" s="1560"/>
      <c r="AA377" s="1240"/>
      <c r="AB377" s="721" t="s">
        <v>1765</v>
      </c>
      <c r="AC377" s="550" t="s">
        <v>2908</v>
      </c>
      <c r="AD377" s="551" t="s">
        <v>936</v>
      </c>
      <c r="AE377" s="1356"/>
      <c r="AF377" s="1308"/>
      <c r="AG377" s="1308"/>
      <c r="AH377" s="1009" t="s">
        <v>2909</v>
      </c>
      <c r="AI377" s="1309"/>
      <c r="AJ377" s="1309"/>
      <c r="AK377" s="1310"/>
      <c r="AL377" s="1310"/>
      <c r="AM377" s="1656"/>
      <c r="AN377" s="1656"/>
      <c r="AO377" s="1656"/>
      <c r="AP377" s="1656"/>
    </row>
    <row s="1441" customFormat="1" customHeight="1" ht="31.5">
      <c r="A378" s="673"/>
      <c r="B378" s="491"/>
      <c r="C378" s="491"/>
      <c r="D378" s="491"/>
      <c r="E378" s="655">
        <v>33</v>
      </c>
      <c r="F378" s="526" cm="1" t="str">
        <f t="array" ref="F378:F378">OFFSET(E378,-1,1)</f>
        <v>3</v>
      </c>
      <c r="G378" s="491"/>
      <c r="H378" s="491"/>
      <c r="I378" s="491"/>
      <c r="J378" s="491"/>
      <c r="K378" s="491"/>
      <c r="L378" s="491"/>
      <c r="M378" s="491"/>
      <c r="N378" s="491"/>
      <c r="O378" s="491"/>
      <c r="P378" s="491"/>
      <c r="Q378" s="491"/>
      <c r="R378" s="491"/>
      <c r="S378" s="491"/>
      <c r="T378" s="468" cm="1" t="str">
        <f t="array" ref="T378:T378">T377</f>
        <v>true</v>
      </c>
      <c r="U378" s="491"/>
      <c r="V378" s="491"/>
      <c r="W378" s="491"/>
      <c r="X378" s="1559"/>
      <c r="Y378" s="491"/>
      <c r="Z378" s="1560"/>
      <c r="AA378" s="491"/>
      <c r="AB378" s="1289" t="s">
        <v>1768</v>
      </c>
      <c r="AC378" s="1290" t="s">
        <v>2365</v>
      </c>
      <c r="AD378" s="1291" t="s">
        <v>936</v>
      </c>
      <c r="AE378" s="561"/>
      <c r="AF378" s="1117"/>
      <c r="AG378" s="1117"/>
      <c r="AH378" s="1066" t="s">
        <v>2910</v>
      </c>
      <c r="AI378" s="1066"/>
      <c r="AJ378" s="1066"/>
      <c r="AK378" s="973"/>
      <c r="AL378" s="973"/>
      <c r="AM378" s="1441"/>
      <c r="AN378" s="1441"/>
      <c r="AO378" s="1441"/>
      <c r="AP378" s="1441"/>
    </row>
    <row s="1656" customFormat="1" customHeight="1" ht="14.25">
      <c r="A379" s="673"/>
      <c r="B379" s="1240"/>
      <c r="C379" s="1240"/>
      <c r="D379" s="1240"/>
      <c r="E379" s="655">
        <v>15</v>
      </c>
      <c r="F379" s="50" cm="1" t="str">
        <f t="array" ref="F379:F379">OFFSET(E379,-1,1)</f>
        <v>3</v>
      </c>
      <c r="G379" s="1240"/>
      <c r="H379" s="491" t="s">
        <v>2911</v>
      </c>
      <c r="I379" s="1240"/>
      <c r="J379" s="1240"/>
      <c r="K379" s="1240"/>
      <c r="L379" s="1240"/>
      <c r="M379" s="1240"/>
      <c r="N379" s="1240"/>
      <c r="O379" s="1240"/>
      <c r="P379" s="1240"/>
      <c r="Q379" s="1240"/>
      <c r="R379" s="1240"/>
      <c r="S379" s="1240"/>
      <c r="T379" s="468" cm="1" t="str">
        <f t="array" ref="T379:T379">T377</f>
        <v>true</v>
      </c>
      <c r="U379" s="1240"/>
      <c r="V379" s="1240"/>
      <c r="W379" s="1240"/>
      <c r="X379" s="1559"/>
      <c r="Y379" s="1240"/>
      <c r="Z379" s="1560"/>
      <c r="AA379" s="1240"/>
      <c r="AB379" s="721" t="s">
        <v>2912</v>
      </c>
      <c r="AC379" s="550" t="s">
        <v>2913</v>
      </c>
      <c r="AD379" s="551" t="s">
        <v>936</v>
      </c>
      <c r="AE379" s="560">
        <f>SUM(AE380:AE381)</f>
        <v>0</v>
      </c>
      <c r="AF379" s="1308"/>
      <c r="AG379" s="1308"/>
      <c r="AH379" s="1009" t="s">
        <v>2914</v>
      </c>
      <c r="AI379" s="1309"/>
      <c r="AJ379" s="1309"/>
      <c r="AK379" s="1310"/>
      <c r="AL379" s="1310"/>
      <c r="AM379" s="1656"/>
      <c r="AN379" s="1656"/>
      <c r="AO379" s="1656"/>
      <c r="AP379" s="1656"/>
    </row>
    <row s="1656" customFormat="1" customHeight="1" ht="14.25" hidden="1">
      <c r="A380" s="673"/>
      <c r="B380" s="1240"/>
      <c r="C380" s="1240"/>
      <c r="D380" s="1240"/>
      <c r="E380" s="655">
        <v>15</v>
      </c>
      <c r="F380" s="50" cm="1" t="str">
        <f t="array" ref="F380:F380">OFFSET(E380,-1,1)</f>
        <v>3</v>
      </c>
      <c r="G380" s="1240"/>
      <c r="H380" s="491" t="s">
        <v>2911</v>
      </c>
      <c r="I380" s="566" cm="1" t="str">
        <f t="array" ref="I380:I380">AC380</f>
        <v>0</v>
      </c>
      <c r="J380" s="1240"/>
      <c r="K380" s="1240"/>
      <c r="L380" s="1240"/>
      <c r="M380" s="1240"/>
      <c r="N380" s="1240"/>
      <c r="O380" s="1240"/>
      <c r="P380" s="1240"/>
      <c r="Q380" s="1240"/>
      <c r="R380" s="1240"/>
      <c r="S380" s="1240"/>
      <c r="T380" s="468">
        <f>AND(F380&gt;0,Y380&gt;0)</f>
        <v>0</v>
      </c>
      <c r="U380" s="1240"/>
      <c r="V380" s="1240"/>
      <c r="W380" s="558" t="s">
        <v>173</v>
      </c>
      <c r="X380" s="1559"/>
      <c r="Y380" s="491">
        <v>0</v>
      </c>
      <c r="Z380" s="1560"/>
      <c r="AA380" s="668" t="s">
        <v>174</v>
      </c>
      <c r="AB380" s="721" t="str">
        <f>"2.12."&amp;Y380</f>
        <v>2.12.0</v>
      </c>
      <c r="AC380" s="7393"/>
      <c r="AD380" s="551" t="s">
        <v>936</v>
      </c>
      <c r="AE380" s="7394"/>
      <c r="AF380" s="1308"/>
      <c r="AG380" s="1308"/>
      <c r="AH380" s="1009" t="s">
        <v>2914</v>
      </c>
      <c r="AI380" s="1009" t="s">
        <v>2915</v>
      </c>
      <c r="AJ380" s="1014" cm="1" t="str">
        <f t="array" ref="AJ380:AJ380">AC380</f>
        <v>0</v>
      </c>
      <c r="AK380" s="1310"/>
      <c r="AL380" s="662" t="b">
        <v>1</v>
      </c>
      <c r="AM380" s="1656"/>
      <c r="AN380" s="1656"/>
      <c r="AO380" s="1656"/>
      <c r="AP380" s="1656"/>
    </row>
    <row s="1656" customFormat="1" customHeight="1" ht="14.25">
      <c r="A381" s="673"/>
      <c r="B381" s="1240"/>
      <c r="C381" s="1240"/>
      <c r="D381" s="1240"/>
      <c r="E381" s="655">
        <v>15</v>
      </c>
      <c r="F381" s="50" cm="1" t="str">
        <f t="array" ref="F381:F381">OFFSET(E381,-1,1)</f>
        <v>3</v>
      </c>
      <c r="G381" s="1240"/>
      <c r="H381" s="1240"/>
      <c r="I381" s="154" t="str">
        <f>"!== 'не определено' &amp;&amp; row.l2_13 !== null"</f>
        <v>!== 'не определено' &amp;&amp; row.l2_13 !== null</v>
      </c>
      <c r="J381" s="1240"/>
      <c r="K381" s="1240"/>
      <c r="L381" s="1240"/>
      <c r="M381" s="1240"/>
      <c r="N381" s="1240"/>
      <c r="O381" s="1240"/>
      <c r="P381" s="1240"/>
      <c r="Q381" s="1240"/>
      <c r="R381" s="1240"/>
      <c r="S381" s="1240"/>
      <c r="T381" s="468">
        <f>F381&gt;0</f>
        <v>1</v>
      </c>
      <c r="U381" s="1240"/>
      <c r="V381" s="1240"/>
      <c r="W381" s="836" t="s">
        <v>1012</v>
      </c>
      <c r="X381" s="1559"/>
      <c r="Y381" s="1240"/>
      <c r="Z381" s="1560"/>
      <c r="AA381" s="1240"/>
      <c r="AB381" s="1298"/>
      <c r="AC381" s="1358" t="s">
        <v>177</v>
      </c>
      <c r="AD381" s="1300"/>
      <c r="AE381" s="1357"/>
      <c r="AF381" s="1308"/>
      <c r="AG381" s="1308"/>
      <c r="AH381" s="1309"/>
      <c r="AI381" s="1309"/>
      <c r="AJ381" s="1309"/>
      <c r="AK381" s="662" t="s">
        <v>2915</v>
      </c>
      <c r="AL381" s="1310"/>
      <c r="AM381" s="1656"/>
      <c r="AN381" s="1656"/>
      <c r="AO381" s="1656"/>
      <c r="AP381" s="1656"/>
    </row>
    <row s="1656" customFormat="1" customHeight="1" ht="14.25">
      <c r="A382" s="673"/>
      <c r="B382" s="1240"/>
      <c r="C382" s="1240"/>
      <c r="D382" s="1240"/>
      <c r="E382" s="655">
        <v>15</v>
      </c>
      <c r="F382" s="50" cm="1" t="str">
        <f t="array" ref="F382:F382">OFFSET(E382,-1,1)</f>
        <v>3</v>
      </c>
      <c r="G382" s="491" t="s">
        <v>50</v>
      </c>
      <c r="H382" s="491" t="s">
        <v>346</v>
      </c>
      <c r="I382" s="1240"/>
      <c r="J382" s="1240"/>
      <c r="K382" s="1240"/>
      <c r="L382" s="1240"/>
      <c r="M382" s="1240"/>
      <c r="N382" s="1240"/>
      <c r="O382" s="1240"/>
      <c r="P382" s="1240"/>
      <c r="Q382" s="1240"/>
      <c r="R382" s="1240"/>
      <c r="S382" s="1240"/>
      <c r="T382" s="468" cm="1" t="str">
        <f t="array" ref="T382:T382">T381</f>
        <v>true</v>
      </c>
      <c r="U382" s="1240"/>
      <c r="V382" s="1240"/>
      <c r="W382" s="1240"/>
      <c r="X382" s="1559"/>
      <c r="Y382" s="1240"/>
      <c r="Z382" s="1560"/>
      <c r="AA382" s="1240"/>
      <c r="AB382" s="720" t="s">
        <v>234</v>
      </c>
      <c r="AC382" s="548" t="s">
        <v>2368</v>
      </c>
      <c r="AD382" s="549" t="s">
        <v>936</v>
      </c>
      <c r="AE382" s="1359"/>
      <c r="AF382" s="1308"/>
      <c r="AG382" s="1308"/>
      <c r="AH382" s="1009" t="s">
        <v>1984</v>
      </c>
      <c r="AI382" s="1309"/>
      <c r="AJ382" s="1309"/>
      <c r="AK382" s="1310"/>
      <c r="AL382" s="1310"/>
      <c r="AM382" s="1656"/>
      <c r="AN382" s="1656"/>
      <c r="AO382" s="1656"/>
      <c r="AP382" s="1656"/>
    </row>
    <row customHeight="1" ht="10.96875">
      <c r="E383" s="655">
        <v>11.25</v>
      </c>
      <c r="U383" s="491" t="s">
        <v>177</v>
      </c>
      <c r="V383" s="1304" t="s">
        <v>2916</v>
      </c>
      <c r="AB383" s="1305"/>
      <c r="AC383" s="1306"/>
      <c r="AD383" s="1307"/>
      <c r="AE383" s="1360"/>
      <c r="AF383" s="485"/>
    </row>
    <row s="1328" customFormat="1" customHeight="1" ht="14.625">
      <c r="A384" s="1361"/>
      <c r="E384" s="1362">
        <v>15</v>
      </c>
      <c r="F384" s="1363"/>
      <c r="G384" s="1363"/>
      <c r="AB384" s="1553" t="s">
        <v>420</v>
      </c>
      <c r="AC384" s="1553"/>
      <c r="AD384" s="1553"/>
      <c r="AE384" s="1561"/>
      <c r="AF384" s="1308"/>
      <c r="AG384" s="1308"/>
      <c r="AH384" s="1309"/>
      <c r="AI384" s="1309"/>
      <c r="AJ384" s="1309"/>
      <c r="AK384" s="1310"/>
      <c r="AL384" s="1310"/>
      <c r="AM384" s="81"/>
      <c r="AN384" s="81"/>
      <c r="AO384" s="81"/>
      <c r="AP384" s="81"/>
    </row>
    <row s="1328" customFormat="1" customHeight="1" ht="14.625">
      <c r="A385" s="1361"/>
      <c r="E385" s="844">
        <v>15</v>
      </c>
      <c r="F385" s="1363"/>
      <c r="G385" s="1363"/>
      <c r="AB385" s="1562"/>
      <c r="AC385" s="1562"/>
      <c r="AD385" s="1562"/>
      <c r="AE385" s="1563"/>
      <c r="AF385" s="1308"/>
      <c r="AG385" s="1308"/>
      <c r="AH385" s="1309"/>
      <c r="AI385" s="1309"/>
      <c r="AJ385" s="1309"/>
      <c r="AK385" s="1310"/>
      <c r="AL385" s="1310"/>
      <c r="AM385" s="81"/>
      <c r="AN385" s="81"/>
      <c r="AO385" s="81"/>
      <c r="AP385" s="81"/>
    </row>
    <row s="1328" customFormat="1" customHeight="1" ht="14.625" hidden="1">
      <c r="A386" s="1361"/>
      <c r="B386" s="1328"/>
      <c r="C386" s="1328"/>
      <c r="D386" s="1328"/>
      <c r="E386" s="718">
        <v>15</v>
      </c>
      <c r="F386" s="1328"/>
      <c r="G386" s="1328"/>
      <c r="H386" s="1328"/>
      <c r="I386" s="1328"/>
      <c r="J386" s="1328"/>
      <c r="K386" s="1328"/>
      <c r="L386" s="1328"/>
      <c r="M386" s="1328"/>
      <c r="N386" s="1328"/>
      <c r="O386" s="1328"/>
      <c r="P386" s="1328"/>
      <c r="Q386" s="1328"/>
      <c r="R386" s="1328"/>
      <c r="S386" s="1328"/>
      <c r="T386" s="468">
        <f>ROW(W386)&gt;ROW(W$386)</f>
        <v>0</v>
      </c>
      <c r="U386" s="1328"/>
      <c r="V386" s="1328"/>
      <c r="W386" s="558" t="s">
        <v>173</v>
      </c>
      <c r="X386" s="1328"/>
      <c r="Y386" s="1328"/>
      <c r="Z386" s="1328"/>
      <c r="AA386" s="1311" t="s">
        <v>174</v>
      </c>
      <c r="AB386" s="2898"/>
      <c r="AC386" s="2897"/>
      <c r="AD386" s="2897"/>
      <c r="AE386" s="2899"/>
      <c r="AF386" s="1308"/>
      <c r="AG386" s="1308"/>
      <c r="AH386" s="1309"/>
      <c r="AI386" s="1309"/>
      <c r="AJ386" s="1309"/>
      <c r="AK386" s="1310"/>
      <c r="AL386" s="1310"/>
      <c r="AM386" s="81"/>
      <c r="AN386" s="81"/>
      <c r="AO386" s="81"/>
      <c r="AP386" s="81"/>
    </row>
    <row s="1328" customFormat="1" customHeight="1" ht="14.625">
      <c r="A387" s="1361"/>
      <c r="E387" s="718">
        <v>15</v>
      </c>
      <c r="W387" s="836" t="s">
        <v>421</v>
      </c>
      <c r="AB387" s="1364"/>
      <c r="AC387" s="1365" t="s">
        <v>422</v>
      </c>
      <c r="AD387" s="1366"/>
      <c r="AE387" s="1367"/>
      <c r="AF387" s="1308"/>
      <c r="AG387" s="1308"/>
      <c r="AH387" s="1309"/>
      <c r="AI387" s="1309"/>
      <c r="AJ387" s="1309"/>
      <c r="AK387" s="1310"/>
      <c r="AL387" s="1310"/>
      <c r="AM387" s="81"/>
      <c r="AN387" s="81"/>
      <c r="AO387" s="81"/>
      <c r="AP387" s="81"/>
    </row>
    <row customHeight="1" ht="10.96875">
      <c r="E388" s="655">
        <v>11.25</v>
      </c>
      <c r="AC388" s="541"/>
      <c r="AF388" s="417"/>
    </row>
    <row customHeight="1" ht="11.25" hidden="1">
      <c r="A389" s="417"/>
      <c r="B389" s="417"/>
      <c r="C389" s="417"/>
      <c r="D389" s="417"/>
      <c r="E389" s="662"/>
      <c r="F389" s="417"/>
      <c r="G389" s="417"/>
      <c r="H389" s="417"/>
      <c r="I389" s="417"/>
      <c r="J389" s="417"/>
      <c r="K389" s="417"/>
      <c r="L389" s="417"/>
      <c r="M389" s="417"/>
      <c r="N389" s="417"/>
      <c r="O389" s="417"/>
      <c r="P389" s="417"/>
      <c r="Q389" s="417"/>
      <c r="R389" s="417"/>
      <c r="S389" s="417"/>
      <c r="T389" s="417"/>
      <c r="U389" s="417"/>
      <c r="V389" s="417"/>
      <c r="W389" s="417"/>
      <c r="X389" s="417"/>
      <c r="Y389" s="417"/>
      <c r="Z389" s="417"/>
      <c r="AA389" s="417"/>
      <c r="AB389" s="417"/>
      <c r="AF389" s="417"/>
      <c r="AG389" s="417"/>
      <c r="AH389" s="1009"/>
      <c r="AI389" s="1009"/>
      <c r="AJ389" s="1009"/>
      <c r="AK389" s="662"/>
      <c r="AL389" s="662"/>
    </row>
    <row customHeight="1" ht="11.25" hidden="1">
      <c r="A390" s="417"/>
      <c r="B390" s="417"/>
      <c r="C390" s="417"/>
      <c r="D390" s="417"/>
      <c r="E390" s="662"/>
      <c r="F390" s="417"/>
      <c r="G390" s="417"/>
      <c r="H390" s="417"/>
      <c r="I390" s="417"/>
      <c r="J390" s="417"/>
      <c r="K390" s="417"/>
      <c r="L390" s="417"/>
      <c r="M390" s="417"/>
      <c r="N390" s="417"/>
      <c r="O390" s="417"/>
      <c r="P390" s="417"/>
      <c r="Q390" s="417"/>
      <c r="R390" s="417"/>
      <c r="S390" s="417"/>
      <c r="T390" s="417"/>
      <c r="U390" s="417"/>
      <c r="V390" s="417"/>
      <c r="W390" s="417"/>
      <c r="X390" s="417"/>
      <c r="Y390" s="417"/>
      <c r="Z390" s="417"/>
      <c r="AA390" s="417"/>
      <c r="AB390" s="417"/>
      <c r="AF390" s="417"/>
      <c r="AG390" s="417"/>
      <c r="AH390" s="1009"/>
      <c r="AI390" s="1009"/>
      <c r="AJ390" s="1009"/>
      <c r="AK390" s="662"/>
      <c r="AL390" s="662"/>
    </row>
    <row customHeight="1" ht="11.25" hidden="1">
      <c r="A391" s="417"/>
      <c r="B391" s="417"/>
      <c r="C391" s="417"/>
      <c r="D391" s="417"/>
      <c r="E391" s="662"/>
      <c r="F391" s="417"/>
      <c r="G391" s="417"/>
      <c r="H391" s="417"/>
      <c r="I391" s="417"/>
      <c r="J391" s="417"/>
      <c r="K391" s="417"/>
      <c r="L391" s="417"/>
      <c r="M391" s="417"/>
      <c r="N391" s="417"/>
      <c r="O391" s="417"/>
      <c r="P391" s="417"/>
      <c r="Q391" s="417"/>
      <c r="R391" s="417"/>
      <c r="S391" s="417"/>
      <c r="T391" s="417"/>
      <c r="U391" s="417"/>
      <c r="V391" s="417"/>
      <c r="W391" s="417"/>
      <c r="X391" s="417"/>
      <c r="Y391" s="417"/>
      <c r="Z391" s="417"/>
      <c r="AA391" s="417"/>
      <c r="AB391" s="417"/>
      <c r="AF391" s="417"/>
      <c r="AG391" s="417"/>
      <c r="AH391" s="1009"/>
      <c r="AI391" s="1009"/>
      <c r="AJ391" s="1009"/>
      <c r="AK391" s="662"/>
      <c r="AL391" s="662"/>
    </row>
    <row customHeight="1" ht="11.25" hidden="1">
      <c r="A392" s="417"/>
      <c r="B392" s="417"/>
      <c r="C392" s="417"/>
      <c r="D392" s="417"/>
      <c r="E392" s="662"/>
      <c r="F392" s="417"/>
      <c r="G392" s="417"/>
      <c r="H392" s="417"/>
      <c r="I392" s="417"/>
      <c r="J392" s="417"/>
      <c r="K392" s="417"/>
      <c r="L392" s="417"/>
      <c r="M392" s="417"/>
      <c r="N392" s="417"/>
      <c r="O392" s="417"/>
      <c r="P392" s="417"/>
      <c r="Q392" s="417"/>
      <c r="R392" s="417"/>
      <c r="S392" s="417"/>
      <c r="T392" s="417"/>
      <c r="U392" s="417"/>
      <c r="V392" s="417"/>
      <c r="W392" s="417"/>
      <c r="X392" s="417"/>
      <c r="Y392" s="417"/>
      <c r="Z392" s="417"/>
      <c r="AA392" s="417"/>
      <c r="AB392" s="417"/>
      <c r="AF392" s="417"/>
      <c r="AG392" s="417"/>
      <c r="AH392" s="1009"/>
      <c r="AI392" s="1009"/>
      <c r="AJ392" s="1009"/>
      <c r="AK392" s="662"/>
      <c r="AL392" s="662"/>
    </row>
    <row customHeight="1" ht="11.25" hidden="1">
      <c r="A393" s="417"/>
      <c r="B393" s="417"/>
      <c r="C393" s="417"/>
      <c r="D393" s="417"/>
      <c r="E393" s="662"/>
      <c r="F393" s="417"/>
      <c r="G393" s="417"/>
      <c r="H393" s="417"/>
      <c r="I393" s="417"/>
      <c r="J393" s="417"/>
      <c r="K393" s="417"/>
      <c r="L393" s="417"/>
      <c r="M393" s="417"/>
      <c r="N393" s="417"/>
      <c r="O393" s="417"/>
      <c r="P393" s="417"/>
      <c r="Q393" s="417"/>
      <c r="R393" s="417"/>
      <c r="S393" s="417"/>
      <c r="T393" s="417"/>
      <c r="U393" s="417"/>
      <c r="V393" s="417"/>
      <c r="W393" s="417"/>
      <c r="X393" s="417"/>
      <c r="Y393" s="417"/>
      <c r="Z393" s="417"/>
      <c r="AA393" s="417"/>
      <c r="AB393" s="417"/>
      <c r="AF393" s="417"/>
      <c r="AG393" s="417"/>
      <c r="AH393" s="1009"/>
      <c r="AI393" s="1009"/>
      <c r="AJ393" s="1009"/>
      <c r="AK393" s="662"/>
      <c r="AL393" s="662"/>
    </row>
    <row customHeight="1" ht="11.25" hidden="1">
      <c r="A394" s="417"/>
      <c r="B394" s="417"/>
      <c r="C394" s="417"/>
      <c r="D394" s="417"/>
      <c r="E394" s="662"/>
      <c r="F394" s="417"/>
      <c r="G394" s="417"/>
      <c r="H394" s="417"/>
      <c r="I394" s="417"/>
      <c r="J394" s="417"/>
      <c r="K394" s="417"/>
      <c r="L394" s="417"/>
      <c r="M394" s="417"/>
      <c r="N394" s="417"/>
      <c r="O394" s="417"/>
      <c r="P394" s="417"/>
      <c r="Q394" s="417"/>
      <c r="R394" s="417"/>
      <c r="S394" s="417"/>
      <c r="T394" s="417"/>
      <c r="U394" s="417"/>
      <c r="V394" s="417"/>
      <c r="W394" s="417"/>
      <c r="X394" s="417"/>
      <c r="Y394" s="417"/>
      <c r="Z394" s="417"/>
      <c r="AA394" s="417"/>
      <c r="AB394" s="417"/>
      <c r="AF394" s="417"/>
      <c r="AG394" s="417"/>
      <c r="AH394" s="1009"/>
      <c r="AI394" s="1009"/>
      <c r="AJ394" s="1009"/>
      <c r="AK394" s="662"/>
      <c r="AL394" s="662"/>
    </row>
    <row customHeight="1" ht="11.25" hidden="1">
      <c r="A395" s="417"/>
      <c r="B395" s="417"/>
      <c r="C395" s="417"/>
      <c r="D395" s="417"/>
      <c r="E395" s="662"/>
      <c r="F395" s="417"/>
      <c r="G395" s="417"/>
      <c r="H395" s="417"/>
      <c r="I395" s="417"/>
      <c r="J395" s="417"/>
      <c r="K395" s="417"/>
      <c r="L395" s="417"/>
      <c r="M395" s="417"/>
      <c r="N395" s="417"/>
      <c r="O395" s="417"/>
      <c r="P395" s="417"/>
      <c r="Q395" s="417"/>
      <c r="R395" s="417"/>
      <c r="S395" s="417"/>
      <c r="T395" s="417"/>
      <c r="U395" s="417"/>
      <c r="V395" s="417"/>
      <c r="W395" s="417"/>
      <c r="X395" s="417"/>
      <c r="Y395" s="417"/>
      <c r="Z395" s="417"/>
      <c r="AA395" s="417"/>
      <c r="AB395" s="417"/>
      <c r="AF395" s="417"/>
      <c r="AG395" s="417"/>
      <c r="AH395" s="1009"/>
      <c r="AI395" s="1009"/>
      <c r="AJ395" s="1009"/>
      <c r="AK395" s="662"/>
      <c r="AL395" s="662"/>
    </row>
    <row customHeight="1" ht="11.25" hidden="1">
      <c r="A396" s="417"/>
      <c r="B396" s="417"/>
      <c r="C396" s="417"/>
      <c r="D396" s="417"/>
      <c r="E396" s="662"/>
      <c r="F396" s="417"/>
      <c r="G396" s="417"/>
      <c r="H396" s="417"/>
      <c r="I396" s="417"/>
      <c r="J396" s="417"/>
      <c r="K396" s="417"/>
      <c r="L396" s="417"/>
      <c r="M396" s="417"/>
      <c r="N396" s="417"/>
      <c r="O396" s="417"/>
      <c r="P396" s="417"/>
      <c r="Q396" s="417"/>
      <c r="R396" s="417"/>
      <c r="S396" s="417"/>
      <c r="T396" s="417"/>
      <c r="U396" s="417"/>
      <c r="V396" s="417"/>
      <c r="W396" s="417"/>
      <c r="X396" s="417"/>
      <c r="Y396" s="417"/>
      <c r="Z396" s="417"/>
      <c r="AA396" s="417"/>
      <c r="AB396" s="417"/>
      <c r="AF396" s="417"/>
      <c r="AG396" s="417"/>
      <c r="AH396" s="1009"/>
      <c r="AI396" s="1009"/>
      <c r="AJ396" s="1009"/>
      <c r="AK396" s="662"/>
      <c r="AL396" s="662"/>
    </row>
    <row customHeight="1" ht="11.25" hidden="1">
      <c r="A397" s="417"/>
      <c r="B397" s="417"/>
      <c r="C397" s="417"/>
      <c r="D397" s="417"/>
      <c r="E397" s="662"/>
      <c r="F397" s="417"/>
      <c r="G397" s="417"/>
      <c r="H397" s="417"/>
      <c r="I397" s="417"/>
      <c r="J397" s="417"/>
      <c r="K397" s="417"/>
      <c r="L397" s="417"/>
      <c r="M397" s="417"/>
      <c r="N397" s="417"/>
      <c r="O397" s="417"/>
      <c r="P397" s="417"/>
      <c r="Q397" s="417"/>
      <c r="R397" s="417"/>
      <c r="S397" s="417"/>
      <c r="T397" s="417"/>
      <c r="U397" s="417"/>
      <c r="V397" s="417"/>
      <c r="W397" s="417"/>
      <c r="X397" s="417"/>
      <c r="Y397" s="417"/>
      <c r="Z397" s="417"/>
      <c r="AA397" s="417"/>
      <c r="AB397" s="417"/>
      <c r="AF397" s="417"/>
      <c r="AG397" s="417"/>
      <c r="AH397" s="1009"/>
      <c r="AI397" s="1009"/>
      <c r="AJ397" s="1009"/>
      <c r="AK397" s="662"/>
      <c r="AL397" s="662"/>
    </row>
    <row customHeight="1" ht="11.25" hidden="1">
      <c r="A398" s="417"/>
      <c r="B398" s="417"/>
      <c r="C398" s="417"/>
      <c r="D398" s="417"/>
      <c r="E398" s="662"/>
      <c r="F398" s="417"/>
      <c r="G398" s="417"/>
      <c r="H398" s="417"/>
      <c r="I398" s="417"/>
      <c r="J398" s="417"/>
      <c r="K398" s="417"/>
      <c r="L398" s="417"/>
      <c r="M398" s="417"/>
      <c r="N398" s="417"/>
      <c r="O398" s="417"/>
      <c r="P398" s="417"/>
      <c r="Q398" s="417"/>
      <c r="R398" s="417"/>
      <c r="S398" s="417"/>
      <c r="T398" s="417"/>
      <c r="U398" s="417"/>
      <c r="V398" s="417"/>
      <c r="W398" s="417"/>
      <c r="X398" s="417"/>
      <c r="Y398" s="417"/>
      <c r="Z398" s="417"/>
      <c r="AA398" s="417"/>
      <c r="AB398" s="417"/>
      <c r="AF398" s="417"/>
      <c r="AG398" s="417"/>
      <c r="AH398" s="1009"/>
      <c r="AI398" s="1009"/>
      <c r="AJ398" s="1009"/>
      <c r="AK398" s="662"/>
      <c r="AL398" s="662"/>
    </row>
    <row customHeight="1" ht="11.25" hidden="1">
      <c r="A399" s="417"/>
      <c r="B399" s="417"/>
      <c r="C399" s="417"/>
      <c r="D399" s="417"/>
      <c r="E399" s="662"/>
      <c r="F399" s="417"/>
      <c r="G399" s="417"/>
      <c r="H399" s="417"/>
      <c r="I399" s="417"/>
      <c r="J399" s="417"/>
      <c r="K399" s="417"/>
      <c r="L399" s="417"/>
      <c r="M399" s="417"/>
      <c r="N399" s="417"/>
      <c r="O399" s="417"/>
      <c r="P399" s="417"/>
      <c r="Q399" s="417"/>
      <c r="R399" s="417"/>
      <c r="S399" s="417"/>
      <c r="T399" s="417"/>
      <c r="U399" s="417"/>
      <c r="V399" s="417"/>
      <c r="W399" s="417"/>
      <c r="X399" s="417"/>
      <c r="Y399" s="417"/>
      <c r="Z399" s="417"/>
      <c r="AA399" s="417"/>
      <c r="AB399" s="417"/>
      <c r="AF399" s="417"/>
      <c r="AG399" s="417"/>
      <c r="AH399" s="1009"/>
      <c r="AI399" s="1009"/>
      <c r="AJ399" s="1009"/>
      <c r="AK399" s="662"/>
      <c r="AL399" s="662"/>
    </row>
    <row customHeight="1" ht="11.25" hidden="1">
      <c r="A400" s="417"/>
      <c r="B400" s="417"/>
      <c r="C400" s="417"/>
      <c r="D400" s="417"/>
      <c r="E400" s="662"/>
      <c r="F400" s="417"/>
      <c r="G400" s="417"/>
      <c r="H400" s="417"/>
      <c r="I400" s="417"/>
      <c r="J400" s="417"/>
      <c r="K400" s="417"/>
      <c r="L400" s="417"/>
      <c r="M400" s="417"/>
      <c r="N400" s="417"/>
      <c r="O400" s="417"/>
      <c r="P400" s="417"/>
      <c r="Q400" s="417"/>
      <c r="R400" s="417"/>
      <c r="S400" s="417"/>
      <c r="T400" s="417"/>
      <c r="U400" s="417"/>
      <c r="V400" s="417"/>
      <c r="W400" s="417"/>
      <c r="X400" s="417"/>
      <c r="Y400" s="417"/>
      <c r="Z400" s="417"/>
      <c r="AA400" s="417"/>
      <c r="AB400" s="417"/>
      <c r="AF400" s="417"/>
      <c r="AG400" s="417"/>
      <c r="AH400" s="1009"/>
      <c r="AI400" s="1009"/>
      <c r="AJ400" s="1009"/>
      <c r="AK400" s="662"/>
      <c r="AL400" s="662"/>
    </row>
    <row customHeight="1" ht="11.25" hidden="1">
      <c r="A401" s="417"/>
      <c r="B401" s="417"/>
      <c r="C401" s="417"/>
      <c r="D401" s="417"/>
      <c r="E401" s="662"/>
      <c r="F401" s="417"/>
      <c r="G401" s="417"/>
      <c r="H401" s="417"/>
      <c r="I401" s="417"/>
      <c r="J401" s="417"/>
      <c r="K401" s="417"/>
      <c r="L401" s="417"/>
      <c r="M401" s="417"/>
      <c r="N401" s="417"/>
      <c r="O401" s="417"/>
      <c r="P401" s="417"/>
      <c r="Q401" s="417"/>
      <c r="R401" s="417"/>
      <c r="S401" s="417"/>
      <c r="T401" s="417"/>
      <c r="U401" s="417"/>
      <c r="V401" s="417"/>
      <c r="W401" s="417"/>
      <c r="X401" s="417"/>
      <c r="Y401" s="417"/>
      <c r="Z401" s="417"/>
      <c r="AA401" s="417"/>
      <c r="AB401" s="417"/>
      <c r="AF401" s="417"/>
      <c r="AG401" s="417"/>
      <c r="AH401" s="1009"/>
      <c r="AI401" s="1009"/>
      <c r="AJ401" s="1009"/>
      <c r="AK401" s="662"/>
      <c r="AL401" s="662"/>
    </row>
    <row customHeight="1" ht="11.25" hidden="1">
      <c r="A402" s="417"/>
      <c r="B402" s="417"/>
      <c r="C402" s="417"/>
      <c r="D402" s="417"/>
      <c r="E402" s="662"/>
      <c r="F402" s="417"/>
      <c r="G402" s="417"/>
      <c r="H402" s="417"/>
      <c r="I402" s="417"/>
      <c r="J402" s="417"/>
      <c r="K402" s="417"/>
      <c r="L402" s="417"/>
      <c r="M402" s="417"/>
      <c r="N402" s="417"/>
      <c r="O402" s="417"/>
      <c r="P402" s="417"/>
      <c r="Q402" s="417"/>
      <c r="R402" s="417"/>
      <c r="S402" s="417"/>
      <c r="T402" s="417"/>
      <c r="U402" s="417"/>
      <c r="V402" s="417"/>
      <c r="W402" s="417"/>
      <c r="X402" s="417"/>
      <c r="Y402" s="417"/>
      <c r="Z402" s="417"/>
      <c r="AA402" s="417"/>
      <c r="AB402" s="417"/>
      <c r="AF402" s="417"/>
      <c r="AG402" s="417"/>
      <c r="AH402" s="1009"/>
      <c r="AI402" s="1009"/>
      <c r="AJ402" s="1009"/>
      <c r="AK402" s="662"/>
      <c r="AL402" s="662"/>
    </row>
    <row customHeight="1" ht="11.25" hidden="1">
      <c r="A403" s="417"/>
      <c r="B403" s="417"/>
      <c r="C403" s="417"/>
      <c r="D403" s="417"/>
      <c r="E403" s="662"/>
      <c r="F403" s="417"/>
      <c r="G403" s="417"/>
      <c r="H403" s="417"/>
      <c r="I403" s="417"/>
      <c r="J403" s="417"/>
      <c r="K403" s="417"/>
      <c r="L403" s="417"/>
      <c r="M403" s="417"/>
      <c r="N403" s="417"/>
      <c r="O403" s="417"/>
      <c r="P403" s="417"/>
      <c r="Q403" s="417"/>
      <c r="R403" s="417"/>
      <c r="S403" s="417"/>
      <c r="T403" s="417"/>
      <c r="U403" s="417"/>
      <c r="V403" s="417"/>
      <c r="W403" s="417"/>
      <c r="X403" s="417"/>
      <c r="Y403" s="417"/>
      <c r="Z403" s="417"/>
      <c r="AA403" s="417"/>
      <c r="AB403" s="417"/>
      <c r="AF403" s="417"/>
      <c r="AG403" s="417"/>
      <c r="AH403" s="1009"/>
      <c r="AI403" s="1009"/>
      <c r="AJ403" s="1009"/>
      <c r="AK403" s="662"/>
      <c r="AL403" s="662"/>
    </row>
    <row customHeight="1" ht="11.25" hidden="1">
      <c r="A404" s="417"/>
      <c r="B404" s="417"/>
      <c r="C404" s="417"/>
      <c r="D404" s="417"/>
      <c r="E404" s="662"/>
      <c r="F404" s="417"/>
      <c r="G404" s="417"/>
      <c r="H404" s="417"/>
      <c r="I404" s="417"/>
      <c r="J404" s="417"/>
      <c r="K404" s="417"/>
      <c r="L404" s="417"/>
      <c r="M404" s="417"/>
      <c r="N404" s="417"/>
      <c r="O404" s="417"/>
      <c r="P404" s="417"/>
      <c r="Q404" s="417"/>
      <c r="R404" s="417"/>
      <c r="S404" s="417"/>
      <c r="T404" s="417"/>
      <c r="U404" s="417"/>
      <c r="V404" s="417"/>
      <c r="W404" s="417"/>
      <c r="X404" s="417"/>
      <c r="Y404" s="417"/>
      <c r="Z404" s="417"/>
      <c r="AA404" s="417"/>
      <c r="AB404" s="417"/>
      <c r="AF404" s="417"/>
      <c r="AG404" s="417"/>
      <c r="AH404" s="1009"/>
      <c r="AI404" s="1009"/>
      <c r="AJ404" s="1009"/>
      <c r="AK404" s="662"/>
      <c r="AL404" s="662"/>
    </row>
    <row customHeight="1" ht="11.25" hidden="1">
      <c r="A405" s="417"/>
      <c r="B405" s="417"/>
      <c r="C405" s="417"/>
      <c r="D405" s="417"/>
      <c r="E405" s="662"/>
      <c r="F405" s="417"/>
      <c r="G405" s="417"/>
      <c r="H405" s="417"/>
      <c r="I405" s="417"/>
      <c r="J405" s="417"/>
      <c r="K405" s="417"/>
      <c r="L405" s="417"/>
      <c r="M405" s="417"/>
      <c r="N405" s="417"/>
      <c r="O405" s="417"/>
      <c r="P405" s="417"/>
      <c r="Q405" s="417"/>
      <c r="R405" s="417"/>
      <c r="S405" s="417"/>
      <c r="T405" s="417"/>
      <c r="U405" s="417"/>
      <c r="V405" s="417"/>
      <c r="W405" s="417"/>
      <c r="X405" s="417"/>
      <c r="Y405" s="417"/>
      <c r="Z405" s="417"/>
      <c r="AA405" s="417"/>
      <c r="AB405" s="417"/>
      <c r="AF405" s="417"/>
      <c r="AG405" s="417"/>
      <c r="AH405" s="1009"/>
      <c r="AI405" s="1009"/>
      <c r="AJ405" s="1009"/>
      <c r="AK405" s="662"/>
      <c r="AL405" s="662"/>
    </row>
    <row customHeight="1" ht="11.25" hidden="1">
      <c r="A406" s="417"/>
      <c r="B406" s="417"/>
      <c r="C406" s="417"/>
      <c r="D406" s="417"/>
      <c r="E406" s="662"/>
      <c r="F406" s="417"/>
      <c r="G406" s="417"/>
      <c r="H406" s="417"/>
      <c r="I406" s="417"/>
      <c r="J406" s="417"/>
      <c r="K406" s="417"/>
      <c r="L406" s="417"/>
      <c r="M406" s="417"/>
      <c r="N406" s="417"/>
      <c r="O406" s="417"/>
      <c r="P406" s="417"/>
      <c r="Q406" s="417"/>
      <c r="R406" s="417"/>
      <c r="S406" s="417"/>
      <c r="T406" s="417"/>
      <c r="U406" s="417"/>
      <c r="V406" s="417"/>
      <c r="W406" s="417"/>
      <c r="X406" s="417"/>
      <c r="Y406" s="417"/>
      <c r="Z406" s="417"/>
      <c r="AA406" s="417"/>
      <c r="AB406" s="417"/>
      <c r="AF406" s="417"/>
      <c r="AG406" s="417"/>
      <c r="AH406" s="1009"/>
      <c r="AI406" s="1009"/>
      <c r="AJ406" s="1009"/>
      <c r="AK406" s="662"/>
      <c r="AL406" s="662"/>
    </row>
    <row customHeight="1" ht="11.25" hidden="1">
      <c r="A407" s="417"/>
      <c r="B407" s="417"/>
      <c r="C407" s="417"/>
      <c r="D407" s="417"/>
      <c r="E407" s="662"/>
      <c r="F407" s="417"/>
      <c r="G407" s="417"/>
      <c r="H407" s="417"/>
      <c r="I407" s="417"/>
      <c r="J407" s="417"/>
      <c r="K407" s="417"/>
      <c r="L407" s="417"/>
      <c r="M407" s="417"/>
      <c r="N407" s="417"/>
      <c r="O407" s="417"/>
      <c r="P407" s="417"/>
      <c r="Q407" s="417"/>
      <c r="R407" s="417"/>
      <c r="S407" s="417"/>
      <c r="T407" s="417"/>
      <c r="U407" s="417"/>
      <c r="V407" s="417"/>
      <c r="W407" s="417"/>
      <c r="X407" s="417"/>
      <c r="Y407" s="417"/>
      <c r="Z407" s="417"/>
      <c r="AA407" s="417"/>
      <c r="AB407" s="417"/>
      <c r="AF407" s="417"/>
      <c r="AG407" s="417"/>
      <c r="AH407" s="1009"/>
      <c r="AI407" s="1009"/>
      <c r="AJ407" s="1009"/>
      <c r="AK407" s="662"/>
      <c r="AL407" s="662"/>
    </row>
  </sheetData>
  <sheetProtection formatColumns="0" formatRows="0" insertRows="0" deleteColumns="0" deleteRows="0" sort="0" autoFilter="0" insertColumns="1"/>
  <mergeCells count="16">
    <mergeCell ref="AB22:AE22"/>
    <mergeCell ref="AB385:AE385"/>
    <mergeCell ref="AB386:AE386"/>
    <mergeCell ref="X27:X115"/>
    <mergeCell ref="Z27:Z115"/>
    <mergeCell ref="AB23:AE23"/>
    <mergeCell ref="AB24:AB25"/>
    <mergeCell ref="AC24:AC25"/>
    <mergeCell ref="AD24:AD25"/>
    <mergeCell ref="AB384:AE384"/>
    <mergeCell ref="X116:X204"/>
    <mergeCell ref="Z116:Z204"/>
    <mergeCell ref="X205:X293"/>
    <mergeCell ref="Z205:Z293"/>
    <mergeCell ref="X294:X382"/>
    <mergeCell ref="Z294:Z382"/>
  </mergeCells>
  <pageMargins left="0.35" right="0.35" top="0.40" bottom="0.40" header="0.31" footer="0.31"/>
  <pageSetup paperSize="9" scale="63" fitToHeight="0" pageOrder="downThenOver" orientation="landscape"/>
  <headerFooter>
    <oddHeader>&amp;L&amp;C&amp;R</oddHeader>
    <oddFooter>&amp;L&amp;C&amp;R</oddFooter>
    <evenHeader>&amp;L&amp;C&amp;R</evenHeader>
    <evenFooter>&amp;L&amp;C&amp;R</even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6A5FB7C-6B28-D592-FCC5-D10EA2F07F4D}" mc:Ignorable="x14ac xr xr2 xr3">
  <sheetPr>
    <tabColor rgb="FF92D050"/>
    <outlinePr summaryRight="0" summaryBelow="0"/>
    <pageSetUpPr fitToPage="1"/>
  </sheetPr>
  <dimension ref="A1:AI110"/>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8.7109375" customHeight="1" defaultRowHeight="11.25"/>
  <cols>
    <col min="1" max="4" style="1240" width="2.7109375" hidden="1" customWidth="1"/>
    <col min="5" max="5" style="1183" width="4.57421875" hidden="1" customWidth="1"/>
    <col min="6" max="6" style="1240" width="2.7109375" hidden="1" customWidth="1"/>
    <col min="7" max="7" style="1240" width="13.28125" hidden="1" customWidth="1"/>
    <col min="8" max="19" style="1240" width="2.7109375" hidden="1" customWidth="1"/>
    <col min="20" max="20" style="1240" width="8.57421875" hidden="1" customWidth="1"/>
    <col min="21" max="26" style="1240" width="2.7109375" hidden="1" customWidth="1"/>
    <col min="27" max="27" style="1240" width="3.00390625" customWidth="1"/>
    <col min="28" max="28" style="1240" width="11.00390625" customWidth="1"/>
    <col min="29" max="29" style="1240" width="57.00390625" customWidth="1"/>
    <col min="30" max="30" style="1560" width="14.57421875" customWidth="1"/>
    <col min="31" max="32" style="1560" width="12.57421875" customWidth="1"/>
    <col min="33" max="33" style="1240" width="3.00390625" customWidth="1"/>
    <col min="34" max="34" style="1240" width="8.7109375" hidden="1"/>
    <col min="35" max="35" style="1184" width="8.7109375" hidden="1"/>
  </cols>
  <sheetData>
    <row customHeight="1" ht="11.25" hidden="1">
      <c r="E1" s="491"/>
      <c r="F1" s="491" t="s">
        <v>333</v>
      </c>
      <c r="H1" s="491" t="s">
        <v>343</v>
      </c>
      <c r="T1" s="468" t="s">
        <v>93</v>
      </c>
      <c r="U1" s="468" t="s">
        <v>98</v>
      </c>
      <c r="V1" s="468" t="s">
        <v>94</v>
      </c>
      <c r="W1" s="468" t="s">
        <v>95</v>
      </c>
      <c r="X1" s="468" t="s">
        <v>96</v>
      </c>
      <c r="Y1" s="470" t="s">
        <v>335</v>
      </c>
      <c r="Z1" s="468" t="s">
        <v>100</v>
      </c>
      <c r="AA1" s="470" t="s">
        <v>97</v>
      </c>
      <c r="AC1" s="470" t="s">
        <v>99</v>
      </c>
      <c r="AI1" s="1033" t="s">
        <v>336</v>
      </c>
    </row>
    <row customHeight="1" ht="11.25" hidden="1">
      <c r="B2" s="447" t="s">
        <v>19</v>
      </c>
      <c r="E2" s="491"/>
      <c r="AE2" s="1560" cm="1" t="str">
        <f t="array" ref="AE2:AE2">isOrgDeclare</f>
        <v>true</v>
      </c>
    </row>
    <row customHeight="1" ht="11.25" hidden="1">
      <c r="E3" s="491"/>
    </row>
    <row customHeight="1" ht="11.25" hidden="1">
      <c r="E4" s="491"/>
    </row>
    <row s="1183" customFormat="1" customHeight="1" ht="11.25" hidden="1">
      <c r="A5" s="491"/>
      <c r="B5" s="491"/>
      <c r="C5" s="491"/>
      <c r="D5" s="491"/>
      <c r="E5" s="655" t="s">
        <v>20</v>
      </c>
      <c r="AA5" s="655">
        <v>3</v>
      </c>
      <c r="AB5" s="655">
        <v>11</v>
      </c>
      <c r="AC5" s="655">
        <v>57</v>
      </c>
      <c r="AD5" s="657">
        <v>14.57</v>
      </c>
      <c r="AE5" s="657">
        <v>12.57</v>
      </c>
      <c r="AF5" s="657">
        <v>12.57</v>
      </c>
      <c r="AG5" s="655">
        <v>3</v>
      </c>
      <c r="AI5" s="1033"/>
    </row>
    <row customHeight="1" ht="11.25" hidden="1">
      <c r="A6" s="491" t="s">
        <v>371</v>
      </c>
      <c r="AE6" s="562" cm="1" t="str">
        <f t="array" ref="AE6:AE6">god</f>
        <v>2026</v>
      </c>
      <c r="AF6" s="562" cm="1" t="str">
        <f t="array" ref="AF6:AF6">god</f>
        <v>2026</v>
      </c>
    </row>
    <row customHeight="1" ht="11.25" hidden="1">
      <c r="A7" s="491" t="s">
        <v>372</v>
      </c>
      <c r="AE7" s="562" cm="1" t="str">
        <f t="array" ref="AE7:AE7">AE25</f>
        <v>Предложение организации</v>
      </c>
      <c r="AF7" s="562" cm="1" t="str">
        <f t="array" ref="AF7:AF7">AF25</f>
        <v>Принято органом регулирования</v>
      </c>
    </row>
    <row customHeight="1" ht="11.25" hidden="1">
      <c r="AE8" s="562"/>
      <c r="AF8" s="562"/>
    </row>
    <row s="1184" customFormat="1" customHeight="1" ht="11.25" hidden="1">
      <c r="A9" s="1033" t="s">
        <v>377</v>
      </c>
      <c r="AD9" s="1034"/>
      <c r="AE9" s="1085" cm="1" t="str">
        <f t="array" ref="AE9:AE9">AE25</f>
        <v>Предложение организации</v>
      </c>
      <c r="AF9" s="1085" cm="1" t="str">
        <f t="array" ref="AF9:AF9">AF25</f>
        <v>Принято органом регулирования</v>
      </c>
    </row>
    <row customHeight="1" ht="11.25" hidden="1">
      <c r="AE10" s="562"/>
      <c r="AF10" s="562"/>
    </row>
    <row customHeight="1" ht="11.25" hidden="1">
      <c r="AE11" s="562"/>
      <c r="AF11" s="562"/>
    </row>
    <row customHeight="1" ht="11.25" hidden="1">
      <c r="AE12" s="562"/>
      <c r="AF12" s="562"/>
    </row>
    <row customHeight="1" ht="11.25" hidden="1">
      <c r="AE13" s="562"/>
      <c r="AF13" s="562"/>
    </row>
    <row customHeight="1" ht="11.25" hidden="1">
      <c r="AE14" s="562"/>
      <c r="AF14" s="562"/>
    </row>
    <row customHeight="1" ht="11.25" hidden="1">
      <c r="AE15" s="562"/>
      <c r="AF15" s="562"/>
    </row>
    <row customHeight="1" ht="11.25" hidden="1">
      <c r="AE16" s="562"/>
      <c r="AF16" s="562"/>
    </row>
    <row customHeight="1" ht="11.25" hidden="1">
      <c r="AE17" s="520"/>
      <c r="AF17" s="520"/>
    </row>
    <row customHeight="1" ht="11.25" hidden="1">
      <c r="AE18" s="525">
        <f>_xlfn.SUMIFS('Перечень объектов'!AH$24:AH$75,'Перечень объектов'!$F$24:$F$75,$F29,'Перечень объектов'!$L$24:$L$75,"ЭЭ")</f>
        <v>0</v>
      </c>
    </row>
    <row customHeight="1" ht="11.25" hidden="1"/>
    <row customHeight="1" ht="11.25" hidden="1"/>
    <row customHeight="1" ht="14.625">
      <c r="E21" s="655">
        <v>15</v>
      </c>
      <c r="AA21" s="491"/>
      <c r="AC21" s="526" cm="1" t="str">
        <f t="array" ref="AC21:AC21">tpl_title</f>
        <v>Кемеровская область / 2026 / ОАО «СКЭК» (ИНН:4205153492, КПП:420501001) / ДПР: 2024-2028</v>
      </c>
    </row>
    <row customHeight="1" ht="32.90625">
      <c r="E22" s="655">
        <v>33.75</v>
      </c>
      <c r="AB22" s="1587" t="s">
        <v>91</v>
      </c>
      <c r="AC22" s="1588"/>
      <c r="AD22" s="1588"/>
      <c r="AE22" s="1588"/>
      <c r="AF22" s="1588"/>
    </row>
    <row customHeight="1" ht="10.96875">
      <c r="E23" s="655">
        <v>11.25</v>
      </c>
      <c r="AB23" s="1568"/>
      <c r="AC23" s="1568"/>
      <c r="AD23" s="1568"/>
      <c r="AE23" s="1568"/>
      <c r="AF23" s="1568"/>
    </row>
    <row customHeight="1" ht="14.625">
      <c r="E24" s="655">
        <v>15</v>
      </c>
      <c r="AB24" s="1553" t="s">
        <v>918</v>
      </c>
      <c r="AC24" s="1584" t="s">
        <v>194</v>
      </c>
      <c r="AD24" s="1553" t="s">
        <v>381</v>
      </c>
      <c r="AE24" s="1636" t="str">
        <f>god&amp;" год"</f>
        <v>2026 год</v>
      </c>
      <c r="AF24" s="1637"/>
    </row>
    <row customHeight="1" ht="48.75">
      <c r="E25" s="655">
        <v>50</v>
      </c>
      <c r="AB25" s="1553"/>
      <c r="AC25" s="1584"/>
      <c r="AD25" s="1553"/>
      <c r="AE25" s="1368" t="s">
        <v>374</v>
      </c>
      <c r="AF25" s="767" t="s">
        <v>373</v>
      </c>
    </row>
    <row customHeight="1" ht="11.25" hidden="1">
      <c r="E26" s="655">
        <v>0</v>
      </c>
      <c r="AB26" s="731"/>
      <c r="AC26" s="745"/>
      <c r="AD26" s="731"/>
      <c r="AE26" s="1369"/>
      <c r="AF26" s="1369"/>
    </row>
    <row customHeight="1" ht="14.625" hidden="1">
      <c r="A27" s="1240"/>
      <c r="B27" s="1240"/>
      <c r="C27" s="1240"/>
      <c r="D27" s="1240"/>
      <c r="E27" s="655">
        <v>15</v>
      </c>
      <c r="F27" s="491" cm="1" t="str">
        <f t="array" ref="F27:F27">X27</f>
        <v>0</v>
      </c>
      <c r="G27" s="1240"/>
      <c r="H27" s="1240"/>
      <c r="I27" s="1240"/>
      <c r="J27" s="1240"/>
      <c r="K27" s="1240"/>
      <c r="L27" s="1240"/>
      <c r="M27" s="1240"/>
      <c r="N27" s="1240"/>
      <c r="O27" s="1240"/>
      <c r="P27" s="1240"/>
      <c r="Q27" s="1240"/>
      <c r="R27" s="1240"/>
      <c r="S27" s="1240"/>
      <c r="T27" s="468">
        <f>X27&gt;0</f>
        <v>0</v>
      </c>
      <c r="U27" s="1240"/>
      <c r="V27" s="491" t="s">
        <v>279</v>
      </c>
      <c r="W27" s="1240"/>
      <c r="X27" s="1559">
        <v>0</v>
      </c>
      <c r="Y27" s="1240"/>
      <c r="Z27" s="1560"/>
      <c r="AA27" s="1240"/>
      <c r="AB27" s="218" cm="1" t="str">
        <f t="array" ref="AB27:AB27">INDEX('Общие сведения'!$AG$197:$AG$254,MATCH($X27,'Общие сведения'!$Z$197:$Z$254,0))</f>
        <v>Тариф 0 () - </v>
      </c>
      <c r="AC27" s="1312"/>
      <c r="AD27" s="1313"/>
      <c r="AE27" s="1313"/>
      <c r="AF27" s="1314"/>
      <c r="AG27" s="1240"/>
      <c r="AH27" s="1240"/>
      <c r="AI27" s="1184"/>
    </row>
    <row s="528" customFormat="1" customHeight="1" ht="21.9375" hidden="1">
      <c r="A28" s="528"/>
      <c r="B28" s="528"/>
      <c r="C28" s="528"/>
      <c r="D28" s="528"/>
      <c r="E28" s="680">
        <v>22.5</v>
      </c>
      <c r="F28" s="50" cm="1" t="str">
        <f t="array" ref="F28:F28">OFFSET(E28,-1,1)</f>
        <v>0</v>
      </c>
      <c r="G28" s="528"/>
      <c r="H28" s="491" t="s">
        <v>344</v>
      </c>
      <c r="I28" s="491"/>
      <c r="J28" s="491"/>
      <c r="K28" s="491"/>
      <c r="L28" s="528"/>
      <c r="M28" s="528"/>
      <c r="N28" s="528"/>
      <c r="O28" s="528"/>
      <c r="P28" s="528"/>
      <c r="Q28" s="528"/>
      <c r="R28" s="528"/>
      <c r="S28" s="528"/>
      <c r="T28" s="468" cm="1" t="str">
        <f t="array" ref="T28:T28">T27</f>
        <v>false</v>
      </c>
      <c r="U28" s="528"/>
      <c r="V28" s="528"/>
      <c r="W28" s="528"/>
      <c r="X28" s="1559"/>
      <c r="Y28" s="528"/>
      <c r="Z28" s="1560"/>
      <c r="AA28" s="528"/>
      <c r="AB28" s="518" t="s">
        <v>290</v>
      </c>
      <c r="AC28" s="534" t="s">
        <v>2917</v>
      </c>
      <c r="AD28" s="518" t="s">
        <v>936</v>
      </c>
      <c r="AE28" s="530">
        <f>(AE29+AE37)*AE35</f>
        <v>0</v>
      </c>
      <c r="AF28" s="530">
        <f>(AF29+AF37)*AF35</f>
        <v>0</v>
      </c>
      <c r="AG28" s="528"/>
      <c r="AH28" s="528"/>
      <c r="AI28" s="1043" t="s">
        <v>2918</v>
      </c>
    </row>
    <row customHeight="1" ht="21.9375" hidden="1">
      <c r="A29" s="1240"/>
      <c r="B29" s="1240"/>
      <c r="C29" s="1240"/>
      <c r="D29" s="1240"/>
      <c r="E29" s="655">
        <v>22.5</v>
      </c>
      <c r="F29" s="50" cm="1" t="str">
        <f t="array" ref="F29:F29">OFFSET(E29,-1,1)</f>
        <v>0</v>
      </c>
      <c r="G29" s="491" t="s">
        <v>2919</v>
      </c>
      <c r="H29" s="491" t="s">
        <v>345</v>
      </c>
      <c r="I29" s="1240"/>
      <c r="J29" s="1240"/>
      <c r="K29" s="491" t="str">
        <f>F29&amp;G29</f>
        <v>0УТР</v>
      </c>
      <c r="L29" s="1095" cm="1" t="str">
        <f t="array" ref="L29:L29">AE29</f>
        <v>0</v>
      </c>
      <c r="M29" s="1095" cm="1" t="str">
        <f t="array" ref="M29:M29">AF29</f>
        <v>0</v>
      </c>
      <c r="N29" s="1240"/>
      <c r="O29" s="1240"/>
      <c r="P29" s="1240"/>
      <c r="Q29" s="1240"/>
      <c r="R29" s="1240"/>
      <c r="S29" s="1240"/>
      <c r="T29" s="468" cm="1" t="str">
        <f t="array" ref="T29:T29">T28</f>
        <v>false</v>
      </c>
      <c r="U29" s="1240"/>
      <c r="V29" s="1240"/>
      <c r="W29" s="1240"/>
      <c r="X29" s="1559"/>
      <c r="Y29" s="1240"/>
      <c r="Z29" s="1560"/>
      <c r="AA29" s="1240"/>
      <c r="AB29" s="518" t="s">
        <v>299</v>
      </c>
      <c r="AC29" s="529" t="s">
        <v>1240</v>
      </c>
      <c r="AD29" s="518" t="s">
        <v>1232</v>
      </c>
      <c r="AE29" s="1094">
        <f>IF(AE34=0,0,(AE30-IF(_xlfn.SUMIFS('Перечень объектов'!AH$24:AH$75,'Перечень объектов'!$F$24:$F$75,$F29,'Перечень объектов'!$G$24:$G$75,"ЭЭ")&gt;0,0,AE31))/AE34)</f>
        <v>0</v>
      </c>
      <c r="AF29" s="1094">
        <f>IF(AF34=0,0,(AF30-IF(_xlfn.SUMIFS('Перечень объектов'!AI$24:AI$75,'Перечень объектов'!$F$24:$F$75,$F29,'Перечень объектов'!$G$24:$G$75,"ЭЭ")&gt;0,0,AF31))/AF34)</f>
        <v>0</v>
      </c>
      <c r="AG29" s="1240"/>
      <c r="AH29" s="1240"/>
      <c r="AI29" s="1033" t="s">
        <v>2920</v>
      </c>
    </row>
    <row customHeight="1" ht="32.90625" hidden="1">
      <c r="A30" s="1240"/>
      <c r="B30" s="1240"/>
      <c r="C30" s="1240"/>
      <c r="D30" s="1240"/>
      <c r="E30" s="655">
        <v>33.75</v>
      </c>
      <c r="F30" s="50" cm="1" t="str">
        <f t="array" ref="F30:F30">OFFSET(E30,-1,1)</f>
        <v>0</v>
      </c>
      <c r="G30" s="1240"/>
      <c r="H30" s="491" t="s">
        <v>584</v>
      </c>
      <c r="I30" s="1240"/>
      <c r="J30" s="1240"/>
      <c r="K30" s="1240"/>
      <c r="L30" s="1240"/>
      <c r="M30" s="1240"/>
      <c r="N30" s="1240"/>
      <c r="O30" s="1240"/>
      <c r="P30" s="1240"/>
      <c r="Q30" s="1240"/>
      <c r="R30" s="1240"/>
      <c r="S30" s="1240"/>
      <c r="T30" s="468" cm="1" t="str">
        <f t="array" ref="T30:T30">T29</f>
        <v>false</v>
      </c>
      <c r="U30" s="1240"/>
      <c r="V30" s="1240"/>
      <c r="W30" s="1240"/>
      <c r="X30" s="1559"/>
      <c r="Y30" s="1240"/>
      <c r="Z30" s="1560"/>
      <c r="AA30" s="1240"/>
      <c r="AB30" s="518" t="s">
        <v>660</v>
      </c>
      <c r="AC30" s="565" t="s">
        <v>2921</v>
      </c>
      <c r="AD30" s="518" t="s">
        <v>936</v>
      </c>
      <c r="AE30" s="3175"/>
      <c r="AF30" s="530">
        <f>_xlfn.SUMIFS(ГО!AE$25:AE$383,ГО!$F$25:$F$383,$F30,ГО!$G$25:$G$383,"Итог")*(1+AF32/100)*(1+AF33/100)</f>
        <v>0</v>
      </c>
      <c r="AG30" s="1240"/>
      <c r="AH30" s="1240"/>
      <c r="AI30" s="1033" t="s">
        <v>2922</v>
      </c>
    </row>
    <row s="528" customFormat="1" customHeight="1" ht="14.625" hidden="1">
      <c r="A31" s="528"/>
      <c r="B31" s="528"/>
      <c r="C31" s="528"/>
      <c r="D31" s="528"/>
      <c r="E31" s="680">
        <v>15</v>
      </c>
      <c r="F31" s="50" cm="1" t="str">
        <f t="array" ref="F31:F31">OFFSET(E31,-1,1)</f>
        <v>0</v>
      </c>
      <c r="G31" s="528"/>
      <c r="H31" s="491" t="s">
        <v>1787</v>
      </c>
      <c r="I31" s="491"/>
      <c r="J31" s="491"/>
      <c r="K31" s="491"/>
      <c r="L31" s="528"/>
      <c r="M31" s="528"/>
      <c r="N31" s="528"/>
      <c r="O31" s="528"/>
      <c r="P31" s="528"/>
      <c r="Q31" s="528"/>
      <c r="R31" s="528"/>
      <c r="S31" s="528"/>
      <c r="T31" s="468" cm="1" t="str">
        <f t="array" ref="T31:T31">T30</f>
        <v>false</v>
      </c>
      <c r="U31" s="528"/>
      <c r="V31" s="528"/>
      <c r="W31" s="528"/>
      <c r="X31" s="1559"/>
      <c r="Y31" s="528"/>
      <c r="Z31" s="1560"/>
      <c r="AA31" s="528"/>
      <c r="AB31" s="518" t="s">
        <v>592</v>
      </c>
      <c r="AC31" s="1315" t="s">
        <v>2923</v>
      </c>
      <c r="AD31" s="518" t="s">
        <v>936</v>
      </c>
      <c r="AE31" s="3175"/>
      <c r="AF31" s="530">
        <f>_xlfn.SUMIFS(ГО!AE$25:AE$383,ГО!$F$25:$F$383,$F31,ГО!$G$25:$G$383,"ЭЭ")*(1+AF32/100)*(1+AF33/100)</f>
        <v>0</v>
      </c>
      <c r="AG31" s="528"/>
      <c r="AH31" s="528"/>
      <c r="AI31" s="1043" t="s">
        <v>1984</v>
      </c>
    </row>
    <row s="528" customFormat="1" customHeight="1" ht="14.625" hidden="1">
      <c r="A32" s="528"/>
      <c r="B32" s="528"/>
      <c r="C32" s="528"/>
      <c r="D32" s="528"/>
      <c r="E32" s="680">
        <v>15</v>
      </c>
      <c r="F32" s="50" cm="1" t="str">
        <f t="array" ref="F32:F32">OFFSET(E32,-1,1)</f>
        <v>0</v>
      </c>
      <c r="G32" s="528"/>
      <c r="H32" s="491" t="s">
        <v>587</v>
      </c>
      <c r="I32" s="491"/>
      <c r="J32" s="491"/>
      <c r="K32" s="491"/>
      <c r="L32" s="528"/>
      <c r="M32" s="528"/>
      <c r="N32" s="528"/>
      <c r="O32" s="528"/>
      <c r="P32" s="528"/>
      <c r="Q32" s="528"/>
      <c r="R32" s="528"/>
      <c r="S32" s="528"/>
      <c r="T32" s="468" cm="1" t="str">
        <f t="array" ref="T32:T32">T31</f>
        <v>false</v>
      </c>
      <c r="U32" s="528"/>
      <c r="V32" s="528"/>
      <c r="W32" s="528"/>
      <c r="X32" s="1559"/>
      <c r="Y32" s="528"/>
      <c r="Z32" s="1560"/>
      <c r="AA32" s="528"/>
      <c r="AB32" s="518" t="s">
        <v>664</v>
      </c>
      <c r="AC32" s="565" t="str">
        <f>"индекс потребительских цен на "&amp;god-1&amp;" год"</f>
        <v>индекс потребительских цен на 2025 год</v>
      </c>
      <c r="AD32" s="518" t="s">
        <v>561</v>
      </c>
      <c r="AE32" s="3175"/>
      <c r="AF32" s="3175"/>
      <c r="AG32" s="528"/>
      <c r="AH32" s="528"/>
      <c r="AI32" s="1043" t="s">
        <v>2924</v>
      </c>
    </row>
    <row s="528" customFormat="1" customHeight="1" ht="14.625" hidden="1">
      <c r="A33" s="528"/>
      <c r="B33" s="528"/>
      <c r="C33" s="528"/>
      <c r="D33" s="528"/>
      <c r="E33" s="680">
        <v>15</v>
      </c>
      <c r="F33" s="50" cm="1" t="str">
        <f t="array" ref="F33:F33">OFFSET(E33,-1,1)</f>
        <v>0</v>
      </c>
      <c r="G33" s="528"/>
      <c r="H33" s="491" t="s">
        <v>1087</v>
      </c>
      <c r="I33" s="491"/>
      <c r="J33" s="491"/>
      <c r="K33" s="491"/>
      <c r="L33" s="528"/>
      <c r="M33" s="528"/>
      <c r="N33" s="528"/>
      <c r="O33" s="528"/>
      <c r="P33" s="528"/>
      <c r="Q33" s="528"/>
      <c r="R33" s="528"/>
      <c r="S33" s="528"/>
      <c r="T33" s="468" cm="1" t="str">
        <f t="array" ref="T33:T33">T32</f>
        <v>false</v>
      </c>
      <c r="U33" s="528"/>
      <c r="V33" s="528"/>
      <c r="W33" s="528"/>
      <c r="X33" s="1559"/>
      <c r="Y33" s="528"/>
      <c r="Z33" s="1560"/>
      <c r="AA33" s="528"/>
      <c r="AB33" s="518" t="s">
        <v>668</v>
      </c>
      <c r="AC33" s="565" t="str">
        <f>"индекс потребительских цен на "&amp;god&amp;" год"</f>
        <v>индекс потребительских цен на 2026 год</v>
      </c>
      <c r="AD33" s="518" t="s">
        <v>561</v>
      </c>
      <c r="AE33" s="3175"/>
      <c r="AF33" s="3175"/>
      <c r="AG33" s="528"/>
      <c r="AH33" s="528"/>
      <c r="AI33" s="1043" t="s">
        <v>2925</v>
      </c>
    </row>
    <row s="528" customFormat="1" customHeight="1" ht="21.9375" hidden="1">
      <c r="A34" s="528"/>
      <c r="B34" s="528"/>
      <c r="C34" s="528"/>
      <c r="D34" s="528"/>
      <c r="E34" s="680">
        <v>22.5</v>
      </c>
      <c r="F34" s="50" cm="1" t="str">
        <f t="array" ref="F34:F34">OFFSET(E34,-1,1)</f>
        <v>0</v>
      </c>
      <c r="G34" s="528"/>
      <c r="H34" s="491" t="s">
        <v>1089</v>
      </c>
      <c r="I34" s="491"/>
      <c r="J34" s="491"/>
      <c r="K34" s="491"/>
      <c r="L34" s="528"/>
      <c r="M34" s="528"/>
      <c r="N34" s="528"/>
      <c r="O34" s="528"/>
      <c r="P34" s="528"/>
      <c r="Q34" s="528"/>
      <c r="R34" s="528"/>
      <c r="S34" s="528"/>
      <c r="T34" s="468" cm="1" t="str">
        <f t="array" ref="T34:T34">T33</f>
        <v>false</v>
      </c>
      <c r="U34" s="528"/>
      <c r="V34" s="528"/>
      <c r="W34" s="528"/>
      <c r="X34" s="1559"/>
      <c r="Y34" s="528"/>
      <c r="Z34" s="1560"/>
      <c r="AA34" s="528"/>
      <c r="AB34" s="518" t="s">
        <v>1090</v>
      </c>
      <c r="AC34" s="565" t="s">
        <v>2926</v>
      </c>
      <c r="AD34" s="518" t="s">
        <v>928</v>
      </c>
      <c r="AE34" s="3175"/>
      <c r="AF34" s="3175"/>
      <c r="AG34" s="528"/>
      <c r="AH34" s="528"/>
      <c r="AI34" s="1043" t="s">
        <v>2927</v>
      </c>
    </row>
    <row s="528" customFormat="1" customHeight="1" ht="14.625" hidden="1">
      <c r="A35" s="528"/>
      <c r="B35" s="528"/>
      <c r="C35" s="528"/>
      <c r="D35" s="528"/>
      <c r="E35" s="680">
        <v>15</v>
      </c>
      <c r="F35" s="50" cm="1" t="str">
        <f t="array" ref="F35:F35">OFFSET(E35,-1,1)</f>
        <v>0</v>
      </c>
      <c r="G35" s="528"/>
      <c r="H35" s="491" t="s">
        <v>346</v>
      </c>
      <c r="I35" s="491"/>
      <c r="J35" s="491"/>
      <c r="K35" s="491"/>
      <c r="L35" s="528"/>
      <c r="M35" s="528"/>
      <c r="N35" s="528"/>
      <c r="O35" s="528"/>
      <c r="P35" s="528"/>
      <c r="Q35" s="528"/>
      <c r="R35" s="528"/>
      <c r="S35" s="528"/>
      <c r="T35" s="468" cm="1" t="str">
        <f t="array" ref="T35:T35">T34</f>
        <v>false</v>
      </c>
      <c r="U35" s="528"/>
      <c r="V35" s="528"/>
      <c r="W35" s="528"/>
      <c r="X35" s="1559"/>
      <c r="Y35" s="528"/>
      <c r="Z35" s="1560"/>
      <c r="AA35" s="528"/>
      <c r="AB35" s="518" t="s">
        <v>234</v>
      </c>
      <c r="AC35" s="1316" t="s">
        <v>2928</v>
      </c>
      <c r="AD35" s="518" t="s">
        <v>928</v>
      </c>
      <c r="AE35" s="533">
        <f>_xlfn.SUMIFS('Условные метры'!AL$27:AL$41,'Условные метры'!$F$27:$F$41,$F35,'Условные метры'!$G$27:$G$41,"Итог")</f>
        <v>0</v>
      </c>
      <c r="AF35" s="533">
        <f>_xlfn.SUMIFS('Условные метры'!AN$27:AN$41,'Условные метры'!$F$27:$F$41,$F35,'Условные метры'!$G$27:$G$41,"Итог")</f>
        <v>0</v>
      </c>
      <c r="AG35" s="528"/>
      <c r="AH35" s="528"/>
      <c r="AI35" s="1043" t="s">
        <v>2929</v>
      </c>
    </row>
    <row s="528" customFormat="1" customHeight="1" ht="14.625" hidden="1">
      <c r="A36" s="528"/>
      <c r="B36" s="528"/>
      <c r="C36" s="528"/>
      <c r="D36" s="528"/>
      <c r="E36" s="680">
        <v>15</v>
      </c>
      <c r="F36" s="50" cm="1" t="str">
        <f t="array" ref="F36:F36">OFFSET(E36,-1,1)</f>
        <v>0</v>
      </c>
      <c r="G36" s="528"/>
      <c r="H36" s="491" t="s">
        <v>1097</v>
      </c>
      <c r="I36" s="491"/>
      <c r="J36" s="491"/>
      <c r="K36" s="491"/>
      <c r="L36" s="528"/>
      <c r="M36" s="528"/>
      <c r="N36" s="528"/>
      <c r="O36" s="528"/>
      <c r="P36" s="528"/>
      <c r="Q36" s="528"/>
      <c r="R36" s="528"/>
      <c r="S36" s="528"/>
      <c r="T36" s="468" cm="1" t="str">
        <f t="array" ref="T36:T36">T35</f>
        <v>false</v>
      </c>
      <c r="U36" s="528"/>
      <c r="V36" s="528"/>
      <c r="W36" s="528"/>
      <c r="X36" s="1559"/>
      <c r="Y36" s="528"/>
      <c r="Z36" s="1560"/>
      <c r="AA36" s="528"/>
      <c r="AB36" s="518" t="s">
        <v>674</v>
      </c>
      <c r="AC36" s="565" t="s">
        <v>2930</v>
      </c>
      <c r="AD36" s="518" t="s">
        <v>399</v>
      </c>
      <c r="AE36" s="533">
        <f>_xlfn.SUMIFS('Условные метры'!AK$27:AK$41,'Условные метры'!$F$27:$F$41,$F36,'Условные метры'!$G$27:$G$41,"Итог")</f>
        <v>0</v>
      </c>
      <c r="AF36" s="533">
        <f>_xlfn.SUMIFS('Условные метры'!AM$27:AM$41,'Условные метры'!$F$27:$F$41,$F36,'Условные метры'!$G$27:$G$41,"Итог")</f>
        <v>0</v>
      </c>
      <c r="AG36" s="528"/>
      <c r="AH36" s="528"/>
      <c r="AI36" s="1043" t="s">
        <v>2931</v>
      </c>
    </row>
    <row s="528" customFormat="1" customHeight="1" ht="14.625" hidden="1">
      <c r="A37" s="528"/>
      <c r="B37" s="528"/>
      <c r="C37" s="528"/>
      <c r="D37" s="528"/>
      <c r="E37" s="680">
        <v>15</v>
      </c>
      <c r="F37" s="50" cm="1" t="str">
        <f t="array" ref="F37:F37">OFFSET(E37,-1,1)</f>
        <v>0</v>
      </c>
      <c r="G37" s="528"/>
      <c r="H37" s="491" t="s">
        <v>348</v>
      </c>
      <c r="I37" s="491"/>
      <c r="J37" s="491"/>
      <c r="K37" s="491"/>
      <c r="L37" s="528"/>
      <c r="M37" s="528"/>
      <c r="N37" s="528"/>
      <c r="O37" s="528"/>
      <c r="P37" s="528"/>
      <c r="Q37" s="528"/>
      <c r="R37" s="528"/>
      <c r="S37" s="528"/>
      <c r="T37" s="468" cm="1" t="str">
        <f t="array" ref="T37:T37">T36</f>
        <v>false</v>
      </c>
      <c r="U37" s="528"/>
      <c r="V37" s="528"/>
      <c r="W37" s="528"/>
      <c r="X37" s="1559"/>
      <c r="Y37" s="528"/>
      <c r="Z37" s="1560"/>
      <c r="AA37" s="528"/>
      <c r="AB37" s="518" t="s">
        <v>451</v>
      </c>
      <c r="AC37" s="564" t="s">
        <v>2932</v>
      </c>
      <c r="AD37" s="518" t="s">
        <v>1232</v>
      </c>
      <c r="AE37" s="533">
        <f>_xlfn.SUMIFS('Амортизация (аналог)'!AE$25:AE$55,'Амортизация (аналог)'!$F$25:$F$55,$F37,'Амортизация (аналог)'!$AB$25:$AB$55,"2")</f>
        <v>0</v>
      </c>
      <c r="AF37" s="533">
        <f>_xlfn.SUMIFS('Амортизация (аналог)'!AF$25:AF$55,'Амортизация (аналог)'!$F$25:$F$55,$F37,'Амортизация (аналог)'!$AB$25:$AB$55,"2")</f>
        <v>0</v>
      </c>
      <c r="AG37" s="528"/>
      <c r="AH37" s="528"/>
      <c r="AI37" s="1043" t="s">
        <v>2933</v>
      </c>
    </row>
    <row s="528" customFormat="1" customHeight="1" ht="14.625" hidden="1">
      <c r="A38" s="528"/>
      <c r="B38" s="528"/>
      <c r="C38" s="528"/>
      <c r="D38" s="528"/>
      <c r="E38" s="680">
        <v>15</v>
      </c>
      <c r="F38" s="50" cm="1" t="str">
        <f t="array" ref="F38:F38">OFFSET(E38,-1,1)</f>
        <v>0</v>
      </c>
      <c r="G38" s="528"/>
      <c r="H38" s="491" t="s">
        <v>659</v>
      </c>
      <c r="I38" s="491"/>
      <c r="J38" s="491"/>
      <c r="K38" s="491"/>
      <c r="L38" s="528"/>
      <c r="M38" s="528"/>
      <c r="N38" s="528"/>
      <c r="O38" s="528"/>
      <c r="P38" s="528"/>
      <c r="Q38" s="528"/>
      <c r="R38" s="528"/>
      <c r="S38" s="528"/>
      <c r="T38" s="468" cm="1" t="str">
        <f t="array" ref="T38:T38">T37</f>
        <v>false</v>
      </c>
      <c r="U38" s="528"/>
      <c r="V38" s="528"/>
      <c r="W38" s="528"/>
      <c r="X38" s="1559"/>
      <c r="Y38" s="528"/>
      <c r="Z38" s="1560"/>
      <c r="AA38" s="528"/>
      <c r="AB38" s="518" t="s">
        <v>794</v>
      </c>
      <c r="AC38" s="1317" t="s">
        <v>2934</v>
      </c>
      <c r="AD38" s="518" t="s">
        <v>561</v>
      </c>
      <c r="AE38" s="530">
        <f>IF(AE29=0,0,AE37/AE29*100)</f>
        <v>0</v>
      </c>
      <c r="AF38" s="530">
        <f>IF(AF29=0,0,AF37/AF29*100)</f>
        <v>0</v>
      </c>
      <c r="AG38" s="528"/>
      <c r="AH38" s="528"/>
      <c r="AI38" s="1043" t="s">
        <v>2935</v>
      </c>
    </row>
    <row s="528" customFormat="1" customHeight="1" ht="21.9375" hidden="1">
      <c r="A39" s="528"/>
      <c r="B39" s="528"/>
      <c r="C39" s="528"/>
      <c r="D39" s="528"/>
      <c r="E39" s="680">
        <v>22.5</v>
      </c>
      <c r="F39" s="50" cm="1" t="str">
        <f t="array" ref="F39:F39">OFFSET(E39,-1,1)</f>
        <v>0</v>
      </c>
      <c r="G39" s="154" t="s">
        <v>1871</v>
      </c>
      <c r="H39" s="491" t="s">
        <v>347</v>
      </c>
      <c r="I39" s="491"/>
      <c r="J39" s="491"/>
      <c r="K39" s="491"/>
      <c r="L39" s="528"/>
      <c r="M39" s="528"/>
      <c r="N39" s="528"/>
      <c r="O39" s="528"/>
      <c r="P39" s="528"/>
      <c r="Q39" s="528"/>
      <c r="R39" s="528"/>
      <c r="S39" s="528"/>
      <c r="T39" s="468" cm="1" t="str">
        <f t="array" ref="T39:T39">T38</f>
        <v>false</v>
      </c>
      <c r="U39" s="528"/>
      <c r="V39" s="528"/>
      <c r="W39" s="528"/>
      <c r="X39" s="1559"/>
      <c r="Y39" s="528"/>
      <c r="Z39" s="1560"/>
      <c r="AA39" s="528"/>
      <c r="AB39" s="518" t="s">
        <v>454</v>
      </c>
      <c r="AC39" s="1318" t="s">
        <v>2936</v>
      </c>
      <c r="AD39" s="518" t="s">
        <v>2937</v>
      </c>
      <c r="AE39" s="533">
        <f>_xlfn.SUMIFS(Баланс!$AI$25:$AI$391,Баланс!$F$25:$F$391,$F39,Баланс!$G$25:$G$391,"ПО")</f>
        <v>0</v>
      </c>
      <c r="AF39" s="533">
        <f>_xlfn.SUMIFS(Баланс!$AS$25:$AS$391,Баланс!$F$25:$F$391,$F39,Баланс!$G$25:$G$391,"ПО")</f>
        <v>0</v>
      </c>
      <c r="AG39" s="528"/>
      <c r="AH39" s="528"/>
      <c r="AI39" s="1043" t="s">
        <v>1255</v>
      </c>
    </row>
    <row s="528" customFormat="1" customHeight="1" ht="14.625" hidden="1">
      <c r="A40" s="528"/>
      <c r="B40" s="528"/>
      <c r="C40" s="528"/>
      <c r="D40" s="528"/>
      <c r="E40" s="680">
        <v>15</v>
      </c>
      <c r="F40" s="50" cm="1" t="str">
        <f t="array" ref="F40:F40">OFFSET(E40,-1,1)</f>
        <v>0</v>
      </c>
      <c r="G40" s="1319" t="s">
        <v>1898</v>
      </c>
      <c r="H40" s="491" t="s">
        <v>673</v>
      </c>
      <c r="I40" s="491"/>
      <c r="J40" s="491"/>
      <c r="K40" s="491"/>
      <c r="L40" s="528"/>
      <c r="M40" s="528"/>
      <c r="N40" s="528"/>
      <c r="O40" s="528"/>
      <c r="P40" s="528"/>
      <c r="Q40" s="528"/>
      <c r="R40" s="528"/>
      <c r="S40" s="528"/>
      <c r="T40" s="468" cm="1" t="str">
        <f t="array" ref="T40:T40">T39</f>
        <v>false</v>
      </c>
      <c r="U40" s="528"/>
      <c r="V40" s="528"/>
      <c r="W40" s="528"/>
      <c r="X40" s="1559"/>
      <c r="Y40" s="528"/>
      <c r="Z40" s="1560"/>
      <c r="AA40" s="528"/>
      <c r="AB40" s="518" t="s">
        <v>801</v>
      </c>
      <c r="AC40" s="1320" t="s">
        <v>2938</v>
      </c>
      <c r="AD40" s="518" t="s">
        <v>2937</v>
      </c>
      <c r="AE40" s="7460"/>
      <c r="AF40" s="7460"/>
      <c r="AG40" s="528"/>
      <c r="AH40" s="528"/>
      <c r="AI40" s="1043" t="s">
        <v>2939</v>
      </c>
    </row>
    <row s="528" customFormat="1" customHeight="1" ht="14.625" hidden="1">
      <c r="A41" s="528"/>
      <c r="B41" s="528"/>
      <c r="C41" s="528"/>
      <c r="D41" s="528"/>
      <c r="E41" s="680">
        <v>15</v>
      </c>
      <c r="F41" s="50" cm="1" t="str">
        <f t="array" ref="F41:F41">OFFSET(E41,-1,1)</f>
        <v>0</v>
      </c>
      <c r="G41" s="103" t="s">
        <v>1911</v>
      </c>
      <c r="H41" s="491" t="s">
        <v>677</v>
      </c>
      <c r="I41" s="491"/>
      <c r="J41" s="491"/>
      <c r="K41" s="491"/>
      <c r="L41" s="528"/>
      <c r="M41" s="528"/>
      <c r="N41" s="528"/>
      <c r="O41" s="528"/>
      <c r="P41" s="528"/>
      <c r="Q41" s="528"/>
      <c r="R41" s="528"/>
      <c r="S41" s="528"/>
      <c r="T41" s="468" cm="1" t="str">
        <f t="array" ref="T41:T41">T40</f>
        <v>false</v>
      </c>
      <c r="U41" s="528"/>
      <c r="V41" s="528"/>
      <c r="W41" s="528"/>
      <c r="X41" s="1559"/>
      <c r="Y41" s="528"/>
      <c r="Z41" s="1560"/>
      <c r="AA41" s="528"/>
      <c r="AB41" s="518" t="s">
        <v>804</v>
      </c>
      <c r="AC41" s="1140" t="s">
        <v>2940</v>
      </c>
      <c r="AD41" s="518" t="s">
        <v>2937</v>
      </c>
      <c r="AE41" s="533">
        <f>AE39-AE40</f>
        <v>0</v>
      </c>
      <c r="AF41" s="533">
        <f>AF39-AF40</f>
        <v>0</v>
      </c>
      <c r="AG41" s="528"/>
      <c r="AH41" s="528"/>
      <c r="AI41" s="1043" t="s">
        <v>2941</v>
      </c>
    </row>
    <row s="528" customFormat="1" customHeight="1" ht="14.625" hidden="1">
      <c r="A42" s="528"/>
      <c r="B42" s="528"/>
      <c r="C42" s="528"/>
      <c r="D42" s="528"/>
      <c r="E42" s="680">
        <v>15</v>
      </c>
      <c r="F42" s="50" cm="1" t="str">
        <f t="array" ref="F42:F42">OFFSET(E42,-1,1)</f>
        <v>0</v>
      </c>
      <c r="G42" s="528"/>
      <c r="H42" s="491" t="s">
        <v>616</v>
      </c>
      <c r="I42" s="491"/>
      <c r="J42" s="491"/>
      <c r="K42" s="491"/>
      <c r="L42" s="528"/>
      <c r="M42" s="528"/>
      <c r="N42" s="528"/>
      <c r="O42" s="528"/>
      <c r="P42" s="528"/>
      <c r="Q42" s="528"/>
      <c r="R42" s="528"/>
      <c r="S42" s="528"/>
      <c r="T42" s="468" cm="1" t="str">
        <f t="array" ref="T42:T42">T41</f>
        <v>false</v>
      </c>
      <c r="U42" s="528"/>
      <c r="V42" s="528"/>
      <c r="W42" s="528"/>
      <c r="X42" s="1559"/>
      <c r="Y42" s="528"/>
      <c r="Z42" s="1560"/>
      <c r="AA42" s="528"/>
      <c r="AB42" s="518" t="s">
        <v>457</v>
      </c>
      <c r="AC42" s="563" t="s">
        <v>2942</v>
      </c>
      <c r="AD42" s="518" t="s">
        <v>1862</v>
      </c>
      <c r="AE42" s="530">
        <f>IF(AE39=0,0,AE28/AE39)</f>
        <v>0</v>
      </c>
      <c r="AF42" s="530">
        <f>IF(AF39=0,0,AF28/AF39)</f>
        <v>0</v>
      </c>
      <c r="AG42" s="528"/>
      <c r="AH42" s="528"/>
      <c r="AI42" s="1043" t="s">
        <v>1361</v>
      </c>
    </row>
    <row s="528" customFormat="1" customHeight="1" ht="14.625" hidden="1">
      <c r="A43" s="528"/>
      <c r="B43" s="528"/>
      <c r="C43" s="528"/>
      <c r="D43" s="528"/>
      <c r="E43" s="680">
        <v>15</v>
      </c>
      <c r="F43" s="50" cm="1" t="str">
        <f t="array" ref="F43:F43">OFFSET(E43,-1,1)</f>
        <v>0</v>
      </c>
      <c r="G43" s="103" t="s">
        <v>1859</v>
      </c>
      <c r="H43" s="491" t="s">
        <v>817</v>
      </c>
      <c r="I43" s="491"/>
      <c r="J43" s="491"/>
      <c r="K43" s="491"/>
      <c r="L43" s="528"/>
      <c r="M43" s="528"/>
      <c r="N43" s="528"/>
      <c r="O43" s="528"/>
      <c r="P43" s="528"/>
      <c r="Q43" s="528"/>
      <c r="R43" s="528"/>
      <c r="S43" s="528"/>
      <c r="T43" s="468" cm="1" t="str">
        <f t="array" ref="T43:T43">T42</f>
        <v>false</v>
      </c>
      <c r="U43" s="528"/>
      <c r="V43" s="528"/>
      <c r="W43" s="528"/>
      <c r="X43" s="1559"/>
      <c r="Y43" s="528"/>
      <c r="Z43" s="1560"/>
      <c r="AA43" s="528"/>
      <c r="AB43" s="518" t="s">
        <v>2943</v>
      </c>
      <c r="AC43" s="1322" t="s">
        <v>2944</v>
      </c>
      <c r="AD43" s="518" t="s">
        <v>1862</v>
      </c>
      <c r="AE43" s="3175"/>
      <c r="AF43" s="3175"/>
      <c r="AG43" s="528"/>
      <c r="AH43" s="528"/>
      <c r="AI43" s="1043" t="s">
        <v>2945</v>
      </c>
    </row>
    <row s="528" customFormat="1" customHeight="1" ht="14.625" hidden="1">
      <c r="A44" s="528"/>
      <c r="B44" s="528"/>
      <c r="C44" s="528"/>
      <c r="D44" s="528"/>
      <c r="E44" s="680">
        <v>15</v>
      </c>
      <c r="F44" s="50" cm="1" t="str">
        <f t="array" ref="F44:F44">OFFSET(E44,-1,1)</f>
        <v>0</v>
      </c>
      <c r="G44" s="103" t="s">
        <v>1864</v>
      </c>
      <c r="H44" s="491" t="s">
        <v>820</v>
      </c>
      <c r="I44" s="491"/>
      <c r="J44" s="491"/>
      <c r="K44" s="491"/>
      <c r="L44" s="528"/>
      <c r="M44" s="528"/>
      <c r="N44" s="528"/>
      <c r="O44" s="528"/>
      <c r="P44" s="528"/>
      <c r="Q44" s="528"/>
      <c r="R44" s="528"/>
      <c r="S44" s="528"/>
      <c r="T44" s="468" cm="1" t="str">
        <f t="array" ref="T44:T44">T43</f>
        <v>false</v>
      </c>
      <c r="U44" s="528"/>
      <c r="V44" s="528"/>
      <c r="W44" s="528"/>
      <c r="X44" s="1559"/>
      <c r="Y44" s="528"/>
      <c r="Z44" s="1560"/>
      <c r="AA44" s="528"/>
      <c r="AB44" s="518" t="s">
        <v>2946</v>
      </c>
      <c r="AC44" s="1141" t="s">
        <v>2947</v>
      </c>
      <c r="AD44" s="518" t="s">
        <v>1862</v>
      </c>
      <c r="AE44" s="3175">
        <f>IF(AE41=0,0,(AE28-AE43*AE40)/AE41)</f>
        <v>0</v>
      </c>
      <c r="AF44" s="3175">
        <f>IF(AF41=0,0,(AF28-AF43*AF40)/AF41)</f>
        <v>0</v>
      </c>
      <c r="AG44" s="528"/>
      <c r="AH44" s="528"/>
      <c r="AI44" s="1043" t="s">
        <v>2948</v>
      </c>
    </row>
    <row customHeight="1" ht="14.625" hidden="1">
      <c r="A45" s="1240"/>
      <c r="B45" s="1240"/>
      <c r="C45" s="1240"/>
      <c r="D45" s="1240"/>
      <c r="E45" s="655">
        <v>15</v>
      </c>
      <c r="F45" s="50" cm="1" t="str">
        <f t="array" ref="F45:F45">OFFSET(E45,-1,1)</f>
        <v>0</v>
      </c>
      <c r="G45" s="1240"/>
      <c r="H45" s="491" t="s">
        <v>796</v>
      </c>
      <c r="I45" s="1240"/>
      <c r="J45" s="1240"/>
      <c r="K45" s="1240"/>
      <c r="L45" s="1240"/>
      <c r="M45" s="1240"/>
      <c r="N45" s="1240"/>
      <c r="O45" s="1240"/>
      <c r="P45" s="1240"/>
      <c r="Q45" s="1240"/>
      <c r="R45" s="1240"/>
      <c r="S45" s="1240"/>
      <c r="T45" s="468" cm="1" t="str">
        <f t="array" ref="T45:T45">T44</f>
        <v>false</v>
      </c>
      <c r="U45" s="1240"/>
      <c r="V45" s="1240"/>
      <c r="W45" s="1240"/>
      <c r="X45" s="1559"/>
      <c r="Y45" s="1240"/>
      <c r="Z45" s="1560"/>
      <c r="AA45" s="1240"/>
      <c r="AB45" s="518" t="s">
        <v>693</v>
      </c>
      <c r="AC45" s="557" t="s">
        <v>2949</v>
      </c>
      <c r="AD45" s="518" t="s">
        <v>561</v>
      </c>
      <c r="AE45" s="530">
        <f>IF(AE43=0,0,AE44/AE43*100)</f>
        <v>0</v>
      </c>
      <c r="AF45" s="530">
        <f>IF(AF43=0,0,AF44/AF43*100)</f>
        <v>0</v>
      </c>
      <c r="AG45" s="1240"/>
      <c r="AH45" s="1240"/>
      <c r="AI45" s="1033" t="s">
        <v>2950</v>
      </c>
    </row>
    <row s="1656" customFormat="1" customHeight="1" ht="14.25">
      <c r="A46" s="1240"/>
      <c r="B46" s="1240"/>
      <c r="C46" s="1240"/>
      <c r="D46" s="1240"/>
      <c r="E46" s="655">
        <v>15</v>
      </c>
      <c r="F46" s="491" cm="1" t="str">
        <f t="array" ref="F46:F46">X46</f>
        <v>1</v>
      </c>
      <c r="G46" s="1240"/>
      <c r="H46" s="1240"/>
      <c r="I46" s="1240"/>
      <c r="J46" s="1240"/>
      <c r="K46" s="1240"/>
      <c r="L46" s="1240"/>
      <c r="M46" s="1240"/>
      <c r="N46" s="1240"/>
      <c r="O46" s="1240"/>
      <c r="P46" s="1240"/>
      <c r="Q46" s="1240"/>
      <c r="R46" s="1240"/>
      <c r="S46" s="1240"/>
      <c r="T46" s="468">
        <f>X46&gt;0</f>
        <v>1</v>
      </c>
      <c r="U46" s="1240"/>
      <c r="V46" s="491" cm="1" t="str">
        <f t="array" ref="V46:V46">ГО!$AB$116</f>
        <v>Тариф 1 (Водоснабжение) - тариф на питьевую воду (Оказание услуг на территории: город Ленинск-Кузнецкий (ОКТМО: 32719000) - г Ленинск-Кузнецкий, г Полысаево)</v>
      </c>
      <c r="W46" s="1240"/>
      <c r="X46" s="1559" t="s">
        <v>290</v>
      </c>
      <c r="Y46" s="1240"/>
      <c r="Z46" s="1560"/>
      <c r="AA46" s="1240"/>
      <c r="AB46" s="218" cm="1" t="str">
        <f t="array" ref="AB46:AB46">ГО!$AB$116</f>
        <v>Тариф 1 (Водоснабжение) - тариф на питьевую воду (Оказание услуг на территории: город Ленинск-Кузнецкий (ОКТМО: 32719000) - г Ленинск-Кузнецкий, г Полысаево)</v>
      </c>
      <c r="AC46" s="1312"/>
      <c r="AD46" s="1313"/>
      <c r="AE46" s="1313"/>
      <c r="AF46" s="1314"/>
      <c r="AG46" s="1240"/>
      <c r="AH46" s="1240"/>
      <c r="AI46" s="1184"/>
    </row>
    <row s="528" customFormat="1" customHeight="1" ht="21.75">
      <c r="A47" s="528"/>
      <c r="B47" s="528"/>
      <c r="C47" s="528"/>
      <c r="D47" s="528"/>
      <c r="E47" s="680">
        <v>22.5</v>
      </c>
      <c r="F47" s="50" cm="1" t="str">
        <f t="array" ref="F47:F47">OFFSET(E47,-1,1)</f>
        <v>1</v>
      </c>
      <c r="G47" s="528"/>
      <c r="H47" s="491" t="s">
        <v>344</v>
      </c>
      <c r="I47" s="491"/>
      <c r="J47" s="491"/>
      <c r="K47" s="491"/>
      <c r="L47" s="528"/>
      <c r="M47" s="528"/>
      <c r="N47" s="528"/>
      <c r="O47" s="528"/>
      <c r="P47" s="528"/>
      <c r="Q47" s="528"/>
      <c r="R47" s="528"/>
      <c r="S47" s="528"/>
      <c r="T47" s="468" cm="1" t="str">
        <f t="array" ref="T47:T47">T46</f>
        <v>true</v>
      </c>
      <c r="U47" s="528"/>
      <c r="V47" s="528"/>
      <c r="W47" s="528"/>
      <c r="X47" s="1559"/>
      <c r="Y47" s="528"/>
      <c r="Z47" s="1560"/>
      <c r="AA47" s="528"/>
      <c r="AB47" s="518" t="s">
        <v>290</v>
      </c>
      <c r="AC47" s="534" t="s">
        <v>2917</v>
      </c>
      <c r="AD47" s="518" t="s">
        <v>936</v>
      </c>
      <c r="AE47" s="530">
        <f>(AE48+AE56)*AE54</f>
        <v>0</v>
      </c>
      <c r="AF47" s="530">
        <f>(AF48+AF56)*AF54</f>
        <v>0</v>
      </c>
      <c r="AG47" s="528"/>
      <c r="AH47" s="528"/>
      <c r="AI47" s="1043" t="s">
        <v>2918</v>
      </c>
    </row>
    <row s="1656" customFormat="1" customHeight="1" ht="21.75">
      <c r="A48" s="1240"/>
      <c r="B48" s="1240"/>
      <c r="C48" s="1240"/>
      <c r="D48" s="1240"/>
      <c r="E48" s="655">
        <v>22.5</v>
      </c>
      <c r="F48" s="50" cm="1" t="str">
        <f t="array" ref="F48:F48">OFFSET(E48,-1,1)</f>
        <v>1</v>
      </c>
      <c r="G48" s="491" t="s">
        <v>2919</v>
      </c>
      <c r="H48" s="491" t="s">
        <v>345</v>
      </c>
      <c r="I48" s="1240"/>
      <c r="J48" s="1240"/>
      <c r="K48" s="491" t="str">
        <f>F48&amp;G48</f>
        <v>1УТР</v>
      </c>
      <c r="L48" s="1095" cm="1" t="str">
        <f t="array" ref="L48:L48">AE48</f>
        <v>0</v>
      </c>
      <c r="M48" s="1095" cm="1" t="str">
        <f t="array" ref="M48:M48">AF48</f>
        <v>0</v>
      </c>
      <c r="N48" s="1240"/>
      <c r="O48" s="1240"/>
      <c r="P48" s="1240"/>
      <c r="Q48" s="1240"/>
      <c r="R48" s="1240"/>
      <c r="S48" s="1240"/>
      <c r="T48" s="468" cm="1" t="str">
        <f t="array" ref="T48:T48">T47</f>
        <v>true</v>
      </c>
      <c r="U48" s="1240"/>
      <c r="V48" s="1240"/>
      <c r="W48" s="1240"/>
      <c r="X48" s="1559"/>
      <c r="Y48" s="1240"/>
      <c r="Z48" s="1560"/>
      <c r="AA48" s="1240"/>
      <c r="AB48" s="518" t="s">
        <v>299</v>
      </c>
      <c r="AC48" s="529" t="s">
        <v>1240</v>
      </c>
      <c r="AD48" s="518" t="s">
        <v>1232</v>
      </c>
      <c r="AE48" s="1094">
        <f>IF(AE53=0,0,(AE49-IF(_xlfn.SUMIFS('Перечень объектов'!AH$24:AH$75,'Перечень объектов'!$F$24:$F$75,$F48,'Перечень объектов'!$G$24:$G$75,"ЭЭ")&gt;0,0,AE50))/AE53)</f>
        <v>0</v>
      </c>
      <c r="AF48" s="1094">
        <f>IF(AF53=0,0,(AF49-IF(_xlfn.SUMIFS('Перечень объектов'!AI$24:AI$75,'Перечень объектов'!$F$24:$F$75,$F48,'Перечень объектов'!$G$24:$G$75,"ЭЭ")&gt;0,0,AF50))/AF53)</f>
        <v>0</v>
      </c>
      <c r="AG48" s="1240"/>
      <c r="AH48" s="1240"/>
      <c r="AI48" s="1033" t="s">
        <v>2920</v>
      </c>
    </row>
    <row s="1656" customFormat="1" customHeight="1" ht="32.25">
      <c r="A49" s="1240"/>
      <c r="B49" s="1240"/>
      <c r="C49" s="1240"/>
      <c r="D49" s="1240"/>
      <c r="E49" s="655">
        <v>33.75</v>
      </c>
      <c r="F49" s="50" cm="1" t="str">
        <f t="array" ref="F49:F49">OFFSET(E49,-1,1)</f>
        <v>1</v>
      </c>
      <c r="G49" s="1240"/>
      <c r="H49" s="491" t="s">
        <v>584</v>
      </c>
      <c r="I49" s="1240"/>
      <c r="J49" s="1240"/>
      <c r="K49" s="1240"/>
      <c r="L49" s="1240"/>
      <c r="M49" s="1240"/>
      <c r="N49" s="1240"/>
      <c r="O49" s="1240"/>
      <c r="P49" s="1240"/>
      <c r="Q49" s="1240"/>
      <c r="R49" s="1240"/>
      <c r="S49" s="1240"/>
      <c r="T49" s="468" cm="1" t="str">
        <f t="array" ref="T49:T49">T48</f>
        <v>true</v>
      </c>
      <c r="U49" s="1240"/>
      <c r="V49" s="1240"/>
      <c r="W49" s="1240"/>
      <c r="X49" s="1559"/>
      <c r="Y49" s="1240"/>
      <c r="Z49" s="1560"/>
      <c r="AA49" s="1240"/>
      <c r="AB49" s="518" t="s">
        <v>660</v>
      </c>
      <c r="AC49" s="565" t="s">
        <v>2921</v>
      </c>
      <c r="AD49" s="518" t="s">
        <v>936</v>
      </c>
      <c r="AE49" s="537"/>
      <c r="AF49" s="530">
        <f>_xlfn.SUMIFS(ГО!AE$25:AE$383,ГО!$F$25:$F$383,$F49,ГО!$G$25:$G$383,"Итог")*(1+AF51/100)*(1+AF52/100)</f>
        <v>0</v>
      </c>
      <c r="AG49" s="1240"/>
      <c r="AH49" s="1240"/>
      <c r="AI49" s="1033" t="s">
        <v>2922</v>
      </c>
    </row>
    <row s="528" customFormat="1" customHeight="1" ht="14.25">
      <c r="A50" s="528"/>
      <c r="B50" s="528"/>
      <c r="C50" s="528"/>
      <c r="D50" s="528"/>
      <c r="E50" s="680">
        <v>15</v>
      </c>
      <c r="F50" s="50" cm="1" t="str">
        <f t="array" ref="F50:F50">OFFSET(E50,-1,1)</f>
        <v>1</v>
      </c>
      <c r="G50" s="528"/>
      <c r="H50" s="491" t="s">
        <v>1787</v>
      </c>
      <c r="I50" s="491"/>
      <c r="J50" s="491"/>
      <c r="K50" s="491"/>
      <c r="L50" s="528"/>
      <c r="M50" s="528"/>
      <c r="N50" s="528"/>
      <c r="O50" s="528"/>
      <c r="P50" s="528"/>
      <c r="Q50" s="528"/>
      <c r="R50" s="528"/>
      <c r="S50" s="528"/>
      <c r="T50" s="468" cm="1" t="str">
        <f t="array" ref="T50:T50">T49</f>
        <v>true</v>
      </c>
      <c r="U50" s="528"/>
      <c r="V50" s="528"/>
      <c r="W50" s="528"/>
      <c r="X50" s="1559"/>
      <c r="Y50" s="528"/>
      <c r="Z50" s="1560"/>
      <c r="AA50" s="528"/>
      <c r="AB50" s="518" t="s">
        <v>592</v>
      </c>
      <c r="AC50" s="1315" t="s">
        <v>2923</v>
      </c>
      <c r="AD50" s="518" t="s">
        <v>936</v>
      </c>
      <c r="AE50" s="537"/>
      <c r="AF50" s="530">
        <f>_xlfn.SUMIFS(ГО!AE$25:AE$383,ГО!$F$25:$F$383,$F50,ГО!$G$25:$G$383,"ЭЭ")*(1+AF51/100)*(1+AF52/100)</f>
        <v>0</v>
      </c>
      <c r="AG50" s="528"/>
      <c r="AH50" s="528"/>
      <c r="AI50" s="1043" t="s">
        <v>1984</v>
      </c>
    </row>
    <row s="528" customFormat="1" customHeight="1" ht="14.25">
      <c r="A51" s="528"/>
      <c r="B51" s="528"/>
      <c r="C51" s="528"/>
      <c r="D51" s="528"/>
      <c r="E51" s="680">
        <v>15</v>
      </c>
      <c r="F51" s="50" cm="1" t="str">
        <f t="array" ref="F51:F51">OFFSET(E51,-1,1)</f>
        <v>1</v>
      </c>
      <c r="G51" s="528"/>
      <c r="H51" s="491" t="s">
        <v>587</v>
      </c>
      <c r="I51" s="491"/>
      <c r="J51" s="491"/>
      <c r="K51" s="491"/>
      <c r="L51" s="528"/>
      <c r="M51" s="528"/>
      <c r="N51" s="528"/>
      <c r="O51" s="528"/>
      <c r="P51" s="528"/>
      <c r="Q51" s="528"/>
      <c r="R51" s="528"/>
      <c r="S51" s="528"/>
      <c r="T51" s="468" cm="1" t="str">
        <f t="array" ref="T51:T51">T50</f>
        <v>true</v>
      </c>
      <c r="U51" s="528"/>
      <c r="V51" s="528"/>
      <c r="W51" s="528"/>
      <c r="X51" s="1559"/>
      <c r="Y51" s="528"/>
      <c r="Z51" s="1560"/>
      <c r="AA51" s="528"/>
      <c r="AB51" s="518" t="s">
        <v>664</v>
      </c>
      <c r="AC51" s="565" t="str">
        <f>"индекс потребительских цен на "&amp;god-1&amp;" год"</f>
        <v>индекс потребительских цен на 2025 год</v>
      </c>
      <c r="AD51" s="518" t="s">
        <v>561</v>
      </c>
      <c r="AE51" s="537"/>
      <c r="AF51" s="537"/>
      <c r="AG51" s="528"/>
      <c r="AH51" s="528"/>
      <c r="AI51" s="1043" t="s">
        <v>2924</v>
      </c>
    </row>
    <row s="528" customFormat="1" customHeight="1" ht="14.25">
      <c r="A52" s="528"/>
      <c r="B52" s="528"/>
      <c r="C52" s="528"/>
      <c r="D52" s="528"/>
      <c r="E52" s="680">
        <v>15</v>
      </c>
      <c r="F52" s="50" cm="1" t="str">
        <f t="array" ref="F52:F52">OFFSET(E52,-1,1)</f>
        <v>1</v>
      </c>
      <c r="G52" s="528"/>
      <c r="H52" s="491" t="s">
        <v>1087</v>
      </c>
      <c r="I52" s="491"/>
      <c r="J52" s="491"/>
      <c r="K52" s="491"/>
      <c r="L52" s="528"/>
      <c r="M52" s="528"/>
      <c r="N52" s="528"/>
      <c r="O52" s="528"/>
      <c r="P52" s="528"/>
      <c r="Q52" s="528"/>
      <c r="R52" s="528"/>
      <c r="S52" s="528"/>
      <c r="T52" s="468" cm="1" t="str">
        <f t="array" ref="T52:T52">T51</f>
        <v>true</v>
      </c>
      <c r="U52" s="528"/>
      <c r="V52" s="528"/>
      <c r="W52" s="528"/>
      <c r="X52" s="1559"/>
      <c r="Y52" s="528"/>
      <c r="Z52" s="1560"/>
      <c r="AA52" s="528"/>
      <c r="AB52" s="518" t="s">
        <v>668</v>
      </c>
      <c r="AC52" s="565" t="str">
        <f>"индекс потребительских цен на "&amp;god&amp;" год"</f>
        <v>индекс потребительских цен на 2026 год</v>
      </c>
      <c r="AD52" s="518" t="s">
        <v>561</v>
      </c>
      <c r="AE52" s="537"/>
      <c r="AF52" s="537"/>
      <c r="AG52" s="528"/>
      <c r="AH52" s="528"/>
      <c r="AI52" s="1043" t="s">
        <v>2925</v>
      </c>
    </row>
    <row s="528" customFormat="1" customHeight="1" ht="21.75">
      <c r="A53" s="528"/>
      <c r="B53" s="528"/>
      <c r="C53" s="528"/>
      <c r="D53" s="528"/>
      <c r="E53" s="680">
        <v>22.5</v>
      </c>
      <c r="F53" s="50" cm="1" t="str">
        <f t="array" ref="F53:F53">OFFSET(E53,-1,1)</f>
        <v>1</v>
      </c>
      <c r="G53" s="528"/>
      <c r="H53" s="491" t="s">
        <v>1089</v>
      </c>
      <c r="I53" s="491"/>
      <c r="J53" s="491"/>
      <c r="K53" s="491"/>
      <c r="L53" s="528"/>
      <c r="M53" s="528"/>
      <c r="N53" s="528"/>
      <c r="O53" s="528"/>
      <c r="P53" s="528"/>
      <c r="Q53" s="528"/>
      <c r="R53" s="528"/>
      <c r="S53" s="528"/>
      <c r="T53" s="468" cm="1" t="str">
        <f t="array" ref="T53:T53">T52</f>
        <v>true</v>
      </c>
      <c r="U53" s="528"/>
      <c r="V53" s="528"/>
      <c r="W53" s="528"/>
      <c r="X53" s="1559"/>
      <c r="Y53" s="528"/>
      <c r="Z53" s="1560"/>
      <c r="AA53" s="528"/>
      <c r="AB53" s="518" t="s">
        <v>1090</v>
      </c>
      <c r="AC53" s="565" t="s">
        <v>2926</v>
      </c>
      <c r="AD53" s="518" t="s">
        <v>928</v>
      </c>
      <c r="AE53" s="537"/>
      <c r="AF53" s="537"/>
      <c r="AG53" s="528"/>
      <c r="AH53" s="528"/>
      <c r="AI53" s="1043" t="s">
        <v>2927</v>
      </c>
    </row>
    <row s="528" customFormat="1" customHeight="1" ht="14.25">
      <c r="A54" s="528"/>
      <c r="B54" s="528"/>
      <c r="C54" s="528"/>
      <c r="D54" s="528"/>
      <c r="E54" s="680">
        <v>15</v>
      </c>
      <c r="F54" s="50" cm="1" t="str">
        <f t="array" ref="F54:F54">OFFSET(E54,-1,1)</f>
        <v>1</v>
      </c>
      <c r="G54" s="528"/>
      <c r="H54" s="491" t="s">
        <v>346</v>
      </c>
      <c r="I54" s="491"/>
      <c r="J54" s="491"/>
      <c r="K54" s="491"/>
      <c r="L54" s="528"/>
      <c r="M54" s="528"/>
      <c r="N54" s="528"/>
      <c r="O54" s="528"/>
      <c r="P54" s="528"/>
      <c r="Q54" s="528"/>
      <c r="R54" s="528"/>
      <c r="S54" s="528"/>
      <c r="T54" s="468" cm="1" t="str">
        <f t="array" ref="T54:T54">T53</f>
        <v>true</v>
      </c>
      <c r="U54" s="528"/>
      <c r="V54" s="528"/>
      <c r="W54" s="528"/>
      <c r="X54" s="1559"/>
      <c r="Y54" s="528"/>
      <c r="Z54" s="1560"/>
      <c r="AA54" s="528"/>
      <c r="AB54" s="518" t="s">
        <v>234</v>
      </c>
      <c r="AC54" s="1316" t="s">
        <v>2928</v>
      </c>
      <c r="AD54" s="518" t="s">
        <v>928</v>
      </c>
      <c r="AE54" s="533">
        <f>_xlfn.SUMIFS('Условные метры'!AL$27:AL$41,'Условные метры'!$F$27:$F$41,$F54,'Условные метры'!$G$27:$G$41,"Итог")</f>
        <v>0</v>
      </c>
      <c r="AF54" s="533">
        <f>_xlfn.SUMIFS('Условные метры'!AN$27:AN$41,'Условные метры'!$F$27:$F$41,$F54,'Условные метры'!$G$27:$G$41,"Итог")</f>
        <v>0</v>
      </c>
      <c r="AG54" s="528"/>
      <c r="AH54" s="528"/>
      <c r="AI54" s="1043" t="s">
        <v>2929</v>
      </c>
    </row>
    <row s="528" customFormat="1" customHeight="1" ht="14.25">
      <c r="A55" s="528"/>
      <c r="B55" s="528"/>
      <c r="C55" s="528"/>
      <c r="D55" s="528"/>
      <c r="E55" s="680">
        <v>15</v>
      </c>
      <c r="F55" s="50" cm="1" t="str">
        <f t="array" ref="F55:F55">OFFSET(E55,-1,1)</f>
        <v>1</v>
      </c>
      <c r="G55" s="528"/>
      <c r="H55" s="491" t="s">
        <v>1097</v>
      </c>
      <c r="I55" s="491"/>
      <c r="J55" s="491"/>
      <c r="K55" s="491"/>
      <c r="L55" s="528"/>
      <c r="M55" s="528"/>
      <c r="N55" s="528"/>
      <c r="O55" s="528"/>
      <c r="P55" s="528"/>
      <c r="Q55" s="528"/>
      <c r="R55" s="528"/>
      <c r="S55" s="528"/>
      <c r="T55" s="468" cm="1" t="str">
        <f t="array" ref="T55:T55">T54</f>
        <v>true</v>
      </c>
      <c r="U55" s="528"/>
      <c r="V55" s="528"/>
      <c r="W55" s="528"/>
      <c r="X55" s="1559"/>
      <c r="Y55" s="528"/>
      <c r="Z55" s="1560"/>
      <c r="AA55" s="528"/>
      <c r="AB55" s="518" t="s">
        <v>674</v>
      </c>
      <c r="AC55" s="565" t="s">
        <v>2930</v>
      </c>
      <c r="AD55" s="518" t="s">
        <v>399</v>
      </c>
      <c r="AE55" s="533">
        <f>_xlfn.SUMIFS('Условные метры'!AK$27:AK$41,'Условные метры'!$F$27:$F$41,$F55,'Условные метры'!$G$27:$G$41,"Итог")</f>
        <v>0</v>
      </c>
      <c r="AF55" s="533">
        <f>_xlfn.SUMIFS('Условные метры'!AM$27:AM$41,'Условные метры'!$F$27:$F$41,$F55,'Условные метры'!$G$27:$G$41,"Итог")</f>
        <v>0</v>
      </c>
      <c r="AG55" s="528"/>
      <c r="AH55" s="528"/>
      <c r="AI55" s="1043" t="s">
        <v>2931</v>
      </c>
    </row>
    <row s="528" customFormat="1" customHeight="1" ht="14.25">
      <c r="A56" s="528"/>
      <c r="B56" s="528"/>
      <c r="C56" s="528"/>
      <c r="D56" s="528"/>
      <c r="E56" s="680">
        <v>15</v>
      </c>
      <c r="F56" s="50" cm="1" t="str">
        <f t="array" ref="F56:F56">OFFSET(E56,-1,1)</f>
        <v>1</v>
      </c>
      <c r="G56" s="528"/>
      <c r="H56" s="491" t="s">
        <v>348</v>
      </c>
      <c r="I56" s="491"/>
      <c r="J56" s="491"/>
      <c r="K56" s="491"/>
      <c r="L56" s="528"/>
      <c r="M56" s="528"/>
      <c r="N56" s="528"/>
      <c r="O56" s="528"/>
      <c r="P56" s="528"/>
      <c r="Q56" s="528"/>
      <c r="R56" s="528"/>
      <c r="S56" s="528"/>
      <c r="T56" s="468" cm="1" t="str">
        <f t="array" ref="T56:T56">T55</f>
        <v>true</v>
      </c>
      <c r="U56" s="528"/>
      <c r="V56" s="528"/>
      <c r="W56" s="528"/>
      <c r="X56" s="1559"/>
      <c r="Y56" s="528"/>
      <c r="Z56" s="1560"/>
      <c r="AA56" s="528"/>
      <c r="AB56" s="518" t="s">
        <v>451</v>
      </c>
      <c r="AC56" s="564" t="s">
        <v>2932</v>
      </c>
      <c r="AD56" s="518" t="s">
        <v>1232</v>
      </c>
      <c r="AE56" s="533">
        <f>_xlfn.SUMIFS('Амортизация (аналог)'!AE$25:AE$55,'Амортизация (аналог)'!$F$25:$F$55,$F56,'Амортизация (аналог)'!$AB$25:$AB$55,"2")</f>
        <v>0</v>
      </c>
      <c r="AF56" s="533">
        <f>_xlfn.SUMIFS('Амортизация (аналог)'!AF$25:AF$55,'Амортизация (аналог)'!$F$25:$F$55,$F56,'Амортизация (аналог)'!$AB$25:$AB$55,"2")</f>
        <v>0</v>
      </c>
      <c r="AG56" s="528"/>
      <c r="AH56" s="528"/>
      <c r="AI56" s="1043" t="s">
        <v>2933</v>
      </c>
    </row>
    <row s="528" customFormat="1" customHeight="1" ht="14.25">
      <c r="A57" s="528"/>
      <c r="B57" s="528"/>
      <c r="C57" s="528"/>
      <c r="D57" s="528"/>
      <c r="E57" s="680">
        <v>15</v>
      </c>
      <c r="F57" s="50" cm="1" t="str">
        <f t="array" ref="F57:F57">OFFSET(E57,-1,1)</f>
        <v>1</v>
      </c>
      <c r="G57" s="528"/>
      <c r="H57" s="491" t="s">
        <v>659</v>
      </c>
      <c r="I57" s="491"/>
      <c r="J57" s="491"/>
      <c r="K57" s="491"/>
      <c r="L57" s="528"/>
      <c r="M57" s="528"/>
      <c r="N57" s="528"/>
      <c r="O57" s="528"/>
      <c r="P57" s="528"/>
      <c r="Q57" s="528"/>
      <c r="R57" s="528"/>
      <c r="S57" s="528"/>
      <c r="T57" s="468" cm="1" t="str">
        <f t="array" ref="T57:T57">T56</f>
        <v>true</v>
      </c>
      <c r="U57" s="528"/>
      <c r="V57" s="528"/>
      <c r="W57" s="528"/>
      <c r="X57" s="1559"/>
      <c r="Y57" s="528"/>
      <c r="Z57" s="1560"/>
      <c r="AA57" s="528"/>
      <c r="AB57" s="518" t="s">
        <v>794</v>
      </c>
      <c r="AC57" s="1317" t="s">
        <v>2934</v>
      </c>
      <c r="AD57" s="518" t="s">
        <v>561</v>
      </c>
      <c r="AE57" s="530">
        <f>IF(AE48=0,0,AE56/AE48*100)</f>
        <v>0</v>
      </c>
      <c r="AF57" s="530">
        <f>IF(AF48=0,0,AF56/AF48*100)</f>
        <v>0</v>
      </c>
      <c r="AG57" s="528"/>
      <c r="AH57" s="528"/>
      <c r="AI57" s="1043" t="s">
        <v>2935</v>
      </c>
    </row>
    <row s="528" customFormat="1" customHeight="1" ht="21.75">
      <c r="A58" s="528"/>
      <c r="B58" s="528"/>
      <c r="C58" s="528"/>
      <c r="D58" s="528"/>
      <c r="E58" s="680">
        <v>22.5</v>
      </c>
      <c r="F58" s="50" cm="1" t="str">
        <f t="array" ref="F58:F58">OFFSET(E58,-1,1)</f>
        <v>1</v>
      </c>
      <c r="G58" s="154" t="s">
        <v>1871</v>
      </c>
      <c r="H58" s="491" t="s">
        <v>347</v>
      </c>
      <c r="I58" s="491"/>
      <c r="J58" s="491"/>
      <c r="K58" s="491"/>
      <c r="L58" s="528"/>
      <c r="M58" s="528"/>
      <c r="N58" s="528"/>
      <c r="O58" s="528"/>
      <c r="P58" s="528"/>
      <c r="Q58" s="528"/>
      <c r="R58" s="528"/>
      <c r="S58" s="528"/>
      <c r="T58" s="468" cm="1" t="str">
        <f t="array" ref="T58:T58">T57</f>
        <v>true</v>
      </c>
      <c r="U58" s="528"/>
      <c r="V58" s="528"/>
      <c r="W58" s="528"/>
      <c r="X58" s="1559"/>
      <c r="Y58" s="528"/>
      <c r="Z58" s="1560"/>
      <c r="AA58" s="528"/>
      <c r="AB58" s="518" t="s">
        <v>454</v>
      </c>
      <c r="AC58" s="1318" t="s">
        <v>2936</v>
      </c>
      <c r="AD58" s="518" t="s">
        <v>2937</v>
      </c>
      <c r="AE58" s="533">
        <f>_xlfn.SUMIFS(Баланс!$AI$25:$AI$391,Баланс!$F$25:$F$391,$F58,Баланс!$G$25:$G$391,"ПО")</f>
        <v>10839.59791</v>
      </c>
      <c r="AF58" s="533">
        <f>_xlfn.SUMIFS(Баланс!$AS$25:$AS$391,Баланс!$F$25:$F$391,$F58,Баланс!$G$25:$G$391,"ПО")</f>
        <v>11287.60815</v>
      </c>
      <c r="AG58" s="528"/>
      <c r="AH58" s="528"/>
      <c r="AI58" s="1043" t="s">
        <v>1255</v>
      </c>
    </row>
    <row s="528" customFormat="1" customHeight="1" ht="14.25">
      <c r="A59" s="528"/>
      <c r="B59" s="528"/>
      <c r="C59" s="528"/>
      <c r="D59" s="528"/>
      <c r="E59" s="680">
        <v>15</v>
      </c>
      <c r="F59" s="50" cm="1" t="str">
        <f t="array" ref="F59:F59">OFFSET(E59,-1,1)</f>
        <v>1</v>
      </c>
      <c r="G59" s="1319" t="s">
        <v>1898</v>
      </c>
      <c r="H59" s="491" t="s">
        <v>673</v>
      </c>
      <c r="I59" s="491"/>
      <c r="J59" s="491"/>
      <c r="K59" s="491"/>
      <c r="L59" s="528"/>
      <c r="M59" s="528"/>
      <c r="N59" s="528"/>
      <c r="O59" s="528"/>
      <c r="P59" s="528"/>
      <c r="Q59" s="528"/>
      <c r="R59" s="528"/>
      <c r="S59" s="528"/>
      <c r="T59" s="468" cm="1" t="str">
        <f t="array" ref="T59:T59">T58</f>
        <v>true</v>
      </c>
      <c r="U59" s="528"/>
      <c r="V59" s="528"/>
      <c r="W59" s="528"/>
      <c r="X59" s="1559"/>
      <c r="Y59" s="528"/>
      <c r="Z59" s="1560"/>
      <c r="AA59" s="528"/>
      <c r="AB59" s="518" t="s">
        <v>801</v>
      </c>
      <c r="AC59" s="1320" t="s">
        <v>2938</v>
      </c>
      <c r="AD59" s="518" t="s">
        <v>2937</v>
      </c>
      <c r="AE59" s="1321"/>
      <c r="AF59" s="1321"/>
      <c r="AG59" s="528"/>
      <c r="AH59" s="528"/>
      <c r="AI59" s="1043" t="s">
        <v>2939</v>
      </c>
    </row>
    <row s="528" customFormat="1" customHeight="1" ht="14.25">
      <c r="A60" s="528"/>
      <c r="B60" s="528"/>
      <c r="C60" s="528"/>
      <c r="D60" s="528"/>
      <c r="E60" s="680">
        <v>15</v>
      </c>
      <c r="F60" s="50" cm="1" t="str">
        <f t="array" ref="F60:F60">OFFSET(E60,-1,1)</f>
        <v>1</v>
      </c>
      <c r="G60" s="103" t="s">
        <v>1911</v>
      </c>
      <c r="H60" s="491" t="s">
        <v>677</v>
      </c>
      <c r="I60" s="491"/>
      <c r="J60" s="491"/>
      <c r="K60" s="491"/>
      <c r="L60" s="528"/>
      <c r="M60" s="528"/>
      <c r="N60" s="528"/>
      <c r="O60" s="528"/>
      <c r="P60" s="528"/>
      <c r="Q60" s="528"/>
      <c r="R60" s="528"/>
      <c r="S60" s="528"/>
      <c r="T60" s="468" cm="1" t="str">
        <f t="array" ref="T60:T60">T59</f>
        <v>true</v>
      </c>
      <c r="U60" s="528"/>
      <c r="V60" s="528"/>
      <c r="W60" s="528"/>
      <c r="X60" s="1559"/>
      <c r="Y60" s="528"/>
      <c r="Z60" s="1560"/>
      <c r="AA60" s="528"/>
      <c r="AB60" s="518" t="s">
        <v>804</v>
      </c>
      <c r="AC60" s="1140" t="s">
        <v>2940</v>
      </c>
      <c r="AD60" s="518" t="s">
        <v>2937</v>
      </c>
      <c r="AE60" s="533">
        <f>AE58-AE59</f>
        <v>10839.59791</v>
      </c>
      <c r="AF60" s="533">
        <f>AF58-AF59</f>
        <v>11287.60815</v>
      </c>
      <c r="AG60" s="528"/>
      <c r="AH60" s="528"/>
      <c r="AI60" s="1043" t="s">
        <v>2941</v>
      </c>
    </row>
    <row s="528" customFormat="1" customHeight="1" ht="14.25">
      <c r="A61" s="528"/>
      <c r="B61" s="528"/>
      <c r="C61" s="528"/>
      <c r="D61" s="528"/>
      <c r="E61" s="680">
        <v>15</v>
      </c>
      <c r="F61" s="50" cm="1" t="str">
        <f t="array" ref="F61:F61">OFFSET(E61,-1,1)</f>
        <v>1</v>
      </c>
      <c r="G61" s="528"/>
      <c r="H61" s="491" t="s">
        <v>616</v>
      </c>
      <c r="I61" s="491"/>
      <c r="J61" s="491"/>
      <c r="K61" s="491"/>
      <c r="L61" s="528"/>
      <c r="M61" s="528"/>
      <c r="N61" s="528"/>
      <c r="O61" s="528"/>
      <c r="P61" s="528"/>
      <c r="Q61" s="528"/>
      <c r="R61" s="528"/>
      <c r="S61" s="528"/>
      <c r="T61" s="468" cm="1" t="str">
        <f t="array" ref="T61:T61">T60</f>
        <v>true</v>
      </c>
      <c r="U61" s="528"/>
      <c r="V61" s="528"/>
      <c r="W61" s="528"/>
      <c r="X61" s="1559"/>
      <c r="Y61" s="528"/>
      <c r="Z61" s="1560"/>
      <c r="AA61" s="528"/>
      <c r="AB61" s="518" t="s">
        <v>457</v>
      </c>
      <c r="AC61" s="563" t="s">
        <v>2942</v>
      </c>
      <c r="AD61" s="518" t="s">
        <v>1862</v>
      </c>
      <c r="AE61" s="530">
        <f>IF(AE58=0,0,AE47/AE58)</f>
        <v>0</v>
      </c>
      <c r="AF61" s="530">
        <f>IF(AF58=0,0,AF47/AF58)</f>
        <v>0</v>
      </c>
      <c r="AG61" s="528"/>
      <c r="AH61" s="528"/>
      <c r="AI61" s="1043" t="s">
        <v>1361</v>
      </c>
    </row>
    <row s="528" customFormat="1" customHeight="1" ht="14.25">
      <c r="A62" s="528"/>
      <c r="B62" s="528"/>
      <c r="C62" s="528"/>
      <c r="D62" s="528"/>
      <c r="E62" s="680">
        <v>15</v>
      </c>
      <c r="F62" s="50" cm="1" t="str">
        <f t="array" ref="F62:F62">OFFSET(E62,-1,1)</f>
        <v>1</v>
      </c>
      <c r="G62" s="103" t="s">
        <v>1859</v>
      </c>
      <c r="H62" s="491" t="s">
        <v>817</v>
      </c>
      <c r="I62" s="491"/>
      <c r="J62" s="491"/>
      <c r="K62" s="491"/>
      <c r="L62" s="528"/>
      <c r="M62" s="528"/>
      <c r="N62" s="528"/>
      <c r="O62" s="528"/>
      <c r="P62" s="528"/>
      <c r="Q62" s="528"/>
      <c r="R62" s="528"/>
      <c r="S62" s="528"/>
      <c r="T62" s="468" cm="1" t="str">
        <f t="array" ref="T62:T62">T61</f>
        <v>true</v>
      </c>
      <c r="U62" s="528"/>
      <c r="V62" s="528"/>
      <c r="W62" s="528"/>
      <c r="X62" s="1559"/>
      <c r="Y62" s="528"/>
      <c r="Z62" s="1560"/>
      <c r="AA62" s="528"/>
      <c r="AB62" s="518" t="s">
        <v>2943</v>
      </c>
      <c r="AC62" s="1322" t="s">
        <v>2944</v>
      </c>
      <c r="AD62" s="518" t="s">
        <v>1862</v>
      </c>
      <c r="AE62" s="537"/>
      <c r="AF62" s="537"/>
      <c r="AG62" s="528"/>
      <c r="AH62" s="528"/>
      <c r="AI62" s="1043" t="s">
        <v>2945</v>
      </c>
    </row>
    <row s="528" customFormat="1" customHeight="1" ht="14.25">
      <c r="A63" s="528"/>
      <c r="B63" s="528"/>
      <c r="C63" s="528"/>
      <c r="D63" s="528"/>
      <c r="E63" s="680">
        <v>15</v>
      </c>
      <c r="F63" s="50" cm="1" t="str">
        <f t="array" ref="F63:F63">OFFSET(E63,-1,1)</f>
        <v>1</v>
      </c>
      <c r="G63" s="103" t="s">
        <v>1864</v>
      </c>
      <c r="H63" s="491" t="s">
        <v>820</v>
      </c>
      <c r="I63" s="491"/>
      <c r="J63" s="491"/>
      <c r="K63" s="491"/>
      <c r="L63" s="528"/>
      <c r="M63" s="528"/>
      <c r="N63" s="528"/>
      <c r="O63" s="528"/>
      <c r="P63" s="528"/>
      <c r="Q63" s="528"/>
      <c r="R63" s="528"/>
      <c r="S63" s="528"/>
      <c r="T63" s="468" cm="1" t="str">
        <f t="array" ref="T63:T63">T62</f>
        <v>true</v>
      </c>
      <c r="U63" s="528"/>
      <c r="V63" s="528"/>
      <c r="W63" s="528"/>
      <c r="X63" s="1559"/>
      <c r="Y63" s="528"/>
      <c r="Z63" s="1560"/>
      <c r="AA63" s="528"/>
      <c r="AB63" s="518" t="s">
        <v>2946</v>
      </c>
      <c r="AC63" s="1141" t="s">
        <v>2947</v>
      </c>
      <c r="AD63" s="518" t="s">
        <v>1862</v>
      </c>
      <c r="AE63" s="537">
        <f>IF(AE60=0,0,(AE47-AE62*AE59)/AE60)</f>
        <v>0</v>
      </c>
      <c r="AF63" s="537">
        <f>IF(AF60=0,0,(AF47-AF62*AF59)/AF60)</f>
        <v>0</v>
      </c>
      <c r="AG63" s="528"/>
      <c r="AH63" s="528"/>
      <c r="AI63" s="1043" t="s">
        <v>2948</v>
      </c>
    </row>
    <row s="1656" customFormat="1" customHeight="1" ht="14.25">
      <c r="A64" s="1240"/>
      <c r="B64" s="1240"/>
      <c r="C64" s="1240"/>
      <c r="D64" s="1240"/>
      <c r="E64" s="655">
        <v>15</v>
      </c>
      <c r="F64" s="50" cm="1" t="str">
        <f t="array" ref="F64:F64">OFFSET(E64,-1,1)</f>
        <v>1</v>
      </c>
      <c r="G64" s="1240"/>
      <c r="H64" s="491" t="s">
        <v>796</v>
      </c>
      <c r="I64" s="1240"/>
      <c r="J64" s="1240"/>
      <c r="K64" s="1240"/>
      <c r="L64" s="1240"/>
      <c r="M64" s="1240"/>
      <c r="N64" s="1240"/>
      <c r="O64" s="1240"/>
      <c r="P64" s="1240"/>
      <c r="Q64" s="1240"/>
      <c r="R64" s="1240"/>
      <c r="S64" s="1240"/>
      <c r="T64" s="468" cm="1" t="str">
        <f t="array" ref="T64:T64">T63</f>
        <v>true</v>
      </c>
      <c r="U64" s="1240"/>
      <c r="V64" s="1240"/>
      <c r="W64" s="1240"/>
      <c r="X64" s="1559"/>
      <c r="Y64" s="1240"/>
      <c r="Z64" s="1560"/>
      <c r="AA64" s="1240"/>
      <c r="AB64" s="518" t="s">
        <v>693</v>
      </c>
      <c r="AC64" s="557" t="s">
        <v>2949</v>
      </c>
      <c r="AD64" s="518" t="s">
        <v>561</v>
      </c>
      <c r="AE64" s="530">
        <f>IF(AE62=0,0,AE63/AE62*100)</f>
        <v>0</v>
      </c>
      <c r="AF64" s="530">
        <f>IF(AF62=0,0,AF63/AF62*100)</f>
        <v>0</v>
      </c>
      <c r="AG64" s="1240"/>
      <c r="AH64" s="1240"/>
      <c r="AI64" s="1033" t="s">
        <v>2950</v>
      </c>
    </row>
    <row s="1656" customFormat="1" customHeight="1" ht="14.25">
      <c r="A65" s="1240"/>
      <c r="B65" s="1240"/>
      <c r="C65" s="1240"/>
      <c r="D65" s="1240"/>
      <c r="E65" s="655">
        <v>15</v>
      </c>
      <c r="F65" s="491" cm="1" t="str">
        <f t="array" ref="F65:F65">X65</f>
        <v>2</v>
      </c>
      <c r="G65" s="1240"/>
      <c r="H65" s="1240"/>
      <c r="I65" s="1240"/>
      <c r="J65" s="1240"/>
      <c r="K65" s="1240"/>
      <c r="L65" s="1240"/>
      <c r="M65" s="1240"/>
      <c r="N65" s="1240"/>
      <c r="O65" s="1240"/>
      <c r="P65" s="1240"/>
      <c r="Q65" s="1240"/>
      <c r="R65" s="1240"/>
      <c r="S65" s="1240"/>
      <c r="T65" s="468">
        <f>X65&gt;0</f>
        <v>1</v>
      </c>
      <c r="U65" s="1240"/>
      <c r="V65" s="491" cm="1" t="str">
        <f t="array" ref="V65:V65">ГО!$AB$205</f>
        <v>Тариф 2 (Водоотведение) - тариф на водоотведение (Оказание услуг на территории: город Ленинск-Кузнецкий (ОКТМО: 32719000) - г Ленинск-Кузнецкий)</v>
      </c>
      <c r="W65" s="1240"/>
      <c r="X65" s="1559" t="s">
        <v>299</v>
      </c>
      <c r="Y65" s="1240"/>
      <c r="Z65" s="1560"/>
      <c r="AA65" s="1240"/>
      <c r="AB65" s="218" cm="1" t="str">
        <f t="array" ref="AB65:AB65">ГО!$AB$205</f>
        <v>Тариф 2 (Водоотведение) - тариф на водоотведение (Оказание услуг на территории: город Ленинск-Кузнецкий (ОКТМО: 32719000) - г Ленинск-Кузнецкий)</v>
      </c>
      <c r="AC65" s="1312"/>
      <c r="AD65" s="1313"/>
      <c r="AE65" s="1313"/>
      <c r="AF65" s="1314"/>
      <c r="AG65" s="1240"/>
      <c r="AH65" s="1240"/>
      <c r="AI65" s="1184"/>
    </row>
    <row s="528" customFormat="1" customHeight="1" ht="21.75">
      <c r="A66" s="528"/>
      <c r="B66" s="528"/>
      <c r="C66" s="528"/>
      <c r="D66" s="528"/>
      <c r="E66" s="680">
        <v>22.5</v>
      </c>
      <c r="F66" s="50" cm="1" t="str">
        <f t="array" ref="F66:F66">OFFSET(E66,-1,1)</f>
        <v>2</v>
      </c>
      <c r="G66" s="528"/>
      <c r="H66" s="491" t="s">
        <v>344</v>
      </c>
      <c r="I66" s="491"/>
      <c r="J66" s="491"/>
      <c r="K66" s="491"/>
      <c r="L66" s="528"/>
      <c r="M66" s="528"/>
      <c r="N66" s="528"/>
      <c r="O66" s="528"/>
      <c r="P66" s="528"/>
      <c r="Q66" s="528"/>
      <c r="R66" s="528"/>
      <c r="S66" s="528"/>
      <c r="T66" s="468" cm="1" t="str">
        <f t="array" ref="T66:T66">T65</f>
        <v>true</v>
      </c>
      <c r="U66" s="528"/>
      <c r="V66" s="528"/>
      <c r="W66" s="528"/>
      <c r="X66" s="1559"/>
      <c r="Y66" s="528"/>
      <c r="Z66" s="1560"/>
      <c r="AA66" s="528"/>
      <c r="AB66" s="518" t="s">
        <v>290</v>
      </c>
      <c r="AC66" s="534" t="s">
        <v>2917</v>
      </c>
      <c r="AD66" s="518" t="s">
        <v>936</v>
      </c>
      <c r="AE66" s="530">
        <f>(AE67+AE75)*AE73</f>
        <v>0</v>
      </c>
      <c r="AF66" s="530">
        <f>(AF67+AF75)*AF73</f>
        <v>0</v>
      </c>
      <c r="AG66" s="528"/>
      <c r="AH66" s="528"/>
      <c r="AI66" s="1043" t="s">
        <v>2918</v>
      </c>
    </row>
    <row s="1656" customFormat="1" customHeight="1" ht="21.75">
      <c r="A67" s="1240"/>
      <c r="B67" s="1240"/>
      <c r="C67" s="1240"/>
      <c r="D67" s="1240"/>
      <c r="E67" s="655">
        <v>22.5</v>
      </c>
      <c r="F67" s="50" cm="1" t="str">
        <f t="array" ref="F67:F67">OFFSET(E67,-1,1)</f>
        <v>2</v>
      </c>
      <c r="G67" s="491" t="s">
        <v>2919</v>
      </c>
      <c r="H67" s="491" t="s">
        <v>345</v>
      </c>
      <c r="I67" s="1240"/>
      <c r="J67" s="1240"/>
      <c r="K67" s="491" t="str">
        <f>F67&amp;G67</f>
        <v>2УТР</v>
      </c>
      <c r="L67" s="1095" cm="1" t="str">
        <f t="array" ref="L67:L67">AE67</f>
        <v>0</v>
      </c>
      <c r="M67" s="1095" cm="1" t="str">
        <f t="array" ref="M67:M67">AF67</f>
        <v>0</v>
      </c>
      <c r="N67" s="1240"/>
      <c r="O67" s="1240"/>
      <c r="P67" s="1240"/>
      <c r="Q67" s="1240"/>
      <c r="R67" s="1240"/>
      <c r="S67" s="1240"/>
      <c r="T67" s="468" cm="1" t="str">
        <f t="array" ref="T67:T67">T66</f>
        <v>true</v>
      </c>
      <c r="U67" s="1240"/>
      <c r="V67" s="1240"/>
      <c r="W67" s="1240"/>
      <c r="X67" s="1559"/>
      <c r="Y67" s="1240"/>
      <c r="Z67" s="1560"/>
      <c r="AA67" s="1240"/>
      <c r="AB67" s="518" t="s">
        <v>299</v>
      </c>
      <c r="AC67" s="529" t="s">
        <v>1240</v>
      </c>
      <c r="AD67" s="518" t="s">
        <v>1232</v>
      </c>
      <c r="AE67" s="1094">
        <f>IF(AE72=0,0,(AE68-IF(_xlfn.SUMIFS('Перечень объектов'!AH$24:AH$75,'Перечень объектов'!$F$24:$F$75,$F67,'Перечень объектов'!$G$24:$G$75,"ЭЭ")&gt;0,0,AE69))/AE72)</f>
        <v>0</v>
      </c>
      <c r="AF67" s="1094">
        <f>IF(AF72=0,0,(AF68-IF(_xlfn.SUMIFS('Перечень объектов'!AI$24:AI$75,'Перечень объектов'!$F$24:$F$75,$F67,'Перечень объектов'!$G$24:$G$75,"ЭЭ")&gt;0,0,AF69))/AF72)</f>
        <v>0</v>
      </c>
      <c r="AG67" s="1240"/>
      <c r="AH67" s="1240"/>
      <c r="AI67" s="1033" t="s">
        <v>2920</v>
      </c>
    </row>
    <row s="1656" customFormat="1" customHeight="1" ht="32.25">
      <c r="A68" s="1240"/>
      <c r="B68" s="1240"/>
      <c r="C68" s="1240"/>
      <c r="D68" s="1240"/>
      <c r="E68" s="655">
        <v>33.75</v>
      </c>
      <c r="F68" s="50" cm="1" t="str">
        <f t="array" ref="F68:F68">OFFSET(E68,-1,1)</f>
        <v>2</v>
      </c>
      <c r="G68" s="1240"/>
      <c r="H68" s="491" t="s">
        <v>584</v>
      </c>
      <c r="I68" s="1240"/>
      <c r="J68" s="1240"/>
      <c r="K68" s="1240"/>
      <c r="L68" s="1240"/>
      <c r="M68" s="1240"/>
      <c r="N68" s="1240"/>
      <c r="O68" s="1240"/>
      <c r="P68" s="1240"/>
      <c r="Q68" s="1240"/>
      <c r="R68" s="1240"/>
      <c r="S68" s="1240"/>
      <c r="T68" s="468" cm="1" t="str">
        <f t="array" ref="T68:T68">T67</f>
        <v>true</v>
      </c>
      <c r="U68" s="1240"/>
      <c r="V68" s="1240"/>
      <c r="W68" s="1240"/>
      <c r="X68" s="1559"/>
      <c r="Y68" s="1240"/>
      <c r="Z68" s="1560"/>
      <c r="AA68" s="1240"/>
      <c r="AB68" s="518" t="s">
        <v>660</v>
      </c>
      <c r="AC68" s="565" t="s">
        <v>2921</v>
      </c>
      <c r="AD68" s="518" t="s">
        <v>936</v>
      </c>
      <c r="AE68" s="537"/>
      <c r="AF68" s="530">
        <f>_xlfn.SUMIFS(ГО!AE$25:AE$383,ГО!$F$25:$F$383,$F68,ГО!$G$25:$G$383,"Итог")*(1+AF70/100)*(1+AF71/100)</f>
        <v>0</v>
      </c>
      <c r="AG68" s="1240"/>
      <c r="AH68" s="1240"/>
      <c r="AI68" s="1033" t="s">
        <v>2922</v>
      </c>
    </row>
    <row s="528" customFormat="1" customHeight="1" ht="14.25">
      <c r="A69" s="528"/>
      <c r="B69" s="528"/>
      <c r="C69" s="528"/>
      <c r="D69" s="528"/>
      <c r="E69" s="680">
        <v>15</v>
      </c>
      <c r="F69" s="50" cm="1" t="str">
        <f t="array" ref="F69:F69">OFFSET(E69,-1,1)</f>
        <v>2</v>
      </c>
      <c r="G69" s="528"/>
      <c r="H69" s="491" t="s">
        <v>1787</v>
      </c>
      <c r="I69" s="491"/>
      <c r="J69" s="491"/>
      <c r="K69" s="491"/>
      <c r="L69" s="528"/>
      <c r="M69" s="528"/>
      <c r="N69" s="528"/>
      <c r="O69" s="528"/>
      <c r="P69" s="528"/>
      <c r="Q69" s="528"/>
      <c r="R69" s="528"/>
      <c r="S69" s="528"/>
      <c r="T69" s="468" cm="1" t="str">
        <f t="array" ref="T69:T69">T68</f>
        <v>true</v>
      </c>
      <c r="U69" s="528"/>
      <c r="V69" s="528"/>
      <c r="W69" s="528"/>
      <c r="X69" s="1559"/>
      <c r="Y69" s="528"/>
      <c r="Z69" s="1560"/>
      <c r="AA69" s="528"/>
      <c r="AB69" s="518" t="s">
        <v>592</v>
      </c>
      <c r="AC69" s="1315" t="s">
        <v>2923</v>
      </c>
      <c r="AD69" s="518" t="s">
        <v>936</v>
      </c>
      <c r="AE69" s="537"/>
      <c r="AF69" s="530">
        <f>_xlfn.SUMIFS(ГО!AE$25:AE$383,ГО!$F$25:$F$383,$F69,ГО!$G$25:$G$383,"ЭЭ")*(1+AF70/100)*(1+AF71/100)</f>
        <v>0</v>
      </c>
      <c r="AG69" s="528"/>
      <c r="AH69" s="528"/>
      <c r="AI69" s="1043" t="s">
        <v>1984</v>
      </c>
    </row>
    <row s="528" customFormat="1" customHeight="1" ht="14.25">
      <c r="A70" s="528"/>
      <c r="B70" s="528"/>
      <c r="C70" s="528"/>
      <c r="D70" s="528"/>
      <c r="E70" s="680">
        <v>15</v>
      </c>
      <c r="F70" s="50" cm="1" t="str">
        <f t="array" ref="F70:F70">OFFSET(E70,-1,1)</f>
        <v>2</v>
      </c>
      <c r="G70" s="528"/>
      <c r="H70" s="491" t="s">
        <v>587</v>
      </c>
      <c r="I70" s="491"/>
      <c r="J70" s="491"/>
      <c r="K70" s="491"/>
      <c r="L70" s="528"/>
      <c r="M70" s="528"/>
      <c r="N70" s="528"/>
      <c r="O70" s="528"/>
      <c r="P70" s="528"/>
      <c r="Q70" s="528"/>
      <c r="R70" s="528"/>
      <c r="S70" s="528"/>
      <c r="T70" s="468" cm="1" t="str">
        <f t="array" ref="T70:T70">T69</f>
        <v>true</v>
      </c>
      <c r="U70" s="528"/>
      <c r="V70" s="528"/>
      <c r="W70" s="528"/>
      <c r="X70" s="1559"/>
      <c r="Y70" s="528"/>
      <c r="Z70" s="1560"/>
      <c r="AA70" s="528"/>
      <c r="AB70" s="518" t="s">
        <v>664</v>
      </c>
      <c r="AC70" s="565" t="str">
        <f>"индекс потребительских цен на "&amp;god-1&amp;" год"</f>
        <v>индекс потребительских цен на 2025 год</v>
      </c>
      <c r="AD70" s="518" t="s">
        <v>561</v>
      </c>
      <c r="AE70" s="537"/>
      <c r="AF70" s="537"/>
      <c r="AG70" s="528"/>
      <c r="AH70" s="528"/>
      <c r="AI70" s="1043" t="s">
        <v>2924</v>
      </c>
    </row>
    <row s="528" customFormat="1" customHeight="1" ht="14.25">
      <c r="A71" s="528"/>
      <c r="B71" s="528"/>
      <c r="C71" s="528"/>
      <c r="D71" s="528"/>
      <c r="E71" s="680">
        <v>15</v>
      </c>
      <c r="F71" s="50" cm="1" t="str">
        <f t="array" ref="F71:F71">OFFSET(E71,-1,1)</f>
        <v>2</v>
      </c>
      <c r="G71" s="528"/>
      <c r="H71" s="491" t="s">
        <v>1087</v>
      </c>
      <c r="I71" s="491"/>
      <c r="J71" s="491"/>
      <c r="K71" s="491"/>
      <c r="L71" s="528"/>
      <c r="M71" s="528"/>
      <c r="N71" s="528"/>
      <c r="O71" s="528"/>
      <c r="P71" s="528"/>
      <c r="Q71" s="528"/>
      <c r="R71" s="528"/>
      <c r="S71" s="528"/>
      <c r="T71" s="468" cm="1" t="str">
        <f t="array" ref="T71:T71">T70</f>
        <v>true</v>
      </c>
      <c r="U71" s="528"/>
      <c r="V71" s="528"/>
      <c r="W71" s="528"/>
      <c r="X71" s="1559"/>
      <c r="Y71" s="528"/>
      <c r="Z71" s="1560"/>
      <c r="AA71" s="528"/>
      <c r="AB71" s="518" t="s">
        <v>668</v>
      </c>
      <c r="AC71" s="565" t="str">
        <f>"индекс потребительских цен на "&amp;god&amp;" год"</f>
        <v>индекс потребительских цен на 2026 год</v>
      </c>
      <c r="AD71" s="518" t="s">
        <v>561</v>
      </c>
      <c r="AE71" s="537"/>
      <c r="AF71" s="537"/>
      <c r="AG71" s="528"/>
      <c r="AH71" s="528"/>
      <c r="AI71" s="1043" t="s">
        <v>2925</v>
      </c>
    </row>
    <row s="528" customFormat="1" customHeight="1" ht="21.75">
      <c r="A72" s="528"/>
      <c r="B72" s="528"/>
      <c r="C72" s="528"/>
      <c r="D72" s="528"/>
      <c r="E72" s="680">
        <v>22.5</v>
      </c>
      <c r="F72" s="50" cm="1" t="str">
        <f t="array" ref="F72:F72">OFFSET(E72,-1,1)</f>
        <v>2</v>
      </c>
      <c r="G72" s="528"/>
      <c r="H72" s="491" t="s">
        <v>1089</v>
      </c>
      <c r="I72" s="491"/>
      <c r="J72" s="491"/>
      <c r="K72" s="491"/>
      <c r="L72" s="528"/>
      <c r="M72" s="528"/>
      <c r="N72" s="528"/>
      <c r="O72" s="528"/>
      <c r="P72" s="528"/>
      <c r="Q72" s="528"/>
      <c r="R72" s="528"/>
      <c r="S72" s="528"/>
      <c r="T72" s="468" cm="1" t="str">
        <f t="array" ref="T72:T72">T71</f>
        <v>true</v>
      </c>
      <c r="U72" s="528"/>
      <c r="V72" s="528"/>
      <c r="W72" s="528"/>
      <c r="X72" s="1559"/>
      <c r="Y72" s="528"/>
      <c r="Z72" s="1560"/>
      <c r="AA72" s="528"/>
      <c r="AB72" s="518" t="s">
        <v>1090</v>
      </c>
      <c r="AC72" s="565" t="s">
        <v>2926</v>
      </c>
      <c r="AD72" s="518" t="s">
        <v>928</v>
      </c>
      <c r="AE72" s="537"/>
      <c r="AF72" s="537"/>
      <c r="AG72" s="528"/>
      <c r="AH72" s="528"/>
      <c r="AI72" s="1043" t="s">
        <v>2927</v>
      </c>
    </row>
    <row s="528" customFormat="1" customHeight="1" ht="14.25">
      <c r="A73" s="528"/>
      <c r="B73" s="528"/>
      <c r="C73" s="528"/>
      <c r="D73" s="528"/>
      <c r="E73" s="680">
        <v>15</v>
      </c>
      <c r="F73" s="50" cm="1" t="str">
        <f t="array" ref="F73:F73">OFFSET(E73,-1,1)</f>
        <v>2</v>
      </c>
      <c r="G73" s="528"/>
      <c r="H73" s="491" t="s">
        <v>346</v>
      </c>
      <c r="I73" s="491"/>
      <c r="J73" s="491"/>
      <c r="K73" s="491"/>
      <c r="L73" s="528"/>
      <c r="M73" s="528"/>
      <c r="N73" s="528"/>
      <c r="O73" s="528"/>
      <c r="P73" s="528"/>
      <c r="Q73" s="528"/>
      <c r="R73" s="528"/>
      <c r="S73" s="528"/>
      <c r="T73" s="468" cm="1" t="str">
        <f t="array" ref="T73:T73">T72</f>
        <v>true</v>
      </c>
      <c r="U73" s="528"/>
      <c r="V73" s="528"/>
      <c r="W73" s="528"/>
      <c r="X73" s="1559"/>
      <c r="Y73" s="528"/>
      <c r="Z73" s="1560"/>
      <c r="AA73" s="528"/>
      <c r="AB73" s="518" t="s">
        <v>234</v>
      </c>
      <c r="AC73" s="1316" t="s">
        <v>2928</v>
      </c>
      <c r="AD73" s="518" t="s">
        <v>928</v>
      </c>
      <c r="AE73" s="533">
        <f>_xlfn.SUMIFS('Условные метры'!AL$27:AL$41,'Условные метры'!$F$27:$F$41,$F73,'Условные метры'!$G$27:$G$41,"Итог")</f>
        <v>0</v>
      </c>
      <c r="AF73" s="533">
        <f>_xlfn.SUMIFS('Условные метры'!AN$27:AN$41,'Условные метры'!$F$27:$F$41,$F73,'Условные метры'!$G$27:$G$41,"Итог")</f>
        <v>0</v>
      </c>
      <c r="AG73" s="528"/>
      <c r="AH73" s="528"/>
      <c r="AI73" s="1043" t="s">
        <v>2929</v>
      </c>
    </row>
    <row s="528" customFormat="1" customHeight="1" ht="14.25">
      <c r="A74" s="528"/>
      <c r="B74" s="528"/>
      <c r="C74" s="528"/>
      <c r="D74" s="528"/>
      <c r="E74" s="680">
        <v>15</v>
      </c>
      <c r="F74" s="50" cm="1" t="str">
        <f t="array" ref="F74:F74">OFFSET(E74,-1,1)</f>
        <v>2</v>
      </c>
      <c r="G74" s="528"/>
      <c r="H74" s="491" t="s">
        <v>1097</v>
      </c>
      <c r="I74" s="491"/>
      <c r="J74" s="491"/>
      <c r="K74" s="491"/>
      <c r="L74" s="528"/>
      <c r="M74" s="528"/>
      <c r="N74" s="528"/>
      <c r="O74" s="528"/>
      <c r="P74" s="528"/>
      <c r="Q74" s="528"/>
      <c r="R74" s="528"/>
      <c r="S74" s="528"/>
      <c r="T74" s="468" cm="1" t="str">
        <f t="array" ref="T74:T74">T73</f>
        <v>true</v>
      </c>
      <c r="U74" s="528"/>
      <c r="V74" s="528"/>
      <c r="W74" s="528"/>
      <c r="X74" s="1559"/>
      <c r="Y74" s="528"/>
      <c r="Z74" s="1560"/>
      <c r="AA74" s="528"/>
      <c r="AB74" s="518" t="s">
        <v>674</v>
      </c>
      <c r="AC74" s="565" t="s">
        <v>2930</v>
      </c>
      <c r="AD74" s="518" t="s">
        <v>399</v>
      </c>
      <c r="AE74" s="533">
        <f>_xlfn.SUMIFS('Условные метры'!AK$27:AK$41,'Условные метры'!$F$27:$F$41,$F74,'Условные метры'!$G$27:$G$41,"Итог")</f>
        <v>0</v>
      </c>
      <c r="AF74" s="533">
        <f>_xlfn.SUMIFS('Условные метры'!AM$27:AM$41,'Условные метры'!$F$27:$F$41,$F74,'Условные метры'!$G$27:$G$41,"Итог")</f>
        <v>0</v>
      </c>
      <c r="AG74" s="528"/>
      <c r="AH74" s="528"/>
      <c r="AI74" s="1043" t="s">
        <v>2931</v>
      </c>
    </row>
    <row s="528" customFormat="1" customHeight="1" ht="14.25">
      <c r="A75" s="528"/>
      <c r="B75" s="528"/>
      <c r="C75" s="528"/>
      <c r="D75" s="528"/>
      <c r="E75" s="680">
        <v>15</v>
      </c>
      <c r="F75" s="50" cm="1" t="str">
        <f t="array" ref="F75:F75">OFFSET(E75,-1,1)</f>
        <v>2</v>
      </c>
      <c r="G75" s="528"/>
      <c r="H75" s="491" t="s">
        <v>348</v>
      </c>
      <c r="I75" s="491"/>
      <c r="J75" s="491"/>
      <c r="K75" s="491"/>
      <c r="L75" s="528"/>
      <c r="M75" s="528"/>
      <c r="N75" s="528"/>
      <c r="O75" s="528"/>
      <c r="P75" s="528"/>
      <c r="Q75" s="528"/>
      <c r="R75" s="528"/>
      <c r="S75" s="528"/>
      <c r="T75" s="468" cm="1" t="str">
        <f t="array" ref="T75:T75">T74</f>
        <v>true</v>
      </c>
      <c r="U75" s="528"/>
      <c r="V75" s="528"/>
      <c r="W75" s="528"/>
      <c r="X75" s="1559"/>
      <c r="Y75" s="528"/>
      <c r="Z75" s="1560"/>
      <c r="AA75" s="528"/>
      <c r="AB75" s="518" t="s">
        <v>451</v>
      </c>
      <c r="AC75" s="564" t="s">
        <v>2932</v>
      </c>
      <c r="AD75" s="518" t="s">
        <v>1232</v>
      </c>
      <c r="AE75" s="533">
        <f>_xlfn.SUMIFS('Амортизация (аналог)'!AE$25:AE$55,'Амортизация (аналог)'!$F$25:$F$55,$F75,'Амортизация (аналог)'!$AB$25:$AB$55,"2")</f>
        <v>0</v>
      </c>
      <c r="AF75" s="533">
        <f>_xlfn.SUMIFS('Амортизация (аналог)'!AF$25:AF$55,'Амортизация (аналог)'!$F$25:$F$55,$F75,'Амортизация (аналог)'!$AB$25:$AB$55,"2")</f>
        <v>0</v>
      </c>
      <c r="AG75" s="528"/>
      <c r="AH75" s="528"/>
      <c r="AI75" s="1043" t="s">
        <v>2933</v>
      </c>
    </row>
    <row s="528" customFormat="1" customHeight="1" ht="14.25">
      <c r="A76" s="528"/>
      <c r="B76" s="528"/>
      <c r="C76" s="528"/>
      <c r="D76" s="528"/>
      <c r="E76" s="680">
        <v>15</v>
      </c>
      <c r="F76" s="50" cm="1" t="str">
        <f t="array" ref="F76:F76">OFFSET(E76,-1,1)</f>
        <v>2</v>
      </c>
      <c r="G76" s="528"/>
      <c r="H76" s="491" t="s">
        <v>659</v>
      </c>
      <c r="I76" s="491"/>
      <c r="J76" s="491"/>
      <c r="K76" s="491"/>
      <c r="L76" s="528"/>
      <c r="M76" s="528"/>
      <c r="N76" s="528"/>
      <c r="O76" s="528"/>
      <c r="P76" s="528"/>
      <c r="Q76" s="528"/>
      <c r="R76" s="528"/>
      <c r="S76" s="528"/>
      <c r="T76" s="468" cm="1" t="str">
        <f t="array" ref="T76:T76">T75</f>
        <v>true</v>
      </c>
      <c r="U76" s="528"/>
      <c r="V76" s="528"/>
      <c r="W76" s="528"/>
      <c r="X76" s="1559"/>
      <c r="Y76" s="528"/>
      <c r="Z76" s="1560"/>
      <c r="AA76" s="528"/>
      <c r="AB76" s="518" t="s">
        <v>794</v>
      </c>
      <c r="AC76" s="1317" t="s">
        <v>2934</v>
      </c>
      <c r="AD76" s="518" t="s">
        <v>561</v>
      </c>
      <c r="AE76" s="530">
        <f>IF(AE67=0,0,AE75/AE67*100)</f>
        <v>0</v>
      </c>
      <c r="AF76" s="530">
        <f>IF(AF67=0,0,AF75/AF67*100)</f>
        <v>0</v>
      </c>
      <c r="AG76" s="528"/>
      <c r="AH76" s="528"/>
      <c r="AI76" s="1043" t="s">
        <v>2935</v>
      </c>
    </row>
    <row s="528" customFormat="1" customHeight="1" ht="21.75">
      <c r="A77" s="528"/>
      <c r="B77" s="528"/>
      <c r="C77" s="528"/>
      <c r="D77" s="528"/>
      <c r="E77" s="680">
        <v>22.5</v>
      </c>
      <c r="F77" s="50" cm="1" t="str">
        <f t="array" ref="F77:F77">OFFSET(E77,-1,1)</f>
        <v>2</v>
      </c>
      <c r="G77" s="154" t="s">
        <v>1871</v>
      </c>
      <c r="H77" s="491" t="s">
        <v>347</v>
      </c>
      <c r="I77" s="491"/>
      <c r="J77" s="491"/>
      <c r="K77" s="491"/>
      <c r="L77" s="528"/>
      <c r="M77" s="528"/>
      <c r="N77" s="528"/>
      <c r="O77" s="528"/>
      <c r="P77" s="528"/>
      <c r="Q77" s="528"/>
      <c r="R77" s="528"/>
      <c r="S77" s="528"/>
      <c r="T77" s="468" cm="1" t="str">
        <f t="array" ref="T77:T77">T76</f>
        <v>true</v>
      </c>
      <c r="U77" s="528"/>
      <c r="V77" s="528"/>
      <c r="W77" s="528"/>
      <c r="X77" s="1559"/>
      <c r="Y77" s="528"/>
      <c r="Z77" s="1560"/>
      <c r="AA77" s="528"/>
      <c r="AB77" s="518" t="s">
        <v>454</v>
      </c>
      <c r="AC77" s="1318" t="s">
        <v>2936</v>
      </c>
      <c r="AD77" s="518" t="s">
        <v>2937</v>
      </c>
      <c r="AE77" s="533">
        <f>_xlfn.SUMIFS(Баланс!$AI$25:$AI$391,Баланс!$F$25:$F$391,$F77,Баланс!$G$25:$G$391,"ПО")</f>
        <v>4766.327</v>
      </c>
      <c r="AF77" s="533">
        <f>_xlfn.SUMIFS(Баланс!$AS$25:$AS$391,Баланс!$F$25:$F$391,$F77,Баланс!$G$25:$G$391,"ПО")</f>
        <v>4589.80103</v>
      </c>
      <c r="AG77" s="528"/>
      <c r="AH77" s="528"/>
      <c r="AI77" s="1043" t="s">
        <v>1255</v>
      </c>
    </row>
    <row s="528" customFormat="1" customHeight="1" ht="14.25">
      <c r="A78" s="528"/>
      <c r="B78" s="528"/>
      <c r="C78" s="528"/>
      <c r="D78" s="528"/>
      <c r="E78" s="680">
        <v>15</v>
      </c>
      <c r="F78" s="50" cm="1" t="str">
        <f t="array" ref="F78:F78">OFFSET(E78,-1,1)</f>
        <v>2</v>
      </c>
      <c r="G78" s="1319" t="s">
        <v>1898</v>
      </c>
      <c r="H78" s="491" t="s">
        <v>673</v>
      </c>
      <c r="I78" s="491"/>
      <c r="J78" s="491"/>
      <c r="K78" s="491"/>
      <c r="L78" s="528"/>
      <c r="M78" s="528"/>
      <c r="N78" s="528"/>
      <c r="O78" s="528"/>
      <c r="P78" s="528"/>
      <c r="Q78" s="528"/>
      <c r="R78" s="528"/>
      <c r="S78" s="528"/>
      <c r="T78" s="468" cm="1" t="str">
        <f t="array" ref="T78:T78">T77</f>
        <v>true</v>
      </c>
      <c r="U78" s="528"/>
      <c r="V78" s="528"/>
      <c r="W78" s="528"/>
      <c r="X78" s="1559"/>
      <c r="Y78" s="528"/>
      <c r="Z78" s="1560"/>
      <c r="AA78" s="528"/>
      <c r="AB78" s="518" t="s">
        <v>801</v>
      </c>
      <c r="AC78" s="1320" t="s">
        <v>2938</v>
      </c>
      <c r="AD78" s="518" t="s">
        <v>2937</v>
      </c>
      <c r="AE78" s="1321"/>
      <c r="AF78" s="1321"/>
      <c r="AG78" s="528"/>
      <c r="AH78" s="528"/>
      <c r="AI78" s="1043" t="s">
        <v>2939</v>
      </c>
    </row>
    <row s="528" customFormat="1" customHeight="1" ht="14.25">
      <c r="A79" s="528"/>
      <c r="B79" s="528"/>
      <c r="C79" s="528"/>
      <c r="D79" s="528"/>
      <c r="E79" s="680">
        <v>15</v>
      </c>
      <c r="F79" s="50" cm="1" t="str">
        <f t="array" ref="F79:F79">OFFSET(E79,-1,1)</f>
        <v>2</v>
      </c>
      <c r="G79" s="103" t="s">
        <v>1911</v>
      </c>
      <c r="H79" s="491" t="s">
        <v>677</v>
      </c>
      <c r="I79" s="491"/>
      <c r="J79" s="491"/>
      <c r="K79" s="491"/>
      <c r="L79" s="528"/>
      <c r="M79" s="528"/>
      <c r="N79" s="528"/>
      <c r="O79" s="528"/>
      <c r="P79" s="528"/>
      <c r="Q79" s="528"/>
      <c r="R79" s="528"/>
      <c r="S79" s="528"/>
      <c r="T79" s="468" cm="1" t="str">
        <f t="array" ref="T79:T79">T78</f>
        <v>true</v>
      </c>
      <c r="U79" s="528"/>
      <c r="V79" s="528"/>
      <c r="W79" s="528"/>
      <c r="X79" s="1559"/>
      <c r="Y79" s="528"/>
      <c r="Z79" s="1560"/>
      <c r="AA79" s="528"/>
      <c r="AB79" s="518" t="s">
        <v>804</v>
      </c>
      <c r="AC79" s="1140" t="s">
        <v>2940</v>
      </c>
      <c r="AD79" s="518" t="s">
        <v>2937</v>
      </c>
      <c r="AE79" s="533">
        <f>AE77-AE78</f>
        <v>4766.327</v>
      </c>
      <c r="AF79" s="533">
        <f>AF77-AF78</f>
        <v>4589.80103</v>
      </c>
      <c r="AG79" s="528"/>
      <c r="AH79" s="528"/>
      <c r="AI79" s="1043" t="s">
        <v>2941</v>
      </c>
    </row>
    <row s="528" customFormat="1" customHeight="1" ht="14.25">
      <c r="A80" s="528"/>
      <c r="B80" s="528"/>
      <c r="C80" s="528"/>
      <c r="D80" s="528"/>
      <c r="E80" s="680">
        <v>15</v>
      </c>
      <c r="F80" s="50" cm="1" t="str">
        <f t="array" ref="F80:F80">OFFSET(E80,-1,1)</f>
        <v>2</v>
      </c>
      <c r="G80" s="528"/>
      <c r="H80" s="491" t="s">
        <v>616</v>
      </c>
      <c r="I80" s="491"/>
      <c r="J80" s="491"/>
      <c r="K80" s="491"/>
      <c r="L80" s="528"/>
      <c r="M80" s="528"/>
      <c r="N80" s="528"/>
      <c r="O80" s="528"/>
      <c r="P80" s="528"/>
      <c r="Q80" s="528"/>
      <c r="R80" s="528"/>
      <c r="S80" s="528"/>
      <c r="T80" s="468" cm="1" t="str">
        <f t="array" ref="T80:T80">T79</f>
        <v>true</v>
      </c>
      <c r="U80" s="528"/>
      <c r="V80" s="528"/>
      <c r="W80" s="528"/>
      <c r="X80" s="1559"/>
      <c r="Y80" s="528"/>
      <c r="Z80" s="1560"/>
      <c r="AA80" s="528"/>
      <c r="AB80" s="518" t="s">
        <v>457</v>
      </c>
      <c r="AC80" s="563" t="s">
        <v>2942</v>
      </c>
      <c r="AD80" s="518" t="s">
        <v>1862</v>
      </c>
      <c r="AE80" s="530">
        <f>IF(AE77=0,0,AE66/AE77)</f>
        <v>0</v>
      </c>
      <c r="AF80" s="530">
        <f>IF(AF77=0,0,AF66/AF77)</f>
        <v>0</v>
      </c>
      <c r="AG80" s="528"/>
      <c r="AH80" s="528"/>
      <c r="AI80" s="1043" t="s">
        <v>1361</v>
      </c>
    </row>
    <row s="528" customFormat="1" customHeight="1" ht="14.25">
      <c r="A81" s="528"/>
      <c r="B81" s="528"/>
      <c r="C81" s="528"/>
      <c r="D81" s="528"/>
      <c r="E81" s="680">
        <v>15</v>
      </c>
      <c r="F81" s="50" cm="1" t="str">
        <f t="array" ref="F81:F81">OFFSET(E81,-1,1)</f>
        <v>2</v>
      </c>
      <c r="G81" s="103" t="s">
        <v>1859</v>
      </c>
      <c r="H81" s="491" t="s">
        <v>817</v>
      </c>
      <c r="I81" s="491"/>
      <c r="J81" s="491"/>
      <c r="K81" s="491"/>
      <c r="L81" s="528"/>
      <c r="M81" s="528"/>
      <c r="N81" s="528"/>
      <c r="O81" s="528"/>
      <c r="P81" s="528"/>
      <c r="Q81" s="528"/>
      <c r="R81" s="528"/>
      <c r="S81" s="528"/>
      <c r="T81" s="468" cm="1" t="str">
        <f t="array" ref="T81:T81">T80</f>
        <v>true</v>
      </c>
      <c r="U81" s="528"/>
      <c r="V81" s="528"/>
      <c r="W81" s="528"/>
      <c r="X81" s="1559"/>
      <c r="Y81" s="528"/>
      <c r="Z81" s="1560"/>
      <c r="AA81" s="528"/>
      <c r="AB81" s="518" t="s">
        <v>2943</v>
      </c>
      <c r="AC81" s="1322" t="s">
        <v>2944</v>
      </c>
      <c r="AD81" s="518" t="s">
        <v>1862</v>
      </c>
      <c r="AE81" s="537"/>
      <c r="AF81" s="537"/>
      <c r="AG81" s="528"/>
      <c r="AH81" s="528"/>
      <c r="AI81" s="1043" t="s">
        <v>2945</v>
      </c>
    </row>
    <row s="528" customFormat="1" customHeight="1" ht="14.25">
      <c r="A82" s="528"/>
      <c r="B82" s="528"/>
      <c r="C82" s="528"/>
      <c r="D82" s="528"/>
      <c r="E82" s="680">
        <v>15</v>
      </c>
      <c r="F82" s="50" cm="1" t="str">
        <f t="array" ref="F82:F82">OFFSET(E82,-1,1)</f>
        <v>2</v>
      </c>
      <c r="G82" s="103" t="s">
        <v>1864</v>
      </c>
      <c r="H82" s="491" t="s">
        <v>820</v>
      </c>
      <c r="I82" s="491"/>
      <c r="J82" s="491"/>
      <c r="K82" s="491"/>
      <c r="L82" s="528"/>
      <c r="M82" s="528"/>
      <c r="N82" s="528"/>
      <c r="O82" s="528"/>
      <c r="P82" s="528"/>
      <c r="Q82" s="528"/>
      <c r="R82" s="528"/>
      <c r="S82" s="528"/>
      <c r="T82" s="468" cm="1" t="str">
        <f t="array" ref="T82:T82">T81</f>
        <v>true</v>
      </c>
      <c r="U82" s="528"/>
      <c r="V82" s="528"/>
      <c r="W82" s="528"/>
      <c r="X82" s="1559"/>
      <c r="Y82" s="528"/>
      <c r="Z82" s="1560"/>
      <c r="AA82" s="528"/>
      <c r="AB82" s="518" t="s">
        <v>2946</v>
      </c>
      <c r="AC82" s="1141" t="s">
        <v>2947</v>
      </c>
      <c r="AD82" s="518" t="s">
        <v>1862</v>
      </c>
      <c r="AE82" s="537">
        <f>IF(AE79=0,0,(AE66-AE81*AE78)/AE79)</f>
        <v>0</v>
      </c>
      <c r="AF82" s="537">
        <f>IF(AF79=0,0,(AF66-AF81*AF78)/AF79)</f>
        <v>0</v>
      </c>
      <c r="AG82" s="528"/>
      <c r="AH82" s="528"/>
      <c r="AI82" s="1043" t="s">
        <v>2948</v>
      </c>
    </row>
    <row s="1656" customFormat="1" customHeight="1" ht="14.25">
      <c r="A83" s="1240"/>
      <c r="B83" s="1240"/>
      <c r="C83" s="1240"/>
      <c r="D83" s="1240"/>
      <c r="E83" s="655">
        <v>15</v>
      </c>
      <c r="F83" s="50" cm="1" t="str">
        <f t="array" ref="F83:F83">OFFSET(E83,-1,1)</f>
        <v>2</v>
      </c>
      <c r="G83" s="1240"/>
      <c r="H83" s="491" t="s">
        <v>796</v>
      </c>
      <c r="I83" s="1240"/>
      <c r="J83" s="1240"/>
      <c r="K83" s="1240"/>
      <c r="L83" s="1240"/>
      <c r="M83" s="1240"/>
      <c r="N83" s="1240"/>
      <c r="O83" s="1240"/>
      <c r="P83" s="1240"/>
      <c r="Q83" s="1240"/>
      <c r="R83" s="1240"/>
      <c r="S83" s="1240"/>
      <c r="T83" s="468" cm="1" t="str">
        <f t="array" ref="T83:T83">T82</f>
        <v>true</v>
      </c>
      <c r="U83" s="1240"/>
      <c r="V83" s="1240"/>
      <c r="W83" s="1240"/>
      <c r="X83" s="1559"/>
      <c r="Y83" s="1240"/>
      <c r="Z83" s="1560"/>
      <c r="AA83" s="1240"/>
      <c r="AB83" s="518" t="s">
        <v>693</v>
      </c>
      <c r="AC83" s="557" t="s">
        <v>2949</v>
      </c>
      <c r="AD83" s="518" t="s">
        <v>561</v>
      </c>
      <c r="AE83" s="530">
        <f>IF(AE81=0,0,AE82/AE81*100)</f>
        <v>0</v>
      </c>
      <c r="AF83" s="530">
        <f>IF(AF81=0,0,AF82/AF81*100)</f>
        <v>0</v>
      </c>
      <c r="AG83" s="1240"/>
      <c r="AH83" s="1240"/>
      <c r="AI83" s="1033" t="s">
        <v>2950</v>
      </c>
    </row>
    <row s="1656" customFormat="1" customHeight="1" ht="14.25">
      <c r="A84" s="1240"/>
      <c r="B84" s="1240"/>
      <c r="C84" s="1240"/>
      <c r="D84" s="1240"/>
      <c r="E84" s="655">
        <v>15</v>
      </c>
      <c r="F84" s="491" cm="1" t="str">
        <f t="array" ref="F84:F84">X84</f>
        <v>3</v>
      </c>
      <c r="G84" s="1240"/>
      <c r="H84" s="1240"/>
      <c r="I84" s="1240"/>
      <c r="J84" s="1240"/>
      <c r="K84" s="1240"/>
      <c r="L84" s="1240"/>
      <c r="M84" s="1240"/>
      <c r="N84" s="1240"/>
      <c r="O84" s="1240"/>
      <c r="P84" s="1240"/>
      <c r="Q84" s="1240"/>
      <c r="R84" s="1240"/>
      <c r="S84" s="1240"/>
      <c r="T84" s="468">
        <f>X84&gt;0</f>
        <v>1</v>
      </c>
      <c r="U84" s="1240"/>
      <c r="V84" s="491" cm="1" t="str">
        <f t="array" ref="V84:V84">ГО!$AB$294</f>
        <v>Тариф 3 (Водоотведение) - тариф на водоотведение (Оказание услуг на территории: город Полысаево (ОКТМО: 32732000) - г Полысаево)</v>
      </c>
      <c r="W84" s="1240"/>
      <c r="X84" s="1559" t="s">
        <v>234</v>
      </c>
      <c r="Y84" s="1240"/>
      <c r="Z84" s="1560"/>
      <c r="AA84" s="1240"/>
      <c r="AB84" s="218" cm="1" t="str">
        <f t="array" ref="AB84:AB84">ГО!$AB$294</f>
        <v>Тариф 3 (Водоотведение) - тариф на водоотведение (Оказание услуг на территории: город Полысаево (ОКТМО: 32732000) - г Полысаево)</v>
      </c>
      <c r="AC84" s="1312"/>
      <c r="AD84" s="1313"/>
      <c r="AE84" s="1313"/>
      <c r="AF84" s="1314"/>
      <c r="AG84" s="1240"/>
      <c r="AH84" s="1240"/>
      <c r="AI84" s="1184"/>
    </row>
    <row s="528" customFormat="1" customHeight="1" ht="21.75">
      <c r="A85" s="528"/>
      <c r="B85" s="528"/>
      <c r="C85" s="528"/>
      <c r="D85" s="528"/>
      <c r="E85" s="680">
        <v>22.5</v>
      </c>
      <c r="F85" s="50" cm="1" t="str">
        <f t="array" ref="F85:F85">OFFSET(E85,-1,1)</f>
        <v>3</v>
      </c>
      <c r="G85" s="528"/>
      <c r="H85" s="491" t="s">
        <v>344</v>
      </c>
      <c r="I85" s="491"/>
      <c r="J85" s="491"/>
      <c r="K85" s="491"/>
      <c r="L85" s="528"/>
      <c r="M85" s="528"/>
      <c r="N85" s="528"/>
      <c r="O85" s="528"/>
      <c r="P85" s="528"/>
      <c r="Q85" s="528"/>
      <c r="R85" s="528"/>
      <c r="S85" s="528"/>
      <c r="T85" s="468" cm="1" t="str">
        <f t="array" ref="T85:T85">T84</f>
        <v>true</v>
      </c>
      <c r="U85" s="528"/>
      <c r="V85" s="528"/>
      <c r="W85" s="528"/>
      <c r="X85" s="1559"/>
      <c r="Y85" s="528"/>
      <c r="Z85" s="1560"/>
      <c r="AA85" s="528"/>
      <c r="AB85" s="518" t="s">
        <v>290</v>
      </c>
      <c r="AC85" s="534" t="s">
        <v>2917</v>
      </c>
      <c r="AD85" s="518" t="s">
        <v>936</v>
      </c>
      <c r="AE85" s="530">
        <f>(AE86+AE94)*AE92</f>
        <v>0</v>
      </c>
      <c r="AF85" s="530">
        <f>(AF86+AF94)*AF92</f>
        <v>0</v>
      </c>
      <c r="AG85" s="528"/>
      <c r="AH85" s="528"/>
      <c r="AI85" s="1043" t="s">
        <v>2918</v>
      </c>
    </row>
    <row s="1656" customFormat="1" customHeight="1" ht="21.75">
      <c r="A86" s="1240"/>
      <c r="B86" s="1240"/>
      <c r="C86" s="1240"/>
      <c r="D86" s="1240"/>
      <c r="E86" s="655">
        <v>22.5</v>
      </c>
      <c r="F86" s="50" cm="1" t="str">
        <f t="array" ref="F86:F86">OFFSET(E86,-1,1)</f>
        <v>3</v>
      </c>
      <c r="G86" s="491" t="s">
        <v>2919</v>
      </c>
      <c r="H86" s="491" t="s">
        <v>345</v>
      </c>
      <c r="I86" s="1240"/>
      <c r="J86" s="1240"/>
      <c r="K86" s="491" t="str">
        <f>F86&amp;G86</f>
        <v>3УТР</v>
      </c>
      <c r="L86" s="1095" cm="1" t="str">
        <f t="array" ref="L86:L86">AE86</f>
        <v>0</v>
      </c>
      <c r="M86" s="1095" cm="1" t="str">
        <f t="array" ref="M86:M86">AF86</f>
        <v>0</v>
      </c>
      <c r="N86" s="1240"/>
      <c r="O86" s="1240"/>
      <c r="P86" s="1240"/>
      <c r="Q86" s="1240"/>
      <c r="R86" s="1240"/>
      <c r="S86" s="1240"/>
      <c r="T86" s="468" cm="1" t="str">
        <f t="array" ref="T86:T86">T85</f>
        <v>true</v>
      </c>
      <c r="U86" s="1240"/>
      <c r="V86" s="1240"/>
      <c r="W86" s="1240"/>
      <c r="X86" s="1559"/>
      <c r="Y86" s="1240"/>
      <c r="Z86" s="1560"/>
      <c r="AA86" s="1240"/>
      <c r="AB86" s="518" t="s">
        <v>299</v>
      </c>
      <c r="AC86" s="529" t="s">
        <v>1240</v>
      </c>
      <c r="AD86" s="518" t="s">
        <v>1232</v>
      </c>
      <c r="AE86" s="1094">
        <f>IF(AE91=0,0,(AE87-IF(_xlfn.SUMIFS('Перечень объектов'!AH$24:AH$75,'Перечень объектов'!$F$24:$F$75,$F86,'Перечень объектов'!$G$24:$G$75,"ЭЭ")&gt;0,0,AE88))/AE91)</f>
        <v>0</v>
      </c>
      <c r="AF86" s="1094">
        <f>IF(AF91=0,0,(AF87-IF(_xlfn.SUMIFS('Перечень объектов'!AI$24:AI$75,'Перечень объектов'!$F$24:$F$75,$F86,'Перечень объектов'!$G$24:$G$75,"ЭЭ")&gt;0,0,AF88))/AF91)</f>
        <v>0</v>
      </c>
      <c r="AG86" s="1240"/>
      <c r="AH86" s="1240"/>
      <c r="AI86" s="1033" t="s">
        <v>2920</v>
      </c>
    </row>
    <row s="1656" customFormat="1" customHeight="1" ht="32.25">
      <c r="A87" s="1240"/>
      <c r="B87" s="1240"/>
      <c r="C87" s="1240"/>
      <c r="D87" s="1240"/>
      <c r="E87" s="655">
        <v>33.75</v>
      </c>
      <c r="F87" s="50" cm="1" t="str">
        <f t="array" ref="F87:F87">OFFSET(E87,-1,1)</f>
        <v>3</v>
      </c>
      <c r="G87" s="1240"/>
      <c r="H87" s="491" t="s">
        <v>584</v>
      </c>
      <c r="I87" s="1240"/>
      <c r="J87" s="1240"/>
      <c r="K87" s="1240"/>
      <c r="L87" s="1240"/>
      <c r="M87" s="1240"/>
      <c r="N87" s="1240"/>
      <c r="O87" s="1240"/>
      <c r="P87" s="1240"/>
      <c r="Q87" s="1240"/>
      <c r="R87" s="1240"/>
      <c r="S87" s="1240"/>
      <c r="T87" s="468" cm="1" t="str">
        <f t="array" ref="T87:T87">T86</f>
        <v>true</v>
      </c>
      <c r="U87" s="1240"/>
      <c r="V87" s="1240"/>
      <c r="W87" s="1240"/>
      <c r="X87" s="1559"/>
      <c r="Y87" s="1240"/>
      <c r="Z87" s="1560"/>
      <c r="AA87" s="1240"/>
      <c r="AB87" s="518" t="s">
        <v>660</v>
      </c>
      <c r="AC87" s="565" t="s">
        <v>2921</v>
      </c>
      <c r="AD87" s="518" t="s">
        <v>936</v>
      </c>
      <c r="AE87" s="537"/>
      <c r="AF87" s="530">
        <f>_xlfn.SUMIFS(ГО!AE$25:AE$383,ГО!$F$25:$F$383,$F87,ГО!$G$25:$G$383,"Итог")*(1+AF89/100)*(1+AF90/100)</f>
        <v>0</v>
      </c>
      <c r="AG87" s="1240"/>
      <c r="AH87" s="1240"/>
      <c r="AI87" s="1033" t="s">
        <v>2922</v>
      </c>
    </row>
    <row s="528" customFormat="1" customHeight="1" ht="14.25">
      <c r="A88" s="528"/>
      <c r="B88" s="528"/>
      <c r="C88" s="528"/>
      <c r="D88" s="528"/>
      <c r="E88" s="680">
        <v>15</v>
      </c>
      <c r="F88" s="50" cm="1" t="str">
        <f t="array" ref="F88:F88">OFFSET(E88,-1,1)</f>
        <v>3</v>
      </c>
      <c r="G88" s="528"/>
      <c r="H88" s="491" t="s">
        <v>1787</v>
      </c>
      <c r="I88" s="491"/>
      <c r="J88" s="491"/>
      <c r="K88" s="491"/>
      <c r="L88" s="528"/>
      <c r="M88" s="528"/>
      <c r="N88" s="528"/>
      <c r="O88" s="528"/>
      <c r="P88" s="528"/>
      <c r="Q88" s="528"/>
      <c r="R88" s="528"/>
      <c r="S88" s="528"/>
      <c r="T88" s="468" cm="1" t="str">
        <f t="array" ref="T88:T88">T87</f>
        <v>true</v>
      </c>
      <c r="U88" s="528"/>
      <c r="V88" s="528"/>
      <c r="W88" s="528"/>
      <c r="X88" s="1559"/>
      <c r="Y88" s="528"/>
      <c r="Z88" s="1560"/>
      <c r="AA88" s="528"/>
      <c r="AB88" s="518" t="s">
        <v>592</v>
      </c>
      <c r="AC88" s="1315" t="s">
        <v>2923</v>
      </c>
      <c r="AD88" s="518" t="s">
        <v>936</v>
      </c>
      <c r="AE88" s="537"/>
      <c r="AF88" s="530">
        <f>_xlfn.SUMIFS(ГО!AE$25:AE$383,ГО!$F$25:$F$383,$F88,ГО!$G$25:$G$383,"ЭЭ")*(1+AF89/100)*(1+AF90/100)</f>
        <v>0</v>
      </c>
      <c r="AG88" s="528"/>
      <c r="AH88" s="528"/>
      <c r="AI88" s="1043" t="s">
        <v>1984</v>
      </c>
    </row>
    <row s="528" customFormat="1" customHeight="1" ht="14.25">
      <c r="A89" s="528"/>
      <c r="B89" s="528"/>
      <c r="C89" s="528"/>
      <c r="D89" s="528"/>
      <c r="E89" s="680">
        <v>15</v>
      </c>
      <c r="F89" s="50" cm="1" t="str">
        <f t="array" ref="F89:F89">OFFSET(E89,-1,1)</f>
        <v>3</v>
      </c>
      <c r="G89" s="528"/>
      <c r="H89" s="491" t="s">
        <v>587</v>
      </c>
      <c r="I89" s="491"/>
      <c r="J89" s="491"/>
      <c r="K89" s="491"/>
      <c r="L89" s="528"/>
      <c r="M89" s="528"/>
      <c r="N89" s="528"/>
      <c r="O89" s="528"/>
      <c r="P89" s="528"/>
      <c r="Q89" s="528"/>
      <c r="R89" s="528"/>
      <c r="S89" s="528"/>
      <c r="T89" s="468" cm="1" t="str">
        <f t="array" ref="T89:T89">T88</f>
        <v>true</v>
      </c>
      <c r="U89" s="528"/>
      <c r="V89" s="528"/>
      <c r="W89" s="528"/>
      <c r="X89" s="1559"/>
      <c r="Y89" s="528"/>
      <c r="Z89" s="1560"/>
      <c r="AA89" s="528"/>
      <c r="AB89" s="518" t="s">
        <v>664</v>
      </c>
      <c r="AC89" s="565" t="str">
        <f>"индекс потребительских цен на "&amp;god-1&amp;" год"</f>
        <v>индекс потребительских цен на 2025 год</v>
      </c>
      <c r="AD89" s="518" t="s">
        <v>561</v>
      </c>
      <c r="AE89" s="537"/>
      <c r="AF89" s="537"/>
      <c r="AG89" s="528"/>
      <c r="AH89" s="528"/>
      <c r="AI89" s="1043" t="s">
        <v>2924</v>
      </c>
    </row>
    <row s="528" customFormat="1" customHeight="1" ht="14.25">
      <c r="A90" s="528"/>
      <c r="B90" s="528"/>
      <c r="C90" s="528"/>
      <c r="D90" s="528"/>
      <c r="E90" s="680">
        <v>15</v>
      </c>
      <c r="F90" s="50" cm="1" t="str">
        <f t="array" ref="F90:F90">OFFSET(E90,-1,1)</f>
        <v>3</v>
      </c>
      <c r="G90" s="528"/>
      <c r="H90" s="491" t="s">
        <v>1087</v>
      </c>
      <c r="I90" s="491"/>
      <c r="J90" s="491"/>
      <c r="K90" s="491"/>
      <c r="L90" s="528"/>
      <c r="M90" s="528"/>
      <c r="N90" s="528"/>
      <c r="O90" s="528"/>
      <c r="P90" s="528"/>
      <c r="Q90" s="528"/>
      <c r="R90" s="528"/>
      <c r="S90" s="528"/>
      <c r="T90" s="468" cm="1" t="str">
        <f t="array" ref="T90:T90">T89</f>
        <v>true</v>
      </c>
      <c r="U90" s="528"/>
      <c r="V90" s="528"/>
      <c r="W90" s="528"/>
      <c r="X90" s="1559"/>
      <c r="Y90" s="528"/>
      <c r="Z90" s="1560"/>
      <c r="AA90" s="528"/>
      <c r="AB90" s="518" t="s">
        <v>668</v>
      </c>
      <c r="AC90" s="565" t="str">
        <f>"индекс потребительских цен на "&amp;god&amp;" год"</f>
        <v>индекс потребительских цен на 2026 год</v>
      </c>
      <c r="AD90" s="518" t="s">
        <v>561</v>
      </c>
      <c r="AE90" s="537"/>
      <c r="AF90" s="537"/>
      <c r="AG90" s="528"/>
      <c r="AH90" s="528"/>
      <c r="AI90" s="1043" t="s">
        <v>2925</v>
      </c>
    </row>
    <row s="528" customFormat="1" customHeight="1" ht="21.75">
      <c r="A91" s="528"/>
      <c r="B91" s="528"/>
      <c r="C91" s="528"/>
      <c r="D91" s="528"/>
      <c r="E91" s="680">
        <v>22.5</v>
      </c>
      <c r="F91" s="50" cm="1" t="str">
        <f t="array" ref="F91:F91">OFFSET(E91,-1,1)</f>
        <v>3</v>
      </c>
      <c r="G91" s="528"/>
      <c r="H91" s="491" t="s">
        <v>1089</v>
      </c>
      <c r="I91" s="491"/>
      <c r="J91" s="491"/>
      <c r="K91" s="491"/>
      <c r="L91" s="528"/>
      <c r="M91" s="528"/>
      <c r="N91" s="528"/>
      <c r="O91" s="528"/>
      <c r="P91" s="528"/>
      <c r="Q91" s="528"/>
      <c r="R91" s="528"/>
      <c r="S91" s="528"/>
      <c r="T91" s="468" cm="1" t="str">
        <f t="array" ref="T91:T91">T90</f>
        <v>true</v>
      </c>
      <c r="U91" s="528"/>
      <c r="V91" s="528"/>
      <c r="W91" s="528"/>
      <c r="X91" s="1559"/>
      <c r="Y91" s="528"/>
      <c r="Z91" s="1560"/>
      <c r="AA91" s="528"/>
      <c r="AB91" s="518" t="s">
        <v>1090</v>
      </c>
      <c r="AC91" s="565" t="s">
        <v>2926</v>
      </c>
      <c r="AD91" s="518" t="s">
        <v>928</v>
      </c>
      <c r="AE91" s="537"/>
      <c r="AF91" s="537"/>
      <c r="AG91" s="528"/>
      <c r="AH91" s="528"/>
      <c r="AI91" s="1043" t="s">
        <v>2927</v>
      </c>
    </row>
    <row s="528" customFormat="1" customHeight="1" ht="14.25">
      <c r="A92" s="528"/>
      <c r="B92" s="528"/>
      <c r="C92" s="528"/>
      <c r="D92" s="528"/>
      <c r="E92" s="680">
        <v>15</v>
      </c>
      <c r="F92" s="50" cm="1" t="str">
        <f t="array" ref="F92:F92">OFFSET(E92,-1,1)</f>
        <v>3</v>
      </c>
      <c r="G92" s="528"/>
      <c r="H92" s="491" t="s">
        <v>346</v>
      </c>
      <c r="I92" s="491"/>
      <c r="J92" s="491"/>
      <c r="K92" s="491"/>
      <c r="L92" s="528"/>
      <c r="M92" s="528"/>
      <c r="N92" s="528"/>
      <c r="O92" s="528"/>
      <c r="P92" s="528"/>
      <c r="Q92" s="528"/>
      <c r="R92" s="528"/>
      <c r="S92" s="528"/>
      <c r="T92" s="468" cm="1" t="str">
        <f t="array" ref="T92:T92">T91</f>
        <v>true</v>
      </c>
      <c r="U92" s="528"/>
      <c r="V92" s="528"/>
      <c r="W92" s="528"/>
      <c r="X92" s="1559"/>
      <c r="Y92" s="528"/>
      <c r="Z92" s="1560"/>
      <c r="AA92" s="528"/>
      <c r="AB92" s="518" t="s">
        <v>234</v>
      </c>
      <c r="AC92" s="1316" t="s">
        <v>2928</v>
      </c>
      <c r="AD92" s="518" t="s">
        <v>928</v>
      </c>
      <c r="AE92" s="533">
        <f>_xlfn.SUMIFS('Условные метры'!AL$27:AL$41,'Условные метры'!$F$27:$F$41,$F92,'Условные метры'!$G$27:$G$41,"Итог")</f>
        <v>0</v>
      </c>
      <c r="AF92" s="533">
        <f>_xlfn.SUMIFS('Условные метры'!AN$27:AN$41,'Условные метры'!$F$27:$F$41,$F92,'Условные метры'!$G$27:$G$41,"Итог")</f>
        <v>0</v>
      </c>
      <c r="AG92" s="528"/>
      <c r="AH92" s="528"/>
      <c r="AI92" s="1043" t="s">
        <v>2929</v>
      </c>
    </row>
    <row s="528" customFormat="1" customHeight="1" ht="14.25">
      <c r="A93" s="528"/>
      <c r="B93" s="528"/>
      <c r="C93" s="528"/>
      <c r="D93" s="528"/>
      <c r="E93" s="680">
        <v>15</v>
      </c>
      <c r="F93" s="50" cm="1" t="str">
        <f t="array" ref="F93:F93">OFFSET(E93,-1,1)</f>
        <v>3</v>
      </c>
      <c r="G93" s="528"/>
      <c r="H93" s="491" t="s">
        <v>1097</v>
      </c>
      <c r="I93" s="491"/>
      <c r="J93" s="491"/>
      <c r="K93" s="491"/>
      <c r="L93" s="528"/>
      <c r="M93" s="528"/>
      <c r="N93" s="528"/>
      <c r="O93" s="528"/>
      <c r="P93" s="528"/>
      <c r="Q93" s="528"/>
      <c r="R93" s="528"/>
      <c r="S93" s="528"/>
      <c r="T93" s="468" cm="1" t="str">
        <f t="array" ref="T93:T93">T92</f>
        <v>true</v>
      </c>
      <c r="U93" s="528"/>
      <c r="V93" s="528"/>
      <c r="W93" s="528"/>
      <c r="X93" s="1559"/>
      <c r="Y93" s="528"/>
      <c r="Z93" s="1560"/>
      <c r="AA93" s="528"/>
      <c r="AB93" s="518" t="s">
        <v>674</v>
      </c>
      <c r="AC93" s="565" t="s">
        <v>2930</v>
      </c>
      <c r="AD93" s="518" t="s">
        <v>399</v>
      </c>
      <c r="AE93" s="533">
        <f>_xlfn.SUMIFS('Условные метры'!AK$27:AK$41,'Условные метры'!$F$27:$F$41,$F93,'Условные метры'!$G$27:$G$41,"Итог")</f>
        <v>0</v>
      </c>
      <c r="AF93" s="533">
        <f>_xlfn.SUMIFS('Условные метры'!AM$27:AM$41,'Условные метры'!$F$27:$F$41,$F93,'Условные метры'!$G$27:$G$41,"Итог")</f>
        <v>0</v>
      </c>
      <c r="AG93" s="528"/>
      <c r="AH93" s="528"/>
      <c r="AI93" s="1043" t="s">
        <v>2931</v>
      </c>
    </row>
    <row s="528" customFormat="1" customHeight="1" ht="14.25">
      <c r="A94" s="528"/>
      <c r="B94" s="528"/>
      <c r="C94" s="528"/>
      <c r="D94" s="528"/>
      <c r="E94" s="680">
        <v>15</v>
      </c>
      <c r="F94" s="50" cm="1" t="str">
        <f t="array" ref="F94:F94">OFFSET(E94,-1,1)</f>
        <v>3</v>
      </c>
      <c r="G94" s="528"/>
      <c r="H94" s="491" t="s">
        <v>348</v>
      </c>
      <c r="I94" s="491"/>
      <c r="J94" s="491"/>
      <c r="K94" s="491"/>
      <c r="L94" s="528"/>
      <c r="M94" s="528"/>
      <c r="N94" s="528"/>
      <c r="O94" s="528"/>
      <c r="P94" s="528"/>
      <c r="Q94" s="528"/>
      <c r="R94" s="528"/>
      <c r="S94" s="528"/>
      <c r="T94" s="468" cm="1" t="str">
        <f t="array" ref="T94:T94">T93</f>
        <v>true</v>
      </c>
      <c r="U94" s="528"/>
      <c r="V94" s="528"/>
      <c r="W94" s="528"/>
      <c r="X94" s="1559"/>
      <c r="Y94" s="528"/>
      <c r="Z94" s="1560"/>
      <c r="AA94" s="528"/>
      <c r="AB94" s="518" t="s">
        <v>451</v>
      </c>
      <c r="AC94" s="564" t="s">
        <v>2932</v>
      </c>
      <c r="AD94" s="518" t="s">
        <v>1232</v>
      </c>
      <c r="AE94" s="533">
        <f>_xlfn.SUMIFS('Амортизация (аналог)'!AE$25:AE$55,'Амортизация (аналог)'!$F$25:$F$55,$F94,'Амортизация (аналог)'!$AB$25:$AB$55,"2")</f>
        <v>0</v>
      </c>
      <c r="AF94" s="533">
        <f>_xlfn.SUMIFS('Амортизация (аналог)'!AF$25:AF$55,'Амортизация (аналог)'!$F$25:$F$55,$F94,'Амортизация (аналог)'!$AB$25:$AB$55,"2")</f>
        <v>0</v>
      </c>
      <c r="AG94" s="528"/>
      <c r="AH94" s="528"/>
      <c r="AI94" s="1043" t="s">
        <v>2933</v>
      </c>
    </row>
    <row s="528" customFormat="1" customHeight="1" ht="14.25">
      <c r="A95" s="528"/>
      <c r="B95" s="528"/>
      <c r="C95" s="528"/>
      <c r="D95" s="528"/>
      <c r="E95" s="680">
        <v>15</v>
      </c>
      <c r="F95" s="50" cm="1" t="str">
        <f t="array" ref="F95:F95">OFFSET(E95,-1,1)</f>
        <v>3</v>
      </c>
      <c r="G95" s="528"/>
      <c r="H95" s="491" t="s">
        <v>659</v>
      </c>
      <c r="I95" s="491"/>
      <c r="J95" s="491"/>
      <c r="K95" s="491"/>
      <c r="L95" s="528"/>
      <c r="M95" s="528"/>
      <c r="N95" s="528"/>
      <c r="O95" s="528"/>
      <c r="P95" s="528"/>
      <c r="Q95" s="528"/>
      <c r="R95" s="528"/>
      <c r="S95" s="528"/>
      <c r="T95" s="468" cm="1" t="str">
        <f t="array" ref="T95:T95">T94</f>
        <v>true</v>
      </c>
      <c r="U95" s="528"/>
      <c r="V95" s="528"/>
      <c r="W95" s="528"/>
      <c r="X95" s="1559"/>
      <c r="Y95" s="528"/>
      <c r="Z95" s="1560"/>
      <c r="AA95" s="528"/>
      <c r="AB95" s="518" t="s">
        <v>794</v>
      </c>
      <c r="AC95" s="1317" t="s">
        <v>2934</v>
      </c>
      <c r="AD95" s="518" t="s">
        <v>561</v>
      </c>
      <c r="AE95" s="530">
        <f>IF(AE86=0,0,AE94/AE86*100)</f>
        <v>0</v>
      </c>
      <c r="AF95" s="530">
        <f>IF(AF86=0,0,AF94/AF86*100)</f>
        <v>0</v>
      </c>
      <c r="AG95" s="528"/>
      <c r="AH95" s="528"/>
      <c r="AI95" s="1043" t="s">
        <v>2935</v>
      </c>
    </row>
    <row s="528" customFormat="1" customHeight="1" ht="21.75">
      <c r="A96" s="528"/>
      <c r="B96" s="528"/>
      <c r="C96" s="528"/>
      <c r="D96" s="528"/>
      <c r="E96" s="680">
        <v>22.5</v>
      </c>
      <c r="F96" s="50" cm="1" t="str">
        <f t="array" ref="F96:F96">OFFSET(E96,-1,1)</f>
        <v>3</v>
      </c>
      <c r="G96" s="154" t="s">
        <v>1871</v>
      </c>
      <c r="H96" s="491" t="s">
        <v>347</v>
      </c>
      <c r="I96" s="491"/>
      <c r="J96" s="491"/>
      <c r="K96" s="491"/>
      <c r="L96" s="528"/>
      <c r="M96" s="528"/>
      <c r="N96" s="528"/>
      <c r="O96" s="528"/>
      <c r="P96" s="528"/>
      <c r="Q96" s="528"/>
      <c r="R96" s="528"/>
      <c r="S96" s="528"/>
      <c r="T96" s="468" cm="1" t="str">
        <f t="array" ref="T96:T96">T95</f>
        <v>true</v>
      </c>
      <c r="U96" s="528"/>
      <c r="V96" s="528"/>
      <c r="W96" s="528"/>
      <c r="X96" s="1559"/>
      <c r="Y96" s="528"/>
      <c r="Z96" s="1560"/>
      <c r="AA96" s="528"/>
      <c r="AB96" s="518" t="s">
        <v>454</v>
      </c>
      <c r="AC96" s="1318" t="s">
        <v>2936</v>
      </c>
      <c r="AD96" s="518" t="s">
        <v>2937</v>
      </c>
      <c r="AE96" s="533">
        <f>_xlfn.SUMIFS(Баланс!$AI$25:$AI$391,Баланс!$F$25:$F$391,$F96,Баланс!$G$25:$G$391,"ПО")</f>
        <v>1458.9532</v>
      </c>
      <c r="AF96" s="533">
        <f>_xlfn.SUMIFS(Баланс!$AS$25:$AS$391,Баланс!$F$25:$F$391,$F96,Баланс!$G$25:$G$391,"ПО")</f>
        <v>1387.33054</v>
      </c>
      <c r="AG96" s="528"/>
      <c r="AH96" s="528"/>
      <c r="AI96" s="1043" t="s">
        <v>1255</v>
      </c>
    </row>
    <row s="528" customFormat="1" customHeight="1" ht="14.25">
      <c r="A97" s="528"/>
      <c r="B97" s="528"/>
      <c r="C97" s="528"/>
      <c r="D97" s="528"/>
      <c r="E97" s="680">
        <v>15</v>
      </c>
      <c r="F97" s="50" cm="1" t="str">
        <f t="array" ref="F97:F97">OFFSET(E97,-1,1)</f>
        <v>3</v>
      </c>
      <c r="G97" s="1319" t="s">
        <v>1898</v>
      </c>
      <c r="H97" s="491" t="s">
        <v>673</v>
      </c>
      <c r="I97" s="491"/>
      <c r="J97" s="491"/>
      <c r="K97" s="491"/>
      <c r="L97" s="528"/>
      <c r="M97" s="528"/>
      <c r="N97" s="528"/>
      <c r="O97" s="528"/>
      <c r="P97" s="528"/>
      <c r="Q97" s="528"/>
      <c r="R97" s="528"/>
      <c r="S97" s="528"/>
      <c r="T97" s="468" cm="1" t="str">
        <f t="array" ref="T97:T97">T96</f>
        <v>true</v>
      </c>
      <c r="U97" s="528"/>
      <c r="V97" s="528"/>
      <c r="W97" s="528"/>
      <c r="X97" s="1559"/>
      <c r="Y97" s="528"/>
      <c r="Z97" s="1560"/>
      <c r="AA97" s="528"/>
      <c r="AB97" s="518" t="s">
        <v>801</v>
      </c>
      <c r="AC97" s="1320" t="s">
        <v>2938</v>
      </c>
      <c r="AD97" s="518" t="s">
        <v>2937</v>
      </c>
      <c r="AE97" s="1321"/>
      <c r="AF97" s="1321"/>
      <c r="AG97" s="528"/>
      <c r="AH97" s="528"/>
      <c r="AI97" s="1043" t="s">
        <v>2939</v>
      </c>
    </row>
    <row s="528" customFormat="1" customHeight="1" ht="14.25">
      <c r="A98" s="528"/>
      <c r="B98" s="528"/>
      <c r="C98" s="528"/>
      <c r="D98" s="528"/>
      <c r="E98" s="680">
        <v>15</v>
      </c>
      <c r="F98" s="50" cm="1" t="str">
        <f t="array" ref="F98:F98">OFFSET(E98,-1,1)</f>
        <v>3</v>
      </c>
      <c r="G98" s="103" t="s">
        <v>1911</v>
      </c>
      <c r="H98" s="491" t="s">
        <v>677</v>
      </c>
      <c r="I98" s="491"/>
      <c r="J98" s="491"/>
      <c r="K98" s="491"/>
      <c r="L98" s="528"/>
      <c r="M98" s="528"/>
      <c r="N98" s="528"/>
      <c r="O98" s="528"/>
      <c r="P98" s="528"/>
      <c r="Q98" s="528"/>
      <c r="R98" s="528"/>
      <c r="S98" s="528"/>
      <c r="T98" s="468" cm="1" t="str">
        <f t="array" ref="T98:T98">T97</f>
        <v>true</v>
      </c>
      <c r="U98" s="528"/>
      <c r="V98" s="528"/>
      <c r="W98" s="528"/>
      <c r="X98" s="1559"/>
      <c r="Y98" s="528"/>
      <c r="Z98" s="1560"/>
      <c r="AA98" s="528"/>
      <c r="AB98" s="518" t="s">
        <v>804</v>
      </c>
      <c r="AC98" s="1140" t="s">
        <v>2940</v>
      </c>
      <c r="AD98" s="518" t="s">
        <v>2937</v>
      </c>
      <c r="AE98" s="533">
        <f>AE96-AE97</f>
        <v>1458.9532</v>
      </c>
      <c r="AF98" s="533">
        <f>AF96-AF97</f>
        <v>1387.33054</v>
      </c>
      <c r="AG98" s="528"/>
      <c r="AH98" s="528"/>
      <c r="AI98" s="1043" t="s">
        <v>2941</v>
      </c>
    </row>
    <row s="528" customFormat="1" customHeight="1" ht="14.25">
      <c r="A99" s="528"/>
      <c r="B99" s="528"/>
      <c r="C99" s="528"/>
      <c r="D99" s="528"/>
      <c r="E99" s="680">
        <v>15</v>
      </c>
      <c r="F99" s="50" cm="1" t="str">
        <f t="array" ref="F99:F99">OFFSET(E99,-1,1)</f>
        <v>3</v>
      </c>
      <c r="G99" s="528"/>
      <c r="H99" s="491" t="s">
        <v>616</v>
      </c>
      <c r="I99" s="491"/>
      <c r="J99" s="491"/>
      <c r="K99" s="491"/>
      <c r="L99" s="528"/>
      <c r="M99" s="528"/>
      <c r="N99" s="528"/>
      <c r="O99" s="528"/>
      <c r="P99" s="528"/>
      <c r="Q99" s="528"/>
      <c r="R99" s="528"/>
      <c r="S99" s="528"/>
      <c r="T99" s="468" cm="1" t="str">
        <f t="array" ref="T99:T99">T98</f>
        <v>true</v>
      </c>
      <c r="U99" s="528"/>
      <c r="V99" s="528"/>
      <c r="W99" s="528"/>
      <c r="X99" s="1559"/>
      <c r="Y99" s="528"/>
      <c r="Z99" s="1560"/>
      <c r="AA99" s="528"/>
      <c r="AB99" s="518" t="s">
        <v>457</v>
      </c>
      <c r="AC99" s="563" t="s">
        <v>2942</v>
      </c>
      <c r="AD99" s="518" t="s">
        <v>1862</v>
      </c>
      <c r="AE99" s="530">
        <f>IF(AE96=0,0,AE85/AE96)</f>
        <v>0</v>
      </c>
      <c r="AF99" s="530">
        <f>IF(AF96=0,0,AF85/AF96)</f>
        <v>0</v>
      </c>
      <c r="AG99" s="528"/>
      <c r="AH99" s="528"/>
      <c r="AI99" s="1043" t="s">
        <v>1361</v>
      </c>
    </row>
    <row s="528" customFormat="1" customHeight="1" ht="14.25">
      <c r="A100" s="528"/>
      <c r="B100" s="528"/>
      <c r="C100" s="528"/>
      <c r="D100" s="528"/>
      <c r="E100" s="680">
        <v>15</v>
      </c>
      <c r="F100" s="50" cm="1" t="str">
        <f t="array" ref="F100:F100">OFFSET(E100,-1,1)</f>
        <v>3</v>
      </c>
      <c r="G100" s="103" t="s">
        <v>1859</v>
      </c>
      <c r="H100" s="491" t="s">
        <v>817</v>
      </c>
      <c r="I100" s="491"/>
      <c r="J100" s="491"/>
      <c r="K100" s="491"/>
      <c r="L100" s="528"/>
      <c r="M100" s="528"/>
      <c r="N100" s="528"/>
      <c r="O100" s="528"/>
      <c r="P100" s="528"/>
      <c r="Q100" s="528"/>
      <c r="R100" s="528"/>
      <c r="S100" s="528"/>
      <c r="T100" s="468" cm="1" t="str">
        <f t="array" ref="T100:T100">T99</f>
        <v>true</v>
      </c>
      <c r="U100" s="528"/>
      <c r="V100" s="528"/>
      <c r="W100" s="528"/>
      <c r="X100" s="1559"/>
      <c r="Y100" s="528"/>
      <c r="Z100" s="1560"/>
      <c r="AA100" s="528"/>
      <c r="AB100" s="518" t="s">
        <v>2943</v>
      </c>
      <c r="AC100" s="1322" t="s">
        <v>2944</v>
      </c>
      <c r="AD100" s="518" t="s">
        <v>1862</v>
      </c>
      <c r="AE100" s="537"/>
      <c r="AF100" s="537"/>
      <c r="AG100" s="528"/>
      <c r="AH100" s="528"/>
      <c r="AI100" s="1043" t="s">
        <v>2945</v>
      </c>
    </row>
    <row s="528" customFormat="1" customHeight="1" ht="14.25">
      <c r="A101" s="528"/>
      <c r="B101" s="528"/>
      <c r="C101" s="528"/>
      <c r="D101" s="528"/>
      <c r="E101" s="680">
        <v>15</v>
      </c>
      <c r="F101" s="50" cm="1" t="str">
        <f t="array" ref="F101:F101">OFFSET(E101,-1,1)</f>
        <v>3</v>
      </c>
      <c r="G101" s="103" t="s">
        <v>1864</v>
      </c>
      <c r="H101" s="491" t="s">
        <v>820</v>
      </c>
      <c r="I101" s="491"/>
      <c r="J101" s="491"/>
      <c r="K101" s="491"/>
      <c r="L101" s="528"/>
      <c r="M101" s="528"/>
      <c r="N101" s="528"/>
      <c r="O101" s="528"/>
      <c r="P101" s="528"/>
      <c r="Q101" s="528"/>
      <c r="R101" s="528"/>
      <c r="S101" s="528"/>
      <c r="T101" s="468" cm="1" t="str">
        <f t="array" ref="T101:T101">T100</f>
        <v>true</v>
      </c>
      <c r="U101" s="528"/>
      <c r="V101" s="528"/>
      <c r="W101" s="528"/>
      <c r="X101" s="1559"/>
      <c r="Y101" s="528"/>
      <c r="Z101" s="1560"/>
      <c r="AA101" s="528"/>
      <c r="AB101" s="518" t="s">
        <v>2946</v>
      </c>
      <c r="AC101" s="1141" t="s">
        <v>2947</v>
      </c>
      <c r="AD101" s="518" t="s">
        <v>1862</v>
      </c>
      <c r="AE101" s="537">
        <f>IF(AE98=0,0,(AE85-AE100*AE97)/AE98)</f>
        <v>0</v>
      </c>
      <c r="AF101" s="537">
        <f>IF(AF98=0,0,(AF85-AF100*AF97)/AF98)</f>
        <v>0</v>
      </c>
      <c r="AG101" s="528"/>
      <c r="AH101" s="528"/>
      <c r="AI101" s="1043" t="s">
        <v>2948</v>
      </c>
    </row>
    <row s="1656" customFormat="1" customHeight="1" ht="14.25">
      <c r="A102" s="1240"/>
      <c r="B102" s="1240"/>
      <c r="C102" s="1240"/>
      <c r="D102" s="1240"/>
      <c r="E102" s="655">
        <v>15</v>
      </c>
      <c r="F102" s="50" cm="1" t="str">
        <f t="array" ref="F102:F102">OFFSET(E102,-1,1)</f>
        <v>3</v>
      </c>
      <c r="G102" s="1240"/>
      <c r="H102" s="491" t="s">
        <v>796</v>
      </c>
      <c r="I102" s="1240"/>
      <c r="J102" s="1240"/>
      <c r="K102" s="1240"/>
      <c r="L102" s="1240"/>
      <c r="M102" s="1240"/>
      <c r="N102" s="1240"/>
      <c r="O102" s="1240"/>
      <c r="P102" s="1240"/>
      <c r="Q102" s="1240"/>
      <c r="R102" s="1240"/>
      <c r="S102" s="1240"/>
      <c r="T102" s="468" cm="1" t="str">
        <f t="array" ref="T102:T102">T101</f>
        <v>true</v>
      </c>
      <c r="U102" s="1240"/>
      <c r="V102" s="1240"/>
      <c r="W102" s="1240"/>
      <c r="X102" s="1559"/>
      <c r="Y102" s="1240"/>
      <c r="Z102" s="1560"/>
      <c r="AA102" s="1240"/>
      <c r="AB102" s="518" t="s">
        <v>693</v>
      </c>
      <c r="AC102" s="557" t="s">
        <v>2949</v>
      </c>
      <c r="AD102" s="518" t="s">
        <v>561</v>
      </c>
      <c r="AE102" s="530">
        <f>IF(AE100=0,0,AE101/AE100*100)</f>
        <v>0</v>
      </c>
      <c r="AF102" s="530">
        <f>IF(AF100=0,0,AF101/AF100*100)</f>
        <v>0</v>
      </c>
      <c r="AG102" s="1240"/>
      <c r="AH102" s="1240"/>
      <c r="AI102" s="1033" t="s">
        <v>2950</v>
      </c>
    </row>
    <row customHeight="1" ht="10.96875">
      <c r="E103" s="655">
        <v>11.25</v>
      </c>
      <c r="U103" s="491" t="s">
        <v>177</v>
      </c>
      <c r="V103" s="724" t="s">
        <v>2951</v>
      </c>
      <c r="AB103" s="538"/>
      <c r="AC103" s="539"/>
      <c r="AD103" s="538"/>
      <c r="AE103" s="540"/>
    </row>
    <row customHeight="1" ht="44.606249999999996">
      <c r="E104" s="655">
        <v>45.75</v>
      </c>
      <c r="AB104" s="1638" t="s">
        <v>2952</v>
      </c>
      <c r="AC104" s="1638"/>
      <c r="AD104" s="1638"/>
      <c r="AE104" s="1638"/>
      <c r="AF104" s="1638"/>
    </row>
    <row customHeight="1" ht="10.96875">
      <c r="E105" s="655">
        <v>11.25</v>
      </c>
      <c r="AB105" s="538"/>
      <c r="AC105" s="539"/>
      <c r="AD105" s="538"/>
      <c r="AE105" s="540"/>
    </row>
    <row s="1328" customFormat="1" customHeight="1" ht="14.625">
      <c r="E106" s="723">
        <v>15</v>
      </c>
      <c r="AB106" s="1553" t="s">
        <v>420</v>
      </c>
      <c r="AC106" s="1553"/>
      <c r="AD106" s="1553"/>
      <c r="AE106" s="1561"/>
      <c r="AF106" s="1561"/>
      <c r="AI106" s="1085"/>
    </row>
    <row s="1328" customFormat="1" customHeight="1" ht="14.625">
      <c r="E107" s="723">
        <v>15</v>
      </c>
      <c r="AA107" s="1370"/>
      <c r="AB107" s="1562"/>
      <c r="AC107" s="1562"/>
      <c r="AD107" s="1562"/>
      <c r="AE107" s="1563"/>
      <c r="AF107" s="1563"/>
      <c r="AI107" s="1085"/>
    </row>
    <row s="1328" customFormat="1" customHeight="1" ht="14.625" hidden="1">
      <c r="A108" s="1328"/>
      <c r="B108" s="1328"/>
      <c r="C108" s="1328"/>
      <c r="D108" s="1328"/>
      <c r="E108" s="723">
        <v>15</v>
      </c>
      <c r="F108" s="1328"/>
      <c r="G108" s="1328"/>
      <c r="H108" s="1328"/>
      <c r="I108" s="1328"/>
      <c r="J108" s="1328"/>
      <c r="K108" s="1328"/>
      <c r="L108" s="1328"/>
      <c r="M108" s="1328"/>
      <c r="N108" s="1328"/>
      <c r="O108" s="1328"/>
      <c r="P108" s="1328"/>
      <c r="Q108" s="1328"/>
      <c r="R108" s="1328"/>
      <c r="S108" s="1328"/>
      <c r="T108" s="468">
        <f>ROW(W108)&gt;ROW(W$108)</f>
        <v>0</v>
      </c>
      <c r="U108" s="1328"/>
      <c r="V108" s="1328"/>
      <c r="W108" s="558" t="s">
        <v>173</v>
      </c>
      <c r="X108" s="558"/>
      <c r="Y108" s="558"/>
      <c r="Z108" s="558"/>
      <c r="AA108" s="1323" t="s">
        <v>174</v>
      </c>
      <c r="AB108" s="2898"/>
      <c r="AC108" s="2897"/>
      <c r="AD108" s="2897"/>
      <c r="AE108" s="2897"/>
      <c r="AF108" s="2899"/>
      <c r="AG108" s="1328"/>
      <c r="AH108" s="1328"/>
      <c r="AI108" s="1085"/>
    </row>
    <row s="1328" customFormat="1" customHeight="1" ht="14.625">
      <c r="E109" s="723">
        <v>15</v>
      </c>
      <c r="W109" s="836" t="s">
        <v>421</v>
      </c>
      <c r="X109" s="558"/>
      <c r="Y109" s="558"/>
      <c r="Z109" s="558"/>
      <c r="AA109" s="558"/>
      <c r="AB109" s="1371"/>
      <c r="AC109" s="1372" t="s">
        <v>422</v>
      </c>
      <c r="AD109" s="1373"/>
      <c r="AE109" s="1374"/>
      <c r="AF109" s="1375"/>
      <c r="AI109" s="1085"/>
    </row>
    <row customHeight="1" ht="10.96875">
      <c r="E110" s="655">
        <v>11.25</v>
      </c>
      <c r="AC110" s="541"/>
      <c r="AG110" s="491"/>
    </row>
  </sheetData>
  <sheetProtection formatColumns="0" formatRows="0" insertRows="0" deleteColumns="0" deleteRows="0" sort="0" autoFilter="0" insertColumns="1"/>
  <mergeCells count="18">
    <mergeCell ref="X27:X45"/>
    <mergeCell ref="Z27:Z45"/>
    <mergeCell ref="AB108:AF108"/>
    <mergeCell ref="AB106:AF106"/>
    <mergeCell ref="AB107:AF107"/>
    <mergeCell ref="AB104:AF104"/>
    <mergeCell ref="AB22:AF22"/>
    <mergeCell ref="AB23:AF23"/>
    <mergeCell ref="AB24:AB25"/>
    <mergeCell ref="AC24:AC25"/>
    <mergeCell ref="AD24:AD25"/>
    <mergeCell ref="AE24:AF24"/>
    <mergeCell ref="X46:X64"/>
    <mergeCell ref="Z46:Z64"/>
    <mergeCell ref="X65:X83"/>
    <mergeCell ref="Z65:Z83"/>
    <mergeCell ref="X84:X102"/>
    <mergeCell ref="Z84:Z102"/>
  </mergeCells>
  <dataValidations count="3">
    <dataValidation type="decimal" allowBlank="1" showErrorMessage="1" errorTitle="Ошибка" error="Допускается ввод только неотрицательных чисел!" sqref="AE34:AF34 AE38:AF38 AE30:AF31 AE49 AF49 AE50 AF50 AE53 AF53 AE57 AF57 AE68 AF68 AE69 AF69 AE72 AF72 AE76 AF76 AE87 AF87 AE88 AF88 AE91 AF91 AE95 AF95">
      <formula1>0</formula1>
      <formula2>9.99999999999999E+23</formula2>
    </dataValidation>
    <dataValidation type="decimal" allowBlank="1" showErrorMessage="1" errorTitle="Ошибка" error="Допускается ввод только действительных чисел!" sqref="AE43:AF44 AE62 AF62 AE63 AF63 AE81 AF81 AE82 AF82 AE100 AF100 AE101 AF101">
      <formula1>-9.99999999999999E+23</formula1>
      <formula2>9.99999999999999E+23</formula2>
    </dataValidation>
    <dataValidation type="decimal" allowBlank="1" showErrorMessage="1" errorTitle="Ошибка" error="Введите число от 0 до 100!" sqref="AE32:AF33 AE51 AF51 AE52 AF52 AE70 AF70 AE71 AF71 AE89 AF89 AE90 AF90">
      <formula1>0</formula1>
      <formula2>100</formula2>
    </dataValidation>
  </dataValidations>
  <pageMargins left="0.35" right="0.35" top="0.40" bottom="0.40" header="0.31" footer="0.31"/>
  <pageSetup paperSize="9" scale="63" fitToHeight="0" pageOrder="downThenOver" orientation="landscape"/>
  <headerFooter>
    <oddHeader>&amp;L&amp;C&amp;R</oddHeader>
    <oddFooter>&amp;L&amp;C&amp;R</oddFooter>
    <evenHeader>&amp;L&amp;C&amp;R</evenHeader>
    <evenFooter>&amp;L&amp;C&amp;R</even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EF26FC5-E118-D668-6548-C3E46161D6BD}" mc:Ignorable="x14ac xr xr2 xr3">
  <sheetPr>
    <tabColor rgb="FFFFCC99"/>
  </sheetPr>
  <dimension ref="A1:C230"/>
  <sheetViews>
    <sheetView topLeftCell="A1" showGridLines="0" workbookViewId="0">
      <selection activeCell="A1" sqref="A1"/>
    </sheetView>
  </sheetViews>
  <sheetFormatPr customHeight="1" defaultRowHeight="11.25"/>
  <cols>
    <col min="1" max="2" style="1441" width="36.57421875" customWidth="1"/>
    <col min="3" max="3" style="1441" width="12.57421875" customWidth="1"/>
  </cols>
  <sheetData>
    <row customHeight="1" ht="11.25">
      <c r="A1" s="1441" t="s">
        <v>2953</v>
      </c>
      <c r="B1" s="1441" t="s">
        <v>2954</v>
      </c>
      <c r="C1" s="1441" t="s">
        <v>2955</v>
      </c>
    </row>
    <row customHeight="1" ht="11.25">
      <c r="A2" s="1441" t="s">
        <v>2956</v>
      </c>
      <c r="B2" s="1441" t="s">
        <v>2956</v>
      </c>
      <c r="C2" s="1441" t="s">
        <v>2957</v>
      </c>
    </row>
    <row customHeight="1" ht="11.25">
      <c r="A3" s="1441" t="s">
        <v>2958</v>
      </c>
      <c r="B3" s="1441" t="s">
        <v>2958</v>
      </c>
      <c r="C3" s="1441" t="s">
        <v>2959</v>
      </c>
    </row>
    <row customHeight="1" ht="11.25">
      <c r="A4" s="1441" t="s">
        <v>2960</v>
      </c>
      <c r="B4" s="1441" t="s">
        <v>2960</v>
      </c>
      <c r="C4" s="1441" t="s">
        <v>2961</v>
      </c>
    </row>
    <row customHeight="1" ht="11.25">
      <c r="A5" s="1441" t="s">
        <v>2962</v>
      </c>
      <c r="B5" s="1441" t="s">
        <v>2962</v>
      </c>
      <c r="C5" s="1441" t="s">
        <v>2963</v>
      </c>
    </row>
    <row customHeight="1" ht="11.25">
      <c r="A6" s="1441" t="s">
        <v>2964</v>
      </c>
      <c r="B6" s="1441" t="s">
        <v>2964</v>
      </c>
      <c r="C6" s="1441" t="s">
        <v>2965</v>
      </c>
    </row>
    <row customHeight="1" ht="11.25">
      <c r="A7" s="1441" t="s">
        <v>364</v>
      </c>
      <c r="B7" s="1441" t="s">
        <v>364</v>
      </c>
      <c r="C7" s="1441" t="s">
        <v>2966</v>
      </c>
    </row>
    <row customHeight="1" ht="11.25">
      <c r="A8" s="1441" t="s">
        <v>364</v>
      </c>
      <c r="B8" s="1441" t="s">
        <v>364</v>
      </c>
      <c r="C8" s="1441" t="s">
        <v>365</v>
      </c>
    </row>
    <row customHeight="1" ht="11.25">
      <c r="A9" s="1441" t="s">
        <v>2967</v>
      </c>
      <c r="B9" s="1441" t="s">
        <v>2967</v>
      </c>
      <c r="C9" s="1441" t="s">
        <v>2968</v>
      </c>
    </row>
    <row customHeight="1" ht="11.25">
      <c r="A10" s="1441" t="s">
        <v>2969</v>
      </c>
      <c r="B10" s="1441" t="s">
        <v>2969</v>
      </c>
      <c r="C10" s="1441" t="s">
        <v>2970</v>
      </c>
    </row>
    <row customHeight="1" ht="11.25">
      <c r="A11" s="1441" t="s">
        <v>2971</v>
      </c>
      <c r="B11" s="1441" t="s">
        <v>2971</v>
      </c>
      <c r="C11" s="1441" t="s">
        <v>2972</v>
      </c>
    </row>
    <row customHeight="1" ht="11.25">
      <c r="A12" s="1441" t="s">
        <v>2973</v>
      </c>
      <c r="B12" s="1441" t="s">
        <v>2973</v>
      </c>
      <c r="C12" s="1441" t="s">
        <v>2974</v>
      </c>
    </row>
    <row customHeight="1" ht="11.25">
      <c r="A13" s="1441" t="s">
        <v>2975</v>
      </c>
      <c r="B13" s="1441" t="s">
        <v>2975</v>
      </c>
      <c r="C13" s="1441" t="s">
        <v>2976</v>
      </c>
    </row>
    <row customHeight="1" ht="11.25">
      <c r="A14" s="1441" t="s">
        <v>2977</v>
      </c>
      <c r="B14" s="1441" t="s">
        <v>2977</v>
      </c>
      <c r="C14" s="1441" t="s">
        <v>2978</v>
      </c>
    </row>
    <row customHeight="1" ht="11.25">
      <c r="A15" s="1441" t="s">
        <v>2979</v>
      </c>
      <c r="B15" s="1441" t="s">
        <v>2979</v>
      </c>
      <c r="C15" s="1441" t="s">
        <v>2980</v>
      </c>
    </row>
    <row customHeight="1" ht="11.25">
      <c r="A16" s="1441" t="s">
        <v>2981</v>
      </c>
      <c r="B16" s="1441" t="s">
        <v>2981</v>
      </c>
      <c r="C16" s="1441" t="s">
        <v>2982</v>
      </c>
    </row>
    <row customHeight="1" ht="11.25">
      <c r="A17" s="1441" t="s">
        <v>2983</v>
      </c>
      <c r="B17" s="1441" t="s">
        <v>2983</v>
      </c>
      <c r="C17" s="1441" t="s">
        <v>2984</v>
      </c>
    </row>
    <row customHeight="1" ht="11.25">
      <c r="A18" s="1441" t="s">
        <v>2985</v>
      </c>
      <c r="B18" s="1441" t="s">
        <v>2985</v>
      </c>
      <c r="C18" s="1441" t="s">
        <v>2986</v>
      </c>
    </row>
    <row customHeight="1" ht="11.25">
      <c r="A19" s="1441" t="s">
        <v>2987</v>
      </c>
      <c r="B19" s="1441" t="s">
        <v>2987</v>
      </c>
      <c r="C19" s="1441" t="s">
        <v>2988</v>
      </c>
    </row>
    <row customHeight="1" ht="11.25">
      <c r="A20" s="1441" t="s">
        <v>2989</v>
      </c>
      <c r="B20" s="1441" t="s">
        <v>2989</v>
      </c>
      <c r="C20" s="1441" t="s">
        <v>2990</v>
      </c>
    </row>
    <row customHeight="1" ht="11.25">
      <c r="A21" s="1441" t="s">
        <v>2991</v>
      </c>
      <c r="B21" s="1441" t="s">
        <v>2991</v>
      </c>
      <c r="C21" s="1441" t="s">
        <v>2992</v>
      </c>
    </row>
    <row customHeight="1" ht="11.25">
      <c r="A22" s="1441" t="s">
        <v>2993</v>
      </c>
      <c r="B22" s="1441" t="s">
        <v>2994</v>
      </c>
      <c r="C22" s="1441" t="s">
        <v>2995</v>
      </c>
    </row>
    <row customHeight="1" ht="11.25">
      <c r="A23" s="1441" t="s">
        <v>2993</v>
      </c>
      <c r="B23" s="1441" t="s">
        <v>2996</v>
      </c>
      <c r="C23" s="1441" t="s">
        <v>2997</v>
      </c>
    </row>
    <row customHeight="1" ht="11.25">
      <c r="A24" s="1441" t="s">
        <v>2993</v>
      </c>
      <c r="B24" s="1441" t="s">
        <v>2998</v>
      </c>
      <c r="C24" s="1441" t="s">
        <v>2999</v>
      </c>
    </row>
    <row customHeight="1" ht="11.25">
      <c r="A25" s="1441" t="s">
        <v>2993</v>
      </c>
      <c r="B25" s="1441" t="s">
        <v>3000</v>
      </c>
      <c r="C25" s="1441" t="s">
        <v>3001</v>
      </c>
    </row>
    <row customHeight="1" ht="11.25">
      <c r="A26" s="1441" t="s">
        <v>2993</v>
      </c>
      <c r="B26" s="1441" t="s">
        <v>3002</v>
      </c>
      <c r="C26" s="1441" t="s">
        <v>3003</v>
      </c>
    </row>
    <row customHeight="1" ht="11.25">
      <c r="A27" s="1441" t="s">
        <v>2993</v>
      </c>
      <c r="B27" s="1441" t="s">
        <v>3004</v>
      </c>
      <c r="C27" s="1441" t="s">
        <v>3005</v>
      </c>
    </row>
    <row customHeight="1" ht="11.25">
      <c r="A28" s="1441" t="s">
        <v>2993</v>
      </c>
      <c r="B28" s="1441" t="s">
        <v>3006</v>
      </c>
      <c r="C28" s="1441" t="s">
        <v>3007</v>
      </c>
    </row>
    <row customHeight="1" ht="11.25">
      <c r="A29" s="1441" t="s">
        <v>2993</v>
      </c>
      <c r="B29" s="1441" t="s">
        <v>3008</v>
      </c>
      <c r="C29" s="1441" t="s">
        <v>3009</v>
      </c>
    </row>
    <row customHeight="1" ht="11.25">
      <c r="A30" s="1441" t="s">
        <v>3010</v>
      </c>
      <c r="B30" s="1441" t="s">
        <v>3011</v>
      </c>
      <c r="C30" s="1441" t="s">
        <v>3012</v>
      </c>
    </row>
    <row customHeight="1" ht="11.25">
      <c r="A31" s="1441" t="s">
        <v>3010</v>
      </c>
      <c r="B31" s="1441" t="s">
        <v>3013</v>
      </c>
      <c r="C31" s="1441" t="s">
        <v>3014</v>
      </c>
    </row>
    <row customHeight="1" ht="11.25">
      <c r="A32" s="1441" t="s">
        <v>3010</v>
      </c>
      <c r="B32" s="1441" t="s">
        <v>3015</v>
      </c>
      <c r="C32" s="1441" t="s">
        <v>3016</v>
      </c>
    </row>
    <row customHeight="1" ht="11.25">
      <c r="A33" s="1441" t="s">
        <v>3010</v>
      </c>
      <c r="B33" s="1441" t="s">
        <v>3017</v>
      </c>
      <c r="C33" s="1441" t="s">
        <v>3018</v>
      </c>
    </row>
    <row customHeight="1" ht="11.25">
      <c r="A34" s="1441" t="s">
        <v>3010</v>
      </c>
      <c r="B34" s="1441" t="s">
        <v>3019</v>
      </c>
      <c r="C34" s="1441" t="s">
        <v>3020</v>
      </c>
    </row>
    <row customHeight="1" ht="11.25">
      <c r="A35" s="1441" t="s">
        <v>3010</v>
      </c>
      <c r="B35" s="1441" t="s">
        <v>3021</v>
      </c>
      <c r="C35" s="1441" t="s">
        <v>3022</v>
      </c>
    </row>
    <row customHeight="1" ht="11.25">
      <c r="A36" s="1441" t="s">
        <v>3010</v>
      </c>
      <c r="B36" s="1441" t="s">
        <v>3023</v>
      </c>
      <c r="C36" s="1441" t="s">
        <v>3024</v>
      </c>
    </row>
    <row customHeight="1" ht="11.25">
      <c r="A37" s="1441" t="s">
        <v>3010</v>
      </c>
      <c r="B37" s="1441" t="s">
        <v>3025</v>
      </c>
      <c r="C37" s="1441" t="s">
        <v>3026</v>
      </c>
    </row>
    <row customHeight="1" ht="11.25">
      <c r="A38" s="1441" t="s">
        <v>3010</v>
      </c>
      <c r="B38" s="1441" t="s">
        <v>3027</v>
      </c>
      <c r="C38" s="1441" t="s">
        <v>3028</v>
      </c>
    </row>
    <row customHeight="1" ht="11.25">
      <c r="A39" s="1441" t="s">
        <v>3029</v>
      </c>
      <c r="B39" s="1441" t="s">
        <v>3030</v>
      </c>
      <c r="C39" s="1441" t="s">
        <v>3031</v>
      </c>
    </row>
    <row customHeight="1" ht="11.25">
      <c r="A40" s="1441" t="s">
        <v>3029</v>
      </c>
      <c r="B40" s="1441" t="s">
        <v>3032</v>
      </c>
      <c r="C40" s="1441" t="s">
        <v>3033</v>
      </c>
    </row>
    <row customHeight="1" ht="11.25">
      <c r="A41" s="1441" t="s">
        <v>3029</v>
      </c>
      <c r="B41" s="1441" t="s">
        <v>3034</v>
      </c>
      <c r="C41" s="1441" t="s">
        <v>3035</v>
      </c>
    </row>
    <row customHeight="1" ht="11.25">
      <c r="A42" s="1441" t="s">
        <v>3029</v>
      </c>
      <c r="B42" s="1441" t="s">
        <v>3036</v>
      </c>
      <c r="C42" s="1441" t="s">
        <v>3037</v>
      </c>
    </row>
    <row customHeight="1" ht="11.25">
      <c r="A43" s="1441" t="s">
        <v>3029</v>
      </c>
      <c r="B43" s="1441" t="s">
        <v>3038</v>
      </c>
      <c r="C43" s="1441" t="s">
        <v>3039</v>
      </c>
    </row>
    <row customHeight="1" ht="11.25">
      <c r="A44" s="1441" t="s">
        <v>3029</v>
      </c>
      <c r="B44" s="1441" t="s">
        <v>3040</v>
      </c>
      <c r="C44" s="1441" t="s">
        <v>3041</v>
      </c>
    </row>
    <row customHeight="1" ht="11.25">
      <c r="A45" s="1441" t="s">
        <v>3029</v>
      </c>
      <c r="B45" s="1441" t="s">
        <v>3042</v>
      </c>
      <c r="C45" s="1441" t="s">
        <v>3043</v>
      </c>
    </row>
    <row customHeight="1" ht="11.25">
      <c r="A46" s="1441" t="s">
        <v>3044</v>
      </c>
      <c r="B46" s="1441" t="s">
        <v>3045</v>
      </c>
      <c r="C46" s="1441" t="s">
        <v>3046</v>
      </c>
    </row>
    <row customHeight="1" ht="11.25">
      <c r="A47" s="1441" t="s">
        <v>3044</v>
      </c>
      <c r="B47" s="1441" t="s">
        <v>3047</v>
      </c>
      <c r="C47" s="1441" t="s">
        <v>3048</v>
      </c>
    </row>
    <row customHeight="1" ht="11.25">
      <c r="A48" s="1441" t="s">
        <v>3044</v>
      </c>
      <c r="B48" s="1441" t="s">
        <v>3049</v>
      </c>
      <c r="C48" s="1441" t="s">
        <v>3050</v>
      </c>
    </row>
    <row customHeight="1" ht="11.25">
      <c r="A49" s="1441" t="s">
        <v>3044</v>
      </c>
      <c r="B49" s="1441" t="s">
        <v>3051</v>
      </c>
      <c r="C49" s="1441" t="s">
        <v>3052</v>
      </c>
    </row>
    <row customHeight="1" ht="11.25">
      <c r="A50" s="1441" t="s">
        <v>3044</v>
      </c>
      <c r="B50" s="1441" t="s">
        <v>3053</v>
      </c>
      <c r="C50" s="1441" t="s">
        <v>3054</v>
      </c>
    </row>
    <row customHeight="1" ht="11.25">
      <c r="A51" s="1441" t="s">
        <v>3044</v>
      </c>
      <c r="B51" s="1441" t="s">
        <v>3055</v>
      </c>
      <c r="C51" s="1441" t="s">
        <v>3056</v>
      </c>
    </row>
    <row customHeight="1" ht="11.25">
      <c r="A52" s="1441" t="s">
        <v>3044</v>
      </c>
      <c r="B52" s="1441" t="s">
        <v>3057</v>
      </c>
      <c r="C52" s="1441" t="s">
        <v>3058</v>
      </c>
    </row>
    <row customHeight="1" ht="11.25">
      <c r="A53" s="1441" t="s">
        <v>3044</v>
      </c>
      <c r="B53" s="1441" t="s">
        <v>3059</v>
      </c>
      <c r="C53" s="1441" t="s">
        <v>3060</v>
      </c>
    </row>
    <row customHeight="1" ht="11.25">
      <c r="A54" s="1441" t="s">
        <v>3044</v>
      </c>
      <c r="B54" s="1441" t="s">
        <v>3061</v>
      </c>
      <c r="C54" s="1441" t="s">
        <v>3062</v>
      </c>
    </row>
    <row customHeight="1" ht="11.25">
      <c r="A55" s="1441" t="s">
        <v>3063</v>
      </c>
      <c r="B55" s="1441" t="s">
        <v>3063</v>
      </c>
      <c r="C55" s="1441" t="s">
        <v>3064</v>
      </c>
    </row>
    <row customHeight="1" ht="11.25">
      <c r="A56" s="1441" t="s">
        <v>3063</v>
      </c>
      <c r="B56" s="1441" t="s">
        <v>3065</v>
      </c>
      <c r="C56" s="1441" t="s">
        <v>3066</v>
      </c>
    </row>
    <row customHeight="1" ht="11.25">
      <c r="A57" s="1441" t="s">
        <v>3063</v>
      </c>
      <c r="B57" s="1441" t="s">
        <v>3067</v>
      </c>
      <c r="C57" s="1441" t="s">
        <v>3068</v>
      </c>
    </row>
    <row customHeight="1" ht="11.25">
      <c r="A58" s="1441" t="s">
        <v>3063</v>
      </c>
      <c r="B58" s="1441" t="s">
        <v>3069</v>
      </c>
      <c r="C58" s="1441" t="s">
        <v>3070</v>
      </c>
    </row>
    <row customHeight="1" ht="11.25">
      <c r="A59" s="1441" t="s">
        <v>3063</v>
      </c>
      <c r="B59" s="1441" t="s">
        <v>3071</v>
      </c>
      <c r="C59" s="1441" t="s">
        <v>3072</v>
      </c>
    </row>
    <row customHeight="1" ht="11.25">
      <c r="A60" s="1441" t="s">
        <v>3063</v>
      </c>
      <c r="B60" s="1441" t="s">
        <v>3073</v>
      </c>
      <c r="C60" s="1441" t="s">
        <v>3074</v>
      </c>
    </row>
    <row customHeight="1" ht="11.25">
      <c r="A61" s="1441" t="s">
        <v>3063</v>
      </c>
      <c r="B61" s="1441" t="s">
        <v>3075</v>
      </c>
      <c r="C61" s="1441" t="s">
        <v>3076</v>
      </c>
    </row>
    <row customHeight="1" ht="11.25">
      <c r="A62" s="1441" t="s">
        <v>3063</v>
      </c>
      <c r="B62" s="1441" t="s">
        <v>3077</v>
      </c>
      <c r="C62" s="1441" t="s">
        <v>3078</v>
      </c>
    </row>
    <row customHeight="1" ht="11.25">
      <c r="A63" s="1441" t="s">
        <v>3063</v>
      </c>
      <c r="B63" s="1441" t="s">
        <v>3079</v>
      </c>
      <c r="C63" s="1441" t="s">
        <v>3080</v>
      </c>
    </row>
    <row customHeight="1" ht="11.25">
      <c r="A64" s="1441" t="s">
        <v>3063</v>
      </c>
      <c r="B64" s="1441" t="s">
        <v>3081</v>
      </c>
      <c r="C64" s="1441" t="s">
        <v>3082</v>
      </c>
    </row>
    <row customHeight="1" ht="11.25">
      <c r="A65" s="1441" t="s">
        <v>3063</v>
      </c>
      <c r="B65" s="1441" t="s">
        <v>3083</v>
      </c>
      <c r="C65" s="1441" t="s">
        <v>3084</v>
      </c>
    </row>
    <row customHeight="1" ht="11.25">
      <c r="A66" s="1441" t="s">
        <v>3063</v>
      </c>
      <c r="B66" s="1441" t="s">
        <v>3085</v>
      </c>
      <c r="C66" s="1441" t="s">
        <v>3086</v>
      </c>
    </row>
    <row customHeight="1" ht="11.25">
      <c r="A67" s="1441" t="s">
        <v>3087</v>
      </c>
      <c r="B67" s="1441" t="s">
        <v>3087</v>
      </c>
      <c r="C67" s="1441" t="s">
        <v>3088</v>
      </c>
    </row>
    <row customHeight="1" ht="11.25">
      <c r="A68" s="1441" t="s">
        <v>3087</v>
      </c>
      <c r="B68" s="1441" t="s">
        <v>3089</v>
      </c>
      <c r="C68" s="1441" t="s">
        <v>3090</v>
      </c>
    </row>
    <row customHeight="1" ht="11.25">
      <c r="A69" s="1441" t="s">
        <v>3087</v>
      </c>
      <c r="B69" s="1441" t="s">
        <v>3091</v>
      </c>
      <c r="C69" s="1441" t="s">
        <v>3092</v>
      </c>
    </row>
    <row customHeight="1" ht="11.25">
      <c r="A70" s="1441" t="s">
        <v>3087</v>
      </c>
      <c r="B70" s="1441" t="s">
        <v>3093</v>
      </c>
      <c r="C70" s="1441" t="s">
        <v>3094</v>
      </c>
    </row>
    <row customHeight="1" ht="11.25">
      <c r="A71" s="1441" t="s">
        <v>3087</v>
      </c>
      <c r="B71" s="1441" t="s">
        <v>3095</v>
      </c>
      <c r="C71" s="1441" t="s">
        <v>3096</v>
      </c>
    </row>
    <row customHeight="1" ht="11.25">
      <c r="A72" s="1441" t="s">
        <v>3087</v>
      </c>
      <c r="B72" s="1441" t="s">
        <v>3097</v>
      </c>
      <c r="C72" s="1441" t="s">
        <v>3098</v>
      </c>
    </row>
    <row customHeight="1" ht="11.25">
      <c r="A73" s="1441" t="s">
        <v>3087</v>
      </c>
      <c r="B73" s="1441" t="s">
        <v>3099</v>
      </c>
      <c r="C73" s="1441" t="s">
        <v>3100</v>
      </c>
    </row>
    <row customHeight="1" ht="11.25">
      <c r="A74" s="1441" t="s">
        <v>3087</v>
      </c>
      <c r="B74" s="1441" t="s">
        <v>3101</v>
      </c>
      <c r="C74" s="1441" t="s">
        <v>3102</v>
      </c>
    </row>
    <row customHeight="1" ht="11.25">
      <c r="A75" s="1441" t="s">
        <v>3087</v>
      </c>
      <c r="B75" s="1441" t="s">
        <v>3103</v>
      </c>
      <c r="C75" s="1441" t="s">
        <v>3104</v>
      </c>
    </row>
    <row customHeight="1" ht="11.25">
      <c r="A76" s="1441" t="s">
        <v>3105</v>
      </c>
      <c r="B76" s="1441" t="s">
        <v>3106</v>
      </c>
      <c r="C76" s="1441" t="s">
        <v>3107</v>
      </c>
    </row>
    <row customHeight="1" ht="11.25">
      <c r="A77" s="1441" t="s">
        <v>3105</v>
      </c>
      <c r="B77" s="1441" t="s">
        <v>3108</v>
      </c>
      <c r="C77" s="1441" t="s">
        <v>3109</v>
      </c>
    </row>
    <row customHeight="1" ht="11.25">
      <c r="A78" s="1441" t="s">
        <v>3105</v>
      </c>
      <c r="B78" s="1441" t="s">
        <v>3110</v>
      </c>
      <c r="C78" s="1441" t="s">
        <v>3111</v>
      </c>
    </row>
    <row customHeight="1" ht="11.25">
      <c r="A79" s="1441" t="s">
        <v>3105</v>
      </c>
      <c r="B79" s="1441" t="s">
        <v>3112</v>
      </c>
      <c r="C79" s="1441" t="s">
        <v>3113</v>
      </c>
    </row>
    <row customHeight="1" ht="11.25">
      <c r="A80" s="1441" t="s">
        <v>3105</v>
      </c>
      <c r="B80" s="1441" t="s">
        <v>3114</v>
      </c>
      <c r="C80" s="1441" t="s">
        <v>3115</v>
      </c>
    </row>
    <row customHeight="1" ht="11.25">
      <c r="A81" s="1441" t="s">
        <v>3105</v>
      </c>
      <c r="B81" s="1441" t="s">
        <v>3116</v>
      </c>
      <c r="C81" s="1441" t="s">
        <v>3117</v>
      </c>
    </row>
    <row customHeight="1" ht="11.25">
      <c r="A82" s="1441" t="s">
        <v>3105</v>
      </c>
      <c r="B82" s="1441" t="s">
        <v>3118</v>
      </c>
      <c r="C82" s="1441" t="s">
        <v>3119</v>
      </c>
    </row>
    <row customHeight="1" ht="11.25">
      <c r="A83" s="1441" t="s">
        <v>3105</v>
      </c>
      <c r="B83" s="1441" t="s">
        <v>3120</v>
      </c>
      <c r="C83" s="1441" t="s">
        <v>3121</v>
      </c>
    </row>
    <row customHeight="1" ht="11.25">
      <c r="A84" s="1441" t="s">
        <v>3105</v>
      </c>
      <c r="B84" s="1441" t="s">
        <v>3122</v>
      </c>
      <c r="C84" s="1441" t="s">
        <v>3123</v>
      </c>
    </row>
    <row customHeight="1" ht="11.25">
      <c r="A85" s="1441" t="s">
        <v>3105</v>
      </c>
      <c r="B85" s="1441" t="s">
        <v>3124</v>
      </c>
      <c r="C85" s="1441" t="s">
        <v>3125</v>
      </c>
    </row>
    <row customHeight="1" ht="11.25">
      <c r="A86" s="1441" t="s">
        <v>3105</v>
      </c>
      <c r="B86" s="1441" t="s">
        <v>3126</v>
      </c>
      <c r="C86" s="1441" t="s">
        <v>3127</v>
      </c>
    </row>
    <row customHeight="1" ht="11.25">
      <c r="A87" s="1441" t="s">
        <v>3105</v>
      </c>
      <c r="B87" s="1441" t="s">
        <v>3128</v>
      </c>
      <c r="C87" s="1441" t="s">
        <v>3129</v>
      </c>
    </row>
    <row customHeight="1" ht="11.25">
      <c r="A88" s="1441" t="s">
        <v>3105</v>
      </c>
      <c r="B88" s="1441" t="s">
        <v>3130</v>
      </c>
      <c r="C88" s="1441" t="s">
        <v>3131</v>
      </c>
    </row>
    <row customHeight="1" ht="11.25">
      <c r="A89" s="1441" t="s">
        <v>3132</v>
      </c>
      <c r="B89" s="1441" t="s">
        <v>3132</v>
      </c>
      <c r="C89" s="1441" t="s">
        <v>3133</v>
      </c>
    </row>
    <row customHeight="1" ht="11.25">
      <c r="A90" s="1441" t="s">
        <v>3132</v>
      </c>
      <c r="B90" s="1441" t="s">
        <v>3134</v>
      </c>
      <c r="C90" s="1441" t="s">
        <v>3135</v>
      </c>
    </row>
    <row customHeight="1" ht="11.25">
      <c r="A91" s="1441" t="s">
        <v>3132</v>
      </c>
      <c r="B91" s="1441" t="s">
        <v>3136</v>
      </c>
      <c r="C91" s="1441" t="s">
        <v>3137</v>
      </c>
    </row>
    <row customHeight="1" ht="11.25">
      <c r="A92" s="1441" t="s">
        <v>3132</v>
      </c>
      <c r="B92" s="1441" t="s">
        <v>3138</v>
      </c>
      <c r="C92" s="1441" t="s">
        <v>3139</v>
      </c>
    </row>
    <row customHeight="1" ht="11.25">
      <c r="A93" s="1441" t="s">
        <v>3132</v>
      </c>
      <c r="B93" s="1441" t="s">
        <v>3140</v>
      </c>
      <c r="C93" s="1441" t="s">
        <v>3141</v>
      </c>
    </row>
    <row customHeight="1" ht="11.25">
      <c r="A94" s="1441" t="s">
        <v>3132</v>
      </c>
      <c r="B94" s="1441" t="s">
        <v>3142</v>
      </c>
      <c r="C94" s="1441" t="s">
        <v>3143</v>
      </c>
    </row>
    <row customHeight="1" ht="11.25">
      <c r="A95" s="1441" t="s">
        <v>3132</v>
      </c>
      <c r="B95" s="1441" t="s">
        <v>3144</v>
      </c>
      <c r="C95" s="1441" t="s">
        <v>3145</v>
      </c>
    </row>
    <row customHeight="1" ht="11.25">
      <c r="A96" s="1441" t="s">
        <v>3132</v>
      </c>
      <c r="B96" s="1441" t="s">
        <v>3142</v>
      </c>
      <c r="C96" s="1441" t="s">
        <v>3146</v>
      </c>
    </row>
    <row customHeight="1" ht="11.25">
      <c r="A97" s="1441" t="s">
        <v>3132</v>
      </c>
      <c r="B97" s="1441" t="s">
        <v>3147</v>
      </c>
      <c r="C97" s="1441" t="s">
        <v>3148</v>
      </c>
    </row>
    <row customHeight="1" ht="11.25">
      <c r="A98" s="1441" t="s">
        <v>3132</v>
      </c>
      <c r="B98" s="1441" t="s">
        <v>3149</v>
      </c>
      <c r="C98" s="1441" t="s">
        <v>3150</v>
      </c>
    </row>
    <row customHeight="1" ht="11.25">
      <c r="A99" s="1441" t="s">
        <v>3132</v>
      </c>
      <c r="B99" s="1441" t="s">
        <v>3151</v>
      </c>
      <c r="C99" s="1441" t="s">
        <v>3152</v>
      </c>
    </row>
    <row customHeight="1" ht="11.25">
      <c r="A100" s="1441" t="s">
        <v>3132</v>
      </c>
      <c r="B100" s="1441" t="s">
        <v>3153</v>
      </c>
      <c r="C100" s="1441" t="s">
        <v>3154</v>
      </c>
    </row>
    <row customHeight="1" ht="11.25">
      <c r="A101" s="1441" t="s">
        <v>3132</v>
      </c>
      <c r="B101" s="1441" t="s">
        <v>3155</v>
      </c>
      <c r="C101" s="1441" t="s">
        <v>3156</v>
      </c>
    </row>
    <row customHeight="1" ht="11.25">
      <c r="A102" s="1441" t="s">
        <v>3132</v>
      </c>
      <c r="B102" s="1441" t="s">
        <v>3157</v>
      </c>
      <c r="C102" s="1441" t="s">
        <v>3158</v>
      </c>
    </row>
    <row customHeight="1" ht="11.25">
      <c r="A103" s="1441" t="s">
        <v>3132</v>
      </c>
      <c r="B103" s="1441" t="s">
        <v>3159</v>
      </c>
      <c r="C103" s="1441" t="s">
        <v>3160</v>
      </c>
    </row>
    <row customHeight="1" ht="11.25">
      <c r="A104" s="1441" t="s">
        <v>3132</v>
      </c>
      <c r="B104" s="1441" t="s">
        <v>3161</v>
      </c>
      <c r="C104" s="1441" t="s">
        <v>3162</v>
      </c>
    </row>
    <row customHeight="1" ht="11.25">
      <c r="A105" s="1441" t="s">
        <v>3132</v>
      </c>
      <c r="B105" s="1441" t="s">
        <v>3163</v>
      </c>
      <c r="C105" s="1441" t="s">
        <v>3164</v>
      </c>
    </row>
    <row customHeight="1" ht="11.25">
      <c r="A106" s="1441" t="s">
        <v>3132</v>
      </c>
      <c r="B106" s="1441" t="s">
        <v>3163</v>
      </c>
      <c r="C106" s="1441" t="s">
        <v>3165</v>
      </c>
    </row>
    <row customHeight="1" ht="11.25">
      <c r="A107" s="1441" t="s">
        <v>3132</v>
      </c>
      <c r="B107" s="1441" t="s">
        <v>3134</v>
      </c>
      <c r="C107" s="1441" t="s">
        <v>3166</v>
      </c>
    </row>
    <row customHeight="1" ht="11.25">
      <c r="A108" s="1441" t="s">
        <v>3167</v>
      </c>
      <c r="B108" s="1441" t="s">
        <v>3168</v>
      </c>
      <c r="C108" s="1441" t="s">
        <v>3169</v>
      </c>
    </row>
    <row customHeight="1" ht="11.25">
      <c r="A109" s="1441" t="s">
        <v>3167</v>
      </c>
      <c r="B109" s="1441" t="s">
        <v>3170</v>
      </c>
      <c r="C109" s="1441" t="s">
        <v>3171</v>
      </c>
    </row>
    <row customHeight="1" ht="11.25">
      <c r="A110" s="1441" t="s">
        <v>3167</v>
      </c>
      <c r="B110" s="1441" t="s">
        <v>3172</v>
      </c>
      <c r="C110" s="1441" t="s">
        <v>3173</v>
      </c>
    </row>
    <row customHeight="1" ht="11.25">
      <c r="A111" s="1441" t="s">
        <v>3167</v>
      </c>
      <c r="B111" s="1441" t="s">
        <v>3174</v>
      </c>
      <c r="C111" s="1441" t="s">
        <v>3175</v>
      </c>
    </row>
    <row customHeight="1" ht="11.25">
      <c r="A112" s="1441" t="s">
        <v>3167</v>
      </c>
      <c r="B112" s="1441" t="s">
        <v>3176</v>
      </c>
      <c r="C112" s="1441" t="s">
        <v>3177</v>
      </c>
    </row>
    <row customHeight="1" ht="11.25">
      <c r="A113" s="1441" t="s">
        <v>3167</v>
      </c>
      <c r="B113" s="1441" t="s">
        <v>3178</v>
      </c>
      <c r="C113" s="1441" t="s">
        <v>3179</v>
      </c>
    </row>
    <row customHeight="1" ht="11.25">
      <c r="A114" s="1441" t="s">
        <v>3167</v>
      </c>
      <c r="B114" s="1441" t="s">
        <v>3180</v>
      </c>
      <c r="C114" s="1441" t="s">
        <v>3181</v>
      </c>
    </row>
    <row customHeight="1" ht="11.25">
      <c r="A115" s="1441" t="s">
        <v>3167</v>
      </c>
      <c r="B115" s="1441" t="s">
        <v>3182</v>
      </c>
      <c r="C115" s="1441" t="s">
        <v>3183</v>
      </c>
    </row>
    <row customHeight="1" ht="11.25">
      <c r="A116" s="1441" t="s">
        <v>3167</v>
      </c>
      <c r="B116" s="1441" t="s">
        <v>3184</v>
      </c>
      <c r="C116" s="1441" t="s">
        <v>3185</v>
      </c>
    </row>
    <row customHeight="1" ht="11.25">
      <c r="A117" s="1441" t="s">
        <v>3167</v>
      </c>
      <c r="B117" s="1441" t="s">
        <v>3186</v>
      </c>
      <c r="C117" s="1441" t="s">
        <v>3187</v>
      </c>
    </row>
    <row customHeight="1" ht="11.25">
      <c r="A118" s="1441" t="s">
        <v>3188</v>
      </c>
      <c r="B118" s="1441" t="s">
        <v>3188</v>
      </c>
      <c r="C118" s="1441" t="s">
        <v>3189</v>
      </c>
    </row>
    <row customHeight="1" ht="11.25">
      <c r="A119" s="1441" t="s">
        <v>3188</v>
      </c>
      <c r="B119" s="1441" t="s">
        <v>3190</v>
      </c>
      <c r="C119" s="1441" t="s">
        <v>3191</v>
      </c>
    </row>
    <row customHeight="1" ht="11.25">
      <c r="A120" s="1441" t="s">
        <v>3188</v>
      </c>
      <c r="B120" s="1441" t="s">
        <v>3192</v>
      </c>
      <c r="C120" s="1441" t="s">
        <v>3193</v>
      </c>
    </row>
    <row customHeight="1" ht="11.25">
      <c r="A121" s="1441" t="s">
        <v>3188</v>
      </c>
      <c r="B121" s="1441" t="s">
        <v>3194</v>
      </c>
      <c r="C121" s="1441" t="s">
        <v>3195</v>
      </c>
    </row>
    <row customHeight="1" ht="11.25">
      <c r="A122" s="1441" t="s">
        <v>3188</v>
      </c>
      <c r="B122" s="1441" t="s">
        <v>3196</v>
      </c>
      <c r="C122" s="1441" t="s">
        <v>3197</v>
      </c>
    </row>
    <row customHeight="1" ht="11.25">
      <c r="A123" s="1441" t="s">
        <v>3188</v>
      </c>
      <c r="B123" s="1441" t="s">
        <v>3198</v>
      </c>
      <c r="C123" s="1441" t="s">
        <v>3199</v>
      </c>
    </row>
    <row customHeight="1" ht="11.25">
      <c r="A124" s="1441" t="s">
        <v>3188</v>
      </c>
      <c r="B124" s="1441" t="s">
        <v>3200</v>
      </c>
      <c r="C124" s="1441" t="s">
        <v>3201</v>
      </c>
    </row>
    <row customHeight="1" ht="11.25">
      <c r="A125" s="1441" t="s">
        <v>3188</v>
      </c>
      <c r="B125" s="1441" t="s">
        <v>3202</v>
      </c>
      <c r="C125" s="1441" t="s">
        <v>3203</v>
      </c>
    </row>
    <row customHeight="1" ht="11.25">
      <c r="A126" s="1441" t="s">
        <v>3188</v>
      </c>
      <c r="B126" s="1441" t="s">
        <v>3204</v>
      </c>
      <c r="C126" s="1441" t="s">
        <v>3205</v>
      </c>
    </row>
    <row customHeight="1" ht="11.25">
      <c r="A127" s="1441" t="s">
        <v>3188</v>
      </c>
      <c r="B127" s="1441" t="s">
        <v>3206</v>
      </c>
      <c r="C127" s="1441" t="s">
        <v>3207</v>
      </c>
    </row>
    <row customHeight="1" ht="11.25">
      <c r="A128" s="1441" t="s">
        <v>3188</v>
      </c>
      <c r="B128" s="1441" t="s">
        <v>3208</v>
      </c>
      <c r="C128" s="1441" t="s">
        <v>3209</v>
      </c>
    </row>
    <row customHeight="1" ht="11.25">
      <c r="A129" s="1441" t="s">
        <v>3188</v>
      </c>
      <c r="B129" s="1441" t="s">
        <v>3210</v>
      </c>
      <c r="C129" s="1441" t="s">
        <v>3211</v>
      </c>
    </row>
    <row customHeight="1" ht="11.25">
      <c r="A130" s="1441" t="s">
        <v>3212</v>
      </c>
      <c r="B130" s="1441" t="s">
        <v>3213</v>
      </c>
      <c r="C130" s="1441" t="s">
        <v>3214</v>
      </c>
    </row>
    <row customHeight="1" ht="11.25">
      <c r="A131" s="1441" t="s">
        <v>3212</v>
      </c>
      <c r="B131" s="1441" t="s">
        <v>3215</v>
      </c>
      <c r="C131" s="1441" t="s">
        <v>3216</v>
      </c>
    </row>
    <row customHeight="1" ht="11.25">
      <c r="A132" s="1441" t="s">
        <v>3212</v>
      </c>
      <c r="B132" s="1441" t="s">
        <v>3217</v>
      </c>
      <c r="C132" s="1441" t="s">
        <v>3218</v>
      </c>
    </row>
    <row customHeight="1" ht="11.25">
      <c r="A133" s="1441" t="s">
        <v>3212</v>
      </c>
      <c r="B133" s="1441" t="s">
        <v>3219</v>
      </c>
      <c r="C133" s="1441" t="s">
        <v>3220</v>
      </c>
    </row>
    <row customHeight="1" ht="11.25">
      <c r="A134" s="1441" t="s">
        <v>3212</v>
      </c>
      <c r="B134" s="1441" t="s">
        <v>3221</v>
      </c>
      <c r="C134" s="1441" t="s">
        <v>3222</v>
      </c>
    </row>
    <row customHeight="1" ht="11.25">
      <c r="A135" s="1441" t="s">
        <v>3212</v>
      </c>
      <c r="B135" s="1441" t="s">
        <v>3223</v>
      </c>
      <c r="C135" s="1441" t="s">
        <v>3224</v>
      </c>
    </row>
    <row customHeight="1" ht="11.25">
      <c r="A136" s="1441" t="s">
        <v>3212</v>
      </c>
      <c r="B136" s="1441" t="s">
        <v>3225</v>
      </c>
      <c r="C136" s="1441" t="s">
        <v>3226</v>
      </c>
    </row>
    <row customHeight="1" ht="11.25">
      <c r="A137" s="1441" t="s">
        <v>3212</v>
      </c>
      <c r="B137" s="1441" t="s">
        <v>3227</v>
      </c>
      <c r="C137" s="1441" t="s">
        <v>3228</v>
      </c>
    </row>
    <row customHeight="1" ht="11.25">
      <c r="A138" s="1441" t="s">
        <v>3212</v>
      </c>
      <c r="B138" s="1441" t="s">
        <v>3229</v>
      </c>
      <c r="C138" s="1441" t="s">
        <v>3230</v>
      </c>
    </row>
    <row customHeight="1" ht="11.25">
      <c r="A139" s="1441" t="s">
        <v>3212</v>
      </c>
      <c r="B139" s="1441" t="s">
        <v>3231</v>
      </c>
      <c r="C139" s="1441" t="s">
        <v>3232</v>
      </c>
    </row>
    <row customHeight="1" ht="11.25">
      <c r="A140" s="1441" t="s">
        <v>3233</v>
      </c>
      <c r="B140" s="1441" t="s">
        <v>3233</v>
      </c>
      <c r="C140" s="1441" t="s">
        <v>3234</v>
      </c>
    </row>
    <row customHeight="1" ht="11.25">
      <c r="A141" s="1441" t="s">
        <v>3233</v>
      </c>
      <c r="B141" s="1441" t="s">
        <v>3235</v>
      </c>
      <c r="C141" s="1441" t="s">
        <v>3236</v>
      </c>
    </row>
    <row customHeight="1" ht="11.25">
      <c r="A142" s="1441" t="s">
        <v>3233</v>
      </c>
      <c r="B142" s="1441" t="s">
        <v>3237</v>
      </c>
      <c r="C142" s="1441" t="s">
        <v>3238</v>
      </c>
    </row>
    <row customHeight="1" ht="11.25">
      <c r="A143" s="1441" t="s">
        <v>3233</v>
      </c>
      <c r="B143" s="1441" t="s">
        <v>3239</v>
      </c>
      <c r="C143" s="1441" t="s">
        <v>3240</v>
      </c>
    </row>
    <row customHeight="1" ht="11.25">
      <c r="A144" s="1441" t="s">
        <v>3233</v>
      </c>
      <c r="B144" s="1441" t="s">
        <v>3241</v>
      </c>
      <c r="C144" s="1441" t="s">
        <v>3242</v>
      </c>
    </row>
    <row customHeight="1" ht="11.25">
      <c r="A145" s="1441" t="s">
        <v>3233</v>
      </c>
      <c r="B145" s="1441" t="s">
        <v>3243</v>
      </c>
      <c r="C145" s="1441" t="s">
        <v>3244</v>
      </c>
    </row>
    <row customHeight="1" ht="11.25">
      <c r="A146" s="1441" t="s">
        <v>3233</v>
      </c>
      <c r="B146" s="1441" t="s">
        <v>3245</v>
      </c>
      <c r="C146" s="1441" t="s">
        <v>3246</v>
      </c>
    </row>
    <row customHeight="1" ht="11.25">
      <c r="A147" s="1441" t="s">
        <v>3233</v>
      </c>
      <c r="B147" s="1441" t="s">
        <v>3247</v>
      </c>
      <c r="C147" s="1441" t="s">
        <v>3248</v>
      </c>
    </row>
    <row customHeight="1" ht="11.25">
      <c r="A148" s="1441" t="s">
        <v>3233</v>
      </c>
      <c r="B148" s="1441" t="s">
        <v>3249</v>
      </c>
      <c r="C148" s="1441" t="s">
        <v>3250</v>
      </c>
    </row>
    <row customHeight="1" ht="11.25">
      <c r="A149" s="1441" t="s">
        <v>3233</v>
      </c>
      <c r="B149" s="1441" t="s">
        <v>3251</v>
      </c>
      <c r="C149" s="1441" t="s">
        <v>3252</v>
      </c>
    </row>
    <row customHeight="1" ht="11.25">
      <c r="A150" s="1441" t="s">
        <v>3233</v>
      </c>
      <c r="B150" s="1441" t="s">
        <v>3253</v>
      </c>
      <c r="C150" s="1441" t="s">
        <v>3254</v>
      </c>
    </row>
    <row customHeight="1" ht="11.25">
      <c r="A151" s="1441" t="s">
        <v>3233</v>
      </c>
      <c r="B151" s="1441" t="s">
        <v>3255</v>
      </c>
      <c r="C151" s="1441" t="s">
        <v>3256</v>
      </c>
    </row>
    <row customHeight="1" ht="11.25">
      <c r="A152" s="1441" t="s">
        <v>3233</v>
      </c>
      <c r="B152" s="1441" t="s">
        <v>3257</v>
      </c>
      <c r="C152" s="1441" t="s">
        <v>3258</v>
      </c>
    </row>
    <row customHeight="1" ht="11.25">
      <c r="A153" s="1441" t="s">
        <v>3233</v>
      </c>
      <c r="B153" s="1441" t="s">
        <v>3259</v>
      </c>
      <c r="C153" s="1441" t="s">
        <v>3260</v>
      </c>
    </row>
    <row customHeight="1" ht="11.25">
      <c r="A154" s="1441" t="s">
        <v>3261</v>
      </c>
      <c r="B154" s="1441" t="s">
        <v>3262</v>
      </c>
      <c r="C154" s="1441" t="s">
        <v>3263</v>
      </c>
    </row>
    <row customHeight="1" ht="11.25">
      <c r="A155" s="1441" t="s">
        <v>3261</v>
      </c>
      <c r="B155" s="1441" t="s">
        <v>3264</v>
      </c>
      <c r="C155" s="1441" t="s">
        <v>3265</v>
      </c>
    </row>
    <row customHeight="1" ht="11.25">
      <c r="A156" s="1441" t="s">
        <v>3261</v>
      </c>
      <c r="B156" s="1441" t="s">
        <v>3266</v>
      </c>
      <c r="C156" s="1441" t="s">
        <v>3267</v>
      </c>
    </row>
    <row customHeight="1" ht="11.25">
      <c r="A157" s="1441" t="s">
        <v>3261</v>
      </c>
      <c r="B157" s="1441" t="s">
        <v>3268</v>
      </c>
      <c r="C157" s="1441" t="s">
        <v>3269</v>
      </c>
    </row>
    <row customHeight="1" ht="11.25">
      <c r="A158" s="1441" t="s">
        <v>3261</v>
      </c>
      <c r="B158" s="1441" t="s">
        <v>3270</v>
      </c>
      <c r="C158" s="1441" t="s">
        <v>3271</v>
      </c>
    </row>
    <row customHeight="1" ht="11.25">
      <c r="A159" s="1441" t="s">
        <v>3261</v>
      </c>
      <c r="B159" s="1441" t="s">
        <v>3272</v>
      </c>
      <c r="C159" s="1441" t="s">
        <v>3273</v>
      </c>
    </row>
    <row customHeight="1" ht="11.25">
      <c r="A160" s="1441" t="s">
        <v>3261</v>
      </c>
      <c r="B160" s="1441" t="s">
        <v>3274</v>
      </c>
      <c r="C160" s="1441" t="s">
        <v>3275</v>
      </c>
    </row>
    <row customHeight="1" ht="11.25">
      <c r="A161" s="1441" t="s">
        <v>3261</v>
      </c>
      <c r="B161" s="1441" t="s">
        <v>3276</v>
      </c>
      <c r="C161" s="1441" t="s">
        <v>3277</v>
      </c>
    </row>
    <row customHeight="1" ht="11.25">
      <c r="A162" s="1441" t="s">
        <v>3261</v>
      </c>
      <c r="B162" s="1441" t="s">
        <v>3278</v>
      </c>
      <c r="C162" s="1441" t="s">
        <v>3279</v>
      </c>
    </row>
    <row customHeight="1" ht="11.25">
      <c r="A163" s="1441" t="s">
        <v>3261</v>
      </c>
      <c r="B163" s="1441" t="s">
        <v>3280</v>
      </c>
      <c r="C163" s="1441" t="s">
        <v>3281</v>
      </c>
    </row>
    <row customHeight="1" ht="11.25">
      <c r="A164" s="1441" t="s">
        <v>3261</v>
      </c>
      <c r="B164" s="1441" t="s">
        <v>3282</v>
      </c>
      <c r="C164" s="1441" t="s">
        <v>3283</v>
      </c>
    </row>
    <row customHeight="1" ht="11.25">
      <c r="A165" s="1441" t="s">
        <v>3261</v>
      </c>
      <c r="B165" s="1441" t="s">
        <v>3284</v>
      </c>
      <c r="C165" s="1441" t="s">
        <v>3285</v>
      </c>
    </row>
    <row customHeight="1" ht="11.25">
      <c r="A166" s="1441" t="s">
        <v>3286</v>
      </c>
      <c r="B166" s="1441" t="s">
        <v>3287</v>
      </c>
      <c r="C166" s="1441" t="s">
        <v>3288</v>
      </c>
    </row>
    <row customHeight="1" ht="11.25">
      <c r="A167" s="1441" t="s">
        <v>3286</v>
      </c>
      <c r="B167" s="1441" t="s">
        <v>3289</v>
      </c>
      <c r="C167" s="1441" t="s">
        <v>3290</v>
      </c>
    </row>
    <row customHeight="1" ht="11.25">
      <c r="A168" s="1441" t="s">
        <v>3286</v>
      </c>
      <c r="B168" s="1441" t="s">
        <v>3291</v>
      </c>
      <c r="C168" s="1441" t="s">
        <v>3292</v>
      </c>
    </row>
    <row customHeight="1" ht="11.25">
      <c r="A169" s="1441" t="s">
        <v>3286</v>
      </c>
      <c r="B169" s="1441" t="s">
        <v>3293</v>
      </c>
      <c r="C169" s="1441" t="s">
        <v>3294</v>
      </c>
    </row>
    <row customHeight="1" ht="11.25">
      <c r="A170" s="1441" t="s">
        <v>3286</v>
      </c>
      <c r="B170" s="1441" t="s">
        <v>3295</v>
      </c>
      <c r="C170" s="1441" t="s">
        <v>3296</v>
      </c>
    </row>
    <row customHeight="1" ht="11.25">
      <c r="A171" s="1441" t="s">
        <v>3286</v>
      </c>
      <c r="B171" s="1441" t="s">
        <v>3297</v>
      </c>
      <c r="C171" s="1441" t="s">
        <v>3298</v>
      </c>
    </row>
    <row customHeight="1" ht="11.25">
      <c r="A172" s="1441" t="s">
        <v>3286</v>
      </c>
      <c r="B172" s="1441" t="s">
        <v>3299</v>
      </c>
      <c r="C172" s="1441" t="s">
        <v>3300</v>
      </c>
    </row>
    <row customHeight="1" ht="11.25">
      <c r="A173" s="1441" t="s">
        <v>3286</v>
      </c>
      <c r="B173" s="1441" t="s">
        <v>3301</v>
      </c>
      <c r="C173" s="1441" t="s">
        <v>3302</v>
      </c>
    </row>
    <row customHeight="1" ht="11.25">
      <c r="A174" s="1441" t="s">
        <v>3286</v>
      </c>
      <c r="B174" s="1441" t="s">
        <v>3303</v>
      </c>
      <c r="C174" s="1441" t="s">
        <v>3304</v>
      </c>
    </row>
    <row customHeight="1" ht="11.25">
      <c r="A175" s="1441" t="s">
        <v>3286</v>
      </c>
      <c r="B175" s="1441" t="s">
        <v>3305</v>
      </c>
      <c r="C175" s="1441" t="s">
        <v>3306</v>
      </c>
    </row>
    <row customHeight="1" ht="11.25">
      <c r="A176" s="1441" t="s">
        <v>3286</v>
      </c>
      <c r="B176" s="1441" t="s">
        <v>3307</v>
      </c>
      <c r="C176" s="1441" t="s">
        <v>3308</v>
      </c>
    </row>
    <row customHeight="1" ht="11.25">
      <c r="A177" s="1441" t="s">
        <v>3286</v>
      </c>
      <c r="B177" s="1441" t="s">
        <v>3309</v>
      </c>
      <c r="C177" s="1441" t="s">
        <v>3310</v>
      </c>
    </row>
    <row customHeight="1" ht="11.25">
      <c r="A178" s="1441" t="s">
        <v>3311</v>
      </c>
      <c r="B178" s="1441" t="s">
        <v>3312</v>
      </c>
      <c r="C178" s="1441" t="s">
        <v>3313</v>
      </c>
    </row>
    <row customHeight="1" ht="11.25">
      <c r="A179" s="1441" t="s">
        <v>3311</v>
      </c>
      <c r="B179" s="1441" t="s">
        <v>3314</v>
      </c>
      <c r="C179" s="1441" t="s">
        <v>3315</v>
      </c>
    </row>
    <row customHeight="1" ht="11.25">
      <c r="A180" s="1441" t="s">
        <v>3311</v>
      </c>
      <c r="B180" s="1441" t="s">
        <v>3316</v>
      </c>
      <c r="C180" s="1441" t="s">
        <v>3317</v>
      </c>
    </row>
    <row customHeight="1" ht="11.25">
      <c r="A181" s="1441" t="s">
        <v>3311</v>
      </c>
      <c r="B181" s="1441" t="s">
        <v>3318</v>
      </c>
      <c r="C181" s="1441" t="s">
        <v>3319</v>
      </c>
    </row>
    <row customHeight="1" ht="11.25">
      <c r="A182" s="1441" t="s">
        <v>3311</v>
      </c>
      <c r="B182" s="1441" t="s">
        <v>3320</v>
      </c>
      <c r="C182" s="1441" t="s">
        <v>3321</v>
      </c>
    </row>
    <row customHeight="1" ht="11.25">
      <c r="A183" s="1441" t="s">
        <v>3311</v>
      </c>
      <c r="B183" s="1441" t="s">
        <v>3322</v>
      </c>
      <c r="C183" s="1441" t="s">
        <v>3323</v>
      </c>
    </row>
    <row customHeight="1" ht="11.25">
      <c r="A184" s="1441" t="s">
        <v>3311</v>
      </c>
      <c r="B184" s="1441" t="s">
        <v>3324</v>
      </c>
      <c r="C184" s="1441" t="s">
        <v>3325</v>
      </c>
    </row>
    <row customHeight="1" ht="11.25">
      <c r="A185" s="1441" t="s">
        <v>3326</v>
      </c>
      <c r="B185" s="1441" t="s">
        <v>3327</v>
      </c>
      <c r="C185" s="1441" t="s">
        <v>3328</v>
      </c>
    </row>
    <row customHeight="1" ht="11.25">
      <c r="A186" s="1441" t="s">
        <v>3326</v>
      </c>
      <c r="B186" s="1441" t="s">
        <v>3329</v>
      </c>
      <c r="C186" s="1441" t="s">
        <v>3330</v>
      </c>
    </row>
    <row customHeight="1" ht="11.25">
      <c r="A187" s="1441" t="s">
        <v>3326</v>
      </c>
      <c r="B187" s="1441" t="s">
        <v>3331</v>
      </c>
      <c r="C187" s="1441" t="s">
        <v>3332</v>
      </c>
    </row>
    <row customHeight="1" ht="11.25">
      <c r="A188" s="1441" t="s">
        <v>3326</v>
      </c>
      <c r="B188" s="1441" t="s">
        <v>3333</v>
      </c>
      <c r="C188" s="1441" t="s">
        <v>3334</v>
      </c>
    </row>
    <row customHeight="1" ht="11.25">
      <c r="A189" s="1441" t="s">
        <v>3326</v>
      </c>
      <c r="B189" s="1441" t="s">
        <v>3335</v>
      </c>
      <c r="C189" s="1441" t="s">
        <v>3336</v>
      </c>
    </row>
    <row customHeight="1" ht="11.25">
      <c r="A190" s="1441" t="s">
        <v>3326</v>
      </c>
      <c r="B190" s="1441" t="s">
        <v>3337</v>
      </c>
      <c r="C190" s="1441" t="s">
        <v>3338</v>
      </c>
    </row>
    <row customHeight="1" ht="11.25">
      <c r="A191" s="1441" t="s">
        <v>3326</v>
      </c>
      <c r="B191" s="1441" t="s">
        <v>3339</v>
      </c>
      <c r="C191" s="1441" t="s">
        <v>3340</v>
      </c>
    </row>
    <row customHeight="1" ht="11.25">
      <c r="A192" s="1441" t="s">
        <v>3326</v>
      </c>
      <c r="B192" s="1441" t="s">
        <v>3341</v>
      </c>
      <c r="C192" s="1441" t="s">
        <v>3342</v>
      </c>
    </row>
    <row customHeight="1" ht="11.25">
      <c r="A193" s="1441" t="s">
        <v>3326</v>
      </c>
      <c r="B193" s="1441" t="s">
        <v>3343</v>
      </c>
      <c r="C193" s="1441" t="s">
        <v>3344</v>
      </c>
    </row>
    <row customHeight="1" ht="11.25">
      <c r="A194" s="1441" t="s">
        <v>3345</v>
      </c>
      <c r="B194" s="1441" t="s">
        <v>3346</v>
      </c>
      <c r="C194" s="1441" t="s">
        <v>3347</v>
      </c>
    </row>
    <row customHeight="1" ht="11.25">
      <c r="A195" s="1441" t="s">
        <v>3345</v>
      </c>
      <c r="B195" s="1441" t="s">
        <v>3348</v>
      </c>
      <c r="C195" s="1441" t="s">
        <v>3349</v>
      </c>
    </row>
    <row customHeight="1" ht="11.25">
      <c r="A196" s="1441" t="s">
        <v>3345</v>
      </c>
      <c r="B196" s="1441" t="s">
        <v>3350</v>
      </c>
      <c r="C196" s="1441" t="s">
        <v>3351</v>
      </c>
    </row>
    <row customHeight="1" ht="11.25">
      <c r="A197" s="1441" t="s">
        <v>3345</v>
      </c>
      <c r="B197" s="1441" t="s">
        <v>3352</v>
      </c>
      <c r="C197" s="1441" t="s">
        <v>3353</v>
      </c>
    </row>
    <row customHeight="1" ht="11.25">
      <c r="A198" s="1441" t="s">
        <v>3345</v>
      </c>
      <c r="B198" s="1441" t="s">
        <v>3354</v>
      </c>
      <c r="C198" s="1441" t="s">
        <v>3355</v>
      </c>
    </row>
    <row customHeight="1" ht="11.25">
      <c r="A199" s="1441" t="s">
        <v>3345</v>
      </c>
      <c r="B199" s="1441" t="s">
        <v>3356</v>
      </c>
      <c r="C199" s="1441" t="s">
        <v>3357</v>
      </c>
    </row>
    <row customHeight="1" ht="11.25">
      <c r="A200" s="1441" t="s">
        <v>3345</v>
      </c>
      <c r="B200" s="1441" t="s">
        <v>3358</v>
      </c>
      <c r="C200" s="1441" t="s">
        <v>3359</v>
      </c>
    </row>
    <row customHeight="1" ht="11.25">
      <c r="A201" s="1441" t="s">
        <v>3345</v>
      </c>
      <c r="B201" s="1441" t="s">
        <v>3360</v>
      </c>
      <c r="C201" s="1441" t="s">
        <v>3361</v>
      </c>
    </row>
    <row customHeight="1" ht="11.25">
      <c r="A202" s="1441" t="s">
        <v>3345</v>
      </c>
      <c r="B202" s="1441" t="s">
        <v>3362</v>
      </c>
      <c r="C202" s="1441" t="s">
        <v>3363</v>
      </c>
    </row>
    <row customHeight="1" ht="11.25">
      <c r="A203" s="1441" t="s">
        <v>3345</v>
      </c>
      <c r="B203" s="1441" t="s">
        <v>3364</v>
      </c>
      <c r="C203" s="1441" t="s">
        <v>3365</v>
      </c>
    </row>
    <row customHeight="1" ht="11.25">
      <c r="A204" s="1441" t="s">
        <v>3366</v>
      </c>
      <c r="B204" s="1441" t="s">
        <v>3367</v>
      </c>
      <c r="C204" s="1441" t="s">
        <v>3368</v>
      </c>
    </row>
    <row customHeight="1" ht="11.25">
      <c r="A205" s="1441" t="s">
        <v>3366</v>
      </c>
      <c r="B205" s="1441" t="s">
        <v>3369</v>
      </c>
      <c r="C205" s="1441" t="s">
        <v>3370</v>
      </c>
    </row>
    <row customHeight="1" ht="11.25">
      <c r="A206" s="1441" t="s">
        <v>3366</v>
      </c>
      <c r="B206" s="1441" t="s">
        <v>3371</v>
      </c>
      <c r="C206" s="1441" t="s">
        <v>3372</v>
      </c>
    </row>
    <row customHeight="1" ht="11.25">
      <c r="A207" s="1441" t="s">
        <v>3366</v>
      </c>
      <c r="B207" s="1441" t="s">
        <v>3373</v>
      </c>
      <c r="C207" s="1441" t="s">
        <v>3374</v>
      </c>
    </row>
    <row customHeight="1" ht="11.25">
      <c r="A208" s="1441" t="s">
        <v>3366</v>
      </c>
      <c r="B208" s="1441" t="s">
        <v>3375</v>
      </c>
      <c r="C208" s="1441" t="s">
        <v>3376</v>
      </c>
    </row>
    <row customHeight="1" ht="11.25">
      <c r="A209" s="1441" t="s">
        <v>3366</v>
      </c>
      <c r="B209" s="1441" t="s">
        <v>3377</v>
      </c>
      <c r="C209" s="1441" t="s">
        <v>3378</v>
      </c>
    </row>
    <row customHeight="1" ht="11.25">
      <c r="A210" s="1441" t="s">
        <v>3366</v>
      </c>
      <c r="B210" s="1441" t="s">
        <v>3379</v>
      </c>
      <c r="C210" s="1441" t="s">
        <v>3380</v>
      </c>
    </row>
    <row customHeight="1" ht="11.25">
      <c r="A211" s="1441" t="s">
        <v>3366</v>
      </c>
      <c r="B211" s="1441" t="s">
        <v>3381</v>
      </c>
      <c r="C211" s="1441" t="s">
        <v>3382</v>
      </c>
    </row>
    <row customHeight="1" ht="11.25">
      <c r="A212" s="1441" t="s">
        <v>3366</v>
      </c>
      <c r="B212" s="1441" t="s">
        <v>3383</v>
      </c>
      <c r="C212" s="1441" t="s">
        <v>3384</v>
      </c>
    </row>
    <row customHeight="1" ht="11.25">
      <c r="A213" s="1441" t="s">
        <v>3366</v>
      </c>
      <c r="B213" s="1441" t="s">
        <v>3385</v>
      </c>
      <c r="C213" s="1441" t="s">
        <v>3386</v>
      </c>
    </row>
    <row customHeight="1" ht="11.25">
      <c r="A214" s="1441" t="s">
        <v>3366</v>
      </c>
      <c r="B214" s="1441" t="s">
        <v>3387</v>
      </c>
      <c r="C214" s="1441" t="s">
        <v>3388</v>
      </c>
    </row>
    <row customHeight="1" ht="11.25">
      <c r="A215" s="1441" t="s">
        <v>3389</v>
      </c>
      <c r="B215" s="1441" t="s">
        <v>3389</v>
      </c>
      <c r="C215" s="1441" t="s">
        <v>3390</v>
      </c>
    </row>
    <row customHeight="1" ht="11.25">
      <c r="A216" s="1441" t="s">
        <v>3391</v>
      </c>
      <c r="B216" s="1441" t="s">
        <v>3391</v>
      </c>
      <c r="C216" s="1441" t="s">
        <v>3392</v>
      </c>
    </row>
    <row customHeight="1" ht="11.25">
      <c r="A217" s="1441" t="s">
        <v>3393</v>
      </c>
      <c r="B217" s="1441" t="s">
        <v>3393</v>
      </c>
      <c r="C217" s="1441" t="s">
        <v>3394</v>
      </c>
    </row>
    <row customHeight="1" ht="11.25">
      <c r="A218" s="1441" t="s">
        <v>3395</v>
      </c>
      <c r="B218" s="1441" t="s">
        <v>3395</v>
      </c>
      <c r="C218" s="1441" t="s">
        <v>3396</v>
      </c>
    </row>
    <row customHeight="1" ht="11.25">
      <c r="A219" s="1441" t="s">
        <v>3397</v>
      </c>
      <c r="B219" s="1441" t="s">
        <v>3397</v>
      </c>
      <c r="C219" s="1441" t="s">
        <v>3398</v>
      </c>
    </row>
    <row customHeight="1" ht="11.25">
      <c r="A220" s="1441" t="s">
        <v>3399</v>
      </c>
      <c r="B220" s="1441" t="s">
        <v>3399</v>
      </c>
      <c r="C220" s="1441" t="s">
        <v>3400</v>
      </c>
    </row>
    <row customHeight="1" ht="11.25">
      <c r="A221" s="1441" t="s">
        <v>3401</v>
      </c>
      <c r="B221" s="1441" t="s">
        <v>3401</v>
      </c>
      <c r="C221" s="1441" t="s">
        <v>3402</v>
      </c>
    </row>
    <row customHeight="1" ht="11.25">
      <c r="A222" s="1441" t="s">
        <v>3403</v>
      </c>
      <c r="B222" s="1441" t="s">
        <v>3403</v>
      </c>
      <c r="C222" s="1441" t="s">
        <v>3404</v>
      </c>
    </row>
    <row customHeight="1" ht="11.25">
      <c r="A223" s="1441" t="s">
        <v>3405</v>
      </c>
      <c r="B223" s="1441" t="s">
        <v>3405</v>
      </c>
      <c r="C223" s="1441" t="s">
        <v>3406</v>
      </c>
    </row>
    <row customHeight="1" ht="11.25">
      <c r="A224" s="1441" t="s">
        <v>3407</v>
      </c>
      <c r="B224" s="1441" t="s">
        <v>3407</v>
      </c>
      <c r="C224" s="1441" t="s">
        <v>3408</v>
      </c>
    </row>
    <row customHeight="1" ht="11.25">
      <c r="A225" s="1441" t="s">
        <v>3409</v>
      </c>
      <c r="B225" s="1441" t="s">
        <v>3409</v>
      </c>
      <c r="C225" s="1441" t="s">
        <v>3410</v>
      </c>
    </row>
    <row customHeight="1" ht="11.25">
      <c r="A226" s="1441" t="s">
        <v>3411</v>
      </c>
      <c r="B226" s="1441" t="s">
        <v>3411</v>
      </c>
      <c r="C226" s="1441" t="s">
        <v>3412</v>
      </c>
    </row>
    <row customHeight="1" ht="11.25">
      <c r="A227" s="1441" t="s">
        <v>3413</v>
      </c>
      <c r="B227" s="1441" t="s">
        <v>3413</v>
      </c>
      <c r="C227" s="1441" t="s">
        <v>3414</v>
      </c>
    </row>
    <row customHeight="1" ht="11.25">
      <c r="A228" s="1441" t="s">
        <v>3415</v>
      </c>
      <c r="B228" s="1441" t="s">
        <v>3415</v>
      </c>
      <c r="C228" s="1441" t="s">
        <v>3416</v>
      </c>
    </row>
    <row customHeight="1" ht="11.25">
      <c r="A229" s="1441" t="s">
        <v>3417</v>
      </c>
      <c r="B229" s="1441" t="s">
        <v>3417</v>
      </c>
      <c r="C229" s="1441" t="s">
        <v>3418</v>
      </c>
    </row>
    <row customHeight="1" ht="11.25">
      <c r="A230" s="1441" t="s">
        <v>3419</v>
      </c>
      <c r="B230" s="1441" t="s">
        <v>3419</v>
      </c>
      <c r="C230" s="1441" t="s">
        <v>3420</v>
      </c>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D970E98-A7A8-FF29-B78B-BA70E8E49C45}" mc:Ignorable="x14ac xr xr2 xr3">
  <sheetPr>
    <tabColor rgb="FFFFCC99"/>
  </sheetPr>
  <dimension ref="A1:S456"/>
  <sheetViews>
    <sheetView topLeftCell="A1" showGridLines="0" workbookViewId="0">
      <selection activeCell="A1" sqref="A1"/>
    </sheetView>
  </sheetViews>
  <sheetFormatPr defaultColWidth="9.140625" customHeight="1" defaultRowHeight="11.25"/>
  <sheetData>
    <row customHeight="1" ht="11.25">
      <c r="A1" s="0" t="s">
        <v>3421</v>
      </c>
      <c r="B1" s="0" t="s">
        <v>3422</v>
      </c>
      <c r="C1" s="0" t="s">
        <v>3423</v>
      </c>
      <c r="D1" s="0" t="s">
        <v>3424</v>
      </c>
      <c r="E1" s="0" t="s">
        <v>3425</v>
      </c>
      <c r="F1" s="0" t="s">
        <v>3426</v>
      </c>
      <c r="G1" s="0" t="s">
        <v>3427</v>
      </c>
      <c r="H1" s="0" t="s">
        <v>3428</v>
      </c>
      <c r="I1" s="0" t="s">
        <v>3429</v>
      </c>
      <c r="J1" s="0" t="s">
        <v>3430</v>
      </c>
      <c r="K1" s="0" t="s">
        <v>3431</v>
      </c>
      <c r="L1" s="0" t="s">
        <v>3432</v>
      </c>
      <c r="M1" s="0" t="s">
        <v>3433</v>
      </c>
      <c r="N1" s="0" t="s">
        <v>3434</v>
      </c>
      <c r="O1" s="0" t="s">
        <v>3435</v>
      </c>
      <c r="P1" s="0" t="s">
        <v>3436</v>
      </c>
      <c r="Q1" s="0" t="s">
        <v>3437</v>
      </c>
      <c r="R1" s="0" t="s">
        <v>3438</v>
      </c>
      <c r="S1" s="0" t="s">
        <v>3439</v>
      </c>
    </row>
    <row customHeight="1" ht="11.25">
      <c r="A2" s="0">
        <v>2655</v>
      </c>
      <c r="B2" s="0" t="s">
        <v>102</v>
      </c>
      <c r="C2" s="0">
        <v>28976938</v>
      </c>
      <c r="D2" s="0" t="s">
        <v>3440</v>
      </c>
      <c r="E2" s="0" t="s">
        <v>3441</v>
      </c>
      <c r="F2" s="0" t="s">
        <v>3442</v>
      </c>
      <c r="G2" s="0" t="s">
        <v>3443</v>
      </c>
      <c r="H2" s="0" t="s">
        <v>3444</v>
      </c>
      <c r="I2" s="0" t="s">
        <v>3445</v>
      </c>
      <c r="J2" s="0" t="s">
        <v>3446</v>
      </c>
      <c r="K2" s="0" t="s">
        <v>3447</v>
      </c>
      <c r="L2" s="0" t="s">
        <v>3448</v>
      </c>
      <c r="M2" s="0" t="s">
        <v>3449</v>
      </c>
      <c r="N2" s="0" t="s">
        <v>3450</v>
      </c>
      <c r="O2" s="0" t="s">
        <v>3451</v>
      </c>
      <c r="P2" s="0" t="s">
        <v>3452</v>
      </c>
      <c r="Q2" s="0" t="s">
        <v>3453</v>
      </c>
      <c r="R2" s="0" t="b">
        <v>0</v>
      </c>
      <c r="S2" s="0" t="s">
        <v>3454</v>
      </c>
    </row>
    <row customHeight="1" ht="11.25">
      <c r="A3" s="0">
        <v>2655</v>
      </c>
      <c r="B3" s="0" t="s">
        <v>102</v>
      </c>
      <c r="C3" s="0">
        <v>27804990</v>
      </c>
      <c r="D3" s="0" t="s">
        <v>3455</v>
      </c>
      <c r="E3" s="0" t="s">
        <v>3456</v>
      </c>
      <c r="F3" s="0" t="s">
        <v>3457</v>
      </c>
      <c r="G3" s="0" t="s">
        <v>123</v>
      </c>
      <c r="H3" s="0" t="s">
        <v>3458</v>
      </c>
      <c r="I3" s="0" t="s">
        <v>3459</v>
      </c>
      <c r="J3" s="0" t="s">
        <v>3446</v>
      </c>
      <c r="K3" s="0" t="s">
        <v>3460</v>
      </c>
      <c r="L3" s="0" t="s">
        <v>3461</v>
      </c>
      <c r="M3" s="0" t="s">
        <v>3462</v>
      </c>
      <c r="N3" s="0" t="s">
        <v>3463</v>
      </c>
      <c r="O3" s="0" t="s">
        <v>3464</v>
      </c>
      <c r="P3" s="0" t="s">
        <v>3465</v>
      </c>
      <c r="Q3" s="0" t="s">
        <v>3466</v>
      </c>
      <c r="R3" s="0" t="b">
        <v>0</v>
      </c>
      <c r="S3" s="0" t="s">
        <v>3454</v>
      </c>
    </row>
    <row customHeight="1" ht="11.25">
      <c r="A4" s="0">
        <v>2655</v>
      </c>
      <c r="B4" s="0" t="s">
        <v>102</v>
      </c>
      <c r="C4" s="0">
        <v>27804826</v>
      </c>
      <c r="D4" s="0" t="s">
        <v>3467</v>
      </c>
      <c r="E4" s="0" t="s">
        <v>3468</v>
      </c>
      <c r="F4" s="0" t="s">
        <v>3469</v>
      </c>
      <c r="G4" s="0" t="s">
        <v>3470</v>
      </c>
      <c r="H4" s="0" t="s">
        <v>3471</v>
      </c>
      <c r="I4" s="0" t="s">
        <v>3472</v>
      </c>
      <c r="J4" s="0" t="s">
        <v>3446</v>
      </c>
      <c r="K4" s="0" t="s">
        <v>3473</v>
      </c>
      <c r="L4" s="0" t="s">
        <v>3461</v>
      </c>
      <c r="M4" s="0" t="s">
        <v>3474</v>
      </c>
      <c r="N4" s="0" t="s">
        <v>3475</v>
      </c>
      <c r="O4" s="0" t="s">
        <v>3476</v>
      </c>
      <c r="P4" s="0" t="s">
        <v>3465</v>
      </c>
      <c r="Q4" s="0" t="s">
        <v>3477</v>
      </c>
      <c r="R4" s="0" t="b">
        <v>0</v>
      </c>
      <c r="S4" s="0" t="s">
        <v>3454</v>
      </c>
    </row>
    <row customHeight="1" ht="11.25">
      <c r="A5" s="0">
        <v>2655</v>
      </c>
      <c r="B5" s="0" t="s">
        <v>102</v>
      </c>
      <c r="C5" s="0">
        <v>26356963</v>
      </c>
      <c r="D5" s="0" t="s">
        <v>3478</v>
      </c>
      <c r="E5" s="0" t="s">
        <v>3479</v>
      </c>
      <c r="F5" s="0" t="s">
        <v>3480</v>
      </c>
      <c r="G5" s="0" t="s">
        <v>3481</v>
      </c>
      <c r="H5" s="0" t="s">
        <v>3482</v>
      </c>
      <c r="I5" s="0" t="s">
        <v>240</v>
      </c>
      <c r="J5" s="0" t="s">
        <v>3446</v>
      </c>
      <c r="K5" s="0" t="s">
        <v>3483</v>
      </c>
      <c r="L5" s="0" t="s">
        <v>3483</v>
      </c>
      <c r="M5" s="0" t="s">
        <v>3484</v>
      </c>
      <c r="N5" s="0" t="s">
        <v>3485</v>
      </c>
      <c r="O5" s="0" t="s">
        <v>3486</v>
      </c>
      <c r="P5" s="0" t="s">
        <v>145</v>
      </c>
      <c r="Q5" s="0" t="s">
        <v>3487</v>
      </c>
      <c r="R5" s="0" t="b">
        <v>0</v>
      </c>
      <c r="S5" s="0" t="s">
        <v>3454</v>
      </c>
    </row>
    <row customHeight="1" ht="11.25">
      <c r="A6" s="0">
        <v>2655</v>
      </c>
      <c r="B6" s="0" t="s">
        <v>102</v>
      </c>
      <c r="C6" s="0">
        <v>26322889</v>
      </c>
      <c r="D6" s="0" t="s">
        <v>3488</v>
      </c>
      <c r="E6" s="0" t="s">
        <v>3489</v>
      </c>
      <c r="F6" s="0" t="s">
        <v>3490</v>
      </c>
      <c r="G6" s="0" t="s">
        <v>3491</v>
      </c>
      <c r="H6" s="0" t="s">
        <v>3492</v>
      </c>
      <c r="I6" s="0" t="s">
        <v>3493</v>
      </c>
      <c r="J6" s="0" t="s">
        <v>3446</v>
      </c>
      <c r="K6" s="0" t="s">
        <v>3494</v>
      </c>
      <c r="L6" s="0" t="s">
        <v>3495</v>
      </c>
      <c r="M6" s="0" t="s">
        <v>3496</v>
      </c>
      <c r="N6" s="0" t="s">
        <v>3497</v>
      </c>
      <c r="O6" s="0" t="s">
        <v>3498</v>
      </c>
      <c r="P6" s="0" t="s">
        <v>3499</v>
      </c>
      <c r="Q6" s="0" t="s">
        <v>3500</v>
      </c>
      <c r="R6" s="0" t="b">
        <v>0</v>
      </c>
      <c r="S6" s="0" t="s">
        <v>3454</v>
      </c>
    </row>
    <row customHeight="1" ht="11.25">
      <c r="A7" s="0">
        <v>2655</v>
      </c>
      <c r="B7" s="0" t="s">
        <v>102</v>
      </c>
      <c r="C7" s="0">
        <v>26427149</v>
      </c>
      <c r="D7" s="0" t="s">
        <v>3501</v>
      </c>
      <c r="E7" s="0" t="s">
        <v>3502</v>
      </c>
      <c r="F7" s="0" t="s">
        <v>3442</v>
      </c>
      <c r="G7" s="0" t="s">
        <v>3503</v>
      </c>
      <c r="H7" s="0" t="s">
        <v>3444</v>
      </c>
      <c r="I7" s="0" t="s">
        <v>3445</v>
      </c>
      <c r="J7" s="0" t="s">
        <v>3446</v>
      </c>
      <c r="K7" s="0" t="s">
        <v>3504</v>
      </c>
      <c r="L7" s="0" t="s">
        <v>3505</v>
      </c>
      <c r="M7" s="0" t="s">
        <v>3506</v>
      </c>
      <c r="N7" s="0" t="s">
        <v>3507</v>
      </c>
      <c r="O7" s="0" t="s">
        <v>3508</v>
      </c>
      <c r="P7" s="0" t="s">
        <v>3509</v>
      </c>
      <c r="Q7" s="0" t="s">
        <v>3510</v>
      </c>
      <c r="R7" s="0" t="b">
        <v>0</v>
      </c>
      <c r="S7" s="0" t="s">
        <v>3454</v>
      </c>
    </row>
    <row customHeight="1" ht="11.25">
      <c r="A8" s="0">
        <v>2655</v>
      </c>
      <c r="B8" s="0" t="s">
        <v>102</v>
      </c>
      <c r="C8" s="0">
        <v>27295125</v>
      </c>
      <c r="D8" s="0" t="s">
        <v>3511</v>
      </c>
      <c r="E8" s="0" t="s">
        <v>3512</v>
      </c>
      <c r="F8" s="0" t="s">
        <v>3513</v>
      </c>
      <c r="G8" s="0" t="s">
        <v>3514</v>
      </c>
      <c r="H8" s="0" t="s">
        <v>3515</v>
      </c>
      <c r="I8" s="0" t="s">
        <v>3516</v>
      </c>
      <c r="J8" s="0" t="s">
        <v>3517</v>
      </c>
      <c r="K8" s="0" t="s">
        <v>3518</v>
      </c>
      <c r="L8" s="0" t="s">
        <v>3518</v>
      </c>
      <c r="M8" s="0" t="s">
        <v>3519</v>
      </c>
      <c r="N8" s="0" t="s">
        <v>3520</v>
      </c>
      <c r="O8" s="0" t="s">
        <v>3521</v>
      </c>
      <c r="P8" s="0" t="s">
        <v>145</v>
      </c>
      <c r="Q8" s="0" t="s">
        <v>240</v>
      </c>
      <c r="R8" s="0" t="b">
        <v>0</v>
      </c>
      <c r="S8" s="0" t="s">
        <v>3454</v>
      </c>
    </row>
    <row customHeight="1" ht="11.25">
      <c r="A9" s="0">
        <v>2655</v>
      </c>
      <c r="B9" s="0" t="s">
        <v>102</v>
      </c>
      <c r="C9" s="0">
        <v>26824672</v>
      </c>
      <c r="D9" s="0" t="s">
        <v>3522</v>
      </c>
      <c r="E9" s="0" t="s">
        <v>3523</v>
      </c>
      <c r="F9" s="0" t="s">
        <v>3524</v>
      </c>
      <c r="G9" s="0" t="s">
        <v>3525</v>
      </c>
      <c r="H9" s="0" t="s">
        <v>3526</v>
      </c>
      <c r="I9" s="0" t="s">
        <v>240</v>
      </c>
      <c r="J9" s="0" t="s">
        <v>3517</v>
      </c>
      <c r="K9" s="0" t="s">
        <v>3527</v>
      </c>
      <c r="L9" s="0" t="s">
        <v>3528</v>
      </c>
      <c r="M9" s="0" t="s">
        <v>3529</v>
      </c>
      <c r="N9" s="0" t="s">
        <v>3530</v>
      </c>
      <c r="O9" s="0" t="s">
        <v>240</v>
      </c>
      <c r="P9" s="0" t="s">
        <v>3531</v>
      </c>
      <c r="Q9" s="0" t="s">
        <v>240</v>
      </c>
      <c r="R9" s="0" t="b">
        <v>0</v>
      </c>
      <c r="S9" s="0" t="s">
        <v>3454</v>
      </c>
    </row>
    <row customHeight="1" ht="11.25">
      <c r="A10" s="0">
        <v>2655</v>
      </c>
      <c r="B10" s="0" t="s">
        <v>102</v>
      </c>
      <c r="C10" s="0">
        <v>31826293</v>
      </c>
      <c r="D10" s="0" t="s">
        <v>3532</v>
      </c>
      <c r="E10" s="0" t="s">
        <v>3533</v>
      </c>
      <c r="F10" s="0" t="s">
        <v>3534</v>
      </c>
      <c r="G10" s="0" t="s">
        <v>3535</v>
      </c>
      <c r="H10" s="0" t="s">
        <v>3536</v>
      </c>
      <c r="I10" s="0" t="s">
        <v>3537</v>
      </c>
      <c r="K10" s="0" t="s">
        <v>3538</v>
      </c>
      <c r="L10" s="0" t="s">
        <v>3539</v>
      </c>
      <c r="M10" s="0" t="s">
        <v>3540</v>
      </c>
      <c r="N10" s="0" t="s">
        <v>3541</v>
      </c>
      <c r="O10" s="0" t="s">
        <v>3542</v>
      </c>
      <c r="P10" s="0" t="s">
        <v>3543</v>
      </c>
      <c r="Q10" s="0" t="s">
        <v>240</v>
      </c>
      <c r="R10" s="0" t="b">
        <v>0</v>
      </c>
      <c r="S10" s="0" t="s">
        <v>3454</v>
      </c>
    </row>
    <row customHeight="1" ht="11.25">
      <c r="A11" s="0">
        <v>2655</v>
      </c>
      <c r="B11" s="0" t="s">
        <v>102</v>
      </c>
      <c r="C11" s="0">
        <v>26322867</v>
      </c>
      <c r="D11" s="0" t="s">
        <v>3544</v>
      </c>
      <c r="E11" s="0" t="s">
        <v>3545</v>
      </c>
      <c r="F11" s="0" t="s">
        <v>3546</v>
      </c>
      <c r="G11" s="0" t="s">
        <v>3491</v>
      </c>
      <c r="H11" s="0" t="s">
        <v>3547</v>
      </c>
      <c r="I11" s="0" t="s">
        <v>3548</v>
      </c>
      <c r="J11" s="0" t="s">
        <v>3446</v>
      </c>
      <c r="K11" s="0" t="s">
        <v>3549</v>
      </c>
      <c r="L11" s="0" t="s">
        <v>3549</v>
      </c>
      <c r="M11" s="0" t="s">
        <v>3550</v>
      </c>
      <c r="N11" s="0" t="s">
        <v>3551</v>
      </c>
      <c r="O11" s="0" t="s">
        <v>3552</v>
      </c>
      <c r="P11" s="0" t="s">
        <v>145</v>
      </c>
      <c r="Q11" s="0" t="s">
        <v>3553</v>
      </c>
      <c r="R11" s="0" t="b">
        <v>0</v>
      </c>
      <c r="S11" s="0" t="s">
        <v>3454</v>
      </c>
    </row>
    <row customHeight="1" ht="11.25">
      <c r="A12" s="0">
        <v>2655</v>
      </c>
      <c r="B12" s="0" t="s">
        <v>102</v>
      </c>
      <c r="C12" s="0">
        <v>26824651</v>
      </c>
      <c r="D12" s="0" t="s">
        <v>3554</v>
      </c>
      <c r="E12" s="0" t="s">
        <v>3555</v>
      </c>
      <c r="F12" s="0" t="s">
        <v>3524</v>
      </c>
      <c r="G12" s="0" t="s">
        <v>3556</v>
      </c>
      <c r="H12" s="0" t="s">
        <v>3526</v>
      </c>
      <c r="I12" s="0" t="s">
        <v>240</v>
      </c>
      <c r="J12" s="0" t="s">
        <v>3446</v>
      </c>
      <c r="K12" s="0" t="s">
        <v>3557</v>
      </c>
      <c r="L12" s="0" t="s">
        <v>3558</v>
      </c>
      <c r="M12" s="0" t="s">
        <v>3559</v>
      </c>
      <c r="N12" s="0" t="s">
        <v>3560</v>
      </c>
      <c r="O12" s="0" t="s">
        <v>3561</v>
      </c>
      <c r="P12" s="0" t="s">
        <v>3562</v>
      </c>
      <c r="Q12" s="0" t="s">
        <v>240</v>
      </c>
      <c r="R12" s="0" t="b">
        <v>0</v>
      </c>
      <c r="S12" s="0" t="s">
        <v>3454</v>
      </c>
    </row>
    <row customHeight="1" ht="11.25">
      <c r="A13" s="0">
        <v>2655</v>
      </c>
      <c r="B13" s="0" t="s">
        <v>102</v>
      </c>
      <c r="C13" s="0">
        <v>26824396</v>
      </c>
      <c r="D13" s="0" t="s">
        <v>3563</v>
      </c>
      <c r="E13" s="0" t="s">
        <v>3564</v>
      </c>
      <c r="F13" s="0" t="s">
        <v>3524</v>
      </c>
      <c r="G13" s="0" t="s">
        <v>3565</v>
      </c>
      <c r="H13" s="0" t="s">
        <v>3526</v>
      </c>
      <c r="I13" s="0" t="s">
        <v>240</v>
      </c>
      <c r="J13" s="0" t="s">
        <v>3517</v>
      </c>
      <c r="K13" s="0" t="s">
        <v>3566</v>
      </c>
      <c r="L13" s="0" t="s">
        <v>3566</v>
      </c>
      <c r="M13" s="0" t="s">
        <v>3567</v>
      </c>
      <c r="N13" s="0" t="s">
        <v>240</v>
      </c>
      <c r="O13" s="0" t="s">
        <v>3568</v>
      </c>
      <c r="P13" s="0" t="s">
        <v>3562</v>
      </c>
      <c r="Q13" s="0" t="s">
        <v>240</v>
      </c>
      <c r="R13" s="0" t="b">
        <v>0</v>
      </c>
      <c r="S13" s="0" t="s">
        <v>3454</v>
      </c>
    </row>
    <row customHeight="1" ht="11.25">
      <c r="A14" s="0">
        <v>2655</v>
      </c>
      <c r="B14" s="0" t="s">
        <v>102</v>
      </c>
      <c r="C14" s="0">
        <v>31232672</v>
      </c>
      <c r="D14" s="0" t="s">
        <v>3569</v>
      </c>
      <c r="E14" s="0" t="s">
        <v>3570</v>
      </c>
      <c r="F14" s="0" t="s">
        <v>3571</v>
      </c>
      <c r="G14" s="0" t="s">
        <v>3572</v>
      </c>
      <c r="H14" s="0" t="s">
        <v>3573</v>
      </c>
      <c r="I14" s="0" t="s">
        <v>3574</v>
      </c>
      <c r="J14" s="0" t="s">
        <v>3575</v>
      </c>
      <c r="K14" s="0" t="s">
        <v>3576</v>
      </c>
      <c r="L14" s="0" t="s">
        <v>3576</v>
      </c>
      <c r="M14" s="0" t="s">
        <v>3577</v>
      </c>
      <c r="N14" s="0" t="s">
        <v>3578</v>
      </c>
      <c r="O14" s="0" t="s">
        <v>3579</v>
      </c>
      <c r="P14" s="0" t="s">
        <v>3580</v>
      </c>
      <c r="Q14" s="0" t="s">
        <v>240</v>
      </c>
      <c r="R14" s="0" t="b">
        <v>0</v>
      </c>
      <c r="S14" s="0" t="s">
        <v>3454</v>
      </c>
    </row>
    <row customHeight="1" ht="11.25">
      <c r="A15" s="0">
        <v>2655</v>
      </c>
      <c r="B15" s="0" t="s">
        <v>102</v>
      </c>
      <c r="C15" s="0">
        <v>31387447</v>
      </c>
      <c r="D15" s="0" t="s">
        <v>3581</v>
      </c>
      <c r="E15" s="0" t="s">
        <v>3582</v>
      </c>
      <c r="F15" s="0" t="s">
        <v>3583</v>
      </c>
      <c r="G15" s="0" t="s">
        <v>3584</v>
      </c>
      <c r="H15" s="0" t="s">
        <v>3585</v>
      </c>
      <c r="I15" s="0" t="s">
        <v>3586</v>
      </c>
      <c r="J15" s="0" t="s">
        <v>3587</v>
      </c>
      <c r="K15" s="0" t="s">
        <v>3588</v>
      </c>
      <c r="L15" s="0" t="s">
        <v>3588</v>
      </c>
      <c r="M15" s="0" t="s">
        <v>3589</v>
      </c>
      <c r="N15" s="0" t="s">
        <v>3590</v>
      </c>
      <c r="O15" s="0" t="s">
        <v>3591</v>
      </c>
      <c r="P15" s="0" t="s">
        <v>3580</v>
      </c>
      <c r="Q15" s="0" t="s">
        <v>240</v>
      </c>
      <c r="R15" s="0" t="b">
        <v>0</v>
      </c>
      <c r="S15" s="0" t="s">
        <v>3454</v>
      </c>
    </row>
    <row customHeight="1" ht="11.25">
      <c r="A16" s="0">
        <v>2655</v>
      </c>
      <c r="B16" s="0" t="s">
        <v>102</v>
      </c>
      <c r="C16" s="0">
        <v>31905805</v>
      </c>
      <c r="D16" s="0" t="s">
        <v>3592</v>
      </c>
      <c r="E16" s="0" t="s">
        <v>3593</v>
      </c>
      <c r="F16" s="0" t="s">
        <v>3594</v>
      </c>
      <c r="G16" s="0" t="s">
        <v>3595</v>
      </c>
      <c r="H16" s="0" t="s">
        <v>3596</v>
      </c>
      <c r="I16" s="0" t="s">
        <v>3597</v>
      </c>
      <c r="K16" s="0" t="s">
        <v>3598</v>
      </c>
      <c r="L16" s="0" t="s">
        <v>3598</v>
      </c>
      <c r="M16" s="0" t="s">
        <v>3599</v>
      </c>
      <c r="N16" s="0" t="s">
        <v>3600</v>
      </c>
      <c r="O16" s="0" t="s">
        <v>3601</v>
      </c>
      <c r="P16" s="0" t="s">
        <v>3602</v>
      </c>
      <c r="Q16" s="0" t="s">
        <v>240</v>
      </c>
      <c r="R16" s="0" t="b">
        <v>0</v>
      </c>
      <c r="S16" s="0" t="s">
        <v>3454</v>
      </c>
    </row>
    <row customHeight="1" ht="11.25">
      <c r="A17" s="0">
        <v>2655</v>
      </c>
      <c r="B17" s="0" t="s">
        <v>102</v>
      </c>
      <c r="C17" s="0">
        <v>30808700</v>
      </c>
      <c r="D17" s="0" t="s">
        <v>3603</v>
      </c>
      <c r="E17" s="0" t="s">
        <v>3604</v>
      </c>
      <c r="F17" s="0" t="s">
        <v>3605</v>
      </c>
      <c r="G17" s="0" t="s">
        <v>3525</v>
      </c>
      <c r="H17" s="0" t="s">
        <v>3606</v>
      </c>
      <c r="I17" s="0" t="s">
        <v>3607</v>
      </c>
      <c r="J17" s="0" t="s">
        <v>3587</v>
      </c>
      <c r="K17" s="0" t="s">
        <v>3608</v>
      </c>
      <c r="L17" s="0" t="s">
        <v>3609</v>
      </c>
      <c r="M17" s="0" t="s">
        <v>3610</v>
      </c>
      <c r="N17" s="0" t="s">
        <v>3611</v>
      </c>
      <c r="O17" s="0" t="s">
        <v>3612</v>
      </c>
      <c r="P17" s="0" t="s">
        <v>3613</v>
      </c>
      <c r="Q17" s="0" t="s">
        <v>240</v>
      </c>
      <c r="R17" s="0" t="b">
        <v>1</v>
      </c>
      <c r="S17" s="0" t="s">
        <v>3454</v>
      </c>
    </row>
    <row customHeight="1" ht="11.25">
      <c r="A18" s="0">
        <v>2655</v>
      </c>
      <c r="B18" s="0" t="s">
        <v>102</v>
      </c>
      <c r="C18" s="0">
        <v>31319221</v>
      </c>
      <c r="D18" s="0" t="s">
        <v>3614</v>
      </c>
      <c r="E18" s="0" t="s">
        <v>3615</v>
      </c>
      <c r="F18" s="0" t="s">
        <v>3616</v>
      </c>
      <c r="G18" s="0" t="s">
        <v>3584</v>
      </c>
      <c r="H18" s="0" t="s">
        <v>3617</v>
      </c>
      <c r="I18" s="0" t="s">
        <v>3618</v>
      </c>
      <c r="J18" s="0" t="s">
        <v>3575</v>
      </c>
      <c r="K18" s="0" t="s">
        <v>3619</v>
      </c>
      <c r="L18" s="0" t="s">
        <v>3619</v>
      </c>
      <c r="M18" s="0" t="s">
        <v>3620</v>
      </c>
      <c r="N18" s="0" t="s">
        <v>3621</v>
      </c>
      <c r="O18" s="0" t="s">
        <v>3622</v>
      </c>
      <c r="P18" s="0" t="s">
        <v>3580</v>
      </c>
      <c r="Q18" s="0" t="s">
        <v>3623</v>
      </c>
      <c r="R18" s="0" t="b">
        <v>0</v>
      </c>
      <c r="S18" s="0" t="s">
        <v>3454</v>
      </c>
    </row>
    <row customHeight="1" ht="11.25">
      <c r="A19" s="0">
        <v>2655</v>
      </c>
      <c r="B19" s="0" t="s">
        <v>102</v>
      </c>
      <c r="C19" s="0">
        <v>31419990</v>
      </c>
      <c r="D19" s="0" t="s">
        <v>3624</v>
      </c>
      <c r="E19" s="0" t="s">
        <v>3625</v>
      </c>
      <c r="F19" s="0" t="s">
        <v>3626</v>
      </c>
      <c r="G19" s="0" t="s">
        <v>3595</v>
      </c>
      <c r="H19" s="0" t="s">
        <v>3627</v>
      </c>
      <c r="I19" s="0" t="s">
        <v>3628</v>
      </c>
      <c r="J19" s="0" t="s">
        <v>3575</v>
      </c>
      <c r="K19" s="0" t="s">
        <v>3629</v>
      </c>
      <c r="L19" s="0" t="s">
        <v>3629</v>
      </c>
      <c r="M19" s="0" t="s">
        <v>3630</v>
      </c>
      <c r="N19" s="0" t="s">
        <v>3631</v>
      </c>
      <c r="O19" s="0" t="s">
        <v>3632</v>
      </c>
      <c r="P19" s="0" t="s">
        <v>3580</v>
      </c>
      <c r="Q19" s="0" t="s">
        <v>3633</v>
      </c>
      <c r="R19" s="0" t="b">
        <v>0</v>
      </c>
      <c r="S19" s="0" t="s">
        <v>3454</v>
      </c>
    </row>
    <row customHeight="1" ht="11.25">
      <c r="A20" s="0">
        <v>2655</v>
      </c>
      <c r="B20" s="0" t="s">
        <v>102</v>
      </c>
      <c r="C20" s="0">
        <v>31343443</v>
      </c>
      <c r="D20" s="0" t="s">
        <v>3634</v>
      </c>
      <c r="E20" s="0" t="s">
        <v>3635</v>
      </c>
      <c r="F20" s="0" t="s">
        <v>3636</v>
      </c>
      <c r="G20" s="0" t="s">
        <v>3525</v>
      </c>
      <c r="H20" s="0" t="s">
        <v>3637</v>
      </c>
      <c r="I20" s="0" t="s">
        <v>3638</v>
      </c>
      <c r="J20" s="0" t="s">
        <v>3575</v>
      </c>
      <c r="K20" s="0" t="s">
        <v>3639</v>
      </c>
      <c r="L20" s="0" t="s">
        <v>3639</v>
      </c>
      <c r="N20" s="0" t="s">
        <v>3640</v>
      </c>
      <c r="O20" s="0" t="s">
        <v>3641</v>
      </c>
      <c r="P20" s="0" t="s">
        <v>3613</v>
      </c>
      <c r="R20" s="0" t="b">
        <v>0</v>
      </c>
      <c r="S20" s="0" t="s">
        <v>3454</v>
      </c>
    </row>
    <row customHeight="1" ht="11.25">
      <c r="A21" s="0">
        <v>2655</v>
      </c>
      <c r="B21" s="0" t="s">
        <v>102</v>
      </c>
      <c r="C21" s="0">
        <v>31367841</v>
      </c>
      <c r="D21" s="0" t="s">
        <v>3642</v>
      </c>
      <c r="E21" s="0" t="s">
        <v>3643</v>
      </c>
      <c r="F21" s="0" t="s">
        <v>3644</v>
      </c>
      <c r="G21" s="0" t="s">
        <v>3645</v>
      </c>
      <c r="H21" s="0" t="s">
        <v>3646</v>
      </c>
      <c r="I21" s="0" t="s">
        <v>3647</v>
      </c>
      <c r="J21" s="0" t="s">
        <v>3587</v>
      </c>
      <c r="K21" s="0" t="s">
        <v>3648</v>
      </c>
      <c r="L21" s="0" t="s">
        <v>3648</v>
      </c>
      <c r="M21" s="0" t="s">
        <v>240</v>
      </c>
      <c r="N21" s="0" t="s">
        <v>3649</v>
      </c>
      <c r="O21" s="0" t="s">
        <v>3650</v>
      </c>
      <c r="P21" s="0" t="s">
        <v>3580</v>
      </c>
      <c r="Q21" s="0" t="s">
        <v>240</v>
      </c>
      <c r="R21" s="0" t="b">
        <v>0</v>
      </c>
      <c r="S21" s="0" t="s">
        <v>3454</v>
      </c>
    </row>
    <row customHeight="1" ht="11.25">
      <c r="A22" s="0">
        <v>2655</v>
      </c>
      <c r="B22" s="0" t="s">
        <v>102</v>
      </c>
      <c r="C22" s="0">
        <v>31087651</v>
      </c>
      <c r="D22" s="0" t="s">
        <v>3651</v>
      </c>
      <c r="E22" s="0" t="s">
        <v>3652</v>
      </c>
      <c r="F22" s="0" t="s">
        <v>3653</v>
      </c>
      <c r="G22" s="0" t="s">
        <v>3654</v>
      </c>
      <c r="H22" s="0" t="s">
        <v>3655</v>
      </c>
      <c r="I22" s="0" t="s">
        <v>3656</v>
      </c>
      <c r="J22" s="0" t="s">
        <v>3575</v>
      </c>
      <c r="K22" s="0" t="s">
        <v>3657</v>
      </c>
      <c r="L22" s="0" t="s">
        <v>3657</v>
      </c>
      <c r="M22" s="0" t="s">
        <v>3658</v>
      </c>
      <c r="N22" s="0" t="s">
        <v>3659</v>
      </c>
      <c r="O22" s="0" t="s">
        <v>3660</v>
      </c>
      <c r="R22" s="0" t="b">
        <v>0</v>
      </c>
      <c r="S22" s="0" t="s">
        <v>3454</v>
      </c>
    </row>
    <row customHeight="1" ht="11.25">
      <c r="A23" s="0">
        <v>2655</v>
      </c>
      <c r="B23" s="0" t="s">
        <v>102</v>
      </c>
      <c r="C23" s="0">
        <v>31367862</v>
      </c>
      <c r="D23" s="0" t="s">
        <v>3661</v>
      </c>
      <c r="E23" s="0" t="s">
        <v>3662</v>
      </c>
      <c r="F23" s="0" t="s">
        <v>3663</v>
      </c>
      <c r="G23" s="0" t="s">
        <v>3645</v>
      </c>
      <c r="H23" s="0" t="s">
        <v>3664</v>
      </c>
      <c r="I23" s="0" t="s">
        <v>3665</v>
      </c>
      <c r="J23" s="0" t="s">
        <v>3575</v>
      </c>
      <c r="K23" s="0" t="s">
        <v>3666</v>
      </c>
      <c r="L23" s="0" t="s">
        <v>3666</v>
      </c>
      <c r="M23" s="0" t="s">
        <v>240</v>
      </c>
      <c r="N23" s="0" t="s">
        <v>3667</v>
      </c>
      <c r="O23" s="0" t="s">
        <v>3668</v>
      </c>
      <c r="P23" s="0" t="s">
        <v>3580</v>
      </c>
      <c r="Q23" s="0" t="s">
        <v>240</v>
      </c>
      <c r="R23" s="0" t="b">
        <v>0</v>
      </c>
      <c r="S23" s="0" t="s">
        <v>3454</v>
      </c>
    </row>
    <row customHeight="1" ht="11.25">
      <c r="A24" s="0">
        <v>2655</v>
      </c>
      <c r="B24" s="0" t="s">
        <v>102</v>
      </c>
      <c r="C24" s="0">
        <v>26486390</v>
      </c>
      <c r="D24" s="0" t="s">
        <v>3669</v>
      </c>
      <c r="E24" s="0" t="s">
        <v>3670</v>
      </c>
      <c r="F24" s="0" t="s">
        <v>3671</v>
      </c>
      <c r="G24" s="0" t="s">
        <v>3672</v>
      </c>
      <c r="H24" s="0" t="s">
        <v>3673</v>
      </c>
      <c r="I24" s="0" t="s">
        <v>3674</v>
      </c>
      <c r="J24" s="0" t="s">
        <v>3587</v>
      </c>
      <c r="K24" s="0" t="s">
        <v>3675</v>
      </c>
      <c r="L24" s="0" t="s">
        <v>3675</v>
      </c>
      <c r="M24" s="0" t="s">
        <v>3676</v>
      </c>
      <c r="N24" s="0" t="s">
        <v>3677</v>
      </c>
      <c r="O24" s="0" t="s">
        <v>3678</v>
      </c>
      <c r="P24" s="0" t="s">
        <v>3679</v>
      </c>
      <c r="Q24" s="0" t="s">
        <v>240</v>
      </c>
      <c r="R24" s="0" t="b">
        <v>0</v>
      </c>
      <c r="S24" s="0" t="s">
        <v>3454</v>
      </c>
    </row>
    <row customHeight="1" ht="11.25">
      <c r="A25" s="0">
        <v>2655</v>
      </c>
      <c r="B25" s="0" t="s">
        <v>102</v>
      </c>
      <c r="C25" s="0">
        <v>27977465</v>
      </c>
      <c r="D25" s="0" t="s">
        <v>3680</v>
      </c>
      <c r="E25" s="0" t="s">
        <v>3681</v>
      </c>
      <c r="F25" s="0" t="s">
        <v>3682</v>
      </c>
      <c r="G25" s="0" t="s">
        <v>3683</v>
      </c>
      <c r="H25" s="0" t="s">
        <v>3684</v>
      </c>
      <c r="I25" s="0" t="s">
        <v>3685</v>
      </c>
      <c r="K25" s="0" t="s">
        <v>3686</v>
      </c>
      <c r="L25" s="0" t="s">
        <v>3686</v>
      </c>
      <c r="M25" s="0" t="s">
        <v>3687</v>
      </c>
      <c r="N25" s="0" t="s">
        <v>3688</v>
      </c>
      <c r="O25" s="0" t="s">
        <v>3689</v>
      </c>
      <c r="P25" s="0" t="s">
        <v>3613</v>
      </c>
      <c r="Q25" s="0" t="s">
        <v>3690</v>
      </c>
      <c r="R25" s="0" t="b">
        <v>0</v>
      </c>
      <c r="S25" s="0" t="s">
        <v>3454</v>
      </c>
    </row>
    <row customHeight="1" ht="11.25">
      <c r="A26" s="0">
        <v>2655</v>
      </c>
      <c r="B26" s="0" t="s">
        <v>102</v>
      </c>
      <c r="C26" s="0">
        <v>31003143</v>
      </c>
      <c r="D26" s="0" t="s">
        <v>3691</v>
      </c>
      <c r="E26" s="0" t="s">
        <v>3692</v>
      </c>
      <c r="F26" s="0" t="s">
        <v>3693</v>
      </c>
      <c r="G26" s="0" t="s">
        <v>3683</v>
      </c>
      <c r="H26" s="0" t="s">
        <v>3694</v>
      </c>
      <c r="I26" s="0" t="s">
        <v>3695</v>
      </c>
      <c r="J26" s="0" t="s">
        <v>3587</v>
      </c>
      <c r="K26" s="0" t="s">
        <v>3696</v>
      </c>
      <c r="L26" s="0" t="s">
        <v>3697</v>
      </c>
      <c r="M26" s="0" t="s">
        <v>3698</v>
      </c>
      <c r="N26" s="0" t="s">
        <v>3699</v>
      </c>
      <c r="O26" s="0" t="s">
        <v>3700</v>
      </c>
      <c r="P26" s="0" t="s">
        <v>3580</v>
      </c>
      <c r="Q26" s="0" t="s">
        <v>240</v>
      </c>
      <c r="R26" s="0" t="b">
        <v>1</v>
      </c>
      <c r="S26" s="0" t="s">
        <v>3454</v>
      </c>
    </row>
    <row customHeight="1" ht="11.25">
      <c r="A27" s="0">
        <v>2655</v>
      </c>
      <c r="B27" s="0" t="s">
        <v>102</v>
      </c>
      <c r="C27" s="0">
        <v>31308226</v>
      </c>
      <c r="D27" s="0" t="s">
        <v>3701</v>
      </c>
      <c r="E27" s="0" t="s">
        <v>3702</v>
      </c>
      <c r="F27" s="0" t="s">
        <v>3703</v>
      </c>
      <c r="G27" s="0" t="s">
        <v>3704</v>
      </c>
      <c r="H27" s="0" t="s">
        <v>3705</v>
      </c>
      <c r="I27" s="0" t="s">
        <v>3706</v>
      </c>
      <c r="J27" s="0" t="s">
        <v>3587</v>
      </c>
      <c r="K27" s="0" t="s">
        <v>3707</v>
      </c>
      <c r="L27" s="0" t="s">
        <v>3707</v>
      </c>
      <c r="M27" s="0" t="s">
        <v>3708</v>
      </c>
      <c r="N27" s="0" t="s">
        <v>3709</v>
      </c>
      <c r="O27" s="0" t="s">
        <v>3710</v>
      </c>
      <c r="P27" s="0" t="s">
        <v>3613</v>
      </c>
      <c r="Q27" s="0" t="s">
        <v>240</v>
      </c>
      <c r="R27" s="0" t="b">
        <v>1</v>
      </c>
      <c r="S27" s="0" t="s">
        <v>3454</v>
      </c>
    </row>
    <row customHeight="1" ht="11.25">
      <c r="A28" s="0">
        <v>2655</v>
      </c>
      <c r="B28" s="0" t="s">
        <v>102</v>
      </c>
      <c r="C28" s="0">
        <v>31284269</v>
      </c>
      <c r="D28" s="0" t="s">
        <v>3711</v>
      </c>
      <c r="E28" s="0" t="s">
        <v>3712</v>
      </c>
      <c r="F28" s="0" t="s">
        <v>3713</v>
      </c>
      <c r="G28" s="0" t="s">
        <v>3654</v>
      </c>
      <c r="H28" s="0" t="s">
        <v>3714</v>
      </c>
      <c r="I28" s="0" t="s">
        <v>3715</v>
      </c>
      <c r="J28" s="0" t="s">
        <v>3587</v>
      </c>
      <c r="K28" s="0" t="s">
        <v>3716</v>
      </c>
      <c r="L28" s="0" t="s">
        <v>3717</v>
      </c>
      <c r="M28" s="0" t="s">
        <v>3718</v>
      </c>
      <c r="N28" s="0" t="s">
        <v>3719</v>
      </c>
      <c r="O28" s="0" t="s">
        <v>3720</v>
      </c>
      <c r="P28" s="0" t="s">
        <v>3580</v>
      </c>
      <c r="Q28" s="0" t="s">
        <v>240</v>
      </c>
      <c r="R28" s="0" t="b">
        <v>0</v>
      </c>
      <c r="S28" s="0" t="s">
        <v>3454</v>
      </c>
    </row>
    <row customHeight="1" ht="11.25">
      <c r="A29" s="0">
        <v>2655</v>
      </c>
      <c r="B29" s="0" t="s">
        <v>102</v>
      </c>
      <c r="C29" s="0">
        <v>31241680</v>
      </c>
      <c r="D29" s="0" t="s">
        <v>3721</v>
      </c>
      <c r="E29" s="0" t="s">
        <v>3722</v>
      </c>
      <c r="F29" s="0" t="s">
        <v>3723</v>
      </c>
      <c r="G29" s="0" t="s">
        <v>3595</v>
      </c>
      <c r="H29" s="0" t="s">
        <v>3724</v>
      </c>
      <c r="I29" s="0" t="s">
        <v>3725</v>
      </c>
      <c r="J29" s="0" t="s">
        <v>3587</v>
      </c>
      <c r="K29" s="0" t="s">
        <v>3726</v>
      </c>
      <c r="L29" s="0" t="s">
        <v>3726</v>
      </c>
      <c r="M29" s="0" t="s">
        <v>3727</v>
      </c>
      <c r="N29" s="0" t="s">
        <v>3728</v>
      </c>
      <c r="O29" s="0" t="s">
        <v>3729</v>
      </c>
      <c r="P29" s="0" t="s">
        <v>3613</v>
      </c>
      <c r="Q29" s="0" t="s">
        <v>3730</v>
      </c>
      <c r="R29" s="0" t="b">
        <v>0</v>
      </c>
      <c r="S29" s="0" t="s">
        <v>3454</v>
      </c>
    </row>
    <row customHeight="1" ht="11.25">
      <c r="A30" s="0">
        <v>2655</v>
      </c>
      <c r="B30" s="0" t="s">
        <v>102</v>
      </c>
      <c r="C30" s="0">
        <v>31579664</v>
      </c>
      <c r="D30" s="0" t="s">
        <v>3731</v>
      </c>
      <c r="E30" s="0" t="s">
        <v>3732</v>
      </c>
      <c r="F30" s="0" t="s">
        <v>3733</v>
      </c>
      <c r="G30" s="0" t="s">
        <v>3525</v>
      </c>
      <c r="H30" s="0" t="s">
        <v>3734</v>
      </c>
      <c r="I30" s="0" t="s">
        <v>3735</v>
      </c>
      <c r="K30" s="0" t="s">
        <v>3736</v>
      </c>
      <c r="L30" s="0" t="s">
        <v>3737</v>
      </c>
      <c r="M30" s="0" t="s">
        <v>3738</v>
      </c>
      <c r="N30" s="0" t="s">
        <v>3739</v>
      </c>
      <c r="O30" s="0" t="s">
        <v>3740</v>
      </c>
      <c r="P30" s="0" t="s">
        <v>3580</v>
      </c>
      <c r="Q30" s="0" t="s">
        <v>3739</v>
      </c>
      <c r="R30" s="0" t="b">
        <v>1</v>
      </c>
      <c r="S30" s="0" t="s">
        <v>3454</v>
      </c>
    </row>
    <row customHeight="1" ht="11.25">
      <c r="A31" s="0">
        <v>2655</v>
      </c>
      <c r="B31" s="0" t="s">
        <v>102</v>
      </c>
      <c r="C31" s="0">
        <v>26322895</v>
      </c>
      <c r="D31" s="0" t="s">
        <v>112</v>
      </c>
      <c r="E31" s="0" t="s">
        <v>115</v>
      </c>
      <c r="F31" s="0" t="s">
        <v>121</v>
      </c>
      <c r="G31" s="0" t="s">
        <v>123</v>
      </c>
      <c r="H31" s="0" t="s">
        <v>119</v>
      </c>
      <c r="I31" s="0" t="s">
        <v>125</v>
      </c>
      <c r="J31" s="0" t="s">
        <v>3517</v>
      </c>
      <c r="K31" s="0" t="s">
        <v>131</v>
      </c>
      <c r="L31" s="0" t="s">
        <v>131</v>
      </c>
      <c r="M31" s="0" t="s">
        <v>136</v>
      </c>
      <c r="N31" s="0" t="s">
        <v>139</v>
      </c>
      <c r="O31" s="0" t="s">
        <v>142</v>
      </c>
      <c r="P31" s="0" t="s">
        <v>145</v>
      </c>
      <c r="Q31" s="0" t="s">
        <v>148</v>
      </c>
      <c r="R31" s="0" t="b">
        <v>0</v>
      </c>
      <c r="S31" s="0" t="s">
        <v>3454</v>
      </c>
    </row>
    <row customHeight="1" ht="11.25">
      <c r="A32" s="0">
        <v>2655</v>
      </c>
      <c r="B32" s="0" t="s">
        <v>102</v>
      </c>
      <c r="C32" s="0">
        <v>28119331</v>
      </c>
      <c r="D32" s="0" t="s">
        <v>3741</v>
      </c>
      <c r="E32" s="0" t="s">
        <v>3742</v>
      </c>
      <c r="F32" s="0" t="s">
        <v>3743</v>
      </c>
      <c r="G32" s="0" t="s">
        <v>123</v>
      </c>
      <c r="H32" s="0" t="s">
        <v>3744</v>
      </c>
      <c r="I32" s="0" t="s">
        <v>240</v>
      </c>
      <c r="J32" s="0" t="s">
        <v>3745</v>
      </c>
      <c r="K32" s="0" t="s">
        <v>3746</v>
      </c>
      <c r="L32" s="0" t="s">
        <v>3746</v>
      </c>
      <c r="M32" s="0" t="s">
        <v>3747</v>
      </c>
      <c r="N32" s="0" t="s">
        <v>240</v>
      </c>
      <c r="O32" s="0" t="s">
        <v>3748</v>
      </c>
      <c r="P32" s="0" t="s">
        <v>3613</v>
      </c>
      <c r="Q32" s="0" t="s">
        <v>240</v>
      </c>
      <c r="R32" s="0" t="b">
        <v>1</v>
      </c>
      <c r="S32" s="0" t="s">
        <v>3454</v>
      </c>
    </row>
    <row customHeight="1" ht="11.25">
      <c r="A33" s="0">
        <v>2655</v>
      </c>
      <c r="B33" s="0" t="s">
        <v>102</v>
      </c>
      <c r="C33" s="0">
        <v>31775146</v>
      </c>
      <c r="D33" s="0" t="s">
        <v>3749</v>
      </c>
      <c r="E33" s="0" t="s">
        <v>3750</v>
      </c>
      <c r="F33" s="0" t="s">
        <v>3751</v>
      </c>
      <c r="G33" s="0" t="s">
        <v>3752</v>
      </c>
      <c r="H33" s="0" t="s">
        <v>3753</v>
      </c>
      <c r="I33" s="0" t="s">
        <v>3754</v>
      </c>
      <c r="K33" s="0" t="s">
        <v>3755</v>
      </c>
      <c r="L33" s="0" t="s">
        <v>3755</v>
      </c>
      <c r="M33" s="0" t="s">
        <v>3756</v>
      </c>
      <c r="N33" s="0" t="s">
        <v>3757</v>
      </c>
      <c r="O33" s="0" t="s">
        <v>3758</v>
      </c>
      <c r="P33" s="0" t="s">
        <v>3613</v>
      </c>
      <c r="Q33" s="0" t="s">
        <v>240</v>
      </c>
      <c r="R33" s="0" t="b">
        <v>1</v>
      </c>
      <c r="S33" s="0" t="s">
        <v>3454</v>
      </c>
    </row>
    <row customHeight="1" ht="11.25">
      <c r="A34" s="0">
        <v>2655</v>
      </c>
      <c r="B34" s="0" t="s">
        <v>102</v>
      </c>
      <c r="C34" s="0">
        <v>28869965</v>
      </c>
      <c r="D34" s="0" t="s">
        <v>3759</v>
      </c>
      <c r="E34" s="0" t="s">
        <v>3760</v>
      </c>
      <c r="F34" s="0" t="s">
        <v>3761</v>
      </c>
      <c r="G34" s="0" t="s">
        <v>3572</v>
      </c>
      <c r="H34" s="0" t="s">
        <v>3762</v>
      </c>
      <c r="I34" s="0" t="s">
        <v>240</v>
      </c>
      <c r="J34" s="0" t="s">
        <v>3745</v>
      </c>
      <c r="K34" s="0" t="s">
        <v>3763</v>
      </c>
      <c r="L34" s="0" t="s">
        <v>3763</v>
      </c>
      <c r="M34" s="0" t="s">
        <v>3764</v>
      </c>
      <c r="N34" s="0" t="s">
        <v>3765</v>
      </c>
      <c r="O34" s="0" t="s">
        <v>3766</v>
      </c>
      <c r="P34" s="0" t="s">
        <v>145</v>
      </c>
      <c r="Q34" s="0" t="s">
        <v>3767</v>
      </c>
      <c r="R34" s="0" t="b">
        <v>0</v>
      </c>
      <c r="S34" s="0" t="s">
        <v>3454</v>
      </c>
    </row>
    <row customHeight="1" ht="11.25">
      <c r="A35" s="0">
        <v>2655</v>
      </c>
      <c r="B35" s="0" t="s">
        <v>102</v>
      </c>
      <c r="C35" s="0">
        <v>31356597</v>
      </c>
      <c r="D35" s="0" t="s">
        <v>3768</v>
      </c>
      <c r="E35" s="0" t="s">
        <v>3769</v>
      </c>
      <c r="F35" s="0" t="s">
        <v>3770</v>
      </c>
      <c r="G35" s="0" t="s">
        <v>3654</v>
      </c>
      <c r="H35" s="0" t="s">
        <v>3771</v>
      </c>
      <c r="I35" s="0" t="s">
        <v>3772</v>
      </c>
      <c r="J35" s="0" t="s">
        <v>3745</v>
      </c>
      <c r="K35" s="0" t="s">
        <v>3773</v>
      </c>
      <c r="L35" s="0" t="s">
        <v>3773</v>
      </c>
      <c r="M35" s="0" t="s">
        <v>3774</v>
      </c>
      <c r="N35" s="0" t="s">
        <v>3775</v>
      </c>
      <c r="O35" s="0" t="s">
        <v>3776</v>
      </c>
      <c r="P35" s="0" t="s">
        <v>3777</v>
      </c>
      <c r="Q35" s="0" t="s">
        <v>240</v>
      </c>
      <c r="R35" s="0" t="b">
        <v>0</v>
      </c>
      <c r="S35" s="0" t="s">
        <v>3454</v>
      </c>
    </row>
    <row customHeight="1" ht="11.25">
      <c r="A36" s="0">
        <v>2655</v>
      </c>
      <c r="B36" s="0" t="s">
        <v>102</v>
      </c>
      <c r="C36" s="0">
        <v>28136671</v>
      </c>
      <c r="D36" s="0" t="s">
        <v>3778</v>
      </c>
      <c r="E36" s="0" t="s">
        <v>3779</v>
      </c>
      <c r="F36" s="0" t="s">
        <v>3780</v>
      </c>
      <c r="G36" s="0" t="s">
        <v>3781</v>
      </c>
      <c r="H36" s="0" t="s">
        <v>3782</v>
      </c>
      <c r="I36" s="0" t="s">
        <v>3783</v>
      </c>
      <c r="J36" s="0" t="s">
        <v>3745</v>
      </c>
      <c r="K36" s="0" t="s">
        <v>3784</v>
      </c>
      <c r="L36" s="0" t="s">
        <v>3785</v>
      </c>
      <c r="M36" s="0" t="s">
        <v>3786</v>
      </c>
      <c r="N36" s="0" t="s">
        <v>3787</v>
      </c>
      <c r="O36" s="0" t="s">
        <v>3788</v>
      </c>
      <c r="P36" s="0" t="s">
        <v>3465</v>
      </c>
      <c r="Q36" s="0" t="s">
        <v>240</v>
      </c>
      <c r="R36" s="0" t="b">
        <v>1</v>
      </c>
      <c r="S36" s="0" t="s">
        <v>3454</v>
      </c>
    </row>
    <row customHeight="1" ht="11.25">
      <c r="A37" s="0">
        <v>2655</v>
      </c>
      <c r="B37" s="0" t="s">
        <v>102</v>
      </c>
      <c r="C37" s="0">
        <v>30854705</v>
      </c>
      <c r="D37" s="0" t="s">
        <v>3789</v>
      </c>
      <c r="E37" s="0" t="s">
        <v>3790</v>
      </c>
      <c r="F37" s="0" t="s">
        <v>3791</v>
      </c>
      <c r="G37" s="0" t="s">
        <v>3481</v>
      </c>
      <c r="H37" s="0" t="s">
        <v>3792</v>
      </c>
      <c r="I37" s="0" t="s">
        <v>3793</v>
      </c>
      <c r="J37" s="0" t="s">
        <v>3745</v>
      </c>
      <c r="K37" s="0" t="s">
        <v>3794</v>
      </c>
      <c r="L37" s="0" t="s">
        <v>3794</v>
      </c>
      <c r="M37" s="0" t="s">
        <v>3795</v>
      </c>
      <c r="N37" s="0" t="s">
        <v>3796</v>
      </c>
      <c r="O37" s="0" t="s">
        <v>3797</v>
      </c>
      <c r="P37" s="0" t="s">
        <v>145</v>
      </c>
      <c r="Q37" s="0" t="s">
        <v>152</v>
      </c>
      <c r="R37" s="0" t="b">
        <v>0</v>
      </c>
      <c r="S37" s="0" t="s">
        <v>3454</v>
      </c>
    </row>
    <row customHeight="1" ht="11.25">
      <c r="A38" s="0">
        <v>2655</v>
      </c>
      <c r="B38" s="0" t="s">
        <v>102</v>
      </c>
      <c r="C38" s="0">
        <v>31656254</v>
      </c>
      <c r="D38" s="0" t="s">
        <v>3798</v>
      </c>
      <c r="E38" s="0" t="s">
        <v>3799</v>
      </c>
      <c r="F38" s="0" t="s">
        <v>3800</v>
      </c>
      <c r="G38" s="0" t="s">
        <v>3801</v>
      </c>
      <c r="H38" s="0" t="s">
        <v>3802</v>
      </c>
      <c r="I38" s="0" t="s">
        <v>3803</v>
      </c>
      <c r="K38" s="0" t="s">
        <v>3804</v>
      </c>
      <c r="L38" s="0" t="s">
        <v>3805</v>
      </c>
      <c r="M38" s="0" t="s">
        <v>3806</v>
      </c>
      <c r="N38" s="0" t="s">
        <v>3807</v>
      </c>
      <c r="O38" s="0" t="s">
        <v>3808</v>
      </c>
      <c r="P38" s="0" t="s">
        <v>3580</v>
      </c>
      <c r="Q38" s="0" t="s">
        <v>3809</v>
      </c>
      <c r="R38" s="0" t="b">
        <v>0</v>
      </c>
      <c r="S38" s="0" t="s">
        <v>3454</v>
      </c>
    </row>
    <row customHeight="1" ht="11.25">
      <c r="A39" s="0">
        <v>2655</v>
      </c>
      <c r="B39" s="0" t="s">
        <v>102</v>
      </c>
      <c r="C39" s="0">
        <v>31424033</v>
      </c>
      <c r="D39" s="0" t="s">
        <v>3810</v>
      </c>
      <c r="E39" s="0" t="s">
        <v>3811</v>
      </c>
      <c r="F39" s="0" t="s">
        <v>3812</v>
      </c>
      <c r="G39" s="0" t="s">
        <v>3813</v>
      </c>
      <c r="H39" s="0" t="s">
        <v>3814</v>
      </c>
      <c r="I39" s="0" t="s">
        <v>240</v>
      </c>
      <c r="J39" s="0" t="s">
        <v>3745</v>
      </c>
      <c r="K39" s="0" t="s">
        <v>3815</v>
      </c>
      <c r="L39" s="0" t="s">
        <v>3816</v>
      </c>
      <c r="M39" s="0" t="s">
        <v>3462</v>
      </c>
      <c r="N39" s="0" t="s">
        <v>3817</v>
      </c>
      <c r="O39" s="0" t="s">
        <v>3818</v>
      </c>
      <c r="P39" s="0" t="s">
        <v>3580</v>
      </c>
      <c r="Q39" s="0" t="s">
        <v>3819</v>
      </c>
      <c r="R39" s="0" t="b">
        <v>0</v>
      </c>
      <c r="S39" s="0" t="s">
        <v>3454</v>
      </c>
    </row>
    <row customHeight="1" ht="11.25">
      <c r="A40" s="0">
        <v>2655</v>
      </c>
      <c r="B40" s="0" t="s">
        <v>102</v>
      </c>
      <c r="C40" s="0">
        <v>26428026</v>
      </c>
      <c r="D40" s="0" t="s">
        <v>3820</v>
      </c>
      <c r="E40" s="0" t="s">
        <v>3821</v>
      </c>
      <c r="F40" s="0" t="s">
        <v>3822</v>
      </c>
      <c r="G40" s="0" t="s">
        <v>3823</v>
      </c>
      <c r="H40" s="0" t="s">
        <v>3824</v>
      </c>
      <c r="I40" s="0" t="s">
        <v>240</v>
      </c>
      <c r="K40" s="0" t="s">
        <v>3825</v>
      </c>
      <c r="L40" s="0" t="s">
        <v>3825</v>
      </c>
      <c r="M40" s="0" t="s">
        <v>3826</v>
      </c>
      <c r="N40" s="0" t="s">
        <v>3827</v>
      </c>
      <c r="O40" s="0" t="s">
        <v>3828</v>
      </c>
      <c r="P40" s="0" t="s">
        <v>3580</v>
      </c>
      <c r="Q40" s="0" t="s">
        <v>240</v>
      </c>
      <c r="R40" s="0" t="b">
        <v>1</v>
      </c>
      <c r="S40" s="0" t="s">
        <v>3454</v>
      </c>
    </row>
    <row customHeight="1" ht="11.25">
      <c r="A41" s="0">
        <v>2655</v>
      </c>
      <c r="B41" s="0" t="s">
        <v>102</v>
      </c>
      <c r="C41" s="0">
        <v>28151808</v>
      </c>
      <c r="D41" s="0" t="s">
        <v>3829</v>
      </c>
      <c r="E41" s="0" t="s">
        <v>3830</v>
      </c>
      <c r="F41" s="0" t="s">
        <v>3831</v>
      </c>
      <c r="G41" s="0" t="s">
        <v>3525</v>
      </c>
      <c r="H41" s="0" t="s">
        <v>3832</v>
      </c>
      <c r="I41" s="0" t="s">
        <v>3833</v>
      </c>
      <c r="J41" s="0" t="s">
        <v>3745</v>
      </c>
      <c r="K41" s="0" t="s">
        <v>3834</v>
      </c>
      <c r="L41" s="0" t="s">
        <v>3835</v>
      </c>
      <c r="M41" s="0" t="s">
        <v>3836</v>
      </c>
      <c r="N41" s="0" t="s">
        <v>3837</v>
      </c>
      <c r="O41" s="0" t="s">
        <v>3838</v>
      </c>
      <c r="P41" s="0" t="s">
        <v>145</v>
      </c>
      <c r="Q41" s="0" t="s">
        <v>240</v>
      </c>
      <c r="R41" s="0" t="b">
        <v>1</v>
      </c>
      <c r="S41" s="0" t="s">
        <v>3454</v>
      </c>
    </row>
    <row customHeight="1" ht="11.25">
      <c r="A42" s="0">
        <v>2655</v>
      </c>
      <c r="B42" s="0" t="s">
        <v>102</v>
      </c>
      <c r="C42" s="0">
        <v>31739633</v>
      </c>
      <c r="D42" s="0" t="s">
        <v>3839</v>
      </c>
      <c r="E42" s="0" t="s">
        <v>3840</v>
      </c>
      <c r="F42" s="0" t="s">
        <v>3841</v>
      </c>
      <c r="G42" s="0" t="s">
        <v>3842</v>
      </c>
      <c r="H42" s="0" t="s">
        <v>3843</v>
      </c>
      <c r="I42" s="0" t="s">
        <v>3844</v>
      </c>
      <c r="K42" s="0" t="s">
        <v>3845</v>
      </c>
      <c r="L42" s="0" t="s">
        <v>3845</v>
      </c>
      <c r="M42" s="0" t="s">
        <v>3846</v>
      </c>
      <c r="N42" s="0" t="s">
        <v>3847</v>
      </c>
      <c r="O42" s="0" t="s">
        <v>3848</v>
      </c>
      <c r="P42" s="0" t="s">
        <v>3613</v>
      </c>
      <c r="Q42" s="0" t="s">
        <v>240</v>
      </c>
      <c r="R42" s="0" t="b">
        <v>0</v>
      </c>
      <c r="S42" s="0" t="s">
        <v>3454</v>
      </c>
    </row>
    <row customHeight="1" ht="11.25">
      <c r="A43" s="0">
        <v>2655</v>
      </c>
      <c r="B43" s="0" t="s">
        <v>102</v>
      </c>
      <c r="C43" s="0">
        <v>31541617</v>
      </c>
      <c r="D43" s="0" t="s">
        <v>3849</v>
      </c>
      <c r="E43" s="0" t="s">
        <v>3850</v>
      </c>
      <c r="F43" s="0" t="s">
        <v>3851</v>
      </c>
      <c r="G43" s="0" t="s">
        <v>3852</v>
      </c>
      <c r="H43" s="0" t="s">
        <v>3853</v>
      </c>
      <c r="I43" s="0" t="s">
        <v>3854</v>
      </c>
      <c r="K43" s="0" t="s">
        <v>3855</v>
      </c>
      <c r="L43" s="0" t="s">
        <v>3855</v>
      </c>
      <c r="M43" s="0" t="s">
        <v>3856</v>
      </c>
      <c r="N43" s="0" t="s">
        <v>3857</v>
      </c>
      <c r="O43" s="0" t="s">
        <v>3858</v>
      </c>
      <c r="P43" s="0" t="s">
        <v>3613</v>
      </c>
      <c r="Q43" s="0" t="s">
        <v>240</v>
      </c>
      <c r="R43" s="0" t="b">
        <v>1</v>
      </c>
      <c r="S43" s="0" t="s">
        <v>3454</v>
      </c>
    </row>
    <row customHeight="1" ht="11.25">
      <c r="A44" s="0">
        <v>2655</v>
      </c>
      <c r="B44" s="0" t="s">
        <v>102</v>
      </c>
      <c r="C44" s="0">
        <v>26356987</v>
      </c>
      <c r="D44" s="0" t="s">
        <v>3859</v>
      </c>
      <c r="E44" s="0" t="s">
        <v>3860</v>
      </c>
      <c r="F44" s="0" t="s">
        <v>3861</v>
      </c>
      <c r="G44" s="0" t="s">
        <v>3862</v>
      </c>
      <c r="H44" s="0" t="s">
        <v>3863</v>
      </c>
      <c r="I44" s="0" t="s">
        <v>3864</v>
      </c>
      <c r="J44" s="0" t="s">
        <v>3745</v>
      </c>
      <c r="K44" s="0" t="s">
        <v>3865</v>
      </c>
      <c r="L44" s="0" t="s">
        <v>3865</v>
      </c>
      <c r="M44" s="0" t="s">
        <v>3866</v>
      </c>
      <c r="N44" s="0" t="s">
        <v>3867</v>
      </c>
      <c r="O44" s="0" t="s">
        <v>3868</v>
      </c>
      <c r="P44" s="0" t="s">
        <v>3613</v>
      </c>
      <c r="Q44" s="0" t="s">
        <v>3869</v>
      </c>
      <c r="R44" s="0" t="b">
        <v>0</v>
      </c>
      <c r="S44" s="0" t="s">
        <v>3454</v>
      </c>
    </row>
    <row customHeight="1" ht="11.25">
      <c r="A45" s="0">
        <v>2655</v>
      </c>
      <c r="B45" s="0" t="s">
        <v>102</v>
      </c>
      <c r="C45" s="0">
        <v>26356891</v>
      </c>
      <c r="D45" s="0" t="s">
        <v>3870</v>
      </c>
      <c r="E45" s="0" t="s">
        <v>3871</v>
      </c>
      <c r="F45" s="0" t="s">
        <v>3872</v>
      </c>
      <c r="G45" s="0" t="s">
        <v>3683</v>
      </c>
      <c r="H45" s="0" t="s">
        <v>3873</v>
      </c>
      <c r="I45" s="0" t="s">
        <v>3874</v>
      </c>
      <c r="J45" s="0" t="s">
        <v>3745</v>
      </c>
      <c r="K45" s="0" t="s">
        <v>3875</v>
      </c>
      <c r="L45" s="0" t="s">
        <v>3875</v>
      </c>
      <c r="M45" s="0" t="s">
        <v>3876</v>
      </c>
      <c r="N45" s="0" t="s">
        <v>3877</v>
      </c>
      <c r="O45" s="0" t="s">
        <v>3878</v>
      </c>
      <c r="P45" s="0" t="s">
        <v>3580</v>
      </c>
      <c r="Q45" s="0" t="s">
        <v>240</v>
      </c>
      <c r="R45" s="0" t="b">
        <v>0</v>
      </c>
      <c r="S45" s="0" t="s">
        <v>3454</v>
      </c>
    </row>
    <row customHeight="1" ht="11.25">
      <c r="A46" s="0">
        <v>2655</v>
      </c>
      <c r="B46" s="0" t="s">
        <v>102</v>
      </c>
      <c r="C46" s="0">
        <v>31241637</v>
      </c>
      <c r="D46" s="0" t="s">
        <v>3879</v>
      </c>
      <c r="E46" s="0" t="s">
        <v>3880</v>
      </c>
      <c r="F46" s="0" t="s">
        <v>3881</v>
      </c>
      <c r="G46" s="0" t="s">
        <v>3704</v>
      </c>
      <c r="H46" s="0" t="s">
        <v>3882</v>
      </c>
      <c r="I46" s="0" t="s">
        <v>3883</v>
      </c>
      <c r="J46" s="0" t="s">
        <v>3745</v>
      </c>
      <c r="K46" s="0" t="s">
        <v>3884</v>
      </c>
      <c r="L46" s="0" t="s">
        <v>3884</v>
      </c>
      <c r="M46" s="0" t="s">
        <v>3885</v>
      </c>
      <c r="N46" s="0" t="s">
        <v>240</v>
      </c>
      <c r="O46" s="0" t="s">
        <v>3886</v>
      </c>
      <c r="P46" s="0" t="s">
        <v>3613</v>
      </c>
      <c r="Q46" s="0" t="s">
        <v>240</v>
      </c>
      <c r="R46" s="0" t="b">
        <v>0</v>
      </c>
      <c r="S46" s="0" t="s">
        <v>3454</v>
      </c>
    </row>
    <row customHeight="1" ht="11.25">
      <c r="A47" s="0">
        <v>2655</v>
      </c>
      <c r="B47" s="0" t="s">
        <v>102</v>
      </c>
      <c r="C47" s="0">
        <v>26356937</v>
      </c>
      <c r="D47" s="0" t="s">
        <v>3887</v>
      </c>
      <c r="E47" s="0" t="s">
        <v>3888</v>
      </c>
      <c r="F47" s="0" t="s">
        <v>3889</v>
      </c>
      <c r="G47" s="0" t="s">
        <v>3752</v>
      </c>
      <c r="H47" s="0" t="s">
        <v>3890</v>
      </c>
      <c r="I47" s="0" t="s">
        <v>3891</v>
      </c>
      <c r="J47" s="0" t="s">
        <v>3745</v>
      </c>
      <c r="K47" s="0" t="s">
        <v>3892</v>
      </c>
      <c r="L47" s="0" t="s">
        <v>3892</v>
      </c>
      <c r="M47" s="0" t="s">
        <v>3893</v>
      </c>
      <c r="N47" s="0" t="s">
        <v>3894</v>
      </c>
      <c r="O47" s="0" t="s">
        <v>3895</v>
      </c>
      <c r="P47" s="0" t="s">
        <v>3613</v>
      </c>
      <c r="Q47" s="0" t="s">
        <v>3896</v>
      </c>
      <c r="R47" s="0" t="b">
        <v>0</v>
      </c>
      <c r="S47" s="0" t="s">
        <v>3454</v>
      </c>
    </row>
    <row customHeight="1" ht="11.25">
      <c r="A48" s="0">
        <v>2655</v>
      </c>
      <c r="B48" s="0" t="s">
        <v>102</v>
      </c>
      <c r="C48" s="0">
        <v>33000834</v>
      </c>
      <c r="D48" s="0" t="s">
        <v>3897</v>
      </c>
      <c r="E48" s="0" t="s">
        <v>3898</v>
      </c>
      <c r="F48" s="0" t="s">
        <v>3899</v>
      </c>
      <c r="G48" s="0" t="s">
        <v>3595</v>
      </c>
      <c r="H48" s="0" t="s">
        <v>3900</v>
      </c>
      <c r="I48" s="0" t="s">
        <v>3901</v>
      </c>
      <c r="K48" s="0" t="s">
        <v>3902</v>
      </c>
      <c r="L48" s="0" t="s">
        <v>3902</v>
      </c>
      <c r="M48" s="0" t="s">
        <v>3903</v>
      </c>
      <c r="N48" s="0" t="s">
        <v>3649</v>
      </c>
      <c r="O48" s="0" t="s">
        <v>3904</v>
      </c>
      <c r="P48" s="0" t="s">
        <v>3580</v>
      </c>
      <c r="Q48" s="0" t="s">
        <v>3905</v>
      </c>
      <c r="R48" s="0" t="b">
        <v>0</v>
      </c>
      <c r="S48" s="0" t="s">
        <v>3454</v>
      </c>
    </row>
    <row customHeight="1" ht="11.25">
      <c r="A49" s="0">
        <v>2655</v>
      </c>
      <c r="B49" s="0" t="s">
        <v>102</v>
      </c>
      <c r="C49" s="0">
        <v>31770754</v>
      </c>
      <c r="D49" s="0" t="s">
        <v>3906</v>
      </c>
      <c r="E49" s="0" t="s">
        <v>3907</v>
      </c>
      <c r="F49" s="0" t="s">
        <v>3908</v>
      </c>
      <c r="G49" s="0" t="s">
        <v>3842</v>
      </c>
      <c r="H49" s="0" t="s">
        <v>3909</v>
      </c>
      <c r="I49" s="0" t="s">
        <v>3910</v>
      </c>
      <c r="K49" s="0" t="s">
        <v>3911</v>
      </c>
      <c r="L49" s="0" t="s">
        <v>3912</v>
      </c>
      <c r="M49" s="0" t="s">
        <v>3913</v>
      </c>
      <c r="N49" s="0" t="s">
        <v>3914</v>
      </c>
      <c r="O49" s="0" t="s">
        <v>3915</v>
      </c>
      <c r="P49" s="0" t="s">
        <v>3580</v>
      </c>
      <c r="Q49" s="0" t="s">
        <v>240</v>
      </c>
      <c r="R49" s="0" t="b">
        <v>1</v>
      </c>
      <c r="S49" s="0" t="s">
        <v>3454</v>
      </c>
    </row>
    <row customHeight="1" ht="11.25">
      <c r="A50" s="0">
        <v>2655</v>
      </c>
      <c r="B50" s="0" t="s">
        <v>102</v>
      </c>
      <c r="C50" s="0">
        <v>31528492</v>
      </c>
      <c r="D50" s="0" t="s">
        <v>3916</v>
      </c>
      <c r="E50" s="0" t="s">
        <v>3917</v>
      </c>
      <c r="F50" s="0" t="s">
        <v>3918</v>
      </c>
      <c r="G50" s="0" t="s">
        <v>3704</v>
      </c>
      <c r="H50" s="0" t="s">
        <v>3919</v>
      </c>
      <c r="I50" s="0" t="s">
        <v>3920</v>
      </c>
      <c r="K50" s="0" t="s">
        <v>3921</v>
      </c>
      <c r="L50" s="0" t="s">
        <v>3921</v>
      </c>
      <c r="M50" s="0" t="s">
        <v>3922</v>
      </c>
      <c r="N50" s="0" t="s">
        <v>3923</v>
      </c>
      <c r="O50" s="0" t="s">
        <v>3924</v>
      </c>
      <c r="P50" s="0" t="s">
        <v>3465</v>
      </c>
      <c r="Q50" s="0" t="s">
        <v>240</v>
      </c>
      <c r="R50" s="0" t="b">
        <v>0</v>
      </c>
      <c r="S50" s="0" t="s">
        <v>3454</v>
      </c>
    </row>
    <row customHeight="1" ht="11.25">
      <c r="A51" s="0">
        <v>2655</v>
      </c>
      <c r="B51" s="0" t="s">
        <v>102</v>
      </c>
      <c r="C51" s="0">
        <v>28270293</v>
      </c>
      <c r="D51" s="0" t="s">
        <v>3925</v>
      </c>
      <c r="E51" s="0" t="s">
        <v>3926</v>
      </c>
      <c r="F51" s="0" t="s">
        <v>3927</v>
      </c>
      <c r="G51" s="0" t="s">
        <v>3683</v>
      </c>
      <c r="H51" s="0" t="s">
        <v>3928</v>
      </c>
      <c r="I51" s="0" t="s">
        <v>3929</v>
      </c>
      <c r="J51" s="0" t="s">
        <v>3745</v>
      </c>
      <c r="K51" s="0" t="s">
        <v>3930</v>
      </c>
      <c r="L51" s="0" t="s">
        <v>3930</v>
      </c>
      <c r="M51" s="0" t="s">
        <v>3931</v>
      </c>
      <c r="N51" s="0" t="s">
        <v>3932</v>
      </c>
      <c r="O51" s="0" t="s">
        <v>3933</v>
      </c>
      <c r="P51" s="0" t="s">
        <v>145</v>
      </c>
      <c r="Q51" s="0" t="s">
        <v>240</v>
      </c>
      <c r="R51" s="0" t="b">
        <v>0</v>
      </c>
      <c r="S51" s="0" t="s">
        <v>3454</v>
      </c>
    </row>
    <row customHeight="1" ht="11.25">
      <c r="A52" s="0">
        <v>2655</v>
      </c>
      <c r="B52" s="0" t="s">
        <v>102</v>
      </c>
      <c r="C52" s="0">
        <v>28873362</v>
      </c>
      <c r="D52" s="0" t="s">
        <v>3934</v>
      </c>
      <c r="E52" s="0" t="s">
        <v>3935</v>
      </c>
      <c r="F52" s="0" t="s">
        <v>3936</v>
      </c>
      <c r="G52" s="0" t="s">
        <v>123</v>
      </c>
      <c r="H52" s="0" t="s">
        <v>3937</v>
      </c>
      <c r="I52" s="0" t="s">
        <v>3938</v>
      </c>
      <c r="J52" s="0" t="s">
        <v>3745</v>
      </c>
      <c r="K52" s="0" t="s">
        <v>3939</v>
      </c>
      <c r="L52" s="0" t="s">
        <v>3939</v>
      </c>
      <c r="M52" s="0" t="s">
        <v>3940</v>
      </c>
      <c r="N52" s="0" t="s">
        <v>3941</v>
      </c>
      <c r="O52" s="0" t="s">
        <v>3942</v>
      </c>
      <c r="P52" s="0" t="s">
        <v>3580</v>
      </c>
      <c r="Q52" s="0" t="s">
        <v>3943</v>
      </c>
      <c r="R52" s="0" t="b">
        <v>0</v>
      </c>
      <c r="S52" s="0" t="s">
        <v>3454</v>
      </c>
    </row>
    <row customHeight="1" ht="11.25">
      <c r="A53" s="0">
        <v>2655</v>
      </c>
      <c r="B53" s="0" t="s">
        <v>102</v>
      </c>
      <c r="C53" s="0">
        <v>28976681</v>
      </c>
      <c r="D53" s="0" t="s">
        <v>3944</v>
      </c>
      <c r="E53" s="0" t="s">
        <v>3945</v>
      </c>
      <c r="F53" s="0" t="s">
        <v>3946</v>
      </c>
      <c r="G53" s="0" t="s">
        <v>3683</v>
      </c>
      <c r="H53" s="0" t="s">
        <v>3947</v>
      </c>
      <c r="I53" s="0" t="s">
        <v>3948</v>
      </c>
      <c r="J53" s="0" t="s">
        <v>3745</v>
      </c>
      <c r="K53" s="0" t="s">
        <v>3949</v>
      </c>
      <c r="L53" s="0" t="s">
        <v>3949</v>
      </c>
      <c r="M53" s="0" t="s">
        <v>3950</v>
      </c>
      <c r="N53" s="0" t="s">
        <v>3951</v>
      </c>
      <c r="O53" s="0" t="s">
        <v>3952</v>
      </c>
      <c r="P53" s="0" t="s">
        <v>3580</v>
      </c>
      <c r="Q53" s="0" t="s">
        <v>240</v>
      </c>
      <c r="R53" s="0" t="b">
        <v>1</v>
      </c>
      <c r="S53" s="0" t="s">
        <v>3454</v>
      </c>
    </row>
    <row customHeight="1" ht="11.25">
      <c r="A54" s="0">
        <v>2655</v>
      </c>
      <c r="B54" s="0" t="s">
        <v>102</v>
      </c>
      <c r="C54" s="0">
        <v>30992391</v>
      </c>
      <c r="D54" s="0" t="s">
        <v>3953</v>
      </c>
      <c r="E54" s="0" t="s">
        <v>3954</v>
      </c>
      <c r="F54" s="0" t="s">
        <v>3955</v>
      </c>
      <c r="G54" s="0" t="s">
        <v>3572</v>
      </c>
      <c r="H54" s="0" t="s">
        <v>3956</v>
      </c>
      <c r="I54" s="0" t="s">
        <v>3957</v>
      </c>
      <c r="J54" s="0" t="s">
        <v>3745</v>
      </c>
      <c r="K54" s="0" t="s">
        <v>3958</v>
      </c>
      <c r="L54" s="0" t="s">
        <v>3959</v>
      </c>
      <c r="M54" s="0" t="s">
        <v>3960</v>
      </c>
      <c r="N54" s="0" t="s">
        <v>3961</v>
      </c>
      <c r="O54" s="0" t="s">
        <v>3962</v>
      </c>
      <c r="P54" s="0" t="s">
        <v>3580</v>
      </c>
      <c r="Q54" s="0" t="s">
        <v>3963</v>
      </c>
      <c r="R54" s="0" t="b">
        <v>0</v>
      </c>
      <c r="S54" s="0" t="s">
        <v>3454</v>
      </c>
    </row>
    <row customHeight="1" ht="11.25">
      <c r="A55" s="0">
        <v>2655</v>
      </c>
      <c r="B55" s="0" t="s">
        <v>102</v>
      </c>
      <c r="C55" s="0">
        <v>26853991</v>
      </c>
      <c r="D55" s="0" t="s">
        <v>3964</v>
      </c>
      <c r="E55" s="0" t="s">
        <v>3965</v>
      </c>
      <c r="F55" s="0" t="s">
        <v>3966</v>
      </c>
      <c r="G55" s="0" t="s">
        <v>3967</v>
      </c>
      <c r="H55" s="0" t="s">
        <v>3968</v>
      </c>
      <c r="I55" s="0" t="s">
        <v>3969</v>
      </c>
      <c r="J55" s="0" t="s">
        <v>3446</v>
      </c>
      <c r="K55" s="0" t="s">
        <v>3970</v>
      </c>
      <c r="L55" s="0" t="s">
        <v>3971</v>
      </c>
      <c r="M55" s="0" t="s">
        <v>3972</v>
      </c>
      <c r="N55" s="0" t="s">
        <v>3973</v>
      </c>
      <c r="O55" s="0" t="s">
        <v>3974</v>
      </c>
      <c r="P55" s="0" t="s">
        <v>145</v>
      </c>
      <c r="Q55" s="0" t="s">
        <v>240</v>
      </c>
      <c r="R55" s="0" t="b">
        <v>0</v>
      </c>
      <c r="S55" s="0" t="s">
        <v>3454</v>
      </c>
    </row>
    <row customHeight="1" ht="11.25">
      <c r="A56" s="0">
        <v>2655</v>
      </c>
      <c r="B56" s="0" t="s">
        <v>102</v>
      </c>
      <c r="C56" s="0">
        <v>31908312</v>
      </c>
      <c r="D56" s="0" t="s">
        <v>3964</v>
      </c>
      <c r="E56" s="0" t="s">
        <v>3975</v>
      </c>
      <c r="F56" s="0" t="s">
        <v>3966</v>
      </c>
      <c r="G56" s="0" t="s">
        <v>3967</v>
      </c>
      <c r="H56" s="0" t="s">
        <v>3968</v>
      </c>
      <c r="I56" s="0" t="s">
        <v>3969</v>
      </c>
      <c r="K56" s="0" t="s">
        <v>3976</v>
      </c>
      <c r="L56" s="0" t="s">
        <v>3976</v>
      </c>
      <c r="M56" s="0" t="s">
        <v>3977</v>
      </c>
      <c r="N56" s="0" t="s">
        <v>3978</v>
      </c>
      <c r="O56" s="0" t="s">
        <v>3979</v>
      </c>
      <c r="P56" s="0" t="s">
        <v>240</v>
      </c>
      <c r="Q56" s="0" t="s">
        <v>3980</v>
      </c>
      <c r="R56" s="0" t="b">
        <v>0</v>
      </c>
      <c r="S56" s="0" t="s">
        <v>3454</v>
      </c>
    </row>
    <row customHeight="1" ht="11.25">
      <c r="A57" s="0">
        <v>2655</v>
      </c>
      <c r="B57" s="0" t="s">
        <v>102</v>
      </c>
      <c r="C57" s="0">
        <v>30808511</v>
      </c>
      <c r="D57" s="0" t="s">
        <v>3981</v>
      </c>
      <c r="E57" s="0" t="s">
        <v>3981</v>
      </c>
      <c r="F57" s="0" t="s">
        <v>3982</v>
      </c>
      <c r="G57" s="0" t="s">
        <v>3983</v>
      </c>
      <c r="H57" s="0" t="s">
        <v>3984</v>
      </c>
      <c r="I57" s="0" t="s">
        <v>3985</v>
      </c>
      <c r="J57" s="0" t="s">
        <v>3986</v>
      </c>
      <c r="K57" s="0" t="s">
        <v>3987</v>
      </c>
      <c r="L57" s="0" t="s">
        <v>3988</v>
      </c>
      <c r="M57" s="0" t="s">
        <v>3989</v>
      </c>
      <c r="N57" s="0" t="s">
        <v>3990</v>
      </c>
      <c r="O57" s="0" t="s">
        <v>3991</v>
      </c>
      <c r="P57" s="0" t="s">
        <v>3580</v>
      </c>
      <c r="Q57" s="0" t="s">
        <v>3990</v>
      </c>
      <c r="R57" s="0" t="b">
        <v>0</v>
      </c>
      <c r="S57" s="0" t="s">
        <v>3454</v>
      </c>
    </row>
    <row customHeight="1" ht="11.25">
      <c r="A58" s="0">
        <v>2655</v>
      </c>
      <c r="B58" s="0" t="s">
        <v>102</v>
      </c>
      <c r="C58" s="0">
        <v>26520873</v>
      </c>
      <c r="D58" s="0" t="s">
        <v>3992</v>
      </c>
      <c r="E58" s="0" t="s">
        <v>3993</v>
      </c>
      <c r="F58" s="0" t="s">
        <v>3982</v>
      </c>
      <c r="G58" s="0" t="s">
        <v>3994</v>
      </c>
      <c r="H58" s="0" t="s">
        <v>3984</v>
      </c>
      <c r="I58" s="0" t="s">
        <v>3995</v>
      </c>
      <c r="J58" s="0" t="s">
        <v>3986</v>
      </c>
      <c r="K58" s="0" t="s">
        <v>3996</v>
      </c>
      <c r="L58" s="0" t="s">
        <v>3997</v>
      </c>
      <c r="M58" s="0" t="s">
        <v>3998</v>
      </c>
      <c r="N58" s="0" t="s">
        <v>3999</v>
      </c>
      <c r="O58" s="0" t="s">
        <v>4000</v>
      </c>
      <c r="P58" s="0" t="s">
        <v>3580</v>
      </c>
      <c r="Q58" s="0" t="s">
        <v>4001</v>
      </c>
      <c r="R58" s="0" t="b">
        <v>0</v>
      </c>
      <c r="S58" s="0" t="s">
        <v>3454</v>
      </c>
    </row>
    <row customHeight="1" ht="11.25">
      <c r="A59" s="0">
        <v>2655</v>
      </c>
      <c r="B59" s="0" t="s">
        <v>102</v>
      </c>
      <c r="C59" s="0">
        <v>30984255</v>
      </c>
      <c r="D59" s="0" t="s">
        <v>4002</v>
      </c>
      <c r="E59" s="0" t="s">
        <v>4003</v>
      </c>
      <c r="F59" s="0" t="s">
        <v>4004</v>
      </c>
      <c r="G59" s="0" t="s">
        <v>3525</v>
      </c>
      <c r="H59" s="0" t="s">
        <v>4005</v>
      </c>
      <c r="I59" s="0" t="s">
        <v>4006</v>
      </c>
      <c r="J59" s="0" t="s">
        <v>4007</v>
      </c>
      <c r="K59" s="0" t="s">
        <v>4008</v>
      </c>
      <c r="L59" s="0" t="s">
        <v>4008</v>
      </c>
      <c r="M59" s="0" t="s">
        <v>4009</v>
      </c>
      <c r="N59" s="0" t="s">
        <v>4010</v>
      </c>
      <c r="O59" s="0" t="s">
        <v>4011</v>
      </c>
      <c r="P59" s="0" t="s">
        <v>4012</v>
      </c>
      <c r="Q59" s="0" t="s">
        <v>240</v>
      </c>
      <c r="R59" s="0" t="b">
        <v>0</v>
      </c>
      <c r="S59" s="0" t="s">
        <v>3454</v>
      </c>
    </row>
    <row customHeight="1" ht="11.25">
      <c r="A60" s="0">
        <v>2655</v>
      </c>
      <c r="B60" s="0" t="s">
        <v>102</v>
      </c>
      <c r="C60" s="0">
        <v>28976938</v>
      </c>
      <c r="D60" s="0" t="s">
        <v>3440</v>
      </c>
      <c r="E60" s="0" t="s">
        <v>3441</v>
      </c>
      <c r="F60" s="0" t="s">
        <v>3442</v>
      </c>
      <c r="G60" s="0" t="s">
        <v>3443</v>
      </c>
      <c r="H60" s="0" t="s">
        <v>3444</v>
      </c>
      <c r="I60" s="0" t="s">
        <v>3445</v>
      </c>
      <c r="J60" s="0" t="s">
        <v>3446</v>
      </c>
      <c r="K60" s="0" t="s">
        <v>3447</v>
      </c>
      <c r="L60" s="0" t="s">
        <v>3448</v>
      </c>
      <c r="M60" s="0" t="s">
        <v>3449</v>
      </c>
      <c r="N60" s="0" t="s">
        <v>3450</v>
      </c>
      <c r="O60" s="0" t="s">
        <v>3451</v>
      </c>
      <c r="P60" s="0" t="s">
        <v>3452</v>
      </c>
      <c r="Q60" s="0" t="s">
        <v>3453</v>
      </c>
      <c r="R60" s="0" t="b">
        <v>0</v>
      </c>
      <c r="S60" s="0" t="s">
        <v>4013</v>
      </c>
    </row>
    <row customHeight="1" ht="11.25">
      <c r="A61" s="0">
        <v>2655</v>
      </c>
      <c r="B61" s="0" t="s">
        <v>102</v>
      </c>
      <c r="C61" s="0">
        <v>26356915</v>
      </c>
      <c r="D61" s="0" t="s">
        <v>4014</v>
      </c>
      <c r="E61" s="0" t="s">
        <v>4015</v>
      </c>
      <c r="F61" s="0" t="s">
        <v>4016</v>
      </c>
      <c r="G61" s="0" t="s">
        <v>3672</v>
      </c>
      <c r="H61" s="0" t="s">
        <v>4017</v>
      </c>
      <c r="I61" s="0" t="s">
        <v>4018</v>
      </c>
      <c r="J61" s="0" t="s">
        <v>3446</v>
      </c>
      <c r="K61" s="0" t="s">
        <v>4019</v>
      </c>
      <c r="L61" s="0" t="s">
        <v>4019</v>
      </c>
      <c r="M61" s="0" t="s">
        <v>4020</v>
      </c>
      <c r="N61" s="0" t="s">
        <v>4021</v>
      </c>
      <c r="O61" s="0" t="s">
        <v>4022</v>
      </c>
      <c r="P61" s="0" t="s">
        <v>145</v>
      </c>
      <c r="Q61" s="0" t="s">
        <v>152</v>
      </c>
      <c r="R61" s="0" t="b">
        <v>0</v>
      </c>
      <c r="S61" s="0" t="s">
        <v>4013</v>
      </c>
    </row>
    <row customHeight="1" ht="11.25">
      <c r="A62" s="0">
        <v>2655</v>
      </c>
      <c r="B62" s="0" t="s">
        <v>102</v>
      </c>
      <c r="C62" s="0">
        <v>27857950</v>
      </c>
      <c r="D62" s="0" t="s">
        <v>4023</v>
      </c>
      <c r="E62" s="0" t="s">
        <v>4024</v>
      </c>
      <c r="F62" s="0" t="s">
        <v>4025</v>
      </c>
      <c r="G62" s="0" t="s">
        <v>3862</v>
      </c>
      <c r="H62" s="0" t="s">
        <v>4026</v>
      </c>
      <c r="I62" s="0" t="s">
        <v>4027</v>
      </c>
      <c r="J62" s="0" t="s">
        <v>3446</v>
      </c>
      <c r="K62" s="0" t="s">
        <v>4028</v>
      </c>
      <c r="L62" s="0" t="s">
        <v>4028</v>
      </c>
      <c r="M62" s="0" t="s">
        <v>4029</v>
      </c>
      <c r="N62" s="0" t="s">
        <v>4030</v>
      </c>
      <c r="O62" s="0" t="s">
        <v>4031</v>
      </c>
      <c r="P62" s="0" t="s">
        <v>3613</v>
      </c>
      <c r="Q62" s="0" t="s">
        <v>240</v>
      </c>
      <c r="R62" s="0" t="b">
        <v>1</v>
      </c>
      <c r="S62" s="0" t="s">
        <v>4013</v>
      </c>
    </row>
    <row customHeight="1" ht="11.25">
      <c r="A63" s="0">
        <v>2655</v>
      </c>
      <c r="B63" s="0" t="s">
        <v>102</v>
      </c>
      <c r="C63" s="0">
        <v>26356963</v>
      </c>
      <c r="D63" s="0" t="s">
        <v>3478</v>
      </c>
      <c r="E63" s="0" t="s">
        <v>3479</v>
      </c>
      <c r="F63" s="0" t="s">
        <v>3480</v>
      </c>
      <c r="G63" s="0" t="s">
        <v>3481</v>
      </c>
      <c r="H63" s="0" t="s">
        <v>3482</v>
      </c>
      <c r="I63" s="0" t="s">
        <v>240</v>
      </c>
      <c r="J63" s="0" t="s">
        <v>3446</v>
      </c>
      <c r="K63" s="0" t="s">
        <v>3483</v>
      </c>
      <c r="L63" s="0" t="s">
        <v>3483</v>
      </c>
      <c r="M63" s="0" t="s">
        <v>3484</v>
      </c>
      <c r="N63" s="0" t="s">
        <v>3485</v>
      </c>
      <c r="O63" s="0" t="s">
        <v>3486</v>
      </c>
      <c r="P63" s="0" t="s">
        <v>145</v>
      </c>
      <c r="Q63" s="0" t="s">
        <v>3487</v>
      </c>
      <c r="R63" s="0" t="b">
        <v>0</v>
      </c>
      <c r="S63" s="0" t="s">
        <v>4013</v>
      </c>
    </row>
    <row customHeight="1" ht="11.25">
      <c r="A64" s="0">
        <v>2655</v>
      </c>
      <c r="B64" s="0" t="s">
        <v>102</v>
      </c>
      <c r="C64" s="0">
        <v>31833446</v>
      </c>
      <c r="D64" s="0" t="s">
        <v>4032</v>
      </c>
      <c r="E64" s="0" t="s">
        <v>4033</v>
      </c>
      <c r="F64" s="0" t="s">
        <v>4034</v>
      </c>
      <c r="G64" s="0" t="s">
        <v>123</v>
      </c>
      <c r="H64" s="0" t="s">
        <v>4035</v>
      </c>
      <c r="I64" s="0" t="s">
        <v>240</v>
      </c>
      <c r="K64" s="0" t="s">
        <v>4036</v>
      </c>
      <c r="L64" s="0" t="s">
        <v>4036</v>
      </c>
      <c r="M64" s="0" t="s">
        <v>4037</v>
      </c>
      <c r="N64" s="0" t="s">
        <v>4038</v>
      </c>
      <c r="O64" s="0" t="s">
        <v>4039</v>
      </c>
      <c r="P64" s="0" t="s">
        <v>3465</v>
      </c>
      <c r="Q64" s="0" t="s">
        <v>4040</v>
      </c>
      <c r="R64" s="0" t="b">
        <v>0</v>
      </c>
      <c r="S64" s="0" t="s">
        <v>4013</v>
      </c>
    </row>
    <row customHeight="1" ht="11.25">
      <c r="A65" s="0">
        <v>2655</v>
      </c>
      <c r="B65" s="0" t="s">
        <v>102</v>
      </c>
      <c r="C65" s="0">
        <v>27820148</v>
      </c>
      <c r="D65" s="0" t="s">
        <v>4041</v>
      </c>
      <c r="E65" s="0" t="s">
        <v>4042</v>
      </c>
      <c r="F65" s="0" t="s">
        <v>4043</v>
      </c>
      <c r="G65" s="0" t="s">
        <v>3752</v>
      </c>
      <c r="H65" s="0" t="s">
        <v>4044</v>
      </c>
      <c r="I65" s="0" t="s">
        <v>4045</v>
      </c>
      <c r="J65" s="0" t="s">
        <v>3446</v>
      </c>
      <c r="K65" s="0" t="s">
        <v>4046</v>
      </c>
      <c r="L65" s="0" t="s">
        <v>4046</v>
      </c>
      <c r="M65" s="0" t="s">
        <v>4047</v>
      </c>
      <c r="N65" s="0" t="s">
        <v>4048</v>
      </c>
      <c r="O65" s="0" t="s">
        <v>4049</v>
      </c>
      <c r="P65" s="0" t="s">
        <v>4050</v>
      </c>
      <c r="Q65" s="0" t="s">
        <v>4051</v>
      </c>
      <c r="R65" s="0" t="b">
        <v>0</v>
      </c>
      <c r="S65" s="0" t="s">
        <v>4013</v>
      </c>
    </row>
    <row customHeight="1" ht="11.25">
      <c r="A66" s="0">
        <v>2655</v>
      </c>
      <c r="B66" s="0" t="s">
        <v>102</v>
      </c>
      <c r="C66" s="0">
        <v>26322867</v>
      </c>
      <c r="D66" s="0" t="s">
        <v>3544</v>
      </c>
      <c r="E66" s="0" t="s">
        <v>3545</v>
      </c>
      <c r="F66" s="0" t="s">
        <v>3546</v>
      </c>
      <c r="G66" s="0" t="s">
        <v>3491</v>
      </c>
      <c r="H66" s="0" t="s">
        <v>3547</v>
      </c>
      <c r="I66" s="0" t="s">
        <v>3548</v>
      </c>
      <c r="J66" s="0" t="s">
        <v>3446</v>
      </c>
      <c r="K66" s="0" t="s">
        <v>3549</v>
      </c>
      <c r="L66" s="0" t="s">
        <v>3549</v>
      </c>
      <c r="M66" s="0" t="s">
        <v>3550</v>
      </c>
      <c r="N66" s="0" t="s">
        <v>3551</v>
      </c>
      <c r="O66" s="0" t="s">
        <v>3552</v>
      </c>
      <c r="P66" s="0" t="s">
        <v>145</v>
      </c>
      <c r="Q66" s="0" t="s">
        <v>3553</v>
      </c>
      <c r="R66" s="0" t="b">
        <v>0</v>
      </c>
      <c r="S66" s="0" t="s">
        <v>4013</v>
      </c>
    </row>
    <row customHeight="1" ht="11.25">
      <c r="A67" s="0">
        <v>2655</v>
      </c>
      <c r="B67" s="0" t="s">
        <v>102</v>
      </c>
      <c r="C67" s="0">
        <v>26824396</v>
      </c>
      <c r="D67" s="0" t="s">
        <v>3563</v>
      </c>
      <c r="E67" s="0" t="s">
        <v>3564</v>
      </c>
      <c r="F67" s="0" t="s">
        <v>3524</v>
      </c>
      <c r="G67" s="0" t="s">
        <v>3565</v>
      </c>
      <c r="H67" s="0" t="s">
        <v>3526</v>
      </c>
      <c r="I67" s="0" t="s">
        <v>240</v>
      </c>
      <c r="J67" s="0" t="s">
        <v>3517</v>
      </c>
      <c r="K67" s="0" t="s">
        <v>3566</v>
      </c>
      <c r="L67" s="0" t="s">
        <v>3566</v>
      </c>
      <c r="M67" s="0" t="s">
        <v>3567</v>
      </c>
      <c r="N67" s="0" t="s">
        <v>240</v>
      </c>
      <c r="O67" s="0" t="s">
        <v>3568</v>
      </c>
      <c r="P67" s="0" t="s">
        <v>3562</v>
      </c>
      <c r="Q67" s="0" t="s">
        <v>240</v>
      </c>
      <c r="R67" s="0" t="b">
        <v>0</v>
      </c>
      <c r="S67" s="0" t="s">
        <v>4013</v>
      </c>
    </row>
    <row customHeight="1" ht="11.25">
      <c r="A68" s="0">
        <v>2655</v>
      </c>
      <c r="B68" s="0" t="s">
        <v>102</v>
      </c>
      <c r="C68" s="0">
        <v>30365193</v>
      </c>
      <c r="D68" s="0" t="s">
        <v>4052</v>
      </c>
      <c r="E68" s="0" t="s">
        <v>4053</v>
      </c>
      <c r="F68" s="0" t="s">
        <v>4054</v>
      </c>
      <c r="G68" s="0" t="s">
        <v>123</v>
      </c>
      <c r="H68" s="0" t="s">
        <v>4055</v>
      </c>
      <c r="I68" s="0" t="s">
        <v>240</v>
      </c>
      <c r="J68" s="0" t="s">
        <v>4056</v>
      </c>
      <c r="K68" s="0" t="s">
        <v>4057</v>
      </c>
      <c r="L68" s="0" t="s">
        <v>4057</v>
      </c>
      <c r="M68" s="0" t="s">
        <v>240</v>
      </c>
      <c r="N68" s="0" t="s">
        <v>240</v>
      </c>
      <c r="O68" s="0" t="s">
        <v>4058</v>
      </c>
      <c r="P68" s="0" t="s">
        <v>4059</v>
      </c>
      <c r="Q68" s="0" t="s">
        <v>240</v>
      </c>
      <c r="R68" s="0" t="b">
        <v>0</v>
      </c>
      <c r="S68" s="0" t="s">
        <v>4013</v>
      </c>
    </row>
    <row customHeight="1" ht="11.25">
      <c r="A69" s="0">
        <v>2655</v>
      </c>
      <c r="B69" s="0" t="s">
        <v>102</v>
      </c>
      <c r="C69" s="0">
        <v>31232672</v>
      </c>
      <c r="D69" s="0" t="s">
        <v>3569</v>
      </c>
      <c r="E69" s="0" t="s">
        <v>3570</v>
      </c>
      <c r="F69" s="0" t="s">
        <v>3571</v>
      </c>
      <c r="G69" s="0" t="s">
        <v>3572</v>
      </c>
      <c r="H69" s="0" t="s">
        <v>3573</v>
      </c>
      <c r="I69" s="0" t="s">
        <v>3574</v>
      </c>
      <c r="J69" s="0" t="s">
        <v>3575</v>
      </c>
      <c r="K69" s="0" t="s">
        <v>3576</v>
      </c>
      <c r="L69" s="0" t="s">
        <v>3576</v>
      </c>
      <c r="M69" s="0" t="s">
        <v>3577</v>
      </c>
      <c r="N69" s="0" t="s">
        <v>3578</v>
      </c>
      <c r="O69" s="0" t="s">
        <v>3579</v>
      </c>
      <c r="P69" s="0" t="s">
        <v>3580</v>
      </c>
      <c r="Q69" s="0" t="s">
        <v>240</v>
      </c>
      <c r="R69" s="0" t="b">
        <v>0</v>
      </c>
      <c r="S69" s="0" t="s">
        <v>4013</v>
      </c>
    </row>
    <row customHeight="1" ht="11.25">
      <c r="A70" s="0">
        <v>2655</v>
      </c>
      <c r="B70" s="0" t="s">
        <v>102</v>
      </c>
      <c r="C70" s="0">
        <v>27978231</v>
      </c>
      <c r="D70" s="0" t="s">
        <v>4060</v>
      </c>
      <c r="E70" s="0" t="s">
        <v>4061</v>
      </c>
      <c r="F70" s="0" t="s">
        <v>4062</v>
      </c>
      <c r="G70" s="0" t="s">
        <v>3654</v>
      </c>
      <c r="H70" s="0" t="s">
        <v>4063</v>
      </c>
      <c r="I70" s="0" t="s">
        <v>4064</v>
      </c>
      <c r="J70" s="0" t="s">
        <v>3575</v>
      </c>
      <c r="K70" s="0" t="s">
        <v>4065</v>
      </c>
      <c r="L70" s="0" t="s">
        <v>4066</v>
      </c>
      <c r="M70" s="0" t="s">
        <v>4067</v>
      </c>
      <c r="N70" s="0" t="s">
        <v>4068</v>
      </c>
      <c r="O70" s="0" t="s">
        <v>4069</v>
      </c>
      <c r="P70" s="0" t="s">
        <v>3580</v>
      </c>
      <c r="Q70" s="0" t="s">
        <v>240</v>
      </c>
      <c r="R70" s="0" t="b">
        <v>0</v>
      </c>
      <c r="S70" s="0" t="s">
        <v>4013</v>
      </c>
    </row>
    <row customHeight="1" ht="11.25">
      <c r="A71" s="0">
        <v>2655</v>
      </c>
      <c r="B71" s="0" t="s">
        <v>102</v>
      </c>
      <c r="C71" s="0">
        <v>30808700</v>
      </c>
      <c r="D71" s="0" t="s">
        <v>3603</v>
      </c>
      <c r="E71" s="0" t="s">
        <v>3604</v>
      </c>
      <c r="F71" s="0" t="s">
        <v>3605</v>
      </c>
      <c r="G71" s="0" t="s">
        <v>3525</v>
      </c>
      <c r="H71" s="0" t="s">
        <v>3606</v>
      </c>
      <c r="I71" s="0" t="s">
        <v>3607</v>
      </c>
      <c r="J71" s="0" t="s">
        <v>3587</v>
      </c>
      <c r="K71" s="0" t="s">
        <v>3608</v>
      </c>
      <c r="L71" s="0" t="s">
        <v>3609</v>
      </c>
      <c r="M71" s="0" t="s">
        <v>3610</v>
      </c>
      <c r="N71" s="0" t="s">
        <v>3611</v>
      </c>
      <c r="O71" s="0" t="s">
        <v>3612</v>
      </c>
      <c r="P71" s="0" t="s">
        <v>3613</v>
      </c>
      <c r="Q71" s="0" t="s">
        <v>240</v>
      </c>
      <c r="R71" s="0" t="b">
        <v>1</v>
      </c>
      <c r="S71" s="0" t="s">
        <v>4013</v>
      </c>
    </row>
    <row customHeight="1" ht="11.25">
      <c r="A72" s="0">
        <v>2655</v>
      </c>
      <c r="B72" s="0" t="s">
        <v>102</v>
      </c>
      <c r="C72" s="0">
        <v>31319221</v>
      </c>
      <c r="D72" s="0" t="s">
        <v>3614</v>
      </c>
      <c r="E72" s="0" t="s">
        <v>3615</v>
      </c>
      <c r="F72" s="0" t="s">
        <v>3616</v>
      </c>
      <c r="G72" s="0" t="s">
        <v>3584</v>
      </c>
      <c r="H72" s="0" t="s">
        <v>3617</v>
      </c>
      <c r="I72" s="0" t="s">
        <v>3618</v>
      </c>
      <c r="J72" s="0" t="s">
        <v>3575</v>
      </c>
      <c r="K72" s="0" t="s">
        <v>3619</v>
      </c>
      <c r="L72" s="0" t="s">
        <v>3619</v>
      </c>
      <c r="M72" s="0" t="s">
        <v>3620</v>
      </c>
      <c r="N72" s="0" t="s">
        <v>3621</v>
      </c>
      <c r="O72" s="0" t="s">
        <v>3622</v>
      </c>
      <c r="P72" s="0" t="s">
        <v>3580</v>
      </c>
      <c r="Q72" s="0" t="s">
        <v>3623</v>
      </c>
      <c r="R72" s="0" t="b">
        <v>0</v>
      </c>
      <c r="S72" s="0" t="s">
        <v>4013</v>
      </c>
    </row>
    <row customHeight="1" ht="11.25">
      <c r="A73" s="0">
        <v>2655</v>
      </c>
      <c r="B73" s="0" t="s">
        <v>102</v>
      </c>
      <c r="C73" s="0">
        <v>31419990</v>
      </c>
      <c r="D73" s="0" t="s">
        <v>3624</v>
      </c>
      <c r="E73" s="0" t="s">
        <v>3625</v>
      </c>
      <c r="F73" s="0" t="s">
        <v>3626</v>
      </c>
      <c r="G73" s="0" t="s">
        <v>3595</v>
      </c>
      <c r="H73" s="0" t="s">
        <v>3627</v>
      </c>
      <c r="I73" s="0" t="s">
        <v>3628</v>
      </c>
      <c r="J73" s="0" t="s">
        <v>3575</v>
      </c>
      <c r="K73" s="0" t="s">
        <v>3629</v>
      </c>
      <c r="L73" s="0" t="s">
        <v>3629</v>
      </c>
      <c r="M73" s="0" t="s">
        <v>3630</v>
      </c>
      <c r="N73" s="0" t="s">
        <v>3631</v>
      </c>
      <c r="O73" s="0" t="s">
        <v>3632</v>
      </c>
      <c r="P73" s="0" t="s">
        <v>3580</v>
      </c>
      <c r="Q73" s="0" t="s">
        <v>3633</v>
      </c>
      <c r="R73" s="0" t="b">
        <v>0</v>
      </c>
      <c r="S73" s="0" t="s">
        <v>4013</v>
      </c>
    </row>
    <row customHeight="1" ht="11.25">
      <c r="A74" s="0">
        <v>2655</v>
      </c>
      <c r="B74" s="0" t="s">
        <v>102</v>
      </c>
      <c r="C74" s="0">
        <v>31343443</v>
      </c>
      <c r="D74" s="0" t="s">
        <v>3634</v>
      </c>
      <c r="E74" s="0" t="s">
        <v>3635</v>
      </c>
      <c r="F74" s="0" t="s">
        <v>3636</v>
      </c>
      <c r="G74" s="0" t="s">
        <v>3525</v>
      </c>
      <c r="H74" s="0" t="s">
        <v>3637</v>
      </c>
      <c r="I74" s="0" t="s">
        <v>3638</v>
      </c>
      <c r="J74" s="0" t="s">
        <v>3575</v>
      </c>
      <c r="K74" s="0" t="s">
        <v>3639</v>
      </c>
      <c r="L74" s="0" t="s">
        <v>3639</v>
      </c>
      <c r="N74" s="0" t="s">
        <v>3640</v>
      </c>
      <c r="O74" s="0" t="s">
        <v>3641</v>
      </c>
      <c r="P74" s="0" t="s">
        <v>3613</v>
      </c>
      <c r="R74" s="0" t="b">
        <v>0</v>
      </c>
      <c r="S74" s="0" t="s">
        <v>4013</v>
      </c>
    </row>
    <row customHeight="1" ht="11.25">
      <c r="A75" s="0">
        <v>2655</v>
      </c>
      <c r="B75" s="0" t="s">
        <v>102</v>
      </c>
      <c r="C75" s="0">
        <v>31367841</v>
      </c>
      <c r="D75" s="0" t="s">
        <v>3642</v>
      </c>
      <c r="E75" s="0" t="s">
        <v>3643</v>
      </c>
      <c r="F75" s="0" t="s">
        <v>3644</v>
      </c>
      <c r="G75" s="0" t="s">
        <v>3645</v>
      </c>
      <c r="H75" s="0" t="s">
        <v>3646</v>
      </c>
      <c r="I75" s="0" t="s">
        <v>3647</v>
      </c>
      <c r="J75" s="0" t="s">
        <v>3587</v>
      </c>
      <c r="K75" s="0" t="s">
        <v>3648</v>
      </c>
      <c r="L75" s="0" t="s">
        <v>3648</v>
      </c>
      <c r="M75" s="0" t="s">
        <v>240</v>
      </c>
      <c r="N75" s="0" t="s">
        <v>3649</v>
      </c>
      <c r="O75" s="0" t="s">
        <v>3650</v>
      </c>
      <c r="P75" s="0" t="s">
        <v>3580</v>
      </c>
      <c r="Q75" s="0" t="s">
        <v>240</v>
      </c>
      <c r="R75" s="0" t="b">
        <v>0</v>
      </c>
      <c r="S75" s="0" t="s">
        <v>4013</v>
      </c>
    </row>
    <row customHeight="1" ht="11.25">
      <c r="A76" s="0">
        <v>2655</v>
      </c>
      <c r="B76" s="0" t="s">
        <v>102</v>
      </c>
      <c r="C76" s="0">
        <v>31087651</v>
      </c>
      <c r="D76" s="0" t="s">
        <v>3651</v>
      </c>
      <c r="E76" s="0" t="s">
        <v>3652</v>
      </c>
      <c r="F76" s="0" t="s">
        <v>3653</v>
      </c>
      <c r="G76" s="0" t="s">
        <v>3654</v>
      </c>
      <c r="H76" s="0" t="s">
        <v>3655</v>
      </c>
      <c r="I76" s="0" t="s">
        <v>3656</v>
      </c>
      <c r="J76" s="0" t="s">
        <v>3575</v>
      </c>
      <c r="K76" s="0" t="s">
        <v>3657</v>
      </c>
      <c r="L76" s="0" t="s">
        <v>3657</v>
      </c>
      <c r="M76" s="0" t="s">
        <v>3658</v>
      </c>
      <c r="N76" s="0" t="s">
        <v>3659</v>
      </c>
      <c r="O76" s="0" t="s">
        <v>3660</v>
      </c>
      <c r="R76" s="0" t="b">
        <v>0</v>
      </c>
      <c r="S76" s="0" t="s">
        <v>4013</v>
      </c>
    </row>
    <row customHeight="1" ht="11.25">
      <c r="A77" s="0">
        <v>2655</v>
      </c>
      <c r="B77" s="0" t="s">
        <v>102</v>
      </c>
      <c r="C77" s="0">
        <v>31367862</v>
      </c>
      <c r="D77" s="0" t="s">
        <v>3661</v>
      </c>
      <c r="E77" s="0" t="s">
        <v>3662</v>
      </c>
      <c r="F77" s="0" t="s">
        <v>3663</v>
      </c>
      <c r="G77" s="0" t="s">
        <v>3645</v>
      </c>
      <c r="H77" s="0" t="s">
        <v>3664</v>
      </c>
      <c r="I77" s="0" t="s">
        <v>3665</v>
      </c>
      <c r="J77" s="0" t="s">
        <v>3575</v>
      </c>
      <c r="K77" s="0" t="s">
        <v>3666</v>
      </c>
      <c r="L77" s="0" t="s">
        <v>3666</v>
      </c>
      <c r="M77" s="0" t="s">
        <v>240</v>
      </c>
      <c r="N77" s="0" t="s">
        <v>3667</v>
      </c>
      <c r="O77" s="0" t="s">
        <v>3668</v>
      </c>
      <c r="P77" s="0" t="s">
        <v>3580</v>
      </c>
      <c r="Q77" s="0" t="s">
        <v>240</v>
      </c>
      <c r="R77" s="0" t="b">
        <v>0</v>
      </c>
      <c r="S77" s="0" t="s">
        <v>4013</v>
      </c>
    </row>
    <row customHeight="1" ht="11.25">
      <c r="A78" s="0">
        <v>2655</v>
      </c>
      <c r="B78" s="0" t="s">
        <v>102</v>
      </c>
      <c r="C78" s="0">
        <v>31329806</v>
      </c>
      <c r="D78" s="0" t="s">
        <v>4070</v>
      </c>
      <c r="E78" s="0" t="s">
        <v>4071</v>
      </c>
      <c r="F78" s="0" t="s">
        <v>4072</v>
      </c>
      <c r="G78" s="0" t="s">
        <v>3481</v>
      </c>
      <c r="H78" s="0" t="s">
        <v>4073</v>
      </c>
      <c r="I78" s="0" t="s">
        <v>4074</v>
      </c>
      <c r="J78" s="0" t="s">
        <v>3587</v>
      </c>
      <c r="K78" s="0" t="s">
        <v>4075</v>
      </c>
      <c r="L78" s="0" t="s">
        <v>4075</v>
      </c>
      <c r="M78" s="0" t="s">
        <v>4076</v>
      </c>
      <c r="N78" s="0" t="s">
        <v>4077</v>
      </c>
      <c r="O78" s="0" t="s">
        <v>4078</v>
      </c>
      <c r="P78" s="0" t="s">
        <v>3580</v>
      </c>
      <c r="Q78" s="0" t="s">
        <v>4079</v>
      </c>
      <c r="R78" s="0" t="b">
        <v>0</v>
      </c>
      <c r="S78" s="0" t="s">
        <v>4013</v>
      </c>
    </row>
    <row customHeight="1" ht="11.25">
      <c r="A79" s="0">
        <v>2655</v>
      </c>
      <c r="B79" s="0" t="s">
        <v>102</v>
      </c>
      <c r="C79" s="0">
        <v>31003143</v>
      </c>
      <c r="D79" s="0" t="s">
        <v>3691</v>
      </c>
      <c r="E79" s="0" t="s">
        <v>3692</v>
      </c>
      <c r="F79" s="0" t="s">
        <v>3693</v>
      </c>
      <c r="G79" s="0" t="s">
        <v>3683</v>
      </c>
      <c r="H79" s="0" t="s">
        <v>3694</v>
      </c>
      <c r="I79" s="0" t="s">
        <v>3695</v>
      </c>
      <c r="J79" s="0" t="s">
        <v>3587</v>
      </c>
      <c r="K79" s="0" t="s">
        <v>3696</v>
      </c>
      <c r="L79" s="0" t="s">
        <v>3697</v>
      </c>
      <c r="M79" s="0" t="s">
        <v>3698</v>
      </c>
      <c r="N79" s="0" t="s">
        <v>3699</v>
      </c>
      <c r="O79" s="0" t="s">
        <v>3700</v>
      </c>
      <c r="P79" s="0" t="s">
        <v>3580</v>
      </c>
      <c r="Q79" s="0" t="s">
        <v>240</v>
      </c>
      <c r="R79" s="0" t="b">
        <v>1</v>
      </c>
      <c r="S79" s="0" t="s">
        <v>4013</v>
      </c>
    </row>
    <row customHeight="1" ht="11.25">
      <c r="A80" s="0">
        <v>2655</v>
      </c>
      <c r="B80" s="0" t="s">
        <v>102</v>
      </c>
      <c r="C80" s="0">
        <v>31308226</v>
      </c>
      <c r="D80" s="0" t="s">
        <v>3701</v>
      </c>
      <c r="E80" s="0" t="s">
        <v>3702</v>
      </c>
      <c r="F80" s="0" t="s">
        <v>3703</v>
      </c>
      <c r="G80" s="0" t="s">
        <v>3704</v>
      </c>
      <c r="H80" s="0" t="s">
        <v>3705</v>
      </c>
      <c r="I80" s="0" t="s">
        <v>3706</v>
      </c>
      <c r="J80" s="0" t="s">
        <v>3587</v>
      </c>
      <c r="K80" s="0" t="s">
        <v>3707</v>
      </c>
      <c r="L80" s="0" t="s">
        <v>3707</v>
      </c>
      <c r="M80" s="0" t="s">
        <v>3708</v>
      </c>
      <c r="N80" s="0" t="s">
        <v>3709</v>
      </c>
      <c r="O80" s="0" t="s">
        <v>3710</v>
      </c>
      <c r="P80" s="0" t="s">
        <v>3613</v>
      </c>
      <c r="Q80" s="0" t="s">
        <v>240</v>
      </c>
      <c r="R80" s="0" t="b">
        <v>1</v>
      </c>
      <c r="S80" s="0" t="s">
        <v>4013</v>
      </c>
    </row>
    <row customHeight="1" ht="11.25">
      <c r="A81" s="0">
        <v>2655</v>
      </c>
      <c r="B81" s="0" t="s">
        <v>102</v>
      </c>
      <c r="C81" s="0">
        <v>31284269</v>
      </c>
      <c r="D81" s="0" t="s">
        <v>3711</v>
      </c>
      <c r="E81" s="0" t="s">
        <v>3712</v>
      </c>
      <c r="F81" s="0" t="s">
        <v>3713</v>
      </c>
      <c r="G81" s="0" t="s">
        <v>3654</v>
      </c>
      <c r="H81" s="0" t="s">
        <v>3714</v>
      </c>
      <c r="I81" s="0" t="s">
        <v>3715</v>
      </c>
      <c r="J81" s="0" t="s">
        <v>3587</v>
      </c>
      <c r="K81" s="0" t="s">
        <v>3716</v>
      </c>
      <c r="L81" s="0" t="s">
        <v>3717</v>
      </c>
      <c r="M81" s="0" t="s">
        <v>3718</v>
      </c>
      <c r="N81" s="0" t="s">
        <v>3719</v>
      </c>
      <c r="O81" s="0" t="s">
        <v>3720</v>
      </c>
      <c r="P81" s="0" t="s">
        <v>3580</v>
      </c>
      <c r="Q81" s="0" t="s">
        <v>240</v>
      </c>
      <c r="R81" s="0" t="b">
        <v>0</v>
      </c>
      <c r="S81" s="0" t="s">
        <v>4013</v>
      </c>
    </row>
    <row customHeight="1" ht="11.25">
      <c r="A82" s="0">
        <v>2655</v>
      </c>
      <c r="B82" s="0" t="s">
        <v>102</v>
      </c>
      <c r="C82" s="0">
        <v>31241680</v>
      </c>
      <c r="D82" s="0" t="s">
        <v>3721</v>
      </c>
      <c r="E82" s="0" t="s">
        <v>3722</v>
      </c>
      <c r="F82" s="0" t="s">
        <v>3723</v>
      </c>
      <c r="G82" s="0" t="s">
        <v>3595</v>
      </c>
      <c r="H82" s="0" t="s">
        <v>3724</v>
      </c>
      <c r="I82" s="0" t="s">
        <v>3725</v>
      </c>
      <c r="J82" s="0" t="s">
        <v>3587</v>
      </c>
      <c r="K82" s="0" t="s">
        <v>3726</v>
      </c>
      <c r="L82" s="0" t="s">
        <v>3726</v>
      </c>
      <c r="M82" s="0" t="s">
        <v>3727</v>
      </c>
      <c r="N82" s="0" t="s">
        <v>3728</v>
      </c>
      <c r="O82" s="0" t="s">
        <v>3729</v>
      </c>
      <c r="P82" s="0" t="s">
        <v>3613</v>
      </c>
      <c r="Q82" s="0" t="s">
        <v>3730</v>
      </c>
      <c r="R82" s="0" t="b">
        <v>0</v>
      </c>
      <c r="S82" s="0" t="s">
        <v>4013</v>
      </c>
    </row>
    <row customHeight="1" ht="11.25">
      <c r="A83" s="0">
        <v>2655</v>
      </c>
      <c r="B83" s="0" t="s">
        <v>102</v>
      </c>
      <c r="C83" s="0">
        <v>31579664</v>
      </c>
      <c r="D83" s="0" t="s">
        <v>3731</v>
      </c>
      <c r="E83" s="0" t="s">
        <v>3732</v>
      </c>
      <c r="F83" s="0" t="s">
        <v>3733</v>
      </c>
      <c r="G83" s="0" t="s">
        <v>3525</v>
      </c>
      <c r="H83" s="0" t="s">
        <v>3734</v>
      </c>
      <c r="I83" s="0" t="s">
        <v>3735</v>
      </c>
      <c r="K83" s="0" t="s">
        <v>3736</v>
      </c>
      <c r="L83" s="0" t="s">
        <v>3737</v>
      </c>
      <c r="M83" s="0" t="s">
        <v>3738</v>
      </c>
      <c r="N83" s="0" t="s">
        <v>3739</v>
      </c>
      <c r="O83" s="0" t="s">
        <v>3740</v>
      </c>
      <c r="P83" s="0" t="s">
        <v>3580</v>
      </c>
      <c r="Q83" s="0" t="s">
        <v>3739</v>
      </c>
      <c r="R83" s="0" t="b">
        <v>1</v>
      </c>
      <c r="S83" s="0" t="s">
        <v>4013</v>
      </c>
    </row>
    <row customHeight="1" ht="11.25">
      <c r="A84" s="0">
        <v>2655</v>
      </c>
      <c r="B84" s="0" t="s">
        <v>102</v>
      </c>
      <c r="C84" s="0">
        <v>26322895</v>
      </c>
      <c r="D84" s="0" t="s">
        <v>112</v>
      </c>
      <c r="E84" s="0" t="s">
        <v>115</v>
      </c>
      <c r="F84" s="0" t="s">
        <v>121</v>
      </c>
      <c r="G84" s="0" t="s">
        <v>123</v>
      </c>
      <c r="H84" s="0" t="s">
        <v>119</v>
      </c>
      <c r="I84" s="0" t="s">
        <v>125</v>
      </c>
      <c r="J84" s="0" t="s">
        <v>3517</v>
      </c>
      <c r="K84" s="0" t="s">
        <v>131</v>
      </c>
      <c r="L84" s="0" t="s">
        <v>131</v>
      </c>
      <c r="M84" s="0" t="s">
        <v>136</v>
      </c>
      <c r="N84" s="0" t="s">
        <v>139</v>
      </c>
      <c r="O84" s="0" t="s">
        <v>142</v>
      </c>
      <c r="P84" s="0" t="s">
        <v>145</v>
      </c>
      <c r="Q84" s="0" t="s">
        <v>148</v>
      </c>
      <c r="R84" s="0" t="b">
        <v>0</v>
      </c>
      <c r="S84" s="0" t="s">
        <v>4013</v>
      </c>
    </row>
    <row customHeight="1" ht="11.25">
      <c r="A85" s="0">
        <v>2655</v>
      </c>
      <c r="B85" s="0" t="s">
        <v>102</v>
      </c>
      <c r="C85" s="0">
        <v>27784286</v>
      </c>
      <c r="D85" s="0" t="s">
        <v>4080</v>
      </c>
      <c r="E85" s="0" t="s">
        <v>4081</v>
      </c>
      <c r="F85" s="0" t="s">
        <v>4082</v>
      </c>
      <c r="G85" s="0" t="s">
        <v>3704</v>
      </c>
      <c r="H85" s="0" t="s">
        <v>4083</v>
      </c>
      <c r="I85" s="0" t="s">
        <v>4084</v>
      </c>
      <c r="K85" s="0" t="s">
        <v>4085</v>
      </c>
      <c r="L85" s="0" t="s">
        <v>4085</v>
      </c>
      <c r="M85" s="0" t="s">
        <v>4086</v>
      </c>
      <c r="N85" s="0" t="s">
        <v>4087</v>
      </c>
      <c r="O85" s="0" t="s">
        <v>4088</v>
      </c>
      <c r="P85" s="0" t="s">
        <v>145</v>
      </c>
      <c r="Q85" s="0" t="s">
        <v>4089</v>
      </c>
      <c r="R85" s="0" t="b">
        <v>0</v>
      </c>
      <c r="S85" s="0" t="s">
        <v>4013</v>
      </c>
    </row>
    <row customHeight="1" ht="11.25">
      <c r="A86" s="0">
        <v>2655</v>
      </c>
      <c r="B86" s="0" t="s">
        <v>102</v>
      </c>
      <c r="C86" s="0">
        <v>26428076</v>
      </c>
      <c r="D86" s="0" t="s">
        <v>4090</v>
      </c>
      <c r="E86" s="0" t="s">
        <v>4091</v>
      </c>
      <c r="F86" s="0" t="s">
        <v>4092</v>
      </c>
      <c r="G86" s="0" t="s">
        <v>3683</v>
      </c>
      <c r="H86" s="0" t="s">
        <v>4093</v>
      </c>
      <c r="I86" s="0" t="s">
        <v>240</v>
      </c>
      <c r="K86" s="0" t="s">
        <v>4094</v>
      </c>
      <c r="L86" s="0" t="s">
        <v>4094</v>
      </c>
      <c r="M86" s="0" t="s">
        <v>4095</v>
      </c>
      <c r="N86" s="0" t="s">
        <v>4096</v>
      </c>
      <c r="O86" s="0" t="s">
        <v>240</v>
      </c>
      <c r="P86" s="0" t="s">
        <v>240</v>
      </c>
      <c r="Q86" s="0" t="s">
        <v>240</v>
      </c>
      <c r="R86" s="0" t="b">
        <v>0</v>
      </c>
      <c r="S86" s="0" t="s">
        <v>4013</v>
      </c>
    </row>
    <row customHeight="1" ht="11.25">
      <c r="A87" s="0">
        <v>2655</v>
      </c>
      <c r="B87" s="0" t="s">
        <v>102</v>
      </c>
      <c r="C87" s="0">
        <v>28954370</v>
      </c>
      <c r="D87" s="0" t="s">
        <v>4097</v>
      </c>
      <c r="E87" s="0" t="s">
        <v>4098</v>
      </c>
      <c r="F87" s="0" t="s">
        <v>4099</v>
      </c>
      <c r="G87" s="0" t="s">
        <v>3683</v>
      </c>
      <c r="H87" s="0" t="s">
        <v>4100</v>
      </c>
      <c r="I87" s="0" t="s">
        <v>4101</v>
      </c>
      <c r="J87" s="0" t="s">
        <v>3745</v>
      </c>
      <c r="K87" s="0" t="s">
        <v>4102</v>
      </c>
      <c r="L87" s="0" t="s">
        <v>4102</v>
      </c>
      <c r="M87" s="0" t="s">
        <v>4103</v>
      </c>
      <c r="N87" s="0" t="s">
        <v>4104</v>
      </c>
      <c r="O87" s="0" t="s">
        <v>4105</v>
      </c>
      <c r="P87" s="0" t="s">
        <v>3580</v>
      </c>
      <c r="Q87" s="0" t="s">
        <v>240</v>
      </c>
      <c r="R87" s="0" t="b">
        <v>1</v>
      </c>
      <c r="S87" s="0" t="s">
        <v>4013</v>
      </c>
    </row>
    <row customHeight="1" ht="11.25">
      <c r="A88" s="0">
        <v>2655</v>
      </c>
      <c r="B88" s="0" t="s">
        <v>102</v>
      </c>
      <c r="C88" s="0">
        <v>31774016</v>
      </c>
      <c r="D88" s="0" t="s">
        <v>4106</v>
      </c>
      <c r="E88" s="0" t="s">
        <v>4107</v>
      </c>
      <c r="F88" s="0" t="s">
        <v>4108</v>
      </c>
      <c r="G88" s="0" t="s">
        <v>3704</v>
      </c>
      <c r="H88" s="0" t="s">
        <v>4109</v>
      </c>
      <c r="I88" s="0" t="s">
        <v>4110</v>
      </c>
      <c r="K88" s="0" t="s">
        <v>4111</v>
      </c>
      <c r="L88" s="0" t="s">
        <v>4112</v>
      </c>
      <c r="M88" s="0" t="s">
        <v>4113</v>
      </c>
      <c r="N88" s="0" t="s">
        <v>4114</v>
      </c>
      <c r="O88" s="0" t="s">
        <v>4115</v>
      </c>
      <c r="P88" s="0" t="s">
        <v>3465</v>
      </c>
      <c r="Q88" s="0" t="s">
        <v>240</v>
      </c>
      <c r="R88" s="0" t="b">
        <v>1</v>
      </c>
      <c r="S88" s="0" t="s">
        <v>4013</v>
      </c>
    </row>
    <row customHeight="1" ht="11.25">
      <c r="A89" s="0">
        <v>2655</v>
      </c>
      <c r="B89" s="0" t="s">
        <v>102</v>
      </c>
      <c r="C89" s="0">
        <v>28869965</v>
      </c>
      <c r="D89" s="0" t="s">
        <v>3759</v>
      </c>
      <c r="E89" s="0" t="s">
        <v>3760</v>
      </c>
      <c r="F89" s="0" t="s">
        <v>3761</v>
      </c>
      <c r="G89" s="0" t="s">
        <v>3572</v>
      </c>
      <c r="H89" s="0" t="s">
        <v>3762</v>
      </c>
      <c r="I89" s="0" t="s">
        <v>240</v>
      </c>
      <c r="J89" s="0" t="s">
        <v>3745</v>
      </c>
      <c r="K89" s="0" t="s">
        <v>3763</v>
      </c>
      <c r="L89" s="0" t="s">
        <v>3763</v>
      </c>
      <c r="M89" s="0" t="s">
        <v>3764</v>
      </c>
      <c r="N89" s="0" t="s">
        <v>3765</v>
      </c>
      <c r="O89" s="0" t="s">
        <v>3766</v>
      </c>
      <c r="P89" s="0" t="s">
        <v>145</v>
      </c>
      <c r="Q89" s="0" t="s">
        <v>3767</v>
      </c>
      <c r="R89" s="0" t="b">
        <v>0</v>
      </c>
      <c r="S89" s="0" t="s">
        <v>4013</v>
      </c>
    </row>
    <row customHeight="1" ht="11.25">
      <c r="A90" s="0">
        <v>2655</v>
      </c>
      <c r="B90" s="0" t="s">
        <v>102</v>
      </c>
      <c r="C90" s="0">
        <v>28113313</v>
      </c>
      <c r="D90" s="0" t="s">
        <v>4116</v>
      </c>
      <c r="E90" s="0" t="s">
        <v>4117</v>
      </c>
      <c r="F90" s="0" t="s">
        <v>4118</v>
      </c>
      <c r="G90" s="0" t="s">
        <v>3781</v>
      </c>
      <c r="H90" s="0" t="s">
        <v>4119</v>
      </c>
      <c r="I90" s="0" t="s">
        <v>240</v>
      </c>
      <c r="J90" s="0" t="s">
        <v>3745</v>
      </c>
      <c r="K90" s="0" t="s">
        <v>4120</v>
      </c>
      <c r="L90" s="0" t="s">
        <v>4121</v>
      </c>
      <c r="M90" s="0" t="s">
        <v>240</v>
      </c>
      <c r="N90" s="0" t="s">
        <v>240</v>
      </c>
      <c r="O90" s="0" t="s">
        <v>3788</v>
      </c>
      <c r="P90" s="0" t="s">
        <v>3465</v>
      </c>
      <c r="Q90" s="0" t="s">
        <v>240</v>
      </c>
      <c r="R90" s="0" t="b">
        <v>1</v>
      </c>
      <c r="S90" s="0" t="s">
        <v>4013</v>
      </c>
    </row>
    <row customHeight="1" ht="11.25">
      <c r="A91" s="0">
        <v>2655</v>
      </c>
      <c r="B91" s="0" t="s">
        <v>102</v>
      </c>
      <c r="C91" s="0">
        <v>26428030</v>
      </c>
      <c r="D91" s="0" t="s">
        <v>4122</v>
      </c>
      <c r="E91" s="0" t="s">
        <v>4123</v>
      </c>
      <c r="F91" s="0" t="s">
        <v>4124</v>
      </c>
      <c r="G91" s="0" t="s">
        <v>3683</v>
      </c>
      <c r="H91" s="0" t="s">
        <v>4125</v>
      </c>
      <c r="I91" s="0" t="s">
        <v>240</v>
      </c>
      <c r="K91" s="0" t="s">
        <v>4126</v>
      </c>
      <c r="L91" s="0" t="s">
        <v>4126</v>
      </c>
      <c r="M91" s="0" t="s">
        <v>4127</v>
      </c>
      <c r="N91" s="0" t="s">
        <v>4128</v>
      </c>
      <c r="O91" s="0" t="s">
        <v>240</v>
      </c>
      <c r="P91" s="0" t="s">
        <v>240</v>
      </c>
      <c r="Q91" s="0" t="s">
        <v>240</v>
      </c>
      <c r="R91" s="0" t="b">
        <v>0</v>
      </c>
      <c r="S91" s="0" t="s">
        <v>4013</v>
      </c>
    </row>
    <row customHeight="1" ht="11.25">
      <c r="A92" s="0">
        <v>2655</v>
      </c>
      <c r="B92" s="0" t="s">
        <v>102</v>
      </c>
      <c r="C92" s="0">
        <v>31356597</v>
      </c>
      <c r="D92" s="0" t="s">
        <v>3768</v>
      </c>
      <c r="E92" s="0" t="s">
        <v>3769</v>
      </c>
      <c r="F92" s="0" t="s">
        <v>3770</v>
      </c>
      <c r="G92" s="0" t="s">
        <v>3654</v>
      </c>
      <c r="H92" s="0" t="s">
        <v>3771</v>
      </c>
      <c r="I92" s="0" t="s">
        <v>3772</v>
      </c>
      <c r="J92" s="0" t="s">
        <v>3745</v>
      </c>
      <c r="K92" s="0" t="s">
        <v>3773</v>
      </c>
      <c r="L92" s="0" t="s">
        <v>3773</v>
      </c>
      <c r="M92" s="0" t="s">
        <v>3774</v>
      </c>
      <c r="N92" s="0" t="s">
        <v>3775</v>
      </c>
      <c r="O92" s="0" t="s">
        <v>3776</v>
      </c>
      <c r="P92" s="0" t="s">
        <v>3777</v>
      </c>
      <c r="Q92" s="0" t="s">
        <v>240</v>
      </c>
      <c r="R92" s="0" t="b">
        <v>0</v>
      </c>
      <c r="S92" s="0" t="s">
        <v>4013</v>
      </c>
    </row>
    <row customHeight="1" ht="11.25">
      <c r="A93" s="0">
        <v>2655</v>
      </c>
      <c r="B93" s="0" t="s">
        <v>102</v>
      </c>
      <c r="C93" s="0">
        <v>28136671</v>
      </c>
      <c r="D93" s="0" t="s">
        <v>3778</v>
      </c>
      <c r="E93" s="0" t="s">
        <v>3779</v>
      </c>
      <c r="F93" s="0" t="s">
        <v>3780</v>
      </c>
      <c r="G93" s="0" t="s">
        <v>3781</v>
      </c>
      <c r="H93" s="0" t="s">
        <v>3782</v>
      </c>
      <c r="I93" s="0" t="s">
        <v>3783</v>
      </c>
      <c r="J93" s="0" t="s">
        <v>3745</v>
      </c>
      <c r="K93" s="0" t="s">
        <v>3784</v>
      </c>
      <c r="L93" s="0" t="s">
        <v>3785</v>
      </c>
      <c r="M93" s="0" t="s">
        <v>3786</v>
      </c>
      <c r="N93" s="0" t="s">
        <v>3787</v>
      </c>
      <c r="O93" s="0" t="s">
        <v>3788</v>
      </c>
      <c r="P93" s="0" t="s">
        <v>3465</v>
      </c>
      <c r="Q93" s="0" t="s">
        <v>240</v>
      </c>
      <c r="R93" s="0" t="b">
        <v>1</v>
      </c>
      <c r="S93" s="0" t="s">
        <v>4013</v>
      </c>
    </row>
    <row customHeight="1" ht="11.25">
      <c r="A94" s="0">
        <v>2655</v>
      </c>
      <c r="B94" s="0" t="s">
        <v>102</v>
      </c>
      <c r="C94" s="0">
        <v>27838991</v>
      </c>
      <c r="D94" s="0" t="s">
        <v>4129</v>
      </c>
      <c r="E94" s="0" t="s">
        <v>4130</v>
      </c>
      <c r="F94" s="0" t="s">
        <v>4131</v>
      </c>
      <c r="G94" s="0" t="s">
        <v>3481</v>
      </c>
      <c r="H94" s="0" t="s">
        <v>4132</v>
      </c>
      <c r="I94" s="0" t="s">
        <v>4133</v>
      </c>
      <c r="J94" s="0" t="s">
        <v>3745</v>
      </c>
      <c r="K94" s="0" t="s">
        <v>4134</v>
      </c>
      <c r="L94" s="0" t="s">
        <v>4135</v>
      </c>
      <c r="M94" s="0" t="s">
        <v>4136</v>
      </c>
      <c r="N94" s="0" t="s">
        <v>4137</v>
      </c>
      <c r="O94" s="0" t="s">
        <v>4138</v>
      </c>
      <c r="P94" s="0" t="s">
        <v>145</v>
      </c>
      <c r="Q94" s="0" t="s">
        <v>240</v>
      </c>
      <c r="R94" s="0" t="b">
        <v>0</v>
      </c>
      <c r="S94" s="0" t="s">
        <v>4013</v>
      </c>
    </row>
    <row customHeight="1" ht="11.25">
      <c r="A95" s="0">
        <v>2655</v>
      </c>
      <c r="B95" s="0" t="s">
        <v>102</v>
      </c>
      <c r="C95" s="0">
        <v>26428026</v>
      </c>
      <c r="D95" s="0" t="s">
        <v>3820</v>
      </c>
      <c r="E95" s="0" t="s">
        <v>3821</v>
      </c>
      <c r="F95" s="0" t="s">
        <v>3822</v>
      </c>
      <c r="G95" s="0" t="s">
        <v>3823</v>
      </c>
      <c r="H95" s="0" t="s">
        <v>3824</v>
      </c>
      <c r="I95" s="0" t="s">
        <v>240</v>
      </c>
      <c r="K95" s="0" t="s">
        <v>3825</v>
      </c>
      <c r="L95" s="0" t="s">
        <v>3825</v>
      </c>
      <c r="M95" s="0" t="s">
        <v>3826</v>
      </c>
      <c r="N95" s="0" t="s">
        <v>3827</v>
      </c>
      <c r="O95" s="0" t="s">
        <v>3828</v>
      </c>
      <c r="P95" s="0" t="s">
        <v>3580</v>
      </c>
      <c r="Q95" s="0" t="s">
        <v>240</v>
      </c>
      <c r="R95" s="0" t="b">
        <v>1</v>
      </c>
      <c r="S95" s="0" t="s">
        <v>4013</v>
      </c>
    </row>
    <row customHeight="1" ht="11.25">
      <c r="A96" s="0">
        <v>2655</v>
      </c>
      <c r="B96" s="0" t="s">
        <v>102</v>
      </c>
      <c r="C96" s="0">
        <v>31739633</v>
      </c>
      <c r="D96" s="0" t="s">
        <v>3839</v>
      </c>
      <c r="E96" s="0" t="s">
        <v>3840</v>
      </c>
      <c r="F96" s="0" t="s">
        <v>3841</v>
      </c>
      <c r="G96" s="0" t="s">
        <v>3842</v>
      </c>
      <c r="H96" s="0" t="s">
        <v>3843</v>
      </c>
      <c r="I96" s="0" t="s">
        <v>3844</v>
      </c>
      <c r="K96" s="0" t="s">
        <v>3845</v>
      </c>
      <c r="L96" s="0" t="s">
        <v>3845</v>
      </c>
      <c r="M96" s="0" t="s">
        <v>3846</v>
      </c>
      <c r="N96" s="0" t="s">
        <v>3847</v>
      </c>
      <c r="O96" s="0" t="s">
        <v>3848</v>
      </c>
      <c r="P96" s="0" t="s">
        <v>3613</v>
      </c>
      <c r="Q96" s="0" t="s">
        <v>240</v>
      </c>
      <c r="R96" s="0" t="b">
        <v>0</v>
      </c>
      <c r="S96" s="0" t="s">
        <v>4013</v>
      </c>
    </row>
    <row customHeight="1" ht="11.25">
      <c r="A97" s="0">
        <v>2655</v>
      </c>
      <c r="B97" s="0" t="s">
        <v>102</v>
      </c>
      <c r="C97" s="0">
        <v>31541617</v>
      </c>
      <c r="D97" s="0" t="s">
        <v>3849</v>
      </c>
      <c r="E97" s="0" t="s">
        <v>3850</v>
      </c>
      <c r="F97" s="0" t="s">
        <v>3851</v>
      </c>
      <c r="G97" s="0" t="s">
        <v>3852</v>
      </c>
      <c r="H97" s="0" t="s">
        <v>3853</v>
      </c>
      <c r="I97" s="0" t="s">
        <v>3854</v>
      </c>
      <c r="K97" s="0" t="s">
        <v>3855</v>
      </c>
      <c r="L97" s="0" t="s">
        <v>3855</v>
      </c>
      <c r="M97" s="0" t="s">
        <v>3856</v>
      </c>
      <c r="N97" s="0" t="s">
        <v>3857</v>
      </c>
      <c r="O97" s="0" t="s">
        <v>3858</v>
      </c>
      <c r="P97" s="0" t="s">
        <v>3613</v>
      </c>
      <c r="Q97" s="0" t="s">
        <v>240</v>
      </c>
      <c r="R97" s="0" t="b">
        <v>1</v>
      </c>
      <c r="S97" s="0" t="s">
        <v>4013</v>
      </c>
    </row>
    <row customHeight="1" ht="11.25">
      <c r="A98" s="0">
        <v>2655</v>
      </c>
      <c r="B98" s="0" t="s">
        <v>102</v>
      </c>
      <c r="C98" s="0">
        <v>31834877</v>
      </c>
      <c r="D98" s="0" t="s">
        <v>4139</v>
      </c>
      <c r="E98" s="0" t="s">
        <v>4139</v>
      </c>
      <c r="F98" s="0" t="s">
        <v>4140</v>
      </c>
      <c r="G98" s="0" t="s">
        <v>3470</v>
      </c>
      <c r="H98" s="0" t="s">
        <v>4141</v>
      </c>
      <c r="I98" s="0" t="s">
        <v>4142</v>
      </c>
      <c r="K98" s="0" t="s">
        <v>4143</v>
      </c>
      <c r="L98" s="0" t="s">
        <v>4144</v>
      </c>
      <c r="M98" s="0" t="s">
        <v>240</v>
      </c>
      <c r="N98" s="0" t="s">
        <v>4145</v>
      </c>
      <c r="O98" s="0" t="s">
        <v>4146</v>
      </c>
      <c r="P98" s="0" t="s">
        <v>3465</v>
      </c>
      <c r="Q98" s="0" t="s">
        <v>4147</v>
      </c>
      <c r="R98" s="0" t="b">
        <v>0</v>
      </c>
      <c r="S98" s="0" t="s">
        <v>4013</v>
      </c>
    </row>
    <row customHeight="1" ht="11.25">
      <c r="A99" s="0">
        <v>2655</v>
      </c>
      <c r="B99" s="0" t="s">
        <v>102</v>
      </c>
      <c r="C99" s="0">
        <v>26356891</v>
      </c>
      <c r="D99" s="0" t="s">
        <v>3870</v>
      </c>
      <c r="E99" s="0" t="s">
        <v>3871</v>
      </c>
      <c r="F99" s="0" t="s">
        <v>3872</v>
      </c>
      <c r="G99" s="0" t="s">
        <v>3683</v>
      </c>
      <c r="H99" s="0" t="s">
        <v>3873</v>
      </c>
      <c r="I99" s="0" t="s">
        <v>3874</v>
      </c>
      <c r="J99" s="0" t="s">
        <v>3745</v>
      </c>
      <c r="K99" s="0" t="s">
        <v>3875</v>
      </c>
      <c r="L99" s="0" t="s">
        <v>3875</v>
      </c>
      <c r="M99" s="0" t="s">
        <v>3876</v>
      </c>
      <c r="N99" s="0" t="s">
        <v>3877</v>
      </c>
      <c r="O99" s="0" t="s">
        <v>3878</v>
      </c>
      <c r="P99" s="0" t="s">
        <v>3580</v>
      </c>
      <c r="Q99" s="0" t="s">
        <v>240</v>
      </c>
      <c r="R99" s="0" t="b">
        <v>0</v>
      </c>
      <c r="S99" s="0" t="s">
        <v>4013</v>
      </c>
    </row>
    <row customHeight="1" ht="11.25">
      <c r="A100" s="0">
        <v>2655</v>
      </c>
      <c r="B100" s="0" t="s">
        <v>102</v>
      </c>
      <c r="C100" s="0">
        <v>31241637</v>
      </c>
      <c r="D100" s="0" t="s">
        <v>3879</v>
      </c>
      <c r="E100" s="0" t="s">
        <v>3880</v>
      </c>
      <c r="F100" s="0" t="s">
        <v>3881</v>
      </c>
      <c r="G100" s="0" t="s">
        <v>3704</v>
      </c>
      <c r="H100" s="0" t="s">
        <v>3882</v>
      </c>
      <c r="I100" s="0" t="s">
        <v>3883</v>
      </c>
      <c r="J100" s="0" t="s">
        <v>3745</v>
      </c>
      <c r="K100" s="0" t="s">
        <v>3884</v>
      </c>
      <c r="L100" s="0" t="s">
        <v>3884</v>
      </c>
      <c r="M100" s="0" t="s">
        <v>3885</v>
      </c>
      <c r="N100" s="0" t="s">
        <v>240</v>
      </c>
      <c r="O100" s="0" t="s">
        <v>3886</v>
      </c>
      <c r="P100" s="0" t="s">
        <v>3613</v>
      </c>
      <c r="Q100" s="0" t="s">
        <v>240</v>
      </c>
      <c r="R100" s="0" t="b">
        <v>0</v>
      </c>
      <c r="S100" s="0" t="s">
        <v>4013</v>
      </c>
    </row>
    <row customHeight="1" ht="11.25">
      <c r="A101" s="0">
        <v>2655</v>
      </c>
      <c r="B101" s="0" t="s">
        <v>102</v>
      </c>
      <c r="C101" s="0">
        <v>28819708</v>
      </c>
      <c r="D101" s="0" t="s">
        <v>4148</v>
      </c>
      <c r="E101" s="0" t="s">
        <v>4149</v>
      </c>
      <c r="F101" s="0" t="s">
        <v>4150</v>
      </c>
      <c r="G101" s="0" t="s">
        <v>3584</v>
      </c>
      <c r="H101" s="0" t="s">
        <v>4151</v>
      </c>
      <c r="I101" s="0" t="s">
        <v>4152</v>
      </c>
      <c r="J101" s="0" t="s">
        <v>3745</v>
      </c>
      <c r="K101" s="0" t="s">
        <v>4153</v>
      </c>
      <c r="L101" s="0" t="s">
        <v>4153</v>
      </c>
      <c r="M101" s="0" t="s">
        <v>240</v>
      </c>
      <c r="N101" s="0" t="s">
        <v>4154</v>
      </c>
      <c r="O101" s="0" t="s">
        <v>4155</v>
      </c>
      <c r="P101" s="0" t="s">
        <v>3580</v>
      </c>
      <c r="Q101" s="0" t="s">
        <v>240</v>
      </c>
      <c r="R101" s="0" t="b">
        <v>0</v>
      </c>
      <c r="S101" s="0" t="s">
        <v>4013</v>
      </c>
    </row>
    <row customHeight="1" ht="11.25">
      <c r="A102" s="0">
        <v>2655</v>
      </c>
      <c r="B102" s="0" t="s">
        <v>102</v>
      </c>
      <c r="C102" s="0">
        <v>26356937</v>
      </c>
      <c r="D102" s="0" t="s">
        <v>3887</v>
      </c>
      <c r="E102" s="0" t="s">
        <v>3888</v>
      </c>
      <c r="F102" s="0" t="s">
        <v>3889</v>
      </c>
      <c r="G102" s="0" t="s">
        <v>3752</v>
      </c>
      <c r="H102" s="0" t="s">
        <v>3890</v>
      </c>
      <c r="I102" s="0" t="s">
        <v>3891</v>
      </c>
      <c r="J102" s="0" t="s">
        <v>3745</v>
      </c>
      <c r="K102" s="0" t="s">
        <v>3892</v>
      </c>
      <c r="L102" s="0" t="s">
        <v>3892</v>
      </c>
      <c r="M102" s="0" t="s">
        <v>3893</v>
      </c>
      <c r="N102" s="0" t="s">
        <v>3894</v>
      </c>
      <c r="O102" s="0" t="s">
        <v>3895</v>
      </c>
      <c r="P102" s="0" t="s">
        <v>3613</v>
      </c>
      <c r="Q102" s="0" t="s">
        <v>3896</v>
      </c>
      <c r="R102" s="0" t="b">
        <v>0</v>
      </c>
      <c r="S102" s="0" t="s">
        <v>4013</v>
      </c>
    </row>
    <row customHeight="1" ht="11.25">
      <c r="A103" s="0">
        <v>2655</v>
      </c>
      <c r="B103" s="0" t="s">
        <v>102</v>
      </c>
      <c r="C103" s="0">
        <v>33000834</v>
      </c>
      <c r="D103" s="0" t="s">
        <v>3897</v>
      </c>
      <c r="E103" s="0" t="s">
        <v>3898</v>
      </c>
      <c r="F103" s="0" t="s">
        <v>3899</v>
      </c>
      <c r="G103" s="0" t="s">
        <v>3595</v>
      </c>
      <c r="H103" s="0" t="s">
        <v>3900</v>
      </c>
      <c r="I103" s="0" t="s">
        <v>3901</v>
      </c>
      <c r="K103" s="0" t="s">
        <v>3902</v>
      </c>
      <c r="L103" s="0" t="s">
        <v>3902</v>
      </c>
      <c r="M103" s="0" t="s">
        <v>3903</v>
      </c>
      <c r="N103" s="0" t="s">
        <v>3649</v>
      </c>
      <c r="O103" s="0" t="s">
        <v>3904</v>
      </c>
      <c r="P103" s="0" t="s">
        <v>3580</v>
      </c>
      <c r="Q103" s="0" t="s">
        <v>3905</v>
      </c>
      <c r="R103" s="0" t="b">
        <v>0</v>
      </c>
      <c r="S103" s="0" t="s">
        <v>4013</v>
      </c>
    </row>
    <row customHeight="1" ht="11.25">
      <c r="A104" s="0">
        <v>2655</v>
      </c>
      <c r="B104" s="0" t="s">
        <v>102</v>
      </c>
      <c r="C104" s="0">
        <v>31770754</v>
      </c>
      <c r="D104" s="0" t="s">
        <v>3906</v>
      </c>
      <c r="E104" s="0" t="s">
        <v>3907</v>
      </c>
      <c r="F104" s="0" t="s">
        <v>3908</v>
      </c>
      <c r="G104" s="0" t="s">
        <v>3842</v>
      </c>
      <c r="H104" s="0" t="s">
        <v>3909</v>
      </c>
      <c r="I104" s="0" t="s">
        <v>3910</v>
      </c>
      <c r="K104" s="0" t="s">
        <v>3911</v>
      </c>
      <c r="L104" s="0" t="s">
        <v>3912</v>
      </c>
      <c r="M104" s="0" t="s">
        <v>3913</v>
      </c>
      <c r="N104" s="0" t="s">
        <v>3914</v>
      </c>
      <c r="O104" s="0" t="s">
        <v>3915</v>
      </c>
      <c r="P104" s="0" t="s">
        <v>3580</v>
      </c>
      <c r="Q104" s="0" t="s">
        <v>240</v>
      </c>
      <c r="R104" s="0" t="b">
        <v>1</v>
      </c>
      <c r="S104" s="0" t="s">
        <v>4013</v>
      </c>
    </row>
    <row customHeight="1" ht="11.25">
      <c r="A105" s="0">
        <v>2655</v>
      </c>
      <c r="B105" s="0" t="s">
        <v>102</v>
      </c>
      <c r="C105" s="0">
        <v>31528492</v>
      </c>
      <c r="D105" s="0" t="s">
        <v>3916</v>
      </c>
      <c r="E105" s="0" t="s">
        <v>3917</v>
      </c>
      <c r="F105" s="0" t="s">
        <v>3918</v>
      </c>
      <c r="G105" s="0" t="s">
        <v>3704</v>
      </c>
      <c r="H105" s="0" t="s">
        <v>3919</v>
      </c>
      <c r="I105" s="0" t="s">
        <v>3920</v>
      </c>
      <c r="K105" s="0" t="s">
        <v>3921</v>
      </c>
      <c r="L105" s="0" t="s">
        <v>3921</v>
      </c>
      <c r="M105" s="0" t="s">
        <v>3922</v>
      </c>
      <c r="N105" s="0" t="s">
        <v>3923</v>
      </c>
      <c r="O105" s="0" t="s">
        <v>3924</v>
      </c>
      <c r="P105" s="0" t="s">
        <v>3465</v>
      </c>
      <c r="Q105" s="0" t="s">
        <v>240</v>
      </c>
      <c r="R105" s="0" t="b">
        <v>0</v>
      </c>
      <c r="S105" s="0" t="s">
        <v>4013</v>
      </c>
    </row>
    <row customHeight="1" ht="11.25">
      <c r="A106" s="0">
        <v>2655</v>
      </c>
      <c r="B106" s="0" t="s">
        <v>102</v>
      </c>
      <c r="C106" s="0">
        <v>28270293</v>
      </c>
      <c r="D106" s="0" t="s">
        <v>3925</v>
      </c>
      <c r="E106" s="0" t="s">
        <v>3926</v>
      </c>
      <c r="F106" s="0" t="s">
        <v>3927</v>
      </c>
      <c r="G106" s="0" t="s">
        <v>3683</v>
      </c>
      <c r="H106" s="0" t="s">
        <v>3928</v>
      </c>
      <c r="I106" s="0" t="s">
        <v>3929</v>
      </c>
      <c r="J106" s="0" t="s">
        <v>3745</v>
      </c>
      <c r="K106" s="0" t="s">
        <v>3930</v>
      </c>
      <c r="L106" s="0" t="s">
        <v>3930</v>
      </c>
      <c r="M106" s="0" t="s">
        <v>3931</v>
      </c>
      <c r="N106" s="0" t="s">
        <v>3932</v>
      </c>
      <c r="O106" s="0" t="s">
        <v>3933</v>
      </c>
      <c r="P106" s="0" t="s">
        <v>145</v>
      </c>
      <c r="Q106" s="0" t="s">
        <v>240</v>
      </c>
      <c r="R106" s="0" t="b">
        <v>0</v>
      </c>
      <c r="S106" s="0" t="s">
        <v>4013</v>
      </c>
    </row>
    <row customHeight="1" ht="11.25">
      <c r="A107" s="0">
        <v>2655</v>
      </c>
      <c r="B107" s="0" t="s">
        <v>102</v>
      </c>
      <c r="C107" s="0">
        <v>28873362</v>
      </c>
      <c r="D107" s="0" t="s">
        <v>3934</v>
      </c>
      <c r="E107" s="0" t="s">
        <v>3935</v>
      </c>
      <c r="F107" s="0" t="s">
        <v>3936</v>
      </c>
      <c r="G107" s="0" t="s">
        <v>123</v>
      </c>
      <c r="H107" s="0" t="s">
        <v>3937</v>
      </c>
      <c r="I107" s="0" t="s">
        <v>3938</v>
      </c>
      <c r="J107" s="0" t="s">
        <v>3745</v>
      </c>
      <c r="K107" s="0" t="s">
        <v>3939</v>
      </c>
      <c r="L107" s="0" t="s">
        <v>3939</v>
      </c>
      <c r="M107" s="0" t="s">
        <v>3940</v>
      </c>
      <c r="N107" s="0" t="s">
        <v>3941</v>
      </c>
      <c r="O107" s="0" t="s">
        <v>3942</v>
      </c>
      <c r="P107" s="0" t="s">
        <v>3580</v>
      </c>
      <c r="Q107" s="0" t="s">
        <v>3943</v>
      </c>
      <c r="R107" s="0" t="b">
        <v>0</v>
      </c>
      <c r="S107" s="0" t="s">
        <v>4013</v>
      </c>
    </row>
    <row customHeight="1" ht="11.25">
      <c r="A108" s="0">
        <v>2655</v>
      </c>
      <c r="B108" s="0" t="s">
        <v>102</v>
      </c>
      <c r="C108" s="0">
        <v>28976681</v>
      </c>
      <c r="D108" s="0" t="s">
        <v>3944</v>
      </c>
      <c r="E108" s="0" t="s">
        <v>3945</v>
      </c>
      <c r="F108" s="0" t="s">
        <v>3946</v>
      </c>
      <c r="G108" s="0" t="s">
        <v>3683</v>
      </c>
      <c r="H108" s="0" t="s">
        <v>3947</v>
      </c>
      <c r="I108" s="0" t="s">
        <v>3948</v>
      </c>
      <c r="J108" s="0" t="s">
        <v>3745</v>
      </c>
      <c r="K108" s="0" t="s">
        <v>3949</v>
      </c>
      <c r="L108" s="0" t="s">
        <v>3949</v>
      </c>
      <c r="M108" s="0" t="s">
        <v>3950</v>
      </c>
      <c r="N108" s="0" t="s">
        <v>3951</v>
      </c>
      <c r="O108" s="0" t="s">
        <v>3952</v>
      </c>
      <c r="P108" s="0" t="s">
        <v>3580</v>
      </c>
      <c r="Q108" s="0" t="s">
        <v>240</v>
      </c>
      <c r="R108" s="0" t="b">
        <v>1</v>
      </c>
      <c r="S108" s="0" t="s">
        <v>4013</v>
      </c>
    </row>
    <row customHeight="1" ht="11.25">
      <c r="A109" s="0">
        <v>2655</v>
      </c>
      <c r="B109" s="0" t="s">
        <v>102</v>
      </c>
      <c r="C109" s="0">
        <v>31908312</v>
      </c>
      <c r="D109" s="0" t="s">
        <v>3964</v>
      </c>
      <c r="E109" s="0" t="s">
        <v>3975</v>
      </c>
      <c r="F109" s="0" t="s">
        <v>3966</v>
      </c>
      <c r="G109" s="0" t="s">
        <v>3967</v>
      </c>
      <c r="H109" s="0" t="s">
        <v>3968</v>
      </c>
      <c r="I109" s="0" t="s">
        <v>3969</v>
      </c>
      <c r="K109" s="0" t="s">
        <v>3976</v>
      </c>
      <c r="L109" s="0" t="s">
        <v>3976</v>
      </c>
      <c r="M109" s="0" t="s">
        <v>3977</v>
      </c>
      <c r="N109" s="0" t="s">
        <v>3978</v>
      </c>
      <c r="O109" s="0" t="s">
        <v>3979</v>
      </c>
      <c r="P109" s="0" t="s">
        <v>240</v>
      </c>
      <c r="Q109" s="0" t="s">
        <v>3980</v>
      </c>
      <c r="R109" s="0" t="b">
        <v>0</v>
      </c>
      <c r="S109" s="0" t="s">
        <v>4013</v>
      </c>
    </row>
    <row customHeight="1" ht="11.25">
      <c r="A110" s="0">
        <v>2655</v>
      </c>
      <c r="B110" s="0" t="s">
        <v>102</v>
      </c>
      <c r="C110" s="0">
        <v>26853991</v>
      </c>
      <c r="D110" s="0" t="s">
        <v>3964</v>
      </c>
      <c r="E110" s="0" t="s">
        <v>3965</v>
      </c>
      <c r="F110" s="0" t="s">
        <v>3966</v>
      </c>
      <c r="G110" s="0" t="s">
        <v>3967</v>
      </c>
      <c r="H110" s="0" t="s">
        <v>3968</v>
      </c>
      <c r="I110" s="0" t="s">
        <v>3969</v>
      </c>
      <c r="J110" s="0" t="s">
        <v>3446</v>
      </c>
      <c r="K110" s="0" t="s">
        <v>3970</v>
      </c>
      <c r="L110" s="0" t="s">
        <v>3971</v>
      </c>
      <c r="M110" s="0" t="s">
        <v>3972</v>
      </c>
      <c r="N110" s="0" t="s">
        <v>3973</v>
      </c>
      <c r="O110" s="0" t="s">
        <v>3974</v>
      </c>
      <c r="P110" s="0" t="s">
        <v>145</v>
      </c>
      <c r="Q110" s="0" t="s">
        <v>240</v>
      </c>
      <c r="R110" s="0" t="b">
        <v>0</v>
      </c>
      <c r="S110" s="0" t="s">
        <v>4013</v>
      </c>
    </row>
    <row customHeight="1" ht="11.25">
      <c r="A111" s="0">
        <v>2655</v>
      </c>
      <c r="B111" s="0" t="s">
        <v>102</v>
      </c>
      <c r="C111" s="0">
        <v>30808511</v>
      </c>
      <c r="D111" s="0" t="s">
        <v>3981</v>
      </c>
      <c r="E111" s="0" t="s">
        <v>3981</v>
      </c>
      <c r="F111" s="0" t="s">
        <v>3982</v>
      </c>
      <c r="G111" s="0" t="s">
        <v>3983</v>
      </c>
      <c r="H111" s="0" t="s">
        <v>3984</v>
      </c>
      <c r="I111" s="0" t="s">
        <v>3985</v>
      </c>
      <c r="J111" s="0" t="s">
        <v>3986</v>
      </c>
      <c r="K111" s="0" t="s">
        <v>3987</v>
      </c>
      <c r="L111" s="0" t="s">
        <v>3988</v>
      </c>
      <c r="M111" s="0" t="s">
        <v>3989</v>
      </c>
      <c r="N111" s="0" t="s">
        <v>3990</v>
      </c>
      <c r="O111" s="0" t="s">
        <v>3991</v>
      </c>
      <c r="P111" s="0" t="s">
        <v>3580</v>
      </c>
      <c r="Q111" s="0" t="s">
        <v>3990</v>
      </c>
      <c r="R111" s="0" t="b">
        <v>0</v>
      </c>
      <c r="S111" s="0" t="s">
        <v>4013</v>
      </c>
    </row>
    <row customHeight="1" ht="11.25">
      <c r="A112" s="0">
        <v>2655</v>
      </c>
      <c r="B112" s="0" t="s">
        <v>102</v>
      </c>
      <c r="C112" s="0">
        <v>26520873</v>
      </c>
      <c r="D112" s="0" t="s">
        <v>3992</v>
      </c>
      <c r="E112" s="0" t="s">
        <v>3993</v>
      </c>
      <c r="F112" s="0" t="s">
        <v>3982</v>
      </c>
      <c r="G112" s="0" t="s">
        <v>3994</v>
      </c>
      <c r="H112" s="0" t="s">
        <v>3984</v>
      </c>
      <c r="I112" s="0" t="s">
        <v>3995</v>
      </c>
      <c r="J112" s="0" t="s">
        <v>3986</v>
      </c>
      <c r="K112" s="0" t="s">
        <v>3996</v>
      </c>
      <c r="L112" s="0" t="s">
        <v>3997</v>
      </c>
      <c r="M112" s="0" t="s">
        <v>3998</v>
      </c>
      <c r="N112" s="0" t="s">
        <v>3999</v>
      </c>
      <c r="O112" s="0" t="s">
        <v>4000</v>
      </c>
      <c r="P112" s="0" t="s">
        <v>3580</v>
      </c>
      <c r="Q112" s="0" t="s">
        <v>4001</v>
      </c>
      <c r="R112" s="0" t="b">
        <v>0</v>
      </c>
      <c r="S112" s="0" t="s">
        <v>4013</v>
      </c>
    </row>
    <row customHeight="1" ht="11.25">
      <c r="A113" s="0">
        <v>2655</v>
      </c>
      <c r="B113" s="0" t="s">
        <v>102</v>
      </c>
      <c r="C113" s="0">
        <v>28976938</v>
      </c>
      <c r="D113" s="0" t="s">
        <v>3440</v>
      </c>
      <c r="E113" s="0" t="s">
        <v>3441</v>
      </c>
      <c r="F113" s="0" t="s">
        <v>3442</v>
      </c>
      <c r="G113" s="0" t="s">
        <v>3443</v>
      </c>
      <c r="H113" s="0" t="s">
        <v>3444</v>
      </c>
      <c r="I113" s="0" t="s">
        <v>3445</v>
      </c>
      <c r="J113" s="0" t="s">
        <v>3446</v>
      </c>
      <c r="K113" s="0" t="s">
        <v>3447</v>
      </c>
      <c r="L113" s="0" t="s">
        <v>3448</v>
      </c>
      <c r="M113" s="0" t="s">
        <v>3449</v>
      </c>
      <c r="N113" s="0" t="s">
        <v>3450</v>
      </c>
      <c r="O113" s="0" t="s">
        <v>3451</v>
      </c>
      <c r="P113" s="0" t="s">
        <v>3452</v>
      </c>
      <c r="Q113" s="0" t="s">
        <v>3453</v>
      </c>
      <c r="R113" s="0" t="b">
        <v>0</v>
      </c>
      <c r="S113" s="0" t="s">
        <v>4156</v>
      </c>
    </row>
    <row customHeight="1" ht="11.25">
      <c r="A114" s="0">
        <v>2655</v>
      </c>
      <c r="B114" s="0" t="s">
        <v>102</v>
      </c>
      <c r="C114" s="0">
        <v>26356915</v>
      </c>
      <c r="D114" s="0" t="s">
        <v>4014</v>
      </c>
      <c r="E114" s="0" t="s">
        <v>4015</v>
      </c>
      <c r="F114" s="0" t="s">
        <v>4016</v>
      </c>
      <c r="G114" s="0" t="s">
        <v>3672</v>
      </c>
      <c r="H114" s="0" t="s">
        <v>4017</v>
      </c>
      <c r="I114" s="0" t="s">
        <v>4018</v>
      </c>
      <c r="J114" s="0" t="s">
        <v>3446</v>
      </c>
      <c r="K114" s="0" t="s">
        <v>4019</v>
      </c>
      <c r="L114" s="0" t="s">
        <v>4019</v>
      </c>
      <c r="M114" s="0" t="s">
        <v>4020</v>
      </c>
      <c r="N114" s="0" t="s">
        <v>4021</v>
      </c>
      <c r="O114" s="0" t="s">
        <v>4022</v>
      </c>
      <c r="P114" s="0" t="s">
        <v>145</v>
      </c>
      <c r="Q114" s="0" t="s">
        <v>152</v>
      </c>
      <c r="R114" s="0" t="b">
        <v>0</v>
      </c>
      <c r="S114" s="0" t="s">
        <v>4156</v>
      </c>
    </row>
    <row customHeight="1" ht="11.25">
      <c r="A115" s="0">
        <v>2655</v>
      </c>
      <c r="B115" s="0" t="s">
        <v>102</v>
      </c>
      <c r="C115" s="0">
        <v>26357007</v>
      </c>
      <c r="D115" s="0" t="s">
        <v>4157</v>
      </c>
      <c r="E115" s="0" t="s">
        <v>4158</v>
      </c>
      <c r="F115" s="0" t="s">
        <v>4159</v>
      </c>
      <c r="G115" s="0" t="s">
        <v>3704</v>
      </c>
      <c r="H115" s="0" t="s">
        <v>4160</v>
      </c>
      <c r="I115" s="0" t="s">
        <v>4161</v>
      </c>
      <c r="J115" s="0" t="s">
        <v>3446</v>
      </c>
      <c r="K115" s="0" t="s">
        <v>4162</v>
      </c>
      <c r="L115" s="0" t="s">
        <v>4162</v>
      </c>
      <c r="M115" s="0" t="s">
        <v>4163</v>
      </c>
      <c r="N115" s="0" t="s">
        <v>4164</v>
      </c>
      <c r="O115" s="0" t="s">
        <v>4165</v>
      </c>
      <c r="P115" s="0" t="s">
        <v>145</v>
      </c>
      <c r="Q115" s="0" t="s">
        <v>4166</v>
      </c>
      <c r="R115" s="0" t="b">
        <v>0</v>
      </c>
      <c r="S115" s="0" t="s">
        <v>4156</v>
      </c>
    </row>
    <row customHeight="1" ht="11.25">
      <c r="A116" s="0">
        <v>2655</v>
      </c>
      <c r="B116" s="0" t="s">
        <v>102</v>
      </c>
      <c r="C116" s="0">
        <v>27804990</v>
      </c>
      <c r="D116" s="0" t="s">
        <v>3455</v>
      </c>
      <c r="E116" s="0" t="s">
        <v>3456</v>
      </c>
      <c r="F116" s="0" t="s">
        <v>3457</v>
      </c>
      <c r="G116" s="0" t="s">
        <v>123</v>
      </c>
      <c r="H116" s="0" t="s">
        <v>3458</v>
      </c>
      <c r="I116" s="0" t="s">
        <v>3459</v>
      </c>
      <c r="J116" s="0" t="s">
        <v>3446</v>
      </c>
      <c r="K116" s="0" t="s">
        <v>3460</v>
      </c>
      <c r="L116" s="0" t="s">
        <v>3461</v>
      </c>
      <c r="M116" s="0" t="s">
        <v>3462</v>
      </c>
      <c r="N116" s="0" t="s">
        <v>3463</v>
      </c>
      <c r="O116" s="0" t="s">
        <v>3464</v>
      </c>
      <c r="P116" s="0" t="s">
        <v>3465</v>
      </c>
      <c r="Q116" s="0" t="s">
        <v>3466</v>
      </c>
      <c r="R116" s="0" t="b">
        <v>0</v>
      </c>
      <c r="S116" s="0" t="s">
        <v>4156</v>
      </c>
    </row>
    <row customHeight="1" ht="11.25">
      <c r="A117" s="0">
        <v>2655</v>
      </c>
      <c r="B117" s="0" t="s">
        <v>102</v>
      </c>
      <c r="C117" s="0">
        <v>28048296</v>
      </c>
      <c r="D117" s="0" t="s">
        <v>4167</v>
      </c>
      <c r="E117" s="0" t="s">
        <v>4168</v>
      </c>
      <c r="F117" s="0" t="s">
        <v>4169</v>
      </c>
      <c r="G117" s="0" t="s">
        <v>123</v>
      </c>
      <c r="H117" s="0" t="s">
        <v>4170</v>
      </c>
      <c r="I117" s="0" t="s">
        <v>4171</v>
      </c>
      <c r="J117" s="0" t="s">
        <v>3446</v>
      </c>
      <c r="K117" s="0" t="s">
        <v>4172</v>
      </c>
      <c r="L117" s="0" t="s">
        <v>3461</v>
      </c>
      <c r="M117" s="0" t="s">
        <v>4173</v>
      </c>
      <c r="N117" s="0" t="s">
        <v>3817</v>
      </c>
      <c r="O117" s="0" t="s">
        <v>4174</v>
      </c>
      <c r="P117" s="0" t="s">
        <v>3465</v>
      </c>
      <c r="Q117" s="0" t="s">
        <v>3466</v>
      </c>
      <c r="R117" s="0" t="b">
        <v>0</v>
      </c>
      <c r="S117" s="0" t="s">
        <v>4156</v>
      </c>
    </row>
    <row customHeight="1" ht="11.25">
      <c r="A118" s="0">
        <v>2655</v>
      </c>
      <c r="B118" s="0" t="s">
        <v>102</v>
      </c>
      <c r="C118" s="0">
        <v>27804826</v>
      </c>
      <c r="D118" s="0" t="s">
        <v>3467</v>
      </c>
      <c r="E118" s="0" t="s">
        <v>3468</v>
      </c>
      <c r="F118" s="0" t="s">
        <v>3469</v>
      </c>
      <c r="G118" s="0" t="s">
        <v>3470</v>
      </c>
      <c r="H118" s="0" t="s">
        <v>3471</v>
      </c>
      <c r="I118" s="0" t="s">
        <v>3472</v>
      </c>
      <c r="J118" s="0" t="s">
        <v>3446</v>
      </c>
      <c r="K118" s="0" t="s">
        <v>3473</v>
      </c>
      <c r="L118" s="0" t="s">
        <v>3461</v>
      </c>
      <c r="M118" s="0" t="s">
        <v>3474</v>
      </c>
      <c r="N118" s="0" t="s">
        <v>3475</v>
      </c>
      <c r="O118" s="0" t="s">
        <v>3476</v>
      </c>
      <c r="P118" s="0" t="s">
        <v>3465</v>
      </c>
      <c r="Q118" s="0" t="s">
        <v>3477</v>
      </c>
      <c r="R118" s="0" t="b">
        <v>0</v>
      </c>
      <c r="S118" s="0" t="s">
        <v>4156</v>
      </c>
    </row>
    <row customHeight="1" ht="11.25">
      <c r="A119" s="0">
        <v>2655</v>
      </c>
      <c r="B119" s="0" t="s">
        <v>102</v>
      </c>
      <c r="C119" s="0">
        <v>27804896</v>
      </c>
      <c r="D119" s="0" t="s">
        <v>4175</v>
      </c>
      <c r="E119" s="0" t="s">
        <v>4176</v>
      </c>
      <c r="F119" s="0" t="s">
        <v>4177</v>
      </c>
      <c r="G119" s="0" t="s">
        <v>123</v>
      </c>
      <c r="H119" s="0" t="s">
        <v>4178</v>
      </c>
      <c r="I119" s="0" t="s">
        <v>4179</v>
      </c>
      <c r="J119" s="0" t="s">
        <v>3446</v>
      </c>
      <c r="K119" s="0" t="s">
        <v>4180</v>
      </c>
      <c r="L119" s="0" t="s">
        <v>3461</v>
      </c>
      <c r="M119" s="0" t="s">
        <v>4181</v>
      </c>
      <c r="N119" s="0" t="s">
        <v>4182</v>
      </c>
      <c r="O119" s="0" t="s">
        <v>4183</v>
      </c>
      <c r="P119" s="0" t="s">
        <v>3465</v>
      </c>
      <c r="Q119" s="0" t="s">
        <v>3466</v>
      </c>
      <c r="R119" s="0" t="b">
        <v>0</v>
      </c>
      <c r="S119" s="0" t="s">
        <v>4156</v>
      </c>
    </row>
    <row customHeight="1" ht="11.25">
      <c r="A120" s="0">
        <v>2655</v>
      </c>
      <c r="B120" s="0" t="s">
        <v>102</v>
      </c>
      <c r="C120" s="0">
        <v>27820148</v>
      </c>
      <c r="D120" s="0" t="s">
        <v>4041</v>
      </c>
      <c r="E120" s="0" t="s">
        <v>4042</v>
      </c>
      <c r="F120" s="0" t="s">
        <v>4043</v>
      </c>
      <c r="G120" s="0" t="s">
        <v>3752</v>
      </c>
      <c r="H120" s="0" t="s">
        <v>4044</v>
      </c>
      <c r="I120" s="0" t="s">
        <v>4045</v>
      </c>
      <c r="J120" s="0" t="s">
        <v>3446</v>
      </c>
      <c r="K120" s="0" t="s">
        <v>4046</v>
      </c>
      <c r="L120" s="0" t="s">
        <v>4046</v>
      </c>
      <c r="M120" s="0" t="s">
        <v>4047</v>
      </c>
      <c r="N120" s="0" t="s">
        <v>4048</v>
      </c>
      <c r="O120" s="0" t="s">
        <v>4049</v>
      </c>
      <c r="P120" s="0" t="s">
        <v>4050</v>
      </c>
      <c r="Q120" s="0" t="s">
        <v>4051</v>
      </c>
      <c r="R120" s="0" t="b">
        <v>0</v>
      </c>
      <c r="S120" s="0" t="s">
        <v>4156</v>
      </c>
    </row>
    <row customHeight="1" ht="11.25">
      <c r="A121" s="0">
        <v>2655</v>
      </c>
      <c r="B121" s="0" t="s">
        <v>102</v>
      </c>
      <c r="C121" s="0">
        <v>26356905</v>
      </c>
      <c r="D121" s="0" t="s">
        <v>4184</v>
      </c>
      <c r="E121" s="0" t="s">
        <v>4185</v>
      </c>
      <c r="F121" s="0" t="s">
        <v>4186</v>
      </c>
      <c r="G121" s="0" t="s">
        <v>123</v>
      </c>
      <c r="H121" s="0" t="s">
        <v>4187</v>
      </c>
      <c r="I121" s="0" t="s">
        <v>4188</v>
      </c>
      <c r="J121" s="0" t="s">
        <v>3446</v>
      </c>
      <c r="K121" s="0" t="s">
        <v>4189</v>
      </c>
      <c r="L121" s="0" t="s">
        <v>4189</v>
      </c>
      <c r="M121" s="0" t="s">
        <v>4190</v>
      </c>
      <c r="N121" s="0" t="s">
        <v>4191</v>
      </c>
      <c r="O121" s="0" t="s">
        <v>4192</v>
      </c>
      <c r="P121" s="0" t="s">
        <v>4193</v>
      </c>
      <c r="Q121" s="0" t="s">
        <v>4194</v>
      </c>
      <c r="R121" s="0" t="b">
        <v>0</v>
      </c>
      <c r="S121" s="0" t="s">
        <v>4156</v>
      </c>
    </row>
    <row customHeight="1" ht="11.25">
      <c r="A122" s="0">
        <v>2655</v>
      </c>
      <c r="B122" s="0" t="s">
        <v>102</v>
      </c>
      <c r="C122" s="0">
        <v>26652554</v>
      </c>
      <c r="D122" s="0" t="s">
        <v>4195</v>
      </c>
      <c r="E122" s="0" t="s">
        <v>4196</v>
      </c>
      <c r="F122" s="0" t="s">
        <v>4197</v>
      </c>
      <c r="G122" s="0" t="s">
        <v>3842</v>
      </c>
      <c r="H122" s="0" t="s">
        <v>4198</v>
      </c>
      <c r="I122" s="0" t="s">
        <v>240</v>
      </c>
      <c r="J122" s="0" t="s">
        <v>3446</v>
      </c>
      <c r="K122" s="0" t="s">
        <v>4199</v>
      </c>
      <c r="L122" s="0" t="s">
        <v>4199</v>
      </c>
      <c r="M122" s="0" t="s">
        <v>4200</v>
      </c>
      <c r="N122" s="0" t="s">
        <v>4201</v>
      </c>
      <c r="O122" s="0" t="s">
        <v>4202</v>
      </c>
      <c r="P122" s="0" t="s">
        <v>145</v>
      </c>
      <c r="Q122" s="0" t="s">
        <v>4203</v>
      </c>
      <c r="R122" s="0" t="b">
        <v>0</v>
      </c>
      <c r="S122" s="0" t="s">
        <v>4156</v>
      </c>
    </row>
    <row customHeight="1" ht="11.25">
      <c r="A123" s="0">
        <v>2655</v>
      </c>
      <c r="B123" s="0" t="s">
        <v>102</v>
      </c>
      <c r="C123" s="0">
        <v>31915209</v>
      </c>
      <c r="D123" s="0" t="s">
        <v>4204</v>
      </c>
      <c r="E123" s="0" t="s">
        <v>4205</v>
      </c>
      <c r="F123" s="0" t="s">
        <v>4206</v>
      </c>
      <c r="G123" s="0" t="s">
        <v>123</v>
      </c>
      <c r="H123" s="0" t="s">
        <v>4207</v>
      </c>
      <c r="I123" s="0" t="s">
        <v>4208</v>
      </c>
      <c r="K123" s="0" t="s">
        <v>4209</v>
      </c>
      <c r="L123" s="0" t="s">
        <v>4209</v>
      </c>
      <c r="M123" s="0" t="s">
        <v>4210</v>
      </c>
      <c r="N123" s="0" t="s">
        <v>4211</v>
      </c>
      <c r="O123" s="0" t="s">
        <v>4212</v>
      </c>
      <c r="P123" s="0" t="s">
        <v>4213</v>
      </c>
      <c r="Q123" s="0" t="s">
        <v>4214</v>
      </c>
      <c r="R123" s="0" t="b">
        <v>0</v>
      </c>
      <c r="S123" s="0" t="s">
        <v>4156</v>
      </c>
    </row>
    <row customHeight="1" ht="11.25">
      <c r="A124" s="0">
        <v>2655</v>
      </c>
      <c r="B124" s="0" t="s">
        <v>102</v>
      </c>
      <c r="C124" s="0">
        <v>26356926</v>
      </c>
      <c r="D124" s="0" t="s">
        <v>4215</v>
      </c>
      <c r="E124" s="0" t="s">
        <v>4216</v>
      </c>
      <c r="F124" s="0" t="s">
        <v>4217</v>
      </c>
      <c r="G124" s="0" t="s">
        <v>3752</v>
      </c>
      <c r="H124" s="0" t="s">
        <v>4218</v>
      </c>
      <c r="I124" s="0" t="s">
        <v>4219</v>
      </c>
      <c r="J124" s="0" t="s">
        <v>4220</v>
      </c>
      <c r="K124" s="0" t="s">
        <v>4221</v>
      </c>
      <c r="L124" s="0" t="s">
        <v>4221</v>
      </c>
      <c r="M124" s="0" t="s">
        <v>4222</v>
      </c>
      <c r="N124" s="0" t="s">
        <v>4223</v>
      </c>
      <c r="O124" s="0" t="s">
        <v>4224</v>
      </c>
      <c r="P124" s="0" t="s">
        <v>4225</v>
      </c>
      <c r="Q124" s="0" t="s">
        <v>4226</v>
      </c>
      <c r="R124" s="0" t="b">
        <v>0</v>
      </c>
      <c r="S124" s="0" t="s">
        <v>4156</v>
      </c>
    </row>
    <row customHeight="1" ht="11.25">
      <c r="A125" s="0">
        <v>2655</v>
      </c>
      <c r="B125" s="0" t="s">
        <v>102</v>
      </c>
      <c r="C125" s="0">
        <v>31720063</v>
      </c>
      <c r="D125" s="0" t="s">
        <v>4227</v>
      </c>
      <c r="E125" s="0" t="s">
        <v>4228</v>
      </c>
      <c r="F125" s="0" t="s">
        <v>4229</v>
      </c>
      <c r="G125" s="0" t="s">
        <v>3645</v>
      </c>
      <c r="H125" s="0" t="s">
        <v>4230</v>
      </c>
      <c r="I125" s="0" t="s">
        <v>4231</v>
      </c>
      <c r="K125" s="0" t="s">
        <v>4232</v>
      </c>
      <c r="L125" s="0" t="s">
        <v>4232</v>
      </c>
      <c r="M125" s="0" t="s">
        <v>240</v>
      </c>
      <c r="N125" s="0" t="s">
        <v>4233</v>
      </c>
      <c r="O125" s="0" t="s">
        <v>4234</v>
      </c>
      <c r="P125" s="0" t="s">
        <v>3613</v>
      </c>
      <c r="Q125" s="0" t="s">
        <v>4235</v>
      </c>
      <c r="R125" s="0" t="b">
        <v>0</v>
      </c>
      <c r="S125" s="0" t="s">
        <v>4156</v>
      </c>
    </row>
    <row customHeight="1" ht="11.25">
      <c r="A126" s="0">
        <v>2655</v>
      </c>
      <c r="B126" s="0" t="s">
        <v>102</v>
      </c>
      <c r="C126" s="0">
        <v>31826293</v>
      </c>
      <c r="D126" s="0" t="s">
        <v>3532</v>
      </c>
      <c r="E126" s="0" t="s">
        <v>3533</v>
      </c>
      <c r="F126" s="0" t="s">
        <v>3534</v>
      </c>
      <c r="G126" s="0" t="s">
        <v>3535</v>
      </c>
      <c r="H126" s="0" t="s">
        <v>3536</v>
      </c>
      <c r="I126" s="0" t="s">
        <v>3537</v>
      </c>
      <c r="K126" s="0" t="s">
        <v>3538</v>
      </c>
      <c r="L126" s="0" t="s">
        <v>3539</v>
      </c>
      <c r="M126" s="0" t="s">
        <v>3540</v>
      </c>
      <c r="N126" s="0" t="s">
        <v>3541</v>
      </c>
      <c r="O126" s="0" t="s">
        <v>3542</v>
      </c>
      <c r="P126" s="0" t="s">
        <v>3543</v>
      </c>
      <c r="Q126" s="0" t="s">
        <v>240</v>
      </c>
      <c r="R126" s="0" t="b">
        <v>0</v>
      </c>
      <c r="S126" s="0" t="s">
        <v>4156</v>
      </c>
    </row>
    <row customHeight="1" ht="11.25">
      <c r="A127" s="0">
        <v>2655</v>
      </c>
      <c r="B127" s="0" t="s">
        <v>102</v>
      </c>
      <c r="C127" s="0">
        <v>28262434</v>
      </c>
      <c r="D127" s="0" t="s">
        <v>4236</v>
      </c>
      <c r="E127" s="0" t="s">
        <v>4237</v>
      </c>
      <c r="F127" s="0" t="s">
        <v>4238</v>
      </c>
      <c r="G127" s="0" t="s">
        <v>4239</v>
      </c>
      <c r="H127" s="0" t="s">
        <v>4240</v>
      </c>
      <c r="I127" s="0" t="s">
        <v>4241</v>
      </c>
      <c r="J127" s="0" t="s">
        <v>3446</v>
      </c>
      <c r="K127" s="0" t="s">
        <v>4242</v>
      </c>
      <c r="L127" s="0" t="s">
        <v>4242</v>
      </c>
      <c r="M127" s="0" t="s">
        <v>4243</v>
      </c>
      <c r="N127" s="0" t="s">
        <v>4244</v>
      </c>
      <c r="O127" s="0" t="s">
        <v>4245</v>
      </c>
      <c r="P127" s="0" t="s">
        <v>145</v>
      </c>
      <c r="Q127" s="0" t="s">
        <v>240</v>
      </c>
      <c r="R127" s="0" t="b">
        <v>0</v>
      </c>
      <c r="S127" s="0" t="s">
        <v>4156</v>
      </c>
    </row>
    <row customHeight="1" ht="11.25">
      <c r="A128" s="0">
        <v>2655</v>
      </c>
      <c r="B128" s="0" t="s">
        <v>102</v>
      </c>
      <c r="C128" s="0">
        <v>31382238</v>
      </c>
      <c r="D128" s="0" t="s">
        <v>4246</v>
      </c>
      <c r="E128" s="0" t="s">
        <v>4247</v>
      </c>
      <c r="F128" s="0" t="s">
        <v>4248</v>
      </c>
      <c r="G128" s="0" t="s">
        <v>4249</v>
      </c>
      <c r="H128" s="0" t="s">
        <v>4250</v>
      </c>
      <c r="I128" s="0" t="s">
        <v>4251</v>
      </c>
      <c r="J128" s="0" t="s">
        <v>4252</v>
      </c>
      <c r="K128" s="0" t="s">
        <v>4253</v>
      </c>
      <c r="L128" s="0" t="s">
        <v>4253</v>
      </c>
      <c r="M128" s="0" t="s">
        <v>4254</v>
      </c>
      <c r="N128" s="0" t="s">
        <v>4255</v>
      </c>
      <c r="O128" s="0" t="s">
        <v>4256</v>
      </c>
      <c r="P128" s="0" t="s">
        <v>4257</v>
      </c>
      <c r="Q128" s="0" t="s">
        <v>240</v>
      </c>
      <c r="R128" s="0" t="b">
        <v>1</v>
      </c>
      <c r="S128" s="0" t="s">
        <v>4156</v>
      </c>
    </row>
    <row customHeight="1" ht="11.25">
      <c r="A129" s="0">
        <v>2655</v>
      </c>
      <c r="B129" s="0" t="s">
        <v>102</v>
      </c>
      <c r="C129" s="0">
        <v>31763194</v>
      </c>
      <c r="D129" s="0" t="s">
        <v>4258</v>
      </c>
      <c r="E129" s="0" t="s">
        <v>4259</v>
      </c>
      <c r="F129" s="0" t="s">
        <v>4260</v>
      </c>
      <c r="G129" s="0" t="s">
        <v>4249</v>
      </c>
      <c r="H129" s="0" t="s">
        <v>4261</v>
      </c>
      <c r="I129" s="0" t="s">
        <v>4262</v>
      </c>
      <c r="K129" s="0" t="s">
        <v>4263</v>
      </c>
      <c r="L129" s="0" t="s">
        <v>4264</v>
      </c>
      <c r="M129" s="0" t="s">
        <v>240</v>
      </c>
      <c r="N129" s="0" t="s">
        <v>4255</v>
      </c>
      <c r="O129" s="0" t="s">
        <v>4265</v>
      </c>
      <c r="P129" s="0" t="s">
        <v>4266</v>
      </c>
      <c r="Q129" s="0" t="s">
        <v>4267</v>
      </c>
      <c r="R129" s="0" t="b">
        <v>1</v>
      </c>
      <c r="S129" s="0" t="s">
        <v>4156</v>
      </c>
    </row>
    <row customHeight="1" ht="11.25">
      <c r="A130" s="0">
        <v>2655</v>
      </c>
      <c r="B130" s="0" t="s">
        <v>102</v>
      </c>
      <c r="C130" s="0">
        <v>26322867</v>
      </c>
      <c r="D130" s="0" t="s">
        <v>3544</v>
      </c>
      <c r="E130" s="0" t="s">
        <v>3545</v>
      </c>
      <c r="F130" s="0" t="s">
        <v>3546</v>
      </c>
      <c r="G130" s="0" t="s">
        <v>3491</v>
      </c>
      <c r="H130" s="0" t="s">
        <v>3547</v>
      </c>
      <c r="I130" s="0" t="s">
        <v>3548</v>
      </c>
      <c r="J130" s="0" t="s">
        <v>3446</v>
      </c>
      <c r="K130" s="0" t="s">
        <v>3549</v>
      </c>
      <c r="L130" s="0" t="s">
        <v>3549</v>
      </c>
      <c r="M130" s="0" t="s">
        <v>3550</v>
      </c>
      <c r="N130" s="0" t="s">
        <v>3551</v>
      </c>
      <c r="O130" s="0" t="s">
        <v>3552</v>
      </c>
      <c r="P130" s="0" t="s">
        <v>145</v>
      </c>
      <c r="Q130" s="0" t="s">
        <v>3553</v>
      </c>
      <c r="R130" s="0" t="b">
        <v>0</v>
      </c>
      <c r="S130" s="0" t="s">
        <v>4156</v>
      </c>
    </row>
    <row customHeight="1" ht="11.25">
      <c r="A131" s="0">
        <v>2655</v>
      </c>
      <c r="B131" s="0" t="s">
        <v>102</v>
      </c>
      <c r="C131" s="0">
        <v>26824396</v>
      </c>
      <c r="D131" s="0" t="s">
        <v>3563</v>
      </c>
      <c r="E131" s="0" t="s">
        <v>3564</v>
      </c>
      <c r="F131" s="0" t="s">
        <v>3524</v>
      </c>
      <c r="G131" s="0" t="s">
        <v>3565</v>
      </c>
      <c r="H131" s="0" t="s">
        <v>3526</v>
      </c>
      <c r="I131" s="0" t="s">
        <v>240</v>
      </c>
      <c r="J131" s="0" t="s">
        <v>3517</v>
      </c>
      <c r="K131" s="0" t="s">
        <v>3566</v>
      </c>
      <c r="L131" s="0" t="s">
        <v>3566</v>
      </c>
      <c r="M131" s="0" t="s">
        <v>3567</v>
      </c>
      <c r="N131" s="0" t="s">
        <v>240</v>
      </c>
      <c r="O131" s="0" t="s">
        <v>3568</v>
      </c>
      <c r="P131" s="0" t="s">
        <v>3562</v>
      </c>
      <c r="Q131" s="0" t="s">
        <v>240</v>
      </c>
      <c r="R131" s="0" t="b">
        <v>0</v>
      </c>
      <c r="S131" s="0" t="s">
        <v>4156</v>
      </c>
    </row>
    <row customHeight="1" ht="11.25">
      <c r="A132" s="0">
        <v>2655</v>
      </c>
      <c r="B132" s="0" t="s">
        <v>102</v>
      </c>
      <c r="C132" s="0">
        <v>30808700</v>
      </c>
      <c r="D132" s="0" t="s">
        <v>3603</v>
      </c>
      <c r="E132" s="0" t="s">
        <v>3604</v>
      </c>
      <c r="F132" s="0" t="s">
        <v>3605</v>
      </c>
      <c r="G132" s="0" t="s">
        <v>3525</v>
      </c>
      <c r="H132" s="0" t="s">
        <v>3606</v>
      </c>
      <c r="I132" s="0" t="s">
        <v>3607</v>
      </c>
      <c r="J132" s="0" t="s">
        <v>3587</v>
      </c>
      <c r="K132" s="0" t="s">
        <v>3608</v>
      </c>
      <c r="L132" s="0" t="s">
        <v>3609</v>
      </c>
      <c r="M132" s="0" t="s">
        <v>3610</v>
      </c>
      <c r="N132" s="0" t="s">
        <v>3611</v>
      </c>
      <c r="O132" s="0" t="s">
        <v>3612</v>
      </c>
      <c r="P132" s="0" t="s">
        <v>3613</v>
      </c>
      <c r="Q132" s="0" t="s">
        <v>240</v>
      </c>
      <c r="R132" s="0" t="b">
        <v>1</v>
      </c>
      <c r="S132" s="0" t="s">
        <v>4156</v>
      </c>
    </row>
    <row customHeight="1" ht="11.25">
      <c r="A133" s="0">
        <v>2655</v>
      </c>
      <c r="B133" s="0" t="s">
        <v>102</v>
      </c>
      <c r="C133" s="0">
        <v>31319221</v>
      </c>
      <c r="D133" s="0" t="s">
        <v>3614</v>
      </c>
      <c r="E133" s="0" t="s">
        <v>3615</v>
      </c>
      <c r="F133" s="0" t="s">
        <v>3616</v>
      </c>
      <c r="G133" s="0" t="s">
        <v>3584</v>
      </c>
      <c r="H133" s="0" t="s">
        <v>3617</v>
      </c>
      <c r="I133" s="0" t="s">
        <v>3618</v>
      </c>
      <c r="J133" s="0" t="s">
        <v>3575</v>
      </c>
      <c r="K133" s="0" t="s">
        <v>3619</v>
      </c>
      <c r="L133" s="0" t="s">
        <v>3619</v>
      </c>
      <c r="M133" s="0" t="s">
        <v>3620</v>
      </c>
      <c r="N133" s="0" t="s">
        <v>3621</v>
      </c>
      <c r="O133" s="0" t="s">
        <v>3622</v>
      </c>
      <c r="P133" s="0" t="s">
        <v>3580</v>
      </c>
      <c r="Q133" s="0" t="s">
        <v>3623</v>
      </c>
      <c r="R133" s="0" t="b">
        <v>0</v>
      </c>
      <c r="S133" s="0" t="s">
        <v>4156</v>
      </c>
    </row>
    <row customHeight="1" ht="11.25">
      <c r="A134" s="0">
        <v>2655</v>
      </c>
      <c r="B134" s="0" t="s">
        <v>102</v>
      </c>
      <c r="C134" s="0">
        <v>31343443</v>
      </c>
      <c r="D134" s="0" t="s">
        <v>3634</v>
      </c>
      <c r="E134" s="0" t="s">
        <v>3635</v>
      </c>
      <c r="F134" s="0" t="s">
        <v>3636</v>
      </c>
      <c r="G134" s="0" t="s">
        <v>3525</v>
      </c>
      <c r="H134" s="0" t="s">
        <v>3637</v>
      </c>
      <c r="I134" s="0" t="s">
        <v>3638</v>
      </c>
      <c r="J134" s="0" t="s">
        <v>3575</v>
      </c>
      <c r="K134" s="0" t="s">
        <v>3639</v>
      </c>
      <c r="L134" s="0" t="s">
        <v>3639</v>
      </c>
      <c r="N134" s="0" t="s">
        <v>3640</v>
      </c>
      <c r="O134" s="0" t="s">
        <v>3641</v>
      </c>
      <c r="P134" s="0" t="s">
        <v>3613</v>
      </c>
      <c r="R134" s="0" t="b">
        <v>0</v>
      </c>
      <c r="S134" s="0" t="s">
        <v>4156</v>
      </c>
    </row>
    <row customHeight="1" ht="11.25">
      <c r="A135" s="0">
        <v>2655</v>
      </c>
      <c r="B135" s="0" t="s">
        <v>102</v>
      </c>
      <c r="C135" s="0">
        <v>31367841</v>
      </c>
      <c r="D135" s="0" t="s">
        <v>3642</v>
      </c>
      <c r="E135" s="0" t="s">
        <v>3643</v>
      </c>
      <c r="F135" s="0" t="s">
        <v>3644</v>
      </c>
      <c r="G135" s="0" t="s">
        <v>3645</v>
      </c>
      <c r="H135" s="0" t="s">
        <v>3646</v>
      </c>
      <c r="I135" s="0" t="s">
        <v>3647</v>
      </c>
      <c r="J135" s="0" t="s">
        <v>3587</v>
      </c>
      <c r="K135" s="0" t="s">
        <v>3648</v>
      </c>
      <c r="L135" s="0" t="s">
        <v>3648</v>
      </c>
      <c r="M135" s="0" t="s">
        <v>240</v>
      </c>
      <c r="N135" s="0" t="s">
        <v>3649</v>
      </c>
      <c r="O135" s="0" t="s">
        <v>3650</v>
      </c>
      <c r="P135" s="0" t="s">
        <v>3580</v>
      </c>
      <c r="Q135" s="0" t="s">
        <v>240</v>
      </c>
      <c r="R135" s="0" t="b">
        <v>0</v>
      </c>
      <c r="S135" s="0" t="s">
        <v>4156</v>
      </c>
    </row>
    <row customHeight="1" ht="11.25">
      <c r="A136" s="0">
        <v>2655</v>
      </c>
      <c r="B136" s="0" t="s">
        <v>102</v>
      </c>
      <c r="C136" s="0">
        <v>31087651</v>
      </c>
      <c r="D136" s="0" t="s">
        <v>3651</v>
      </c>
      <c r="E136" s="0" t="s">
        <v>3652</v>
      </c>
      <c r="F136" s="0" t="s">
        <v>3653</v>
      </c>
      <c r="G136" s="0" t="s">
        <v>3654</v>
      </c>
      <c r="H136" s="0" t="s">
        <v>3655</v>
      </c>
      <c r="I136" s="0" t="s">
        <v>3656</v>
      </c>
      <c r="J136" s="0" t="s">
        <v>3575</v>
      </c>
      <c r="K136" s="0" t="s">
        <v>3657</v>
      </c>
      <c r="L136" s="0" t="s">
        <v>3657</v>
      </c>
      <c r="M136" s="0" t="s">
        <v>3658</v>
      </c>
      <c r="N136" s="0" t="s">
        <v>3659</v>
      </c>
      <c r="O136" s="0" t="s">
        <v>3660</v>
      </c>
      <c r="R136" s="0" t="b">
        <v>0</v>
      </c>
      <c r="S136" s="0" t="s">
        <v>4156</v>
      </c>
    </row>
    <row customHeight="1" ht="11.25">
      <c r="A137" s="0">
        <v>2655</v>
      </c>
      <c r="B137" s="0" t="s">
        <v>102</v>
      </c>
      <c r="C137" s="0">
        <v>31367862</v>
      </c>
      <c r="D137" s="0" t="s">
        <v>3661</v>
      </c>
      <c r="E137" s="0" t="s">
        <v>3662</v>
      </c>
      <c r="F137" s="0" t="s">
        <v>3663</v>
      </c>
      <c r="G137" s="0" t="s">
        <v>3645</v>
      </c>
      <c r="H137" s="0" t="s">
        <v>3664</v>
      </c>
      <c r="I137" s="0" t="s">
        <v>3665</v>
      </c>
      <c r="J137" s="0" t="s">
        <v>3575</v>
      </c>
      <c r="K137" s="0" t="s">
        <v>3666</v>
      </c>
      <c r="L137" s="0" t="s">
        <v>3666</v>
      </c>
      <c r="M137" s="0" t="s">
        <v>240</v>
      </c>
      <c r="N137" s="0" t="s">
        <v>3667</v>
      </c>
      <c r="O137" s="0" t="s">
        <v>3668</v>
      </c>
      <c r="P137" s="0" t="s">
        <v>3580</v>
      </c>
      <c r="Q137" s="0" t="s">
        <v>240</v>
      </c>
      <c r="R137" s="0" t="b">
        <v>0</v>
      </c>
      <c r="S137" s="0" t="s">
        <v>4156</v>
      </c>
    </row>
    <row customHeight="1" ht="11.25">
      <c r="A138" s="0">
        <v>2655</v>
      </c>
      <c r="B138" s="0" t="s">
        <v>102</v>
      </c>
      <c r="C138" s="0">
        <v>31085797</v>
      </c>
      <c r="D138" s="0" t="s">
        <v>4268</v>
      </c>
      <c r="E138" s="0" t="s">
        <v>4269</v>
      </c>
      <c r="F138" s="0" t="s">
        <v>4270</v>
      </c>
      <c r="G138" s="0" t="s">
        <v>3470</v>
      </c>
      <c r="H138" s="0" t="s">
        <v>4271</v>
      </c>
      <c r="I138" s="0" t="s">
        <v>4272</v>
      </c>
      <c r="J138" s="0" t="s">
        <v>3587</v>
      </c>
      <c r="K138" s="0" t="s">
        <v>4273</v>
      </c>
      <c r="L138" s="0" t="s">
        <v>4274</v>
      </c>
      <c r="M138" s="0" t="s">
        <v>4275</v>
      </c>
      <c r="N138" s="0" t="s">
        <v>4276</v>
      </c>
      <c r="O138" s="0" t="s">
        <v>4277</v>
      </c>
      <c r="P138" s="0" t="s">
        <v>3580</v>
      </c>
      <c r="Q138" s="0" t="s">
        <v>240</v>
      </c>
      <c r="R138" s="0" t="b">
        <v>1</v>
      </c>
      <c r="S138" s="0" t="s">
        <v>4156</v>
      </c>
    </row>
    <row customHeight="1" ht="11.25">
      <c r="A139" s="0">
        <v>2655</v>
      </c>
      <c r="B139" s="0" t="s">
        <v>102</v>
      </c>
      <c r="C139" s="0">
        <v>26486390</v>
      </c>
      <c r="D139" s="0" t="s">
        <v>3669</v>
      </c>
      <c r="E139" s="0" t="s">
        <v>3670</v>
      </c>
      <c r="F139" s="0" t="s">
        <v>3671</v>
      </c>
      <c r="G139" s="0" t="s">
        <v>3672</v>
      </c>
      <c r="H139" s="0" t="s">
        <v>3673</v>
      </c>
      <c r="I139" s="0" t="s">
        <v>3674</v>
      </c>
      <c r="J139" s="0" t="s">
        <v>3587</v>
      </c>
      <c r="K139" s="0" t="s">
        <v>3675</v>
      </c>
      <c r="L139" s="0" t="s">
        <v>3675</v>
      </c>
      <c r="M139" s="0" t="s">
        <v>3676</v>
      </c>
      <c r="N139" s="0" t="s">
        <v>3677</v>
      </c>
      <c r="O139" s="0" t="s">
        <v>3678</v>
      </c>
      <c r="P139" s="0" t="s">
        <v>3679</v>
      </c>
      <c r="Q139" s="0" t="s">
        <v>240</v>
      </c>
      <c r="R139" s="0" t="b">
        <v>0</v>
      </c>
      <c r="S139" s="0" t="s">
        <v>4156</v>
      </c>
    </row>
    <row customHeight="1" ht="11.25">
      <c r="A140" s="0">
        <v>2655</v>
      </c>
      <c r="B140" s="0" t="s">
        <v>102</v>
      </c>
      <c r="C140" s="0">
        <v>31187282</v>
      </c>
      <c r="D140" s="0" t="s">
        <v>4278</v>
      </c>
      <c r="E140" s="0" t="s">
        <v>4279</v>
      </c>
      <c r="F140" s="0" t="s">
        <v>4280</v>
      </c>
      <c r="G140" s="0" t="s">
        <v>3481</v>
      </c>
      <c r="H140" s="0" t="s">
        <v>4281</v>
      </c>
      <c r="I140" s="0" t="s">
        <v>4282</v>
      </c>
      <c r="J140" s="0" t="s">
        <v>3587</v>
      </c>
      <c r="K140" s="0" t="s">
        <v>4283</v>
      </c>
      <c r="L140" s="0" t="s">
        <v>4283</v>
      </c>
      <c r="M140" s="0" t="s">
        <v>240</v>
      </c>
      <c r="N140" s="0" t="s">
        <v>4284</v>
      </c>
      <c r="O140" s="0" t="s">
        <v>4285</v>
      </c>
      <c r="P140" s="0" t="s">
        <v>3580</v>
      </c>
      <c r="Q140" s="0" t="s">
        <v>240</v>
      </c>
      <c r="R140" s="0" t="b">
        <v>0</v>
      </c>
      <c r="S140" s="0" t="s">
        <v>4156</v>
      </c>
    </row>
    <row customHeight="1" ht="11.25">
      <c r="A141" s="0">
        <v>2655</v>
      </c>
      <c r="B141" s="0" t="s">
        <v>102</v>
      </c>
      <c r="C141" s="0">
        <v>31308226</v>
      </c>
      <c r="D141" s="0" t="s">
        <v>3701</v>
      </c>
      <c r="E141" s="0" t="s">
        <v>3702</v>
      </c>
      <c r="F141" s="0" t="s">
        <v>3703</v>
      </c>
      <c r="G141" s="0" t="s">
        <v>3704</v>
      </c>
      <c r="H141" s="0" t="s">
        <v>3705</v>
      </c>
      <c r="I141" s="0" t="s">
        <v>3706</v>
      </c>
      <c r="J141" s="0" t="s">
        <v>3587</v>
      </c>
      <c r="K141" s="0" t="s">
        <v>3707</v>
      </c>
      <c r="L141" s="0" t="s">
        <v>3707</v>
      </c>
      <c r="M141" s="0" t="s">
        <v>3708</v>
      </c>
      <c r="N141" s="0" t="s">
        <v>3709</v>
      </c>
      <c r="O141" s="0" t="s">
        <v>3710</v>
      </c>
      <c r="P141" s="0" t="s">
        <v>3613</v>
      </c>
      <c r="Q141" s="0" t="s">
        <v>240</v>
      </c>
      <c r="R141" s="0" t="b">
        <v>1</v>
      </c>
      <c r="S141" s="0" t="s">
        <v>4156</v>
      </c>
    </row>
    <row customHeight="1" ht="11.25">
      <c r="A142" s="0">
        <v>2655</v>
      </c>
      <c r="B142" s="0" t="s">
        <v>102</v>
      </c>
      <c r="C142" s="0">
        <v>31284269</v>
      </c>
      <c r="D142" s="0" t="s">
        <v>3711</v>
      </c>
      <c r="E142" s="0" t="s">
        <v>3712</v>
      </c>
      <c r="F142" s="0" t="s">
        <v>3713</v>
      </c>
      <c r="G142" s="0" t="s">
        <v>3654</v>
      </c>
      <c r="H142" s="0" t="s">
        <v>3714</v>
      </c>
      <c r="I142" s="0" t="s">
        <v>3715</v>
      </c>
      <c r="J142" s="0" t="s">
        <v>3587</v>
      </c>
      <c r="K142" s="0" t="s">
        <v>3716</v>
      </c>
      <c r="L142" s="0" t="s">
        <v>3717</v>
      </c>
      <c r="M142" s="0" t="s">
        <v>3718</v>
      </c>
      <c r="N142" s="0" t="s">
        <v>3719</v>
      </c>
      <c r="O142" s="0" t="s">
        <v>3720</v>
      </c>
      <c r="P142" s="0" t="s">
        <v>3580</v>
      </c>
      <c r="Q142" s="0" t="s">
        <v>240</v>
      </c>
      <c r="R142" s="0" t="b">
        <v>0</v>
      </c>
      <c r="S142" s="0" t="s">
        <v>4156</v>
      </c>
    </row>
    <row customHeight="1" ht="11.25">
      <c r="A143" s="0">
        <v>2655</v>
      </c>
      <c r="B143" s="0" t="s">
        <v>102</v>
      </c>
      <c r="C143" s="0">
        <v>31159389</v>
      </c>
      <c r="D143" s="0" t="s">
        <v>4286</v>
      </c>
      <c r="E143" s="0" t="s">
        <v>4287</v>
      </c>
      <c r="F143" s="0" t="s">
        <v>4288</v>
      </c>
      <c r="G143" s="0" t="s">
        <v>3595</v>
      </c>
      <c r="H143" s="0" t="s">
        <v>4289</v>
      </c>
      <c r="I143" s="0" t="s">
        <v>4290</v>
      </c>
      <c r="J143" s="0" t="s">
        <v>3587</v>
      </c>
      <c r="K143" s="0" t="s">
        <v>4291</v>
      </c>
      <c r="L143" s="0" t="s">
        <v>4292</v>
      </c>
      <c r="M143" s="0" t="s">
        <v>4293</v>
      </c>
      <c r="N143" s="0" t="s">
        <v>4294</v>
      </c>
      <c r="O143" s="0" t="s">
        <v>4295</v>
      </c>
      <c r="P143" s="0" t="s">
        <v>3580</v>
      </c>
      <c r="Q143" s="0" t="s">
        <v>240</v>
      </c>
      <c r="R143" s="0" t="b">
        <v>0</v>
      </c>
      <c r="S143" s="0" t="s">
        <v>4156</v>
      </c>
    </row>
    <row customHeight="1" ht="11.25">
      <c r="A144" s="0">
        <v>2655</v>
      </c>
      <c r="B144" s="0" t="s">
        <v>102</v>
      </c>
      <c r="C144" s="0">
        <v>26322895</v>
      </c>
      <c r="D144" s="0" t="s">
        <v>112</v>
      </c>
      <c r="E144" s="0" t="s">
        <v>115</v>
      </c>
      <c r="F144" s="0" t="s">
        <v>121</v>
      </c>
      <c r="G144" s="0" t="s">
        <v>123</v>
      </c>
      <c r="H144" s="0" t="s">
        <v>119</v>
      </c>
      <c r="I144" s="0" t="s">
        <v>125</v>
      </c>
      <c r="J144" s="0" t="s">
        <v>3517</v>
      </c>
      <c r="K144" s="0" t="s">
        <v>131</v>
      </c>
      <c r="L144" s="0" t="s">
        <v>131</v>
      </c>
      <c r="M144" s="0" t="s">
        <v>136</v>
      </c>
      <c r="N144" s="0" t="s">
        <v>139</v>
      </c>
      <c r="O144" s="0" t="s">
        <v>142</v>
      </c>
      <c r="P144" s="0" t="s">
        <v>145</v>
      </c>
      <c r="Q144" s="0" t="s">
        <v>148</v>
      </c>
      <c r="R144" s="0" t="b">
        <v>0</v>
      </c>
      <c r="S144" s="0" t="s">
        <v>4156</v>
      </c>
    </row>
    <row customHeight="1" ht="11.25">
      <c r="A145" s="0">
        <v>2655</v>
      </c>
      <c r="B145" s="0" t="s">
        <v>102</v>
      </c>
      <c r="C145" s="0">
        <v>26356930</v>
      </c>
      <c r="D145" s="0" t="s">
        <v>4296</v>
      </c>
      <c r="E145" s="0" t="s">
        <v>4297</v>
      </c>
      <c r="F145" s="0" t="s">
        <v>4298</v>
      </c>
      <c r="G145" s="0" t="s">
        <v>3752</v>
      </c>
      <c r="H145" s="0" t="s">
        <v>4299</v>
      </c>
      <c r="I145" s="0" t="s">
        <v>4300</v>
      </c>
      <c r="J145" s="0" t="s">
        <v>3745</v>
      </c>
      <c r="K145" s="0" t="s">
        <v>4301</v>
      </c>
      <c r="L145" s="0" t="s">
        <v>4301</v>
      </c>
      <c r="M145" s="0" t="s">
        <v>4302</v>
      </c>
      <c r="N145" s="0" t="s">
        <v>240</v>
      </c>
      <c r="O145" s="0" t="s">
        <v>4303</v>
      </c>
      <c r="P145" s="0" t="s">
        <v>3580</v>
      </c>
      <c r="Q145" s="0" t="s">
        <v>240</v>
      </c>
      <c r="R145" s="0" t="b">
        <v>1</v>
      </c>
      <c r="S145" s="0" t="s">
        <v>4156</v>
      </c>
    </row>
    <row customHeight="1" ht="11.25">
      <c r="A146" s="0">
        <v>2655</v>
      </c>
      <c r="B146" s="0" t="s">
        <v>102</v>
      </c>
      <c r="C146" s="0">
        <v>30843704</v>
      </c>
      <c r="D146" s="0" t="s">
        <v>4304</v>
      </c>
      <c r="E146" s="0" t="s">
        <v>4305</v>
      </c>
      <c r="F146" s="0" t="s">
        <v>4306</v>
      </c>
      <c r="G146" s="0" t="s">
        <v>123</v>
      </c>
      <c r="H146" s="0" t="s">
        <v>4307</v>
      </c>
      <c r="I146" s="0" t="s">
        <v>4308</v>
      </c>
      <c r="J146" s="0" t="s">
        <v>3745</v>
      </c>
      <c r="K146" s="0" t="s">
        <v>4309</v>
      </c>
      <c r="L146" s="0" t="s">
        <v>4310</v>
      </c>
      <c r="M146" s="0" t="s">
        <v>240</v>
      </c>
      <c r="N146" s="0" t="s">
        <v>4311</v>
      </c>
      <c r="O146" s="0" t="s">
        <v>4312</v>
      </c>
      <c r="P146" s="0" t="s">
        <v>145</v>
      </c>
      <c r="Q146" s="0" t="s">
        <v>240</v>
      </c>
      <c r="R146" s="0" t="b">
        <v>0</v>
      </c>
      <c r="S146" s="0" t="s">
        <v>4156</v>
      </c>
    </row>
    <row customHeight="1" ht="11.25">
      <c r="A147" s="0">
        <v>2655</v>
      </c>
      <c r="B147" s="0" t="s">
        <v>102</v>
      </c>
      <c r="C147" s="0">
        <v>26798812</v>
      </c>
      <c r="D147" s="0" t="s">
        <v>4313</v>
      </c>
      <c r="E147" s="0" t="s">
        <v>4314</v>
      </c>
      <c r="F147" s="0" t="s">
        <v>4315</v>
      </c>
      <c r="G147" s="0" t="s">
        <v>3470</v>
      </c>
      <c r="H147" s="0" t="s">
        <v>4316</v>
      </c>
      <c r="I147" s="0" t="s">
        <v>4317</v>
      </c>
      <c r="J147" s="0" t="s">
        <v>3745</v>
      </c>
      <c r="K147" s="0" t="s">
        <v>4318</v>
      </c>
      <c r="L147" s="0" t="s">
        <v>4318</v>
      </c>
      <c r="M147" s="0" t="s">
        <v>4319</v>
      </c>
      <c r="N147" s="0" t="s">
        <v>4320</v>
      </c>
      <c r="O147" s="0" t="s">
        <v>4321</v>
      </c>
      <c r="P147" s="0" t="s">
        <v>145</v>
      </c>
      <c r="Q147" s="0" t="s">
        <v>4322</v>
      </c>
      <c r="R147" s="0" t="b">
        <v>0</v>
      </c>
      <c r="S147" s="0" t="s">
        <v>4156</v>
      </c>
    </row>
    <row customHeight="1" ht="11.25">
      <c r="A148" s="0">
        <v>2655</v>
      </c>
      <c r="B148" s="0" t="s">
        <v>102</v>
      </c>
      <c r="C148" s="0">
        <v>31775146</v>
      </c>
      <c r="D148" s="0" t="s">
        <v>3749</v>
      </c>
      <c r="E148" s="0" t="s">
        <v>3750</v>
      </c>
      <c r="F148" s="0" t="s">
        <v>3751</v>
      </c>
      <c r="G148" s="0" t="s">
        <v>3752</v>
      </c>
      <c r="H148" s="0" t="s">
        <v>3753</v>
      </c>
      <c r="I148" s="0" t="s">
        <v>3754</v>
      </c>
      <c r="K148" s="0" t="s">
        <v>3755</v>
      </c>
      <c r="L148" s="0" t="s">
        <v>3755</v>
      </c>
      <c r="M148" s="0" t="s">
        <v>3756</v>
      </c>
      <c r="N148" s="0" t="s">
        <v>3757</v>
      </c>
      <c r="O148" s="0" t="s">
        <v>3758</v>
      </c>
      <c r="P148" s="0" t="s">
        <v>3613</v>
      </c>
      <c r="Q148" s="0" t="s">
        <v>240</v>
      </c>
      <c r="R148" s="0" t="b">
        <v>1</v>
      </c>
      <c r="S148" s="0" t="s">
        <v>4156</v>
      </c>
    </row>
    <row customHeight="1" ht="11.25">
      <c r="A149" s="0">
        <v>2655</v>
      </c>
      <c r="B149" s="0" t="s">
        <v>102</v>
      </c>
      <c r="C149" s="0">
        <v>28873685</v>
      </c>
      <c r="D149" s="0" t="s">
        <v>4323</v>
      </c>
      <c r="E149" s="0" t="s">
        <v>4324</v>
      </c>
      <c r="F149" s="0" t="s">
        <v>4325</v>
      </c>
      <c r="G149" s="0" t="s">
        <v>3752</v>
      </c>
      <c r="H149" s="0" t="s">
        <v>4326</v>
      </c>
      <c r="I149" s="0" t="s">
        <v>4327</v>
      </c>
      <c r="J149" s="0" t="s">
        <v>3745</v>
      </c>
      <c r="K149" s="0" t="s">
        <v>4328</v>
      </c>
      <c r="L149" s="0" t="s">
        <v>4328</v>
      </c>
      <c r="M149" s="0" t="s">
        <v>4329</v>
      </c>
      <c r="N149" s="0" t="s">
        <v>3757</v>
      </c>
      <c r="O149" s="0" t="s">
        <v>3758</v>
      </c>
      <c r="P149" s="0" t="s">
        <v>145</v>
      </c>
      <c r="Q149" s="0" t="s">
        <v>4330</v>
      </c>
      <c r="R149" s="0" t="b">
        <v>1</v>
      </c>
      <c r="S149" s="0" t="s">
        <v>4156</v>
      </c>
    </row>
    <row customHeight="1" ht="11.25">
      <c r="A150" s="0">
        <v>2655</v>
      </c>
      <c r="B150" s="0" t="s">
        <v>102</v>
      </c>
      <c r="C150" s="0">
        <v>28869965</v>
      </c>
      <c r="D150" s="0" t="s">
        <v>3759</v>
      </c>
      <c r="E150" s="0" t="s">
        <v>3760</v>
      </c>
      <c r="F150" s="0" t="s">
        <v>3761</v>
      </c>
      <c r="G150" s="0" t="s">
        <v>3572</v>
      </c>
      <c r="H150" s="0" t="s">
        <v>3762</v>
      </c>
      <c r="I150" s="0" t="s">
        <v>240</v>
      </c>
      <c r="J150" s="0" t="s">
        <v>3745</v>
      </c>
      <c r="K150" s="0" t="s">
        <v>3763</v>
      </c>
      <c r="L150" s="0" t="s">
        <v>3763</v>
      </c>
      <c r="M150" s="0" t="s">
        <v>3764</v>
      </c>
      <c r="N150" s="0" t="s">
        <v>3765</v>
      </c>
      <c r="O150" s="0" t="s">
        <v>3766</v>
      </c>
      <c r="P150" s="0" t="s">
        <v>145</v>
      </c>
      <c r="Q150" s="0" t="s">
        <v>3767</v>
      </c>
      <c r="R150" s="0" t="b">
        <v>0</v>
      </c>
      <c r="S150" s="0" t="s">
        <v>4156</v>
      </c>
    </row>
    <row customHeight="1" ht="11.25">
      <c r="A151" s="0">
        <v>2655</v>
      </c>
      <c r="B151" s="0" t="s">
        <v>102</v>
      </c>
      <c r="C151" s="0">
        <v>31245446</v>
      </c>
      <c r="D151" s="0" t="s">
        <v>4331</v>
      </c>
      <c r="E151" s="0" t="s">
        <v>4332</v>
      </c>
      <c r="F151" s="0" t="s">
        <v>4333</v>
      </c>
      <c r="G151" s="0" t="s">
        <v>4334</v>
      </c>
      <c r="H151" s="0" t="s">
        <v>4335</v>
      </c>
      <c r="I151" s="0" t="s">
        <v>4336</v>
      </c>
      <c r="J151" s="0" t="s">
        <v>3745</v>
      </c>
      <c r="K151" s="0" t="s">
        <v>4337</v>
      </c>
      <c r="L151" s="0" t="s">
        <v>4338</v>
      </c>
      <c r="M151" s="0" t="s">
        <v>4339</v>
      </c>
      <c r="N151" s="0" t="s">
        <v>4340</v>
      </c>
      <c r="O151" s="0" t="s">
        <v>4341</v>
      </c>
      <c r="P151" s="0" t="s">
        <v>3580</v>
      </c>
      <c r="Q151" s="0" t="s">
        <v>240</v>
      </c>
      <c r="R151" s="0" t="b">
        <v>0</v>
      </c>
      <c r="S151" s="0" t="s">
        <v>4156</v>
      </c>
    </row>
    <row customHeight="1" ht="11.25">
      <c r="A152" s="0">
        <v>2655</v>
      </c>
      <c r="B152" s="0" t="s">
        <v>102</v>
      </c>
      <c r="C152" s="0">
        <v>26476793</v>
      </c>
      <c r="D152" s="0" t="s">
        <v>4342</v>
      </c>
      <c r="E152" s="0" t="s">
        <v>4343</v>
      </c>
      <c r="F152" s="0" t="s">
        <v>4344</v>
      </c>
      <c r="G152" s="0" t="s">
        <v>4239</v>
      </c>
      <c r="H152" s="0" t="s">
        <v>4345</v>
      </c>
      <c r="I152" s="0" t="s">
        <v>4346</v>
      </c>
      <c r="J152" s="0" t="s">
        <v>3745</v>
      </c>
      <c r="K152" s="0" t="s">
        <v>4347</v>
      </c>
      <c r="L152" s="0" t="s">
        <v>4347</v>
      </c>
      <c r="M152" s="0" t="s">
        <v>4348</v>
      </c>
      <c r="N152" s="0" t="s">
        <v>4349</v>
      </c>
      <c r="O152" s="0" t="s">
        <v>4350</v>
      </c>
      <c r="P152" s="0" t="s">
        <v>3580</v>
      </c>
      <c r="Q152" s="0" t="s">
        <v>152</v>
      </c>
      <c r="R152" s="0" t="b">
        <v>1</v>
      </c>
      <c r="S152" s="0" t="s">
        <v>4156</v>
      </c>
    </row>
    <row customHeight="1" ht="11.25">
      <c r="A153" s="0">
        <v>2655</v>
      </c>
      <c r="B153" s="0" t="s">
        <v>102</v>
      </c>
      <c r="C153" s="0">
        <v>28509720</v>
      </c>
      <c r="D153" s="0" t="s">
        <v>4351</v>
      </c>
      <c r="E153" s="0" t="s">
        <v>4352</v>
      </c>
      <c r="F153" s="0" t="s">
        <v>4353</v>
      </c>
      <c r="G153" s="0" t="s">
        <v>4354</v>
      </c>
      <c r="H153" s="0" t="s">
        <v>4355</v>
      </c>
      <c r="I153" s="0" t="s">
        <v>4356</v>
      </c>
      <c r="J153" s="0" t="s">
        <v>3745</v>
      </c>
      <c r="K153" s="0" t="s">
        <v>4357</v>
      </c>
      <c r="L153" s="0" t="s">
        <v>4358</v>
      </c>
      <c r="M153" s="0" t="s">
        <v>4359</v>
      </c>
      <c r="N153" s="0" t="s">
        <v>240</v>
      </c>
      <c r="O153" s="0" t="s">
        <v>4360</v>
      </c>
      <c r="P153" s="0" t="s">
        <v>145</v>
      </c>
      <c r="Q153" s="0" t="s">
        <v>240</v>
      </c>
      <c r="R153" s="0" t="b">
        <v>0</v>
      </c>
      <c r="S153" s="0" t="s">
        <v>4156</v>
      </c>
    </row>
    <row customHeight="1" ht="11.25">
      <c r="A154" s="0">
        <v>2655</v>
      </c>
      <c r="B154" s="0" t="s">
        <v>102</v>
      </c>
      <c r="C154" s="0">
        <v>31527562</v>
      </c>
      <c r="D154" s="0" t="s">
        <v>4361</v>
      </c>
      <c r="E154" s="0" t="s">
        <v>4362</v>
      </c>
      <c r="F154" s="0" t="s">
        <v>4363</v>
      </c>
      <c r="G154" s="0" t="s">
        <v>4364</v>
      </c>
      <c r="H154" s="0" t="s">
        <v>4365</v>
      </c>
      <c r="I154" s="0" t="s">
        <v>4366</v>
      </c>
      <c r="K154" s="0" t="s">
        <v>4367</v>
      </c>
      <c r="L154" s="0" t="s">
        <v>4368</v>
      </c>
      <c r="M154" s="0" t="s">
        <v>240</v>
      </c>
      <c r="N154" s="0" t="s">
        <v>240</v>
      </c>
      <c r="O154" s="0" t="s">
        <v>4369</v>
      </c>
      <c r="P154" s="0" t="s">
        <v>240</v>
      </c>
      <c r="Q154" s="0" t="s">
        <v>240</v>
      </c>
      <c r="R154" s="0" t="b">
        <v>0</v>
      </c>
      <c r="S154" s="0" t="s">
        <v>4156</v>
      </c>
    </row>
    <row customHeight="1" ht="11.25">
      <c r="A155" s="0">
        <v>2655</v>
      </c>
      <c r="B155" s="0" t="s">
        <v>102</v>
      </c>
      <c r="C155" s="0">
        <v>31874557</v>
      </c>
      <c r="D155" s="0" t="s">
        <v>4370</v>
      </c>
      <c r="E155" s="0" t="s">
        <v>4371</v>
      </c>
      <c r="F155" s="0" t="s">
        <v>4372</v>
      </c>
      <c r="G155" s="0" t="s">
        <v>3704</v>
      </c>
      <c r="H155" s="0" t="s">
        <v>4373</v>
      </c>
      <c r="I155" s="0" t="s">
        <v>4374</v>
      </c>
      <c r="K155" s="0" t="s">
        <v>4375</v>
      </c>
      <c r="L155" s="0" t="s">
        <v>4375</v>
      </c>
      <c r="M155" s="0" t="s">
        <v>4376</v>
      </c>
      <c r="N155" s="0" t="s">
        <v>4377</v>
      </c>
      <c r="O155" s="0" t="s">
        <v>4378</v>
      </c>
      <c r="P155" s="0" t="s">
        <v>145</v>
      </c>
      <c r="Q155" s="0" t="s">
        <v>240</v>
      </c>
      <c r="R155" s="0" t="b">
        <v>1</v>
      </c>
      <c r="S155" s="0" t="s">
        <v>4156</v>
      </c>
    </row>
    <row customHeight="1" ht="11.25">
      <c r="A156" s="0">
        <v>2655</v>
      </c>
      <c r="B156" s="0" t="s">
        <v>102</v>
      </c>
      <c r="C156" s="0">
        <v>31656254</v>
      </c>
      <c r="D156" s="0" t="s">
        <v>3798</v>
      </c>
      <c r="E156" s="0" t="s">
        <v>3799</v>
      </c>
      <c r="F156" s="0" t="s">
        <v>3800</v>
      </c>
      <c r="G156" s="0" t="s">
        <v>3801</v>
      </c>
      <c r="H156" s="0" t="s">
        <v>3802</v>
      </c>
      <c r="I156" s="0" t="s">
        <v>3803</v>
      </c>
      <c r="K156" s="0" t="s">
        <v>3804</v>
      </c>
      <c r="L156" s="0" t="s">
        <v>3805</v>
      </c>
      <c r="M156" s="0" t="s">
        <v>3806</v>
      </c>
      <c r="N156" s="0" t="s">
        <v>3807</v>
      </c>
      <c r="O156" s="0" t="s">
        <v>3808</v>
      </c>
      <c r="P156" s="0" t="s">
        <v>3580</v>
      </c>
      <c r="Q156" s="0" t="s">
        <v>3809</v>
      </c>
      <c r="R156" s="0" t="b">
        <v>0</v>
      </c>
      <c r="S156" s="0" t="s">
        <v>4156</v>
      </c>
    </row>
    <row customHeight="1" ht="11.25">
      <c r="A157" s="0">
        <v>2655</v>
      </c>
      <c r="B157" s="0" t="s">
        <v>102</v>
      </c>
      <c r="C157" s="0">
        <v>26356927</v>
      </c>
      <c r="D157" s="0" t="s">
        <v>4379</v>
      </c>
      <c r="E157" s="0" t="s">
        <v>4380</v>
      </c>
      <c r="F157" s="0" t="s">
        <v>4381</v>
      </c>
      <c r="G157" s="0" t="s">
        <v>3752</v>
      </c>
      <c r="H157" s="0" t="s">
        <v>4382</v>
      </c>
      <c r="I157" s="0" t="s">
        <v>4383</v>
      </c>
      <c r="J157" s="0" t="s">
        <v>3745</v>
      </c>
      <c r="K157" s="0" t="s">
        <v>4384</v>
      </c>
      <c r="L157" s="0" t="s">
        <v>4384</v>
      </c>
      <c r="M157" s="0" t="s">
        <v>4385</v>
      </c>
      <c r="N157" s="0" t="s">
        <v>4386</v>
      </c>
      <c r="O157" s="0" t="s">
        <v>4387</v>
      </c>
      <c r="P157" s="0" t="s">
        <v>3613</v>
      </c>
      <c r="Q157" s="0" t="s">
        <v>240</v>
      </c>
      <c r="R157" s="0" t="b">
        <v>1</v>
      </c>
      <c r="S157" s="0" t="s">
        <v>4156</v>
      </c>
    </row>
    <row customHeight="1" ht="11.25">
      <c r="A158" s="0">
        <v>2655</v>
      </c>
      <c r="B158" s="0" t="s">
        <v>102</v>
      </c>
      <c r="C158" s="0">
        <v>28878273</v>
      </c>
      <c r="D158" s="0" t="s">
        <v>4388</v>
      </c>
      <c r="E158" s="0" t="s">
        <v>4389</v>
      </c>
      <c r="F158" s="0" t="s">
        <v>4390</v>
      </c>
      <c r="G158" s="0" t="s">
        <v>123</v>
      </c>
      <c r="H158" s="0" t="s">
        <v>4391</v>
      </c>
      <c r="I158" s="0" t="s">
        <v>240</v>
      </c>
      <c r="J158" s="0" t="s">
        <v>3745</v>
      </c>
      <c r="K158" s="0" t="s">
        <v>4392</v>
      </c>
      <c r="L158" s="0" t="s">
        <v>4393</v>
      </c>
      <c r="M158" s="0" t="s">
        <v>4394</v>
      </c>
      <c r="N158" s="0" t="s">
        <v>4395</v>
      </c>
      <c r="O158" s="0" t="s">
        <v>4396</v>
      </c>
      <c r="P158" s="0" t="s">
        <v>145</v>
      </c>
      <c r="Q158" s="0" t="s">
        <v>4397</v>
      </c>
      <c r="R158" s="0" t="b">
        <v>0</v>
      </c>
      <c r="S158" s="0" t="s">
        <v>4156</v>
      </c>
    </row>
    <row customHeight="1" ht="11.25">
      <c r="A159" s="0">
        <v>2655</v>
      </c>
      <c r="B159" s="0" t="s">
        <v>102</v>
      </c>
      <c r="C159" s="0">
        <v>26562805</v>
      </c>
      <c r="D159" s="0" t="s">
        <v>4398</v>
      </c>
      <c r="E159" s="0" t="s">
        <v>4399</v>
      </c>
      <c r="F159" s="0" t="s">
        <v>4400</v>
      </c>
      <c r="G159" s="0" t="s">
        <v>3672</v>
      </c>
      <c r="H159" s="0" t="s">
        <v>4401</v>
      </c>
      <c r="I159" s="0" t="s">
        <v>4402</v>
      </c>
      <c r="J159" s="0" t="s">
        <v>3745</v>
      </c>
      <c r="K159" s="0" t="s">
        <v>4403</v>
      </c>
      <c r="L159" s="0" t="s">
        <v>4403</v>
      </c>
      <c r="M159" s="0" t="s">
        <v>4404</v>
      </c>
      <c r="N159" s="0" t="s">
        <v>4405</v>
      </c>
      <c r="O159" s="0" t="s">
        <v>4406</v>
      </c>
      <c r="P159" s="0" t="s">
        <v>3580</v>
      </c>
      <c r="Q159" s="0" t="s">
        <v>4407</v>
      </c>
      <c r="R159" s="0" t="b">
        <v>0</v>
      </c>
      <c r="S159" s="0" t="s">
        <v>4156</v>
      </c>
    </row>
    <row customHeight="1" ht="11.25">
      <c r="A160" s="0">
        <v>2655</v>
      </c>
      <c r="B160" s="0" t="s">
        <v>102</v>
      </c>
      <c r="C160" s="0">
        <v>31684090</v>
      </c>
      <c r="D160" s="0" t="s">
        <v>4408</v>
      </c>
      <c r="E160" s="0" t="s">
        <v>4409</v>
      </c>
      <c r="F160" s="0" t="s">
        <v>4410</v>
      </c>
      <c r="G160" s="0" t="s">
        <v>123</v>
      </c>
      <c r="H160" s="0" t="s">
        <v>4411</v>
      </c>
      <c r="I160" s="0" t="s">
        <v>4412</v>
      </c>
      <c r="K160" s="0" t="s">
        <v>4413</v>
      </c>
      <c r="L160" s="0" t="s">
        <v>4414</v>
      </c>
      <c r="M160" s="0" t="s">
        <v>240</v>
      </c>
      <c r="N160" s="0" t="s">
        <v>240</v>
      </c>
      <c r="O160" s="0" t="s">
        <v>4415</v>
      </c>
      <c r="P160" s="0" t="s">
        <v>3465</v>
      </c>
      <c r="Q160" s="0" t="s">
        <v>4416</v>
      </c>
      <c r="R160" s="0" t="b">
        <v>0</v>
      </c>
      <c r="S160" s="0" t="s">
        <v>4156</v>
      </c>
    </row>
    <row customHeight="1" ht="11.25">
      <c r="A161" s="0">
        <v>2655</v>
      </c>
      <c r="B161" s="0" t="s">
        <v>102</v>
      </c>
      <c r="C161" s="0">
        <v>27997588</v>
      </c>
      <c r="D161" s="0" t="s">
        <v>4417</v>
      </c>
      <c r="E161" s="0" t="s">
        <v>4418</v>
      </c>
      <c r="F161" s="0" t="s">
        <v>4419</v>
      </c>
      <c r="G161" s="0" t="s">
        <v>3572</v>
      </c>
      <c r="H161" s="0" t="s">
        <v>4420</v>
      </c>
      <c r="I161" s="0" t="s">
        <v>4421</v>
      </c>
      <c r="J161" s="0" t="s">
        <v>3745</v>
      </c>
      <c r="K161" s="0" t="s">
        <v>4422</v>
      </c>
      <c r="L161" s="0" t="s">
        <v>4422</v>
      </c>
      <c r="M161" s="0" t="s">
        <v>4423</v>
      </c>
      <c r="N161" s="0" t="s">
        <v>4424</v>
      </c>
      <c r="O161" s="0" t="s">
        <v>4425</v>
      </c>
      <c r="P161" s="0" t="s">
        <v>4426</v>
      </c>
      <c r="Q161" s="0" t="s">
        <v>240</v>
      </c>
      <c r="R161" s="0" t="b">
        <v>0</v>
      </c>
      <c r="S161" s="0" t="s">
        <v>4156</v>
      </c>
    </row>
    <row customHeight="1" ht="11.25">
      <c r="A162" s="0">
        <v>2655</v>
      </c>
      <c r="B162" s="0" t="s">
        <v>102</v>
      </c>
      <c r="C162" s="0">
        <v>28882034</v>
      </c>
      <c r="D162" s="0" t="s">
        <v>4427</v>
      </c>
      <c r="E162" s="0" t="s">
        <v>4428</v>
      </c>
      <c r="F162" s="0" t="s">
        <v>4429</v>
      </c>
      <c r="G162" s="0" t="s">
        <v>123</v>
      </c>
      <c r="H162" s="0" t="s">
        <v>4430</v>
      </c>
      <c r="I162" s="0" t="s">
        <v>240</v>
      </c>
      <c r="J162" s="0" t="s">
        <v>3745</v>
      </c>
      <c r="K162" s="0" t="s">
        <v>4431</v>
      </c>
      <c r="L162" s="0" t="s">
        <v>4431</v>
      </c>
      <c r="M162" s="0" t="s">
        <v>240</v>
      </c>
      <c r="N162" s="0" t="s">
        <v>240</v>
      </c>
      <c r="O162" s="0" t="s">
        <v>4432</v>
      </c>
      <c r="P162" s="0" t="s">
        <v>3580</v>
      </c>
      <c r="Q162" s="0" t="s">
        <v>240</v>
      </c>
      <c r="R162" s="0" t="b">
        <v>0</v>
      </c>
      <c r="S162" s="0" t="s">
        <v>4156</v>
      </c>
    </row>
    <row customHeight="1" ht="11.25">
      <c r="A163" s="0">
        <v>2655</v>
      </c>
      <c r="B163" s="0" t="s">
        <v>102</v>
      </c>
      <c r="C163" s="0">
        <v>26648537</v>
      </c>
      <c r="D163" s="0" t="s">
        <v>4433</v>
      </c>
      <c r="E163" s="0" t="s">
        <v>4434</v>
      </c>
      <c r="F163" s="0" t="s">
        <v>4435</v>
      </c>
      <c r="G163" s="0" t="s">
        <v>123</v>
      </c>
      <c r="H163" s="0" t="s">
        <v>4436</v>
      </c>
      <c r="I163" s="0" t="s">
        <v>4437</v>
      </c>
      <c r="J163" s="0" t="s">
        <v>3745</v>
      </c>
      <c r="K163" s="0" t="s">
        <v>4438</v>
      </c>
      <c r="L163" s="0" t="s">
        <v>4438</v>
      </c>
      <c r="M163" s="0" t="s">
        <v>4439</v>
      </c>
      <c r="N163" s="0" t="s">
        <v>4440</v>
      </c>
      <c r="O163" s="0" t="s">
        <v>4441</v>
      </c>
      <c r="P163" s="0" t="s">
        <v>3580</v>
      </c>
      <c r="Q163" s="0" t="s">
        <v>4442</v>
      </c>
      <c r="R163" s="0" t="b">
        <v>0</v>
      </c>
      <c r="S163" s="0" t="s">
        <v>4156</v>
      </c>
    </row>
    <row customHeight="1" ht="11.25">
      <c r="A164" s="0">
        <v>2655</v>
      </c>
      <c r="B164" s="0" t="s">
        <v>102</v>
      </c>
      <c r="C164" s="0">
        <v>31519209</v>
      </c>
      <c r="D164" s="0" t="s">
        <v>4443</v>
      </c>
      <c r="E164" s="0" t="s">
        <v>4444</v>
      </c>
      <c r="F164" s="0" t="s">
        <v>4445</v>
      </c>
      <c r="G164" s="0" t="s">
        <v>3752</v>
      </c>
      <c r="H164" s="0" t="s">
        <v>4446</v>
      </c>
      <c r="I164" s="0" t="s">
        <v>4447</v>
      </c>
      <c r="J164" s="0" t="s">
        <v>3745</v>
      </c>
      <c r="K164" s="0" t="s">
        <v>4448</v>
      </c>
      <c r="L164" s="0" t="s">
        <v>4449</v>
      </c>
      <c r="M164" s="0" t="s">
        <v>4450</v>
      </c>
      <c r="N164" s="0" t="s">
        <v>4451</v>
      </c>
      <c r="O164" s="0" t="s">
        <v>4452</v>
      </c>
      <c r="P164" s="0" t="s">
        <v>3465</v>
      </c>
      <c r="Q164" s="0" t="s">
        <v>240</v>
      </c>
      <c r="R164" s="0" t="b">
        <v>0</v>
      </c>
      <c r="S164" s="0" t="s">
        <v>4156</v>
      </c>
    </row>
    <row customHeight="1" ht="11.25">
      <c r="A165" s="0">
        <v>2655</v>
      </c>
      <c r="B165" s="0" t="s">
        <v>102</v>
      </c>
      <c r="C165" s="0">
        <v>31574053</v>
      </c>
      <c r="D165" s="0" t="s">
        <v>4453</v>
      </c>
      <c r="E165" s="0" t="s">
        <v>4454</v>
      </c>
      <c r="F165" s="0" t="s">
        <v>4455</v>
      </c>
      <c r="G165" s="0" t="s">
        <v>3704</v>
      </c>
      <c r="H165" s="0" t="s">
        <v>4456</v>
      </c>
      <c r="I165" s="0" t="s">
        <v>4457</v>
      </c>
      <c r="K165" s="0" t="s">
        <v>4458</v>
      </c>
      <c r="L165" s="0" t="s">
        <v>4458</v>
      </c>
      <c r="M165" s="0" t="s">
        <v>4459</v>
      </c>
      <c r="N165" s="0" t="s">
        <v>4460</v>
      </c>
      <c r="O165" s="0" t="s">
        <v>4461</v>
      </c>
      <c r="P165" s="0" t="s">
        <v>3580</v>
      </c>
      <c r="Q165" s="0" t="s">
        <v>240</v>
      </c>
      <c r="R165" s="0" t="b">
        <v>0</v>
      </c>
      <c r="S165" s="0" t="s">
        <v>4156</v>
      </c>
    </row>
    <row customHeight="1" ht="11.25">
      <c r="A166" s="0">
        <v>2655</v>
      </c>
      <c r="B166" s="0" t="s">
        <v>102</v>
      </c>
      <c r="C166" s="0">
        <v>28141951</v>
      </c>
      <c r="D166" s="0" t="s">
        <v>4462</v>
      </c>
      <c r="E166" s="0" t="s">
        <v>4463</v>
      </c>
      <c r="F166" s="0" t="s">
        <v>4464</v>
      </c>
      <c r="G166" s="0" t="s">
        <v>3481</v>
      </c>
      <c r="H166" s="0" t="s">
        <v>4465</v>
      </c>
      <c r="I166" s="0" t="s">
        <v>4466</v>
      </c>
      <c r="J166" s="0" t="s">
        <v>3745</v>
      </c>
      <c r="K166" s="0" t="s">
        <v>4467</v>
      </c>
      <c r="L166" s="0" t="s">
        <v>4467</v>
      </c>
      <c r="M166" s="0" t="s">
        <v>4468</v>
      </c>
      <c r="N166" s="0" t="s">
        <v>4469</v>
      </c>
      <c r="O166" s="0" t="s">
        <v>4470</v>
      </c>
      <c r="P166" s="0" t="s">
        <v>145</v>
      </c>
      <c r="Q166" s="0" t="s">
        <v>4471</v>
      </c>
      <c r="R166" s="0" t="b">
        <v>0</v>
      </c>
      <c r="S166" s="0" t="s">
        <v>4156</v>
      </c>
    </row>
    <row customHeight="1" ht="11.25">
      <c r="A167" s="0">
        <v>2655</v>
      </c>
      <c r="B167" s="0" t="s">
        <v>102</v>
      </c>
      <c r="C167" s="0">
        <v>26852793</v>
      </c>
      <c r="D167" s="0" t="s">
        <v>4472</v>
      </c>
      <c r="E167" s="0" t="s">
        <v>4473</v>
      </c>
      <c r="F167" s="0" t="s">
        <v>4474</v>
      </c>
      <c r="G167" s="0" t="s">
        <v>3704</v>
      </c>
      <c r="H167" s="0" t="s">
        <v>4475</v>
      </c>
      <c r="I167" s="0" t="s">
        <v>4476</v>
      </c>
      <c r="J167" s="0" t="s">
        <v>3745</v>
      </c>
      <c r="K167" s="0" t="s">
        <v>4162</v>
      </c>
      <c r="L167" s="0" t="s">
        <v>4162</v>
      </c>
      <c r="M167" s="0" t="s">
        <v>4477</v>
      </c>
      <c r="N167" s="0" t="s">
        <v>4478</v>
      </c>
      <c r="O167" s="0" t="s">
        <v>4479</v>
      </c>
      <c r="P167" s="0" t="s">
        <v>145</v>
      </c>
      <c r="Q167" s="0" t="s">
        <v>152</v>
      </c>
      <c r="R167" s="0" t="b">
        <v>0</v>
      </c>
      <c r="S167" s="0" t="s">
        <v>4156</v>
      </c>
    </row>
    <row customHeight="1" ht="11.25">
      <c r="A168" s="0">
        <v>2655</v>
      </c>
      <c r="B168" s="0" t="s">
        <v>102</v>
      </c>
      <c r="C168" s="0">
        <v>28141966</v>
      </c>
      <c r="D168" s="0" t="s">
        <v>4480</v>
      </c>
      <c r="E168" s="0" t="s">
        <v>4481</v>
      </c>
      <c r="F168" s="0" t="s">
        <v>4482</v>
      </c>
      <c r="G168" s="0" t="s">
        <v>3572</v>
      </c>
      <c r="H168" s="0" t="s">
        <v>4483</v>
      </c>
      <c r="I168" s="0" t="s">
        <v>4484</v>
      </c>
      <c r="J168" s="0" t="s">
        <v>3745</v>
      </c>
      <c r="K168" s="0" t="s">
        <v>4485</v>
      </c>
      <c r="L168" s="0" t="s">
        <v>4486</v>
      </c>
      <c r="M168" s="0" t="s">
        <v>4487</v>
      </c>
      <c r="N168" s="0" t="s">
        <v>4488</v>
      </c>
      <c r="O168" s="0" t="s">
        <v>4489</v>
      </c>
      <c r="P168" s="0" t="s">
        <v>145</v>
      </c>
      <c r="Q168" s="0" t="s">
        <v>4490</v>
      </c>
      <c r="R168" s="0" t="b">
        <v>0</v>
      </c>
      <c r="S168" s="0" t="s">
        <v>4156</v>
      </c>
    </row>
    <row customHeight="1" ht="11.25">
      <c r="A169" s="0">
        <v>2655</v>
      </c>
      <c r="B169" s="0" t="s">
        <v>102</v>
      </c>
      <c r="C169" s="0">
        <v>31424033</v>
      </c>
      <c r="D169" s="0" t="s">
        <v>3810</v>
      </c>
      <c r="E169" s="0" t="s">
        <v>3811</v>
      </c>
      <c r="F169" s="0" t="s">
        <v>3812</v>
      </c>
      <c r="G169" s="0" t="s">
        <v>3813</v>
      </c>
      <c r="H169" s="0" t="s">
        <v>3814</v>
      </c>
      <c r="I169" s="0" t="s">
        <v>240</v>
      </c>
      <c r="J169" s="0" t="s">
        <v>3745</v>
      </c>
      <c r="K169" s="0" t="s">
        <v>3815</v>
      </c>
      <c r="L169" s="0" t="s">
        <v>3816</v>
      </c>
      <c r="M169" s="0" t="s">
        <v>3462</v>
      </c>
      <c r="N169" s="0" t="s">
        <v>3817</v>
      </c>
      <c r="O169" s="0" t="s">
        <v>3818</v>
      </c>
      <c r="P169" s="0" t="s">
        <v>3580</v>
      </c>
      <c r="Q169" s="0" t="s">
        <v>3819</v>
      </c>
      <c r="R169" s="0" t="b">
        <v>0</v>
      </c>
      <c r="S169" s="0" t="s">
        <v>4156</v>
      </c>
    </row>
    <row customHeight="1" ht="11.25">
      <c r="A170" s="0">
        <v>2655</v>
      </c>
      <c r="B170" s="0" t="s">
        <v>102</v>
      </c>
      <c r="C170" s="0">
        <v>27838991</v>
      </c>
      <c r="D170" s="0" t="s">
        <v>4129</v>
      </c>
      <c r="E170" s="0" t="s">
        <v>4130</v>
      </c>
      <c r="F170" s="0" t="s">
        <v>4131</v>
      </c>
      <c r="G170" s="0" t="s">
        <v>3481</v>
      </c>
      <c r="H170" s="0" t="s">
        <v>4132</v>
      </c>
      <c r="I170" s="0" t="s">
        <v>4133</v>
      </c>
      <c r="J170" s="0" t="s">
        <v>3745</v>
      </c>
      <c r="K170" s="0" t="s">
        <v>4134</v>
      </c>
      <c r="L170" s="0" t="s">
        <v>4135</v>
      </c>
      <c r="M170" s="0" t="s">
        <v>4136</v>
      </c>
      <c r="N170" s="0" t="s">
        <v>4137</v>
      </c>
      <c r="O170" s="0" t="s">
        <v>4138</v>
      </c>
      <c r="P170" s="0" t="s">
        <v>145</v>
      </c>
      <c r="Q170" s="0" t="s">
        <v>240</v>
      </c>
      <c r="R170" s="0" t="b">
        <v>0</v>
      </c>
      <c r="S170" s="0" t="s">
        <v>4156</v>
      </c>
    </row>
    <row customHeight="1" ht="11.25">
      <c r="A171" s="0">
        <v>2655</v>
      </c>
      <c r="B171" s="0" t="s">
        <v>102</v>
      </c>
      <c r="C171" s="0">
        <v>26356931</v>
      </c>
      <c r="D171" s="0" t="s">
        <v>4491</v>
      </c>
      <c r="E171" s="0" t="s">
        <v>4492</v>
      </c>
      <c r="F171" s="0" t="s">
        <v>4493</v>
      </c>
      <c r="G171" s="0" t="s">
        <v>3752</v>
      </c>
      <c r="H171" s="0" t="s">
        <v>4494</v>
      </c>
      <c r="I171" s="0" t="s">
        <v>4495</v>
      </c>
      <c r="J171" s="0" t="s">
        <v>3745</v>
      </c>
      <c r="K171" s="0" t="s">
        <v>4496</v>
      </c>
      <c r="L171" s="0" t="s">
        <v>4496</v>
      </c>
      <c r="M171" s="0" t="s">
        <v>4497</v>
      </c>
      <c r="N171" s="0" t="s">
        <v>4498</v>
      </c>
      <c r="O171" s="0" t="s">
        <v>4499</v>
      </c>
      <c r="P171" s="0" t="s">
        <v>3580</v>
      </c>
      <c r="Q171" s="0" t="s">
        <v>152</v>
      </c>
      <c r="R171" s="0" t="b">
        <v>1</v>
      </c>
      <c r="S171" s="0" t="s">
        <v>4156</v>
      </c>
    </row>
    <row customHeight="1" ht="11.25">
      <c r="A172" s="0">
        <v>2655</v>
      </c>
      <c r="B172" s="0" t="s">
        <v>102</v>
      </c>
      <c r="C172" s="0">
        <v>28151808</v>
      </c>
      <c r="D172" s="0" t="s">
        <v>3829</v>
      </c>
      <c r="E172" s="0" t="s">
        <v>3830</v>
      </c>
      <c r="F172" s="0" t="s">
        <v>3831</v>
      </c>
      <c r="G172" s="0" t="s">
        <v>3525</v>
      </c>
      <c r="H172" s="0" t="s">
        <v>3832</v>
      </c>
      <c r="I172" s="0" t="s">
        <v>3833</v>
      </c>
      <c r="J172" s="0" t="s">
        <v>3745</v>
      </c>
      <c r="K172" s="0" t="s">
        <v>3834</v>
      </c>
      <c r="L172" s="0" t="s">
        <v>3835</v>
      </c>
      <c r="M172" s="0" t="s">
        <v>3836</v>
      </c>
      <c r="N172" s="0" t="s">
        <v>3837</v>
      </c>
      <c r="O172" s="0" t="s">
        <v>3838</v>
      </c>
      <c r="P172" s="0" t="s">
        <v>145</v>
      </c>
      <c r="Q172" s="0" t="s">
        <v>240</v>
      </c>
      <c r="R172" s="0" t="b">
        <v>1</v>
      </c>
      <c r="S172" s="0" t="s">
        <v>4156</v>
      </c>
    </row>
    <row customHeight="1" ht="11.25">
      <c r="A173" s="0">
        <v>2655</v>
      </c>
      <c r="B173" s="0" t="s">
        <v>102</v>
      </c>
      <c r="C173" s="0">
        <v>31739633</v>
      </c>
      <c r="D173" s="0" t="s">
        <v>3839</v>
      </c>
      <c r="E173" s="0" t="s">
        <v>3840</v>
      </c>
      <c r="F173" s="0" t="s">
        <v>3841</v>
      </c>
      <c r="G173" s="0" t="s">
        <v>3842</v>
      </c>
      <c r="H173" s="0" t="s">
        <v>3843</v>
      </c>
      <c r="I173" s="0" t="s">
        <v>3844</v>
      </c>
      <c r="K173" s="0" t="s">
        <v>3845</v>
      </c>
      <c r="L173" s="0" t="s">
        <v>3845</v>
      </c>
      <c r="M173" s="0" t="s">
        <v>3846</v>
      </c>
      <c r="N173" s="0" t="s">
        <v>3847</v>
      </c>
      <c r="O173" s="0" t="s">
        <v>3848</v>
      </c>
      <c r="P173" s="0" t="s">
        <v>3613</v>
      </c>
      <c r="Q173" s="0" t="s">
        <v>240</v>
      </c>
      <c r="R173" s="0" t="b">
        <v>0</v>
      </c>
      <c r="S173" s="0" t="s">
        <v>4156</v>
      </c>
    </row>
    <row customHeight="1" ht="11.25">
      <c r="A174" s="0">
        <v>2655</v>
      </c>
      <c r="B174" s="0" t="s">
        <v>102</v>
      </c>
      <c r="C174" s="0">
        <v>30433806</v>
      </c>
      <c r="D174" s="0" t="s">
        <v>4500</v>
      </c>
      <c r="E174" s="0" t="s">
        <v>4501</v>
      </c>
      <c r="F174" s="0" t="s">
        <v>4502</v>
      </c>
      <c r="G174" s="0" t="s">
        <v>3672</v>
      </c>
      <c r="H174" s="0" t="s">
        <v>4503</v>
      </c>
      <c r="I174" s="0" t="s">
        <v>4504</v>
      </c>
      <c r="J174" s="0" t="s">
        <v>3745</v>
      </c>
      <c r="K174" s="0" t="s">
        <v>4505</v>
      </c>
      <c r="L174" s="0" t="s">
        <v>4505</v>
      </c>
      <c r="M174" s="0" t="s">
        <v>4506</v>
      </c>
      <c r="N174" s="0" t="s">
        <v>4507</v>
      </c>
      <c r="O174" s="0" t="s">
        <v>4508</v>
      </c>
      <c r="P174" s="0" t="s">
        <v>3580</v>
      </c>
      <c r="Q174" s="0" t="s">
        <v>152</v>
      </c>
      <c r="R174" s="0" t="b">
        <v>0</v>
      </c>
      <c r="S174" s="0" t="s">
        <v>4156</v>
      </c>
    </row>
    <row customHeight="1" ht="11.25">
      <c r="A175" s="0">
        <v>2655</v>
      </c>
      <c r="B175" s="0" t="s">
        <v>102</v>
      </c>
      <c r="C175" s="0">
        <v>31743966</v>
      </c>
      <c r="D175" s="0" t="s">
        <v>4509</v>
      </c>
      <c r="E175" s="0" t="s">
        <v>4510</v>
      </c>
      <c r="F175" s="0" t="s">
        <v>4511</v>
      </c>
      <c r="G175" s="0" t="s">
        <v>123</v>
      </c>
      <c r="H175" s="0" t="s">
        <v>4512</v>
      </c>
      <c r="I175" s="0" t="s">
        <v>4513</v>
      </c>
      <c r="K175" s="0" t="s">
        <v>4514</v>
      </c>
      <c r="L175" s="0" t="s">
        <v>4514</v>
      </c>
      <c r="M175" s="0" t="s">
        <v>4515</v>
      </c>
      <c r="N175" s="0" t="s">
        <v>4516</v>
      </c>
      <c r="O175" s="0" t="s">
        <v>4517</v>
      </c>
      <c r="P175" s="0" t="s">
        <v>145</v>
      </c>
      <c r="Q175" s="0" t="s">
        <v>4518</v>
      </c>
      <c r="R175" s="0" t="b">
        <v>1</v>
      </c>
      <c r="S175" s="0" t="s">
        <v>4156</v>
      </c>
    </row>
    <row customHeight="1" ht="11.25">
      <c r="A176" s="0">
        <v>2655</v>
      </c>
      <c r="B176" s="0" t="s">
        <v>102</v>
      </c>
      <c r="C176" s="0">
        <v>30874454</v>
      </c>
      <c r="D176" s="0" t="s">
        <v>4519</v>
      </c>
      <c r="E176" s="0" t="s">
        <v>4520</v>
      </c>
      <c r="F176" s="0" t="s">
        <v>4521</v>
      </c>
      <c r="G176" s="0" t="s">
        <v>3813</v>
      </c>
      <c r="H176" s="0" t="s">
        <v>4522</v>
      </c>
      <c r="I176" s="0" t="s">
        <v>4523</v>
      </c>
      <c r="J176" s="0" t="s">
        <v>3745</v>
      </c>
      <c r="K176" s="0" t="s">
        <v>4524</v>
      </c>
      <c r="L176" s="0" t="s">
        <v>4525</v>
      </c>
      <c r="M176" s="0" t="s">
        <v>4526</v>
      </c>
      <c r="N176" s="0" t="s">
        <v>4488</v>
      </c>
      <c r="O176" s="0" t="s">
        <v>4527</v>
      </c>
      <c r="P176" s="0" t="s">
        <v>3613</v>
      </c>
      <c r="Q176" s="0" t="s">
        <v>4528</v>
      </c>
      <c r="R176" s="0" t="b">
        <v>0</v>
      </c>
      <c r="S176" s="0" t="s">
        <v>4156</v>
      </c>
    </row>
    <row customHeight="1" ht="11.25">
      <c r="A177" s="0">
        <v>2655</v>
      </c>
      <c r="B177" s="0" t="s">
        <v>102</v>
      </c>
      <c r="C177" s="0">
        <v>26356987</v>
      </c>
      <c r="D177" s="0" t="s">
        <v>3859</v>
      </c>
      <c r="E177" s="0" t="s">
        <v>3860</v>
      </c>
      <c r="F177" s="0" t="s">
        <v>3861</v>
      </c>
      <c r="G177" s="0" t="s">
        <v>3862</v>
      </c>
      <c r="H177" s="0" t="s">
        <v>3863</v>
      </c>
      <c r="I177" s="0" t="s">
        <v>3864</v>
      </c>
      <c r="J177" s="0" t="s">
        <v>3745</v>
      </c>
      <c r="K177" s="0" t="s">
        <v>3865</v>
      </c>
      <c r="L177" s="0" t="s">
        <v>3865</v>
      </c>
      <c r="M177" s="0" t="s">
        <v>3866</v>
      </c>
      <c r="N177" s="0" t="s">
        <v>3867</v>
      </c>
      <c r="O177" s="0" t="s">
        <v>3868</v>
      </c>
      <c r="P177" s="0" t="s">
        <v>3613</v>
      </c>
      <c r="Q177" s="0" t="s">
        <v>3869</v>
      </c>
      <c r="R177" s="0" t="b">
        <v>0</v>
      </c>
      <c r="S177" s="0" t="s">
        <v>4156</v>
      </c>
    </row>
    <row customHeight="1" ht="11.25">
      <c r="A178" s="0">
        <v>2655</v>
      </c>
      <c r="B178" s="0" t="s">
        <v>102</v>
      </c>
      <c r="C178" s="0">
        <v>30856223</v>
      </c>
      <c r="D178" s="0" t="s">
        <v>4529</v>
      </c>
      <c r="E178" s="0" t="s">
        <v>4530</v>
      </c>
      <c r="F178" s="0" t="s">
        <v>4531</v>
      </c>
      <c r="G178" s="0" t="s">
        <v>3481</v>
      </c>
      <c r="H178" s="0" t="s">
        <v>4532</v>
      </c>
      <c r="I178" s="0" t="s">
        <v>4533</v>
      </c>
      <c r="J178" s="0" t="s">
        <v>3745</v>
      </c>
      <c r="K178" s="0" t="s">
        <v>4534</v>
      </c>
      <c r="L178" s="0" t="s">
        <v>4534</v>
      </c>
      <c r="M178" s="0" t="s">
        <v>4535</v>
      </c>
      <c r="N178" s="0" t="s">
        <v>4536</v>
      </c>
      <c r="O178" s="0" t="s">
        <v>4537</v>
      </c>
      <c r="P178" s="0" t="s">
        <v>145</v>
      </c>
      <c r="Q178" s="0" t="s">
        <v>4538</v>
      </c>
      <c r="R178" s="0" t="b">
        <v>0</v>
      </c>
      <c r="S178" s="0" t="s">
        <v>4156</v>
      </c>
    </row>
    <row customHeight="1" ht="11.25">
      <c r="A179" s="0">
        <v>2655</v>
      </c>
      <c r="B179" s="0" t="s">
        <v>102</v>
      </c>
      <c r="C179" s="0">
        <v>31373026</v>
      </c>
      <c r="D179" s="0" t="s">
        <v>4529</v>
      </c>
      <c r="E179" s="0" t="s">
        <v>4530</v>
      </c>
      <c r="F179" s="0" t="s">
        <v>4539</v>
      </c>
      <c r="G179" s="0" t="s">
        <v>3842</v>
      </c>
      <c r="H179" s="0" t="s">
        <v>4540</v>
      </c>
      <c r="I179" s="0" t="s">
        <v>4541</v>
      </c>
      <c r="J179" s="0" t="s">
        <v>3745</v>
      </c>
      <c r="K179" s="0" t="s">
        <v>4542</v>
      </c>
      <c r="L179" s="0" t="s">
        <v>4543</v>
      </c>
      <c r="M179" s="0" t="s">
        <v>4544</v>
      </c>
      <c r="N179" s="0" t="s">
        <v>4545</v>
      </c>
      <c r="O179" s="0" t="s">
        <v>4546</v>
      </c>
      <c r="P179" s="0" t="s">
        <v>4547</v>
      </c>
      <c r="Q179" s="0" t="s">
        <v>4548</v>
      </c>
      <c r="R179" s="0" t="b">
        <v>1</v>
      </c>
      <c r="S179" s="0" t="s">
        <v>4156</v>
      </c>
    </row>
    <row customHeight="1" ht="11.25">
      <c r="A180" s="0">
        <v>2655</v>
      </c>
      <c r="B180" s="0" t="s">
        <v>102</v>
      </c>
      <c r="C180" s="0">
        <v>31579609</v>
      </c>
      <c r="D180" s="0" t="s">
        <v>4549</v>
      </c>
      <c r="E180" s="0" t="s">
        <v>4550</v>
      </c>
      <c r="F180" s="0" t="s">
        <v>4551</v>
      </c>
      <c r="G180" s="0" t="s">
        <v>3525</v>
      </c>
      <c r="H180" s="0" t="s">
        <v>4552</v>
      </c>
      <c r="I180" s="0" t="s">
        <v>4553</v>
      </c>
      <c r="K180" s="0" t="s">
        <v>4554</v>
      </c>
      <c r="L180" s="0" t="s">
        <v>4554</v>
      </c>
      <c r="M180" s="0" t="s">
        <v>4555</v>
      </c>
      <c r="N180" s="0" t="s">
        <v>4556</v>
      </c>
      <c r="O180" s="0" t="s">
        <v>4557</v>
      </c>
      <c r="P180" s="0" t="s">
        <v>145</v>
      </c>
      <c r="Q180" s="0" t="s">
        <v>240</v>
      </c>
      <c r="R180" s="0" t="b">
        <v>1</v>
      </c>
      <c r="S180" s="0" t="s">
        <v>4156</v>
      </c>
    </row>
    <row customHeight="1" ht="11.25">
      <c r="A181" s="0">
        <v>2655</v>
      </c>
      <c r="B181" s="0" t="s">
        <v>102</v>
      </c>
      <c r="C181" s="0">
        <v>26356891</v>
      </c>
      <c r="D181" s="0" t="s">
        <v>3870</v>
      </c>
      <c r="E181" s="0" t="s">
        <v>3871</v>
      </c>
      <c r="F181" s="0" t="s">
        <v>3872</v>
      </c>
      <c r="G181" s="0" t="s">
        <v>3683</v>
      </c>
      <c r="H181" s="0" t="s">
        <v>3873</v>
      </c>
      <c r="I181" s="0" t="s">
        <v>3874</v>
      </c>
      <c r="J181" s="0" t="s">
        <v>3745</v>
      </c>
      <c r="K181" s="0" t="s">
        <v>3875</v>
      </c>
      <c r="L181" s="0" t="s">
        <v>3875</v>
      </c>
      <c r="M181" s="0" t="s">
        <v>3876</v>
      </c>
      <c r="N181" s="0" t="s">
        <v>3877</v>
      </c>
      <c r="O181" s="0" t="s">
        <v>3878</v>
      </c>
      <c r="P181" s="0" t="s">
        <v>3580</v>
      </c>
      <c r="Q181" s="0" t="s">
        <v>240</v>
      </c>
      <c r="R181" s="0" t="b">
        <v>0</v>
      </c>
      <c r="S181" s="0" t="s">
        <v>4156</v>
      </c>
    </row>
    <row customHeight="1" ht="11.25">
      <c r="A182" s="0">
        <v>2655</v>
      </c>
      <c r="B182" s="0" t="s">
        <v>102</v>
      </c>
      <c r="C182" s="0">
        <v>27566835</v>
      </c>
      <c r="D182" s="0" t="s">
        <v>4558</v>
      </c>
      <c r="E182" s="0" t="s">
        <v>4559</v>
      </c>
      <c r="F182" s="0" t="s">
        <v>4560</v>
      </c>
      <c r="G182" s="0" t="s">
        <v>3683</v>
      </c>
      <c r="H182" s="0" t="s">
        <v>4561</v>
      </c>
      <c r="I182" s="0" t="s">
        <v>4562</v>
      </c>
      <c r="J182" s="0" t="s">
        <v>3745</v>
      </c>
      <c r="K182" s="0" t="s">
        <v>4563</v>
      </c>
      <c r="L182" s="0" t="s">
        <v>4563</v>
      </c>
      <c r="M182" s="0" t="s">
        <v>4564</v>
      </c>
      <c r="N182" s="0" t="s">
        <v>3699</v>
      </c>
      <c r="O182" s="0" t="s">
        <v>4565</v>
      </c>
      <c r="P182" s="0" t="s">
        <v>3580</v>
      </c>
      <c r="Q182" s="0" t="s">
        <v>152</v>
      </c>
      <c r="R182" s="0" t="b">
        <v>0</v>
      </c>
      <c r="S182" s="0" t="s">
        <v>4156</v>
      </c>
    </row>
    <row customHeight="1" ht="11.25">
      <c r="A183" s="0">
        <v>2655</v>
      </c>
      <c r="B183" s="0" t="s">
        <v>102</v>
      </c>
      <c r="C183" s="0">
        <v>31229342</v>
      </c>
      <c r="D183" s="0" t="s">
        <v>4566</v>
      </c>
      <c r="E183" s="0" t="s">
        <v>4567</v>
      </c>
      <c r="F183" s="0" t="s">
        <v>4568</v>
      </c>
      <c r="G183" s="0" t="s">
        <v>3704</v>
      </c>
      <c r="H183" s="0" t="s">
        <v>4569</v>
      </c>
      <c r="I183" s="0" t="s">
        <v>4570</v>
      </c>
      <c r="J183" s="0" t="s">
        <v>3745</v>
      </c>
      <c r="K183" s="0" t="s">
        <v>4571</v>
      </c>
      <c r="L183" s="0" t="s">
        <v>4571</v>
      </c>
      <c r="M183" s="0" t="s">
        <v>4572</v>
      </c>
      <c r="N183" s="0" t="s">
        <v>4573</v>
      </c>
      <c r="O183" s="0" t="s">
        <v>4574</v>
      </c>
      <c r="P183" s="0" t="s">
        <v>145</v>
      </c>
      <c r="Q183" s="0" t="s">
        <v>240</v>
      </c>
      <c r="R183" s="0" t="b">
        <v>0</v>
      </c>
      <c r="S183" s="0" t="s">
        <v>4156</v>
      </c>
    </row>
    <row customHeight="1" ht="11.25">
      <c r="A184" s="0">
        <v>2655</v>
      </c>
      <c r="B184" s="0" t="s">
        <v>102</v>
      </c>
      <c r="C184" s="0">
        <v>31690080</v>
      </c>
      <c r="D184" s="0" t="s">
        <v>4575</v>
      </c>
      <c r="E184" s="0" t="s">
        <v>4576</v>
      </c>
      <c r="F184" s="0" t="s">
        <v>4577</v>
      </c>
      <c r="G184" s="0" t="s">
        <v>3704</v>
      </c>
      <c r="H184" s="0" t="s">
        <v>4578</v>
      </c>
      <c r="I184" s="0" t="s">
        <v>4579</v>
      </c>
      <c r="K184" s="0" t="s">
        <v>4580</v>
      </c>
      <c r="L184" s="0" t="s">
        <v>4580</v>
      </c>
      <c r="M184" s="0" t="s">
        <v>4581</v>
      </c>
      <c r="N184" s="0" t="s">
        <v>4582</v>
      </c>
      <c r="O184" s="0" t="s">
        <v>4583</v>
      </c>
      <c r="P184" s="0" t="s">
        <v>3580</v>
      </c>
      <c r="Q184" s="0" t="s">
        <v>240</v>
      </c>
      <c r="R184" s="0" t="b">
        <v>1</v>
      </c>
      <c r="S184" s="0" t="s">
        <v>4156</v>
      </c>
    </row>
    <row customHeight="1" ht="11.25">
      <c r="A185" s="0">
        <v>2655</v>
      </c>
      <c r="B185" s="0" t="s">
        <v>102</v>
      </c>
      <c r="C185" s="0">
        <v>31539720</v>
      </c>
      <c r="D185" s="0" t="s">
        <v>4575</v>
      </c>
      <c r="E185" s="0" t="s">
        <v>4584</v>
      </c>
      <c r="F185" s="0" t="s">
        <v>4585</v>
      </c>
      <c r="G185" s="0" t="s">
        <v>3704</v>
      </c>
      <c r="H185" s="0" t="s">
        <v>4586</v>
      </c>
      <c r="I185" s="0" t="s">
        <v>4587</v>
      </c>
      <c r="K185" s="0" t="s">
        <v>4588</v>
      </c>
      <c r="L185" s="0" t="s">
        <v>4588</v>
      </c>
      <c r="M185" s="0" t="s">
        <v>4589</v>
      </c>
      <c r="N185" s="0" t="s">
        <v>4590</v>
      </c>
      <c r="O185" s="0" t="s">
        <v>4591</v>
      </c>
      <c r="P185" s="0" t="s">
        <v>145</v>
      </c>
      <c r="Q185" s="0" t="s">
        <v>4592</v>
      </c>
      <c r="R185" s="0" t="b">
        <v>0</v>
      </c>
      <c r="S185" s="0" t="s">
        <v>4156</v>
      </c>
    </row>
    <row customHeight="1" ht="11.25">
      <c r="A186" s="0">
        <v>2655</v>
      </c>
      <c r="B186" s="0" t="s">
        <v>102</v>
      </c>
      <c r="C186" s="0">
        <v>30872315</v>
      </c>
      <c r="D186" s="0" t="s">
        <v>4593</v>
      </c>
      <c r="E186" s="0" t="s">
        <v>4594</v>
      </c>
      <c r="F186" s="0" t="s">
        <v>4595</v>
      </c>
      <c r="G186" s="0" t="s">
        <v>123</v>
      </c>
      <c r="H186" s="0" t="s">
        <v>4596</v>
      </c>
      <c r="I186" s="0" t="s">
        <v>4597</v>
      </c>
      <c r="J186" s="0" t="s">
        <v>3745</v>
      </c>
      <c r="K186" s="0" t="s">
        <v>4598</v>
      </c>
      <c r="L186" s="0" t="s">
        <v>4598</v>
      </c>
      <c r="M186" s="0" t="s">
        <v>4599</v>
      </c>
      <c r="N186" s="0" t="s">
        <v>4600</v>
      </c>
      <c r="O186" s="0" t="s">
        <v>4601</v>
      </c>
      <c r="P186" s="0" t="s">
        <v>3580</v>
      </c>
      <c r="Q186" s="0" t="s">
        <v>240</v>
      </c>
      <c r="R186" s="0" t="b">
        <v>0</v>
      </c>
      <c r="S186" s="0" t="s">
        <v>4156</v>
      </c>
    </row>
    <row customHeight="1" ht="11.25">
      <c r="A187" s="0">
        <v>2655</v>
      </c>
      <c r="B187" s="0" t="s">
        <v>102</v>
      </c>
      <c r="C187" s="0">
        <v>30856253</v>
      </c>
      <c r="D187" s="0" t="s">
        <v>4602</v>
      </c>
      <c r="E187" s="0" t="s">
        <v>4603</v>
      </c>
      <c r="F187" s="0" t="s">
        <v>4604</v>
      </c>
      <c r="G187" s="0" t="s">
        <v>3525</v>
      </c>
      <c r="H187" s="0" t="s">
        <v>4605</v>
      </c>
      <c r="I187" s="0" t="s">
        <v>4606</v>
      </c>
      <c r="J187" s="0" t="s">
        <v>3745</v>
      </c>
      <c r="K187" s="0" t="s">
        <v>4607</v>
      </c>
      <c r="L187" s="0" t="s">
        <v>4607</v>
      </c>
      <c r="M187" s="0" t="s">
        <v>4608</v>
      </c>
      <c r="N187" s="0" t="s">
        <v>4609</v>
      </c>
      <c r="O187" s="0" t="s">
        <v>4610</v>
      </c>
      <c r="P187" s="0" t="s">
        <v>3580</v>
      </c>
      <c r="Q187" s="0" t="s">
        <v>240</v>
      </c>
      <c r="R187" s="0" t="b">
        <v>0</v>
      </c>
      <c r="S187" s="0" t="s">
        <v>4156</v>
      </c>
    </row>
    <row customHeight="1" ht="11.25">
      <c r="A188" s="0">
        <v>2655</v>
      </c>
      <c r="B188" s="0" t="s">
        <v>102</v>
      </c>
      <c r="C188" s="0">
        <v>33000042</v>
      </c>
      <c r="D188" s="0" t="s">
        <v>4611</v>
      </c>
      <c r="E188" s="0" t="s">
        <v>4612</v>
      </c>
      <c r="F188" s="0" t="s">
        <v>4613</v>
      </c>
      <c r="G188" s="0" t="s">
        <v>3781</v>
      </c>
      <c r="H188" s="0" t="s">
        <v>4614</v>
      </c>
      <c r="I188" s="0" t="s">
        <v>4615</v>
      </c>
      <c r="K188" s="0" t="s">
        <v>4616</v>
      </c>
      <c r="L188" s="0" t="s">
        <v>4617</v>
      </c>
      <c r="M188" s="0" t="s">
        <v>4618</v>
      </c>
      <c r="N188" s="0" t="s">
        <v>4619</v>
      </c>
      <c r="O188" s="0" t="s">
        <v>3788</v>
      </c>
      <c r="P188" s="0" t="s">
        <v>3602</v>
      </c>
      <c r="Q188" s="0" t="s">
        <v>240</v>
      </c>
      <c r="R188" s="0" t="b">
        <v>0</v>
      </c>
      <c r="S188" s="0" t="s">
        <v>4156</v>
      </c>
    </row>
    <row customHeight="1" ht="11.25">
      <c r="A189" s="0">
        <v>2655</v>
      </c>
      <c r="B189" s="0" t="s">
        <v>102</v>
      </c>
      <c r="C189" s="0">
        <v>26517842</v>
      </c>
      <c r="D189" s="0" t="s">
        <v>4620</v>
      </c>
      <c r="E189" s="0" t="s">
        <v>4621</v>
      </c>
      <c r="F189" s="0" t="s">
        <v>4622</v>
      </c>
      <c r="G189" s="0" t="s">
        <v>3683</v>
      </c>
      <c r="H189" s="0" t="s">
        <v>4623</v>
      </c>
      <c r="I189" s="0" t="s">
        <v>4624</v>
      </c>
      <c r="J189" s="0" t="s">
        <v>3745</v>
      </c>
      <c r="K189" s="0" t="s">
        <v>4625</v>
      </c>
      <c r="L189" s="0" t="s">
        <v>3461</v>
      </c>
      <c r="M189" s="0" t="s">
        <v>4626</v>
      </c>
      <c r="N189" s="0" t="s">
        <v>4627</v>
      </c>
      <c r="O189" s="0" t="s">
        <v>4628</v>
      </c>
      <c r="P189" s="0" t="s">
        <v>145</v>
      </c>
      <c r="Q189" s="0" t="s">
        <v>240</v>
      </c>
      <c r="R189" s="0" t="b">
        <v>0</v>
      </c>
      <c r="S189" s="0" t="s">
        <v>4156</v>
      </c>
    </row>
    <row customHeight="1" ht="11.25">
      <c r="A190" s="0">
        <v>2655</v>
      </c>
      <c r="B190" s="0" t="s">
        <v>102</v>
      </c>
      <c r="C190" s="0">
        <v>26356937</v>
      </c>
      <c r="D190" s="0" t="s">
        <v>3887</v>
      </c>
      <c r="E190" s="0" t="s">
        <v>3888</v>
      </c>
      <c r="F190" s="0" t="s">
        <v>3889</v>
      </c>
      <c r="G190" s="0" t="s">
        <v>3752</v>
      </c>
      <c r="H190" s="0" t="s">
        <v>3890</v>
      </c>
      <c r="I190" s="0" t="s">
        <v>3891</v>
      </c>
      <c r="J190" s="0" t="s">
        <v>3745</v>
      </c>
      <c r="K190" s="0" t="s">
        <v>3892</v>
      </c>
      <c r="L190" s="0" t="s">
        <v>3892</v>
      </c>
      <c r="M190" s="0" t="s">
        <v>3893</v>
      </c>
      <c r="N190" s="0" t="s">
        <v>3894</v>
      </c>
      <c r="O190" s="0" t="s">
        <v>3895</v>
      </c>
      <c r="P190" s="0" t="s">
        <v>3613</v>
      </c>
      <c r="Q190" s="0" t="s">
        <v>3896</v>
      </c>
      <c r="R190" s="0" t="b">
        <v>0</v>
      </c>
      <c r="S190" s="0" t="s">
        <v>4156</v>
      </c>
    </row>
    <row customHeight="1" ht="11.25">
      <c r="A191" s="0">
        <v>2655</v>
      </c>
      <c r="B191" s="0" t="s">
        <v>102</v>
      </c>
      <c r="C191" s="0">
        <v>33000834</v>
      </c>
      <c r="D191" s="0" t="s">
        <v>3897</v>
      </c>
      <c r="E191" s="0" t="s">
        <v>3898</v>
      </c>
      <c r="F191" s="0" t="s">
        <v>3899</v>
      </c>
      <c r="G191" s="0" t="s">
        <v>3595</v>
      </c>
      <c r="H191" s="0" t="s">
        <v>3900</v>
      </c>
      <c r="I191" s="0" t="s">
        <v>3901</v>
      </c>
      <c r="K191" s="0" t="s">
        <v>3902</v>
      </c>
      <c r="L191" s="0" t="s">
        <v>3902</v>
      </c>
      <c r="M191" s="0" t="s">
        <v>3903</v>
      </c>
      <c r="N191" s="0" t="s">
        <v>3649</v>
      </c>
      <c r="O191" s="0" t="s">
        <v>3904</v>
      </c>
      <c r="P191" s="0" t="s">
        <v>3580</v>
      </c>
      <c r="Q191" s="0" t="s">
        <v>3905</v>
      </c>
      <c r="R191" s="0" t="b">
        <v>0</v>
      </c>
      <c r="S191" s="0" t="s">
        <v>4156</v>
      </c>
    </row>
    <row customHeight="1" ht="11.25">
      <c r="A192" s="0">
        <v>2655</v>
      </c>
      <c r="B192" s="0" t="s">
        <v>102</v>
      </c>
      <c r="C192" s="0">
        <v>31473621</v>
      </c>
      <c r="D192" s="0" t="s">
        <v>4629</v>
      </c>
      <c r="E192" s="0" t="s">
        <v>4630</v>
      </c>
      <c r="F192" s="0" t="s">
        <v>4631</v>
      </c>
      <c r="G192" s="0" t="s">
        <v>3595</v>
      </c>
      <c r="H192" s="0" t="s">
        <v>4632</v>
      </c>
      <c r="I192" s="0" t="s">
        <v>4633</v>
      </c>
      <c r="J192" s="0" t="s">
        <v>3745</v>
      </c>
      <c r="K192" s="0" t="s">
        <v>4634</v>
      </c>
      <c r="L192" s="0" t="s">
        <v>4634</v>
      </c>
      <c r="M192" s="0" t="s">
        <v>4635</v>
      </c>
      <c r="N192" s="0" t="s">
        <v>4636</v>
      </c>
      <c r="O192" s="0" t="s">
        <v>4637</v>
      </c>
      <c r="P192" s="0" t="s">
        <v>145</v>
      </c>
      <c r="Q192" s="0" t="s">
        <v>4638</v>
      </c>
      <c r="R192" s="0" t="b">
        <v>0</v>
      </c>
      <c r="S192" s="0" t="s">
        <v>4156</v>
      </c>
    </row>
    <row customHeight="1" ht="11.25">
      <c r="A193" s="0">
        <v>2655</v>
      </c>
      <c r="B193" s="0" t="s">
        <v>102</v>
      </c>
      <c r="C193" s="0">
        <v>31004851</v>
      </c>
      <c r="D193" s="0" t="s">
        <v>4639</v>
      </c>
      <c r="E193" s="0" t="s">
        <v>4640</v>
      </c>
      <c r="F193" s="0" t="s">
        <v>4641</v>
      </c>
      <c r="G193" s="0" t="s">
        <v>3481</v>
      </c>
      <c r="H193" s="0" t="s">
        <v>4642</v>
      </c>
      <c r="I193" s="0" t="s">
        <v>4643</v>
      </c>
      <c r="J193" s="0" t="s">
        <v>3745</v>
      </c>
      <c r="K193" s="0" t="s">
        <v>4644</v>
      </c>
      <c r="L193" s="0" t="s">
        <v>4645</v>
      </c>
      <c r="M193" s="0" t="s">
        <v>4646</v>
      </c>
      <c r="N193" s="0" t="s">
        <v>4647</v>
      </c>
      <c r="O193" s="0" t="s">
        <v>4648</v>
      </c>
      <c r="P193" s="0" t="s">
        <v>145</v>
      </c>
      <c r="Q193" s="0" t="s">
        <v>4649</v>
      </c>
      <c r="R193" s="0" t="b">
        <v>0</v>
      </c>
      <c r="S193" s="0" t="s">
        <v>4156</v>
      </c>
    </row>
    <row customHeight="1" ht="11.25">
      <c r="A194" s="0">
        <v>2655</v>
      </c>
      <c r="B194" s="0" t="s">
        <v>102</v>
      </c>
      <c r="C194" s="0">
        <v>26356976</v>
      </c>
      <c r="D194" s="0" t="s">
        <v>4650</v>
      </c>
      <c r="E194" s="0" t="s">
        <v>4651</v>
      </c>
      <c r="F194" s="0" t="s">
        <v>4652</v>
      </c>
      <c r="G194" s="0" t="s">
        <v>3852</v>
      </c>
      <c r="H194" s="0" t="s">
        <v>4653</v>
      </c>
      <c r="I194" s="0" t="s">
        <v>4654</v>
      </c>
      <c r="J194" s="0" t="s">
        <v>3745</v>
      </c>
      <c r="K194" s="0" t="s">
        <v>4655</v>
      </c>
      <c r="L194" s="0" t="s">
        <v>4655</v>
      </c>
      <c r="M194" s="0" t="s">
        <v>4656</v>
      </c>
      <c r="N194" s="0" t="s">
        <v>4657</v>
      </c>
      <c r="O194" s="0" t="s">
        <v>4658</v>
      </c>
      <c r="P194" s="0" t="s">
        <v>3499</v>
      </c>
      <c r="Q194" s="0" t="s">
        <v>4659</v>
      </c>
      <c r="R194" s="0" t="b">
        <v>0</v>
      </c>
      <c r="S194" s="0" t="s">
        <v>4156</v>
      </c>
    </row>
    <row customHeight="1" ht="11.25">
      <c r="A195" s="0">
        <v>2655</v>
      </c>
      <c r="B195" s="0" t="s">
        <v>102</v>
      </c>
      <c r="C195" s="0">
        <v>28274482</v>
      </c>
      <c r="D195" s="0" t="s">
        <v>4660</v>
      </c>
      <c r="E195" s="0" t="s">
        <v>4661</v>
      </c>
      <c r="F195" s="0" t="s">
        <v>4662</v>
      </c>
      <c r="G195" s="0" t="s">
        <v>3525</v>
      </c>
      <c r="H195" s="0" t="s">
        <v>4663</v>
      </c>
      <c r="I195" s="0" t="s">
        <v>4664</v>
      </c>
      <c r="J195" s="0" t="s">
        <v>3745</v>
      </c>
      <c r="K195" s="0" t="s">
        <v>4665</v>
      </c>
      <c r="L195" s="0" t="s">
        <v>4666</v>
      </c>
      <c r="M195" s="0" t="s">
        <v>3836</v>
      </c>
      <c r="N195" s="0" t="s">
        <v>3837</v>
      </c>
      <c r="O195" s="0" t="s">
        <v>3838</v>
      </c>
      <c r="P195" s="0" t="s">
        <v>3580</v>
      </c>
      <c r="Q195" s="0" t="s">
        <v>240</v>
      </c>
      <c r="R195" s="0" t="b">
        <v>0</v>
      </c>
      <c r="S195" s="0" t="s">
        <v>4156</v>
      </c>
    </row>
    <row customHeight="1" ht="11.25">
      <c r="A196" s="0">
        <v>2655</v>
      </c>
      <c r="B196" s="0" t="s">
        <v>102</v>
      </c>
      <c r="C196" s="0">
        <v>31224454</v>
      </c>
      <c r="D196" s="0" t="s">
        <v>4667</v>
      </c>
      <c r="E196" s="0" t="s">
        <v>4668</v>
      </c>
      <c r="F196" s="0" t="s">
        <v>4669</v>
      </c>
      <c r="G196" s="0" t="s">
        <v>3481</v>
      </c>
      <c r="H196" s="0" t="s">
        <v>4670</v>
      </c>
      <c r="I196" s="0" t="s">
        <v>4671</v>
      </c>
      <c r="J196" s="0" t="s">
        <v>3745</v>
      </c>
      <c r="K196" s="0" t="s">
        <v>4672</v>
      </c>
      <c r="L196" s="0" t="s">
        <v>4672</v>
      </c>
      <c r="M196" s="0" t="s">
        <v>4673</v>
      </c>
      <c r="N196" s="0" t="s">
        <v>4674</v>
      </c>
      <c r="O196" s="0" t="s">
        <v>4675</v>
      </c>
      <c r="P196" s="0" t="s">
        <v>145</v>
      </c>
      <c r="Q196" s="0" t="s">
        <v>240</v>
      </c>
      <c r="R196" s="0" t="b">
        <v>0</v>
      </c>
      <c r="S196" s="0" t="s">
        <v>4156</v>
      </c>
    </row>
    <row customHeight="1" ht="11.25">
      <c r="A197" s="0">
        <v>2655</v>
      </c>
      <c r="B197" s="0" t="s">
        <v>102</v>
      </c>
      <c r="C197" s="0">
        <v>27997410</v>
      </c>
      <c r="D197" s="0" t="s">
        <v>4676</v>
      </c>
      <c r="E197" s="0" t="s">
        <v>4677</v>
      </c>
      <c r="F197" s="0" t="s">
        <v>4678</v>
      </c>
      <c r="G197" s="0" t="s">
        <v>3654</v>
      </c>
      <c r="H197" s="0" t="s">
        <v>4679</v>
      </c>
      <c r="I197" s="0" t="s">
        <v>4680</v>
      </c>
      <c r="J197" s="0" t="s">
        <v>3745</v>
      </c>
      <c r="K197" s="0" t="s">
        <v>4681</v>
      </c>
      <c r="L197" s="0" t="s">
        <v>4681</v>
      </c>
      <c r="M197" s="0" t="s">
        <v>4682</v>
      </c>
      <c r="N197" s="0" t="s">
        <v>4683</v>
      </c>
      <c r="O197" s="0" t="s">
        <v>4684</v>
      </c>
      <c r="P197" s="0" t="s">
        <v>3580</v>
      </c>
      <c r="Q197" s="0" t="s">
        <v>4685</v>
      </c>
      <c r="R197" s="0" t="b">
        <v>1</v>
      </c>
      <c r="S197" s="0" t="s">
        <v>4156</v>
      </c>
    </row>
    <row customHeight="1" ht="11.25">
      <c r="A198" s="0">
        <v>2655</v>
      </c>
      <c r="B198" s="0" t="s">
        <v>102</v>
      </c>
      <c r="C198" s="0">
        <v>26852692</v>
      </c>
      <c r="D198" s="0" t="s">
        <v>4686</v>
      </c>
      <c r="E198" s="0" t="s">
        <v>4687</v>
      </c>
      <c r="F198" s="0" t="s">
        <v>4688</v>
      </c>
      <c r="G198" s="0" t="s">
        <v>3852</v>
      </c>
      <c r="H198" s="0" t="s">
        <v>4689</v>
      </c>
      <c r="I198" s="0" t="s">
        <v>4690</v>
      </c>
      <c r="K198" s="0" t="s">
        <v>4691</v>
      </c>
      <c r="L198" s="0" t="s">
        <v>4691</v>
      </c>
      <c r="M198" s="0" t="s">
        <v>4682</v>
      </c>
      <c r="N198" s="0" t="s">
        <v>4683</v>
      </c>
      <c r="O198" s="0" t="s">
        <v>4692</v>
      </c>
      <c r="P198" s="0" t="s">
        <v>3580</v>
      </c>
      <c r="Q198" s="0" t="s">
        <v>240</v>
      </c>
      <c r="R198" s="0" t="b">
        <v>1</v>
      </c>
      <c r="S198" s="0" t="s">
        <v>4156</v>
      </c>
    </row>
    <row customHeight="1" ht="11.25">
      <c r="A199" s="0">
        <v>2655</v>
      </c>
      <c r="B199" s="0" t="s">
        <v>102</v>
      </c>
      <c r="C199" s="0">
        <v>31534676</v>
      </c>
      <c r="D199" s="0" t="s">
        <v>4693</v>
      </c>
      <c r="E199" s="0" t="s">
        <v>4694</v>
      </c>
      <c r="F199" s="0" t="s">
        <v>4695</v>
      </c>
      <c r="G199" s="0" t="s">
        <v>3595</v>
      </c>
      <c r="H199" s="0" t="s">
        <v>4696</v>
      </c>
      <c r="I199" s="0" t="s">
        <v>4697</v>
      </c>
      <c r="K199" s="0" t="s">
        <v>4698</v>
      </c>
      <c r="L199" s="0" t="s">
        <v>4699</v>
      </c>
      <c r="M199" s="0" t="s">
        <v>4700</v>
      </c>
      <c r="N199" s="0" t="s">
        <v>4701</v>
      </c>
      <c r="O199" s="0" t="s">
        <v>4702</v>
      </c>
      <c r="P199" s="0" t="s">
        <v>3580</v>
      </c>
      <c r="Q199" s="0" t="s">
        <v>240</v>
      </c>
      <c r="R199" s="0" t="b">
        <v>0</v>
      </c>
      <c r="S199" s="0" t="s">
        <v>4156</v>
      </c>
    </row>
    <row customHeight="1" ht="11.25">
      <c r="A200" s="0">
        <v>2655</v>
      </c>
      <c r="B200" s="0" t="s">
        <v>102</v>
      </c>
      <c r="C200" s="0">
        <v>26356899</v>
      </c>
      <c r="D200" s="0" t="s">
        <v>4703</v>
      </c>
      <c r="E200" s="0" t="s">
        <v>4704</v>
      </c>
      <c r="F200" s="0" t="s">
        <v>4705</v>
      </c>
      <c r="G200" s="0" t="s">
        <v>4706</v>
      </c>
      <c r="H200" s="0" t="s">
        <v>4707</v>
      </c>
      <c r="I200" s="0" t="s">
        <v>240</v>
      </c>
      <c r="J200" s="0" t="s">
        <v>3745</v>
      </c>
      <c r="K200" s="0" t="s">
        <v>3949</v>
      </c>
      <c r="L200" s="0" t="s">
        <v>3949</v>
      </c>
      <c r="M200" s="0" t="s">
        <v>4708</v>
      </c>
      <c r="N200" s="0" t="s">
        <v>240</v>
      </c>
      <c r="O200" s="0" t="s">
        <v>3952</v>
      </c>
      <c r="P200" s="0" t="s">
        <v>3580</v>
      </c>
      <c r="Q200" s="0" t="s">
        <v>240</v>
      </c>
      <c r="R200" s="0" t="b">
        <v>0</v>
      </c>
      <c r="S200" s="0" t="s">
        <v>4156</v>
      </c>
    </row>
    <row customHeight="1" ht="11.25">
      <c r="A201" s="0">
        <v>2655</v>
      </c>
      <c r="B201" s="0" t="s">
        <v>102</v>
      </c>
      <c r="C201" s="0">
        <v>31224507</v>
      </c>
      <c r="D201" s="0" t="s">
        <v>4709</v>
      </c>
      <c r="E201" s="0" t="s">
        <v>4710</v>
      </c>
      <c r="F201" s="0" t="s">
        <v>4711</v>
      </c>
      <c r="G201" s="0" t="s">
        <v>4712</v>
      </c>
      <c r="H201" s="0" t="s">
        <v>4713</v>
      </c>
      <c r="I201" s="0" t="s">
        <v>4714</v>
      </c>
      <c r="J201" s="0" t="s">
        <v>3745</v>
      </c>
      <c r="K201" s="0" t="s">
        <v>4715</v>
      </c>
      <c r="L201" s="0" t="s">
        <v>4715</v>
      </c>
      <c r="M201" s="0" t="s">
        <v>4716</v>
      </c>
      <c r="N201" s="0" t="s">
        <v>4717</v>
      </c>
      <c r="O201" s="0" t="s">
        <v>4675</v>
      </c>
      <c r="P201" s="0" t="s">
        <v>145</v>
      </c>
      <c r="Q201" s="0" t="s">
        <v>240</v>
      </c>
      <c r="R201" s="0" t="b">
        <v>0</v>
      </c>
      <c r="S201" s="0" t="s">
        <v>4156</v>
      </c>
    </row>
    <row customHeight="1" ht="11.25">
      <c r="A202" s="0">
        <v>2655</v>
      </c>
      <c r="B202" s="0" t="s">
        <v>102</v>
      </c>
      <c r="C202" s="0">
        <v>27968109</v>
      </c>
      <c r="D202" s="0" t="s">
        <v>4718</v>
      </c>
      <c r="E202" s="0" t="s">
        <v>4719</v>
      </c>
      <c r="F202" s="0" t="s">
        <v>4720</v>
      </c>
      <c r="G202" s="0" t="s">
        <v>123</v>
      </c>
      <c r="H202" s="0" t="s">
        <v>4721</v>
      </c>
      <c r="I202" s="0" t="s">
        <v>4722</v>
      </c>
      <c r="J202" s="0" t="s">
        <v>3745</v>
      </c>
      <c r="K202" s="0" t="s">
        <v>4723</v>
      </c>
      <c r="L202" s="0" t="s">
        <v>4723</v>
      </c>
      <c r="M202" s="0" t="s">
        <v>4724</v>
      </c>
      <c r="N202" s="0" t="s">
        <v>4725</v>
      </c>
      <c r="O202" s="0" t="s">
        <v>4726</v>
      </c>
      <c r="P202" s="0" t="s">
        <v>145</v>
      </c>
      <c r="Q202" s="0" t="s">
        <v>4727</v>
      </c>
      <c r="R202" s="0" t="b">
        <v>0</v>
      </c>
      <c r="S202" s="0" t="s">
        <v>4156</v>
      </c>
    </row>
    <row customHeight="1" ht="11.25">
      <c r="A203" s="0">
        <v>2655</v>
      </c>
      <c r="B203" s="0" t="s">
        <v>102</v>
      </c>
      <c r="C203" s="0">
        <v>26356932</v>
      </c>
      <c r="D203" s="0" t="s">
        <v>4728</v>
      </c>
      <c r="E203" s="0" t="s">
        <v>4729</v>
      </c>
      <c r="F203" s="0" t="s">
        <v>4730</v>
      </c>
      <c r="G203" s="0" t="s">
        <v>3752</v>
      </c>
      <c r="H203" s="0" t="s">
        <v>4731</v>
      </c>
      <c r="I203" s="0" t="s">
        <v>4732</v>
      </c>
      <c r="J203" s="0" t="s">
        <v>3745</v>
      </c>
      <c r="K203" s="0" t="s">
        <v>4733</v>
      </c>
      <c r="L203" s="0" t="s">
        <v>4733</v>
      </c>
      <c r="M203" s="0" t="s">
        <v>4734</v>
      </c>
      <c r="N203" s="0" t="s">
        <v>4735</v>
      </c>
      <c r="O203" s="0" t="s">
        <v>4736</v>
      </c>
      <c r="P203" s="0" t="s">
        <v>3580</v>
      </c>
      <c r="Q203" s="0" t="s">
        <v>240</v>
      </c>
      <c r="R203" s="0" t="b">
        <v>1</v>
      </c>
      <c r="S203" s="0" t="s">
        <v>4156</v>
      </c>
    </row>
    <row customHeight="1" ht="11.25">
      <c r="A204" s="0">
        <v>2655</v>
      </c>
      <c r="B204" s="0" t="s">
        <v>102</v>
      </c>
      <c r="C204" s="0">
        <v>28270293</v>
      </c>
      <c r="D204" s="0" t="s">
        <v>3925</v>
      </c>
      <c r="E204" s="0" t="s">
        <v>3926</v>
      </c>
      <c r="F204" s="0" t="s">
        <v>3927</v>
      </c>
      <c r="G204" s="0" t="s">
        <v>3683</v>
      </c>
      <c r="H204" s="0" t="s">
        <v>3928</v>
      </c>
      <c r="I204" s="0" t="s">
        <v>3929</v>
      </c>
      <c r="J204" s="0" t="s">
        <v>3745</v>
      </c>
      <c r="K204" s="0" t="s">
        <v>3930</v>
      </c>
      <c r="L204" s="0" t="s">
        <v>3930</v>
      </c>
      <c r="M204" s="0" t="s">
        <v>3931</v>
      </c>
      <c r="N204" s="0" t="s">
        <v>3932</v>
      </c>
      <c r="O204" s="0" t="s">
        <v>3933</v>
      </c>
      <c r="P204" s="0" t="s">
        <v>145</v>
      </c>
      <c r="Q204" s="0" t="s">
        <v>240</v>
      </c>
      <c r="R204" s="0" t="b">
        <v>0</v>
      </c>
      <c r="S204" s="0" t="s">
        <v>4156</v>
      </c>
    </row>
    <row customHeight="1" ht="11.25">
      <c r="A205" s="0">
        <v>2655</v>
      </c>
      <c r="B205" s="0" t="s">
        <v>102</v>
      </c>
      <c r="C205" s="0">
        <v>28873362</v>
      </c>
      <c r="D205" s="0" t="s">
        <v>3934</v>
      </c>
      <c r="E205" s="0" t="s">
        <v>3935</v>
      </c>
      <c r="F205" s="0" t="s">
        <v>3936</v>
      </c>
      <c r="G205" s="0" t="s">
        <v>123</v>
      </c>
      <c r="H205" s="0" t="s">
        <v>3937</v>
      </c>
      <c r="I205" s="0" t="s">
        <v>3938</v>
      </c>
      <c r="J205" s="0" t="s">
        <v>3745</v>
      </c>
      <c r="K205" s="0" t="s">
        <v>3939</v>
      </c>
      <c r="L205" s="0" t="s">
        <v>3939</v>
      </c>
      <c r="M205" s="0" t="s">
        <v>3940</v>
      </c>
      <c r="N205" s="0" t="s">
        <v>3941</v>
      </c>
      <c r="O205" s="0" t="s">
        <v>3942</v>
      </c>
      <c r="P205" s="0" t="s">
        <v>3580</v>
      </c>
      <c r="Q205" s="0" t="s">
        <v>3943</v>
      </c>
      <c r="R205" s="0" t="b">
        <v>0</v>
      </c>
      <c r="S205" s="0" t="s">
        <v>4156</v>
      </c>
    </row>
    <row customHeight="1" ht="11.25">
      <c r="A206" s="0">
        <v>2655</v>
      </c>
      <c r="B206" s="0" t="s">
        <v>102</v>
      </c>
      <c r="C206" s="0">
        <v>31774768</v>
      </c>
      <c r="D206" s="0" t="s">
        <v>4737</v>
      </c>
      <c r="E206" s="0" t="s">
        <v>4738</v>
      </c>
      <c r="F206" s="0" t="s">
        <v>4739</v>
      </c>
      <c r="G206" s="0" t="s">
        <v>3704</v>
      </c>
      <c r="H206" s="0" t="s">
        <v>4740</v>
      </c>
      <c r="I206" s="0" t="s">
        <v>4741</v>
      </c>
      <c r="K206" s="0" t="s">
        <v>4742</v>
      </c>
      <c r="L206" s="0" t="s">
        <v>4742</v>
      </c>
      <c r="M206" s="0" t="s">
        <v>240</v>
      </c>
      <c r="N206" s="0" t="s">
        <v>4743</v>
      </c>
      <c r="O206" s="0" t="s">
        <v>4744</v>
      </c>
      <c r="P206" s="0" t="s">
        <v>3465</v>
      </c>
      <c r="Q206" s="0" t="s">
        <v>240</v>
      </c>
      <c r="R206" s="0" t="b">
        <v>1</v>
      </c>
      <c r="S206" s="0" t="s">
        <v>4156</v>
      </c>
    </row>
    <row customHeight="1" ht="11.25">
      <c r="A207" s="0">
        <v>2655</v>
      </c>
      <c r="B207" s="0" t="s">
        <v>102</v>
      </c>
      <c r="C207" s="0">
        <v>30992391</v>
      </c>
      <c r="D207" s="0" t="s">
        <v>3953</v>
      </c>
      <c r="E207" s="0" t="s">
        <v>3954</v>
      </c>
      <c r="F207" s="0" t="s">
        <v>3955</v>
      </c>
      <c r="G207" s="0" t="s">
        <v>3572</v>
      </c>
      <c r="H207" s="0" t="s">
        <v>3956</v>
      </c>
      <c r="I207" s="0" t="s">
        <v>3957</v>
      </c>
      <c r="J207" s="0" t="s">
        <v>3745</v>
      </c>
      <c r="K207" s="0" t="s">
        <v>3958</v>
      </c>
      <c r="L207" s="0" t="s">
        <v>3959</v>
      </c>
      <c r="M207" s="0" t="s">
        <v>3960</v>
      </c>
      <c r="N207" s="0" t="s">
        <v>3961</v>
      </c>
      <c r="O207" s="0" t="s">
        <v>3962</v>
      </c>
      <c r="P207" s="0" t="s">
        <v>3580</v>
      </c>
      <c r="Q207" s="0" t="s">
        <v>3963</v>
      </c>
      <c r="R207" s="0" t="b">
        <v>0</v>
      </c>
      <c r="S207" s="0" t="s">
        <v>4156</v>
      </c>
    </row>
    <row customHeight="1" ht="11.25">
      <c r="A208" s="0">
        <v>2655</v>
      </c>
      <c r="B208" s="0" t="s">
        <v>102</v>
      </c>
      <c r="C208" s="0">
        <v>31491836</v>
      </c>
      <c r="D208" s="0" t="s">
        <v>4745</v>
      </c>
      <c r="E208" s="0" t="s">
        <v>4746</v>
      </c>
      <c r="F208" s="0" t="s">
        <v>4747</v>
      </c>
      <c r="G208" s="0" t="s">
        <v>123</v>
      </c>
      <c r="H208" s="0" t="s">
        <v>4748</v>
      </c>
      <c r="I208" s="0" t="s">
        <v>4749</v>
      </c>
      <c r="J208" s="0" t="s">
        <v>3745</v>
      </c>
      <c r="K208" s="0" t="s">
        <v>4750</v>
      </c>
      <c r="L208" s="0" t="s">
        <v>4751</v>
      </c>
      <c r="M208" s="0" t="s">
        <v>4752</v>
      </c>
      <c r="N208" s="0" t="s">
        <v>4753</v>
      </c>
      <c r="O208" s="0" t="s">
        <v>4754</v>
      </c>
      <c r="P208" s="0" t="s">
        <v>3613</v>
      </c>
      <c r="Q208" s="0" t="s">
        <v>240</v>
      </c>
      <c r="R208" s="0" t="b">
        <v>1</v>
      </c>
      <c r="S208" s="0" t="s">
        <v>4156</v>
      </c>
    </row>
    <row customHeight="1" ht="11.25">
      <c r="A209" s="0">
        <v>2655</v>
      </c>
      <c r="B209" s="0" t="s">
        <v>102</v>
      </c>
      <c r="C209" s="0">
        <v>26356974</v>
      </c>
      <c r="D209" s="0" t="s">
        <v>4755</v>
      </c>
      <c r="E209" s="0" t="s">
        <v>4756</v>
      </c>
      <c r="F209" s="0" t="s">
        <v>4757</v>
      </c>
      <c r="G209" s="0" t="s">
        <v>4758</v>
      </c>
      <c r="H209" s="0" t="s">
        <v>4759</v>
      </c>
      <c r="I209" s="0" t="s">
        <v>4760</v>
      </c>
      <c r="J209" s="0" t="s">
        <v>3745</v>
      </c>
      <c r="K209" s="0" t="s">
        <v>4761</v>
      </c>
      <c r="L209" s="0" t="s">
        <v>4761</v>
      </c>
      <c r="M209" s="0" t="s">
        <v>4762</v>
      </c>
      <c r="N209" s="0" t="s">
        <v>4763</v>
      </c>
      <c r="O209" s="0" t="s">
        <v>4764</v>
      </c>
      <c r="P209" s="0" t="s">
        <v>3580</v>
      </c>
      <c r="Q209" s="0" t="s">
        <v>4765</v>
      </c>
      <c r="R209" s="0" t="b">
        <v>0</v>
      </c>
      <c r="S209" s="0" t="s">
        <v>4156</v>
      </c>
    </row>
    <row customHeight="1" ht="11.25">
      <c r="A210" s="0">
        <v>2655</v>
      </c>
      <c r="B210" s="0" t="s">
        <v>102</v>
      </c>
      <c r="C210" s="0">
        <v>31365968</v>
      </c>
      <c r="D210" s="0" t="s">
        <v>4766</v>
      </c>
      <c r="E210" s="0" t="s">
        <v>4767</v>
      </c>
      <c r="F210" s="0" t="s">
        <v>4768</v>
      </c>
      <c r="G210" s="0" t="s">
        <v>3654</v>
      </c>
      <c r="H210" s="0" t="s">
        <v>4769</v>
      </c>
      <c r="I210" s="0" t="s">
        <v>4770</v>
      </c>
      <c r="J210" s="0" t="s">
        <v>3745</v>
      </c>
      <c r="K210" s="0" t="s">
        <v>4771</v>
      </c>
      <c r="L210" s="0" t="s">
        <v>4771</v>
      </c>
      <c r="M210" s="0" t="s">
        <v>4772</v>
      </c>
      <c r="N210" s="0" t="s">
        <v>4773</v>
      </c>
      <c r="O210" s="0" t="s">
        <v>4774</v>
      </c>
      <c r="P210" s="0" t="s">
        <v>145</v>
      </c>
      <c r="Q210" s="0" t="s">
        <v>240</v>
      </c>
      <c r="R210" s="0" t="b">
        <v>0</v>
      </c>
      <c r="S210" s="0" t="s">
        <v>4156</v>
      </c>
    </row>
    <row customHeight="1" ht="11.25">
      <c r="A211" s="0">
        <v>2655</v>
      </c>
      <c r="B211" s="0" t="s">
        <v>102</v>
      </c>
      <c r="C211" s="0">
        <v>31038861</v>
      </c>
      <c r="D211" s="0" t="s">
        <v>4775</v>
      </c>
      <c r="E211" s="0" t="s">
        <v>4776</v>
      </c>
      <c r="F211" s="0" t="s">
        <v>4777</v>
      </c>
      <c r="G211" s="0" t="s">
        <v>3481</v>
      </c>
      <c r="H211" s="0" t="s">
        <v>4778</v>
      </c>
      <c r="I211" s="0" t="s">
        <v>4779</v>
      </c>
      <c r="J211" s="0" t="s">
        <v>3745</v>
      </c>
      <c r="K211" s="0" t="s">
        <v>4780</v>
      </c>
      <c r="L211" s="0" t="s">
        <v>4781</v>
      </c>
      <c r="M211" s="0" t="s">
        <v>4782</v>
      </c>
      <c r="N211" s="0" t="s">
        <v>4783</v>
      </c>
      <c r="O211" s="0" t="s">
        <v>4784</v>
      </c>
      <c r="P211" s="0" t="s">
        <v>3580</v>
      </c>
      <c r="Q211" s="0" t="s">
        <v>240</v>
      </c>
      <c r="R211" s="0" t="b">
        <v>0</v>
      </c>
      <c r="S211" s="0" t="s">
        <v>4156</v>
      </c>
    </row>
    <row customHeight="1" ht="11.25">
      <c r="A212" s="0">
        <v>2655</v>
      </c>
      <c r="B212" s="0" t="s">
        <v>102</v>
      </c>
      <c r="C212" s="0">
        <v>26853991</v>
      </c>
      <c r="D212" s="0" t="s">
        <v>3964</v>
      </c>
      <c r="E212" s="0" t="s">
        <v>3965</v>
      </c>
      <c r="F212" s="0" t="s">
        <v>3966</v>
      </c>
      <c r="G212" s="0" t="s">
        <v>3967</v>
      </c>
      <c r="H212" s="0" t="s">
        <v>3968</v>
      </c>
      <c r="I212" s="0" t="s">
        <v>3969</v>
      </c>
      <c r="J212" s="0" t="s">
        <v>3446</v>
      </c>
      <c r="K212" s="0" t="s">
        <v>3970</v>
      </c>
      <c r="L212" s="0" t="s">
        <v>3971</v>
      </c>
      <c r="M212" s="0" t="s">
        <v>3972</v>
      </c>
      <c r="N212" s="0" t="s">
        <v>3973</v>
      </c>
      <c r="O212" s="0" t="s">
        <v>3974</v>
      </c>
      <c r="P212" s="0" t="s">
        <v>145</v>
      </c>
      <c r="Q212" s="0" t="s">
        <v>240</v>
      </c>
      <c r="R212" s="0" t="b">
        <v>0</v>
      </c>
      <c r="S212" s="0" t="s">
        <v>4156</v>
      </c>
    </row>
    <row customHeight="1" ht="11.25">
      <c r="A213" s="0">
        <v>2655</v>
      </c>
      <c r="B213" s="0" t="s">
        <v>102</v>
      </c>
      <c r="C213" s="0">
        <v>31908312</v>
      </c>
      <c r="D213" s="0" t="s">
        <v>3964</v>
      </c>
      <c r="E213" s="0" t="s">
        <v>3975</v>
      </c>
      <c r="F213" s="0" t="s">
        <v>3966</v>
      </c>
      <c r="G213" s="0" t="s">
        <v>3967</v>
      </c>
      <c r="H213" s="0" t="s">
        <v>3968</v>
      </c>
      <c r="I213" s="0" t="s">
        <v>3969</v>
      </c>
      <c r="K213" s="0" t="s">
        <v>3976</v>
      </c>
      <c r="L213" s="0" t="s">
        <v>3976</v>
      </c>
      <c r="M213" s="0" t="s">
        <v>3977</v>
      </c>
      <c r="N213" s="0" t="s">
        <v>3978</v>
      </c>
      <c r="O213" s="0" t="s">
        <v>3979</v>
      </c>
      <c r="P213" s="0" t="s">
        <v>240</v>
      </c>
      <c r="Q213" s="0" t="s">
        <v>3980</v>
      </c>
      <c r="R213" s="0" t="b">
        <v>0</v>
      </c>
      <c r="S213" s="0" t="s">
        <v>4156</v>
      </c>
    </row>
    <row customHeight="1" ht="11.25">
      <c r="A214" s="0">
        <v>2655</v>
      </c>
      <c r="B214" s="0" t="s">
        <v>102</v>
      </c>
      <c r="C214" s="0">
        <v>26519663</v>
      </c>
      <c r="D214" s="0" t="s">
        <v>4785</v>
      </c>
      <c r="E214" s="0" t="s">
        <v>4786</v>
      </c>
      <c r="F214" s="0" t="s">
        <v>4787</v>
      </c>
      <c r="G214" s="0" t="s">
        <v>3645</v>
      </c>
      <c r="H214" s="0" t="s">
        <v>4788</v>
      </c>
      <c r="I214" s="0" t="s">
        <v>4789</v>
      </c>
      <c r="J214" s="0" t="s">
        <v>3517</v>
      </c>
      <c r="K214" s="0" t="s">
        <v>4790</v>
      </c>
      <c r="L214" s="0" t="s">
        <v>4790</v>
      </c>
      <c r="M214" s="0" t="s">
        <v>4791</v>
      </c>
      <c r="N214" s="0" t="s">
        <v>4792</v>
      </c>
      <c r="O214" s="0" t="s">
        <v>4793</v>
      </c>
      <c r="P214" s="0" t="s">
        <v>3499</v>
      </c>
      <c r="Q214" s="0" t="s">
        <v>4794</v>
      </c>
      <c r="R214" s="0" t="b">
        <v>0</v>
      </c>
      <c r="S214" s="0" t="s">
        <v>4156</v>
      </c>
    </row>
    <row customHeight="1" ht="11.25">
      <c r="A215" s="0">
        <v>2655</v>
      </c>
      <c r="B215" s="0" t="s">
        <v>102</v>
      </c>
      <c r="C215" s="0">
        <v>30808511</v>
      </c>
      <c r="D215" s="0" t="s">
        <v>3981</v>
      </c>
      <c r="E215" s="0" t="s">
        <v>3981</v>
      </c>
      <c r="F215" s="0" t="s">
        <v>3982</v>
      </c>
      <c r="G215" s="0" t="s">
        <v>3983</v>
      </c>
      <c r="H215" s="0" t="s">
        <v>3984</v>
      </c>
      <c r="I215" s="0" t="s">
        <v>3985</v>
      </c>
      <c r="J215" s="0" t="s">
        <v>3986</v>
      </c>
      <c r="K215" s="0" t="s">
        <v>3987</v>
      </c>
      <c r="L215" s="0" t="s">
        <v>3988</v>
      </c>
      <c r="M215" s="0" t="s">
        <v>3989</v>
      </c>
      <c r="N215" s="0" t="s">
        <v>3990</v>
      </c>
      <c r="O215" s="0" t="s">
        <v>3991</v>
      </c>
      <c r="P215" s="0" t="s">
        <v>3580</v>
      </c>
      <c r="Q215" s="0" t="s">
        <v>3990</v>
      </c>
      <c r="R215" s="0" t="b">
        <v>0</v>
      </c>
      <c r="S215" s="0" t="s">
        <v>4156</v>
      </c>
    </row>
    <row customHeight="1" ht="11.25">
      <c r="A216" s="0">
        <v>2655</v>
      </c>
      <c r="B216" s="0" t="s">
        <v>102</v>
      </c>
      <c r="C216" s="0">
        <v>28977129</v>
      </c>
      <c r="D216" s="0" t="s">
        <v>4795</v>
      </c>
      <c r="E216" s="0" t="s">
        <v>4796</v>
      </c>
      <c r="F216" s="0" t="s">
        <v>3982</v>
      </c>
      <c r="G216" s="0" t="s">
        <v>4797</v>
      </c>
      <c r="H216" s="0" t="s">
        <v>3984</v>
      </c>
      <c r="I216" s="0" t="s">
        <v>3995</v>
      </c>
      <c r="J216" s="0" t="s">
        <v>3986</v>
      </c>
      <c r="K216" s="0" t="s">
        <v>4798</v>
      </c>
      <c r="L216" s="0" t="s">
        <v>4799</v>
      </c>
      <c r="M216" s="0" t="s">
        <v>4800</v>
      </c>
      <c r="N216" s="0" t="s">
        <v>240</v>
      </c>
      <c r="O216" s="0" t="s">
        <v>4801</v>
      </c>
      <c r="P216" s="0" t="s">
        <v>3580</v>
      </c>
      <c r="Q216" s="0" t="s">
        <v>240</v>
      </c>
      <c r="R216" s="0" t="b">
        <v>0</v>
      </c>
      <c r="S216" s="0" t="s">
        <v>4156</v>
      </c>
    </row>
    <row customHeight="1" ht="11.25">
      <c r="A217" s="0">
        <v>2655</v>
      </c>
      <c r="B217" s="0" t="s">
        <v>102</v>
      </c>
      <c r="C217" s="0">
        <v>30829962</v>
      </c>
      <c r="D217" s="0" t="s">
        <v>4802</v>
      </c>
      <c r="E217" s="0" t="s">
        <v>4803</v>
      </c>
      <c r="F217" s="0" t="s">
        <v>3982</v>
      </c>
      <c r="G217" s="0" t="s">
        <v>123</v>
      </c>
      <c r="H217" s="0" t="s">
        <v>3984</v>
      </c>
      <c r="I217" s="0" t="s">
        <v>4804</v>
      </c>
      <c r="J217" s="0" t="s">
        <v>3986</v>
      </c>
      <c r="K217" s="0" t="s">
        <v>4805</v>
      </c>
      <c r="L217" s="0" t="s">
        <v>4805</v>
      </c>
      <c r="M217" s="0" t="s">
        <v>4806</v>
      </c>
      <c r="N217" s="0" t="s">
        <v>4807</v>
      </c>
      <c r="O217" s="0" t="s">
        <v>4808</v>
      </c>
      <c r="P217" s="0" t="s">
        <v>3613</v>
      </c>
      <c r="Q217" s="0" t="s">
        <v>240</v>
      </c>
      <c r="R217" s="0" t="b">
        <v>0</v>
      </c>
      <c r="S217" s="0" t="s">
        <v>4156</v>
      </c>
    </row>
    <row customHeight="1" ht="11.25">
      <c r="A218" s="0">
        <v>2655</v>
      </c>
      <c r="B218" s="0" t="s">
        <v>102</v>
      </c>
      <c r="C218" s="0">
        <v>26520873</v>
      </c>
      <c r="D218" s="0" t="s">
        <v>3992</v>
      </c>
      <c r="E218" s="0" t="s">
        <v>3993</v>
      </c>
      <c r="F218" s="0" t="s">
        <v>3982</v>
      </c>
      <c r="G218" s="0" t="s">
        <v>3994</v>
      </c>
      <c r="H218" s="0" t="s">
        <v>3984</v>
      </c>
      <c r="I218" s="0" t="s">
        <v>3995</v>
      </c>
      <c r="J218" s="0" t="s">
        <v>3986</v>
      </c>
      <c r="K218" s="0" t="s">
        <v>3996</v>
      </c>
      <c r="L218" s="0" t="s">
        <v>3997</v>
      </c>
      <c r="M218" s="0" t="s">
        <v>3998</v>
      </c>
      <c r="N218" s="0" t="s">
        <v>3999</v>
      </c>
      <c r="O218" s="0" t="s">
        <v>4000</v>
      </c>
      <c r="P218" s="0" t="s">
        <v>3580</v>
      </c>
      <c r="Q218" s="0" t="s">
        <v>4001</v>
      </c>
      <c r="R218" s="0" t="b">
        <v>0</v>
      </c>
      <c r="S218" s="0" t="s">
        <v>4156</v>
      </c>
    </row>
    <row customHeight="1" ht="11.25">
      <c r="A219" s="0">
        <v>2655</v>
      </c>
      <c r="B219" s="0" t="s">
        <v>102</v>
      </c>
      <c r="C219" s="0">
        <v>30914574</v>
      </c>
      <c r="D219" s="0" t="s">
        <v>4809</v>
      </c>
      <c r="E219" s="0" t="s">
        <v>4810</v>
      </c>
      <c r="F219" s="0" t="s">
        <v>4811</v>
      </c>
      <c r="G219" s="0" t="s">
        <v>4812</v>
      </c>
      <c r="H219" s="0" t="s">
        <v>4813</v>
      </c>
      <c r="I219" s="0" t="s">
        <v>4814</v>
      </c>
      <c r="J219" s="0" t="s">
        <v>4815</v>
      </c>
      <c r="K219" s="0" t="s">
        <v>4816</v>
      </c>
      <c r="L219" s="0" t="s">
        <v>4817</v>
      </c>
      <c r="M219" s="0" t="s">
        <v>4818</v>
      </c>
      <c r="N219" s="0" t="s">
        <v>4819</v>
      </c>
      <c r="O219" s="0" t="s">
        <v>4820</v>
      </c>
      <c r="P219" s="0" t="s">
        <v>4821</v>
      </c>
      <c r="Q219" s="0" t="s">
        <v>240</v>
      </c>
      <c r="R219" s="0" t="b">
        <v>0</v>
      </c>
      <c r="S219" s="0" t="s">
        <v>4156</v>
      </c>
    </row>
    <row customHeight="1" ht="11.25">
      <c r="A220" s="0">
        <v>2655</v>
      </c>
      <c r="B220" s="0" t="s">
        <v>102</v>
      </c>
      <c r="C220" s="0">
        <v>28976938</v>
      </c>
      <c r="D220" s="0" t="s">
        <v>3440</v>
      </c>
      <c r="E220" s="0" t="s">
        <v>3441</v>
      </c>
      <c r="F220" s="0" t="s">
        <v>3442</v>
      </c>
      <c r="G220" s="0" t="s">
        <v>3443</v>
      </c>
      <c r="H220" s="0" t="s">
        <v>3444</v>
      </c>
      <c r="I220" s="0" t="s">
        <v>3445</v>
      </c>
      <c r="J220" s="0" t="s">
        <v>3446</v>
      </c>
      <c r="K220" s="0" t="s">
        <v>3447</v>
      </c>
      <c r="L220" s="0" t="s">
        <v>3448</v>
      </c>
      <c r="M220" s="0" t="s">
        <v>3449</v>
      </c>
      <c r="N220" s="0" t="s">
        <v>3450</v>
      </c>
      <c r="O220" s="0" t="s">
        <v>3451</v>
      </c>
      <c r="P220" s="0" t="s">
        <v>3452</v>
      </c>
      <c r="Q220" s="0" t="s">
        <v>3453</v>
      </c>
      <c r="R220" s="0" t="b">
        <v>0</v>
      </c>
      <c r="S220" s="0" t="s">
        <v>4822</v>
      </c>
    </row>
    <row customHeight="1" ht="11.25">
      <c r="A221" s="0">
        <v>2655</v>
      </c>
      <c r="B221" s="0" t="s">
        <v>102</v>
      </c>
      <c r="C221" s="0">
        <v>26356915</v>
      </c>
      <c r="D221" s="0" t="s">
        <v>4014</v>
      </c>
      <c r="E221" s="0" t="s">
        <v>4015</v>
      </c>
      <c r="F221" s="0" t="s">
        <v>4016</v>
      </c>
      <c r="G221" s="0" t="s">
        <v>3672</v>
      </c>
      <c r="H221" s="0" t="s">
        <v>4017</v>
      </c>
      <c r="I221" s="0" t="s">
        <v>4018</v>
      </c>
      <c r="J221" s="0" t="s">
        <v>3446</v>
      </c>
      <c r="K221" s="0" t="s">
        <v>4019</v>
      </c>
      <c r="L221" s="0" t="s">
        <v>4019</v>
      </c>
      <c r="M221" s="0" t="s">
        <v>4020</v>
      </c>
      <c r="N221" s="0" t="s">
        <v>4021</v>
      </c>
      <c r="O221" s="0" t="s">
        <v>4022</v>
      </c>
      <c r="P221" s="0" t="s">
        <v>145</v>
      </c>
      <c r="Q221" s="0" t="s">
        <v>152</v>
      </c>
      <c r="R221" s="0" t="b">
        <v>0</v>
      </c>
      <c r="S221" s="0" t="s">
        <v>4822</v>
      </c>
    </row>
    <row customHeight="1" ht="11.25">
      <c r="A222" s="0">
        <v>2655</v>
      </c>
      <c r="B222" s="0" t="s">
        <v>102</v>
      </c>
      <c r="C222" s="0">
        <v>26357007</v>
      </c>
      <c r="D222" s="0" t="s">
        <v>4157</v>
      </c>
      <c r="E222" s="0" t="s">
        <v>4158</v>
      </c>
      <c r="F222" s="0" t="s">
        <v>4159</v>
      </c>
      <c r="G222" s="0" t="s">
        <v>3704</v>
      </c>
      <c r="H222" s="0" t="s">
        <v>4160</v>
      </c>
      <c r="I222" s="0" t="s">
        <v>4161</v>
      </c>
      <c r="J222" s="0" t="s">
        <v>3446</v>
      </c>
      <c r="K222" s="0" t="s">
        <v>4162</v>
      </c>
      <c r="L222" s="0" t="s">
        <v>4162</v>
      </c>
      <c r="M222" s="0" t="s">
        <v>4163</v>
      </c>
      <c r="N222" s="0" t="s">
        <v>4164</v>
      </c>
      <c r="O222" s="0" t="s">
        <v>4165</v>
      </c>
      <c r="P222" s="0" t="s">
        <v>145</v>
      </c>
      <c r="Q222" s="0" t="s">
        <v>4166</v>
      </c>
      <c r="R222" s="0" t="b">
        <v>0</v>
      </c>
      <c r="S222" s="0" t="s">
        <v>4822</v>
      </c>
    </row>
    <row customHeight="1" ht="11.25">
      <c r="A223" s="0">
        <v>2655</v>
      </c>
      <c r="B223" s="0" t="s">
        <v>102</v>
      </c>
      <c r="C223" s="0">
        <v>27804990</v>
      </c>
      <c r="D223" s="0" t="s">
        <v>3455</v>
      </c>
      <c r="E223" s="0" t="s">
        <v>3456</v>
      </c>
      <c r="F223" s="0" t="s">
        <v>3457</v>
      </c>
      <c r="G223" s="0" t="s">
        <v>123</v>
      </c>
      <c r="H223" s="0" t="s">
        <v>3458</v>
      </c>
      <c r="I223" s="0" t="s">
        <v>3459</v>
      </c>
      <c r="J223" s="0" t="s">
        <v>3446</v>
      </c>
      <c r="K223" s="0" t="s">
        <v>3460</v>
      </c>
      <c r="L223" s="0" t="s">
        <v>3461</v>
      </c>
      <c r="M223" s="0" t="s">
        <v>3462</v>
      </c>
      <c r="N223" s="0" t="s">
        <v>3463</v>
      </c>
      <c r="O223" s="0" t="s">
        <v>3464</v>
      </c>
      <c r="P223" s="0" t="s">
        <v>3465</v>
      </c>
      <c r="Q223" s="0" t="s">
        <v>3466</v>
      </c>
      <c r="R223" s="0" t="b">
        <v>0</v>
      </c>
      <c r="S223" s="0" t="s">
        <v>4822</v>
      </c>
    </row>
    <row customHeight="1" ht="11.25">
      <c r="A224" s="0">
        <v>2655</v>
      </c>
      <c r="B224" s="0" t="s">
        <v>102</v>
      </c>
      <c r="C224" s="0">
        <v>28048296</v>
      </c>
      <c r="D224" s="0" t="s">
        <v>4167</v>
      </c>
      <c r="E224" s="0" t="s">
        <v>4168</v>
      </c>
      <c r="F224" s="0" t="s">
        <v>4169</v>
      </c>
      <c r="G224" s="0" t="s">
        <v>123</v>
      </c>
      <c r="H224" s="0" t="s">
        <v>4170</v>
      </c>
      <c r="I224" s="0" t="s">
        <v>4171</v>
      </c>
      <c r="J224" s="0" t="s">
        <v>3446</v>
      </c>
      <c r="K224" s="0" t="s">
        <v>4172</v>
      </c>
      <c r="L224" s="0" t="s">
        <v>3461</v>
      </c>
      <c r="M224" s="0" t="s">
        <v>4173</v>
      </c>
      <c r="N224" s="0" t="s">
        <v>3817</v>
      </c>
      <c r="O224" s="0" t="s">
        <v>4174</v>
      </c>
      <c r="P224" s="0" t="s">
        <v>3465</v>
      </c>
      <c r="Q224" s="0" t="s">
        <v>3466</v>
      </c>
      <c r="R224" s="0" t="b">
        <v>0</v>
      </c>
      <c r="S224" s="0" t="s">
        <v>4822</v>
      </c>
    </row>
    <row customHeight="1" ht="11.25">
      <c r="A225" s="0">
        <v>2655</v>
      </c>
      <c r="B225" s="0" t="s">
        <v>102</v>
      </c>
      <c r="C225" s="0">
        <v>27804826</v>
      </c>
      <c r="D225" s="0" t="s">
        <v>3467</v>
      </c>
      <c r="E225" s="0" t="s">
        <v>3468</v>
      </c>
      <c r="F225" s="0" t="s">
        <v>3469</v>
      </c>
      <c r="G225" s="0" t="s">
        <v>3470</v>
      </c>
      <c r="H225" s="0" t="s">
        <v>3471</v>
      </c>
      <c r="I225" s="0" t="s">
        <v>3472</v>
      </c>
      <c r="J225" s="0" t="s">
        <v>3446</v>
      </c>
      <c r="K225" s="0" t="s">
        <v>3473</v>
      </c>
      <c r="L225" s="0" t="s">
        <v>3461</v>
      </c>
      <c r="M225" s="0" t="s">
        <v>3474</v>
      </c>
      <c r="N225" s="0" t="s">
        <v>3475</v>
      </c>
      <c r="O225" s="0" t="s">
        <v>3476</v>
      </c>
      <c r="P225" s="0" t="s">
        <v>3465</v>
      </c>
      <c r="Q225" s="0" t="s">
        <v>3477</v>
      </c>
      <c r="R225" s="0" t="b">
        <v>0</v>
      </c>
      <c r="S225" s="0" t="s">
        <v>4822</v>
      </c>
    </row>
    <row customHeight="1" ht="11.25">
      <c r="A226" s="0">
        <v>2655</v>
      </c>
      <c r="B226" s="0" t="s">
        <v>102</v>
      </c>
      <c r="C226" s="0">
        <v>27804896</v>
      </c>
      <c r="D226" s="0" t="s">
        <v>4175</v>
      </c>
      <c r="E226" s="0" t="s">
        <v>4176</v>
      </c>
      <c r="F226" s="0" t="s">
        <v>4177</v>
      </c>
      <c r="G226" s="0" t="s">
        <v>123</v>
      </c>
      <c r="H226" s="0" t="s">
        <v>4178</v>
      </c>
      <c r="I226" s="0" t="s">
        <v>4179</v>
      </c>
      <c r="J226" s="0" t="s">
        <v>3446</v>
      </c>
      <c r="K226" s="0" t="s">
        <v>4180</v>
      </c>
      <c r="L226" s="0" t="s">
        <v>3461</v>
      </c>
      <c r="M226" s="0" t="s">
        <v>4181</v>
      </c>
      <c r="N226" s="0" t="s">
        <v>4182</v>
      </c>
      <c r="O226" s="0" t="s">
        <v>4183</v>
      </c>
      <c r="P226" s="0" t="s">
        <v>3465</v>
      </c>
      <c r="Q226" s="0" t="s">
        <v>3466</v>
      </c>
      <c r="R226" s="0" t="b">
        <v>0</v>
      </c>
      <c r="S226" s="0" t="s">
        <v>4822</v>
      </c>
    </row>
    <row customHeight="1" ht="11.25">
      <c r="A227" s="0">
        <v>2655</v>
      </c>
      <c r="B227" s="0" t="s">
        <v>102</v>
      </c>
      <c r="C227" s="0">
        <v>27820148</v>
      </c>
      <c r="D227" s="0" t="s">
        <v>4041</v>
      </c>
      <c r="E227" s="0" t="s">
        <v>4042</v>
      </c>
      <c r="F227" s="0" t="s">
        <v>4043</v>
      </c>
      <c r="G227" s="0" t="s">
        <v>3752</v>
      </c>
      <c r="H227" s="0" t="s">
        <v>4044</v>
      </c>
      <c r="I227" s="0" t="s">
        <v>4045</v>
      </c>
      <c r="J227" s="0" t="s">
        <v>3446</v>
      </c>
      <c r="K227" s="0" t="s">
        <v>4046</v>
      </c>
      <c r="L227" s="0" t="s">
        <v>4046</v>
      </c>
      <c r="M227" s="0" t="s">
        <v>4047</v>
      </c>
      <c r="N227" s="0" t="s">
        <v>4048</v>
      </c>
      <c r="O227" s="0" t="s">
        <v>4049</v>
      </c>
      <c r="P227" s="0" t="s">
        <v>4050</v>
      </c>
      <c r="Q227" s="0" t="s">
        <v>4051</v>
      </c>
      <c r="R227" s="0" t="b">
        <v>0</v>
      </c>
      <c r="S227" s="0" t="s">
        <v>4822</v>
      </c>
    </row>
    <row customHeight="1" ht="11.25">
      <c r="A228" s="0">
        <v>2655</v>
      </c>
      <c r="B228" s="0" t="s">
        <v>102</v>
      </c>
      <c r="C228" s="0">
        <v>26356905</v>
      </c>
      <c r="D228" s="0" t="s">
        <v>4184</v>
      </c>
      <c r="E228" s="0" t="s">
        <v>4185</v>
      </c>
      <c r="F228" s="0" t="s">
        <v>4186</v>
      </c>
      <c r="G228" s="0" t="s">
        <v>123</v>
      </c>
      <c r="H228" s="0" t="s">
        <v>4187</v>
      </c>
      <c r="I228" s="0" t="s">
        <v>4188</v>
      </c>
      <c r="J228" s="0" t="s">
        <v>3446</v>
      </c>
      <c r="K228" s="0" t="s">
        <v>4189</v>
      </c>
      <c r="L228" s="0" t="s">
        <v>4189</v>
      </c>
      <c r="M228" s="0" t="s">
        <v>4190</v>
      </c>
      <c r="N228" s="0" t="s">
        <v>4191</v>
      </c>
      <c r="O228" s="0" t="s">
        <v>4192</v>
      </c>
      <c r="P228" s="0" t="s">
        <v>4193</v>
      </c>
      <c r="Q228" s="0" t="s">
        <v>4194</v>
      </c>
      <c r="R228" s="0" t="b">
        <v>0</v>
      </c>
      <c r="S228" s="0" t="s">
        <v>4822</v>
      </c>
    </row>
    <row customHeight="1" ht="11.25">
      <c r="A229" s="0">
        <v>2655</v>
      </c>
      <c r="B229" s="0" t="s">
        <v>102</v>
      </c>
      <c r="C229" s="0">
        <v>26652554</v>
      </c>
      <c r="D229" s="0" t="s">
        <v>4195</v>
      </c>
      <c r="E229" s="0" t="s">
        <v>4196</v>
      </c>
      <c r="F229" s="0" t="s">
        <v>4197</v>
      </c>
      <c r="G229" s="0" t="s">
        <v>3842</v>
      </c>
      <c r="H229" s="0" t="s">
        <v>4198</v>
      </c>
      <c r="I229" s="0" t="s">
        <v>240</v>
      </c>
      <c r="J229" s="0" t="s">
        <v>3446</v>
      </c>
      <c r="K229" s="0" t="s">
        <v>4199</v>
      </c>
      <c r="L229" s="0" t="s">
        <v>4199</v>
      </c>
      <c r="M229" s="0" t="s">
        <v>4200</v>
      </c>
      <c r="N229" s="0" t="s">
        <v>4201</v>
      </c>
      <c r="O229" s="0" t="s">
        <v>4202</v>
      </c>
      <c r="P229" s="0" t="s">
        <v>145</v>
      </c>
      <c r="Q229" s="0" t="s">
        <v>4203</v>
      </c>
      <c r="R229" s="0" t="b">
        <v>0</v>
      </c>
      <c r="S229" s="0" t="s">
        <v>4822</v>
      </c>
    </row>
    <row customHeight="1" ht="11.25">
      <c r="A230" s="0">
        <v>2655</v>
      </c>
      <c r="B230" s="0" t="s">
        <v>102</v>
      </c>
      <c r="C230" s="0">
        <v>31915209</v>
      </c>
      <c r="D230" s="0" t="s">
        <v>4204</v>
      </c>
      <c r="E230" s="0" t="s">
        <v>4205</v>
      </c>
      <c r="F230" s="0" t="s">
        <v>4206</v>
      </c>
      <c r="G230" s="0" t="s">
        <v>123</v>
      </c>
      <c r="H230" s="0" t="s">
        <v>4207</v>
      </c>
      <c r="I230" s="0" t="s">
        <v>4208</v>
      </c>
      <c r="K230" s="0" t="s">
        <v>4209</v>
      </c>
      <c r="L230" s="0" t="s">
        <v>4209</v>
      </c>
      <c r="M230" s="0" t="s">
        <v>4210</v>
      </c>
      <c r="N230" s="0" t="s">
        <v>4211</v>
      </c>
      <c r="O230" s="0" t="s">
        <v>4212</v>
      </c>
      <c r="P230" s="0" t="s">
        <v>4213</v>
      </c>
      <c r="Q230" s="0" t="s">
        <v>4214</v>
      </c>
      <c r="R230" s="0" t="b">
        <v>0</v>
      </c>
      <c r="S230" s="0" t="s">
        <v>4822</v>
      </c>
    </row>
    <row customHeight="1" ht="11.25">
      <c r="A231" s="0">
        <v>2655</v>
      </c>
      <c r="B231" s="0" t="s">
        <v>102</v>
      </c>
      <c r="C231" s="0">
        <v>26356926</v>
      </c>
      <c r="D231" s="0" t="s">
        <v>4215</v>
      </c>
      <c r="E231" s="0" t="s">
        <v>4216</v>
      </c>
      <c r="F231" s="0" t="s">
        <v>4217</v>
      </c>
      <c r="G231" s="0" t="s">
        <v>3752</v>
      </c>
      <c r="H231" s="0" t="s">
        <v>4218</v>
      </c>
      <c r="I231" s="0" t="s">
        <v>4219</v>
      </c>
      <c r="J231" s="0" t="s">
        <v>4220</v>
      </c>
      <c r="K231" s="0" t="s">
        <v>4221</v>
      </c>
      <c r="L231" s="0" t="s">
        <v>4221</v>
      </c>
      <c r="M231" s="0" t="s">
        <v>4222</v>
      </c>
      <c r="N231" s="0" t="s">
        <v>4223</v>
      </c>
      <c r="O231" s="0" t="s">
        <v>4224</v>
      </c>
      <c r="P231" s="0" t="s">
        <v>4225</v>
      </c>
      <c r="Q231" s="0" t="s">
        <v>4226</v>
      </c>
      <c r="R231" s="0" t="b">
        <v>0</v>
      </c>
      <c r="S231" s="0" t="s">
        <v>4822</v>
      </c>
    </row>
    <row customHeight="1" ht="11.25">
      <c r="A232" s="0">
        <v>2655</v>
      </c>
      <c r="B232" s="0" t="s">
        <v>102</v>
      </c>
      <c r="C232" s="0">
        <v>31720063</v>
      </c>
      <c r="D232" s="0" t="s">
        <v>4227</v>
      </c>
      <c r="E232" s="0" t="s">
        <v>4228</v>
      </c>
      <c r="F232" s="0" t="s">
        <v>4229</v>
      </c>
      <c r="G232" s="0" t="s">
        <v>3645</v>
      </c>
      <c r="H232" s="0" t="s">
        <v>4230</v>
      </c>
      <c r="I232" s="0" t="s">
        <v>4231</v>
      </c>
      <c r="K232" s="0" t="s">
        <v>4232</v>
      </c>
      <c r="L232" s="0" t="s">
        <v>4232</v>
      </c>
      <c r="M232" s="0" t="s">
        <v>240</v>
      </c>
      <c r="N232" s="0" t="s">
        <v>4233</v>
      </c>
      <c r="O232" s="0" t="s">
        <v>4234</v>
      </c>
      <c r="P232" s="0" t="s">
        <v>3613</v>
      </c>
      <c r="Q232" s="0" t="s">
        <v>4235</v>
      </c>
      <c r="R232" s="0" t="b">
        <v>0</v>
      </c>
      <c r="S232" s="0" t="s">
        <v>4822</v>
      </c>
    </row>
    <row customHeight="1" ht="11.25">
      <c r="A233" s="0">
        <v>2655</v>
      </c>
      <c r="B233" s="0" t="s">
        <v>102</v>
      </c>
      <c r="C233" s="0">
        <v>31826293</v>
      </c>
      <c r="D233" s="0" t="s">
        <v>3532</v>
      </c>
      <c r="E233" s="0" t="s">
        <v>3533</v>
      </c>
      <c r="F233" s="0" t="s">
        <v>3534</v>
      </c>
      <c r="G233" s="0" t="s">
        <v>3535</v>
      </c>
      <c r="H233" s="0" t="s">
        <v>3536</v>
      </c>
      <c r="I233" s="0" t="s">
        <v>3537</v>
      </c>
      <c r="K233" s="0" t="s">
        <v>3538</v>
      </c>
      <c r="L233" s="0" t="s">
        <v>3539</v>
      </c>
      <c r="M233" s="0" t="s">
        <v>3540</v>
      </c>
      <c r="N233" s="0" t="s">
        <v>3541</v>
      </c>
      <c r="O233" s="0" t="s">
        <v>3542</v>
      </c>
      <c r="P233" s="0" t="s">
        <v>3543</v>
      </c>
      <c r="Q233" s="0" t="s">
        <v>240</v>
      </c>
      <c r="R233" s="0" t="b">
        <v>0</v>
      </c>
      <c r="S233" s="0" t="s">
        <v>4822</v>
      </c>
    </row>
    <row customHeight="1" ht="11.25">
      <c r="A234" s="0">
        <v>2655</v>
      </c>
      <c r="B234" s="0" t="s">
        <v>102</v>
      </c>
      <c r="C234" s="0">
        <v>28262434</v>
      </c>
      <c r="D234" s="0" t="s">
        <v>4236</v>
      </c>
      <c r="E234" s="0" t="s">
        <v>4237</v>
      </c>
      <c r="F234" s="0" t="s">
        <v>4238</v>
      </c>
      <c r="G234" s="0" t="s">
        <v>4239</v>
      </c>
      <c r="H234" s="0" t="s">
        <v>4240</v>
      </c>
      <c r="I234" s="0" t="s">
        <v>4241</v>
      </c>
      <c r="J234" s="0" t="s">
        <v>3446</v>
      </c>
      <c r="K234" s="0" t="s">
        <v>4242</v>
      </c>
      <c r="L234" s="0" t="s">
        <v>4242</v>
      </c>
      <c r="M234" s="0" t="s">
        <v>4243</v>
      </c>
      <c r="N234" s="0" t="s">
        <v>4244</v>
      </c>
      <c r="O234" s="0" t="s">
        <v>4245</v>
      </c>
      <c r="P234" s="0" t="s">
        <v>145</v>
      </c>
      <c r="Q234" s="0" t="s">
        <v>240</v>
      </c>
      <c r="R234" s="0" t="b">
        <v>0</v>
      </c>
      <c r="S234" s="0" t="s">
        <v>4822</v>
      </c>
    </row>
    <row customHeight="1" ht="11.25">
      <c r="A235" s="0">
        <v>2655</v>
      </c>
      <c r="B235" s="0" t="s">
        <v>102</v>
      </c>
      <c r="C235" s="0">
        <v>31382238</v>
      </c>
      <c r="D235" s="0" t="s">
        <v>4246</v>
      </c>
      <c r="E235" s="0" t="s">
        <v>4247</v>
      </c>
      <c r="F235" s="0" t="s">
        <v>4248</v>
      </c>
      <c r="G235" s="0" t="s">
        <v>4249</v>
      </c>
      <c r="H235" s="0" t="s">
        <v>4250</v>
      </c>
      <c r="I235" s="0" t="s">
        <v>4251</v>
      </c>
      <c r="J235" s="0" t="s">
        <v>4252</v>
      </c>
      <c r="K235" s="0" t="s">
        <v>4253</v>
      </c>
      <c r="L235" s="0" t="s">
        <v>4253</v>
      </c>
      <c r="M235" s="0" t="s">
        <v>4254</v>
      </c>
      <c r="N235" s="0" t="s">
        <v>4255</v>
      </c>
      <c r="O235" s="0" t="s">
        <v>4256</v>
      </c>
      <c r="P235" s="0" t="s">
        <v>4257</v>
      </c>
      <c r="Q235" s="0" t="s">
        <v>240</v>
      </c>
      <c r="R235" s="0" t="b">
        <v>1</v>
      </c>
      <c r="S235" s="0" t="s">
        <v>4822</v>
      </c>
    </row>
    <row customHeight="1" ht="11.25">
      <c r="A236" s="0">
        <v>2655</v>
      </c>
      <c r="B236" s="0" t="s">
        <v>102</v>
      </c>
      <c r="C236" s="0">
        <v>31763194</v>
      </c>
      <c r="D236" s="0" t="s">
        <v>4258</v>
      </c>
      <c r="E236" s="0" t="s">
        <v>4259</v>
      </c>
      <c r="F236" s="0" t="s">
        <v>4260</v>
      </c>
      <c r="G236" s="0" t="s">
        <v>4249</v>
      </c>
      <c r="H236" s="0" t="s">
        <v>4261</v>
      </c>
      <c r="I236" s="0" t="s">
        <v>4262</v>
      </c>
      <c r="K236" s="0" t="s">
        <v>4263</v>
      </c>
      <c r="L236" s="0" t="s">
        <v>4264</v>
      </c>
      <c r="M236" s="0" t="s">
        <v>240</v>
      </c>
      <c r="N236" s="0" t="s">
        <v>4255</v>
      </c>
      <c r="O236" s="0" t="s">
        <v>4265</v>
      </c>
      <c r="P236" s="0" t="s">
        <v>4266</v>
      </c>
      <c r="Q236" s="0" t="s">
        <v>4267</v>
      </c>
      <c r="R236" s="0" t="b">
        <v>1</v>
      </c>
      <c r="S236" s="0" t="s">
        <v>4822</v>
      </c>
    </row>
    <row customHeight="1" ht="11.25">
      <c r="A237" s="0">
        <v>2655</v>
      </c>
      <c r="B237" s="0" t="s">
        <v>102</v>
      </c>
      <c r="C237" s="0">
        <v>26322867</v>
      </c>
      <c r="D237" s="0" t="s">
        <v>3544</v>
      </c>
      <c r="E237" s="0" t="s">
        <v>3545</v>
      </c>
      <c r="F237" s="0" t="s">
        <v>3546</v>
      </c>
      <c r="G237" s="0" t="s">
        <v>3491</v>
      </c>
      <c r="H237" s="0" t="s">
        <v>3547</v>
      </c>
      <c r="I237" s="0" t="s">
        <v>3548</v>
      </c>
      <c r="J237" s="0" t="s">
        <v>3446</v>
      </c>
      <c r="K237" s="0" t="s">
        <v>3549</v>
      </c>
      <c r="L237" s="0" t="s">
        <v>3549</v>
      </c>
      <c r="M237" s="0" t="s">
        <v>3550</v>
      </c>
      <c r="N237" s="0" t="s">
        <v>3551</v>
      </c>
      <c r="O237" s="0" t="s">
        <v>3552</v>
      </c>
      <c r="P237" s="0" t="s">
        <v>145</v>
      </c>
      <c r="Q237" s="0" t="s">
        <v>3553</v>
      </c>
      <c r="R237" s="0" t="b">
        <v>0</v>
      </c>
      <c r="S237" s="0" t="s">
        <v>4822</v>
      </c>
    </row>
    <row customHeight="1" ht="11.25">
      <c r="A238" s="0">
        <v>2655</v>
      </c>
      <c r="B238" s="0" t="s">
        <v>102</v>
      </c>
      <c r="C238" s="0">
        <v>26824396</v>
      </c>
      <c r="D238" s="0" t="s">
        <v>3563</v>
      </c>
      <c r="E238" s="0" t="s">
        <v>3564</v>
      </c>
      <c r="F238" s="0" t="s">
        <v>3524</v>
      </c>
      <c r="G238" s="0" t="s">
        <v>3565</v>
      </c>
      <c r="H238" s="0" t="s">
        <v>3526</v>
      </c>
      <c r="I238" s="0" t="s">
        <v>240</v>
      </c>
      <c r="J238" s="0" t="s">
        <v>3517</v>
      </c>
      <c r="K238" s="0" t="s">
        <v>3566</v>
      </c>
      <c r="L238" s="0" t="s">
        <v>3566</v>
      </c>
      <c r="M238" s="0" t="s">
        <v>3567</v>
      </c>
      <c r="N238" s="0" t="s">
        <v>240</v>
      </c>
      <c r="O238" s="0" t="s">
        <v>3568</v>
      </c>
      <c r="P238" s="0" t="s">
        <v>3562</v>
      </c>
      <c r="Q238" s="0" t="s">
        <v>240</v>
      </c>
      <c r="R238" s="0" t="b">
        <v>0</v>
      </c>
      <c r="S238" s="0" t="s">
        <v>4822</v>
      </c>
    </row>
    <row customHeight="1" ht="11.25">
      <c r="A239" s="0">
        <v>2655</v>
      </c>
      <c r="B239" s="0" t="s">
        <v>102</v>
      </c>
      <c r="C239" s="0">
        <v>30808700</v>
      </c>
      <c r="D239" s="0" t="s">
        <v>3603</v>
      </c>
      <c r="E239" s="0" t="s">
        <v>3604</v>
      </c>
      <c r="F239" s="0" t="s">
        <v>3605</v>
      </c>
      <c r="G239" s="0" t="s">
        <v>3525</v>
      </c>
      <c r="H239" s="0" t="s">
        <v>3606</v>
      </c>
      <c r="I239" s="0" t="s">
        <v>3607</v>
      </c>
      <c r="J239" s="0" t="s">
        <v>3587</v>
      </c>
      <c r="K239" s="0" t="s">
        <v>3608</v>
      </c>
      <c r="L239" s="0" t="s">
        <v>3609</v>
      </c>
      <c r="M239" s="0" t="s">
        <v>3610</v>
      </c>
      <c r="N239" s="0" t="s">
        <v>3611</v>
      </c>
      <c r="O239" s="0" t="s">
        <v>3612</v>
      </c>
      <c r="P239" s="0" t="s">
        <v>3613</v>
      </c>
      <c r="Q239" s="0" t="s">
        <v>240</v>
      </c>
      <c r="R239" s="0" t="b">
        <v>1</v>
      </c>
      <c r="S239" s="0" t="s">
        <v>4822</v>
      </c>
    </row>
    <row customHeight="1" ht="11.25">
      <c r="A240" s="0">
        <v>2655</v>
      </c>
      <c r="B240" s="0" t="s">
        <v>102</v>
      </c>
      <c r="C240" s="0">
        <v>31319221</v>
      </c>
      <c r="D240" s="0" t="s">
        <v>3614</v>
      </c>
      <c r="E240" s="0" t="s">
        <v>3615</v>
      </c>
      <c r="F240" s="0" t="s">
        <v>3616</v>
      </c>
      <c r="G240" s="0" t="s">
        <v>3584</v>
      </c>
      <c r="H240" s="0" t="s">
        <v>3617</v>
      </c>
      <c r="I240" s="0" t="s">
        <v>3618</v>
      </c>
      <c r="J240" s="0" t="s">
        <v>3575</v>
      </c>
      <c r="K240" s="0" t="s">
        <v>3619</v>
      </c>
      <c r="L240" s="0" t="s">
        <v>3619</v>
      </c>
      <c r="M240" s="0" t="s">
        <v>3620</v>
      </c>
      <c r="N240" s="0" t="s">
        <v>3621</v>
      </c>
      <c r="O240" s="0" t="s">
        <v>3622</v>
      </c>
      <c r="P240" s="0" t="s">
        <v>3580</v>
      </c>
      <c r="Q240" s="0" t="s">
        <v>3623</v>
      </c>
      <c r="R240" s="0" t="b">
        <v>0</v>
      </c>
      <c r="S240" s="0" t="s">
        <v>4822</v>
      </c>
    </row>
    <row customHeight="1" ht="11.25">
      <c r="A241" s="0">
        <v>2655</v>
      </c>
      <c r="B241" s="0" t="s">
        <v>102</v>
      </c>
      <c r="C241" s="0">
        <v>31343443</v>
      </c>
      <c r="D241" s="0" t="s">
        <v>3634</v>
      </c>
      <c r="E241" s="0" t="s">
        <v>3635</v>
      </c>
      <c r="F241" s="0" t="s">
        <v>3636</v>
      </c>
      <c r="G241" s="0" t="s">
        <v>3525</v>
      </c>
      <c r="H241" s="0" t="s">
        <v>3637</v>
      </c>
      <c r="I241" s="0" t="s">
        <v>3638</v>
      </c>
      <c r="J241" s="0" t="s">
        <v>3575</v>
      </c>
      <c r="K241" s="0" t="s">
        <v>3639</v>
      </c>
      <c r="L241" s="0" t="s">
        <v>3639</v>
      </c>
      <c r="N241" s="0" t="s">
        <v>3640</v>
      </c>
      <c r="O241" s="0" t="s">
        <v>3641</v>
      </c>
      <c r="P241" s="0" t="s">
        <v>3613</v>
      </c>
      <c r="R241" s="0" t="b">
        <v>0</v>
      </c>
      <c r="S241" s="0" t="s">
        <v>4822</v>
      </c>
    </row>
    <row customHeight="1" ht="11.25">
      <c r="A242" s="0">
        <v>2655</v>
      </c>
      <c r="B242" s="0" t="s">
        <v>102</v>
      </c>
      <c r="C242" s="0">
        <v>31367841</v>
      </c>
      <c r="D242" s="0" t="s">
        <v>3642</v>
      </c>
      <c r="E242" s="0" t="s">
        <v>3643</v>
      </c>
      <c r="F242" s="0" t="s">
        <v>3644</v>
      </c>
      <c r="G242" s="0" t="s">
        <v>3645</v>
      </c>
      <c r="H242" s="0" t="s">
        <v>3646</v>
      </c>
      <c r="I242" s="0" t="s">
        <v>3647</v>
      </c>
      <c r="J242" s="0" t="s">
        <v>3587</v>
      </c>
      <c r="K242" s="0" t="s">
        <v>3648</v>
      </c>
      <c r="L242" s="0" t="s">
        <v>3648</v>
      </c>
      <c r="M242" s="0" t="s">
        <v>240</v>
      </c>
      <c r="N242" s="0" t="s">
        <v>3649</v>
      </c>
      <c r="O242" s="0" t="s">
        <v>3650</v>
      </c>
      <c r="P242" s="0" t="s">
        <v>3580</v>
      </c>
      <c r="Q242" s="0" t="s">
        <v>240</v>
      </c>
      <c r="R242" s="0" t="b">
        <v>0</v>
      </c>
      <c r="S242" s="0" t="s">
        <v>4822</v>
      </c>
    </row>
    <row customHeight="1" ht="11.25">
      <c r="A243" s="0">
        <v>2655</v>
      </c>
      <c r="B243" s="0" t="s">
        <v>102</v>
      </c>
      <c r="C243" s="0">
        <v>31087651</v>
      </c>
      <c r="D243" s="0" t="s">
        <v>3651</v>
      </c>
      <c r="E243" s="0" t="s">
        <v>3652</v>
      </c>
      <c r="F243" s="0" t="s">
        <v>3653</v>
      </c>
      <c r="G243" s="0" t="s">
        <v>3654</v>
      </c>
      <c r="H243" s="0" t="s">
        <v>3655</v>
      </c>
      <c r="I243" s="0" t="s">
        <v>3656</v>
      </c>
      <c r="J243" s="0" t="s">
        <v>3575</v>
      </c>
      <c r="K243" s="0" t="s">
        <v>3657</v>
      </c>
      <c r="L243" s="0" t="s">
        <v>3657</v>
      </c>
      <c r="M243" s="0" t="s">
        <v>3658</v>
      </c>
      <c r="N243" s="0" t="s">
        <v>3659</v>
      </c>
      <c r="O243" s="0" t="s">
        <v>3660</v>
      </c>
      <c r="R243" s="0" t="b">
        <v>0</v>
      </c>
      <c r="S243" s="0" t="s">
        <v>4822</v>
      </c>
    </row>
    <row customHeight="1" ht="11.25">
      <c r="A244" s="0">
        <v>2655</v>
      </c>
      <c r="B244" s="0" t="s">
        <v>102</v>
      </c>
      <c r="C244" s="0">
        <v>31367862</v>
      </c>
      <c r="D244" s="0" t="s">
        <v>3661</v>
      </c>
      <c r="E244" s="0" t="s">
        <v>3662</v>
      </c>
      <c r="F244" s="0" t="s">
        <v>3663</v>
      </c>
      <c r="G244" s="0" t="s">
        <v>3645</v>
      </c>
      <c r="H244" s="0" t="s">
        <v>3664</v>
      </c>
      <c r="I244" s="0" t="s">
        <v>3665</v>
      </c>
      <c r="J244" s="0" t="s">
        <v>3575</v>
      </c>
      <c r="K244" s="0" t="s">
        <v>3666</v>
      </c>
      <c r="L244" s="0" t="s">
        <v>3666</v>
      </c>
      <c r="M244" s="0" t="s">
        <v>240</v>
      </c>
      <c r="N244" s="0" t="s">
        <v>3667</v>
      </c>
      <c r="O244" s="0" t="s">
        <v>3668</v>
      </c>
      <c r="P244" s="0" t="s">
        <v>3580</v>
      </c>
      <c r="Q244" s="0" t="s">
        <v>240</v>
      </c>
      <c r="R244" s="0" t="b">
        <v>0</v>
      </c>
      <c r="S244" s="0" t="s">
        <v>4822</v>
      </c>
    </row>
    <row customHeight="1" ht="11.25">
      <c r="A245" s="0">
        <v>2655</v>
      </c>
      <c r="B245" s="0" t="s">
        <v>102</v>
      </c>
      <c r="C245" s="0">
        <v>31085797</v>
      </c>
      <c r="D245" s="0" t="s">
        <v>4268</v>
      </c>
      <c r="E245" s="0" t="s">
        <v>4269</v>
      </c>
      <c r="F245" s="0" t="s">
        <v>4270</v>
      </c>
      <c r="G245" s="0" t="s">
        <v>3470</v>
      </c>
      <c r="H245" s="0" t="s">
        <v>4271</v>
      </c>
      <c r="I245" s="0" t="s">
        <v>4272</v>
      </c>
      <c r="J245" s="0" t="s">
        <v>3587</v>
      </c>
      <c r="K245" s="0" t="s">
        <v>4273</v>
      </c>
      <c r="L245" s="0" t="s">
        <v>4274</v>
      </c>
      <c r="M245" s="0" t="s">
        <v>4275</v>
      </c>
      <c r="N245" s="0" t="s">
        <v>4276</v>
      </c>
      <c r="O245" s="0" t="s">
        <v>4277</v>
      </c>
      <c r="P245" s="0" t="s">
        <v>3580</v>
      </c>
      <c r="Q245" s="0" t="s">
        <v>240</v>
      </c>
      <c r="R245" s="0" t="b">
        <v>1</v>
      </c>
      <c r="S245" s="0" t="s">
        <v>4822</v>
      </c>
    </row>
    <row customHeight="1" ht="11.25">
      <c r="A246" s="0">
        <v>2655</v>
      </c>
      <c r="B246" s="0" t="s">
        <v>102</v>
      </c>
      <c r="C246" s="0">
        <v>26486390</v>
      </c>
      <c r="D246" s="0" t="s">
        <v>3669</v>
      </c>
      <c r="E246" s="0" t="s">
        <v>3670</v>
      </c>
      <c r="F246" s="0" t="s">
        <v>3671</v>
      </c>
      <c r="G246" s="0" t="s">
        <v>3672</v>
      </c>
      <c r="H246" s="0" t="s">
        <v>3673</v>
      </c>
      <c r="I246" s="0" t="s">
        <v>3674</v>
      </c>
      <c r="J246" s="0" t="s">
        <v>3587</v>
      </c>
      <c r="K246" s="0" t="s">
        <v>3675</v>
      </c>
      <c r="L246" s="0" t="s">
        <v>3675</v>
      </c>
      <c r="M246" s="0" t="s">
        <v>3676</v>
      </c>
      <c r="N246" s="0" t="s">
        <v>3677</v>
      </c>
      <c r="O246" s="0" t="s">
        <v>3678</v>
      </c>
      <c r="P246" s="0" t="s">
        <v>3679</v>
      </c>
      <c r="Q246" s="0" t="s">
        <v>240</v>
      </c>
      <c r="R246" s="0" t="b">
        <v>0</v>
      </c>
      <c r="S246" s="0" t="s">
        <v>4822</v>
      </c>
    </row>
    <row customHeight="1" ht="11.25">
      <c r="A247" s="0">
        <v>2655</v>
      </c>
      <c r="B247" s="0" t="s">
        <v>102</v>
      </c>
      <c r="C247" s="0">
        <v>31187282</v>
      </c>
      <c r="D247" s="0" t="s">
        <v>4278</v>
      </c>
      <c r="E247" s="0" t="s">
        <v>4279</v>
      </c>
      <c r="F247" s="0" t="s">
        <v>4280</v>
      </c>
      <c r="G247" s="0" t="s">
        <v>3481</v>
      </c>
      <c r="H247" s="0" t="s">
        <v>4281</v>
      </c>
      <c r="I247" s="0" t="s">
        <v>4282</v>
      </c>
      <c r="J247" s="0" t="s">
        <v>3587</v>
      </c>
      <c r="K247" s="0" t="s">
        <v>4283</v>
      </c>
      <c r="L247" s="0" t="s">
        <v>4283</v>
      </c>
      <c r="M247" s="0" t="s">
        <v>240</v>
      </c>
      <c r="N247" s="0" t="s">
        <v>4284</v>
      </c>
      <c r="O247" s="0" t="s">
        <v>4285</v>
      </c>
      <c r="P247" s="0" t="s">
        <v>3580</v>
      </c>
      <c r="Q247" s="0" t="s">
        <v>240</v>
      </c>
      <c r="R247" s="0" t="b">
        <v>0</v>
      </c>
      <c r="S247" s="0" t="s">
        <v>4822</v>
      </c>
    </row>
    <row customHeight="1" ht="11.25">
      <c r="A248" s="0">
        <v>2655</v>
      </c>
      <c r="B248" s="0" t="s">
        <v>102</v>
      </c>
      <c r="C248" s="0">
        <v>31308226</v>
      </c>
      <c r="D248" s="0" t="s">
        <v>3701</v>
      </c>
      <c r="E248" s="0" t="s">
        <v>3702</v>
      </c>
      <c r="F248" s="0" t="s">
        <v>3703</v>
      </c>
      <c r="G248" s="0" t="s">
        <v>3704</v>
      </c>
      <c r="H248" s="0" t="s">
        <v>3705</v>
      </c>
      <c r="I248" s="0" t="s">
        <v>3706</v>
      </c>
      <c r="J248" s="0" t="s">
        <v>3587</v>
      </c>
      <c r="K248" s="0" t="s">
        <v>3707</v>
      </c>
      <c r="L248" s="0" t="s">
        <v>3707</v>
      </c>
      <c r="M248" s="0" t="s">
        <v>3708</v>
      </c>
      <c r="N248" s="0" t="s">
        <v>3709</v>
      </c>
      <c r="O248" s="0" t="s">
        <v>3710</v>
      </c>
      <c r="P248" s="0" t="s">
        <v>3613</v>
      </c>
      <c r="Q248" s="0" t="s">
        <v>240</v>
      </c>
      <c r="R248" s="0" t="b">
        <v>1</v>
      </c>
      <c r="S248" s="0" t="s">
        <v>4822</v>
      </c>
    </row>
    <row customHeight="1" ht="11.25">
      <c r="A249" s="0">
        <v>2655</v>
      </c>
      <c r="B249" s="0" t="s">
        <v>102</v>
      </c>
      <c r="C249" s="0">
        <v>31284269</v>
      </c>
      <c r="D249" s="0" t="s">
        <v>3711</v>
      </c>
      <c r="E249" s="0" t="s">
        <v>3712</v>
      </c>
      <c r="F249" s="0" t="s">
        <v>3713</v>
      </c>
      <c r="G249" s="0" t="s">
        <v>3654</v>
      </c>
      <c r="H249" s="0" t="s">
        <v>3714</v>
      </c>
      <c r="I249" s="0" t="s">
        <v>3715</v>
      </c>
      <c r="J249" s="0" t="s">
        <v>3587</v>
      </c>
      <c r="K249" s="0" t="s">
        <v>3716</v>
      </c>
      <c r="L249" s="0" t="s">
        <v>3717</v>
      </c>
      <c r="M249" s="0" t="s">
        <v>3718</v>
      </c>
      <c r="N249" s="0" t="s">
        <v>3719</v>
      </c>
      <c r="O249" s="0" t="s">
        <v>3720</v>
      </c>
      <c r="P249" s="0" t="s">
        <v>3580</v>
      </c>
      <c r="Q249" s="0" t="s">
        <v>240</v>
      </c>
      <c r="R249" s="0" t="b">
        <v>0</v>
      </c>
      <c r="S249" s="0" t="s">
        <v>4822</v>
      </c>
    </row>
    <row customHeight="1" ht="11.25">
      <c r="A250" s="0">
        <v>2655</v>
      </c>
      <c r="B250" s="0" t="s">
        <v>102</v>
      </c>
      <c r="C250" s="0">
        <v>31159389</v>
      </c>
      <c r="D250" s="0" t="s">
        <v>4286</v>
      </c>
      <c r="E250" s="0" t="s">
        <v>4287</v>
      </c>
      <c r="F250" s="0" t="s">
        <v>4288</v>
      </c>
      <c r="G250" s="0" t="s">
        <v>3595</v>
      </c>
      <c r="H250" s="0" t="s">
        <v>4289</v>
      </c>
      <c r="I250" s="0" t="s">
        <v>4290</v>
      </c>
      <c r="J250" s="0" t="s">
        <v>3587</v>
      </c>
      <c r="K250" s="0" t="s">
        <v>4291</v>
      </c>
      <c r="L250" s="0" t="s">
        <v>4292</v>
      </c>
      <c r="M250" s="0" t="s">
        <v>4293</v>
      </c>
      <c r="N250" s="0" t="s">
        <v>4294</v>
      </c>
      <c r="O250" s="0" t="s">
        <v>4295</v>
      </c>
      <c r="P250" s="0" t="s">
        <v>3580</v>
      </c>
      <c r="Q250" s="0" t="s">
        <v>240</v>
      </c>
      <c r="R250" s="0" t="b">
        <v>0</v>
      </c>
      <c r="S250" s="0" t="s">
        <v>4822</v>
      </c>
    </row>
    <row customHeight="1" ht="11.25">
      <c r="A251" s="0">
        <v>2655</v>
      </c>
      <c r="B251" s="0" t="s">
        <v>102</v>
      </c>
      <c r="C251" s="0">
        <v>26322895</v>
      </c>
      <c r="D251" s="0" t="s">
        <v>112</v>
      </c>
      <c r="E251" s="0" t="s">
        <v>115</v>
      </c>
      <c r="F251" s="0" t="s">
        <v>121</v>
      </c>
      <c r="G251" s="0" t="s">
        <v>123</v>
      </c>
      <c r="H251" s="0" t="s">
        <v>119</v>
      </c>
      <c r="I251" s="0" t="s">
        <v>125</v>
      </c>
      <c r="J251" s="0" t="s">
        <v>3517</v>
      </c>
      <c r="K251" s="0" t="s">
        <v>131</v>
      </c>
      <c r="L251" s="0" t="s">
        <v>131</v>
      </c>
      <c r="M251" s="0" t="s">
        <v>136</v>
      </c>
      <c r="N251" s="0" t="s">
        <v>139</v>
      </c>
      <c r="O251" s="0" t="s">
        <v>142</v>
      </c>
      <c r="P251" s="0" t="s">
        <v>145</v>
      </c>
      <c r="Q251" s="0" t="s">
        <v>148</v>
      </c>
      <c r="R251" s="0" t="b">
        <v>0</v>
      </c>
      <c r="S251" s="0" t="s">
        <v>4822</v>
      </c>
    </row>
    <row customHeight="1" ht="11.25">
      <c r="A252" s="0">
        <v>2655</v>
      </c>
      <c r="B252" s="0" t="s">
        <v>102</v>
      </c>
      <c r="C252" s="0">
        <v>26356930</v>
      </c>
      <c r="D252" s="0" t="s">
        <v>4296</v>
      </c>
      <c r="E252" s="0" t="s">
        <v>4297</v>
      </c>
      <c r="F252" s="0" t="s">
        <v>4298</v>
      </c>
      <c r="G252" s="0" t="s">
        <v>3752</v>
      </c>
      <c r="H252" s="0" t="s">
        <v>4299</v>
      </c>
      <c r="I252" s="0" t="s">
        <v>4300</v>
      </c>
      <c r="J252" s="0" t="s">
        <v>3745</v>
      </c>
      <c r="K252" s="0" t="s">
        <v>4301</v>
      </c>
      <c r="L252" s="0" t="s">
        <v>4301</v>
      </c>
      <c r="M252" s="0" t="s">
        <v>4302</v>
      </c>
      <c r="N252" s="0" t="s">
        <v>240</v>
      </c>
      <c r="O252" s="0" t="s">
        <v>4303</v>
      </c>
      <c r="P252" s="0" t="s">
        <v>3580</v>
      </c>
      <c r="Q252" s="0" t="s">
        <v>240</v>
      </c>
      <c r="R252" s="0" t="b">
        <v>1</v>
      </c>
      <c r="S252" s="0" t="s">
        <v>4822</v>
      </c>
    </row>
    <row customHeight="1" ht="11.25">
      <c r="A253" s="0">
        <v>2655</v>
      </c>
      <c r="B253" s="0" t="s">
        <v>102</v>
      </c>
      <c r="C253" s="0">
        <v>30843704</v>
      </c>
      <c r="D253" s="0" t="s">
        <v>4304</v>
      </c>
      <c r="E253" s="0" t="s">
        <v>4305</v>
      </c>
      <c r="F253" s="0" t="s">
        <v>4306</v>
      </c>
      <c r="G253" s="0" t="s">
        <v>123</v>
      </c>
      <c r="H253" s="0" t="s">
        <v>4307</v>
      </c>
      <c r="I253" s="0" t="s">
        <v>4308</v>
      </c>
      <c r="J253" s="0" t="s">
        <v>3745</v>
      </c>
      <c r="K253" s="0" t="s">
        <v>4309</v>
      </c>
      <c r="L253" s="0" t="s">
        <v>4310</v>
      </c>
      <c r="M253" s="0" t="s">
        <v>240</v>
      </c>
      <c r="N253" s="0" t="s">
        <v>4311</v>
      </c>
      <c r="O253" s="0" t="s">
        <v>4312</v>
      </c>
      <c r="P253" s="0" t="s">
        <v>145</v>
      </c>
      <c r="Q253" s="0" t="s">
        <v>240</v>
      </c>
      <c r="R253" s="0" t="b">
        <v>0</v>
      </c>
      <c r="S253" s="0" t="s">
        <v>4822</v>
      </c>
    </row>
    <row customHeight="1" ht="11.25">
      <c r="A254" s="0">
        <v>2655</v>
      </c>
      <c r="B254" s="0" t="s">
        <v>102</v>
      </c>
      <c r="C254" s="0">
        <v>26798812</v>
      </c>
      <c r="D254" s="0" t="s">
        <v>4313</v>
      </c>
      <c r="E254" s="0" t="s">
        <v>4314</v>
      </c>
      <c r="F254" s="0" t="s">
        <v>4315</v>
      </c>
      <c r="G254" s="0" t="s">
        <v>3470</v>
      </c>
      <c r="H254" s="0" t="s">
        <v>4316</v>
      </c>
      <c r="I254" s="0" t="s">
        <v>4317</v>
      </c>
      <c r="J254" s="0" t="s">
        <v>3745</v>
      </c>
      <c r="K254" s="0" t="s">
        <v>4318</v>
      </c>
      <c r="L254" s="0" t="s">
        <v>4318</v>
      </c>
      <c r="M254" s="0" t="s">
        <v>4319</v>
      </c>
      <c r="N254" s="0" t="s">
        <v>4320</v>
      </c>
      <c r="O254" s="0" t="s">
        <v>4321</v>
      </c>
      <c r="P254" s="0" t="s">
        <v>145</v>
      </c>
      <c r="Q254" s="0" t="s">
        <v>4322</v>
      </c>
      <c r="R254" s="0" t="b">
        <v>0</v>
      </c>
      <c r="S254" s="0" t="s">
        <v>4822</v>
      </c>
    </row>
    <row customHeight="1" ht="11.25">
      <c r="A255" s="0">
        <v>2655</v>
      </c>
      <c r="B255" s="0" t="s">
        <v>102</v>
      </c>
      <c r="C255" s="0">
        <v>31775146</v>
      </c>
      <c r="D255" s="0" t="s">
        <v>3749</v>
      </c>
      <c r="E255" s="0" t="s">
        <v>3750</v>
      </c>
      <c r="F255" s="0" t="s">
        <v>3751</v>
      </c>
      <c r="G255" s="0" t="s">
        <v>3752</v>
      </c>
      <c r="H255" s="0" t="s">
        <v>3753</v>
      </c>
      <c r="I255" s="0" t="s">
        <v>3754</v>
      </c>
      <c r="K255" s="0" t="s">
        <v>3755</v>
      </c>
      <c r="L255" s="0" t="s">
        <v>3755</v>
      </c>
      <c r="M255" s="0" t="s">
        <v>3756</v>
      </c>
      <c r="N255" s="0" t="s">
        <v>3757</v>
      </c>
      <c r="O255" s="0" t="s">
        <v>3758</v>
      </c>
      <c r="P255" s="0" t="s">
        <v>3613</v>
      </c>
      <c r="Q255" s="0" t="s">
        <v>240</v>
      </c>
      <c r="R255" s="0" t="b">
        <v>1</v>
      </c>
      <c r="S255" s="0" t="s">
        <v>4822</v>
      </c>
    </row>
    <row customHeight="1" ht="11.25">
      <c r="A256" s="0">
        <v>2655</v>
      </c>
      <c r="B256" s="0" t="s">
        <v>102</v>
      </c>
      <c r="C256" s="0">
        <v>28873685</v>
      </c>
      <c r="D256" s="0" t="s">
        <v>4323</v>
      </c>
      <c r="E256" s="0" t="s">
        <v>4324</v>
      </c>
      <c r="F256" s="0" t="s">
        <v>4325</v>
      </c>
      <c r="G256" s="0" t="s">
        <v>3752</v>
      </c>
      <c r="H256" s="0" t="s">
        <v>4326</v>
      </c>
      <c r="I256" s="0" t="s">
        <v>4327</v>
      </c>
      <c r="J256" s="0" t="s">
        <v>3745</v>
      </c>
      <c r="K256" s="0" t="s">
        <v>4328</v>
      </c>
      <c r="L256" s="0" t="s">
        <v>4328</v>
      </c>
      <c r="M256" s="0" t="s">
        <v>4329</v>
      </c>
      <c r="N256" s="0" t="s">
        <v>3757</v>
      </c>
      <c r="O256" s="0" t="s">
        <v>3758</v>
      </c>
      <c r="P256" s="0" t="s">
        <v>145</v>
      </c>
      <c r="Q256" s="0" t="s">
        <v>4330</v>
      </c>
      <c r="R256" s="0" t="b">
        <v>1</v>
      </c>
      <c r="S256" s="0" t="s">
        <v>4822</v>
      </c>
    </row>
    <row customHeight="1" ht="11.25">
      <c r="A257" s="0">
        <v>2655</v>
      </c>
      <c r="B257" s="0" t="s">
        <v>102</v>
      </c>
      <c r="C257" s="0">
        <v>28869965</v>
      </c>
      <c r="D257" s="0" t="s">
        <v>3759</v>
      </c>
      <c r="E257" s="0" t="s">
        <v>3760</v>
      </c>
      <c r="F257" s="0" t="s">
        <v>3761</v>
      </c>
      <c r="G257" s="0" t="s">
        <v>3572</v>
      </c>
      <c r="H257" s="0" t="s">
        <v>3762</v>
      </c>
      <c r="I257" s="0" t="s">
        <v>240</v>
      </c>
      <c r="J257" s="0" t="s">
        <v>3745</v>
      </c>
      <c r="K257" s="0" t="s">
        <v>3763</v>
      </c>
      <c r="L257" s="0" t="s">
        <v>3763</v>
      </c>
      <c r="M257" s="0" t="s">
        <v>3764</v>
      </c>
      <c r="N257" s="0" t="s">
        <v>3765</v>
      </c>
      <c r="O257" s="0" t="s">
        <v>3766</v>
      </c>
      <c r="P257" s="0" t="s">
        <v>145</v>
      </c>
      <c r="Q257" s="0" t="s">
        <v>3767</v>
      </c>
      <c r="R257" s="0" t="b">
        <v>0</v>
      </c>
      <c r="S257" s="0" t="s">
        <v>4822</v>
      </c>
    </row>
    <row customHeight="1" ht="11.25">
      <c r="A258" s="0">
        <v>2655</v>
      </c>
      <c r="B258" s="0" t="s">
        <v>102</v>
      </c>
      <c r="C258" s="0">
        <v>31245446</v>
      </c>
      <c r="D258" s="0" t="s">
        <v>4331</v>
      </c>
      <c r="E258" s="0" t="s">
        <v>4332</v>
      </c>
      <c r="F258" s="0" t="s">
        <v>4333</v>
      </c>
      <c r="G258" s="0" t="s">
        <v>4334</v>
      </c>
      <c r="H258" s="0" t="s">
        <v>4335</v>
      </c>
      <c r="I258" s="0" t="s">
        <v>4336</v>
      </c>
      <c r="J258" s="0" t="s">
        <v>3745</v>
      </c>
      <c r="K258" s="0" t="s">
        <v>4337</v>
      </c>
      <c r="L258" s="0" t="s">
        <v>4338</v>
      </c>
      <c r="M258" s="0" t="s">
        <v>4339</v>
      </c>
      <c r="N258" s="0" t="s">
        <v>4340</v>
      </c>
      <c r="O258" s="0" t="s">
        <v>4341</v>
      </c>
      <c r="P258" s="0" t="s">
        <v>3580</v>
      </c>
      <c r="Q258" s="0" t="s">
        <v>240</v>
      </c>
      <c r="R258" s="0" t="b">
        <v>0</v>
      </c>
      <c r="S258" s="0" t="s">
        <v>4822</v>
      </c>
    </row>
    <row customHeight="1" ht="11.25">
      <c r="A259" s="0">
        <v>2655</v>
      </c>
      <c r="B259" s="0" t="s">
        <v>102</v>
      </c>
      <c r="C259" s="0">
        <v>26476793</v>
      </c>
      <c r="D259" s="0" t="s">
        <v>4342</v>
      </c>
      <c r="E259" s="0" t="s">
        <v>4343</v>
      </c>
      <c r="F259" s="0" t="s">
        <v>4344</v>
      </c>
      <c r="G259" s="0" t="s">
        <v>4239</v>
      </c>
      <c r="H259" s="0" t="s">
        <v>4345</v>
      </c>
      <c r="I259" s="0" t="s">
        <v>4346</v>
      </c>
      <c r="J259" s="0" t="s">
        <v>3745</v>
      </c>
      <c r="K259" s="0" t="s">
        <v>4347</v>
      </c>
      <c r="L259" s="0" t="s">
        <v>4347</v>
      </c>
      <c r="M259" s="0" t="s">
        <v>4348</v>
      </c>
      <c r="N259" s="0" t="s">
        <v>4349</v>
      </c>
      <c r="O259" s="0" t="s">
        <v>4350</v>
      </c>
      <c r="P259" s="0" t="s">
        <v>3580</v>
      </c>
      <c r="Q259" s="0" t="s">
        <v>152</v>
      </c>
      <c r="R259" s="0" t="b">
        <v>1</v>
      </c>
      <c r="S259" s="0" t="s">
        <v>4822</v>
      </c>
    </row>
    <row customHeight="1" ht="11.25">
      <c r="A260" s="0">
        <v>2655</v>
      </c>
      <c r="B260" s="0" t="s">
        <v>102</v>
      </c>
      <c r="C260" s="0">
        <v>28509720</v>
      </c>
      <c r="D260" s="0" t="s">
        <v>4351</v>
      </c>
      <c r="E260" s="0" t="s">
        <v>4352</v>
      </c>
      <c r="F260" s="0" t="s">
        <v>4353</v>
      </c>
      <c r="G260" s="0" t="s">
        <v>4354</v>
      </c>
      <c r="H260" s="0" t="s">
        <v>4355</v>
      </c>
      <c r="I260" s="0" t="s">
        <v>4356</v>
      </c>
      <c r="J260" s="0" t="s">
        <v>3745</v>
      </c>
      <c r="K260" s="0" t="s">
        <v>4357</v>
      </c>
      <c r="L260" s="0" t="s">
        <v>4358</v>
      </c>
      <c r="M260" s="0" t="s">
        <v>4359</v>
      </c>
      <c r="N260" s="0" t="s">
        <v>240</v>
      </c>
      <c r="O260" s="0" t="s">
        <v>4360</v>
      </c>
      <c r="P260" s="0" t="s">
        <v>145</v>
      </c>
      <c r="Q260" s="0" t="s">
        <v>240</v>
      </c>
      <c r="R260" s="0" t="b">
        <v>0</v>
      </c>
      <c r="S260" s="0" t="s">
        <v>4822</v>
      </c>
    </row>
    <row customHeight="1" ht="11.25">
      <c r="A261" s="0">
        <v>2655</v>
      </c>
      <c r="B261" s="0" t="s">
        <v>102</v>
      </c>
      <c r="C261" s="0">
        <v>31527562</v>
      </c>
      <c r="D261" s="0" t="s">
        <v>4361</v>
      </c>
      <c r="E261" s="0" t="s">
        <v>4362</v>
      </c>
      <c r="F261" s="0" t="s">
        <v>4363</v>
      </c>
      <c r="G261" s="0" t="s">
        <v>4364</v>
      </c>
      <c r="H261" s="0" t="s">
        <v>4365</v>
      </c>
      <c r="I261" s="0" t="s">
        <v>4366</v>
      </c>
      <c r="K261" s="0" t="s">
        <v>4367</v>
      </c>
      <c r="L261" s="0" t="s">
        <v>4368</v>
      </c>
      <c r="M261" s="0" t="s">
        <v>240</v>
      </c>
      <c r="N261" s="0" t="s">
        <v>240</v>
      </c>
      <c r="O261" s="0" t="s">
        <v>4369</v>
      </c>
      <c r="P261" s="0" t="s">
        <v>240</v>
      </c>
      <c r="Q261" s="0" t="s">
        <v>240</v>
      </c>
      <c r="R261" s="0" t="b">
        <v>0</v>
      </c>
      <c r="S261" s="0" t="s">
        <v>4822</v>
      </c>
    </row>
    <row customHeight="1" ht="11.25">
      <c r="A262" s="0">
        <v>2655</v>
      </c>
      <c r="B262" s="0" t="s">
        <v>102</v>
      </c>
      <c r="C262" s="0">
        <v>31874557</v>
      </c>
      <c r="D262" s="0" t="s">
        <v>4370</v>
      </c>
      <c r="E262" s="0" t="s">
        <v>4371</v>
      </c>
      <c r="F262" s="0" t="s">
        <v>4372</v>
      </c>
      <c r="G262" s="0" t="s">
        <v>3704</v>
      </c>
      <c r="H262" s="0" t="s">
        <v>4373</v>
      </c>
      <c r="I262" s="0" t="s">
        <v>4374</v>
      </c>
      <c r="K262" s="0" t="s">
        <v>4375</v>
      </c>
      <c r="L262" s="0" t="s">
        <v>4375</v>
      </c>
      <c r="M262" s="0" t="s">
        <v>4376</v>
      </c>
      <c r="N262" s="0" t="s">
        <v>4377</v>
      </c>
      <c r="O262" s="0" t="s">
        <v>4378</v>
      </c>
      <c r="P262" s="0" t="s">
        <v>145</v>
      </c>
      <c r="Q262" s="0" t="s">
        <v>240</v>
      </c>
      <c r="R262" s="0" t="b">
        <v>1</v>
      </c>
      <c r="S262" s="0" t="s">
        <v>4822</v>
      </c>
    </row>
    <row customHeight="1" ht="11.25">
      <c r="A263" s="0">
        <v>2655</v>
      </c>
      <c r="B263" s="0" t="s">
        <v>102</v>
      </c>
      <c r="C263" s="0">
        <v>31656254</v>
      </c>
      <c r="D263" s="0" t="s">
        <v>3798</v>
      </c>
      <c r="E263" s="0" t="s">
        <v>3799</v>
      </c>
      <c r="F263" s="0" t="s">
        <v>3800</v>
      </c>
      <c r="G263" s="0" t="s">
        <v>3801</v>
      </c>
      <c r="H263" s="0" t="s">
        <v>3802</v>
      </c>
      <c r="I263" s="0" t="s">
        <v>3803</v>
      </c>
      <c r="K263" s="0" t="s">
        <v>3804</v>
      </c>
      <c r="L263" s="0" t="s">
        <v>3805</v>
      </c>
      <c r="M263" s="0" t="s">
        <v>3806</v>
      </c>
      <c r="N263" s="0" t="s">
        <v>3807</v>
      </c>
      <c r="O263" s="0" t="s">
        <v>3808</v>
      </c>
      <c r="P263" s="0" t="s">
        <v>3580</v>
      </c>
      <c r="Q263" s="0" t="s">
        <v>3809</v>
      </c>
      <c r="R263" s="0" t="b">
        <v>0</v>
      </c>
      <c r="S263" s="0" t="s">
        <v>4822</v>
      </c>
    </row>
    <row customHeight="1" ht="11.25">
      <c r="A264" s="0">
        <v>2655</v>
      </c>
      <c r="B264" s="0" t="s">
        <v>102</v>
      </c>
      <c r="C264" s="0">
        <v>26356927</v>
      </c>
      <c r="D264" s="0" t="s">
        <v>4379</v>
      </c>
      <c r="E264" s="0" t="s">
        <v>4380</v>
      </c>
      <c r="F264" s="0" t="s">
        <v>4381</v>
      </c>
      <c r="G264" s="0" t="s">
        <v>3752</v>
      </c>
      <c r="H264" s="0" t="s">
        <v>4382</v>
      </c>
      <c r="I264" s="0" t="s">
        <v>4383</v>
      </c>
      <c r="J264" s="0" t="s">
        <v>3745</v>
      </c>
      <c r="K264" s="0" t="s">
        <v>4384</v>
      </c>
      <c r="L264" s="0" t="s">
        <v>4384</v>
      </c>
      <c r="M264" s="0" t="s">
        <v>4385</v>
      </c>
      <c r="N264" s="0" t="s">
        <v>4386</v>
      </c>
      <c r="O264" s="0" t="s">
        <v>4387</v>
      </c>
      <c r="P264" s="0" t="s">
        <v>3613</v>
      </c>
      <c r="Q264" s="0" t="s">
        <v>240</v>
      </c>
      <c r="R264" s="0" t="b">
        <v>1</v>
      </c>
      <c r="S264" s="0" t="s">
        <v>4822</v>
      </c>
    </row>
    <row customHeight="1" ht="11.25">
      <c r="A265" s="0">
        <v>2655</v>
      </c>
      <c r="B265" s="0" t="s">
        <v>102</v>
      </c>
      <c r="C265" s="0">
        <v>28878273</v>
      </c>
      <c r="D265" s="0" t="s">
        <v>4388</v>
      </c>
      <c r="E265" s="0" t="s">
        <v>4389</v>
      </c>
      <c r="F265" s="0" t="s">
        <v>4390</v>
      </c>
      <c r="G265" s="0" t="s">
        <v>123</v>
      </c>
      <c r="H265" s="0" t="s">
        <v>4391</v>
      </c>
      <c r="I265" s="0" t="s">
        <v>240</v>
      </c>
      <c r="J265" s="0" t="s">
        <v>3745</v>
      </c>
      <c r="K265" s="0" t="s">
        <v>4392</v>
      </c>
      <c r="L265" s="0" t="s">
        <v>4393</v>
      </c>
      <c r="M265" s="0" t="s">
        <v>4394</v>
      </c>
      <c r="N265" s="0" t="s">
        <v>4395</v>
      </c>
      <c r="O265" s="0" t="s">
        <v>4396</v>
      </c>
      <c r="P265" s="0" t="s">
        <v>145</v>
      </c>
      <c r="Q265" s="0" t="s">
        <v>4397</v>
      </c>
      <c r="R265" s="0" t="b">
        <v>0</v>
      </c>
      <c r="S265" s="0" t="s">
        <v>4822</v>
      </c>
    </row>
    <row customHeight="1" ht="11.25">
      <c r="A266" s="0">
        <v>2655</v>
      </c>
      <c r="B266" s="0" t="s">
        <v>102</v>
      </c>
      <c r="C266" s="0">
        <v>26562805</v>
      </c>
      <c r="D266" s="0" t="s">
        <v>4398</v>
      </c>
      <c r="E266" s="0" t="s">
        <v>4399</v>
      </c>
      <c r="F266" s="0" t="s">
        <v>4400</v>
      </c>
      <c r="G266" s="0" t="s">
        <v>3672</v>
      </c>
      <c r="H266" s="0" t="s">
        <v>4401</v>
      </c>
      <c r="I266" s="0" t="s">
        <v>4402</v>
      </c>
      <c r="J266" s="0" t="s">
        <v>3745</v>
      </c>
      <c r="K266" s="0" t="s">
        <v>4403</v>
      </c>
      <c r="L266" s="0" t="s">
        <v>4403</v>
      </c>
      <c r="M266" s="0" t="s">
        <v>4404</v>
      </c>
      <c r="N266" s="0" t="s">
        <v>4405</v>
      </c>
      <c r="O266" s="0" t="s">
        <v>4406</v>
      </c>
      <c r="P266" s="0" t="s">
        <v>3580</v>
      </c>
      <c r="Q266" s="0" t="s">
        <v>4407</v>
      </c>
      <c r="R266" s="0" t="b">
        <v>0</v>
      </c>
      <c r="S266" s="0" t="s">
        <v>4822</v>
      </c>
    </row>
    <row customHeight="1" ht="11.25">
      <c r="A267" s="0">
        <v>2655</v>
      </c>
      <c r="B267" s="0" t="s">
        <v>102</v>
      </c>
      <c r="C267" s="0">
        <v>31684090</v>
      </c>
      <c r="D267" s="0" t="s">
        <v>4408</v>
      </c>
      <c r="E267" s="0" t="s">
        <v>4409</v>
      </c>
      <c r="F267" s="0" t="s">
        <v>4410</v>
      </c>
      <c r="G267" s="0" t="s">
        <v>123</v>
      </c>
      <c r="H267" s="0" t="s">
        <v>4411</v>
      </c>
      <c r="I267" s="0" t="s">
        <v>4412</v>
      </c>
      <c r="K267" s="0" t="s">
        <v>4413</v>
      </c>
      <c r="L267" s="0" t="s">
        <v>4414</v>
      </c>
      <c r="M267" s="0" t="s">
        <v>240</v>
      </c>
      <c r="N267" s="0" t="s">
        <v>240</v>
      </c>
      <c r="O267" s="0" t="s">
        <v>4415</v>
      </c>
      <c r="P267" s="0" t="s">
        <v>3465</v>
      </c>
      <c r="Q267" s="0" t="s">
        <v>4416</v>
      </c>
      <c r="R267" s="0" t="b">
        <v>0</v>
      </c>
      <c r="S267" s="0" t="s">
        <v>4822</v>
      </c>
    </row>
    <row customHeight="1" ht="11.25">
      <c r="A268" s="0">
        <v>2655</v>
      </c>
      <c r="B268" s="0" t="s">
        <v>102</v>
      </c>
      <c r="C268" s="0">
        <v>27997588</v>
      </c>
      <c r="D268" s="0" t="s">
        <v>4417</v>
      </c>
      <c r="E268" s="0" t="s">
        <v>4418</v>
      </c>
      <c r="F268" s="0" t="s">
        <v>4419</v>
      </c>
      <c r="G268" s="0" t="s">
        <v>3572</v>
      </c>
      <c r="H268" s="0" t="s">
        <v>4420</v>
      </c>
      <c r="I268" s="0" t="s">
        <v>4421</v>
      </c>
      <c r="J268" s="0" t="s">
        <v>3745</v>
      </c>
      <c r="K268" s="0" t="s">
        <v>4422</v>
      </c>
      <c r="L268" s="0" t="s">
        <v>4422</v>
      </c>
      <c r="M268" s="0" t="s">
        <v>4423</v>
      </c>
      <c r="N268" s="0" t="s">
        <v>4424</v>
      </c>
      <c r="O268" s="0" t="s">
        <v>4425</v>
      </c>
      <c r="P268" s="0" t="s">
        <v>4426</v>
      </c>
      <c r="Q268" s="0" t="s">
        <v>240</v>
      </c>
      <c r="R268" s="0" t="b">
        <v>0</v>
      </c>
      <c r="S268" s="0" t="s">
        <v>4822</v>
      </c>
    </row>
    <row customHeight="1" ht="11.25">
      <c r="A269" s="0">
        <v>2655</v>
      </c>
      <c r="B269" s="0" t="s">
        <v>102</v>
      </c>
      <c r="C269" s="0">
        <v>28882034</v>
      </c>
      <c r="D269" s="0" t="s">
        <v>4427</v>
      </c>
      <c r="E269" s="0" t="s">
        <v>4428</v>
      </c>
      <c r="F269" s="0" t="s">
        <v>4429</v>
      </c>
      <c r="G269" s="0" t="s">
        <v>123</v>
      </c>
      <c r="H269" s="0" t="s">
        <v>4430</v>
      </c>
      <c r="I269" s="0" t="s">
        <v>240</v>
      </c>
      <c r="J269" s="0" t="s">
        <v>3745</v>
      </c>
      <c r="K269" s="0" t="s">
        <v>4431</v>
      </c>
      <c r="L269" s="0" t="s">
        <v>4431</v>
      </c>
      <c r="M269" s="0" t="s">
        <v>240</v>
      </c>
      <c r="N269" s="0" t="s">
        <v>240</v>
      </c>
      <c r="O269" s="0" t="s">
        <v>4432</v>
      </c>
      <c r="P269" s="0" t="s">
        <v>3580</v>
      </c>
      <c r="Q269" s="0" t="s">
        <v>240</v>
      </c>
      <c r="R269" s="0" t="b">
        <v>0</v>
      </c>
      <c r="S269" s="0" t="s">
        <v>4822</v>
      </c>
    </row>
    <row customHeight="1" ht="11.25">
      <c r="A270" s="0">
        <v>2655</v>
      </c>
      <c r="B270" s="0" t="s">
        <v>102</v>
      </c>
      <c r="C270" s="0">
        <v>26648537</v>
      </c>
      <c r="D270" s="0" t="s">
        <v>4433</v>
      </c>
      <c r="E270" s="0" t="s">
        <v>4434</v>
      </c>
      <c r="F270" s="0" t="s">
        <v>4435</v>
      </c>
      <c r="G270" s="0" t="s">
        <v>123</v>
      </c>
      <c r="H270" s="0" t="s">
        <v>4436</v>
      </c>
      <c r="I270" s="0" t="s">
        <v>4437</v>
      </c>
      <c r="J270" s="0" t="s">
        <v>3745</v>
      </c>
      <c r="K270" s="0" t="s">
        <v>4438</v>
      </c>
      <c r="L270" s="0" t="s">
        <v>4438</v>
      </c>
      <c r="M270" s="0" t="s">
        <v>4439</v>
      </c>
      <c r="N270" s="0" t="s">
        <v>4440</v>
      </c>
      <c r="O270" s="0" t="s">
        <v>4441</v>
      </c>
      <c r="P270" s="0" t="s">
        <v>3580</v>
      </c>
      <c r="Q270" s="0" t="s">
        <v>4442</v>
      </c>
      <c r="R270" s="0" t="b">
        <v>0</v>
      </c>
      <c r="S270" s="0" t="s">
        <v>4822</v>
      </c>
    </row>
    <row customHeight="1" ht="11.25">
      <c r="A271" s="0">
        <v>2655</v>
      </c>
      <c r="B271" s="0" t="s">
        <v>102</v>
      </c>
      <c r="C271" s="0">
        <v>31519209</v>
      </c>
      <c r="D271" s="0" t="s">
        <v>4443</v>
      </c>
      <c r="E271" s="0" t="s">
        <v>4444</v>
      </c>
      <c r="F271" s="0" t="s">
        <v>4445</v>
      </c>
      <c r="G271" s="0" t="s">
        <v>3752</v>
      </c>
      <c r="H271" s="0" t="s">
        <v>4446</v>
      </c>
      <c r="I271" s="0" t="s">
        <v>4447</v>
      </c>
      <c r="J271" s="0" t="s">
        <v>3745</v>
      </c>
      <c r="K271" s="0" t="s">
        <v>4448</v>
      </c>
      <c r="L271" s="0" t="s">
        <v>4449</v>
      </c>
      <c r="M271" s="0" t="s">
        <v>4450</v>
      </c>
      <c r="N271" s="0" t="s">
        <v>4451</v>
      </c>
      <c r="O271" s="0" t="s">
        <v>4452</v>
      </c>
      <c r="P271" s="0" t="s">
        <v>3465</v>
      </c>
      <c r="Q271" s="0" t="s">
        <v>240</v>
      </c>
      <c r="R271" s="0" t="b">
        <v>0</v>
      </c>
      <c r="S271" s="0" t="s">
        <v>4822</v>
      </c>
    </row>
    <row customHeight="1" ht="11.25">
      <c r="A272" s="0">
        <v>2655</v>
      </c>
      <c r="B272" s="0" t="s">
        <v>102</v>
      </c>
      <c r="C272" s="0">
        <v>31574053</v>
      </c>
      <c r="D272" s="0" t="s">
        <v>4453</v>
      </c>
      <c r="E272" s="0" t="s">
        <v>4454</v>
      </c>
      <c r="F272" s="0" t="s">
        <v>4455</v>
      </c>
      <c r="G272" s="0" t="s">
        <v>3704</v>
      </c>
      <c r="H272" s="0" t="s">
        <v>4456</v>
      </c>
      <c r="I272" s="0" t="s">
        <v>4457</v>
      </c>
      <c r="K272" s="0" t="s">
        <v>4458</v>
      </c>
      <c r="L272" s="0" t="s">
        <v>4458</v>
      </c>
      <c r="M272" s="0" t="s">
        <v>4459</v>
      </c>
      <c r="N272" s="0" t="s">
        <v>4460</v>
      </c>
      <c r="O272" s="0" t="s">
        <v>4461</v>
      </c>
      <c r="P272" s="0" t="s">
        <v>3580</v>
      </c>
      <c r="Q272" s="0" t="s">
        <v>240</v>
      </c>
      <c r="R272" s="0" t="b">
        <v>0</v>
      </c>
      <c r="S272" s="0" t="s">
        <v>4822</v>
      </c>
    </row>
    <row customHeight="1" ht="11.25">
      <c r="A273" s="0">
        <v>2655</v>
      </c>
      <c r="B273" s="0" t="s">
        <v>102</v>
      </c>
      <c r="C273" s="0">
        <v>28141951</v>
      </c>
      <c r="D273" s="0" t="s">
        <v>4462</v>
      </c>
      <c r="E273" s="0" t="s">
        <v>4463</v>
      </c>
      <c r="F273" s="0" t="s">
        <v>4464</v>
      </c>
      <c r="G273" s="0" t="s">
        <v>3481</v>
      </c>
      <c r="H273" s="0" t="s">
        <v>4465</v>
      </c>
      <c r="I273" s="0" t="s">
        <v>4466</v>
      </c>
      <c r="J273" s="0" t="s">
        <v>3745</v>
      </c>
      <c r="K273" s="0" t="s">
        <v>4467</v>
      </c>
      <c r="L273" s="0" t="s">
        <v>4467</v>
      </c>
      <c r="M273" s="0" t="s">
        <v>4468</v>
      </c>
      <c r="N273" s="0" t="s">
        <v>4469</v>
      </c>
      <c r="O273" s="0" t="s">
        <v>4470</v>
      </c>
      <c r="P273" s="0" t="s">
        <v>145</v>
      </c>
      <c r="Q273" s="0" t="s">
        <v>4471</v>
      </c>
      <c r="R273" s="0" t="b">
        <v>0</v>
      </c>
      <c r="S273" s="0" t="s">
        <v>4822</v>
      </c>
    </row>
    <row customHeight="1" ht="11.25">
      <c r="A274" s="0">
        <v>2655</v>
      </c>
      <c r="B274" s="0" t="s">
        <v>102</v>
      </c>
      <c r="C274" s="0">
        <v>26852793</v>
      </c>
      <c r="D274" s="0" t="s">
        <v>4472</v>
      </c>
      <c r="E274" s="0" t="s">
        <v>4473</v>
      </c>
      <c r="F274" s="0" t="s">
        <v>4474</v>
      </c>
      <c r="G274" s="0" t="s">
        <v>3704</v>
      </c>
      <c r="H274" s="0" t="s">
        <v>4475</v>
      </c>
      <c r="I274" s="0" t="s">
        <v>4476</v>
      </c>
      <c r="J274" s="0" t="s">
        <v>3745</v>
      </c>
      <c r="K274" s="0" t="s">
        <v>4162</v>
      </c>
      <c r="L274" s="0" t="s">
        <v>4162</v>
      </c>
      <c r="M274" s="0" t="s">
        <v>4477</v>
      </c>
      <c r="N274" s="0" t="s">
        <v>4478</v>
      </c>
      <c r="O274" s="0" t="s">
        <v>4479</v>
      </c>
      <c r="P274" s="0" t="s">
        <v>145</v>
      </c>
      <c r="Q274" s="0" t="s">
        <v>152</v>
      </c>
      <c r="R274" s="0" t="b">
        <v>0</v>
      </c>
      <c r="S274" s="0" t="s">
        <v>4822</v>
      </c>
    </row>
    <row customHeight="1" ht="11.25">
      <c r="A275" s="0">
        <v>2655</v>
      </c>
      <c r="B275" s="0" t="s">
        <v>102</v>
      </c>
      <c r="C275" s="0">
        <v>28141966</v>
      </c>
      <c r="D275" s="0" t="s">
        <v>4480</v>
      </c>
      <c r="E275" s="0" t="s">
        <v>4481</v>
      </c>
      <c r="F275" s="0" t="s">
        <v>4482</v>
      </c>
      <c r="G275" s="0" t="s">
        <v>3572</v>
      </c>
      <c r="H275" s="0" t="s">
        <v>4483</v>
      </c>
      <c r="I275" s="0" t="s">
        <v>4484</v>
      </c>
      <c r="J275" s="0" t="s">
        <v>3745</v>
      </c>
      <c r="K275" s="0" t="s">
        <v>4485</v>
      </c>
      <c r="L275" s="0" t="s">
        <v>4486</v>
      </c>
      <c r="M275" s="0" t="s">
        <v>4487</v>
      </c>
      <c r="N275" s="0" t="s">
        <v>4488</v>
      </c>
      <c r="O275" s="0" t="s">
        <v>4489</v>
      </c>
      <c r="P275" s="0" t="s">
        <v>145</v>
      </c>
      <c r="Q275" s="0" t="s">
        <v>4490</v>
      </c>
      <c r="R275" s="0" t="b">
        <v>0</v>
      </c>
      <c r="S275" s="0" t="s">
        <v>4822</v>
      </c>
    </row>
    <row customHeight="1" ht="11.25">
      <c r="A276" s="0">
        <v>2655</v>
      </c>
      <c r="B276" s="0" t="s">
        <v>102</v>
      </c>
      <c r="C276" s="0">
        <v>31424033</v>
      </c>
      <c r="D276" s="0" t="s">
        <v>3810</v>
      </c>
      <c r="E276" s="0" t="s">
        <v>3811</v>
      </c>
      <c r="F276" s="0" t="s">
        <v>3812</v>
      </c>
      <c r="G276" s="0" t="s">
        <v>3813</v>
      </c>
      <c r="H276" s="0" t="s">
        <v>3814</v>
      </c>
      <c r="I276" s="0" t="s">
        <v>240</v>
      </c>
      <c r="J276" s="0" t="s">
        <v>3745</v>
      </c>
      <c r="K276" s="0" t="s">
        <v>3815</v>
      </c>
      <c r="L276" s="0" t="s">
        <v>3816</v>
      </c>
      <c r="M276" s="0" t="s">
        <v>3462</v>
      </c>
      <c r="N276" s="0" t="s">
        <v>3817</v>
      </c>
      <c r="O276" s="0" t="s">
        <v>3818</v>
      </c>
      <c r="P276" s="0" t="s">
        <v>3580</v>
      </c>
      <c r="Q276" s="0" t="s">
        <v>3819</v>
      </c>
      <c r="R276" s="0" t="b">
        <v>0</v>
      </c>
      <c r="S276" s="0" t="s">
        <v>4822</v>
      </c>
    </row>
    <row customHeight="1" ht="11.25">
      <c r="A277" s="0">
        <v>2655</v>
      </c>
      <c r="B277" s="0" t="s">
        <v>102</v>
      </c>
      <c r="C277" s="0">
        <v>27838991</v>
      </c>
      <c r="D277" s="0" t="s">
        <v>4129</v>
      </c>
      <c r="E277" s="0" t="s">
        <v>4130</v>
      </c>
      <c r="F277" s="0" t="s">
        <v>4131</v>
      </c>
      <c r="G277" s="0" t="s">
        <v>3481</v>
      </c>
      <c r="H277" s="0" t="s">
        <v>4132</v>
      </c>
      <c r="I277" s="0" t="s">
        <v>4133</v>
      </c>
      <c r="J277" s="0" t="s">
        <v>3745</v>
      </c>
      <c r="K277" s="0" t="s">
        <v>4134</v>
      </c>
      <c r="L277" s="0" t="s">
        <v>4135</v>
      </c>
      <c r="M277" s="0" t="s">
        <v>4136</v>
      </c>
      <c r="N277" s="0" t="s">
        <v>4137</v>
      </c>
      <c r="O277" s="0" t="s">
        <v>4138</v>
      </c>
      <c r="P277" s="0" t="s">
        <v>145</v>
      </c>
      <c r="Q277" s="0" t="s">
        <v>240</v>
      </c>
      <c r="R277" s="0" t="b">
        <v>0</v>
      </c>
      <c r="S277" s="0" t="s">
        <v>4822</v>
      </c>
    </row>
    <row customHeight="1" ht="11.25">
      <c r="A278" s="0">
        <v>2655</v>
      </c>
      <c r="B278" s="0" t="s">
        <v>102</v>
      </c>
      <c r="C278" s="0">
        <v>26356931</v>
      </c>
      <c r="D278" s="0" t="s">
        <v>4491</v>
      </c>
      <c r="E278" s="0" t="s">
        <v>4492</v>
      </c>
      <c r="F278" s="0" t="s">
        <v>4493</v>
      </c>
      <c r="G278" s="0" t="s">
        <v>3752</v>
      </c>
      <c r="H278" s="0" t="s">
        <v>4494</v>
      </c>
      <c r="I278" s="0" t="s">
        <v>4495</v>
      </c>
      <c r="J278" s="0" t="s">
        <v>3745</v>
      </c>
      <c r="K278" s="0" t="s">
        <v>4496</v>
      </c>
      <c r="L278" s="0" t="s">
        <v>4496</v>
      </c>
      <c r="M278" s="0" t="s">
        <v>4497</v>
      </c>
      <c r="N278" s="0" t="s">
        <v>4498</v>
      </c>
      <c r="O278" s="0" t="s">
        <v>4499</v>
      </c>
      <c r="P278" s="0" t="s">
        <v>3580</v>
      </c>
      <c r="Q278" s="0" t="s">
        <v>152</v>
      </c>
      <c r="R278" s="0" t="b">
        <v>1</v>
      </c>
      <c r="S278" s="0" t="s">
        <v>4822</v>
      </c>
    </row>
    <row customHeight="1" ht="11.25">
      <c r="A279" s="0">
        <v>2655</v>
      </c>
      <c r="B279" s="0" t="s">
        <v>102</v>
      </c>
      <c r="C279" s="0">
        <v>28151808</v>
      </c>
      <c r="D279" s="0" t="s">
        <v>3829</v>
      </c>
      <c r="E279" s="0" t="s">
        <v>3830</v>
      </c>
      <c r="F279" s="0" t="s">
        <v>3831</v>
      </c>
      <c r="G279" s="0" t="s">
        <v>3525</v>
      </c>
      <c r="H279" s="0" t="s">
        <v>3832</v>
      </c>
      <c r="I279" s="0" t="s">
        <v>3833</v>
      </c>
      <c r="J279" s="0" t="s">
        <v>3745</v>
      </c>
      <c r="K279" s="0" t="s">
        <v>3834</v>
      </c>
      <c r="L279" s="0" t="s">
        <v>3835</v>
      </c>
      <c r="M279" s="0" t="s">
        <v>3836</v>
      </c>
      <c r="N279" s="0" t="s">
        <v>3837</v>
      </c>
      <c r="O279" s="0" t="s">
        <v>3838</v>
      </c>
      <c r="P279" s="0" t="s">
        <v>145</v>
      </c>
      <c r="Q279" s="0" t="s">
        <v>240</v>
      </c>
      <c r="R279" s="0" t="b">
        <v>1</v>
      </c>
      <c r="S279" s="0" t="s">
        <v>4822</v>
      </c>
    </row>
    <row customHeight="1" ht="11.25">
      <c r="A280" s="0">
        <v>2655</v>
      </c>
      <c r="B280" s="0" t="s">
        <v>102</v>
      </c>
      <c r="C280" s="0">
        <v>31739633</v>
      </c>
      <c r="D280" s="0" t="s">
        <v>3839</v>
      </c>
      <c r="E280" s="0" t="s">
        <v>3840</v>
      </c>
      <c r="F280" s="0" t="s">
        <v>3841</v>
      </c>
      <c r="G280" s="0" t="s">
        <v>3842</v>
      </c>
      <c r="H280" s="0" t="s">
        <v>3843</v>
      </c>
      <c r="I280" s="0" t="s">
        <v>3844</v>
      </c>
      <c r="K280" s="0" t="s">
        <v>3845</v>
      </c>
      <c r="L280" s="0" t="s">
        <v>3845</v>
      </c>
      <c r="M280" s="0" t="s">
        <v>3846</v>
      </c>
      <c r="N280" s="0" t="s">
        <v>3847</v>
      </c>
      <c r="O280" s="0" t="s">
        <v>3848</v>
      </c>
      <c r="P280" s="0" t="s">
        <v>3613</v>
      </c>
      <c r="Q280" s="0" t="s">
        <v>240</v>
      </c>
      <c r="R280" s="0" t="b">
        <v>0</v>
      </c>
      <c r="S280" s="0" t="s">
        <v>4822</v>
      </c>
    </row>
    <row customHeight="1" ht="11.25">
      <c r="A281" s="0">
        <v>2655</v>
      </c>
      <c r="B281" s="0" t="s">
        <v>102</v>
      </c>
      <c r="C281" s="0">
        <v>30433806</v>
      </c>
      <c r="D281" s="0" t="s">
        <v>4500</v>
      </c>
      <c r="E281" s="0" t="s">
        <v>4501</v>
      </c>
      <c r="F281" s="0" t="s">
        <v>4502</v>
      </c>
      <c r="G281" s="0" t="s">
        <v>3672</v>
      </c>
      <c r="H281" s="0" t="s">
        <v>4503</v>
      </c>
      <c r="I281" s="0" t="s">
        <v>4504</v>
      </c>
      <c r="J281" s="0" t="s">
        <v>3745</v>
      </c>
      <c r="K281" s="0" t="s">
        <v>4505</v>
      </c>
      <c r="L281" s="0" t="s">
        <v>4505</v>
      </c>
      <c r="M281" s="0" t="s">
        <v>4506</v>
      </c>
      <c r="N281" s="0" t="s">
        <v>4507</v>
      </c>
      <c r="O281" s="0" t="s">
        <v>4508</v>
      </c>
      <c r="P281" s="0" t="s">
        <v>3580</v>
      </c>
      <c r="Q281" s="0" t="s">
        <v>152</v>
      </c>
      <c r="R281" s="0" t="b">
        <v>0</v>
      </c>
      <c r="S281" s="0" t="s">
        <v>4822</v>
      </c>
    </row>
    <row customHeight="1" ht="11.25">
      <c r="A282" s="0">
        <v>2655</v>
      </c>
      <c r="B282" s="0" t="s">
        <v>102</v>
      </c>
      <c r="C282" s="0">
        <v>31743966</v>
      </c>
      <c r="D282" s="0" t="s">
        <v>4509</v>
      </c>
      <c r="E282" s="0" t="s">
        <v>4510</v>
      </c>
      <c r="F282" s="0" t="s">
        <v>4511</v>
      </c>
      <c r="G282" s="0" t="s">
        <v>123</v>
      </c>
      <c r="H282" s="0" t="s">
        <v>4512</v>
      </c>
      <c r="I282" s="0" t="s">
        <v>4513</v>
      </c>
      <c r="K282" s="0" t="s">
        <v>4514</v>
      </c>
      <c r="L282" s="0" t="s">
        <v>4514</v>
      </c>
      <c r="M282" s="0" t="s">
        <v>4515</v>
      </c>
      <c r="N282" s="0" t="s">
        <v>4516</v>
      </c>
      <c r="O282" s="0" t="s">
        <v>4517</v>
      </c>
      <c r="P282" s="0" t="s">
        <v>145</v>
      </c>
      <c r="Q282" s="0" t="s">
        <v>4518</v>
      </c>
      <c r="R282" s="0" t="b">
        <v>1</v>
      </c>
      <c r="S282" s="0" t="s">
        <v>4822</v>
      </c>
    </row>
    <row customHeight="1" ht="11.25">
      <c r="A283" s="0">
        <v>2655</v>
      </c>
      <c r="B283" s="0" t="s">
        <v>102</v>
      </c>
      <c r="C283" s="0">
        <v>30874454</v>
      </c>
      <c r="D283" s="0" t="s">
        <v>4519</v>
      </c>
      <c r="E283" s="0" t="s">
        <v>4520</v>
      </c>
      <c r="F283" s="0" t="s">
        <v>4521</v>
      </c>
      <c r="G283" s="0" t="s">
        <v>3813</v>
      </c>
      <c r="H283" s="0" t="s">
        <v>4522</v>
      </c>
      <c r="I283" s="0" t="s">
        <v>4523</v>
      </c>
      <c r="J283" s="0" t="s">
        <v>3745</v>
      </c>
      <c r="K283" s="0" t="s">
        <v>4524</v>
      </c>
      <c r="L283" s="0" t="s">
        <v>4525</v>
      </c>
      <c r="M283" s="0" t="s">
        <v>4526</v>
      </c>
      <c r="N283" s="0" t="s">
        <v>4488</v>
      </c>
      <c r="O283" s="0" t="s">
        <v>4527</v>
      </c>
      <c r="P283" s="0" t="s">
        <v>3613</v>
      </c>
      <c r="Q283" s="0" t="s">
        <v>4528</v>
      </c>
      <c r="R283" s="0" t="b">
        <v>0</v>
      </c>
      <c r="S283" s="0" t="s">
        <v>4822</v>
      </c>
    </row>
    <row customHeight="1" ht="11.25">
      <c r="A284" s="0">
        <v>2655</v>
      </c>
      <c r="B284" s="0" t="s">
        <v>102</v>
      </c>
      <c r="C284" s="0">
        <v>26356987</v>
      </c>
      <c r="D284" s="0" t="s">
        <v>3859</v>
      </c>
      <c r="E284" s="0" t="s">
        <v>3860</v>
      </c>
      <c r="F284" s="0" t="s">
        <v>3861</v>
      </c>
      <c r="G284" s="0" t="s">
        <v>3862</v>
      </c>
      <c r="H284" s="0" t="s">
        <v>3863</v>
      </c>
      <c r="I284" s="0" t="s">
        <v>3864</v>
      </c>
      <c r="J284" s="0" t="s">
        <v>3745</v>
      </c>
      <c r="K284" s="0" t="s">
        <v>3865</v>
      </c>
      <c r="L284" s="0" t="s">
        <v>3865</v>
      </c>
      <c r="M284" s="0" t="s">
        <v>3866</v>
      </c>
      <c r="N284" s="0" t="s">
        <v>3867</v>
      </c>
      <c r="O284" s="0" t="s">
        <v>3868</v>
      </c>
      <c r="P284" s="0" t="s">
        <v>3613</v>
      </c>
      <c r="Q284" s="0" t="s">
        <v>3869</v>
      </c>
      <c r="R284" s="0" t="b">
        <v>0</v>
      </c>
      <c r="S284" s="0" t="s">
        <v>4822</v>
      </c>
    </row>
    <row customHeight="1" ht="11.25">
      <c r="A285" s="0">
        <v>2655</v>
      </c>
      <c r="B285" s="0" t="s">
        <v>102</v>
      </c>
      <c r="C285" s="0">
        <v>30856223</v>
      </c>
      <c r="D285" s="0" t="s">
        <v>4529</v>
      </c>
      <c r="E285" s="0" t="s">
        <v>4530</v>
      </c>
      <c r="F285" s="0" t="s">
        <v>4531</v>
      </c>
      <c r="G285" s="0" t="s">
        <v>3481</v>
      </c>
      <c r="H285" s="0" t="s">
        <v>4532</v>
      </c>
      <c r="I285" s="0" t="s">
        <v>4533</v>
      </c>
      <c r="J285" s="0" t="s">
        <v>3745</v>
      </c>
      <c r="K285" s="0" t="s">
        <v>4534</v>
      </c>
      <c r="L285" s="0" t="s">
        <v>4534</v>
      </c>
      <c r="M285" s="0" t="s">
        <v>4535</v>
      </c>
      <c r="N285" s="0" t="s">
        <v>4536</v>
      </c>
      <c r="O285" s="0" t="s">
        <v>4537</v>
      </c>
      <c r="P285" s="0" t="s">
        <v>145</v>
      </c>
      <c r="Q285" s="0" t="s">
        <v>4538</v>
      </c>
      <c r="R285" s="0" t="b">
        <v>0</v>
      </c>
      <c r="S285" s="0" t="s">
        <v>4822</v>
      </c>
    </row>
    <row customHeight="1" ht="11.25">
      <c r="A286" s="0">
        <v>2655</v>
      </c>
      <c r="B286" s="0" t="s">
        <v>102</v>
      </c>
      <c r="C286" s="0">
        <v>31373026</v>
      </c>
      <c r="D286" s="0" t="s">
        <v>4529</v>
      </c>
      <c r="E286" s="0" t="s">
        <v>4530</v>
      </c>
      <c r="F286" s="0" t="s">
        <v>4539</v>
      </c>
      <c r="G286" s="0" t="s">
        <v>3842</v>
      </c>
      <c r="H286" s="0" t="s">
        <v>4540</v>
      </c>
      <c r="I286" s="0" t="s">
        <v>4541</v>
      </c>
      <c r="J286" s="0" t="s">
        <v>3745</v>
      </c>
      <c r="K286" s="0" t="s">
        <v>4542</v>
      </c>
      <c r="L286" s="0" t="s">
        <v>4543</v>
      </c>
      <c r="M286" s="0" t="s">
        <v>4544</v>
      </c>
      <c r="N286" s="0" t="s">
        <v>4545</v>
      </c>
      <c r="O286" s="0" t="s">
        <v>4546</v>
      </c>
      <c r="P286" s="0" t="s">
        <v>4547</v>
      </c>
      <c r="Q286" s="0" t="s">
        <v>4548</v>
      </c>
      <c r="R286" s="0" t="b">
        <v>1</v>
      </c>
      <c r="S286" s="0" t="s">
        <v>4822</v>
      </c>
    </row>
    <row customHeight="1" ht="11.25">
      <c r="A287" s="0">
        <v>2655</v>
      </c>
      <c r="B287" s="0" t="s">
        <v>102</v>
      </c>
      <c r="C287" s="0">
        <v>31579609</v>
      </c>
      <c r="D287" s="0" t="s">
        <v>4549</v>
      </c>
      <c r="E287" s="0" t="s">
        <v>4550</v>
      </c>
      <c r="F287" s="0" t="s">
        <v>4551</v>
      </c>
      <c r="G287" s="0" t="s">
        <v>3525</v>
      </c>
      <c r="H287" s="0" t="s">
        <v>4552</v>
      </c>
      <c r="I287" s="0" t="s">
        <v>4553</v>
      </c>
      <c r="K287" s="0" t="s">
        <v>4554</v>
      </c>
      <c r="L287" s="0" t="s">
        <v>4554</v>
      </c>
      <c r="M287" s="0" t="s">
        <v>4555</v>
      </c>
      <c r="N287" s="0" t="s">
        <v>4556</v>
      </c>
      <c r="O287" s="0" t="s">
        <v>4557</v>
      </c>
      <c r="P287" s="0" t="s">
        <v>145</v>
      </c>
      <c r="Q287" s="0" t="s">
        <v>240</v>
      </c>
      <c r="R287" s="0" t="b">
        <v>1</v>
      </c>
      <c r="S287" s="0" t="s">
        <v>4822</v>
      </c>
    </row>
    <row customHeight="1" ht="11.25">
      <c r="A288" s="0">
        <v>2655</v>
      </c>
      <c r="B288" s="0" t="s">
        <v>102</v>
      </c>
      <c r="C288" s="0">
        <v>26356891</v>
      </c>
      <c r="D288" s="0" t="s">
        <v>3870</v>
      </c>
      <c r="E288" s="0" t="s">
        <v>3871</v>
      </c>
      <c r="F288" s="0" t="s">
        <v>3872</v>
      </c>
      <c r="G288" s="0" t="s">
        <v>3683</v>
      </c>
      <c r="H288" s="0" t="s">
        <v>3873</v>
      </c>
      <c r="I288" s="0" t="s">
        <v>3874</v>
      </c>
      <c r="J288" s="0" t="s">
        <v>3745</v>
      </c>
      <c r="K288" s="0" t="s">
        <v>3875</v>
      </c>
      <c r="L288" s="0" t="s">
        <v>3875</v>
      </c>
      <c r="M288" s="0" t="s">
        <v>3876</v>
      </c>
      <c r="N288" s="0" t="s">
        <v>3877</v>
      </c>
      <c r="O288" s="0" t="s">
        <v>3878</v>
      </c>
      <c r="P288" s="0" t="s">
        <v>3580</v>
      </c>
      <c r="Q288" s="0" t="s">
        <v>240</v>
      </c>
      <c r="R288" s="0" t="b">
        <v>0</v>
      </c>
      <c r="S288" s="0" t="s">
        <v>4822</v>
      </c>
    </row>
    <row customHeight="1" ht="11.25">
      <c r="A289" s="0">
        <v>2655</v>
      </c>
      <c r="B289" s="0" t="s">
        <v>102</v>
      </c>
      <c r="C289" s="0">
        <v>27566835</v>
      </c>
      <c r="D289" s="0" t="s">
        <v>4558</v>
      </c>
      <c r="E289" s="0" t="s">
        <v>4559</v>
      </c>
      <c r="F289" s="0" t="s">
        <v>4560</v>
      </c>
      <c r="G289" s="0" t="s">
        <v>3683</v>
      </c>
      <c r="H289" s="0" t="s">
        <v>4561</v>
      </c>
      <c r="I289" s="0" t="s">
        <v>4562</v>
      </c>
      <c r="J289" s="0" t="s">
        <v>3745</v>
      </c>
      <c r="K289" s="0" t="s">
        <v>4563</v>
      </c>
      <c r="L289" s="0" t="s">
        <v>4563</v>
      </c>
      <c r="M289" s="0" t="s">
        <v>4564</v>
      </c>
      <c r="N289" s="0" t="s">
        <v>3699</v>
      </c>
      <c r="O289" s="0" t="s">
        <v>4565</v>
      </c>
      <c r="P289" s="0" t="s">
        <v>3580</v>
      </c>
      <c r="Q289" s="0" t="s">
        <v>152</v>
      </c>
      <c r="R289" s="0" t="b">
        <v>0</v>
      </c>
      <c r="S289" s="0" t="s">
        <v>4822</v>
      </c>
    </row>
    <row customHeight="1" ht="11.25">
      <c r="A290" s="0">
        <v>2655</v>
      </c>
      <c r="B290" s="0" t="s">
        <v>102</v>
      </c>
      <c r="C290" s="0">
        <v>31229342</v>
      </c>
      <c r="D290" s="0" t="s">
        <v>4566</v>
      </c>
      <c r="E290" s="0" t="s">
        <v>4567</v>
      </c>
      <c r="F290" s="0" t="s">
        <v>4568</v>
      </c>
      <c r="G290" s="0" t="s">
        <v>3704</v>
      </c>
      <c r="H290" s="0" t="s">
        <v>4569</v>
      </c>
      <c r="I290" s="0" t="s">
        <v>4570</v>
      </c>
      <c r="J290" s="0" t="s">
        <v>3745</v>
      </c>
      <c r="K290" s="0" t="s">
        <v>4571</v>
      </c>
      <c r="L290" s="0" t="s">
        <v>4571</v>
      </c>
      <c r="M290" s="0" t="s">
        <v>4572</v>
      </c>
      <c r="N290" s="0" t="s">
        <v>4573</v>
      </c>
      <c r="O290" s="0" t="s">
        <v>4574</v>
      </c>
      <c r="P290" s="0" t="s">
        <v>145</v>
      </c>
      <c r="Q290" s="0" t="s">
        <v>240</v>
      </c>
      <c r="R290" s="0" t="b">
        <v>0</v>
      </c>
      <c r="S290" s="0" t="s">
        <v>4822</v>
      </c>
    </row>
    <row customHeight="1" ht="11.25">
      <c r="A291" s="0">
        <v>2655</v>
      </c>
      <c r="B291" s="0" t="s">
        <v>102</v>
      </c>
      <c r="C291" s="0">
        <v>31690080</v>
      </c>
      <c r="D291" s="0" t="s">
        <v>4575</v>
      </c>
      <c r="E291" s="0" t="s">
        <v>4576</v>
      </c>
      <c r="F291" s="0" t="s">
        <v>4577</v>
      </c>
      <c r="G291" s="0" t="s">
        <v>3704</v>
      </c>
      <c r="H291" s="0" t="s">
        <v>4578</v>
      </c>
      <c r="I291" s="0" t="s">
        <v>4579</v>
      </c>
      <c r="K291" s="0" t="s">
        <v>4580</v>
      </c>
      <c r="L291" s="0" t="s">
        <v>4580</v>
      </c>
      <c r="M291" s="0" t="s">
        <v>4581</v>
      </c>
      <c r="N291" s="0" t="s">
        <v>4582</v>
      </c>
      <c r="O291" s="0" t="s">
        <v>4583</v>
      </c>
      <c r="P291" s="0" t="s">
        <v>3580</v>
      </c>
      <c r="Q291" s="0" t="s">
        <v>240</v>
      </c>
      <c r="R291" s="0" t="b">
        <v>1</v>
      </c>
      <c r="S291" s="0" t="s">
        <v>4822</v>
      </c>
    </row>
    <row customHeight="1" ht="11.25">
      <c r="A292" s="0">
        <v>2655</v>
      </c>
      <c r="B292" s="0" t="s">
        <v>102</v>
      </c>
      <c r="C292" s="0">
        <v>31539720</v>
      </c>
      <c r="D292" s="0" t="s">
        <v>4575</v>
      </c>
      <c r="E292" s="0" t="s">
        <v>4584</v>
      </c>
      <c r="F292" s="0" t="s">
        <v>4585</v>
      </c>
      <c r="G292" s="0" t="s">
        <v>3704</v>
      </c>
      <c r="H292" s="0" t="s">
        <v>4586</v>
      </c>
      <c r="I292" s="0" t="s">
        <v>4587</v>
      </c>
      <c r="K292" s="0" t="s">
        <v>4588</v>
      </c>
      <c r="L292" s="0" t="s">
        <v>4588</v>
      </c>
      <c r="M292" s="0" t="s">
        <v>4589</v>
      </c>
      <c r="N292" s="0" t="s">
        <v>4590</v>
      </c>
      <c r="O292" s="0" t="s">
        <v>4591</v>
      </c>
      <c r="P292" s="0" t="s">
        <v>145</v>
      </c>
      <c r="Q292" s="0" t="s">
        <v>4592</v>
      </c>
      <c r="R292" s="0" t="b">
        <v>0</v>
      </c>
      <c r="S292" s="0" t="s">
        <v>4822</v>
      </c>
    </row>
    <row customHeight="1" ht="11.25">
      <c r="A293" s="0">
        <v>2655</v>
      </c>
      <c r="B293" s="0" t="s">
        <v>102</v>
      </c>
      <c r="C293" s="0">
        <v>30872315</v>
      </c>
      <c r="D293" s="0" t="s">
        <v>4593</v>
      </c>
      <c r="E293" s="0" t="s">
        <v>4594</v>
      </c>
      <c r="F293" s="0" t="s">
        <v>4595</v>
      </c>
      <c r="G293" s="0" t="s">
        <v>123</v>
      </c>
      <c r="H293" s="0" t="s">
        <v>4596</v>
      </c>
      <c r="I293" s="0" t="s">
        <v>4597</v>
      </c>
      <c r="J293" s="0" t="s">
        <v>3745</v>
      </c>
      <c r="K293" s="0" t="s">
        <v>4598</v>
      </c>
      <c r="L293" s="0" t="s">
        <v>4598</v>
      </c>
      <c r="M293" s="0" t="s">
        <v>4599</v>
      </c>
      <c r="N293" s="0" t="s">
        <v>4600</v>
      </c>
      <c r="O293" s="0" t="s">
        <v>4601</v>
      </c>
      <c r="P293" s="0" t="s">
        <v>3580</v>
      </c>
      <c r="Q293" s="0" t="s">
        <v>240</v>
      </c>
      <c r="R293" s="0" t="b">
        <v>0</v>
      </c>
      <c r="S293" s="0" t="s">
        <v>4822</v>
      </c>
    </row>
    <row customHeight="1" ht="11.25">
      <c r="A294" s="0">
        <v>2655</v>
      </c>
      <c r="B294" s="0" t="s">
        <v>102</v>
      </c>
      <c r="C294" s="0">
        <v>30856253</v>
      </c>
      <c r="D294" s="0" t="s">
        <v>4602</v>
      </c>
      <c r="E294" s="0" t="s">
        <v>4603</v>
      </c>
      <c r="F294" s="0" t="s">
        <v>4604</v>
      </c>
      <c r="G294" s="0" t="s">
        <v>3525</v>
      </c>
      <c r="H294" s="0" t="s">
        <v>4605</v>
      </c>
      <c r="I294" s="0" t="s">
        <v>4606</v>
      </c>
      <c r="J294" s="0" t="s">
        <v>3745</v>
      </c>
      <c r="K294" s="0" t="s">
        <v>4607</v>
      </c>
      <c r="L294" s="0" t="s">
        <v>4607</v>
      </c>
      <c r="M294" s="0" t="s">
        <v>4608</v>
      </c>
      <c r="N294" s="0" t="s">
        <v>4609</v>
      </c>
      <c r="O294" s="0" t="s">
        <v>4610</v>
      </c>
      <c r="P294" s="0" t="s">
        <v>3580</v>
      </c>
      <c r="Q294" s="0" t="s">
        <v>240</v>
      </c>
      <c r="R294" s="0" t="b">
        <v>0</v>
      </c>
      <c r="S294" s="0" t="s">
        <v>4822</v>
      </c>
    </row>
    <row customHeight="1" ht="11.25">
      <c r="A295" s="0">
        <v>2655</v>
      </c>
      <c r="B295" s="0" t="s">
        <v>102</v>
      </c>
      <c r="C295" s="0">
        <v>33000042</v>
      </c>
      <c r="D295" s="0" t="s">
        <v>4611</v>
      </c>
      <c r="E295" s="0" t="s">
        <v>4612</v>
      </c>
      <c r="F295" s="0" t="s">
        <v>4613</v>
      </c>
      <c r="G295" s="0" t="s">
        <v>3781</v>
      </c>
      <c r="H295" s="0" t="s">
        <v>4614</v>
      </c>
      <c r="I295" s="0" t="s">
        <v>4615</v>
      </c>
      <c r="K295" s="0" t="s">
        <v>4616</v>
      </c>
      <c r="L295" s="0" t="s">
        <v>4617</v>
      </c>
      <c r="M295" s="0" t="s">
        <v>4618</v>
      </c>
      <c r="N295" s="0" t="s">
        <v>4619</v>
      </c>
      <c r="O295" s="0" t="s">
        <v>3788</v>
      </c>
      <c r="P295" s="0" t="s">
        <v>3602</v>
      </c>
      <c r="Q295" s="0" t="s">
        <v>240</v>
      </c>
      <c r="R295" s="0" t="b">
        <v>0</v>
      </c>
      <c r="S295" s="0" t="s">
        <v>4822</v>
      </c>
    </row>
    <row customHeight="1" ht="11.25">
      <c r="A296" s="0">
        <v>2655</v>
      </c>
      <c r="B296" s="0" t="s">
        <v>102</v>
      </c>
      <c r="C296" s="0">
        <v>26517842</v>
      </c>
      <c r="D296" s="0" t="s">
        <v>4620</v>
      </c>
      <c r="E296" s="0" t="s">
        <v>4621</v>
      </c>
      <c r="F296" s="0" t="s">
        <v>4622</v>
      </c>
      <c r="G296" s="0" t="s">
        <v>3683</v>
      </c>
      <c r="H296" s="0" t="s">
        <v>4623</v>
      </c>
      <c r="I296" s="0" t="s">
        <v>4624</v>
      </c>
      <c r="J296" s="0" t="s">
        <v>3745</v>
      </c>
      <c r="K296" s="0" t="s">
        <v>4625</v>
      </c>
      <c r="L296" s="0" t="s">
        <v>3461</v>
      </c>
      <c r="M296" s="0" t="s">
        <v>4626</v>
      </c>
      <c r="N296" s="0" t="s">
        <v>4627</v>
      </c>
      <c r="O296" s="0" t="s">
        <v>4628</v>
      </c>
      <c r="P296" s="0" t="s">
        <v>145</v>
      </c>
      <c r="Q296" s="0" t="s">
        <v>240</v>
      </c>
      <c r="R296" s="0" t="b">
        <v>0</v>
      </c>
      <c r="S296" s="0" t="s">
        <v>4822</v>
      </c>
    </row>
    <row customHeight="1" ht="11.25">
      <c r="A297" s="0">
        <v>2655</v>
      </c>
      <c r="B297" s="0" t="s">
        <v>102</v>
      </c>
      <c r="C297" s="0">
        <v>26356937</v>
      </c>
      <c r="D297" s="0" t="s">
        <v>3887</v>
      </c>
      <c r="E297" s="0" t="s">
        <v>3888</v>
      </c>
      <c r="F297" s="0" t="s">
        <v>3889</v>
      </c>
      <c r="G297" s="0" t="s">
        <v>3752</v>
      </c>
      <c r="H297" s="0" t="s">
        <v>3890</v>
      </c>
      <c r="I297" s="0" t="s">
        <v>3891</v>
      </c>
      <c r="J297" s="0" t="s">
        <v>3745</v>
      </c>
      <c r="K297" s="0" t="s">
        <v>3892</v>
      </c>
      <c r="L297" s="0" t="s">
        <v>3892</v>
      </c>
      <c r="M297" s="0" t="s">
        <v>3893</v>
      </c>
      <c r="N297" s="0" t="s">
        <v>3894</v>
      </c>
      <c r="O297" s="0" t="s">
        <v>3895</v>
      </c>
      <c r="P297" s="0" t="s">
        <v>3613</v>
      </c>
      <c r="Q297" s="0" t="s">
        <v>3896</v>
      </c>
      <c r="R297" s="0" t="b">
        <v>0</v>
      </c>
      <c r="S297" s="0" t="s">
        <v>4822</v>
      </c>
    </row>
    <row customHeight="1" ht="11.25">
      <c r="A298" s="0">
        <v>2655</v>
      </c>
      <c r="B298" s="0" t="s">
        <v>102</v>
      </c>
      <c r="C298" s="0">
        <v>33000834</v>
      </c>
      <c r="D298" s="0" t="s">
        <v>3897</v>
      </c>
      <c r="E298" s="0" t="s">
        <v>3898</v>
      </c>
      <c r="F298" s="0" t="s">
        <v>3899</v>
      </c>
      <c r="G298" s="0" t="s">
        <v>3595</v>
      </c>
      <c r="H298" s="0" t="s">
        <v>3900</v>
      </c>
      <c r="I298" s="0" t="s">
        <v>3901</v>
      </c>
      <c r="K298" s="0" t="s">
        <v>3902</v>
      </c>
      <c r="L298" s="0" t="s">
        <v>3902</v>
      </c>
      <c r="M298" s="0" t="s">
        <v>3903</v>
      </c>
      <c r="N298" s="0" t="s">
        <v>3649</v>
      </c>
      <c r="O298" s="0" t="s">
        <v>3904</v>
      </c>
      <c r="P298" s="0" t="s">
        <v>3580</v>
      </c>
      <c r="Q298" s="0" t="s">
        <v>3905</v>
      </c>
      <c r="R298" s="0" t="b">
        <v>0</v>
      </c>
      <c r="S298" s="0" t="s">
        <v>4822</v>
      </c>
    </row>
    <row customHeight="1" ht="11.25">
      <c r="A299" s="0">
        <v>2655</v>
      </c>
      <c r="B299" s="0" t="s">
        <v>102</v>
      </c>
      <c r="C299" s="0">
        <v>31473621</v>
      </c>
      <c r="D299" s="0" t="s">
        <v>4629</v>
      </c>
      <c r="E299" s="0" t="s">
        <v>4630</v>
      </c>
      <c r="F299" s="0" t="s">
        <v>4631</v>
      </c>
      <c r="G299" s="0" t="s">
        <v>3595</v>
      </c>
      <c r="H299" s="0" t="s">
        <v>4632</v>
      </c>
      <c r="I299" s="0" t="s">
        <v>4633</v>
      </c>
      <c r="J299" s="0" t="s">
        <v>3745</v>
      </c>
      <c r="K299" s="0" t="s">
        <v>4634</v>
      </c>
      <c r="L299" s="0" t="s">
        <v>4634</v>
      </c>
      <c r="M299" s="0" t="s">
        <v>4635</v>
      </c>
      <c r="N299" s="0" t="s">
        <v>4636</v>
      </c>
      <c r="O299" s="0" t="s">
        <v>4637</v>
      </c>
      <c r="P299" s="0" t="s">
        <v>145</v>
      </c>
      <c r="Q299" s="0" t="s">
        <v>4638</v>
      </c>
      <c r="R299" s="0" t="b">
        <v>0</v>
      </c>
      <c r="S299" s="0" t="s">
        <v>4822</v>
      </c>
    </row>
    <row customHeight="1" ht="11.25">
      <c r="A300" s="0">
        <v>2655</v>
      </c>
      <c r="B300" s="0" t="s">
        <v>102</v>
      </c>
      <c r="C300" s="0">
        <v>31004851</v>
      </c>
      <c r="D300" s="0" t="s">
        <v>4639</v>
      </c>
      <c r="E300" s="0" t="s">
        <v>4640</v>
      </c>
      <c r="F300" s="0" t="s">
        <v>4641</v>
      </c>
      <c r="G300" s="0" t="s">
        <v>3481</v>
      </c>
      <c r="H300" s="0" t="s">
        <v>4642</v>
      </c>
      <c r="I300" s="0" t="s">
        <v>4643</v>
      </c>
      <c r="J300" s="0" t="s">
        <v>3745</v>
      </c>
      <c r="K300" s="0" t="s">
        <v>4644</v>
      </c>
      <c r="L300" s="0" t="s">
        <v>4645</v>
      </c>
      <c r="M300" s="0" t="s">
        <v>4646</v>
      </c>
      <c r="N300" s="0" t="s">
        <v>4647</v>
      </c>
      <c r="O300" s="0" t="s">
        <v>4648</v>
      </c>
      <c r="P300" s="0" t="s">
        <v>145</v>
      </c>
      <c r="Q300" s="0" t="s">
        <v>4649</v>
      </c>
      <c r="R300" s="0" t="b">
        <v>0</v>
      </c>
      <c r="S300" s="0" t="s">
        <v>4822</v>
      </c>
    </row>
    <row customHeight="1" ht="11.25">
      <c r="A301" s="0">
        <v>2655</v>
      </c>
      <c r="B301" s="0" t="s">
        <v>102</v>
      </c>
      <c r="C301" s="0">
        <v>26356976</v>
      </c>
      <c r="D301" s="0" t="s">
        <v>4650</v>
      </c>
      <c r="E301" s="0" t="s">
        <v>4651</v>
      </c>
      <c r="F301" s="0" t="s">
        <v>4652</v>
      </c>
      <c r="G301" s="0" t="s">
        <v>3852</v>
      </c>
      <c r="H301" s="0" t="s">
        <v>4653</v>
      </c>
      <c r="I301" s="0" t="s">
        <v>4654</v>
      </c>
      <c r="J301" s="0" t="s">
        <v>3745</v>
      </c>
      <c r="K301" s="0" t="s">
        <v>4655</v>
      </c>
      <c r="L301" s="0" t="s">
        <v>4655</v>
      </c>
      <c r="M301" s="0" t="s">
        <v>4656</v>
      </c>
      <c r="N301" s="0" t="s">
        <v>4657</v>
      </c>
      <c r="O301" s="0" t="s">
        <v>4658</v>
      </c>
      <c r="P301" s="0" t="s">
        <v>3499</v>
      </c>
      <c r="Q301" s="0" t="s">
        <v>4659</v>
      </c>
      <c r="R301" s="0" t="b">
        <v>0</v>
      </c>
      <c r="S301" s="0" t="s">
        <v>4822</v>
      </c>
    </row>
    <row customHeight="1" ht="11.25">
      <c r="A302" s="0">
        <v>2655</v>
      </c>
      <c r="B302" s="0" t="s">
        <v>102</v>
      </c>
      <c r="C302" s="0">
        <v>28274482</v>
      </c>
      <c r="D302" s="0" t="s">
        <v>4660</v>
      </c>
      <c r="E302" s="0" t="s">
        <v>4661</v>
      </c>
      <c r="F302" s="0" t="s">
        <v>4662</v>
      </c>
      <c r="G302" s="0" t="s">
        <v>3525</v>
      </c>
      <c r="H302" s="0" t="s">
        <v>4663</v>
      </c>
      <c r="I302" s="0" t="s">
        <v>4664</v>
      </c>
      <c r="J302" s="0" t="s">
        <v>3745</v>
      </c>
      <c r="K302" s="0" t="s">
        <v>4665</v>
      </c>
      <c r="L302" s="0" t="s">
        <v>4666</v>
      </c>
      <c r="M302" s="0" t="s">
        <v>3836</v>
      </c>
      <c r="N302" s="0" t="s">
        <v>3837</v>
      </c>
      <c r="O302" s="0" t="s">
        <v>3838</v>
      </c>
      <c r="P302" s="0" t="s">
        <v>3580</v>
      </c>
      <c r="Q302" s="0" t="s">
        <v>240</v>
      </c>
      <c r="R302" s="0" t="b">
        <v>0</v>
      </c>
      <c r="S302" s="0" t="s">
        <v>4822</v>
      </c>
    </row>
    <row customHeight="1" ht="11.25">
      <c r="A303" s="0">
        <v>2655</v>
      </c>
      <c r="B303" s="0" t="s">
        <v>102</v>
      </c>
      <c r="C303" s="0">
        <v>31224454</v>
      </c>
      <c r="D303" s="0" t="s">
        <v>4667</v>
      </c>
      <c r="E303" s="0" t="s">
        <v>4668</v>
      </c>
      <c r="F303" s="0" t="s">
        <v>4669</v>
      </c>
      <c r="G303" s="0" t="s">
        <v>3481</v>
      </c>
      <c r="H303" s="0" t="s">
        <v>4670</v>
      </c>
      <c r="I303" s="0" t="s">
        <v>4671</v>
      </c>
      <c r="J303" s="0" t="s">
        <v>3745</v>
      </c>
      <c r="K303" s="0" t="s">
        <v>4672</v>
      </c>
      <c r="L303" s="0" t="s">
        <v>4672</v>
      </c>
      <c r="M303" s="0" t="s">
        <v>4673</v>
      </c>
      <c r="N303" s="0" t="s">
        <v>4674</v>
      </c>
      <c r="O303" s="0" t="s">
        <v>4675</v>
      </c>
      <c r="P303" s="0" t="s">
        <v>145</v>
      </c>
      <c r="Q303" s="0" t="s">
        <v>240</v>
      </c>
      <c r="R303" s="0" t="b">
        <v>0</v>
      </c>
      <c r="S303" s="0" t="s">
        <v>4822</v>
      </c>
    </row>
    <row customHeight="1" ht="11.25">
      <c r="A304" s="0">
        <v>2655</v>
      </c>
      <c r="B304" s="0" t="s">
        <v>102</v>
      </c>
      <c r="C304" s="0">
        <v>27997410</v>
      </c>
      <c r="D304" s="0" t="s">
        <v>4676</v>
      </c>
      <c r="E304" s="0" t="s">
        <v>4677</v>
      </c>
      <c r="F304" s="0" t="s">
        <v>4678</v>
      </c>
      <c r="G304" s="0" t="s">
        <v>3654</v>
      </c>
      <c r="H304" s="0" t="s">
        <v>4679</v>
      </c>
      <c r="I304" s="0" t="s">
        <v>4680</v>
      </c>
      <c r="J304" s="0" t="s">
        <v>3745</v>
      </c>
      <c r="K304" s="0" t="s">
        <v>4681</v>
      </c>
      <c r="L304" s="0" t="s">
        <v>4681</v>
      </c>
      <c r="M304" s="0" t="s">
        <v>4682</v>
      </c>
      <c r="N304" s="0" t="s">
        <v>4683</v>
      </c>
      <c r="O304" s="0" t="s">
        <v>4684</v>
      </c>
      <c r="P304" s="0" t="s">
        <v>3580</v>
      </c>
      <c r="Q304" s="0" t="s">
        <v>4685</v>
      </c>
      <c r="R304" s="0" t="b">
        <v>1</v>
      </c>
      <c r="S304" s="0" t="s">
        <v>4822</v>
      </c>
    </row>
    <row customHeight="1" ht="11.25">
      <c r="A305" s="0">
        <v>2655</v>
      </c>
      <c r="B305" s="0" t="s">
        <v>102</v>
      </c>
      <c r="C305" s="0">
        <v>26852692</v>
      </c>
      <c r="D305" s="0" t="s">
        <v>4686</v>
      </c>
      <c r="E305" s="0" t="s">
        <v>4687</v>
      </c>
      <c r="F305" s="0" t="s">
        <v>4688</v>
      </c>
      <c r="G305" s="0" t="s">
        <v>3852</v>
      </c>
      <c r="H305" s="0" t="s">
        <v>4689</v>
      </c>
      <c r="I305" s="0" t="s">
        <v>4690</v>
      </c>
      <c r="K305" s="0" t="s">
        <v>4691</v>
      </c>
      <c r="L305" s="0" t="s">
        <v>4691</v>
      </c>
      <c r="M305" s="0" t="s">
        <v>4682</v>
      </c>
      <c r="N305" s="0" t="s">
        <v>4683</v>
      </c>
      <c r="O305" s="0" t="s">
        <v>4692</v>
      </c>
      <c r="P305" s="0" t="s">
        <v>3580</v>
      </c>
      <c r="Q305" s="0" t="s">
        <v>240</v>
      </c>
      <c r="R305" s="0" t="b">
        <v>1</v>
      </c>
      <c r="S305" s="0" t="s">
        <v>4822</v>
      </c>
    </row>
    <row customHeight="1" ht="11.25">
      <c r="A306" s="0">
        <v>2655</v>
      </c>
      <c r="B306" s="0" t="s">
        <v>102</v>
      </c>
      <c r="C306" s="0">
        <v>31534676</v>
      </c>
      <c r="D306" s="0" t="s">
        <v>4693</v>
      </c>
      <c r="E306" s="0" t="s">
        <v>4694</v>
      </c>
      <c r="F306" s="0" t="s">
        <v>4695</v>
      </c>
      <c r="G306" s="0" t="s">
        <v>3595</v>
      </c>
      <c r="H306" s="0" t="s">
        <v>4696</v>
      </c>
      <c r="I306" s="0" t="s">
        <v>4697</v>
      </c>
      <c r="K306" s="0" t="s">
        <v>4698</v>
      </c>
      <c r="L306" s="0" t="s">
        <v>4699</v>
      </c>
      <c r="M306" s="0" t="s">
        <v>4700</v>
      </c>
      <c r="N306" s="0" t="s">
        <v>4701</v>
      </c>
      <c r="O306" s="0" t="s">
        <v>4702</v>
      </c>
      <c r="P306" s="0" t="s">
        <v>3580</v>
      </c>
      <c r="Q306" s="0" t="s">
        <v>240</v>
      </c>
      <c r="R306" s="0" t="b">
        <v>0</v>
      </c>
      <c r="S306" s="0" t="s">
        <v>4822</v>
      </c>
    </row>
    <row customHeight="1" ht="11.25">
      <c r="A307" s="0">
        <v>2655</v>
      </c>
      <c r="B307" s="0" t="s">
        <v>102</v>
      </c>
      <c r="C307" s="0">
        <v>26356899</v>
      </c>
      <c r="D307" s="0" t="s">
        <v>4703</v>
      </c>
      <c r="E307" s="0" t="s">
        <v>4704</v>
      </c>
      <c r="F307" s="0" t="s">
        <v>4705</v>
      </c>
      <c r="G307" s="0" t="s">
        <v>4706</v>
      </c>
      <c r="H307" s="0" t="s">
        <v>4707</v>
      </c>
      <c r="I307" s="0" t="s">
        <v>240</v>
      </c>
      <c r="J307" s="0" t="s">
        <v>3745</v>
      </c>
      <c r="K307" s="0" t="s">
        <v>3949</v>
      </c>
      <c r="L307" s="0" t="s">
        <v>3949</v>
      </c>
      <c r="M307" s="0" t="s">
        <v>4708</v>
      </c>
      <c r="N307" s="0" t="s">
        <v>240</v>
      </c>
      <c r="O307" s="0" t="s">
        <v>3952</v>
      </c>
      <c r="P307" s="0" t="s">
        <v>3580</v>
      </c>
      <c r="Q307" s="0" t="s">
        <v>240</v>
      </c>
      <c r="R307" s="0" t="b">
        <v>0</v>
      </c>
      <c r="S307" s="0" t="s">
        <v>4822</v>
      </c>
    </row>
    <row customHeight="1" ht="11.25">
      <c r="A308" s="0">
        <v>2655</v>
      </c>
      <c r="B308" s="0" t="s">
        <v>102</v>
      </c>
      <c r="C308" s="0">
        <v>31224507</v>
      </c>
      <c r="D308" s="0" t="s">
        <v>4709</v>
      </c>
      <c r="E308" s="0" t="s">
        <v>4710</v>
      </c>
      <c r="F308" s="0" t="s">
        <v>4711</v>
      </c>
      <c r="G308" s="0" t="s">
        <v>4712</v>
      </c>
      <c r="H308" s="0" t="s">
        <v>4713</v>
      </c>
      <c r="I308" s="0" t="s">
        <v>4714</v>
      </c>
      <c r="J308" s="0" t="s">
        <v>3745</v>
      </c>
      <c r="K308" s="0" t="s">
        <v>4715</v>
      </c>
      <c r="L308" s="0" t="s">
        <v>4715</v>
      </c>
      <c r="M308" s="0" t="s">
        <v>4716</v>
      </c>
      <c r="N308" s="0" t="s">
        <v>4717</v>
      </c>
      <c r="O308" s="0" t="s">
        <v>4675</v>
      </c>
      <c r="P308" s="0" t="s">
        <v>145</v>
      </c>
      <c r="Q308" s="0" t="s">
        <v>240</v>
      </c>
      <c r="R308" s="0" t="b">
        <v>0</v>
      </c>
      <c r="S308" s="0" t="s">
        <v>4822</v>
      </c>
    </row>
    <row customHeight="1" ht="11.25">
      <c r="A309" s="0">
        <v>2655</v>
      </c>
      <c r="B309" s="0" t="s">
        <v>102</v>
      </c>
      <c r="C309" s="0">
        <v>27968109</v>
      </c>
      <c r="D309" s="0" t="s">
        <v>4718</v>
      </c>
      <c r="E309" s="0" t="s">
        <v>4719</v>
      </c>
      <c r="F309" s="0" t="s">
        <v>4720</v>
      </c>
      <c r="G309" s="0" t="s">
        <v>123</v>
      </c>
      <c r="H309" s="0" t="s">
        <v>4721</v>
      </c>
      <c r="I309" s="0" t="s">
        <v>4722</v>
      </c>
      <c r="J309" s="0" t="s">
        <v>3745</v>
      </c>
      <c r="K309" s="0" t="s">
        <v>4723</v>
      </c>
      <c r="L309" s="0" t="s">
        <v>4723</v>
      </c>
      <c r="M309" s="0" t="s">
        <v>4724</v>
      </c>
      <c r="N309" s="0" t="s">
        <v>4725</v>
      </c>
      <c r="O309" s="0" t="s">
        <v>4726</v>
      </c>
      <c r="P309" s="0" t="s">
        <v>145</v>
      </c>
      <c r="Q309" s="0" t="s">
        <v>4727</v>
      </c>
      <c r="R309" s="0" t="b">
        <v>0</v>
      </c>
      <c r="S309" s="0" t="s">
        <v>4822</v>
      </c>
    </row>
    <row customHeight="1" ht="11.25">
      <c r="A310" s="0">
        <v>2655</v>
      </c>
      <c r="B310" s="0" t="s">
        <v>102</v>
      </c>
      <c r="C310" s="0">
        <v>26356932</v>
      </c>
      <c r="D310" s="0" t="s">
        <v>4728</v>
      </c>
      <c r="E310" s="0" t="s">
        <v>4729</v>
      </c>
      <c r="F310" s="0" t="s">
        <v>4730</v>
      </c>
      <c r="G310" s="0" t="s">
        <v>3752</v>
      </c>
      <c r="H310" s="0" t="s">
        <v>4731</v>
      </c>
      <c r="I310" s="0" t="s">
        <v>4732</v>
      </c>
      <c r="J310" s="0" t="s">
        <v>3745</v>
      </c>
      <c r="K310" s="0" t="s">
        <v>4733</v>
      </c>
      <c r="L310" s="0" t="s">
        <v>4733</v>
      </c>
      <c r="M310" s="0" t="s">
        <v>4734</v>
      </c>
      <c r="N310" s="0" t="s">
        <v>4735</v>
      </c>
      <c r="O310" s="0" t="s">
        <v>4736</v>
      </c>
      <c r="P310" s="0" t="s">
        <v>3580</v>
      </c>
      <c r="Q310" s="0" t="s">
        <v>240</v>
      </c>
      <c r="R310" s="0" t="b">
        <v>1</v>
      </c>
      <c r="S310" s="0" t="s">
        <v>4822</v>
      </c>
    </row>
    <row customHeight="1" ht="11.25">
      <c r="A311" s="0">
        <v>2655</v>
      </c>
      <c r="B311" s="0" t="s">
        <v>102</v>
      </c>
      <c r="C311" s="0">
        <v>28270293</v>
      </c>
      <c r="D311" s="0" t="s">
        <v>3925</v>
      </c>
      <c r="E311" s="0" t="s">
        <v>3926</v>
      </c>
      <c r="F311" s="0" t="s">
        <v>3927</v>
      </c>
      <c r="G311" s="0" t="s">
        <v>3683</v>
      </c>
      <c r="H311" s="0" t="s">
        <v>3928</v>
      </c>
      <c r="I311" s="0" t="s">
        <v>3929</v>
      </c>
      <c r="J311" s="0" t="s">
        <v>3745</v>
      </c>
      <c r="K311" s="0" t="s">
        <v>3930</v>
      </c>
      <c r="L311" s="0" t="s">
        <v>3930</v>
      </c>
      <c r="M311" s="0" t="s">
        <v>3931</v>
      </c>
      <c r="N311" s="0" t="s">
        <v>3932</v>
      </c>
      <c r="O311" s="0" t="s">
        <v>3933</v>
      </c>
      <c r="P311" s="0" t="s">
        <v>145</v>
      </c>
      <c r="Q311" s="0" t="s">
        <v>240</v>
      </c>
      <c r="R311" s="0" t="b">
        <v>0</v>
      </c>
      <c r="S311" s="0" t="s">
        <v>4822</v>
      </c>
    </row>
    <row customHeight="1" ht="11.25">
      <c r="A312" s="0">
        <v>2655</v>
      </c>
      <c r="B312" s="0" t="s">
        <v>102</v>
      </c>
      <c r="C312" s="0">
        <v>28873362</v>
      </c>
      <c r="D312" s="0" t="s">
        <v>3934</v>
      </c>
      <c r="E312" s="0" t="s">
        <v>3935</v>
      </c>
      <c r="F312" s="0" t="s">
        <v>3936</v>
      </c>
      <c r="G312" s="0" t="s">
        <v>123</v>
      </c>
      <c r="H312" s="0" t="s">
        <v>3937</v>
      </c>
      <c r="I312" s="0" t="s">
        <v>3938</v>
      </c>
      <c r="J312" s="0" t="s">
        <v>3745</v>
      </c>
      <c r="K312" s="0" t="s">
        <v>3939</v>
      </c>
      <c r="L312" s="0" t="s">
        <v>3939</v>
      </c>
      <c r="M312" s="0" t="s">
        <v>3940</v>
      </c>
      <c r="N312" s="0" t="s">
        <v>3941</v>
      </c>
      <c r="O312" s="0" t="s">
        <v>3942</v>
      </c>
      <c r="P312" s="0" t="s">
        <v>3580</v>
      </c>
      <c r="Q312" s="0" t="s">
        <v>3943</v>
      </c>
      <c r="R312" s="0" t="b">
        <v>0</v>
      </c>
      <c r="S312" s="0" t="s">
        <v>4822</v>
      </c>
    </row>
    <row customHeight="1" ht="11.25">
      <c r="A313" s="0">
        <v>2655</v>
      </c>
      <c r="B313" s="0" t="s">
        <v>102</v>
      </c>
      <c r="C313" s="0">
        <v>31774768</v>
      </c>
      <c r="D313" s="0" t="s">
        <v>4737</v>
      </c>
      <c r="E313" s="0" t="s">
        <v>4738</v>
      </c>
      <c r="F313" s="0" t="s">
        <v>4739</v>
      </c>
      <c r="G313" s="0" t="s">
        <v>3704</v>
      </c>
      <c r="H313" s="0" t="s">
        <v>4740</v>
      </c>
      <c r="I313" s="0" t="s">
        <v>4741</v>
      </c>
      <c r="K313" s="0" t="s">
        <v>4742</v>
      </c>
      <c r="L313" s="0" t="s">
        <v>4742</v>
      </c>
      <c r="M313" s="0" t="s">
        <v>240</v>
      </c>
      <c r="N313" s="0" t="s">
        <v>4743</v>
      </c>
      <c r="O313" s="0" t="s">
        <v>4744</v>
      </c>
      <c r="P313" s="0" t="s">
        <v>3465</v>
      </c>
      <c r="Q313" s="0" t="s">
        <v>240</v>
      </c>
      <c r="R313" s="0" t="b">
        <v>1</v>
      </c>
      <c r="S313" s="0" t="s">
        <v>4822</v>
      </c>
    </row>
    <row customHeight="1" ht="11.25">
      <c r="A314" s="0">
        <v>2655</v>
      </c>
      <c r="B314" s="0" t="s">
        <v>102</v>
      </c>
      <c r="C314" s="0">
        <v>30992391</v>
      </c>
      <c r="D314" s="0" t="s">
        <v>3953</v>
      </c>
      <c r="E314" s="0" t="s">
        <v>3954</v>
      </c>
      <c r="F314" s="0" t="s">
        <v>3955</v>
      </c>
      <c r="G314" s="0" t="s">
        <v>3572</v>
      </c>
      <c r="H314" s="0" t="s">
        <v>3956</v>
      </c>
      <c r="I314" s="0" t="s">
        <v>3957</v>
      </c>
      <c r="J314" s="0" t="s">
        <v>3745</v>
      </c>
      <c r="K314" s="0" t="s">
        <v>3958</v>
      </c>
      <c r="L314" s="0" t="s">
        <v>3959</v>
      </c>
      <c r="M314" s="0" t="s">
        <v>3960</v>
      </c>
      <c r="N314" s="0" t="s">
        <v>3961</v>
      </c>
      <c r="O314" s="0" t="s">
        <v>3962</v>
      </c>
      <c r="P314" s="0" t="s">
        <v>3580</v>
      </c>
      <c r="Q314" s="0" t="s">
        <v>3963</v>
      </c>
      <c r="R314" s="0" t="b">
        <v>0</v>
      </c>
      <c r="S314" s="0" t="s">
        <v>4822</v>
      </c>
    </row>
    <row customHeight="1" ht="11.25">
      <c r="A315" s="0">
        <v>2655</v>
      </c>
      <c r="B315" s="0" t="s">
        <v>102</v>
      </c>
      <c r="C315" s="0">
        <v>31491836</v>
      </c>
      <c r="D315" s="0" t="s">
        <v>4745</v>
      </c>
      <c r="E315" s="0" t="s">
        <v>4746</v>
      </c>
      <c r="F315" s="0" t="s">
        <v>4747</v>
      </c>
      <c r="G315" s="0" t="s">
        <v>123</v>
      </c>
      <c r="H315" s="0" t="s">
        <v>4748</v>
      </c>
      <c r="I315" s="0" t="s">
        <v>4749</v>
      </c>
      <c r="J315" s="0" t="s">
        <v>3745</v>
      </c>
      <c r="K315" s="0" t="s">
        <v>4750</v>
      </c>
      <c r="L315" s="0" t="s">
        <v>4751</v>
      </c>
      <c r="M315" s="0" t="s">
        <v>4752</v>
      </c>
      <c r="N315" s="0" t="s">
        <v>4753</v>
      </c>
      <c r="O315" s="0" t="s">
        <v>4754</v>
      </c>
      <c r="P315" s="0" t="s">
        <v>3613</v>
      </c>
      <c r="Q315" s="0" t="s">
        <v>240</v>
      </c>
      <c r="R315" s="0" t="b">
        <v>1</v>
      </c>
      <c r="S315" s="0" t="s">
        <v>4822</v>
      </c>
    </row>
    <row customHeight="1" ht="11.25">
      <c r="A316" s="0">
        <v>2655</v>
      </c>
      <c r="B316" s="0" t="s">
        <v>102</v>
      </c>
      <c r="C316" s="0">
        <v>26356974</v>
      </c>
      <c r="D316" s="0" t="s">
        <v>4755</v>
      </c>
      <c r="E316" s="0" t="s">
        <v>4756</v>
      </c>
      <c r="F316" s="0" t="s">
        <v>4757</v>
      </c>
      <c r="G316" s="0" t="s">
        <v>4758</v>
      </c>
      <c r="H316" s="0" t="s">
        <v>4759</v>
      </c>
      <c r="I316" s="0" t="s">
        <v>4760</v>
      </c>
      <c r="J316" s="0" t="s">
        <v>3745</v>
      </c>
      <c r="K316" s="0" t="s">
        <v>4761</v>
      </c>
      <c r="L316" s="0" t="s">
        <v>4761</v>
      </c>
      <c r="M316" s="0" t="s">
        <v>4762</v>
      </c>
      <c r="N316" s="0" t="s">
        <v>4763</v>
      </c>
      <c r="O316" s="0" t="s">
        <v>4764</v>
      </c>
      <c r="P316" s="0" t="s">
        <v>3580</v>
      </c>
      <c r="Q316" s="0" t="s">
        <v>4765</v>
      </c>
      <c r="R316" s="0" t="b">
        <v>0</v>
      </c>
      <c r="S316" s="0" t="s">
        <v>4822</v>
      </c>
    </row>
    <row customHeight="1" ht="11.25">
      <c r="A317" s="0">
        <v>2655</v>
      </c>
      <c r="B317" s="0" t="s">
        <v>102</v>
      </c>
      <c r="C317" s="0">
        <v>31365968</v>
      </c>
      <c r="D317" s="0" t="s">
        <v>4766</v>
      </c>
      <c r="E317" s="0" t="s">
        <v>4767</v>
      </c>
      <c r="F317" s="0" t="s">
        <v>4768</v>
      </c>
      <c r="G317" s="0" t="s">
        <v>3654</v>
      </c>
      <c r="H317" s="0" t="s">
        <v>4769</v>
      </c>
      <c r="I317" s="0" t="s">
        <v>4770</v>
      </c>
      <c r="J317" s="0" t="s">
        <v>3745</v>
      </c>
      <c r="K317" s="0" t="s">
        <v>4771</v>
      </c>
      <c r="L317" s="0" t="s">
        <v>4771</v>
      </c>
      <c r="M317" s="0" t="s">
        <v>4772</v>
      </c>
      <c r="N317" s="0" t="s">
        <v>4773</v>
      </c>
      <c r="O317" s="0" t="s">
        <v>4774</v>
      </c>
      <c r="P317" s="0" t="s">
        <v>145</v>
      </c>
      <c r="Q317" s="0" t="s">
        <v>240</v>
      </c>
      <c r="R317" s="0" t="b">
        <v>0</v>
      </c>
      <c r="S317" s="0" t="s">
        <v>4822</v>
      </c>
    </row>
    <row customHeight="1" ht="11.25">
      <c r="A318" s="0">
        <v>2655</v>
      </c>
      <c r="B318" s="0" t="s">
        <v>102</v>
      </c>
      <c r="C318" s="0">
        <v>31038861</v>
      </c>
      <c r="D318" s="0" t="s">
        <v>4775</v>
      </c>
      <c r="E318" s="0" t="s">
        <v>4776</v>
      </c>
      <c r="F318" s="0" t="s">
        <v>4777</v>
      </c>
      <c r="G318" s="0" t="s">
        <v>3481</v>
      </c>
      <c r="H318" s="0" t="s">
        <v>4778</v>
      </c>
      <c r="I318" s="0" t="s">
        <v>4779</v>
      </c>
      <c r="J318" s="0" t="s">
        <v>3745</v>
      </c>
      <c r="K318" s="0" t="s">
        <v>4780</v>
      </c>
      <c r="L318" s="0" t="s">
        <v>4781</v>
      </c>
      <c r="M318" s="0" t="s">
        <v>4782</v>
      </c>
      <c r="N318" s="0" t="s">
        <v>4783</v>
      </c>
      <c r="O318" s="0" t="s">
        <v>4784</v>
      </c>
      <c r="P318" s="0" t="s">
        <v>3580</v>
      </c>
      <c r="Q318" s="0" t="s">
        <v>240</v>
      </c>
      <c r="R318" s="0" t="b">
        <v>0</v>
      </c>
      <c r="S318" s="0" t="s">
        <v>4822</v>
      </c>
    </row>
    <row customHeight="1" ht="11.25">
      <c r="A319" s="0">
        <v>2655</v>
      </c>
      <c r="B319" s="0" t="s">
        <v>102</v>
      </c>
      <c r="C319" s="0">
        <v>26853991</v>
      </c>
      <c r="D319" s="0" t="s">
        <v>3964</v>
      </c>
      <c r="E319" s="0" t="s">
        <v>3965</v>
      </c>
      <c r="F319" s="0" t="s">
        <v>3966</v>
      </c>
      <c r="G319" s="0" t="s">
        <v>3967</v>
      </c>
      <c r="H319" s="0" t="s">
        <v>3968</v>
      </c>
      <c r="I319" s="0" t="s">
        <v>3969</v>
      </c>
      <c r="J319" s="0" t="s">
        <v>3446</v>
      </c>
      <c r="K319" s="0" t="s">
        <v>3970</v>
      </c>
      <c r="L319" s="0" t="s">
        <v>3971</v>
      </c>
      <c r="M319" s="0" t="s">
        <v>3972</v>
      </c>
      <c r="N319" s="0" t="s">
        <v>3973</v>
      </c>
      <c r="O319" s="0" t="s">
        <v>3974</v>
      </c>
      <c r="P319" s="0" t="s">
        <v>145</v>
      </c>
      <c r="Q319" s="0" t="s">
        <v>240</v>
      </c>
      <c r="R319" s="0" t="b">
        <v>0</v>
      </c>
      <c r="S319" s="0" t="s">
        <v>4822</v>
      </c>
    </row>
    <row customHeight="1" ht="11.25">
      <c r="A320" s="0">
        <v>2655</v>
      </c>
      <c r="B320" s="0" t="s">
        <v>102</v>
      </c>
      <c r="C320" s="0">
        <v>31908312</v>
      </c>
      <c r="D320" s="0" t="s">
        <v>3964</v>
      </c>
      <c r="E320" s="0" t="s">
        <v>3975</v>
      </c>
      <c r="F320" s="0" t="s">
        <v>3966</v>
      </c>
      <c r="G320" s="0" t="s">
        <v>3967</v>
      </c>
      <c r="H320" s="0" t="s">
        <v>3968</v>
      </c>
      <c r="I320" s="0" t="s">
        <v>3969</v>
      </c>
      <c r="K320" s="0" t="s">
        <v>3976</v>
      </c>
      <c r="L320" s="0" t="s">
        <v>3976</v>
      </c>
      <c r="M320" s="0" t="s">
        <v>3977</v>
      </c>
      <c r="N320" s="0" t="s">
        <v>3978</v>
      </c>
      <c r="O320" s="0" t="s">
        <v>3979</v>
      </c>
      <c r="P320" s="0" t="s">
        <v>240</v>
      </c>
      <c r="Q320" s="0" t="s">
        <v>3980</v>
      </c>
      <c r="R320" s="0" t="b">
        <v>0</v>
      </c>
      <c r="S320" s="0" t="s">
        <v>4822</v>
      </c>
    </row>
    <row customHeight="1" ht="11.25">
      <c r="A321" s="0">
        <v>2655</v>
      </c>
      <c r="B321" s="0" t="s">
        <v>102</v>
      </c>
      <c r="C321" s="0">
        <v>26519663</v>
      </c>
      <c r="D321" s="0" t="s">
        <v>4785</v>
      </c>
      <c r="E321" s="0" t="s">
        <v>4786</v>
      </c>
      <c r="F321" s="0" t="s">
        <v>4787</v>
      </c>
      <c r="G321" s="0" t="s">
        <v>3645</v>
      </c>
      <c r="H321" s="0" t="s">
        <v>4788</v>
      </c>
      <c r="I321" s="0" t="s">
        <v>4789</v>
      </c>
      <c r="J321" s="0" t="s">
        <v>3517</v>
      </c>
      <c r="K321" s="0" t="s">
        <v>4790</v>
      </c>
      <c r="L321" s="0" t="s">
        <v>4790</v>
      </c>
      <c r="M321" s="0" t="s">
        <v>4791</v>
      </c>
      <c r="N321" s="0" t="s">
        <v>4792</v>
      </c>
      <c r="O321" s="0" t="s">
        <v>4793</v>
      </c>
      <c r="P321" s="0" t="s">
        <v>3499</v>
      </c>
      <c r="Q321" s="0" t="s">
        <v>4794</v>
      </c>
      <c r="R321" s="0" t="b">
        <v>0</v>
      </c>
      <c r="S321" s="0" t="s">
        <v>4822</v>
      </c>
    </row>
    <row customHeight="1" ht="11.25">
      <c r="A322" s="0">
        <v>2655</v>
      </c>
      <c r="B322" s="0" t="s">
        <v>102</v>
      </c>
      <c r="C322" s="0">
        <v>30808511</v>
      </c>
      <c r="D322" s="0" t="s">
        <v>3981</v>
      </c>
      <c r="E322" s="0" t="s">
        <v>3981</v>
      </c>
      <c r="F322" s="0" t="s">
        <v>3982</v>
      </c>
      <c r="G322" s="0" t="s">
        <v>3983</v>
      </c>
      <c r="H322" s="0" t="s">
        <v>3984</v>
      </c>
      <c r="I322" s="0" t="s">
        <v>3985</v>
      </c>
      <c r="J322" s="0" t="s">
        <v>3986</v>
      </c>
      <c r="K322" s="0" t="s">
        <v>3987</v>
      </c>
      <c r="L322" s="0" t="s">
        <v>3988</v>
      </c>
      <c r="M322" s="0" t="s">
        <v>3989</v>
      </c>
      <c r="N322" s="0" t="s">
        <v>3990</v>
      </c>
      <c r="O322" s="0" t="s">
        <v>3991</v>
      </c>
      <c r="P322" s="0" t="s">
        <v>3580</v>
      </c>
      <c r="Q322" s="0" t="s">
        <v>3990</v>
      </c>
      <c r="R322" s="0" t="b">
        <v>0</v>
      </c>
      <c r="S322" s="0" t="s">
        <v>4822</v>
      </c>
    </row>
    <row customHeight="1" ht="11.25">
      <c r="A323" s="0">
        <v>2655</v>
      </c>
      <c r="B323" s="0" t="s">
        <v>102</v>
      </c>
      <c r="C323" s="0">
        <v>28977129</v>
      </c>
      <c r="D323" s="0" t="s">
        <v>4795</v>
      </c>
      <c r="E323" s="0" t="s">
        <v>4796</v>
      </c>
      <c r="F323" s="0" t="s">
        <v>3982</v>
      </c>
      <c r="G323" s="0" t="s">
        <v>4797</v>
      </c>
      <c r="H323" s="0" t="s">
        <v>3984</v>
      </c>
      <c r="I323" s="0" t="s">
        <v>3995</v>
      </c>
      <c r="J323" s="0" t="s">
        <v>3986</v>
      </c>
      <c r="K323" s="0" t="s">
        <v>4798</v>
      </c>
      <c r="L323" s="0" t="s">
        <v>4799</v>
      </c>
      <c r="M323" s="0" t="s">
        <v>4800</v>
      </c>
      <c r="N323" s="0" t="s">
        <v>240</v>
      </c>
      <c r="O323" s="0" t="s">
        <v>4801</v>
      </c>
      <c r="P323" s="0" t="s">
        <v>3580</v>
      </c>
      <c r="Q323" s="0" t="s">
        <v>240</v>
      </c>
      <c r="R323" s="0" t="b">
        <v>0</v>
      </c>
      <c r="S323" s="0" t="s">
        <v>4822</v>
      </c>
    </row>
    <row customHeight="1" ht="11.25">
      <c r="A324" s="0">
        <v>2655</v>
      </c>
      <c r="B324" s="0" t="s">
        <v>102</v>
      </c>
      <c r="C324" s="0">
        <v>30829962</v>
      </c>
      <c r="D324" s="0" t="s">
        <v>4802</v>
      </c>
      <c r="E324" s="0" t="s">
        <v>4803</v>
      </c>
      <c r="F324" s="0" t="s">
        <v>3982</v>
      </c>
      <c r="G324" s="0" t="s">
        <v>123</v>
      </c>
      <c r="H324" s="0" t="s">
        <v>3984</v>
      </c>
      <c r="I324" s="0" t="s">
        <v>4804</v>
      </c>
      <c r="J324" s="0" t="s">
        <v>3986</v>
      </c>
      <c r="K324" s="0" t="s">
        <v>4805</v>
      </c>
      <c r="L324" s="0" t="s">
        <v>4805</v>
      </c>
      <c r="M324" s="0" t="s">
        <v>4806</v>
      </c>
      <c r="N324" s="0" t="s">
        <v>4807</v>
      </c>
      <c r="O324" s="0" t="s">
        <v>4808</v>
      </c>
      <c r="P324" s="0" t="s">
        <v>3613</v>
      </c>
      <c r="Q324" s="0" t="s">
        <v>240</v>
      </c>
      <c r="R324" s="0" t="b">
        <v>0</v>
      </c>
      <c r="S324" s="0" t="s">
        <v>4822</v>
      </c>
    </row>
    <row customHeight="1" ht="11.25">
      <c r="A325" s="0">
        <v>2655</v>
      </c>
      <c r="B325" s="0" t="s">
        <v>102</v>
      </c>
      <c r="C325" s="0">
        <v>26520873</v>
      </c>
      <c r="D325" s="0" t="s">
        <v>3992</v>
      </c>
      <c r="E325" s="0" t="s">
        <v>3993</v>
      </c>
      <c r="F325" s="0" t="s">
        <v>3982</v>
      </c>
      <c r="G325" s="0" t="s">
        <v>3994</v>
      </c>
      <c r="H325" s="0" t="s">
        <v>3984</v>
      </c>
      <c r="I325" s="0" t="s">
        <v>3995</v>
      </c>
      <c r="J325" s="0" t="s">
        <v>3986</v>
      </c>
      <c r="K325" s="0" t="s">
        <v>3996</v>
      </c>
      <c r="L325" s="0" t="s">
        <v>3997</v>
      </c>
      <c r="M325" s="0" t="s">
        <v>3998</v>
      </c>
      <c r="N325" s="0" t="s">
        <v>3999</v>
      </c>
      <c r="O325" s="0" t="s">
        <v>4000</v>
      </c>
      <c r="P325" s="0" t="s">
        <v>3580</v>
      </c>
      <c r="Q325" s="0" t="s">
        <v>4001</v>
      </c>
      <c r="R325" s="0" t="b">
        <v>0</v>
      </c>
      <c r="S325" s="0" t="s">
        <v>4822</v>
      </c>
    </row>
    <row customHeight="1" ht="11.25">
      <c r="A326" s="0">
        <v>2655</v>
      </c>
      <c r="B326" s="0" t="s">
        <v>102</v>
      </c>
      <c r="C326" s="0">
        <v>30914574</v>
      </c>
      <c r="D326" s="0" t="s">
        <v>4809</v>
      </c>
      <c r="E326" s="0" t="s">
        <v>4810</v>
      </c>
      <c r="F326" s="0" t="s">
        <v>4811</v>
      </c>
      <c r="G326" s="0" t="s">
        <v>4812</v>
      </c>
      <c r="H326" s="0" t="s">
        <v>4813</v>
      </c>
      <c r="I326" s="0" t="s">
        <v>4814</v>
      </c>
      <c r="J326" s="0" t="s">
        <v>4815</v>
      </c>
      <c r="K326" s="0" t="s">
        <v>4816</v>
      </c>
      <c r="L326" s="0" t="s">
        <v>4817</v>
      </c>
      <c r="M326" s="0" t="s">
        <v>4818</v>
      </c>
      <c r="N326" s="0" t="s">
        <v>4819</v>
      </c>
      <c r="O326" s="0" t="s">
        <v>4820</v>
      </c>
      <c r="P326" s="0" t="s">
        <v>4821</v>
      </c>
      <c r="Q326" s="0" t="s">
        <v>240</v>
      </c>
      <c r="R326" s="0" t="b">
        <v>0</v>
      </c>
      <c r="S326" s="0" t="s">
        <v>4822</v>
      </c>
    </row>
    <row customHeight="1" ht="11.25">
      <c r="A327" s="0">
        <v>2655</v>
      </c>
      <c r="B327" s="0" t="s">
        <v>102</v>
      </c>
      <c r="C327" s="0">
        <v>26356915</v>
      </c>
      <c r="D327" s="0" t="s">
        <v>4014</v>
      </c>
      <c r="E327" s="0" t="s">
        <v>4015</v>
      </c>
      <c r="F327" s="0" t="s">
        <v>4016</v>
      </c>
      <c r="G327" s="0" t="s">
        <v>3672</v>
      </c>
      <c r="H327" s="0" t="s">
        <v>4017</v>
      </c>
      <c r="I327" s="0" t="s">
        <v>4018</v>
      </c>
      <c r="J327" s="0" t="s">
        <v>3446</v>
      </c>
      <c r="K327" s="0" t="s">
        <v>4019</v>
      </c>
      <c r="L327" s="0" t="s">
        <v>4019</v>
      </c>
      <c r="M327" s="0" t="s">
        <v>4020</v>
      </c>
      <c r="N327" s="0" t="s">
        <v>4021</v>
      </c>
      <c r="O327" s="0" t="s">
        <v>4022</v>
      </c>
      <c r="P327" s="0" t="s">
        <v>145</v>
      </c>
      <c r="Q327" s="0" t="s">
        <v>152</v>
      </c>
      <c r="R327" s="0" t="b">
        <v>0</v>
      </c>
      <c r="S327" s="0" t="s">
        <v>4823</v>
      </c>
    </row>
    <row customHeight="1" ht="11.25">
      <c r="A328" s="0">
        <v>2655</v>
      </c>
      <c r="B328" s="0" t="s">
        <v>102</v>
      </c>
      <c r="C328" s="0">
        <v>26357007</v>
      </c>
      <c r="D328" s="0" t="s">
        <v>4157</v>
      </c>
      <c r="E328" s="0" t="s">
        <v>4158</v>
      </c>
      <c r="F328" s="0" t="s">
        <v>4159</v>
      </c>
      <c r="G328" s="0" t="s">
        <v>3704</v>
      </c>
      <c r="H328" s="0" t="s">
        <v>4160</v>
      </c>
      <c r="I328" s="0" t="s">
        <v>4161</v>
      </c>
      <c r="J328" s="0" t="s">
        <v>3446</v>
      </c>
      <c r="K328" s="0" t="s">
        <v>4162</v>
      </c>
      <c r="L328" s="0" t="s">
        <v>4162</v>
      </c>
      <c r="M328" s="0" t="s">
        <v>4163</v>
      </c>
      <c r="N328" s="0" t="s">
        <v>4164</v>
      </c>
      <c r="O328" s="0" t="s">
        <v>4165</v>
      </c>
      <c r="P328" s="0" t="s">
        <v>145</v>
      </c>
      <c r="Q328" s="0" t="s">
        <v>4166</v>
      </c>
      <c r="R328" s="0" t="b">
        <v>0</v>
      </c>
      <c r="S328" s="0" t="s">
        <v>4823</v>
      </c>
    </row>
    <row customHeight="1" ht="11.25">
      <c r="A329" s="0">
        <v>2655</v>
      </c>
      <c r="B329" s="0" t="s">
        <v>102</v>
      </c>
      <c r="C329" s="0">
        <v>27804990</v>
      </c>
      <c r="D329" s="0" t="s">
        <v>3455</v>
      </c>
      <c r="E329" s="0" t="s">
        <v>3456</v>
      </c>
      <c r="F329" s="0" t="s">
        <v>3457</v>
      </c>
      <c r="G329" s="0" t="s">
        <v>123</v>
      </c>
      <c r="H329" s="0" t="s">
        <v>3458</v>
      </c>
      <c r="I329" s="0" t="s">
        <v>3459</v>
      </c>
      <c r="J329" s="0" t="s">
        <v>3446</v>
      </c>
      <c r="K329" s="0" t="s">
        <v>3460</v>
      </c>
      <c r="L329" s="0" t="s">
        <v>3461</v>
      </c>
      <c r="M329" s="0" t="s">
        <v>3462</v>
      </c>
      <c r="N329" s="0" t="s">
        <v>3463</v>
      </c>
      <c r="O329" s="0" t="s">
        <v>3464</v>
      </c>
      <c r="P329" s="0" t="s">
        <v>3465</v>
      </c>
      <c r="Q329" s="0" t="s">
        <v>3466</v>
      </c>
      <c r="R329" s="0" t="b">
        <v>0</v>
      </c>
      <c r="S329" s="0" t="s">
        <v>4823</v>
      </c>
    </row>
    <row customHeight="1" ht="11.25">
      <c r="A330" s="0">
        <v>2655</v>
      </c>
      <c r="B330" s="0" t="s">
        <v>102</v>
      </c>
      <c r="C330" s="0">
        <v>28048296</v>
      </c>
      <c r="D330" s="0" t="s">
        <v>4167</v>
      </c>
      <c r="E330" s="0" t="s">
        <v>4168</v>
      </c>
      <c r="F330" s="0" t="s">
        <v>4169</v>
      </c>
      <c r="G330" s="0" t="s">
        <v>123</v>
      </c>
      <c r="H330" s="0" t="s">
        <v>4170</v>
      </c>
      <c r="I330" s="0" t="s">
        <v>4171</v>
      </c>
      <c r="J330" s="0" t="s">
        <v>3446</v>
      </c>
      <c r="K330" s="0" t="s">
        <v>4172</v>
      </c>
      <c r="L330" s="0" t="s">
        <v>3461</v>
      </c>
      <c r="M330" s="0" t="s">
        <v>4173</v>
      </c>
      <c r="N330" s="0" t="s">
        <v>3817</v>
      </c>
      <c r="O330" s="0" t="s">
        <v>4174</v>
      </c>
      <c r="P330" s="0" t="s">
        <v>3465</v>
      </c>
      <c r="Q330" s="0" t="s">
        <v>3466</v>
      </c>
      <c r="R330" s="0" t="b">
        <v>0</v>
      </c>
      <c r="S330" s="0" t="s">
        <v>4823</v>
      </c>
    </row>
    <row customHeight="1" ht="11.25">
      <c r="A331" s="0">
        <v>2655</v>
      </c>
      <c r="B331" s="0" t="s">
        <v>102</v>
      </c>
      <c r="C331" s="0">
        <v>27804896</v>
      </c>
      <c r="D331" s="0" t="s">
        <v>4175</v>
      </c>
      <c r="E331" s="0" t="s">
        <v>4176</v>
      </c>
      <c r="F331" s="0" t="s">
        <v>4177</v>
      </c>
      <c r="G331" s="0" t="s">
        <v>123</v>
      </c>
      <c r="H331" s="0" t="s">
        <v>4178</v>
      </c>
      <c r="I331" s="0" t="s">
        <v>4179</v>
      </c>
      <c r="J331" s="0" t="s">
        <v>3446</v>
      </c>
      <c r="K331" s="0" t="s">
        <v>4180</v>
      </c>
      <c r="L331" s="0" t="s">
        <v>3461</v>
      </c>
      <c r="M331" s="0" t="s">
        <v>4181</v>
      </c>
      <c r="N331" s="0" t="s">
        <v>4182</v>
      </c>
      <c r="O331" s="0" t="s">
        <v>4183</v>
      </c>
      <c r="P331" s="0" t="s">
        <v>3465</v>
      </c>
      <c r="Q331" s="0" t="s">
        <v>3466</v>
      </c>
      <c r="R331" s="0" t="b">
        <v>0</v>
      </c>
      <c r="S331" s="0" t="s">
        <v>4823</v>
      </c>
    </row>
    <row customHeight="1" ht="11.25">
      <c r="A332" s="0">
        <v>2655</v>
      </c>
      <c r="B332" s="0" t="s">
        <v>102</v>
      </c>
      <c r="C332" s="0">
        <v>27820148</v>
      </c>
      <c r="D332" s="0" t="s">
        <v>4041</v>
      </c>
      <c r="E332" s="0" t="s">
        <v>4042</v>
      </c>
      <c r="F332" s="0" t="s">
        <v>4043</v>
      </c>
      <c r="G332" s="0" t="s">
        <v>3752</v>
      </c>
      <c r="H332" s="0" t="s">
        <v>4044</v>
      </c>
      <c r="I332" s="0" t="s">
        <v>4045</v>
      </c>
      <c r="J332" s="0" t="s">
        <v>3446</v>
      </c>
      <c r="K332" s="0" t="s">
        <v>4046</v>
      </c>
      <c r="L332" s="0" t="s">
        <v>4046</v>
      </c>
      <c r="M332" s="0" t="s">
        <v>4047</v>
      </c>
      <c r="N332" s="0" t="s">
        <v>4048</v>
      </c>
      <c r="O332" s="0" t="s">
        <v>4049</v>
      </c>
      <c r="P332" s="0" t="s">
        <v>4050</v>
      </c>
      <c r="Q332" s="0" t="s">
        <v>4051</v>
      </c>
      <c r="R332" s="0" t="b">
        <v>0</v>
      </c>
      <c r="S332" s="0" t="s">
        <v>4823</v>
      </c>
    </row>
    <row customHeight="1" ht="11.25">
      <c r="A333" s="0">
        <v>2655</v>
      </c>
      <c r="B333" s="0" t="s">
        <v>102</v>
      </c>
      <c r="C333" s="0">
        <v>26356905</v>
      </c>
      <c r="D333" s="0" t="s">
        <v>4184</v>
      </c>
      <c r="E333" s="0" t="s">
        <v>4185</v>
      </c>
      <c r="F333" s="0" t="s">
        <v>4186</v>
      </c>
      <c r="G333" s="0" t="s">
        <v>123</v>
      </c>
      <c r="H333" s="0" t="s">
        <v>4187</v>
      </c>
      <c r="I333" s="0" t="s">
        <v>4188</v>
      </c>
      <c r="J333" s="0" t="s">
        <v>3446</v>
      </c>
      <c r="K333" s="0" t="s">
        <v>4189</v>
      </c>
      <c r="L333" s="0" t="s">
        <v>4189</v>
      </c>
      <c r="M333" s="0" t="s">
        <v>4190</v>
      </c>
      <c r="N333" s="0" t="s">
        <v>4191</v>
      </c>
      <c r="O333" s="0" t="s">
        <v>4192</v>
      </c>
      <c r="P333" s="0" t="s">
        <v>4193</v>
      </c>
      <c r="Q333" s="0" t="s">
        <v>4194</v>
      </c>
      <c r="R333" s="0" t="b">
        <v>0</v>
      </c>
      <c r="S333" s="0" t="s">
        <v>4823</v>
      </c>
    </row>
    <row customHeight="1" ht="11.25">
      <c r="A334" s="0">
        <v>2655</v>
      </c>
      <c r="B334" s="0" t="s">
        <v>102</v>
      </c>
      <c r="C334" s="0">
        <v>26356926</v>
      </c>
      <c r="D334" s="0" t="s">
        <v>4215</v>
      </c>
      <c r="E334" s="0" t="s">
        <v>4216</v>
      </c>
      <c r="F334" s="0" t="s">
        <v>4217</v>
      </c>
      <c r="G334" s="0" t="s">
        <v>3752</v>
      </c>
      <c r="H334" s="0" t="s">
        <v>4218</v>
      </c>
      <c r="I334" s="0" t="s">
        <v>4219</v>
      </c>
      <c r="J334" s="0" t="s">
        <v>4220</v>
      </c>
      <c r="K334" s="0" t="s">
        <v>4221</v>
      </c>
      <c r="L334" s="0" t="s">
        <v>4221</v>
      </c>
      <c r="M334" s="0" t="s">
        <v>4222</v>
      </c>
      <c r="N334" s="0" t="s">
        <v>4223</v>
      </c>
      <c r="O334" s="0" t="s">
        <v>4224</v>
      </c>
      <c r="P334" s="0" t="s">
        <v>4225</v>
      </c>
      <c r="Q334" s="0" t="s">
        <v>4226</v>
      </c>
      <c r="R334" s="0" t="b">
        <v>0</v>
      </c>
      <c r="S334" s="0" t="s">
        <v>4823</v>
      </c>
    </row>
    <row customHeight="1" ht="11.25">
      <c r="A335" s="0">
        <v>2655</v>
      </c>
      <c r="B335" s="0" t="s">
        <v>102</v>
      </c>
      <c r="C335" s="0">
        <v>26824396</v>
      </c>
      <c r="D335" s="0" t="s">
        <v>3563</v>
      </c>
      <c r="E335" s="0" t="s">
        <v>3564</v>
      </c>
      <c r="F335" s="0" t="s">
        <v>3524</v>
      </c>
      <c r="G335" s="0" t="s">
        <v>3565</v>
      </c>
      <c r="H335" s="0" t="s">
        <v>3526</v>
      </c>
      <c r="I335" s="0" t="s">
        <v>240</v>
      </c>
      <c r="J335" s="0" t="s">
        <v>3517</v>
      </c>
      <c r="K335" s="0" t="s">
        <v>3566</v>
      </c>
      <c r="L335" s="0" t="s">
        <v>3566</v>
      </c>
      <c r="M335" s="0" t="s">
        <v>3567</v>
      </c>
      <c r="N335" s="0" t="s">
        <v>240</v>
      </c>
      <c r="O335" s="0" t="s">
        <v>3568</v>
      </c>
      <c r="P335" s="0" t="s">
        <v>3562</v>
      </c>
      <c r="Q335" s="0" t="s">
        <v>240</v>
      </c>
      <c r="R335" s="0" t="b">
        <v>0</v>
      </c>
      <c r="S335" s="0" t="s">
        <v>4823</v>
      </c>
    </row>
    <row customHeight="1" ht="11.25">
      <c r="A336" s="0">
        <v>2655</v>
      </c>
      <c r="B336" s="0" t="s">
        <v>102</v>
      </c>
      <c r="C336" s="0">
        <v>30808700</v>
      </c>
      <c r="D336" s="0" t="s">
        <v>3603</v>
      </c>
      <c r="E336" s="0" t="s">
        <v>3604</v>
      </c>
      <c r="F336" s="0" t="s">
        <v>3605</v>
      </c>
      <c r="G336" s="0" t="s">
        <v>3525</v>
      </c>
      <c r="H336" s="0" t="s">
        <v>3606</v>
      </c>
      <c r="I336" s="0" t="s">
        <v>3607</v>
      </c>
      <c r="J336" s="0" t="s">
        <v>3587</v>
      </c>
      <c r="K336" s="0" t="s">
        <v>3608</v>
      </c>
      <c r="L336" s="0" t="s">
        <v>3609</v>
      </c>
      <c r="M336" s="0" t="s">
        <v>3610</v>
      </c>
      <c r="N336" s="0" t="s">
        <v>3611</v>
      </c>
      <c r="O336" s="0" t="s">
        <v>3612</v>
      </c>
      <c r="P336" s="0" t="s">
        <v>3613</v>
      </c>
      <c r="Q336" s="0" t="s">
        <v>240</v>
      </c>
      <c r="R336" s="0" t="b">
        <v>1</v>
      </c>
      <c r="S336" s="0" t="s">
        <v>4823</v>
      </c>
    </row>
    <row customHeight="1" ht="11.25">
      <c r="A337" s="0">
        <v>2655</v>
      </c>
      <c r="B337" s="0" t="s">
        <v>102</v>
      </c>
      <c r="C337" s="0">
        <v>31319221</v>
      </c>
      <c r="D337" s="0" t="s">
        <v>3614</v>
      </c>
      <c r="E337" s="0" t="s">
        <v>3615</v>
      </c>
      <c r="F337" s="0" t="s">
        <v>3616</v>
      </c>
      <c r="G337" s="0" t="s">
        <v>3584</v>
      </c>
      <c r="H337" s="0" t="s">
        <v>3617</v>
      </c>
      <c r="I337" s="0" t="s">
        <v>3618</v>
      </c>
      <c r="J337" s="0" t="s">
        <v>3575</v>
      </c>
      <c r="K337" s="0" t="s">
        <v>3619</v>
      </c>
      <c r="L337" s="0" t="s">
        <v>3619</v>
      </c>
      <c r="M337" s="0" t="s">
        <v>3620</v>
      </c>
      <c r="N337" s="0" t="s">
        <v>3621</v>
      </c>
      <c r="O337" s="0" t="s">
        <v>3622</v>
      </c>
      <c r="P337" s="0" t="s">
        <v>3580</v>
      </c>
      <c r="Q337" s="0" t="s">
        <v>3623</v>
      </c>
      <c r="R337" s="0" t="b">
        <v>0</v>
      </c>
      <c r="S337" s="0" t="s">
        <v>4823</v>
      </c>
    </row>
    <row customHeight="1" ht="11.25">
      <c r="A338" s="0">
        <v>2655</v>
      </c>
      <c r="B338" s="0" t="s">
        <v>102</v>
      </c>
      <c r="C338" s="0">
        <v>31343443</v>
      </c>
      <c r="D338" s="0" t="s">
        <v>3634</v>
      </c>
      <c r="E338" s="0" t="s">
        <v>3635</v>
      </c>
      <c r="F338" s="0" t="s">
        <v>3636</v>
      </c>
      <c r="G338" s="0" t="s">
        <v>3525</v>
      </c>
      <c r="H338" s="0" t="s">
        <v>3637</v>
      </c>
      <c r="I338" s="0" t="s">
        <v>3638</v>
      </c>
      <c r="J338" s="0" t="s">
        <v>3575</v>
      </c>
      <c r="K338" s="0" t="s">
        <v>3639</v>
      </c>
      <c r="L338" s="0" t="s">
        <v>3639</v>
      </c>
      <c r="N338" s="0" t="s">
        <v>3640</v>
      </c>
      <c r="O338" s="0" t="s">
        <v>3641</v>
      </c>
      <c r="P338" s="0" t="s">
        <v>3613</v>
      </c>
      <c r="R338" s="0" t="b">
        <v>0</v>
      </c>
      <c r="S338" s="0" t="s">
        <v>4823</v>
      </c>
    </row>
    <row customHeight="1" ht="11.25">
      <c r="A339" s="0">
        <v>2655</v>
      </c>
      <c r="B339" s="0" t="s">
        <v>102</v>
      </c>
      <c r="C339" s="0">
        <v>31367841</v>
      </c>
      <c r="D339" s="0" t="s">
        <v>3642</v>
      </c>
      <c r="E339" s="0" t="s">
        <v>3643</v>
      </c>
      <c r="F339" s="0" t="s">
        <v>3644</v>
      </c>
      <c r="G339" s="0" t="s">
        <v>3645</v>
      </c>
      <c r="H339" s="0" t="s">
        <v>3646</v>
      </c>
      <c r="I339" s="0" t="s">
        <v>3647</v>
      </c>
      <c r="J339" s="0" t="s">
        <v>3587</v>
      </c>
      <c r="K339" s="0" t="s">
        <v>3648</v>
      </c>
      <c r="L339" s="0" t="s">
        <v>3648</v>
      </c>
      <c r="M339" s="0" t="s">
        <v>240</v>
      </c>
      <c r="N339" s="0" t="s">
        <v>3649</v>
      </c>
      <c r="O339" s="0" t="s">
        <v>3650</v>
      </c>
      <c r="P339" s="0" t="s">
        <v>3580</v>
      </c>
      <c r="Q339" s="0" t="s">
        <v>240</v>
      </c>
      <c r="R339" s="0" t="b">
        <v>0</v>
      </c>
      <c r="S339" s="0" t="s">
        <v>4823</v>
      </c>
    </row>
    <row customHeight="1" ht="11.25">
      <c r="A340" s="0">
        <v>2655</v>
      </c>
      <c r="B340" s="0" t="s">
        <v>102</v>
      </c>
      <c r="C340" s="0">
        <v>31087651</v>
      </c>
      <c r="D340" s="0" t="s">
        <v>3651</v>
      </c>
      <c r="E340" s="0" t="s">
        <v>3652</v>
      </c>
      <c r="F340" s="0" t="s">
        <v>3653</v>
      </c>
      <c r="G340" s="0" t="s">
        <v>3654</v>
      </c>
      <c r="H340" s="0" t="s">
        <v>3655</v>
      </c>
      <c r="I340" s="0" t="s">
        <v>3656</v>
      </c>
      <c r="J340" s="0" t="s">
        <v>3575</v>
      </c>
      <c r="K340" s="0" t="s">
        <v>3657</v>
      </c>
      <c r="L340" s="0" t="s">
        <v>3657</v>
      </c>
      <c r="M340" s="0" t="s">
        <v>3658</v>
      </c>
      <c r="N340" s="0" t="s">
        <v>3659</v>
      </c>
      <c r="O340" s="0" t="s">
        <v>3660</v>
      </c>
      <c r="R340" s="0" t="b">
        <v>0</v>
      </c>
      <c r="S340" s="0" t="s">
        <v>4823</v>
      </c>
    </row>
    <row customHeight="1" ht="11.25">
      <c r="A341" s="0">
        <v>2655</v>
      </c>
      <c r="B341" s="0" t="s">
        <v>102</v>
      </c>
      <c r="C341" s="0">
        <v>31367862</v>
      </c>
      <c r="D341" s="0" t="s">
        <v>3661</v>
      </c>
      <c r="E341" s="0" t="s">
        <v>3662</v>
      </c>
      <c r="F341" s="0" t="s">
        <v>3663</v>
      </c>
      <c r="G341" s="0" t="s">
        <v>3645</v>
      </c>
      <c r="H341" s="0" t="s">
        <v>3664</v>
      </c>
      <c r="I341" s="0" t="s">
        <v>3665</v>
      </c>
      <c r="J341" s="0" t="s">
        <v>3575</v>
      </c>
      <c r="K341" s="0" t="s">
        <v>3666</v>
      </c>
      <c r="L341" s="0" t="s">
        <v>3666</v>
      </c>
      <c r="M341" s="0" t="s">
        <v>240</v>
      </c>
      <c r="N341" s="0" t="s">
        <v>3667</v>
      </c>
      <c r="O341" s="0" t="s">
        <v>3668</v>
      </c>
      <c r="P341" s="0" t="s">
        <v>3580</v>
      </c>
      <c r="Q341" s="0" t="s">
        <v>240</v>
      </c>
      <c r="R341" s="0" t="b">
        <v>0</v>
      </c>
      <c r="S341" s="0" t="s">
        <v>4823</v>
      </c>
    </row>
    <row customHeight="1" ht="11.25">
      <c r="A342" s="0">
        <v>2655</v>
      </c>
      <c r="B342" s="0" t="s">
        <v>102</v>
      </c>
      <c r="C342" s="0">
        <v>26486390</v>
      </c>
      <c r="D342" s="0" t="s">
        <v>3669</v>
      </c>
      <c r="E342" s="0" t="s">
        <v>3670</v>
      </c>
      <c r="F342" s="0" t="s">
        <v>3671</v>
      </c>
      <c r="G342" s="0" t="s">
        <v>3672</v>
      </c>
      <c r="H342" s="0" t="s">
        <v>3673</v>
      </c>
      <c r="I342" s="0" t="s">
        <v>3674</v>
      </c>
      <c r="J342" s="0" t="s">
        <v>3587</v>
      </c>
      <c r="K342" s="0" t="s">
        <v>3675</v>
      </c>
      <c r="L342" s="0" t="s">
        <v>3675</v>
      </c>
      <c r="M342" s="0" t="s">
        <v>3676</v>
      </c>
      <c r="N342" s="0" t="s">
        <v>3677</v>
      </c>
      <c r="O342" s="0" t="s">
        <v>3678</v>
      </c>
      <c r="P342" s="0" t="s">
        <v>3679</v>
      </c>
      <c r="Q342" s="0" t="s">
        <v>240</v>
      </c>
      <c r="R342" s="0" t="b">
        <v>0</v>
      </c>
      <c r="S342" s="0" t="s">
        <v>4823</v>
      </c>
    </row>
    <row customHeight="1" ht="11.25">
      <c r="A343" s="0">
        <v>2655</v>
      </c>
      <c r="B343" s="0" t="s">
        <v>102</v>
      </c>
      <c r="C343" s="0">
        <v>31187282</v>
      </c>
      <c r="D343" s="0" t="s">
        <v>4278</v>
      </c>
      <c r="E343" s="0" t="s">
        <v>4279</v>
      </c>
      <c r="F343" s="0" t="s">
        <v>4280</v>
      </c>
      <c r="G343" s="0" t="s">
        <v>3481</v>
      </c>
      <c r="H343" s="0" t="s">
        <v>4281</v>
      </c>
      <c r="I343" s="0" t="s">
        <v>4282</v>
      </c>
      <c r="J343" s="0" t="s">
        <v>3587</v>
      </c>
      <c r="K343" s="0" t="s">
        <v>4283</v>
      </c>
      <c r="L343" s="0" t="s">
        <v>4283</v>
      </c>
      <c r="M343" s="0" t="s">
        <v>240</v>
      </c>
      <c r="N343" s="0" t="s">
        <v>4284</v>
      </c>
      <c r="O343" s="0" t="s">
        <v>4285</v>
      </c>
      <c r="P343" s="0" t="s">
        <v>3580</v>
      </c>
      <c r="Q343" s="0" t="s">
        <v>240</v>
      </c>
      <c r="R343" s="0" t="b">
        <v>0</v>
      </c>
      <c r="S343" s="0" t="s">
        <v>4823</v>
      </c>
    </row>
    <row customHeight="1" ht="11.25">
      <c r="A344" s="0">
        <v>2655</v>
      </c>
      <c r="B344" s="0" t="s">
        <v>102</v>
      </c>
      <c r="C344" s="0">
        <v>31308226</v>
      </c>
      <c r="D344" s="0" t="s">
        <v>3701</v>
      </c>
      <c r="E344" s="0" t="s">
        <v>3702</v>
      </c>
      <c r="F344" s="0" t="s">
        <v>3703</v>
      </c>
      <c r="G344" s="0" t="s">
        <v>3704</v>
      </c>
      <c r="H344" s="0" t="s">
        <v>3705</v>
      </c>
      <c r="I344" s="0" t="s">
        <v>3706</v>
      </c>
      <c r="J344" s="0" t="s">
        <v>3587</v>
      </c>
      <c r="K344" s="0" t="s">
        <v>3707</v>
      </c>
      <c r="L344" s="0" t="s">
        <v>3707</v>
      </c>
      <c r="M344" s="0" t="s">
        <v>3708</v>
      </c>
      <c r="N344" s="0" t="s">
        <v>3709</v>
      </c>
      <c r="O344" s="0" t="s">
        <v>3710</v>
      </c>
      <c r="P344" s="0" t="s">
        <v>3613</v>
      </c>
      <c r="Q344" s="0" t="s">
        <v>240</v>
      </c>
      <c r="R344" s="0" t="b">
        <v>1</v>
      </c>
      <c r="S344" s="0" t="s">
        <v>4823</v>
      </c>
    </row>
    <row customHeight="1" ht="11.25">
      <c r="A345" s="0">
        <v>2655</v>
      </c>
      <c r="B345" s="0" t="s">
        <v>102</v>
      </c>
      <c r="C345" s="0">
        <v>31284269</v>
      </c>
      <c r="D345" s="0" t="s">
        <v>3711</v>
      </c>
      <c r="E345" s="0" t="s">
        <v>3712</v>
      </c>
      <c r="F345" s="0" t="s">
        <v>3713</v>
      </c>
      <c r="G345" s="0" t="s">
        <v>3654</v>
      </c>
      <c r="H345" s="0" t="s">
        <v>3714</v>
      </c>
      <c r="I345" s="0" t="s">
        <v>3715</v>
      </c>
      <c r="J345" s="0" t="s">
        <v>3587</v>
      </c>
      <c r="K345" s="0" t="s">
        <v>3716</v>
      </c>
      <c r="L345" s="0" t="s">
        <v>3717</v>
      </c>
      <c r="M345" s="0" t="s">
        <v>3718</v>
      </c>
      <c r="N345" s="0" t="s">
        <v>3719</v>
      </c>
      <c r="O345" s="0" t="s">
        <v>3720</v>
      </c>
      <c r="P345" s="0" t="s">
        <v>3580</v>
      </c>
      <c r="Q345" s="0" t="s">
        <v>240</v>
      </c>
      <c r="R345" s="0" t="b">
        <v>0</v>
      </c>
      <c r="S345" s="0" t="s">
        <v>4823</v>
      </c>
    </row>
    <row customHeight="1" ht="11.25">
      <c r="A346" s="0">
        <v>2655</v>
      </c>
      <c r="B346" s="0" t="s">
        <v>102</v>
      </c>
      <c r="C346" s="0">
        <v>26322895</v>
      </c>
      <c r="D346" s="0" t="s">
        <v>112</v>
      </c>
      <c r="E346" s="0" t="s">
        <v>115</v>
      </c>
      <c r="F346" s="0" t="s">
        <v>121</v>
      </c>
      <c r="G346" s="0" t="s">
        <v>123</v>
      </c>
      <c r="H346" s="0" t="s">
        <v>119</v>
      </c>
      <c r="I346" s="0" t="s">
        <v>125</v>
      </c>
      <c r="J346" s="0" t="s">
        <v>3517</v>
      </c>
      <c r="K346" s="0" t="s">
        <v>131</v>
      </c>
      <c r="L346" s="0" t="s">
        <v>131</v>
      </c>
      <c r="M346" s="0" t="s">
        <v>136</v>
      </c>
      <c r="N346" s="0" t="s">
        <v>139</v>
      </c>
      <c r="O346" s="0" t="s">
        <v>142</v>
      </c>
      <c r="P346" s="0" t="s">
        <v>145</v>
      </c>
      <c r="Q346" s="0" t="s">
        <v>148</v>
      </c>
      <c r="R346" s="0" t="b">
        <v>0</v>
      </c>
      <c r="S346" s="0" t="s">
        <v>4823</v>
      </c>
    </row>
    <row customHeight="1" ht="11.25">
      <c r="A347" s="0">
        <v>2655</v>
      </c>
      <c r="B347" s="0" t="s">
        <v>102</v>
      </c>
      <c r="C347" s="0">
        <v>30843704</v>
      </c>
      <c r="D347" s="0" t="s">
        <v>4304</v>
      </c>
      <c r="E347" s="0" t="s">
        <v>4305</v>
      </c>
      <c r="F347" s="0" t="s">
        <v>4306</v>
      </c>
      <c r="G347" s="0" t="s">
        <v>123</v>
      </c>
      <c r="H347" s="0" t="s">
        <v>4307</v>
      </c>
      <c r="I347" s="0" t="s">
        <v>4308</v>
      </c>
      <c r="J347" s="0" t="s">
        <v>3745</v>
      </c>
      <c r="K347" s="0" t="s">
        <v>4309</v>
      </c>
      <c r="L347" s="0" t="s">
        <v>4310</v>
      </c>
      <c r="M347" s="0" t="s">
        <v>240</v>
      </c>
      <c r="N347" s="0" t="s">
        <v>4311</v>
      </c>
      <c r="O347" s="0" t="s">
        <v>4312</v>
      </c>
      <c r="P347" s="0" t="s">
        <v>145</v>
      </c>
      <c r="Q347" s="0" t="s">
        <v>240</v>
      </c>
      <c r="R347" s="0" t="b">
        <v>0</v>
      </c>
      <c r="S347" s="0" t="s">
        <v>4823</v>
      </c>
    </row>
    <row customHeight="1" ht="11.25">
      <c r="A348" s="0">
        <v>2655</v>
      </c>
      <c r="B348" s="0" t="s">
        <v>102</v>
      </c>
      <c r="C348" s="0">
        <v>31245446</v>
      </c>
      <c r="D348" s="0" t="s">
        <v>4331</v>
      </c>
      <c r="E348" s="0" t="s">
        <v>4332</v>
      </c>
      <c r="F348" s="0" t="s">
        <v>4333</v>
      </c>
      <c r="G348" s="0" t="s">
        <v>4334</v>
      </c>
      <c r="H348" s="0" t="s">
        <v>4335</v>
      </c>
      <c r="I348" s="0" t="s">
        <v>4336</v>
      </c>
      <c r="J348" s="0" t="s">
        <v>3745</v>
      </c>
      <c r="K348" s="0" t="s">
        <v>4337</v>
      </c>
      <c r="L348" s="0" t="s">
        <v>4338</v>
      </c>
      <c r="M348" s="0" t="s">
        <v>4339</v>
      </c>
      <c r="N348" s="0" t="s">
        <v>4340</v>
      </c>
      <c r="O348" s="0" t="s">
        <v>4341</v>
      </c>
      <c r="P348" s="0" t="s">
        <v>3580</v>
      </c>
      <c r="Q348" s="0" t="s">
        <v>240</v>
      </c>
      <c r="R348" s="0" t="b">
        <v>0</v>
      </c>
      <c r="S348" s="0" t="s">
        <v>4823</v>
      </c>
    </row>
    <row customHeight="1" ht="11.25">
      <c r="A349" s="0">
        <v>2655</v>
      </c>
      <c r="B349" s="0" t="s">
        <v>102</v>
      </c>
      <c r="C349" s="0">
        <v>31656254</v>
      </c>
      <c r="D349" s="0" t="s">
        <v>3798</v>
      </c>
      <c r="E349" s="0" t="s">
        <v>3799</v>
      </c>
      <c r="F349" s="0" t="s">
        <v>3800</v>
      </c>
      <c r="G349" s="0" t="s">
        <v>3801</v>
      </c>
      <c r="H349" s="0" t="s">
        <v>3802</v>
      </c>
      <c r="I349" s="0" t="s">
        <v>3803</v>
      </c>
      <c r="K349" s="0" t="s">
        <v>3804</v>
      </c>
      <c r="L349" s="0" t="s">
        <v>3805</v>
      </c>
      <c r="M349" s="0" t="s">
        <v>3806</v>
      </c>
      <c r="N349" s="0" t="s">
        <v>3807</v>
      </c>
      <c r="O349" s="0" t="s">
        <v>3808</v>
      </c>
      <c r="P349" s="0" t="s">
        <v>3580</v>
      </c>
      <c r="Q349" s="0" t="s">
        <v>3809</v>
      </c>
      <c r="R349" s="0" t="b">
        <v>0</v>
      </c>
      <c r="S349" s="0" t="s">
        <v>4823</v>
      </c>
    </row>
    <row customHeight="1" ht="11.25">
      <c r="A350" s="0">
        <v>2655</v>
      </c>
      <c r="B350" s="0" t="s">
        <v>102</v>
      </c>
      <c r="C350" s="0">
        <v>26562805</v>
      </c>
      <c r="D350" s="0" t="s">
        <v>4398</v>
      </c>
      <c r="E350" s="0" t="s">
        <v>4399</v>
      </c>
      <c r="F350" s="0" t="s">
        <v>4400</v>
      </c>
      <c r="G350" s="0" t="s">
        <v>3672</v>
      </c>
      <c r="H350" s="0" t="s">
        <v>4401</v>
      </c>
      <c r="I350" s="0" t="s">
        <v>4402</v>
      </c>
      <c r="J350" s="0" t="s">
        <v>3745</v>
      </c>
      <c r="K350" s="0" t="s">
        <v>4403</v>
      </c>
      <c r="L350" s="0" t="s">
        <v>4403</v>
      </c>
      <c r="M350" s="0" t="s">
        <v>4404</v>
      </c>
      <c r="N350" s="0" t="s">
        <v>4405</v>
      </c>
      <c r="O350" s="0" t="s">
        <v>4406</v>
      </c>
      <c r="P350" s="0" t="s">
        <v>3580</v>
      </c>
      <c r="Q350" s="0" t="s">
        <v>4407</v>
      </c>
      <c r="R350" s="0" t="b">
        <v>0</v>
      </c>
      <c r="S350" s="0" t="s">
        <v>4823</v>
      </c>
    </row>
    <row customHeight="1" ht="11.25">
      <c r="A351" s="0">
        <v>2655</v>
      </c>
      <c r="B351" s="0" t="s">
        <v>102</v>
      </c>
      <c r="C351" s="0">
        <v>27997588</v>
      </c>
      <c r="D351" s="0" t="s">
        <v>4417</v>
      </c>
      <c r="E351" s="0" t="s">
        <v>4418</v>
      </c>
      <c r="F351" s="0" t="s">
        <v>4419</v>
      </c>
      <c r="G351" s="0" t="s">
        <v>3572</v>
      </c>
      <c r="H351" s="0" t="s">
        <v>4420</v>
      </c>
      <c r="I351" s="0" t="s">
        <v>4421</v>
      </c>
      <c r="J351" s="0" t="s">
        <v>3745</v>
      </c>
      <c r="K351" s="0" t="s">
        <v>4422</v>
      </c>
      <c r="L351" s="0" t="s">
        <v>4422</v>
      </c>
      <c r="M351" s="0" t="s">
        <v>4423</v>
      </c>
      <c r="N351" s="0" t="s">
        <v>4424</v>
      </c>
      <c r="O351" s="0" t="s">
        <v>4425</v>
      </c>
      <c r="P351" s="0" t="s">
        <v>4426</v>
      </c>
      <c r="Q351" s="0" t="s">
        <v>240</v>
      </c>
      <c r="R351" s="0" t="b">
        <v>0</v>
      </c>
      <c r="S351" s="0" t="s">
        <v>4823</v>
      </c>
    </row>
    <row customHeight="1" ht="11.25">
      <c r="A352" s="0">
        <v>2655</v>
      </c>
      <c r="B352" s="0" t="s">
        <v>102</v>
      </c>
      <c r="C352" s="0">
        <v>28882034</v>
      </c>
      <c r="D352" s="0" t="s">
        <v>4427</v>
      </c>
      <c r="E352" s="0" t="s">
        <v>4428</v>
      </c>
      <c r="F352" s="0" t="s">
        <v>4429</v>
      </c>
      <c r="G352" s="0" t="s">
        <v>123</v>
      </c>
      <c r="H352" s="0" t="s">
        <v>4430</v>
      </c>
      <c r="I352" s="0" t="s">
        <v>240</v>
      </c>
      <c r="J352" s="0" t="s">
        <v>3745</v>
      </c>
      <c r="K352" s="0" t="s">
        <v>4431</v>
      </c>
      <c r="L352" s="0" t="s">
        <v>4431</v>
      </c>
      <c r="M352" s="0" t="s">
        <v>240</v>
      </c>
      <c r="N352" s="0" t="s">
        <v>240</v>
      </c>
      <c r="O352" s="0" t="s">
        <v>4432</v>
      </c>
      <c r="P352" s="0" t="s">
        <v>3580</v>
      </c>
      <c r="Q352" s="0" t="s">
        <v>240</v>
      </c>
      <c r="R352" s="0" t="b">
        <v>0</v>
      </c>
      <c r="S352" s="0" t="s">
        <v>4823</v>
      </c>
    </row>
    <row customHeight="1" ht="11.25">
      <c r="A353" s="0">
        <v>2655</v>
      </c>
      <c r="B353" s="0" t="s">
        <v>102</v>
      </c>
      <c r="C353" s="0">
        <v>31519209</v>
      </c>
      <c r="D353" s="0" t="s">
        <v>4443</v>
      </c>
      <c r="E353" s="0" t="s">
        <v>4444</v>
      </c>
      <c r="F353" s="0" t="s">
        <v>4445</v>
      </c>
      <c r="G353" s="0" t="s">
        <v>3752</v>
      </c>
      <c r="H353" s="0" t="s">
        <v>4446</v>
      </c>
      <c r="I353" s="0" t="s">
        <v>4447</v>
      </c>
      <c r="J353" s="0" t="s">
        <v>3745</v>
      </c>
      <c r="K353" s="0" t="s">
        <v>4448</v>
      </c>
      <c r="L353" s="0" t="s">
        <v>4449</v>
      </c>
      <c r="M353" s="0" t="s">
        <v>4450</v>
      </c>
      <c r="N353" s="0" t="s">
        <v>4451</v>
      </c>
      <c r="O353" s="0" t="s">
        <v>4452</v>
      </c>
      <c r="P353" s="0" t="s">
        <v>3465</v>
      </c>
      <c r="Q353" s="0" t="s">
        <v>240</v>
      </c>
      <c r="R353" s="0" t="b">
        <v>0</v>
      </c>
      <c r="S353" s="0" t="s">
        <v>4823</v>
      </c>
    </row>
    <row customHeight="1" ht="11.25">
      <c r="A354" s="0">
        <v>2655</v>
      </c>
      <c r="B354" s="0" t="s">
        <v>102</v>
      </c>
      <c r="C354" s="0">
        <v>31574053</v>
      </c>
      <c r="D354" s="0" t="s">
        <v>4453</v>
      </c>
      <c r="E354" s="0" t="s">
        <v>4454</v>
      </c>
      <c r="F354" s="0" t="s">
        <v>4455</v>
      </c>
      <c r="G354" s="0" t="s">
        <v>3704</v>
      </c>
      <c r="H354" s="0" t="s">
        <v>4456</v>
      </c>
      <c r="I354" s="0" t="s">
        <v>4457</v>
      </c>
      <c r="K354" s="0" t="s">
        <v>4458</v>
      </c>
      <c r="L354" s="0" t="s">
        <v>4458</v>
      </c>
      <c r="M354" s="0" t="s">
        <v>4459</v>
      </c>
      <c r="N354" s="0" t="s">
        <v>4460</v>
      </c>
      <c r="O354" s="0" t="s">
        <v>4461</v>
      </c>
      <c r="P354" s="0" t="s">
        <v>3580</v>
      </c>
      <c r="Q354" s="0" t="s">
        <v>240</v>
      </c>
      <c r="R354" s="0" t="b">
        <v>0</v>
      </c>
      <c r="S354" s="0" t="s">
        <v>4823</v>
      </c>
    </row>
    <row customHeight="1" ht="11.25">
      <c r="A355" s="0">
        <v>2655</v>
      </c>
      <c r="B355" s="0" t="s">
        <v>102</v>
      </c>
      <c r="C355" s="0">
        <v>28151808</v>
      </c>
      <c r="D355" s="0" t="s">
        <v>3829</v>
      </c>
      <c r="E355" s="0" t="s">
        <v>3830</v>
      </c>
      <c r="F355" s="0" t="s">
        <v>3831</v>
      </c>
      <c r="G355" s="0" t="s">
        <v>3525</v>
      </c>
      <c r="H355" s="0" t="s">
        <v>3832</v>
      </c>
      <c r="I355" s="0" t="s">
        <v>3833</v>
      </c>
      <c r="J355" s="0" t="s">
        <v>3745</v>
      </c>
      <c r="K355" s="0" t="s">
        <v>3834</v>
      </c>
      <c r="L355" s="0" t="s">
        <v>3835</v>
      </c>
      <c r="M355" s="0" t="s">
        <v>3836</v>
      </c>
      <c r="N355" s="0" t="s">
        <v>3837</v>
      </c>
      <c r="O355" s="0" t="s">
        <v>3838</v>
      </c>
      <c r="P355" s="0" t="s">
        <v>145</v>
      </c>
      <c r="Q355" s="0" t="s">
        <v>240</v>
      </c>
      <c r="R355" s="0" t="b">
        <v>1</v>
      </c>
      <c r="S355" s="0" t="s">
        <v>4823</v>
      </c>
    </row>
    <row customHeight="1" ht="11.25">
      <c r="A356" s="0">
        <v>2655</v>
      </c>
      <c r="B356" s="0" t="s">
        <v>102</v>
      </c>
      <c r="C356" s="0">
        <v>30433806</v>
      </c>
      <c r="D356" s="0" t="s">
        <v>4500</v>
      </c>
      <c r="E356" s="0" t="s">
        <v>4501</v>
      </c>
      <c r="F356" s="0" t="s">
        <v>4502</v>
      </c>
      <c r="G356" s="0" t="s">
        <v>3672</v>
      </c>
      <c r="H356" s="0" t="s">
        <v>4503</v>
      </c>
      <c r="I356" s="0" t="s">
        <v>4504</v>
      </c>
      <c r="J356" s="0" t="s">
        <v>3745</v>
      </c>
      <c r="K356" s="0" t="s">
        <v>4505</v>
      </c>
      <c r="L356" s="0" t="s">
        <v>4505</v>
      </c>
      <c r="M356" s="0" t="s">
        <v>4506</v>
      </c>
      <c r="N356" s="0" t="s">
        <v>4507</v>
      </c>
      <c r="O356" s="0" t="s">
        <v>4508</v>
      </c>
      <c r="P356" s="0" t="s">
        <v>3580</v>
      </c>
      <c r="Q356" s="0" t="s">
        <v>152</v>
      </c>
      <c r="R356" s="0" t="b">
        <v>0</v>
      </c>
      <c r="S356" s="0" t="s">
        <v>4823</v>
      </c>
    </row>
    <row customHeight="1" ht="11.25">
      <c r="A357" s="0">
        <v>2655</v>
      </c>
      <c r="B357" s="0" t="s">
        <v>102</v>
      </c>
      <c r="C357" s="0">
        <v>26356987</v>
      </c>
      <c r="D357" s="0" t="s">
        <v>3859</v>
      </c>
      <c r="E357" s="0" t="s">
        <v>3860</v>
      </c>
      <c r="F357" s="0" t="s">
        <v>3861</v>
      </c>
      <c r="G357" s="0" t="s">
        <v>3862</v>
      </c>
      <c r="H357" s="0" t="s">
        <v>3863</v>
      </c>
      <c r="I357" s="0" t="s">
        <v>3864</v>
      </c>
      <c r="J357" s="0" t="s">
        <v>3745</v>
      </c>
      <c r="K357" s="0" t="s">
        <v>3865</v>
      </c>
      <c r="L357" s="0" t="s">
        <v>3865</v>
      </c>
      <c r="M357" s="0" t="s">
        <v>3866</v>
      </c>
      <c r="N357" s="0" t="s">
        <v>3867</v>
      </c>
      <c r="O357" s="0" t="s">
        <v>3868</v>
      </c>
      <c r="P357" s="0" t="s">
        <v>3613</v>
      </c>
      <c r="Q357" s="0" t="s">
        <v>3869</v>
      </c>
      <c r="R357" s="0" t="b">
        <v>0</v>
      </c>
      <c r="S357" s="0" t="s">
        <v>4823</v>
      </c>
    </row>
    <row customHeight="1" ht="11.25">
      <c r="A358" s="0">
        <v>2655</v>
      </c>
      <c r="B358" s="0" t="s">
        <v>102</v>
      </c>
      <c r="C358" s="0">
        <v>30856223</v>
      </c>
      <c r="D358" s="0" t="s">
        <v>4529</v>
      </c>
      <c r="E358" s="0" t="s">
        <v>4530</v>
      </c>
      <c r="F358" s="0" t="s">
        <v>4531</v>
      </c>
      <c r="G358" s="0" t="s">
        <v>3481</v>
      </c>
      <c r="H358" s="0" t="s">
        <v>4532</v>
      </c>
      <c r="I358" s="0" t="s">
        <v>4533</v>
      </c>
      <c r="J358" s="0" t="s">
        <v>3745</v>
      </c>
      <c r="K358" s="0" t="s">
        <v>4534</v>
      </c>
      <c r="L358" s="0" t="s">
        <v>4534</v>
      </c>
      <c r="M358" s="0" t="s">
        <v>4535</v>
      </c>
      <c r="N358" s="0" t="s">
        <v>4536</v>
      </c>
      <c r="O358" s="0" t="s">
        <v>4537</v>
      </c>
      <c r="P358" s="0" t="s">
        <v>145</v>
      </c>
      <c r="Q358" s="0" t="s">
        <v>4538</v>
      </c>
      <c r="R358" s="0" t="b">
        <v>0</v>
      </c>
      <c r="S358" s="0" t="s">
        <v>4823</v>
      </c>
    </row>
    <row customHeight="1" ht="11.25">
      <c r="A359" s="0">
        <v>2655</v>
      </c>
      <c r="B359" s="0" t="s">
        <v>102</v>
      </c>
      <c r="C359" s="0">
        <v>26356891</v>
      </c>
      <c r="D359" s="0" t="s">
        <v>3870</v>
      </c>
      <c r="E359" s="0" t="s">
        <v>3871</v>
      </c>
      <c r="F359" s="0" t="s">
        <v>3872</v>
      </c>
      <c r="G359" s="0" t="s">
        <v>3683</v>
      </c>
      <c r="H359" s="0" t="s">
        <v>3873</v>
      </c>
      <c r="I359" s="0" t="s">
        <v>3874</v>
      </c>
      <c r="J359" s="0" t="s">
        <v>3745</v>
      </c>
      <c r="K359" s="0" t="s">
        <v>3875</v>
      </c>
      <c r="L359" s="0" t="s">
        <v>3875</v>
      </c>
      <c r="M359" s="0" t="s">
        <v>3876</v>
      </c>
      <c r="N359" s="0" t="s">
        <v>3877</v>
      </c>
      <c r="O359" s="0" t="s">
        <v>3878</v>
      </c>
      <c r="P359" s="0" t="s">
        <v>3580</v>
      </c>
      <c r="Q359" s="0" t="s">
        <v>240</v>
      </c>
      <c r="R359" s="0" t="b">
        <v>0</v>
      </c>
      <c r="S359" s="0" t="s">
        <v>4823</v>
      </c>
    </row>
    <row customHeight="1" ht="11.25">
      <c r="A360" s="0">
        <v>2655</v>
      </c>
      <c r="B360" s="0" t="s">
        <v>102</v>
      </c>
      <c r="C360" s="0">
        <v>27566835</v>
      </c>
      <c r="D360" s="0" t="s">
        <v>4558</v>
      </c>
      <c r="E360" s="0" t="s">
        <v>4559</v>
      </c>
      <c r="F360" s="0" t="s">
        <v>4560</v>
      </c>
      <c r="G360" s="0" t="s">
        <v>3683</v>
      </c>
      <c r="H360" s="0" t="s">
        <v>4561</v>
      </c>
      <c r="I360" s="0" t="s">
        <v>4562</v>
      </c>
      <c r="J360" s="0" t="s">
        <v>3745</v>
      </c>
      <c r="K360" s="0" t="s">
        <v>4563</v>
      </c>
      <c r="L360" s="0" t="s">
        <v>4563</v>
      </c>
      <c r="M360" s="0" t="s">
        <v>4564</v>
      </c>
      <c r="N360" s="0" t="s">
        <v>3699</v>
      </c>
      <c r="O360" s="0" t="s">
        <v>4565</v>
      </c>
      <c r="P360" s="0" t="s">
        <v>3580</v>
      </c>
      <c r="Q360" s="0" t="s">
        <v>152</v>
      </c>
      <c r="R360" s="0" t="b">
        <v>0</v>
      </c>
      <c r="S360" s="0" t="s">
        <v>4823</v>
      </c>
    </row>
    <row customHeight="1" ht="11.25">
      <c r="A361" s="0">
        <v>2655</v>
      </c>
      <c r="B361" s="0" t="s">
        <v>102</v>
      </c>
      <c r="C361" s="0">
        <v>31229342</v>
      </c>
      <c r="D361" s="0" t="s">
        <v>4566</v>
      </c>
      <c r="E361" s="0" t="s">
        <v>4567</v>
      </c>
      <c r="F361" s="0" t="s">
        <v>4568</v>
      </c>
      <c r="G361" s="0" t="s">
        <v>3704</v>
      </c>
      <c r="H361" s="0" t="s">
        <v>4569</v>
      </c>
      <c r="I361" s="0" t="s">
        <v>4570</v>
      </c>
      <c r="J361" s="0" t="s">
        <v>3745</v>
      </c>
      <c r="K361" s="0" t="s">
        <v>4571</v>
      </c>
      <c r="L361" s="0" t="s">
        <v>4571</v>
      </c>
      <c r="M361" s="0" t="s">
        <v>4572</v>
      </c>
      <c r="N361" s="0" t="s">
        <v>4573</v>
      </c>
      <c r="O361" s="0" t="s">
        <v>4574</v>
      </c>
      <c r="P361" s="0" t="s">
        <v>145</v>
      </c>
      <c r="Q361" s="0" t="s">
        <v>240</v>
      </c>
      <c r="R361" s="0" t="b">
        <v>0</v>
      </c>
      <c r="S361" s="0" t="s">
        <v>4823</v>
      </c>
    </row>
    <row customHeight="1" ht="11.25">
      <c r="A362" s="0">
        <v>2655</v>
      </c>
      <c r="B362" s="0" t="s">
        <v>102</v>
      </c>
      <c r="C362" s="0">
        <v>30856253</v>
      </c>
      <c r="D362" s="0" t="s">
        <v>4602</v>
      </c>
      <c r="E362" s="0" t="s">
        <v>4603</v>
      </c>
      <c r="F362" s="0" t="s">
        <v>4604</v>
      </c>
      <c r="G362" s="0" t="s">
        <v>3525</v>
      </c>
      <c r="H362" s="0" t="s">
        <v>4605</v>
      </c>
      <c r="I362" s="0" t="s">
        <v>4606</v>
      </c>
      <c r="J362" s="0" t="s">
        <v>3745</v>
      </c>
      <c r="K362" s="0" t="s">
        <v>4607</v>
      </c>
      <c r="L362" s="0" t="s">
        <v>4607</v>
      </c>
      <c r="M362" s="0" t="s">
        <v>4608</v>
      </c>
      <c r="N362" s="0" t="s">
        <v>4609</v>
      </c>
      <c r="O362" s="0" t="s">
        <v>4610</v>
      </c>
      <c r="P362" s="0" t="s">
        <v>3580</v>
      </c>
      <c r="Q362" s="0" t="s">
        <v>240</v>
      </c>
      <c r="R362" s="0" t="b">
        <v>0</v>
      </c>
      <c r="S362" s="0" t="s">
        <v>4823</v>
      </c>
    </row>
    <row customHeight="1" ht="11.25">
      <c r="A363" s="0">
        <v>2655</v>
      </c>
      <c r="B363" s="0" t="s">
        <v>102</v>
      </c>
      <c r="C363" s="0">
        <v>33000042</v>
      </c>
      <c r="D363" s="0" t="s">
        <v>4611</v>
      </c>
      <c r="E363" s="0" t="s">
        <v>4612</v>
      </c>
      <c r="F363" s="0" t="s">
        <v>4613</v>
      </c>
      <c r="G363" s="0" t="s">
        <v>3781</v>
      </c>
      <c r="H363" s="0" t="s">
        <v>4614</v>
      </c>
      <c r="I363" s="0" t="s">
        <v>4615</v>
      </c>
      <c r="K363" s="0" t="s">
        <v>4616</v>
      </c>
      <c r="L363" s="0" t="s">
        <v>4617</v>
      </c>
      <c r="M363" s="0" t="s">
        <v>4618</v>
      </c>
      <c r="N363" s="0" t="s">
        <v>4619</v>
      </c>
      <c r="O363" s="0" t="s">
        <v>3788</v>
      </c>
      <c r="P363" s="0" t="s">
        <v>3602</v>
      </c>
      <c r="Q363" s="0" t="s">
        <v>240</v>
      </c>
      <c r="R363" s="0" t="b">
        <v>0</v>
      </c>
      <c r="S363" s="0" t="s">
        <v>4823</v>
      </c>
    </row>
    <row customHeight="1" ht="11.25">
      <c r="A364" s="0">
        <v>2655</v>
      </c>
      <c r="B364" s="0" t="s">
        <v>102</v>
      </c>
      <c r="C364" s="0">
        <v>26517842</v>
      </c>
      <c r="D364" s="0" t="s">
        <v>4620</v>
      </c>
      <c r="E364" s="0" t="s">
        <v>4621</v>
      </c>
      <c r="F364" s="0" t="s">
        <v>4622</v>
      </c>
      <c r="G364" s="0" t="s">
        <v>3683</v>
      </c>
      <c r="H364" s="0" t="s">
        <v>4623</v>
      </c>
      <c r="I364" s="0" t="s">
        <v>4624</v>
      </c>
      <c r="J364" s="0" t="s">
        <v>3745</v>
      </c>
      <c r="K364" s="0" t="s">
        <v>4625</v>
      </c>
      <c r="L364" s="0" t="s">
        <v>3461</v>
      </c>
      <c r="M364" s="0" t="s">
        <v>4626</v>
      </c>
      <c r="N364" s="0" t="s">
        <v>4627</v>
      </c>
      <c r="O364" s="0" t="s">
        <v>4628</v>
      </c>
      <c r="P364" s="0" t="s">
        <v>145</v>
      </c>
      <c r="Q364" s="0" t="s">
        <v>240</v>
      </c>
      <c r="R364" s="0" t="b">
        <v>0</v>
      </c>
      <c r="S364" s="0" t="s">
        <v>4823</v>
      </c>
    </row>
    <row customHeight="1" ht="11.25">
      <c r="A365" s="0">
        <v>2655</v>
      </c>
      <c r="B365" s="0" t="s">
        <v>102</v>
      </c>
      <c r="C365" s="0">
        <v>26356937</v>
      </c>
      <c r="D365" s="0" t="s">
        <v>3887</v>
      </c>
      <c r="E365" s="0" t="s">
        <v>3888</v>
      </c>
      <c r="F365" s="0" t="s">
        <v>3889</v>
      </c>
      <c r="G365" s="0" t="s">
        <v>3752</v>
      </c>
      <c r="H365" s="0" t="s">
        <v>3890</v>
      </c>
      <c r="I365" s="0" t="s">
        <v>3891</v>
      </c>
      <c r="J365" s="0" t="s">
        <v>3745</v>
      </c>
      <c r="K365" s="0" t="s">
        <v>3892</v>
      </c>
      <c r="L365" s="0" t="s">
        <v>3892</v>
      </c>
      <c r="M365" s="0" t="s">
        <v>3893</v>
      </c>
      <c r="N365" s="0" t="s">
        <v>3894</v>
      </c>
      <c r="O365" s="0" t="s">
        <v>3895</v>
      </c>
      <c r="P365" s="0" t="s">
        <v>3613</v>
      </c>
      <c r="Q365" s="0" t="s">
        <v>3896</v>
      </c>
      <c r="R365" s="0" t="b">
        <v>0</v>
      </c>
      <c r="S365" s="0" t="s">
        <v>4823</v>
      </c>
    </row>
    <row customHeight="1" ht="11.25">
      <c r="A366" s="0">
        <v>2655</v>
      </c>
      <c r="B366" s="0" t="s">
        <v>102</v>
      </c>
      <c r="C366" s="0">
        <v>33000834</v>
      </c>
      <c r="D366" s="0" t="s">
        <v>3897</v>
      </c>
      <c r="E366" s="0" t="s">
        <v>3898</v>
      </c>
      <c r="F366" s="0" t="s">
        <v>3899</v>
      </c>
      <c r="G366" s="0" t="s">
        <v>3595</v>
      </c>
      <c r="H366" s="0" t="s">
        <v>3900</v>
      </c>
      <c r="I366" s="0" t="s">
        <v>3901</v>
      </c>
      <c r="K366" s="0" t="s">
        <v>3902</v>
      </c>
      <c r="L366" s="0" t="s">
        <v>3902</v>
      </c>
      <c r="M366" s="0" t="s">
        <v>3903</v>
      </c>
      <c r="N366" s="0" t="s">
        <v>3649</v>
      </c>
      <c r="O366" s="0" t="s">
        <v>3904</v>
      </c>
      <c r="P366" s="0" t="s">
        <v>3580</v>
      </c>
      <c r="Q366" s="0" t="s">
        <v>3905</v>
      </c>
      <c r="R366" s="0" t="b">
        <v>0</v>
      </c>
      <c r="S366" s="0" t="s">
        <v>4823</v>
      </c>
    </row>
    <row customHeight="1" ht="11.25">
      <c r="A367" s="0">
        <v>2655</v>
      </c>
      <c r="B367" s="0" t="s">
        <v>102</v>
      </c>
      <c r="C367" s="0">
        <v>31473621</v>
      </c>
      <c r="D367" s="0" t="s">
        <v>4629</v>
      </c>
      <c r="E367" s="0" t="s">
        <v>4630</v>
      </c>
      <c r="F367" s="0" t="s">
        <v>4631</v>
      </c>
      <c r="G367" s="0" t="s">
        <v>3595</v>
      </c>
      <c r="H367" s="0" t="s">
        <v>4632</v>
      </c>
      <c r="I367" s="0" t="s">
        <v>4633</v>
      </c>
      <c r="J367" s="0" t="s">
        <v>3745</v>
      </c>
      <c r="K367" s="0" t="s">
        <v>4634</v>
      </c>
      <c r="L367" s="0" t="s">
        <v>4634</v>
      </c>
      <c r="M367" s="0" t="s">
        <v>4635</v>
      </c>
      <c r="N367" s="0" t="s">
        <v>4636</v>
      </c>
      <c r="O367" s="0" t="s">
        <v>4637</v>
      </c>
      <c r="P367" s="0" t="s">
        <v>145</v>
      </c>
      <c r="Q367" s="0" t="s">
        <v>4638</v>
      </c>
      <c r="R367" s="0" t="b">
        <v>0</v>
      </c>
      <c r="S367" s="0" t="s">
        <v>4823</v>
      </c>
    </row>
    <row customHeight="1" ht="11.25">
      <c r="A368" s="0">
        <v>2655</v>
      </c>
      <c r="B368" s="0" t="s">
        <v>102</v>
      </c>
      <c r="C368" s="0">
        <v>31004851</v>
      </c>
      <c r="D368" s="0" t="s">
        <v>4639</v>
      </c>
      <c r="E368" s="0" t="s">
        <v>4640</v>
      </c>
      <c r="F368" s="0" t="s">
        <v>4641</v>
      </c>
      <c r="G368" s="0" t="s">
        <v>3481</v>
      </c>
      <c r="H368" s="0" t="s">
        <v>4642</v>
      </c>
      <c r="I368" s="0" t="s">
        <v>4643</v>
      </c>
      <c r="J368" s="0" t="s">
        <v>3745</v>
      </c>
      <c r="K368" s="0" t="s">
        <v>4644</v>
      </c>
      <c r="L368" s="0" t="s">
        <v>4645</v>
      </c>
      <c r="M368" s="0" t="s">
        <v>4646</v>
      </c>
      <c r="N368" s="0" t="s">
        <v>4647</v>
      </c>
      <c r="O368" s="0" t="s">
        <v>4648</v>
      </c>
      <c r="P368" s="0" t="s">
        <v>145</v>
      </c>
      <c r="Q368" s="0" t="s">
        <v>4649</v>
      </c>
      <c r="R368" s="0" t="b">
        <v>0</v>
      </c>
      <c r="S368" s="0" t="s">
        <v>4823</v>
      </c>
    </row>
    <row customHeight="1" ht="11.25">
      <c r="A369" s="0">
        <v>2655</v>
      </c>
      <c r="B369" s="0" t="s">
        <v>102</v>
      </c>
      <c r="C369" s="0">
        <v>28274482</v>
      </c>
      <c r="D369" s="0" t="s">
        <v>4660</v>
      </c>
      <c r="E369" s="0" t="s">
        <v>4661</v>
      </c>
      <c r="F369" s="0" t="s">
        <v>4662</v>
      </c>
      <c r="G369" s="0" t="s">
        <v>3525</v>
      </c>
      <c r="H369" s="0" t="s">
        <v>4663</v>
      </c>
      <c r="I369" s="0" t="s">
        <v>4664</v>
      </c>
      <c r="J369" s="0" t="s">
        <v>3745</v>
      </c>
      <c r="K369" s="0" t="s">
        <v>4665</v>
      </c>
      <c r="L369" s="0" t="s">
        <v>4666</v>
      </c>
      <c r="M369" s="0" t="s">
        <v>3836</v>
      </c>
      <c r="N369" s="0" t="s">
        <v>3837</v>
      </c>
      <c r="O369" s="0" t="s">
        <v>3838</v>
      </c>
      <c r="P369" s="0" t="s">
        <v>3580</v>
      </c>
      <c r="Q369" s="0" t="s">
        <v>240</v>
      </c>
      <c r="R369" s="0" t="b">
        <v>0</v>
      </c>
      <c r="S369" s="0" t="s">
        <v>4823</v>
      </c>
    </row>
    <row customHeight="1" ht="11.25">
      <c r="A370" s="0">
        <v>2655</v>
      </c>
      <c r="B370" s="0" t="s">
        <v>102</v>
      </c>
      <c r="C370" s="0">
        <v>31224454</v>
      </c>
      <c r="D370" s="0" t="s">
        <v>4667</v>
      </c>
      <c r="E370" s="0" t="s">
        <v>4668</v>
      </c>
      <c r="F370" s="0" t="s">
        <v>4669</v>
      </c>
      <c r="G370" s="0" t="s">
        <v>3481</v>
      </c>
      <c r="H370" s="0" t="s">
        <v>4670</v>
      </c>
      <c r="I370" s="0" t="s">
        <v>4671</v>
      </c>
      <c r="J370" s="0" t="s">
        <v>3745</v>
      </c>
      <c r="K370" s="0" t="s">
        <v>4672</v>
      </c>
      <c r="L370" s="0" t="s">
        <v>4672</v>
      </c>
      <c r="M370" s="0" t="s">
        <v>4673</v>
      </c>
      <c r="N370" s="0" t="s">
        <v>4674</v>
      </c>
      <c r="O370" s="0" t="s">
        <v>4675</v>
      </c>
      <c r="P370" s="0" t="s">
        <v>145</v>
      </c>
      <c r="Q370" s="0" t="s">
        <v>240</v>
      </c>
      <c r="R370" s="0" t="b">
        <v>0</v>
      </c>
      <c r="S370" s="0" t="s">
        <v>4823</v>
      </c>
    </row>
    <row customHeight="1" ht="11.25">
      <c r="A371" s="0">
        <v>2655</v>
      </c>
      <c r="B371" s="0" t="s">
        <v>102</v>
      </c>
      <c r="C371" s="0">
        <v>26852692</v>
      </c>
      <c r="D371" s="0" t="s">
        <v>4686</v>
      </c>
      <c r="E371" s="0" t="s">
        <v>4687</v>
      </c>
      <c r="F371" s="0" t="s">
        <v>4688</v>
      </c>
      <c r="G371" s="0" t="s">
        <v>3852</v>
      </c>
      <c r="H371" s="0" t="s">
        <v>4689</v>
      </c>
      <c r="I371" s="0" t="s">
        <v>4690</v>
      </c>
      <c r="K371" s="0" t="s">
        <v>4691</v>
      </c>
      <c r="L371" s="0" t="s">
        <v>4691</v>
      </c>
      <c r="M371" s="0" t="s">
        <v>4682</v>
      </c>
      <c r="N371" s="0" t="s">
        <v>4683</v>
      </c>
      <c r="O371" s="0" t="s">
        <v>4692</v>
      </c>
      <c r="P371" s="0" t="s">
        <v>3580</v>
      </c>
      <c r="Q371" s="0" t="s">
        <v>240</v>
      </c>
      <c r="R371" s="0" t="b">
        <v>1</v>
      </c>
      <c r="S371" s="0" t="s">
        <v>4823</v>
      </c>
    </row>
    <row customHeight="1" ht="11.25">
      <c r="A372" s="0">
        <v>2655</v>
      </c>
      <c r="B372" s="0" t="s">
        <v>102</v>
      </c>
      <c r="C372" s="0">
        <v>26356899</v>
      </c>
      <c r="D372" s="0" t="s">
        <v>4703</v>
      </c>
      <c r="E372" s="0" t="s">
        <v>4704</v>
      </c>
      <c r="F372" s="0" t="s">
        <v>4705</v>
      </c>
      <c r="G372" s="0" t="s">
        <v>4706</v>
      </c>
      <c r="H372" s="0" t="s">
        <v>4707</v>
      </c>
      <c r="I372" s="0" t="s">
        <v>240</v>
      </c>
      <c r="J372" s="0" t="s">
        <v>3745</v>
      </c>
      <c r="K372" s="0" t="s">
        <v>3949</v>
      </c>
      <c r="L372" s="0" t="s">
        <v>3949</v>
      </c>
      <c r="M372" s="0" t="s">
        <v>4708</v>
      </c>
      <c r="N372" s="0" t="s">
        <v>240</v>
      </c>
      <c r="O372" s="0" t="s">
        <v>3952</v>
      </c>
      <c r="P372" s="0" t="s">
        <v>3580</v>
      </c>
      <c r="Q372" s="0" t="s">
        <v>240</v>
      </c>
      <c r="R372" s="0" t="b">
        <v>0</v>
      </c>
      <c r="S372" s="0" t="s">
        <v>4823</v>
      </c>
    </row>
    <row customHeight="1" ht="11.25">
      <c r="A373" s="0">
        <v>2655</v>
      </c>
      <c r="B373" s="0" t="s">
        <v>102</v>
      </c>
      <c r="C373" s="0">
        <v>31224507</v>
      </c>
      <c r="D373" s="0" t="s">
        <v>4709</v>
      </c>
      <c r="E373" s="0" t="s">
        <v>4710</v>
      </c>
      <c r="F373" s="0" t="s">
        <v>4711</v>
      </c>
      <c r="G373" s="0" t="s">
        <v>4712</v>
      </c>
      <c r="H373" s="0" t="s">
        <v>4713</v>
      </c>
      <c r="I373" s="0" t="s">
        <v>4714</v>
      </c>
      <c r="J373" s="0" t="s">
        <v>3745</v>
      </c>
      <c r="K373" s="0" t="s">
        <v>4715</v>
      </c>
      <c r="L373" s="0" t="s">
        <v>4715</v>
      </c>
      <c r="M373" s="0" t="s">
        <v>4716</v>
      </c>
      <c r="N373" s="0" t="s">
        <v>4717</v>
      </c>
      <c r="O373" s="0" t="s">
        <v>4675</v>
      </c>
      <c r="P373" s="0" t="s">
        <v>145</v>
      </c>
      <c r="Q373" s="0" t="s">
        <v>240</v>
      </c>
      <c r="R373" s="0" t="b">
        <v>0</v>
      </c>
      <c r="S373" s="0" t="s">
        <v>4823</v>
      </c>
    </row>
    <row customHeight="1" ht="11.25">
      <c r="A374" s="0">
        <v>2655</v>
      </c>
      <c r="B374" s="0" t="s">
        <v>102</v>
      </c>
      <c r="C374" s="0">
        <v>28270293</v>
      </c>
      <c r="D374" s="0" t="s">
        <v>3925</v>
      </c>
      <c r="E374" s="0" t="s">
        <v>3926</v>
      </c>
      <c r="F374" s="0" t="s">
        <v>3927</v>
      </c>
      <c r="G374" s="0" t="s">
        <v>3683</v>
      </c>
      <c r="H374" s="0" t="s">
        <v>3928</v>
      </c>
      <c r="I374" s="0" t="s">
        <v>3929</v>
      </c>
      <c r="J374" s="0" t="s">
        <v>3745</v>
      </c>
      <c r="K374" s="0" t="s">
        <v>3930</v>
      </c>
      <c r="L374" s="0" t="s">
        <v>3930</v>
      </c>
      <c r="M374" s="0" t="s">
        <v>3931</v>
      </c>
      <c r="N374" s="0" t="s">
        <v>3932</v>
      </c>
      <c r="O374" s="0" t="s">
        <v>3933</v>
      </c>
      <c r="P374" s="0" t="s">
        <v>145</v>
      </c>
      <c r="Q374" s="0" t="s">
        <v>240</v>
      </c>
      <c r="R374" s="0" t="b">
        <v>0</v>
      </c>
      <c r="S374" s="0" t="s">
        <v>4823</v>
      </c>
    </row>
    <row customHeight="1" ht="11.25">
      <c r="A375" s="0">
        <v>2655</v>
      </c>
      <c r="B375" s="0" t="s">
        <v>102</v>
      </c>
      <c r="C375" s="0">
        <v>28873362</v>
      </c>
      <c r="D375" s="0" t="s">
        <v>3934</v>
      </c>
      <c r="E375" s="0" t="s">
        <v>3935</v>
      </c>
      <c r="F375" s="0" t="s">
        <v>3936</v>
      </c>
      <c r="G375" s="0" t="s">
        <v>123</v>
      </c>
      <c r="H375" s="0" t="s">
        <v>3937</v>
      </c>
      <c r="I375" s="0" t="s">
        <v>3938</v>
      </c>
      <c r="J375" s="0" t="s">
        <v>3745</v>
      </c>
      <c r="K375" s="0" t="s">
        <v>3939</v>
      </c>
      <c r="L375" s="0" t="s">
        <v>3939</v>
      </c>
      <c r="M375" s="0" t="s">
        <v>3940</v>
      </c>
      <c r="N375" s="0" t="s">
        <v>3941</v>
      </c>
      <c r="O375" s="0" t="s">
        <v>3942</v>
      </c>
      <c r="P375" s="0" t="s">
        <v>3580</v>
      </c>
      <c r="Q375" s="0" t="s">
        <v>3943</v>
      </c>
      <c r="R375" s="0" t="b">
        <v>0</v>
      </c>
      <c r="S375" s="0" t="s">
        <v>4823</v>
      </c>
    </row>
    <row customHeight="1" ht="11.25">
      <c r="A376" s="0">
        <v>2655</v>
      </c>
      <c r="B376" s="0" t="s">
        <v>102</v>
      </c>
      <c r="C376" s="0">
        <v>30992391</v>
      </c>
      <c r="D376" s="0" t="s">
        <v>3953</v>
      </c>
      <c r="E376" s="0" t="s">
        <v>3954</v>
      </c>
      <c r="F376" s="0" t="s">
        <v>3955</v>
      </c>
      <c r="G376" s="0" t="s">
        <v>3572</v>
      </c>
      <c r="H376" s="0" t="s">
        <v>3956</v>
      </c>
      <c r="I376" s="0" t="s">
        <v>3957</v>
      </c>
      <c r="J376" s="0" t="s">
        <v>3745</v>
      </c>
      <c r="K376" s="0" t="s">
        <v>3958</v>
      </c>
      <c r="L376" s="0" t="s">
        <v>3959</v>
      </c>
      <c r="M376" s="0" t="s">
        <v>3960</v>
      </c>
      <c r="N376" s="0" t="s">
        <v>3961</v>
      </c>
      <c r="O376" s="0" t="s">
        <v>3962</v>
      </c>
      <c r="P376" s="0" t="s">
        <v>3580</v>
      </c>
      <c r="Q376" s="0" t="s">
        <v>3963</v>
      </c>
      <c r="R376" s="0" t="b">
        <v>0</v>
      </c>
      <c r="S376" s="0" t="s">
        <v>4823</v>
      </c>
    </row>
    <row customHeight="1" ht="11.25">
      <c r="A377" s="0">
        <v>2655</v>
      </c>
      <c r="B377" s="0" t="s">
        <v>102</v>
      </c>
      <c r="C377" s="0">
        <v>31491836</v>
      </c>
      <c r="D377" s="0" t="s">
        <v>4745</v>
      </c>
      <c r="E377" s="0" t="s">
        <v>4746</v>
      </c>
      <c r="F377" s="0" t="s">
        <v>4747</v>
      </c>
      <c r="G377" s="0" t="s">
        <v>123</v>
      </c>
      <c r="H377" s="0" t="s">
        <v>4748</v>
      </c>
      <c r="I377" s="0" t="s">
        <v>4749</v>
      </c>
      <c r="J377" s="0" t="s">
        <v>3745</v>
      </c>
      <c r="K377" s="0" t="s">
        <v>4750</v>
      </c>
      <c r="L377" s="0" t="s">
        <v>4751</v>
      </c>
      <c r="M377" s="0" t="s">
        <v>4752</v>
      </c>
      <c r="N377" s="0" t="s">
        <v>4753</v>
      </c>
      <c r="O377" s="0" t="s">
        <v>4754</v>
      </c>
      <c r="P377" s="0" t="s">
        <v>3613</v>
      </c>
      <c r="Q377" s="0" t="s">
        <v>240</v>
      </c>
      <c r="R377" s="0" t="b">
        <v>1</v>
      </c>
      <c r="S377" s="0" t="s">
        <v>4823</v>
      </c>
    </row>
    <row customHeight="1" ht="11.25">
      <c r="A378" s="0">
        <v>2655</v>
      </c>
      <c r="B378" s="0" t="s">
        <v>102</v>
      </c>
      <c r="C378" s="0">
        <v>26356974</v>
      </c>
      <c r="D378" s="0" t="s">
        <v>4755</v>
      </c>
      <c r="E378" s="0" t="s">
        <v>4756</v>
      </c>
      <c r="F378" s="0" t="s">
        <v>4757</v>
      </c>
      <c r="G378" s="0" t="s">
        <v>4758</v>
      </c>
      <c r="H378" s="0" t="s">
        <v>4759</v>
      </c>
      <c r="I378" s="0" t="s">
        <v>4760</v>
      </c>
      <c r="J378" s="0" t="s">
        <v>3745</v>
      </c>
      <c r="K378" s="0" t="s">
        <v>4761</v>
      </c>
      <c r="L378" s="0" t="s">
        <v>4761</v>
      </c>
      <c r="M378" s="0" t="s">
        <v>4762</v>
      </c>
      <c r="N378" s="0" t="s">
        <v>4763</v>
      </c>
      <c r="O378" s="0" t="s">
        <v>4764</v>
      </c>
      <c r="P378" s="0" t="s">
        <v>3580</v>
      </c>
      <c r="Q378" s="0" t="s">
        <v>4765</v>
      </c>
      <c r="R378" s="0" t="b">
        <v>0</v>
      </c>
      <c r="S378" s="0" t="s">
        <v>4823</v>
      </c>
    </row>
    <row customHeight="1" ht="11.25">
      <c r="A379" s="0">
        <v>2655</v>
      </c>
      <c r="B379" s="0" t="s">
        <v>102</v>
      </c>
      <c r="C379" s="0">
        <v>31038861</v>
      </c>
      <c r="D379" s="0" t="s">
        <v>4775</v>
      </c>
      <c r="E379" s="0" t="s">
        <v>4776</v>
      </c>
      <c r="F379" s="0" t="s">
        <v>4777</v>
      </c>
      <c r="G379" s="0" t="s">
        <v>3481</v>
      </c>
      <c r="H379" s="0" t="s">
        <v>4778</v>
      </c>
      <c r="I379" s="0" t="s">
        <v>4779</v>
      </c>
      <c r="J379" s="0" t="s">
        <v>3745</v>
      </c>
      <c r="K379" s="0" t="s">
        <v>4780</v>
      </c>
      <c r="L379" s="0" t="s">
        <v>4781</v>
      </c>
      <c r="M379" s="0" t="s">
        <v>4782</v>
      </c>
      <c r="N379" s="0" t="s">
        <v>4783</v>
      </c>
      <c r="O379" s="0" t="s">
        <v>4784</v>
      </c>
      <c r="P379" s="0" t="s">
        <v>3580</v>
      </c>
      <c r="Q379" s="0" t="s">
        <v>240</v>
      </c>
      <c r="R379" s="0" t="b">
        <v>0</v>
      </c>
      <c r="S379" s="0" t="s">
        <v>4823</v>
      </c>
    </row>
    <row customHeight="1" ht="11.25">
      <c r="A380" s="0">
        <v>2655</v>
      </c>
      <c r="B380" s="0" t="s">
        <v>102</v>
      </c>
      <c r="C380" s="0">
        <v>28977129</v>
      </c>
      <c r="D380" s="0" t="s">
        <v>4795</v>
      </c>
      <c r="E380" s="0" t="s">
        <v>4796</v>
      </c>
      <c r="F380" s="0" t="s">
        <v>3982</v>
      </c>
      <c r="G380" s="0" t="s">
        <v>4797</v>
      </c>
      <c r="H380" s="0" t="s">
        <v>3984</v>
      </c>
      <c r="I380" s="0" t="s">
        <v>3995</v>
      </c>
      <c r="J380" s="0" t="s">
        <v>3986</v>
      </c>
      <c r="K380" s="0" t="s">
        <v>4798</v>
      </c>
      <c r="L380" s="0" t="s">
        <v>4799</v>
      </c>
      <c r="M380" s="0" t="s">
        <v>4800</v>
      </c>
      <c r="N380" s="0" t="s">
        <v>240</v>
      </c>
      <c r="O380" s="0" t="s">
        <v>4801</v>
      </c>
      <c r="P380" s="0" t="s">
        <v>3580</v>
      </c>
      <c r="Q380" s="0" t="s">
        <v>240</v>
      </c>
      <c r="R380" s="0" t="b">
        <v>0</v>
      </c>
      <c r="S380" s="0" t="s">
        <v>4823</v>
      </c>
    </row>
    <row customHeight="1" ht="11.25">
      <c r="A381" s="0">
        <v>2655</v>
      </c>
      <c r="B381" s="0" t="s">
        <v>102</v>
      </c>
      <c r="C381" s="0">
        <v>30914574</v>
      </c>
      <c r="D381" s="0" t="s">
        <v>4809</v>
      </c>
      <c r="E381" s="0" t="s">
        <v>4810</v>
      </c>
      <c r="F381" s="0" t="s">
        <v>4811</v>
      </c>
      <c r="G381" s="0" t="s">
        <v>4812</v>
      </c>
      <c r="H381" s="0" t="s">
        <v>4813</v>
      </c>
      <c r="I381" s="0" t="s">
        <v>4814</v>
      </c>
      <c r="J381" s="0" t="s">
        <v>4815</v>
      </c>
      <c r="K381" s="0" t="s">
        <v>4816</v>
      </c>
      <c r="L381" s="0" t="s">
        <v>4817</v>
      </c>
      <c r="M381" s="0" t="s">
        <v>4818</v>
      </c>
      <c r="N381" s="0" t="s">
        <v>4819</v>
      </c>
      <c r="O381" s="0" t="s">
        <v>4820</v>
      </c>
      <c r="P381" s="0" t="s">
        <v>4821</v>
      </c>
      <c r="Q381" s="0" t="s">
        <v>240</v>
      </c>
      <c r="R381" s="0" t="b">
        <v>0</v>
      </c>
      <c r="S381" s="0" t="s">
        <v>4823</v>
      </c>
    </row>
    <row customHeight="1" ht="11.25">
      <c r="A382" s="0">
        <v>2655</v>
      </c>
      <c r="B382" s="0" t="s">
        <v>102</v>
      </c>
      <c r="C382" s="0">
        <v>26516002</v>
      </c>
      <c r="D382" s="0" t="s">
        <v>4824</v>
      </c>
      <c r="E382" s="0" t="s">
        <v>4824</v>
      </c>
      <c r="F382" s="0" t="s">
        <v>4825</v>
      </c>
      <c r="G382" s="0" t="s">
        <v>4826</v>
      </c>
      <c r="H382" s="0" t="s">
        <v>4827</v>
      </c>
      <c r="I382" s="0" t="s">
        <v>4828</v>
      </c>
      <c r="J382" s="0" t="s">
        <v>3446</v>
      </c>
      <c r="K382" s="0" t="s">
        <v>240</v>
      </c>
      <c r="L382" s="0" t="s">
        <v>240</v>
      </c>
      <c r="M382" s="0" t="s">
        <v>4829</v>
      </c>
      <c r="N382" s="0" t="s">
        <v>240</v>
      </c>
      <c r="O382" s="0" t="s">
        <v>4830</v>
      </c>
      <c r="P382" s="0" t="s">
        <v>240</v>
      </c>
      <c r="Q382" s="0" t="s">
        <v>240</v>
      </c>
      <c r="R382" s="0" t="b">
        <v>0</v>
      </c>
      <c r="S382" s="0" t="s">
        <v>4831</v>
      </c>
    </row>
    <row customHeight="1" ht="11.25">
      <c r="A383" s="0">
        <v>2655</v>
      </c>
      <c r="B383" s="0" t="s">
        <v>102</v>
      </c>
      <c r="C383" s="0">
        <v>26318885</v>
      </c>
      <c r="D383" s="0" t="s">
        <v>4832</v>
      </c>
      <c r="E383" s="0" t="s">
        <v>4833</v>
      </c>
      <c r="F383" s="0" t="s">
        <v>4834</v>
      </c>
      <c r="G383" s="0" t="s">
        <v>4835</v>
      </c>
      <c r="H383" s="0" t="s">
        <v>4836</v>
      </c>
      <c r="I383" s="0" t="s">
        <v>4837</v>
      </c>
      <c r="J383" s="0" t="s">
        <v>3446</v>
      </c>
      <c r="K383" s="0" t="s">
        <v>4838</v>
      </c>
      <c r="L383" s="0" t="s">
        <v>4838</v>
      </c>
      <c r="M383" s="0" t="s">
        <v>4839</v>
      </c>
      <c r="N383" s="0" t="s">
        <v>240</v>
      </c>
      <c r="O383" s="0" t="s">
        <v>4840</v>
      </c>
      <c r="P383" s="0" t="s">
        <v>145</v>
      </c>
      <c r="Q383" s="0" t="s">
        <v>240</v>
      </c>
      <c r="R383" s="0" t="b">
        <v>0</v>
      </c>
      <c r="S383" s="0" t="s">
        <v>4831</v>
      </c>
    </row>
    <row customHeight="1" ht="11.25">
      <c r="A384" s="0">
        <v>2655</v>
      </c>
      <c r="B384" s="0" t="s">
        <v>102</v>
      </c>
      <c r="C384" s="0">
        <v>26357007</v>
      </c>
      <c r="D384" s="0" t="s">
        <v>4157</v>
      </c>
      <c r="E384" s="0" t="s">
        <v>4158</v>
      </c>
      <c r="F384" s="0" t="s">
        <v>4159</v>
      </c>
      <c r="G384" s="0" t="s">
        <v>3704</v>
      </c>
      <c r="H384" s="0" t="s">
        <v>4160</v>
      </c>
      <c r="I384" s="0" t="s">
        <v>4161</v>
      </c>
      <c r="J384" s="0" t="s">
        <v>3446</v>
      </c>
      <c r="K384" s="0" t="s">
        <v>4162</v>
      </c>
      <c r="L384" s="0" t="s">
        <v>4162</v>
      </c>
      <c r="M384" s="0" t="s">
        <v>4163</v>
      </c>
      <c r="N384" s="0" t="s">
        <v>4164</v>
      </c>
      <c r="O384" s="0" t="s">
        <v>4165</v>
      </c>
      <c r="P384" s="0" t="s">
        <v>145</v>
      </c>
      <c r="Q384" s="0" t="s">
        <v>4166</v>
      </c>
      <c r="R384" s="0" t="b">
        <v>0</v>
      </c>
      <c r="S384" s="0" t="s">
        <v>4831</v>
      </c>
    </row>
    <row customHeight="1" ht="11.25">
      <c r="A385" s="0">
        <v>2655</v>
      </c>
      <c r="B385" s="0" t="s">
        <v>102</v>
      </c>
      <c r="C385" s="0">
        <v>27804990</v>
      </c>
      <c r="D385" s="0" t="s">
        <v>3455</v>
      </c>
      <c r="E385" s="0" t="s">
        <v>3456</v>
      </c>
      <c r="F385" s="0" t="s">
        <v>3457</v>
      </c>
      <c r="G385" s="0" t="s">
        <v>123</v>
      </c>
      <c r="H385" s="0" t="s">
        <v>3458</v>
      </c>
      <c r="I385" s="0" t="s">
        <v>3459</v>
      </c>
      <c r="J385" s="0" t="s">
        <v>3446</v>
      </c>
      <c r="K385" s="0" t="s">
        <v>3460</v>
      </c>
      <c r="L385" s="0" t="s">
        <v>3461</v>
      </c>
      <c r="M385" s="0" t="s">
        <v>3462</v>
      </c>
      <c r="N385" s="0" t="s">
        <v>3463</v>
      </c>
      <c r="O385" s="0" t="s">
        <v>3464</v>
      </c>
      <c r="P385" s="0" t="s">
        <v>3465</v>
      </c>
      <c r="Q385" s="0" t="s">
        <v>3466</v>
      </c>
      <c r="R385" s="0" t="b">
        <v>0</v>
      </c>
      <c r="S385" s="0" t="s">
        <v>4831</v>
      </c>
    </row>
    <row customHeight="1" ht="11.25">
      <c r="A386" s="0">
        <v>2655</v>
      </c>
      <c r="B386" s="0" t="s">
        <v>102</v>
      </c>
      <c r="C386" s="0">
        <v>26322870</v>
      </c>
      <c r="D386" s="0" t="s">
        <v>4841</v>
      </c>
      <c r="E386" s="0" t="s">
        <v>4842</v>
      </c>
      <c r="F386" s="0" t="s">
        <v>4843</v>
      </c>
      <c r="G386" s="0" t="s">
        <v>3683</v>
      </c>
      <c r="H386" s="0" t="s">
        <v>4844</v>
      </c>
      <c r="I386" s="0" t="s">
        <v>4845</v>
      </c>
      <c r="J386" s="0" t="s">
        <v>3446</v>
      </c>
      <c r="K386" s="0" t="s">
        <v>4846</v>
      </c>
      <c r="L386" s="0" t="s">
        <v>4846</v>
      </c>
      <c r="M386" s="0" t="s">
        <v>4847</v>
      </c>
      <c r="N386" s="0" t="s">
        <v>4848</v>
      </c>
      <c r="O386" s="0" t="s">
        <v>4849</v>
      </c>
      <c r="P386" s="0" t="s">
        <v>145</v>
      </c>
      <c r="Q386" s="0" t="s">
        <v>4850</v>
      </c>
      <c r="R386" s="0" t="b">
        <v>0</v>
      </c>
      <c r="S386" s="0" t="s">
        <v>4831</v>
      </c>
    </row>
    <row customHeight="1" ht="11.25">
      <c r="A387" s="0">
        <v>2655</v>
      </c>
      <c r="B387" s="0" t="s">
        <v>102</v>
      </c>
      <c r="C387" s="0">
        <v>28048296</v>
      </c>
      <c r="D387" s="0" t="s">
        <v>4167</v>
      </c>
      <c r="E387" s="0" t="s">
        <v>4168</v>
      </c>
      <c r="F387" s="0" t="s">
        <v>4169</v>
      </c>
      <c r="G387" s="0" t="s">
        <v>123</v>
      </c>
      <c r="H387" s="0" t="s">
        <v>4170</v>
      </c>
      <c r="I387" s="0" t="s">
        <v>4171</v>
      </c>
      <c r="J387" s="0" t="s">
        <v>3446</v>
      </c>
      <c r="K387" s="0" t="s">
        <v>4172</v>
      </c>
      <c r="L387" s="0" t="s">
        <v>3461</v>
      </c>
      <c r="M387" s="0" t="s">
        <v>4173</v>
      </c>
      <c r="N387" s="0" t="s">
        <v>3817</v>
      </c>
      <c r="O387" s="0" t="s">
        <v>4174</v>
      </c>
      <c r="P387" s="0" t="s">
        <v>3465</v>
      </c>
      <c r="Q387" s="0" t="s">
        <v>3466</v>
      </c>
      <c r="R387" s="0" t="b">
        <v>0</v>
      </c>
      <c r="S387" s="0" t="s">
        <v>4831</v>
      </c>
    </row>
    <row customHeight="1" ht="11.25">
      <c r="A388" s="0">
        <v>2655</v>
      </c>
      <c r="B388" s="0" t="s">
        <v>102</v>
      </c>
      <c r="C388" s="0">
        <v>27804826</v>
      </c>
      <c r="D388" s="0" t="s">
        <v>3467</v>
      </c>
      <c r="E388" s="0" t="s">
        <v>3468</v>
      </c>
      <c r="F388" s="0" t="s">
        <v>3469</v>
      </c>
      <c r="G388" s="0" t="s">
        <v>3470</v>
      </c>
      <c r="H388" s="0" t="s">
        <v>3471</v>
      </c>
      <c r="I388" s="0" t="s">
        <v>3472</v>
      </c>
      <c r="J388" s="0" t="s">
        <v>3446</v>
      </c>
      <c r="K388" s="0" t="s">
        <v>3473</v>
      </c>
      <c r="L388" s="0" t="s">
        <v>3461</v>
      </c>
      <c r="M388" s="0" t="s">
        <v>3474</v>
      </c>
      <c r="N388" s="0" t="s">
        <v>3475</v>
      </c>
      <c r="O388" s="0" t="s">
        <v>3476</v>
      </c>
      <c r="P388" s="0" t="s">
        <v>3465</v>
      </c>
      <c r="Q388" s="0" t="s">
        <v>3477</v>
      </c>
      <c r="R388" s="0" t="b">
        <v>0</v>
      </c>
      <c r="S388" s="0" t="s">
        <v>4831</v>
      </c>
    </row>
    <row customHeight="1" ht="11.25">
      <c r="A389" s="0">
        <v>2655</v>
      </c>
      <c r="B389" s="0" t="s">
        <v>102</v>
      </c>
      <c r="C389" s="0">
        <v>26805240</v>
      </c>
      <c r="D389" s="0" t="s">
        <v>4851</v>
      </c>
      <c r="E389" s="0" t="s">
        <v>4852</v>
      </c>
      <c r="F389" s="0" t="s">
        <v>4853</v>
      </c>
      <c r="G389" s="0" t="s">
        <v>4854</v>
      </c>
      <c r="H389" s="0" t="s">
        <v>4855</v>
      </c>
      <c r="I389" s="0" t="s">
        <v>4856</v>
      </c>
      <c r="J389" s="0" t="s">
        <v>3446</v>
      </c>
      <c r="K389" s="0" t="s">
        <v>4857</v>
      </c>
      <c r="L389" s="0" t="s">
        <v>4857</v>
      </c>
      <c r="M389" s="0" t="s">
        <v>240</v>
      </c>
      <c r="N389" s="0" t="s">
        <v>240</v>
      </c>
      <c r="O389" s="0" t="s">
        <v>4858</v>
      </c>
      <c r="P389" s="0" t="s">
        <v>145</v>
      </c>
      <c r="Q389" s="0" t="s">
        <v>240</v>
      </c>
      <c r="R389" s="0" t="b">
        <v>0</v>
      </c>
      <c r="S389" s="0" t="s">
        <v>4831</v>
      </c>
    </row>
    <row customHeight="1" ht="11.25">
      <c r="A390" s="0">
        <v>2655</v>
      </c>
      <c r="B390" s="0" t="s">
        <v>102</v>
      </c>
      <c r="C390" s="0">
        <v>26318876</v>
      </c>
      <c r="D390" s="0" t="s">
        <v>4859</v>
      </c>
      <c r="E390" s="0" t="s">
        <v>4859</v>
      </c>
      <c r="F390" s="0" t="s">
        <v>4860</v>
      </c>
      <c r="G390" s="0" t="s">
        <v>4861</v>
      </c>
      <c r="H390" s="0" t="s">
        <v>4862</v>
      </c>
      <c r="I390" s="0" t="s">
        <v>240</v>
      </c>
      <c r="J390" s="0" t="s">
        <v>3446</v>
      </c>
      <c r="K390" s="0" t="s">
        <v>4863</v>
      </c>
      <c r="L390" s="0" t="s">
        <v>4863</v>
      </c>
      <c r="M390" s="0" t="s">
        <v>4864</v>
      </c>
      <c r="N390" s="0" t="s">
        <v>4865</v>
      </c>
      <c r="O390" s="0" t="s">
        <v>4866</v>
      </c>
      <c r="P390" s="0" t="s">
        <v>4867</v>
      </c>
      <c r="Q390" s="0" t="s">
        <v>240</v>
      </c>
      <c r="R390" s="0" t="b">
        <v>0</v>
      </c>
      <c r="S390" s="0" t="s">
        <v>4831</v>
      </c>
    </row>
    <row customHeight="1" ht="11.25">
      <c r="A391" s="0">
        <v>2655</v>
      </c>
      <c r="B391" s="0" t="s">
        <v>102</v>
      </c>
      <c r="C391" s="0">
        <v>27804896</v>
      </c>
      <c r="D391" s="0" t="s">
        <v>4175</v>
      </c>
      <c r="E391" s="0" t="s">
        <v>4176</v>
      </c>
      <c r="F391" s="0" t="s">
        <v>4177</v>
      </c>
      <c r="G391" s="0" t="s">
        <v>123</v>
      </c>
      <c r="H391" s="0" t="s">
        <v>4178</v>
      </c>
      <c r="I391" s="0" t="s">
        <v>4179</v>
      </c>
      <c r="J391" s="0" t="s">
        <v>3446</v>
      </c>
      <c r="K391" s="0" t="s">
        <v>4180</v>
      </c>
      <c r="L391" s="0" t="s">
        <v>3461</v>
      </c>
      <c r="M391" s="0" t="s">
        <v>4181</v>
      </c>
      <c r="N391" s="0" t="s">
        <v>4182</v>
      </c>
      <c r="O391" s="0" t="s">
        <v>4183</v>
      </c>
      <c r="P391" s="0" t="s">
        <v>3465</v>
      </c>
      <c r="Q391" s="0" t="s">
        <v>3466</v>
      </c>
      <c r="R391" s="0" t="b">
        <v>0</v>
      </c>
      <c r="S391" s="0" t="s">
        <v>4831</v>
      </c>
    </row>
    <row customHeight="1" ht="11.25">
      <c r="A392" s="0">
        <v>2655</v>
      </c>
      <c r="B392" s="0" t="s">
        <v>102</v>
      </c>
      <c r="C392" s="0">
        <v>26319041</v>
      </c>
      <c r="D392" s="0" t="s">
        <v>4868</v>
      </c>
      <c r="E392" s="0" t="s">
        <v>4868</v>
      </c>
      <c r="F392" s="0" t="s">
        <v>4869</v>
      </c>
      <c r="G392" s="0" t="s">
        <v>4861</v>
      </c>
      <c r="H392" s="0" t="s">
        <v>4870</v>
      </c>
      <c r="I392" s="0" t="s">
        <v>240</v>
      </c>
      <c r="J392" s="0" t="s">
        <v>3517</v>
      </c>
      <c r="K392" s="0" t="s">
        <v>4871</v>
      </c>
      <c r="L392" s="0" t="s">
        <v>4871</v>
      </c>
      <c r="M392" s="0" t="s">
        <v>4872</v>
      </c>
      <c r="N392" s="0" t="s">
        <v>4873</v>
      </c>
      <c r="O392" s="0" t="s">
        <v>4874</v>
      </c>
      <c r="P392" s="0" t="s">
        <v>240</v>
      </c>
      <c r="Q392" s="0" t="s">
        <v>240</v>
      </c>
      <c r="R392" s="0" t="b">
        <v>0</v>
      </c>
      <c r="S392" s="0" t="s">
        <v>4831</v>
      </c>
    </row>
    <row customHeight="1" ht="11.25">
      <c r="A393" s="0">
        <v>2655</v>
      </c>
      <c r="B393" s="0" t="s">
        <v>102</v>
      </c>
      <c r="C393" s="0">
        <v>28029222</v>
      </c>
      <c r="D393" s="0" t="s">
        <v>4875</v>
      </c>
      <c r="E393" s="0" t="s">
        <v>4876</v>
      </c>
      <c r="F393" s="0" t="s">
        <v>4877</v>
      </c>
      <c r="G393" s="0" t="s">
        <v>123</v>
      </c>
      <c r="H393" s="0" t="s">
        <v>4878</v>
      </c>
      <c r="I393" s="0" t="s">
        <v>4879</v>
      </c>
      <c r="J393" s="0" t="s">
        <v>3446</v>
      </c>
      <c r="K393" s="0" t="s">
        <v>4880</v>
      </c>
      <c r="L393" s="0" t="s">
        <v>4880</v>
      </c>
      <c r="M393" s="0" t="s">
        <v>4881</v>
      </c>
      <c r="N393" s="0" t="s">
        <v>4882</v>
      </c>
      <c r="O393" s="0" t="s">
        <v>4883</v>
      </c>
      <c r="P393" s="0" t="s">
        <v>145</v>
      </c>
      <c r="Q393" s="0" t="s">
        <v>4884</v>
      </c>
      <c r="R393" s="0" t="b">
        <v>0</v>
      </c>
      <c r="S393" s="0" t="s">
        <v>4831</v>
      </c>
    </row>
    <row customHeight="1" ht="11.25">
      <c r="A394" s="0">
        <v>2655</v>
      </c>
      <c r="B394" s="0" t="s">
        <v>102</v>
      </c>
      <c r="C394" s="0">
        <v>26448586</v>
      </c>
      <c r="D394" s="0" t="s">
        <v>4885</v>
      </c>
      <c r="E394" s="0" t="s">
        <v>4885</v>
      </c>
      <c r="F394" s="0" t="s">
        <v>4886</v>
      </c>
      <c r="G394" s="0" t="s">
        <v>4887</v>
      </c>
      <c r="H394" s="0" t="s">
        <v>4888</v>
      </c>
      <c r="L394" s="0" t="s">
        <v>4889</v>
      </c>
      <c r="M394" s="0" t="s">
        <v>4890</v>
      </c>
      <c r="N394" s="0" t="s">
        <v>4891</v>
      </c>
      <c r="O394" s="0" t="s">
        <v>4892</v>
      </c>
      <c r="P394" s="0" t="s">
        <v>145</v>
      </c>
      <c r="R394" s="0" t="b">
        <v>0</v>
      </c>
      <c r="S394" s="0" t="s">
        <v>4831</v>
      </c>
    </row>
    <row customHeight="1" ht="11.25">
      <c r="A395" s="0">
        <v>2655</v>
      </c>
      <c r="B395" s="0" t="s">
        <v>102</v>
      </c>
      <c r="C395" s="0">
        <v>26519096</v>
      </c>
      <c r="D395" s="0" t="s">
        <v>4893</v>
      </c>
      <c r="E395" s="0" t="s">
        <v>4894</v>
      </c>
      <c r="F395" s="0" t="s">
        <v>4895</v>
      </c>
      <c r="G395" s="0" t="s">
        <v>123</v>
      </c>
      <c r="H395" s="0" t="s">
        <v>4896</v>
      </c>
      <c r="I395" s="0" t="s">
        <v>4897</v>
      </c>
      <c r="J395" s="0" t="s">
        <v>3446</v>
      </c>
      <c r="K395" s="0" t="s">
        <v>4898</v>
      </c>
      <c r="L395" s="0" t="s">
        <v>4898</v>
      </c>
      <c r="M395" s="0" t="s">
        <v>4899</v>
      </c>
      <c r="N395" s="0" t="s">
        <v>4900</v>
      </c>
      <c r="O395" s="0" t="s">
        <v>4901</v>
      </c>
      <c r="P395" s="0" t="s">
        <v>145</v>
      </c>
      <c r="Q395" s="0" t="s">
        <v>240</v>
      </c>
      <c r="R395" s="0" t="b">
        <v>0</v>
      </c>
      <c r="S395" s="0" t="s">
        <v>4831</v>
      </c>
    </row>
    <row customHeight="1" ht="11.25">
      <c r="A396" s="0">
        <v>2655</v>
      </c>
      <c r="B396" s="0" t="s">
        <v>102</v>
      </c>
      <c r="C396" s="0">
        <v>27820148</v>
      </c>
      <c r="D396" s="0" t="s">
        <v>4041</v>
      </c>
      <c r="E396" s="0" t="s">
        <v>4042</v>
      </c>
      <c r="F396" s="0" t="s">
        <v>4043</v>
      </c>
      <c r="G396" s="0" t="s">
        <v>3752</v>
      </c>
      <c r="H396" s="0" t="s">
        <v>4044</v>
      </c>
      <c r="I396" s="0" t="s">
        <v>4045</v>
      </c>
      <c r="J396" s="0" t="s">
        <v>3446</v>
      </c>
      <c r="K396" s="0" t="s">
        <v>4046</v>
      </c>
      <c r="L396" s="0" t="s">
        <v>4046</v>
      </c>
      <c r="M396" s="0" t="s">
        <v>4047</v>
      </c>
      <c r="N396" s="0" t="s">
        <v>4048</v>
      </c>
      <c r="O396" s="0" t="s">
        <v>4049</v>
      </c>
      <c r="P396" s="0" t="s">
        <v>4050</v>
      </c>
      <c r="Q396" s="0" t="s">
        <v>4051</v>
      </c>
      <c r="R396" s="0" t="b">
        <v>0</v>
      </c>
      <c r="S396" s="0" t="s">
        <v>4831</v>
      </c>
    </row>
    <row customHeight="1" ht="11.25">
      <c r="A397" s="0">
        <v>2655</v>
      </c>
      <c r="B397" s="0" t="s">
        <v>102</v>
      </c>
      <c r="C397" s="0">
        <v>26322893</v>
      </c>
      <c r="D397" s="0" t="s">
        <v>4902</v>
      </c>
      <c r="E397" s="0" t="s">
        <v>4903</v>
      </c>
      <c r="F397" s="0" t="s">
        <v>4904</v>
      </c>
      <c r="G397" s="0" t="s">
        <v>123</v>
      </c>
      <c r="H397" s="0" t="s">
        <v>4905</v>
      </c>
      <c r="I397" s="0" t="s">
        <v>240</v>
      </c>
      <c r="J397" s="0" t="s">
        <v>3446</v>
      </c>
      <c r="K397" s="0" t="s">
        <v>4906</v>
      </c>
      <c r="L397" s="0" t="s">
        <v>4906</v>
      </c>
      <c r="M397" s="0" t="s">
        <v>4907</v>
      </c>
      <c r="N397" s="0" t="s">
        <v>4908</v>
      </c>
      <c r="O397" s="0" t="s">
        <v>4909</v>
      </c>
      <c r="P397" s="0" t="s">
        <v>3580</v>
      </c>
      <c r="Q397" s="0" t="s">
        <v>4910</v>
      </c>
      <c r="R397" s="0" t="b">
        <v>0</v>
      </c>
      <c r="S397" s="0" t="s">
        <v>4831</v>
      </c>
    </row>
    <row customHeight="1" ht="11.25">
      <c r="A398" s="0">
        <v>2655</v>
      </c>
      <c r="B398" s="0" t="s">
        <v>102</v>
      </c>
      <c r="C398" s="0">
        <v>27200904</v>
      </c>
      <c r="D398" s="0" t="s">
        <v>4911</v>
      </c>
      <c r="E398" s="0" t="s">
        <v>4912</v>
      </c>
      <c r="F398" s="0" t="s">
        <v>4913</v>
      </c>
      <c r="G398" s="0" t="s">
        <v>4914</v>
      </c>
      <c r="H398" s="0" t="s">
        <v>4915</v>
      </c>
      <c r="I398" s="0" t="s">
        <v>4916</v>
      </c>
      <c r="J398" s="0" t="s">
        <v>3446</v>
      </c>
      <c r="K398" s="0" t="s">
        <v>4917</v>
      </c>
      <c r="L398" s="0" t="s">
        <v>4918</v>
      </c>
      <c r="M398" s="0" t="s">
        <v>4919</v>
      </c>
      <c r="N398" s="0" t="s">
        <v>4920</v>
      </c>
      <c r="O398" s="0" t="s">
        <v>4921</v>
      </c>
      <c r="P398" s="0" t="s">
        <v>4922</v>
      </c>
      <c r="Q398" s="0" t="s">
        <v>4923</v>
      </c>
      <c r="R398" s="0" t="b">
        <v>0</v>
      </c>
      <c r="S398" s="0" t="s">
        <v>4831</v>
      </c>
    </row>
    <row customHeight="1" ht="11.25">
      <c r="A399" s="0">
        <v>2655</v>
      </c>
      <c r="B399" s="0" t="s">
        <v>102</v>
      </c>
      <c r="C399" s="0">
        <v>26767932</v>
      </c>
      <c r="D399" s="0" t="s">
        <v>4924</v>
      </c>
      <c r="E399" s="0" t="s">
        <v>240</v>
      </c>
      <c r="F399" s="0" t="s">
        <v>3524</v>
      </c>
      <c r="G399" s="0" t="s">
        <v>4925</v>
      </c>
      <c r="H399" s="0" t="s">
        <v>3526</v>
      </c>
      <c r="I399" s="0" t="s">
        <v>240</v>
      </c>
      <c r="J399" s="0" t="s">
        <v>3446</v>
      </c>
      <c r="K399" s="0" t="s">
        <v>4926</v>
      </c>
      <c r="L399" s="0" t="s">
        <v>4926</v>
      </c>
      <c r="M399" s="0" t="s">
        <v>240</v>
      </c>
      <c r="N399" s="0" t="s">
        <v>240</v>
      </c>
      <c r="O399" s="0" t="s">
        <v>4927</v>
      </c>
      <c r="P399" s="0" t="s">
        <v>240</v>
      </c>
      <c r="Q399" s="0" t="s">
        <v>240</v>
      </c>
      <c r="R399" s="0" t="b">
        <v>0</v>
      </c>
      <c r="S399" s="0" t="s">
        <v>4831</v>
      </c>
    </row>
    <row customHeight="1" ht="11.25">
      <c r="A400" s="0">
        <v>2655</v>
      </c>
      <c r="B400" s="0" t="s">
        <v>102</v>
      </c>
      <c r="C400" s="0">
        <v>26322867</v>
      </c>
      <c r="D400" s="0" t="s">
        <v>3544</v>
      </c>
      <c r="E400" s="0" t="s">
        <v>3545</v>
      </c>
      <c r="F400" s="0" t="s">
        <v>3546</v>
      </c>
      <c r="G400" s="0" t="s">
        <v>3491</v>
      </c>
      <c r="H400" s="0" t="s">
        <v>3547</v>
      </c>
      <c r="I400" s="0" t="s">
        <v>3548</v>
      </c>
      <c r="J400" s="0" t="s">
        <v>3446</v>
      </c>
      <c r="K400" s="0" t="s">
        <v>3549</v>
      </c>
      <c r="L400" s="0" t="s">
        <v>3549</v>
      </c>
      <c r="M400" s="0" t="s">
        <v>3550</v>
      </c>
      <c r="N400" s="0" t="s">
        <v>3551</v>
      </c>
      <c r="O400" s="0" t="s">
        <v>3552</v>
      </c>
      <c r="P400" s="0" t="s">
        <v>145</v>
      </c>
      <c r="Q400" s="0" t="s">
        <v>3553</v>
      </c>
      <c r="R400" s="0" t="b">
        <v>0</v>
      </c>
      <c r="S400" s="0" t="s">
        <v>4831</v>
      </c>
    </row>
    <row customHeight="1" ht="11.25">
      <c r="A401" s="0">
        <v>2655</v>
      </c>
      <c r="B401" s="0" t="s">
        <v>102</v>
      </c>
      <c r="C401" s="0">
        <v>27581524</v>
      </c>
      <c r="D401" s="0" t="s">
        <v>4928</v>
      </c>
      <c r="E401" s="0" t="s">
        <v>240</v>
      </c>
      <c r="F401" s="0" t="s">
        <v>4929</v>
      </c>
      <c r="G401" s="0" t="s">
        <v>4930</v>
      </c>
      <c r="H401" s="0" t="s">
        <v>4931</v>
      </c>
      <c r="I401" s="0" t="s">
        <v>4932</v>
      </c>
      <c r="K401" s="0" t="s">
        <v>4933</v>
      </c>
      <c r="L401" s="0" t="s">
        <v>4933</v>
      </c>
      <c r="M401" s="0" t="s">
        <v>4934</v>
      </c>
      <c r="N401" s="0" t="s">
        <v>240</v>
      </c>
      <c r="O401" s="0" t="s">
        <v>4935</v>
      </c>
      <c r="P401" s="0" t="s">
        <v>4936</v>
      </c>
      <c r="Q401" s="0" t="s">
        <v>240</v>
      </c>
      <c r="R401" s="0" t="b">
        <v>0</v>
      </c>
      <c r="S401" s="0" t="s">
        <v>4831</v>
      </c>
    </row>
    <row customHeight="1" ht="11.25">
      <c r="A402" s="0">
        <v>2655</v>
      </c>
      <c r="B402" s="0" t="s">
        <v>102</v>
      </c>
      <c r="C402" s="0">
        <v>26322851</v>
      </c>
      <c r="D402" s="0" t="s">
        <v>4937</v>
      </c>
      <c r="E402" s="0" t="s">
        <v>4938</v>
      </c>
      <c r="F402" s="0" t="s">
        <v>3524</v>
      </c>
      <c r="G402" s="0" t="s">
        <v>4939</v>
      </c>
      <c r="H402" s="0" t="s">
        <v>3526</v>
      </c>
      <c r="I402" s="0" t="s">
        <v>4940</v>
      </c>
      <c r="K402" s="0" t="s">
        <v>4941</v>
      </c>
      <c r="L402" s="0" t="s">
        <v>4942</v>
      </c>
      <c r="M402" s="0" t="s">
        <v>4943</v>
      </c>
      <c r="N402" s="0" t="s">
        <v>4944</v>
      </c>
      <c r="O402" s="0" t="s">
        <v>4945</v>
      </c>
      <c r="P402" s="0" t="s">
        <v>4946</v>
      </c>
      <c r="Q402" s="0" t="s">
        <v>4947</v>
      </c>
      <c r="R402" s="0" t="b">
        <v>0</v>
      </c>
      <c r="S402" s="0" t="s">
        <v>4831</v>
      </c>
    </row>
    <row customHeight="1" ht="11.25">
      <c r="A403" s="0">
        <v>2655</v>
      </c>
      <c r="B403" s="0" t="s">
        <v>102</v>
      </c>
      <c r="C403" s="0">
        <v>30406046</v>
      </c>
      <c r="D403" s="0" t="s">
        <v>4948</v>
      </c>
      <c r="E403" s="0" t="s">
        <v>4949</v>
      </c>
      <c r="F403" s="0" t="s">
        <v>4869</v>
      </c>
      <c r="G403" s="0" t="s">
        <v>3503</v>
      </c>
      <c r="H403" s="0" t="s">
        <v>4870</v>
      </c>
      <c r="I403" s="0" t="s">
        <v>240</v>
      </c>
      <c r="J403" s="0" t="s">
        <v>3446</v>
      </c>
      <c r="K403" s="0" t="s">
        <v>240</v>
      </c>
      <c r="L403" s="0" t="s">
        <v>240</v>
      </c>
      <c r="M403" s="0" t="s">
        <v>4950</v>
      </c>
      <c r="N403" s="0" t="s">
        <v>4951</v>
      </c>
      <c r="O403" s="0" t="s">
        <v>4952</v>
      </c>
      <c r="P403" s="0" t="s">
        <v>4953</v>
      </c>
      <c r="Q403" s="0" t="s">
        <v>4954</v>
      </c>
      <c r="R403" s="0" t="b">
        <v>0</v>
      </c>
      <c r="S403" s="0" t="s">
        <v>4831</v>
      </c>
    </row>
    <row customHeight="1" ht="11.25">
      <c r="A404" s="0">
        <v>2655</v>
      </c>
      <c r="B404" s="0" t="s">
        <v>102</v>
      </c>
      <c r="C404" s="0">
        <v>26322895</v>
      </c>
      <c r="D404" s="0" t="s">
        <v>112</v>
      </c>
      <c r="E404" s="0" t="s">
        <v>115</v>
      </c>
      <c r="F404" s="0" t="s">
        <v>121</v>
      </c>
      <c r="G404" s="0" t="s">
        <v>123</v>
      </c>
      <c r="H404" s="0" t="s">
        <v>119</v>
      </c>
      <c r="I404" s="0" t="s">
        <v>125</v>
      </c>
      <c r="J404" s="0" t="s">
        <v>3517</v>
      </c>
      <c r="K404" s="0" t="s">
        <v>131</v>
      </c>
      <c r="L404" s="0" t="s">
        <v>131</v>
      </c>
      <c r="M404" s="0" t="s">
        <v>136</v>
      </c>
      <c r="N404" s="0" t="s">
        <v>139</v>
      </c>
      <c r="O404" s="0" t="s">
        <v>142</v>
      </c>
      <c r="P404" s="0" t="s">
        <v>145</v>
      </c>
      <c r="Q404" s="0" t="s">
        <v>148</v>
      </c>
      <c r="R404" s="0" t="b">
        <v>0</v>
      </c>
      <c r="S404" s="0" t="s">
        <v>4831</v>
      </c>
    </row>
    <row customHeight="1" ht="11.25">
      <c r="A405" s="0">
        <v>2655</v>
      </c>
      <c r="B405" s="0" t="s">
        <v>102</v>
      </c>
      <c r="C405" s="0">
        <v>27094684</v>
      </c>
      <c r="D405" s="0" t="s">
        <v>4955</v>
      </c>
      <c r="E405" s="0" t="s">
        <v>4956</v>
      </c>
      <c r="F405" s="0" t="s">
        <v>4957</v>
      </c>
      <c r="G405" s="0" t="s">
        <v>4958</v>
      </c>
      <c r="H405" s="0" t="s">
        <v>4959</v>
      </c>
      <c r="I405" s="0" t="s">
        <v>4960</v>
      </c>
      <c r="J405" s="0" t="s">
        <v>3517</v>
      </c>
      <c r="K405" s="0" t="s">
        <v>4961</v>
      </c>
      <c r="L405" s="0" t="s">
        <v>4961</v>
      </c>
      <c r="M405" s="0" t="s">
        <v>4962</v>
      </c>
      <c r="N405" s="0" t="s">
        <v>240</v>
      </c>
      <c r="O405" s="0" t="s">
        <v>4963</v>
      </c>
      <c r="P405" s="0" t="s">
        <v>145</v>
      </c>
      <c r="Q405" s="0" t="s">
        <v>240</v>
      </c>
      <c r="R405" s="0" t="b">
        <v>0</v>
      </c>
      <c r="S405" s="0" t="s">
        <v>4831</v>
      </c>
    </row>
    <row customHeight="1" ht="11.25">
      <c r="A406" s="0">
        <v>2655</v>
      </c>
      <c r="B406" s="0" t="s">
        <v>102</v>
      </c>
      <c r="C406" s="0">
        <v>26792017</v>
      </c>
      <c r="D406" s="0" t="s">
        <v>4964</v>
      </c>
      <c r="E406" s="0" t="s">
        <v>240</v>
      </c>
      <c r="F406" s="0" t="s">
        <v>4965</v>
      </c>
      <c r="G406" s="0" t="s">
        <v>4966</v>
      </c>
      <c r="H406" s="0" t="s">
        <v>4967</v>
      </c>
      <c r="I406" s="0" t="s">
        <v>240</v>
      </c>
      <c r="J406" s="0" t="s">
        <v>3745</v>
      </c>
      <c r="K406" s="0" t="s">
        <v>240</v>
      </c>
      <c r="L406" s="0" t="s">
        <v>240</v>
      </c>
      <c r="M406" s="0" t="s">
        <v>240</v>
      </c>
      <c r="N406" s="0" t="s">
        <v>240</v>
      </c>
      <c r="O406" s="0" t="s">
        <v>240</v>
      </c>
      <c r="P406" s="0" t="s">
        <v>240</v>
      </c>
      <c r="Q406" s="0" t="s">
        <v>240</v>
      </c>
      <c r="R406" s="0" t="b">
        <v>0</v>
      </c>
      <c r="S406" s="0" t="s">
        <v>4831</v>
      </c>
    </row>
    <row customHeight="1" ht="11.25">
      <c r="A407" s="0">
        <v>2655</v>
      </c>
      <c r="B407" s="0" t="s">
        <v>102</v>
      </c>
      <c r="C407" s="0">
        <v>31289532</v>
      </c>
      <c r="D407" s="0" t="s">
        <v>4968</v>
      </c>
      <c r="E407" s="0" t="s">
        <v>4968</v>
      </c>
      <c r="F407" s="0" t="s">
        <v>4969</v>
      </c>
      <c r="G407" s="0" t="s">
        <v>4970</v>
      </c>
      <c r="H407" s="0" t="s">
        <v>4971</v>
      </c>
      <c r="I407" s="0" t="s">
        <v>240</v>
      </c>
      <c r="J407" s="0" t="s">
        <v>3745</v>
      </c>
      <c r="K407" s="0" t="s">
        <v>4972</v>
      </c>
      <c r="L407" s="0" t="s">
        <v>4973</v>
      </c>
      <c r="M407" s="0" t="s">
        <v>4974</v>
      </c>
      <c r="N407" s="0" t="s">
        <v>4975</v>
      </c>
      <c r="O407" s="0" t="s">
        <v>4976</v>
      </c>
      <c r="P407" s="0" t="s">
        <v>145</v>
      </c>
      <c r="Q407" s="0" t="s">
        <v>4977</v>
      </c>
      <c r="R407" s="0" t="b">
        <v>0</v>
      </c>
      <c r="S407" s="0" t="s">
        <v>4831</v>
      </c>
    </row>
    <row customHeight="1" ht="11.25">
      <c r="A408" s="0">
        <v>2655</v>
      </c>
      <c r="B408" s="0" t="s">
        <v>102</v>
      </c>
      <c r="C408" s="0">
        <v>26527116</v>
      </c>
      <c r="D408" s="0" t="s">
        <v>4978</v>
      </c>
      <c r="E408" s="0" t="s">
        <v>4978</v>
      </c>
      <c r="F408" s="0" t="s">
        <v>4979</v>
      </c>
      <c r="G408" s="0" t="s">
        <v>4980</v>
      </c>
      <c r="H408" s="0" t="s">
        <v>4981</v>
      </c>
      <c r="I408" s="0" t="s">
        <v>240</v>
      </c>
      <c r="K408" s="0" t="s">
        <v>240</v>
      </c>
      <c r="L408" s="0" t="s">
        <v>4982</v>
      </c>
      <c r="M408" s="0" t="s">
        <v>4983</v>
      </c>
      <c r="N408" s="0" t="s">
        <v>240</v>
      </c>
      <c r="O408" s="0" t="s">
        <v>4984</v>
      </c>
      <c r="P408" s="0" t="s">
        <v>240</v>
      </c>
      <c r="Q408" s="0" t="s">
        <v>240</v>
      </c>
      <c r="R408" s="0" t="b">
        <v>0</v>
      </c>
      <c r="S408" s="0" t="s">
        <v>4831</v>
      </c>
    </row>
    <row customHeight="1" ht="11.25">
      <c r="A409" s="0">
        <v>2655</v>
      </c>
      <c r="B409" s="0" t="s">
        <v>102</v>
      </c>
      <c r="C409" s="0">
        <v>26650186</v>
      </c>
      <c r="D409" s="0" t="s">
        <v>4985</v>
      </c>
      <c r="E409" s="0" t="s">
        <v>4986</v>
      </c>
      <c r="F409" s="0" t="s">
        <v>4987</v>
      </c>
      <c r="G409" s="0" t="s">
        <v>4988</v>
      </c>
      <c r="H409" s="0" t="s">
        <v>4989</v>
      </c>
      <c r="I409" s="0" t="s">
        <v>4990</v>
      </c>
      <c r="J409" s="0" t="s">
        <v>3745</v>
      </c>
      <c r="K409" s="0" t="s">
        <v>4991</v>
      </c>
      <c r="L409" s="0" t="s">
        <v>4992</v>
      </c>
      <c r="M409" s="0" t="s">
        <v>4993</v>
      </c>
      <c r="N409" s="0" t="s">
        <v>240</v>
      </c>
      <c r="O409" s="0" t="s">
        <v>4489</v>
      </c>
      <c r="P409" s="0" t="s">
        <v>4994</v>
      </c>
      <c r="Q409" s="0" t="s">
        <v>4995</v>
      </c>
      <c r="R409" s="0" t="b">
        <v>0</v>
      </c>
      <c r="S409" s="0" t="s">
        <v>4831</v>
      </c>
    </row>
    <row customHeight="1" ht="11.25">
      <c r="A410" s="0">
        <v>2655</v>
      </c>
      <c r="B410" s="0" t="s">
        <v>102</v>
      </c>
      <c r="C410" s="0">
        <v>26322864</v>
      </c>
      <c r="D410" s="0" t="s">
        <v>4996</v>
      </c>
      <c r="E410" s="0" t="s">
        <v>4997</v>
      </c>
      <c r="F410" s="0" t="s">
        <v>4998</v>
      </c>
      <c r="G410" s="0" t="s">
        <v>3572</v>
      </c>
      <c r="H410" s="0" t="s">
        <v>4999</v>
      </c>
      <c r="I410" s="0" t="s">
        <v>5000</v>
      </c>
      <c r="J410" s="0" t="s">
        <v>3745</v>
      </c>
      <c r="K410" s="0" t="s">
        <v>5001</v>
      </c>
      <c r="L410" s="0" t="s">
        <v>5001</v>
      </c>
      <c r="M410" s="0" t="s">
        <v>5002</v>
      </c>
      <c r="N410" s="0" t="s">
        <v>5003</v>
      </c>
      <c r="O410" s="0" t="s">
        <v>5004</v>
      </c>
      <c r="P410" s="0" t="s">
        <v>5005</v>
      </c>
      <c r="Q410" s="0" t="s">
        <v>5006</v>
      </c>
      <c r="R410" s="0" t="b">
        <v>0</v>
      </c>
      <c r="S410" s="0" t="s">
        <v>4831</v>
      </c>
    </row>
    <row customHeight="1" ht="11.25">
      <c r="A411" s="0">
        <v>2655</v>
      </c>
      <c r="B411" s="0" t="s">
        <v>102</v>
      </c>
      <c r="C411" s="0">
        <v>27855290</v>
      </c>
      <c r="D411" s="0" t="s">
        <v>5007</v>
      </c>
      <c r="E411" s="0" t="s">
        <v>5008</v>
      </c>
      <c r="F411" s="0" t="s">
        <v>5009</v>
      </c>
      <c r="G411" s="0" t="s">
        <v>5010</v>
      </c>
      <c r="H411" s="0" t="s">
        <v>5011</v>
      </c>
      <c r="I411" s="0" t="s">
        <v>5012</v>
      </c>
      <c r="K411" s="0" t="s">
        <v>5013</v>
      </c>
      <c r="L411" s="0" t="s">
        <v>5013</v>
      </c>
      <c r="M411" s="0" t="s">
        <v>5014</v>
      </c>
      <c r="N411" s="0" t="s">
        <v>5015</v>
      </c>
      <c r="O411" s="0" t="s">
        <v>5016</v>
      </c>
      <c r="P411" s="0" t="s">
        <v>3580</v>
      </c>
      <c r="Q411" s="0" t="s">
        <v>240</v>
      </c>
      <c r="R411" s="0" t="b">
        <v>0</v>
      </c>
      <c r="S411" s="0" t="s">
        <v>4831</v>
      </c>
    </row>
    <row customHeight="1" ht="11.25">
      <c r="A412" s="0">
        <v>2655</v>
      </c>
      <c r="B412" s="0" t="s">
        <v>102</v>
      </c>
      <c r="C412" s="0">
        <v>26529124</v>
      </c>
      <c r="D412" s="0" t="s">
        <v>5017</v>
      </c>
      <c r="E412" s="0" t="s">
        <v>5017</v>
      </c>
      <c r="F412" s="0" t="s">
        <v>5018</v>
      </c>
      <c r="G412" s="0" t="s">
        <v>5019</v>
      </c>
      <c r="H412" s="0" t="s">
        <v>5020</v>
      </c>
      <c r="I412" s="0" t="s">
        <v>240</v>
      </c>
      <c r="J412" s="0" t="s">
        <v>3745</v>
      </c>
      <c r="K412" s="0" t="s">
        <v>5021</v>
      </c>
      <c r="L412" s="0" t="s">
        <v>5021</v>
      </c>
      <c r="M412" s="0" t="s">
        <v>5022</v>
      </c>
      <c r="N412" s="0" t="s">
        <v>5023</v>
      </c>
      <c r="O412" s="0" t="s">
        <v>5024</v>
      </c>
      <c r="P412" s="0" t="s">
        <v>3465</v>
      </c>
      <c r="Q412" s="0" t="s">
        <v>240</v>
      </c>
      <c r="R412" s="0" t="b">
        <v>0</v>
      </c>
      <c r="S412" s="0" t="s">
        <v>4831</v>
      </c>
    </row>
    <row customHeight="1" ht="11.25">
      <c r="A413" s="0">
        <v>2655</v>
      </c>
      <c r="B413" s="0" t="s">
        <v>102</v>
      </c>
      <c r="C413" s="0">
        <v>31527562</v>
      </c>
      <c r="D413" s="0" t="s">
        <v>4361</v>
      </c>
      <c r="E413" s="0" t="s">
        <v>4362</v>
      </c>
      <c r="F413" s="0" t="s">
        <v>4363</v>
      </c>
      <c r="G413" s="0" t="s">
        <v>4364</v>
      </c>
      <c r="H413" s="0" t="s">
        <v>4365</v>
      </c>
      <c r="I413" s="0" t="s">
        <v>4366</v>
      </c>
      <c r="K413" s="0" t="s">
        <v>4367</v>
      </c>
      <c r="L413" s="0" t="s">
        <v>4368</v>
      </c>
      <c r="M413" s="0" t="s">
        <v>240</v>
      </c>
      <c r="N413" s="0" t="s">
        <v>240</v>
      </c>
      <c r="O413" s="0" t="s">
        <v>4369</v>
      </c>
      <c r="P413" s="0" t="s">
        <v>240</v>
      </c>
      <c r="Q413" s="0" t="s">
        <v>240</v>
      </c>
      <c r="R413" s="0" t="b">
        <v>0</v>
      </c>
      <c r="S413" s="0" t="s">
        <v>4831</v>
      </c>
    </row>
    <row customHeight="1" ht="11.25">
      <c r="A414" s="0">
        <v>2655</v>
      </c>
      <c r="B414" s="0" t="s">
        <v>102</v>
      </c>
      <c r="C414" s="0">
        <v>26322900</v>
      </c>
      <c r="D414" s="0" t="s">
        <v>5025</v>
      </c>
      <c r="E414" s="0" t="s">
        <v>5026</v>
      </c>
      <c r="F414" s="0" t="s">
        <v>5027</v>
      </c>
      <c r="G414" s="0" t="s">
        <v>123</v>
      </c>
      <c r="H414" s="0" t="s">
        <v>5028</v>
      </c>
      <c r="I414" s="0" t="s">
        <v>5029</v>
      </c>
      <c r="J414" s="0" t="s">
        <v>3745</v>
      </c>
      <c r="K414" s="0" t="s">
        <v>5030</v>
      </c>
      <c r="L414" s="0" t="s">
        <v>5030</v>
      </c>
      <c r="M414" s="0" t="s">
        <v>5031</v>
      </c>
      <c r="N414" s="0" t="s">
        <v>5032</v>
      </c>
      <c r="O414" s="0" t="s">
        <v>5033</v>
      </c>
      <c r="P414" s="0" t="s">
        <v>145</v>
      </c>
      <c r="Q414" s="0" t="s">
        <v>5034</v>
      </c>
      <c r="R414" s="0" t="b">
        <v>0</v>
      </c>
      <c r="S414" s="0" t="s">
        <v>4831</v>
      </c>
    </row>
    <row customHeight="1" ht="11.25">
      <c r="A415" s="0">
        <v>2655</v>
      </c>
      <c r="B415" s="0" t="s">
        <v>102</v>
      </c>
      <c r="C415" s="0">
        <v>31506347</v>
      </c>
      <c r="D415" s="0" t="s">
        <v>5035</v>
      </c>
      <c r="E415" s="0" t="s">
        <v>5036</v>
      </c>
      <c r="F415" s="0" t="s">
        <v>5037</v>
      </c>
      <c r="G415" s="0" t="s">
        <v>123</v>
      </c>
      <c r="H415" s="0" t="s">
        <v>5038</v>
      </c>
      <c r="I415" s="0" t="s">
        <v>5039</v>
      </c>
      <c r="J415" s="0" t="s">
        <v>3745</v>
      </c>
      <c r="K415" s="0" t="s">
        <v>5040</v>
      </c>
      <c r="L415" s="0" t="s">
        <v>5040</v>
      </c>
      <c r="M415" s="0" t="s">
        <v>240</v>
      </c>
      <c r="N415" s="0" t="s">
        <v>5041</v>
      </c>
      <c r="O415" s="0" t="s">
        <v>5042</v>
      </c>
      <c r="P415" s="0" t="s">
        <v>145</v>
      </c>
      <c r="Q415" s="0" t="s">
        <v>5043</v>
      </c>
      <c r="R415" s="0" t="b">
        <v>0</v>
      </c>
      <c r="S415" s="0" t="s">
        <v>4831</v>
      </c>
    </row>
    <row customHeight="1" ht="11.25">
      <c r="A416" s="0">
        <v>2655</v>
      </c>
      <c r="B416" s="0" t="s">
        <v>102</v>
      </c>
      <c r="C416" s="0">
        <v>28147378</v>
      </c>
      <c r="D416" s="0" t="s">
        <v>5044</v>
      </c>
      <c r="E416" s="0" t="s">
        <v>5045</v>
      </c>
      <c r="F416" s="0" t="s">
        <v>5046</v>
      </c>
      <c r="G416" s="0" t="s">
        <v>5047</v>
      </c>
      <c r="H416" s="0" t="s">
        <v>5048</v>
      </c>
      <c r="I416" s="0" t="s">
        <v>240</v>
      </c>
      <c r="J416" s="0" t="s">
        <v>3745</v>
      </c>
      <c r="K416" s="0" t="s">
        <v>5049</v>
      </c>
      <c r="L416" s="0" t="s">
        <v>5049</v>
      </c>
      <c r="M416" s="0" t="s">
        <v>5050</v>
      </c>
      <c r="N416" s="0" t="s">
        <v>5051</v>
      </c>
      <c r="O416" s="0" t="s">
        <v>5052</v>
      </c>
      <c r="P416" s="0" t="s">
        <v>145</v>
      </c>
      <c r="Q416" s="0" t="s">
        <v>5053</v>
      </c>
      <c r="R416" s="0" t="b">
        <v>0</v>
      </c>
      <c r="S416" s="0" t="s">
        <v>4831</v>
      </c>
    </row>
    <row customHeight="1" ht="11.25">
      <c r="A417" s="0">
        <v>2655</v>
      </c>
      <c r="B417" s="0" t="s">
        <v>102</v>
      </c>
      <c r="C417" s="0">
        <v>26842490</v>
      </c>
      <c r="D417" s="0" t="s">
        <v>5054</v>
      </c>
      <c r="E417" s="0" t="s">
        <v>5055</v>
      </c>
      <c r="F417" s="0" t="s">
        <v>5056</v>
      </c>
      <c r="G417" s="0" t="s">
        <v>4970</v>
      </c>
      <c r="H417" s="0" t="s">
        <v>5057</v>
      </c>
      <c r="I417" s="0" t="s">
        <v>240</v>
      </c>
      <c r="J417" s="0" t="s">
        <v>3745</v>
      </c>
      <c r="K417" s="0" t="s">
        <v>5058</v>
      </c>
      <c r="L417" s="0" t="s">
        <v>5059</v>
      </c>
      <c r="M417" s="0" t="s">
        <v>5060</v>
      </c>
      <c r="N417" s="0" t="s">
        <v>5061</v>
      </c>
      <c r="O417" s="0" t="s">
        <v>5062</v>
      </c>
      <c r="P417" s="0" t="s">
        <v>145</v>
      </c>
      <c r="Q417" s="0" t="s">
        <v>240</v>
      </c>
      <c r="R417" s="0" t="b">
        <v>0</v>
      </c>
      <c r="S417" s="0" t="s">
        <v>4831</v>
      </c>
    </row>
    <row customHeight="1" ht="11.25">
      <c r="A418" s="0">
        <v>2655</v>
      </c>
      <c r="B418" s="0" t="s">
        <v>102</v>
      </c>
      <c r="C418" s="0">
        <v>26515847</v>
      </c>
      <c r="D418" s="0" t="s">
        <v>5063</v>
      </c>
      <c r="E418" s="0" t="s">
        <v>240</v>
      </c>
      <c r="F418" s="0" t="s">
        <v>4929</v>
      </c>
      <c r="G418" s="0" t="s">
        <v>5064</v>
      </c>
      <c r="H418" s="0" t="s">
        <v>4931</v>
      </c>
      <c r="I418" s="0" t="s">
        <v>5065</v>
      </c>
      <c r="J418" s="0" t="s">
        <v>3745</v>
      </c>
      <c r="K418" s="0" t="s">
        <v>240</v>
      </c>
      <c r="L418" s="0" t="s">
        <v>240</v>
      </c>
      <c r="M418" s="0" t="s">
        <v>5066</v>
      </c>
      <c r="N418" s="0" t="s">
        <v>240</v>
      </c>
      <c r="O418" s="0" t="s">
        <v>5067</v>
      </c>
      <c r="P418" s="0" t="s">
        <v>240</v>
      </c>
      <c r="Q418" s="0" t="s">
        <v>240</v>
      </c>
      <c r="R418" s="0" t="b">
        <v>0</v>
      </c>
      <c r="S418" s="0" t="s">
        <v>4831</v>
      </c>
    </row>
    <row customHeight="1" ht="11.25">
      <c r="A419" s="0">
        <v>2655</v>
      </c>
      <c r="B419" s="0" t="s">
        <v>102</v>
      </c>
      <c r="C419" s="0">
        <v>31340189</v>
      </c>
      <c r="D419" s="0" t="s">
        <v>5068</v>
      </c>
      <c r="E419" s="0" t="s">
        <v>5068</v>
      </c>
      <c r="F419" s="0" t="s">
        <v>5069</v>
      </c>
      <c r="G419" s="0" t="s">
        <v>5070</v>
      </c>
      <c r="H419" s="0" t="s">
        <v>5071</v>
      </c>
      <c r="I419" s="0" t="s">
        <v>5072</v>
      </c>
      <c r="J419" s="0" t="s">
        <v>3745</v>
      </c>
      <c r="K419" s="0" t="s">
        <v>5073</v>
      </c>
      <c r="L419" s="0" t="s">
        <v>5074</v>
      </c>
      <c r="M419" s="0" t="s">
        <v>5075</v>
      </c>
      <c r="N419" s="0" t="s">
        <v>5076</v>
      </c>
      <c r="O419" s="0" t="s">
        <v>5077</v>
      </c>
      <c r="P419" s="0" t="s">
        <v>145</v>
      </c>
      <c r="Q419" s="0" t="s">
        <v>5076</v>
      </c>
      <c r="R419" s="0" t="b">
        <v>0</v>
      </c>
      <c r="S419" s="0" t="s">
        <v>4831</v>
      </c>
    </row>
    <row customHeight="1" ht="11.25">
      <c r="A420" s="0">
        <v>2655</v>
      </c>
      <c r="B420" s="0" t="s">
        <v>102</v>
      </c>
      <c r="C420" s="0">
        <v>31214277</v>
      </c>
      <c r="D420" s="0" t="s">
        <v>5078</v>
      </c>
      <c r="E420" s="0" t="s">
        <v>5079</v>
      </c>
      <c r="F420" s="0" t="s">
        <v>5080</v>
      </c>
      <c r="G420" s="0" t="s">
        <v>5081</v>
      </c>
      <c r="H420" s="0" t="s">
        <v>5082</v>
      </c>
      <c r="I420" s="0" t="s">
        <v>240</v>
      </c>
      <c r="K420" s="0" t="s">
        <v>240</v>
      </c>
      <c r="L420" s="0" t="s">
        <v>5083</v>
      </c>
      <c r="M420" s="0" t="s">
        <v>5084</v>
      </c>
      <c r="N420" s="0" t="s">
        <v>240</v>
      </c>
      <c r="O420" s="0" t="s">
        <v>5085</v>
      </c>
      <c r="P420" s="0" t="s">
        <v>3465</v>
      </c>
      <c r="Q420" s="0" t="s">
        <v>5086</v>
      </c>
      <c r="R420" s="0" t="b">
        <v>0</v>
      </c>
      <c r="S420" s="0" t="s">
        <v>4831</v>
      </c>
    </row>
    <row customHeight="1" ht="11.25">
      <c r="A421" s="0">
        <v>2655</v>
      </c>
      <c r="B421" s="0" t="s">
        <v>102</v>
      </c>
      <c r="C421" s="0">
        <v>31890159</v>
      </c>
      <c r="D421" s="0" t="s">
        <v>5087</v>
      </c>
      <c r="E421" s="0" t="s">
        <v>5088</v>
      </c>
      <c r="F421" s="0" t="s">
        <v>5089</v>
      </c>
      <c r="G421" s="0" t="s">
        <v>5090</v>
      </c>
      <c r="H421" s="0" t="s">
        <v>5091</v>
      </c>
      <c r="I421" s="0" t="s">
        <v>240</v>
      </c>
      <c r="K421" s="0" t="s">
        <v>5092</v>
      </c>
      <c r="L421" s="0" t="s">
        <v>5092</v>
      </c>
      <c r="M421" s="0" t="s">
        <v>240</v>
      </c>
      <c r="N421" s="0" t="s">
        <v>240</v>
      </c>
      <c r="O421" s="0" t="s">
        <v>240</v>
      </c>
      <c r="P421" s="0" t="s">
        <v>240</v>
      </c>
      <c r="Q421" s="0" t="s">
        <v>240</v>
      </c>
      <c r="R421" s="0" t="b">
        <v>0</v>
      </c>
      <c r="S421" s="0" t="s">
        <v>4831</v>
      </c>
    </row>
    <row customHeight="1" ht="11.25">
      <c r="A422" s="0">
        <v>2655</v>
      </c>
      <c r="B422" s="0" t="s">
        <v>102</v>
      </c>
      <c r="C422" s="0">
        <v>26651348</v>
      </c>
      <c r="D422" s="0" t="s">
        <v>5093</v>
      </c>
      <c r="E422" s="0" t="s">
        <v>5094</v>
      </c>
      <c r="F422" s="0" t="s">
        <v>5095</v>
      </c>
      <c r="G422" s="0" t="s">
        <v>3470</v>
      </c>
      <c r="H422" s="0" t="s">
        <v>5096</v>
      </c>
      <c r="I422" s="0" t="s">
        <v>5097</v>
      </c>
      <c r="J422" s="0" t="s">
        <v>3745</v>
      </c>
      <c r="K422" s="0" t="s">
        <v>5098</v>
      </c>
      <c r="L422" s="0" t="s">
        <v>5098</v>
      </c>
      <c r="M422" s="0" t="s">
        <v>5099</v>
      </c>
      <c r="N422" s="0" t="s">
        <v>5100</v>
      </c>
      <c r="O422" s="0" t="s">
        <v>5101</v>
      </c>
      <c r="P422" s="0" t="s">
        <v>145</v>
      </c>
      <c r="Q422" s="0" t="s">
        <v>5102</v>
      </c>
      <c r="R422" s="0" t="b">
        <v>0</v>
      </c>
      <c r="S422" s="0" t="s">
        <v>4831</v>
      </c>
    </row>
    <row customHeight="1" ht="11.25">
      <c r="A423" s="0">
        <v>2655</v>
      </c>
      <c r="B423" s="0" t="s">
        <v>102</v>
      </c>
      <c r="C423" s="0">
        <v>26518195</v>
      </c>
      <c r="D423" s="0" t="s">
        <v>5103</v>
      </c>
      <c r="E423" s="0" t="s">
        <v>5104</v>
      </c>
      <c r="F423" s="0" t="s">
        <v>5105</v>
      </c>
      <c r="G423" s="0" t="s">
        <v>3481</v>
      </c>
      <c r="H423" s="0" t="s">
        <v>5106</v>
      </c>
      <c r="I423" s="0" t="s">
        <v>5107</v>
      </c>
      <c r="J423" s="0" t="s">
        <v>3745</v>
      </c>
      <c r="K423" s="0" t="s">
        <v>5108</v>
      </c>
      <c r="L423" s="0" t="s">
        <v>5109</v>
      </c>
      <c r="M423" s="0" t="s">
        <v>5110</v>
      </c>
      <c r="N423" s="0" t="s">
        <v>5111</v>
      </c>
      <c r="O423" s="0" t="s">
        <v>5112</v>
      </c>
      <c r="P423" s="0" t="s">
        <v>145</v>
      </c>
      <c r="Q423" s="0" t="s">
        <v>5113</v>
      </c>
      <c r="R423" s="0" t="b">
        <v>0</v>
      </c>
      <c r="S423" s="0" t="s">
        <v>4831</v>
      </c>
    </row>
    <row customHeight="1" ht="11.25">
      <c r="A424" s="0">
        <v>2655</v>
      </c>
      <c r="B424" s="0" t="s">
        <v>102</v>
      </c>
      <c r="C424" s="0">
        <v>31596823</v>
      </c>
      <c r="D424" s="0" t="s">
        <v>5114</v>
      </c>
      <c r="E424" s="0" t="s">
        <v>5115</v>
      </c>
      <c r="F424" s="0" t="s">
        <v>5116</v>
      </c>
      <c r="G424" s="0" t="s">
        <v>5117</v>
      </c>
      <c r="H424" s="0" t="s">
        <v>5118</v>
      </c>
      <c r="I424" s="0" t="s">
        <v>240</v>
      </c>
      <c r="K424" s="0" t="s">
        <v>5119</v>
      </c>
      <c r="L424" s="0" t="s">
        <v>5120</v>
      </c>
      <c r="M424" s="0" t="s">
        <v>5121</v>
      </c>
      <c r="N424" s="0" t="s">
        <v>240</v>
      </c>
      <c r="O424" s="0" t="s">
        <v>5122</v>
      </c>
      <c r="P424" s="0" t="s">
        <v>4547</v>
      </c>
      <c r="Q424" s="0" t="s">
        <v>240</v>
      </c>
      <c r="R424" s="0" t="b">
        <v>0</v>
      </c>
      <c r="S424" s="0" t="s">
        <v>4831</v>
      </c>
    </row>
    <row customHeight="1" ht="11.25">
      <c r="A425" s="0">
        <v>2655</v>
      </c>
      <c r="B425" s="0" t="s">
        <v>102</v>
      </c>
      <c r="C425" s="0">
        <v>30874078</v>
      </c>
      <c r="D425" s="0" t="s">
        <v>5123</v>
      </c>
      <c r="E425" s="0" t="s">
        <v>5124</v>
      </c>
      <c r="F425" s="0" t="s">
        <v>5125</v>
      </c>
      <c r="G425" s="0" t="s">
        <v>123</v>
      </c>
      <c r="H425" s="0" t="s">
        <v>5126</v>
      </c>
      <c r="I425" s="0" t="s">
        <v>5127</v>
      </c>
      <c r="J425" s="0" t="s">
        <v>3745</v>
      </c>
      <c r="K425" s="0" t="s">
        <v>5128</v>
      </c>
      <c r="L425" s="0" t="s">
        <v>5128</v>
      </c>
      <c r="M425" s="0" t="s">
        <v>240</v>
      </c>
      <c r="N425" s="0" t="s">
        <v>5129</v>
      </c>
      <c r="O425" s="0" t="s">
        <v>5130</v>
      </c>
      <c r="P425" s="0" t="s">
        <v>3465</v>
      </c>
      <c r="Q425" s="0" t="s">
        <v>5131</v>
      </c>
      <c r="R425" s="0" t="b">
        <v>0</v>
      </c>
      <c r="S425" s="0" t="s">
        <v>4831</v>
      </c>
    </row>
    <row customHeight="1" ht="11.25">
      <c r="A426" s="0">
        <v>2655</v>
      </c>
      <c r="B426" s="0" t="s">
        <v>102</v>
      </c>
      <c r="C426" s="0">
        <v>26416221</v>
      </c>
      <c r="D426" s="0" t="s">
        <v>5132</v>
      </c>
      <c r="E426" s="0" t="s">
        <v>5133</v>
      </c>
      <c r="F426" s="0" t="s">
        <v>5134</v>
      </c>
      <c r="G426" s="0" t="s">
        <v>4861</v>
      </c>
      <c r="H426" s="0" t="s">
        <v>5135</v>
      </c>
      <c r="I426" s="0" t="s">
        <v>5136</v>
      </c>
      <c r="J426" s="0" t="s">
        <v>3745</v>
      </c>
      <c r="K426" s="0" t="s">
        <v>5137</v>
      </c>
      <c r="L426" s="0" t="s">
        <v>5137</v>
      </c>
      <c r="M426" s="0" t="s">
        <v>5138</v>
      </c>
      <c r="N426" s="0" t="s">
        <v>5139</v>
      </c>
      <c r="O426" s="0" t="s">
        <v>5140</v>
      </c>
      <c r="P426" s="0" t="s">
        <v>145</v>
      </c>
      <c r="Q426" s="0" t="s">
        <v>5141</v>
      </c>
      <c r="R426" s="0" t="b">
        <v>0</v>
      </c>
      <c r="S426" s="0" t="s">
        <v>4831</v>
      </c>
    </row>
    <row customHeight="1" ht="11.25">
      <c r="A427" s="0">
        <v>2655</v>
      </c>
      <c r="B427" s="0" t="s">
        <v>102</v>
      </c>
      <c r="C427" s="0">
        <v>26318820</v>
      </c>
      <c r="D427" s="0" t="s">
        <v>5142</v>
      </c>
      <c r="E427" s="0" t="s">
        <v>5143</v>
      </c>
      <c r="F427" s="0" t="s">
        <v>5144</v>
      </c>
      <c r="G427" s="0" t="s">
        <v>4980</v>
      </c>
      <c r="H427" s="0" t="s">
        <v>5145</v>
      </c>
      <c r="I427" s="0" t="s">
        <v>5146</v>
      </c>
      <c r="K427" s="0" t="s">
        <v>5147</v>
      </c>
      <c r="L427" s="0" t="s">
        <v>5147</v>
      </c>
      <c r="M427" s="0" t="s">
        <v>5148</v>
      </c>
      <c r="N427" s="0" t="s">
        <v>5149</v>
      </c>
      <c r="O427" s="0" t="s">
        <v>5150</v>
      </c>
      <c r="P427" s="0" t="s">
        <v>3465</v>
      </c>
      <c r="Q427" s="0" t="s">
        <v>240</v>
      </c>
      <c r="R427" s="0" t="b">
        <v>0</v>
      </c>
      <c r="S427" s="0" t="s">
        <v>4831</v>
      </c>
    </row>
    <row customHeight="1" ht="11.25">
      <c r="A428" s="0">
        <v>2655</v>
      </c>
      <c r="B428" s="0" t="s">
        <v>102</v>
      </c>
      <c r="C428" s="0">
        <v>31316078</v>
      </c>
      <c r="D428" s="0" t="s">
        <v>5151</v>
      </c>
      <c r="E428" s="0" t="s">
        <v>5152</v>
      </c>
      <c r="F428" s="0" t="s">
        <v>5153</v>
      </c>
      <c r="G428" s="0" t="s">
        <v>123</v>
      </c>
      <c r="H428" s="0" t="s">
        <v>5154</v>
      </c>
      <c r="I428" s="0" t="s">
        <v>5155</v>
      </c>
      <c r="K428" s="0" t="s">
        <v>5156</v>
      </c>
      <c r="L428" s="0" t="s">
        <v>5156</v>
      </c>
      <c r="M428" s="0" t="s">
        <v>5157</v>
      </c>
      <c r="N428" s="0" t="s">
        <v>5158</v>
      </c>
      <c r="O428" s="0" t="s">
        <v>5159</v>
      </c>
      <c r="P428" s="0" t="s">
        <v>3580</v>
      </c>
      <c r="Q428" s="0" t="s">
        <v>5160</v>
      </c>
      <c r="R428" s="0" t="b">
        <v>0</v>
      </c>
      <c r="S428" s="0" t="s">
        <v>4831</v>
      </c>
    </row>
    <row customHeight="1" ht="11.25">
      <c r="A429" s="0">
        <v>2655</v>
      </c>
      <c r="B429" s="0" t="s">
        <v>102</v>
      </c>
      <c r="C429" s="0">
        <v>26502786</v>
      </c>
      <c r="D429" s="0" t="s">
        <v>5161</v>
      </c>
      <c r="E429" s="0" t="s">
        <v>5162</v>
      </c>
      <c r="F429" s="0" t="s">
        <v>5163</v>
      </c>
      <c r="G429" s="0" t="s">
        <v>5117</v>
      </c>
      <c r="H429" s="0" t="s">
        <v>5164</v>
      </c>
      <c r="I429" s="0" t="s">
        <v>240</v>
      </c>
      <c r="J429" s="0" t="s">
        <v>3745</v>
      </c>
      <c r="K429" s="0" t="s">
        <v>5165</v>
      </c>
      <c r="L429" s="0" t="s">
        <v>5165</v>
      </c>
      <c r="M429" s="0" t="s">
        <v>5166</v>
      </c>
      <c r="N429" s="0" t="s">
        <v>5167</v>
      </c>
      <c r="O429" s="0" t="s">
        <v>5168</v>
      </c>
      <c r="P429" s="0" t="s">
        <v>145</v>
      </c>
      <c r="Q429" s="0" t="s">
        <v>5169</v>
      </c>
      <c r="R429" s="0" t="b">
        <v>0</v>
      </c>
      <c r="S429" s="0" t="s">
        <v>4831</v>
      </c>
    </row>
    <row customHeight="1" ht="11.25">
      <c r="A430" s="0">
        <v>2655</v>
      </c>
      <c r="B430" s="0" t="s">
        <v>102</v>
      </c>
      <c r="C430" s="0">
        <v>26318850</v>
      </c>
      <c r="D430" s="0" t="s">
        <v>5170</v>
      </c>
      <c r="E430" s="0" t="s">
        <v>5171</v>
      </c>
      <c r="F430" s="0" t="s">
        <v>5172</v>
      </c>
      <c r="G430" s="0" t="s">
        <v>5173</v>
      </c>
      <c r="H430" s="0" t="s">
        <v>5174</v>
      </c>
      <c r="I430" s="0" t="s">
        <v>5175</v>
      </c>
      <c r="J430" s="0" t="s">
        <v>3745</v>
      </c>
      <c r="K430" s="0" t="s">
        <v>5176</v>
      </c>
      <c r="L430" s="0" t="s">
        <v>5176</v>
      </c>
      <c r="M430" s="0" t="s">
        <v>5177</v>
      </c>
      <c r="N430" s="0" t="s">
        <v>5178</v>
      </c>
      <c r="O430" s="0" t="s">
        <v>5179</v>
      </c>
      <c r="P430" s="0" t="s">
        <v>3613</v>
      </c>
      <c r="Q430" s="0" t="s">
        <v>5180</v>
      </c>
      <c r="R430" s="0" t="b">
        <v>0</v>
      </c>
      <c r="S430" s="0" t="s">
        <v>4831</v>
      </c>
    </row>
    <row customHeight="1" ht="11.25">
      <c r="A431" s="0">
        <v>2655</v>
      </c>
      <c r="B431" s="0" t="s">
        <v>102</v>
      </c>
      <c r="C431" s="0">
        <v>31456132</v>
      </c>
      <c r="D431" s="0" t="s">
        <v>5181</v>
      </c>
      <c r="E431" s="0" t="s">
        <v>5182</v>
      </c>
      <c r="F431" s="0" t="s">
        <v>5183</v>
      </c>
      <c r="G431" s="0" t="s">
        <v>3481</v>
      </c>
      <c r="H431" s="0" t="s">
        <v>5184</v>
      </c>
      <c r="I431" s="0" t="s">
        <v>240</v>
      </c>
      <c r="K431" s="0" t="s">
        <v>5185</v>
      </c>
      <c r="L431" s="0" t="s">
        <v>5185</v>
      </c>
      <c r="M431" s="0" t="s">
        <v>240</v>
      </c>
      <c r="N431" s="0" t="s">
        <v>240</v>
      </c>
      <c r="O431" s="0" t="s">
        <v>5186</v>
      </c>
      <c r="P431" s="0" t="s">
        <v>145</v>
      </c>
      <c r="Q431" s="0" t="s">
        <v>5187</v>
      </c>
      <c r="R431" s="0" t="b">
        <v>0</v>
      </c>
      <c r="S431" s="0" t="s">
        <v>4831</v>
      </c>
    </row>
    <row customHeight="1" ht="11.25">
      <c r="A432" s="0">
        <v>2655</v>
      </c>
      <c r="B432" s="0" t="s">
        <v>102</v>
      </c>
      <c r="C432" s="0">
        <v>30390663</v>
      </c>
      <c r="D432" s="0" t="s">
        <v>5188</v>
      </c>
      <c r="E432" s="0" t="s">
        <v>5189</v>
      </c>
      <c r="F432" s="0" t="s">
        <v>5190</v>
      </c>
      <c r="G432" s="0" t="s">
        <v>3481</v>
      </c>
      <c r="H432" s="0" t="s">
        <v>5191</v>
      </c>
      <c r="I432" s="0" t="s">
        <v>5192</v>
      </c>
      <c r="J432" s="0" t="s">
        <v>3745</v>
      </c>
      <c r="K432" s="0" t="s">
        <v>5193</v>
      </c>
      <c r="L432" s="0" t="s">
        <v>5194</v>
      </c>
      <c r="M432" s="0" t="s">
        <v>240</v>
      </c>
      <c r="N432" s="0" t="s">
        <v>5195</v>
      </c>
      <c r="O432" s="0" t="s">
        <v>5196</v>
      </c>
      <c r="P432" s="0" t="s">
        <v>145</v>
      </c>
      <c r="Q432" s="0" t="s">
        <v>5197</v>
      </c>
      <c r="R432" s="0" t="b">
        <v>0</v>
      </c>
      <c r="S432" s="0" t="s">
        <v>4831</v>
      </c>
    </row>
    <row customHeight="1" ht="11.25">
      <c r="A433" s="0">
        <v>2655</v>
      </c>
      <c r="B433" s="0" t="s">
        <v>102</v>
      </c>
      <c r="C433" s="0">
        <v>26497668</v>
      </c>
      <c r="D433" s="0" t="s">
        <v>5198</v>
      </c>
      <c r="E433" s="0" t="s">
        <v>5199</v>
      </c>
      <c r="F433" s="0" t="s">
        <v>5200</v>
      </c>
      <c r="G433" s="0" t="s">
        <v>5201</v>
      </c>
      <c r="H433" s="0" t="s">
        <v>5202</v>
      </c>
      <c r="I433" s="0" t="s">
        <v>5203</v>
      </c>
      <c r="K433" s="0" t="s">
        <v>5204</v>
      </c>
      <c r="L433" s="0" t="s">
        <v>5204</v>
      </c>
      <c r="M433" s="0" t="s">
        <v>5205</v>
      </c>
      <c r="N433" s="0" t="s">
        <v>5206</v>
      </c>
      <c r="O433" s="0" t="s">
        <v>5207</v>
      </c>
      <c r="P433" s="0" t="s">
        <v>3465</v>
      </c>
      <c r="Q433" s="0" t="s">
        <v>5208</v>
      </c>
      <c r="R433" s="0" t="b">
        <v>0</v>
      </c>
      <c r="S433" s="0" t="s">
        <v>4831</v>
      </c>
    </row>
    <row customHeight="1" ht="11.25">
      <c r="A434" s="0">
        <v>2655</v>
      </c>
      <c r="B434" s="0" t="s">
        <v>102</v>
      </c>
      <c r="C434" s="0">
        <v>30951461</v>
      </c>
      <c r="D434" s="0" t="s">
        <v>5209</v>
      </c>
      <c r="E434" s="0" t="s">
        <v>5210</v>
      </c>
      <c r="F434" s="0" t="s">
        <v>5211</v>
      </c>
      <c r="G434" s="0" t="s">
        <v>123</v>
      </c>
      <c r="H434" s="0" t="s">
        <v>5212</v>
      </c>
      <c r="I434" s="0" t="s">
        <v>5213</v>
      </c>
      <c r="J434" s="0" t="s">
        <v>3745</v>
      </c>
      <c r="K434" s="0" t="s">
        <v>5214</v>
      </c>
      <c r="L434" s="0" t="s">
        <v>5214</v>
      </c>
      <c r="M434" s="0" t="s">
        <v>5215</v>
      </c>
      <c r="N434" s="0" t="s">
        <v>5216</v>
      </c>
      <c r="O434" s="0" t="s">
        <v>5217</v>
      </c>
      <c r="P434" s="0" t="s">
        <v>3580</v>
      </c>
      <c r="Q434" s="0" t="s">
        <v>5218</v>
      </c>
      <c r="R434" s="0" t="b">
        <v>0</v>
      </c>
      <c r="S434" s="0" t="s">
        <v>4831</v>
      </c>
    </row>
    <row customHeight="1" ht="11.25">
      <c r="A435" s="0">
        <v>2655</v>
      </c>
      <c r="B435" s="0" t="s">
        <v>102</v>
      </c>
      <c r="C435" s="0">
        <v>28878380</v>
      </c>
      <c r="D435" s="0" t="s">
        <v>5219</v>
      </c>
      <c r="E435" s="0" t="s">
        <v>5220</v>
      </c>
      <c r="F435" s="0" t="s">
        <v>5221</v>
      </c>
      <c r="G435" s="0" t="s">
        <v>123</v>
      </c>
      <c r="H435" s="0" t="s">
        <v>5222</v>
      </c>
      <c r="I435" s="0" t="s">
        <v>5223</v>
      </c>
      <c r="J435" s="0" t="s">
        <v>3745</v>
      </c>
      <c r="K435" s="0" t="s">
        <v>5224</v>
      </c>
      <c r="L435" s="0" t="s">
        <v>5224</v>
      </c>
      <c r="M435" s="0" t="s">
        <v>5225</v>
      </c>
      <c r="N435" s="0" t="s">
        <v>5226</v>
      </c>
      <c r="O435" s="0" t="s">
        <v>5227</v>
      </c>
      <c r="P435" s="0" t="s">
        <v>145</v>
      </c>
      <c r="Q435" s="0" t="s">
        <v>5228</v>
      </c>
      <c r="R435" s="0" t="b">
        <v>0</v>
      </c>
      <c r="S435" s="0" t="s">
        <v>4831</v>
      </c>
    </row>
    <row customHeight="1" ht="11.25">
      <c r="A436" s="0">
        <v>2655</v>
      </c>
      <c r="B436" s="0" t="s">
        <v>102</v>
      </c>
      <c r="C436" s="0">
        <v>27968109</v>
      </c>
      <c r="D436" s="0" t="s">
        <v>4718</v>
      </c>
      <c r="E436" s="0" t="s">
        <v>4719</v>
      </c>
      <c r="F436" s="0" t="s">
        <v>4720</v>
      </c>
      <c r="G436" s="0" t="s">
        <v>123</v>
      </c>
      <c r="H436" s="0" t="s">
        <v>4721</v>
      </c>
      <c r="I436" s="0" t="s">
        <v>4722</v>
      </c>
      <c r="J436" s="0" t="s">
        <v>3745</v>
      </c>
      <c r="K436" s="0" t="s">
        <v>4723</v>
      </c>
      <c r="L436" s="0" t="s">
        <v>4723</v>
      </c>
      <c r="M436" s="0" t="s">
        <v>4724</v>
      </c>
      <c r="N436" s="0" t="s">
        <v>4725</v>
      </c>
      <c r="O436" s="0" t="s">
        <v>4726</v>
      </c>
      <c r="P436" s="0" t="s">
        <v>145</v>
      </c>
      <c r="Q436" s="0" t="s">
        <v>4727</v>
      </c>
      <c r="R436" s="0" t="b">
        <v>0</v>
      </c>
      <c r="S436" s="0" t="s">
        <v>4831</v>
      </c>
    </row>
    <row customHeight="1" ht="11.25">
      <c r="A437" s="0">
        <v>2655</v>
      </c>
      <c r="B437" s="0" t="s">
        <v>102</v>
      </c>
      <c r="C437" s="0">
        <v>31304544</v>
      </c>
      <c r="D437" s="0" t="s">
        <v>5229</v>
      </c>
      <c r="E437" s="0" t="s">
        <v>5230</v>
      </c>
      <c r="F437" s="0" t="s">
        <v>5231</v>
      </c>
      <c r="G437" s="0" t="s">
        <v>5232</v>
      </c>
      <c r="H437" s="0" t="s">
        <v>5233</v>
      </c>
      <c r="I437" s="0" t="s">
        <v>240</v>
      </c>
      <c r="J437" s="0" t="s">
        <v>3745</v>
      </c>
      <c r="K437" s="0" t="s">
        <v>5234</v>
      </c>
      <c r="L437" s="0" t="s">
        <v>5234</v>
      </c>
      <c r="M437" s="0" t="s">
        <v>240</v>
      </c>
      <c r="N437" s="0" t="s">
        <v>240</v>
      </c>
      <c r="O437" s="0" t="s">
        <v>5235</v>
      </c>
      <c r="P437" s="0" t="s">
        <v>145</v>
      </c>
      <c r="Q437" s="0" t="s">
        <v>240</v>
      </c>
      <c r="R437" s="0" t="b">
        <v>0</v>
      </c>
      <c r="S437" s="0" t="s">
        <v>4831</v>
      </c>
    </row>
    <row customHeight="1" ht="11.25">
      <c r="A438" s="0">
        <v>2655</v>
      </c>
      <c r="B438" s="0" t="s">
        <v>102</v>
      </c>
      <c r="C438" s="0">
        <v>28272126</v>
      </c>
      <c r="D438" s="0" t="s">
        <v>5236</v>
      </c>
      <c r="E438" s="0" t="s">
        <v>5237</v>
      </c>
      <c r="F438" s="0" t="s">
        <v>5238</v>
      </c>
      <c r="G438" s="0" t="s">
        <v>3481</v>
      </c>
      <c r="H438" s="0" t="s">
        <v>5239</v>
      </c>
      <c r="I438" s="0" t="s">
        <v>5240</v>
      </c>
      <c r="J438" s="0" t="s">
        <v>3745</v>
      </c>
      <c r="K438" s="0" t="s">
        <v>5108</v>
      </c>
      <c r="L438" s="0" t="s">
        <v>5108</v>
      </c>
      <c r="M438" s="0" t="s">
        <v>5241</v>
      </c>
      <c r="N438" s="0" t="s">
        <v>5242</v>
      </c>
      <c r="O438" s="0" t="s">
        <v>5243</v>
      </c>
      <c r="P438" s="0" t="s">
        <v>145</v>
      </c>
      <c r="Q438" s="0" t="s">
        <v>5244</v>
      </c>
      <c r="R438" s="0" t="b">
        <v>0</v>
      </c>
      <c r="S438" s="0" t="s">
        <v>4831</v>
      </c>
    </row>
    <row customHeight="1" ht="11.25">
      <c r="A439" s="0">
        <v>2655</v>
      </c>
      <c r="B439" s="0" t="s">
        <v>102</v>
      </c>
      <c r="C439" s="0">
        <v>28493606</v>
      </c>
      <c r="D439" s="0" t="s">
        <v>5245</v>
      </c>
      <c r="E439" s="0" t="s">
        <v>5246</v>
      </c>
      <c r="F439" s="0" t="s">
        <v>5247</v>
      </c>
      <c r="G439" s="0" t="s">
        <v>5248</v>
      </c>
      <c r="H439" s="0" t="s">
        <v>5249</v>
      </c>
      <c r="I439" s="0" t="s">
        <v>240</v>
      </c>
      <c r="J439" s="0" t="s">
        <v>3745</v>
      </c>
      <c r="K439" s="0" t="s">
        <v>240</v>
      </c>
      <c r="L439" s="0" t="s">
        <v>5250</v>
      </c>
      <c r="M439" s="0" t="s">
        <v>240</v>
      </c>
      <c r="N439" s="0" t="s">
        <v>5251</v>
      </c>
      <c r="O439" s="0" t="s">
        <v>5252</v>
      </c>
      <c r="P439" s="0" t="s">
        <v>145</v>
      </c>
      <c r="Q439" s="0" t="s">
        <v>240</v>
      </c>
      <c r="R439" s="0" t="b">
        <v>0</v>
      </c>
      <c r="S439" s="0" t="s">
        <v>4831</v>
      </c>
    </row>
    <row customHeight="1" ht="11.25">
      <c r="A440" s="0">
        <v>2655</v>
      </c>
      <c r="B440" s="0" t="s">
        <v>102</v>
      </c>
      <c r="C440" s="0">
        <v>30433612</v>
      </c>
      <c r="D440" s="0" t="s">
        <v>5253</v>
      </c>
      <c r="E440" s="0" t="s">
        <v>5254</v>
      </c>
      <c r="F440" s="0" t="s">
        <v>5255</v>
      </c>
      <c r="G440" s="0" t="s">
        <v>5248</v>
      </c>
      <c r="H440" s="0" t="s">
        <v>5256</v>
      </c>
      <c r="I440" s="0" t="s">
        <v>5257</v>
      </c>
      <c r="J440" s="0" t="s">
        <v>3745</v>
      </c>
      <c r="K440" s="0" t="s">
        <v>5258</v>
      </c>
      <c r="L440" s="0" t="s">
        <v>5258</v>
      </c>
      <c r="M440" s="0" t="s">
        <v>5259</v>
      </c>
      <c r="N440" s="0" t="s">
        <v>5260</v>
      </c>
      <c r="O440" s="0" t="s">
        <v>5261</v>
      </c>
      <c r="P440" s="0" t="s">
        <v>145</v>
      </c>
      <c r="Q440" s="0" t="s">
        <v>5262</v>
      </c>
      <c r="R440" s="0" t="b">
        <v>0</v>
      </c>
      <c r="S440" s="0" t="s">
        <v>4831</v>
      </c>
    </row>
    <row customHeight="1" ht="11.25">
      <c r="A441" s="0">
        <v>2655</v>
      </c>
      <c r="B441" s="0" t="s">
        <v>102</v>
      </c>
      <c r="C441" s="0">
        <v>28502565</v>
      </c>
      <c r="D441" s="0" t="s">
        <v>5263</v>
      </c>
      <c r="E441" s="0" t="s">
        <v>5264</v>
      </c>
      <c r="F441" s="0" t="s">
        <v>5265</v>
      </c>
      <c r="G441" s="0" t="s">
        <v>123</v>
      </c>
      <c r="H441" s="0" t="s">
        <v>5266</v>
      </c>
      <c r="I441" s="0" t="s">
        <v>240</v>
      </c>
      <c r="J441" s="0" t="s">
        <v>3745</v>
      </c>
      <c r="K441" s="0" t="s">
        <v>5267</v>
      </c>
      <c r="L441" s="0" t="s">
        <v>5267</v>
      </c>
      <c r="M441" s="0" t="s">
        <v>240</v>
      </c>
      <c r="N441" s="0" t="s">
        <v>5268</v>
      </c>
      <c r="O441" s="0" t="s">
        <v>5269</v>
      </c>
      <c r="P441" s="0" t="s">
        <v>145</v>
      </c>
      <c r="Q441" s="0" t="s">
        <v>5270</v>
      </c>
      <c r="R441" s="0" t="b">
        <v>0</v>
      </c>
      <c r="S441" s="0" t="s">
        <v>4831</v>
      </c>
    </row>
    <row customHeight="1" ht="11.25">
      <c r="A442" s="0">
        <v>2655</v>
      </c>
      <c r="B442" s="0" t="s">
        <v>102</v>
      </c>
      <c r="C442" s="0">
        <v>31327477</v>
      </c>
      <c r="D442" s="0" t="s">
        <v>5271</v>
      </c>
      <c r="E442" s="0" t="s">
        <v>5272</v>
      </c>
      <c r="F442" s="0" t="s">
        <v>5273</v>
      </c>
      <c r="G442" s="0" t="s">
        <v>5274</v>
      </c>
      <c r="H442" s="0" t="s">
        <v>5275</v>
      </c>
      <c r="I442" s="0" t="s">
        <v>5276</v>
      </c>
      <c r="J442" s="0" t="s">
        <v>3745</v>
      </c>
      <c r="K442" s="0" t="s">
        <v>240</v>
      </c>
      <c r="L442" s="0" t="s">
        <v>5277</v>
      </c>
      <c r="M442" s="0" t="s">
        <v>240</v>
      </c>
      <c r="N442" s="0" t="s">
        <v>240</v>
      </c>
      <c r="O442" s="0" t="s">
        <v>5278</v>
      </c>
      <c r="P442" s="0" t="s">
        <v>3465</v>
      </c>
      <c r="Q442" s="0" t="s">
        <v>240</v>
      </c>
      <c r="R442" s="0" t="b">
        <v>0</v>
      </c>
      <c r="S442" s="0" t="s">
        <v>4831</v>
      </c>
    </row>
    <row customHeight="1" ht="11.25">
      <c r="A443" s="0">
        <v>2655</v>
      </c>
      <c r="B443" s="0" t="s">
        <v>102</v>
      </c>
      <c r="C443" s="0">
        <v>28469139</v>
      </c>
      <c r="D443" s="0" t="s">
        <v>5279</v>
      </c>
      <c r="E443" s="0" t="s">
        <v>5280</v>
      </c>
      <c r="F443" s="0" t="s">
        <v>5281</v>
      </c>
      <c r="G443" s="0" t="s">
        <v>123</v>
      </c>
      <c r="H443" s="0" t="s">
        <v>5282</v>
      </c>
      <c r="I443" s="0" t="s">
        <v>5283</v>
      </c>
      <c r="K443" s="0" t="s">
        <v>5284</v>
      </c>
      <c r="L443" s="0" t="s">
        <v>5284</v>
      </c>
      <c r="M443" s="0" t="s">
        <v>5285</v>
      </c>
      <c r="N443" s="0" t="s">
        <v>240</v>
      </c>
      <c r="O443" s="0" t="s">
        <v>5286</v>
      </c>
      <c r="P443" s="0" t="s">
        <v>3580</v>
      </c>
      <c r="Q443" s="0" t="s">
        <v>240</v>
      </c>
      <c r="R443" s="0" t="b">
        <v>0</v>
      </c>
      <c r="S443" s="0" t="s">
        <v>4831</v>
      </c>
    </row>
    <row customHeight="1" ht="11.25">
      <c r="A444" s="0">
        <v>2655</v>
      </c>
      <c r="B444" s="0" t="s">
        <v>102</v>
      </c>
      <c r="C444" s="0">
        <v>30992391</v>
      </c>
      <c r="D444" s="0" t="s">
        <v>3953</v>
      </c>
      <c r="E444" s="0" t="s">
        <v>3954</v>
      </c>
      <c r="F444" s="0" t="s">
        <v>3955</v>
      </c>
      <c r="G444" s="0" t="s">
        <v>3572</v>
      </c>
      <c r="H444" s="0" t="s">
        <v>3956</v>
      </c>
      <c r="I444" s="0" t="s">
        <v>3957</v>
      </c>
      <c r="J444" s="0" t="s">
        <v>3745</v>
      </c>
      <c r="K444" s="0" t="s">
        <v>3958</v>
      </c>
      <c r="L444" s="0" t="s">
        <v>3959</v>
      </c>
      <c r="M444" s="0" t="s">
        <v>3960</v>
      </c>
      <c r="N444" s="0" t="s">
        <v>3961</v>
      </c>
      <c r="O444" s="0" t="s">
        <v>3962</v>
      </c>
      <c r="P444" s="0" t="s">
        <v>3580</v>
      </c>
      <c r="Q444" s="0" t="s">
        <v>3963</v>
      </c>
      <c r="R444" s="0" t="b">
        <v>0</v>
      </c>
      <c r="S444" s="0" t="s">
        <v>4831</v>
      </c>
    </row>
    <row customHeight="1" ht="11.25">
      <c r="A445" s="0">
        <v>2655</v>
      </c>
      <c r="B445" s="0" t="s">
        <v>102</v>
      </c>
      <c r="C445" s="0">
        <v>27614748</v>
      </c>
      <c r="D445" s="0" t="s">
        <v>5287</v>
      </c>
      <c r="E445" s="0" t="s">
        <v>5288</v>
      </c>
      <c r="F445" s="0" t="s">
        <v>5289</v>
      </c>
      <c r="G445" s="0" t="s">
        <v>123</v>
      </c>
      <c r="H445" s="0" t="s">
        <v>5290</v>
      </c>
      <c r="I445" s="0" t="s">
        <v>5291</v>
      </c>
      <c r="K445" s="0" t="s">
        <v>5292</v>
      </c>
      <c r="L445" s="0" t="s">
        <v>5292</v>
      </c>
      <c r="M445" s="0" t="s">
        <v>5293</v>
      </c>
      <c r="N445" s="0" t="s">
        <v>5294</v>
      </c>
      <c r="O445" s="0" t="s">
        <v>4726</v>
      </c>
      <c r="P445" s="0" t="s">
        <v>145</v>
      </c>
      <c r="Q445" s="0" t="s">
        <v>240</v>
      </c>
      <c r="R445" s="0" t="b">
        <v>0</v>
      </c>
      <c r="S445" s="0" t="s">
        <v>4831</v>
      </c>
    </row>
    <row customHeight="1" ht="11.25">
      <c r="A446" s="0">
        <v>2655</v>
      </c>
      <c r="B446" s="0" t="s">
        <v>102</v>
      </c>
      <c r="C446" s="0">
        <v>31618899</v>
      </c>
      <c r="D446" s="0" t="s">
        <v>5295</v>
      </c>
      <c r="E446" s="0" t="s">
        <v>5295</v>
      </c>
      <c r="F446" s="0" t="s">
        <v>5296</v>
      </c>
      <c r="G446" s="0" t="s">
        <v>5297</v>
      </c>
      <c r="H446" s="0" t="s">
        <v>5298</v>
      </c>
      <c r="I446" s="0" t="s">
        <v>240</v>
      </c>
      <c r="K446" s="0" t="s">
        <v>5299</v>
      </c>
      <c r="L446" s="0" t="s">
        <v>5300</v>
      </c>
      <c r="M446" s="0" t="s">
        <v>5301</v>
      </c>
      <c r="N446" s="0" t="s">
        <v>240</v>
      </c>
      <c r="O446" s="0" t="s">
        <v>240</v>
      </c>
      <c r="P446" s="0" t="s">
        <v>240</v>
      </c>
      <c r="Q446" s="0" t="s">
        <v>5302</v>
      </c>
      <c r="R446" s="0" t="b">
        <v>0</v>
      </c>
      <c r="S446" s="0" t="s">
        <v>4831</v>
      </c>
    </row>
    <row customHeight="1" ht="11.25">
      <c r="A447" s="0">
        <v>2655</v>
      </c>
      <c r="B447" s="0" t="s">
        <v>102</v>
      </c>
      <c r="C447" s="0">
        <v>26356982</v>
      </c>
      <c r="D447" s="0" t="s">
        <v>5303</v>
      </c>
      <c r="E447" s="0" t="s">
        <v>5304</v>
      </c>
      <c r="F447" s="0" t="s">
        <v>5305</v>
      </c>
      <c r="G447" s="0" t="s">
        <v>3654</v>
      </c>
      <c r="H447" s="0" t="s">
        <v>5306</v>
      </c>
      <c r="I447" s="0" t="s">
        <v>5307</v>
      </c>
      <c r="J447" s="0" t="s">
        <v>3745</v>
      </c>
      <c r="K447" s="0" t="s">
        <v>5308</v>
      </c>
      <c r="L447" s="0" t="s">
        <v>5308</v>
      </c>
      <c r="M447" s="0" t="s">
        <v>5309</v>
      </c>
      <c r="N447" s="0" t="s">
        <v>5310</v>
      </c>
      <c r="O447" s="0" t="s">
        <v>5311</v>
      </c>
      <c r="P447" s="0" t="s">
        <v>3499</v>
      </c>
      <c r="Q447" s="0" t="s">
        <v>5312</v>
      </c>
      <c r="R447" s="0" t="b">
        <v>0</v>
      </c>
      <c r="S447" s="0" t="s">
        <v>4831</v>
      </c>
    </row>
    <row customHeight="1" ht="11.25">
      <c r="A448" s="0">
        <v>2655</v>
      </c>
      <c r="B448" s="0" t="s">
        <v>102</v>
      </c>
      <c r="C448" s="0">
        <v>31908312</v>
      </c>
      <c r="D448" s="0" t="s">
        <v>3964</v>
      </c>
      <c r="E448" s="0" t="s">
        <v>3975</v>
      </c>
      <c r="F448" s="0" t="s">
        <v>3966</v>
      </c>
      <c r="G448" s="0" t="s">
        <v>3967</v>
      </c>
      <c r="H448" s="0" t="s">
        <v>3968</v>
      </c>
      <c r="I448" s="0" t="s">
        <v>3969</v>
      </c>
      <c r="K448" s="0" t="s">
        <v>3976</v>
      </c>
      <c r="L448" s="0" t="s">
        <v>3976</v>
      </c>
      <c r="M448" s="0" t="s">
        <v>3977</v>
      </c>
      <c r="N448" s="0" t="s">
        <v>3978</v>
      </c>
      <c r="O448" s="0" t="s">
        <v>3979</v>
      </c>
      <c r="P448" s="0" t="s">
        <v>240</v>
      </c>
      <c r="Q448" s="0" t="s">
        <v>3980</v>
      </c>
      <c r="R448" s="0" t="b">
        <v>0</v>
      </c>
      <c r="S448" s="0" t="s">
        <v>4831</v>
      </c>
    </row>
    <row customHeight="1" ht="11.25">
      <c r="A449" s="0">
        <v>2655</v>
      </c>
      <c r="B449" s="0" t="s">
        <v>102</v>
      </c>
      <c r="C449" s="0">
        <v>26835292</v>
      </c>
      <c r="D449" s="0" t="s">
        <v>5313</v>
      </c>
      <c r="E449" s="0" t="s">
        <v>5314</v>
      </c>
      <c r="F449" s="0" t="s">
        <v>5315</v>
      </c>
      <c r="G449" s="0" t="s">
        <v>3491</v>
      </c>
      <c r="H449" s="0" t="s">
        <v>5316</v>
      </c>
      <c r="I449" s="0" t="s">
        <v>5317</v>
      </c>
      <c r="J449" s="0" t="s">
        <v>3517</v>
      </c>
      <c r="K449" s="0" t="s">
        <v>5318</v>
      </c>
      <c r="L449" s="0" t="s">
        <v>5318</v>
      </c>
      <c r="M449" s="0" t="s">
        <v>5319</v>
      </c>
      <c r="N449" s="0" t="s">
        <v>5320</v>
      </c>
      <c r="O449" s="0" t="s">
        <v>5321</v>
      </c>
      <c r="P449" s="0" t="s">
        <v>3499</v>
      </c>
      <c r="Q449" s="0" t="s">
        <v>5322</v>
      </c>
      <c r="R449" s="0" t="b">
        <v>0</v>
      </c>
      <c r="S449" s="0" t="s">
        <v>4831</v>
      </c>
    </row>
    <row customHeight="1" ht="11.25">
      <c r="A450" s="0">
        <v>2655</v>
      </c>
      <c r="B450" s="0" t="s">
        <v>102</v>
      </c>
      <c r="C450" s="0">
        <v>26319037</v>
      </c>
      <c r="D450" s="0" t="s">
        <v>5323</v>
      </c>
      <c r="E450" s="0" t="s">
        <v>5324</v>
      </c>
      <c r="F450" s="0" t="s">
        <v>5325</v>
      </c>
      <c r="G450" s="0" t="s">
        <v>123</v>
      </c>
      <c r="H450" s="0" t="s">
        <v>5326</v>
      </c>
      <c r="I450" s="0" t="s">
        <v>5327</v>
      </c>
      <c r="J450" s="0" t="s">
        <v>3517</v>
      </c>
      <c r="K450" s="0" t="s">
        <v>5328</v>
      </c>
      <c r="L450" s="0" t="s">
        <v>5328</v>
      </c>
      <c r="M450" s="0" t="s">
        <v>5329</v>
      </c>
      <c r="N450" s="0" t="s">
        <v>5330</v>
      </c>
      <c r="O450" s="0" t="s">
        <v>5331</v>
      </c>
      <c r="P450" s="0" t="s">
        <v>145</v>
      </c>
      <c r="Q450" s="0" t="s">
        <v>5332</v>
      </c>
      <c r="R450" s="0" t="b">
        <v>0</v>
      </c>
      <c r="S450" s="0" t="s">
        <v>4831</v>
      </c>
    </row>
    <row customHeight="1" ht="11.25">
      <c r="A451" s="0">
        <v>2655</v>
      </c>
      <c r="B451" s="0" t="s">
        <v>102</v>
      </c>
      <c r="C451" s="0">
        <v>27954259</v>
      </c>
      <c r="D451" s="0" t="s">
        <v>5333</v>
      </c>
      <c r="E451" s="0" t="s">
        <v>5334</v>
      </c>
      <c r="F451" s="0" t="s">
        <v>5335</v>
      </c>
      <c r="G451" s="0" t="s">
        <v>5336</v>
      </c>
      <c r="H451" s="0" t="s">
        <v>5337</v>
      </c>
      <c r="I451" s="0" t="s">
        <v>240</v>
      </c>
      <c r="J451" s="0" t="s">
        <v>3517</v>
      </c>
      <c r="K451" s="0" t="s">
        <v>5338</v>
      </c>
      <c r="L451" s="0" t="s">
        <v>5338</v>
      </c>
      <c r="M451" s="0" t="s">
        <v>240</v>
      </c>
      <c r="N451" s="0" t="s">
        <v>240</v>
      </c>
      <c r="O451" s="0" t="s">
        <v>5339</v>
      </c>
      <c r="P451" s="0" t="s">
        <v>3465</v>
      </c>
      <c r="Q451" s="0" t="s">
        <v>240</v>
      </c>
      <c r="R451" s="0" t="b">
        <v>0</v>
      </c>
      <c r="S451" s="0" t="s">
        <v>4831</v>
      </c>
    </row>
    <row customHeight="1" ht="11.25">
      <c r="A452" s="0">
        <v>2655</v>
      </c>
      <c r="B452" s="0" t="s">
        <v>102</v>
      </c>
      <c r="C452" s="0">
        <v>26519663</v>
      </c>
      <c r="D452" s="0" t="s">
        <v>4785</v>
      </c>
      <c r="E452" s="0" t="s">
        <v>4786</v>
      </c>
      <c r="F452" s="0" t="s">
        <v>4787</v>
      </c>
      <c r="G452" s="0" t="s">
        <v>3645</v>
      </c>
      <c r="H452" s="0" t="s">
        <v>4788</v>
      </c>
      <c r="I452" s="0" t="s">
        <v>4789</v>
      </c>
      <c r="J452" s="0" t="s">
        <v>3517</v>
      </c>
      <c r="K452" s="0" t="s">
        <v>4790</v>
      </c>
      <c r="L452" s="0" t="s">
        <v>4790</v>
      </c>
      <c r="M452" s="0" t="s">
        <v>4791</v>
      </c>
      <c r="N452" s="0" t="s">
        <v>4792</v>
      </c>
      <c r="O452" s="0" t="s">
        <v>4793</v>
      </c>
      <c r="P452" s="0" t="s">
        <v>3499</v>
      </c>
      <c r="Q452" s="0" t="s">
        <v>4794</v>
      </c>
      <c r="R452" s="0" t="b">
        <v>0</v>
      </c>
      <c r="S452" s="0" t="s">
        <v>4831</v>
      </c>
    </row>
    <row customHeight="1" ht="11.25">
      <c r="A453" s="0">
        <v>2655</v>
      </c>
      <c r="B453" s="0" t="s">
        <v>102</v>
      </c>
      <c r="C453" s="0">
        <v>30906887</v>
      </c>
      <c r="D453" s="0" t="s">
        <v>5340</v>
      </c>
      <c r="E453" s="0" t="s">
        <v>5340</v>
      </c>
      <c r="F453" s="0" t="s">
        <v>5341</v>
      </c>
      <c r="G453" s="0" t="s">
        <v>4812</v>
      </c>
      <c r="H453" s="0" t="s">
        <v>5342</v>
      </c>
      <c r="I453" s="0" t="s">
        <v>240</v>
      </c>
      <c r="J453" s="0" t="s">
        <v>3745</v>
      </c>
      <c r="K453" s="0" t="s">
        <v>240</v>
      </c>
      <c r="L453" s="0" t="s">
        <v>5343</v>
      </c>
      <c r="M453" s="0" t="s">
        <v>240</v>
      </c>
      <c r="N453" s="0" t="s">
        <v>240</v>
      </c>
      <c r="O453" s="0" t="s">
        <v>5344</v>
      </c>
      <c r="P453" s="0" t="s">
        <v>5345</v>
      </c>
      <c r="Q453" s="0" t="s">
        <v>240</v>
      </c>
      <c r="R453" s="0" t="b">
        <v>0</v>
      </c>
      <c r="S453" s="0" t="s">
        <v>4831</v>
      </c>
    </row>
    <row customHeight="1" ht="11.25">
      <c r="A454" s="0">
        <v>2655</v>
      </c>
      <c r="B454" s="0" t="s">
        <v>102</v>
      </c>
      <c r="C454" s="0">
        <v>27196237</v>
      </c>
      <c r="D454" s="0" t="s">
        <v>5346</v>
      </c>
      <c r="E454" s="0" t="s">
        <v>5347</v>
      </c>
      <c r="F454" s="0" t="s">
        <v>5348</v>
      </c>
      <c r="G454" s="0" t="s">
        <v>5349</v>
      </c>
      <c r="H454" s="0" t="s">
        <v>5350</v>
      </c>
      <c r="I454" s="0" t="s">
        <v>5351</v>
      </c>
      <c r="J454" s="0" t="s">
        <v>3446</v>
      </c>
      <c r="K454" s="0" t="s">
        <v>5352</v>
      </c>
      <c r="L454" s="0" t="s">
        <v>5352</v>
      </c>
      <c r="M454" s="0" t="s">
        <v>5353</v>
      </c>
      <c r="N454" s="0" t="s">
        <v>5354</v>
      </c>
      <c r="O454" s="0" t="s">
        <v>240</v>
      </c>
      <c r="P454" s="0" t="s">
        <v>4922</v>
      </c>
      <c r="Q454" s="0" t="s">
        <v>152</v>
      </c>
      <c r="R454" s="0" t="b">
        <v>0</v>
      </c>
      <c r="S454" s="0" t="s">
        <v>4831</v>
      </c>
    </row>
    <row customHeight="1" ht="11.25">
      <c r="A455" s="0">
        <v>2655</v>
      </c>
      <c r="B455" s="0" t="s">
        <v>102</v>
      </c>
      <c r="C455" s="0">
        <v>26322882</v>
      </c>
      <c r="D455" s="0" t="s">
        <v>5355</v>
      </c>
      <c r="E455" s="0" t="s">
        <v>5356</v>
      </c>
      <c r="F455" s="0" t="s">
        <v>5357</v>
      </c>
      <c r="G455" s="0" t="s">
        <v>5358</v>
      </c>
      <c r="H455" s="0" t="s">
        <v>5359</v>
      </c>
      <c r="I455" s="0" t="s">
        <v>5360</v>
      </c>
      <c r="J455" s="0" t="s">
        <v>3986</v>
      </c>
      <c r="K455" s="0" t="s">
        <v>5361</v>
      </c>
      <c r="L455" s="0" t="s">
        <v>5362</v>
      </c>
      <c r="M455" s="0" t="s">
        <v>5363</v>
      </c>
      <c r="N455" s="0" t="s">
        <v>5364</v>
      </c>
      <c r="O455" s="0" t="s">
        <v>5365</v>
      </c>
      <c r="P455" s="0" t="s">
        <v>5366</v>
      </c>
      <c r="Q455" s="0" t="s">
        <v>5367</v>
      </c>
      <c r="R455" s="0" t="b">
        <v>0</v>
      </c>
      <c r="S455" s="0" t="s">
        <v>4831</v>
      </c>
    </row>
    <row customHeight="1" ht="11.25">
      <c r="A456" s="0">
        <v>2655</v>
      </c>
      <c r="B456" s="0" t="s">
        <v>102</v>
      </c>
      <c r="C456" s="0">
        <v>27269797</v>
      </c>
      <c r="D456" s="0" t="s">
        <v>5368</v>
      </c>
      <c r="E456" s="0" t="s">
        <v>240</v>
      </c>
      <c r="F456" s="0" t="s">
        <v>5348</v>
      </c>
      <c r="G456" s="0" t="s">
        <v>5369</v>
      </c>
      <c r="H456" s="0" t="s">
        <v>5350</v>
      </c>
      <c r="I456" s="0" t="s">
        <v>5370</v>
      </c>
      <c r="J456" s="0" t="s">
        <v>3517</v>
      </c>
      <c r="K456" s="0" t="s">
        <v>5371</v>
      </c>
      <c r="L456" s="0" t="s">
        <v>5372</v>
      </c>
      <c r="M456" s="0" t="s">
        <v>5373</v>
      </c>
      <c r="N456" s="0" t="s">
        <v>5374</v>
      </c>
      <c r="O456" s="0" t="s">
        <v>5375</v>
      </c>
      <c r="P456" s="0" t="s">
        <v>240</v>
      </c>
      <c r="Q456" s="0" t="s">
        <v>5376</v>
      </c>
      <c r="R456" s="0" t="b">
        <v>0</v>
      </c>
      <c r="S456" s="0" t="s">
        <v>4831</v>
      </c>
    </row>
  </sheetData>
  <sheetProtection formatColumns="0" formatRows="0" insertRows="0" deleteColumns="0" deleteRows="0" sort="0" autoFilter="0" insertColumns="1"/>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635D6B2-3B68-3068-A018-CEC2DB76812E}" mc:Ignorable="x14ac xr xr2 xr3">
  <sheetPr>
    <tabColor rgb="FFFFCC99"/>
  </sheetPr>
  <dimension ref="A1:DE868"/>
  <sheetViews>
    <sheetView topLeftCell="A1" showGridLines="0" workbookViewId="0">
      <selection activeCell="A1" sqref="A1"/>
    </sheetView>
  </sheetViews>
  <sheetFormatPr customHeight="1" defaultRowHeight="11.25"/>
  <cols>
    <col min="1" max="1" style="1441" width="23.140625" customWidth="1"/>
  </cols>
  <sheetData>
    <row customHeight="1" ht="11.25">
      <c r="A1" s="1441" t="s">
        <v>5377</v>
      </c>
      <c r="B1" s="0" t="s">
        <v>5378</v>
      </c>
      <c r="C1" s="0" t="s">
        <v>5379</v>
      </c>
      <c r="D1" s="0" t="s">
        <v>5380</v>
      </c>
      <c r="E1" s="0" t="s">
        <v>5381</v>
      </c>
      <c r="F1" s="0" t="s">
        <v>5382</v>
      </c>
      <c r="G1" s="0" t="s">
        <v>5383</v>
      </c>
      <c r="H1" s="0" t="s">
        <v>5384</v>
      </c>
      <c r="I1" s="0" t="s">
        <v>5385</v>
      </c>
      <c r="J1" s="0" t="s">
        <v>5386</v>
      </c>
      <c r="K1" s="0" t="s">
        <v>5387</v>
      </c>
      <c r="L1" s="0" t="s">
        <v>5388</v>
      </c>
      <c r="M1" s="0" t="s">
        <v>5389</v>
      </c>
      <c r="N1" s="0" t="s">
        <v>5390</v>
      </c>
      <c r="O1" s="0" t="s">
        <v>5391</v>
      </c>
      <c r="P1" s="0" t="s">
        <v>5392</v>
      </c>
      <c r="Q1" s="0" t="s">
        <v>5393</v>
      </c>
      <c r="R1" s="0" t="s">
        <v>5394</v>
      </c>
      <c r="S1" s="0" t="s">
        <v>5395</v>
      </c>
      <c r="T1" s="0" t="s">
        <v>5396</v>
      </c>
      <c r="U1" s="0" t="s">
        <v>5397</v>
      </c>
      <c r="V1" s="0" t="s">
        <v>5398</v>
      </c>
      <c r="W1" s="0" t="s">
        <v>5399</v>
      </c>
      <c r="X1" s="0" t="s">
        <v>368</v>
      </c>
      <c r="Y1" s="0" t="s">
        <v>5400</v>
      </c>
      <c r="Z1" s="0" t="s">
        <v>5401</v>
      </c>
      <c r="AA1" s="0" t="s">
        <v>5402</v>
      </c>
      <c r="AB1" s="0" t="s">
        <v>5403</v>
      </c>
      <c r="AC1" s="0" t="s">
        <v>5404</v>
      </c>
      <c r="AD1" s="0" t="s">
        <v>5405</v>
      </c>
      <c r="AE1" s="0" t="s">
        <v>5406</v>
      </c>
      <c r="AF1" s="0" t="s">
        <v>5407</v>
      </c>
      <c r="AG1" s="0" t="s">
        <v>5408</v>
      </c>
      <c r="AH1" s="0" t="s">
        <v>5409</v>
      </c>
      <c r="AI1" s="0" t="s">
        <v>5410</v>
      </c>
      <c r="AJ1" s="0" t="s">
        <v>5411</v>
      </c>
      <c r="AK1" s="0" t="s">
        <v>5412</v>
      </c>
      <c r="AL1" s="0" t="s">
        <v>5413</v>
      </c>
      <c r="AM1" s="0" t="s">
        <v>5414</v>
      </c>
      <c r="AN1" s="0" t="s">
        <v>5415</v>
      </c>
      <c r="AO1" s="0" t="s">
        <v>5416</v>
      </c>
      <c r="AP1" s="0" t="s">
        <v>5417</v>
      </c>
      <c r="AQ1" s="0" t="s">
        <v>5418</v>
      </c>
      <c r="AR1" s="0" t="s">
        <v>5419</v>
      </c>
      <c r="AS1" s="0" t="s">
        <v>5420</v>
      </c>
      <c r="AT1" s="0" t="s">
        <v>5421</v>
      </c>
      <c r="AU1" s="0" t="s">
        <v>5422</v>
      </c>
      <c r="AV1" s="0" t="s">
        <v>5423</v>
      </c>
      <c r="AW1" s="0" t="s">
        <v>5424</v>
      </c>
      <c r="AX1" s="0" t="s">
        <v>5425</v>
      </c>
      <c r="AY1" s="0" t="s">
        <v>5426</v>
      </c>
      <c r="AZ1" s="0" t="s">
        <v>5427</v>
      </c>
      <c r="BA1" s="0" t="s">
        <v>5428</v>
      </c>
      <c r="BB1" s="0" t="s">
        <v>5429</v>
      </c>
      <c r="BC1" s="0" t="s">
        <v>5430</v>
      </c>
      <c r="BD1" s="0" t="s">
        <v>5431</v>
      </c>
      <c r="BE1" s="0" t="s">
        <v>5432</v>
      </c>
      <c r="BF1" s="0" t="s">
        <v>5433</v>
      </c>
      <c r="BG1" s="0" t="s">
        <v>5434</v>
      </c>
      <c r="BH1" s="0" t="s">
        <v>5435</v>
      </c>
      <c r="BI1" s="0" t="s">
        <v>5436</v>
      </c>
      <c r="BJ1" s="0" t="s">
        <v>5437</v>
      </c>
      <c r="BK1" s="0" t="s">
        <v>5438</v>
      </c>
      <c r="BL1" s="0" t="s">
        <v>5439</v>
      </c>
      <c r="BM1" s="0" t="s">
        <v>5440</v>
      </c>
      <c r="BN1" s="0" t="s">
        <v>5441</v>
      </c>
      <c r="BO1" s="0" t="s">
        <v>5442</v>
      </c>
      <c r="BP1" s="0" t="s">
        <v>5443</v>
      </c>
      <c r="BQ1" s="0" t="s">
        <v>5444</v>
      </c>
      <c r="BR1" s="0" t="s">
        <v>5445</v>
      </c>
      <c r="BS1" s="0" t="s">
        <v>5446</v>
      </c>
      <c r="BT1" s="0" t="s">
        <v>5447</v>
      </c>
      <c r="BU1" s="0" t="s">
        <v>5448</v>
      </c>
      <c r="BV1" s="0" t="s">
        <v>5449</v>
      </c>
      <c r="BW1" s="0" t="s">
        <v>5450</v>
      </c>
      <c r="BX1" s="0" t="s">
        <v>5451</v>
      </c>
      <c r="BY1" s="0" t="s">
        <v>5452</v>
      </c>
      <c r="BZ1" s="0" t="s">
        <v>5453</v>
      </c>
      <c r="CA1" s="0" t="s">
        <v>5454</v>
      </c>
      <c r="CB1" s="0" t="s">
        <v>5455</v>
      </c>
      <c r="CC1" s="0" t="s">
        <v>5456</v>
      </c>
      <c r="CD1" s="0" t="s">
        <v>5457</v>
      </c>
      <c r="CE1" s="0" t="s">
        <v>5458</v>
      </c>
      <c r="CF1" s="0" t="s">
        <v>5459</v>
      </c>
      <c r="CG1" s="0" t="s">
        <v>5460</v>
      </c>
      <c r="CH1" s="0" t="s">
        <v>5461</v>
      </c>
      <c r="CI1" s="0" t="s">
        <v>5462</v>
      </c>
      <c r="CJ1" s="0" t="s">
        <v>5463</v>
      </c>
      <c r="CK1" s="0" t="s">
        <v>5464</v>
      </c>
      <c r="CL1" s="0" t="s">
        <v>5465</v>
      </c>
      <c r="CM1" s="0" t="s">
        <v>5466</v>
      </c>
      <c r="CN1" s="0" t="s">
        <v>5467</v>
      </c>
      <c r="CO1" s="0" t="s">
        <v>5468</v>
      </c>
      <c r="CP1" s="0" t="s">
        <v>5469</v>
      </c>
      <c r="CQ1" s="0" t="s">
        <v>5470</v>
      </c>
      <c r="CR1" s="0" t="s">
        <v>5471</v>
      </c>
      <c r="CS1" s="0" t="s">
        <v>5472</v>
      </c>
      <c r="CT1" s="0" t="s">
        <v>5473</v>
      </c>
      <c r="CU1" s="0" t="s">
        <v>5474</v>
      </c>
      <c r="CV1" s="0" t="s">
        <v>5475</v>
      </c>
      <c r="CW1" s="0" t="s">
        <v>5476</v>
      </c>
      <c r="CX1" s="0" t="s">
        <v>5477</v>
      </c>
      <c r="CY1" s="0" t="s">
        <v>5478</v>
      </c>
      <c r="CZ1" s="0" t="s">
        <v>5479</v>
      </c>
      <c r="DA1" s="0" t="s">
        <v>5480</v>
      </c>
      <c r="DB1" s="0" t="s">
        <v>5481</v>
      </c>
      <c r="DC1" s="0" t="s">
        <v>5482</v>
      </c>
      <c r="DD1" s="0" t="s">
        <v>1854</v>
      </c>
      <c r="DE1" s="0" t="s">
        <v>5483</v>
      </c>
    </row>
    <row customHeight="1" ht="11.25">
      <c r="A2" s="1441" t="s">
        <v>240</v>
      </c>
      <c r="B2" s="0" t="s">
        <v>240</v>
      </c>
      <c r="C2" s="0" t="s">
        <v>240</v>
      </c>
      <c r="D2" s="0" t="s">
        <v>240</v>
      </c>
      <c r="E2" s="0" t="s">
        <v>240</v>
      </c>
      <c r="F2" s="0" t="s">
        <v>240</v>
      </c>
      <c r="G2" s="0" t="s">
        <v>240</v>
      </c>
      <c r="H2" s="0" t="s">
        <v>240</v>
      </c>
      <c r="I2" s="0" t="s">
        <v>5484</v>
      </c>
      <c r="J2" s="0" t="s">
        <v>240</v>
      </c>
      <c r="K2" s="0" t="s">
        <v>240</v>
      </c>
      <c r="L2" s="0" t="s">
        <v>240</v>
      </c>
      <c r="M2" s="0" t="s">
        <v>240</v>
      </c>
      <c r="N2" s="0" t="s">
        <v>240</v>
      </c>
      <c r="O2" s="0" t="s">
        <v>240</v>
      </c>
      <c r="P2" s="0" t="s">
        <v>240</v>
      </c>
      <c r="Q2" s="0" t="s">
        <v>240</v>
      </c>
      <c r="R2" s="0" t="s">
        <v>476</v>
      </c>
      <c r="S2" s="0" t="s">
        <v>240</v>
      </c>
      <c r="T2" s="0" t="s">
        <v>240</v>
      </c>
      <c r="U2" s="0" t="s">
        <v>102</v>
      </c>
      <c r="V2" s="0" t="s">
        <v>240</v>
      </c>
      <c r="W2" s="0" t="s">
        <v>240</v>
      </c>
      <c r="X2" s="0" t="s">
        <v>5485</v>
      </c>
      <c r="Y2" s="0" t="s">
        <v>240</v>
      </c>
      <c r="Z2" s="0" t="s">
        <v>161</v>
      </c>
      <c r="AA2" s="0" t="s">
        <v>152</v>
      </c>
      <c r="AB2" s="0" t="s">
        <v>152</v>
      </c>
      <c r="AC2" s="0" t="s">
        <v>364</v>
      </c>
      <c r="AD2" s="0" t="s">
        <v>364</v>
      </c>
      <c r="AE2" s="0" t="s">
        <v>365</v>
      </c>
      <c r="AF2" s="0" t="s">
        <v>5486</v>
      </c>
      <c r="AG2" s="0" t="s">
        <v>5487</v>
      </c>
      <c r="AH2" s="0" t="s">
        <v>5488</v>
      </c>
      <c r="AI2" s="0" t="s">
        <v>5489</v>
      </c>
      <c r="AJ2" s="0" t="s">
        <v>5490</v>
      </c>
      <c r="AK2" s="0" t="s">
        <v>5491</v>
      </c>
      <c r="AL2" s="0" t="s">
        <v>5492</v>
      </c>
      <c r="AM2" s="0" t="s">
        <v>5493</v>
      </c>
      <c r="AN2" s="0" t="s">
        <v>5494</v>
      </c>
      <c r="AO2" s="0" t="s">
        <v>5495</v>
      </c>
      <c r="AP2" s="0" t="s">
        <v>240</v>
      </c>
      <c r="AQ2" s="0" t="s">
        <v>240</v>
      </c>
      <c r="AR2" s="0" t="s">
        <v>240</v>
      </c>
      <c r="AS2" s="0" t="s">
        <v>240</v>
      </c>
      <c r="AT2" s="0" t="s">
        <v>240</v>
      </c>
      <c r="AU2" s="0" t="s">
        <v>240</v>
      </c>
      <c r="AV2" s="0" t="s">
        <v>240</v>
      </c>
      <c r="AW2" s="0" t="s">
        <v>240</v>
      </c>
      <c r="AX2" s="0" t="s">
        <v>240</v>
      </c>
      <c r="AY2" s="0" t="s">
        <v>240</v>
      </c>
      <c r="AZ2" s="0" t="s">
        <v>240</v>
      </c>
      <c r="BA2" s="0" t="s">
        <v>240</v>
      </c>
      <c r="BB2" s="0" t="s">
        <v>240</v>
      </c>
      <c r="BC2" s="0" t="s">
        <v>240</v>
      </c>
      <c r="BD2" s="0" t="s">
        <v>240</v>
      </c>
      <c r="BE2" s="0" t="s">
        <v>240</v>
      </c>
      <c r="BF2" s="0" t="s">
        <v>240</v>
      </c>
      <c r="BG2" s="0" t="s">
        <v>240</v>
      </c>
      <c r="BH2" s="0" t="s">
        <v>240</v>
      </c>
      <c r="BI2" s="0" t="s">
        <v>240</v>
      </c>
      <c r="BJ2" s="0" t="s">
        <v>240</v>
      </c>
      <c r="BK2" s="0" t="s">
        <v>240</v>
      </c>
      <c r="BL2" s="0" t="s">
        <v>240</v>
      </c>
      <c r="BM2" s="0" t="s">
        <v>240</v>
      </c>
      <c r="BN2" s="0" t="s">
        <v>240</v>
      </c>
      <c r="BO2" s="0" t="s">
        <v>240</v>
      </c>
      <c r="BP2" s="0" t="s">
        <v>240</v>
      </c>
      <c r="BQ2" s="0" t="s">
        <v>240</v>
      </c>
      <c r="BR2" s="0" t="s">
        <v>240</v>
      </c>
      <c r="BS2" s="0" t="s">
        <v>240</v>
      </c>
      <c r="BT2" s="0" t="s">
        <v>240</v>
      </c>
      <c r="BU2" s="0" t="s">
        <v>240</v>
      </c>
      <c r="BV2" s="0" t="s">
        <v>240</v>
      </c>
      <c r="BW2" s="0" t="s">
        <v>240</v>
      </c>
      <c r="BX2" s="0" t="s">
        <v>240</v>
      </c>
      <c r="BY2" s="0" t="s">
        <v>240</v>
      </c>
      <c r="BZ2" s="0" t="s">
        <v>240</v>
      </c>
      <c r="CA2" s="0" t="s">
        <v>240</v>
      </c>
      <c r="CB2" s="0" t="s">
        <v>240</v>
      </c>
      <c r="CC2" s="0" t="s">
        <v>240</v>
      </c>
      <c r="CD2" s="0" t="s">
        <v>240</v>
      </c>
      <c r="CE2" s="0" t="s">
        <v>240</v>
      </c>
      <c r="CF2" s="0" t="s">
        <v>240</v>
      </c>
      <c r="CG2" s="0" t="s">
        <v>240</v>
      </c>
      <c r="CH2" s="0" t="s">
        <v>240</v>
      </c>
      <c r="CI2" s="0" t="s">
        <v>240</v>
      </c>
      <c r="CJ2" s="0" t="s">
        <v>240</v>
      </c>
      <c r="CK2" s="0" t="s">
        <v>240</v>
      </c>
      <c r="CL2" s="0" t="s">
        <v>240</v>
      </c>
      <c r="CM2" s="0" t="s">
        <v>240</v>
      </c>
      <c r="CN2" s="0" t="s">
        <v>240</v>
      </c>
      <c r="CO2" s="0" t="s">
        <v>240</v>
      </c>
      <c r="CP2" s="0" t="s">
        <v>240</v>
      </c>
      <c r="CQ2" s="0" t="s">
        <v>240</v>
      </c>
      <c r="CR2" s="0" t="s">
        <v>240</v>
      </c>
      <c r="CS2" s="0" t="s">
        <v>240</v>
      </c>
      <c r="CT2" s="0" t="s">
        <v>5496</v>
      </c>
      <c r="CU2" s="0" t="s">
        <v>5497</v>
      </c>
      <c r="CV2" s="0" t="s">
        <v>443</v>
      </c>
      <c r="CW2" s="0" t="s">
        <v>5498</v>
      </c>
      <c r="CX2" s="0" t="s">
        <v>229</v>
      </c>
      <c r="CY2" s="0" t="s">
        <v>443</v>
      </c>
      <c r="CZ2" s="0" t="s">
        <v>230</v>
      </c>
      <c r="DA2" s="0" t="s">
        <v>444</v>
      </c>
      <c r="DB2" s="0" t="s">
        <v>5498</v>
      </c>
      <c r="DC2" s="0" t="s">
        <v>384</v>
      </c>
      <c r="DD2" s="0" t="s">
        <v>291</v>
      </c>
      <c r="DE2" s="0" t="s">
        <v>477</v>
      </c>
    </row>
    <row customHeight="1" ht="11.25">
      <c r="A3" s="1441" t="s">
        <v>240</v>
      </c>
      <c r="B3" s="0" t="s">
        <v>240</v>
      </c>
      <c r="C3" s="0" t="s">
        <v>240</v>
      </c>
      <c r="D3" s="0" t="s">
        <v>240</v>
      </c>
      <c r="E3" s="0" t="s">
        <v>240</v>
      </c>
      <c r="F3" s="0" t="s">
        <v>240</v>
      </c>
      <c r="G3" s="0" t="s">
        <v>240</v>
      </c>
      <c r="H3" s="0" t="s">
        <v>240</v>
      </c>
      <c r="I3" s="0" t="s">
        <v>5484</v>
      </c>
      <c r="J3" s="0" t="s">
        <v>240</v>
      </c>
      <c r="K3" s="0" t="s">
        <v>240</v>
      </c>
      <c r="L3" s="0" t="s">
        <v>240</v>
      </c>
      <c r="M3" s="0" t="s">
        <v>240</v>
      </c>
      <c r="N3" s="0" t="s">
        <v>240</v>
      </c>
      <c r="O3" s="0" t="s">
        <v>240</v>
      </c>
      <c r="P3" s="0" t="s">
        <v>240</v>
      </c>
      <c r="Q3" s="0" t="s">
        <v>240</v>
      </c>
      <c r="R3" s="0" t="s">
        <v>5499</v>
      </c>
      <c r="S3" s="0" t="s">
        <v>240</v>
      </c>
      <c r="T3" s="0" t="s">
        <v>240</v>
      </c>
      <c r="U3" s="0" t="s">
        <v>102</v>
      </c>
      <c r="V3" s="0" t="s">
        <v>240</v>
      </c>
      <c r="W3" s="0" t="s">
        <v>240</v>
      </c>
      <c r="X3" s="0" t="s">
        <v>5485</v>
      </c>
      <c r="Y3" s="0" t="s">
        <v>240</v>
      </c>
      <c r="Z3" s="0" t="s">
        <v>161</v>
      </c>
      <c r="AA3" s="0" t="s">
        <v>152</v>
      </c>
      <c r="AB3" s="0" t="s">
        <v>152</v>
      </c>
      <c r="AC3" s="0" t="s">
        <v>2985</v>
      </c>
      <c r="AD3" s="0" t="s">
        <v>2985</v>
      </c>
      <c r="AE3" s="0" t="s">
        <v>2986</v>
      </c>
      <c r="AF3" s="0" t="s">
        <v>5500</v>
      </c>
      <c r="AG3" s="0" t="s">
        <v>5501</v>
      </c>
      <c r="AH3" s="0" t="s">
        <v>5502</v>
      </c>
      <c r="AI3" s="0" t="s">
        <v>5503</v>
      </c>
      <c r="AJ3" s="0" t="s">
        <v>5504</v>
      </c>
      <c r="AK3" s="0" t="s">
        <v>5505</v>
      </c>
      <c r="AL3" s="0" t="s">
        <v>5506</v>
      </c>
      <c r="AM3" s="0" t="s">
        <v>5493</v>
      </c>
      <c r="AN3" s="0" t="s">
        <v>5507</v>
      </c>
      <c r="AO3" s="0" t="s">
        <v>5508</v>
      </c>
      <c r="AP3" s="0" t="s">
        <v>240</v>
      </c>
      <c r="AQ3" s="0" t="s">
        <v>240</v>
      </c>
      <c r="AR3" s="0" t="s">
        <v>240</v>
      </c>
      <c r="AS3" s="0" t="s">
        <v>240</v>
      </c>
      <c r="AT3" s="0" t="s">
        <v>240</v>
      </c>
      <c r="AU3" s="0" t="s">
        <v>240</v>
      </c>
      <c r="AV3" s="0" t="s">
        <v>240</v>
      </c>
      <c r="AW3" s="0" t="s">
        <v>240</v>
      </c>
      <c r="AX3" s="0" t="s">
        <v>240</v>
      </c>
      <c r="AY3" s="0" t="s">
        <v>240</v>
      </c>
      <c r="AZ3" s="0" t="s">
        <v>240</v>
      </c>
      <c r="BA3" s="0" t="s">
        <v>240</v>
      </c>
      <c r="BB3" s="0" t="s">
        <v>240</v>
      </c>
      <c r="BC3" s="0" t="s">
        <v>240</v>
      </c>
      <c r="BD3" s="0" t="s">
        <v>240</v>
      </c>
      <c r="BE3" s="0" t="s">
        <v>240</v>
      </c>
      <c r="BF3" s="0" t="s">
        <v>240</v>
      </c>
      <c r="BG3" s="0" t="s">
        <v>240</v>
      </c>
      <c r="BH3" s="0" t="s">
        <v>240</v>
      </c>
      <c r="BI3" s="0" t="s">
        <v>240</v>
      </c>
      <c r="BJ3" s="0" t="s">
        <v>240</v>
      </c>
      <c r="BK3" s="0" t="s">
        <v>240</v>
      </c>
      <c r="BL3" s="0" t="s">
        <v>240</v>
      </c>
      <c r="BM3" s="0" t="s">
        <v>240</v>
      </c>
      <c r="BN3" s="0" t="s">
        <v>240</v>
      </c>
      <c r="BO3" s="0" t="s">
        <v>240</v>
      </c>
      <c r="BP3" s="0" t="s">
        <v>240</v>
      </c>
      <c r="BQ3" s="0" t="s">
        <v>240</v>
      </c>
      <c r="BR3" s="0" t="s">
        <v>240</v>
      </c>
      <c r="BS3" s="0" t="s">
        <v>240</v>
      </c>
      <c r="BT3" s="0" t="s">
        <v>240</v>
      </c>
      <c r="BU3" s="0" t="s">
        <v>240</v>
      </c>
      <c r="BV3" s="0" t="s">
        <v>240</v>
      </c>
      <c r="BW3" s="0" t="s">
        <v>240</v>
      </c>
      <c r="BX3" s="0" t="s">
        <v>240</v>
      </c>
      <c r="BY3" s="0" t="s">
        <v>240</v>
      </c>
      <c r="BZ3" s="0" t="s">
        <v>240</v>
      </c>
      <c r="CA3" s="0" t="s">
        <v>240</v>
      </c>
      <c r="CB3" s="0" t="s">
        <v>240</v>
      </c>
      <c r="CC3" s="0" t="s">
        <v>240</v>
      </c>
      <c r="CD3" s="0" t="s">
        <v>240</v>
      </c>
      <c r="CE3" s="0" t="s">
        <v>240</v>
      </c>
      <c r="CF3" s="0" t="s">
        <v>240</v>
      </c>
      <c r="CG3" s="0" t="s">
        <v>240</v>
      </c>
      <c r="CH3" s="0" t="s">
        <v>240</v>
      </c>
      <c r="CI3" s="0" t="s">
        <v>240</v>
      </c>
      <c r="CJ3" s="0" t="s">
        <v>240</v>
      </c>
      <c r="CK3" s="0" t="s">
        <v>240</v>
      </c>
      <c r="CL3" s="0" t="s">
        <v>240</v>
      </c>
      <c r="CM3" s="0" t="s">
        <v>240</v>
      </c>
      <c r="CN3" s="0" t="s">
        <v>240</v>
      </c>
      <c r="CO3" s="0" t="s">
        <v>240</v>
      </c>
      <c r="CP3" s="0" t="s">
        <v>240</v>
      </c>
      <c r="CQ3" s="0" t="s">
        <v>240</v>
      </c>
      <c r="CR3" s="0" t="s">
        <v>240</v>
      </c>
      <c r="CS3" s="0" t="s">
        <v>240</v>
      </c>
      <c r="CT3" s="0" t="s">
        <v>5496</v>
      </c>
      <c r="CU3" s="0" t="s">
        <v>5497</v>
      </c>
      <c r="CV3" s="0" t="s">
        <v>443</v>
      </c>
      <c r="CW3" s="0" t="s">
        <v>5509</v>
      </c>
      <c r="CX3" s="0" t="s">
        <v>229</v>
      </c>
      <c r="CY3" s="0" t="s">
        <v>443</v>
      </c>
      <c r="CZ3" s="0" t="s">
        <v>5510</v>
      </c>
      <c r="DA3" s="0" t="s">
        <v>5511</v>
      </c>
      <c r="DB3" s="0" t="s">
        <v>5509</v>
      </c>
      <c r="DC3" s="0" t="s">
        <v>384</v>
      </c>
      <c r="DD3" s="0" t="s">
        <v>291</v>
      </c>
      <c r="DE3" s="0" t="s">
        <v>5512</v>
      </c>
    </row>
    <row customHeight="1" ht="11.25">
      <c r="A4" s="1441" t="s">
        <v>240</v>
      </c>
      <c r="B4" s="0" t="s">
        <v>240</v>
      </c>
      <c r="C4" s="0" t="s">
        <v>240</v>
      </c>
      <c r="D4" s="0" t="s">
        <v>240</v>
      </c>
      <c r="E4" s="0" t="s">
        <v>240</v>
      </c>
      <c r="F4" s="0" t="s">
        <v>240</v>
      </c>
      <c r="G4" s="0" t="s">
        <v>240</v>
      </c>
      <c r="H4" s="0" t="s">
        <v>240</v>
      </c>
      <c r="I4" s="0" t="s">
        <v>5484</v>
      </c>
      <c r="J4" s="0" t="s">
        <v>240</v>
      </c>
      <c r="K4" s="0" t="s">
        <v>240</v>
      </c>
      <c r="L4" s="0" t="s">
        <v>240</v>
      </c>
      <c r="M4" s="0" t="s">
        <v>240</v>
      </c>
      <c r="N4" s="0" t="s">
        <v>240</v>
      </c>
      <c r="O4" s="0" t="s">
        <v>240</v>
      </c>
      <c r="P4" s="0" t="s">
        <v>240</v>
      </c>
      <c r="Q4" s="0" t="s">
        <v>240</v>
      </c>
      <c r="R4" s="0" t="s">
        <v>5513</v>
      </c>
      <c r="S4" s="0" t="s">
        <v>240</v>
      </c>
      <c r="T4" s="0" t="s">
        <v>240</v>
      </c>
      <c r="U4" s="0" t="s">
        <v>102</v>
      </c>
      <c r="V4" s="0" t="s">
        <v>240</v>
      </c>
      <c r="W4" s="0" t="s">
        <v>240</v>
      </c>
      <c r="X4" s="0" t="s">
        <v>5485</v>
      </c>
      <c r="Y4" s="0" t="s">
        <v>240</v>
      </c>
      <c r="Z4" s="0" t="s">
        <v>161</v>
      </c>
      <c r="AA4" s="0" t="s">
        <v>152</v>
      </c>
      <c r="AB4" s="0" t="s">
        <v>152</v>
      </c>
      <c r="AC4" s="0" t="s">
        <v>2985</v>
      </c>
      <c r="AD4" s="0" t="s">
        <v>2985</v>
      </c>
      <c r="AE4" s="0" t="s">
        <v>2986</v>
      </c>
      <c r="AF4" s="0" t="s">
        <v>5500</v>
      </c>
      <c r="AG4" s="0" t="s">
        <v>5501</v>
      </c>
      <c r="AH4" s="0" t="s">
        <v>5514</v>
      </c>
      <c r="AI4" s="0" t="s">
        <v>5515</v>
      </c>
      <c r="AJ4" s="0" t="s">
        <v>5504</v>
      </c>
      <c r="AK4" s="0" t="s">
        <v>5505</v>
      </c>
      <c r="AL4" s="0" t="s">
        <v>5506</v>
      </c>
      <c r="AM4" s="0" t="s">
        <v>5493</v>
      </c>
      <c r="AN4" s="0" t="s">
        <v>5507</v>
      </c>
      <c r="AO4" s="0" t="s">
        <v>5516</v>
      </c>
      <c r="AP4" s="0" t="s">
        <v>240</v>
      </c>
      <c r="AQ4" s="0" t="s">
        <v>240</v>
      </c>
      <c r="AR4" s="0" t="s">
        <v>240</v>
      </c>
      <c r="AS4" s="0" t="s">
        <v>240</v>
      </c>
      <c r="AT4" s="0" t="s">
        <v>240</v>
      </c>
      <c r="AU4" s="0" t="s">
        <v>240</v>
      </c>
      <c r="AV4" s="0" t="s">
        <v>240</v>
      </c>
      <c r="AW4" s="0" t="s">
        <v>240</v>
      </c>
      <c r="AX4" s="0" t="s">
        <v>240</v>
      </c>
      <c r="AY4" s="0" t="s">
        <v>240</v>
      </c>
      <c r="AZ4" s="0" t="s">
        <v>240</v>
      </c>
      <c r="BA4" s="0" t="s">
        <v>240</v>
      </c>
      <c r="BB4" s="0" t="s">
        <v>240</v>
      </c>
      <c r="BC4" s="0" t="s">
        <v>240</v>
      </c>
      <c r="BD4" s="0" t="s">
        <v>240</v>
      </c>
      <c r="BE4" s="0" t="s">
        <v>240</v>
      </c>
      <c r="BF4" s="0" t="s">
        <v>240</v>
      </c>
      <c r="BG4" s="0" t="s">
        <v>240</v>
      </c>
      <c r="BH4" s="0" t="s">
        <v>240</v>
      </c>
      <c r="BI4" s="0" t="s">
        <v>240</v>
      </c>
      <c r="BJ4" s="0" t="s">
        <v>240</v>
      </c>
      <c r="BK4" s="0" t="s">
        <v>240</v>
      </c>
      <c r="BL4" s="0" t="s">
        <v>240</v>
      </c>
      <c r="BM4" s="0" t="s">
        <v>240</v>
      </c>
      <c r="BN4" s="0" t="s">
        <v>240</v>
      </c>
      <c r="BO4" s="0" t="s">
        <v>240</v>
      </c>
      <c r="BP4" s="0" t="s">
        <v>240</v>
      </c>
      <c r="BQ4" s="0" t="s">
        <v>240</v>
      </c>
      <c r="BR4" s="0" t="s">
        <v>240</v>
      </c>
      <c r="BS4" s="0" t="s">
        <v>240</v>
      </c>
      <c r="BT4" s="0" t="s">
        <v>240</v>
      </c>
      <c r="BU4" s="0" t="s">
        <v>240</v>
      </c>
      <c r="BV4" s="0" t="s">
        <v>240</v>
      </c>
      <c r="BW4" s="0" t="s">
        <v>240</v>
      </c>
      <c r="BX4" s="0" t="s">
        <v>240</v>
      </c>
      <c r="BY4" s="0" t="s">
        <v>240</v>
      </c>
      <c r="BZ4" s="0" t="s">
        <v>240</v>
      </c>
      <c r="CA4" s="0" t="s">
        <v>240</v>
      </c>
      <c r="CB4" s="0" t="s">
        <v>240</v>
      </c>
      <c r="CC4" s="0" t="s">
        <v>240</v>
      </c>
      <c r="CD4" s="0" t="s">
        <v>240</v>
      </c>
      <c r="CE4" s="0" t="s">
        <v>240</v>
      </c>
      <c r="CF4" s="0" t="s">
        <v>240</v>
      </c>
      <c r="CG4" s="0" t="s">
        <v>240</v>
      </c>
      <c r="CH4" s="0" t="s">
        <v>240</v>
      </c>
      <c r="CI4" s="0" t="s">
        <v>240</v>
      </c>
      <c r="CJ4" s="0" t="s">
        <v>240</v>
      </c>
      <c r="CK4" s="0" t="s">
        <v>240</v>
      </c>
      <c r="CL4" s="0" t="s">
        <v>240</v>
      </c>
      <c r="CM4" s="0" t="s">
        <v>240</v>
      </c>
      <c r="CN4" s="0" t="s">
        <v>240</v>
      </c>
      <c r="CO4" s="0" t="s">
        <v>240</v>
      </c>
      <c r="CP4" s="0" t="s">
        <v>240</v>
      </c>
      <c r="CQ4" s="0" t="s">
        <v>240</v>
      </c>
      <c r="CR4" s="0" t="s">
        <v>240</v>
      </c>
      <c r="CS4" s="0" t="s">
        <v>240</v>
      </c>
      <c r="CT4" s="0" t="s">
        <v>5496</v>
      </c>
      <c r="CU4" s="0" t="s">
        <v>5497</v>
      </c>
      <c r="CV4" s="0" t="s">
        <v>443</v>
      </c>
      <c r="CW4" s="0" t="s">
        <v>5509</v>
      </c>
      <c r="CX4" s="0" t="s">
        <v>229</v>
      </c>
      <c r="CY4" s="0" t="s">
        <v>443</v>
      </c>
      <c r="CZ4" s="0" t="s">
        <v>5510</v>
      </c>
      <c r="DA4" s="0" t="s">
        <v>5511</v>
      </c>
      <c r="DB4" s="0" t="s">
        <v>5509</v>
      </c>
      <c r="DC4" s="0" t="s">
        <v>384</v>
      </c>
      <c r="DD4" s="0" t="s">
        <v>291</v>
      </c>
      <c r="DE4" s="0" t="s">
        <v>5517</v>
      </c>
    </row>
    <row customHeight="1" ht="11.25">
      <c r="A5" s="1441" t="s">
        <v>240</v>
      </c>
      <c r="B5" s="0" t="s">
        <v>240</v>
      </c>
      <c r="C5" s="0" t="s">
        <v>240</v>
      </c>
      <c r="D5" s="0" t="s">
        <v>240</v>
      </c>
      <c r="E5" s="0" t="s">
        <v>240</v>
      </c>
      <c r="F5" s="0" t="s">
        <v>240</v>
      </c>
      <c r="G5" s="0" t="s">
        <v>240</v>
      </c>
      <c r="H5" s="0" t="s">
        <v>240</v>
      </c>
      <c r="I5" s="0" t="s">
        <v>5484</v>
      </c>
      <c r="J5" s="0" t="s">
        <v>240</v>
      </c>
      <c r="K5" s="0" t="s">
        <v>240</v>
      </c>
      <c r="L5" s="0" t="s">
        <v>240</v>
      </c>
      <c r="M5" s="0" t="s">
        <v>240</v>
      </c>
      <c r="N5" s="0" t="s">
        <v>240</v>
      </c>
      <c r="O5" s="0" t="s">
        <v>240</v>
      </c>
      <c r="P5" s="0" t="s">
        <v>240</v>
      </c>
      <c r="Q5" s="0" t="s">
        <v>240</v>
      </c>
      <c r="R5" s="0" t="s">
        <v>5518</v>
      </c>
      <c r="S5" s="0" t="s">
        <v>240</v>
      </c>
      <c r="T5" s="0" t="s">
        <v>240</v>
      </c>
      <c r="U5" s="0" t="s">
        <v>102</v>
      </c>
      <c r="V5" s="0" t="s">
        <v>240</v>
      </c>
      <c r="W5" s="0" t="s">
        <v>240</v>
      </c>
      <c r="X5" s="0" t="s">
        <v>5485</v>
      </c>
      <c r="Y5" s="0" t="s">
        <v>240</v>
      </c>
      <c r="Z5" s="0" t="s">
        <v>161</v>
      </c>
      <c r="AA5" s="0" t="s">
        <v>152</v>
      </c>
      <c r="AB5" s="0" t="s">
        <v>152</v>
      </c>
      <c r="AC5" s="0" t="s">
        <v>3389</v>
      </c>
      <c r="AD5" s="0" t="s">
        <v>3389</v>
      </c>
      <c r="AE5" s="0" t="s">
        <v>3390</v>
      </c>
      <c r="AF5" s="0" t="s">
        <v>5519</v>
      </c>
      <c r="AG5" s="0" t="s">
        <v>5520</v>
      </c>
      <c r="AH5" s="0" t="s">
        <v>5521</v>
      </c>
      <c r="AI5" s="0" t="s">
        <v>480</v>
      </c>
      <c r="AJ5" s="0" t="s">
        <v>5522</v>
      </c>
      <c r="AK5" s="0" t="s">
        <v>5523</v>
      </c>
      <c r="AL5" s="0" t="s">
        <v>5524</v>
      </c>
      <c r="AM5" s="0" t="s">
        <v>5493</v>
      </c>
      <c r="AN5" s="0" t="s">
        <v>5525</v>
      </c>
      <c r="AO5" s="0" t="s">
        <v>5526</v>
      </c>
      <c r="AP5" s="0" t="s">
        <v>240</v>
      </c>
      <c r="AQ5" s="0" t="s">
        <v>240</v>
      </c>
      <c r="AR5" s="0" t="s">
        <v>240</v>
      </c>
      <c r="AS5" s="0" t="s">
        <v>240</v>
      </c>
      <c r="AT5" s="0" t="s">
        <v>240</v>
      </c>
      <c r="AU5" s="0" t="s">
        <v>240</v>
      </c>
      <c r="AV5" s="0" t="s">
        <v>240</v>
      </c>
      <c r="AW5" s="0" t="s">
        <v>240</v>
      </c>
      <c r="AX5" s="0" t="s">
        <v>240</v>
      </c>
      <c r="AY5" s="0" t="s">
        <v>240</v>
      </c>
      <c r="AZ5" s="0" t="s">
        <v>240</v>
      </c>
      <c r="BA5" s="0" t="s">
        <v>240</v>
      </c>
      <c r="BB5" s="0" t="s">
        <v>240</v>
      </c>
      <c r="BC5" s="0" t="s">
        <v>240</v>
      </c>
      <c r="BD5" s="0" t="s">
        <v>240</v>
      </c>
      <c r="BE5" s="0" t="s">
        <v>240</v>
      </c>
      <c r="BF5" s="0" t="s">
        <v>240</v>
      </c>
      <c r="BG5" s="0" t="s">
        <v>240</v>
      </c>
      <c r="BH5" s="0" t="s">
        <v>240</v>
      </c>
      <c r="BI5" s="0" t="s">
        <v>240</v>
      </c>
      <c r="BJ5" s="0" t="s">
        <v>240</v>
      </c>
      <c r="BK5" s="0" t="s">
        <v>240</v>
      </c>
      <c r="BL5" s="0" t="s">
        <v>240</v>
      </c>
      <c r="BM5" s="0" t="s">
        <v>240</v>
      </c>
      <c r="BN5" s="0" t="s">
        <v>240</v>
      </c>
      <c r="BO5" s="0" t="s">
        <v>240</v>
      </c>
      <c r="BP5" s="0" t="s">
        <v>240</v>
      </c>
      <c r="BQ5" s="0" t="s">
        <v>240</v>
      </c>
      <c r="BR5" s="0" t="s">
        <v>240</v>
      </c>
      <c r="BS5" s="0" t="s">
        <v>240</v>
      </c>
      <c r="BT5" s="0" t="s">
        <v>240</v>
      </c>
      <c r="BU5" s="0" t="s">
        <v>240</v>
      </c>
      <c r="BV5" s="0" t="s">
        <v>240</v>
      </c>
      <c r="BW5" s="0" t="s">
        <v>240</v>
      </c>
      <c r="BX5" s="0" t="s">
        <v>240</v>
      </c>
      <c r="BY5" s="0" t="s">
        <v>240</v>
      </c>
      <c r="BZ5" s="0" t="s">
        <v>240</v>
      </c>
      <c r="CA5" s="0" t="s">
        <v>240</v>
      </c>
      <c r="CB5" s="0" t="s">
        <v>240</v>
      </c>
      <c r="CC5" s="0" t="s">
        <v>240</v>
      </c>
      <c r="CD5" s="0" t="s">
        <v>240</v>
      </c>
      <c r="CE5" s="0" t="s">
        <v>240</v>
      </c>
      <c r="CF5" s="0" t="s">
        <v>240</v>
      </c>
      <c r="CG5" s="0" t="s">
        <v>240</v>
      </c>
      <c r="CH5" s="0" t="s">
        <v>240</v>
      </c>
      <c r="CI5" s="0" t="s">
        <v>240</v>
      </c>
      <c r="CJ5" s="0" t="s">
        <v>240</v>
      </c>
      <c r="CK5" s="0" t="s">
        <v>240</v>
      </c>
      <c r="CL5" s="0" t="s">
        <v>240</v>
      </c>
      <c r="CM5" s="0" t="s">
        <v>240</v>
      </c>
      <c r="CN5" s="0" t="s">
        <v>240</v>
      </c>
      <c r="CO5" s="0" t="s">
        <v>240</v>
      </c>
      <c r="CP5" s="0" t="s">
        <v>240</v>
      </c>
      <c r="CQ5" s="0" t="s">
        <v>240</v>
      </c>
      <c r="CR5" s="0" t="s">
        <v>240</v>
      </c>
      <c r="CS5" s="0" t="s">
        <v>240</v>
      </c>
      <c r="CT5" s="0" t="s">
        <v>5496</v>
      </c>
      <c r="CU5" s="0" t="s">
        <v>5497</v>
      </c>
      <c r="CV5" s="0" t="s">
        <v>443</v>
      </c>
      <c r="CW5" s="0" t="s">
        <v>5527</v>
      </c>
      <c r="CX5" s="0" t="s">
        <v>5528</v>
      </c>
      <c r="CY5" s="0" t="s">
        <v>443</v>
      </c>
      <c r="CZ5" s="0" t="s">
        <v>299</v>
      </c>
      <c r="DA5" s="0" t="s">
        <v>5529</v>
      </c>
      <c r="DB5" s="0" t="s">
        <v>5527</v>
      </c>
      <c r="DC5" s="0" t="s">
        <v>384</v>
      </c>
      <c r="DD5" s="0" t="s">
        <v>291</v>
      </c>
      <c r="DE5" s="0" t="s">
        <v>5530</v>
      </c>
    </row>
    <row customHeight="1" ht="11.25">
      <c r="A6" s="1441" t="s">
        <v>240</v>
      </c>
      <c r="B6" s="0" t="s">
        <v>240</v>
      </c>
      <c r="C6" s="0" t="s">
        <v>240</v>
      </c>
      <c r="D6" s="0" t="s">
        <v>240</v>
      </c>
      <c r="E6" s="0" t="s">
        <v>240</v>
      </c>
      <c r="F6" s="0" t="s">
        <v>240</v>
      </c>
      <c r="G6" s="0" t="s">
        <v>240</v>
      </c>
      <c r="H6" s="0" t="s">
        <v>240</v>
      </c>
      <c r="I6" s="0" t="s">
        <v>5484</v>
      </c>
      <c r="J6" s="0" t="s">
        <v>240</v>
      </c>
      <c r="K6" s="0" t="s">
        <v>240</v>
      </c>
      <c r="L6" s="0" t="s">
        <v>240</v>
      </c>
      <c r="M6" s="0" t="s">
        <v>240</v>
      </c>
      <c r="N6" s="0" t="s">
        <v>240</v>
      </c>
      <c r="O6" s="0" t="s">
        <v>240</v>
      </c>
      <c r="P6" s="0" t="s">
        <v>240</v>
      </c>
      <c r="Q6" s="0" t="s">
        <v>240</v>
      </c>
      <c r="R6" s="0" t="s">
        <v>5531</v>
      </c>
      <c r="S6" s="0" t="s">
        <v>240</v>
      </c>
      <c r="T6" s="0" t="s">
        <v>240</v>
      </c>
      <c r="U6" s="0" t="s">
        <v>102</v>
      </c>
      <c r="V6" s="0" t="s">
        <v>240</v>
      </c>
      <c r="W6" s="0" t="s">
        <v>240</v>
      </c>
      <c r="X6" s="0" t="s">
        <v>5485</v>
      </c>
      <c r="Y6" s="0" t="s">
        <v>240</v>
      </c>
      <c r="Z6" s="0" t="s">
        <v>161</v>
      </c>
      <c r="AA6" s="0" t="s">
        <v>152</v>
      </c>
      <c r="AB6" s="0" t="s">
        <v>152</v>
      </c>
      <c r="AC6" s="0" t="s">
        <v>3389</v>
      </c>
      <c r="AD6" s="0" t="s">
        <v>3389</v>
      </c>
      <c r="AE6" s="0" t="s">
        <v>3390</v>
      </c>
      <c r="AF6" s="0" t="s">
        <v>5519</v>
      </c>
      <c r="AG6" s="0" t="s">
        <v>5520</v>
      </c>
      <c r="AH6" s="0" t="s">
        <v>5532</v>
      </c>
      <c r="AI6" s="0" t="s">
        <v>5533</v>
      </c>
      <c r="AJ6" s="0" t="s">
        <v>5534</v>
      </c>
      <c r="AK6" s="0" t="s">
        <v>5535</v>
      </c>
      <c r="AL6" s="0" t="s">
        <v>5492</v>
      </c>
      <c r="AM6" s="0" t="s">
        <v>5493</v>
      </c>
      <c r="AN6" s="0" t="s">
        <v>5536</v>
      </c>
      <c r="AO6" s="0" t="s">
        <v>5537</v>
      </c>
      <c r="AP6" s="0" t="s">
        <v>240</v>
      </c>
      <c r="AQ6" s="0" t="s">
        <v>240</v>
      </c>
      <c r="AR6" s="0" t="s">
        <v>240</v>
      </c>
      <c r="AS6" s="0" t="s">
        <v>240</v>
      </c>
      <c r="AT6" s="0" t="s">
        <v>240</v>
      </c>
      <c r="AU6" s="0" t="s">
        <v>240</v>
      </c>
      <c r="AV6" s="0" t="s">
        <v>240</v>
      </c>
      <c r="AW6" s="0" t="s">
        <v>240</v>
      </c>
      <c r="AX6" s="0" t="s">
        <v>240</v>
      </c>
      <c r="AY6" s="0" t="s">
        <v>240</v>
      </c>
      <c r="AZ6" s="0" t="s">
        <v>240</v>
      </c>
      <c r="BA6" s="0" t="s">
        <v>240</v>
      </c>
      <c r="BB6" s="0" t="s">
        <v>240</v>
      </c>
      <c r="BC6" s="0" t="s">
        <v>240</v>
      </c>
      <c r="BD6" s="0" t="s">
        <v>240</v>
      </c>
      <c r="BE6" s="0" t="s">
        <v>240</v>
      </c>
      <c r="BF6" s="0" t="s">
        <v>240</v>
      </c>
      <c r="BG6" s="0" t="s">
        <v>240</v>
      </c>
      <c r="BH6" s="0" t="s">
        <v>240</v>
      </c>
      <c r="BI6" s="0" t="s">
        <v>240</v>
      </c>
      <c r="BJ6" s="0" t="s">
        <v>240</v>
      </c>
      <c r="BK6" s="0" t="s">
        <v>240</v>
      </c>
      <c r="BL6" s="0" t="s">
        <v>240</v>
      </c>
      <c r="BM6" s="0" t="s">
        <v>240</v>
      </c>
      <c r="BN6" s="0" t="s">
        <v>240</v>
      </c>
      <c r="BO6" s="0" t="s">
        <v>240</v>
      </c>
      <c r="BP6" s="0" t="s">
        <v>240</v>
      </c>
      <c r="BQ6" s="0" t="s">
        <v>240</v>
      </c>
      <c r="BR6" s="0" t="s">
        <v>240</v>
      </c>
      <c r="BS6" s="0" t="s">
        <v>240</v>
      </c>
      <c r="BT6" s="0" t="s">
        <v>240</v>
      </c>
      <c r="BU6" s="0" t="s">
        <v>240</v>
      </c>
      <c r="BV6" s="0" t="s">
        <v>240</v>
      </c>
      <c r="BW6" s="0" t="s">
        <v>240</v>
      </c>
      <c r="BX6" s="0" t="s">
        <v>240</v>
      </c>
      <c r="BY6" s="0" t="s">
        <v>240</v>
      </c>
      <c r="BZ6" s="0" t="s">
        <v>240</v>
      </c>
      <c r="CA6" s="0" t="s">
        <v>240</v>
      </c>
      <c r="CB6" s="0" t="s">
        <v>240</v>
      </c>
      <c r="CC6" s="0" t="s">
        <v>240</v>
      </c>
      <c r="CD6" s="0" t="s">
        <v>240</v>
      </c>
      <c r="CE6" s="0" t="s">
        <v>240</v>
      </c>
      <c r="CF6" s="0" t="s">
        <v>240</v>
      </c>
      <c r="CG6" s="0" t="s">
        <v>240</v>
      </c>
      <c r="CH6" s="0" t="s">
        <v>240</v>
      </c>
      <c r="CI6" s="0" t="s">
        <v>240</v>
      </c>
      <c r="CJ6" s="0" t="s">
        <v>240</v>
      </c>
      <c r="CK6" s="0" t="s">
        <v>240</v>
      </c>
      <c r="CL6" s="0" t="s">
        <v>240</v>
      </c>
      <c r="CM6" s="0" t="s">
        <v>240</v>
      </c>
      <c r="CN6" s="0" t="s">
        <v>240</v>
      </c>
      <c r="CO6" s="0" t="s">
        <v>240</v>
      </c>
      <c r="CP6" s="0" t="s">
        <v>240</v>
      </c>
      <c r="CQ6" s="0" t="s">
        <v>240</v>
      </c>
      <c r="CR6" s="0" t="s">
        <v>240</v>
      </c>
      <c r="CS6" s="0" t="s">
        <v>240</v>
      </c>
      <c r="CT6" s="0" t="s">
        <v>5496</v>
      </c>
      <c r="CU6" s="0" t="s">
        <v>5497</v>
      </c>
      <c r="CV6" s="0" t="s">
        <v>443</v>
      </c>
      <c r="CW6" s="0" t="s">
        <v>5527</v>
      </c>
      <c r="CX6" s="0" t="s">
        <v>5528</v>
      </c>
      <c r="CY6" s="0" t="s">
        <v>443</v>
      </c>
      <c r="CZ6" s="0" t="s">
        <v>299</v>
      </c>
      <c r="DA6" s="0" t="s">
        <v>5529</v>
      </c>
      <c r="DB6" s="0" t="s">
        <v>5527</v>
      </c>
      <c r="DC6" s="0" t="s">
        <v>384</v>
      </c>
      <c r="DD6" s="0" t="s">
        <v>291</v>
      </c>
      <c r="DE6" s="0" t="s">
        <v>5538</v>
      </c>
    </row>
    <row customHeight="1" ht="11.25">
      <c r="A7" s="1441" t="s">
        <v>240</v>
      </c>
      <c r="B7" s="0" t="s">
        <v>240</v>
      </c>
      <c r="C7" s="0" t="s">
        <v>240</v>
      </c>
      <c r="D7" s="0" t="s">
        <v>240</v>
      </c>
      <c r="E7" s="0" t="s">
        <v>240</v>
      </c>
      <c r="F7" s="0" t="s">
        <v>240</v>
      </c>
      <c r="G7" s="0" t="s">
        <v>240</v>
      </c>
      <c r="H7" s="0" t="s">
        <v>240</v>
      </c>
      <c r="I7" s="0" t="s">
        <v>5484</v>
      </c>
      <c r="J7" s="0" t="s">
        <v>240</v>
      </c>
      <c r="K7" s="0" t="s">
        <v>240</v>
      </c>
      <c r="L7" s="0" t="s">
        <v>240</v>
      </c>
      <c r="M7" s="0" t="s">
        <v>240</v>
      </c>
      <c r="N7" s="0" t="s">
        <v>240</v>
      </c>
      <c r="O7" s="0" t="s">
        <v>240</v>
      </c>
      <c r="P7" s="0" t="s">
        <v>240</v>
      </c>
      <c r="Q7" s="0" t="s">
        <v>240</v>
      </c>
      <c r="R7" s="0" t="s">
        <v>5539</v>
      </c>
      <c r="S7" s="0" t="s">
        <v>240</v>
      </c>
      <c r="T7" s="0" t="s">
        <v>240</v>
      </c>
      <c r="U7" s="0" t="s">
        <v>102</v>
      </c>
      <c r="V7" s="0" t="s">
        <v>240</v>
      </c>
      <c r="W7" s="0" t="s">
        <v>240</v>
      </c>
      <c r="X7" s="0" t="s">
        <v>5485</v>
      </c>
      <c r="Y7" s="0" t="s">
        <v>240</v>
      </c>
      <c r="Z7" s="0" t="s">
        <v>161</v>
      </c>
      <c r="AA7" s="0" t="s">
        <v>152</v>
      </c>
      <c r="AB7" s="0" t="s">
        <v>152</v>
      </c>
      <c r="AC7" s="0" t="s">
        <v>2991</v>
      </c>
      <c r="AD7" s="0" t="s">
        <v>2991</v>
      </c>
      <c r="AE7" s="0" t="s">
        <v>2992</v>
      </c>
      <c r="AF7" s="0" t="s">
        <v>5540</v>
      </c>
      <c r="AG7" s="0" t="s">
        <v>5541</v>
      </c>
      <c r="AH7" s="0" t="s">
        <v>5542</v>
      </c>
      <c r="AI7" s="0" t="s">
        <v>5543</v>
      </c>
      <c r="AJ7" s="0" t="s">
        <v>5504</v>
      </c>
      <c r="AK7" s="0" t="s">
        <v>5544</v>
      </c>
      <c r="AL7" s="0" t="s">
        <v>5506</v>
      </c>
      <c r="AM7" s="0" t="s">
        <v>5493</v>
      </c>
      <c r="AN7" s="0" t="s">
        <v>5545</v>
      </c>
      <c r="AO7" s="0" t="s">
        <v>5546</v>
      </c>
      <c r="AP7" s="0" t="s">
        <v>240</v>
      </c>
      <c r="AQ7" s="0" t="s">
        <v>240</v>
      </c>
      <c r="AR7" s="0" t="s">
        <v>240</v>
      </c>
      <c r="AS7" s="0" t="s">
        <v>240</v>
      </c>
      <c r="AT7" s="0" t="s">
        <v>240</v>
      </c>
      <c r="AU7" s="0" t="s">
        <v>240</v>
      </c>
      <c r="AV7" s="0" t="s">
        <v>240</v>
      </c>
      <c r="AW7" s="0" t="s">
        <v>240</v>
      </c>
      <c r="AX7" s="0" t="s">
        <v>240</v>
      </c>
      <c r="AY7" s="0" t="s">
        <v>240</v>
      </c>
      <c r="AZ7" s="0" t="s">
        <v>240</v>
      </c>
      <c r="BA7" s="0" t="s">
        <v>240</v>
      </c>
      <c r="BB7" s="0" t="s">
        <v>240</v>
      </c>
      <c r="BC7" s="0" t="s">
        <v>240</v>
      </c>
      <c r="BD7" s="0" t="s">
        <v>240</v>
      </c>
      <c r="BE7" s="0" t="s">
        <v>240</v>
      </c>
      <c r="BF7" s="0" t="s">
        <v>240</v>
      </c>
      <c r="BG7" s="0" t="s">
        <v>240</v>
      </c>
      <c r="BH7" s="0" t="s">
        <v>240</v>
      </c>
      <c r="BI7" s="0" t="s">
        <v>240</v>
      </c>
      <c r="BJ7" s="0" t="s">
        <v>240</v>
      </c>
      <c r="BK7" s="0" t="s">
        <v>240</v>
      </c>
      <c r="BL7" s="0" t="s">
        <v>240</v>
      </c>
      <c r="BM7" s="0" t="s">
        <v>240</v>
      </c>
      <c r="BN7" s="0" t="s">
        <v>240</v>
      </c>
      <c r="BO7" s="0" t="s">
        <v>240</v>
      </c>
      <c r="BP7" s="0" t="s">
        <v>240</v>
      </c>
      <c r="BQ7" s="0" t="s">
        <v>240</v>
      </c>
      <c r="BR7" s="0" t="s">
        <v>240</v>
      </c>
      <c r="BS7" s="0" t="s">
        <v>240</v>
      </c>
      <c r="BT7" s="0" t="s">
        <v>240</v>
      </c>
      <c r="BU7" s="0" t="s">
        <v>240</v>
      </c>
      <c r="BV7" s="0" t="s">
        <v>240</v>
      </c>
      <c r="BW7" s="0" t="s">
        <v>240</v>
      </c>
      <c r="BX7" s="0" t="s">
        <v>240</v>
      </c>
      <c r="BY7" s="0" t="s">
        <v>240</v>
      </c>
      <c r="BZ7" s="0" t="s">
        <v>240</v>
      </c>
      <c r="CA7" s="0" t="s">
        <v>240</v>
      </c>
      <c r="CB7" s="0" t="s">
        <v>240</v>
      </c>
      <c r="CC7" s="0" t="s">
        <v>240</v>
      </c>
      <c r="CD7" s="0" t="s">
        <v>240</v>
      </c>
      <c r="CE7" s="0" t="s">
        <v>240</v>
      </c>
      <c r="CF7" s="0" t="s">
        <v>240</v>
      </c>
      <c r="CG7" s="0" t="s">
        <v>240</v>
      </c>
      <c r="CH7" s="0" t="s">
        <v>240</v>
      </c>
      <c r="CI7" s="0" t="s">
        <v>240</v>
      </c>
      <c r="CJ7" s="0" t="s">
        <v>240</v>
      </c>
      <c r="CK7" s="0" t="s">
        <v>240</v>
      </c>
      <c r="CL7" s="0" t="s">
        <v>240</v>
      </c>
      <c r="CM7" s="0" t="s">
        <v>240</v>
      </c>
      <c r="CN7" s="0" t="s">
        <v>240</v>
      </c>
      <c r="CO7" s="0" t="s">
        <v>240</v>
      </c>
      <c r="CP7" s="0" t="s">
        <v>240</v>
      </c>
      <c r="CQ7" s="0" t="s">
        <v>240</v>
      </c>
      <c r="CR7" s="0" t="s">
        <v>240</v>
      </c>
      <c r="CS7" s="0" t="s">
        <v>240</v>
      </c>
      <c r="CT7" s="0" t="s">
        <v>5496</v>
      </c>
      <c r="CU7" s="0" t="s">
        <v>5497</v>
      </c>
      <c r="CV7" s="0" t="s">
        <v>443</v>
      </c>
      <c r="CW7" s="0" t="s">
        <v>5547</v>
      </c>
      <c r="CX7" s="0" t="s">
        <v>229</v>
      </c>
      <c r="CY7" s="0" t="s">
        <v>443</v>
      </c>
      <c r="CZ7" s="0" t="s">
        <v>5548</v>
      </c>
      <c r="DA7" s="0" t="s">
        <v>5549</v>
      </c>
      <c r="DB7" s="0" t="s">
        <v>5547</v>
      </c>
      <c r="DC7" s="0" t="s">
        <v>384</v>
      </c>
      <c r="DD7" s="0" t="s">
        <v>291</v>
      </c>
      <c r="DE7" s="0" t="s">
        <v>5550</v>
      </c>
    </row>
    <row customHeight="1" ht="11.25">
      <c r="A8" s="1441" t="s">
        <v>240</v>
      </c>
      <c r="B8" s="0" t="s">
        <v>240</v>
      </c>
      <c r="C8" s="0" t="s">
        <v>240</v>
      </c>
      <c r="D8" s="0" t="s">
        <v>240</v>
      </c>
      <c r="E8" s="0" t="s">
        <v>240</v>
      </c>
      <c r="F8" s="0" t="s">
        <v>240</v>
      </c>
      <c r="G8" s="0" t="s">
        <v>240</v>
      </c>
      <c r="H8" s="0" t="s">
        <v>240</v>
      </c>
      <c r="I8" s="0" t="s">
        <v>5484</v>
      </c>
      <c r="J8" s="0" t="s">
        <v>240</v>
      </c>
      <c r="K8" s="0" t="s">
        <v>240</v>
      </c>
      <c r="L8" s="0" t="s">
        <v>240</v>
      </c>
      <c r="M8" s="0" t="s">
        <v>240</v>
      </c>
      <c r="N8" s="0" t="s">
        <v>240</v>
      </c>
      <c r="O8" s="0" t="s">
        <v>240</v>
      </c>
      <c r="P8" s="0" t="s">
        <v>240</v>
      </c>
      <c r="Q8" s="0" t="s">
        <v>240</v>
      </c>
      <c r="R8" s="0" t="s">
        <v>5499</v>
      </c>
      <c r="S8" s="0" t="s">
        <v>240</v>
      </c>
      <c r="T8" s="0" t="s">
        <v>240</v>
      </c>
      <c r="U8" s="0" t="s">
        <v>102</v>
      </c>
      <c r="V8" s="0" t="s">
        <v>240</v>
      </c>
      <c r="W8" s="0" t="s">
        <v>240</v>
      </c>
      <c r="X8" s="0" t="s">
        <v>5485</v>
      </c>
      <c r="Y8" s="0" t="s">
        <v>240</v>
      </c>
      <c r="Z8" s="0" t="s">
        <v>161</v>
      </c>
      <c r="AA8" s="0" t="s">
        <v>152</v>
      </c>
      <c r="AB8" s="0" t="s">
        <v>152</v>
      </c>
      <c r="AC8" s="0" t="s">
        <v>2991</v>
      </c>
      <c r="AD8" s="0" t="s">
        <v>2991</v>
      </c>
      <c r="AE8" s="0" t="s">
        <v>2992</v>
      </c>
      <c r="AF8" s="0" t="s">
        <v>5540</v>
      </c>
      <c r="AG8" s="0" t="s">
        <v>5541</v>
      </c>
      <c r="AH8" s="0" t="s">
        <v>5542</v>
      </c>
      <c r="AI8" s="0" t="s">
        <v>5551</v>
      </c>
      <c r="AJ8" s="0" t="s">
        <v>5552</v>
      </c>
      <c r="AK8" s="0" t="s">
        <v>5544</v>
      </c>
      <c r="AL8" s="0" t="s">
        <v>5506</v>
      </c>
      <c r="AM8" s="0" t="s">
        <v>5493</v>
      </c>
      <c r="AN8" s="0" t="s">
        <v>5553</v>
      </c>
      <c r="AO8" s="0" t="s">
        <v>5554</v>
      </c>
      <c r="AP8" s="0" t="s">
        <v>240</v>
      </c>
      <c r="AQ8" s="0" t="s">
        <v>240</v>
      </c>
      <c r="AR8" s="0" t="s">
        <v>240</v>
      </c>
      <c r="AS8" s="0" t="s">
        <v>240</v>
      </c>
      <c r="AT8" s="0" t="s">
        <v>240</v>
      </c>
      <c r="AU8" s="0" t="s">
        <v>240</v>
      </c>
      <c r="AV8" s="0" t="s">
        <v>240</v>
      </c>
      <c r="AW8" s="0" t="s">
        <v>240</v>
      </c>
      <c r="AX8" s="0" t="s">
        <v>240</v>
      </c>
      <c r="AY8" s="0" t="s">
        <v>240</v>
      </c>
      <c r="AZ8" s="0" t="s">
        <v>240</v>
      </c>
      <c r="BA8" s="0" t="s">
        <v>240</v>
      </c>
      <c r="BB8" s="0" t="s">
        <v>240</v>
      </c>
      <c r="BC8" s="0" t="s">
        <v>240</v>
      </c>
      <c r="BD8" s="0" t="s">
        <v>240</v>
      </c>
      <c r="BE8" s="0" t="s">
        <v>240</v>
      </c>
      <c r="BF8" s="0" t="s">
        <v>240</v>
      </c>
      <c r="BG8" s="0" t="s">
        <v>240</v>
      </c>
      <c r="BH8" s="0" t="s">
        <v>240</v>
      </c>
      <c r="BI8" s="0" t="s">
        <v>240</v>
      </c>
      <c r="BJ8" s="0" t="s">
        <v>240</v>
      </c>
      <c r="BK8" s="0" t="s">
        <v>240</v>
      </c>
      <c r="BL8" s="0" t="s">
        <v>240</v>
      </c>
      <c r="BM8" s="0" t="s">
        <v>240</v>
      </c>
      <c r="BN8" s="0" t="s">
        <v>240</v>
      </c>
      <c r="BO8" s="0" t="s">
        <v>240</v>
      </c>
      <c r="BP8" s="0" t="s">
        <v>240</v>
      </c>
      <c r="BQ8" s="0" t="s">
        <v>240</v>
      </c>
      <c r="BR8" s="0" t="s">
        <v>240</v>
      </c>
      <c r="BS8" s="0" t="s">
        <v>240</v>
      </c>
      <c r="BT8" s="0" t="s">
        <v>240</v>
      </c>
      <c r="BU8" s="0" t="s">
        <v>240</v>
      </c>
      <c r="BV8" s="0" t="s">
        <v>240</v>
      </c>
      <c r="BW8" s="0" t="s">
        <v>240</v>
      </c>
      <c r="BX8" s="0" t="s">
        <v>240</v>
      </c>
      <c r="BY8" s="0" t="s">
        <v>240</v>
      </c>
      <c r="BZ8" s="0" t="s">
        <v>240</v>
      </c>
      <c r="CA8" s="0" t="s">
        <v>240</v>
      </c>
      <c r="CB8" s="0" t="s">
        <v>240</v>
      </c>
      <c r="CC8" s="0" t="s">
        <v>240</v>
      </c>
      <c r="CD8" s="0" t="s">
        <v>240</v>
      </c>
      <c r="CE8" s="0" t="s">
        <v>240</v>
      </c>
      <c r="CF8" s="0" t="s">
        <v>240</v>
      </c>
      <c r="CG8" s="0" t="s">
        <v>240</v>
      </c>
      <c r="CH8" s="0" t="s">
        <v>240</v>
      </c>
      <c r="CI8" s="0" t="s">
        <v>240</v>
      </c>
      <c r="CJ8" s="0" t="s">
        <v>240</v>
      </c>
      <c r="CK8" s="0" t="s">
        <v>240</v>
      </c>
      <c r="CL8" s="0" t="s">
        <v>240</v>
      </c>
      <c r="CM8" s="0" t="s">
        <v>240</v>
      </c>
      <c r="CN8" s="0" t="s">
        <v>240</v>
      </c>
      <c r="CO8" s="0" t="s">
        <v>240</v>
      </c>
      <c r="CP8" s="0" t="s">
        <v>240</v>
      </c>
      <c r="CQ8" s="0" t="s">
        <v>240</v>
      </c>
      <c r="CR8" s="0" t="s">
        <v>240</v>
      </c>
      <c r="CS8" s="0" t="s">
        <v>240</v>
      </c>
      <c r="CT8" s="0" t="s">
        <v>5496</v>
      </c>
      <c r="CU8" s="0" t="s">
        <v>5497</v>
      </c>
      <c r="CV8" s="0" t="s">
        <v>443</v>
      </c>
      <c r="CW8" s="0" t="s">
        <v>5547</v>
      </c>
      <c r="CX8" s="0" t="s">
        <v>229</v>
      </c>
      <c r="CY8" s="0" t="s">
        <v>443</v>
      </c>
      <c r="CZ8" s="0" t="s">
        <v>5548</v>
      </c>
      <c r="DA8" s="0" t="s">
        <v>5549</v>
      </c>
      <c r="DB8" s="0" t="s">
        <v>5547</v>
      </c>
      <c r="DC8" s="0" t="s">
        <v>384</v>
      </c>
      <c r="DD8" s="0" t="s">
        <v>291</v>
      </c>
      <c r="DE8" s="0" t="s">
        <v>5555</v>
      </c>
    </row>
    <row customHeight="1" ht="11.25">
      <c r="A9" s="1441" t="s">
        <v>240</v>
      </c>
      <c r="B9" s="0" t="s">
        <v>240</v>
      </c>
      <c r="C9" s="0" t="s">
        <v>240</v>
      </c>
      <c r="D9" s="0" t="s">
        <v>240</v>
      </c>
      <c r="E9" s="0" t="s">
        <v>240</v>
      </c>
      <c r="F9" s="0" t="s">
        <v>240</v>
      </c>
      <c r="G9" s="0" t="s">
        <v>240</v>
      </c>
      <c r="H9" s="0" t="s">
        <v>240</v>
      </c>
      <c r="I9" s="0" t="s">
        <v>5484</v>
      </c>
      <c r="J9" s="0" t="s">
        <v>240</v>
      </c>
      <c r="K9" s="0" t="s">
        <v>240</v>
      </c>
      <c r="L9" s="0" t="s">
        <v>240</v>
      </c>
      <c r="M9" s="0" t="s">
        <v>240</v>
      </c>
      <c r="N9" s="0" t="s">
        <v>240</v>
      </c>
      <c r="O9" s="0" t="s">
        <v>240</v>
      </c>
      <c r="P9" s="0" t="s">
        <v>240</v>
      </c>
      <c r="Q9" s="0" t="s">
        <v>240</v>
      </c>
      <c r="R9" s="0" t="s">
        <v>5556</v>
      </c>
      <c r="S9" s="0" t="s">
        <v>240</v>
      </c>
      <c r="T9" s="0" t="s">
        <v>240</v>
      </c>
      <c r="U9" s="0" t="s">
        <v>102</v>
      </c>
      <c r="V9" s="0" t="s">
        <v>240</v>
      </c>
      <c r="W9" s="0" t="s">
        <v>240</v>
      </c>
      <c r="X9" s="0" t="s">
        <v>5485</v>
      </c>
      <c r="Y9" s="0" t="s">
        <v>240</v>
      </c>
      <c r="Z9" s="0" t="s">
        <v>161</v>
      </c>
      <c r="AA9" s="0" t="s">
        <v>152</v>
      </c>
      <c r="AB9" s="0" t="s">
        <v>152</v>
      </c>
      <c r="AC9" s="0" t="s">
        <v>2991</v>
      </c>
      <c r="AD9" s="0" t="s">
        <v>2991</v>
      </c>
      <c r="AE9" s="0" t="s">
        <v>2992</v>
      </c>
      <c r="AF9" s="0" t="s">
        <v>5540</v>
      </c>
      <c r="AG9" s="0" t="s">
        <v>5541</v>
      </c>
      <c r="AH9" s="0" t="s">
        <v>5542</v>
      </c>
      <c r="AI9" s="0" t="s">
        <v>498</v>
      </c>
      <c r="AJ9" s="0" t="s">
        <v>5504</v>
      </c>
      <c r="AK9" s="0" t="s">
        <v>5544</v>
      </c>
      <c r="AL9" s="0" t="s">
        <v>5506</v>
      </c>
      <c r="AM9" s="0" t="s">
        <v>5493</v>
      </c>
      <c r="AN9" s="0" t="s">
        <v>5553</v>
      </c>
      <c r="AO9" s="0" t="s">
        <v>5554</v>
      </c>
      <c r="AP9" s="0" t="s">
        <v>240</v>
      </c>
      <c r="AQ9" s="0" t="s">
        <v>240</v>
      </c>
      <c r="AR9" s="0" t="s">
        <v>240</v>
      </c>
      <c r="AS9" s="0" t="s">
        <v>240</v>
      </c>
      <c r="AT9" s="0" t="s">
        <v>240</v>
      </c>
      <c r="AU9" s="0" t="s">
        <v>240</v>
      </c>
      <c r="AV9" s="0" t="s">
        <v>240</v>
      </c>
      <c r="AW9" s="0" t="s">
        <v>240</v>
      </c>
      <c r="AX9" s="0" t="s">
        <v>240</v>
      </c>
      <c r="AY9" s="0" t="s">
        <v>240</v>
      </c>
      <c r="AZ9" s="0" t="s">
        <v>240</v>
      </c>
      <c r="BA9" s="0" t="s">
        <v>240</v>
      </c>
      <c r="BB9" s="0" t="s">
        <v>240</v>
      </c>
      <c r="BC9" s="0" t="s">
        <v>240</v>
      </c>
      <c r="BD9" s="0" t="s">
        <v>240</v>
      </c>
      <c r="BE9" s="0" t="s">
        <v>240</v>
      </c>
      <c r="BF9" s="0" t="s">
        <v>240</v>
      </c>
      <c r="BG9" s="0" t="s">
        <v>240</v>
      </c>
      <c r="BH9" s="0" t="s">
        <v>240</v>
      </c>
      <c r="BI9" s="0" t="s">
        <v>240</v>
      </c>
      <c r="BJ9" s="0" t="s">
        <v>240</v>
      </c>
      <c r="BK9" s="0" t="s">
        <v>240</v>
      </c>
      <c r="BL9" s="0" t="s">
        <v>240</v>
      </c>
      <c r="BM9" s="0" t="s">
        <v>240</v>
      </c>
      <c r="BN9" s="0" t="s">
        <v>240</v>
      </c>
      <c r="BO9" s="0" t="s">
        <v>240</v>
      </c>
      <c r="BP9" s="0" t="s">
        <v>240</v>
      </c>
      <c r="BQ9" s="0" t="s">
        <v>240</v>
      </c>
      <c r="BR9" s="0" t="s">
        <v>240</v>
      </c>
      <c r="BS9" s="0" t="s">
        <v>240</v>
      </c>
      <c r="BT9" s="0" t="s">
        <v>240</v>
      </c>
      <c r="BU9" s="0" t="s">
        <v>240</v>
      </c>
      <c r="BV9" s="0" t="s">
        <v>240</v>
      </c>
      <c r="BW9" s="0" t="s">
        <v>240</v>
      </c>
      <c r="BX9" s="0" t="s">
        <v>240</v>
      </c>
      <c r="BY9" s="0" t="s">
        <v>240</v>
      </c>
      <c r="BZ9" s="0" t="s">
        <v>240</v>
      </c>
      <c r="CA9" s="0" t="s">
        <v>240</v>
      </c>
      <c r="CB9" s="0" t="s">
        <v>240</v>
      </c>
      <c r="CC9" s="0" t="s">
        <v>240</v>
      </c>
      <c r="CD9" s="0" t="s">
        <v>240</v>
      </c>
      <c r="CE9" s="0" t="s">
        <v>240</v>
      </c>
      <c r="CF9" s="0" t="s">
        <v>240</v>
      </c>
      <c r="CG9" s="0" t="s">
        <v>240</v>
      </c>
      <c r="CH9" s="0" t="s">
        <v>240</v>
      </c>
      <c r="CI9" s="0" t="s">
        <v>240</v>
      </c>
      <c r="CJ9" s="0" t="s">
        <v>240</v>
      </c>
      <c r="CK9" s="0" t="s">
        <v>240</v>
      </c>
      <c r="CL9" s="0" t="s">
        <v>240</v>
      </c>
      <c r="CM9" s="0" t="s">
        <v>240</v>
      </c>
      <c r="CN9" s="0" t="s">
        <v>240</v>
      </c>
      <c r="CO9" s="0" t="s">
        <v>240</v>
      </c>
      <c r="CP9" s="0" t="s">
        <v>240</v>
      </c>
      <c r="CQ9" s="0" t="s">
        <v>240</v>
      </c>
      <c r="CR9" s="0" t="s">
        <v>240</v>
      </c>
      <c r="CS9" s="0" t="s">
        <v>240</v>
      </c>
      <c r="CT9" s="0" t="s">
        <v>5496</v>
      </c>
      <c r="CU9" s="0" t="s">
        <v>5497</v>
      </c>
      <c r="CV9" s="0" t="s">
        <v>443</v>
      </c>
      <c r="CW9" s="0" t="s">
        <v>5547</v>
      </c>
      <c r="CX9" s="0" t="s">
        <v>229</v>
      </c>
      <c r="CY9" s="0" t="s">
        <v>443</v>
      </c>
      <c r="CZ9" s="0" t="s">
        <v>5548</v>
      </c>
      <c r="DA9" s="0" t="s">
        <v>5549</v>
      </c>
      <c r="DB9" s="0" t="s">
        <v>5547</v>
      </c>
      <c r="DC9" s="0" t="s">
        <v>384</v>
      </c>
      <c r="DD9" s="0" t="s">
        <v>291</v>
      </c>
      <c r="DE9" s="0" t="s">
        <v>5557</v>
      </c>
    </row>
    <row customHeight="1" ht="11.25">
      <c r="A10" s="1441" t="s">
        <v>240</v>
      </c>
      <c r="B10" s="0" t="s">
        <v>240</v>
      </c>
      <c r="C10" s="0" t="s">
        <v>240</v>
      </c>
      <c r="D10" s="0" t="s">
        <v>240</v>
      </c>
      <c r="E10" s="0" t="s">
        <v>240</v>
      </c>
      <c r="F10" s="0" t="s">
        <v>240</v>
      </c>
      <c r="G10" s="0" t="s">
        <v>240</v>
      </c>
      <c r="H10" s="0" t="s">
        <v>240</v>
      </c>
      <c r="I10" s="0" t="s">
        <v>5484</v>
      </c>
      <c r="J10" s="0" t="s">
        <v>240</v>
      </c>
      <c r="K10" s="0" t="s">
        <v>240</v>
      </c>
      <c r="L10" s="0" t="s">
        <v>240</v>
      </c>
      <c r="M10" s="0" t="s">
        <v>240</v>
      </c>
      <c r="N10" s="0" t="s">
        <v>240</v>
      </c>
      <c r="O10" s="0" t="s">
        <v>240</v>
      </c>
      <c r="P10" s="0" t="s">
        <v>240</v>
      </c>
      <c r="Q10" s="0" t="s">
        <v>240</v>
      </c>
      <c r="R10" s="0" t="s">
        <v>5558</v>
      </c>
      <c r="S10" s="0" t="s">
        <v>240</v>
      </c>
      <c r="T10" s="0" t="s">
        <v>240</v>
      </c>
      <c r="U10" s="0" t="s">
        <v>102</v>
      </c>
      <c r="V10" s="0" t="s">
        <v>240</v>
      </c>
      <c r="W10" s="0" t="s">
        <v>240</v>
      </c>
      <c r="X10" s="0" t="s">
        <v>5485</v>
      </c>
      <c r="Y10" s="0" t="s">
        <v>240</v>
      </c>
      <c r="Z10" s="0" t="s">
        <v>161</v>
      </c>
      <c r="AA10" s="0" t="s">
        <v>152</v>
      </c>
      <c r="AB10" s="0" t="s">
        <v>152</v>
      </c>
      <c r="AC10" s="0" t="s">
        <v>3389</v>
      </c>
      <c r="AD10" s="0" t="s">
        <v>3389</v>
      </c>
      <c r="AE10" s="0" t="s">
        <v>3390</v>
      </c>
      <c r="AF10" s="0" t="s">
        <v>5519</v>
      </c>
      <c r="AG10" s="0" t="s">
        <v>5520</v>
      </c>
      <c r="AH10" s="0" t="s">
        <v>5559</v>
      </c>
      <c r="AI10" s="0" t="s">
        <v>501</v>
      </c>
      <c r="AJ10" s="0" t="s">
        <v>5560</v>
      </c>
      <c r="AK10" s="0" t="s">
        <v>5561</v>
      </c>
      <c r="AL10" s="0" t="s">
        <v>5524</v>
      </c>
      <c r="AM10" s="0" t="s">
        <v>5493</v>
      </c>
      <c r="AN10" s="0" t="s">
        <v>5562</v>
      </c>
      <c r="AO10" s="0" t="s">
        <v>5563</v>
      </c>
      <c r="AP10" s="0" t="s">
        <v>240</v>
      </c>
      <c r="AQ10" s="0" t="s">
        <v>240</v>
      </c>
      <c r="AR10" s="0" t="s">
        <v>240</v>
      </c>
      <c r="AS10" s="0" t="s">
        <v>240</v>
      </c>
      <c r="AT10" s="0" t="s">
        <v>240</v>
      </c>
      <c r="AU10" s="0" t="s">
        <v>240</v>
      </c>
      <c r="AV10" s="0" t="s">
        <v>240</v>
      </c>
      <c r="AW10" s="0" t="s">
        <v>240</v>
      </c>
      <c r="AX10" s="0" t="s">
        <v>240</v>
      </c>
      <c r="AY10" s="0" t="s">
        <v>240</v>
      </c>
      <c r="AZ10" s="0" t="s">
        <v>240</v>
      </c>
      <c r="BA10" s="0" t="s">
        <v>240</v>
      </c>
      <c r="BB10" s="0" t="s">
        <v>240</v>
      </c>
      <c r="BC10" s="0" t="s">
        <v>240</v>
      </c>
      <c r="BD10" s="0" t="s">
        <v>240</v>
      </c>
      <c r="BE10" s="0" t="s">
        <v>240</v>
      </c>
      <c r="BF10" s="0" t="s">
        <v>240</v>
      </c>
      <c r="BG10" s="0" t="s">
        <v>240</v>
      </c>
      <c r="BH10" s="0" t="s">
        <v>240</v>
      </c>
      <c r="BI10" s="0" t="s">
        <v>240</v>
      </c>
      <c r="BJ10" s="0" t="s">
        <v>240</v>
      </c>
      <c r="BK10" s="0" t="s">
        <v>240</v>
      </c>
      <c r="BL10" s="0" t="s">
        <v>240</v>
      </c>
      <c r="BM10" s="0" t="s">
        <v>240</v>
      </c>
      <c r="BN10" s="0" t="s">
        <v>240</v>
      </c>
      <c r="BO10" s="0" t="s">
        <v>240</v>
      </c>
      <c r="BP10" s="0" t="s">
        <v>240</v>
      </c>
      <c r="BQ10" s="0" t="s">
        <v>240</v>
      </c>
      <c r="BR10" s="0" t="s">
        <v>240</v>
      </c>
      <c r="BS10" s="0" t="s">
        <v>240</v>
      </c>
      <c r="BT10" s="0" t="s">
        <v>240</v>
      </c>
      <c r="BU10" s="0" t="s">
        <v>240</v>
      </c>
      <c r="BV10" s="0" t="s">
        <v>240</v>
      </c>
      <c r="BW10" s="0" t="s">
        <v>240</v>
      </c>
      <c r="BX10" s="0" t="s">
        <v>240</v>
      </c>
      <c r="BY10" s="0" t="s">
        <v>240</v>
      </c>
      <c r="BZ10" s="0" t="s">
        <v>240</v>
      </c>
      <c r="CA10" s="0" t="s">
        <v>240</v>
      </c>
      <c r="CB10" s="0" t="s">
        <v>240</v>
      </c>
      <c r="CC10" s="0" t="s">
        <v>240</v>
      </c>
      <c r="CD10" s="0" t="s">
        <v>240</v>
      </c>
      <c r="CE10" s="0" t="s">
        <v>240</v>
      </c>
      <c r="CF10" s="0" t="s">
        <v>240</v>
      </c>
      <c r="CG10" s="0" t="s">
        <v>240</v>
      </c>
      <c r="CH10" s="0" t="s">
        <v>240</v>
      </c>
      <c r="CI10" s="0" t="s">
        <v>240</v>
      </c>
      <c r="CJ10" s="0" t="s">
        <v>240</v>
      </c>
      <c r="CK10" s="0" t="s">
        <v>240</v>
      </c>
      <c r="CL10" s="0" t="s">
        <v>240</v>
      </c>
      <c r="CM10" s="0" t="s">
        <v>240</v>
      </c>
      <c r="CN10" s="0" t="s">
        <v>240</v>
      </c>
      <c r="CO10" s="0" t="s">
        <v>240</v>
      </c>
      <c r="CP10" s="0" t="s">
        <v>240</v>
      </c>
      <c r="CQ10" s="0" t="s">
        <v>240</v>
      </c>
      <c r="CR10" s="0" t="s">
        <v>240</v>
      </c>
      <c r="CS10" s="0" t="s">
        <v>240</v>
      </c>
      <c r="CT10" s="0" t="s">
        <v>5496</v>
      </c>
      <c r="CU10" s="0" t="s">
        <v>5497</v>
      </c>
      <c r="CV10" s="0" t="s">
        <v>443</v>
      </c>
      <c r="CW10" s="0" t="s">
        <v>5527</v>
      </c>
      <c r="CX10" s="0" t="s">
        <v>5528</v>
      </c>
      <c r="CY10" s="0" t="s">
        <v>443</v>
      </c>
      <c r="CZ10" s="0" t="s">
        <v>299</v>
      </c>
      <c r="DA10" s="0" t="s">
        <v>5529</v>
      </c>
      <c r="DB10" s="0" t="s">
        <v>5527</v>
      </c>
      <c r="DC10" s="0" t="s">
        <v>384</v>
      </c>
      <c r="DD10" s="0" t="s">
        <v>291</v>
      </c>
      <c r="DE10" s="0" t="s">
        <v>5564</v>
      </c>
    </row>
    <row customHeight="1" ht="11.25">
      <c r="A11" s="1441" t="s">
        <v>240</v>
      </c>
      <c r="B11" s="0" t="s">
        <v>240</v>
      </c>
      <c r="C11" s="0" t="s">
        <v>240</v>
      </c>
      <c r="D11" s="0" t="s">
        <v>240</v>
      </c>
      <c r="E11" s="0" t="s">
        <v>240</v>
      </c>
      <c r="F11" s="0" t="s">
        <v>240</v>
      </c>
      <c r="G11" s="0" t="s">
        <v>240</v>
      </c>
      <c r="H11" s="0" t="s">
        <v>240</v>
      </c>
      <c r="I11" s="0" t="s">
        <v>5484</v>
      </c>
      <c r="J11" s="0" t="s">
        <v>240</v>
      </c>
      <c r="K11" s="0" t="s">
        <v>240</v>
      </c>
      <c r="L11" s="0" t="s">
        <v>240</v>
      </c>
      <c r="M11" s="0" t="s">
        <v>240</v>
      </c>
      <c r="N11" s="0" t="s">
        <v>240</v>
      </c>
      <c r="O11" s="0" t="s">
        <v>240</v>
      </c>
      <c r="P11" s="0" t="s">
        <v>240</v>
      </c>
      <c r="Q11" s="0" t="s">
        <v>240</v>
      </c>
      <c r="R11" s="0" t="s">
        <v>5565</v>
      </c>
      <c r="S11" s="0" t="s">
        <v>240</v>
      </c>
      <c r="T11" s="0" t="s">
        <v>240</v>
      </c>
      <c r="U11" s="0" t="s">
        <v>102</v>
      </c>
      <c r="V11" s="0" t="s">
        <v>240</v>
      </c>
      <c r="W11" s="0" t="s">
        <v>240</v>
      </c>
      <c r="X11" s="0" t="s">
        <v>5485</v>
      </c>
      <c r="Y11" s="0" t="s">
        <v>240</v>
      </c>
      <c r="Z11" s="0" t="s">
        <v>161</v>
      </c>
      <c r="AA11" s="0" t="s">
        <v>152</v>
      </c>
      <c r="AB11" s="0" t="s">
        <v>152</v>
      </c>
      <c r="AC11" s="0" t="s">
        <v>3389</v>
      </c>
      <c r="AD11" s="0" t="s">
        <v>3389</v>
      </c>
      <c r="AE11" s="0" t="s">
        <v>3390</v>
      </c>
      <c r="AF11" s="0" t="s">
        <v>5519</v>
      </c>
      <c r="AG11" s="0" t="s">
        <v>5520</v>
      </c>
      <c r="AH11" s="0" t="s">
        <v>5566</v>
      </c>
      <c r="AI11" s="0" t="s">
        <v>5567</v>
      </c>
      <c r="AJ11" s="0" t="s">
        <v>5568</v>
      </c>
      <c r="AK11" s="0" t="s">
        <v>5569</v>
      </c>
      <c r="AL11" s="0" t="s">
        <v>5570</v>
      </c>
      <c r="AM11" s="0" t="s">
        <v>5493</v>
      </c>
      <c r="AN11" s="0" t="s">
        <v>5525</v>
      </c>
      <c r="AO11" s="0" t="s">
        <v>5526</v>
      </c>
      <c r="AP11" s="0" t="s">
        <v>240</v>
      </c>
      <c r="AQ11" s="0" t="s">
        <v>240</v>
      </c>
      <c r="AR11" s="0" t="s">
        <v>240</v>
      </c>
      <c r="AS11" s="0" t="s">
        <v>240</v>
      </c>
      <c r="AT11" s="0" t="s">
        <v>240</v>
      </c>
      <c r="AU11" s="0" t="s">
        <v>240</v>
      </c>
      <c r="AV11" s="0" t="s">
        <v>240</v>
      </c>
      <c r="AW11" s="0" t="s">
        <v>240</v>
      </c>
      <c r="AX11" s="0" t="s">
        <v>240</v>
      </c>
      <c r="AY11" s="0" t="s">
        <v>240</v>
      </c>
      <c r="AZ11" s="0" t="s">
        <v>240</v>
      </c>
      <c r="BA11" s="0" t="s">
        <v>240</v>
      </c>
      <c r="BB11" s="0" t="s">
        <v>240</v>
      </c>
      <c r="BC11" s="0" t="s">
        <v>240</v>
      </c>
      <c r="BD11" s="0" t="s">
        <v>240</v>
      </c>
      <c r="BE11" s="0" t="s">
        <v>240</v>
      </c>
      <c r="BF11" s="0" t="s">
        <v>240</v>
      </c>
      <c r="BG11" s="0" t="s">
        <v>240</v>
      </c>
      <c r="BH11" s="0" t="s">
        <v>240</v>
      </c>
      <c r="BI11" s="0" t="s">
        <v>240</v>
      </c>
      <c r="BJ11" s="0" t="s">
        <v>240</v>
      </c>
      <c r="BK11" s="0" t="s">
        <v>240</v>
      </c>
      <c r="BL11" s="0" t="s">
        <v>240</v>
      </c>
      <c r="BM11" s="0" t="s">
        <v>240</v>
      </c>
      <c r="BN11" s="0" t="s">
        <v>240</v>
      </c>
      <c r="BO11" s="0" t="s">
        <v>240</v>
      </c>
      <c r="BP11" s="0" t="s">
        <v>240</v>
      </c>
      <c r="BQ11" s="0" t="s">
        <v>240</v>
      </c>
      <c r="BR11" s="0" t="s">
        <v>240</v>
      </c>
      <c r="BS11" s="0" t="s">
        <v>240</v>
      </c>
      <c r="BT11" s="0" t="s">
        <v>240</v>
      </c>
      <c r="BU11" s="0" t="s">
        <v>240</v>
      </c>
      <c r="BV11" s="0" t="s">
        <v>240</v>
      </c>
      <c r="BW11" s="0" t="s">
        <v>240</v>
      </c>
      <c r="BX11" s="0" t="s">
        <v>240</v>
      </c>
      <c r="BY11" s="0" t="s">
        <v>240</v>
      </c>
      <c r="BZ11" s="0" t="s">
        <v>240</v>
      </c>
      <c r="CA11" s="0" t="s">
        <v>240</v>
      </c>
      <c r="CB11" s="0" t="s">
        <v>240</v>
      </c>
      <c r="CC11" s="0" t="s">
        <v>240</v>
      </c>
      <c r="CD11" s="0" t="s">
        <v>240</v>
      </c>
      <c r="CE11" s="0" t="s">
        <v>240</v>
      </c>
      <c r="CF11" s="0" t="s">
        <v>240</v>
      </c>
      <c r="CG11" s="0" t="s">
        <v>240</v>
      </c>
      <c r="CH11" s="0" t="s">
        <v>240</v>
      </c>
      <c r="CI11" s="0" t="s">
        <v>240</v>
      </c>
      <c r="CJ11" s="0" t="s">
        <v>240</v>
      </c>
      <c r="CK11" s="0" t="s">
        <v>240</v>
      </c>
      <c r="CL11" s="0" t="s">
        <v>240</v>
      </c>
      <c r="CM11" s="0" t="s">
        <v>240</v>
      </c>
      <c r="CN11" s="0" t="s">
        <v>240</v>
      </c>
      <c r="CO11" s="0" t="s">
        <v>240</v>
      </c>
      <c r="CP11" s="0" t="s">
        <v>240</v>
      </c>
      <c r="CQ11" s="0" t="s">
        <v>240</v>
      </c>
      <c r="CR11" s="0" t="s">
        <v>240</v>
      </c>
      <c r="CS11" s="0" t="s">
        <v>240</v>
      </c>
      <c r="CT11" s="0" t="s">
        <v>5496</v>
      </c>
      <c r="CU11" s="0" t="s">
        <v>5497</v>
      </c>
      <c r="CV11" s="0" t="s">
        <v>443</v>
      </c>
      <c r="CW11" s="0" t="s">
        <v>5527</v>
      </c>
      <c r="CX11" s="0" t="s">
        <v>5528</v>
      </c>
      <c r="CY11" s="0" t="s">
        <v>443</v>
      </c>
      <c r="CZ11" s="0" t="s">
        <v>299</v>
      </c>
      <c r="DA11" s="0" t="s">
        <v>5529</v>
      </c>
      <c r="DB11" s="0" t="s">
        <v>5527</v>
      </c>
      <c r="DC11" s="0" t="s">
        <v>384</v>
      </c>
      <c r="DD11" s="0" t="s">
        <v>291</v>
      </c>
      <c r="DE11" s="0" t="s">
        <v>5571</v>
      </c>
    </row>
    <row customHeight="1" ht="11.25">
      <c r="A12" s="1441" t="s">
        <v>240</v>
      </c>
      <c r="B12" s="0" t="s">
        <v>240</v>
      </c>
      <c r="C12" s="0" t="s">
        <v>240</v>
      </c>
      <c r="D12" s="0" t="s">
        <v>240</v>
      </c>
      <c r="E12" s="0" t="s">
        <v>240</v>
      </c>
      <c r="F12" s="0" t="s">
        <v>240</v>
      </c>
      <c r="G12" s="0" t="s">
        <v>240</v>
      </c>
      <c r="H12" s="0" t="s">
        <v>240</v>
      </c>
      <c r="I12" s="0" t="s">
        <v>5484</v>
      </c>
      <c r="J12" s="0" t="s">
        <v>240</v>
      </c>
      <c r="K12" s="0" t="s">
        <v>240</v>
      </c>
      <c r="L12" s="0" t="s">
        <v>240</v>
      </c>
      <c r="M12" s="0" t="s">
        <v>240</v>
      </c>
      <c r="N12" s="0" t="s">
        <v>240</v>
      </c>
      <c r="O12" s="0" t="s">
        <v>240</v>
      </c>
      <c r="P12" s="0" t="s">
        <v>240</v>
      </c>
      <c r="Q12" s="0" t="s">
        <v>240</v>
      </c>
      <c r="R12" s="0" t="s">
        <v>5572</v>
      </c>
      <c r="S12" s="0" t="s">
        <v>240</v>
      </c>
      <c r="T12" s="0" t="s">
        <v>240</v>
      </c>
      <c r="U12" s="0" t="s">
        <v>102</v>
      </c>
      <c r="V12" s="0" t="s">
        <v>240</v>
      </c>
      <c r="W12" s="0" t="s">
        <v>240</v>
      </c>
      <c r="X12" s="0" t="s">
        <v>5485</v>
      </c>
      <c r="Y12" s="0" t="s">
        <v>240</v>
      </c>
      <c r="Z12" s="0" t="s">
        <v>161</v>
      </c>
      <c r="AA12" s="0" t="s">
        <v>152</v>
      </c>
      <c r="AB12" s="0" t="s">
        <v>152</v>
      </c>
      <c r="AC12" s="0" t="s">
        <v>2989</v>
      </c>
      <c r="AD12" s="0" t="s">
        <v>2989</v>
      </c>
      <c r="AE12" s="0" t="s">
        <v>2990</v>
      </c>
      <c r="AF12" s="0" t="s">
        <v>5573</v>
      </c>
      <c r="AG12" s="0" t="s">
        <v>5574</v>
      </c>
      <c r="AH12" s="0" t="s">
        <v>5575</v>
      </c>
      <c r="AI12" s="0" t="s">
        <v>5575</v>
      </c>
      <c r="AJ12" s="0" t="s">
        <v>5576</v>
      </c>
      <c r="AK12" s="0" t="s">
        <v>5577</v>
      </c>
      <c r="AL12" s="0" t="s">
        <v>5506</v>
      </c>
      <c r="AM12" s="0" t="s">
        <v>5493</v>
      </c>
      <c r="AN12" s="0" t="s">
        <v>5578</v>
      </c>
      <c r="AO12" s="0" t="s">
        <v>5579</v>
      </c>
      <c r="AP12" s="0" t="s">
        <v>240</v>
      </c>
      <c r="AQ12" s="0" t="s">
        <v>240</v>
      </c>
      <c r="AR12" s="0" t="s">
        <v>240</v>
      </c>
      <c r="AS12" s="0" t="s">
        <v>240</v>
      </c>
      <c r="AT12" s="0" t="s">
        <v>240</v>
      </c>
      <c r="AU12" s="0" t="s">
        <v>240</v>
      </c>
      <c r="AV12" s="0" t="s">
        <v>240</v>
      </c>
      <c r="AW12" s="0" t="s">
        <v>240</v>
      </c>
      <c r="AX12" s="0" t="s">
        <v>240</v>
      </c>
      <c r="AY12" s="0" t="s">
        <v>240</v>
      </c>
      <c r="AZ12" s="0" t="s">
        <v>240</v>
      </c>
      <c r="BA12" s="0" t="s">
        <v>240</v>
      </c>
      <c r="BB12" s="0" t="s">
        <v>240</v>
      </c>
      <c r="BC12" s="0" t="s">
        <v>240</v>
      </c>
      <c r="BD12" s="0" t="s">
        <v>240</v>
      </c>
      <c r="BE12" s="0" t="s">
        <v>240</v>
      </c>
      <c r="BF12" s="0" t="s">
        <v>240</v>
      </c>
      <c r="BG12" s="0" t="s">
        <v>240</v>
      </c>
      <c r="BH12" s="0" t="s">
        <v>240</v>
      </c>
      <c r="BI12" s="0" t="s">
        <v>240</v>
      </c>
      <c r="BJ12" s="0" t="s">
        <v>240</v>
      </c>
      <c r="BK12" s="0" t="s">
        <v>240</v>
      </c>
      <c r="BL12" s="0" t="s">
        <v>240</v>
      </c>
      <c r="BM12" s="0" t="s">
        <v>240</v>
      </c>
      <c r="BN12" s="0" t="s">
        <v>240</v>
      </c>
      <c r="BO12" s="0" t="s">
        <v>240</v>
      </c>
      <c r="BP12" s="0" t="s">
        <v>240</v>
      </c>
      <c r="BQ12" s="0" t="s">
        <v>240</v>
      </c>
      <c r="BR12" s="0" t="s">
        <v>240</v>
      </c>
      <c r="BS12" s="0" t="s">
        <v>240</v>
      </c>
      <c r="BT12" s="0" t="s">
        <v>240</v>
      </c>
      <c r="BU12" s="0" t="s">
        <v>240</v>
      </c>
      <c r="BV12" s="0" t="s">
        <v>240</v>
      </c>
      <c r="BW12" s="0" t="s">
        <v>240</v>
      </c>
      <c r="BX12" s="0" t="s">
        <v>240</v>
      </c>
      <c r="BY12" s="0" t="s">
        <v>240</v>
      </c>
      <c r="BZ12" s="0" t="s">
        <v>240</v>
      </c>
      <c r="CA12" s="0" t="s">
        <v>240</v>
      </c>
      <c r="CB12" s="0" t="s">
        <v>240</v>
      </c>
      <c r="CC12" s="0" t="s">
        <v>240</v>
      </c>
      <c r="CD12" s="0" t="s">
        <v>240</v>
      </c>
      <c r="CE12" s="0" t="s">
        <v>240</v>
      </c>
      <c r="CF12" s="0" t="s">
        <v>240</v>
      </c>
      <c r="CG12" s="0" t="s">
        <v>240</v>
      </c>
      <c r="CH12" s="0" t="s">
        <v>240</v>
      </c>
      <c r="CI12" s="0" t="s">
        <v>240</v>
      </c>
      <c r="CJ12" s="0" t="s">
        <v>240</v>
      </c>
      <c r="CK12" s="0" t="s">
        <v>240</v>
      </c>
      <c r="CL12" s="0" t="s">
        <v>240</v>
      </c>
      <c r="CM12" s="0" t="s">
        <v>240</v>
      </c>
      <c r="CN12" s="0" t="s">
        <v>240</v>
      </c>
      <c r="CO12" s="0" t="s">
        <v>240</v>
      </c>
      <c r="CP12" s="0" t="s">
        <v>240</v>
      </c>
      <c r="CQ12" s="0" t="s">
        <v>240</v>
      </c>
      <c r="CR12" s="0" t="s">
        <v>240</v>
      </c>
      <c r="CS12" s="0" t="s">
        <v>240</v>
      </c>
      <c r="CT12" s="0" t="s">
        <v>5496</v>
      </c>
      <c r="CU12" s="0" t="s">
        <v>5497</v>
      </c>
      <c r="CV12" s="0" t="s">
        <v>443</v>
      </c>
      <c r="CW12" s="0" t="s">
        <v>5580</v>
      </c>
      <c r="CX12" s="0" t="s">
        <v>229</v>
      </c>
      <c r="CY12" s="0" t="s">
        <v>443</v>
      </c>
      <c r="CZ12" s="0" t="s">
        <v>5581</v>
      </c>
      <c r="DA12" s="0" t="s">
        <v>5582</v>
      </c>
      <c r="DB12" s="0" t="s">
        <v>5580</v>
      </c>
      <c r="DC12" s="0" t="s">
        <v>384</v>
      </c>
      <c r="DD12" s="0" t="s">
        <v>291</v>
      </c>
      <c r="DE12" s="0" t="s">
        <v>5583</v>
      </c>
    </row>
    <row customHeight="1" ht="11.25">
      <c r="A13" s="1441" t="s">
        <v>240</v>
      </c>
      <c r="B13" s="0" t="s">
        <v>240</v>
      </c>
      <c r="C13" s="0" t="s">
        <v>240</v>
      </c>
      <c r="D13" s="0" t="s">
        <v>240</v>
      </c>
      <c r="E13" s="0" t="s">
        <v>240</v>
      </c>
      <c r="F13" s="0" t="s">
        <v>240</v>
      </c>
      <c r="G13" s="0" t="s">
        <v>240</v>
      </c>
      <c r="H13" s="0" t="s">
        <v>240</v>
      </c>
      <c r="I13" s="0" t="s">
        <v>5484</v>
      </c>
      <c r="J13" s="0" t="s">
        <v>240</v>
      </c>
      <c r="K13" s="0" t="s">
        <v>240</v>
      </c>
      <c r="L13" s="0" t="s">
        <v>240</v>
      </c>
      <c r="M13" s="0" t="s">
        <v>240</v>
      </c>
      <c r="N13" s="0" t="s">
        <v>240</v>
      </c>
      <c r="O13" s="0" t="s">
        <v>240</v>
      </c>
      <c r="P13" s="0" t="s">
        <v>240</v>
      </c>
      <c r="Q13" s="0" t="s">
        <v>240</v>
      </c>
      <c r="R13" s="0" t="s">
        <v>5584</v>
      </c>
      <c r="S13" s="0" t="s">
        <v>240</v>
      </c>
      <c r="T13" s="0" t="s">
        <v>240</v>
      </c>
      <c r="U13" s="0" t="s">
        <v>102</v>
      </c>
      <c r="V13" s="0" t="s">
        <v>240</v>
      </c>
      <c r="W13" s="0" t="s">
        <v>240</v>
      </c>
      <c r="X13" s="0" t="s">
        <v>5585</v>
      </c>
      <c r="Y13" s="0" t="s">
        <v>240</v>
      </c>
      <c r="Z13" s="0" t="s">
        <v>152</v>
      </c>
      <c r="AA13" s="0" t="s">
        <v>152</v>
      </c>
      <c r="AB13" s="0" t="s">
        <v>161</v>
      </c>
      <c r="AC13" s="0" t="s">
        <v>3389</v>
      </c>
      <c r="AD13" s="0" t="s">
        <v>3389</v>
      </c>
      <c r="AE13" s="0" t="s">
        <v>3390</v>
      </c>
      <c r="AF13" s="0" t="s">
        <v>5519</v>
      </c>
      <c r="AG13" s="0" t="s">
        <v>5520</v>
      </c>
      <c r="AH13" s="0" t="s">
        <v>5586</v>
      </c>
      <c r="AI13" s="0" t="s">
        <v>5533</v>
      </c>
      <c r="AJ13" s="0" t="s">
        <v>240</v>
      </c>
      <c r="AK13" s="0" t="s">
        <v>240</v>
      </c>
      <c r="AL13" s="0" t="s">
        <v>240</v>
      </c>
      <c r="AM13" s="0" t="s">
        <v>240</v>
      </c>
      <c r="AN13" s="0" t="s">
        <v>240</v>
      </c>
      <c r="AO13" s="0" t="s">
        <v>240</v>
      </c>
      <c r="AP13" s="0" t="s">
        <v>240</v>
      </c>
      <c r="AQ13" s="0" t="s">
        <v>240</v>
      </c>
      <c r="AR13" s="0" t="s">
        <v>240</v>
      </c>
      <c r="AS13" s="0" t="s">
        <v>240</v>
      </c>
      <c r="AT13" s="0" t="s">
        <v>240</v>
      </c>
      <c r="AU13" s="0" t="s">
        <v>240</v>
      </c>
      <c r="AV13" s="0" t="s">
        <v>240</v>
      </c>
      <c r="AW13" s="0" t="s">
        <v>240</v>
      </c>
      <c r="AX13" s="0" t="s">
        <v>240</v>
      </c>
      <c r="AY13" s="0" t="s">
        <v>240</v>
      </c>
      <c r="AZ13" s="0" t="s">
        <v>240</v>
      </c>
      <c r="BA13" s="0" t="s">
        <v>240</v>
      </c>
      <c r="BB13" s="0" t="s">
        <v>240</v>
      </c>
      <c r="BC13" s="0" t="s">
        <v>240</v>
      </c>
      <c r="BD13" s="0" t="s">
        <v>240</v>
      </c>
      <c r="BE13" s="0" t="s">
        <v>5587</v>
      </c>
      <c r="BF13" s="0" t="s">
        <v>5588</v>
      </c>
      <c r="BG13" s="0" t="s">
        <v>112</v>
      </c>
      <c r="BH13" s="0" t="s">
        <v>5589</v>
      </c>
      <c r="BI13" s="0" t="s">
        <v>123</v>
      </c>
      <c r="BJ13" s="0" t="s">
        <v>240</v>
      </c>
      <c r="BK13" s="0" t="s">
        <v>5590</v>
      </c>
      <c r="BL13" s="0" t="s">
        <v>3389</v>
      </c>
      <c r="BM13" s="0" t="s">
        <v>3389</v>
      </c>
      <c r="BN13" s="0" t="s">
        <v>5591</v>
      </c>
      <c r="BO13" s="0" t="s">
        <v>5519</v>
      </c>
      <c r="BP13" s="0" t="s">
        <v>5592</v>
      </c>
      <c r="BQ13" s="0" t="s">
        <v>5593</v>
      </c>
      <c r="BR13" s="0" t="s">
        <v>5533</v>
      </c>
      <c r="BS13" s="0" t="s">
        <v>240</v>
      </c>
      <c r="BT13" s="0" t="s">
        <v>5594</v>
      </c>
      <c r="BU13" s="0" t="s">
        <v>5595</v>
      </c>
      <c r="BV13" s="0" t="s">
        <v>5596</v>
      </c>
      <c r="BW13" s="0" t="s">
        <v>5597</v>
      </c>
      <c r="BX13" s="0" t="s">
        <v>5598</v>
      </c>
      <c r="BY13" s="0" t="s">
        <v>5598</v>
      </c>
      <c r="BZ13" s="0" t="s">
        <v>5598</v>
      </c>
      <c r="CA13" s="0" t="s">
        <v>5598</v>
      </c>
      <c r="CB13" s="0" t="s">
        <v>5598</v>
      </c>
      <c r="CC13" s="0" t="s">
        <v>5598</v>
      </c>
      <c r="CD13" s="0" t="s">
        <v>5598</v>
      </c>
      <c r="CE13" s="0" t="s">
        <v>5598</v>
      </c>
      <c r="CF13" s="0" t="s">
        <v>5598</v>
      </c>
      <c r="CG13" s="0" t="s">
        <v>5598</v>
      </c>
      <c r="CH13" s="0" t="s">
        <v>5598</v>
      </c>
      <c r="CI13" s="0" t="s">
        <v>5598</v>
      </c>
      <c r="CJ13" s="0" t="s">
        <v>5598</v>
      </c>
      <c r="CK13" s="0" t="s">
        <v>5598</v>
      </c>
      <c r="CL13" s="0" t="s">
        <v>5598</v>
      </c>
      <c r="CM13" s="0" t="s">
        <v>5595</v>
      </c>
      <c r="CN13" s="0" t="s">
        <v>5596</v>
      </c>
      <c r="CO13" s="0" t="s">
        <v>5597</v>
      </c>
      <c r="CP13" s="0" t="s">
        <v>5598</v>
      </c>
      <c r="CQ13" s="0" t="s">
        <v>5598</v>
      </c>
      <c r="CR13" s="0" t="s">
        <v>5598</v>
      </c>
      <c r="CS13" s="0" t="s">
        <v>5599</v>
      </c>
      <c r="CT13" s="0" t="s">
        <v>5496</v>
      </c>
      <c r="CU13" s="0" t="s">
        <v>5497</v>
      </c>
      <c r="CV13" s="0" t="s">
        <v>443</v>
      </c>
      <c r="CW13" s="0" t="s">
        <v>5600</v>
      </c>
      <c r="CX13" s="0" t="s">
        <v>5528</v>
      </c>
      <c r="CY13" s="0" t="s">
        <v>443</v>
      </c>
      <c r="CZ13" s="0" t="s">
        <v>299</v>
      </c>
      <c r="DA13" s="0" t="s">
        <v>5529</v>
      </c>
      <c r="DB13" s="0" t="s">
        <v>5600</v>
      </c>
      <c r="DC13" s="0" t="s">
        <v>384</v>
      </c>
      <c r="DD13" s="0" t="s">
        <v>291</v>
      </c>
      <c r="DE13" s="0" t="s">
        <v>5601</v>
      </c>
    </row>
    <row customHeight="1" ht="11.25">
      <c r="A14" s="1441" t="s">
        <v>240</v>
      </c>
      <c r="B14" s="0" t="s">
        <v>240</v>
      </c>
      <c r="C14" s="0" t="s">
        <v>240</v>
      </c>
      <c r="D14" s="0" t="s">
        <v>240</v>
      </c>
      <c r="E14" s="0" t="s">
        <v>240</v>
      </c>
      <c r="F14" s="0" t="s">
        <v>240</v>
      </c>
      <c r="G14" s="0" t="s">
        <v>240</v>
      </c>
      <c r="H14" s="0" t="s">
        <v>240</v>
      </c>
      <c r="I14" s="0" t="s">
        <v>5484</v>
      </c>
      <c r="J14" s="0" t="s">
        <v>240</v>
      </c>
      <c r="K14" s="0" t="s">
        <v>240</v>
      </c>
      <c r="L14" s="0" t="s">
        <v>240</v>
      </c>
      <c r="M14" s="0" t="s">
        <v>240</v>
      </c>
      <c r="N14" s="0" t="s">
        <v>240</v>
      </c>
      <c r="O14" s="0" t="s">
        <v>240</v>
      </c>
      <c r="P14" s="0" t="s">
        <v>240</v>
      </c>
      <c r="Q14" s="0" t="s">
        <v>240</v>
      </c>
      <c r="R14" s="0" t="s">
        <v>5602</v>
      </c>
      <c r="S14" s="0" t="s">
        <v>240</v>
      </c>
      <c r="T14" s="0" t="s">
        <v>240</v>
      </c>
      <c r="U14" s="0" t="s">
        <v>102</v>
      </c>
      <c r="V14" s="0" t="s">
        <v>240</v>
      </c>
      <c r="W14" s="0" t="s">
        <v>240</v>
      </c>
      <c r="X14" s="0" t="s">
        <v>5485</v>
      </c>
      <c r="Y14" s="0" t="s">
        <v>240</v>
      </c>
      <c r="Z14" s="0" t="s">
        <v>161</v>
      </c>
      <c r="AA14" s="0" t="s">
        <v>152</v>
      </c>
      <c r="AB14" s="0" t="s">
        <v>152</v>
      </c>
      <c r="AC14" s="0" t="s">
        <v>3389</v>
      </c>
      <c r="AD14" s="0" t="s">
        <v>3389</v>
      </c>
      <c r="AE14" s="0" t="s">
        <v>3390</v>
      </c>
      <c r="AF14" s="0" t="s">
        <v>5519</v>
      </c>
      <c r="AG14" s="0" t="s">
        <v>5520</v>
      </c>
      <c r="AH14" s="0" t="s">
        <v>5593</v>
      </c>
      <c r="AI14" s="0" t="s">
        <v>5533</v>
      </c>
      <c r="AJ14" s="0" t="s">
        <v>5603</v>
      </c>
      <c r="AK14" s="0" t="s">
        <v>5604</v>
      </c>
      <c r="AL14" s="0" t="s">
        <v>5605</v>
      </c>
      <c r="AM14" s="0" t="s">
        <v>5493</v>
      </c>
      <c r="AN14" s="0" t="s">
        <v>5578</v>
      </c>
      <c r="AO14" s="0" t="s">
        <v>5606</v>
      </c>
      <c r="AP14" s="0" t="s">
        <v>240</v>
      </c>
      <c r="AQ14" s="0" t="s">
        <v>240</v>
      </c>
      <c r="AR14" s="0" t="s">
        <v>240</v>
      </c>
      <c r="AS14" s="0" t="s">
        <v>240</v>
      </c>
      <c r="AT14" s="0" t="s">
        <v>240</v>
      </c>
      <c r="AU14" s="0" t="s">
        <v>240</v>
      </c>
      <c r="AV14" s="0" t="s">
        <v>240</v>
      </c>
      <c r="AW14" s="0" t="s">
        <v>240</v>
      </c>
      <c r="AX14" s="0" t="s">
        <v>240</v>
      </c>
      <c r="AY14" s="0" t="s">
        <v>240</v>
      </c>
      <c r="AZ14" s="0" t="s">
        <v>240</v>
      </c>
      <c r="BA14" s="0" t="s">
        <v>240</v>
      </c>
      <c r="BB14" s="0" t="s">
        <v>240</v>
      </c>
      <c r="BC14" s="0" t="s">
        <v>240</v>
      </c>
      <c r="BD14" s="0" t="s">
        <v>240</v>
      </c>
      <c r="BE14" s="0" t="s">
        <v>240</v>
      </c>
      <c r="BF14" s="0" t="s">
        <v>240</v>
      </c>
      <c r="BG14" s="0" t="s">
        <v>240</v>
      </c>
      <c r="BH14" s="0" t="s">
        <v>240</v>
      </c>
      <c r="BI14" s="0" t="s">
        <v>240</v>
      </c>
      <c r="BJ14" s="0" t="s">
        <v>240</v>
      </c>
      <c r="BK14" s="0" t="s">
        <v>240</v>
      </c>
      <c r="BL14" s="0" t="s">
        <v>240</v>
      </c>
      <c r="BM14" s="0" t="s">
        <v>240</v>
      </c>
      <c r="BN14" s="0" t="s">
        <v>240</v>
      </c>
      <c r="BO14" s="0" t="s">
        <v>240</v>
      </c>
      <c r="BP14" s="0" t="s">
        <v>240</v>
      </c>
      <c r="BQ14" s="0" t="s">
        <v>240</v>
      </c>
      <c r="BR14" s="0" t="s">
        <v>240</v>
      </c>
      <c r="BS14" s="0" t="s">
        <v>240</v>
      </c>
      <c r="BT14" s="0" t="s">
        <v>240</v>
      </c>
      <c r="BU14" s="0" t="s">
        <v>240</v>
      </c>
      <c r="BV14" s="0" t="s">
        <v>240</v>
      </c>
      <c r="BW14" s="0" t="s">
        <v>240</v>
      </c>
      <c r="BX14" s="0" t="s">
        <v>240</v>
      </c>
      <c r="BY14" s="0" t="s">
        <v>240</v>
      </c>
      <c r="BZ14" s="0" t="s">
        <v>240</v>
      </c>
      <c r="CA14" s="0" t="s">
        <v>240</v>
      </c>
      <c r="CB14" s="0" t="s">
        <v>240</v>
      </c>
      <c r="CC14" s="0" t="s">
        <v>240</v>
      </c>
      <c r="CD14" s="0" t="s">
        <v>240</v>
      </c>
      <c r="CE14" s="0" t="s">
        <v>240</v>
      </c>
      <c r="CF14" s="0" t="s">
        <v>240</v>
      </c>
      <c r="CG14" s="0" t="s">
        <v>240</v>
      </c>
      <c r="CH14" s="0" t="s">
        <v>240</v>
      </c>
      <c r="CI14" s="0" t="s">
        <v>240</v>
      </c>
      <c r="CJ14" s="0" t="s">
        <v>240</v>
      </c>
      <c r="CK14" s="0" t="s">
        <v>240</v>
      </c>
      <c r="CL14" s="0" t="s">
        <v>240</v>
      </c>
      <c r="CM14" s="0" t="s">
        <v>240</v>
      </c>
      <c r="CN14" s="0" t="s">
        <v>240</v>
      </c>
      <c r="CO14" s="0" t="s">
        <v>240</v>
      </c>
      <c r="CP14" s="0" t="s">
        <v>240</v>
      </c>
      <c r="CQ14" s="0" t="s">
        <v>240</v>
      </c>
      <c r="CR14" s="0" t="s">
        <v>240</v>
      </c>
      <c r="CS14" s="0" t="s">
        <v>240</v>
      </c>
      <c r="CT14" s="0" t="s">
        <v>5496</v>
      </c>
      <c r="CU14" s="0" t="s">
        <v>5497</v>
      </c>
      <c r="CV14" s="0" t="s">
        <v>443</v>
      </c>
      <c r="CW14" s="0" t="s">
        <v>5527</v>
      </c>
      <c r="CX14" s="0" t="s">
        <v>5528</v>
      </c>
      <c r="CY14" s="0" t="s">
        <v>443</v>
      </c>
      <c r="CZ14" s="0" t="s">
        <v>299</v>
      </c>
      <c r="DA14" s="0" t="s">
        <v>5529</v>
      </c>
      <c r="DB14" s="0" t="s">
        <v>5527</v>
      </c>
      <c r="DC14" s="0" t="s">
        <v>384</v>
      </c>
      <c r="DD14" s="0" t="s">
        <v>291</v>
      </c>
      <c r="DE14" s="0" t="s">
        <v>5607</v>
      </c>
    </row>
    <row customHeight="1" ht="11.25">
      <c r="A15" s="1441" t="s">
        <v>240</v>
      </c>
      <c r="B15" s="0" t="s">
        <v>240</v>
      </c>
      <c r="C15" s="0" t="s">
        <v>240</v>
      </c>
      <c r="D15" s="0" t="s">
        <v>240</v>
      </c>
      <c r="E15" s="0" t="s">
        <v>240</v>
      </c>
      <c r="F15" s="0" t="s">
        <v>240</v>
      </c>
      <c r="G15" s="0" t="s">
        <v>240</v>
      </c>
      <c r="H15" s="0" t="s">
        <v>240</v>
      </c>
      <c r="I15" s="0" t="s">
        <v>5484</v>
      </c>
      <c r="J15" s="0" t="s">
        <v>240</v>
      </c>
      <c r="K15" s="0" t="s">
        <v>240</v>
      </c>
      <c r="L15" s="0" t="s">
        <v>240</v>
      </c>
      <c r="M15" s="0" t="s">
        <v>240</v>
      </c>
      <c r="N15" s="0" t="s">
        <v>240</v>
      </c>
      <c r="O15" s="0" t="s">
        <v>240</v>
      </c>
      <c r="P15" s="0" t="s">
        <v>240</v>
      </c>
      <c r="Q15" s="0" t="s">
        <v>240</v>
      </c>
      <c r="R15" s="0" t="s">
        <v>5608</v>
      </c>
      <c r="S15" s="0" t="s">
        <v>240</v>
      </c>
      <c r="T15" s="0" t="s">
        <v>240</v>
      </c>
      <c r="U15" s="0" t="s">
        <v>102</v>
      </c>
      <c r="V15" s="0" t="s">
        <v>240</v>
      </c>
      <c r="W15" s="0" t="s">
        <v>240</v>
      </c>
      <c r="X15" s="0" t="s">
        <v>5485</v>
      </c>
      <c r="Y15" s="0" t="s">
        <v>240</v>
      </c>
      <c r="Z15" s="0" t="s">
        <v>161</v>
      </c>
      <c r="AA15" s="0" t="s">
        <v>152</v>
      </c>
      <c r="AB15" s="0" t="s">
        <v>152</v>
      </c>
      <c r="AC15" s="0" t="s">
        <v>2985</v>
      </c>
      <c r="AD15" s="0" t="s">
        <v>2985</v>
      </c>
      <c r="AE15" s="0" t="s">
        <v>2986</v>
      </c>
      <c r="AF15" s="0" t="s">
        <v>5609</v>
      </c>
      <c r="AG15" s="0" t="s">
        <v>5610</v>
      </c>
      <c r="AH15" s="0" t="s">
        <v>5611</v>
      </c>
      <c r="AI15" s="0" t="s">
        <v>5612</v>
      </c>
      <c r="AJ15" s="0" t="s">
        <v>5504</v>
      </c>
      <c r="AK15" s="0" t="s">
        <v>5505</v>
      </c>
      <c r="AL15" s="0" t="s">
        <v>5605</v>
      </c>
      <c r="AM15" s="0" t="s">
        <v>5493</v>
      </c>
      <c r="AN15" s="0" t="s">
        <v>5507</v>
      </c>
      <c r="AO15" s="0" t="s">
        <v>5613</v>
      </c>
      <c r="AP15" s="0" t="s">
        <v>240</v>
      </c>
      <c r="AQ15" s="0" t="s">
        <v>240</v>
      </c>
      <c r="AR15" s="0" t="s">
        <v>240</v>
      </c>
      <c r="AS15" s="0" t="s">
        <v>240</v>
      </c>
      <c r="AT15" s="0" t="s">
        <v>240</v>
      </c>
      <c r="AU15" s="0" t="s">
        <v>240</v>
      </c>
      <c r="AV15" s="0" t="s">
        <v>240</v>
      </c>
      <c r="AW15" s="0" t="s">
        <v>240</v>
      </c>
      <c r="AX15" s="0" t="s">
        <v>240</v>
      </c>
      <c r="AY15" s="0" t="s">
        <v>240</v>
      </c>
      <c r="AZ15" s="0" t="s">
        <v>240</v>
      </c>
      <c r="BA15" s="0" t="s">
        <v>240</v>
      </c>
      <c r="BB15" s="0" t="s">
        <v>240</v>
      </c>
      <c r="BC15" s="0" t="s">
        <v>240</v>
      </c>
      <c r="BD15" s="0" t="s">
        <v>240</v>
      </c>
      <c r="BE15" s="0" t="s">
        <v>240</v>
      </c>
      <c r="BF15" s="0" t="s">
        <v>240</v>
      </c>
      <c r="BG15" s="0" t="s">
        <v>240</v>
      </c>
      <c r="BH15" s="0" t="s">
        <v>240</v>
      </c>
      <c r="BI15" s="0" t="s">
        <v>240</v>
      </c>
      <c r="BJ15" s="0" t="s">
        <v>240</v>
      </c>
      <c r="BK15" s="0" t="s">
        <v>240</v>
      </c>
      <c r="BL15" s="0" t="s">
        <v>240</v>
      </c>
      <c r="BM15" s="0" t="s">
        <v>240</v>
      </c>
      <c r="BN15" s="0" t="s">
        <v>240</v>
      </c>
      <c r="BO15" s="0" t="s">
        <v>240</v>
      </c>
      <c r="BP15" s="0" t="s">
        <v>240</v>
      </c>
      <c r="BQ15" s="0" t="s">
        <v>240</v>
      </c>
      <c r="BR15" s="0" t="s">
        <v>240</v>
      </c>
      <c r="BS15" s="0" t="s">
        <v>240</v>
      </c>
      <c r="BT15" s="0" t="s">
        <v>240</v>
      </c>
      <c r="BU15" s="0" t="s">
        <v>240</v>
      </c>
      <c r="BV15" s="0" t="s">
        <v>240</v>
      </c>
      <c r="BW15" s="0" t="s">
        <v>240</v>
      </c>
      <c r="BX15" s="0" t="s">
        <v>240</v>
      </c>
      <c r="BY15" s="0" t="s">
        <v>240</v>
      </c>
      <c r="BZ15" s="0" t="s">
        <v>240</v>
      </c>
      <c r="CA15" s="0" t="s">
        <v>240</v>
      </c>
      <c r="CB15" s="0" t="s">
        <v>240</v>
      </c>
      <c r="CC15" s="0" t="s">
        <v>240</v>
      </c>
      <c r="CD15" s="0" t="s">
        <v>240</v>
      </c>
      <c r="CE15" s="0" t="s">
        <v>240</v>
      </c>
      <c r="CF15" s="0" t="s">
        <v>240</v>
      </c>
      <c r="CG15" s="0" t="s">
        <v>240</v>
      </c>
      <c r="CH15" s="0" t="s">
        <v>240</v>
      </c>
      <c r="CI15" s="0" t="s">
        <v>240</v>
      </c>
      <c r="CJ15" s="0" t="s">
        <v>240</v>
      </c>
      <c r="CK15" s="0" t="s">
        <v>240</v>
      </c>
      <c r="CL15" s="0" t="s">
        <v>240</v>
      </c>
      <c r="CM15" s="0" t="s">
        <v>240</v>
      </c>
      <c r="CN15" s="0" t="s">
        <v>240</v>
      </c>
      <c r="CO15" s="0" t="s">
        <v>240</v>
      </c>
      <c r="CP15" s="0" t="s">
        <v>240</v>
      </c>
      <c r="CQ15" s="0" t="s">
        <v>240</v>
      </c>
      <c r="CR15" s="0" t="s">
        <v>240</v>
      </c>
      <c r="CS15" s="0" t="s">
        <v>240</v>
      </c>
      <c r="CT15" s="0" t="s">
        <v>5496</v>
      </c>
      <c r="CU15" s="0" t="s">
        <v>5497</v>
      </c>
      <c r="CV15" s="0" t="s">
        <v>443</v>
      </c>
      <c r="CW15" s="0" t="s">
        <v>5509</v>
      </c>
      <c r="CX15" s="0" t="s">
        <v>229</v>
      </c>
      <c r="CY15" s="0" t="s">
        <v>443</v>
      </c>
      <c r="CZ15" s="0" t="s">
        <v>5510</v>
      </c>
      <c r="DA15" s="0" t="s">
        <v>5511</v>
      </c>
      <c r="DB15" s="0" t="s">
        <v>5509</v>
      </c>
      <c r="DC15" s="0" t="s">
        <v>384</v>
      </c>
      <c r="DD15" s="0" t="s">
        <v>291</v>
      </c>
      <c r="DE15" s="0" t="s">
        <v>5614</v>
      </c>
    </row>
    <row customHeight="1" ht="11.25">
      <c r="A16" s="1441" t="s">
        <v>240</v>
      </c>
      <c r="B16" s="0" t="s">
        <v>240</v>
      </c>
      <c r="C16" s="0" t="s">
        <v>240</v>
      </c>
      <c r="D16" s="0" t="s">
        <v>240</v>
      </c>
      <c r="E16" s="0" t="s">
        <v>240</v>
      </c>
      <c r="F16" s="0" t="s">
        <v>240</v>
      </c>
      <c r="G16" s="0" t="s">
        <v>240</v>
      </c>
      <c r="H16" s="0" t="s">
        <v>240</v>
      </c>
      <c r="I16" s="0" t="s">
        <v>5484</v>
      </c>
      <c r="J16" s="0" t="s">
        <v>240</v>
      </c>
      <c r="K16" s="0" t="s">
        <v>240</v>
      </c>
      <c r="L16" s="0" t="s">
        <v>240</v>
      </c>
      <c r="M16" s="0" t="s">
        <v>240</v>
      </c>
      <c r="N16" s="0" t="s">
        <v>240</v>
      </c>
      <c r="O16" s="0" t="s">
        <v>240</v>
      </c>
      <c r="P16" s="0" t="s">
        <v>240</v>
      </c>
      <c r="Q16" s="0" t="s">
        <v>240</v>
      </c>
      <c r="R16" s="0" t="s">
        <v>5608</v>
      </c>
      <c r="S16" s="0" t="s">
        <v>240</v>
      </c>
      <c r="T16" s="0" t="s">
        <v>240</v>
      </c>
      <c r="U16" s="0" t="s">
        <v>102</v>
      </c>
      <c r="V16" s="0" t="s">
        <v>240</v>
      </c>
      <c r="W16" s="0" t="s">
        <v>240</v>
      </c>
      <c r="X16" s="0" t="s">
        <v>5485</v>
      </c>
      <c r="Y16" s="0" t="s">
        <v>240</v>
      </c>
      <c r="Z16" s="0" t="s">
        <v>161</v>
      </c>
      <c r="AA16" s="0" t="s">
        <v>152</v>
      </c>
      <c r="AB16" s="0" t="s">
        <v>152</v>
      </c>
      <c r="AC16" s="0" t="s">
        <v>2985</v>
      </c>
      <c r="AD16" s="0" t="s">
        <v>2985</v>
      </c>
      <c r="AE16" s="0" t="s">
        <v>2986</v>
      </c>
      <c r="AF16" s="0" t="s">
        <v>5615</v>
      </c>
      <c r="AG16" s="0" t="s">
        <v>5616</v>
      </c>
      <c r="AH16" s="0" t="s">
        <v>5617</v>
      </c>
      <c r="AI16" s="0" t="s">
        <v>5618</v>
      </c>
      <c r="AJ16" s="0" t="s">
        <v>5504</v>
      </c>
      <c r="AK16" s="0" t="s">
        <v>5552</v>
      </c>
      <c r="AL16" s="0" t="s">
        <v>5605</v>
      </c>
      <c r="AM16" s="0" t="s">
        <v>5493</v>
      </c>
      <c r="AN16" s="0" t="s">
        <v>5507</v>
      </c>
      <c r="AO16" s="0" t="s">
        <v>5619</v>
      </c>
      <c r="AP16" s="0" t="s">
        <v>240</v>
      </c>
      <c r="AQ16" s="0" t="s">
        <v>240</v>
      </c>
      <c r="AR16" s="0" t="s">
        <v>240</v>
      </c>
      <c r="AS16" s="0" t="s">
        <v>240</v>
      </c>
      <c r="AT16" s="0" t="s">
        <v>240</v>
      </c>
      <c r="AU16" s="0" t="s">
        <v>240</v>
      </c>
      <c r="AV16" s="0" t="s">
        <v>240</v>
      </c>
      <c r="AW16" s="0" t="s">
        <v>240</v>
      </c>
      <c r="AX16" s="0" t="s">
        <v>240</v>
      </c>
      <c r="AY16" s="0" t="s">
        <v>240</v>
      </c>
      <c r="AZ16" s="0" t="s">
        <v>240</v>
      </c>
      <c r="BA16" s="0" t="s">
        <v>240</v>
      </c>
      <c r="BB16" s="0" t="s">
        <v>240</v>
      </c>
      <c r="BC16" s="0" t="s">
        <v>240</v>
      </c>
      <c r="BD16" s="0" t="s">
        <v>240</v>
      </c>
      <c r="BE16" s="0" t="s">
        <v>240</v>
      </c>
      <c r="BF16" s="0" t="s">
        <v>240</v>
      </c>
      <c r="BG16" s="0" t="s">
        <v>240</v>
      </c>
      <c r="BH16" s="0" t="s">
        <v>240</v>
      </c>
      <c r="BI16" s="0" t="s">
        <v>240</v>
      </c>
      <c r="BJ16" s="0" t="s">
        <v>240</v>
      </c>
      <c r="BK16" s="0" t="s">
        <v>240</v>
      </c>
      <c r="BL16" s="0" t="s">
        <v>240</v>
      </c>
      <c r="BM16" s="0" t="s">
        <v>240</v>
      </c>
      <c r="BN16" s="0" t="s">
        <v>240</v>
      </c>
      <c r="BO16" s="0" t="s">
        <v>240</v>
      </c>
      <c r="BP16" s="0" t="s">
        <v>240</v>
      </c>
      <c r="BQ16" s="0" t="s">
        <v>240</v>
      </c>
      <c r="BR16" s="0" t="s">
        <v>240</v>
      </c>
      <c r="BS16" s="0" t="s">
        <v>240</v>
      </c>
      <c r="BT16" s="0" t="s">
        <v>240</v>
      </c>
      <c r="BU16" s="0" t="s">
        <v>240</v>
      </c>
      <c r="BV16" s="0" t="s">
        <v>240</v>
      </c>
      <c r="BW16" s="0" t="s">
        <v>240</v>
      </c>
      <c r="BX16" s="0" t="s">
        <v>240</v>
      </c>
      <c r="BY16" s="0" t="s">
        <v>240</v>
      </c>
      <c r="BZ16" s="0" t="s">
        <v>240</v>
      </c>
      <c r="CA16" s="0" t="s">
        <v>240</v>
      </c>
      <c r="CB16" s="0" t="s">
        <v>240</v>
      </c>
      <c r="CC16" s="0" t="s">
        <v>240</v>
      </c>
      <c r="CD16" s="0" t="s">
        <v>240</v>
      </c>
      <c r="CE16" s="0" t="s">
        <v>240</v>
      </c>
      <c r="CF16" s="0" t="s">
        <v>240</v>
      </c>
      <c r="CG16" s="0" t="s">
        <v>240</v>
      </c>
      <c r="CH16" s="0" t="s">
        <v>240</v>
      </c>
      <c r="CI16" s="0" t="s">
        <v>240</v>
      </c>
      <c r="CJ16" s="0" t="s">
        <v>240</v>
      </c>
      <c r="CK16" s="0" t="s">
        <v>240</v>
      </c>
      <c r="CL16" s="0" t="s">
        <v>240</v>
      </c>
      <c r="CM16" s="0" t="s">
        <v>240</v>
      </c>
      <c r="CN16" s="0" t="s">
        <v>240</v>
      </c>
      <c r="CO16" s="0" t="s">
        <v>240</v>
      </c>
      <c r="CP16" s="0" t="s">
        <v>240</v>
      </c>
      <c r="CQ16" s="0" t="s">
        <v>240</v>
      </c>
      <c r="CR16" s="0" t="s">
        <v>240</v>
      </c>
      <c r="CS16" s="0" t="s">
        <v>240</v>
      </c>
      <c r="CT16" s="0" t="s">
        <v>5496</v>
      </c>
      <c r="CU16" s="0" t="s">
        <v>5497</v>
      </c>
      <c r="CV16" s="0" t="s">
        <v>443</v>
      </c>
      <c r="CW16" s="0" t="s">
        <v>5509</v>
      </c>
      <c r="CX16" s="0" t="s">
        <v>229</v>
      </c>
      <c r="CY16" s="0" t="s">
        <v>443</v>
      </c>
      <c r="CZ16" s="0" t="s">
        <v>5510</v>
      </c>
      <c r="DA16" s="0" t="s">
        <v>5511</v>
      </c>
      <c r="DB16" s="0" t="s">
        <v>5509</v>
      </c>
      <c r="DC16" s="0" t="s">
        <v>384</v>
      </c>
      <c r="DD16" s="0" t="s">
        <v>291</v>
      </c>
      <c r="DE16" s="0" t="s">
        <v>5620</v>
      </c>
    </row>
    <row customHeight="1" ht="11.25">
      <c r="A17" s="1441" t="s">
        <v>240</v>
      </c>
      <c r="B17" s="0" t="s">
        <v>240</v>
      </c>
      <c r="C17" s="0" t="s">
        <v>240</v>
      </c>
      <c r="D17" s="0" t="s">
        <v>240</v>
      </c>
      <c r="E17" s="0" t="s">
        <v>240</v>
      </c>
      <c r="F17" s="0" t="s">
        <v>240</v>
      </c>
      <c r="G17" s="0" t="s">
        <v>240</v>
      </c>
      <c r="H17" s="0" t="s">
        <v>240</v>
      </c>
      <c r="I17" s="0" t="s">
        <v>5484</v>
      </c>
      <c r="J17" s="0" t="s">
        <v>240</v>
      </c>
      <c r="K17" s="0" t="s">
        <v>240</v>
      </c>
      <c r="L17" s="0" t="s">
        <v>240</v>
      </c>
      <c r="M17" s="0" t="s">
        <v>240</v>
      </c>
      <c r="N17" s="0" t="s">
        <v>240</v>
      </c>
      <c r="O17" s="0" t="s">
        <v>240</v>
      </c>
      <c r="P17" s="0" t="s">
        <v>240</v>
      </c>
      <c r="Q17" s="0" t="s">
        <v>240</v>
      </c>
      <c r="R17" s="0" t="s">
        <v>5608</v>
      </c>
      <c r="S17" s="0" t="s">
        <v>240</v>
      </c>
      <c r="T17" s="0" t="s">
        <v>240</v>
      </c>
      <c r="U17" s="0" t="s">
        <v>102</v>
      </c>
      <c r="V17" s="0" t="s">
        <v>240</v>
      </c>
      <c r="W17" s="0" t="s">
        <v>240</v>
      </c>
      <c r="X17" s="0" t="s">
        <v>5485</v>
      </c>
      <c r="Y17" s="0" t="s">
        <v>240</v>
      </c>
      <c r="Z17" s="0" t="s">
        <v>161</v>
      </c>
      <c r="AA17" s="0" t="s">
        <v>152</v>
      </c>
      <c r="AB17" s="0" t="s">
        <v>152</v>
      </c>
      <c r="AC17" s="0" t="s">
        <v>2985</v>
      </c>
      <c r="AD17" s="0" t="s">
        <v>2985</v>
      </c>
      <c r="AE17" s="0" t="s">
        <v>2986</v>
      </c>
      <c r="AF17" s="0" t="s">
        <v>5621</v>
      </c>
      <c r="AG17" s="0" t="s">
        <v>5622</v>
      </c>
      <c r="AH17" s="0" t="s">
        <v>5623</v>
      </c>
      <c r="AI17" s="0" t="s">
        <v>5624</v>
      </c>
      <c r="AJ17" s="0" t="s">
        <v>5504</v>
      </c>
      <c r="AK17" s="0" t="s">
        <v>5505</v>
      </c>
      <c r="AL17" s="0" t="s">
        <v>5506</v>
      </c>
      <c r="AM17" s="0" t="s">
        <v>5493</v>
      </c>
      <c r="AN17" s="0" t="s">
        <v>5507</v>
      </c>
      <c r="AO17" s="0" t="s">
        <v>5625</v>
      </c>
      <c r="AP17" s="0" t="s">
        <v>240</v>
      </c>
      <c r="AQ17" s="0" t="s">
        <v>240</v>
      </c>
      <c r="AR17" s="0" t="s">
        <v>240</v>
      </c>
      <c r="AS17" s="0" t="s">
        <v>240</v>
      </c>
      <c r="AT17" s="0" t="s">
        <v>240</v>
      </c>
      <c r="AU17" s="0" t="s">
        <v>240</v>
      </c>
      <c r="AV17" s="0" t="s">
        <v>240</v>
      </c>
      <c r="AW17" s="0" t="s">
        <v>240</v>
      </c>
      <c r="AX17" s="0" t="s">
        <v>240</v>
      </c>
      <c r="AY17" s="0" t="s">
        <v>240</v>
      </c>
      <c r="AZ17" s="0" t="s">
        <v>240</v>
      </c>
      <c r="BA17" s="0" t="s">
        <v>240</v>
      </c>
      <c r="BB17" s="0" t="s">
        <v>240</v>
      </c>
      <c r="BC17" s="0" t="s">
        <v>240</v>
      </c>
      <c r="BD17" s="0" t="s">
        <v>240</v>
      </c>
      <c r="BE17" s="0" t="s">
        <v>240</v>
      </c>
      <c r="BF17" s="0" t="s">
        <v>240</v>
      </c>
      <c r="BG17" s="0" t="s">
        <v>240</v>
      </c>
      <c r="BH17" s="0" t="s">
        <v>240</v>
      </c>
      <c r="BI17" s="0" t="s">
        <v>240</v>
      </c>
      <c r="BJ17" s="0" t="s">
        <v>240</v>
      </c>
      <c r="BK17" s="0" t="s">
        <v>240</v>
      </c>
      <c r="BL17" s="0" t="s">
        <v>240</v>
      </c>
      <c r="BM17" s="0" t="s">
        <v>240</v>
      </c>
      <c r="BN17" s="0" t="s">
        <v>240</v>
      </c>
      <c r="BO17" s="0" t="s">
        <v>240</v>
      </c>
      <c r="BP17" s="0" t="s">
        <v>240</v>
      </c>
      <c r="BQ17" s="0" t="s">
        <v>240</v>
      </c>
      <c r="BR17" s="0" t="s">
        <v>240</v>
      </c>
      <c r="BS17" s="0" t="s">
        <v>240</v>
      </c>
      <c r="BT17" s="0" t="s">
        <v>240</v>
      </c>
      <c r="BU17" s="0" t="s">
        <v>240</v>
      </c>
      <c r="BV17" s="0" t="s">
        <v>240</v>
      </c>
      <c r="BW17" s="0" t="s">
        <v>240</v>
      </c>
      <c r="BX17" s="0" t="s">
        <v>240</v>
      </c>
      <c r="BY17" s="0" t="s">
        <v>240</v>
      </c>
      <c r="BZ17" s="0" t="s">
        <v>240</v>
      </c>
      <c r="CA17" s="0" t="s">
        <v>240</v>
      </c>
      <c r="CB17" s="0" t="s">
        <v>240</v>
      </c>
      <c r="CC17" s="0" t="s">
        <v>240</v>
      </c>
      <c r="CD17" s="0" t="s">
        <v>240</v>
      </c>
      <c r="CE17" s="0" t="s">
        <v>240</v>
      </c>
      <c r="CF17" s="0" t="s">
        <v>240</v>
      </c>
      <c r="CG17" s="0" t="s">
        <v>240</v>
      </c>
      <c r="CH17" s="0" t="s">
        <v>240</v>
      </c>
      <c r="CI17" s="0" t="s">
        <v>240</v>
      </c>
      <c r="CJ17" s="0" t="s">
        <v>240</v>
      </c>
      <c r="CK17" s="0" t="s">
        <v>240</v>
      </c>
      <c r="CL17" s="0" t="s">
        <v>240</v>
      </c>
      <c r="CM17" s="0" t="s">
        <v>240</v>
      </c>
      <c r="CN17" s="0" t="s">
        <v>240</v>
      </c>
      <c r="CO17" s="0" t="s">
        <v>240</v>
      </c>
      <c r="CP17" s="0" t="s">
        <v>240</v>
      </c>
      <c r="CQ17" s="0" t="s">
        <v>240</v>
      </c>
      <c r="CR17" s="0" t="s">
        <v>240</v>
      </c>
      <c r="CS17" s="0" t="s">
        <v>240</v>
      </c>
      <c r="CT17" s="0" t="s">
        <v>5496</v>
      </c>
      <c r="CU17" s="0" t="s">
        <v>5497</v>
      </c>
      <c r="CV17" s="0" t="s">
        <v>443</v>
      </c>
      <c r="CW17" s="0" t="s">
        <v>5509</v>
      </c>
      <c r="CX17" s="0" t="s">
        <v>229</v>
      </c>
      <c r="CY17" s="0" t="s">
        <v>443</v>
      </c>
      <c r="CZ17" s="0" t="s">
        <v>5510</v>
      </c>
      <c r="DA17" s="0" t="s">
        <v>5511</v>
      </c>
      <c r="DB17" s="0" t="s">
        <v>5509</v>
      </c>
      <c r="DC17" s="0" t="s">
        <v>384</v>
      </c>
      <c r="DD17" s="0" t="s">
        <v>291</v>
      </c>
      <c r="DE17" s="0" t="s">
        <v>5626</v>
      </c>
    </row>
    <row customHeight="1" ht="11.25">
      <c r="A18" s="1441" t="s">
        <v>240</v>
      </c>
      <c r="B18" s="0" t="s">
        <v>240</v>
      </c>
      <c r="C18" s="0" t="s">
        <v>240</v>
      </c>
      <c r="D18" s="0" t="s">
        <v>240</v>
      </c>
      <c r="E18" s="0" t="s">
        <v>240</v>
      </c>
      <c r="F18" s="0" t="s">
        <v>240</v>
      </c>
      <c r="G18" s="0" t="s">
        <v>240</v>
      </c>
      <c r="H18" s="0" t="s">
        <v>240</v>
      </c>
      <c r="I18" s="0" t="s">
        <v>5484</v>
      </c>
      <c r="J18" s="0" t="s">
        <v>240</v>
      </c>
      <c r="K18" s="0" t="s">
        <v>240</v>
      </c>
      <c r="L18" s="0" t="s">
        <v>240</v>
      </c>
      <c r="M18" s="0" t="s">
        <v>240</v>
      </c>
      <c r="N18" s="0" t="s">
        <v>240</v>
      </c>
      <c r="O18" s="0" t="s">
        <v>240</v>
      </c>
      <c r="P18" s="0" t="s">
        <v>240</v>
      </c>
      <c r="Q18" s="0" t="s">
        <v>240</v>
      </c>
      <c r="R18" s="0" t="s">
        <v>5627</v>
      </c>
      <c r="S18" s="0" t="s">
        <v>240</v>
      </c>
      <c r="T18" s="0" t="s">
        <v>240</v>
      </c>
      <c r="U18" s="0" t="s">
        <v>102</v>
      </c>
      <c r="V18" s="0" t="s">
        <v>240</v>
      </c>
      <c r="W18" s="0" t="s">
        <v>240</v>
      </c>
      <c r="X18" s="0" t="s">
        <v>5485</v>
      </c>
      <c r="Y18" s="0" t="s">
        <v>240</v>
      </c>
      <c r="Z18" s="0" t="s">
        <v>161</v>
      </c>
      <c r="AA18" s="0" t="s">
        <v>152</v>
      </c>
      <c r="AB18" s="0" t="s">
        <v>152</v>
      </c>
      <c r="AC18" s="0" t="s">
        <v>3389</v>
      </c>
      <c r="AD18" s="0" t="s">
        <v>3389</v>
      </c>
      <c r="AE18" s="0" t="s">
        <v>3390</v>
      </c>
      <c r="AF18" s="0" t="s">
        <v>5519</v>
      </c>
      <c r="AG18" s="0" t="s">
        <v>5520</v>
      </c>
      <c r="AH18" s="0" t="s">
        <v>5628</v>
      </c>
      <c r="AI18" s="0" t="s">
        <v>5533</v>
      </c>
      <c r="AJ18" s="0" t="s">
        <v>5603</v>
      </c>
      <c r="AK18" s="0" t="s">
        <v>5629</v>
      </c>
      <c r="AL18" s="0" t="s">
        <v>5524</v>
      </c>
      <c r="AM18" s="0" t="s">
        <v>5493</v>
      </c>
      <c r="AN18" s="0" t="s">
        <v>5630</v>
      </c>
      <c r="AO18" s="0" t="s">
        <v>5606</v>
      </c>
      <c r="AP18" s="0" t="s">
        <v>240</v>
      </c>
      <c r="AQ18" s="0" t="s">
        <v>240</v>
      </c>
      <c r="AR18" s="0" t="s">
        <v>240</v>
      </c>
      <c r="AS18" s="0" t="s">
        <v>240</v>
      </c>
      <c r="AT18" s="0" t="s">
        <v>240</v>
      </c>
      <c r="AU18" s="0" t="s">
        <v>240</v>
      </c>
      <c r="AV18" s="0" t="s">
        <v>240</v>
      </c>
      <c r="AW18" s="0" t="s">
        <v>240</v>
      </c>
      <c r="AX18" s="0" t="s">
        <v>240</v>
      </c>
      <c r="AY18" s="0" t="s">
        <v>240</v>
      </c>
      <c r="AZ18" s="0" t="s">
        <v>240</v>
      </c>
      <c r="BA18" s="0" t="s">
        <v>240</v>
      </c>
      <c r="BB18" s="0" t="s">
        <v>240</v>
      </c>
      <c r="BC18" s="0" t="s">
        <v>240</v>
      </c>
      <c r="BD18" s="0" t="s">
        <v>240</v>
      </c>
      <c r="BE18" s="0" t="s">
        <v>240</v>
      </c>
      <c r="BF18" s="0" t="s">
        <v>240</v>
      </c>
      <c r="BG18" s="0" t="s">
        <v>240</v>
      </c>
      <c r="BH18" s="0" t="s">
        <v>240</v>
      </c>
      <c r="BI18" s="0" t="s">
        <v>240</v>
      </c>
      <c r="BJ18" s="0" t="s">
        <v>240</v>
      </c>
      <c r="BK18" s="0" t="s">
        <v>240</v>
      </c>
      <c r="BL18" s="0" t="s">
        <v>240</v>
      </c>
      <c r="BM18" s="0" t="s">
        <v>240</v>
      </c>
      <c r="BN18" s="0" t="s">
        <v>240</v>
      </c>
      <c r="BO18" s="0" t="s">
        <v>240</v>
      </c>
      <c r="BP18" s="0" t="s">
        <v>240</v>
      </c>
      <c r="BQ18" s="0" t="s">
        <v>240</v>
      </c>
      <c r="BR18" s="0" t="s">
        <v>240</v>
      </c>
      <c r="BS18" s="0" t="s">
        <v>240</v>
      </c>
      <c r="BT18" s="0" t="s">
        <v>240</v>
      </c>
      <c r="BU18" s="0" t="s">
        <v>240</v>
      </c>
      <c r="BV18" s="0" t="s">
        <v>240</v>
      </c>
      <c r="BW18" s="0" t="s">
        <v>240</v>
      </c>
      <c r="BX18" s="0" t="s">
        <v>240</v>
      </c>
      <c r="BY18" s="0" t="s">
        <v>240</v>
      </c>
      <c r="BZ18" s="0" t="s">
        <v>240</v>
      </c>
      <c r="CA18" s="0" t="s">
        <v>240</v>
      </c>
      <c r="CB18" s="0" t="s">
        <v>240</v>
      </c>
      <c r="CC18" s="0" t="s">
        <v>240</v>
      </c>
      <c r="CD18" s="0" t="s">
        <v>240</v>
      </c>
      <c r="CE18" s="0" t="s">
        <v>240</v>
      </c>
      <c r="CF18" s="0" t="s">
        <v>240</v>
      </c>
      <c r="CG18" s="0" t="s">
        <v>240</v>
      </c>
      <c r="CH18" s="0" t="s">
        <v>240</v>
      </c>
      <c r="CI18" s="0" t="s">
        <v>240</v>
      </c>
      <c r="CJ18" s="0" t="s">
        <v>240</v>
      </c>
      <c r="CK18" s="0" t="s">
        <v>240</v>
      </c>
      <c r="CL18" s="0" t="s">
        <v>240</v>
      </c>
      <c r="CM18" s="0" t="s">
        <v>240</v>
      </c>
      <c r="CN18" s="0" t="s">
        <v>240</v>
      </c>
      <c r="CO18" s="0" t="s">
        <v>240</v>
      </c>
      <c r="CP18" s="0" t="s">
        <v>240</v>
      </c>
      <c r="CQ18" s="0" t="s">
        <v>240</v>
      </c>
      <c r="CR18" s="0" t="s">
        <v>240</v>
      </c>
      <c r="CS18" s="0" t="s">
        <v>240</v>
      </c>
      <c r="CT18" s="0" t="s">
        <v>5496</v>
      </c>
      <c r="CU18" s="0" t="s">
        <v>5497</v>
      </c>
      <c r="CV18" s="0" t="s">
        <v>443</v>
      </c>
      <c r="CW18" s="0" t="s">
        <v>5527</v>
      </c>
      <c r="CX18" s="0" t="s">
        <v>5528</v>
      </c>
      <c r="CY18" s="0" t="s">
        <v>443</v>
      </c>
      <c r="CZ18" s="0" t="s">
        <v>299</v>
      </c>
      <c r="DA18" s="0" t="s">
        <v>5529</v>
      </c>
      <c r="DB18" s="0" t="s">
        <v>5527</v>
      </c>
      <c r="DC18" s="0" t="s">
        <v>384</v>
      </c>
      <c r="DD18" s="0" t="s">
        <v>291</v>
      </c>
      <c r="DE18" s="0" t="s">
        <v>5631</v>
      </c>
    </row>
    <row customHeight="1" ht="11.25">
      <c r="A19" s="1441" t="s">
        <v>240</v>
      </c>
      <c r="B19" s="0" t="s">
        <v>240</v>
      </c>
      <c r="C19" s="0" t="s">
        <v>240</v>
      </c>
      <c r="D19" s="0" t="s">
        <v>240</v>
      </c>
      <c r="E19" s="0" t="s">
        <v>240</v>
      </c>
      <c r="F19" s="0" t="s">
        <v>240</v>
      </c>
      <c r="G19" s="0" t="s">
        <v>240</v>
      </c>
      <c r="H19" s="0" t="s">
        <v>240</v>
      </c>
      <c r="I19" s="0" t="s">
        <v>5484</v>
      </c>
      <c r="J19" s="0" t="s">
        <v>240</v>
      </c>
      <c r="K19" s="0" t="s">
        <v>240</v>
      </c>
      <c r="L19" s="0" t="s">
        <v>240</v>
      </c>
      <c r="M19" s="0" t="s">
        <v>240</v>
      </c>
      <c r="N19" s="0" t="s">
        <v>240</v>
      </c>
      <c r="O19" s="0" t="s">
        <v>240</v>
      </c>
      <c r="P19" s="0" t="s">
        <v>240</v>
      </c>
      <c r="Q19" s="0" t="s">
        <v>240</v>
      </c>
      <c r="R19" s="0" t="s">
        <v>5608</v>
      </c>
      <c r="S19" s="0" t="s">
        <v>240</v>
      </c>
      <c r="T19" s="0" t="s">
        <v>240</v>
      </c>
      <c r="U19" s="0" t="s">
        <v>102</v>
      </c>
      <c r="V19" s="0" t="s">
        <v>240</v>
      </c>
      <c r="W19" s="0" t="s">
        <v>240</v>
      </c>
      <c r="X19" s="0" t="s">
        <v>5485</v>
      </c>
      <c r="Y19" s="0" t="s">
        <v>240</v>
      </c>
      <c r="Z19" s="0" t="s">
        <v>161</v>
      </c>
      <c r="AA19" s="0" t="s">
        <v>152</v>
      </c>
      <c r="AB19" s="0" t="s">
        <v>152</v>
      </c>
      <c r="AC19" s="0" t="s">
        <v>2985</v>
      </c>
      <c r="AD19" s="0" t="s">
        <v>2985</v>
      </c>
      <c r="AE19" s="0" t="s">
        <v>2986</v>
      </c>
      <c r="AF19" s="0" t="s">
        <v>5632</v>
      </c>
      <c r="AG19" s="0" t="s">
        <v>5633</v>
      </c>
      <c r="AH19" s="0" t="s">
        <v>5634</v>
      </c>
      <c r="AI19" s="0" t="s">
        <v>5635</v>
      </c>
      <c r="AJ19" s="0" t="s">
        <v>5504</v>
      </c>
      <c r="AK19" s="0" t="s">
        <v>5505</v>
      </c>
      <c r="AL19" s="0" t="s">
        <v>5605</v>
      </c>
      <c r="AM19" s="0" t="s">
        <v>5493</v>
      </c>
      <c r="AN19" s="0" t="s">
        <v>5507</v>
      </c>
      <c r="AO19" s="0" t="s">
        <v>5636</v>
      </c>
      <c r="AP19" s="0" t="s">
        <v>240</v>
      </c>
      <c r="AQ19" s="0" t="s">
        <v>240</v>
      </c>
      <c r="AR19" s="0" t="s">
        <v>240</v>
      </c>
      <c r="AS19" s="0" t="s">
        <v>240</v>
      </c>
      <c r="AT19" s="0" t="s">
        <v>240</v>
      </c>
      <c r="AU19" s="0" t="s">
        <v>240</v>
      </c>
      <c r="AV19" s="0" t="s">
        <v>240</v>
      </c>
      <c r="AW19" s="0" t="s">
        <v>240</v>
      </c>
      <c r="AX19" s="0" t="s">
        <v>240</v>
      </c>
      <c r="AY19" s="0" t="s">
        <v>240</v>
      </c>
      <c r="AZ19" s="0" t="s">
        <v>240</v>
      </c>
      <c r="BA19" s="0" t="s">
        <v>240</v>
      </c>
      <c r="BB19" s="0" t="s">
        <v>240</v>
      </c>
      <c r="BC19" s="0" t="s">
        <v>240</v>
      </c>
      <c r="BD19" s="0" t="s">
        <v>240</v>
      </c>
      <c r="BE19" s="0" t="s">
        <v>240</v>
      </c>
      <c r="BF19" s="0" t="s">
        <v>240</v>
      </c>
      <c r="BG19" s="0" t="s">
        <v>240</v>
      </c>
      <c r="BH19" s="0" t="s">
        <v>240</v>
      </c>
      <c r="BI19" s="0" t="s">
        <v>240</v>
      </c>
      <c r="BJ19" s="0" t="s">
        <v>240</v>
      </c>
      <c r="BK19" s="0" t="s">
        <v>240</v>
      </c>
      <c r="BL19" s="0" t="s">
        <v>240</v>
      </c>
      <c r="BM19" s="0" t="s">
        <v>240</v>
      </c>
      <c r="BN19" s="0" t="s">
        <v>240</v>
      </c>
      <c r="BO19" s="0" t="s">
        <v>240</v>
      </c>
      <c r="BP19" s="0" t="s">
        <v>240</v>
      </c>
      <c r="BQ19" s="0" t="s">
        <v>240</v>
      </c>
      <c r="BR19" s="0" t="s">
        <v>240</v>
      </c>
      <c r="BS19" s="0" t="s">
        <v>240</v>
      </c>
      <c r="BT19" s="0" t="s">
        <v>240</v>
      </c>
      <c r="BU19" s="0" t="s">
        <v>240</v>
      </c>
      <c r="BV19" s="0" t="s">
        <v>240</v>
      </c>
      <c r="BW19" s="0" t="s">
        <v>240</v>
      </c>
      <c r="BX19" s="0" t="s">
        <v>240</v>
      </c>
      <c r="BY19" s="0" t="s">
        <v>240</v>
      </c>
      <c r="BZ19" s="0" t="s">
        <v>240</v>
      </c>
      <c r="CA19" s="0" t="s">
        <v>240</v>
      </c>
      <c r="CB19" s="0" t="s">
        <v>240</v>
      </c>
      <c r="CC19" s="0" t="s">
        <v>240</v>
      </c>
      <c r="CD19" s="0" t="s">
        <v>240</v>
      </c>
      <c r="CE19" s="0" t="s">
        <v>240</v>
      </c>
      <c r="CF19" s="0" t="s">
        <v>240</v>
      </c>
      <c r="CG19" s="0" t="s">
        <v>240</v>
      </c>
      <c r="CH19" s="0" t="s">
        <v>240</v>
      </c>
      <c r="CI19" s="0" t="s">
        <v>240</v>
      </c>
      <c r="CJ19" s="0" t="s">
        <v>240</v>
      </c>
      <c r="CK19" s="0" t="s">
        <v>240</v>
      </c>
      <c r="CL19" s="0" t="s">
        <v>240</v>
      </c>
      <c r="CM19" s="0" t="s">
        <v>240</v>
      </c>
      <c r="CN19" s="0" t="s">
        <v>240</v>
      </c>
      <c r="CO19" s="0" t="s">
        <v>240</v>
      </c>
      <c r="CP19" s="0" t="s">
        <v>240</v>
      </c>
      <c r="CQ19" s="0" t="s">
        <v>240</v>
      </c>
      <c r="CR19" s="0" t="s">
        <v>240</v>
      </c>
      <c r="CS19" s="0" t="s">
        <v>240</v>
      </c>
      <c r="CT19" s="0" t="s">
        <v>5496</v>
      </c>
      <c r="CU19" s="0" t="s">
        <v>5497</v>
      </c>
      <c r="CV19" s="0" t="s">
        <v>443</v>
      </c>
      <c r="CW19" s="0" t="s">
        <v>5509</v>
      </c>
      <c r="CX19" s="0" t="s">
        <v>229</v>
      </c>
      <c r="CY19" s="0" t="s">
        <v>443</v>
      </c>
      <c r="CZ19" s="0" t="s">
        <v>5510</v>
      </c>
      <c r="DA19" s="0" t="s">
        <v>5511</v>
      </c>
      <c r="DB19" s="0" t="s">
        <v>5509</v>
      </c>
      <c r="DC19" s="0" t="s">
        <v>384</v>
      </c>
      <c r="DD19" s="0" t="s">
        <v>291</v>
      </c>
      <c r="DE19" s="0" t="s">
        <v>5637</v>
      </c>
    </row>
    <row customHeight="1" ht="11.25">
      <c r="A20" s="1441" t="s">
        <v>240</v>
      </c>
      <c r="B20" s="0" t="s">
        <v>240</v>
      </c>
      <c r="C20" s="0" t="s">
        <v>240</v>
      </c>
      <c r="D20" s="0" t="s">
        <v>240</v>
      </c>
      <c r="E20" s="0" t="s">
        <v>240</v>
      </c>
      <c r="F20" s="0" t="s">
        <v>240</v>
      </c>
      <c r="G20" s="0" t="s">
        <v>240</v>
      </c>
      <c r="H20" s="0" t="s">
        <v>240</v>
      </c>
      <c r="I20" s="0" t="s">
        <v>5484</v>
      </c>
      <c r="J20" s="0" t="s">
        <v>240</v>
      </c>
      <c r="K20" s="0" t="s">
        <v>240</v>
      </c>
      <c r="L20" s="0" t="s">
        <v>240</v>
      </c>
      <c r="M20" s="0" t="s">
        <v>240</v>
      </c>
      <c r="N20" s="0" t="s">
        <v>240</v>
      </c>
      <c r="O20" s="0" t="s">
        <v>240</v>
      </c>
      <c r="P20" s="0" t="s">
        <v>240</v>
      </c>
      <c r="Q20" s="0" t="s">
        <v>240</v>
      </c>
      <c r="R20" s="0" t="s">
        <v>5638</v>
      </c>
      <c r="S20" s="0" t="s">
        <v>240</v>
      </c>
      <c r="T20" s="0" t="s">
        <v>240</v>
      </c>
      <c r="U20" s="0" t="s">
        <v>102</v>
      </c>
      <c r="V20" s="0" t="s">
        <v>240</v>
      </c>
      <c r="W20" s="0" t="s">
        <v>240</v>
      </c>
      <c r="X20" s="0" t="s">
        <v>5485</v>
      </c>
      <c r="Y20" s="0" t="s">
        <v>240</v>
      </c>
      <c r="Z20" s="0" t="s">
        <v>161</v>
      </c>
      <c r="AA20" s="0" t="s">
        <v>152</v>
      </c>
      <c r="AB20" s="0" t="s">
        <v>152</v>
      </c>
      <c r="AC20" s="0" t="s">
        <v>2985</v>
      </c>
      <c r="AD20" s="0" t="s">
        <v>2985</v>
      </c>
      <c r="AE20" s="0" t="s">
        <v>2986</v>
      </c>
      <c r="AF20" s="0" t="s">
        <v>5632</v>
      </c>
      <c r="AG20" s="0" t="s">
        <v>5633</v>
      </c>
      <c r="AH20" s="0" t="s">
        <v>5639</v>
      </c>
      <c r="AI20" s="0" t="s">
        <v>5640</v>
      </c>
      <c r="AJ20" s="0" t="s">
        <v>5504</v>
      </c>
      <c r="AK20" s="0" t="s">
        <v>5505</v>
      </c>
      <c r="AL20" s="0" t="s">
        <v>5605</v>
      </c>
      <c r="AM20" s="0" t="s">
        <v>5493</v>
      </c>
      <c r="AN20" s="0" t="s">
        <v>5507</v>
      </c>
      <c r="AO20" s="0" t="s">
        <v>5636</v>
      </c>
      <c r="AP20" s="0" t="s">
        <v>240</v>
      </c>
      <c r="AQ20" s="0" t="s">
        <v>240</v>
      </c>
      <c r="AR20" s="0" t="s">
        <v>240</v>
      </c>
      <c r="AS20" s="0" t="s">
        <v>240</v>
      </c>
      <c r="AT20" s="0" t="s">
        <v>240</v>
      </c>
      <c r="AU20" s="0" t="s">
        <v>240</v>
      </c>
      <c r="AV20" s="0" t="s">
        <v>240</v>
      </c>
      <c r="AW20" s="0" t="s">
        <v>240</v>
      </c>
      <c r="AX20" s="0" t="s">
        <v>240</v>
      </c>
      <c r="AY20" s="0" t="s">
        <v>240</v>
      </c>
      <c r="AZ20" s="0" t="s">
        <v>240</v>
      </c>
      <c r="BA20" s="0" t="s">
        <v>240</v>
      </c>
      <c r="BB20" s="0" t="s">
        <v>240</v>
      </c>
      <c r="BC20" s="0" t="s">
        <v>240</v>
      </c>
      <c r="BD20" s="0" t="s">
        <v>240</v>
      </c>
      <c r="BE20" s="0" t="s">
        <v>240</v>
      </c>
      <c r="BF20" s="0" t="s">
        <v>240</v>
      </c>
      <c r="BG20" s="0" t="s">
        <v>240</v>
      </c>
      <c r="BH20" s="0" t="s">
        <v>240</v>
      </c>
      <c r="BI20" s="0" t="s">
        <v>240</v>
      </c>
      <c r="BJ20" s="0" t="s">
        <v>240</v>
      </c>
      <c r="BK20" s="0" t="s">
        <v>240</v>
      </c>
      <c r="BL20" s="0" t="s">
        <v>240</v>
      </c>
      <c r="BM20" s="0" t="s">
        <v>240</v>
      </c>
      <c r="BN20" s="0" t="s">
        <v>240</v>
      </c>
      <c r="BO20" s="0" t="s">
        <v>240</v>
      </c>
      <c r="BP20" s="0" t="s">
        <v>240</v>
      </c>
      <c r="BQ20" s="0" t="s">
        <v>240</v>
      </c>
      <c r="BR20" s="0" t="s">
        <v>240</v>
      </c>
      <c r="BS20" s="0" t="s">
        <v>240</v>
      </c>
      <c r="BT20" s="0" t="s">
        <v>240</v>
      </c>
      <c r="BU20" s="0" t="s">
        <v>240</v>
      </c>
      <c r="BV20" s="0" t="s">
        <v>240</v>
      </c>
      <c r="BW20" s="0" t="s">
        <v>240</v>
      </c>
      <c r="BX20" s="0" t="s">
        <v>240</v>
      </c>
      <c r="BY20" s="0" t="s">
        <v>240</v>
      </c>
      <c r="BZ20" s="0" t="s">
        <v>240</v>
      </c>
      <c r="CA20" s="0" t="s">
        <v>240</v>
      </c>
      <c r="CB20" s="0" t="s">
        <v>240</v>
      </c>
      <c r="CC20" s="0" t="s">
        <v>240</v>
      </c>
      <c r="CD20" s="0" t="s">
        <v>240</v>
      </c>
      <c r="CE20" s="0" t="s">
        <v>240</v>
      </c>
      <c r="CF20" s="0" t="s">
        <v>240</v>
      </c>
      <c r="CG20" s="0" t="s">
        <v>240</v>
      </c>
      <c r="CH20" s="0" t="s">
        <v>240</v>
      </c>
      <c r="CI20" s="0" t="s">
        <v>240</v>
      </c>
      <c r="CJ20" s="0" t="s">
        <v>240</v>
      </c>
      <c r="CK20" s="0" t="s">
        <v>240</v>
      </c>
      <c r="CL20" s="0" t="s">
        <v>240</v>
      </c>
      <c r="CM20" s="0" t="s">
        <v>240</v>
      </c>
      <c r="CN20" s="0" t="s">
        <v>240</v>
      </c>
      <c r="CO20" s="0" t="s">
        <v>240</v>
      </c>
      <c r="CP20" s="0" t="s">
        <v>240</v>
      </c>
      <c r="CQ20" s="0" t="s">
        <v>240</v>
      </c>
      <c r="CR20" s="0" t="s">
        <v>240</v>
      </c>
      <c r="CS20" s="0" t="s">
        <v>240</v>
      </c>
      <c r="CT20" s="0" t="s">
        <v>5496</v>
      </c>
      <c r="CU20" s="0" t="s">
        <v>5497</v>
      </c>
      <c r="CV20" s="0" t="s">
        <v>443</v>
      </c>
      <c r="CW20" s="0" t="s">
        <v>5509</v>
      </c>
      <c r="CX20" s="0" t="s">
        <v>229</v>
      </c>
      <c r="CY20" s="0" t="s">
        <v>443</v>
      </c>
      <c r="CZ20" s="0" t="s">
        <v>5510</v>
      </c>
      <c r="DA20" s="0" t="s">
        <v>5511</v>
      </c>
      <c r="DB20" s="0" t="s">
        <v>5509</v>
      </c>
      <c r="DC20" s="0" t="s">
        <v>384</v>
      </c>
      <c r="DD20" s="0" t="s">
        <v>291</v>
      </c>
      <c r="DE20" s="0" t="s">
        <v>5641</v>
      </c>
    </row>
    <row customHeight="1" ht="11.25">
      <c r="A21" s="1441" t="s">
        <v>240</v>
      </c>
      <c r="B21" s="0" t="s">
        <v>240</v>
      </c>
      <c r="C21" s="0" t="s">
        <v>240</v>
      </c>
      <c r="D21" s="0" t="s">
        <v>240</v>
      </c>
      <c r="E21" s="0" t="s">
        <v>240</v>
      </c>
      <c r="F21" s="0" t="s">
        <v>240</v>
      </c>
      <c r="G21" s="0" t="s">
        <v>240</v>
      </c>
      <c r="H21" s="0" t="s">
        <v>240</v>
      </c>
      <c r="I21" s="0" t="s">
        <v>5484</v>
      </c>
      <c r="J21" s="0" t="s">
        <v>240</v>
      </c>
      <c r="K21" s="0" t="s">
        <v>240</v>
      </c>
      <c r="L21" s="0" t="s">
        <v>240</v>
      </c>
      <c r="M21" s="0" t="s">
        <v>240</v>
      </c>
      <c r="N21" s="0" t="s">
        <v>240</v>
      </c>
      <c r="O21" s="0" t="s">
        <v>240</v>
      </c>
      <c r="P21" s="0" t="s">
        <v>240</v>
      </c>
      <c r="Q21" s="0" t="s">
        <v>240</v>
      </c>
      <c r="R21" s="0" t="s">
        <v>449</v>
      </c>
      <c r="S21" s="0" t="s">
        <v>240</v>
      </c>
      <c r="T21" s="0" t="s">
        <v>240</v>
      </c>
      <c r="U21" s="0" t="s">
        <v>102</v>
      </c>
      <c r="V21" s="0" t="s">
        <v>240</v>
      </c>
      <c r="W21" s="0" t="s">
        <v>240</v>
      </c>
      <c r="X21" s="0" t="s">
        <v>5585</v>
      </c>
      <c r="Y21" s="0" t="s">
        <v>240</v>
      </c>
      <c r="Z21" s="0" t="s">
        <v>152</v>
      </c>
      <c r="AA21" s="0" t="s">
        <v>152</v>
      </c>
      <c r="AB21" s="0" t="s">
        <v>161</v>
      </c>
      <c r="AC21" s="0" t="s">
        <v>2985</v>
      </c>
      <c r="AD21" s="0" t="s">
        <v>2985</v>
      </c>
      <c r="AE21" s="0" t="s">
        <v>2986</v>
      </c>
      <c r="AF21" s="0" t="s">
        <v>5642</v>
      </c>
      <c r="AG21" s="0" t="s">
        <v>5643</v>
      </c>
      <c r="AH21" s="0" t="s">
        <v>5642</v>
      </c>
      <c r="AI21" s="0" t="s">
        <v>5644</v>
      </c>
      <c r="AJ21" s="0" t="s">
        <v>240</v>
      </c>
      <c r="AK21" s="0" t="s">
        <v>240</v>
      </c>
      <c r="AL21" s="0" t="s">
        <v>240</v>
      </c>
      <c r="AM21" s="0" t="s">
        <v>240</v>
      </c>
      <c r="AN21" s="0" t="s">
        <v>240</v>
      </c>
      <c r="AO21" s="0" t="s">
        <v>240</v>
      </c>
      <c r="AP21" s="0" t="s">
        <v>240</v>
      </c>
      <c r="AQ21" s="0" t="s">
        <v>240</v>
      </c>
      <c r="AR21" s="0" t="s">
        <v>240</v>
      </c>
      <c r="AS21" s="0" t="s">
        <v>240</v>
      </c>
      <c r="AT21" s="0" t="s">
        <v>240</v>
      </c>
      <c r="AU21" s="0" t="s">
        <v>240</v>
      </c>
      <c r="AV21" s="0" t="s">
        <v>240</v>
      </c>
      <c r="AW21" s="0" t="s">
        <v>240</v>
      </c>
      <c r="AX21" s="0" t="s">
        <v>240</v>
      </c>
      <c r="AY21" s="0" t="s">
        <v>240</v>
      </c>
      <c r="AZ21" s="0" t="s">
        <v>240</v>
      </c>
      <c r="BA21" s="0" t="s">
        <v>240</v>
      </c>
      <c r="BB21" s="0" t="s">
        <v>240</v>
      </c>
      <c r="BC21" s="0" t="s">
        <v>240</v>
      </c>
      <c r="BD21" s="0" t="s">
        <v>240</v>
      </c>
      <c r="BE21" s="0" t="s">
        <v>5645</v>
      </c>
      <c r="BF21" s="0" t="s">
        <v>5645</v>
      </c>
      <c r="BG21" s="0" t="s">
        <v>112</v>
      </c>
      <c r="BH21" s="0" t="s">
        <v>5589</v>
      </c>
      <c r="BI21" s="0" t="s">
        <v>123</v>
      </c>
      <c r="BJ21" s="0" t="s">
        <v>240</v>
      </c>
      <c r="BK21" s="0" t="s">
        <v>5608</v>
      </c>
      <c r="BL21" s="0" t="s">
        <v>2985</v>
      </c>
      <c r="BM21" s="0" t="s">
        <v>2985</v>
      </c>
      <c r="BN21" s="0" t="s">
        <v>5646</v>
      </c>
      <c r="BO21" s="0" t="s">
        <v>5642</v>
      </c>
      <c r="BP21" s="0" t="s">
        <v>5647</v>
      </c>
      <c r="BQ21" s="0" t="s">
        <v>5648</v>
      </c>
      <c r="BR21" s="0" t="s">
        <v>5649</v>
      </c>
      <c r="BS21" s="0" t="s">
        <v>240</v>
      </c>
      <c r="BT21" s="0" t="s">
        <v>5650</v>
      </c>
      <c r="BU21" s="0" t="s">
        <v>5651</v>
      </c>
      <c r="BV21" s="0" t="s">
        <v>5651</v>
      </c>
      <c r="BW21" s="0" t="s">
        <v>5598</v>
      </c>
      <c r="BX21" s="0" t="s">
        <v>5598</v>
      </c>
      <c r="BY21" s="0" t="s">
        <v>5598</v>
      </c>
      <c r="BZ21" s="0" t="s">
        <v>5598</v>
      </c>
      <c r="CA21" s="0" t="s">
        <v>5598</v>
      </c>
      <c r="CB21" s="0" t="s">
        <v>240</v>
      </c>
      <c r="CC21" s="0" t="s">
        <v>240</v>
      </c>
      <c r="CD21" s="0" t="s">
        <v>240</v>
      </c>
      <c r="CE21" s="0" t="s">
        <v>240</v>
      </c>
      <c r="CF21" s="0" t="s">
        <v>240</v>
      </c>
      <c r="CG21" s="0" t="s">
        <v>5598</v>
      </c>
      <c r="CH21" s="0" t="s">
        <v>240</v>
      </c>
      <c r="CI21" s="0" t="s">
        <v>240</v>
      </c>
      <c r="CJ21" s="0" t="s">
        <v>240</v>
      </c>
      <c r="CK21" s="0" t="s">
        <v>240</v>
      </c>
      <c r="CL21" s="0" t="s">
        <v>240</v>
      </c>
      <c r="CM21" s="0" t="s">
        <v>5651</v>
      </c>
      <c r="CN21" s="0" t="s">
        <v>5651</v>
      </c>
      <c r="CO21" s="0" t="s">
        <v>240</v>
      </c>
      <c r="CP21" s="0" t="s">
        <v>240</v>
      </c>
      <c r="CQ21" s="0" t="s">
        <v>240</v>
      </c>
      <c r="CR21" s="0" t="s">
        <v>240</v>
      </c>
      <c r="CS21" s="0" t="s">
        <v>5507</v>
      </c>
      <c r="CT21" s="0" t="s">
        <v>5496</v>
      </c>
      <c r="CU21" s="0" t="s">
        <v>5497</v>
      </c>
      <c r="CV21" s="0" t="s">
        <v>443</v>
      </c>
      <c r="CW21" s="0" t="s">
        <v>5509</v>
      </c>
      <c r="CX21" s="0" t="s">
        <v>229</v>
      </c>
      <c r="CY21" s="0" t="s">
        <v>443</v>
      </c>
      <c r="CZ21" s="0" t="s">
        <v>5510</v>
      </c>
      <c r="DA21" s="0" t="s">
        <v>5511</v>
      </c>
      <c r="DB21" s="0" t="s">
        <v>5509</v>
      </c>
      <c r="DC21" s="0" t="s">
        <v>384</v>
      </c>
      <c r="DD21" s="0" t="s">
        <v>291</v>
      </c>
      <c r="DE21" s="0" t="s">
        <v>5652</v>
      </c>
    </row>
    <row customHeight="1" ht="11.25">
      <c r="A22" s="1441" t="s">
        <v>240</v>
      </c>
      <c r="B22" s="0" t="s">
        <v>240</v>
      </c>
      <c r="C22" s="0" t="s">
        <v>240</v>
      </c>
      <c r="D22" s="0" t="s">
        <v>240</v>
      </c>
      <c r="E22" s="0" t="s">
        <v>240</v>
      </c>
      <c r="F22" s="0" t="s">
        <v>240</v>
      </c>
      <c r="G22" s="0" t="s">
        <v>240</v>
      </c>
      <c r="H22" s="0" t="s">
        <v>240</v>
      </c>
      <c r="I22" s="0" t="s">
        <v>5484</v>
      </c>
      <c r="J22" s="0" t="s">
        <v>240</v>
      </c>
      <c r="K22" s="0" t="s">
        <v>240</v>
      </c>
      <c r="L22" s="0" t="s">
        <v>240</v>
      </c>
      <c r="M22" s="0" t="s">
        <v>240</v>
      </c>
      <c r="N22" s="0" t="s">
        <v>240</v>
      </c>
      <c r="O22" s="0" t="s">
        <v>240</v>
      </c>
      <c r="P22" s="0" t="s">
        <v>240</v>
      </c>
      <c r="Q22" s="0" t="s">
        <v>240</v>
      </c>
      <c r="R22" s="0" t="s">
        <v>5653</v>
      </c>
      <c r="S22" s="0" t="s">
        <v>240</v>
      </c>
      <c r="T22" s="0" t="s">
        <v>240</v>
      </c>
      <c r="U22" s="0" t="s">
        <v>102</v>
      </c>
      <c r="V22" s="0" t="s">
        <v>240</v>
      </c>
      <c r="W22" s="0" t="s">
        <v>240</v>
      </c>
      <c r="X22" s="0" t="s">
        <v>5485</v>
      </c>
      <c r="Y22" s="0" t="s">
        <v>240</v>
      </c>
      <c r="Z22" s="0" t="s">
        <v>161</v>
      </c>
      <c r="AA22" s="0" t="s">
        <v>152</v>
      </c>
      <c r="AB22" s="0" t="s">
        <v>152</v>
      </c>
      <c r="AC22" s="0" t="s">
        <v>3389</v>
      </c>
      <c r="AD22" s="0" t="s">
        <v>3389</v>
      </c>
      <c r="AE22" s="0" t="s">
        <v>3390</v>
      </c>
      <c r="AF22" s="0" t="s">
        <v>5519</v>
      </c>
      <c r="AG22" s="0" t="s">
        <v>5520</v>
      </c>
      <c r="AH22" s="0" t="s">
        <v>5654</v>
      </c>
      <c r="AI22" s="0" t="s">
        <v>5655</v>
      </c>
      <c r="AJ22" s="0" t="s">
        <v>5560</v>
      </c>
      <c r="AK22" s="0" t="s">
        <v>5656</v>
      </c>
      <c r="AL22" s="0" t="s">
        <v>5524</v>
      </c>
      <c r="AM22" s="0" t="s">
        <v>5493</v>
      </c>
      <c r="AN22" s="0" t="s">
        <v>5657</v>
      </c>
      <c r="AO22" s="0" t="s">
        <v>5658</v>
      </c>
      <c r="AP22" s="0" t="s">
        <v>240</v>
      </c>
      <c r="AQ22" s="0" t="s">
        <v>240</v>
      </c>
      <c r="AR22" s="0" t="s">
        <v>240</v>
      </c>
      <c r="AS22" s="0" t="s">
        <v>240</v>
      </c>
      <c r="AT22" s="0" t="s">
        <v>240</v>
      </c>
      <c r="AU22" s="0" t="s">
        <v>240</v>
      </c>
      <c r="AV22" s="0" t="s">
        <v>240</v>
      </c>
      <c r="AW22" s="0" t="s">
        <v>240</v>
      </c>
      <c r="AX22" s="0" t="s">
        <v>240</v>
      </c>
      <c r="AY22" s="0" t="s">
        <v>240</v>
      </c>
      <c r="AZ22" s="0" t="s">
        <v>240</v>
      </c>
      <c r="BA22" s="0" t="s">
        <v>240</v>
      </c>
      <c r="BB22" s="0" t="s">
        <v>240</v>
      </c>
      <c r="BC22" s="0" t="s">
        <v>240</v>
      </c>
      <c r="BD22" s="0" t="s">
        <v>240</v>
      </c>
      <c r="BE22" s="0" t="s">
        <v>240</v>
      </c>
      <c r="BF22" s="0" t="s">
        <v>240</v>
      </c>
      <c r="BG22" s="0" t="s">
        <v>240</v>
      </c>
      <c r="BH22" s="0" t="s">
        <v>240</v>
      </c>
      <c r="BI22" s="0" t="s">
        <v>240</v>
      </c>
      <c r="BJ22" s="0" t="s">
        <v>240</v>
      </c>
      <c r="BK22" s="0" t="s">
        <v>240</v>
      </c>
      <c r="BL22" s="0" t="s">
        <v>240</v>
      </c>
      <c r="BM22" s="0" t="s">
        <v>240</v>
      </c>
      <c r="BN22" s="0" t="s">
        <v>240</v>
      </c>
      <c r="BO22" s="0" t="s">
        <v>240</v>
      </c>
      <c r="BP22" s="0" t="s">
        <v>240</v>
      </c>
      <c r="BQ22" s="0" t="s">
        <v>240</v>
      </c>
      <c r="BR22" s="0" t="s">
        <v>240</v>
      </c>
      <c r="BS22" s="0" t="s">
        <v>240</v>
      </c>
      <c r="BT22" s="0" t="s">
        <v>240</v>
      </c>
      <c r="BU22" s="0" t="s">
        <v>240</v>
      </c>
      <c r="BV22" s="0" t="s">
        <v>240</v>
      </c>
      <c r="BW22" s="0" t="s">
        <v>240</v>
      </c>
      <c r="BX22" s="0" t="s">
        <v>240</v>
      </c>
      <c r="BY22" s="0" t="s">
        <v>240</v>
      </c>
      <c r="BZ22" s="0" t="s">
        <v>240</v>
      </c>
      <c r="CA22" s="0" t="s">
        <v>240</v>
      </c>
      <c r="CB22" s="0" t="s">
        <v>240</v>
      </c>
      <c r="CC22" s="0" t="s">
        <v>240</v>
      </c>
      <c r="CD22" s="0" t="s">
        <v>240</v>
      </c>
      <c r="CE22" s="0" t="s">
        <v>240</v>
      </c>
      <c r="CF22" s="0" t="s">
        <v>240</v>
      </c>
      <c r="CG22" s="0" t="s">
        <v>240</v>
      </c>
      <c r="CH22" s="0" t="s">
        <v>240</v>
      </c>
      <c r="CI22" s="0" t="s">
        <v>240</v>
      </c>
      <c r="CJ22" s="0" t="s">
        <v>240</v>
      </c>
      <c r="CK22" s="0" t="s">
        <v>240</v>
      </c>
      <c r="CL22" s="0" t="s">
        <v>240</v>
      </c>
      <c r="CM22" s="0" t="s">
        <v>240</v>
      </c>
      <c r="CN22" s="0" t="s">
        <v>240</v>
      </c>
      <c r="CO22" s="0" t="s">
        <v>240</v>
      </c>
      <c r="CP22" s="0" t="s">
        <v>240</v>
      </c>
      <c r="CQ22" s="0" t="s">
        <v>240</v>
      </c>
      <c r="CR22" s="0" t="s">
        <v>240</v>
      </c>
      <c r="CS22" s="0" t="s">
        <v>240</v>
      </c>
      <c r="CT22" s="0" t="s">
        <v>5496</v>
      </c>
      <c r="CU22" s="0" t="s">
        <v>5497</v>
      </c>
      <c r="CV22" s="0" t="s">
        <v>443</v>
      </c>
      <c r="CW22" s="0" t="s">
        <v>5527</v>
      </c>
      <c r="CX22" s="0" t="s">
        <v>5528</v>
      </c>
      <c r="CY22" s="0" t="s">
        <v>443</v>
      </c>
      <c r="CZ22" s="0" t="s">
        <v>299</v>
      </c>
      <c r="DA22" s="0" t="s">
        <v>5529</v>
      </c>
      <c r="DB22" s="0" t="s">
        <v>5527</v>
      </c>
      <c r="DC22" s="0" t="s">
        <v>384</v>
      </c>
      <c r="DD22" s="0" t="s">
        <v>291</v>
      </c>
      <c r="DE22" s="0" t="s">
        <v>5659</v>
      </c>
    </row>
    <row customHeight="1" ht="11.25">
      <c r="A23" s="1441" t="s">
        <v>240</v>
      </c>
      <c r="B23" s="0" t="s">
        <v>240</v>
      </c>
      <c r="C23" s="0" t="s">
        <v>240</v>
      </c>
      <c r="D23" s="0" t="s">
        <v>240</v>
      </c>
      <c r="E23" s="0" t="s">
        <v>240</v>
      </c>
      <c r="F23" s="0" t="s">
        <v>240</v>
      </c>
      <c r="G23" s="0" t="s">
        <v>240</v>
      </c>
      <c r="H23" s="0" t="s">
        <v>240</v>
      </c>
      <c r="I23" s="0" t="s">
        <v>5484</v>
      </c>
      <c r="J23" s="0" t="s">
        <v>240</v>
      </c>
      <c r="K23" s="0" t="s">
        <v>240</v>
      </c>
      <c r="L23" s="0" t="s">
        <v>240</v>
      </c>
      <c r="M23" s="0" t="s">
        <v>240</v>
      </c>
      <c r="N23" s="0" t="s">
        <v>240</v>
      </c>
      <c r="O23" s="0" t="s">
        <v>240</v>
      </c>
      <c r="P23" s="0" t="s">
        <v>240</v>
      </c>
      <c r="Q23" s="0" t="s">
        <v>240</v>
      </c>
      <c r="R23" s="0" t="s">
        <v>5660</v>
      </c>
      <c r="S23" s="0" t="s">
        <v>240</v>
      </c>
      <c r="T23" s="0" t="s">
        <v>240</v>
      </c>
      <c r="U23" s="0" t="s">
        <v>102</v>
      </c>
      <c r="V23" s="0" t="s">
        <v>240</v>
      </c>
      <c r="W23" s="0" t="s">
        <v>240</v>
      </c>
      <c r="X23" s="0" t="s">
        <v>5585</v>
      </c>
      <c r="Y23" s="0" t="s">
        <v>240</v>
      </c>
      <c r="Z23" s="0" t="s">
        <v>152</v>
      </c>
      <c r="AA23" s="0" t="s">
        <v>152</v>
      </c>
      <c r="AB23" s="0" t="s">
        <v>161</v>
      </c>
      <c r="AC23" s="0" t="s">
        <v>2991</v>
      </c>
      <c r="AD23" s="0" t="s">
        <v>2991</v>
      </c>
      <c r="AE23" s="0" t="s">
        <v>2992</v>
      </c>
      <c r="AF23" s="0" t="s">
        <v>5661</v>
      </c>
      <c r="AG23" s="0" t="s">
        <v>5662</v>
      </c>
      <c r="AH23" s="0" t="s">
        <v>5575</v>
      </c>
      <c r="AI23" s="0" t="s">
        <v>5575</v>
      </c>
      <c r="AJ23" s="0" t="s">
        <v>240</v>
      </c>
      <c r="AK23" s="0" t="s">
        <v>240</v>
      </c>
      <c r="AL23" s="0" t="s">
        <v>240</v>
      </c>
      <c r="AM23" s="0" t="s">
        <v>240</v>
      </c>
      <c r="AN23" s="0" t="s">
        <v>240</v>
      </c>
      <c r="AO23" s="0" t="s">
        <v>240</v>
      </c>
      <c r="AP23" s="0" t="s">
        <v>240</v>
      </c>
      <c r="AQ23" s="0" t="s">
        <v>240</v>
      </c>
      <c r="AR23" s="0" t="s">
        <v>240</v>
      </c>
      <c r="AS23" s="0" t="s">
        <v>240</v>
      </c>
      <c r="AT23" s="0" t="s">
        <v>240</v>
      </c>
      <c r="AU23" s="0" t="s">
        <v>240</v>
      </c>
      <c r="AV23" s="0" t="s">
        <v>240</v>
      </c>
      <c r="AW23" s="0" t="s">
        <v>240</v>
      </c>
      <c r="AX23" s="0" t="s">
        <v>240</v>
      </c>
      <c r="AY23" s="0" t="s">
        <v>240</v>
      </c>
      <c r="AZ23" s="0" t="s">
        <v>240</v>
      </c>
      <c r="BA23" s="0" t="s">
        <v>240</v>
      </c>
      <c r="BB23" s="0" t="s">
        <v>240</v>
      </c>
      <c r="BC23" s="0" t="s">
        <v>240</v>
      </c>
      <c r="BD23" s="0" t="s">
        <v>240</v>
      </c>
      <c r="BE23" s="0" t="s">
        <v>5576</v>
      </c>
      <c r="BF23" s="0" t="s">
        <v>5544</v>
      </c>
      <c r="BG23" s="0" t="s">
        <v>112</v>
      </c>
      <c r="BH23" s="0" t="s">
        <v>5589</v>
      </c>
      <c r="BI23" s="0" t="s">
        <v>123</v>
      </c>
      <c r="BJ23" s="0" t="s">
        <v>240</v>
      </c>
      <c r="BK23" s="0" t="s">
        <v>5608</v>
      </c>
      <c r="BL23" s="0" t="s">
        <v>2991</v>
      </c>
      <c r="BM23" s="0" t="s">
        <v>2991</v>
      </c>
      <c r="BN23" s="0" t="s">
        <v>5663</v>
      </c>
      <c r="BO23" s="0" t="s">
        <v>5661</v>
      </c>
      <c r="BP23" s="0" t="s">
        <v>5664</v>
      </c>
      <c r="BQ23" s="0" t="s">
        <v>5575</v>
      </c>
      <c r="BR23" s="0" t="s">
        <v>5575</v>
      </c>
      <c r="BS23" s="0" t="s">
        <v>240</v>
      </c>
      <c r="BT23" s="0" t="s">
        <v>5650</v>
      </c>
      <c r="BU23" s="0" t="s">
        <v>5665</v>
      </c>
      <c r="BV23" s="0" t="s">
        <v>5665</v>
      </c>
      <c r="BW23" s="0" t="s">
        <v>5598</v>
      </c>
      <c r="BX23" s="0" t="s">
        <v>5598</v>
      </c>
      <c r="BY23" s="0" t="s">
        <v>5598</v>
      </c>
      <c r="BZ23" s="0" t="s">
        <v>5598</v>
      </c>
      <c r="CA23" s="0" t="s">
        <v>5598</v>
      </c>
      <c r="CB23" s="0" t="s">
        <v>240</v>
      </c>
      <c r="CC23" s="0" t="s">
        <v>240</v>
      </c>
      <c r="CD23" s="0" t="s">
        <v>240</v>
      </c>
      <c r="CE23" s="0" t="s">
        <v>240</v>
      </c>
      <c r="CF23" s="0" t="s">
        <v>240</v>
      </c>
      <c r="CG23" s="0" t="s">
        <v>5598</v>
      </c>
      <c r="CH23" s="0" t="s">
        <v>240</v>
      </c>
      <c r="CI23" s="0" t="s">
        <v>240</v>
      </c>
      <c r="CJ23" s="0" t="s">
        <v>240</v>
      </c>
      <c r="CK23" s="0" t="s">
        <v>240</v>
      </c>
      <c r="CL23" s="0" t="s">
        <v>240</v>
      </c>
      <c r="CM23" s="0" t="s">
        <v>5665</v>
      </c>
      <c r="CN23" s="0" t="s">
        <v>5665</v>
      </c>
      <c r="CO23" s="0" t="s">
        <v>240</v>
      </c>
      <c r="CP23" s="0" t="s">
        <v>240</v>
      </c>
      <c r="CQ23" s="0" t="s">
        <v>240</v>
      </c>
      <c r="CR23" s="0" t="s">
        <v>240</v>
      </c>
      <c r="CS23" s="0" t="s">
        <v>5666</v>
      </c>
      <c r="CT23" s="0" t="s">
        <v>5496</v>
      </c>
      <c r="CU23" s="0" t="s">
        <v>5497</v>
      </c>
      <c r="CV23" s="0" t="s">
        <v>443</v>
      </c>
      <c r="CW23" s="0" t="s">
        <v>5547</v>
      </c>
      <c r="CX23" s="0" t="s">
        <v>229</v>
      </c>
      <c r="CY23" s="0" t="s">
        <v>443</v>
      </c>
      <c r="CZ23" s="0" t="s">
        <v>5548</v>
      </c>
      <c r="DA23" s="0" t="s">
        <v>5549</v>
      </c>
      <c r="DB23" s="0" t="s">
        <v>5547</v>
      </c>
      <c r="DC23" s="0" t="s">
        <v>384</v>
      </c>
      <c r="DD23" s="0" t="s">
        <v>291</v>
      </c>
      <c r="DE23" s="0" t="s">
        <v>5667</v>
      </c>
    </row>
    <row customHeight="1" ht="11.25">
      <c r="A24" s="1441" t="s">
        <v>240</v>
      </c>
      <c r="B24" s="0" t="s">
        <v>240</v>
      </c>
      <c r="C24" s="0" t="s">
        <v>240</v>
      </c>
      <c r="D24" s="0" t="s">
        <v>240</v>
      </c>
      <c r="E24" s="0" t="s">
        <v>240</v>
      </c>
      <c r="F24" s="0" t="s">
        <v>240</v>
      </c>
      <c r="G24" s="0" t="s">
        <v>240</v>
      </c>
      <c r="H24" s="0" t="s">
        <v>240</v>
      </c>
      <c r="I24" s="0" t="s">
        <v>5484</v>
      </c>
      <c r="J24" s="0" t="s">
        <v>240</v>
      </c>
      <c r="K24" s="0" t="s">
        <v>240</v>
      </c>
      <c r="L24" s="0" t="s">
        <v>240</v>
      </c>
      <c r="M24" s="0" t="s">
        <v>240</v>
      </c>
      <c r="N24" s="0" t="s">
        <v>240</v>
      </c>
      <c r="O24" s="0" t="s">
        <v>240</v>
      </c>
      <c r="P24" s="0" t="s">
        <v>240</v>
      </c>
      <c r="Q24" s="0" t="s">
        <v>240</v>
      </c>
      <c r="R24" s="0" t="s">
        <v>5572</v>
      </c>
      <c r="S24" s="0" t="s">
        <v>240</v>
      </c>
      <c r="T24" s="0" t="s">
        <v>240</v>
      </c>
      <c r="U24" s="0" t="s">
        <v>102</v>
      </c>
      <c r="V24" s="0" t="s">
        <v>240</v>
      </c>
      <c r="W24" s="0" t="s">
        <v>240</v>
      </c>
      <c r="X24" s="0" t="s">
        <v>5485</v>
      </c>
      <c r="Y24" s="0" t="s">
        <v>240</v>
      </c>
      <c r="Z24" s="0" t="s">
        <v>161</v>
      </c>
      <c r="AA24" s="0" t="s">
        <v>152</v>
      </c>
      <c r="AB24" s="0" t="s">
        <v>152</v>
      </c>
      <c r="AC24" s="0" t="s">
        <v>2991</v>
      </c>
      <c r="AD24" s="0" t="s">
        <v>2991</v>
      </c>
      <c r="AE24" s="0" t="s">
        <v>2992</v>
      </c>
      <c r="AF24" s="0" t="s">
        <v>5668</v>
      </c>
      <c r="AG24" s="0" t="s">
        <v>5669</v>
      </c>
      <c r="AH24" s="0" t="s">
        <v>5670</v>
      </c>
      <c r="AI24" s="0" t="s">
        <v>5671</v>
      </c>
      <c r="AJ24" s="0" t="s">
        <v>5576</v>
      </c>
      <c r="AK24" s="0" t="s">
        <v>5672</v>
      </c>
      <c r="AL24" s="0" t="s">
        <v>5506</v>
      </c>
      <c r="AM24" s="0" t="s">
        <v>5493</v>
      </c>
      <c r="AN24" s="0" t="s">
        <v>5553</v>
      </c>
      <c r="AO24" s="0" t="s">
        <v>5625</v>
      </c>
      <c r="AP24" s="0" t="s">
        <v>240</v>
      </c>
      <c r="AQ24" s="0" t="s">
        <v>240</v>
      </c>
      <c r="AR24" s="0" t="s">
        <v>240</v>
      </c>
      <c r="AS24" s="0" t="s">
        <v>240</v>
      </c>
      <c r="AT24" s="0" t="s">
        <v>240</v>
      </c>
      <c r="AU24" s="0" t="s">
        <v>240</v>
      </c>
      <c r="AV24" s="0" t="s">
        <v>240</v>
      </c>
      <c r="AW24" s="0" t="s">
        <v>240</v>
      </c>
      <c r="AX24" s="0" t="s">
        <v>240</v>
      </c>
      <c r="AY24" s="0" t="s">
        <v>240</v>
      </c>
      <c r="AZ24" s="0" t="s">
        <v>240</v>
      </c>
      <c r="BA24" s="0" t="s">
        <v>240</v>
      </c>
      <c r="BB24" s="0" t="s">
        <v>240</v>
      </c>
      <c r="BC24" s="0" t="s">
        <v>240</v>
      </c>
      <c r="BD24" s="0" t="s">
        <v>240</v>
      </c>
      <c r="BE24" s="0" t="s">
        <v>240</v>
      </c>
      <c r="BF24" s="0" t="s">
        <v>240</v>
      </c>
      <c r="BG24" s="0" t="s">
        <v>240</v>
      </c>
      <c r="BH24" s="0" t="s">
        <v>240</v>
      </c>
      <c r="BI24" s="0" t="s">
        <v>240</v>
      </c>
      <c r="BJ24" s="0" t="s">
        <v>240</v>
      </c>
      <c r="BK24" s="0" t="s">
        <v>240</v>
      </c>
      <c r="BL24" s="0" t="s">
        <v>240</v>
      </c>
      <c r="BM24" s="0" t="s">
        <v>240</v>
      </c>
      <c r="BN24" s="0" t="s">
        <v>240</v>
      </c>
      <c r="BO24" s="0" t="s">
        <v>240</v>
      </c>
      <c r="BP24" s="0" t="s">
        <v>240</v>
      </c>
      <c r="BQ24" s="0" t="s">
        <v>240</v>
      </c>
      <c r="BR24" s="0" t="s">
        <v>240</v>
      </c>
      <c r="BS24" s="0" t="s">
        <v>240</v>
      </c>
      <c r="BT24" s="0" t="s">
        <v>240</v>
      </c>
      <c r="BU24" s="0" t="s">
        <v>240</v>
      </c>
      <c r="BV24" s="0" t="s">
        <v>240</v>
      </c>
      <c r="BW24" s="0" t="s">
        <v>240</v>
      </c>
      <c r="BX24" s="0" t="s">
        <v>240</v>
      </c>
      <c r="BY24" s="0" t="s">
        <v>240</v>
      </c>
      <c r="BZ24" s="0" t="s">
        <v>240</v>
      </c>
      <c r="CA24" s="0" t="s">
        <v>240</v>
      </c>
      <c r="CB24" s="0" t="s">
        <v>240</v>
      </c>
      <c r="CC24" s="0" t="s">
        <v>240</v>
      </c>
      <c r="CD24" s="0" t="s">
        <v>240</v>
      </c>
      <c r="CE24" s="0" t="s">
        <v>240</v>
      </c>
      <c r="CF24" s="0" t="s">
        <v>240</v>
      </c>
      <c r="CG24" s="0" t="s">
        <v>240</v>
      </c>
      <c r="CH24" s="0" t="s">
        <v>240</v>
      </c>
      <c r="CI24" s="0" t="s">
        <v>240</v>
      </c>
      <c r="CJ24" s="0" t="s">
        <v>240</v>
      </c>
      <c r="CK24" s="0" t="s">
        <v>240</v>
      </c>
      <c r="CL24" s="0" t="s">
        <v>240</v>
      </c>
      <c r="CM24" s="0" t="s">
        <v>240</v>
      </c>
      <c r="CN24" s="0" t="s">
        <v>240</v>
      </c>
      <c r="CO24" s="0" t="s">
        <v>240</v>
      </c>
      <c r="CP24" s="0" t="s">
        <v>240</v>
      </c>
      <c r="CQ24" s="0" t="s">
        <v>240</v>
      </c>
      <c r="CR24" s="0" t="s">
        <v>240</v>
      </c>
      <c r="CS24" s="0" t="s">
        <v>240</v>
      </c>
      <c r="CT24" s="0" t="s">
        <v>5496</v>
      </c>
      <c r="CU24" s="0" t="s">
        <v>5497</v>
      </c>
      <c r="CV24" s="0" t="s">
        <v>443</v>
      </c>
      <c r="CW24" s="0" t="s">
        <v>5547</v>
      </c>
      <c r="CX24" s="0" t="s">
        <v>229</v>
      </c>
      <c r="CY24" s="0" t="s">
        <v>443</v>
      </c>
      <c r="CZ24" s="0" t="s">
        <v>5548</v>
      </c>
      <c r="DA24" s="0" t="s">
        <v>5549</v>
      </c>
      <c r="DB24" s="0" t="s">
        <v>5547</v>
      </c>
      <c r="DC24" s="0" t="s">
        <v>384</v>
      </c>
      <c r="DD24" s="0" t="s">
        <v>291</v>
      </c>
      <c r="DE24" s="0" t="s">
        <v>5673</v>
      </c>
    </row>
    <row customHeight="1" ht="11.25">
      <c r="A25" s="1441" t="s">
        <v>240</v>
      </c>
      <c r="B25" s="0" t="s">
        <v>240</v>
      </c>
      <c r="C25" s="0" t="s">
        <v>240</v>
      </c>
      <c r="D25" s="0" t="s">
        <v>240</v>
      </c>
      <c r="E25" s="0" t="s">
        <v>240</v>
      </c>
      <c r="F25" s="0" t="s">
        <v>240</v>
      </c>
      <c r="G25" s="0" t="s">
        <v>240</v>
      </c>
      <c r="H25" s="0" t="s">
        <v>240</v>
      </c>
      <c r="I25" s="0" t="s">
        <v>5484</v>
      </c>
      <c r="J25" s="0" t="s">
        <v>240</v>
      </c>
      <c r="K25" s="0" t="s">
        <v>240</v>
      </c>
      <c r="L25" s="0" t="s">
        <v>240</v>
      </c>
      <c r="M25" s="0" t="s">
        <v>240</v>
      </c>
      <c r="N25" s="0" t="s">
        <v>240</v>
      </c>
      <c r="O25" s="0" t="s">
        <v>240</v>
      </c>
      <c r="P25" s="0" t="s">
        <v>240</v>
      </c>
      <c r="Q25" s="0" t="s">
        <v>240</v>
      </c>
      <c r="R25" s="0" t="s">
        <v>5674</v>
      </c>
      <c r="S25" s="0" t="s">
        <v>240</v>
      </c>
      <c r="T25" s="0" t="s">
        <v>240</v>
      </c>
      <c r="U25" s="0" t="s">
        <v>102</v>
      </c>
      <c r="V25" s="0" t="s">
        <v>240</v>
      </c>
      <c r="W25" s="0" t="s">
        <v>240</v>
      </c>
      <c r="X25" s="0" t="s">
        <v>5585</v>
      </c>
      <c r="Y25" s="0" t="s">
        <v>240</v>
      </c>
      <c r="Z25" s="0" t="s">
        <v>152</v>
      </c>
      <c r="AA25" s="0" t="s">
        <v>152</v>
      </c>
      <c r="AB25" s="0" t="s">
        <v>161</v>
      </c>
      <c r="AC25" s="0" t="s">
        <v>2991</v>
      </c>
      <c r="AD25" s="0" t="s">
        <v>2991</v>
      </c>
      <c r="AE25" s="0" t="s">
        <v>2992</v>
      </c>
      <c r="AF25" s="0" t="s">
        <v>5668</v>
      </c>
      <c r="AG25" s="0" t="s">
        <v>5669</v>
      </c>
      <c r="AH25" s="0" t="s">
        <v>5575</v>
      </c>
      <c r="AI25" s="0" t="s">
        <v>5575</v>
      </c>
      <c r="AJ25" s="0" t="s">
        <v>240</v>
      </c>
      <c r="AK25" s="0" t="s">
        <v>240</v>
      </c>
      <c r="AL25" s="0" t="s">
        <v>240</v>
      </c>
      <c r="AM25" s="0" t="s">
        <v>240</v>
      </c>
      <c r="AN25" s="0" t="s">
        <v>240</v>
      </c>
      <c r="AO25" s="0" t="s">
        <v>240</v>
      </c>
      <c r="AP25" s="0" t="s">
        <v>240</v>
      </c>
      <c r="AQ25" s="0" t="s">
        <v>240</v>
      </c>
      <c r="AR25" s="0" t="s">
        <v>240</v>
      </c>
      <c r="AS25" s="0" t="s">
        <v>240</v>
      </c>
      <c r="AT25" s="0" t="s">
        <v>240</v>
      </c>
      <c r="AU25" s="0" t="s">
        <v>240</v>
      </c>
      <c r="AV25" s="0" t="s">
        <v>240</v>
      </c>
      <c r="AW25" s="0" t="s">
        <v>240</v>
      </c>
      <c r="AX25" s="0" t="s">
        <v>240</v>
      </c>
      <c r="AY25" s="0" t="s">
        <v>240</v>
      </c>
      <c r="AZ25" s="0" t="s">
        <v>240</v>
      </c>
      <c r="BA25" s="0" t="s">
        <v>240</v>
      </c>
      <c r="BB25" s="0" t="s">
        <v>240</v>
      </c>
      <c r="BC25" s="0" t="s">
        <v>240</v>
      </c>
      <c r="BD25" s="0" t="s">
        <v>240</v>
      </c>
      <c r="BE25" s="0" t="s">
        <v>5552</v>
      </c>
      <c r="BF25" s="0" t="s">
        <v>5544</v>
      </c>
      <c r="BG25" s="0" t="s">
        <v>112</v>
      </c>
      <c r="BH25" s="0" t="s">
        <v>5589</v>
      </c>
      <c r="BI25" s="0" t="s">
        <v>123</v>
      </c>
      <c r="BJ25" s="0" t="s">
        <v>240</v>
      </c>
      <c r="BK25" s="0" t="s">
        <v>5608</v>
      </c>
      <c r="BL25" s="0" t="s">
        <v>2991</v>
      </c>
      <c r="BM25" s="0" t="s">
        <v>2991</v>
      </c>
      <c r="BN25" s="0" t="s">
        <v>5663</v>
      </c>
      <c r="BO25" s="0" t="s">
        <v>5668</v>
      </c>
      <c r="BP25" s="0" t="s">
        <v>5675</v>
      </c>
      <c r="BQ25" s="0" t="s">
        <v>5575</v>
      </c>
      <c r="BR25" s="0" t="s">
        <v>5575</v>
      </c>
      <c r="BS25" s="0" t="s">
        <v>240</v>
      </c>
      <c r="BT25" s="0" t="s">
        <v>5650</v>
      </c>
      <c r="BU25" s="0" t="s">
        <v>5676</v>
      </c>
      <c r="BV25" s="0" t="s">
        <v>5676</v>
      </c>
      <c r="BW25" s="0" t="s">
        <v>5598</v>
      </c>
      <c r="BX25" s="0" t="s">
        <v>5598</v>
      </c>
      <c r="BY25" s="0" t="s">
        <v>5598</v>
      </c>
      <c r="BZ25" s="0" t="s">
        <v>5598</v>
      </c>
      <c r="CA25" s="0" t="s">
        <v>5598</v>
      </c>
      <c r="CB25" s="0" t="s">
        <v>240</v>
      </c>
      <c r="CC25" s="0" t="s">
        <v>240</v>
      </c>
      <c r="CD25" s="0" t="s">
        <v>240</v>
      </c>
      <c r="CE25" s="0" t="s">
        <v>240</v>
      </c>
      <c r="CF25" s="0" t="s">
        <v>240</v>
      </c>
      <c r="CG25" s="0" t="s">
        <v>5598</v>
      </c>
      <c r="CH25" s="0" t="s">
        <v>240</v>
      </c>
      <c r="CI25" s="0" t="s">
        <v>240</v>
      </c>
      <c r="CJ25" s="0" t="s">
        <v>240</v>
      </c>
      <c r="CK25" s="0" t="s">
        <v>240</v>
      </c>
      <c r="CL25" s="0" t="s">
        <v>240</v>
      </c>
      <c r="CM25" s="0" t="s">
        <v>5676</v>
      </c>
      <c r="CN25" s="0" t="s">
        <v>5676</v>
      </c>
      <c r="CO25" s="0" t="s">
        <v>240</v>
      </c>
      <c r="CP25" s="0" t="s">
        <v>240</v>
      </c>
      <c r="CQ25" s="0" t="s">
        <v>240</v>
      </c>
      <c r="CR25" s="0" t="s">
        <v>240</v>
      </c>
      <c r="CS25" s="0" t="s">
        <v>5666</v>
      </c>
      <c r="CT25" s="0" t="s">
        <v>5496</v>
      </c>
      <c r="CU25" s="0" t="s">
        <v>5497</v>
      </c>
      <c r="CV25" s="0" t="s">
        <v>443</v>
      </c>
      <c r="CW25" s="0" t="s">
        <v>5547</v>
      </c>
      <c r="CX25" s="0" t="s">
        <v>229</v>
      </c>
      <c r="CY25" s="0" t="s">
        <v>443</v>
      </c>
      <c r="CZ25" s="0" t="s">
        <v>5548</v>
      </c>
      <c r="DA25" s="0" t="s">
        <v>5549</v>
      </c>
      <c r="DB25" s="0" t="s">
        <v>5547</v>
      </c>
      <c r="DC25" s="0" t="s">
        <v>384</v>
      </c>
      <c r="DD25" s="0" t="s">
        <v>291</v>
      </c>
      <c r="DE25" s="0" t="s">
        <v>5677</v>
      </c>
    </row>
    <row customHeight="1" ht="11.25">
      <c r="A26" s="1441" t="s">
        <v>240</v>
      </c>
      <c r="B26" s="0" t="s">
        <v>240</v>
      </c>
      <c r="C26" s="0" t="s">
        <v>240</v>
      </c>
      <c r="D26" s="0" t="s">
        <v>240</v>
      </c>
      <c r="E26" s="0" t="s">
        <v>240</v>
      </c>
      <c r="F26" s="0" t="s">
        <v>240</v>
      </c>
      <c r="G26" s="0" t="s">
        <v>240</v>
      </c>
      <c r="H26" s="0" t="s">
        <v>240</v>
      </c>
      <c r="I26" s="0" t="s">
        <v>5484</v>
      </c>
      <c r="J26" s="0" t="s">
        <v>240</v>
      </c>
      <c r="K26" s="0" t="s">
        <v>240</v>
      </c>
      <c r="L26" s="0" t="s">
        <v>240</v>
      </c>
      <c r="M26" s="0" t="s">
        <v>240</v>
      </c>
      <c r="N26" s="0" t="s">
        <v>240</v>
      </c>
      <c r="O26" s="0" t="s">
        <v>240</v>
      </c>
      <c r="P26" s="0" t="s">
        <v>240</v>
      </c>
      <c r="Q26" s="0" t="s">
        <v>240</v>
      </c>
      <c r="R26" s="0" t="s">
        <v>5572</v>
      </c>
      <c r="S26" s="0" t="s">
        <v>240</v>
      </c>
      <c r="T26" s="0" t="s">
        <v>240</v>
      </c>
      <c r="U26" s="0" t="s">
        <v>102</v>
      </c>
      <c r="V26" s="0" t="s">
        <v>240</v>
      </c>
      <c r="W26" s="0" t="s">
        <v>240</v>
      </c>
      <c r="X26" s="0" t="s">
        <v>5485</v>
      </c>
      <c r="Y26" s="0" t="s">
        <v>240</v>
      </c>
      <c r="Z26" s="0" t="s">
        <v>161</v>
      </c>
      <c r="AA26" s="0" t="s">
        <v>152</v>
      </c>
      <c r="AB26" s="0" t="s">
        <v>152</v>
      </c>
      <c r="AC26" s="0" t="s">
        <v>2991</v>
      </c>
      <c r="AD26" s="0" t="s">
        <v>2991</v>
      </c>
      <c r="AE26" s="0" t="s">
        <v>2992</v>
      </c>
      <c r="AF26" s="0" t="s">
        <v>5678</v>
      </c>
      <c r="AG26" s="0" t="s">
        <v>5679</v>
      </c>
      <c r="AH26" s="0" t="s">
        <v>5670</v>
      </c>
      <c r="AI26" s="0" t="s">
        <v>5612</v>
      </c>
      <c r="AJ26" s="0" t="s">
        <v>5504</v>
      </c>
      <c r="AK26" s="0" t="s">
        <v>5672</v>
      </c>
      <c r="AL26" s="0" t="s">
        <v>5506</v>
      </c>
      <c r="AM26" s="0" t="s">
        <v>5493</v>
      </c>
      <c r="AN26" s="0" t="s">
        <v>5545</v>
      </c>
      <c r="AO26" s="0" t="s">
        <v>5680</v>
      </c>
      <c r="AP26" s="0" t="s">
        <v>240</v>
      </c>
      <c r="AQ26" s="0" t="s">
        <v>240</v>
      </c>
      <c r="AR26" s="0" t="s">
        <v>240</v>
      </c>
      <c r="AS26" s="0" t="s">
        <v>240</v>
      </c>
      <c r="AT26" s="0" t="s">
        <v>240</v>
      </c>
      <c r="AU26" s="0" t="s">
        <v>240</v>
      </c>
      <c r="AV26" s="0" t="s">
        <v>240</v>
      </c>
      <c r="AW26" s="0" t="s">
        <v>240</v>
      </c>
      <c r="AX26" s="0" t="s">
        <v>240</v>
      </c>
      <c r="AY26" s="0" t="s">
        <v>240</v>
      </c>
      <c r="AZ26" s="0" t="s">
        <v>240</v>
      </c>
      <c r="BA26" s="0" t="s">
        <v>240</v>
      </c>
      <c r="BB26" s="0" t="s">
        <v>240</v>
      </c>
      <c r="BC26" s="0" t="s">
        <v>240</v>
      </c>
      <c r="BD26" s="0" t="s">
        <v>240</v>
      </c>
      <c r="BE26" s="0" t="s">
        <v>240</v>
      </c>
      <c r="BF26" s="0" t="s">
        <v>240</v>
      </c>
      <c r="BG26" s="0" t="s">
        <v>240</v>
      </c>
      <c r="BH26" s="0" t="s">
        <v>240</v>
      </c>
      <c r="BI26" s="0" t="s">
        <v>240</v>
      </c>
      <c r="BJ26" s="0" t="s">
        <v>240</v>
      </c>
      <c r="BK26" s="0" t="s">
        <v>240</v>
      </c>
      <c r="BL26" s="0" t="s">
        <v>240</v>
      </c>
      <c r="BM26" s="0" t="s">
        <v>240</v>
      </c>
      <c r="BN26" s="0" t="s">
        <v>240</v>
      </c>
      <c r="BO26" s="0" t="s">
        <v>240</v>
      </c>
      <c r="BP26" s="0" t="s">
        <v>240</v>
      </c>
      <c r="BQ26" s="0" t="s">
        <v>240</v>
      </c>
      <c r="BR26" s="0" t="s">
        <v>240</v>
      </c>
      <c r="BS26" s="0" t="s">
        <v>240</v>
      </c>
      <c r="BT26" s="0" t="s">
        <v>240</v>
      </c>
      <c r="BU26" s="0" t="s">
        <v>240</v>
      </c>
      <c r="BV26" s="0" t="s">
        <v>240</v>
      </c>
      <c r="BW26" s="0" t="s">
        <v>240</v>
      </c>
      <c r="BX26" s="0" t="s">
        <v>240</v>
      </c>
      <c r="BY26" s="0" t="s">
        <v>240</v>
      </c>
      <c r="BZ26" s="0" t="s">
        <v>240</v>
      </c>
      <c r="CA26" s="0" t="s">
        <v>240</v>
      </c>
      <c r="CB26" s="0" t="s">
        <v>240</v>
      </c>
      <c r="CC26" s="0" t="s">
        <v>240</v>
      </c>
      <c r="CD26" s="0" t="s">
        <v>240</v>
      </c>
      <c r="CE26" s="0" t="s">
        <v>240</v>
      </c>
      <c r="CF26" s="0" t="s">
        <v>240</v>
      </c>
      <c r="CG26" s="0" t="s">
        <v>240</v>
      </c>
      <c r="CH26" s="0" t="s">
        <v>240</v>
      </c>
      <c r="CI26" s="0" t="s">
        <v>240</v>
      </c>
      <c r="CJ26" s="0" t="s">
        <v>240</v>
      </c>
      <c r="CK26" s="0" t="s">
        <v>240</v>
      </c>
      <c r="CL26" s="0" t="s">
        <v>240</v>
      </c>
      <c r="CM26" s="0" t="s">
        <v>240</v>
      </c>
      <c r="CN26" s="0" t="s">
        <v>240</v>
      </c>
      <c r="CO26" s="0" t="s">
        <v>240</v>
      </c>
      <c r="CP26" s="0" t="s">
        <v>240</v>
      </c>
      <c r="CQ26" s="0" t="s">
        <v>240</v>
      </c>
      <c r="CR26" s="0" t="s">
        <v>240</v>
      </c>
      <c r="CS26" s="0" t="s">
        <v>240</v>
      </c>
      <c r="CT26" s="0" t="s">
        <v>5496</v>
      </c>
      <c r="CU26" s="0" t="s">
        <v>5497</v>
      </c>
      <c r="CV26" s="0" t="s">
        <v>443</v>
      </c>
      <c r="CW26" s="0" t="s">
        <v>5547</v>
      </c>
      <c r="CX26" s="0" t="s">
        <v>229</v>
      </c>
      <c r="CY26" s="0" t="s">
        <v>443</v>
      </c>
      <c r="CZ26" s="0" t="s">
        <v>5548</v>
      </c>
      <c r="DA26" s="0" t="s">
        <v>5549</v>
      </c>
      <c r="DB26" s="0" t="s">
        <v>5547</v>
      </c>
      <c r="DC26" s="0" t="s">
        <v>384</v>
      </c>
      <c r="DD26" s="0" t="s">
        <v>291</v>
      </c>
      <c r="DE26" s="0" t="s">
        <v>5681</v>
      </c>
    </row>
    <row customHeight="1" ht="11.25">
      <c r="A27" s="1441" t="s">
        <v>240</v>
      </c>
      <c r="B27" s="0" t="s">
        <v>240</v>
      </c>
      <c r="C27" s="0" t="s">
        <v>240</v>
      </c>
      <c r="D27" s="0" t="s">
        <v>240</v>
      </c>
      <c r="E27" s="0" t="s">
        <v>240</v>
      </c>
      <c r="F27" s="0" t="s">
        <v>240</v>
      </c>
      <c r="G27" s="0" t="s">
        <v>240</v>
      </c>
      <c r="H27" s="0" t="s">
        <v>240</v>
      </c>
      <c r="I27" s="0" t="s">
        <v>5484</v>
      </c>
      <c r="J27" s="0" t="s">
        <v>240</v>
      </c>
      <c r="K27" s="0" t="s">
        <v>240</v>
      </c>
      <c r="L27" s="0" t="s">
        <v>240</v>
      </c>
      <c r="M27" s="0" t="s">
        <v>240</v>
      </c>
      <c r="N27" s="0" t="s">
        <v>240</v>
      </c>
      <c r="O27" s="0" t="s">
        <v>240</v>
      </c>
      <c r="P27" s="0" t="s">
        <v>240</v>
      </c>
      <c r="Q27" s="0" t="s">
        <v>240</v>
      </c>
      <c r="R27" s="0" t="s">
        <v>5572</v>
      </c>
      <c r="S27" s="0" t="s">
        <v>240</v>
      </c>
      <c r="T27" s="0" t="s">
        <v>240</v>
      </c>
      <c r="U27" s="0" t="s">
        <v>102</v>
      </c>
      <c r="V27" s="0" t="s">
        <v>240</v>
      </c>
      <c r="W27" s="0" t="s">
        <v>240</v>
      </c>
      <c r="X27" s="0" t="s">
        <v>5485</v>
      </c>
      <c r="Y27" s="0" t="s">
        <v>240</v>
      </c>
      <c r="Z27" s="0" t="s">
        <v>161</v>
      </c>
      <c r="AA27" s="0" t="s">
        <v>152</v>
      </c>
      <c r="AB27" s="0" t="s">
        <v>152</v>
      </c>
      <c r="AC27" s="0" t="s">
        <v>2991</v>
      </c>
      <c r="AD27" s="0" t="s">
        <v>2991</v>
      </c>
      <c r="AE27" s="0" t="s">
        <v>2992</v>
      </c>
      <c r="AF27" s="0" t="s">
        <v>5682</v>
      </c>
      <c r="AG27" s="0" t="s">
        <v>5683</v>
      </c>
      <c r="AH27" s="0" t="s">
        <v>5684</v>
      </c>
      <c r="AI27" s="0" t="s">
        <v>475</v>
      </c>
      <c r="AJ27" s="0" t="s">
        <v>5552</v>
      </c>
      <c r="AK27" s="0" t="s">
        <v>5544</v>
      </c>
      <c r="AL27" s="0" t="s">
        <v>5506</v>
      </c>
      <c r="AM27" s="0" t="s">
        <v>5493</v>
      </c>
      <c r="AN27" s="0" t="s">
        <v>5553</v>
      </c>
      <c r="AO27" s="0" t="s">
        <v>5625</v>
      </c>
      <c r="AP27" s="0" t="s">
        <v>240</v>
      </c>
      <c r="AQ27" s="0" t="s">
        <v>240</v>
      </c>
      <c r="AR27" s="0" t="s">
        <v>240</v>
      </c>
      <c r="AS27" s="0" t="s">
        <v>240</v>
      </c>
      <c r="AT27" s="0" t="s">
        <v>240</v>
      </c>
      <c r="AU27" s="0" t="s">
        <v>240</v>
      </c>
      <c r="AV27" s="0" t="s">
        <v>240</v>
      </c>
      <c r="AW27" s="0" t="s">
        <v>240</v>
      </c>
      <c r="AX27" s="0" t="s">
        <v>240</v>
      </c>
      <c r="AY27" s="0" t="s">
        <v>240</v>
      </c>
      <c r="AZ27" s="0" t="s">
        <v>240</v>
      </c>
      <c r="BA27" s="0" t="s">
        <v>240</v>
      </c>
      <c r="BB27" s="0" t="s">
        <v>240</v>
      </c>
      <c r="BC27" s="0" t="s">
        <v>240</v>
      </c>
      <c r="BD27" s="0" t="s">
        <v>240</v>
      </c>
      <c r="BE27" s="0" t="s">
        <v>240</v>
      </c>
      <c r="BF27" s="0" t="s">
        <v>240</v>
      </c>
      <c r="BG27" s="0" t="s">
        <v>240</v>
      </c>
      <c r="BH27" s="0" t="s">
        <v>240</v>
      </c>
      <c r="BI27" s="0" t="s">
        <v>240</v>
      </c>
      <c r="BJ27" s="0" t="s">
        <v>240</v>
      </c>
      <c r="BK27" s="0" t="s">
        <v>240</v>
      </c>
      <c r="BL27" s="0" t="s">
        <v>240</v>
      </c>
      <c r="BM27" s="0" t="s">
        <v>240</v>
      </c>
      <c r="BN27" s="0" t="s">
        <v>240</v>
      </c>
      <c r="BO27" s="0" t="s">
        <v>240</v>
      </c>
      <c r="BP27" s="0" t="s">
        <v>240</v>
      </c>
      <c r="BQ27" s="0" t="s">
        <v>240</v>
      </c>
      <c r="BR27" s="0" t="s">
        <v>240</v>
      </c>
      <c r="BS27" s="0" t="s">
        <v>240</v>
      </c>
      <c r="BT27" s="0" t="s">
        <v>240</v>
      </c>
      <c r="BU27" s="0" t="s">
        <v>240</v>
      </c>
      <c r="BV27" s="0" t="s">
        <v>240</v>
      </c>
      <c r="BW27" s="0" t="s">
        <v>240</v>
      </c>
      <c r="BX27" s="0" t="s">
        <v>240</v>
      </c>
      <c r="BY27" s="0" t="s">
        <v>240</v>
      </c>
      <c r="BZ27" s="0" t="s">
        <v>240</v>
      </c>
      <c r="CA27" s="0" t="s">
        <v>240</v>
      </c>
      <c r="CB27" s="0" t="s">
        <v>240</v>
      </c>
      <c r="CC27" s="0" t="s">
        <v>240</v>
      </c>
      <c r="CD27" s="0" t="s">
        <v>240</v>
      </c>
      <c r="CE27" s="0" t="s">
        <v>240</v>
      </c>
      <c r="CF27" s="0" t="s">
        <v>240</v>
      </c>
      <c r="CG27" s="0" t="s">
        <v>240</v>
      </c>
      <c r="CH27" s="0" t="s">
        <v>240</v>
      </c>
      <c r="CI27" s="0" t="s">
        <v>240</v>
      </c>
      <c r="CJ27" s="0" t="s">
        <v>240</v>
      </c>
      <c r="CK27" s="0" t="s">
        <v>240</v>
      </c>
      <c r="CL27" s="0" t="s">
        <v>240</v>
      </c>
      <c r="CM27" s="0" t="s">
        <v>240</v>
      </c>
      <c r="CN27" s="0" t="s">
        <v>240</v>
      </c>
      <c r="CO27" s="0" t="s">
        <v>240</v>
      </c>
      <c r="CP27" s="0" t="s">
        <v>240</v>
      </c>
      <c r="CQ27" s="0" t="s">
        <v>240</v>
      </c>
      <c r="CR27" s="0" t="s">
        <v>240</v>
      </c>
      <c r="CS27" s="0" t="s">
        <v>240</v>
      </c>
      <c r="CT27" s="0" t="s">
        <v>5496</v>
      </c>
      <c r="CU27" s="0" t="s">
        <v>5497</v>
      </c>
      <c r="CV27" s="0" t="s">
        <v>443</v>
      </c>
      <c r="CW27" s="0" t="s">
        <v>5547</v>
      </c>
      <c r="CX27" s="0" t="s">
        <v>229</v>
      </c>
      <c r="CY27" s="0" t="s">
        <v>443</v>
      </c>
      <c r="CZ27" s="0" t="s">
        <v>5548</v>
      </c>
      <c r="DA27" s="0" t="s">
        <v>5549</v>
      </c>
      <c r="DB27" s="0" t="s">
        <v>5547</v>
      </c>
      <c r="DC27" s="0" t="s">
        <v>384</v>
      </c>
      <c r="DD27" s="0" t="s">
        <v>291</v>
      </c>
      <c r="DE27" s="0" t="s">
        <v>5685</v>
      </c>
    </row>
    <row customHeight="1" ht="11.25">
      <c r="A28" s="1441" t="s">
        <v>240</v>
      </c>
      <c r="B28" s="0" t="s">
        <v>240</v>
      </c>
      <c r="C28" s="0" t="s">
        <v>240</v>
      </c>
      <c r="D28" s="0" t="s">
        <v>240</v>
      </c>
      <c r="E28" s="0" t="s">
        <v>240</v>
      </c>
      <c r="F28" s="0" t="s">
        <v>240</v>
      </c>
      <c r="G28" s="0" t="s">
        <v>240</v>
      </c>
      <c r="H28" s="0" t="s">
        <v>240</v>
      </c>
      <c r="I28" s="0" t="s">
        <v>5484</v>
      </c>
      <c r="J28" s="0" t="s">
        <v>240</v>
      </c>
      <c r="K28" s="0" t="s">
        <v>240</v>
      </c>
      <c r="L28" s="0" t="s">
        <v>240</v>
      </c>
      <c r="M28" s="0" t="s">
        <v>240</v>
      </c>
      <c r="N28" s="0" t="s">
        <v>240</v>
      </c>
      <c r="O28" s="0" t="s">
        <v>240</v>
      </c>
      <c r="P28" s="0" t="s">
        <v>240</v>
      </c>
      <c r="Q28" s="0" t="s">
        <v>240</v>
      </c>
      <c r="R28" s="0" t="s">
        <v>5572</v>
      </c>
      <c r="S28" s="0" t="s">
        <v>240</v>
      </c>
      <c r="T28" s="0" t="s">
        <v>240</v>
      </c>
      <c r="U28" s="0" t="s">
        <v>102</v>
      </c>
      <c r="V28" s="0" t="s">
        <v>240</v>
      </c>
      <c r="W28" s="0" t="s">
        <v>240</v>
      </c>
      <c r="X28" s="0" t="s">
        <v>5485</v>
      </c>
      <c r="Y28" s="0" t="s">
        <v>240</v>
      </c>
      <c r="Z28" s="0" t="s">
        <v>161</v>
      </c>
      <c r="AA28" s="0" t="s">
        <v>152</v>
      </c>
      <c r="AB28" s="0" t="s">
        <v>152</v>
      </c>
      <c r="AC28" s="0" t="s">
        <v>2991</v>
      </c>
      <c r="AD28" s="0" t="s">
        <v>2991</v>
      </c>
      <c r="AE28" s="0" t="s">
        <v>2992</v>
      </c>
      <c r="AF28" s="0" t="s">
        <v>5686</v>
      </c>
      <c r="AG28" s="0" t="s">
        <v>5687</v>
      </c>
      <c r="AH28" s="0" t="s">
        <v>5688</v>
      </c>
      <c r="AI28" s="0" t="s">
        <v>5612</v>
      </c>
      <c r="AJ28" s="0" t="s">
        <v>5552</v>
      </c>
      <c r="AK28" s="0" t="s">
        <v>5544</v>
      </c>
      <c r="AL28" s="0" t="s">
        <v>5506</v>
      </c>
      <c r="AM28" s="0" t="s">
        <v>5493</v>
      </c>
      <c r="AN28" s="0" t="s">
        <v>5545</v>
      </c>
      <c r="AO28" s="0" t="s">
        <v>5680</v>
      </c>
      <c r="AP28" s="0" t="s">
        <v>240</v>
      </c>
      <c r="AQ28" s="0" t="s">
        <v>240</v>
      </c>
      <c r="AR28" s="0" t="s">
        <v>240</v>
      </c>
      <c r="AS28" s="0" t="s">
        <v>240</v>
      </c>
      <c r="AT28" s="0" t="s">
        <v>240</v>
      </c>
      <c r="AU28" s="0" t="s">
        <v>240</v>
      </c>
      <c r="AV28" s="0" t="s">
        <v>240</v>
      </c>
      <c r="AW28" s="0" t="s">
        <v>240</v>
      </c>
      <c r="AX28" s="0" t="s">
        <v>240</v>
      </c>
      <c r="AY28" s="0" t="s">
        <v>240</v>
      </c>
      <c r="AZ28" s="0" t="s">
        <v>240</v>
      </c>
      <c r="BA28" s="0" t="s">
        <v>240</v>
      </c>
      <c r="BB28" s="0" t="s">
        <v>240</v>
      </c>
      <c r="BC28" s="0" t="s">
        <v>240</v>
      </c>
      <c r="BD28" s="0" t="s">
        <v>240</v>
      </c>
      <c r="BE28" s="0" t="s">
        <v>240</v>
      </c>
      <c r="BF28" s="0" t="s">
        <v>240</v>
      </c>
      <c r="BG28" s="0" t="s">
        <v>240</v>
      </c>
      <c r="BH28" s="0" t="s">
        <v>240</v>
      </c>
      <c r="BI28" s="0" t="s">
        <v>240</v>
      </c>
      <c r="BJ28" s="0" t="s">
        <v>240</v>
      </c>
      <c r="BK28" s="0" t="s">
        <v>240</v>
      </c>
      <c r="BL28" s="0" t="s">
        <v>240</v>
      </c>
      <c r="BM28" s="0" t="s">
        <v>240</v>
      </c>
      <c r="BN28" s="0" t="s">
        <v>240</v>
      </c>
      <c r="BO28" s="0" t="s">
        <v>240</v>
      </c>
      <c r="BP28" s="0" t="s">
        <v>240</v>
      </c>
      <c r="BQ28" s="0" t="s">
        <v>240</v>
      </c>
      <c r="BR28" s="0" t="s">
        <v>240</v>
      </c>
      <c r="BS28" s="0" t="s">
        <v>240</v>
      </c>
      <c r="BT28" s="0" t="s">
        <v>240</v>
      </c>
      <c r="BU28" s="0" t="s">
        <v>240</v>
      </c>
      <c r="BV28" s="0" t="s">
        <v>240</v>
      </c>
      <c r="BW28" s="0" t="s">
        <v>240</v>
      </c>
      <c r="BX28" s="0" t="s">
        <v>240</v>
      </c>
      <c r="BY28" s="0" t="s">
        <v>240</v>
      </c>
      <c r="BZ28" s="0" t="s">
        <v>240</v>
      </c>
      <c r="CA28" s="0" t="s">
        <v>240</v>
      </c>
      <c r="CB28" s="0" t="s">
        <v>240</v>
      </c>
      <c r="CC28" s="0" t="s">
        <v>240</v>
      </c>
      <c r="CD28" s="0" t="s">
        <v>240</v>
      </c>
      <c r="CE28" s="0" t="s">
        <v>240</v>
      </c>
      <c r="CF28" s="0" t="s">
        <v>240</v>
      </c>
      <c r="CG28" s="0" t="s">
        <v>240</v>
      </c>
      <c r="CH28" s="0" t="s">
        <v>240</v>
      </c>
      <c r="CI28" s="0" t="s">
        <v>240</v>
      </c>
      <c r="CJ28" s="0" t="s">
        <v>240</v>
      </c>
      <c r="CK28" s="0" t="s">
        <v>240</v>
      </c>
      <c r="CL28" s="0" t="s">
        <v>240</v>
      </c>
      <c r="CM28" s="0" t="s">
        <v>240</v>
      </c>
      <c r="CN28" s="0" t="s">
        <v>240</v>
      </c>
      <c r="CO28" s="0" t="s">
        <v>240</v>
      </c>
      <c r="CP28" s="0" t="s">
        <v>240</v>
      </c>
      <c r="CQ28" s="0" t="s">
        <v>240</v>
      </c>
      <c r="CR28" s="0" t="s">
        <v>240</v>
      </c>
      <c r="CS28" s="0" t="s">
        <v>240</v>
      </c>
      <c r="CT28" s="0" t="s">
        <v>5496</v>
      </c>
      <c r="CU28" s="0" t="s">
        <v>5497</v>
      </c>
      <c r="CV28" s="0" t="s">
        <v>443</v>
      </c>
      <c r="CW28" s="0" t="s">
        <v>5547</v>
      </c>
      <c r="CX28" s="0" t="s">
        <v>229</v>
      </c>
      <c r="CY28" s="0" t="s">
        <v>443</v>
      </c>
      <c r="CZ28" s="0" t="s">
        <v>5548</v>
      </c>
      <c r="DA28" s="0" t="s">
        <v>5549</v>
      </c>
      <c r="DB28" s="0" t="s">
        <v>5547</v>
      </c>
      <c r="DC28" s="0" t="s">
        <v>384</v>
      </c>
      <c r="DD28" s="0" t="s">
        <v>291</v>
      </c>
      <c r="DE28" s="0" t="s">
        <v>5689</v>
      </c>
    </row>
    <row customHeight="1" ht="11.25">
      <c r="A29" s="1441" t="s">
        <v>240</v>
      </c>
      <c r="B29" s="0" t="s">
        <v>240</v>
      </c>
      <c r="C29" s="0" t="s">
        <v>240</v>
      </c>
      <c r="D29" s="0" t="s">
        <v>240</v>
      </c>
      <c r="E29" s="0" t="s">
        <v>240</v>
      </c>
      <c r="F29" s="0" t="s">
        <v>240</v>
      </c>
      <c r="G29" s="0" t="s">
        <v>240</v>
      </c>
      <c r="H29" s="0" t="s">
        <v>240</v>
      </c>
      <c r="I29" s="0" t="s">
        <v>5484</v>
      </c>
      <c r="J29" s="0" t="s">
        <v>240</v>
      </c>
      <c r="K29" s="0" t="s">
        <v>240</v>
      </c>
      <c r="L29" s="0" t="s">
        <v>240</v>
      </c>
      <c r="M29" s="0" t="s">
        <v>240</v>
      </c>
      <c r="N29" s="0" t="s">
        <v>240</v>
      </c>
      <c r="O29" s="0" t="s">
        <v>240</v>
      </c>
      <c r="P29" s="0" t="s">
        <v>240</v>
      </c>
      <c r="Q29" s="0" t="s">
        <v>240</v>
      </c>
      <c r="R29" s="0" t="s">
        <v>5690</v>
      </c>
      <c r="S29" s="0" t="s">
        <v>240</v>
      </c>
      <c r="T29" s="0" t="s">
        <v>240</v>
      </c>
      <c r="U29" s="0" t="s">
        <v>102</v>
      </c>
      <c r="V29" s="0" t="s">
        <v>240</v>
      </c>
      <c r="W29" s="0" t="s">
        <v>240</v>
      </c>
      <c r="X29" s="0" t="s">
        <v>5485</v>
      </c>
      <c r="Y29" s="0" t="s">
        <v>240</v>
      </c>
      <c r="Z29" s="0" t="s">
        <v>161</v>
      </c>
      <c r="AA29" s="0" t="s">
        <v>152</v>
      </c>
      <c r="AB29" s="0" t="s">
        <v>152</v>
      </c>
      <c r="AC29" s="0" t="s">
        <v>2991</v>
      </c>
      <c r="AD29" s="0" t="s">
        <v>2991</v>
      </c>
      <c r="AE29" s="0" t="s">
        <v>2992</v>
      </c>
      <c r="AF29" s="0" t="s">
        <v>5691</v>
      </c>
      <c r="AG29" s="0" t="s">
        <v>5692</v>
      </c>
      <c r="AH29" s="0" t="s">
        <v>5693</v>
      </c>
      <c r="AI29" s="0" t="s">
        <v>5694</v>
      </c>
      <c r="AJ29" s="0" t="s">
        <v>5504</v>
      </c>
      <c r="AK29" s="0" t="s">
        <v>5544</v>
      </c>
      <c r="AL29" s="0" t="s">
        <v>5506</v>
      </c>
      <c r="AM29" s="0" t="s">
        <v>5493</v>
      </c>
      <c r="AN29" s="0" t="s">
        <v>5545</v>
      </c>
      <c r="AO29" s="0" t="s">
        <v>5695</v>
      </c>
      <c r="AP29" s="0" t="s">
        <v>240</v>
      </c>
      <c r="AQ29" s="0" t="s">
        <v>240</v>
      </c>
      <c r="AR29" s="0" t="s">
        <v>240</v>
      </c>
      <c r="AS29" s="0" t="s">
        <v>240</v>
      </c>
      <c r="AT29" s="0" t="s">
        <v>240</v>
      </c>
      <c r="AU29" s="0" t="s">
        <v>240</v>
      </c>
      <c r="AV29" s="0" t="s">
        <v>240</v>
      </c>
      <c r="AW29" s="0" t="s">
        <v>240</v>
      </c>
      <c r="AX29" s="0" t="s">
        <v>240</v>
      </c>
      <c r="AY29" s="0" t="s">
        <v>240</v>
      </c>
      <c r="AZ29" s="0" t="s">
        <v>240</v>
      </c>
      <c r="BA29" s="0" t="s">
        <v>240</v>
      </c>
      <c r="BB29" s="0" t="s">
        <v>240</v>
      </c>
      <c r="BC29" s="0" t="s">
        <v>240</v>
      </c>
      <c r="BD29" s="0" t="s">
        <v>240</v>
      </c>
      <c r="BE29" s="0" t="s">
        <v>240</v>
      </c>
      <c r="BF29" s="0" t="s">
        <v>240</v>
      </c>
      <c r="BG29" s="0" t="s">
        <v>240</v>
      </c>
      <c r="BH29" s="0" t="s">
        <v>240</v>
      </c>
      <c r="BI29" s="0" t="s">
        <v>240</v>
      </c>
      <c r="BJ29" s="0" t="s">
        <v>240</v>
      </c>
      <c r="BK29" s="0" t="s">
        <v>240</v>
      </c>
      <c r="BL29" s="0" t="s">
        <v>240</v>
      </c>
      <c r="BM29" s="0" t="s">
        <v>240</v>
      </c>
      <c r="BN29" s="0" t="s">
        <v>240</v>
      </c>
      <c r="BO29" s="0" t="s">
        <v>240</v>
      </c>
      <c r="BP29" s="0" t="s">
        <v>240</v>
      </c>
      <c r="BQ29" s="0" t="s">
        <v>240</v>
      </c>
      <c r="BR29" s="0" t="s">
        <v>240</v>
      </c>
      <c r="BS29" s="0" t="s">
        <v>240</v>
      </c>
      <c r="BT29" s="0" t="s">
        <v>240</v>
      </c>
      <c r="BU29" s="0" t="s">
        <v>240</v>
      </c>
      <c r="BV29" s="0" t="s">
        <v>240</v>
      </c>
      <c r="BW29" s="0" t="s">
        <v>240</v>
      </c>
      <c r="BX29" s="0" t="s">
        <v>240</v>
      </c>
      <c r="BY29" s="0" t="s">
        <v>240</v>
      </c>
      <c r="BZ29" s="0" t="s">
        <v>240</v>
      </c>
      <c r="CA29" s="0" t="s">
        <v>240</v>
      </c>
      <c r="CB29" s="0" t="s">
        <v>240</v>
      </c>
      <c r="CC29" s="0" t="s">
        <v>240</v>
      </c>
      <c r="CD29" s="0" t="s">
        <v>240</v>
      </c>
      <c r="CE29" s="0" t="s">
        <v>240</v>
      </c>
      <c r="CF29" s="0" t="s">
        <v>240</v>
      </c>
      <c r="CG29" s="0" t="s">
        <v>240</v>
      </c>
      <c r="CH29" s="0" t="s">
        <v>240</v>
      </c>
      <c r="CI29" s="0" t="s">
        <v>240</v>
      </c>
      <c r="CJ29" s="0" t="s">
        <v>240</v>
      </c>
      <c r="CK29" s="0" t="s">
        <v>240</v>
      </c>
      <c r="CL29" s="0" t="s">
        <v>240</v>
      </c>
      <c r="CM29" s="0" t="s">
        <v>240</v>
      </c>
      <c r="CN29" s="0" t="s">
        <v>240</v>
      </c>
      <c r="CO29" s="0" t="s">
        <v>240</v>
      </c>
      <c r="CP29" s="0" t="s">
        <v>240</v>
      </c>
      <c r="CQ29" s="0" t="s">
        <v>240</v>
      </c>
      <c r="CR29" s="0" t="s">
        <v>240</v>
      </c>
      <c r="CS29" s="0" t="s">
        <v>240</v>
      </c>
      <c r="CT29" s="0" t="s">
        <v>5496</v>
      </c>
      <c r="CU29" s="0" t="s">
        <v>5497</v>
      </c>
      <c r="CV29" s="0" t="s">
        <v>443</v>
      </c>
      <c r="CW29" s="0" t="s">
        <v>5547</v>
      </c>
      <c r="CX29" s="0" t="s">
        <v>229</v>
      </c>
      <c r="CY29" s="0" t="s">
        <v>443</v>
      </c>
      <c r="CZ29" s="0" t="s">
        <v>5548</v>
      </c>
      <c r="DA29" s="0" t="s">
        <v>5549</v>
      </c>
      <c r="DB29" s="0" t="s">
        <v>5547</v>
      </c>
      <c r="DC29" s="0" t="s">
        <v>384</v>
      </c>
      <c r="DD29" s="0" t="s">
        <v>291</v>
      </c>
      <c r="DE29" s="0" t="s">
        <v>5696</v>
      </c>
    </row>
    <row customHeight="1" ht="11.25">
      <c r="A30" s="1441" t="s">
        <v>240</v>
      </c>
      <c r="B30" s="0" t="s">
        <v>240</v>
      </c>
      <c r="C30" s="0" t="s">
        <v>240</v>
      </c>
      <c r="D30" s="0" t="s">
        <v>240</v>
      </c>
      <c r="E30" s="0" t="s">
        <v>240</v>
      </c>
      <c r="F30" s="0" t="s">
        <v>240</v>
      </c>
      <c r="G30" s="0" t="s">
        <v>240</v>
      </c>
      <c r="H30" s="0" t="s">
        <v>240</v>
      </c>
      <c r="I30" s="0" t="s">
        <v>5484</v>
      </c>
      <c r="J30" s="0" t="s">
        <v>240</v>
      </c>
      <c r="K30" s="0" t="s">
        <v>240</v>
      </c>
      <c r="L30" s="0" t="s">
        <v>240</v>
      </c>
      <c r="M30" s="0" t="s">
        <v>240</v>
      </c>
      <c r="N30" s="0" t="s">
        <v>240</v>
      </c>
      <c r="O30" s="0" t="s">
        <v>240</v>
      </c>
      <c r="P30" s="0" t="s">
        <v>240</v>
      </c>
      <c r="Q30" s="0" t="s">
        <v>240</v>
      </c>
      <c r="R30" s="0" t="s">
        <v>5608</v>
      </c>
      <c r="S30" s="0" t="s">
        <v>240</v>
      </c>
      <c r="T30" s="0" t="s">
        <v>240</v>
      </c>
      <c r="U30" s="0" t="s">
        <v>102</v>
      </c>
      <c r="V30" s="0" t="s">
        <v>240</v>
      </c>
      <c r="W30" s="0" t="s">
        <v>240</v>
      </c>
      <c r="X30" s="0" t="s">
        <v>5485</v>
      </c>
      <c r="Y30" s="0" t="s">
        <v>240</v>
      </c>
      <c r="Z30" s="0" t="s">
        <v>161</v>
      </c>
      <c r="AA30" s="0" t="s">
        <v>152</v>
      </c>
      <c r="AB30" s="0" t="s">
        <v>152</v>
      </c>
      <c r="AC30" s="0" t="s">
        <v>2985</v>
      </c>
      <c r="AD30" s="0" t="s">
        <v>2985</v>
      </c>
      <c r="AE30" s="0" t="s">
        <v>2986</v>
      </c>
      <c r="AF30" s="0" t="s">
        <v>5621</v>
      </c>
      <c r="AG30" s="0" t="s">
        <v>5622</v>
      </c>
      <c r="AH30" s="0" t="s">
        <v>5623</v>
      </c>
      <c r="AI30" s="0" t="s">
        <v>5640</v>
      </c>
      <c r="AJ30" s="0" t="s">
        <v>5504</v>
      </c>
      <c r="AK30" s="0" t="s">
        <v>5505</v>
      </c>
      <c r="AL30" s="0" t="s">
        <v>5506</v>
      </c>
      <c r="AM30" s="0" t="s">
        <v>5493</v>
      </c>
      <c r="AN30" s="0" t="s">
        <v>5507</v>
      </c>
      <c r="AO30" s="0" t="s">
        <v>5695</v>
      </c>
      <c r="AP30" s="0" t="s">
        <v>240</v>
      </c>
      <c r="AQ30" s="0" t="s">
        <v>240</v>
      </c>
      <c r="AR30" s="0" t="s">
        <v>240</v>
      </c>
      <c r="AS30" s="0" t="s">
        <v>240</v>
      </c>
      <c r="AT30" s="0" t="s">
        <v>240</v>
      </c>
      <c r="AU30" s="0" t="s">
        <v>240</v>
      </c>
      <c r="AV30" s="0" t="s">
        <v>240</v>
      </c>
      <c r="AW30" s="0" t="s">
        <v>240</v>
      </c>
      <c r="AX30" s="0" t="s">
        <v>240</v>
      </c>
      <c r="AY30" s="0" t="s">
        <v>240</v>
      </c>
      <c r="AZ30" s="0" t="s">
        <v>240</v>
      </c>
      <c r="BA30" s="0" t="s">
        <v>240</v>
      </c>
      <c r="BB30" s="0" t="s">
        <v>240</v>
      </c>
      <c r="BC30" s="0" t="s">
        <v>240</v>
      </c>
      <c r="BD30" s="0" t="s">
        <v>240</v>
      </c>
      <c r="BE30" s="0" t="s">
        <v>240</v>
      </c>
      <c r="BF30" s="0" t="s">
        <v>240</v>
      </c>
      <c r="BG30" s="0" t="s">
        <v>240</v>
      </c>
      <c r="BH30" s="0" t="s">
        <v>240</v>
      </c>
      <c r="BI30" s="0" t="s">
        <v>240</v>
      </c>
      <c r="BJ30" s="0" t="s">
        <v>240</v>
      </c>
      <c r="BK30" s="0" t="s">
        <v>240</v>
      </c>
      <c r="BL30" s="0" t="s">
        <v>240</v>
      </c>
      <c r="BM30" s="0" t="s">
        <v>240</v>
      </c>
      <c r="BN30" s="0" t="s">
        <v>240</v>
      </c>
      <c r="BO30" s="0" t="s">
        <v>240</v>
      </c>
      <c r="BP30" s="0" t="s">
        <v>240</v>
      </c>
      <c r="BQ30" s="0" t="s">
        <v>240</v>
      </c>
      <c r="BR30" s="0" t="s">
        <v>240</v>
      </c>
      <c r="BS30" s="0" t="s">
        <v>240</v>
      </c>
      <c r="BT30" s="0" t="s">
        <v>240</v>
      </c>
      <c r="BU30" s="0" t="s">
        <v>240</v>
      </c>
      <c r="BV30" s="0" t="s">
        <v>240</v>
      </c>
      <c r="BW30" s="0" t="s">
        <v>240</v>
      </c>
      <c r="BX30" s="0" t="s">
        <v>240</v>
      </c>
      <c r="BY30" s="0" t="s">
        <v>240</v>
      </c>
      <c r="BZ30" s="0" t="s">
        <v>240</v>
      </c>
      <c r="CA30" s="0" t="s">
        <v>240</v>
      </c>
      <c r="CB30" s="0" t="s">
        <v>240</v>
      </c>
      <c r="CC30" s="0" t="s">
        <v>240</v>
      </c>
      <c r="CD30" s="0" t="s">
        <v>240</v>
      </c>
      <c r="CE30" s="0" t="s">
        <v>240</v>
      </c>
      <c r="CF30" s="0" t="s">
        <v>240</v>
      </c>
      <c r="CG30" s="0" t="s">
        <v>240</v>
      </c>
      <c r="CH30" s="0" t="s">
        <v>240</v>
      </c>
      <c r="CI30" s="0" t="s">
        <v>240</v>
      </c>
      <c r="CJ30" s="0" t="s">
        <v>240</v>
      </c>
      <c r="CK30" s="0" t="s">
        <v>240</v>
      </c>
      <c r="CL30" s="0" t="s">
        <v>240</v>
      </c>
      <c r="CM30" s="0" t="s">
        <v>240</v>
      </c>
      <c r="CN30" s="0" t="s">
        <v>240</v>
      </c>
      <c r="CO30" s="0" t="s">
        <v>240</v>
      </c>
      <c r="CP30" s="0" t="s">
        <v>240</v>
      </c>
      <c r="CQ30" s="0" t="s">
        <v>240</v>
      </c>
      <c r="CR30" s="0" t="s">
        <v>240</v>
      </c>
      <c r="CS30" s="0" t="s">
        <v>240</v>
      </c>
      <c r="CT30" s="0" t="s">
        <v>5496</v>
      </c>
      <c r="CU30" s="0" t="s">
        <v>5497</v>
      </c>
      <c r="CV30" s="0" t="s">
        <v>443</v>
      </c>
      <c r="CW30" s="0" t="s">
        <v>5509</v>
      </c>
      <c r="CX30" s="0" t="s">
        <v>229</v>
      </c>
      <c r="CY30" s="0" t="s">
        <v>443</v>
      </c>
      <c r="CZ30" s="0" t="s">
        <v>5510</v>
      </c>
      <c r="DA30" s="0" t="s">
        <v>5511</v>
      </c>
      <c r="DB30" s="0" t="s">
        <v>5509</v>
      </c>
      <c r="DC30" s="0" t="s">
        <v>384</v>
      </c>
      <c r="DD30" s="0" t="s">
        <v>291</v>
      </c>
      <c r="DE30" s="0" t="s">
        <v>5697</v>
      </c>
    </row>
    <row customHeight="1" ht="11.25">
      <c r="A31" s="1441" t="s">
        <v>240</v>
      </c>
      <c r="B31" s="0" t="s">
        <v>240</v>
      </c>
      <c r="C31" s="0" t="s">
        <v>240</v>
      </c>
      <c r="D31" s="0" t="s">
        <v>240</v>
      </c>
      <c r="E31" s="0" t="s">
        <v>240</v>
      </c>
      <c r="F31" s="0" t="s">
        <v>240</v>
      </c>
      <c r="G31" s="0" t="s">
        <v>240</v>
      </c>
      <c r="H31" s="0" t="s">
        <v>240</v>
      </c>
      <c r="I31" s="0" t="s">
        <v>5484</v>
      </c>
      <c r="J31" s="0" t="s">
        <v>240</v>
      </c>
      <c r="K31" s="0" t="s">
        <v>240</v>
      </c>
      <c r="L31" s="0" t="s">
        <v>240</v>
      </c>
      <c r="M31" s="0" t="s">
        <v>240</v>
      </c>
      <c r="N31" s="0" t="s">
        <v>240</v>
      </c>
      <c r="O31" s="0" t="s">
        <v>240</v>
      </c>
      <c r="P31" s="0" t="s">
        <v>240</v>
      </c>
      <c r="Q31" s="0" t="s">
        <v>240</v>
      </c>
      <c r="R31" s="0" t="s">
        <v>5698</v>
      </c>
      <c r="S31" s="0" t="s">
        <v>240</v>
      </c>
      <c r="T31" s="0" t="s">
        <v>240</v>
      </c>
      <c r="U31" s="0" t="s">
        <v>102</v>
      </c>
      <c r="V31" s="0" t="s">
        <v>240</v>
      </c>
      <c r="W31" s="0" t="s">
        <v>240</v>
      </c>
      <c r="X31" s="0" t="s">
        <v>5485</v>
      </c>
      <c r="Y31" s="0" t="s">
        <v>240</v>
      </c>
      <c r="Z31" s="0" t="s">
        <v>161</v>
      </c>
      <c r="AA31" s="0" t="s">
        <v>152</v>
      </c>
      <c r="AB31" s="0" t="s">
        <v>152</v>
      </c>
      <c r="AC31" s="0" t="s">
        <v>3389</v>
      </c>
      <c r="AD31" s="0" t="s">
        <v>3389</v>
      </c>
      <c r="AE31" s="0" t="s">
        <v>3390</v>
      </c>
      <c r="AF31" s="0" t="s">
        <v>5519</v>
      </c>
      <c r="AG31" s="0" t="s">
        <v>5520</v>
      </c>
      <c r="AH31" s="0" t="s">
        <v>5521</v>
      </c>
      <c r="AI31" s="0" t="s">
        <v>5699</v>
      </c>
      <c r="AJ31" s="0" t="s">
        <v>5700</v>
      </c>
      <c r="AK31" s="0" t="s">
        <v>5701</v>
      </c>
      <c r="AL31" s="0" t="s">
        <v>5524</v>
      </c>
      <c r="AM31" s="0" t="s">
        <v>5493</v>
      </c>
      <c r="AN31" s="0" t="s">
        <v>5702</v>
      </c>
      <c r="AO31" s="0" t="s">
        <v>5703</v>
      </c>
      <c r="AP31" s="0" t="s">
        <v>240</v>
      </c>
      <c r="AQ31" s="0" t="s">
        <v>240</v>
      </c>
      <c r="AR31" s="0" t="s">
        <v>240</v>
      </c>
      <c r="AS31" s="0" t="s">
        <v>240</v>
      </c>
      <c r="AT31" s="0" t="s">
        <v>240</v>
      </c>
      <c r="AU31" s="0" t="s">
        <v>240</v>
      </c>
      <c r="AV31" s="0" t="s">
        <v>240</v>
      </c>
      <c r="AW31" s="0" t="s">
        <v>240</v>
      </c>
      <c r="AX31" s="0" t="s">
        <v>240</v>
      </c>
      <c r="AY31" s="0" t="s">
        <v>240</v>
      </c>
      <c r="AZ31" s="0" t="s">
        <v>240</v>
      </c>
      <c r="BA31" s="0" t="s">
        <v>240</v>
      </c>
      <c r="BB31" s="0" t="s">
        <v>240</v>
      </c>
      <c r="BC31" s="0" t="s">
        <v>240</v>
      </c>
      <c r="BD31" s="0" t="s">
        <v>240</v>
      </c>
      <c r="BE31" s="0" t="s">
        <v>240</v>
      </c>
      <c r="BF31" s="0" t="s">
        <v>240</v>
      </c>
      <c r="BG31" s="0" t="s">
        <v>240</v>
      </c>
      <c r="BH31" s="0" t="s">
        <v>240</v>
      </c>
      <c r="BI31" s="0" t="s">
        <v>240</v>
      </c>
      <c r="BJ31" s="0" t="s">
        <v>240</v>
      </c>
      <c r="BK31" s="0" t="s">
        <v>240</v>
      </c>
      <c r="BL31" s="0" t="s">
        <v>240</v>
      </c>
      <c r="BM31" s="0" t="s">
        <v>240</v>
      </c>
      <c r="BN31" s="0" t="s">
        <v>240</v>
      </c>
      <c r="BO31" s="0" t="s">
        <v>240</v>
      </c>
      <c r="BP31" s="0" t="s">
        <v>240</v>
      </c>
      <c r="BQ31" s="0" t="s">
        <v>240</v>
      </c>
      <c r="BR31" s="0" t="s">
        <v>240</v>
      </c>
      <c r="BS31" s="0" t="s">
        <v>240</v>
      </c>
      <c r="BT31" s="0" t="s">
        <v>240</v>
      </c>
      <c r="BU31" s="0" t="s">
        <v>240</v>
      </c>
      <c r="BV31" s="0" t="s">
        <v>240</v>
      </c>
      <c r="BW31" s="0" t="s">
        <v>240</v>
      </c>
      <c r="BX31" s="0" t="s">
        <v>240</v>
      </c>
      <c r="BY31" s="0" t="s">
        <v>240</v>
      </c>
      <c r="BZ31" s="0" t="s">
        <v>240</v>
      </c>
      <c r="CA31" s="0" t="s">
        <v>240</v>
      </c>
      <c r="CB31" s="0" t="s">
        <v>240</v>
      </c>
      <c r="CC31" s="0" t="s">
        <v>240</v>
      </c>
      <c r="CD31" s="0" t="s">
        <v>240</v>
      </c>
      <c r="CE31" s="0" t="s">
        <v>240</v>
      </c>
      <c r="CF31" s="0" t="s">
        <v>240</v>
      </c>
      <c r="CG31" s="0" t="s">
        <v>240</v>
      </c>
      <c r="CH31" s="0" t="s">
        <v>240</v>
      </c>
      <c r="CI31" s="0" t="s">
        <v>240</v>
      </c>
      <c r="CJ31" s="0" t="s">
        <v>240</v>
      </c>
      <c r="CK31" s="0" t="s">
        <v>240</v>
      </c>
      <c r="CL31" s="0" t="s">
        <v>240</v>
      </c>
      <c r="CM31" s="0" t="s">
        <v>240</v>
      </c>
      <c r="CN31" s="0" t="s">
        <v>240</v>
      </c>
      <c r="CO31" s="0" t="s">
        <v>240</v>
      </c>
      <c r="CP31" s="0" t="s">
        <v>240</v>
      </c>
      <c r="CQ31" s="0" t="s">
        <v>240</v>
      </c>
      <c r="CR31" s="0" t="s">
        <v>240</v>
      </c>
      <c r="CS31" s="0" t="s">
        <v>240</v>
      </c>
      <c r="CT31" s="0" t="s">
        <v>5496</v>
      </c>
      <c r="CU31" s="0" t="s">
        <v>5497</v>
      </c>
      <c r="CV31" s="0" t="s">
        <v>443</v>
      </c>
      <c r="CW31" s="0" t="s">
        <v>5527</v>
      </c>
      <c r="CX31" s="0" t="s">
        <v>5528</v>
      </c>
      <c r="CY31" s="0" t="s">
        <v>443</v>
      </c>
      <c r="CZ31" s="0" t="s">
        <v>299</v>
      </c>
      <c r="DA31" s="0" t="s">
        <v>5529</v>
      </c>
      <c r="DB31" s="0" t="s">
        <v>5527</v>
      </c>
      <c r="DC31" s="0" t="s">
        <v>384</v>
      </c>
      <c r="DD31" s="0" t="s">
        <v>291</v>
      </c>
      <c r="DE31" s="0" t="s">
        <v>5704</v>
      </c>
    </row>
    <row customHeight="1" ht="11.25">
      <c r="A32" s="1441" t="s">
        <v>240</v>
      </c>
      <c r="B32" s="0" t="s">
        <v>240</v>
      </c>
      <c r="C32" s="0" t="s">
        <v>240</v>
      </c>
      <c r="D32" s="0" t="s">
        <v>240</v>
      </c>
      <c r="E32" s="0" t="s">
        <v>240</v>
      </c>
      <c r="F32" s="0" t="s">
        <v>240</v>
      </c>
      <c r="G32" s="0" t="s">
        <v>240</v>
      </c>
      <c r="H32" s="0" t="s">
        <v>240</v>
      </c>
      <c r="I32" s="0" t="s">
        <v>5484</v>
      </c>
      <c r="J32" s="0" t="s">
        <v>240</v>
      </c>
      <c r="K32" s="0" t="s">
        <v>240</v>
      </c>
      <c r="L32" s="0" t="s">
        <v>240</v>
      </c>
      <c r="M32" s="0" t="s">
        <v>240</v>
      </c>
      <c r="N32" s="0" t="s">
        <v>240</v>
      </c>
      <c r="O32" s="0" t="s">
        <v>240</v>
      </c>
      <c r="P32" s="0" t="s">
        <v>240</v>
      </c>
      <c r="Q32" s="0" t="s">
        <v>240</v>
      </c>
      <c r="R32" s="0" t="s">
        <v>5705</v>
      </c>
      <c r="S32" s="0" t="s">
        <v>240</v>
      </c>
      <c r="T32" s="0" t="s">
        <v>240</v>
      </c>
      <c r="U32" s="0" t="s">
        <v>102</v>
      </c>
      <c r="V32" s="0" t="s">
        <v>240</v>
      </c>
      <c r="W32" s="0" t="s">
        <v>240</v>
      </c>
      <c r="X32" s="0" t="s">
        <v>5585</v>
      </c>
      <c r="Y32" s="0" t="s">
        <v>240</v>
      </c>
      <c r="Z32" s="0" t="s">
        <v>152</v>
      </c>
      <c r="AA32" s="0" t="s">
        <v>152</v>
      </c>
      <c r="AB32" s="0" t="s">
        <v>161</v>
      </c>
      <c r="AC32" s="0" t="s">
        <v>2985</v>
      </c>
      <c r="AD32" s="0" t="s">
        <v>2985</v>
      </c>
      <c r="AE32" s="0" t="s">
        <v>2986</v>
      </c>
      <c r="AF32" s="0" t="s">
        <v>5706</v>
      </c>
      <c r="AG32" s="0" t="s">
        <v>5707</v>
      </c>
      <c r="AH32" s="0" t="s">
        <v>5502</v>
      </c>
      <c r="AI32" s="0" t="s">
        <v>5644</v>
      </c>
      <c r="AJ32" s="0" t="s">
        <v>240</v>
      </c>
      <c r="AK32" s="0" t="s">
        <v>240</v>
      </c>
      <c r="AL32" s="0" t="s">
        <v>240</v>
      </c>
      <c r="AM32" s="0" t="s">
        <v>240</v>
      </c>
      <c r="AN32" s="0" t="s">
        <v>240</v>
      </c>
      <c r="AO32" s="0" t="s">
        <v>240</v>
      </c>
      <c r="AP32" s="0" t="s">
        <v>240</v>
      </c>
      <c r="AQ32" s="0" t="s">
        <v>240</v>
      </c>
      <c r="AR32" s="0" t="s">
        <v>240</v>
      </c>
      <c r="AS32" s="0" t="s">
        <v>240</v>
      </c>
      <c r="AT32" s="0" t="s">
        <v>240</v>
      </c>
      <c r="AU32" s="0" t="s">
        <v>240</v>
      </c>
      <c r="AV32" s="0" t="s">
        <v>240</v>
      </c>
      <c r="AW32" s="0" t="s">
        <v>240</v>
      </c>
      <c r="AX32" s="0" t="s">
        <v>240</v>
      </c>
      <c r="AY32" s="0" t="s">
        <v>240</v>
      </c>
      <c r="AZ32" s="0" t="s">
        <v>240</v>
      </c>
      <c r="BA32" s="0" t="s">
        <v>240</v>
      </c>
      <c r="BB32" s="0" t="s">
        <v>240</v>
      </c>
      <c r="BC32" s="0" t="s">
        <v>240</v>
      </c>
      <c r="BD32" s="0" t="s">
        <v>240</v>
      </c>
      <c r="BE32" s="0" t="s">
        <v>5645</v>
      </c>
      <c r="BF32" s="0" t="s">
        <v>5645</v>
      </c>
      <c r="BG32" s="0" t="s">
        <v>112</v>
      </c>
      <c r="BH32" s="0" t="s">
        <v>5589</v>
      </c>
      <c r="BI32" s="0" t="s">
        <v>123</v>
      </c>
      <c r="BJ32" s="0" t="s">
        <v>240</v>
      </c>
      <c r="BK32" s="0" t="s">
        <v>5608</v>
      </c>
      <c r="BL32" s="0" t="s">
        <v>2985</v>
      </c>
      <c r="BM32" s="0" t="s">
        <v>2985</v>
      </c>
      <c r="BN32" s="0" t="s">
        <v>5646</v>
      </c>
      <c r="BO32" s="0" t="s">
        <v>5706</v>
      </c>
      <c r="BP32" s="0" t="s">
        <v>5708</v>
      </c>
      <c r="BQ32" s="0" t="s">
        <v>5709</v>
      </c>
      <c r="BR32" s="0" t="s">
        <v>5710</v>
      </c>
      <c r="BS32" s="0" t="s">
        <v>240</v>
      </c>
      <c r="BT32" s="0" t="s">
        <v>5650</v>
      </c>
      <c r="BU32" s="0" t="s">
        <v>5711</v>
      </c>
      <c r="BV32" s="0" t="s">
        <v>5711</v>
      </c>
      <c r="BW32" s="0" t="s">
        <v>5598</v>
      </c>
      <c r="BX32" s="0" t="s">
        <v>5598</v>
      </c>
      <c r="BY32" s="0" t="s">
        <v>5598</v>
      </c>
      <c r="BZ32" s="0" t="s">
        <v>5598</v>
      </c>
      <c r="CA32" s="0" t="s">
        <v>5598</v>
      </c>
      <c r="CB32" s="0" t="s">
        <v>240</v>
      </c>
      <c r="CC32" s="0" t="s">
        <v>240</v>
      </c>
      <c r="CD32" s="0" t="s">
        <v>240</v>
      </c>
      <c r="CE32" s="0" t="s">
        <v>240</v>
      </c>
      <c r="CF32" s="0" t="s">
        <v>240</v>
      </c>
      <c r="CG32" s="0" t="s">
        <v>5598</v>
      </c>
      <c r="CH32" s="0" t="s">
        <v>240</v>
      </c>
      <c r="CI32" s="0" t="s">
        <v>240</v>
      </c>
      <c r="CJ32" s="0" t="s">
        <v>240</v>
      </c>
      <c r="CK32" s="0" t="s">
        <v>240</v>
      </c>
      <c r="CL32" s="0" t="s">
        <v>240</v>
      </c>
      <c r="CM32" s="0" t="s">
        <v>5711</v>
      </c>
      <c r="CN32" s="0" t="s">
        <v>5711</v>
      </c>
      <c r="CO32" s="0" t="s">
        <v>240</v>
      </c>
      <c r="CP32" s="0" t="s">
        <v>240</v>
      </c>
      <c r="CQ32" s="0" t="s">
        <v>240</v>
      </c>
      <c r="CR32" s="0" t="s">
        <v>240</v>
      </c>
      <c r="CS32" s="0" t="s">
        <v>5507</v>
      </c>
      <c r="CT32" s="0" t="s">
        <v>5496</v>
      </c>
      <c r="CU32" s="0" t="s">
        <v>5497</v>
      </c>
      <c r="CV32" s="0" t="s">
        <v>443</v>
      </c>
      <c r="CW32" s="0" t="s">
        <v>5509</v>
      </c>
      <c r="CX32" s="0" t="s">
        <v>229</v>
      </c>
      <c r="CY32" s="0" t="s">
        <v>443</v>
      </c>
      <c r="CZ32" s="0" t="s">
        <v>5510</v>
      </c>
      <c r="DA32" s="0" t="s">
        <v>5511</v>
      </c>
      <c r="DB32" s="0" t="s">
        <v>5509</v>
      </c>
      <c r="DC32" s="0" t="s">
        <v>384</v>
      </c>
      <c r="DD32" s="0" t="s">
        <v>291</v>
      </c>
      <c r="DE32" s="0" t="s">
        <v>5712</v>
      </c>
    </row>
    <row customHeight="1" ht="11.25">
      <c r="A33" s="1441" t="s">
        <v>240</v>
      </c>
      <c r="B33" s="0" t="s">
        <v>240</v>
      </c>
      <c r="C33" s="0" t="s">
        <v>240</v>
      </c>
      <c r="D33" s="0" t="s">
        <v>240</v>
      </c>
      <c r="E33" s="0" t="s">
        <v>240</v>
      </c>
      <c r="F33" s="0" t="s">
        <v>240</v>
      </c>
      <c r="G33" s="0" t="s">
        <v>240</v>
      </c>
      <c r="H33" s="0" t="s">
        <v>240</v>
      </c>
      <c r="I33" s="0" t="s">
        <v>5484</v>
      </c>
      <c r="J33" s="0" t="s">
        <v>240</v>
      </c>
      <c r="K33" s="0" t="s">
        <v>240</v>
      </c>
      <c r="L33" s="0" t="s">
        <v>240</v>
      </c>
      <c r="M33" s="0" t="s">
        <v>240</v>
      </c>
      <c r="N33" s="0" t="s">
        <v>240</v>
      </c>
      <c r="O33" s="0" t="s">
        <v>240</v>
      </c>
      <c r="P33" s="0" t="s">
        <v>240</v>
      </c>
      <c r="Q33" s="0" t="s">
        <v>240</v>
      </c>
      <c r="R33" s="0" t="s">
        <v>5713</v>
      </c>
      <c r="S33" s="0" t="s">
        <v>240</v>
      </c>
      <c r="T33" s="0" t="s">
        <v>240</v>
      </c>
      <c r="U33" s="0" t="s">
        <v>102</v>
      </c>
      <c r="V33" s="0" t="s">
        <v>240</v>
      </c>
      <c r="W33" s="0" t="s">
        <v>240</v>
      </c>
      <c r="X33" s="0" t="s">
        <v>5485</v>
      </c>
      <c r="Y33" s="0" t="s">
        <v>240</v>
      </c>
      <c r="Z33" s="0" t="s">
        <v>161</v>
      </c>
      <c r="AA33" s="0" t="s">
        <v>152</v>
      </c>
      <c r="AB33" s="0" t="s">
        <v>152</v>
      </c>
      <c r="AC33" s="0" t="s">
        <v>3389</v>
      </c>
      <c r="AD33" s="0" t="s">
        <v>3389</v>
      </c>
      <c r="AE33" s="0" t="s">
        <v>3390</v>
      </c>
      <c r="AF33" s="0" t="s">
        <v>5519</v>
      </c>
      <c r="AG33" s="0" t="s">
        <v>5520</v>
      </c>
      <c r="AH33" s="0" t="s">
        <v>5714</v>
      </c>
      <c r="AI33" s="0" t="s">
        <v>5715</v>
      </c>
      <c r="AJ33" s="0" t="s">
        <v>5716</v>
      </c>
      <c r="AK33" s="0" t="s">
        <v>5717</v>
      </c>
      <c r="AL33" s="0" t="s">
        <v>5524</v>
      </c>
      <c r="AM33" s="0" t="s">
        <v>5493</v>
      </c>
      <c r="AN33" s="0" t="s">
        <v>5718</v>
      </c>
      <c r="AO33" s="0" t="s">
        <v>5719</v>
      </c>
      <c r="AP33" s="0" t="s">
        <v>240</v>
      </c>
      <c r="AQ33" s="0" t="s">
        <v>240</v>
      </c>
      <c r="AR33" s="0" t="s">
        <v>240</v>
      </c>
      <c r="AS33" s="0" t="s">
        <v>240</v>
      </c>
      <c r="AT33" s="0" t="s">
        <v>240</v>
      </c>
      <c r="AU33" s="0" t="s">
        <v>240</v>
      </c>
      <c r="AV33" s="0" t="s">
        <v>240</v>
      </c>
      <c r="AW33" s="0" t="s">
        <v>240</v>
      </c>
      <c r="AX33" s="0" t="s">
        <v>240</v>
      </c>
      <c r="AY33" s="0" t="s">
        <v>240</v>
      </c>
      <c r="AZ33" s="0" t="s">
        <v>240</v>
      </c>
      <c r="BA33" s="0" t="s">
        <v>240</v>
      </c>
      <c r="BB33" s="0" t="s">
        <v>240</v>
      </c>
      <c r="BC33" s="0" t="s">
        <v>240</v>
      </c>
      <c r="BD33" s="0" t="s">
        <v>240</v>
      </c>
      <c r="BE33" s="0" t="s">
        <v>240</v>
      </c>
      <c r="BF33" s="0" t="s">
        <v>240</v>
      </c>
      <c r="BG33" s="0" t="s">
        <v>240</v>
      </c>
      <c r="BH33" s="0" t="s">
        <v>240</v>
      </c>
      <c r="BI33" s="0" t="s">
        <v>240</v>
      </c>
      <c r="BJ33" s="0" t="s">
        <v>240</v>
      </c>
      <c r="BK33" s="0" t="s">
        <v>240</v>
      </c>
      <c r="BL33" s="0" t="s">
        <v>240</v>
      </c>
      <c r="BM33" s="0" t="s">
        <v>240</v>
      </c>
      <c r="BN33" s="0" t="s">
        <v>240</v>
      </c>
      <c r="BO33" s="0" t="s">
        <v>240</v>
      </c>
      <c r="BP33" s="0" t="s">
        <v>240</v>
      </c>
      <c r="BQ33" s="0" t="s">
        <v>240</v>
      </c>
      <c r="BR33" s="0" t="s">
        <v>240</v>
      </c>
      <c r="BS33" s="0" t="s">
        <v>240</v>
      </c>
      <c r="BT33" s="0" t="s">
        <v>240</v>
      </c>
      <c r="BU33" s="0" t="s">
        <v>240</v>
      </c>
      <c r="BV33" s="0" t="s">
        <v>240</v>
      </c>
      <c r="BW33" s="0" t="s">
        <v>240</v>
      </c>
      <c r="BX33" s="0" t="s">
        <v>240</v>
      </c>
      <c r="BY33" s="0" t="s">
        <v>240</v>
      </c>
      <c r="BZ33" s="0" t="s">
        <v>240</v>
      </c>
      <c r="CA33" s="0" t="s">
        <v>240</v>
      </c>
      <c r="CB33" s="0" t="s">
        <v>240</v>
      </c>
      <c r="CC33" s="0" t="s">
        <v>240</v>
      </c>
      <c r="CD33" s="0" t="s">
        <v>240</v>
      </c>
      <c r="CE33" s="0" t="s">
        <v>240</v>
      </c>
      <c r="CF33" s="0" t="s">
        <v>240</v>
      </c>
      <c r="CG33" s="0" t="s">
        <v>240</v>
      </c>
      <c r="CH33" s="0" t="s">
        <v>240</v>
      </c>
      <c r="CI33" s="0" t="s">
        <v>240</v>
      </c>
      <c r="CJ33" s="0" t="s">
        <v>240</v>
      </c>
      <c r="CK33" s="0" t="s">
        <v>240</v>
      </c>
      <c r="CL33" s="0" t="s">
        <v>240</v>
      </c>
      <c r="CM33" s="0" t="s">
        <v>240</v>
      </c>
      <c r="CN33" s="0" t="s">
        <v>240</v>
      </c>
      <c r="CO33" s="0" t="s">
        <v>240</v>
      </c>
      <c r="CP33" s="0" t="s">
        <v>240</v>
      </c>
      <c r="CQ33" s="0" t="s">
        <v>240</v>
      </c>
      <c r="CR33" s="0" t="s">
        <v>240</v>
      </c>
      <c r="CS33" s="0" t="s">
        <v>240</v>
      </c>
      <c r="CT33" s="0" t="s">
        <v>5496</v>
      </c>
      <c r="CU33" s="0" t="s">
        <v>5497</v>
      </c>
      <c r="CV33" s="0" t="s">
        <v>443</v>
      </c>
      <c r="CW33" s="0" t="s">
        <v>5527</v>
      </c>
      <c r="CX33" s="0" t="s">
        <v>5528</v>
      </c>
      <c r="CY33" s="0" t="s">
        <v>443</v>
      </c>
      <c r="CZ33" s="0" t="s">
        <v>299</v>
      </c>
      <c r="DA33" s="0" t="s">
        <v>5529</v>
      </c>
      <c r="DB33" s="0" t="s">
        <v>5527</v>
      </c>
      <c r="DC33" s="0" t="s">
        <v>384</v>
      </c>
      <c r="DD33" s="0" t="s">
        <v>291</v>
      </c>
      <c r="DE33" s="0" t="s">
        <v>5720</v>
      </c>
    </row>
    <row customHeight="1" ht="11.25">
      <c r="A34" s="1441" t="s">
        <v>240</v>
      </c>
      <c r="B34" s="0" t="s">
        <v>240</v>
      </c>
      <c r="C34" s="0" t="s">
        <v>240</v>
      </c>
      <c r="D34" s="0" t="s">
        <v>240</v>
      </c>
      <c r="E34" s="0" t="s">
        <v>240</v>
      </c>
      <c r="F34" s="0" t="s">
        <v>240</v>
      </c>
      <c r="G34" s="0" t="s">
        <v>240</v>
      </c>
      <c r="H34" s="0" t="s">
        <v>240</v>
      </c>
      <c r="I34" s="0" t="s">
        <v>5484</v>
      </c>
      <c r="J34" s="0" t="s">
        <v>240</v>
      </c>
      <c r="K34" s="0" t="s">
        <v>240</v>
      </c>
      <c r="L34" s="0" t="s">
        <v>240</v>
      </c>
      <c r="M34" s="0" t="s">
        <v>240</v>
      </c>
      <c r="N34" s="0" t="s">
        <v>240</v>
      </c>
      <c r="O34" s="0" t="s">
        <v>240</v>
      </c>
      <c r="P34" s="0" t="s">
        <v>240</v>
      </c>
      <c r="Q34" s="0" t="s">
        <v>240</v>
      </c>
      <c r="R34" s="0" t="s">
        <v>5721</v>
      </c>
      <c r="S34" s="0" t="s">
        <v>240</v>
      </c>
      <c r="T34" s="0" t="s">
        <v>240</v>
      </c>
      <c r="U34" s="0" t="s">
        <v>102</v>
      </c>
      <c r="V34" s="0" t="s">
        <v>240</v>
      </c>
      <c r="W34" s="0" t="s">
        <v>240</v>
      </c>
      <c r="X34" s="0" t="s">
        <v>5585</v>
      </c>
      <c r="Y34" s="0" t="s">
        <v>240</v>
      </c>
      <c r="Z34" s="0" t="s">
        <v>152</v>
      </c>
      <c r="AA34" s="0" t="s">
        <v>152</v>
      </c>
      <c r="AB34" s="0" t="s">
        <v>161</v>
      </c>
      <c r="AC34" s="0" t="s">
        <v>2991</v>
      </c>
      <c r="AD34" s="0" t="s">
        <v>2991</v>
      </c>
      <c r="AE34" s="0" t="s">
        <v>2992</v>
      </c>
      <c r="AF34" s="0" t="s">
        <v>5722</v>
      </c>
      <c r="AG34" s="0" t="s">
        <v>5723</v>
      </c>
      <c r="AH34" s="0" t="s">
        <v>5575</v>
      </c>
      <c r="AI34" s="0" t="s">
        <v>5575</v>
      </c>
      <c r="AJ34" s="0" t="s">
        <v>240</v>
      </c>
      <c r="AK34" s="0" t="s">
        <v>240</v>
      </c>
      <c r="AL34" s="0" t="s">
        <v>240</v>
      </c>
      <c r="AM34" s="0" t="s">
        <v>240</v>
      </c>
      <c r="AN34" s="0" t="s">
        <v>240</v>
      </c>
      <c r="AO34" s="0" t="s">
        <v>240</v>
      </c>
      <c r="AP34" s="0" t="s">
        <v>240</v>
      </c>
      <c r="AQ34" s="0" t="s">
        <v>240</v>
      </c>
      <c r="AR34" s="0" t="s">
        <v>240</v>
      </c>
      <c r="AS34" s="0" t="s">
        <v>240</v>
      </c>
      <c r="AT34" s="0" t="s">
        <v>240</v>
      </c>
      <c r="AU34" s="0" t="s">
        <v>240</v>
      </c>
      <c r="AV34" s="0" t="s">
        <v>240</v>
      </c>
      <c r="AW34" s="0" t="s">
        <v>240</v>
      </c>
      <c r="AX34" s="0" t="s">
        <v>240</v>
      </c>
      <c r="AY34" s="0" t="s">
        <v>240</v>
      </c>
      <c r="AZ34" s="0" t="s">
        <v>240</v>
      </c>
      <c r="BA34" s="0" t="s">
        <v>240</v>
      </c>
      <c r="BB34" s="0" t="s">
        <v>240</v>
      </c>
      <c r="BC34" s="0" t="s">
        <v>240</v>
      </c>
      <c r="BD34" s="0" t="s">
        <v>240</v>
      </c>
      <c r="BE34" s="0" t="s">
        <v>5504</v>
      </c>
      <c r="BF34" s="0" t="s">
        <v>5544</v>
      </c>
      <c r="BG34" s="0" t="s">
        <v>112</v>
      </c>
      <c r="BH34" s="0" t="s">
        <v>5589</v>
      </c>
      <c r="BI34" s="0" t="s">
        <v>123</v>
      </c>
      <c r="BJ34" s="0" t="s">
        <v>240</v>
      </c>
      <c r="BK34" s="0" t="s">
        <v>5608</v>
      </c>
      <c r="BL34" s="0" t="s">
        <v>2991</v>
      </c>
      <c r="BM34" s="0" t="s">
        <v>2991</v>
      </c>
      <c r="BN34" s="0" t="s">
        <v>5663</v>
      </c>
      <c r="BO34" s="0" t="s">
        <v>5722</v>
      </c>
      <c r="BP34" s="0" t="s">
        <v>5724</v>
      </c>
      <c r="BQ34" s="0" t="s">
        <v>5575</v>
      </c>
      <c r="BR34" s="0" t="s">
        <v>5575</v>
      </c>
      <c r="BS34" s="0" t="s">
        <v>240</v>
      </c>
      <c r="BT34" s="0" t="s">
        <v>5650</v>
      </c>
      <c r="BU34" s="0" t="s">
        <v>5725</v>
      </c>
      <c r="BV34" s="0" t="s">
        <v>5725</v>
      </c>
      <c r="BW34" s="0" t="s">
        <v>5598</v>
      </c>
      <c r="BX34" s="0" t="s">
        <v>5598</v>
      </c>
      <c r="BY34" s="0" t="s">
        <v>5598</v>
      </c>
      <c r="BZ34" s="0" t="s">
        <v>5598</v>
      </c>
      <c r="CA34" s="0" t="s">
        <v>5598</v>
      </c>
      <c r="CB34" s="0" t="s">
        <v>240</v>
      </c>
      <c r="CC34" s="0" t="s">
        <v>240</v>
      </c>
      <c r="CD34" s="0" t="s">
        <v>240</v>
      </c>
      <c r="CE34" s="0" t="s">
        <v>240</v>
      </c>
      <c r="CF34" s="0" t="s">
        <v>240</v>
      </c>
      <c r="CG34" s="0" t="s">
        <v>5598</v>
      </c>
      <c r="CH34" s="0" t="s">
        <v>240</v>
      </c>
      <c r="CI34" s="0" t="s">
        <v>240</v>
      </c>
      <c r="CJ34" s="0" t="s">
        <v>240</v>
      </c>
      <c r="CK34" s="0" t="s">
        <v>240</v>
      </c>
      <c r="CL34" s="0" t="s">
        <v>240</v>
      </c>
      <c r="CM34" s="0" t="s">
        <v>5725</v>
      </c>
      <c r="CN34" s="0" t="s">
        <v>5725</v>
      </c>
      <c r="CO34" s="0" t="s">
        <v>240</v>
      </c>
      <c r="CP34" s="0" t="s">
        <v>240</v>
      </c>
      <c r="CQ34" s="0" t="s">
        <v>240</v>
      </c>
      <c r="CR34" s="0" t="s">
        <v>240</v>
      </c>
      <c r="CS34" s="0" t="s">
        <v>5666</v>
      </c>
      <c r="CT34" s="0" t="s">
        <v>5496</v>
      </c>
      <c r="CU34" s="0" t="s">
        <v>5497</v>
      </c>
      <c r="CV34" s="0" t="s">
        <v>443</v>
      </c>
      <c r="CW34" s="0" t="s">
        <v>5547</v>
      </c>
      <c r="CX34" s="0" t="s">
        <v>229</v>
      </c>
      <c r="CY34" s="0" t="s">
        <v>443</v>
      </c>
      <c r="CZ34" s="0" t="s">
        <v>5548</v>
      </c>
      <c r="DA34" s="0" t="s">
        <v>5549</v>
      </c>
      <c r="DB34" s="0" t="s">
        <v>5547</v>
      </c>
      <c r="DC34" s="0" t="s">
        <v>384</v>
      </c>
      <c r="DD34" s="0" t="s">
        <v>291</v>
      </c>
      <c r="DE34" s="0" t="s">
        <v>5726</v>
      </c>
    </row>
    <row customHeight="1" ht="11.25">
      <c r="A35" s="1441" t="s">
        <v>240</v>
      </c>
      <c r="B35" s="0" t="s">
        <v>240</v>
      </c>
      <c r="C35" s="0" t="s">
        <v>240</v>
      </c>
      <c r="D35" s="0" t="s">
        <v>240</v>
      </c>
      <c r="E35" s="0" t="s">
        <v>240</v>
      </c>
      <c r="F35" s="0" t="s">
        <v>240</v>
      </c>
      <c r="G35" s="0" t="s">
        <v>240</v>
      </c>
      <c r="H35" s="0" t="s">
        <v>240</v>
      </c>
      <c r="I35" s="0" t="s">
        <v>5484</v>
      </c>
      <c r="J35" s="0" t="s">
        <v>240</v>
      </c>
      <c r="K35" s="0" t="s">
        <v>240</v>
      </c>
      <c r="L35" s="0" t="s">
        <v>240</v>
      </c>
      <c r="M35" s="0" t="s">
        <v>240</v>
      </c>
      <c r="N35" s="0" t="s">
        <v>240</v>
      </c>
      <c r="O35" s="0" t="s">
        <v>240</v>
      </c>
      <c r="P35" s="0" t="s">
        <v>240</v>
      </c>
      <c r="Q35" s="0" t="s">
        <v>240</v>
      </c>
      <c r="R35" s="0" t="s">
        <v>5572</v>
      </c>
      <c r="S35" s="0" t="s">
        <v>240</v>
      </c>
      <c r="T35" s="0" t="s">
        <v>240</v>
      </c>
      <c r="U35" s="0" t="s">
        <v>102</v>
      </c>
      <c r="V35" s="0" t="s">
        <v>240</v>
      </c>
      <c r="W35" s="0" t="s">
        <v>240</v>
      </c>
      <c r="X35" s="0" t="s">
        <v>5485</v>
      </c>
      <c r="Y35" s="0" t="s">
        <v>240</v>
      </c>
      <c r="Z35" s="0" t="s">
        <v>161</v>
      </c>
      <c r="AA35" s="0" t="s">
        <v>152</v>
      </c>
      <c r="AB35" s="0" t="s">
        <v>152</v>
      </c>
      <c r="AC35" s="0" t="s">
        <v>2991</v>
      </c>
      <c r="AD35" s="0" t="s">
        <v>2991</v>
      </c>
      <c r="AE35" s="0" t="s">
        <v>2992</v>
      </c>
      <c r="AF35" s="0" t="s">
        <v>5727</v>
      </c>
      <c r="AG35" s="0" t="s">
        <v>5728</v>
      </c>
      <c r="AH35" s="0" t="s">
        <v>5729</v>
      </c>
      <c r="AI35" s="0" t="s">
        <v>5730</v>
      </c>
      <c r="AJ35" s="0" t="s">
        <v>5576</v>
      </c>
      <c r="AK35" s="0" t="s">
        <v>5731</v>
      </c>
      <c r="AL35" s="0" t="s">
        <v>5506</v>
      </c>
      <c r="AM35" s="0" t="s">
        <v>5493</v>
      </c>
      <c r="AN35" s="0" t="s">
        <v>5491</v>
      </c>
      <c r="AO35" s="0" t="s">
        <v>5516</v>
      </c>
      <c r="AP35" s="0" t="s">
        <v>240</v>
      </c>
      <c r="AQ35" s="0" t="s">
        <v>240</v>
      </c>
      <c r="AR35" s="0" t="s">
        <v>240</v>
      </c>
      <c r="AS35" s="0" t="s">
        <v>240</v>
      </c>
      <c r="AT35" s="0" t="s">
        <v>240</v>
      </c>
      <c r="AU35" s="0" t="s">
        <v>240</v>
      </c>
      <c r="AV35" s="0" t="s">
        <v>240</v>
      </c>
      <c r="AW35" s="0" t="s">
        <v>240</v>
      </c>
      <c r="AX35" s="0" t="s">
        <v>240</v>
      </c>
      <c r="AY35" s="0" t="s">
        <v>240</v>
      </c>
      <c r="AZ35" s="0" t="s">
        <v>240</v>
      </c>
      <c r="BA35" s="0" t="s">
        <v>240</v>
      </c>
      <c r="BB35" s="0" t="s">
        <v>240</v>
      </c>
      <c r="BC35" s="0" t="s">
        <v>240</v>
      </c>
      <c r="BD35" s="0" t="s">
        <v>240</v>
      </c>
      <c r="BE35" s="0" t="s">
        <v>240</v>
      </c>
      <c r="BF35" s="0" t="s">
        <v>240</v>
      </c>
      <c r="BG35" s="0" t="s">
        <v>240</v>
      </c>
      <c r="BH35" s="0" t="s">
        <v>240</v>
      </c>
      <c r="BI35" s="0" t="s">
        <v>240</v>
      </c>
      <c r="BJ35" s="0" t="s">
        <v>240</v>
      </c>
      <c r="BK35" s="0" t="s">
        <v>240</v>
      </c>
      <c r="BL35" s="0" t="s">
        <v>240</v>
      </c>
      <c r="BM35" s="0" t="s">
        <v>240</v>
      </c>
      <c r="BN35" s="0" t="s">
        <v>240</v>
      </c>
      <c r="BO35" s="0" t="s">
        <v>240</v>
      </c>
      <c r="BP35" s="0" t="s">
        <v>240</v>
      </c>
      <c r="BQ35" s="0" t="s">
        <v>240</v>
      </c>
      <c r="BR35" s="0" t="s">
        <v>240</v>
      </c>
      <c r="BS35" s="0" t="s">
        <v>240</v>
      </c>
      <c r="BT35" s="0" t="s">
        <v>240</v>
      </c>
      <c r="BU35" s="0" t="s">
        <v>240</v>
      </c>
      <c r="BV35" s="0" t="s">
        <v>240</v>
      </c>
      <c r="BW35" s="0" t="s">
        <v>240</v>
      </c>
      <c r="BX35" s="0" t="s">
        <v>240</v>
      </c>
      <c r="BY35" s="0" t="s">
        <v>240</v>
      </c>
      <c r="BZ35" s="0" t="s">
        <v>240</v>
      </c>
      <c r="CA35" s="0" t="s">
        <v>240</v>
      </c>
      <c r="CB35" s="0" t="s">
        <v>240</v>
      </c>
      <c r="CC35" s="0" t="s">
        <v>240</v>
      </c>
      <c r="CD35" s="0" t="s">
        <v>240</v>
      </c>
      <c r="CE35" s="0" t="s">
        <v>240</v>
      </c>
      <c r="CF35" s="0" t="s">
        <v>240</v>
      </c>
      <c r="CG35" s="0" t="s">
        <v>240</v>
      </c>
      <c r="CH35" s="0" t="s">
        <v>240</v>
      </c>
      <c r="CI35" s="0" t="s">
        <v>240</v>
      </c>
      <c r="CJ35" s="0" t="s">
        <v>240</v>
      </c>
      <c r="CK35" s="0" t="s">
        <v>240</v>
      </c>
      <c r="CL35" s="0" t="s">
        <v>240</v>
      </c>
      <c r="CM35" s="0" t="s">
        <v>240</v>
      </c>
      <c r="CN35" s="0" t="s">
        <v>240</v>
      </c>
      <c r="CO35" s="0" t="s">
        <v>240</v>
      </c>
      <c r="CP35" s="0" t="s">
        <v>240</v>
      </c>
      <c r="CQ35" s="0" t="s">
        <v>240</v>
      </c>
      <c r="CR35" s="0" t="s">
        <v>240</v>
      </c>
      <c r="CS35" s="0" t="s">
        <v>240</v>
      </c>
      <c r="CT35" s="0" t="s">
        <v>5496</v>
      </c>
      <c r="CU35" s="0" t="s">
        <v>5497</v>
      </c>
      <c r="CV35" s="0" t="s">
        <v>443</v>
      </c>
      <c r="CW35" s="0" t="s">
        <v>5547</v>
      </c>
      <c r="CX35" s="0" t="s">
        <v>229</v>
      </c>
      <c r="CY35" s="0" t="s">
        <v>443</v>
      </c>
      <c r="CZ35" s="0" t="s">
        <v>5548</v>
      </c>
      <c r="DA35" s="0" t="s">
        <v>5549</v>
      </c>
      <c r="DB35" s="0" t="s">
        <v>5547</v>
      </c>
      <c r="DC35" s="0" t="s">
        <v>384</v>
      </c>
      <c r="DD35" s="0" t="s">
        <v>291</v>
      </c>
      <c r="DE35" s="0" t="s">
        <v>5732</v>
      </c>
    </row>
    <row customHeight="1" ht="11.25">
      <c r="A36" s="1441" t="s">
        <v>240</v>
      </c>
      <c r="B36" s="0" t="s">
        <v>240</v>
      </c>
      <c r="C36" s="0" t="s">
        <v>240</v>
      </c>
      <c r="D36" s="0" t="s">
        <v>240</v>
      </c>
      <c r="E36" s="0" t="s">
        <v>240</v>
      </c>
      <c r="F36" s="0" t="s">
        <v>240</v>
      </c>
      <c r="G36" s="0" t="s">
        <v>240</v>
      </c>
      <c r="H36" s="0" t="s">
        <v>240</v>
      </c>
      <c r="I36" s="0" t="s">
        <v>5484</v>
      </c>
      <c r="J36" s="0" t="s">
        <v>240</v>
      </c>
      <c r="K36" s="0" t="s">
        <v>240</v>
      </c>
      <c r="L36" s="0" t="s">
        <v>240</v>
      </c>
      <c r="M36" s="0" t="s">
        <v>240</v>
      </c>
      <c r="N36" s="0" t="s">
        <v>240</v>
      </c>
      <c r="O36" s="0" t="s">
        <v>240</v>
      </c>
      <c r="P36" s="0" t="s">
        <v>240</v>
      </c>
      <c r="Q36" s="0" t="s">
        <v>240</v>
      </c>
      <c r="R36" s="0" t="s">
        <v>5572</v>
      </c>
      <c r="S36" s="0" t="s">
        <v>240</v>
      </c>
      <c r="T36" s="0" t="s">
        <v>240</v>
      </c>
      <c r="U36" s="0" t="s">
        <v>102</v>
      </c>
      <c r="V36" s="0" t="s">
        <v>240</v>
      </c>
      <c r="W36" s="0" t="s">
        <v>240</v>
      </c>
      <c r="X36" s="0" t="s">
        <v>5485</v>
      </c>
      <c r="Y36" s="0" t="s">
        <v>240</v>
      </c>
      <c r="Z36" s="0" t="s">
        <v>161</v>
      </c>
      <c r="AA36" s="0" t="s">
        <v>152</v>
      </c>
      <c r="AB36" s="0" t="s">
        <v>152</v>
      </c>
      <c r="AC36" s="0" t="s">
        <v>2991</v>
      </c>
      <c r="AD36" s="0" t="s">
        <v>2991</v>
      </c>
      <c r="AE36" s="0" t="s">
        <v>2992</v>
      </c>
      <c r="AF36" s="0" t="s">
        <v>5727</v>
      </c>
      <c r="AG36" s="0" t="s">
        <v>5728</v>
      </c>
      <c r="AH36" s="0" t="s">
        <v>5733</v>
      </c>
      <c r="AI36" s="0" t="s">
        <v>5734</v>
      </c>
      <c r="AJ36" s="0" t="s">
        <v>5552</v>
      </c>
      <c r="AK36" s="0" t="s">
        <v>5544</v>
      </c>
      <c r="AL36" s="0" t="s">
        <v>5506</v>
      </c>
      <c r="AM36" s="0" t="s">
        <v>5493</v>
      </c>
      <c r="AN36" s="0" t="s">
        <v>5491</v>
      </c>
      <c r="AO36" s="0" t="s">
        <v>5735</v>
      </c>
      <c r="AP36" s="0" t="s">
        <v>240</v>
      </c>
      <c r="AQ36" s="0" t="s">
        <v>240</v>
      </c>
      <c r="AR36" s="0" t="s">
        <v>240</v>
      </c>
      <c r="AS36" s="0" t="s">
        <v>240</v>
      </c>
      <c r="AT36" s="0" t="s">
        <v>240</v>
      </c>
      <c r="AU36" s="0" t="s">
        <v>240</v>
      </c>
      <c r="AV36" s="0" t="s">
        <v>240</v>
      </c>
      <c r="AW36" s="0" t="s">
        <v>240</v>
      </c>
      <c r="AX36" s="0" t="s">
        <v>240</v>
      </c>
      <c r="AY36" s="0" t="s">
        <v>240</v>
      </c>
      <c r="AZ36" s="0" t="s">
        <v>240</v>
      </c>
      <c r="BA36" s="0" t="s">
        <v>240</v>
      </c>
      <c r="BB36" s="0" t="s">
        <v>240</v>
      </c>
      <c r="BC36" s="0" t="s">
        <v>240</v>
      </c>
      <c r="BD36" s="0" t="s">
        <v>240</v>
      </c>
      <c r="BE36" s="0" t="s">
        <v>240</v>
      </c>
      <c r="BF36" s="0" t="s">
        <v>240</v>
      </c>
      <c r="BG36" s="0" t="s">
        <v>240</v>
      </c>
      <c r="BH36" s="0" t="s">
        <v>240</v>
      </c>
      <c r="BI36" s="0" t="s">
        <v>240</v>
      </c>
      <c r="BJ36" s="0" t="s">
        <v>240</v>
      </c>
      <c r="BK36" s="0" t="s">
        <v>240</v>
      </c>
      <c r="BL36" s="0" t="s">
        <v>240</v>
      </c>
      <c r="BM36" s="0" t="s">
        <v>240</v>
      </c>
      <c r="BN36" s="0" t="s">
        <v>240</v>
      </c>
      <c r="BO36" s="0" t="s">
        <v>240</v>
      </c>
      <c r="BP36" s="0" t="s">
        <v>240</v>
      </c>
      <c r="BQ36" s="0" t="s">
        <v>240</v>
      </c>
      <c r="BR36" s="0" t="s">
        <v>240</v>
      </c>
      <c r="BS36" s="0" t="s">
        <v>240</v>
      </c>
      <c r="BT36" s="0" t="s">
        <v>240</v>
      </c>
      <c r="BU36" s="0" t="s">
        <v>240</v>
      </c>
      <c r="BV36" s="0" t="s">
        <v>240</v>
      </c>
      <c r="BW36" s="0" t="s">
        <v>240</v>
      </c>
      <c r="BX36" s="0" t="s">
        <v>240</v>
      </c>
      <c r="BY36" s="0" t="s">
        <v>240</v>
      </c>
      <c r="BZ36" s="0" t="s">
        <v>240</v>
      </c>
      <c r="CA36" s="0" t="s">
        <v>240</v>
      </c>
      <c r="CB36" s="0" t="s">
        <v>240</v>
      </c>
      <c r="CC36" s="0" t="s">
        <v>240</v>
      </c>
      <c r="CD36" s="0" t="s">
        <v>240</v>
      </c>
      <c r="CE36" s="0" t="s">
        <v>240</v>
      </c>
      <c r="CF36" s="0" t="s">
        <v>240</v>
      </c>
      <c r="CG36" s="0" t="s">
        <v>240</v>
      </c>
      <c r="CH36" s="0" t="s">
        <v>240</v>
      </c>
      <c r="CI36" s="0" t="s">
        <v>240</v>
      </c>
      <c r="CJ36" s="0" t="s">
        <v>240</v>
      </c>
      <c r="CK36" s="0" t="s">
        <v>240</v>
      </c>
      <c r="CL36" s="0" t="s">
        <v>240</v>
      </c>
      <c r="CM36" s="0" t="s">
        <v>240</v>
      </c>
      <c r="CN36" s="0" t="s">
        <v>240</v>
      </c>
      <c r="CO36" s="0" t="s">
        <v>240</v>
      </c>
      <c r="CP36" s="0" t="s">
        <v>240</v>
      </c>
      <c r="CQ36" s="0" t="s">
        <v>240</v>
      </c>
      <c r="CR36" s="0" t="s">
        <v>240</v>
      </c>
      <c r="CS36" s="0" t="s">
        <v>240</v>
      </c>
      <c r="CT36" s="0" t="s">
        <v>5496</v>
      </c>
      <c r="CU36" s="0" t="s">
        <v>5497</v>
      </c>
      <c r="CV36" s="0" t="s">
        <v>443</v>
      </c>
      <c r="CW36" s="0" t="s">
        <v>5547</v>
      </c>
      <c r="CX36" s="0" t="s">
        <v>229</v>
      </c>
      <c r="CY36" s="0" t="s">
        <v>443</v>
      </c>
      <c r="CZ36" s="0" t="s">
        <v>5548</v>
      </c>
      <c r="DA36" s="0" t="s">
        <v>5549</v>
      </c>
      <c r="DB36" s="0" t="s">
        <v>5547</v>
      </c>
      <c r="DC36" s="0" t="s">
        <v>384</v>
      </c>
      <c r="DD36" s="0" t="s">
        <v>291</v>
      </c>
      <c r="DE36" s="0" t="s">
        <v>5736</v>
      </c>
    </row>
    <row customHeight="1" ht="11.25">
      <c r="A37" s="1441" t="s">
        <v>240</v>
      </c>
      <c r="B37" s="0" t="s">
        <v>240</v>
      </c>
      <c r="C37" s="0" t="s">
        <v>240</v>
      </c>
      <c r="D37" s="0" t="s">
        <v>240</v>
      </c>
      <c r="E37" s="0" t="s">
        <v>240</v>
      </c>
      <c r="F37" s="0" t="s">
        <v>240</v>
      </c>
      <c r="G37" s="0" t="s">
        <v>240</v>
      </c>
      <c r="H37" s="0" t="s">
        <v>240</v>
      </c>
      <c r="I37" s="0" t="s">
        <v>5484</v>
      </c>
      <c r="J37" s="0" t="s">
        <v>240</v>
      </c>
      <c r="K37" s="0" t="s">
        <v>240</v>
      </c>
      <c r="L37" s="0" t="s">
        <v>240</v>
      </c>
      <c r="M37" s="0" t="s">
        <v>240</v>
      </c>
      <c r="N37" s="0" t="s">
        <v>240</v>
      </c>
      <c r="O37" s="0" t="s">
        <v>240</v>
      </c>
      <c r="P37" s="0" t="s">
        <v>240</v>
      </c>
      <c r="Q37" s="0" t="s">
        <v>240</v>
      </c>
      <c r="R37" s="0" t="s">
        <v>5737</v>
      </c>
      <c r="S37" s="0" t="s">
        <v>240</v>
      </c>
      <c r="T37" s="0" t="s">
        <v>240</v>
      </c>
      <c r="U37" s="0" t="s">
        <v>102</v>
      </c>
      <c r="V37" s="0" t="s">
        <v>240</v>
      </c>
      <c r="W37" s="0" t="s">
        <v>240</v>
      </c>
      <c r="X37" s="0" t="s">
        <v>5485</v>
      </c>
      <c r="Y37" s="0" t="s">
        <v>240</v>
      </c>
      <c r="Z37" s="0" t="s">
        <v>161</v>
      </c>
      <c r="AA37" s="0" t="s">
        <v>152</v>
      </c>
      <c r="AB37" s="0" t="s">
        <v>152</v>
      </c>
      <c r="AC37" s="0" t="s">
        <v>3389</v>
      </c>
      <c r="AD37" s="0" t="s">
        <v>3389</v>
      </c>
      <c r="AE37" s="0" t="s">
        <v>3390</v>
      </c>
      <c r="AF37" s="0" t="s">
        <v>5519</v>
      </c>
      <c r="AG37" s="0" t="s">
        <v>5520</v>
      </c>
      <c r="AH37" s="0" t="s">
        <v>5738</v>
      </c>
      <c r="AI37" s="0" t="s">
        <v>5533</v>
      </c>
      <c r="AJ37" s="0" t="s">
        <v>5716</v>
      </c>
      <c r="AK37" s="0" t="s">
        <v>5739</v>
      </c>
      <c r="AL37" s="0" t="s">
        <v>5492</v>
      </c>
      <c r="AM37" s="0" t="s">
        <v>5493</v>
      </c>
      <c r="AN37" s="0" t="s">
        <v>5740</v>
      </c>
      <c r="AO37" s="0" t="s">
        <v>5741</v>
      </c>
      <c r="AP37" s="0" t="s">
        <v>240</v>
      </c>
      <c r="AQ37" s="0" t="s">
        <v>240</v>
      </c>
      <c r="AR37" s="0" t="s">
        <v>240</v>
      </c>
      <c r="AS37" s="0" t="s">
        <v>240</v>
      </c>
      <c r="AT37" s="0" t="s">
        <v>240</v>
      </c>
      <c r="AU37" s="0" t="s">
        <v>240</v>
      </c>
      <c r="AV37" s="0" t="s">
        <v>240</v>
      </c>
      <c r="AW37" s="0" t="s">
        <v>240</v>
      </c>
      <c r="AX37" s="0" t="s">
        <v>240</v>
      </c>
      <c r="AY37" s="0" t="s">
        <v>240</v>
      </c>
      <c r="AZ37" s="0" t="s">
        <v>240</v>
      </c>
      <c r="BA37" s="0" t="s">
        <v>240</v>
      </c>
      <c r="BB37" s="0" t="s">
        <v>240</v>
      </c>
      <c r="BC37" s="0" t="s">
        <v>240</v>
      </c>
      <c r="BD37" s="0" t="s">
        <v>240</v>
      </c>
      <c r="BE37" s="0" t="s">
        <v>240</v>
      </c>
      <c r="BF37" s="0" t="s">
        <v>240</v>
      </c>
      <c r="BG37" s="0" t="s">
        <v>240</v>
      </c>
      <c r="BH37" s="0" t="s">
        <v>240</v>
      </c>
      <c r="BI37" s="0" t="s">
        <v>240</v>
      </c>
      <c r="BJ37" s="0" t="s">
        <v>240</v>
      </c>
      <c r="BK37" s="0" t="s">
        <v>240</v>
      </c>
      <c r="BL37" s="0" t="s">
        <v>240</v>
      </c>
      <c r="BM37" s="0" t="s">
        <v>240</v>
      </c>
      <c r="BN37" s="0" t="s">
        <v>240</v>
      </c>
      <c r="BO37" s="0" t="s">
        <v>240</v>
      </c>
      <c r="BP37" s="0" t="s">
        <v>240</v>
      </c>
      <c r="BQ37" s="0" t="s">
        <v>240</v>
      </c>
      <c r="BR37" s="0" t="s">
        <v>240</v>
      </c>
      <c r="BS37" s="0" t="s">
        <v>240</v>
      </c>
      <c r="BT37" s="0" t="s">
        <v>240</v>
      </c>
      <c r="BU37" s="0" t="s">
        <v>240</v>
      </c>
      <c r="BV37" s="0" t="s">
        <v>240</v>
      </c>
      <c r="BW37" s="0" t="s">
        <v>240</v>
      </c>
      <c r="BX37" s="0" t="s">
        <v>240</v>
      </c>
      <c r="BY37" s="0" t="s">
        <v>240</v>
      </c>
      <c r="BZ37" s="0" t="s">
        <v>240</v>
      </c>
      <c r="CA37" s="0" t="s">
        <v>240</v>
      </c>
      <c r="CB37" s="0" t="s">
        <v>240</v>
      </c>
      <c r="CC37" s="0" t="s">
        <v>240</v>
      </c>
      <c r="CD37" s="0" t="s">
        <v>240</v>
      </c>
      <c r="CE37" s="0" t="s">
        <v>240</v>
      </c>
      <c r="CF37" s="0" t="s">
        <v>240</v>
      </c>
      <c r="CG37" s="0" t="s">
        <v>240</v>
      </c>
      <c r="CH37" s="0" t="s">
        <v>240</v>
      </c>
      <c r="CI37" s="0" t="s">
        <v>240</v>
      </c>
      <c r="CJ37" s="0" t="s">
        <v>240</v>
      </c>
      <c r="CK37" s="0" t="s">
        <v>240</v>
      </c>
      <c r="CL37" s="0" t="s">
        <v>240</v>
      </c>
      <c r="CM37" s="0" t="s">
        <v>240</v>
      </c>
      <c r="CN37" s="0" t="s">
        <v>240</v>
      </c>
      <c r="CO37" s="0" t="s">
        <v>240</v>
      </c>
      <c r="CP37" s="0" t="s">
        <v>240</v>
      </c>
      <c r="CQ37" s="0" t="s">
        <v>240</v>
      </c>
      <c r="CR37" s="0" t="s">
        <v>240</v>
      </c>
      <c r="CS37" s="0" t="s">
        <v>240</v>
      </c>
      <c r="CT37" s="0" t="s">
        <v>5496</v>
      </c>
      <c r="CU37" s="0" t="s">
        <v>5497</v>
      </c>
      <c r="CV37" s="0" t="s">
        <v>443</v>
      </c>
      <c r="CW37" s="0" t="s">
        <v>5527</v>
      </c>
      <c r="CX37" s="0" t="s">
        <v>5528</v>
      </c>
      <c r="CY37" s="0" t="s">
        <v>443</v>
      </c>
      <c r="CZ37" s="0" t="s">
        <v>299</v>
      </c>
      <c r="DA37" s="0" t="s">
        <v>5529</v>
      </c>
      <c r="DB37" s="0" t="s">
        <v>5527</v>
      </c>
      <c r="DC37" s="0" t="s">
        <v>384</v>
      </c>
      <c r="DD37" s="0" t="s">
        <v>291</v>
      </c>
      <c r="DE37" s="0" t="s">
        <v>5742</v>
      </c>
    </row>
    <row customHeight="1" ht="11.25">
      <c r="A38" s="1441" t="s">
        <v>240</v>
      </c>
      <c r="B38" s="0" t="s">
        <v>240</v>
      </c>
      <c r="C38" s="0" t="s">
        <v>240</v>
      </c>
      <c r="D38" s="0" t="s">
        <v>240</v>
      </c>
      <c r="E38" s="0" t="s">
        <v>240</v>
      </c>
      <c r="F38" s="0" t="s">
        <v>240</v>
      </c>
      <c r="G38" s="0" t="s">
        <v>240</v>
      </c>
      <c r="H38" s="0" t="s">
        <v>240</v>
      </c>
      <c r="I38" s="0" t="s">
        <v>5484</v>
      </c>
      <c r="J38" s="0" t="s">
        <v>240</v>
      </c>
      <c r="K38" s="0" t="s">
        <v>240</v>
      </c>
      <c r="L38" s="0" t="s">
        <v>240</v>
      </c>
      <c r="M38" s="0" t="s">
        <v>240</v>
      </c>
      <c r="N38" s="0" t="s">
        <v>240</v>
      </c>
      <c r="O38" s="0" t="s">
        <v>240</v>
      </c>
      <c r="P38" s="0" t="s">
        <v>240</v>
      </c>
      <c r="Q38" s="0" t="s">
        <v>240</v>
      </c>
      <c r="R38" s="0" t="s">
        <v>5572</v>
      </c>
      <c r="S38" s="0" t="s">
        <v>240</v>
      </c>
      <c r="T38" s="0" t="s">
        <v>240</v>
      </c>
      <c r="U38" s="0" t="s">
        <v>102</v>
      </c>
      <c r="V38" s="0" t="s">
        <v>240</v>
      </c>
      <c r="W38" s="0" t="s">
        <v>240</v>
      </c>
      <c r="X38" s="0" t="s">
        <v>5485</v>
      </c>
      <c r="Y38" s="0" t="s">
        <v>240</v>
      </c>
      <c r="Z38" s="0" t="s">
        <v>161</v>
      </c>
      <c r="AA38" s="0" t="s">
        <v>152</v>
      </c>
      <c r="AB38" s="0" t="s">
        <v>152</v>
      </c>
      <c r="AC38" s="0" t="s">
        <v>2989</v>
      </c>
      <c r="AD38" s="0" t="s">
        <v>2989</v>
      </c>
      <c r="AE38" s="0" t="s">
        <v>2990</v>
      </c>
      <c r="AF38" s="0" t="s">
        <v>5743</v>
      </c>
      <c r="AG38" s="0" t="s">
        <v>5744</v>
      </c>
      <c r="AH38" s="0" t="s">
        <v>5575</v>
      </c>
      <c r="AI38" s="0" t="s">
        <v>5575</v>
      </c>
      <c r="AJ38" s="0" t="s">
        <v>5576</v>
      </c>
      <c r="AK38" s="0" t="s">
        <v>5745</v>
      </c>
      <c r="AL38" s="0" t="s">
        <v>5506</v>
      </c>
      <c r="AM38" s="0" t="s">
        <v>5493</v>
      </c>
      <c r="AN38" s="0" t="s">
        <v>5578</v>
      </c>
      <c r="AO38" s="0" t="s">
        <v>5746</v>
      </c>
      <c r="AP38" s="0" t="s">
        <v>240</v>
      </c>
      <c r="AQ38" s="0" t="s">
        <v>240</v>
      </c>
      <c r="AR38" s="0" t="s">
        <v>240</v>
      </c>
      <c r="AS38" s="0" t="s">
        <v>240</v>
      </c>
      <c r="AT38" s="0" t="s">
        <v>240</v>
      </c>
      <c r="AU38" s="0" t="s">
        <v>240</v>
      </c>
      <c r="AV38" s="0" t="s">
        <v>240</v>
      </c>
      <c r="AW38" s="0" t="s">
        <v>240</v>
      </c>
      <c r="AX38" s="0" t="s">
        <v>240</v>
      </c>
      <c r="AY38" s="0" t="s">
        <v>240</v>
      </c>
      <c r="AZ38" s="0" t="s">
        <v>240</v>
      </c>
      <c r="BA38" s="0" t="s">
        <v>240</v>
      </c>
      <c r="BB38" s="0" t="s">
        <v>240</v>
      </c>
      <c r="BC38" s="0" t="s">
        <v>240</v>
      </c>
      <c r="BD38" s="0" t="s">
        <v>240</v>
      </c>
      <c r="BE38" s="0" t="s">
        <v>240</v>
      </c>
      <c r="BF38" s="0" t="s">
        <v>240</v>
      </c>
      <c r="BG38" s="0" t="s">
        <v>240</v>
      </c>
      <c r="BH38" s="0" t="s">
        <v>240</v>
      </c>
      <c r="BI38" s="0" t="s">
        <v>240</v>
      </c>
      <c r="BJ38" s="0" t="s">
        <v>240</v>
      </c>
      <c r="BK38" s="0" t="s">
        <v>240</v>
      </c>
      <c r="BL38" s="0" t="s">
        <v>240</v>
      </c>
      <c r="BM38" s="0" t="s">
        <v>240</v>
      </c>
      <c r="BN38" s="0" t="s">
        <v>240</v>
      </c>
      <c r="BO38" s="0" t="s">
        <v>240</v>
      </c>
      <c r="BP38" s="0" t="s">
        <v>240</v>
      </c>
      <c r="BQ38" s="0" t="s">
        <v>240</v>
      </c>
      <c r="BR38" s="0" t="s">
        <v>240</v>
      </c>
      <c r="BS38" s="0" t="s">
        <v>240</v>
      </c>
      <c r="BT38" s="0" t="s">
        <v>240</v>
      </c>
      <c r="BU38" s="0" t="s">
        <v>240</v>
      </c>
      <c r="BV38" s="0" t="s">
        <v>240</v>
      </c>
      <c r="BW38" s="0" t="s">
        <v>240</v>
      </c>
      <c r="BX38" s="0" t="s">
        <v>240</v>
      </c>
      <c r="BY38" s="0" t="s">
        <v>240</v>
      </c>
      <c r="BZ38" s="0" t="s">
        <v>240</v>
      </c>
      <c r="CA38" s="0" t="s">
        <v>240</v>
      </c>
      <c r="CB38" s="0" t="s">
        <v>240</v>
      </c>
      <c r="CC38" s="0" t="s">
        <v>240</v>
      </c>
      <c r="CD38" s="0" t="s">
        <v>240</v>
      </c>
      <c r="CE38" s="0" t="s">
        <v>240</v>
      </c>
      <c r="CF38" s="0" t="s">
        <v>240</v>
      </c>
      <c r="CG38" s="0" t="s">
        <v>240</v>
      </c>
      <c r="CH38" s="0" t="s">
        <v>240</v>
      </c>
      <c r="CI38" s="0" t="s">
        <v>240</v>
      </c>
      <c r="CJ38" s="0" t="s">
        <v>240</v>
      </c>
      <c r="CK38" s="0" t="s">
        <v>240</v>
      </c>
      <c r="CL38" s="0" t="s">
        <v>240</v>
      </c>
      <c r="CM38" s="0" t="s">
        <v>240</v>
      </c>
      <c r="CN38" s="0" t="s">
        <v>240</v>
      </c>
      <c r="CO38" s="0" t="s">
        <v>240</v>
      </c>
      <c r="CP38" s="0" t="s">
        <v>240</v>
      </c>
      <c r="CQ38" s="0" t="s">
        <v>240</v>
      </c>
      <c r="CR38" s="0" t="s">
        <v>240</v>
      </c>
      <c r="CS38" s="0" t="s">
        <v>240</v>
      </c>
      <c r="CT38" s="0" t="s">
        <v>5496</v>
      </c>
      <c r="CU38" s="0" t="s">
        <v>5497</v>
      </c>
      <c r="CV38" s="0" t="s">
        <v>443</v>
      </c>
      <c r="CW38" s="0" t="s">
        <v>5580</v>
      </c>
      <c r="CX38" s="0" t="s">
        <v>229</v>
      </c>
      <c r="CY38" s="0" t="s">
        <v>443</v>
      </c>
      <c r="CZ38" s="0" t="s">
        <v>5581</v>
      </c>
      <c r="DA38" s="0" t="s">
        <v>5582</v>
      </c>
      <c r="DB38" s="0" t="s">
        <v>5580</v>
      </c>
      <c r="DC38" s="0" t="s">
        <v>384</v>
      </c>
      <c r="DD38" s="0" t="s">
        <v>291</v>
      </c>
      <c r="DE38" s="0" t="s">
        <v>5747</v>
      </c>
    </row>
    <row customHeight="1" ht="11.25">
      <c r="A39" s="1441" t="s">
        <v>240</v>
      </c>
      <c r="B39" s="0" t="s">
        <v>240</v>
      </c>
      <c r="C39" s="0" t="s">
        <v>240</v>
      </c>
      <c r="D39" s="0" t="s">
        <v>240</v>
      </c>
      <c r="E39" s="0" t="s">
        <v>240</v>
      </c>
      <c r="F39" s="0" t="s">
        <v>240</v>
      </c>
      <c r="G39" s="0" t="s">
        <v>240</v>
      </c>
      <c r="H39" s="0" t="s">
        <v>240</v>
      </c>
      <c r="I39" s="0" t="s">
        <v>5484</v>
      </c>
      <c r="J39" s="0" t="s">
        <v>240</v>
      </c>
      <c r="K39" s="0" t="s">
        <v>240</v>
      </c>
      <c r="L39" s="0" t="s">
        <v>240</v>
      </c>
      <c r="M39" s="0" t="s">
        <v>240</v>
      </c>
      <c r="N39" s="0" t="s">
        <v>240</v>
      </c>
      <c r="O39" s="0" t="s">
        <v>240</v>
      </c>
      <c r="P39" s="0" t="s">
        <v>240</v>
      </c>
      <c r="Q39" s="0" t="s">
        <v>240</v>
      </c>
      <c r="R39" s="0" t="s">
        <v>5748</v>
      </c>
      <c r="S39" s="0" t="s">
        <v>240</v>
      </c>
      <c r="T39" s="0" t="s">
        <v>240</v>
      </c>
      <c r="U39" s="0" t="s">
        <v>102</v>
      </c>
      <c r="V39" s="0" t="s">
        <v>240</v>
      </c>
      <c r="W39" s="0" t="s">
        <v>240</v>
      </c>
      <c r="X39" s="0" t="s">
        <v>5485</v>
      </c>
      <c r="Y39" s="0" t="s">
        <v>240</v>
      </c>
      <c r="Z39" s="0" t="s">
        <v>161</v>
      </c>
      <c r="AA39" s="0" t="s">
        <v>152</v>
      </c>
      <c r="AB39" s="0" t="s">
        <v>152</v>
      </c>
      <c r="AC39" s="0" t="s">
        <v>2991</v>
      </c>
      <c r="AD39" s="0" t="s">
        <v>2991</v>
      </c>
      <c r="AE39" s="0" t="s">
        <v>2992</v>
      </c>
      <c r="AF39" s="0" t="s">
        <v>5749</v>
      </c>
      <c r="AG39" s="0" t="s">
        <v>5750</v>
      </c>
      <c r="AH39" s="0" t="s">
        <v>5751</v>
      </c>
      <c r="AI39" s="0" t="s">
        <v>5730</v>
      </c>
      <c r="AJ39" s="0" t="s">
        <v>5504</v>
      </c>
      <c r="AK39" s="0" t="s">
        <v>5552</v>
      </c>
      <c r="AL39" s="0" t="s">
        <v>5506</v>
      </c>
      <c r="AM39" s="0" t="s">
        <v>5493</v>
      </c>
      <c r="AN39" s="0" t="s">
        <v>5553</v>
      </c>
      <c r="AO39" s="0" t="s">
        <v>5752</v>
      </c>
      <c r="AP39" s="0" t="s">
        <v>240</v>
      </c>
      <c r="AQ39" s="0" t="s">
        <v>240</v>
      </c>
      <c r="AR39" s="0" t="s">
        <v>240</v>
      </c>
      <c r="AS39" s="0" t="s">
        <v>240</v>
      </c>
      <c r="AT39" s="0" t="s">
        <v>240</v>
      </c>
      <c r="AU39" s="0" t="s">
        <v>240</v>
      </c>
      <c r="AV39" s="0" t="s">
        <v>240</v>
      </c>
      <c r="AW39" s="0" t="s">
        <v>240</v>
      </c>
      <c r="AX39" s="0" t="s">
        <v>240</v>
      </c>
      <c r="AY39" s="0" t="s">
        <v>240</v>
      </c>
      <c r="AZ39" s="0" t="s">
        <v>240</v>
      </c>
      <c r="BA39" s="0" t="s">
        <v>240</v>
      </c>
      <c r="BB39" s="0" t="s">
        <v>240</v>
      </c>
      <c r="BC39" s="0" t="s">
        <v>240</v>
      </c>
      <c r="BD39" s="0" t="s">
        <v>240</v>
      </c>
      <c r="BE39" s="0" t="s">
        <v>240</v>
      </c>
      <c r="BF39" s="0" t="s">
        <v>240</v>
      </c>
      <c r="BG39" s="0" t="s">
        <v>240</v>
      </c>
      <c r="BH39" s="0" t="s">
        <v>240</v>
      </c>
      <c r="BI39" s="0" t="s">
        <v>240</v>
      </c>
      <c r="BJ39" s="0" t="s">
        <v>240</v>
      </c>
      <c r="BK39" s="0" t="s">
        <v>240</v>
      </c>
      <c r="BL39" s="0" t="s">
        <v>240</v>
      </c>
      <c r="BM39" s="0" t="s">
        <v>240</v>
      </c>
      <c r="BN39" s="0" t="s">
        <v>240</v>
      </c>
      <c r="BO39" s="0" t="s">
        <v>240</v>
      </c>
      <c r="BP39" s="0" t="s">
        <v>240</v>
      </c>
      <c r="BQ39" s="0" t="s">
        <v>240</v>
      </c>
      <c r="BR39" s="0" t="s">
        <v>240</v>
      </c>
      <c r="BS39" s="0" t="s">
        <v>240</v>
      </c>
      <c r="BT39" s="0" t="s">
        <v>240</v>
      </c>
      <c r="BU39" s="0" t="s">
        <v>240</v>
      </c>
      <c r="BV39" s="0" t="s">
        <v>240</v>
      </c>
      <c r="BW39" s="0" t="s">
        <v>240</v>
      </c>
      <c r="BX39" s="0" t="s">
        <v>240</v>
      </c>
      <c r="BY39" s="0" t="s">
        <v>240</v>
      </c>
      <c r="BZ39" s="0" t="s">
        <v>240</v>
      </c>
      <c r="CA39" s="0" t="s">
        <v>240</v>
      </c>
      <c r="CB39" s="0" t="s">
        <v>240</v>
      </c>
      <c r="CC39" s="0" t="s">
        <v>240</v>
      </c>
      <c r="CD39" s="0" t="s">
        <v>240</v>
      </c>
      <c r="CE39" s="0" t="s">
        <v>240</v>
      </c>
      <c r="CF39" s="0" t="s">
        <v>240</v>
      </c>
      <c r="CG39" s="0" t="s">
        <v>240</v>
      </c>
      <c r="CH39" s="0" t="s">
        <v>240</v>
      </c>
      <c r="CI39" s="0" t="s">
        <v>240</v>
      </c>
      <c r="CJ39" s="0" t="s">
        <v>240</v>
      </c>
      <c r="CK39" s="0" t="s">
        <v>240</v>
      </c>
      <c r="CL39" s="0" t="s">
        <v>240</v>
      </c>
      <c r="CM39" s="0" t="s">
        <v>240</v>
      </c>
      <c r="CN39" s="0" t="s">
        <v>240</v>
      </c>
      <c r="CO39" s="0" t="s">
        <v>240</v>
      </c>
      <c r="CP39" s="0" t="s">
        <v>240</v>
      </c>
      <c r="CQ39" s="0" t="s">
        <v>240</v>
      </c>
      <c r="CR39" s="0" t="s">
        <v>240</v>
      </c>
      <c r="CS39" s="0" t="s">
        <v>240</v>
      </c>
      <c r="CT39" s="0" t="s">
        <v>5496</v>
      </c>
      <c r="CU39" s="0" t="s">
        <v>5497</v>
      </c>
      <c r="CV39" s="0" t="s">
        <v>443</v>
      </c>
      <c r="CW39" s="0" t="s">
        <v>5547</v>
      </c>
      <c r="CX39" s="0" t="s">
        <v>229</v>
      </c>
      <c r="CY39" s="0" t="s">
        <v>443</v>
      </c>
      <c r="CZ39" s="0" t="s">
        <v>5548</v>
      </c>
      <c r="DA39" s="0" t="s">
        <v>5549</v>
      </c>
      <c r="DB39" s="0" t="s">
        <v>5547</v>
      </c>
      <c r="DC39" s="0" t="s">
        <v>384</v>
      </c>
      <c r="DD39" s="0" t="s">
        <v>291</v>
      </c>
      <c r="DE39" s="0" t="s">
        <v>5753</v>
      </c>
    </row>
    <row customHeight="1" ht="11.25">
      <c r="A40" s="1441" t="s">
        <v>240</v>
      </c>
      <c r="B40" s="0" t="s">
        <v>240</v>
      </c>
      <c r="C40" s="0" t="s">
        <v>240</v>
      </c>
      <c r="D40" s="0" t="s">
        <v>240</v>
      </c>
      <c r="E40" s="0" t="s">
        <v>240</v>
      </c>
      <c r="F40" s="0" t="s">
        <v>240</v>
      </c>
      <c r="G40" s="0" t="s">
        <v>240</v>
      </c>
      <c r="H40" s="0" t="s">
        <v>240</v>
      </c>
      <c r="I40" s="0" t="s">
        <v>5484</v>
      </c>
      <c r="J40" s="0" t="s">
        <v>240</v>
      </c>
      <c r="K40" s="0" t="s">
        <v>240</v>
      </c>
      <c r="L40" s="0" t="s">
        <v>240</v>
      </c>
      <c r="M40" s="0" t="s">
        <v>240</v>
      </c>
      <c r="N40" s="0" t="s">
        <v>240</v>
      </c>
      <c r="O40" s="0" t="s">
        <v>240</v>
      </c>
      <c r="P40" s="0" t="s">
        <v>240</v>
      </c>
      <c r="Q40" s="0" t="s">
        <v>240</v>
      </c>
      <c r="R40" s="0" t="s">
        <v>5754</v>
      </c>
      <c r="S40" s="0" t="s">
        <v>240</v>
      </c>
      <c r="T40" s="0" t="s">
        <v>240</v>
      </c>
      <c r="U40" s="0" t="s">
        <v>102</v>
      </c>
      <c r="V40" s="0" t="s">
        <v>240</v>
      </c>
      <c r="W40" s="0" t="s">
        <v>240</v>
      </c>
      <c r="X40" s="0" t="s">
        <v>5485</v>
      </c>
      <c r="Y40" s="0" t="s">
        <v>240</v>
      </c>
      <c r="Z40" s="0" t="s">
        <v>161</v>
      </c>
      <c r="AA40" s="0" t="s">
        <v>152</v>
      </c>
      <c r="AB40" s="0" t="s">
        <v>152</v>
      </c>
      <c r="AC40" s="0" t="s">
        <v>2991</v>
      </c>
      <c r="AD40" s="0" t="s">
        <v>2991</v>
      </c>
      <c r="AE40" s="0" t="s">
        <v>2992</v>
      </c>
      <c r="AF40" s="0" t="s">
        <v>5749</v>
      </c>
      <c r="AG40" s="0" t="s">
        <v>5750</v>
      </c>
      <c r="AH40" s="0" t="s">
        <v>5755</v>
      </c>
      <c r="AI40" s="0" t="s">
        <v>5551</v>
      </c>
      <c r="AJ40" s="0" t="s">
        <v>5504</v>
      </c>
      <c r="AK40" s="0" t="s">
        <v>5756</v>
      </c>
      <c r="AL40" s="0" t="s">
        <v>5506</v>
      </c>
      <c r="AM40" s="0" t="s">
        <v>5493</v>
      </c>
      <c r="AN40" s="0" t="s">
        <v>5553</v>
      </c>
      <c r="AO40" s="0" t="s">
        <v>5757</v>
      </c>
      <c r="AP40" s="0" t="s">
        <v>240</v>
      </c>
      <c r="AQ40" s="0" t="s">
        <v>240</v>
      </c>
      <c r="AR40" s="0" t="s">
        <v>240</v>
      </c>
      <c r="AS40" s="0" t="s">
        <v>240</v>
      </c>
      <c r="AT40" s="0" t="s">
        <v>240</v>
      </c>
      <c r="AU40" s="0" t="s">
        <v>240</v>
      </c>
      <c r="AV40" s="0" t="s">
        <v>240</v>
      </c>
      <c r="AW40" s="0" t="s">
        <v>240</v>
      </c>
      <c r="AX40" s="0" t="s">
        <v>240</v>
      </c>
      <c r="AY40" s="0" t="s">
        <v>240</v>
      </c>
      <c r="AZ40" s="0" t="s">
        <v>240</v>
      </c>
      <c r="BA40" s="0" t="s">
        <v>240</v>
      </c>
      <c r="BB40" s="0" t="s">
        <v>240</v>
      </c>
      <c r="BC40" s="0" t="s">
        <v>240</v>
      </c>
      <c r="BD40" s="0" t="s">
        <v>240</v>
      </c>
      <c r="BE40" s="0" t="s">
        <v>240</v>
      </c>
      <c r="BF40" s="0" t="s">
        <v>240</v>
      </c>
      <c r="BG40" s="0" t="s">
        <v>240</v>
      </c>
      <c r="BH40" s="0" t="s">
        <v>240</v>
      </c>
      <c r="BI40" s="0" t="s">
        <v>240</v>
      </c>
      <c r="BJ40" s="0" t="s">
        <v>240</v>
      </c>
      <c r="BK40" s="0" t="s">
        <v>240</v>
      </c>
      <c r="BL40" s="0" t="s">
        <v>240</v>
      </c>
      <c r="BM40" s="0" t="s">
        <v>240</v>
      </c>
      <c r="BN40" s="0" t="s">
        <v>240</v>
      </c>
      <c r="BO40" s="0" t="s">
        <v>240</v>
      </c>
      <c r="BP40" s="0" t="s">
        <v>240</v>
      </c>
      <c r="BQ40" s="0" t="s">
        <v>240</v>
      </c>
      <c r="BR40" s="0" t="s">
        <v>240</v>
      </c>
      <c r="BS40" s="0" t="s">
        <v>240</v>
      </c>
      <c r="BT40" s="0" t="s">
        <v>240</v>
      </c>
      <c r="BU40" s="0" t="s">
        <v>240</v>
      </c>
      <c r="BV40" s="0" t="s">
        <v>240</v>
      </c>
      <c r="BW40" s="0" t="s">
        <v>240</v>
      </c>
      <c r="BX40" s="0" t="s">
        <v>240</v>
      </c>
      <c r="BY40" s="0" t="s">
        <v>240</v>
      </c>
      <c r="BZ40" s="0" t="s">
        <v>240</v>
      </c>
      <c r="CA40" s="0" t="s">
        <v>240</v>
      </c>
      <c r="CB40" s="0" t="s">
        <v>240</v>
      </c>
      <c r="CC40" s="0" t="s">
        <v>240</v>
      </c>
      <c r="CD40" s="0" t="s">
        <v>240</v>
      </c>
      <c r="CE40" s="0" t="s">
        <v>240</v>
      </c>
      <c r="CF40" s="0" t="s">
        <v>240</v>
      </c>
      <c r="CG40" s="0" t="s">
        <v>240</v>
      </c>
      <c r="CH40" s="0" t="s">
        <v>240</v>
      </c>
      <c r="CI40" s="0" t="s">
        <v>240</v>
      </c>
      <c r="CJ40" s="0" t="s">
        <v>240</v>
      </c>
      <c r="CK40" s="0" t="s">
        <v>240</v>
      </c>
      <c r="CL40" s="0" t="s">
        <v>240</v>
      </c>
      <c r="CM40" s="0" t="s">
        <v>240</v>
      </c>
      <c r="CN40" s="0" t="s">
        <v>240</v>
      </c>
      <c r="CO40" s="0" t="s">
        <v>240</v>
      </c>
      <c r="CP40" s="0" t="s">
        <v>240</v>
      </c>
      <c r="CQ40" s="0" t="s">
        <v>240</v>
      </c>
      <c r="CR40" s="0" t="s">
        <v>240</v>
      </c>
      <c r="CS40" s="0" t="s">
        <v>240</v>
      </c>
      <c r="CT40" s="0" t="s">
        <v>5496</v>
      </c>
      <c r="CU40" s="0" t="s">
        <v>5497</v>
      </c>
      <c r="CV40" s="0" t="s">
        <v>443</v>
      </c>
      <c r="CW40" s="0" t="s">
        <v>5547</v>
      </c>
      <c r="CX40" s="0" t="s">
        <v>229</v>
      </c>
      <c r="CY40" s="0" t="s">
        <v>443</v>
      </c>
      <c r="CZ40" s="0" t="s">
        <v>5548</v>
      </c>
      <c r="DA40" s="0" t="s">
        <v>5549</v>
      </c>
      <c r="DB40" s="0" t="s">
        <v>5547</v>
      </c>
      <c r="DC40" s="0" t="s">
        <v>384</v>
      </c>
      <c r="DD40" s="0" t="s">
        <v>291</v>
      </c>
      <c r="DE40" s="0" t="s">
        <v>5758</v>
      </c>
    </row>
    <row customHeight="1" ht="11.25">
      <c r="A41" s="1441" t="s">
        <v>240</v>
      </c>
      <c r="B41" s="0" t="s">
        <v>240</v>
      </c>
      <c r="C41" s="0" t="s">
        <v>240</v>
      </c>
      <c r="D41" s="0" t="s">
        <v>240</v>
      </c>
      <c r="E41" s="0" t="s">
        <v>240</v>
      </c>
      <c r="F41" s="0" t="s">
        <v>240</v>
      </c>
      <c r="G41" s="0" t="s">
        <v>240</v>
      </c>
      <c r="H41" s="0" t="s">
        <v>240</v>
      </c>
      <c r="I41" s="0" t="s">
        <v>5484</v>
      </c>
      <c r="J41" s="0" t="s">
        <v>240</v>
      </c>
      <c r="K41" s="0" t="s">
        <v>240</v>
      </c>
      <c r="L41" s="0" t="s">
        <v>240</v>
      </c>
      <c r="M41" s="0" t="s">
        <v>240</v>
      </c>
      <c r="N41" s="0" t="s">
        <v>240</v>
      </c>
      <c r="O41" s="0" t="s">
        <v>240</v>
      </c>
      <c r="P41" s="0" t="s">
        <v>240</v>
      </c>
      <c r="Q41" s="0" t="s">
        <v>240</v>
      </c>
      <c r="R41" s="0" t="s">
        <v>5759</v>
      </c>
      <c r="S41" s="0" t="s">
        <v>240</v>
      </c>
      <c r="T41" s="0" t="s">
        <v>240</v>
      </c>
      <c r="U41" s="0" t="s">
        <v>102</v>
      </c>
      <c r="V41" s="0" t="s">
        <v>240</v>
      </c>
      <c r="W41" s="0" t="s">
        <v>240</v>
      </c>
      <c r="X41" s="0" t="s">
        <v>5485</v>
      </c>
      <c r="Y41" s="0" t="s">
        <v>240</v>
      </c>
      <c r="Z41" s="0" t="s">
        <v>161</v>
      </c>
      <c r="AA41" s="0" t="s">
        <v>152</v>
      </c>
      <c r="AB41" s="0" t="s">
        <v>152</v>
      </c>
      <c r="AC41" s="0" t="s">
        <v>3389</v>
      </c>
      <c r="AD41" s="0" t="s">
        <v>3389</v>
      </c>
      <c r="AE41" s="0" t="s">
        <v>3390</v>
      </c>
      <c r="AF41" s="0" t="s">
        <v>5519</v>
      </c>
      <c r="AG41" s="0" t="s">
        <v>5520</v>
      </c>
      <c r="AH41" s="0" t="s">
        <v>5760</v>
      </c>
      <c r="AI41" s="0" t="s">
        <v>5533</v>
      </c>
      <c r="AJ41" s="0" t="s">
        <v>5761</v>
      </c>
      <c r="AK41" s="0" t="s">
        <v>5762</v>
      </c>
      <c r="AL41" s="0" t="s">
        <v>5524</v>
      </c>
      <c r="AM41" s="0" t="s">
        <v>5493</v>
      </c>
      <c r="AN41" s="0" t="s">
        <v>5763</v>
      </c>
      <c r="AO41" s="0" t="s">
        <v>5764</v>
      </c>
      <c r="AP41" s="0" t="s">
        <v>240</v>
      </c>
      <c r="AQ41" s="0" t="s">
        <v>240</v>
      </c>
      <c r="AR41" s="0" t="s">
        <v>240</v>
      </c>
      <c r="AS41" s="0" t="s">
        <v>240</v>
      </c>
      <c r="AT41" s="0" t="s">
        <v>240</v>
      </c>
      <c r="AU41" s="0" t="s">
        <v>240</v>
      </c>
      <c r="AV41" s="0" t="s">
        <v>240</v>
      </c>
      <c r="AW41" s="0" t="s">
        <v>240</v>
      </c>
      <c r="AX41" s="0" t="s">
        <v>240</v>
      </c>
      <c r="AY41" s="0" t="s">
        <v>240</v>
      </c>
      <c r="AZ41" s="0" t="s">
        <v>240</v>
      </c>
      <c r="BA41" s="0" t="s">
        <v>240</v>
      </c>
      <c r="BB41" s="0" t="s">
        <v>240</v>
      </c>
      <c r="BC41" s="0" t="s">
        <v>240</v>
      </c>
      <c r="BD41" s="0" t="s">
        <v>240</v>
      </c>
      <c r="BE41" s="0" t="s">
        <v>240</v>
      </c>
      <c r="BF41" s="0" t="s">
        <v>240</v>
      </c>
      <c r="BG41" s="0" t="s">
        <v>240</v>
      </c>
      <c r="BH41" s="0" t="s">
        <v>240</v>
      </c>
      <c r="BI41" s="0" t="s">
        <v>240</v>
      </c>
      <c r="BJ41" s="0" t="s">
        <v>240</v>
      </c>
      <c r="BK41" s="0" t="s">
        <v>240</v>
      </c>
      <c r="BL41" s="0" t="s">
        <v>240</v>
      </c>
      <c r="BM41" s="0" t="s">
        <v>240</v>
      </c>
      <c r="BN41" s="0" t="s">
        <v>240</v>
      </c>
      <c r="BO41" s="0" t="s">
        <v>240</v>
      </c>
      <c r="BP41" s="0" t="s">
        <v>240</v>
      </c>
      <c r="BQ41" s="0" t="s">
        <v>240</v>
      </c>
      <c r="BR41" s="0" t="s">
        <v>240</v>
      </c>
      <c r="BS41" s="0" t="s">
        <v>240</v>
      </c>
      <c r="BT41" s="0" t="s">
        <v>240</v>
      </c>
      <c r="BU41" s="0" t="s">
        <v>240</v>
      </c>
      <c r="BV41" s="0" t="s">
        <v>240</v>
      </c>
      <c r="BW41" s="0" t="s">
        <v>240</v>
      </c>
      <c r="BX41" s="0" t="s">
        <v>240</v>
      </c>
      <c r="BY41" s="0" t="s">
        <v>240</v>
      </c>
      <c r="BZ41" s="0" t="s">
        <v>240</v>
      </c>
      <c r="CA41" s="0" t="s">
        <v>240</v>
      </c>
      <c r="CB41" s="0" t="s">
        <v>240</v>
      </c>
      <c r="CC41" s="0" t="s">
        <v>240</v>
      </c>
      <c r="CD41" s="0" t="s">
        <v>240</v>
      </c>
      <c r="CE41" s="0" t="s">
        <v>240</v>
      </c>
      <c r="CF41" s="0" t="s">
        <v>240</v>
      </c>
      <c r="CG41" s="0" t="s">
        <v>240</v>
      </c>
      <c r="CH41" s="0" t="s">
        <v>240</v>
      </c>
      <c r="CI41" s="0" t="s">
        <v>240</v>
      </c>
      <c r="CJ41" s="0" t="s">
        <v>240</v>
      </c>
      <c r="CK41" s="0" t="s">
        <v>240</v>
      </c>
      <c r="CL41" s="0" t="s">
        <v>240</v>
      </c>
      <c r="CM41" s="0" t="s">
        <v>240</v>
      </c>
      <c r="CN41" s="0" t="s">
        <v>240</v>
      </c>
      <c r="CO41" s="0" t="s">
        <v>240</v>
      </c>
      <c r="CP41" s="0" t="s">
        <v>240</v>
      </c>
      <c r="CQ41" s="0" t="s">
        <v>240</v>
      </c>
      <c r="CR41" s="0" t="s">
        <v>240</v>
      </c>
      <c r="CS41" s="0" t="s">
        <v>240</v>
      </c>
      <c r="CT41" s="0" t="s">
        <v>5496</v>
      </c>
      <c r="CU41" s="0" t="s">
        <v>5497</v>
      </c>
      <c r="CV41" s="0" t="s">
        <v>443</v>
      </c>
      <c r="CW41" s="0" t="s">
        <v>5527</v>
      </c>
      <c r="CX41" s="0" t="s">
        <v>5528</v>
      </c>
      <c r="CY41" s="0" t="s">
        <v>443</v>
      </c>
      <c r="CZ41" s="0" t="s">
        <v>299</v>
      </c>
      <c r="DA41" s="0" t="s">
        <v>5529</v>
      </c>
      <c r="DB41" s="0" t="s">
        <v>5527</v>
      </c>
      <c r="DC41" s="0" t="s">
        <v>384</v>
      </c>
      <c r="DD41" s="0" t="s">
        <v>291</v>
      </c>
      <c r="DE41" s="0" t="s">
        <v>5765</v>
      </c>
    </row>
    <row customHeight="1" ht="11.25">
      <c r="A42" s="1441" t="s">
        <v>240</v>
      </c>
      <c r="B42" s="0" t="s">
        <v>240</v>
      </c>
      <c r="C42" s="0" t="s">
        <v>240</v>
      </c>
      <c r="D42" s="0" t="s">
        <v>240</v>
      </c>
      <c r="E42" s="0" t="s">
        <v>240</v>
      </c>
      <c r="F42" s="0" t="s">
        <v>240</v>
      </c>
      <c r="G42" s="0" t="s">
        <v>240</v>
      </c>
      <c r="H42" s="0" t="s">
        <v>240</v>
      </c>
      <c r="I42" s="0" t="s">
        <v>5484</v>
      </c>
      <c r="J42" s="0" t="s">
        <v>240</v>
      </c>
      <c r="K42" s="0" t="s">
        <v>240</v>
      </c>
      <c r="L42" s="0" t="s">
        <v>240</v>
      </c>
      <c r="M42" s="0" t="s">
        <v>240</v>
      </c>
      <c r="N42" s="0" t="s">
        <v>240</v>
      </c>
      <c r="O42" s="0" t="s">
        <v>240</v>
      </c>
      <c r="P42" s="0" t="s">
        <v>240</v>
      </c>
      <c r="Q42" s="0" t="s">
        <v>240</v>
      </c>
      <c r="R42" s="0" t="s">
        <v>5766</v>
      </c>
      <c r="S42" s="0" t="s">
        <v>240</v>
      </c>
      <c r="T42" s="0" t="s">
        <v>240</v>
      </c>
      <c r="U42" s="0" t="s">
        <v>102</v>
      </c>
      <c r="V42" s="0" t="s">
        <v>240</v>
      </c>
      <c r="W42" s="0" t="s">
        <v>240</v>
      </c>
      <c r="X42" s="0" t="s">
        <v>5485</v>
      </c>
      <c r="Y42" s="0" t="s">
        <v>240</v>
      </c>
      <c r="Z42" s="0" t="s">
        <v>161</v>
      </c>
      <c r="AA42" s="0" t="s">
        <v>152</v>
      </c>
      <c r="AB42" s="0" t="s">
        <v>152</v>
      </c>
      <c r="AC42" s="0" t="s">
        <v>2991</v>
      </c>
      <c r="AD42" s="0" t="s">
        <v>2991</v>
      </c>
      <c r="AE42" s="0" t="s">
        <v>2992</v>
      </c>
      <c r="AF42" s="0" t="s">
        <v>5749</v>
      </c>
      <c r="AG42" s="0" t="s">
        <v>5750</v>
      </c>
      <c r="AH42" s="0" t="s">
        <v>5767</v>
      </c>
      <c r="AI42" s="0" t="s">
        <v>5575</v>
      </c>
      <c r="AJ42" s="0" t="s">
        <v>5578</v>
      </c>
      <c r="AK42" s="0" t="s">
        <v>5545</v>
      </c>
      <c r="AL42" s="0" t="s">
        <v>5506</v>
      </c>
      <c r="AM42" s="0" t="s">
        <v>5493</v>
      </c>
      <c r="AN42" s="0" t="s">
        <v>5553</v>
      </c>
      <c r="AO42" s="0" t="s">
        <v>5768</v>
      </c>
      <c r="AP42" s="0" t="s">
        <v>240</v>
      </c>
      <c r="AQ42" s="0" t="s">
        <v>240</v>
      </c>
      <c r="AR42" s="0" t="s">
        <v>240</v>
      </c>
      <c r="AS42" s="0" t="s">
        <v>240</v>
      </c>
      <c r="AT42" s="0" t="s">
        <v>240</v>
      </c>
      <c r="AU42" s="0" t="s">
        <v>240</v>
      </c>
      <c r="AV42" s="0" t="s">
        <v>240</v>
      </c>
      <c r="AW42" s="0" t="s">
        <v>240</v>
      </c>
      <c r="AX42" s="0" t="s">
        <v>240</v>
      </c>
      <c r="AY42" s="0" t="s">
        <v>240</v>
      </c>
      <c r="AZ42" s="0" t="s">
        <v>240</v>
      </c>
      <c r="BA42" s="0" t="s">
        <v>240</v>
      </c>
      <c r="BB42" s="0" t="s">
        <v>240</v>
      </c>
      <c r="BC42" s="0" t="s">
        <v>240</v>
      </c>
      <c r="BD42" s="0" t="s">
        <v>240</v>
      </c>
      <c r="BE42" s="0" t="s">
        <v>240</v>
      </c>
      <c r="BF42" s="0" t="s">
        <v>240</v>
      </c>
      <c r="BG42" s="0" t="s">
        <v>240</v>
      </c>
      <c r="BH42" s="0" t="s">
        <v>240</v>
      </c>
      <c r="BI42" s="0" t="s">
        <v>240</v>
      </c>
      <c r="BJ42" s="0" t="s">
        <v>240</v>
      </c>
      <c r="BK42" s="0" t="s">
        <v>240</v>
      </c>
      <c r="BL42" s="0" t="s">
        <v>240</v>
      </c>
      <c r="BM42" s="0" t="s">
        <v>240</v>
      </c>
      <c r="BN42" s="0" t="s">
        <v>240</v>
      </c>
      <c r="BO42" s="0" t="s">
        <v>240</v>
      </c>
      <c r="BP42" s="0" t="s">
        <v>240</v>
      </c>
      <c r="BQ42" s="0" t="s">
        <v>240</v>
      </c>
      <c r="BR42" s="0" t="s">
        <v>240</v>
      </c>
      <c r="BS42" s="0" t="s">
        <v>240</v>
      </c>
      <c r="BT42" s="0" t="s">
        <v>240</v>
      </c>
      <c r="BU42" s="0" t="s">
        <v>240</v>
      </c>
      <c r="BV42" s="0" t="s">
        <v>240</v>
      </c>
      <c r="BW42" s="0" t="s">
        <v>240</v>
      </c>
      <c r="BX42" s="0" t="s">
        <v>240</v>
      </c>
      <c r="BY42" s="0" t="s">
        <v>240</v>
      </c>
      <c r="BZ42" s="0" t="s">
        <v>240</v>
      </c>
      <c r="CA42" s="0" t="s">
        <v>240</v>
      </c>
      <c r="CB42" s="0" t="s">
        <v>240</v>
      </c>
      <c r="CC42" s="0" t="s">
        <v>240</v>
      </c>
      <c r="CD42" s="0" t="s">
        <v>240</v>
      </c>
      <c r="CE42" s="0" t="s">
        <v>240</v>
      </c>
      <c r="CF42" s="0" t="s">
        <v>240</v>
      </c>
      <c r="CG42" s="0" t="s">
        <v>240</v>
      </c>
      <c r="CH42" s="0" t="s">
        <v>240</v>
      </c>
      <c r="CI42" s="0" t="s">
        <v>240</v>
      </c>
      <c r="CJ42" s="0" t="s">
        <v>240</v>
      </c>
      <c r="CK42" s="0" t="s">
        <v>240</v>
      </c>
      <c r="CL42" s="0" t="s">
        <v>240</v>
      </c>
      <c r="CM42" s="0" t="s">
        <v>240</v>
      </c>
      <c r="CN42" s="0" t="s">
        <v>240</v>
      </c>
      <c r="CO42" s="0" t="s">
        <v>240</v>
      </c>
      <c r="CP42" s="0" t="s">
        <v>240</v>
      </c>
      <c r="CQ42" s="0" t="s">
        <v>240</v>
      </c>
      <c r="CR42" s="0" t="s">
        <v>240</v>
      </c>
      <c r="CS42" s="0" t="s">
        <v>240</v>
      </c>
      <c r="CT42" s="0" t="s">
        <v>5496</v>
      </c>
      <c r="CU42" s="0" t="s">
        <v>5497</v>
      </c>
      <c r="CV42" s="0" t="s">
        <v>443</v>
      </c>
      <c r="CW42" s="0" t="s">
        <v>5547</v>
      </c>
      <c r="CX42" s="0" t="s">
        <v>229</v>
      </c>
      <c r="CY42" s="0" t="s">
        <v>443</v>
      </c>
      <c r="CZ42" s="0" t="s">
        <v>5548</v>
      </c>
      <c r="DA42" s="0" t="s">
        <v>5549</v>
      </c>
      <c r="DB42" s="0" t="s">
        <v>5547</v>
      </c>
      <c r="DC42" s="0" t="s">
        <v>384</v>
      </c>
      <c r="DD42" s="0" t="s">
        <v>291</v>
      </c>
      <c r="DE42" s="0" t="s">
        <v>5769</v>
      </c>
    </row>
    <row customHeight="1" ht="11.25">
      <c r="A43" s="1441" t="s">
        <v>240</v>
      </c>
      <c r="B43" s="0" t="s">
        <v>240</v>
      </c>
      <c r="C43" s="0" t="s">
        <v>240</v>
      </c>
      <c r="D43" s="0" t="s">
        <v>240</v>
      </c>
      <c r="E43" s="0" t="s">
        <v>240</v>
      </c>
      <c r="F43" s="0" t="s">
        <v>240</v>
      </c>
      <c r="G43" s="0" t="s">
        <v>240</v>
      </c>
      <c r="H43" s="0" t="s">
        <v>240</v>
      </c>
      <c r="I43" s="0" t="s">
        <v>5484</v>
      </c>
      <c r="J43" s="0" t="s">
        <v>240</v>
      </c>
      <c r="K43" s="0" t="s">
        <v>240</v>
      </c>
      <c r="L43" s="0" t="s">
        <v>240</v>
      </c>
      <c r="M43" s="0" t="s">
        <v>240</v>
      </c>
      <c r="N43" s="0" t="s">
        <v>240</v>
      </c>
      <c r="O43" s="0" t="s">
        <v>240</v>
      </c>
      <c r="P43" s="0" t="s">
        <v>240</v>
      </c>
      <c r="Q43" s="0" t="s">
        <v>240</v>
      </c>
      <c r="R43" s="0" t="s">
        <v>5770</v>
      </c>
      <c r="S43" s="0" t="s">
        <v>240</v>
      </c>
      <c r="T43" s="0" t="s">
        <v>240</v>
      </c>
      <c r="U43" s="0" t="s">
        <v>102</v>
      </c>
      <c r="V43" s="0" t="s">
        <v>240</v>
      </c>
      <c r="W43" s="0" t="s">
        <v>240</v>
      </c>
      <c r="X43" s="0" t="s">
        <v>5485</v>
      </c>
      <c r="Y43" s="0" t="s">
        <v>240</v>
      </c>
      <c r="Z43" s="0" t="s">
        <v>161</v>
      </c>
      <c r="AA43" s="0" t="s">
        <v>152</v>
      </c>
      <c r="AB43" s="0" t="s">
        <v>152</v>
      </c>
      <c r="AC43" s="0" t="s">
        <v>2991</v>
      </c>
      <c r="AD43" s="0" t="s">
        <v>2991</v>
      </c>
      <c r="AE43" s="0" t="s">
        <v>2992</v>
      </c>
      <c r="AF43" s="0" t="s">
        <v>5749</v>
      </c>
      <c r="AG43" s="0" t="s">
        <v>5750</v>
      </c>
      <c r="AH43" s="0" t="s">
        <v>5767</v>
      </c>
      <c r="AI43" s="0" t="s">
        <v>5575</v>
      </c>
      <c r="AJ43" s="0" t="s">
        <v>5578</v>
      </c>
      <c r="AK43" s="0" t="s">
        <v>5545</v>
      </c>
      <c r="AL43" s="0" t="s">
        <v>5506</v>
      </c>
      <c r="AM43" s="0" t="s">
        <v>5493</v>
      </c>
      <c r="AN43" s="0" t="s">
        <v>5545</v>
      </c>
      <c r="AO43" s="0" t="s">
        <v>5768</v>
      </c>
      <c r="AP43" s="0" t="s">
        <v>240</v>
      </c>
      <c r="AQ43" s="0" t="s">
        <v>240</v>
      </c>
      <c r="AR43" s="0" t="s">
        <v>240</v>
      </c>
      <c r="AS43" s="0" t="s">
        <v>240</v>
      </c>
      <c r="AT43" s="0" t="s">
        <v>240</v>
      </c>
      <c r="AU43" s="0" t="s">
        <v>240</v>
      </c>
      <c r="AV43" s="0" t="s">
        <v>240</v>
      </c>
      <c r="AW43" s="0" t="s">
        <v>240</v>
      </c>
      <c r="AX43" s="0" t="s">
        <v>240</v>
      </c>
      <c r="AY43" s="0" t="s">
        <v>240</v>
      </c>
      <c r="AZ43" s="0" t="s">
        <v>240</v>
      </c>
      <c r="BA43" s="0" t="s">
        <v>240</v>
      </c>
      <c r="BB43" s="0" t="s">
        <v>240</v>
      </c>
      <c r="BC43" s="0" t="s">
        <v>240</v>
      </c>
      <c r="BD43" s="0" t="s">
        <v>240</v>
      </c>
      <c r="BE43" s="0" t="s">
        <v>240</v>
      </c>
      <c r="BF43" s="0" t="s">
        <v>240</v>
      </c>
      <c r="BG43" s="0" t="s">
        <v>240</v>
      </c>
      <c r="BH43" s="0" t="s">
        <v>240</v>
      </c>
      <c r="BI43" s="0" t="s">
        <v>240</v>
      </c>
      <c r="BJ43" s="0" t="s">
        <v>240</v>
      </c>
      <c r="BK43" s="0" t="s">
        <v>240</v>
      </c>
      <c r="BL43" s="0" t="s">
        <v>240</v>
      </c>
      <c r="BM43" s="0" t="s">
        <v>240</v>
      </c>
      <c r="BN43" s="0" t="s">
        <v>240</v>
      </c>
      <c r="BO43" s="0" t="s">
        <v>240</v>
      </c>
      <c r="BP43" s="0" t="s">
        <v>240</v>
      </c>
      <c r="BQ43" s="0" t="s">
        <v>240</v>
      </c>
      <c r="BR43" s="0" t="s">
        <v>240</v>
      </c>
      <c r="BS43" s="0" t="s">
        <v>240</v>
      </c>
      <c r="BT43" s="0" t="s">
        <v>240</v>
      </c>
      <c r="BU43" s="0" t="s">
        <v>240</v>
      </c>
      <c r="BV43" s="0" t="s">
        <v>240</v>
      </c>
      <c r="BW43" s="0" t="s">
        <v>240</v>
      </c>
      <c r="BX43" s="0" t="s">
        <v>240</v>
      </c>
      <c r="BY43" s="0" t="s">
        <v>240</v>
      </c>
      <c r="BZ43" s="0" t="s">
        <v>240</v>
      </c>
      <c r="CA43" s="0" t="s">
        <v>240</v>
      </c>
      <c r="CB43" s="0" t="s">
        <v>240</v>
      </c>
      <c r="CC43" s="0" t="s">
        <v>240</v>
      </c>
      <c r="CD43" s="0" t="s">
        <v>240</v>
      </c>
      <c r="CE43" s="0" t="s">
        <v>240</v>
      </c>
      <c r="CF43" s="0" t="s">
        <v>240</v>
      </c>
      <c r="CG43" s="0" t="s">
        <v>240</v>
      </c>
      <c r="CH43" s="0" t="s">
        <v>240</v>
      </c>
      <c r="CI43" s="0" t="s">
        <v>240</v>
      </c>
      <c r="CJ43" s="0" t="s">
        <v>240</v>
      </c>
      <c r="CK43" s="0" t="s">
        <v>240</v>
      </c>
      <c r="CL43" s="0" t="s">
        <v>240</v>
      </c>
      <c r="CM43" s="0" t="s">
        <v>240</v>
      </c>
      <c r="CN43" s="0" t="s">
        <v>240</v>
      </c>
      <c r="CO43" s="0" t="s">
        <v>240</v>
      </c>
      <c r="CP43" s="0" t="s">
        <v>240</v>
      </c>
      <c r="CQ43" s="0" t="s">
        <v>240</v>
      </c>
      <c r="CR43" s="0" t="s">
        <v>240</v>
      </c>
      <c r="CS43" s="0" t="s">
        <v>240</v>
      </c>
      <c r="CT43" s="0" t="s">
        <v>5496</v>
      </c>
      <c r="CU43" s="0" t="s">
        <v>5497</v>
      </c>
      <c r="CV43" s="0" t="s">
        <v>443</v>
      </c>
      <c r="CW43" s="0" t="s">
        <v>5547</v>
      </c>
      <c r="CX43" s="0" t="s">
        <v>229</v>
      </c>
      <c r="CY43" s="0" t="s">
        <v>443</v>
      </c>
      <c r="CZ43" s="0" t="s">
        <v>5548</v>
      </c>
      <c r="DA43" s="0" t="s">
        <v>5549</v>
      </c>
      <c r="DB43" s="0" t="s">
        <v>5547</v>
      </c>
      <c r="DC43" s="0" t="s">
        <v>384</v>
      </c>
      <c r="DD43" s="0" t="s">
        <v>291</v>
      </c>
      <c r="DE43" s="0" t="s">
        <v>5769</v>
      </c>
    </row>
    <row customHeight="1" ht="11.25">
      <c r="A44" s="1441" t="s">
        <v>240</v>
      </c>
      <c r="B44" s="0" t="s">
        <v>240</v>
      </c>
      <c r="C44" s="0" t="s">
        <v>240</v>
      </c>
      <c r="D44" s="0" t="s">
        <v>240</v>
      </c>
      <c r="E44" s="0" t="s">
        <v>240</v>
      </c>
      <c r="F44" s="0" t="s">
        <v>240</v>
      </c>
      <c r="G44" s="0" t="s">
        <v>240</v>
      </c>
      <c r="H44" s="0" t="s">
        <v>240</v>
      </c>
      <c r="I44" s="0" t="s">
        <v>5484</v>
      </c>
      <c r="J44" s="0" t="s">
        <v>240</v>
      </c>
      <c r="K44" s="0" t="s">
        <v>240</v>
      </c>
      <c r="L44" s="0" t="s">
        <v>240</v>
      </c>
      <c r="M44" s="0" t="s">
        <v>240</v>
      </c>
      <c r="N44" s="0" t="s">
        <v>240</v>
      </c>
      <c r="O44" s="0" t="s">
        <v>240</v>
      </c>
      <c r="P44" s="0" t="s">
        <v>240</v>
      </c>
      <c r="Q44" s="0" t="s">
        <v>240</v>
      </c>
      <c r="R44" s="0" t="s">
        <v>5771</v>
      </c>
      <c r="S44" s="0" t="s">
        <v>240</v>
      </c>
      <c r="T44" s="0" t="s">
        <v>240</v>
      </c>
      <c r="U44" s="0" t="s">
        <v>102</v>
      </c>
      <c r="V44" s="0" t="s">
        <v>240</v>
      </c>
      <c r="W44" s="0" t="s">
        <v>240</v>
      </c>
      <c r="X44" s="0" t="s">
        <v>5485</v>
      </c>
      <c r="Y44" s="0" t="s">
        <v>240</v>
      </c>
      <c r="Z44" s="0" t="s">
        <v>161</v>
      </c>
      <c r="AA44" s="0" t="s">
        <v>152</v>
      </c>
      <c r="AB44" s="0" t="s">
        <v>152</v>
      </c>
      <c r="AC44" s="0" t="s">
        <v>2991</v>
      </c>
      <c r="AD44" s="0" t="s">
        <v>2991</v>
      </c>
      <c r="AE44" s="0" t="s">
        <v>2992</v>
      </c>
      <c r="AF44" s="0" t="s">
        <v>5772</v>
      </c>
      <c r="AG44" s="0" t="s">
        <v>5773</v>
      </c>
      <c r="AH44" s="0" t="s">
        <v>5774</v>
      </c>
      <c r="AI44" s="0" t="s">
        <v>5775</v>
      </c>
      <c r="AJ44" s="0" t="s">
        <v>5504</v>
      </c>
      <c r="AK44" s="0" t="s">
        <v>5776</v>
      </c>
      <c r="AL44" s="0" t="s">
        <v>5506</v>
      </c>
      <c r="AM44" s="0" t="s">
        <v>5493</v>
      </c>
      <c r="AN44" s="0" t="s">
        <v>5545</v>
      </c>
      <c r="AO44" s="0" t="s">
        <v>5777</v>
      </c>
      <c r="AP44" s="0" t="s">
        <v>240</v>
      </c>
      <c r="AQ44" s="0" t="s">
        <v>240</v>
      </c>
      <c r="AR44" s="0" t="s">
        <v>240</v>
      </c>
      <c r="AS44" s="0" t="s">
        <v>240</v>
      </c>
      <c r="AT44" s="0" t="s">
        <v>240</v>
      </c>
      <c r="AU44" s="0" t="s">
        <v>240</v>
      </c>
      <c r="AV44" s="0" t="s">
        <v>240</v>
      </c>
      <c r="AW44" s="0" t="s">
        <v>240</v>
      </c>
      <c r="AX44" s="0" t="s">
        <v>240</v>
      </c>
      <c r="AY44" s="0" t="s">
        <v>240</v>
      </c>
      <c r="AZ44" s="0" t="s">
        <v>240</v>
      </c>
      <c r="BA44" s="0" t="s">
        <v>240</v>
      </c>
      <c r="BB44" s="0" t="s">
        <v>240</v>
      </c>
      <c r="BC44" s="0" t="s">
        <v>240</v>
      </c>
      <c r="BD44" s="0" t="s">
        <v>240</v>
      </c>
      <c r="BE44" s="0" t="s">
        <v>240</v>
      </c>
      <c r="BF44" s="0" t="s">
        <v>240</v>
      </c>
      <c r="BG44" s="0" t="s">
        <v>240</v>
      </c>
      <c r="BH44" s="0" t="s">
        <v>240</v>
      </c>
      <c r="BI44" s="0" t="s">
        <v>240</v>
      </c>
      <c r="BJ44" s="0" t="s">
        <v>240</v>
      </c>
      <c r="BK44" s="0" t="s">
        <v>240</v>
      </c>
      <c r="BL44" s="0" t="s">
        <v>240</v>
      </c>
      <c r="BM44" s="0" t="s">
        <v>240</v>
      </c>
      <c r="BN44" s="0" t="s">
        <v>240</v>
      </c>
      <c r="BO44" s="0" t="s">
        <v>240</v>
      </c>
      <c r="BP44" s="0" t="s">
        <v>240</v>
      </c>
      <c r="BQ44" s="0" t="s">
        <v>240</v>
      </c>
      <c r="BR44" s="0" t="s">
        <v>240</v>
      </c>
      <c r="BS44" s="0" t="s">
        <v>240</v>
      </c>
      <c r="BT44" s="0" t="s">
        <v>240</v>
      </c>
      <c r="BU44" s="0" t="s">
        <v>240</v>
      </c>
      <c r="BV44" s="0" t="s">
        <v>240</v>
      </c>
      <c r="BW44" s="0" t="s">
        <v>240</v>
      </c>
      <c r="BX44" s="0" t="s">
        <v>240</v>
      </c>
      <c r="BY44" s="0" t="s">
        <v>240</v>
      </c>
      <c r="BZ44" s="0" t="s">
        <v>240</v>
      </c>
      <c r="CA44" s="0" t="s">
        <v>240</v>
      </c>
      <c r="CB44" s="0" t="s">
        <v>240</v>
      </c>
      <c r="CC44" s="0" t="s">
        <v>240</v>
      </c>
      <c r="CD44" s="0" t="s">
        <v>240</v>
      </c>
      <c r="CE44" s="0" t="s">
        <v>240</v>
      </c>
      <c r="CF44" s="0" t="s">
        <v>240</v>
      </c>
      <c r="CG44" s="0" t="s">
        <v>240</v>
      </c>
      <c r="CH44" s="0" t="s">
        <v>240</v>
      </c>
      <c r="CI44" s="0" t="s">
        <v>240</v>
      </c>
      <c r="CJ44" s="0" t="s">
        <v>240</v>
      </c>
      <c r="CK44" s="0" t="s">
        <v>240</v>
      </c>
      <c r="CL44" s="0" t="s">
        <v>240</v>
      </c>
      <c r="CM44" s="0" t="s">
        <v>240</v>
      </c>
      <c r="CN44" s="0" t="s">
        <v>240</v>
      </c>
      <c r="CO44" s="0" t="s">
        <v>240</v>
      </c>
      <c r="CP44" s="0" t="s">
        <v>240</v>
      </c>
      <c r="CQ44" s="0" t="s">
        <v>240</v>
      </c>
      <c r="CR44" s="0" t="s">
        <v>240</v>
      </c>
      <c r="CS44" s="0" t="s">
        <v>240</v>
      </c>
      <c r="CT44" s="0" t="s">
        <v>5496</v>
      </c>
      <c r="CU44" s="0" t="s">
        <v>5497</v>
      </c>
      <c r="CV44" s="0" t="s">
        <v>443</v>
      </c>
      <c r="CW44" s="0" t="s">
        <v>5547</v>
      </c>
      <c r="CX44" s="0" t="s">
        <v>229</v>
      </c>
      <c r="CY44" s="0" t="s">
        <v>443</v>
      </c>
      <c r="CZ44" s="0" t="s">
        <v>5548</v>
      </c>
      <c r="DA44" s="0" t="s">
        <v>5549</v>
      </c>
      <c r="DB44" s="0" t="s">
        <v>5547</v>
      </c>
      <c r="DC44" s="0" t="s">
        <v>384</v>
      </c>
      <c r="DD44" s="0" t="s">
        <v>291</v>
      </c>
      <c r="DE44" s="0" t="s">
        <v>5778</v>
      </c>
    </row>
    <row customHeight="1" ht="11.25">
      <c r="A45" s="1441" t="s">
        <v>240</v>
      </c>
      <c r="B45" s="0" t="s">
        <v>240</v>
      </c>
      <c r="C45" s="0" t="s">
        <v>240</v>
      </c>
      <c r="D45" s="0" t="s">
        <v>240</v>
      </c>
      <c r="E45" s="0" t="s">
        <v>240</v>
      </c>
      <c r="F45" s="0" t="s">
        <v>240</v>
      </c>
      <c r="G45" s="0" t="s">
        <v>240</v>
      </c>
      <c r="H45" s="0" t="s">
        <v>240</v>
      </c>
      <c r="I45" s="0" t="s">
        <v>5484</v>
      </c>
      <c r="J45" s="0" t="s">
        <v>240</v>
      </c>
      <c r="K45" s="0" t="s">
        <v>240</v>
      </c>
      <c r="L45" s="0" t="s">
        <v>240</v>
      </c>
      <c r="M45" s="0" t="s">
        <v>240</v>
      </c>
      <c r="N45" s="0" t="s">
        <v>240</v>
      </c>
      <c r="O45" s="0" t="s">
        <v>240</v>
      </c>
      <c r="P45" s="0" t="s">
        <v>240</v>
      </c>
      <c r="Q45" s="0" t="s">
        <v>240</v>
      </c>
      <c r="R45" s="0" t="s">
        <v>5779</v>
      </c>
      <c r="S45" s="0" t="s">
        <v>240</v>
      </c>
      <c r="T45" s="0" t="s">
        <v>240</v>
      </c>
      <c r="U45" s="0" t="s">
        <v>102</v>
      </c>
      <c r="V45" s="0" t="s">
        <v>240</v>
      </c>
      <c r="W45" s="0" t="s">
        <v>240</v>
      </c>
      <c r="X45" s="0" t="s">
        <v>5485</v>
      </c>
      <c r="Y45" s="0" t="s">
        <v>240</v>
      </c>
      <c r="Z45" s="0" t="s">
        <v>161</v>
      </c>
      <c r="AA45" s="0" t="s">
        <v>152</v>
      </c>
      <c r="AB45" s="0" t="s">
        <v>152</v>
      </c>
      <c r="AC45" s="0" t="s">
        <v>3389</v>
      </c>
      <c r="AD45" s="0" t="s">
        <v>3389</v>
      </c>
      <c r="AE45" s="0" t="s">
        <v>3390</v>
      </c>
      <c r="AF45" s="0" t="s">
        <v>5519</v>
      </c>
      <c r="AG45" s="0" t="s">
        <v>5520</v>
      </c>
      <c r="AH45" s="0" t="s">
        <v>5780</v>
      </c>
      <c r="AI45" s="0" t="s">
        <v>5533</v>
      </c>
      <c r="AJ45" s="0" t="s">
        <v>5781</v>
      </c>
      <c r="AK45" s="0" t="s">
        <v>5782</v>
      </c>
      <c r="AL45" s="0" t="s">
        <v>5524</v>
      </c>
      <c r="AM45" s="0" t="s">
        <v>5493</v>
      </c>
      <c r="AN45" s="0" t="s">
        <v>5525</v>
      </c>
      <c r="AO45" s="0" t="s">
        <v>5526</v>
      </c>
      <c r="AP45" s="0" t="s">
        <v>240</v>
      </c>
      <c r="AQ45" s="0" t="s">
        <v>240</v>
      </c>
      <c r="AR45" s="0" t="s">
        <v>240</v>
      </c>
      <c r="AS45" s="0" t="s">
        <v>240</v>
      </c>
      <c r="AT45" s="0" t="s">
        <v>240</v>
      </c>
      <c r="AU45" s="0" t="s">
        <v>240</v>
      </c>
      <c r="AV45" s="0" t="s">
        <v>240</v>
      </c>
      <c r="AW45" s="0" t="s">
        <v>240</v>
      </c>
      <c r="AX45" s="0" t="s">
        <v>240</v>
      </c>
      <c r="AY45" s="0" t="s">
        <v>240</v>
      </c>
      <c r="AZ45" s="0" t="s">
        <v>240</v>
      </c>
      <c r="BA45" s="0" t="s">
        <v>240</v>
      </c>
      <c r="BB45" s="0" t="s">
        <v>240</v>
      </c>
      <c r="BC45" s="0" t="s">
        <v>240</v>
      </c>
      <c r="BD45" s="0" t="s">
        <v>240</v>
      </c>
      <c r="BE45" s="0" t="s">
        <v>240</v>
      </c>
      <c r="BF45" s="0" t="s">
        <v>240</v>
      </c>
      <c r="BG45" s="0" t="s">
        <v>240</v>
      </c>
      <c r="BH45" s="0" t="s">
        <v>240</v>
      </c>
      <c r="BI45" s="0" t="s">
        <v>240</v>
      </c>
      <c r="BJ45" s="0" t="s">
        <v>240</v>
      </c>
      <c r="BK45" s="0" t="s">
        <v>240</v>
      </c>
      <c r="BL45" s="0" t="s">
        <v>240</v>
      </c>
      <c r="BM45" s="0" t="s">
        <v>240</v>
      </c>
      <c r="BN45" s="0" t="s">
        <v>240</v>
      </c>
      <c r="BO45" s="0" t="s">
        <v>240</v>
      </c>
      <c r="BP45" s="0" t="s">
        <v>240</v>
      </c>
      <c r="BQ45" s="0" t="s">
        <v>240</v>
      </c>
      <c r="BR45" s="0" t="s">
        <v>240</v>
      </c>
      <c r="BS45" s="0" t="s">
        <v>240</v>
      </c>
      <c r="BT45" s="0" t="s">
        <v>240</v>
      </c>
      <c r="BU45" s="0" t="s">
        <v>240</v>
      </c>
      <c r="BV45" s="0" t="s">
        <v>240</v>
      </c>
      <c r="BW45" s="0" t="s">
        <v>240</v>
      </c>
      <c r="BX45" s="0" t="s">
        <v>240</v>
      </c>
      <c r="BY45" s="0" t="s">
        <v>240</v>
      </c>
      <c r="BZ45" s="0" t="s">
        <v>240</v>
      </c>
      <c r="CA45" s="0" t="s">
        <v>240</v>
      </c>
      <c r="CB45" s="0" t="s">
        <v>240</v>
      </c>
      <c r="CC45" s="0" t="s">
        <v>240</v>
      </c>
      <c r="CD45" s="0" t="s">
        <v>240</v>
      </c>
      <c r="CE45" s="0" t="s">
        <v>240</v>
      </c>
      <c r="CF45" s="0" t="s">
        <v>240</v>
      </c>
      <c r="CG45" s="0" t="s">
        <v>240</v>
      </c>
      <c r="CH45" s="0" t="s">
        <v>240</v>
      </c>
      <c r="CI45" s="0" t="s">
        <v>240</v>
      </c>
      <c r="CJ45" s="0" t="s">
        <v>240</v>
      </c>
      <c r="CK45" s="0" t="s">
        <v>240</v>
      </c>
      <c r="CL45" s="0" t="s">
        <v>240</v>
      </c>
      <c r="CM45" s="0" t="s">
        <v>240</v>
      </c>
      <c r="CN45" s="0" t="s">
        <v>240</v>
      </c>
      <c r="CO45" s="0" t="s">
        <v>240</v>
      </c>
      <c r="CP45" s="0" t="s">
        <v>240</v>
      </c>
      <c r="CQ45" s="0" t="s">
        <v>240</v>
      </c>
      <c r="CR45" s="0" t="s">
        <v>240</v>
      </c>
      <c r="CS45" s="0" t="s">
        <v>240</v>
      </c>
      <c r="CT45" s="0" t="s">
        <v>5496</v>
      </c>
      <c r="CU45" s="0" t="s">
        <v>5497</v>
      </c>
      <c r="CV45" s="0" t="s">
        <v>443</v>
      </c>
      <c r="CW45" s="0" t="s">
        <v>5527</v>
      </c>
      <c r="CX45" s="0" t="s">
        <v>5528</v>
      </c>
      <c r="CY45" s="0" t="s">
        <v>443</v>
      </c>
      <c r="CZ45" s="0" t="s">
        <v>299</v>
      </c>
      <c r="DA45" s="0" t="s">
        <v>5529</v>
      </c>
      <c r="DB45" s="0" t="s">
        <v>5527</v>
      </c>
      <c r="DC45" s="0" t="s">
        <v>384</v>
      </c>
      <c r="DD45" s="0" t="s">
        <v>291</v>
      </c>
      <c r="DE45" s="0" t="s">
        <v>5783</v>
      </c>
    </row>
    <row customHeight="1" ht="11.25">
      <c r="A46" s="1441" t="s">
        <v>240</v>
      </c>
      <c r="B46" s="0" t="s">
        <v>240</v>
      </c>
      <c r="C46" s="0" t="s">
        <v>240</v>
      </c>
      <c r="D46" s="0" t="s">
        <v>240</v>
      </c>
      <c r="E46" s="0" t="s">
        <v>240</v>
      </c>
      <c r="F46" s="0" t="s">
        <v>240</v>
      </c>
      <c r="G46" s="0" t="s">
        <v>240</v>
      </c>
      <c r="H46" s="0" t="s">
        <v>240</v>
      </c>
      <c r="I46" s="0" t="s">
        <v>5484</v>
      </c>
      <c r="J46" s="0" t="s">
        <v>240</v>
      </c>
      <c r="K46" s="0" t="s">
        <v>240</v>
      </c>
      <c r="L46" s="0" t="s">
        <v>240</v>
      </c>
      <c r="M46" s="0" t="s">
        <v>240</v>
      </c>
      <c r="N46" s="0" t="s">
        <v>240</v>
      </c>
      <c r="O46" s="0" t="s">
        <v>240</v>
      </c>
      <c r="P46" s="0" t="s">
        <v>240</v>
      </c>
      <c r="Q46" s="0" t="s">
        <v>240</v>
      </c>
      <c r="R46" s="0" t="s">
        <v>5784</v>
      </c>
      <c r="S46" s="0" t="s">
        <v>240</v>
      </c>
      <c r="T46" s="0" t="s">
        <v>240</v>
      </c>
      <c r="U46" s="0" t="s">
        <v>102</v>
      </c>
      <c r="V46" s="0" t="s">
        <v>240</v>
      </c>
      <c r="W46" s="0" t="s">
        <v>240</v>
      </c>
      <c r="X46" s="0" t="s">
        <v>5485</v>
      </c>
      <c r="Y46" s="0" t="s">
        <v>240</v>
      </c>
      <c r="Z46" s="0" t="s">
        <v>161</v>
      </c>
      <c r="AA46" s="0" t="s">
        <v>152</v>
      </c>
      <c r="AB46" s="0" t="s">
        <v>152</v>
      </c>
      <c r="AC46" s="0" t="s">
        <v>2991</v>
      </c>
      <c r="AD46" s="0" t="s">
        <v>2991</v>
      </c>
      <c r="AE46" s="0" t="s">
        <v>2992</v>
      </c>
      <c r="AF46" s="0" t="s">
        <v>5772</v>
      </c>
      <c r="AG46" s="0" t="s">
        <v>5773</v>
      </c>
      <c r="AH46" s="0" t="s">
        <v>5774</v>
      </c>
      <c r="AI46" s="0" t="s">
        <v>5785</v>
      </c>
      <c r="AJ46" s="0" t="s">
        <v>5504</v>
      </c>
      <c r="AK46" s="0" t="s">
        <v>5776</v>
      </c>
      <c r="AL46" s="0" t="s">
        <v>5506</v>
      </c>
      <c r="AM46" s="0" t="s">
        <v>5493</v>
      </c>
      <c r="AN46" s="0" t="s">
        <v>5553</v>
      </c>
      <c r="AO46" s="0" t="s">
        <v>5786</v>
      </c>
      <c r="AP46" s="0" t="s">
        <v>240</v>
      </c>
      <c r="AQ46" s="0" t="s">
        <v>240</v>
      </c>
      <c r="AR46" s="0" t="s">
        <v>240</v>
      </c>
      <c r="AS46" s="0" t="s">
        <v>240</v>
      </c>
      <c r="AT46" s="0" t="s">
        <v>240</v>
      </c>
      <c r="AU46" s="0" t="s">
        <v>240</v>
      </c>
      <c r="AV46" s="0" t="s">
        <v>240</v>
      </c>
      <c r="AW46" s="0" t="s">
        <v>240</v>
      </c>
      <c r="AX46" s="0" t="s">
        <v>240</v>
      </c>
      <c r="AY46" s="0" t="s">
        <v>240</v>
      </c>
      <c r="AZ46" s="0" t="s">
        <v>240</v>
      </c>
      <c r="BA46" s="0" t="s">
        <v>240</v>
      </c>
      <c r="BB46" s="0" t="s">
        <v>240</v>
      </c>
      <c r="BC46" s="0" t="s">
        <v>240</v>
      </c>
      <c r="BD46" s="0" t="s">
        <v>240</v>
      </c>
      <c r="BE46" s="0" t="s">
        <v>240</v>
      </c>
      <c r="BF46" s="0" t="s">
        <v>240</v>
      </c>
      <c r="BG46" s="0" t="s">
        <v>240</v>
      </c>
      <c r="BH46" s="0" t="s">
        <v>240</v>
      </c>
      <c r="BI46" s="0" t="s">
        <v>240</v>
      </c>
      <c r="BJ46" s="0" t="s">
        <v>240</v>
      </c>
      <c r="BK46" s="0" t="s">
        <v>240</v>
      </c>
      <c r="BL46" s="0" t="s">
        <v>240</v>
      </c>
      <c r="BM46" s="0" t="s">
        <v>240</v>
      </c>
      <c r="BN46" s="0" t="s">
        <v>240</v>
      </c>
      <c r="BO46" s="0" t="s">
        <v>240</v>
      </c>
      <c r="BP46" s="0" t="s">
        <v>240</v>
      </c>
      <c r="BQ46" s="0" t="s">
        <v>240</v>
      </c>
      <c r="BR46" s="0" t="s">
        <v>240</v>
      </c>
      <c r="BS46" s="0" t="s">
        <v>240</v>
      </c>
      <c r="BT46" s="0" t="s">
        <v>240</v>
      </c>
      <c r="BU46" s="0" t="s">
        <v>240</v>
      </c>
      <c r="BV46" s="0" t="s">
        <v>240</v>
      </c>
      <c r="BW46" s="0" t="s">
        <v>240</v>
      </c>
      <c r="BX46" s="0" t="s">
        <v>240</v>
      </c>
      <c r="BY46" s="0" t="s">
        <v>240</v>
      </c>
      <c r="BZ46" s="0" t="s">
        <v>240</v>
      </c>
      <c r="CA46" s="0" t="s">
        <v>240</v>
      </c>
      <c r="CB46" s="0" t="s">
        <v>240</v>
      </c>
      <c r="CC46" s="0" t="s">
        <v>240</v>
      </c>
      <c r="CD46" s="0" t="s">
        <v>240</v>
      </c>
      <c r="CE46" s="0" t="s">
        <v>240</v>
      </c>
      <c r="CF46" s="0" t="s">
        <v>240</v>
      </c>
      <c r="CG46" s="0" t="s">
        <v>240</v>
      </c>
      <c r="CH46" s="0" t="s">
        <v>240</v>
      </c>
      <c r="CI46" s="0" t="s">
        <v>240</v>
      </c>
      <c r="CJ46" s="0" t="s">
        <v>240</v>
      </c>
      <c r="CK46" s="0" t="s">
        <v>240</v>
      </c>
      <c r="CL46" s="0" t="s">
        <v>240</v>
      </c>
      <c r="CM46" s="0" t="s">
        <v>240</v>
      </c>
      <c r="CN46" s="0" t="s">
        <v>240</v>
      </c>
      <c r="CO46" s="0" t="s">
        <v>240</v>
      </c>
      <c r="CP46" s="0" t="s">
        <v>240</v>
      </c>
      <c r="CQ46" s="0" t="s">
        <v>240</v>
      </c>
      <c r="CR46" s="0" t="s">
        <v>240</v>
      </c>
      <c r="CS46" s="0" t="s">
        <v>240</v>
      </c>
      <c r="CT46" s="0" t="s">
        <v>5496</v>
      </c>
      <c r="CU46" s="0" t="s">
        <v>5787</v>
      </c>
      <c r="CV46" s="0" t="s">
        <v>443</v>
      </c>
      <c r="CW46" s="0" t="s">
        <v>5547</v>
      </c>
      <c r="CX46" s="0" t="s">
        <v>229</v>
      </c>
      <c r="CY46" s="0" t="s">
        <v>443</v>
      </c>
      <c r="CZ46" s="0" t="s">
        <v>5548</v>
      </c>
      <c r="DA46" s="0" t="s">
        <v>5549</v>
      </c>
      <c r="DB46" s="0" t="s">
        <v>5547</v>
      </c>
      <c r="DC46" s="0" t="s">
        <v>384</v>
      </c>
      <c r="DD46" s="0" t="s">
        <v>291</v>
      </c>
      <c r="DE46" s="0" t="s">
        <v>5788</v>
      </c>
    </row>
    <row customHeight="1" ht="11.25">
      <c r="A47" s="1441" t="s">
        <v>240</v>
      </c>
      <c r="B47" s="0" t="s">
        <v>240</v>
      </c>
      <c r="C47" s="0" t="s">
        <v>240</v>
      </c>
      <c r="D47" s="0" t="s">
        <v>240</v>
      </c>
      <c r="E47" s="0" t="s">
        <v>240</v>
      </c>
      <c r="F47" s="0" t="s">
        <v>240</v>
      </c>
      <c r="G47" s="0" t="s">
        <v>240</v>
      </c>
      <c r="H47" s="0" t="s">
        <v>240</v>
      </c>
      <c r="I47" s="0" t="s">
        <v>5484</v>
      </c>
      <c r="J47" s="0" t="s">
        <v>240</v>
      </c>
      <c r="K47" s="0" t="s">
        <v>240</v>
      </c>
      <c r="L47" s="0" t="s">
        <v>240</v>
      </c>
      <c r="M47" s="0" t="s">
        <v>240</v>
      </c>
      <c r="N47" s="0" t="s">
        <v>240</v>
      </c>
      <c r="O47" s="0" t="s">
        <v>240</v>
      </c>
      <c r="P47" s="0" t="s">
        <v>240</v>
      </c>
      <c r="Q47" s="0" t="s">
        <v>240</v>
      </c>
      <c r="R47" s="0" t="s">
        <v>5789</v>
      </c>
      <c r="S47" s="0" t="s">
        <v>240</v>
      </c>
      <c r="T47" s="0" t="s">
        <v>240</v>
      </c>
      <c r="U47" s="0" t="s">
        <v>102</v>
      </c>
      <c r="V47" s="0" t="s">
        <v>240</v>
      </c>
      <c r="W47" s="0" t="s">
        <v>240</v>
      </c>
      <c r="X47" s="0" t="s">
        <v>5485</v>
      </c>
      <c r="Y47" s="0" t="s">
        <v>240</v>
      </c>
      <c r="Z47" s="0" t="s">
        <v>161</v>
      </c>
      <c r="AA47" s="0" t="s">
        <v>152</v>
      </c>
      <c r="AB47" s="0" t="s">
        <v>152</v>
      </c>
      <c r="AC47" s="0" t="s">
        <v>2991</v>
      </c>
      <c r="AD47" s="0" t="s">
        <v>2991</v>
      </c>
      <c r="AE47" s="0" t="s">
        <v>2992</v>
      </c>
      <c r="AF47" s="0" t="s">
        <v>5691</v>
      </c>
      <c r="AG47" s="0" t="s">
        <v>5692</v>
      </c>
      <c r="AH47" s="0" t="s">
        <v>5790</v>
      </c>
      <c r="AI47" s="0" t="s">
        <v>5694</v>
      </c>
      <c r="AJ47" s="0" t="s">
        <v>5504</v>
      </c>
      <c r="AK47" s="0" t="s">
        <v>5731</v>
      </c>
      <c r="AL47" s="0" t="s">
        <v>5506</v>
      </c>
      <c r="AM47" s="0" t="s">
        <v>5493</v>
      </c>
      <c r="AN47" s="0" t="s">
        <v>5553</v>
      </c>
      <c r="AO47" s="0" t="s">
        <v>5791</v>
      </c>
      <c r="AP47" s="0" t="s">
        <v>240</v>
      </c>
      <c r="AQ47" s="0" t="s">
        <v>240</v>
      </c>
      <c r="AR47" s="0" t="s">
        <v>240</v>
      </c>
      <c r="AS47" s="0" t="s">
        <v>240</v>
      </c>
      <c r="AT47" s="0" t="s">
        <v>240</v>
      </c>
      <c r="AU47" s="0" t="s">
        <v>240</v>
      </c>
      <c r="AV47" s="0" t="s">
        <v>240</v>
      </c>
      <c r="AW47" s="0" t="s">
        <v>240</v>
      </c>
      <c r="AX47" s="0" t="s">
        <v>240</v>
      </c>
      <c r="AY47" s="0" t="s">
        <v>240</v>
      </c>
      <c r="AZ47" s="0" t="s">
        <v>240</v>
      </c>
      <c r="BA47" s="0" t="s">
        <v>240</v>
      </c>
      <c r="BB47" s="0" t="s">
        <v>240</v>
      </c>
      <c r="BC47" s="0" t="s">
        <v>240</v>
      </c>
      <c r="BD47" s="0" t="s">
        <v>240</v>
      </c>
      <c r="BE47" s="0" t="s">
        <v>240</v>
      </c>
      <c r="BF47" s="0" t="s">
        <v>240</v>
      </c>
      <c r="BG47" s="0" t="s">
        <v>240</v>
      </c>
      <c r="BH47" s="0" t="s">
        <v>240</v>
      </c>
      <c r="BI47" s="0" t="s">
        <v>240</v>
      </c>
      <c r="BJ47" s="0" t="s">
        <v>240</v>
      </c>
      <c r="BK47" s="0" t="s">
        <v>240</v>
      </c>
      <c r="BL47" s="0" t="s">
        <v>240</v>
      </c>
      <c r="BM47" s="0" t="s">
        <v>240</v>
      </c>
      <c r="BN47" s="0" t="s">
        <v>240</v>
      </c>
      <c r="BO47" s="0" t="s">
        <v>240</v>
      </c>
      <c r="BP47" s="0" t="s">
        <v>240</v>
      </c>
      <c r="BQ47" s="0" t="s">
        <v>240</v>
      </c>
      <c r="BR47" s="0" t="s">
        <v>240</v>
      </c>
      <c r="BS47" s="0" t="s">
        <v>240</v>
      </c>
      <c r="BT47" s="0" t="s">
        <v>240</v>
      </c>
      <c r="BU47" s="0" t="s">
        <v>240</v>
      </c>
      <c r="BV47" s="0" t="s">
        <v>240</v>
      </c>
      <c r="BW47" s="0" t="s">
        <v>240</v>
      </c>
      <c r="BX47" s="0" t="s">
        <v>240</v>
      </c>
      <c r="BY47" s="0" t="s">
        <v>240</v>
      </c>
      <c r="BZ47" s="0" t="s">
        <v>240</v>
      </c>
      <c r="CA47" s="0" t="s">
        <v>240</v>
      </c>
      <c r="CB47" s="0" t="s">
        <v>240</v>
      </c>
      <c r="CC47" s="0" t="s">
        <v>240</v>
      </c>
      <c r="CD47" s="0" t="s">
        <v>240</v>
      </c>
      <c r="CE47" s="0" t="s">
        <v>240</v>
      </c>
      <c r="CF47" s="0" t="s">
        <v>240</v>
      </c>
      <c r="CG47" s="0" t="s">
        <v>240</v>
      </c>
      <c r="CH47" s="0" t="s">
        <v>240</v>
      </c>
      <c r="CI47" s="0" t="s">
        <v>240</v>
      </c>
      <c r="CJ47" s="0" t="s">
        <v>240</v>
      </c>
      <c r="CK47" s="0" t="s">
        <v>240</v>
      </c>
      <c r="CL47" s="0" t="s">
        <v>240</v>
      </c>
      <c r="CM47" s="0" t="s">
        <v>240</v>
      </c>
      <c r="CN47" s="0" t="s">
        <v>240</v>
      </c>
      <c r="CO47" s="0" t="s">
        <v>240</v>
      </c>
      <c r="CP47" s="0" t="s">
        <v>240</v>
      </c>
      <c r="CQ47" s="0" t="s">
        <v>240</v>
      </c>
      <c r="CR47" s="0" t="s">
        <v>240</v>
      </c>
      <c r="CS47" s="0" t="s">
        <v>240</v>
      </c>
      <c r="CT47" s="0" t="s">
        <v>5496</v>
      </c>
      <c r="CU47" s="0" t="s">
        <v>5497</v>
      </c>
      <c r="CV47" s="0" t="s">
        <v>443</v>
      </c>
      <c r="CW47" s="0" t="s">
        <v>5547</v>
      </c>
      <c r="CX47" s="0" t="s">
        <v>229</v>
      </c>
      <c r="CY47" s="0" t="s">
        <v>443</v>
      </c>
      <c r="CZ47" s="0" t="s">
        <v>5548</v>
      </c>
      <c r="DA47" s="0" t="s">
        <v>5549</v>
      </c>
      <c r="DB47" s="0" t="s">
        <v>5547</v>
      </c>
      <c r="DC47" s="0" t="s">
        <v>384</v>
      </c>
      <c r="DD47" s="0" t="s">
        <v>291</v>
      </c>
      <c r="DE47" s="0" t="s">
        <v>5792</v>
      </c>
    </row>
    <row customHeight="1" ht="11.25">
      <c r="A48" s="1441" t="s">
        <v>240</v>
      </c>
      <c r="B48" s="0" t="s">
        <v>240</v>
      </c>
      <c r="C48" s="0" t="s">
        <v>240</v>
      </c>
      <c r="D48" s="0" t="s">
        <v>240</v>
      </c>
      <c r="E48" s="0" t="s">
        <v>240</v>
      </c>
      <c r="F48" s="0" t="s">
        <v>240</v>
      </c>
      <c r="G48" s="0" t="s">
        <v>240</v>
      </c>
      <c r="H48" s="0" t="s">
        <v>240</v>
      </c>
      <c r="I48" s="0" t="s">
        <v>5484</v>
      </c>
      <c r="J48" s="0" t="s">
        <v>240</v>
      </c>
      <c r="K48" s="0" t="s">
        <v>240</v>
      </c>
      <c r="L48" s="0" t="s">
        <v>240</v>
      </c>
      <c r="M48" s="0" t="s">
        <v>240</v>
      </c>
      <c r="N48" s="0" t="s">
        <v>240</v>
      </c>
      <c r="O48" s="0" t="s">
        <v>240</v>
      </c>
      <c r="P48" s="0" t="s">
        <v>240</v>
      </c>
      <c r="Q48" s="0" t="s">
        <v>240</v>
      </c>
      <c r="R48" s="0" t="s">
        <v>5793</v>
      </c>
      <c r="S48" s="0" t="s">
        <v>240</v>
      </c>
      <c r="T48" s="0" t="s">
        <v>240</v>
      </c>
      <c r="U48" s="0" t="s">
        <v>102</v>
      </c>
      <c r="V48" s="0" t="s">
        <v>240</v>
      </c>
      <c r="W48" s="0" t="s">
        <v>240</v>
      </c>
      <c r="X48" s="0" t="s">
        <v>5585</v>
      </c>
      <c r="Y48" s="0" t="s">
        <v>240</v>
      </c>
      <c r="Z48" s="0" t="s">
        <v>152</v>
      </c>
      <c r="AA48" s="0" t="s">
        <v>152</v>
      </c>
      <c r="AB48" s="0" t="s">
        <v>161</v>
      </c>
      <c r="AC48" s="0" t="s">
        <v>2989</v>
      </c>
      <c r="AD48" s="0" t="s">
        <v>2989</v>
      </c>
      <c r="AE48" s="0" t="s">
        <v>2990</v>
      </c>
      <c r="AF48" s="0" t="s">
        <v>5794</v>
      </c>
      <c r="AG48" s="0" t="s">
        <v>5795</v>
      </c>
      <c r="AH48" s="0" t="s">
        <v>5575</v>
      </c>
      <c r="AI48" s="0" t="s">
        <v>5575</v>
      </c>
      <c r="AJ48" s="0" t="s">
        <v>240</v>
      </c>
      <c r="AK48" s="0" t="s">
        <v>240</v>
      </c>
      <c r="AL48" s="0" t="s">
        <v>240</v>
      </c>
      <c r="AM48" s="0" t="s">
        <v>240</v>
      </c>
      <c r="AN48" s="0" t="s">
        <v>240</v>
      </c>
      <c r="AO48" s="0" t="s">
        <v>240</v>
      </c>
      <c r="AP48" s="0" t="s">
        <v>240</v>
      </c>
      <c r="AQ48" s="0" t="s">
        <v>240</v>
      </c>
      <c r="AR48" s="0" t="s">
        <v>240</v>
      </c>
      <c r="AS48" s="0" t="s">
        <v>240</v>
      </c>
      <c r="AT48" s="0" t="s">
        <v>240</v>
      </c>
      <c r="AU48" s="0" t="s">
        <v>240</v>
      </c>
      <c r="AV48" s="0" t="s">
        <v>240</v>
      </c>
      <c r="AW48" s="0" t="s">
        <v>240</v>
      </c>
      <c r="AX48" s="0" t="s">
        <v>240</v>
      </c>
      <c r="AY48" s="0" t="s">
        <v>240</v>
      </c>
      <c r="AZ48" s="0" t="s">
        <v>240</v>
      </c>
      <c r="BA48" s="0" t="s">
        <v>240</v>
      </c>
      <c r="BB48" s="0" t="s">
        <v>240</v>
      </c>
      <c r="BC48" s="0" t="s">
        <v>240</v>
      </c>
      <c r="BD48" s="0" t="s">
        <v>240</v>
      </c>
      <c r="BE48" s="0" t="s">
        <v>5796</v>
      </c>
      <c r="BF48" s="0" t="s">
        <v>5797</v>
      </c>
      <c r="BG48" s="0" t="s">
        <v>112</v>
      </c>
      <c r="BH48" s="0" t="s">
        <v>5589</v>
      </c>
      <c r="BI48" s="0" t="s">
        <v>123</v>
      </c>
      <c r="BJ48" s="0" t="s">
        <v>240</v>
      </c>
      <c r="BK48" s="0" t="s">
        <v>5608</v>
      </c>
      <c r="BL48" s="0" t="s">
        <v>2989</v>
      </c>
      <c r="BM48" s="0" t="s">
        <v>2989</v>
      </c>
      <c r="BN48" s="0" t="s">
        <v>5798</v>
      </c>
      <c r="BO48" s="0" t="s">
        <v>5794</v>
      </c>
      <c r="BP48" s="0" t="s">
        <v>5799</v>
      </c>
      <c r="BQ48" s="0" t="s">
        <v>5575</v>
      </c>
      <c r="BR48" s="0" t="s">
        <v>5575</v>
      </c>
      <c r="BS48" s="0" t="s">
        <v>240</v>
      </c>
      <c r="BT48" s="0" t="s">
        <v>5650</v>
      </c>
      <c r="BU48" s="0" t="s">
        <v>5800</v>
      </c>
      <c r="BV48" s="0" t="s">
        <v>5800</v>
      </c>
      <c r="BW48" s="0" t="s">
        <v>5598</v>
      </c>
      <c r="BX48" s="0" t="s">
        <v>5598</v>
      </c>
      <c r="BY48" s="0" t="s">
        <v>5598</v>
      </c>
      <c r="BZ48" s="0" t="s">
        <v>5598</v>
      </c>
      <c r="CA48" s="0" t="s">
        <v>5598</v>
      </c>
      <c r="CB48" s="0" t="s">
        <v>240</v>
      </c>
      <c r="CC48" s="0" t="s">
        <v>240</v>
      </c>
      <c r="CD48" s="0" t="s">
        <v>240</v>
      </c>
      <c r="CE48" s="0" t="s">
        <v>240</v>
      </c>
      <c r="CF48" s="0" t="s">
        <v>240</v>
      </c>
      <c r="CG48" s="0" t="s">
        <v>5598</v>
      </c>
      <c r="CH48" s="0" t="s">
        <v>240</v>
      </c>
      <c r="CI48" s="0" t="s">
        <v>240</v>
      </c>
      <c r="CJ48" s="0" t="s">
        <v>240</v>
      </c>
      <c r="CK48" s="0" t="s">
        <v>240</v>
      </c>
      <c r="CL48" s="0" t="s">
        <v>240</v>
      </c>
      <c r="CM48" s="0" t="s">
        <v>5800</v>
      </c>
      <c r="CN48" s="0" t="s">
        <v>5800</v>
      </c>
      <c r="CO48" s="0" t="s">
        <v>240</v>
      </c>
      <c r="CP48" s="0" t="s">
        <v>240</v>
      </c>
      <c r="CQ48" s="0" t="s">
        <v>240</v>
      </c>
      <c r="CR48" s="0" t="s">
        <v>240</v>
      </c>
      <c r="CS48" s="0" t="s">
        <v>5578</v>
      </c>
      <c r="CT48" s="0" t="s">
        <v>5496</v>
      </c>
      <c r="CU48" s="0" t="s">
        <v>5497</v>
      </c>
      <c r="CV48" s="0" t="s">
        <v>443</v>
      </c>
      <c r="CW48" s="0" t="s">
        <v>5580</v>
      </c>
      <c r="CX48" s="0" t="s">
        <v>229</v>
      </c>
      <c r="CY48" s="0" t="s">
        <v>443</v>
      </c>
      <c r="CZ48" s="0" t="s">
        <v>5581</v>
      </c>
      <c r="DA48" s="0" t="s">
        <v>5582</v>
      </c>
      <c r="DB48" s="0" t="s">
        <v>5580</v>
      </c>
      <c r="DC48" s="0" t="s">
        <v>384</v>
      </c>
      <c r="DD48" s="0" t="s">
        <v>291</v>
      </c>
      <c r="DE48" s="0" t="s">
        <v>5801</v>
      </c>
    </row>
    <row customHeight="1" ht="11.25">
      <c r="A49" s="1441" t="s">
        <v>240</v>
      </c>
      <c r="B49" s="0" t="s">
        <v>240</v>
      </c>
      <c r="C49" s="0" t="s">
        <v>240</v>
      </c>
      <c r="D49" s="0" t="s">
        <v>240</v>
      </c>
      <c r="E49" s="0" t="s">
        <v>240</v>
      </c>
      <c r="F49" s="0" t="s">
        <v>240</v>
      </c>
      <c r="G49" s="0" t="s">
        <v>240</v>
      </c>
      <c r="H49" s="0" t="s">
        <v>240</v>
      </c>
      <c r="I49" s="0" t="s">
        <v>5484</v>
      </c>
      <c r="J49" s="0" t="s">
        <v>240</v>
      </c>
      <c r="K49" s="0" t="s">
        <v>240</v>
      </c>
      <c r="L49" s="0" t="s">
        <v>240</v>
      </c>
      <c r="M49" s="0" t="s">
        <v>240</v>
      </c>
      <c r="N49" s="0" t="s">
        <v>240</v>
      </c>
      <c r="O49" s="0" t="s">
        <v>240</v>
      </c>
      <c r="P49" s="0" t="s">
        <v>240</v>
      </c>
      <c r="Q49" s="0" t="s">
        <v>240</v>
      </c>
      <c r="R49" s="0" t="s">
        <v>5802</v>
      </c>
      <c r="S49" s="0" t="s">
        <v>240</v>
      </c>
      <c r="T49" s="0" t="s">
        <v>240</v>
      </c>
      <c r="U49" s="0" t="s">
        <v>102</v>
      </c>
      <c r="V49" s="0" t="s">
        <v>240</v>
      </c>
      <c r="W49" s="0" t="s">
        <v>240</v>
      </c>
      <c r="X49" s="0" t="s">
        <v>5585</v>
      </c>
      <c r="Y49" s="0" t="s">
        <v>240</v>
      </c>
      <c r="Z49" s="0" t="s">
        <v>152</v>
      </c>
      <c r="AA49" s="0" t="s">
        <v>152</v>
      </c>
      <c r="AB49" s="0" t="s">
        <v>161</v>
      </c>
      <c r="AC49" s="0" t="s">
        <v>2989</v>
      </c>
      <c r="AD49" s="0" t="s">
        <v>2989</v>
      </c>
      <c r="AE49" s="0" t="s">
        <v>2990</v>
      </c>
      <c r="AF49" s="0" t="s">
        <v>5803</v>
      </c>
      <c r="AG49" s="0" t="s">
        <v>5804</v>
      </c>
      <c r="AH49" s="0" t="s">
        <v>5575</v>
      </c>
      <c r="AI49" s="0" t="s">
        <v>5575</v>
      </c>
      <c r="AJ49" s="0" t="s">
        <v>240</v>
      </c>
      <c r="AK49" s="0" t="s">
        <v>240</v>
      </c>
      <c r="AL49" s="0" t="s">
        <v>240</v>
      </c>
      <c r="AM49" s="0" t="s">
        <v>240</v>
      </c>
      <c r="AN49" s="0" t="s">
        <v>240</v>
      </c>
      <c r="AO49" s="0" t="s">
        <v>240</v>
      </c>
      <c r="AP49" s="0" t="s">
        <v>240</v>
      </c>
      <c r="AQ49" s="0" t="s">
        <v>240</v>
      </c>
      <c r="AR49" s="0" t="s">
        <v>240</v>
      </c>
      <c r="AS49" s="0" t="s">
        <v>240</v>
      </c>
      <c r="AT49" s="0" t="s">
        <v>240</v>
      </c>
      <c r="AU49" s="0" t="s">
        <v>240</v>
      </c>
      <c r="AV49" s="0" t="s">
        <v>240</v>
      </c>
      <c r="AW49" s="0" t="s">
        <v>240</v>
      </c>
      <c r="AX49" s="0" t="s">
        <v>240</v>
      </c>
      <c r="AY49" s="0" t="s">
        <v>240</v>
      </c>
      <c r="AZ49" s="0" t="s">
        <v>240</v>
      </c>
      <c r="BA49" s="0" t="s">
        <v>240</v>
      </c>
      <c r="BB49" s="0" t="s">
        <v>240</v>
      </c>
      <c r="BC49" s="0" t="s">
        <v>240</v>
      </c>
      <c r="BD49" s="0" t="s">
        <v>240</v>
      </c>
      <c r="BE49" s="0" t="s">
        <v>5805</v>
      </c>
      <c r="BF49" s="0" t="s">
        <v>5806</v>
      </c>
      <c r="BG49" s="0" t="s">
        <v>112</v>
      </c>
      <c r="BH49" s="0" t="s">
        <v>5589</v>
      </c>
      <c r="BI49" s="0" t="s">
        <v>123</v>
      </c>
      <c r="BJ49" s="0" t="s">
        <v>240</v>
      </c>
      <c r="BK49" s="0" t="s">
        <v>5608</v>
      </c>
      <c r="BL49" s="0" t="s">
        <v>2989</v>
      </c>
      <c r="BM49" s="0" t="s">
        <v>2989</v>
      </c>
      <c r="BN49" s="0" t="s">
        <v>5798</v>
      </c>
      <c r="BO49" s="0" t="s">
        <v>5803</v>
      </c>
      <c r="BP49" s="0" t="s">
        <v>5807</v>
      </c>
      <c r="BQ49" s="0" t="s">
        <v>5575</v>
      </c>
      <c r="BR49" s="0" t="s">
        <v>5575</v>
      </c>
      <c r="BS49" s="0" t="s">
        <v>240</v>
      </c>
      <c r="BT49" s="0" t="s">
        <v>5650</v>
      </c>
      <c r="BU49" s="0" t="s">
        <v>5808</v>
      </c>
      <c r="BV49" s="0" t="s">
        <v>5808</v>
      </c>
      <c r="BW49" s="0" t="s">
        <v>5598</v>
      </c>
      <c r="BX49" s="0" t="s">
        <v>5598</v>
      </c>
      <c r="BY49" s="0" t="s">
        <v>5598</v>
      </c>
      <c r="BZ49" s="0" t="s">
        <v>5598</v>
      </c>
      <c r="CA49" s="0" t="s">
        <v>5598</v>
      </c>
      <c r="CB49" s="0" t="s">
        <v>240</v>
      </c>
      <c r="CC49" s="0" t="s">
        <v>240</v>
      </c>
      <c r="CD49" s="0" t="s">
        <v>240</v>
      </c>
      <c r="CE49" s="0" t="s">
        <v>240</v>
      </c>
      <c r="CF49" s="0" t="s">
        <v>240</v>
      </c>
      <c r="CG49" s="0" t="s">
        <v>5598</v>
      </c>
      <c r="CH49" s="0" t="s">
        <v>240</v>
      </c>
      <c r="CI49" s="0" t="s">
        <v>240</v>
      </c>
      <c r="CJ49" s="0" t="s">
        <v>240</v>
      </c>
      <c r="CK49" s="0" t="s">
        <v>240</v>
      </c>
      <c r="CL49" s="0" t="s">
        <v>240</v>
      </c>
      <c r="CM49" s="0" t="s">
        <v>5808</v>
      </c>
      <c r="CN49" s="0" t="s">
        <v>5808</v>
      </c>
      <c r="CO49" s="0" t="s">
        <v>240</v>
      </c>
      <c r="CP49" s="0" t="s">
        <v>240</v>
      </c>
      <c r="CQ49" s="0" t="s">
        <v>240</v>
      </c>
      <c r="CR49" s="0" t="s">
        <v>240</v>
      </c>
      <c r="CS49" s="0" t="s">
        <v>5491</v>
      </c>
      <c r="CT49" s="0" t="s">
        <v>5496</v>
      </c>
      <c r="CU49" s="0" t="s">
        <v>5497</v>
      </c>
      <c r="CV49" s="0" t="s">
        <v>443</v>
      </c>
      <c r="CW49" s="0" t="s">
        <v>5580</v>
      </c>
      <c r="CX49" s="0" t="s">
        <v>229</v>
      </c>
      <c r="CY49" s="0" t="s">
        <v>443</v>
      </c>
      <c r="CZ49" s="0" t="s">
        <v>5581</v>
      </c>
      <c r="DA49" s="0" t="s">
        <v>5582</v>
      </c>
      <c r="DB49" s="0" t="s">
        <v>5580</v>
      </c>
      <c r="DC49" s="0" t="s">
        <v>384</v>
      </c>
      <c r="DD49" s="0" t="s">
        <v>291</v>
      </c>
      <c r="DE49" s="0" t="s">
        <v>5809</v>
      </c>
    </row>
    <row customHeight="1" ht="11.25">
      <c r="A50" s="1441" t="s">
        <v>240</v>
      </c>
      <c r="B50" s="0" t="s">
        <v>240</v>
      </c>
      <c r="C50" s="0" t="s">
        <v>240</v>
      </c>
      <c r="D50" s="0" t="s">
        <v>240</v>
      </c>
      <c r="E50" s="0" t="s">
        <v>240</v>
      </c>
      <c r="F50" s="0" t="s">
        <v>240</v>
      </c>
      <c r="G50" s="0" t="s">
        <v>240</v>
      </c>
      <c r="H50" s="0" t="s">
        <v>240</v>
      </c>
      <c r="I50" s="0" t="s">
        <v>5484</v>
      </c>
      <c r="J50" s="0" t="s">
        <v>240</v>
      </c>
      <c r="K50" s="0" t="s">
        <v>240</v>
      </c>
      <c r="L50" s="0" t="s">
        <v>240</v>
      </c>
      <c r="M50" s="0" t="s">
        <v>240</v>
      </c>
      <c r="N50" s="0" t="s">
        <v>240</v>
      </c>
      <c r="O50" s="0" t="s">
        <v>240</v>
      </c>
      <c r="P50" s="0" t="s">
        <v>240</v>
      </c>
      <c r="Q50" s="0" t="s">
        <v>240</v>
      </c>
      <c r="R50" s="0" t="s">
        <v>5572</v>
      </c>
      <c r="S50" s="0" t="s">
        <v>240</v>
      </c>
      <c r="T50" s="0" t="s">
        <v>240</v>
      </c>
      <c r="U50" s="0" t="s">
        <v>102</v>
      </c>
      <c r="V50" s="0" t="s">
        <v>240</v>
      </c>
      <c r="W50" s="0" t="s">
        <v>240</v>
      </c>
      <c r="X50" s="0" t="s">
        <v>5485</v>
      </c>
      <c r="Y50" s="0" t="s">
        <v>240</v>
      </c>
      <c r="Z50" s="0" t="s">
        <v>161</v>
      </c>
      <c r="AA50" s="0" t="s">
        <v>152</v>
      </c>
      <c r="AB50" s="0" t="s">
        <v>152</v>
      </c>
      <c r="AC50" s="0" t="s">
        <v>2989</v>
      </c>
      <c r="AD50" s="0" t="s">
        <v>2989</v>
      </c>
      <c r="AE50" s="0" t="s">
        <v>2990</v>
      </c>
      <c r="AF50" s="0" t="s">
        <v>5810</v>
      </c>
      <c r="AG50" s="0" t="s">
        <v>5811</v>
      </c>
      <c r="AH50" s="0" t="s">
        <v>5812</v>
      </c>
      <c r="AI50" s="0" t="s">
        <v>5813</v>
      </c>
      <c r="AJ50" s="0" t="s">
        <v>5576</v>
      </c>
      <c r="AK50" s="0" t="s">
        <v>5814</v>
      </c>
      <c r="AL50" s="0" t="s">
        <v>5506</v>
      </c>
      <c r="AM50" s="0" t="s">
        <v>5493</v>
      </c>
      <c r="AN50" s="0" t="s">
        <v>5578</v>
      </c>
      <c r="AO50" s="0" t="s">
        <v>5554</v>
      </c>
      <c r="AP50" s="0" t="s">
        <v>240</v>
      </c>
      <c r="AQ50" s="0" t="s">
        <v>240</v>
      </c>
      <c r="AR50" s="0" t="s">
        <v>240</v>
      </c>
      <c r="AS50" s="0" t="s">
        <v>240</v>
      </c>
      <c r="AT50" s="0" t="s">
        <v>240</v>
      </c>
      <c r="AU50" s="0" t="s">
        <v>240</v>
      </c>
      <c r="AV50" s="0" t="s">
        <v>240</v>
      </c>
      <c r="AW50" s="0" t="s">
        <v>240</v>
      </c>
      <c r="AX50" s="0" t="s">
        <v>240</v>
      </c>
      <c r="AY50" s="0" t="s">
        <v>240</v>
      </c>
      <c r="AZ50" s="0" t="s">
        <v>240</v>
      </c>
      <c r="BA50" s="0" t="s">
        <v>240</v>
      </c>
      <c r="BB50" s="0" t="s">
        <v>240</v>
      </c>
      <c r="BC50" s="0" t="s">
        <v>240</v>
      </c>
      <c r="BD50" s="0" t="s">
        <v>240</v>
      </c>
      <c r="BE50" s="0" t="s">
        <v>240</v>
      </c>
      <c r="BF50" s="0" t="s">
        <v>240</v>
      </c>
      <c r="BG50" s="0" t="s">
        <v>240</v>
      </c>
      <c r="BH50" s="0" t="s">
        <v>240</v>
      </c>
      <c r="BI50" s="0" t="s">
        <v>240</v>
      </c>
      <c r="BJ50" s="0" t="s">
        <v>240</v>
      </c>
      <c r="BK50" s="0" t="s">
        <v>240</v>
      </c>
      <c r="BL50" s="0" t="s">
        <v>240</v>
      </c>
      <c r="BM50" s="0" t="s">
        <v>240</v>
      </c>
      <c r="BN50" s="0" t="s">
        <v>240</v>
      </c>
      <c r="BO50" s="0" t="s">
        <v>240</v>
      </c>
      <c r="BP50" s="0" t="s">
        <v>240</v>
      </c>
      <c r="BQ50" s="0" t="s">
        <v>240</v>
      </c>
      <c r="BR50" s="0" t="s">
        <v>240</v>
      </c>
      <c r="BS50" s="0" t="s">
        <v>240</v>
      </c>
      <c r="BT50" s="0" t="s">
        <v>240</v>
      </c>
      <c r="BU50" s="0" t="s">
        <v>240</v>
      </c>
      <c r="BV50" s="0" t="s">
        <v>240</v>
      </c>
      <c r="BW50" s="0" t="s">
        <v>240</v>
      </c>
      <c r="BX50" s="0" t="s">
        <v>240</v>
      </c>
      <c r="BY50" s="0" t="s">
        <v>240</v>
      </c>
      <c r="BZ50" s="0" t="s">
        <v>240</v>
      </c>
      <c r="CA50" s="0" t="s">
        <v>240</v>
      </c>
      <c r="CB50" s="0" t="s">
        <v>240</v>
      </c>
      <c r="CC50" s="0" t="s">
        <v>240</v>
      </c>
      <c r="CD50" s="0" t="s">
        <v>240</v>
      </c>
      <c r="CE50" s="0" t="s">
        <v>240</v>
      </c>
      <c r="CF50" s="0" t="s">
        <v>240</v>
      </c>
      <c r="CG50" s="0" t="s">
        <v>240</v>
      </c>
      <c r="CH50" s="0" t="s">
        <v>240</v>
      </c>
      <c r="CI50" s="0" t="s">
        <v>240</v>
      </c>
      <c r="CJ50" s="0" t="s">
        <v>240</v>
      </c>
      <c r="CK50" s="0" t="s">
        <v>240</v>
      </c>
      <c r="CL50" s="0" t="s">
        <v>240</v>
      </c>
      <c r="CM50" s="0" t="s">
        <v>240</v>
      </c>
      <c r="CN50" s="0" t="s">
        <v>240</v>
      </c>
      <c r="CO50" s="0" t="s">
        <v>240</v>
      </c>
      <c r="CP50" s="0" t="s">
        <v>240</v>
      </c>
      <c r="CQ50" s="0" t="s">
        <v>240</v>
      </c>
      <c r="CR50" s="0" t="s">
        <v>240</v>
      </c>
      <c r="CS50" s="0" t="s">
        <v>240</v>
      </c>
      <c r="CT50" s="0" t="s">
        <v>5496</v>
      </c>
      <c r="CU50" s="0" t="s">
        <v>5497</v>
      </c>
      <c r="CV50" s="0" t="s">
        <v>443</v>
      </c>
      <c r="CW50" s="0" t="s">
        <v>5580</v>
      </c>
      <c r="CX50" s="0" t="s">
        <v>229</v>
      </c>
      <c r="CY50" s="0" t="s">
        <v>443</v>
      </c>
      <c r="CZ50" s="0" t="s">
        <v>5581</v>
      </c>
      <c r="DA50" s="0" t="s">
        <v>5582</v>
      </c>
      <c r="DB50" s="0" t="s">
        <v>5580</v>
      </c>
      <c r="DC50" s="0" t="s">
        <v>384</v>
      </c>
      <c r="DD50" s="0" t="s">
        <v>291</v>
      </c>
      <c r="DE50" s="0" t="s">
        <v>5815</v>
      </c>
    </row>
    <row customHeight="1" ht="11.25">
      <c r="A51" s="1441" t="s">
        <v>240</v>
      </c>
      <c r="B51" s="0" t="s">
        <v>240</v>
      </c>
      <c r="C51" s="0" t="s">
        <v>240</v>
      </c>
      <c r="D51" s="0" t="s">
        <v>240</v>
      </c>
      <c r="E51" s="0" t="s">
        <v>240</v>
      </c>
      <c r="F51" s="0" t="s">
        <v>240</v>
      </c>
      <c r="G51" s="0" t="s">
        <v>240</v>
      </c>
      <c r="H51" s="0" t="s">
        <v>240</v>
      </c>
      <c r="I51" s="0" t="s">
        <v>5484</v>
      </c>
      <c r="J51" s="0" t="s">
        <v>240</v>
      </c>
      <c r="K51" s="0" t="s">
        <v>240</v>
      </c>
      <c r="L51" s="0" t="s">
        <v>240</v>
      </c>
      <c r="M51" s="0" t="s">
        <v>240</v>
      </c>
      <c r="N51" s="0" t="s">
        <v>240</v>
      </c>
      <c r="O51" s="0" t="s">
        <v>240</v>
      </c>
      <c r="P51" s="0" t="s">
        <v>240</v>
      </c>
      <c r="Q51" s="0" t="s">
        <v>240</v>
      </c>
      <c r="R51" s="0" t="s">
        <v>5572</v>
      </c>
      <c r="S51" s="0" t="s">
        <v>240</v>
      </c>
      <c r="T51" s="0" t="s">
        <v>240</v>
      </c>
      <c r="U51" s="0" t="s">
        <v>102</v>
      </c>
      <c r="V51" s="0" t="s">
        <v>240</v>
      </c>
      <c r="W51" s="0" t="s">
        <v>240</v>
      </c>
      <c r="X51" s="0" t="s">
        <v>5485</v>
      </c>
      <c r="Y51" s="0" t="s">
        <v>240</v>
      </c>
      <c r="Z51" s="0" t="s">
        <v>161</v>
      </c>
      <c r="AA51" s="0" t="s">
        <v>152</v>
      </c>
      <c r="AB51" s="0" t="s">
        <v>152</v>
      </c>
      <c r="AC51" s="0" t="s">
        <v>2989</v>
      </c>
      <c r="AD51" s="0" t="s">
        <v>2989</v>
      </c>
      <c r="AE51" s="0" t="s">
        <v>2990</v>
      </c>
      <c r="AF51" s="0" t="s">
        <v>5810</v>
      </c>
      <c r="AG51" s="0" t="s">
        <v>5811</v>
      </c>
      <c r="AH51" s="0" t="s">
        <v>5566</v>
      </c>
      <c r="AI51" s="0" t="s">
        <v>5816</v>
      </c>
      <c r="AJ51" s="0" t="s">
        <v>5576</v>
      </c>
      <c r="AK51" s="0" t="s">
        <v>5817</v>
      </c>
      <c r="AL51" s="0" t="s">
        <v>5506</v>
      </c>
      <c r="AM51" s="0" t="s">
        <v>5493</v>
      </c>
      <c r="AN51" s="0" t="s">
        <v>5578</v>
      </c>
      <c r="AO51" s="0" t="s">
        <v>5636</v>
      </c>
      <c r="AP51" s="0" t="s">
        <v>240</v>
      </c>
      <c r="AQ51" s="0" t="s">
        <v>240</v>
      </c>
      <c r="AR51" s="0" t="s">
        <v>240</v>
      </c>
      <c r="AS51" s="0" t="s">
        <v>240</v>
      </c>
      <c r="AT51" s="0" t="s">
        <v>240</v>
      </c>
      <c r="AU51" s="0" t="s">
        <v>240</v>
      </c>
      <c r="AV51" s="0" t="s">
        <v>240</v>
      </c>
      <c r="AW51" s="0" t="s">
        <v>240</v>
      </c>
      <c r="AX51" s="0" t="s">
        <v>240</v>
      </c>
      <c r="AY51" s="0" t="s">
        <v>240</v>
      </c>
      <c r="AZ51" s="0" t="s">
        <v>240</v>
      </c>
      <c r="BA51" s="0" t="s">
        <v>240</v>
      </c>
      <c r="BB51" s="0" t="s">
        <v>240</v>
      </c>
      <c r="BC51" s="0" t="s">
        <v>240</v>
      </c>
      <c r="BD51" s="0" t="s">
        <v>240</v>
      </c>
      <c r="BE51" s="0" t="s">
        <v>240</v>
      </c>
      <c r="BF51" s="0" t="s">
        <v>240</v>
      </c>
      <c r="BG51" s="0" t="s">
        <v>240</v>
      </c>
      <c r="BH51" s="0" t="s">
        <v>240</v>
      </c>
      <c r="BI51" s="0" t="s">
        <v>240</v>
      </c>
      <c r="BJ51" s="0" t="s">
        <v>240</v>
      </c>
      <c r="BK51" s="0" t="s">
        <v>240</v>
      </c>
      <c r="BL51" s="0" t="s">
        <v>240</v>
      </c>
      <c r="BM51" s="0" t="s">
        <v>240</v>
      </c>
      <c r="BN51" s="0" t="s">
        <v>240</v>
      </c>
      <c r="BO51" s="0" t="s">
        <v>240</v>
      </c>
      <c r="BP51" s="0" t="s">
        <v>240</v>
      </c>
      <c r="BQ51" s="0" t="s">
        <v>240</v>
      </c>
      <c r="BR51" s="0" t="s">
        <v>240</v>
      </c>
      <c r="BS51" s="0" t="s">
        <v>240</v>
      </c>
      <c r="BT51" s="0" t="s">
        <v>240</v>
      </c>
      <c r="BU51" s="0" t="s">
        <v>240</v>
      </c>
      <c r="BV51" s="0" t="s">
        <v>240</v>
      </c>
      <c r="BW51" s="0" t="s">
        <v>240</v>
      </c>
      <c r="BX51" s="0" t="s">
        <v>240</v>
      </c>
      <c r="BY51" s="0" t="s">
        <v>240</v>
      </c>
      <c r="BZ51" s="0" t="s">
        <v>240</v>
      </c>
      <c r="CA51" s="0" t="s">
        <v>240</v>
      </c>
      <c r="CB51" s="0" t="s">
        <v>240</v>
      </c>
      <c r="CC51" s="0" t="s">
        <v>240</v>
      </c>
      <c r="CD51" s="0" t="s">
        <v>240</v>
      </c>
      <c r="CE51" s="0" t="s">
        <v>240</v>
      </c>
      <c r="CF51" s="0" t="s">
        <v>240</v>
      </c>
      <c r="CG51" s="0" t="s">
        <v>240</v>
      </c>
      <c r="CH51" s="0" t="s">
        <v>240</v>
      </c>
      <c r="CI51" s="0" t="s">
        <v>240</v>
      </c>
      <c r="CJ51" s="0" t="s">
        <v>240</v>
      </c>
      <c r="CK51" s="0" t="s">
        <v>240</v>
      </c>
      <c r="CL51" s="0" t="s">
        <v>240</v>
      </c>
      <c r="CM51" s="0" t="s">
        <v>240</v>
      </c>
      <c r="CN51" s="0" t="s">
        <v>240</v>
      </c>
      <c r="CO51" s="0" t="s">
        <v>240</v>
      </c>
      <c r="CP51" s="0" t="s">
        <v>240</v>
      </c>
      <c r="CQ51" s="0" t="s">
        <v>240</v>
      </c>
      <c r="CR51" s="0" t="s">
        <v>240</v>
      </c>
      <c r="CS51" s="0" t="s">
        <v>240</v>
      </c>
      <c r="CT51" s="0" t="s">
        <v>5496</v>
      </c>
      <c r="CU51" s="0" t="s">
        <v>5497</v>
      </c>
      <c r="CV51" s="0" t="s">
        <v>443</v>
      </c>
      <c r="CW51" s="0" t="s">
        <v>5580</v>
      </c>
      <c r="CX51" s="0" t="s">
        <v>229</v>
      </c>
      <c r="CY51" s="0" t="s">
        <v>443</v>
      </c>
      <c r="CZ51" s="0" t="s">
        <v>5581</v>
      </c>
      <c r="DA51" s="0" t="s">
        <v>5582</v>
      </c>
      <c r="DB51" s="0" t="s">
        <v>5580</v>
      </c>
      <c r="DC51" s="0" t="s">
        <v>384</v>
      </c>
      <c r="DD51" s="0" t="s">
        <v>291</v>
      </c>
      <c r="DE51" s="0" t="s">
        <v>5818</v>
      </c>
    </row>
    <row customHeight="1" ht="11.25">
      <c r="A52" s="1441" t="s">
        <v>240</v>
      </c>
      <c r="B52" s="0" t="s">
        <v>240</v>
      </c>
      <c r="C52" s="0" t="s">
        <v>240</v>
      </c>
      <c r="D52" s="0" t="s">
        <v>240</v>
      </c>
      <c r="E52" s="0" t="s">
        <v>240</v>
      </c>
      <c r="F52" s="0" t="s">
        <v>240</v>
      </c>
      <c r="G52" s="0" t="s">
        <v>240</v>
      </c>
      <c r="H52" s="0" t="s">
        <v>240</v>
      </c>
      <c r="I52" s="0" t="s">
        <v>5484</v>
      </c>
      <c r="J52" s="0" t="s">
        <v>240</v>
      </c>
      <c r="K52" s="0" t="s">
        <v>240</v>
      </c>
      <c r="L52" s="0" t="s">
        <v>240</v>
      </c>
      <c r="M52" s="0" t="s">
        <v>240</v>
      </c>
      <c r="N52" s="0" t="s">
        <v>240</v>
      </c>
      <c r="O52" s="0" t="s">
        <v>240</v>
      </c>
      <c r="P52" s="0" t="s">
        <v>240</v>
      </c>
      <c r="Q52" s="0" t="s">
        <v>240</v>
      </c>
      <c r="R52" s="0" t="s">
        <v>461</v>
      </c>
      <c r="S52" s="0" t="s">
        <v>240</v>
      </c>
      <c r="T52" s="0" t="s">
        <v>240</v>
      </c>
      <c r="U52" s="0" t="s">
        <v>102</v>
      </c>
      <c r="V52" s="0" t="s">
        <v>240</v>
      </c>
      <c r="W52" s="0" t="s">
        <v>240</v>
      </c>
      <c r="X52" s="0" t="s">
        <v>5485</v>
      </c>
      <c r="Y52" s="0" t="s">
        <v>240</v>
      </c>
      <c r="Z52" s="0" t="s">
        <v>161</v>
      </c>
      <c r="AA52" s="0" t="s">
        <v>152</v>
      </c>
      <c r="AB52" s="0" t="s">
        <v>152</v>
      </c>
      <c r="AC52" s="0" t="s">
        <v>364</v>
      </c>
      <c r="AD52" s="0" t="s">
        <v>364</v>
      </c>
      <c r="AE52" s="0" t="s">
        <v>365</v>
      </c>
      <c r="AF52" s="0" t="s">
        <v>5486</v>
      </c>
      <c r="AG52" s="0" t="s">
        <v>5487</v>
      </c>
      <c r="AH52" s="0" t="s">
        <v>5819</v>
      </c>
      <c r="AI52" s="0" t="s">
        <v>5820</v>
      </c>
      <c r="AJ52" s="0" t="s">
        <v>5545</v>
      </c>
      <c r="AK52" s="0" t="s">
        <v>5821</v>
      </c>
      <c r="AL52" s="0" t="s">
        <v>5605</v>
      </c>
      <c r="AM52" s="0" t="s">
        <v>5493</v>
      </c>
      <c r="AN52" s="0" t="s">
        <v>5822</v>
      </c>
      <c r="AO52" s="0" t="s">
        <v>5823</v>
      </c>
      <c r="AP52" s="0" t="s">
        <v>240</v>
      </c>
      <c r="AQ52" s="0" t="s">
        <v>240</v>
      </c>
      <c r="AR52" s="0" t="s">
        <v>240</v>
      </c>
      <c r="AS52" s="0" t="s">
        <v>240</v>
      </c>
      <c r="AT52" s="0" t="s">
        <v>240</v>
      </c>
      <c r="AU52" s="0" t="s">
        <v>240</v>
      </c>
      <c r="AV52" s="0" t="s">
        <v>240</v>
      </c>
      <c r="AW52" s="0" t="s">
        <v>240</v>
      </c>
      <c r="AX52" s="0" t="s">
        <v>240</v>
      </c>
      <c r="AY52" s="0" t="s">
        <v>240</v>
      </c>
      <c r="AZ52" s="0" t="s">
        <v>240</v>
      </c>
      <c r="BA52" s="0" t="s">
        <v>240</v>
      </c>
      <c r="BB52" s="0" t="s">
        <v>240</v>
      </c>
      <c r="BC52" s="0" t="s">
        <v>240</v>
      </c>
      <c r="BD52" s="0" t="s">
        <v>240</v>
      </c>
      <c r="BE52" s="0" t="s">
        <v>240</v>
      </c>
      <c r="BF52" s="0" t="s">
        <v>240</v>
      </c>
      <c r="BG52" s="0" t="s">
        <v>240</v>
      </c>
      <c r="BH52" s="0" t="s">
        <v>240</v>
      </c>
      <c r="BI52" s="0" t="s">
        <v>240</v>
      </c>
      <c r="BJ52" s="0" t="s">
        <v>240</v>
      </c>
      <c r="BK52" s="0" t="s">
        <v>240</v>
      </c>
      <c r="BL52" s="0" t="s">
        <v>240</v>
      </c>
      <c r="BM52" s="0" t="s">
        <v>240</v>
      </c>
      <c r="BN52" s="0" t="s">
        <v>240</v>
      </c>
      <c r="BO52" s="0" t="s">
        <v>240</v>
      </c>
      <c r="BP52" s="0" t="s">
        <v>240</v>
      </c>
      <c r="BQ52" s="0" t="s">
        <v>240</v>
      </c>
      <c r="BR52" s="0" t="s">
        <v>240</v>
      </c>
      <c r="BS52" s="0" t="s">
        <v>240</v>
      </c>
      <c r="BT52" s="0" t="s">
        <v>240</v>
      </c>
      <c r="BU52" s="0" t="s">
        <v>240</v>
      </c>
      <c r="BV52" s="0" t="s">
        <v>240</v>
      </c>
      <c r="BW52" s="0" t="s">
        <v>240</v>
      </c>
      <c r="BX52" s="0" t="s">
        <v>240</v>
      </c>
      <c r="BY52" s="0" t="s">
        <v>240</v>
      </c>
      <c r="BZ52" s="0" t="s">
        <v>240</v>
      </c>
      <c r="CA52" s="0" t="s">
        <v>240</v>
      </c>
      <c r="CB52" s="0" t="s">
        <v>240</v>
      </c>
      <c r="CC52" s="0" t="s">
        <v>240</v>
      </c>
      <c r="CD52" s="0" t="s">
        <v>240</v>
      </c>
      <c r="CE52" s="0" t="s">
        <v>240</v>
      </c>
      <c r="CF52" s="0" t="s">
        <v>240</v>
      </c>
      <c r="CG52" s="0" t="s">
        <v>240</v>
      </c>
      <c r="CH52" s="0" t="s">
        <v>240</v>
      </c>
      <c r="CI52" s="0" t="s">
        <v>240</v>
      </c>
      <c r="CJ52" s="0" t="s">
        <v>240</v>
      </c>
      <c r="CK52" s="0" t="s">
        <v>240</v>
      </c>
      <c r="CL52" s="0" t="s">
        <v>240</v>
      </c>
      <c r="CM52" s="0" t="s">
        <v>240</v>
      </c>
      <c r="CN52" s="0" t="s">
        <v>240</v>
      </c>
      <c r="CO52" s="0" t="s">
        <v>240</v>
      </c>
      <c r="CP52" s="0" t="s">
        <v>240</v>
      </c>
      <c r="CQ52" s="0" t="s">
        <v>240</v>
      </c>
      <c r="CR52" s="0" t="s">
        <v>240</v>
      </c>
      <c r="CS52" s="0" t="s">
        <v>240</v>
      </c>
      <c r="CT52" s="0" t="s">
        <v>5496</v>
      </c>
      <c r="CU52" s="0" t="s">
        <v>5497</v>
      </c>
      <c r="CV52" s="0" t="s">
        <v>443</v>
      </c>
      <c r="CW52" s="0" t="s">
        <v>5498</v>
      </c>
      <c r="CX52" s="0" t="s">
        <v>229</v>
      </c>
      <c r="CY52" s="0" t="s">
        <v>443</v>
      </c>
      <c r="CZ52" s="0" t="s">
        <v>230</v>
      </c>
      <c r="DA52" s="0" t="s">
        <v>444</v>
      </c>
      <c r="DB52" s="0" t="s">
        <v>5498</v>
      </c>
      <c r="DC52" s="0" t="s">
        <v>384</v>
      </c>
      <c r="DD52" s="0" t="s">
        <v>291</v>
      </c>
      <c r="DE52" s="0" t="s">
        <v>462</v>
      </c>
    </row>
    <row customHeight="1" ht="11.25">
      <c r="A53" s="1441" t="s">
        <v>240</v>
      </c>
      <c r="B53" s="0" t="s">
        <v>240</v>
      </c>
      <c r="C53" s="0" t="s">
        <v>240</v>
      </c>
      <c r="D53" s="0" t="s">
        <v>240</v>
      </c>
      <c r="E53" s="0" t="s">
        <v>240</v>
      </c>
      <c r="F53" s="0" t="s">
        <v>240</v>
      </c>
      <c r="G53" s="0" t="s">
        <v>240</v>
      </c>
      <c r="H53" s="0" t="s">
        <v>240</v>
      </c>
      <c r="I53" s="0" t="s">
        <v>5484</v>
      </c>
      <c r="J53" s="0" t="s">
        <v>240</v>
      </c>
      <c r="K53" s="0" t="s">
        <v>240</v>
      </c>
      <c r="L53" s="0" t="s">
        <v>240</v>
      </c>
      <c r="M53" s="0" t="s">
        <v>240</v>
      </c>
      <c r="N53" s="0" t="s">
        <v>240</v>
      </c>
      <c r="O53" s="0" t="s">
        <v>240</v>
      </c>
      <c r="P53" s="0" t="s">
        <v>240</v>
      </c>
      <c r="Q53" s="0" t="s">
        <v>240</v>
      </c>
      <c r="R53" s="0" t="s">
        <v>5572</v>
      </c>
      <c r="S53" s="0" t="s">
        <v>240</v>
      </c>
      <c r="T53" s="0" t="s">
        <v>240</v>
      </c>
      <c r="U53" s="0" t="s">
        <v>102</v>
      </c>
      <c r="V53" s="0" t="s">
        <v>240</v>
      </c>
      <c r="W53" s="0" t="s">
        <v>240</v>
      </c>
      <c r="X53" s="0" t="s">
        <v>5485</v>
      </c>
      <c r="Y53" s="0" t="s">
        <v>240</v>
      </c>
      <c r="Z53" s="0" t="s">
        <v>161</v>
      </c>
      <c r="AA53" s="0" t="s">
        <v>152</v>
      </c>
      <c r="AB53" s="0" t="s">
        <v>152</v>
      </c>
      <c r="AC53" s="0" t="s">
        <v>2991</v>
      </c>
      <c r="AD53" s="0" t="s">
        <v>2991</v>
      </c>
      <c r="AE53" s="0" t="s">
        <v>2992</v>
      </c>
      <c r="AF53" s="0" t="s">
        <v>5727</v>
      </c>
      <c r="AG53" s="0" t="s">
        <v>5728</v>
      </c>
      <c r="AH53" s="0" t="s">
        <v>5824</v>
      </c>
      <c r="AI53" s="0" t="s">
        <v>5825</v>
      </c>
      <c r="AJ53" s="0" t="s">
        <v>5552</v>
      </c>
      <c r="AK53" s="0" t="s">
        <v>5544</v>
      </c>
      <c r="AL53" s="0" t="s">
        <v>5506</v>
      </c>
      <c r="AM53" s="0" t="s">
        <v>5493</v>
      </c>
      <c r="AN53" s="0" t="s">
        <v>5545</v>
      </c>
      <c r="AO53" s="0" t="s">
        <v>5508</v>
      </c>
      <c r="AP53" s="0" t="s">
        <v>240</v>
      </c>
      <c r="AQ53" s="0" t="s">
        <v>240</v>
      </c>
      <c r="AR53" s="0" t="s">
        <v>240</v>
      </c>
      <c r="AS53" s="0" t="s">
        <v>240</v>
      </c>
      <c r="AT53" s="0" t="s">
        <v>240</v>
      </c>
      <c r="AU53" s="0" t="s">
        <v>240</v>
      </c>
      <c r="AV53" s="0" t="s">
        <v>240</v>
      </c>
      <c r="AW53" s="0" t="s">
        <v>240</v>
      </c>
      <c r="AX53" s="0" t="s">
        <v>240</v>
      </c>
      <c r="AY53" s="0" t="s">
        <v>240</v>
      </c>
      <c r="AZ53" s="0" t="s">
        <v>240</v>
      </c>
      <c r="BA53" s="0" t="s">
        <v>240</v>
      </c>
      <c r="BB53" s="0" t="s">
        <v>240</v>
      </c>
      <c r="BC53" s="0" t="s">
        <v>240</v>
      </c>
      <c r="BD53" s="0" t="s">
        <v>240</v>
      </c>
      <c r="BE53" s="0" t="s">
        <v>240</v>
      </c>
      <c r="BF53" s="0" t="s">
        <v>240</v>
      </c>
      <c r="BG53" s="0" t="s">
        <v>240</v>
      </c>
      <c r="BH53" s="0" t="s">
        <v>240</v>
      </c>
      <c r="BI53" s="0" t="s">
        <v>240</v>
      </c>
      <c r="BJ53" s="0" t="s">
        <v>240</v>
      </c>
      <c r="BK53" s="0" t="s">
        <v>240</v>
      </c>
      <c r="BL53" s="0" t="s">
        <v>240</v>
      </c>
      <c r="BM53" s="0" t="s">
        <v>240</v>
      </c>
      <c r="BN53" s="0" t="s">
        <v>240</v>
      </c>
      <c r="BO53" s="0" t="s">
        <v>240</v>
      </c>
      <c r="BP53" s="0" t="s">
        <v>240</v>
      </c>
      <c r="BQ53" s="0" t="s">
        <v>240</v>
      </c>
      <c r="BR53" s="0" t="s">
        <v>240</v>
      </c>
      <c r="BS53" s="0" t="s">
        <v>240</v>
      </c>
      <c r="BT53" s="0" t="s">
        <v>240</v>
      </c>
      <c r="BU53" s="0" t="s">
        <v>240</v>
      </c>
      <c r="BV53" s="0" t="s">
        <v>240</v>
      </c>
      <c r="BW53" s="0" t="s">
        <v>240</v>
      </c>
      <c r="BX53" s="0" t="s">
        <v>240</v>
      </c>
      <c r="BY53" s="0" t="s">
        <v>240</v>
      </c>
      <c r="BZ53" s="0" t="s">
        <v>240</v>
      </c>
      <c r="CA53" s="0" t="s">
        <v>240</v>
      </c>
      <c r="CB53" s="0" t="s">
        <v>240</v>
      </c>
      <c r="CC53" s="0" t="s">
        <v>240</v>
      </c>
      <c r="CD53" s="0" t="s">
        <v>240</v>
      </c>
      <c r="CE53" s="0" t="s">
        <v>240</v>
      </c>
      <c r="CF53" s="0" t="s">
        <v>240</v>
      </c>
      <c r="CG53" s="0" t="s">
        <v>240</v>
      </c>
      <c r="CH53" s="0" t="s">
        <v>240</v>
      </c>
      <c r="CI53" s="0" t="s">
        <v>240</v>
      </c>
      <c r="CJ53" s="0" t="s">
        <v>240</v>
      </c>
      <c r="CK53" s="0" t="s">
        <v>240</v>
      </c>
      <c r="CL53" s="0" t="s">
        <v>240</v>
      </c>
      <c r="CM53" s="0" t="s">
        <v>240</v>
      </c>
      <c r="CN53" s="0" t="s">
        <v>240</v>
      </c>
      <c r="CO53" s="0" t="s">
        <v>240</v>
      </c>
      <c r="CP53" s="0" t="s">
        <v>240</v>
      </c>
      <c r="CQ53" s="0" t="s">
        <v>240</v>
      </c>
      <c r="CR53" s="0" t="s">
        <v>240</v>
      </c>
      <c r="CS53" s="0" t="s">
        <v>240</v>
      </c>
      <c r="CT53" s="0" t="s">
        <v>5496</v>
      </c>
      <c r="CU53" s="0" t="s">
        <v>5497</v>
      </c>
      <c r="CV53" s="0" t="s">
        <v>443</v>
      </c>
      <c r="CW53" s="0" t="s">
        <v>5547</v>
      </c>
      <c r="CX53" s="0" t="s">
        <v>229</v>
      </c>
      <c r="CY53" s="0" t="s">
        <v>443</v>
      </c>
      <c r="CZ53" s="0" t="s">
        <v>5548</v>
      </c>
      <c r="DA53" s="0" t="s">
        <v>5549</v>
      </c>
      <c r="DB53" s="0" t="s">
        <v>5547</v>
      </c>
      <c r="DC53" s="0" t="s">
        <v>384</v>
      </c>
      <c r="DD53" s="0" t="s">
        <v>291</v>
      </c>
      <c r="DE53" s="0" t="s">
        <v>5826</v>
      </c>
    </row>
    <row customHeight="1" ht="11.25">
      <c r="A54" s="1441" t="s">
        <v>240</v>
      </c>
      <c r="B54" s="0" t="s">
        <v>240</v>
      </c>
      <c r="C54" s="0" t="s">
        <v>240</v>
      </c>
      <c r="D54" s="0" t="s">
        <v>240</v>
      </c>
      <c r="E54" s="0" t="s">
        <v>240</v>
      </c>
      <c r="F54" s="0" t="s">
        <v>240</v>
      </c>
      <c r="G54" s="0" t="s">
        <v>240</v>
      </c>
      <c r="H54" s="0" t="s">
        <v>240</v>
      </c>
      <c r="I54" s="0" t="s">
        <v>5484</v>
      </c>
      <c r="J54" s="0" t="s">
        <v>240</v>
      </c>
      <c r="K54" s="0" t="s">
        <v>240</v>
      </c>
      <c r="L54" s="0" t="s">
        <v>240</v>
      </c>
      <c r="M54" s="0" t="s">
        <v>240</v>
      </c>
      <c r="N54" s="0" t="s">
        <v>240</v>
      </c>
      <c r="O54" s="0" t="s">
        <v>240</v>
      </c>
      <c r="P54" s="0" t="s">
        <v>240</v>
      </c>
      <c r="Q54" s="0" t="s">
        <v>240</v>
      </c>
      <c r="R54" s="0" t="s">
        <v>5827</v>
      </c>
      <c r="S54" s="0" t="s">
        <v>240</v>
      </c>
      <c r="T54" s="0" t="s">
        <v>240</v>
      </c>
      <c r="U54" s="0" t="s">
        <v>102</v>
      </c>
      <c r="V54" s="0" t="s">
        <v>240</v>
      </c>
      <c r="W54" s="0" t="s">
        <v>240</v>
      </c>
      <c r="X54" s="0" t="s">
        <v>5585</v>
      </c>
      <c r="Y54" s="0" t="s">
        <v>240</v>
      </c>
      <c r="Z54" s="0" t="s">
        <v>152</v>
      </c>
      <c r="AA54" s="0" t="s">
        <v>152</v>
      </c>
      <c r="AB54" s="0" t="s">
        <v>161</v>
      </c>
      <c r="AC54" s="0" t="s">
        <v>2991</v>
      </c>
      <c r="AD54" s="0" t="s">
        <v>2991</v>
      </c>
      <c r="AE54" s="0" t="s">
        <v>2992</v>
      </c>
      <c r="AF54" s="0" t="s">
        <v>5828</v>
      </c>
      <c r="AG54" s="0" t="s">
        <v>5829</v>
      </c>
      <c r="AH54" s="0" t="s">
        <v>5575</v>
      </c>
      <c r="AI54" s="0" t="s">
        <v>5575</v>
      </c>
      <c r="AJ54" s="0" t="s">
        <v>240</v>
      </c>
      <c r="AK54" s="0" t="s">
        <v>240</v>
      </c>
      <c r="AL54" s="0" t="s">
        <v>240</v>
      </c>
      <c r="AM54" s="0" t="s">
        <v>240</v>
      </c>
      <c r="AN54" s="0" t="s">
        <v>240</v>
      </c>
      <c r="AO54" s="0" t="s">
        <v>240</v>
      </c>
      <c r="AP54" s="0" t="s">
        <v>240</v>
      </c>
      <c r="AQ54" s="0" t="s">
        <v>240</v>
      </c>
      <c r="AR54" s="0" t="s">
        <v>240</v>
      </c>
      <c r="AS54" s="0" t="s">
        <v>240</v>
      </c>
      <c r="AT54" s="0" t="s">
        <v>240</v>
      </c>
      <c r="AU54" s="0" t="s">
        <v>240</v>
      </c>
      <c r="AV54" s="0" t="s">
        <v>240</v>
      </c>
      <c r="AW54" s="0" t="s">
        <v>240</v>
      </c>
      <c r="AX54" s="0" t="s">
        <v>240</v>
      </c>
      <c r="AY54" s="0" t="s">
        <v>240</v>
      </c>
      <c r="AZ54" s="0" t="s">
        <v>240</v>
      </c>
      <c r="BA54" s="0" t="s">
        <v>240</v>
      </c>
      <c r="BB54" s="0" t="s">
        <v>240</v>
      </c>
      <c r="BC54" s="0" t="s">
        <v>240</v>
      </c>
      <c r="BD54" s="0" t="s">
        <v>240</v>
      </c>
      <c r="BE54" s="0" t="s">
        <v>5576</v>
      </c>
      <c r="BF54" s="0" t="s">
        <v>5830</v>
      </c>
      <c r="BG54" s="0" t="s">
        <v>112</v>
      </c>
      <c r="BH54" s="0" t="s">
        <v>5589</v>
      </c>
      <c r="BI54" s="0" t="s">
        <v>123</v>
      </c>
      <c r="BJ54" s="0" t="s">
        <v>240</v>
      </c>
      <c r="BK54" s="0" t="s">
        <v>5608</v>
      </c>
      <c r="BL54" s="0" t="s">
        <v>2991</v>
      </c>
      <c r="BM54" s="0" t="s">
        <v>2991</v>
      </c>
      <c r="BN54" s="0" t="s">
        <v>5663</v>
      </c>
      <c r="BO54" s="0" t="s">
        <v>5828</v>
      </c>
      <c r="BP54" s="0" t="s">
        <v>5831</v>
      </c>
      <c r="BQ54" s="0" t="s">
        <v>5575</v>
      </c>
      <c r="BR54" s="0" t="s">
        <v>5575</v>
      </c>
      <c r="BS54" s="0" t="s">
        <v>240</v>
      </c>
      <c r="BT54" s="0" t="s">
        <v>5650</v>
      </c>
      <c r="BU54" s="0" t="s">
        <v>5832</v>
      </c>
      <c r="BV54" s="0" t="s">
        <v>5832</v>
      </c>
      <c r="BW54" s="0" t="s">
        <v>5598</v>
      </c>
      <c r="BX54" s="0" t="s">
        <v>5598</v>
      </c>
      <c r="BY54" s="0" t="s">
        <v>5598</v>
      </c>
      <c r="BZ54" s="0" t="s">
        <v>5598</v>
      </c>
      <c r="CA54" s="0" t="s">
        <v>5598</v>
      </c>
      <c r="CB54" s="0" t="s">
        <v>240</v>
      </c>
      <c r="CC54" s="0" t="s">
        <v>240</v>
      </c>
      <c r="CD54" s="0" t="s">
        <v>240</v>
      </c>
      <c r="CE54" s="0" t="s">
        <v>240</v>
      </c>
      <c r="CF54" s="0" t="s">
        <v>240</v>
      </c>
      <c r="CG54" s="0" t="s">
        <v>5598</v>
      </c>
      <c r="CH54" s="0" t="s">
        <v>240</v>
      </c>
      <c r="CI54" s="0" t="s">
        <v>240</v>
      </c>
      <c r="CJ54" s="0" t="s">
        <v>240</v>
      </c>
      <c r="CK54" s="0" t="s">
        <v>240</v>
      </c>
      <c r="CL54" s="0" t="s">
        <v>240</v>
      </c>
      <c r="CM54" s="0" t="s">
        <v>5832</v>
      </c>
      <c r="CN54" s="0" t="s">
        <v>5832</v>
      </c>
      <c r="CO54" s="0" t="s">
        <v>240</v>
      </c>
      <c r="CP54" s="0" t="s">
        <v>240</v>
      </c>
      <c r="CQ54" s="0" t="s">
        <v>240</v>
      </c>
      <c r="CR54" s="0" t="s">
        <v>240</v>
      </c>
      <c r="CS54" s="0" t="s">
        <v>5666</v>
      </c>
      <c r="CT54" s="0" t="s">
        <v>5496</v>
      </c>
      <c r="CU54" s="0" t="s">
        <v>5497</v>
      </c>
      <c r="CV54" s="0" t="s">
        <v>443</v>
      </c>
      <c r="CW54" s="0" t="s">
        <v>5547</v>
      </c>
      <c r="CX54" s="0" t="s">
        <v>229</v>
      </c>
      <c r="CY54" s="0" t="s">
        <v>443</v>
      </c>
      <c r="CZ54" s="0" t="s">
        <v>5548</v>
      </c>
      <c r="DA54" s="0" t="s">
        <v>5549</v>
      </c>
      <c r="DB54" s="0" t="s">
        <v>5547</v>
      </c>
      <c r="DC54" s="0" t="s">
        <v>384</v>
      </c>
      <c r="DD54" s="0" t="s">
        <v>291</v>
      </c>
      <c r="DE54" s="0" t="s">
        <v>5833</v>
      </c>
    </row>
    <row customHeight="1" ht="11.25">
      <c r="A55" s="1441" t="s">
        <v>240</v>
      </c>
      <c r="B55" s="0" t="s">
        <v>240</v>
      </c>
      <c r="C55" s="0" t="s">
        <v>240</v>
      </c>
      <c r="D55" s="0" t="s">
        <v>240</v>
      </c>
      <c r="E55" s="0" t="s">
        <v>240</v>
      </c>
      <c r="F55" s="0" t="s">
        <v>240</v>
      </c>
      <c r="G55" s="0" t="s">
        <v>240</v>
      </c>
      <c r="H55" s="0" t="s">
        <v>240</v>
      </c>
      <c r="I55" s="0" t="s">
        <v>5484</v>
      </c>
      <c r="J55" s="0" t="s">
        <v>240</v>
      </c>
      <c r="K55" s="0" t="s">
        <v>240</v>
      </c>
      <c r="L55" s="0" t="s">
        <v>240</v>
      </c>
      <c r="M55" s="0" t="s">
        <v>240</v>
      </c>
      <c r="N55" s="0" t="s">
        <v>240</v>
      </c>
      <c r="O55" s="0" t="s">
        <v>240</v>
      </c>
      <c r="P55" s="0" t="s">
        <v>240</v>
      </c>
      <c r="Q55" s="0" t="s">
        <v>240</v>
      </c>
      <c r="R55" s="0" t="s">
        <v>5572</v>
      </c>
      <c r="S55" s="0" t="s">
        <v>240</v>
      </c>
      <c r="T55" s="0" t="s">
        <v>240</v>
      </c>
      <c r="U55" s="0" t="s">
        <v>102</v>
      </c>
      <c r="V55" s="0" t="s">
        <v>240</v>
      </c>
      <c r="W55" s="0" t="s">
        <v>240</v>
      </c>
      <c r="X55" s="0" t="s">
        <v>5485</v>
      </c>
      <c r="Y55" s="0" t="s">
        <v>240</v>
      </c>
      <c r="Z55" s="0" t="s">
        <v>161</v>
      </c>
      <c r="AA55" s="0" t="s">
        <v>152</v>
      </c>
      <c r="AB55" s="0" t="s">
        <v>152</v>
      </c>
      <c r="AC55" s="0" t="s">
        <v>2991</v>
      </c>
      <c r="AD55" s="0" t="s">
        <v>2991</v>
      </c>
      <c r="AE55" s="0" t="s">
        <v>2992</v>
      </c>
      <c r="AF55" s="0" t="s">
        <v>5834</v>
      </c>
      <c r="AG55" s="0" t="s">
        <v>5835</v>
      </c>
      <c r="AH55" s="0" t="s">
        <v>5670</v>
      </c>
      <c r="AI55" s="0" t="s">
        <v>5551</v>
      </c>
      <c r="AJ55" s="0" t="s">
        <v>5504</v>
      </c>
      <c r="AK55" s="0" t="s">
        <v>5672</v>
      </c>
      <c r="AL55" s="0" t="s">
        <v>5506</v>
      </c>
      <c r="AM55" s="0" t="s">
        <v>5493</v>
      </c>
      <c r="AN55" s="0" t="s">
        <v>5545</v>
      </c>
      <c r="AO55" s="0" t="s">
        <v>5836</v>
      </c>
      <c r="AP55" s="0" t="s">
        <v>240</v>
      </c>
      <c r="AQ55" s="0" t="s">
        <v>240</v>
      </c>
      <c r="AR55" s="0" t="s">
        <v>240</v>
      </c>
      <c r="AS55" s="0" t="s">
        <v>240</v>
      </c>
      <c r="AT55" s="0" t="s">
        <v>240</v>
      </c>
      <c r="AU55" s="0" t="s">
        <v>240</v>
      </c>
      <c r="AV55" s="0" t="s">
        <v>240</v>
      </c>
      <c r="AW55" s="0" t="s">
        <v>240</v>
      </c>
      <c r="AX55" s="0" t="s">
        <v>240</v>
      </c>
      <c r="AY55" s="0" t="s">
        <v>240</v>
      </c>
      <c r="AZ55" s="0" t="s">
        <v>240</v>
      </c>
      <c r="BA55" s="0" t="s">
        <v>240</v>
      </c>
      <c r="BB55" s="0" t="s">
        <v>240</v>
      </c>
      <c r="BC55" s="0" t="s">
        <v>240</v>
      </c>
      <c r="BD55" s="0" t="s">
        <v>240</v>
      </c>
      <c r="BE55" s="0" t="s">
        <v>240</v>
      </c>
      <c r="BF55" s="0" t="s">
        <v>240</v>
      </c>
      <c r="BG55" s="0" t="s">
        <v>240</v>
      </c>
      <c r="BH55" s="0" t="s">
        <v>240</v>
      </c>
      <c r="BI55" s="0" t="s">
        <v>240</v>
      </c>
      <c r="BJ55" s="0" t="s">
        <v>240</v>
      </c>
      <c r="BK55" s="0" t="s">
        <v>240</v>
      </c>
      <c r="BL55" s="0" t="s">
        <v>240</v>
      </c>
      <c r="BM55" s="0" t="s">
        <v>240</v>
      </c>
      <c r="BN55" s="0" t="s">
        <v>240</v>
      </c>
      <c r="BO55" s="0" t="s">
        <v>240</v>
      </c>
      <c r="BP55" s="0" t="s">
        <v>240</v>
      </c>
      <c r="BQ55" s="0" t="s">
        <v>240</v>
      </c>
      <c r="BR55" s="0" t="s">
        <v>240</v>
      </c>
      <c r="BS55" s="0" t="s">
        <v>240</v>
      </c>
      <c r="BT55" s="0" t="s">
        <v>240</v>
      </c>
      <c r="BU55" s="0" t="s">
        <v>240</v>
      </c>
      <c r="BV55" s="0" t="s">
        <v>240</v>
      </c>
      <c r="BW55" s="0" t="s">
        <v>240</v>
      </c>
      <c r="BX55" s="0" t="s">
        <v>240</v>
      </c>
      <c r="BY55" s="0" t="s">
        <v>240</v>
      </c>
      <c r="BZ55" s="0" t="s">
        <v>240</v>
      </c>
      <c r="CA55" s="0" t="s">
        <v>240</v>
      </c>
      <c r="CB55" s="0" t="s">
        <v>240</v>
      </c>
      <c r="CC55" s="0" t="s">
        <v>240</v>
      </c>
      <c r="CD55" s="0" t="s">
        <v>240</v>
      </c>
      <c r="CE55" s="0" t="s">
        <v>240</v>
      </c>
      <c r="CF55" s="0" t="s">
        <v>240</v>
      </c>
      <c r="CG55" s="0" t="s">
        <v>240</v>
      </c>
      <c r="CH55" s="0" t="s">
        <v>240</v>
      </c>
      <c r="CI55" s="0" t="s">
        <v>240</v>
      </c>
      <c r="CJ55" s="0" t="s">
        <v>240</v>
      </c>
      <c r="CK55" s="0" t="s">
        <v>240</v>
      </c>
      <c r="CL55" s="0" t="s">
        <v>240</v>
      </c>
      <c r="CM55" s="0" t="s">
        <v>240</v>
      </c>
      <c r="CN55" s="0" t="s">
        <v>240</v>
      </c>
      <c r="CO55" s="0" t="s">
        <v>240</v>
      </c>
      <c r="CP55" s="0" t="s">
        <v>240</v>
      </c>
      <c r="CQ55" s="0" t="s">
        <v>240</v>
      </c>
      <c r="CR55" s="0" t="s">
        <v>240</v>
      </c>
      <c r="CS55" s="0" t="s">
        <v>240</v>
      </c>
      <c r="CT55" s="0" t="s">
        <v>5496</v>
      </c>
      <c r="CU55" s="0" t="s">
        <v>5497</v>
      </c>
      <c r="CV55" s="0" t="s">
        <v>443</v>
      </c>
      <c r="CW55" s="0" t="s">
        <v>5547</v>
      </c>
      <c r="CX55" s="0" t="s">
        <v>229</v>
      </c>
      <c r="CY55" s="0" t="s">
        <v>443</v>
      </c>
      <c r="CZ55" s="0" t="s">
        <v>5548</v>
      </c>
      <c r="DA55" s="0" t="s">
        <v>5549</v>
      </c>
      <c r="DB55" s="0" t="s">
        <v>5547</v>
      </c>
      <c r="DC55" s="0" t="s">
        <v>384</v>
      </c>
      <c r="DD55" s="0" t="s">
        <v>291</v>
      </c>
      <c r="DE55" s="0" t="s">
        <v>5837</v>
      </c>
    </row>
    <row customHeight="1" ht="11.25">
      <c r="A56" s="1441" t="s">
        <v>240</v>
      </c>
      <c r="B56" s="0" t="s">
        <v>240</v>
      </c>
      <c r="C56" s="0" t="s">
        <v>240</v>
      </c>
      <c r="D56" s="0" t="s">
        <v>240</v>
      </c>
      <c r="E56" s="0" t="s">
        <v>240</v>
      </c>
      <c r="F56" s="0" t="s">
        <v>240</v>
      </c>
      <c r="G56" s="0" t="s">
        <v>240</v>
      </c>
      <c r="H56" s="0" t="s">
        <v>240</v>
      </c>
      <c r="I56" s="0" t="s">
        <v>5484</v>
      </c>
      <c r="J56" s="0" t="s">
        <v>240</v>
      </c>
      <c r="K56" s="0" t="s">
        <v>240</v>
      </c>
      <c r="L56" s="0" t="s">
        <v>240</v>
      </c>
      <c r="M56" s="0" t="s">
        <v>240</v>
      </c>
      <c r="N56" s="0" t="s">
        <v>240</v>
      </c>
      <c r="O56" s="0" t="s">
        <v>240</v>
      </c>
      <c r="P56" s="0" t="s">
        <v>240</v>
      </c>
      <c r="Q56" s="0" t="s">
        <v>240</v>
      </c>
      <c r="R56" s="0" t="s">
        <v>5838</v>
      </c>
      <c r="S56" s="0" t="s">
        <v>240</v>
      </c>
      <c r="T56" s="0" t="s">
        <v>240</v>
      </c>
      <c r="U56" s="0" t="s">
        <v>102</v>
      </c>
      <c r="V56" s="0" t="s">
        <v>240</v>
      </c>
      <c r="W56" s="0" t="s">
        <v>240</v>
      </c>
      <c r="X56" s="0" t="s">
        <v>5585</v>
      </c>
      <c r="Y56" s="0" t="s">
        <v>240</v>
      </c>
      <c r="Z56" s="0" t="s">
        <v>152</v>
      </c>
      <c r="AA56" s="0" t="s">
        <v>152</v>
      </c>
      <c r="AB56" s="0" t="s">
        <v>161</v>
      </c>
      <c r="AC56" s="0" t="s">
        <v>2991</v>
      </c>
      <c r="AD56" s="0" t="s">
        <v>2991</v>
      </c>
      <c r="AE56" s="0" t="s">
        <v>2992</v>
      </c>
      <c r="AF56" s="0" t="s">
        <v>5839</v>
      </c>
      <c r="AG56" s="0" t="s">
        <v>5840</v>
      </c>
      <c r="AH56" s="0" t="s">
        <v>5575</v>
      </c>
      <c r="AI56" s="0" t="s">
        <v>5575</v>
      </c>
      <c r="AJ56" s="0" t="s">
        <v>240</v>
      </c>
      <c r="AK56" s="0" t="s">
        <v>240</v>
      </c>
      <c r="AL56" s="0" t="s">
        <v>240</v>
      </c>
      <c r="AM56" s="0" t="s">
        <v>240</v>
      </c>
      <c r="AN56" s="0" t="s">
        <v>240</v>
      </c>
      <c r="AO56" s="0" t="s">
        <v>240</v>
      </c>
      <c r="AP56" s="0" t="s">
        <v>240</v>
      </c>
      <c r="AQ56" s="0" t="s">
        <v>240</v>
      </c>
      <c r="AR56" s="0" t="s">
        <v>240</v>
      </c>
      <c r="AS56" s="0" t="s">
        <v>240</v>
      </c>
      <c r="AT56" s="0" t="s">
        <v>240</v>
      </c>
      <c r="AU56" s="0" t="s">
        <v>240</v>
      </c>
      <c r="AV56" s="0" t="s">
        <v>240</v>
      </c>
      <c r="AW56" s="0" t="s">
        <v>240</v>
      </c>
      <c r="AX56" s="0" t="s">
        <v>240</v>
      </c>
      <c r="AY56" s="0" t="s">
        <v>240</v>
      </c>
      <c r="AZ56" s="0" t="s">
        <v>240</v>
      </c>
      <c r="BA56" s="0" t="s">
        <v>240</v>
      </c>
      <c r="BB56" s="0" t="s">
        <v>240</v>
      </c>
      <c r="BC56" s="0" t="s">
        <v>240</v>
      </c>
      <c r="BD56" s="0" t="s">
        <v>240</v>
      </c>
      <c r="BE56" s="0" t="s">
        <v>5552</v>
      </c>
      <c r="BF56" s="0" t="s">
        <v>5672</v>
      </c>
      <c r="BG56" s="0" t="s">
        <v>112</v>
      </c>
      <c r="BH56" s="0" t="s">
        <v>5589</v>
      </c>
      <c r="BI56" s="0" t="s">
        <v>123</v>
      </c>
      <c r="BJ56" s="0" t="s">
        <v>240</v>
      </c>
      <c r="BK56" s="0" t="s">
        <v>5608</v>
      </c>
      <c r="BL56" s="0" t="s">
        <v>2991</v>
      </c>
      <c r="BM56" s="0" t="s">
        <v>2991</v>
      </c>
      <c r="BN56" s="0" t="s">
        <v>5663</v>
      </c>
      <c r="BO56" s="0" t="s">
        <v>5839</v>
      </c>
      <c r="BP56" s="0" t="s">
        <v>5841</v>
      </c>
      <c r="BQ56" s="0" t="s">
        <v>5575</v>
      </c>
      <c r="BR56" s="0" t="s">
        <v>5575</v>
      </c>
      <c r="BS56" s="0" t="s">
        <v>240</v>
      </c>
      <c r="BT56" s="0" t="s">
        <v>5650</v>
      </c>
      <c r="BU56" s="0" t="s">
        <v>5842</v>
      </c>
      <c r="BV56" s="0" t="s">
        <v>5842</v>
      </c>
      <c r="BW56" s="0" t="s">
        <v>5598</v>
      </c>
      <c r="BX56" s="0" t="s">
        <v>5598</v>
      </c>
      <c r="BY56" s="0" t="s">
        <v>5598</v>
      </c>
      <c r="BZ56" s="0" t="s">
        <v>5598</v>
      </c>
      <c r="CA56" s="0" t="s">
        <v>5598</v>
      </c>
      <c r="CB56" s="0" t="s">
        <v>240</v>
      </c>
      <c r="CC56" s="0" t="s">
        <v>240</v>
      </c>
      <c r="CD56" s="0" t="s">
        <v>240</v>
      </c>
      <c r="CE56" s="0" t="s">
        <v>240</v>
      </c>
      <c r="CF56" s="0" t="s">
        <v>240</v>
      </c>
      <c r="CG56" s="0" t="s">
        <v>5598</v>
      </c>
      <c r="CH56" s="0" t="s">
        <v>240</v>
      </c>
      <c r="CI56" s="0" t="s">
        <v>240</v>
      </c>
      <c r="CJ56" s="0" t="s">
        <v>240</v>
      </c>
      <c r="CK56" s="0" t="s">
        <v>240</v>
      </c>
      <c r="CL56" s="0" t="s">
        <v>240</v>
      </c>
      <c r="CM56" s="0" t="s">
        <v>5842</v>
      </c>
      <c r="CN56" s="0" t="s">
        <v>5842</v>
      </c>
      <c r="CO56" s="0" t="s">
        <v>240</v>
      </c>
      <c r="CP56" s="0" t="s">
        <v>240</v>
      </c>
      <c r="CQ56" s="0" t="s">
        <v>240</v>
      </c>
      <c r="CR56" s="0" t="s">
        <v>240</v>
      </c>
      <c r="CS56" s="0" t="s">
        <v>5666</v>
      </c>
      <c r="CT56" s="0" t="s">
        <v>5496</v>
      </c>
      <c r="CU56" s="0" t="s">
        <v>5497</v>
      </c>
      <c r="CV56" s="0" t="s">
        <v>443</v>
      </c>
      <c r="CW56" s="0" t="s">
        <v>5547</v>
      </c>
      <c r="CX56" s="0" t="s">
        <v>229</v>
      </c>
      <c r="CY56" s="0" t="s">
        <v>443</v>
      </c>
      <c r="CZ56" s="0" t="s">
        <v>5548</v>
      </c>
      <c r="DA56" s="0" t="s">
        <v>5549</v>
      </c>
      <c r="DB56" s="0" t="s">
        <v>5547</v>
      </c>
      <c r="DC56" s="0" t="s">
        <v>384</v>
      </c>
      <c r="DD56" s="0" t="s">
        <v>291</v>
      </c>
      <c r="DE56" s="0" t="s">
        <v>5843</v>
      </c>
    </row>
    <row customHeight="1" ht="11.25">
      <c r="A57" s="1441" t="s">
        <v>240</v>
      </c>
      <c r="B57" s="0" t="s">
        <v>240</v>
      </c>
      <c r="C57" s="0" t="s">
        <v>240</v>
      </c>
      <c r="D57" s="0" t="s">
        <v>240</v>
      </c>
      <c r="E57" s="0" t="s">
        <v>240</v>
      </c>
      <c r="F57" s="0" t="s">
        <v>240</v>
      </c>
      <c r="G57" s="0" t="s">
        <v>240</v>
      </c>
      <c r="H57" s="0" t="s">
        <v>240</v>
      </c>
      <c r="I57" s="0" t="s">
        <v>5484</v>
      </c>
      <c r="J57" s="0" t="s">
        <v>240</v>
      </c>
      <c r="K57" s="0" t="s">
        <v>240</v>
      </c>
      <c r="L57" s="0" t="s">
        <v>240</v>
      </c>
      <c r="M57" s="0" t="s">
        <v>240</v>
      </c>
      <c r="N57" s="0" t="s">
        <v>240</v>
      </c>
      <c r="O57" s="0" t="s">
        <v>240</v>
      </c>
      <c r="P57" s="0" t="s">
        <v>240</v>
      </c>
      <c r="Q57" s="0" t="s">
        <v>240</v>
      </c>
      <c r="R57" s="0" t="s">
        <v>5572</v>
      </c>
      <c r="S57" s="0" t="s">
        <v>240</v>
      </c>
      <c r="T57" s="0" t="s">
        <v>240</v>
      </c>
      <c r="U57" s="0" t="s">
        <v>102</v>
      </c>
      <c r="V57" s="0" t="s">
        <v>240</v>
      </c>
      <c r="W57" s="0" t="s">
        <v>240</v>
      </c>
      <c r="X57" s="0" t="s">
        <v>5485</v>
      </c>
      <c r="Y57" s="0" t="s">
        <v>240</v>
      </c>
      <c r="Z57" s="0" t="s">
        <v>161</v>
      </c>
      <c r="AA57" s="0" t="s">
        <v>152</v>
      </c>
      <c r="AB57" s="0" t="s">
        <v>152</v>
      </c>
      <c r="AC57" s="0" t="s">
        <v>2991</v>
      </c>
      <c r="AD57" s="0" t="s">
        <v>2991</v>
      </c>
      <c r="AE57" s="0" t="s">
        <v>2992</v>
      </c>
      <c r="AF57" s="0" t="s">
        <v>5844</v>
      </c>
      <c r="AG57" s="0" t="s">
        <v>5845</v>
      </c>
      <c r="AH57" s="0" t="s">
        <v>5846</v>
      </c>
      <c r="AI57" s="0" t="s">
        <v>5847</v>
      </c>
      <c r="AJ57" s="0" t="s">
        <v>5504</v>
      </c>
      <c r="AK57" s="0" t="s">
        <v>5544</v>
      </c>
      <c r="AL57" s="0" t="s">
        <v>5506</v>
      </c>
      <c r="AM57" s="0" t="s">
        <v>5493</v>
      </c>
      <c r="AN57" s="0" t="s">
        <v>5545</v>
      </c>
      <c r="AO57" s="0" t="s">
        <v>5508</v>
      </c>
      <c r="AP57" s="0" t="s">
        <v>240</v>
      </c>
      <c r="AQ57" s="0" t="s">
        <v>240</v>
      </c>
      <c r="AR57" s="0" t="s">
        <v>240</v>
      </c>
      <c r="AS57" s="0" t="s">
        <v>240</v>
      </c>
      <c r="AT57" s="0" t="s">
        <v>240</v>
      </c>
      <c r="AU57" s="0" t="s">
        <v>240</v>
      </c>
      <c r="AV57" s="0" t="s">
        <v>240</v>
      </c>
      <c r="AW57" s="0" t="s">
        <v>240</v>
      </c>
      <c r="AX57" s="0" t="s">
        <v>240</v>
      </c>
      <c r="AY57" s="0" t="s">
        <v>240</v>
      </c>
      <c r="AZ57" s="0" t="s">
        <v>240</v>
      </c>
      <c r="BA57" s="0" t="s">
        <v>240</v>
      </c>
      <c r="BB57" s="0" t="s">
        <v>240</v>
      </c>
      <c r="BC57" s="0" t="s">
        <v>240</v>
      </c>
      <c r="BD57" s="0" t="s">
        <v>240</v>
      </c>
      <c r="BE57" s="0" t="s">
        <v>240</v>
      </c>
      <c r="BF57" s="0" t="s">
        <v>240</v>
      </c>
      <c r="BG57" s="0" t="s">
        <v>240</v>
      </c>
      <c r="BH57" s="0" t="s">
        <v>240</v>
      </c>
      <c r="BI57" s="0" t="s">
        <v>240</v>
      </c>
      <c r="BJ57" s="0" t="s">
        <v>240</v>
      </c>
      <c r="BK57" s="0" t="s">
        <v>240</v>
      </c>
      <c r="BL57" s="0" t="s">
        <v>240</v>
      </c>
      <c r="BM57" s="0" t="s">
        <v>240</v>
      </c>
      <c r="BN57" s="0" t="s">
        <v>240</v>
      </c>
      <c r="BO57" s="0" t="s">
        <v>240</v>
      </c>
      <c r="BP57" s="0" t="s">
        <v>240</v>
      </c>
      <c r="BQ57" s="0" t="s">
        <v>240</v>
      </c>
      <c r="BR57" s="0" t="s">
        <v>240</v>
      </c>
      <c r="BS57" s="0" t="s">
        <v>240</v>
      </c>
      <c r="BT57" s="0" t="s">
        <v>240</v>
      </c>
      <c r="BU57" s="0" t="s">
        <v>240</v>
      </c>
      <c r="BV57" s="0" t="s">
        <v>240</v>
      </c>
      <c r="BW57" s="0" t="s">
        <v>240</v>
      </c>
      <c r="BX57" s="0" t="s">
        <v>240</v>
      </c>
      <c r="BY57" s="0" t="s">
        <v>240</v>
      </c>
      <c r="BZ57" s="0" t="s">
        <v>240</v>
      </c>
      <c r="CA57" s="0" t="s">
        <v>240</v>
      </c>
      <c r="CB57" s="0" t="s">
        <v>240</v>
      </c>
      <c r="CC57" s="0" t="s">
        <v>240</v>
      </c>
      <c r="CD57" s="0" t="s">
        <v>240</v>
      </c>
      <c r="CE57" s="0" t="s">
        <v>240</v>
      </c>
      <c r="CF57" s="0" t="s">
        <v>240</v>
      </c>
      <c r="CG57" s="0" t="s">
        <v>240</v>
      </c>
      <c r="CH57" s="0" t="s">
        <v>240</v>
      </c>
      <c r="CI57" s="0" t="s">
        <v>240</v>
      </c>
      <c r="CJ57" s="0" t="s">
        <v>240</v>
      </c>
      <c r="CK57" s="0" t="s">
        <v>240</v>
      </c>
      <c r="CL57" s="0" t="s">
        <v>240</v>
      </c>
      <c r="CM57" s="0" t="s">
        <v>240</v>
      </c>
      <c r="CN57" s="0" t="s">
        <v>240</v>
      </c>
      <c r="CO57" s="0" t="s">
        <v>240</v>
      </c>
      <c r="CP57" s="0" t="s">
        <v>240</v>
      </c>
      <c r="CQ57" s="0" t="s">
        <v>240</v>
      </c>
      <c r="CR57" s="0" t="s">
        <v>240</v>
      </c>
      <c r="CS57" s="0" t="s">
        <v>240</v>
      </c>
      <c r="CT57" s="0" t="s">
        <v>5496</v>
      </c>
      <c r="CU57" s="0" t="s">
        <v>5497</v>
      </c>
      <c r="CV57" s="0" t="s">
        <v>443</v>
      </c>
      <c r="CW57" s="0" t="s">
        <v>5547</v>
      </c>
      <c r="CX57" s="0" t="s">
        <v>229</v>
      </c>
      <c r="CY57" s="0" t="s">
        <v>443</v>
      </c>
      <c r="CZ57" s="0" t="s">
        <v>5548</v>
      </c>
      <c r="DA57" s="0" t="s">
        <v>5549</v>
      </c>
      <c r="DB57" s="0" t="s">
        <v>5547</v>
      </c>
      <c r="DC57" s="0" t="s">
        <v>384</v>
      </c>
      <c r="DD57" s="0" t="s">
        <v>291</v>
      </c>
      <c r="DE57" s="0" t="s">
        <v>5848</v>
      </c>
    </row>
    <row customHeight="1" ht="11.25">
      <c r="A58" s="1441" t="s">
        <v>240</v>
      </c>
      <c r="B58" s="0" t="s">
        <v>240</v>
      </c>
      <c r="C58" s="0" t="s">
        <v>240</v>
      </c>
      <c r="D58" s="0" t="s">
        <v>240</v>
      </c>
      <c r="E58" s="0" t="s">
        <v>240</v>
      </c>
      <c r="F58" s="0" t="s">
        <v>240</v>
      </c>
      <c r="G58" s="0" t="s">
        <v>240</v>
      </c>
      <c r="H58" s="0" t="s">
        <v>240</v>
      </c>
      <c r="I58" s="0" t="s">
        <v>5484</v>
      </c>
      <c r="J58" s="0" t="s">
        <v>240</v>
      </c>
      <c r="K58" s="0" t="s">
        <v>240</v>
      </c>
      <c r="L58" s="0" t="s">
        <v>240</v>
      </c>
      <c r="M58" s="0" t="s">
        <v>240</v>
      </c>
      <c r="N58" s="0" t="s">
        <v>240</v>
      </c>
      <c r="O58" s="0" t="s">
        <v>240</v>
      </c>
      <c r="P58" s="0" t="s">
        <v>240</v>
      </c>
      <c r="Q58" s="0" t="s">
        <v>240</v>
      </c>
      <c r="R58" s="0" t="s">
        <v>5849</v>
      </c>
      <c r="S58" s="0" t="s">
        <v>240</v>
      </c>
      <c r="T58" s="0" t="s">
        <v>240</v>
      </c>
      <c r="U58" s="0" t="s">
        <v>102</v>
      </c>
      <c r="V58" s="0" t="s">
        <v>240</v>
      </c>
      <c r="W58" s="0" t="s">
        <v>240</v>
      </c>
      <c r="X58" s="0" t="s">
        <v>5585</v>
      </c>
      <c r="Y58" s="0" t="s">
        <v>240</v>
      </c>
      <c r="Z58" s="0" t="s">
        <v>152</v>
      </c>
      <c r="AA58" s="0" t="s">
        <v>152</v>
      </c>
      <c r="AB58" s="0" t="s">
        <v>161</v>
      </c>
      <c r="AC58" s="0" t="s">
        <v>2989</v>
      </c>
      <c r="AD58" s="0" t="s">
        <v>2989</v>
      </c>
      <c r="AE58" s="0" t="s">
        <v>2990</v>
      </c>
      <c r="AF58" s="0" t="s">
        <v>5573</v>
      </c>
      <c r="AG58" s="0" t="s">
        <v>5574</v>
      </c>
      <c r="AH58" s="0" t="s">
        <v>5575</v>
      </c>
      <c r="AI58" s="0" t="s">
        <v>5575</v>
      </c>
      <c r="AJ58" s="0" t="s">
        <v>240</v>
      </c>
      <c r="AK58" s="0" t="s">
        <v>240</v>
      </c>
      <c r="AL58" s="0" t="s">
        <v>240</v>
      </c>
      <c r="AM58" s="0" t="s">
        <v>240</v>
      </c>
      <c r="AN58" s="0" t="s">
        <v>240</v>
      </c>
      <c r="AO58" s="0" t="s">
        <v>240</v>
      </c>
      <c r="AP58" s="0" t="s">
        <v>240</v>
      </c>
      <c r="AQ58" s="0" t="s">
        <v>240</v>
      </c>
      <c r="AR58" s="0" t="s">
        <v>240</v>
      </c>
      <c r="AS58" s="0" t="s">
        <v>240</v>
      </c>
      <c r="AT58" s="0" t="s">
        <v>240</v>
      </c>
      <c r="AU58" s="0" t="s">
        <v>240</v>
      </c>
      <c r="AV58" s="0" t="s">
        <v>240</v>
      </c>
      <c r="AW58" s="0" t="s">
        <v>240</v>
      </c>
      <c r="AX58" s="0" t="s">
        <v>240</v>
      </c>
      <c r="AY58" s="0" t="s">
        <v>240</v>
      </c>
      <c r="AZ58" s="0" t="s">
        <v>240</v>
      </c>
      <c r="BA58" s="0" t="s">
        <v>240</v>
      </c>
      <c r="BB58" s="0" t="s">
        <v>240</v>
      </c>
      <c r="BC58" s="0" t="s">
        <v>240</v>
      </c>
      <c r="BD58" s="0" t="s">
        <v>240</v>
      </c>
      <c r="BE58" s="0" t="s">
        <v>5576</v>
      </c>
      <c r="BF58" s="0" t="s">
        <v>5577</v>
      </c>
      <c r="BG58" s="0" t="s">
        <v>112</v>
      </c>
      <c r="BH58" s="0" t="s">
        <v>5589</v>
      </c>
      <c r="BI58" s="0" t="s">
        <v>123</v>
      </c>
      <c r="BJ58" s="0" t="s">
        <v>240</v>
      </c>
      <c r="BK58" s="0" t="s">
        <v>5608</v>
      </c>
      <c r="BL58" s="0" t="s">
        <v>2989</v>
      </c>
      <c r="BM58" s="0" t="s">
        <v>2989</v>
      </c>
      <c r="BN58" s="0" t="s">
        <v>5798</v>
      </c>
      <c r="BO58" s="0" t="s">
        <v>5573</v>
      </c>
      <c r="BP58" s="0" t="s">
        <v>5850</v>
      </c>
      <c r="BQ58" s="0" t="s">
        <v>5575</v>
      </c>
      <c r="BR58" s="0" t="s">
        <v>5575</v>
      </c>
      <c r="BS58" s="0" t="s">
        <v>240</v>
      </c>
      <c r="BT58" s="0" t="s">
        <v>5650</v>
      </c>
      <c r="BU58" s="0" t="s">
        <v>5851</v>
      </c>
      <c r="BV58" s="0" t="s">
        <v>5851</v>
      </c>
      <c r="BW58" s="0" t="s">
        <v>5598</v>
      </c>
      <c r="BX58" s="0" t="s">
        <v>5598</v>
      </c>
      <c r="BY58" s="0" t="s">
        <v>5598</v>
      </c>
      <c r="BZ58" s="0" t="s">
        <v>5598</v>
      </c>
      <c r="CA58" s="0" t="s">
        <v>5598</v>
      </c>
      <c r="CB58" s="0" t="s">
        <v>240</v>
      </c>
      <c r="CC58" s="0" t="s">
        <v>240</v>
      </c>
      <c r="CD58" s="0" t="s">
        <v>240</v>
      </c>
      <c r="CE58" s="0" t="s">
        <v>240</v>
      </c>
      <c r="CF58" s="0" t="s">
        <v>240</v>
      </c>
      <c r="CG58" s="0" t="s">
        <v>5598</v>
      </c>
      <c r="CH58" s="0" t="s">
        <v>240</v>
      </c>
      <c r="CI58" s="0" t="s">
        <v>240</v>
      </c>
      <c r="CJ58" s="0" t="s">
        <v>240</v>
      </c>
      <c r="CK58" s="0" t="s">
        <v>240</v>
      </c>
      <c r="CL58" s="0" t="s">
        <v>240</v>
      </c>
      <c r="CM58" s="0" t="s">
        <v>5851</v>
      </c>
      <c r="CN58" s="0" t="s">
        <v>5851</v>
      </c>
      <c r="CO58" s="0" t="s">
        <v>240</v>
      </c>
      <c r="CP58" s="0" t="s">
        <v>240</v>
      </c>
      <c r="CQ58" s="0" t="s">
        <v>240</v>
      </c>
      <c r="CR58" s="0" t="s">
        <v>240</v>
      </c>
      <c r="CS58" s="0" t="s">
        <v>5553</v>
      </c>
      <c r="CT58" s="0" t="s">
        <v>5496</v>
      </c>
      <c r="CU58" s="0" t="s">
        <v>5497</v>
      </c>
      <c r="CV58" s="0" t="s">
        <v>443</v>
      </c>
      <c r="CW58" s="0" t="s">
        <v>5580</v>
      </c>
      <c r="CX58" s="0" t="s">
        <v>229</v>
      </c>
      <c r="CY58" s="0" t="s">
        <v>443</v>
      </c>
      <c r="CZ58" s="0" t="s">
        <v>5581</v>
      </c>
      <c r="DA58" s="0" t="s">
        <v>5582</v>
      </c>
      <c r="DB58" s="0" t="s">
        <v>5580</v>
      </c>
      <c r="DC58" s="0" t="s">
        <v>384</v>
      </c>
      <c r="DD58" s="0" t="s">
        <v>291</v>
      </c>
      <c r="DE58" s="0" t="s">
        <v>5583</v>
      </c>
    </row>
    <row customHeight="1" ht="11.25">
      <c r="A59" s="1441" t="s">
        <v>240</v>
      </c>
      <c r="B59" s="0" t="s">
        <v>240</v>
      </c>
      <c r="C59" s="0" t="s">
        <v>240</v>
      </c>
      <c r="D59" s="0" t="s">
        <v>240</v>
      </c>
      <c r="E59" s="0" t="s">
        <v>240</v>
      </c>
      <c r="F59" s="0" t="s">
        <v>240</v>
      </c>
      <c r="G59" s="0" t="s">
        <v>240</v>
      </c>
      <c r="H59" s="0" t="s">
        <v>240</v>
      </c>
      <c r="I59" s="0" t="s">
        <v>5484</v>
      </c>
      <c r="J59" s="0" t="s">
        <v>240</v>
      </c>
      <c r="K59" s="0" t="s">
        <v>240</v>
      </c>
      <c r="L59" s="0" t="s">
        <v>240</v>
      </c>
      <c r="M59" s="0" t="s">
        <v>240</v>
      </c>
      <c r="N59" s="0" t="s">
        <v>240</v>
      </c>
      <c r="O59" s="0" t="s">
        <v>240</v>
      </c>
      <c r="P59" s="0" t="s">
        <v>240</v>
      </c>
      <c r="Q59" s="0" t="s">
        <v>240</v>
      </c>
      <c r="R59" s="0" t="s">
        <v>5572</v>
      </c>
      <c r="S59" s="0" t="s">
        <v>240</v>
      </c>
      <c r="T59" s="0" t="s">
        <v>240</v>
      </c>
      <c r="U59" s="0" t="s">
        <v>102</v>
      </c>
      <c r="V59" s="0" t="s">
        <v>240</v>
      </c>
      <c r="W59" s="0" t="s">
        <v>240</v>
      </c>
      <c r="X59" s="0" t="s">
        <v>5485</v>
      </c>
      <c r="Y59" s="0" t="s">
        <v>240</v>
      </c>
      <c r="Z59" s="0" t="s">
        <v>161</v>
      </c>
      <c r="AA59" s="0" t="s">
        <v>152</v>
      </c>
      <c r="AB59" s="0" t="s">
        <v>152</v>
      </c>
      <c r="AC59" s="0" t="s">
        <v>2989</v>
      </c>
      <c r="AD59" s="0" t="s">
        <v>2989</v>
      </c>
      <c r="AE59" s="0" t="s">
        <v>2990</v>
      </c>
      <c r="AF59" s="0" t="s">
        <v>5852</v>
      </c>
      <c r="AG59" s="0" t="s">
        <v>5853</v>
      </c>
      <c r="AH59" s="0" t="s">
        <v>5854</v>
      </c>
      <c r="AI59" s="0" t="s">
        <v>457</v>
      </c>
      <c r="AJ59" s="0" t="s">
        <v>5576</v>
      </c>
      <c r="AK59" s="0" t="s">
        <v>5814</v>
      </c>
      <c r="AL59" s="0" t="s">
        <v>5506</v>
      </c>
      <c r="AM59" s="0" t="s">
        <v>5493</v>
      </c>
      <c r="AN59" s="0" t="s">
        <v>5578</v>
      </c>
      <c r="AO59" s="0" t="s">
        <v>5855</v>
      </c>
      <c r="AP59" s="0" t="s">
        <v>240</v>
      </c>
      <c r="AQ59" s="0" t="s">
        <v>240</v>
      </c>
      <c r="AR59" s="0" t="s">
        <v>240</v>
      </c>
      <c r="AS59" s="0" t="s">
        <v>240</v>
      </c>
      <c r="AT59" s="0" t="s">
        <v>240</v>
      </c>
      <c r="AU59" s="0" t="s">
        <v>240</v>
      </c>
      <c r="AV59" s="0" t="s">
        <v>240</v>
      </c>
      <c r="AW59" s="0" t="s">
        <v>240</v>
      </c>
      <c r="AX59" s="0" t="s">
        <v>240</v>
      </c>
      <c r="AY59" s="0" t="s">
        <v>240</v>
      </c>
      <c r="AZ59" s="0" t="s">
        <v>240</v>
      </c>
      <c r="BA59" s="0" t="s">
        <v>240</v>
      </c>
      <c r="BB59" s="0" t="s">
        <v>240</v>
      </c>
      <c r="BC59" s="0" t="s">
        <v>240</v>
      </c>
      <c r="BD59" s="0" t="s">
        <v>240</v>
      </c>
      <c r="BE59" s="0" t="s">
        <v>240</v>
      </c>
      <c r="BF59" s="0" t="s">
        <v>240</v>
      </c>
      <c r="BG59" s="0" t="s">
        <v>240</v>
      </c>
      <c r="BH59" s="0" t="s">
        <v>240</v>
      </c>
      <c r="BI59" s="0" t="s">
        <v>240</v>
      </c>
      <c r="BJ59" s="0" t="s">
        <v>240</v>
      </c>
      <c r="BK59" s="0" t="s">
        <v>240</v>
      </c>
      <c r="BL59" s="0" t="s">
        <v>240</v>
      </c>
      <c r="BM59" s="0" t="s">
        <v>240</v>
      </c>
      <c r="BN59" s="0" t="s">
        <v>240</v>
      </c>
      <c r="BO59" s="0" t="s">
        <v>240</v>
      </c>
      <c r="BP59" s="0" t="s">
        <v>240</v>
      </c>
      <c r="BQ59" s="0" t="s">
        <v>240</v>
      </c>
      <c r="BR59" s="0" t="s">
        <v>240</v>
      </c>
      <c r="BS59" s="0" t="s">
        <v>240</v>
      </c>
      <c r="BT59" s="0" t="s">
        <v>240</v>
      </c>
      <c r="BU59" s="0" t="s">
        <v>240</v>
      </c>
      <c r="BV59" s="0" t="s">
        <v>240</v>
      </c>
      <c r="BW59" s="0" t="s">
        <v>240</v>
      </c>
      <c r="BX59" s="0" t="s">
        <v>240</v>
      </c>
      <c r="BY59" s="0" t="s">
        <v>240</v>
      </c>
      <c r="BZ59" s="0" t="s">
        <v>240</v>
      </c>
      <c r="CA59" s="0" t="s">
        <v>240</v>
      </c>
      <c r="CB59" s="0" t="s">
        <v>240</v>
      </c>
      <c r="CC59" s="0" t="s">
        <v>240</v>
      </c>
      <c r="CD59" s="0" t="s">
        <v>240</v>
      </c>
      <c r="CE59" s="0" t="s">
        <v>240</v>
      </c>
      <c r="CF59" s="0" t="s">
        <v>240</v>
      </c>
      <c r="CG59" s="0" t="s">
        <v>240</v>
      </c>
      <c r="CH59" s="0" t="s">
        <v>240</v>
      </c>
      <c r="CI59" s="0" t="s">
        <v>240</v>
      </c>
      <c r="CJ59" s="0" t="s">
        <v>240</v>
      </c>
      <c r="CK59" s="0" t="s">
        <v>240</v>
      </c>
      <c r="CL59" s="0" t="s">
        <v>240</v>
      </c>
      <c r="CM59" s="0" t="s">
        <v>240</v>
      </c>
      <c r="CN59" s="0" t="s">
        <v>240</v>
      </c>
      <c r="CO59" s="0" t="s">
        <v>240</v>
      </c>
      <c r="CP59" s="0" t="s">
        <v>240</v>
      </c>
      <c r="CQ59" s="0" t="s">
        <v>240</v>
      </c>
      <c r="CR59" s="0" t="s">
        <v>240</v>
      </c>
      <c r="CS59" s="0" t="s">
        <v>240</v>
      </c>
      <c r="CT59" s="0" t="s">
        <v>5496</v>
      </c>
      <c r="CU59" s="0" t="s">
        <v>5497</v>
      </c>
      <c r="CV59" s="0" t="s">
        <v>443</v>
      </c>
      <c r="CW59" s="0" t="s">
        <v>5580</v>
      </c>
      <c r="CX59" s="0" t="s">
        <v>229</v>
      </c>
      <c r="CY59" s="0" t="s">
        <v>443</v>
      </c>
      <c r="CZ59" s="0" t="s">
        <v>5581</v>
      </c>
      <c r="DA59" s="0" t="s">
        <v>5582</v>
      </c>
      <c r="DB59" s="0" t="s">
        <v>5580</v>
      </c>
      <c r="DC59" s="0" t="s">
        <v>384</v>
      </c>
      <c r="DD59" s="0" t="s">
        <v>291</v>
      </c>
      <c r="DE59" s="0" t="s">
        <v>5856</v>
      </c>
    </row>
    <row customHeight="1" ht="11.25">
      <c r="A60" s="1441" t="s">
        <v>240</v>
      </c>
      <c r="B60" s="0" t="s">
        <v>240</v>
      </c>
      <c r="C60" s="0" t="s">
        <v>240</v>
      </c>
      <c r="D60" s="0" t="s">
        <v>240</v>
      </c>
      <c r="E60" s="0" t="s">
        <v>240</v>
      </c>
      <c r="F60" s="0" t="s">
        <v>240</v>
      </c>
      <c r="G60" s="0" t="s">
        <v>240</v>
      </c>
      <c r="H60" s="0" t="s">
        <v>240</v>
      </c>
      <c r="I60" s="0" t="s">
        <v>5484</v>
      </c>
      <c r="J60" s="0" t="s">
        <v>240</v>
      </c>
      <c r="K60" s="0" t="s">
        <v>240</v>
      </c>
      <c r="L60" s="0" t="s">
        <v>240</v>
      </c>
      <c r="M60" s="0" t="s">
        <v>240</v>
      </c>
      <c r="N60" s="0" t="s">
        <v>240</v>
      </c>
      <c r="O60" s="0" t="s">
        <v>240</v>
      </c>
      <c r="P60" s="0" t="s">
        <v>240</v>
      </c>
      <c r="Q60" s="0" t="s">
        <v>240</v>
      </c>
      <c r="R60" s="0" t="s">
        <v>5857</v>
      </c>
      <c r="S60" s="0" t="s">
        <v>240</v>
      </c>
      <c r="T60" s="0" t="s">
        <v>240</v>
      </c>
      <c r="U60" s="0" t="s">
        <v>102</v>
      </c>
      <c r="V60" s="0" t="s">
        <v>240</v>
      </c>
      <c r="W60" s="0" t="s">
        <v>240</v>
      </c>
      <c r="X60" s="0" t="s">
        <v>5485</v>
      </c>
      <c r="Y60" s="0" t="s">
        <v>240</v>
      </c>
      <c r="Z60" s="0" t="s">
        <v>161</v>
      </c>
      <c r="AA60" s="0" t="s">
        <v>152</v>
      </c>
      <c r="AB60" s="0" t="s">
        <v>152</v>
      </c>
      <c r="AC60" s="0" t="s">
        <v>3389</v>
      </c>
      <c r="AD60" s="0" t="s">
        <v>3389</v>
      </c>
      <c r="AE60" s="0" t="s">
        <v>3390</v>
      </c>
      <c r="AF60" s="0" t="s">
        <v>5519</v>
      </c>
      <c r="AG60" s="0" t="s">
        <v>5520</v>
      </c>
      <c r="AH60" s="0" t="s">
        <v>5858</v>
      </c>
      <c r="AI60" s="0" t="s">
        <v>5859</v>
      </c>
      <c r="AJ60" s="0" t="s">
        <v>5860</v>
      </c>
      <c r="AK60" s="0" t="s">
        <v>5861</v>
      </c>
      <c r="AL60" s="0" t="s">
        <v>5605</v>
      </c>
      <c r="AM60" s="0" t="s">
        <v>5493</v>
      </c>
      <c r="AN60" s="0" t="s">
        <v>5578</v>
      </c>
      <c r="AO60" s="0" t="s">
        <v>5862</v>
      </c>
      <c r="AP60" s="0" t="s">
        <v>240</v>
      </c>
      <c r="AQ60" s="0" t="s">
        <v>240</v>
      </c>
      <c r="AR60" s="0" t="s">
        <v>240</v>
      </c>
      <c r="AS60" s="0" t="s">
        <v>240</v>
      </c>
      <c r="AT60" s="0" t="s">
        <v>240</v>
      </c>
      <c r="AU60" s="0" t="s">
        <v>240</v>
      </c>
      <c r="AV60" s="0" t="s">
        <v>240</v>
      </c>
      <c r="AW60" s="0" t="s">
        <v>240</v>
      </c>
      <c r="AX60" s="0" t="s">
        <v>240</v>
      </c>
      <c r="AY60" s="0" t="s">
        <v>240</v>
      </c>
      <c r="AZ60" s="0" t="s">
        <v>240</v>
      </c>
      <c r="BA60" s="0" t="s">
        <v>240</v>
      </c>
      <c r="BB60" s="0" t="s">
        <v>240</v>
      </c>
      <c r="BC60" s="0" t="s">
        <v>240</v>
      </c>
      <c r="BD60" s="0" t="s">
        <v>240</v>
      </c>
      <c r="BE60" s="0" t="s">
        <v>240</v>
      </c>
      <c r="BF60" s="0" t="s">
        <v>240</v>
      </c>
      <c r="BG60" s="0" t="s">
        <v>240</v>
      </c>
      <c r="BH60" s="0" t="s">
        <v>240</v>
      </c>
      <c r="BI60" s="0" t="s">
        <v>240</v>
      </c>
      <c r="BJ60" s="0" t="s">
        <v>240</v>
      </c>
      <c r="BK60" s="0" t="s">
        <v>240</v>
      </c>
      <c r="BL60" s="0" t="s">
        <v>240</v>
      </c>
      <c r="BM60" s="0" t="s">
        <v>240</v>
      </c>
      <c r="BN60" s="0" t="s">
        <v>240</v>
      </c>
      <c r="BO60" s="0" t="s">
        <v>240</v>
      </c>
      <c r="BP60" s="0" t="s">
        <v>240</v>
      </c>
      <c r="BQ60" s="0" t="s">
        <v>240</v>
      </c>
      <c r="BR60" s="0" t="s">
        <v>240</v>
      </c>
      <c r="BS60" s="0" t="s">
        <v>240</v>
      </c>
      <c r="BT60" s="0" t="s">
        <v>240</v>
      </c>
      <c r="BU60" s="0" t="s">
        <v>240</v>
      </c>
      <c r="BV60" s="0" t="s">
        <v>240</v>
      </c>
      <c r="BW60" s="0" t="s">
        <v>240</v>
      </c>
      <c r="BX60" s="0" t="s">
        <v>240</v>
      </c>
      <c r="BY60" s="0" t="s">
        <v>240</v>
      </c>
      <c r="BZ60" s="0" t="s">
        <v>240</v>
      </c>
      <c r="CA60" s="0" t="s">
        <v>240</v>
      </c>
      <c r="CB60" s="0" t="s">
        <v>240</v>
      </c>
      <c r="CC60" s="0" t="s">
        <v>240</v>
      </c>
      <c r="CD60" s="0" t="s">
        <v>240</v>
      </c>
      <c r="CE60" s="0" t="s">
        <v>240</v>
      </c>
      <c r="CF60" s="0" t="s">
        <v>240</v>
      </c>
      <c r="CG60" s="0" t="s">
        <v>240</v>
      </c>
      <c r="CH60" s="0" t="s">
        <v>240</v>
      </c>
      <c r="CI60" s="0" t="s">
        <v>240</v>
      </c>
      <c r="CJ60" s="0" t="s">
        <v>240</v>
      </c>
      <c r="CK60" s="0" t="s">
        <v>240</v>
      </c>
      <c r="CL60" s="0" t="s">
        <v>240</v>
      </c>
      <c r="CM60" s="0" t="s">
        <v>240</v>
      </c>
      <c r="CN60" s="0" t="s">
        <v>240</v>
      </c>
      <c r="CO60" s="0" t="s">
        <v>240</v>
      </c>
      <c r="CP60" s="0" t="s">
        <v>240</v>
      </c>
      <c r="CQ60" s="0" t="s">
        <v>240</v>
      </c>
      <c r="CR60" s="0" t="s">
        <v>240</v>
      </c>
      <c r="CS60" s="0" t="s">
        <v>240</v>
      </c>
      <c r="CT60" s="0" t="s">
        <v>5496</v>
      </c>
      <c r="CU60" s="0" t="s">
        <v>5497</v>
      </c>
      <c r="CV60" s="0" t="s">
        <v>443</v>
      </c>
      <c r="CW60" s="0" t="s">
        <v>5527</v>
      </c>
      <c r="CX60" s="0" t="s">
        <v>5528</v>
      </c>
      <c r="CY60" s="0" t="s">
        <v>443</v>
      </c>
      <c r="CZ60" s="0" t="s">
        <v>299</v>
      </c>
      <c r="DA60" s="0" t="s">
        <v>5529</v>
      </c>
      <c r="DB60" s="0" t="s">
        <v>5527</v>
      </c>
      <c r="DC60" s="0" t="s">
        <v>384</v>
      </c>
      <c r="DD60" s="0" t="s">
        <v>291</v>
      </c>
      <c r="DE60" s="0" t="s">
        <v>5863</v>
      </c>
    </row>
    <row customHeight="1" ht="11.25">
      <c r="A61" s="1441" t="s">
        <v>240</v>
      </c>
      <c r="B61" s="0" t="s">
        <v>240</v>
      </c>
      <c r="C61" s="0" t="s">
        <v>240</v>
      </c>
      <c r="D61" s="0" t="s">
        <v>240</v>
      </c>
      <c r="E61" s="0" t="s">
        <v>240</v>
      </c>
      <c r="F61" s="0" t="s">
        <v>240</v>
      </c>
      <c r="G61" s="0" t="s">
        <v>240</v>
      </c>
      <c r="H61" s="0" t="s">
        <v>240</v>
      </c>
      <c r="I61" s="0" t="s">
        <v>5484</v>
      </c>
      <c r="J61" s="0" t="s">
        <v>240</v>
      </c>
      <c r="K61" s="0" t="s">
        <v>240</v>
      </c>
      <c r="L61" s="0" t="s">
        <v>240</v>
      </c>
      <c r="M61" s="0" t="s">
        <v>240</v>
      </c>
      <c r="N61" s="0" t="s">
        <v>240</v>
      </c>
      <c r="O61" s="0" t="s">
        <v>240</v>
      </c>
      <c r="P61" s="0" t="s">
        <v>240</v>
      </c>
      <c r="Q61" s="0" t="s">
        <v>240</v>
      </c>
      <c r="R61" s="0" t="s">
        <v>5572</v>
      </c>
      <c r="S61" s="0" t="s">
        <v>240</v>
      </c>
      <c r="T61" s="0" t="s">
        <v>240</v>
      </c>
      <c r="U61" s="0" t="s">
        <v>102</v>
      </c>
      <c r="V61" s="0" t="s">
        <v>240</v>
      </c>
      <c r="W61" s="0" t="s">
        <v>240</v>
      </c>
      <c r="X61" s="0" t="s">
        <v>5485</v>
      </c>
      <c r="Y61" s="0" t="s">
        <v>240</v>
      </c>
      <c r="Z61" s="0" t="s">
        <v>161</v>
      </c>
      <c r="AA61" s="0" t="s">
        <v>152</v>
      </c>
      <c r="AB61" s="0" t="s">
        <v>152</v>
      </c>
      <c r="AC61" s="0" t="s">
        <v>2991</v>
      </c>
      <c r="AD61" s="0" t="s">
        <v>2991</v>
      </c>
      <c r="AE61" s="0" t="s">
        <v>2992</v>
      </c>
      <c r="AF61" s="0" t="s">
        <v>5864</v>
      </c>
      <c r="AG61" s="0" t="s">
        <v>5865</v>
      </c>
      <c r="AH61" s="0" t="s">
        <v>5866</v>
      </c>
      <c r="AI61" s="0" t="s">
        <v>475</v>
      </c>
      <c r="AJ61" s="0" t="s">
        <v>5576</v>
      </c>
      <c r="AK61" s="0" t="s">
        <v>5544</v>
      </c>
      <c r="AL61" s="0" t="s">
        <v>5506</v>
      </c>
      <c r="AM61" s="0" t="s">
        <v>5493</v>
      </c>
      <c r="AN61" s="0" t="s">
        <v>5553</v>
      </c>
      <c r="AO61" s="0" t="s">
        <v>5867</v>
      </c>
      <c r="AP61" s="0" t="s">
        <v>240</v>
      </c>
      <c r="AQ61" s="0" t="s">
        <v>240</v>
      </c>
      <c r="AR61" s="0" t="s">
        <v>240</v>
      </c>
      <c r="AS61" s="0" t="s">
        <v>240</v>
      </c>
      <c r="AT61" s="0" t="s">
        <v>240</v>
      </c>
      <c r="AU61" s="0" t="s">
        <v>240</v>
      </c>
      <c r="AV61" s="0" t="s">
        <v>240</v>
      </c>
      <c r="AW61" s="0" t="s">
        <v>240</v>
      </c>
      <c r="AX61" s="0" t="s">
        <v>240</v>
      </c>
      <c r="AY61" s="0" t="s">
        <v>240</v>
      </c>
      <c r="AZ61" s="0" t="s">
        <v>240</v>
      </c>
      <c r="BA61" s="0" t="s">
        <v>240</v>
      </c>
      <c r="BB61" s="0" t="s">
        <v>240</v>
      </c>
      <c r="BC61" s="0" t="s">
        <v>240</v>
      </c>
      <c r="BD61" s="0" t="s">
        <v>240</v>
      </c>
      <c r="BE61" s="0" t="s">
        <v>240</v>
      </c>
      <c r="BF61" s="0" t="s">
        <v>240</v>
      </c>
      <c r="BG61" s="0" t="s">
        <v>240</v>
      </c>
      <c r="BH61" s="0" t="s">
        <v>240</v>
      </c>
      <c r="BI61" s="0" t="s">
        <v>240</v>
      </c>
      <c r="BJ61" s="0" t="s">
        <v>240</v>
      </c>
      <c r="BK61" s="0" t="s">
        <v>240</v>
      </c>
      <c r="BL61" s="0" t="s">
        <v>240</v>
      </c>
      <c r="BM61" s="0" t="s">
        <v>240</v>
      </c>
      <c r="BN61" s="0" t="s">
        <v>240</v>
      </c>
      <c r="BO61" s="0" t="s">
        <v>240</v>
      </c>
      <c r="BP61" s="0" t="s">
        <v>240</v>
      </c>
      <c r="BQ61" s="0" t="s">
        <v>240</v>
      </c>
      <c r="BR61" s="0" t="s">
        <v>240</v>
      </c>
      <c r="BS61" s="0" t="s">
        <v>240</v>
      </c>
      <c r="BT61" s="0" t="s">
        <v>240</v>
      </c>
      <c r="BU61" s="0" t="s">
        <v>240</v>
      </c>
      <c r="BV61" s="0" t="s">
        <v>240</v>
      </c>
      <c r="BW61" s="0" t="s">
        <v>240</v>
      </c>
      <c r="BX61" s="0" t="s">
        <v>240</v>
      </c>
      <c r="BY61" s="0" t="s">
        <v>240</v>
      </c>
      <c r="BZ61" s="0" t="s">
        <v>240</v>
      </c>
      <c r="CA61" s="0" t="s">
        <v>240</v>
      </c>
      <c r="CB61" s="0" t="s">
        <v>240</v>
      </c>
      <c r="CC61" s="0" t="s">
        <v>240</v>
      </c>
      <c r="CD61" s="0" t="s">
        <v>240</v>
      </c>
      <c r="CE61" s="0" t="s">
        <v>240</v>
      </c>
      <c r="CF61" s="0" t="s">
        <v>240</v>
      </c>
      <c r="CG61" s="0" t="s">
        <v>240</v>
      </c>
      <c r="CH61" s="0" t="s">
        <v>240</v>
      </c>
      <c r="CI61" s="0" t="s">
        <v>240</v>
      </c>
      <c r="CJ61" s="0" t="s">
        <v>240</v>
      </c>
      <c r="CK61" s="0" t="s">
        <v>240</v>
      </c>
      <c r="CL61" s="0" t="s">
        <v>240</v>
      </c>
      <c r="CM61" s="0" t="s">
        <v>240</v>
      </c>
      <c r="CN61" s="0" t="s">
        <v>240</v>
      </c>
      <c r="CO61" s="0" t="s">
        <v>240</v>
      </c>
      <c r="CP61" s="0" t="s">
        <v>240</v>
      </c>
      <c r="CQ61" s="0" t="s">
        <v>240</v>
      </c>
      <c r="CR61" s="0" t="s">
        <v>240</v>
      </c>
      <c r="CS61" s="0" t="s">
        <v>240</v>
      </c>
      <c r="CT61" s="0" t="s">
        <v>5496</v>
      </c>
      <c r="CU61" s="0" t="s">
        <v>5497</v>
      </c>
      <c r="CV61" s="0" t="s">
        <v>443</v>
      </c>
      <c r="CW61" s="0" t="s">
        <v>5547</v>
      </c>
      <c r="CX61" s="0" t="s">
        <v>229</v>
      </c>
      <c r="CY61" s="0" t="s">
        <v>443</v>
      </c>
      <c r="CZ61" s="0" t="s">
        <v>5548</v>
      </c>
      <c r="DA61" s="0" t="s">
        <v>5549</v>
      </c>
      <c r="DB61" s="0" t="s">
        <v>5547</v>
      </c>
      <c r="DC61" s="0" t="s">
        <v>384</v>
      </c>
      <c r="DD61" s="0" t="s">
        <v>291</v>
      </c>
      <c r="DE61" s="0" t="s">
        <v>5868</v>
      </c>
    </row>
    <row customHeight="1" ht="11.25">
      <c r="A62" s="1441" t="s">
        <v>240</v>
      </c>
      <c r="B62" s="0" t="s">
        <v>240</v>
      </c>
      <c r="C62" s="0" t="s">
        <v>240</v>
      </c>
      <c r="D62" s="0" t="s">
        <v>240</v>
      </c>
      <c r="E62" s="0" t="s">
        <v>240</v>
      </c>
      <c r="F62" s="0" t="s">
        <v>240</v>
      </c>
      <c r="G62" s="0" t="s">
        <v>240</v>
      </c>
      <c r="H62" s="0" t="s">
        <v>240</v>
      </c>
      <c r="I62" s="0" t="s">
        <v>5484</v>
      </c>
      <c r="J62" s="0" t="s">
        <v>240</v>
      </c>
      <c r="K62" s="0" t="s">
        <v>240</v>
      </c>
      <c r="L62" s="0" t="s">
        <v>240</v>
      </c>
      <c r="M62" s="0" t="s">
        <v>240</v>
      </c>
      <c r="N62" s="0" t="s">
        <v>240</v>
      </c>
      <c r="O62" s="0" t="s">
        <v>240</v>
      </c>
      <c r="P62" s="0" t="s">
        <v>240</v>
      </c>
      <c r="Q62" s="0" t="s">
        <v>240</v>
      </c>
      <c r="R62" s="0" t="s">
        <v>5869</v>
      </c>
      <c r="S62" s="0" t="s">
        <v>240</v>
      </c>
      <c r="T62" s="0" t="s">
        <v>240</v>
      </c>
      <c r="U62" s="0" t="s">
        <v>102</v>
      </c>
      <c r="V62" s="0" t="s">
        <v>240</v>
      </c>
      <c r="W62" s="0" t="s">
        <v>240</v>
      </c>
      <c r="X62" s="0" t="s">
        <v>5485</v>
      </c>
      <c r="Y62" s="0" t="s">
        <v>240</v>
      </c>
      <c r="Z62" s="0" t="s">
        <v>161</v>
      </c>
      <c r="AA62" s="0" t="s">
        <v>152</v>
      </c>
      <c r="AB62" s="0" t="s">
        <v>152</v>
      </c>
      <c r="AC62" s="0" t="s">
        <v>3389</v>
      </c>
      <c r="AD62" s="0" t="s">
        <v>3389</v>
      </c>
      <c r="AE62" s="0" t="s">
        <v>3390</v>
      </c>
      <c r="AF62" s="0" t="s">
        <v>5519</v>
      </c>
      <c r="AG62" s="0" t="s">
        <v>5520</v>
      </c>
      <c r="AH62" s="0" t="s">
        <v>5870</v>
      </c>
      <c r="AI62" s="0" t="s">
        <v>5871</v>
      </c>
      <c r="AJ62" s="0" t="s">
        <v>5872</v>
      </c>
      <c r="AK62" s="0" t="s">
        <v>5873</v>
      </c>
      <c r="AL62" s="0" t="s">
        <v>5524</v>
      </c>
      <c r="AM62" s="0" t="s">
        <v>5493</v>
      </c>
      <c r="AN62" s="0" t="s">
        <v>5874</v>
      </c>
      <c r="AO62" s="0" t="s">
        <v>5875</v>
      </c>
      <c r="AP62" s="0" t="s">
        <v>240</v>
      </c>
      <c r="AQ62" s="0" t="s">
        <v>240</v>
      </c>
      <c r="AR62" s="0" t="s">
        <v>240</v>
      </c>
      <c r="AS62" s="0" t="s">
        <v>240</v>
      </c>
      <c r="AT62" s="0" t="s">
        <v>240</v>
      </c>
      <c r="AU62" s="0" t="s">
        <v>240</v>
      </c>
      <c r="AV62" s="0" t="s">
        <v>240</v>
      </c>
      <c r="AW62" s="0" t="s">
        <v>240</v>
      </c>
      <c r="AX62" s="0" t="s">
        <v>240</v>
      </c>
      <c r="AY62" s="0" t="s">
        <v>240</v>
      </c>
      <c r="AZ62" s="0" t="s">
        <v>240</v>
      </c>
      <c r="BA62" s="0" t="s">
        <v>240</v>
      </c>
      <c r="BB62" s="0" t="s">
        <v>240</v>
      </c>
      <c r="BC62" s="0" t="s">
        <v>240</v>
      </c>
      <c r="BD62" s="0" t="s">
        <v>240</v>
      </c>
      <c r="BE62" s="0" t="s">
        <v>240</v>
      </c>
      <c r="BF62" s="0" t="s">
        <v>240</v>
      </c>
      <c r="BG62" s="0" t="s">
        <v>240</v>
      </c>
      <c r="BH62" s="0" t="s">
        <v>240</v>
      </c>
      <c r="BI62" s="0" t="s">
        <v>240</v>
      </c>
      <c r="BJ62" s="0" t="s">
        <v>240</v>
      </c>
      <c r="BK62" s="0" t="s">
        <v>240</v>
      </c>
      <c r="BL62" s="0" t="s">
        <v>240</v>
      </c>
      <c r="BM62" s="0" t="s">
        <v>240</v>
      </c>
      <c r="BN62" s="0" t="s">
        <v>240</v>
      </c>
      <c r="BO62" s="0" t="s">
        <v>240</v>
      </c>
      <c r="BP62" s="0" t="s">
        <v>240</v>
      </c>
      <c r="BQ62" s="0" t="s">
        <v>240</v>
      </c>
      <c r="BR62" s="0" t="s">
        <v>240</v>
      </c>
      <c r="BS62" s="0" t="s">
        <v>240</v>
      </c>
      <c r="BT62" s="0" t="s">
        <v>240</v>
      </c>
      <c r="BU62" s="0" t="s">
        <v>240</v>
      </c>
      <c r="BV62" s="0" t="s">
        <v>240</v>
      </c>
      <c r="BW62" s="0" t="s">
        <v>240</v>
      </c>
      <c r="BX62" s="0" t="s">
        <v>240</v>
      </c>
      <c r="BY62" s="0" t="s">
        <v>240</v>
      </c>
      <c r="BZ62" s="0" t="s">
        <v>240</v>
      </c>
      <c r="CA62" s="0" t="s">
        <v>240</v>
      </c>
      <c r="CB62" s="0" t="s">
        <v>240</v>
      </c>
      <c r="CC62" s="0" t="s">
        <v>240</v>
      </c>
      <c r="CD62" s="0" t="s">
        <v>240</v>
      </c>
      <c r="CE62" s="0" t="s">
        <v>240</v>
      </c>
      <c r="CF62" s="0" t="s">
        <v>240</v>
      </c>
      <c r="CG62" s="0" t="s">
        <v>240</v>
      </c>
      <c r="CH62" s="0" t="s">
        <v>240</v>
      </c>
      <c r="CI62" s="0" t="s">
        <v>240</v>
      </c>
      <c r="CJ62" s="0" t="s">
        <v>240</v>
      </c>
      <c r="CK62" s="0" t="s">
        <v>240</v>
      </c>
      <c r="CL62" s="0" t="s">
        <v>240</v>
      </c>
      <c r="CM62" s="0" t="s">
        <v>240</v>
      </c>
      <c r="CN62" s="0" t="s">
        <v>240</v>
      </c>
      <c r="CO62" s="0" t="s">
        <v>240</v>
      </c>
      <c r="CP62" s="0" t="s">
        <v>240</v>
      </c>
      <c r="CQ62" s="0" t="s">
        <v>240</v>
      </c>
      <c r="CR62" s="0" t="s">
        <v>240</v>
      </c>
      <c r="CS62" s="0" t="s">
        <v>240</v>
      </c>
      <c r="CT62" s="0" t="s">
        <v>5496</v>
      </c>
      <c r="CU62" s="0" t="s">
        <v>5497</v>
      </c>
      <c r="CV62" s="0" t="s">
        <v>443</v>
      </c>
      <c r="CW62" s="0" t="s">
        <v>5527</v>
      </c>
      <c r="CX62" s="0" t="s">
        <v>5528</v>
      </c>
      <c r="CY62" s="0" t="s">
        <v>443</v>
      </c>
      <c r="CZ62" s="0" t="s">
        <v>299</v>
      </c>
      <c r="DA62" s="0" t="s">
        <v>5529</v>
      </c>
      <c r="DB62" s="0" t="s">
        <v>5527</v>
      </c>
      <c r="DC62" s="0" t="s">
        <v>384</v>
      </c>
      <c r="DD62" s="0" t="s">
        <v>291</v>
      </c>
      <c r="DE62" s="0" t="s">
        <v>5876</v>
      </c>
    </row>
    <row customHeight="1" ht="11.25">
      <c r="A63" s="1441" t="s">
        <v>240</v>
      </c>
      <c r="B63" s="0" t="s">
        <v>240</v>
      </c>
      <c r="C63" s="0" t="s">
        <v>240</v>
      </c>
      <c r="D63" s="0" t="s">
        <v>240</v>
      </c>
      <c r="E63" s="0" t="s">
        <v>240</v>
      </c>
      <c r="F63" s="0" t="s">
        <v>240</v>
      </c>
      <c r="G63" s="0" t="s">
        <v>240</v>
      </c>
      <c r="H63" s="0" t="s">
        <v>240</v>
      </c>
      <c r="I63" s="0" t="s">
        <v>5484</v>
      </c>
      <c r="J63" s="0" t="s">
        <v>240</v>
      </c>
      <c r="K63" s="0" t="s">
        <v>240</v>
      </c>
      <c r="L63" s="0" t="s">
        <v>240</v>
      </c>
      <c r="M63" s="0" t="s">
        <v>240</v>
      </c>
      <c r="N63" s="0" t="s">
        <v>240</v>
      </c>
      <c r="O63" s="0" t="s">
        <v>240</v>
      </c>
      <c r="P63" s="0" t="s">
        <v>240</v>
      </c>
      <c r="Q63" s="0" t="s">
        <v>240</v>
      </c>
      <c r="R63" s="0" t="s">
        <v>5572</v>
      </c>
      <c r="S63" s="0" t="s">
        <v>240</v>
      </c>
      <c r="T63" s="0" t="s">
        <v>240</v>
      </c>
      <c r="U63" s="0" t="s">
        <v>102</v>
      </c>
      <c r="V63" s="0" t="s">
        <v>240</v>
      </c>
      <c r="W63" s="0" t="s">
        <v>240</v>
      </c>
      <c r="X63" s="0" t="s">
        <v>5485</v>
      </c>
      <c r="Y63" s="0" t="s">
        <v>240</v>
      </c>
      <c r="Z63" s="0" t="s">
        <v>161</v>
      </c>
      <c r="AA63" s="0" t="s">
        <v>152</v>
      </c>
      <c r="AB63" s="0" t="s">
        <v>152</v>
      </c>
      <c r="AC63" s="0" t="s">
        <v>2991</v>
      </c>
      <c r="AD63" s="0" t="s">
        <v>2991</v>
      </c>
      <c r="AE63" s="0" t="s">
        <v>2992</v>
      </c>
      <c r="AF63" s="0" t="s">
        <v>5864</v>
      </c>
      <c r="AG63" s="0" t="s">
        <v>5865</v>
      </c>
      <c r="AH63" s="0" t="s">
        <v>5575</v>
      </c>
      <c r="AI63" s="0" t="s">
        <v>5575</v>
      </c>
      <c r="AJ63" s="0" t="s">
        <v>5576</v>
      </c>
      <c r="AK63" s="0" t="s">
        <v>5544</v>
      </c>
      <c r="AL63" s="0" t="s">
        <v>5506</v>
      </c>
      <c r="AM63" s="0" t="s">
        <v>5493</v>
      </c>
      <c r="AN63" s="0" t="s">
        <v>5553</v>
      </c>
      <c r="AO63" s="0" t="s">
        <v>5877</v>
      </c>
      <c r="AP63" s="0" t="s">
        <v>240</v>
      </c>
      <c r="AQ63" s="0" t="s">
        <v>240</v>
      </c>
      <c r="AR63" s="0" t="s">
        <v>240</v>
      </c>
      <c r="AS63" s="0" t="s">
        <v>240</v>
      </c>
      <c r="AT63" s="0" t="s">
        <v>240</v>
      </c>
      <c r="AU63" s="0" t="s">
        <v>240</v>
      </c>
      <c r="AV63" s="0" t="s">
        <v>240</v>
      </c>
      <c r="AW63" s="0" t="s">
        <v>240</v>
      </c>
      <c r="AX63" s="0" t="s">
        <v>240</v>
      </c>
      <c r="AY63" s="0" t="s">
        <v>240</v>
      </c>
      <c r="AZ63" s="0" t="s">
        <v>240</v>
      </c>
      <c r="BA63" s="0" t="s">
        <v>240</v>
      </c>
      <c r="BB63" s="0" t="s">
        <v>240</v>
      </c>
      <c r="BC63" s="0" t="s">
        <v>240</v>
      </c>
      <c r="BD63" s="0" t="s">
        <v>240</v>
      </c>
      <c r="BE63" s="0" t="s">
        <v>240</v>
      </c>
      <c r="BF63" s="0" t="s">
        <v>240</v>
      </c>
      <c r="BG63" s="0" t="s">
        <v>240</v>
      </c>
      <c r="BH63" s="0" t="s">
        <v>240</v>
      </c>
      <c r="BI63" s="0" t="s">
        <v>240</v>
      </c>
      <c r="BJ63" s="0" t="s">
        <v>240</v>
      </c>
      <c r="BK63" s="0" t="s">
        <v>240</v>
      </c>
      <c r="BL63" s="0" t="s">
        <v>240</v>
      </c>
      <c r="BM63" s="0" t="s">
        <v>240</v>
      </c>
      <c r="BN63" s="0" t="s">
        <v>240</v>
      </c>
      <c r="BO63" s="0" t="s">
        <v>240</v>
      </c>
      <c r="BP63" s="0" t="s">
        <v>240</v>
      </c>
      <c r="BQ63" s="0" t="s">
        <v>240</v>
      </c>
      <c r="BR63" s="0" t="s">
        <v>240</v>
      </c>
      <c r="BS63" s="0" t="s">
        <v>240</v>
      </c>
      <c r="BT63" s="0" t="s">
        <v>240</v>
      </c>
      <c r="BU63" s="0" t="s">
        <v>240</v>
      </c>
      <c r="BV63" s="0" t="s">
        <v>240</v>
      </c>
      <c r="BW63" s="0" t="s">
        <v>240</v>
      </c>
      <c r="BX63" s="0" t="s">
        <v>240</v>
      </c>
      <c r="BY63" s="0" t="s">
        <v>240</v>
      </c>
      <c r="BZ63" s="0" t="s">
        <v>240</v>
      </c>
      <c r="CA63" s="0" t="s">
        <v>240</v>
      </c>
      <c r="CB63" s="0" t="s">
        <v>240</v>
      </c>
      <c r="CC63" s="0" t="s">
        <v>240</v>
      </c>
      <c r="CD63" s="0" t="s">
        <v>240</v>
      </c>
      <c r="CE63" s="0" t="s">
        <v>240</v>
      </c>
      <c r="CF63" s="0" t="s">
        <v>240</v>
      </c>
      <c r="CG63" s="0" t="s">
        <v>240</v>
      </c>
      <c r="CH63" s="0" t="s">
        <v>240</v>
      </c>
      <c r="CI63" s="0" t="s">
        <v>240</v>
      </c>
      <c r="CJ63" s="0" t="s">
        <v>240</v>
      </c>
      <c r="CK63" s="0" t="s">
        <v>240</v>
      </c>
      <c r="CL63" s="0" t="s">
        <v>240</v>
      </c>
      <c r="CM63" s="0" t="s">
        <v>240</v>
      </c>
      <c r="CN63" s="0" t="s">
        <v>240</v>
      </c>
      <c r="CO63" s="0" t="s">
        <v>240</v>
      </c>
      <c r="CP63" s="0" t="s">
        <v>240</v>
      </c>
      <c r="CQ63" s="0" t="s">
        <v>240</v>
      </c>
      <c r="CR63" s="0" t="s">
        <v>240</v>
      </c>
      <c r="CS63" s="0" t="s">
        <v>240</v>
      </c>
      <c r="CT63" s="0" t="s">
        <v>5496</v>
      </c>
      <c r="CU63" s="0" t="s">
        <v>5497</v>
      </c>
      <c r="CV63" s="0" t="s">
        <v>443</v>
      </c>
      <c r="CW63" s="0" t="s">
        <v>5547</v>
      </c>
      <c r="CX63" s="0" t="s">
        <v>229</v>
      </c>
      <c r="CY63" s="0" t="s">
        <v>443</v>
      </c>
      <c r="CZ63" s="0" t="s">
        <v>5548</v>
      </c>
      <c r="DA63" s="0" t="s">
        <v>5549</v>
      </c>
      <c r="DB63" s="0" t="s">
        <v>5547</v>
      </c>
      <c r="DC63" s="0" t="s">
        <v>384</v>
      </c>
      <c r="DD63" s="0" t="s">
        <v>291</v>
      </c>
      <c r="DE63" s="0" t="s">
        <v>5878</v>
      </c>
    </row>
    <row customHeight="1" ht="11.25">
      <c r="A64" s="1441" t="s">
        <v>240</v>
      </c>
      <c r="B64" s="0" t="s">
        <v>240</v>
      </c>
      <c r="C64" s="0" t="s">
        <v>240</v>
      </c>
      <c r="D64" s="0" t="s">
        <v>240</v>
      </c>
      <c r="E64" s="0" t="s">
        <v>240</v>
      </c>
      <c r="F64" s="0" t="s">
        <v>240</v>
      </c>
      <c r="G64" s="0" t="s">
        <v>240</v>
      </c>
      <c r="H64" s="0" t="s">
        <v>240</v>
      </c>
      <c r="I64" s="0" t="s">
        <v>5484</v>
      </c>
      <c r="J64" s="0" t="s">
        <v>240</v>
      </c>
      <c r="K64" s="0" t="s">
        <v>240</v>
      </c>
      <c r="L64" s="0" t="s">
        <v>240</v>
      </c>
      <c r="M64" s="0" t="s">
        <v>240</v>
      </c>
      <c r="N64" s="0" t="s">
        <v>240</v>
      </c>
      <c r="O64" s="0" t="s">
        <v>240</v>
      </c>
      <c r="P64" s="0" t="s">
        <v>240</v>
      </c>
      <c r="Q64" s="0" t="s">
        <v>240</v>
      </c>
      <c r="R64" s="0" t="s">
        <v>5572</v>
      </c>
      <c r="S64" s="0" t="s">
        <v>240</v>
      </c>
      <c r="T64" s="0" t="s">
        <v>240</v>
      </c>
      <c r="U64" s="0" t="s">
        <v>102</v>
      </c>
      <c r="V64" s="0" t="s">
        <v>240</v>
      </c>
      <c r="W64" s="0" t="s">
        <v>240</v>
      </c>
      <c r="X64" s="0" t="s">
        <v>5485</v>
      </c>
      <c r="Y64" s="0" t="s">
        <v>240</v>
      </c>
      <c r="Z64" s="0" t="s">
        <v>161</v>
      </c>
      <c r="AA64" s="0" t="s">
        <v>152</v>
      </c>
      <c r="AB64" s="0" t="s">
        <v>152</v>
      </c>
      <c r="AC64" s="0" t="s">
        <v>2991</v>
      </c>
      <c r="AD64" s="0" t="s">
        <v>2991</v>
      </c>
      <c r="AE64" s="0" t="s">
        <v>2992</v>
      </c>
      <c r="AF64" s="0" t="s">
        <v>5864</v>
      </c>
      <c r="AG64" s="0" t="s">
        <v>5865</v>
      </c>
      <c r="AH64" s="0" t="s">
        <v>5879</v>
      </c>
      <c r="AI64" s="0" t="s">
        <v>5575</v>
      </c>
      <c r="AJ64" s="0" t="s">
        <v>5504</v>
      </c>
      <c r="AK64" s="0" t="s">
        <v>5776</v>
      </c>
      <c r="AL64" s="0" t="s">
        <v>5506</v>
      </c>
      <c r="AM64" s="0" t="s">
        <v>5493</v>
      </c>
      <c r="AN64" s="0" t="s">
        <v>5553</v>
      </c>
      <c r="AO64" s="0" t="s">
        <v>5613</v>
      </c>
      <c r="AP64" s="0" t="s">
        <v>240</v>
      </c>
      <c r="AQ64" s="0" t="s">
        <v>240</v>
      </c>
      <c r="AR64" s="0" t="s">
        <v>240</v>
      </c>
      <c r="AS64" s="0" t="s">
        <v>240</v>
      </c>
      <c r="AT64" s="0" t="s">
        <v>240</v>
      </c>
      <c r="AU64" s="0" t="s">
        <v>240</v>
      </c>
      <c r="AV64" s="0" t="s">
        <v>240</v>
      </c>
      <c r="AW64" s="0" t="s">
        <v>240</v>
      </c>
      <c r="AX64" s="0" t="s">
        <v>240</v>
      </c>
      <c r="AY64" s="0" t="s">
        <v>240</v>
      </c>
      <c r="AZ64" s="0" t="s">
        <v>240</v>
      </c>
      <c r="BA64" s="0" t="s">
        <v>240</v>
      </c>
      <c r="BB64" s="0" t="s">
        <v>240</v>
      </c>
      <c r="BC64" s="0" t="s">
        <v>240</v>
      </c>
      <c r="BD64" s="0" t="s">
        <v>240</v>
      </c>
      <c r="BE64" s="0" t="s">
        <v>240</v>
      </c>
      <c r="BF64" s="0" t="s">
        <v>240</v>
      </c>
      <c r="BG64" s="0" t="s">
        <v>240</v>
      </c>
      <c r="BH64" s="0" t="s">
        <v>240</v>
      </c>
      <c r="BI64" s="0" t="s">
        <v>240</v>
      </c>
      <c r="BJ64" s="0" t="s">
        <v>240</v>
      </c>
      <c r="BK64" s="0" t="s">
        <v>240</v>
      </c>
      <c r="BL64" s="0" t="s">
        <v>240</v>
      </c>
      <c r="BM64" s="0" t="s">
        <v>240</v>
      </c>
      <c r="BN64" s="0" t="s">
        <v>240</v>
      </c>
      <c r="BO64" s="0" t="s">
        <v>240</v>
      </c>
      <c r="BP64" s="0" t="s">
        <v>240</v>
      </c>
      <c r="BQ64" s="0" t="s">
        <v>240</v>
      </c>
      <c r="BR64" s="0" t="s">
        <v>240</v>
      </c>
      <c r="BS64" s="0" t="s">
        <v>240</v>
      </c>
      <c r="BT64" s="0" t="s">
        <v>240</v>
      </c>
      <c r="BU64" s="0" t="s">
        <v>240</v>
      </c>
      <c r="BV64" s="0" t="s">
        <v>240</v>
      </c>
      <c r="BW64" s="0" t="s">
        <v>240</v>
      </c>
      <c r="BX64" s="0" t="s">
        <v>240</v>
      </c>
      <c r="BY64" s="0" t="s">
        <v>240</v>
      </c>
      <c r="BZ64" s="0" t="s">
        <v>240</v>
      </c>
      <c r="CA64" s="0" t="s">
        <v>240</v>
      </c>
      <c r="CB64" s="0" t="s">
        <v>240</v>
      </c>
      <c r="CC64" s="0" t="s">
        <v>240</v>
      </c>
      <c r="CD64" s="0" t="s">
        <v>240</v>
      </c>
      <c r="CE64" s="0" t="s">
        <v>240</v>
      </c>
      <c r="CF64" s="0" t="s">
        <v>240</v>
      </c>
      <c r="CG64" s="0" t="s">
        <v>240</v>
      </c>
      <c r="CH64" s="0" t="s">
        <v>240</v>
      </c>
      <c r="CI64" s="0" t="s">
        <v>240</v>
      </c>
      <c r="CJ64" s="0" t="s">
        <v>240</v>
      </c>
      <c r="CK64" s="0" t="s">
        <v>240</v>
      </c>
      <c r="CL64" s="0" t="s">
        <v>240</v>
      </c>
      <c r="CM64" s="0" t="s">
        <v>240</v>
      </c>
      <c r="CN64" s="0" t="s">
        <v>240</v>
      </c>
      <c r="CO64" s="0" t="s">
        <v>240</v>
      </c>
      <c r="CP64" s="0" t="s">
        <v>240</v>
      </c>
      <c r="CQ64" s="0" t="s">
        <v>240</v>
      </c>
      <c r="CR64" s="0" t="s">
        <v>240</v>
      </c>
      <c r="CS64" s="0" t="s">
        <v>240</v>
      </c>
      <c r="CT64" s="0" t="s">
        <v>5496</v>
      </c>
      <c r="CU64" s="0" t="s">
        <v>5497</v>
      </c>
      <c r="CV64" s="0" t="s">
        <v>443</v>
      </c>
      <c r="CW64" s="0" t="s">
        <v>5547</v>
      </c>
      <c r="CX64" s="0" t="s">
        <v>229</v>
      </c>
      <c r="CY64" s="0" t="s">
        <v>443</v>
      </c>
      <c r="CZ64" s="0" t="s">
        <v>5548</v>
      </c>
      <c r="DA64" s="0" t="s">
        <v>5549</v>
      </c>
      <c r="DB64" s="0" t="s">
        <v>5547</v>
      </c>
      <c r="DC64" s="0" t="s">
        <v>384</v>
      </c>
      <c r="DD64" s="0" t="s">
        <v>291</v>
      </c>
      <c r="DE64" s="0" t="s">
        <v>5880</v>
      </c>
    </row>
    <row customHeight="1" ht="11.25">
      <c r="A65" s="1441" t="s">
        <v>240</v>
      </c>
      <c r="B65" s="0" t="s">
        <v>240</v>
      </c>
      <c r="C65" s="0" t="s">
        <v>240</v>
      </c>
      <c r="D65" s="0" t="s">
        <v>240</v>
      </c>
      <c r="E65" s="0" t="s">
        <v>240</v>
      </c>
      <c r="F65" s="0" t="s">
        <v>240</v>
      </c>
      <c r="G65" s="0" t="s">
        <v>240</v>
      </c>
      <c r="H65" s="0" t="s">
        <v>240</v>
      </c>
      <c r="I65" s="0" t="s">
        <v>5484</v>
      </c>
      <c r="J65" s="0" t="s">
        <v>240</v>
      </c>
      <c r="K65" s="0" t="s">
        <v>240</v>
      </c>
      <c r="L65" s="0" t="s">
        <v>240</v>
      </c>
      <c r="M65" s="0" t="s">
        <v>240</v>
      </c>
      <c r="N65" s="0" t="s">
        <v>240</v>
      </c>
      <c r="O65" s="0" t="s">
        <v>240</v>
      </c>
      <c r="P65" s="0" t="s">
        <v>240</v>
      </c>
      <c r="Q65" s="0" t="s">
        <v>240</v>
      </c>
      <c r="R65" s="0" t="s">
        <v>5881</v>
      </c>
      <c r="S65" s="0" t="s">
        <v>240</v>
      </c>
      <c r="T65" s="0" t="s">
        <v>240</v>
      </c>
      <c r="U65" s="0" t="s">
        <v>102</v>
      </c>
      <c r="V65" s="0" t="s">
        <v>240</v>
      </c>
      <c r="W65" s="0" t="s">
        <v>240</v>
      </c>
      <c r="X65" s="0" t="s">
        <v>5585</v>
      </c>
      <c r="Y65" s="0" t="s">
        <v>240</v>
      </c>
      <c r="Z65" s="0" t="s">
        <v>152</v>
      </c>
      <c r="AA65" s="0" t="s">
        <v>152</v>
      </c>
      <c r="AB65" s="0" t="s">
        <v>161</v>
      </c>
      <c r="AC65" s="0" t="s">
        <v>2991</v>
      </c>
      <c r="AD65" s="0" t="s">
        <v>2991</v>
      </c>
      <c r="AE65" s="0" t="s">
        <v>2992</v>
      </c>
      <c r="AF65" s="0" t="s">
        <v>5864</v>
      </c>
      <c r="AG65" s="0" t="s">
        <v>5865</v>
      </c>
      <c r="AH65" s="0" t="s">
        <v>5575</v>
      </c>
      <c r="AI65" s="0" t="s">
        <v>5575</v>
      </c>
      <c r="AJ65" s="0" t="s">
        <v>240</v>
      </c>
      <c r="AK65" s="0" t="s">
        <v>240</v>
      </c>
      <c r="AL65" s="0" t="s">
        <v>240</v>
      </c>
      <c r="AM65" s="0" t="s">
        <v>240</v>
      </c>
      <c r="AN65" s="0" t="s">
        <v>240</v>
      </c>
      <c r="AO65" s="0" t="s">
        <v>240</v>
      </c>
      <c r="AP65" s="0" t="s">
        <v>240</v>
      </c>
      <c r="AQ65" s="0" t="s">
        <v>240</v>
      </c>
      <c r="AR65" s="0" t="s">
        <v>240</v>
      </c>
      <c r="AS65" s="0" t="s">
        <v>240</v>
      </c>
      <c r="AT65" s="0" t="s">
        <v>240</v>
      </c>
      <c r="AU65" s="0" t="s">
        <v>240</v>
      </c>
      <c r="AV65" s="0" t="s">
        <v>240</v>
      </c>
      <c r="AW65" s="0" t="s">
        <v>240</v>
      </c>
      <c r="AX65" s="0" t="s">
        <v>240</v>
      </c>
      <c r="AY65" s="0" t="s">
        <v>240</v>
      </c>
      <c r="AZ65" s="0" t="s">
        <v>240</v>
      </c>
      <c r="BA65" s="0" t="s">
        <v>240</v>
      </c>
      <c r="BB65" s="0" t="s">
        <v>240</v>
      </c>
      <c r="BC65" s="0" t="s">
        <v>240</v>
      </c>
      <c r="BD65" s="0" t="s">
        <v>240</v>
      </c>
      <c r="BE65" s="0" t="s">
        <v>5552</v>
      </c>
      <c r="BF65" s="0" t="s">
        <v>5544</v>
      </c>
      <c r="BG65" s="0" t="s">
        <v>112</v>
      </c>
      <c r="BH65" s="0" t="s">
        <v>5589</v>
      </c>
      <c r="BI65" s="0" t="s">
        <v>123</v>
      </c>
      <c r="BJ65" s="0" t="s">
        <v>240</v>
      </c>
      <c r="BK65" s="0" t="s">
        <v>5608</v>
      </c>
      <c r="BL65" s="0" t="s">
        <v>2991</v>
      </c>
      <c r="BM65" s="0" t="s">
        <v>2991</v>
      </c>
      <c r="BN65" s="0" t="s">
        <v>5663</v>
      </c>
      <c r="BO65" s="0" t="s">
        <v>5864</v>
      </c>
      <c r="BP65" s="0" t="s">
        <v>5882</v>
      </c>
      <c r="BQ65" s="0" t="s">
        <v>5575</v>
      </c>
      <c r="BR65" s="0" t="s">
        <v>5575</v>
      </c>
      <c r="BS65" s="0" t="s">
        <v>240</v>
      </c>
      <c r="BT65" s="0" t="s">
        <v>5650</v>
      </c>
      <c r="BU65" s="0" t="s">
        <v>5883</v>
      </c>
      <c r="BV65" s="0" t="s">
        <v>5883</v>
      </c>
      <c r="BW65" s="0" t="s">
        <v>5598</v>
      </c>
      <c r="BX65" s="0" t="s">
        <v>5598</v>
      </c>
      <c r="BY65" s="0" t="s">
        <v>5598</v>
      </c>
      <c r="BZ65" s="0" t="s">
        <v>5598</v>
      </c>
      <c r="CA65" s="0" t="s">
        <v>5598</v>
      </c>
      <c r="CB65" s="0" t="s">
        <v>240</v>
      </c>
      <c r="CC65" s="0" t="s">
        <v>240</v>
      </c>
      <c r="CD65" s="0" t="s">
        <v>240</v>
      </c>
      <c r="CE65" s="0" t="s">
        <v>240</v>
      </c>
      <c r="CF65" s="0" t="s">
        <v>240</v>
      </c>
      <c r="CG65" s="0" t="s">
        <v>5598</v>
      </c>
      <c r="CH65" s="0" t="s">
        <v>240</v>
      </c>
      <c r="CI65" s="0" t="s">
        <v>240</v>
      </c>
      <c r="CJ65" s="0" t="s">
        <v>240</v>
      </c>
      <c r="CK65" s="0" t="s">
        <v>240</v>
      </c>
      <c r="CL65" s="0" t="s">
        <v>240</v>
      </c>
      <c r="CM65" s="0" t="s">
        <v>5883</v>
      </c>
      <c r="CN65" s="0" t="s">
        <v>5883</v>
      </c>
      <c r="CO65" s="0" t="s">
        <v>240</v>
      </c>
      <c r="CP65" s="0" t="s">
        <v>240</v>
      </c>
      <c r="CQ65" s="0" t="s">
        <v>240</v>
      </c>
      <c r="CR65" s="0" t="s">
        <v>240</v>
      </c>
      <c r="CS65" s="0" t="s">
        <v>5666</v>
      </c>
      <c r="CT65" s="0" t="s">
        <v>5496</v>
      </c>
      <c r="CU65" s="0" t="s">
        <v>5497</v>
      </c>
      <c r="CV65" s="0" t="s">
        <v>443</v>
      </c>
      <c r="CW65" s="0" t="s">
        <v>5547</v>
      </c>
      <c r="CX65" s="0" t="s">
        <v>229</v>
      </c>
      <c r="CY65" s="0" t="s">
        <v>443</v>
      </c>
      <c r="CZ65" s="0" t="s">
        <v>5548</v>
      </c>
      <c r="DA65" s="0" t="s">
        <v>5549</v>
      </c>
      <c r="DB65" s="0" t="s">
        <v>5547</v>
      </c>
      <c r="DC65" s="0" t="s">
        <v>384</v>
      </c>
      <c r="DD65" s="0" t="s">
        <v>291</v>
      </c>
      <c r="DE65" s="0" t="s">
        <v>5878</v>
      </c>
    </row>
    <row customHeight="1" ht="11.25">
      <c r="A66" s="1441" t="s">
        <v>240</v>
      </c>
      <c r="B66" s="0" t="s">
        <v>240</v>
      </c>
      <c r="C66" s="0" t="s">
        <v>240</v>
      </c>
      <c r="D66" s="0" t="s">
        <v>240</v>
      </c>
      <c r="E66" s="0" t="s">
        <v>240</v>
      </c>
      <c r="F66" s="0" t="s">
        <v>240</v>
      </c>
      <c r="G66" s="0" t="s">
        <v>240</v>
      </c>
      <c r="H66" s="0" t="s">
        <v>240</v>
      </c>
      <c r="I66" s="0" t="s">
        <v>5484</v>
      </c>
      <c r="J66" s="0" t="s">
        <v>240</v>
      </c>
      <c r="K66" s="0" t="s">
        <v>240</v>
      </c>
      <c r="L66" s="0" t="s">
        <v>240</v>
      </c>
      <c r="M66" s="0" t="s">
        <v>240</v>
      </c>
      <c r="N66" s="0" t="s">
        <v>240</v>
      </c>
      <c r="O66" s="0" t="s">
        <v>240</v>
      </c>
      <c r="P66" s="0" t="s">
        <v>240</v>
      </c>
      <c r="Q66" s="0" t="s">
        <v>240</v>
      </c>
      <c r="R66" s="0" t="s">
        <v>5572</v>
      </c>
      <c r="S66" s="0" t="s">
        <v>240</v>
      </c>
      <c r="T66" s="0" t="s">
        <v>240</v>
      </c>
      <c r="U66" s="0" t="s">
        <v>102</v>
      </c>
      <c r="V66" s="0" t="s">
        <v>240</v>
      </c>
      <c r="W66" s="0" t="s">
        <v>240</v>
      </c>
      <c r="X66" s="0" t="s">
        <v>5485</v>
      </c>
      <c r="Y66" s="0" t="s">
        <v>240</v>
      </c>
      <c r="Z66" s="0" t="s">
        <v>161</v>
      </c>
      <c r="AA66" s="0" t="s">
        <v>152</v>
      </c>
      <c r="AB66" s="0" t="s">
        <v>152</v>
      </c>
      <c r="AC66" s="0" t="s">
        <v>2991</v>
      </c>
      <c r="AD66" s="0" t="s">
        <v>2991</v>
      </c>
      <c r="AE66" s="0" t="s">
        <v>2992</v>
      </c>
      <c r="AF66" s="0" t="s">
        <v>5884</v>
      </c>
      <c r="AG66" s="0" t="s">
        <v>5885</v>
      </c>
      <c r="AH66" s="0" t="s">
        <v>5886</v>
      </c>
      <c r="AI66" s="0" t="s">
        <v>5710</v>
      </c>
      <c r="AJ66" s="0" t="s">
        <v>5552</v>
      </c>
      <c r="AK66" s="0" t="s">
        <v>5776</v>
      </c>
      <c r="AL66" s="0" t="s">
        <v>5506</v>
      </c>
      <c r="AM66" s="0" t="s">
        <v>5493</v>
      </c>
      <c r="AN66" s="0" t="s">
        <v>5553</v>
      </c>
      <c r="AO66" s="0" t="s">
        <v>5887</v>
      </c>
      <c r="AP66" s="0" t="s">
        <v>240</v>
      </c>
      <c r="AQ66" s="0" t="s">
        <v>240</v>
      </c>
      <c r="AR66" s="0" t="s">
        <v>240</v>
      </c>
      <c r="AS66" s="0" t="s">
        <v>240</v>
      </c>
      <c r="AT66" s="0" t="s">
        <v>240</v>
      </c>
      <c r="AU66" s="0" t="s">
        <v>240</v>
      </c>
      <c r="AV66" s="0" t="s">
        <v>240</v>
      </c>
      <c r="AW66" s="0" t="s">
        <v>240</v>
      </c>
      <c r="AX66" s="0" t="s">
        <v>240</v>
      </c>
      <c r="AY66" s="0" t="s">
        <v>240</v>
      </c>
      <c r="AZ66" s="0" t="s">
        <v>240</v>
      </c>
      <c r="BA66" s="0" t="s">
        <v>240</v>
      </c>
      <c r="BB66" s="0" t="s">
        <v>240</v>
      </c>
      <c r="BC66" s="0" t="s">
        <v>240</v>
      </c>
      <c r="BD66" s="0" t="s">
        <v>240</v>
      </c>
      <c r="BE66" s="0" t="s">
        <v>240</v>
      </c>
      <c r="BF66" s="0" t="s">
        <v>240</v>
      </c>
      <c r="BG66" s="0" t="s">
        <v>240</v>
      </c>
      <c r="BH66" s="0" t="s">
        <v>240</v>
      </c>
      <c r="BI66" s="0" t="s">
        <v>240</v>
      </c>
      <c r="BJ66" s="0" t="s">
        <v>240</v>
      </c>
      <c r="BK66" s="0" t="s">
        <v>240</v>
      </c>
      <c r="BL66" s="0" t="s">
        <v>240</v>
      </c>
      <c r="BM66" s="0" t="s">
        <v>240</v>
      </c>
      <c r="BN66" s="0" t="s">
        <v>240</v>
      </c>
      <c r="BO66" s="0" t="s">
        <v>240</v>
      </c>
      <c r="BP66" s="0" t="s">
        <v>240</v>
      </c>
      <c r="BQ66" s="0" t="s">
        <v>240</v>
      </c>
      <c r="BR66" s="0" t="s">
        <v>240</v>
      </c>
      <c r="BS66" s="0" t="s">
        <v>240</v>
      </c>
      <c r="BT66" s="0" t="s">
        <v>240</v>
      </c>
      <c r="BU66" s="0" t="s">
        <v>240</v>
      </c>
      <c r="BV66" s="0" t="s">
        <v>240</v>
      </c>
      <c r="BW66" s="0" t="s">
        <v>240</v>
      </c>
      <c r="BX66" s="0" t="s">
        <v>240</v>
      </c>
      <c r="BY66" s="0" t="s">
        <v>240</v>
      </c>
      <c r="BZ66" s="0" t="s">
        <v>240</v>
      </c>
      <c r="CA66" s="0" t="s">
        <v>240</v>
      </c>
      <c r="CB66" s="0" t="s">
        <v>240</v>
      </c>
      <c r="CC66" s="0" t="s">
        <v>240</v>
      </c>
      <c r="CD66" s="0" t="s">
        <v>240</v>
      </c>
      <c r="CE66" s="0" t="s">
        <v>240</v>
      </c>
      <c r="CF66" s="0" t="s">
        <v>240</v>
      </c>
      <c r="CG66" s="0" t="s">
        <v>240</v>
      </c>
      <c r="CH66" s="0" t="s">
        <v>240</v>
      </c>
      <c r="CI66" s="0" t="s">
        <v>240</v>
      </c>
      <c r="CJ66" s="0" t="s">
        <v>240</v>
      </c>
      <c r="CK66" s="0" t="s">
        <v>240</v>
      </c>
      <c r="CL66" s="0" t="s">
        <v>240</v>
      </c>
      <c r="CM66" s="0" t="s">
        <v>240</v>
      </c>
      <c r="CN66" s="0" t="s">
        <v>240</v>
      </c>
      <c r="CO66" s="0" t="s">
        <v>240</v>
      </c>
      <c r="CP66" s="0" t="s">
        <v>240</v>
      </c>
      <c r="CQ66" s="0" t="s">
        <v>240</v>
      </c>
      <c r="CR66" s="0" t="s">
        <v>240</v>
      </c>
      <c r="CS66" s="0" t="s">
        <v>240</v>
      </c>
      <c r="CT66" s="0" t="s">
        <v>5496</v>
      </c>
      <c r="CU66" s="0" t="s">
        <v>5497</v>
      </c>
      <c r="CV66" s="0" t="s">
        <v>443</v>
      </c>
      <c r="CW66" s="0" t="s">
        <v>5547</v>
      </c>
      <c r="CX66" s="0" t="s">
        <v>229</v>
      </c>
      <c r="CY66" s="0" t="s">
        <v>443</v>
      </c>
      <c r="CZ66" s="0" t="s">
        <v>5548</v>
      </c>
      <c r="DA66" s="0" t="s">
        <v>5549</v>
      </c>
      <c r="DB66" s="0" t="s">
        <v>5547</v>
      </c>
      <c r="DC66" s="0" t="s">
        <v>384</v>
      </c>
      <c r="DD66" s="0" t="s">
        <v>291</v>
      </c>
      <c r="DE66" s="0" t="s">
        <v>5888</v>
      </c>
    </row>
    <row customHeight="1" ht="11.25">
      <c r="A67" s="1441" t="s">
        <v>240</v>
      </c>
      <c r="B67" s="0" t="s">
        <v>240</v>
      </c>
      <c r="C67" s="0" t="s">
        <v>240</v>
      </c>
      <c r="D67" s="0" t="s">
        <v>240</v>
      </c>
      <c r="E67" s="0" t="s">
        <v>240</v>
      </c>
      <c r="F67" s="0" t="s">
        <v>240</v>
      </c>
      <c r="G67" s="0" t="s">
        <v>240</v>
      </c>
      <c r="H67" s="0" t="s">
        <v>240</v>
      </c>
      <c r="I67" s="0" t="s">
        <v>5484</v>
      </c>
      <c r="J67" s="0" t="s">
        <v>240</v>
      </c>
      <c r="K67" s="0" t="s">
        <v>240</v>
      </c>
      <c r="L67" s="0" t="s">
        <v>240</v>
      </c>
      <c r="M67" s="0" t="s">
        <v>240</v>
      </c>
      <c r="N67" s="0" t="s">
        <v>240</v>
      </c>
      <c r="O67" s="0" t="s">
        <v>240</v>
      </c>
      <c r="P67" s="0" t="s">
        <v>240</v>
      </c>
      <c r="Q67" s="0" t="s">
        <v>240</v>
      </c>
      <c r="R67" s="0" t="s">
        <v>5889</v>
      </c>
      <c r="S67" s="0" t="s">
        <v>240</v>
      </c>
      <c r="T67" s="0" t="s">
        <v>240</v>
      </c>
      <c r="U67" s="0" t="s">
        <v>102</v>
      </c>
      <c r="V67" s="0" t="s">
        <v>240</v>
      </c>
      <c r="W67" s="0" t="s">
        <v>240</v>
      </c>
      <c r="X67" s="0" t="s">
        <v>5485</v>
      </c>
      <c r="Y67" s="0" t="s">
        <v>240</v>
      </c>
      <c r="Z67" s="0" t="s">
        <v>161</v>
      </c>
      <c r="AA67" s="0" t="s">
        <v>152</v>
      </c>
      <c r="AB67" s="0" t="s">
        <v>152</v>
      </c>
      <c r="AC67" s="0" t="s">
        <v>3389</v>
      </c>
      <c r="AD67" s="0" t="s">
        <v>3389</v>
      </c>
      <c r="AE67" s="0" t="s">
        <v>3390</v>
      </c>
      <c r="AF67" s="0" t="s">
        <v>5519</v>
      </c>
      <c r="AG67" s="0" t="s">
        <v>5520</v>
      </c>
      <c r="AH67" s="0" t="s">
        <v>5890</v>
      </c>
      <c r="AI67" s="0" t="s">
        <v>5891</v>
      </c>
      <c r="AJ67" s="0" t="s">
        <v>5587</v>
      </c>
      <c r="AK67" s="0" t="s">
        <v>5892</v>
      </c>
      <c r="AL67" s="0" t="s">
        <v>5492</v>
      </c>
      <c r="AM67" s="0" t="s">
        <v>5493</v>
      </c>
      <c r="AN67" s="0" t="s">
        <v>5893</v>
      </c>
      <c r="AO67" s="0" t="s">
        <v>5894</v>
      </c>
      <c r="AP67" s="0" t="s">
        <v>240</v>
      </c>
      <c r="AQ67" s="0" t="s">
        <v>240</v>
      </c>
      <c r="AR67" s="0" t="s">
        <v>240</v>
      </c>
      <c r="AS67" s="0" t="s">
        <v>240</v>
      </c>
      <c r="AT67" s="0" t="s">
        <v>240</v>
      </c>
      <c r="AU67" s="0" t="s">
        <v>240</v>
      </c>
      <c r="AV67" s="0" t="s">
        <v>240</v>
      </c>
      <c r="AW67" s="0" t="s">
        <v>240</v>
      </c>
      <c r="AX67" s="0" t="s">
        <v>240</v>
      </c>
      <c r="AY67" s="0" t="s">
        <v>240</v>
      </c>
      <c r="AZ67" s="0" t="s">
        <v>240</v>
      </c>
      <c r="BA67" s="0" t="s">
        <v>240</v>
      </c>
      <c r="BB67" s="0" t="s">
        <v>240</v>
      </c>
      <c r="BC67" s="0" t="s">
        <v>240</v>
      </c>
      <c r="BD67" s="0" t="s">
        <v>240</v>
      </c>
      <c r="BE67" s="0" t="s">
        <v>240</v>
      </c>
      <c r="BF67" s="0" t="s">
        <v>240</v>
      </c>
      <c r="BG67" s="0" t="s">
        <v>240</v>
      </c>
      <c r="BH67" s="0" t="s">
        <v>240</v>
      </c>
      <c r="BI67" s="0" t="s">
        <v>240</v>
      </c>
      <c r="BJ67" s="0" t="s">
        <v>240</v>
      </c>
      <c r="BK67" s="0" t="s">
        <v>240</v>
      </c>
      <c r="BL67" s="0" t="s">
        <v>240</v>
      </c>
      <c r="BM67" s="0" t="s">
        <v>240</v>
      </c>
      <c r="BN67" s="0" t="s">
        <v>240</v>
      </c>
      <c r="BO67" s="0" t="s">
        <v>240</v>
      </c>
      <c r="BP67" s="0" t="s">
        <v>240</v>
      </c>
      <c r="BQ67" s="0" t="s">
        <v>240</v>
      </c>
      <c r="BR67" s="0" t="s">
        <v>240</v>
      </c>
      <c r="BS67" s="0" t="s">
        <v>240</v>
      </c>
      <c r="BT67" s="0" t="s">
        <v>240</v>
      </c>
      <c r="BU67" s="0" t="s">
        <v>240</v>
      </c>
      <c r="BV67" s="0" t="s">
        <v>240</v>
      </c>
      <c r="BW67" s="0" t="s">
        <v>240</v>
      </c>
      <c r="BX67" s="0" t="s">
        <v>240</v>
      </c>
      <c r="BY67" s="0" t="s">
        <v>240</v>
      </c>
      <c r="BZ67" s="0" t="s">
        <v>240</v>
      </c>
      <c r="CA67" s="0" t="s">
        <v>240</v>
      </c>
      <c r="CB67" s="0" t="s">
        <v>240</v>
      </c>
      <c r="CC67" s="0" t="s">
        <v>240</v>
      </c>
      <c r="CD67" s="0" t="s">
        <v>240</v>
      </c>
      <c r="CE67" s="0" t="s">
        <v>240</v>
      </c>
      <c r="CF67" s="0" t="s">
        <v>240</v>
      </c>
      <c r="CG67" s="0" t="s">
        <v>240</v>
      </c>
      <c r="CH67" s="0" t="s">
        <v>240</v>
      </c>
      <c r="CI67" s="0" t="s">
        <v>240</v>
      </c>
      <c r="CJ67" s="0" t="s">
        <v>240</v>
      </c>
      <c r="CK67" s="0" t="s">
        <v>240</v>
      </c>
      <c r="CL67" s="0" t="s">
        <v>240</v>
      </c>
      <c r="CM67" s="0" t="s">
        <v>240</v>
      </c>
      <c r="CN67" s="0" t="s">
        <v>240</v>
      </c>
      <c r="CO67" s="0" t="s">
        <v>240</v>
      </c>
      <c r="CP67" s="0" t="s">
        <v>240</v>
      </c>
      <c r="CQ67" s="0" t="s">
        <v>240</v>
      </c>
      <c r="CR67" s="0" t="s">
        <v>240</v>
      </c>
      <c r="CS67" s="0" t="s">
        <v>240</v>
      </c>
      <c r="CT67" s="0" t="s">
        <v>5496</v>
      </c>
      <c r="CU67" s="0" t="s">
        <v>5497</v>
      </c>
      <c r="CV67" s="0" t="s">
        <v>443</v>
      </c>
      <c r="CW67" s="0" t="s">
        <v>5527</v>
      </c>
      <c r="CX67" s="0" t="s">
        <v>5528</v>
      </c>
      <c r="CY67" s="0" t="s">
        <v>443</v>
      </c>
      <c r="CZ67" s="0" t="s">
        <v>299</v>
      </c>
      <c r="DA67" s="0" t="s">
        <v>5529</v>
      </c>
      <c r="DB67" s="0" t="s">
        <v>5527</v>
      </c>
      <c r="DC67" s="0" t="s">
        <v>384</v>
      </c>
      <c r="DD67" s="0" t="s">
        <v>291</v>
      </c>
      <c r="DE67" s="0" t="s">
        <v>5895</v>
      </c>
    </row>
    <row customHeight="1" ht="11.25">
      <c r="A68" s="1441" t="s">
        <v>240</v>
      </c>
      <c r="B68" s="0" t="s">
        <v>240</v>
      </c>
      <c r="C68" s="0" t="s">
        <v>240</v>
      </c>
      <c r="D68" s="0" t="s">
        <v>240</v>
      </c>
      <c r="E68" s="0" t="s">
        <v>240</v>
      </c>
      <c r="F68" s="0" t="s">
        <v>240</v>
      </c>
      <c r="G68" s="0" t="s">
        <v>240</v>
      </c>
      <c r="H68" s="0" t="s">
        <v>240</v>
      </c>
      <c r="I68" s="0" t="s">
        <v>5484</v>
      </c>
      <c r="J68" s="0" t="s">
        <v>240</v>
      </c>
      <c r="K68" s="0" t="s">
        <v>240</v>
      </c>
      <c r="L68" s="0" t="s">
        <v>240</v>
      </c>
      <c r="M68" s="0" t="s">
        <v>240</v>
      </c>
      <c r="N68" s="0" t="s">
        <v>240</v>
      </c>
      <c r="O68" s="0" t="s">
        <v>240</v>
      </c>
      <c r="P68" s="0" t="s">
        <v>240</v>
      </c>
      <c r="Q68" s="0" t="s">
        <v>240</v>
      </c>
      <c r="R68" s="0" t="s">
        <v>5896</v>
      </c>
      <c r="S68" s="0" t="s">
        <v>240</v>
      </c>
      <c r="T68" s="0" t="s">
        <v>240</v>
      </c>
      <c r="U68" s="0" t="s">
        <v>102</v>
      </c>
      <c r="V68" s="0" t="s">
        <v>240</v>
      </c>
      <c r="W68" s="0" t="s">
        <v>240</v>
      </c>
      <c r="X68" s="0" t="s">
        <v>5485</v>
      </c>
      <c r="Y68" s="0" t="s">
        <v>240</v>
      </c>
      <c r="Z68" s="0" t="s">
        <v>161</v>
      </c>
      <c r="AA68" s="0" t="s">
        <v>152</v>
      </c>
      <c r="AB68" s="0" t="s">
        <v>152</v>
      </c>
      <c r="AC68" s="0" t="s">
        <v>2991</v>
      </c>
      <c r="AD68" s="0" t="s">
        <v>2991</v>
      </c>
      <c r="AE68" s="0" t="s">
        <v>2992</v>
      </c>
      <c r="AF68" s="0" t="s">
        <v>5772</v>
      </c>
      <c r="AG68" s="0" t="s">
        <v>5773</v>
      </c>
      <c r="AH68" s="0" t="s">
        <v>5751</v>
      </c>
      <c r="AI68" s="0" t="s">
        <v>5897</v>
      </c>
      <c r="AJ68" s="0" t="s">
        <v>5504</v>
      </c>
      <c r="AK68" s="0" t="s">
        <v>5731</v>
      </c>
      <c r="AL68" s="0" t="s">
        <v>5506</v>
      </c>
      <c r="AM68" s="0" t="s">
        <v>5493</v>
      </c>
      <c r="AN68" s="0" t="s">
        <v>5553</v>
      </c>
      <c r="AO68" s="0" t="s">
        <v>5613</v>
      </c>
      <c r="AP68" s="0" t="s">
        <v>240</v>
      </c>
      <c r="AQ68" s="0" t="s">
        <v>240</v>
      </c>
      <c r="AR68" s="0" t="s">
        <v>240</v>
      </c>
      <c r="AS68" s="0" t="s">
        <v>240</v>
      </c>
      <c r="AT68" s="0" t="s">
        <v>240</v>
      </c>
      <c r="AU68" s="0" t="s">
        <v>240</v>
      </c>
      <c r="AV68" s="0" t="s">
        <v>240</v>
      </c>
      <c r="AW68" s="0" t="s">
        <v>240</v>
      </c>
      <c r="AX68" s="0" t="s">
        <v>240</v>
      </c>
      <c r="AY68" s="0" t="s">
        <v>240</v>
      </c>
      <c r="AZ68" s="0" t="s">
        <v>240</v>
      </c>
      <c r="BA68" s="0" t="s">
        <v>240</v>
      </c>
      <c r="BB68" s="0" t="s">
        <v>240</v>
      </c>
      <c r="BC68" s="0" t="s">
        <v>240</v>
      </c>
      <c r="BD68" s="0" t="s">
        <v>240</v>
      </c>
      <c r="BE68" s="0" t="s">
        <v>240</v>
      </c>
      <c r="BF68" s="0" t="s">
        <v>240</v>
      </c>
      <c r="BG68" s="0" t="s">
        <v>240</v>
      </c>
      <c r="BH68" s="0" t="s">
        <v>240</v>
      </c>
      <c r="BI68" s="0" t="s">
        <v>240</v>
      </c>
      <c r="BJ68" s="0" t="s">
        <v>240</v>
      </c>
      <c r="BK68" s="0" t="s">
        <v>240</v>
      </c>
      <c r="BL68" s="0" t="s">
        <v>240</v>
      </c>
      <c r="BM68" s="0" t="s">
        <v>240</v>
      </c>
      <c r="BN68" s="0" t="s">
        <v>240</v>
      </c>
      <c r="BO68" s="0" t="s">
        <v>240</v>
      </c>
      <c r="BP68" s="0" t="s">
        <v>240</v>
      </c>
      <c r="BQ68" s="0" t="s">
        <v>240</v>
      </c>
      <c r="BR68" s="0" t="s">
        <v>240</v>
      </c>
      <c r="BS68" s="0" t="s">
        <v>240</v>
      </c>
      <c r="BT68" s="0" t="s">
        <v>240</v>
      </c>
      <c r="BU68" s="0" t="s">
        <v>240</v>
      </c>
      <c r="BV68" s="0" t="s">
        <v>240</v>
      </c>
      <c r="BW68" s="0" t="s">
        <v>240</v>
      </c>
      <c r="BX68" s="0" t="s">
        <v>240</v>
      </c>
      <c r="BY68" s="0" t="s">
        <v>240</v>
      </c>
      <c r="BZ68" s="0" t="s">
        <v>240</v>
      </c>
      <c r="CA68" s="0" t="s">
        <v>240</v>
      </c>
      <c r="CB68" s="0" t="s">
        <v>240</v>
      </c>
      <c r="CC68" s="0" t="s">
        <v>240</v>
      </c>
      <c r="CD68" s="0" t="s">
        <v>240</v>
      </c>
      <c r="CE68" s="0" t="s">
        <v>240</v>
      </c>
      <c r="CF68" s="0" t="s">
        <v>240</v>
      </c>
      <c r="CG68" s="0" t="s">
        <v>240</v>
      </c>
      <c r="CH68" s="0" t="s">
        <v>240</v>
      </c>
      <c r="CI68" s="0" t="s">
        <v>240</v>
      </c>
      <c r="CJ68" s="0" t="s">
        <v>240</v>
      </c>
      <c r="CK68" s="0" t="s">
        <v>240</v>
      </c>
      <c r="CL68" s="0" t="s">
        <v>240</v>
      </c>
      <c r="CM68" s="0" t="s">
        <v>240</v>
      </c>
      <c r="CN68" s="0" t="s">
        <v>240</v>
      </c>
      <c r="CO68" s="0" t="s">
        <v>240</v>
      </c>
      <c r="CP68" s="0" t="s">
        <v>240</v>
      </c>
      <c r="CQ68" s="0" t="s">
        <v>240</v>
      </c>
      <c r="CR68" s="0" t="s">
        <v>240</v>
      </c>
      <c r="CS68" s="0" t="s">
        <v>240</v>
      </c>
      <c r="CT68" s="0" t="s">
        <v>5496</v>
      </c>
      <c r="CU68" s="0" t="s">
        <v>5497</v>
      </c>
      <c r="CV68" s="0" t="s">
        <v>443</v>
      </c>
      <c r="CW68" s="0" t="s">
        <v>5547</v>
      </c>
      <c r="CX68" s="0" t="s">
        <v>229</v>
      </c>
      <c r="CY68" s="0" t="s">
        <v>443</v>
      </c>
      <c r="CZ68" s="0" t="s">
        <v>5548</v>
      </c>
      <c r="DA68" s="0" t="s">
        <v>5549</v>
      </c>
      <c r="DB68" s="0" t="s">
        <v>5547</v>
      </c>
      <c r="DC68" s="0" t="s">
        <v>384</v>
      </c>
      <c r="DD68" s="0" t="s">
        <v>291</v>
      </c>
      <c r="DE68" s="0" t="s">
        <v>5898</v>
      </c>
    </row>
    <row customHeight="1" ht="11.25">
      <c r="A69" s="1441" t="s">
        <v>240</v>
      </c>
      <c r="B69" s="0" t="s">
        <v>240</v>
      </c>
      <c r="C69" s="0" t="s">
        <v>240</v>
      </c>
      <c r="D69" s="0" t="s">
        <v>240</v>
      </c>
      <c r="E69" s="0" t="s">
        <v>240</v>
      </c>
      <c r="F69" s="0" t="s">
        <v>240</v>
      </c>
      <c r="G69" s="0" t="s">
        <v>240</v>
      </c>
      <c r="H69" s="0" t="s">
        <v>240</v>
      </c>
      <c r="I69" s="0" t="s">
        <v>5484</v>
      </c>
      <c r="J69" s="0" t="s">
        <v>240</v>
      </c>
      <c r="K69" s="0" t="s">
        <v>240</v>
      </c>
      <c r="L69" s="0" t="s">
        <v>240</v>
      </c>
      <c r="M69" s="0" t="s">
        <v>240</v>
      </c>
      <c r="N69" s="0" t="s">
        <v>240</v>
      </c>
      <c r="O69" s="0" t="s">
        <v>240</v>
      </c>
      <c r="P69" s="0" t="s">
        <v>240</v>
      </c>
      <c r="Q69" s="0" t="s">
        <v>240</v>
      </c>
      <c r="R69" s="0" t="s">
        <v>458</v>
      </c>
      <c r="S69" s="0" t="s">
        <v>240</v>
      </c>
      <c r="T69" s="0" t="s">
        <v>240</v>
      </c>
      <c r="U69" s="0" t="s">
        <v>102</v>
      </c>
      <c r="V69" s="0" t="s">
        <v>240</v>
      </c>
      <c r="W69" s="0" t="s">
        <v>240</v>
      </c>
      <c r="X69" s="0" t="s">
        <v>5485</v>
      </c>
      <c r="Y69" s="0" t="s">
        <v>240</v>
      </c>
      <c r="Z69" s="0" t="s">
        <v>161</v>
      </c>
      <c r="AA69" s="0" t="s">
        <v>152</v>
      </c>
      <c r="AB69" s="0" t="s">
        <v>152</v>
      </c>
      <c r="AC69" s="0" t="s">
        <v>364</v>
      </c>
      <c r="AD69" s="0" t="s">
        <v>364</v>
      </c>
      <c r="AE69" s="0" t="s">
        <v>365</v>
      </c>
      <c r="AF69" s="0" t="s">
        <v>5486</v>
      </c>
      <c r="AG69" s="0" t="s">
        <v>5487</v>
      </c>
      <c r="AH69" s="0" t="s">
        <v>5819</v>
      </c>
      <c r="AI69" s="0" t="s">
        <v>5899</v>
      </c>
      <c r="AJ69" s="0" t="s">
        <v>5545</v>
      </c>
      <c r="AK69" s="0" t="s">
        <v>5598</v>
      </c>
      <c r="AL69" s="0" t="s">
        <v>5605</v>
      </c>
      <c r="AM69" s="0" t="s">
        <v>5493</v>
      </c>
      <c r="AN69" s="0" t="s">
        <v>5507</v>
      </c>
      <c r="AO69" s="0" t="s">
        <v>5823</v>
      </c>
      <c r="AP69" s="0" t="s">
        <v>240</v>
      </c>
      <c r="AQ69" s="0" t="s">
        <v>240</v>
      </c>
      <c r="AR69" s="0" t="s">
        <v>240</v>
      </c>
      <c r="AS69" s="0" t="s">
        <v>240</v>
      </c>
      <c r="AT69" s="0" t="s">
        <v>240</v>
      </c>
      <c r="AU69" s="0" t="s">
        <v>240</v>
      </c>
      <c r="AV69" s="0" t="s">
        <v>240</v>
      </c>
      <c r="AW69" s="0" t="s">
        <v>240</v>
      </c>
      <c r="AX69" s="0" t="s">
        <v>240</v>
      </c>
      <c r="AY69" s="0" t="s">
        <v>240</v>
      </c>
      <c r="AZ69" s="0" t="s">
        <v>240</v>
      </c>
      <c r="BA69" s="0" t="s">
        <v>240</v>
      </c>
      <c r="BB69" s="0" t="s">
        <v>240</v>
      </c>
      <c r="BC69" s="0" t="s">
        <v>240</v>
      </c>
      <c r="BD69" s="0" t="s">
        <v>240</v>
      </c>
      <c r="BE69" s="0" t="s">
        <v>240</v>
      </c>
      <c r="BF69" s="0" t="s">
        <v>240</v>
      </c>
      <c r="BG69" s="0" t="s">
        <v>240</v>
      </c>
      <c r="BH69" s="0" t="s">
        <v>240</v>
      </c>
      <c r="BI69" s="0" t="s">
        <v>240</v>
      </c>
      <c r="BJ69" s="0" t="s">
        <v>240</v>
      </c>
      <c r="BK69" s="0" t="s">
        <v>240</v>
      </c>
      <c r="BL69" s="0" t="s">
        <v>240</v>
      </c>
      <c r="BM69" s="0" t="s">
        <v>240</v>
      </c>
      <c r="BN69" s="0" t="s">
        <v>240</v>
      </c>
      <c r="BO69" s="0" t="s">
        <v>240</v>
      </c>
      <c r="BP69" s="0" t="s">
        <v>240</v>
      </c>
      <c r="BQ69" s="0" t="s">
        <v>240</v>
      </c>
      <c r="BR69" s="0" t="s">
        <v>240</v>
      </c>
      <c r="BS69" s="0" t="s">
        <v>240</v>
      </c>
      <c r="BT69" s="0" t="s">
        <v>240</v>
      </c>
      <c r="BU69" s="0" t="s">
        <v>240</v>
      </c>
      <c r="BV69" s="0" t="s">
        <v>240</v>
      </c>
      <c r="BW69" s="0" t="s">
        <v>240</v>
      </c>
      <c r="BX69" s="0" t="s">
        <v>240</v>
      </c>
      <c r="BY69" s="0" t="s">
        <v>240</v>
      </c>
      <c r="BZ69" s="0" t="s">
        <v>240</v>
      </c>
      <c r="CA69" s="0" t="s">
        <v>240</v>
      </c>
      <c r="CB69" s="0" t="s">
        <v>240</v>
      </c>
      <c r="CC69" s="0" t="s">
        <v>240</v>
      </c>
      <c r="CD69" s="0" t="s">
        <v>240</v>
      </c>
      <c r="CE69" s="0" t="s">
        <v>240</v>
      </c>
      <c r="CF69" s="0" t="s">
        <v>240</v>
      </c>
      <c r="CG69" s="0" t="s">
        <v>240</v>
      </c>
      <c r="CH69" s="0" t="s">
        <v>240</v>
      </c>
      <c r="CI69" s="0" t="s">
        <v>240</v>
      </c>
      <c r="CJ69" s="0" t="s">
        <v>240</v>
      </c>
      <c r="CK69" s="0" t="s">
        <v>240</v>
      </c>
      <c r="CL69" s="0" t="s">
        <v>240</v>
      </c>
      <c r="CM69" s="0" t="s">
        <v>240</v>
      </c>
      <c r="CN69" s="0" t="s">
        <v>240</v>
      </c>
      <c r="CO69" s="0" t="s">
        <v>240</v>
      </c>
      <c r="CP69" s="0" t="s">
        <v>240</v>
      </c>
      <c r="CQ69" s="0" t="s">
        <v>240</v>
      </c>
      <c r="CR69" s="0" t="s">
        <v>240</v>
      </c>
      <c r="CS69" s="0" t="s">
        <v>240</v>
      </c>
      <c r="CT69" s="0" t="s">
        <v>5496</v>
      </c>
      <c r="CU69" s="0" t="s">
        <v>5497</v>
      </c>
      <c r="CV69" s="0" t="s">
        <v>443</v>
      </c>
      <c r="CW69" s="0" t="s">
        <v>5498</v>
      </c>
      <c r="CX69" s="0" t="s">
        <v>229</v>
      </c>
      <c r="CY69" s="0" t="s">
        <v>443</v>
      </c>
      <c r="CZ69" s="0" t="s">
        <v>230</v>
      </c>
      <c r="DA69" s="0" t="s">
        <v>444</v>
      </c>
      <c r="DB69" s="0" t="s">
        <v>5498</v>
      </c>
      <c r="DC69" s="0" t="s">
        <v>384</v>
      </c>
      <c r="DD69" s="0" t="s">
        <v>291</v>
      </c>
      <c r="DE69" s="0" t="s">
        <v>459</v>
      </c>
    </row>
    <row customHeight="1" ht="11.25">
      <c r="A70" s="1441" t="s">
        <v>240</v>
      </c>
      <c r="B70" s="0" t="s">
        <v>240</v>
      </c>
      <c r="C70" s="0" t="s">
        <v>240</v>
      </c>
      <c r="D70" s="0" t="s">
        <v>240</v>
      </c>
      <c r="E70" s="0" t="s">
        <v>240</v>
      </c>
      <c r="F70" s="0" t="s">
        <v>240</v>
      </c>
      <c r="G70" s="0" t="s">
        <v>240</v>
      </c>
      <c r="H70" s="0" t="s">
        <v>240</v>
      </c>
      <c r="I70" s="0" t="s">
        <v>5484</v>
      </c>
      <c r="J70" s="0" t="s">
        <v>240</v>
      </c>
      <c r="K70" s="0" t="s">
        <v>240</v>
      </c>
      <c r="L70" s="0" t="s">
        <v>240</v>
      </c>
      <c r="M70" s="0" t="s">
        <v>240</v>
      </c>
      <c r="N70" s="0" t="s">
        <v>240</v>
      </c>
      <c r="O70" s="0" t="s">
        <v>240</v>
      </c>
      <c r="P70" s="0" t="s">
        <v>240</v>
      </c>
      <c r="Q70" s="0" t="s">
        <v>240</v>
      </c>
      <c r="R70" s="0" t="s">
        <v>473</v>
      </c>
      <c r="S70" s="0" t="s">
        <v>240</v>
      </c>
      <c r="T70" s="0" t="s">
        <v>240</v>
      </c>
      <c r="U70" s="0" t="s">
        <v>102</v>
      </c>
      <c r="V70" s="0" t="s">
        <v>240</v>
      </c>
      <c r="W70" s="0" t="s">
        <v>240</v>
      </c>
      <c r="X70" s="0" t="s">
        <v>5485</v>
      </c>
      <c r="Y70" s="0" t="s">
        <v>240</v>
      </c>
      <c r="Z70" s="0" t="s">
        <v>161</v>
      </c>
      <c r="AA70" s="0" t="s">
        <v>152</v>
      </c>
      <c r="AB70" s="0" t="s">
        <v>152</v>
      </c>
      <c r="AC70" s="0" t="s">
        <v>364</v>
      </c>
      <c r="AD70" s="0" t="s">
        <v>364</v>
      </c>
      <c r="AE70" s="0" t="s">
        <v>365</v>
      </c>
      <c r="AF70" s="0" t="s">
        <v>5486</v>
      </c>
      <c r="AG70" s="0" t="s">
        <v>5487</v>
      </c>
      <c r="AH70" s="0" t="s">
        <v>5900</v>
      </c>
      <c r="AI70" s="0" t="s">
        <v>5901</v>
      </c>
      <c r="AJ70" s="0" t="s">
        <v>5494</v>
      </c>
      <c r="AK70" s="0" t="s">
        <v>5902</v>
      </c>
      <c r="AL70" s="0" t="s">
        <v>5492</v>
      </c>
      <c r="AM70" s="0" t="s">
        <v>5493</v>
      </c>
      <c r="AN70" s="0" t="s">
        <v>5903</v>
      </c>
      <c r="AO70" s="0" t="s">
        <v>5619</v>
      </c>
      <c r="AP70" s="0" t="s">
        <v>240</v>
      </c>
      <c r="AQ70" s="0" t="s">
        <v>240</v>
      </c>
      <c r="AR70" s="0" t="s">
        <v>240</v>
      </c>
      <c r="AS70" s="0" t="s">
        <v>240</v>
      </c>
      <c r="AT70" s="0" t="s">
        <v>240</v>
      </c>
      <c r="AU70" s="0" t="s">
        <v>240</v>
      </c>
      <c r="AV70" s="0" t="s">
        <v>240</v>
      </c>
      <c r="AW70" s="0" t="s">
        <v>240</v>
      </c>
      <c r="AX70" s="0" t="s">
        <v>240</v>
      </c>
      <c r="AY70" s="0" t="s">
        <v>240</v>
      </c>
      <c r="AZ70" s="0" t="s">
        <v>240</v>
      </c>
      <c r="BA70" s="0" t="s">
        <v>240</v>
      </c>
      <c r="BB70" s="0" t="s">
        <v>240</v>
      </c>
      <c r="BC70" s="0" t="s">
        <v>240</v>
      </c>
      <c r="BD70" s="0" t="s">
        <v>240</v>
      </c>
      <c r="BE70" s="0" t="s">
        <v>240</v>
      </c>
      <c r="BF70" s="0" t="s">
        <v>240</v>
      </c>
      <c r="BG70" s="0" t="s">
        <v>240</v>
      </c>
      <c r="BH70" s="0" t="s">
        <v>240</v>
      </c>
      <c r="BI70" s="0" t="s">
        <v>240</v>
      </c>
      <c r="BJ70" s="0" t="s">
        <v>240</v>
      </c>
      <c r="BK70" s="0" t="s">
        <v>240</v>
      </c>
      <c r="BL70" s="0" t="s">
        <v>240</v>
      </c>
      <c r="BM70" s="0" t="s">
        <v>240</v>
      </c>
      <c r="BN70" s="0" t="s">
        <v>240</v>
      </c>
      <c r="BO70" s="0" t="s">
        <v>240</v>
      </c>
      <c r="BP70" s="0" t="s">
        <v>240</v>
      </c>
      <c r="BQ70" s="0" t="s">
        <v>240</v>
      </c>
      <c r="BR70" s="0" t="s">
        <v>240</v>
      </c>
      <c r="BS70" s="0" t="s">
        <v>240</v>
      </c>
      <c r="BT70" s="0" t="s">
        <v>240</v>
      </c>
      <c r="BU70" s="0" t="s">
        <v>240</v>
      </c>
      <c r="BV70" s="0" t="s">
        <v>240</v>
      </c>
      <c r="BW70" s="0" t="s">
        <v>240</v>
      </c>
      <c r="BX70" s="0" t="s">
        <v>240</v>
      </c>
      <c r="BY70" s="0" t="s">
        <v>240</v>
      </c>
      <c r="BZ70" s="0" t="s">
        <v>240</v>
      </c>
      <c r="CA70" s="0" t="s">
        <v>240</v>
      </c>
      <c r="CB70" s="0" t="s">
        <v>240</v>
      </c>
      <c r="CC70" s="0" t="s">
        <v>240</v>
      </c>
      <c r="CD70" s="0" t="s">
        <v>240</v>
      </c>
      <c r="CE70" s="0" t="s">
        <v>240</v>
      </c>
      <c r="CF70" s="0" t="s">
        <v>240</v>
      </c>
      <c r="CG70" s="0" t="s">
        <v>240</v>
      </c>
      <c r="CH70" s="0" t="s">
        <v>240</v>
      </c>
      <c r="CI70" s="0" t="s">
        <v>240</v>
      </c>
      <c r="CJ70" s="0" t="s">
        <v>240</v>
      </c>
      <c r="CK70" s="0" t="s">
        <v>240</v>
      </c>
      <c r="CL70" s="0" t="s">
        <v>240</v>
      </c>
      <c r="CM70" s="0" t="s">
        <v>240</v>
      </c>
      <c r="CN70" s="0" t="s">
        <v>240</v>
      </c>
      <c r="CO70" s="0" t="s">
        <v>240</v>
      </c>
      <c r="CP70" s="0" t="s">
        <v>240</v>
      </c>
      <c r="CQ70" s="0" t="s">
        <v>240</v>
      </c>
      <c r="CR70" s="0" t="s">
        <v>240</v>
      </c>
      <c r="CS70" s="0" t="s">
        <v>240</v>
      </c>
      <c r="CT70" s="0" t="s">
        <v>5496</v>
      </c>
      <c r="CU70" s="0" t="s">
        <v>5497</v>
      </c>
      <c r="CV70" s="0" t="s">
        <v>443</v>
      </c>
      <c r="CW70" s="0" t="s">
        <v>5498</v>
      </c>
      <c r="CX70" s="0" t="s">
        <v>229</v>
      </c>
      <c r="CY70" s="0" t="s">
        <v>443</v>
      </c>
      <c r="CZ70" s="0" t="s">
        <v>230</v>
      </c>
      <c r="DA70" s="0" t="s">
        <v>444</v>
      </c>
      <c r="DB70" s="0" t="s">
        <v>5498</v>
      </c>
      <c r="DC70" s="0" t="s">
        <v>384</v>
      </c>
      <c r="DD70" s="0" t="s">
        <v>291</v>
      </c>
      <c r="DE70" s="0" t="s">
        <v>474</v>
      </c>
    </row>
    <row customHeight="1" ht="11.25">
      <c r="A71" s="1441" t="s">
        <v>240</v>
      </c>
      <c r="B71" s="0" t="s">
        <v>240</v>
      </c>
      <c r="C71" s="0" t="s">
        <v>240</v>
      </c>
      <c r="D71" s="0" t="s">
        <v>240</v>
      </c>
      <c r="E71" s="0" t="s">
        <v>240</v>
      </c>
      <c r="F71" s="0" t="s">
        <v>240</v>
      </c>
      <c r="G71" s="0" t="s">
        <v>240</v>
      </c>
      <c r="H71" s="0" t="s">
        <v>240</v>
      </c>
      <c r="I71" s="0" t="s">
        <v>5484</v>
      </c>
      <c r="J71" s="0" t="s">
        <v>240</v>
      </c>
      <c r="K71" s="0" t="s">
        <v>240</v>
      </c>
      <c r="L71" s="0" t="s">
        <v>240</v>
      </c>
      <c r="M71" s="0" t="s">
        <v>240</v>
      </c>
      <c r="N71" s="0" t="s">
        <v>240</v>
      </c>
      <c r="O71" s="0" t="s">
        <v>240</v>
      </c>
      <c r="P71" s="0" t="s">
        <v>240</v>
      </c>
      <c r="Q71" s="0" t="s">
        <v>240</v>
      </c>
      <c r="R71" s="0" t="s">
        <v>5904</v>
      </c>
      <c r="S71" s="0" t="s">
        <v>240</v>
      </c>
      <c r="T71" s="0" t="s">
        <v>240</v>
      </c>
      <c r="U71" s="0" t="s">
        <v>102</v>
      </c>
      <c r="V71" s="0" t="s">
        <v>240</v>
      </c>
      <c r="W71" s="0" t="s">
        <v>240</v>
      </c>
      <c r="X71" s="0" t="s">
        <v>5905</v>
      </c>
      <c r="Y71" s="0" t="s">
        <v>240</v>
      </c>
      <c r="Z71" s="0" t="s">
        <v>152</v>
      </c>
      <c r="AA71" s="0" t="s">
        <v>161</v>
      </c>
      <c r="AB71" s="0" t="s">
        <v>152</v>
      </c>
      <c r="AC71" s="0" t="s">
        <v>3389</v>
      </c>
      <c r="AD71" s="0" t="s">
        <v>3389</v>
      </c>
      <c r="AE71" s="0" t="s">
        <v>3390</v>
      </c>
      <c r="AF71" s="0" t="s">
        <v>5519</v>
      </c>
      <c r="AG71" s="0" t="s">
        <v>5520</v>
      </c>
      <c r="AH71" s="0" t="s">
        <v>5566</v>
      </c>
      <c r="AI71" s="0" t="s">
        <v>5567</v>
      </c>
      <c r="AJ71" s="0" t="s">
        <v>240</v>
      </c>
      <c r="AK71" s="0" t="s">
        <v>240</v>
      </c>
      <c r="AL71" s="0" t="s">
        <v>240</v>
      </c>
      <c r="AM71" s="0" t="s">
        <v>240</v>
      </c>
      <c r="AN71" s="0" t="s">
        <v>240</v>
      </c>
      <c r="AO71" s="0" t="s">
        <v>240</v>
      </c>
      <c r="AP71" s="0" t="s">
        <v>5906</v>
      </c>
      <c r="AQ71" s="0" t="s">
        <v>5907</v>
      </c>
      <c r="AR71" s="0" t="s">
        <v>112</v>
      </c>
      <c r="AS71" s="0" t="s">
        <v>5589</v>
      </c>
      <c r="AT71" s="0" t="s">
        <v>123</v>
      </c>
      <c r="AU71" s="0" t="s">
        <v>240</v>
      </c>
      <c r="AV71" s="0" t="s">
        <v>5908</v>
      </c>
      <c r="AW71" s="0" t="s">
        <v>2962</v>
      </c>
      <c r="AX71" s="0" t="s">
        <v>2962</v>
      </c>
      <c r="AY71" s="0" t="s">
        <v>5909</v>
      </c>
      <c r="AZ71" s="0" t="s">
        <v>5910</v>
      </c>
      <c r="BA71" s="0" t="s">
        <v>5911</v>
      </c>
      <c r="BB71" s="0" t="s">
        <v>5566</v>
      </c>
      <c r="BC71" s="0" t="s">
        <v>5567</v>
      </c>
      <c r="BD71" s="0" t="s">
        <v>5912</v>
      </c>
      <c r="BE71" s="0" t="s">
        <v>240</v>
      </c>
      <c r="BF71" s="0" t="s">
        <v>240</v>
      </c>
      <c r="BG71" s="0" t="s">
        <v>240</v>
      </c>
      <c r="BH71" s="0" t="s">
        <v>240</v>
      </c>
      <c r="BI71" s="0" t="s">
        <v>240</v>
      </c>
      <c r="BJ71" s="0" t="s">
        <v>240</v>
      </c>
      <c r="BK71" s="0" t="s">
        <v>240</v>
      </c>
      <c r="BL71" s="0" t="s">
        <v>240</v>
      </c>
      <c r="BM71" s="0" t="s">
        <v>240</v>
      </c>
      <c r="BN71" s="0" t="s">
        <v>240</v>
      </c>
      <c r="BO71" s="0" t="s">
        <v>240</v>
      </c>
      <c r="BP71" s="0" t="s">
        <v>240</v>
      </c>
      <c r="BQ71" s="0" t="s">
        <v>240</v>
      </c>
      <c r="BR71" s="0" t="s">
        <v>240</v>
      </c>
      <c r="BS71" s="0" t="s">
        <v>240</v>
      </c>
      <c r="BT71" s="0" t="s">
        <v>240</v>
      </c>
      <c r="BU71" s="0" t="s">
        <v>240</v>
      </c>
      <c r="BV71" s="0" t="s">
        <v>240</v>
      </c>
      <c r="BW71" s="0" t="s">
        <v>240</v>
      </c>
      <c r="BX71" s="0" t="s">
        <v>240</v>
      </c>
      <c r="BY71" s="0" t="s">
        <v>240</v>
      </c>
      <c r="BZ71" s="0" t="s">
        <v>240</v>
      </c>
      <c r="CA71" s="0" t="s">
        <v>240</v>
      </c>
      <c r="CB71" s="0" t="s">
        <v>240</v>
      </c>
      <c r="CC71" s="0" t="s">
        <v>240</v>
      </c>
      <c r="CD71" s="0" t="s">
        <v>240</v>
      </c>
      <c r="CE71" s="0" t="s">
        <v>240</v>
      </c>
      <c r="CF71" s="0" t="s">
        <v>240</v>
      </c>
      <c r="CG71" s="0" t="s">
        <v>240</v>
      </c>
      <c r="CH71" s="0" t="s">
        <v>240</v>
      </c>
      <c r="CI71" s="0" t="s">
        <v>240</v>
      </c>
      <c r="CJ71" s="0" t="s">
        <v>240</v>
      </c>
      <c r="CK71" s="0" t="s">
        <v>240</v>
      </c>
      <c r="CL71" s="0" t="s">
        <v>240</v>
      </c>
      <c r="CM71" s="0" t="s">
        <v>240</v>
      </c>
      <c r="CN71" s="0" t="s">
        <v>240</v>
      </c>
      <c r="CO71" s="0" t="s">
        <v>240</v>
      </c>
      <c r="CP71" s="0" t="s">
        <v>240</v>
      </c>
      <c r="CQ71" s="0" t="s">
        <v>240</v>
      </c>
      <c r="CR71" s="0" t="s">
        <v>240</v>
      </c>
      <c r="CS71" s="0" t="s">
        <v>240</v>
      </c>
      <c r="CT71" s="0" t="s">
        <v>5496</v>
      </c>
      <c r="CU71" s="0" t="s">
        <v>5497</v>
      </c>
      <c r="CV71" s="0" t="s">
        <v>443</v>
      </c>
      <c r="CW71" s="0" t="s">
        <v>5527</v>
      </c>
      <c r="CX71" s="0" t="s">
        <v>5528</v>
      </c>
      <c r="CY71" s="0" t="s">
        <v>443</v>
      </c>
      <c r="CZ71" s="0" t="s">
        <v>299</v>
      </c>
      <c r="DA71" s="0" t="s">
        <v>5529</v>
      </c>
      <c r="DB71" s="0" t="s">
        <v>5527</v>
      </c>
      <c r="DC71" s="0" t="s">
        <v>384</v>
      </c>
      <c r="DD71" s="0" t="s">
        <v>291</v>
      </c>
      <c r="DE71" s="0" t="s">
        <v>5571</v>
      </c>
    </row>
    <row customHeight="1" ht="11.25">
      <c r="A72" s="1441" t="s">
        <v>240</v>
      </c>
      <c r="B72" s="0" t="s">
        <v>240</v>
      </c>
      <c r="C72" s="0" t="s">
        <v>240</v>
      </c>
      <c r="D72" s="0" t="s">
        <v>240</v>
      </c>
      <c r="E72" s="0" t="s">
        <v>240</v>
      </c>
      <c r="F72" s="0" t="s">
        <v>240</v>
      </c>
      <c r="G72" s="0" t="s">
        <v>240</v>
      </c>
      <c r="H72" s="0" t="s">
        <v>240</v>
      </c>
      <c r="I72" s="0" t="s">
        <v>5484</v>
      </c>
      <c r="J72" s="0" t="s">
        <v>240</v>
      </c>
      <c r="K72" s="0" t="s">
        <v>240</v>
      </c>
      <c r="L72" s="0" t="s">
        <v>240</v>
      </c>
      <c r="M72" s="0" t="s">
        <v>240</v>
      </c>
      <c r="N72" s="0" t="s">
        <v>240</v>
      </c>
      <c r="O72" s="0" t="s">
        <v>240</v>
      </c>
      <c r="P72" s="0" t="s">
        <v>240</v>
      </c>
      <c r="Q72" s="0" t="s">
        <v>240</v>
      </c>
      <c r="R72" s="0" t="s">
        <v>449</v>
      </c>
      <c r="S72" s="0" t="s">
        <v>240</v>
      </c>
      <c r="T72" s="0" t="s">
        <v>240</v>
      </c>
      <c r="U72" s="0" t="s">
        <v>102</v>
      </c>
      <c r="V72" s="0" t="s">
        <v>240</v>
      </c>
      <c r="W72" s="0" t="s">
        <v>240</v>
      </c>
      <c r="X72" s="0" t="s">
        <v>5585</v>
      </c>
      <c r="Y72" s="0" t="s">
        <v>240</v>
      </c>
      <c r="Z72" s="0" t="s">
        <v>152</v>
      </c>
      <c r="AA72" s="0" t="s">
        <v>152</v>
      </c>
      <c r="AB72" s="0" t="s">
        <v>161</v>
      </c>
      <c r="AC72" s="0" t="s">
        <v>2985</v>
      </c>
      <c r="AD72" s="0" t="s">
        <v>2985</v>
      </c>
      <c r="AE72" s="0" t="s">
        <v>2986</v>
      </c>
      <c r="AF72" s="0" t="s">
        <v>5913</v>
      </c>
      <c r="AG72" s="0" t="s">
        <v>5914</v>
      </c>
      <c r="AH72" s="0" t="s">
        <v>5915</v>
      </c>
      <c r="AI72" s="0" t="s">
        <v>5644</v>
      </c>
      <c r="AJ72" s="0" t="s">
        <v>240</v>
      </c>
      <c r="AK72" s="0" t="s">
        <v>240</v>
      </c>
      <c r="AL72" s="0" t="s">
        <v>240</v>
      </c>
      <c r="AM72" s="0" t="s">
        <v>240</v>
      </c>
      <c r="AN72" s="0" t="s">
        <v>240</v>
      </c>
      <c r="AO72" s="0" t="s">
        <v>240</v>
      </c>
      <c r="AP72" s="0" t="s">
        <v>240</v>
      </c>
      <c r="AQ72" s="0" t="s">
        <v>240</v>
      </c>
      <c r="AR72" s="0" t="s">
        <v>240</v>
      </c>
      <c r="AS72" s="0" t="s">
        <v>240</v>
      </c>
      <c r="AT72" s="0" t="s">
        <v>240</v>
      </c>
      <c r="AU72" s="0" t="s">
        <v>240</v>
      </c>
      <c r="AV72" s="0" t="s">
        <v>240</v>
      </c>
      <c r="AW72" s="0" t="s">
        <v>240</v>
      </c>
      <c r="AX72" s="0" t="s">
        <v>240</v>
      </c>
      <c r="AY72" s="0" t="s">
        <v>240</v>
      </c>
      <c r="AZ72" s="0" t="s">
        <v>240</v>
      </c>
      <c r="BA72" s="0" t="s">
        <v>240</v>
      </c>
      <c r="BB72" s="0" t="s">
        <v>240</v>
      </c>
      <c r="BC72" s="0" t="s">
        <v>240</v>
      </c>
      <c r="BD72" s="0" t="s">
        <v>240</v>
      </c>
      <c r="BE72" s="0" t="s">
        <v>5645</v>
      </c>
      <c r="BF72" s="0" t="s">
        <v>5645</v>
      </c>
      <c r="BG72" s="0" t="s">
        <v>112</v>
      </c>
      <c r="BH72" s="0" t="s">
        <v>5589</v>
      </c>
      <c r="BI72" s="0" t="s">
        <v>123</v>
      </c>
      <c r="BJ72" s="0" t="s">
        <v>240</v>
      </c>
      <c r="BK72" s="0" t="s">
        <v>5608</v>
      </c>
      <c r="BL72" s="0" t="s">
        <v>2985</v>
      </c>
      <c r="BM72" s="0" t="s">
        <v>2985</v>
      </c>
      <c r="BN72" s="0" t="s">
        <v>5646</v>
      </c>
      <c r="BO72" s="0" t="s">
        <v>5913</v>
      </c>
      <c r="BP72" s="0" t="s">
        <v>5916</v>
      </c>
      <c r="BQ72" s="0" t="s">
        <v>5917</v>
      </c>
      <c r="BR72" s="0" t="s">
        <v>485</v>
      </c>
      <c r="BS72" s="0" t="s">
        <v>240</v>
      </c>
      <c r="BT72" s="0" t="s">
        <v>5650</v>
      </c>
      <c r="BU72" s="0" t="s">
        <v>5918</v>
      </c>
      <c r="BV72" s="0" t="s">
        <v>5918</v>
      </c>
      <c r="BW72" s="0" t="s">
        <v>5598</v>
      </c>
      <c r="BX72" s="0" t="s">
        <v>5598</v>
      </c>
      <c r="BY72" s="0" t="s">
        <v>5598</v>
      </c>
      <c r="BZ72" s="0" t="s">
        <v>5598</v>
      </c>
      <c r="CA72" s="0" t="s">
        <v>5598</v>
      </c>
      <c r="CB72" s="0" t="s">
        <v>240</v>
      </c>
      <c r="CC72" s="0" t="s">
        <v>240</v>
      </c>
      <c r="CD72" s="0" t="s">
        <v>240</v>
      </c>
      <c r="CE72" s="0" t="s">
        <v>240</v>
      </c>
      <c r="CF72" s="0" t="s">
        <v>240</v>
      </c>
      <c r="CG72" s="0" t="s">
        <v>5598</v>
      </c>
      <c r="CH72" s="0" t="s">
        <v>240</v>
      </c>
      <c r="CI72" s="0" t="s">
        <v>240</v>
      </c>
      <c r="CJ72" s="0" t="s">
        <v>240</v>
      </c>
      <c r="CK72" s="0" t="s">
        <v>240</v>
      </c>
      <c r="CL72" s="0" t="s">
        <v>240</v>
      </c>
      <c r="CM72" s="0" t="s">
        <v>5918</v>
      </c>
      <c r="CN72" s="0" t="s">
        <v>5918</v>
      </c>
      <c r="CO72" s="0" t="s">
        <v>240</v>
      </c>
      <c r="CP72" s="0" t="s">
        <v>240</v>
      </c>
      <c r="CQ72" s="0" t="s">
        <v>240</v>
      </c>
      <c r="CR72" s="0" t="s">
        <v>240</v>
      </c>
      <c r="CS72" s="0" t="s">
        <v>5507</v>
      </c>
      <c r="CT72" s="0" t="s">
        <v>5496</v>
      </c>
      <c r="CU72" s="0" t="s">
        <v>5497</v>
      </c>
      <c r="CV72" s="0" t="s">
        <v>443</v>
      </c>
      <c r="CW72" s="0" t="s">
        <v>5509</v>
      </c>
      <c r="CX72" s="0" t="s">
        <v>229</v>
      </c>
      <c r="CY72" s="0" t="s">
        <v>443</v>
      </c>
      <c r="CZ72" s="0" t="s">
        <v>5510</v>
      </c>
      <c r="DA72" s="0" t="s">
        <v>5511</v>
      </c>
      <c r="DB72" s="0" t="s">
        <v>5509</v>
      </c>
      <c r="DC72" s="0" t="s">
        <v>384</v>
      </c>
      <c r="DD72" s="0" t="s">
        <v>291</v>
      </c>
      <c r="DE72" s="0" t="s">
        <v>5919</v>
      </c>
    </row>
    <row customHeight="1" ht="11.25">
      <c r="A73" s="1441" t="s">
        <v>240</v>
      </c>
      <c r="B73" s="0" t="s">
        <v>240</v>
      </c>
      <c r="C73" s="0" t="s">
        <v>240</v>
      </c>
      <c r="D73" s="0" t="s">
        <v>240</v>
      </c>
      <c r="E73" s="0" t="s">
        <v>240</v>
      </c>
      <c r="F73" s="0" t="s">
        <v>240</v>
      </c>
      <c r="G73" s="0" t="s">
        <v>240</v>
      </c>
      <c r="H73" s="0" t="s">
        <v>240</v>
      </c>
      <c r="I73" s="0" t="s">
        <v>5484</v>
      </c>
      <c r="J73" s="0" t="s">
        <v>240</v>
      </c>
      <c r="K73" s="0" t="s">
        <v>240</v>
      </c>
      <c r="L73" s="0" t="s">
        <v>240</v>
      </c>
      <c r="M73" s="0" t="s">
        <v>240</v>
      </c>
      <c r="N73" s="0" t="s">
        <v>240</v>
      </c>
      <c r="O73" s="0" t="s">
        <v>240</v>
      </c>
      <c r="P73" s="0" t="s">
        <v>240</v>
      </c>
      <c r="Q73" s="0" t="s">
        <v>240</v>
      </c>
      <c r="R73" s="0" t="s">
        <v>5705</v>
      </c>
      <c r="S73" s="0" t="s">
        <v>240</v>
      </c>
      <c r="T73" s="0" t="s">
        <v>240</v>
      </c>
      <c r="U73" s="0" t="s">
        <v>102</v>
      </c>
      <c r="V73" s="0" t="s">
        <v>240</v>
      </c>
      <c r="W73" s="0" t="s">
        <v>240</v>
      </c>
      <c r="X73" s="0" t="s">
        <v>5585</v>
      </c>
      <c r="Y73" s="0" t="s">
        <v>240</v>
      </c>
      <c r="Z73" s="0" t="s">
        <v>152</v>
      </c>
      <c r="AA73" s="0" t="s">
        <v>152</v>
      </c>
      <c r="AB73" s="0" t="s">
        <v>161</v>
      </c>
      <c r="AC73" s="0" t="s">
        <v>2985</v>
      </c>
      <c r="AD73" s="0" t="s">
        <v>2985</v>
      </c>
      <c r="AE73" s="0" t="s">
        <v>2986</v>
      </c>
      <c r="AF73" s="0" t="s">
        <v>5913</v>
      </c>
      <c r="AG73" s="0" t="s">
        <v>5914</v>
      </c>
      <c r="AH73" s="0" t="s">
        <v>5920</v>
      </c>
      <c r="AI73" s="0" t="s">
        <v>5644</v>
      </c>
      <c r="AJ73" s="0" t="s">
        <v>240</v>
      </c>
      <c r="AK73" s="0" t="s">
        <v>240</v>
      </c>
      <c r="AL73" s="0" t="s">
        <v>240</v>
      </c>
      <c r="AM73" s="0" t="s">
        <v>240</v>
      </c>
      <c r="AN73" s="0" t="s">
        <v>240</v>
      </c>
      <c r="AO73" s="0" t="s">
        <v>240</v>
      </c>
      <c r="AP73" s="0" t="s">
        <v>240</v>
      </c>
      <c r="AQ73" s="0" t="s">
        <v>240</v>
      </c>
      <c r="AR73" s="0" t="s">
        <v>240</v>
      </c>
      <c r="AS73" s="0" t="s">
        <v>240</v>
      </c>
      <c r="AT73" s="0" t="s">
        <v>240</v>
      </c>
      <c r="AU73" s="0" t="s">
        <v>240</v>
      </c>
      <c r="AV73" s="0" t="s">
        <v>240</v>
      </c>
      <c r="AW73" s="0" t="s">
        <v>240</v>
      </c>
      <c r="AX73" s="0" t="s">
        <v>240</v>
      </c>
      <c r="AY73" s="0" t="s">
        <v>240</v>
      </c>
      <c r="AZ73" s="0" t="s">
        <v>240</v>
      </c>
      <c r="BA73" s="0" t="s">
        <v>240</v>
      </c>
      <c r="BB73" s="0" t="s">
        <v>240</v>
      </c>
      <c r="BC73" s="0" t="s">
        <v>240</v>
      </c>
      <c r="BD73" s="0" t="s">
        <v>240</v>
      </c>
      <c r="BE73" s="0" t="s">
        <v>5645</v>
      </c>
      <c r="BF73" s="0" t="s">
        <v>5645</v>
      </c>
      <c r="BG73" s="0" t="s">
        <v>112</v>
      </c>
      <c r="BH73" s="0" t="s">
        <v>5589</v>
      </c>
      <c r="BI73" s="0" t="s">
        <v>123</v>
      </c>
      <c r="BJ73" s="0" t="s">
        <v>240</v>
      </c>
      <c r="BK73" s="0" t="s">
        <v>5608</v>
      </c>
      <c r="BL73" s="0" t="s">
        <v>2985</v>
      </c>
      <c r="BM73" s="0" t="s">
        <v>2985</v>
      </c>
      <c r="BN73" s="0" t="s">
        <v>5646</v>
      </c>
      <c r="BO73" s="0" t="s">
        <v>5913</v>
      </c>
      <c r="BP73" s="0" t="s">
        <v>5916</v>
      </c>
      <c r="BQ73" s="0" t="s">
        <v>5921</v>
      </c>
      <c r="BR73" s="0" t="s">
        <v>485</v>
      </c>
      <c r="BS73" s="0" t="s">
        <v>240</v>
      </c>
      <c r="BT73" s="0" t="s">
        <v>5650</v>
      </c>
      <c r="BU73" s="0" t="s">
        <v>5922</v>
      </c>
      <c r="BV73" s="0" t="s">
        <v>5922</v>
      </c>
      <c r="BW73" s="0" t="s">
        <v>5598</v>
      </c>
      <c r="BX73" s="0" t="s">
        <v>5598</v>
      </c>
      <c r="BY73" s="0" t="s">
        <v>5598</v>
      </c>
      <c r="BZ73" s="0" t="s">
        <v>5598</v>
      </c>
      <c r="CA73" s="0" t="s">
        <v>5598</v>
      </c>
      <c r="CB73" s="0" t="s">
        <v>240</v>
      </c>
      <c r="CC73" s="0" t="s">
        <v>240</v>
      </c>
      <c r="CD73" s="0" t="s">
        <v>240</v>
      </c>
      <c r="CE73" s="0" t="s">
        <v>240</v>
      </c>
      <c r="CF73" s="0" t="s">
        <v>240</v>
      </c>
      <c r="CG73" s="0" t="s">
        <v>5598</v>
      </c>
      <c r="CH73" s="0" t="s">
        <v>240</v>
      </c>
      <c r="CI73" s="0" t="s">
        <v>240</v>
      </c>
      <c r="CJ73" s="0" t="s">
        <v>240</v>
      </c>
      <c r="CK73" s="0" t="s">
        <v>240</v>
      </c>
      <c r="CL73" s="0" t="s">
        <v>240</v>
      </c>
      <c r="CM73" s="0" t="s">
        <v>5922</v>
      </c>
      <c r="CN73" s="0" t="s">
        <v>5922</v>
      </c>
      <c r="CO73" s="0" t="s">
        <v>240</v>
      </c>
      <c r="CP73" s="0" t="s">
        <v>240</v>
      </c>
      <c r="CQ73" s="0" t="s">
        <v>240</v>
      </c>
      <c r="CR73" s="0" t="s">
        <v>240</v>
      </c>
      <c r="CS73" s="0" t="s">
        <v>5507</v>
      </c>
      <c r="CT73" s="0" t="s">
        <v>5496</v>
      </c>
      <c r="CU73" s="0" t="s">
        <v>5497</v>
      </c>
      <c r="CV73" s="0" t="s">
        <v>443</v>
      </c>
      <c r="CW73" s="0" t="s">
        <v>5509</v>
      </c>
      <c r="CX73" s="0" t="s">
        <v>229</v>
      </c>
      <c r="CY73" s="0" t="s">
        <v>443</v>
      </c>
      <c r="CZ73" s="0" t="s">
        <v>5510</v>
      </c>
      <c r="DA73" s="0" t="s">
        <v>5511</v>
      </c>
      <c r="DB73" s="0" t="s">
        <v>5509</v>
      </c>
      <c r="DC73" s="0" t="s">
        <v>384</v>
      </c>
      <c r="DD73" s="0" t="s">
        <v>291</v>
      </c>
      <c r="DE73" s="0" t="s">
        <v>5923</v>
      </c>
    </row>
    <row customHeight="1" ht="11.25">
      <c r="A74" s="1441" t="s">
        <v>240</v>
      </c>
      <c r="B74" s="0" t="s">
        <v>240</v>
      </c>
      <c r="C74" s="0" t="s">
        <v>240</v>
      </c>
      <c r="D74" s="0" t="s">
        <v>240</v>
      </c>
      <c r="E74" s="0" t="s">
        <v>240</v>
      </c>
      <c r="F74" s="0" t="s">
        <v>240</v>
      </c>
      <c r="G74" s="0" t="s">
        <v>240</v>
      </c>
      <c r="H74" s="0" t="s">
        <v>240</v>
      </c>
      <c r="I74" s="0" t="s">
        <v>5484</v>
      </c>
      <c r="J74" s="0" t="s">
        <v>240</v>
      </c>
      <c r="K74" s="0" t="s">
        <v>240</v>
      </c>
      <c r="L74" s="0" t="s">
        <v>240</v>
      </c>
      <c r="M74" s="0" t="s">
        <v>240</v>
      </c>
      <c r="N74" s="0" t="s">
        <v>240</v>
      </c>
      <c r="O74" s="0" t="s">
        <v>240</v>
      </c>
      <c r="P74" s="0" t="s">
        <v>240</v>
      </c>
      <c r="Q74" s="0" t="s">
        <v>240</v>
      </c>
      <c r="R74" s="0" t="s">
        <v>5924</v>
      </c>
      <c r="S74" s="0" t="s">
        <v>240</v>
      </c>
      <c r="T74" s="0" t="s">
        <v>240</v>
      </c>
      <c r="U74" s="0" t="s">
        <v>102</v>
      </c>
      <c r="V74" s="0" t="s">
        <v>240</v>
      </c>
      <c r="W74" s="0" t="s">
        <v>240</v>
      </c>
      <c r="X74" s="0" t="s">
        <v>5485</v>
      </c>
      <c r="Y74" s="0" t="s">
        <v>240</v>
      </c>
      <c r="Z74" s="0" t="s">
        <v>161</v>
      </c>
      <c r="AA74" s="0" t="s">
        <v>152</v>
      </c>
      <c r="AB74" s="0" t="s">
        <v>152</v>
      </c>
      <c r="AC74" s="0" t="s">
        <v>2991</v>
      </c>
      <c r="AD74" s="0" t="s">
        <v>2991</v>
      </c>
      <c r="AE74" s="0" t="s">
        <v>2992</v>
      </c>
      <c r="AF74" s="0" t="s">
        <v>5540</v>
      </c>
      <c r="AG74" s="0" t="s">
        <v>5541</v>
      </c>
      <c r="AH74" s="0" t="s">
        <v>5542</v>
      </c>
      <c r="AI74" s="0" t="s">
        <v>5925</v>
      </c>
      <c r="AJ74" s="0" t="s">
        <v>5504</v>
      </c>
      <c r="AK74" s="0" t="s">
        <v>5731</v>
      </c>
      <c r="AL74" s="0" t="s">
        <v>5506</v>
      </c>
      <c r="AM74" s="0" t="s">
        <v>5493</v>
      </c>
      <c r="AN74" s="0" t="s">
        <v>5491</v>
      </c>
      <c r="AO74" s="0" t="s">
        <v>5546</v>
      </c>
      <c r="AP74" s="0" t="s">
        <v>240</v>
      </c>
      <c r="AQ74" s="0" t="s">
        <v>240</v>
      </c>
      <c r="AR74" s="0" t="s">
        <v>240</v>
      </c>
      <c r="AS74" s="0" t="s">
        <v>240</v>
      </c>
      <c r="AT74" s="0" t="s">
        <v>240</v>
      </c>
      <c r="AU74" s="0" t="s">
        <v>240</v>
      </c>
      <c r="AV74" s="0" t="s">
        <v>240</v>
      </c>
      <c r="AW74" s="0" t="s">
        <v>240</v>
      </c>
      <c r="AX74" s="0" t="s">
        <v>240</v>
      </c>
      <c r="AY74" s="0" t="s">
        <v>240</v>
      </c>
      <c r="AZ74" s="0" t="s">
        <v>240</v>
      </c>
      <c r="BA74" s="0" t="s">
        <v>240</v>
      </c>
      <c r="BB74" s="0" t="s">
        <v>240</v>
      </c>
      <c r="BC74" s="0" t="s">
        <v>240</v>
      </c>
      <c r="BD74" s="0" t="s">
        <v>240</v>
      </c>
      <c r="BE74" s="0" t="s">
        <v>240</v>
      </c>
      <c r="BF74" s="0" t="s">
        <v>240</v>
      </c>
      <c r="BG74" s="0" t="s">
        <v>240</v>
      </c>
      <c r="BH74" s="0" t="s">
        <v>240</v>
      </c>
      <c r="BI74" s="0" t="s">
        <v>240</v>
      </c>
      <c r="BJ74" s="0" t="s">
        <v>240</v>
      </c>
      <c r="BK74" s="0" t="s">
        <v>240</v>
      </c>
      <c r="BL74" s="0" t="s">
        <v>240</v>
      </c>
      <c r="BM74" s="0" t="s">
        <v>240</v>
      </c>
      <c r="BN74" s="0" t="s">
        <v>240</v>
      </c>
      <c r="BO74" s="0" t="s">
        <v>240</v>
      </c>
      <c r="BP74" s="0" t="s">
        <v>240</v>
      </c>
      <c r="BQ74" s="0" t="s">
        <v>240</v>
      </c>
      <c r="BR74" s="0" t="s">
        <v>240</v>
      </c>
      <c r="BS74" s="0" t="s">
        <v>240</v>
      </c>
      <c r="BT74" s="0" t="s">
        <v>240</v>
      </c>
      <c r="BU74" s="0" t="s">
        <v>240</v>
      </c>
      <c r="BV74" s="0" t="s">
        <v>240</v>
      </c>
      <c r="BW74" s="0" t="s">
        <v>240</v>
      </c>
      <c r="BX74" s="0" t="s">
        <v>240</v>
      </c>
      <c r="BY74" s="0" t="s">
        <v>240</v>
      </c>
      <c r="BZ74" s="0" t="s">
        <v>240</v>
      </c>
      <c r="CA74" s="0" t="s">
        <v>240</v>
      </c>
      <c r="CB74" s="0" t="s">
        <v>240</v>
      </c>
      <c r="CC74" s="0" t="s">
        <v>240</v>
      </c>
      <c r="CD74" s="0" t="s">
        <v>240</v>
      </c>
      <c r="CE74" s="0" t="s">
        <v>240</v>
      </c>
      <c r="CF74" s="0" t="s">
        <v>240</v>
      </c>
      <c r="CG74" s="0" t="s">
        <v>240</v>
      </c>
      <c r="CH74" s="0" t="s">
        <v>240</v>
      </c>
      <c r="CI74" s="0" t="s">
        <v>240</v>
      </c>
      <c r="CJ74" s="0" t="s">
        <v>240</v>
      </c>
      <c r="CK74" s="0" t="s">
        <v>240</v>
      </c>
      <c r="CL74" s="0" t="s">
        <v>240</v>
      </c>
      <c r="CM74" s="0" t="s">
        <v>240</v>
      </c>
      <c r="CN74" s="0" t="s">
        <v>240</v>
      </c>
      <c r="CO74" s="0" t="s">
        <v>240</v>
      </c>
      <c r="CP74" s="0" t="s">
        <v>240</v>
      </c>
      <c r="CQ74" s="0" t="s">
        <v>240</v>
      </c>
      <c r="CR74" s="0" t="s">
        <v>240</v>
      </c>
      <c r="CS74" s="0" t="s">
        <v>240</v>
      </c>
      <c r="CT74" s="0" t="s">
        <v>5496</v>
      </c>
      <c r="CU74" s="0" t="s">
        <v>5497</v>
      </c>
      <c r="CV74" s="0" t="s">
        <v>443</v>
      </c>
      <c r="CW74" s="0" t="s">
        <v>5547</v>
      </c>
      <c r="CX74" s="0" t="s">
        <v>229</v>
      </c>
      <c r="CY74" s="0" t="s">
        <v>443</v>
      </c>
      <c r="CZ74" s="0" t="s">
        <v>5548</v>
      </c>
      <c r="DA74" s="0" t="s">
        <v>5549</v>
      </c>
      <c r="DB74" s="0" t="s">
        <v>5547</v>
      </c>
      <c r="DC74" s="0" t="s">
        <v>384</v>
      </c>
      <c r="DD74" s="0" t="s">
        <v>291</v>
      </c>
      <c r="DE74" s="0" t="s">
        <v>5926</v>
      </c>
    </row>
    <row customHeight="1" ht="11.25">
      <c r="A75" s="1441" t="s">
        <v>240</v>
      </c>
      <c r="B75" s="0" t="s">
        <v>240</v>
      </c>
      <c r="C75" s="0" t="s">
        <v>240</v>
      </c>
      <c r="D75" s="0" t="s">
        <v>240</v>
      </c>
      <c r="E75" s="0" t="s">
        <v>240</v>
      </c>
      <c r="F75" s="0" t="s">
        <v>240</v>
      </c>
      <c r="G75" s="0" t="s">
        <v>240</v>
      </c>
      <c r="H75" s="0" t="s">
        <v>240</v>
      </c>
      <c r="I75" s="0" t="s">
        <v>5484</v>
      </c>
      <c r="J75" s="0" t="s">
        <v>240</v>
      </c>
      <c r="K75" s="0" t="s">
        <v>240</v>
      </c>
      <c r="L75" s="0" t="s">
        <v>240</v>
      </c>
      <c r="M75" s="0" t="s">
        <v>240</v>
      </c>
      <c r="N75" s="0" t="s">
        <v>240</v>
      </c>
      <c r="O75" s="0" t="s">
        <v>240</v>
      </c>
      <c r="P75" s="0" t="s">
        <v>240</v>
      </c>
      <c r="Q75" s="0" t="s">
        <v>240</v>
      </c>
      <c r="R75" s="0" t="s">
        <v>5927</v>
      </c>
      <c r="S75" s="0" t="s">
        <v>240</v>
      </c>
      <c r="T75" s="0" t="s">
        <v>240</v>
      </c>
      <c r="U75" s="0" t="s">
        <v>102</v>
      </c>
      <c r="V75" s="0" t="s">
        <v>240</v>
      </c>
      <c r="W75" s="0" t="s">
        <v>240</v>
      </c>
      <c r="X75" s="0" t="s">
        <v>5485</v>
      </c>
      <c r="Y75" s="0" t="s">
        <v>240</v>
      </c>
      <c r="Z75" s="0" t="s">
        <v>161</v>
      </c>
      <c r="AA75" s="0" t="s">
        <v>152</v>
      </c>
      <c r="AB75" s="0" t="s">
        <v>152</v>
      </c>
      <c r="AC75" s="0" t="s">
        <v>2991</v>
      </c>
      <c r="AD75" s="0" t="s">
        <v>2991</v>
      </c>
      <c r="AE75" s="0" t="s">
        <v>2992</v>
      </c>
      <c r="AF75" s="0" t="s">
        <v>5540</v>
      </c>
      <c r="AG75" s="0" t="s">
        <v>5541</v>
      </c>
      <c r="AH75" s="0" t="s">
        <v>5542</v>
      </c>
      <c r="AI75" s="0" t="s">
        <v>5928</v>
      </c>
      <c r="AJ75" s="0" t="s">
        <v>5504</v>
      </c>
      <c r="AK75" s="0" t="s">
        <v>5776</v>
      </c>
      <c r="AL75" s="0" t="s">
        <v>5506</v>
      </c>
      <c r="AM75" s="0" t="s">
        <v>5493</v>
      </c>
      <c r="AN75" s="0" t="s">
        <v>5491</v>
      </c>
      <c r="AO75" s="0" t="s">
        <v>5546</v>
      </c>
      <c r="AP75" s="0" t="s">
        <v>240</v>
      </c>
      <c r="AQ75" s="0" t="s">
        <v>240</v>
      </c>
      <c r="AR75" s="0" t="s">
        <v>240</v>
      </c>
      <c r="AS75" s="0" t="s">
        <v>240</v>
      </c>
      <c r="AT75" s="0" t="s">
        <v>240</v>
      </c>
      <c r="AU75" s="0" t="s">
        <v>240</v>
      </c>
      <c r="AV75" s="0" t="s">
        <v>240</v>
      </c>
      <c r="AW75" s="0" t="s">
        <v>240</v>
      </c>
      <c r="AX75" s="0" t="s">
        <v>240</v>
      </c>
      <c r="AY75" s="0" t="s">
        <v>240</v>
      </c>
      <c r="AZ75" s="0" t="s">
        <v>240</v>
      </c>
      <c r="BA75" s="0" t="s">
        <v>240</v>
      </c>
      <c r="BB75" s="0" t="s">
        <v>240</v>
      </c>
      <c r="BC75" s="0" t="s">
        <v>240</v>
      </c>
      <c r="BD75" s="0" t="s">
        <v>240</v>
      </c>
      <c r="BE75" s="0" t="s">
        <v>240</v>
      </c>
      <c r="BF75" s="0" t="s">
        <v>240</v>
      </c>
      <c r="BG75" s="0" t="s">
        <v>240</v>
      </c>
      <c r="BH75" s="0" t="s">
        <v>240</v>
      </c>
      <c r="BI75" s="0" t="s">
        <v>240</v>
      </c>
      <c r="BJ75" s="0" t="s">
        <v>240</v>
      </c>
      <c r="BK75" s="0" t="s">
        <v>240</v>
      </c>
      <c r="BL75" s="0" t="s">
        <v>240</v>
      </c>
      <c r="BM75" s="0" t="s">
        <v>240</v>
      </c>
      <c r="BN75" s="0" t="s">
        <v>240</v>
      </c>
      <c r="BO75" s="0" t="s">
        <v>240</v>
      </c>
      <c r="BP75" s="0" t="s">
        <v>240</v>
      </c>
      <c r="BQ75" s="0" t="s">
        <v>240</v>
      </c>
      <c r="BR75" s="0" t="s">
        <v>240</v>
      </c>
      <c r="BS75" s="0" t="s">
        <v>240</v>
      </c>
      <c r="BT75" s="0" t="s">
        <v>240</v>
      </c>
      <c r="BU75" s="0" t="s">
        <v>240</v>
      </c>
      <c r="BV75" s="0" t="s">
        <v>240</v>
      </c>
      <c r="BW75" s="0" t="s">
        <v>240</v>
      </c>
      <c r="BX75" s="0" t="s">
        <v>240</v>
      </c>
      <c r="BY75" s="0" t="s">
        <v>240</v>
      </c>
      <c r="BZ75" s="0" t="s">
        <v>240</v>
      </c>
      <c r="CA75" s="0" t="s">
        <v>240</v>
      </c>
      <c r="CB75" s="0" t="s">
        <v>240</v>
      </c>
      <c r="CC75" s="0" t="s">
        <v>240</v>
      </c>
      <c r="CD75" s="0" t="s">
        <v>240</v>
      </c>
      <c r="CE75" s="0" t="s">
        <v>240</v>
      </c>
      <c r="CF75" s="0" t="s">
        <v>240</v>
      </c>
      <c r="CG75" s="0" t="s">
        <v>240</v>
      </c>
      <c r="CH75" s="0" t="s">
        <v>240</v>
      </c>
      <c r="CI75" s="0" t="s">
        <v>240</v>
      </c>
      <c r="CJ75" s="0" t="s">
        <v>240</v>
      </c>
      <c r="CK75" s="0" t="s">
        <v>240</v>
      </c>
      <c r="CL75" s="0" t="s">
        <v>240</v>
      </c>
      <c r="CM75" s="0" t="s">
        <v>240</v>
      </c>
      <c r="CN75" s="0" t="s">
        <v>240</v>
      </c>
      <c r="CO75" s="0" t="s">
        <v>240</v>
      </c>
      <c r="CP75" s="0" t="s">
        <v>240</v>
      </c>
      <c r="CQ75" s="0" t="s">
        <v>240</v>
      </c>
      <c r="CR75" s="0" t="s">
        <v>240</v>
      </c>
      <c r="CS75" s="0" t="s">
        <v>240</v>
      </c>
      <c r="CT75" s="0" t="s">
        <v>5496</v>
      </c>
      <c r="CU75" s="0" t="s">
        <v>5497</v>
      </c>
      <c r="CV75" s="0" t="s">
        <v>443</v>
      </c>
      <c r="CW75" s="0" t="s">
        <v>5547</v>
      </c>
      <c r="CX75" s="0" t="s">
        <v>229</v>
      </c>
      <c r="CY75" s="0" t="s">
        <v>443</v>
      </c>
      <c r="CZ75" s="0" t="s">
        <v>5548</v>
      </c>
      <c r="DA75" s="0" t="s">
        <v>5549</v>
      </c>
      <c r="DB75" s="0" t="s">
        <v>5547</v>
      </c>
      <c r="DC75" s="0" t="s">
        <v>384</v>
      </c>
      <c r="DD75" s="0" t="s">
        <v>291</v>
      </c>
      <c r="DE75" s="0" t="s">
        <v>5929</v>
      </c>
    </row>
    <row customHeight="1" ht="11.25">
      <c r="A76" s="1441" t="s">
        <v>240</v>
      </c>
      <c r="B76" s="0" t="s">
        <v>240</v>
      </c>
      <c r="C76" s="0" t="s">
        <v>240</v>
      </c>
      <c r="D76" s="0" t="s">
        <v>240</v>
      </c>
      <c r="E76" s="0" t="s">
        <v>240</v>
      </c>
      <c r="F76" s="0" t="s">
        <v>240</v>
      </c>
      <c r="G76" s="0" t="s">
        <v>240</v>
      </c>
      <c r="H76" s="0" t="s">
        <v>240</v>
      </c>
      <c r="I76" s="0" t="s">
        <v>5484</v>
      </c>
      <c r="J76" s="0" t="s">
        <v>240</v>
      </c>
      <c r="K76" s="0" t="s">
        <v>240</v>
      </c>
      <c r="L76" s="0" t="s">
        <v>240</v>
      </c>
      <c r="M76" s="0" t="s">
        <v>240</v>
      </c>
      <c r="N76" s="0" t="s">
        <v>240</v>
      </c>
      <c r="O76" s="0" t="s">
        <v>240</v>
      </c>
      <c r="P76" s="0" t="s">
        <v>240</v>
      </c>
      <c r="Q76" s="0" t="s">
        <v>240</v>
      </c>
      <c r="R76" s="0" t="s">
        <v>5930</v>
      </c>
      <c r="S76" s="0" t="s">
        <v>240</v>
      </c>
      <c r="T76" s="0" t="s">
        <v>240</v>
      </c>
      <c r="U76" s="0" t="s">
        <v>102</v>
      </c>
      <c r="V76" s="0" t="s">
        <v>240</v>
      </c>
      <c r="W76" s="0" t="s">
        <v>240</v>
      </c>
      <c r="X76" s="0" t="s">
        <v>5585</v>
      </c>
      <c r="Y76" s="0" t="s">
        <v>240</v>
      </c>
      <c r="Z76" s="0" t="s">
        <v>152</v>
      </c>
      <c r="AA76" s="0" t="s">
        <v>152</v>
      </c>
      <c r="AB76" s="0" t="s">
        <v>161</v>
      </c>
      <c r="AC76" s="0" t="s">
        <v>3389</v>
      </c>
      <c r="AD76" s="0" t="s">
        <v>3389</v>
      </c>
      <c r="AE76" s="0" t="s">
        <v>3390</v>
      </c>
      <c r="AF76" s="0" t="s">
        <v>5519</v>
      </c>
      <c r="AG76" s="0" t="s">
        <v>5520</v>
      </c>
      <c r="AH76" s="0" t="s">
        <v>5566</v>
      </c>
      <c r="AI76" s="0" t="s">
        <v>5567</v>
      </c>
      <c r="AJ76" s="0" t="s">
        <v>240</v>
      </c>
      <c r="AK76" s="0" t="s">
        <v>240</v>
      </c>
      <c r="AL76" s="0" t="s">
        <v>240</v>
      </c>
      <c r="AM76" s="0" t="s">
        <v>240</v>
      </c>
      <c r="AN76" s="0" t="s">
        <v>240</v>
      </c>
      <c r="AO76" s="0" t="s">
        <v>240</v>
      </c>
      <c r="AP76" s="0" t="s">
        <v>240</v>
      </c>
      <c r="AQ76" s="0" t="s">
        <v>240</v>
      </c>
      <c r="AR76" s="0" t="s">
        <v>240</v>
      </c>
      <c r="AS76" s="0" t="s">
        <v>240</v>
      </c>
      <c r="AT76" s="0" t="s">
        <v>240</v>
      </c>
      <c r="AU76" s="0" t="s">
        <v>240</v>
      </c>
      <c r="AV76" s="0" t="s">
        <v>240</v>
      </c>
      <c r="AW76" s="0" t="s">
        <v>240</v>
      </c>
      <c r="AX76" s="0" t="s">
        <v>240</v>
      </c>
      <c r="AY76" s="0" t="s">
        <v>240</v>
      </c>
      <c r="AZ76" s="0" t="s">
        <v>240</v>
      </c>
      <c r="BA76" s="0" t="s">
        <v>240</v>
      </c>
      <c r="BB76" s="0" t="s">
        <v>240</v>
      </c>
      <c r="BC76" s="0" t="s">
        <v>240</v>
      </c>
      <c r="BD76" s="0" t="s">
        <v>240</v>
      </c>
      <c r="BE76" s="0" t="s">
        <v>5931</v>
      </c>
      <c r="BF76" s="0" t="s">
        <v>5523</v>
      </c>
      <c r="BG76" s="0" t="s">
        <v>112</v>
      </c>
      <c r="BH76" s="0" t="s">
        <v>5589</v>
      </c>
      <c r="BI76" s="0" t="s">
        <v>123</v>
      </c>
      <c r="BJ76" s="0" t="s">
        <v>240</v>
      </c>
      <c r="BK76" s="0" t="s">
        <v>5932</v>
      </c>
      <c r="BL76" s="0" t="s">
        <v>3389</v>
      </c>
      <c r="BM76" s="0" t="s">
        <v>3389</v>
      </c>
      <c r="BN76" s="0" t="s">
        <v>5591</v>
      </c>
      <c r="BO76" s="0" t="s">
        <v>5519</v>
      </c>
      <c r="BP76" s="0" t="s">
        <v>5592</v>
      </c>
      <c r="BQ76" s="0" t="s">
        <v>5933</v>
      </c>
      <c r="BR76" s="0" t="s">
        <v>5567</v>
      </c>
      <c r="BS76" s="0" t="s">
        <v>240</v>
      </c>
      <c r="BT76" s="0" t="s">
        <v>5594</v>
      </c>
      <c r="BU76" s="0" t="s">
        <v>5934</v>
      </c>
      <c r="BV76" s="0" t="s">
        <v>5935</v>
      </c>
      <c r="BW76" s="0" t="s">
        <v>5936</v>
      </c>
      <c r="BX76" s="0" t="s">
        <v>5937</v>
      </c>
      <c r="BY76" s="0" t="s">
        <v>5938</v>
      </c>
      <c r="BZ76" s="0" t="s">
        <v>5939</v>
      </c>
      <c r="CA76" s="0" t="s">
        <v>5598</v>
      </c>
      <c r="CB76" s="0" t="s">
        <v>5598</v>
      </c>
      <c r="CC76" s="0" t="s">
        <v>5598</v>
      </c>
      <c r="CD76" s="0" t="s">
        <v>5598</v>
      </c>
      <c r="CE76" s="0" t="s">
        <v>5598</v>
      </c>
      <c r="CF76" s="0" t="s">
        <v>5598</v>
      </c>
      <c r="CG76" s="0" t="s">
        <v>5598</v>
      </c>
      <c r="CH76" s="0" t="s">
        <v>5598</v>
      </c>
      <c r="CI76" s="0" t="s">
        <v>5598</v>
      </c>
      <c r="CJ76" s="0" t="s">
        <v>5598</v>
      </c>
      <c r="CK76" s="0" t="s">
        <v>5598</v>
      </c>
      <c r="CL76" s="0" t="s">
        <v>5598</v>
      </c>
      <c r="CM76" s="0" t="s">
        <v>5934</v>
      </c>
      <c r="CN76" s="0" t="s">
        <v>5935</v>
      </c>
      <c r="CO76" s="0" t="s">
        <v>5936</v>
      </c>
      <c r="CP76" s="0" t="s">
        <v>5937</v>
      </c>
      <c r="CQ76" s="0" t="s">
        <v>5938</v>
      </c>
      <c r="CR76" s="0" t="s">
        <v>5939</v>
      </c>
      <c r="CS76" s="0" t="s">
        <v>5599</v>
      </c>
      <c r="CT76" s="0" t="s">
        <v>5496</v>
      </c>
      <c r="CU76" s="0" t="s">
        <v>5497</v>
      </c>
      <c r="CV76" s="0" t="s">
        <v>443</v>
      </c>
      <c r="CW76" s="0" t="s">
        <v>5600</v>
      </c>
      <c r="CX76" s="0" t="s">
        <v>5528</v>
      </c>
      <c r="CY76" s="0" t="s">
        <v>443</v>
      </c>
      <c r="CZ76" s="0" t="s">
        <v>299</v>
      </c>
      <c r="DA76" s="0" t="s">
        <v>5529</v>
      </c>
      <c r="DB76" s="0" t="s">
        <v>5600</v>
      </c>
      <c r="DC76" s="0" t="s">
        <v>384</v>
      </c>
      <c r="DD76" s="0" t="s">
        <v>291</v>
      </c>
      <c r="DE76" s="0" t="s">
        <v>5571</v>
      </c>
    </row>
    <row customHeight="1" ht="11.25">
      <c r="A77" s="1441" t="s">
        <v>240</v>
      </c>
      <c r="B77" s="0" t="s">
        <v>240</v>
      </c>
      <c r="C77" s="0" t="s">
        <v>240</v>
      </c>
      <c r="D77" s="0" t="s">
        <v>240</v>
      </c>
      <c r="E77" s="0" t="s">
        <v>240</v>
      </c>
      <c r="F77" s="0" t="s">
        <v>240</v>
      </c>
      <c r="G77" s="0" t="s">
        <v>240</v>
      </c>
      <c r="H77" s="0" t="s">
        <v>240</v>
      </c>
      <c r="I77" s="0" t="s">
        <v>5484</v>
      </c>
      <c r="J77" s="0" t="s">
        <v>240</v>
      </c>
      <c r="K77" s="0" t="s">
        <v>240</v>
      </c>
      <c r="L77" s="0" t="s">
        <v>240</v>
      </c>
      <c r="M77" s="0" t="s">
        <v>240</v>
      </c>
      <c r="N77" s="0" t="s">
        <v>240</v>
      </c>
      <c r="O77" s="0" t="s">
        <v>240</v>
      </c>
      <c r="P77" s="0" t="s">
        <v>240</v>
      </c>
      <c r="Q77" s="0" t="s">
        <v>240</v>
      </c>
      <c r="R77" s="0" t="s">
        <v>5940</v>
      </c>
      <c r="S77" s="0" t="s">
        <v>240</v>
      </c>
      <c r="T77" s="0" t="s">
        <v>240</v>
      </c>
      <c r="U77" s="0" t="s">
        <v>102</v>
      </c>
      <c r="V77" s="0" t="s">
        <v>240</v>
      </c>
      <c r="W77" s="0" t="s">
        <v>240</v>
      </c>
      <c r="X77" s="0" t="s">
        <v>5485</v>
      </c>
      <c r="Y77" s="0" t="s">
        <v>240</v>
      </c>
      <c r="Z77" s="0" t="s">
        <v>161</v>
      </c>
      <c r="AA77" s="0" t="s">
        <v>152</v>
      </c>
      <c r="AB77" s="0" t="s">
        <v>152</v>
      </c>
      <c r="AC77" s="0" t="s">
        <v>3395</v>
      </c>
      <c r="AD77" s="0" t="s">
        <v>3395</v>
      </c>
      <c r="AE77" s="0" t="s">
        <v>3396</v>
      </c>
      <c r="AF77" s="0" t="s">
        <v>5941</v>
      </c>
      <c r="AG77" s="0" t="s">
        <v>5942</v>
      </c>
      <c r="AH77" s="0" t="s">
        <v>5943</v>
      </c>
      <c r="AI77" s="0" t="s">
        <v>152</v>
      </c>
      <c r="AJ77" s="0" t="s">
        <v>5944</v>
      </c>
      <c r="AK77" s="0" t="s">
        <v>5945</v>
      </c>
      <c r="AL77" s="0" t="s">
        <v>5570</v>
      </c>
      <c r="AM77" s="0" t="s">
        <v>5493</v>
      </c>
      <c r="AN77" s="0" t="s">
        <v>5578</v>
      </c>
      <c r="AO77" s="0" t="s">
        <v>5946</v>
      </c>
      <c r="AP77" s="0" t="s">
        <v>240</v>
      </c>
      <c r="AQ77" s="0" t="s">
        <v>240</v>
      </c>
      <c r="AR77" s="0" t="s">
        <v>240</v>
      </c>
      <c r="AS77" s="0" t="s">
        <v>240</v>
      </c>
      <c r="AT77" s="0" t="s">
        <v>240</v>
      </c>
      <c r="AU77" s="0" t="s">
        <v>240</v>
      </c>
      <c r="AV77" s="0" t="s">
        <v>240</v>
      </c>
      <c r="AW77" s="0" t="s">
        <v>240</v>
      </c>
      <c r="AX77" s="0" t="s">
        <v>240</v>
      </c>
      <c r="AY77" s="0" t="s">
        <v>240</v>
      </c>
      <c r="AZ77" s="0" t="s">
        <v>240</v>
      </c>
      <c r="BA77" s="0" t="s">
        <v>240</v>
      </c>
      <c r="BB77" s="0" t="s">
        <v>240</v>
      </c>
      <c r="BC77" s="0" t="s">
        <v>240</v>
      </c>
      <c r="BD77" s="0" t="s">
        <v>240</v>
      </c>
      <c r="BE77" s="0" t="s">
        <v>240</v>
      </c>
      <c r="BF77" s="0" t="s">
        <v>240</v>
      </c>
      <c r="BG77" s="0" t="s">
        <v>240</v>
      </c>
      <c r="BH77" s="0" t="s">
        <v>240</v>
      </c>
      <c r="BI77" s="0" t="s">
        <v>240</v>
      </c>
      <c r="BJ77" s="0" t="s">
        <v>240</v>
      </c>
      <c r="BK77" s="0" t="s">
        <v>240</v>
      </c>
      <c r="BL77" s="0" t="s">
        <v>240</v>
      </c>
      <c r="BM77" s="0" t="s">
        <v>240</v>
      </c>
      <c r="BN77" s="0" t="s">
        <v>240</v>
      </c>
      <c r="BO77" s="0" t="s">
        <v>240</v>
      </c>
      <c r="BP77" s="0" t="s">
        <v>240</v>
      </c>
      <c r="BQ77" s="0" t="s">
        <v>240</v>
      </c>
      <c r="BR77" s="0" t="s">
        <v>240</v>
      </c>
      <c r="BS77" s="0" t="s">
        <v>240</v>
      </c>
      <c r="BT77" s="0" t="s">
        <v>240</v>
      </c>
      <c r="BU77" s="0" t="s">
        <v>240</v>
      </c>
      <c r="BV77" s="0" t="s">
        <v>240</v>
      </c>
      <c r="BW77" s="0" t="s">
        <v>240</v>
      </c>
      <c r="BX77" s="0" t="s">
        <v>240</v>
      </c>
      <c r="BY77" s="0" t="s">
        <v>240</v>
      </c>
      <c r="BZ77" s="0" t="s">
        <v>240</v>
      </c>
      <c r="CA77" s="0" t="s">
        <v>240</v>
      </c>
      <c r="CB77" s="0" t="s">
        <v>240</v>
      </c>
      <c r="CC77" s="0" t="s">
        <v>240</v>
      </c>
      <c r="CD77" s="0" t="s">
        <v>240</v>
      </c>
      <c r="CE77" s="0" t="s">
        <v>240</v>
      </c>
      <c r="CF77" s="0" t="s">
        <v>240</v>
      </c>
      <c r="CG77" s="0" t="s">
        <v>240</v>
      </c>
      <c r="CH77" s="0" t="s">
        <v>240</v>
      </c>
      <c r="CI77" s="0" t="s">
        <v>240</v>
      </c>
      <c r="CJ77" s="0" t="s">
        <v>240</v>
      </c>
      <c r="CK77" s="0" t="s">
        <v>240</v>
      </c>
      <c r="CL77" s="0" t="s">
        <v>240</v>
      </c>
      <c r="CM77" s="0" t="s">
        <v>240</v>
      </c>
      <c r="CN77" s="0" t="s">
        <v>240</v>
      </c>
      <c r="CO77" s="0" t="s">
        <v>240</v>
      </c>
      <c r="CP77" s="0" t="s">
        <v>240</v>
      </c>
      <c r="CQ77" s="0" t="s">
        <v>240</v>
      </c>
      <c r="CR77" s="0" t="s">
        <v>240</v>
      </c>
      <c r="CS77" s="0" t="s">
        <v>240</v>
      </c>
      <c r="CT77" s="0" t="s">
        <v>5496</v>
      </c>
      <c r="CU77" s="0" t="s">
        <v>5497</v>
      </c>
      <c r="CV77" s="0" t="s">
        <v>5947</v>
      </c>
      <c r="CW77" s="0" t="s">
        <v>5948</v>
      </c>
      <c r="CX77" s="0" t="s">
        <v>5528</v>
      </c>
      <c r="CY77" s="0" t="s">
        <v>5947</v>
      </c>
      <c r="CZ77" s="0" t="s">
        <v>5533</v>
      </c>
      <c r="DA77" s="0" t="s">
        <v>5949</v>
      </c>
      <c r="DB77" s="0" t="s">
        <v>5600</v>
      </c>
      <c r="DC77" s="0" t="s">
        <v>384</v>
      </c>
      <c r="DD77" s="0" t="s">
        <v>291</v>
      </c>
      <c r="DE77" s="0" t="s">
        <v>5950</v>
      </c>
    </row>
    <row customHeight="1" ht="11.25">
      <c r="A78" s="1441" t="s">
        <v>240</v>
      </c>
      <c r="B78" s="0" t="s">
        <v>240</v>
      </c>
      <c r="C78" s="0" t="s">
        <v>240</v>
      </c>
      <c r="D78" s="0" t="s">
        <v>240</v>
      </c>
      <c r="E78" s="0" t="s">
        <v>240</v>
      </c>
      <c r="F78" s="0" t="s">
        <v>240</v>
      </c>
      <c r="G78" s="0" t="s">
        <v>240</v>
      </c>
      <c r="H78" s="0" t="s">
        <v>240</v>
      </c>
      <c r="I78" s="0" t="s">
        <v>5484</v>
      </c>
      <c r="J78" s="0" t="s">
        <v>240</v>
      </c>
      <c r="K78" s="0" t="s">
        <v>240</v>
      </c>
      <c r="L78" s="0" t="s">
        <v>240</v>
      </c>
      <c r="M78" s="0" t="s">
        <v>240</v>
      </c>
      <c r="N78" s="0" t="s">
        <v>240</v>
      </c>
      <c r="O78" s="0" t="s">
        <v>240</v>
      </c>
      <c r="P78" s="0" t="s">
        <v>240</v>
      </c>
      <c r="Q78" s="0" t="s">
        <v>240</v>
      </c>
      <c r="R78" s="0" t="s">
        <v>449</v>
      </c>
      <c r="S78" s="0" t="s">
        <v>240</v>
      </c>
      <c r="T78" s="0" t="s">
        <v>240</v>
      </c>
      <c r="U78" s="0" t="s">
        <v>102</v>
      </c>
      <c r="V78" s="0" t="s">
        <v>240</v>
      </c>
      <c r="W78" s="0" t="s">
        <v>240</v>
      </c>
      <c r="X78" s="0" t="s">
        <v>5585</v>
      </c>
      <c r="Y78" s="0" t="s">
        <v>240</v>
      </c>
      <c r="Z78" s="0" t="s">
        <v>152</v>
      </c>
      <c r="AA78" s="0" t="s">
        <v>152</v>
      </c>
      <c r="AB78" s="0" t="s">
        <v>161</v>
      </c>
      <c r="AC78" s="0" t="s">
        <v>2985</v>
      </c>
      <c r="AD78" s="0" t="s">
        <v>2985</v>
      </c>
      <c r="AE78" s="0" t="s">
        <v>2986</v>
      </c>
      <c r="AF78" s="0" t="s">
        <v>5951</v>
      </c>
      <c r="AG78" s="0" t="s">
        <v>5952</v>
      </c>
      <c r="AH78" s="0" t="s">
        <v>5953</v>
      </c>
      <c r="AI78" s="0" t="s">
        <v>5644</v>
      </c>
      <c r="AJ78" s="0" t="s">
        <v>240</v>
      </c>
      <c r="AK78" s="0" t="s">
        <v>240</v>
      </c>
      <c r="AL78" s="0" t="s">
        <v>240</v>
      </c>
      <c r="AM78" s="0" t="s">
        <v>240</v>
      </c>
      <c r="AN78" s="0" t="s">
        <v>240</v>
      </c>
      <c r="AO78" s="0" t="s">
        <v>240</v>
      </c>
      <c r="AP78" s="0" t="s">
        <v>240</v>
      </c>
      <c r="AQ78" s="0" t="s">
        <v>240</v>
      </c>
      <c r="AR78" s="0" t="s">
        <v>240</v>
      </c>
      <c r="AS78" s="0" t="s">
        <v>240</v>
      </c>
      <c r="AT78" s="0" t="s">
        <v>240</v>
      </c>
      <c r="AU78" s="0" t="s">
        <v>240</v>
      </c>
      <c r="AV78" s="0" t="s">
        <v>240</v>
      </c>
      <c r="AW78" s="0" t="s">
        <v>240</v>
      </c>
      <c r="AX78" s="0" t="s">
        <v>240</v>
      </c>
      <c r="AY78" s="0" t="s">
        <v>240</v>
      </c>
      <c r="AZ78" s="0" t="s">
        <v>240</v>
      </c>
      <c r="BA78" s="0" t="s">
        <v>240</v>
      </c>
      <c r="BB78" s="0" t="s">
        <v>240</v>
      </c>
      <c r="BC78" s="0" t="s">
        <v>240</v>
      </c>
      <c r="BD78" s="0" t="s">
        <v>240</v>
      </c>
      <c r="BE78" s="0" t="s">
        <v>5645</v>
      </c>
      <c r="BF78" s="0" t="s">
        <v>5645</v>
      </c>
      <c r="BG78" s="0" t="s">
        <v>112</v>
      </c>
      <c r="BH78" s="0" t="s">
        <v>5589</v>
      </c>
      <c r="BI78" s="0" t="s">
        <v>123</v>
      </c>
      <c r="BJ78" s="0" t="s">
        <v>240</v>
      </c>
      <c r="BK78" s="0" t="s">
        <v>5954</v>
      </c>
      <c r="BL78" s="0" t="s">
        <v>2985</v>
      </c>
      <c r="BM78" s="0" t="s">
        <v>2985</v>
      </c>
      <c r="BN78" s="0" t="s">
        <v>5646</v>
      </c>
      <c r="BO78" s="0" t="s">
        <v>5951</v>
      </c>
      <c r="BP78" s="0" t="s">
        <v>5955</v>
      </c>
      <c r="BQ78" s="0" t="s">
        <v>5956</v>
      </c>
      <c r="BR78" s="0" t="s">
        <v>5551</v>
      </c>
      <c r="BS78" s="0" t="s">
        <v>240</v>
      </c>
      <c r="BT78" s="0" t="s">
        <v>5650</v>
      </c>
      <c r="BU78" s="0" t="s">
        <v>5957</v>
      </c>
      <c r="BV78" s="0" t="s">
        <v>5957</v>
      </c>
      <c r="BW78" s="0" t="s">
        <v>5598</v>
      </c>
      <c r="BX78" s="0" t="s">
        <v>5598</v>
      </c>
      <c r="BY78" s="0" t="s">
        <v>5598</v>
      </c>
      <c r="BZ78" s="0" t="s">
        <v>5598</v>
      </c>
      <c r="CA78" s="0" t="s">
        <v>5598</v>
      </c>
      <c r="CB78" s="0" t="s">
        <v>240</v>
      </c>
      <c r="CC78" s="0" t="s">
        <v>240</v>
      </c>
      <c r="CD78" s="0" t="s">
        <v>240</v>
      </c>
      <c r="CE78" s="0" t="s">
        <v>240</v>
      </c>
      <c r="CF78" s="0" t="s">
        <v>240</v>
      </c>
      <c r="CG78" s="0" t="s">
        <v>5598</v>
      </c>
      <c r="CH78" s="0" t="s">
        <v>240</v>
      </c>
      <c r="CI78" s="0" t="s">
        <v>240</v>
      </c>
      <c r="CJ78" s="0" t="s">
        <v>240</v>
      </c>
      <c r="CK78" s="0" t="s">
        <v>240</v>
      </c>
      <c r="CL78" s="0" t="s">
        <v>240</v>
      </c>
      <c r="CM78" s="0" t="s">
        <v>5957</v>
      </c>
      <c r="CN78" s="0" t="s">
        <v>5957</v>
      </c>
      <c r="CO78" s="0" t="s">
        <v>240</v>
      </c>
      <c r="CP78" s="0" t="s">
        <v>240</v>
      </c>
      <c r="CQ78" s="0" t="s">
        <v>240</v>
      </c>
      <c r="CR78" s="0" t="s">
        <v>240</v>
      </c>
      <c r="CS78" s="0" t="s">
        <v>5507</v>
      </c>
      <c r="CT78" s="0" t="s">
        <v>5496</v>
      </c>
      <c r="CU78" s="0" t="s">
        <v>5497</v>
      </c>
      <c r="CV78" s="0" t="s">
        <v>443</v>
      </c>
      <c r="CW78" s="0" t="s">
        <v>5509</v>
      </c>
      <c r="CX78" s="0" t="s">
        <v>229</v>
      </c>
      <c r="CY78" s="0" t="s">
        <v>443</v>
      </c>
      <c r="CZ78" s="0" t="s">
        <v>5510</v>
      </c>
      <c r="DA78" s="0" t="s">
        <v>5511</v>
      </c>
      <c r="DB78" s="0" t="s">
        <v>5509</v>
      </c>
      <c r="DC78" s="0" t="s">
        <v>384</v>
      </c>
      <c r="DD78" s="0" t="s">
        <v>291</v>
      </c>
      <c r="DE78" s="0" t="s">
        <v>5958</v>
      </c>
    </row>
    <row customHeight="1" ht="11.25">
      <c r="A79" s="1441" t="s">
        <v>240</v>
      </c>
      <c r="B79" s="0" t="s">
        <v>240</v>
      </c>
      <c r="C79" s="0" t="s">
        <v>240</v>
      </c>
      <c r="D79" s="0" t="s">
        <v>240</v>
      </c>
      <c r="E79" s="0" t="s">
        <v>240</v>
      </c>
      <c r="F79" s="0" t="s">
        <v>240</v>
      </c>
      <c r="G79" s="0" t="s">
        <v>240</v>
      </c>
      <c r="H79" s="0" t="s">
        <v>240</v>
      </c>
      <c r="I79" s="0" t="s">
        <v>5484</v>
      </c>
      <c r="J79" s="0" t="s">
        <v>240</v>
      </c>
      <c r="K79" s="0" t="s">
        <v>240</v>
      </c>
      <c r="L79" s="0" t="s">
        <v>240</v>
      </c>
      <c r="M79" s="0" t="s">
        <v>240</v>
      </c>
      <c r="N79" s="0" t="s">
        <v>240</v>
      </c>
      <c r="O79" s="0" t="s">
        <v>240</v>
      </c>
      <c r="P79" s="0" t="s">
        <v>240</v>
      </c>
      <c r="Q79" s="0" t="s">
        <v>240</v>
      </c>
      <c r="R79" s="0" t="s">
        <v>449</v>
      </c>
      <c r="S79" s="0" t="s">
        <v>240</v>
      </c>
      <c r="T79" s="0" t="s">
        <v>240</v>
      </c>
      <c r="U79" s="0" t="s">
        <v>102</v>
      </c>
      <c r="V79" s="0" t="s">
        <v>240</v>
      </c>
      <c r="W79" s="0" t="s">
        <v>240</v>
      </c>
      <c r="X79" s="0" t="s">
        <v>5585</v>
      </c>
      <c r="Y79" s="0" t="s">
        <v>240</v>
      </c>
      <c r="Z79" s="0" t="s">
        <v>152</v>
      </c>
      <c r="AA79" s="0" t="s">
        <v>152</v>
      </c>
      <c r="AB79" s="0" t="s">
        <v>161</v>
      </c>
      <c r="AC79" s="0" t="s">
        <v>2985</v>
      </c>
      <c r="AD79" s="0" t="s">
        <v>2985</v>
      </c>
      <c r="AE79" s="0" t="s">
        <v>2986</v>
      </c>
      <c r="AF79" s="0" t="s">
        <v>5951</v>
      </c>
      <c r="AG79" s="0" t="s">
        <v>5952</v>
      </c>
      <c r="AH79" s="0" t="s">
        <v>5951</v>
      </c>
      <c r="AI79" s="0" t="s">
        <v>5644</v>
      </c>
      <c r="AJ79" s="0" t="s">
        <v>240</v>
      </c>
      <c r="AK79" s="0" t="s">
        <v>240</v>
      </c>
      <c r="AL79" s="0" t="s">
        <v>240</v>
      </c>
      <c r="AM79" s="0" t="s">
        <v>240</v>
      </c>
      <c r="AN79" s="0" t="s">
        <v>240</v>
      </c>
      <c r="AO79" s="0" t="s">
        <v>240</v>
      </c>
      <c r="AP79" s="0" t="s">
        <v>240</v>
      </c>
      <c r="AQ79" s="0" t="s">
        <v>240</v>
      </c>
      <c r="AR79" s="0" t="s">
        <v>240</v>
      </c>
      <c r="AS79" s="0" t="s">
        <v>240</v>
      </c>
      <c r="AT79" s="0" t="s">
        <v>240</v>
      </c>
      <c r="AU79" s="0" t="s">
        <v>240</v>
      </c>
      <c r="AV79" s="0" t="s">
        <v>240</v>
      </c>
      <c r="AW79" s="0" t="s">
        <v>240</v>
      </c>
      <c r="AX79" s="0" t="s">
        <v>240</v>
      </c>
      <c r="AY79" s="0" t="s">
        <v>240</v>
      </c>
      <c r="AZ79" s="0" t="s">
        <v>240</v>
      </c>
      <c r="BA79" s="0" t="s">
        <v>240</v>
      </c>
      <c r="BB79" s="0" t="s">
        <v>240</v>
      </c>
      <c r="BC79" s="0" t="s">
        <v>240</v>
      </c>
      <c r="BD79" s="0" t="s">
        <v>240</v>
      </c>
      <c r="BE79" s="0" t="s">
        <v>5645</v>
      </c>
      <c r="BF79" s="0" t="s">
        <v>5645</v>
      </c>
      <c r="BG79" s="0" t="s">
        <v>112</v>
      </c>
      <c r="BH79" s="0" t="s">
        <v>5589</v>
      </c>
      <c r="BI79" s="0" t="s">
        <v>123</v>
      </c>
      <c r="BJ79" s="0" t="s">
        <v>240</v>
      </c>
      <c r="BK79" s="0" t="s">
        <v>5608</v>
      </c>
      <c r="BL79" s="0" t="s">
        <v>2985</v>
      </c>
      <c r="BM79" s="0" t="s">
        <v>2985</v>
      </c>
      <c r="BN79" s="0" t="s">
        <v>5646</v>
      </c>
      <c r="BO79" s="0" t="s">
        <v>5951</v>
      </c>
      <c r="BP79" s="0" t="s">
        <v>5955</v>
      </c>
      <c r="BQ79" s="0" t="s">
        <v>5566</v>
      </c>
      <c r="BR79" s="0" t="s">
        <v>5612</v>
      </c>
      <c r="BS79" s="0" t="s">
        <v>240</v>
      </c>
      <c r="BT79" s="0" t="s">
        <v>5650</v>
      </c>
      <c r="BU79" s="0" t="s">
        <v>5959</v>
      </c>
      <c r="BV79" s="0" t="s">
        <v>5959</v>
      </c>
      <c r="BW79" s="0" t="s">
        <v>5598</v>
      </c>
      <c r="BX79" s="0" t="s">
        <v>5598</v>
      </c>
      <c r="BY79" s="0" t="s">
        <v>5598</v>
      </c>
      <c r="BZ79" s="0" t="s">
        <v>5598</v>
      </c>
      <c r="CA79" s="0" t="s">
        <v>5598</v>
      </c>
      <c r="CB79" s="0" t="s">
        <v>240</v>
      </c>
      <c r="CC79" s="0" t="s">
        <v>240</v>
      </c>
      <c r="CD79" s="0" t="s">
        <v>240</v>
      </c>
      <c r="CE79" s="0" t="s">
        <v>240</v>
      </c>
      <c r="CF79" s="0" t="s">
        <v>240</v>
      </c>
      <c r="CG79" s="0" t="s">
        <v>5598</v>
      </c>
      <c r="CH79" s="0" t="s">
        <v>240</v>
      </c>
      <c r="CI79" s="0" t="s">
        <v>240</v>
      </c>
      <c r="CJ79" s="0" t="s">
        <v>240</v>
      </c>
      <c r="CK79" s="0" t="s">
        <v>240</v>
      </c>
      <c r="CL79" s="0" t="s">
        <v>240</v>
      </c>
      <c r="CM79" s="0" t="s">
        <v>5959</v>
      </c>
      <c r="CN79" s="0" t="s">
        <v>5959</v>
      </c>
      <c r="CO79" s="0" t="s">
        <v>240</v>
      </c>
      <c r="CP79" s="0" t="s">
        <v>240</v>
      </c>
      <c r="CQ79" s="0" t="s">
        <v>240</v>
      </c>
      <c r="CR79" s="0" t="s">
        <v>240</v>
      </c>
      <c r="CS79" s="0" t="s">
        <v>5507</v>
      </c>
      <c r="CT79" s="0" t="s">
        <v>5496</v>
      </c>
      <c r="CU79" s="0" t="s">
        <v>5497</v>
      </c>
      <c r="CV79" s="0" t="s">
        <v>443</v>
      </c>
      <c r="CW79" s="0" t="s">
        <v>5509</v>
      </c>
      <c r="CX79" s="0" t="s">
        <v>229</v>
      </c>
      <c r="CY79" s="0" t="s">
        <v>443</v>
      </c>
      <c r="CZ79" s="0" t="s">
        <v>5510</v>
      </c>
      <c r="DA79" s="0" t="s">
        <v>5511</v>
      </c>
      <c r="DB79" s="0" t="s">
        <v>5509</v>
      </c>
      <c r="DC79" s="0" t="s">
        <v>384</v>
      </c>
      <c r="DD79" s="0" t="s">
        <v>291</v>
      </c>
      <c r="DE79" s="0" t="s">
        <v>5960</v>
      </c>
    </row>
    <row customHeight="1" ht="11.25">
      <c r="A80" s="1441" t="s">
        <v>240</v>
      </c>
      <c r="B80" s="0" t="s">
        <v>240</v>
      </c>
      <c r="C80" s="0" t="s">
        <v>240</v>
      </c>
      <c r="D80" s="0" t="s">
        <v>240</v>
      </c>
      <c r="E80" s="0" t="s">
        <v>240</v>
      </c>
      <c r="F80" s="0" t="s">
        <v>240</v>
      </c>
      <c r="G80" s="0" t="s">
        <v>240</v>
      </c>
      <c r="H80" s="0" t="s">
        <v>240</v>
      </c>
      <c r="I80" s="0" t="s">
        <v>5484</v>
      </c>
      <c r="J80" s="0" t="s">
        <v>240</v>
      </c>
      <c r="K80" s="0" t="s">
        <v>240</v>
      </c>
      <c r="L80" s="0" t="s">
        <v>240</v>
      </c>
      <c r="M80" s="0" t="s">
        <v>240</v>
      </c>
      <c r="N80" s="0" t="s">
        <v>240</v>
      </c>
      <c r="O80" s="0" t="s">
        <v>240</v>
      </c>
      <c r="P80" s="0" t="s">
        <v>240</v>
      </c>
      <c r="Q80" s="0" t="s">
        <v>240</v>
      </c>
      <c r="R80" s="0" t="s">
        <v>5961</v>
      </c>
      <c r="S80" s="0" t="s">
        <v>240</v>
      </c>
      <c r="T80" s="0" t="s">
        <v>240</v>
      </c>
      <c r="U80" s="0" t="s">
        <v>102</v>
      </c>
      <c r="V80" s="0" t="s">
        <v>240</v>
      </c>
      <c r="W80" s="0" t="s">
        <v>240</v>
      </c>
      <c r="X80" s="0" t="s">
        <v>5905</v>
      </c>
      <c r="Y80" s="0" t="s">
        <v>240</v>
      </c>
      <c r="Z80" s="0" t="s">
        <v>152</v>
      </c>
      <c r="AA80" s="0" t="s">
        <v>161</v>
      </c>
      <c r="AB80" s="0" t="s">
        <v>152</v>
      </c>
      <c r="AC80" s="0" t="s">
        <v>3389</v>
      </c>
      <c r="AD80" s="0" t="s">
        <v>3389</v>
      </c>
      <c r="AE80" s="0" t="s">
        <v>3390</v>
      </c>
      <c r="AF80" s="0" t="s">
        <v>5519</v>
      </c>
      <c r="AG80" s="0" t="s">
        <v>5520</v>
      </c>
      <c r="AH80" s="0" t="s">
        <v>5628</v>
      </c>
      <c r="AI80" s="0" t="s">
        <v>5533</v>
      </c>
      <c r="AJ80" s="0" t="s">
        <v>240</v>
      </c>
      <c r="AK80" s="0" t="s">
        <v>240</v>
      </c>
      <c r="AL80" s="0" t="s">
        <v>240</v>
      </c>
      <c r="AM80" s="0" t="s">
        <v>240</v>
      </c>
      <c r="AN80" s="0" t="s">
        <v>240</v>
      </c>
      <c r="AO80" s="0" t="s">
        <v>240</v>
      </c>
      <c r="AP80" s="0" t="s">
        <v>5716</v>
      </c>
      <c r="AQ80" s="0" t="s">
        <v>5962</v>
      </c>
      <c r="AR80" s="0" t="s">
        <v>112</v>
      </c>
      <c r="AS80" s="0" t="s">
        <v>5589</v>
      </c>
      <c r="AT80" s="0" t="s">
        <v>123</v>
      </c>
      <c r="AU80" s="0" t="s">
        <v>240</v>
      </c>
      <c r="AV80" s="0" t="s">
        <v>5963</v>
      </c>
      <c r="AW80" s="0" t="s">
        <v>3389</v>
      </c>
      <c r="AX80" s="0" t="s">
        <v>3389</v>
      </c>
      <c r="AY80" s="0" t="s">
        <v>5591</v>
      </c>
      <c r="AZ80" s="0" t="s">
        <v>5519</v>
      </c>
      <c r="BA80" s="0" t="s">
        <v>5592</v>
      </c>
      <c r="BB80" s="0" t="s">
        <v>5964</v>
      </c>
      <c r="BC80" s="0" t="s">
        <v>5533</v>
      </c>
      <c r="BD80" s="0" t="s">
        <v>5630</v>
      </c>
      <c r="BE80" s="0" t="s">
        <v>240</v>
      </c>
      <c r="BF80" s="0" t="s">
        <v>240</v>
      </c>
      <c r="BG80" s="0" t="s">
        <v>240</v>
      </c>
      <c r="BH80" s="0" t="s">
        <v>240</v>
      </c>
      <c r="BI80" s="0" t="s">
        <v>240</v>
      </c>
      <c r="BJ80" s="0" t="s">
        <v>240</v>
      </c>
      <c r="BK80" s="0" t="s">
        <v>240</v>
      </c>
      <c r="BL80" s="0" t="s">
        <v>240</v>
      </c>
      <c r="BM80" s="0" t="s">
        <v>240</v>
      </c>
      <c r="BN80" s="0" t="s">
        <v>240</v>
      </c>
      <c r="BO80" s="0" t="s">
        <v>240</v>
      </c>
      <c r="BP80" s="0" t="s">
        <v>240</v>
      </c>
      <c r="BQ80" s="0" t="s">
        <v>240</v>
      </c>
      <c r="BR80" s="0" t="s">
        <v>240</v>
      </c>
      <c r="BS80" s="0" t="s">
        <v>240</v>
      </c>
      <c r="BT80" s="0" t="s">
        <v>240</v>
      </c>
      <c r="BU80" s="0" t="s">
        <v>240</v>
      </c>
      <c r="BV80" s="0" t="s">
        <v>240</v>
      </c>
      <c r="BW80" s="0" t="s">
        <v>240</v>
      </c>
      <c r="BX80" s="0" t="s">
        <v>240</v>
      </c>
      <c r="BY80" s="0" t="s">
        <v>240</v>
      </c>
      <c r="BZ80" s="0" t="s">
        <v>240</v>
      </c>
      <c r="CA80" s="0" t="s">
        <v>240</v>
      </c>
      <c r="CB80" s="0" t="s">
        <v>240</v>
      </c>
      <c r="CC80" s="0" t="s">
        <v>240</v>
      </c>
      <c r="CD80" s="0" t="s">
        <v>240</v>
      </c>
      <c r="CE80" s="0" t="s">
        <v>240</v>
      </c>
      <c r="CF80" s="0" t="s">
        <v>240</v>
      </c>
      <c r="CG80" s="0" t="s">
        <v>240</v>
      </c>
      <c r="CH80" s="0" t="s">
        <v>240</v>
      </c>
      <c r="CI80" s="0" t="s">
        <v>240</v>
      </c>
      <c r="CJ80" s="0" t="s">
        <v>240</v>
      </c>
      <c r="CK80" s="0" t="s">
        <v>240</v>
      </c>
      <c r="CL80" s="0" t="s">
        <v>240</v>
      </c>
      <c r="CM80" s="0" t="s">
        <v>240</v>
      </c>
      <c r="CN80" s="0" t="s">
        <v>240</v>
      </c>
      <c r="CO80" s="0" t="s">
        <v>240</v>
      </c>
      <c r="CP80" s="0" t="s">
        <v>240</v>
      </c>
      <c r="CQ80" s="0" t="s">
        <v>240</v>
      </c>
      <c r="CR80" s="0" t="s">
        <v>240</v>
      </c>
      <c r="CS80" s="0" t="s">
        <v>240</v>
      </c>
      <c r="CT80" s="0" t="s">
        <v>5496</v>
      </c>
      <c r="CU80" s="0" t="s">
        <v>5497</v>
      </c>
      <c r="CV80" s="0" t="s">
        <v>443</v>
      </c>
      <c r="CW80" s="0" t="s">
        <v>5527</v>
      </c>
      <c r="CX80" s="0" t="s">
        <v>5528</v>
      </c>
      <c r="CY80" s="0" t="s">
        <v>443</v>
      </c>
      <c r="CZ80" s="0" t="s">
        <v>299</v>
      </c>
      <c r="DA80" s="0" t="s">
        <v>5529</v>
      </c>
      <c r="DB80" s="0" t="s">
        <v>5527</v>
      </c>
      <c r="DC80" s="0" t="s">
        <v>384</v>
      </c>
      <c r="DD80" s="0" t="s">
        <v>291</v>
      </c>
      <c r="DE80" s="0" t="s">
        <v>5631</v>
      </c>
    </row>
    <row customHeight="1" ht="11.25">
      <c r="A81" s="1441" t="s">
        <v>240</v>
      </c>
      <c r="B81" s="0" t="s">
        <v>240</v>
      </c>
      <c r="C81" s="0" t="s">
        <v>240</v>
      </c>
      <c r="D81" s="0" t="s">
        <v>240</v>
      </c>
      <c r="E81" s="0" t="s">
        <v>240</v>
      </c>
      <c r="F81" s="0" t="s">
        <v>240</v>
      </c>
      <c r="G81" s="0" t="s">
        <v>240</v>
      </c>
      <c r="H81" s="0" t="s">
        <v>240</v>
      </c>
      <c r="I81" s="0" t="s">
        <v>5484</v>
      </c>
      <c r="J81" s="0" t="s">
        <v>240</v>
      </c>
      <c r="K81" s="0" t="s">
        <v>240</v>
      </c>
      <c r="L81" s="0" t="s">
        <v>240</v>
      </c>
      <c r="M81" s="0" t="s">
        <v>240</v>
      </c>
      <c r="N81" s="0" t="s">
        <v>240</v>
      </c>
      <c r="O81" s="0" t="s">
        <v>240</v>
      </c>
      <c r="P81" s="0" t="s">
        <v>240</v>
      </c>
      <c r="Q81" s="0" t="s">
        <v>240</v>
      </c>
      <c r="R81" s="0" t="s">
        <v>5608</v>
      </c>
      <c r="S81" s="0" t="s">
        <v>240</v>
      </c>
      <c r="T81" s="0" t="s">
        <v>240</v>
      </c>
      <c r="U81" s="0" t="s">
        <v>102</v>
      </c>
      <c r="V81" s="0" t="s">
        <v>240</v>
      </c>
      <c r="W81" s="0" t="s">
        <v>240</v>
      </c>
      <c r="X81" s="0" t="s">
        <v>5485</v>
      </c>
      <c r="Y81" s="0" t="s">
        <v>240</v>
      </c>
      <c r="Z81" s="0" t="s">
        <v>161</v>
      </c>
      <c r="AA81" s="0" t="s">
        <v>152</v>
      </c>
      <c r="AB81" s="0" t="s">
        <v>152</v>
      </c>
      <c r="AC81" s="0" t="s">
        <v>2985</v>
      </c>
      <c r="AD81" s="0" t="s">
        <v>2985</v>
      </c>
      <c r="AE81" s="0" t="s">
        <v>2986</v>
      </c>
      <c r="AF81" s="0" t="s">
        <v>5951</v>
      </c>
      <c r="AG81" s="0" t="s">
        <v>5952</v>
      </c>
      <c r="AH81" s="0" t="s">
        <v>5965</v>
      </c>
      <c r="AI81" s="0" t="s">
        <v>5966</v>
      </c>
      <c r="AJ81" s="0" t="s">
        <v>5504</v>
      </c>
      <c r="AK81" s="0" t="s">
        <v>5504</v>
      </c>
      <c r="AL81" s="0" t="s">
        <v>5605</v>
      </c>
      <c r="AM81" s="0" t="s">
        <v>5493</v>
      </c>
      <c r="AN81" s="0" t="s">
        <v>5507</v>
      </c>
      <c r="AO81" s="0" t="s">
        <v>5508</v>
      </c>
      <c r="AP81" s="0" t="s">
        <v>240</v>
      </c>
      <c r="AQ81" s="0" t="s">
        <v>240</v>
      </c>
      <c r="AR81" s="0" t="s">
        <v>240</v>
      </c>
      <c r="AS81" s="0" t="s">
        <v>240</v>
      </c>
      <c r="AT81" s="0" t="s">
        <v>240</v>
      </c>
      <c r="AU81" s="0" t="s">
        <v>240</v>
      </c>
      <c r="AV81" s="0" t="s">
        <v>240</v>
      </c>
      <c r="AW81" s="0" t="s">
        <v>240</v>
      </c>
      <c r="AX81" s="0" t="s">
        <v>240</v>
      </c>
      <c r="AY81" s="0" t="s">
        <v>240</v>
      </c>
      <c r="AZ81" s="0" t="s">
        <v>240</v>
      </c>
      <c r="BA81" s="0" t="s">
        <v>240</v>
      </c>
      <c r="BB81" s="0" t="s">
        <v>240</v>
      </c>
      <c r="BC81" s="0" t="s">
        <v>240</v>
      </c>
      <c r="BD81" s="0" t="s">
        <v>240</v>
      </c>
      <c r="BE81" s="0" t="s">
        <v>240</v>
      </c>
      <c r="BF81" s="0" t="s">
        <v>240</v>
      </c>
      <c r="BG81" s="0" t="s">
        <v>240</v>
      </c>
      <c r="BH81" s="0" t="s">
        <v>240</v>
      </c>
      <c r="BI81" s="0" t="s">
        <v>240</v>
      </c>
      <c r="BJ81" s="0" t="s">
        <v>240</v>
      </c>
      <c r="BK81" s="0" t="s">
        <v>240</v>
      </c>
      <c r="BL81" s="0" t="s">
        <v>240</v>
      </c>
      <c r="BM81" s="0" t="s">
        <v>240</v>
      </c>
      <c r="BN81" s="0" t="s">
        <v>240</v>
      </c>
      <c r="BO81" s="0" t="s">
        <v>240</v>
      </c>
      <c r="BP81" s="0" t="s">
        <v>240</v>
      </c>
      <c r="BQ81" s="0" t="s">
        <v>240</v>
      </c>
      <c r="BR81" s="0" t="s">
        <v>240</v>
      </c>
      <c r="BS81" s="0" t="s">
        <v>240</v>
      </c>
      <c r="BT81" s="0" t="s">
        <v>240</v>
      </c>
      <c r="BU81" s="0" t="s">
        <v>240</v>
      </c>
      <c r="BV81" s="0" t="s">
        <v>240</v>
      </c>
      <c r="BW81" s="0" t="s">
        <v>240</v>
      </c>
      <c r="BX81" s="0" t="s">
        <v>240</v>
      </c>
      <c r="BY81" s="0" t="s">
        <v>240</v>
      </c>
      <c r="BZ81" s="0" t="s">
        <v>240</v>
      </c>
      <c r="CA81" s="0" t="s">
        <v>240</v>
      </c>
      <c r="CB81" s="0" t="s">
        <v>240</v>
      </c>
      <c r="CC81" s="0" t="s">
        <v>240</v>
      </c>
      <c r="CD81" s="0" t="s">
        <v>240</v>
      </c>
      <c r="CE81" s="0" t="s">
        <v>240</v>
      </c>
      <c r="CF81" s="0" t="s">
        <v>240</v>
      </c>
      <c r="CG81" s="0" t="s">
        <v>240</v>
      </c>
      <c r="CH81" s="0" t="s">
        <v>240</v>
      </c>
      <c r="CI81" s="0" t="s">
        <v>240</v>
      </c>
      <c r="CJ81" s="0" t="s">
        <v>240</v>
      </c>
      <c r="CK81" s="0" t="s">
        <v>240</v>
      </c>
      <c r="CL81" s="0" t="s">
        <v>240</v>
      </c>
      <c r="CM81" s="0" t="s">
        <v>240</v>
      </c>
      <c r="CN81" s="0" t="s">
        <v>240</v>
      </c>
      <c r="CO81" s="0" t="s">
        <v>240</v>
      </c>
      <c r="CP81" s="0" t="s">
        <v>240</v>
      </c>
      <c r="CQ81" s="0" t="s">
        <v>240</v>
      </c>
      <c r="CR81" s="0" t="s">
        <v>240</v>
      </c>
      <c r="CS81" s="0" t="s">
        <v>240</v>
      </c>
      <c r="CT81" s="0" t="s">
        <v>5496</v>
      </c>
      <c r="CU81" s="0" t="s">
        <v>5497</v>
      </c>
      <c r="CV81" s="0" t="s">
        <v>443</v>
      </c>
      <c r="CW81" s="0" t="s">
        <v>5509</v>
      </c>
      <c r="CX81" s="0" t="s">
        <v>229</v>
      </c>
      <c r="CY81" s="0" t="s">
        <v>443</v>
      </c>
      <c r="CZ81" s="0" t="s">
        <v>5510</v>
      </c>
      <c r="DA81" s="0" t="s">
        <v>5511</v>
      </c>
      <c r="DB81" s="0" t="s">
        <v>5509</v>
      </c>
      <c r="DC81" s="0" t="s">
        <v>384</v>
      </c>
      <c r="DD81" s="0" t="s">
        <v>291</v>
      </c>
      <c r="DE81" s="0" t="s">
        <v>5967</v>
      </c>
    </row>
    <row customHeight="1" ht="11.25">
      <c r="A82" s="1441" t="s">
        <v>240</v>
      </c>
      <c r="B82" s="0" t="s">
        <v>240</v>
      </c>
      <c r="C82" s="0" t="s">
        <v>240</v>
      </c>
      <c r="D82" s="0" t="s">
        <v>240</v>
      </c>
      <c r="E82" s="0" t="s">
        <v>240</v>
      </c>
      <c r="F82" s="0" t="s">
        <v>240</v>
      </c>
      <c r="G82" s="0" t="s">
        <v>240</v>
      </c>
      <c r="H82" s="0" t="s">
        <v>240</v>
      </c>
      <c r="I82" s="0" t="s">
        <v>5484</v>
      </c>
      <c r="J82" s="0" t="s">
        <v>240</v>
      </c>
      <c r="K82" s="0" t="s">
        <v>240</v>
      </c>
      <c r="L82" s="0" t="s">
        <v>240</v>
      </c>
      <c r="M82" s="0" t="s">
        <v>240</v>
      </c>
      <c r="N82" s="0" t="s">
        <v>240</v>
      </c>
      <c r="O82" s="0" t="s">
        <v>240</v>
      </c>
      <c r="P82" s="0" t="s">
        <v>240</v>
      </c>
      <c r="Q82" s="0" t="s">
        <v>240</v>
      </c>
      <c r="R82" s="0" t="s">
        <v>5608</v>
      </c>
      <c r="S82" s="0" t="s">
        <v>240</v>
      </c>
      <c r="T82" s="0" t="s">
        <v>240</v>
      </c>
      <c r="U82" s="0" t="s">
        <v>102</v>
      </c>
      <c r="V82" s="0" t="s">
        <v>240</v>
      </c>
      <c r="W82" s="0" t="s">
        <v>240</v>
      </c>
      <c r="X82" s="0" t="s">
        <v>5485</v>
      </c>
      <c r="Y82" s="0" t="s">
        <v>240</v>
      </c>
      <c r="Z82" s="0" t="s">
        <v>161</v>
      </c>
      <c r="AA82" s="0" t="s">
        <v>152</v>
      </c>
      <c r="AB82" s="0" t="s">
        <v>152</v>
      </c>
      <c r="AC82" s="0" t="s">
        <v>2985</v>
      </c>
      <c r="AD82" s="0" t="s">
        <v>2985</v>
      </c>
      <c r="AE82" s="0" t="s">
        <v>2986</v>
      </c>
      <c r="AF82" s="0" t="s">
        <v>5706</v>
      </c>
      <c r="AG82" s="0" t="s">
        <v>5707</v>
      </c>
      <c r="AH82" s="0" t="s">
        <v>5709</v>
      </c>
      <c r="AI82" s="0" t="s">
        <v>5968</v>
      </c>
      <c r="AJ82" s="0" t="s">
        <v>5504</v>
      </c>
      <c r="AK82" s="0" t="s">
        <v>5505</v>
      </c>
      <c r="AL82" s="0" t="s">
        <v>5506</v>
      </c>
      <c r="AM82" s="0" t="s">
        <v>5493</v>
      </c>
      <c r="AN82" s="0" t="s">
        <v>5507</v>
      </c>
      <c r="AO82" s="0" t="s">
        <v>5768</v>
      </c>
      <c r="AP82" s="0" t="s">
        <v>240</v>
      </c>
      <c r="AQ82" s="0" t="s">
        <v>240</v>
      </c>
      <c r="AR82" s="0" t="s">
        <v>240</v>
      </c>
      <c r="AS82" s="0" t="s">
        <v>240</v>
      </c>
      <c r="AT82" s="0" t="s">
        <v>240</v>
      </c>
      <c r="AU82" s="0" t="s">
        <v>240</v>
      </c>
      <c r="AV82" s="0" t="s">
        <v>240</v>
      </c>
      <c r="AW82" s="0" t="s">
        <v>240</v>
      </c>
      <c r="AX82" s="0" t="s">
        <v>240</v>
      </c>
      <c r="AY82" s="0" t="s">
        <v>240</v>
      </c>
      <c r="AZ82" s="0" t="s">
        <v>240</v>
      </c>
      <c r="BA82" s="0" t="s">
        <v>240</v>
      </c>
      <c r="BB82" s="0" t="s">
        <v>240</v>
      </c>
      <c r="BC82" s="0" t="s">
        <v>240</v>
      </c>
      <c r="BD82" s="0" t="s">
        <v>240</v>
      </c>
      <c r="BE82" s="0" t="s">
        <v>240</v>
      </c>
      <c r="BF82" s="0" t="s">
        <v>240</v>
      </c>
      <c r="BG82" s="0" t="s">
        <v>240</v>
      </c>
      <c r="BH82" s="0" t="s">
        <v>240</v>
      </c>
      <c r="BI82" s="0" t="s">
        <v>240</v>
      </c>
      <c r="BJ82" s="0" t="s">
        <v>240</v>
      </c>
      <c r="BK82" s="0" t="s">
        <v>240</v>
      </c>
      <c r="BL82" s="0" t="s">
        <v>240</v>
      </c>
      <c r="BM82" s="0" t="s">
        <v>240</v>
      </c>
      <c r="BN82" s="0" t="s">
        <v>240</v>
      </c>
      <c r="BO82" s="0" t="s">
        <v>240</v>
      </c>
      <c r="BP82" s="0" t="s">
        <v>240</v>
      </c>
      <c r="BQ82" s="0" t="s">
        <v>240</v>
      </c>
      <c r="BR82" s="0" t="s">
        <v>240</v>
      </c>
      <c r="BS82" s="0" t="s">
        <v>240</v>
      </c>
      <c r="BT82" s="0" t="s">
        <v>240</v>
      </c>
      <c r="BU82" s="0" t="s">
        <v>240</v>
      </c>
      <c r="BV82" s="0" t="s">
        <v>240</v>
      </c>
      <c r="BW82" s="0" t="s">
        <v>240</v>
      </c>
      <c r="BX82" s="0" t="s">
        <v>240</v>
      </c>
      <c r="BY82" s="0" t="s">
        <v>240</v>
      </c>
      <c r="BZ82" s="0" t="s">
        <v>240</v>
      </c>
      <c r="CA82" s="0" t="s">
        <v>240</v>
      </c>
      <c r="CB82" s="0" t="s">
        <v>240</v>
      </c>
      <c r="CC82" s="0" t="s">
        <v>240</v>
      </c>
      <c r="CD82" s="0" t="s">
        <v>240</v>
      </c>
      <c r="CE82" s="0" t="s">
        <v>240</v>
      </c>
      <c r="CF82" s="0" t="s">
        <v>240</v>
      </c>
      <c r="CG82" s="0" t="s">
        <v>240</v>
      </c>
      <c r="CH82" s="0" t="s">
        <v>240</v>
      </c>
      <c r="CI82" s="0" t="s">
        <v>240</v>
      </c>
      <c r="CJ82" s="0" t="s">
        <v>240</v>
      </c>
      <c r="CK82" s="0" t="s">
        <v>240</v>
      </c>
      <c r="CL82" s="0" t="s">
        <v>240</v>
      </c>
      <c r="CM82" s="0" t="s">
        <v>240</v>
      </c>
      <c r="CN82" s="0" t="s">
        <v>240</v>
      </c>
      <c r="CO82" s="0" t="s">
        <v>240</v>
      </c>
      <c r="CP82" s="0" t="s">
        <v>240</v>
      </c>
      <c r="CQ82" s="0" t="s">
        <v>240</v>
      </c>
      <c r="CR82" s="0" t="s">
        <v>240</v>
      </c>
      <c r="CS82" s="0" t="s">
        <v>240</v>
      </c>
      <c r="CT82" s="0" t="s">
        <v>5496</v>
      </c>
      <c r="CU82" s="0" t="s">
        <v>5497</v>
      </c>
      <c r="CV82" s="0" t="s">
        <v>443</v>
      </c>
      <c r="CW82" s="0" t="s">
        <v>5509</v>
      </c>
      <c r="CX82" s="0" t="s">
        <v>229</v>
      </c>
      <c r="CY82" s="0" t="s">
        <v>443</v>
      </c>
      <c r="CZ82" s="0" t="s">
        <v>5510</v>
      </c>
      <c r="DA82" s="0" t="s">
        <v>5511</v>
      </c>
      <c r="DB82" s="0" t="s">
        <v>5509</v>
      </c>
      <c r="DC82" s="0" t="s">
        <v>384</v>
      </c>
      <c r="DD82" s="0" t="s">
        <v>291</v>
      </c>
      <c r="DE82" s="0" t="s">
        <v>5969</v>
      </c>
    </row>
    <row customHeight="1" ht="11.25">
      <c r="A83" s="1441" t="s">
        <v>240</v>
      </c>
      <c r="B83" s="0" t="s">
        <v>240</v>
      </c>
      <c r="C83" s="0" t="s">
        <v>240</v>
      </c>
      <c r="D83" s="0" t="s">
        <v>240</v>
      </c>
      <c r="E83" s="0" t="s">
        <v>240</v>
      </c>
      <c r="F83" s="0" t="s">
        <v>240</v>
      </c>
      <c r="G83" s="0" t="s">
        <v>240</v>
      </c>
      <c r="H83" s="0" t="s">
        <v>240</v>
      </c>
      <c r="I83" s="0" t="s">
        <v>5484</v>
      </c>
      <c r="J83" s="0" t="s">
        <v>240</v>
      </c>
      <c r="K83" s="0" t="s">
        <v>240</v>
      </c>
      <c r="L83" s="0" t="s">
        <v>240</v>
      </c>
      <c r="M83" s="0" t="s">
        <v>240</v>
      </c>
      <c r="N83" s="0" t="s">
        <v>240</v>
      </c>
      <c r="O83" s="0" t="s">
        <v>240</v>
      </c>
      <c r="P83" s="0" t="s">
        <v>240</v>
      </c>
      <c r="Q83" s="0" t="s">
        <v>240</v>
      </c>
      <c r="R83" s="0" t="s">
        <v>5513</v>
      </c>
      <c r="S83" s="0" t="s">
        <v>240</v>
      </c>
      <c r="T83" s="0" t="s">
        <v>240</v>
      </c>
      <c r="U83" s="0" t="s">
        <v>102</v>
      </c>
      <c r="V83" s="0" t="s">
        <v>240</v>
      </c>
      <c r="W83" s="0" t="s">
        <v>240</v>
      </c>
      <c r="X83" s="0" t="s">
        <v>5485</v>
      </c>
      <c r="Y83" s="0" t="s">
        <v>240</v>
      </c>
      <c r="Z83" s="0" t="s">
        <v>161</v>
      </c>
      <c r="AA83" s="0" t="s">
        <v>152</v>
      </c>
      <c r="AB83" s="0" t="s">
        <v>152</v>
      </c>
      <c r="AC83" s="0" t="s">
        <v>2991</v>
      </c>
      <c r="AD83" s="0" t="s">
        <v>2991</v>
      </c>
      <c r="AE83" s="0" t="s">
        <v>2992</v>
      </c>
      <c r="AF83" s="0" t="s">
        <v>5970</v>
      </c>
      <c r="AG83" s="0" t="s">
        <v>5971</v>
      </c>
      <c r="AH83" s="0" t="s">
        <v>5972</v>
      </c>
      <c r="AI83" s="0" t="s">
        <v>5730</v>
      </c>
      <c r="AJ83" s="0" t="s">
        <v>5504</v>
      </c>
      <c r="AK83" s="0" t="s">
        <v>5731</v>
      </c>
      <c r="AL83" s="0" t="s">
        <v>5506</v>
      </c>
      <c r="AM83" s="0" t="s">
        <v>5493</v>
      </c>
      <c r="AN83" s="0" t="s">
        <v>5545</v>
      </c>
      <c r="AO83" s="0" t="s">
        <v>5636</v>
      </c>
      <c r="AP83" s="0" t="s">
        <v>240</v>
      </c>
      <c r="AQ83" s="0" t="s">
        <v>240</v>
      </c>
      <c r="AR83" s="0" t="s">
        <v>240</v>
      </c>
      <c r="AS83" s="0" t="s">
        <v>240</v>
      </c>
      <c r="AT83" s="0" t="s">
        <v>240</v>
      </c>
      <c r="AU83" s="0" t="s">
        <v>240</v>
      </c>
      <c r="AV83" s="0" t="s">
        <v>240</v>
      </c>
      <c r="AW83" s="0" t="s">
        <v>240</v>
      </c>
      <c r="AX83" s="0" t="s">
        <v>240</v>
      </c>
      <c r="AY83" s="0" t="s">
        <v>240</v>
      </c>
      <c r="AZ83" s="0" t="s">
        <v>240</v>
      </c>
      <c r="BA83" s="0" t="s">
        <v>240</v>
      </c>
      <c r="BB83" s="0" t="s">
        <v>240</v>
      </c>
      <c r="BC83" s="0" t="s">
        <v>240</v>
      </c>
      <c r="BD83" s="0" t="s">
        <v>240</v>
      </c>
      <c r="BE83" s="0" t="s">
        <v>240</v>
      </c>
      <c r="BF83" s="0" t="s">
        <v>240</v>
      </c>
      <c r="BG83" s="0" t="s">
        <v>240</v>
      </c>
      <c r="BH83" s="0" t="s">
        <v>240</v>
      </c>
      <c r="BI83" s="0" t="s">
        <v>240</v>
      </c>
      <c r="BJ83" s="0" t="s">
        <v>240</v>
      </c>
      <c r="BK83" s="0" t="s">
        <v>240</v>
      </c>
      <c r="BL83" s="0" t="s">
        <v>240</v>
      </c>
      <c r="BM83" s="0" t="s">
        <v>240</v>
      </c>
      <c r="BN83" s="0" t="s">
        <v>240</v>
      </c>
      <c r="BO83" s="0" t="s">
        <v>240</v>
      </c>
      <c r="BP83" s="0" t="s">
        <v>240</v>
      </c>
      <c r="BQ83" s="0" t="s">
        <v>240</v>
      </c>
      <c r="BR83" s="0" t="s">
        <v>240</v>
      </c>
      <c r="BS83" s="0" t="s">
        <v>240</v>
      </c>
      <c r="BT83" s="0" t="s">
        <v>240</v>
      </c>
      <c r="BU83" s="0" t="s">
        <v>240</v>
      </c>
      <c r="BV83" s="0" t="s">
        <v>240</v>
      </c>
      <c r="BW83" s="0" t="s">
        <v>240</v>
      </c>
      <c r="BX83" s="0" t="s">
        <v>240</v>
      </c>
      <c r="BY83" s="0" t="s">
        <v>240</v>
      </c>
      <c r="BZ83" s="0" t="s">
        <v>240</v>
      </c>
      <c r="CA83" s="0" t="s">
        <v>240</v>
      </c>
      <c r="CB83" s="0" t="s">
        <v>240</v>
      </c>
      <c r="CC83" s="0" t="s">
        <v>240</v>
      </c>
      <c r="CD83" s="0" t="s">
        <v>240</v>
      </c>
      <c r="CE83" s="0" t="s">
        <v>240</v>
      </c>
      <c r="CF83" s="0" t="s">
        <v>240</v>
      </c>
      <c r="CG83" s="0" t="s">
        <v>240</v>
      </c>
      <c r="CH83" s="0" t="s">
        <v>240</v>
      </c>
      <c r="CI83" s="0" t="s">
        <v>240</v>
      </c>
      <c r="CJ83" s="0" t="s">
        <v>240</v>
      </c>
      <c r="CK83" s="0" t="s">
        <v>240</v>
      </c>
      <c r="CL83" s="0" t="s">
        <v>240</v>
      </c>
      <c r="CM83" s="0" t="s">
        <v>240</v>
      </c>
      <c r="CN83" s="0" t="s">
        <v>240</v>
      </c>
      <c r="CO83" s="0" t="s">
        <v>240</v>
      </c>
      <c r="CP83" s="0" t="s">
        <v>240</v>
      </c>
      <c r="CQ83" s="0" t="s">
        <v>240</v>
      </c>
      <c r="CR83" s="0" t="s">
        <v>240</v>
      </c>
      <c r="CS83" s="0" t="s">
        <v>240</v>
      </c>
      <c r="CT83" s="0" t="s">
        <v>5496</v>
      </c>
      <c r="CU83" s="0" t="s">
        <v>5497</v>
      </c>
      <c r="CV83" s="0" t="s">
        <v>443</v>
      </c>
      <c r="CW83" s="0" t="s">
        <v>5547</v>
      </c>
      <c r="CX83" s="0" t="s">
        <v>229</v>
      </c>
      <c r="CY83" s="0" t="s">
        <v>443</v>
      </c>
      <c r="CZ83" s="0" t="s">
        <v>5548</v>
      </c>
      <c r="DA83" s="0" t="s">
        <v>5549</v>
      </c>
      <c r="DB83" s="0" t="s">
        <v>5547</v>
      </c>
      <c r="DC83" s="0" t="s">
        <v>384</v>
      </c>
      <c r="DD83" s="0" t="s">
        <v>291</v>
      </c>
      <c r="DE83" s="0" t="s">
        <v>5973</v>
      </c>
    </row>
    <row customHeight="1" ht="11.25">
      <c r="A84" s="1441" t="s">
        <v>240</v>
      </c>
      <c r="B84" s="0" t="s">
        <v>240</v>
      </c>
      <c r="C84" s="0" t="s">
        <v>240</v>
      </c>
      <c r="D84" s="0" t="s">
        <v>240</v>
      </c>
      <c r="E84" s="0" t="s">
        <v>240</v>
      </c>
      <c r="F84" s="0" t="s">
        <v>240</v>
      </c>
      <c r="G84" s="0" t="s">
        <v>240</v>
      </c>
      <c r="H84" s="0" t="s">
        <v>240</v>
      </c>
      <c r="I84" s="0" t="s">
        <v>5484</v>
      </c>
      <c r="J84" s="0" t="s">
        <v>240</v>
      </c>
      <c r="K84" s="0" t="s">
        <v>240</v>
      </c>
      <c r="L84" s="0" t="s">
        <v>240</v>
      </c>
      <c r="M84" s="0" t="s">
        <v>240</v>
      </c>
      <c r="N84" s="0" t="s">
        <v>240</v>
      </c>
      <c r="O84" s="0" t="s">
        <v>240</v>
      </c>
      <c r="P84" s="0" t="s">
        <v>240</v>
      </c>
      <c r="Q84" s="0" t="s">
        <v>240</v>
      </c>
      <c r="R84" s="0" t="s">
        <v>5974</v>
      </c>
      <c r="S84" s="0" t="s">
        <v>240</v>
      </c>
      <c r="T84" s="0" t="s">
        <v>240</v>
      </c>
      <c r="U84" s="0" t="s">
        <v>102</v>
      </c>
      <c r="V84" s="0" t="s">
        <v>240</v>
      </c>
      <c r="W84" s="0" t="s">
        <v>240</v>
      </c>
      <c r="X84" s="0" t="s">
        <v>5485</v>
      </c>
      <c r="Y84" s="0" t="s">
        <v>240</v>
      </c>
      <c r="Z84" s="0" t="s">
        <v>161</v>
      </c>
      <c r="AA84" s="0" t="s">
        <v>152</v>
      </c>
      <c r="AB84" s="0" t="s">
        <v>152</v>
      </c>
      <c r="AC84" s="0" t="s">
        <v>2989</v>
      </c>
      <c r="AD84" s="0" t="s">
        <v>2989</v>
      </c>
      <c r="AE84" s="0" t="s">
        <v>2990</v>
      </c>
      <c r="AF84" s="0" t="s">
        <v>5975</v>
      </c>
      <c r="AG84" s="0" t="s">
        <v>5976</v>
      </c>
      <c r="AH84" s="0" t="s">
        <v>5972</v>
      </c>
      <c r="AI84" s="0" t="s">
        <v>290</v>
      </c>
      <c r="AJ84" s="0" t="s">
        <v>5490</v>
      </c>
      <c r="AK84" s="0" t="s">
        <v>5490</v>
      </c>
      <c r="AL84" s="0" t="s">
        <v>5605</v>
      </c>
      <c r="AM84" s="0" t="s">
        <v>5493</v>
      </c>
      <c r="AN84" s="0" t="s">
        <v>5507</v>
      </c>
      <c r="AO84" s="0" t="s">
        <v>5977</v>
      </c>
      <c r="AP84" s="0" t="s">
        <v>240</v>
      </c>
      <c r="AQ84" s="0" t="s">
        <v>240</v>
      </c>
      <c r="AR84" s="0" t="s">
        <v>240</v>
      </c>
      <c r="AS84" s="0" t="s">
        <v>240</v>
      </c>
      <c r="AT84" s="0" t="s">
        <v>240</v>
      </c>
      <c r="AU84" s="0" t="s">
        <v>240</v>
      </c>
      <c r="AV84" s="0" t="s">
        <v>240</v>
      </c>
      <c r="AW84" s="0" t="s">
        <v>240</v>
      </c>
      <c r="AX84" s="0" t="s">
        <v>240</v>
      </c>
      <c r="AY84" s="0" t="s">
        <v>240</v>
      </c>
      <c r="AZ84" s="0" t="s">
        <v>240</v>
      </c>
      <c r="BA84" s="0" t="s">
        <v>240</v>
      </c>
      <c r="BB84" s="0" t="s">
        <v>240</v>
      </c>
      <c r="BC84" s="0" t="s">
        <v>240</v>
      </c>
      <c r="BD84" s="0" t="s">
        <v>240</v>
      </c>
      <c r="BE84" s="0" t="s">
        <v>240</v>
      </c>
      <c r="BF84" s="0" t="s">
        <v>240</v>
      </c>
      <c r="BG84" s="0" t="s">
        <v>240</v>
      </c>
      <c r="BH84" s="0" t="s">
        <v>240</v>
      </c>
      <c r="BI84" s="0" t="s">
        <v>240</v>
      </c>
      <c r="BJ84" s="0" t="s">
        <v>240</v>
      </c>
      <c r="BK84" s="0" t="s">
        <v>240</v>
      </c>
      <c r="BL84" s="0" t="s">
        <v>240</v>
      </c>
      <c r="BM84" s="0" t="s">
        <v>240</v>
      </c>
      <c r="BN84" s="0" t="s">
        <v>240</v>
      </c>
      <c r="BO84" s="0" t="s">
        <v>240</v>
      </c>
      <c r="BP84" s="0" t="s">
        <v>240</v>
      </c>
      <c r="BQ84" s="0" t="s">
        <v>240</v>
      </c>
      <c r="BR84" s="0" t="s">
        <v>240</v>
      </c>
      <c r="BS84" s="0" t="s">
        <v>240</v>
      </c>
      <c r="BT84" s="0" t="s">
        <v>240</v>
      </c>
      <c r="BU84" s="0" t="s">
        <v>240</v>
      </c>
      <c r="BV84" s="0" t="s">
        <v>240</v>
      </c>
      <c r="BW84" s="0" t="s">
        <v>240</v>
      </c>
      <c r="BX84" s="0" t="s">
        <v>240</v>
      </c>
      <c r="BY84" s="0" t="s">
        <v>240</v>
      </c>
      <c r="BZ84" s="0" t="s">
        <v>240</v>
      </c>
      <c r="CA84" s="0" t="s">
        <v>240</v>
      </c>
      <c r="CB84" s="0" t="s">
        <v>240</v>
      </c>
      <c r="CC84" s="0" t="s">
        <v>240</v>
      </c>
      <c r="CD84" s="0" t="s">
        <v>240</v>
      </c>
      <c r="CE84" s="0" t="s">
        <v>240</v>
      </c>
      <c r="CF84" s="0" t="s">
        <v>240</v>
      </c>
      <c r="CG84" s="0" t="s">
        <v>240</v>
      </c>
      <c r="CH84" s="0" t="s">
        <v>240</v>
      </c>
      <c r="CI84" s="0" t="s">
        <v>240</v>
      </c>
      <c r="CJ84" s="0" t="s">
        <v>240</v>
      </c>
      <c r="CK84" s="0" t="s">
        <v>240</v>
      </c>
      <c r="CL84" s="0" t="s">
        <v>240</v>
      </c>
      <c r="CM84" s="0" t="s">
        <v>240</v>
      </c>
      <c r="CN84" s="0" t="s">
        <v>240</v>
      </c>
      <c r="CO84" s="0" t="s">
        <v>240</v>
      </c>
      <c r="CP84" s="0" t="s">
        <v>240</v>
      </c>
      <c r="CQ84" s="0" t="s">
        <v>240</v>
      </c>
      <c r="CR84" s="0" t="s">
        <v>240</v>
      </c>
      <c r="CS84" s="0" t="s">
        <v>240</v>
      </c>
      <c r="CT84" s="0" t="s">
        <v>5496</v>
      </c>
      <c r="CU84" s="0" t="s">
        <v>5497</v>
      </c>
      <c r="CV84" s="0" t="s">
        <v>443</v>
      </c>
      <c r="CW84" s="0" t="s">
        <v>5580</v>
      </c>
      <c r="CX84" s="0" t="s">
        <v>229</v>
      </c>
      <c r="CY84" s="0" t="s">
        <v>443</v>
      </c>
      <c r="CZ84" s="0" t="s">
        <v>5581</v>
      </c>
      <c r="DA84" s="0" t="s">
        <v>5582</v>
      </c>
      <c r="DB84" s="0" t="s">
        <v>5580</v>
      </c>
      <c r="DC84" s="0" t="s">
        <v>384</v>
      </c>
      <c r="DD84" s="0" t="s">
        <v>291</v>
      </c>
      <c r="DE84" s="0" t="s">
        <v>5978</v>
      </c>
    </row>
    <row customHeight="1" ht="11.25">
      <c r="A85" s="1441" t="s">
        <v>240</v>
      </c>
      <c r="B85" s="0" t="s">
        <v>240</v>
      </c>
      <c r="C85" s="0" t="s">
        <v>240</v>
      </c>
      <c r="D85" s="0" t="s">
        <v>240</v>
      </c>
      <c r="E85" s="0" t="s">
        <v>240</v>
      </c>
      <c r="F85" s="0" t="s">
        <v>240</v>
      </c>
      <c r="G85" s="0" t="s">
        <v>240</v>
      </c>
      <c r="H85" s="0" t="s">
        <v>240</v>
      </c>
      <c r="I85" s="0" t="s">
        <v>5484</v>
      </c>
      <c r="J85" s="0" t="s">
        <v>240</v>
      </c>
      <c r="K85" s="0" t="s">
        <v>240</v>
      </c>
      <c r="L85" s="0" t="s">
        <v>240</v>
      </c>
      <c r="M85" s="0" t="s">
        <v>240</v>
      </c>
      <c r="N85" s="0" t="s">
        <v>240</v>
      </c>
      <c r="O85" s="0" t="s">
        <v>240</v>
      </c>
      <c r="P85" s="0" t="s">
        <v>240</v>
      </c>
      <c r="Q85" s="0" t="s">
        <v>240</v>
      </c>
      <c r="R85" s="0" t="s">
        <v>5572</v>
      </c>
      <c r="S85" s="0" t="s">
        <v>240</v>
      </c>
      <c r="T85" s="0" t="s">
        <v>240</v>
      </c>
      <c r="U85" s="0" t="s">
        <v>102</v>
      </c>
      <c r="V85" s="0" t="s">
        <v>240</v>
      </c>
      <c r="W85" s="0" t="s">
        <v>240</v>
      </c>
      <c r="X85" s="0" t="s">
        <v>5485</v>
      </c>
      <c r="Y85" s="0" t="s">
        <v>240</v>
      </c>
      <c r="Z85" s="0" t="s">
        <v>161</v>
      </c>
      <c r="AA85" s="0" t="s">
        <v>152</v>
      </c>
      <c r="AB85" s="0" t="s">
        <v>152</v>
      </c>
      <c r="AC85" s="0" t="s">
        <v>2989</v>
      </c>
      <c r="AD85" s="0" t="s">
        <v>2989</v>
      </c>
      <c r="AE85" s="0" t="s">
        <v>2990</v>
      </c>
      <c r="AF85" s="0" t="s">
        <v>5979</v>
      </c>
      <c r="AG85" s="0" t="s">
        <v>5980</v>
      </c>
      <c r="AH85" s="0" t="s">
        <v>5981</v>
      </c>
      <c r="AI85" s="0" t="s">
        <v>5982</v>
      </c>
      <c r="AJ85" s="0" t="s">
        <v>5576</v>
      </c>
      <c r="AK85" s="0" t="s">
        <v>5598</v>
      </c>
      <c r="AL85" s="0" t="s">
        <v>5506</v>
      </c>
      <c r="AM85" s="0" t="s">
        <v>5493</v>
      </c>
      <c r="AN85" s="0" t="s">
        <v>5578</v>
      </c>
      <c r="AO85" s="0" t="s">
        <v>5625</v>
      </c>
      <c r="AP85" s="0" t="s">
        <v>240</v>
      </c>
      <c r="AQ85" s="0" t="s">
        <v>240</v>
      </c>
      <c r="AR85" s="0" t="s">
        <v>240</v>
      </c>
      <c r="AS85" s="0" t="s">
        <v>240</v>
      </c>
      <c r="AT85" s="0" t="s">
        <v>240</v>
      </c>
      <c r="AU85" s="0" t="s">
        <v>240</v>
      </c>
      <c r="AV85" s="0" t="s">
        <v>240</v>
      </c>
      <c r="AW85" s="0" t="s">
        <v>240</v>
      </c>
      <c r="AX85" s="0" t="s">
        <v>240</v>
      </c>
      <c r="AY85" s="0" t="s">
        <v>240</v>
      </c>
      <c r="AZ85" s="0" t="s">
        <v>240</v>
      </c>
      <c r="BA85" s="0" t="s">
        <v>240</v>
      </c>
      <c r="BB85" s="0" t="s">
        <v>240</v>
      </c>
      <c r="BC85" s="0" t="s">
        <v>240</v>
      </c>
      <c r="BD85" s="0" t="s">
        <v>240</v>
      </c>
      <c r="BE85" s="0" t="s">
        <v>240</v>
      </c>
      <c r="BF85" s="0" t="s">
        <v>240</v>
      </c>
      <c r="BG85" s="0" t="s">
        <v>240</v>
      </c>
      <c r="BH85" s="0" t="s">
        <v>240</v>
      </c>
      <c r="BI85" s="0" t="s">
        <v>240</v>
      </c>
      <c r="BJ85" s="0" t="s">
        <v>240</v>
      </c>
      <c r="BK85" s="0" t="s">
        <v>240</v>
      </c>
      <c r="BL85" s="0" t="s">
        <v>240</v>
      </c>
      <c r="BM85" s="0" t="s">
        <v>240</v>
      </c>
      <c r="BN85" s="0" t="s">
        <v>240</v>
      </c>
      <c r="BO85" s="0" t="s">
        <v>240</v>
      </c>
      <c r="BP85" s="0" t="s">
        <v>240</v>
      </c>
      <c r="BQ85" s="0" t="s">
        <v>240</v>
      </c>
      <c r="BR85" s="0" t="s">
        <v>240</v>
      </c>
      <c r="BS85" s="0" t="s">
        <v>240</v>
      </c>
      <c r="BT85" s="0" t="s">
        <v>240</v>
      </c>
      <c r="BU85" s="0" t="s">
        <v>240</v>
      </c>
      <c r="BV85" s="0" t="s">
        <v>240</v>
      </c>
      <c r="BW85" s="0" t="s">
        <v>240</v>
      </c>
      <c r="BX85" s="0" t="s">
        <v>240</v>
      </c>
      <c r="BY85" s="0" t="s">
        <v>240</v>
      </c>
      <c r="BZ85" s="0" t="s">
        <v>240</v>
      </c>
      <c r="CA85" s="0" t="s">
        <v>240</v>
      </c>
      <c r="CB85" s="0" t="s">
        <v>240</v>
      </c>
      <c r="CC85" s="0" t="s">
        <v>240</v>
      </c>
      <c r="CD85" s="0" t="s">
        <v>240</v>
      </c>
      <c r="CE85" s="0" t="s">
        <v>240</v>
      </c>
      <c r="CF85" s="0" t="s">
        <v>240</v>
      </c>
      <c r="CG85" s="0" t="s">
        <v>240</v>
      </c>
      <c r="CH85" s="0" t="s">
        <v>240</v>
      </c>
      <c r="CI85" s="0" t="s">
        <v>240</v>
      </c>
      <c r="CJ85" s="0" t="s">
        <v>240</v>
      </c>
      <c r="CK85" s="0" t="s">
        <v>240</v>
      </c>
      <c r="CL85" s="0" t="s">
        <v>240</v>
      </c>
      <c r="CM85" s="0" t="s">
        <v>240</v>
      </c>
      <c r="CN85" s="0" t="s">
        <v>240</v>
      </c>
      <c r="CO85" s="0" t="s">
        <v>240</v>
      </c>
      <c r="CP85" s="0" t="s">
        <v>240</v>
      </c>
      <c r="CQ85" s="0" t="s">
        <v>240</v>
      </c>
      <c r="CR85" s="0" t="s">
        <v>240</v>
      </c>
      <c r="CS85" s="0" t="s">
        <v>240</v>
      </c>
      <c r="CT85" s="0" t="s">
        <v>5496</v>
      </c>
      <c r="CU85" s="0" t="s">
        <v>5497</v>
      </c>
      <c r="CV85" s="0" t="s">
        <v>443</v>
      </c>
      <c r="CW85" s="0" t="s">
        <v>5580</v>
      </c>
      <c r="CX85" s="0" t="s">
        <v>229</v>
      </c>
      <c r="CY85" s="0" t="s">
        <v>443</v>
      </c>
      <c r="CZ85" s="0" t="s">
        <v>5581</v>
      </c>
      <c r="DA85" s="0" t="s">
        <v>5582</v>
      </c>
      <c r="DB85" s="0" t="s">
        <v>5580</v>
      </c>
      <c r="DC85" s="0" t="s">
        <v>384</v>
      </c>
      <c r="DD85" s="0" t="s">
        <v>291</v>
      </c>
      <c r="DE85" s="0" t="s">
        <v>5983</v>
      </c>
    </row>
    <row customHeight="1" ht="11.25">
      <c r="A86" s="1441" t="s">
        <v>240</v>
      </c>
      <c r="B86" s="0" t="s">
        <v>240</v>
      </c>
      <c r="C86" s="0" t="s">
        <v>240</v>
      </c>
      <c r="D86" s="0" t="s">
        <v>240</v>
      </c>
      <c r="E86" s="0" t="s">
        <v>240</v>
      </c>
      <c r="F86" s="0" t="s">
        <v>240</v>
      </c>
      <c r="G86" s="0" t="s">
        <v>240</v>
      </c>
      <c r="H86" s="0" t="s">
        <v>240</v>
      </c>
      <c r="I86" s="0" t="s">
        <v>5484</v>
      </c>
      <c r="J86" s="0" t="s">
        <v>240</v>
      </c>
      <c r="K86" s="0" t="s">
        <v>240</v>
      </c>
      <c r="L86" s="0" t="s">
        <v>240</v>
      </c>
      <c r="M86" s="0" t="s">
        <v>240</v>
      </c>
      <c r="N86" s="0" t="s">
        <v>240</v>
      </c>
      <c r="O86" s="0" t="s">
        <v>240</v>
      </c>
      <c r="P86" s="0" t="s">
        <v>240</v>
      </c>
      <c r="Q86" s="0" t="s">
        <v>240</v>
      </c>
      <c r="R86" s="0" t="s">
        <v>5572</v>
      </c>
      <c r="S86" s="0" t="s">
        <v>240</v>
      </c>
      <c r="T86" s="0" t="s">
        <v>240</v>
      </c>
      <c r="U86" s="0" t="s">
        <v>102</v>
      </c>
      <c r="V86" s="0" t="s">
        <v>240</v>
      </c>
      <c r="W86" s="0" t="s">
        <v>240</v>
      </c>
      <c r="X86" s="0" t="s">
        <v>5485</v>
      </c>
      <c r="Y86" s="0" t="s">
        <v>240</v>
      </c>
      <c r="Z86" s="0" t="s">
        <v>161</v>
      </c>
      <c r="AA86" s="0" t="s">
        <v>152</v>
      </c>
      <c r="AB86" s="0" t="s">
        <v>152</v>
      </c>
      <c r="AC86" s="0" t="s">
        <v>2989</v>
      </c>
      <c r="AD86" s="0" t="s">
        <v>2989</v>
      </c>
      <c r="AE86" s="0" t="s">
        <v>2990</v>
      </c>
      <c r="AF86" s="0" t="s">
        <v>5979</v>
      </c>
      <c r="AG86" s="0" t="s">
        <v>5980</v>
      </c>
      <c r="AH86" s="0" t="s">
        <v>5984</v>
      </c>
      <c r="AI86" s="0" t="s">
        <v>5985</v>
      </c>
      <c r="AJ86" s="0" t="s">
        <v>5576</v>
      </c>
      <c r="AK86" s="0" t="s">
        <v>5986</v>
      </c>
      <c r="AL86" s="0" t="s">
        <v>5506</v>
      </c>
      <c r="AM86" s="0" t="s">
        <v>5493</v>
      </c>
      <c r="AN86" s="0" t="s">
        <v>5578</v>
      </c>
      <c r="AO86" s="0" t="s">
        <v>5579</v>
      </c>
      <c r="AP86" s="0" t="s">
        <v>240</v>
      </c>
      <c r="AQ86" s="0" t="s">
        <v>240</v>
      </c>
      <c r="AR86" s="0" t="s">
        <v>240</v>
      </c>
      <c r="AS86" s="0" t="s">
        <v>240</v>
      </c>
      <c r="AT86" s="0" t="s">
        <v>240</v>
      </c>
      <c r="AU86" s="0" t="s">
        <v>240</v>
      </c>
      <c r="AV86" s="0" t="s">
        <v>240</v>
      </c>
      <c r="AW86" s="0" t="s">
        <v>240</v>
      </c>
      <c r="AX86" s="0" t="s">
        <v>240</v>
      </c>
      <c r="AY86" s="0" t="s">
        <v>240</v>
      </c>
      <c r="AZ86" s="0" t="s">
        <v>240</v>
      </c>
      <c r="BA86" s="0" t="s">
        <v>240</v>
      </c>
      <c r="BB86" s="0" t="s">
        <v>240</v>
      </c>
      <c r="BC86" s="0" t="s">
        <v>240</v>
      </c>
      <c r="BD86" s="0" t="s">
        <v>240</v>
      </c>
      <c r="BE86" s="0" t="s">
        <v>240</v>
      </c>
      <c r="BF86" s="0" t="s">
        <v>240</v>
      </c>
      <c r="BG86" s="0" t="s">
        <v>240</v>
      </c>
      <c r="BH86" s="0" t="s">
        <v>240</v>
      </c>
      <c r="BI86" s="0" t="s">
        <v>240</v>
      </c>
      <c r="BJ86" s="0" t="s">
        <v>240</v>
      </c>
      <c r="BK86" s="0" t="s">
        <v>240</v>
      </c>
      <c r="BL86" s="0" t="s">
        <v>240</v>
      </c>
      <c r="BM86" s="0" t="s">
        <v>240</v>
      </c>
      <c r="BN86" s="0" t="s">
        <v>240</v>
      </c>
      <c r="BO86" s="0" t="s">
        <v>240</v>
      </c>
      <c r="BP86" s="0" t="s">
        <v>240</v>
      </c>
      <c r="BQ86" s="0" t="s">
        <v>240</v>
      </c>
      <c r="BR86" s="0" t="s">
        <v>240</v>
      </c>
      <c r="BS86" s="0" t="s">
        <v>240</v>
      </c>
      <c r="BT86" s="0" t="s">
        <v>240</v>
      </c>
      <c r="BU86" s="0" t="s">
        <v>240</v>
      </c>
      <c r="BV86" s="0" t="s">
        <v>240</v>
      </c>
      <c r="BW86" s="0" t="s">
        <v>240</v>
      </c>
      <c r="BX86" s="0" t="s">
        <v>240</v>
      </c>
      <c r="BY86" s="0" t="s">
        <v>240</v>
      </c>
      <c r="BZ86" s="0" t="s">
        <v>240</v>
      </c>
      <c r="CA86" s="0" t="s">
        <v>240</v>
      </c>
      <c r="CB86" s="0" t="s">
        <v>240</v>
      </c>
      <c r="CC86" s="0" t="s">
        <v>240</v>
      </c>
      <c r="CD86" s="0" t="s">
        <v>240</v>
      </c>
      <c r="CE86" s="0" t="s">
        <v>240</v>
      </c>
      <c r="CF86" s="0" t="s">
        <v>240</v>
      </c>
      <c r="CG86" s="0" t="s">
        <v>240</v>
      </c>
      <c r="CH86" s="0" t="s">
        <v>240</v>
      </c>
      <c r="CI86" s="0" t="s">
        <v>240</v>
      </c>
      <c r="CJ86" s="0" t="s">
        <v>240</v>
      </c>
      <c r="CK86" s="0" t="s">
        <v>240</v>
      </c>
      <c r="CL86" s="0" t="s">
        <v>240</v>
      </c>
      <c r="CM86" s="0" t="s">
        <v>240</v>
      </c>
      <c r="CN86" s="0" t="s">
        <v>240</v>
      </c>
      <c r="CO86" s="0" t="s">
        <v>240</v>
      </c>
      <c r="CP86" s="0" t="s">
        <v>240</v>
      </c>
      <c r="CQ86" s="0" t="s">
        <v>240</v>
      </c>
      <c r="CR86" s="0" t="s">
        <v>240</v>
      </c>
      <c r="CS86" s="0" t="s">
        <v>240</v>
      </c>
      <c r="CT86" s="0" t="s">
        <v>5496</v>
      </c>
      <c r="CU86" s="0" t="s">
        <v>5497</v>
      </c>
      <c r="CV86" s="0" t="s">
        <v>443</v>
      </c>
      <c r="CW86" s="0" t="s">
        <v>5580</v>
      </c>
      <c r="CX86" s="0" t="s">
        <v>229</v>
      </c>
      <c r="CY86" s="0" t="s">
        <v>443</v>
      </c>
      <c r="CZ86" s="0" t="s">
        <v>5581</v>
      </c>
      <c r="DA86" s="0" t="s">
        <v>5582</v>
      </c>
      <c r="DB86" s="0" t="s">
        <v>5580</v>
      </c>
      <c r="DC86" s="0" t="s">
        <v>384</v>
      </c>
      <c r="DD86" s="0" t="s">
        <v>291</v>
      </c>
      <c r="DE86" s="0" t="s">
        <v>5987</v>
      </c>
    </row>
    <row customHeight="1" ht="11.25">
      <c r="A87" s="1441" t="s">
        <v>240</v>
      </c>
      <c r="B87" s="0" t="s">
        <v>240</v>
      </c>
      <c r="C87" s="0" t="s">
        <v>240</v>
      </c>
      <c r="D87" s="0" t="s">
        <v>240</v>
      </c>
      <c r="E87" s="0" t="s">
        <v>240</v>
      </c>
      <c r="F87" s="0" t="s">
        <v>240</v>
      </c>
      <c r="G87" s="0" t="s">
        <v>240</v>
      </c>
      <c r="H87" s="0" t="s">
        <v>240</v>
      </c>
      <c r="I87" s="0" t="s">
        <v>5484</v>
      </c>
      <c r="J87" s="0" t="s">
        <v>240</v>
      </c>
      <c r="K87" s="0" t="s">
        <v>240</v>
      </c>
      <c r="L87" s="0" t="s">
        <v>240</v>
      </c>
      <c r="M87" s="0" t="s">
        <v>240</v>
      </c>
      <c r="N87" s="0" t="s">
        <v>240</v>
      </c>
      <c r="O87" s="0" t="s">
        <v>240</v>
      </c>
      <c r="P87" s="0" t="s">
        <v>240</v>
      </c>
      <c r="Q87" s="0" t="s">
        <v>240</v>
      </c>
      <c r="R87" s="0" t="s">
        <v>5988</v>
      </c>
      <c r="S87" s="0" t="s">
        <v>240</v>
      </c>
      <c r="T87" s="0" t="s">
        <v>240</v>
      </c>
      <c r="U87" s="0" t="s">
        <v>102</v>
      </c>
      <c r="V87" s="0" t="s">
        <v>240</v>
      </c>
      <c r="W87" s="0" t="s">
        <v>240</v>
      </c>
      <c r="X87" s="0" t="s">
        <v>5485</v>
      </c>
      <c r="Y87" s="0" t="s">
        <v>240</v>
      </c>
      <c r="Z87" s="0" t="s">
        <v>161</v>
      </c>
      <c r="AA87" s="0" t="s">
        <v>152</v>
      </c>
      <c r="AB87" s="0" t="s">
        <v>152</v>
      </c>
      <c r="AC87" s="0" t="s">
        <v>3389</v>
      </c>
      <c r="AD87" s="0" t="s">
        <v>3389</v>
      </c>
      <c r="AE87" s="0" t="s">
        <v>3390</v>
      </c>
      <c r="AF87" s="0" t="s">
        <v>5519</v>
      </c>
      <c r="AG87" s="0" t="s">
        <v>5520</v>
      </c>
      <c r="AH87" s="0" t="s">
        <v>5586</v>
      </c>
      <c r="AI87" s="0" t="s">
        <v>5533</v>
      </c>
      <c r="AJ87" s="0" t="s">
        <v>5587</v>
      </c>
      <c r="AK87" s="0" t="s">
        <v>5588</v>
      </c>
      <c r="AL87" s="0" t="s">
        <v>5570</v>
      </c>
      <c r="AM87" s="0" t="s">
        <v>5493</v>
      </c>
      <c r="AN87" s="0" t="s">
        <v>5989</v>
      </c>
      <c r="AO87" s="0" t="s">
        <v>5990</v>
      </c>
      <c r="AP87" s="0" t="s">
        <v>240</v>
      </c>
      <c r="AQ87" s="0" t="s">
        <v>240</v>
      </c>
      <c r="AR87" s="0" t="s">
        <v>240</v>
      </c>
      <c r="AS87" s="0" t="s">
        <v>240</v>
      </c>
      <c r="AT87" s="0" t="s">
        <v>240</v>
      </c>
      <c r="AU87" s="0" t="s">
        <v>240</v>
      </c>
      <c r="AV87" s="0" t="s">
        <v>240</v>
      </c>
      <c r="AW87" s="0" t="s">
        <v>240</v>
      </c>
      <c r="AX87" s="0" t="s">
        <v>240</v>
      </c>
      <c r="AY87" s="0" t="s">
        <v>240</v>
      </c>
      <c r="AZ87" s="0" t="s">
        <v>240</v>
      </c>
      <c r="BA87" s="0" t="s">
        <v>240</v>
      </c>
      <c r="BB87" s="0" t="s">
        <v>240</v>
      </c>
      <c r="BC87" s="0" t="s">
        <v>240</v>
      </c>
      <c r="BD87" s="0" t="s">
        <v>240</v>
      </c>
      <c r="BE87" s="0" t="s">
        <v>240</v>
      </c>
      <c r="BF87" s="0" t="s">
        <v>240</v>
      </c>
      <c r="BG87" s="0" t="s">
        <v>240</v>
      </c>
      <c r="BH87" s="0" t="s">
        <v>240</v>
      </c>
      <c r="BI87" s="0" t="s">
        <v>240</v>
      </c>
      <c r="BJ87" s="0" t="s">
        <v>240</v>
      </c>
      <c r="BK87" s="0" t="s">
        <v>240</v>
      </c>
      <c r="BL87" s="0" t="s">
        <v>240</v>
      </c>
      <c r="BM87" s="0" t="s">
        <v>240</v>
      </c>
      <c r="BN87" s="0" t="s">
        <v>240</v>
      </c>
      <c r="BO87" s="0" t="s">
        <v>240</v>
      </c>
      <c r="BP87" s="0" t="s">
        <v>240</v>
      </c>
      <c r="BQ87" s="0" t="s">
        <v>240</v>
      </c>
      <c r="BR87" s="0" t="s">
        <v>240</v>
      </c>
      <c r="BS87" s="0" t="s">
        <v>240</v>
      </c>
      <c r="BT87" s="0" t="s">
        <v>240</v>
      </c>
      <c r="BU87" s="0" t="s">
        <v>240</v>
      </c>
      <c r="BV87" s="0" t="s">
        <v>240</v>
      </c>
      <c r="BW87" s="0" t="s">
        <v>240</v>
      </c>
      <c r="BX87" s="0" t="s">
        <v>240</v>
      </c>
      <c r="BY87" s="0" t="s">
        <v>240</v>
      </c>
      <c r="BZ87" s="0" t="s">
        <v>240</v>
      </c>
      <c r="CA87" s="0" t="s">
        <v>240</v>
      </c>
      <c r="CB87" s="0" t="s">
        <v>240</v>
      </c>
      <c r="CC87" s="0" t="s">
        <v>240</v>
      </c>
      <c r="CD87" s="0" t="s">
        <v>240</v>
      </c>
      <c r="CE87" s="0" t="s">
        <v>240</v>
      </c>
      <c r="CF87" s="0" t="s">
        <v>240</v>
      </c>
      <c r="CG87" s="0" t="s">
        <v>240</v>
      </c>
      <c r="CH87" s="0" t="s">
        <v>240</v>
      </c>
      <c r="CI87" s="0" t="s">
        <v>240</v>
      </c>
      <c r="CJ87" s="0" t="s">
        <v>240</v>
      </c>
      <c r="CK87" s="0" t="s">
        <v>240</v>
      </c>
      <c r="CL87" s="0" t="s">
        <v>240</v>
      </c>
      <c r="CM87" s="0" t="s">
        <v>240</v>
      </c>
      <c r="CN87" s="0" t="s">
        <v>240</v>
      </c>
      <c r="CO87" s="0" t="s">
        <v>240</v>
      </c>
      <c r="CP87" s="0" t="s">
        <v>240</v>
      </c>
      <c r="CQ87" s="0" t="s">
        <v>240</v>
      </c>
      <c r="CR87" s="0" t="s">
        <v>240</v>
      </c>
      <c r="CS87" s="0" t="s">
        <v>240</v>
      </c>
      <c r="CT87" s="0" t="s">
        <v>5496</v>
      </c>
      <c r="CU87" s="0" t="s">
        <v>5497</v>
      </c>
      <c r="CV87" s="0" t="s">
        <v>443</v>
      </c>
      <c r="CW87" s="0" t="s">
        <v>5527</v>
      </c>
      <c r="CX87" s="0" t="s">
        <v>5528</v>
      </c>
      <c r="CY87" s="0" t="s">
        <v>443</v>
      </c>
      <c r="CZ87" s="0" t="s">
        <v>299</v>
      </c>
      <c r="DA87" s="0" t="s">
        <v>5529</v>
      </c>
      <c r="DB87" s="0" t="s">
        <v>5527</v>
      </c>
      <c r="DC87" s="0" t="s">
        <v>384</v>
      </c>
      <c r="DD87" s="0" t="s">
        <v>291</v>
      </c>
      <c r="DE87" s="0" t="s">
        <v>5601</v>
      </c>
    </row>
    <row customHeight="1" ht="11.25">
      <c r="A88" s="1441" t="s">
        <v>240</v>
      </c>
      <c r="B88" s="0" t="s">
        <v>240</v>
      </c>
      <c r="C88" s="0" t="s">
        <v>240</v>
      </c>
      <c r="D88" s="0" t="s">
        <v>240</v>
      </c>
      <c r="E88" s="0" t="s">
        <v>240</v>
      </c>
      <c r="F88" s="0" t="s">
        <v>240</v>
      </c>
      <c r="G88" s="0" t="s">
        <v>240</v>
      </c>
      <c r="H88" s="0" t="s">
        <v>240</v>
      </c>
      <c r="I88" s="0" t="s">
        <v>5484</v>
      </c>
      <c r="J88" s="0" t="s">
        <v>240</v>
      </c>
      <c r="K88" s="0" t="s">
        <v>240</v>
      </c>
      <c r="L88" s="0" t="s">
        <v>240</v>
      </c>
      <c r="M88" s="0" t="s">
        <v>240</v>
      </c>
      <c r="N88" s="0" t="s">
        <v>240</v>
      </c>
      <c r="O88" s="0" t="s">
        <v>240</v>
      </c>
      <c r="P88" s="0" t="s">
        <v>240</v>
      </c>
      <c r="Q88" s="0" t="s">
        <v>240</v>
      </c>
      <c r="R88" s="0" t="s">
        <v>5991</v>
      </c>
      <c r="S88" s="0" t="s">
        <v>240</v>
      </c>
      <c r="T88" s="0" t="s">
        <v>240</v>
      </c>
      <c r="U88" s="0" t="s">
        <v>102</v>
      </c>
      <c r="V88" s="0" t="s">
        <v>240</v>
      </c>
      <c r="W88" s="0" t="s">
        <v>240</v>
      </c>
      <c r="X88" s="0" t="s">
        <v>5585</v>
      </c>
      <c r="Y88" s="0" t="s">
        <v>240</v>
      </c>
      <c r="Z88" s="0" t="s">
        <v>152</v>
      </c>
      <c r="AA88" s="0" t="s">
        <v>152</v>
      </c>
      <c r="AB88" s="0" t="s">
        <v>161</v>
      </c>
      <c r="AC88" s="0" t="s">
        <v>2989</v>
      </c>
      <c r="AD88" s="0" t="s">
        <v>2989</v>
      </c>
      <c r="AE88" s="0" t="s">
        <v>2990</v>
      </c>
      <c r="AF88" s="0" t="s">
        <v>5979</v>
      </c>
      <c r="AG88" s="0" t="s">
        <v>5980</v>
      </c>
      <c r="AH88" s="0" t="s">
        <v>5575</v>
      </c>
      <c r="AI88" s="0" t="s">
        <v>5575</v>
      </c>
      <c r="AJ88" s="0" t="s">
        <v>240</v>
      </c>
      <c r="AK88" s="0" t="s">
        <v>240</v>
      </c>
      <c r="AL88" s="0" t="s">
        <v>240</v>
      </c>
      <c r="AM88" s="0" t="s">
        <v>240</v>
      </c>
      <c r="AN88" s="0" t="s">
        <v>240</v>
      </c>
      <c r="AO88" s="0" t="s">
        <v>240</v>
      </c>
      <c r="AP88" s="0" t="s">
        <v>240</v>
      </c>
      <c r="AQ88" s="0" t="s">
        <v>240</v>
      </c>
      <c r="AR88" s="0" t="s">
        <v>240</v>
      </c>
      <c r="AS88" s="0" t="s">
        <v>240</v>
      </c>
      <c r="AT88" s="0" t="s">
        <v>240</v>
      </c>
      <c r="AU88" s="0" t="s">
        <v>240</v>
      </c>
      <c r="AV88" s="0" t="s">
        <v>240</v>
      </c>
      <c r="AW88" s="0" t="s">
        <v>240</v>
      </c>
      <c r="AX88" s="0" t="s">
        <v>240</v>
      </c>
      <c r="AY88" s="0" t="s">
        <v>240</v>
      </c>
      <c r="AZ88" s="0" t="s">
        <v>240</v>
      </c>
      <c r="BA88" s="0" t="s">
        <v>240</v>
      </c>
      <c r="BB88" s="0" t="s">
        <v>240</v>
      </c>
      <c r="BC88" s="0" t="s">
        <v>240</v>
      </c>
      <c r="BD88" s="0" t="s">
        <v>240</v>
      </c>
      <c r="BE88" s="0" t="s">
        <v>5992</v>
      </c>
      <c r="BF88" s="0" t="s">
        <v>5986</v>
      </c>
      <c r="BG88" s="0" t="s">
        <v>112</v>
      </c>
      <c r="BH88" s="0" t="s">
        <v>5589</v>
      </c>
      <c r="BI88" s="0" t="s">
        <v>123</v>
      </c>
      <c r="BJ88" s="0" t="s">
        <v>240</v>
      </c>
      <c r="BK88" s="0" t="s">
        <v>5608</v>
      </c>
      <c r="BL88" s="0" t="s">
        <v>2989</v>
      </c>
      <c r="BM88" s="0" t="s">
        <v>2989</v>
      </c>
      <c r="BN88" s="0" t="s">
        <v>5798</v>
      </c>
      <c r="BO88" s="0" t="s">
        <v>5979</v>
      </c>
      <c r="BP88" s="0" t="s">
        <v>5993</v>
      </c>
      <c r="BQ88" s="0" t="s">
        <v>5575</v>
      </c>
      <c r="BR88" s="0" t="s">
        <v>5575</v>
      </c>
      <c r="BS88" s="0" t="s">
        <v>240</v>
      </c>
      <c r="BT88" s="0" t="s">
        <v>5650</v>
      </c>
      <c r="BU88" s="0" t="s">
        <v>5994</v>
      </c>
      <c r="BV88" s="0" t="s">
        <v>5994</v>
      </c>
      <c r="BW88" s="0" t="s">
        <v>5598</v>
      </c>
      <c r="BX88" s="0" t="s">
        <v>5598</v>
      </c>
      <c r="BY88" s="0" t="s">
        <v>5598</v>
      </c>
      <c r="BZ88" s="0" t="s">
        <v>5598</v>
      </c>
      <c r="CA88" s="0" t="s">
        <v>5598</v>
      </c>
      <c r="CB88" s="0" t="s">
        <v>240</v>
      </c>
      <c r="CC88" s="0" t="s">
        <v>240</v>
      </c>
      <c r="CD88" s="0" t="s">
        <v>240</v>
      </c>
      <c r="CE88" s="0" t="s">
        <v>240</v>
      </c>
      <c r="CF88" s="0" t="s">
        <v>240</v>
      </c>
      <c r="CG88" s="0" t="s">
        <v>5598</v>
      </c>
      <c r="CH88" s="0" t="s">
        <v>240</v>
      </c>
      <c r="CI88" s="0" t="s">
        <v>240</v>
      </c>
      <c r="CJ88" s="0" t="s">
        <v>240</v>
      </c>
      <c r="CK88" s="0" t="s">
        <v>240</v>
      </c>
      <c r="CL88" s="0" t="s">
        <v>240</v>
      </c>
      <c r="CM88" s="0" t="s">
        <v>5994</v>
      </c>
      <c r="CN88" s="0" t="s">
        <v>5994</v>
      </c>
      <c r="CO88" s="0" t="s">
        <v>240</v>
      </c>
      <c r="CP88" s="0" t="s">
        <v>240</v>
      </c>
      <c r="CQ88" s="0" t="s">
        <v>240</v>
      </c>
      <c r="CR88" s="0" t="s">
        <v>240</v>
      </c>
      <c r="CS88" s="0" t="s">
        <v>5553</v>
      </c>
      <c r="CT88" s="0" t="s">
        <v>5496</v>
      </c>
      <c r="CU88" s="0" t="s">
        <v>5497</v>
      </c>
      <c r="CV88" s="0" t="s">
        <v>443</v>
      </c>
      <c r="CW88" s="0" t="s">
        <v>5580</v>
      </c>
      <c r="CX88" s="0" t="s">
        <v>229</v>
      </c>
      <c r="CY88" s="0" t="s">
        <v>443</v>
      </c>
      <c r="CZ88" s="0" t="s">
        <v>5581</v>
      </c>
      <c r="DA88" s="0" t="s">
        <v>5582</v>
      </c>
      <c r="DB88" s="0" t="s">
        <v>5580</v>
      </c>
      <c r="DC88" s="0" t="s">
        <v>384</v>
      </c>
      <c r="DD88" s="0" t="s">
        <v>291</v>
      </c>
      <c r="DE88" s="0" t="s">
        <v>5995</v>
      </c>
    </row>
    <row customHeight="1" ht="11.25">
      <c r="A89" s="1441" t="s">
        <v>240</v>
      </c>
      <c r="B89" s="0" t="s">
        <v>240</v>
      </c>
      <c r="C89" s="0" t="s">
        <v>240</v>
      </c>
      <c r="D89" s="0" t="s">
        <v>240</v>
      </c>
      <c r="E89" s="0" t="s">
        <v>240</v>
      </c>
      <c r="F89" s="0" t="s">
        <v>240</v>
      </c>
      <c r="G89" s="0" t="s">
        <v>240</v>
      </c>
      <c r="H89" s="0" t="s">
        <v>240</v>
      </c>
      <c r="I89" s="0" t="s">
        <v>5484</v>
      </c>
      <c r="J89" s="0" t="s">
        <v>240</v>
      </c>
      <c r="K89" s="0" t="s">
        <v>240</v>
      </c>
      <c r="L89" s="0" t="s">
        <v>240</v>
      </c>
      <c r="M89" s="0" t="s">
        <v>240</v>
      </c>
      <c r="N89" s="0" t="s">
        <v>240</v>
      </c>
      <c r="O89" s="0" t="s">
        <v>240</v>
      </c>
      <c r="P89" s="0" t="s">
        <v>240</v>
      </c>
      <c r="Q89" s="0" t="s">
        <v>240</v>
      </c>
      <c r="R89" s="0" t="s">
        <v>5996</v>
      </c>
      <c r="S89" s="0" t="s">
        <v>240</v>
      </c>
      <c r="T89" s="0" t="s">
        <v>240</v>
      </c>
      <c r="U89" s="0" t="s">
        <v>102</v>
      </c>
      <c r="V89" s="0" t="s">
        <v>240</v>
      </c>
      <c r="W89" s="0" t="s">
        <v>240</v>
      </c>
      <c r="X89" s="0" t="s">
        <v>5905</v>
      </c>
      <c r="Y89" s="0" t="s">
        <v>240</v>
      </c>
      <c r="Z89" s="0" t="s">
        <v>152</v>
      </c>
      <c r="AA89" s="0" t="s">
        <v>161</v>
      </c>
      <c r="AB89" s="0" t="s">
        <v>152</v>
      </c>
      <c r="AC89" s="0" t="s">
        <v>3389</v>
      </c>
      <c r="AD89" s="0" t="s">
        <v>3389</v>
      </c>
      <c r="AE89" s="0" t="s">
        <v>3390</v>
      </c>
      <c r="AF89" s="0" t="s">
        <v>5519</v>
      </c>
      <c r="AG89" s="0" t="s">
        <v>5520</v>
      </c>
      <c r="AH89" s="0" t="s">
        <v>5997</v>
      </c>
      <c r="AI89" s="0" t="s">
        <v>5533</v>
      </c>
      <c r="AJ89" s="0" t="s">
        <v>240</v>
      </c>
      <c r="AK89" s="0" t="s">
        <v>240</v>
      </c>
      <c r="AL89" s="0" t="s">
        <v>240</v>
      </c>
      <c r="AM89" s="0" t="s">
        <v>240</v>
      </c>
      <c r="AN89" s="0" t="s">
        <v>240</v>
      </c>
      <c r="AO89" s="0" t="s">
        <v>240</v>
      </c>
      <c r="AP89" s="0" t="s">
        <v>5902</v>
      </c>
      <c r="AQ89" s="0" t="s">
        <v>5998</v>
      </c>
      <c r="AR89" s="0" t="s">
        <v>112</v>
      </c>
      <c r="AS89" s="0" t="s">
        <v>5589</v>
      </c>
      <c r="AT89" s="0" t="s">
        <v>123</v>
      </c>
      <c r="AU89" s="0" t="s">
        <v>240</v>
      </c>
      <c r="AV89" s="0" t="s">
        <v>5999</v>
      </c>
      <c r="AW89" s="0" t="s">
        <v>3389</v>
      </c>
      <c r="AX89" s="0" t="s">
        <v>3389</v>
      </c>
      <c r="AY89" s="0" t="s">
        <v>5591</v>
      </c>
      <c r="AZ89" s="0" t="s">
        <v>5519</v>
      </c>
      <c r="BA89" s="0" t="s">
        <v>5592</v>
      </c>
      <c r="BB89" s="0" t="s">
        <v>5997</v>
      </c>
      <c r="BC89" s="0" t="s">
        <v>5533</v>
      </c>
      <c r="BD89" s="0" t="s">
        <v>5598</v>
      </c>
      <c r="BE89" s="0" t="s">
        <v>240</v>
      </c>
      <c r="BF89" s="0" t="s">
        <v>240</v>
      </c>
      <c r="BG89" s="0" t="s">
        <v>240</v>
      </c>
      <c r="BH89" s="0" t="s">
        <v>240</v>
      </c>
      <c r="BI89" s="0" t="s">
        <v>240</v>
      </c>
      <c r="BJ89" s="0" t="s">
        <v>240</v>
      </c>
      <c r="BK89" s="0" t="s">
        <v>240</v>
      </c>
      <c r="BL89" s="0" t="s">
        <v>240</v>
      </c>
      <c r="BM89" s="0" t="s">
        <v>240</v>
      </c>
      <c r="BN89" s="0" t="s">
        <v>240</v>
      </c>
      <c r="BO89" s="0" t="s">
        <v>240</v>
      </c>
      <c r="BP89" s="0" t="s">
        <v>240</v>
      </c>
      <c r="BQ89" s="0" t="s">
        <v>240</v>
      </c>
      <c r="BR89" s="0" t="s">
        <v>240</v>
      </c>
      <c r="BS89" s="0" t="s">
        <v>240</v>
      </c>
      <c r="BT89" s="0" t="s">
        <v>240</v>
      </c>
      <c r="BU89" s="0" t="s">
        <v>240</v>
      </c>
      <c r="BV89" s="0" t="s">
        <v>240</v>
      </c>
      <c r="BW89" s="0" t="s">
        <v>240</v>
      </c>
      <c r="BX89" s="0" t="s">
        <v>240</v>
      </c>
      <c r="BY89" s="0" t="s">
        <v>240</v>
      </c>
      <c r="BZ89" s="0" t="s">
        <v>240</v>
      </c>
      <c r="CA89" s="0" t="s">
        <v>240</v>
      </c>
      <c r="CB89" s="0" t="s">
        <v>240</v>
      </c>
      <c r="CC89" s="0" t="s">
        <v>240</v>
      </c>
      <c r="CD89" s="0" t="s">
        <v>240</v>
      </c>
      <c r="CE89" s="0" t="s">
        <v>240</v>
      </c>
      <c r="CF89" s="0" t="s">
        <v>240</v>
      </c>
      <c r="CG89" s="0" t="s">
        <v>240</v>
      </c>
      <c r="CH89" s="0" t="s">
        <v>240</v>
      </c>
      <c r="CI89" s="0" t="s">
        <v>240</v>
      </c>
      <c r="CJ89" s="0" t="s">
        <v>240</v>
      </c>
      <c r="CK89" s="0" t="s">
        <v>240</v>
      </c>
      <c r="CL89" s="0" t="s">
        <v>240</v>
      </c>
      <c r="CM89" s="0" t="s">
        <v>240</v>
      </c>
      <c r="CN89" s="0" t="s">
        <v>240</v>
      </c>
      <c r="CO89" s="0" t="s">
        <v>240</v>
      </c>
      <c r="CP89" s="0" t="s">
        <v>240</v>
      </c>
      <c r="CQ89" s="0" t="s">
        <v>240</v>
      </c>
      <c r="CR89" s="0" t="s">
        <v>240</v>
      </c>
      <c r="CS89" s="0" t="s">
        <v>240</v>
      </c>
      <c r="CT89" s="0" t="s">
        <v>5496</v>
      </c>
      <c r="CU89" s="0" t="s">
        <v>5497</v>
      </c>
      <c r="CV89" s="0" t="s">
        <v>443</v>
      </c>
      <c r="CW89" s="0" t="s">
        <v>5527</v>
      </c>
      <c r="CX89" s="0" t="s">
        <v>5528</v>
      </c>
      <c r="CY89" s="0" t="s">
        <v>443</v>
      </c>
      <c r="CZ89" s="0" t="s">
        <v>299</v>
      </c>
      <c r="DA89" s="0" t="s">
        <v>5529</v>
      </c>
      <c r="DB89" s="0" t="s">
        <v>5527</v>
      </c>
      <c r="DC89" s="0" t="s">
        <v>384</v>
      </c>
      <c r="DD89" s="0" t="s">
        <v>291</v>
      </c>
      <c r="DE89" s="0" t="s">
        <v>6000</v>
      </c>
    </row>
    <row customHeight="1" ht="11.25">
      <c r="A90" s="1441" t="s">
        <v>240</v>
      </c>
      <c r="B90" s="0" t="s">
        <v>240</v>
      </c>
      <c r="C90" s="0" t="s">
        <v>240</v>
      </c>
      <c r="D90" s="0" t="s">
        <v>240</v>
      </c>
      <c r="E90" s="0" t="s">
        <v>240</v>
      </c>
      <c r="F90" s="0" t="s">
        <v>240</v>
      </c>
      <c r="G90" s="0" t="s">
        <v>240</v>
      </c>
      <c r="H90" s="0" t="s">
        <v>240</v>
      </c>
      <c r="I90" s="0" t="s">
        <v>5484</v>
      </c>
      <c r="J90" s="0" t="s">
        <v>240</v>
      </c>
      <c r="K90" s="0" t="s">
        <v>240</v>
      </c>
      <c r="L90" s="0" t="s">
        <v>240</v>
      </c>
      <c r="M90" s="0" t="s">
        <v>240</v>
      </c>
      <c r="N90" s="0" t="s">
        <v>240</v>
      </c>
      <c r="O90" s="0" t="s">
        <v>240</v>
      </c>
      <c r="P90" s="0" t="s">
        <v>240</v>
      </c>
      <c r="Q90" s="0" t="s">
        <v>240</v>
      </c>
      <c r="R90" s="0" t="s">
        <v>6001</v>
      </c>
      <c r="S90" s="0" t="s">
        <v>240</v>
      </c>
      <c r="T90" s="0" t="s">
        <v>240</v>
      </c>
      <c r="U90" s="0" t="s">
        <v>102</v>
      </c>
      <c r="V90" s="0" t="s">
        <v>240</v>
      </c>
      <c r="W90" s="0" t="s">
        <v>240</v>
      </c>
      <c r="X90" s="0" t="s">
        <v>5585</v>
      </c>
      <c r="Y90" s="0" t="s">
        <v>240</v>
      </c>
      <c r="Z90" s="0" t="s">
        <v>152</v>
      </c>
      <c r="AA90" s="0" t="s">
        <v>152</v>
      </c>
      <c r="AB90" s="0" t="s">
        <v>161</v>
      </c>
      <c r="AC90" s="0" t="s">
        <v>2991</v>
      </c>
      <c r="AD90" s="0" t="s">
        <v>2991</v>
      </c>
      <c r="AE90" s="0" t="s">
        <v>2992</v>
      </c>
      <c r="AF90" s="0" t="s">
        <v>5678</v>
      </c>
      <c r="AG90" s="0" t="s">
        <v>5679</v>
      </c>
      <c r="AH90" s="0" t="s">
        <v>5575</v>
      </c>
      <c r="AI90" s="0" t="s">
        <v>5575</v>
      </c>
      <c r="AJ90" s="0" t="s">
        <v>240</v>
      </c>
      <c r="AK90" s="0" t="s">
        <v>240</v>
      </c>
      <c r="AL90" s="0" t="s">
        <v>240</v>
      </c>
      <c r="AM90" s="0" t="s">
        <v>240</v>
      </c>
      <c r="AN90" s="0" t="s">
        <v>240</v>
      </c>
      <c r="AO90" s="0" t="s">
        <v>240</v>
      </c>
      <c r="AP90" s="0" t="s">
        <v>240</v>
      </c>
      <c r="AQ90" s="0" t="s">
        <v>240</v>
      </c>
      <c r="AR90" s="0" t="s">
        <v>240</v>
      </c>
      <c r="AS90" s="0" t="s">
        <v>240</v>
      </c>
      <c r="AT90" s="0" t="s">
        <v>240</v>
      </c>
      <c r="AU90" s="0" t="s">
        <v>240</v>
      </c>
      <c r="AV90" s="0" t="s">
        <v>240</v>
      </c>
      <c r="AW90" s="0" t="s">
        <v>240</v>
      </c>
      <c r="AX90" s="0" t="s">
        <v>240</v>
      </c>
      <c r="AY90" s="0" t="s">
        <v>240</v>
      </c>
      <c r="AZ90" s="0" t="s">
        <v>240</v>
      </c>
      <c r="BA90" s="0" t="s">
        <v>240</v>
      </c>
      <c r="BB90" s="0" t="s">
        <v>240</v>
      </c>
      <c r="BC90" s="0" t="s">
        <v>240</v>
      </c>
      <c r="BD90" s="0" t="s">
        <v>240</v>
      </c>
      <c r="BE90" s="0" t="s">
        <v>5552</v>
      </c>
      <c r="BF90" s="0" t="s">
        <v>5544</v>
      </c>
      <c r="BG90" s="0" t="s">
        <v>112</v>
      </c>
      <c r="BH90" s="0" t="s">
        <v>5589</v>
      </c>
      <c r="BI90" s="0" t="s">
        <v>123</v>
      </c>
      <c r="BJ90" s="0" t="s">
        <v>240</v>
      </c>
      <c r="BK90" s="0" t="s">
        <v>5608</v>
      </c>
      <c r="BL90" s="0" t="s">
        <v>2991</v>
      </c>
      <c r="BM90" s="0" t="s">
        <v>2991</v>
      </c>
      <c r="BN90" s="0" t="s">
        <v>5663</v>
      </c>
      <c r="BO90" s="0" t="s">
        <v>5678</v>
      </c>
      <c r="BP90" s="0" t="s">
        <v>6002</v>
      </c>
      <c r="BQ90" s="0" t="s">
        <v>5575</v>
      </c>
      <c r="BR90" s="0" t="s">
        <v>5575</v>
      </c>
      <c r="BS90" s="0" t="s">
        <v>240</v>
      </c>
      <c r="BT90" s="0" t="s">
        <v>5650</v>
      </c>
      <c r="BU90" s="0" t="s">
        <v>6003</v>
      </c>
      <c r="BV90" s="0" t="s">
        <v>6003</v>
      </c>
      <c r="BW90" s="0" t="s">
        <v>5598</v>
      </c>
      <c r="BX90" s="0" t="s">
        <v>5598</v>
      </c>
      <c r="BY90" s="0" t="s">
        <v>5598</v>
      </c>
      <c r="BZ90" s="0" t="s">
        <v>5598</v>
      </c>
      <c r="CA90" s="0" t="s">
        <v>5598</v>
      </c>
      <c r="CB90" s="0" t="s">
        <v>240</v>
      </c>
      <c r="CC90" s="0" t="s">
        <v>240</v>
      </c>
      <c r="CD90" s="0" t="s">
        <v>240</v>
      </c>
      <c r="CE90" s="0" t="s">
        <v>240</v>
      </c>
      <c r="CF90" s="0" t="s">
        <v>240</v>
      </c>
      <c r="CG90" s="0" t="s">
        <v>5598</v>
      </c>
      <c r="CH90" s="0" t="s">
        <v>240</v>
      </c>
      <c r="CI90" s="0" t="s">
        <v>240</v>
      </c>
      <c r="CJ90" s="0" t="s">
        <v>240</v>
      </c>
      <c r="CK90" s="0" t="s">
        <v>240</v>
      </c>
      <c r="CL90" s="0" t="s">
        <v>240</v>
      </c>
      <c r="CM90" s="0" t="s">
        <v>6003</v>
      </c>
      <c r="CN90" s="0" t="s">
        <v>6003</v>
      </c>
      <c r="CO90" s="0" t="s">
        <v>240</v>
      </c>
      <c r="CP90" s="0" t="s">
        <v>240</v>
      </c>
      <c r="CQ90" s="0" t="s">
        <v>240</v>
      </c>
      <c r="CR90" s="0" t="s">
        <v>240</v>
      </c>
      <c r="CS90" s="0" t="s">
        <v>5666</v>
      </c>
      <c r="CT90" s="0" t="s">
        <v>5496</v>
      </c>
      <c r="CU90" s="0" t="s">
        <v>5497</v>
      </c>
      <c r="CV90" s="0" t="s">
        <v>443</v>
      </c>
      <c r="CW90" s="0" t="s">
        <v>5547</v>
      </c>
      <c r="CX90" s="0" t="s">
        <v>229</v>
      </c>
      <c r="CY90" s="0" t="s">
        <v>443</v>
      </c>
      <c r="CZ90" s="0" t="s">
        <v>5548</v>
      </c>
      <c r="DA90" s="0" t="s">
        <v>5549</v>
      </c>
      <c r="DB90" s="0" t="s">
        <v>5547</v>
      </c>
      <c r="DC90" s="0" t="s">
        <v>384</v>
      </c>
      <c r="DD90" s="0" t="s">
        <v>291</v>
      </c>
      <c r="DE90" s="0" t="s">
        <v>6004</v>
      </c>
    </row>
    <row customHeight="1" ht="11.25">
      <c r="A91" s="1441" t="s">
        <v>240</v>
      </c>
      <c r="B91" s="0" t="s">
        <v>240</v>
      </c>
      <c r="C91" s="0" t="s">
        <v>240</v>
      </c>
      <c r="D91" s="0" t="s">
        <v>240</v>
      </c>
      <c r="E91" s="0" t="s">
        <v>240</v>
      </c>
      <c r="F91" s="0" t="s">
        <v>240</v>
      </c>
      <c r="G91" s="0" t="s">
        <v>240</v>
      </c>
      <c r="H91" s="0" t="s">
        <v>240</v>
      </c>
      <c r="I91" s="0" t="s">
        <v>5484</v>
      </c>
      <c r="J91" s="0" t="s">
        <v>240</v>
      </c>
      <c r="K91" s="0" t="s">
        <v>240</v>
      </c>
      <c r="L91" s="0" t="s">
        <v>240</v>
      </c>
      <c r="M91" s="0" t="s">
        <v>240</v>
      </c>
      <c r="N91" s="0" t="s">
        <v>240</v>
      </c>
      <c r="O91" s="0" t="s">
        <v>240</v>
      </c>
      <c r="P91" s="0" t="s">
        <v>240</v>
      </c>
      <c r="Q91" s="0" t="s">
        <v>240</v>
      </c>
      <c r="R91" s="0" t="s">
        <v>5572</v>
      </c>
      <c r="S91" s="0" t="s">
        <v>240</v>
      </c>
      <c r="T91" s="0" t="s">
        <v>240</v>
      </c>
      <c r="U91" s="0" t="s">
        <v>102</v>
      </c>
      <c r="V91" s="0" t="s">
        <v>240</v>
      </c>
      <c r="W91" s="0" t="s">
        <v>240</v>
      </c>
      <c r="X91" s="0" t="s">
        <v>5485</v>
      </c>
      <c r="Y91" s="0" t="s">
        <v>240</v>
      </c>
      <c r="Z91" s="0" t="s">
        <v>161</v>
      </c>
      <c r="AA91" s="0" t="s">
        <v>152</v>
      </c>
      <c r="AB91" s="0" t="s">
        <v>152</v>
      </c>
      <c r="AC91" s="0" t="s">
        <v>2991</v>
      </c>
      <c r="AD91" s="0" t="s">
        <v>2991</v>
      </c>
      <c r="AE91" s="0" t="s">
        <v>2992</v>
      </c>
      <c r="AF91" s="0" t="s">
        <v>6005</v>
      </c>
      <c r="AG91" s="0" t="s">
        <v>6006</v>
      </c>
      <c r="AH91" s="0" t="s">
        <v>6007</v>
      </c>
      <c r="AI91" s="0" t="s">
        <v>5551</v>
      </c>
      <c r="AJ91" s="0" t="s">
        <v>5504</v>
      </c>
      <c r="AK91" s="0" t="s">
        <v>5672</v>
      </c>
      <c r="AL91" s="0" t="s">
        <v>5506</v>
      </c>
      <c r="AM91" s="0" t="s">
        <v>5493</v>
      </c>
      <c r="AN91" s="0" t="s">
        <v>5545</v>
      </c>
      <c r="AO91" s="0" t="s">
        <v>5636</v>
      </c>
      <c r="AP91" s="0" t="s">
        <v>240</v>
      </c>
      <c r="AQ91" s="0" t="s">
        <v>240</v>
      </c>
      <c r="AR91" s="0" t="s">
        <v>240</v>
      </c>
      <c r="AS91" s="0" t="s">
        <v>240</v>
      </c>
      <c r="AT91" s="0" t="s">
        <v>240</v>
      </c>
      <c r="AU91" s="0" t="s">
        <v>240</v>
      </c>
      <c r="AV91" s="0" t="s">
        <v>240</v>
      </c>
      <c r="AW91" s="0" t="s">
        <v>240</v>
      </c>
      <c r="AX91" s="0" t="s">
        <v>240</v>
      </c>
      <c r="AY91" s="0" t="s">
        <v>240</v>
      </c>
      <c r="AZ91" s="0" t="s">
        <v>240</v>
      </c>
      <c r="BA91" s="0" t="s">
        <v>240</v>
      </c>
      <c r="BB91" s="0" t="s">
        <v>240</v>
      </c>
      <c r="BC91" s="0" t="s">
        <v>240</v>
      </c>
      <c r="BD91" s="0" t="s">
        <v>240</v>
      </c>
      <c r="BE91" s="0" t="s">
        <v>240</v>
      </c>
      <c r="BF91" s="0" t="s">
        <v>240</v>
      </c>
      <c r="BG91" s="0" t="s">
        <v>240</v>
      </c>
      <c r="BH91" s="0" t="s">
        <v>240</v>
      </c>
      <c r="BI91" s="0" t="s">
        <v>240</v>
      </c>
      <c r="BJ91" s="0" t="s">
        <v>240</v>
      </c>
      <c r="BK91" s="0" t="s">
        <v>240</v>
      </c>
      <c r="BL91" s="0" t="s">
        <v>240</v>
      </c>
      <c r="BM91" s="0" t="s">
        <v>240</v>
      </c>
      <c r="BN91" s="0" t="s">
        <v>240</v>
      </c>
      <c r="BO91" s="0" t="s">
        <v>240</v>
      </c>
      <c r="BP91" s="0" t="s">
        <v>240</v>
      </c>
      <c r="BQ91" s="0" t="s">
        <v>240</v>
      </c>
      <c r="BR91" s="0" t="s">
        <v>240</v>
      </c>
      <c r="BS91" s="0" t="s">
        <v>240</v>
      </c>
      <c r="BT91" s="0" t="s">
        <v>240</v>
      </c>
      <c r="BU91" s="0" t="s">
        <v>240</v>
      </c>
      <c r="BV91" s="0" t="s">
        <v>240</v>
      </c>
      <c r="BW91" s="0" t="s">
        <v>240</v>
      </c>
      <c r="BX91" s="0" t="s">
        <v>240</v>
      </c>
      <c r="BY91" s="0" t="s">
        <v>240</v>
      </c>
      <c r="BZ91" s="0" t="s">
        <v>240</v>
      </c>
      <c r="CA91" s="0" t="s">
        <v>240</v>
      </c>
      <c r="CB91" s="0" t="s">
        <v>240</v>
      </c>
      <c r="CC91" s="0" t="s">
        <v>240</v>
      </c>
      <c r="CD91" s="0" t="s">
        <v>240</v>
      </c>
      <c r="CE91" s="0" t="s">
        <v>240</v>
      </c>
      <c r="CF91" s="0" t="s">
        <v>240</v>
      </c>
      <c r="CG91" s="0" t="s">
        <v>240</v>
      </c>
      <c r="CH91" s="0" t="s">
        <v>240</v>
      </c>
      <c r="CI91" s="0" t="s">
        <v>240</v>
      </c>
      <c r="CJ91" s="0" t="s">
        <v>240</v>
      </c>
      <c r="CK91" s="0" t="s">
        <v>240</v>
      </c>
      <c r="CL91" s="0" t="s">
        <v>240</v>
      </c>
      <c r="CM91" s="0" t="s">
        <v>240</v>
      </c>
      <c r="CN91" s="0" t="s">
        <v>240</v>
      </c>
      <c r="CO91" s="0" t="s">
        <v>240</v>
      </c>
      <c r="CP91" s="0" t="s">
        <v>240</v>
      </c>
      <c r="CQ91" s="0" t="s">
        <v>240</v>
      </c>
      <c r="CR91" s="0" t="s">
        <v>240</v>
      </c>
      <c r="CS91" s="0" t="s">
        <v>240</v>
      </c>
      <c r="CT91" s="0" t="s">
        <v>5496</v>
      </c>
      <c r="CU91" s="0" t="s">
        <v>5497</v>
      </c>
      <c r="CV91" s="0" t="s">
        <v>443</v>
      </c>
      <c r="CW91" s="0" t="s">
        <v>5547</v>
      </c>
      <c r="CX91" s="0" t="s">
        <v>229</v>
      </c>
      <c r="CY91" s="0" t="s">
        <v>443</v>
      </c>
      <c r="CZ91" s="0" t="s">
        <v>5548</v>
      </c>
      <c r="DA91" s="0" t="s">
        <v>5549</v>
      </c>
      <c r="DB91" s="0" t="s">
        <v>5547</v>
      </c>
      <c r="DC91" s="0" t="s">
        <v>384</v>
      </c>
      <c r="DD91" s="0" t="s">
        <v>291</v>
      </c>
      <c r="DE91" s="0" t="s">
        <v>6008</v>
      </c>
    </row>
    <row customHeight="1" ht="11.25">
      <c r="A92" s="1441" t="s">
        <v>240</v>
      </c>
      <c r="B92" s="0" t="s">
        <v>240</v>
      </c>
      <c r="C92" s="0" t="s">
        <v>240</v>
      </c>
      <c r="D92" s="0" t="s">
        <v>240</v>
      </c>
      <c r="E92" s="0" t="s">
        <v>240</v>
      </c>
      <c r="F92" s="0" t="s">
        <v>240</v>
      </c>
      <c r="G92" s="0" t="s">
        <v>240</v>
      </c>
      <c r="H92" s="0" t="s">
        <v>240</v>
      </c>
      <c r="I92" s="0" t="s">
        <v>5484</v>
      </c>
      <c r="J92" s="0" t="s">
        <v>240</v>
      </c>
      <c r="K92" s="0" t="s">
        <v>240</v>
      </c>
      <c r="L92" s="0" t="s">
        <v>240</v>
      </c>
      <c r="M92" s="0" t="s">
        <v>240</v>
      </c>
      <c r="N92" s="0" t="s">
        <v>240</v>
      </c>
      <c r="O92" s="0" t="s">
        <v>240</v>
      </c>
      <c r="P92" s="0" t="s">
        <v>240</v>
      </c>
      <c r="Q92" s="0" t="s">
        <v>240</v>
      </c>
      <c r="R92" s="0" t="s">
        <v>6009</v>
      </c>
      <c r="S92" s="0" t="s">
        <v>240</v>
      </c>
      <c r="T92" s="0" t="s">
        <v>240</v>
      </c>
      <c r="U92" s="0" t="s">
        <v>102</v>
      </c>
      <c r="V92" s="0" t="s">
        <v>240</v>
      </c>
      <c r="W92" s="0" t="s">
        <v>240</v>
      </c>
      <c r="X92" s="0" t="s">
        <v>5485</v>
      </c>
      <c r="Y92" s="0" t="s">
        <v>240</v>
      </c>
      <c r="Z92" s="0" t="s">
        <v>161</v>
      </c>
      <c r="AA92" s="0" t="s">
        <v>152</v>
      </c>
      <c r="AB92" s="0" t="s">
        <v>152</v>
      </c>
      <c r="AC92" s="0" t="s">
        <v>2991</v>
      </c>
      <c r="AD92" s="0" t="s">
        <v>2991</v>
      </c>
      <c r="AE92" s="0" t="s">
        <v>2992</v>
      </c>
      <c r="AF92" s="0" t="s">
        <v>5691</v>
      </c>
      <c r="AG92" s="0" t="s">
        <v>5692</v>
      </c>
      <c r="AH92" s="0" t="s">
        <v>6010</v>
      </c>
      <c r="AI92" s="0" t="s">
        <v>6011</v>
      </c>
      <c r="AJ92" s="0" t="s">
        <v>5576</v>
      </c>
      <c r="AK92" s="0" t="s">
        <v>5672</v>
      </c>
      <c r="AL92" s="0" t="s">
        <v>5506</v>
      </c>
      <c r="AM92" s="0" t="s">
        <v>5493</v>
      </c>
      <c r="AN92" s="0" t="s">
        <v>5545</v>
      </c>
      <c r="AO92" s="0" t="s">
        <v>5695</v>
      </c>
      <c r="AP92" s="0" t="s">
        <v>240</v>
      </c>
      <c r="AQ92" s="0" t="s">
        <v>240</v>
      </c>
      <c r="AR92" s="0" t="s">
        <v>240</v>
      </c>
      <c r="AS92" s="0" t="s">
        <v>240</v>
      </c>
      <c r="AT92" s="0" t="s">
        <v>240</v>
      </c>
      <c r="AU92" s="0" t="s">
        <v>240</v>
      </c>
      <c r="AV92" s="0" t="s">
        <v>240</v>
      </c>
      <c r="AW92" s="0" t="s">
        <v>240</v>
      </c>
      <c r="AX92" s="0" t="s">
        <v>240</v>
      </c>
      <c r="AY92" s="0" t="s">
        <v>240</v>
      </c>
      <c r="AZ92" s="0" t="s">
        <v>240</v>
      </c>
      <c r="BA92" s="0" t="s">
        <v>240</v>
      </c>
      <c r="BB92" s="0" t="s">
        <v>240</v>
      </c>
      <c r="BC92" s="0" t="s">
        <v>240</v>
      </c>
      <c r="BD92" s="0" t="s">
        <v>240</v>
      </c>
      <c r="BE92" s="0" t="s">
        <v>240</v>
      </c>
      <c r="BF92" s="0" t="s">
        <v>240</v>
      </c>
      <c r="BG92" s="0" t="s">
        <v>240</v>
      </c>
      <c r="BH92" s="0" t="s">
        <v>240</v>
      </c>
      <c r="BI92" s="0" t="s">
        <v>240</v>
      </c>
      <c r="BJ92" s="0" t="s">
        <v>240</v>
      </c>
      <c r="BK92" s="0" t="s">
        <v>240</v>
      </c>
      <c r="BL92" s="0" t="s">
        <v>240</v>
      </c>
      <c r="BM92" s="0" t="s">
        <v>240</v>
      </c>
      <c r="BN92" s="0" t="s">
        <v>240</v>
      </c>
      <c r="BO92" s="0" t="s">
        <v>240</v>
      </c>
      <c r="BP92" s="0" t="s">
        <v>240</v>
      </c>
      <c r="BQ92" s="0" t="s">
        <v>240</v>
      </c>
      <c r="BR92" s="0" t="s">
        <v>240</v>
      </c>
      <c r="BS92" s="0" t="s">
        <v>240</v>
      </c>
      <c r="BT92" s="0" t="s">
        <v>240</v>
      </c>
      <c r="BU92" s="0" t="s">
        <v>240</v>
      </c>
      <c r="BV92" s="0" t="s">
        <v>240</v>
      </c>
      <c r="BW92" s="0" t="s">
        <v>240</v>
      </c>
      <c r="BX92" s="0" t="s">
        <v>240</v>
      </c>
      <c r="BY92" s="0" t="s">
        <v>240</v>
      </c>
      <c r="BZ92" s="0" t="s">
        <v>240</v>
      </c>
      <c r="CA92" s="0" t="s">
        <v>240</v>
      </c>
      <c r="CB92" s="0" t="s">
        <v>240</v>
      </c>
      <c r="CC92" s="0" t="s">
        <v>240</v>
      </c>
      <c r="CD92" s="0" t="s">
        <v>240</v>
      </c>
      <c r="CE92" s="0" t="s">
        <v>240</v>
      </c>
      <c r="CF92" s="0" t="s">
        <v>240</v>
      </c>
      <c r="CG92" s="0" t="s">
        <v>240</v>
      </c>
      <c r="CH92" s="0" t="s">
        <v>240</v>
      </c>
      <c r="CI92" s="0" t="s">
        <v>240</v>
      </c>
      <c r="CJ92" s="0" t="s">
        <v>240</v>
      </c>
      <c r="CK92" s="0" t="s">
        <v>240</v>
      </c>
      <c r="CL92" s="0" t="s">
        <v>240</v>
      </c>
      <c r="CM92" s="0" t="s">
        <v>240</v>
      </c>
      <c r="CN92" s="0" t="s">
        <v>240</v>
      </c>
      <c r="CO92" s="0" t="s">
        <v>240</v>
      </c>
      <c r="CP92" s="0" t="s">
        <v>240</v>
      </c>
      <c r="CQ92" s="0" t="s">
        <v>240</v>
      </c>
      <c r="CR92" s="0" t="s">
        <v>240</v>
      </c>
      <c r="CS92" s="0" t="s">
        <v>240</v>
      </c>
      <c r="CT92" s="0" t="s">
        <v>5496</v>
      </c>
      <c r="CU92" s="0" t="s">
        <v>5497</v>
      </c>
      <c r="CV92" s="0" t="s">
        <v>443</v>
      </c>
      <c r="CW92" s="0" t="s">
        <v>5547</v>
      </c>
      <c r="CX92" s="0" t="s">
        <v>229</v>
      </c>
      <c r="CY92" s="0" t="s">
        <v>443</v>
      </c>
      <c r="CZ92" s="0" t="s">
        <v>5548</v>
      </c>
      <c r="DA92" s="0" t="s">
        <v>5549</v>
      </c>
      <c r="DB92" s="0" t="s">
        <v>5547</v>
      </c>
      <c r="DC92" s="0" t="s">
        <v>384</v>
      </c>
      <c r="DD92" s="0" t="s">
        <v>291</v>
      </c>
      <c r="DE92" s="0" t="s">
        <v>6012</v>
      </c>
    </row>
    <row customHeight="1" ht="11.25">
      <c r="A93" s="1441" t="s">
        <v>240</v>
      </c>
      <c r="B93" s="0" t="s">
        <v>240</v>
      </c>
      <c r="C93" s="0" t="s">
        <v>240</v>
      </c>
      <c r="D93" s="0" t="s">
        <v>240</v>
      </c>
      <c r="E93" s="0" t="s">
        <v>240</v>
      </c>
      <c r="F93" s="0" t="s">
        <v>240</v>
      </c>
      <c r="G93" s="0" t="s">
        <v>240</v>
      </c>
      <c r="H93" s="0" t="s">
        <v>240</v>
      </c>
      <c r="I93" s="0" t="s">
        <v>5484</v>
      </c>
      <c r="J93" s="0" t="s">
        <v>240</v>
      </c>
      <c r="K93" s="0" t="s">
        <v>240</v>
      </c>
      <c r="L93" s="0" t="s">
        <v>240</v>
      </c>
      <c r="M93" s="0" t="s">
        <v>240</v>
      </c>
      <c r="N93" s="0" t="s">
        <v>240</v>
      </c>
      <c r="O93" s="0" t="s">
        <v>240</v>
      </c>
      <c r="P93" s="0" t="s">
        <v>240</v>
      </c>
      <c r="Q93" s="0" t="s">
        <v>240</v>
      </c>
      <c r="R93" s="0" t="s">
        <v>5572</v>
      </c>
      <c r="S93" s="0" t="s">
        <v>240</v>
      </c>
      <c r="T93" s="0" t="s">
        <v>240</v>
      </c>
      <c r="U93" s="0" t="s">
        <v>102</v>
      </c>
      <c r="V93" s="0" t="s">
        <v>240</v>
      </c>
      <c r="W93" s="0" t="s">
        <v>240</v>
      </c>
      <c r="X93" s="0" t="s">
        <v>5485</v>
      </c>
      <c r="Y93" s="0" t="s">
        <v>240</v>
      </c>
      <c r="Z93" s="0" t="s">
        <v>161</v>
      </c>
      <c r="AA93" s="0" t="s">
        <v>152</v>
      </c>
      <c r="AB93" s="0" t="s">
        <v>152</v>
      </c>
      <c r="AC93" s="0" t="s">
        <v>2991</v>
      </c>
      <c r="AD93" s="0" t="s">
        <v>2991</v>
      </c>
      <c r="AE93" s="0" t="s">
        <v>2992</v>
      </c>
      <c r="AF93" s="0" t="s">
        <v>5691</v>
      </c>
      <c r="AG93" s="0" t="s">
        <v>5692</v>
      </c>
      <c r="AH93" s="0" t="s">
        <v>5670</v>
      </c>
      <c r="AI93" s="0" t="s">
        <v>6013</v>
      </c>
      <c r="AJ93" s="0" t="s">
        <v>5576</v>
      </c>
      <c r="AK93" s="0" t="s">
        <v>5672</v>
      </c>
      <c r="AL93" s="0" t="s">
        <v>5506</v>
      </c>
      <c r="AM93" s="0" t="s">
        <v>5493</v>
      </c>
      <c r="AN93" s="0" t="s">
        <v>5545</v>
      </c>
      <c r="AO93" s="0" t="s">
        <v>5680</v>
      </c>
      <c r="AP93" s="0" t="s">
        <v>240</v>
      </c>
      <c r="AQ93" s="0" t="s">
        <v>240</v>
      </c>
      <c r="AR93" s="0" t="s">
        <v>240</v>
      </c>
      <c r="AS93" s="0" t="s">
        <v>240</v>
      </c>
      <c r="AT93" s="0" t="s">
        <v>240</v>
      </c>
      <c r="AU93" s="0" t="s">
        <v>240</v>
      </c>
      <c r="AV93" s="0" t="s">
        <v>240</v>
      </c>
      <c r="AW93" s="0" t="s">
        <v>240</v>
      </c>
      <c r="AX93" s="0" t="s">
        <v>240</v>
      </c>
      <c r="AY93" s="0" t="s">
        <v>240</v>
      </c>
      <c r="AZ93" s="0" t="s">
        <v>240</v>
      </c>
      <c r="BA93" s="0" t="s">
        <v>240</v>
      </c>
      <c r="BB93" s="0" t="s">
        <v>240</v>
      </c>
      <c r="BC93" s="0" t="s">
        <v>240</v>
      </c>
      <c r="BD93" s="0" t="s">
        <v>240</v>
      </c>
      <c r="BE93" s="0" t="s">
        <v>240</v>
      </c>
      <c r="BF93" s="0" t="s">
        <v>240</v>
      </c>
      <c r="BG93" s="0" t="s">
        <v>240</v>
      </c>
      <c r="BH93" s="0" t="s">
        <v>240</v>
      </c>
      <c r="BI93" s="0" t="s">
        <v>240</v>
      </c>
      <c r="BJ93" s="0" t="s">
        <v>240</v>
      </c>
      <c r="BK93" s="0" t="s">
        <v>240</v>
      </c>
      <c r="BL93" s="0" t="s">
        <v>240</v>
      </c>
      <c r="BM93" s="0" t="s">
        <v>240</v>
      </c>
      <c r="BN93" s="0" t="s">
        <v>240</v>
      </c>
      <c r="BO93" s="0" t="s">
        <v>240</v>
      </c>
      <c r="BP93" s="0" t="s">
        <v>240</v>
      </c>
      <c r="BQ93" s="0" t="s">
        <v>240</v>
      </c>
      <c r="BR93" s="0" t="s">
        <v>240</v>
      </c>
      <c r="BS93" s="0" t="s">
        <v>240</v>
      </c>
      <c r="BT93" s="0" t="s">
        <v>240</v>
      </c>
      <c r="BU93" s="0" t="s">
        <v>240</v>
      </c>
      <c r="BV93" s="0" t="s">
        <v>240</v>
      </c>
      <c r="BW93" s="0" t="s">
        <v>240</v>
      </c>
      <c r="BX93" s="0" t="s">
        <v>240</v>
      </c>
      <c r="BY93" s="0" t="s">
        <v>240</v>
      </c>
      <c r="BZ93" s="0" t="s">
        <v>240</v>
      </c>
      <c r="CA93" s="0" t="s">
        <v>240</v>
      </c>
      <c r="CB93" s="0" t="s">
        <v>240</v>
      </c>
      <c r="CC93" s="0" t="s">
        <v>240</v>
      </c>
      <c r="CD93" s="0" t="s">
        <v>240</v>
      </c>
      <c r="CE93" s="0" t="s">
        <v>240</v>
      </c>
      <c r="CF93" s="0" t="s">
        <v>240</v>
      </c>
      <c r="CG93" s="0" t="s">
        <v>240</v>
      </c>
      <c r="CH93" s="0" t="s">
        <v>240</v>
      </c>
      <c r="CI93" s="0" t="s">
        <v>240</v>
      </c>
      <c r="CJ93" s="0" t="s">
        <v>240</v>
      </c>
      <c r="CK93" s="0" t="s">
        <v>240</v>
      </c>
      <c r="CL93" s="0" t="s">
        <v>240</v>
      </c>
      <c r="CM93" s="0" t="s">
        <v>240</v>
      </c>
      <c r="CN93" s="0" t="s">
        <v>240</v>
      </c>
      <c r="CO93" s="0" t="s">
        <v>240</v>
      </c>
      <c r="CP93" s="0" t="s">
        <v>240</v>
      </c>
      <c r="CQ93" s="0" t="s">
        <v>240</v>
      </c>
      <c r="CR93" s="0" t="s">
        <v>240</v>
      </c>
      <c r="CS93" s="0" t="s">
        <v>240</v>
      </c>
      <c r="CT93" s="0" t="s">
        <v>5496</v>
      </c>
      <c r="CU93" s="0" t="s">
        <v>5497</v>
      </c>
      <c r="CV93" s="0" t="s">
        <v>443</v>
      </c>
      <c r="CW93" s="0" t="s">
        <v>5547</v>
      </c>
      <c r="CX93" s="0" t="s">
        <v>229</v>
      </c>
      <c r="CY93" s="0" t="s">
        <v>443</v>
      </c>
      <c r="CZ93" s="0" t="s">
        <v>5548</v>
      </c>
      <c r="DA93" s="0" t="s">
        <v>5549</v>
      </c>
      <c r="DB93" s="0" t="s">
        <v>5547</v>
      </c>
      <c r="DC93" s="0" t="s">
        <v>384</v>
      </c>
      <c r="DD93" s="0" t="s">
        <v>291</v>
      </c>
      <c r="DE93" s="0" t="s">
        <v>6014</v>
      </c>
    </row>
    <row customHeight="1" ht="11.25">
      <c r="A94" s="1441" t="s">
        <v>240</v>
      </c>
      <c r="B94" s="0" t="s">
        <v>240</v>
      </c>
      <c r="C94" s="0" t="s">
        <v>240</v>
      </c>
      <c r="D94" s="0" t="s">
        <v>240</v>
      </c>
      <c r="E94" s="0" t="s">
        <v>240</v>
      </c>
      <c r="F94" s="0" t="s">
        <v>240</v>
      </c>
      <c r="G94" s="0" t="s">
        <v>240</v>
      </c>
      <c r="H94" s="0" t="s">
        <v>240</v>
      </c>
      <c r="I94" s="0" t="s">
        <v>5484</v>
      </c>
      <c r="J94" s="0" t="s">
        <v>240</v>
      </c>
      <c r="K94" s="0" t="s">
        <v>240</v>
      </c>
      <c r="L94" s="0" t="s">
        <v>240</v>
      </c>
      <c r="M94" s="0" t="s">
        <v>240</v>
      </c>
      <c r="N94" s="0" t="s">
        <v>240</v>
      </c>
      <c r="O94" s="0" t="s">
        <v>240</v>
      </c>
      <c r="P94" s="0" t="s">
        <v>240</v>
      </c>
      <c r="Q94" s="0" t="s">
        <v>240</v>
      </c>
      <c r="R94" s="0" t="s">
        <v>6015</v>
      </c>
      <c r="S94" s="0" t="s">
        <v>240</v>
      </c>
      <c r="T94" s="0" t="s">
        <v>240</v>
      </c>
      <c r="U94" s="0" t="s">
        <v>102</v>
      </c>
      <c r="V94" s="0" t="s">
        <v>240</v>
      </c>
      <c r="W94" s="0" t="s">
        <v>240</v>
      </c>
      <c r="X94" s="0" t="s">
        <v>5485</v>
      </c>
      <c r="Y94" s="0" t="s">
        <v>240</v>
      </c>
      <c r="Z94" s="0" t="s">
        <v>161</v>
      </c>
      <c r="AA94" s="0" t="s">
        <v>152</v>
      </c>
      <c r="AB94" s="0" t="s">
        <v>152</v>
      </c>
      <c r="AC94" s="0" t="s">
        <v>3389</v>
      </c>
      <c r="AD94" s="0" t="s">
        <v>3389</v>
      </c>
      <c r="AE94" s="0" t="s">
        <v>3390</v>
      </c>
      <c r="AF94" s="0" t="s">
        <v>5519</v>
      </c>
      <c r="AG94" s="0" t="s">
        <v>5520</v>
      </c>
      <c r="AH94" s="0" t="s">
        <v>5566</v>
      </c>
      <c r="AI94" s="0" t="s">
        <v>5567</v>
      </c>
      <c r="AJ94" s="0" t="s">
        <v>6016</v>
      </c>
      <c r="AK94" s="0" t="s">
        <v>6017</v>
      </c>
      <c r="AL94" s="0" t="s">
        <v>5605</v>
      </c>
      <c r="AM94" s="0" t="s">
        <v>5493</v>
      </c>
      <c r="AN94" s="0" t="s">
        <v>5525</v>
      </c>
      <c r="AO94" s="0" t="s">
        <v>6018</v>
      </c>
      <c r="AP94" s="0" t="s">
        <v>240</v>
      </c>
      <c r="AQ94" s="0" t="s">
        <v>240</v>
      </c>
      <c r="AR94" s="0" t="s">
        <v>240</v>
      </c>
      <c r="AS94" s="0" t="s">
        <v>240</v>
      </c>
      <c r="AT94" s="0" t="s">
        <v>240</v>
      </c>
      <c r="AU94" s="0" t="s">
        <v>240</v>
      </c>
      <c r="AV94" s="0" t="s">
        <v>240</v>
      </c>
      <c r="AW94" s="0" t="s">
        <v>240</v>
      </c>
      <c r="AX94" s="0" t="s">
        <v>240</v>
      </c>
      <c r="AY94" s="0" t="s">
        <v>240</v>
      </c>
      <c r="AZ94" s="0" t="s">
        <v>240</v>
      </c>
      <c r="BA94" s="0" t="s">
        <v>240</v>
      </c>
      <c r="BB94" s="0" t="s">
        <v>240</v>
      </c>
      <c r="BC94" s="0" t="s">
        <v>240</v>
      </c>
      <c r="BD94" s="0" t="s">
        <v>240</v>
      </c>
      <c r="BE94" s="0" t="s">
        <v>240</v>
      </c>
      <c r="BF94" s="0" t="s">
        <v>240</v>
      </c>
      <c r="BG94" s="0" t="s">
        <v>240</v>
      </c>
      <c r="BH94" s="0" t="s">
        <v>240</v>
      </c>
      <c r="BI94" s="0" t="s">
        <v>240</v>
      </c>
      <c r="BJ94" s="0" t="s">
        <v>240</v>
      </c>
      <c r="BK94" s="0" t="s">
        <v>240</v>
      </c>
      <c r="BL94" s="0" t="s">
        <v>240</v>
      </c>
      <c r="BM94" s="0" t="s">
        <v>240</v>
      </c>
      <c r="BN94" s="0" t="s">
        <v>240</v>
      </c>
      <c r="BO94" s="0" t="s">
        <v>240</v>
      </c>
      <c r="BP94" s="0" t="s">
        <v>240</v>
      </c>
      <c r="BQ94" s="0" t="s">
        <v>240</v>
      </c>
      <c r="BR94" s="0" t="s">
        <v>240</v>
      </c>
      <c r="BS94" s="0" t="s">
        <v>240</v>
      </c>
      <c r="BT94" s="0" t="s">
        <v>240</v>
      </c>
      <c r="BU94" s="0" t="s">
        <v>240</v>
      </c>
      <c r="BV94" s="0" t="s">
        <v>240</v>
      </c>
      <c r="BW94" s="0" t="s">
        <v>240</v>
      </c>
      <c r="BX94" s="0" t="s">
        <v>240</v>
      </c>
      <c r="BY94" s="0" t="s">
        <v>240</v>
      </c>
      <c r="BZ94" s="0" t="s">
        <v>240</v>
      </c>
      <c r="CA94" s="0" t="s">
        <v>240</v>
      </c>
      <c r="CB94" s="0" t="s">
        <v>240</v>
      </c>
      <c r="CC94" s="0" t="s">
        <v>240</v>
      </c>
      <c r="CD94" s="0" t="s">
        <v>240</v>
      </c>
      <c r="CE94" s="0" t="s">
        <v>240</v>
      </c>
      <c r="CF94" s="0" t="s">
        <v>240</v>
      </c>
      <c r="CG94" s="0" t="s">
        <v>240</v>
      </c>
      <c r="CH94" s="0" t="s">
        <v>240</v>
      </c>
      <c r="CI94" s="0" t="s">
        <v>240</v>
      </c>
      <c r="CJ94" s="0" t="s">
        <v>240</v>
      </c>
      <c r="CK94" s="0" t="s">
        <v>240</v>
      </c>
      <c r="CL94" s="0" t="s">
        <v>240</v>
      </c>
      <c r="CM94" s="0" t="s">
        <v>240</v>
      </c>
      <c r="CN94" s="0" t="s">
        <v>240</v>
      </c>
      <c r="CO94" s="0" t="s">
        <v>240</v>
      </c>
      <c r="CP94" s="0" t="s">
        <v>240</v>
      </c>
      <c r="CQ94" s="0" t="s">
        <v>240</v>
      </c>
      <c r="CR94" s="0" t="s">
        <v>240</v>
      </c>
      <c r="CS94" s="0" t="s">
        <v>240</v>
      </c>
      <c r="CT94" s="0" t="s">
        <v>5496</v>
      </c>
      <c r="CU94" s="0" t="s">
        <v>5497</v>
      </c>
      <c r="CV94" s="0" t="s">
        <v>443</v>
      </c>
      <c r="CW94" s="0" t="s">
        <v>5527</v>
      </c>
      <c r="CX94" s="0" t="s">
        <v>5528</v>
      </c>
      <c r="CY94" s="0" t="s">
        <v>443</v>
      </c>
      <c r="CZ94" s="0" t="s">
        <v>299</v>
      </c>
      <c r="DA94" s="0" t="s">
        <v>5529</v>
      </c>
      <c r="DB94" s="0" t="s">
        <v>5527</v>
      </c>
      <c r="DC94" s="0" t="s">
        <v>384</v>
      </c>
      <c r="DD94" s="0" t="s">
        <v>291</v>
      </c>
      <c r="DE94" s="0" t="s">
        <v>5571</v>
      </c>
    </row>
    <row customHeight="1" ht="11.25">
      <c r="A95" s="1441" t="s">
        <v>240</v>
      </c>
      <c r="B95" s="0" t="s">
        <v>240</v>
      </c>
      <c r="C95" s="0" t="s">
        <v>240</v>
      </c>
      <c r="D95" s="0" t="s">
        <v>240</v>
      </c>
      <c r="E95" s="0" t="s">
        <v>240</v>
      </c>
      <c r="F95" s="0" t="s">
        <v>240</v>
      </c>
      <c r="G95" s="0" t="s">
        <v>240</v>
      </c>
      <c r="H95" s="0" t="s">
        <v>240</v>
      </c>
      <c r="I95" s="0" t="s">
        <v>5484</v>
      </c>
      <c r="J95" s="0" t="s">
        <v>240</v>
      </c>
      <c r="K95" s="0" t="s">
        <v>240</v>
      </c>
      <c r="L95" s="0" t="s">
        <v>240</v>
      </c>
      <c r="M95" s="0" t="s">
        <v>240</v>
      </c>
      <c r="N95" s="0" t="s">
        <v>240</v>
      </c>
      <c r="O95" s="0" t="s">
        <v>240</v>
      </c>
      <c r="P95" s="0" t="s">
        <v>240</v>
      </c>
      <c r="Q95" s="0" t="s">
        <v>240</v>
      </c>
      <c r="R95" s="0" t="s">
        <v>6019</v>
      </c>
      <c r="S95" s="0" t="s">
        <v>240</v>
      </c>
      <c r="T95" s="0" t="s">
        <v>240</v>
      </c>
      <c r="U95" s="0" t="s">
        <v>102</v>
      </c>
      <c r="V95" s="0" t="s">
        <v>240</v>
      </c>
      <c r="W95" s="0" t="s">
        <v>240</v>
      </c>
      <c r="X95" s="0" t="s">
        <v>5585</v>
      </c>
      <c r="Y95" s="0" t="s">
        <v>240</v>
      </c>
      <c r="Z95" s="0" t="s">
        <v>152</v>
      </c>
      <c r="AA95" s="0" t="s">
        <v>152</v>
      </c>
      <c r="AB95" s="0" t="s">
        <v>161</v>
      </c>
      <c r="AC95" s="0" t="s">
        <v>2991</v>
      </c>
      <c r="AD95" s="0" t="s">
        <v>2991</v>
      </c>
      <c r="AE95" s="0" t="s">
        <v>2992</v>
      </c>
      <c r="AF95" s="0" t="s">
        <v>5691</v>
      </c>
      <c r="AG95" s="0" t="s">
        <v>5692</v>
      </c>
      <c r="AH95" s="0" t="s">
        <v>5575</v>
      </c>
      <c r="AI95" s="0" t="s">
        <v>5575</v>
      </c>
      <c r="AJ95" s="0" t="s">
        <v>240</v>
      </c>
      <c r="AK95" s="0" t="s">
        <v>240</v>
      </c>
      <c r="AL95" s="0" t="s">
        <v>240</v>
      </c>
      <c r="AM95" s="0" t="s">
        <v>240</v>
      </c>
      <c r="AN95" s="0" t="s">
        <v>240</v>
      </c>
      <c r="AO95" s="0" t="s">
        <v>240</v>
      </c>
      <c r="AP95" s="0" t="s">
        <v>240</v>
      </c>
      <c r="AQ95" s="0" t="s">
        <v>240</v>
      </c>
      <c r="AR95" s="0" t="s">
        <v>240</v>
      </c>
      <c r="AS95" s="0" t="s">
        <v>240</v>
      </c>
      <c r="AT95" s="0" t="s">
        <v>240</v>
      </c>
      <c r="AU95" s="0" t="s">
        <v>240</v>
      </c>
      <c r="AV95" s="0" t="s">
        <v>240</v>
      </c>
      <c r="AW95" s="0" t="s">
        <v>240</v>
      </c>
      <c r="AX95" s="0" t="s">
        <v>240</v>
      </c>
      <c r="AY95" s="0" t="s">
        <v>240</v>
      </c>
      <c r="AZ95" s="0" t="s">
        <v>240</v>
      </c>
      <c r="BA95" s="0" t="s">
        <v>240</v>
      </c>
      <c r="BB95" s="0" t="s">
        <v>240</v>
      </c>
      <c r="BC95" s="0" t="s">
        <v>240</v>
      </c>
      <c r="BD95" s="0" t="s">
        <v>240</v>
      </c>
      <c r="BE95" s="0" t="s">
        <v>5576</v>
      </c>
      <c r="BF95" s="0" t="s">
        <v>5672</v>
      </c>
      <c r="BG95" s="0" t="s">
        <v>112</v>
      </c>
      <c r="BH95" s="0" t="s">
        <v>5589</v>
      </c>
      <c r="BI95" s="0" t="s">
        <v>123</v>
      </c>
      <c r="BJ95" s="0" t="s">
        <v>240</v>
      </c>
      <c r="BK95" s="0" t="s">
        <v>5608</v>
      </c>
      <c r="BL95" s="0" t="s">
        <v>2991</v>
      </c>
      <c r="BM95" s="0" t="s">
        <v>2991</v>
      </c>
      <c r="BN95" s="0" t="s">
        <v>5663</v>
      </c>
      <c r="BO95" s="0" t="s">
        <v>5691</v>
      </c>
      <c r="BP95" s="0" t="s">
        <v>6020</v>
      </c>
      <c r="BQ95" s="0" t="s">
        <v>5575</v>
      </c>
      <c r="BR95" s="0" t="s">
        <v>5575</v>
      </c>
      <c r="BS95" s="0" t="s">
        <v>240</v>
      </c>
      <c r="BT95" s="0" t="s">
        <v>5650</v>
      </c>
      <c r="BU95" s="0" t="s">
        <v>6021</v>
      </c>
      <c r="BV95" s="0" t="s">
        <v>6021</v>
      </c>
      <c r="BW95" s="0" t="s">
        <v>5598</v>
      </c>
      <c r="BX95" s="0" t="s">
        <v>5598</v>
      </c>
      <c r="BY95" s="0" t="s">
        <v>5598</v>
      </c>
      <c r="BZ95" s="0" t="s">
        <v>5598</v>
      </c>
      <c r="CA95" s="0" t="s">
        <v>5598</v>
      </c>
      <c r="CB95" s="0" t="s">
        <v>240</v>
      </c>
      <c r="CC95" s="0" t="s">
        <v>240</v>
      </c>
      <c r="CD95" s="0" t="s">
        <v>240</v>
      </c>
      <c r="CE95" s="0" t="s">
        <v>240</v>
      </c>
      <c r="CF95" s="0" t="s">
        <v>240</v>
      </c>
      <c r="CG95" s="0" t="s">
        <v>5598</v>
      </c>
      <c r="CH95" s="0" t="s">
        <v>240</v>
      </c>
      <c r="CI95" s="0" t="s">
        <v>240</v>
      </c>
      <c r="CJ95" s="0" t="s">
        <v>240</v>
      </c>
      <c r="CK95" s="0" t="s">
        <v>240</v>
      </c>
      <c r="CL95" s="0" t="s">
        <v>240</v>
      </c>
      <c r="CM95" s="0" t="s">
        <v>6021</v>
      </c>
      <c r="CN95" s="0" t="s">
        <v>6021</v>
      </c>
      <c r="CO95" s="0" t="s">
        <v>240</v>
      </c>
      <c r="CP95" s="0" t="s">
        <v>240</v>
      </c>
      <c r="CQ95" s="0" t="s">
        <v>240</v>
      </c>
      <c r="CR95" s="0" t="s">
        <v>240</v>
      </c>
      <c r="CS95" s="0" t="s">
        <v>5666</v>
      </c>
      <c r="CT95" s="0" t="s">
        <v>5496</v>
      </c>
      <c r="CU95" s="0" t="s">
        <v>5497</v>
      </c>
      <c r="CV95" s="0" t="s">
        <v>443</v>
      </c>
      <c r="CW95" s="0" t="s">
        <v>5547</v>
      </c>
      <c r="CX95" s="0" t="s">
        <v>229</v>
      </c>
      <c r="CY95" s="0" t="s">
        <v>443</v>
      </c>
      <c r="CZ95" s="0" t="s">
        <v>5548</v>
      </c>
      <c r="DA95" s="0" t="s">
        <v>5549</v>
      </c>
      <c r="DB95" s="0" t="s">
        <v>5547</v>
      </c>
      <c r="DC95" s="0" t="s">
        <v>384</v>
      </c>
      <c r="DD95" s="0" t="s">
        <v>291</v>
      </c>
      <c r="DE95" s="0" t="s">
        <v>6022</v>
      </c>
    </row>
    <row customHeight="1" ht="11.25">
      <c r="A96" s="1441" t="s">
        <v>240</v>
      </c>
      <c r="B96" s="0" t="s">
        <v>240</v>
      </c>
      <c r="C96" s="0" t="s">
        <v>240</v>
      </c>
      <c r="D96" s="0" t="s">
        <v>240</v>
      </c>
      <c r="E96" s="0" t="s">
        <v>240</v>
      </c>
      <c r="F96" s="0" t="s">
        <v>240</v>
      </c>
      <c r="G96" s="0" t="s">
        <v>240</v>
      </c>
      <c r="H96" s="0" t="s">
        <v>240</v>
      </c>
      <c r="I96" s="0" t="s">
        <v>5484</v>
      </c>
      <c r="J96" s="0" t="s">
        <v>240</v>
      </c>
      <c r="K96" s="0" t="s">
        <v>240</v>
      </c>
      <c r="L96" s="0" t="s">
        <v>240</v>
      </c>
      <c r="M96" s="0" t="s">
        <v>240</v>
      </c>
      <c r="N96" s="0" t="s">
        <v>240</v>
      </c>
      <c r="O96" s="0" t="s">
        <v>240</v>
      </c>
      <c r="P96" s="0" t="s">
        <v>240</v>
      </c>
      <c r="Q96" s="0" t="s">
        <v>240</v>
      </c>
      <c r="R96" s="0" t="s">
        <v>6023</v>
      </c>
      <c r="S96" s="0" t="s">
        <v>240</v>
      </c>
      <c r="T96" s="0" t="s">
        <v>240</v>
      </c>
      <c r="U96" s="0" t="s">
        <v>102</v>
      </c>
      <c r="V96" s="0" t="s">
        <v>240</v>
      </c>
      <c r="W96" s="0" t="s">
        <v>240</v>
      </c>
      <c r="X96" s="0" t="s">
        <v>5585</v>
      </c>
      <c r="Y96" s="0" t="s">
        <v>240</v>
      </c>
      <c r="Z96" s="0" t="s">
        <v>152</v>
      </c>
      <c r="AA96" s="0" t="s">
        <v>152</v>
      </c>
      <c r="AB96" s="0" t="s">
        <v>161</v>
      </c>
      <c r="AC96" s="0" t="s">
        <v>2989</v>
      </c>
      <c r="AD96" s="0" t="s">
        <v>2989</v>
      </c>
      <c r="AE96" s="0" t="s">
        <v>2990</v>
      </c>
      <c r="AF96" s="0" t="s">
        <v>5743</v>
      </c>
      <c r="AG96" s="0" t="s">
        <v>5744</v>
      </c>
      <c r="AH96" s="0" t="s">
        <v>5575</v>
      </c>
      <c r="AI96" s="0" t="s">
        <v>5575</v>
      </c>
      <c r="AJ96" s="0" t="s">
        <v>240</v>
      </c>
      <c r="AK96" s="0" t="s">
        <v>240</v>
      </c>
      <c r="AL96" s="0" t="s">
        <v>240</v>
      </c>
      <c r="AM96" s="0" t="s">
        <v>240</v>
      </c>
      <c r="AN96" s="0" t="s">
        <v>240</v>
      </c>
      <c r="AO96" s="0" t="s">
        <v>240</v>
      </c>
      <c r="AP96" s="0" t="s">
        <v>240</v>
      </c>
      <c r="AQ96" s="0" t="s">
        <v>240</v>
      </c>
      <c r="AR96" s="0" t="s">
        <v>240</v>
      </c>
      <c r="AS96" s="0" t="s">
        <v>240</v>
      </c>
      <c r="AT96" s="0" t="s">
        <v>240</v>
      </c>
      <c r="AU96" s="0" t="s">
        <v>240</v>
      </c>
      <c r="AV96" s="0" t="s">
        <v>240</v>
      </c>
      <c r="AW96" s="0" t="s">
        <v>240</v>
      </c>
      <c r="AX96" s="0" t="s">
        <v>240</v>
      </c>
      <c r="AY96" s="0" t="s">
        <v>240</v>
      </c>
      <c r="AZ96" s="0" t="s">
        <v>240</v>
      </c>
      <c r="BA96" s="0" t="s">
        <v>240</v>
      </c>
      <c r="BB96" s="0" t="s">
        <v>240</v>
      </c>
      <c r="BC96" s="0" t="s">
        <v>240</v>
      </c>
      <c r="BD96" s="0" t="s">
        <v>240</v>
      </c>
      <c r="BE96" s="0" t="s">
        <v>5576</v>
      </c>
      <c r="BF96" s="0" t="s">
        <v>5745</v>
      </c>
      <c r="BG96" s="0" t="s">
        <v>112</v>
      </c>
      <c r="BH96" s="0" t="s">
        <v>5589</v>
      </c>
      <c r="BI96" s="0" t="s">
        <v>123</v>
      </c>
      <c r="BJ96" s="0" t="s">
        <v>240</v>
      </c>
      <c r="BK96" s="0" t="s">
        <v>5608</v>
      </c>
      <c r="BL96" s="0" t="s">
        <v>2989</v>
      </c>
      <c r="BM96" s="0" t="s">
        <v>2989</v>
      </c>
      <c r="BN96" s="0" t="s">
        <v>5798</v>
      </c>
      <c r="BO96" s="0" t="s">
        <v>5743</v>
      </c>
      <c r="BP96" s="0" t="s">
        <v>6024</v>
      </c>
      <c r="BQ96" s="0" t="s">
        <v>5575</v>
      </c>
      <c r="BR96" s="0" t="s">
        <v>5575</v>
      </c>
      <c r="BS96" s="0" t="s">
        <v>240</v>
      </c>
      <c r="BT96" s="0" t="s">
        <v>5650</v>
      </c>
      <c r="BU96" s="0" t="s">
        <v>6025</v>
      </c>
      <c r="BV96" s="0" t="s">
        <v>6025</v>
      </c>
      <c r="BW96" s="0" t="s">
        <v>5598</v>
      </c>
      <c r="BX96" s="0" t="s">
        <v>5598</v>
      </c>
      <c r="BY96" s="0" t="s">
        <v>5598</v>
      </c>
      <c r="BZ96" s="0" t="s">
        <v>5598</v>
      </c>
      <c r="CA96" s="0" t="s">
        <v>5598</v>
      </c>
      <c r="CB96" s="0" t="s">
        <v>240</v>
      </c>
      <c r="CC96" s="0" t="s">
        <v>240</v>
      </c>
      <c r="CD96" s="0" t="s">
        <v>240</v>
      </c>
      <c r="CE96" s="0" t="s">
        <v>240</v>
      </c>
      <c r="CF96" s="0" t="s">
        <v>240</v>
      </c>
      <c r="CG96" s="0" t="s">
        <v>5598</v>
      </c>
      <c r="CH96" s="0" t="s">
        <v>240</v>
      </c>
      <c r="CI96" s="0" t="s">
        <v>240</v>
      </c>
      <c r="CJ96" s="0" t="s">
        <v>240</v>
      </c>
      <c r="CK96" s="0" t="s">
        <v>240</v>
      </c>
      <c r="CL96" s="0" t="s">
        <v>240</v>
      </c>
      <c r="CM96" s="0" t="s">
        <v>6025</v>
      </c>
      <c r="CN96" s="0" t="s">
        <v>6025</v>
      </c>
      <c r="CO96" s="0" t="s">
        <v>240</v>
      </c>
      <c r="CP96" s="0" t="s">
        <v>240</v>
      </c>
      <c r="CQ96" s="0" t="s">
        <v>240</v>
      </c>
      <c r="CR96" s="0" t="s">
        <v>240</v>
      </c>
      <c r="CS96" s="0" t="s">
        <v>5491</v>
      </c>
      <c r="CT96" s="0" t="s">
        <v>5496</v>
      </c>
      <c r="CU96" s="0" t="s">
        <v>5497</v>
      </c>
      <c r="CV96" s="0" t="s">
        <v>443</v>
      </c>
      <c r="CW96" s="0" t="s">
        <v>5580</v>
      </c>
      <c r="CX96" s="0" t="s">
        <v>229</v>
      </c>
      <c r="CY96" s="0" t="s">
        <v>443</v>
      </c>
      <c r="CZ96" s="0" t="s">
        <v>5581</v>
      </c>
      <c r="DA96" s="0" t="s">
        <v>5582</v>
      </c>
      <c r="DB96" s="0" t="s">
        <v>5580</v>
      </c>
      <c r="DC96" s="0" t="s">
        <v>384</v>
      </c>
      <c r="DD96" s="0" t="s">
        <v>291</v>
      </c>
      <c r="DE96" s="0" t="s">
        <v>5747</v>
      </c>
    </row>
    <row customHeight="1" ht="11.25">
      <c r="A97" s="1441" t="s">
        <v>240</v>
      </c>
      <c r="B97" s="0" t="s">
        <v>240</v>
      </c>
      <c r="C97" s="0" t="s">
        <v>240</v>
      </c>
      <c r="D97" s="0" t="s">
        <v>240</v>
      </c>
      <c r="E97" s="0" t="s">
        <v>240</v>
      </c>
      <c r="F97" s="0" t="s">
        <v>240</v>
      </c>
      <c r="G97" s="0" t="s">
        <v>240</v>
      </c>
      <c r="H97" s="0" t="s">
        <v>240</v>
      </c>
      <c r="I97" s="0" t="s">
        <v>5484</v>
      </c>
      <c r="J97" s="0" t="s">
        <v>240</v>
      </c>
      <c r="K97" s="0" t="s">
        <v>240</v>
      </c>
      <c r="L97" s="0" t="s">
        <v>240</v>
      </c>
      <c r="M97" s="0" t="s">
        <v>240</v>
      </c>
      <c r="N97" s="0" t="s">
        <v>240</v>
      </c>
      <c r="O97" s="0" t="s">
        <v>240</v>
      </c>
      <c r="P97" s="0" t="s">
        <v>240</v>
      </c>
      <c r="Q97" s="0" t="s">
        <v>240</v>
      </c>
      <c r="R97" s="0" t="s">
        <v>5572</v>
      </c>
      <c r="S97" s="0" t="s">
        <v>240</v>
      </c>
      <c r="T97" s="0" t="s">
        <v>240</v>
      </c>
      <c r="U97" s="0" t="s">
        <v>102</v>
      </c>
      <c r="V97" s="0" t="s">
        <v>240</v>
      </c>
      <c r="W97" s="0" t="s">
        <v>240</v>
      </c>
      <c r="X97" s="0" t="s">
        <v>5485</v>
      </c>
      <c r="Y97" s="0" t="s">
        <v>240</v>
      </c>
      <c r="Z97" s="0" t="s">
        <v>161</v>
      </c>
      <c r="AA97" s="0" t="s">
        <v>152</v>
      </c>
      <c r="AB97" s="0" t="s">
        <v>152</v>
      </c>
      <c r="AC97" s="0" t="s">
        <v>2989</v>
      </c>
      <c r="AD97" s="0" t="s">
        <v>2989</v>
      </c>
      <c r="AE97" s="0" t="s">
        <v>2990</v>
      </c>
      <c r="AF97" s="0" t="s">
        <v>6026</v>
      </c>
      <c r="AG97" s="0" t="s">
        <v>6027</v>
      </c>
      <c r="AH97" s="0" t="s">
        <v>5575</v>
      </c>
      <c r="AI97" s="0" t="s">
        <v>5575</v>
      </c>
      <c r="AJ97" s="0" t="s">
        <v>5576</v>
      </c>
      <c r="AK97" s="0" t="s">
        <v>6028</v>
      </c>
      <c r="AL97" s="0" t="s">
        <v>5506</v>
      </c>
      <c r="AM97" s="0" t="s">
        <v>5493</v>
      </c>
      <c r="AN97" s="0" t="s">
        <v>5578</v>
      </c>
      <c r="AO97" s="0" t="s">
        <v>5625</v>
      </c>
      <c r="AP97" s="0" t="s">
        <v>240</v>
      </c>
      <c r="AQ97" s="0" t="s">
        <v>240</v>
      </c>
      <c r="AR97" s="0" t="s">
        <v>240</v>
      </c>
      <c r="AS97" s="0" t="s">
        <v>240</v>
      </c>
      <c r="AT97" s="0" t="s">
        <v>240</v>
      </c>
      <c r="AU97" s="0" t="s">
        <v>240</v>
      </c>
      <c r="AV97" s="0" t="s">
        <v>240</v>
      </c>
      <c r="AW97" s="0" t="s">
        <v>240</v>
      </c>
      <c r="AX97" s="0" t="s">
        <v>240</v>
      </c>
      <c r="AY97" s="0" t="s">
        <v>240</v>
      </c>
      <c r="AZ97" s="0" t="s">
        <v>240</v>
      </c>
      <c r="BA97" s="0" t="s">
        <v>240</v>
      </c>
      <c r="BB97" s="0" t="s">
        <v>240</v>
      </c>
      <c r="BC97" s="0" t="s">
        <v>240</v>
      </c>
      <c r="BD97" s="0" t="s">
        <v>240</v>
      </c>
      <c r="BE97" s="0" t="s">
        <v>240</v>
      </c>
      <c r="BF97" s="0" t="s">
        <v>240</v>
      </c>
      <c r="BG97" s="0" t="s">
        <v>240</v>
      </c>
      <c r="BH97" s="0" t="s">
        <v>240</v>
      </c>
      <c r="BI97" s="0" t="s">
        <v>240</v>
      </c>
      <c r="BJ97" s="0" t="s">
        <v>240</v>
      </c>
      <c r="BK97" s="0" t="s">
        <v>240</v>
      </c>
      <c r="BL97" s="0" t="s">
        <v>240</v>
      </c>
      <c r="BM97" s="0" t="s">
        <v>240</v>
      </c>
      <c r="BN97" s="0" t="s">
        <v>240</v>
      </c>
      <c r="BO97" s="0" t="s">
        <v>240</v>
      </c>
      <c r="BP97" s="0" t="s">
        <v>240</v>
      </c>
      <c r="BQ97" s="0" t="s">
        <v>240</v>
      </c>
      <c r="BR97" s="0" t="s">
        <v>240</v>
      </c>
      <c r="BS97" s="0" t="s">
        <v>240</v>
      </c>
      <c r="BT97" s="0" t="s">
        <v>240</v>
      </c>
      <c r="BU97" s="0" t="s">
        <v>240</v>
      </c>
      <c r="BV97" s="0" t="s">
        <v>240</v>
      </c>
      <c r="BW97" s="0" t="s">
        <v>240</v>
      </c>
      <c r="BX97" s="0" t="s">
        <v>240</v>
      </c>
      <c r="BY97" s="0" t="s">
        <v>240</v>
      </c>
      <c r="BZ97" s="0" t="s">
        <v>240</v>
      </c>
      <c r="CA97" s="0" t="s">
        <v>240</v>
      </c>
      <c r="CB97" s="0" t="s">
        <v>240</v>
      </c>
      <c r="CC97" s="0" t="s">
        <v>240</v>
      </c>
      <c r="CD97" s="0" t="s">
        <v>240</v>
      </c>
      <c r="CE97" s="0" t="s">
        <v>240</v>
      </c>
      <c r="CF97" s="0" t="s">
        <v>240</v>
      </c>
      <c r="CG97" s="0" t="s">
        <v>240</v>
      </c>
      <c r="CH97" s="0" t="s">
        <v>240</v>
      </c>
      <c r="CI97" s="0" t="s">
        <v>240</v>
      </c>
      <c r="CJ97" s="0" t="s">
        <v>240</v>
      </c>
      <c r="CK97" s="0" t="s">
        <v>240</v>
      </c>
      <c r="CL97" s="0" t="s">
        <v>240</v>
      </c>
      <c r="CM97" s="0" t="s">
        <v>240</v>
      </c>
      <c r="CN97" s="0" t="s">
        <v>240</v>
      </c>
      <c r="CO97" s="0" t="s">
        <v>240</v>
      </c>
      <c r="CP97" s="0" t="s">
        <v>240</v>
      </c>
      <c r="CQ97" s="0" t="s">
        <v>240</v>
      </c>
      <c r="CR97" s="0" t="s">
        <v>240</v>
      </c>
      <c r="CS97" s="0" t="s">
        <v>240</v>
      </c>
      <c r="CT97" s="0" t="s">
        <v>5496</v>
      </c>
      <c r="CU97" s="0" t="s">
        <v>5497</v>
      </c>
      <c r="CV97" s="0" t="s">
        <v>443</v>
      </c>
      <c r="CW97" s="0" t="s">
        <v>5580</v>
      </c>
      <c r="CX97" s="0" t="s">
        <v>229</v>
      </c>
      <c r="CY97" s="0" t="s">
        <v>443</v>
      </c>
      <c r="CZ97" s="0" t="s">
        <v>5581</v>
      </c>
      <c r="DA97" s="0" t="s">
        <v>5582</v>
      </c>
      <c r="DB97" s="0" t="s">
        <v>5580</v>
      </c>
      <c r="DC97" s="0" t="s">
        <v>384</v>
      </c>
      <c r="DD97" s="0" t="s">
        <v>291</v>
      </c>
      <c r="DE97" s="0" t="s">
        <v>6029</v>
      </c>
    </row>
    <row customHeight="1" ht="11.25">
      <c r="A98" s="1441" t="s">
        <v>240</v>
      </c>
      <c r="B98" s="0" t="s">
        <v>240</v>
      </c>
      <c r="C98" s="0" t="s">
        <v>240</v>
      </c>
      <c r="D98" s="0" t="s">
        <v>240</v>
      </c>
      <c r="E98" s="0" t="s">
        <v>240</v>
      </c>
      <c r="F98" s="0" t="s">
        <v>240</v>
      </c>
      <c r="G98" s="0" t="s">
        <v>240</v>
      </c>
      <c r="H98" s="0" t="s">
        <v>240</v>
      </c>
      <c r="I98" s="0" t="s">
        <v>5484</v>
      </c>
      <c r="J98" s="0" t="s">
        <v>240</v>
      </c>
      <c r="K98" s="0" t="s">
        <v>240</v>
      </c>
      <c r="L98" s="0" t="s">
        <v>240</v>
      </c>
      <c r="M98" s="0" t="s">
        <v>240</v>
      </c>
      <c r="N98" s="0" t="s">
        <v>240</v>
      </c>
      <c r="O98" s="0" t="s">
        <v>240</v>
      </c>
      <c r="P98" s="0" t="s">
        <v>240</v>
      </c>
      <c r="Q98" s="0" t="s">
        <v>240</v>
      </c>
      <c r="R98" s="0" t="s">
        <v>5705</v>
      </c>
      <c r="S98" s="0" t="s">
        <v>240</v>
      </c>
      <c r="T98" s="0" t="s">
        <v>240</v>
      </c>
      <c r="U98" s="0" t="s">
        <v>102</v>
      </c>
      <c r="V98" s="0" t="s">
        <v>240</v>
      </c>
      <c r="W98" s="0" t="s">
        <v>240</v>
      </c>
      <c r="X98" s="0" t="s">
        <v>5585</v>
      </c>
      <c r="Y98" s="0" t="s">
        <v>240</v>
      </c>
      <c r="Z98" s="0" t="s">
        <v>152</v>
      </c>
      <c r="AA98" s="0" t="s">
        <v>152</v>
      </c>
      <c r="AB98" s="0" t="s">
        <v>161</v>
      </c>
      <c r="AC98" s="0" t="s">
        <v>2985</v>
      </c>
      <c r="AD98" s="0" t="s">
        <v>2985</v>
      </c>
      <c r="AE98" s="0" t="s">
        <v>2986</v>
      </c>
      <c r="AF98" s="0" t="s">
        <v>5615</v>
      </c>
      <c r="AG98" s="0" t="s">
        <v>5616</v>
      </c>
      <c r="AH98" s="0" t="s">
        <v>5615</v>
      </c>
      <c r="AI98" s="0" t="s">
        <v>5644</v>
      </c>
      <c r="AJ98" s="0" t="s">
        <v>240</v>
      </c>
      <c r="AK98" s="0" t="s">
        <v>240</v>
      </c>
      <c r="AL98" s="0" t="s">
        <v>240</v>
      </c>
      <c r="AM98" s="0" t="s">
        <v>240</v>
      </c>
      <c r="AN98" s="0" t="s">
        <v>240</v>
      </c>
      <c r="AO98" s="0" t="s">
        <v>240</v>
      </c>
      <c r="AP98" s="0" t="s">
        <v>240</v>
      </c>
      <c r="AQ98" s="0" t="s">
        <v>240</v>
      </c>
      <c r="AR98" s="0" t="s">
        <v>240</v>
      </c>
      <c r="AS98" s="0" t="s">
        <v>240</v>
      </c>
      <c r="AT98" s="0" t="s">
        <v>240</v>
      </c>
      <c r="AU98" s="0" t="s">
        <v>240</v>
      </c>
      <c r="AV98" s="0" t="s">
        <v>240</v>
      </c>
      <c r="AW98" s="0" t="s">
        <v>240</v>
      </c>
      <c r="AX98" s="0" t="s">
        <v>240</v>
      </c>
      <c r="AY98" s="0" t="s">
        <v>240</v>
      </c>
      <c r="AZ98" s="0" t="s">
        <v>240</v>
      </c>
      <c r="BA98" s="0" t="s">
        <v>240</v>
      </c>
      <c r="BB98" s="0" t="s">
        <v>240</v>
      </c>
      <c r="BC98" s="0" t="s">
        <v>240</v>
      </c>
      <c r="BD98" s="0" t="s">
        <v>240</v>
      </c>
      <c r="BE98" s="0" t="s">
        <v>5645</v>
      </c>
      <c r="BF98" s="0" t="s">
        <v>5645</v>
      </c>
      <c r="BG98" s="0" t="s">
        <v>112</v>
      </c>
      <c r="BH98" s="0" t="s">
        <v>5589</v>
      </c>
      <c r="BI98" s="0" t="s">
        <v>123</v>
      </c>
      <c r="BJ98" s="0" t="s">
        <v>240</v>
      </c>
      <c r="BK98" s="0" t="s">
        <v>5608</v>
      </c>
      <c r="BL98" s="0" t="s">
        <v>2985</v>
      </c>
      <c r="BM98" s="0" t="s">
        <v>2985</v>
      </c>
      <c r="BN98" s="0" t="s">
        <v>5646</v>
      </c>
      <c r="BO98" s="0" t="s">
        <v>5615</v>
      </c>
      <c r="BP98" s="0" t="s">
        <v>6030</v>
      </c>
      <c r="BQ98" s="0" t="s">
        <v>5502</v>
      </c>
      <c r="BR98" s="0" t="s">
        <v>5618</v>
      </c>
      <c r="BS98" s="0" t="s">
        <v>240</v>
      </c>
      <c r="BT98" s="0" t="s">
        <v>5650</v>
      </c>
      <c r="BU98" s="0" t="s">
        <v>6031</v>
      </c>
      <c r="BV98" s="0" t="s">
        <v>6031</v>
      </c>
      <c r="BW98" s="0" t="s">
        <v>5598</v>
      </c>
      <c r="BX98" s="0" t="s">
        <v>5598</v>
      </c>
      <c r="BY98" s="0" t="s">
        <v>5598</v>
      </c>
      <c r="BZ98" s="0" t="s">
        <v>5598</v>
      </c>
      <c r="CA98" s="0" t="s">
        <v>5598</v>
      </c>
      <c r="CB98" s="0" t="s">
        <v>240</v>
      </c>
      <c r="CC98" s="0" t="s">
        <v>240</v>
      </c>
      <c r="CD98" s="0" t="s">
        <v>240</v>
      </c>
      <c r="CE98" s="0" t="s">
        <v>240</v>
      </c>
      <c r="CF98" s="0" t="s">
        <v>240</v>
      </c>
      <c r="CG98" s="0" t="s">
        <v>5598</v>
      </c>
      <c r="CH98" s="0" t="s">
        <v>240</v>
      </c>
      <c r="CI98" s="0" t="s">
        <v>240</v>
      </c>
      <c r="CJ98" s="0" t="s">
        <v>240</v>
      </c>
      <c r="CK98" s="0" t="s">
        <v>240</v>
      </c>
      <c r="CL98" s="0" t="s">
        <v>240</v>
      </c>
      <c r="CM98" s="0" t="s">
        <v>6031</v>
      </c>
      <c r="CN98" s="0" t="s">
        <v>6031</v>
      </c>
      <c r="CO98" s="0" t="s">
        <v>240</v>
      </c>
      <c r="CP98" s="0" t="s">
        <v>240</v>
      </c>
      <c r="CQ98" s="0" t="s">
        <v>240</v>
      </c>
      <c r="CR98" s="0" t="s">
        <v>240</v>
      </c>
      <c r="CS98" s="0" t="s">
        <v>5507</v>
      </c>
      <c r="CT98" s="0" t="s">
        <v>5496</v>
      </c>
      <c r="CU98" s="0" t="s">
        <v>5497</v>
      </c>
      <c r="CV98" s="0" t="s">
        <v>443</v>
      </c>
      <c r="CW98" s="0" t="s">
        <v>5509</v>
      </c>
      <c r="CX98" s="0" t="s">
        <v>229</v>
      </c>
      <c r="CY98" s="0" t="s">
        <v>443</v>
      </c>
      <c r="CZ98" s="0" t="s">
        <v>5510</v>
      </c>
      <c r="DA98" s="0" t="s">
        <v>5511</v>
      </c>
      <c r="DB98" s="0" t="s">
        <v>5509</v>
      </c>
      <c r="DC98" s="0" t="s">
        <v>384</v>
      </c>
      <c r="DD98" s="0" t="s">
        <v>291</v>
      </c>
      <c r="DE98" s="0" t="s">
        <v>6032</v>
      </c>
    </row>
    <row customHeight="1" ht="11.25">
      <c r="A99" s="1441" t="s">
        <v>240</v>
      </c>
      <c r="B99" s="0" t="s">
        <v>240</v>
      </c>
      <c r="C99" s="0" t="s">
        <v>240</v>
      </c>
      <c r="D99" s="0" t="s">
        <v>240</v>
      </c>
      <c r="E99" s="0" t="s">
        <v>240</v>
      </c>
      <c r="F99" s="0" t="s">
        <v>240</v>
      </c>
      <c r="G99" s="0" t="s">
        <v>240</v>
      </c>
      <c r="H99" s="0" t="s">
        <v>240</v>
      </c>
      <c r="I99" s="0" t="s">
        <v>5484</v>
      </c>
      <c r="J99" s="0" t="s">
        <v>240</v>
      </c>
      <c r="K99" s="0" t="s">
        <v>240</v>
      </c>
      <c r="L99" s="0" t="s">
        <v>240</v>
      </c>
      <c r="M99" s="0" t="s">
        <v>240</v>
      </c>
      <c r="N99" s="0" t="s">
        <v>240</v>
      </c>
      <c r="O99" s="0" t="s">
        <v>240</v>
      </c>
      <c r="P99" s="0" t="s">
        <v>240</v>
      </c>
      <c r="Q99" s="0" t="s">
        <v>240</v>
      </c>
      <c r="R99" s="0" t="s">
        <v>5705</v>
      </c>
      <c r="S99" s="0" t="s">
        <v>240</v>
      </c>
      <c r="T99" s="0" t="s">
        <v>240</v>
      </c>
      <c r="U99" s="0" t="s">
        <v>102</v>
      </c>
      <c r="V99" s="0" t="s">
        <v>240</v>
      </c>
      <c r="W99" s="0" t="s">
        <v>240</v>
      </c>
      <c r="X99" s="0" t="s">
        <v>5585</v>
      </c>
      <c r="Y99" s="0" t="s">
        <v>240</v>
      </c>
      <c r="Z99" s="0" t="s">
        <v>152</v>
      </c>
      <c r="AA99" s="0" t="s">
        <v>152</v>
      </c>
      <c r="AB99" s="0" t="s">
        <v>161</v>
      </c>
      <c r="AC99" s="0" t="s">
        <v>2985</v>
      </c>
      <c r="AD99" s="0" t="s">
        <v>2985</v>
      </c>
      <c r="AE99" s="0" t="s">
        <v>2986</v>
      </c>
      <c r="AF99" s="0" t="s">
        <v>6033</v>
      </c>
      <c r="AG99" s="0" t="s">
        <v>6034</v>
      </c>
      <c r="AH99" s="0" t="s">
        <v>6033</v>
      </c>
      <c r="AI99" s="0" t="s">
        <v>5644</v>
      </c>
      <c r="AJ99" s="0" t="s">
        <v>240</v>
      </c>
      <c r="AK99" s="0" t="s">
        <v>240</v>
      </c>
      <c r="AL99" s="0" t="s">
        <v>240</v>
      </c>
      <c r="AM99" s="0" t="s">
        <v>240</v>
      </c>
      <c r="AN99" s="0" t="s">
        <v>240</v>
      </c>
      <c r="AO99" s="0" t="s">
        <v>240</v>
      </c>
      <c r="AP99" s="0" t="s">
        <v>240</v>
      </c>
      <c r="AQ99" s="0" t="s">
        <v>240</v>
      </c>
      <c r="AR99" s="0" t="s">
        <v>240</v>
      </c>
      <c r="AS99" s="0" t="s">
        <v>240</v>
      </c>
      <c r="AT99" s="0" t="s">
        <v>240</v>
      </c>
      <c r="AU99" s="0" t="s">
        <v>240</v>
      </c>
      <c r="AV99" s="0" t="s">
        <v>240</v>
      </c>
      <c r="AW99" s="0" t="s">
        <v>240</v>
      </c>
      <c r="AX99" s="0" t="s">
        <v>240</v>
      </c>
      <c r="AY99" s="0" t="s">
        <v>240</v>
      </c>
      <c r="AZ99" s="0" t="s">
        <v>240</v>
      </c>
      <c r="BA99" s="0" t="s">
        <v>240</v>
      </c>
      <c r="BB99" s="0" t="s">
        <v>240</v>
      </c>
      <c r="BC99" s="0" t="s">
        <v>240</v>
      </c>
      <c r="BD99" s="0" t="s">
        <v>240</v>
      </c>
      <c r="BE99" s="0" t="s">
        <v>5645</v>
      </c>
      <c r="BF99" s="0" t="s">
        <v>5645</v>
      </c>
      <c r="BG99" s="0" t="s">
        <v>112</v>
      </c>
      <c r="BH99" s="0" t="s">
        <v>5589</v>
      </c>
      <c r="BI99" s="0" t="s">
        <v>123</v>
      </c>
      <c r="BJ99" s="0" t="s">
        <v>240</v>
      </c>
      <c r="BK99" s="0" t="s">
        <v>6035</v>
      </c>
      <c r="BL99" s="0" t="s">
        <v>2985</v>
      </c>
      <c r="BM99" s="0" t="s">
        <v>2985</v>
      </c>
      <c r="BN99" s="0" t="s">
        <v>5646</v>
      </c>
      <c r="BO99" s="0" t="s">
        <v>6033</v>
      </c>
      <c r="BP99" s="0" t="s">
        <v>6036</v>
      </c>
      <c r="BQ99" s="0" t="s">
        <v>6037</v>
      </c>
      <c r="BR99" s="0" t="s">
        <v>6038</v>
      </c>
      <c r="BS99" s="0" t="s">
        <v>240</v>
      </c>
      <c r="BT99" s="0" t="s">
        <v>5650</v>
      </c>
      <c r="BU99" s="0" t="s">
        <v>6039</v>
      </c>
      <c r="BV99" s="0" t="s">
        <v>6039</v>
      </c>
      <c r="BW99" s="0" t="s">
        <v>5598</v>
      </c>
      <c r="BX99" s="0" t="s">
        <v>5598</v>
      </c>
      <c r="BY99" s="0" t="s">
        <v>5598</v>
      </c>
      <c r="BZ99" s="0" t="s">
        <v>5598</v>
      </c>
      <c r="CA99" s="0" t="s">
        <v>5598</v>
      </c>
      <c r="CB99" s="0" t="s">
        <v>240</v>
      </c>
      <c r="CC99" s="0" t="s">
        <v>240</v>
      </c>
      <c r="CD99" s="0" t="s">
        <v>240</v>
      </c>
      <c r="CE99" s="0" t="s">
        <v>240</v>
      </c>
      <c r="CF99" s="0" t="s">
        <v>240</v>
      </c>
      <c r="CG99" s="0" t="s">
        <v>5598</v>
      </c>
      <c r="CH99" s="0" t="s">
        <v>240</v>
      </c>
      <c r="CI99" s="0" t="s">
        <v>240</v>
      </c>
      <c r="CJ99" s="0" t="s">
        <v>240</v>
      </c>
      <c r="CK99" s="0" t="s">
        <v>240</v>
      </c>
      <c r="CL99" s="0" t="s">
        <v>240</v>
      </c>
      <c r="CM99" s="0" t="s">
        <v>6039</v>
      </c>
      <c r="CN99" s="0" t="s">
        <v>6039</v>
      </c>
      <c r="CO99" s="0" t="s">
        <v>240</v>
      </c>
      <c r="CP99" s="0" t="s">
        <v>240</v>
      </c>
      <c r="CQ99" s="0" t="s">
        <v>240</v>
      </c>
      <c r="CR99" s="0" t="s">
        <v>240</v>
      </c>
      <c r="CS99" s="0" t="s">
        <v>5507</v>
      </c>
      <c r="CT99" s="0" t="s">
        <v>5496</v>
      </c>
      <c r="CU99" s="0" t="s">
        <v>5497</v>
      </c>
      <c r="CV99" s="0" t="s">
        <v>443</v>
      </c>
      <c r="CW99" s="0" t="s">
        <v>5509</v>
      </c>
      <c r="CX99" s="0" t="s">
        <v>229</v>
      </c>
      <c r="CY99" s="0" t="s">
        <v>443</v>
      </c>
      <c r="CZ99" s="0" t="s">
        <v>5510</v>
      </c>
      <c r="DA99" s="0" t="s">
        <v>5511</v>
      </c>
      <c r="DB99" s="0" t="s">
        <v>5509</v>
      </c>
      <c r="DC99" s="0" t="s">
        <v>384</v>
      </c>
      <c r="DD99" s="0" t="s">
        <v>291</v>
      </c>
      <c r="DE99" s="0" t="s">
        <v>6040</v>
      </c>
    </row>
    <row customHeight="1" ht="11.25">
      <c r="A100" s="1441" t="s">
        <v>240</v>
      </c>
      <c r="B100" s="0" t="s">
        <v>240</v>
      </c>
      <c r="C100" s="0" t="s">
        <v>240</v>
      </c>
      <c r="D100" s="0" t="s">
        <v>240</v>
      </c>
      <c r="E100" s="0" t="s">
        <v>240</v>
      </c>
      <c r="F100" s="0" t="s">
        <v>240</v>
      </c>
      <c r="G100" s="0" t="s">
        <v>240</v>
      </c>
      <c r="H100" s="0" t="s">
        <v>240</v>
      </c>
      <c r="I100" s="0" t="s">
        <v>5484</v>
      </c>
      <c r="J100" s="0" t="s">
        <v>240</v>
      </c>
      <c r="K100" s="0" t="s">
        <v>240</v>
      </c>
      <c r="L100" s="0" t="s">
        <v>240</v>
      </c>
      <c r="M100" s="0" t="s">
        <v>240</v>
      </c>
      <c r="N100" s="0" t="s">
        <v>240</v>
      </c>
      <c r="O100" s="0" t="s">
        <v>240</v>
      </c>
      <c r="P100" s="0" t="s">
        <v>240</v>
      </c>
      <c r="Q100" s="0" t="s">
        <v>240</v>
      </c>
      <c r="R100" s="0" t="s">
        <v>6041</v>
      </c>
      <c r="S100" s="0" t="s">
        <v>240</v>
      </c>
      <c r="T100" s="0" t="s">
        <v>240</v>
      </c>
      <c r="U100" s="0" t="s">
        <v>102</v>
      </c>
      <c r="V100" s="0" t="s">
        <v>240</v>
      </c>
      <c r="W100" s="0" t="s">
        <v>240</v>
      </c>
      <c r="X100" s="0" t="s">
        <v>5585</v>
      </c>
      <c r="Y100" s="0" t="s">
        <v>240</v>
      </c>
      <c r="Z100" s="0" t="s">
        <v>152</v>
      </c>
      <c r="AA100" s="0" t="s">
        <v>152</v>
      </c>
      <c r="AB100" s="0" t="s">
        <v>161</v>
      </c>
      <c r="AC100" s="0" t="s">
        <v>2991</v>
      </c>
      <c r="AD100" s="0" t="s">
        <v>2991</v>
      </c>
      <c r="AE100" s="0" t="s">
        <v>2992</v>
      </c>
      <c r="AF100" s="0" t="s">
        <v>5727</v>
      </c>
      <c r="AG100" s="0" t="s">
        <v>5728</v>
      </c>
      <c r="AH100" s="0" t="s">
        <v>5575</v>
      </c>
      <c r="AI100" s="0" t="s">
        <v>5575</v>
      </c>
      <c r="AJ100" s="0" t="s">
        <v>240</v>
      </c>
      <c r="AK100" s="0" t="s">
        <v>240</v>
      </c>
      <c r="AL100" s="0" t="s">
        <v>240</v>
      </c>
      <c r="AM100" s="0" t="s">
        <v>240</v>
      </c>
      <c r="AN100" s="0" t="s">
        <v>240</v>
      </c>
      <c r="AO100" s="0" t="s">
        <v>240</v>
      </c>
      <c r="AP100" s="0" t="s">
        <v>240</v>
      </c>
      <c r="AQ100" s="0" t="s">
        <v>240</v>
      </c>
      <c r="AR100" s="0" t="s">
        <v>240</v>
      </c>
      <c r="AS100" s="0" t="s">
        <v>240</v>
      </c>
      <c r="AT100" s="0" t="s">
        <v>240</v>
      </c>
      <c r="AU100" s="0" t="s">
        <v>240</v>
      </c>
      <c r="AV100" s="0" t="s">
        <v>240</v>
      </c>
      <c r="AW100" s="0" t="s">
        <v>240</v>
      </c>
      <c r="AX100" s="0" t="s">
        <v>240</v>
      </c>
      <c r="AY100" s="0" t="s">
        <v>240</v>
      </c>
      <c r="AZ100" s="0" t="s">
        <v>240</v>
      </c>
      <c r="BA100" s="0" t="s">
        <v>240</v>
      </c>
      <c r="BB100" s="0" t="s">
        <v>240</v>
      </c>
      <c r="BC100" s="0" t="s">
        <v>240</v>
      </c>
      <c r="BD100" s="0" t="s">
        <v>240</v>
      </c>
      <c r="BE100" s="0" t="s">
        <v>5504</v>
      </c>
      <c r="BF100" s="0" t="s">
        <v>5544</v>
      </c>
      <c r="BG100" s="0" t="s">
        <v>112</v>
      </c>
      <c r="BH100" s="0" t="s">
        <v>5589</v>
      </c>
      <c r="BI100" s="0" t="s">
        <v>123</v>
      </c>
      <c r="BJ100" s="0" t="s">
        <v>240</v>
      </c>
      <c r="BK100" s="0" t="s">
        <v>5608</v>
      </c>
      <c r="BL100" s="0" t="s">
        <v>2991</v>
      </c>
      <c r="BM100" s="0" t="s">
        <v>2991</v>
      </c>
      <c r="BN100" s="0" t="s">
        <v>5663</v>
      </c>
      <c r="BO100" s="0" t="s">
        <v>5727</v>
      </c>
      <c r="BP100" s="0" t="s">
        <v>6042</v>
      </c>
      <c r="BQ100" s="0" t="s">
        <v>5575</v>
      </c>
      <c r="BR100" s="0" t="s">
        <v>5575</v>
      </c>
      <c r="BS100" s="0" t="s">
        <v>240</v>
      </c>
      <c r="BT100" s="0" t="s">
        <v>5650</v>
      </c>
      <c r="BU100" s="0" t="s">
        <v>6043</v>
      </c>
      <c r="BV100" s="0" t="s">
        <v>6043</v>
      </c>
      <c r="BW100" s="0" t="s">
        <v>5598</v>
      </c>
      <c r="BX100" s="0" t="s">
        <v>5598</v>
      </c>
      <c r="BY100" s="0" t="s">
        <v>5598</v>
      </c>
      <c r="BZ100" s="0" t="s">
        <v>5598</v>
      </c>
      <c r="CA100" s="0" t="s">
        <v>5598</v>
      </c>
      <c r="CB100" s="0" t="s">
        <v>240</v>
      </c>
      <c r="CC100" s="0" t="s">
        <v>240</v>
      </c>
      <c r="CD100" s="0" t="s">
        <v>240</v>
      </c>
      <c r="CE100" s="0" t="s">
        <v>240</v>
      </c>
      <c r="CF100" s="0" t="s">
        <v>240</v>
      </c>
      <c r="CG100" s="0" t="s">
        <v>5598</v>
      </c>
      <c r="CH100" s="0" t="s">
        <v>240</v>
      </c>
      <c r="CI100" s="0" t="s">
        <v>240</v>
      </c>
      <c r="CJ100" s="0" t="s">
        <v>240</v>
      </c>
      <c r="CK100" s="0" t="s">
        <v>240</v>
      </c>
      <c r="CL100" s="0" t="s">
        <v>240</v>
      </c>
      <c r="CM100" s="0" t="s">
        <v>6043</v>
      </c>
      <c r="CN100" s="0" t="s">
        <v>6043</v>
      </c>
      <c r="CO100" s="0" t="s">
        <v>240</v>
      </c>
      <c r="CP100" s="0" t="s">
        <v>240</v>
      </c>
      <c r="CQ100" s="0" t="s">
        <v>240</v>
      </c>
      <c r="CR100" s="0" t="s">
        <v>240</v>
      </c>
      <c r="CS100" s="0" t="s">
        <v>5666</v>
      </c>
      <c r="CT100" s="0" t="s">
        <v>5496</v>
      </c>
      <c r="CU100" s="0" t="s">
        <v>5497</v>
      </c>
      <c r="CV100" s="0" t="s">
        <v>443</v>
      </c>
      <c r="CW100" s="0" t="s">
        <v>5547</v>
      </c>
      <c r="CX100" s="0" t="s">
        <v>229</v>
      </c>
      <c r="CY100" s="0" t="s">
        <v>443</v>
      </c>
      <c r="CZ100" s="0" t="s">
        <v>5548</v>
      </c>
      <c r="DA100" s="0" t="s">
        <v>5549</v>
      </c>
      <c r="DB100" s="0" t="s">
        <v>5547</v>
      </c>
      <c r="DC100" s="0" t="s">
        <v>384</v>
      </c>
      <c r="DD100" s="0" t="s">
        <v>291</v>
      </c>
      <c r="DE100" s="0" t="s">
        <v>6044</v>
      </c>
    </row>
    <row customHeight="1" ht="11.25">
      <c r="A101" s="1441" t="s">
        <v>240</v>
      </c>
      <c r="B101" s="0" t="s">
        <v>240</v>
      </c>
      <c r="C101" s="0" t="s">
        <v>240</v>
      </c>
      <c r="D101" s="0" t="s">
        <v>240</v>
      </c>
      <c r="E101" s="0" t="s">
        <v>240</v>
      </c>
      <c r="F101" s="0" t="s">
        <v>240</v>
      </c>
      <c r="G101" s="0" t="s">
        <v>240</v>
      </c>
      <c r="H101" s="0" t="s">
        <v>240</v>
      </c>
      <c r="I101" s="0" t="s">
        <v>5484</v>
      </c>
      <c r="J101" s="0" t="s">
        <v>240</v>
      </c>
      <c r="K101" s="0" t="s">
        <v>240</v>
      </c>
      <c r="L101" s="0" t="s">
        <v>240</v>
      </c>
      <c r="M101" s="0" t="s">
        <v>240</v>
      </c>
      <c r="N101" s="0" t="s">
        <v>240</v>
      </c>
      <c r="O101" s="0" t="s">
        <v>240</v>
      </c>
      <c r="P101" s="0" t="s">
        <v>240</v>
      </c>
      <c r="Q101" s="0" t="s">
        <v>240</v>
      </c>
      <c r="R101" s="0" t="s">
        <v>6045</v>
      </c>
      <c r="S101" s="0" t="s">
        <v>240</v>
      </c>
      <c r="T101" s="0" t="s">
        <v>240</v>
      </c>
      <c r="U101" s="0" t="s">
        <v>102</v>
      </c>
      <c r="V101" s="0" t="s">
        <v>240</v>
      </c>
      <c r="W101" s="0" t="s">
        <v>240</v>
      </c>
      <c r="X101" s="0" t="s">
        <v>5485</v>
      </c>
      <c r="Y101" s="0" t="s">
        <v>240</v>
      </c>
      <c r="Z101" s="0" t="s">
        <v>161</v>
      </c>
      <c r="AA101" s="0" t="s">
        <v>152</v>
      </c>
      <c r="AB101" s="0" t="s">
        <v>152</v>
      </c>
      <c r="AC101" s="0" t="s">
        <v>3389</v>
      </c>
      <c r="AD101" s="0" t="s">
        <v>3389</v>
      </c>
      <c r="AE101" s="0" t="s">
        <v>3390</v>
      </c>
      <c r="AF101" s="0" t="s">
        <v>5519</v>
      </c>
      <c r="AG101" s="0" t="s">
        <v>5520</v>
      </c>
      <c r="AH101" s="0" t="s">
        <v>5566</v>
      </c>
      <c r="AI101" s="0" t="s">
        <v>5567</v>
      </c>
      <c r="AJ101" s="0" t="s">
        <v>6046</v>
      </c>
      <c r="AK101" s="0" t="s">
        <v>6047</v>
      </c>
      <c r="AL101" s="0" t="s">
        <v>5605</v>
      </c>
      <c r="AM101" s="0" t="s">
        <v>5493</v>
      </c>
      <c r="AN101" s="0" t="s">
        <v>6048</v>
      </c>
      <c r="AO101" s="0" t="s">
        <v>6049</v>
      </c>
      <c r="AP101" s="0" t="s">
        <v>240</v>
      </c>
      <c r="AQ101" s="0" t="s">
        <v>240</v>
      </c>
      <c r="AR101" s="0" t="s">
        <v>240</v>
      </c>
      <c r="AS101" s="0" t="s">
        <v>240</v>
      </c>
      <c r="AT101" s="0" t="s">
        <v>240</v>
      </c>
      <c r="AU101" s="0" t="s">
        <v>240</v>
      </c>
      <c r="AV101" s="0" t="s">
        <v>240</v>
      </c>
      <c r="AW101" s="0" t="s">
        <v>240</v>
      </c>
      <c r="AX101" s="0" t="s">
        <v>240</v>
      </c>
      <c r="AY101" s="0" t="s">
        <v>240</v>
      </c>
      <c r="AZ101" s="0" t="s">
        <v>240</v>
      </c>
      <c r="BA101" s="0" t="s">
        <v>240</v>
      </c>
      <c r="BB101" s="0" t="s">
        <v>240</v>
      </c>
      <c r="BC101" s="0" t="s">
        <v>240</v>
      </c>
      <c r="BD101" s="0" t="s">
        <v>240</v>
      </c>
      <c r="BE101" s="0" t="s">
        <v>240</v>
      </c>
      <c r="BF101" s="0" t="s">
        <v>240</v>
      </c>
      <c r="BG101" s="0" t="s">
        <v>240</v>
      </c>
      <c r="BH101" s="0" t="s">
        <v>240</v>
      </c>
      <c r="BI101" s="0" t="s">
        <v>240</v>
      </c>
      <c r="BJ101" s="0" t="s">
        <v>240</v>
      </c>
      <c r="BK101" s="0" t="s">
        <v>240</v>
      </c>
      <c r="BL101" s="0" t="s">
        <v>240</v>
      </c>
      <c r="BM101" s="0" t="s">
        <v>240</v>
      </c>
      <c r="BN101" s="0" t="s">
        <v>240</v>
      </c>
      <c r="BO101" s="0" t="s">
        <v>240</v>
      </c>
      <c r="BP101" s="0" t="s">
        <v>240</v>
      </c>
      <c r="BQ101" s="0" t="s">
        <v>240</v>
      </c>
      <c r="BR101" s="0" t="s">
        <v>240</v>
      </c>
      <c r="BS101" s="0" t="s">
        <v>240</v>
      </c>
      <c r="BT101" s="0" t="s">
        <v>240</v>
      </c>
      <c r="BU101" s="0" t="s">
        <v>240</v>
      </c>
      <c r="BV101" s="0" t="s">
        <v>240</v>
      </c>
      <c r="BW101" s="0" t="s">
        <v>240</v>
      </c>
      <c r="BX101" s="0" t="s">
        <v>240</v>
      </c>
      <c r="BY101" s="0" t="s">
        <v>240</v>
      </c>
      <c r="BZ101" s="0" t="s">
        <v>240</v>
      </c>
      <c r="CA101" s="0" t="s">
        <v>240</v>
      </c>
      <c r="CB101" s="0" t="s">
        <v>240</v>
      </c>
      <c r="CC101" s="0" t="s">
        <v>240</v>
      </c>
      <c r="CD101" s="0" t="s">
        <v>240</v>
      </c>
      <c r="CE101" s="0" t="s">
        <v>240</v>
      </c>
      <c r="CF101" s="0" t="s">
        <v>240</v>
      </c>
      <c r="CG101" s="0" t="s">
        <v>240</v>
      </c>
      <c r="CH101" s="0" t="s">
        <v>240</v>
      </c>
      <c r="CI101" s="0" t="s">
        <v>240</v>
      </c>
      <c r="CJ101" s="0" t="s">
        <v>240</v>
      </c>
      <c r="CK101" s="0" t="s">
        <v>240</v>
      </c>
      <c r="CL101" s="0" t="s">
        <v>240</v>
      </c>
      <c r="CM101" s="0" t="s">
        <v>240</v>
      </c>
      <c r="CN101" s="0" t="s">
        <v>240</v>
      </c>
      <c r="CO101" s="0" t="s">
        <v>240</v>
      </c>
      <c r="CP101" s="0" t="s">
        <v>240</v>
      </c>
      <c r="CQ101" s="0" t="s">
        <v>240</v>
      </c>
      <c r="CR101" s="0" t="s">
        <v>240</v>
      </c>
      <c r="CS101" s="0" t="s">
        <v>240</v>
      </c>
      <c r="CT101" s="0" t="s">
        <v>5496</v>
      </c>
      <c r="CU101" s="0" t="s">
        <v>5497</v>
      </c>
      <c r="CV101" s="0" t="s">
        <v>443</v>
      </c>
      <c r="CW101" s="0" t="s">
        <v>5527</v>
      </c>
      <c r="CX101" s="0" t="s">
        <v>5528</v>
      </c>
      <c r="CY101" s="0" t="s">
        <v>443</v>
      </c>
      <c r="CZ101" s="0" t="s">
        <v>299</v>
      </c>
      <c r="DA101" s="0" t="s">
        <v>5529</v>
      </c>
      <c r="DB101" s="0" t="s">
        <v>5527</v>
      </c>
      <c r="DC101" s="0" t="s">
        <v>384</v>
      </c>
      <c r="DD101" s="0" t="s">
        <v>291</v>
      </c>
      <c r="DE101" s="0" t="s">
        <v>5571</v>
      </c>
    </row>
    <row customHeight="1" ht="11.25">
      <c r="A102" s="1441" t="s">
        <v>240</v>
      </c>
      <c r="B102" s="0" t="s">
        <v>240</v>
      </c>
      <c r="C102" s="0" t="s">
        <v>240</v>
      </c>
      <c r="D102" s="0" t="s">
        <v>240</v>
      </c>
      <c r="E102" s="0" t="s">
        <v>240</v>
      </c>
      <c r="F102" s="0" t="s">
        <v>240</v>
      </c>
      <c r="G102" s="0" t="s">
        <v>240</v>
      </c>
      <c r="H102" s="0" t="s">
        <v>240</v>
      </c>
      <c r="I102" s="0" t="s">
        <v>5484</v>
      </c>
      <c r="J102" s="0" t="s">
        <v>240</v>
      </c>
      <c r="K102" s="0" t="s">
        <v>240</v>
      </c>
      <c r="L102" s="0" t="s">
        <v>240</v>
      </c>
      <c r="M102" s="0" t="s">
        <v>240</v>
      </c>
      <c r="N102" s="0" t="s">
        <v>240</v>
      </c>
      <c r="O102" s="0" t="s">
        <v>240</v>
      </c>
      <c r="P102" s="0" t="s">
        <v>240</v>
      </c>
      <c r="Q102" s="0" t="s">
        <v>240</v>
      </c>
      <c r="R102" s="0" t="s">
        <v>5572</v>
      </c>
      <c r="S102" s="0" t="s">
        <v>240</v>
      </c>
      <c r="T102" s="0" t="s">
        <v>240</v>
      </c>
      <c r="U102" s="0" t="s">
        <v>102</v>
      </c>
      <c r="V102" s="0" t="s">
        <v>240</v>
      </c>
      <c r="W102" s="0" t="s">
        <v>240</v>
      </c>
      <c r="X102" s="0" t="s">
        <v>5485</v>
      </c>
      <c r="Y102" s="0" t="s">
        <v>240</v>
      </c>
      <c r="Z102" s="0" t="s">
        <v>161</v>
      </c>
      <c r="AA102" s="0" t="s">
        <v>152</v>
      </c>
      <c r="AB102" s="0" t="s">
        <v>152</v>
      </c>
      <c r="AC102" s="0" t="s">
        <v>2991</v>
      </c>
      <c r="AD102" s="0" t="s">
        <v>2991</v>
      </c>
      <c r="AE102" s="0" t="s">
        <v>2992</v>
      </c>
      <c r="AF102" s="0" t="s">
        <v>6050</v>
      </c>
      <c r="AG102" s="0" t="s">
        <v>6051</v>
      </c>
      <c r="AH102" s="0" t="s">
        <v>6052</v>
      </c>
      <c r="AI102" s="0" t="s">
        <v>6053</v>
      </c>
      <c r="AJ102" s="0" t="s">
        <v>5552</v>
      </c>
      <c r="AK102" s="0" t="s">
        <v>5672</v>
      </c>
      <c r="AL102" s="0" t="s">
        <v>5506</v>
      </c>
      <c r="AM102" s="0" t="s">
        <v>5493</v>
      </c>
      <c r="AN102" s="0" t="s">
        <v>5553</v>
      </c>
      <c r="AO102" s="0" t="s">
        <v>5752</v>
      </c>
      <c r="AP102" s="0" t="s">
        <v>240</v>
      </c>
      <c r="AQ102" s="0" t="s">
        <v>240</v>
      </c>
      <c r="AR102" s="0" t="s">
        <v>240</v>
      </c>
      <c r="AS102" s="0" t="s">
        <v>240</v>
      </c>
      <c r="AT102" s="0" t="s">
        <v>240</v>
      </c>
      <c r="AU102" s="0" t="s">
        <v>240</v>
      </c>
      <c r="AV102" s="0" t="s">
        <v>240</v>
      </c>
      <c r="AW102" s="0" t="s">
        <v>240</v>
      </c>
      <c r="AX102" s="0" t="s">
        <v>240</v>
      </c>
      <c r="AY102" s="0" t="s">
        <v>240</v>
      </c>
      <c r="AZ102" s="0" t="s">
        <v>240</v>
      </c>
      <c r="BA102" s="0" t="s">
        <v>240</v>
      </c>
      <c r="BB102" s="0" t="s">
        <v>240</v>
      </c>
      <c r="BC102" s="0" t="s">
        <v>240</v>
      </c>
      <c r="BD102" s="0" t="s">
        <v>240</v>
      </c>
      <c r="BE102" s="0" t="s">
        <v>240</v>
      </c>
      <c r="BF102" s="0" t="s">
        <v>240</v>
      </c>
      <c r="BG102" s="0" t="s">
        <v>240</v>
      </c>
      <c r="BH102" s="0" t="s">
        <v>240</v>
      </c>
      <c r="BI102" s="0" t="s">
        <v>240</v>
      </c>
      <c r="BJ102" s="0" t="s">
        <v>240</v>
      </c>
      <c r="BK102" s="0" t="s">
        <v>240</v>
      </c>
      <c r="BL102" s="0" t="s">
        <v>240</v>
      </c>
      <c r="BM102" s="0" t="s">
        <v>240</v>
      </c>
      <c r="BN102" s="0" t="s">
        <v>240</v>
      </c>
      <c r="BO102" s="0" t="s">
        <v>240</v>
      </c>
      <c r="BP102" s="0" t="s">
        <v>240</v>
      </c>
      <c r="BQ102" s="0" t="s">
        <v>240</v>
      </c>
      <c r="BR102" s="0" t="s">
        <v>240</v>
      </c>
      <c r="BS102" s="0" t="s">
        <v>240</v>
      </c>
      <c r="BT102" s="0" t="s">
        <v>240</v>
      </c>
      <c r="BU102" s="0" t="s">
        <v>240</v>
      </c>
      <c r="BV102" s="0" t="s">
        <v>240</v>
      </c>
      <c r="BW102" s="0" t="s">
        <v>240</v>
      </c>
      <c r="BX102" s="0" t="s">
        <v>240</v>
      </c>
      <c r="BY102" s="0" t="s">
        <v>240</v>
      </c>
      <c r="BZ102" s="0" t="s">
        <v>240</v>
      </c>
      <c r="CA102" s="0" t="s">
        <v>240</v>
      </c>
      <c r="CB102" s="0" t="s">
        <v>240</v>
      </c>
      <c r="CC102" s="0" t="s">
        <v>240</v>
      </c>
      <c r="CD102" s="0" t="s">
        <v>240</v>
      </c>
      <c r="CE102" s="0" t="s">
        <v>240</v>
      </c>
      <c r="CF102" s="0" t="s">
        <v>240</v>
      </c>
      <c r="CG102" s="0" t="s">
        <v>240</v>
      </c>
      <c r="CH102" s="0" t="s">
        <v>240</v>
      </c>
      <c r="CI102" s="0" t="s">
        <v>240</v>
      </c>
      <c r="CJ102" s="0" t="s">
        <v>240</v>
      </c>
      <c r="CK102" s="0" t="s">
        <v>240</v>
      </c>
      <c r="CL102" s="0" t="s">
        <v>240</v>
      </c>
      <c r="CM102" s="0" t="s">
        <v>240</v>
      </c>
      <c r="CN102" s="0" t="s">
        <v>240</v>
      </c>
      <c r="CO102" s="0" t="s">
        <v>240</v>
      </c>
      <c r="CP102" s="0" t="s">
        <v>240</v>
      </c>
      <c r="CQ102" s="0" t="s">
        <v>240</v>
      </c>
      <c r="CR102" s="0" t="s">
        <v>240</v>
      </c>
      <c r="CS102" s="0" t="s">
        <v>240</v>
      </c>
      <c r="CT102" s="0" t="s">
        <v>5496</v>
      </c>
      <c r="CU102" s="0" t="s">
        <v>5497</v>
      </c>
      <c r="CV102" s="0" t="s">
        <v>443</v>
      </c>
      <c r="CW102" s="0" t="s">
        <v>5547</v>
      </c>
      <c r="CX102" s="0" t="s">
        <v>229</v>
      </c>
      <c r="CY102" s="0" t="s">
        <v>443</v>
      </c>
      <c r="CZ102" s="0" t="s">
        <v>5548</v>
      </c>
      <c r="DA102" s="0" t="s">
        <v>5549</v>
      </c>
      <c r="DB102" s="0" t="s">
        <v>5547</v>
      </c>
      <c r="DC102" s="0" t="s">
        <v>384</v>
      </c>
      <c r="DD102" s="0" t="s">
        <v>291</v>
      </c>
      <c r="DE102" s="0" t="s">
        <v>6054</v>
      </c>
    </row>
    <row customHeight="1" ht="11.25">
      <c r="A103" s="1441" t="s">
        <v>240</v>
      </c>
      <c r="B103" s="0" t="s">
        <v>240</v>
      </c>
      <c r="C103" s="0" t="s">
        <v>240</v>
      </c>
      <c r="D103" s="0" t="s">
        <v>240</v>
      </c>
      <c r="E103" s="0" t="s">
        <v>240</v>
      </c>
      <c r="F103" s="0" t="s">
        <v>240</v>
      </c>
      <c r="G103" s="0" t="s">
        <v>240</v>
      </c>
      <c r="H103" s="0" t="s">
        <v>240</v>
      </c>
      <c r="I103" s="0" t="s">
        <v>5484</v>
      </c>
      <c r="J103" s="0" t="s">
        <v>240</v>
      </c>
      <c r="K103" s="0" t="s">
        <v>240</v>
      </c>
      <c r="L103" s="0" t="s">
        <v>240</v>
      </c>
      <c r="M103" s="0" t="s">
        <v>240</v>
      </c>
      <c r="N103" s="0" t="s">
        <v>240</v>
      </c>
      <c r="O103" s="0" t="s">
        <v>240</v>
      </c>
      <c r="P103" s="0" t="s">
        <v>240</v>
      </c>
      <c r="Q103" s="0" t="s">
        <v>240</v>
      </c>
      <c r="R103" s="0" t="s">
        <v>6055</v>
      </c>
      <c r="S103" s="0" t="s">
        <v>240</v>
      </c>
      <c r="T103" s="0" t="s">
        <v>240</v>
      </c>
      <c r="U103" s="0" t="s">
        <v>102</v>
      </c>
      <c r="V103" s="0" t="s">
        <v>240</v>
      </c>
      <c r="W103" s="0" t="s">
        <v>240</v>
      </c>
      <c r="X103" s="0" t="s">
        <v>5585</v>
      </c>
      <c r="Y103" s="0" t="s">
        <v>240</v>
      </c>
      <c r="Z103" s="0" t="s">
        <v>152</v>
      </c>
      <c r="AA103" s="0" t="s">
        <v>152</v>
      </c>
      <c r="AB103" s="0" t="s">
        <v>161</v>
      </c>
      <c r="AC103" s="0" t="s">
        <v>2991</v>
      </c>
      <c r="AD103" s="0" t="s">
        <v>2991</v>
      </c>
      <c r="AE103" s="0" t="s">
        <v>2992</v>
      </c>
      <c r="AF103" s="0" t="s">
        <v>6050</v>
      </c>
      <c r="AG103" s="0" t="s">
        <v>6051</v>
      </c>
      <c r="AH103" s="0" t="s">
        <v>5575</v>
      </c>
      <c r="AI103" s="0" t="s">
        <v>5575</v>
      </c>
      <c r="AJ103" s="0" t="s">
        <v>240</v>
      </c>
      <c r="AK103" s="0" t="s">
        <v>240</v>
      </c>
      <c r="AL103" s="0" t="s">
        <v>240</v>
      </c>
      <c r="AM103" s="0" t="s">
        <v>240</v>
      </c>
      <c r="AN103" s="0" t="s">
        <v>240</v>
      </c>
      <c r="AO103" s="0" t="s">
        <v>240</v>
      </c>
      <c r="AP103" s="0" t="s">
        <v>240</v>
      </c>
      <c r="AQ103" s="0" t="s">
        <v>240</v>
      </c>
      <c r="AR103" s="0" t="s">
        <v>240</v>
      </c>
      <c r="AS103" s="0" t="s">
        <v>240</v>
      </c>
      <c r="AT103" s="0" t="s">
        <v>240</v>
      </c>
      <c r="AU103" s="0" t="s">
        <v>240</v>
      </c>
      <c r="AV103" s="0" t="s">
        <v>240</v>
      </c>
      <c r="AW103" s="0" t="s">
        <v>240</v>
      </c>
      <c r="AX103" s="0" t="s">
        <v>240</v>
      </c>
      <c r="AY103" s="0" t="s">
        <v>240</v>
      </c>
      <c r="AZ103" s="0" t="s">
        <v>240</v>
      </c>
      <c r="BA103" s="0" t="s">
        <v>240</v>
      </c>
      <c r="BB103" s="0" t="s">
        <v>240</v>
      </c>
      <c r="BC103" s="0" t="s">
        <v>240</v>
      </c>
      <c r="BD103" s="0" t="s">
        <v>240</v>
      </c>
      <c r="BE103" s="0" t="s">
        <v>5552</v>
      </c>
      <c r="BF103" s="0" t="s">
        <v>5672</v>
      </c>
      <c r="BG103" s="0" t="s">
        <v>112</v>
      </c>
      <c r="BH103" s="0" t="s">
        <v>5589</v>
      </c>
      <c r="BI103" s="0" t="s">
        <v>123</v>
      </c>
      <c r="BJ103" s="0" t="s">
        <v>240</v>
      </c>
      <c r="BK103" s="0" t="s">
        <v>5608</v>
      </c>
      <c r="BL103" s="0" t="s">
        <v>2991</v>
      </c>
      <c r="BM103" s="0" t="s">
        <v>2991</v>
      </c>
      <c r="BN103" s="0" t="s">
        <v>5663</v>
      </c>
      <c r="BO103" s="0" t="s">
        <v>6050</v>
      </c>
      <c r="BP103" s="0" t="s">
        <v>6056</v>
      </c>
      <c r="BQ103" s="0" t="s">
        <v>5575</v>
      </c>
      <c r="BR103" s="0" t="s">
        <v>5575</v>
      </c>
      <c r="BS103" s="0" t="s">
        <v>240</v>
      </c>
      <c r="BT103" s="0" t="s">
        <v>5650</v>
      </c>
      <c r="BU103" s="0" t="s">
        <v>6057</v>
      </c>
      <c r="BV103" s="0" t="s">
        <v>6057</v>
      </c>
      <c r="BW103" s="0" t="s">
        <v>5598</v>
      </c>
      <c r="BX103" s="0" t="s">
        <v>5598</v>
      </c>
      <c r="BY103" s="0" t="s">
        <v>5598</v>
      </c>
      <c r="BZ103" s="0" t="s">
        <v>5598</v>
      </c>
      <c r="CA103" s="0" t="s">
        <v>5598</v>
      </c>
      <c r="CB103" s="0" t="s">
        <v>240</v>
      </c>
      <c r="CC103" s="0" t="s">
        <v>240</v>
      </c>
      <c r="CD103" s="0" t="s">
        <v>240</v>
      </c>
      <c r="CE103" s="0" t="s">
        <v>240</v>
      </c>
      <c r="CF103" s="0" t="s">
        <v>240</v>
      </c>
      <c r="CG103" s="0" t="s">
        <v>5598</v>
      </c>
      <c r="CH103" s="0" t="s">
        <v>240</v>
      </c>
      <c r="CI103" s="0" t="s">
        <v>240</v>
      </c>
      <c r="CJ103" s="0" t="s">
        <v>240</v>
      </c>
      <c r="CK103" s="0" t="s">
        <v>240</v>
      </c>
      <c r="CL103" s="0" t="s">
        <v>240</v>
      </c>
      <c r="CM103" s="0" t="s">
        <v>6057</v>
      </c>
      <c r="CN103" s="0" t="s">
        <v>6057</v>
      </c>
      <c r="CO103" s="0" t="s">
        <v>240</v>
      </c>
      <c r="CP103" s="0" t="s">
        <v>240</v>
      </c>
      <c r="CQ103" s="0" t="s">
        <v>240</v>
      </c>
      <c r="CR103" s="0" t="s">
        <v>240</v>
      </c>
      <c r="CS103" s="0" t="s">
        <v>5666</v>
      </c>
      <c r="CT103" s="0" t="s">
        <v>5496</v>
      </c>
      <c r="CU103" s="0" t="s">
        <v>5497</v>
      </c>
      <c r="CV103" s="0" t="s">
        <v>443</v>
      </c>
      <c r="CW103" s="0" t="s">
        <v>5547</v>
      </c>
      <c r="CX103" s="0" t="s">
        <v>229</v>
      </c>
      <c r="CY103" s="0" t="s">
        <v>443</v>
      </c>
      <c r="CZ103" s="0" t="s">
        <v>5548</v>
      </c>
      <c r="DA103" s="0" t="s">
        <v>5549</v>
      </c>
      <c r="DB103" s="0" t="s">
        <v>5547</v>
      </c>
      <c r="DC103" s="0" t="s">
        <v>384</v>
      </c>
      <c r="DD103" s="0" t="s">
        <v>291</v>
      </c>
      <c r="DE103" s="0" t="s">
        <v>6058</v>
      </c>
    </row>
    <row customHeight="1" ht="11.25">
      <c r="A104" s="1441" t="s">
        <v>240</v>
      </c>
      <c r="B104" s="0" t="s">
        <v>240</v>
      </c>
      <c r="C104" s="0" t="s">
        <v>240</v>
      </c>
      <c r="D104" s="0" t="s">
        <v>240</v>
      </c>
      <c r="E104" s="0" t="s">
        <v>240</v>
      </c>
      <c r="F104" s="0" t="s">
        <v>240</v>
      </c>
      <c r="G104" s="0" t="s">
        <v>240</v>
      </c>
      <c r="H104" s="0" t="s">
        <v>240</v>
      </c>
      <c r="I104" s="0" t="s">
        <v>5484</v>
      </c>
      <c r="J104" s="0" t="s">
        <v>240</v>
      </c>
      <c r="K104" s="0" t="s">
        <v>240</v>
      </c>
      <c r="L104" s="0" t="s">
        <v>240</v>
      </c>
      <c r="M104" s="0" t="s">
        <v>240</v>
      </c>
      <c r="N104" s="0" t="s">
        <v>240</v>
      </c>
      <c r="O104" s="0" t="s">
        <v>240</v>
      </c>
      <c r="P104" s="0" t="s">
        <v>240</v>
      </c>
      <c r="Q104" s="0" t="s">
        <v>240</v>
      </c>
      <c r="R104" s="0" t="s">
        <v>6059</v>
      </c>
      <c r="S104" s="0" t="s">
        <v>240</v>
      </c>
      <c r="T104" s="0" t="s">
        <v>240</v>
      </c>
      <c r="U104" s="0" t="s">
        <v>102</v>
      </c>
      <c r="V104" s="0" t="s">
        <v>240</v>
      </c>
      <c r="W104" s="0" t="s">
        <v>240</v>
      </c>
      <c r="X104" s="0" t="s">
        <v>5485</v>
      </c>
      <c r="Y104" s="0" t="s">
        <v>240</v>
      </c>
      <c r="Z104" s="0" t="s">
        <v>161</v>
      </c>
      <c r="AA104" s="0" t="s">
        <v>152</v>
      </c>
      <c r="AB104" s="0" t="s">
        <v>152</v>
      </c>
      <c r="AC104" s="0" t="s">
        <v>3389</v>
      </c>
      <c r="AD104" s="0" t="s">
        <v>3389</v>
      </c>
      <c r="AE104" s="0" t="s">
        <v>3390</v>
      </c>
      <c r="AF104" s="0" t="s">
        <v>5519</v>
      </c>
      <c r="AG104" s="0" t="s">
        <v>5520</v>
      </c>
      <c r="AH104" s="0" t="s">
        <v>5997</v>
      </c>
      <c r="AI104" s="0" t="s">
        <v>5533</v>
      </c>
      <c r="AJ104" s="0" t="s">
        <v>6060</v>
      </c>
      <c r="AK104" s="0" t="s">
        <v>5998</v>
      </c>
      <c r="AL104" s="0" t="s">
        <v>5605</v>
      </c>
      <c r="AM104" s="0" t="s">
        <v>5493</v>
      </c>
      <c r="AN104" s="0" t="s">
        <v>5578</v>
      </c>
      <c r="AO104" s="0" t="s">
        <v>6061</v>
      </c>
      <c r="AP104" s="0" t="s">
        <v>240</v>
      </c>
      <c r="AQ104" s="0" t="s">
        <v>240</v>
      </c>
      <c r="AR104" s="0" t="s">
        <v>240</v>
      </c>
      <c r="AS104" s="0" t="s">
        <v>240</v>
      </c>
      <c r="AT104" s="0" t="s">
        <v>240</v>
      </c>
      <c r="AU104" s="0" t="s">
        <v>240</v>
      </c>
      <c r="AV104" s="0" t="s">
        <v>240</v>
      </c>
      <c r="AW104" s="0" t="s">
        <v>240</v>
      </c>
      <c r="AX104" s="0" t="s">
        <v>240</v>
      </c>
      <c r="AY104" s="0" t="s">
        <v>240</v>
      </c>
      <c r="AZ104" s="0" t="s">
        <v>240</v>
      </c>
      <c r="BA104" s="0" t="s">
        <v>240</v>
      </c>
      <c r="BB104" s="0" t="s">
        <v>240</v>
      </c>
      <c r="BC104" s="0" t="s">
        <v>240</v>
      </c>
      <c r="BD104" s="0" t="s">
        <v>240</v>
      </c>
      <c r="BE104" s="0" t="s">
        <v>240</v>
      </c>
      <c r="BF104" s="0" t="s">
        <v>240</v>
      </c>
      <c r="BG104" s="0" t="s">
        <v>240</v>
      </c>
      <c r="BH104" s="0" t="s">
        <v>240</v>
      </c>
      <c r="BI104" s="0" t="s">
        <v>240</v>
      </c>
      <c r="BJ104" s="0" t="s">
        <v>240</v>
      </c>
      <c r="BK104" s="0" t="s">
        <v>240</v>
      </c>
      <c r="BL104" s="0" t="s">
        <v>240</v>
      </c>
      <c r="BM104" s="0" t="s">
        <v>240</v>
      </c>
      <c r="BN104" s="0" t="s">
        <v>240</v>
      </c>
      <c r="BO104" s="0" t="s">
        <v>240</v>
      </c>
      <c r="BP104" s="0" t="s">
        <v>240</v>
      </c>
      <c r="BQ104" s="0" t="s">
        <v>240</v>
      </c>
      <c r="BR104" s="0" t="s">
        <v>240</v>
      </c>
      <c r="BS104" s="0" t="s">
        <v>240</v>
      </c>
      <c r="BT104" s="0" t="s">
        <v>240</v>
      </c>
      <c r="BU104" s="0" t="s">
        <v>240</v>
      </c>
      <c r="BV104" s="0" t="s">
        <v>240</v>
      </c>
      <c r="BW104" s="0" t="s">
        <v>240</v>
      </c>
      <c r="BX104" s="0" t="s">
        <v>240</v>
      </c>
      <c r="BY104" s="0" t="s">
        <v>240</v>
      </c>
      <c r="BZ104" s="0" t="s">
        <v>240</v>
      </c>
      <c r="CA104" s="0" t="s">
        <v>240</v>
      </c>
      <c r="CB104" s="0" t="s">
        <v>240</v>
      </c>
      <c r="CC104" s="0" t="s">
        <v>240</v>
      </c>
      <c r="CD104" s="0" t="s">
        <v>240</v>
      </c>
      <c r="CE104" s="0" t="s">
        <v>240</v>
      </c>
      <c r="CF104" s="0" t="s">
        <v>240</v>
      </c>
      <c r="CG104" s="0" t="s">
        <v>240</v>
      </c>
      <c r="CH104" s="0" t="s">
        <v>240</v>
      </c>
      <c r="CI104" s="0" t="s">
        <v>240</v>
      </c>
      <c r="CJ104" s="0" t="s">
        <v>240</v>
      </c>
      <c r="CK104" s="0" t="s">
        <v>240</v>
      </c>
      <c r="CL104" s="0" t="s">
        <v>240</v>
      </c>
      <c r="CM104" s="0" t="s">
        <v>240</v>
      </c>
      <c r="CN104" s="0" t="s">
        <v>240</v>
      </c>
      <c r="CO104" s="0" t="s">
        <v>240</v>
      </c>
      <c r="CP104" s="0" t="s">
        <v>240</v>
      </c>
      <c r="CQ104" s="0" t="s">
        <v>240</v>
      </c>
      <c r="CR104" s="0" t="s">
        <v>240</v>
      </c>
      <c r="CS104" s="0" t="s">
        <v>240</v>
      </c>
      <c r="CT104" s="0" t="s">
        <v>5496</v>
      </c>
      <c r="CU104" s="0" t="s">
        <v>5497</v>
      </c>
      <c r="CV104" s="0" t="s">
        <v>443</v>
      </c>
      <c r="CW104" s="0" t="s">
        <v>5527</v>
      </c>
      <c r="CX104" s="0" t="s">
        <v>5528</v>
      </c>
      <c r="CY104" s="0" t="s">
        <v>443</v>
      </c>
      <c r="CZ104" s="0" t="s">
        <v>299</v>
      </c>
      <c r="DA104" s="0" t="s">
        <v>5529</v>
      </c>
      <c r="DB104" s="0" t="s">
        <v>5527</v>
      </c>
      <c r="DC104" s="0" t="s">
        <v>384</v>
      </c>
      <c r="DD104" s="0" t="s">
        <v>291</v>
      </c>
      <c r="DE104" s="0" t="s">
        <v>6000</v>
      </c>
    </row>
    <row customHeight="1" ht="11.25">
      <c r="A105" s="1441" t="s">
        <v>240</v>
      </c>
      <c r="B105" s="0" t="s">
        <v>240</v>
      </c>
      <c r="C105" s="0" t="s">
        <v>240</v>
      </c>
      <c r="D105" s="0" t="s">
        <v>240</v>
      </c>
      <c r="E105" s="0" t="s">
        <v>240</v>
      </c>
      <c r="F105" s="0" t="s">
        <v>240</v>
      </c>
      <c r="G105" s="0" t="s">
        <v>240</v>
      </c>
      <c r="H105" s="0" t="s">
        <v>240</v>
      </c>
      <c r="I105" s="0" t="s">
        <v>5484</v>
      </c>
      <c r="J105" s="0" t="s">
        <v>240</v>
      </c>
      <c r="K105" s="0" t="s">
        <v>240</v>
      </c>
      <c r="L105" s="0" t="s">
        <v>240</v>
      </c>
      <c r="M105" s="0" t="s">
        <v>240</v>
      </c>
      <c r="N105" s="0" t="s">
        <v>240</v>
      </c>
      <c r="O105" s="0" t="s">
        <v>240</v>
      </c>
      <c r="P105" s="0" t="s">
        <v>240</v>
      </c>
      <c r="Q105" s="0" t="s">
        <v>240</v>
      </c>
      <c r="R105" s="0" t="s">
        <v>6062</v>
      </c>
      <c r="S105" s="0" t="s">
        <v>240</v>
      </c>
      <c r="T105" s="0" t="s">
        <v>240</v>
      </c>
      <c r="U105" s="0" t="s">
        <v>102</v>
      </c>
      <c r="V105" s="0" t="s">
        <v>240</v>
      </c>
      <c r="W105" s="0" t="s">
        <v>240</v>
      </c>
      <c r="X105" s="0" t="s">
        <v>5585</v>
      </c>
      <c r="Y105" s="0" t="s">
        <v>240</v>
      </c>
      <c r="Z105" s="0" t="s">
        <v>152</v>
      </c>
      <c r="AA105" s="0" t="s">
        <v>152</v>
      </c>
      <c r="AB105" s="0" t="s">
        <v>161</v>
      </c>
      <c r="AC105" s="0" t="s">
        <v>3395</v>
      </c>
      <c r="AD105" s="0" t="s">
        <v>3395</v>
      </c>
      <c r="AE105" s="0" t="s">
        <v>3396</v>
      </c>
      <c r="AF105" s="0" t="s">
        <v>5941</v>
      </c>
      <c r="AG105" s="0" t="s">
        <v>5942</v>
      </c>
      <c r="AH105" s="0" t="s">
        <v>6063</v>
      </c>
      <c r="AI105" s="0" t="s">
        <v>152</v>
      </c>
      <c r="AJ105" s="0" t="s">
        <v>240</v>
      </c>
      <c r="AK105" s="0" t="s">
        <v>240</v>
      </c>
      <c r="AL105" s="0" t="s">
        <v>240</v>
      </c>
      <c r="AM105" s="0" t="s">
        <v>240</v>
      </c>
      <c r="AN105" s="0" t="s">
        <v>240</v>
      </c>
      <c r="AO105" s="0" t="s">
        <v>240</v>
      </c>
      <c r="AP105" s="0" t="s">
        <v>240</v>
      </c>
      <c r="AQ105" s="0" t="s">
        <v>240</v>
      </c>
      <c r="AR105" s="0" t="s">
        <v>240</v>
      </c>
      <c r="AS105" s="0" t="s">
        <v>240</v>
      </c>
      <c r="AT105" s="0" t="s">
        <v>240</v>
      </c>
      <c r="AU105" s="0" t="s">
        <v>240</v>
      </c>
      <c r="AV105" s="0" t="s">
        <v>240</v>
      </c>
      <c r="AW105" s="0" t="s">
        <v>240</v>
      </c>
      <c r="AX105" s="0" t="s">
        <v>240</v>
      </c>
      <c r="AY105" s="0" t="s">
        <v>240</v>
      </c>
      <c r="AZ105" s="0" t="s">
        <v>240</v>
      </c>
      <c r="BA105" s="0" t="s">
        <v>240</v>
      </c>
      <c r="BB105" s="0" t="s">
        <v>240</v>
      </c>
      <c r="BC105" s="0" t="s">
        <v>240</v>
      </c>
      <c r="BD105" s="0" t="s">
        <v>240</v>
      </c>
      <c r="BE105" s="0" t="s">
        <v>5944</v>
      </c>
      <c r="BF105" s="0" t="s">
        <v>6064</v>
      </c>
      <c r="BG105" s="0" t="s">
        <v>112</v>
      </c>
      <c r="BH105" s="0" t="s">
        <v>5589</v>
      </c>
      <c r="BI105" s="0" t="s">
        <v>123</v>
      </c>
      <c r="BJ105" s="0" t="s">
        <v>240</v>
      </c>
      <c r="BK105" s="0" t="s">
        <v>6065</v>
      </c>
      <c r="BL105" s="0" t="s">
        <v>3395</v>
      </c>
      <c r="BM105" s="0" t="s">
        <v>3395</v>
      </c>
      <c r="BN105" s="0" t="s">
        <v>6066</v>
      </c>
      <c r="BO105" s="0" t="s">
        <v>5941</v>
      </c>
      <c r="BP105" s="0" t="s">
        <v>6067</v>
      </c>
      <c r="BQ105" s="0" t="s">
        <v>6068</v>
      </c>
      <c r="BR105" s="0" t="s">
        <v>152</v>
      </c>
      <c r="BS105" s="0" t="s">
        <v>240</v>
      </c>
      <c r="BT105" s="0" t="s">
        <v>5594</v>
      </c>
      <c r="BU105" s="0" t="s">
        <v>6069</v>
      </c>
      <c r="BV105" s="0" t="s">
        <v>6070</v>
      </c>
      <c r="BW105" s="0" t="s">
        <v>6071</v>
      </c>
      <c r="BX105" s="0" t="s">
        <v>5598</v>
      </c>
      <c r="BY105" s="0" t="s">
        <v>5598</v>
      </c>
      <c r="BZ105" s="0" t="s">
        <v>5598</v>
      </c>
      <c r="CA105" s="0" t="s">
        <v>5598</v>
      </c>
      <c r="CB105" s="0" t="s">
        <v>5598</v>
      </c>
      <c r="CC105" s="0" t="s">
        <v>5598</v>
      </c>
      <c r="CD105" s="0" t="s">
        <v>5598</v>
      </c>
      <c r="CE105" s="0" t="s">
        <v>5598</v>
      </c>
      <c r="CF105" s="0" t="s">
        <v>5598</v>
      </c>
      <c r="CG105" s="0" t="s">
        <v>5598</v>
      </c>
      <c r="CH105" s="0" t="s">
        <v>5598</v>
      </c>
      <c r="CI105" s="0" t="s">
        <v>5598</v>
      </c>
      <c r="CJ105" s="0" t="s">
        <v>5598</v>
      </c>
      <c r="CK105" s="0" t="s">
        <v>5598</v>
      </c>
      <c r="CL105" s="0" t="s">
        <v>5598</v>
      </c>
      <c r="CM105" s="0" t="s">
        <v>6069</v>
      </c>
      <c r="CN105" s="0" t="s">
        <v>6070</v>
      </c>
      <c r="CO105" s="0" t="s">
        <v>6071</v>
      </c>
      <c r="CP105" s="0" t="s">
        <v>5598</v>
      </c>
      <c r="CQ105" s="0" t="s">
        <v>5598</v>
      </c>
      <c r="CR105" s="0" t="s">
        <v>5598</v>
      </c>
      <c r="CS105" s="0" t="s">
        <v>6072</v>
      </c>
      <c r="CT105" s="0" t="s">
        <v>5496</v>
      </c>
      <c r="CU105" s="0" t="s">
        <v>5497</v>
      </c>
      <c r="CV105" s="0" t="s">
        <v>5947</v>
      </c>
      <c r="CW105" s="0" t="s">
        <v>5948</v>
      </c>
      <c r="CX105" s="0" t="s">
        <v>5528</v>
      </c>
      <c r="CY105" s="0" t="s">
        <v>5947</v>
      </c>
      <c r="CZ105" s="0" t="s">
        <v>5533</v>
      </c>
      <c r="DA105" s="0" t="s">
        <v>5949</v>
      </c>
      <c r="DB105" s="0" t="s">
        <v>5600</v>
      </c>
      <c r="DC105" s="0" t="s">
        <v>384</v>
      </c>
      <c r="DD105" s="0" t="s">
        <v>291</v>
      </c>
      <c r="DE105" s="0" t="s">
        <v>6073</v>
      </c>
    </row>
    <row customHeight="1" ht="11.25">
      <c r="A106" s="1441" t="s">
        <v>240</v>
      </c>
      <c r="B106" s="0" t="s">
        <v>240</v>
      </c>
      <c r="C106" s="0" t="s">
        <v>240</v>
      </c>
      <c r="D106" s="0" t="s">
        <v>240</v>
      </c>
      <c r="E106" s="0" t="s">
        <v>240</v>
      </c>
      <c r="F106" s="0" t="s">
        <v>240</v>
      </c>
      <c r="G106" s="0" t="s">
        <v>240</v>
      </c>
      <c r="H106" s="0" t="s">
        <v>240</v>
      </c>
      <c r="I106" s="0" t="s">
        <v>5484</v>
      </c>
      <c r="J106" s="0" t="s">
        <v>240</v>
      </c>
      <c r="K106" s="0" t="s">
        <v>240</v>
      </c>
      <c r="L106" s="0" t="s">
        <v>240</v>
      </c>
      <c r="M106" s="0" t="s">
        <v>240</v>
      </c>
      <c r="N106" s="0" t="s">
        <v>240</v>
      </c>
      <c r="O106" s="0" t="s">
        <v>240</v>
      </c>
      <c r="P106" s="0" t="s">
        <v>240</v>
      </c>
      <c r="Q106" s="0" t="s">
        <v>240</v>
      </c>
      <c r="R106" s="0" t="s">
        <v>5608</v>
      </c>
      <c r="S106" s="0" t="s">
        <v>240</v>
      </c>
      <c r="T106" s="0" t="s">
        <v>240</v>
      </c>
      <c r="U106" s="0" t="s">
        <v>102</v>
      </c>
      <c r="V106" s="0" t="s">
        <v>240</v>
      </c>
      <c r="W106" s="0" t="s">
        <v>240</v>
      </c>
      <c r="X106" s="0" t="s">
        <v>5485</v>
      </c>
      <c r="Y106" s="0" t="s">
        <v>240</v>
      </c>
      <c r="Z106" s="0" t="s">
        <v>161</v>
      </c>
      <c r="AA106" s="0" t="s">
        <v>152</v>
      </c>
      <c r="AB106" s="0" t="s">
        <v>152</v>
      </c>
      <c r="AC106" s="0" t="s">
        <v>2985</v>
      </c>
      <c r="AD106" s="0" t="s">
        <v>2985</v>
      </c>
      <c r="AE106" s="0" t="s">
        <v>2986</v>
      </c>
      <c r="AF106" s="0" t="s">
        <v>5642</v>
      </c>
      <c r="AG106" s="0" t="s">
        <v>5643</v>
      </c>
      <c r="AH106" s="0" t="s">
        <v>5648</v>
      </c>
      <c r="AI106" s="0" t="s">
        <v>5649</v>
      </c>
      <c r="AJ106" s="0" t="s">
        <v>5504</v>
      </c>
      <c r="AK106" s="0" t="s">
        <v>5505</v>
      </c>
      <c r="AL106" s="0" t="s">
        <v>5506</v>
      </c>
      <c r="AM106" s="0" t="s">
        <v>5493</v>
      </c>
      <c r="AN106" s="0" t="s">
        <v>5507</v>
      </c>
      <c r="AO106" s="0" t="s">
        <v>6074</v>
      </c>
      <c r="AP106" s="0" t="s">
        <v>240</v>
      </c>
      <c r="AQ106" s="0" t="s">
        <v>240</v>
      </c>
      <c r="AR106" s="0" t="s">
        <v>240</v>
      </c>
      <c r="AS106" s="0" t="s">
        <v>240</v>
      </c>
      <c r="AT106" s="0" t="s">
        <v>240</v>
      </c>
      <c r="AU106" s="0" t="s">
        <v>240</v>
      </c>
      <c r="AV106" s="0" t="s">
        <v>240</v>
      </c>
      <c r="AW106" s="0" t="s">
        <v>240</v>
      </c>
      <c r="AX106" s="0" t="s">
        <v>240</v>
      </c>
      <c r="AY106" s="0" t="s">
        <v>240</v>
      </c>
      <c r="AZ106" s="0" t="s">
        <v>240</v>
      </c>
      <c r="BA106" s="0" t="s">
        <v>240</v>
      </c>
      <c r="BB106" s="0" t="s">
        <v>240</v>
      </c>
      <c r="BC106" s="0" t="s">
        <v>240</v>
      </c>
      <c r="BD106" s="0" t="s">
        <v>240</v>
      </c>
      <c r="BE106" s="0" t="s">
        <v>240</v>
      </c>
      <c r="BF106" s="0" t="s">
        <v>240</v>
      </c>
      <c r="BG106" s="0" t="s">
        <v>240</v>
      </c>
      <c r="BH106" s="0" t="s">
        <v>240</v>
      </c>
      <c r="BI106" s="0" t="s">
        <v>240</v>
      </c>
      <c r="BJ106" s="0" t="s">
        <v>240</v>
      </c>
      <c r="BK106" s="0" t="s">
        <v>240</v>
      </c>
      <c r="BL106" s="0" t="s">
        <v>240</v>
      </c>
      <c r="BM106" s="0" t="s">
        <v>240</v>
      </c>
      <c r="BN106" s="0" t="s">
        <v>240</v>
      </c>
      <c r="BO106" s="0" t="s">
        <v>240</v>
      </c>
      <c r="BP106" s="0" t="s">
        <v>240</v>
      </c>
      <c r="BQ106" s="0" t="s">
        <v>240</v>
      </c>
      <c r="BR106" s="0" t="s">
        <v>240</v>
      </c>
      <c r="BS106" s="0" t="s">
        <v>240</v>
      </c>
      <c r="BT106" s="0" t="s">
        <v>240</v>
      </c>
      <c r="BU106" s="0" t="s">
        <v>240</v>
      </c>
      <c r="BV106" s="0" t="s">
        <v>240</v>
      </c>
      <c r="BW106" s="0" t="s">
        <v>240</v>
      </c>
      <c r="BX106" s="0" t="s">
        <v>240</v>
      </c>
      <c r="BY106" s="0" t="s">
        <v>240</v>
      </c>
      <c r="BZ106" s="0" t="s">
        <v>240</v>
      </c>
      <c r="CA106" s="0" t="s">
        <v>240</v>
      </c>
      <c r="CB106" s="0" t="s">
        <v>240</v>
      </c>
      <c r="CC106" s="0" t="s">
        <v>240</v>
      </c>
      <c r="CD106" s="0" t="s">
        <v>240</v>
      </c>
      <c r="CE106" s="0" t="s">
        <v>240</v>
      </c>
      <c r="CF106" s="0" t="s">
        <v>240</v>
      </c>
      <c r="CG106" s="0" t="s">
        <v>240</v>
      </c>
      <c r="CH106" s="0" t="s">
        <v>240</v>
      </c>
      <c r="CI106" s="0" t="s">
        <v>240</v>
      </c>
      <c r="CJ106" s="0" t="s">
        <v>240</v>
      </c>
      <c r="CK106" s="0" t="s">
        <v>240</v>
      </c>
      <c r="CL106" s="0" t="s">
        <v>240</v>
      </c>
      <c r="CM106" s="0" t="s">
        <v>240</v>
      </c>
      <c r="CN106" s="0" t="s">
        <v>240</v>
      </c>
      <c r="CO106" s="0" t="s">
        <v>240</v>
      </c>
      <c r="CP106" s="0" t="s">
        <v>240</v>
      </c>
      <c r="CQ106" s="0" t="s">
        <v>240</v>
      </c>
      <c r="CR106" s="0" t="s">
        <v>240</v>
      </c>
      <c r="CS106" s="0" t="s">
        <v>240</v>
      </c>
      <c r="CT106" s="0" t="s">
        <v>5496</v>
      </c>
      <c r="CU106" s="0" t="s">
        <v>5497</v>
      </c>
      <c r="CV106" s="0" t="s">
        <v>443</v>
      </c>
      <c r="CW106" s="0" t="s">
        <v>5509</v>
      </c>
      <c r="CX106" s="0" t="s">
        <v>229</v>
      </c>
      <c r="CY106" s="0" t="s">
        <v>443</v>
      </c>
      <c r="CZ106" s="0" t="s">
        <v>5510</v>
      </c>
      <c r="DA106" s="0" t="s">
        <v>5511</v>
      </c>
      <c r="DB106" s="0" t="s">
        <v>5509</v>
      </c>
      <c r="DC106" s="0" t="s">
        <v>384</v>
      </c>
      <c r="DD106" s="0" t="s">
        <v>291</v>
      </c>
      <c r="DE106" s="0" t="s">
        <v>6075</v>
      </c>
    </row>
    <row customHeight="1" ht="11.25">
      <c r="A107" s="1441" t="s">
        <v>240</v>
      </c>
      <c r="B107" s="0" t="s">
        <v>240</v>
      </c>
      <c r="C107" s="0" t="s">
        <v>240</v>
      </c>
      <c r="D107" s="0" t="s">
        <v>240</v>
      </c>
      <c r="E107" s="0" t="s">
        <v>240</v>
      </c>
      <c r="F107" s="0" t="s">
        <v>240</v>
      </c>
      <c r="G107" s="0" t="s">
        <v>240</v>
      </c>
      <c r="H107" s="0" t="s">
        <v>240</v>
      </c>
      <c r="I107" s="0" t="s">
        <v>5484</v>
      </c>
      <c r="J107" s="0" t="s">
        <v>240</v>
      </c>
      <c r="K107" s="0" t="s">
        <v>240</v>
      </c>
      <c r="L107" s="0" t="s">
        <v>240</v>
      </c>
      <c r="M107" s="0" t="s">
        <v>240</v>
      </c>
      <c r="N107" s="0" t="s">
        <v>240</v>
      </c>
      <c r="O107" s="0" t="s">
        <v>240</v>
      </c>
      <c r="P107" s="0" t="s">
        <v>240</v>
      </c>
      <c r="Q107" s="0" t="s">
        <v>240</v>
      </c>
      <c r="R107" s="0" t="s">
        <v>449</v>
      </c>
      <c r="S107" s="0" t="s">
        <v>240</v>
      </c>
      <c r="T107" s="0" t="s">
        <v>240</v>
      </c>
      <c r="U107" s="0" t="s">
        <v>102</v>
      </c>
      <c r="V107" s="0" t="s">
        <v>240</v>
      </c>
      <c r="W107" s="0" t="s">
        <v>240</v>
      </c>
      <c r="X107" s="0" t="s">
        <v>5585</v>
      </c>
      <c r="Y107" s="0" t="s">
        <v>240</v>
      </c>
      <c r="Z107" s="0" t="s">
        <v>152</v>
      </c>
      <c r="AA107" s="0" t="s">
        <v>152</v>
      </c>
      <c r="AB107" s="0" t="s">
        <v>161</v>
      </c>
      <c r="AC107" s="0" t="s">
        <v>2985</v>
      </c>
      <c r="AD107" s="0" t="s">
        <v>2985</v>
      </c>
      <c r="AE107" s="0" t="s">
        <v>2986</v>
      </c>
      <c r="AF107" s="0" t="s">
        <v>5609</v>
      </c>
      <c r="AG107" s="0" t="s">
        <v>5610</v>
      </c>
      <c r="AH107" s="0" t="s">
        <v>5609</v>
      </c>
      <c r="AI107" s="0" t="s">
        <v>5644</v>
      </c>
      <c r="AJ107" s="0" t="s">
        <v>240</v>
      </c>
      <c r="AK107" s="0" t="s">
        <v>240</v>
      </c>
      <c r="AL107" s="0" t="s">
        <v>240</v>
      </c>
      <c r="AM107" s="0" t="s">
        <v>240</v>
      </c>
      <c r="AN107" s="0" t="s">
        <v>240</v>
      </c>
      <c r="AO107" s="0" t="s">
        <v>240</v>
      </c>
      <c r="AP107" s="0" t="s">
        <v>240</v>
      </c>
      <c r="AQ107" s="0" t="s">
        <v>240</v>
      </c>
      <c r="AR107" s="0" t="s">
        <v>240</v>
      </c>
      <c r="AS107" s="0" t="s">
        <v>240</v>
      </c>
      <c r="AT107" s="0" t="s">
        <v>240</v>
      </c>
      <c r="AU107" s="0" t="s">
        <v>240</v>
      </c>
      <c r="AV107" s="0" t="s">
        <v>240</v>
      </c>
      <c r="AW107" s="0" t="s">
        <v>240</v>
      </c>
      <c r="AX107" s="0" t="s">
        <v>240</v>
      </c>
      <c r="AY107" s="0" t="s">
        <v>240</v>
      </c>
      <c r="AZ107" s="0" t="s">
        <v>240</v>
      </c>
      <c r="BA107" s="0" t="s">
        <v>240</v>
      </c>
      <c r="BB107" s="0" t="s">
        <v>240</v>
      </c>
      <c r="BC107" s="0" t="s">
        <v>240</v>
      </c>
      <c r="BD107" s="0" t="s">
        <v>240</v>
      </c>
      <c r="BE107" s="0" t="s">
        <v>5645</v>
      </c>
      <c r="BF107" s="0" t="s">
        <v>5645</v>
      </c>
      <c r="BG107" s="0" t="s">
        <v>112</v>
      </c>
      <c r="BH107" s="0" t="s">
        <v>5589</v>
      </c>
      <c r="BI107" s="0" t="s">
        <v>123</v>
      </c>
      <c r="BJ107" s="0" t="s">
        <v>240</v>
      </c>
      <c r="BK107" s="0" t="s">
        <v>5608</v>
      </c>
      <c r="BL107" s="0" t="s">
        <v>2985</v>
      </c>
      <c r="BM107" s="0" t="s">
        <v>2985</v>
      </c>
      <c r="BN107" s="0" t="s">
        <v>5646</v>
      </c>
      <c r="BO107" s="0" t="s">
        <v>5609</v>
      </c>
      <c r="BP107" s="0" t="s">
        <v>6076</v>
      </c>
      <c r="BQ107" s="0" t="s">
        <v>6077</v>
      </c>
      <c r="BR107" s="0" t="s">
        <v>5612</v>
      </c>
      <c r="BS107" s="0" t="s">
        <v>240</v>
      </c>
      <c r="BT107" s="0" t="s">
        <v>5650</v>
      </c>
      <c r="BU107" s="0" t="s">
        <v>6078</v>
      </c>
      <c r="BV107" s="0" t="s">
        <v>6078</v>
      </c>
      <c r="BW107" s="0" t="s">
        <v>5598</v>
      </c>
      <c r="BX107" s="0" t="s">
        <v>5598</v>
      </c>
      <c r="BY107" s="0" t="s">
        <v>5598</v>
      </c>
      <c r="BZ107" s="0" t="s">
        <v>5598</v>
      </c>
      <c r="CA107" s="0" t="s">
        <v>5598</v>
      </c>
      <c r="CB107" s="0" t="s">
        <v>240</v>
      </c>
      <c r="CC107" s="0" t="s">
        <v>240</v>
      </c>
      <c r="CD107" s="0" t="s">
        <v>240</v>
      </c>
      <c r="CE107" s="0" t="s">
        <v>240</v>
      </c>
      <c r="CF107" s="0" t="s">
        <v>240</v>
      </c>
      <c r="CG107" s="0" t="s">
        <v>5598</v>
      </c>
      <c r="CH107" s="0" t="s">
        <v>240</v>
      </c>
      <c r="CI107" s="0" t="s">
        <v>240</v>
      </c>
      <c r="CJ107" s="0" t="s">
        <v>240</v>
      </c>
      <c r="CK107" s="0" t="s">
        <v>240</v>
      </c>
      <c r="CL107" s="0" t="s">
        <v>240</v>
      </c>
      <c r="CM107" s="0" t="s">
        <v>6078</v>
      </c>
      <c r="CN107" s="0" t="s">
        <v>6078</v>
      </c>
      <c r="CO107" s="0" t="s">
        <v>240</v>
      </c>
      <c r="CP107" s="0" t="s">
        <v>240</v>
      </c>
      <c r="CQ107" s="0" t="s">
        <v>240</v>
      </c>
      <c r="CR107" s="0" t="s">
        <v>240</v>
      </c>
      <c r="CS107" s="0" t="s">
        <v>5507</v>
      </c>
      <c r="CT107" s="0" t="s">
        <v>5496</v>
      </c>
      <c r="CU107" s="0" t="s">
        <v>5497</v>
      </c>
      <c r="CV107" s="0" t="s">
        <v>443</v>
      </c>
      <c r="CW107" s="0" t="s">
        <v>5509</v>
      </c>
      <c r="CX107" s="0" t="s">
        <v>229</v>
      </c>
      <c r="CY107" s="0" t="s">
        <v>443</v>
      </c>
      <c r="CZ107" s="0" t="s">
        <v>5510</v>
      </c>
      <c r="DA107" s="0" t="s">
        <v>5511</v>
      </c>
      <c r="DB107" s="0" t="s">
        <v>5509</v>
      </c>
      <c r="DC107" s="0" t="s">
        <v>384</v>
      </c>
      <c r="DD107" s="0" t="s">
        <v>291</v>
      </c>
      <c r="DE107" s="0" t="s">
        <v>6079</v>
      </c>
    </row>
    <row customHeight="1" ht="11.25">
      <c r="A108" s="1441" t="s">
        <v>240</v>
      </c>
      <c r="B108" s="0" t="s">
        <v>240</v>
      </c>
      <c r="C108" s="0" t="s">
        <v>240</v>
      </c>
      <c r="D108" s="0" t="s">
        <v>240</v>
      </c>
      <c r="E108" s="0" t="s">
        <v>240</v>
      </c>
      <c r="F108" s="0" t="s">
        <v>240</v>
      </c>
      <c r="G108" s="0" t="s">
        <v>240</v>
      </c>
      <c r="H108" s="0" t="s">
        <v>240</v>
      </c>
      <c r="I108" s="0" t="s">
        <v>5484</v>
      </c>
      <c r="J108" s="0" t="s">
        <v>240</v>
      </c>
      <c r="K108" s="0" t="s">
        <v>240</v>
      </c>
      <c r="L108" s="0" t="s">
        <v>240</v>
      </c>
      <c r="M108" s="0" t="s">
        <v>240</v>
      </c>
      <c r="N108" s="0" t="s">
        <v>240</v>
      </c>
      <c r="O108" s="0" t="s">
        <v>240</v>
      </c>
      <c r="P108" s="0" t="s">
        <v>240</v>
      </c>
      <c r="Q108" s="0" t="s">
        <v>240</v>
      </c>
      <c r="R108" s="0" t="s">
        <v>5572</v>
      </c>
      <c r="S108" s="0" t="s">
        <v>240</v>
      </c>
      <c r="T108" s="0" t="s">
        <v>240</v>
      </c>
      <c r="U108" s="0" t="s">
        <v>102</v>
      </c>
      <c r="V108" s="0" t="s">
        <v>240</v>
      </c>
      <c r="W108" s="0" t="s">
        <v>240</v>
      </c>
      <c r="X108" s="0" t="s">
        <v>5485</v>
      </c>
      <c r="Y108" s="0" t="s">
        <v>240</v>
      </c>
      <c r="Z108" s="0" t="s">
        <v>161</v>
      </c>
      <c r="AA108" s="0" t="s">
        <v>152</v>
      </c>
      <c r="AB108" s="0" t="s">
        <v>152</v>
      </c>
      <c r="AC108" s="0" t="s">
        <v>2991</v>
      </c>
      <c r="AD108" s="0" t="s">
        <v>2991</v>
      </c>
      <c r="AE108" s="0" t="s">
        <v>2992</v>
      </c>
      <c r="AF108" s="0" t="s">
        <v>5749</v>
      </c>
      <c r="AG108" s="0" t="s">
        <v>5750</v>
      </c>
      <c r="AH108" s="0" t="s">
        <v>6080</v>
      </c>
      <c r="AI108" s="0" t="s">
        <v>5649</v>
      </c>
      <c r="AJ108" s="0" t="s">
        <v>5576</v>
      </c>
      <c r="AK108" s="0" t="s">
        <v>5544</v>
      </c>
      <c r="AL108" s="0" t="s">
        <v>5506</v>
      </c>
      <c r="AM108" s="0" t="s">
        <v>5493</v>
      </c>
      <c r="AN108" s="0" t="s">
        <v>5545</v>
      </c>
      <c r="AO108" s="0" t="s">
        <v>5619</v>
      </c>
      <c r="AP108" s="0" t="s">
        <v>240</v>
      </c>
      <c r="AQ108" s="0" t="s">
        <v>240</v>
      </c>
      <c r="AR108" s="0" t="s">
        <v>240</v>
      </c>
      <c r="AS108" s="0" t="s">
        <v>240</v>
      </c>
      <c r="AT108" s="0" t="s">
        <v>240</v>
      </c>
      <c r="AU108" s="0" t="s">
        <v>240</v>
      </c>
      <c r="AV108" s="0" t="s">
        <v>240</v>
      </c>
      <c r="AW108" s="0" t="s">
        <v>240</v>
      </c>
      <c r="AX108" s="0" t="s">
        <v>240</v>
      </c>
      <c r="AY108" s="0" t="s">
        <v>240</v>
      </c>
      <c r="AZ108" s="0" t="s">
        <v>240</v>
      </c>
      <c r="BA108" s="0" t="s">
        <v>240</v>
      </c>
      <c r="BB108" s="0" t="s">
        <v>240</v>
      </c>
      <c r="BC108" s="0" t="s">
        <v>240</v>
      </c>
      <c r="BD108" s="0" t="s">
        <v>240</v>
      </c>
      <c r="BE108" s="0" t="s">
        <v>240</v>
      </c>
      <c r="BF108" s="0" t="s">
        <v>240</v>
      </c>
      <c r="BG108" s="0" t="s">
        <v>240</v>
      </c>
      <c r="BH108" s="0" t="s">
        <v>240</v>
      </c>
      <c r="BI108" s="0" t="s">
        <v>240</v>
      </c>
      <c r="BJ108" s="0" t="s">
        <v>240</v>
      </c>
      <c r="BK108" s="0" t="s">
        <v>240</v>
      </c>
      <c r="BL108" s="0" t="s">
        <v>240</v>
      </c>
      <c r="BM108" s="0" t="s">
        <v>240</v>
      </c>
      <c r="BN108" s="0" t="s">
        <v>240</v>
      </c>
      <c r="BO108" s="0" t="s">
        <v>240</v>
      </c>
      <c r="BP108" s="0" t="s">
        <v>240</v>
      </c>
      <c r="BQ108" s="0" t="s">
        <v>240</v>
      </c>
      <c r="BR108" s="0" t="s">
        <v>240</v>
      </c>
      <c r="BS108" s="0" t="s">
        <v>240</v>
      </c>
      <c r="BT108" s="0" t="s">
        <v>240</v>
      </c>
      <c r="BU108" s="0" t="s">
        <v>240</v>
      </c>
      <c r="BV108" s="0" t="s">
        <v>240</v>
      </c>
      <c r="BW108" s="0" t="s">
        <v>240</v>
      </c>
      <c r="BX108" s="0" t="s">
        <v>240</v>
      </c>
      <c r="BY108" s="0" t="s">
        <v>240</v>
      </c>
      <c r="BZ108" s="0" t="s">
        <v>240</v>
      </c>
      <c r="CA108" s="0" t="s">
        <v>240</v>
      </c>
      <c r="CB108" s="0" t="s">
        <v>240</v>
      </c>
      <c r="CC108" s="0" t="s">
        <v>240</v>
      </c>
      <c r="CD108" s="0" t="s">
        <v>240</v>
      </c>
      <c r="CE108" s="0" t="s">
        <v>240</v>
      </c>
      <c r="CF108" s="0" t="s">
        <v>240</v>
      </c>
      <c r="CG108" s="0" t="s">
        <v>240</v>
      </c>
      <c r="CH108" s="0" t="s">
        <v>240</v>
      </c>
      <c r="CI108" s="0" t="s">
        <v>240</v>
      </c>
      <c r="CJ108" s="0" t="s">
        <v>240</v>
      </c>
      <c r="CK108" s="0" t="s">
        <v>240</v>
      </c>
      <c r="CL108" s="0" t="s">
        <v>240</v>
      </c>
      <c r="CM108" s="0" t="s">
        <v>240</v>
      </c>
      <c r="CN108" s="0" t="s">
        <v>240</v>
      </c>
      <c r="CO108" s="0" t="s">
        <v>240</v>
      </c>
      <c r="CP108" s="0" t="s">
        <v>240</v>
      </c>
      <c r="CQ108" s="0" t="s">
        <v>240</v>
      </c>
      <c r="CR108" s="0" t="s">
        <v>240</v>
      </c>
      <c r="CS108" s="0" t="s">
        <v>240</v>
      </c>
      <c r="CT108" s="0" t="s">
        <v>5496</v>
      </c>
      <c r="CU108" s="0" t="s">
        <v>5497</v>
      </c>
      <c r="CV108" s="0" t="s">
        <v>443</v>
      </c>
      <c r="CW108" s="0" t="s">
        <v>5547</v>
      </c>
      <c r="CX108" s="0" t="s">
        <v>229</v>
      </c>
      <c r="CY108" s="0" t="s">
        <v>443</v>
      </c>
      <c r="CZ108" s="0" t="s">
        <v>5548</v>
      </c>
      <c r="DA108" s="0" t="s">
        <v>6081</v>
      </c>
      <c r="DB108" s="0" t="s">
        <v>5547</v>
      </c>
      <c r="DC108" s="0" t="s">
        <v>384</v>
      </c>
      <c r="DD108" s="0" t="s">
        <v>291</v>
      </c>
      <c r="DE108" s="0" t="s">
        <v>6082</v>
      </c>
    </row>
    <row customHeight="1" ht="11.25">
      <c r="A109" s="1441" t="s">
        <v>240</v>
      </c>
      <c r="B109" s="0" t="s">
        <v>240</v>
      </c>
      <c r="C109" s="0" t="s">
        <v>240</v>
      </c>
      <c r="D109" s="0" t="s">
        <v>240</v>
      </c>
      <c r="E109" s="0" t="s">
        <v>240</v>
      </c>
      <c r="F109" s="0" t="s">
        <v>240</v>
      </c>
      <c r="G109" s="0" t="s">
        <v>240</v>
      </c>
      <c r="H109" s="0" t="s">
        <v>240</v>
      </c>
      <c r="I109" s="0" t="s">
        <v>5484</v>
      </c>
      <c r="J109" s="0" t="s">
        <v>240</v>
      </c>
      <c r="K109" s="0" t="s">
        <v>240</v>
      </c>
      <c r="L109" s="0" t="s">
        <v>240</v>
      </c>
      <c r="M109" s="0" t="s">
        <v>240</v>
      </c>
      <c r="N109" s="0" t="s">
        <v>240</v>
      </c>
      <c r="O109" s="0" t="s">
        <v>240</v>
      </c>
      <c r="P109" s="0" t="s">
        <v>240</v>
      </c>
      <c r="Q109" s="0" t="s">
        <v>240</v>
      </c>
      <c r="R109" s="0" t="s">
        <v>5513</v>
      </c>
      <c r="S109" s="0" t="s">
        <v>240</v>
      </c>
      <c r="T109" s="0" t="s">
        <v>240</v>
      </c>
      <c r="U109" s="0" t="s">
        <v>102</v>
      </c>
      <c r="V109" s="0" t="s">
        <v>240</v>
      </c>
      <c r="W109" s="0" t="s">
        <v>240</v>
      </c>
      <c r="X109" s="0" t="s">
        <v>5485</v>
      </c>
      <c r="Y109" s="0" t="s">
        <v>240</v>
      </c>
      <c r="Z109" s="0" t="s">
        <v>161</v>
      </c>
      <c r="AA109" s="0" t="s">
        <v>152</v>
      </c>
      <c r="AB109" s="0" t="s">
        <v>152</v>
      </c>
      <c r="AC109" s="0" t="s">
        <v>2991</v>
      </c>
      <c r="AD109" s="0" t="s">
        <v>2991</v>
      </c>
      <c r="AE109" s="0" t="s">
        <v>2992</v>
      </c>
      <c r="AF109" s="0" t="s">
        <v>5749</v>
      </c>
      <c r="AG109" s="0" t="s">
        <v>5750</v>
      </c>
      <c r="AH109" s="0" t="s">
        <v>6083</v>
      </c>
      <c r="AI109" s="0" t="s">
        <v>6084</v>
      </c>
      <c r="AJ109" s="0" t="s">
        <v>5576</v>
      </c>
      <c r="AK109" s="0" t="s">
        <v>5544</v>
      </c>
      <c r="AL109" s="0" t="s">
        <v>5506</v>
      </c>
      <c r="AM109" s="0" t="s">
        <v>5493</v>
      </c>
      <c r="AN109" s="0" t="s">
        <v>5491</v>
      </c>
      <c r="AO109" s="0" t="s">
        <v>6085</v>
      </c>
      <c r="AP109" s="0" t="s">
        <v>240</v>
      </c>
      <c r="AQ109" s="0" t="s">
        <v>240</v>
      </c>
      <c r="AR109" s="0" t="s">
        <v>240</v>
      </c>
      <c r="AS109" s="0" t="s">
        <v>240</v>
      </c>
      <c r="AT109" s="0" t="s">
        <v>240</v>
      </c>
      <c r="AU109" s="0" t="s">
        <v>240</v>
      </c>
      <c r="AV109" s="0" t="s">
        <v>240</v>
      </c>
      <c r="AW109" s="0" t="s">
        <v>240</v>
      </c>
      <c r="AX109" s="0" t="s">
        <v>240</v>
      </c>
      <c r="AY109" s="0" t="s">
        <v>240</v>
      </c>
      <c r="AZ109" s="0" t="s">
        <v>240</v>
      </c>
      <c r="BA109" s="0" t="s">
        <v>240</v>
      </c>
      <c r="BB109" s="0" t="s">
        <v>240</v>
      </c>
      <c r="BC109" s="0" t="s">
        <v>240</v>
      </c>
      <c r="BD109" s="0" t="s">
        <v>240</v>
      </c>
      <c r="BE109" s="0" t="s">
        <v>240</v>
      </c>
      <c r="BF109" s="0" t="s">
        <v>240</v>
      </c>
      <c r="BG109" s="0" t="s">
        <v>240</v>
      </c>
      <c r="BH109" s="0" t="s">
        <v>240</v>
      </c>
      <c r="BI109" s="0" t="s">
        <v>240</v>
      </c>
      <c r="BJ109" s="0" t="s">
        <v>240</v>
      </c>
      <c r="BK109" s="0" t="s">
        <v>240</v>
      </c>
      <c r="BL109" s="0" t="s">
        <v>240</v>
      </c>
      <c r="BM109" s="0" t="s">
        <v>240</v>
      </c>
      <c r="BN109" s="0" t="s">
        <v>240</v>
      </c>
      <c r="BO109" s="0" t="s">
        <v>240</v>
      </c>
      <c r="BP109" s="0" t="s">
        <v>240</v>
      </c>
      <c r="BQ109" s="0" t="s">
        <v>240</v>
      </c>
      <c r="BR109" s="0" t="s">
        <v>240</v>
      </c>
      <c r="BS109" s="0" t="s">
        <v>240</v>
      </c>
      <c r="BT109" s="0" t="s">
        <v>240</v>
      </c>
      <c r="BU109" s="0" t="s">
        <v>240</v>
      </c>
      <c r="BV109" s="0" t="s">
        <v>240</v>
      </c>
      <c r="BW109" s="0" t="s">
        <v>240</v>
      </c>
      <c r="BX109" s="0" t="s">
        <v>240</v>
      </c>
      <c r="BY109" s="0" t="s">
        <v>240</v>
      </c>
      <c r="BZ109" s="0" t="s">
        <v>240</v>
      </c>
      <c r="CA109" s="0" t="s">
        <v>240</v>
      </c>
      <c r="CB109" s="0" t="s">
        <v>240</v>
      </c>
      <c r="CC109" s="0" t="s">
        <v>240</v>
      </c>
      <c r="CD109" s="0" t="s">
        <v>240</v>
      </c>
      <c r="CE109" s="0" t="s">
        <v>240</v>
      </c>
      <c r="CF109" s="0" t="s">
        <v>240</v>
      </c>
      <c r="CG109" s="0" t="s">
        <v>240</v>
      </c>
      <c r="CH109" s="0" t="s">
        <v>240</v>
      </c>
      <c r="CI109" s="0" t="s">
        <v>240</v>
      </c>
      <c r="CJ109" s="0" t="s">
        <v>240</v>
      </c>
      <c r="CK109" s="0" t="s">
        <v>240</v>
      </c>
      <c r="CL109" s="0" t="s">
        <v>240</v>
      </c>
      <c r="CM109" s="0" t="s">
        <v>240</v>
      </c>
      <c r="CN109" s="0" t="s">
        <v>240</v>
      </c>
      <c r="CO109" s="0" t="s">
        <v>240</v>
      </c>
      <c r="CP109" s="0" t="s">
        <v>240</v>
      </c>
      <c r="CQ109" s="0" t="s">
        <v>240</v>
      </c>
      <c r="CR109" s="0" t="s">
        <v>240</v>
      </c>
      <c r="CS109" s="0" t="s">
        <v>240</v>
      </c>
      <c r="CT109" s="0" t="s">
        <v>5496</v>
      </c>
      <c r="CU109" s="0" t="s">
        <v>5497</v>
      </c>
      <c r="CV109" s="0" t="s">
        <v>443</v>
      </c>
      <c r="CW109" s="0" t="s">
        <v>5547</v>
      </c>
      <c r="CX109" s="0" t="s">
        <v>229</v>
      </c>
      <c r="CY109" s="0" t="s">
        <v>443</v>
      </c>
      <c r="CZ109" s="0" t="s">
        <v>5548</v>
      </c>
      <c r="DA109" s="0" t="s">
        <v>6081</v>
      </c>
      <c r="DB109" s="0" t="s">
        <v>5547</v>
      </c>
      <c r="DC109" s="0" t="s">
        <v>384</v>
      </c>
      <c r="DD109" s="0" t="s">
        <v>291</v>
      </c>
      <c r="DE109" s="0" t="s">
        <v>6086</v>
      </c>
    </row>
    <row customHeight="1" ht="11.25">
      <c r="A110" s="1441" t="s">
        <v>240</v>
      </c>
      <c r="B110" s="0" t="s">
        <v>240</v>
      </c>
      <c r="C110" s="0" t="s">
        <v>240</v>
      </c>
      <c r="D110" s="0" t="s">
        <v>240</v>
      </c>
      <c r="E110" s="0" t="s">
        <v>240</v>
      </c>
      <c r="F110" s="0" t="s">
        <v>240</v>
      </c>
      <c r="G110" s="0" t="s">
        <v>240</v>
      </c>
      <c r="H110" s="0" t="s">
        <v>240</v>
      </c>
      <c r="I110" s="0" t="s">
        <v>5484</v>
      </c>
      <c r="J110" s="0" t="s">
        <v>240</v>
      </c>
      <c r="K110" s="0" t="s">
        <v>240</v>
      </c>
      <c r="L110" s="0" t="s">
        <v>240</v>
      </c>
      <c r="M110" s="0" t="s">
        <v>240</v>
      </c>
      <c r="N110" s="0" t="s">
        <v>240</v>
      </c>
      <c r="O110" s="0" t="s">
        <v>240</v>
      </c>
      <c r="P110" s="0" t="s">
        <v>240</v>
      </c>
      <c r="Q110" s="0" t="s">
        <v>240</v>
      </c>
      <c r="R110" s="0" t="s">
        <v>5572</v>
      </c>
      <c r="S110" s="0" t="s">
        <v>240</v>
      </c>
      <c r="T110" s="0" t="s">
        <v>240</v>
      </c>
      <c r="U110" s="0" t="s">
        <v>102</v>
      </c>
      <c r="V110" s="0" t="s">
        <v>240</v>
      </c>
      <c r="W110" s="0" t="s">
        <v>240</v>
      </c>
      <c r="X110" s="0" t="s">
        <v>5485</v>
      </c>
      <c r="Y110" s="0" t="s">
        <v>240</v>
      </c>
      <c r="Z110" s="0" t="s">
        <v>161</v>
      </c>
      <c r="AA110" s="0" t="s">
        <v>152</v>
      </c>
      <c r="AB110" s="0" t="s">
        <v>152</v>
      </c>
      <c r="AC110" s="0" t="s">
        <v>2991</v>
      </c>
      <c r="AD110" s="0" t="s">
        <v>2991</v>
      </c>
      <c r="AE110" s="0" t="s">
        <v>2992</v>
      </c>
      <c r="AF110" s="0" t="s">
        <v>5749</v>
      </c>
      <c r="AG110" s="0" t="s">
        <v>5750</v>
      </c>
      <c r="AH110" s="0" t="s">
        <v>6087</v>
      </c>
      <c r="AI110" s="0" t="s">
        <v>6088</v>
      </c>
      <c r="AJ110" s="0" t="s">
        <v>5576</v>
      </c>
      <c r="AK110" s="0" t="s">
        <v>5544</v>
      </c>
      <c r="AL110" s="0" t="s">
        <v>5506</v>
      </c>
      <c r="AM110" s="0" t="s">
        <v>5493</v>
      </c>
      <c r="AN110" s="0" t="s">
        <v>5553</v>
      </c>
      <c r="AO110" s="0" t="s">
        <v>5752</v>
      </c>
      <c r="AP110" s="0" t="s">
        <v>240</v>
      </c>
      <c r="AQ110" s="0" t="s">
        <v>240</v>
      </c>
      <c r="AR110" s="0" t="s">
        <v>240</v>
      </c>
      <c r="AS110" s="0" t="s">
        <v>240</v>
      </c>
      <c r="AT110" s="0" t="s">
        <v>240</v>
      </c>
      <c r="AU110" s="0" t="s">
        <v>240</v>
      </c>
      <c r="AV110" s="0" t="s">
        <v>240</v>
      </c>
      <c r="AW110" s="0" t="s">
        <v>240</v>
      </c>
      <c r="AX110" s="0" t="s">
        <v>240</v>
      </c>
      <c r="AY110" s="0" t="s">
        <v>240</v>
      </c>
      <c r="AZ110" s="0" t="s">
        <v>240</v>
      </c>
      <c r="BA110" s="0" t="s">
        <v>240</v>
      </c>
      <c r="BB110" s="0" t="s">
        <v>240</v>
      </c>
      <c r="BC110" s="0" t="s">
        <v>240</v>
      </c>
      <c r="BD110" s="0" t="s">
        <v>240</v>
      </c>
      <c r="BE110" s="0" t="s">
        <v>240</v>
      </c>
      <c r="BF110" s="0" t="s">
        <v>240</v>
      </c>
      <c r="BG110" s="0" t="s">
        <v>240</v>
      </c>
      <c r="BH110" s="0" t="s">
        <v>240</v>
      </c>
      <c r="BI110" s="0" t="s">
        <v>240</v>
      </c>
      <c r="BJ110" s="0" t="s">
        <v>240</v>
      </c>
      <c r="BK110" s="0" t="s">
        <v>240</v>
      </c>
      <c r="BL110" s="0" t="s">
        <v>240</v>
      </c>
      <c r="BM110" s="0" t="s">
        <v>240</v>
      </c>
      <c r="BN110" s="0" t="s">
        <v>240</v>
      </c>
      <c r="BO110" s="0" t="s">
        <v>240</v>
      </c>
      <c r="BP110" s="0" t="s">
        <v>240</v>
      </c>
      <c r="BQ110" s="0" t="s">
        <v>240</v>
      </c>
      <c r="BR110" s="0" t="s">
        <v>240</v>
      </c>
      <c r="BS110" s="0" t="s">
        <v>240</v>
      </c>
      <c r="BT110" s="0" t="s">
        <v>240</v>
      </c>
      <c r="BU110" s="0" t="s">
        <v>240</v>
      </c>
      <c r="BV110" s="0" t="s">
        <v>240</v>
      </c>
      <c r="BW110" s="0" t="s">
        <v>240</v>
      </c>
      <c r="BX110" s="0" t="s">
        <v>240</v>
      </c>
      <c r="BY110" s="0" t="s">
        <v>240</v>
      </c>
      <c r="BZ110" s="0" t="s">
        <v>240</v>
      </c>
      <c r="CA110" s="0" t="s">
        <v>240</v>
      </c>
      <c r="CB110" s="0" t="s">
        <v>240</v>
      </c>
      <c r="CC110" s="0" t="s">
        <v>240</v>
      </c>
      <c r="CD110" s="0" t="s">
        <v>240</v>
      </c>
      <c r="CE110" s="0" t="s">
        <v>240</v>
      </c>
      <c r="CF110" s="0" t="s">
        <v>240</v>
      </c>
      <c r="CG110" s="0" t="s">
        <v>240</v>
      </c>
      <c r="CH110" s="0" t="s">
        <v>240</v>
      </c>
      <c r="CI110" s="0" t="s">
        <v>240</v>
      </c>
      <c r="CJ110" s="0" t="s">
        <v>240</v>
      </c>
      <c r="CK110" s="0" t="s">
        <v>240</v>
      </c>
      <c r="CL110" s="0" t="s">
        <v>240</v>
      </c>
      <c r="CM110" s="0" t="s">
        <v>240</v>
      </c>
      <c r="CN110" s="0" t="s">
        <v>240</v>
      </c>
      <c r="CO110" s="0" t="s">
        <v>240</v>
      </c>
      <c r="CP110" s="0" t="s">
        <v>240</v>
      </c>
      <c r="CQ110" s="0" t="s">
        <v>240</v>
      </c>
      <c r="CR110" s="0" t="s">
        <v>240</v>
      </c>
      <c r="CS110" s="0" t="s">
        <v>240</v>
      </c>
      <c r="CT110" s="0" t="s">
        <v>5496</v>
      </c>
      <c r="CU110" s="0" t="s">
        <v>5497</v>
      </c>
      <c r="CV110" s="0" t="s">
        <v>443</v>
      </c>
      <c r="CW110" s="0" t="s">
        <v>5547</v>
      </c>
      <c r="CX110" s="0" t="s">
        <v>229</v>
      </c>
      <c r="CY110" s="0" t="s">
        <v>443</v>
      </c>
      <c r="CZ110" s="0" t="s">
        <v>5548</v>
      </c>
      <c r="DA110" s="0" t="s">
        <v>5549</v>
      </c>
      <c r="DB110" s="0" t="s">
        <v>5547</v>
      </c>
      <c r="DC110" s="0" t="s">
        <v>384</v>
      </c>
      <c r="DD110" s="0" t="s">
        <v>291</v>
      </c>
      <c r="DE110" s="0" t="s">
        <v>6089</v>
      </c>
    </row>
    <row customHeight="1" ht="11.25">
      <c r="A111" s="1441" t="s">
        <v>240</v>
      </c>
      <c r="B111" s="0" t="s">
        <v>240</v>
      </c>
      <c r="C111" s="0" t="s">
        <v>240</v>
      </c>
      <c r="D111" s="0" t="s">
        <v>240</v>
      </c>
      <c r="E111" s="0" t="s">
        <v>240</v>
      </c>
      <c r="F111" s="0" t="s">
        <v>240</v>
      </c>
      <c r="G111" s="0" t="s">
        <v>240</v>
      </c>
      <c r="H111" s="0" t="s">
        <v>240</v>
      </c>
      <c r="I111" s="0" t="s">
        <v>5484</v>
      </c>
      <c r="J111" s="0" t="s">
        <v>240</v>
      </c>
      <c r="K111" s="0" t="s">
        <v>240</v>
      </c>
      <c r="L111" s="0" t="s">
        <v>240</v>
      </c>
      <c r="M111" s="0" t="s">
        <v>240</v>
      </c>
      <c r="N111" s="0" t="s">
        <v>240</v>
      </c>
      <c r="O111" s="0" t="s">
        <v>240</v>
      </c>
      <c r="P111" s="0" t="s">
        <v>240</v>
      </c>
      <c r="Q111" s="0" t="s">
        <v>240</v>
      </c>
      <c r="R111" s="0" t="s">
        <v>6090</v>
      </c>
      <c r="S111" s="0" t="s">
        <v>240</v>
      </c>
      <c r="T111" s="0" t="s">
        <v>240</v>
      </c>
      <c r="U111" s="0" t="s">
        <v>102</v>
      </c>
      <c r="V111" s="0" t="s">
        <v>240</v>
      </c>
      <c r="W111" s="0" t="s">
        <v>240</v>
      </c>
      <c r="X111" s="0" t="s">
        <v>5585</v>
      </c>
      <c r="Y111" s="0" t="s">
        <v>240</v>
      </c>
      <c r="Z111" s="0" t="s">
        <v>152</v>
      </c>
      <c r="AA111" s="0" t="s">
        <v>152</v>
      </c>
      <c r="AB111" s="0" t="s">
        <v>161</v>
      </c>
      <c r="AC111" s="0" t="s">
        <v>2989</v>
      </c>
      <c r="AD111" s="0" t="s">
        <v>2989</v>
      </c>
      <c r="AE111" s="0" t="s">
        <v>2990</v>
      </c>
      <c r="AF111" s="0" t="s">
        <v>5810</v>
      </c>
      <c r="AG111" s="0" t="s">
        <v>5811</v>
      </c>
      <c r="AH111" s="0" t="s">
        <v>5575</v>
      </c>
      <c r="AI111" s="0" t="s">
        <v>5575</v>
      </c>
      <c r="AJ111" s="0" t="s">
        <v>240</v>
      </c>
      <c r="AK111" s="0" t="s">
        <v>240</v>
      </c>
      <c r="AL111" s="0" t="s">
        <v>240</v>
      </c>
      <c r="AM111" s="0" t="s">
        <v>240</v>
      </c>
      <c r="AN111" s="0" t="s">
        <v>240</v>
      </c>
      <c r="AO111" s="0" t="s">
        <v>240</v>
      </c>
      <c r="AP111" s="0" t="s">
        <v>240</v>
      </c>
      <c r="AQ111" s="0" t="s">
        <v>240</v>
      </c>
      <c r="AR111" s="0" t="s">
        <v>240</v>
      </c>
      <c r="AS111" s="0" t="s">
        <v>240</v>
      </c>
      <c r="AT111" s="0" t="s">
        <v>240</v>
      </c>
      <c r="AU111" s="0" t="s">
        <v>240</v>
      </c>
      <c r="AV111" s="0" t="s">
        <v>240</v>
      </c>
      <c r="AW111" s="0" t="s">
        <v>240</v>
      </c>
      <c r="AX111" s="0" t="s">
        <v>240</v>
      </c>
      <c r="AY111" s="0" t="s">
        <v>240</v>
      </c>
      <c r="AZ111" s="0" t="s">
        <v>240</v>
      </c>
      <c r="BA111" s="0" t="s">
        <v>240</v>
      </c>
      <c r="BB111" s="0" t="s">
        <v>240</v>
      </c>
      <c r="BC111" s="0" t="s">
        <v>240</v>
      </c>
      <c r="BD111" s="0" t="s">
        <v>240</v>
      </c>
      <c r="BE111" s="0" t="s">
        <v>5992</v>
      </c>
      <c r="BF111" s="0" t="s">
        <v>6091</v>
      </c>
      <c r="BG111" s="0" t="s">
        <v>112</v>
      </c>
      <c r="BH111" s="0" t="s">
        <v>5589</v>
      </c>
      <c r="BI111" s="0" t="s">
        <v>123</v>
      </c>
      <c r="BJ111" s="0" t="s">
        <v>240</v>
      </c>
      <c r="BK111" s="0" t="s">
        <v>5608</v>
      </c>
      <c r="BL111" s="0" t="s">
        <v>2989</v>
      </c>
      <c r="BM111" s="0" t="s">
        <v>2989</v>
      </c>
      <c r="BN111" s="0" t="s">
        <v>5798</v>
      </c>
      <c r="BO111" s="0" t="s">
        <v>5810</v>
      </c>
      <c r="BP111" s="0" t="s">
        <v>6092</v>
      </c>
      <c r="BQ111" s="0" t="s">
        <v>5575</v>
      </c>
      <c r="BR111" s="0" t="s">
        <v>5575</v>
      </c>
      <c r="BS111" s="0" t="s">
        <v>240</v>
      </c>
      <c r="BT111" s="0" t="s">
        <v>5650</v>
      </c>
      <c r="BU111" s="0" t="s">
        <v>6093</v>
      </c>
      <c r="BV111" s="0" t="s">
        <v>6093</v>
      </c>
      <c r="BW111" s="0" t="s">
        <v>5598</v>
      </c>
      <c r="BX111" s="0" t="s">
        <v>5598</v>
      </c>
      <c r="BY111" s="0" t="s">
        <v>5598</v>
      </c>
      <c r="BZ111" s="0" t="s">
        <v>5598</v>
      </c>
      <c r="CA111" s="0" t="s">
        <v>5598</v>
      </c>
      <c r="CB111" s="0" t="s">
        <v>240</v>
      </c>
      <c r="CC111" s="0" t="s">
        <v>240</v>
      </c>
      <c r="CD111" s="0" t="s">
        <v>240</v>
      </c>
      <c r="CE111" s="0" t="s">
        <v>240</v>
      </c>
      <c r="CF111" s="0" t="s">
        <v>240</v>
      </c>
      <c r="CG111" s="0" t="s">
        <v>5598</v>
      </c>
      <c r="CH111" s="0" t="s">
        <v>240</v>
      </c>
      <c r="CI111" s="0" t="s">
        <v>240</v>
      </c>
      <c r="CJ111" s="0" t="s">
        <v>240</v>
      </c>
      <c r="CK111" s="0" t="s">
        <v>240</v>
      </c>
      <c r="CL111" s="0" t="s">
        <v>240</v>
      </c>
      <c r="CM111" s="0" t="s">
        <v>6093</v>
      </c>
      <c r="CN111" s="0" t="s">
        <v>6093</v>
      </c>
      <c r="CO111" s="0" t="s">
        <v>240</v>
      </c>
      <c r="CP111" s="0" t="s">
        <v>240</v>
      </c>
      <c r="CQ111" s="0" t="s">
        <v>240</v>
      </c>
      <c r="CR111" s="0" t="s">
        <v>240</v>
      </c>
      <c r="CS111" s="0" t="s">
        <v>5491</v>
      </c>
      <c r="CT111" s="0" t="s">
        <v>5496</v>
      </c>
      <c r="CU111" s="0" t="s">
        <v>5497</v>
      </c>
      <c r="CV111" s="0" t="s">
        <v>443</v>
      </c>
      <c r="CW111" s="0" t="s">
        <v>5580</v>
      </c>
      <c r="CX111" s="0" t="s">
        <v>229</v>
      </c>
      <c r="CY111" s="0" t="s">
        <v>443</v>
      </c>
      <c r="CZ111" s="0" t="s">
        <v>5581</v>
      </c>
      <c r="DA111" s="0" t="s">
        <v>5582</v>
      </c>
      <c r="DB111" s="0" t="s">
        <v>5580</v>
      </c>
      <c r="DC111" s="0" t="s">
        <v>384</v>
      </c>
      <c r="DD111" s="0" t="s">
        <v>291</v>
      </c>
      <c r="DE111" s="0" t="s">
        <v>6094</v>
      </c>
    </row>
    <row customHeight="1" ht="11.25">
      <c r="A112" s="1441" t="s">
        <v>240</v>
      </c>
      <c r="B112" s="0" t="s">
        <v>240</v>
      </c>
      <c r="C112" s="0" t="s">
        <v>240</v>
      </c>
      <c r="D112" s="0" t="s">
        <v>240</v>
      </c>
      <c r="E112" s="0" t="s">
        <v>240</v>
      </c>
      <c r="F112" s="0" t="s">
        <v>240</v>
      </c>
      <c r="G112" s="0" t="s">
        <v>240</v>
      </c>
      <c r="H112" s="0" t="s">
        <v>240</v>
      </c>
      <c r="I112" s="0" t="s">
        <v>5484</v>
      </c>
      <c r="J112" s="0" t="s">
        <v>240</v>
      </c>
      <c r="K112" s="0" t="s">
        <v>240</v>
      </c>
      <c r="L112" s="0" t="s">
        <v>240</v>
      </c>
      <c r="M112" s="0" t="s">
        <v>240</v>
      </c>
      <c r="N112" s="0" t="s">
        <v>240</v>
      </c>
      <c r="O112" s="0" t="s">
        <v>240</v>
      </c>
      <c r="P112" s="0" t="s">
        <v>240</v>
      </c>
      <c r="Q112" s="0" t="s">
        <v>240</v>
      </c>
      <c r="R112" s="0" t="s">
        <v>5572</v>
      </c>
      <c r="S112" s="0" t="s">
        <v>240</v>
      </c>
      <c r="T112" s="0" t="s">
        <v>240</v>
      </c>
      <c r="U112" s="0" t="s">
        <v>102</v>
      </c>
      <c r="V112" s="0" t="s">
        <v>240</v>
      </c>
      <c r="W112" s="0" t="s">
        <v>240</v>
      </c>
      <c r="X112" s="0" t="s">
        <v>5485</v>
      </c>
      <c r="Y112" s="0" t="s">
        <v>240</v>
      </c>
      <c r="Z112" s="0" t="s">
        <v>161</v>
      </c>
      <c r="AA112" s="0" t="s">
        <v>152</v>
      </c>
      <c r="AB112" s="0" t="s">
        <v>152</v>
      </c>
      <c r="AC112" s="0" t="s">
        <v>2989</v>
      </c>
      <c r="AD112" s="0" t="s">
        <v>2989</v>
      </c>
      <c r="AE112" s="0" t="s">
        <v>2990</v>
      </c>
      <c r="AF112" s="0" t="s">
        <v>6095</v>
      </c>
      <c r="AG112" s="0" t="s">
        <v>6096</v>
      </c>
      <c r="AH112" s="0" t="s">
        <v>6097</v>
      </c>
      <c r="AI112" s="0" t="s">
        <v>5575</v>
      </c>
      <c r="AJ112" s="0" t="s">
        <v>5576</v>
      </c>
      <c r="AK112" s="0" t="s">
        <v>5814</v>
      </c>
      <c r="AL112" s="0" t="s">
        <v>5506</v>
      </c>
      <c r="AM112" s="0" t="s">
        <v>5493</v>
      </c>
      <c r="AN112" s="0" t="s">
        <v>5578</v>
      </c>
      <c r="AO112" s="0" t="s">
        <v>5746</v>
      </c>
      <c r="AP112" s="0" t="s">
        <v>240</v>
      </c>
      <c r="AQ112" s="0" t="s">
        <v>240</v>
      </c>
      <c r="AR112" s="0" t="s">
        <v>240</v>
      </c>
      <c r="AS112" s="0" t="s">
        <v>240</v>
      </c>
      <c r="AT112" s="0" t="s">
        <v>240</v>
      </c>
      <c r="AU112" s="0" t="s">
        <v>240</v>
      </c>
      <c r="AV112" s="0" t="s">
        <v>240</v>
      </c>
      <c r="AW112" s="0" t="s">
        <v>240</v>
      </c>
      <c r="AX112" s="0" t="s">
        <v>240</v>
      </c>
      <c r="AY112" s="0" t="s">
        <v>240</v>
      </c>
      <c r="AZ112" s="0" t="s">
        <v>240</v>
      </c>
      <c r="BA112" s="0" t="s">
        <v>240</v>
      </c>
      <c r="BB112" s="0" t="s">
        <v>240</v>
      </c>
      <c r="BC112" s="0" t="s">
        <v>240</v>
      </c>
      <c r="BD112" s="0" t="s">
        <v>240</v>
      </c>
      <c r="BE112" s="0" t="s">
        <v>240</v>
      </c>
      <c r="BF112" s="0" t="s">
        <v>240</v>
      </c>
      <c r="BG112" s="0" t="s">
        <v>240</v>
      </c>
      <c r="BH112" s="0" t="s">
        <v>240</v>
      </c>
      <c r="BI112" s="0" t="s">
        <v>240</v>
      </c>
      <c r="BJ112" s="0" t="s">
        <v>240</v>
      </c>
      <c r="BK112" s="0" t="s">
        <v>240</v>
      </c>
      <c r="BL112" s="0" t="s">
        <v>240</v>
      </c>
      <c r="BM112" s="0" t="s">
        <v>240</v>
      </c>
      <c r="BN112" s="0" t="s">
        <v>240</v>
      </c>
      <c r="BO112" s="0" t="s">
        <v>240</v>
      </c>
      <c r="BP112" s="0" t="s">
        <v>240</v>
      </c>
      <c r="BQ112" s="0" t="s">
        <v>240</v>
      </c>
      <c r="BR112" s="0" t="s">
        <v>240</v>
      </c>
      <c r="BS112" s="0" t="s">
        <v>240</v>
      </c>
      <c r="BT112" s="0" t="s">
        <v>240</v>
      </c>
      <c r="BU112" s="0" t="s">
        <v>240</v>
      </c>
      <c r="BV112" s="0" t="s">
        <v>240</v>
      </c>
      <c r="BW112" s="0" t="s">
        <v>240</v>
      </c>
      <c r="BX112" s="0" t="s">
        <v>240</v>
      </c>
      <c r="BY112" s="0" t="s">
        <v>240</v>
      </c>
      <c r="BZ112" s="0" t="s">
        <v>240</v>
      </c>
      <c r="CA112" s="0" t="s">
        <v>240</v>
      </c>
      <c r="CB112" s="0" t="s">
        <v>240</v>
      </c>
      <c r="CC112" s="0" t="s">
        <v>240</v>
      </c>
      <c r="CD112" s="0" t="s">
        <v>240</v>
      </c>
      <c r="CE112" s="0" t="s">
        <v>240</v>
      </c>
      <c r="CF112" s="0" t="s">
        <v>240</v>
      </c>
      <c r="CG112" s="0" t="s">
        <v>240</v>
      </c>
      <c r="CH112" s="0" t="s">
        <v>240</v>
      </c>
      <c r="CI112" s="0" t="s">
        <v>240</v>
      </c>
      <c r="CJ112" s="0" t="s">
        <v>240</v>
      </c>
      <c r="CK112" s="0" t="s">
        <v>240</v>
      </c>
      <c r="CL112" s="0" t="s">
        <v>240</v>
      </c>
      <c r="CM112" s="0" t="s">
        <v>240</v>
      </c>
      <c r="CN112" s="0" t="s">
        <v>240</v>
      </c>
      <c r="CO112" s="0" t="s">
        <v>240</v>
      </c>
      <c r="CP112" s="0" t="s">
        <v>240</v>
      </c>
      <c r="CQ112" s="0" t="s">
        <v>240</v>
      </c>
      <c r="CR112" s="0" t="s">
        <v>240</v>
      </c>
      <c r="CS112" s="0" t="s">
        <v>240</v>
      </c>
      <c r="CT112" s="0" t="s">
        <v>5496</v>
      </c>
      <c r="CU112" s="0" t="s">
        <v>5497</v>
      </c>
      <c r="CV112" s="0" t="s">
        <v>443</v>
      </c>
      <c r="CW112" s="0" t="s">
        <v>5580</v>
      </c>
      <c r="CX112" s="0" t="s">
        <v>229</v>
      </c>
      <c r="CY112" s="0" t="s">
        <v>443</v>
      </c>
      <c r="CZ112" s="0" t="s">
        <v>5581</v>
      </c>
      <c r="DA112" s="0" t="s">
        <v>5582</v>
      </c>
      <c r="DB112" s="0" t="s">
        <v>5580</v>
      </c>
      <c r="DC112" s="0" t="s">
        <v>384</v>
      </c>
      <c r="DD112" s="0" t="s">
        <v>291</v>
      </c>
      <c r="DE112" s="0" t="s">
        <v>6098</v>
      </c>
    </row>
    <row customHeight="1" ht="11.25">
      <c r="A113" s="1441" t="s">
        <v>240</v>
      </c>
      <c r="B113" s="0" t="s">
        <v>240</v>
      </c>
      <c r="C113" s="0" t="s">
        <v>240</v>
      </c>
      <c r="D113" s="0" t="s">
        <v>240</v>
      </c>
      <c r="E113" s="0" t="s">
        <v>240</v>
      </c>
      <c r="F113" s="0" t="s">
        <v>240</v>
      </c>
      <c r="G113" s="0" t="s">
        <v>240</v>
      </c>
      <c r="H113" s="0" t="s">
        <v>240</v>
      </c>
      <c r="I113" s="0" t="s">
        <v>5484</v>
      </c>
      <c r="J113" s="0" t="s">
        <v>240</v>
      </c>
      <c r="K113" s="0" t="s">
        <v>240</v>
      </c>
      <c r="L113" s="0" t="s">
        <v>240</v>
      </c>
      <c r="M113" s="0" t="s">
        <v>240</v>
      </c>
      <c r="N113" s="0" t="s">
        <v>240</v>
      </c>
      <c r="O113" s="0" t="s">
        <v>240</v>
      </c>
      <c r="P113" s="0" t="s">
        <v>240</v>
      </c>
      <c r="Q113" s="0" t="s">
        <v>240</v>
      </c>
      <c r="R113" s="0" t="s">
        <v>5572</v>
      </c>
      <c r="S113" s="0" t="s">
        <v>240</v>
      </c>
      <c r="T113" s="0" t="s">
        <v>240</v>
      </c>
      <c r="U113" s="0" t="s">
        <v>102</v>
      </c>
      <c r="V113" s="0" t="s">
        <v>240</v>
      </c>
      <c r="W113" s="0" t="s">
        <v>240</v>
      </c>
      <c r="X113" s="0" t="s">
        <v>5485</v>
      </c>
      <c r="Y113" s="0" t="s">
        <v>240</v>
      </c>
      <c r="Z113" s="0" t="s">
        <v>161</v>
      </c>
      <c r="AA113" s="0" t="s">
        <v>152</v>
      </c>
      <c r="AB113" s="0" t="s">
        <v>152</v>
      </c>
      <c r="AC113" s="0" t="s">
        <v>2989</v>
      </c>
      <c r="AD113" s="0" t="s">
        <v>2989</v>
      </c>
      <c r="AE113" s="0" t="s">
        <v>2990</v>
      </c>
      <c r="AF113" s="0" t="s">
        <v>6095</v>
      </c>
      <c r="AG113" s="0" t="s">
        <v>6096</v>
      </c>
      <c r="AH113" s="0" t="s">
        <v>6099</v>
      </c>
      <c r="AI113" s="0" t="s">
        <v>5575</v>
      </c>
      <c r="AJ113" s="0" t="s">
        <v>5576</v>
      </c>
      <c r="AK113" s="0" t="s">
        <v>6100</v>
      </c>
      <c r="AL113" s="0" t="s">
        <v>5506</v>
      </c>
      <c r="AM113" s="0" t="s">
        <v>5493</v>
      </c>
      <c r="AN113" s="0" t="s">
        <v>5578</v>
      </c>
      <c r="AO113" s="0" t="s">
        <v>6101</v>
      </c>
      <c r="AP113" s="0" t="s">
        <v>240</v>
      </c>
      <c r="AQ113" s="0" t="s">
        <v>240</v>
      </c>
      <c r="AR113" s="0" t="s">
        <v>240</v>
      </c>
      <c r="AS113" s="0" t="s">
        <v>240</v>
      </c>
      <c r="AT113" s="0" t="s">
        <v>240</v>
      </c>
      <c r="AU113" s="0" t="s">
        <v>240</v>
      </c>
      <c r="AV113" s="0" t="s">
        <v>240</v>
      </c>
      <c r="AW113" s="0" t="s">
        <v>240</v>
      </c>
      <c r="AX113" s="0" t="s">
        <v>240</v>
      </c>
      <c r="AY113" s="0" t="s">
        <v>240</v>
      </c>
      <c r="AZ113" s="0" t="s">
        <v>240</v>
      </c>
      <c r="BA113" s="0" t="s">
        <v>240</v>
      </c>
      <c r="BB113" s="0" t="s">
        <v>240</v>
      </c>
      <c r="BC113" s="0" t="s">
        <v>240</v>
      </c>
      <c r="BD113" s="0" t="s">
        <v>240</v>
      </c>
      <c r="BE113" s="0" t="s">
        <v>240</v>
      </c>
      <c r="BF113" s="0" t="s">
        <v>240</v>
      </c>
      <c r="BG113" s="0" t="s">
        <v>240</v>
      </c>
      <c r="BH113" s="0" t="s">
        <v>240</v>
      </c>
      <c r="BI113" s="0" t="s">
        <v>240</v>
      </c>
      <c r="BJ113" s="0" t="s">
        <v>240</v>
      </c>
      <c r="BK113" s="0" t="s">
        <v>240</v>
      </c>
      <c r="BL113" s="0" t="s">
        <v>240</v>
      </c>
      <c r="BM113" s="0" t="s">
        <v>240</v>
      </c>
      <c r="BN113" s="0" t="s">
        <v>240</v>
      </c>
      <c r="BO113" s="0" t="s">
        <v>240</v>
      </c>
      <c r="BP113" s="0" t="s">
        <v>240</v>
      </c>
      <c r="BQ113" s="0" t="s">
        <v>240</v>
      </c>
      <c r="BR113" s="0" t="s">
        <v>240</v>
      </c>
      <c r="BS113" s="0" t="s">
        <v>240</v>
      </c>
      <c r="BT113" s="0" t="s">
        <v>240</v>
      </c>
      <c r="BU113" s="0" t="s">
        <v>240</v>
      </c>
      <c r="BV113" s="0" t="s">
        <v>240</v>
      </c>
      <c r="BW113" s="0" t="s">
        <v>240</v>
      </c>
      <c r="BX113" s="0" t="s">
        <v>240</v>
      </c>
      <c r="BY113" s="0" t="s">
        <v>240</v>
      </c>
      <c r="BZ113" s="0" t="s">
        <v>240</v>
      </c>
      <c r="CA113" s="0" t="s">
        <v>240</v>
      </c>
      <c r="CB113" s="0" t="s">
        <v>240</v>
      </c>
      <c r="CC113" s="0" t="s">
        <v>240</v>
      </c>
      <c r="CD113" s="0" t="s">
        <v>240</v>
      </c>
      <c r="CE113" s="0" t="s">
        <v>240</v>
      </c>
      <c r="CF113" s="0" t="s">
        <v>240</v>
      </c>
      <c r="CG113" s="0" t="s">
        <v>240</v>
      </c>
      <c r="CH113" s="0" t="s">
        <v>240</v>
      </c>
      <c r="CI113" s="0" t="s">
        <v>240</v>
      </c>
      <c r="CJ113" s="0" t="s">
        <v>240</v>
      </c>
      <c r="CK113" s="0" t="s">
        <v>240</v>
      </c>
      <c r="CL113" s="0" t="s">
        <v>240</v>
      </c>
      <c r="CM113" s="0" t="s">
        <v>240</v>
      </c>
      <c r="CN113" s="0" t="s">
        <v>240</v>
      </c>
      <c r="CO113" s="0" t="s">
        <v>240</v>
      </c>
      <c r="CP113" s="0" t="s">
        <v>240</v>
      </c>
      <c r="CQ113" s="0" t="s">
        <v>240</v>
      </c>
      <c r="CR113" s="0" t="s">
        <v>240</v>
      </c>
      <c r="CS113" s="0" t="s">
        <v>240</v>
      </c>
      <c r="CT113" s="0" t="s">
        <v>5496</v>
      </c>
      <c r="CU113" s="0" t="s">
        <v>5497</v>
      </c>
      <c r="CV113" s="0" t="s">
        <v>443</v>
      </c>
      <c r="CW113" s="0" t="s">
        <v>5580</v>
      </c>
      <c r="CX113" s="0" t="s">
        <v>229</v>
      </c>
      <c r="CY113" s="0" t="s">
        <v>443</v>
      </c>
      <c r="CZ113" s="0" t="s">
        <v>5581</v>
      </c>
      <c r="DA113" s="0" t="s">
        <v>5582</v>
      </c>
      <c r="DB113" s="0" t="s">
        <v>5580</v>
      </c>
      <c r="DC113" s="0" t="s">
        <v>384</v>
      </c>
      <c r="DD113" s="0" t="s">
        <v>291</v>
      </c>
      <c r="DE113" s="0" t="s">
        <v>6102</v>
      </c>
    </row>
    <row customHeight="1" ht="11.25">
      <c r="A114" s="1441" t="s">
        <v>240</v>
      </c>
      <c r="B114" s="0" t="s">
        <v>240</v>
      </c>
      <c r="C114" s="0" t="s">
        <v>240</v>
      </c>
      <c r="D114" s="0" t="s">
        <v>240</v>
      </c>
      <c r="E114" s="0" t="s">
        <v>240</v>
      </c>
      <c r="F114" s="0" t="s">
        <v>240</v>
      </c>
      <c r="G114" s="0" t="s">
        <v>240</v>
      </c>
      <c r="H114" s="0" t="s">
        <v>240</v>
      </c>
      <c r="I114" s="0" t="s">
        <v>5484</v>
      </c>
      <c r="J114" s="0" t="s">
        <v>240</v>
      </c>
      <c r="K114" s="0" t="s">
        <v>240</v>
      </c>
      <c r="L114" s="0" t="s">
        <v>240</v>
      </c>
      <c r="M114" s="0" t="s">
        <v>240</v>
      </c>
      <c r="N114" s="0" t="s">
        <v>240</v>
      </c>
      <c r="O114" s="0" t="s">
        <v>240</v>
      </c>
      <c r="P114" s="0" t="s">
        <v>240</v>
      </c>
      <c r="Q114" s="0" t="s">
        <v>240</v>
      </c>
      <c r="R114" s="0" t="s">
        <v>445</v>
      </c>
      <c r="S114" s="0" t="s">
        <v>240</v>
      </c>
      <c r="T114" s="0" t="s">
        <v>240</v>
      </c>
      <c r="U114" s="0" t="s">
        <v>102</v>
      </c>
      <c r="V114" s="0" t="s">
        <v>240</v>
      </c>
      <c r="W114" s="0" t="s">
        <v>240</v>
      </c>
      <c r="X114" s="0" t="s">
        <v>5485</v>
      </c>
      <c r="Y114" s="0" t="s">
        <v>240</v>
      </c>
      <c r="Z114" s="0" t="s">
        <v>161</v>
      </c>
      <c r="AA114" s="0" t="s">
        <v>152</v>
      </c>
      <c r="AB114" s="0" t="s">
        <v>152</v>
      </c>
      <c r="AC114" s="0" t="s">
        <v>364</v>
      </c>
      <c r="AD114" s="0" t="s">
        <v>364</v>
      </c>
      <c r="AE114" s="0" t="s">
        <v>365</v>
      </c>
      <c r="AF114" s="0" t="s">
        <v>5486</v>
      </c>
      <c r="AG114" s="0" t="s">
        <v>5487</v>
      </c>
      <c r="AH114" s="0" t="s">
        <v>6103</v>
      </c>
      <c r="AI114" s="0" t="s">
        <v>5533</v>
      </c>
      <c r="AJ114" s="0" t="s">
        <v>6104</v>
      </c>
      <c r="AK114" s="0" t="s">
        <v>5598</v>
      </c>
      <c r="AL114" s="0" t="s">
        <v>5605</v>
      </c>
      <c r="AM114" s="0" t="s">
        <v>5493</v>
      </c>
      <c r="AN114" s="0" t="s">
        <v>6105</v>
      </c>
      <c r="AO114" s="0" t="s">
        <v>6106</v>
      </c>
      <c r="AP114" s="0" t="s">
        <v>240</v>
      </c>
      <c r="AQ114" s="0" t="s">
        <v>240</v>
      </c>
      <c r="AR114" s="0" t="s">
        <v>240</v>
      </c>
      <c r="AS114" s="0" t="s">
        <v>240</v>
      </c>
      <c r="AT114" s="0" t="s">
        <v>240</v>
      </c>
      <c r="AU114" s="0" t="s">
        <v>240</v>
      </c>
      <c r="AV114" s="0" t="s">
        <v>240</v>
      </c>
      <c r="AW114" s="0" t="s">
        <v>240</v>
      </c>
      <c r="AX114" s="0" t="s">
        <v>240</v>
      </c>
      <c r="AY114" s="0" t="s">
        <v>240</v>
      </c>
      <c r="AZ114" s="0" t="s">
        <v>240</v>
      </c>
      <c r="BA114" s="0" t="s">
        <v>240</v>
      </c>
      <c r="BB114" s="0" t="s">
        <v>240</v>
      </c>
      <c r="BC114" s="0" t="s">
        <v>240</v>
      </c>
      <c r="BD114" s="0" t="s">
        <v>240</v>
      </c>
      <c r="BE114" s="0" t="s">
        <v>240</v>
      </c>
      <c r="BF114" s="0" t="s">
        <v>240</v>
      </c>
      <c r="BG114" s="0" t="s">
        <v>240</v>
      </c>
      <c r="BH114" s="0" t="s">
        <v>240</v>
      </c>
      <c r="BI114" s="0" t="s">
        <v>240</v>
      </c>
      <c r="BJ114" s="0" t="s">
        <v>240</v>
      </c>
      <c r="BK114" s="0" t="s">
        <v>240</v>
      </c>
      <c r="BL114" s="0" t="s">
        <v>240</v>
      </c>
      <c r="BM114" s="0" t="s">
        <v>240</v>
      </c>
      <c r="BN114" s="0" t="s">
        <v>240</v>
      </c>
      <c r="BO114" s="0" t="s">
        <v>240</v>
      </c>
      <c r="BP114" s="0" t="s">
        <v>240</v>
      </c>
      <c r="BQ114" s="0" t="s">
        <v>240</v>
      </c>
      <c r="BR114" s="0" t="s">
        <v>240</v>
      </c>
      <c r="BS114" s="0" t="s">
        <v>240</v>
      </c>
      <c r="BT114" s="0" t="s">
        <v>240</v>
      </c>
      <c r="BU114" s="0" t="s">
        <v>240</v>
      </c>
      <c r="BV114" s="0" t="s">
        <v>240</v>
      </c>
      <c r="BW114" s="0" t="s">
        <v>240</v>
      </c>
      <c r="BX114" s="0" t="s">
        <v>240</v>
      </c>
      <c r="BY114" s="0" t="s">
        <v>240</v>
      </c>
      <c r="BZ114" s="0" t="s">
        <v>240</v>
      </c>
      <c r="CA114" s="0" t="s">
        <v>240</v>
      </c>
      <c r="CB114" s="0" t="s">
        <v>240</v>
      </c>
      <c r="CC114" s="0" t="s">
        <v>240</v>
      </c>
      <c r="CD114" s="0" t="s">
        <v>240</v>
      </c>
      <c r="CE114" s="0" t="s">
        <v>240</v>
      </c>
      <c r="CF114" s="0" t="s">
        <v>240</v>
      </c>
      <c r="CG114" s="0" t="s">
        <v>240</v>
      </c>
      <c r="CH114" s="0" t="s">
        <v>240</v>
      </c>
      <c r="CI114" s="0" t="s">
        <v>240</v>
      </c>
      <c r="CJ114" s="0" t="s">
        <v>240</v>
      </c>
      <c r="CK114" s="0" t="s">
        <v>240</v>
      </c>
      <c r="CL114" s="0" t="s">
        <v>240</v>
      </c>
      <c r="CM114" s="0" t="s">
        <v>240</v>
      </c>
      <c r="CN114" s="0" t="s">
        <v>240</v>
      </c>
      <c r="CO114" s="0" t="s">
        <v>240</v>
      </c>
      <c r="CP114" s="0" t="s">
        <v>240</v>
      </c>
      <c r="CQ114" s="0" t="s">
        <v>240</v>
      </c>
      <c r="CR114" s="0" t="s">
        <v>240</v>
      </c>
      <c r="CS114" s="0" t="s">
        <v>240</v>
      </c>
      <c r="CT114" s="0" t="s">
        <v>5496</v>
      </c>
      <c r="CU114" s="0" t="s">
        <v>5497</v>
      </c>
      <c r="CV114" s="0" t="s">
        <v>443</v>
      </c>
      <c r="CW114" s="0" t="s">
        <v>5498</v>
      </c>
      <c r="CX114" s="0" t="s">
        <v>229</v>
      </c>
      <c r="CY114" s="0" t="s">
        <v>443</v>
      </c>
      <c r="CZ114" s="0" t="s">
        <v>230</v>
      </c>
      <c r="DA114" s="0" t="s">
        <v>444</v>
      </c>
      <c r="DB114" s="0" t="s">
        <v>5498</v>
      </c>
      <c r="DC114" s="0" t="s">
        <v>384</v>
      </c>
      <c r="DD114" s="0" t="s">
        <v>291</v>
      </c>
      <c r="DE114" s="0" t="s">
        <v>446</v>
      </c>
    </row>
    <row customHeight="1" ht="11.25">
      <c r="A115" s="1441" t="s">
        <v>240</v>
      </c>
      <c r="B115" s="0" t="s">
        <v>240</v>
      </c>
      <c r="C115" s="0" t="s">
        <v>240</v>
      </c>
      <c r="D115" s="0" t="s">
        <v>240</v>
      </c>
      <c r="E115" s="0" t="s">
        <v>240</v>
      </c>
      <c r="F115" s="0" t="s">
        <v>240</v>
      </c>
      <c r="G115" s="0" t="s">
        <v>240</v>
      </c>
      <c r="H115" s="0" t="s">
        <v>240</v>
      </c>
      <c r="I115" s="0" t="s">
        <v>5484</v>
      </c>
      <c r="J115" s="0" t="s">
        <v>240</v>
      </c>
      <c r="K115" s="0" t="s">
        <v>240</v>
      </c>
      <c r="L115" s="0" t="s">
        <v>240</v>
      </c>
      <c r="M115" s="0" t="s">
        <v>240</v>
      </c>
      <c r="N115" s="0" t="s">
        <v>240</v>
      </c>
      <c r="O115" s="0" t="s">
        <v>240</v>
      </c>
      <c r="P115" s="0" t="s">
        <v>240</v>
      </c>
      <c r="Q115" s="0" t="s">
        <v>240</v>
      </c>
      <c r="R115" s="0" t="s">
        <v>447</v>
      </c>
      <c r="S115" s="0" t="s">
        <v>240</v>
      </c>
      <c r="T115" s="0" t="s">
        <v>240</v>
      </c>
      <c r="U115" s="0" t="s">
        <v>102</v>
      </c>
      <c r="V115" s="0" t="s">
        <v>240</v>
      </c>
      <c r="W115" s="0" t="s">
        <v>240</v>
      </c>
      <c r="X115" s="0" t="s">
        <v>5485</v>
      </c>
      <c r="Y115" s="0" t="s">
        <v>240</v>
      </c>
      <c r="Z115" s="0" t="s">
        <v>161</v>
      </c>
      <c r="AA115" s="0" t="s">
        <v>152</v>
      </c>
      <c r="AB115" s="0" t="s">
        <v>152</v>
      </c>
      <c r="AC115" s="0" t="s">
        <v>364</v>
      </c>
      <c r="AD115" s="0" t="s">
        <v>364</v>
      </c>
      <c r="AE115" s="0" t="s">
        <v>365</v>
      </c>
      <c r="AF115" s="0" t="s">
        <v>5486</v>
      </c>
      <c r="AG115" s="0" t="s">
        <v>5487</v>
      </c>
      <c r="AH115" s="0" t="s">
        <v>6107</v>
      </c>
      <c r="AI115" s="0" t="s">
        <v>5533</v>
      </c>
      <c r="AJ115" s="0" t="s">
        <v>6104</v>
      </c>
      <c r="AK115" s="0" t="s">
        <v>5598</v>
      </c>
      <c r="AL115" s="0" t="s">
        <v>5605</v>
      </c>
      <c r="AM115" s="0" t="s">
        <v>5493</v>
      </c>
      <c r="AN115" s="0" t="s">
        <v>6105</v>
      </c>
      <c r="AO115" s="0" t="s">
        <v>6108</v>
      </c>
      <c r="AP115" s="0" t="s">
        <v>240</v>
      </c>
      <c r="AQ115" s="0" t="s">
        <v>240</v>
      </c>
      <c r="AR115" s="0" t="s">
        <v>240</v>
      </c>
      <c r="AS115" s="0" t="s">
        <v>240</v>
      </c>
      <c r="AT115" s="0" t="s">
        <v>240</v>
      </c>
      <c r="AU115" s="0" t="s">
        <v>240</v>
      </c>
      <c r="AV115" s="0" t="s">
        <v>240</v>
      </c>
      <c r="AW115" s="0" t="s">
        <v>240</v>
      </c>
      <c r="AX115" s="0" t="s">
        <v>240</v>
      </c>
      <c r="AY115" s="0" t="s">
        <v>240</v>
      </c>
      <c r="AZ115" s="0" t="s">
        <v>240</v>
      </c>
      <c r="BA115" s="0" t="s">
        <v>240</v>
      </c>
      <c r="BB115" s="0" t="s">
        <v>240</v>
      </c>
      <c r="BC115" s="0" t="s">
        <v>240</v>
      </c>
      <c r="BD115" s="0" t="s">
        <v>240</v>
      </c>
      <c r="BE115" s="0" t="s">
        <v>240</v>
      </c>
      <c r="BF115" s="0" t="s">
        <v>240</v>
      </c>
      <c r="BG115" s="0" t="s">
        <v>240</v>
      </c>
      <c r="BH115" s="0" t="s">
        <v>240</v>
      </c>
      <c r="BI115" s="0" t="s">
        <v>240</v>
      </c>
      <c r="BJ115" s="0" t="s">
        <v>240</v>
      </c>
      <c r="BK115" s="0" t="s">
        <v>240</v>
      </c>
      <c r="BL115" s="0" t="s">
        <v>240</v>
      </c>
      <c r="BM115" s="0" t="s">
        <v>240</v>
      </c>
      <c r="BN115" s="0" t="s">
        <v>240</v>
      </c>
      <c r="BO115" s="0" t="s">
        <v>240</v>
      </c>
      <c r="BP115" s="0" t="s">
        <v>240</v>
      </c>
      <c r="BQ115" s="0" t="s">
        <v>240</v>
      </c>
      <c r="BR115" s="0" t="s">
        <v>240</v>
      </c>
      <c r="BS115" s="0" t="s">
        <v>240</v>
      </c>
      <c r="BT115" s="0" t="s">
        <v>240</v>
      </c>
      <c r="BU115" s="0" t="s">
        <v>240</v>
      </c>
      <c r="BV115" s="0" t="s">
        <v>240</v>
      </c>
      <c r="BW115" s="0" t="s">
        <v>240</v>
      </c>
      <c r="BX115" s="0" t="s">
        <v>240</v>
      </c>
      <c r="BY115" s="0" t="s">
        <v>240</v>
      </c>
      <c r="BZ115" s="0" t="s">
        <v>240</v>
      </c>
      <c r="CA115" s="0" t="s">
        <v>240</v>
      </c>
      <c r="CB115" s="0" t="s">
        <v>240</v>
      </c>
      <c r="CC115" s="0" t="s">
        <v>240</v>
      </c>
      <c r="CD115" s="0" t="s">
        <v>240</v>
      </c>
      <c r="CE115" s="0" t="s">
        <v>240</v>
      </c>
      <c r="CF115" s="0" t="s">
        <v>240</v>
      </c>
      <c r="CG115" s="0" t="s">
        <v>240</v>
      </c>
      <c r="CH115" s="0" t="s">
        <v>240</v>
      </c>
      <c r="CI115" s="0" t="s">
        <v>240</v>
      </c>
      <c r="CJ115" s="0" t="s">
        <v>240</v>
      </c>
      <c r="CK115" s="0" t="s">
        <v>240</v>
      </c>
      <c r="CL115" s="0" t="s">
        <v>240</v>
      </c>
      <c r="CM115" s="0" t="s">
        <v>240</v>
      </c>
      <c r="CN115" s="0" t="s">
        <v>240</v>
      </c>
      <c r="CO115" s="0" t="s">
        <v>240</v>
      </c>
      <c r="CP115" s="0" t="s">
        <v>240</v>
      </c>
      <c r="CQ115" s="0" t="s">
        <v>240</v>
      </c>
      <c r="CR115" s="0" t="s">
        <v>240</v>
      </c>
      <c r="CS115" s="0" t="s">
        <v>240</v>
      </c>
      <c r="CT115" s="0" t="s">
        <v>5496</v>
      </c>
      <c r="CU115" s="0" t="s">
        <v>5497</v>
      </c>
      <c r="CV115" s="0" t="s">
        <v>443</v>
      </c>
      <c r="CW115" s="0" t="s">
        <v>5498</v>
      </c>
      <c r="CX115" s="0" t="s">
        <v>229</v>
      </c>
      <c r="CY115" s="0" t="s">
        <v>443</v>
      </c>
      <c r="CZ115" s="0" t="s">
        <v>230</v>
      </c>
      <c r="DA115" s="0" t="s">
        <v>444</v>
      </c>
      <c r="DB115" s="0" t="s">
        <v>5498</v>
      </c>
      <c r="DC115" s="0" t="s">
        <v>384</v>
      </c>
      <c r="DD115" s="0" t="s">
        <v>291</v>
      </c>
      <c r="DE115" s="0" t="s">
        <v>448</v>
      </c>
    </row>
    <row customHeight="1" ht="11.25">
      <c r="A116" s="1441" t="s">
        <v>240</v>
      </c>
      <c r="B116" s="0" t="s">
        <v>240</v>
      </c>
      <c r="C116" s="0" t="s">
        <v>240</v>
      </c>
      <c r="D116" s="0" t="s">
        <v>240</v>
      </c>
      <c r="E116" s="0" t="s">
        <v>240</v>
      </c>
      <c r="F116" s="0" t="s">
        <v>240</v>
      </c>
      <c r="G116" s="0" t="s">
        <v>240</v>
      </c>
      <c r="H116" s="0" t="s">
        <v>240</v>
      </c>
      <c r="I116" s="0" t="s">
        <v>5484</v>
      </c>
      <c r="J116" s="0" t="s">
        <v>240</v>
      </c>
      <c r="K116" s="0" t="s">
        <v>240</v>
      </c>
      <c r="L116" s="0" t="s">
        <v>240</v>
      </c>
      <c r="M116" s="0" t="s">
        <v>240</v>
      </c>
      <c r="N116" s="0" t="s">
        <v>240</v>
      </c>
      <c r="O116" s="0" t="s">
        <v>240</v>
      </c>
      <c r="P116" s="0" t="s">
        <v>240</v>
      </c>
      <c r="Q116" s="0" t="s">
        <v>240</v>
      </c>
      <c r="R116" s="0" t="s">
        <v>5608</v>
      </c>
      <c r="S116" s="0" t="s">
        <v>240</v>
      </c>
      <c r="T116" s="0" t="s">
        <v>240</v>
      </c>
      <c r="U116" s="0" t="s">
        <v>102</v>
      </c>
      <c r="V116" s="0" t="s">
        <v>240</v>
      </c>
      <c r="W116" s="0" t="s">
        <v>240</v>
      </c>
      <c r="X116" s="0" t="s">
        <v>5485</v>
      </c>
      <c r="Y116" s="0" t="s">
        <v>240</v>
      </c>
      <c r="Z116" s="0" t="s">
        <v>161</v>
      </c>
      <c r="AA116" s="0" t="s">
        <v>152</v>
      </c>
      <c r="AB116" s="0" t="s">
        <v>152</v>
      </c>
      <c r="AC116" s="0" t="s">
        <v>2985</v>
      </c>
      <c r="AD116" s="0" t="s">
        <v>2985</v>
      </c>
      <c r="AE116" s="0" t="s">
        <v>2986</v>
      </c>
      <c r="AF116" s="0" t="s">
        <v>5913</v>
      </c>
      <c r="AG116" s="0" t="s">
        <v>5914</v>
      </c>
      <c r="AH116" s="0" t="s">
        <v>5514</v>
      </c>
      <c r="AI116" s="0" t="s">
        <v>485</v>
      </c>
      <c r="AJ116" s="0" t="s">
        <v>5504</v>
      </c>
      <c r="AK116" s="0" t="s">
        <v>5505</v>
      </c>
      <c r="AL116" s="0" t="s">
        <v>6109</v>
      </c>
      <c r="AM116" s="0" t="s">
        <v>5493</v>
      </c>
      <c r="AN116" s="0" t="s">
        <v>5507</v>
      </c>
      <c r="AO116" s="0" t="s">
        <v>5768</v>
      </c>
      <c r="AP116" s="0" t="s">
        <v>240</v>
      </c>
      <c r="AQ116" s="0" t="s">
        <v>240</v>
      </c>
      <c r="AR116" s="0" t="s">
        <v>240</v>
      </c>
      <c r="AS116" s="0" t="s">
        <v>240</v>
      </c>
      <c r="AT116" s="0" t="s">
        <v>240</v>
      </c>
      <c r="AU116" s="0" t="s">
        <v>240</v>
      </c>
      <c r="AV116" s="0" t="s">
        <v>240</v>
      </c>
      <c r="AW116" s="0" t="s">
        <v>240</v>
      </c>
      <c r="AX116" s="0" t="s">
        <v>240</v>
      </c>
      <c r="AY116" s="0" t="s">
        <v>240</v>
      </c>
      <c r="AZ116" s="0" t="s">
        <v>240</v>
      </c>
      <c r="BA116" s="0" t="s">
        <v>240</v>
      </c>
      <c r="BB116" s="0" t="s">
        <v>240</v>
      </c>
      <c r="BC116" s="0" t="s">
        <v>240</v>
      </c>
      <c r="BD116" s="0" t="s">
        <v>240</v>
      </c>
      <c r="BE116" s="0" t="s">
        <v>240</v>
      </c>
      <c r="BF116" s="0" t="s">
        <v>240</v>
      </c>
      <c r="BG116" s="0" t="s">
        <v>240</v>
      </c>
      <c r="BH116" s="0" t="s">
        <v>240</v>
      </c>
      <c r="BI116" s="0" t="s">
        <v>240</v>
      </c>
      <c r="BJ116" s="0" t="s">
        <v>240</v>
      </c>
      <c r="BK116" s="0" t="s">
        <v>240</v>
      </c>
      <c r="BL116" s="0" t="s">
        <v>240</v>
      </c>
      <c r="BM116" s="0" t="s">
        <v>240</v>
      </c>
      <c r="BN116" s="0" t="s">
        <v>240</v>
      </c>
      <c r="BO116" s="0" t="s">
        <v>240</v>
      </c>
      <c r="BP116" s="0" t="s">
        <v>240</v>
      </c>
      <c r="BQ116" s="0" t="s">
        <v>240</v>
      </c>
      <c r="BR116" s="0" t="s">
        <v>240</v>
      </c>
      <c r="BS116" s="0" t="s">
        <v>240</v>
      </c>
      <c r="BT116" s="0" t="s">
        <v>240</v>
      </c>
      <c r="BU116" s="0" t="s">
        <v>240</v>
      </c>
      <c r="BV116" s="0" t="s">
        <v>240</v>
      </c>
      <c r="BW116" s="0" t="s">
        <v>240</v>
      </c>
      <c r="BX116" s="0" t="s">
        <v>240</v>
      </c>
      <c r="BY116" s="0" t="s">
        <v>240</v>
      </c>
      <c r="BZ116" s="0" t="s">
        <v>240</v>
      </c>
      <c r="CA116" s="0" t="s">
        <v>240</v>
      </c>
      <c r="CB116" s="0" t="s">
        <v>240</v>
      </c>
      <c r="CC116" s="0" t="s">
        <v>240</v>
      </c>
      <c r="CD116" s="0" t="s">
        <v>240</v>
      </c>
      <c r="CE116" s="0" t="s">
        <v>240</v>
      </c>
      <c r="CF116" s="0" t="s">
        <v>240</v>
      </c>
      <c r="CG116" s="0" t="s">
        <v>240</v>
      </c>
      <c r="CH116" s="0" t="s">
        <v>240</v>
      </c>
      <c r="CI116" s="0" t="s">
        <v>240</v>
      </c>
      <c r="CJ116" s="0" t="s">
        <v>240</v>
      </c>
      <c r="CK116" s="0" t="s">
        <v>240</v>
      </c>
      <c r="CL116" s="0" t="s">
        <v>240</v>
      </c>
      <c r="CM116" s="0" t="s">
        <v>240</v>
      </c>
      <c r="CN116" s="0" t="s">
        <v>240</v>
      </c>
      <c r="CO116" s="0" t="s">
        <v>240</v>
      </c>
      <c r="CP116" s="0" t="s">
        <v>240</v>
      </c>
      <c r="CQ116" s="0" t="s">
        <v>240</v>
      </c>
      <c r="CR116" s="0" t="s">
        <v>240</v>
      </c>
      <c r="CS116" s="0" t="s">
        <v>240</v>
      </c>
      <c r="CT116" s="0" t="s">
        <v>5496</v>
      </c>
      <c r="CU116" s="0" t="s">
        <v>5497</v>
      </c>
      <c r="CV116" s="0" t="s">
        <v>443</v>
      </c>
      <c r="CW116" s="0" t="s">
        <v>5509</v>
      </c>
      <c r="CX116" s="0" t="s">
        <v>229</v>
      </c>
      <c r="CY116" s="0" t="s">
        <v>443</v>
      </c>
      <c r="CZ116" s="0" t="s">
        <v>5510</v>
      </c>
      <c r="DA116" s="0" t="s">
        <v>5511</v>
      </c>
      <c r="DB116" s="0" t="s">
        <v>5509</v>
      </c>
      <c r="DC116" s="0" t="s">
        <v>384</v>
      </c>
      <c r="DD116" s="0" t="s">
        <v>291</v>
      </c>
      <c r="DE116" s="0" t="s">
        <v>6110</v>
      </c>
    </row>
    <row customHeight="1" ht="11.25">
      <c r="A117" s="1441" t="s">
        <v>240</v>
      </c>
      <c r="B117" s="0" t="s">
        <v>240</v>
      </c>
      <c r="C117" s="0" t="s">
        <v>240</v>
      </c>
      <c r="D117" s="0" t="s">
        <v>240</v>
      </c>
      <c r="E117" s="0" t="s">
        <v>240</v>
      </c>
      <c r="F117" s="0" t="s">
        <v>240</v>
      </c>
      <c r="G117" s="0" t="s">
        <v>240</v>
      </c>
      <c r="H117" s="0" t="s">
        <v>240</v>
      </c>
      <c r="I117" s="0" t="s">
        <v>5484</v>
      </c>
      <c r="J117" s="0" t="s">
        <v>240</v>
      </c>
      <c r="K117" s="0" t="s">
        <v>240</v>
      </c>
      <c r="L117" s="0" t="s">
        <v>240</v>
      </c>
      <c r="M117" s="0" t="s">
        <v>240</v>
      </c>
      <c r="N117" s="0" t="s">
        <v>240</v>
      </c>
      <c r="O117" s="0" t="s">
        <v>240</v>
      </c>
      <c r="P117" s="0" t="s">
        <v>240</v>
      </c>
      <c r="Q117" s="0" t="s">
        <v>240</v>
      </c>
      <c r="R117" s="0" t="s">
        <v>5608</v>
      </c>
      <c r="S117" s="0" t="s">
        <v>240</v>
      </c>
      <c r="T117" s="0" t="s">
        <v>240</v>
      </c>
      <c r="U117" s="0" t="s">
        <v>102</v>
      </c>
      <c r="V117" s="0" t="s">
        <v>240</v>
      </c>
      <c r="W117" s="0" t="s">
        <v>240</v>
      </c>
      <c r="X117" s="0" t="s">
        <v>5485</v>
      </c>
      <c r="Y117" s="0" t="s">
        <v>240</v>
      </c>
      <c r="Z117" s="0" t="s">
        <v>161</v>
      </c>
      <c r="AA117" s="0" t="s">
        <v>152</v>
      </c>
      <c r="AB117" s="0" t="s">
        <v>152</v>
      </c>
      <c r="AC117" s="0" t="s">
        <v>2985</v>
      </c>
      <c r="AD117" s="0" t="s">
        <v>2985</v>
      </c>
      <c r="AE117" s="0" t="s">
        <v>2986</v>
      </c>
      <c r="AF117" s="0" t="s">
        <v>5913</v>
      </c>
      <c r="AG117" s="0" t="s">
        <v>5914</v>
      </c>
      <c r="AH117" s="0" t="s">
        <v>5514</v>
      </c>
      <c r="AI117" s="0" t="s">
        <v>6111</v>
      </c>
      <c r="AJ117" s="0" t="s">
        <v>5504</v>
      </c>
      <c r="AK117" s="0" t="s">
        <v>5505</v>
      </c>
      <c r="AL117" s="0" t="s">
        <v>6109</v>
      </c>
      <c r="AM117" s="0" t="s">
        <v>5493</v>
      </c>
      <c r="AN117" s="0" t="s">
        <v>5507</v>
      </c>
      <c r="AO117" s="0" t="s">
        <v>5768</v>
      </c>
      <c r="AP117" s="0" t="s">
        <v>240</v>
      </c>
      <c r="AQ117" s="0" t="s">
        <v>240</v>
      </c>
      <c r="AR117" s="0" t="s">
        <v>240</v>
      </c>
      <c r="AS117" s="0" t="s">
        <v>240</v>
      </c>
      <c r="AT117" s="0" t="s">
        <v>240</v>
      </c>
      <c r="AU117" s="0" t="s">
        <v>240</v>
      </c>
      <c r="AV117" s="0" t="s">
        <v>240</v>
      </c>
      <c r="AW117" s="0" t="s">
        <v>240</v>
      </c>
      <c r="AX117" s="0" t="s">
        <v>240</v>
      </c>
      <c r="AY117" s="0" t="s">
        <v>240</v>
      </c>
      <c r="AZ117" s="0" t="s">
        <v>240</v>
      </c>
      <c r="BA117" s="0" t="s">
        <v>240</v>
      </c>
      <c r="BB117" s="0" t="s">
        <v>240</v>
      </c>
      <c r="BC117" s="0" t="s">
        <v>240</v>
      </c>
      <c r="BD117" s="0" t="s">
        <v>240</v>
      </c>
      <c r="BE117" s="0" t="s">
        <v>240</v>
      </c>
      <c r="BF117" s="0" t="s">
        <v>240</v>
      </c>
      <c r="BG117" s="0" t="s">
        <v>240</v>
      </c>
      <c r="BH117" s="0" t="s">
        <v>240</v>
      </c>
      <c r="BI117" s="0" t="s">
        <v>240</v>
      </c>
      <c r="BJ117" s="0" t="s">
        <v>240</v>
      </c>
      <c r="BK117" s="0" t="s">
        <v>240</v>
      </c>
      <c r="BL117" s="0" t="s">
        <v>240</v>
      </c>
      <c r="BM117" s="0" t="s">
        <v>240</v>
      </c>
      <c r="BN117" s="0" t="s">
        <v>240</v>
      </c>
      <c r="BO117" s="0" t="s">
        <v>240</v>
      </c>
      <c r="BP117" s="0" t="s">
        <v>240</v>
      </c>
      <c r="BQ117" s="0" t="s">
        <v>240</v>
      </c>
      <c r="BR117" s="0" t="s">
        <v>240</v>
      </c>
      <c r="BS117" s="0" t="s">
        <v>240</v>
      </c>
      <c r="BT117" s="0" t="s">
        <v>240</v>
      </c>
      <c r="BU117" s="0" t="s">
        <v>240</v>
      </c>
      <c r="BV117" s="0" t="s">
        <v>240</v>
      </c>
      <c r="BW117" s="0" t="s">
        <v>240</v>
      </c>
      <c r="BX117" s="0" t="s">
        <v>240</v>
      </c>
      <c r="BY117" s="0" t="s">
        <v>240</v>
      </c>
      <c r="BZ117" s="0" t="s">
        <v>240</v>
      </c>
      <c r="CA117" s="0" t="s">
        <v>240</v>
      </c>
      <c r="CB117" s="0" t="s">
        <v>240</v>
      </c>
      <c r="CC117" s="0" t="s">
        <v>240</v>
      </c>
      <c r="CD117" s="0" t="s">
        <v>240</v>
      </c>
      <c r="CE117" s="0" t="s">
        <v>240</v>
      </c>
      <c r="CF117" s="0" t="s">
        <v>240</v>
      </c>
      <c r="CG117" s="0" t="s">
        <v>240</v>
      </c>
      <c r="CH117" s="0" t="s">
        <v>240</v>
      </c>
      <c r="CI117" s="0" t="s">
        <v>240</v>
      </c>
      <c r="CJ117" s="0" t="s">
        <v>240</v>
      </c>
      <c r="CK117" s="0" t="s">
        <v>240</v>
      </c>
      <c r="CL117" s="0" t="s">
        <v>240</v>
      </c>
      <c r="CM117" s="0" t="s">
        <v>240</v>
      </c>
      <c r="CN117" s="0" t="s">
        <v>240</v>
      </c>
      <c r="CO117" s="0" t="s">
        <v>240</v>
      </c>
      <c r="CP117" s="0" t="s">
        <v>240</v>
      </c>
      <c r="CQ117" s="0" t="s">
        <v>240</v>
      </c>
      <c r="CR117" s="0" t="s">
        <v>240</v>
      </c>
      <c r="CS117" s="0" t="s">
        <v>240</v>
      </c>
      <c r="CT117" s="0" t="s">
        <v>5496</v>
      </c>
      <c r="CU117" s="0" t="s">
        <v>5497</v>
      </c>
      <c r="CV117" s="0" t="s">
        <v>443</v>
      </c>
      <c r="CW117" s="0" t="s">
        <v>5509</v>
      </c>
      <c r="CX117" s="0" t="s">
        <v>229</v>
      </c>
      <c r="CY117" s="0" t="s">
        <v>443</v>
      </c>
      <c r="CZ117" s="0" t="s">
        <v>5510</v>
      </c>
      <c r="DA117" s="0" t="s">
        <v>5511</v>
      </c>
      <c r="DB117" s="0" t="s">
        <v>5509</v>
      </c>
      <c r="DC117" s="0" t="s">
        <v>384</v>
      </c>
      <c r="DD117" s="0" t="s">
        <v>291</v>
      </c>
      <c r="DE117" s="0" t="s">
        <v>6112</v>
      </c>
    </row>
    <row customHeight="1" ht="11.25">
      <c r="A118" s="1441" t="s">
        <v>240</v>
      </c>
      <c r="B118" s="0" t="s">
        <v>240</v>
      </c>
      <c r="C118" s="0" t="s">
        <v>240</v>
      </c>
      <c r="D118" s="0" t="s">
        <v>240</v>
      </c>
      <c r="E118" s="0" t="s">
        <v>240</v>
      </c>
      <c r="F118" s="0" t="s">
        <v>240</v>
      </c>
      <c r="G118" s="0" t="s">
        <v>240</v>
      </c>
      <c r="H118" s="0" t="s">
        <v>240</v>
      </c>
      <c r="I118" s="0" t="s">
        <v>5484</v>
      </c>
      <c r="J118" s="0" t="s">
        <v>240</v>
      </c>
      <c r="K118" s="0" t="s">
        <v>240</v>
      </c>
      <c r="L118" s="0" t="s">
        <v>240</v>
      </c>
      <c r="M118" s="0" t="s">
        <v>240</v>
      </c>
      <c r="N118" s="0" t="s">
        <v>240</v>
      </c>
      <c r="O118" s="0" t="s">
        <v>240</v>
      </c>
      <c r="P118" s="0" t="s">
        <v>240</v>
      </c>
      <c r="Q118" s="0" t="s">
        <v>240</v>
      </c>
      <c r="R118" s="0" t="s">
        <v>5572</v>
      </c>
      <c r="S118" s="0" t="s">
        <v>240</v>
      </c>
      <c r="T118" s="0" t="s">
        <v>240</v>
      </c>
      <c r="U118" s="0" t="s">
        <v>102</v>
      </c>
      <c r="V118" s="0" t="s">
        <v>240</v>
      </c>
      <c r="W118" s="0" t="s">
        <v>240</v>
      </c>
      <c r="X118" s="0" t="s">
        <v>5485</v>
      </c>
      <c r="Y118" s="0" t="s">
        <v>240</v>
      </c>
      <c r="Z118" s="0" t="s">
        <v>161</v>
      </c>
      <c r="AA118" s="0" t="s">
        <v>152</v>
      </c>
      <c r="AB118" s="0" t="s">
        <v>152</v>
      </c>
      <c r="AC118" s="0" t="s">
        <v>2991</v>
      </c>
      <c r="AD118" s="0" t="s">
        <v>2991</v>
      </c>
      <c r="AE118" s="0" t="s">
        <v>2992</v>
      </c>
      <c r="AF118" s="0" t="s">
        <v>6113</v>
      </c>
      <c r="AG118" s="0" t="s">
        <v>6114</v>
      </c>
      <c r="AH118" s="0" t="s">
        <v>5774</v>
      </c>
      <c r="AI118" s="0" t="s">
        <v>5730</v>
      </c>
      <c r="AJ118" s="0" t="s">
        <v>5552</v>
      </c>
      <c r="AK118" s="0" t="s">
        <v>5672</v>
      </c>
      <c r="AL118" s="0" t="s">
        <v>5506</v>
      </c>
      <c r="AM118" s="0" t="s">
        <v>5493</v>
      </c>
      <c r="AN118" s="0" t="s">
        <v>5553</v>
      </c>
      <c r="AO118" s="0" t="s">
        <v>5752</v>
      </c>
      <c r="AP118" s="0" t="s">
        <v>240</v>
      </c>
      <c r="AQ118" s="0" t="s">
        <v>240</v>
      </c>
      <c r="AR118" s="0" t="s">
        <v>240</v>
      </c>
      <c r="AS118" s="0" t="s">
        <v>240</v>
      </c>
      <c r="AT118" s="0" t="s">
        <v>240</v>
      </c>
      <c r="AU118" s="0" t="s">
        <v>240</v>
      </c>
      <c r="AV118" s="0" t="s">
        <v>240</v>
      </c>
      <c r="AW118" s="0" t="s">
        <v>240</v>
      </c>
      <c r="AX118" s="0" t="s">
        <v>240</v>
      </c>
      <c r="AY118" s="0" t="s">
        <v>240</v>
      </c>
      <c r="AZ118" s="0" t="s">
        <v>240</v>
      </c>
      <c r="BA118" s="0" t="s">
        <v>240</v>
      </c>
      <c r="BB118" s="0" t="s">
        <v>240</v>
      </c>
      <c r="BC118" s="0" t="s">
        <v>240</v>
      </c>
      <c r="BD118" s="0" t="s">
        <v>240</v>
      </c>
      <c r="BE118" s="0" t="s">
        <v>240</v>
      </c>
      <c r="BF118" s="0" t="s">
        <v>240</v>
      </c>
      <c r="BG118" s="0" t="s">
        <v>240</v>
      </c>
      <c r="BH118" s="0" t="s">
        <v>240</v>
      </c>
      <c r="BI118" s="0" t="s">
        <v>240</v>
      </c>
      <c r="BJ118" s="0" t="s">
        <v>240</v>
      </c>
      <c r="BK118" s="0" t="s">
        <v>240</v>
      </c>
      <c r="BL118" s="0" t="s">
        <v>240</v>
      </c>
      <c r="BM118" s="0" t="s">
        <v>240</v>
      </c>
      <c r="BN118" s="0" t="s">
        <v>240</v>
      </c>
      <c r="BO118" s="0" t="s">
        <v>240</v>
      </c>
      <c r="BP118" s="0" t="s">
        <v>240</v>
      </c>
      <c r="BQ118" s="0" t="s">
        <v>240</v>
      </c>
      <c r="BR118" s="0" t="s">
        <v>240</v>
      </c>
      <c r="BS118" s="0" t="s">
        <v>240</v>
      </c>
      <c r="BT118" s="0" t="s">
        <v>240</v>
      </c>
      <c r="BU118" s="0" t="s">
        <v>240</v>
      </c>
      <c r="BV118" s="0" t="s">
        <v>240</v>
      </c>
      <c r="BW118" s="0" t="s">
        <v>240</v>
      </c>
      <c r="BX118" s="0" t="s">
        <v>240</v>
      </c>
      <c r="BY118" s="0" t="s">
        <v>240</v>
      </c>
      <c r="BZ118" s="0" t="s">
        <v>240</v>
      </c>
      <c r="CA118" s="0" t="s">
        <v>240</v>
      </c>
      <c r="CB118" s="0" t="s">
        <v>240</v>
      </c>
      <c r="CC118" s="0" t="s">
        <v>240</v>
      </c>
      <c r="CD118" s="0" t="s">
        <v>240</v>
      </c>
      <c r="CE118" s="0" t="s">
        <v>240</v>
      </c>
      <c r="CF118" s="0" t="s">
        <v>240</v>
      </c>
      <c r="CG118" s="0" t="s">
        <v>240</v>
      </c>
      <c r="CH118" s="0" t="s">
        <v>240</v>
      </c>
      <c r="CI118" s="0" t="s">
        <v>240</v>
      </c>
      <c r="CJ118" s="0" t="s">
        <v>240</v>
      </c>
      <c r="CK118" s="0" t="s">
        <v>240</v>
      </c>
      <c r="CL118" s="0" t="s">
        <v>240</v>
      </c>
      <c r="CM118" s="0" t="s">
        <v>240</v>
      </c>
      <c r="CN118" s="0" t="s">
        <v>240</v>
      </c>
      <c r="CO118" s="0" t="s">
        <v>240</v>
      </c>
      <c r="CP118" s="0" t="s">
        <v>240</v>
      </c>
      <c r="CQ118" s="0" t="s">
        <v>240</v>
      </c>
      <c r="CR118" s="0" t="s">
        <v>240</v>
      </c>
      <c r="CS118" s="0" t="s">
        <v>240</v>
      </c>
      <c r="CT118" s="0" t="s">
        <v>5496</v>
      </c>
      <c r="CU118" s="0" t="s">
        <v>5497</v>
      </c>
      <c r="CV118" s="0" t="s">
        <v>443</v>
      </c>
      <c r="CW118" s="0" t="s">
        <v>5547</v>
      </c>
      <c r="CX118" s="0" t="s">
        <v>229</v>
      </c>
      <c r="CY118" s="0" t="s">
        <v>443</v>
      </c>
      <c r="CZ118" s="0" t="s">
        <v>5548</v>
      </c>
      <c r="DA118" s="0" t="s">
        <v>5549</v>
      </c>
      <c r="DB118" s="0" t="s">
        <v>5547</v>
      </c>
      <c r="DC118" s="0" t="s">
        <v>384</v>
      </c>
      <c r="DD118" s="0" t="s">
        <v>291</v>
      </c>
      <c r="DE118" s="0" t="s">
        <v>6115</v>
      </c>
    </row>
    <row customHeight="1" ht="11.25">
      <c r="A119" s="1441" t="s">
        <v>240</v>
      </c>
      <c r="B119" s="0" t="s">
        <v>240</v>
      </c>
      <c r="C119" s="0" t="s">
        <v>240</v>
      </c>
      <c r="D119" s="0" t="s">
        <v>240</v>
      </c>
      <c r="E119" s="0" t="s">
        <v>240</v>
      </c>
      <c r="F119" s="0" t="s">
        <v>240</v>
      </c>
      <c r="G119" s="0" t="s">
        <v>240</v>
      </c>
      <c r="H119" s="0" t="s">
        <v>240</v>
      </c>
      <c r="I119" s="0" t="s">
        <v>5484</v>
      </c>
      <c r="J119" s="0" t="s">
        <v>240</v>
      </c>
      <c r="K119" s="0" t="s">
        <v>240</v>
      </c>
      <c r="L119" s="0" t="s">
        <v>240</v>
      </c>
      <c r="M119" s="0" t="s">
        <v>240</v>
      </c>
      <c r="N119" s="0" t="s">
        <v>240</v>
      </c>
      <c r="O119" s="0" t="s">
        <v>240</v>
      </c>
      <c r="P119" s="0" t="s">
        <v>240</v>
      </c>
      <c r="Q119" s="0" t="s">
        <v>240</v>
      </c>
      <c r="R119" s="0" t="s">
        <v>5572</v>
      </c>
      <c r="S119" s="0" t="s">
        <v>240</v>
      </c>
      <c r="T119" s="0" t="s">
        <v>240</v>
      </c>
      <c r="U119" s="0" t="s">
        <v>102</v>
      </c>
      <c r="V119" s="0" t="s">
        <v>240</v>
      </c>
      <c r="W119" s="0" t="s">
        <v>240</v>
      </c>
      <c r="X119" s="0" t="s">
        <v>5485</v>
      </c>
      <c r="Y119" s="0" t="s">
        <v>240</v>
      </c>
      <c r="Z119" s="0" t="s">
        <v>161</v>
      </c>
      <c r="AA119" s="0" t="s">
        <v>152</v>
      </c>
      <c r="AB119" s="0" t="s">
        <v>152</v>
      </c>
      <c r="AC119" s="0" t="s">
        <v>2991</v>
      </c>
      <c r="AD119" s="0" t="s">
        <v>2991</v>
      </c>
      <c r="AE119" s="0" t="s">
        <v>2992</v>
      </c>
      <c r="AF119" s="0" t="s">
        <v>5844</v>
      </c>
      <c r="AG119" s="0" t="s">
        <v>5845</v>
      </c>
      <c r="AH119" s="0" t="s">
        <v>6116</v>
      </c>
      <c r="AI119" s="0" t="s">
        <v>5734</v>
      </c>
      <c r="AJ119" s="0" t="s">
        <v>5504</v>
      </c>
      <c r="AK119" s="0" t="s">
        <v>5544</v>
      </c>
      <c r="AL119" s="0" t="s">
        <v>5506</v>
      </c>
      <c r="AM119" s="0" t="s">
        <v>5493</v>
      </c>
      <c r="AN119" s="0" t="s">
        <v>5545</v>
      </c>
      <c r="AO119" s="0" t="s">
        <v>5508</v>
      </c>
      <c r="AP119" s="0" t="s">
        <v>240</v>
      </c>
      <c r="AQ119" s="0" t="s">
        <v>240</v>
      </c>
      <c r="AR119" s="0" t="s">
        <v>240</v>
      </c>
      <c r="AS119" s="0" t="s">
        <v>240</v>
      </c>
      <c r="AT119" s="0" t="s">
        <v>240</v>
      </c>
      <c r="AU119" s="0" t="s">
        <v>240</v>
      </c>
      <c r="AV119" s="0" t="s">
        <v>240</v>
      </c>
      <c r="AW119" s="0" t="s">
        <v>240</v>
      </c>
      <c r="AX119" s="0" t="s">
        <v>240</v>
      </c>
      <c r="AY119" s="0" t="s">
        <v>240</v>
      </c>
      <c r="AZ119" s="0" t="s">
        <v>240</v>
      </c>
      <c r="BA119" s="0" t="s">
        <v>240</v>
      </c>
      <c r="BB119" s="0" t="s">
        <v>240</v>
      </c>
      <c r="BC119" s="0" t="s">
        <v>240</v>
      </c>
      <c r="BD119" s="0" t="s">
        <v>240</v>
      </c>
      <c r="BE119" s="0" t="s">
        <v>240</v>
      </c>
      <c r="BF119" s="0" t="s">
        <v>240</v>
      </c>
      <c r="BG119" s="0" t="s">
        <v>240</v>
      </c>
      <c r="BH119" s="0" t="s">
        <v>240</v>
      </c>
      <c r="BI119" s="0" t="s">
        <v>240</v>
      </c>
      <c r="BJ119" s="0" t="s">
        <v>240</v>
      </c>
      <c r="BK119" s="0" t="s">
        <v>240</v>
      </c>
      <c r="BL119" s="0" t="s">
        <v>240</v>
      </c>
      <c r="BM119" s="0" t="s">
        <v>240</v>
      </c>
      <c r="BN119" s="0" t="s">
        <v>240</v>
      </c>
      <c r="BO119" s="0" t="s">
        <v>240</v>
      </c>
      <c r="BP119" s="0" t="s">
        <v>240</v>
      </c>
      <c r="BQ119" s="0" t="s">
        <v>240</v>
      </c>
      <c r="BR119" s="0" t="s">
        <v>240</v>
      </c>
      <c r="BS119" s="0" t="s">
        <v>240</v>
      </c>
      <c r="BT119" s="0" t="s">
        <v>240</v>
      </c>
      <c r="BU119" s="0" t="s">
        <v>240</v>
      </c>
      <c r="BV119" s="0" t="s">
        <v>240</v>
      </c>
      <c r="BW119" s="0" t="s">
        <v>240</v>
      </c>
      <c r="BX119" s="0" t="s">
        <v>240</v>
      </c>
      <c r="BY119" s="0" t="s">
        <v>240</v>
      </c>
      <c r="BZ119" s="0" t="s">
        <v>240</v>
      </c>
      <c r="CA119" s="0" t="s">
        <v>240</v>
      </c>
      <c r="CB119" s="0" t="s">
        <v>240</v>
      </c>
      <c r="CC119" s="0" t="s">
        <v>240</v>
      </c>
      <c r="CD119" s="0" t="s">
        <v>240</v>
      </c>
      <c r="CE119" s="0" t="s">
        <v>240</v>
      </c>
      <c r="CF119" s="0" t="s">
        <v>240</v>
      </c>
      <c r="CG119" s="0" t="s">
        <v>240</v>
      </c>
      <c r="CH119" s="0" t="s">
        <v>240</v>
      </c>
      <c r="CI119" s="0" t="s">
        <v>240</v>
      </c>
      <c r="CJ119" s="0" t="s">
        <v>240</v>
      </c>
      <c r="CK119" s="0" t="s">
        <v>240</v>
      </c>
      <c r="CL119" s="0" t="s">
        <v>240</v>
      </c>
      <c r="CM119" s="0" t="s">
        <v>240</v>
      </c>
      <c r="CN119" s="0" t="s">
        <v>240</v>
      </c>
      <c r="CO119" s="0" t="s">
        <v>240</v>
      </c>
      <c r="CP119" s="0" t="s">
        <v>240</v>
      </c>
      <c r="CQ119" s="0" t="s">
        <v>240</v>
      </c>
      <c r="CR119" s="0" t="s">
        <v>240</v>
      </c>
      <c r="CS119" s="0" t="s">
        <v>240</v>
      </c>
      <c r="CT119" s="0" t="s">
        <v>5496</v>
      </c>
      <c r="CU119" s="0" t="s">
        <v>5497</v>
      </c>
      <c r="CV119" s="0" t="s">
        <v>443</v>
      </c>
      <c r="CW119" s="0" t="s">
        <v>5547</v>
      </c>
      <c r="CX119" s="0" t="s">
        <v>229</v>
      </c>
      <c r="CY119" s="0" t="s">
        <v>443</v>
      </c>
      <c r="CZ119" s="0" t="s">
        <v>5548</v>
      </c>
      <c r="DA119" s="0" t="s">
        <v>5549</v>
      </c>
      <c r="DB119" s="0" t="s">
        <v>5547</v>
      </c>
      <c r="DC119" s="0" t="s">
        <v>384</v>
      </c>
      <c r="DD119" s="0" t="s">
        <v>291</v>
      </c>
      <c r="DE119" s="0" t="s">
        <v>6117</v>
      </c>
    </row>
    <row customHeight="1" ht="11.25">
      <c r="A120" s="1441" t="s">
        <v>240</v>
      </c>
      <c r="B120" s="0" t="s">
        <v>240</v>
      </c>
      <c r="C120" s="0" t="s">
        <v>240</v>
      </c>
      <c r="D120" s="0" t="s">
        <v>240</v>
      </c>
      <c r="E120" s="0" t="s">
        <v>240</v>
      </c>
      <c r="F120" s="0" t="s">
        <v>240</v>
      </c>
      <c r="G120" s="0" t="s">
        <v>240</v>
      </c>
      <c r="H120" s="0" t="s">
        <v>240</v>
      </c>
      <c r="I120" s="0" t="s">
        <v>5484</v>
      </c>
      <c r="J120" s="0" t="s">
        <v>240</v>
      </c>
      <c r="K120" s="0" t="s">
        <v>240</v>
      </c>
      <c r="L120" s="0" t="s">
        <v>240</v>
      </c>
      <c r="M120" s="0" t="s">
        <v>240</v>
      </c>
      <c r="N120" s="0" t="s">
        <v>240</v>
      </c>
      <c r="O120" s="0" t="s">
        <v>240</v>
      </c>
      <c r="P120" s="0" t="s">
        <v>240</v>
      </c>
      <c r="Q120" s="0" t="s">
        <v>240</v>
      </c>
      <c r="R120" s="0" t="s">
        <v>5572</v>
      </c>
      <c r="S120" s="0" t="s">
        <v>240</v>
      </c>
      <c r="T120" s="0" t="s">
        <v>240</v>
      </c>
      <c r="U120" s="0" t="s">
        <v>102</v>
      </c>
      <c r="V120" s="0" t="s">
        <v>240</v>
      </c>
      <c r="W120" s="0" t="s">
        <v>240</v>
      </c>
      <c r="X120" s="0" t="s">
        <v>5485</v>
      </c>
      <c r="Y120" s="0" t="s">
        <v>240</v>
      </c>
      <c r="Z120" s="0" t="s">
        <v>161</v>
      </c>
      <c r="AA120" s="0" t="s">
        <v>152</v>
      </c>
      <c r="AB120" s="0" t="s">
        <v>152</v>
      </c>
      <c r="AC120" s="0" t="s">
        <v>2991</v>
      </c>
      <c r="AD120" s="0" t="s">
        <v>2991</v>
      </c>
      <c r="AE120" s="0" t="s">
        <v>2992</v>
      </c>
      <c r="AF120" s="0" t="s">
        <v>5661</v>
      </c>
      <c r="AG120" s="0" t="s">
        <v>5662</v>
      </c>
      <c r="AH120" s="0" t="s">
        <v>5542</v>
      </c>
      <c r="AI120" s="0" t="s">
        <v>6118</v>
      </c>
      <c r="AJ120" s="0" t="s">
        <v>5504</v>
      </c>
      <c r="AK120" s="0" t="s">
        <v>5672</v>
      </c>
      <c r="AL120" s="0" t="s">
        <v>5506</v>
      </c>
      <c r="AM120" s="0" t="s">
        <v>5493</v>
      </c>
      <c r="AN120" s="0" t="s">
        <v>5545</v>
      </c>
      <c r="AO120" s="0" t="s">
        <v>5516</v>
      </c>
      <c r="AP120" s="0" t="s">
        <v>240</v>
      </c>
      <c r="AQ120" s="0" t="s">
        <v>240</v>
      </c>
      <c r="AR120" s="0" t="s">
        <v>240</v>
      </c>
      <c r="AS120" s="0" t="s">
        <v>240</v>
      </c>
      <c r="AT120" s="0" t="s">
        <v>240</v>
      </c>
      <c r="AU120" s="0" t="s">
        <v>240</v>
      </c>
      <c r="AV120" s="0" t="s">
        <v>240</v>
      </c>
      <c r="AW120" s="0" t="s">
        <v>240</v>
      </c>
      <c r="AX120" s="0" t="s">
        <v>240</v>
      </c>
      <c r="AY120" s="0" t="s">
        <v>240</v>
      </c>
      <c r="AZ120" s="0" t="s">
        <v>240</v>
      </c>
      <c r="BA120" s="0" t="s">
        <v>240</v>
      </c>
      <c r="BB120" s="0" t="s">
        <v>240</v>
      </c>
      <c r="BC120" s="0" t="s">
        <v>240</v>
      </c>
      <c r="BD120" s="0" t="s">
        <v>240</v>
      </c>
      <c r="BE120" s="0" t="s">
        <v>240</v>
      </c>
      <c r="BF120" s="0" t="s">
        <v>240</v>
      </c>
      <c r="BG120" s="0" t="s">
        <v>240</v>
      </c>
      <c r="BH120" s="0" t="s">
        <v>240</v>
      </c>
      <c r="BI120" s="0" t="s">
        <v>240</v>
      </c>
      <c r="BJ120" s="0" t="s">
        <v>240</v>
      </c>
      <c r="BK120" s="0" t="s">
        <v>240</v>
      </c>
      <c r="BL120" s="0" t="s">
        <v>240</v>
      </c>
      <c r="BM120" s="0" t="s">
        <v>240</v>
      </c>
      <c r="BN120" s="0" t="s">
        <v>240</v>
      </c>
      <c r="BO120" s="0" t="s">
        <v>240</v>
      </c>
      <c r="BP120" s="0" t="s">
        <v>240</v>
      </c>
      <c r="BQ120" s="0" t="s">
        <v>240</v>
      </c>
      <c r="BR120" s="0" t="s">
        <v>240</v>
      </c>
      <c r="BS120" s="0" t="s">
        <v>240</v>
      </c>
      <c r="BT120" s="0" t="s">
        <v>240</v>
      </c>
      <c r="BU120" s="0" t="s">
        <v>240</v>
      </c>
      <c r="BV120" s="0" t="s">
        <v>240</v>
      </c>
      <c r="BW120" s="0" t="s">
        <v>240</v>
      </c>
      <c r="BX120" s="0" t="s">
        <v>240</v>
      </c>
      <c r="BY120" s="0" t="s">
        <v>240</v>
      </c>
      <c r="BZ120" s="0" t="s">
        <v>240</v>
      </c>
      <c r="CA120" s="0" t="s">
        <v>240</v>
      </c>
      <c r="CB120" s="0" t="s">
        <v>240</v>
      </c>
      <c r="CC120" s="0" t="s">
        <v>240</v>
      </c>
      <c r="CD120" s="0" t="s">
        <v>240</v>
      </c>
      <c r="CE120" s="0" t="s">
        <v>240</v>
      </c>
      <c r="CF120" s="0" t="s">
        <v>240</v>
      </c>
      <c r="CG120" s="0" t="s">
        <v>240</v>
      </c>
      <c r="CH120" s="0" t="s">
        <v>240</v>
      </c>
      <c r="CI120" s="0" t="s">
        <v>240</v>
      </c>
      <c r="CJ120" s="0" t="s">
        <v>240</v>
      </c>
      <c r="CK120" s="0" t="s">
        <v>240</v>
      </c>
      <c r="CL120" s="0" t="s">
        <v>240</v>
      </c>
      <c r="CM120" s="0" t="s">
        <v>240</v>
      </c>
      <c r="CN120" s="0" t="s">
        <v>240</v>
      </c>
      <c r="CO120" s="0" t="s">
        <v>240</v>
      </c>
      <c r="CP120" s="0" t="s">
        <v>240</v>
      </c>
      <c r="CQ120" s="0" t="s">
        <v>240</v>
      </c>
      <c r="CR120" s="0" t="s">
        <v>240</v>
      </c>
      <c r="CS120" s="0" t="s">
        <v>240</v>
      </c>
      <c r="CT120" s="0" t="s">
        <v>5496</v>
      </c>
      <c r="CU120" s="0" t="s">
        <v>5497</v>
      </c>
      <c r="CV120" s="0" t="s">
        <v>443</v>
      </c>
      <c r="CW120" s="0" t="s">
        <v>5547</v>
      </c>
      <c r="CX120" s="0" t="s">
        <v>229</v>
      </c>
      <c r="CY120" s="0" t="s">
        <v>443</v>
      </c>
      <c r="CZ120" s="0" t="s">
        <v>5548</v>
      </c>
      <c r="DA120" s="0" t="s">
        <v>5549</v>
      </c>
      <c r="DB120" s="0" t="s">
        <v>5547</v>
      </c>
      <c r="DC120" s="0" t="s">
        <v>384</v>
      </c>
      <c r="DD120" s="0" t="s">
        <v>291</v>
      </c>
      <c r="DE120" s="0" t="s">
        <v>6119</v>
      </c>
    </row>
    <row customHeight="1" ht="11.25">
      <c r="A121" s="1441" t="s">
        <v>240</v>
      </c>
      <c r="B121" s="0" t="s">
        <v>240</v>
      </c>
      <c r="C121" s="0" t="s">
        <v>240</v>
      </c>
      <c r="D121" s="0" t="s">
        <v>240</v>
      </c>
      <c r="E121" s="0" t="s">
        <v>240</v>
      </c>
      <c r="F121" s="0" t="s">
        <v>240</v>
      </c>
      <c r="G121" s="0" t="s">
        <v>240</v>
      </c>
      <c r="H121" s="0" t="s">
        <v>240</v>
      </c>
      <c r="I121" s="0" t="s">
        <v>5484</v>
      </c>
      <c r="J121" s="0" t="s">
        <v>240</v>
      </c>
      <c r="K121" s="0" t="s">
        <v>240</v>
      </c>
      <c r="L121" s="0" t="s">
        <v>240</v>
      </c>
      <c r="M121" s="0" t="s">
        <v>240</v>
      </c>
      <c r="N121" s="0" t="s">
        <v>240</v>
      </c>
      <c r="O121" s="0" t="s">
        <v>240</v>
      </c>
      <c r="P121" s="0" t="s">
        <v>240</v>
      </c>
      <c r="Q121" s="0" t="s">
        <v>240</v>
      </c>
      <c r="R121" s="0" t="s">
        <v>5572</v>
      </c>
      <c r="S121" s="0" t="s">
        <v>240</v>
      </c>
      <c r="T121" s="0" t="s">
        <v>240</v>
      </c>
      <c r="U121" s="0" t="s">
        <v>102</v>
      </c>
      <c r="V121" s="0" t="s">
        <v>240</v>
      </c>
      <c r="W121" s="0" t="s">
        <v>240</v>
      </c>
      <c r="X121" s="0" t="s">
        <v>5485</v>
      </c>
      <c r="Y121" s="0" t="s">
        <v>240</v>
      </c>
      <c r="Z121" s="0" t="s">
        <v>161</v>
      </c>
      <c r="AA121" s="0" t="s">
        <v>152</v>
      </c>
      <c r="AB121" s="0" t="s">
        <v>152</v>
      </c>
      <c r="AC121" s="0" t="s">
        <v>2991</v>
      </c>
      <c r="AD121" s="0" t="s">
        <v>2991</v>
      </c>
      <c r="AE121" s="0" t="s">
        <v>2992</v>
      </c>
      <c r="AF121" s="0" t="s">
        <v>5828</v>
      </c>
      <c r="AG121" s="0" t="s">
        <v>5829</v>
      </c>
      <c r="AH121" s="0" t="s">
        <v>6120</v>
      </c>
      <c r="AI121" s="0" t="s">
        <v>5730</v>
      </c>
      <c r="AJ121" s="0" t="s">
        <v>5504</v>
      </c>
      <c r="AK121" s="0" t="s">
        <v>5745</v>
      </c>
      <c r="AL121" s="0" t="s">
        <v>5506</v>
      </c>
      <c r="AM121" s="0" t="s">
        <v>5493</v>
      </c>
      <c r="AN121" s="0" t="s">
        <v>5553</v>
      </c>
      <c r="AO121" s="0" t="s">
        <v>5877</v>
      </c>
      <c r="AP121" s="0" t="s">
        <v>240</v>
      </c>
      <c r="AQ121" s="0" t="s">
        <v>240</v>
      </c>
      <c r="AR121" s="0" t="s">
        <v>240</v>
      </c>
      <c r="AS121" s="0" t="s">
        <v>240</v>
      </c>
      <c r="AT121" s="0" t="s">
        <v>240</v>
      </c>
      <c r="AU121" s="0" t="s">
        <v>240</v>
      </c>
      <c r="AV121" s="0" t="s">
        <v>240</v>
      </c>
      <c r="AW121" s="0" t="s">
        <v>240</v>
      </c>
      <c r="AX121" s="0" t="s">
        <v>240</v>
      </c>
      <c r="AY121" s="0" t="s">
        <v>240</v>
      </c>
      <c r="AZ121" s="0" t="s">
        <v>240</v>
      </c>
      <c r="BA121" s="0" t="s">
        <v>240</v>
      </c>
      <c r="BB121" s="0" t="s">
        <v>240</v>
      </c>
      <c r="BC121" s="0" t="s">
        <v>240</v>
      </c>
      <c r="BD121" s="0" t="s">
        <v>240</v>
      </c>
      <c r="BE121" s="0" t="s">
        <v>240</v>
      </c>
      <c r="BF121" s="0" t="s">
        <v>240</v>
      </c>
      <c r="BG121" s="0" t="s">
        <v>240</v>
      </c>
      <c r="BH121" s="0" t="s">
        <v>240</v>
      </c>
      <c r="BI121" s="0" t="s">
        <v>240</v>
      </c>
      <c r="BJ121" s="0" t="s">
        <v>240</v>
      </c>
      <c r="BK121" s="0" t="s">
        <v>240</v>
      </c>
      <c r="BL121" s="0" t="s">
        <v>240</v>
      </c>
      <c r="BM121" s="0" t="s">
        <v>240</v>
      </c>
      <c r="BN121" s="0" t="s">
        <v>240</v>
      </c>
      <c r="BO121" s="0" t="s">
        <v>240</v>
      </c>
      <c r="BP121" s="0" t="s">
        <v>240</v>
      </c>
      <c r="BQ121" s="0" t="s">
        <v>240</v>
      </c>
      <c r="BR121" s="0" t="s">
        <v>240</v>
      </c>
      <c r="BS121" s="0" t="s">
        <v>240</v>
      </c>
      <c r="BT121" s="0" t="s">
        <v>240</v>
      </c>
      <c r="BU121" s="0" t="s">
        <v>240</v>
      </c>
      <c r="BV121" s="0" t="s">
        <v>240</v>
      </c>
      <c r="BW121" s="0" t="s">
        <v>240</v>
      </c>
      <c r="BX121" s="0" t="s">
        <v>240</v>
      </c>
      <c r="BY121" s="0" t="s">
        <v>240</v>
      </c>
      <c r="BZ121" s="0" t="s">
        <v>240</v>
      </c>
      <c r="CA121" s="0" t="s">
        <v>240</v>
      </c>
      <c r="CB121" s="0" t="s">
        <v>240</v>
      </c>
      <c r="CC121" s="0" t="s">
        <v>240</v>
      </c>
      <c r="CD121" s="0" t="s">
        <v>240</v>
      </c>
      <c r="CE121" s="0" t="s">
        <v>240</v>
      </c>
      <c r="CF121" s="0" t="s">
        <v>240</v>
      </c>
      <c r="CG121" s="0" t="s">
        <v>240</v>
      </c>
      <c r="CH121" s="0" t="s">
        <v>240</v>
      </c>
      <c r="CI121" s="0" t="s">
        <v>240</v>
      </c>
      <c r="CJ121" s="0" t="s">
        <v>240</v>
      </c>
      <c r="CK121" s="0" t="s">
        <v>240</v>
      </c>
      <c r="CL121" s="0" t="s">
        <v>240</v>
      </c>
      <c r="CM121" s="0" t="s">
        <v>240</v>
      </c>
      <c r="CN121" s="0" t="s">
        <v>240</v>
      </c>
      <c r="CO121" s="0" t="s">
        <v>240</v>
      </c>
      <c r="CP121" s="0" t="s">
        <v>240</v>
      </c>
      <c r="CQ121" s="0" t="s">
        <v>240</v>
      </c>
      <c r="CR121" s="0" t="s">
        <v>240</v>
      </c>
      <c r="CS121" s="0" t="s">
        <v>240</v>
      </c>
      <c r="CT121" s="0" t="s">
        <v>5496</v>
      </c>
      <c r="CU121" s="0" t="s">
        <v>5497</v>
      </c>
      <c r="CV121" s="0" t="s">
        <v>443</v>
      </c>
      <c r="CW121" s="0" t="s">
        <v>5547</v>
      </c>
      <c r="CX121" s="0" t="s">
        <v>229</v>
      </c>
      <c r="CY121" s="0" t="s">
        <v>443</v>
      </c>
      <c r="CZ121" s="0" t="s">
        <v>5548</v>
      </c>
      <c r="DA121" s="0" t="s">
        <v>5549</v>
      </c>
      <c r="DB121" s="0" t="s">
        <v>5547</v>
      </c>
      <c r="DC121" s="0" t="s">
        <v>384</v>
      </c>
      <c r="DD121" s="0" t="s">
        <v>291</v>
      </c>
      <c r="DE121" s="0" t="s">
        <v>6121</v>
      </c>
    </row>
    <row customHeight="1" ht="11.25">
      <c r="A122" s="1441" t="s">
        <v>240</v>
      </c>
      <c r="B122" s="0" t="s">
        <v>240</v>
      </c>
      <c r="C122" s="0" t="s">
        <v>240</v>
      </c>
      <c r="D122" s="0" t="s">
        <v>240</v>
      </c>
      <c r="E122" s="0" t="s">
        <v>240</v>
      </c>
      <c r="F122" s="0" t="s">
        <v>240</v>
      </c>
      <c r="G122" s="0" t="s">
        <v>240</v>
      </c>
      <c r="H122" s="0" t="s">
        <v>240</v>
      </c>
      <c r="I122" s="0" t="s">
        <v>5484</v>
      </c>
      <c r="J122" s="0" t="s">
        <v>240</v>
      </c>
      <c r="K122" s="0" t="s">
        <v>240</v>
      </c>
      <c r="L122" s="0" t="s">
        <v>240</v>
      </c>
      <c r="M122" s="0" t="s">
        <v>240</v>
      </c>
      <c r="N122" s="0" t="s">
        <v>240</v>
      </c>
      <c r="O122" s="0" t="s">
        <v>240</v>
      </c>
      <c r="P122" s="0" t="s">
        <v>240</v>
      </c>
      <c r="Q122" s="0" t="s">
        <v>240</v>
      </c>
      <c r="R122" s="0" t="s">
        <v>6122</v>
      </c>
      <c r="S122" s="0" t="s">
        <v>240</v>
      </c>
      <c r="T122" s="0" t="s">
        <v>240</v>
      </c>
      <c r="U122" s="0" t="s">
        <v>102</v>
      </c>
      <c r="V122" s="0" t="s">
        <v>240</v>
      </c>
      <c r="W122" s="0" t="s">
        <v>240</v>
      </c>
      <c r="X122" s="0" t="s">
        <v>5485</v>
      </c>
      <c r="Y122" s="0" t="s">
        <v>240</v>
      </c>
      <c r="Z122" s="0" t="s">
        <v>161</v>
      </c>
      <c r="AA122" s="0" t="s">
        <v>152</v>
      </c>
      <c r="AB122" s="0" t="s">
        <v>152</v>
      </c>
      <c r="AC122" s="0" t="s">
        <v>3389</v>
      </c>
      <c r="AD122" s="0" t="s">
        <v>3389</v>
      </c>
      <c r="AE122" s="0" t="s">
        <v>3390</v>
      </c>
      <c r="AF122" s="0" t="s">
        <v>5519</v>
      </c>
      <c r="AG122" s="0" t="s">
        <v>5520</v>
      </c>
      <c r="AH122" s="0" t="s">
        <v>6123</v>
      </c>
      <c r="AI122" s="0" t="s">
        <v>5533</v>
      </c>
      <c r="AJ122" s="0" t="s">
        <v>5587</v>
      </c>
      <c r="AK122" s="0" t="s">
        <v>6124</v>
      </c>
      <c r="AL122" s="0" t="s">
        <v>5492</v>
      </c>
      <c r="AM122" s="0" t="s">
        <v>5493</v>
      </c>
      <c r="AN122" s="0" t="s">
        <v>5893</v>
      </c>
      <c r="AO122" s="0" t="s">
        <v>6125</v>
      </c>
      <c r="AP122" s="0" t="s">
        <v>240</v>
      </c>
      <c r="AQ122" s="0" t="s">
        <v>240</v>
      </c>
      <c r="AR122" s="0" t="s">
        <v>240</v>
      </c>
      <c r="AS122" s="0" t="s">
        <v>240</v>
      </c>
      <c r="AT122" s="0" t="s">
        <v>240</v>
      </c>
      <c r="AU122" s="0" t="s">
        <v>240</v>
      </c>
      <c r="AV122" s="0" t="s">
        <v>240</v>
      </c>
      <c r="AW122" s="0" t="s">
        <v>240</v>
      </c>
      <c r="AX122" s="0" t="s">
        <v>240</v>
      </c>
      <c r="AY122" s="0" t="s">
        <v>240</v>
      </c>
      <c r="AZ122" s="0" t="s">
        <v>240</v>
      </c>
      <c r="BA122" s="0" t="s">
        <v>240</v>
      </c>
      <c r="BB122" s="0" t="s">
        <v>240</v>
      </c>
      <c r="BC122" s="0" t="s">
        <v>240</v>
      </c>
      <c r="BD122" s="0" t="s">
        <v>240</v>
      </c>
      <c r="BE122" s="0" t="s">
        <v>240</v>
      </c>
      <c r="BF122" s="0" t="s">
        <v>240</v>
      </c>
      <c r="BG122" s="0" t="s">
        <v>240</v>
      </c>
      <c r="BH122" s="0" t="s">
        <v>240</v>
      </c>
      <c r="BI122" s="0" t="s">
        <v>240</v>
      </c>
      <c r="BJ122" s="0" t="s">
        <v>240</v>
      </c>
      <c r="BK122" s="0" t="s">
        <v>240</v>
      </c>
      <c r="BL122" s="0" t="s">
        <v>240</v>
      </c>
      <c r="BM122" s="0" t="s">
        <v>240</v>
      </c>
      <c r="BN122" s="0" t="s">
        <v>240</v>
      </c>
      <c r="BO122" s="0" t="s">
        <v>240</v>
      </c>
      <c r="BP122" s="0" t="s">
        <v>240</v>
      </c>
      <c r="BQ122" s="0" t="s">
        <v>240</v>
      </c>
      <c r="BR122" s="0" t="s">
        <v>240</v>
      </c>
      <c r="BS122" s="0" t="s">
        <v>240</v>
      </c>
      <c r="BT122" s="0" t="s">
        <v>240</v>
      </c>
      <c r="BU122" s="0" t="s">
        <v>240</v>
      </c>
      <c r="BV122" s="0" t="s">
        <v>240</v>
      </c>
      <c r="BW122" s="0" t="s">
        <v>240</v>
      </c>
      <c r="BX122" s="0" t="s">
        <v>240</v>
      </c>
      <c r="BY122" s="0" t="s">
        <v>240</v>
      </c>
      <c r="BZ122" s="0" t="s">
        <v>240</v>
      </c>
      <c r="CA122" s="0" t="s">
        <v>240</v>
      </c>
      <c r="CB122" s="0" t="s">
        <v>240</v>
      </c>
      <c r="CC122" s="0" t="s">
        <v>240</v>
      </c>
      <c r="CD122" s="0" t="s">
        <v>240</v>
      </c>
      <c r="CE122" s="0" t="s">
        <v>240</v>
      </c>
      <c r="CF122" s="0" t="s">
        <v>240</v>
      </c>
      <c r="CG122" s="0" t="s">
        <v>240</v>
      </c>
      <c r="CH122" s="0" t="s">
        <v>240</v>
      </c>
      <c r="CI122" s="0" t="s">
        <v>240</v>
      </c>
      <c r="CJ122" s="0" t="s">
        <v>240</v>
      </c>
      <c r="CK122" s="0" t="s">
        <v>240</v>
      </c>
      <c r="CL122" s="0" t="s">
        <v>240</v>
      </c>
      <c r="CM122" s="0" t="s">
        <v>240</v>
      </c>
      <c r="CN122" s="0" t="s">
        <v>240</v>
      </c>
      <c r="CO122" s="0" t="s">
        <v>240</v>
      </c>
      <c r="CP122" s="0" t="s">
        <v>240</v>
      </c>
      <c r="CQ122" s="0" t="s">
        <v>240</v>
      </c>
      <c r="CR122" s="0" t="s">
        <v>240</v>
      </c>
      <c r="CS122" s="0" t="s">
        <v>240</v>
      </c>
      <c r="CT122" s="0" t="s">
        <v>5496</v>
      </c>
      <c r="CU122" s="0" t="s">
        <v>5497</v>
      </c>
      <c r="CV122" s="0" t="s">
        <v>443</v>
      </c>
      <c r="CW122" s="0" t="s">
        <v>5527</v>
      </c>
      <c r="CX122" s="0" t="s">
        <v>5528</v>
      </c>
      <c r="CY122" s="0" t="s">
        <v>443</v>
      </c>
      <c r="CZ122" s="0" t="s">
        <v>299</v>
      </c>
      <c r="DA122" s="0" t="s">
        <v>5529</v>
      </c>
      <c r="DB122" s="0" t="s">
        <v>5527</v>
      </c>
      <c r="DC122" s="0" t="s">
        <v>384</v>
      </c>
      <c r="DD122" s="0" t="s">
        <v>291</v>
      </c>
      <c r="DE122" s="0" t="s">
        <v>6126</v>
      </c>
    </row>
    <row customHeight="1" ht="11.25">
      <c r="A123" s="1441" t="s">
        <v>240</v>
      </c>
      <c r="B123" s="0" t="s">
        <v>240</v>
      </c>
      <c r="C123" s="0" t="s">
        <v>240</v>
      </c>
      <c r="D123" s="0" t="s">
        <v>240</v>
      </c>
      <c r="E123" s="0" t="s">
        <v>240</v>
      </c>
      <c r="F123" s="0" t="s">
        <v>240</v>
      </c>
      <c r="G123" s="0" t="s">
        <v>240</v>
      </c>
      <c r="H123" s="0" t="s">
        <v>240</v>
      </c>
      <c r="I123" s="0" t="s">
        <v>5484</v>
      </c>
      <c r="J123" s="0" t="s">
        <v>240</v>
      </c>
      <c r="K123" s="0" t="s">
        <v>240</v>
      </c>
      <c r="L123" s="0" t="s">
        <v>240</v>
      </c>
      <c r="M123" s="0" t="s">
        <v>240</v>
      </c>
      <c r="N123" s="0" t="s">
        <v>240</v>
      </c>
      <c r="O123" s="0" t="s">
        <v>240</v>
      </c>
      <c r="P123" s="0" t="s">
        <v>240</v>
      </c>
      <c r="Q123" s="0" t="s">
        <v>240</v>
      </c>
      <c r="R123" s="0" t="s">
        <v>5572</v>
      </c>
      <c r="S123" s="0" t="s">
        <v>240</v>
      </c>
      <c r="T123" s="0" t="s">
        <v>240</v>
      </c>
      <c r="U123" s="0" t="s">
        <v>102</v>
      </c>
      <c r="V123" s="0" t="s">
        <v>240</v>
      </c>
      <c r="W123" s="0" t="s">
        <v>240</v>
      </c>
      <c r="X123" s="0" t="s">
        <v>5485</v>
      </c>
      <c r="Y123" s="0" t="s">
        <v>240</v>
      </c>
      <c r="Z123" s="0" t="s">
        <v>161</v>
      </c>
      <c r="AA123" s="0" t="s">
        <v>152</v>
      </c>
      <c r="AB123" s="0" t="s">
        <v>152</v>
      </c>
      <c r="AC123" s="0" t="s">
        <v>2989</v>
      </c>
      <c r="AD123" s="0" t="s">
        <v>2989</v>
      </c>
      <c r="AE123" s="0" t="s">
        <v>2990</v>
      </c>
      <c r="AF123" s="0" t="s">
        <v>5852</v>
      </c>
      <c r="AG123" s="0" t="s">
        <v>5853</v>
      </c>
      <c r="AH123" s="0" t="s">
        <v>6127</v>
      </c>
      <c r="AI123" s="0" t="s">
        <v>6128</v>
      </c>
      <c r="AJ123" s="0" t="s">
        <v>5576</v>
      </c>
      <c r="AK123" s="0" t="s">
        <v>5814</v>
      </c>
      <c r="AL123" s="0" t="s">
        <v>5506</v>
      </c>
      <c r="AM123" s="0" t="s">
        <v>5493</v>
      </c>
      <c r="AN123" s="0" t="s">
        <v>5578</v>
      </c>
      <c r="AO123" s="0" t="s">
        <v>5768</v>
      </c>
      <c r="AP123" s="0" t="s">
        <v>240</v>
      </c>
      <c r="AQ123" s="0" t="s">
        <v>240</v>
      </c>
      <c r="AR123" s="0" t="s">
        <v>240</v>
      </c>
      <c r="AS123" s="0" t="s">
        <v>240</v>
      </c>
      <c r="AT123" s="0" t="s">
        <v>240</v>
      </c>
      <c r="AU123" s="0" t="s">
        <v>240</v>
      </c>
      <c r="AV123" s="0" t="s">
        <v>240</v>
      </c>
      <c r="AW123" s="0" t="s">
        <v>240</v>
      </c>
      <c r="AX123" s="0" t="s">
        <v>240</v>
      </c>
      <c r="AY123" s="0" t="s">
        <v>240</v>
      </c>
      <c r="AZ123" s="0" t="s">
        <v>240</v>
      </c>
      <c r="BA123" s="0" t="s">
        <v>240</v>
      </c>
      <c r="BB123" s="0" t="s">
        <v>240</v>
      </c>
      <c r="BC123" s="0" t="s">
        <v>240</v>
      </c>
      <c r="BD123" s="0" t="s">
        <v>240</v>
      </c>
      <c r="BE123" s="0" t="s">
        <v>240</v>
      </c>
      <c r="BF123" s="0" t="s">
        <v>240</v>
      </c>
      <c r="BG123" s="0" t="s">
        <v>240</v>
      </c>
      <c r="BH123" s="0" t="s">
        <v>240</v>
      </c>
      <c r="BI123" s="0" t="s">
        <v>240</v>
      </c>
      <c r="BJ123" s="0" t="s">
        <v>240</v>
      </c>
      <c r="BK123" s="0" t="s">
        <v>240</v>
      </c>
      <c r="BL123" s="0" t="s">
        <v>240</v>
      </c>
      <c r="BM123" s="0" t="s">
        <v>240</v>
      </c>
      <c r="BN123" s="0" t="s">
        <v>240</v>
      </c>
      <c r="BO123" s="0" t="s">
        <v>240</v>
      </c>
      <c r="BP123" s="0" t="s">
        <v>240</v>
      </c>
      <c r="BQ123" s="0" t="s">
        <v>240</v>
      </c>
      <c r="BR123" s="0" t="s">
        <v>240</v>
      </c>
      <c r="BS123" s="0" t="s">
        <v>240</v>
      </c>
      <c r="BT123" s="0" t="s">
        <v>240</v>
      </c>
      <c r="BU123" s="0" t="s">
        <v>240</v>
      </c>
      <c r="BV123" s="0" t="s">
        <v>240</v>
      </c>
      <c r="BW123" s="0" t="s">
        <v>240</v>
      </c>
      <c r="BX123" s="0" t="s">
        <v>240</v>
      </c>
      <c r="BY123" s="0" t="s">
        <v>240</v>
      </c>
      <c r="BZ123" s="0" t="s">
        <v>240</v>
      </c>
      <c r="CA123" s="0" t="s">
        <v>240</v>
      </c>
      <c r="CB123" s="0" t="s">
        <v>240</v>
      </c>
      <c r="CC123" s="0" t="s">
        <v>240</v>
      </c>
      <c r="CD123" s="0" t="s">
        <v>240</v>
      </c>
      <c r="CE123" s="0" t="s">
        <v>240</v>
      </c>
      <c r="CF123" s="0" t="s">
        <v>240</v>
      </c>
      <c r="CG123" s="0" t="s">
        <v>240</v>
      </c>
      <c r="CH123" s="0" t="s">
        <v>240</v>
      </c>
      <c r="CI123" s="0" t="s">
        <v>240</v>
      </c>
      <c r="CJ123" s="0" t="s">
        <v>240</v>
      </c>
      <c r="CK123" s="0" t="s">
        <v>240</v>
      </c>
      <c r="CL123" s="0" t="s">
        <v>240</v>
      </c>
      <c r="CM123" s="0" t="s">
        <v>240</v>
      </c>
      <c r="CN123" s="0" t="s">
        <v>240</v>
      </c>
      <c r="CO123" s="0" t="s">
        <v>240</v>
      </c>
      <c r="CP123" s="0" t="s">
        <v>240</v>
      </c>
      <c r="CQ123" s="0" t="s">
        <v>240</v>
      </c>
      <c r="CR123" s="0" t="s">
        <v>240</v>
      </c>
      <c r="CS123" s="0" t="s">
        <v>240</v>
      </c>
      <c r="CT123" s="0" t="s">
        <v>5496</v>
      </c>
      <c r="CU123" s="0" t="s">
        <v>5497</v>
      </c>
      <c r="CV123" s="0" t="s">
        <v>443</v>
      </c>
      <c r="CW123" s="0" t="s">
        <v>5580</v>
      </c>
      <c r="CX123" s="0" t="s">
        <v>229</v>
      </c>
      <c r="CY123" s="0" t="s">
        <v>443</v>
      </c>
      <c r="CZ123" s="0" t="s">
        <v>5581</v>
      </c>
      <c r="DA123" s="0" t="s">
        <v>5582</v>
      </c>
      <c r="DB123" s="0" t="s">
        <v>5580</v>
      </c>
      <c r="DC123" s="0" t="s">
        <v>384</v>
      </c>
      <c r="DD123" s="0" t="s">
        <v>291</v>
      </c>
      <c r="DE123" s="0" t="s">
        <v>6129</v>
      </c>
    </row>
    <row customHeight="1" ht="11.25">
      <c r="A124" s="1441" t="s">
        <v>240</v>
      </c>
      <c r="B124" s="0" t="s">
        <v>240</v>
      </c>
      <c r="C124" s="0" t="s">
        <v>240</v>
      </c>
      <c r="D124" s="0" t="s">
        <v>240</v>
      </c>
      <c r="E124" s="0" t="s">
        <v>240</v>
      </c>
      <c r="F124" s="0" t="s">
        <v>240</v>
      </c>
      <c r="G124" s="0" t="s">
        <v>240</v>
      </c>
      <c r="H124" s="0" t="s">
        <v>240</v>
      </c>
      <c r="I124" s="0" t="s">
        <v>5484</v>
      </c>
      <c r="J124" s="0" t="s">
        <v>240</v>
      </c>
      <c r="K124" s="0" t="s">
        <v>240</v>
      </c>
      <c r="L124" s="0" t="s">
        <v>240</v>
      </c>
      <c r="M124" s="0" t="s">
        <v>240</v>
      </c>
      <c r="N124" s="0" t="s">
        <v>240</v>
      </c>
      <c r="O124" s="0" t="s">
        <v>240</v>
      </c>
      <c r="P124" s="0" t="s">
        <v>240</v>
      </c>
      <c r="Q124" s="0" t="s">
        <v>240</v>
      </c>
      <c r="R124" s="0" t="s">
        <v>6130</v>
      </c>
      <c r="S124" s="0" t="s">
        <v>240</v>
      </c>
      <c r="T124" s="0" t="s">
        <v>240</v>
      </c>
      <c r="U124" s="0" t="s">
        <v>102</v>
      </c>
      <c r="V124" s="0" t="s">
        <v>240</v>
      </c>
      <c r="W124" s="0" t="s">
        <v>240</v>
      </c>
      <c r="X124" s="0" t="s">
        <v>5585</v>
      </c>
      <c r="Y124" s="0" t="s">
        <v>240</v>
      </c>
      <c r="Z124" s="0" t="s">
        <v>152</v>
      </c>
      <c r="AA124" s="0" t="s">
        <v>152</v>
      </c>
      <c r="AB124" s="0" t="s">
        <v>161</v>
      </c>
      <c r="AC124" s="0" t="s">
        <v>2989</v>
      </c>
      <c r="AD124" s="0" t="s">
        <v>2989</v>
      </c>
      <c r="AE124" s="0" t="s">
        <v>2990</v>
      </c>
      <c r="AF124" s="0" t="s">
        <v>5852</v>
      </c>
      <c r="AG124" s="0" t="s">
        <v>5853</v>
      </c>
      <c r="AH124" s="0" t="s">
        <v>5575</v>
      </c>
      <c r="AI124" s="0" t="s">
        <v>5575</v>
      </c>
      <c r="AJ124" s="0" t="s">
        <v>240</v>
      </c>
      <c r="AK124" s="0" t="s">
        <v>240</v>
      </c>
      <c r="AL124" s="0" t="s">
        <v>240</v>
      </c>
      <c r="AM124" s="0" t="s">
        <v>240</v>
      </c>
      <c r="AN124" s="0" t="s">
        <v>240</v>
      </c>
      <c r="AO124" s="0" t="s">
        <v>240</v>
      </c>
      <c r="AP124" s="0" t="s">
        <v>240</v>
      </c>
      <c r="AQ124" s="0" t="s">
        <v>240</v>
      </c>
      <c r="AR124" s="0" t="s">
        <v>240</v>
      </c>
      <c r="AS124" s="0" t="s">
        <v>240</v>
      </c>
      <c r="AT124" s="0" t="s">
        <v>240</v>
      </c>
      <c r="AU124" s="0" t="s">
        <v>240</v>
      </c>
      <c r="AV124" s="0" t="s">
        <v>240</v>
      </c>
      <c r="AW124" s="0" t="s">
        <v>240</v>
      </c>
      <c r="AX124" s="0" t="s">
        <v>240</v>
      </c>
      <c r="AY124" s="0" t="s">
        <v>240</v>
      </c>
      <c r="AZ124" s="0" t="s">
        <v>240</v>
      </c>
      <c r="BA124" s="0" t="s">
        <v>240</v>
      </c>
      <c r="BB124" s="0" t="s">
        <v>240</v>
      </c>
      <c r="BC124" s="0" t="s">
        <v>240</v>
      </c>
      <c r="BD124" s="0" t="s">
        <v>240</v>
      </c>
      <c r="BE124" s="0" t="s">
        <v>5992</v>
      </c>
      <c r="BF124" s="0" t="s">
        <v>6131</v>
      </c>
      <c r="BG124" s="0" t="s">
        <v>112</v>
      </c>
      <c r="BH124" s="0" t="s">
        <v>5589</v>
      </c>
      <c r="BI124" s="0" t="s">
        <v>123</v>
      </c>
      <c r="BJ124" s="0" t="s">
        <v>240</v>
      </c>
      <c r="BK124" s="0" t="s">
        <v>5608</v>
      </c>
      <c r="BL124" s="0" t="s">
        <v>2989</v>
      </c>
      <c r="BM124" s="0" t="s">
        <v>2989</v>
      </c>
      <c r="BN124" s="0" t="s">
        <v>5798</v>
      </c>
      <c r="BO124" s="0" t="s">
        <v>5852</v>
      </c>
      <c r="BP124" s="0" t="s">
        <v>6132</v>
      </c>
      <c r="BQ124" s="0" t="s">
        <v>5575</v>
      </c>
      <c r="BR124" s="0" t="s">
        <v>5575</v>
      </c>
      <c r="BS124" s="0" t="s">
        <v>240</v>
      </c>
      <c r="BT124" s="0" t="s">
        <v>5650</v>
      </c>
      <c r="BU124" s="0" t="s">
        <v>6133</v>
      </c>
      <c r="BV124" s="0" t="s">
        <v>6133</v>
      </c>
      <c r="BW124" s="0" t="s">
        <v>5598</v>
      </c>
      <c r="BX124" s="0" t="s">
        <v>5598</v>
      </c>
      <c r="BY124" s="0" t="s">
        <v>5598</v>
      </c>
      <c r="BZ124" s="0" t="s">
        <v>5598</v>
      </c>
      <c r="CA124" s="0" t="s">
        <v>5598</v>
      </c>
      <c r="CB124" s="0" t="s">
        <v>240</v>
      </c>
      <c r="CC124" s="0" t="s">
        <v>240</v>
      </c>
      <c r="CD124" s="0" t="s">
        <v>240</v>
      </c>
      <c r="CE124" s="0" t="s">
        <v>240</v>
      </c>
      <c r="CF124" s="0" t="s">
        <v>240</v>
      </c>
      <c r="CG124" s="0" t="s">
        <v>5598</v>
      </c>
      <c r="CH124" s="0" t="s">
        <v>240</v>
      </c>
      <c r="CI124" s="0" t="s">
        <v>240</v>
      </c>
      <c r="CJ124" s="0" t="s">
        <v>240</v>
      </c>
      <c r="CK124" s="0" t="s">
        <v>240</v>
      </c>
      <c r="CL124" s="0" t="s">
        <v>240</v>
      </c>
      <c r="CM124" s="0" t="s">
        <v>6133</v>
      </c>
      <c r="CN124" s="0" t="s">
        <v>6133</v>
      </c>
      <c r="CO124" s="0" t="s">
        <v>240</v>
      </c>
      <c r="CP124" s="0" t="s">
        <v>240</v>
      </c>
      <c r="CQ124" s="0" t="s">
        <v>240</v>
      </c>
      <c r="CR124" s="0" t="s">
        <v>240</v>
      </c>
      <c r="CS124" s="0" t="s">
        <v>5491</v>
      </c>
      <c r="CT124" s="0" t="s">
        <v>5496</v>
      </c>
      <c r="CU124" s="0" t="s">
        <v>5497</v>
      </c>
      <c r="CV124" s="0" t="s">
        <v>443</v>
      </c>
      <c r="CW124" s="0" t="s">
        <v>5580</v>
      </c>
      <c r="CX124" s="0" t="s">
        <v>229</v>
      </c>
      <c r="CY124" s="0" t="s">
        <v>443</v>
      </c>
      <c r="CZ124" s="0" t="s">
        <v>5581</v>
      </c>
      <c r="DA124" s="0" t="s">
        <v>5582</v>
      </c>
      <c r="DB124" s="0" t="s">
        <v>5580</v>
      </c>
      <c r="DC124" s="0" t="s">
        <v>384</v>
      </c>
      <c r="DD124" s="0" t="s">
        <v>291</v>
      </c>
      <c r="DE124" s="0" t="s">
        <v>6134</v>
      </c>
    </row>
    <row customHeight="1" ht="11.25">
      <c r="A125" s="1441" t="s">
        <v>240</v>
      </c>
      <c r="B125" s="0" t="s">
        <v>240</v>
      </c>
      <c r="C125" s="0" t="s">
        <v>240</v>
      </c>
      <c r="D125" s="0" t="s">
        <v>240</v>
      </c>
      <c r="E125" s="0" t="s">
        <v>240</v>
      </c>
      <c r="F125" s="0" t="s">
        <v>240</v>
      </c>
      <c r="G125" s="0" t="s">
        <v>240</v>
      </c>
      <c r="H125" s="0" t="s">
        <v>240</v>
      </c>
      <c r="I125" s="0" t="s">
        <v>5484</v>
      </c>
      <c r="J125" s="0" t="s">
        <v>240</v>
      </c>
      <c r="K125" s="0" t="s">
        <v>240</v>
      </c>
      <c r="L125" s="0" t="s">
        <v>240</v>
      </c>
      <c r="M125" s="0" t="s">
        <v>240</v>
      </c>
      <c r="N125" s="0" t="s">
        <v>240</v>
      </c>
      <c r="O125" s="0" t="s">
        <v>240</v>
      </c>
      <c r="P125" s="0" t="s">
        <v>240</v>
      </c>
      <c r="Q125" s="0" t="s">
        <v>240</v>
      </c>
      <c r="R125" s="0" t="s">
        <v>5572</v>
      </c>
      <c r="S125" s="0" t="s">
        <v>240</v>
      </c>
      <c r="T125" s="0" t="s">
        <v>240</v>
      </c>
      <c r="U125" s="0" t="s">
        <v>102</v>
      </c>
      <c r="V125" s="0" t="s">
        <v>240</v>
      </c>
      <c r="W125" s="0" t="s">
        <v>240</v>
      </c>
      <c r="X125" s="0" t="s">
        <v>5485</v>
      </c>
      <c r="Y125" s="0" t="s">
        <v>240</v>
      </c>
      <c r="Z125" s="0" t="s">
        <v>161</v>
      </c>
      <c r="AA125" s="0" t="s">
        <v>152</v>
      </c>
      <c r="AB125" s="0" t="s">
        <v>152</v>
      </c>
      <c r="AC125" s="0" t="s">
        <v>2989</v>
      </c>
      <c r="AD125" s="0" t="s">
        <v>2989</v>
      </c>
      <c r="AE125" s="0" t="s">
        <v>2990</v>
      </c>
      <c r="AF125" s="0" t="s">
        <v>6135</v>
      </c>
      <c r="AG125" s="0" t="s">
        <v>6136</v>
      </c>
      <c r="AH125" s="0" t="s">
        <v>6137</v>
      </c>
      <c r="AI125" s="0" t="s">
        <v>454</v>
      </c>
      <c r="AJ125" s="0" t="s">
        <v>5576</v>
      </c>
      <c r="AK125" s="0" t="s">
        <v>6131</v>
      </c>
      <c r="AL125" s="0" t="s">
        <v>5506</v>
      </c>
      <c r="AM125" s="0" t="s">
        <v>5493</v>
      </c>
      <c r="AN125" s="0" t="s">
        <v>5578</v>
      </c>
      <c r="AO125" s="0" t="s">
        <v>5855</v>
      </c>
      <c r="AP125" s="0" t="s">
        <v>240</v>
      </c>
      <c r="AQ125" s="0" t="s">
        <v>240</v>
      </c>
      <c r="AR125" s="0" t="s">
        <v>240</v>
      </c>
      <c r="AS125" s="0" t="s">
        <v>240</v>
      </c>
      <c r="AT125" s="0" t="s">
        <v>240</v>
      </c>
      <c r="AU125" s="0" t="s">
        <v>240</v>
      </c>
      <c r="AV125" s="0" t="s">
        <v>240</v>
      </c>
      <c r="AW125" s="0" t="s">
        <v>240</v>
      </c>
      <c r="AX125" s="0" t="s">
        <v>240</v>
      </c>
      <c r="AY125" s="0" t="s">
        <v>240</v>
      </c>
      <c r="AZ125" s="0" t="s">
        <v>240</v>
      </c>
      <c r="BA125" s="0" t="s">
        <v>240</v>
      </c>
      <c r="BB125" s="0" t="s">
        <v>240</v>
      </c>
      <c r="BC125" s="0" t="s">
        <v>240</v>
      </c>
      <c r="BD125" s="0" t="s">
        <v>240</v>
      </c>
      <c r="BE125" s="0" t="s">
        <v>240</v>
      </c>
      <c r="BF125" s="0" t="s">
        <v>240</v>
      </c>
      <c r="BG125" s="0" t="s">
        <v>240</v>
      </c>
      <c r="BH125" s="0" t="s">
        <v>240</v>
      </c>
      <c r="BI125" s="0" t="s">
        <v>240</v>
      </c>
      <c r="BJ125" s="0" t="s">
        <v>240</v>
      </c>
      <c r="BK125" s="0" t="s">
        <v>240</v>
      </c>
      <c r="BL125" s="0" t="s">
        <v>240</v>
      </c>
      <c r="BM125" s="0" t="s">
        <v>240</v>
      </c>
      <c r="BN125" s="0" t="s">
        <v>240</v>
      </c>
      <c r="BO125" s="0" t="s">
        <v>240</v>
      </c>
      <c r="BP125" s="0" t="s">
        <v>240</v>
      </c>
      <c r="BQ125" s="0" t="s">
        <v>240</v>
      </c>
      <c r="BR125" s="0" t="s">
        <v>240</v>
      </c>
      <c r="BS125" s="0" t="s">
        <v>240</v>
      </c>
      <c r="BT125" s="0" t="s">
        <v>240</v>
      </c>
      <c r="BU125" s="0" t="s">
        <v>240</v>
      </c>
      <c r="BV125" s="0" t="s">
        <v>240</v>
      </c>
      <c r="BW125" s="0" t="s">
        <v>240</v>
      </c>
      <c r="BX125" s="0" t="s">
        <v>240</v>
      </c>
      <c r="BY125" s="0" t="s">
        <v>240</v>
      </c>
      <c r="BZ125" s="0" t="s">
        <v>240</v>
      </c>
      <c r="CA125" s="0" t="s">
        <v>240</v>
      </c>
      <c r="CB125" s="0" t="s">
        <v>240</v>
      </c>
      <c r="CC125" s="0" t="s">
        <v>240</v>
      </c>
      <c r="CD125" s="0" t="s">
        <v>240</v>
      </c>
      <c r="CE125" s="0" t="s">
        <v>240</v>
      </c>
      <c r="CF125" s="0" t="s">
        <v>240</v>
      </c>
      <c r="CG125" s="0" t="s">
        <v>240</v>
      </c>
      <c r="CH125" s="0" t="s">
        <v>240</v>
      </c>
      <c r="CI125" s="0" t="s">
        <v>240</v>
      </c>
      <c r="CJ125" s="0" t="s">
        <v>240</v>
      </c>
      <c r="CK125" s="0" t="s">
        <v>240</v>
      </c>
      <c r="CL125" s="0" t="s">
        <v>240</v>
      </c>
      <c r="CM125" s="0" t="s">
        <v>240</v>
      </c>
      <c r="CN125" s="0" t="s">
        <v>240</v>
      </c>
      <c r="CO125" s="0" t="s">
        <v>240</v>
      </c>
      <c r="CP125" s="0" t="s">
        <v>240</v>
      </c>
      <c r="CQ125" s="0" t="s">
        <v>240</v>
      </c>
      <c r="CR125" s="0" t="s">
        <v>240</v>
      </c>
      <c r="CS125" s="0" t="s">
        <v>240</v>
      </c>
      <c r="CT125" s="0" t="s">
        <v>5496</v>
      </c>
      <c r="CU125" s="0" t="s">
        <v>5497</v>
      </c>
      <c r="CV125" s="0" t="s">
        <v>443</v>
      </c>
      <c r="CW125" s="0" t="s">
        <v>5580</v>
      </c>
      <c r="CX125" s="0" t="s">
        <v>229</v>
      </c>
      <c r="CY125" s="0" t="s">
        <v>443</v>
      </c>
      <c r="CZ125" s="0" t="s">
        <v>5581</v>
      </c>
      <c r="DA125" s="0" t="s">
        <v>5582</v>
      </c>
      <c r="DB125" s="0" t="s">
        <v>5580</v>
      </c>
      <c r="DC125" s="0" t="s">
        <v>384</v>
      </c>
      <c r="DD125" s="0" t="s">
        <v>291</v>
      </c>
      <c r="DE125" s="0" t="s">
        <v>6138</v>
      </c>
    </row>
    <row customHeight="1" ht="11.25">
      <c r="A126" s="1441" t="s">
        <v>240</v>
      </c>
      <c r="B126" s="0" t="s">
        <v>240</v>
      </c>
      <c r="C126" s="0" t="s">
        <v>240</v>
      </c>
      <c r="D126" s="0" t="s">
        <v>240</v>
      </c>
      <c r="E126" s="0" t="s">
        <v>240</v>
      </c>
      <c r="F126" s="0" t="s">
        <v>240</v>
      </c>
      <c r="G126" s="0" t="s">
        <v>240</v>
      </c>
      <c r="H126" s="0" t="s">
        <v>240</v>
      </c>
      <c r="I126" s="0" t="s">
        <v>5484</v>
      </c>
      <c r="J126" s="0" t="s">
        <v>240</v>
      </c>
      <c r="K126" s="0" t="s">
        <v>240</v>
      </c>
      <c r="L126" s="0" t="s">
        <v>240</v>
      </c>
      <c r="M126" s="0" t="s">
        <v>240</v>
      </c>
      <c r="N126" s="0" t="s">
        <v>240</v>
      </c>
      <c r="O126" s="0" t="s">
        <v>240</v>
      </c>
      <c r="P126" s="0" t="s">
        <v>240</v>
      </c>
      <c r="Q126" s="0" t="s">
        <v>240</v>
      </c>
      <c r="R126" s="0" t="s">
        <v>6139</v>
      </c>
      <c r="S126" s="0" t="s">
        <v>240</v>
      </c>
      <c r="T126" s="0" t="s">
        <v>240</v>
      </c>
      <c r="U126" s="0" t="s">
        <v>102</v>
      </c>
      <c r="V126" s="0" t="s">
        <v>240</v>
      </c>
      <c r="W126" s="0" t="s">
        <v>240</v>
      </c>
      <c r="X126" s="0" t="s">
        <v>5485</v>
      </c>
      <c r="Y126" s="0" t="s">
        <v>240</v>
      </c>
      <c r="Z126" s="0" t="s">
        <v>161</v>
      </c>
      <c r="AA126" s="0" t="s">
        <v>152</v>
      </c>
      <c r="AB126" s="0" t="s">
        <v>152</v>
      </c>
      <c r="AC126" s="0" t="s">
        <v>3389</v>
      </c>
      <c r="AD126" s="0" t="s">
        <v>3389</v>
      </c>
      <c r="AE126" s="0" t="s">
        <v>3390</v>
      </c>
      <c r="AF126" s="0" t="s">
        <v>5519</v>
      </c>
      <c r="AG126" s="0" t="s">
        <v>5520</v>
      </c>
      <c r="AH126" s="0" t="s">
        <v>6140</v>
      </c>
      <c r="AI126" s="0" t="s">
        <v>6141</v>
      </c>
      <c r="AJ126" s="0" t="s">
        <v>5872</v>
      </c>
      <c r="AK126" s="0" t="s">
        <v>6142</v>
      </c>
      <c r="AL126" s="0" t="s">
        <v>5524</v>
      </c>
      <c r="AM126" s="0" t="s">
        <v>5493</v>
      </c>
      <c r="AN126" s="0" t="s">
        <v>6143</v>
      </c>
      <c r="AO126" s="0" t="s">
        <v>6144</v>
      </c>
      <c r="AP126" s="0" t="s">
        <v>240</v>
      </c>
      <c r="AQ126" s="0" t="s">
        <v>240</v>
      </c>
      <c r="AR126" s="0" t="s">
        <v>240</v>
      </c>
      <c r="AS126" s="0" t="s">
        <v>240</v>
      </c>
      <c r="AT126" s="0" t="s">
        <v>240</v>
      </c>
      <c r="AU126" s="0" t="s">
        <v>240</v>
      </c>
      <c r="AV126" s="0" t="s">
        <v>240</v>
      </c>
      <c r="AW126" s="0" t="s">
        <v>240</v>
      </c>
      <c r="AX126" s="0" t="s">
        <v>240</v>
      </c>
      <c r="AY126" s="0" t="s">
        <v>240</v>
      </c>
      <c r="AZ126" s="0" t="s">
        <v>240</v>
      </c>
      <c r="BA126" s="0" t="s">
        <v>240</v>
      </c>
      <c r="BB126" s="0" t="s">
        <v>240</v>
      </c>
      <c r="BC126" s="0" t="s">
        <v>240</v>
      </c>
      <c r="BD126" s="0" t="s">
        <v>240</v>
      </c>
      <c r="BE126" s="0" t="s">
        <v>240</v>
      </c>
      <c r="BF126" s="0" t="s">
        <v>240</v>
      </c>
      <c r="BG126" s="0" t="s">
        <v>240</v>
      </c>
      <c r="BH126" s="0" t="s">
        <v>240</v>
      </c>
      <c r="BI126" s="0" t="s">
        <v>240</v>
      </c>
      <c r="BJ126" s="0" t="s">
        <v>240</v>
      </c>
      <c r="BK126" s="0" t="s">
        <v>240</v>
      </c>
      <c r="BL126" s="0" t="s">
        <v>240</v>
      </c>
      <c r="BM126" s="0" t="s">
        <v>240</v>
      </c>
      <c r="BN126" s="0" t="s">
        <v>240</v>
      </c>
      <c r="BO126" s="0" t="s">
        <v>240</v>
      </c>
      <c r="BP126" s="0" t="s">
        <v>240</v>
      </c>
      <c r="BQ126" s="0" t="s">
        <v>240</v>
      </c>
      <c r="BR126" s="0" t="s">
        <v>240</v>
      </c>
      <c r="BS126" s="0" t="s">
        <v>240</v>
      </c>
      <c r="BT126" s="0" t="s">
        <v>240</v>
      </c>
      <c r="BU126" s="0" t="s">
        <v>240</v>
      </c>
      <c r="BV126" s="0" t="s">
        <v>240</v>
      </c>
      <c r="BW126" s="0" t="s">
        <v>240</v>
      </c>
      <c r="BX126" s="0" t="s">
        <v>240</v>
      </c>
      <c r="BY126" s="0" t="s">
        <v>240</v>
      </c>
      <c r="BZ126" s="0" t="s">
        <v>240</v>
      </c>
      <c r="CA126" s="0" t="s">
        <v>240</v>
      </c>
      <c r="CB126" s="0" t="s">
        <v>240</v>
      </c>
      <c r="CC126" s="0" t="s">
        <v>240</v>
      </c>
      <c r="CD126" s="0" t="s">
        <v>240</v>
      </c>
      <c r="CE126" s="0" t="s">
        <v>240</v>
      </c>
      <c r="CF126" s="0" t="s">
        <v>240</v>
      </c>
      <c r="CG126" s="0" t="s">
        <v>240</v>
      </c>
      <c r="CH126" s="0" t="s">
        <v>240</v>
      </c>
      <c r="CI126" s="0" t="s">
        <v>240</v>
      </c>
      <c r="CJ126" s="0" t="s">
        <v>240</v>
      </c>
      <c r="CK126" s="0" t="s">
        <v>240</v>
      </c>
      <c r="CL126" s="0" t="s">
        <v>240</v>
      </c>
      <c r="CM126" s="0" t="s">
        <v>240</v>
      </c>
      <c r="CN126" s="0" t="s">
        <v>240</v>
      </c>
      <c r="CO126" s="0" t="s">
        <v>240</v>
      </c>
      <c r="CP126" s="0" t="s">
        <v>240</v>
      </c>
      <c r="CQ126" s="0" t="s">
        <v>240</v>
      </c>
      <c r="CR126" s="0" t="s">
        <v>240</v>
      </c>
      <c r="CS126" s="0" t="s">
        <v>240</v>
      </c>
      <c r="CT126" s="0" t="s">
        <v>5496</v>
      </c>
      <c r="CU126" s="0" t="s">
        <v>5497</v>
      </c>
      <c r="CV126" s="0" t="s">
        <v>443</v>
      </c>
      <c r="CW126" s="0" t="s">
        <v>5527</v>
      </c>
      <c r="CX126" s="0" t="s">
        <v>5528</v>
      </c>
      <c r="CY126" s="0" t="s">
        <v>443</v>
      </c>
      <c r="CZ126" s="0" t="s">
        <v>299</v>
      </c>
      <c r="DA126" s="0" t="s">
        <v>5529</v>
      </c>
      <c r="DB126" s="0" t="s">
        <v>5527</v>
      </c>
      <c r="DC126" s="0" t="s">
        <v>384</v>
      </c>
      <c r="DD126" s="0" t="s">
        <v>291</v>
      </c>
      <c r="DE126" s="0" t="s">
        <v>6145</v>
      </c>
    </row>
    <row customHeight="1" ht="11.25">
      <c r="A127" s="1441" t="s">
        <v>240</v>
      </c>
      <c r="B127" s="0" t="s">
        <v>240</v>
      </c>
      <c r="C127" s="0" t="s">
        <v>240</v>
      </c>
      <c r="D127" s="0" t="s">
        <v>240</v>
      </c>
      <c r="E127" s="0" t="s">
        <v>240</v>
      </c>
      <c r="F127" s="0" t="s">
        <v>240</v>
      </c>
      <c r="G127" s="0" t="s">
        <v>240</v>
      </c>
      <c r="H127" s="0" t="s">
        <v>240</v>
      </c>
      <c r="I127" s="0" t="s">
        <v>5484</v>
      </c>
      <c r="J127" s="0" t="s">
        <v>240</v>
      </c>
      <c r="K127" s="0" t="s">
        <v>240</v>
      </c>
      <c r="L127" s="0" t="s">
        <v>240</v>
      </c>
      <c r="M127" s="0" t="s">
        <v>240</v>
      </c>
      <c r="N127" s="0" t="s">
        <v>240</v>
      </c>
      <c r="O127" s="0" t="s">
        <v>240</v>
      </c>
      <c r="P127" s="0" t="s">
        <v>240</v>
      </c>
      <c r="Q127" s="0" t="s">
        <v>240</v>
      </c>
      <c r="R127" s="0" t="s">
        <v>6146</v>
      </c>
      <c r="S127" s="0" t="s">
        <v>240</v>
      </c>
      <c r="T127" s="0" t="s">
        <v>240</v>
      </c>
      <c r="U127" s="0" t="s">
        <v>102</v>
      </c>
      <c r="V127" s="0" t="s">
        <v>240</v>
      </c>
      <c r="W127" s="0" t="s">
        <v>240</v>
      </c>
      <c r="X127" s="0" t="s">
        <v>5585</v>
      </c>
      <c r="Y127" s="0" t="s">
        <v>240</v>
      </c>
      <c r="Z127" s="0" t="s">
        <v>152</v>
      </c>
      <c r="AA127" s="0" t="s">
        <v>152</v>
      </c>
      <c r="AB127" s="0" t="s">
        <v>161</v>
      </c>
      <c r="AC127" s="0" t="s">
        <v>2991</v>
      </c>
      <c r="AD127" s="0" t="s">
        <v>2991</v>
      </c>
      <c r="AE127" s="0" t="s">
        <v>2992</v>
      </c>
      <c r="AF127" s="0" t="s">
        <v>5772</v>
      </c>
      <c r="AG127" s="0" t="s">
        <v>5773</v>
      </c>
      <c r="AH127" s="0" t="s">
        <v>5575</v>
      </c>
      <c r="AI127" s="0" t="s">
        <v>5575</v>
      </c>
      <c r="AJ127" s="0" t="s">
        <v>240</v>
      </c>
      <c r="AK127" s="0" t="s">
        <v>240</v>
      </c>
      <c r="AL127" s="0" t="s">
        <v>240</v>
      </c>
      <c r="AM127" s="0" t="s">
        <v>240</v>
      </c>
      <c r="AN127" s="0" t="s">
        <v>240</v>
      </c>
      <c r="AO127" s="0" t="s">
        <v>240</v>
      </c>
      <c r="AP127" s="0" t="s">
        <v>240</v>
      </c>
      <c r="AQ127" s="0" t="s">
        <v>240</v>
      </c>
      <c r="AR127" s="0" t="s">
        <v>240</v>
      </c>
      <c r="AS127" s="0" t="s">
        <v>240</v>
      </c>
      <c r="AT127" s="0" t="s">
        <v>240</v>
      </c>
      <c r="AU127" s="0" t="s">
        <v>240</v>
      </c>
      <c r="AV127" s="0" t="s">
        <v>240</v>
      </c>
      <c r="AW127" s="0" t="s">
        <v>240</v>
      </c>
      <c r="AX127" s="0" t="s">
        <v>240</v>
      </c>
      <c r="AY127" s="0" t="s">
        <v>240</v>
      </c>
      <c r="AZ127" s="0" t="s">
        <v>240</v>
      </c>
      <c r="BA127" s="0" t="s">
        <v>240</v>
      </c>
      <c r="BB127" s="0" t="s">
        <v>240</v>
      </c>
      <c r="BC127" s="0" t="s">
        <v>240</v>
      </c>
      <c r="BD127" s="0" t="s">
        <v>240</v>
      </c>
      <c r="BE127" s="0" t="s">
        <v>5552</v>
      </c>
      <c r="BF127" s="0" t="s">
        <v>5544</v>
      </c>
      <c r="BG127" s="0" t="s">
        <v>112</v>
      </c>
      <c r="BH127" s="0" t="s">
        <v>5589</v>
      </c>
      <c r="BI127" s="0" t="s">
        <v>123</v>
      </c>
      <c r="BJ127" s="0" t="s">
        <v>240</v>
      </c>
      <c r="BK127" s="0" t="s">
        <v>5608</v>
      </c>
      <c r="BL127" s="0" t="s">
        <v>2991</v>
      </c>
      <c r="BM127" s="0" t="s">
        <v>2991</v>
      </c>
      <c r="BN127" s="0" t="s">
        <v>5663</v>
      </c>
      <c r="BO127" s="0" t="s">
        <v>5772</v>
      </c>
      <c r="BP127" s="0" t="s">
        <v>6147</v>
      </c>
      <c r="BQ127" s="0" t="s">
        <v>5575</v>
      </c>
      <c r="BR127" s="0" t="s">
        <v>5575</v>
      </c>
      <c r="BS127" s="0" t="s">
        <v>240</v>
      </c>
      <c r="BT127" s="0" t="s">
        <v>5650</v>
      </c>
      <c r="BU127" s="0" t="s">
        <v>6148</v>
      </c>
      <c r="BV127" s="0" t="s">
        <v>6148</v>
      </c>
      <c r="BW127" s="0" t="s">
        <v>5598</v>
      </c>
      <c r="BX127" s="0" t="s">
        <v>5598</v>
      </c>
      <c r="BY127" s="0" t="s">
        <v>5598</v>
      </c>
      <c r="BZ127" s="0" t="s">
        <v>5598</v>
      </c>
      <c r="CA127" s="0" t="s">
        <v>5598</v>
      </c>
      <c r="CB127" s="0" t="s">
        <v>240</v>
      </c>
      <c r="CC127" s="0" t="s">
        <v>240</v>
      </c>
      <c r="CD127" s="0" t="s">
        <v>240</v>
      </c>
      <c r="CE127" s="0" t="s">
        <v>240</v>
      </c>
      <c r="CF127" s="0" t="s">
        <v>240</v>
      </c>
      <c r="CG127" s="0" t="s">
        <v>5598</v>
      </c>
      <c r="CH127" s="0" t="s">
        <v>240</v>
      </c>
      <c r="CI127" s="0" t="s">
        <v>240</v>
      </c>
      <c r="CJ127" s="0" t="s">
        <v>240</v>
      </c>
      <c r="CK127" s="0" t="s">
        <v>240</v>
      </c>
      <c r="CL127" s="0" t="s">
        <v>240</v>
      </c>
      <c r="CM127" s="0" t="s">
        <v>6148</v>
      </c>
      <c r="CN127" s="0" t="s">
        <v>6148</v>
      </c>
      <c r="CO127" s="0" t="s">
        <v>240</v>
      </c>
      <c r="CP127" s="0" t="s">
        <v>240</v>
      </c>
      <c r="CQ127" s="0" t="s">
        <v>240</v>
      </c>
      <c r="CR127" s="0" t="s">
        <v>240</v>
      </c>
      <c r="CS127" s="0" t="s">
        <v>5666</v>
      </c>
      <c r="CT127" s="0" t="s">
        <v>5496</v>
      </c>
      <c r="CU127" s="0" t="s">
        <v>5497</v>
      </c>
      <c r="CV127" s="0" t="s">
        <v>443</v>
      </c>
      <c r="CW127" s="0" t="s">
        <v>5547</v>
      </c>
      <c r="CX127" s="0" t="s">
        <v>229</v>
      </c>
      <c r="CY127" s="0" t="s">
        <v>443</v>
      </c>
      <c r="CZ127" s="0" t="s">
        <v>5548</v>
      </c>
      <c r="DA127" s="0" t="s">
        <v>5549</v>
      </c>
      <c r="DB127" s="0" t="s">
        <v>5547</v>
      </c>
      <c r="DC127" s="0" t="s">
        <v>384</v>
      </c>
      <c r="DD127" s="0" t="s">
        <v>291</v>
      </c>
      <c r="DE127" s="0" t="s">
        <v>6149</v>
      </c>
    </row>
    <row customHeight="1" ht="11.25">
      <c r="A128" s="1441" t="s">
        <v>240</v>
      </c>
      <c r="B128" s="0" t="s">
        <v>240</v>
      </c>
      <c r="C128" s="0" t="s">
        <v>240</v>
      </c>
      <c r="D128" s="0" t="s">
        <v>240</v>
      </c>
      <c r="E128" s="0" t="s">
        <v>240</v>
      </c>
      <c r="F128" s="0" t="s">
        <v>240</v>
      </c>
      <c r="G128" s="0" t="s">
        <v>240</v>
      </c>
      <c r="H128" s="0" t="s">
        <v>240</v>
      </c>
      <c r="I128" s="0" t="s">
        <v>5484</v>
      </c>
      <c r="J128" s="0" t="s">
        <v>240</v>
      </c>
      <c r="K128" s="0" t="s">
        <v>240</v>
      </c>
      <c r="L128" s="0" t="s">
        <v>240</v>
      </c>
      <c r="M128" s="0" t="s">
        <v>240</v>
      </c>
      <c r="N128" s="0" t="s">
        <v>240</v>
      </c>
      <c r="O128" s="0" t="s">
        <v>240</v>
      </c>
      <c r="P128" s="0" t="s">
        <v>240</v>
      </c>
      <c r="Q128" s="0" t="s">
        <v>240</v>
      </c>
      <c r="R128" s="0" t="s">
        <v>6150</v>
      </c>
      <c r="S128" s="0" t="s">
        <v>240</v>
      </c>
      <c r="T128" s="0" t="s">
        <v>240</v>
      </c>
      <c r="U128" s="0" t="s">
        <v>102</v>
      </c>
      <c r="V128" s="0" t="s">
        <v>240</v>
      </c>
      <c r="W128" s="0" t="s">
        <v>240</v>
      </c>
      <c r="X128" s="0" t="s">
        <v>5585</v>
      </c>
      <c r="Y128" s="0" t="s">
        <v>240</v>
      </c>
      <c r="Z128" s="0" t="s">
        <v>152</v>
      </c>
      <c r="AA128" s="0" t="s">
        <v>152</v>
      </c>
      <c r="AB128" s="0" t="s">
        <v>161</v>
      </c>
      <c r="AC128" s="0" t="s">
        <v>2991</v>
      </c>
      <c r="AD128" s="0" t="s">
        <v>2991</v>
      </c>
      <c r="AE128" s="0" t="s">
        <v>2992</v>
      </c>
      <c r="AF128" s="0" t="s">
        <v>5772</v>
      </c>
      <c r="AG128" s="0" t="s">
        <v>5773</v>
      </c>
      <c r="AH128" s="0" t="s">
        <v>5575</v>
      </c>
      <c r="AI128" s="0" t="s">
        <v>5575</v>
      </c>
      <c r="AJ128" s="0" t="s">
        <v>240</v>
      </c>
      <c r="AK128" s="0" t="s">
        <v>240</v>
      </c>
      <c r="AL128" s="0" t="s">
        <v>240</v>
      </c>
      <c r="AM128" s="0" t="s">
        <v>240</v>
      </c>
      <c r="AN128" s="0" t="s">
        <v>240</v>
      </c>
      <c r="AO128" s="0" t="s">
        <v>240</v>
      </c>
      <c r="AP128" s="0" t="s">
        <v>240</v>
      </c>
      <c r="AQ128" s="0" t="s">
        <v>240</v>
      </c>
      <c r="AR128" s="0" t="s">
        <v>240</v>
      </c>
      <c r="AS128" s="0" t="s">
        <v>240</v>
      </c>
      <c r="AT128" s="0" t="s">
        <v>240</v>
      </c>
      <c r="AU128" s="0" t="s">
        <v>240</v>
      </c>
      <c r="AV128" s="0" t="s">
        <v>240</v>
      </c>
      <c r="AW128" s="0" t="s">
        <v>240</v>
      </c>
      <c r="AX128" s="0" t="s">
        <v>240</v>
      </c>
      <c r="AY128" s="0" t="s">
        <v>240</v>
      </c>
      <c r="AZ128" s="0" t="s">
        <v>240</v>
      </c>
      <c r="BA128" s="0" t="s">
        <v>240</v>
      </c>
      <c r="BB128" s="0" t="s">
        <v>240</v>
      </c>
      <c r="BC128" s="0" t="s">
        <v>240</v>
      </c>
      <c r="BD128" s="0" t="s">
        <v>240</v>
      </c>
      <c r="BE128" s="0" t="s">
        <v>5552</v>
      </c>
      <c r="BF128" s="0" t="s">
        <v>5544</v>
      </c>
      <c r="BG128" s="0" t="s">
        <v>112</v>
      </c>
      <c r="BH128" s="0" t="s">
        <v>5589</v>
      </c>
      <c r="BI128" s="0" t="s">
        <v>123</v>
      </c>
      <c r="BJ128" s="0" t="s">
        <v>240</v>
      </c>
      <c r="BK128" s="0" t="s">
        <v>5608</v>
      </c>
      <c r="BL128" s="0" t="s">
        <v>2991</v>
      </c>
      <c r="BM128" s="0" t="s">
        <v>2991</v>
      </c>
      <c r="BN128" s="0" t="s">
        <v>5663</v>
      </c>
      <c r="BO128" s="0" t="s">
        <v>5772</v>
      </c>
      <c r="BP128" s="0" t="s">
        <v>6147</v>
      </c>
      <c r="BQ128" s="0" t="s">
        <v>5575</v>
      </c>
      <c r="BR128" s="0" t="s">
        <v>5575</v>
      </c>
      <c r="BS128" s="0" t="s">
        <v>240</v>
      </c>
      <c r="BT128" s="0" t="s">
        <v>6151</v>
      </c>
      <c r="BU128" s="0" t="s">
        <v>6152</v>
      </c>
      <c r="BV128" s="0" t="s">
        <v>6152</v>
      </c>
      <c r="BW128" s="0" t="s">
        <v>5598</v>
      </c>
      <c r="BX128" s="0" t="s">
        <v>5598</v>
      </c>
      <c r="BY128" s="0" t="s">
        <v>5598</v>
      </c>
      <c r="BZ128" s="0" t="s">
        <v>5598</v>
      </c>
      <c r="CA128" s="0" t="s">
        <v>5598</v>
      </c>
      <c r="CB128" s="0" t="s">
        <v>240</v>
      </c>
      <c r="CC128" s="0" t="s">
        <v>240</v>
      </c>
      <c r="CD128" s="0" t="s">
        <v>240</v>
      </c>
      <c r="CE128" s="0" t="s">
        <v>240</v>
      </c>
      <c r="CF128" s="0" t="s">
        <v>240</v>
      </c>
      <c r="CG128" s="0" t="s">
        <v>5598</v>
      </c>
      <c r="CH128" s="0" t="s">
        <v>240</v>
      </c>
      <c r="CI128" s="0" t="s">
        <v>240</v>
      </c>
      <c r="CJ128" s="0" t="s">
        <v>240</v>
      </c>
      <c r="CK128" s="0" t="s">
        <v>240</v>
      </c>
      <c r="CL128" s="0" t="s">
        <v>240</v>
      </c>
      <c r="CM128" s="0" t="s">
        <v>6152</v>
      </c>
      <c r="CN128" s="0" t="s">
        <v>6152</v>
      </c>
      <c r="CO128" s="0" t="s">
        <v>240</v>
      </c>
      <c r="CP128" s="0" t="s">
        <v>240</v>
      </c>
      <c r="CQ128" s="0" t="s">
        <v>240</v>
      </c>
      <c r="CR128" s="0" t="s">
        <v>240</v>
      </c>
      <c r="CS128" s="0" t="s">
        <v>5666</v>
      </c>
      <c r="CT128" s="0" t="s">
        <v>5496</v>
      </c>
      <c r="CU128" s="0" t="s">
        <v>5497</v>
      </c>
      <c r="CV128" s="0" t="s">
        <v>443</v>
      </c>
      <c r="CW128" s="0" t="s">
        <v>5547</v>
      </c>
      <c r="CX128" s="0" t="s">
        <v>229</v>
      </c>
      <c r="CY128" s="0" t="s">
        <v>443</v>
      </c>
      <c r="CZ128" s="0" t="s">
        <v>5548</v>
      </c>
      <c r="DA128" s="0" t="s">
        <v>5549</v>
      </c>
      <c r="DB128" s="0" t="s">
        <v>5547</v>
      </c>
      <c r="DC128" s="0" t="s">
        <v>384</v>
      </c>
      <c r="DD128" s="0" t="s">
        <v>291</v>
      </c>
      <c r="DE128" s="0" t="s">
        <v>6149</v>
      </c>
    </row>
    <row customHeight="1" ht="11.25">
      <c r="A129" s="1441" t="s">
        <v>240</v>
      </c>
      <c r="B129" s="0" t="s">
        <v>240</v>
      </c>
      <c r="C129" s="0" t="s">
        <v>240</v>
      </c>
      <c r="D129" s="0" t="s">
        <v>240</v>
      </c>
      <c r="E129" s="0" t="s">
        <v>240</v>
      </c>
      <c r="F129" s="0" t="s">
        <v>240</v>
      </c>
      <c r="G129" s="0" t="s">
        <v>240</v>
      </c>
      <c r="H129" s="0" t="s">
        <v>240</v>
      </c>
      <c r="I129" s="0" t="s">
        <v>5484</v>
      </c>
      <c r="J129" s="0" t="s">
        <v>240</v>
      </c>
      <c r="K129" s="0" t="s">
        <v>240</v>
      </c>
      <c r="L129" s="0" t="s">
        <v>240</v>
      </c>
      <c r="M129" s="0" t="s">
        <v>240</v>
      </c>
      <c r="N129" s="0" t="s">
        <v>240</v>
      </c>
      <c r="O129" s="0" t="s">
        <v>240</v>
      </c>
      <c r="P129" s="0" t="s">
        <v>240</v>
      </c>
      <c r="Q129" s="0" t="s">
        <v>240</v>
      </c>
      <c r="R129" s="0" t="s">
        <v>6153</v>
      </c>
      <c r="S129" s="0" t="s">
        <v>240</v>
      </c>
      <c r="T129" s="0" t="s">
        <v>240</v>
      </c>
      <c r="U129" s="0" t="s">
        <v>102</v>
      </c>
      <c r="V129" s="0" t="s">
        <v>240</v>
      </c>
      <c r="W129" s="0" t="s">
        <v>240</v>
      </c>
      <c r="X129" s="0" t="s">
        <v>5585</v>
      </c>
      <c r="Y129" s="0" t="s">
        <v>240</v>
      </c>
      <c r="Z129" s="0" t="s">
        <v>152</v>
      </c>
      <c r="AA129" s="0" t="s">
        <v>152</v>
      </c>
      <c r="AB129" s="0" t="s">
        <v>161</v>
      </c>
      <c r="AC129" s="0" t="s">
        <v>2991</v>
      </c>
      <c r="AD129" s="0" t="s">
        <v>2991</v>
      </c>
      <c r="AE129" s="0" t="s">
        <v>2992</v>
      </c>
      <c r="AF129" s="0" t="s">
        <v>5772</v>
      </c>
      <c r="AG129" s="0" t="s">
        <v>5773</v>
      </c>
      <c r="AH129" s="0" t="s">
        <v>6154</v>
      </c>
      <c r="AI129" s="0" t="s">
        <v>6155</v>
      </c>
      <c r="AJ129" s="0" t="s">
        <v>240</v>
      </c>
      <c r="AK129" s="0" t="s">
        <v>240</v>
      </c>
      <c r="AL129" s="0" t="s">
        <v>240</v>
      </c>
      <c r="AM129" s="0" t="s">
        <v>240</v>
      </c>
      <c r="AN129" s="0" t="s">
        <v>240</v>
      </c>
      <c r="AO129" s="0" t="s">
        <v>240</v>
      </c>
      <c r="AP129" s="0" t="s">
        <v>240</v>
      </c>
      <c r="AQ129" s="0" t="s">
        <v>240</v>
      </c>
      <c r="AR129" s="0" t="s">
        <v>240</v>
      </c>
      <c r="AS129" s="0" t="s">
        <v>240</v>
      </c>
      <c r="AT129" s="0" t="s">
        <v>240</v>
      </c>
      <c r="AU129" s="0" t="s">
        <v>240</v>
      </c>
      <c r="AV129" s="0" t="s">
        <v>240</v>
      </c>
      <c r="AW129" s="0" t="s">
        <v>240</v>
      </c>
      <c r="AX129" s="0" t="s">
        <v>240</v>
      </c>
      <c r="AY129" s="0" t="s">
        <v>240</v>
      </c>
      <c r="AZ129" s="0" t="s">
        <v>240</v>
      </c>
      <c r="BA129" s="0" t="s">
        <v>240</v>
      </c>
      <c r="BB129" s="0" t="s">
        <v>240</v>
      </c>
      <c r="BC129" s="0" t="s">
        <v>240</v>
      </c>
      <c r="BD129" s="0" t="s">
        <v>240</v>
      </c>
      <c r="BE129" s="0" t="s">
        <v>5552</v>
      </c>
      <c r="BF129" s="0" t="s">
        <v>5544</v>
      </c>
      <c r="BG129" s="0" t="s">
        <v>112</v>
      </c>
      <c r="BH129" s="0" t="s">
        <v>5589</v>
      </c>
      <c r="BI129" s="0" t="s">
        <v>123</v>
      </c>
      <c r="BJ129" s="0" t="s">
        <v>240</v>
      </c>
      <c r="BK129" s="0" t="s">
        <v>5608</v>
      </c>
      <c r="BL129" s="0" t="s">
        <v>2991</v>
      </c>
      <c r="BM129" s="0" t="s">
        <v>2991</v>
      </c>
      <c r="BN129" s="0" t="s">
        <v>5663</v>
      </c>
      <c r="BO129" s="0" t="s">
        <v>5772</v>
      </c>
      <c r="BP129" s="0" t="s">
        <v>6147</v>
      </c>
      <c r="BQ129" s="0" t="s">
        <v>6154</v>
      </c>
      <c r="BR129" s="0" t="s">
        <v>6155</v>
      </c>
      <c r="BS129" s="0" t="s">
        <v>240</v>
      </c>
      <c r="BT129" s="0" t="s">
        <v>6151</v>
      </c>
      <c r="BU129" s="0" t="s">
        <v>6156</v>
      </c>
      <c r="BV129" s="0" t="s">
        <v>6156</v>
      </c>
      <c r="BW129" s="0" t="s">
        <v>5598</v>
      </c>
      <c r="BX129" s="0" t="s">
        <v>5598</v>
      </c>
      <c r="BY129" s="0" t="s">
        <v>5598</v>
      </c>
      <c r="BZ129" s="0" t="s">
        <v>5598</v>
      </c>
      <c r="CA129" s="0" t="s">
        <v>5598</v>
      </c>
      <c r="CB129" s="0" t="s">
        <v>240</v>
      </c>
      <c r="CC129" s="0" t="s">
        <v>240</v>
      </c>
      <c r="CD129" s="0" t="s">
        <v>240</v>
      </c>
      <c r="CE129" s="0" t="s">
        <v>240</v>
      </c>
      <c r="CF129" s="0" t="s">
        <v>240</v>
      </c>
      <c r="CG129" s="0" t="s">
        <v>5598</v>
      </c>
      <c r="CH129" s="0" t="s">
        <v>240</v>
      </c>
      <c r="CI129" s="0" t="s">
        <v>240</v>
      </c>
      <c r="CJ129" s="0" t="s">
        <v>240</v>
      </c>
      <c r="CK129" s="0" t="s">
        <v>240</v>
      </c>
      <c r="CL129" s="0" t="s">
        <v>240</v>
      </c>
      <c r="CM129" s="0" t="s">
        <v>6156</v>
      </c>
      <c r="CN129" s="0" t="s">
        <v>6156</v>
      </c>
      <c r="CO129" s="0" t="s">
        <v>240</v>
      </c>
      <c r="CP129" s="0" t="s">
        <v>240</v>
      </c>
      <c r="CQ129" s="0" t="s">
        <v>240</v>
      </c>
      <c r="CR129" s="0" t="s">
        <v>240</v>
      </c>
      <c r="CS129" s="0" t="s">
        <v>5666</v>
      </c>
      <c r="CT129" s="0" t="s">
        <v>5496</v>
      </c>
      <c r="CU129" s="0" t="s">
        <v>5497</v>
      </c>
      <c r="CV129" s="0" t="s">
        <v>443</v>
      </c>
      <c r="CW129" s="0" t="s">
        <v>5547</v>
      </c>
      <c r="CX129" s="0" t="s">
        <v>229</v>
      </c>
      <c r="CY129" s="0" t="s">
        <v>443</v>
      </c>
      <c r="CZ129" s="0" t="s">
        <v>5548</v>
      </c>
      <c r="DA129" s="0" t="s">
        <v>5549</v>
      </c>
      <c r="DB129" s="0" t="s">
        <v>5547</v>
      </c>
      <c r="DC129" s="0" t="s">
        <v>384</v>
      </c>
      <c r="DD129" s="0" t="s">
        <v>291</v>
      </c>
      <c r="DE129" s="0" t="s">
        <v>6157</v>
      </c>
    </row>
    <row customHeight="1" ht="11.25">
      <c r="A130" s="1441" t="s">
        <v>240</v>
      </c>
      <c r="B130" s="0" t="s">
        <v>240</v>
      </c>
      <c r="C130" s="0" t="s">
        <v>240</v>
      </c>
      <c r="D130" s="0" t="s">
        <v>240</v>
      </c>
      <c r="E130" s="0" t="s">
        <v>240</v>
      </c>
      <c r="F130" s="0" t="s">
        <v>240</v>
      </c>
      <c r="G130" s="0" t="s">
        <v>240</v>
      </c>
      <c r="H130" s="0" t="s">
        <v>240</v>
      </c>
      <c r="I130" s="0" t="s">
        <v>5484</v>
      </c>
      <c r="J130" s="0" t="s">
        <v>240</v>
      </c>
      <c r="K130" s="0" t="s">
        <v>240</v>
      </c>
      <c r="L130" s="0" t="s">
        <v>240</v>
      </c>
      <c r="M130" s="0" t="s">
        <v>240</v>
      </c>
      <c r="N130" s="0" t="s">
        <v>240</v>
      </c>
      <c r="O130" s="0" t="s">
        <v>240</v>
      </c>
      <c r="P130" s="0" t="s">
        <v>240</v>
      </c>
      <c r="Q130" s="0" t="s">
        <v>240</v>
      </c>
      <c r="R130" s="0" t="s">
        <v>5572</v>
      </c>
      <c r="S130" s="0" t="s">
        <v>240</v>
      </c>
      <c r="T130" s="0" t="s">
        <v>240</v>
      </c>
      <c r="U130" s="0" t="s">
        <v>102</v>
      </c>
      <c r="V130" s="0" t="s">
        <v>240</v>
      </c>
      <c r="W130" s="0" t="s">
        <v>240</v>
      </c>
      <c r="X130" s="0" t="s">
        <v>5485</v>
      </c>
      <c r="Y130" s="0" t="s">
        <v>240</v>
      </c>
      <c r="Z130" s="0" t="s">
        <v>161</v>
      </c>
      <c r="AA130" s="0" t="s">
        <v>152</v>
      </c>
      <c r="AB130" s="0" t="s">
        <v>152</v>
      </c>
      <c r="AC130" s="0" t="s">
        <v>2991</v>
      </c>
      <c r="AD130" s="0" t="s">
        <v>2991</v>
      </c>
      <c r="AE130" s="0" t="s">
        <v>2992</v>
      </c>
      <c r="AF130" s="0" t="s">
        <v>6158</v>
      </c>
      <c r="AG130" s="0" t="s">
        <v>6159</v>
      </c>
      <c r="AH130" s="0" t="s">
        <v>5684</v>
      </c>
      <c r="AI130" s="0" t="s">
        <v>5551</v>
      </c>
      <c r="AJ130" s="0" t="s">
        <v>5504</v>
      </c>
      <c r="AK130" s="0" t="s">
        <v>5544</v>
      </c>
      <c r="AL130" s="0" t="s">
        <v>5506</v>
      </c>
      <c r="AM130" s="0" t="s">
        <v>5493</v>
      </c>
      <c r="AN130" s="0" t="s">
        <v>5553</v>
      </c>
      <c r="AO130" s="0" t="s">
        <v>5786</v>
      </c>
      <c r="AP130" s="0" t="s">
        <v>240</v>
      </c>
      <c r="AQ130" s="0" t="s">
        <v>240</v>
      </c>
      <c r="AR130" s="0" t="s">
        <v>240</v>
      </c>
      <c r="AS130" s="0" t="s">
        <v>240</v>
      </c>
      <c r="AT130" s="0" t="s">
        <v>240</v>
      </c>
      <c r="AU130" s="0" t="s">
        <v>240</v>
      </c>
      <c r="AV130" s="0" t="s">
        <v>240</v>
      </c>
      <c r="AW130" s="0" t="s">
        <v>240</v>
      </c>
      <c r="AX130" s="0" t="s">
        <v>240</v>
      </c>
      <c r="AY130" s="0" t="s">
        <v>240</v>
      </c>
      <c r="AZ130" s="0" t="s">
        <v>240</v>
      </c>
      <c r="BA130" s="0" t="s">
        <v>240</v>
      </c>
      <c r="BB130" s="0" t="s">
        <v>240</v>
      </c>
      <c r="BC130" s="0" t="s">
        <v>240</v>
      </c>
      <c r="BD130" s="0" t="s">
        <v>240</v>
      </c>
      <c r="BE130" s="0" t="s">
        <v>240</v>
      </c>
      <c r="BF130" s="0" t="s">
        <v>240</v>
      </c>
      <c r="BG130" s="0" t="s">
        <v>240</v>
      </c>
      <c r="BH130" s="0" t="s">
        <v>240</v>
      </c>
      <c r="BI130" s="0" t="s">
        <v>240</v>
      </c>
      <c r="BJ130" s="0" t="s">
        <v>240</v>
      </c>
      <c r="BK130" s="0" t="s">
        <v>240</v>
      </c>
      <c r="BL130" s="0" t="s">
        <v>240</v>
      </c>
      <c r="BM130" s="0" t="s">
        <v>240</v>
      </c>
      <c r="BN130" s="0" t="s">
        <v>240</v>
      </c>
      <c r="BO130" s="0" t="s">
        <v>240</v>
      </c>
      <c r="BP130" s="0" t="s">
        <v>240</v>
      </c>
      <c r="BQ130" s="0" t="s">
        <v>240</v>
      </c>
      <c r="BR130" s="0" t="s">
        <v>240</v>
      </c>
      <c r="BS130" s="0" t="s">
        <v>240</v>
      </c>
      <c r="BT130" s="0" t="s">
        <v>240</v>
      </c>
      <c r="BU130" s="0" t="s">
        <v>240</v>
      </c>
      <c r="BV130" s="0" t="s">
        <v>240</v>
      </c>
      <c r="BW130" s="0" t="s">
        <v>240</v>
      </c>
      <c r="BX130" s="0" t="s">
        <v>240</v>
      </c>
      <c r="BY130" s="0" t="s">
        <v>240</v>
      </c>
      <c r="BZ130" s="0" t="s">
        <v>240</v>
      </c>
      <c r="CA130" s="0" t="s">
        <v>240</v>
      </c>
      <c r="CB130" s="0" t="s">
        <v>240</v>
      </c>
      <c r="CC130" s="0" t="s">
        <v>240</v>
      </c>
      <c r="CD130" s="0" t="s">
        <v>240</v>
      </c>
      <c r="CE130" s="0" t="s">
        <v>240</v>
      </c>
      <c r="CF130" s="0" t="s">
        <v>240</v>
      </c>
      <c r="CG130" s="0" t="s">
        <v>240</v>
      </c>
      <c r="CH130" s="0" t="s">
        <v>240</v>
      </c>
      <c r="CI130" s="0" t="s">
        <v>240</v>
      </c>
      <c r="CJ130" s="0" t="s">
        <v>240</v>
      </c>
      <c r="CK130" s="0" t="s">
        <v>240</v>
      </c>
      <c r="CL130" s="0" t="s">
        <v>240</v>
      </c>
      <c r="CM130" s="0" t="s">
        <v>240</v>
      </c>
      <c r="CN130" s="0" t="s">
        <v>240</v>
      </c>
      <c r="CO130" s="0" t="s">
        <v>240</v>
      </c>
      <c r="CP130" s="0" t="s">
        <v>240</v>
      </c>
      <c r="CQ130" s="0" t="s">
        <v>240</v>
      </c>
      <c r="CR130" s="0" t="s">
        <v>240</v>
      </c>
      <c r="CS130" s="0" t="s">
        <v>240</v>
      </c>
      <c r="CT130" s="0" t="s">
        <v>5496</v>
      </c>
      <c r="CU130" s="0" t="s">
        <v>5497</v>
      </c>
      <c r="CV130" s="0" t="s">
        <v>443</v>
      </c>
      <c r="CW130" s="0" t="s">
        <v>5547</v>
      </c>
      <c r="CX130" s="0" t="s">
        <v>229</v>
      </c>
      <c r="CY130" s="0" t="s">
        <v>443</v>
      </c>
      <c r="CZ130" s="0" t="s">
        <v>5548</v>
      </c>
      <c r="DA130" s="0" t="s">
        <v>5549</v>
      </c>
      <c r="DB130" s="0" t="s">
        <v>5547</v>
      </c>
      <c r="DC130" s="0" t="s">
        <v>384</v>
      </c>
      <c r="DD130" s="0" t="s">
        <v>291</v>
      </c>
      <c r="DE130" s="0" t="s">
        <v>6160</v>
      </c>
    </row>
    <row customHeight="1" ht="11.25">
      <c r="A131" s="1441" t="s">
        <v>240</v>
      </c>
      <c r="B131" s="0" t="s">
        <v>240</v>
      </c>
      <c r="C131" s="0" t="s">
        <v>240</v>
      </c>
      <c r="D131" s="0" t="s">
        <v>240</v>
      </c>
      <c r="E131" s="0" t="s">
        <v>240</v>
      </c>
      <c r="F131" s="0" t="s">
        <v>240</v>
      </c>
      <c r="G131" s="0" t="s">
        <v>240</v>
      </c>
      <c r="H131" s="0" t="s">
        <v>240</v>
      </c>
      <c r="I131" s="0" t="s">
        <v>5484</v>
      </c>
      <c r="J131" s="0" t="s">
        <v>240</v>
      </c>
      <c r="K131" s="0" t="s">
        <v>240</v>
      </c>
      <c r="L131" s="0" t="s">
        <v>240</v>
      </c>
      <c r="M131" s="0" t="s">
        <v>240</v>
      </c>
      <c r="N131" s="0" t="s">
        <v>240</v>
      </c>
      <c r="O131" s="0" t="s">
        <v>240</v>
      </c>
      <c r="P131" s="0" t="s">
        <v>240</v>
      </c>
      <c r="Q131" s="0" t="s">
        <v>240</v>
      </c>
      <c r="R131" s="0" t="s">
        <v>6161</v>
      </c>
      <c r="S131" s="0" t="s">
        <v>240</v>
      </c>
      <c r="T131" s="0" t="s">
        <v>240</v>
      </c>
      <c r="U131" s="0" t="s">
        <v>102</v>
      </c>
      <c r="V131" s="0" t="s">
        <v>240</v>
      </c>
      <c r="W131" s="0" t="s">
        <v>240</v>
      </c>
      <c r="X131" s="0" t="s">
        <v>5905</v>
      </c>
      <c r="Y131" s="0" t="s">
        <v>240</v>
      </c>
      <c r="Z131" s="0" t="s">
        <v>152</v>
      </c>
      <c r="AA131" s="0" t="s">
        <v>161</v>
      </c>
      <c r="AB131" s="0" t="s">
        <v>152</v>
      </c>
      <c r="AC131" s="0" t="s">
        <v>2989</v>
      </c>
      <c r="AD131" s="0" t="s">
        <v>2989</v>
      </c>
      <c r="AE131" s="0" t="s">
        <v>2990</v>
      </c>
      <c r="AF131" s="0" t="s">
        <v>5975</v>
      </c>
      <c r="AG131" s="0" t="s">
        <v>5976</v>
      </c>
      <c r="AH131" s="0" t="s">
        <v>5972</v>
      </c>
      <c r="AI131" s="0" t="s">
        <v>290</v>
      </c>
      <c r="AJ131" s="0" t="s">
        <v>240</v>
      </c>
      <c r="AK131" s="0" t="s">
        <v>240</v>
      </c>
      <c r="AL131" s="0" t="s">
        <v>240</v>
      </c>
      <c r="AM131" s="0" t="s">
        <v>240</v>
      </c>
      <c r="AN131" s="0" t="s">
        <v>240</v>
      </c>
      <c r="AO131" s="0" t="s">
        <v>240</v>
      </c>
      <c r="AP131" s="0" t="s">
        <v>5490</v>
      </c>
      <c r="AQ131" s="0" t="s">
        <v>5490</v>
      </c>
      <c r="AR131" s="0" t="s">
        <v>112</v>
      </c>
      <c r="AS131" s="0" t="s">
        <v>5589</v>
      </c>
      <c r="AT131" s="0" t="s">
        <v>123</v>
      </c>
      <c r="AU131" s="0" t="s">
        <v>240</v>
      </c>
      <c r="AV131" s="0" t="s">
        <v>6161</v>
      </c>
      <c r="AW131" s="0" t="s">
        <v>2989</v>
      </c>
      <c r="AX131" s="0" t="s">
        <v>2989</v>
      </c>
      <c r="AY131" s="0" t="s">
        <v>5798</v>
      </c>
      <c r="AZ131" s="0" t="s">
        <v>5975</v>
      </c>
      <c r="BA131" s="0" t="s">
        <v>6162</v>
      </c>
      <c r="BB131" s="0" t="s">
        <v>5575</v>
      </c>
      <c r="BC131" s="0" t="s">
        <v>5575</v>
      </c>
      <c r="BD131" s="0" t="s">
        <v>5507</v>
      </c>
      <c r="BE131" s="0" t="s">
        <v>240</v>
      </c>
      <c r="BF131" s="0" t="s">
        <v>240</v>
      </c>
      <c r="BG131" s="0" t="s">
        <v>240</v>
      </c>
      <c r="BH131" s="0" t="s">
        <v>240</v>
      </c>
      <c r="BI131" s="0" t="s">
        <v>240</v>
      </c>
      <c r="BJ131" s="0" t="s">
        <v>240</v>
      </c>
      <c r="BK131" s="0" t="s">
        <v>240</v>
      </c>
      <c r="BL131" s="0" t="s">
        <v>240</v>
      </c>
      <c r="BM131" s="0" t="s">
        <v>240</v>
      </c>
      <c r="BN131" s="0" t="s">
        <v>240</v>
      </c>
      <c r="BO131" s="0" t="s">
        <v>240</v>
      </c>
      <c r="BP131" s="0" t="s">
        <v>240</v>
      </c>
      <c r="BQ131" s="0" t="s">
        <v>240</v>
      </c>
      <c r="BR131" s="0" t="s">
        <v>240</v>
      </c>
      <c r="BS131" s="0" t="s">
        <v>240</v>
      </c>
      <c r="BT131" s="0" t="s">
        <v>240</v>
      </c>
      <c r="BU131" s="0" t="s">
        <v>240</v>
      </c>
      <c r="BV131" s="0" t="s">
        <v>240</v>
      </c>
      <c r="BW131" s="0" t="s">
        <v>240</v>
      </c>
      <c r="BX131" s="0" t="s">
        <v>240</v>
      </c>
      <c r="BY131" s="0" t="s">
        <v>240</v>
      </c>
      <c r="BZ131" s="0" t="s">
        <v>240</v>
      </c>
      <c r="CA131" s="0" t="s">
        <v>240</v>
      </c>
      <c r="CB131" s="0" t="s">
        <v>240</v>
      </c>
      <c r="CC131" s="0" t="s">
        <v>240</v>
      </c>
      <c r="CD131" s="0" t="s">
        <v>240</v>
      </c>
      <c r="CE131" s="0" t="s">
        <v>240</v>
      </c>
      <c r="CF131" s="0" t="s">
        <v>240</v>
      </c>
      <c r="CG131" s="0" t="s">
        <v>240</v>
      </c>
      <c r="CH131" s="0" t="s">
        <v>240</v>
      </c>
      <c r="CI131" s="0" t="s">
        <v>240</v>
      </c>
      <c r="CJ131" s="0" t="s">
        <v>240</v>
      </c>
      <c r="CK131" s="0" t="s">
        <v>240</v>
      </c>
      <c r="CL131" s="0" t="s">
        <v>240</v>
      </c>
      <c r="CM131" s="0" t="s">
        <v>240</v>
      </c>
      <c r="CN131" s="0" t="s">
        <v>240</v>
      </c>
      <c r="CO131" s="0" t="s">
        <v>240</v>
      </c>
      <c r="CP131" s="0" t="s">
        <v>240</v>
      </c>
      <c r="CQ131" s="0" t="s">
        <v>240</v>
      </c>
      <c r="CR131" s="0" t="s">
        <v>240</v>
      </c>
      <c r="CS131" s="0" t="s">
        <v>240</v>
      </c>
      <c r="CT131" s="0" t="s">
        <v>5496</v>
      </c>
      <c r="CU131" s="0" t="s">
        <v>5497</v>
      </c>
      <c r="CV131" s="0" t="s">
        <v>443</v>
      </c>
      <c r="CW131" s="0" t="s">
        <v>5580</v>
      </c>
      <c r="CX131" s="0" t="s">
        <v>229</v>
      </c>
      <c r="CY131" s="0" t="s">
        <v>443</v>
      </c>
      <c r="CZ131" s="0" t="s">
        <v>5581</v>
      </c>
      <c r="DA131" s="0" t="s">
        <v>5582</v>
      </c>
      <c r="DB131" s="0" t="s">
        <v>5580</v>
      </c>
      <c r="DC131" s="0" t="s">
        <v>384</v>
      </c>
      <c r="DD131" s="0" t="s">
        <v>291</v>
      </c>
      <c r="DE131" s="0" t="s">
        <v>5978</v>
      </c>
    </row>
    <row customHeight="1" ht="11.25">
      <c r="A132" s="1441" t="s">
        <v>240</v>
      </c>
      <c r="B132" s="0" t="s">
        <v>240</v>
      </c>
      <c r="C132" s="0" t="s">
        <v>240</v>
      </c>
      <c r="D132" s="0" t="s">
        <v>240</v>
      </c>
      <c r="E132" s="0" t="s">
        <v>240</v>
      </c>
      <c r="F132" s="0" t="s">
        <v>240</v>
      </c>
      <c r="G132" s="0" t="s">
        <v>240</v>
      </c>
      <c r="H132" s="0" t="s">
        <v>240</v>
      </c>
      <c r="I132" s="0" t="s">
        <v>5484</v>
      </c>
      <c r="J132" s="0" t="s">
        <v>240</v>
      </c>
      <c r="K132" s="0" t="s">
        <v>240</v>
      </c>
      <c r="L132" s="0" t="s">
        <v>240</v>
      </c>
      <c r="M132" s="0" t="s">
        <v>240</v>
      </c>
      <c r="N132" s="0" t="s">
        <v>240</v>
      </c>
      <c r="O132" s="0" t="s">
        <v>240</v>
      </c>
      <c r="P132" s="0" t="s">
        <v>240</v>
      </c>
      <c r="Q132" s="0" t="s">
        <v>240</v>
      </c>
      <c r="R132" s="0" t="s">
        <v>6163</v>
      </c>
      <c r="S132" s="0" t="s">
        <v>240</v>
      </c>
      <c r="T132" s="0" t="s">
        <v>240</v>
      </c>
      <c r="U132" s="0" t="s">
        <v>102</v>
      </c>
      <c r="V132" s="0" t="s">
        <v>240</v>
      </c>
      <c r="W132" s="0" t="s">
        <v>240</v>
      </c>
      <c r="X132" s="0" t="s">
        <v>5485</v>
      </c>
      <c r="Y132" s="0" t="s">
        <v>240</v>
      </c>
      <c r="Z132" s="0" t="s">
        <v>161</v>
      </c>
      <c r="AA132" s="0" t="s">
        <v>152</v>
      </c>
      <c r="AB132" s="0" t="s">
        <v>152</v>
      </c>
      <c r="AC132" s="0" t="s">
        <v>3389</v>
      </c>
      <c r="AD132" s="0" t="s">
        <v>3389</v>
      </c>
      <c r="AE132" s="0" t="s">
        <v>3390</v>
      </c>
      <c r="AF132" s="0" t="s">
        <v>5519</v>
      </c>
      <c r="AG132" s="0" t="s">
        <v>5520</v>
      </c>
      <c r="AH132" s="0" t="s">
        <v>6164</v>
      </c>
      <c r="AI132" s="0" t="s">
        <v>6165</v>
      </c>
      <c r="AJ132" s="0" t="s">
        <v>5903</v>
      </c>
      <c r="AK132" s="0" t="s">
        <v>6166</v>
      </c>
      <c r="AL132" s="0" t="s">
        <v>5492</v>
      </c>
      <c r="AM132" s="0" t="s">
        <v>5493</v>
      </c>
      <c r="AN132" s="0" t="s">
        <v>6167</v>
      </c>
      <c r="AO132" s="0" t="s">
        <v>6168</v>
      </c>
      <c r="AP132" s="0" t="s">
        <v>240</v>
      </c>
      <c r="AQ132" s="0" t="s">
        <v>240</v>
      </c>
      <c r="AR132" s="0" t="s">
        <v>240</v>
      </c>
      <c r="AS132" s="0" t="s">
        <v>240</v>
      </c>
      <c r="AT132" s="0" t="s">
        <v>240</v>
      </c>
      <c r="AU132" s="0" t="s">
        <v>240</v>
      </c>
      <c r="AV132" s="0" t="s">
        <v>240</v>
      </c>
      <c r="AW132" s="0" t="s">
        <v>240</v>
      </c>
      <c r="AX132" s="0" t="s">
        <v>240</v>
      </c>
      <c r="AY132" s="0" t="s">
        <v>240</v>
      </c>
      <c r="AZ132" s="0" t="s">
        <v>240</v>
      </c>
      <c r="BA132" s="0" t="s">
        <v>240</v>
      </c>
      <c r="BB132" s="0" t="s">
        <v>240</v>
      </c>
      <c r="BC132" s="0" t="s">
        <v>240</v>
      </c>
      <c r="BD132" s="0" t="s">
        <v>240</v>
      </c>
      <c r="BE132" s="0" t="s">
        <v>240</v>
      </c>
      <c r="BF132" s="0" t="s">
        <v>240</v>
      </c>
      <c r="BG132" s="0" t="s">
        <v>240</v>
      </c>
      <c r="BH132" s="0" t="s">
        <v>240</v>
      </c>
      <c r="BI132" s="0" t="s">
        <v>240</v>
      </c>
      <c r="BJ132" s="0" t="s">
        <v>240</v>
      </c>
      <c r="BK132" s="0" t="s">
        <v>240</v>
      </c>
      <c r="BL132" s="0" t="s">
        <v>240</v>
      </c>
      <c r="BM132" s="0" t="s">
        <v>240</v>
      </c>
      <c r="BN132" s="0" t="s">
        <v>240</v>
      </c>
      <c r="BO132" s="0" t="s">
        <v>240</v>
      </c>
      <c r="BP132" s="0" t="s">
        <v>240</v>
      </c>
      <c r="BQ132" s="0" t="s">
        <v>240</v>
      </c>
      <c r="BR132" s="0" t="s">
        <v>240</v>
      </c>
      <c r="BS132" s="0" t="s">
        <v>240</v>
      </c>
      <c r="BT132" s="0" t="s">
        <v>240</v>
      </c>
      <c r="BU132" s="0" t="s">
        <v>240</v>
      </c>
      <c r="BV132" s="0" t="s">
        <v>240</v>
      </c>
      <c r="BW132" s="0" t="s">
        <v>240</v>
      </c>
      <c r="BX132" s="0" t="s">
        <v>240</v>
      </c>
      <c r="BY132" s="0" t="s">
        <v>240</v>
      </c>
      <c r="BZ132" s="0" t="s">
        <v>240</v>
      </c>
      <c r="CA132" s="0" t="s">
        <v>240</v>
      </c>
      <c r="CB132" s="0" t="s">
        <v>240</v>
      </c>
      <c r="CC132" s="0" t="s">
        <v>240</v>
      </c>
      <c r="CD132" s="0" t="s">
        <v>240</v>
      </c>
      <c r="CE132" s="0" t="s">
        <v>240</v>
      </c>
      <c r="CF132" s="0" t="s">
        <v>240</v>
      </c>
      <c r="CG132" s="0" t="s">
        <v>240</v>
      </c>
      <c r="CH132" s="0" t="s">
        <v>240</v>
      </c>
      <c r="CI132" s="0" t="s">
        <v>240</v>
      </c>
      <c r="CJ132" s="0" t="s">
        <v>240</v>
      </c>
      <c r="CK132" s="0" t="s">
        <v>240</v>
      </c>
      <c r="CL132" s="0" t="s">
        <v>240</v>
      </c>
      <c r="CM132" s="0" t="s">
        <v>240</v>
      </c>
      <c r="CN132" s="0" t="s">
        <v>240</v>
      </c>
      <c r="CO132" s="0" t="s">
        <v>240</v>
      </c>
      <c r="CP132" s="0" t="s">
        <v>240</v>
      </c>
      <c r="CQ132" s="0" t="s">
        <v>240</v>
      </c>
      <c r="CR132" s="0" t="s">
        <v>240</v>
      </c>
      <c r="CS132" s="0" t="s">
        <v>240</v>
      </c>
      <c r="CT132" s="0" t="s">
        <v>5496</v>
      </c>
      <c r="CU132" s="0" t="s">
        <v>5497</v>
      </c>
      <c r="CV132" s="0" t="s">
        <v>443</v>
      </c>
      <c r="CW132" s="0" t="s">
        <v>5527</v>
      </c>
      <c r="CX132" s="0" t="s">
        <v>5528</v>
      </c>
      <c r="CY132" s="0" t="s">
        <v>443</v>
      </c>
      <c r="CZ132" s="0" t="s">
        <v>299</v>
      </c>
      <c r="DA132" s="0" t="s">
        <v>5529</v>
      </c>
      <c r="DB132" s="0" t="s">
        <v>5527</v>
      </c>
      <c r="DC132" s="0" t="s">
        <v>384</v>
      </c>
      <c r="DD132" s="0" t="s">
        <v>291</v>
      </c>
      <c r="DE132" s="0" t="s">
        <v>6169</v>
      </c>
    </row>
    <row customHeight="1" ht="11.25">
      <c r="A133" s="1441" t="s">
        <v>240</v>
      </c>
      <c r="B133" s="0" t="s">
        <v>240</v>
      </c>
      <c r="C133" s="0" t="s">
        <v>240</v>
      </c>
      <c r="D133" s="0" t="s">
        <v>240</v>
      </c>
      <c r="E133" s="0" t="s">
        <v>240</v>
      </c>
      <c r="F133" s="0" t="s">
        <v>240</v>
      </c>
      <c r="G133" s="0" t="s">
        <v>240</v>
      </c>
      <c r="H133" s="0" t="s">
        <v>240</v>
      </c>
      <c r="I133" s="0" t="s">
        <v>5484</v>
      </c>
      <c r="J133" s="0" t="s">
        <v>240</v>
      </c>
      <c r="K133" s="0" t="s">
        <v>240</v>
      </c>
      <c r="L133" s="0" t="s">
        <v>240</v>
      </c>
      <c r="M133" s="0" t="s">
        <v>240</v>
      </c>
      <c r="N133" s="0" t="s">
        <v>240</v>
      </c>
      <c r="O133" s="0" t="s">
        <v>240</v>
      </c>
      <c r="P133" s="0" t="s">
        <v>240</v>
      </c>
      <c r="Q133" s="0" t="s">
        <v>240</v>
      </c>
      <c r="R133" s="0" t="s">
        <v>5608</v>
      </c>
      <c r="S133" s="0" t="s">
        <v>240</v>
      </c>
      <c r="T133" s="0" t="s">
        <v>240</v>
      </c>
      <c r="U133" s="0" t="s">
        <v>102</v>
      </c>
      <c r="V133" s="0" t="s">
        <v>240</v>
      </c>
      <c r="W133" s="0" t="s">
        <v>240</v>
      </c>
      <c r="X133" s="0" t="s">
        <v>5485</v>
      </c>
      <c r="Y133" s="0" t="s">
        <v>240</v>
      </c>
      <c r="Z133" s="0" t="s">
        <v>161</v>
      </c>
      <c r="AA133" s="0" t="s">
        <v>152</v>
      </c>
      <c r="AB133" s="0" t="s">
        <v>152</v>
      </c>
      <c r="AC133" s="0" t="s">
        <v>2985</v>
      </c>
      <c r="AD133" s="0" t="s">
        <v>2985</v>
      </c>
      <c r="AE133" s="0" t="s">
        <v>2986</v>
      </c>
      <c r="AF133" s="0" t="s">
        <v>5913</v>
      </c>
      <c r="AG133" s="0" t="s">
        <v>5914</v>
      </c>
      <c r="AH133" s="0" t="s">
        <v>5514</v>
      </c>
      <c r="AI133" s="0" t="s">
        <v>6170</v>
      </c>
      <c r="AJ133" s="0" t="s">
        <v>5504</v>
      </c>
      <c r="AK133" s="0" t="s">
        <v>5505</v>
      </c>
      <c r="AL133" s="0" t="s">
        <v>6109</v>
      </c>
      <c r="AM133" s="0" t="s">
        <v>5493</v>
      </c>
      <c r="AN133" s="0" t="s">
        <v>5507</v>
      </c>
      <c r="AO133" s="0" t="s">
        <v>5768</v>
      </c>
      <c r="AP133" s="0" t="s">
        <v>240</v>
      </c>
      <c r="AQ133" s="0" t="s">
        <v>240</v>
      </c>
      <c r="AR133" s="0" t="s">
        <v>240</v>
      </c>
      <c r="AS133" s="0" t="s">
        <v>240</v>
      </c>
      <c r="AT133" s="0" t="s">
        <v>240</v>
      </c>
      <c r="AU133" s="0" t="s">
        <v>240</v>
      </c>
      <c r="AV133" s="0" t="s">
        <v>240</v>
      </c>
      <c r="AW133" s="0" t="s">
        <v>240</v>
      </c>
      <c r="AX133" s="0" t="s">
        <v>240</v>
      </c>
      <c r="AY133" s="0" t="s">
        <v>240</v>
      </c>
      <c r="AZ133" s="0" t="s">
        <v>240</v>
      </c>
      <c r="BA133" s="0" t="s">
        <v>240</v>
      </c>
      <c r="BB133" s="0" t="s">
        <v>240</v>
      </c>
      <c r="BC133" s="0" t="s">
        <v>240</v>
      </c>
      <c r="BD133" s="0" t="s">
        <v>240</v>
      </c>
      <c r="BE133" s="0" t="s">
        <v>240</v>
      </c>
      <c r="BF133" s="0" t="s">
        <v>240</v>
      </c>
      <c r="BG133" s="0" t="s">
        <v>240</v>
      </c>
      <c r="BH133" s="0" t="s">
        <v>240</v>
      </c>
      <c r="BI133" s="0" t="s">
        <v>240</v>
      </c>
      <c r="BJ133" s="0" t="s">
        <v>240</v>
      </c>
      <c r="BK133" s="0" t="s">
        <v>240</v>
      </c>
      <c r="BL133" s="0" t="s">
        <v>240</v>
      </c>
      <c r="BM133" s="0" t="s">
        <v>240</v>
      </c>
      <c r="BN133" s="0" t="s">
        <v>240</v>
      </c>
      <c r="BO133" s="0" t="s">
        <v>240</v>
      </c>
      <c r="BP133" s="0" t="s">
        <v>240</v>
      </c>
      <c r="BQ133" s="0" t="s">
        <v>240</v>
      </c>
      <c r="BR133" s="0" t="s">
        <v>240</v>
      </c>
      <c r="BS133" s="0" t="s">
        <v>240</v>
      </c>
      <c r="BT133" s="0" t="s">
        <v>240</v>
      </c>
      <c r="BU133" s="0" t="s">
        <v>240</v>
      </c>
      <c r="BV133" s="0" t="s">
        <v>240</v>
      </c>
      <c r="BW133" s="0" t="s">
        <v>240</v>
      </c>
      <c r="BX133" s="0" t="s">
        <v>240</v>
      </c>
      <c r="BY133" s="0" t="s">
        <v>240</v>
      </c>
      <c r="BZ133" s="0" t="s">
        <v>240</v>
      </c>
      <c r="CA133" s="0" t="s">
        <v>240</v>
      </c>
      <c r="CB133" s="0" t="s">
        <v>240</v>
      </c>
      <c r="CC133" s="0" t="s">
        <v>240</v>
      </c>
      <c r="CD133" s="0" t="s">
        <v>240</v>
      </c>
      <c r="CE133" s="0" t="s">
        <v>240</v>
      </c>
      <c r="CF133" s="0" t="s">
        <v>240</v>
      </c>
      <c r="CG133" s="0" t="s">
        <v>240</v>
      </c>
      <c r="CH133" s="0" t="s">
        <v>240</v>
      </c>
      <c r="CI133" s="0" t="s">
        <v>240</v>
      </c>
      <c r="CJ133" s="0" t="s">
        <v>240</v>
      </c>
      <c r="CK133" s="0" t="s">
        <v>240</v>
      </c>
      <c r="CL133" s="0" t="s">
        <v>240</v>
      </c>
      <c r="CM133" s="0" t="s">
        <v>240</v>
      </c>
      <c r="CN133" s="0" t="s">
        <v>240</v>
      </c>
      <c r="CO133" s="0" t="s">
        <v>240</v>
      </c>
      <c r="CP133" s="0" t="s">
        <v>240</v>
      </c>
      <c r="CQ133" s="0" t="s">
        <v>240</v>
      </c>
      <c r="CR133" s="0" t="s">
        <v>240</v>
      </c>
      <c r="CS133" s="0" t="s">
        <v>240</v>
      </c>
      <c r="CT133" s="0" t="s">
        <v>5496</v>
      </c>
      <c r="CU133" s="0" t="s">
        <v>5497</v>
      </c>
      <c r="CV133" s="0" t="s">
        <v>443</v>
      </c>
      <c r="CW133" s="0" t="s">
        <v>5509</v>
      </c>
      <c r="CX133" s="0" t="s">
        <v>229</v>
      </c>
      <c r="CY133" s="0" t="s">
        <v>443</v>
      </c>
      <c r="CZ133" s="0" t="s">
        <v>5510</v>
      </c>
      <c r="DA133" s="0" t="s">
        <v>5511</v>
      </c>
      <c r="DB133" s="0" t="s">
        <v>5509</v>
      </c>
      <c r="DC133" s="0" t="s">
        <v>384</v>
      </c>
      <c r="DD133" s="0" t="s">
        <v>291</v>
      </c>
      <c r="DE133" s="0" t="s">
        <v>6171</v>
      </c>
    </row>
    <row customHeight="1" ht="11.25">
      <c r="A134" s="1441" t="s">
        <v>240</v>
      </c>
      <c r="B134" s="0" t="s">
        <v>240</v>
      </c>
      <c r="C134" s="0" t="s">
        <v>240</v>
      </c>
      <c r="D134" s="0" t="s">
        <v>240</v>
      </c>
      <c r="E134" s="0" t="s">
        <v>240</v>
      </c>
      <c r="F134" s="0" t="s">
        <v>240</v>
      </c>
      <c r="G134" s="0" t="s">
        <v>240</v>
      </c>
      <c r="H134" s="0" t="s">
        <v>240</v>
      </c>
      <c r="I134" s="0" t="s">
        <v>5484</v>
      </c>
      <c r="J134" s="0" t="s">
        <v>240</v>
      </c>
      <c r="K134" s="0" t="s">
        <v>240</v>
      </c>
      <c r="L134" s="0" t="s">
        <v>240</v>
      </c>
      <c r="M134" s="0" t="s">
        <v>240</v>
      </c>
      <c r="N134" s="0" t="s">
        <v>240</v>
      </c>
      <c r="O134" s="0" t="s">
        <v>240</v>
      </c>
      <c r="P134" s="0" t="s">
        <v>240</v>
      </c>
      <c r="Q134" s="0" t="s">
        <v>240</v>
      </c>
      <c r="R134" s="0" t="s">
        <v>6172</v>
      </c>
      <c r="S134" s="0" t="s">
        <v>240</v>
      </c>
      <c r="T134" s="0" t="s">
        <v>240</v>
      </c>
      <c r="U134" s="0" t="s">
        <v>102</v>
      </c>
      <c r="V134" s="0" t="s">
        <v>240</v>
      </c>
      <c r="W134" s="0" t="s">
        <v>240</v>
      </c>
      <c r="X134" s="0" t="s">
        <v>5485</v>
      </c>
      <c r="Y134" s="0" t="s">
        <v>240</v>
      </c>
      <c r="Z134" s="0" t="s">
        <v>161</v>
      </c>
      <c r="AA134" s="0" t="s">
        <v>152</v>
      </c>
      <c r="AB134" s="0" t="s">
        <v>152</v>
      </c>
      <c r="AC134" s="0" t="s">
        <v>3389</v>
      </c>
      <c r="AD134" s="0" t="s">
        <v>3389</v>
      </c>
      <c r="AE134" s="0" t="s">
        <v>3390</v>
      </c>
      <c r="AF134" s="0" t="s">
        <v>5519</v>
      </c>
      <c r="AG134" s="0" t="s">
        <v>5520</v>
      </c>
      <c r="AH134" s="0" t="s">
        <v>6173</v>
      </c>
      <c r="AI134" s="0" t="s">
        <v>6174</v>
      </c>
      <c r="AJ134" s="0" t="s">
        <v>5716</v>
      </c>
      <c r="AK134" s="0" t="s">
        <v>6175</v>
      </c>
      <c r="AL134" s="0" t="s">
        <v>5492</v>
      </c>
      <c r="AM134" s="0" t="s">
        <v>5493</v>
      </c>
      <c r="AN134" s="0" t="s">
        <v>6176</v>
      </c>
      <c r="AO134" s="0" t="s">
        <v>6177</v>
      </c>
      <c r="AP134" s="0" t="s">
        <v>240</v>
      </c>
      <c r="AQ134" s="0" t="s">
        <v>240</v>
      </c>
      <c r="AR134" s="0" t="s">
        <v>240</v>
      </c>
      <c r="AS134" s="0" t="s">
        <v>240</v>
      </c>
      <c r="AT134" s="0" t="s">
        <v>240</v>
      </c>
      <c r="AU134" s="0" t="s">
        <v>240</v>
      </c>
      <c r="AV134" s="0" t="s">
        <v>240</v>
      </c>
      <c r="AW134" s="0" t="s">
        <v>240</v>
      </c>
      <c r="AX134" s="0" t="s">
        <v>240</v>
      </c>
      <c r="AY134" s="0" t="s">
        <v>240</v>
      </c>
      <c r="AZ134" s="0" t="s">
        <v>240</v>
      </c>
      <c r="BA134" s="0" t="s">
        <v>240</v>
      </c>
      <c r="BB134" s="0" t="s">
        <v>240</v>
      </c>
      <c r="BC134" s="0" t="s">
        <v>240</v>
      </c>
      <c r="BD134" s="0" t="s">
        <v>240</v>
      </c>
      <c r="BE134" s="0" t="s">
        <v>240</v>
      </c>
      <c r="BF134" s="0" t="s">
        <v>240</v>
      </c>
      <c r="BG134" s="0" t="s">
        <v>240</v>
      </c>
      <c r="BH134" s="0" t="s">
        <v>240</v>
      </c>
      <c r="BI134" s="0" t="s">
        <v>240</v>
      </c>
      <c r="BJ134" s="0" t="s">
        <v>240</v>
      </c>
      <c r="BK134" s="0" t="s">
        <v>240</v>
      </c>
      <c r="BL134" s="0" t="s">
        <v>240</v>
      </c>
      <c r="BM134" s="0" t="s">
        <v>240</v>
      </c>
      <c r="BN134" s="0" t="s">
        <v>240</v>
      </c>
      <c r="BO134" s="0" t="s">
        <v>240</v>
      </c>
      <c r="BP134" s="0" t="s">
        <v>240</v>
      </c>
      <c r="BQ134" s="0" t="s">
        <v>240</v>
      </c>
      <c r="BR134" s="0" t="s">
        <v>240</v>
      </c>
      <c r="BS134" s="0" t="s">
        <v>240</v>
      </c>
      <c r="BT134" s="0" t="s">
        <v>240</v>
      </c>
      <c r="BU134" s="0" t="s">
        <v>240</v>
      </c>
      <c r="BV134" s="0" t="s">
        <v>240</v>
      </c>
      <c r="BW134" s="0" t="s">
        <v>240</v>
      </c>
      <c r="BX134" s="0" t="s">
        <v>240</v>
      </c>
      <c r="BY134" s="0" t="s">
        <v>240</v>
      </c>
      <c r="BZ134" s="0" t="s">
        <v>240</v>
      </c>
      <c r="CA134" s="0" t="s">
        <v>240</v>
      </c>
      <c r="CB134" s="0" t="s">
        <v>240</v>
      </c>
      <c r="CC134" s="0" t="s">
        <v>240</v>
      </c>
      <c r="CD134" s="0" t="s">
        <v>240</v>
      </c>
      <c r="CE134" s="0" t="s">
        <v>240</v>
      </c>
      <c r="CF134" s="0" t="s">
        <v>240</v>
      </c>
      <c r="CG134" s="0" t="s">
        <v>240</v>
      </c>
      <c r="CH134" s="0" t="s">
        <v>240</v>
      </c>
      <c r="CI134" s="0" t="s">
        <v>240</v>
      </c>
      <c r="CJ134" s="0" t="s">
        <v>240</v>
      </c>
      <c r="CK134" s="0" t="s">
        <v>240</v>
      </c>
      <c r="CL134" s="0" t="s">
        <v>240</v>
      </c>
      <c r="CM134" s="0" t="s">
        <v>240</v>
      </c>
      <c r="CN134" s="0" t="s">
        <v>240</v>
      </c>
      <c r="CO134" s="0" t="s">
        <v>240</v>
      </c>
      <c r="CP134" s="0" t="s">
        <v>240</v>
      </c>
      <c r="CQ134" s="0" t="s">
        <v>240</v>
      </c>
      <c r="CR134" s="0" t="s">
        <v>240</v>
      </c>
      <c r="CS134" s="0" t="s">
        <v>240</v>
      </c>
      <c r="CT134" s="0" t="s">
        <v>5496</v>
      </c>
      <c r="CU134" s="0" t="s">
        <v>5497</v>
      </c>
      <c r="CV134" s="0" t="s">
        <v>443</v>
      </c>
      <c r="CW134" s="0" t="s">
        <v>5527</v>
      </c>
      <c r="CX134" s="0" t="s">
        <v>5528</v>
      </c>
      <c r="CY134" s="0" t="s">
        <v>443</v>
      </c>
      <c r="CZ134" s="0" t="s">
        <v>299</v>
      </c>
      <c r="DA134" s="0" t="s">
        <v>5529</v>
      </c>
      <c r="DB134" s="0" t="s">
        <v>5527</v>
      </c>
      <c r="DC134" s="0" t="s">
        <v>384</v>
      </c>
      <c r="DD134" s="0" t="s">
        <v>291</v>
      </c>
      <c r="DE134" s="0" t="s">
        <v>6178</v>
      </c>
    </row>
    <row customHeight="1" ht="11.25">
      <c r="A135" s="1441" t="s">
        <v>240</v>
      </c>
      <c r="B135" s="0" t="s">
        <v>240</v>
      </c>
      <c r="C135" s="0" t="s">
        <v>240</v>
      </c>
      <c r="D135" s="0" t="s">
        <v>240</v>
      </c>
      <c r="E135" s="0" t="s">
        <v>240</v>
      </c>
      <c r="F135" s="0" t="s">
        <v>240</v>
      </c>
      <c r="G135" s="0" t="s">
        <v>240</v>
      </c>
      <c r="H135" s="0" t="s">
        <v>240</v>
      </c>
      <c r="I135" s="0" t="s">
        <v>5484</v>
      </c>
      <c r="J135" s="0" t="s">
        <v>240</v>
      </c>
      <c r="K135" s="0" t="s">
        <v>240</v>
      </c>
      <c r="L135" s="0" t="s">
        <v>240</v>
      </c>
      <c r="M135" s="0" t="s">
        <v>240</v>
      </c>
      <c r="N135" s="0" t="s">
        <v>240</v>
      </c>
      <c r="O135" s="0" t="s">
        <v>240</v>
      </c>
      <c r="P135" s="0" t="s">
        <v>240</v>
      </c>
      <c r="Q135" s="0" t="s">
        <v>240</v>
      </c>
      <c r="R135" s="0" t="s">
        <v>6179</v>
      </c>
      <c r="S135" s="0" t="s">
        <v>240</v>
      </c>
      <c r="T135" s="0" t="s">
        <v>240</v>
      </c>
      <c r="U135" s="0" t="s">
        <v>102</v>
      </c>
      <c r="V135" s="0" t="s">
        <v>240</v>
      </c>
      <c r="W135" s="0" t="s">
        <v>240</v>
      </c>
      <c r="X135" s="0" t="s">
        <v>5585</v>
      </c>
      <c r="Y135" s="0" t="s">
        <v>240</v>
      </c>
      <c r="Z135" s="0" t="s">
        <v>152</v>
      </c>
      <c r="AA135" s="0" t="s">
        <v>152</v>
      </c>
      <c r="AB135" s="0" t="s">
        <v>161</v>
      </c>
      <c r="AC135" s="0" t="s">
        <v>2991</v>
      </c>
      <c r="AD135" s="0" t="s">
        <v>2991</v>
      </c>
      <c r="AE135" s="0" t="s">
        <v>2992</v>
      </c>
      <c r="AF135" s="0" t="s">
        <v>5540</v>
      </c>
      <c r="AG135" s="0" t="s">
        <v>5541</v>
      </c>
      <c r="AH135" s="0" t="s">
        <v>5575</v>
      </c>
      <c r="AI135" s="0" t="s">
        <v>5575</v>
      </c>
      <c r="AJ135" s="0" t="s">
        <v>240</v>
      </c>
      <c r="AK135" s="0" t="s">
        <v>240</v>
      </c>
      <c r="AL135" s="0" t="s">
        <v>240</v>
      </c>
      <c r="AM135" s="0" t="s">
        <v>240</v>
      </c>
      <c r="AN135" s="0" t="s">
        <v>240</v>
      </c>
      <c r="AO135" s="0" t="s">
        <v>240</v>
      </c>
      <c r="AP135" s="0" t="s">
        <v>240</v>
      </c>
      <c r="AQ135" s="0" t="s">
        <v>240</v>
      </c>
      <c r="AR135" s="0" t="s">
        <v>240</v>
      </c>
      <c r="AS135" s="0" t="s">
        <v>240</v>
      </c>
      <c r="AT135" s="0" t="s">
        <v>240</v>
      </c>
      <c r="AU135" s="0" t="s">
        <v>240</v>
      </c>
      <c r="AV135" s="0" t="s">
        <v>240</v>
      </c>
      <c r="AW135" s="0" t="s">
        <v>240</v>
      </c>
      <c r="AX135" s="0" t="s">
        <v>240</v>
      </c>
      <c r="AY135" s="0" t="s">
        <v>240</v>
      </c>
      <c r="AZ135" s="0" t="s">
        <v>240</v>
      </c>
      <c r="BA135" s="0" t="s">
        <v>240</v>
      </c>
      <c r="BB135" s="0" t="s">
        <v>240</v>
      </c>
      <c r="BC135" s="0" t="s">
        <v>240</v>
      </c>
      <c r="BD135" s="0" t="s">
        <v>240</v>
      </c>
      <c r="BE135" s="0" t="s">
        <v>5504</v>
      </c>
      <c r="BF135" s="0" t="s">
        <v>5544</v>
      </c>
      <c r="BG135" s="0" t="s">
        <v>112</v>
      </c>
      <c r="BH135" s="0" t="s">
        <v>5589</v>
      </c>
      <c r="BI135" s="0" t="s">
        <v>123</v>
      </c>
      <c r="BJ135" s="0" t="s">
        <v>240</v>
      </c>
      <c r="BK135" s="0" t="s">
        <v>5608</v>
      </c>
      <c r="BL135" s="0" t="s">
        <v>2991</v>
      </c>
      <c r="BM135" s="0" t="s">
        <v>2991</v>
      </c>
      <c r="BN135" s="0" t="s">
        <v>5663</v>
      </c>
      <c r="BO135" s="0" t="s">
        <v>5540</v>
      </c>
      <c r="BP135" s="0" t="s">
        <v>6180</v>
      </c>
      <c r="BQ135" s="0" t="s">
        <v>5575</v>
      </c>
      <c r="BR135" s="0" t="s">
        <v>5575</v>
      </c>
      <c r="BS135" s="0" t="s">
        <v>240</v>
      </c>
      <c r="BT135" s="0" t="s">
        <v>5650</v>
      </c>
      <c r="BU135" s="0" t="s">
        <v>6181</v>
      </c>
      <c r="BV135" s="0" t="s">
        <v>6181</v>
      </c>
      <c r="BW135" s="0" t="s">
        <v>5598</v>
      </c>
      <c r="BX135" s="0" t="s">
        <v>5598</v>
      </c>
      <c r="BY135" s="0" t="s">
        <v>5598</v>
      </c>
      <c r="BZ135" s="0" t="s">
        <v>5598</v>
      </c>
      <c r="CA135" s="0" t="s">
        <v>5598</v>
      </c>
      <c r="CB135" s="0" t="s">
        <v>240</v>
      </c>
      <c r="CC135" s="0" t="s">
        <v>240</v>
      </c>
      <c r="CD135" s="0" t="s">
        <v>240</v>
      </c>
      <c r="CE135" s="0" t="s">
        <v>240</v>
      </c>
      <c r="CF135" s="0" t="s">
        <v>240</v>
      </c>
      <c r="CG135" s="0" t="s">
        <v>5598</v>
      </c>
      <c r="CH135" s="0" t="s">
        <v>240</v>
      </c>
      <c r="CI135" s="0" t="s">
        <v>240</v>
      </c>
      <c r="CJ135" s="0" t="s">
        <v>240</v>
      </c>
      <c r="CK135" s="0" t="s">
        <v>240</v>
      </c>
      <c r="CL135" s="0" t="s">
        <v>240</v>
      </c>
      <c r="CM135" s="0" t="s">
        <v>6181</v>
      </c>
      <c r="CN135" s="0" t="s">
        <v>6181</v>
      </c>
      <c r="CO135" s="0" t="s">
        <v>240</v>
      </c>
      <c r="CP135" s="0" t="s">
        <v>240</v>
      </c>
      <c r="CQ135" s="0" t="s">
        <v>240</v>
      </c>
      <c r="CR135" s="0" t="s">
        <v>240</v>
      </c>
      <c r="CS135" s="0" t="s">
        <v>5666</v>
      </c>
      <c r="CT135" s="0" t="s">
        <v>5496</v>
      </c>
      <c r="CU135" s="0" t="s">
        <v>5497</v>
      </c>
      <c r="CV135" s="0" t="s">
        <v>443</v>
      </c>
      <c r="CW135" s="0" t="s">
        <v>5547</v>
      </c>
      <c r="CX135" s="0" t="s">
        <v>229</v>
      </c>
      <c r="CY135" s="0" t="s">
        <v>443</v>
      </c>
      <c r="CZ135" s="0" t="s">
        <v>5548</v>
      </c>
      <c r="DA135" s="0" t="s">
        <v>5549</v>
      </c>
      <c r="DB135" s="0" t="s">
        <v>5547</v>
      </c>
      <c r="DC135" s="0" t="s">
        <v>384</v>
      </c>
      <c r="DD135" s="0" t="s">
        <v>291</v>
      </c>
      <c r="DE135" s="0" t="s">
        <v>6182</v>
      </c>
    </row>
    <row customHeight="1" ht="11.25">
      <c r="A136" s="1441" t="s">
        <v>240</v>
      </c>
      <c r="B136" s="0" t="s">
        <v>240</v>
      </c>
      <c r="C136" s="0" t="s">
        <v>240</v>
      </c>
      <c r="D136" s="0" t="s">
        <v>240</v>
      </c>
      <c r="E136" s="0" t="s">
        <v>240</v>
      </c>
      <c r="F136" s="0" t="s">
        <v>240</v>
      </c>
      <c r="G136" s="0" t="s">
        <v>240</v>
      </c>
      <c r="H136" s="0" t="s">
        <v>240</v>
      </c>
      <c r="I136" s="0" t="s">
        <v>5484</v>
      </c>
      <c r="J136" s="0" t="s">
        <v>240</v>
      </c>
      <c r="K136" s="0" t="s">
        <v>240</v>
      </c>
      <c r="L136" s="0" t="s">
        <v>240</v>
      </c>
      <c r="M136" s="0" t="s">
        <v>240</v>
      </c>
      <c r="N136" s="0" t="s">
        <v>240</v>
      </c>
      <c r="O136" s="0" t="s">
        <v>240</v>
      </c>
      <c r="P136" s="0" t="s">
        <v>240</v>
      </c>
      <c r="Q136" s="0" t="s">
        <v>240</v>
      </c>
      <c r="R136" s="0" t="s">
        <v>6183</v>
      </c>
      <c r="S136" s="0" t="s">
        <v>240</v>
      </c>
      <c r="T136" s="0" t="s">
        <v>240</v>
      </c>
      <c r="U136" s="0" t="s">
        <v>102</v>
      </c>
      <c r="V136" s="0" t="s">
        <v>240</v>
      </c>
      <c r="W136" s="0" t="s">
        <v>240</v>
      </c>
      <c r="X136" s="0" t="s">
        <v>5485</v>
      </c>
      <c r="Y136" s="0" t="s">
        <v>240</v>
      </c>
      <c r="Z136" s="0" t="s">
        <v>161</v>
      </c>
      <c r="AA136" s="0" t="s">
        <v>152</v>
      </c>
      <c r="AB136" s="0" t="s">
        <v>152</v>
      </c>
      <c r="AC136" s="0" t="s">
        <v>2991</v>
      </c>
      <c r="AD136" s="0" t="s">
        <v>2991</v>
      </c>
      <c r="AE136" s="0" t="s">
        <v>2992</v>
      </c>
      <c r="AF136" s="0" t="s">
        <v>6184</v>
      </c>
      <c r="AG136" s="0" t="s">
        <v>6185</v>
      </c>
      <c r="AH136" s="0" t="s">
        <v>5670</v>
      </c>
      <c r="AI136" s="0" t="s">
        <v>6186</v>
      </c>
      <c r="AJ136" s="0" t="s">
        <v>5552</v>
      </c>
      <c r="AK136" s="0" t="s">
        <v>5672</v>
      </c>
      <c r="AL136" s="0" t="s">
        <v>5506</v>
      </c>
      <c r="AM136" s="0" t="s">
        <v>5493</v>
      </c>
      <c r="AN136" s="0" t="s">
        <v>5545</v>
      </c>
      <c r="AO136" s="0" t="s">
        <v>5508</v>
      </c>
      <c r="AP136" s="0" t="s">
        <v>240</v>
      </c>
      <c r="AQ136" s="0" t="s">
        <v>240</v>
      </c>
      <c r="AR136" s="0" t="s">
        <v>240</v>
      </c>
      <c r="AS136" s="0" t="s">
        <v>240</v>
      </c>
      <c r="AT136" s="0" t="s">
        <v>240</v>
      </c>
      <c r="AU136" s="0" t="s">
        <v>240</v>
      </c>
      <c r="AV136" s="0" t="s">
        <v>240</v>
      </c>
      <c r="AW136" s="0" t="s">
        <v>240</v>
      </c>
      <c r="AX136" s="0" t="s">
        <v>240</v>
      </c>
      <c r="AY136" s="0" t="s">
        <v>240</v>
      </c>
      <c r="AZ136" s="0" t="s">
        <v>240</v>
      </c>
      <c r="BA136" s="0" t="s">
        <v>240</v>
      </c>
      <c r="BB136" s="0" t="s">
        <v>240</v>
      </c>
      <c r="BC136" s="0" t="s">
        <v>240</v>
      </c>
      <c r="BD136" s="0" t="s">
        <v>240</v>
      </c>
      <c r="BE136" s="0" t="s">
        <v>240</v>
      </c>
      <c r="BF136" s="0" t="s">
        <v>240</v>
      </c>
      <c r="BG136" s="0" t="s">
        <v>240</v>
      </c>
      <c r="BH136" s="0" t="s">
        <v>240</v>
      </c>
      <c r="BI136" s="0" t="s">
        <v>240</v>
      </c>
      <c r="BJ136" s="0" t="s">
        <v>240</v>
      </c>
      <c r="BK136" s="0" t="s">
        <v>240</v>
      </c>
      <c r="BL136" s="0" t="s">
        <v>240</v>
      </c>
      <c r="BM136" s="0" t="s">
        <v>240</v>
      </c>
      <c r="BN136" s="0" t="s">
        <v>240</v>
      </c>
      <c r="BO136" s="0" t="s">
        <v>240</v>
      </c>
      <c r="BP136" s="0" t="s">
        <v>240</v>
      </c>
      <c r="BQ136" s="0" t="s">
        <v>240</v>
      </c>
      <c r="BR136" s="0" t="s">
        <v>240</v>
      </c>
      <c r="BS136" s="0" t="s">
        <v>240</v>
      </c>
      <c r="BT136" s="0" t="s">
        <v>240</v>
      </c>
      <c r="BU136" s="0" t="s">
        <v>240</v>
      </c>
      <c r="BV136" s="0" t="s">
        <v>240</v>
      </c>
      <c r="BW136" s="0" t="s">
        <v>240</v>
      </c>
      <c r="BX136" s="0" t="s">
        <v>240</v>
      </c>
      <c r="BY136" s="0" t="s">
        <v>240</v>
      </c>
      <c r="BZ136" s="0" t="s">
        <v>240</v>
      </c>
      <c r="CA136" s="0" t="s">
        <v>240</v>
      </c>
      <c r="CB136" s="0" t="s">
        <v>240</v>
      </c>
      <c r="CC136" s="0" t="s">
        <v>240</v>
      </c>
      <c r="CD136" s="0" t="s">
        <v>240</v>
      </c>
      <c r="CE136" s="0" t="s">
        <v>240</v>
      </c>
      <c r="CF136" s="0" t="s">
        <v>240</v>
      </c>
      <c r="CG136" s="0" t="s">
        <v>240</v>
      </c>
      <c r="CH136" s="0" t="s">
        <v>240</v>
      </c>
      <c r="CI136" s="0" t="s">
        <v>240</v>
      </c>
      <c r="CJ136" s="0" t="s">
        <v>240</v>
      </c>
      <c r="CK136" s="0" t="s">
        <v>240</v>
      </c>
      <c r="CL136" s="0" t="s">
        <v>240</v>
      </c>
      <c r="CM136" s="0" t="s">
        <v>240</v>
      </c>
      <c r="CN136" s="0" t="s">
        <v>240</v>
      </c>
      <c r="CO136" s="0" t="s">
        <v>240</v>
      </c>
      <c r="CP136" s="0" t="s">
        <v>240</v>
      </c>
      <c r="CQ136" s="0" t="s">
        <v>240</v>
      </c>
      <c r="CR136" s="0" t="s">
        <v>240</v>
      </c>
      <c r="CS136" s="0" t="s">
        <v>240</v>
      </c>
      <c r="CT136" s="0" t="s">
        <v>5496</v>
      </c>
      <c r="CU136" s="0" t="s">
        <v>5497</v>
      </c>
      <c r="CV136" s="0" t="s">
        <v>443</v>
      </c>
      <c r="CW136" s="0" t="s">
        <v>5547</v>
      </c>
      <c r="CX136" s="0" t="s">
        <v>229</v>
      </c>
      <c r="CY136" s="0" t="s">
        <v>443</v>
      </c>
      <c r="CZ136" s="0" t="s">
        <v>5548</v>
      </c>
      <c r="DA136" s="0" t="s">
        <v>5549</v>
      </c>
      <c r="DB136" s="0" t="s">
        <v>5547</v>
      </c>
      <c r="DC136" s="0" t="s">
        <v>384</v>
      </c>
      <c r="DD136" s="0" t="s">
        <v>291</v>
      </c>
      <c r="DE136" s="0" t="s">
        <v>6187</v>
      </c>
    </row>
    <row customHeight="1" ht="11.25">
      <c r="A137" s="1441" t="s">
        <v>240</v>
      </c>
      <c r="B137" s="0" t="s">
        <v>240</v>
      </c>
      <c r="C137" s="0" t="s">
        <v>240</v>
      </c>
      <c r="D137" s="0" t="s">
        <v>240</v>
      </c>
      <c r="E137" s="0" t="s">
        <v>240</v>
      </c>
      <c r="F137" s="0" t="s">
        <v>240</v>
      </c>
      <c r="G137" s="0" t="s">
        <v>240</v>
      </c>
      <c r="H137" s="0" t="s">
        <v>240</v>
      </c>
      <c r="I137" s="0" t="s">
        <v>5484</v>
      </c>
      <c r="J137" s="0" t="s">
        <v>240</v>
      </c>
      <c r="K137" s="0" t="s">
        <v>240</v>
      </c>
      <c r="L137" s="0" t="s">
        <v>240</v>
      </c>
      <c r="M137" s="0" t="s">
        <v>240</v>
      </c>
      <c r="N137" s="0" t="s">
        <v>240</v>
      </c>
      <c r="O137" s="0" t="s">
        <v>240</v>
      </c>
      <c r="P137" s="0" t="s">
        <v>240</v>
      </c>
      <c r="Q137" s="0" t="s">
        <v>240</v>
      </c>
      <c r="R137" s="0" t="s">
        <v>6188</v>
      </c>
      <c r="S137" s="0" t="s">
        <v>240</v>
      </c>
      <c r="T137" s="0" t="s">
        <v>240</v>
      </c>
      <c r="U137" s="0" t="s">
        <v>102</v>
      </c>
      <c r="V137" s="0" t="s">
        <v>240</v>
      </c>
      <c r="W137" s="0" t="s">
        <v>240</v>
      </c>
      <c r="X137" s="0" t="s">
        <v>5485</v>
      </c>
      <c r="Y137" s="0" t="s">
        <v>240</v>
      </c>
      <c r="Z137" s="0" t="s">
        <v>161</v>
      </c>
      <c r="AA137" s="0" t="s">
        <v>152</v>
      </c>
      <c r="AB137" s="0" t="s">
        <v>152</v>
      </c>
      <c r="AC137" s="0" t="s">
        <v>2991</v>
      </c>
      <c r="AD137" s="0" t="s">
        <v>2991</v>
      </c>
      <c r="AE137" s="0" t="s">
        <v>2992</v>
      </c>
      <c r="AF137" s="0" t="s">
        <v>6184</v>
      </c>
      <c r="AG137" s="0" t="s">
        <v>6185</v>
      </c>
      <c r="AH137" s="0" t="s">
        <v>5972</v>
      </c>
      <c r="AI137" s="0" t="s">
        <v>6189</v>
      </c>
      <c r="AJ137" s="0" t="s">
        <v>5504</v>
      </c>
      <c r="AK137" s="0" t="s">
        <v>5544</v>
      </c>
      <c r="AL137" s="0" t="s">
        <v>5506</v>
      </c>
      <c r="AM137" s="0" t="s">
        <v>5493</v>
      </c>
      <c r="AN137" s="0" t="s">
        <v>5545</v>
      </c>
      <c r="AO137" s="0" t="s">
        <v>6190</v>
      </c>
      <c r="AP137" s="0" t="s">
        <v>240</v>
      </c>
      <c r="AQ137" s="0" t="s">
        <v>240</v>
      </c>
      <c r="AR137" s="0" t="s">
        <v>240</v>
      </c>
      <c r="AS137" s="0" t="s">
        <v>240</v>
      </c>
      <c r="AT137" s="0" t="s">
        <v>240</v>
      </c>
      <c r="AU137" s="0" t="s">
        <v>240</v>
      </c>
      <c r="AV137" s="0" t="s">
        <v>240</v>
      </c>
      <c r="AW137" s="0" t="s">
        <v>240</v>
      </c>
      <c r="AX137" s="0" t="s">
        <v>240</v>
      </c>
      <c r="AY137" s="0" t="s">
        <v>240</v>
      </c>
      <c r="AZ137" s="0" t="s">
        <v>240</v>
      </c>
      <c r="BA137" s="0" t="s">
        <v>240</v>
      </c>
      <c r="BB137" s="0" t="s">
        <v>240</v>
      </c>
      <c r="BC137" s="0" t="s">
        <v>240</v>
      </c>
      <c r="BD137" s="0" t="s">
        <v>240</v>
      </c>
      <c r="BE137" s="0" t="s">
        <v>240</v>
      </c>
      <c r="BF137" s="0" t="s">
        <v>240</v>
      </c>
      <c r="BG137" s="0" t="s">
        <v>240</v>
      </c>
      <c r="BH137" s="0" t="s">
        <v>240</v>
      </c>
      <c r="BI137" s="0" t="s">
        <v>240</v>
      </c>
      <c r="BJ137" s="0" t="s">
        <v>240</v>
      </c>
      <c r="BK137" s="0" t="s">
        <v>240</v>
      </c>
      <c r="BL137" s="0" t="s">
        <v>240</v>
      </c>
      <c r="BM137" s="0" t="s">
        <v>240</v>
      </c>
      <c r="BN137" s="0" t="s">
        <v>240</v>
      </c>
      <c r="BO137" s="0" t="s">
        <v>240</v>
      </c>
      <c r="BP137" s="0" t="s">
        <v>240</v>
      </c>
      <c r="BQ137" s="0" t="s">
        <v>240</v>
      </c>
      <c r="BR137" s="0" t="s">
        <v>240</v>
      </c>
      <c r="BS137" s="0" t="s">
        <v>240</v>
      </c>
      <c r="BT137" s="0" t="s">
        <v>240</v>
      </c>
      <c r="BU137" s="0" t="s">
        <v>240</v>
      </c>
      <c r="BV137" s="0" t="s">
        <v>240</v>
      </c>
      <c r="BW137" s="0" t="s">
        <v>240</v>
      </c>
      <c r="BX137" s="0" t="s">
        <v>240</v>
      </c>
      <c r="BY137" s="0" t="s">
        <v>240</v>
      </c>
      <c r="BZ137" s="0" t="s">
        <v>240</v>
      </c>
      <c r="CA137" s="0" t="s">
        <v>240</v>
      </c>
      <c r="CB137" s="0" t="s">
        <v>240</v>
      </c>
      <c r="CC137" s="0" t="s">
        <v>240</v>
      </c>
      <c r="CD137" s="0" t="s">
        <v>240</v>
      </c>
      <c r="CE137" s="0" t="s">
        <v>240</v>
      </c>
      <c r="CF137" s="0" t="s">
        <v>240</v>
      </c>
      <c r="CG137" s="0" t="s">
        <v>240</v>
      </c>
      <c r="CH137" s="0" t="s">
        <v>240</v>
      </c>
      <c r="CI137" s="0" t="s">
        <v>240</v>
      </c>
      <c r="CJ137" s="0" t="s">
        <v>240</v>
      </c>
      <c r="CK137" s="0" t="s">
        <v>240</v>
      </c>
      <c r="CL137" s="0" t="s">
        <v>240</v>
      </c>
      <c r="CM137" s="0" t="s">
        <v>240</v>
      </c>
      <c r="CN137" s="0" t="s">
        <v>240</v>
      </c>
      <c r="CO137" s="0" t="s">
        <v>240</v>
      </c>
      <c r="CP137" s="0" t="s">
        <v>240</v>
      </c>
      <c r="CQ137" s="0" t="s">
        <v>240</v>
      </c>
      <c r="CR137" s="0" t="s">
        <v>240</v>
      </c>
      <c r="CS137" s="0" t="s">
        <v>240</v>
      </c>
      <c r="CT137" s="0" t="s">
        <v>5496</v>
      </c>
      <c r="CU137" s="0" t="s">
        <v>5497</v>
      </c>
      <c r="CV137" s="0" t="s">
        <v>443</v>
      </c>
      <c r="CW137" s="0" t="s">
        <v>5547</v>
      </c>
      <c r="CX137" s="0" t="s">
        <v>229</v>
      </c>
      <c r="CY137" s="0" t="s">
        <v>443</v>
      </c>
      <c r="CZ137" s="0" t="s">
        <v>5548</v>
      </c>
      <c r="DA137" s="0" t="s">
        <v>5549</v>
      </c>
      <c r="DB137" s="0" t="s">
        <v>5547</v>
      </c>
      <c r="DC137" s="0" t="s">
        <v>384</v>
      </c>
      <c r="DD137" s="0" t="s">
        <v>291</v>
      </c>
      <c r="DE137" s="0" t="s">
        <v>6191</v>
      </c>
    </row>
    <row customHeight="1" ht="11.25">
      <c r="A138" s="1441" t="s">
        <v>240</v>
      </c>
      <c r="B138" s="0" t="s">
        <v>240</v>
      </c>
      <c r="C138" s="0" t="s">
        <v>240</v>
      </c>
      <c r="D138" s="0" t="s">
        <v>240</v>
      </c>
      <c r="E138" s="0" t="s">
        <v>240</v>
      </c>
      <c r="F138" s="0" t="s">
        <v>240</v>
      </c>
      <c r="G138" s="0" t="s">
        <v>240</v>
      </c>
      <c r="H138" s="0" t="s">
        <v>240</v>
      </c>
      <c r="I138" s="0" t="s">
        <v>5484</v>
      </c>
      <c r="J138" s="0" t="s">
        <v>240</v>
      </c>
      <c r="K138" s="0" t="s">
        <v>240</v>
      </c>
      <c r="L138" s="0" t="s">
        <v>240</v>
      </c>
      <c r="M138" s="0" t="s">
        <v>240</v>
      </c>
      <c r="N138" s="0" t="s">
        <v>240</v>
      </c>
      <c r="O138" s="0" t="s">
        <v>240</v>
      </c>
      <c r="P138" s="0" t="s">
        <v>240</v>
      </c>
      <c r="Q138" s="0" t="s">
        <v>240</v>
      </c>
      <c r="R138" s="0" t="s">
        <v>6192</v>
      </c>
      <c r="S138" s="0" t="s">
        <v>240</v>
      </c>
      <c r="T138" s="0" t="s">
        <v>240</v>
      </c>
      <c r="U138" s="0" t="s">
        <v>102</v>
      </c>
      <c r="V138" s="0" t="s">
        <v>240</v>
      </c>
      <c r="W138" s="0" t="s">
        <v>240</v>
      </c>
      <c r="X138" s="0" t="s">
        <v>5585</v>
      </c>
      <c r="Y138" s="0" t="s">
        <v>240</v>
      </c>
      <c r="Z138" s="0" t="s">
        <v>152</v>
      </c>
      <c r="AA138" s="0" t="s">
        <v>152</v>
      </c>
      <c r="AB138" s="0" t="s">
        <v>161</v>
      </c>
      <c r="AC138" s="0" t="s">
        <v>2991</v>
      </c>
      <c r="AD138" s="0" t="s">
        <v>2991</v>
      </c>
      <c r="AE138" s="0" t="s">
        <v>2992</v>
      </c>
      <c r="AF138" s="0" t="s">
        <v>6005</v>
      </c>
      <c r="AG138" s="0" t="s">
        <v>6006</v>
      </c>
      <c r="AH138" s="0" t="s">
        <v>5575</v>
      </c>
      <c r="AI138" s="0" t="s">
        <v>5575</v>
      </c>
      <c r="AJ138" s="0" t="s">
        <v>240</v>
      </c>
      <c r="AK138" s="0" t="s">
        <v>240</v>
      </c>
      <c r="AL138" s="0" t="s">
        <v>240</v>
      </c>
      <c r="AM138" s="0" t="s">
        <v>240</v>
      </c>
      <c r="AN138" s="0" t="s">
        <v>240</v>
      </c>
      <c r="AO138" s="0" t="s">
        <v>240</v>
      </c>
      <c r="AP138" s="0" t="s">
        <v>240</v>
      </c>
      <c r="AQ138" s="0" t="s">
        <v>240</v>
      </c>
      <c r="AR138" s="0" t="s">
        <v>240</v>
      </c>
      <c r="AS138" s="0" t="s">
        <v>240</v>
      </c>
      <c r="AT138" s="0" t="s">
        <v>240</v>
      </c>
      <c r="AU138" s="0" t="s">
        <v>240</v>
      </c>
      <c r="AV138" s="0" t="s">
        <v>240</v>
      </c>
      <c r="AW138" s="0" t="s">
        <v>240</v>
      </c>
      <c r="AX138" s="0" t="s">
        <v>240</v>
      </c>
      <c r="AY138" s="0" t="s">
        <v>240</v>
      </c>
      <c r="AZ138" s="0" t="s">
        <v>240</v>
      </c>
      <c r="BA138" s="0" t="s">
        <v>240</v>
      </c>
      <c r="BB138" s="0" t="s">
        <v>240</v>
      </c>
      <c r="BC138" s="0" t="s">
        <v>240</v>
      </c>
      <c r="BD138" s="0" t="s">
        <v>240</v>
      </c>
      <c r="BE138" s="0" t="s">
        <v>5552</v>
      </c>
      <c r="BF138" s="0" t="s">
        <v>5544</v>
      </c>
      <c r="BG138" s="0" t="s">
        <v>112</v>
      </c>
      <c r="BH138" s="0" t="s">
        <v>5589</v>
      </c>
      <c r="BI138" s="0" t="s">
        <v>123</v>
      </c>
      <c r="BJ138" s="0" t="s">
        <v>240</v>
      </c>
      <c r="BK138" s="0" t="s">
        <v>5608</v>
      </c>
      <c r="BL138" s="0" t="s">
        <v>2991</v>
      </c>
      <c r="BM138" s="0" t="s">
        <v>2991</v>
      </c>
      <c r="BN138" s="0" t="s">
        <v>5663</v>
      </c>
      <c r="BO138" s="0" t="s">
        <v>6005</v>
      </c>
      <c r="BP138" s="0" t="s">
        <v>6193</v>
      </c>
      <c r="BQ138" s="0" t="s">
        <v>5575</v>
      </c>
      <c r="BR138" s="0" t="s">
        <v>5575</v>
      </c>
      <c r="BS138" s="0" t="s">
        <v>240</v>
      </c>
      <c r="BT138" s="0" t="s">
        <v>5650</v>
      </c>
      <c r="BU138" s="0" t="s">
        <v>6194</v>
      </c>
      <c r="BV138" s="0" t="s">
        <v>6194</v>
      </c>
      <c r="BW138" s="0" t="s">
        <v>5598</v>
      </c>
      <c r="BX138" s="0" t="s">
        <v>5598</v>
      </c>
      <c r="BY138" s="0" t="s">
        <v>5598</v>
      </c>
      <c r="BZ138" s="0" t="s">
        <v>5598</v>
      </c>
      <c r="CA138" s="0" t="s">
        <v>5598</v>
      </c>
      <c r="CB138" s="0" t="s">
        <v>240</v>
      </c>
      <c r="CC138" s="0" t="s">
        <v>240</v>
      </c>
      <c r="CD138" s="0" t="s">
        <v>240</v>
      </c>
      <c r="CE138" s="0" t="s">
        <v>240</v>
      </c>
      <c r="CF138" s="0" t="s">
        <v>240</v>
      </c>
      <c r="CG138" s="0" t="s">
        <v>5598</v>
      </c>
      <c r="CH138" s="0" t="s">
        <v>240</v>
      </c>
      <c r="CI138" s="0" t="s">
        <v>240</v>
      </c>
      <c r="CJ138" s="0" t="s">
        <v>240</v>
      </c>
      <c r="CK138" s="0" t="s">
        <v>240</v>
      </c>
      <c r="CL138" s="0" t="s">
        <v>240</v>
      </c>
      <c r="CM138" s="0" t="s">
        <v>6194</v>
      </c>
      <c r="CN138" s="0" t="s">
        <v>6194</v>
      </c>
      <c r="CO138" s="0" t="s">
        <v>240</v>
      </c>
      <c r="CP138" s="0" t="s">
        <v>240</v>
      </c>
      <c r="CQ138" s="0" t="s">
        <v>240</v>
      </c>
      <c r="CR138" s="0" t="s">
        <v>240</v>
      </c>
      <c r="CS138" s="0" t="s">
        <v>5666</v>
      </c>
      <c r="CT138" s="0" t="s">
        <v>5496</v>
      </c>
      <c r="CU138" s="0" t="s">
        <v>5497</v>
      </c>
      <c r="CV138" s="0" t="s">
        <v>443</v>
      </c>
      <c r="CW138" s="0" t="s">
        <v>5547</v>
      </c>
      <c r="CX138" s="0" t="s">
        <v>229</v>
      </c>
      <c r="CY138" s="0" t="s">
        <v>443</v>
      </c>
      <c r="CZ138" s="0" t="s">
        <v>5548</v>
      </c>
      <c r="DA138" s="0" t="s">
        <v>5549</v>
      </c>
      <c r="DB138" s="0" t="s">
        <v>5547</v>
      </c>
      <c r="DC138" s="0" t="s">
        <v>384</v>
      </c>
      <c r="DD138" s="0" t="s">
        <v>291</v>
      </c>
      <c r="DE138" s="0" t="s">
        <v>6195</v>
      </c>
    </row>
    <row customHeight="1" ht="11.25">
      <c r="A139" s="1441" t="s">
        <v>240</v>
      </c>
      <c r="B139" s="0" t="s">
        <v>240</v>
      </c>
      <c r="C139" s="0" t="s">
        <v>240</v>
      </c>
      <c r="D139" s="0" t="s">
        <v>240</v>
      </c>
      <c r="E139" s="0" t="s">
        <v>240</v>
      </c>
      <c r="F139" s="0" t="s">
        <v>240</v>
      </c>
      <c r="G139" s="0" t="s">
        <v>240</v>
      </c>
      <c r="H139" s="0" t="s">
        <v>240</v>
      </c>
      <c r="I139" s="0" t="s">
        <v>5484</v>
      </c>
      <c r="J139" s="0" t="s">
        <v>240</v>
      </c>
      <c r="K139" s="0" t="s">
        <v>240</v>
      </c>
      <c r="L139" s="0" t="s">
        <v>240</v>
      </c>
      <c r="M139" s="0" t="s">
        <v>240</v>
      </c>
      <c r="N139" s="0" t="s">
        <v>240</v>
      </c>
      <c r="O139" s="0" t="s">
        <v>240</v>
      </c>
      <c r="P139" s="0" t="s">
        <v>240</v>
      </c>
      <c r="Q139" s="0" t="s">
        <v>240</v>
      </c>
      <c r="R139" s="0" t="s">
        <v>5572</v>
      </c>
      <c r="S139" s="0" t="s">
        <v>240</v>
      </c>
      <c r="T139" s="0" t="s">
        <v>240</v>
      </c>
      <c r="U139" s="0" t="s">
        <v>102</v>
      </c>
      <c r="V139" s="0" t="s">
        <v>240</v>
      </c>
      <c r="W139" s="0" t="s">
        <v>240</v>
      </c>
      <c r="X139" s="0" t="s">
        <v>5485</v>
      </c>
      <c r="Y139" s="0" t="s">
        <v>240</v>
      </c>
      <c r="Z139" s="0" t="s">
        <v>161</v>
      </c>
      <c r="AA139" s="0" t="s">
        <v>152</v>
      </c>
      <c r="AB139" s="0" t="s">
        <v>152</v>
      </c>
      <c r="AC139" s="0" t="s">
        <v>2991</v>
      </c>
      <c r="AD139" s="0" t="s">
        <v>2991</v>
      </c>
      <c r="AE139" s="0" t="s">
        <v>2992</v>
      </c>
      <c r="AF139" s="0" t="s">
        <v>6196</v>
      </c>
      <c r="AG139" s="0" t="s">
        <v>6197</v>
      </c>
      <c r="AH139" s="0" t="s">
        <v>6198</v>
      </c>
      <c r="AI139" s="0" t="s">
        <v>6199</v>
      </c>
      <c r="AJ139" s="0" t="s">
        <v>6200</v>
      </c>
      <c r="AK139" s="0" t="s">
        <v>5776</v>
      </c>
      <c r="AL139" s="0" t="s">
        <v>5506</v>
      </c>
      <c r="AM139" s="0" t="s">
        <v>5493</v>
      </c>
      <c r="AN139" s="0" t="s">
        <v>5553</v>
      </c>
      <c r="AO139" s="0" t="s">
        <v>5867</v>
      </c>
      <c r="AP139" s="0" t="s">
        <v>240</v>
      </c>
      <c r="AQ139" s="0" t="s">
        <v>240</v>
      </c>
      <c r="AR139" s="0" t="s">
        <v>240</v>
      </c>
      <c r="AS139" s="0" t="s">
        <v>240</v>
      </c>
      <c r="AT139" s="0" t="s">
        <v>240</v>
      </c>
      <c r="AU139" s="0" t="s">
        <v>240</v>
      </c>
      <c r="AV139" s="0" t="s">
        <v>240</v>
      </c>
      <c r="AW139" s="0" t="s">
        <v>240</v>
      </c>
      <c r="AX139" s="0" t="s">
        <v>240</v>
      </c>
      <c r="AY139" s="0" t="s">
        <v>240</v>
      </c>
      <c r="AZ139" s="0" t="s">
        <v>240</v>
      </c>
      <c r="BA139" s="0" t="s">
        <v>240</v>
      </c>
      <c r="BB139" s="0" t="s">
        <v>240</v>
      </c>
      <c r="BC139" s="0" t="s">
        <v>240</v>
      </c>
      <c r="BD139" s="0" t="s">
        <v>240</v>
      </c>
      <c r="BE139" s="0" t="s">
        <v>240</v>
      </c>
      <c r="BF139" s="0" t="s">
        <v>240</v>
      </c>
      <c r="BG139" s="0" t="s">
        <v>240</v>
      </c>
      <c r="BH139" s="0" t="s">
        <v>240</v>
      </c>
      <c r="BI139" s="0" t="s">
        <v>240</v>
      </c>
      <c r="BJ139" s="0" t="s">
        <v>240</v>
      </c>
      <c r="BK139" s="0" t="s">
        <v>240</v>
      </c>
      <c r="BL139" s="0" t="s">
        <v>240</v>
      </c>
      <c r="BM139" s="0" t="s">
        <v>240</v>
      </c>
      <c r="BN139" s="0" t="s">
        <v>240</v>
      </c>
      <c r="BO139" s="0" t="s">
        <v>240</v>
      </c>
      <c r="BP139" s="0" t="s">
        <v>240</v>
      </c>
      <c r="BQ139" s="0" t="s">
        <v>240</v>
      </c>
      <c r="BR139" s="0" t="s">
        <v>240</v>
      </c>
      <c r="BS139" s="0" t="s">
        <v>240</v>
      </c>
      <c r="BT139" s="0" t="s">
        <v>240</v>
      </c>
      <c r="BU139" s="0" t="s">
        <v>240</v>
      </c>
      <c r="BV139" s="0" t="s">
        <v>240</v>
      </c>
      <c r="BW139" s="0" t="s">
        <v>240</v>
      </c>
      <c r="BX139" s="0" t="s">
        <v>240</v>
      </c>
      <c r="BY139" s="0" t="s">
        <v>240</v>
      </c>
      <c r="BZ139" s="0" t="s">
        <v>240</v>
      </c>
      <c r="CA139" s="0" t="s">
        <v>240</v>
      </c>
      <c r="CB139" s="0" t="s">
        <v>240</v>
      </c>
      <c r="CC139" s="0" t="s">
        <v>240</v>
      </c>
      <c r="CD139" s="0" t="s">
        <v>240</v>
      </c>
      <c r="CE139" s="0" t="s">
        <v>240</v>
      </c>
      <c r="CF139" s="0" t="s">
        <v>240</v>
      </c>
      <c r="CG139" s="0" t="s">
        <v>240</v>
      </c>
      <c r="CH139" s="0" t="s">
        <v>240</v>
      </c>
      <c r="CI139" s="0" t="s">
        <v>240</v>
      </c>
      <c r="CJ139" s="0" t="s">
        <v>240</v>
      </c>
      <c r="CK139" s="0" t="s">
        <v>240</v>
      </c>
      <c r="CL139" s="0" t="s">
        <v>240</v>
      </c>
      <c r="CM139" s="0" t="s">
        <v>240</v>
      </c>
      <c r="CN139" s="0" t="s">
        <v>240</v>
      </c>
      <c r="CO139" s="0" t="s">
        <v>240</v>
      </c>
      <c r="CP139" s="0" t="s">
        <v>240</v>
      </c>
      <c r="CQ139" s="0" t="s">
        <v>240</v>
      </c>
      <c r="CR139" s="0" t="s">
        <v>240</v>
      </c>
      <c r="CS139" s="0" t="s">
        <v>240</v>
      </c>
      <c r="CT139" s="0" t="s">
        <v>5496</v>
      </c>
      <c r="CU139" s="0" t="s">
        <v>5497</v>
      </c>
      <c r="CV139" s="0" t="s">
        <v>443</v>
      </c>
      <c r="CW139" s="0" t="s">
        <v>5547</v>
      </c>
      <c r="CX139" s="0" t="s">
        <v>229</v>
      </c>
      <c r="CY139" s="0" t="s">
        <v>443</v>
      </c>
      <c r="CZ139" s="0" t="s">
        <v>5548</v>
      </c>
      <c r="DA139" s="0" t="s">
        <v>5549</v>
      </c>
      <c r="DB139" s="0" t="s">
        <v>5547</v>
      </c>
      <c r="DC139" s="0" t="s">
        <v>384</v>
      </c>
      <c r="DD139" s="0" t="s">
        <v>291</v>
      </c>
      <c r="DE139" s="0" t="s">
        <v>6201</v>
      </c>
    </row>
    <row customHeight="1" ht="11.25">
      <c r="A140" s="1441" t="s">
        <v>240</v>
      </c>
      <c r="B140" s="0" t="s">
        <v>240</v>
      </c>
      <c r="C140" s="0" t="s">
        <v>240</v>
      </c>
      <c r="D140" s="0" t="s">
        <v>240</v>
      </c>
      <c r="E140" s="0" t="s">
        <v>240</v>
      </c>
      <c r="F140" s="0" t="s">
        <v>240</v>
      </c>
      <c r="G140" s="0" t="s">
        <v>240</v>
      </c>
      <c r="H140" s="0" t="s">
        <v>240</v>
      </c>
      <c r="I140" s="0" t="s">
        <v>5484</v>
      </c>
      <c r="J140" s="0" t="s">
        <v>240</v>
      </c>
      <c r="K140" s="0" t="s">
        <v>240</v>
      </c>
      <c r="L140" s="0" t="s">
        <v>240</v>
      </c>
      <c r="M140" s="0" t="s">
        <v>240</v>
      </c>
      <c r="N140" s="0" t="s">
        <v>240</v>
      </c>
      <c r="O140" s="0" t="s">
        <v>240</v>
      </c>
      <c r="P140" s="0" t="s">
        <v>240</v>
      </c>
      <c r="Q140" s="0" t="s">
        <v>240</v>
      </c>
      <c r="R140" s="0" t="s">
        <v>6202</v>
      </c>
      <c r="S140" s="0" t="s">
        <v>240</v>
      </c>
      <c r="T140" s="0" t="s">
        <v>240</v>
      </c>
      <c r="U140" s="0" t="s">
        <v>102</v>
      </c>
      <c r="V140" s="0" t="s">
        <v>240</v>
      </c>
      <c r="W140" s="0" t="s">
        <v>240</v>
      </c>
      <c r="X140" s="0" t="s">
        <v>5485</v>
      </c>
      <c r="Y140" s="0" t="s">
        <v>240</v>
      </c>
      <c r="Z140" s="0" t="s">
        <v>161</v>
      </c>
      <c r="AA140" s="0" t="s">
        <v>152</v>
      </c>
      <c r="AB140" s="0" t="s">
        <v>152</v>
      </c>
      <c r="AC140" s="0" t="s">
        <v>3395</v>
      </c>
      <c r="AD140" s="0" t="s">
        <v>3395</v>
      </c>
      <c r="AE140" s="0" t="s">
        <v>3396</v>
      </c>
      <c r="AF140" s="0" t="s">
        <v>5941</v>
      </c>
      <c r="AG140" s="0" t="s">
        <v>5942</v>
      </c>
      <c r="AH140" s="0" t="s">
        <v>6063</v>
      </c>
      <c r="AI140" s="0" t="s">
        <v>152</v>
      </c>
      <c r="AJ140" s="0" t="s">
        <v>6203</v>
      </c>
      <c r="AK140" s="0" t="s">
        <v>6204</v>
      </c>
      <c r="AL140" s="0" t="s">
        <v>6205</v>
      </c>
      <c r="AM140" s="0" t="s">
        <v>5493</v>
      </c>
      <c r="AN140" s="0" t="s">
        <v>6206</v>
      </c>
      <c r="AO140" s="0" t="s">
        <v>6207</v>
      </c>
      <c r="AP140" s="0" t="s">
        <v>240</v>
      </c>
      <c r="AQ140" s="0" t="s">
        <v>240</v>
      </c>
      <c r="AR140" s="0" t="s">
        <v>240</v>
      </c>
      <c r="AS140" s="0" t="s">
        <v>240</v>
      </c>
      <c r="AT140" s="0" t="s">
        <v>240</v>
      </c>
      <c r="AU140" s="0" t="s">
        <v>240</v>
      </c>
      <c r="AV140" s="0" t="s">
        <v>240</v>
      </c>
      <c r="AW140" s="0" t="s">
        <v>240</v>
      </c>
      <c r="AX140" s="0" t="s">
        <v>240</v>
      </c>
      <c r="AY140" s="0" t="s">
        <v>240</v>
      </c>
      <c r="AZ140" s="0" t="s">
        <v>240</v>
      </c>
      <c r="BA140" s="0" t="s">
        <v>240</v>
      </c>
      <c r="BB140" s="0" t="s">
        <v>240</v>
      </c>
      <c r="BC140" s="0" t="s">
        <v>240</v>
      </c>
      <c r="BD140" s="0" t="s">
        <v>240</v>
      </c>
      <c r="BE140" s="0" t="s">
        <v>240</v>
      </c>
      <c r="BF140" s="0" t="s">
        <v>240</v>
      </c>
      <c r="BG140" s="0" t="s">
        <v>240</v>
      </c>
      <c r="BH140" s="0" t="s">
        <v>240</v>
      </c>
      <c r="BI140" s="0" t="s">
        <v>240</v>
      </c>
      <c r="BJ140" s="0" t="s">
        <v>240</v>
      </c>
      <c r="BK140" s="0" t="s">
        <v>240</v>
      </c>
      <c r="BL140" s="0" t="s">
        <v>240</v>
      </c>
      <c r="BM140" s="0" t="s">
        <v>240</v>
      </c>
      <c r="BN140" s="0" t="s">
        <v>240</v>
      </c>
      <c r="BO140" s="0" t="s">
        <v>240</v>
      </c>
      <c r="BP140" s="0" t="s">
        <v>240</v>
      </c>
      <c r="BQ140" s="0" t="s">
        <v>240</v>
      </c>
      <c r="BR140" s="0" t="s">
        <v>240</v>
      </c>
      <c r="BS140" s="0" t="s">
        <v>240</v>
      </c>
      <c r="BT140" s="0" t="s">
        <v>240</v>
      </c>
      <c r="BU140" s="0" t="s">
        <v>240</v>
      </c>
      <c r="BV140" s="0" t="s">
        <v>240</v>
      </c>
      <c r="BW140" s="0" t="s">
        <v>240</v>
      </c>
      <c r="BX140" s="0" t="s">
        <v>240</v>
      </c>
      <c r="BY140" s="0" t="s">
        <v>240</v>
      </c>
      <c r="BZ140" s="0" t="s">
        <v>240</v>
      </c>
      <c r="CA140" s="0" t="s">
        <v>240</v>
      </c>
      <c r="CB140" s="0" t="s">
        <v>240</v>
      </c>
      <c r="CC140" s="0" t="s">
        <v>240</v>
      </c>
      <c r="CD140" s="0" t="s">
        <v>240</v>
      </c>
      <c r="CE140" s="0" t="s">
        <v>240</v>
      </c>
      <c r="CF140" s="0" t="s">
        <v>240</v>
      </c>
      <c r="CG140" s="0" t="s">
        <v>240</v>
      </c>
      <c r="CH140" s="0" t="s">
        <v>240</v>
      </c>
      <c r="CI140" s="0" t="s">
        <v>240</v>
      </c>
      <c r="CJ140" s="0" t="s">
        <v>240</v>
      </c>
      <c r="CK140" s="0" t="s">
        <v>240</v>
      </c>
      <c r="CL140" s="0" t="s">
        <v>240</v>
      </c>
      <c r="CM140" s="0" t="s">
        <v>240</v>
      </c>
      <c r="CN140" s="0" t="s">
        <v>240</v>
      </c>
      <c r="CO140" s="0" t="s">
        <v>240</v>
      </c>
      <c r="CP140" s="0" t="s">
        <v>240</v>
      </c>
      <c r="CQ140" s="0" t="s">
        <v>240</v>
      </c>
      <c r="CR140" s="0" t="s">
        <v>240</v>
      </c>
      <c r="CS140" s="0" t="s">
        <v>240</v>
      </c>
      <c r="CT140" s="0" t="s">
        <v>5496</v>
      </c>
      <c r="CU140" s="0" t="s">
        <v>5497</v>
      </c>
      <c r="CV140" s="0" t="s">
        <v>5947</v>
      </c>
      <c r="CW140" s="0" t="s">
        <v>5948</v>
      </c>
      <c r="CX140" s="0" t="s">
        <v>5528</v>
      </c>
      <c r="CY140" s="0" t="s">
        <v>5947</v>
      </c>
      <c r="CZ140" s="0" t="s">
        <v>5533</v>
      </c>
      <c r="DA140" s="0" t="s">
        <v>5949</v>
      </c>
      <c r="DB140" s="0" t="s">
        <v>5600</v>
      </c>
      <c r="DC140" s="0" t="s">
        <v>384</v>
      </c>
      <c r="DD140" s="0" t="s">
        <v>291</v>
      </c>
      <c r="DE140" s="0" t="s">
        <v>6073</v>
      </c>
    </row>
    <row customHeight="1" ht="11.25">
      <c r="A141" s="1441" t="s">
        <v>240</v>
      </c>
      <c r="B141" s="0" t="s">
        <v>240</v>
      </c>
      <c r="C141" s="0" t="s">
        <v>240</v>
      </c>
      <c r="D141" s="0" t="s">
        <v>240</v>
      </c>
      <c r="E141" s="0" t="s">
        <v>240</v>
      </c>
      <c r="F141" s="0" t="s">
        <v>240</v>
      </c>
      <c r="G141" s="0" t="s">
        <v>240</v>
      </c>
      <c r="H141" s="0" t="s">
        <v>240</v>
      </c>
      <c r="I141" s="0" t="s">
        <v>5484</v>
      </c>
      <c r="J141" s="0" t="s">
        <v>240</v>
      </c>
      <c r="K141" s="0" t="s">
        <v>240</v>
      </c>
      <c r="L141" s="0" t="s">
        <v>240</v>
      </c>
      <c r="M141" s="0" t="s">
        <v>240</v>
      </c>
      <c r="N141" s="0" t="s">
        <v>240</v>
      </c>
      <c r="O141" s="0" t="s">
        <v>240</v>
      </c>
      <c r="P141" s="0" t="s">
        <v>240</v>
      </c>
      <c r="Q141" s="0" t="s">
        <v>240</v>
      </c>
      <c r="R141" s="0" t="s">
        <v>6208</v>
      </c>
      <c r="S141" s="0" t="s">
        <v>240</v>
      </c>
      <c r="T141" s="0" t="s">
        <v>240</v>
      </c>
      <c r="U141" s="0" t="s">
        <v>102</v>
      </c>
      <c r="V141" s="0" t="s">
        <v>240</v>
      </c>
      <c r="W141" s="0" t="s">
        <v>240</v>
      </c>
      <c r="X141" s="0" t="s">
        <v>5485</v>
      </c>
      <c r="Y141" s="0" t="s">
        <v>240</v>
      </c>
      <c r="Z141" s="0" t="s">
        <v>161</v>
      </c>
      <c r="AA141" s="0" t="s">
        <v>152</v>
      </c>
      <c r="AB141" s="0" t="s">
        <v>152</v>
      </c>
      <c r="AC141" s="0" t="s">
        <v>3395</v>
      </c>
      <c r="AD141" s="0" t="s">
        <v>3395</v>
      </c>
      <c r="AE141" s="0" t="s">
        <v>3396</v>
      </c>
      <c r="AF141" s="0" t="s">
        <v>5941</v>
      </c>
      <c r="AG141" s="0" t="s">
        <v>5942</v>
      </c>
      <c r="AH141" s="0" t="s">
        <v>6063</v>
      </c>
      <c r="AI141" s="0" t="s">
        <v>152</v>
      </c>
      <c r="AJ141" s="0" t="s">
        <v>5944</v>
      </c>
      <c r="AK141" s="0" t="s">
        <v>6209</v>
      </c>
      <c r="AL141" s="0" t="s">
        <v>5570</v>
      </c>
      <c r="AM141" s="0" t="s">
        <v>5493</v>
      </c>
      <c r="AN141" s="0" t="s">
        <v>6210</v>
      </c>
      <c r="AO141" s="0" t="s">
        <v>6211</v>
      </c>
      <c r="AP141" s="0" t="s">
        <v>240</v>
      </c>
      <c r="AQ141" s="0" t="s">
        <v>240</v>
      </c>
      <c r="AR141" s="0" t="s">
        <v>240</v>
      </c>
      <c r="AS141" s="0" t="s">
        <v>240</v>
      </c>
      <c r="AT141" s="0" t="s">
        <v>240</v>
      </c>
      <c r="AU141" s="0" t="s">
        <v>240</v>
      </c>
      <c r="AV141" s="0" t="s">
        <v>240</v>
      </c>
      <c r="AW141" s="0" t="s">
        <v>240</v>
      </c>
      <c r="AX141" s="0" t="s">
        <v>240</v>
      </c>
      <c r="AY141" s="0" t="s">
        <v>240</v>
      </c>
      <c r="AZ141" s="0" t="s">
        <v>240</v>
      </c>
      <c r="BA141" s="0" t="s">
        <v>240</v>
      </c>
      <c r="BB141" s="0" t="s">
        <v>240</v>
      </c>
      <c r="BC141" s="0" t="s">
        <v>240</v>
      </c>
      <c r="BD141" s="0" t="s">
        <v>240</v>
      </c>
      <c r="BE141" s="0" t="s">
        <v>240</v>
      </c>
      <c r="BF141" s="0" t="s">
        <v>240</v>
      </c>
      <c r="BG141" s="0" t="s">
        <v>240</v>
      </c>
      <c r="BH141" s="0" t="s">
        <v>240</v>
      </c>
      <c r="BI141" s="0" t="s">
        <v>240</v>
      </c>
      <c r="BJ141" s="0" t="s">
        <v>240</v>
      </c>
      <c r="BK141" s="0" t="s">
        <v>240</v>
      </c>
      <c r="BL141" s="0" t="s">
        <v>240</v>
      </c>
      <c r="BM141" s="0" t="s">
        <v>240</v>
      </c>
      <c r="BN141" s="0" t="s">
        <v>240</v>
      </c>
      <c r="BO141" s="0" t="s">
        <v>240</v>
      </c>
      <c r="BP141" s="0" t="s">
        <v>240</v>
      </c>
      <c r="BQ141" s="0" t="s">
        <v>240</v>
      </c>
      <c r="BR141" s="0" t="s">
        <v>240</v>
      </c>
      <c r="BS141" s="0" t="s">
        <v>240</v>
      </c>
      <c r="BT141" s="0" t="s">
        <v>240</v>
      </c>
      <c r="BU141" s="0" t="s">
        <v>240</v>
      </c>
      <c r="BV141" s="0" t="s">
        <v>240</v>
      </c>
      <c r="BW141" s="0" t="s">
        <v>240</v>
      </c>
      <c r="BX141" s="0" t="s">
        <v>240</v>
      </c>
      <c r="BY141" s="0" t="s">
        <v>240</v>
      </c>
      <c r="BZ141" s="0" t="s">
        <v>240</v>
      </c>
      <c r="CA141" s="0" t="s">
        <v>240</v>
      </c>
      <c r="CB141" s="0" t="s">
        <v>240</v>
      </c>
      <c r="CC141" s="0" t="s">
        <v>240</v>
      </c>
      <c r="CD141" s="0" t="s">
        <v>240</v>
      </c>
      <c r="CE141" s="0" t="s">
        <v>240</v>
      </c>
      <c r="CF141" s="0" t="s">
        <v>240</v>
      </c>
      <c r="CG141" s="0" t="s">
        <v>240</v>
      </c>
      <c r="CH141" s="0" t="s">
        <v>240</v>
      </c>
      <c r="CI141" s="0" t="s">
        <v>240</v>
      </c>
      <c r="CJ141" s="0" t="s">
        <v>240</v>
      </c>
      <c r="CK141" s="0" t="s">
        <v>240</v>
      </c>
      <c r="CL141" s="0" t="s">
        <v>240</v>
      </c>
      <c r="CM141" s="0" t="s">
        <v>240</v>
      </c>
      <c r="CN141" s="0" t="s">
        <v>240</v>
      </c>
      <c r="CO141" s="0" t="s">
        <v>240</v>
      </c>
      <c r="CP141" s="0" t="s">
        <v>240</v>
      </c>
      <c r="CQ141" s="0" t="s">
        <v>240</v>
      </c>
      <c r="CR141" s="0" t="s">
        <v>240</v>
      </c>
      <c r="CS141" s="0" t="s">
        <v>240</v>
      </c>
      <c r="CT141" s="0" t="s">
        <v>5496</v>
      </c>
      <c r="CU141" s="0" t="s">
        <v>5497</v>
      </c>
      <c r="CV141" s="0" t="s">
        <v>5947</v>
      </c>
      <c r="CW141" s="0" t="s">
        <v>5948</v>
      </c>
      <c r="CX141" s="0" t="s">
        <v>5528</v>
      </c>
      <c r="CY141" s="0" t="s">
        <v>5947</v>
      </c>
      <c r="CZ141" s="0" t="s">
        <v>5533</v>
      </c>
      <c r="DA141" s="0" t="s">
        <v>5949</v>
      </c>
      <c r="DB141" s="0" t="s">
        <v>5600</v>
      </c>
      <c r="DC141" s="0" t="s">
        <v>384</v>
      </c>
      <c r="DD141" s="0" t="s">
        <v>291</v>
      </c>
      <c r="DE141" s="0" t="s">
        <v>6073</v>
      </c>
    </row>
    <row customHeight="1" ht="11.25">
      <c r="A142" s="1441" t="s">
        <v>240</v>
      </c>
      <c r="B142" s="0" t="s">
        <v>240</v>
      </c>
      <c r="C142" s="0" t="s">
        <v>240</v>
      </c>
      <c r="D142" s="0" t="s">
        <v>240</v>
      </c>
      <c r="E142" s="0" t="s">
        <v>240</v>
      </c>
      <c r="F142" s="0" t="s">
        <v>240</v>
      </c>
      <c r="G142" s="0" t="s">
        <v>240</v>
      </c>
      <c r="H142" s="0" t="s">
        <v>240</v>
      </c>
      <c r="I142" s="0" t="s">
        <v>5484</v>
      </c>
      <c r="J142" s="0" t="s">
        <v>240</v>
      </c>
      <c r="K142" s="0" t="s">
        <v>240</v>
      </c>
      <c r="L142" s="0" t="s">
        <v>240</v>
      </c>
      <c r="M142" s="0" t="s">
        <v>240</v>
      </c>
      <c r="N142" s="0" t="s">
        <v>240</v>
      </c>
      <c r="O142" s="0" t="s">
        <v>240</v>
      </c>
      <c r="P142" s="0" t="s">
        <v>240</v>
      </c>
      <c r="Q142" s="0" t="s">
        <v>240</v>
      </c>
      <c r="R142" s="0" t="s">
        <v>6212</v>
      </c>
      <c r="S142" s="0" t="s">
        <v>240</v>
      </c>
      <c r="T142" s="0" t="s">
        <v>240</v>
      </c>
      <c r="U142" s="0" t="s">
        <v>102</v>
      </c>
      <c r="V142" s="0" t="s">
        <v>240</v>
      </c>
      <c r="W142" s="0" t="s">
        <v>240</v>
      </c>
      <c r="X142" s="0" t="s">
        <v>5485</v>
      </c>
      <c r="Y142" s="0" t="s">
        <v>240</v>
      </c>
      <c r="Z142" s="0" t="s">
        <v>161</v>
      </c>
      <c r="AA142" s="0" t="s">
        <v>152</v>
      </c>
      <c r="AB142" s="0" t="s">
        <v>152</v>
      </c>
      <c r="AC142" s="0" t="s">
        <v>3395</v>
      </c>
      <c r="AD142" s="0" t="s">
        <v>3395</v>
      </c>
      <c r="AE142" s="0" t="s">
        <v>3396</v>
      </c>
      <c r="AF142" s="0" t="s">
        <v>5941</v>
      </c>
      <c r="AG142" s="0" t="s">
        <v>5942</v>
      </c>
      <c r="AH142" s="0" t="s">
        <v>6213</v>
      </c>
      <c r="AI142" s="0" t="s">
        <v>152</v>
      </c>
      <c r="AJ142" s="0" t="s">
        <v>5545</v>
      </c>
      <c r="AK142" s="0" t="s">
        <v>6214</v>
      </c>
      <c r="AL142" s="0" t="s">
        <v>5570</v>
      </c>
      <c r="AM142" s="0" t="s">
        <v>5493</v>
      </c>
      <c r="AN142" s="0" t="s">
        <v>5666</v>
      </c>
      <c r="AO142" s="0" t="s">
        <v>6215</v>
      </c>
      <c r="AP142" s="0" t="s">
        <v>240</v>
      </c>
      <c r="AQ142" s="0" t="s">
        <v>240</v>
      </c>
      <c r="AR142" s="0" t="s">
        <v>240</v>
      </c>
      <c r="AS142" s="0" t="s">
        <v>240</v>
      </c>
      <c r="AT142" s="0" t="s">
        <v>240</v>
      </c>
      <c r="AU142" s="0" t="s">
        <v>240</v>
      </c>
      <c r="AV142" s="0" t="s">
        <v>240</v>
      </c>
      <c r="AW142" s="0" t="s">
        <v>240</v>
      </c>
      <c r="AX142" s="0" t="s">
        <v>240</v>
      </c>
      <c r="AY142" s="0" t="s">
        <v>240</v>
      </c>
      <c r="AZ142" s="0" t="s">
        <v>240</v>
      </c>
      <c r="BA142" s="0" t="s">
        <v>240</v>
      </c>
      <c r="BB142" s="0" t="s">
        <v>240</v>
      </c>
      <c r="BC142" s="0" t="s">
        <v>240</v>
      </c>
      <c r="BD142" s="0" t="s">
        <v>240</v>
      </c>
      <c r="BE142" s="0" t="s">
        <v>240</v>
      </c>
      <c r="BF142" s="0" t="s">
        <v>240</v>
      </c>
      <c r="BG142" s="0" t="s">
        <v>240</v>
      </c>
      <c r="BH142" s="0" t="s">
        <v>240</v>
      </c>
      <c r="BI142" s="0" t="s">
        <v>240</v>
      </c>
      <c r="BJ142" s="0" t="s">
        <v>240</v>
      </c>
      <c r="BK142" s="0" t="s">
        <v>240</v>
      </c>
      <c r="BL142" s="0" t="s">
        <v>240</v>
      </c>
      <c r="BM142" s="0" t="s">
        <v>240</v>
      </c>
      <c r="BN142" s="0" t="s">
        <v>240</v>
      </c>
      <c r="BO142" s="0" t="s">
        <v>240</v>
      </c>
      <c r="BP142" s="0" t="s">
        <v>240</v>
      </c>
      <c r="BQ142" s="0" t="s">
        <v>240</v>
      </c>
      <c r="BR142" s="0" t="s">
        <v>240</v>
      </c>
      <c r="BS142" s="0" t="s">
        <v>240</v>
      </c>
      <c r="BT142" s="0" t="s">
        <v>240</v>
      </c>
      <c r="BU142" s="0" t="s">
        <v>240</v>
      </c>
      <c r="BV142" s="0" t="s">
        <v>240</v>
      </c>
      <c r="BW142" s="0" t="s">
        <v>240</v>
      </c>
      <c r="BX142" s="0" t="s">
        <v>240</v>
      </c>
      <c r="BY142" s="0" t="s">
        <v>240</v>
      </c>
      <c r="BZ142" s="0" t="s">
        <v>240</v>
      </c>
      <c r="CA142" s="0" t="s">
        <v>240</v>
      </c>
      <c r="CB142" s="0" t="s">
        <v>240</v>
      </c>
      <c r="CC142" s="0" t="s">
        <v>240</v>
      </c>
      <c r="CD142" s="0" t="s">
        <v>240</v>
      </c>
      <c r="CE142" s="0" t="s">
        <v>240</v>
      </c>
      <c r="CF142" s="0" t="s">
        <v>240</v>
      </c>
      <c r="CG142" s="0" t="s">
        <v>240</v>
      </c>
      <c r="CH142" s="0" t="s">
        <v>240</v>
      </c>
      <c r="CI142" s="0" t="s">
        <v>240</v>
      </c>
      <c r="CJ142" s="0" t="s">
        <v>240</v>
      </c>
      <c r="CK142" s="0" t="s">
        <v>240</v>
      </c>
      <c r="CL142" s="0" t="s">
        <v>240</v>
      </c>
      <c r="CM142" s="0" t="s">
        <v>240</v>
      </c>
      <c r="CN142" s="0" t="s">
        <v>240</v>
      </c>
      <c r="CO142" s="0" t="s">
        <v>240</v>
      </c>
      <c r="CP142" s="0" t="s">
        <v>240</v>
      </c>
      <c r="CQ142" s="0" t="s">
        <v>240</v>
      </c>
      <c r="CR142" s="0" t="s">
        <v>240</v>
      </c>
      <c r="CS142" s="0" t="s">
        <v>240</v>
      </c>
      <c r="CT142" s="0" t="s">
        <v>5496</v>
      </c>
      <c r="CU142" s="0" t="s">
        <v>5497</v>
      </c>
      <c r="CV142" s="0" t="s">
        <v>5947</v>
      </c>
      <c r="CW142" s="0" t="s">
        <v>5948</v>
      </c>
      <c r="CX142" s="0" t="s">
        <v>5528</v>
      </c>
      <c r="CY142" s="0" t="s">
        <v>5947</v>
      </c>
      <c r="CZ142" s="0" t="s">
        <v>5533</v>
      </c>
      <c r="DA142" s="0" t="s">
        <v>5949</v>
      </c>
      <c r="DB142" s="0" t="s">
        <v>5600</v>
      </c>
      <c r="DC142" s="0" t="s">
        <v>384</v>
      </c>
      <c r="DD142" s="0" t="s">
        <v>291</v>
      </c>
      <c r="DE142" s="0" t="s">
        <v>6216</v>
      </c>
    </row>
    <row customHeight="1" ht="11.25">
      <c r="A143" s="1441" t="s">
        <v>240</v>
      </c>
      <c r="B143" s="0" t="s">
        <v>240</v>
      </c>
      <c r="C143" s="0" t="s">
        <v>240</v>
      </c>
      <c r="D143" s="0" t="s">
        <v>240</v>
      </c>
      <c r="E143" s="0" t="s">
        <v>240</v>
      </c>
      <c r="F143" s="0" t="s">
        <v>240</v>
      </c>
      <c r="G143" s="0" t="s">
        <v>240</v>
      </c>
      <c r="H143" s="0" t="s">
        <v>240</v>
      </c>
      <c r="I143" s="0" t="s">
        <v>5484</v>
      </c>
      <c r="J143" s="0" t="s">
        <v>240</v>
      </c>
      <c r="K143" s="0" t="s">
        <v>240</v>
      </c>
      <c r="L143" s="0" t="s">
        <v>240</v>
      </c>
      <c r="M143" s="0" t="s">
        <v>240</v>
      </c>
      <c r="N143" s="0" t="s">
        <v>240</v>
      </c>
      <c r="O143" s="0" t="s">
        <v>240</v>
      </c>
      <c r="P143" s="0" t="s">
        <v>240</v>
      </c>
      <c r="Q143" s="0" t="s">
        <v>240</v>
      </c>
      <c r="R143" s="0" t="s">
        <v>6217</v>
      </c>
      <c r="S143" s="0" t="s">
        <v>240</v>
      </c>
      <c r="T143" s="0" t="s">
        <v>240</v>
      </c>
      <c r="U143" s="0" t="s">
        <v>102</v>
      </c>
      <c r="V143" s="0" t="s">
        <v>240</v>
      </c>
      <c r="W143" s="0" t="s">
        <v>240</v>
      </c>
      <c r="X143" s="0" t="s">
        <v>5485</v>
      </c>
      <c r="Y143" s="0" t="s">
        <v>240</v>
      </c>
      <c r="Z143" s="0" t="s">
        <v>161</v>
      </c>
      <c r="AA143" s="0" t="s">
        <v>152</v>
      </c>
      <c r="AB143" s="0" t="s">
        <v>152</v>
      </c>
      <c r="AC143" s="0" t="s">
        <v>3395</v>
      </c>
      <c r="AD143" s="0" t="s">
        <v>3395</v>
      </c>
      <c r="AE143" s="0" t="s">
        <v>3396</v>
      </c>
      <c r="AF143" s="0" t="s">
        <v>5941</v>
      </c>
      <c r="AG143" s="0" t="s">
        <v>5942</v>
      </c>
      <c r="AH143" s="0" t="s">
        <v>6218</v>
      </c>
      <c r="AI143" s="0" t="s">
        <v>152</v>
      </c>
      <c r="AJ143" s="0" t="s">
        <v>5545</v>
      </c>
      <c r="AK143" s="0" t="s">
        <v>6219</v>
      </c>
      <c r="AL143" s="0" t="s">
        <v>5570</v>
      </c>
      <c r="AM143" s="0" t="s">
        <v>5493</v>
      </c>
      <c r="AN143" s="0" t="s">
        <v>5666</v>
      </c>
      <c r="AO143" s="0" t="s">
        <v>6220</v>
      </c>
      <c r="AP143" s="0" t="s">
        <v>240</v>
      </c>
      <c r="AQ143" s="0" t="s">
        <v>240</v>
      </c>
      <c r="AR143" s="0" t="s">
        <v>240</v>
      </c>
      <c r="AS143" s="0" t="s">
        <v>240</v>
      </c>
      <c r="AT143" s="0" t="s">
        <v>240</v>
      </c>
      <c r="AU143" s="0" t="s">
        <v>240</v>
      </c>
      <c r="AV143" s="0" t="s">
        <v>240</v>
      </c>
      <c r="AW143" s="0" t="s">
        <v>240</v>
      </c>
      <c r="AX143" s="0" t="s">
        <v>240</v>
      </c>
      <c r="AY143" s="0" t="s">
        <v>240</v>
      </c>
      <c r="AZ143" s="0" t="s">
        <v>240</v>
      </c>
      <c r="BA143" s="0" t="s">
        <v>240</v>
      </c>
      <c r="BB143" s="0" t="s">
        <v>240</v>
      </c>
      <c r="BC143" s="0" t="s">
        <v>240</v>
      </c>
      <c r="BD143" s="0" t="s">
        <v>240</v>
      </c>
      <c r="BE143" s="0" t="s">
        <v>240</v>
      </c>
      <c r="BF143" s="0" t="s">
        <v>240</v>
      </c>
      <c r="BG143" s="0" t="s">
        <v>240</v>
      </c>
      <c r="BH143" s="0" t="s">
        <v>240</v>
      </c>
      <c r="BI143" s="0" t="s">
        <v>240</v>
      </c>
      <c r="BJ143" s="0" t="s">
        <v>240</v>
      </c>
      <c r="BK143" s="0" t="s">
        <v>240</v>
      </c>
      <c r="BL143" s="0" t="s">
        <v>240</v>
      </c>
      <c r="BM143" s="0" t="s">
        <v>240</v>
      </c>
      <c r="BN143" s="0" t="s">
        <v>240</v>
      </c>
      <c r="BO143" s="0" t="s">
        <v>240</v>
      </c>
      <c r="BP143" s="0" t="s">
        <v>240</v>
      </c>
      <c r="BQ143" s="0" t="s">
        <v>240</v>
      </c>
      <c r="BR143" s="0" t="s">
        <v>240</v>
      </c>
      <c r="BS143" s="0" t="s">
        <v>240</v>
      </c>
      <c r="BT143" s="0" t="s">
        <v>240</v>
      </c>
      <c r="BU143" s="0" t="s">
        <v>240</v>
      </c>
      <c r="BV143" s="0" t="s">
        <v>240</v>
      </c>
      <c r="BW143" s="0" t="s">
        <v>240</v>
      </c>
      <c r="BX143" s="0" t="s">
        <v>240</v>
      </c>
      <c r="BY143" s="0" t="s">
        <v>240</v>
      </c>
      <c r="BZ143" s="0" t="s">
        <v>240</v>
      </c>
      <c r="CA143" s="0" t="s">
        <v>240</v>
      </c>
      <c r="CB143" s="0" t="s">
        <v>240</v>
      </c>
      <c r="CC143" s="0" t="s">
        <v>240</v>
      </c>
      <c r="CD143" s="0" t="s">
        <v>240</v>
      </c>
      <c r="CE143" s="0" t="s">
        <v>240</v>
      </c>
      <c r="CF143" s="0" t="s">
        <v>240</v>
      </c>
      <c r="CG143" s="0" t="s">
        <v>240</v>
      </c>
      <c r="CH143" s="0" t="s">
        <v>240</v>
      </c>
      <c r="CI143" s="0" t="s">
        <v>240</v>
      </c>
      <c r="CJ143" s="0" t="s">
        <v>240</v>
      </c>
      <c r="CK143" s="0" t="s">
        <v>240</v>
      </c>
      <c r="CL143" s="0" t="s">
        <v>240</v>
      </c>
      <c r="CM143" s="0" t="s">
        <v>240</v>
      </c>
      <c r="CN143" s="0" t="s">
        <v>240</v>
      </c>
      <c r="CO143" s="0" t="s">
        <v>240</v>
      </c>
      <c r="CP143" s="0" t="s">
        <v>240</v>
      </c>
      <c r="CQ143" s="0" t="s">
        <v>240</v>
      </c>
      <c r="CR143" s="0" t="s">
        <v>240</v>
      </c>
      <c r="CS143" s="0" t="s">
        <v>240</v>
      </c>
      <c r="CT143" s="0" t="s">
        <v>5496</v>
      </c>
      <c r="CU143" s="0" t="s">
        <v>5497</v>
      </c>
      <c r="CV143" s="0" t="s">
        <v>5947</v>
      </c>
      <c r="CW143" s="0" t="s">
        <v>5948</v>
      </c>
      <c r="CX143" s="0" t="s">
        <v>5528</v>
      </c>
      <c r="CY143" s="0" t="s">
        <v>5947</v>
      </c>
      <c r="CZ143" s="0" t="s">
        <v>5533</v>
      </c>
      <c r="DA143" s="0" t="s">
        <v>5949</v>
      </c>
      <c r="DB143" s="0" t="s">
        <v>5600</v>
      </c>
      <c r="DC143" s="0" t="s">
        <v>384</v>
      </c>
      <c r="DD143" s="0" t="s">
        <v>291</v>
      </c>
      <c r="DE143" s="0" t="s">
        <v>6221</v>
      </c>
    </row>
    <row customHeight="1" ht="11.25">
      <c r="A144" s="1441" t="s">
        <v>240</v>
      </c>
      <c r="B144" s="0" t="s">
        <v>240</v>
      </c>
      <c r="C144" s="0" t="s">
        <v>240</v>
      </c>
      <c r="D144" s="0" t="s">
        <v>240</v>
      </c>
      <c r="E144" s="0" t="s">
        <v>240</v>
      </c>
      <c r="F144" s="0" t="s">
        <v>240</v>
      </c>
      <c r="G144" s="0" t="s">
        <v>240</v>
      </c>
      <c r="H144" s="0" t="s">
        <v>240</v>
      </c>
      <c r="I144" s="0" t="s">
        <v>5484</v>
      </c>
      <c r="J144" s="0" t="s">
        <v>240</v>
      </c>
      <c r="K144" s="0" t="s">
        <v>240</v>
      </c>
      <c r="L144" s="0" t="s">
        <v>240</v>
      </c>
      <c r="M144" s="0" t="s">
        <v>240</v>
      </c>
      <c r="N144" s="0" t="s">
        <v>240</v>
      </c>
      <c r="O144" s="0" t="s">
        <v>240</v>
      </c>
      <c r="P144" s="0" t="s">
        <v>240</v>
      </c>
      <c r="Q144" s="0" t="s">
        <v>240</v>
      </c>
      <c r="R144" s="0" t="s">
        <v>6222</v>
      </c>
      <c r="S144" s="0" t="s">
        <v>240</v>
      </c>
      <c r="T144" s="0" t="s">
        <v>240</v>
      </c>
      <c r="U144" s="0" t="s">
        <v>102</v>
      </c>
      <c r="V144" s="0" t="s">
        <v>240</v>
      </c>
      <c r="W144" s="0" t="s">
        <v>240</v>
      </c>
      <c r="X144" s="0" t="s">
        <v>5585</v>
      </c>
      <c r="Y144" s="0" t="s">
        <v>240</v>
      </c>
      <c r="Z144" s="0" t="s">
        <v>152</v>
      </c>
      <c r="AA144" s="0" t="s">
        <v>152</v>
      </c>
      <c r="AB144" s="0" t="s">
        <v>161</v>
      </c>
      <c r="AC144" s="0" t="s">
        <v>2985</v>
      </c>
      <c r="AD144" s="0" t="s">
        <v>2985</v>
      </c>
      <c r="AE144" s="0" t="s">
        <v>2986</v>
      </c>
      <c r="AF144" s="0" t="s">
        <v>5951</v>
      </c>
      <c r="AG144" s="0" t="s">
        <v>5952</v>
      </c>
      <c r="AH144" s="0" t="s">
        <v>5951</v>
      </c>
      <c r="AI144" s="0" t="s">
        <v>5644</v>
      </c>
      <c r="AJ144" s="0" t="s">
        <v>240</v>
      </c>
      <c r="AK144" s="0" t="s">
        <v>240</v>
      </c>
      <c r="AL144" s="0" t="s">
        <v>240</v>
      </c>
      <c r="AM144" s="0" t="s">
        <v>240</v>
      </c>
      <c r="AN144" s="0" t="s">
        <v>240</v>
      </c>
      <c r="AO144" s="0" t="s">
        <v>240</v>
      </c>
      <c r="AP144" s="0" t="s">
        <v>240</v>
      </c>
      <c r="AQ144" s="0" t="s">
        <v>240</v>
      </c>
      <c r="AR144" s="0" t="s">
        <v>240</v>
      </c>
      <c r="AS144" s="0" t="s">
        <v>240</v>
      </c>
      <c r="AT144" s="0" t="s">
        <v>240</v>
      </c>
      <c r="AU144" s="0" t="s">
        <v>240</v>
      </c>
      <c r="AV144" s="0" t="s">
        <v>240</v>
      </c>
      <c r="AW144" s="0" t="s">
        <v>240</v>
      </c>
      <c r="AX144" s="0" t="s">
        <v>240</v>
      </c>
      <c r="AY144" s="0" t="s">
        <v>240</v>
      </c>
      <c r="AZ144" s="0" t="s">
        <v>240</v>
      </c>
      <c r="BA144" s="0" t="s">
        <v>240</v>
      </c>
      <c r="BB144" s="0" t="s">
        <v>240</v>
      </c>
      <c r="BC144" s="0" t="s">
        <v>240</v>
      </c>
      <c r="BD144" s="0" t="s">
        <v>240</v>
      </c>
      <c r="BE144" s="0" t="s">
        <v>5645</v>
      </c>
      <c r="BF144" s="0" t="s">
        <v>5645</v>
      </c>
      <c r="BG144" s="0" t="s">
        <v>112</v>
      </c>
      <c r="BH144" s="0" t="s">
        <v>5589</v>
      </c>
      <c r="BI144" s="0" t="s">
        <v>123</v>
      </c>
      <c r="BJ144" s="0" t="s">
        <v>240</v>
      </c>
      <c r="BK144" s="0" t="s">
        <v>5608</v>
      </c>
      <c r="BL144" s="0" t="s">
        <v>2985</v>
      </c>
      <c r="BM144" s="0" t="s">
        <v>2985</v>
      </c>
      <c r="BN144" s="0" t="s">
        <v>5646</v>
      </c>
      <c r="BO144" s="0" t="s">
        <v>5951</v>
      </c>
      <c r="BP144" s="0" t="s">
        <v>5955</v>
      </c>
      <c r="BQ144" s="0" t="s">
        <v>6223</v>
      </c>
      <c r="BR144" s="0" t="s">
        <v>6224</v>
      </c>
      <c r="BS144" s="0" t="s">
        <v>240</v>
      </c>
      <c r="BT144" s="0" t="s">
        <v>5650</v>
      </c>
      <c r="BU144" s="0" t="s">
        <v>6225</v>
      </c>
      <c r="BV144" s="0" t="s">
        <v>6225</v>
      </c>
      <c r="BW144" s="0" t="s">
        <v>5598</v>
      </c>
      <c r="BX144" s="0" t="s">
        <v>5598</v>
      </c>
      <c r="BY144" s="0" t="s">
        <v>5598</v>
      </c>
      <c r="BZ144" s="0" t="s">
        <v>5598</v>
      </c>
      <c r="CA144" s="0" t="s">
        <v>5598</v>
      </c>
      <c r="CB144" s="0" t="s">
        <v>240</v>
      </c>
      <c r="CC144" s="0" t="s">
        <v>240</v>
      </c>
      <c r="CD144" s="0" t="s">
        <v>240</v>
      </c>
      <c r="CE144" s="0" t="s">
        <v>240</v>
      </c>
      <c r="CF144" s="0" t="s">
        <v>240</v>
      </c>
      <c r="CG144" s="0" t="s">
        <v>5598</v>
      </c>
      <c r="CH144" s="0" t="s">
        <v>240</v>
      </c>
      <c r="CI144" s="0" t="s">
        <v>240</v>
      </c>
      <c r="CJ144" s="0" t="s">
        <v>240</v>
      </c>
      <c r="CK144" s="0" t="s">
        <v>240</v>
      </c>
      <c r="CL144" s="0" t="s">
        <v>240</v>
      </c>
      <c r="CM144" s="0" t="s">
        <v>6225</v>
      </c>
      <c r="CN144" s="0" t="s">
        <v>6225</v>
      </c>
      <c r="CO144" s="0" t="s">
        <v>240</v>
      </c>
      <c r="CP144" s="0" t="s">
        <v>240</v>
      </c>
      <c r="CQ144" s="0" t="s">
        <v>240</v>
      </c>
      <c r="CR144" s="0" t="s">
        <v>240</v>
      </c>
      <c r="CS144" s="0" t="s">
        <v>5507</v>
      </c>
      <c r="CT144" s="0" t="s">
        <v>5496</v>
      </c>
      <c r="CU144" s="0" t="s">
        <v>5497</v>
      </c>
      <c r="CV144" s="0" t="s">
        <v>443</v>
      </c>
      <c r="CW144" s="0" t="s">
        <v>5509</v>
      </c>
      <c r="CX144" s="0" t="s">
        <v>229</v>
      </c>
      <c r="CY144" s="0" t="s">
        <v>443</v>
      </c>
      <c r="CZ144" s="0" t="s">
        <v>5510</v>
      </c>
      <c r="DA144" s="0" t="s">
        <v>5511</v>
      </c>
      <c r="DB144" s="0" t="s">
        <v>5509</v>
      </c>
      <c r="DC144" s="0" t="s">
        <v>384</v>
      </c>
      <c r="DD144" s="0" t="s">
        <v>291</v>
      </c>
      <c r="DE144" s="0" t="s">
        <v>5960</v>
      </c>
    </row>
    <row customHeight="1" ht="11.25">
      <c r="A145" s="1441" t="s">
        <v>240</v>
      </c>
      <c r="B145" s="0" t="s">
        <v>240</v>
      </c>
      <c r="C145" s="0" t="s">
        <v>240</v>
      </c>
      <c r="D145" s="0" t="s">
        <v>240</v>
      </c>
      <c r="E145" s="0" t="s">
        <v>240</v>
      </c>
      <c r="F145" s="0" t="s">
        <v>240</v>
      </c>
      <c r="G145" s="0" t="s">
        <v>240</v>
      </c>
      <c r="H145" s="0" t="s">
        <v>240</v>
      </c>
      <c r="I145" s="0" t="s">
        <v>5484</v>
      </c>
      <c r="J145" s="0" t="s">
        <v>240</v>
      </c>
      <c r="K145" s="0" t="s">
        <v>240</v>
      </c>
      <c r="L145" s="0" t="s">
        <v>240</v>
      </c>
      <c r="M145" s="0" t="s">
        <v>240</v>
      </c>
      <c r="N145" s="0" t="s">
        <v>240</v>
      </c>
      <c r="O145" s="0" t="s">
        <v>240</v>
      </c>
      <c r="P145" s="0" t="s">
        <v>240</v>
      </c>
      <c r="Q145" s="0" t="s">
        <v>240</v>
      </c>
      <c r="R145" s="0" t="s">
        <v>449</v>
      </c>
      <c r="S145" s="0" t="s">
        <v>240</v>
      </c>
      <c r="T145" s="0" t="s">
        <v>240</v>
      </c>
      <c r="U145" s="0" t="s">
        <v>102</v>
      </c>
      <c r="V145" s="0" t="s">
        <v>240</v>
      </c>
      <c r="W145" s="0" t="s">
        <v>240</v>
      </c>
      <c r="X145" s="0" t="s">
        <v>5585</v>
      </c>
      <c r="Y145" s="0" t="s">
        <v>240</v>
      </c>
      <c r="Z145" s="0" t="s">
        <v>152</v>
      </c>
      <c r="AA145" s="0" t="s">
        <v>152</v>
      </c>
      <c r="AB145" s="0" t="s">
        <v>161</v>
      </c>
      <c r="AC145" s="0" t="s">
        <v>2985</v>
      </c>
      <c r="AD145" s="0" t="s">
        <v>2985</v>
      </c>
      <c r="AE145" s="0" t="s">
        <v>2986</v>
      </c>
      <c r="AF145" s="0" t="s">
        <v>6226</v>
      </c>
      <c r="AG145" s="0" t="s">
        <v>6227</v>
      </c>
      <c r="AH145" s="0" t="s">
        <v>6226</v>
      </c>
      <c r="AI145" s="0" t="s">
        <v>5644</v>
      </c>
      <c r="AJ145" s="0" t="s">
        <v>240</v>
      </c>
      <c r="AK145" s="0" t="s">
        <v>240</v>
      </c>
      <c r="AL145" s="0" t="s">
        <v>240</v>
      </c>
      <c r="AM145" s="0" t="s">
        <v>240</v>
      </c>
      <c r="AN145" s="0" t="s">
        <v>240</v>
      </c>
      <c r="AO145" s="0" t="s">
        <v>240</v>
      </c>
      <c r="AP145" s="0" t="s">
        <v>240</v>
      </c>
      <c r="AQ145" s="0" t="s">
        <v>240</v>
      </c>
      <c r="AR145" s="0" t="s">
        <v>240</v>
      </c>
      <c r="AS145" s="0" t="s">
        <v>240</v>
      </c>
      <c r="AT145" s="0" t="s">
        <v>240</v>
      </c>
      <c r="AU145" s="0" t="s">
        <v>240</v>
      </c>
      <c r="AV145" s="0" t="s">
        <v>240</v>
      </c>
      <c r="AW145" s="0" t="s">
        <v>240</v>
      </c>
      <c r="AX145" s="0" t="s">
        <v>240</v>
      </c>
      <c r="AY145" s="0" t="s">
        <v>240</v>
      </c>
      <c r="AZ145" s="0" t="s">
        <v>240</v>
      </c>
      <c r="BA145" s="0" t="s">
        <v>240</v>
      </c>
      <c r="BB145" s="0" t="s">
        <v>240</v>
      </c>
      <c r="BC145" s="0" t="s">
        <v>240</v>
      </c>
      <c r="BD145" s="0" t="s">
        <v>240</v>
      </c>
      <c r="BE145" s="0" t="s">
        <v>5645</v>
      </c>
      <c r="BF145" s="0" t="s">
        <v>5645</v>
      </c>
      <c r="BG145" s="0" t="s">
        <v>112</v>
      </c>
      <c r="BH145" s="0" t="s">
        <v>5589</v>
      </c>
      <c r="BI145" s="0" t="s">
        <v>123</v>
      </c>
      <c r="BJ145" s="0" t="s">
        <v>240</v>
      </c>
      <c r="BK145" s="0" t="s">
        <v>5608</v>
      </c>
      <c r="BL145" s="0" t="s">
        <v>2985</v>
      </c>
      <c r="BM145" s="0" t="s">
        <v>2985</v>
      </c>
      <c r="BN145" s="0" t="s">
        <v>5646</v>
      </c>
      <c r="BO145" s="0" t="s">
        <v>6226</v>
      </c>
      <c r="BP145" s="0" t="s">
        <v>6228</v>
      </c>
      <c r="BQ145" s="0" t="s">
        <v>6229</v>
      </c>
      <c r="BR145" s="0" t="s">
        <v>6186</v>
      </c>
      <c r="BS145" s="0" t="s">
        <v>240</v>
      </c>
      <c r="BT145" s="0" t="s">
        <v>5650</v>
      </c>
      <c r="BU145" s="0" t="s">
        <v>6230</v>
      </c>
      <c r="BV145" s="0" t="s">
        <v>6230</v>
      </c>
      <c r="BW145" s="0" t="s">
        <v>5598</v>
      </c>
      <c r="BX145" s="0" t="s">
        <v>5598</v>
      </c>
      <c r="BY145" s="0" t="s">
        <v>5598</v>
      </c>
      <c r="BZ145" s="0" t="s">
        <v>5598</v>
      </c>
      <c r="CA145" s="0" t="s">
        <v>5598</v>
      </c>
      <c r="CB145" s="0" t="s">
        <v>240</v>
      </c>
      <c r="CC145" s="0" t="s">
        <v>240</v>
      </c>
      <c r="CD145" s="0" t="s">
        <v>240</v>
      </c>
      <c r="CE145" s="0" t="s">
        <v>240</v>
      </c>
      <c r="CF145" s="0" t="s">
        <v>240</v>
      </c>
      <c r="CG145" s="0" t="s">
        <v>5598</v>
      </c>
      <c r="CH145" s="0" t="s">
        <v>240</v>
      </c>
      <c r="CI145" s="0" t="s">
        <v>240</v>
      </c>
      <c r="CJ145" s="0" t="s">
        <v>240</v>
      </c>
      <c r="CK145" s="0" t="s">
        <v>240</v>
      </c>
      <c r="CL145" s="0" t="s">
        <v>240</v>
      </c>
      <c r="CM145" s="0" t="s">
        <v>6230</v>
      </c>
      <c r="CN145" s="0" t="s">
        <v>6230</v>
      </c>
      <c r="CO145" s="0" t="s">
        <v>240</v>
      </c>
      <c r="CP145" s="0" t="s">
        <v>240</v>
      </c>
      <c r="CQ145" s="0" t="s">
        <v>240</v>
      </c>
      <c r="CR145" s="0" t="s">
        <v>240</v>
      </c>
      <c r="CS145" s="0" t="s">
        <v>5507</v>
      </c>
      <c r="CT145" s="0" t="s">
        <v>5496</v>
      </c>
      <c r="CU145" s="0" t="s">
        <v>5497</v>
      </c>
      <c r="CV145" s="0" t="s">
        <v>443</v>
      </c>
      <c r="CW145" s="0" t="s">
        <v>5509</v>
      </c>
      <c r="CX145" s="0" t="s">
        <v>229</v>
      </c>
      <c r="CY145" s="0" t="s">
        <v>443</v>
      </c>
      <c r="CZ145" s="0" t="s">
        <v>5510</v>
      </c>
      <c r="DA145" s="0" t="s">
        <v>5511</v>
      </c>
      <c r="DB145" s="0" t="s">
        <v>5509</v>
      </c>
      <c r="DC145" s="0" t="s">
        <v>384</v>
      </c>
      <c r="DD145" s="0" t="s">
        <v>291</v>
      </c>
      <c r="DE145" s="0" t="s">
        <v>6231</v>
      </c>
    </row>
    <row customHeight="1" ht="11.25">
      <c r="A146" s="1441" t="s">
        <v>240</v>
      </c>
      <c r="B146" s="0" t="s">
        <v>240</v>
      </c>
      <c r="C146" s="0" t="s">
        <v>240</v>
      </c>
      <c r="D146" s="0" t="s">
        <v>240</v>
      </c>
      <c r="E146" s="0" t="s">
        <v>240</v>
      </c>
      <c r="F146" s="0" t="s">
        <v>240</v>
      </c>
      <c r="G146" s="0" t="s">
        <v>240</v>
      </c>
      <c r="H146" s="0" t="s">
        <v>240</v>
      </c>
      <c r="I146" s="0" t="s">
        <v>5484</v>
      </c>
      <c r="J146" s="0" t="s">
        <v>240</v>
      </c>
      <c r="K146" s="0" t="s">
        <v>240</v>
      </c>
      <c r="L146" s="0" t="s">
        <v>240</v>
      </c>
      <c r="M146" s="0" t="s">
        <v>240</v>
      </c>
      <c r="N146" s="0" t="s">
        <v>240</v>
      </c>
      <c r="O146" s="0" t="s">
        <v>240</v>
      </c>
      <c r="P146" s="0" t="s">
        <v>240</v>
      </c>
      <c r="Q146" s="0" t="s">
        <v>240</v>
      </c>
      <c r="R146" s="0" t="s">
        <v>5608</v>
      </c>
      <c r="S146" s="0" t="s">
        <v>240</v>
      </c>
      <c r="T146" s="0" t="s">
        <v>240</v>
      </c>
      <c r="U146" s="0" t="s">
        <v>102</v>
      </c>
      <c r="V146" s="0" t="s">
        <v>240</v>
      </c>
      <c r="W146" s="0" t="s">
        <v>240</v>
      </c>
      <c r="X146" s="0" t="s">
        <v>5485</v>
      </c>
      <c r="Y146" s="0" t="s">
        <v>240</v>
      </c>
      <c r="Z146" s="0" t="s">
        <v>161</v>
      </c>
      <c r="AA146" s="0" t="s">
        <v>152</v>
      </c>
      <c r="AB146" s="0" t="s">
        <v>152</v>
      </c>
      <c r="AC146" s="0" t="s">
        <v>2985</v>
      </c>
      <c r="AD146" s="0" t="s">
        <v>2985</v>
      </c>
      <c r="AE146" s="0" t="s">
        <v>2986</v>
      </c>
      <c r="AF146" s="0" t="s">
        <v>5951</v>
      </c>
      <c r="AG146" s="0" t="s">
        <v>5952</v>
      </c>
      <c r="AH146" s="0" t="s">
        <v>5566</v>
      </c>
      <c r="AI146" s="0" t="s">
        <v>463</v>
      </c>
      <c r="AJ146" s="0" t="s">
        <v>5504</v>
      </c>
      <c r="AK146" s="0" t="s">
        <v>5504</v>
      </c>
      <c r="AL146" s="0" t="s">
        <v>5605</v>
      </c>
      <c r="AM146" s="0" t="s">
        <v>5493</v>
      </c>
      <c r="AN146" s="0" t="s">
        <v>5507</v>
      </c>
      <c r="AO146" s="0" t="s">
        <v>5613</v>
      </c>
      <c r="AP146" s="0" t="s">
        <v>240</v>
      </c>
      <c r="AQ146" s="0" t="s">
        <v>240</v>
      </c>
      <c r="AR146" s="0" t="s">
        <v>240</v>
      </c>
      <c r="AS146" s="0" t="s">
        <v>240</v>
      </c>
      <c r="AT146" s="0" t="s">
        <v>240</v>
      </c>
      <c r="AU146" s="0" t="s">
        <v>240</v>
      </c>
      <c r="AV146" s="0" t="s">
        <v>240</v>
      </c>
      <c r="AW146" s="0" t="s">
        <v>240</v>
      </c>
      <c r="AX146" s="0" t="s">
        <v>240</v>
      </c>
      <c r="AY146" s="0" t="s">
        <v>240</v>
      </c>
      <c r="AZ146" s="0" t="s">
        <v>240</v>
      </c>
      <c r="BA146" s="0" t="s">
        <v>240</v>
      </c>
      <c r="BB146" s="0" t="s">
        <v>240</v>
      </c>
      <c r="BC146" s="0" t="s">
        <v>240</v>
      </c>
      <c r="BD146" s="0" t="s">
        <v>240</v>
      </c>
      <c r="BE146" s="0" t="s">
        <v>240</v>
      </c>
      <c r="BF146" s="0" t="s">
        <v>240</v>
      </c>
      <c r="BG146" s="0" t="s">
        <v>240</v>
      </c>
      <c r="BH146" s="0" t="s">
        <v>240</v>
      </c>
      <c r="BI146" s="0" t="s">
        <v>240</v>
      </c>
      <c r="BJ146" s="0" t="s">
        <v>240</v>
      </c>
      <c r="BK146" s="0" t="s">
        <v>240</v>
      </c>
      <c r="BL146" s="0" t="s">
        <v>240</v>
      </c>
      <c r="BM146" s="0" t="s">
        <v>240</v>
      </c>
      <c r="BN146" s="0" t="s">
        <v>240</v>
      </c>
      <c r="BO146" s="0" t="s">
        <v>240</v>
      </c>
      <c r="BP146" s="0" t="s">
        <v>240</v>
      </c>
      <c r="BQ146" s="0" t="s">
        <v>240</v>
      </c>
      <c r="BR146" s="0" t="s">
        <v>240</v>
      </c>
      <c r="BS146" s="0" t="s">
        <v>240</v>
      </c>
      <c r="BT146" s="0" t="s">
        <v>240</v>
      </c>
      <c r="BU146" s="0" t="s">
        <v>240</v>
      </c>
      <c r="BV146" s="0" t="s">
        <v>240</v>
      </c>
      <c r="BW146" s="0" t="s">
        <v>240</v>
      </c>
      <c r="BX146" s="0" t="s">
        <v>240</v>
      </c>
      <c r="BY146" s="0" t="s">
        <v>240</v>
      </c>
      <c r="BZ146" s="0" t="s">
        <v>240</v>
      </c>
      <c r="CA146" s="0" t="s">
        <v>240</v>
      </c>
      <c r="CB146" s="0" t="s">
        <v>240</v>
      </c>
      <c r="CC146" s="0" t="s">
        <v>240</v>
      </c>
      <c r="CD146" s="0" t="s">
        <v>240</v>
      </c>
      <c r="CE146" s="0" t="s">
        <v>240</v>
      </c>
      <c r="CF146" s="0" t="s">
        <v>240</v>
      </c>
      <c r="CG146" s="0" t="s">
        <v>240</v>
      </c>
      <c r="CH146" s="0" t="s">
        <v>240</v>
      </c>
      <c r="CI146" s="0" t="s">
        <v>240</v>
      </c>
      <c r="CJ146" s="0" t="s">
        <v>240</v>
      </c>
      <c r="CK146" s="0" t="s">
        <v>240</v>
      </c>
      <c r="CL146" s="0" t="s">
        <v>240</v>
      </c>
      <c r="CM146" s="0" t="s">
        <v>240</v>
      </c>
      <c r="CN146" s="0" t="s">
        <v>240</v>
      </c>
      <c r="CO146" s="0" t="s">
        <v>240</v>
      </c>
      <c r="CP146" s="0" t="s">
        <v>240</v>
      </c>
      <c r="CQ146" s="0" t="s">
        <v>240</v>
      </c>
      <c r="CR146" s="0" t="s">
        <v>240</v>
      </c>
      <c r="CS146" s="0" t="s">
        <v>240</v>
      </c>
      <c r="CT146" s="0" t="s">
        <v>5496</v>
      </c>
      <c r="CU146" s="0" t="s">
        <v>5497</v>
      </c>
      <c r="CV146" s="0" t="s">
        <v>443</v>
      </c>
      <c r="CW146" s="0" t="s">
        <v>5509</v>
      </c>
      <c r="CX146" s="0" t="s">
        <v>229</v>
      </c>
      <c r="CY146" s="0" t="s">
        <v>443</v>
      </c>
      <c r="CZ146" s="0" t="s">
        <v>5510</v>
      </c>
      <c r="DA146" s="0" t="s">
        <v>5511</v>
      </c>
      <c r="DB146" s="0" t="s">
        <v>5509</v>
      </c>
      <c r="DC146" s="0" t="s">
        <v>384</v>
      </c>
      <c r="DD146" s="0" t="s">
        <v>291</v>
      </c>
      <c r="DE146" s="0" t="s">
        <v>6232</v>
      </c>
    </row>
    <row customHeight="1" ht="11.25">
      <c r="A147" s="1441" t="s">
        <v>240</v>
      </c>
      <c r="B147" s="0" t="s">
        <v>240</v>
      </c>
      <c r="C147" s="0" t="s">
        <v>240</v>
      </c>
      <c r="D147" s="0" t="s">
        <v>240</v>
      </c>
      <c r="E147" s="0" t="s">
        <v>240</v>
      </c>
      <c r="F147" s="0" t="s">
        <v>240</v>
      </c>
      <c r="G147" s="0" t="s">
        <v>240</v>
      </c>
      <c r="H147" s="0" t="s">
        <v>240</v>
      </c>
      <c r="I147" s="0" t="s">
        <v>5484</v>
      </c>
      <c r="J147" s="0" t="s">
        <v>240</v>
      </c>
      <c r="K147" s="0" t="s">
        <v>240</v>
      </c>
      <c r="L147" s="0" t="s">
        <v>240</v>
      </c>
      <c r="M147" s="0" t="s">
        <v>240</v>
      </c>
      <c r="N147" s="0" t="s">
        <v>240</v>
      </c>
      <c r="O147" s="0" t="s">
        <v>240</v>
      </c>
      <c r="P147" s="0" t="s">
        <v>240</v>
      </c>
      <c r="Q147" s="0" t="s">
        <v>240</v>
      </c>
      <c r="R147" s="0" t="s">
        <v>5499</v>
      </c>
      <c r="S147" s="0" t="s">
        <v>240</v>
      </c>
      <c r="T147" s="0" t="s">
        <v>240</v>
      </c>
      <c r="U147" s="0" t="s">
        <v>102</v>
      </c>
      <c r="V147" s="0" t="s">
        <v>240</v>
      </c>
      <c r="W147" s="0" t="s">
        <v>240</v>
      </c>
      <c r="X147" s="0" t="s">
        <v>5485</v>
      </c>
      <c r="Y147" s="0" t="s">
        <v>240</v>
      </c>
      <c r="Z147" s="0" t="s">
        <v>161</v>
      </c>
      <c r="AA147" s="0" t="s">
        <v>152</v>
      </c>
      <c r="AB147" s="0" t="s">
        <v>152</v>
      </c>
      <c r="AC147" s="0" t="s">
        <v>2985</v>
      </c>
      <c r="AD147" s="0" t="s">
        <v>2985</v>
      </c>
      <c r="AE147" s="0" t="s">
        <v>2986</v>
      </c>
      <c r="AF147" s="0" t="s">
        <v>5951</v>
      </c>
      <c r="AG147" s="0" t="s">
        <v>5952</v>
      </c>
      <c r="AH147" s="0" t="s">
        <v>5956</v>
      </c>
      <c r="AI147" s="0" t="s">
        <v>5503</v>
      </c>
      <c r="AJ147" s="0" t="s">
        <v>5504</v>
      </c>
      <c r="AK147" s="0" t="s">
        <v>5504</v>
      </c>
      <c r="AL147" s="0" t="s">
        <v>5605</v>
      </c>
      <c r="AM147" s="0" t="s">
        <v>5493</v>
      </c>
      <c r="AN147" s="0" t="s">
        <v>5507</v>
      </c>
      <c r="AO147" s="0" t="s">
        <v>5508</v>
      </c>
      <c r="AP147" s="0" t="s">
        <v>240</v>
      </c>
      <c r="AQ147" s="0" t="s">
        <v>240</v>
      </c>
      <c r="AR147" s="0" t="s">
        <v>240</v>
      </c>
      <c r="AS147" s="0" t="s">
        <v>240</v>
      </c>
      <c r="AT147" s="0" t="s">
        <v>240</v>
      </c>
      <c r="AU147" s="0" t="s">
        <v>240</v>
      </c>
      <c r="AV147" s="0" t="s">
        <v>240</v>
      </c>
      <c r="AW147" s="0" t="s">
        <v>240</v>
      </c>
      <c r="AX147" s="0" t="s">
        <v>240</v>
      </c>
      <c r="AY147" s="0" t="s">
        <v>240</v>
      </c>
      <c r="AZ147" s="0" t="s">
        <v>240</v>
      </c>
      <c r="BA147" s="0" t="s">
        <v>240</v>
      </c>
      <c r="BB147" s="0" t="s">
        <v>240</v>
      </c>
      <c r="BC147" s="0" t="s">
        <v>240</v>
      </c>
      <c r="BD147" s="0" t="s">
        <v>240</v>
      </c>
      <c r="BE147" s="0" t="s">
        <v>240</v>
      </c>
      <c r="BF147" s="0" t="s">
        <v>240</v>
      </c>
      <c r="BG147" s="0" t="s">
        <v>240</v>
      </c>
      <c r="BH147" s="0" t="s">
        <v>240</v>
      </c>
      <c r="BI147" s="0" t="s">
        <v>240</v>
      </c>
      <c r="BJ147" s="0" t="s">
        <v>240</v>
      </c>
      <c r="BK147" s="0" t="s">
        <v>240</v>
      </c>
      <c r="BL147" s="0" t="s">
        <v>240</v>
      </c>
      <c r="BM147" s="0" t="s">
        <v>240</v>
      </c>
      <c r="BN147" s="0" t="s">
        <v>240</v>
      </c>
      <c r="BO147" s="0" t="s">
        <v>240</v>
      </c>
      <c r="BP147" s="0" t="s">
        <v>240</v>
      </c>
      <c r="BQ147" s="0" t="s">
        <v>240</v>
      </c>
      <c r="BR147" s="0" t="s">
        <v>240</v>
      </c>
      <c r="BS147" s="0" t="s">
        <v>240</v>
      </c>
      <c r="BT147" s="0" t="s">
        <v>240</v>
      </c>
      <c r="BU147" s="0" t="s">
        <v>240</v>
      </c>
      <c r="BV147" s="0" t="s">
        <v>240</v>
      </c>
      <c r="BW147" s="0" t="s">
        <v>240</v>
      </c>
      <c r="BX147" s="0" t="s">
        <v>240</v>
      </c>
      <c r="BY147" s="0" t="s">
        <v>240</v>
      </c>
      <c r="BZ147" s="0" t="s">
        <v>240</v>
      </c>
      <c r="CA147" s="0" t="s">
        <v>240</v>
      </c>
      <c r="CB147" s="0" t="s">
        <v>240</v>
      </c>
      <c r="CC147" s="0" t="s">
        <v>240</v>
      </c>
      <c r="CD147" s="0" t="s">
        <v>240</v>
      </c>
      <c r="CE147" s="0" t="s">
        <v>240</v>
      </c>
      <c r="CF147" s="0" t="s">
        <v>240</v>
      </c>
      <c r="CG147" s="0" t="s">
        <v>240</v>
      </c>
      <c r="CH147" s="0" t="s">
        <v>240</v>
      </c>
      <c r="CI147" s="0" t="s">
        <v>240</v>
      </c>
      <c r="CJ147" s="0" t="s">
        <v>240</v>
      </c>
      <c r="CK147" s="0" t="s">
        <v>240</v>
      </c>
      <c r="CL147" s="0" t="s">
        <v>240</v>
      </c>
      <c r="CM147" s="0" t="s">
        <v>240</v>
      </c>
      <c r="CN147" s="0" t="s">
        <v>240</v>
      </c>
      <c r="CO147" s="0" t="s">
        <v>240</v>
      </c>
      <c r="CP147" s="0" t="s">
        <v>240</v>
      </c>
      <c r="CQ147" s="0" t="s">
        <v>240</v>
      </c>
      <c r="CR147" s="0" t="s">
        <v>240</v>
      </c>
      <c r="CS147" s="0" t="s">
        <v>240</v>
      </c>
      <c r="CT147" s="0" t="s">
        <v>5496</v>
      </c>
      <c r="CU147" s="0" t="s">
        <v>5497</v>
      </c>
      <c r="CV147" s="0" t="s">
        <v>443</v>
      </c>
      <c r="CW147" s="0" t="s">
        <v>5509</v>
      </c>
      <c r="CX147" s="0" t="s">
        <v>229</v>
      </c>
      <c r="CY147" s="0" t="s">
        <v>443</v>
      </c>
      <c r="CZ147" s="0" t="s">
        <v>5510</v>
      </c>
      <c r="DA147" s="0" t="s">
        <v>5511</v>
      </c>
      <c r="DB147" s="0" t="s">
        <v>5509</v>
      </c>
      <c r="DC147" s="0" t="s">
        <v>384</v>
      </c>
      <c r="DD147" s="0" t="s">
        <v>291</v>
      </c>
      <c r="DE147" s="0" t="s">
        <v>6233</v>
      </c>
    </row>
    <row customHeight="1" ht="11.25">
      <c r="A148" s="1441" t="s">
        <v>240</v>
      </c>
      <c r="B148" s="0" t="s">
        <v>240</v>
      </c>
      <c r="C148" s="0" t="s">
        <v>240</v>
      </c>
      <c r="D148" s="0" t="s">
        <v>240</v>
      </c>
      <c r="E148" s="0" t="s">
        <v>240</v>
      </c>
      <c r="F148" s="0" t="s">
        <v>240</v>
      </c>
      <c r="G148" s="0" t="s">
        <v>240</v>
      </c>
      <c r="H148" s="0" t="s">
        <v>240</v>
      </c>
      <c r="I148" s="0" t="s">
        <v>5484</v>
      </c>
      <c r="J148" s="0" t="s">
        <v>240</v>
      </c>
      <c r="K148" s="0" t="s">
        <v>240</v>
      </c>
      <c r="L148" s="0" t="s">
        <v>240</v>
      </c>
      <c r="M148" s="0" t="s">
        <v>240</v>
      </c>
      <c r="N148" s="0" t="s">
        <v>240</v>
      </c>
      <c r="O148" s="0" t="s">
        <v>240</v>
      </c>
      <c r="P148" s="0" t="s">
        <v>240</v>
      </c>
      <c r="Q148" s="0" t="s">
        <v>240</v>
      </c>
      <c r="R148" s="0" t="s">
        <v>6234</v>
      </c>
      <c r="S148" s="0" t="s">
        <v>240</v>
      </c>
      <c r="T148" s="0" t="s">
        <v>240</v>
      </c>
      <c r="U148" s="0" t="s">
        <v>102</v>
      </c>
      <c r="V148" s="0" t="s">
        <v>240</v>
      </c>
      <c r="W148" s="0" t="s">
        <v>240</v>
      </c>
      <c r="X148" s="0" t="s">
        <v>5585</v>
      </c>
      <c r="Y148" s="0" t="s">
        <v>240</v>
      </c>
      <c r="Z148" s="0" t="s">
        <v>152</v>
      </c>
      <c r="AA148" s="0" t="s">
        <v>152</v>
      </c>
      <c r="AB148" s="0" t="s">
        <v>161</v>
      </c>
      <c r="AC148" s="0" t="s">
        <v>2989</v>
      </c>
      <c r="AD148" s="0" t="s">
        <v>2989</v>
      </c>
      <c r="AE148" s="0" t="s">
        <v>2990</v>
      </c>
      <c r="AF148" s="0" t="s">
        <v>5975</v>
      </c>
      <c r="AG148" s="0" t="s">
        <v>5976</v>
      </c>
      <c r="AH148" s="0" t="s">
        <v>5575</v>
      </c>
      <c r="AI148" s="0" t="s">
        <v>5575</v>
      </c>
      <c r="AJ148" s="0" t="s">
        <v>240</v>
      </c>
      <c r="AK148" s="0" t="s">
        <v>240</v>
      </c>
      <c r="AL148" s="0" t="s">
        <v>240</v>
      </c>
      <c r="AM148" s="0" t="s">
        <v>240</v>
      </c>
      <c r="AN148" s="0" t="s">
        <v>240</v>
      </c>
      <c r="AO148" s="0" t="s">
        <v>240</v>
      </c>
      <c r="AP148" s="0" t="s">
        <v>240</v>
      </c>
      <c r="AQ148" s="0" t="s">
        <v>240</v>
      </c>
      <c r="AR148" s="0" t="s">
        <v>240</v>
      </c>
      <c r="AS148" s="0" t="s">
        <v>240</v>
      </c>
      <c r="AT148" s="0" t="s">
        <v>240</v>
      </c>
      <c r="AU148" s="0" t="s">
        <v>240</v>
      </c>
      <c r="AV148" s="0" t="s">
        <v>240</v>
      </c>
      <c r="AW148" s="0" t="s">
        <v>240</v>
      </c>
      <c r="AX148" s="0" t="s">
        <v>240</v>
      </c>
      <c r="AY148" s="0" t="s">
        <v>240</v>
      </c>
      <c r="AZ148" s="0" t="s">
        <v>240</v>
      </c>
      <c r="BA148" s="0" t="s">
        <v>240</v>
      </c>
      <c r="BB148" s="0" t="s">
        <v>240</v>
      </c>
      <c r="BC148" s="0" t="s">
        <v>240</v>
      </c>
      <c r="BD148" s="0" t="s">
        <v>240</v>
      </c>
      <c r="BE148" s="0" t="s">
        <v>5490</v>
      </c>
      <c r="BF148" s="0" t="s">
        <v>5490</v>
      </c>
      <c r="BG148" s="0" t="s">
        <v>112</v>
      </c>
      <c r="BH148" s="0" t="s">
        <v>5589</v>
      </c>
      <c r="BI148" s="0" t="s">
        <v>123</v>
      </c>
      <c r="BJ148" s="0" t="s">
        <v>240</v>
      </c>
      <c r="BK148" s="0" t="s">
        <v>5974</v>
      </c>
      <c r="BL148" s="0" t="s">
        <v>2989</v>
      </c>
      <c r="BM148" s="0" t="s">
        <v>2989</v>
      </c>
      <c r="BN148" s="0" t="s">
        <v>5798</v>
      </c>
      <c r="BO148" s="0" t="s">
        <v>5975</v>
      </c>
      <c r="BP148" s="0" t="s">
        <v>6162</v>
      </c>
      <c r="BQ148" s="0" t="s">
        <v>5575</v>
      </c>
      <c r="BR148" s="0" t="s">
        <v>5575</v>
      </c>
      <c r="BS148" s="0" t="s">
        <v>240</v>
      </c>
      <c r="BT148" s="0" t="s">
        <v>5650</v>
      </c>
      <c r="BU148" s="0" t="s">
        <v>6235</v>
      </c>
      <c r="BV148" s="0" t="s">
        <v>6235</v>
      </c>
      <c r="BW148" s="0" t="s">
        <v>5598</v>
      </c>
      <c r="BX148" s="0" t="s">
        <v>5598</v>
      </c>
      <c r="BY148" s="0" t="s">
        <v>5598</v>
      </c>
      <c r="BZ148" s="0" t="s">
        <v>5598</v>
      </c>
      <c r="CA148" s="0" t="s">
        <v>5598</v>
      </c>
      <c r="CB148" s="0" t="s">
        <v>240</v>
      </c>
      <c r="CC148" s="0" t="s">
        <v>240</v>
      </c>
      <c r="CD148" s="0" t="s">
        <v>240</v>
      </c>
      <c r="CE148" s="0" t="s">
        <v>240</v>
      </c>
      <c r="CF148" s="0" t="s">
        <v>240</v>
      </c>
      <c r="CG148" s="0" t="s">
        <v>5598</v>
      </c>
      <c r="CH148" s="0" t="s">
        <v>240</v>
      </c>
      <c r="CI148" s="0" t="s">
        <v>240</v>
      </c>
      <c r="CJ148" s="0" t="s">
        <v>240</v>
      </c>
      <c r="CK148" s="0" t="s">
        <v>240</v>
      </c>
      <c r="CL148" s="0" t="s">
        <v>240</v>
      </c>
      <c r="CM148" s="0" t="s">
        <v>6235</v>
      </c>
      <c r="CN148" s="0" t="s">
        <v>6235</v>
      </c>
      <c r="CO148" s="0" t="s">
        <v>240</v>
      </c>
      <c r="CP148" s="0" t="s">
        <v>240</v>
      </c>
      <c r="CQ148" s="0" t="s">
        <v>240</v>
      </c>
      <c r="CR148" s="0" t="s">
        <v>240</v>
      </c>
      <c r="CS148" s="0" t="s">
        <v>5491</v>
      </c>
      <c r="CT148" s="0" t="s">
        <v>5496</v>
      </c>
      <c r="CU148" s="0" t="s">
        <v>5497</v>
      </c>
      <c r="CV148" s="0" t="s">
        <v>443</v>
      </c>
      <c r="CW148" s="0" t="s">
        <v>5580</v>
      </c>
      <c r="CX148" s="0" t="s">
        <v>229</v>
      </c>
      <c r="CY148" s="0" t="s">
        <v>443</v>
      </c>
      <c r="CZ148" s="0" t="s">
        <v>5581</v>
      </c>
      <c r="DA148" s="0" t="s">
        <v>5582</v>
      </c>
      <c r="DB148" s="0" t="s">
        <v>5580</v>
      </c>
      <c r="DC148" s="0" t="s">
        <v>384</v>
      </c>
      <c r="DD148" s="0" t="s">
        <v>291</v>
      </c>
      <c r="DE148" s="0" t="s">
        <v>6236</v>
      </c>
    </row>
    <row customHeight="1" ht="11.25">
      <c r="A149" s="1441" t="s">
        <v>240</v>
      </c>
      <c r="B149" s="0" t="s">
        <v>240</v>
      </c>
      <c r="C149" s="0" t="s">
        <v>240</v>
      </c>
      <c r="D149" s="0" t="s">
        <v>240</v>
      </c>
      <c r="E149" s="0" t="s">
        <v>240</v>
      </c>
      <c r="F149" s="0" t="s">
        <v>240</v>
      </c>
      <c r="G149" s="0" t="s">
        <v>240</v>
      </c>
      <c r="H149" s="0" t="s">
        <v>240</v>
      </c>
      <c r="I149" s="0" t="s">
        <v>5484</v>
      </c>
      <c r="J149" s="0" t="s">
        <v>240</v>
      </c>
      <c r="K149" s="0" t="s">
        <v>240</v>
      </c>
      <c r="L149" s="0" t="s">
        <v>240</v>
      </c>
      <c r="M149" s="0" t="s">
        <v>240</v>
      </c>
      <c r="N149" s="0" t="s">
        <v>240</v>
      </c>
      <c r="O149" s="0" t="s">
        <v>240</v>
      </c>
      <c r="P149" s="0" t="s">
        <v>240</v>
      </c>
      <c r="Q149" s="0" t="s">
        <v>240</v>
      </c>
      <c r="R149" s="0" t="s">
        <v>5572</v>
      </c>
      <c r="S149" s="0" t="s">
        <v>240</v>
      </c>
      <c r="T149" s="0" t="s">
        <v>240</v>
      </c>
      <c r="U149" s="0" t="s">
        <v>102</v>
      </c>
      <c r="V149" s="0" t="s">
        <v>240</v>
      </c>
      <c r="W149" s="0" t="s">
        <v>240</v>
      </c>
      <c r="X149" s="0" t="s">
        <v>5485</v>
      </c>
      <c r="Y149" s="0" t="s">
        <v>240</v>
      </c>
      <c r="Z149" s="0" t="s">
        <v>161</v>
      </c>
      <c r="AA149" s="0" t="s">
        <v>152</v>
      </c>
      <c r="AB149" s="0" t="s">
        <v>152</v>
      </c>
      <c r="AC149" s="0" t="s">
        <v>2989</v>
      </c>
      <c r="AD149" s="0" t="s">
        <v>2989</v>
      </c>
      <c r="AE149" s="0" t="s">
        <v>2990</v>
      </c>
      <c r="AF149" s="0" t="s">
        <v>6237</v>
      </c>
      <c r="AG149" s="0" t="s">
        <v>6238</v>
      </c>
      <c r="AH149" s="0" t="s">
        <v>6239</v>
      </c>
      <c r="AI149" s="0" t="s">
        <v>5575</v>
      </c>
      <c r="AJ149" s="0" t="s">
        <v>5576</v>
      </c>
      <c r="AK149" s="0" t="s">
        <v>6131</v>
      </c>
      <c r="AL149" s="0" t="s">
        <v>5506</v>
      </c>
      <c r="AM149" s="0" t="s">
        <v>5493</v>
      </c>
      <c r="AN149" s="0" t="s">
        <v>5578</v>
      </c>
      <c r="AO149" s="0" t="s">
        <v>5777</v>
      </c>
      <c r="AP149" s="0" t="s">
        <v>240</v>
      </c>
      <c r="AQ149" s="0" t="s">
        <v>240</v>
      </c>
      <c r="AR149" s="0" t="s">
        <v>240</v>
      </c>
      <c r="AS149" s="0" t="s">
        <v>240</v>
      </c>
      <c r="AT149" s="0" t="s">
        <v>240</v>
      </c>
      <c r="AU149" s="0" t="s">
        <v>240</v>
      </c>
      <c r="AV149" s="0" t="s">
        <v>240</v>
      </c>
      <c r="AW149" s="0" t="s">
        <v>240</v>
      </c>
      <c r="AX149" s="0" t="s">
        <v>240</v>
      </c>
      <c r="AY149" s="0" t="s">
        <v>240</v>
      </c>
      <c r="AZ149" s="0" t="s">
        <v>240</v>
      </c>
      <c r="BA149" s="0" t="s">
        <v>240</v>
      </c>
      <c r="BB149" s="0" t="s">
        <v>240</v>
      </c>
      <c r="BC149" s="0" t="s">
        <v>240</v>
      </c>
      <c r="BD149" s="0" t="s">
        <v>240</v>
      </c>
      <c r="BE149" s="0" t="s">
        <v>240</v>
      </c>
      <c r="BF149" s="0" t="s">
        <v>240</v>
      </c>
      <c r="BG149" s="0" t="s">
        <v>240</v>
      </c>
      <c r="BH149" s="0" t="s">
        <v>240</v>
      </c>
      <c r="BI149" s="0" t="s">
        <v>240</v>
      </c>
      <c r="BJ149" s="0" t="s">
        <v>240</v>
      </c>
      <c r="BK149" s="0" t="s">
        <v>240</v>
      </c>
      <c r="BL149" s="0" t="s">
        <v>240</v>
      </c>
      <c r="BM149" s="0" t="s">
        <v>240</v>
      </c>
      <c r="BN149" s="0" t="s">
        <v>240</v>
      </c>
      <c r="BO149" s="0" t="s">
        <v>240</v>
      </c>
      <c r="BP149" s="0" t="s">
        <v>240</v>
      </c>
      <c r="BQ149" s="0" t="s">
        <v>240</v>
      </c>
      <c r="BR149" s="0" t="s">
        <v>240</v>
      </c>
      <c r="BS149" s="0" t="s">
        <v>240</v>
      </c>
      <c r="BT149" s="0" t="s">
        <v>240</v>
      </c>
      <c r="BU149" s="0" t="s">
        <v>240</v>
      </c>
      <c r="BV149" s="0" t="s">
        <v>240</v>
      </c>
      <c r="BW149" s="0" t="s">
        <v>240</v>
      </c>
      <c r="BX149" s="0" t="s">
        <v>240</v>
      </c>
      <c r="BY149" s="0" t="s">
        <v>240</v>
      </c>
      <c r="BZ149" s="0" t="s">
        <v>240</v>
      </c>
      <c r="CA149" s="0" t="s">
        <v>240</v>
      </c>
      <c r="CB149" s="0" t="s">
        <v>240</v>
      </c>
      <c r="CC149" s="0" t="s">
        <v>240</v>
      </c>
      <c r="CD149" s="0" t="s">
        <v>240</v>
      </c>
      <c r="CE149" s="0" t="s">
        <v>240</v>
      </c>
      <c r="CF149" s="0" t="s">
        <v>240</v>
      </c>
      <c r="CG149" s="0" t="s">
        <v>240</v>
      </c>
      <c r="CH149" s="0" t="s">
        <v>240</v>
      </c>
      <c r="CI149" s="0" t="s">
        <v>240</v>
      </c>
      <c r="CJ149" s="0" t="s">
        <v>240</v>
      </c>
      <c r="CK149" s="0" t="s">
        <v>240</v>
      </c>
      <c r="CL149" s="0" t="s">
        <v>240</v>
      </c>
      <c r="CM149" s="0" t="s">
        <v>240</v>
      </c>
      <c r="CN149" s="0" t="s">
        <v>240</v>
      </c>
      <c r="CO149" s="0" t="s">
        <v>240</v>
      </c>
      <c r="CP149" s="0" t="s">
        <v>240</v>
      </c>
      <c r="CQ149" s="0" t="s">
        <v>240</v>
      </c>
      <c r="CR149" s="0" t="s">
        <v>240</v>
      </c>
      <c r="CS149" s="0" t="s">
        <v>240</v>
      </c>
      <c r="CT149" s="0" t="s">
        <v>5496</v>
      </c>
      <c r="CU149" s="0" t="s">
        <v>5497</v>
      </c>
      <c r="CV149" s="0" t="s">
        <v>443</v>
      </c>
      <c r="CW149" s="0" t="s">
        <v>5580</v>
      </c>
      <c r="CX149" s="0" t="s">
        <v>229</v>
      </c>
      <c r="CY149" s="0" t="s">
        <v>443</v>
      </c>
      <c r="CZ149" s="0" t="s">
        <v>5581</v>
      </c>
      <c r="DA149" s="0" t="s">
        <v>5582</v>
      </c>
      <c r="DB149" s="0" t="s">
        <v>5580</v>
      </c>
      <c r="DC149" s="0" t="s">
        <v>384</v>
      </c>
      <c r="DD149" s="0" t="s">
        <v>291</v>
      </c>
      <c r="DE149" s="0" t="s">
        <v>6240</v>
      </c>
    </row>
    <row customHeight="1" ht="11.25">
      <c r="A150" s="1441" t="s">
        <v>240</v>
      </c>
      <c r="B150" s="0" t="s">
        <v>240</v>
      </c>
      <c r="C150" s="0" t="s">
        <v>240</v>
      </c>
      <c r="D150" s="0" t="s">
        <v>240</v>
      </c>
      <c r="E150" s="0" t="s">
        <v>240</v>
      </c>
      <c r="F150" s="0" t="s">
        <v>240</v>
      </c>
      <c r="G150" s="0" t="s">
        <v>240</v>
      </c>
      <c r="H150" s="0" t="s">
        <v>240</v>
      </c>
      <c r="I150" s="0" t="s">
        <v>5484</v>
      </c>
      <c r="J150" s="0" t="s">
        <v>240</v>
      </c>
      <c r="K150" s="0" t="s">
        <v>240</v>
      </c>
      <c r="L150" s="0" t="s">
        <v>240</v>
      </c>
      <c r="M150" s="0" t="s">
        <v>240</v>
      </c>
      <c r="N150" s="0" t="s">
        <v>240</v>
      </c>
      <c r="O150" s="0" t="s">
        <v>240</v>
      </c>
      <c r="P150" s="0" t="s">
        <v>240</v>
      </c>
      <c r="Q150" s="0" t="s">
        <v>240</v>
      </c>
      <c r="R150" s="0" t="s">
        <v>6241</v>
      </c>
      <c r="S150" s="0" t="s">
        <v>240</v>
      </c>
      <c r="T150" s="0" t="s">
        <v>240</v>
      </c>
      <c r="U150" s="0" t="s">
        <v>102</v>
      </c>
      <c r="V150" s="0" t="s">
        <v>240</v>
      </c>
      <c r="W150" s="0" t="s">
        <v>240</v>
      </c>
      <c r="X150" s="0" t="s">
        <v>5585</v>
      </c>
      <c r="Y150" s="0" t="s">
        <v>240</v>
      </c>
      <c r="Z150" s="0" t="s">
        <v>152</v>
      </c>
      <c r="AA150" s="0" t="s">
        <v>152</v>
      </c>
      <c r="AB150" s="0" t="s">
        <v>161</v>
      </c>
      <c r="AC150" s="0" t="s">
        <v>2989</v>
      </c>
      <c r="AD150" s="0" t="s">
        <v>2989</v>
      </c>
      <c r="AE150" s="0" t="s">
        <v>2990</v>
      </c>
      <c r="AF150" s="0" t="s">
        <v>6237</v>
      </c>
      <c r="AG150" s="0" t="s">
        <v>6238</v>
      </c>
      <c r="AH150" s="0" t="s">
        <v>5575</v>
      </c>
      <c r="AI150" s="0" t="s">
        <v>5575</v>
      </c>
      <c r="AJ150" s="0" t="s">
        <v>240</v>
      </c>
      <c r="AK150" s="0" t="s">
        <v>240</v>
      </c>
      <c r="AL150" s="0" t="s">
        <v>240</v>
      </c>
      <c r="AM150" s="0" t="s">
        <v>240</v>
      </c>
      <c r="AN150" s="0" t="s">
        <v>240</v>
      </c>
      <c r="AO150" s="0" t="s">
        <v>240</v>
      </c>
      <c r="AP150" s="0" t="s">
        <v>240</v>
      </c>
      <c r="AQ150" s="0" t="s">
        <v>240</v>
      </c>
      <c r="AR150" s="0" t="s">
        <v>240</v>
      </c>
      <c r="AS150" s="0" t="s">
        <v>240</v>
      </c>
      <c r="AT150" s="0" t="s">
        <v>240</v>
      </c>
      <c r="AU150" s="0" t="s">
        <v>240</v>
      </c>
      <c r="AV150" s="0" t="s">
        <v>240</v>
      </c>
      <c r="AW150" s="0" t="s">
        <v>240</v>
      </c>
      <c r="AX150" s="0" t="s">
        <v>240</v>
      </c>
      <c r="AY150" s="0" t="s">
        <v>240</v>
      </c>
      <c r="AZ150" s="0" t="s">
        <v>240</v>
      </c>
      <c r="BA150" s="0" t="s">
        <v>240</v>
      </c>
      <c r="BB150" s="0" t="s">
        <v>240</v>
      </c>
      <c r="BC150" s="0" t="s">
        <v>240</v>
      </c>
      <c r="BD150" s="0" t="s">
        <v>240</v>
      </c>
      <c r="BE150" s="0" t="s">
        <v>5576</v>
      </c>
      <c r="BF150" s="0" t="s">
        <v>6131</v>
      </c>
      <c r="BG150" s="0" t="s">
        <v>112</v>
      </c>
      <c r="BH150" s="0" t="s">
        <v>5589</v>
      </c>
      <c r="BI150" s="0" t="s">
        <v>123</v>
      </c>
      <c r="BJ150" s="0" t="s">
        <v>240</v>
      </c>
      <c r="BK150" s="0" t="s">
        <v>5608</v>
      </c>
      <c r="BL150" s="0" t="s">
        <v>2989</v>
      </c>
      <c r="BM150" s="0" t="s">
        <v>2989</v>
      </c>
      <c r="BN150" s="0" t="s">
        <v>5798</v>
      </c>
      <c r="BO150" s="0" t="s">
        <v>6237</v>
      </c>
      <c r="BP150" s="0" t="s">
        <v>6242</v>
      </c>
      <c r="BQ150" s="0" t="s">
        <v>5575</v>
      </c>
      <c r="BR150" s="0" t="s">
        <v>5575</v>
      </c>
      <c r="BS150" s="0" t="s">
        <v>240</v>
      </c>
      <c r="BT150" s="0" t="s">
        <v>5650</v>
      </c>
      <c r="BU150" s="0" t="s">
        <v>6243</v>
      </c>
      <c r="BV150" s="0" t="s">
        <v>6243</v>
      </c>
      <c r="BW150" s="0" t="s">
        <v>5598</v>
      </c>
      <c r="BX150" s="0" t="s">
        <v>5598</v>
      </c>
      <c r="BY150" s="0" t="s">
        <v>5598</v>
      </c>
      <c r="BZ150" s="0" t="s">
        <v>5598</v>
      </c>
      <c r="CA150" s="0" t="s">
        <v>5598</v>
      </c>
      <c r="CB150" s="0" t="s">
        <v>240</v>
      </c>
      <c r="CC150" s="0" t="s">
        <v>240</v>
      </c>
      <c r="CD150" s="0" t="s">
        <v>240</v>
      </c>
      <c r="CE150" s="0" t="s">
        <v>240</v>
      </c>
      <c r="CF150" s="0" t="s">
        <v>240</v>
      </c>
      <c r="CG150" s="0" t="s">
        <v>5598</v>
      </c>
      <c r="CH150" s="0" t="s">
        <v>240</v>
      </c>
      <c r="CI150" s="0" t="s">
        <v>240</v>
      </c>
      <c r="CJ150" s="0" t="s">
        <v>240</v>
      </c>
      <c r="CK150" s="0" t="s">
        <v>240</v>
      </c>
      <c r="CL150" s="0" t="s">
        <v>240</v>
      </c>
      <c r="CM150" s="0" t="s">
        <v>6243</v>
      </c>
      <c r="CN150" s="0" t="s">
        <v>6243</v>
      </c>
      <c r="CO150" s="0" t="s">
        <v>240</v>
      </c>
      <c r="CP150" s="0" t="s">
        <v>240</v>
      </c>
      <c r="CQ150" s="0" t="s">
        <v>240</v>
      </c>
      <c r="CR150" s="0" t="s">
        <v>240</v>
      </c>
      <c r="CS150" s="0" t="s">
        <v>5491</v>
      </c>
      <c r="CT150" s="0" t="s">
        <v>5496</v>
      </c>
      <c r="CU150" s="0" t="s">
        <v>5497</v>
      </c>
      <c r="CV150" s="0" t="s">
        <v>443</v>
      </c>
      <c r="CW150" s="0" t="s">
        <v>5580</v>
      </c>
      <c r="CX150" s="0" t="s">
        <v>229</v>
      </c>
      <c r="CY150" s="0" t="s">
        <v>443</v>
      </c>
      <c r="CZ150" s="0" t="s">
        <v>5581</v>
      </c>
      <c r="DA150" s="0" t="s">
        <v>5582</v>
      </c>
      <c r="DB150" s="0" t="s">
        <v>5580</v>
      </c>
      <c r="DC150" s="0" t="s">
        <v>384</v>
      </c>
      <c r="DD150" s="0" t="s">
        <v>291</v>
      </c>
      <c r="DE150" s="0" t="s">
        <v>6244</v>
      </c>
    </row>
    <row customHeight="1" ht="11.25">
      <c r="A151" s="1441" t="s">
        <v>240</v>
      </c>
      <c r="B151" s="0" t="s">
        <v>240</v>
      </c>
      <c r="C151" s="0" t="s">
        <v>240</v>
      </c>
      <c r="D151" s="0" t="s">
        <v>240</v>
      </c>
      <c r="E151" s="0" t="s">
        <v>240</v>
      </c>
      <c r="F151" s="0" t="s">
        <v>240</v>
      </c>
      <c r="G151" s="0" t="s">
        <v>240</v>
      </c>
      <c r="H151" s="0" t="s">
        <v>240</v>
      </c>
      <c r="I151" s="0" t="s">
        <v>5484</v>
      </c>
      <c r="J151" s="0" t="s">
        <v>240</v>
      </c>
      <c r="K151" s="0" t="s">
        <v>240</v>
      </c>
      <c r="L151" s="0" t="s">
        <v>240</v>
      </c>
      <c r="M151" s="0" t="s">
        <v>240</v>
      </c>
      <c r="N151" s="0" t="s">
        <v>240</v>
      </c>
      <c r="O151" s="0" t="s">
        <v>240</v>
      </c>
      <c r="P151" s="0" t="s">
        <v>240</v>
      </c>
      <c r="Q151" s="0" t="s">
        <v>240</v>
      </c>
      <c r="R151" s="0" t="s">
        <v>5572</v>
      </c>
      <c r="S151" s="0" t="s">
        <v>240</v>
      </c>
      <c r="T151" s="0" t="s">
        <v>240</v>
      </c>
      <c r="U151" s="0" t="s">
        <v>102</v>
      </c>
      <c r="V151" s="0" t="s">
        <v>240</v>
      </c>
      <c r="W151" s="0" t="s">
        <v>240</v>
      </c>
      <c r="X151" s="0" t="s">
        <v>5485</v>
      </c>
      <c r="Y151" s="0" t="s">
        <v>240</v>
      </c>
      <c r="Z151" s="0" t="s">
        <v>161</v>
      </c>
      <c r="AA151" s="0" t="s">
        <v>152</v>
      </c>
      <c r="AB151" s="0" t="s">
        <v>152</v>
      </c>
      <c r="AC151" s="0" t="s">
        <v>2989</v>
      </c>
      <c r="AD151" s="0" t="s">
        <v>2989</v>
      </c>
      <c r="AE151" s="0" t="s">
        <v>2990</v>
      </c>
      <c r="AF151" s="0" t="s">
        <v>6245</v>
      </c>
      <c r="AG151" s="0" t="s">
        <v>6246</v>
      </c>
      <c r="AH151" s="0" t="s">
        <v>5984</v>
      </c>
      <c r="AI151" s="0" t="s">
        <v>6247</v>
      </c>
      <c r="AJ151" s="0" t="s">
        <v>5576</v>
      </c>
      <c r="AK151" s="0" t="s">
        <v>6100</v>
      </c>
      <c r="AL151" s="0" t="s">
        <v>5506</v>
      </c>
      <c r="AM151" s="0" t="s">
        <v>5493</v>
      </c>
      <c r="AN151" s="0" t="s">
        <v>5578</v>
      </c>
      <c r="AO151" s="0" t="s">
        <v>5625</v>
      </c>
      <c r="AP151" s="0" t="s">
        <v>240</v>
      </c>
      <c r="AQ151" s="0" t="s">
        <v>240</v>
      </c>
      <c r="AR151" s="0" t="s">
        <v>240</v>
      </c>
      <c r="AS151" s="0" t="s">
        <v>240</v>
      </c>
      <c r="AT151" s="0" t="s">
        <v>240</v>
      </c>
      <c r="AU151" s="0" t="s">
        <v>240</v>
      </c>
      <c r="AV151" s="0" t="s">
        <v>240</v>
      </c>
      <c r="AW151" s="0" t="s">
        <v>240</v>
      </c>
      <c r="AX151" s="0" t="s">
        <v>240</v>
      </c>
      <c r="AY151" s="0" t="s">
        <v>240</v>
      </c>
      <c r="AZ151" s="0" t="s">
        <v>240</v>
      </c>
      <c r="BA151" s="0" t="s">
        <v>240</v>
      </c>
      <c r="BB151" s="0" t="s">
        <v>240</v>
      </c>
      <c r="BC151" s="0" t="s">
        <v>240</v>
      </c>
      <c r="BD151" s="0" t="s">
        <v>240</v>
      </c>
      <c r="BE151" s="0" t="s">
        <v>240</v>
      </c>
      <c r="BF151" s="0" t="s">
        <v>240</v>
      </c>
      <c r="BG151" s="0" t="s">
        <v>240</v>
      </c>
      <c r="BH151" s="0" t="s">
        <v>240</v>
      </c>
      <c r="BI151" s="0" t="s">
        <v>240</v>
      </c>
      <c r="BJ151" s="0" t="s">
        <v>240</v>
      </c>
      <c r="BK151" s="0" t="s">
        <v>240</v>
      </c>
      <c r="BL151" s="0" t="s">
        <v>240</v>
      </c>
      <c r="BM151" s="0" t="s">
        <v>240</v>
      </c>
      <c r="BN151" s="0" t="s">
        <v>240</v>
      </c>
      <c r="BO151" s="0" t="s">
        <v>240</v>
      </c>
      <c r="BP151" s="0" t="s">
        <v>240</v>
      </c>
      <c r="BQ151" s="0" t="s">
        <v>240</v>
      </c>
      <c r="BR151" s="0" t="s">
        <v>240</v>
      </c>
      <c r="BS151" s="0" t="s">
        <v>240</v>
      </c>
      <c r="BT151" s="0" t="s">
        <v>240</v>
      </c>
      <c r="BU151" s="0" t="s">
        <v>240</v>
      </c>
      <c r="BV151" s="0" t="s">
        <v>240</v>
      </c>
      <c r="BW151" s="0" t="s">
        <v>240</v>
      </c>
      <c r="BX151" s="0" t="s">
        <v>240</v>
      </c>
      <c r="BY151" s="0" t="s">
        <v>240</v>
      </c>
      <c r="BZ151" s="0" t="s">
        <v>240</v>
      </c>
      <c r="CA151" s="0" t="s">
        <v>240</v>
      </c>
      <c r="CB151" s="0" t="s">
        <v>240</v>
      </c>
      <c r="CC151" s="0" t="s">
        <v>240</v>
      </c>
      <c r="CD151" s="0" t="s">
        <v>240</v>
      </c>
      <c r="CE151" s="0" t="s">
        <v>240</v>
      </c>
      <c r="CF151" s="0" t="s">
        <v>240</v>
      </c>
      <c r="CG151" s="0" t="s">
        <v>240</v>
      </c>
      <c r="CH151" s="0" t="s">
        <v>240</v>
      </c>
      <c r="CI151" s="0" t="s">
        <v>240</v>
      </c>
      <c r="CJ151" s="0" t="s">
        <v>240</v>
      </c>
      <c r="CK151" s="0" t="s">
        <v>240</v>
      </c>
      <c r="CL151" s="0" t="s">
        <v>240</v>
      </c>
      <c r="CM151" s="0" t="s">
        <v>240</v>
      </c>
      <c r="CN151" s="0" t="s">
        <v>240</v>
      </c>
      <c r="CO151" s="0" t="s">
        <v>240</v>
      </c>
      <c r="CP151" s="0" t="s">
        <v>240</v>
      </c>
      <c r="CQ151" s="0" t="s">
        <v>240</v>
      </c>
      <c r="CR151" s="0" t="s">
        <v>240</v>
      </c>
      <c r="CS151" s="0" t="s">
        <v>240</v>
      </c>
      <c r="CT151" s="0" t="s">
        <v>5496</v>
      </c>
      <c r="CU151" s="0" t="s">
        <v>5497</v>
      </c>
      <c r="CV151" s="0" t="s">
        <v>443</v>
      </c>
      <c r="CW151" s="0" t="s">
        <v>5580</v>
      </c>
      <c r="CX151" s="0" t="s">
        <v>229</v>
      </c>
      <c r="CY151" s="0" t="s">
        <v>443</v>
      </c>
      <c r="CZ151" s="0" t="s">
        <v>5581</v>
      </c>
      <c r="DA151" s="0" t="s">
        <v>5582</v>
      </c>
      <c r="DB151" s="0" t="s">
        <v>5580</v>
      </c>
      <c r="DC151" s="0" t="s">
        <v>384</v>
      </c>
      <c r="DD151" s="0" t="s">
        <v>291</v>
      </c>
      <c r="DE151" s="0" t="s">
        <v>6248</v>
      </c>
    </row>
    <row customHeight="1" ht="11.25">
      <c r="A152" s="1441" t="s">
        <v>240</v>
      </c>
      <c r="B152" s="0" t="s">
        <v>240</v>
      </c>
      <c r="C152" s="0" t="s">
        <v>240</v>
      </c>
      <c r="D152" s="0" t="s">
        <v>240</v>
      </c>
      <c r="E152" s="0" t="s">
        <v>240</v>
      </c>
      <c r="F152" s="0" t="s">
        <v>240</v>
      </c>
      <c r="G152" s="0" t="s">
        <v>240</v>
      </c>
      <c r="H152" s="0" t="s">
        <v>240</v>
      </c>
      <c r="I152" s="0" t="s">
        <v>5484</v>
      </c>
      <c r="J152" s="0" t="s">
        <v>240</v>
      </c>
      <c r="K152" s="0" t="s">
        <v>240</v>
      </c>
      <c r="L152" s="0" t="s">
        <v>240</v>
      </c>
      <c r="M152" s="0" t="s">
        <v>240</v>
      </c>
      <c r="N152" s="0" t="s">
        <v>240</v>
      </c>
      <c r="O152" s="0" t="s">
        <v>240</v>
      </c>
      <c r="P152" s="0" t="s">
        <v>240</v>
      </c>
      <c r="Q152" s="0" t="s">
        <v>240</v>
      </c>
      <c r="R152" s="0" t="s">
        <v>6249</v>
      </c>
      <c r="S152" s="0" t="s">
        <v>240</v>
      </c>
      <c r="T152" s="0" t="s">
        <v>240</v>
      </c>
      <c r="U152" s="0" t="s">
        <v>102</v>
      </c>
      <c r="V152" s="0" t="s">
        <v>240</v>
      </c>
      <c r="W152" s="0" t="s">
        <v>240</v>
      </c>
      <c r="X152" s="0" t="s">
        <v>5585</v>
      </c>
      <c r="Y152" s="0" t="s">
        <v>240</v>
      </c>
      <c r="Z152" s="0" t="s">
        <v>152</v>
      </c>
      <c r="AA152" s="0" t="s">
        <v>152</v>
      </c>
      <c r="AB152" s="0" t="s">
        <v>161</v>
      </c>
      <c r="AC152" s="0" t="s">
        <v>3395</v>
      </c>
      <c r="AD152" s="0" t="s">
        <v>3395</v>
      </c>
      <c r="AE152" s="0" t="s">
        <v>3396</v>
      </c>
      <c r="AF152" s="0" t="s">
        <v>5941</v>
      </c>
      <c r="AG152" s="0" t="s">
        <v>5942</v>
      </c>
      <c r="AH152" s="0" t="s">
        <v>6063</v>
      </c>
      <c r="AI152" s="0" t="s">
        <v>152</v>
      </c>
      <c r="AJ152" s="0" t="s">
        <v>240</v>
      </c>
      <c r="AK152" s="0" t="s">
        <v>240</v>
      </c>
      <c r="AL152" s="0" t="s">
        <v>240</v>
      </c>
      <c r="AM152" s="0" t="s">
        <v>240</v>
      </c>
      <c r="AN152" s="0" t="s">
        <v>240</v>
      </c>
      <c r="AO152" s="0" t="s">
        <v>240</v>
      </c>
      <c r="AP152" s="0" t="s">
        <v>240</v>
      </c>
      <c r="AQ152" s="0" t="s">
        <v>240</v>
      </c>
      <c r="AR152" s="0" t="s">
        <v>240</v>
      </c>
      <c r="AS152" s="0" t="s">
        <v>240</v>
      </c>
      <c r="AT152" s="0" t="s">
        <v>240</v>
      </c>
      <c r="AU152" s="0" t="s">
        <v>240</v>
      </c>
      <c r="AV152" s="0" t="s">
        <v>240</v>
      </c>
      <c r="AW152" s="0" t="s">
        <v>240</v>
      </c>
      <c r="AX152" s="0" t="s">
        <v>240</v>
      </c>
      <c r="AY152" s="0" t="s">
        <v>240</v>
      </c>
      <c r="AZ152" s="0" t="s">
        <v>240</v>
      </c>
      <c r="BA152" s="0" t="s">
        <v>240</v>
      </c>
      <c r="BB152" s="0" t="s">
        <v>240</v>
      </c>
      <c r="BC152" s="0" t="s">
        <v>240</v>
      </c>
      <c r="BD152" s="0" t="s">
        <v>240</v>
      </c>
      <c r="BE152" s="0" t="s">
        <v>6250</v>
      </c>
      <c r="BF152" s="0" t="s">
        <v>6251</v>
      </c>
      <c r="BG152" s="0" t="s">
        <v>112</v>
      </c>
      <c r="BH152" s="0" t="s">
        <v>5589</v>
      </c>
      <c r="BI152" s="0" t="s">
        <v>123</v>
      </c>
      <c r="BJ152" s="0" t="s">
        <v>240</v>
      </c>
      <c r="BK152" s="0" t="s">
        <v>6252</v>
      </c>
      <c r="BL152" s="0" t="s">
        <v>3395</v>
      </c>
      <c r="BM152" s="0" t="s">
        <v>3395</v>
      </c>
      <c r="BN152" s="0" t="s">
        <v>6066</v>
      </c>
      <c r="BO152" s="0" t="s">
        <v>5941</v>
      </c>
      <c r="BP152" s="0" t="s">
        <v>6067</v>
      </c>
      <c r="BQ152" s="0" t="s">
        <v>6253</v>
      </c>
      <c r="BR152" s="0" t="s">
        <v>152</v>
      </c>
      <c r="BS152" s="0" t="s">
        <v>240</v>
      </c>
      <c r="BT152" s="0" t="s">
        <v>5594</v>
      </c>
      <c r="BU152" s="0" t="s">
        <v>6254</v>
      </c>
      <c r="BV152" s="0" t="s">
        <v>6254</v>
      </c>
      <c r="BW152" s="0" t="s">
        <v>5598</v>
      </c>
      <c r="BX152" s="0" t="s">
        <v>5598</v>
      </c>
      <c r="BY152" s="0" t="s">
        <v>5598</v>
      </c>
      <c r="BZ152" s="0" t="s">
        <v>5598</v>
      </c>
      <c r="CA152" s="0" t="s">
        <v>5598</v>
      </c>
      <c r="CB152" s="0" t="s">
        <v>5598</v>
      </c>
      <c r="CC152" s="0" t="s">
        <v>5598</v>
      </c>
      <c r="CD152" s="0" t="s">
        <v>5598</v>
      </c>
      <c r="CE152" s="0" t="s">
        <v>5598</v>
      </c>
      <c r="CF152" s="0" t="s">
        <v>5598</v>
      </c>
      <c r="CG152" s="0" t="s">
        <v>5598</v>
      </c>
      <c r="CH152" s="0" t="s">
        <v>5598</v>
      </c>
      <c r="CI152" s="0" t="s">
        <v>5598</v>
      </c>
      <c r="CJ152" s="0" t="s">
        <v>5598</v>
      </c>
      <c r="CK152" s="0" t="s">
        <v>5598</v>
      </c>
      <c r="CL152" s="0" t="s">
        <v>5598</v>
      </c>
      <c r="CM152" s="0" t="s">
        <v>6254</v>
      </c>
      <c r="CN152" s="0" t="s">
        <v>6254</v>
      </c>
      <c r="CO152" s="0" t="s">
        <v>5598</v>
      </c>
      <c r="CP152" s="0" t="s">
        <v>5598</v>
      </c>
      <c r="CQ152" s="0" t="s">
        <v>5598</v>
      </c>
      <c r="CR152" s="0" t="s">
        <v>5598</v>
      </c>
      <c r="CS152" s="0" t="s">
        <v>6255</v>
      </c>
      <c r="CT152" s="0" t="s">
        <v>5496</v>
      </c>
      <c r="CU152" s="0" t="s">
        <v>5497</v>
      </c>
      <c r="CV152" s="0" t="s">
        <v>5947</v>
      </c>
      <c r="CW152" s="0" t="s">
        <v>5948</v>
      </c>
      <c r="CX152" s="0" t="s">
        <v>5528</v>
      </c>
      <c r="CY152" s="0" t="s">
        <v>5947</v>
      </c>
      <c r="CZ152" s="0" t="s">
        <v>5533</v>
      </c>
      <c r="DA152" s="0" t="s">
        <v>5949</v>
      </c>
      <c r="DB152" s="0" t="s">
        <v>5600</v>
      </c>
      <c r="DC152" s="0" t="s">
        <v>384</v>
      </c>
      <c r="DD152" s="0" t="s">
        <v>291</v>
      </c>
      <c r="DE152" s="0" t="s">
        <v>6073</v>
      </c>
    </row>
    <row customHeight="1" ht="11.25">
      <c r="A153" s="1441" t="s">
        <v>240</v>
      </c>
      <c r="B153" s="0" t="s">
        <v>240</v>
      </c>
      <c r="C153" s="0" t="s">
        <v>240</v>
      </c>
      <c r="D153" s="0" t="s">
        <v>240</v>
      </c>
      <c r="E153" s="0" t="s">
        <v>240</v>
      </c>
      <c r="F153" s="0" t="s">
        <v>240</v>
      </c>
      <c r="G153" s="0" t="s">
        <v>240</v>
      </c>
      <c r="H153" s="0" t="s">
        <v>240</v>
      </c>
      <c r="I153" s="0" t="s">
        <v>5484</v>
      </c>
      <c r="J153" s="0" t="s">
        <v>240</v>
      </c>
      <c r="K153" s="0" t="s">
        <v>240</v>
      </c>
      <c r="L153" s="0" t="s">
        <v>240</v>
      </c>
      <c r="M153" s="0" t="s">
        <v>240</v>
      </c>
      <c r="N153" s="0" t="s">
        <v>240</v>
      </c>
      <c r="O153" s="0" t="s">
        <v>240</v>
      </c>
      <c r="P153" s="0" t="s">
        <v>240</v>
      </c>
      <c r="Q153" s="0" t="s">
        <v>240</v>
      </c>
      <c r="R153" s="0" t="s">
        <v>5572</v>
      </c>
      <c r="S153" s="0" t="s">
        <v>240</v>
      </c>
      <c r="T153" s="0" t="s">
        <v>240</v>
      </c>
      <c r="U153" s="0" t="s">
        <v>102</v>
      </c>
      <c r="V153" s="0" t="s">
        <v>240</v>
      </c>
      <c r="W153" s="0" t="s">
        <v>240</v>
      </c>
      <c r="X153" s="0" t="s">
        <v>5485</v>
      </c>
      <c r="Y153" s="0" t="s">
        <v>240</v>
      </c>
      <c r="Z153" s="0" t="s">
        <v>161</v>
      </c>
      <c r="AA153" s="0" t="s">
        <v>152</v>
      </c>
      <c r="AB153" s="0" t="s">
        <v>152</v>
      </c>
      <c r="AC153" s="0" t="s">
        <v>2989</v>
      </c>
      <c r="AD153" s="0" t="s">
        <v>2989</v>
      </c>
      <c r="AE153" s="0" t="s">
        <v>2990</v>
      </c>
      <c r="AF153" s="0" t="s">
        <v>6256</v>
      </c>
      <c r="AG153" s="0" t="s">
        <v>6257</v>
      </c>
      <c r="AH153" s="0" t="s">
        <v>6258</v>
      </c>
      <c r="AI153" s="0" t="s">
        <v>6259</v>
      </c>
      <c r="AJ153" s="0" t="s">
        <v>5576</v>
      </c>
      <c r="AK153" s="0" t="s">
        <v>6260</v>
      </c>
      <c r="AL153" s="0" t="s">
        <v>5506</v>
      </c>
      <c r="AM153" s="0" t="s">
        <v>5493</v>
      </c>
      <c r="AN153" s="0" t="s">
        <v>5578</v>
      </c>
      <c r="AO153" s="0" t="s">
        <v>5636</v>
      </c>
      <c r="AP153" s="0" t="s">
        <v>240</v>
      </c>
      <c r="AQ153" s="0" t="s">
        <v>240</v>
      </c>
      <c r="AR153" s="0" t="s">
        <v>240</v>
      </c>
      <c r="AS153" s="0" t="s">
        <v>240</v>
      </c>
      <c r="AT153" s="0" t="s">
        <v>240</v>
      </c>
      <c r="AU153" s="0" t="s">
        <v>240</v>
      </c>
      <c r="AV153" s="0" t="s">
        <v>240</v>
      </c>
      <c r="AW153" s="0" t="s">
        <v>240</v>
      </c>
      <c r="AX153" s="0" t="s">
        <v>240</v>
      </c>
      <c r="AY153" s="0" t="s">
        <v>240</v>
      </c>
      <c r="AZ153" s="0" t="s">
        <v>240</v>
      </c>
      <c r="BA153" s="0" t="s">
        <v>240</v>
      </c>
      <c r="BB153" s="0" t="s">
        <v>240</v>
      </c>
      <c r="BC153" s="0" t="s">
        <v>240</v>
      </c>
      <c r="BD153" s="0" t="s">
        <v>240</v>
      </c>
      <c r="BE153" s="0" t="s">
        <v>240</v>
      </c>
      <c r="BF153" s="0" t="s">
        <v>240</v>
      </c>
      <c r="BG153" s="0" t="s">
        <v>240</v>
      </c>
      <c r="BH153" s="0" t="s">
        <v>240</v>
      </c>
      <c r="BI153" s="0" t="s">
        <v>240</v>
      </c>
      <c r="BJ153" s="0" t="s">
        <v>240</v>
      </c>
      <c r="BK153" s="0" t="s">
        <v>240</v>
      </c>
      <c r="BL153" s="0" t="s">
        <v>240</v>
      </c>
      <c r="BM153" s="0" t="s">
        <v>240</v>
      </c>
      <c r="BN153" s="0" t="s">
        <v>240</v>
      </c>
      <c r="BO153" s="0" t="s">
        <v>240</v>
      </c>
      <c r="BP153" s="0" t="s">
        <v>240</v>
      </c>
      <c r="BQ153" s="0" t="s">
        <v>240</v>
      </c>
      <c r="BR153" s="0" t="s">
        <v>240</v>
      </c>
      <c r="BS153" s="0" t="s">
        <v>240</v>
      </c>
      <c r="BT153" s="0" t="s">
        <v>240</v>
      </c>
      <c r="BU153" s="0" t="s">
        <v>240</v>
      </c>
      <c r="BV153" s="0" t="s">
        <v>240</v>
      </c>
      <c r="BW153" s="0" t="s">
        <v>240</v>
      </c>
      <c r="BX153" s="0" t="s">
        <v>240</v>
      </c>
      <c r="BY153" s="0" t="s">
        <v>240</v>
      </c>
      <c r="BZ153" s="0" t="s">
        <v>240</v>
      </c>
      <c r="CA153" s="0" t="s">
        <v>240</v>
      </c>
      <c r="CB153" s="0" t="s">
        <v>240</v>
      </c>
      <c r="CC153" s="0" t="s">
        <v>240</v>
      </c>
      <c r="CD153" s="0" t="s">
        <v>240</v>
      </c>
      <c r="CE153" s="0" t="s">
        <v>240</v>
      </c>
      <c r="CF153" s="0" t="s">
        <v>240</v>
      </c>
      <c r="CG153" s="0" t="s">
        <v>240</v>
      </c>
      <c r="CH153" s="0" t="s">
        <v>240</v>
      </c>
      <c r="CI153" s="0" t="s">
        <v>240</v>
      </c>
      <c r="CJ153" s="0" t="s">
        <v>240</v>
      </c>
      <c r="CK153" s="0" t="s">
        <v>240</v>
      </c>
      <c r="CL153" s="0" t="s">
        <v>240</v>
      </c>
      <c r="CM153" s="0" t="s">
        <v>240</v>
      </c>
      <c r="CN153" s="0" t="s">
        <v>240</v>
      </c>
      <c r="CO153" s="0" t="s">
        <v>240</v>
      </c>
      <c r="CP153" s="0" t="s">
        <v>240</v>
      </c>
      <c r="CQ153" s="0" t="s">
        <v>240</v>
      </c>
      <c r="CR153" s="0" t="s">
        <v>240</v>
      </c>
      <c r="CS153" s="0" t="s">
        <v>240</v>
      </c>
      <c r="CT153" s="0" t="s">
        <v>5496</v>
      </c>
      <c r="CU153" s="0" t="s">
        <v>5497</v>
      </c>
      <c r="CV153" s="0" t="s">
        <v>443</v>
      </c>
      <c r="CW153" s="0" t="s">
        <v>5580</v>
      </c>
      <c r="CX153" s="0" t="s">
        <v>229</v>
      </c>
      <c r="CY153" s="0" t="s">
        <v>443</v>
      </c>
      <c r="CZ153" s="0" t="s">
        <v>5581</v>
      </c>
      <c r="DA153" s="0" t="s">
        <v>5582</v>
      </c>
      <c r="DB153" s="0" t="s">
        <v>5580</v>
      </c>
      <c r="DC153" s="0" t="s">
        <v>384</v>
      </c>
      <c r="DD153" s="0" t="s">
        <v>291</v>
      </c>
      <c r="DE153" s="0" t="s">
        <v>6261</v>
      </c>
    </row>
    <row customHeight="1" ht="11.25">
      <c r="A154" s="1441" t="s">
        <v>240</v>
      </c>
      <c r="B154" s="0" t="s">
        <v>240</v>
      </c>
      <c r="C154" s="0" t="s">
        <v>240</v>
      </c>
      <c r="D154" s="0" t="s">
        <v>240</v>
      </c>
      <c r="E154" s="0" t="s">
        <v>240</v>
      </c>
      <c r="F154" s="0" t="s">
        <v>240</v>
      </c>
      <c r="G154" s="0" t="s">
        <v>240</v>
      </c>
      <c r="H154" s="0" t="s">
        <v>240</v>
      </c>
      <c r="I154" s="0" t="s">
        <v>5484</v>
      </c>
      <c r="J154" s="0" t="s">
        <v>240</v>
      </c>
      <c r="K154" s="0" t="s">
        <v>240</v>
      </c>
      <c r="L154" s="0" t="s">
        <v>240</v>
      </c>
      <c r="M154" s="0" t="s">
        <v>240</v>
      </c>
      <c r="N154" s="0" t="s">
        <v>240</v>
      </c>
      <c r="O154" s="0" t="s">
        <v>240</v>
      </c>
      <c r="P154" s="0" t="s">
        <v>240</v>
      </c>
      <c r="Q154" s="0" t="s">
        <v>240</v>
      </c>
      <c r="R154" s="0" t="s">
        <v>6262</v>
      </c>
      <c r="S154" s="0" t="s">
        <v>240</v>
      </c>
      <c r="T154" s="0" t="s">
        <v>240</v>
      </c>
      <c r="U154" s="0" t="s">
        <v>102</v>
      </c>
      <c r="V154" s="0" t="s">
        <v>240</v>
      </c>
      <c r="W154" s="0" t="s">
        <v>240</v>
      </c>
      <c r="X154" s="0" t="s">
        <v>5905</v>
      </c>
      <c r="Y154" s="0" t="s">
        <v>240</v>
      </c>
      <c r="Z154" s="0" t="s">
        <v>152</v>
      </c>
      <c r="AA154" s="0" t="s">
        <v>161</v>
      </c>
      <c r="AB154" s="0" t="s">
        <v>152</v>
      </c>
      <c r="AC154" s="0" t="s">
        <v>3395</v>
      </c>
      <c r="AD154" s="0" t="s">
        <v>3395</v>
      </c>
      <c r="AE154" s="0" t="s">
        <v>3396</v>
      </c>
      <c r="AF154" s="0" t="s">
        <v>5941</v>
      </c>
      <c r="AG154" s="0" t="s">
        <v>5942</v>
      </c>
      <c r="AH154" s="0" t="s">
        <v>6063</v>
      </c>
      <c r="AI154" s="0" t="s">
        <v>152</v>
      </c>
      <c r="AJ154" s="0" t="s">
        <v>240</v>
      </c>
      <c r="AK154" s="0" t="s">
        <v>240</v>
      </c>
      <c r="AL154" s="0" t="s">
        <v>240</v>
      </c>
      <c r="AM154" s="0" t="s">
        <v>240</v>
      </c>
      <c r="AN154" s="0" t="s">
        <v>240</v>
      </c>
      <c r="AO154" s="0" t="s">
        <v>240</v>
      </c>
      <c r="AP154" s="0" t="s">
        <v>6263</v>
      </c>
      <c r="AQ154" s="0" t="s">
        <v>6264</v>
      </c>
      <c r="AR154" s="0" t="s">
        <v>112</v>
      </c>
      <c r="AS154" s="0" t="s">
        <v>5589</v>
      </c>
      <c r="AT154" s="0" t="s">
        <v>123</v>
      </c>
      <c r="AU154" s="0" t="s">
        <v>240</v>
      </c>
      <c r="AV154" s="0" t="s">
        <v>6265</v>
      </c>
      <c r="AW154" s="0" t="s">
        <v>3395</v>
      </c>
      <c r="AX154" s="0" t="s">
        <v>3395</v>
      </c>
      <c r="AY154" s="0" t="s">
        <v>6066</v>
      </c>
      <c r="AZ154" s="0" t="s">
        <v>5941</v>
      </c>
      <c r="BA154" s="0" t="s">
        <v>6067</v>
      </c>
      <c r="BB154" s="0" t="s">
        <v>6063</v>
      </c>
      <c r="BC154" s="0" t="s">
        <v>152</v>
      </c>
      <c r="BD154" s="0" t="s">
        <v>6250</v>
      </c>
      <c r="BE154" s="0" t="s">
        <v>240</v>
      </c>
      <c r="BF154" s="0" t="s">
        <v>240</v>
      </c>
      <c r="BG154" s="0" t="s">
        <v>240</v>
      </c>
      <c r="BH154" s="0" t="s">
        <v>240</v>
      </c>
      <c r="BI154" s="0" t="s">
        <v>240</v>
      </c>
      <c r="BJ154" s="0" t="s">
        <v>240</v>
      </c>
      <c r="BK154" s="0" t="s">
        <v>240</v>
      </c>
      <c r="BL154" s="0" t="s">
        <v>240</v>
      </c>
      <c r="BM154" s="0" t="s">
        <v>240</v>
      </c>
      <c r="BN154" s="0" t="s">
        <v>240</v>
      </c>
      <c r="BO154" s="0" t="s">
        <v>240</v>
      </c>
      <c r="BP154" s="0" t="s">
        <v>240</v>
      </c>
      <c r="BQ154" s="0" t="s">
        <v>240</v>
      </c>
      <c r="BR154" s="0" t="s">
        <v>240</v>
      </c>
      <c r="BS154" s="0" t="s">
        <v>240</v>
      </c>
      <c r="BT154" s="0" t="s">
        <v>240</v>
      </c>
      <c r="BU154" s="0" t="s">
        <v>240</v>
      </c>
      <c r="BV154" s="0" t="s">
        <v>240</v>
      </c>
      <c r="BW154" s="0" t="s">
        <v>240</v>
      </c>
      <c r="BX154" s="0" t="s">
        <v>240</v>
      </c>
      <c r="BY154" s="0" t="s">
        <v>240</v>
      </c>
      <c r="BZ154" s="0" t="s">
        <v>240</v>
      </c>
      <c r="CA154" s="0" t="s">
        <v>240</v>
      </c>
      <c r="CB154" s="0" t="s">
        <v>240</v>
      </c>
      <c r="CC154" s="0" t="s">
        <v>240</v>
      </c>
      <c r="CD154" s="0" t="s">
        <v>240</v>
      </c>
      <c r="CE154" s="0" t="s">
        <v>240</v>
      </c>
      <c r="CF154" s="0" t="s">
        <v>240</v>
      </c>
      <c r="CG154" s="0" t="s">
        <v>240</v>
      </c>
      <c r="CH154" s="0" t="s">
        <v>240</v>
      </c>
      <c r="CI154" s="0" t="s">
        <v>240</v>
      </c>
      <c r="CJ154" s="0" t="s">
        <v>240</v>
      </c>
      <c r="CK154" s="0" t="s">
        <v>240</v>
      </c>
      <c r="CL154" s="0" t="s">
        <v>240</v>
      </c>
      <c r="CM154" s="0" t="s">
        <v>240</v>
      </c>
      <c r="CN154" s="0" t="s">
        <v>240</v>
      </c>
      <c r="CO154" s="0" t="s">
        <v>240</v>
      </c>
      <c r="CP154" s="0" t="s">
        <v>240</v>
      </c>
      <c r="CQ154" s="0" t="s">
        <v>240</v>
      </c>
      <c r="CR154" s="0" t="s">
        <v>240</v>
      </c>
      <c r="CS154" s="0" t="s">
        <v>240</v>
      </c>
      <c r="CT154" s="0" t="s">
        <v>5496</v>
      </c>
      <c r="CU154" s="0" t="s">
        <v>5497</v>
      </c>
      <c r="CV154" s="0" t="s">
        <v>5947</v>
      </c>
      <c r="CW154" s="0" t="s">
        <v>5948</v>
      </c>
      <c r="CX154" s="0" t="s">
        <v>5528</v>
      </c>
      <c r="CY154" s="0" t="s">
        <v>5947</v>
      </c>
      <c r="CZ154" s="0" t="s">
        <v>5533</v>
      </c>
      <c r="DA154" s="0" t="s">
        <v>5949</v>
      </c>
      <c r="DB154" s="0" t="s">
        <v>5600</v>
      </c>
      <c r="DC154" s="0" t="s">
        <v>384</v>
      </c>
      <c r="DD154" s="0" t="s">
        <v>291</v>
      </c>
      <c r="DE154" s="0" t="s">
        <v>6073</v>
      </c>
    </row>
    <row customHeight="1" ht="11.25">
      <c r="A155" s="1441" t="s">
        <v>240</v>
      </c>
      <c r="B155" s="0" t="s">
        <v>240</v>
      </c>
      <c r="C155" s="0" t="s">
        <v>240</v>
      </c>
      <c r="D155" s="0" t="s">
        <v>240</v>
      </c>
      <c r="E155" s="0" t="s">
        <v>240</v>
      </c>
      <c r="F155" s="0" t="s">
        <v>240</v>
      </c>
      <c r="G155" s="0" t="s">
        <v>240</v>
      </c>
      <c r="H155" s="0" t="s">
        <v>240</v>
      </c>
      <c r="I155" s="0" t="s">
        <v>5484</v>
      </c>
      <c r="J155" s="0" t="s">
        <v>240</v>
      </c>
      <c r="K155" s="0" t="s">
        <v>240</v>
      </c>
      <c r="L155" s="0" t="s">
        <v>240</v>
      </c>
      <c r="M155" s="0" t="s">
        <v>240</v>
      </c>
      <c r="N155" s="0" t="s">
        <v>240</v>
      </c>
      <c r="O155" s="0" t="s">
        <v>240</v>
      </c>
      <c r="P155" s="0" t="s">
        <v>240</v>
      </c>
      <c r="Q155" s="0" t="s">
        <v>240</v>
      </c>
      <c r="R155" s="0" t="s">
        <v>6266</v>
      </c>
      <c r="S155" s="0" t="s">
        <v>240</v>
      </c>
      <c r="T155" s="0" t="s">
        <v>240</v>
      </c>
      <c r="U155" s="0" t="s">
        <v>102</v>
      </c>
      <c r="V155" s="0" t="s">
        <v>240</v>
      </c>
      <c r="W155" s="0" t="s">
        <v>240</v>
      </c>
      <c r="X155" s="0" t="s">
        <v>5485</v>
      </c>
      <c r="Y155" s="0" t="s">
        <v>240</v>
      </c>
      <c r="Z155" s="0" t="s">
        <v>161</v>
      </c>
      <c r="AA155" s="0" t="s">
        <v>152</v>
      </c>
      <c r="AB155" s="0" t="s">
        <v>152</v>
      </c>
      <c r="AC155" s="0" t="s">
        <v>2985</v>
      </c>
      <c r="AD155" s="0" t="s">
        <v>2985</v>
      </c>
      <c r="AE155" s="0" t="s">
        <v>2986</v>
      </c>
      <c r="AF155" s="0" t="s">
        <v>5609</v>
      </c>
      <c r="AG155" s="0" t="s">
        <v>5610</v>
      </c>
      <c r="AH155" s="0" t="s">
        <v>5502</v>
      </c>
      <c r="AI155" s="0" t="s">
        <v>6267</v>
      </c>
      <c r="AJ155" s="0" t="s">
        <v>6268</v>
      </c>
      <c r="AK155" s="0" t="s">
        <v>5731</v>
      </c>
      <c r="AL155" s="0" t="s">
        <v>5506</v>
      </c>
      <c r="AM155" s="0" t="s">
        <v>5493</v>
      </c>
      <c r="AN155" s="0" t="s">
        <v>5507</v>
      </c>
      <c r="AO155" s="0" t="s">
        <v>5613</v>
      </c>
      <c r="AP155" s="0" t="s">
        <v>240</v>
      </c>
      <c r="AQ155" s="0" t="s">
        <v>240</v>
      </c>
      <c r="AR155" s="0" t="s">
        <v>240</v>
      </c>
      <c r="AS155" s="0" t="s">
        <v>240</v>
      </c>
      <c r="AT155" s="0" t="s">
        <v>240</v>
      </c>
      <c r="AU155" s="0" t="s">
        <v>240</v>
      </c>
      <c r="AV155" s="0" t="s">
        <v>240</v>
      </c>
      <c r="AW155" s="0" t="s">
        <v>240</v>
      </c>
      <c r="AX155" s="0" t="s">
        <v>240</v>
      </c>
      <c r="AY155" s="0" t="s">
        <v>240</v>
      </c>
      <c r="AZ155" s="0" t="s">
        <v>240</v>
      </c>
      <c r="BA155" s="0" t="s">
        <v>240</v>
      </c>
      <c r="BB155" s="0" t="s">
        <v>240</v>
      </c>
      <c r="BC155" s="0" t="s">
        <v>240</v>
      </c>
      <c r="BD155" s="0" t="s">
        <v>240</v>
      </c>
      <c r="BE155" s="0" t="s">
        <v>240</v>
      </c>
      <c r="BF155" s="0" t="s">
        <v>240</v>
      </c>
      <c r="BG155" s="0" t="s">
        <v>240</v>
      </c>
      <c r="BH155" s="0" t="s">
        <v>240</v>
      </c>
      <c r="BI155" s="0" t="s">
        <v>240</v>
      </c>
      <c r="BJ155" s="0" t="s">
        <v>240</v>
      </c>
      <c r="BK155" s="0" t="s">
        <v>240</v>
      </c>
      <c r="BL155" s="0" t="s">
        <v>240</v>
      </c>
      <c r="BM155" s="0" t="s">
        <v>240</v>
      </c>
      <c r="BN155" s="0" t="s">
        <v>240</v>
      </c>
      <c r="BO155" s="0" t="s">
        <v>240</v>
      </c>
      <c r="BP155" s="0" t="s">
        <v>240</v>
      </c>
      <c r="BQ155" s="0" t="s">
        <v>240</v>
      </c>
      <c r="BR155" s="0" t="s">
        <v>240</v>
      </c>
      <c r="BS155" s="0" t="s">
        <v>240</v>
      </c>
      <c r="BT155" s="0" t="s">
        <v>240</v>
      </c>
      <c r="BU155" s="0" t="s">
        <v>240</v>
      </c>
      <c r="BV155" s="0" t="s">
        <v>240</v>
      </c>
      <c r="BW155" s="0" t="s">
        <v>240</v>
      </c>
      <c r="BX155" s="0" t="s">
        <v>240</v>
      </c>
      <c r="BY155" s="0" t="s">
        <v>240</v>
      </c>
      <c r="BZ155" s="0" t="s">
        <v>240</v>
      </c>
      <c r="CA155" s="0" t="s">
        <v>240</v>
      </c>
      <c r="CB155" s="0" t="s">
        <v>240</v>
      </c>
      <c r="CC155" s="0" t="s">
        <v>240</v>
      </c>
      <c r="CD155" s="0" t="s">
        <v>240</v>
      </c>
      <c r="CE155" s="0" t="s">
        <v>240</v>
      </c>
      <c r="CF155" s="0" t="s">
        <v>240</v>
      </c>
      <c r="CG155" s="0" t="s">
        <v>240</v>
      </c>
      <c r="CH155" s="0" t="s">
        <v>240</v>
      </c>
      <c r="CI155" s="0" t="s">
        <v>240</v>
      </c>
      <c r="CJ155" s="0" t="s">
        <v>240</v>
      </c>
      <c r="CK155" s="0" t="s">
        <v>240</v>
      </c>
      <c r="CL155" s="0" t="s">
        <v>240</v>
      </c>
      <c r="CM155" s="0" t="s">
        <v>240</v>
      </c>
      <c r="CN155" s="0" t="s">
        <v>240</v>
      </c>
      <c r="CO155" s="0" t="s">
        <v>240</v>
      </c>
      <c r="CP155" s="0" t="s">
        <v>240</v>
      </c>
      <c r="CQ155" s="0" t="s">
        <v>240</v>
      </c>
      <c r="CR155" s="0" t="s">
        <v>240</v>
      </c>
      <c r="CS155" s="0" t="s">
        <v>240</v>
      </c>
      <c r="CT155" s="0" t="s">
        <v>5496</v>
      </c>
      <c r="CU155" s="0" t="s">
        <v>5497</v>
      </c>
      <c r="CV155" s="0" t="s">
        <v>443</v>
      </c>
      <c r="CW155" s="0" t="s">
        <v>5509</v>
      </c>
      <c r="CX155" s="0" t="s">
        <v>229</v>
      </c>
      <c r="CY155" s="0" t="s">
        <v>443</v>
      </c>
      <c r="CZ155" s="0" t="s">
        <v>5510</v>
      </c>
      <c r="DA155" s="0" t="s">
        <v>5511</v>
      </c>
      <c r="DB155" s="0" t="s">
        <v>5509</v>
      </c>
      <c r="DC155" s="0" t="s">
        <v>384</v>
      </c>
      <c r="DD155" s="0" t="s">
        <v>291</v>
      </c>
      <c r="DE155" s="0" t="s">
        <v>6269</v>
      </c>
    </row>
    <row customHeight="1" ht="11.25">
      <c r="A156" s="1441" t="s">
        <v>240</v>
      </c>
      <c r="B156" s="0" t="s">
        <v>240</v>
      </c>
      <c r="C156" s="0" t="s">
        <v>240</v>
      </c>
      <c r="D156" s="0" t="s">
        <v>240</v>
      </c>
      <c r="E156" s="0" t="s">
        <v>240</v>
      </c>
      <c r="F156" s="0" t="s">
        <v>240</v>
      </c>
      <c r="G156" s="0" t="s">
        <v>240</v>
      </c>
      <c r="H156" s="0" t="s">
        <v>240</v>
      </c>
      <c r="I156" s="0" t="s">
        <v>5484</v>
      </c>
      <c r="J156" s="0" t="s">
        <v>240</v>
      </c>
      <c r="K156" s="0" t="s">
        <v>240</v>
      </c>
      <c r="L156" s="0" t="s">
        <v>240</v>
      </c>
      <c r="M156" s="0" t="s">
        <v>240</v>
      </c>
      <c r="N156" s="0" t="s">
        <v>240</v>
      </c>
      <c r="O156" s="0" t="s">
        <v>240</v>
      </c>
      <c r="P156" s="0" t="s">
        <v>240</v>
      </c>
      <c r="Q156" s="0" t="s">
        <v>240</v>
      </c>
      <c r="R156" s="0" t="s">
        <v>6270</v>
      </c>
      <c r="S156" s="0" t="s">
        <v>240</v>
      </c>
      <c r="T156" s="0" t="s">
        <v>240</v>
      </c>
      <c r="U156" s="0" t="s">
        <v>102</v>
      </c>
      <c r="V156" s="0" t="s">
        <v>240</v>
      </c>
      <c r="W156" s="0" t="s">
        <v>240</v>
      </c>
      <c r="X156" s="0" t="s">
        <v>5585</v>
      </c>
      <c r="Y156" s="0" t="s">
        <v>240</v>
      </c>
      <c r="Z156" s="0" t="s">
        <v>152</v>
      </c>
      <c r="AA156" s="0" t="s">
        <v>152</v>
      </c>
      <c r="AB156" s="0" t="s">
        <v>161</v>
      </c>
      <c r="AC156" s="0" t="s">
        <v>2991</v>
      </c>
      <c r="AD156" s="0" t="s">
        <v>2991</v>
      </c>
      <c r="AE156" s="0" t="s">
        <v>2992</v>
      </c>
      <c r="AF156" s="0" t="s">
        <v>6196</v>
      </c>
      <c r="AG156" s="0" t="s">
        <v>6197</v>
      </c>
      <c r="AH156" s="0" t="s">
        <v>5575</v>
      </c>
      <c r="AI156" s="0" t="s">
        <v>5575</v>
      </c>
      <c r="AJ156" s="0" t="s">
        <v>240</v>
      </c>
      <c r="AK156" s="0" t="s">
        <v>240</v>
      </c>
      <c r="AL156" s="0" t="s">
        <v>240</v>
      </c>
      <c r="AM156" s="0" t="s">
        <v>240</v>
      </c>
      <c r="AN156" s="0" t="s">
        <v>240</v>
      </c>
      <c r="AO156" s="0" t="s">
        <v>240</v>
      </c>
      <c r="AP156" s="0" t="s">
        <v>240</v>
      </c>
      <c r="AQ156" s="0" t="s">
        <v>240</v>
      </c>
      <c r="AR156" s="0" t="s">
        <v>240</v>
      </c>
      <c r="AS156" s="0" t="s">
        <v>240</v>
      </c>
      <c r="AT156" s="0" t="s">
        <v>240</v>
      </c>
      <c r="AU156" s="0" t="s">
        <v>240</v>
      </c>
      <c r="AV156" s="0" t="s">
        <v>240</v>
      </c>
      <c r="AW156" s="0" t="s">
        <v>240</v>
      </c>
      <c r="AX156" s="0" t="s">
        <v>240</v>
      </c>
      <c r="AY156" s="0" t="s">
        <v>240</v>
      </c>
      <c r="AZ156" s="0" t="s">
        <v>240</v>
      </c>
      <c r="BA156" s="0" t="s">
        <v>240</v>
      </c>
      <c r="BB156" s="0" t="s">
        <v>240</v>
      </c>
      <c r="BC156" s="0" t="s">
        <v>240</v>
      </c>
      <c r="BD156" s="0" t="s">
        <v>240</v>
      </c>
      <c r="BE156" s="0" t="s">
        <v>5552</v>
      </c>
      <c r="BF156" s="0" t="s">
        <v>5672</v>
      </c>
      <c r="BG156" s="0" t="s">
        <v>112</v>
      </c>
      <c r="BH156" s="0" t="s">
        <v>5589</v>
      </c>
      <c r="BI156" s="0" t="s">
        <v>123</v>
      </c>
      <c r="BJ156" s="0" t="s">
        <v>240</v>
      </c>
      <c r="BK156" s="0" t="s">
        <v>5608</v>
      </c>
      <c r="BL156" s="0" t="s">
        <v>2991</v>
      </c>
      <c r="BM156" s="0" t="s">
        <v>2991</v>
      </c>
      <c r="BN156" s="0" t="s">
        <v>5663</v>
      </c>
      <c r="BO156" s="0" t="s">
        <v>6196</v>
      </c>
      <c r="BP156" s="0" t="s">
        <v>6271</v>
      </c>
      <c r="BQ156" s="0" t="s">
        <v>5575</v>
      </c>
      <c r="BR156" s="0" t="s">
        <v>5575</v>
      </c>
      <c r="BS156" s="0" t="s">
        <v>240</v>
      </c>
      <c r="BT156" s="0" t="s">
        <v>5650</v>
      </c>
      <c r="BU156" s="0" t="s">
        <v>6272</v>
      </c>
      <c r="BV156" s="0" t="s">
        <v>6272</v>
      </c>
      <c r="BW156" s="0" t="s">
        <v>5598</v>
      </c>
      <c r="BX156" s="0" t="s">
        <v>5598</v>
      </c>
      <c r="BY156" s="0" t="s">
        <v>5598</v>
      </c>
      <c r="BZ156" s="0" t="s">
        <v>5598</v>
      </c>
      <c r="CA156" s="0" t="s">
        <v>5598</v>
      </c>
      <c r="CB156" s="0" t="s">
        <v>240</v>
      </c>
      <c r="CC156" s="0" t="s">
        <v>240</v>
      </c>
      <c r="CD156" s="0" t="s">
        <v>240</v>
      </c>
      <c r="CE156" s="0" t="s">
        <v>240</v>
      </c>
      <c r="CF156" s="0" t="s">
        <v>240</v>
      </c>
      <c r="CG156" s="0" t="s">
        <v>5598</v>
      </c>
      <c r="CH156" s="0" t="s">
        <v>240</v>
      </c>
      <c r="CI156" s="0" t="s">
        <v>240</v>
      </c>
      <c r="CJ156" s="0" t="s">
        <v>240</v>
      </c>
      <c r="CK156" s="0" t="s">
        <v>240</v>
      </c>
      <c r="CL156" s="0" t="s">
        <v>240</v>
      </c>
      <c r="CM156" s="0" t="s">
        <v>6272</v>
      </c>
      <c r="CN156" s="0" t="s">
        <v>6272</v>
      </c>
      <c r="CO156" s="0" t="s">
        <v>240</v>
      </c>
      <c r="CP156" s="0" t="s">
        <v>240</v>
      </c>
      <c r="CQ156" s="0" t="s">
        <v>240</v>
      </c>
      <c r="CR156" s="0" t="s">
        <v>240</v>
      </c>
      <c r="CS156" s="0" t="s">
        <v>5666</v>
      </c>
      <c r="CT156" s="0" t="s">
        <v>5496</v>
      </c>
      <c r="CU156" s="0" t="s">
        <v>5497</v>
      </c>
      <c r="CV156" s="0" t="s">
        <v>443</v>
      </c>
      <c r="CW156" s="0" t="s">
        <v>5547</v>
      </c>
      <c r="CX156" s="0" t="s">
        <v>229</v>
      </c>
      <c r="CY156" s="0" t="s">
        <v>443</v>
      </c>
      <c r="CZ156" s="0" t="s">
        <v>5548</v>
      </c>
      <c r="DA156" s="0" t="s">
        <v>5549</v>
      </c>
      <c r="DB156" s="0" t="s">
        <v>5547</v>
      </c>
      <c r="DC156" s="0" t="s">
        <v>384</v>
      </c>
      <c r="DD156" s="0" t="s">
        <v>291</v>
      </c>
      <c r="DE156" s="0" t="s">
        <v>6273</v>
      </c>
    </row>
    <row customHeight="1" ht="11.25">
      <c r="A157" s="1441" t="s">
        <v>240</v>
      </c>
      <c r="B157" s="0" t="s">
        <v>240</v>
      </c>
      <c r="C157" s="0" t="s">
        <v>240</v>
      </c>
      <c r="D157" s="0" t="s">
        <v>240</v>
      </c>
      <c r="E157" s="0" t="s">
        <v>240</v>
      </c>
      <c r="F157" s="0" t="s">
        <v>240</v>
      </c>
      <c r="G157" s="0" t="s">
        <v>240</v>
      </c>
      <c r="H157" s="0" t="s">
        <v>240</v>
      </c>
      <c r="I157" s="0" t="s">
        <v>5484</v>
      </c>
      <c r="J157" s="0" t="s">
        <v>240</v>
      </c>
      <c r="K157" s="0" t="s">
        <v>240</v>
      </c>
      <c r="L157" s="0" t="s">
        <v>240</v>
      </c>
      <c r="M157" s="0" t="s">
        <v>240</v>
      </c>
      <c r="N157" s="0" t="s">
        <v>240</v>
      </c>
      <c r="O157" s="0" t="s">
        <v>240</v>
      </c>
      <c r="P157" s="0" t="s">
        <v>240</v>
      </c>
      <c r="Q157" s="0" t="s">
        <v>240</v>
      </c>
      <c r="R157" s="0" t="s">
        <v>6274</v>
      </c>
      <c r="S157" s="0" t="s">
        <v>240</v>
      </c>
      <c r="T157" s="0" t="s">
        <v>240</v>
      </c>
      <c r="U157" s="0" t="s">
        <v>102</v>
      </c>
      <c r="V157" s="0" t="s">
        <v>240</v>
      </c>
      <c r="W157" s="0" t="s">
        <v>240</v>
      </c>
      <c r="X157" s="0" t="s">
        <v>5485</v>
      </c>
      <c r="Y157" s="0" t="s">
        <v>240</v>
      </c>
      <c r="Z157" s="0" t="s">
        <v>161</v>
      </c>
      <c r="AA157" s="0" t="s">
        <v>152</v>
      </c>
      <c r="AB157" s="0" t="s">
        <v>152</v>
      </c>
      <c r="AC157" s="0" t="s">
        <v>3389</v>
      </c>
      <c r="AD157" s="0" t="s">
        <v>3389</v>
      </c>
      <c r="AE157" s="0" t="s">
        <v>3390</v>
      </c>
      <c r="AF157" s="0" t="s">
        <v>5519</v>
      </c>
      <c r="AG157" s="0" t="s">
        <v>5520</v>
      </c>
      <c r="AH157" s="0" t="s">
        <v>6275</v>
      </c>
      <c r="AI157" s="0" t="s">
        <v>5533</v>
      </c>
      <c r="AJ157" s="0" t="s">
        <v>5781</v>
      </c>
      <c r="AK157" s="0" t="s">
        <v>6276</v>
      </c>
      <c r="AL157" s="0" t="s">
        <v>5524</v>
      </c>
      <c r="AM157" s="0" t="s">
        <v>5493</v>
      </c>
      <c r="AN157" s="0" t="s">
        <v>6277</v>
      </c>
      <c r="AO157" s="0" t="s">
        <v>6278</v>
      </c>
      <c r="AP157" s="0" t="s">
        <v>240</v>
      </c>
      <c r="AQ157" s="0" t="s">
        <v>240</v>
      </c>
      <c r="AR157" s="0" t="s">
        <v>240</v>
      </c>
      <c r="AS157" s="0" t="s">
        <v>240</v>
      </c>
      <c r="AT157" s="0" t="s">
        <v>240</v>
      </c>
      <c r="AU157" s="0" t="s">
        <v>240</v>
      </c>
      <c r="AV157" s="0" t="s">
        <v>240</v>
      </c>
      <c r="AW157" s="0" t="s">
        <v>240</v>
      </c>
      <c r="AX157" s="0" t="s">
        <v>240</v>
      </c>
      <c r="AY157" s="0" t="s">
        <v>240</v>
      </c>
      <c r="AZ157" s="0" t="s">
        <v>240</v>
      </c>
      <c r="BA157" s="0" t="s">
        <v>240</v>
      </c>
      <c r="BB157" s="0" t="s">
        <v>240</v>
      </c>
      <c r="BC157" s="0" t="s">
        <v>240</v>
      </c>
      <c r="BD157" s="0" t="s">
        <v>240</v>
      </c>
      <c r="BE157" s="0" t="s">
        <v>240</v>
      </c>
      <c r="BF157" s="0" t="s">
        <v>240</v>
      </c>
      <c r="BG157" s="0" t="s">
        <v>240</v>
      </c>
      <c r="BH157" s="0" t="s">
        <v>240</v>
      </c>
      <c r="BI157" s="0" t="s">
        <v>240</v>
      </c>
      <c r="BJ157" s="0" t="s">
        <v>240</v>
      </c>
      <c r="BK157" s="0" t="s">
        <v>240</v>
      </c>
      <c r="BL157" s="0" t="s">
        <v>240</v>
      </c>
      <c r="BM157" s="0" t="s">
        <v>240</v>
      </c>
      <c r="BN157" s="0" t="s">
        <v>240</v>
      </c>
      <c r="BO157" s="0" t="s">
        <v>240</v>
      </c>
      <c r="BP157" s="0" t="s">
        <v>240</v>
      </c>
      <c r="BQ157" s="0" t="s">
        <v>240</v>
      </c>
      <c r="BR157" s="0" t="s">
        <v>240</v>
      </c>
      <c r="BS157" s="0" t="s">
        <v>240</v>
      </c>
      <c r="BT157" s="0" t="s">
        <v>240</v>
      </c>
      <c r="BU157" s="0" t="s">
        <v>240</v>
      </c>
      <c r="BV157" s="0" t="s">
        <v>240</v>
      </c>
      <c r="BW157" s="0" t="s">
        <v>240</v>
      </c>
      <c r="BX157" s="0" t="s">
        <v>240</v>
      </c>
      <c r="BY157" s="0" t="s">
        <v>240</v>
      </c>
      <c r="BZ157" s="0" t="s">
        <v>240</v>
      </c>
      <c r="CA157" s="0" t="s">
        <v>240</v>
      </c>
      <c r="CB157" s="0" t="s">
        <v>240</v>
      </c>
      <c r="CC157" s="0" t="s">
        <v>240</v>
      </c>
      <c r="CD157" s="0" t="s">
        <v>240</v>
      </c>
      <c r="CE157" s="0" t="s">
        <v>240</v>
      </c>
      <c r="CF157" s="0" t="s">
        <v>240</v>
      </c>
      <c r="CG157" s="0" t="s">
        <v>240</v>
      </c>
      <c r="CH157" s="0" t="s">
        <v>240</v>
      </c>
      <c r="CI157" s="0" t="s">
        <v>240</v>
      </c>
      <c r="CJ157" s="0" t="s">
        <v>240</v>
      </c>
      <c r="CK157" s="0" t="s">
        <v>240</v>
      </c>
      <c r="CL157" s="0" t="s">
        <v>240</v>
      </c>
      <c r="CM157" s="0" t="s">
        <v>240</v>
      </c>
      <c r="CN157" s="0" t="s">
        <v>240</v>
      </c>
      <c r="CO157" s="0" t="s">
        <v>240</v>
      </c>
      <c r="CP157" s="0" t="s">
        <v>240</v>
      </c>
      <c r="CQ157" s="0" t="s">
        <v>240</v>
      </c>
      <c r="CR157" s="0" t="s">
        <v>240</v>
      </c>
      <c r="CS157" s="0" t="s">
        <v>240</v>
      </c>
      <c r="CT157" s="0" t="s">
        <v>5496</v>
      </c>
      <c r="CU157" s="0" t="s">
        <v>5497</v>
      </c>
      <c r="CV157" s="0" t="s">
        <v>443</v>
      </c>
      <c r="CW157" s="0" t="s">
        <v>5527</v>
      </c>
      <c r="CX157" s="0" t="s">
        <v>5528</v>
      </c>
      <c r="CY157" s="0" t="s">
        <v>443</v>
      </c>
      <c r="CZ157" s="0" t="s">
        <v>299</v>
      </c>
      <c r="DA157" s="0" t="s">
        <v>5529</v>
      </c>
      <c r="DB157" s="0" t="s">
        <v>5527</v>
      </c>
      <c r="DC157" s="0" t="s">
        <v>384</v>
      </c>
      <c r="DD157" s="0" t="s">
        <v>291</v>
      </c>
      <c r="DE157" s="0" t="s">
        <v>6279</v>
      </c>
    </row>
    <row customHeight="1" ht="11.25">
      <c r="A158" s="1441" t="s">
        <v>240</v>
      </c>
      <c r="B158" s="0" t="s">
        <v>240</v>
      </c>
      <c r="C158" s="0" t="s">
        <v>240</v>
      </c>
      <c r="D158" s="0" t="s">
        <v>240</v>
      </c>
      <c r="E158" s="0" t="s">
        <v>240</v>
      </c>
      <c r="F158" s="0" t="s">
        <v>240</v>
      </c>
      <c r="G158" s="0" t="s">
        <v>240</v>
      </c>
      <c r="H158" s="0" t="s">
        <v>240</v>
      </c>
      <c r="I158" s="0" t="s">
        <v>5484</v>
      </c>
      <c r="J158" s="0" t="s">
        <v>240</v>
      </c>
      <c r="K158" s="0" t="s">
        <v>240</v>
      </c>
      <c r="L158" s="0" t="s">
        <v>240</v>
      </c>
      <c r="M158" s="0" t="s">
        <v>240</v>
      </c>
      <c r="N158" s="0" t="s">
        <v>240</v>
      </c>
      <c r="O158" s="0" t="s">
        <v>240</v>
      </c>
      <c r="P158" s="0" t="s">
        <v>240</v>
      </c>
      <c r="Q158" s="0" t="s">
        <v>240</v>
      </c>
      <c r="R158" s="0" t="s">
        <v>6280</v>
      </c>
      <c r="S158" s="0" t="s">
        <v>240</v>
      </c>
      <c r="T158" s="0" t="s">
        <v>240</v>
      </c>
      <c r="U158" s="0" t="s">
        <v>102</v>
      </c>
      <c r="V158" s="0" t="s">
        <v>240</v>
      </c>
      <c r="W158" s="0" t="s">
        <v>240</v>
      </c>
      <c r="X158" s="0" t="s">
        <v>5485</v>
      </c>
      <c r="Y158" s="0" t="s">
        <v>240</v>
      </c>
      <c r="Z158" s="0" t="s">
        <v>161</v>
      </c>
      <c r="AA158" s="0" t="s">
        <v>152</v>
      </c>
      <c r="AB158" s="0" t="s">
        <v>152</v>
      </c>
      <c r="AC158" s="0" t="s">
        <v>3389</v>
      </c>
      <c r="AD158" s="0" t="s">
        <v>3389</v>
      </c>
      <c r="AE158" s="0" t="s">
        <v>3390</v>
      </c>
      <c r="AF158" s="0" t="s">
        <v>5519</v>
      </c>
      <c r="AG158" s="0" t="s">
        <v>5520</v>
      </c>
      <c r="AH158" s="0" t="s">
        <v>6281</v>
      </c>
      <c r="AI158" s="0" t="s">
        <v>457</v>
      </c>
      <c r="AJ158" s="0" t="s">
        <v>5560</v>
      </c>
      <c r="AK158" s="0" t="s">
        <v>6282</v>
      </c>
      <c r="AL158" s="0" t="s">
        <v>5524</v>
      </c>
      <c r="AM158" s="0" t="s">
        <v>5493</v>
      </c>
      <c r="AN158" s="0" t="s">
        <v>6283</v>
      </c>
      <c r="AO158" s="0" t="s">
        <v>6284</v>
      </c>
      <c r="AP158" s="0" t="s">
        <v>240</v>
      </c>
      <c r="AQ158" s="0" t="s">
        <v>240</v>
      </c>
      <c r="AR158" s="0" t="s">
        <v>240</v>
      </c>
      <c r="AS158" s="0" t="s">
        <v>240</v>
      </c>
      <c r="AT158" s="0" t="s">
        <v>240</v>
      </c>
      <c r="AU158" s="0" t="s">
        <v>240</v>
      </c>
      <c r="AV158" s="0" t="s">
        <v>240</v>
      </c>
      <c r="AW158" s="0" t="s">
        <v>240</v>
      </c>
      <c r="AX158" s="0" t="s">
        <v>240</v>
      </c>
      <c r="AY158" s="0" t="s">
        <v>240</v>
      </c>
      <c r="AZ158" s="0" t="s">
        <v>240</v>
      </c>
      <c r="BA158" s="0" t="s">
        <v>240</v>
      </c>
      <c r="BB158" s="0" t="s">
        <v>240</v>
      </c>
      <c r="BC158" s="0" t="s">
        <v>240</v>
      </c>
      <c r="BD158" s="0" t="s">
        <v>240</v>
      </c>
      <c r="BE158" s="0" t="s">
        <v>240</v>
      </c>
      <c r="BF158" s="0" t="s">
        <v>240</v>
      </c>
      <c r="BG158" s="0" t="s">
        <v>240</v>
      </c>
      <c r="BH158" s="0" t="s">
        <v>240</v>
      </c>
      <c r="BI158" s="0" t="s">
        <v>240</v>
      </c>
      <c r="BJ158" s="0" t="s">
        <v>240</v>
      </c>
      <c r="BK158" s="0" t="s">
        <v>240</v>
      </c>
      <c r="BL158" s="0" t="s">
        <v>240</v>
      </c>
      <c r="BM158" s="0" t="s">
        <v>240</v>
      </c>
      <c r="BN158" s="0" t="s">
        <v>240</v>
      </c>
      <c r="BO158" s="0" t="s">
        <v>240</v>
      </c>
      <c r="BP158" s="0" t="s">
        <v>240</v>
      </c>
      <c r="BQ158" s="0" t="s">
        <v>240</v>
      </c>
      <c r="BR158" s="0" t="s">
        <v>240</v>
      </c>
      <c r="BS158" s="0" t="s">
        <v>240</v>
      </c>
      <c r="BT158" s="0" t="s">
        <v>240</v>
      </c>
      <c r="BU158" s="0" t="s">
        <v>240</v>
      </c>
      <c r="BV158" s="0" t="s">
        <v>240</v>
      </c>
      <c r="BW158" s="0" t="s">
        <v>240</v>
      </c>
      <c r="BX158" s="0" t="s">
        <v>240</v>
      </c>
      <c r="BY158" s="0" t="s">
        <v>240</v>
      </c>
      <c r="BZ158" s="0" t="s">
        <v>240</v>
      </c>
      <c r="CA158" s="0" t="s">
        <v>240</v>
      </c>
      <c r="CB158" s="0" t="s">
        <v>240</v>
      </c>
      <c r="CC158" s="0" t="s">
        <v>240</v>
      </c>
      <c r="CD158" s="0" t="s">
        <v>240</v>
      </c>
      <c r="CE158" s="0" t="s">
        <v>240</v>
      </c>
      <c r="CF158" s="0" t="s">
        <v>240</v>
      </c>
      <c r="CG158" s="0" t="s">
        <v>240</v>
      </c>
      <c r="CH158" s="0" t="s">
        <v>240</v>
      </c>
      <c r="CI158" s="0" t="s">
        <v>240</v>
      </c>
      <c r="CJ158" s="0" t="s">
        <v>240</v>
      </c>
      <c r="CK158" s="0" t="s">
        <v>240</v>
      </c>
      <c r="CL158" s="0" t="s">
        <v>240</v>
      </c>
      <c r="CM158" s="0" t="s">
        <v>240</v>
      </c>
      <c r="CN158" s="0" t="s">
        <v>240</v>
      </c>
      <c r="CO158" s="0" t="s">
        <v>240</v>
      </c>
      <c r="CP158" s="0" t="s">
        <v>240</v>
      </c>
      <c r="CQ158" s="0" t="s">
        <v>240</v>
      </c>
      <c r="CR158" s="0" t="s">
        <v>240</v>
      </c>
      <c r="CS158" s="0" t="s">
        <v>240</v>
      </c>
      <c r="CT158" s="0" t="s">
        <v>5496</v>
      </c>
      <c r="CU158" s="0" t="s">
        <v>5497</v>
      </c>
      <c r="CV158" s="0" t="s">
        <v>443</v>
      </c>
      <c r="CW158" s="0" t="s">
        <v>5527</v>
      </c>
      <c r="CX158" s="0" t="s">
        <v>5528</v>
      </c>
      <c r="CY158" s="0" t="s">
        <v>443</v>
      </c>
      <c r="CZ158" s="0" t="s">
        <v>299</v>
      </c>
      <c r="DA158" s="0" t="s">
        <v>5529</v>
      </c>
      <c r="DB158" s="0" t="s">
        <v>5527</v>
      </c>
      <c r="DC158" s="0" t="s">
        <v>384</v>
      </c>
      <c r="DD158" s="0" t="s">
        <v>291</v>
      </c>
      <c r="DE158" s="0" t="s">
        <v>6285</v>
      </c>
    </row>
    <row customHeight="1" ht="11.25">
      <c r="A159" s="1441" t="s">
        <v>240</v>
      </c>
      <c r="B159" s="0" t="s">
        <v>240</v>
      </c>
      <c r="C159" s="0" t="s">
        <v>240</v>
      </c>
      <c r="D159" s="0" t="s">
        <v>240</v>
      </c>
      <c r="E159" s="0" t="s">
        <v>240</v>
      </c>
      <c r="F159" s="0" t="s">
        <v>240</v>
      </c>
      <c r="G159" s="0" t="s">
        <v>240</v>
      </c>
      <c r="H159" s="0" t="s">
        <v>240</v>
      </c>
      <c r="I159" s="0" t="s">
        <v>5484</v>
      </c>
      <c r="J159" s="0" t="s">
        <v>240</v>
      </c>
      <c r="K159" s="0" t="s">
        <v>240</v>
      </c>
      <c r="L159" s="0" t="s">
        <v>240</v>
      </c>
      <c r="M159" s="0" t="s">
        <v>240</v>
      </c>
      <c r="N159" s="0" t="s">
        <v>240</v>
      </c>
      <c r="O159" s="0" t="s">
        <v>240</v>
      </c>
      <c r="P159" s="0" t="s">
        <v>240</v>
      </c>
      <c r="Q159" s="0" t="s">
        <v>240</v>
      </c>
      <c r="R159" s="0" t="s">
        <v>6286</v>
      </c>
      <c r="S159" s="0" t="s">
        <v>240</v>
      </c>
      <c r="T159" s="0" t="s">
        <v>240</v>
      </c>
      <c r="U159" s="0" t="s">
        <v>102</v>
      </c>
      <c r="V159" s="0" t="s">
        <v>240</v>
      </c>
      <c r="W159" s="0" t="s">
        <v>240</v>
      </c>
      <c r="X159" s="0" t="s">
        <v>5585</v>
      </c>
      <c r="Y159" s="0" t="s">
        <v>240</v>
      </c>
      <c r="Z159" s="0" t="s">
        <v>152</v>
      </c>
      <c r="AA159" s="0" t="s">
        <v>152</v>
      </c>
      <c r="AB159" s="0" t="s">
        <v>161</v>
      </c>
      <c r="AC159" s="0" t="s">
        <v>2989</v>
      </c>
      <c r="AD159" s="0" t="s">
        <v>2989</v>
      </c>
      <c r="AE159" s="0" t="s">
        <v>2990</v>
      </c>
      <c r="AF159" s="0" t="s">
        <v>6026</v>
      </c>
      <c r="AG159" s="0" t="s">
        <v>6027</v>
      </c>
      <c r="AH159" s="0" t="s">
        <v>5575</v>
      </c>
      <c r="AI159" s="0" t="s">
        <v>5575</v>
      </c>
      <c r="AJ159" s="0" t="s">
        <v>240</v>
      </c>
      <c r="AK159" s="0" t="s">
        <v>240</v>
      </c>
      <c r="AL159" s="0" t="s">
        <v>240</v>
      </c>
      <c r="AM159" s="0" t="s">
        <v>240</v>
      </c>
      <c r="AN159" s="0" t="s">
        <v>240</v>
      </c>
      <c r="AO159" s="0" t="s">
        <v>240</v>
      </c>
      <c r="AP159" s="0" t="s">
        <v>240</v>
      </c>
      <c r="AQ159" s="0" t="s">
        <v>240</v>
      </c>
      <c r="AR159" s="0" t="s">
        <v>240</v>
      </c>
      <c r="AS159" s="0" t="s">
        <v>240</v>
      </c>
      <c r="AT159" s="0" t="s">
        <v>240</v>
      </c>
      <c r="AU159" s="0" t="s">
        <v>240</v>
      </c>
      <c r="AV159" s="0" t="s">
        <v>240</v>
      </c>
      <c r="AW159" s="0" t="s">
        <v>240</v>
      </c>
      <c r="AX159" s="0" t="s">
        <v>240</v>
      </c>
      <c r="AY159" s="0" t="s">
        <v>240</v>
      </c>
      <c r="AZ159" s="0" t="s">
        <v>240</v>
      </c>
      <c r="BA159" s="0" t="s">
        <v>240</v>
      </c>
      <c r="BB159" s="0" t="s">
        <v>240</v>
      </c>
      <c r="BC159" s="0" t="s">
        <v>240</v>
      </c>
      <c r="BD159" s="0" t="s">
        <v>240</v>
      </c>
      <c r="BE159" s="0" t="s">
        <v>5576</v>
      </c>
      <c r="BF159" s="0" t="s">
        <v>6028</v>
      </c>
      <c r="BG159" s="0" t="s">
        <v>112</v>
      </c>
      <c r="BH159" s="0" t="s">
        <v>5589</v>
      </c>
      <c r="BI159" s="0" t="s">
        <v>123</v>
      </c>
      <c r="BJ159" s="0" t="s">
        <v>240</v>
      </c>
      <c r="BK159" s="0" t="s">
        <v>5608</v>
      </c>
      <c r="BL159" s="0" t="s">
        <v>2989</v>
      </c>
      <c r="BM159" s="0" t="s">
        <v>2989</v>
      </c>
      <c r="BN159" s="0" t="s">
        <v>5798</v>
      </c>
      <c r="BO159" s="0" t="s">
        <v>6026</v>
      </c>
      <c r="BP159" s="0" t="s">
        <v>6287</v>
      </c>
      <c r="BQ159" s="0" t="s">
        <v>5575</v>
      </c>
      <c r="BR159" s="0" t="s">
        <v>5575</v>
      </c>
      <c r="BS159" s="0" t="s">
        <v>240</v>
      </c>
      <c r="BT159" s="0" t="s">
        <v>5650</v>
      </c>
      <c r="BU159" s="0" t="s">
        <v>6288</v>
      </c>
      <c r="BV159" s="0" t="s">
        <v>6288</v>
      </c>
      <c r="BW159" s="0" t="s">
        <v>5598</v>
      </c>
      <c r="BX159" s="0" t="s">
        <v>5598</v>
      </c>
      <c r="BY159" s="0" t="s">
        <v>5598</v>
      </c>
      <c r="BZ159" s="0" t="s">
        <v>5598</v>
      </c>
      <c r="CA159" s="0" t="s">
        <v>5598</v>
      </c>
      <c r="CB159" s="0" t="s">
        <v>240</v>
      </c>
      <c r="CC159" s="0" t="s">
        <v>240</v>
      </c>
      <c r="CD159" s="0" t="s">
        <v>240</v>
      </c>
      <c r="CE159" s="0" t="s">
        <v>240</v>
      </c>
      <c r="CF159" s="0" t="s">
        <v>240</v>
      </c>
      <c r="CG159" s="0" t="s">
        <v>5598</v>
      </c>
      <c r="CH159" s="0" t="s">
        <v>240</v>
      </c>
      <c r="CI159" s="0" t="s">
        <v>240</v>
      </c>
      <c r="CJ159" s="0" t="s">
        <v>240</v>
      </c>
      <c r="CK159" s="0" t="s">
        <v>240</v>
      </c>
      <c r="CL159" s="0" t="s">
        <v>240</v>
      </c>
      <c r="CM159" s="0" t="s">
        <v>6288</v>
      </c>
      <c r="CN159" s="0" t="s">
        <v>6288</v>
      </c>
      <c r="CO159" s="0" t="s">
        <v>240</v>
      </c>
      <c r="CP159" s="0" t="s">
        <v>240</v>
      </c>
      <c r="CQ159" s="0" t="s">
        <v>240</v>
      </c>
      <c r="CR159" s="0" t="s">
        <v>240</v>
      </c>
      <c r="CS159" s="0" t="s">
        <v>5553</v>
      </c>
      <c r="CT159" s="0" t="s">
        <v>5496</v>
      </c>
      <c r="CU159" s="0" t="s">
        <v>5497</v>
      </c>
      <c r="CV159" s="0" t="s">
        <v>443</v>
      </c>
      <c r="CW159" s="0" t="s">
        <v>5580</v>
      </c>
      <c r="CX159" s="0" t="s">
        <v>229</v>
      </c>
      <c r="CY159" s="0" t="s">
        <v>443</v>
      </c>
      <c r="CZ159" s="0" t="s">
        <v>5581</v>
      </c>
      <c r="DA159" s="0" t="s">
        <v>5582</v>
      </c>
      <c r="DB159" s="0" t="s">
        <v>5580</v>
      </c>
      <c r="DC159" s="0" t="s">
        <v>384</v>
      </c>
      <c r="DD159" s="0" t="s">
        <v>291</v>
      </c>
      <c r="DE159" s="0" t="s">
        <v>6029</v>
      </c>
    </row>
    <row customHeight="1" ht="11.25">
      <c r="A160" s="1441" t="s">
        <v>240</v>
      </c>
      <c r="B160" s="0" t="s">
        <v>240</v>
      </c>
      <c r="C160" s="0" t="s">
        <v>240</v>
      </c>
      <c r="D160" s="0" t="s">
        <v>240</v>
      </c>
      <c r="E160" s="0" t="s">
        <v>240</v>
      </c>
      <c r="F160" s="0" t="s">
        <v>240</v>
      </c>
      <c r="G160" s="0" t="s">
        <v>240</v>
      </c>
      <c r="H160" s="0" t="s">
        <v>240</v>
      </c>
      <c r="I160" s="0" t="s">
        <v>5484</v>
      </c>
      <c r="J160" s="0" t="s">
        <v>240</v>
      </c>
      <c r="K160" s="0" t="s">
        <v>240</v>
      </c>
      <c r="L160" s="0" t="s">
        <v>240</v>
      </c>
      <c r="M160" s="0" t="s">
        <v>240</v>
      </c>
      <c r="N160" s="0" t="s">
        <v>240</v>
      </c>
      <c r="O160" s="0" t="s">
        <v>240</v>
      </c>
      <c r="P160" s="0" t="s">
        <v>240</v>
      </c>
      <c r="Q160" s="0" t="s">
        <v>240</v>
      </c>
      <c r="R160" s="0" t="s">
        <v>6289</v>
      </c>
      <c r="S160" s="0" t="s">
        <v>240</v>
      </c>
      <c r="T160" s="0" t="s">
        <v>240</v>
      </c>
      <c r="U160" s="0" t="s">
        <v>102</v>
      </c>
      <c r="V160" s="0" t="s">
        <v>240</v>
      </c>
      <c r="W160" s="0" t="s">
        <v>240</v>
      </c>
      <c r="X160" s="0" t="s">
        <v>5585</v>
      </c>
      <c r="Y160" s="0" t="s">
        <v>240</v>
      </c>
      <c r="Z160" s="0" t="s">
        <v>152</v>
      </c>
      <c r="AA160" s="0" t="s">
        <v>152</v>
      </c>
      <c r="AB160" s="0" t="s">
        <v>161</v>
      </c>
      <c r="AC160" s="0" t="s">
        <v>2989</v>
      </c>
      <c r="AD160" s="0" t="s">
        <v>2989</v>
      </c>
      <c r="AE160" s="0" t="s">
        <v>2990</v>
      </c>
      <c r="AF160" s="0" t="s">
        <v>6095</v>
      </c>
      <c r="AG160" s="0" t="s">
        <v>6096</v>
      </c>
      <c r="AH160" s="0" t="s">
        <v>5575</v>
      </c>
      <c r="AI160" s="0" t="s">
        <v>5575</v>
      </c>
      <c r="AJ160" s="0" t="s">
        <v>240</v>
      </c>
      <c r="AK160" s="0" t="s">
        <v>240</v>
      </c>
      <c r="AL160" s="0" t="s">
        <v>240</v>
      </c>
      <c r="AM160" s="0" t="s">
        <v>240</v>
      </c>
      <c r="AN160" s="0" t="s">
        <v>240</v>
      </c>
      <c r="AO160" s="0" t="s">
        <v>240</v>
      </c>
      <c r="AP160" s="0" t="s">
        <v>240</v>
      </c>
      <c r="AQ160" s="0" t="s">
        <v>240</v>
      </c>
      <c r="AR160" s="0" t="s">
        <v>240</v>
      </c>
      <c r="AS160" s="0" t="s">
        <v>240</v>
      </c>
      <c r="AT160" s="0" t="s">
        <v>240</v>
      </c>
      <c r="AU160" s="0" t="s">
        <v>240</v>
      </c>
      <c r="AV160" s="0" t="s">
        <v>240</v>
      </c>
      <c r="AW160" s="0" t="s">
        <v>240</v>
      </c>
      <c r="AX160" s="0" t="s">
        <v>240</v>
      </c>
      <c r="AY160" s="0" t="s">
        <v>240</v>
      </c>
      <c r="AZ160" s="0" t="s">
        <v>240</v>
      </c>
      <c r="BA160" s="0" t="s">
        <v>240</v>
      </c>
      <c r="BB160" s="0" t="s">
        <v>240</v>
      </c>
      <c r="BC160" s="0" t="s">
        <v>240</v>
      </c>
      <c r="BD160" s="0" t="s">
        <v>240</v>
      </c>
      <c r="BE160" s="0" t="s">
        <v>5992</v>
      </c>
      <c r="BF160" s="0" t="s">
        <v>5797</v>
      </c>
      <c r="BG160" s="0" t="s">
        <v>112</v>
      </c>
      <c r="BH160" s="0" t="s">
        <v>5589</v>
      </c>
      <c r="BI160" s="0" t="s">
        <v>123</v>
      </c>
      <c r="BJ160" s="0" t="s">
        <v>240</v>
      </c>
      <c r="BK160" s="0" t="s">
        <v>5608</v>
      </c>
      <c r="BL160" s="0" t="s">
        <v>2989</v>
      </c>
      <c r="BM160" s="0" t="s">
        <v>2989</v>
      </c>
      <c r="BN160" s="0" t="s">
        <v>5798</v>
      </c>
      <c r="BO160" s="0" t="s">
        <v>6095</v>
      </c>
      <c r="BP160" s="0" t="s">
        <v>6290</v>
      </c>
      <c r="BQ160" s="0" t="s">
        <v>5575</v>
      </c>
      <c r="BR160" s="0" t="s">
        <v>5575</v>
      </c>
      <c r="BS160" s="0" t="s">
        <v>240</v>
      </c>
      <c r="BT160" s="0" t="s">
        <v>5650</v>
      </c>
      <c r="BU160" s="0" t="s">
        <v>6291</v>
      </c>
      <c r="BV160" s="0" t="s">
        <v>6291</v>
      </c>
      <c r="BW160" s="0" t="s">
        <v>5598</v>
      </c>
      <c r="BX160" s="0" t="s">
        <v>5598</v>
      </c>
      <c r="BY160" s="0" t="s">
        <v>5598</v>
      </c>
      <c r="BZ160" s="0" t="s">
        <v>5598</v>
      </c>
      <c r="CA160" s="0" t="s">
        <v>5598</v>
      </c>
      <c r="CB160" s="0" t="s">
        <v>240</v>
      </c>
      <c r="CC160" s="0" t="s">
        <v>240</v>
      </c>
      <c r="CD160" s="0" t="s">
        <v>240</v>
      </c>
      <c r="CE160" s="0" t="s">
        <v>240</v>
      </c>
      <c r="CF160" s="0" t="s">
        <v>240</v>
      </c>
      <c r="CG160" s="0" t="s">
        <v>5598</v>
      </c>
      <c r="CH160" s="0" t="s">
        <v>240</v>
      </c>
      <c r="CI160" s="0" t="s">
        <v>240</v>
      </c>
      <c r="CJ160" s="0" t="s">
        <v>240</v>
      </c>
      <c r="CK160" s="0" t="s">
        <v>240</v>
      </c>
      <c r="CL160" s="0" t="s">
        <v>240</v>
      </c>
      <c r="CM160" s="0" t="s">
        <v>6291</v>
      </c>
      <c r="CN160" s="0" t="s">
        <v>6291</v>
      </c>
      <c r="CO160" s="0" t="s">
        <v>240</v>
      </c>
      <c r="CP160" s="0" t="s">
        <v>240</v>
      </c>
      <c r="CQ160" s="0" t="s">
        <v>240</v>
      </c>
      <c r="CR160" s="0" t="s">
        <v>240</v>
      </c>
      <c r="CS160" s="0" t="s">
        <v>5578</v>
      </c>
      <c r="CT160" s="0" t="s">
        <v>5496</v>
      </c>
      <c r="CU160" s="0" t="s">
        <v>5497</v>
      </c>
      <c r="CV160" s="0" t="s">
        <v>443</v>
      </c>
      <c r="CW160" s="0" t="s">
        <v>5580</v>
      </c>
      <c r="CX160" s="0" t="s">
        <v>229</v>
      </c>
      <c r="CY160" s="0" t="s">
        <v>443</v>
      </c>
      <c r="CZ160" s="0" t="s">
        <v>5581</v>
      </c>
      <c r="DA160" s="0" t="s">
        <v>5582</v>
      </c>
      <c r="DB160" s="0" t="s">
        <v>5580</v>
      </c>
      <c r="DC160" s="0" t="s">
        <v>384</v>
      </c>
      <c r="DD160" s="0" t="s">
        <v>291</v>
      </c>
      <c r="DE160" s="0" t="s">
        <v>6292</v>
      </c>
    </row>
    <row customHeight="1" ht="11.25">
      <c r="A161" s="1441" t="s">
        <v>240</v>
      </c>
      <c r="B161" s="0" t="s">
        <v>240</v>
      </c>
      <c r="C161" s="0" t="s">
        <v>240</v>
      </c>
      <c r="D161" s="0" t="s">
        <v>240</v>
      </c>
      <c r="E161" s="0" t="s">
        <v>240</v>
      </c>
      <c r="F161" s="0" t="s">
        <v>240</v>
      </c>
      <c r="G161" s="0" t="s">
        <v>240</v>
      </c>
      <c r="H161" s="0" t="s">
        <v>240</v>
      </c>
      <c r="I161" s="0" t="s">
        <v>5484</v>
      </c>
      <c r="J161" s="0" t="s">
        <v>240</v>
      </c>
      <c r="K161" s="0" t="s">
        <v>240</v>
      </c>
      <c r="L161" s="0" t="s">
        <v>240</v>
      </c>
      <c r="M161" s="0" t="s">
        <v>240</v>
      </c>
      <c r="N161" s="0" t="s">
        <v>240</v>
      </c>
      <c r="O161" s="0" t="s">
        <v>240</v>
      </c>
      <c r="P161" s="0" t="s">
        <v>240</v>
      </c>
      <c r="Q161" s="0" t="s">
        <v>240</v>
      </c>
      <c r="R161" s="0" t="s">
        <v>5572</v>
      </c>
      <c r="S161" s="0" t="s">
        <v>240</v>
      </c>
      <c r="T161" s="0" t="s">
        <v>240</v>
      </c>
      <c r="U161" s="0" t="s">
        <v>102</v>
      </c>
      <c r="V161" s="0" t="s">
        <v>240</v>
      </c>
      <c r="W161" s="0" t="s">
        <v>240</v>
      </c>
      <c r="X161" s="0" t="s">
        <v>5485</v>
      </c>
      <c r="Y161" s="0" t="s">
        <v>240</v>
      </c>
      <c r="Z161" s="0" t="s">
        <v>161</v>
      </c>
      <c r="AA161" s="0" t="s">
        <v>152</v>
      </c>
      <c r="AB161" s="0" t="s">
        <v>152</v>
      </c>
      <c r="AC161" s="0" t="s">
        <v>2989</v>
      </c>
      <c r="AD161" s="0" t="s">
        <v>2989</v>
      </c>
      <c r="AE161" s="0" t="s">
        <v>2990</v>
      </c>
      <c r="AF161" s="0" t="s">
        <v>6293</v>
      </c>
      <c r="AG161" s="0" t="s">
        <v>6294</v>
      </c>
      <c r="AH161" s="0" t="s">
        <v>5984</v>
      </c>
      <c r="AI161" s="0" t="s">
        <v>6295</v>
      </c>
      <c r="AJ161" s="0" t="s">
        <v>5576</v>
      </c>
      <c r="AK161" s="0" t="s">
        <v>6296</v>
      </c>
      <c r="AL161" s="0" t="s">
        <v>5506</v>
      </c>
      <c r="AM161" s="0" t="s">
        <v>5493</v>
      </c>
      <c r="AN161" s="0" t="s">
        <v>5578</v>
      </c>
      <c r="AO161" s="0" t="s">
        <v>5855</v>
      </c>
      <c r="AP161" s="0" t="s">
        <v>240</v>
      </c>
      <c r="AQ161" s="0" t="s">
        <v>240</v>
      </c>
      <c r="AR161" s="0" t="s">
        <v>240</v>
      </c>
      <c r="AS161" s="0" t="s">
        <v>240</v>
      </c>
      <c r="AT161" s="0" t="s">
        <v>240</v>
      </c>
      <c r="AU161" s="0" t="s">
        <v>240</v>
      </c>
      <c r="AV161" s="0" t="s">
        <v>240</v>
      </c>
      <c r="AW161" s="0" t="s">
        <v>240</v>
      </c>
      <c r="AX161" s="0" t="s">
        <v>240</v>
      </c>
      <c r="AY161" s="0" t="s">
        <v>240</v>
      </c>
      <c r="AZ161" s="0" t="s">
        <v>240</v>
      </c>
      <c r="BA161" s="0" t="s">
        <v>240</v>
      </c>
      <c r="BB161" s="0" t="s">
        <v>240</v>
      </c>
      <c r="BC161" s="0" t="s">
        <v>240</v>
      </c>
      <c r="BD161" s="0" t="s">
        <v>240</v>
      </c>
      <c r="BE161" s="0" t="s">
        <v>240</v>
      </c>
      <c r="BF161" s="0" t="s">
        <v>240</v>
      </c>
      <c r="BG161" s="0" t="s">
        <v>240</v>
      </c>
      <c r="BH161" s="0" t="s">
        <v>240</v>
      </c>
      <c r="BI161" s="0" t="s">
        <v>240</v>
      </c>
      <c r="BJ161" s="0" t="s">
        <v>240</v>
      </c>
      <c r="BK161" s="0" t="s">
        <v>240</v>
      </c>
      <c r="BL161" s="0" t="s">
        <v>240</v>
      </c>
      <c r="BM161" s="0" t="s">
        <v>240</v>
      </c>
      <c r="BN161" s="0" t="s">
        <v>240</v>
      </c>
      <c r="BO161" s="0" t="s">
        <v>240</v>
      </c>
      <c r="BP161" s="0" t="s">
        <v>240</v>
      </c>
      <c r="BQ161" s="0" t="s">
        <v>240</v>
      </c>
      <c r="BR161" s="0" t="s">
        <v>240</v>
      </c>
      <c r="BS161" s="0" t="s">
        <v>240</v>
      </c>
      <c r="BT161" s="0" t="s">
        <v>240</v>
      </c>
      <c r="BU161" s="0" t="s">
        <v>240</v>
      </c>
      <c r="BV161" s="0" t="s">
        <v>240</v>
      </c>
      <c r="BW161" s="0" t="s">
        <v>240</v>
      </c>
      <c r="BX161" s="0" t="s">
        <v>240</v>
      </c>
      <c r="BY161" s="0" t="s">
        <v>240</v>
      </c>
      <c r="BZ161" s="0" t="s">
        <v>240</v>
      </c>
      <c r="CA161" s="0" t="s">
        <v>240</v>
      </c>
      <c r="CB161" s="0" t="s">
        <v>240</v>
      </c>
      <c r="CC161" s="0" t="s">
        <v>240</v>
      </c>
      <c r="CD161" s="0" t="s">
        <v>240</v>
      </c>
      <c r="CE161" s="0" t="s">
        <v>240</v>
      </c>
      <c r="CF161" s="0" t="s">
        <v>240</v>
      </c>
      <c r="CG161" s="0" t="s">
        <v>240</v>
      </c>
      <c r="CH161" s="0" t="s">
        <v>240</v>
      </c>
      <c r="CI161" s="0" t="s">
        <v>240</v>
      </c>
      <c r="CJ161" s="0" t="s">
        <v>240</v>
      </c>
      <c r="CK161" s="0" t="s">
        <v>240</v>
      </c>
      <c r="CL161" s="0" t="s">
        <v>240</v>
      </c>
      <c r="CM161" s="0" t="s">
        <v>240</v>
      </c>
      <c r="CN161" s="0" t="s">
        <v>240</v>
      </c>
      <c r="CO161" s="0" t="s">
        <v>240</v>
      </c>
      <c r="CP161" s="0" t="s">
        <v>240</v>
      </c>
      <c r="CQ161" s="0" t="s">
        <v>240</v>
      </c>
      <c r="CR161" s="0" t="s">
        <v>240</v>
      </c>
      <c r="CS161" s="0" t="s">
        <v>240</v>
      </c>
      <c r="CT161" s="0" t="s">
        <v>5496</v>
      </c>
      <c r="CU161" s="0" t="s">
        <v>5497</v>
      </c>
      <c r="CV161" s="0" t="s">
        <v>443</v>
      </c>
      <c r="CW161" s="0" t="s">
        <v>5580</v>
      </c>
      <c r="CX161" s="0" t="s">
        <v>229</v>
      </c>
      <c r="CY161" s="0" t="s">
        <v>443</v>
      </c>
      <c r="CZ161" s="0" t="s">
        <v>5581</v>
      </c>
      <c r="DA161" s="0" t="s">
        <v>5582</v>
      </c>
      <c r="DB161" s="0" t="s">
        <v>5580</v>
      </c>
      <c r="DC161" s="0" t="s">
        <v>384</v>
      </c>
      <c r="DD161" s="0" t="s">
        <v>291</v>
      </c>
      <c r="DE161" s="0" t="s">
        <v>6297</v>
      </c>
    </row>
    <row customHeight="1" ht="11.25">
      <c r="A162" s="1441" t="s">
        <v>240</v>
      </c>
      <c r="B162" s="0" t="s">
        <v>240</v>
      </c>
      <c r="C162" s="0" t="s">
        <v>240</v>
      </c>
      <c r="D162" s="0" t="s">
        <v>240</v>
      </c>
      <c r="E162" s="0" t="s">
        <v>240</v>
      </c>
      <c r="F162" s="0" t="s">
        <v>240</v>
      </c>
      <c r="G162" s="0" t="s">
        <v>240</v>
      </c>
      <c r="H162" s="0" t="s">
        <v>240</v>
      </c>
      <c r="I162" s="0" t="s">
        <v>5484</v>
      </c>
      <c r="J162" s="0" t="s">
        <v>240</v>
      </c>
      <c r="K162" s="0" t="s">
        <v>240</v>
      </c>
      <c r="L162" s="0" t="s">
        <v>240</v>
      </c>
      <c r="M162" s="0" t="s">
        <v>240</v>
      </c>
      <c r="N162" s="0" t="s">
        <v>240</v>
      </c>
      <c r="O162" s="0" t="s">
        <v>240</v>
      </c>
      <c r="P162" s="0" t="s">
        <v>240</v>
      </c>
      <c r="Q162" s="0" t="s">
        <v>240</v>
      </c>
      <c r="R162" s="0" t="s">
        <v>6298</v>
      </c>
      <c r="S162" s="0" t="s">
        <v>240</v>
      </c>
      <c r="T162" s="0" t="s">
        <v>240</v>
      </c>
      <c r="U162" s="0" t="s">
        <v>102</v>
      </c>
      <c r="V162" s="0" t="s">
        <v>240</v>
      </c>
      <c r="W162" s="0" t="s">
        <v>240</v>
      </c>
      <c r="X162" s="0" t="s">
        <v>5485</v>
      </c>
      <c r="Y162" s="0" t="s">
        <v>240</v>
      </c>
      <c r="Z162" s="0" t="s">
        <v>161</v>
      </c>
      <c r="AA162" s="0" t="s">
        <v>152</v>
      </c>
      <c r="AB162" s="0" t="s">
        <v>152</v>
      </c>
      <c r="AC162" s="0" t="s">
        <v>2985</v>
      </c>
      <c r="AD162" s="0" t="s">
        <v>2985</v>
      </c>
      <c r="AE162" s="0" t="s">
        <v>2986</v>
      </c>
      <c r="AF162" s="0" t="s">
        <v>5951</v>
      </c>
      <c r="AG162" s="0" t="s">
        <v>5952</v>
      </c>
      <c r="AH162" s="0" t="s">
        <v>6299</v>
      </c>
      <c r="AI162" s="0" t="s">
        <v>6300</v>
      </c>
      <c r="AJ162" s="0" t="s">
        <v>5504</v>
      </c>
      <c r="AK162" s="0" t="s">
        <v>5504</v>
      </c>
      <c r="AL162" s="0" t="s">
        <v>5605</v>
      </c>
      <c r="AM162" s="0" t="s">
        <v>5493</v>
      </c>
      <c r="AN162" s="0" t="s">
        <v>5507</v>
      </c>
      <c r="AO162" s="0" t="s">
        <v>6301</v>
      </c>
      <c r="AP162" s="0" t="s">
        <v>240</v>
      </c>
      <c r="AQ162" s="0" t="s">
        <v>240</v>
      </c>
      <c r="AR162" s="0" t="s">
        <v>240</v>
      </c>
      <c r="AS162" s="0" t="s">
        <v>240</v>
      </c>
      <c r="AT162" s="0" t="s">
        <v>240</v>
      </c>
      <c r="AU162" s="0" t="s">
        <v>240</v>
      </c>
      <c r="AV162" s="0" t="s">
        <v>240</v>
      </c>
      <c r="AW162" s="0" t="s">
        <v>240</v>
      </c>
      <c r="AX162" s="0" t="s">
        <v>240</v>
      </c>
      <c r="AY162" s="0" t="s">
        <v>240</v>
      </c>
      <c r="AZ162" s="0" t="s">
        <v>240</v>
      </c>
      <c r="BA162" s="0" t="s">
        <v>240</v>
      </c>
      <c r="BB162" s="0" t="s">
        <v>240</v>
      </c>
      <c r="BC162" s="0" t="s">
        <v>240</v>
      </c>
      <c r="BD162" s="0" t="s">
        <v>240</v>
      </c>
      <c r="BE162" s="0" t="s">
        <v>240</v>
      </c>
      <c r="BF162" s="0" t="s">
        <v>240</v>
      </c>
      <c r="BG162" s="0" t="s">
        <v>240</v>
      </c>
      <c r="BH162" s="0" t="s">
        <v>240</v>
      </c>
      <c r="BI162" s="0" t="s">
        <v>240</v>
      </c>
      <c r="BJ162" s="0" t="s">
        <v>240</v>
      </c>
      <c r="BK162" s="0" t="s">
        <v>240</v>
      </c>
      <c r="BL162" s="0" t="s">
        <v>240</v>
      </c>
      <c r="BM162" s="0" t="s">
        <v>240</v>
      </c>
      <c r="BN162" s="0" t="s">
        <v>240</v>
      </c>
      <c r="BO162" s="0" t="s">
        <v>240</v>
      </c>
      <c r="BP162" s="0" t="s">
        <v>240</v>
      </c>
      <c r="BQ162" s="0" t="s">
        <v>240</v>
      </c>
      <c r="BR162" s="0" t="s">
        <v>240</v>
      </c>
      <c r="BS162" s="0" t="s">
        <v>240</v>
      </c>
      <c r="BT162" s="0" t="s">
        <v>240</v>
      </c>
      <c r="BU162" s="0" t="s">
        <v>240</v>
      </c>
      <c r="BV162" s="0" t="s">
        <v>240</v>
      </c>
      <c r="BW162" s="0" t="s">
        <v>240</v>
      </c>
      <c r="BX162" s="0" t="s">
        <v>240</v>
      </c>
      <c r="BY162" s="0" t="s">
        <v>240</v>
      </c>
      <c r="BZ162" s="0" t="s">
        <v>240</v>
      </c>
      <c r="CA162" s="0" t="s">
        <v>240</v>
      </c>
      <c r="CB162" s="0" t="s">
        <v>240</v>
      </c>
      <c r="CC162" s="0" t="s">
        <v>240</v>
      </c>
      <c r="CD162" s="0" t="s">
        <v>240</v>
      </c>
      <c r="CE162" s="0" t="s">
        <v>240</v>
      </c>
      <c r="CF162" s="0" t="s">
        <v>240</v>
      </c>
      <c r="CG162" s="0" t="s">
        <v>240</v>
      </c>
      <c r="CH162" s="0" t="s">
        <v>240</v>
      </c>
      <c r="CI162" s="0" t="s">
        <v>240</v>
      </c>
      <c r="CJ162" s="0" t="s">
        <v>240</v>
      </c>
      <c r="CK162" s="0" t="s">
        <v>240</v>
      </c>
      <c r="CL162" s="0" t="s">
        <v>240</v>
      </c>
      <c r="CM162" s="0" t="s">
        <v>240</v>
      </c>
      <c r="CN162" s="0" t="s">
        <v>240</v>
      </c>
      <c r="CO162" s="0" t="s">
        <v>240</v>
      </c>
      <c r="CP162" s="0" t="s">
        <v>240</v>
      </c>
      <c r="CQ162" s="0" t="s">
        <v>240</v>
      </c>
      <c r="CR162" s="0" t="s">
        <v>240</v>
      </c>
      <c r="CS162" s="0" t="s">
        <v>240</v>
      </c>
      <c r="CT162" s="0" t="s">
        <v>5496</v>
      </c>
      <c r="CU162" s="0" t="s">
        <v>5497</v>
      </c>
      <c r="CV162" s="0" t="s">
        <v>443</v>
      </c>
      <c r="CW162" s="0" t="s">
        <v>5509</v>
      </c>
      <c r="CX162" s="0" t="s">
        <v>229</v>
      </c>
      <c r="CY162" s="0" t="s">
        <v>443</v>
      </c>
      <c r="CZ162" s="0" t="s">
        <v>5510</v>
      </c>
      <c r="DA162" s="0" t="s">
        <v>5511</v>
      </c>
      <c r="DB162" s="0" t="s">
        <v>5509</v>
      </c>
      <c r="DC162" s="0" t="s">
        <v>384</v>
      </c>
      <c r="DD162" s="0" t="s">
        <v>291</v>
      </c>
      <c r="DE162" s="0" t="s">
        <v>6302</v>
      </c>
    </row>
    <row customHeight="1" ht="11.25">
      <c r="A163" s="1441" t="s">
        <v>240</v>
      </c>
      <c r="B163" s="0" t="s">
        <v>240</v>
      </c>
      <c r="C163" s="0" t="s">
        <v>240</v>
      </c>
      <c r="D163" s="0" t="s">
        <v>240</v>
      </c>
      <c r="E163" s="0" t="s">
        <v>240</v>
      </c>
      <c r="F163" s="0" t="s">
        <v>240</v>
      </c>
      <c r="G163" s="0" t="s">
        <v>240</v>
      </c>
      <c r="H163" s="0" t="s">
        <v>240</v>
      </c>
      <c r="I163" s="0" t="s">
        <v>5484</v>
      </c>
      <c r="J163" s="0" t="s">
        <v>240</v>
      </c>
      <c r="K163" s="0" t="s">
        <v>240</v>
      </c>
      <c r="L163" s="0" t="s">
        <v>240</v>
      </c>
      <c r="M163" s="0" t="s">
        <v>240</v>
      </c>
      <c r="N163" s="0" t="s">
        <v>240</v>
      </c>
      <c r="O163" s="0" t="s">
        <v>240</v>
      </c>
      <c r="P163" s="0" t="s">
        <v>240</v>
      </c>
      <c r="Q163" s="0" t="s">
        <v>240</v>
      </c>
      <c r="R163" s="0" t="s">
        <v>6303</v>
      </c>
      <c r="S163" s="0" t="s">
        <v>240</v>
      </c>
      <c r="T163" s="0" t="s">
        <v>240</v>
      </c>
      <c r="U163" s="0" t="s">
        <v>102</v>
      </c>
      <c r="V163" s="0" t="s">
        <v>240</v>
      </c>
      <c r="W163" s="0" t="s">
        <v>240</v>
      </c>
      <c r="X163" s="0" t="s">
        <v>5485</v>
      </c>
      <c r="Y163" s="0" t="s">
        <v>240</v>
      </c>
      <c r="Z163" s="0" t="s">
        <v>161</v>
      </c>
      <c r="AA163" s="0" t="s">
        <v>152</v>
      </c>
      <c r="AB163" s="0" t="s">
        <v>152</v>
      </c>
      <c r="AC163" s="0" t="s">
        <v>2985</v>
      </c>
      <c r="AD163" s="0" t="s">
        <v>2985</v>
      </c>
      <c r="AE163" s="0" t="s">
        <v>2986</v>
      </c>
      <c r="AF163" s="0" t="s">
        <v>6033</v>
      </c>
      <c r="AG163" s="0" t="s">
        <v>6034</v>
      </c>
      <c r="AH163" s="0" t="s">
        <v>6037</v>
      </c>
      <c r="AI163" s="0" t="s">
        <v>6038</v>
      </c>
      <c r="AJ163" s="0" t="s">
        <v>5504</v>
      </c>
      <c r="AK163" s="0" t="s">
        <v>5505</v>
      </c>
      <c r="AL163" s="0" t="s">
        <v>5506</v>
      </c>
      <c r="AM163" s="0" t="s">
        <v>5493</v>
      </c>
      <c r="AN163" s="0" t="s">
        <v>5507</v>
      </c>
      <c r="AO163" s="0" t="s">
        <v>5636</v>
      </c>
      <c r="AP163" s="0" t="s">
        <v>240</v>
      </c>
      <c r="AQ163" s="0" t="s">
        <v>240</v>
      </c>
      <c r="AR163" s="0" t="s">
        <v>240</v>
      </c>
      <c r="AS163" s="0" t="s">
        <v>240</v>
      </c>
      <c r="AT163" s="0" t="s">
        <v>240</v>
      </c>
      <c r="AU163" s="0" t="s">
        <v>240</v>
      </c>
      <c r="AV163" s="0" t="s">
        <v>240</v>
      </c>
      <c r="AW163" s="0" t="s">
        <v>240</v>
      </c>
      <c r="AX163" s="0" t="s">
        <v>240</v>
      </c>
      <c r="AY163" s="0" t="s">
        <v>240</v>
      </c>
      <c r="AZ163" s="0" t="s">
        <v>240</v>
      </c>
      <c r="BA163" s="0" t="s">
        <v>240</v>
      </c>
      <c r="BB163" s="0" t="s">
        <v>240</v>
      </c>
      <c r="BC163" s="0" t="s">
        <v>240</v>
      </c>
      <c r="BD163" s="0" t="s">
        <v>240</v>
      </c>
      <c r="BE163" s="0" t="s">
        <v>240</v>
      </c>
      <c r="BF163" s="0" t="s">
        <v>240</v>
      </c>
      <c r="BG163" s="0" t="s">
        <v>240</v>
      </c>
      <c r="BH163" s="0" t="s">
        <v>240</v>
      </c>
      <c r="BI163" s="0" t="s">
        <v>240</v>
      </c>
      <c r="BJ163" s="0" t="s">
        <v>240</v>
      </c>
      <c r="BK163" s="0" t="s">
        <v>240</v>
      </c>
      <c r="BL163" s="0" t="s">
        <v>240</v>
      </c>
      <c r="BM163" s="0" t="s">
        <v>240</v>
      </c>
      <c r="BN163" s="0" t="s">
        <v>240</v>
      </c>
      <c r="BO163" s="0" t="s">
        <v>240</v>
      </c>
      <c r="BP163" s="0" t="s">
        <v>240</v>
      </c>
      <c r="BQ163" s="0" t="s">
        <v>240</v>
      </c>
      <c r="BR163" s="0" t="s">
        <v>240</v>
      </c>
      <c r="BS163" s="0" t="s">
        <v>240</v>
      </c>
      <c r="BT163" s="0" t="s">
        <v>240</v>
      </c>
      <c r="BU163" s="0" t="s">
        <v>240</v>
      </c>
      <c r="BV163" s="0" t="s">
        <v>240</v>
      </c>
      <c r="BW163" s="0" t="s">
        <v>240</v>
      </c>
      <c r="BX163" s="0" t="s">
        <v>240</v>
      </c>
      <c r="BY163" s="0" t="s">
        <v>240</v>
      </c>
      <c r="BZ163" s="0" t="s">
        <v>240</v>
      </c>
      <c r="CA163" s="0" t="s">
        <v>240</v>
      </c>
      <c r="CB163" s="0" t="s">
        <v>240</v>
      </c>
      <c r="CC163" s="0" t="s">
        <v>240</v>
      </c>
      <c r="CD163" s="0" t="s">
        <v>240</v>
      </c>
      <c r="CE163" s="0" t="s">
        <v>240</v>
      </c>
      <c r="CF163" s="0" t="s">
        <v>240</v>
      </c>
      <c r="CG163" s="0" t="s">
        <v>240</v>
      </c>
      <c r="CH163" s="0" t="s">
        <v>240</v>
      </c>
      <c r="CI163" s="0" t="s">
        <v>240</v>
      </c>
      <c r="CJ163" s="0" t="s">
        <v>240</v>
      </c>
      <c r="CK163" s="0" t="s">
        <v>240</v>
      </c>
      <c r="CL163" s="0" t="s">
        <v>240</v>
      </c>
      <c r="CM163" s="0" t="s">
        <v>240</v>
      </c>
      <c r="CN163" s="0" t="s">
        <v>240</v>
      </c>
      <c r="CO163" s="0" t="s">
        <v>240</v>
      </c>
      <c r="CP163" s="0" t="s">
        <v>240</v>
      </c>
      <c r="CQ163" s="0" t="s">
        <v>240</v>
      </c>
      <c r="CR163" s="0" t="s">
        <v>240</v>
      </c>
      <c r="CS163" s="0" t="s">
        <v>240</v>
      </c>
      <c r="CT163" s="0" t="s">
        <v>5496</v>
      </c>
      <c r="CU163" s="0" t="s">
        <v>5497</v>
      </c>
      <c r="CV163" s="0" t="s">
        <v>443</v>
      </c>
      <c r="CW163" s="0" t="s">
        <v>5509</v>
      </c>
      <c r="CX163" s="0" t="s">
        <v>229</v>
      </c>
      <c r="CY163" s="0" t="s">
        <v>443</v>
      </c>
      <c r="CZ163" s="0" t="s">
        <v>5510</v>
      </c>
      <c r="DA163" s="0" t="s">
        <v>5511</v>
      </c>
      <c r="DB163" s="0" t="s">
        <v>5509</v>
      </c>
      <c r="DC163" s="0" t="s">
        <v>384</v>
      </c>
      <c r="DD163" s="0" t="s">
        <v>291</v>
      </c>
      <c r="DE163" s="0" t="s">
        <v>6304</v>
      </c>
    </row>
    <row customHeight="1" ht="11.25">
      <c r="A164" s="1441" t="s">
        <v>240</v>
      </c>
      <c r="B164" s="0" t="s">
        <v>240</v>
      </c>
      <c r="C164" s="0" t="s">
        <v>240</v>
      </c>
      <c r="D164" s="0" t="s">
        <v>240</v>
      </c>
      <c r="E164" s="0" t="s">
        <v>240</v>
      </c>
      <c r="F164" s="0" t="s">
        <v>240</v>
      </c>
      <c r="G164" s="0" t="s">
        <v>240</v>
      </c>
      <c r="H164" s="0" t="s">
        <v>240</v>
      </c>
      <c r="I164" s="0" t="s">
        <v>5484</v>
      </c>
      <c r="J164" s="0" t="s">
        <v>240</v>
      </c>
      <c r="K164" s="0" t="s">
        <v>240</v>
      </c>
      <c r="L164" s="0" t="s">
        <v>240</v>
      </c>
      <c r="M164" s="0" t="s">
        <v>240</v>
      </c>
      <c r="N164" s="0" t="s">
        <v>240</v>
      </c>
      <c r="O164" s="0" t="s">
        <v>240</v>
      </c>
      <c r="P164" s="0" t="s">
        <v>240</v>
      </c>
      <c r="Q164" s="0" t="s">
        <v>240</v>
      </c>
      <c r="R164" s="0" t="s">
        <v>6305</v>
      </c>
      <c r="S164" s="0" t="s">
        <v>240</v>
      </c>
      <c r="T164" s="0" t="s">
        <v>240</v>
      </c>
      <c r="U164" s="0" t="s">
        <v>102</v>
      </c>
      <c r="V164" s="0" t="s">
        <v>240</v>
      </c>
      <c r="W164" s="0" t="s">
        <v>240</v>
      </c>
      <c r="X164" s="0" t="s">
        <v>5485</v>
      </c>
      <c r="Y164" s="0" t="s">
        <v>240</v>
      </c>
      <c r="Z164" s="0" t="s">
        <v>161</v>
      </c>
      <c r="AA164" s="0" t="s">
        <v>152</v>
      </c>
      <c r="AB164" s="0" t="s">
        <v>152</v>
      </c>
      <c r="AC164" s="0" t="s">
        <v>2991</v>
      </c>
      <c r="AD164" s="0" t="s">
        <v>2991</v>
      </c>
      <c r="AE164" s="0" t="s">
        <v>2992</v>
      </c>
      <c r="AF164" s="0" t="s">
        <v>5749</v>
      </c>
      <c r="AG164" s="0" t="s">
        <v>5750</v>
      </c>
      <c r="AH164" s="0" t="s">
        <v>5684</v>
      </c>
      <c r="AI164" s="0" t="s">
        <v>6306</v>
      </c>
      <c r="AJ164" s="0" t="s">
        <v>5507</v>
      </c>
      <c r="AK164" s="0" t="s">
        <v>5545</v>
      </c>
      <c r="AL164" s="0" t="s">
        <v>6109</v>
      </c>
      <c r="AM164" s="0" t="s">
        <v>5493</v>
      </c>
      <c r="AN164" s="0" t="s">
        <v>5553</v>
      </c>
      <c r="AO164" s="0" t="s">
        <v>5752</v>
      </c>
      <c r="AP164" s="0" t="s">
        <v>240</v>
      </c>
      <c r="AQ164" s="0" t="s">
        <v>240</v>
      </c>
      <c r="AR164" s="0" t="s">
        <v>240</v>
      </c>
      <c r="AS164" s="0" t="s">
        <v>240</v>
      </c>
      <c r="AT164" s="0" t="s">
        <v>240</v>
      </c>
      <c r="AU164" s="0" t="s">
        <v>240</v>
      </c>
      <c r="AV164" s="0" t="s">
        <v>240</v>
      </c>
      <c r="AW164" s="0" t="s">
        <v>240</v>
      </c>
      <c r="AX164" s="0" t="s">
        <v>240</v>
      </c>
      <c r="AY164" s="0" t="s">
        <v>240</v>
      </c>
      <c r="AZ164" s="0" t="s">
        <v>240</v>
      </c>
      <c r="BA164" s="0" t="s">
        <v>240</v>
      </c>
      <c r="BB164" s="0" t="s">
        <v>240</v>
      </c>
      <c r="BC164" s="0" t="s">
        <v>240</v>
      </c>
      <c r="BD164" s="0" t="s">
        <v>240</v>
      </c>
      <c r="BE164" s="0" t="s">
        <v>240</v>
      </c>
      <c r="BF164" s="0" t="s">
        <v>240</v>
      </c>
      <c r="BG164" s="0" t="s">
        <v>240</v>
      </c>
      <c r="BH164" s="0" t="s">
        <v>240</v>
      </c>
      <c r="BI164" s="0" t="s">
        <v>240</v>
      </c>
      <c r="BJ164" s="0" t="s">
        <v>240</v>
      </c>
      <c r="BK164" s="0" t="s">
        <v>240</v>
      </c>
      <c r="BL164" s="0" t="s">
        <v>240</v>
      </c>
      <c r="BM164" s="0" t="s">
        <v>240</v>
      </c>
      <c r="BN164" s="0" t="s">
        <v>240</v>
      </c>
      <c r="BO164" s="0" t="s">
        <v>240</v>
      </c>
      <c r="BP164" s="0" t="s">
        <v>240</v>
      </c>
      <c r="BQ164" s="0" t="s">
        <v>240</v>
      </c>
      <c r="BR164" s="0" t="s">
        <v>240</v>
      </c>
      <c r="BS164" s="0" t="s">
        <v>240</v>
      </c>
      <c r="BT164" s="0" t="s">
        <v>240</v>
      </c>
      <c r="BU164" s="0" t="s">
        <v>240</v>
      </c>
      <c r="BV164" s="0" t="s">
        <v>240</v>
      </c>
      <c r="BW164" s="0" t="s">
        <v>240</v>
      </c>
      <c r="BX164" s="0" t="s">
        <v>240</v>
      </c>
      <c r="BY164" s="0" t="s">
        <v>240</v>
      </c>
      <c r="BZ164" s="0" t="s">
        <v>240</v>
      </c>
      <c r="CA164" s="0" t="s">
        <v>240</v>
      </c>
      <c r="CB164" s="0" t="s">
        <v>240</v>
      </c>
      <c r="CC164" s="0" t="s">
        <v>240</v>
      </c>
      <c r="CD164" s="0" t="s">
        <v>240</v>
      </c>
      <c r="CE164" s="0" t="s">
        <v>240</v>
      </c>
      <c r="CF164" s="0" t="s">
        <v>240</v>
      </c>
      <c r="CG164" s="0" t="s">
        <v>240</v>
      </c>
      <c r="CH164" s="0" t="s">
        <v>240</v>
      </c>
      <c r="CI164" s="0" t="s">
        <v>240</v>
      </c>
      <c r="CJ164" s="0" t="s">
        <v>240</v>
      </c>
      <c r="CK164" s="0" t="s">
        <v>240</v>
      </c>
      <c r="CL164" s="0" t="s">
        <v>240</v>
      </c>
      <c r="CM164" s="0" t="s">
        <v>240</v>
      </c>
      <c r="CN164" s="0" t="s">
        <v>240</v>
      </c>
      <c r="CO164" s="0" t="s">
        <v>240</v>
      </c>
      <c r="CP164" s="0" t="s">
        <v>240</v>
      </c>
      <c r="CQ164" s="0" t="s">
        <v>240</v>
      </c>
      <c r="CR164" s="0" t="s">
        <v>240</v>
      </c>
      <c r="CS164" s="0" t="s">
        <v>240</v>
      </c>
      <c r="CT164" s="0" t="s">
        <v>5496</v>
      </c>
      <c r="CU164" s="0" t="s">
        <v>5497</v>
      </c>
      <c r="CV164" s="0" t="s">
        <v>443</v>
      </c>
      <c r="CW164" s="0" t="s">
        <v>5547</v>
      </c>
      <c r="CX164" s="0" t="s">
        <v>229</v>
      </c>
      <c r="CY164" s="0" t="s">
        <v>443</v>
      </c>
      <c r="CZ164" s="0" t="s">
        <v>5548</v>
      </c>
      <c r="DA164" s="0" t="s">
        <v>5549</v>
      </c>
      <c r="DB164" s="0" t="s">
        <v>5547</v>
      </c>
      <c r="DC164" s="0" t="s">
        <v>384</v>
      </c>
      <c r="DD164" s="0" t="s">
        <v>291</v>
      </c>
      <c r="DE164" s="0" t="s">
        <v>6307</v>
      </c>
    </row>
    <row customHeight="1" ht="11.25">
      <c r="A165" s="1441" t="s">
        <v>240</v>
      </c>
      <c r="B165" s="0" t="s">
        <v>240</v>
      </c>
      <c r="C165" s="0" t="s">
        <v>240</v>
      </c>
      <c r="D165" s="0" t="s">
        <v>240</v>
      </c>
      <c r="E165" s="0" t="s">
        <v>240</v>
      </c>
      <c r="F165" s="0" t="s">
        <v>240</v>
      </c>
      <c r="G165" s="0" t="s">
        <v>240</v>
      </c>
      <c r="H165" s="0" t="s">
        <v>240</v>
      </c>
      <c r="I165" s="0" t="s">
        <v>5484</v>
      </c>
      <c r="J165" s="0" t="s">
        <v>240</v>
      </c>
      <c r="K165" s="0" t="s">
        <v>240</v>
      </c>
      <c r="L165" s="0" t="s">
        <v>240</v>
      </c>
      <c r="M165" s="0" t="s">
        <v>240</v>
      </c>
      <c r="N165" s="0" t="s">
        <v>240</v>
      </c>
      <c r="O165" s="0" t="s">
        <v>240</v>
      </c>
      <c r="P165" s="0" t="s">
        <v>240</v>
      </c>
      <c r="Q165" s="0" t="s">
        <v>240</v>
      </c>
      <c r="R165" s="0" t="s">
        <v>5572</v>
      </c>
      <c r="S165" s="0" t="s">
        <v>240</v>
      </c>
      <c r="T165" s="0" t="s">
        <v>240</v>
      </c>
      <c r="U165" s="0" t="s">
        <v>102</v>
      </c>
      <c r="V165" s="0" t="s">
        <v>240</v>
      </c>
      <c r="W165" s="0" t="s">
        <v>240</v>
      </c>
      <c r="X165" s="0" t="s">
        <v>5485</v>
      </c>
      <c r="Y165" s="0" t="s">
        <v>240</v>
      </c>
      <c r="Z165" s="0" t="s">
        <v>161</v>
      </c>
      <c r="AA165" s="0" t="s">
        <v>152</v>
      </c>
      <c r="AB165" s="0" t="s">
        <v>152</v>
      </c>
      <c r="AC165" s="0" t="s">
        <v>2991</v>
      </c>
      <c r="AD165" s="0" t="s">
        <v>2991</v>
      </c>
      <c r="AE165" s="0" t="s">
        <v>2992</v>
      </c>
      <c r="AF165" s="0" t="s">
        <v>5844</v>
      </c>
      <c r="AG165" s="0" t="s">
        <v>5845</v>
      </c>
      <c r="AH165" s="0" t="s">
        <v>6120</v>
      </c>
      <c r="AI165" s="0" t="s">
        <v>353</v>
      </c>
      <c r="AJ165" s="0" t="s">
        <v>5504</v>
      </c>
      <c r="AK165" s="0" t="s">
        <v>5544</v>
      </c>
      <c r="AL165" s="0" t="s">
        <v>5506</v>
      </c>
      <c r="AM165" s="0" t="s">
        <v>5493</v>
      </c>
      <c r="AN165" s="0" t="s">
        <v>5545</v>
      </c>
      <c r="AO165" s="0" t="s">
        <v>5680</v>
      </c>
      <c r="AP165" s="0" t="s">
        <v>240</v>
      </c>
      <c r="AQ165" s="0" t="s">
        <v>240</v>
      </c>
      <c r="AR165" s="0" t="s">
        <v>240</v>
      </c>
      <c r="AS165" s="0" t="s">
        <v>240</v>
      </c>
      <c r="AT165" s="0" t="s">
        <v>240</v>
      </c>
      <c r="AU165" s="0" t="s">
        <v>240</v>
      </c>
      <c r="AV165" s="0" t="s">
        <v>240</v>
      </c>
      <c r="AW165" s="0" t="s">
        <v>240</v>
      </c>
      <c r="AX165" s="0" t="s">
        <v>240</v>
      </c>
      <c r="AY165" s="0" t="s">
        <v>240</v>
      </c>
      <c r="AZ165" s="0" t="s">
        <v>240</v>
      </c>
      <c r="BA165" s="0" t="s">
        <v>240</v>
      </c>
      <c r="BB165" s="0" t="s">
        <v>240</v>
      </c>
      <c r="BC165" s="0" t="s">
        <v>240</v>
      </c>
      <c r="BD165" s="0" t="s">
        <v>240</v>
      </c>
      <c r="BE165" s="0" t="s">
        <v>240</v>
      </c>
      <c r="BF165" s="0" t="s">
        <v>240</v>
      </c>
      <c r="BG165" s="0" t="s">
        <v>240</v>
      </c>
      <c r="BH165" s="0" t="s">
        <v>240</v>
      </c>
      <c r="BI165" s="0" t="s">
        <v>240</v>
      </c>
      <c r="BJ165" s="0" t="s">
        <v>240</v>
      </c>
      <c r="BK165" s="0" t="s">
        <v>240</v>
      </c>
      <c r="BL165" s="0" t="s">
        <v>240</v>
      </c>
      <c r="BM165" s="0" t="s">
        <v>240</v>
      </c>
      <c r="BN165" s="0" t="s">
        <v>240</v>
      </c>
      <c r="BO165" s="0" t="s">
        <v>240</v>
      </c>
      <c r="BP165" s="0" t="s">
        <v>240</v>
      </c>
      <c r="BQ165" s="0" t="s">
        <v>240</v>
      </c>
      <c r="BR165" s="0" t="s">
        <v>240</v>
      </c>
      <c r="BS165" s="0" t="s">
        <v>240</v>
      </c>
      <c r="BT165" s="0" t="s">
        <v>240</v>
      </c>
      <c r="BU165" s="0" t="s">
        <v>240</v>
      </c>
      <c r="BV165" s="0" t="s">
        <v>240</v>
      </c>
      <c r="BW165" s="0" t="s">
        <v>240</v>
      </c>
      <c r="BX165" s="0" t="s">
        <v>240</v>
      </c>
      <c r="BY165" s="0" t="s">
        <v>240</v>
      </c>
      <c r="BZ165" s="0" t="s">
        <v>240</v>
      </c>
      <c r="CA165" s="0" t="s">
        <v>240</v>
      </c>
      <c r="CB165" s="0" t="s">
        <v>240</v>
      </c>
      <c r="CC165" s="0" t="s">
        <v>240</v>
      </c>
      <c r="CD165" s="0" t="s">
        <v>240</v>
      </c>
      <c r="CE165" s="0" t="s">
        <v>240</v>
      </c>
      <c r="CF165" s="0" t="s">
        <v>240</v>
      </c>
      <c r="CG165" s="0" t="s">
        <v>240</v>
      </c>
      <c r="CH165" s="0" t="s">
        <v>240</v>
      </c>
      <c r="CI165" s="0" t="s">
        <v>240</v>
      </c>
      <c r="CJ165" s="0" t="s">
        <v>240</v>
      </c>
      <c r="CK165" s="0" t="s">
        <v>240</v>
      </c>
      <c r="CL165" s="0" t="s">
        <v>240</v>
      </c>
      <c r="CM165" s="0" t="s">
        <v>240</v>
      </c>
      <c r="CN165" s="0" t="s">
        <v>240</v>
      </c>
      <c r="CO165" s="0" t="s">
        <v>240</v>
      </c>
      <c r="CP165" s="0" t="s">
        <v>240</v>
      </c>
      <c r="CQ165" s="0" t="s">
        <v>240</v>
      </c>
      <c r="CR165" s="0" t="s">
        <v>240</v>
      </c>
      <c r="CS165" s="0" t="s">
        <v>240</v>
      </c>
      <c r="CT165" s="0" t="s">
        <v>5496</v>
      </c>
      <c r="CU165" s="0" t="s">
        <v>5497</v>
      </c>
      <c r="CV165" s="0" t="s">
        <v>443</v>
      </c>
      <c r="CW165" s="0" t="s">
        <v>5547</v>
      </c>
      <c r="CX165" s="0" t="s">
        <v>229</v>
      </c>
      <c r="CY165" s="0" t="s">
        <v>443</v>
      </c>
      <c r="CZ165" s="0" t="s">
        <v>5548</v>
      </c>
      <c r="DA165" s="0" t="s">
        <v>5549</v>
      </c>
      <c r="DB165" s="0" t="s">
        <v>5547</v>
      </c>
      <c r="DC165" s="0" t="s">
        <v>384</v>
      </c>
      <c r="DD165" s="0" t="s">
        <v>291</v>
      </c>
      <c r="DE165" s="0" t="s">
        <v>6308</v>
      </c>
    </row>
    <row customHeight="1" ht="11.25">
      <c r="A166" s="1441" t="s">
        <v>240</v>
      </c>
      <c r="B166" s="0" t="s">
        <v>240</v>
      </c>
      <c r="C166" s="0" t="s">
        <v>240</v>
      </c>
      <c r="D166" s="0" t="s">
        <v>240</v>
      </c>
      <c r="E166" s="0" t="s">
        <v>240</v>
      </c>
      <c r="F166" s="0" t="s">
        <v>240</v>
      </c>
      <c r="G166" s="0" t="s">
        <v>240</v>
      </c>
      <c r="H166" s="0" t="s">
        <v>240</v>
      </c>
      <c r="I166" s="0" t="s">
        <v>5484</v>
      </c>
      <c r="J166" s="0" t="s">
        <v>240</v>
      </c>
      <c r="K166" s="0" t="s">
        <v>240</v>
      </c>
      <c r="L166" s="0" t="s">
        <v>240</v>
      </c>
      <c r="M166" s="0" t="s">
        <v>240</v>
      </c>
      <c r="N166" s="0" t="s">
        <v>240</v>
      </c>
      <c r="O166" s="0" t="s">
        <v>240</v>
      </c>
      <c r="P166" s="0" t="s">
        <v>240</v>
      </c>
      <c r="Q166" s="0" t="s">
        <v>240</v>
      </c>
      <c r="R166" s="0" t="s">
        <v>6309</v>
      </c>
      <c r="S166" s="0" t="s">
        <v>240</v>
      </c>
      <c r="T166" s="0" t="s">
        <v>240</v>
      </c>
      <c r="U166" s="0" t="s">
        <v>102</v>
      </c>
      <c r="V166" s="0" t="s">
        <v>240</v>
      </c>
      <c r="W166" s="0" t="s">
        <v>240</v>
      </c>
      <c r="X166" s="0" t="s">
        <v>5585</v>
      </c>
      <c r="Y166" s="0" t="s">
        <v>240</v>
      </c>
      <c r="Z166" s="0" t="s">
        <v>152</v>
      </c>
      <c r="AA166" s="0" t="s">
        <v>152</v>
      </c>
      <c r="AB166" s="0" t="s">
        <v>161</v>
      </c>
      <c r="AC166" s="0" t="s">
        <v>2991</v>
      </c>
      <c r="AD166" s="0" t="s">
        <v>2991</v>
      </c>
      <c r="AE166" s="0" t="s">
        <v>2992</v>
      </c>
      <c r="AF166" s="0" t="s">
        <v>5844</v>
      </c>
      <c r="AG166" s="0" t="s">
        <v>5845</v>
      </c>
      <c r="AH166" s="0" t="s">
        <v>5575</v>
      </c>
      <c r="AI166" s="0" t="s">
        <v>5575</v>
      </c>
      <c r="AJ166" s="0" t="s">
        <v>240</v>
      </c>
      <c r="AK166" s="0" t="s">
        <v>240</v>
      </c>
      <c r="AL166" s="0" t="s">
        <v>240</v>
      </c>
      <c r="AM166" s="0" t="s">
        <v>240</v>
      </c>
      <c r="AN166" s="0" t="s">
        <v>240</v>
      </c>
      <c r="AO166" s="0" t="s">
        <v>240</v>
      </c>
      <c r="AP166" s="0" t="s">
        <v>240</v>
      </c>
      <c r="AQ166" s="0" t="s">
        <v>240</v>
      </c>
      <c r="AR166" s="0" t="s">
        <v>240</v>
      </c>
      <c r="AS166" s="0" t="s">
        <v>240</v>
      </c>
      <c r="AT166" s="0" t="s">
        <v>240</v>
      </c>
      <c r="AU166" s="0" t="s">
        <v>240</v>
      </c>
      <c r="AV166" s="0" t="s">
        <v>240</v>
      </c>
      <c r="AW166" s="0" t="s">
        <v>240</v>
      </c>
      <c r="AX166" s="0" t="s">
        <v>240</v>
      </c>
      <c r="AY166" s="0" t="s">
        <v>240</v>
      </c>
      <c r="AZ166" s="0" t="s">
        <v>240</v>
      </c>
      <c r="BA166" s="0" t="s">
        <v>240</v>
      </c>
      <c r="BB166" s="0" t="s">
        <v>240</v>
      </c>
      <c r="BC166" s="0" t="s">
        <v>240</v>
      </c>
      <c r="BD166" s="0" t="s">
        <v>240</v>
      </c>
      <c r="BE166" s="0" t="s">
        <v>5504</v>
      </c>
      <c r="BF166" s="0" t="s">
        <v>5544</v>
      </c>
      <c r="BG166" s="0" t="s">
        <v>112</v>
      </c>
      <c r="BH166" s="0" t="s">
        <v>5589</v>
      </c>
      <c r="BI166" s="0" t="s">
        <v>123</v>
      </c>
      <c r="BJ166" s="0" t="s">
        <v>240</v>
      </c>
      <c r="BK166" s="0" t="s">
        <v>5608</v>
      </c>
      <c r="BL166" s="0" t="s">
        <v>2991</v>
      </c>
      <c r="BM166" s="0" t="s">
        <v>2991</v>
      </c>
      <c r="BN166" s="0" t="s">
        <v>5663</v>
      </c>
      <c r="BO166" s="0" t="s">
        <v>5844</v>
      </c>
      <c r="BP166" s="0" t="s">
        <v>6310</v>
      </c>
      <c r="BQ166" s="0" t="s">
        <v>5575</v>
      </c>
      <c r="BR166" s="0" t="s">
        <v>5575</v>
      </c>
      <c r="BS166" s="0" t="s">
        <v>240</v>
      </c>
      <c r="BT166" s="0" t="s">
        <v>5650</v>
      </c>
      <c r="BU166" s="0" t="s">
        <v>6311</v>
      </c>
      <c r="BV166" s="0" t="s">
        <v>6311</v>
      </c>
      <c r="BW166" s="0" t="s">
        <v>5598</v>
      </c>
      <c r="BX166" s="0" t="s">
        <v>5598</v>
      </c>
      <c r="BY166" s="0" t="s">
        <v>5598</v>
      </c>
      <c r="BZ166" s="0" t="s">
        <v>5598</v>
      </c>
      <c r="CA166" s="0" t="s">
        <v>5598</v>
      </c>
      <c r="CB166" s="0" t="s">
        <v>240</v>
      </c>
      <c r="CC166" s="0" t="s">
        <v>240</v>
      </c>
      <c r="CD166" s="0" t="s">
        <v>240</v>
      </c>
      <c r="CE166" s="0" t="s">
        <v>240</v>
      </c>
      <c r="CF166" s="0" t="s">
        <v>240</v>
      </c>
      <c r="CG166" s="0" t="s">
        <v>5598</v>
      </c>
      <c r="CH166" s="0" t="s">
        <v>240</v>
      </c>
      <c r="CI166" s="0" t="s">
        <v>240</v>
      </c>
      <c r="CJ166" s="0" t="s">
        <v>240</v>
      </c>
      <c r="CK166" s="0" t="s">
        <v>240</v>
      </c>
      <c r="CL166" s="0" t="s">
        <v>240</v>
      </c>
      <c r="CM166" s="0" t="s">
        <v>6311</v>
      </c>
      <c r="CN166" s="0" t="s">
        <v>6311</v>
      </c>
      <c r="CO166" s="0" t="s">
        <v>240</v>
      </c>
      <c r="CP166" s="0" t="s">
        <v>240</v>
      </c>
      <c r="CQ166" s="0" t="s">
        <v>240</v>
      </c>
      <c r="CR166" s="0" t="s">
        <v>240</v>
      </c>
      <c r="CS166" s="0" t="s">
        <v>5666</v>
      </c>
      <c r="CT166" s="0" t="s">
        <v>5496</v>
      </c>
      <c r="CU166" s="0" t="s">
        <v>5497</v>
      </c>
      <c r="CV166" s="0" t="s">
        <v>443</v>
      </c>
      <c r="CW166" s="0" t="s">
        <v>5547</v>
      </c>
      <c r="CX166" s="0" t="s">
        <v>229</v>
      </c>
      <c r="CY166" s="0" t="s">
        <v>443</v>
      </c>
      <c r="CZ166" s="0" t="s">
        <v>5548</v>
      </c>
      <c r="DA166" s="0" t="s">
        <v>5549</v>
      </c>
      <c r="DB166" s="0" t="s">
        <v>5547</v>
      </c>
      <c r="DC166" s="0" t="s">
        <v>384</v>
      </c>
      <c r="DD166" s="0" t="s">
        <v>291</v>
      </c>
      <c r="DE166" s="0" t="s">
        <v>6312</v>
      </c>
    </row>
    <row customHeight="1" ht="11.25">
      <c r="A167" s="1441" t="s">
        <v>240</v>
      </c>
      <c r="B167" s="0" t="s">
        <v>240</v>
      </c>
      <c r="C167" s="0" t="s">
        <v>240</v>
      </c>
      <c r="D167" s="0" t="s">
        <v>240</v>
      </c>
      <c r="E167" s="0" t="s">
        <v>240</v>
      </c>
      <c r="F167" s="0" t="s">
        <v>240</v>
      </c>
      <c r="G167" s="0" t="s">
        <v>240</v>
      </c>
      <c r="H167" s="0" t="s">
        <v>240</v>
      </c>
      <c r="I167" s="0" t="s">
        <v>5484</v>
      </c>
      <c r="J167" s="0" t="s">
        <v>240</v>
      </c>
      <c r="K167" s="0" t="s">
        <v>240</v>
      </c>
      <c r="L167" s="0" t="s">
        <v>240</v>
      </c>
      <c r="M167" s="0" t="s">
        <v>240</v>
      </c>
      <c r="N167" s="0" t="s">
        <v>240</v>
      </c>
      <c r="O167" s="0" t="s">
        <v>240</v>
      </c>
      <c r="P167" s="0" t="s">
        <v>240</v>
      </c>
      <c r="Q167" s="0" t="s">
        <v>240</v>
      </c>
      <c r="R167" s="0" t="s">
        <v>6313</v>
      </c>
      <c r="S167" s="0" t="s">
        <v>240</v>
      </c>
      <c r="T167" s="0" t="s">
        <v>240</v>
      </c>
      <c r="U167" s="0" t="s">
        <v>102</v>
      </c>
      <c r="V167" s="0" t="s">
        <v>240</v>
      </c>
      <c r="W167" s="0" t="s">
        <v>240</v>
      </c>
      <c r="X167" s="0" t="s">
        <v>5485</v>
      </c>
      <c r="Y167" s="0" t="s">
        <v>240</v>
      </c>
      <c r="Z167" s="0" t="s">
        <v>161</v>
      </c>
      <c r="AA167" s="0" t="s">
        <v>152</v>
      </c>
      <c r="AB167" s="0" t="s">
        <v>152</v>
      </c>
      <c r="AC167" s="0" t="s">
        <v>2991</v>
      </c>
      <c r="AD167" s="0" t="s">
        <v>2991</v>
      </c>
      <c r="AE167" s="0" t="s">
        <v>2992</v>
      </c>
      <c r="AF167" s="0" t="s">
        <v>6314</v>
      </c>
      <c r="AG167" s="0" t="s">
        <v>6315</v>
      </c>
      <c r="AH167" s="0" t="s">
        <v>5542</v>
      </c>
      <c r="AI167" s="0" t="s">
        <v>6316</v>
      </c>
      <c r="AJ167" s="0" t="s">
        <v>5504</v>
      </c>
      <c r="AK167" s="0" t="s">
        <v>5776</v>
      </c>
      <c r="AL167" s="0" t="s">
        <v>5506</v>
      </c>
      <c r="AM167" s="0" t="s">
        <v>5493</v>
      </c>
      <c r="AN167" s="0" t="s">
        <v>5545</v>
      </c>
      <c r="AO167" s="0" t="s">
        <v>5508</v>
      </c>
      <c r="AP167" s="0" t="s">
        <v>240</v>
      </c>
      <c r="AQ167" s="0" t="s">
        <v>240</v>
      </c>
      <c r="AR167" s="0" t="s">
        <v>240</v>
      </c>
      <c r="AS167" s="0" t="s">
        <v>240</v>
      </c>
      <c r="AT167" s="0" t="s">
        <v>240</v>
      </c>
      <c r="AU167" s="0" t="s">
        <v>240</v>
      </c>
      <c r="AV167" s="0" t="s">
        <v>240</v>
      </c>
      <c r="AW167" s="0" t="s">
        <v>240</v>
      </c>
      <c r="AX167" s="0" t="s">
        <v>240</v>
      </c>
      <c r="AY167" s="0" t="s">
        <v>240</v>
      </c>
      <c r="AZ167" s="0" t="s">
        <v>240</v>
      </c>
      <c r="BA167" s="0" t="s">
        <v>240</v>
      </c>
      <c r="BB167" s="0" t="s">
        <v>240</v>
      </c>
      <c r="BC167" s="0" t="s">
        <v>240</v>
      </c>
      <c r="BD167" s="0" t="s">
        <v>240</v>
      </c>
      <c r="BE167" s="0" t="s">
        <v>240</v>
      </c>
      <c r="BF167" s="0" t="s">
        <v>240</v>
      </c>
      <c r="BG167" s="0" t="s">
        <v>240</v>
      </c>
      <c r="BH167" s="0" t="s">
        <v>240</v>
      </c>
      <c r="BI167" s="0" t="s">
        <v>240</v>
      </c>
      <c r="BJ167" s="0" t="s">
        <v>240</v>
      </c>
      <c r="BK167" s="0" t="s">
        <v>240</v>
      </c>
      <c r="BL167" s="0" t="s">
        <v>240</v>
      </c>
      <c r="BM167" s="0" t="s">
        <v>240</v>
      </c>
      <c r="BN167" s="0" t="s">
        <v>240</v>
      </c>
      <c r="BO167" s="0" t="s">
        <v>240</v>
      </c>
      <c r="BP167" s="0" t="s">
        <v>240</v>
      </c>
      <c r="BQ167" s="0" t="s">
        <v>240</v>
      </c>
      <c r="BR167" s="0" t="s">
        <v>240</v>
      </c>
      <c r="BS167" s="0" t="s">
        <v>240</v>
      </c>
      <c r="BT167" s="0" t="s">
        <v>240</v>
      </c>
      <c r="BU167" s="0" t="s">
        <v>240</v>
      </c>
      <c r="BV167" s="0" t="s">
        <v>240</v>
      </c>
      <c r="BW167" s="0" t="s">
        <v>240</v>
      </c>
      <c r="BX167" s="0" t="s">
        <v>240</v>
      </c>
      <c r="BY167" s="0" t="s">
        <v>240</v>
      </c>
      <c r="BZ167" s="0" t="s">
        <v>240</v>
      </c>
      <c r="CA167" s="0" t="s">
        <v>240</v>
      </c>
      <c r="CB167" s="0" t="s">
        <v>240</v>
      </c>
      <c r="CC167" s="0" t="s">
        <v>240</v>
      </c>
      <c r="CD167" s="0" t="s">
        <v>240</v>
      </c>
      <c r="CE167" s="0" t="s">
        <v>240</v>
      </c>
      <c r="CF167" s="0" t="s">
        <v>240</v>
      </c>
      <c r="CG167" s="0" t="s">
        <v>240</v>
      </c>
      <c r="CH167" s="0" t="s">
        <v>240</v>
      </c>
      <c r="CI167" s="0" t="s">
        <v>240</v>
      </c>
      <c r="CJ167" s="0" t="s">
        <v>240</v>
      </c>
      <c r="CK167" s="0" t="s">
        <v>240</v>
      </c>
      <c r="CL167" s="0" t="s">
        <v>240</v>
      </c>
      <c r="CM167" s="0" t="s">
        <v>240</v>
      </c>
      <c r="CN167" s="0" t="s">
        <v>240</v>
      </c>
      <c r="CO167" s="0" t="s">
        <v>240</v>
      </c>
      <c r="CP167" s="0" t="s">
        <v>240</v>
      </c>
      <c r="CQ167" s="0" t="s">
        <v>240</v>
      </c>
      <c r="CR167" s="0" t="s">
        <v>240</v>
      </c>
      <c r="CS167" s="0" t="s">
        <v>240</v>
      </c>
      <c r="CT167" s="0" t="s">
        <v>5496</v>
      </c>
      <c r="CU167" s="0" t="s">
        <v>5497</v>
      </c>
      <c r="CV167" s="0" t="s">
        <v>443</v>
      </c>
      <c r="CW167" s="0" t="s">
        <v>5547</v>
      </c>
      <c r="CX167" s="0" t="s">
        <v>229</v>
      </c>
      <c r="CY167" s="0" t="s">
        <v>443</v>
      </c>
      <c r="CZ167" s="0" t="s">
        <v>5548</v>
      </c>
      <c r="DA167" s="0" t="s">
        <v>5549</v>
      </c>
      <c r="DB167" s="0" t="s">
        <v>5547</v>
      </c>
      <c r="DC167" s="0" t="s">
        <v>384</v>
      </c>
      <c r="DD167" s="0" t="s">
        <v>291</v>
      </c>
      <c r="DE167" s="0" t="s">
        <v>6317</v>
      </c>
    </row>
    <row customHeight="1" ht="11.25">
      <c r="A168" s="1441" t="s">
        <v>240</v>
      </c>
      <c r="B168" s="0" t="s">
        <v>240</v>
      </c>
      <c r="C168" s="0" t="s">
        <v>240</v>
      </c>
      <c r="D168" s="0" t="s">
        <v>240</v>
      </c>
      <c r="E168" s="0" t="s">
        <v>240</v>
      </c>
      <c r="F168" s="0" t="s">
        <v>240</v>
      </c>
      <c r="G168" s="0" t="s">
        <v>240</v>
      </c>
      <c r="H168" s="0" t="s">
        <v>240</v>
      </c>
      <c r="I168" s="0" t="s">
        <v>5484</v>
      </c>
      <c r="J168" s="0" t="s">
        <v>240</v>
      </c>
      <c r="K168" s="0" t="s">
        <v>240</v>
      </c>
      <c r="L168" s="0" t="s">
        <v>240</v>
      </c>
      <c r="M168" s="0" t="s">
        <v>240</v>
      </c>
      <c r="N168" s="0" t="s">
        <v>240</v>
      </c>
      <c r="O168" s="0" t="s">
        <v>240</v>
      </c>
      <c r="P168" s="0" t="s">
        <v>240</v>
      </c>
      <c r="Q168" s="0" t="s">
        <v>240</v>
      </c>
      <c r="R168" s="0" t="s">
        <v>6318</v>
      </c>
      <c r="S168" s="0" t="s">
        <v>240</v>
      </c>
      <c r="T168" s="0" t="s">
        <v>240</v>
      </c>
      <c r="U168" s="0" t="s">
        <v>102</v>
      </c>
      <c r="V168" s="0" t="s">
        <v>240</v>
      </c>
      <c r="W168" s="0" t="s">
        <v>240</v>
      </c>
      <c r="X168" s="0" t="s">
        <v>5585</v>
      </c>
      <c r="Y168" s="0" t="s">
        <v>240</v>
      </c>
      <c r="Z168" s="0" t="s">
        <v>152</v>
      </c>
      <c r="AA168" s="0" t="s">
        <v>152</v>
      </c>
      <c r="AB168" s="0" t="s">
        <v>161</v>
      </c>
      <c r="AC168" s="0" t="s">
        <v>2991</v>
      </c>
      <c r="AD168" s="0" t="s">
        <v>2991</v>
      </c>
      <c r="AE168" s="0" t="s">
        <v>2992</v>
      </c>
      <c r="AF168" s="0" t="s">
        <v>6113</v>
      </c>
      <c r="AG168" s="0" t="s">
        <v>6114</v>
      </c>
      <c r="AH168" s="0" t="s">
        <v>5575</v>
      </c>
      <c r="AI168" s="0" t="s">
        <v>5575</v>
      </c>
      <c r="AJ168" s="0" t="s">
        <v>240</v>
      </c>
      <c r="AK168" s="0" t="s">
        <v>240</v>
      </c>
      <c r="AL168" s="0" t="s">
        <v>240</v>
      </c>
      <c r="AM168" s="0" t="s">
        <v>240</v>
      </c>
      <c r="AN168" s="0" t="s">
        <v>240</v>
      </c>
      <c r="AO168" s="0" t="s">
        <v>240</v>
      </c>
      <c r="AP168" s="0" t="s">
        <v>240</v>
      </c>
      <c r="AQ168" s="0" t="s">
        <v>240</v>
      </c>
      <c r="AR168" s="0" t="s">
        <v>240</v>
      </c>
      <c r="AS168" s="0" t="s">
        <v>240</v>
      </c>
      <c r="AT168" s="0" t="s">
        <v>240</v>
      </c>
      <c r="AU168" s="0" t="s">
        <v>240</v>
      </c>
      <c r="AV168" s="0" t="s">
        <v>240</v>
      </c>
      <c r="AW168" s="0" t="s">
        <v>240</v>
      </c>
      <c r="AX168" s="0" t="s">
        <v>240</v>
      </c>
      <c r="AY168" s="0" t="s">
        <v>240</v>
      </c>
      <c r="AZ168" s="0" t="s">
        <v>240</v>
      </c>
      <c r="BA168" s="0" t="s">
        <v>240</v>
      </c>
      <c r="BB168" s="0" t="s">
        <v>240</v>
      </c>
      <c r="BC168" s="0" t="s">
        <v>240</v>
      </c>
      <c r="BD168" s="0" t="s">
        <v>240</v>
      </c>
      <c r="BE168" s="0" t="s">
        <v>5552</v>
      </c>
      <c r="BF168" s="0" t="s">
        <v>5672</v>
      </c>
      <c r="BG168" s="0" t="s">
        <v>112</v>
      </c>
      <c r="BH168" s="0" t="s">
        <v>5589</v>
      </c>
      <c r="BI168" s="0" t="s">
        <v>123</v>
      </c>
      <c r="BJ168" s="0" t="s">
        <v>240</v>
      </c>
      <c r="BK168" s="0" t="s">
        <v>5608</v>
      </c>
      <c r="BL168" s="0" t="s">
        <v>2991</v>
      </c>
      <c r="BM168" s="0" t="s">
        <v>2991</v>
      </c>
      <c r="BN168" s="0" t="s">
        <v>5663</v>
      </c>
      <c r="BO168" s="0" t="s">
        <v>6113</v>
      </c>
      <c r="BP168" s="0" t="s">
        <v>6319</v>
      </c>
      <c r="BQ168" s="0" t="s">
        <v>5575</v>
      </c>
      <c r="BR168" s="0" t="s">
        <v>5575</v>
      </c>
      <c r="BS168" s="0" t="s">
        <v>240</v>
      </c>
      <c r="BT168" s="0" t="s">
        <v>5650</v>
      </c>
      <c r="BU168" s="0" t="s">
        <v>6320</v>
      </c>
      <c r="BV168" s="0" t="s">
        <v>6320</v>
      </c>
      <c r="BW168" s="0" t="s">
        <v>5598</v>
      </c>
      <c r="BX168" s="0" t="s">
        <v>5598</v>
      </c>
      <c r="BY168" s="0" t="s">
        <v>5598</v>
      </c>
      <c r="BZ168" s="0" t="s">
        <v>5598</v>
      </c>
      <c r="CA168" s="0" t="s">
        <v>5598</v>
      </c>
      <c r="CB168" s="0" t="s">
        <v>240</v>
      </c>
      <c r="CC168" s="0" t="s">
        <v>240</v>
      </c>
      <c r="CD168" s="0" t="s">
        <v>240</v>
      </c>
      <c r="CE168" s="0" t="s">
        <v>240</v>
      </c>
      <c r="CF168" s="0" t="s">
        <v>240</v>
      </c>
      <c r="CG168" s="0" t="s">
        <v>5598</v>
      </c>
      <c r="CH168" s="0" t="s">
        <v>240</v>
      </c>
      <c r="CI168" s="0" t="s">
        <v>240</v>
      </c>
      <c r="CJ168" s="0" t="s">
        <v>240</v>
      </c>
      <c r="CK168" s="0" t="s">
        <v>240</v>
      </c>
      <c r="CL168" s="0" t="s">
        <v>240</v>
      </c>
      <c r="CM168" s="0" t="s">
        <v>6320</v>
      </c>
      <c r="CN168" s="0" t="s">
        <v>6320</v>
      </c>
      <c r="CO168" s="0" t="s">
        <v>240</v>
      </c>
      <c r="CP168" s="0" t="s">
        <v>240</v>
      </c>
      <c r="CQ168" s="0" t="s">
        <v>240</v>
      </c>
      <c r="CR168" s="0" t="s">
        <v>240</v>
      </c>
      <c r="CS168" s="0" t="s">
        <v>5666</v>
      </c>
      <c r="CT168" s="0" t="s">
        <v>5496</v>
      </c>
      <c r="CU168" s="0" t="s">
        <v>5497</v>
      </c>
      <c r="CV168" s="0" t="s">
        <v>443</v>
      </c>
      <c r="CW168" s="0" t="s">
        <v>5547</v>
      </c>
      <c r="CX168" s="0" t="s">
        <v>229</v>
      </c>
      <c r="CY168" s="0" t="s">
        <v>443</v>
      </c>
      <c r="CZ168" s="0" t="s">
        <v>5548</v>
      </c>
      <c r="DA168" s="0" t="s">
        <v>5549</v>
      </c>
      <c r="DB168" s="0" t="s">
        <v>5547</v>
      </c>
      <c r="DC168" s="0" t="s">
        <v>384</v>
      </c>
      <c r="DD168" s="0" t="s">
        <v>291</v>
      </c>
      <c r="DE168" s="0" t="s">
        <v>6321</v>
      </c>
    </row>
    <row customHeight="1" ht="11.25">
      <c r="A169" s="1441" t="s">
        <v>240</v>
      </c>
      <c r="B169" s="0" t="s">
        <v>240</v>
      </c>
      <c r="C169" s="0" t="s">
        <v>240</v>
      </c>
      <c r="D169" s="0" t="s">
        <v>240</v>
      </c>
      <c r="E169" s="0" t="s">
        <v>240</v>
      </c>
      <c r="F169" s="0" t="s">
        <v>240</v>
      </c>
      <c r="G169" s="0" t="s">
        <v>240</v>
      </c>
      <c r="H169" s="0" t="s">
        <v>240</v>
      </c>
      <c r="I169" s="0" t="s">
        <v>5484</v>
      </c>
      <c r="J169" s="0" t="s">
        <v>240</v>
      </c>
      <c r="K169" s="0" t="s">
        <v>240</v>
      </c>
      <c r="L169" s="0" t="s">
        <v>240</v>
      </c>
      <c r="M169" s="0" t="s">
        <v>240</v>
      </c>
      <c r="N169" s="0" t="s">
        <v>240</v>
      </c>
      <c r="O169" s="0" t="s">
        <v>240</v>
      </c>
      <c r="P169" s="0" t="s">
        <v>240</v>
      </c>
      <c r="Q169" s="0" t="s">
        <v>240</v>
      </c>
      <c r="R169" s="0" t="s">
        <v>6322</v>
      </c>
      <c r="S169" s="0" t="s">
        <v>240</v>
      </c>
      <c r="T169" s="0" t="s">
        <v>240</v>
      </c>
      <c r="U169" s="0" t="s">
        <v>102</v>
      </c>
      <c r="V169" s="0" t="s">
        <v>240</v>
      </c>
      <c r="W169" s="0" t="s">
        <v>240</v>
      </c>
      <c r="X169" s="0" t="s">
        <v>5585</v>
      </c>
      <c r="Y169" s="0" t="s">
        <v>240</v>
      </c>
      <c r="Z169" s="0" t="s">
        <v>152</v>
      </c>
      <c r="AA169" s="0" t="s">
        <v>152</v>
      </c>
      <c r="AB169" s="0" t="s">
        <v>161</v>
      </c>
      <c r="AC169" s="0" t="s">
        <v>2985</v>
      </c>
      <c r="AD169" s="0" t="s">
        <v>2985</v>
      </c>
      <c r="AE169" s="0" t="s">
        <v>2986</v>
      </c>
      <c r="AF169" s="0" t="s">
        <v>6323</v>
      </c>
      <c r="AG169" s="0" t="s">
        <v>6324</v>
      </c>
      <c r="AH169" s="0" t="s">
        <v>6325</v>
      </c>
      <c r="AI169" s="0" t="s">
        <v>6326</v>
      </c>
      <c r="AJ169" s="0" t="s">
        <v>240</v>
      </c>
      <c r="AK169" s="0" t="s">
        <v>240</v>
      </c>
      <c r="AL169" s="0" t="s">
        <v>240</v>
      </c>
      <c r="AM169" s="0" t="s">
        <v>240</v>
      </c>
      <c r="AN169" s="0" t="s">
        <v>240</v>
      </c>
      <c r="AO169" s="0" t="s">
        <v>240</v>
      </c>
      <c r="AP169" s="0" t="s">
        <v>240</v>
      </c>
      <c r="AQ169" s="0" t="s">
        <v>240</v>
      </c>
      <c r="AR169" s="0" t="s">
        <v>240</v>
      </c>
      <c r="AS169" s="0" t="s">
        <v>240</v>
      </c>
      <c r="AT169" s="0" t="s">
        <v>240</v>
      </c>
      <c r="AU169" s="0" t="s">
        <v>240</v>
      </c>
      <c r="AV169" s="0" t="s">
        <v>240</v>
      </c>
      <c r="AW169" s="0" t="s">
        <v>240</v>
      </c>
      <c r="AX169" s="0" t="s">
        <v>240</v>
      </c>
      <c r="AY169" s="0" t="s">
        <v>240</v>
      </c>
      <c r="AZ169" s="0" t="s">
        <v>240</v>
      </c>
      <c r="BA169" s="0" t="s">
        <v>240</v>
      </c>
      <c r="BB169" s="0" t="s">
        <v>240</v>
      </c>
      <c r="BC169" s="0" t="s">
        <v>240</v>
      </c>
      <c r="BD169" s="0" t="s">
        <v>240</v>
      </c>
      <c r="BE169" s="0" t="s">
        <v>5645</v>
      </c>
      <c r="BF169" s="0" t="s">
        <v>5645</v>
      </c>
      <c r="BG169" s="0" t="s">
        <v>112</v>
      </c>
      <c r="BH169" s="0" t="s">
        <v>5589</v>
      </c>
      <c r="BI169" s="0" t="s">
        <v>123</v>
      </c>
      <c r="BJ169" s="0" t="s">
        <v>240</v>
      </c>
      <c r="BK169" s="0" t="s">
        <v>5608</v>
      </c>
      <c r="BL169" s="0" t="s">
        <v>2985</v>
      </c>
      <c r="BM169" s="0" t="s">
        <v>2985</v>
      </c>
      <c r="BN169" s="0" t="s">
        <v>5646</v>
      </c>
      <c r="BO169" s="0" t="s">
        <v>6323</v>
      </c>
      <c r="BP169" s="0" t="s">
        <v>6327</v>
      </c>
      <c r="BQ169" s="0" t="s">
        <v>6328</v>
      </c>
      <c r="BR169" s="0" t="s">
        <v>6329</v>
      </c>
      <c r="BS169" s="0" t="s">
        <v>240</v>
      </c>
      <c r="BT169" s="0" t="s">
        <v>5650</v>
      </c>
      <c r="BU169" s="0" t="s">
        <v>6330</v>
      </c>
      <c r="BV169" s="0" t="s">
        <v>6330</v>
      </c>
      <c r="BW169" s="0" t="s">
        <v>5598</v>
      </c>
      <c r="BX169" s="0" t="s">
        <v>5598</v>
      </c>
      <c r="BY169" s="0" t="s">
        <v>5598</v>
      </c>
      <c r="BZ169" s="0" t="s">
        <v>5598</v>
      </c>
      <c r="CA169" s="0" t="s">
        <v>5598</v>
      </c>
      <c r="CB169" s="0" t="s">
        <v>240</v>
      </c>
      <c r="CC169" s="0" t="s">
        <v>240</v>
      </c>
      <c r="CD169" s="0" t="s">
        <v>240</v>
      </c>
      <c r="CE169" s="0" t="s">
        <v>240</v>
      </c>
      <c r="CF169" s="0" t="s">
        <v>240</v>
      </c>
      <c r="CG169" s="0" t="s">
        <v>5598</v>
      </c>
      <c r="CH169" s="0" t="s">
        <v>240</v>
      </c>
      <c r="CI169" s="0" t="s">
        <v>240</v>
      </c>
      <c r="CJ169" s="0" t="s">
        <v>240</v>
      </c>
      <c r="CK169" s="0" t="s">
        <v>240</v>
      </c>
      <c r="CL169" s="0" t="s">
        <v>240</v>
      </c>
      <c r="CM169" s="0" t="s">
        <v>6330</v>
      </c>
      <c r="CN169" s="0" t="s">
        <v>6330</v>
      </c>
      <c r="CO169" s="0" t="s">
        <v>240</v>
      </c>
      <c r="CP169" s="0" t="s">
        <v>240</v>
      </c>
      <c r="CQ169" s="0" t="s">
        <v>240</v>
      </c>
      <c r="CR169" s="0" t="s">
        <v>240</v>
      </c>
      <c r="CS169" s="0" t="s">
        <v>5507</v>
      </c>
      <c r="CT169" s="0" t="s">
        <v>5496</v>
      </c>
      <c r="CU169" s="0" t="s">
        <v>5497</v>
      </c>
      <c r="CV169" s="0" t="s">
        <v>443</v>
      </c>
      <c r="CW169" s="0" t="s">
        <v>5509</v>
      </c>
      <c r="CX169" s="0" t="s">
        <v>229</v>
      </c>
      <c r="CY169" s="0" t="s">
        <v>443</v>
      </c>
      <c r="CZ169" s="0" t="s">
        <v>5510</v>
      </c>
      <c r="DA169" s="0" t="s">
        <v>5511</v>
      </c>
      <c r="DB169" s="0" t="s">
        <v>5509</v>
      </c>
      <c r="DC169" s="0" t="s">
        <v>384</v>
      </c>
      <c r="DD169" s="0" t="s">
        <v>291</v>
      </c>
      <c r="DE169" s="0" t="s">
        <v>6331</v>
      </c>
    </row>
    <row customHeight="1" ht="11.25">
      <c r="A170" s="1441" t="s">
        <v>240</v>
      </c>
      <c r="B170" s="0" t="s">
        <v>240</v>
      </c>
      <c r="C170" s="0" t="s">
        <v>240</v>
      </c>
      <c r="D170" s="0" t="s">
        <v>240</v>
      </c>
      <c r="E170" s="0" t="s">
        <v>240</v>
      </c>
      <c r="F170" s="0" t="s">
        <v>240</v>
      </c>
      <c r="G170" s="0" t="s">
        <v>240</v>
      </c>
      <c r="H170" s="0" t="s">
        <v>240</v>
      </c>
      <c r="I170" s="0" t="s">
        <v>5484</v>
      </c>
      <c r="J170" s="0" t="s">
        <v>240</v>
      </c>
      <c r="K170" s="0" t="s">
        <v>240</v>
      </c>
      <c r="L170" s="0" t="s">
        <v>240</v>
      </c>
      <c r="M170" s="0" t="s">
        <v>240</v>
      </c>
      <c r="N170" s="0" t="s">
        <v>240</v>
      </c>
      <c r="O170" s="0" t="s">
        <v>240</v>
      </c>
      <c r="P170" s="0" t="s">
        <v>240</v>
      </c>
      <c r="Q170" s="0" t="s">
        <v>240</v>
      </c>
      <c r="R170" s="0" t="s">
        <v>6332</v>
      </c>
      <c r="S170" s="0" t="s">
        <v>240</v>
      </c>
      <c r="T170" s="0" t="s">
        <v>240</v>
      </c>
      <c r="U170" s="0" t="s">
        <v>102</v>
      </c>
      <c r="V170" s="0" t="s">
        <v>240</v>
      </c>
      <c r="W170" s="0" t="s">
        <v>240</v>
      </c>
      <c r="X170" s="0" t="s">
        <v>5485</v>
      </c>
      <c r="Y170" s="0" t="s">
        <v>240</v>
      </c>
      <c r="Z170" s="0" t="s">
        <v>161</v>
      </c>
      <c r="AA170" s="0" t="s">
        <v>152</v>
      </c>
      <c r="AB170" s="0" t="s">
        <v>152</v>
      </c>
      <c r="AC170" s="0" t="s">
        <v>3389</v>
      </c>
      <c r="AD170" s="0" t="s">
        <v>3389</v>
      </c>
      <c r="AE170" s="0" t="s">
        <v>3390</v>
      </c>
      <c r="AF170" s="0" t="s">
        <v>5519</v>
      </c>
      <c r="AG170" s="0" t="s">
        <v>5520</v>
      </c>
      <c r="AH170" s="0" t="s">
        <v>5628</v>
      </c>
      <c r="AI170" s="0" t="s">
        <v>5533</v>
      </c>
      <c r="AJ170" s="0" t="s">
        <v>5587</v>
      </c>
      <c r="AK170" s="0" t="s">
        <v>6333</v>
      </c>
      <c r="AL170" s="0" t="s">
        <v>5524</v>
      </c>
      <c r="AM170" s="0" t="s">
        <v>5493</v>
      </c>
      <c r="AN170" s="0" t="s">
        <v>6334</v>
      </c>
      <c r="AO170" s="0" t="s">
        <v>6335</v>
      </c>
      <c r="AP170" s="0" t="s">
        <v>240</v>
      </c>
      <c r="AQ170" s="0" t="s">
        <v>240</v>
      </c>
      <c r="AR170" s="0" t="s">
        <v>240</v>
      </c>
      <c r="AS170" s="0" t="s">
        <v>240</v>
      </c>
      <c r="AT170" s="0" t="s">
        <v>240</v>
      </c>
      <c r="AU170" s="0" t="s">
        <v>240</v>
      </c>
      <c r="AV170" s="0" t="s">
        <v>240</v>
      </c>
      <c r="AW170" s="0" t="s">
        <v>240</v>
      </c>
      <c r="AX170" s="0" t="s">
        <v>240</v>
      </c>
      <c r="AY170" s="0" t="s">
        <v>240</v>
      </c>
      <c r="AZ170" s="0" t="s">
        <v>240</v>
      </c>
      <c r="BA170" s="0" t="s">
        <v>240</v>
      </c>
      <c r="BB170" s="0" t="s">
        <v>240</v>
      </c>
      <c r="BC170" s="0" t="s">
        <v>240</v>
      </c>
      <c r="BD170" s="0" t="s">
        <v>240</v>
      </c>
      <c r="BE170" s="0" t="s">
        <v>240</v>
      </c>
      <c r="BF170" s="0" t="s">
        <v>240</v>
      </c>
      <c r="BG170" s="0" t="s">
        <v>240</v>
      </c>
      <c r="BH170" s="0" t="s">
        <v>240</v>
      </c>
      <c r="BI170" s="0" t="s">
        <v>240</v>
      </c>
      <c r="BJ170" s="0" t="s">
        <v>240</v>
      </c>
      <c r="BK170" s="0" t="s">
        <v>240</v>
      </c>
      <c r="BL170" s="0" t="s">
        <v>240</v>
      </c>
      <c r="BM170" s="0" t="s">
        <v>240</v>
      </c>
      <c r="BN170" s="0" t="s">
        <v>240</v>
      </c>
      <c r="BO170" s="0" t="s">
        <v>240</v>
      </c>
      <c r="BP170" s="0" t="s">
        <v>240</v>
      </c>
      <c r="BQ170" s="0" t="s">
        <v>240</v>
      </c>
      <c r="BR170" s="0" t="s">
        <v>240</v>
      </c>
      <c r="BS170" s="0" t="s">
        <v>240</v>
      </c>
      <c r="BT170" s="0" t="s">
        <v>240</v>
      </c>
      <c r="BU170" s="0" t="s">
        <v>240</v>
      </c>
      <c r="BV170" s="0" t="s">
        <v>240</v>
      </c>
      <c r="BW170" s="0" t="s">
        <v>240</v>
      </c>
      <c r="BX170" s="0" t="s">
        <v>240</v>
      </c>
      <c r="BY170" s="0" t="s">
        <v>240</v>
      </c>
      <c r="BZ170" s="0" t="s">
        <v>240</v>
      </c>
      <c r="CA170" s="0" t="s">
        <v>240</v>
      </c>
      <c r="CB170" s="0" t="s">
        <v>240</v>
      </c>
      <c r="CC170" s="0" t="s">
        <v>240</v>
      </c>
      <c r="CD170" s="0" t="s">
        <v>240</v>
      </c>
      <c r="CE170" s="0" t="s">
        <v>240</v>
      </c>
      <c r="CF170" s="0" t="s">
        <v>240</v>
      </c>
      <c r="CG170" s="0" t="s">
        <v>240</v>
      </c>
      <c r="CH170" s="0" t="s">
        <v>240</v>
      </c>
      <c r="CI170" s="0" t="s">
        <v>240</v>
      </c>
      <c r="CJ170" s="0" t="s">
        <v>240</v>
      </c>
      <c r="CK170" s="0" t="s">
        <v>240</v>
      </c>
      <c r="CL170" s="0" t="s">
        <v>240</v>
      </c>
      <c r="CM170" s="0" t="s">
        <v>240</v>
      </c>
      <c r="CN170" s="0" t="s">
        <v>240</v>
      </c>
      <c r="CO170" s="0" t="s">
        <v>240</v>
      </c>
      <c r="CP170" s="0" t="s">
        <v>240</v>
      </c>
      <c r="CQ170" s="0" t="s">
        <v>240</v>
      </c>
      <c r="CR170" s="0" t="s">
        <v>240</v>
      </c>
      <c r="CS170" s="0" t="s">
        <v>240</v>
      </c>
      <c r="CT170" s="0" t="s">
        <v>5496</v>
      </c>
      <c r="CU170" s="0" t="s">
        <v>5497</v>
      </c>
      <c r="CV170" s="0" t="s">
        <v>443</v>
      </c>
      <c r="CW170" s="0" t="s">
        <v>5527</v>
      </c>
      <c r="CX170" s="0" t="s">
        <v>5528</v>
      </c>
      <c r="CY170" s="0" t="s">
        <v>443</v>
      </c>
      <c r="CZ170" s="0" t="s">
        <v>299</v>
      </c>
      <c r="DA170" s="0" t="s">
        <v>5529</v>
      </c>
      <c r="DB170" s="0" t="s">
        <v>5527</v>
      </c>
      <c r="DC170" s="0" t="s">
        <v>384</v>
      </c>
      <c r="DD170" s="0" t="s">
        <v>291</v>
      </c>
      <c r="DE170" s="0" t="s">
        <v>5631</v>
      </c>
    </row>
    <row customHeight="1" ht="11.25">
      <c r="A171" s="1441" t="s">
        <v>240</v>
      </c>
      <c r="B171" s="0" t="s">
        <v>240</v>
      </c>
      <c r="C171" s="0" t="s">
        <v>240</v>
      </c>
      <c r="D171" s="0" t="s">
        <v>240</v>
      </c>
      <c r="E171" s="0" t="s">
        <v>240</v>
      </c>
      <c r="F171" s="0" t="s">
        <v>240</v>
      </c>
      <c r="G171" s="0" t="s">
        <v>240</v>
      </c>
      <c r="H171" s="0" t="s">
        <v>240</v>
      </c>
      <c r="I171" s="0" t="s">
        <v>5484</v>
      </c>
      <c r="J171" s="0" t="s">
        <v>240</v>
      </c>
      <c r="K171" s="0" t="s">
        <v>240</v>
      </c>
      <c r="L171" s="0" t="s">
        <v>240</v>
      </c>
      <c r="M171" s="0" t="s">
        <v>240</v>
      </c>
      <c r="N171" s="0" t="s">
        <v>240</v>
      </c>
      <c r="O171" s="0" t="s">
        <v>240</v>
      </c>
      <c r="P171" s="0" t="s">
        <v>240</v>
      </c>
      <c r="Q171" s="0" t="s">
        <v>240</v>
      </c>
      <c r="R171" s="0" t="s">
        <v>6322</v>
      </c>
      <c r="S171" s="0" t="s">
        <v>240</v>
      </c>
      <c r="T171" s="0" t="s">
        <v>240</v>
      </c>
      <c r="U171" s="0" t="s">
        <v>102</v>
      </c>
      <c r="V171" s="0" t="s">
        <v>240</v>
      </c>
      <c r="W171" s="0" t="s">
        <v>240</v>
      </c>
      <c r="X171" s="0" t="s">
        <v>5585</v>
      </c>
      <c r="Y171" s="0" t="s">
        <v>240</v>
      </c>
      <c r="Z171" s="0" t="s">
        <v>152</v>
      </c>
      <c r="AA171" s="0" t="s">
        <v>152</v>
      </c>
      <c r="AB171" s="0" t="s">
        <v>161</v>
      </c>
      <c r="AC171" s="0" t="s">
        <v>2985</v>
      </c>
      <c r="AD171" s="0" t="s">
        <v>2985</v>
      </c>
      <c r="AE171" s="0" t="s">
        <v>2986</v>
      </c>
      <c r="AF171" s="0" t="s">
        <v>6336</v>
      </c>
      <c r="AG171" s="0" t="s">
        <v>6337</v>
      </c>
      <c r="AH171" s="0" t="s">
        <v>6338</v>
      </c>
      <c r="AI171" s="0" t="s">
        <v>6339</v>
      </c>
      <c r="AJ171" s="0" t="s">
        <v>240</v>
      </c>
      <c r="AK171" s="0" t="s">
        <v>240</v>
      </c>
      <c r="AL171" s="0" t="s">
        <v>240</v>
      </c>
      <c r="AM171" s="0" t="s">
        <v>240</v>
      </c>
      <c r="AN171" s="0" t="s">
        <v>240</v>
      </c>
      <c r="AO171" s="0" t="s">
        <v>240</v>
      </c>
      <c r="AP171" s="0" t="s">
        <v>240</v>
      </c>
      <c r="AQ171" s="0" t="s">
        <v>240</v>
      </c>
      <c r="AR171" s="0" t="s">
        <v>240</v>
      </c>
      <c r="AS171" s="0" t="s">
        <v>240</v>
      </c>
      <c r="AT171" s="0" t="s">
        <v>240</v>
      </c>
      <c r="AU171" s="0" t="s">
        <v>240</v>
      </c>
      <c r="AV171" s="0" t="s">
        <v>240</v>
      </c>
      <c r="AW171" s="0" t="s">
        <v>240</v>
      </c>
      <c r="AX171" s="0" t="s">
        <v>240</v>
      </c>
      <c r="AY171" s="0" t="s">
        <v>240</v>
      </c>
      <c r="AZ171" s="0" t="s">
        <v>240</v>
      </c>
      <c r="BA171" s="0" t="s">
        <v>240</v>
      </c>
      <c r="BB171" s="0" t="s">
        <v>240</v>
      </c>
      <c r="BC171" s="0" t="s">
        <v>240</v>
      </c>
      <c r="BD171" s="0" t="s">
        <v>240</v>
      </c>
      <c r="BE171" s="0" t="s">
        <v>5645</v>
      </c>
      <c r="BF171" s="0" t="s">
        <v>5645</v>
      </c>
      <c r="BG171" s="0" t="s">
        <v>112</v>
      </c>
      <c r="BH171" s="0" t="s">
        <v>5589</v>
      </c>
      <c r="BI171" s="0" t="s">
        <v>123</v>
      </c>
      <c r="BJ171" s="0" t="s">
        <v>240</v>
      </c>
      <c r="BK171" s="0" t="s">
        <v>5608</v>
      </c>
      <c r="BL171" s="0" t="s">
        <v>2985</v>
      </c>
      <c r="BM171" s="0" t="s">
        <v>2985</v>
      </c>
      <c r="BN171" s="0" t="s">
        <v>5646</v>
      </c>
      <c r="BO171" s="0" t="s">
        <v>6336</v>
      </c>
      <c r="BP171" s="0" t="s">
        <v>6340</v>
      </c>
      <c r="BQ171" s="0" t="s">
        <v>6328</v>
      </c>
      <c r="BR171" s="0" t="s">
        <v>6329</v>
      </c>
      <c r="BS171" s="0" t="s">
        <v>240</v>
      </c>
      <c r="BT171" s="0" t="s">
        <v>5650</v>
      </c>
      <c r="BU171" s="0" t="s">
        <v>6341</v>
      </c>
      <c r="BV171" s="0" t="s">
        <v>6341</v>
      </c>
      <c r="BW171" s="0" t="s">
        <v>5598</v>
      </c>
      <c r="BX171" s="0" t="s">
        <v>5598</v>
      </c>
      <c r="BY171" s="0" t="s">
        <v>5598</v>
      </c>
      <c r="BZ171" s="0" t="s">
        <v>5598</v>
      </c>
      <c r="CA171" s="0" t="s">
        <v>5598</v>
      </c>
      <c r="CB171" s="0" t="s">
        <v>240</v>
      </c>
      <c r="CC171" s="0" t="s">
        <v>240</v>
      </c>
      <c r="CD171" s="0" t="s">
        <v>240</v>
      </c>
      <c r="CE171" s="0" t="s">
        <v>240</v>
      </c>
      <c r="CF171" s="0" t="s">
        <v>240</v>
      </c>
      <c r="CG171" s="0" t="s">
        <v>5598</v>
      </c>
      <c r="CH171" s="0" t="s">
        <v>240</v>
      </c>
      <c r="CI171" s="0" t="s">
        <v>240</v>
      </c>
      <c r="CJ171" s="0" t="s">
        <v>240</v>
      </c>
      <c r="CK171" s="0" t="s">
        <v>240</v>
      </c>
      <c r="CL171" s="0" t="s">
        <v>240</v>
      </c>
      <c r="CM171" s="0" t="s">
        <v>6341</v>
      </c>
      <c r="CN171" s="0" t="s">
        <v>6341</v>
      </c>
      <c r="CO171" s="0" t="s">
        <v>240</v>
      </c>
      <c r="CP171" s="0" t="s">
        <v>240</v>
      </c>
      <c r="CQ171" s="0" t="s">
        <v>240</v>
      </c>
      <c r="CR171" s="0" t="s">
        <v>240</v>
      </c>
      <c r="CS171" s="0" t="s">
        <v>5507</v>
      </c>
      <c r="CT171" s="0" t="s">
        <v>5496</v>
      </c>
      <c r="CU171" s="0" t="s">
        <v>5497</v>
      </c>
      <c r="CV171" s="0" t="s">
        <v>443</v>
      </c>
      <c r="CW171" s="0" t="s">
        <v>5509</v>
      </c>
      <c r="CX171" s="0" t="s">
        <v>229</v>
      </c>
      <c r="CY171" s="0" t="s">
        <v>443</v>
      </c>
      <c r="CZ171" s="0" t="s">
        <v>5510</v>
      </c>
      <c r="DA171" s="0" t="s">
        <v>5511</v>
      </c>
      <c r="DB171" s="0" t="s">
        <v>5509</v>
      </c>
      <c r="DC171" s="0" t="s">
        <v>384</v>
      </c>
      <c r="DD171" s="0" t="s">
        <v>291</v>
      </c>
      <c r="DE171" s="0" t="s">
        <v>6342</v>
      </c>
    </row>
    <row customHeight="1" ht="11.25">
      <c r="A172" s="1441" t="s">
        <v>240</v>
      </c>
      <c r="B172" s="0" t="s">
        <v>240</v>
      </c>
      <c r="C172" s="0" t="s">
        <v>240</v>
      </c>
      <c r="D172" s="0" t="s">
        <v>240</v>
      </c>
      <c r="E172" s="0" t="s">
        <v>240</v>
      </c>
      <c r="F172" s="0" t="s">
        <v>240</v>
      </c>
      <c r="G172" s="0" t="s">
        <v>240</v>
      </c>
      <c r="H172" s="0" t="s">
        <v>240</v>
      </c>
      <c r="I172" s="0" t="s">
        <v>5484</v>
      </c>
      <c r="J172" s="0" t="s">
        <v>240</v>
      </c>
      <c r="K172" s="0" t="s">
        <v>240</v>
      </c>
      <c r="L172" s="0" t="s">
        <v>240</v>
      </c>
      <c r="M172" s="0" t="s">
        <v>240</v>
      </c>
      <c r="N172" s="0" t="s">
        <v>240</v>
      </c>
      <c r="O172" s="0" t="s">
        <v>240</v>
      </c>
      <c r="P172" s="0" t="s">
        <v>240</v>
      </c>
      <c r="Q172" s="0" t="s">
        <v>240</v>
      </c>
      <c r="R172" s="0" t="s">
        <v>5572</v>
      </c>
      <c r="S172" s="0" t="s">
        <v>240</v>
      </c>
      <c r="T172" s="0" t="s">
        <v>240</v>
      </c>
      <c r="U172" s="0" t="s">
        <v>102</v>
      </c>
      <c r="V172" s="0" t="s">
        <v>240</v>
      </c>
      <c r="W172" s="0" t="s">
        <v>240</v>
      </c>
      <c r="X172" s="0" t="s">
        <v>5485</v>
      </c>
      <c r="Y172" s="0" t="s">
        <v>240</v>
      </c>
      <c r="Z172" s="0" t="s">
        <v>161</v>
      </c>
      <c r="AA172" s="0" t="s">
        <v>152</v>
      </c>
      <c r="AB172" s="0" t="s">
        <v>152</v>
      </c>
      <c r="AC172" s="0" t="s">
        <v>2991</v>
      </c>
      <c r="AD172" s="0" t="s">
        <v>2991</v>
      </c>
      <c r="AE172" s="0" t="s">
        <v>2992</v>
      </c>
      <c r="AF172" s="0" t="s">
        <v>5749</v>
      </c>
      <c r="AG172" s="0" t="s">
        <v>5750</v>
      </c>
      <c r="AH172" s="0" t="s">
        <v>6343</v>
      </c>
      <c r="AI172" s="0" t="s">
        <v>299</v>
      </c>
      <c r="AJ172" s="0" t="s">
        <v>5552</v>
      </c>
      <c r="AK172" s="0" t="s">
        <v>5544</v>
      </c>
      <c r="AL172" s="0" t="s">
        <v>5506</v>
      </c>
      <c r="AM172" s="0" t="s">
        <v>5493</v>
      </c>
      <c r="AN172" s="0" t="s">
        <v>5553</v>
      </c>
      <c r="AO172" s="0" t="s">
        <v>5752</v>
      </c>
      <c r="AP172" s="0" t="s">
        <v>240</v>
      </c>
      <c r="AQ172" s="0" t="s">
        <v>240</v>
      </c>
      <c r="AR172" s="0" t="s">
        <v>240</v>
      </c>
      <c r="AS172" s="0" t="s">
        <v>240</v>
      </c>
      <c r="AT172" s="0" t="s">
        <v>240</v>
      </c>
      <c r="AU172" s="0" t="s">
        <v>240</v>
      </c>
      <c r="AV172" s="0" t="s">
        <v>240</v>
      </c>
      <c r="AW172" s="0" t="s">
        <v>240</v>
      </c>
      <c r="AX172" s="0" t="s">
        <v>240</v>
      </c>
      <c r="AY172" s="0" t="s">
        <v>240</v>
      </c>
      <c r="AZ172" s="0" t="s">
        <v>240</v>
      </c>
      <c r="BA172" s="0" t="s">
        <v>240</v>
      </c>
      <c r="BB172" s="0" t="s">
        <v>240</v>
      </c>
      <c r="BC172" s="0" t="s">
        <v>240</v>
      </c>
      <c r="BD172" s="0" t="s">
        <v>240</v>
      </c>
      <c r="BE172" s="0" t="s">
        <v>240</v>
      </c>
      <c r="BF172" s="0" t="s">
        <v>240</v>
      </c>
      <c r="BG172" s="0" t="s">
        <v>240</v>
      </c>
      <c r="BH172" s="0" t="s">
        <v>240</v>
      </c>
      <c r="BI172" s="0" t="s">
        <v>240</v>
      </c>
      <c r="BJ172" s="0" t="s">
        <v>240</v>
      </c>
      <c r="BK172" s="0" t="s">
        <v>240</v>
      </c>
      <c r="BL172" s="0" t="s">
        <v>240</v>
      </c>
      <c r="BM172" s="0" t="s">
        <v>240</v>
      </c>
      <c r="BN172" s="0" t="s">
        <v>240</v>
      </c>
      <c r="BO172" s="0" t="s">
        <v>240</v>
      </c>
      <c r="BP172" s="0" t="s">
        <v>240</v>
      </c>
      <c r="BQ172" s="0" t="s">
        <v>240</v>
      </c>
      <c r="BR172" s="0" t="s">
        <v>240</v>
      </c>
      <c r="BS172" s="0" t="s">
        <v>240</v>
      </c>
      <c r="BT172" s="0" t="s">
        <v>240</v>
      </c>
      <c r="BU172" s="0" t="s">
        <v>240</v>
      </c>
      <c r="BV172" s="0" t="s">
        <v>240</v>
      </c>
      <c r="BW172" s="0" t="s">
        <v>240</v>
      </c>
      <c r="BX172" s="0" t="s">
        <v>240</v>
      </c>
      <c r="BY172" s="0" t="s">
        <v>240</v>
      </c>
      <c r="BZ172" s="0" t="s">
        <v>240</v>
      </c>
      <c r="CA172" s="0" t="s">
        <v>240</v>
      </c>
      <c r="CB172" s="0" t="s">
        <v>240</v>
      </c>
      <c r="CC172" s="0" t="s">
        <v>240</v>
      </c>
      <c r="CD172" s="0" t="s">
        <v>240</v>
      </c>
      <c r="CE172" s="0" t="s">
        <v>240</v>
      </c>
      <c r="CF172" s="0" t="s">
        <v>240</v>
      </c>
      <c r="CG172" s="0" t="s">
        <v>240</v>
      </c>
      <c r="CH172" s="0" t="s">
        <v>240</v>
      </c>
      <c r="CI172" s="0" t="s">
        <v>240</v>
      </c>
      <c r="CJ172" s="0" t="s">
        <v>240</v>
      </c>
      <c r="CK172" s="0" t="s">
        <v>240</v>
      </c>
      <c r="CL172" s="0" t="s">
        <v>240</v>
      </c>
      <c r="CM172" s="0" t="s">
        <v>240</v>
      </c>
      <c r="CN172" s="0" t="s">
        <v>240</v>
      </c>
      <c r="CO172" s="0" t="s">
        <v>240</v>
      </c>
      <c r="CP172" s="0" t="s">
        <v>240</v>
      </c>
      <c r="CQ172" s="0" t="s">
        <v>240</v>
      </c>
      <c r="CR172" s="0" t="s">
        <v>240</v>
      </c>
      <c r="CS172" s="0" t="s">
        <v>240</v>
      </c>
      <c r="CT172" s="0" t="s">
        <v>5496</v>
      </c>
      <c r="CU172" s="0" t="s">
        <v>5497</v>
      </c>
      <c r="CV172" s="0" t="s">
        <v>443</v>
      </c>
      <c r="CW172" s="0" t="s">
        <v>5547</v>
      </c>
      <c r="CX172" s="0" t="s">
        <v>229</v>
      </c>
      <c r="CY172" s="0" t="s">
        <v>443</v>
      </c>
      <c r="CZ172" s="0" t="s">
        <v>5548</v>
      </c>
      <c r="DA172" s="0" t="s">
        <v>5549</v>
      </c>
      <c r="DB172" s="0" t="s">
        <v>5547</v>
      </c>
      <c r="DC172" s="0" t="s">
        <v>384</v>
      </c>
      <c r="DD172" s="0" t="s">
        <v>291</v>
      </c>
      <c r="DE172" s="0" t="s">
        <v>6344</v>
      </c>
    </row>
    <row customHeight="1" ht="11.25">
      <c r="A173" s="1441" t="s">
        <v>240</v>
      </c>
      <c r="B173" s="0" t="s">
        <v>240</v>
      </c>
      <c r="C173" s="0" t="s">
        <v>240</v>
      </c>
      <c r="D173" s="0" t="s">
        <v>240</v>
      </c>
      <c r="E173" s="0" t="s">
        <v>240</v>
      </c>
      <c r="F173" s="0" t="s">
        <v>240</v>
      </c>
      <c r="G173" s="0" t="s">
        <v>240</v>
      </c>
      <c r="H173" s="0" t="s">
        <v>240</v>
      </c>
      <c r="I173" s="0" t="s">
        <v>5484</v>
      </c>
      <c r="J173" s="0" t="s">
        <v>240</v>
      </c>
      <c r="K173" s="0" t="s">
        <v>240</v>
      </c>
      <c r="L173" s="0" t="s">
        <v>240</v>
      </c>
      <c r="M173" s="0" t="s">
        <v>240</v>
      </c>
      <c r="N173" s="0" t="s">
        <v>240</v>
      </c>
      <c r="O173" s="0" t="s">
        <v>240</v>
      </c>
      <c r="P173" s="0" t="s">
        <v>240</v>
      </c>
      <c r="Q173" s="0" t="s">
        <v>240</v>
      </c>
      <c r="R173" s="0" t="s">
        <v>5572</v>
      </c>
      <c r="S173" s="0" t="s">
        <v>240</v>
      </c>
      <c r="T173" s="0" t="s">
        <v>240</v>
      </c>
      <c r="U173" s="0" t="s">
        <v>102</v>
      </c>
      <c r="V173" s="0" t="s">
        <v>240</v>
      </c>
      <c r="W173" s="0" t="s">
        <v>240</v>
      </c>
      <c r="X173" s="0" t="s">
        <v>5485</v>
      </c>
      <c r="Y173" s="0" t="s">
        <v>240</v>
      </c>
      <c r="Z173" s="0" t="s">
        <v>161</v>
      </c>
      <c r="AA173" s="0" t="s">
        <v>152</v>
      </c>
      <c r="AB173" s="0" t="s">
        <v>152</v>
      </c>
      <c r="AC173" s="0" t="s">
        <v>2991</v>
      </c>
      <c r="AD173" s="0" t="s">
        <v>2991</v>
      </c>
      <c r="AE173" s="0" t="s">
        <v>2992</v>
      </c>
      <c r="AF173" s="0" t="s">
        <v>5749</v>
      </c>
      <c r="AG173" s="0" t="s">
        <v>5750</v>
      </c>
      <c r="AH173" s="0" t="s">
        <v>6345</v>
      </c>
      <c r="AI173" s="0" t="s">
        <v>5966</v>
      </c>
      <c r="AJ173" s="0" t="s">
        <v>5552</v>
      </c>
      <c r="AK173" s="0" t="s">
        <v>5544</v>
      </c>
      <c r="AL173" s="0" t="s">
        <v>5506</v>
      </c>
      <c r="AM173" s="0" t="s">
        <v>5493</v>
      </c>
      <c r="AN173" s="0" t="s">
        <v>5553</v>
      </c>
      <c r="AO173" s="0" t="s">
        <v>6346</v>
      </c>
      <c r="AP173" s="0" t="s">
        <v>240</v>
      </c>
      <c r="AQ173" s="0" t="s">
        <v>240</v>
      </c>
      <c r="AR173" s="0" t="s">
        <v>240</v>
      </c>
      <c r="AS173" s="0" t="s">
        <v>240</v>
      </c>
      <c r="AT173" s="0" t="s">
        <v>240</v>
      </c>
      <c r="AU173" s="0" t="s">
        <v>240</v>
      </c>
      <c r="AV173" s="0" t="s">
        <v>240</v>
      </c>
      <c r="AW173" s="0" t="s">
        <v>240</v>
      </c>
      <c r="AX173" s="0" t="s">
        <v>240</v>
      </c>
      <c r="AY173" s="0" t="s">
        <v>240</v>
      </c>
      <c r="AZ173" s="0" t="s">
        <v>240</v>
      </c>
      <c r="BA173" s="0" t="s">
        <v>240</v>
      </c>
      <c r="BB173" s="0" t="s">
        <v>240</v>
      </c>
      <c r="BC173" s="0" t="s">
        <v>240</v>
      </c>
      <c r="BD173" s="0" t="s">
        <v>240</v>
      </c>
      <c r="BE173" s="0" t="s">
        <v>240</v>
      </c>
      <c r="BF173" s="0" t="s">
        <v>240</v>
      </c>
      <c r="BG173" s="0" t="s">
        <v>240</v>
      </c>
      <c r="BH173" s="0" t="s">
        <v>240</v>
      </c>
      <c r="BI173" s="0" t="s">
        <v>240</v>
      </c>
      <c r="BJ173" s="0" t="s">
        <v>240</v>
      </c>
      <c r="BK173" s="0" t="s">
        <v>240</v>
      </c>
      <c r="BL173" s="0" t="s">
        <v>240</v>
      </c>
      <c r="BM173" s="0" t="s">
        <v>240</v>
      </c>
      <c r="BN173" s="0" t="s">
        <v>240</v>
      </c>
      <c r="BO173" s="0" t="s">
        <v>240</v>
      </c>
      <c r="BP173" s="0" t="s">
        <v>240</v>
      </c>
      <c r="BQ173" s="0" t="s">
        <v>240</v>
      </c>
      <c r="BR173" s="0" t="s">
        <v>240</v>
      </c>
      <c r="BS173" s="0" t="s">
        <v>240</v>
      </c>
      <c r="BT173" s="0" t="s">
        <v>240</v>
      </c>
      <c r="BU173" s="0" t="s">
        <v>240</v>
      </c>
      <c r="BV173" s="0" t="s">
        <v>240</v>
      </c>
      <c r="BW173" s="0" t="s">
        <v>240</v>
      </c>
      <c r="BX173" s="0" t="s">
        <v>240</v>
      </c>
      <c r="BY173" s="0" t="s">
        <v>240</v>
      </c>
      <c r="BZ173" s="0" t="s">
        <v>240</v>
      </c>
      <c r="CA173" s="0" t="s">
        <v>240</v>
      </c>
      <c r="CB173" s="0" t="s">
        <v>240</v>
      </c>
      <c r="CC173" s="0" t="s">
        <v>240</v>
      </c>
      <c r="CD173" s="0" t="s">
        <v>240</v>
      </c>
      <c r="CE173" s="0" t="s">
        <v>240</v>
      </c>
      <c r="CF173" s="0" t="s">
        <v>240</v>
      </c>
      <c r="CG173" s="0" t="s">
        <v>240</v>
      </c>
      <c r="CH173" s="0" t="s">
        <v>240</v>
      </c>
      <c r="CI173" s="0" t="s">
        <v>240</v>
      </c>
      <c r="CJ173" s="0" t="s">
        <v>240</v>
      </c>
      <c r="CK173" s="0" t="s">
        <v>240</v>
      </c>
      <c r="CL173" s="0" t="s">
        <v>240</v>
      </c>
      <c r="CM173" s="0" t="s">
        <v>240</v>
      </c>
      <c r="CN173" s="0" t="s">
        <v>240</v>
      </c>
      <c r="CO173" s="0" t="s">
        <v>240</v>
      </c>
      <c r="CP173" s="0" t="s">
        <v>240</v>
      </c>
      <c r="CQ173" s="0" t="s">
        <v>240</v>
      </c>
      <c r="CR173" s="0" t="s">
        <v>240</v>
      </c>
      <c r="CS173" s="0" t="s">
        <v>240</v>
      </c>
      <c r="CT173" s="0" t="s">
        <v>5496</v>
      </c>
      <c r="CU173" s="0" t="s">
        <v>5497</v>
      </c>
      <c r="CV173" s="0" t="s">
        <v>443</v>
      </c>
      <c r="CW173" s="0" t="s">
        <v>5547</v>
      </c>
      <c r="CX173" s="0" t="s">
        <v>229</v>
      </c>
      <c r="CY173" s="0" t="s">
        <v>443</v>
      </c>
      <c r="CZ173" s="0" t="s">
        <v>5548</v>
      </c>
      <c r="DA173" s="0" t="s">
        <v>5549</v>
      </c>
      <c r="DB173" s="0" t="s">
        <v>5547</v>
      </c>
      <c r="DC173" s="0" t="s">
        <v>384</v>
      </c>
      <c r="DD173" s="0" t="s">
        <v>291</v>
      </c>
      <c r="DE173" s="0" t="s">
        <v>6347</v>
      </c>
    </row>
    <row customHeight="1" ht="11.25">
      <c r="A174" s="1441" t="s">
        <v>240</v>
      </c>
      <c r="B174" s="0" t="s">
        <v>240</v>
      </c>
      <c r="C174" s="0" t="s">
        <v>240</v>
      </c>
      <c r="D174" s="0" t="s">
        <v>240</v>
      </c>
      <c r="E174" s="0" t="s">
        <v>240</v>
      </c>
      <c r="F174" s="0" t="s">
        <v>240</v>
      </c>
      <c r="G174" s="0" t="s">
        <v>240</v>
      </c>
      <c r="H174" s="0" t="s">
        <v>240</v>
      </c>
      <c r="I174" s="0" t="s">
        <v>5484</v>
      </c>
      <c r="J174" s="0" t="s">
        <v>240</v>
      </c>
      <c r="K174" s="0" t="s">
        <v>240</v>
      </c>
      <c r="L174" s="0" t="s">
        <v>240</v>
      </c>
      <c r="M174" s="0" t="s">
        <v>240</v>
      </c>
      <c r="N174" s="0" t="s">
        <v>240</v>
      </c>
      <c r="O174" s="0" t="s">
        <v>240</v>
      </c>
      <c r="P174" s="0" t="s">
        <v>240</v>
      </c>
      <c r="Q174" s="0" t="s">
        <v>240</v>
      </c>
      <c r="R174" s="0" t="s">
        <v>5924</v>
      </c>
      <c r="S174" s="0" t="s">
        <v>240</v>
      </c>
      <c r="T174" s="0" t="s">
        <v>240</v>
      </c>
      <c r="U174" s="0" t="s">
        <v>102</v>
      </c>
      <c r="V174" s="0" t="s">
        <v>240</v>
      </c>
      <c r="W174" s="0" t="s">
        <v>240</v>
      </c>
      <c r="X174" s="0" t="s">
        <v>5485</v>
      </c>
      <c r="Y174" s="0" t="s">
        <v>240</v>
      </c>
      <c r="Z174" s="0" t="s">
        <v>161</v>
      </c>
      <c r="AA174" s="0" t="s">
        <v>152</v>
      </c>
      <c r="AB174" s="0" t="s">
        <v>152</v>
      </c>
      <c r="AC174" s="0" t="s">
        <v>2991</v>
      </c>
      <c r="AD174" s="0" t="s">
        <v>2991</v>
      </c>
      <c r="AE174" s="0" t="s">
        <v>2992</v>
      </c>
      <c r="AF174" s="0" t="s">
        <v>5749</v>
      </c>
      <c r="AG174" s="0" t="s">
        <v>5750</v>
      </c>
      <c r="AH174" s="0" t="s">
        <v>6348</v>
      </c>
      <c r="AI174" s="0" t="s">
        <v>5847</v>
      </c>
      <c r="AJ174" s="0" t="s">
        <v>5504</v>
      </c>
      <c r="AK174" s="0" t="s">
        <v>5756</v>
      </c>
      <c r="AL174" s="0" t="s">
        <v>5506</v>
      </c>
      <c r="AM174" s="0" t="s">
        <v>5493</v>
      </c>
      <c r="AN174" s="0" t="s">
        <v>5553</v>
      </c>
      <c r="AO174" s="0" t="s">
        <v>6074</v>
      </c>
      <c r="AP174" s="0" t="s">
        <v>240</v>
      </c>
      <c r="AQ174" s="0" t="s">
        <v>240</v>
      </c>
      <c r="AR174" s="0" t="s">
        <v>240</v>
      </c>
      <c r="AS174" s="0" t="s">
        <v>240</v>
      </c>
      <c r="AT174" s="0" t="s">
        <v>240</v>
      </c>
      <c r="AU174" s="0" t="s">
        <v>240</v>
      </c>
      <c r="AV174" s="0" t="s">
        <v>240</v>
      </c>
      <c r="AW174" s="0" t="s">
        <v>240</v>
      </c>
      <c r="AX174" s="0" t="s">
        <v>240</v>
      </c>
      <c r="AY174" s="0" t="s">
        <v>240</v>
      </c>
      <c r="AZ174" s="0" t="s">
        <v>240</v>
      </c>
      <c r="BA174" s="0" t="s">
        <v>240</v>
      </c>
      <c r="BB174" s="0" t="s">
        <v>240</v>
      </c>
      <c r="BC174" s="0" t="s">
        <v>240</v>
      </c>
      <c r="BD174" s="0" t="s">
        <v>240</v>
      </c>
      <c r="BE174" s="0" t="s">
        <v>240</v>
      </c>
      <c r="BF174" s="0" t="s">
        <v>240</v>
      </c>
      <c r="BG174" s="0" t="s">
        <v>240</v>
      </c>
      <c r="BH174" s="0" t="s">
        <v>240</v>
      </c>
      <c r="BI174" s="0" t="s">
        <v>240</v>
      </c>
      <c r="BJ174" s="0" t="s">
        <v>240</v>
      </c>
      <c r="BK174" s="0" t="s">
        <v>240</v>
      </c>
      <c r="BL174" s="0" t="s">
        <v>240</v>
      </c>
      <c r="BM174" s="0" t="s">
        <v>240</v>
      </c>
      <c r="BN174" s="0" t="s">
        <v>240</v>
      </c>
      <c r="BO174" s="0" t="s">
        <v>240</v>
      </c>
      <c r="BP174" s="0" t="s">
        <v>240</v>
      </c>
      <c r="BQ174" s="0" t="s">
        <v>240</v>
      </c>
      <c r="BR174" s="0" t="s">
        <v>240</v>
      </c>
      <c r="BS174" s="0" t="s">
        <v>240</v>
      </c>
      <c r="BT174" s="0" t="s">
        <v>240</v>
      </c>
      <c r="BU174" s="0" t="s">
        <v>240</v>
      </c>
      <c r="BV174" s="0" t="s">
        <v>240</v>
      </c>
      <c r="BW174" s="0" t="s">
        <v>240</v>
      </c>
      <c r="BX174" s="0" t="s">
        <v>240</v>
      </c>
      <c r="BY174" s="0" t="s">
        <v>240</v>
      </c>
      <c r="BZ174" s="0" t="s">
        <v>240</v>
      </c>
      <c r="CA174" s="0" t="s">
        <v>240</v>
      </c>
      <c r="CB174" s="0" t="s">
        <v>240</v>
      </c>
      <c r="CC174" s="0" t="s">
        <v>240</v>
      </c>
      <c r="CD174" s="0" t="s">
        <v>240</v>
      </c>
      <c r="CE174" s="0" t="s">
        <v>240</v>
      </c>
      <c r="CF174" s="0" t="s">
        <v>240</v>
      </c>
      <c r="CG174" s="0" t="s">
        <v>240</v>
      </c>
      <c r="CH174" s="0" t="s">
        <v>240</v>
      </c>
      <c r="CI174" s="0" t="s">
        <v>240</v>
      </c>
      <c r="CJ174" s="0" t="s">
        <v>240</v>
      </c>
      <c r="CK174" s="0" t="s">
        <v>240</v>
      </c>
      <c r="CL174" s="0" t="s">
        <v>240</v>
      </c>
      <c r="CM174" s="0" t="s">
        <v>240</v>
      </c>
      <c r="CN174" s="0" t="s">
        <v>240</v>
      </c>
      <c r="CO174" s="0" t="s">
        <v>240</v>
      </c>
      <c r="CP174" s="0" t="s">
        <v>240</v>
      </c>
      <c r="CQ174" s="0" t="s">
        <v>240</v>
      </c>
      <c r="CR174" s="0" t="s">
        <v>240</v>
      </c>
      <c r="CS174" s="0" t="s">
        <v>240</v>
      </c>
      <c r="CT174" s="0" t="s">
        <v>5496</v>
      </c>
      <c r="CU174" s="0" t="s">
        <v>5497</v>
      </c>
      <c r="CV174" s="0" t="s">
        <v>443</v>
      </c>
      <c r="CW174" s="0" t="s">
        <v>5547</v>
      </c>
      <c r="CX174" s="0" t="s">
        <v>229</v>
      </c>
      <c r="CY174" s="0" t="s">
        <v>443</v>
      </c>
      <c r="CZ174" s="0" t="s">
        <v>5548</v>
      </c>
      <c r="DA174" s="0" t="s">
        <v>5549</v>
      </c>
      <c r="DB174" s="0" t="s">
        <v>5547</v>
      </c>
      <c r="DC174" s="0" t="s">
        <v>384</v>
      </c>
      <c r="DD174" s="0" t="s">
        <v>291</v>
      </c>
      <c r="DE174" s="0" t="s">
        <v>6349</v>
      </c>
    </row>
    <row customHeight="1" ht="11.25">
      <c r="A175" s="1441" t="s">
        <v>240</v>
      </c>
      <c r="B175" s="0" t="s">
        <v>240</v>
      </c>
      <c r="C175" s="0" t="s">
        <v>240</v>
      </c>
      <c r="D175" s="0" t="s">
        <v>240</v>
      </c>
      <c r="E175" s="0" t="s">
        <v>240</v>
      </c>
      <c r="F175" s="0" t="s">
        <v>240</v>
      </c>
      <c r="G175" s="0" t="s">
        <v>240</v>
      </c>
      <c r="H175" s="0" t="s">
        <v>240</v>
      </c>
      <c r="I175" s="0" t="s">
        <v>5484</v>
      </c>
      <c r="J175" s="0" t="s">
        <v>240</v>
      </c>
      <c r="K175" s="0" t="s">
        <v>240</v>
      </c>
      <c r="L175" s="0" t="s">
        <v>240</v>
      </c>
      <c r="M175" s="0" t="s">
        <v>240</v>
      </c>
      <c r="N175" s="0" t="s">
        <v>240</v>
      </c>
      <c r="O175" s="0" t="s">
        <v>240</v>
      </c>
      <c r="P175" s="0" t="s">
        <v>240</v>
      </c>
      <c r="Q175" s="0" t="s">
        <v>240</v>
      </c>
      <c r="R175" s="0" t="s">
        <v>5513</v>
      </c>
      <c r="S175" s="0" t="s">
        <v>240</v>
      </c>
      <c r="T175" s="0" t="s">
        <v>240</v>
      </c>
      <c r="U175" s="0" t="s">
        <v>102</v>
      </c>
      <c r="V175" s="0" t="s">
        <v>240</v>
      </c>
      <c r="W175" s="0" t="s">
        <v>240</v>
      </c>
      <c r="X175" s="0" t="s">
        <v>5485</v>
      </c>
      <c r="Y175" s="0" t="s">
        <v>240</v>
      </c>
      <c r="Z175" s="0" t="s">
        <v>161</v>
      </c>
      <c r="AA175" s="0" t="s">
        <v>152</v>
      </c>
      <c r="AB175" s="0" t="s">
        <v>152</v>
      </c>
      <c r="AC175" s="0" t="s">
        <v>2991</v>
      </c>
      <c r="AD175" s="0" t="s">
        <v>2991</v>
      </c>
      <c r="AE175" s="0" t="s">
        <v>2992</v>
      </c>
      <c r="AF175" s="0" t="s">
        <v>5970</v>
      </c>
      <c r="AG175" s="0" t="s">
        <v>5971</v>
      </c>
      <c r="AH175" s="0" t="s">
        <v>6350</v>
      </c>
      <c r="AI175" s="0" t="s">
        <v>5730</v>
      </c>
      <c r="AJ175" s="0" t="s">
        <v>5504</v>
      </c>
      <c r="AK175" s="0" t="s">
        <v>5544</v>
      </c>
      <c r="AL175" s="0" t="s">
        <v>5506</v>
      </c>
      <c r="AM175" s="0" t="s">
        <v>5493</v>
      </c>
      <c r="AN175" s="0" t="s">
        <v>5545</v>
      </c>
      <c r="AO175" s="0" t="s">
        <v>5508</v>
      </c>
      <c r="AP175" s="0" t="s">
        <v>240</v>
      </c>
      <c r="AQ175" s="0" t="s">
        <v>240</v>
      </c>
      <c r="AR175" s="0" t="s">
        <v>240</v>
      </c>
      <c r="AS175" s="0" t="s">
        <v>240</v>
      </c>
      <c r="AT175" s="0" t="s">
        <v>240</v>
      </c>
      <c r="AU175" s="0" t="s">
        <v>240</v>
      </c>
      <c r="AV175" s="0" t="s">
        <v>240</v>
      </c>
      <c r="AW175" s="0" t="s">
        <v>240</v>
      </c>
      <c r="AX175" s="0" t="s">
        <v>240</v>
      </c>
      <c r="AY175" s="0" t="s">
        <v>240</v>
      </c>
      <c r="AZ175" s="0" t="s">
        <v>240</v>
      </c>
      <c r="BA175" s="0" t="s">
        <v>240</v>
      </c>
      <c r="BB175" s="0" t="s">
        <v>240</v>
      </c>
      <c r="BC175" s="0" t="s">
        <v>240</v>
      </c>
      <c r="BD175" s="0" t="s">
        <v>240</v>
      </c>
      <c r="BE175" s="0" t="s">
        <v>240</v>
      </c>
      <c r="BF175" s="0" t="s">
        <v>240</v>
      </c>
      <c r="BG175" s="0" t="s">
        <v>240</v>
      </c>
      <c r="BH175" s="0" t="s">
        <v>240</v>
      </c>
      <c r="BI175" s="0" t="s">
        <v>240</v>
      </c>
      <c r="BJ175" s="0" t="s">
        <v>240</v>
      </c>
      <c r="BK175" s="0" t="s">
        <v>240</v>
      </c>
      <c r="BL175" s="0" t="s">
        <v>240</v>
      </c>
      <c r="BM175" s="0" t="s">
        <v>240</v>
      </c>
      <c r="BN175" s="0" t="s">
        <v>240</v>
      </c>
      <c r="BO175" s="0" t="s">
        <v>240</v>
      </c>
      <c r="BP175" s="0" t="s">
        <v>240</v>
      </c>
      <c r="BQ175" s="0" t="s">
        <v>240</v>
      </c>
      <c r="BR175" s="0" t="s">
        <v>240</v>
      </c>
      <c r="BS175" s="0" t="s">
        <v>240</v>
      </c>
      <c r="BT175" s="0" t="s">
        <v>240</v>
      </c>
      <c r="BU175" s="0" t="s">
        <v>240</v>
      </c>
      <c r="BV175" s="0" t="s">
        <v>240</v>
      </c>
      <c r="BW175" s="0" t="s">
        <v>240</v>
      </c>
      <c r="BX175" s="0" t="s">
        <v>240</v>
      </c>
      <c r="BY175" s="0" t="s">
        <v>240</v>
      </c>
      <c r="BZ175" s="0" t="s">
        <v>240</v>
      </c>
      <c r="CA175" s="0" t="s">
        <v>240</v>
      </c>
      <c r="CB175" s="0" t="s">
        <v>240</v>
      </c>
      <c r="CC175" s="0" t="s">
        <v>240</v>
      </c>
      <c r="CD175" s="0" t="s">
        <v>240</v>
      </c>
      <c r="CE175" s="0" t="s">
        <v>240</v>
      </c>
      <c r="CF175" s="0" t="s">
        <v>240</v>
      </c>
      <c r="CG175" s="0" t="s">
        <v>240</v>
      </c>
      <c r="CH175" s="0" t="s">
        <v>240</v>
      </c>
      <c r="CI175" s="0" t="s">
        <v>240</v>
      </c>
      <c r="CJ175" s="0" t="s">
        <v>240</v>
      </c>
      <c r="CK175" s="0" t="s">
        <v>240</v>
      </c>
      <c r="CL175" s="0" t="s">
        <v>240</v>
      </c>
      <c r="CM175" s="0" t="s">
        <v>240</v>
      </c>
      <c r="CN175" s="0" t="s">
        <v>240</v>
      </c>
      <c r="CO175" s="0" t="s">
        <v>240</v>
      </c>
      <c r="CP175" s="0" t="s">
        <v>240</v>
      </c>
      <c r="CQ175" s="0" t="s">
        <v>240</v>
      </c>
      <c r="CR175" s="0" t="s">
        <v>240</v>
      </c>
      <c r="CS175" s="0" t="s">
        <v>240</v>
      </c>
      <c r="CT175" s="0" t="s">
        <v>5496</v>
      </c>
      <c r="CU175" s="0" t="s">
        <v>5497</v>
      </c>
      <c r="CV175" s="0" t="s">
        <v>443</v>
      </c>
      <c r="CW175" s="0" t="s">
        <v>5547</v>
      </c>
      <c r="CX175" s="0" t="s">
        <v>229</v>
      </c>
      <c r="CY175" s="0" t="s">
        <v>443</v>
      </c>
      <c r="CZ175" s="0" t="s">
        <v>5548</v>
      </c>
      <c r="DA175" s="0" t="s">
        <v>5549</v>
      </c>
      <c r="DB175" s="0" t="s">
        <v>5547</v>
      </c>
      <c r="DC175" s="0" t="s">
        <v>384</v>
      </c>
      <c r="DD175" s="0" t="s">
        <v>291</v>
      </c>
      <c r="DE175" s="0" t="s">
        <v>6351</v>
      </c>
    </row>
    <row customHeight="1" ht="11.25">
      <c r="A176" s="1441" t="s">
        <v>240</v>
      </c>
      <c r="B176" s="0" t="s">
        <v>240</v>
      </c>
      <c r="C176" s="0" t="s">
        <v>240</v>
      </c>
      <c r="D176" s="0" t="s">
        <v>240</v>
      </c>
      <c r="E176" s="0" t="s">
        <v>240</v>
      </c>
      <c r="F176" s="0" t="s">
        <v>240</v>
      </c>
      <c r="G176" s="0" t="s">
        <v>240</v>
      </c>
      <c r="H176" s="0" t="s">
        <v>240</v>
      </c>
      <c r="I176" s="0" t="s">
        <v>5484</v>
      </c>
      <c r="J176" s="0" t="s">
        <v>240</v>
      </c>
      <c r="K176" s="0" t="s">
        <v>240</v>
      </c>
      <c r="L176" s="0" t="s">
        <v>240</v>
      </c>
      <c r="M176" s="0" t="s">
        <v>240</v>
      </c>
      <c r="N176" s="0" t="s">
        <v>240</v>
      </c>
      <c r="O176" s="0" t="s">
        <v>240</v>
      </c>
      <c r="P176" s="0" t="s">
        <v>240</v>
      </c>
      <c r="Q176" s="0" t="s">
        <v>240</v>
      </c>
      <c r="R176" s="0" t="s">
        <v>6352</v>
      </c>
      <c r="S176" s="0" t="s">
        <v>240</v>
      </c>
      <c r="T176" s="0" t="s">
        <v>240</v>
      </c>
      <c r="U176" s="0" t="s">
        <v>102</v>
      </c>
      <c r="V176" s="0" t="s">
        <v>240</v>
      </c>
      <c r="W176" s="0" t="s">
        <v>240</v>
      </c>
      <c r="X176" s="0" t="s">
        <v>5585</v>
      </c>
      <c r="Y176" s="0" t="s">
        <v>240</v>
      </c>
      <c r="Z176" s="0" t="s">
        <v>152</v>
      </c>
      <c r="AA176" s="0" t="s">
        <v>152</v>
      </c>
      <c r="AB176" s="0" t="s">
        <v>161</v>
      </c>
      <c r="AC176" s="0" t="s">
        <v>2989</v>
      </c>
      <c r="AD176" s="0" t="s">
        <v>2989</v>
      </c>
      <c r="AE176" s="0" t="s">
        <v>2990</v>
      </c>
      <c r="AF176" s="0" t="s">
        <v>6293</v>
      </c>
      <c r="AG176" s="0" t="s">
        <v>6294</v>
      </c>
      <c r="AH176" s="0" t="s">
        <v>5575</v>
      </c>
      <c r="AI176" s="0" t="s">
        <v>5575</v>
      </c>
      <c r="AJ176" s="0" t="s">
        <v>240</v>
      </c>
      <c r="AK176" s="0" t="s">
        <v>240</v>
      </c>
      <c r="AL176" s="0" t="s">
        <v>240</v>
      </c>
      <c r="AM176" s="0" t="s">
        <v>240</v>
      </c>
      <c r="AN176" s="0" t="s">
        <v>240</v>
      </c>
      <c r="AO176" s="0" t="s">
        <v>240</v>
      </c>
      <c r="AP176" s="0" t="s">
        <v>240</v>
      </c>
      <c r="AQ176" s="0" t="s">
        <v>240</v>
      </c>
      <c r="AR176" s="0" t="s">
        <v>240</v>
      </c>
      <c r="AS176" s="0" t="s">
        <v>240</v>
      </c>
      <c r="AT176" s="0" t="s">
        <v>240</v>
      </c>
      <c r="AU176" s="0" t="s">
        <v>240</v>
      </c>
      <c r="AV176" s="0" t="s">
        <v>240</v>
      </c>
      <c r="AW176" s="0" t="s">
        <v>240</v>
      </c>
      <c r="AX176" s="0" t="s">
        <v>240</v>
      </c>
      <c r="AY176" s="0" t="s">
        <v>240</v>
      </c>
      <c r="AZ176" s="0" t="s">
        <v>240</v>
      </c>
      <c r="BA176" s="0" t="s">
        <v>240</v>
      </c>
      <c r="BB176" s="0" t="s">
        <v>240</v>
      </c>
      <c r="BC176" s="0" t="s">
        <v>240</v>
      </c>
      <c r="BD176" s="0" t="s">
        <v>240</v>
      </c>
      <c r="BE176" s="0" t="s">
        <v>5576</v>
      </c>
      <c r="BF176" s="0" t="s">
        <v>6296</v>
      </c>
      <c r="BG176" s="0" t="s">
        <v>112</v>
      </c>
      <c r="BH176" s="0" t="s">
        <v>5589</v>
      </c>
      <c r="BI176" s="0" t="s">
        <v>123</v>
      </c>
      <c r="BJ176" s="0" t="s">
        <v>240</v>
      </c>
      <c r="BK176" s="0" t="s">
        <v>5608</v>
      </c>
      <c r="BL176" s="0" t="s">
        <v>2989</v>
      </c>
      <c r="BM176" s="0" t="s">
        <v>2989</v>
      </c>
      <c r="BN176" s="0" t="s">
        <v>5798</v>
      </c>
      <c r="BO176" s="0" t="s">
        <v>6293</v>
      </c>
      <c r="BP176" s="0" t="s">
        <v>6353</v>
      </c>
      <c r="BQ176" s="0" t="s">
        <v>5575</v>
      </c>
      <c r="BR176" s="0" t="s">
        <v>5575</v>
      </c>
      <c r="BS176" s="0" t="s">
        <v>240</v>
      </c>
      <c r="BT176" s="0" t="s">
        <v>5650</v>
      </c>
      <c r="BU176" s="0" t="s">
        <v>6354</v>
      </c>
      <c r="BV176" s="0" t="s">
        <v>6354</v>
      </c>
      <c r="BW176" s="0" t="s">
        <v>5598</v>
      </c>
      <c r="BX176" s="0" t="s">
        <v>5598</v>
      </c>
      <c r="BY176" s="0" t="s">
        <v>5598</v>
      </c>
      <c r="BZ176" s="0" t="s">
        <v>5598</v>
      </c>
      <c r="CA176" s="0" t="s">
        <v>5598</v>
      </c>
      <c r="CB176" s="0" t="s">
        <v>240</v>
      </c>
      <c r="CC176" s="0" t="s">
        <v>240</v>
      </c>
      <c r="CD176" s="0" t="s">
        <v>240</v>
      </c>
      <c r="CE176" s="0" t="s">
        <v>240</v>
      </c>
      <c r="CF176" s="0" t="s">
        <v>240</v>
      </c>
      <c r="CG176" s="0" t="s">
        <v>5598</v>
      </c>
      <c r="CH176" s="0" t="s">
        <v>240</v>
      </c>
      <c r="CI176" s="0" t="s">
        <v>240</v>
      </c>
      <c r="CJ176" s="0" t="s">
        <v>240</v>
      </c>
      <c r="CK176" s="0" t="s">
        <v>240</v>
      </c>
      <c r="CL176" s="0" t="s">
        <v>240</v>
      </c>
      <c r="CM176" s="0" t="s">
        <v>6354</v>
      </c>
      <c r="CN176" s="0" t="s">
        <v>6354</v>
      </c>
      <c r="CO176" s="0" t="s">
        <v>240</v>
      </c>
      <c r="CP176" s="0" t="s">
        <v>240</v>
      </c>
      <c r="CQ176" s="0" t="s">
        <v>240</v>
      </c>
      <c r="CR176" s="0" t="s">
        <v>240</v>
      </c>
      <c r="CS176" s="0" t="s">
        <v>5491</v>
      </c>
      <c r="CT176" s="0" t="s">
        <v>5496</v>
      </c>
      <c r="CU176" s="0" t="s">
        <v>5497</v>
      </c>
      <c r="CV176" s="0" t="s">
        <v>443</v>
      </c>
      <c r="CW176" s="0" t="s">
        <v>5580</v>
      </c>
      <c r="CX176" s="0" t="s">
        <v>229</v>
      </c>
      <c r="CY176" s="0" t="s">
        <v>443</v>
      </c>
      <c r="CZ176" s="0" t="s">
        <v>5581</v>
      </c>
      <c r="DA176" s="0" t="s">
        <v>5582</v>
      </c>
      <c r="DB176" s="0" t="s">
        <v>5580</v>
      </c>
      <c r="DC176" s="0" t="s">
        <v>384</v>
      </c>
      <c r="DD176" s="0" t="s">
        <v>291</v>
      </c>
      <c r="DE176" s="0" t="s">
        <v>6355</v>
      </c>
    </row>
    <row customHeight="1" ht="11.25">
      <c r="A177" s="1441" t="s">
        <v>240</v>
      </c>
      <c r="B177" s="0" t="s">
        <v>240</v>
      </c>
      <c r="C177" s="0" t="s">
        <v>240</v>
      </c>
      <c r="D177" s="0" t="s">
        <v>240</v>
      </c>
      <c r="E177" s="0" t="s">
        <v>240</v>
      </c>
      <c r="F177" s="0" t="s">
        <v>240</v>
      </c>
      <c r="G177" s="0" t="s">
        <v>240</v>
      </c>
      <c r="H177" s="0" t="s">
        <v>240</v>
      </c>
      <c r="I177" s="0" t="s">
        <v>5484</v>
      </c>
      <c r="J177" s="0" t="s">
        <v>240</v>
      </c>
      <c r="K177" s="0" t="s">
        <v>240</v>
      </c>
      <c r="L177" s="0" t="s">
        <v>240</v>
      </c>
      <c r="M177" s="0" t="s">
        <v>240</v>
      </c>
      <c r="N177" s="0" t="s">
        <v>240</v>
      </c>
      <c r="O177" s="0" t="s">
        <v>240</v>
      </c>
      <c r="P177" s="0" t="s">
        <v>240</v>
      </c>
      <c r="Q177" s="0" t="s">
        <v>240</v>
      </c>
      <c r="R177" s="0" t="s">
        <v>441</v>
      </c>
      <c r="S177" s="0" t="s">
        <v>240</v>
      </c>
      <c r="T177" s="0" t="s">
        <v>240</v>
      </c>
      <c r="U177" s="0" t="s">
        <v>102</v>
      </c>
      <c r="V177" s="0" t="s">
        <v>240</v>
      </c>
      <c r="W177" s="0" t="s">
        <v>240</v>
      </c>
      <c r="X177" s="0" t="s">
        <v>5485</v>
      </c>
      <c r="Y177" s="0" t="s">
        <v>240</v>
      </c>
      <c r="Z177" s="0" t="s">
        <v>161</v>
      </c>
      <c r="AA177" s="0" t="s">
        <v>152</v>
      </c>
      <c r="AB177" s="0" t="s">
        <v>152</v>
      </c>
      <c r="AC177" s="0" t="s">
        <v>364</v>
      </c>
      <c r="AD177" s="0" t="s">
        <v>364</v>
      </c>
      <c r="AE177" s="0" t="s">
        <v>365</v>
      </c>
      <c r="AF177" s="0" t="s">
        <v>5486</v>
      </c>
      <c r="AG177" s="0" t="s">
        <v>5487</v>
      </c>
      <c r="AH177" s="0" t="s">
        <v>6356</v>
      </c>
      <c r="AI177" s="0" t="s">
        <v>5533</v>
      </c>
      <c r="AJ177" s="0" t="s">
        <v>6104</v>
      </c>
      <c r="AK177" s="0" t="s">
        <v>5598</v>
      </c>
      <c r="AL177" s="0" t="s">
        <v>5605</v>
      </c>
      <c r="AM177" s="0" t="s">
        <v>5493</v>
      </c>
      <c r="AN177" s="0" t="s">
        <v>6105</v>
      </c>
      <c r="AO177" s="0" t="s">
        <v>6357</v>
      </c>
      <c r="AP177" s="0" t="s">
        <v>240</v>
      </c>
      <c r="AQ177" s="0" t="s">
        <v>240</v>
      </c>
      <c r="AR177" s="0" t="s">
        <v>240</v>
      </c>
      <c r="AS177" s="0" t="s">
        <v>240</v>
      </c>
      <c r="AT177" s="0" t="s">
        <v>240</v>
      </c>
      <c r="AU177" s="0" t="s">
        <v>240</v>
      </c>
      <c r="AV177" s="0" t="s">
        <v>240</v>
      </c>
      <c r="AW177" s="0" t="s">
        <v>240</v>
      </c>
      <c r="AX177" s="0" t="s">
        <v>240</v>
      </c>
      <c r="AY177" s="0" t="s">
        <v>240</v>
      </c>
      <c r="AZ177" s="0" t="s">
        <v>240</v>
      </c>
      <c r="BA177" s="0" t="s">
        <v>240</v>
      </c>
      <c r="BB177" s="0" t="s">
        <v>240</v>
      </c>
      <c r="BC177" s="0" t="s">
        <v>240</v>
      </c>
      <c r="BD177" s="0" t="s">
        <v>240</v>
      </c>
      <c r="BE177" s="0" t="s">
        <v>240</v>
      </c>
      <c r="BF177" s="0" t="s">
        <v>240</v>
      </c>
      <c r="BG177" s="0" t="s">
        <v>240</v>
      </c>
      <c r="BH177" s="0" t="s">
        <v>240</v>
      </c>
      <c r="BI177" s="0" t="s">
        <v>240</v>
      </c>
      <c r="BJ177" s="0" t="s">
        <v>240</v>
      </c>
      <c r="BK177" s="0" t="s">
        <v>240</v>
      </c>
      <c r="BL177" s="0" t="s">
        <v>240</v>
      </c>
      <c r="BM177" s="0" t="s">
        <v>240</v>
      </c>
      <c r="BN177" s="0" t="s">
        <v>240</v>
      </c>
      <c r="BO177" s="0" t="s">
        <v>240</v>
      </c>
      <c r="BP177" s="0" t="s">
        <v>240</v>
      </c>
      <c r="BQ177" s="0" t="s">
        <v>240</v>
      </c>
      <c r="BR177" s="0" t="s">
        <v>240</v>
      </c>
      <c r="BS177" s="0" t="s">
        <v>240</v>
      </c>
      <c r="BT177" s="0" t="s">
        <v>240</v>
      </c>
      <c r="BU177" s="0" t="s">
        <v>240</v>
      </c>
      <c r="BV177" s="0" t="s">
        <v>240</v>
      </c>
      <c r="BW177" s="0" t="s">
        <v>240</v>
      </c>
      <c r="BX177" s="0" t="s">
        <v>240</v>
      </c>
      <c r="BY177" s="0" t="s">
        <v>240</v>
      </c>
      <c r="BZ177" s="0" t="s">
        <v>240</v>
      </c>
      <c r="CA177" s="0" t="s">
        <v>240</v>
      </c>
      <c r="CB177" s="0" t="s">
        <v>240</v>
      </c>
      <c r="CC177" s="0" t="s">
        <v>240</v>
      </c>
      <c r="CD177" s="0" t="s">
        <v>240</v>
      </c>
      <c r="CE177" s="0" t="s">
        <v>240</v>
      </c>
      <c r="CF177" s="0" t="s">
        <v>240</v>
      </c>
      <c r="CG177" s="0" t="s">
        <v>240</v>
      </c>
      <c r="CH177" s="0" t="s">
        <v>240</v>
      </c>
      <c r="CI177" s="0" t="s">
        <v>240</v>
      </c>
      <c r="CJ177" s="0" t="s">
        <v>240</v>
      </c>
      <c r="CK177" s="0" t="s">
        <v>240</v>
      </c>
      <c r="CL177" s="0" t="s">
        <v>240</v>
      </c>
      <c r="CM177" s="0" t="s">
        <v>240</v>
      </c>
      <c r="CN177" s="0" t="s">
        <v>240</v>
      </c>
      <c r="CO177" s="0" t="s">
        <v>240</v>
      </c>
      <c r="CP177" s="0" t="s">
        <v>240</v>
      </c>
      <c r="CQ177" s="0" t="s">
        <v>240</v>
      </c>
      <c r="CR177" s="0" t="s">
        <v>240</v>
      </c>
      <c r="CS177" s="0" t="s">
        <v>240</v>
      </c>
      <c r="CT177" s="0" t="s">
        <v>5496</v>
      </c>
      <c r="CU177" s="0" t="s">
        <v>5497</v>
      </c>
      <c r="CV177" s="0" t="s">
        <v>443</v>
      </c>
      <c r="CW177" s="0" t="s">
        <v>5498</v>
      </c>
      <c r="CX177" s="0" t="s">
        <v>229</v>
      </c>
      <c r="CY177" s="0" t="s">
        <v>443</v>
      </c>
      <c r="CZ177" s="0" t="s">
        <v>230</v>
      </c>
      <c r="DA177" s="0" t="s">
        <v>444</v>
      </c>
      <c r="DB177" s="0" t="s">
        <v>5498</v>
      </c>
      <c r="DC177" s="0" t="s">
        <v>384</v>
      </c>
      <c r="DD177" s="0" t="s">
        <v>291</v>
      </c>
      <c r="DE177" s="0" t="s">
        <v>442</v>
      </c>
    </row>
    <row customHeight="1" ht="11.25">
      <c r="A178" s="1441" t="s">
        <v>240</v>
      </c>
      <c r="B178" s="0" t="s">
        <v>240</v>
      </c>
      <c r="C178" s="0" t="s">
        <v>240</v>
      </c>
      <c r="D178" s="0" t="s">
        <v>240</v>
      </c>
      <c r="E178" s="0" t="s">
        <v>240</v>
      </c>
      <c r="F178" s="0" t="s">
        <v>240</v>
      </c>
      <c r="G178" s="0" t="s">
        <v>240</v>
      </c>
      <c r="H178" s="0" t="s">
        <v>240</v>
      </c>
      <c r="I178" s="0" t="s">
        <v>5484</v>
      </c>
      <c r="J178" s="0" t="s">
        <v>240</v>
      </c>
      <c r="K178" s="0" t="s">
        <v>240</v>
      </c>
      <c r="L178" s="0" t="s">
        <v>240</v>
      </c>
      <c r="M178" s="0" t="s">
        <v>240</v>
      </c>
      <c r="N178" s="0" t="s">
        <v>240</v>
      </c>
      <c r="O178" s="0" t="s">
        <v>240</v>
      </c>
      <c r="P178" s="0" t="s">
        <v>240</v>
      </c>
      <c r="Q178" s="0" t="s">
        <v>240</v>
      </c>
      <c r="R178" s="0" t="s">
        <v>452</v>
      </c>
      <c r="S178" s="0" t="s">
        <v>240</v>
      </c>
      <c r="T178" s="0" t="s">
        <v>240</v>
      </c>
      <c r="U178" s="0" t="s">
        <v>102</v>
      </c>
      <c r="V178" s="0" t="s">
        <v>240</v>
      </c>
      <c r="W178" s="0" t="s">
        <v>240</v>
      </c>
      <c r="X178" s="0" t="s">
        <v>5485</v>
      </c>
      <c r="Y178" s="0" t="s">
        <v>240</v>
      </c>
      <c r="Z178" s="0" t="s">
        <v>161</v>
      </c>
      <c r="AA178" s="0" t="s">
        <v>152</v>
      </c>
      <c r="AB178" s="0" t="s">
        <v>152</v>
      </c>
      <c r="AC178" s="0" t="s">
        <v>364</v>
      </c>
      <c r="AD178" s="0" t="s">
        <v>364</v>
      </c>
      <c r="AE178" s="0" t="s">
        <v>365</v>
      </c>
      <c r="AF178" s="0" t="s">
        <v>5486</v>
      </c>
      <c r="AG178" s="0" t="s">
        <v>5487</v>
      </c>
      <c r="AH178" s="0" t="s">
        <v>6358</v>
      </c>
      <c r="AI178" s="0" t="s">
        <v>6359</v>
      </c>
      <c r="AJ178" s="0" t="s">
        <v>6104</v>
      </c>
      <c r="AK178" s="0" t="s">
        <v>5598</v>
      </c>
      <c r="AL178" s="0" t="s">
        <v>5605</v>
      </c>
      <c r="AM178" s="0" t="s">
        <v>5493</v>
      </c>
      <c r="AN178" s="0" t="s">
        <v>6105</v>
      </c>
      <c r="AO178" s="0" t="s">
        <v>6360</v>
      </c>
      <c r="AP178" s="0" t="s">
        <v>240</v>
      </c>
      <c r="AQ178" s="0" t="s">
        <v>240</v>
      </c>
      <c r="AR178" s="0" t="s">
        <v>240</v>
      </c>
      <c r="AS178" s="0" t="s">
        <v>240</v>
      </c>
      <c r="AT178" s="0" t="s">
        <v>240</v>
      </c>
      <c r="AU178" s="0" t="s">
        <v>240</v>
      </c>
      <c r="AV178" s="0" t="s">
        <v>240</v>
      </c>
      <c r="AW178" s="0" t="s">
        <v>240</v>
      </c>
      <c r="AX178" s="0" t="s">
        <v>240</v>
      </c>
      <c r="AY178" s="0" t="s">
        <v>240</v>
      </c>
      <c r="AZ178" s="0" t="s">
        <v>240</v>
      </c>
      <c r="BA178" s="0" t="s">
        <v>240</v>
      </c>
      <c r="BB178" s="0" t="s">
        <v>240</v>
      </c>
      <c r="BC178" s="0" t="s">
        <v>240</v>
      </c>
      <c r="BD178" s="0" t="s">
        <v>240</v>
      </c>
      <c r="BE178" s="0" t="s">
        <v>240</v>
      </c>
      <c r="BF178" s="0" t="s">
        <v>240</v>
      </c>
      <c r="BG178" s="0" t="s">
        <v>240</v>
      </c>
      <c r="BH178" s="0" t="s">
        <v>240</v>
      </c>
      <c r="BI178" s="0" t="s">
        <v>240</v>
      </c>
      <c r="BJ178" s="0" t="s">
        <v>240</v>
      </c>
      <c r="BK178" s="0" t="s">
        <v>240</v>
      </c>
      <c r="BL178" s="0" t="s">
        <v>240</v>
      </c>
      <c r="BM178" s="0" t="s">
        <v>240</v>
      </c>
      <c r="BN178" s="0" t="s">
        <v>240</v>
      </c>
      <c r="BO178" s="0" t="s">
        <v>240</v>
      </c>
      <c r="BP178" s="0" t="s">
        <v>240</v>
      </c>
      <c r="BQ178" s="0" t="s">
        <v>240</v>
      </c>
      <c r="BR178" s="0" t="s">
        <v>240</v>
      </c>
      <c r="BS178" s="0" t="s">
        <v>240</v>
      </c>
      <c r="BT178" s="0" t="s">
        <v>240</v>
      </c>
      <c r="BU178" s="0" t="s">
        <v>240</v>
      </c>
      <c r="BV178" s="0" t="s">
        <v>240</v>
      </c>
      <c r="BW178" s="0" t="s">
        <v>240</v>
      </c>
      <c r="BX178" s="0" t="s">
        <v>240</v>
      </c>
      <c r="BY178" s="0" t="s">
        <v>240</v>
      </c>
      <c r="BZ178" s="0" t="s">
        <v>240</v>
      </c>
      <c r="CA178" s="0" t="s">
        <v>240</v>
      </c>
      <c r="CB178" s="0" t="s">
        <v>240</v>
      </c>
      <c r="CC178" s="0" t="s">
        <v>240</v>
      </c>
      <c r="CD178" s="0" t="s">
        <v>240</v>
      </c>
      <c r="CE178" s="0" t="s">
        <v>240</v>
      </c>
      <c r="CF178" s="0" t="s">
        <v>240</v>
      </c>
      <c r="CG178" s="0" t="s">
        <v>240</v>
      </c>
      <c r="CH178" s="0" t="s">
        <v>240</v>
      </c>
      <c r="CI178" s="0" t="s">
        <v>240</v>
      </c>
      <c r="CJ178" s="0" t="s">
        <v>240</v>
      </c>
      <c r="CK178" s="0" t="s">
        <v>240</v>
      </c>
      <c r="CL178" s="0" t="s">
        <v>240</v>
      </c>
      <c r="CM178" s="0" t="s">
        <v>240</v>
      </c>
      <c r="CN178" s="0" t="s">
        <v>240</v>
      </c>
      <c r="CO178" s="0" t="s">
        <v>240</v>
      </c>
      <c r="CP178" s="0" t="s">
        <v>240</v>
      </c>
      <c r="CQ178" s="0" t="s">
        <v>240</v>
      </c>
      <c r="CR178" s="0" t="s">
        <v>240</v>
      </c>
      <c r="CS178" s="0" t="s">
        <v>240</v>
      </c>
      <c r="CT178" s="0" t="s">
        <v>5496</v>
      </c>
      <c r="CU178" s="0" t="s">
        <v>5497</v>
      </c>
      <c r="CV178" s="0" t="s">
        <v>443</v>
      </c>
      <c r="CW178" s="0" t="s">
        <v>5498</v>
      </c>
      <c r="CX178" s="0" t="s">
        <v>229</v>
      </c>
      <c r="CY178" s="0" t="s">
        <v>443</v>
      </c>
      <c r="CZ178" s="0" t="s">
        <v>230</v>
      </c>
      <c r="DA178" s="0" t="s">
        <v>444</v>
      </c>
      <c r="DB178" s="0" t="s">
        <v>5498</v>
      </c>
      <c r="DC178" s="0" t="s">
        <v>384</v>
      </c>
      <c r="DD178" s="0" t="s">
        <v>291</v>
      </c>
      <c r="DE178" s="0" t="s">
        <v>453</v>
      </c>
    </row>
    <row customHeight="1" ht="11.25">
      <c r="A179" s="1441" t="s">
        <v>240</v>
      </c>
      <c r="B179" s="0" t="s">
        <v>240</v>
      </c>
      <c r="C179" s="0" t="s">
        <v>240</v>
      </c>
      <c r="D179" s="0" t="s">
        <v>240</v>
      </c>
      <c r="E179" s="0" t="s">
        <v>240</v>
      </c>
      <c r="F179" s="0" t="s">
        <v>240</v>
      </c>
      <c r="G179" s="0" t="s">
        <v>240</v>
      </c>
      <c r="H179" s="0" t="s">
        <v>240</v>
      </c>
      <c r="I179" s="0" t="s">
        <v>5484</v>
      </c>
      <c r="J179" s="0" t="s">
        <v>240</v>
      </c>
      <c r="K179" s="0" t="s">
        <v>240</v>
      </c>
      <c r="L179" s="0" t="s">
        <v>240</v>
      </c>
      <c r="M179" s="0" t="s">
        <v>240</v>
      </c>
      <c r="N179" s="0" t="s">
        <v>240</v>
      </c>
      <c r="O179" s="0" t="s">
        <v>240</v>
      </c>
      <c r="P179" s="0" t="s">
        <v>240</v>
      </c>
      <c r="Q179" s="0" t="s">
        <v>240</v>
      </c>
      <c r="R179" s="0" t="s">
        <v>470</v>
      </c>
      <c r="S179" s="0" t="s">
        <v>240</v>
      </c>
      <c r="T179" s="0" t="s">
        <v>240</v>
      </c>
      <c r="U179" s="0" t="s">
        <v>102</v>
      </c>
      <c r="V179" s="0" t="s">
        <v>240</v>
      </c>
      <c r="W179" s="0" t="s">
        <v>240</v>
      </c>
      <c r="X179" s="0" t="s">
        <v>5485</v>
      </c>
      <c r="Y179" s="0" t="s">
        <v>240</v>
      </c>
      <c r="Z179" s="0" t="s">
        <v>161</v>
      </c>
      <c r="AA179" s="0" t="s">
        <v>152</v>
      </c>
      <c r="AB179" s="0" t="s">
        <v>152</v>
      </c>
      <c r="AC179" s="0" t="s">
        <v>364</v>
      </c>
      <c r="AD179" s="0" t="s">
        <v>364</v>
      </c>
      <c r="AE179" s="0" t="s">
        <v>365</v>
      </c>
      <c r="AF179" s="0" t="s">
        <v>6361</v>
      </c>
      <c r="AG179" s="0" t="s">
        <v>6362</v>
      </c>
      <c r="AH179" s="0" t="s">
        <v>6363</v>
      </c>
      <c r="AI179" s="0" t="s">
        <v>6364</v>
      </c>
      <c r="AJ179" s="0" t="s">
        <v>5494</v>
      </c>
      <c r="AK179" s="0" t="s">
        <v>5598</v>
      </c>
      <c r="AL179" s="0" t="s">
        <v>5605</v>
      </c>
      <c r="AM179" s="0" t="s">
        <v>5493</v>
      </c>
      <c r="AN179" s="0" t="s">
        <v>5507</v>
      </c>
      <c r="AO179" s="0" t="s">
        <v>6365</v>
      </c>
      <c r="AP179" s="0" t="s">
        <v>240</v>
      </c>
      <c r="AQ179" s="0" t="s">
        <v>240</v>
      </c>
      <c r="AR179" s="0" t="s">
        <v>240</v>
      </c>
      <c r="AS179" s="0" t="s">
        <v>240</v>
      </c>
      <c r="AT179" s="0" t="s">
        <v>240</v>
      </c>
      <c r="AU179" s="0" t="s">
        <v>240</v>
      </c>
      <c r="AV179" s="0" t="s">
        <v>240</v>
      </c>
      <c r="AW179" s="0" t="s">
        <v>240</v>
      </c>
      <c r="AX179" s="0" t="s">
        <v>240</v>
      </c>
      <c r="AY179" s="0" t="s">
        <v>240</v>
      </c>
      <c r="AZ179" s="0" t="s">
        <v>240</v>
      </c>
      <c r="BA179" s="0" t="s">
        <v>240</v>
      </c>
      <c r="BB179" s="0" t="s">
        <v>240</v>
      </c>
      <c r="BC179" s="0" t="s">
        <v>240</v>
      </c>
      <c r="BD179" s="0" t="s">
        <v>240</v>
      </c>
      <c r="BE179" s="0" t="s">
        <v>240</v>
      </c>
      <c r="BF179" s="0" t="s">
        <v>240</v>
      </c>
      <c r="BG179" s="0" t="s">
        <v>240</v>
      </c>
      <c r="BH179" s="0" t="s">
        <v>240</v>
      </c>
      <c r="BI179" s="0" t="s">
        <v>240</v>
      </c>
      <c r="BJ179" s="0" t="s">
        <v>240</v>
      </c>
      <c r="BK179" s="0" t="s">
        <v>240</v>
      </c>
      <c r="BL179" s="0" t="s">
        <v>240</v>
      </c>
      <c r="BM179" s="0" t="s">
        <v>240</v>
      </c>
      <c r="BN179" s="0" t="s">
        <v>240</v>
      </c>
      <c r="BO179" s="0" t="s">
        <v>240</v>
      </c>
      <c r="BP179" s="0" t="s">
        <v>240</v>
      </c>
      <c r="BQ179" s="0" t="s">
        <v>240</v>
      </c>
      <c r="BR179" s="0" t="s">
        <v>240</v>
      </c>
      <c r="BS179" s="0" t="s">
        <v>240</v>
      </c>
      <c r="BT179" s="0" t="s">
        <v>240</v>
      </c>
      <c r="BU179" s="0" t="s">
        <v>240</v>
      </c>
      <c r="BV179" s="0" t="s">
        <v>240</v>
      </c>
      <c r="BW179" s="0" t="s">
        <v>240</v>
      </c>
      <c r="BX179" s="0" t="s">
        <v>240</v>
      </c>
      <c r="BY179" s="0" t="s">
        <v>240</v>
      </c>
      <c r="BZ179" s="0" t="s">
        <v>240</v>
      </c>
      <c r="CA179" s="0" t="s">
        <v>240</v>
      </c>
      <c r="CB179" s="0" t="s">
        <v>240</v>
      </c>
      <c r="CC179" s="0" t="s">
        <v>240</v>
      </c>
      <c r="CD179" s="0" t="s">
        <v>240</v>
      </c>
      <c r="CE179" s="0" t="s">
        <v>240</v>
      </c>
      <c r="CF179" s="0" t="s">
        <v>240</v>
      </c>
      <c r="CG179" s="0" t="s">
        <v>240</v>
      </c>
      <c r="CH179" s="0" t="s">
        <v>240</v>
      </c>
      <c r="CI179" s="0" t="s">
        <v>240</v>
      </c>
      <c r="CJ179" s="0" t="s">
        <v>240</v>
      </c>
      <c r="CK179" s="0" t="s">
        <v>240</v>
      </c>
      <c r="CL179" s="0" t="s">
        <v>240</v>
      </c>
      <c r="CM179" s="0" t="s">
        <v>240</v>
      </c>
      <c r="CN179" s="0" t="s">
        <v>240</v>
      </c>
      <c r="CO179" s="0" t="s">
        <v>240</v>
      </c>
      <c r="CP179" s="0" t="s">
        <v>240</v>
      </c>
      <c r="CQ179" s="0" t="s">
        <v>240</v>
      </c>
      <c r="CR179" s="0" t="s">
        <v>240</v>
      </c>
      <c r="CS179" s="0" t="s">
        <v>240</v>
      </c>
      <c r="CT179" s="0" t="s">
        <v>5496</v>
      </c>
      <c r="CU179" s="0" t="s">
        <v>5497</v>
      </c>
      <c r="CV179" s="0" t="s">
        <v>443</v>
      </c>
      <c r="CW179" s="0" t="s">
        <v>5498</v>
      </c>
      <c r="CX179" s="0" t="s">
        <v>229</v>
      </c>
      <c r="CY179" s="0" t="s">
        <v>443</v>
      </c>
      <c r="CZ179" s="0" t="s">
        <v>230</v>
      </c>
      <c r="DA179" s="0" t="s">
        <v>444</v>
      </c>
      <c r="DB179" s="0" t="s">
        <v>5498</v>
      </c>
      <c r="DC179" s="0" t="s">
        <v>384</v>
      </c>
      <c r="DD179" s="0" t="s">
        <v>291</v>
      </c>
      <c r="DE179" s="0" t="s">
        <v>491</v>
      </c>
    </row>
    <row customHeight="1" ht="11.25">
      <c r="A180" s="1441" t="s">
        <v>240</v>
      </c>
      <c r="B180" s="0" t="s">
        <v>240</v>
      </c>
      <c r="C180" s="0" t="s">
        <v>240</v>
      </c>
      <c r="D180" s="0" t="s">
        <v>240</v>
      </c>
      <c r="E180" s="0" t="s">
        <v>240</v>
      </c>
      <c r="F180" s="0" t="s">
        <v>240</v>
      </c>
      <c r="G180" s="0" t="s">
        <v>240</v>
      </c>
      <c r="H180" s="0" t="s">
        <v>240</v>
      </c>
      <c r="I180" s="0" t="s">
        <v>5484</v>
      </c>
      <c r="J180" s="0" t="s">
        <v>240</v>
      </c>
      <c r="K180" s="0" t="s">
        <v>240</v>
      </c>
      <c r="L180" s="0" t="s">
        <v>240</v>
      </c>
      <c r="M180" s="0" t="s">
        <v>240</v>
      </c>
      <c r="N180" s="0" t="s">
        <v>240</v>
      </c>
      <c r="O180" s="0" t="s">
        <v>240</v>
      </c>
      <c r="P180" s="0" t="s">
        <v>240</v>
      </c>
      <c r="Q180" s="0" t="s">
        <v>240</v>
      </c>
      <c r="R180" s="0" t="s">
        <v>6366</v>
      </c>
      <c r="S180" s="0" t="s">
        <v>240</v>
      </c>
      <c r="T180" s="0" t="s">
        <v>240</v>
      </c>
      <c r="U180" s="0" t="s">
        <v>102</v>
      </c>
      <c r="V180" s="0" t="s">
        <v>240</v>
      </c>
      <c r="W180" s="0" t="s">
        <v>240</v>
      </c>
      <c r="X180" s="0" t="s">
        <v>5905</v>
      </c>
      <c r="Y180" s="0" t="s">
        <v>240</v>
      </c>
      <c r="Z180" s="0" t="s">
        <v>152</v>
      </c>
      <c r="AA180" s="0" t="s">
        <v>161</v>
      </c>
      <c r="AB180" s="0" t="s">
        <v>152</v>
      </c>
      <c r="AC180" s="0" t="s">
        <v>3389</v>
      </c>
      <c r="AD180" s="0" t="s">
        <v>3389</v>
      </c>
      <c r="AE180" s="0" t="s">
        <v>3390</v>
      </c>
      <c r="AF180" s="0" t="s">
        <v>5519</v>
      </c>
      <c r="AG180" s="0" t="s">
        <v>5520</v>
      </c>
      <c r="AH180" s="0" t="s">
        <v>5586</v>
      </c>
      <c r="AI180" s="0" t="s">
        <v>5533</v>
      </c>
      <c r="AJ180" s="0" t="s">
        <v>240</v>
      </c>
      <c r="AK180" s="0" t="s">
        <v>240</v>
      </c>
      <c r="AL180" s="0" t="s">
        <v>240</v>
      </c>
      <c r="AM180" s="0" t="s">
        <v>240</v>
      </c>
      <c r="AN180" s="0" t="s">
        <v>240</v>
      </c>
      <c r="AO180" s="0" t="s">
        <v>240</v>
      </c>
      <c r="AP180" s="0" t="s">
        <v>5587</v>
      </c>
      <c r="AQ180" s="0" t="s">
        <v>6367</v>
      </c>
      <c r="AR180" s="0" t="s">
        <v>112</v>
      </c>
      <c r="AS180" s="0" t="s">
        <v>5589</v>
      </c>
      <c r="AT180" s="0" t="s">
        <v>123</v>
      </c>
      <c r="AU180" s="0" t="s">
        <v>240</v>
      </c>
      <c r="AV180" s="0" t="s">
        <v>6368</v>
      </c>
      <c r="AW180" s="0" t="s">
        <v>2962</v>
      </c>
      <c r="AX180" s="0" t="s">
        <v>2962</v>
      </c>
      <c r="AY180" s="0" t="s">
        <v>5909</v>
      </c>
      <c r="AZ180" s="0" t="s">
        <v>6369</v>
      </c>
      <c r="BA180" s="0" t="s">
        <v>6370</v>
      </c>
      <c r="BB180" s="0" t="s">
        <v>5586</v>
      </c>
      <c r="BC180" s="0" t="s">
        <v>5533</v>
      </c>
      <c r="BD180" s="0" t="s">
        <v>5989</v>
      </c>
      <c r="BE180" s="0" t="s">
        <v>240</v>
      </c>
      <c r="BF180" s="0" t="s">
        <v>240</v>
      </c>
      <c r="BG180" s="0" t="s">
        <v>240</v>
      </c>
      <c r="BH180" s="0" t="s">
        <v>240</v>
      </c>
      <c r="BI180" s="0" t="s">
        <v>240</v>
      </c>
      <c r="BJ180" s="0" t="s">
        <v>240</v>
      </c>
      <c r="BK180" s="0" t="s">
        <v>240</v>
      </c>
      <c r="BL180" s="0" t="s">
        <v>240</v>
      </c>
      <c r="BM180" s="0" t="s">
        <v>240</v>
      </c>
      <c r="BN180" s="0" t="s">
        <v>240</v>
      </c>
      <c r="BO180" s="0" t="s">
        <v>240</v>
      </c>
      <c r="BP180" s="0" t="s">
        <v>240</v>
      </c>
      <c r="BQ180" s="0" t="s">
        <v>240</v>
      </c>
      <c r="BR180" s="0" t="s">
        <v>240</v>
      </c>
      <c r="BS180" s="0" t="s">
        <v>240</v>
      </c>
      <c r="BT180" s="0" t="s">
        <v>240</v>
      </c>
      <c r="BU180" s="0" t="s">
        <v>240</v>
      </c>
      <c r="BV180" s="0" t="s">
        <v>240</v>
      </c>
      <c r="BW180" s="0" t="s">
        <v>240</v>
      </c>
      <c r="BX180" s="0" t="s">
        <v>240</v>
      </c>
      <c r="BY180" s="0" t="s">
        <v>240</v>
      </c>
      <c r="BZ180" s="0" t="s">
        <v>240</v>
      </c>
      <c r="CA180" s="0" t="s">
        <v>240</v>
      </c>
      <c r="CB180" s="0" t="s">
        <v>240</v>
      </c>
      <c r="CC180" s="0" t="s">
        <v>240</v>
      </c>
      <c r="CD180" s="0" t="s">
        <v>240</v>
      </c>
      <c r="CE180" s="0" t="s">
        <v>240</v>
      </c>
      <c r="CF180" s="0" t="s">
        <v>240</v>
      </c>
      <c r="CG180" s="0" t="s">
        <v>240</v>
      </c>
      <c r="CH180" s="0" t="s">
        <v>240</v>
      </c>
      <c r="CI180" s="0" t="s">
        <v>240</v>
      </c>
      <c r="CJ180" s="0" t="s">
        <v>240</v>
      </c>
      <c r="CK180" s="0" t="s">
        <v>240</v>
      </c>
      <c r="CL180" s="0" t="s">
        <v>240</v>
      </c>
      <c r="CM180" s="0" t="s">
        <v>240</v>
      </c>
      <c r="CN180" s="0" t="s">
        <v>240</v>
      </c>
      <c r="CO180" s="0" t="s">
        <v>240</v>
      </c>
      <c r="CP180" s="0" t="s">
        <v>240</v>
      </c>
      <c r="CQ180" s="0" t="s">
        <v>240</v>
      </c>
      <c r="CR180" s="0" t="s">
        <v>240</v>
      </c>
      <c r="CS180" s="0" t="s">
        <v>240</v>
      </c>
      <c r="CT180" s="0" t="s">
        <v>5496</v>
      </c>
      <c r="CU180" s="0" t="s">
        <v>5497</v>
      </c>
      <c r="CV180" s="0" t="s">
        <v>443</v>
      </c>
      <c r="CW180" s="0" t="s">
        <v>5527</v>
      </c>
      <c r="CX180" s="0" t="s">
        <v>5528</v>
      </c>
      <c r="CY180" s="0" t="s">
        <v>443</v>
      </c>
      <c r="CZ180" s="0" t="s">
        <v>299</v>
      </c>
      <c r="DA180" s="0" t="s">
        <v>5529</v>
      </c>
      <c r="DB180" s="0" t="s">
        <v>5527</v>
      </c>
      <c r="DC180" s="0" t="s">
        <v>384</v>
      </c>
      <c r="DD180" s="0" t="s">
        <v>291</v>
      </c>
      <c r="DE180" s="0" t="s">
        <v>5601</v>
      </c>
    </row>
    <row customHeight="1" ht="11.25">
      <c r="A181" s="1441" t="s">
        <v>240</v>
      </c>
      <c r="B181" s="0" t="s">
        <v>240</v>
      </c>
      <c r="C181" s="0" t="s">
        <v>240</v>
      </c>
      <c r="D181" s="0" t="s">
        <v>240</v>
      </c>
      <c r="E181" s="0" t="s">
        <v>240</v>
      </c>
      <c r="F181" s="0" t="s">
        <v>240</v>
      </c>
      <c r="G181" s="0" t="s">
        <v>240</v>
      </c>
      <c r="H181" s="0" t="s">
        <v>240</v>
      </c>
      <c r="I181" s="0" t="s">
        <v>5484</v>
      </c>
      <c r="J181" s="0" t="s">
        <v>240</v>
      </c>
      <c r="K181" s="0" t="s">
        <v>240</v>
      </c>
      <c r="L181" s="0" t="s">
        <v>240</v>
      </c>
      <c r="M181" s="0" t="s">
        <v>240</v>
      </c>
      <c r="N181" s="0" t="s">
        <v>240</v>
      </c>
      <c r="O181" s="0" t="s">
        <v>240</v>
      </c>
      <c r="P181" s="0" t="s">
        <v>240</v>
      </c>
      <c r="Q181" s="0" t="s">
        <v>240</v>
      </c>
      <c r="R181" s="0" t="s">
        <v>449</v>
      </c>
      <c r="S181" s="0" t="s">
        <v>240</v>
      </c>
      <c r="T181" s="0" t="s">
        <v>240</v>
      </c>
      <c r="U181" s="0" t="s">
        <v>102</v>
      </c>
      <c r="V181" s="0" t="s">
        <v>240</v>
      </c>
      <c r="W181" s="0" t="s">
        <v>240</v>
      </c>
      <c r="X181" s="0" t="s">
        <v>5585</v>
      </c>
      <c r="Y181" s="0" t="s">
        <v>240</v>
      </c>
      <c r="Z181" s="0" t="s">
        <v>152</v>
      </c>
      <c r="AA181" s="0" t="s">
        <v>152</v>
      </c>
      <c r="AB181" s="0" t="s">
        <v>161</v>
      </c>
      <c r="AC181" s="0" t="s">
        <v>2985</v>
      </c>
      <c r="AD181" s="0" t="s">
        <v>2985</v>
      </c>
      <c r="AE181" s="0" t="s">
        <v>2986</v>
      </c>
      <c r="AF181" s="0" t="s">
        <v>6371</v>
      </c>
      <c r="AG181" s="0" t="s">
        <v>6372</v>
      </c>
      <c r="AH181" s="0" t="s">
        <v>6371</v>
      </c>
      <c r="AI181" s="0" t="s">
        <v>5644</v>
      </c>
      <c r="AJ181" s="0" t="s">
        <v>240</v>
      </c>
      <c r="AK181" s="0" t="s">
        <v>240</v>
      </c>
      <c r="AL181" s="0" t="s">
        <v>240</v>
      </c>
      <c r="AM181" s="0" t="s">
        <v>240</v>
      </c>
      <c r="AN181" s="0" t="s">
        <v>240</v>
      </c>
      <c r="AO181" s="0" t="s">
        <v>240</v>
      </c>
      <c r="AP181" s="0" t="s">
        <v>240</v>
      </c>
      <c r="AQ181" s="0" t="s">
        <v>240</v>
      </c>
      <c r="AR181" s="0" t="s">
        <v>240</v>
      </c>
      <c r="AS181" s="0" t="s">
        <v>240</v>
      </c>
      <c r="AT181" s="0" t="s">
        <v>240</v>
      </c>
      <c r="AU181" s="0" t="s">
        <v>240</v>
      </c>
      <c r="AV181" s="0" t="s">
        <v>240</v>
      </c>
      <c r="AW181" s="0" t="s">
        <v>240</v>
      </c>
      <c r="AX181" s="0" t="s">
        <v>240</v>
      </c>
      <c r="AY181" s="0" t="s">
        <v>240</v>
      </c>
      <c r="AZ181" s="0" t="s">
        <v>240</v>
      </c>
      <c r="BA181" s="0" t="s">
        <v>240</v>
      </c>
      <c r="BB181" s="0" t="s">
        <v>240</v>
      </c>
      <c r="BC181" s="0" t="s">
        <v>240</v>
      </c>
      <c r="BD181" s="0" t="s">
        <v>240</v>
      </c>
      <c r="BE181" s="0" t="s">
        <v>5645</v>
      </c>
      <c r="BF181" s="0" t="s">
        <v>5645</v>
      </c>
      <c r="BG181" s="0" t="s">
        <v>112</v>
      </c>
      <c r="BH181" s="0" t="s">
        <v>5589</v>
      </c>
      <c r="BI181" s="0" t="s">
        <v>123</v>
      </c>
      <c r="BJ181" s="0" t="s">
        <v>240</v>
      </c>
      <c r="BK181" s="0" t="s">
        <v>5608</v>
      </c>
      <c r="BL181" s="0" t="s">
        <v>2985</v>
      </c>
      <c r="BM181" s="0" t="s">
        <v>2985</v>
      </c>
      <c r="BN181" s="0" t="s">
        <v>5646</v>
      </c>
      <c r="BO181" s="0" t="s">
        <v>6371</v>
      </c>
      <c r="BP181" s="0" t="s">
        <v>6373</v>
      </c>
      <c r="BQ181" s="0" t="s">
        <v>6374</v>
      </c>
      <c r="BR181" s="0" t="s">
        <v>5847</v>
      </c>
      <c r="BS181" s="0" t="s">
        <v>240</v>
      </c>
      <c r="BT181" s="0" t="s">
        <v>5650</v>
      </c>
      <c r="BU181" s="0" t="s">
        <v>6375</v>
      </c>
      <c r="BV181" s="0" t="s">
        <v>6375</v>
      </c>
      <c r="BW181" s="0" t="s">
        <v>5598</v>
      </c>
      <c r="BX181" s="0" t="s">
        <v>5598</v>
      </c>
      <c r="BY181" s="0" t="s">
        <v>5598</v>
      </c>
      <c r="BZ181" s="0" t="s">
        <v>5598</v>
      </c>
      <c r="CA181" s="0" t="s">
        <v>5598</v>
      </c>
      <c r="CB181" s="0" t="s">
        <v>240</v>
      </c>
      <c r="CC181" s="0" t="s">
        <v>240</v>
      </c>
      <c r="CD181" s="0" t="s">
        <v>240</v>
      </c>
      <c r="CE181" s="0" t="s">
        <v>240</v>
      </c>
      <c r="CF181" s="0" t="s">
        <v>240</v>
      </c>
      <c r="CG181" s="0" t="s">
        <v>5598</v>
      </c>
      <c r="CH181" s="0" t="s">
        <v>240</v>
      </c>
      <c r="CI181" s="0" t="s">
        <v>240</v>
      </c>
      <c r="CJ181" s="0" t="s">
        <v>240</v>
      </c>
      <c r="CK181" s="0" t="s">
        <v>240</v>
      </c>
      <c r="CL181" s="0" t="s">
        <v>240</v>
      </c>
      <c r="CM181" s="0" t="s">
        <v>6375</v>
      </c>
      <c r="CN181" s="0" t="s">
        <v>6375</v>
      </c>
      <c r="CO181" s="0" t="s">
        <v>240</v>
      </c>
      <c r="CP181" s="0" t="s">
        <v>240</v>
      </c>
      <c r="CQ181" s="0" t="s">
        <v>240</v>
      </c>
      <c r="CR181" s="0" t="s">
        <v>240</v>
      </c>
      <c r="CS181" s="0" t="s">
        <v>5507</v>
      </c>
      <c r="CT181" s="0" t="s">
        <v>5496</v>
      </c>
      <c r="CU181" s="0" t="s">
        <v>5497</v>
      </c>
      <c r="CV181" s="0" t="s">
        <v>443</v>
      </c>
      <c r="CW181" s="0" t="s">
        <v>5509</v>
      </c>
      <c r="CX181" s="0" t="s">
        <v>229</v>
      </c>
      <c r="CY181" s="0" t="s">
        <v>443</v>
      </c>
      <c r="CZ181" s="0" t="s">
        <v>5510</v>
      </c>
      <c r="DA181" s="0" t="s">
        <v>5511</v>
      </c>
      <c r="DB181" s="0" t="s">
        <v>5509</v>
      </c>
      <c r="DC181" s="0" t="s">
        <v>384</v>
      </c>
      <c r="DD181" s="0" t="s">
        <v>291</v>
      </c>
      <c r="DE181" s="0" t="s">
        <v>6376</v>
      </c>
    </row>
    <row customHeight="1" ht="11.25">
      <c r="A182" s="1441" t="s">
        <v>240</v>
      </c>
      <c r="B182" s="0" t="s">
        <v>240</v>
      </c>
      <c r="C182" s="0" t="s">
        <v>240</v>
      </c>
      <c r="D182" s="0" t="s">
        <v>240</v>
      </c>
      <c r="E182" s="0" t="s">
        <v>240</v>
      </c>
      <c r="F182" s="0" t="s">
        <v>240</v>
      </c>
      <c r="G182" s="0" t="s">
        <v>240</v>
      </c>
      <c r="H182" s="0" t="s">
        <v>240</v>
      </c>
      <c r="I182" s="0" t="s">
        <v>5484</v>
      </c>
      <c r="J182" s="0" t="s">
        <v>240</v>
      </c>
      <c r="K182" s="0" t="s">
        <v>240</v>
      </c>
      <c r="L182" s="0" t="s">
        <v>240</v>
      </c>
      <c r="M182" s="0" t="s">
        <v>240</v>
      </c>
      <c r="N182" s="0" t="s">
        <v>240</v>
      </c>
      <c r="O182" s="0" t="s">
        <v>240</v>
      </c>
      <c r="P182" s="0" t="s">
        <v>240</v>
      </c>
      <c r="Q182" s="0" t="s">
        <v>240</v>
      </c>
      <c r="R182" s="0" t="s">
        <v>5608</v>
      </c>
      <c r="S182" s="0" t="s">
        <v>240</v>
      </c>
      <c r="T182" s="0" t="s">
        <v>240</v>
      </c>
      <c r="U182" s="0" t="s">
        <v>102</v>
      </c>
      <c r="V182" s="0" t="s">
        <v>240</v>
      </c>
      <c r="W182" s="0" t="s">
        <v>240</v>
      </c>
      <c r="X182" s="0" t="s">
        <v>5485</v>
      </c>
      <c r="Y182" s="0" t="s">
        <v>240</v>
      </c>
      <c r="Z182" s="0" t="s">
        <v>161</v>
      </c>
      <c r="AA182" s="0" t="s">
        <v>152</v>
      </c>
      <c r="AB182" s="0" t="s">
        <v>152</v>
      </c>
      <c r="AC182" s="0" t="s">
        <v>2985</v>
      </c>
      <c r="AD182" s="0" t="s">
        <v>2985</v>
      </c>
      <c r="AE182" s="0" t="s">
        <v>2986</v>
      </c>
      <c r="AF182" s="0" t="s">
        <v>6371</v>
      </c>
      <c r="AG182" s="0" t="s">
        <v>6372</v>
      </c>
      <c r="AH182" s="0" t="s">
        <v>6374</v>
      </c>
      <c r="AI182" s="0" t="s">
        <v>6377</v>
      </c>
      <c r="AJ182" s="0" t="s">
        <v>5504</v>
      </c>
      <c r="AK182" s="0" t="s">
        <v>5505</v>
      </c>
      <c r="AL182" s="0" t="s">
        <v>6109</v>
      </c>
      <c r="AM182" s="0" t="s">
        <v>5493</v>
      </c>
      <c r="AN182" s="0" t="s">
        <v>5507</v>
      </c>
      <c r="AO182" s="0" t="s">
        <v>5619</v>
      </c>
      <c r="AP182" s="0" t="s">
        <v>240</v>
      </c>
      <c r="AQ182" s="0" t="s">
        <v>240</v>
      </c>
      <c r="AR182" s="0" t="s">
        <v>240</v>
      </c>
      <c r="AS182" s="0" t="s">
        <v>240</v>
      </c>
      <c r="AT182" s="0" t="s">
        <v>240</v>
      </c>
      <c r="AU182" s="0" t="s">
        <v>240</v>
      </c>
      <c r="AV182" s="0" t="s">
        <v>240</v>
      </c>
      <c r="AW182" s="0" t="s">
        <v>240</v>
      </c>
      <c r="AX182" s="0" t="s">
        <v>240</v>
      </c>
      <c r="AY182" s="0" t="s">
        <v>240</v>
      </c>
      <c r="AZ182" s="0" t="s">
        <v>240</v>
      </c>
      <c r="BA182" s="0" t="s">
        <v>240</v>
      </c>
      <c r="BB182" s="0" t="s">
        <v>240</v>
      </c>
      <c r="BC182" s="0" t="s">
        <v>240</v>
      </c>
      <c r="BD182" s="0" t="s">
        <v>240</v>
      </c>
      <c r="BE182" s="0" t="s">
        <v>240</v>
      </c>
      <c r="BF182" s="0" t="s">
        <v>240</v>
      </c>
      <c r="BG182" s="0" t="s">
        <v>240</v>
      </c>
      <c r="BH182" s="0" t="s">
        <v>240</v>
      </c>
      <c r="BI182" s="0" t="s">
        <v>240</v>
      </c>
      <c r="BJ182" s="0" t="s">
        <v>240</v>
      </c>
      <c r="BK182" s="0" t="s">
        <v>240</v>
      </c>
      <c r="BL182" s="0" t="s">
        <v>240</v>
      </c>
      <c r="BM182" s="0" t="s">
        <v>240</v>
      </c>
      <c r="BN182" s="0" t="s">
        <v>240</v>
      </c>
      <c r="BO182" s="0" t="s">
        <v>240</v>
      </c>
      <c r="BP182" s="0" t="s">
        <v>240</v>
      </c>
      <c r="BQ182" s="0" t="s">
        <v>240</v>
      </c>
      <c r="BR182" s="0" t="s">
        <v>240</v>
      </c>
      <c r="BS182" s="0" t="s">
        <v>240</v>
      </c>
      <c r="BT182" s="0" t="s">
        <v>240</v>
      </c>
      <c r="BU182" s="0" t="s">
        <v>240</v>
      </c>
      <c r="BV182" s="0" t="s">
        <v>240</v>
      </c>
      <c r="BW182" s="0" t="s">
        <v>240</v>
      </c>
      <c r="BX182" s="0" t="s">
        <v>240</v>
      </c>
      <c r="BY182" s="0" t="s">
        <v>240</v>
      </c>
      <c r="BZ182" s="0" t="s">
        <v>240</v>
      </c>
      <c r="CA182" s="0" t="s">
        <v>240</v>
      </c>
      <c r="CB182" s="0" t="s">
        <v>240</v>
      </c>
      <c r="CC182" s="0" t="s">
        <v>240</v>
      </c>
      <c r="CD182" s="0" t="s">
        <v>240</v>
      </c>
      <c r="CE182" s="0" t="s">
        <v>240</v>
      </c>
      <c r="CF182" s="0" t="s">
        <v>240</v>
      </c>
      <c r="CG182" s="0" t="s">
        <v>240</v>
      </c>
      <c r="CH182" s="0" t="s">
        <v>240</v>
      </c>
      <c r="CI182" s="0" t="s">
        <v>240</v>
      </c>
      <c r="CJ182" s="0" t="s">
        <v>240</v>
      </c>
      <c r="CK182" s="0" t="s">
        <v>240</v>
      </c>
      <c r="CL182" s="0" t="s">
        <v>240</v>
      </c>
      <c r="CM182" s="0" t="s">
        <v>240</v>
      </c>
      <c r="CN182" s="0" t="s">
        <v>240</v>
      </c>
      <c r="CO182" s="0" t="s">
        <v>240</v>
      </c>
      <c r="CP182" s="0" t="s">
        <v>240</v>
      </c>
      <c r="CQ182" s="0" t="s">
        <v>240</v>
      </c>
      <c r="CR182" s="0" t="s">
        <v>240</v>
      </c>
      <c r="CS182" s="0" t="s">
        <v>240</v>
      </c>
      <c r="CT182" s="0" t="s">
        <v>5496</v>
      </c>
      <c r="CU182" s="0" t="s">
        <v>5497</v>
      </c>
      <c r="CV182" s="0" t="s">
        <v>443</v>
      </c>
      <c r="CW182" s="0" t="s">
        <v>5509</v>
      </c>
      <c r="CX182" s="0" t="s">
        <v>229</v>
      </c>
      <c r="CY182" s="0" t="s">
        <v>443</v>
      </c>
      <c r="CZ182" s="0" t="s">
        <v>5510</v>
      </c>
      <c r="DA182" s="0" t="s">
        <v>5511</v>
      </c>
      <c r="DB182" s="0" t="s">
        <v>5509</v>
      </c>
      <c r="DC182" s="0" t="s">
        <v>384</v>
      </c>
      <c r="DD182" s="0" t="s">
        <v>291</v>
      </c>
      <c r="DE182" s="0" t="s">
        <v>6378</v>
      </c>
    </row>
    <row customHeight="1" ht="11.25">
      <c r="A183" s="1441" t="s">
        <v>240</v>
      </c>
      <c r="B183" s="0" t="s">
        <v>240</v>
      </c>
      <c r="C183" s="0" t="s">
        <v>240</v>
      </c>
      <c r="D183" s="0" t="s">
        <v>240</v>
      </c>
      <c r="E183" s="0" t="s">
        <v>240</v>
      </c>
      <c r="F183" s="0" t="s">
        <v>240</v>
      </c>
      <c r="G183" s="0" t="s">
        <v>240</v>
      </c>
      <c r="H183" s="0" t="s">
        <v>240</v>
      </c>
      <c r="I183" s="0" t="s">
        <v>5484</v>
      </c>
      <c r="J183" s="0" t="s">
        <v>240</v>
      </c>
      <c r="K183" s="0" t="s">
        <v>240</v>
      </c>
      <c r="L183" s="0" t="s">
        <v>240</v>
      </c>
      <c r="M183" s="0" t="s">
        <v>240</v>
      </c>
      <c r="N183" s="0" t="s">
        <v>240</v>
      </c>
      <c r="O183" s="0" t="s">
        <v>240</v>
      </c>
      <c r="P183" s="0" t="s">
        <v>240</v>
      </c>
      <c r="Q183" s="0" t="s">
        <v>240</v>
      </c>
      <c r="R183" s="0" t="s">
        <v>5572</v>
      </c>
      <c r="S183" s="0" t="s">
        <v>240</v>
      </c>
      <c r="T183" s="0" t="s">
        <v>240</v>
      </c>
      <c r="U183" s="0" t="s">
        <v>102</v>
      </c>
      <c r="V183" s="0" t="s">
        <v>240</v>
      </c>
      <c r="W183" s="0" t="s">
        <v>240</v>
      </c>
      <c r="X183" s="0" t="s">
        <v>5485</v>
      </c>
      <c r="Y183" s="0" t="s">
        <v>240</v>
      </c>
      <c r="Z183" s="0" t="s">
        <v>161</v>
      </c>
      <c r="AA183" s="0" t="s">
        <v>152</v>
      </c>
      <c r="AB183" s="0" t="s">
        <v>152</v>
      </c>
      <c r="AC183" s="0" t="s">
        <v>2991</v>
      </c>
      <c r="AD183" s="0" t="s">
        <v>2991</v>
      </c>
      <c r="AE183" s="0" t="s">
        <v>2992</v>
      </c>
      <c r="AF183" s="0" t="s">
        <v>5884</v>
      </c>
      <c r="AG183" s="0" t="s">
        <v>5885</v>
      </c>
      <c r="AH183" s="0" t="s">
        <v>6379</v>
      </c>
      <c r="AI183" s="0" t="s">
        <v>5618</v>
      </c>
      <c r="AJ183" s="0" t="s">
        <v>5504</v>
      </c>
      <c r="AK183" s="0" t="s">
        <v>5552</v>
      </c>
      <c r="AL183" s="0" t="s">
        <v>5506</v>
      </c>
      <c r="AM183" s="0" t="s">
        <v>5493</v>
      </c>
      <c r="AN183" s="0" t="s">
        <v>5491</v>
      </c>
      <c r="AO183" s="0" t="s">
        <v>6380</v>
      </c>
      <c r="AP183" s="0" t="s">
        <v>240</v>
      </c>
      <c r="AQ183" s="0" t="s">
        <v>240</v>
      </c>
      <c r="AR183" s="0" t="s">
        <v>240</v>
      </c>
      <c r="AS183" s="0" t="s">
        <v>240</v>
      </c>
      <c r="AT183" s="0" t="s">
        <v>240</v>
      </c>
      <c r="AU183" s="0" t="s">
        <v>240</v>
      </c>
      <c r="AV183" s="0" t="s">
        <v>240</v>
      </c>
      <c r="AW183" s="0" t="s">
        <v>240</v>
      </c>
      <c r="AX183" s="0" t="s">
        <v>240</v>
      </c>
      <c r="AY183" s="0" t="s">
        <v>240</v>
      </c>
      <c r="AZ183" s="0" t="s">
        <v>240</v>
      </c>
      <c r="BA183" s="0" t="s">
        <v>240</v>
      </c>
      <c r="BB183" s="0" t="s">
        <v>240</v>
      </c>
      <c r="BC183" s="0" t="s">
        <v>240</v>
      </c>
      <c r="BD183" s="0" t="s">
        <v>240</v>
      </c>
      <c r="BE183" s="0" t="s">
        <v>240</v>
      </c>
      <c r="BF183" s="0" t="s">
        <v>240</v>
      </c>
      <c r="BG183" s="0" t="s">
        <v>240</v>
      </c>
      <c r="BH183" s="0" t="s">
        <v>240</v>
      </c>
      <c r="BI183" s="0" t="s">
        <v>240</v>
      </c>
      <c r="BJ183" s="0" t="s">
        <v>240</v>
      </c>
      <c r="BK183" s="0" t="s">
        <v>240</v>
      </c>
      <c r="BL183" s="0" t="s">
        <v>240</v>
      </c>
      <c r="BM183" s="0" t="s">
        <v>240</v>
      </c>
      <c r="BN183" s="0" t="s">
        <v>240</v>
      </c>
      <c r="BO183" s="0" t="s">
        <v>240</v>
      </c>
      <c r="BP183" s="0" t="s">
        <v>240</v>
      </c>
      <c r="BQ183" s="0" t="s">
        <v>240</v>
      </c>
      <c r="BR183" s="0" t="s">
        <v>240</v>
      </c>
      <c r="BS183" s="0" t="s">
        <v>240</v>
      </c>
      <c r="BT183" s="0" t="s">
        <v>240</v>
      </c>
      <c r="BU183" s="0" t="s">
        <v>240</v>
      </c>
      <c r="BV183" s="0" t="s">
        <v>240</v>
      </c>
      <c r="BW183" s="0" t="s">
        <v>240</v>
      </c>
      <c r="BX183" s="0" t="s">
        <v>240</v>
      </c>
      <c r="BY183" s="0" t="s">
        <v>240</v>
      </c>
      <c r="BZ183" s="0" t="s">
        <v>240</v>
      </c>
      <c r="CA183" s="0" t="s">
        <v>240</v>
      </c>
      <c r="CB183" s="0" t="s">
        <v>240</v>
      </c>
      <c r="CC183" s="0" t="s">
        <v>240</v>
      </c>
      <c r="CD183" s="0" t="s">
        <v>240</v>
      </c>
      <c r="CE183" s="0" t="s">
        <v>240</v>
      </c>
      <c r="CF183" s="0" t="s">
        <v>240</v>
      </c>
      <c r="CG183" s="0" t="s">
        <v>240</v>
      </c>
      <c r="CH183" s="0" t="s">
        <v>240</v>
      </c>
      <c r="CI183" s="0" t="s">
        <v>240</v>
      </c>
      <c r="CJ183" s="0" t="s">
        <v>240</v>
      </c>
      <c r="CK183" s="0" t="s">
        <v>240</v>
      </c>
      <c r="CL183" s="0" t="s">
        <v>240</v>
      </c>
      <c r="CM183" s="0" t="s">
        <v>240</v>
      </c>
      <c r="CN183" s="0" t="s">
        <v>240</v>
      </c>
      <c r="CO183" s="0" t="s">
        <v>240</v>
      </c>
      <c r="CP183" s="0" t="s">
        <v>240</v>
      </c>
      <c r="CQ183" s="0" t="s">
        <v>240</v>
      </c>
      <c r="CR183" s="0" t="s">
        <v>240</v>
      </c>
      <c r="CS183" s="0" t="s">
        <v>240</v>
      </c>
      <c r="CT183" s="0" t="s">
        <v>5496</v>
      </c>
      <c r="CU183" s="0" t="s">
        <v>5497</v>
      </c>
      <c r="CV183" s="0" t="s">
        <v>443</v>
      </c>
      <c r="CW183" s="0" t="s">
        <v>5547</v>
      </c>
      <c r="CX183" s="0" t="s">
        <v>229</v>
      </c>
      <c r="CY183" s="0" t="s">
        <v>443</v>
      </c>
      <c r="CZ183" s="0" t="s">
        <v>5548</v>
      </c>
      <c r="DA183" s="0" t="s">
        <v>5549</v>
      </c>
      <c r="DB183" s="0" t="s">
        <v>5547</v>
      </c>
      <c r="DC183" s="0" t="s">
        <v>384</v>
      </c>
      <c r="DD183" s="0" t="s">
        <v>291</v>
      </c>
      <c r="DE183" s="0" t="s">
        <v>6381</v>
      </c>
    </row>
    <row customHeight="1" ht="11.25">
      <c r="A184" s="1441" t="s">
        <v>240</v>
      </c>
      <c r="B184" s="0" t="s">
        <v>240</v>
      </c>
      <c r="C184" s="0" t="s">
        <v>240</v>
      </c>
      <c r="D184" s="0" t="s">
        <v>240</v>
      </c>
      <c r="E184" s="0" t="s">
        <v>240</v>
      </c>
      <c r="F184" s="0" t="s">
        <v>240</v>
      </c>
      <c r="G184" s="0" t="s">
        <v>240</v>
      </c>
      <c r="H184" s="0" t="s">
        <v>240</v>
      </c>
      <c r="I184" s="0" t="s">
        <v>5484</v>
      </c>
      <c r="J184" s="0" t="s">
        <v>240</v>
      </c>
      <c r="K184" s="0" t="s">
        <v>240</v>
      </c>
      <c r="L184" s="0" t="s">
        <v>240</v>
      </c>
      <c r="M184" s="0" t="s">
        <v>240</v>
      </c>
      <c r="N184" s="0" t="s">
        <v>240</v>
      </c>
      <c r="O184" s="0" t="s">
        <v>240</v>
      </c>
      <c r="P184" s="0" t="s">
        <v>240</v>
      </c>
      <c r="Q184" s="0" t="s">
        <v>240</v>
      </c>
      <c r="R184" s="0" t="s">
        <v>6382</v>
      </c>
      <c r="S184" s="0" t="s">
        <v>240</v>
      </c>
      <c r="T184" s="0" t="s">
        <v>240</v>
      </c>
      <c r="U184" s="0" t="s">
        <v>102</v>
      </c>
      <c r="V184" s="0" t="s">
        <v>240</v>
      </c>
      <c r="W184" s="0" t="s">
        <v>240</v>
      </c>
      <c r="X184" s="0" t="s">
        <v>5485</v>
      </c>
      <c r="Y184" s="0" t="s">
        <v>240</v>
      </c>
      <c r="Z184" s="0" t="s">
        <v>161</v>
      </c>
      <c r="AA184" s="0" t="s">
        <v>152</v>
      </c>
      <c r="AB184" s="0" t="s">
        <v>152</v>
      </c>
      <c r="AC184" s="0" t="s">
        <v>3395</v>
      </c>
      <c r="AD184" s="0" t="s">
        <v>3395</v>
      </c>
      <c r="AE184" s="0" t="s">
        <v>3396</v>
      </c>
      <c r="AF184" s="0" t="s">
        <v>5941</v>
      </c>
      <c r="AG184" s="0" t="s">
        <v>5942</v>
      </c>
      <c r="AH184" s="0" t="s">
        <v>6258</v>
      </c>
      <c r="AI184" s="0" t="s">
        <v>152</v>
      </c>
      <c r="AJ184" s="0" t="s">
        <v>5545</v>
      </c>
      <c r="AK184" s="0" t="s">
        <v>6383</v>
      </c>
      <c r="AL184" s="0" t="s">
        <v>5570</v>
      </c>
      <c r="AM184" s="0" t="s">
        <v>5493</v>
      </c>
      <c r="AN184" s="0" t="s">
        <v>6384</v>
      </c>
      <c r="AO184" s="0" t="s">
        <v>6385</v>
      </c>
      <c r="AP184" s="0" t="s">
        <v>240</v>
      </c>
      <c r="AQ184" s="0" t="s">
        <v>240</v>
      </c>
      <c r="AR184" s="0" t="s">
        <v>240</v>
      </c>
      <c r="AS184" s="0" t="s">
        <v>240</v>
      </c>
      <c r="AT184" s="0" t="s">
        <v>240</v>
      </c>
      <c r="AU184" s="0" t="s">
        <v>240</v>
      </c>
      <c r="AV184" s="0" t="s">
        <v>240</v>
      </c>
      <c r="AW184" s="0" t="s">
        <v>240</v>
      </c>
      <c r="AX184" s="0" t="s">
        <v>240</v>
      </c>
      <c r="AY184" s="0" t="s">
        <v>240</v>
      </c>
      <c r="AZ184" s="0" t="s">
        <v>240</v>
      </c>
      <c r="BA184" s="0" t="s">
        <v>240</v>
      </c>
      <c r="BB184" s="0" t="s">
        <v>240</v>
      </c>
      <c r="BC184" s="0" t="s">
        <v>240</v>
      </c>
      <c r="BD184" s="0" t="s">
        <v>240</v>
      </c>
      <c r="BE184" s="0" t="s">
        <v>240</v>
      </c>
      <c r="BF184" s="0" t="s">
        <v>240</v>
      </c>
      <c r="BG184" s="0" t="s">
        <v>240</v>
      </c>
      <c r="BH184" s="0" t="s">
        <v>240</v>
      </c>
      <c r="BI184" s="0" t="s">
        <v>240</v>
      </c>
      <c r="BJ184" s="0" t="s">
        <v>240</v>
      </c>
      <c r="BK184" s="0" t="s">
        <v>240</v>
      </c>
      <c r="BL184" s="0" t="s">
        <v>240</v>
      </c>
      <c r="BM184" s="0" t="s">
        <v>240</v>
      </c>
      <c r="BN184" s="0" t="s">
        <v>240</v>
      </c>
      <c r="BO184" s="0" t="s">
        <v>240</v>
      </c>
      <c r="BP184" s="0" t="s">
        <v>240</v>
      </c>
      <c r="BQ184" s="0" t="s">
        <v>240</v>
      </c>
      <c r="BR184" s="0" t="s">
        <v>240</v>
      </c>
      <c r="BS184" s="0" t="s">
        <v>240</v>
      </c>
      <c r="BT184" s="0" t="s">
        <v>240</v>
      </c>
      <c r="BU184" s="0" t="s">
        <v>240</v>
      </c>
      <c r="BV184" s="0" t="s">
        <v>240</v>
      </c>
      <c r="BW184" s="0" t="s">
        <v>240</v>
      </c>
      <c r="BX184" s="0" t="s">
        <v>240</v>
      </c>
      <c r="BY184" s="0" t="s">
        <v>240</v>
      </c>
      <c r="BZ184" s="0" t="s">
        <v>240</v>
      </c>
      <c r="CA184" s="0" t="s">
        <v>240</v>
      </c>
      <c r="CB184" s="0" t="s">
        <v>240</v>
      </c>
      <c r="CC184" s="0" t="s">
        <v>240</v>
      </c>
      <c r="CD184" s="0" t="s">
        <v>240</v>
      </c>
      <c r="CE184" s="0" t="s">
        <v>240</v>
      </c>
      <c r="CF184" s="0" t="s">
        <v>240</v>
      </c>
      <c r="CG184" s="0" t="s">
        <v>240</v>
      </c>
      <c r="CH184" s="0" t="s">
        <v>240</v>
      </c>
      <c r="CI184" s="0" t="s">
        <v>240</v>
      </c>
      <c r="CJ184" s="0" t="s">
        <v>240</v>
      </c>
      <c r="CK184" s="0" t="s">
        <v>240</v>
      </c>
      <c r="CL184" s="0" t="s">
        <v>240</v>
      </c>
      <c r="CM184" s="0" t="s">
        <v>240</v>
      </c>
      <c r="CN184" s="0" t="s">
        <v>240</v>
      </c>
      <c r="CO184" s="0" t="s">
        <v>240</v>
      </c>
      <c r="CP184" s="0" t="s">
        <v>240</v>
      </c>
      <c r="CQ184" s="0" t="s">
        <v>240</v>
      </c>
      <c r="CR184" s="0" t="s">
        <v>240</v>
      </c>
      <c r="CS184" s="0" t="s">
        <v>240</v>
      </c>
      <c r="CT184" s="0" t="s">
        <v>5496</v>
      </c>
      <c r="CU184" s="0" t="s">
        <v>5497</v>
      </c>
      <c r="CV184" s="0" t="s">
        <v>5947</v>
      </c>
      <c r="CW184" s="0" t="s">
        <v>5948</v>
      </c>
      <c r="CX184" s="0" t="s">
        <v>5528</v>
      </c>
      <c r="CY184" s="0" t="s">
        <v>5947</v>
      </c>
      <c r="CZ184" s="0" t="s">
        <v>5533</v>
      </c>
      <c r="DA184" s="0" t="s">
        <v>5949</v>
      </c>
      <c r="DB184" s="0" t="s">
        <v>5600</v>
      </c>
      <c r="DC184" s="0" t="s">
        <v>384</v>
      </c>
      <c r="DD184" s="0" t="s">
        <v>291</v>
      </c>
      <c r="DE184" s="0" t="s">
        <v>6386</v>
      </c>
    </row>
    <row customHeight="1" ht="11.25">
      <c r="A185" s="1441" t="s">
        <v>240</v>
      </c>
      <c r="B185" s="0" t="s">
        <v>240</v>
      </c>
      <c r="C185" s="0" t="s">
        <v>240</v>
      </c>
      <c r="D185" s="0" t="s">
        <v>240</v>
      </c>
      <c r="E185" s="0" t="s">
        <v>240</v>
      </c>
      <c r="F185" s="0" t="s">
        <v>240</v>
      </c>
      <c r="G185" s="0" t="s">
        <v>240</v>
      </c>
      <c r="H185" s="0" t="s">
        <v>240</v>
      </c>
      <c r="I185" s="0" t="s">
        <v>5484</v>
      </c>
      <c r="J185" s="0" t="s">
        <v>240</v>
      </c>
      <c r="K185" s="0" t="s">
        <v>240</v>
      </c>
      <c r="L185" s="0" t="s">
        <v>240</v>
      </c>
      <c r="M185" s="0" t="s">
        <v>240</v>
      </c>
      <c r="N185" s="0" t="s">
        <v>240</v>
      </c>
      <c r="O185" s="0" t="s">
        <v>240</v>
      </c>
      <c r="P185" s="0" t="s">
        <v>240</v>
      </c>
      <c r="Q185" s="0" t="s">
        <v>240</v>
      </c>
      <c r="R185" s="0" t="s">
        <v>6387</v>
      </c>
      <c r="S185" s="0" t="s">
        <v>240</v>
      </c>
      <c r="T185" s="0" t="s">
        <v>240</v>
      </c>
      <c r="U185" s="0" t="s">
        <v>102</v>
      </c>
      <c r="V185" s="0" t="s">
        <v>240</v>
      </c>
      <c r="W185" s="0" t="s">
        <v>240</v>
      </c>
      <c r="X185" s="0" t="s">
        <v>5485</v>
      </c>
      <c r="Y185" s="0" t="s">
        <v>240</v>
      </c>
      <c r="Z185" s="0" t="s">
        <v>161</v>
      </c>
      <c r="AA185" s="0" t="s">
        <v>152</v>
      </c>
      <c r="AB185" s="0" t="s">
        <v>152</v>
      </c>
      <c r="AC185" s="0" t="s">
        <v>2991</v>
      </c>
      <c r="AD185" s="0" t="s">
        <v>2991</v>
      </c>
      <c r="AE185" s="0" t="s">
        <v>2992</v>
      </c>
      <c r="AF185" s="0" t="s">
        <v>5884</v>
      </c>
      <c r="AG185" s="0" t="s">
        <v>5885</v>
      </c>
      <c r="AH185" s="0" t="s">
        <v>6379</v>
      </c>
      <c r="AI185" s="0" t="s">
        <v>5694</v>
      </c>
      <c r="AJ185" s="0" t="s">
        <v>5552</v>
      </c>
      <c r="AK185" s="0" t="s">
        <v>5776</v>
      </c>
      <c r="AL185" s="0" t="s">
        <v>5506</v>
      </c>
      <c r="AM185" s="0" t="s">
        <v>5493</v>
      </c>
      <c r="AN185" s="0" t="s">
        <v>5553</v>
      </c>
      <c r="AO185" s="0" t="s">
        <v>5495</v>
      </c>
      <c r="AP185" s="0" t="s">
        <v>240</v>
      </c>
      <c r="AQ185" s="0" t="s">
        <v>240</v>
      </c>
      <c r="AR185" s="0" t="s">
        <v>240</v>
      </c>
      <c r="AS185" s="0" t="s">
        <v>240</v>
      </c>
      <c r="AT185" s="0" t="s">
        <v>240</v>
      </c>
      <c r="AU185" s="0" t="s">
        <v>240</v>
      </c>
      <c r="AV185" s="0" t="s">
        <v>240</v>
      </c>
      <c r="AW185" s="0" t="s">
        <v>240</v>
      </c>
      <c r="AX185" s="0" t="s">
        <v>240</v>
      </c>
      <c r="AY185" s="0" t="s">
        <v>240</v>
      </c>
      <c r="AZ185" s="0" t="s">
        <v>240</v>
      </c>
      <c r="BA185" s="0" t="s">
        <v>240</v>
      </c>
      <c r="BB185" s="0" t="s">
        <v>240</v>
      </c>
      <c r="BC185" s="0" t="s">
        <v>240</v>
      </c>
      <c r="BD185" s="0" t="s">
        <v>240</v>
      </c>
      <c r="BE185" s="0" t="s">
        <v>240</v>
      </c>
      <c r="BF185" s="0" t="s">
        <v>240</v>
      </c>
      <c r="BG185" s="0" t="s">
        <v>240</v>
      </c>
      <c r="BH185" s="0" t="s">
        <v>240</v>
      </c>
      <c r="BI185" s="0" t="s">
        <v>240</v>
      </c>
      <c r="BJ185" s="0" t="s">
        <v>240</v>
      </c>
      <c r="BK185" s="0" t="s">
        <v>240</v>
      </c>
      <c r="BL185" s="0" t="s">
        <v>240</v>
      </c>
      <c r="BM185" s="0" t="s">
        <v>240</v>
      </c>
      <c r="BN185" s="0" t="s">
        <v>240</v>
      </c>
      <c r="BO185" s="0" t="s">
        <v>240</v>
      </c>
      <c r="BP185" s="0" t="s">
        <v>240</v>
      </c>
      <c r="BQ185" s="0" t="s">
        <v>240</v>
      </c>
      <c r="BR185" s="0" t="s">
        <v>240</v>
      </c>
      <c r="BS185" s="0" t="s">
        <v>240</v>
      </c>
      <c r="BT185" s="0" t="s">
        <v>240</v>
      </c>
      <c r="BU185" s="0" t="s">
        <v>240</v>
      </c>
      <c r="BV185" s="0" t="s">
        <v>240</v>
      </c>
      <c r="BW185" s="0" t="s">
        <v>240</v>
      </c>
      <c r="BX185" s="0" t="s">
        <v>240</v>
      </c>
      <c r="BY185" s="0" t="s">
        <v>240</v>
      </c>
      <c r="BZ185" s="0" t="s">
        <v>240</v>
      </c>
      <c r="CA185" s="0" t="s">
        <v>240</v>
      </c>
      <c r="CB185" s="0" t="s">
        <v>240</v>
      </c>
      <c r="CC185" s="0" t="s">
        <v>240</v>
      </c>
      <c r="CD185" s="0" t="s">
        <v>240</v>
      </c>
      <c r="CE185" s="0" t="s">
        <v>240</v>
      </c>
      <c r="CF185" s="0" t="s">
        <v>240</v>
      </c>
      <c r="CG185" s="0" t="s">
        <v>240</v>
      </c>
      <c r="CH185" s="0" t="s">
        <v>240</v>
      </c>
      <c r="CI185" s="0" t="s">
        <v>240</v>
      </c>
      <c r="CJ185" s="0" t="s">
        <v>240</v>
      </c>
      <c r="CK185" s="0" t="s">
        <v>240</v>
      </c>
      <c r="CL185" s="0" t="s">
        <v>240</v>
      </c>
      <c r="CM185" s="0" t="s">
        <v>240</v>
      </c>
      <c r="CN185" s="0" t="s">
        <v>240</v>
      </c>
      <c r="CO185" s="0" t="s">
        <v>240</v>
      </c>
      <c r="CP185" s="0" t="s">
        <v>240</v>
      </c>
      <c r="CQ185" s="0" t="s">
        <v>240</v>
      </c>
      <c r="CR185" s="0" t="s">
        <v>240</v>
      </c>
      <c r="CS185" s="0" t="s">
        <v>240</v>
      </c>
      <c r="CT185" s="0" t="s">
        <v>5496</v>
      </c>
      <c r="CU185" s="0" t="s">
        <v>5497</v>
      </c>
      <c r="CV185" s="0" t="s">
        <v>443</v>
      </c>
      <c r="CW185" s="0" t="s">
        <v>5547</v>
      </c>
      <c r="CX185" s="0" t="s">
        <v>229</v>
      </c>
      <c r="CY185" s="0" t="s">
        <v>443</v>
      </c>
      <c r="CZ185" s="0" t="s">
        <v>5548</v>
      </c>
      <c r="DA185" s="0" t="s">
        <v>5549</v>
      </c>
      <c r="DB185" s="0" t="s">
        <v>5547</v>
      </c>
      <c r="DC185" s="0" t="s">
        <v>384</v>
      </c>
      <c r="DD185" s="0" t="s">
        <v>291</v>
      </c>
      <c r="DE185" s="0" t="s">
        <v>6388</v>
      </c>
    </row>
    <row customHeight="1" ht="11.25">
      <c r="A186" s="1441" t="s">
        <v>240</v>
      </c>
      <c r="B186" s="0" t="s">
        <v>240</v>
      </c>
      <c r="C186" s="0" t="s">
        <v>240</v>
      </c>
      <c r="D186" s="0" t="s">
        <v>240</v>
      </c>
      <c r="E186" s="0" t="s">
        <v>240</v>
      </c>
      <c r="F186" s="0" t="s">
        <v>240</v>
      </c>
      <c r="G186" s="0" t="s">
        <v>240</v>
      </c>
      <c r="H186" s="0" t="s">
        <v>240</v>
      </c>
      <c r="I186" s="0" t="s">
        <v>5484</v>
      </c>
      <c r="J186" s="0" t="s">
        <v>240</v>
      </c>
      <c r="K186" s="0" t="s">
        <v>240</v>
      </c>
      <c r="L186" s="0" t="s">
        <v>240</v>
      </c>
      <c r="M186" s="0" t="s">
        <v>240</v>
      </c>
      <c r="N186" s="0" t="s">
        <v>240</v>
      </c>
      <c r="O186" s="0" t="s">
        <v>240</v>
      </c>
      <c r="P186" s="0" t="s">
        <v>240</v>
      </c>
      <c r="Q186" s="0" t="s">
        <v>240</v>
      </c>
      <c r="R186" s="0" t="s">
        <v>6389</v>
      </c>
      <c r="S186" s="0" t="s">
        <v>240</v>
      </c>
      <c r="T186" s="0" t="s">
        <v>240</v>
      </c>
      <c r="U186" s="0" t="s">
        <v>102</v>
      </c>
      <c r="V186" s="0" t="s">
        <v>240</v>
      </c>
      <c r="W186" s="0" t="s">
        <v>240</v>
      </c>
      <c r="X186" s="0" t="s">
        <v>5485</v>
      </c>
      <c r="Y186" s="0" t="s">
        <v>240</v>
      </c>
      <c r="Z186" s="0" t="s">
        <v>161</v>
      </c>
      <c r="AA186" s="0" t="s">
        <v>152</v>
      </c>
      <c r="AB186" s="0" t="s">
        <v>152</v>
      </c>
      <c r="AC186" s="0" t="s">
        <v>2991</v>
      </c>
      <c r="AD186" s="0" t="s">
        <v>2991</v>
      </c>
      <c r="AE186" s="0" t="s">
        <v>2992</v>
      </c>
      <c r="AF186" s="0" t="s">
        <v>5828</v>
      </c>
      <c r="AG186" s="0" t="s">
        <v>5829</v>
      </c>
      <c r="AH186" s="0" t="s">
        <v>5886</v>
      </c>
      <c r="AI186" s="0" t="s">
        <v>5694</v>
      </c>
      <c r="AJ186" s="0" t="s">
        <v>5576</v>
      </c>
      <c r="AK186" s="0" t="s">
        <v>5830</v>
      </c>
      <c r="AL186" s="0" t="s">
        <v>5506</v>
      </c>
      <c r="AM186" s="0" t="s">
        <v>5493</v>
      </c>
      <c r="AN186" s="0" t="s">
        <v>5553</v>
      </c>
      <c r="AO186" s="0" t="s">
        <v>5877</v>
      </c>
      <c r="AP186" s="0" t="s">
        <v>240</v>
      </c>
      <c r="AQ186" s="0" t="s">
        <v>240</v>
      </c>
      <c r="AR186" s="0" t="s">
        <v>240</v>
      </c>
      <c r="AS186" s="0" t="s">
        <v>240</v>
      </c>
      <c r="AT186" s="0" t="s">
        <v>240</v>
      </c>
      <c r="AU186" s="0" t="s">
        <v>240</v>
      </c>
      <c r="AV186" s="0" t="s">
        <v>240</v>
      </c>
      <c r="AW186" s="0" t="s">
        <v>240</v>
      </c>
      <c r="AX186" s="0" t="s">
        <v>240</v>
      </c>
      <c r="AY186" s="0" t="s">
        <v>240</v>
      </c>
      <c r="AZ186" s="0" t="s">
        <v>240</v>
      </c>
      <c r="BA186" s="0" t="s">
        <v>240</v>
      </c>
      <c r="BB186" s="0" t="s">
        <v>240</v>
      </c>
      <c r="BC186" s="0" t="s">
        <v>240</v>
      </c>
      <c r="BD186" s="0" t="s">
        <v>240</v>
      </c>
      <c r="BE186" s="0" t="s">
        <v>240</v>
      </c>
      <c r="BF186" s="0" t="s">
        <v>240</v>
      </c>
      <c r="BG186" s="0" t="s">
        <v>240</v>
      </c>
      <c r="BH186" s="0" t="s">
        <v>240</v>
      </c>
      <c r="BI186" s="0" t="s">
        <v>240</v>
      </c>
      <c r="BJ186" s="0" t="s">
        <v>240</v>
      </c>
      <c r="BK186" s="0" t="s">
        <v>240</v>
      </c>
      <c r="BL186" s="0" t="s">
        <v>240</v>
      </c>
      <c r="BM186" s="0" t="s">
        <v>240</v>
      </c>
      <c r="BN186" s="0" t="s">
        <v>240</v>
      </c>
      <c r="BO186" s="0" t="s">
        <v>240</v>
      </c>
      <c r="BP186" s="0" t="s">
        <v>240</v>
      </c>
      <c r="BQ186" s="0" t="s">
        <v>240</v>
      </c>
      <c r="BR186" s="0" t="s">
        <v>240</v>
      </c>
      <c r="BS186" s="0" t="s">
        <v>240</v>
      </c>
      <c r="BT186" s="0" t="s">
        <v>240</v>
      </c>
      <c r="BU186" s="0" t="s">
        <v>240</v>
      </c>
      <c r="BV186" s="0" t="s">
        <v>240</v>
      </c>
      <c r="BW186" s="0" t="s">
        <v>240</v>
      </c>
      <c r="BX186" s="0" t="s">
        <v>240</v>
      </c>
      <c r="BY186" s="0" t="s">
        <v>240</v>
      </c>
      <c r="BZ186" s="0" t="s">
        <v>240</v>
      </c>
      <c r="CA186" s="0" t="s">
        <v>240</v>
      </c>
      <c r="CB186" s="0" t="s">
        <v>240</v>
      </c>
      <c r="CC186" s="0" t="s">
        <v>240</v>
      </c>
      <c r="CD186" s="0" t="s">
        <v>240</v>
      </c>
      <c r="CE186" s="0" t="s">
        <v>240</v>
      </c>
      <c r="CF186" s="0" t="s">
        <v>240</v>
      </c>
      <c r="CG186" s="0" t="s">
        <v>240</v>
      </c>
      <c r="CH186" s="0" t="s">
        <v>240</v>
      </c>
      <c r="CI186" s="0" t="s">
        <v>240</v>
      </c>
      <c r="CJ186" s="0" t="s">
        <v>240</v>
      </c>
      <c r="CK186" s="0" t="s">
        <v>240</v>
      </c>
      <c r="CL186" s="0" t="s">
        <v>240</v>
      </c>
      <c r="CM186" s="0" t="s">
        <v>240</v>
      </c>
      <c r="CN186" s="0" t="s">
        <v>240</v>
      </c>
      <c r="CO186" s="0" t="s">
        <v>240</v>
      </c>
      <c r="CP186" s="0" t="s">
        <v>240</v>
      </c>
      <c r="CQ186" s="0" t="s">
        <v>240</v>
      </c>
      <c r="CR186" s="0" t="s">
        <v>240</v>
      </c>
      <c r="CS186" s="0" t="s">
        <v>240</v>
      </c>
      <c r="CT186" s="0" t="s">
        <v>5496</v>
      </c>
      <c r="CU186" s="0" t="s">
        <v>5497</v>
      </c>
      <c r="CV186" s="0" t="s">
        <v>443</v>
      </c>
      <c r="CW186" s="0" t="s">
        <v>5547</v>
      </c>
      <c r="CX186" s="0" t="s">
        <v>229</v>
      </c>
      <c r="CY186" s="0" t="s">
        <v>443</v>
      </c>
      <c r="CZ186" s="0" t="s">
        <v>5548</v>
      </c>
      <c r="DA186" s="0" t="s">
        <v>5549</v>
      </c>
      <c r="DB186" s="0" t="s">
        <v>5547</v>
      </c>
      <c r="DC186" s="0" t="s">
        <v>384</v>
      </c>
      <c r="DD186" s="0" t="s">
        <v>291</v>
      </c>
      <c r="DE186" s="0" t="s">
        <v>6390</v>
      </c>
    </row>
    <row customHeight="1" ht="11.25">
      <c r="A187" s="1441" t="s">
        <v>240</v>
      </c>
      <c r="B187" s="0" t="s">
        <v>240</v>
      </c>
      <c r="C187" s="0" t="s">
        <v>240</v>
      </c>
      <c r="D187" s="0" t="s">
        <v>240</v>
      </c>
      <c r="E187" s="0" t="s">
        <v>240</v>
      </c>
      <c r="F187" s="0" t="s">
        <v>240</v>
      </c>
      <c r="G187" s="0" t="s">
        <v>240</v>
      </c>
      <c r="H187" s="0" t="s">
        <v>240</v>
      </c>
      <c r="I187" s="0" t="s">
        <v>5484</v>
      </c>
      <c r="J187" s="0" t="s">
        <v>240</v>
      </c>
      <c r="K187" s="0" t="s">
        <v>240</v>
      </c>
      <c r="L187" s="0" t="s">
        <v>240</v>
      </c>
      <c r="M187" s="0" t="s">
        <v>240</v>
      </c>
      <c r="N187" s="0" t="s">
        <v>240</v>
      </c>
      <c r="O187" s="0" t="s">
        <v>240</v>
      </c>
      <c r="P187" s="0" t="s">
        <v>240</v>
      </c>
      <c r="Q187" s="0" t="s">
        <v>240</v>
      </c>
      <c r="R187" s="0" t="s">
        <v>6391</v>
      </c>
      <c r="S187" s="0" t="s">
        <v>240</v>
      </c>
      <c r="T187" s="0" t="s">
        <v>240</v>
      </c>
      <c r="U187" s="0" t="s">
        <v>102</v>
      </c>
      <c r="V187" s="0" t="s">
        <v>240</v>
      </c>
      <c r="W187" s="0" t="s">
        <v>240</v>
      </c>
      <c r="X187" s="0" t="s">
        <v>5485</v>
      </c>
      <c r="Y187" s="0" t="s">
        <v>240</v>
      </c>
      <c r="Z187" s="0" t="s">
        <v>161</v>
      </c>
      <c r="AA187" s="0" t="s">
        <v>152</v>
      </c>
      <c r="AB187" s="0" t="s">
        <v>152</v>
      </c>
      <c r="AC187" s="0" t="s">
        <v>2991</v>
      </c>
      <c r="AD187" s="0" t="s">
        <v>2991</v>
      </c>
      <c r="AE187" s="0" t="s">
        <v>2992</v>
      </c>
      <c r="AF187" s="0" t="s">
        <v>5828</v>
      </c>
      <c r="AG187" s="0" t="s">
        <v>5829</v>
      </c>
      <c r="AH187" s="0" t="s">
        <v>5886</v>
      </c>
      <c r="AI187" s="0" t="s">
        <v>6392</v>
      </c>
      <c r="AJ187" s="0" t="s">
        <v>5576</v>
      </c>
      <c r="AK187" s="0" t="s">
        <v>5776</v>
      </c>
      <c r="AL187" s="0" t="s">
        <v>5506</v>
      </c>
      <c r="AM187" s="0" t="s">
        <v>5493</v>
      </c>
      <c r="AN187" s="0" t="s">
        <v>5545</v>
      </c>
      <c r="AO187" s="0" t="s">
        <v>5508</v>
      </c>
      <c r="AP187" s="0" t="s">
        <v>240</v>
      </c>
      <c r="AQ187" s="0" t="s">
        <v>240</v>
      </c>
      <c r="AR187" s="0" t="s">
        <v>240</v>
      </c>
      <c r="AS187" s="0" t="s">
        <v>240</v>
      </c>
      <c r="AT187" s="0" t="s">
        <v>240</v>
      </c>
      <c r="AU187" s="0" t="s">
        <v>240</v>
      </c>
      <c r="AV187" s="0" t="s">
        <v>240</v>
      </c>
      <c r="AW187" s="0" t="s">
        <v>240</v>
      </c>
      <c r="AX187" s="0" t="s">
        <v>240</v>
      </c>
      <c r="AY187" s="0" t="s">
        <v>240</v>
      </c>
      <c r="AZ187" s="0" t="s">
        <v>240</v>
      </c>
      <c r="BA187" s="0" t="s">
        <v>240</v>
      </c>
      <c r="BB187" s="0" t="s">
        <v>240</v>
      </c>
      <c r="BC187" s="0" t="s">
        <v>240</v>
      </c>
      <c r="BD187" s="0" t="s">
        <v>240</v>
      </c>
      <c r="BE187" s="0" t="s">
        <v>240</v>
      </c>
      <c r="BF187" s="0" t="s">
        <v>240</v>
      </c>
      <c r="BG187" s="0" t="s">
        <v>240</v>
      </c>
      <c r="BH187" s="0" t="s">
        <v>240</v>
      </c>
      <c r="BI187" s="0" t="s">
        <v>240</v>
      </c>
      <c r="BJ187" s="0" t="s">
        <v>240</v>
      </c>
      <c r="BK187" s="0" t="s">
        <v>240</v>
      </c>
      <c r="BL187" s="0" t="s">
        <v>240</v>
      </c>
      <c r="BM187" s="0" t="s">
        <v>240</v>
      </c>
      <c r="BN187" s="0" t="s">
        <v>240</v>
      </c>
      <c r="BO187" s="0" t="s">
        <v>240</v>
      </c>
      <c r="BP187" s="0" t="s">
        <v>240</v>
      </c>
      <c r="BQ187" s="0" t="s">
        <v>240</v>
      </c>
      <c r="BR187" s="0" t="s">
        <v>240</v>
      </c>
      <c r="BS187" s="0" t="s">
        <v>240</v>
      </c>
      <c r="BT187" s="0" t="s">
        <v>240</v>
      </c>
      <c r="BU187" s="0" t="s">
        <v>240</v>
      </c>
      <c r="BV187" s="0" t="s">
        <v>240</v>
      </c>
      <c r="BW187" s="0" t="s">
        <v>240</v>
      </c>
      <c r="BX187" s="0" t="s">
        <v>240</v>
      </c>
      <c r="BY187" s="0" t="s">
        <v>240</v>
      </c>
      <c r="BZ187" s="0" t="s">
        <v>240</v>
      </c>
      <c r="CA187" s="0" t="s">
        <v>240</v>
      </c>
      <c r="CB187" s="0" t="s">
        <v>240</v>
      </c>
      <c r="CC187" s="0" t="s">
        <v>240</v>
      </c>
      <c r="CD187" s="0" t="s">
        <v>240</v>
      </c>
      <c r="CE187" s="0" t="s">
        <v>240</v>
      </c>
      <c r="CF187" s="0" t="s">
        <v>240</v>
      </c>
      <c r="CG187" s="0" t="s">
        <v>240</v>
      </c>
      <c r="CH187" s="0" t="s">
        <v>240</v>
      </c>
      <c r="CI187" s="0" t="s">
        <v>240</v>
      </c>
      <c r="CJ187" s="0" t="s">
        <v>240</v>
      </c>
      <c r="CK187" s="0" t="s">
        <v>240</v>
      </c>
      <c r="CL187" s="0" t="s">
        <v>240</v>
      </c>
      <c r="CM187" s="0" t="s">
        <v>240</v>
      </c>
      <c r="CN187" s="0" t="s">
        <v>240</v>
      </c>
      <c r="CO187" s="0" t="s">
        <v>240</v>
      </c>
      <c r="CP187" s="0" t="s">
        <v>240</v>
      </c>
      <c r="CQ187" s="0" t="s">
        <v>240</v>
      </c>
      <c r="CR187" s="0" t="s">
        <v>240</v>
      </c>
      <c r="CS187" s="0" t="s">
        <v>240</v>
      </c>
      <c r="CT187" s="0" t="s">
        <v>5496</v>
      </c>
      <c r="CU187" s="0" t="s">
        <v>5497</v>
      </c>
      <c r="CV187" s="0" t="s">
        <v>443</v>
      </c>
      <c r="CW187" s="0" t="s">
        <v>5547</v>
      </c>
      <c r="CX187" s="0" t="s">
        <v>229</v>
      </c>
      <c r="CY187" s="0" t="s">
        <v>443</v>
      </c>
      <c r="CZ187" s="0" t="s">
        <v>5548</v>
      </c>
      <c r="DA187" s="0" t="s">
        <v>5549</v>
      </c>
      <c r="DB187" s="0" t="s">
        <v>5547</v>
      </c>
      <c r="DC187" s="0" t="s">
        <v>384</v>
      </c>
      <c r="DD187" s="0" t="s">
        <v>291</v>
      </c>
      <c r="DE187" s="0" t="s">
        <v>6393</v>
      </c>
    </row>
    <row customHeight="1" ht="11.25">
      <c r="A188" s="1441" t="s">
        <v>240</v>
      </c>
      <c r="B188" s="0" t="s">
        <v>240</v>
      </c>
      <c r="C188" s="0" t="s">
        <v>240</v>
      </c>
      <c r="D188" s="0" t="s">
        <v>240</v>
      </c>
      <c r="E188" s="0" t="s">
        <v>240</v>
      </c>
      <c r="F188" s="0" t="s">
        <v>240</v>
      </c>
      <c r="G188" s="0" t="s">
        <v>240</v>
      </c>
      <c r="H188" s="0" t="s">
        <v>240</v>
      </c>
      <c r="I188" s="0" t="s">
        <v>5484</v>
      </c>
      <c r="J188" s="0" t="s">
        <v>240</v>
      </c>
      <c r="K188" s="0" t="s">
        <v>240</v>
      </c>
      <c r="L188" s="0" t="s">
        <v>240</v>
      </c>
      <c r="M188" s="0" t="s">
        <v>240</v>
      </c>
      <c r="N188" s="0" t="s">
        <v>240</v>
      </c>
      <c r="O188" s="0" t="s">
        <v>240</v>
      </c>
      <c r="P188" s="0" t="s">
        <v>240</v>
      </c>
      <c r="Q188" s="0" t="s">
        <v>240</v>
      </c>
      <c r="R188" s="0" t="s">
        <v>5572</v>
      </c>
      <c r="S188" s="0" t="s">
        <v>240</v>
      </c>
      <c r="T188" s="0" t="s">
        <v>240</v>
      </c>
      <c r="U188" s="0" t="s">
        <v>102</v>
      </c>
      <c r="V188" s="0" t="s">
        <v>240</v>
      </c>
      <c r="W188" s="0" t="s">
        <v>240</v>
      </c>
      <c r="X188" s="0" t="s">
        <v>5485</v>
      </c>
      <c r="Y188" s="0" t="s">
        <v>240</v>
      </c>
      <c r="Z188" s="0" t="s">
        <v>161</v>
      </c>
      <c r="AA188" s="0" t="s">
        <v>152</v>
      </c>
      <c r="AB188" s="0" t="s">
        <v>152</v>
      </c>
      <c r="AC188" s="0" t="s">
        <v>2991</v>
      </c>
      <c r="AD188" s="0" t="s">
        <v>2991</v>
      </c>
      <c r="AE188" s="0" t="s">
        <v>2992</v>
      </c>
      <c r="AF188" s="0" t="s">
        <v>6394</v>
      </c>
      <c r="AG188" s="0" t="s">
        <v>6395</v>
      </c>
      <c r="AH188" s="0" t="s">
        <v>6396</v>
      </c>
      <c r="AI188" s="0" t="s">
        <v>6189</v>
      </c>
      <c r="AJ188" s="0" t="s">
        <v>5504</v>
      </c>
      <c r="AK188" s="0" t="s">
        <v>5544</v>
      </c>
      <c r="AL188" s="0" t="s">
        <v>5506</v>
      </c>
      <c r="AM188" s="0" t="s">
        <v>5493</v>
      </c>
      <c r="AN188" s="0" t="s">
        <v>5545</v>
      </c>
      <c r="AO188" s="0" t="s">
        <v>6346</v>
      </c>
      <c r="AP188" s="0" t="s">
        <v>240</v>
      </c>
      <c r="AQ188" s="0" t="s">
        <v>240</v>
      </c>
      <c r="AR188" s="0" t="s">
        <v>240</v>
      </c>
      <c r="AS188" s="0" t="s">
        <v>240</v>
      </c>
      <c r="AT188" s="0" t="s">
        <v>240</v>
      </c>
      <c r="AU188" s="0" t="s">
        <v>240</v>
      </c>
      <c r="AV188" s="0" t="s">
        <v>240</v>
      </c>
      <c r="AW188" s="0" t="s">
        <v>240</v>
      </c>
      <c r="AX188" s="0" t="s">
        <v>240</v>
      </c>
      <c r="AY188" s="0" t="s">
        <v>240</v>
      </c>
      <c r="AZ188" s="0" t="s">
        <v>240</v>
      </c>
      <c r="BA188" s="0" t="s">
        <v>240</v>
      </c>
      <c r="BB188" s="0" t="s">
        <v>240</v>
      </c>
      <c r="BC188" s="0" t="s">
        <v>240</v>
      </c>
      <c r="BD188" s="0" t="s">
        <v>240</v>
      </c>
      <c r="BE188" s="0" t="s">
        <v>240</v>
      </c>
      <c r="BF188" s="0" t="s">
        <v>240</v>
      </c>
      <c r="BG188" s="0" t="s">
        <v>240</v>
      </c>
      <c r="BH188" s="0" t="s">
        <v>240</v>
      </c>
      <c r="BI188" s="0" t="s">
        <v>240</v>
      </c>
      <c r="BJ188" s="0" t="s">
        <v>240</v>
      </c>
      <c r="BK188" s="0" t="s">
        <v>240</v>
      </c>
      <c r="BL188" s="0" t="s">
        <v>240</v>
      </c>
      <c r="BM188" s="0" t="s">
        <v>240</v>
      </c>
      <c r="BN188" s="0" t="s">
        <v>240</v>
      </c>
      <c r="BO188" s="0" t="s">
        <v>240</v>
      </c>
      <c r="BP188" s="0" t="s">
        <v>240</v>
      </c>
      <c r="BQ188" s="0" t="s">
        <v>240</v>
      </c>
      <c r="BR188" s="0" t="s">
        <v>240</v>
      </c>
      <c r="BS188" s="0" t="s">
        <v>240</v>
      </c>
      <c r="BT188" s="0" t="s">
        <v>240</v>
      </c>
      <c r="BU188" s="0" t="s">
        <v>240</v>
      </c>
      <c r="BV188" s="0" t="s">
        <v>240</v>
      </c>
      <c r="BW188" s="0" t="s">
        <v>240</v>
      </c>
      <c r="BX188" s="0" t="s">
        <v>240</v>
      </c>
      <c r="BY188" s="0" t="s">
        <v>240</v>
      </c>
      <c r="BZ188" s="0" t="s">
        <v>240</v>
      </c>
      <c r="CA188" s="0" t="s">
        <v>240</v>
      </c>
      <c r="CB188" s="0" t="s">
        <v>240</v>
      </c>
      <c r="CC188" s="0" t="s">
        <v>240</v>
      </c>
      <c r="CD188" s="0" t="s">
        <v>240</v>
      </c>
      <c r="CE188" s="0" t="s">
        <v>240</v>
      </c>
      <c r="CF188" s="0" t="s">
        <v>240</v>
      </c>
      <c r="CG188" s="0" t="s">
        <v>240</v>
      </c>
      <c r="CH188" s="0" t="s">
        <v>240</v>
      </c>
      <c r="CI188" s="0" t="s">
        <v>240</v>
      </c>
      <c r="CJ188" s="0" t="s">
        <v>240</v>
      </c>
      <c r="CK188" s="0" t="s">
        <v>240</v>
      </c>
      <c r="CL188" s="0" t="s">
        <v>240</v>
      </c>
      <c r="CM188" s="0" t="s">
        <v>240</v>
      </c>
      <c r="CN188" s="0" t="s">
        <v>240</v>
      </c>
      <c r="CO188" s="0" t="s">
        <v>240</v>
      </c>
      <c r="CP188" s="0" t="s">
        <v>240</v>
      </c>
      <c r="CQ188" s="0" t="s">
        <v>240</v>
      </c>
      <c r="CR188" s="0" t="s">
        <v>240</v>
      </c>
      <c r="CS188" s="0" t="s">
        <v>240</v>
      </c>
      <c r="CT188" s="0" t="s">
        <v>5496</v>
      </c>
      <c r="CU188" s="0" t="s">
        <v>5497</v>
      </c>
      <c r="CV188" s="0" t="s">
        <v>443</v>
      </c>
      <c r="CW188" s="0" t="s">
        <v>5547</v>
      </c>
      <c r="CX188" s="0" t="s">
        <v>229</v>
      </c>
      <c r="CY188" s="0" t="s">
        <v>443</v>
      </c>
      <c r="CZ188" s="0" t="s">
        <v>5548</v>
      </c>
      <c r="DA188" s="0" t="s">
        <v>5549</v>
      </c>
      <c r="DB188" s="0" t="s">
        <v>5547</v>
      </c>
      <c r="DC188" s="0" t="s">
        <v>384</v>
      </c>
      <c r="DD188" s="0" t="s">
        <v>291</v>
      </c>
      <c r="DE188" s="0" t="s">
        <v>6397</v>
      </c>
    </row>
    <row customHeight="1" ht="11.25">
      <c r="A189" s="1441" t="s">
        <v>240</v>
      </c>
      <c r="B189" s="0" t="s">
        <v>240</v>
      </c>
      <c r="C189" s="0" t="s">
        <v>240</v>
      </c>
      <c r="D189" s="0" t="s">
        <v>240</v>
      </c>
      <c r="E189" s="0" t="s">
        <v>240</v>
      </c>
      <c r="F189" s="0" t="s">
        <v>240</v>
      </c>
      <c r="G189" s="0" t="s">
        <v>240</v>
      </c>
      <c r="H189" s="0" t="s">
        <v>240</v>
      </c>
      <c r="I189" s="0" t="s">
        <v>5484</v>
      </c>
      <c r="J189" s="0" t="s">
        <v>240</v>
      </c>
      <c r="K189" s="0" t="s">
        <v>240</v>
      </c>
      <c r="L189" s="0" t="s">
        <v>240</v>
      </c>
      <c r="M189" s="0" t="s">
        <v>240</v>
      </c>
      <c r="N189" s="0" t="s">
        <v>240</v>
      </c>
      <c r="O189" s="0" t="s">
        <v>240</v>
      </c>
      <c r="P189" s="0" t="s">
        <v>240</v>
      </c>
      <c r="Q189" s="0" t="s">
        <v>240</v>
      </c>
      <c r="R189" s="0" t="s">
        <v>5572</v>
      </c>
      <c r="S189" s="0" t="s">
        <v>240</v>
      </c>
      <c r="T189" s="0" t="s">
        <v>240</v>
      </c>
      <c r="U189" s="0" t="s">
        <v>102</v>
      </c>
      <c r="V189" s="0" t="s">
        <v>240</v>
      </c>
      <c r="W189" s="0" t="s">
        <v>240</v>
      </c>
      <c r="X189" s="0" t="s">
        <v>5485</v>
      </c>
      <c r="Y189" s="0" t="s">
        <v>240</v>
      </c>
      <c r="Z189" s="0" t="s">
        <v>161</v>
      </c>
      <c r="AA189" s="0" t="s">
        <v>152</v>
      </c>
      <c r="AB189" s="0" t="s">
        <v>152</v>
      </c>
      <c r="AC189" s="0" t="s">
        <v>2989</v>
      </c>
      <c r="AD189" s="0" t="s">
        <v>2989</v>
      </c>
      <c r="AE189" s="0" t="s">
        <v>2990</v>
      </c>
      <c r="AF189" s="0" t="s">
        <v>6135</v>
      </c>
      <c r="AG189" s="0" t="s">
        <v>6136</v>
      </c>
      <c r="AH189" s="0" t="s">
        <v>6398</v>
      </c>
      <c r="AI189" s="0" t="s">
        <v>299</v>
      </c>
      <c r="AJ189" s="0" t="s">
        <v>5576</v>
      </c>
      <c r="AK189" s="0" t="s">
        <v>5814</v>
      </c>
      <c r="AL189" s="0" t="s">
        <v>5506</v>
      </c>
      <c r="AM189" s="0" t="s">
        <v>5493</v>
      </c>
      <c r="AN189" s="0" t="s">
        <v>5578</v>
      </c>
      <c r="AO189" s="0" t="s">
        <v>5855</v>
      </c>
      <c r="AP189" s="0" t="s">
        <v>240</v>
      </c>
      <c r="AQ189" s="0" t="s">
        <v>240</v>
      </c>
      <c r="AR189" s="0" t="s">
        <v>240</v>
      </c>
      <c r="AS189" s="0" t="s">
        <v>240</v>
      </c>
      <c r="AT189" s="0" t="s">
        <v>240</v>
      </c>
      <c r="AU189" s="0" t="s">
        <v>240</v>
      </c>
      <c r="AV189" s="0" t="s">
        <v>240</v>
      </c>
      <c r="AW189" s="0" t="s">
        <v>240</v>
      </c>
      <c r="AX189" s="0" t="s">
        <v>240</v>
      </c>
      <c r="AY189" s="0" t="s">
        <v>240</v>
      </c>
      <c r="AZ189" s="0" t="s">
        <v>240</v>
      </c>
      <c r="BA189" s="0" t="s">
        <v>240</v>
      </c>
      <c r="BB189" s="0" t="s">
        <v>240</v>
      </c>
      <c r="BC189" s="0" t="s">
        <v>240</v>
      </c>
      <c r="BD189" s="0" t="s">
        <v>240</v>
      </c>
      <c r="BE189" s="0" t="s">
        <v>240</v>
      </c>
      <c r="BF189" s="0" t="s">
        <v>240</v>
      </c>
      <c r="BG189" s="0" t="s">
        <v>240</v>
      </c>
      <c r="BH189" s="0" t="s">
        <v>240</v>
      </c>
      <c r="BI189" s="0" t="s">
        <v>240</v>
      </c>
      <c r="BJ189" s="0" t="s">
        <v>240</v>
      </c>
      <c r="BK189" s="0" t="s">
        <v>240</v>
      </c>
      <c r="BL189" s="0" t="s">
        <v>240</v>
      </c>
      <c r="BM189" s="0" t="s">
        <v>240</v>
      </c>
      <c r="BN189" s="0" t="s">
        <v>240</v>
      </c>
      <c r="BO189" s="0" t="s">
        <v>240</v>
      </c>
      <c r="BP189" s="0" t="s">
        <v>240</v>
      </c>
      <c r="BQ189" s="0" t="s">
        <v>240</v>
      </c>
      <c r="BR189" s="0" t="s">
        <v>240</v>
      </c>
      <c r="BS189" s="0" t="s">
        <v>240</v>
      </c>
      <c r="BT189" s="0" t="s">
        <v>240</v>
      </c>
      <c r="BU189" s="0" t="s">
        <v>240</v>
      </c>
      <c r="BV189" s="0" t="s">
        <v>240</v>
      </c>
      <c r="BW189" s="0" t="s">
        <v>240</v>
      </c>
      <c r="BX189" s="0" t="s">
        <v>240</v>
      </c>
      <c r="BY189" s="0" t="s">
        <v>240</v>
      </c>
      <c r="BZ189" s="0" t="s">
        <v>240</v>
      </c>
      <c r="CA189" s="0" t="s">
        <v>240</v>
      </c>
      <c r="CB189" s="0" t="s">
        <v>240</v>
      </c>
      <c r="CC189" s="0" t="s">
        <v>240</v>
      </c>
      <c r="CD189" s="0" t="s">
        <v>240</v>
      </c>
      <c r="CE189" s="0" t="s">
        <v>240</v>
      </c>
      <c r="CF189" s="0" t="s">
        <v>240</v>
      </c>
      <c r="CG189" s="0" t="s">
        <v>240</v>
      </c>
      <c r="CH189" s="0" t="s">
        <v>240</v>
      </c>
      <c r="CI189" s="0" t="s">
        <v>240</v>
      </c>
      <c r="CJ189" s="0" t="s">
        <v>240</v>
      </c>
      <c r="CK189" s="0" t="s">
        <v>240</v>
      </c>
      <c r="CL189" s="0" t="s">
        <v>240</v>
      </c>
      <c r="CM189" s="0" t="s">
        <v>240</v>
      </c>
      <c r="CN189" s="0" t="s">
        <v>240</v>
      </c>
      <c r="CO189" s="0" t="s">
        <v>240</v>
      </c>
      <c r="CP189" s="0" t="s">
        <v>240</v>
      </c>
      <c r="CQ189" s="0" t="s">
        <v>240</v>
      </c>
      <c r="CR189" s="0" t="s">
        <v>240</v>
      </c>
      <c r="CS189" s="0" t="s">
        <v>240</v>
      </c>
      <c r="CT189" s="0" t="s">
        <v>5496</v>
      </c>
      <c r="CU189" s="0" t="s">
        <v>5497</v>
      </c>
      <c r="CV189" s="0" t="s">
        <v>443</v>
      </c>
      <c r="CW189" s="0" t="s">
        <v>5580</v>
      </c>
      <c r="CX189" s="0" t="s">
        <v>229</v>
      </c>
      <c r="CY189" s="0" t="s">
        <v>443</v>
      </c>
      <c r="CZ189" s="0" t="s">
        <v>5581</v>
      </c>
      <c r="DA189" s="0" t="s">
        <v>5582</v>
      </c>
      <c r="DB189" s="0" t="s">
        <v>5580</v>
      </c>
      <c r="DC189" s="0" t="s">
        <v>384</v>
      </c>
      <c r="DD189" s="0" t="s">
        <v>291</v>
      </c>
      <c r="DE189" s="0" t="s">
        <v>6399</v>
      </c>
    </row>
    <row customHeight="1" ht="11.25">
      <c r="A190" s="1441" t="s">
        <v>240</v>
      </c>
      <c r="B190" s="0" t="s">
        <v>240</v>
      </c>
      <c r="C190" s="0" t="s">
        <v>240</v>
      </c>
      <c r="D190" s="0" t="s">
        <v>240</v>
      </c>
      <c r="E190" s="0" t="s">
        <v>240</v>
      </c>
      <c r="F190" s="0" t="s">
        <v>240</v>
      </c>
      <c r="G190" s="0" t="s">
        <v>240</v>
      </c>
      <c r="H190" s="0" t="s">
        <v>240</v>
      </c>
      <c r="I190" s="0" t="s">
        <v>5484</v>
      </c>
      <c r="J190" s="0" t="s">
        <v>240</v>
      </c>
      <c r="K190" s="0" t="s">
        <v>240</v>
      </c>
      <c r="L190" s="0" t="s">
        <v>240</v>
      </c>
      <c r="M190" s="0" t="s">
        <v>240</v>
      </c>
      <c r="N190" s="0" t="s">
        <v>240</v>
      </c>
      <c r="O190" s="0" t="s">
        <v>240</v>
      </c>
      <c r="P190" s="0" t="s">
        <v>240</v>
      </c>
      <c r="Q190" s="0" t="s">
        <v>240</v>
      </c>
      <c r="R190" s="0" t="s">
        <v>6400</v>
      </c>
      <c r="S190" s="0" t="s">
        <v>240</v>
      </c>
      <c r="T190" s="0" t="s">
        <v>240</v>
      </c>
      <c r="U190" s="0" t="s">
        <v>102</v>
      </c>
      <c r="V190" s="0" t="s">
        <v>240</v>
      </c>
      <c r="W190" s="0" t="s">
        <v>240</v>
      </c>
      <c r="X190" s="0" t="s">
        <v>5585</v>
      </c>
      <c r="Y190" s="0" t="s">
        <v>240</v>
      </c>
      <c r="Z190" s="0" t="s">
        <v>152</v>
      </c>
      <c r="AA190" s="0" t="s">
        <v>152</v>
      </c>
      <c r="AB190" s="0" t="s">
        <v>161</v>
      </c>
      <c r="AC190" s="0" t="s">
        <v>2989</v>
      </c>
      <c r="AD190" s="0" t="s">
        <v>2989</v>
      </c>
      <c r="AE190" s="0" t="s">
        <v>2990</v>
      </c>
      <c r="AF190" s="0" t="s">
        <v>6135</v>
      </c>
      <c r="AG190" s="0" t="s">
        <v>6136</v>
      </c>
      <c r="AH190" s="0" t="s">
        <v>5575</v>
      </c>
      <c r="AI190" s="0" t="s">
        <v>5575</v>
      </c>
      <c r="AJ190" s="0" t="s">
        <v>240</v>
      </c>
      <c r="AK190" s="0" t="s">
        <v>240</v>
      </c>
      <c r="AL190" s="0" t="s">
        <v>240</v>
      </c>
      <c r="AM190" s="0" t="s">
        <v>240</v>
      </c>
      <c r="AN190" s="0" t="s">
        <v>240</v>
      </c>
      <c r="AO190" s="0" t="s">
        <v>240</v>
      </c>
      <c r="AP190" s="0" t="s">
        <v>240</v>
      </c>
      <c r="AQ190" s="0" t="s">
        <v>240</v>
      </c>
      <c r="AR190" s="0" t="s">
        <v>240</v>
      </c>
      <c r="AS190" s="0" t="s">
        <v>240</v>
      </c>
      <c r="AT190" s="0" t="s">
        <v>240</v>
      </c>
      <c r="AU190" s="0" t="s">
        <v>240</v>
      </c>
      <c r="AV190" s="0" t="s">
        <v>240</v>
      </c>
      <c r="AW190" s="0" t="s">
        <v>240</v>
      </c>
      <c r="AX190" s="0" t="s">
        <v>240</v>
      </c>
      <c r="AY190" s="0" t="s">
        <v>240</v>
      </c>
      <c r="AZ190" s="0" t="s">
        <v>240</v>
      </c>
      <c r="BA190" s="0" t="s">
        <v>240</v>
      </c>
      <c r="BB190" s="0" t="s">
        <v>240</v>
      </c>
      <c r="BC190" s="0" t="s">
        <v>240</v>
      </c>
      <c r="BD190" s="0" t="s">
        <v>240</v>
      </c>
      <c r="BE190" s="0" t="s">
        <v>5992</v>
      </c>
      <c r="BF190" s="0" t="s">
        <v>6401</v>
      </c>
      <c r="BG190" s="0" t="s">
        <v>112</v>
      </c>
      <c r="BH190" s="0" t="s">
        <v>5589</v>
      </c>
      <c r="BI190" s="0" t="s">
        <v>123</v>
      </c>
      <c r="BJ190" s="0" t="s">
        <v>240</v>
      </c>
      <c r="BK190" s="0" t="s">
        <v>5608</v>
      </c>
      <c r="BL190" s="0" t="s">
        <v>2989</v>
      </c>
      <c r="BM190" s="0" t="s">
        <v>2989</v>
      </c>
      <c r="BN190" s="0" t="s">
        <v>5798</v>
      </c>
      <c r="BO190" s="0" t="s">
        <v>6135</v>
      </c>
      <c r="BP190" s="0" t="s">
        <v>6402</v>
      </c>
      <c r="BQ190" s="0" t="s">
        <v>5575</v>
      </c>
      <c r="BR190" s="0" t="s">
        <v>5575</v>
      </c>
      <c r="BS190" s="0" t="s">
        <v>240</v>
      </c>
      <c r="BT190" s="0" t="s">
        <v>5650</v>
      </c>
      <c r="BU190" s="0" t="s">
        <v>6403</v>
      </c>
      <c r="BV190" s="0" t="s">
        <v>6403</v>
      </c>
      <c r="BW190" s="0" t="s">
        <v>5598</v>
      </c>
      <c r="BX190" s="0" t="s">
        <v>5598</v>
      </c>
      <c r="BY190" s="0" t="s">
        <v>5598</v>
      </c>
      <c r="BZ190" s="0" t="s">
        <v>5598</v>
      </c>
      <c r="CA190" s="0" t="s">
        <v>5598</v>
      </c>
      <c r="CB190" s="0" t="s">
        <v>240</v>
      </c>
      <c r="CC190" s="0" t="s">
        <v>240</v>
      </c>
      <c r="CD190" s="0" t="s">
        <v>240</v>
      </c>
      <c r="CE190" s="0" t="s">
        <v>240</v>
      </c>
      <c r="CF190" s="0" t="s">
        <v>240</v>
      </c>
      <c r="CG190" s="0" t="s">
        <v>5598</v>
      </c>
      <c r="CH190" s="0" t="s">
        <v>240</v>
      </c>
      <c r="CI190" s="0" t="s">
        <v>240</v>
      </c>
      <c r="CJ190" s="0" t="s">
        <v>240</v>
      </c>
      <c r="CK190" s="0" t="s">
        <v>240</v>
      </c>
      <c r="CL190" s="0" t="s">
        <v>240</v>
      </c>
      <c r="CM190" s="0" t="s">
        <v>6403</v>
      </c>
      <c r="CN190" s="0" t="s">
        <v>6403</v>
      </c>
      <c r="CO190" s="0" t="s">
        <v>240</v>
      </c>
      <c r="CP190" s="0" t="s">
        <v>240</v>
      </c>
      <c r="CQ190" s="0" t="s">
        <v>240</v>
      </c>
      <c r="CR190" s="0" t="s">
        <v>240</v>
      </c>
      <c r="CS190" s="0" t="s">
        <v>5491</v>
      </c>
      <c r="CT190" s="0" t="s">
        <v>5496</v>
      </c>
      <c r="CU190" s="0" t="s">
        <v>5497</v>
      </c>
      <c r="CV190" s="0" t="s">
        <v>443</v>
      </c>
      <c r="CW190" s="0" t="s">
        <v>5580</v>
      </c>
      <c r="CX190" s="0" t="s">
        <v>229</v>
      </c>
      <c r="CY190" s="0" t="s">
        <v>443</v>
      </c>
      <c r="CZ190" s="0" t="s">
        <v>5581</v>
      </c>
      <c r="DA190" s="0" t="s">
        <v>5582</v>
      </c>
      <c r="DB190" s="0" t="s">
        <v>5580</v>
      </c>
      <c r="DC190" s="0" t="s">
        <v>384</v>
      </c>
      <c r="DD190" s="0" t="s">
        <v>291</v>
      </c>
      <c r="DE190" s="0" t="s">
        <v>6404</v>
      </c>
    </row>
    <row customHeight="1" ht="11.25">
      <c r="A191" s="1441" t="s">
        <v>240</v>
      </c>
      <c r="B191" s="0" t="s">
        <v>240</v>
      </c>
      <c r="C191" s="0" t="s">
        <v>240</v>
      </c>
      <c r="D191" s="0" t="s">
        <v>240</v>
      </c>
      <c r="E191" s="0" t="s">
        <v>240</v>
      </c>
      <c r="F191" s="0" t="s">
        <v>240</v>
      </c>
      <c r="G191" s="0" t="s">
        <v>240</v>
      </c>
      <c r="H191" s="0" t="s">
        <v>240</v>
      </c>
      <c r="I191" s="0" t="s">
        <v>5484</v>
      </c>
      <c r="J191" s="0" t="s">
        <v>240</v>
      </c>
      <c r="K191" s="0" t="s">
        <v>240</v>
      </c>
      <c r="L191" s="0" t="s">
        <v>240</v>
      </c>
      <c r="M191" s="0" t="s">
        <v>240</v>
      </c>
      <c r="N191" s="0" t="s">
        <v>240</v>
      </c>
      <c r="O191" s="0" t="s">
        <v>240</v>
      </c>
      <c r="P191" s="0" t="s">
        <v>240</v>
      </c>
      <c r="Q191" s="0" t="s">
        <v>240</v>
      </c>
      <c r="R191" s="0" t="s">
        <v>5572</v>
      </c>
      <c r="S191" s="0" t="s">
        <v>240</v>
      </c>
      <c r="T191" s="0" t="s">
        <v>240</v>
      </c>
      <c r="U191" s="0" t="s">
        <v>102</v>
      </c>
      <c r="V191" s="0" t="s">
        <v>240</v>
      </c>
      <c r="W191" s="0" t="s">
        <v>240</v>
      </c>
      <c r="X191" s="0" t="s">
        <v>5485</v>
      </c>
      <c r="Y191" s="0" t="s">
        <v>240</v>
      </c>
      <c r="Z191" s="0" t="s">
        <v>161</v>
      </c>
      <c r="AA191" s="0" t="s">
        <v>152</v>
      </c>
      <c r="AB191" s="0" t="s">
        <v>152</v>
      </c>
      <c r="AC191" s="0" t="s">
        <v>2989</v>
      </c>
      <c r="AD191" s="0" t="s">
        <v>2989</v>
      </c>
      <c r="AE191" s="0" t="s">
        <v>2990</v>
      </c>
      <c r="AF191" s="0" t="s">
        <v>6405</v>
      </c>
      <c r="AG191" s="0" t="s">
        <v>6406</v>
      </c>
      <c r="AH191" s="0" t="s">
        <v>5575</v>
      </c>
      <c r="AI191" s="0" t="s">
        <v>5575</v>
      </c>
      <c r="AJ191" s="0" t="s">
        <v>5576</v>
      </c>
      <c r="AK191" s="0" t="s">
        <v>6407</v>
      </c>
      <c r="AL191" s="0" t="s">
        <v>5506</v>
      </c>
      <c r="AM191" s="0" t="s">
        <v>5493</v>
      </c>
      <c r="AN191" s="0" t="s">
        <v>5578</v>
      </c>
      <c r="AO191" s="0" t="s">
        <v>5579</v>
      </c>
      <c r="AP191" s="0" t="s">
        <v>240</v>
      </c>
      <c r="AQ191" s="0" t="s">
        <v>240</v>
      </c>
      <c r="AR191" s="0" t="s">
        <v>240</v>
      </c>
      <c r="AS191" s="0" t="s">
        <v>240</v>
      </c>
      <c r="AT191" s="0" t="s">
        <v>240</v>
      </c>
      <c r="AU191" s="0" t="s">
        <v>240</v>
      </c>
      <c r="AV191" s="0" t="s">
        <v>240</v>
      </c>
      <c r="AW191" s="0" t="s">
        <v>240</v>
      </c>
      <c r="AX191" s="0" t="s">
        <v>240</v>
      </c>
      <c r="AY191" s="0" t="s">
        <v>240</v>
      </c>
      <c r="AZ191" s="0" t="s">
        <v>240</v>
      </c>
      <c r="BA191" s="0" t="s">
        <v>240</v>
      </c>
      <c r="BB191" s="0" t="s">
        <v>240</v>
      </c>
      <c r="BC191" s="0" t="s">
        <v>240</v>
      </c>
      <c r="BD191" s="0" t="s">
        <v>240</v>
      </c>
      <c r="BE191" s="0" t="s">
        <v>240</v>
      </c>
      <c r="BF191" s="0" t="s">
        <v>240</v>
      </c>
      <c r="BG191" s="0" t="s">
        <v>240</v>
      </c>
      <c r="BH191" s="0" t="s">
        <v>240</v>
      </c>
      <c r="BI191" s="0" t="s">
        <v>240</v>
      </c>
      <c r="BJ191" s="0" t="s">
        <v>240</v>
      </c>
      <c r="BK191" s="0" t="s">
        <v>240</v>
      </c>
      <c r="BL191" s="0" t="s">
        <v>240</v>
      </c>
      <c r="BM191" s="0" t="s">
        <v>240</v>
      </c>
      <c r="BN191" s="0" t="s">
        <v>240</v>
      </c>
      <c r="BO191" s="0" t="s">
        <v>240</v>
      </c>
      <c r="BP191" s="0" t="s">
        <v>240</v>
      </c>
      <c r="BQ191" s="0" t="s">
        <v>240</v>
      </c>
      <c r="BR191" s="0" t="s">
        <v>240</v>
      </c>
      <c r="BS191" s="0" t="s">
        <v>240</v>
      </c>
      <c r="BT191" s="0" t="s">
        <v>240</v>
      </c>
      <c r="BU191" s="0" t="s">
        <v>240</v>
      </c>
      <c r="BV191" s="0" t="s">
        <v>240</v>
      </c>
      <c r="BW191" s="0" t="s">
        <v>240</v>
      </c>
      <c r="BX191" s="0" t="s">
        <v>240</v>
      </c>
      <c r="BY191" s="0" t="s">
        <v>240</v>
      </c>
      <c r="BZ191" s="0" t="s">
        <v>240</v>
      </c>
      <c r="CA191" s="0" t="s">
        <v>240</v>
      </c>
      <c r="CB191" s="0" t="s">
        <v>240</v>
      </c>
      <c r="CC191" s="0" t="s">
        <v>240</v>
      </c>
      <c r="CD191" s="0" t="s">
        <v>240</v>
      </c>
      <c r="CE191" s="0" t="s">
        <v>240</v>
      </c>
      <c r="CF191" s="0" t="s">
        <v>240</v>
      </c>
      <c r="CG191" s="0" t="s">
        <v>240</v>
      </c>
      <c r="CH191" s="0" t="s">
        <v>240</v>
      </c>
      <c r="CI191" s="0" t="s">
        <v>240</v>
      </c>
      <c r="CJ191" s="0" t="s">
        <v>240</v>
      </c>
      <c r="CK191" s="0" t="s">
        <v>240</v>
      </c>
      <c r="CL191" s="0" t="s">
        <v>240</v>
      </c>
      <c r="CM191" s="0" t="s">
        <v>240</v>
      </c>
      <c r="CN191" s="0" t="s">
        <v>240</v>
      </c>
      <c r="CO191" s="0" t="s">
        <v>240</v>
      </c>
      <c r="CP191" s="0" t="s">
        <v>240</v>
      </c>
      <c r="CQ191" s="0" t="s">
        <v>240</v>
      </c>
      <c r="CR191" s="0" t="s">
        <v>240</v>
      </c>
      <c r="CS191" s="0" t="s">
        <v>240</v>
      </c>
      <c r="CT191" s="0" t="s">
        <v>5496</v>
      </c>
      <c r="CU191" s="0" t="s">
        <v>5497</v>
      </c>
      <c r="CV191" s="0" t="s">
        <v>443</v>
      </c>
      <c r="CW191" s="0" t="s">
        <v>5580</v>
      </c>
      <c r="CX191" s="0" t="s">
        <v>229</v>
      </c>
      <c r="CY191" s="0" t="s">
        <v>443</v>
      </c>
      <c r="CZ191" s="0" t="s">
        <v>5581</v>
      </c>
      <c r="DA191" s="0" t="s">
        <v>5582</v>
      </c>
      <c r="DB191" s="0" t="s">
        <v>5580</v>
      </c>
      <c r="DC191" s="0" t="s">
        <v>384</v>
      </c>
      <c r="DD191" s="0" t="s">
        <v>291</v>
      </c>
      <c r="DE191" s="0" t="s">
        <v>6408</v>
      </c>
    </row>
    <row customHeight="1" ht="11.25">
      <c r="A192" s="1441" t="s">
        <v>240</v>
      </c>
      <c r="B192" s="0" t="s">
        <v>240</v>
      </c>
      <c r="C192" s="0" t="s">
        <v>240</v>
      </c>
      <c r="D192" s="0" t="s">
        <v>240</v>
      </c>
      <c r="E192" s="0" t="s">
        <v>240</v>
      </c>
      <c r="F192" s="0" t="s">
        <v>240</v>
      </c>
      <c r="G192" s="0" t="s">
        <v>240</v>
      </c>
      <c r="H192" s="0" t="s">
        <v>240</v>
      </c>
      <c r="I192" s="0" t="s">
        <v>5484</v>
      </c>
      <c r="J192" s="0" t="s">
        <v>240</v>
      </c>
      <c r="K192" s="0" t="s">
        <v>240</v>
      </c>
      <c r="L192" s="0" t="s">
        <v>240</v>
      </c>
      <c r="M192" s="0" t="s">
        <v>240</v>
      </c>
      <c r="N192" s="0" t="s">
        <v>240</v>
      </c>
      <c r="O192" s="0" t="s">
        <v>240</v>
      </c>
      <c r="P192" s="0" t="s">
        <v>240</v>
      </c>
      <c r="Q192" s="0" t="s">
        <v>240</v>
      </c>
      <c r="R192" s="0" t="s">
        <v>5499</v>
      </c>
      <c r="S192" s="0" t="s">
        <v>240</v>
      </c>
      <c r="T192" s="0" t="s">
        <v>240</v>
      </c>
      <c r="U192" s="0" t="s">
        <v>102</v>
      </c>
      <c r="V192" s="0" t="s">
        <v>240</v>
      </c>
      <c r="W192" s="0" t="s">
        <v>240</v>
      </c>
      <c r="X192" s="0" t="s">
        <v>5485</v>
      </c>
      <c r="Y192" s="0" t="s">
        <v>240</v>
      </c>
      <c r="Z192" s="0" t="s">
        <v>161</v>
      </c>
      <c r="AA192" s="0" t="s">
        <v>152</v>
      </c>
      <c r="AB192" s="0" t="s">
        <v>152</v>
      </c>
      <c r="AC192" s="0" t="s">
        <v>2991</v>
      </c>
      <c r="AD192" s="0" t="s">
        <v>2991</v>
      </c>
      <c r="AE192" s="0" t="s">
        <v>2992</v>
      </c>
      <c r="AF192" s="0" t="s">
        <v>5970</v>
      </c>
      <c r="AG192" s="0" t="s">
        <v>5971</v>
      </c>
      <c r="AH192" s="0" t="s">
        <v>5972</v>
      </c>
      <c r="AI192" s="0" t="s">
        <v>5730</v>
      </c>
      <c r="AJ192" s="0" t="s">
        <v>5504</v>
      </c>
      <c r="AK192" s="0" t="s">
        <v>5731</v>
      </c>
      <c r="AL192" s="0" t="s">
        <v>5506</v>
      </c>
      <c r="AM192" s="0" t="s">
        <v>5493</v>
      </c>
      <c r="AN192" s="0" t="s">
        <v>5545</v>
      </c>
      <c r="AO192" s="0" t="s">
        <v>5636</v>
      </c>
      <c r="AP192" s="0" t="s">
        <v>240</v>
      </c>
      <c r="AQ192" s="0" t="s">
        <v>240</v>
      </c>
      <c r="AR192" s="0" t="s">
        <v>240</v>
      </c>
      <c r="AS192" s="0" t="s">
        <v>240</v>
      </c>
      <c r="AT192" s="0" t="s">
        <v>240</v>
      </c>
      <c r="AU192" s="0" t="s">
        <v>240</v>
      </c>
      <c r="AV192" s="0" t="s">
        <v>240</v>
      </c>
      <c r="AW192" s="0" t="s">
        <v>240</v>
      </c>
      <c r="AX192" s="0" t="s">
        <v>240</v>
      </c>
      <c r="AY192" s="0" t="s">
        <v>240</v>
      </c>
      <c r="AZ192" s="0" t="s">
        <v>240</v>
      </c>
      <c r="BA192" s="0" t="s">
        <v>240</v>
      </c>
      <c r="BB192" s="0" t="s">
        <v>240</v>
      </c>
      <c r="BC192" s="0" t="s">
        <v>240</v>
      </c>
      <c r="BD192" s="0" t="s">
        <v>240</v>
      </c>
      <c r="BE192" s="0" t="s">
        <v>240</v>
      </c>
      <c r="BF192" s="0" t="s">
        <v>240</v>
      </c>
      <c r="BG192" s="0" t="s">
        <v>240</v>
      </c>
      <c r="BH192" s="0" t="s">
        <v>240</v>
      </c>
      <c r="BI192" s="0" t="s">
        <v>240</v>
      </c>
      <c r="BJ192" s="0" t="s">
        <v>240</v>
      </c>
      <c r="BK192" s="0" t="s">
        <v>240</v>
      </c>
      <c r="BL192" s="0" t="s">
        <v>240</v>
      </c>
      <c r="BM192" s="0" t="s">
        <v>240</v>
      </c>
      <c r="BN192" s="0" t="s">
        <v>240</v>
      </c>
      <c r="BO192" s="0" t="s">
        <v>240</v>
      </c>
      <c r="BP192" s="0" t="s">
        <v>240</v>
      </c>
      <c r="BQ192" s="0" t="s">
        <v>240</v>
      </c>
      <c r="BR192" s="0" t="s">
        <v>240</v>
      </c>
      <c r="BS192" s="0" t="s">
        <v>240</v>
      </c>
      <c r="BT192" s="0" t="s">
        <v>240</v>
      </c>
      <c r="BU192" s="0" t="s">
        <v>240</v>
      </c>
      <c r="BV192" s="0" t="s">
        <v>240</v>
      </c>
      <c r="BW192" s="0" t="s">
        <v>240</v>
      </c>
      <c r="BX192" s="0" t="s">
        <v>240</v>
      </c>
      <c r="BY192" s="0" t="s">
        <v>240</v>
      </c>
      <c r="BZ192" s="0" t="s">
        <v>240</v>
      </c>
      <c r="CA192" s="0" t="s">
        <v>240</v>
      </c>
      <c r="CB192" s="0" t="s">
        <v>240</v>
      </c>
      <c r="CC192" s="0" t="s">
        <v>240</v>
      </c>
      <c r="CD192" s="0" t="s">
        <v>240</v>
      </c>
      <c r="CE192" s="0" t="s">
        <v>240</v>
      </c>
      <c r="CF192" s="0" t="s">
        <v>240</v>
      </c>
      <c r="CG192" s="0" t="s">
        <v>240</v>
      </c>
      <c r="CH192" s="0" t="s">
        <v>240</v>
      </c>
      <c r="CI192" s="0" t="s">
        <v>240</v>
      </c>
      <c r="CJ192" s="0" t="s">
        <v>240</v>
      </c>
      <c r="CK192" s="0" t="s">
        <v>240</v>
      </c>
      <c r="CL192" s="0" t="s">
        <v>240</v>
      </c>
      <c r="CM192" s="0" t="s">
        <v>240</v>
      </c>
      <c r="CN192" s="0" t="s">
        <v>240</v>
      </c>
      <c r="CO192" s="0" t="s">
        <v>240</v>
      </c>
      <c r="CP192" s="0" t="s">
        <v>240</v>
      </c>
      <c r="CQ192" s="0" t="s">
        <v>240</v>
      </c>
      <c r="CR192" s="0" t="s">
        <v>240</v>
      </c>
      <c r="CS192" s="0" t="s">
        <v>240</v>
      </c>
      <c r="CT192" s="0" t="s">
        <v>5496</v>
      </c>
      <c r="CU192" s="0" t="s">
        <v>5497</v>
      </c>
      <c r="CV192" s="0" t="s">
        <v>443</v>
      </c>
      <c r="CW192" s="0" t="s">
        <v>5547</v>
      </c>
      <c r="CX192" s="0" t="s">
        <v>229</v>
      </c>
      <c r="CY192" s="0" t="s">
        <v>443</v>
      </c>
      <c r="CZ192" s="0" t="s">
        <v>5548</v>
      </c>
      <c r="DA192" s="0" t="s">
        <v>5549</v>
      </c>
      <c r="DB192" s="0" t="s">
        <v>5547</v>
      </c>
      <c r="DC192" s="0" t="s">
        <v>384</v>
      </c>
      <c r="DD192" s="0" t="s">
        <v>291</v>
      </c>
      <c r="DE192" s="0" t="s">
        <v>5973</v>
      </c>
    </row>
    <row customHeight="1" ht="11.25">
      <c r="A193" s="1441" t="s">
        <v>240</v>
      </c>
      <c r="B193" s="0" t="s">
        <v>240</v>
      </c>
      <c r="C193" s="0" t="s">
        <v>240</v>
      </c>
      <c r="D193" s="0" t="s">
        <v>240</v>
      </c>
      <c r="E193" s="0" t="s">
        <v>240</v>
      </c>
      <c r="F193" s="0" t="s">
        <v>240</v>
      </c>
      <c r="G193" s="0" t="s">
        <v>240</v>
      </c>
      <c r="H193" s="0" t="s">
        <v>240</v>
      </c>
      <c r="I193" s="0" t="s">
        <v>5484</v>
      </c>
      <c r="J193" s="0" t="s">
        <v>240</v>
      </c>
      <c r="K193" s="0" t="s">
        <v>240</v>
      </c>
      <c r="L193" s="0" t="s">
        <v>240</v>
      </c>
      <c r="M193" s="0" t="s">
        <v>240</v>
      </c>
      <c r="N193" s="0" t="s">
        <v>240</v>
      </c>
      <c r="O193" s="0" t="s">
        <v>240</v>
      </c>
      <c r="P193" s="0" t="s">
        <v>240</v>
      </c>
      <c r="Q193" s="0" t="s">
        <v>240</v>
      </c>
      <c r="R193" s="0" t="s">
        <v>6409</v>
      </c>
      <c r="S193" s="0" t="s">
        <v>240</v>
      </c>
      <c r="T193" s="0" t="s">
        <v>240</v>
      </c>
      <c r="U193" s="0" t="s">
        <v>102</v>
      </c>
      <c r="V193" s="0" t="s">
        <v>240</v>
      </c>
      <c r="W193" s="0" t="s">
        <v>240</v>
      </c>
      <c r="X193" s="0" t="s">
        <v>5585</v>
      </c>
      <c r="Y193" s="0" t="s">
        <v>240</v>
      </c>
      <c r="Z193" s="0" t="s">
        <v>152</v>
      </c>
      <c r="AA193" s="0" t="s">
        <v>152</v>
      </c>
      <c r="AB193" s="0" t="s">
        <v>161</v>
      </c>
      <c r="AC193" s="0" t="s">
        <v>2991</v>
      </c>
      <c r="AD193" s="0" t="s">
        <v>2991</v>
      </c>
      <c r="AE193" s="0" t="s">
        <v>2992</v>
      </c>
      <c r="AF193" s="0" t="s">
        <v>5970</v>
      </c>
      <c r="AG193" s="0" t="s">
        <v>5971</v>
      </c>
      <c r="AH193" s="0" t="s">
        <v>5575</v>
      </c>
      <c r="AI193" s="0" t="s">
        <v>5575</v>
      </c>
      <c r="AJ193" s="0" t="s">
        <v>240</v>
      </c>
      <c r="AK193" s="0" t="s">
        <v>240</v>
      </c>
      <c r="AL193" s="0" t="s">
        <v>240</v>
      </c>
      <c r="AM193" s="0" t="s">
        <v>240</v>
      </c>
      <c r="AN193" s="0" t="s">
        <v>240</v>
      </c>
      <c r="AO193" s="0" t="s">
        <v>240</v>
      </c>
      <c r="AP193" s="0" t="s">
        <v>240</v>
      </c>
      <c r="AQ193" s="0" t="s">
        <v>240</v>
      </c>
      <c r="AR193" s="0" t="s">
        <v>240</v>
      </c>
      <c r="AS193" s="0" t="s">
        <v>240</v>
      </c>
      <c r="AT193" s="0" t="s">
        <v>240</v>
      </c>
      <c r="AU193" s="0" t="s">
        <v>240</v>
      </c>
      <c r="AV193" s="0" t="s">
        <v>240</v>
      </c>
      <c r="AW193" s="0" t="s">
        <v>240</v>
      </c>
      <c r="AX193" s="0" t="s">
        <v>240</v>
      </c>
      <c r="AY193" s="0" t="s">
        <v>240</v>
      </c>
      <c r="AZ193" s="0" t="s">
        <v>240</v>
      </c>
      <c r="BA193" s="0" t="s">
        <v>240</v>
      </c>
      <c r="BB193" s="0" t="s">
        <v>240</v>
      </c>
      <c r="BC193" s="0" t="s">
        <v>240</v>
      </c>
      <c r="BD193" s="0" t="s">
        <v>240</v>
      </c>
      <c r="BE193" s="0" t="s">
        <v>5552</v>
      </c>
      <c r="BF193" s="0" t="s">
        <v>5544</v>
      </c>
      <c r="BG193" s="0" t="s">
        <v>112</v>
      </c>
      <c r="BH193" s="0" t="s">
        <v>5589</v>
      </c>
      <c r="BI193" s="0" t="s">
        <v>123</v>
      </c>
      <c r="BJ193" s="0" t="s">
        <v>240</v>
      </c>
      <c r="BK193" s="0" t="s">
        <v>5608</v>
      </c>
      <c r="BL193" s="0" t="s">
        <v>2991</v>
      </c>
      <c r="BM193" s="0" t="s">
        <v>2991</v>
      </c>
      <c r="BN193" s="0" t="s">
        <v>5663</v>
      </c>
      <c r="BO193" s="0" t="s">
        <v>5970</v>
      </c>
      <c r="BP193" s="0" t="s">
        <v>6410</v>
      </c>
      <c r="BQ193" s="0" t="s">
        <v>5575</v>
      </c>
      <c r="BR193" s="0" t="s">
        <v>5575</v>
      </c>
      <c r="BS193" s="0" t="s">
        <v>240</v>
      </c>
      <c r="BT193" s="0" t="s">
        <v>5650</v>
      </c>
      <c r="BU193" s="0" t="s">
        <v>6411</v>
      </c>
      <c r="BV193" s="0" t="s">
        <v>6411</v>
      </c>
      <c r="BW193" s="0" t="s">
        <v>5598</v>
      </c>
      <c r="BX193" s="0" t="s">
        <v>5598</v>
      </c>
      <c r="BY193" s="0" t="s">
        <v>5598</v>
      </c>
      <c r="BZ193" s="0" t="s">
        <v>5598</v>
      </c>
      <c r="CA193" s="0" t="s">
        <v>5598</v>
      </c>
      <c r="CB193" s="0" t="s">
        <v>240</v>
      </c>
      <c r="CC193" s="0" t="s">
        <v>240</v>
      </c>
      <c r="CD193" s="0" t="s">
        <v>240</v>
      </c>
      <c r="CE193" s="0" t="s">
        <v>240</v>
      </c>
      <c r="CF193" s="0" t="s">
        <v>240</v>
      </c>
      <c r="CG193" s="0" t="s">
        <v>5598</v>
      </c>
      <c r="CH193" s="0" t="s">
        <v>240</v>
      </c>
      <c r="CI193" s="0" t="s">
        <v>240</v>
      </c>
      <c r="CJ193" s="0" t="s">
        <v>240</v>
      </c>
      <c r="CK193" s="0" t="s">
        <v>240</v>
      </c>
      <c r="CL193" s="0" t="s">
        <v>240</v>
      </c>
      <c r="CM193" s="0" t="s">
        <v>6411</v>
      </c>
      <c r="CN193" s="0" t="s">
        <v>6411</v>
      </c>
      <c r="CO193" s="0" t="s">
        <v>240</v>
      </c>
      <c r="CP193" s="0" t="s">
        <v>240</v>
      </c>
      <c r="CQ193" s="0" t="s">
        <v>240</v>
      </c>
      <c r="CR193" s="0" t="s">
        <v>240</v>
      </c>
      <c r="CS193" s="0" t="s">
        <v>5666</v>
      </c>
      <c r="CT193" s="0" t="s">
        <v>5496</v>
      </c>
      <c r="CU193" s="0" t="s">
        <v>5497</v>
      </c>
      <c r="CV193" s="0" t="s">
        <v>443</v>
      </c>
      <c r="CW193" s="0" t="s">
        <v>5547</v>
      </c>
      <c r="CX193" s="0" t="s">
        <v>229</v>
      </c>
      <c r="CY193" s="0" t="s">
        <v>443</v>
      </c>
      <c r="CZ193" s="0" t="s">
        <v>5548</v>
      </c>
      <c r="DA193" s="0" t="s">
        <v>5549</v>
      </c>
      <c r="DB193" s="0" t="s">
        <v>5547</v>
      </c>
      <c r="DC193" s="0" t="s">
        <v>384</v>
      </c>
      <c r="DD193" s="0" t="s">
        <v>291</v>
      </c>
      <c r="DE193" s="0" t="s">
        <v>6412</v>
      </c>
    </row>
    <row customHeight="1" ht="11.25">
      <c r="A194" s="1441" t="s">
        <v>240</v>
      </c>
      <c r="B194" s="0" t="s">
        <v>240</v>
      </c>
      <c r="C194" s="0" t="s">
        <v>240</v>
      </c>
      <c r="D194" s="0" t="s">
        <v>240</v>
      </c>
      <c r="E194" s="0" t="s">
        <v>240</v>
      </c>
      <c r="F194" s="0" t="s">
        <v>240</v>
      </c>
      <c r="G194" s="0" t="s">
        <v>240</v>
      </c>
      <c r="H194" s="0" t="s">
        <v>240</v>
      </c>
      <c r="I194" s="0" t="s">
        <v>5484</v>
      </c>
      <c r="J194" s="0" t="s">
        <v>240</v>
      </c>
      <c r="K194" s="0" t="s">
        <v>240</v>
      </c>
      <c r="L194" s="0" t="s">
        <v>240</v>
      </c>
      <c r="M194" s="0" t="s">
        <v>240</v>
      </c>
      <c r="N194" s="0" t="s">
        <v>240</v>
      </c>
      <c r="O194" s="0" t="s">
        <v>240</v>
      </c>
      <c r="P194" s="0" t="s">
        <v>240</v>
      </c>
      <c r="Q194" s="0" t="s">
        <v>240</v>
      </c>
      <c r="R194" s="0" t="s">
        <v>6413</v>
      </c>
      <c r="S194" s="0" t="s">
        <v>240</v>
      </c>
      <c r="T194" s="0" t="s">
        <v>240</v>
      </c>
      <c r="U194" s="0" t="s">
        <v>102</v>
      </c>
      <c r="V194" s="0" t="s">
        <v>240</v>
      </c>
      <c r="W194" s="0" t="s">
        <v>240</v>
      </c>
      <c r="X194" s="0" t="s">
        <v>5585</v>
      </c>
      <c r="Y194" s="0" t="s">
        <v>240</v>
      </c>
      <c r="Z194" s="0" t="s">
        <v>152</v>
      </c>
      <c r="AA194" s="0" t="s">
        <v>152</v>
      </c>
      <c r="AB194" s="0" t="s">
        <v>161</v>
      </c>
      <c r="AC194" s="0" t="s">
        <v>2991</v>
      </c>
      <c r="AD194" s="0" t="s">
        <v>2991</v>
      </c>
      <c r="AE194" s="0" t="s">
        <v>2992</v>
      </c>
      <c r="AF194" s="0" t="s">
        <v>6158</v>
      </c>
      <c r="AG194" s="0" t="s">
        <v>6159</v>
      </c>
      <c r="AH194" s="0" t="s">
        <v>5575</v>
      </c>
      <c r="AI194" s="0" t="s">
        <v>5575</v>
      </c>
      <c r="AJ194" s="0" t="s">
        <v>240</v>
      </c>
      <c r="AK194" s="0" t="s">
        <v>240</v>
      </c>
      <c r="AL194" s="0" t="s">
        <v>240</v>
      </c>
      <c r="AM194" s="0" t="s">
        <v>240</v>
      </c>
      <c r="AN194" s="0" t="s">
        <v>240</v>
      </c>
      <c r="AO194" s="0" t="s">
        <v>240</v>
      </c>
      <c r="AP194" s="0" t="s">
        <v>240</v>
      </c>
      <c r="AQ194" s="0" t="s">
        <v>240</v>
      </c>
      <c r="AR194" s="0" t="s">
        <v>240</v>
      </c>
      <c r="AS194" s="0" t="s">
        <v>240</v>
      </c>
      <c r="AT194" s="0" t="s">
        <v>240</v>
      </c>
      <c r="AU194" s="0" t="s">
        <v>240</v>
      </c>
      <c r="AV194" s="0" t="s">
        <v>240</v>
      </c>
      <c r="AW194" s="0" t="s">
        <v>240</v>
      </c>
      <c r="AX194" s="0" t="s">
        <v>240</v>
      </c>
      <c r="AY194" s="0" t="s">
        <v>240</v>
      </c>
      <c r="AZ194" s="0" t="s">
        <v>240</v>
      </c>
      <c r="BA194" s="0" t="s">
        <v>240</v>
      </c>
      <c r="BB194" s="0" t="s">
        <v>240</v>
      </c>
      <c r="BC194" s="0" t="s">
        <v>240</v>
      </c>
      <c r="BD194" s="0" t="s">
        <v>240</v>
      </c>
      <c r="BE194" s="0" t="s">
        <v>5576</v>
      </c>
      <c r="BF194" s="0" t="s">
        <v>5544</v>
      </c>
      <c r="BG194" s="0" t="s">
        <v>112</v>
      </c>
      <c r="BH194" s="0" t="s">
        <v>5589</v>
      </c>
      <c r="BI194" s="0" t="s">
        <v>123</v>
      </c>
      <c r="BJ194" s="0" t="s">
        <v>240</v>
      </c>
      <c r="BK194" s="0" t="s">
        <v>5608</v>
      </c>
      <c r="BL194" s="0" t="s">
        <v>2991</v>
      </c>
      <c r="BM194" s="0" t="s">
        <v>2991</v>
      </c>
      <c r="BN194" s="0" t="s">
        <v>5663</v>
      </c>
      <c r="BO194" s="0" t="s">
        <v>6158</v>
      </c>
      <c r="BP194" s="0" t="s">
        <v>6414</v>
      </c>
      <c r="BQ194" s="0" t="s">
        <v>5575</v>
      </c>
      <c r="BR194" s="0" t="s">
        <v>5575</v>
      </c>
      <c r="BS194" s="0" t="s">
        <v>240</v>
      </c>
      <c r="BT194" s="0" t="s">
        <v>5650</v>
      </c>
      <c r="BU194" s="0" t="s">
        <v>6415</v>
      </c>
      <c r="BV194" s="0" t="s">
        <v>6415</v>
      </c>
      <c r="BW194" s="0" t="s">
        <v>5598</v>
      </c>
      <c r="BX194" s="0" t="s">
        <v>5598</v>
      </c>
      <c r="BY194" s="0" t="s">
        <v>5598</v>
      </c>
      <c r="BZ194" s="0" t="s">
        <v>5598</v>
      </c>
      <c r="CA194" s="0" t="s">
        <v>5598</v>
      </c>
      <c r="CB194" s="0" t="s">
        <v>240</v>
      </c>
      <c r="CC194" s="0" t="s">
        <v>240</v>
      </c>
      <c r="CD194" s="0" t="s">
        <v>240</v>
      </c>
      <c r="CE194" s="0" t="s">
        <v>240</v>
      </c>
      <c r="CF194" s="0" t="s">
        <v>240</v>
      </c>
      <c r="CG194" s="0" t="s">
        <v>5598</v>
      </c>
      <c r="CH194" s="0" t="s">
        <v>240</v>
      </c>
      <c r="CI194" s="0" t="s">
        <v>240</v>
      </c>
      <c r="CJ194" s="0" t="s">
        <v>240</v>
      </c>
      <c r="CK194" s="0" t="s">
        <v>240</v>
      </c>
      <c r="CL194" s="0" t="s">
        <v>240</v>
      </c>
      <c r="CM194" s="0" t="s">
        <v>6415</v>
      </c>
      <c r="CN194" s="0" t="s">
        <v>6415</v>
      </c>
      <c r="CO194" s="0" t="s">
        <v>240</v>
      </c>
      <c r="CP194" s="0" t="s">
        <v>240</v>
      </c>
      <c r="CQ194" s="0" t="s">
        <v>240</v>
      </c>
      <c r="CR194" s="0" t="s">
        <v>240</v>
      </c>
      <c r="CS194" s="0" t="s">
        <v>5666</v>
      </c>
      <c r="CT194" s="0" t="s">
        <v>5496</v>
      </c>
      <c r="CU194" s="0" t="s">
        <v>5497</v>
      </c>
      <c r="CV194" s="0" t="s">
        <v>443</v>
      </c>
      <c r="CW194" s="0" t="s">
        <v>5547</v>
      </c>
      <c r="CX194" s="0" t="s">
        <v>229</v>
      </c>
      <c r="CY194" s="0" t="s">
        <v>443</v>
      </c>
      <c r="CZ194" s="0" t="s">
        <v>5548</v>
      </c>
      <c r="DA194" s="0" t="s">
        <v>5549</v>
      </c>
      <c r="DB194" s="0" t="s">
        <v>5547</v>
      </c>
      <c r="DC194" s="0" t="s">
        <v>384</v>
      </c>
      <c r="DD194" s="0" t="s">
        <v>291</v>
      </c>
      <c r="DE194" s="0" t="s">
        <v>6416</v>
      </c>
    </row>
    <row customHeight="1" ht="11.25">
      <c r="A195" s="1441" t="s">
        <v>240</v>
      </c>
      <c r="B195" s="0" t="s">
        <v>240</v>
      </c>
      <c r="C195" s="0" t="s">
        <v>240</v>
      </c>
      <c r="D195" s="0" t="s">
        <v>240</v>
      </c>
      <c r="E195" s="0" t="s">
        <v>240</v>
      </c>
      <c r="F195" s="0" t="s">
        <v>240</v>
      </c>
      <c r="G195" s="0" t="s">
        <v>240</v>
      </c>
      <c r="H195" s="0" t="s">
        <v>240</v>
      </c>
      <c r="I195" s="0" t="s">
        <v>5484</v>
      </c>
      <c r="J195" s="0" t="s">
        <v>240</v>
      </c>
      <c r="K195" s="0" t="s">
        <v>240</v>
      </c>
      <c r="L195" s="0" t="s">
        <v>240</v>
      </c>
      <c r="M195" s="0" t="s">
        <v>240</v>
      </c>
      <c r="N195" s="0" t="s">
        <v>240</v>
      </c>
      <c r="O195" s="0" t="s">
        <v>240</v>
      </c>
      <c r="P195" s="0" t="s">
        <v>240</v>
      </c>
      <c r="Q195" s="0" t="s">
        <v>240</v>
      </c>
      <c r="R195" s="0" t="s">
        <v>5572</v>
      </c>
      <c r="S195" s="0" t="s">
        <v>240</v>
      </c>
      <c r="T195" s="0" t="s">
        <v>240</v>
      </c>
      <c r="U195" s="0" t="s">
        <v>102</v>
      </c>
      <c r="V195" s="0" t="s">
        <v>240</v>
      </c>
      <c r="W195" s="0" t="s">
        <v>240</v>
      </c>
      <c r="X195" s="0" t="s">
        <v>5485</v>
      </c>
      <c r="Y195" s="0" t="s">
        <v>240</v>
      </c>
      <c r="Z195" s="0" t="s">
        <v>161</v>
      </c>
      <c r="AA195" s="0" t="s">
        <v>152</v>
      </c>
      <c r="AB195" s="0" t="s">
        <v>152</v>
      </c>
      <c r="AC195" s="0" t="s">
        <v>2991</v>
      </c>
      <c r="AD195" s="0" t="s">
        <v>2991</v>
      </c>
      <c r="AE195" s="0" t="s">
        <v>2992</v>
      </c>
      <c r="AF195" s="0" t="s">
        <v>6158</v>
      </c>
      <c r="AG195" s="0" t="s">
        <v>6159</v>
      </c>
      <c r="AH195" s="0" t="s">
        <v>6417</v>
      </c>
      <c r="AI195" s="0" t="s">
        <v>6329</v>
      </c>
      <c r="AJ195" s="0" t="s">
        <v>5552</v>
      </c>
      <c r="AK195" s="0" t="s">
        <v>5544</v>
      </c>
      <c r="AL195" s="0" t="s">
        <v>5506</v>
      </c>
      <c r="AM195" s="0" t="s">
        <v>5493</v>
      </c>
      <c r="AN195" s="0" t="s">
        <v>5553</v>
      </c>
      <c r="AO195" s="0" t="s">
        <v>5836</v>
      </c>
      <c r="AP195" s="0" t="s">
        <v>240</v>
      </c>
      <c r="AQ195" s="0" t="s">
        <v>240</v>
      </c>
      <c r="AR195" s="0" t="s">
        <v>240</v>
      </c>
      <c r="AS195" s="0" t="s">
        <v>240</v>
      </c>
      <c r="AT195" s="0" t="s">
        <v>240</v>
      </c>
      <c r="AU195" s="0" t="s">
        <v>240</v>
      </c>
      <c r="AV195" s="0" t="s">
        <v>240</v>
      </c>
      <c r="AW195" s="0" t="s">
        <v>240</v>
      </c>
      <c r="AX195" s="0" t="s">
        <v>240</v>
      </c>
      <c r="AY195" s="0" t="s">
        <v>240</v>
      </c>
      <c r="AZ195" s="0" t="s">
        <v>240</v>
      </c>
      <c r="BA195" s="0" t="s">
        <v>240</v>
      </c>
      <c r="BB195" s="0" t="s">
        <v>240</v>
      </c>
      <c r="BC195" s="0" t="s">
        <v>240</v>
      </c>
      <c r="BD195" s="0" t="s">
        <v>240</v>
      </c>
      <c r="BE195" s="0" t="s">
        <v>240</v>
      </c>
      <c r="BF195" s="0" t="s">
        <v>240</v>
      </c>
      <c r="BG195" s="0" t="s">
        <v>240</v>
      </c>
      <c r="BH195" s="0" t="s">
        <v>240</v>
      </c>
      <c r="BI195" s="0" t="s">
        <v>240</v>
      </c>
      <c r="BJ195" s="0" t="s">
        <v>240</v>
      </c>
      <c r="BK195" s="0" t="s">
        <v>240</v>
      </c>
      <c r="BL195" s="0" t="s">
        <v>240</v>
      </c>
      <c r="BM195" s="0" t="s">
        <v>240</v>
      </c>
      <c r="BN195" s="0" t="s">
        <v>240</v>
      </c>
      <c r="BO195" s="0" t="s">
        <v>240</v>
      </c>
      <c r="BP195" s="0" t="s">
        <v>240</v>
      </c>
      <c r="BQ195" s="0" t="s">
        <v>240</v>
      </c>
      <c r="BR195" s="0" t="s">
        <v>240</v>
      </c>
      <c r="BS195" s="0" t="s">
        <v>240</v>
      </c>
      <c r="BT195" s="0" t="s">
        <v>240</v>
      </c>
      <c r="BU195" s="0" t="s">
        <v>240</v>
      </c>
      <c r="BV195" s="0" t="s">
        <v>240</v>
      </c>
      <c r="BW195" s="0" t="s">
        <v>240</v>
      </c>
      <c r="BX195" s="0" t="s">
        <v>240</v>
      </c>
      <c r="BY195" s="0" t="s">
        <v>240</v>
      </c>
      <c r="BZ195" s="0" t="s">
        <v>240</v>
      </c>
      <c r="CA195" s="0" t="s">
        <v>240</v>
      </c>
      <c r="CB195" s="0" t="s">
        <v>240</v>
      </c>
      <c r="CC195" s="0" t="s">
        <v>240</v>
      </c>
      <c r="CD195" s="0" t="s">
        <v>240</v>
      </c>
      <c r="CE195" s="0" t="s">
        <v>240</v>
      </c>
      <c r="CF195" s="0" t="s">
        <v>240</v>
      </c>
      <c r="CG195" s="0" t="s">
        <v>240</v>
      </c>
      <c r="CH195" s="0" t="s">
        <v>240</v>
      </c>
      <c r="CI195" s="0" t="s">
        <v>240</v>
      </c>
      <c r="CJ195" s="0" t="s">
        <v>240</v>
      </c>
      <c r="CK195" s="0" t="s">
        <v>240</v>
      </c>
      <c r="CL195" s="0" t="s">
        <v>240</v>
      </c>
      <c r="CM195" s="0" t="s">
        <v>240</v>
      </c>
      <c r="CN195" s="0" t="s">
        <v>240</v>
      </c>
      <c r="CO195" s="0" t="s">
        <v>240</v>
      </c>
      <c r="CP195" s="0" t="s">
        <v>240</v>
      </c>
      <c r="CQ195" s="0" t="s">
        <v>240</v>
      </c>
      <c r="CR195" s="0" t="s">
        <v>240</v>
      </c>
      <c r="CS195" s="0" t="s">
        <v>240</v>
      </c>
      <c r="CT195" s="0" t="s">
        <v>5496</v>
      </c>
      <c r="CU195" s="0" t="s">
        <v>5497</v>
      </c>
      <c r="CV195" s="0" t="s">
        <v>443</v>
      </c>
      <c r="CW195" s="0" t="s">
        <v>5547</v>
      </c>
      <c r="CX195" s="0" t="s">
        <v>229</v>
      </c>
      <c r="CY195" s="0" t="s">
        <v>443</v>
      </c>
      <c r="CZ195" s="0" t="s">
        <v>5548</v>
      </c>
      <c r="DA195" s="0" t="s">
        <v>5549</v>
      </c>
      <c r="DB195" s="0" t="s">
        <v>5547</v>
      </c>
      <c r="DC195" s="0" t="s">
        <v>384</v>
      </c>
      <c r="DD195" s="0" t="s">
        <v>291</v>
      </c>
      <c r="DE195" s="0" t="s">
        <v>6418</v>
      </c>
    </row>
    <row customHeight="1" ht="11.25">
      <c r="A196" s="1441" t="s">
        <v>240</v>
      </c>
      <c r="B196" s="0" t="s">
        <v>240</v>
      </c>
      <c r="C196" s="0" t="s">
        <v>240</v>
      </c>
      <c r="D196" s="0" t="s">
        <v>240</v>
      </c>
      <c r="E196" s="0" t="s">
        <v>240</v>
      </c>
      <c r="F196" s="0" t="s">
        <v>240</v>
      </c>
      <c r="G196" s="0" t="s">
        <v>240</v>
      </c>
      <c r="H196" s="0" t="s">
        <v>240</v>
      </c>
      <c r="I196" s="0" t="s">
        <v>5484</v>
      </c>
      <c r="J196" s="0" t="s">
        <v>240</v>
      </c>
      <c r="K196" s="0" t="s">
        <v>240</v>
      </c>
      <c r="L196" s="0" t="s">
        <v>240</v>
      </c>
      <c r="M196" s="0" t="s">
        <v>240</v>
      </c>
      <c r="N196" s="0" t="s">
        <v>240</v>
      </c>
      <c r="O196" s="0" t="s">
        <v>240</v>
      </c>
      <c r="P196" s="0" t="s">
        <v>240</v>
      </c>
      <c r="Q196" s="0" t="s">
        <v>240</v>
      </c>
      <c r="R196" s="0" t="s">
        <v>5572</v>
      </c>
      <c r="S196" s="0" t="s">
        <v>240</v>
      </c>
      <c r="T196" s="0" t="s">
        <v>240</v>
      </c>
      <c r="U196" s="0" t="s">
        <v>102</v>
      </c>
      <c r="V196" s="0" t="s">
        <v>240</v>
      </c>
      <c r="W196" s="0" t="s">
        <v>240</v>
      </c>
      <c r="X196" s="0" t="s">
        <v>5485</v>
      </c>
      <c r="Y196" s="0" t="s">
        <v>240</v>
      </c>
      <c r="Z196" s="0" t="s">
        <v>161</v>
      </c>
      <c r="AA196" s="0" t="s">
        <v>152</v>
      </c>
      <c r="AB196" s="0" t="s">
        <v>152</v>
      </c>
      <c r="AC196" s="0" t="s">
        <v>2991</v>
      </c>
      <c r="AD196" s="0" t="s">
        <v>2991</v>
      </c>
      <c r="AE196" s="0" t="s">
        <v>2992</v>
      </c>
      <c r="AF196" s="0" t="s">
        <v>6394</v>
      </c>
      <c r="AG196" s="0" t="s">
        <v>6395</v>
      </c>
      <c r="AH196" s="0" t="s">
        <v>6419</v>
      </c>
      <c r="AI196" s="0" t="s">
        <v>6420</v>
      </c>
      <c r="AJ196" s="0" t="s">
        <v>6421</v>
      </c>
      <c r="AK196" s="0" t="s">
        <v>6422</v>
      </c>
      <c r="AL196" s="0" t="s">
        <v>6205</v>
      </c>
      <c r="AM196" s="0" t="s">
        <v>5493</v>
      </c>
      <c r="AN196" s="0" t="s">
        <v>5545</v>
      </c>
      <c r="AO196" s="0" t="s">
        <v>5636</v>
      </c>
      <c r="AP196" s="0" t="s">
        <v>240</v>
      </c>
      <c r="AQ196" s="0" t="s">
        <v>240</v>
      </c>
      <c r="AR196" s="0" t="s">
        <v>240</v>
      </c>
      <c r="AS196" s="0" t="s">
        <v>240</v>
      </c>
      <c r="AT196" s="0" t="s">
        <v>240</v>
      </c>
      <c r="AU196" s="0" t="s">
        <v>240</v>
      </c>
      <c r="AV196" s="0" t="s">
        <v>240</v>
      </c>
      <c r="AW196" s="0" t="s">
        <v>240</v>
      </c>
      <c r="AX196" s="0" t="s">
        <v>240</v>
      </c>
      <c r="AY196" s="0" t="s">
        <v>240</v>
      </c>
      <c r="AZ196" s="0" t="s">
        <v>240</v>
      </c>
      <c r="BA196" s="0" t="s">
        <v>240</v>
      </c>
      <c r="BB196" s="0" t="s">
        <v>240</v>
      </c>
      <c r="BC196" s="0" t="s">
        <v>240</v>
      </c>
      <c r="BD196" s="0" t="s">
        <v>240</v>
      </c>
      <c r="BE196" s="0" t="s">
        <v>240</v>
      </c>
      <c r="BF196" s="0" t="s">
        <v>240</v>
      </c>
      <c r="BG196" s="0" t="s">
        <v>240</v>
      </c>
      <c r="BH196" s="0" t="s">
        <v>240</v>
      </c>
      <c r="BI196" s="0" t="s">
        <v>240</v>
      </c>
      <c r="BJ196" s="0" t="s">
        <v>240</v>
      </c>
      <c r="BK196" s="0" t="s">
        <v>240</v>
      </c>
      <c r="BL196" s="0" t="s">
        <v>240</v>
      </c>
      <c r="BM196" s="0" t="s">
        <v>240</v>
      </c>
      <c r="BN196" s="0" t="s">
        <v>240</v>
      </c>
      <c r="BO196" s="0" t="s">
        <v>240</v>
      </c>
      <c r="BP196" s="0" t="s">
        <v>240</v>
      </c>
      <c r="BQ196" s="0" t="s">
        <v>240</v>
      </c>
      <c r="BR196" s="0" t="s">
        <v>240</v>
      </c>
      <c r="BS196" s="0" t="s">
        <v>240</v>
      </c>
      <c r="BT196" s="0" t="s">
        <v>240</v>
      </c>
      <c r="BU196" s="0" t="s">
        <v>240</v>
      </c>
      <c r="BV196" s="0" t="s">
        <v>240</v>
      </c>
      <c r="BW196" s="0" t="s">
        <v>240</v>
      </c>
      <c r="BX196" s="0" t="s">
        <v>240</v>
      </c>
      <c r="BY196" s="0" t="s">
        <v>240</v>
      </c>
      <c r="BZ196" s="0" t="s">
        <v>240</v>
      </c>
      <c r="CA196" s="0" t="s">
        <v>240</v>
      </c>
      <c r="CB196" s="0" t="s">
        <v>240</v>
      </c>
      <c r="CC196" s="0" t="s">
        <v>240</v>
      </c>
      <c r="CD196" s="0" t="s">
        <v>240</v>
      </c>
      <c r="CE196" s="0" t="s">
        <v>240</v>
      </c>
      <c r="CF196" s="0" t="s">
        <v>240</v>
      </c>
      <c r="CG196" s="0" t="s">
        <v>240</v>
      </c>
      <c r="CH196" s="0" t="s">
        <v>240</v>
      </c>
      <c r="CI196" s="0" t="s">
        <v>240</v>
      </c>
      <c r="CJ196" s="0" t="s">
        <v>240</v>
      </c>
      <c r="CK196" s="0" t="s">
        <v>240</v>
      </c>
      <c r="CL196" s="0" t="s">
        <v>240</v>
      </c>
      <c r="CM196" s="0" t="s">
        <v>240</v>
      </c>
      <c r="CN196" s="0" t="s">
        <v>240</v>
      </c>
      <c r="CO196" s="0" t="s">
        <v>240</v>
      </c>
      <c r="CP196" s="0" t="s">
        <v>240</v>
      </c>
      <c r="CQ196" s="0" t="s">
        <v>240</v>
      </c>
      <c r="CR196" s="0" t="s">
        <v>240</v>
      </c>
      <c r="CS196" s="0" t="s">
        <v>240</v>
      </c>
      <c r="CT196" s="0" t="s">
        <v>5496</v>
      </c>
      <c r="CU196" s="0" t="s">
        <v>5497</v>
      </c>
      <c r="CV196" s="0" t="s">
        <v>443</v>
      </c>
      <c r="CW196" s="0" t="s">
        <v>5547</v>
      </c>
      <c r="CX196" s="0" t="s">
        <v>229</v>
      </c>
      <c r="CY196" s="0" t="s">
        <v>443</v>
      </c>
      <c r="CZ196" s="0" t="s">
        <v>5548</v>
      </c>
      <c r="DA196" s="0" t="s">
        <v>5549</v>
      </c>
      <c r="DB196" s="0" t="s">
        <v>5547</v>
      </c>
      <c r="DC196" s="0" t="s">
        <v>384</v>
      </c>
      <c r="DD196" s="0" t="s">
        <v>291</v>
      </c>
      <c r="DE196" s="0" t="s">
        <v>6423</v>
      </c>
    </row>
    <row customHeight="1" ht="11.25">
      <c r="A197" s="1441" t="s">
        <v>240</v>
      </c>
      <c r="B197" s="0" t="s">
        <v>240</v>
      </c>
      <c r="C197" s="0" t="s">
        <v>240</v>
      </c>
      <c r="D197" s="0" t="s">
        <v>240</v>
      </c>
      <c r="E197" s="0" t="s">
        <v>240</v>
      </c>
      <c r="F197" s="0" t="s">
        <v>240</v>
      </c>
      <c r="G197" s="0" t="s">
        <v>240</v>
      </c>
      <c r="H197" s="0" t="s">
        <v>240</v>
      </c>
      <c r="I197" s="0" t="s">
        <v>5484</v>
      </c>
      <c r="J197" s="0" t="s">
        <v>240</v>
      </c>
      <c r="K197" s="0" t="s">
        <v>240</v>
      </c>
      <c r="L197" s="0" t="s">
        <v>240</v>
      </c>
      <c r="M197" s="0" t="s">
        <v>240</v>
      </c>
      <c r="N197" s="0" t="s">
        <v>240</v>
      </c>
      <c r="O197" s="0" t="s">
        <v>240</v>
      </c>
      <c r="P197" s="0" t="s">
        <v>240</v>
      </c>
      <c r="Q197" s="0" t="s">
        <v>240</v>
      </c>
      <c r="R197" s="0" t="s">
        <v>6424</v>
      </c>
      <c r="S197" s="0" t="s">
        <v>240</v>
      </c>
      <c r="T197" s="0" t="s">
        <v>240</v>
      </c>
      <c r="U197" s="0" t="s">
        <v>102</v>
      </c>
      <c r="V197" s="0" t="s">
        <v>240</v>
      </c>
      <c r="W197" s="0" t="s">
        <v>240</v>
      </c>
      <c r="X197" s="0" t="s">
        <v>5585</v>
      </c>
      <c r="Y197" s="0" t="s">
        <v>240</v>
      </c>
      <c r="Z197" s="0" t="s">
        <v>152</v>
      </c>
      <c r="AA197" s="0" t="s">
        <v>152</v>
      </c>
      <c r="AB197" s="0" t="s">
        <v>161</v>
      </c>
      <c r="AC197" s="0" t="s">
        <v>2989</v>
      </c>
      <c r="AD197" s="0" t="s">
        <v>2989</v>
      </c>
      <c r="AE197" s="0" t="s">
        <v>2990</v>
      </c>
      <c r="AF197" s="0" t="s">
        <v>6405</v>
      </c>
      <c r="AG197" s="0" t="s">
        <v>6406</v>
      </c>
      <c r="AH197" s="0" t="s">
        <v>5575</v>
      </c>
      <c r="AI197" s="0" t="s">
        <v>5575</v>
      </c>
      <c r="AJ197" s="0" t="s">
        <v>240</v>
      </c>
      <c r="AK197" s="0" t="s">
        <v>240</v>
      </c>
      <c r="AL197" s="0" t="s">
        <v>240</v>
      </c>
      <c r="AM197" s="0" t="s">
        <v>240</v>
      </c>
      <c r="AN197" s="0" t="s">
        <v>240</v>
      </c>
      <c r="AO197" s="0" t="s">
        <v>240</v>
      </c>
      <c r="AP197" s="0" t="s">
        <v>240</v>
      </c>
      <c r="AQ197" s="0" t="s">
        <v>240</v>
      </c>
      <c r="AR197" s="0" t="s">
        <v>240</v>
      </c>
      <c r="AS197" s="0" t="s">
        <v>240</v>
      </c>
      <c r="AT197" s="0" t="s">
        <v>240</v>
      </c>
      <c r="AU197" s="0" t="s">
        <v>240</v>
      </c>
      <c r="AV197" s="0" t="s">
        <v>240</v>
      </c>
      <c r="AW197" s="0" t="s">
        <v>240</v>
      </c>
      <c r="AX197" s="0" t="s">
        <v>240</v>
      </c>
      <c r="AY197" s="0" t="s">
        <v>240</v>
      </c>
      <c r="AZ197" s="0" t="s">
        <v>240</v>
      </c>
      <c r="BA197" s="0" t="s">
        <v>240</v>
      </c>
      <c r="BB197" s="0" t="s">
        <v>240</v>
      </c>
      <c r="BC197" s="0" t="s">
        <v>240</v>
      </c>
      <c r="BD197" s="0" t="s">
        <v>240</v>
      </c>
      <c r="BE197" s="0" t="s">
        <v>5576</v>
      </c>
      <c r="BF197" s="0" t="s">
        <v>6407</v>
      </c>
      <c r="BG197" s="0" t="s">
        <v>112</v>
      </c>
      <c r="BH197" s="0" t="s">
        <v>5589</v>
      </c>
      <c r="BI197" s="0" t="s">
        <v>123</v>
      </c>
      <c r="BJ197" s="0" t="s">
        <v>240</v>
      </c>
      <c r="BK197" s="0" t="s">
        <v>5608</v>
      </c>
      <c r="BL197" s="0" t="s">
        <v>2989</v>
      </c>
      <c r="BM197" s="0" t="s">
        <v>2989</v>
      </c>
      <c r="BN197" s="0" t="s">
        <v>5798</v>
      </c>
      <c r="BO197" s="0" t="s">
        <v>6405</v>
      </c>
      <c r="BP197" s="0" t="s">
        <v>6425</v>
      </c>
      <c r="BQ197" s="0" t="s">
        <v>5575</v>
      </c>
      <c r="BR197" s="0" t="s">
        <v>5575</v>
      </c>
      <c r="BS197" s="0" t="s">
        <v>240</v>
      </c>
      <c r="BT197" s="0" t="s">
        <v>5650</v>
      </c>
      <c r="BU197" s="0" t="s">
        <v>6426</v>
      </c>
      <c r="BV197" s="0" t="s">
        <v>6426</v>
      </c>
      <c r="BW197" s="0" t="s">
        <v>5598</v>
      </c>
      <c r="BX197" s="0" t="s">
        <v>5598</v>
      </c>
      <c r="BY197" s="0" t="s">
        <v>5598</v>
      </c>
      <c r="BZ197" s="0" t="s">
        <v>5598</v>
      </c>
      <c r="CA197" s="0" t="s">
        <v>5598</v>
      </c>
      <c r="CB197" s="0" t="s">
        <v>240</v>
      </c>
      <c r="CC197" s="0" t="s">
        <v>240</v>
      </c>
      <c r="CD197" s="0" t="s">
        <v>240</v>
      </c>
      <c r="CE197" s="0" t="s">
        <v>240</v>
      </c>
      <c r="CF197" s="0" t="s">
        <v>240</v>
      </c>
      <c r="CG197" s="0" t="s">
        <v>5598</v>
      </c>
      <c r="CH197" s="0" t="s">
        <v>240</v>
      </c>
      <c r="CI197" s="0" t="s">
        <v>240</v>
      </c>
      <c r="CJ197" s="0" t="s">
        <v>240</v>
      </c>
      <c r="CK197" s="0" t="s">
        <v>240</v>
      </c>
      <c r="CL197" s="0" t="s">
        <v>240</v>
      </c>
      <c r="CM197" s="0" t="s">
        <v>6426</v>
      </c>
      <c r="CN197" s="0" t="s">
        <v>6426</v>
      </c>
      <c r="CO197" s="0" t="s">
        <v>240</v>
      </c>
      <c r="CP197" s="0" t="s">
        <v>240</v>
      </c>
      <c r="CQ197" s="0" t="s">
        <v>240</v>
      </c>
      <c r="CR197" s="0" t="s">
        <v>240</v>
      </c>
      <c r="CS197" s="0" t="s">
        <v>5553</v>
      </c>
      <c r="CT197" s="0" t="s">
        <v>5496</v>
      </c>
      <c r="CU197" s="0" t="s">
        <v>5497</v>
      </c>
      <c r="CV197" s="0" t="s">
        <v>443</v>
      </c>
      <c r="CW197" s="0" t="s">
        <v>5580</v>
      </c>
      <c r="CX197" s="0" t="s">
        <v>229</v>
      </c>
      <c r="CY197" s="0" t="s">
        <v>443</v>
      </c>
      <c r="CZ197" s="0" t="s">
        <v>5581</v>
      </c>
      <c r="DA197" s="0" t="s">
        <v>5582</v>
      </c>
      <c r="DB197" s="0" t="s">
        <v>5580</v>
      </c>
      <c r="DC197" s="0" t="s">
        <v>384</v>
      </c>
      <c r="DD197" s="0" t="s">
        <v>291</v>
      </c>
      <c r="DE197" s="0" t="s">
        <v>6408</v>
      </c>
    </row>
    <row customHeight="1" ht="11.25">
      <c r="A198" s="1441" t="s">
        <v>240</v>
      </c>
      <c r="B198" s="0" t="s">
        <v>240</v>
      </c>
      <c r="C198" s="0" t="s">
        <v>240</v>
      </c>
      <c r="D198" s="0" t="s">
        <v>240</v>
      </c>
      <c r="E198" s="0" t="s">
        <v>240</v>
      </c>
      <c r="F198" s="0" t="s">
        <v>240</v>
      </c>
      <c r="G198" s="0" t="s">
        <v>240</v>
      </c>
      <c r="H198" s="0" t="s">
        <v>240</v>
      </c>
      <c r="I198" s="0" t="s">
        <v>5484</v>
      </c>
      <c r="J198" s="0" t="s">
        <v>240</v>
      </c>
      <c r="K198" s="0" t="s">
        <v>240</v>
      </c>
      <c r="L198" s="0" t="s">
        <v>240</v>
      </c>
      <c r="M198" s="0" t="s">
        <v>240</v>
      </c>
      <c r="N198" s="0" t="s">
        <v>240</v>
      </c>
      <c r="O198" s="0" t="s">
        <v>240</v>
      </c>
      <c r="P198" s="0" t="s">
        <v>240</v>
      </c>
      <c r="Q198" s="0" t="s">
        <v>240</v>
      </c>
      <c r="R198" s="0" t="s">
        <v>5705</v>
      </c>
      <c r="S198" s="0" t="s">
        <v>240</v>
      </c>
      <c r="T198" s="0" t="s">
        <v>240</v>
      </c>
      <c r="U198" s="0" t="s">
        <v>102</v>
      </c>
      <c r="V198" s="0" t="s">
        <v>240</v>
      </c>
      <c r="W198" s="0" t="s">
        <v>240</v>
      </c>
      <c r="X198" s="0" t="s">
        <v>5585</v>
      </c>
      <c r="Y198" s="0" t="s">
        <v>240</v>
      </c>
      <c r="Z198" s="0" t="s">
        <v>152</v>
      </c>
      <c r="AA198" s="0" t="s">
        <v>152</v>
      </c>
      <c r="AB198" s="0" t="s">
        <v>161</v>
      </c>
      <c r="AC198" s="0" t="s">
        <v>2985</v>
      </c>
      <c r="AD198" s="0" t="s">
        <v>2985</v>
      </c>
      <c r="AE198" s="0" t="s">
        <v>2986</v>
      </c>
      <c r="AF198" s="0" t="s">
        <v>6427</v>
      </c>
      <c r="AG198" s="0" t="s">
        <v>6428</v>
      </c>
      <c r="AH198" s="0" t="s">
        <v>6427</v>
      </c>
      <c r="AI198" s="0" t="s">
        <v>5644</v>
      </c>
      <c r="AJ198" s="0" t="s">
        <v>240</v>
      </c>
      <c r="AK198" s="0" t="s">
        <v>240</v>
      </c>
      <c r="AL198" s="0" t="s">
        <v>240</v>
      </c>
      <c r="AM198" s="0" t="s">
        <v>240</v>
      </c>
      <c r="AN198" s="0" t="s">
        <v>240</v>
      </c>
      <c r="AO198" s="0" t="s">
        <v>240</v>
      </c>
      <c r="AP198" s="0" t="s">
        <v>240</v>
      </c>
      <c r="AQ198" s="0" t="s">
        <v>240</v>
      </c>
      <c r="AR198" s="0" t="s">
        <v>240</v>
      </c>
      <c r="AS198" s="0" t="s">
        <v>240</v>
      </c>
      <c r="AT198" s="0" t="s">
        <v>240</v>
      </c>
      <c r="AU198" s="0" t="s">
        <v>240</v>
      </c>
      <c r="AV198" s="0" t="s">
        <v>240</v>
      </c>
      <c r="AW198" s="0" t="s">
        <v>240</v>
      </c>
      <c r="AX198" s="0" t="s">
        <v>240</v>
      </c>
      <c r="AY198" s="0" t="s">
        <v>240</v>
      </c>
      <c r="AZ198" s="0" t="s">
        <v>240</v>
      </c>
      <c r="BA198" s="0" t="s">
        <v>240</v>
      </c>
      <c r="BB198" s="0" t="s">
        <v>240</v>
      </c>
      <c r="BC198" s="0" t="s">
        <v>240</v>
      </c>
      <c r="BD198" s="0" t="s">
        <v>240</v>
      </c>
      <c r="BE198" s="0" t="s">
        <v>5645</v>
      </c>
      <c r="BF198" s="0" t="s">
        <v>5645</v>
      </c>
      <c r="BG198" s="0" t="s">
        <v>112</v>
      </c>
      <c r="BH198" s="0" t="s">
        <v>5589</v>
      </c>
      <c r="BI198" s="0" t="s">
        <v>123</v>
      </c>
      <c r="BJ198" s="0" t="s">
        <v>240</v>
      </c>
      <c r="BK198" s="0" t="s">
        <v>5608</v>
      </c>
      <c r="BL198" s="0" t="s">
        <v>2985</v>
      </c>
      <c r="BM198" s="0" t="s">
        <v>2985</v>
      </c>
      <c r="BN198" s="0" t="s">
        <v>5646</v>
      </c>
      <c r="BO198" s="0" t="s">
        <v>6427</v>
      </c>
      <c r="BP198" s="0" t="s">
        <v>6429</v>
      </c>
      <c r="BQ198" s="0" t="s">
        <v>6430</v>
      </c>
      <c r="BR198" s="0" t="s">
        <v>6306</v>
      </c>
      <c r="BS198" s="0" t="s">
        <v>240</v>
      </c>
      <c r="BT198" s="0" t="s">
        <v>5650</v>
      </c>
      <c r="BU198" s="0" t="s">
        <v>6431</v>
      </c>
      <c r="BV198" s="0" t="s">
        <v>6431</v>
      </c>
      <c r="BW198" s="0" t="s">
        <v>5598</v>
      </c>
      <c r="BX198" s="0" t="s">
        <v>5598</v>
      </c>
      <c r="BY198" s="0" t="s">
        <v>5598</v>
      </c>
      <c r="BZ198" s="0" t="s">
        <v>5598</v>
      </c>
      <c r="CA198" s="0" t="s">
        <v>5598</v>
      </c>
      <c r="CB198" s="0" t="s">
        <v>240</v>
      </c>
      <c r="CC198" s="0" t="s">
        <v>240</v>
      </c>
      <c r="CD198" s="0" t="s">
        <v>240</v>
      </c>
      <c r="CE198" s="0" t="s">
        <v>240</v>
      </c>
      <c r="CF198" s="0" t="s">
        <v>240</v>
      </c>
      <c r="CG198" s="0" t="s">
        <v>5598</v>
      </c>
      <c r="CH198" s="0" t="s">
        <v>240</v>
      </c>
      <c r="CI198" s="0" t="s">
        <v>240</v>
      </c>
      <c r="CJ198" s="0" t="s">
        <v>240</v>
      </c>
      <c r="CK198" s="0" t="s">
        <v>240</v>
      </c>
      <c r="CL198" s="0" t="s">
        <v>240</v>
      </c>
      <c r="CM198" s="0" t="s">
        <v>6431</v>
      </c>
      <c r="CN198" s="0" t="s">
        <v>6431</v>
      </c>
      <c r="CO198" s="0" t="s">
        <v>240</v>
      </c>
      <c r="CP198" s="0" t="s">
        <v>240</v>
      </c>
      <c r="CQ198" s="0" t="s">
        <v>240</v>
      </c>
      <c r="CR198" s="0" t="s">
        <v>240</v>
      </c>
      <c r="CS198" s="0" t="s">
        <v>5507</v>
      </c>
      <c r="CT198" s="0" t="s">
        <v>5496</v>
      </c>
      <c r="CU198" s="0" t="s">
        <v>5497</v>
      </c>
      <c r="CV198" s="0" t="s">
        <v>443</v>
      </c>
      <c r="CW198" s="0" t="s">
        <v>5509</v>
      </c>
      <c r="CX198" s="0" t="s">
        <v>229</v>
      </c>
      <c r="CY198" s="0" t="s">
        <v>443</v>
      </c>
      <c r="CZ198" s="0" t="s">
        <v>5510</v>
      </c>
      <c r="DA198" s="0" t="s">
        <v>5511</v>
      </c>
      <c r="DB198" s="0" t="s">
        <v>5509</v>
      </c>
      <c r="DC198" s="0" t="s">
        <v>384</v>
      </c>
      <c r="DD198" s="0" t="s">
        <v>291</v>
      </c>
      <c r="DE198" s="0" t="s">
        <v>6432</v>
      </c>
    </row>
    <row customHeight="1" ht="11.25">
      <c r="A199" s="1441" t="s">
        <v>240</v>
      </c>
      <c r="B199" s="0" t="s">
        <v>240</v>
      </c>
      <c r="C199" s="0" t="s">
        <v>240</v>
      </c>
      <c r="D199" s="0" t="s">
        <v>240</v>
      </c>
      <c r="E199" s="0" t="s">
        <v>240</v>
      </c>
      <c r="F199" s="0" t="s">
        <v>240</v>
      </c>
      <c r="G199" s="0" t="s">
        <v>240</v>
      </c>
      <c r="H199" s="0" t="s">
        <v>240</v>
      </c>
      <c r="I199" s="0" t="s">
        <v>5484</v>
      </c>
      <c r="J199" s="0" t="s">
        <v>240</v>
      </c>
      <c r="K199" s="0" t="s">
        <v>240</v>
      </c>
      <c r="L199" s="0" t="s">
        <v>240</v>
      </c>
      <c r="M199" s="0" t="s">
        <v>240</v>
      </c>
      <c r="N199" s="0" t="s">
        <v>240</v>
      </c>
      <c r="O199" s="0" t="s">
        <v>240</v>
      </c>
      <c r="P199" s="0" t="s">
        <v>240</v>
      </c>
      <c r="Q199" s="0" t="s">
        <v>240</v>
      </c>
      <c r="R199" s="0" t="s">
        <v>6433</v>
      </c>
      <c r="S199" s="0" t="s">
        <v>240</v>
      </c>
      <c r="T199" s="0" t="s">
        <v>240</v>
      </c>
      <c r="U199" s="0" t="s">
        <v>102</v>
      </c>
      <c r="V199" s="0" t="s">
        <v>240</v>
      </c>
      <c r="W199" s="0" t="s">
        <v>240</v>
      </c>
      <c r="X199" s="0" t="s">
        <v>5485</v>
      </c>
      <c r="Y199" s="0" t="s">
        <v>240</v>
      </c>
      <c r="Z199" s="0" t="s">
        <v>161</v>
      </c>
      <c r="AA199" s="0" t="s">
        <v>152</v>
      </c>
      <c r="AB199" s="0" t="s">
        <v>152</v>
      </c>
      <c r="AC199" s="0" t="s">
        <v>2991</v>
      </c>
      <c r="AD199" s="0" t="s">
        <v>2991</v>
      </c>
      <c r="AE199" s="0" t="s">
        <v>2992</v>
      </c>
      <c r="AF199" s="0" t="s">
        <v>6434</v>
      </c>
      <c r="AG199" s="0" t="s">
        <v>6435</v>
      </c>
      <c r="AH199" s="0" t="s">
        <v>6436</v>
      </c>
      <c r="AI199" s="0" t="s">
        <v>6306</v>
      </c>
      <c r="AJ199" s="0" t="s">
        <v>5552</v>
      </c>
      <c r="AK199" s="0" t="s">
        <v>5544</v>
      </c>
      <c r="AL199" s="0" t="s">
        <v>5506</v>
      </c>
      <c r="AM199" s="0" t="s">
        <v>5493</v>
      </c>
      <c r="AN199" s="0" t="s">
        <v>5545</v>
      </c>
      <c r="AO199" s="0" t="s">
        <v>6437</v>
      </c>
      <c r="AP199" s="0" t="s">
        <v>240</v>
      </c>
      <c r="AQ199" s="0" t="s">
        <v>240</v>
      </c>
      <c r="AR199" s="0" t="s">
        <v>240</v>
      </c>
      <c r="AS199" s="0" t="s">
        <v>240</v>
      </c>
      <c r="AT199" s="0" t="s">
        <v>240</v>
      </c>
      <c r="AU199" s="0" t="s">
        <v>240</v>
      </c>
      <c r="AV199" s="0" t="s">
        <v>240</v>
      </c>
      <c r="AW199" s="0" t="s">
        <v>240</v>
      </c>
      <c r="AX199" s="0" t="s">
        <v>240</v>
      </c>
      <c r="AY199" s="0" t="s">
        <v>240</v>
      </c>
      <c r="AZ199" s="0" t="s">
        <v>240</v>
      </c>
      <c r="BA199" s="0" t="s">
        <v>240</v>
      </c>
      <c r="BB199" s="0" t="s">
        <v>240</v>
      </c>
      <c r="BC199" s="0" t="s">
        <v>240</v>
      </c>
      <c r="BD199" s="0" t="s">
        <v>240</v>
      </c>
      <c r="BE199" s="0" t="s">
        <v>240</v>
      </c>
      <c r="BF199" s="0" t="s">
        <v>240</v>
      </c>
      <c r="BG199" s="0" t="s">
        <v>240</v>
      </c>
      <c r="BH199" s="0" t="s">
        <v>240</v>
      </c>
      <c r="BI199" s="0" t="s">
        <v>240</v>
      </c>
      <c r="BJ199" s="0" t="s">
        <v>240</v>
      </c>
      <c r="BK199" s="0" t="s">
        <v>240</v>
      </c>
      <c r="BL199" s="0" t="s">
        <v>240</v>
      </c>
      <c r="BM199" s="0" t="s">
        <v>240</v>
      </c>
      <c r="BN199" s="0" t="s">
        <v>240</v>
      </c>
      <c r="BO199" s="0" t="s">
        <v>240</v>
      </c>
      <c r="BP199" s="0" t="s">
        <v>240</v>
      </c>
      <c r="BQ199" s="0" t="s">
        <v>240</v>
      </c>
      <c r="BR199" s="0" t="s">
        <v>240</v>
      </c>
      <c r="BS199" s="0" t="s">
        <v>240</v>
      </c>
      <c r="BT199" s="0" t="s">
        <v>240</v>
      </c>
      <c r="BU199" s="0" t="s">
        <v>240</v>
      </c>
      <c r="BV199" s="0" t="s">
        <v>240</v>
      </c>
      <c r="BW199" s="0" t="s">
        <v>240</v>
      </c>
      <c r="BX199" s="0" t="s">
        <v>240</v>
      </c>
      <c r="BY199" s="0" t="s">
        <v>240</v>
      </c>
      <c r="BZ199" s="0" t="s">
        <v>240</v>
      </c>
      <c r="CA199" s="0" t="s">
        <v>240</v>
      </c>
      <c r="CB199" s="0" t="s">
        <v>240</v>
      </c>
      <c r="CC199" s="0" t="s">
        <v>240</v>
      </c>
      <c r="CD199" s="0" t="s">
        <v>240</v>
      </c>
      <c r="CE199" s="0" t="s">
        <v>240</v>
      </c>
      <c r="CF199" s="0" t="s">
        <v>240</v>
      </c>
      <c r="CG199" s="0" t="s">
        <v>240</v>
      </c>
      <c r="CH199" s="0" t="s">
        <v>240</v>
      </c>
      <c r="CI199" s="0" t="s">
        <v>240</v>
      </c>
      <c r="CJ199" s="0" t="s">
        <v>240</v>
      </c>
      <c r="CK199" s="0" t="s">
        <v>240</v>
      </c>
      <c r="CL199" s="0" t="s">
        <v>240</v>
      </c>
      <c r="CM199" s="0" t="s">
        <v>240</v>
      </c>
      <c r="CN199" s="0" t="s">
        <v>240</v>
      </c>
      <c r="CO199" s="0" t="s">
        <v>240</v>
      </c>
      <c r="CP199" s="0" t="s">
        <v>240</v>
      </c>
      <c r="CQ199" s="0" t="s">
        <v>240</v>
      </c>
      <c r="CR199" s="0" t="s">
        <v>240</v>
      </c>
      <c r="CS199" s="0" t="s">
        <v>240</v>
      </c>
      <c r="CT199" s="0" t="s">
        <v>5496</v>
      </c>
      <c r="CU199" s="0" t="s">
        <v>5497</v>
      </c>
      <c r="CV199" s="0" t="s">
        <v>443</v>
      </c>
      <c r="CW199" s="0" t="s">
        <v>5547</v>
      </c>
      <c r="CX199" s="0" t="s">
        <v>229</v>
      </c>
      <c r="CY199" s="0" t="s">
        <v>443</v>
      </c>
      <c r="CZ199" s="0" t="s">
        <v>5548</v>
      </c>
      <c r="DA199" s="0" t="s">
        <v>5549</v>
      </c>
      <c r="DB199" s="0" t="s">
        <v>5547</v>
      </c>
      <c r="DC199" s="0" t="s">
        <v>384</v>
      </c>
      <c r="DD199" s="0" t="s">
        <v>291</v>
      </c>
      <c r="DE199" s="0" t="s">
        <v>6438</v>
      </c>
    </row>
    <row customHeight="1" ht="11.25">
      <c r="A200" s="1441" t="s">
        <v>240</v>
      </c>
      <c r="B200" s="0" t="s">
        <v>240</v>
      </c>
      <c r="C200" s="0" t="s">
        <v>240</v>
      </c>
      <c r="D200" s="0" t="s">
        <v>240</v>
      </c>
      <c r="E200" s="0" t="s">
        <v>240</v>
      </c>
      <c r="F200" s="0" t="s">
        <v>240</v>
      </c>
      <c r="G200" s="0" t="s">
        <v>240</v>
      </c>
      <c r="H200" s="0" t="s">
        <v>240</v>
      </c>
      <c r="I200" s="0" t="s">
        <v>5484</v>
      </c>
      <c r="J200" s="0" t="s">
        <v>240</v>
      </c>
      <c r="K200" s="0" t="s">
        <v>240</v>
      </c>
      <c r="L200" s="0" t="s">
        <v>240</v>
      </c>
      <c r="M200" s="0" t="s">
        <v>240</v>
      </c>
      <c r="N200" s="0" t="s">
        <v>240</v>
      </c>
      <c r="O200" s="0" t="s">
        <v>240</v>
      </c>
      <c r="P200" s="0" t="s">
        <v>240</v>
      </c>
      <c r="Q200" s="0" t="s">
        <v>240</v>
      </c>
      <c r="R200" s="0" t="s">
        <v>6439</v>
      </c>
      <c r="S200" s="0" t="s">
        <v>240</v>
      </c>
      <c r="T200" s="0" t="s">
        <v>240</v>
      </c>
      <c r="U200" s="0" t="s">
        <v>102</v>
      </c>
      <c r="V200" s="0" t="s">
        <v>240</v>
      </c>
      <c r="W200" s="0" t="s">
        <v>240</v>
      </c>
      <c r="X200" s="0" t="s">
        <v>5485</v>
      </c>
      <c r="Y200" s="0" t="s">
        <v>240</v>
      </c>
      <c r="Z200" s="0" t="s">
        <v>161</v>
      </c>
      <c r="AA200" s="0" t="s">
        <v>152</v>
      </c>
      <c r="AB200" s="0" t="s">
        <v>152</v>
      </c>
      <c r="AC200" s="0" t="s">
        <v>2991</v>
      </c>
      <c r="AD200" s="0" t="s">
        <v>2991</v>
      </c>
      <c r="AE200" s="0" t="s">
        <v>2992</v>
      </c>
      <c r="AF200" s="0" t="s">
        <v>6434</v>
      </c>
      <c r="AG200" s="0" t="s">
        <v>6435</v>
      </c>
      <c r="AH200" s="0" t="s">
        <v>5670</v>
      </c>
      <c r="AI200" s="0" t="s">
        <v>5730</v>
      </c>
      <c r="AJ200" s="0" t="s">
        <v>5504</v>
      </c>
      <c r="AK200" s="0" t="s">
        <v>5672</v>
      </c>
      <c r="AL200" s="0" t="s">
        <v>5506</v>
      </c>
      <c r="AM200" s="0" t="s">
        <v>5493</v>
      </c>
      <c r="AN200" s="0" t="s">
        <v>5491</v>
      </c>
      <c r="AO200" s="0" t="s">
        <v>6440</v>
      </c>
      <c r="AP200" s="0" t="s">
        <v>240</v>
      </c>
      <c r="AQ200" s="0" t="s">
        <v>240</v>
      </c>
      <c r="AR200" s="0" t="s">
        <v>240</v>
      </c>
      <c r="AS200" s="0" t="s">
        <v>240</v>
      </c>
      <c r="AT200" s="0" t="s">
        <v>240</v>
      </c>
      <c r="AU200" s="0" t="s">
        <v>240</v>
      </c>
      <c r="AV200" s="0" t="s">
        <v>240</v>
      </c>
      <c r="AW200" s="0" t="s">
        <v>240</v>
      </c>
      <c r="AX200" s="0" t="s">
        <v>240</v>
      </c>
      <c r="AY200" s="0" t="s">
        <v>240</v>
      </c>
      <c r="AZ200" s="0" t="s">
        <v>240</v>
      </c>
      <c r="BA200" s="0" t="s">
        <v>240</v>
      </c>
      <c r="BB200" s="0" t="s">
        <v>240</v>
      </c>
      <c r="BC200" s="0" t="s">
        <v>240</v>
      </c>
      <c r="BD200" s="0" t="s">
        <v>240</v>
      </c>
      <c r="BE200" s="0" t="s">
        <v>240</v>
      </c>
      <c r="BF200" s="0" t="s">
        <v>240</v>
      </c>
      <c r="BG200" s="0" t="s">
        <v>240</v>
      </c>
      <c r="BH200" s="0" t="s">
        <v>240</v>
      </c>
      <c r="BI200" s="0" t="s">
        <v>240</v>
      </c>
      <c r="BJ200" s="0" t="s">
        <v>240</v>
      </c>
      <c r="BK200" s="0" t="s">
        <v>240</v>
      </c>
      <c r="BL200" s="0" t="s">
        <v>240</v>
      </c>
      <c r="BM200" s="0" t="s">
        <v>240</v>
      </c>
      <c r="BN200" s="0" t="s">
        <v>240</v>
      </c>
      <c r="BO200" s="0" t="s">
        <v>240</v>
      </c>
      <c r="BP200" s="0" t="s">
        <v>240</v>
      </c>
      <c r="BQ200" s="0" t="s">
        <v>240</v>
      </c>
      <c r="BR200" s="0" t="s">
        <v>240</v>
      </c>
      <c r="BS200" s="0" t="s">
        <v>240</v>
      </c>
      <c r="BT200" s="0" t="s">
        <v>240</v>
      </c>
      <c r="BU200" s="0" t="s">
        <v>240</v>
      </c>
      <c r="BV200" s="0" t="s">
        <v>240</v>
      </c>
      <c r="BW200" s="0" t="s">
        <v>240</v>
      </c>
      <c r="BX200" s="0" t="s">
        <v>240</v>
      </c>
      <c r="BY200" s="0" t="s">
        <v>240</v>
      </c>
      <c r="BZ200" s="0" t="s">
        <v>240</v>
      </c>
      <c r="CA200" s="0" t="s">
        <v>240</v>
      </c>
      <c r="CB200" s="0" t="s">
        <v>240</v>
      </c>
      <c r="CC200" s="0" t="s">
        <v>240</v>
      </c>
      <c r="CD200" s="0" t="s">
        <v>240</v>
      </c>
      <c r="CE200" s="0" t="s">
        <v>240</v>
      </c>
      <c r="CF200" s="0" t="s">
        <v>240</v>
      </c>
      <c r="CG200" s="0" t="s">
        <v>240</v>
      </c>
      <c r="CH200" s="0" t="s">
        <v>240</v>
      </c>
      <c r="CI200" s="0" t="s">
        <v>240</v>
      </c>
      <c r="CJ200" s="0" t="s">
        <v>240</v>
      </c>
      <c r="CK200" s="0" t="s">
        <v>240</v>
      </c>
      <c r="CL200" s="0" t="s">
        <v>240</v>
      </c>
      <c r="CM200" s="0" t="s">
        <v>240</v>
      </c>
      <c r="CN200" s="0" t="s">
        <v>240</v>
      </c>
      <c r="CO200" s="0" t="s">
        <v>240</v>
      </c>
      <c r="CP200" s="0" t="s">
        <v>240</v>
      </c>
      <c r="CQ200" s="0" t="s">
        <v>240</v>
      </c>
      <c r="CR200" s="0" t="s">
        <v>240</v>
      </c>
      <c r="CS200" s="0" t="s">
        <v>240</v>
      </c>
      <c r="CT200" s="0" t="s">
        <v>5496</v>
      </c>
      <c r="CU200" s="0" t="s">
        <v>5497</v>
      </c>
      <c r="CV200" s="0" t="s">
        <v>443</v>
      </c>
      <c r="CW200" s="0" t="s">
        <v>5547</v>
      </c>
      <c r="CX200" s="0" t="s">
        <v>229</v>
      </c>
      <c r="CY200" s="0" t="s">
        <v>443</v>
      </c>
      <c r="CZ200" s="0" t="s">
        <v>5548</v>
      </c>
      <c r="DA200" s="0" t="s">
        <v>5549</v>
      </c>
      <c r="DB200" s="0" t="s">
        <v>5547</v>
      </c>
      <c r="DC200" s="0" t="s">
        <v>384</v>
      </c>
      <c r="DD200" s="0" t="s">
        <v>291</v>
      </c>
      <c r="DE200" s="0" t="s">
        <v>6441</v>
      </c>
    </row>
    <row customHeight="1" ht="11.25">
      <c r="A201" s="1441" t="s">
        <v>240</v>
      </c>
      <c r="B201" s="0" t="s">
        <v>240</v>
      </c>
      <c r="C201" s="0" t="s">
        <v>240</v>
      </c>
      <c r="D201" s="0" t="s">
        <v>240</v>
      </c>
      <c r="E201" s="0" t="s">
        <v>240</v>
      </c>
      <c r="F201" s="0" t="s">
        <v>240</v>
      </c>
      <c r="G201" s="0" t="s">
        <v>240</v>
      </c>
      <c r="H201" s="0" t="s">
        <v>240</v>
      </c>
      <c r="I201" s="0" t="s">
        <v>5484</v>
      </c>
      <c r="J201" s="0" t="s">
        <v>240</v>
      </c>
      <c r="K201" s="0" t="s">
        <v>240</v>
      </c>
      <c r="L201" s="0" t="s">
        <v>240</v>
      </c>
      <c r="M201" s="0" t="s">
        <v>240</v>
      </c>
      <c r="N201" s="0" t="s">
        <v>240</v>
      </c>
      <c r="O201" s="0" t="s">
        <v>240</v>
      </c>
      <c r="P201" s="0" t="s">
        <v>240</v>
      </c>
      <c r="Q201" s="0" t="s">
        <v>240</v>
      </c>
      <c r="R201" s="0" t="s">
        <v>6442</v>
      </c>
      <c r="S201" s="0" t="s">
        <v>240</v>
      </c>
      <c r="T201" s="0" t="s">
        <v>240</v>
      </c>
      <c r="U201" s="0" t="s">
        <v>102</v>
      </c>
      <c r="V201" s="0" t="s">
        <v>240</v>
      </c>
      <c r="W201" s="0" t="s">
        <v>240</v>
      </c>
      <c r="X201" s="0" t="s">
        <v>5485</v>
      </c>
      <c r="Y201" s="0" t="s">
        <v>240</v>
      </c>
      <c r="Z201" s="0" t="s">
        <v>161</v>
      </c>
      <c r="AA201" s="0" t="s">
        <v>152</v>
      </c>
      <c r="AB201" s="0" t="s">
        <v>152</v>
      </c>
      <c r="AC201" s="0" t="s">
        <v>3389</v>
      </c>
      <c r="AD201" s="0" t="s">
        <v>3389</v>
      </c>
      <c r="AE201" s="0" t="s">
        <v>3390</v>
      </c>
      <c r="AF201" s="0" t="s">
        <v>5519</v>
      </c>
      <c r="AG201" s="0" t="s">
        <v>5520</v>
      </c>
      <c r="AH201" s="0" t="s">
        <v>6173</v>
      </c>
      <c r="AI201" s="0" t="s">
        <v>6174</v>
      </c>
      <c r="AJ201" s="0" t="s">
        <v>6443</v>
      </c>
      <c r="AK201" s="0" t="s">
        <v>6444</v>
      </c>
      <c r="AL201" s="0" t="s">
        <v>5492</v>
      </c>
      <c r="AM201" s="0" t="s">
        <v>5493</v>
      </c>
      <c r="AN201" s="0" t="s">
        <v>5578</v>
      </c>
      <c r="AO201" s="0" t="s">
        <v>6049</v>
      </c>
      <c r="AP201" s="0" t="s">
        <v>240</v>
      </c>
      <c r="AQ201" s="0" t="s">
        <v>240</v>
      </c>
      <c r="AR201" s="0" t="s">
        <v>240</v>
      </c>
      <c r="AS201" s="0" t="s">
        <v>240</v>
      </c>
      <c r="AT201" s="0" t="s">
        <v>240</v>
      </c>
      <c r="AU201" s="0" t="s">
        <v>240</v>
      </c>
      <c r="AV201" s="0" t="s">
        <v>240</v>
      </c>
      <c r="AW201" s="0" t="s">
        <v>240</v>
      </c>
      <c r="AX201" s="0" t="s">
        <v>240</v>
      </c>
      <c r="AY201" s="0" t="s">
        <v>240</v>
      </c>
      <c r="AZ201" s="0" t="s">
        <v>240</v>
      </c>
      <c r="BA201" s="0" t="s">
        <v>240</v>
      </c>
      <c r="BB201" s="0" t="s">
        <v>240</v>
      </c>
      <c r="BC201" s="0" t="s">
        <v>240</v>
      </c>
      <c r="BD201" s="0" t="s">
        <v>240</v>
      </c>
      <c r="BE201" s="0" t="s">
        <v>240</v>
      </c>
      <c r="BF201" s="0" t="s">
        <v>240</v>
      </c>
      <c r="BG201" s="0" t="s">
        <v>240</v>
      </c>
      <c r="BH201" s="0" t="s">
        <v>240</v>
      </c>
      <c r="BI201" s="0" t="s">
        <v>240</v>
      </c>
      <c r="BJ201" s="0" t="s">
        <v>240</v>
      </c>
      <c r="BK201" s="0" t="s">
        <v>240</v>
      </c>
      <c r="BL201" s="0" t="s">
        <v>240</v>
      </c>
      <c r="BM201" s="0" t="s">
        <v>240</v>
      </c>
      <c r="BN201" s="0" t="s">
        <v>240</v>
      </c>
      <c r="BO201" s="0" t="s">
        <v>240</v>
      </c>
      <c r="BP201" s="0" t="s">
        <v>240</v>
      </c>
      <c r="BQ201" s="0" t="s">
        <v>240</v>
      </c>
      <c r="BR201" s="0" t="s">
        <v>240</v>
      </c>
      <c r="BS201" s="0" t="s">
        <v>240</v>
      </c>
      <c r="BT201" s="0" t="s">
        <v>240</v>
      </c>
      <c r="BU201" s="0" t="s">
        <v>240</v>
      </c>
      <c r="BV201" s="0" t="s">
        <v>240</v>
      </c>
      <c r="BW201" s="0" t="s">
        <v>240</v>
      </c>
      <c r="BX201" s="0" t="s">
        <v>240</v>
      </c>
      <c r="BY201" s="0" t="s">
        <v>240</v>
      </c>
      <c r="BZ201" s="0" t="s">
        <v>240</v>
      </c>
      <c r="CA201" s="0" t="s">
        <v>240</v>
      </c>
      <c r="CB201" s="0" t="s">
        <v>240</v>
      </c>
      <c r="CC201" s="0" t="s">
        <v>240</v>
      </c>
      <c r="CD201" s="0" t="s">
        <v>240</v>
      </c>
      <c r="CE201" s="0" t="s">
        <v>240</v>
      </c>
      <c r="CF201" s="0" t="s">
        <v>240</v>
      </c>
      <c r="CG201" s="0" t="s">
        <v>240</v>
      </c>
      <c r="CH201" s="0" t="s">
        <v>240</v>
      </c>
      <c r="CI201" s="0" t="s">
        <v>240</v>
      </c>
      <c r="CJ201" s="0" t="s">
        <v>240</v>
      </c>
      <c r="CK201" s="0" t="s">
        <v>240</v>
      </c>
      <c r="CL201" s="0" t="s">
        <v>240</v>
      </c>
      <c r="CM201" s="0" t="s">
        <v>240</v>
      </c>
      <c r="CN201" s="0" t="s">
        <v>240</v>
      </c>
      <c r="CO201" s="0" t="s">
        <v>240</v>
      </c>
      <c r="CP201" s="0" t="s">
        <v>240</v>
      </c>
      <c r="CQ201" s="0" t="s">
        <v>240</v>
      </c>
      <c r="CR201" s="0" t="s">
        <v>240</v>
      </c>
      <c r="CS201" s="0" t="s">
        <v>240</v>
      </c>
      <c r="CT201" s="0" t="s">
        <v>5496</v>
      </c>
      <c r="CU201" s="0" t="s">
        <v>5497</v>
      </c>
      <c r="CV201" s="0" t="s">
        <v>443</v>
      </c>
      <c r="CW201" s="0" t="s">
        <v>5527</v>
      </c>
      <c r="CX201" s="0" t="s">
        <v>5528</v>
      </c>
      <c r="CY201" s="0" t="s">
        <v>443</v>
      </c>
      <c r="CZ201" s="0" t="s">
        <v>299</v>
      </c>
      <c r="DA201" s="0" t="s">
        <v>5529</v>
      </c>
      <c r="DB201" s="0" t="s">
        <v>5527</v>
      </c>
      <c r="DC201" s="0" t="s">
        <v>384</v>
      </c>
      <c r="DD201" s="0" t="s">
        <v>291</v>
      </c>
      <c r="DE201" s="0" t="s">
        <v>6178</v>
      </c>
    </row>
    <row customHeight="1" ht="11.25">
      <c r="A202" s="1441" t="s">
        <v>240</v>
      </c>
      <c r="B202" s="0" t="s">
        <v>240</v>
      </c>
      <c r="C202" s="0" t="s">
        <v>240</v>
      </c>
      <c r="D202" s="0" t="s">
        <v>240</v>
      </c>
      <c r="E202" s="0" t="s">
        <v>240</v>
      </c>
      <c r="F202" s="0" t="s">
        <v>240</v>
      </c>
      <c r="G202" s="0" t="s">
        <v>240</v>
      </c>
      <c r="H202" s="0" t="s">
        <v>240</v>
      </c>
      <c r="I202" s="0" t="s">
        <v>5484</v>
      </c>
      <c r="J202" s="0" t="s">
        <v>240</v>
      </c>
      <c r="K202" s="0" t="s">
        <v>240</v>
      </c>
      <c r="L202" s="0" t="s">
        <v>240</v>
      </c>
      <c r="M202" s="0" t="s">
        <v>240</v>
      </c>
      <c r="N202" s="0" t="s">
        <v>240</v>
      </c>
      <c r="O202" s="0" t="s">
        <v>240</v>
      </c>
      <c r="P202" s="0" t="s">
        <v>240</v>
      </c>
      <c r="Q202" s="0" t="s">
        <v>240</v>
      </c>
      <c r="R202" s="0" t="s">
        <v>5572</v>
      </c>
      <c r="S202" s="0" t="s">
        <v>240</v>
      </c>
      <c r="T202" s="0" t="s">
        <v>240</v>
      </c>
      <c r="U202" s="0" t="s">
        <v>102</v>
      </c>
      <c r="V202" s="0" t="s">
        <v>240</v>
      </c>
      <c r="W202" s="0" t="s">
        <v>240</v>
      </c>
      <c r="X202" s="0" t="s">
        <v>5485</v>
      </c>
      <c r="Y202" s="0" t="s">
        <v>240</v>
      </c>
      <c r="Z202" s="0" t="s">
        <v>161</v>
      </c>
      <c r="AA202" s="0" t="s">
        <v>152</v>
      </c>
      <c r="AB202" s="0" t="s">
        <v>152</v>
      </c>
      <c r="AC202" s="0" t="s">
        <v>2991</v>
      </c>
      <c r="AD202" s="0" t="s">
        <v>2991</v>
      </c>
      <c r="AE202" s="0" t="s">
        <v>2992</v>
      </c>
      <c r="AF202" s="0" t="s">
        <v>6445</v>
      </c>
      <c r="AG202" s="0" t="s">
        <v>6446</v>
      </c>
      <c r="AH202" s="0" t="s">
        <v>6447</v>
      </c>
      <c r="AI202" s="0" t="s">
        <v>5551</v>
      </c>
      <c r="AJ202" s="0" t="s">
        <v>6421</v>
      </c>
      <c r="AK202" s="0" t="s">
        <v>6448</v>
      </c>
      <c r="AL202" s="0" t="s">
        <v>5506</v>
      </c>
      <c r="AM202" s="0" t="s">
        <v>5493</v>
      </c>
      <c r="AN202" s="0" t="s">
        <v>5545</v>
      </c>
      <c r="AO202" s="0" t="s">
        <v>5516</v>
      </c>
      <c r="AP202" s="0" t="s">
        <v>240</v>
      </c>
      <c r="AQ202" s="0" t="s">
        <v>240</v>
      </c>
      <c r="AR202" s="0" t="s">
        <v>240</v>
      </c>
      <c r="AS202" s="0" t="s">
        <v>240</v>
      </c>
      <c r="AT202" s="0" t="s">
        <v>240</v>
      </c>
      <c r="AU202" s="0" t="s">
        <v>240</v>
      </c>
      <c r="AV202" s="0" t="s">
        <v>240</v>
      </c>
      <c r="AW202" s="0" t="s">
        <v>240</v>
      </c>
      <c r="AX202" s="0" t="s">
        <v>240</v>
      </c>
      <c r="AY202" s="0" t="s">
        <v>240</v>
      </c>
      <c r="AZ202" s="0" t="s">
        <v>240</v>
      </c>
      <c r="BA202" s="0" t="s">
        <v>240</v>
      </c>
      <c r="BB202" s="0" t="s">
        <v>240</v>
      </c>
      <c r="BC202" s="0" t="s">
        <v>240</v>
      </c>
      <c r="BD202" s="0" t="s">
        <v>240</v>
      </c>
      <c r="BE202" s="0" t="s">
        <v>240</v>
      </c>
      <c r="BF202" s="0" t="s">
        <v>240</v>
      </c>
      <c r="BG202" s="0" t="s">
        <v>240</v>
      </c>
      <c r="BH202" s="0" t="s">
        <v>240</v>
      </c>
      <c r="BI202" s="0" t="s">
        <v>240</v>
      </c>
      <c r="BJ202" s="0" t="s">
        <v>240</v>
      </c>
      <c r="BK202" s="0" t="s">
        <v>240</v>
      </c>
      <c r="BL202" s="0" t="s">
        <v>240</v>
      </c>
      <c r="BM202" s="0" t="s">
        <v>240</v>
      </c>
      <c r="BN202" s="0" t="s">
        <v>240</v>
      </c>
      <c r="BO202" s="0" t="s">
        <v>240</v>
      </c>
      <c r="BP202" s="0" t="s">
        <v>240</v>
      </c>
      <c r="BQ202" s="0" t="s">
        <v>240</v>
      </c>
      <c r="BR202" s="0" t="s">
        <v>240</v>
      </c>
      <c r="BS202" s="0" t="s">
        <v>240</v>
      </c>
      <c r="BT202" s="0" t="s">
        <v>240</v>
      </c>
      <c r="BU202" s="0" t="s">
        <v>240</v>
      </c>
      <c r="BV202" s="0" t="s">
        <v>240</v>
      </c>
      <c r="BW202" s="0" t="s">
        <v>240</v>
      </c>
      <c r="BX202" s="0" t="s">
        <v>240</v>
      </c>
      <c r="BY202" s="0" t="s">
        <v>240</v>
      </c>
      <c r="BZ202" s="0" t="s">
        <v>240</v>
      </c>
      <c r="CA202" s="0" t="s">
        <v>240</v>
      </c>
      <c r="CB202" s="0" t="s">
        <v>240</v>
      </c>
      <c r="CC202" s="0" t="s">
        <v>240</v>
      </c>
      <c r="CD202" s="0" t="s">
        <v>240</v>
      </c>
      <c r="CE202" s="0" t="s">
        <v>240</v>
      </c>
      <c r="CF202" s="0" t="s">
        <v>240</v>
      </c>
      <c r="CG202" s="0" t="s">
        <v>240</v>
      </c>
      <c r="CH202" s="0" t="s">
        <v>240</v>
      </c>
      <c r="CI202" s="0" t="s">
        <v>240</v>
      </c>
      <c r="CJ202" s="0" t="s">
        <v>240</v>
      </c>
      <c r="CK202" s="0" t="s">
        <v>240</v>
      </c>
      <c r="CL202" s="0" t="s">
        <v>240</v>
      </c>
      <c r="CM202" s="0" t="s">
        <v>240</v>
      </c>
      <c r="CN202" s="0" t="s">
        <v>240</v>
      </c>
      <c r="CO202" s="0" t="s">
        <v>240</v>
      </c>
      <c r="CP202" s="0" t="s">
        <v>240</v>
      </c>
      <c r="CQ202" s="0" t="s">
        <v>240</v>
      </c>
      <c r="CR202" s="0" t="s">
        <v>240</v>
      </c>
      <c r="CS202" s="0" t="s">
        <v>240</v>
      </c>
      <c r="CT202" s="0" t="s">
        <v>5496</v>
      </c>
      <c r="CU202" s="0" t="s">
        <v>5497</v>
      </c>
      <c r="CV202" s="0" t="s">
        <v>443</v>
      </c>
      <c r="CW202" s="0" t="s">
        <v>5547</v>
      </c>
      <c r="CX202" s="0" t="s">
        <v>229</v>
      </c>
      <c r="CY202" s="0" t="s">
        <v>443</v>
      </c>
      <c r="CZ202" s="0" t="s">
        <v>5548</v>
      </c>
      <c r="DA202" s="0" t="s">
        <v>5549</v>
      </c>
      <c r="DB202" s="0" t="s">
        <v>5547</v>
      </c>
      <c r="DC202" s="0" t="s">
        <v>384</v>
      </c>
      <c r="DD202" s="0" t="s">
        <v>291</v>
      </c>
      <c r="DE202" s="0" t="s">
        <v>6449</v>
      </c>
    </row>
    <row customHeight="1" ht="11.25">
      <c r="A203" s="1441" t="s">
        <v>240</v>
      </c>
      <c r="B203" s="0" t="s">
        <v>240</v>
      </c>
      <c r="C203" s="0" t="s">
        <v>240</v>
      </c>
      <c r="D203" s="0" t="s">
        <v>240</v>
      </c>
      <c r="E203" s="0" t="s">
        <v>240</v>
      </c>
      <c r="F203" s="0" t="s">
        <v>240</v>
      </c>
      <c r="G203" s="0" t="s">
        <v>240</v>
      </c>
      <c r="H203" s="0" t="s">
        <v>240</v>
      </c>
      <c r="I203" s="0" t="s">
        <v>5484</v>
      </c>
      <c r="J203" s="0" t="s">
        <v>240</v>
      </c>
      <c r="K203" s="0" t="s">
        <v>240</v>
      </c>
      <c r="L203" s="0" t="s">
        <v>240</v>
      </c>
      <c r="M203" s="0" t="s">
        <v>240</v>
      </c>
      <c r="N203" s="0" t="s">
        <v>240</v>
      </c>
      <c r="O203" s="0" t="s">
        <v>240</v>
      </c>
      <c r="P203" s="0" t="s">
        <v>240</v>
      </c>
      <c r="Q203" s="0" t="s">
        <v>240</v>
      </c>
      <c r="R203" s="0" t="s">
        <v>6450</v>
      </c>
      <c r="S203" s="0" t="s">
        <v>240</v>
      </c>
      <c r="T203" s="0" t="s">
        <v>240</v>
      </c>
      <c r="U203" s="0" t="s">
        <v>102</v>
      </c>
      <c r="V203" s="0" t="s">
        <v>240</v>
      </c>
      <c r="W203" s="0" t="s">
        <v>240</v>
      </c>
      <c r="X203" s="0" t="s">
        <v>5485</v>
      </c>
      <c r="Y203" s="0" t="s">
        <v>240</v>
      </c>
      <c r="Z203" s="0" t="s">
        <v>161</v>
      </c>
      <c r="AA203" s="0" t="s">
        <v>152</v>
      </c>
      <c r="AB203" s="0" t="s">
        <v>152</v>
      </c>
      <c r="AC203" s="0" t="s">
        <v>2991</v>
      </c>
      <c r="AD203" s="0" t="s">
        <v>2991</v>
      </c>
      <c r="AE203" s="0" t="s">
        <v>2992</v>
      </c>
      <c r="AF203" s="0" t="s">
        <v>6451</v>
      </c>
      <c r="AG203" s="0" t="s">
        <v>6452</v>
      </c>
      <c r="AH203" s="0" t="s">
        <v>5684</v>
      </c>
      <c r="AI203" s="0" t="s">
        <v>6186</v>
      </c>
      <c r="AJ203" s="0" t="s">
        <v>5576</v>
      </c>
      <c r="AK203" s="0" t="s">
        <v>5544</v>
      </c>
      <c r="AL203" s="0" t="s">
        <v>5506</v>
      </c>
      <c r="AM203" s="0" t="s">
        <v>5493</v>
      </c>
      <c r="AN203" s="0" t="s">
        <v>5553</v>
      </c>
      <c r="AO203" s="0" t="s">
        <v>6074</v>
      </c>
      <c r="AP203" s="0" t="s">
        <v>240</v>
      </c>
      <c r="AQ203" s="0" t="s">
        <v>240</v>
      </c>
      <c r="AR203" s="0" t="s">
        <v>240</v>
      </c>
      <c r="AS203" s="0" t="s">
        <v>240</v>
      </c>
      <c r="AT203" s="0" t="s">
        <v>240</v>
      </c>
      <c r="AU203" s="0" t="s">
        <v>240</v>
      </c>
      <c r="AV203" s="0" t="s">
        <v>240</v>
      </c>
      <c r="AW203" s="0" t="s">
        <v>240</v>
      </c>
      <c r="AX203" s="0" t="s">
        <v>240</v>
      </c>
      <c r="AY203" s="0" t="s">
        <v>240</v>
      </c>
      <c r="AZ203" s="0" t="s">
        <v>240</v>
      </c>
      <c r="BA203" s="0" t="s">
        <v>240</v>
      </c>
      <c r="BB203" s="0" t="s">
        <v>240</v>
      </c>
      <c r="BC203" s="0" t="s">
        <v>240</v>
      </c>
      <c r="BD203" s="0" t="s">
        <v>240</v>
      </c>
      <c r="BE203" s="0" t="s">
        <v>240</v>
      </c>
      <c r="BF203" s="0" t="s">
        <v>240</v>
      </c>
      <c r="BG203" s="0" t="s">
        <v>240</v>
      </c>
      <c r="BH203" s="0" t="s">
        <v>240</v>
      </c>
      <c r="BI203" s="0" t="s">
        <v>240</v>
      </c>
      <c r="BJ203" s="0" t="s">
        <v>240</v>
      </c>
      <c r="BK203" s="0" t="s">
        <v>240</v>
      </c>
      <c r="BL203" s="0" t="s">
        <v>240</v>
      </c>
      <c r="BM203" s="0" t="s">
        <v>240</v>
      </c>
      <c r="BN203" s="0" t="s">
        <v>240</v>
      </c>
      <c r="BO203" s="0" t="s">
        <v>240</v>
      </c>
      <c r="BP203" s="0" t="s">
        <v>240</v>
      </c>
      <c r="BQ203" s="0" t="s">
        <v>240</v>
      </c>
      <c r="BR203" s="0" t="s">
        <v>240</v>
      </c>
      <c r="BS203" s="0" t="s">
        <v>240</v>
      </c>
      <c r="BT203" s="0" t="s">
        <v>240</v>
      </c>
      <c r="BU203" s="0" t="s">
        <v>240</v>
      </c>
      <c r="BV203" s="0" t="s">
        <v>240</v>
      </c>
      <c r="BW203" s="0" t="s">
        <v>240</v>
      </c>
      <c r="BX203" s="0" t="s">
        <v>240</v>
      </c>
      <c r="BY203" s="0" t="s">
        <v>240</v>
      </c>
      <c r="BZ203" s="0" t="s">
        <v>240</v>
      </c>
      <c r="CA203" s="0" t="s">
        <v>240</v>
      </c>
      <c r="CB203" s="0" t="s">
        <v>240</v>
      </c>
      <c r="CC203" s="0" t="s">
        <v>240</v>
      </c>
      <c r="CD203" s="0" t="s">
        <v>240</v>
      </c>
      <c r="CE203" s="0" t="s">
        <v>240</v>
      </c>
      <c r="CF203" s="0" t="s">
        <v>240</v>
      </c>
      <c r="CG203" s="0" t="s">
        <v>240</v>
      </c>
      <c r="CH203" s="0" t="s">
        <v>240</v>
      </c>
      <c r="CI203" s="0" t="s">
        <v>240</v>
      </c>
      <c r="CJ203" s="0" t="s">
        <v>240</v>
      </c>
      <c r="CK203" s="0" t="s">
        <v>240</v>
      </c>
      <c r="CL203" s="0" t="s">
        <v>240</v>
      </c>
      <c r="CM203" s="0" t="s">
        <v>240</v>
      </c>
      <c r="CN203" s="0" t="s">
        <v>240</v>
      </c>
      <c r="CO203" s="0" t="s">
        <v>240</v>
      </c>
      <c r="CP203" s="0" t="s">
        <v>240</v>
      </c>
      <c r="CQ203" s="0" t="s">
        <v>240</v>
      </c>
      <c r="CR203" s="0" t="s">
        <v>240</v>
      </c>
      <c r="CS203" s="0" t="s">
        <v>240</v>
      </c>
      <c r="CT203" s="0" t="s">
        <v>5496</v>
      </c>
      <c r="CU203" s="0" t="s">
        <v>5497</v>
      </c>
      <c r="CV203" s="0" t="s">
        <v>443</v>
      </c>
      <c r="CW203" s="0" t="s">
        <v>5547</v>
      </c>
      <c r="CX203" s="0" t="s">
        <v>229</v>
      </c>
      <c r="CY203" s="0" t="s">
        <v>443</v>
      </c>
      <c r="CZ203" s="0" t="s">
        <v>5548</v>
      </c>
      <c r="DA203" s="0" t="s">
        <v>5549</v>
      </c>
      <c r="DB203" s="0" t="s">
        <v>5547</v>
      </c>
      <c r="DC203" s="0" t="s">
        <v>384</v>
      </c>
      <c r="DD203" s="0" t="s">
        <v>291</v>
      </c>
      <c r="DE203" s="0" t="s">
        <v>6453</v>
      </c>
    </row>
    <row customHeight="1" ht="11.25">
      <c r="A204" s="1441" t="s">
        <v>240</v>
      </c>
      <c r="B204" s="0" t="s">
        <v>240</v>
      </c>
      <c r="C204" s="0" t="s">
        <v>240</v>
      </c>
      <c r="D204" s="0" t="s">
        <v>240</v>
      </c>
      <c r="E204" s="0" t="s">
        <v>240</v>
      </c>
      <c r="F204" s="0" t="s">
        <v>240</v>
      </c>
      <c r="G204" s="0" t="s">
        <v>240</v>
      </c>
      <c r="H204" s="0" t="s">
        <v>240</v>
      </c>
      <c r="I204" s="0" t="s">
        <v>5484</v>
      </c>
      <c r="J204" s="0" t="s">
        <v>240</v>
      </c>
      <c r="K204" s="0" t="s">
        <v>240</v>
      </c>
      <c r="L204" s="0" t="s">
        <v>240</v>
      </c>
      <c r="M204" s="0" t="s">
        <v>240</v>
      </c>
      <c r="N204" s="0" t="s">
        <v>240</v>
      </c>
      <c r="O204" s="0" t="s">
        <v>240</v>
      </c>
      <c r="P204" s="0" t="s">
        <v>240</v>
      </c>
      <c r="Q204" s="0" t="s">
        <v>240</v>
      </c>
      <c r="R204" s="0" t="s">
        <v>6454</v>
      </c>
      <c r="S204" s="0" t="s">
        <v>240</v>
      </c>
      <c r="T204" s="0" t="s">
        <v>240</v>
      </c>
      <c r="U204" s="0" t="s">
        <v>102</v>
      </c>
      <c r="V204" s="0" t="s">
        <v>240</v>
      </c>
      <c r="W204" s="0" t="s">
        <v>240</v>
      </c>
      <c r="X204" s="0" t="s">
        <v>5485</v>
      </c>
      <c r="Y204" s="0" t="s">
        <v>240</v>
      </c>
      <c r="Z204" s="0" t="s">
        <v>161</v>
      </c>
      <c r="AA204" s="0" t="s">
        <v>152</v>
      </c>
      <c r="AB204" s="0" t="s">
        <v>152</v>
      </c>
      <c r="AC204" s="0" t="s">
        <v>3389</v>
      </c>
      <c r="AD204" s="0" t="s">
        <v>3389</v>
      </c>
      <c r="AE204" s="0" t="s">
        <v>3390</v>
      </c>
      <c r="AF204" s="0" t="s">
        <v>5519</v>
      </c>
      <c r="AG204" s="0" t="s">
        <v>5520</v>
      </c>
      <c r="AH204" s="0" t="s">
        <v>6455</v>
      </c>
      <c r="AI204" s="0" t="s">
        <v>6456</v>
      </c>
      <c r="AJ204" s="0" t="s">
        <v>5872</v>
      </c>
      <c r="AK204" s="0" t="s">
        <v>6457</v>
      </c>
      <c r="AL204" s="0" t="s">
        <v>5524</v>
      </c>
      <c r="AM204" s="0" t="s">
        <v>5493</v>
      </c>
      <c r="AN204" s="0" t="s">
        <v>6458</v>
      </c>
      <c r="AO204" s="0" t="s">
        <v>6459</v>
      </c>
      <c r="AP204" s="0" t="s">
        <v>240</v>
      </c>
      <c r="AQ204" s="0" t="s">
        <v>240</v>
      </c>
      <c r="AR204" s="0" t="s">
        <v>240</v>
      </c>
      <c r="AS204" s="0" t="s">
        <v>240</v>
      </c>
      <c r="AT204" s="0" t="s">
        <v>240</v>
      </c>
      <c r="AU204" s="0" t="s">
        <v>240</v>
      </c>
      <c r="AV204" s="0" t="s">
        <v>240</v>
      </c>
      <c r="AW204" s="0" t="s">
        <v>240</v>
      </c>
      <c r="AX204" s="0" t="s">
        <v>240</v>
      </c>
      <c r="AY204" s="0" t="s">
        <v>240</v>
      </c>
      <c r="AZ204" s="0" t="s">
        <v>240</v>
      </c>
      <c r="BA204" s="0" t="s">
        <v>240</v>
      </c>
      <c r="BB204" s="0" t="s">
        <v>240</v>
      </c>
      <c r="BC204" s="0" t="s">
        <v>240</v>
      </c>
      <c r="BD204" s="0" t="s">
        <v>240</v>
      </c>
      <c r="BE204" s="0" t="s">
        <v>240</v>
      </c>
      <c r="BF204" s="0" t="s">
        <v>240</v>
      </c>
      <c r="BG204" s="0" t="s">
        <v>240</v>
      </c>
      <c r="BH204" s="0" t="s">
        <v>240</v>
      </c>
      <c r="BI204" s="0" t="s">
        <v>240</v>
      </c>
      <c r="BJ204" s="0" t="s">
        <v>240</v>
      </c>
      <c r="BK204" s="0" t="s">
        <v>240</v>
      </c>
      <c r="BL204" s="0" t="s">
        <v>240</v>
      </c>
      <c r="BM204" s="0" t="s">
        <v>240</v>
      </c>
      <c r="BN204" s="0" t="s">
        <v>240</v>
      </c>
      <c r="BO204" s="0" t="s">
        <v>240</v>
      </c>
      <c r="BP204" s="0" t="s">
        <v>240</v>
      </c>
      <c r="BQ204" s="0" t="s">
        <v>240</v>
      </c>
      <c r="BR204" s="0" t="s">
        <v>240</v>
      </c>
      <c r="BS204" s="0" t="s">
        <v>240</v>
      </c>
      <c r="BT204" s="0" t="s">
        <v>240</v>
      </c>
      <c r="BU204" s="0" t="s">
        <v>240</v>
      </c>
      <c r="BV204" s="0" t="s">
        <v>240</v>
      </c>
      <c r="BW204" s="0" t="s">
        <v>240</v>
      </c>
      <c r="BX204" s="0" t="s">
        <v>240</v>
      </c>
      <c r="BY204" s="0" t="s">
        <v>240</v>
      </c>
      <c r="BZ204" s="0" t="s">
        <v>240</v>
      </c>
      <c r="CA204" s="0" t="s">
        <v>240</v>
      </c>
      <c r="CB204" s="0" t="s">
        <v>240</v>
      </c>
      <c r="CC204" s="0" t="s">
        <v>240</v>
      </c>
      <c r="CD204" s="0" t="s">
        <v>240</v>
      </c>
      <c r="CE204" s="0" t="s">
        <v>240</v>
      </c>
      <c r="CF204" s="0" t="s">
        <v>240</v>
      </c>
      <c r="CG204" s="0" t="s">
        <v>240</v>
      </c>
      <c r="CH204" s="0" t="s">
        <v>240</v>
      </c>
      <c r="CI204" s="0" t="s">
        <v>240</v>
      </c>
      <c r="CJ204" s="0" t="s">
        <v>240</v>
      </c>
      <c r="CK204" s="0" t="s">
        <v>240</v>
      </c>
      <c r="CL204" s="0" t="s">
        <v>240</v>
      </c>
      <c r="CM204" s="0" t="s">
        <v>240</v>
      </c>
      <c r="CN204" s="0" t="s">
        <v>240</v>
      </c>
      <c r="CO204" s="0" t="s">
        <v>240</v>
      </c>
      <c r="CP204" s="0" t="s">
        <v>240</v>
      </c>
      <c r="CQ204" s="0" t="s">
        <v>240</v>
      </c>
      <c r="CR204" s="0" t="s">
        <v>240</v>
      </c>
      <c r="CS204" s="0" t="s">
        <v>240</v>
      </c>
      <c r="CT204" s="0" t="s">
        <v>5496</v>
      </c>
      <c r="CU204" s="0" t="s">
        <v>5497</v>
      </c>
      <c r="CV204" s="0" t="s">
        <v>443</v>
      </c>
      <c r="CW204" s="0" t="s">
        <v>5527</v>
      </c>
      <c r="CX204" s="0" t="s">
        <v>5528</v>
      </c>
      <c r="CY204" s="0" t="s">
        <v>443</v>
      </c>
      <c r="CZ204" s="0" t="s">
        <v>299</v>
      </c>
      <c r="DA204" s="0" t="s">
        <v>5529</v>
      </c>
      <c r="DB204" s="0" t="s">
        <v>5527</v>
      </c>
      <c r="DC204" s="0" t="s">
        <v>384</v>
      </c>
      <c r="DD204" s="0" t="s">
        <v>291</v>
      </c>
      <c r="DE204" s="0" t="s">
        <v>6460</v>
      </c>
    </row>
    <row customHeight="1" ht="11.25">
      <c r="A205" s="1441" t="s">
        <v>240</v>
      </c>
      <c r="B205" s="0" t="s">
        <v>240</v>
      </c>
      <c r="C205" s="0" t="s">
        <v>240</v>
      </c>
      <c r="D205" s="0" t="s">
        <v>240</v>
      </c>
      <c r="E205" s="0" t="s">
        <v>240</v>
      </c>
      <c r="F205" s="0" t="s">
        <v>240</v>
      </c>
      <c r="G205" s="0" t="s">
        <v>240</v>
      </c>
      <c r="H205" s="0" t="s">
        <v>240</v>
      </c>
      <c r="I205" s="0" t="s">
        <v>5484</v>
      </c>
      <c r="J205" s="0" t="s">
        <v>240</v>
      </c>
      <c r="K205" s="0" t="s">
        <v>240</v>
      </c>
      <c r="L205" s="0" t="s">
        <v>240</v>
      </c>
      <c r="M205" s="0" t="s">
        <v>240</v>
      </c>
      <c r="N205" s="0" t="s">
        <v>240</v>
      </c>
      <c r="O205" s="0" t="s">
        <v>240</v>
      </c>
      <c r="P205" s="0" t="s">
        <v>240</v>
      </c>
      <c r="Q205" s="0" t="s">
        <v>240</v>
      </c>
      <c r="R205" s="0" t="s">
        <v>6461</v>
      </c>
      <c r="S205" s="0" t="s">
        <v>240</v>
      </c>
      <c r="T205" s="0" t="s">
        <v>240</v>
      </c>
      <c r="U205" s="0" t="s">
        <v>102</v>
      </c>
      <c r="V205" s="0" t="s">
        <v>240</v>
      </c>
      <c r="W205" s="0" t="s">
        <v>240</v>
      </c>
      <c r="X205" s="0" t="s">
        <v>5485</v>
      </c>
      <c r="Y205" s="0" t="s">
        <v>240</v>
      </c>
      <c r="Z205" s="0" t="s">
        <v>161</v>
      </c>
      <c r="AA205" s="0" t="s">
        <v>152</v>
      </c>
      <c r="AB205" s="0" t="s">
        <v>152</v>
      </c>
      <c r="AC205" s="0" t="s">
        <v>2991</v>
      </c>
      <c r="AD205" s="0" t="s">
        <v>2991</v>
      </c>
      <c r="AE205" s="0" t="s">
        <v>2992</v>
      </c>
      <c r="AF205" s="0" t="s">
        <v>6451</v>
      </c>
      <c r="AG205" s="0" t="s">
        <v>6452</v>
      </c>
      <c r="AH205" s="0" t="s">
        <v>6462</v>
      </c>
      <c r="AI205" s="0" t="s">
        <v>6463</v>
      </c>
      <c r="AJ205" s="0" t="s">
        <v>5576</v>
      </c>
      <c r="AK205" s="0" t="s">
        <v>5544</v>
      </c>
      <c r="AL205" s="0" t="s">
        <v>5506</v>
      </c>
      <c r="AM205" s="0" t="s">
        <v>5493</v>
      </c>
      <c r="AN205" s="0" t="s">
        <v>5553</v>
      </c>
      <c r="AO205" s="0" t="s">
        <v>6074</v>
      </c>
      <c r="AP205" s="0" t="s">
        <v>240</v>
      </c>
      <c r="AQ205" s="0" t="s">
        <v>240</v>
      </c>
      <c r="AR205" s="0" t="s">
        <v>240</v>
      </c>
      <c r="AS205" s="0" t="s">
        <v>240</v>
      </c>
      <c r="AT205" s="0" t="s">
        <v>240</v>
      </c>
      <c r="AU205" s="0" t="s">
        <v>240</v>
      </c>
      <c r="AV205" s="0" t="s">
        <v>240</v>
      </c>
      <c r="AW205" s="0" t="s">
        <v>240</v>
      </c>
      <c r="AX205" s="0" t="s">
        <v>240</v>
      </c>
      <c r="AY205" s="0" t="s">
        <v>240</v>
      </c>
      <c r="AZ205" s="0" t="s">
        <v>240</v>
      </c>
      <c r="BA205" s="0" t="s">
        <v>240</v>
      </c>
      <c r="BB205" s="0" t="s">
        <v>240</v>
      </c>
      <c r="BC205" s="0" t="s">
        <v>240</v>
      </c>
      <c r="BD205" s="0" t="s">
        <v>240</v>
      </c>
      <c r="BE205" s="0" t="s">
        <v>240</v>
      </c>
      <c r="BF205" s="0" t="s">
        <v>240</v>
      </c>
      <c r="BG205" s="0" t="s">
        <v>240</v>
      </c>
      <c r="BH205" s="0" t="s">
        <v>240</v>
      </c>
      <c r="BI205" s="0" t="s">
        <v>240</v>
      </c>
      <c r="BJ205" s="0" t="s">
        <v>240</v>
      </c>
      <c r="BK205" s="0" t="s">
        <v>240</v>
      </c>
      <c r="BL205" s="0" t="s">
        <v>240</v>
      </c>
      <c r="BM205" s="0" t="s">
        <v>240</v>
      </c>
      <c r="BN205" s="0" t="s">
        <v>240</v>
      </c>
      <c r="BO205" s="0" t="s">
        <v>240</v>
      </c>
      <c r="BP205" s="0" t="s">
        <v>240</v>
      </c>
      <c r="BQ205" s="0" t="s">
        <v>240</v>
      </c>
      <c r="BR205" s="0" t="s">
        <v>240</v>
      </c>
      <c r="BS205" s="0" t="s">
        <v>240</v>
      </c>
      <c r="BT205" s="0" t="s">
        <v>240</v>
      </c>
      <c r="BU205" s="0" t="s">
        <v>240</v>
      </c>
      <c r="BV205" s="0" t="s">
        <v>240</v>
      </c>
      <c r="BW205" s="0" t="s">
        <v>240</v>
      </c>
      <c r="BX205" s="0" t="s">
        <v>240</v>
      </c>
      <c r="BY205" s="0" t="s">
        <v>240</v>
      </c>
      <c r="BZ205" s="0" t="s">
        <v>240</v>
      </c>
      <c r="CA205" s="0" t="s">
        <v>240</v>
      </c>
      <c r="CB205" s="0" t="s">
        <v>240</v>
      </c>
      <c r="CC205" s="0" t="s">
        <v>240</v>
      </c>
      <c r="CD205" s="0" t="s">
        <v>240</v>
      </c>
      <c r="CE205" s="0" t="s">
        <v>240</v>
      </c>
      <c r="CF205" s="0" t="s">
        <v>240</v>
      </c>
      <c r="CG205" s="0" t="s">
        <v>240</v>
      </c>
      <c r="CH205" s="0" t="s">
        <v>240</v>
      </c>
      <c r="CI205" s="0" t="s">
        <v>240</v>
      </c>
      <c r="CJ205" s="0" t="s">
        <v>240</v>
      </c>
      <c r="CK205" s="0" t="s">
        <v>240</v>
      </c>
      <c r="CL205" s="0" t="s">
        <v>240</v>
      </c>
      <c r="CM205" s="0" t="s">
        <v>240</v>
      </c>
      <c r="CN205" s="0" t="s">
        <v>240</v>
      </c>
      <c r="CO205" s="0" t="s">
        <v>240</v>
      </c>
      <c r="CP205" s="0" t="s">
        <v>240</v>
      </c>
      <c r="CQ205" s="0" t="s">
        <v>240</v>
      </c>
      <c r="CR205" s="0" t="s">
        <v>240</v>
      </c>
      <c r="CS205" s="0" t="s">
        <v>240</v>
      </c>
      <c r="CT205" s="0" t="s">
        <v>5496</v>
      </c>
      <c r="CU205" s="0" t="s">
        <v>5497</v>
      </c>
      <c r="CV205" s="0" t="s">
        <v>443</v>
      </c>
      <c r="CW205" s="0" t="s">
        <v>5547</v>
      </c>
      <c r="CX205" s="0" t="s">
        <v>229</v>
      </c>
      <c r="CY205" s="0" t="s">
        <v>443</v>
      </c>
      <c r="CZ205" s="0" t="s">
        <v>5548</v>
      </c>
      <c r="DA205" s="0" t="s">
        <v>5549</v>
      </c>
      <c r="DB205" s="0" t="s">
        <v>5547</v>
      </c>
      <c r="DC205" s="0" t="s">
        <v>384</v>
      </c>
      <c r="DD205" s="0" t="s">
        <v>291</v>
      </c>
      <c r="DE205" s="0" t="s">
        <v>6464</v>
      </c>
    </row>
    <row customHeight="1" ht="11.25">
      <c r="A206" s="1441" t="s">
        <v>240</v>
      </c>
      <c r="B206" s="0" t="s">
        <v>240</v>
      </c>
      <c r="C206" s="0" t="s">
        <v>240</v>
      </c>
      <c r="D206" s="0" t="s">
        <v>240</v>
      </c>
      <c r="E206" s="0" t="s">
        <v>240</v>
      </c>
      <c r="F206" s="0" t="s">
        <v>240</v>
      </c>
      <c r="G206" s="0" t="s">
        <v>240</v>
      </c>
      <c r="H206" s="0" t="s">
        <v>240</v>
      </c>
      <c r="I206" s="0" t="s">
        <v>5484</v>
      </c>
      <c r="J206" s="0" t="s">
        <v>240</v>
      </c>
      <c r="K206" s="0" t="s">
        <v>240</v>
      </c>
      <c r="L206" s="0" t="s">
        <v>240</v>
      </c>
      <c r="M206" s="0" t="s">
        <v>240</v>
      </c>
      <c r="N206" s="0" t="s">
        <v>240</v>
      </c>
      <c r="O206" s="0" t="s">
        <v>240</v>
      </c>
      <c r="P206" s="0" t="s">
        <v>240</v>
      </c>
      <c r="Q206" s="0" t="s">
        <v>240</v>
      </c>
      <c r="R206" s="0" t="s">
        <v>6465</v>
      </c>
      <c r="S206" s="0" t="s">
        <v>240</v>
      </c>
      <c r="T206" s="0" t="s">
        <v>240</v>
      </c>
      <c r="U206" s="0" t="s">
        <v>102</v>
      </c>
      <c r="V206" s="0" t="s">
        <v>240</v>
      </c>
      <c r="W206" s="0" t="s">
        <v>240</v>
      </c>
      <c r="X206" s="0" t="s">
        <v>5485</v>
      </c>
      <c r="Y206" s="0" t="s">
        <v>240</v>
      </c>
      <c r="Z206" s="0" t="s">
        <v>161</v>
      </c>
      <c r="AA206" s="0" t="s">
        <v>152</v>
      </c>
      <c r="AB206" s="0" t="s">
        <v>152</v>
      </c>
      <c r="AC206" s="0" t="s">
        <v>3395</v>
      </c>
      <c r="AD206" s="0" t="s">
        <v>3395</v>
      </c>
      <c r="AE206" s="0" t="s">
        <v>3396</v>
      </c>
      <c r="AF206" s="0" t="s">
        <v>5941</v>
      </c>
      <c r="AG206" s="0" t="s">
        <v>5942</v>
      </c>
      <c r="AH206" s="0" t="s">
        <v>6063</v>
      </c>
      <c r="AI206" s="0" t="s">
        <v>152</v>
      </c>
      <c r="AJ206" s="0" t="s">
        <v>6466</v>
      </c>
      <c r="AK206" s="0" t="s">
        <v>5598</v>
      </c>
      <c r="AL206" s="0" t="s">
        <v>5506</v>
      </c>
      <c r="AM206" s="0" t="s">
        <v>5493</v>
      </c>
      <c r="AN206" s="0" t="s">
        <v>6467</v>
      </c>
      <c r="AO206" s="0" t="s">
        <v>6207</v>
      </c>
      <c r="AP206" s="0" t="s">
        <v>240</v>
      </c>
      <c r="AQ206" s="0" t="s">
        <v>240</v>
      </c>
      <c r="AR206" s="0" t="s">
        <v>240</v>
      </c>
      <c r="AS206" s="0" t="s">
        <v>240</v>
      </c>
      <c r="AT206" s="0" t="s">
        <v>240</v>
      </c>
      <c r="AU206" s="0" t="s">
        <v>240</v>
      </c>
      <c r="AV206" s="0" t="s">
        <v>240</v>
      </c>
      <c r="AW206" s="0" t="s">
        <v>240</v>
      </c>
      <c r="AX206" s="0" t="s">
        <v>240</v>
      </c>
      <c r="AY206" s="0" t="s">
        <v>240</v>
      </c>
      <c r="AZ206" s="0" t="s">
        <v>240</v>
      </c>
      <c r="BA206" s="0" t="s">
        <v>240</v>
      </c>
      <c r="BB206" s="0" t="s">
        <v>240</v>
      </c>
      <c r="BC206" s="0" t="s">
        <v>240</v>
      </c>
      <c r="BD206" s="0" t="s">
        <v>240</v>
      </c>
      <c r="BE206" s="0" t="s">
        <v>240</v>
      </c>
      <c r="BF206" s="0" t="s">
        <v>240</v>
      </c>
      <c r="BG206" s="0" t="s">
        <v>240</v>
      </c>
      <c r="BH206" s="0" t="s">
        <v>240</v>
      </c>
      <c r="BI206" s="0" t="s">
        <v>240</v>
      </c>
      <c r="BJ206" s="0" t="s">
        <v>240</v>
      </c>
      <c r="BK206" s="0" t="s">
        <v>240</v>
      </c>
      <c r="BL206" s="0" t="s">
        <v>240</v>
      </c>
      <c r="BM206" s="0" t="s">
        <v>240</v>
      </c>
      <c r="BN206" s="0" t="s">
        <v>240</v>
      </c>
      <c r="BO206" s="0" t="s">
        <v>240</v>
      </c>
      <c r="BP206" s="0" t="s">
        <v>240</v>
      </c>
      <c r="BQ206" s="0" t="s">
        <v>240</v>
      </c>
      <c r="BR206" s="0" t="s">
        <v>240</v>
      </c>
      <c r="BS206" s="0" t="s">
        <v>240</v>
      </c>
      <c r="BT206" s="0" t="s">
        <v>240</v>
      </c>
      <c r="BU206" s="0" t="s">
        <v>240</v>
      </c>
      <c r="BV206" s="0" t="s">
        <v>240</v>
      </c>
      <c r="BW206" s="0" t="s">
        <v>240</v>
      </c>
      <c r="BX206" s="0" t="s">
        <v>240</v>
      </c>
      <c r="BY206" s="0" t="s">
        <v>240</v>
      </c>
      <c r="BZ206" s="0" t="s">
        <v>240</v>
      </c>
      <c r="CA206" s="0" t="s">
        <v>240</v>
      </c>
      <c r="CB206" s="0" t="s">
        <v>240</v>
      </c>
      <c r="CC206" s="0" t="s">
        <v>240</v>
      </c>
      <c r="CD206" s="0" t="s">
        <v>240</v>
      </c>
      <c r="CE206" s="0" t="s">
        <v>240</v>
      </c>
      <c r="CF206" s="0" t="s">
        <v>240</v>
      </c>
      <c r="CG206" s="0" t="s">
        <v>240</v>
      </c>
      <c r="CH206" s="0" t="s">
        <v>240</v>
      </c>
      <c r="CI206" s="0" t="s">
        <v>240</v>
      </c>
      <c r="CJ206" s="0" t="s">
        <v>240</v>
      </c>
      <c r="CK206" s="0" t="s">
        <v>240</v>
      </c>
      <c r="CL206" s="0" t="s">
        <v>240</v>
      </c>
      <c r="CM206" s="0" t="s">
        <v>240</v>
      </c>
      <c r="CN206" s="0" t="s">
        <v>240</v>
      </c>
      <c r="CO206" s="0" t="s">
        <v>240</v>
      </c>
      <c r="CP206" s="0" t="s">
        <v>240</v>
      </c>
      <c r="CQ206" s="0" t="s">
        <v>240</v>
      </c>
      <c r="CR206" s="0" t="s">
        <v>240</v>
      </c>
      <c r="CS206" s="0" t="s">
        <v>240</v>
      </c>
      <c r="CT206" s="0" t="s">
        <v>5496</v>
      </c>
      <c r="CU206" s="0" t="s">
        <v>5497</v>
      </c>
      <c r="CV206" s="0" t="s">
        <v>5947</v>
      </c>
      <c r="CW206" s="0" t="s">
        <v>5948</v>
      </c>
      <c r="CX206" s="0" t="s">
        <v>5528</v>
      </c>
      <c r="CY206" s="0" t="s">
        <v>5947</v>
      </c>
      <c r="CZ206" s="0" t="s">
        <v>5533</v>
      </c>
      <c r="DA206" s="0" t="s">
        <v>5949</v>
      </c>
      <c r="DB206" s="0" t="s">
        <v>5600</v>
      </c>
      <c r="DC206" s="0" t="s">
        <v>384</v>
      </c>
      <c r="DD206" s="0" t="s">
        <v>291</v>
      </c>
      <c r="DE206" s="0" t="s">
        <v>6073</v>
      </c>
    </row>
    <row customHeight="1" ht="11.25">
      <c r="A207" s="1441" t="s">
        <v>240</v>
      </c>
      <c r="B207" s="0" t="s">
        <v>240</v>
      </c>
      <c r="C207" s="0" t="s">
        <v>240</v>
      </c>
      <c r="D207" s="0" t="s">
        <v>240</v>
      </c>
      <c r="E207" s="0" t="s">
        <v>240</v>
      </c>
      <c r="F207" s="0" t="s">
        <v>240</v>
      </c>
      <c r="G207" s="0" t="s">
        <v>240</v>
      </c>
      <c r="H207" s="0" t="s">
        <v>240</v>
      </c>
      <c r="I207" s="0" t="s">
        <v>5484</v>
      </c>
      <c r="J207" s="0" t="s">
        <v>240</v>
      </c>
      <c r="K207" s="0" t="s">
        <v>240</v>
      </c>
      <c r="L207" s="0" t="s">
        <v>240</v>
      </c>
      <c r="M207" s="0" t="s">
        <v>240</v>
      </c>
      <c r="N207" s="0" t="s">
        <v>240</v>
      </c>
      <c r="O207" s="0" t="s">
        <v>240</v>
      </c>
      <c r="P207" s="0" t="s">
        <v>240</v>
      </c>
      <c r="Q207" s="0" t="s">
        <v>240</v>
      </c>
      <c r="R207" s="0" t="s">
        <v>6468</v>
      </c>
      <c r="S207" s="0" t="s">
        <v>240</v>
      </c>
      <c r="T207" s="0" t="s">
        <v>240</v>
      </c>
      <c r="U207" s="0" t="s">
        <v>102</v>
      </c>
      <c r="V207" s="0" t="s">
        <v>240</v>
      </c>
      <c r="W207" s="0" t="s">
        <v>240</v>
      </c>
      <c r="X207" s="0" t="s">
        <v>5485</v>
      </c>
      <c r="Y207" s="0" t="s">
        <v>240</v>
      </c>
      <c r="Z207" s="0" t="s">
        <v>161</v>
      </c>
      <c r="AA207" s="0" t="s">
        <v>152</v>
      </c>
      <c r="AB207" s="0" t="s">
        <v>152</v>
      </c>
      <c r="AC207" s="0" t="s">
        <v>3395</v>
      </c>
      <c r="AD207" s="0" t="s">
        <v>3395</v>
      </c>
      <c r="AE207" s="0" t="s">
        <v>3396</v>
      </c>
      <c r="AF207" s="0" t="s">
        <v>5941</v>
      </c>
      <c r="AG207" s="0" t="s">
        <v>5942</v>
      </c>
      <c r="AH207" s="0" t="s">
        <v>6469</v>
      </c>
      <c r="AI207" s="0" t="s">
        <v>152</v>
      </c>
      <c r="AJ207" s="0" t="s">
        <v>6470</v>
      </c>
      <c r="AK207" s="0" t="s">
        <v>6471</v>
      </c>
      <c r="AL207" s="0" t="s">
        <v>5506</v>
      </c>
      <c r="AM207" s="0" t="s">
        <v>5493</v>
      </c>
      <c r="AN207" s="0" t="s">
        <v>5553</v>
      </c>
      <c r="AO207" s="0" t="s">
        <v>6472</v>
      </c>
      <c r="AP207" s="0" t="s">
        <v>240</v>
      </c>
      <c r="AQ207" s="0" t="s">
        <v>240</v>
      </c>
      <c r="AR207" s="0" t="s">
        <v>240</v>
      </c>
      <c r="AS207" s="0" t="s">
        <v>240</v>
      </c>
      <c r="AT207" s="0" t="s">
        <v>240</v>
      </c>
      <c r="AU207" s="0" t="s">
        <v>240</v>
      </c>
      <c r="AV207" s="0" t="s">
        <v>240</v>
      </c>
      <c r="AW207" s="0" t="s">
        <v>240</v>
      </c>
      <c r="AX207" s="0" t="s">
        <v>240</v>
      </c>
      <c r="AY207" s="0" t="s">
        <v>240</v>
      </c>
      <c r="AZ207" s="0" t="s">
        <v>240</v>
      </c>
      <c r="BA207" s="0" t="s">
        <v>240</v>
      </c>
      <c r="BB207" s="0" t="s">
        <v>240</v>
      </c>
      <c r="BC207" s="0" t="s">
        <v>240</v>
      </c>
      <c r="BD207" s="0" t="s">
        <v>240</v>
      </c>
      <c r="BE207" s="0" t="s">
        <v>240</v>
      </c>
      <c r="BF207" s="0" t="s">
        <v>240</v>
      </c>
      <c r="BG207" s="0" t="s">
        <v>240</v>
      </c>
      <c r="BH207" s="0" t="s">
        <v>240</v>
      </c>
      <c r="BI207" s="0" t="s">
        <v>240</v>
      </c>
      <c r="BJ207" s="0" t="s">
        <v>240</v>
      </c>
      <c r="BK207" s="0" t="s">
        <v>240</v>
      </c>
      <c r="BL207" s="0" t="s">
        <v>240</v>
      </c>
      <c r="BM207" s="0" t="s">
        <v>240</v>
      </c>
      <c r="BN207" s="0" t="s">
        <v>240</v>
      </c>
      <c r="BO207" s="0" t="s">
        <v>240</v>
      </c>
      <c r="BP207" s="0" t="s">
        <v>240</v>
      </c>
      <c r="BQ207" s="0" t="s">
        <v>240</v>
      </c>
      <c r="BR207" s="0" t="s">
        <v>240</v>
      </c>
      <c r="BS207" s="0" t="s">
        <v>240</v>
      </c>
      <c r="BT207" s="0" t="s">
        <v>240</v>
      </c>
      <c r="BU207" s="0" t="s">
        <v>240</v>
      </c>
      <c r="BV207" s="0" t="s">
        <v>240</v>
      </c>
      <c r="BW207" s="0" t="s">
        <v>240</v>
      </c>
      <c r="BX207" s="0" t="s">
        <v>240</v>
      </c>
      <c r="BY207" s="0" t="s">
        <v>240</v>
      </c>
      <c r="BZ207" s="0" t="s">
        <v>240</v>
      </c>
      <c r="CA207" s="0" t="s">
        <v>240</v>
      </c>
      <c r="CB207" s="0" t="s">
        <v>240</v>
      </c>
      <c r="CC207" s="0" t="s">
        <v>240</v>
      </c>
      <c r="CD207" s="0" t="s">
        <v>240</v>
      </c>
      <c r="CE207" s="0" t="s">
        <v>240</v>
      </c>
      <c r="CF207" s="0" t="s">
        <v>240</v>
      </c>
      <c r="CG207" s="0" t="s">
        <v>240</v>
      </c>
      <c r="CH207" s="0" t="s">
        <v>240</v>
      </c>
      <c r="CI207" s="0" t="s">
        <v>240</v>
      </c>
      <c r="CJ207" s="0" t="s">
        <v>240</v>
      </c>
      <c r="CK207" s="0" t="s">
        <v>240</v>
      </c>
      <c r="CL207" s="0" t="s">
        <v>240</v>
      </c>
      <c r="CM207" s="0" t="s">
        <v>240</v>
      </c>
      <c r="CN207" s="0" t="s">
        <v>240</v>
      </c>
      <c r="CO207" s="0" t="s">
        <v>240</v>
      </c>
      <c r="CP207" s="0" t="s">
        <v>240</v>
      </c>
      <c r="CQ207" s="0" t="s">
        <v>240</v>
      </c>
      <c r="CR207" s="0" t="s">
        <v>240</v>
      </c>
      <c r="CS207" s="0" t="s">
        <v>240</v>
      </c>
      <c r="CT207" s="0" t="s">
        <v>5496</v>
      </c>
      <c r="CU207" s="0" t="s">
        <v>5497</v>
      </c>
      <c r="CV207" s="0" t="s">
        <v>5947</v>
      </c>
      <c r="CW207" s="0" t="s">
        <v>5948</v>
      </c>
      <c r="CX207" s="0" t="s">
        <v>5528</v>
      </c>
      <c r="CY207" s="0" t="s">
        <v>5947</v>
      </c>
      <c r="CZ207" s="0" t="s">
        <v>5533</v>
      </c>
      <c r="DA207" s="0" t="s">
        <v>5949</v>
      </c>
      <c r="DB207" s="0" t="s">
        <v>5600</v>
      </c>
      <c r="DC207" s="0" t="s">
        <v>384</v>
      </c>
      <c r="DD207" s="0" t="s">
        <v>291</v>
      </c>
      <c r="DE207" s="0" t="s">
        <v>6473</v>
      </c>
    </row>
    <row customHeight="1" ht="11.25">
      <c r="A208" s="1441" t="s">
        <v>240</v>
      </c>
      <c r="B208" s="0" t="s">
        <v>240</v>
      </c>
      <c r="C208" s="0" t="s">
        <v>240</v>
      </c>
      <c r="D208" s="0" t="s">
        <v>240</v>
      </c>
      <c r="E208" s="0" t="s">
        <v>240</v>
      </c>
      <c r="F208" s="0" t="s">
        <v>240</v>
      </c>
      <c r="G208" s="0" t="s">
        <v>240</v>
      </c>
      <c r="H208" s="0" t="s">
        <v>240</v>
      </c>
      <c r="I208" s="0" t="s">
        <v>5484</v>
      </c>
      <c r="J208" s="0" t="s">
        <v>240</v>
      </c>
      <c r="K208" s="0" t="s">
        <v>240</v>
      </c>
      <c r="L208" s="0" t="s">
        <v>240</v>
      </c>
      <c r="M208" s="0" t="s">
        <v>240</v>
      </c>
      <c r="N208" s="0" t="s">
        <v>240</v>
      </c>
      <c r="O208" s="0" t="s">
        <v>240</v>
      </c>
      <c r="P208" s="0" t="s">
        <v>240</v>
      </c>
      <c r="Q208" s="0" t="s">
        <v>240</v>
      </c>
      <c r="R208" s="0" t="s">
        <v>449</v>
      </c>
      <c r="S208" s="0" t="s">
        <v>240</v>
      </c>
      <c r="T208" s="0" t="s">
        <v>240</v>
      </c>
      <c r="U208" s="0" t="s">
        <v>102</v>
      </c>
      <c r="V208" s="0" t="s">
        <v>240</v>
      </c>
      <c r="W208" s="0" t="s">
        <v>240</v>
      </c>
      <c r="X208" s="0" t="s">
        <v>5585</v>
      </c>
      <c r="Y208" s="0" t="s">
        <v>240</v>
      </c>
      <c r="Z208" s="0" t="s">
        <v>152</v>
      </c>
      <c r="AA208" s="0" t="s">
        <v>152</v>
      </c>
      <c r="AB208" s="0" t="s">
        <v>161</v>
      </c>
      <c r="AC208" s="0" t="s">
        <v>2985</v>
      </c>
      <c r="AD208" s="0" t="s">
        <v>2985</v>
      </c>
      <c r="AE208" s="0" t="s">
        <v>2986</v>
      </c>
      <c r="AF208" s="0" t="s">
        <v>6474</v>
      </c>
      <c r="AG208" s="0" t="s">
        <v>6475</v>
      </c>
      <c r="AH208" s="0" t="s">
        <v>6474</v>
      </c>
      <c r="AI208" s="0" t="s">
        <v>5644</v>
      </c>
      <c r="AJ208" s="0" t="s">
        <v>240</v>
      </c>
      <c r="AK208" s="0" t="s">
        <v>240</v>
      </c>
      <c r="AL208" s="0" t="s">
        <v>240</v>
      </c>
      <c r="AM208" s="0" t="s">
        <v>240</v>
      </c>
      <c r="AN208" s="0" t="s">
        <v>240</v>
      </c>
      <c r="AO208" s="0" t="s">
        <v>240</v>
      </c>
      <c r="AP208" s="0" t="s">
        <v>240</v>
      </c>
      <c r="AQ208" s="0" t="s">
        <v>240</v>
      </c>
      <c r="AR208" s="0" t="s">
        <v>240</v>
      </c>
      <c r="AS208" s="0" t="s">
        <v>240</v>
      </c>
      <c r="AT208" s="0" t="s">
        <v>240</v>
      </c>
      <c r="AU208" s="0" t="s">
        <v>240</v>
      </c>
      <c r="AV208" s="0" t="s">
        <v>240</v>
      </c>
      <c r="AW208" s="0" t="s">
        <v>240</v>
      </c>
      <c r="AX208" s="0" t="s">
        <v>240</v>
      </c>
      <c r="AY208" s="0" t="s">
        <v>240</v>
      </c>
      <c r="AZ208" s="0" t="s">
        <v>240</v>
      </c>
      <c r="BA208" s="0" t="s">
        <v>240</v>
      </c>
      <c r="BB208" s="0" t="s">
        <v>240</v>
      </c>
      <c r="BC208" s="0" t="s">
        <v>240</v>
      </c>
      <c r="BD208" s="0" t="s">
        <v>240</v>
      </c>
      <c r="BE208" s="0" t="s">
        <v>5645</v>
      </c>
      <c r="BF208" s="0" t="s">
        <v>5645</v>
      </c>
      <c r="BG208" s="0" t="s">
        <v>112</v>
      </c>
      <c r="BH208" s="0" t="s">
        <v>5589</v>
      </c>
      <c r="BI208" s="0" t="s">
        <v>123</v>
      </c>
      <c r="BJ208" s="0" t="s">
        <v>240</v>
      </c>
      <c r="BK208" s="0" t="s">
        <v>5608</v>
      </c>
      <c r="BL208" s="0" t="s">
        <v>2985</v>
      </c>
      <c r="BM208" s="0" t="s">
        <v>2985</v>
      </c>
      <c r="BN208" s="0" t="s">
        <v>5646</v>
      </c>
      <c r="BO208" s="0" t="s">
        <v>6474</v>
      </c>
      <c r="BP208" s="0" t="s">
        <v>6476</v>
      </c>
      <c r="BQ208" s="0" t="s">
        <v>6474</v>
      </c>
      <c r="BR208" s="0" t="s">
        <v>5644</v>
      </c>
      <c r="BS208" s="0" t="s">
        <v>240</v>
      </c>
      <c r="BT208" s="0" t="s">
        <v>5650</v>
      </c>
      <c r="BU208" s="0" t="s">
        <v>6477</v>
      </c>
      <c r="BV208" s="0" t="s">
        <v>6477</v>
      </c>
      <c r="BW208" s="0" t="s">
        <v>5598</v>
      </c>
      <c r="BX208" s="0" t="s">
        <v>5598</v>
      </c>
      <c r="BY208" s="0" t="s">
        <v>5598</v>
      </c>
      <c r="BZ208" s="0" t="s">
        <v>5598</v>
      </c>
      <c r="CA208" s="0" t="s">
        <v>5598</v>
      </c>
      <c r="CB208" s="0" t="s">
        <v>240</v>
      </c>
      <c r="CC208" s="0" t="s">
        <v>240</v>
      </c>
      <c r="CD208" s="0" t="s">
        <v>240</v>
      </c>
      <c r="CE208" s="0" t="s">
        <v>240</v>
      </c>
      <c r="CF208" s="0" t="s">
        <v>240</v>
      </c>
      <c r="CG208" s="0" t="s">
        <v>5598</v>
      </c>
      <c r="CH208" s="0" t="s">
        <v>240</v>
      </c>
      <c r="CI208" s="0" t="s">
        <v>240</v>
      </c>
      <c r="CJ208" s="0" t="s">
        <v>240</v>
      </c>
      <c r="CK208" s="0" t="s">
        <v>240</v>
      </c>
      <c r="CL208" s="0" t="s">
        <v>240</v>
      </c>
      <c r="CM208" s="0" t="s">
        <v>6477</v>
      </c>
      <c r="CN208" s="0" t="s">
        <v>6477</v>
      </c>
      <c r="CO208" s="0" t="s">
        <v>240</v>
      </c>
      <c r="CP208" s="0" t="s">
        <v>240</v>
      </c>
      <c r="CQ208" s="0" t="s">
        <v>240</v>
      </c>
      <c r="CR208" s="0" t="s">
        <v>240</v>
      </c>
      <c r="CS208" s="0" t="s">
        <v>5507</v>
      </c>
      <c r="CT208" s="0" t="s">
        <v>5496</v>
      </c>
      <c r="CU208" s="0" t="s">
        <v>5497</v>
      </c>
      <c r="CV208" s="0" t="s">
        <v>443</v>
      </c>
      <c r="CW208" s="0" t="s">
        <v>5509</v>
      </c>
      <c r="CX208" s="0" t="s">
        <v>229</v>
      </c>
      <c r="CY208" s="0" t="s">
        <v>443</v>
      </c>
      <c r="CZ208" s="0" t="s">
        <v>5510</v>
      </c>
      <c r="DA208" s="0" t="s">
        <v>5511</v>
      </c>
      <c r="DB208" s="0" t="s">
        <v>5509</v>
      </c>
      <c r="DC208" s="0" t="s">
        <v>384</v>
      </c>
      <c r="DD208" s="0" t="s">
        <v>291</v>
      </c>
      <c r="DE208" s="0" t="s">
        <v>6478</v>
      </c>
    </row>
    <row customHeight="1" ht="11.25">
      <c r="A209" s="1441" t="s">
        <v>240</v>
      </c>
      <c r="B209" s="0" t="s">
        <v>240</v>
      </c>
      <c r="C209" s="0" t="s">
        <v>240</v>
      </c>
      <c r="D209" s="0" t="s">
        <v>240</v>
      </c>
      <c r="E209" s="0" t="s">
        <v>240</v>
      </c>
      <c r="F209" s="0" t="s">
        <v>240</v>
      </c>
      <c r="G209" s="0" t="s">
        <v>240</v>
      </c>
      <c r="H209" s="0" t="s">
        <v>240</v>
      </c>
      <c r="I209" s="0" t="s">
        <v>5484</v>
      </c>
      <c r="J209" s="0" t="s">
        <v>240</v>
      </c>
      <c r="K209" s="0" t="s">
        <v>240</v>
      </c>
      <c r="L209" s="0" t="s">
        <v>240</v>
      </c>
      <c r="M209" s="0" t="s">
        <v>240</v>
      </c>
      <c r="N209" s="0" t="s">
        <v>240</v>
      </c>
      <c r="O209" s="0" t="s">
        <v>240</v>
      </c>
      <c r="P209" s="0" t="s">
        <v>240</v>
      </c>
      <c r="Q209" s="0" t="s">
        <v>240</v>
      </c>
      <c r="R209" s="0" t="s">
        <v>5608</v>
      </c>
      <c r="S209" s="0" t="s">
        <v>240</v>
      </c>
      <c r="T209" s="0" t="s">
        <v>240</v>
      </c>
      <c r="U209" s="0" t="s">
        <v>102</v>
      </c>
      <c r="V209" s="0" t="s">
        <v>240</v>
      </c>
      <c r="W209" s="0" t="s">
        <v>240</v>
      </c>
      <c r="X209" s="0" t="s">
        <v>5485</v>
      </c>
      <c r="Y209" s="0" t="s">
        <v>240</v>
      </c>
      <c r="Z209" s="0" t="s">
        <v>161</v>
      </c>
      <c r="AA209" s="0" t="s">
        <v>152</v>
      </c>
      <c r="AB209" s="0" t="s">
        <v>152</v>
      </c>
      <c r="AC209" s="0" t="s">
        <v>2985</v>
      </c>
      <c r="AD209" s="0" t="s">
        <v>2985</v>
      </c>
      <c r="AE209" s="0" t="s">
        <v>2986</v>
      </c>
      <c r="AF209" s="0" t="s">
        <v>5951</v>
      </c>
      <c r="AG209" s="0" t="s">
        <v>5952</v>
      </c>
      <c r="AH209" s="0" t="s">
        <v>6479</v>
      </c>
      <c r="AI209" s="0" t="s">
        <v>6480</v>
      </c>
      <c r="AJ209" s="0" t="s">
        <v>5504</v>
      </c>
      <c r="AK209" s="0" t="s">
        <v>5504</v>
      </c>
      <c r="AL209" s="0" t="s">
        <v>5605</v>
      </c>
      <c r="AM209" s="0" t="s">
        <v>5493</v>
      </c>
      <c r="AN209" s="0" t="s">
        <v>5507</v>
      </c>
      <c r="AO209" s="0" t="s">
        <v>6481</v>
      </c>
      <c r="AP209" s="0" t="s">
        <v>240</v>
      </c>
      <c r="AQ209" s="0" t="s">
        <v>240</v>
      </c>
      <c r="AR209" s="0" t="s">
        <v>240</v>
      </c>
      <c r="AS209" s="0" t="s">
        <v>240</v>
      </c>
      <c r="AT209" s="0" t="s">
        <v>240</v>
      </c>
      <c r="AU209" s="0" t="s">
        <v>240</v>
      </c>
      <c r="AV209" s="0" t="s">
        <v>240</v>
      </c>
      <c r="AW209" s="0" t="s">
        <v>240</v>
      </c>
      <c r="AX209" s="0" t="s">
        <v>240</v>
      </c>
      <c r="AY209" s="0" t="s">
        <v>240</v>
      </c>
      <c r="AZ209" s="0" t="s">
        <v>240</v>
      </c>
      <c r="BA209" s="0" t="s">
        <v>240</v>
      </c>
      <c r="BB209" s="0" t="s">
        <v>240</v>
      </c>
      <c r="BC209" s="0" t="s">
        <v>240</v>
      </c>
      <c r="BD209" s="0" t="s">
        <v>240</v>
      </c>
      <c r="BE209" s="0" t="s">
        <v>240</v>
      </c>
      <c r="BF209" s="0" t="s">
        <v>240</v>
      </c>
      <c r="BG209" s="0" t="s">
        <v>240</v>
      </c>
      <c r="BH209" s="0" t="s">
        <v>240</v>
      </c>
      <c r="BI209" s="0" t="s">
        <v>240</v>
      </c>
      <c r="BJ209" s="0" t="s">
        <v>240</v>
      </c>
      <c r="BK209" s="0" t="s">
        <v>240</v>
      </c>
      <c r="BL209" s="0" t="s">
        <v>240</v>
      </c>
      <c r="BM209" s="0" t="s">
        <v>240</v>
      </c>
      <c r="BN209" s="0" t="s">
        <v>240</v>
      </c>
      <c r="BO209" s="0" t="s">
        <v>240</v>
      </c>
      <c r="BP209" s="0" t="s">
        <v>240</v>
      </c>
      <c r="BQ209" s="0" t="s">
        <v>240</v>
      </c>
      <c r="BR209" s="0" t="s">
        <v>240</v>
      </c>
      <c r="BS209" s="0" t="s">
        <v>240</v>
      </c>
      <c r="BT209" s="0" t="s">
        <v>240</v>
      </c>
      <c r="BU209" s="0" t="s">
        <v>240</v>
      </c>
      <c r="BV209" s="0" t="s">
        <v>240</v>
      </c>
      <c r="BW209" s="0" t="s">
        <v>240</v>
      </c>
      <c r="BX209" s="0" t="s">
        <v>240</v>
      </c>
      <c r="BY209" s="0" t="s">
        <v>240</v>
      </c>
      <c r="BZ209" s="0" t="s">
        <v>240</v>
      </c>
      <c r="CA209" s="0" t="s">
        <v>240</v>
      </c>
      <c r="CB209" s="0" t="s">
        <v>240</v>
      </c>
      <c r="CC209" s="0" t="s">
        <v>240</v>
      </c>
      <c r="CD209" s="0" t="s">
        <v>240</v>
      </c>
      <c r="CE209" s="0" t="s">
        <v>240</v>
      </c>
      <c r="CF209" s="0" t="s">
        <v>240</v>
      </c>
      <c r="CG209" s="0" t="s">
        <v>240</v>
      </c>
      <c r="CH209" s="0" t="s">
        <v>240</v>
      </c>
      <c r="CI209" s="0" t="s">
        <v>240</v>
      </c>
      <c r="CJ209" s="0" t="s">
        <v>240</v>
      </c>
      <c r="CK209" s="0" t="s">
        <v>240</v>
      </c>
      <c r="CL209" s="0" t="s">
        <v>240</v>
      </c>
      <c r="CM209" s="0" t="s">
        <v>240</v>
      </c>
      <c r="CN209" s="0" t="s">
        <v>240</v>
      </c>
      <c r="CO209" s="0" t="s">
        <v>240</v>
      </c>
      <c r="CP209" s="0" t="s">
        <v>240</v>
      </c>
      <c r="CQ209" s="0" t="s">
        <v>240</v>
      </c>
      <c r="CR209" s="0" t="s">
        <v>240</v>
      </c>
      <c r="CS209" s="0" t="s">
        <v>240</v>
      </c>
      <c r="CT209" s="0" t="s">
        <v>5496</v>
      </c>
      <c r="CU209" s="0" t="s">
        <v>5497</v>
      </c>
      <c r="CV209" s="0" t="s">
        <v>443</v>
      </c>
      <c r="CW209" s="0" t="s">
        <v>5509</v>
      </c>
      <c r="CX209" s="0" t="s">
        <v>229</v>
      </c>
      <c r="CY209" s="0" t="s">
        <v>443</v>
      </c>
      <c r="CZ209" s="0" t="s">
        <v>5510</v>
      </c>
      <c r="DA209" s="0" t="s">
        <v>5511</v>
      </c>
      <c r="DB209" s="0" t="s">
        <v>5509</v>
      </c>
      <c r="DC209" s="0" t="s">
        <v>384</v>
      </c>
      <c r="DD209" s="0" t="s">
        <v>291</v>
      </c>
      <c r="DE209" s="0" t="s">
        <v>6482</v>
      </c>
    </row>
    <row customHeight="1" ht="11.25">
      <c r="A210" s="1441" t="s">
        <v>240</v>
      </c>
      <c r="B210" s="0" t="s">
        <v>240</v>
      </c>
      <c r="C210" s="0" t="s">
        <v>240</v>
      </c>
      <c r="D210" s="0" t="s">
        <v>240</v>
      </c>
      <c r="E210" s="0" t="s">
        <v>240</v>
      </c>
      <c r="F210" s="0" t="s">
        <v>240</v>
      </c>
      <c r="G210" s="0" t="s">
        <v>240</v>
      </c>
      <c r="H210" s="0" t="s">
        <v>240</v>
      </c>
      <c r="I210" s="0" t="s">
        <v>5484</v>
      </c>
      <c r="J210" s="0" t="s">
        <v>240</v>
      </c>
      <c r="K210" s="0" t="s">
        <v>240</v>
      </c>
      <c r="L210" s="0" t="s">
        <v>240</v>
      </c>
      <c r="M210" s="0" t="s">
        <v>240</v>
      </c>
      <c r="N210" s="0" t="s">
        <v>240</v>
      </c>
      <c r="O210" s="0" t="s">
        <v>240</v>
      </c>
      <c r="P210" s="0" t="s">
        <v>240</v>
      </c>
      <c r="Q210" s="0" t="s">
        <v>240</v>
      </c>
      <c r="R210" s="0" t="s">
        <v>6483</v>
      </c>
      <c r="S210" s="0" t="s">
        <v>240</v>
      </c>
      <c r="T210" s="0" t="s">
        <v>240</v>
      </c>
      <c r="U210" s="0" t="s">
        <v>102</v>
      </c>
      <c r="V210" s="0" t="s">
        <v>240</v>
      </c>
      <c r="W210" s="0" t="s">
        <v>240</v>
      </c>
      <c r="X210" s="0" t="s">
        <v>5485</v>
      </c>
      <c r="Y210" s="0" t="s">
        <v>240</v>
      </c>
      <c r="Z210" s="0" t="s">
        <v>161</v>
      </c>
      <c r="AA210" s="0" t="s">
        <v>152</v>
      </c>
      <c r="AB210" s="0" t="s">
        <v>152</v>
      </c>
      <c r="AC210" s="0" t="s">
        <v>2985</v>
      </c>
      <c r="AD210" s="0" t="s">
        <v>2985</v>
      </c>
      <c r="AE210" s="0" t="s">
        <v>2986</v>
      </c>
      <c r="AF210" s="0" t="s">
        <v>5951</v>
      </c>
      <c r="AG210" s="0" t="s">
        <v>5952</v>
      </c>
      <c r="AH210" s="0" t="s">
        <v>6484</v>
      </c>
      <c r="AI210" s="0" t="s">
        <v>6224</v>
      </c>
      <c r="AJ210" s="0" t="s">
        <v>5504</v>
      </c>
      <c r="AK210" s="0" t="s">
        <v>5504</v>
      </c>
      <c r="AL210" s="0" t="s">
        <v>5605</v>
      </c>
      <c r="AM210" s="0" t="s">
        <v>5493</v>
      </c>
      <c r="AN210" s="0" t="s">
        <v>5507</v>
      </c>
      <c r="AO210" s="0" t="s">
        <v>6485</v>
      </c>
      <c r="AP210" s="0" t="s">
        <v>240</v>
      </c>
      <c r="AQ210" s="0" t="s">
        <v>240</v>
      </c>
      <c r="AR210" s="0" t="s">
        <v>240</v>
      </c>
      <c r="AS210" s="0" t="s">
        <v>240</v>
      </c>
      <c r="AT210" s="0" t="s">
        <v>240</v>
      </c>
      <c r="AU210" s="0" t="s">
        <v>240</v>
      </c>
      <c r="AV210" s="0" t="s">
        <v>240</v>
      </c>
      <c r="AW210" s="0" t="s">
        <v>240</v>
      </c>
      <c r="AX210" s="0" t="s">
        <v>240</v>
      </c>
      <c r="AY210" s="0" t="s">
        <v>240</v>
      </c>
      <c r="AZ210" s="0" t="s">
        <v>240</v>
      </c>
      <c r="BA210" s="0" t="s">
        <v>240</v>
      </c>
      <c r="BB210" s="0" t="s">
        <v>240</v>
      </c>
      <c r="BC210" s="0" t="s">
        <v>240</v>
      </c>
      <c r="BD210" s="0" t="s">
        <v>240</v>
      </c>
      <c r="BE210" s="0" t="s">
        <v>240</v>
      </c>
      <c r="BF210" s="0" t="s">
        <v>240</v>
      </c>
      <c r="BG210" s="0" t="s">
        <v>240</v>
      </c>
      <c r="BH210" s="0" t="s">
        <v>240</v>
      </c>
      <c r="BI210" s="0" t="s">
        <v>240</v>
      </c>
      <c r="BJ210" s="0" t="s">
        <v>240</v>
      </c>
      <c r="BK210" s="0" t="s">
        <v>240</v>
      </c>
      <c r="BL210" s="0" t="s">
        <v>240</v>
      </c>
      <c r="BM210" s="0" t="s">
        <v>240</v>
      </c>
      <c r="BN210" s="0" t="s">
        <v>240</v>
      </c>
      <c r="BO210" s="0" t="s">
        <v>240</v>
      </c>
      <c r="BP210" s="0" t="s">
        <v>240</v>
      </c>
      <c r="BQ210" s="0" t="s">
        <v>240</v>
      </c>
      <c r="BR210" s="0" t="s">
        <v>240</v>
      </c>
      <c r="BS210" s="0" t="s">
        <v>240</v>
      </c>
      <c r="BT210" s="0" t="s">
        <v>240</v>
      </c>
      <c r="BU210" s="0" t="s">
        <v>240</v>
      </c>
      <c r="BV210" s="0" t="s">
        <v>240</v>
      </c>
      <c r="BW210" s="0" t="s">
        <v>240</v>
      </c>
      <c r="BX210" s="0" t="s">
        <v>240</v>
      </c>
      <c r="BY210" s="0" t="s">
        <v>240</v>
      </c>
      <c r="BZ210" s="0" t="s">
        <v>240</v>
      </c>
      <c r="CA210" s="0" t="s">
        <v>240</v>
      </c>
      <c r="CB210" s="0" t="s">
        <v>240</v>
      </c>
      <c r="CC210" s="0" t="s">
        <v>240</v>
      </c>
      <c r="CD210" s="0" t="s">
        <v>240</v>
      </c>
      <c r="CE210" s="0" t="s">
        <v>240</v>
      </c>
      <c r="CF210" s="0" t="s">
        <v>240</v>
      </c>
      <c r="CG210" s="0" t="s">
        <v>240</v>
      </c>
      <c r="CH210" s="0" t="s">
        <v>240</v>
      </c>
      <c r="CI210" s="0" t="s">
        <v>240</v>
      </c>
      <c r="CJ210" s="0" t="s">
        <v>240</v>
      </c>
      <c r="CK210" s="0" t="s">
        <v>240</v>
      </c>
      <c r="CL210" s="0" t="s">
        <v>240</v>
      </c>
      <c r="CM210" s="0" t="s">
        <v>240</v>
      </c>
      <c r="CN210" s="0" t="s">
        <v>240</v>
      </c>
      <c r="CO210" s="0" t="s">
        <v>240</v>
      </c>
      <c r="CP210" s="0" t="s">
        <v>240</v>
      </c>
      <c r="CQ210" s="0" t="s">
        <v>240</v>
      </c>
      <c r="CR210" s="0" t="s">
        <v>240</v>
      </c>
      <c r="CS210" s="0" t="s">
        <v>240</v>
      </c>
      <c r="CT210" s="0" t="s">
        <v>5496</v>
      </c>
      <c r="CU210" s="0" t="s">
        <v>5497</v>
      </c>
      <c r="CV210" s="0" t="s">
        <v>443</v>
      </c>
      <c r="CW210" s="0" t="s">
        <v>5509</v>
      </c>
      <c r="CX210" s="0" t="s">
        <v>229</v>
      </c>
      <c r="CY210" s="0" t="s">
        <v>443</v>
      </c>
      <c r="CZ210" s="0" t="s">
        <v>5510</v>
      </c>
      <c r="DA210" s="0" t="s">
        <v>5511</v>
      </c>
      <c r="DB210" s="0" t="s">
        <v>5509</v>
      </c>
      <c r="DC210" s="0" t="s">
        <v>384</v>
      </c>
      <c r="DD210" s="0" t="s">
        <v>291</v>
      </c>
      <c r="DE210" s="0" t="s">
        <v>6486</v>
      </c>
    </row>
    <row customHeight="1" ht="11.25">
      <c r="A211" s="1441" t="s">
        <v>240</v>
      </c>
      <c r="B211" s="0" t="s">
        <v>240</v>
      </c>
      <c r="C211" s="0" t="s">
        <v>240</v>
      </c>
      <c r="D211" s="0" t="s">
        <v>240</v>
      </c>
      <c r="E211" s="0" t="s">
        <v>240</v>
      </c>
      <c r="F211" s="0" t="s">
        <v>240</v>
      </c>
      <c r="G211" s="0" t="s">
        <v>240</v>
      </c>
      <c r="H211" s="0" t="s">
        <v>240</v>
      </c>
      <c r="I211" s="0" t="s">
        <v>5484</v>
      </c>
      <c r="J211" s="0" t="s">
        <v>240</v>
      </c>
      <c r="K211" s="0" t="s">
        <v>240</v>
      </c>
      <c r="L211" s="0" t="s">
        <v>240</v>
      </c>
      <c r="M211" s="0" t="s">
        <v>240</v>
      </c>
      <c r="N211" s="0" t="s">
        <v>240</v>
      </c>
      <c r="O211" s="0" t="s">
        <v>240</v>
      </c>
      <c r="P211" s="0" t="s">
        <v>240</v>
      </c>
      <c r="Q211" s="0" t="s">
        <v>240</v>
      </c>
      <c r="R211" s="0" t="s">
        <v>5608</v>
      </c>
      <c r="S211" s="0" t="s">
        <v>240</v>
      </c>
      <c r="T211" s="0" t="s">
        <v>240</v>
      </c>
      <c r="U211" s="0" t="s">
        <v>102</v>
      </c>
      <c r="V211" s="0" t="s">
        <v>240</v>
      </c>
      <c r="W211" s="0" t="s">
        <v>240</v>
      </c>
      <c r="X211" s="0" t="s">
        <v>5485</v>
      </c>
      <c r="Y211" s="0" t="s">
        <v>240</v>
      </c>
      <c r="Z211" s="0" t="s">
        <v>161</v>
      </c>
      <c r="AA211" s="0" t="s">
        <v>152</v>
      </c>
      <c r="AB211" s="0" t="s">
        <v>152</v>
      </c>
      <c r="AC211" s="0" t="s">
        <v>2985</v>
      </c>
      <c r="AD211" s="0" t="s">
        <v>2985</v>
      </c>
      <c r="AE211" s="0" t="s">
        <v>2986</v>
      </c>
      <c r="AF211" s="0" t="s">
        <v>6226</v>
      </c>
      <c r="AG211" s="0" t="s">
        <v>6227</v>
      </c>
      <c r="AH211" s="0" t="s">
        <v>6487</v>
      </c>
      <c r="AI211" s="0" t="s">
        <v>6488</v>
      </c>
      <c r="AJ211" s="0" t="s">
        <v>5576</v>
      </c>
      <c r="AK211" s="0" t="s">
        <v>5756</v>
      </c>
      <c r="AL211" s="0" t="s">
        <v>5605</v>
      </c>
      <c r="AM211" s="0" t="s">
        <v>5493</v>
      </c>
      <c r="AN211" s="0" t="s">
        <v>5507</v>
      </c>
      <c r="AO211" s="0" t="s">
        <v>6346</v>
      </c>
      <c r="AP211" s="0" t="s">
        <v>240</v>
      </c>
      <c r="AQ211" s="0" t="s">
        <v>240</v>
      </c>
      <c r="AR211" s="0" t="s">
        <v>240</v>
      </c>
      <c r="AS211" s="0" t="s">
        <v>240</v>
      </c>
      <c r="AT211" s="0" t="s">
        <v>240</v>
      </c>
      <c r="AU211" s="0" t="s">
        <v>240</v>
      </c>
      <c r="AV211" s="0" t="s">
        <v>240</v>
      </c>
      <c r="AW211" s="0" t="s">
        <v>240</v>
      </c>
      <c r="AX211" s="0" t="s">
        <v>240</v>
      </c>
      <c r="AY211" s="0" t="s">
        <v>240</v>
      </c>
      <c r="AZ211" s="0" t="s">
        <v>240</v>
      </c>
      <c r="BA211" s="0" t="s">
        <v>240</v>
      </c>
      <c r="BB211" s="0" t="s">
        <v>240</v>
      </c>
      <c r="BC211" s="0" t="s">
        <v>240</v>
      </c>
      <c r="BD211" s="0" t="s">
        <v>240</v>
      </c>
      <c r="BE211" s="0" t="s">
        <v>240</v>
      </c>
      <c r="BF211" s="0" t="s">
        <v>240</v>
      </c>
      <c r="BG211" s="0" t="s">
        <v>240</v>
      </c>
      <c r="BH211" s="0" t="s">
        <v>240</v>
      </c>
      <c r="BI211" s="0" t="s">
        <v>240</v>
      </c>
      <c r="BJ211" s="0" t="s">
        <v>240</v>
      </c>
      <c r="BK211" s="0" t="s">
        <v>240</v>
      </c>
      <c r="BL211" s="0" t="s">
        <v>240</v>
      </c>
      <c r="BM211" s="0" t="s">
        <v>240</v>
      </c>
      <c r="BN211" s="0" t="s">
        <v>240</v>
      </c>
      <c r="BO211" s="0" t="s">
        <v>240</v>
      </c>
      <c r="BP211" s="0" t="s">
        <v>240</v>
      </c>
      <c r="BQ211" s="0" t="s">
        <v>240</v>
      </c>
      <c r="BR211" s="0" t="s">
        <v>240</v>
      </c>
      <c r="BS211" s="0" t="s">
        <v>240</v>
      </c>
      <c r="BT211" s="0" t="s">
        <v>240</v>
      </c>
      <c r="BU211" s="0" t="s">
        <v>240</v>
      </c>
      <c r="BV211" s="0" t="s">
        <v>240</v>
      </c>
      <c r="BW211" s="0" t="s">
        <v>240</v>
      </c>
      <c r="BX211" s="0" t="s">
        <v>240</v>
      </c>
      <c r="BY211" s="0" t="s">
        <v>240</v>
      </c>
      <c r="BZ211" s="0" t="s">
        <v>240</v>
      </c>
      <c r="CA211" s="0" t="s">
        <v>240</v>
      </c>
      <c r="CB211" s="0" t="s">
        <v>240</v>
      </c>
      <c r="CC211" s="0" t="s">
        <v>240</v>
      </c>
      <c r="CD211" s="0" t="s">
        <v>240</v>
      </c>
      <c r="CE211" s="0" t="s">
        <v>240</v>
      </c>
      <c r="CF211" s="0" t="s">
        <v>240</v>
      </c>
      <c r="CG211" s="0" t="s">
        <v>240</v>
      </c>
      <c r="CH211" s="0" t="s">
        <v>240</v>
      </c>
      <c r="CI211" s="0" t="s">
        <v>240</v>
      </c>
      <c r="CJ211" s="0" t="s">
        <v>240</v>
      </c>
      <c r="CK211" s="0" t="s">
        <v>240</v>
      </c>
      <c r="CL211" s="0" t="s">
        <v>240</v>
      </c>
      <c r="CM211" s="0" t="s">
        <v>240</v>
      </c>
      <c r="CN211" s="0" t="s">
        <v>240</v>
      </c>
      <c r="CO211" s="0" t="s">
        <v>240</v>
      </c>
      <c r="CP211" s="0" t="s">
        <v>240</v>
      </c>
      <c r="CQ211" s="0" t="s">
        <v>240</v>
      </c>
      <c r="CR211" s="0" t="s">
        <v>240</v>
      </c>
      <c r="CS211" s="0" t="s">
        <v>240</v>
      </c>
      <c r="CT211" s="0" t="s">
        <v>5496</v>
      </c>
      <c r="CU211" s="0" t="s">
        <v>5497</v>
      </c>
      <c r="CV211" s="0" t="s">
        <v>443</v>
      </c>
      <c r="CW211" s="0" t="s">
        <v>5509</v>
      </c>
      <c r="CX211" s="0" t="s">
        <v>229</v>
      </c>
      <c r="CY211" s="0" t="s">
        <v>443</v>
      </c>
      <c r="CZ211" s="0" t="s">
        <v>5510</v>
      </c>
      <c r="DA211" s="0" t="s">
        <v>5511</v>
      </c>
      <c r="DB211" s="0" t="s">
        <v>5509</v>
      </c>
      <c r="DC211" s="0" t="s">
        <v>384</v>
      </c>
      <c r="DD211" s="0" t="s">
        <v>291</v>
      </c>
      <c r="DE211" s="0" t="s">
        <v>6489</v>
      </c>
    </row>
    <row customHeight="1" ht="11.25">
      <c r="A212" s="1441" t="s">
        <v>240</v>
      </c>
      <c r="B212" s="0" t="s">
        <v>240</v>
      </c>
      <c r="C212" s="0" t="s">
        <v>240</v>
      </c>
      <c r="D212" s="0" t="s">
        <v>240</v>
      </c>
      <c r="E212" s="0" t="s">
        <v>240</v>
      </c>
      <c r="F212" s="0" t="s">
        <v>240</v>
      </c>
      <c r="G212" s="0" t="s">
        <v>240</v>
      </c>
      <c r="H212" s="0" t="s">
        <v>240</v>
      </c>
      <c r="I212" s="0" t="s">
        <v>5484</v>
      </c>
      <c r="J212" s="0" t="s">
        <v>240</v>
      </c>
      <c r="K212" s="0" t="s">
        <v>240</v>
      </c>
      <c r="L212" s="0" t="s">
        <v>240</v>
      </c>
      <c r="M212" s="0" t="s">
        <v>240</v>
      </c>
      <c r="N212" s="0" t="s">
        <v>240</v>
      </c>
      <c r="O212" s="0" t="s">
        <v>240</v>
      </c>
      <c r="P212" s="0" t="s">
        <v>240</v>
      </c>
      <c r="Q212" s="0" t="s">
        <v>240</v>
      </c>
      <c r="R212" s="0" t="s">
        <v>5485</v>
      </c>
      <c r="S212" s="0" t="s">
        <v>240</v>
      </c>
      <c r="T212" s="0" t="s">
        <v>240</v>
      </c>
      <c r="U212" s="0" t="s">
        <v>102</v>
      </c>
      <c r="V212" s="0" t="s">
        <v>240</v>
      </c>
      <c r="W212" s="0" t="s">
        <v>240</v>
      </c>
      <c r="X212" s="0" t="s">
        <v>5485</v>
      </c>
      <c r="Y212" s="0" t="s">
        <v>240</v>
      </c>
      <c r="Z212" s="0" t="s">
        <v>161</v>
      </c>
      <c r="AA212" s="0" t="s">
        <v>152</v>
      </c>
      <c r="AB212" s="0" t="s">
        <v>152</v>
      </c>
      <c r="AC212" s="0" t="s">
        <v>2991</v>
      </c>
      <c r="AD212" s="0" t="s">
        <v>2991</v>
      </c>
      <c r="AE212" s="0" t="s">
        <v>2992</v>
      </c>
      <c r="AF212" s="0" t="s">
        <v>5749</v>
      </c>
      <c r="AG212" s="0" t="s">
        <v>5750</v>
      </c>
      <c r="AH212" s="0" t="s">
        <v>5684</v>
      </c>
      <c r="AI212" s="0" t="s">
        <v>6306</v>
      </c>
      <c r="AJ212" s="0" t="s">
        <v>5578</v>
      </c>
      <c r="AK212" s="0" t="s">
        <v>5545</v>
      </c>
      <c r="AL212" s="0" t="s">
        <v>6109</v>
      </c>
      <c r="AM212" s="0" t="s">
        <v>5493</v>
      </c>
      <c r="AN212" s="0" t="s">
        <v>5553</v>
      </c>
      <c r="AO212" s="0" t="s">
        <v>5752</v>
      </c>
      <c r="AP212" s="0" t="s">
        <v>240</v>
      </c>
      <c r="AQ212" s="0" t="s">
        <v>240</v>
      </c>
      <c r="AR212" s="0" t="s">
        <v>240</v>
      </c>
      <c r="AS212" s="0" t="s">
        <v>240</v>
      </c>
      <c r="AT212" s="0" t="s">
        <v>240</v>
      </c>
      <c r="AU212" s="0" t="s">
        <v>240</v>
      </c>
      <c r="AV212" s="0" t="s">
        <v>240</v>
      </c>
      <c r="AW212" s="0" t="s">
        <v>240</v>
      </c>
      <c r="AX212" s="0" t="s">
        <v>240</v>
      </c>
      <c r="AY212" s="0" t="s">
        <v>240</v>
      </c>
      <c r="AZ212" s="0" t="s">
        <v>240</v>
      </c>
      <c r="BA212" s="0" t="s">
        <v>240</v>
      </c>
      <c r="BB212" s="0" t="s">
        <v>240</v>
      </c>
      <c r="BC212" s="0" t="s">
        <v>240</v>
      </c>
      <c r="BD212" s="0" t="s">
        <v>240</v>
      </c>
      <c r="BE212" s="0" t="s">
        <v>240</v>
      </c>
      <c r="BF212" s="0" t="s">
        <v>240</v>
      </c>
      <c r="BG212" s="0" t="s">
        <v>240</v>
      </c>
      <c r="BH212" s="0" t="s">
        <v>240</v>
      </c>
      <c r="BI212" s="0" t="s">
        <v>240</v>
      </c>
      <c r="BJ212" s="0" t="s">
        <v>240</v>
      </c>
      <c r="BK212" s="0" t="s">
        <v>240</v>
      </c>
      <c r="BL212" s="0" t="s">
        <v>240</v>
      </c>
      <c r="BM212" s="0" t="s">
        <v>240</v>
      </c>
      <c r="BN212" s="0" t="s">
        <v>240</v>
      </c>
      <c r="BO212" s="0" t="s">
        <v>240</v>
      </c>
      <c r="BP212" s="0" t="s">
        <v>240</v>
      </c>
      <c r="BQ212" s="0" t="s">
        <v>240</v>
      </c>
      <c r="BR212" s="0" t="s">
        <v>240</v>
      </c>
      <c r="BS212" s="0" t="s">
        <v>240</v>
      </c>
      <c r="BT212" s="0" t="s">
        <v>240</v>
      </c>
      <c r="BU212" s="0" t="s">
        <v>240</v>
      </c>
      <c r="BV212" s="0" t="s">
        <v>240</v>
      </c>
      <c r="BW212" s="0" t="s">
        <v>240</v>
      </c>
      <c r="BX212" s="0" t="s">
        <v>240</v>
      </c>
      <c r="BY212" s="0" t="s">
        <v>240</v>
      </c>
      <c r="BZ212" s="0" t="s">
        <v>240</v>
      </c>
      <c r="CA212" s="0" t="s">
        <v>240</v>
      </c>
      <c r="CB212" s="0" t="s">
        <v>240</v>
      </c>
      <c r="CC212" s="0" t="s">
        <v>240</v>
      </c>
      <c r="CD212" s="0" t="s">
        <v>240</v>
      </c>
      <c r="CE212" s="0" t="s">
        <v>240</v>
      </c>
      <c r="CF212" s="0" t="s">
        <v>240</v>
      </c>
      <c r="CG212" s="0" t="s">
        <v>240</v>
      </c>
      <c r="CH212" s="0" t="s">
        <v>240</v>
      </c>
      <c r="CI212" s="0" t="s">
        <v>240</v>
      </c>
      <c r="CJ212" s="0" t="s">
        <v>240</v>
      </c>
      <c r="CK212" s="0" t="s">
        <v>240</v>
      </c>
      <c r="CL212" s="0" t="s">
        <v>240</v>
      </c>
      <c r="CM212" s="0" t="s">
        <v>240</v>
      </c>
      <c r="CN212" s="0" t="s">
        <v>240</v>
      </c>
      <c r="CO212" s="0" t="s">
        <v>240</v>
      </c>
      <c r="CP212" s="0" t="s">
        <v>240</v>
      </c>
      <c r="CQ212" s="0" t="s">
        <v>240</v>
      </c>
      <c r="CR212" s="0" t="s">
        <v>240</v>
      </c>
      <c r="CS212" s="0" t="s">
        <v>240</v>
      </c>
      <c r="CT212" s="0" t="s">
        <v>5496</v>
      </c>
      <c r="CU212" s="0" t="s">
        <v>5497</v>
      </c>
      <c r="CV212" s="0" t="s">
        <v>443</v>
      </c>
      <c r="CW212" s="0" t="s">
        <v>5547</v>
      </c>
      <c r="CX212" s="0" t="s">
        <v>229</v>
      </c>
      <c r="CY212" s="0" t="s">
        <v>443</v>
      </c>
      <c r="CZ212" s="0" t="s">
        <v>5548</v>
      </c>
      <c r="DA212" s="0" t="s">
        <v>5549</v>
      </c>
      <c r="DB212" s="0" t="s">
        <v>5547</v>
      </c>
      <c r="DC212" s="0" t="s">
        <v>384</v>
      </c>
      <c r="DD212" s="0" t="s">
        <v>291</v>
      </c>
      <c r="DE212" s="0" t="s">
        <v>6307</v>
      </c>
    </row>
    <row customHeight="1" ht="11.25">
      <c r="A213" s="1441" t="s">
        <v>240</v>
      </c>
      <c r="B213" s="0" t="s">
        <v>240</v>
      </c>
      <c r="C213" s="0" t="s">
        <v>240</v>
      </c>
      <c r="D213" s="0" t="s">
        <v>240</v>
      </c>
      <c r="E213" s="0" t="s">
        <v>240</v>
      </c>
      <c r="F213" s="0" t="s">
        <v>240</v>
      </c>
      <c r="G213" s="0" t="s">
        <v>240</v>
      </c>
      <c r="H213" s="0" t="s">
        <v>240</v>
      </c>
      <c r="I213" s="0" t="s">
        <v>5484</v>
      </c>
      <c r="J213" s="0" t="s">
        <v>240</v>
      </c>
      <c r="K213" s="0" t="s">
        <v>240</v>
      </c>
      <c r="L213" s="0" t="s">
        <v>240</v>
      </c>
      <c r="M213" s="0" t="s">
        <v>240</v>
      </c>
      <c r="N213" s="0" t="s">
        <v>240</v>
      </c>
      <c r="O213" s="0" t="s">
        <v>240</v>
      </c>
      <c r="P213" s="0" t="s">
        <v>240</v>
      </c>
      <c r="Q213" s="0" t="s">
        <v>240</v>
      </c>
      <c r="R213" s="0" t="s">
        <v>6490</v>
      </c>
      <c r="S213" s="0" t="s">
        <v>240</v>
      </c>
      <c r="T213" s="0" t="s">
        <v>240</v>
      </c>
      <c r="U213" s="0" t="s">
        <v>102</v>
      </c>
      <c r="V213" s="0" t="s">
        <v>240</v>
      </c>
      <c r="W213" s="0" t="s">
        <v>240</v>
      </c>
      <c r="X213" s="0" t="s">
        <v>5485</v>
      </c>
      <c r="Y213" s="0" t="s">
        <v>240</v>
      </c>
      <c r="Z213" s="0" t="s">
        <v>161</v>
      </c>
      <c r="AA213" s="0" t="s">
        <v>152</v>
      </c>
      <c r="AB213" s="0" t="s">
        <v>152</v>
      </c>
      <c r="AC213" s="0" t="s">
        <v>2991</v>
      </c>
      <c r="AD213" s="0" t="s">
        <v>2991</v>
      </c>
      <c r="AE213" s="0" t="s">
        <v>2992</v>
      </c>
      <c r="AF213" s="0" t="s">
        <v>5749</v>
      </c>
      <c r="AG213" s="0" t="s">
        <v>5750</v>
      </c>
      <c r="AH213" s="0" t="s">
        <v>6491</v>
      </c>
      <c r="AI213" s="0" t="s">
        <v>5575</v>
      </c>
      <c r="AJ213" s="0" t="s">
        <v>5578</v>
      </c>
      <c r="AK213" s="0" t="s">
        <v>5822</v>
      </c>
      <c r="AL213" s="0" t="s">
        <v>6109</v>
      </c>
      <c r="AM213" s="0" t="s">
        <v>5493</v>
      </c>
      <c r="AN213" s="0" t="s">
        <v>5553</v>
      </c>
      <c r="AO213" s="0" t="s">
        <v>6492</v>
      </c>
      <c r="AP213" s="0" t="s">
        <v>240</v>
      </c>
      <c r="AQ213" s="0" t="s">
        <v>240</v>
      </c>
      <c r="AR213" s="0" t="s">
        <v>240</v>
      </c>
      <c r="AS213" s="0" t="s">
        <v>240</v>
      </c>
      <c r="AT213" s="0" t="s">
        <v>240</v>
      </c>
      <c r="AU213" s="0" t="s">
        <v>240</v>
      </c>
      <c r="AV213" s="0" t="s">
        <v>240</v>
      </c>
      <c r="AW213" s="0" t="s">
        <v>240</v>
      </c>
      <c r="AX213" s="0" t="s">
        <v>240</v>
      </c>
      <c r="AY213" s="0" t="s">
        <v>240</v>
      </c>
      <c r="AZ213" s="0" t="s">
        <v>240</v>
      </c>
      <c r="BA213" s="0" t="s">
        <v>240</v>
      </c>
      <c r="BB213" s="0" t="s">
        <v>240</v>
      </c>
      <c r="BC213" s="0" t="s">
        <v>240</v>
      </c>
      <c r="BD213" s="0" t="s">
        <v>240</v>
      </c>
      <c r="BE213" s="0" t="s">
        <v>240</v>
      </c>
      <c r="BF213" s="0" t="s">
        <v>240</v>
      </c>
      <c r="BG213" s="0" t="s">
        <v>240</v>
      </c>
      <c r="BH213" s="0" t="s">
        <v>240</v>
      </c>
      <c r="BI213" s="0" t="s">
        <v>240</v>
      </c>
      <c r="BJ213" s="0" t="s">
        <v>240</v>
      </c>
      <c r="BK213" s="0" t="s">
        <v>240</v>
      </c>
      <c r="BL213" s="0" t="s">
        <v>240</v>
      </c>
      <c r="BM213" s="0" t="s">
        <v>240</v>
      </c>
      <c r="BN213" s="0" t="s">
        <v>240</v>
      </c>
      <c r="BO213" s="0" t="s">
        <v>240</v>
      </c>
      <c r="BP213" s="0" t="s">
        <v>240</v>
      </c>
      <c r="BQ213" s="0" t="s">
        <v>240</v>
      </c>
      <c r="BR213" s="0" t="s">
        <v>240</v>
      </c>
      <c r="BS213" s="0" t="s">
        <v>240</v>
      </c>
      <c r="BT213" s="0" t="s">
        <v>240</v>
      </c>
      <c r="BU213" s="0" t="s">
        <v>240</v>
      </c>
      <c r="BV213" s="0" t="s">
        <v>240</v>
      </c>
      <c r="BW213" s="0" t="s">
        <v>240</v>
      </c>
      <c r="BX213" s="0" t="s">
        <v>240</v>
      </c>
      <c r="BY213" s="0" t="s">
        <v>240</v>
      </c>
      <c r="BZ213" s="0" t="s">
        <v>240</v>
      </c>
      <c r="CA213" s="0" t="s">
        <v>240</v>
      </c>
      <c r="CB213" s="0" t="s">
        <v>240</v>
      </c>
      <c r="CC213" s="0" t="s">
        <v>240</v>
      </c>
      <c r="CD213" s="0" t="s">
        <v>240</v>
      </c>
      <c r="CE213" s="0" t="s">
        <v>240</v>
      </c>
      <c r="CF213" s="0" t="s">
        <v>240</v>
      </c>
      <c r="CG213" s="0" t="s">
        <v>240</v>
      </c>
      <c r="CH213" s="0" t="s">
        <v>240</v>
      </c>
      <c r="CI213" s="0" t="s">
        <v>240</v>
      </c>
      <c r="CJ213" s="0" t="s">
        <v>240</v>
      </c>
      <c r="CK213" s="0" t="s">
        <v>240</v>
      </c>
      <c r="CL213" s="0" t="s">
        <v>240</v>
      </c>
      <c r="CM213" s="0" t="s">
        <v>240</v>
      </c>
      <c r="CN213" s="0" t="s">
        <v>240</v>
      </c>
      <c r="CO213" s="0" t="s">
        <v>240</v>
      </c>
      <c r="CP213" s="0" t="s">
        <v>240</v>
      </c>
      <c r="CQ213" s="0" t="s">
        <v>240</v>
      </c>
      <c r="CR213" s="0" t="s">
        <v>240</v>
      </c>
      <c r="CS213" s="0" t="s">
        <v>240</v>
      </c>
      <c r="CT213" s="0" t="s">
        <v>5496</v>
      </c>
      <c r="CU213" s="0" t="s">
        <v>5497</v>
      </c>
      <c r="CV213" s="0" t="s">
        <v>443</v>
      </c>
      <c r="CW213" s="0" t="s">
        <v>5547</v>
      </c>
      <c r="CX213" s="0" t="s">
        <v>229</v>
      </c>
      <c r="CY213" s="0" t="s">
        <v>443</v>
      </c>
      <c r="CZ213" s="0" t="s">
        <v>5548</v>
      </c>
      <c r="DA213" s="0" t="s">
        <v>5549</v>
      </c>
      <c r="DB213" s="0" t="s">
        <v>5547</v>
      </c>
      <c r="DC213" s="0" t="s">
        <v>384</v>
      </c>
      <c r="DD213" s="0" t="s">
        <v>291</v>
      </c>
      <c r="DE213" s="0" t="s">
        <v>6493</v>
      </c>
    </row>
    <row customHeight="1" ht="11.25">
      <c r="A214" s="1441" t="s">
        <v>240</v>
      </c>
      <c r="B214" s="0" t="s">
        <v>240</v>
      </c>
      <c r="C214" s="0" t="s">
        <v>240</v>
      </c>
      <c r="D214" s="0" t="s">
        <v>240</v>
      </c>
      <c r="E214" s="0" t="s">
        <v>240</v>
      </c>
      <c r="F214" s="0" t="s">
        <v>240</v>
      </c>
      <c r="G214" s="0" t="s">
        <v>240</v>
      </c>
      <c r="H214" s="0" t="s">
        <v>240</v>
      </c>
      <c r="I214" s="0" t="s">
        <v>5484</v>
      </c>
      <c r="J214" s="0" t="s">
        <v>240</v>
      </c>
      <c r="K214" s="0" t="s">
        <v>240</v>
      </c>
      <c r="L214" s="0" t="s">
        <v>240</v>
      </c>
      <c r="M214" s="0" t="s">
        <v>240</v>
      </c>
      <c r="N214" s="0" t="s">
        <v>240</v>
      </c>
      <c r="O214" s="0" t="s">
        <v>240</v>
      </c>
      <c r="P214" s="0" t="s">
        <v>240</v>
      </c>
      <c r="Q214" s="0" t="s">
        <v>240</v>
      </c>
      <c r="R214" s="0" t="s">
        <v>5572</v>
      </c>
      <c r="S214" s="0" t="s">
        <v>240</v>
      </c>
      <c r="T214" s="0" t="s">
        <v>240</v>
      </c>
      <c r="U214" s="0" t="s">
        <v>102</v>
      </c>
      <c r="V214" s="0" t="s">
        <v>240</v>
      </c>
      <c r="W214" s="0" t="s">
        <v>240</v>
      </c>
      <c r="X214" s="0" t="s">
        <v>5485</v>
      </c>
      <c r="Y214" s="0" t="s">
        <v>240</v>
      </c>
      <c r="Z214" s="0" t="s">
        <v>161</v>
      </c>
      <c r="AA214" s="0" t="s">
        <v>152</v>
      </c>
      <c r="AB214" s="0" t="s">
        <v>152</v>
      </c>
      <c r="AC214" s="0" t="s">
        <v>2989</v>
      </c>
      <c r="AD214" s="0" t="s">
        <v>2989</v>
      </c>
      <c r="AE214" s="0" t="s">
        <v>2990</v>
      </c>
      <c r="AF214" s="0" t="s">
        <v>6494</v>
      </c>
      <c r="AG214" s="0" t="s">
        <v>6495</v>
      </c>
      <c r="AH214" s="0" t="s">
        <v>5981</v>
      </c>
      <c r="AI214" s="0" t="s">
        <v>5575</v>
      </c>
      <c r="AJ214" s="0" t="s">
        <v>5576</v>
      </c>
      <c r="AK214" s="0" t="s">
        <v>5814</v>
      </c>
      <c r="AL214" s="0" t="s">
        <v>5506</v>
      </c>
      <c r="AM214" s="0" t="s">
        <v>5493</v>
      </c>
      <c r="AN214" s="0" t="s">
        <v>5578</v>
      </c>
      <c r="AO214" s="0" t="s">
        <v>5625</v>
      </c>
      <c r="AP214" s="0" t="s">
        <v>240</v>
      </c>
      <c r="AQ214" s="0" t="s">
        <v>240</v>
      </c>
      <c r="AR214" s="0" t="s">
        <v>240</v>
      </c>
      <c r="AS214" s="0" t="s">
        <v>240</v>
      </c>
      <c r="AT214" s="0" t="s">
        <v>240</v>
      </c>
      <c r="AU214" s="0" t="s">
        <v>240</v>
      </c>
      <c r="AV214" s="0" t="s">
        <v>240</v>
      </c>
      <c r="AW214" s="0" t="s">
        <v>240</v>
      </c>
      <c r="AX214" s="0" t="s">
        <v>240</v>
      </c>
      <c r="AY214" s="0" t="s">
        <v>240</v>
      </c>
      <c r="AZ214" s="0" t="s">
        <v>240</v>
      </c>
      <c r="BA214" s="0" t="s">
        <v>240</v>
      </c>
      <c r="BB214" s="0" t="s">
        <v>240</v>
      </c>
      <c r="BC214" s="0" t="s">
        <v>240</v>
      </c>
      <c r="BD214" s="0" t="s">
        <v>240</v>
      </c>
      <c r="BE214" s="0" t="s">
        <v>240</v>
      </c>
      <c r="BF214" s="0" t="s">
        <v>240</v>
      </c>
      <c r="BG214" s="0" t="s">
        <v>240</v>
      </c>
      <c r="BH214" s="0" t="s">
        <v>240</v>
      </c>
      <c r="BI214" s="0" t="s">
        <v>240</v>
      </c>
      <c r="BJ214" s="0" t="s">
        <v>240</v>
      </c>
      <c r="BK214" s="0" t="s">
        <v>240</v>
      </c>
      <c r="BL214" s="0" t="s">
        <v>240</v>
      </c>
      <c r="BM214" s="0" t="s">
        <v>240</v>
      </c>
      <c r="BN214" s="0" t="s">
        <v>240</v>
      </c>
      <c r="BO214" s="0" t="s">
        <v>240</v>
      </c>
      <c r="BP214" s="0" t="s">
        <v>240</v>
      </c>
      <c r="BQ214" s="0" t="s">
        <v>240</v>
      </c>
      <c r="BR214" s="0" t="s">
        <v>240</v>
      </c>
      <c r="BS214" s="0" t="s">
        <v>240</v>
      </c>
      <c r="BT214" s="0" t="s">
        <v>240</v>
      </c>
      <c r="BU214" s="0" t="s">
        <v>240</v>
      </c>
      <c r="BV214" s="0" t="s">
        <v>240</v>
      </c>
      <c r="BW214" s="0" t="s">
        <v>240</v>
      </c>
      <c r="BX214" s="0" t="s">
        <v>240</v>
      </c>
      <c r="BY214" s="0" t="s">
        <v>240</v>
      </c>
      <c r="BZ214" s="0" t="s">
        <v>240</v>
      </c>
      <c r="CA214" s="0" t="s">
        <v>240</v>
      </c>
      <c r="CB214" s="0" t="s">
        <v>240</v>
      </c>
      <c r="CC214" s="0" t="s">
        <v>240</v>
      </c>
      <c r="CD214" s="0" t="s">
        <v>240</v>
      </c>
      <c r="CE214" s="0" t="s">
        <v>240</v>
      </c>
      <c r="CF214" s="0" t="s">
        <v>240</v>
      </c>
      <c r="CG214" s="0" t="s">
        <v>240</v>
      </c>
      <c r="CH214" s="0" t="s">
        <v>240</v>
      </c>
      <c r="CI214" s="0" t="s">
        <v>240</v>
      </c>
      <c r="CJ214" s="0" t="s">
        <v>240</v>
      </c>
      <c r="CK214" s="0" t="s">
        <v>240</v>
      </c>
      <c r="CL214" s="0" t="s">
        <v>240</v>
      </c>
      <c r="CM214" s="0" t="s">
        <v>240</v>
      </c>
      <c r="CN214" s="0" t="s">
        <v>240</v>
      </c>
      <c r="CO214" s="0" t="s">
        <v>240</v>
      </c>
      <c r="CP214" s="0" t="s">
        <v>240</v>
      </c>
      <c r="CQ214" s="0" t="s">
        <v>240</v>
      </c>
      <c r="CR214" s="0" t="s">
        <v>240</v>
      </c>
      <c r="CS214" s="0" t="s">
        <v>240</v>
      </c>
      <c r="CT214" s="0" t="s">
        <v>5496</v>
      </c>
      <c r="CU214" s="0" t="s">
        <v>5497</v>
      </c>
      <c r="CV214" s="0" t="s">
        <v>443</v>
      </c>
      <c r="CW214" s="0" t="s">
        <v>5580</v>
      </c>
      <c r="CX214" s="0" t="s">
        <v>229</v>
      </c>
      <c r="CY214" s="0" t="s">
        <v>443</v>
      </c>
      <c r="CZ214" s="0" t="s">
        <v>5581</v>
      </c>
      <c r="DA214" s="0" t="s">
        <v>5582</v>
      </c>
      <c r="DB214" s="0" t="s">
        <v>5580</v>
      </c>
      <c r="DC214" s="0" t="s">
        <v>384</v>
      </c>
      <c r="DD214" s="0" t="s">
        <v>291</v>
      </c>
      <c r="DE214" s="0" t="s">
        <v>6496</v>
      </c>
    </row>
    <row customHeight="1" ht="11.25">
      <c r="A215" s="1441" t="s">
        <v>240</v>
      </c>
      <c r="B215" s="0" t="s">
        <v>240</v>
      </c>
      <c r="C215" s="0" t="s">
        <v>240</v>
      </c>
      <c r="D215" s="0" t="s">
        <v>240</v>
      </c>
      <c r="E215" s="0" t="s">
        <v>240</v>
      </c>
      <c r="F215" s="0" t="s">
        <v>240</v>
      </c>
      <c r="G215" s="0" t="s">
        <v>240</v>
      </c>
      <c r="H215" s="0" t="s">
        <v>240</v>
      </c>
      <c r="I215" s="0" t="s">
        <v>5484</v>
      </c>
      <c r="J215" s="0" t="s">
        <v>240</v>
      </c>
      <c r="K215" s="0" t="s">
        <v>240</v>
      </c>
      <c r="L215" s="0" t="s">
        <v>240</v>
      </c>
      <c r="M215" s="0" t="s">
        <v>240</v>
      </c>
      <c r="N215" s="0" t="s">
        <v>240</v>
      </c>
      <c r="O215" s="0" t="s">
        <v>240</v>
      </c>
      <c r="P215" s="0" t="s">
        <v>240</v>
      </c>
      <c r="Q215" s="0" t="s">
        <v>240</v>
      </c>
      <c r="R215" s="0" t="s">
        <v>5572</v>
      </c>
      <c r="S215" s="0" t="s">
        <v>240</v>
      </c>
      <c r="T215" s="0" t="s">
        <v>240</v>
      </c>
      <c r="U215" s="0" t="s">
        <v>102</v>
      </c>
      <c r="V215" s="0" t="s">
        <v>240</v>
      </c>
      <c r="W215" s="0" t="s">
        <v>240</v>
      </c>
      <c r="X215" s="0" t="s">
        <v>5485</v>
      </c>
      <c r="Y215" s="0" t="s">
        <v>240</v>
      </c>
      <c r="Z215" s="0" t="s">
        <v>161</v>
      </c>
      <c r="AA215" s="0" t="s">
        <v>152</v>
      </c>
      <c r="AB215" s="0" t="s">
        <v>152</v>
      </c>
      <c r="AC215" s="0" t="s">
        <v>2989</v>
      </c>
      <c r="AD215" s="0" t="s">
        <v>2989</v>
      </c>
      <c r="AE215" s="0" t="s">
        <v>2990</v>
      </c>
      <c r="AF215" s="0" t="s">
        <v>6245</v>
      </c>
      <c r="AG215" s="0" t="s">
        <v>6246</v>
      </c>
      <c r="AH215" s="0" t="s">
        <v>6497</v>
      </c>
      <c r="AI215" s="0" t="s">
        <v>5575</v>
      </c>
      <c r="AJ215" s="0" t="s">
        <v>5576</v>
      </c>
      <c r="AK215" s="0" t="s">
        <v>5814</v>
      </c>
      <c r="AL215" s="0" t="s">
        <v>5506</v>
      </c>
      <c r="AM215" s="0" t="s">
        <v>5493</v>
      </c>
      <c r="AN215" s="0" t="s">
        <v>5578</v>
      </c>
      <c r="AO215" s="0" t="s">
        <v>5625</v>
      </c>
      <c r="AP215" s="0" t="s">
        <v>240</v>
      </c>
      <c r="AQ215" s="0" t="s">
        <v>240</v>
      </c>
      <c r="AR215" s="0" t="s">
        <v>240</v>
      </c>
      <c r="AS215" s="0" t="s">
        <v>240</v>
      </c>
      <c r="AT215" s="0" t="s">
        <v>240</v>
      </c>
      <c r="AU215" s="0" t="s">
        <v>240</v>
      </c>
      <c r="AV215" s="0" t="s">
        <v>240</v>
      </c>
      <c r="AW215" s="0" t="s">
        <v>240</v>
      </c>
      <c r="AX215" s="0" t="s">
        <v>240</v>
      </c>
      <c r="AY215" s="0" t="s">
        <v>240</v>
      </c>
      <c r="AZ215" s="0" t="s">
        <v>240</v>
      </c>
      <c r="BA215" s="0" t="s">
        <v>240</v>
      </c>
      <c r="BB215" s="0" t="s">
        <v>240</v>
      </c>
      <c r="BC215" s="0" t="s">
        <v>240</v>
      </c>
      <c r="BD215" s="0" t="s">
        <v>240</v>
      </c>
      <c r="BE215" s="0" t="s">
        <v>240</v>
      </c>
      <c r="BF215" s="0" t="s">
        <v>240</v>
      </c>
      <c r="BG215" s="0" t="s">
        <v>240</v>
      </c>
      <c r="BH215" s="0" t="s">
        <v>240</v>
      </c>
      <c r="BI215" s="0" t="s">
        <v>240</v>
      </c>
      <c r="BJ215" s="0" t="s">
        <v>240</v>
      </c>
      <c r="BK215" s="0" t="s">
        <v>240</v>
      </c>
      <c r="BL215" s="0" t="s">
        <v>240</v>
      </c>
      <c r="BM215" s="0" t="s">
        <v>240</v>
      </c>
      <c r="BN215" s="0" t="s">
        <v>240</v>
      </c>
      <c r="BO215" s="0" t="s">
        <v>240</v>
      </c>
      <c r="BP215" s="0" t="s">
        <v>240</v>
      </c>
      <c r="BQ215" s="0" t="s">
        <v>240</v>
      </c>
      <c r="BR215" s="0" t="s">
        <v>240</v>
      </c>
      <c r="BS215" s="0" t="s">
        <v>240</v>
      </c>
      <c r="BT215" s="0" t="s">
        <v>240</v>
      </c>
      <c r="BU215" s="0" t="s">
        <v>240</v>
      </c>
      <c r="BV215" s="0" t="s">
        <v>240</v>
      </c>
      <c r="BW215" s="0" t="s">
        <v>240</v>
      </c>
      <c r="BX215" s="0" t="s">
        <v>240</v>
      </c>
      <c r="BY215" s="0" t="s">
        <v>240</v>
      </c>
      <c r="BZ215" s="0" t="s">
        <v>240</v>
      </c>
      <c r="CA215" s="0" t="s">
        <v>240</v>
      </c>
      <c r="CB215" s="0" t="s">
        <v>240</v>
      </c>
      <c r="CC215" s="0" t="s">
        <v>240</v>
      </c>
      <c r="CD215" s="0" t="s">
        <v>240</v>
      </c>
      <c r="CE215" s="0" t="s">
        <v>240</v>
      </c>
      <c r="CF215" s="0" t="s">
        <v>240</v>
      </c>
      <c r="CG215" s="0" t="s">
        <v>240</v>
      </c>
      <c r="CH215" s="0" t="s">
        <v>240</v>
      </c>
      <c r="CI215" s="0" t="s">
        <v>240</v>
      </c>
      <c r="CJ215" s="0" t="s">
        <v>240</v>
      </c>
      <c r="CK215" s="0" t="s">
        <v>240</v>
      </c>
      <c r="CL215" s="0" t="s">
        <v>240</v>
      </c>
      <c r="CM215" s="0" t="s">
        <v>240</v>
      </c>
      <c r="CN215" s="0" t="s">
        <v>240</v>
      </c>
      <c r="CO215" s="0" t="s">
        <v>240</v>
      </c>
      <c r="CP215" s="0" t="s">
        <v>240</v>
      </c>
      <c r="CQ215" s="0" t="s">
        <v>240</v>
      </c>
      <c r="CR215" s="0" t="s">
        <v>240</v>
      </c>
      <c r="CS215" s="0" t="s">
        <v>240</v>
      </c>
      <c r="CT215" s="0" t="s">
        <v>5496</v>
      </c>
      <c r="CU215" s="0" t="s">
        <v>5497</v>
      </c>
      <c r="CV215" s="0" t="s">
        <v>443</v>
      </c>
      <c r="CW215" s="0" t="s">
        <v>5580</v>
      </c>
      <c r="CX215" s="0" t="s">
        <v>229</v>
      </c>
      <c r="CY215" s="0" t="s">
        <v>443</v>
      </c>
      <c r="CZ215" s="0" t="s">
        <v>5581</v>
      </c>
      <c r="DA215" s="0" t="s">
        <v>5582</v>
      </c>
      <c r="DB215" s="0" t="s">
        <v>5580</v>
      </c>
      <c r="DC215" s="0" t="s">
        <v>384</v>
      </c>
      <c r="DD215" s="0" t="s">
        <v>291</v>
      </c>
      <c r="DE215" s="0" t="s">
        <v>6498</v>
      </c>
    </row>
    <row customHeight="1" ht="11.25">
      <c r="A216" s="1441" t="s">
        <v>240</v>
      </c>
      <c r="B216" s="0" t="s">
        <v>240</v>
      </c>
      <c r="C216" s="0" t="s">
        <v>240</v>
      </c>
      <c r="D216" s="0" t="s">
        <v>240</v>
      </c>
      <c r="E216" s="0" t="s">
        <v>240</v>
      </c>
      <c r="F216" s="0" t="s">
        <v>240</v>
      </c>
      <c r="G216" s="0" t="s">
        <v>240</v>
      </c>
      <c r="H216" s="0" t="s">
        <v>240</v>
      </c>
      <c r="I216" s="0" t="s">
        <v>5484</v>
      </c>
      <c r="J216" s="0" t="s">
        <v>240</v>
      </c>
      <c r="K216" s="0" t="s">
        <v>240</v>
      </c>
      <c r="L216" s="0" t="s">
        <v>240</v>
      </c>
      <c r="M216" s="0" t="s">
        <v>240</v>
      </c>
      <c r="N216" s="0" t="s">
        <v>240</v>
      </c>
      <c r="O216" s="0" t="s">
        <v>240</v>
      </c>
      <c r="P216" s="0" t="s">
        <v>240</v>
      </c>
      <c r="Q216" s="0" t="s">
        <v>240</v>
      </c>
      <c r="R216" s="0" t="s">
        <v>6499</v>
      </c>
      <c r="S216" s="0" t="s">
        <v>240</v>
      </c>
      <c r="T216" s="0" t="s">
        <v>240</v>
      </c>
      <c r="U216" s="0" t="s">
        <v>102</v>
      </c>
      <c r="V216" s="0" t="s">
        <v>240</v>
      </c>
      <c r="W216" s="0" t="s">
        <v>240</v>
      </c>
      <c r="X216" s="0" t="s">
        <v>5585</v>
      </c>
      <c r="Y216" s="0" t="s">
        <v>240</v>
      </c>
      <c r="Z216" s="0" t="s">
        <v>152</v>
      </c>
      <c r="AA216" s="0" t="s">
        <v>152</v>
      </c>
      <c r="AB216" s="0" t="s">
        <v>161</v>
      </c>
      <c r="AC216" s="0" t="s">
        <v>2989</v>
      </c>
      <c r="AD216" s="0" t="s">
        <v>2989</v>
      </c>
      <c r="AE216" s="0" t="s">
        <v>2990</v>
      </c>
      <c r="AF216" s="0" t="s">
        <v>6245</v>
      </c>
      <c r="AG216" s="0" t="s">
        <v>6246</v>
      </c>
      <c r="AH216" s="0" t="s">
        <v>5575</v>
      </c>
      <c r="AI216" s="0" t="s">
        <v>5575</v>
      </c>
      <c r="AJ216" s="0" t="s">
        <v>240</v>
      </c>
      <c r="AK216" s="0" t="s">
        <v>240</v>
      </c>
      <c r="AL216" s="0" t="s">
        <v>240</v>
      </c>
      <c r="AM216" s="0" t="s">
        <v>240</v>
      </c>
      <c r="AN216" s="0" t="s">
        <v>240</v>
      </c>
      <c r="AO216" s="0" t="s">
        <v>240</v>
      </c>
      <c r="AP216" s="0" t="s">
        <v>240</v>
      </c>
      <c r="AQ216" s="0" t="s">
        <v>240</v>
      </c>
      <c r="AR216" s="0" t="s">
        <v>240</v>
      </c>
      <c r="AS216" s="0" t="s">
        <v>240</v>
      </c>
      <c r="AT216" s="0" t="s">
        <v>240</v>
      </c>
      <c r="AU216" s="0" t="s">
        <v>240</v>
      </c>
      <c r="AV216" s="0" t="s">
        <v>240</v>
      </c>
      <c r="AW216" s="0" t="s">
        <v>240</v>
      </c>
      <c r="AX216" s="0" t="s">
        <v>240</v>
      </c>
      <c r="AY216" s="0" t="s">
        <v>240</v>
      </c>
      <c r="AZ216" s="0" t="s">
        <v>240</v>
      </c>
      <c r="BA216" s="0" t="s">
        <v>240</v>
      </c>
      <c r="BB216" s="0" t="s">
        <v>240</v>
      </c>
      <c r="BC216" s="0" t="s">
        <v>240</v>
      </c>
      <c r="BD216" s="0" t="s">
        <v>240</v>
      </c>
      <c r="BE216" s="0" t="s">
        <v>5992</v>
      </c>
      <c r="BF216" s="0" t="s">
        <v>5797</v>
      </c>
      <c r="BG216" s="0" t="s">
        <v>112</v>
      </c>
      <c r="BH216" s="0" t="s">
        <v>5589</v>
      </c>
      <c r="BI216" s="0" t="s">
        <v>123</v>
      </c>
      <c r="BJ216" s="0" t="s">
        <v>240</v>
      </c>
      <c r="BK216" s="0" t="s">
        <v>5608</v>
      </c>
      <c r="BL216" s="0" t="s">
        <v>2989</v>
      </c>
      <c r="BM216" s="0" t="s">
        <v>2989</v>
      </c>
      <c r="BN216" s="0" t="s">
        <v>5798</v>
      </c>
      <c r="BO216" s="0" t="s">
        <v>6245</v>
      </c>
      <c r="BP216" s="0" t="s">
        <v>6500</v>
      </c>
      <c r="BQ216" s="0" t="s">
        <v>5575</v>
      </c>
      <c r="BR216" s="0" t="s">
        <v>5575</v>
      </c>
      <c r="BS216" s="0" t="s">
        <v>240</v>
      </c>
      <c r="BT216" s="0" t="s">
        <v>5650</v>
      </c>
      <c r="BU216" s="0" t="s">
        <v>6501</v>
      </c>
      <c r="BV216" s="0" t="s">
        <v>6501</v>
      </c>
      <c r="BW216" s="0" t="s">
        <v>5598</v>
      </c>
      <c r="BX216" s="0" t="s">
        <v>5598</v>
      </c>
      <c r="BY216" s="0" t="s">
        <v>5598</v>
      </c>
      <c r="BZ216" s="0" t="s">
        <v>5598</v>
      </c>
      <c r="CA216" s="0" t="s">
        <v>5598</v>
      </c>
      <c r="CB216" s="0" t="s">
        <v>240</v>
      </c>
      <c r="CC216" s="0" t="s">
        <v>240</v>
      </c>
      <c r="CD216" s="0" t="s">
        <v>240</v>
      </c>
      <c r="CE216" s="0" t="s">
        <v>240</v>
      </c>
      <c r="CF216" s="0" t="s">
        <v>240</v>
      </c>
      <c r="CG216" s="0" t="s">
        <v>5598</v>
      </c>
      <c r="CH216" s="0" t="s">
        <v>240</v>
      </c>
      <c r="CI216" s="0" t="s">
        <v>240</v>
      </c>
      <c r="CJ216" s="0" t="s">
        <v>240</v>
      </c>
      <c r="CK216" s="0" t="s">
        <v>240</v>
      </c>
      <c r="CL216" s="0" t="s">
        <v>240</v>
      </c>
      <c r="CM216" s="0" t="s">
        <v>6501</v>
      </c>
      <c r="CN216" s="0" t="s">
        <v>6501</v>
      </c>
      <c r="CO216" s="0" t="s">
        <v>240</v>
      </c>
      <c r="CP216" s="0" t="s">
        <v>240</v>
      </c>
      <c r="CQ216" s="0" t="s">
        <v>240</v>
      </c>
      <c r="CR216" s="0" t="s">
        <v>240</v>
      </c>
      <c r="CS216" s="0" t="s">
        <v>5553</v>
      </c>
      <c r="CT216" s="0" t="s">
        <v>5496</v>
      </c>
      <c r="CU216" s="0" t="s">
        <v>5497</v>
      </c>
      <c r="CV216" s="0" t="s">
        <v>443</v>
      </c>
      <c r="CW216" s="0" t="s">
        <v>5580</v>
      </c>
      <c r="CX216" s="0" t="s">
        <v>229</v>
      </c>
      <c r="CY216" s="0" t="s">
        <v>443</v>
      </c>
      <c r="CZ216" s="0" t="s">
        <v>5581</v>
      </c>
      <c r="DA216" s="0" t="s">
        <v>5582</v>
      </c>
      <c r="DB216" s="0" t="s">
        <v>5580</v>
      </c>
      <c r="DC216" s="0" t="s">
        <v>384</v>
      </c>
      <c r="DD216" s="0" t="s">
        <v>291</v>
      </c>
      <c r="DE216" s="0" t="s">
        <v>6502</v>
      </c>
    </row>
    <row customHeight="1" ht="11.25">
      <c r="A217" s="1441" t="s">
        <v>240</v>
      </c>
      <c r="B217" s="0" t="s">
        <v>240</v>
      </c>
      <c r="C217" s="0" t="s">
        <v>240</v>
      </c>
      <c r="D217" s="0" t="s">
        <v>240</v>
      </c>
      <c r="E217" s="0" t="s">
        <v>240</v>
      </c>
      <c r="F217" s="0" t="s">
        <v>240</v>
      </c>
      <c r="G217" s="0" t="s">
        <v>240</v>
      </c>
      <c r="H217" s="0" t="s">
        <v>240</v>
      </c>
      <c r="I217" s="0" t="s">
        <v>5484</v>
      </c>
      <c r="J217" s="0" t="s">
        <v>240</v>
      </c>
      <c r="K217" s="0" t="s">
        <v>240</v>
      </c>
      <c r="L217" s="0" t="s">
        <v>240</v>
      </c>
      <c r="M217" s="0" t="s">
        <v>240</v>
      </c>
      <c r="N217" s="0" t="s">
        <v>240</v>
      </c>
      <c r="O217" s="0" t="s">
        <v>240</v>
      </c>
      <c r="P217" s="0" t="s">
        <v>240</v>
      </c>
      <c r="Q217" s="0" t="s">
        <v>240</v>
      </c>
      <c r="R217" s="0" t="s">
        <v>5572</v>
      </c>
      <c r="S217" s="0" t="s">
        <v>240</v>
      </c>
      <c r="T217" s="0" t="s">
        <v>240</v>
      </c>
      <c r="U217" s="0" t="s">
        <v>102</v>
      </c>
      <c r="V217" s="0" t="s">
        <v>240</v>
      </c>
      <c r="W217" s="0" t="s">
        <v>240</v>
      </c>
      <c r="X217" s="0" t="s">
        <v>5485</v>
      </c>
      <c r="Y217" s="0" t="s">
        <v>240</v>
      </c>
      <c r="Z217" s="0" t="s">
        <v>161</v>
      </c>
      <c r="AA217" s="0" t="s">
        <v>152</v>
      </c>
      <c r="AB217" s="0" t="s">
        <v>152</v>
      </c>
      <c r="AC217" s="0" t="s">
        <v>2989</v>
      </c>
      <c r="AD217" s="0" t="s">
        <v>2989</v>
      </c>
      <c r="AE217" s="0" t="s">
        <v>2990</v>
      </c>
      <c r="AF217" s="0" t="s">
        <v>6503</v>
      </c>
      <c r="AG217" s="0" t="s">
        <v>6504</v>
      </c>
      <c r="AH217" s="0" t="s">
        <v>5575</v>
      </c>
      <c r="AI217" s="0" t="s">
        <v>5575</v>
      </c>
      <c r="AJ217" s="0" t="s">
        <v>5576</v>
      </c>
      <c r="AK217" s="0" t="s">
        <v>6505</v>
      </c>
      <c r="AL217" s="0" t="s">
        <v>5506</v>
      </c>
      <c r="AM217" s="0" t="s">
        <v>5493</v>
      </c>
      <c r="AN217" s="0" t="s">
        <v>5578</v>
      </c>
      <c r="AO217" s="0" t="s">
        <v>5579</v>
      </c>
      <c r="AP217" s="0" t="s">
        <v>240</v>
      </c>
      <c r="AQ217" s="0" t="s">
        <v>240</v>
      </c>
      <c r="AR217" s="0" t="s">
        <v>240</v>
      </c>
      <c r="AS217" s="0" t="s">
        <v>240</v>
      </c>
      <c r="AT217" s="0" t="s">
        <v>240</v>
      </c>
      <c r="AU217" s="0" t="s">
        <v>240</v>
      </c>
      <c r="AV217" s="0" t="s">
        <v>240</v>
      </c>
      <c r="AW217" s="0" t="s">
        <v>240</v>
      </c>
      <c r="AX217" s="0" t="s">
        <v>240</v>
      </c>
      <c r="AY217" s="0" t="s">
        <v>240</v>
      </c>
      <c r="AZ217" s="0" t="s">
        <v>240</v>
      </c>
      <c r="BA217" s="0" t="s">
        <v>240</v>
      </c>
      <c r="BB217" s="0" t="s">
        <v>240</v>
      </c>
      <c r="BC217" s="0" t="s">
        <v>240</v>
      </c>
      <c r="BD217" s="0" t="s">
        <v>240</v>
      </c>
      <c r="BE217" s="0" t="s">
        <v>240</v>
      </c>
      <c r="BF217" s="0" t="s">
        <v>240</v>
      </c>
      <c r="BG217" s="0" t="s">
        <v>240</v>
      </c>
      <c r="BH217" s="0" t="s">
        <v>240</v>
      </c>
      <c r="BI217" s="0" t="s">
        <v>240</v>
      </c>
      <c r="BJ217" s="0" t="s">
        <v>240</v>
      </c>
      <c r="BK217" s="0" t="s">
        <v>240</v>
      </c>
      <c r="BL217" s="0" t="s">
        <v>240</v>
      </c>
      <c r="BM217" s="0" t="s">
        <v>240</v>
      </c>
      <c r="BN217" s="0" t="s">
        <v>240</v>
      </c>
      <c r="BO217" s="0" t="s">
        <v>240</v>
      </c>
      <c r="BP217" s="0" t="s">
        <v>240</v>
      </c>
      <c r="BQ217" s="0" t="s">
        <v>240</v>
      </c>
      <c r="BR217" s="0" t="s">
        <v>240</v>
      </c>
      <c r="BS217" s="0" t="s">
        <v>240</v>
      </c>
      <c r="BT217" s="0" t="s">
        <v>240</v>
      </c>
      <c r="BU217" s="0" t="s">
        <v>240</v>
      </c>
      <c r="BV217" s="0" t="s">
        <v>240</v>
      </c>
      <c r="BW217" s="0" t="s">
        <v>240</v>
      </c>
      <c r="BX217" s="0" t="s">
        <v>240</v>
      </c>
      <c r="BY217" s="0" t="s">
        <v>240</v>
      </c>
      <c r="BZ217" s="0" t="s">
        <v>240</v>
      </c>
      <c r="CA217" s="0" t="s">
        <v>240</v>
      </c>
      <c r="CB217" s="0" t="s">
        <v>240</v>
      </c>
      <c r="CC217" s="0" t="s">
        <v>240</v>
      </c>
      <c r="CD217" s="0" t="s">
        <v>240</v>
      </c>
      <c r="CE217" s="0" t="s">
        <v>240</v>
      </c>
      <c r="CF217" s="0" t="s">
        <v>240</v>
      </c>
      <c r="CG217" s="0" t="s">
        <v>240</v>
      </c>
      <c r="CH217" s="0" t="s">
        <v>240</v>
      </c>
      <c r="CI217" s="0" t="s">
        <v>240</v>
      </c>
      <c r="CJ217" s="0" t="s">
        <v>240</v>
      </c>
      <c r="CK217" s="0" t="s">
        <v>240</v>
      </c>
      <c r="CL217" s="0" t="s">
        <v>240</v>
      </c>
      <c r="CM217" s="0" t="s">
        <v>240</v>
      </c>
      <c r="CN217" s="0" t="s">
        <v>240</v>
      </c>
      <c r="CO217" s="0" t="s">
        <v>240</v>
      </c>
      <c r="CP217" s="0" t="s">
        <v>240</v>
      </c>
      <c r="CQ217" s="0" t="s">
        <v>240</v>
      </c>
      <c r="CR217" s="0" t="s">
        <v>240</v>
      </c>
      <c r="CS217" s="0" t="s">
        <v>240</v>
      </c>
      <c r="CT217" s="0" t="s">
        <v>5496</v>
      </c>
      <c r="CU217" s="0" t="s">
        <v>5497</v>
      </c>
      <c r="CV217" s="0" t="s">
        <v>443</v>
      </c>
      <c r="CW217" s="0" t="s">
        <v>5580</v>
      </c>
      <c r="CX217" s="0" t="s">
        <v>229</v>
      </c>
      <c r="CY217" s="0" t="s">
        <v>443</v>
      </c>
      <c r="CZ217" s="0" t="s">
        <v>5581</v>
      </c>
      <c r="DA217" s="0" t="s">
        <v>5582</v>
      </c>
      <c r="DB217" s="0" t="s">
        <v>5580</v>
      </c>
      <c r="DC217" s="0" t="s">
        <v>384</v>
      </c>
      <c r="DD217" s="0" t="s">
        <v>291</v>
      </c>
      <c r="DE217" s="0" t="s">
        <v>6506</v>
      </c>
    </row>
    <row customHeight="1" ht="11.25">
      <c r="A218" s="1441" t="s">
        <v>240</v>
      </c>
      <c r="B218" s="0" t="s">
        <v>240</v>
      </c>
      <c r="C218" s="0" t="s">
        <v>240</v>
      </c>
      <c r="D218" s="0" t="s">
        <v>240</v>
      </c>
      <c r="E218" s="0" t="s">
        <v>240</v>
      </c>
      <c r="F218" s="0" t="s">
        <v>240</v>
      </c>
      <c r="G218" s="0" t="s">
        <v>240</v>
      </c>
      <c r="H218" s="0" t="s">
        <v>240</v>
      </c>
      <c r="I218" s="0" t="s">
        <v>5484</v>
      </c>
      <c r="J218" s="0" t="s">
        <v>240</v>
      </c>
      <c r="K218" s="0" t="s">
        <v>240</v>
      </c>
      <c r="L218" s="0" t="s">
        <v>240</v>
      </c>
      <c r="M218" s="0" t="s">
        <v>240</v>
      </c>
      <c r="N218" s="0" t="s">
        <v>240</v>
      </c>
      <c r="O218" s="0" t="s">
        <v>240</v>
      </c>
      <c r="P218" s="0" t="s">
        <v>240</v>
      </c>
      <c r="Q218" s="0" t="s">
        <v>240</v>
      </c>
      <c r="R218" s="0" t="s">
        <v>6507</v>
      </c>
      <c r="S218" s="0" t="s">
        <v>240</v>
      </c>
      <c r="T218" s="0" t="s">
        <v>240</v>
      </c>
      <c r="U218" s="0" t="s">
        <v>102</v>
      </c>
      <c r="V218" s="0" t="s">
        <v>240</v>
      </c>
      <c r="W218" s="0" t="s">
        <v>240</v>
      </c>
      <c r="X218" s="0" t="s">
        <v>5585</v>
      </c>
      <c r="Y218" s="0" t="s">
        <v>240</v>
      </c>
      <c r="Z218" s="0" t="s">
        <v>152</v>
      </c>
      <c r="AA218" s="0" t="s">
        <v>152</v>
      </c>
      <c r="AB218" s="0" t="s">
        <v>161</v>
      </c>
      <c r="AC218" s="0" t="s">
        <v>3395</v>
      </c>
      <c r="AD218" s="0" t="s">
        <v>3395</v>
      </c>
      <c r="AE218" s="0" t="s">
        <v>3396</v>
      </c>
      <c r="AF218" s="0" t="s">
        <v>5941</v>
      </c>
      <c r="AG218" s="0" t="s">
        <v>5942</v>
      </c>
      <c r="AH218" s="0" t="s">
        <v>6063</v>
      </c>
      <c r="AI218" s="0" t="s">
        <v>152</v>
      </c>
      <c r="AJ218" s="0" t="s">
        <v>240</v>
      </c>
      <c r="AK218" s="0" t="s">
        <v>240</v>
      </c>
      <c r="AL218" s="0" t="s">
        <v>240</v>
      </c>
      <c r="AM218" s="0" t="s">
        <v>240</v>
      </c>
      <c r="AN218" s="0" t="s">
        <v>240</v>
      </c>
      <c r="AO218" s="0" t="s">
        <v>240</v>
      </c>
      <c r="AP218" s="0" t="s">
        <v>240</v>
      </c>
      <c r="AQ218" s="0" t="s">
        <v>240</v>
      </c>
      <c r="AR218" s="0" t="s">
        <v>240</v>
      </c>
      <c r="AS218" s="0" t="s">
        <v>240</v>
      </c>
      <c r="AT218" s="0" t="s">
        <v>240</v>
      </c>
      <c r="AU218" s="0" t="s">
        <v>240</v>
      </c>
      <c r="AV218" s="0" t="s">
        <v>240</v>
      </c>
      <c r="AW218" s="0" t="s">
        <v>240</v>
      </c>
      <c r="AX218" s="0" t="s">
        <v>240</v>
      </c>
      <c r="AY218" s="0" t="s">
        <v>240</v>
      </c>
      <c r="AZ218" s="0" t="s">
        <v>240</v>
      </c>
      <c r="BA218" s="0" t="s">
        <v>240</v>
      </c>
      <c r="BB218" s="0" t="s">
        <v>240</v>
      </c>
      <c r="BC218" s="0" t="s">
        <v>240</v>
      </c>
      <c r="BD218" s="0" t="s">
        <v>240</v>
      </c>
      <c r="BE218" s="0" t="s">
        <v>6508</v>
      </c>
      <c r="BF218" s="0" t="s">
        <v>6508</v>
      </c>
      <c r="BG218" s="0" t="s">
        <v>112</v>
      </c>
      <c r="BH218" s="0" t="s">
        <v>5589</v>
      </c>
      <c r="BI218" s="0" t="s">
        <v>123</v>
      </c>
      <c r="BJ218" s="0" t="s">
        <v>240</v>
      </c>
      <c r="BK218" s="0" t="s">
        <v>6509</v>
      </c>
      <c r="BL218" s="0" t="s">
        <v>3395</v>
      </c>
      <c r="BM218" s="0" t="s">
        <v>3395</v>
      </c>
      <c r="BN218" s="0" t="s">
        <v>6066</v>
      </c>
      <c r="BO218" s="0" t="s">
        <v>5941</v>
      </c>
      <c r="BP218" s="0" t="s">
        <v>6067</v>
      </c>
      <c r="BQ218" s="0" t="s">
        <v>6510</v>
      </c>
      <c r="BR218" s="0" t="s">
        <v>152</v>
      </c>
      <c r="BS218" s="0" t="s">
        <v>240</v>
      </c>
      <c r="BT218" s="0" t="s">
        <v>6511</v>
      </c>
      <c r="BU218" s="0" t="s">
        <v>6512</v>
      </c>
      <c r="BV218" s="0" t="s">
        <v>6512</v>
      </c>
      <c r="BW218" s="0" t="s">
        <v>5598</v>
      </c>
      <c r="BX218" s="0" t="s">
        <v>5598</v>
      </c>
      <c r="BY218" s="0" t="s">
        <v>5598</v>
      </c>
      <c r="BZ218" s="0" t="s">
        <v>5598</v>
      </c>
      <c r="CA218" s="0" t="s">
        <v>5598</v>
      </c>
      <c r="CB218" s="0" t="s">
        <v>5598</v>
      </c>
      <c r="CC218" s="0" t="s">
        <v>5598</v>
      </c>
      <c r="CD218" s="0" t="s">
        <v>5598</v>
      </c>
      <c r="CE218" s="0" t="s">
        <v>5598</v>
      </c>
      <c r="CF218" s="0" t="s">
        <v>5598</v>
      </c>
      <c r="CG218" s="0" t="s">
        <v>5598</v>
      </c>
      <c r="CH218" s="0" t="s">
        <v>5598</v>
      </c>
      <c r="CI218" s="0" t="s">
        <v>5598</v>
      </c>
      <c r="CJ218" s="0" t="s">
        <v>5598</v>
      </c>
      <c r="CK218" s="0" t="s">
        <v>5598</v>
      </c>
      <c r="CL218" s="0" t="s">
        <v>5598</v>
      </c>
      <c r="CM218" s="0" t="s">
        <v>6512</v>
      </c>
      <c r="CN218" s="0" t="s">
        <v>6512</v>
      </c>
      <c r="CO218" s="0" t="s">
        <v>5598</v>
      </c>
      <c r="CP218" s="0" t="s">
        <v>5598</v>
      </c>
      <c r="CQ218" s="0" t="s">
        <v>5598</v>
      </c>
      <c r="CR218" s="0" t="s">
        <v>5598</v>
      </c>
      <c r="CS218" s="0" t="s">
        <v>6513</v>
      </c>
      <c r="CT218" s="0" t="s">
        <v>5496</v>
      </c>
      <c r="CU218" s="0" t="s">
        <v>5497</v>
      </c>
      <c r="CV218" s="0" t="s">
        <v>5947</v>
      </c>
      <c r="CW218" s="0" t="s">
        <v>5948</v>
      </c>
      <c r="CX218" s="0" t="s">
        <v>5528</v>
      </c>
      <c r="CY218" s="0" t="s">
        <v>5947</v>
      </c>
      <c r="CZ218" s="0" t="s">
        <v>5533</v>
      </c>
      <c r="DA218" s="0" t="s">
        <v>5949</v>
      </c>
      <c r="DB218" s="0" t="s">
        <v>5600</v>
      </c>
      <c r="DC218" s="0" t="s">
        <v>384</v>
      </c>
      <c r="DD218" s="0" t="s">
        <v>291</v>
      </c>
      <c r="DE218" s="0" t="s">
        <v>6073</v>
      </c>
    </row>
    <row customHeight="1" ht="11.25">
      <c r="A219" s="1441" t="s">
        <v>240</v>
      </c>
      <c r="B219" s="0" t="s">
        <v>240</v>
      </c>
      <c r="C219" s="0" t="s">
        <v>240</v>
      </c>
      <c r="D219" s="0" t="s">
        <v>240</v>
      </c>
      <c r="E219" s="0" t="s">
        <v>240</v>
      </c>
      <c r="F219" s="0" t="s">
        <v>240</v>
      </c>
      <c r="G219" s="0" t="s">
        <v>240</v>
      </c>
      <c r="H219" s="0" t="s">
        <v>240</v>
      </c>
      <c r="I219" s="0" t="s">
        <v>5484</v>
      </c>
      <c r="J219" s="0" t="s">
        <v>240</v>
      </c>
      <c r="K219" s="0" t="s">
        <v>240</v>
      </c>
      <c r="L219" s="0" t="s">
        <v>240</v>
      </c>
      <c r="M219" s="0" t="s">
        <v>240</v>
      </c>
      <c r="N219" s="0" t="s">
        <v>240</v>
      </c>
      <c r="O219" s="0" t="s">
        <v>240</v>
      </c>
      <c r="P219" s="0" t="s">
        <v>240</v>
      </c>
      <c r="Q219" s="0" t="s">
        <v>240</v>
      </c>
      <c r="R219" s="0" t="s">
        <v>499</v>
      </c>
      <c r="S219" s="0" t="s">
        <v>240</v>
      </c>
      <c r="T219" s="0" t="s">
        <v>240</v>
      </c>
      <c r="U219" s="0" t="s">
        <v>102</v>
      </c>
      <c r="V219" s="0" t="s">
        <v>240</v>
      </c>
      <c r="W219" s="0" t="s">
        <v>240</v>
      </c>
      <c r="X219" s="0" t="s">
        <v>5485</v>
      </c>
      <c r="Y219" s="0" t="s">
        <v>240</v>
      </c>
      <c r="Z219" s="0" t="s">
        <v>161</v>
      </c>
      <c r="AA219" s="0" t="s">
        <v>152</v>
      </c>
      <c r="AB219" s="0" t="s">
        <v>152</v>
      </c>
      <c r="AC219" s="0" t="s">
        <v>2964</v>
      </c>
      <c r="AD219" s="0" t="s">
        <v>2964</v>
      </c>
      <c r="AE219" s="0" t="s">
        <v>2965</v>
      </c>
      <c r="AF219" s="0" t="s">
        <v>6514</v>
      </c>
      <c r="AG219" s="0" t="s">
        <v>6515</v>
      </c>
      <c r="AH219" s="0" t="s">
        <v>6516</v>
      </c>
      <c r="AI219" s="0" t="s">
        <v>6517</v>
      </c>
      <c r="AJ219" s="0" t="s">
        <v>6518</v>
      </c>
      <c r="AK219" s="0" t="s">
        <v>6519</v>
      </c>
      <c r="AL219" s="0" t="s">
        <v>5605</v>
      </c>
      <c r="AM219" s="0" t="s">
        <v>6520</v>
      </c>
      <c r="AN219" s="0" t="s">
        <v>6521</v>
      </c>
      <c r="AO219" s="0" t="s">
        <v>5777</v>
      </c>
      <c r="AP219" s="0" t="s">
        <v>240</v>
      </c>
      <c r="AQ219" s="0" t="s">
        <v>240</v>
      </c>
      <c r="AR219" s="0" t="s">
        <v>240</v>
      </c>
      <c r="AS219" s="0" t="s">
        <v>240</v>
      </c>
      <c r="AT219" s="0" t="s">
        <v>240</v>
      </c>
      <c r="AU219" s="0" t="s">
        <v>240</v>
      </c>
      <c r="AV219" s="0" t="s">
        <v>240</v>
      </c>
      <c r="AW219" s="0" t="s">
        <v>240</v>
      </c>
      <c r="AX219" s="0" t="s">
        <v>240</v>
      </c>
      <c r="AY219" s="0" t="s">
        <v>240</v>
      </c>
      <c r="AZ219" s="0" t="s">
        <v>240</v>
      </c>
      <c r="BA219" s="0" t="s">
        <v>240</v>
      </c>
      <c r="BB219" s="0" t="s">
        <v>240</v>
      </c>
      <c r="BC219" s="0" t="s">
        <v>240</v>
      </c>
      <c r="BD219" s="0" t="s">
        <v>240</v>
      </c>
      <c r="BE219" s="0" t="s">
        <v>240</v>
      </c>
      <c r="BF219" s="0" t="s">
        <v>240</v>
      </c>
      <c r="BG219" s="0" t="s">
        <v>240</v>
      </c>
      <c r="BH219" s="0" t="s">
        <v>240</v>
      </c>
      <c r="BI219" s="0" t="s">
        <v>240</v>
      </c>
      <c r="BJ219" s="0" t="s">
        <v>240</v>
      </c>
      <c r="BK219" s="0" t="s">
        <v>240</v>
      </c>
      <c r="BL219" s="0" t="s">
        <v>240</v>
      </c>
      <c r="BM219" s="0" t="s">
        <v>240</v>
      </c>
      <c r="BN219" s="0" t="s">
        <v>240</v>
      </c>
      <c r="BO219" s="0" t="s">
        <v>240</v>
      </c>
      <c r="BP219" s="0" t="s">
        <v>240</v>
      </c>
      <c r="BQ219" s="0" t="s">
        <v>240</v>
      </c>
      <c r="BR219" s="0" t="s">
        <v>240</v>
      </c>
      <c r="BS219" s="0" t="s">
        <v>240</v>
      </c>
      <c r="BT219" s="0" t="s">
        <v>240</v>
      </c>
      <c r="BU219" s="0" t="s">
        <v>240</v>
      </c>
      <c r="BV219" s="0" t="s">
        <v>240</v>
      </c>
      <c r="BW219" s="0" t="s">
        <v>240</v>
      </c>
      <c r="BX219" s="0" t="s">
        <v>240</v>
      </c>
      <c r="BY219" s="0" t="s">
        <v>240</v>
      </c>
      <c r="BZ219" s="0" t="s">
        <v>240</v>
      </c>
      <c r="CA219" s="0" t="s">
        <v>240</v>
      </c>
      <c r="CB219" s="0" t="s">
        <v>240</v>
      </c>
      <c r="CC219" s="0" t="s">
        <v>240</v>
      </c>
      <c r="CD219" s="0" t="s">
        <v>240</v>
      </c>
      <c r="CE219" s="0" t="s">
        <v>240</v>
      </c>
      <c r="CF219" s="0" t="s">
        <v>240</v>
      </c>
      <c r="CG219" s="0" t="s">
        <v>240</v>
      </c>
      <c r="CH219" s="0" t="s">
        <v>240</v>
      </c>
      <c r="CI219" s="0" t="s">
        <v>240</v>
      </c>
      <c r="CJ219" s="0" t="s">
        <v>240</v>
      </c>
      <c r="CK219" s="0" t="s">
        <v>240</v>
      </c>
      <c r="CL219" s="0" t="s">
        <v>240</v>
      </c>
      <c r="CM219" s="0" t="s">
        <v>240</v>
      </c>
      <c r="CN219" s="0" t="s">
        <v>240</v>
      </c>
      <c r="CO219" s="0" t="s">
        <v>240</v>
      </c>
      <c r="CP219" s="0" t="s">
        <v>240</v>
      </c>
      <c r="CQ219" s="0" t="s">
        <v>240</v>
      </c>
      <c r="CR219" s="0" t="s">
        <v>240</v>
      </c>
      <c r="CS219" s="0" t="s">
        <v>240</v>
      </c>
      <c r="CT219" s="0" t="s">
        <v>5496</v>
      </c>
      <c r="CU219" s="0" t="s">
        <v>5497</v>
      </c>
      <c r="CV219" s="0" t="s">
        <v>443</v>
      </c>
      <c r="CW219" s="0" t="s">
        <v>5498</v>
      </c>
      <c r="CX219" s="0" t="s">
        <v>229</v>
      </c>
      <c r="CY219" s="0" t="s">
        <v>443</v>
      </c>
      <c r="CZ219" s="0" t="s">
        <v>230</v>
      </c>
      <c r="DA219" s="0" t="s">
        <v>444</v>
      </c>
      <c r="DB219" s="0" t="s">
        <v>5498</v>
      </c>
      <c r="DC219" s="0" t="s">
        <v>384</v>
      </c>
      <c r="DD219" s="0" t="s">
        <v>291</v>
      </c>
      <c r="DE219" s="0" t="s">
        <v>500</v>
      </c>
    </row>
    <row customHeight="1" ht="11.25">
      <c r="A220" s="1441" t="s">
        <v>240</v>
      </c>
      <c r="B220" s="0" t="s">
        <v>240</v>
      </c>
      <c r="C220" s="0" t="s">
        <v>240</v>
      </c>
      <c r="D220" s="0" t="s">
        <v>240</v>
      </c>
      <c r="E220" s="0" t="s">
        <v>240</v>
      </c>
      <c r="F220" s="0" t="s">
        <v>240</v>
      </c>
      <c r="G220" s="0" t="s">
        <v>240</v>
      </c>
      <c r="H220" s="0" t="s">
        <v>240</v>
      </c>
      <c r="I220" s="0" t="s">
        <v>5484</v>
      </c>
      <c r="J220" s="0" t="s">
        <v>240</v>
      </c>
      <c r="K220" s="0" t="s">
        <v>240</v>
      </c>
      <c r="L220" s="0" t="s">
        <v>240</v>
      </c>
      <c r="M220" s="0" t="s">
        <v>240</v>
      </c>
      <c r="N220" s="0" t="s">
        <v>240</v>
      </c>
      <c r="O220" s="0" t="s">
        <v>240</v>
      </c>
      <c r="P220" s="0" t="s">
        <v>240</v>
      </c>
      <c r="Q220" s="0" t="s">
        <v>240</v>
      </c>
      <c r="R220" s="0" t="s">
        <v>6322</v>
      </c>
      <c r="S220" s="0" t="s">
        <v>240</v>
      </c>
      <c r="T220" s="0" t="s">
        <v>240</v>
      </c>
      <c r="U220" s="0" t="s">
        <v>102</v>
      </c>
      <c r="V220" s="0" t="s">
        <v>240</v>
      </c>
      <c r="W220" s="0" t="s">
        <v>240</v>
      </c>
      <c r="X220" s="0" t="s">
        <v>5585</v>
      </c>
      <c r="Y220" s="0" t="s">
        <v>240</v>
      </c>
      <c r="Z220" s="0" t="s">
        <v>152</v>
      </c>
      <c r="AA220" s="0" t="s">
        <v>152</v>
      </c>
      <c r="AB220" s="0" t="s">
        <v>161</v>
      </c>
      <c r="AC220" s="0" t="s">
        <v>2985</v>
      </c>
      <c r="AD220" s="0" t="s">
        <v>2985</v>
      </c>
      <c r="AE220" s="0" t="s">
        <v>2986</v>
      </c>
      <c r="AF220" s="0" t="s">
        <v>6522</v>
      </c>
      <c r="AG220" s="0" t="s">
        <v>6523</v>
      </c>
      <c r="AH220" s="0" t="s">
        <v>6524</v>
      </c>
      <c r="AI220" s="0" t="s">
        <v>6525</v>
      </c>
      <c r="AJ220" s="0" t="s">
        <v>240</v>
      </c>
      <c r="AK220" s="0" t="s">
        <v>240</v>
      </c>
      <c r="AL220" s="0" t="s">
        <v>240</v>
      </c>
      <c r="AM220" s="0" t="s">
        <v>240</v>
      </c>
      <c r="AN220" s="0" t="s">
        <v>240</v>
      </c>
      <c r="AO220" s="0" t="s">
        <v>240</v>
      </c>
      <c r="AP220" s="0" t="s">
        <v>240</v>
      </c>
      <c r="AQ220" s="0" t="s">
        <v>240</v>
      </c>
      <c r="AR220" s="0" t="s">
        <v>240</v>
      </c>
      <c r="AS220" s="0" t="s">
        <v>240</v>
      </c>
      <c r="AT220" s="0" t="s">
        <v>240</v>
      </c>
      <c r="AU220" s="0" t="s">
        <v>240</v>
      </c>
      <c r="AV220" s="0" t="s">
        <v>240</v>
      </c>
      <c r="AW220" s="0" t="s">
        <v>240</v>
      </c>
      <c r="AX220" s="0" t="s">
        <v>240</v>
      </c>
      <c r="AY220" s="0" t="s">
        <v>240</v>
      </c>
      <c r="AZ220" s="0" t="s">
        <v>240</v>
      </c>
      <c r="BA220" s="0" t="s">
        <v>240</v>
      </c>
      <c r="BB220" s="0" t="s">
        <v>240</v>
      </c>
      <c r="BC220" s="0" t="s">
        <v>240</v>
      </c>
      <c r="BD220" s="0" t="s">
        <v>240</v>
      </c>
      <c r="BE220" s="0" t="s">
        <v>5645</v>
      </c>
      <c r="BF220" s="0" t="s">
        <v>5645</v>
      </c>
      <c r="BG220" s="0" t="s">
        <v>112</v>
      </c>
      <c r="BH220" s="0" t="s">
        <v>5589</v>
      </c>
      <c r="BI220" s="0" t="s">
        <v>123</v>
      </c>
      <c r="BJ220" s="0" t="s">
        <v>240</v>
      </c>
      <c r="BK220" s="0" t="s">
        <v>5608</v>
      </c>
      <c r="BL220" s="0" t="s">
        <v>2985</v>
      </c>
      <c r="BM220" s="0" t="s">
        <v>2985</v>
      </c>
      <c r="BN220" s="0" t="s">
        <v>5646</v>
      </c>
      <c r="BO220" s="0" t="s">
        <v>6522</v>
      </c>
      <c r="BP220" s="0" t="s">
        <v>6526</v>
      </c>
      <c r="BQ220" s="0" t="s">
        <v>6328</v>
      </c>
      <c r="BR220" s="0" t="s">
        <v>6329</v>
      </c>
      <c r="BS220" s="0" t="s">
        <v>240</v>
      </c>
      <c r="BT220" s="0" t="s">
        <v>5650</v>
      </c>
      <c r="BU220" s="0" t="s">
        <v>6527</v>
      </c>
      <c r="BV220" s="0" t="s">
        <v>6527</v>
      </c>
      <c r="BW220" s="0" t="s">
        <v>5598</v>
      </c>
      <c r="BX220" s="0" t="s">
        <v>5598</v>
      </c>
      <c r="BY220" s="0" t="s">
        <v>5598</v>
      </c>
      <c r="BZ220" s="0" t="s">
        <v>5598</v>
      </c>
      <c r="CA220" s="0" t="s">
        <v>5598</v>
      </c>
      <c r="CB220" s="0" t="s">
        <v>240</v>
      </c>
      <c r="CC220" s="0" t="s">
        <v>240</v>
      </c>
      <c r="CD220" s="0" t="s">
        <v>240</v>
      </c>
      <c r="CE220" s="0" t="s">
        <v>240</v>
      </c>
      <c r="CF220" s="0" t="s">
        <v>240</v>
      </c>
      <c r="CG220" s="0" t="s">
        <v>5598</v>
      </c>
      <c r="CH220" s="0" t="s">
        <v>240</v>
      </c>
      <c r="CI220" s="0" t="s">
        <v>240</v>
      </c>
      <c r="CJ220" s="0" t="s">
        <v>240</v>
      </c>
      <c r="CK220" s="0" t="s">
        <v>240</v>
      </c>
      <c r="CL220" s="0" t="s">
        <v>240</v>
      </c>
      <c r="CM220" s="0" t="s">
        <v>6527</v>
      </c>
      <c r="CN220" s="0" t="s">
        <v>6527</v>
      </c>
      <c r="CO220" s="0" t="s">
        <v>240</v>
      </c>
      <c r="CP220" s="0" t="s">
        <v>240</v>
      </c>
      <c r="CQ220" s="0" t="s">
        <v>240</v>
      </c>
      <c r="CR220" s="0" t="s">
        <v>240</v>
      </c>
      <c r="CS220" s="0" t="s">
        <v>5507</v>
      </c>
      <c r="CT220" s="0" t="s">
        <v>5496</v>
      </c>
      <c r="CU220" s="0" t="s">
        <v>5497</v>
      </c>
      <c r="CV220" s="0" t="s">
        <v>443</v>
      </c>
      <c r="CW220" s="0" t="s">
        <v>5509</v>
      </c>
      <c r="CX220" s="0" t="s">
        <v>229</v>
      </c>
      <c r="CY220" s="0" t="s">
        <v>443</v>
      </c>
      <c r="CZ220" s="0" t="s">
        <v>5510</v>
      </c>
      <c r="DA220" s="0" t="s">
        <v>5511</v>
      </c>
      <c r="DB220" s="0" t="s">
        <v>5509</v>
      </c>
      <c r="DC220" s="0" t="s">
        <v>384</v>
      </c>
      <c r="DD220" s="0" t="s">
        <v>291</v>
      </c>
      <c r="DE220" s="0" t="s">
        <v>6528</v>
      </c>
    </row>
    <row customHeight="1" ht="11.25">
      <c r="A221" s="1441" t="s">
        <v>240</v>
      </c>
      <c r="B221" s="0" t="s">
        <v>240</v>
      </c>
      <c r="C221" s="0" t="s">
        <v>240</v>
      </c>
      <c r="D221" s="0" t="s">
        <v>240</v>
      </c>
      <c r="E221" s="0" t="s">
        <v>240</v>
      </c>
      <c r="F221" s="0" t="s">
        <v>240</v>
      </c>
      <c r="G221" s="0" t="s">
        <v>240</v>
      </c>
      <c r="H221" s="0" t="s">
        <v>240</v>
      </c>
      <c r="I221" s="0" t="s">
        <v>5484</v>
      </c>
      <c r="J221" s="0" t="s">
        <v>240</v>
      </c>
      <c r="K221" s="0" t="s">
        <v>240</v>
      </c>
      <c r="L221" s="0" t="s">
        <v>240</v>
      </c>
      <c r="M221" s="0" t="s">
        <v>240</v>
      </c>
      <c r="N221" s="0" t="s">
        <v>240</v>
      </c>
      <c r="O221" s="0" t="s">
        <v>240</v>
      </c>
      <c r="P221" s="0" t="s">
        <v>240</v>
      </c>
      <c r="Q221" s="0" t="s">
        <v>240</v>
      </c>
      <c r="R221" s="0" t="s">
        <v>6529</v>
      </c>
      <c r="S221" s="0" t="s">
        <v>240</v>
      </c>
      <c r="T221" s="0" t="s">
        <v>240</v>
      </c>
      <c r="U221" s="0" t="s">
        <v>102</v>
      </c>
      <c r="V221" s="0" t="s">
        <v>240</v>
      </c>
      <c r="W221" s="0" t="s">
        <v>240</v>
      </c>
      <c r="X221" s="0" t="s">
        <v>5485</v>
      </c>
      <c r="Y221" s="0" t="s">
        <v>240</v>
      </c>
      <c r="Z221" s="0" t="s">
        <v>161</v>
      </c>
      <c r="AA221" s="0" t="s">
        <v>152</v>
      </c>
      <c r="AB221" s="0" t="s">
        <v>152</v>
      </c>
      <c r="AC221" s="0" t="s">
        <v>2991</v>
      </c>
      <c r="AD221" s="0" t="s">
        <v>2991</v>
      </c>
      <c r="AE221" s="0" t="s">
        <v>2992</v>
      </c>
      <c r="AF221" s="0" t="s">
        <v>6451</v>
      </c>
      <c r="AG221" s="0" t="s">
        <v>6452</v>
      </c>
      <c r="AH221" s="0" t="s">
        <v>6530</v>
      </c>
      <c r="AI221" s="0" t="s">
        <v>6531</v>
      </c>
      <c r="AJ221" s="0" t="s">
        <v>5576</v>
      </c>
      <c r="AK221" s="0" t="s">
        <v>5544</v>
      </c>
      <c r="AL221" s="0" t="s">
        <v>5506</v>
      </c>
      <c r="AM221" s="0" t="s">
        <v>5493</v>
      </c>
      <c r="AN221" s="0" t="s">
        <v>5545</v>
      </c>
      <c r="AO221" s="0" t="s">
        <v>5508</v>
      </c>
      <c r="AP221" s="0" t="s">
        <v>240</v>
      </c>
      <c r="AQ221" s="0" t="s">
        <v>240</v>
      </c>
      <c r="AR221" s="0" t="s">
        <v>240</v>
      </c>
      <c r="AS221" s="0" t="s">
        <v>240</v>
      </c>
      <c r="AT221" s="0" t="s">
        <v>240</v>
      </c>
      <c r="AU221" s="0" t="s">
        <v>240</v>
      </c>
      <c r="AV221" s="0" t="s">
        <v>240</v>
      </c>
      <c r="AW221" s="0" t="s">
        <v>240</v>
      </c>
      <c r="AX221" s="0" t="s">
        <v>240</v>
      </c>
      <c r="AY221" s="0" t="s">
        <v>240</v>
      </c>
      <c r="AZ221" s="0" t="s">
        <v>240</v>
      </c>
      <c r="BA221" s="0" t="s">
        <v>240</v>
      </c>
      <c r="BB221" s="0" t="s">
        <v>240</v>
      </c>
      <c r="BC221" s="0" t="s">
        <v>240</v>
      </c>
      <c r="BD221" s="0" t="s">
        <v>240</v>
      </c>
      <c r="BE221" s="0" t="s">
        <v>240</v>
      </c>
      <c r="BF221" s="0" t="s">
        <v>240</v>
      </c>
      <c r="BG221" s="0" t="s">
        <v>240</v>
      </c>
      <c r="BH221" s="0" t="s">
        <v>240</v>
      </c>
      <c r="BI221" s="0" t="s">
        <v>240</v>
      </c>
      <c r="BJ221" s="0" t="s">
        <v>240</v>
      </c>
      <c r="BK221" s="0" t="s">
        <v>240</v>
      </c>
      <c r="BL221" s="0" t="s">
        <v>240</v>
      </c>
      <c r="BM221" s="0" t="s">
        <v>240</v>
      </c>
      <c r="BN221" s="0" t="s">
        <v>240</v>
      </c>
      <c r="BO221" s="0" t="s">
        <v>240</v>
      </c>
      <c r="BP221" s="0" t="s">
        <v>240</v>
      </c>
      <c r="BQ221" s="0" t="s">
        <v>240</v>
      </c>
      <c r="BR221" s="0" t="s">
        <v>240</v>
      </c>
      <c r="BS221" s="0" t="s">
        <v>240</v>
      </c>
      <c r="BT221" s="0" t="s">
        <v>240</v>
      </c>
      <c r="BU221" s="0" t="s">
        <v>240</v>
      </c>
      <c r="BV221" s="0" t="s">
        <v>240</v>
      </c>
      <c r="BW221" s="0" t="s">
        <v>240</v>
      </c>
      <c r="BX221" s="0" t="s">
        <v>240</v>
      </c>
      <c r="BY221" s="0" t="s">
        <v>240</v>
      </c>
      <c r="BZ221" s="0" t="s">
        <v>240</v>
      </c>
      <c r="CA221" s="0" t="s">
        <v>240</v>
      </c>
      <c r="CB221" s="0" t="s">
        <v>240</v>
      </c>
      <c r="CC221" s="0" t="s">
        <v>240</v>
      </c>
      <c r="CD221" s="0" t="s">
        <v>240</v>
      </c>
      <c r="CE221" s="0" t="s">
        <v>240</v>
      </c>
      <c r="CF221" s="0" t="s">
        <v>240</v>
      </c>
      <c r="CG221" s="0" t="s">
        <v>240</v>
      </c>
      <c r="CH221" s="0" t="s">
        <v>240</v>
      </c>
      <c r="CI221" s="0" t="s">
        <v>240</v>
      </c>
      <c r="CJ221" s="0" t="s">
        <v>240</v>
      </c>
      <c r="CK221" s="0" t="s">
        <v>240</v>
      </c>
      <c r="CL221" s="0" t="s">
        <v>240</v>
      </c>
      <c r="CM221" s="0" t="s">
        <v>240</v>
      </c>
      <c r="CN221" s="0" t="s">
        <v>240</v>
      </c>
      <c r="CO221" s="0" t="s">
        <v>240</v>
      </c>
      <c r="CP221" s="0" t="s">
        <v>240</v>
      </c>
      <c r="CQ221" s="0" t="s">
        <v>240</v>
      </c>
      <c r="CR221" s="0" t="s">
        <v>240</v>
      </c>
      <c r="CS221" s="0" t="s">
        <v>240</v>
      </c>
      <c r="CT221" s="0" t="s">
        <v>5496</v>
      </c>
      <c r="CU221" s="0" t="s">
        <v>5497</v>
      </c>
      <c r="CV221" s="0" t="s">
        <v>443</v>
      </c>
      <c r="CW221" s="0" t="s">
        <v>5547</v>
      </c>
      <c r="CX221" s="0" t="s">
        <v>229</v>
      </c>
      <c r="CY221" s="0" t="s">
        <v>443</v>
      </c>
      <c r="CZ221" s="0" t="s">
        <v>5548</v>
      </c>
      <c r="DA221" s="0" t="s">
        <v>5549</v>
      </c>
      <c r="DB221" s="0" t="s">
        <v>5547</v>
      </c>
      <c r="DC221" s="0" t="s">
        <v>384</v>
      </c>
      <c r="DD221" s="0" t="s">
        <v>291</v>
      </c>
      <c r="DE221" s="0" t="s">
        <v>6532</v>
      </c>
    </row>
    <row customHeight="1" ht="11.25">
      <c r="A222" s="1441" t="s">
        <v>240</v>
      </c>
      <c r="B222" s="0" t="s">
        <v>240</v>
      </c>
      <c r="C222" s="0" t="s">
        <v>240</v>
      </c>
      <c r="D222" s="0" t="s">
        <v>240</v>
      </c>
      <c r="E222" s="0" t="s">
        <v>240</v>
      </c>
      <c r="F222" s="0" t="s">
        <v>240</v>
      </c>
      <c r="G222" s="0" t="s">
        <v>240</v>
      </c>
      <c r="H222" s="0" t="s">
        <v>240</v>
      </c>
      <c r="I222" s="0" t="s">
        <v>5484</v>
      </c>
      <c r="J222" s="0" t="s">
        <v>240</v>
      </c>
      <c r="K222" s="0" t="s">
        <v>240</v>
      </c>
      <c r="L222" s="0" t="s">
        <v>240</v>
      </c>
      <c r="M222" s="0" t="s">
        <v>240</v>
      </c>
      <c r="N222" s="0" t="s">
        <v>240</v>
      </c>
      <c r="O222" s="0" t="s">
        <v>240</v>
      </c>
      <c r="P222" s="0" t="s">
        <v>240</v>
      </c>
      <c r="Q222" s="0" t="s">
        <v>240</v>
      </c>
      <c r="R222" s="0" t="s">
        <v>5572</v>
      </c>
      <c r="S222" s="0" t="s">
        <v>240</v>
      </c>
      <c r="T222" s="0" t="s">
        <v>240</v>
      </c>
      <c r="U222" s="0" t="s">
        <v>102</v>
      </c>
      <c r="V222" s="0" t="s">
        <v>240</v>
      </c>
      <c r="W222" s="0" t="s">
        <v>240</v>
      </c>
      <c r="X222" s="0" t="s">
        <v>5485</v>
      </c>
      <c r="Y222" s="0" t="s">
        <v>240</v>
      </c>
      <c r="Z222" s="0" t="s">
        <v>161</v>
      </c>
      <c r="AA222" s="0" t="s">
        <v>152</v>
      </c>
      <c r="AB222" s="0" t="s">
        <v>152</v>
      </c>
      <c r="AC222" s="0" t="s">
        <v>2991</v>
      </c>
      <c r="AD222" s="0" t="s">
        <v>2991</v>
      </c>
      <c r="AE222" s="0" t="s">
        <v>2992</v>
      </c>
      <c r="AF222" s="0" t="s">
        <v>6451</v>
      </c>
      <c r="AG222" s="0" t="s">
        <v>6452</v>
      </c>
      <c r="AH222" s="0" t="s">
        <v>5755</v>
      </c>
      <c r="AI222" s="0" t="s">
        <v>488</v>
      </c>
      <c r="AJ222" s="0" t="s">
        <v>5576</v>
      </c>
      <c r="AK222" s="0" t="s">
        <v>5745</v>
      </c>
      <c r="AL222" s="0" t="s">
        <v>5506</v>
      </c>
      <c r="AM222" s="0" t="s">
        <v>5493</v>
      </c>
      <c r="AN222" s="0" t="s">
        <v>5553</v>
      </c>
      <c r="AO222" s="0" t="s">
        <v>5752</v>
      </c>
      <c r="AP222" s="0" t="s">
        <v>240</v>
      </c>
      <c r="AQ222" s="0" t="s">
        <v>240</v>
      </c>
      <c r="AR222" s="0" t="s">
        <v>240</v>
      </c>
      <c r="AS222" s="0" t="s">
        <v>240</v>
      </c>
      <c r="AT222" s="0" t="s">
        <v>240</v>
      </c>
      <c r="AU222" s="0" t="s">
        <v>240</v>
      </c>
      <c r="AV222" s="0" t="s">
        <v>240</v>
      </c>
      <c r="AW222" s="0" t="s">
        <v>240</v>
      </c>
      <c r="AX222" s="0" t="s">
        <v>240</v>
      </c>
      <c r="AY222" s="0" t="s">
        <v>240</v>
      </c>
      <c r="AZ222" s="0" t="s">
        <v>240</v>
      </c>
      <c r="BA222" s="0" t="s">
        <v>240</v>
      </c>
      <c r="BB222" s="0" t="s">
        <v>240</v>
      </c>
      <c r="BC222" s="0" t="s">
        <v>240</v>
      </c>
      <c r="BD222" s="0" t="s">
        <v>240</v>
      </c>
      <c r="BE222" s="0" t="s">
        <v>240</v>
      </c>
      <c r="BF222" s="0" t="s">
        <v>240</v>
      </c>
      <c r="BG222" s="0" t="s">
        <v>240</v>
      </c>
      <c r="BH222" s="0" t="s">
        <v>240</v>
      </c>
      <c r="BI222" s="0" t="s">
        <v>240</v>
      </c>
      <c r="BJ222" s="0" t="s">
        <v>240</v>
      </c>
      <c r="BK222" s="0" t="s">
        <v>240</v>
      </c>
      <c r="BL222" s="0" t="s">
        <v>240</v>
      </c>
      <c r="BM222" s="0" t="s">
        <v>240</v>
      </c>
      <c r="BN222" s="0" t="s">
        <v>240</v>
      </c>
      <c r="BO222" s="0" t="s">
        <v>240</v>
      </c>
      <c r="BP222" s="0" t="s">
        <v>240</v>
      </c>
      <c r="BQ222" s="0" t="s">
        <v>240</v>
      </c>
      <c r="BR222" s="0" t="s">
        <v>240</v>
      </c>
      <c r="BS222" s="0" t="s">
        <v>240</v>
      </c>
      <c r="BT222" s="0" t="s">
        <v>240</v>
      </c>
      <c r="BU222" s="0" t="s">
        <v>240</v>
      </c>
      <c r="BV222" s="0" t="s">
        <v>240</v>
      </c>
      <c r="BW222" s="0" t="s">
        <v>240</v>
      </c>
      <c r="BX222" s="0" t="s">
        <v>240</v>
      </c>
      <c r="BY222" s="0" t="s">
        <v>240</v>
      </c>
      <c r="BZ222" s="0" t="s">
        <v>240</v>
      </c>
      <c r="CA222" s="0" t="s">
        <v>240</v>
      </c>
      <c r="CB222" s="0" t="s">
        <v>240</v>
      </c>
      <c r="CC222" s="0" t="s">
        <v>240</v>
      </c>
      <c r="CD222" s="0" t="s">
        <v>240</v>
      </c>
      <c r="CE222" s="0" t="s">
        <v>240</v>
      </c>
      <c r="CF222" s="0" t="s">
        <v>240</v>
      </c>
      <c r="CG222" s="0" t="s">
        <v>240</v>
      </c>
      <c r="CH222" s="0" t="s">
        <v>240</v>
      </c>
      <c r="CI222" s="0" t="s">
        <v>240</v>
      </c>
      <c r="CJ222" s="0" t="s">
        <v>240</v>
      </c>
      <c r="CK222" s="0" t="s">
        <v>240</v>
      </c>
      <c r="CL222" s="0" t="s">
        <v>240</v>
      </c>
      <c r="CM222" s="0" t="s">
        <v>240</v>
      </c>
      <c r="CN222" s="0" t="s">
        <v>240</v>
      </c>
      <c r="CO222" s="0" t="s">
        <v>240</v>
      </c>
      <c r="CP222" s="0" t="s">
        <v>240</v>
      </c>
      <c r="CQ222" s="0" t="s">
        <v>240</v>
      </c>
      <c r="CR222" s="0" t="s">
        <v>240</v>
      </c>
      <c r="CS222" s="0" t="s">
        <v>240</v>
      </c>
      <c r="CT222" s="0" t="s">
        <v>5496</v>
      </c>
      <c r="CU222" s="0" t="s">
        <v>5497</v>
      </c>
      <c r="CV222" s="0" t="s">
        <v>443</v>
      </c>
      <c r="CW222" s="0" t="s">
        <v>5547</v>
      </c>
      <c r="CX222" s="0" t="s">
        <v>229</v>
      </c>
      <c r="CY222" s="0" t="s">
        <v>443</v>
      </c>
      <c r="CZ222" s="0" t="s">
        <v>5548</v>
      </c>
      <c r="DA222" s="0" t="s">
        <v>5549</v>
      </c>
      <c r="DB222" s="0" t="s">
        <v>5547</v>
      </c>
      <c r="DC222" s="0" t="s">
        <v>384</v>
      </c>
      <c r="DD222" s="0" t="s">
        <v>291</v>
      </c>
      <c r="DE222" s="0" t="s">
        <v>6533</v>
      </c>
    </row>
    <row customHeight="1" ht="11.25">
      <c r="A223" s="1441" t="s">
        <v>240</v>
      </c>
      <c r="B223" s="0" t="s">
        <v>240</v>
      </c>
      <c r="C223" s="0" t="s">
        <v>240</v>
      </c>
      <c r="D223" s="0" t="s">
        <v>240</v>
      </c>
      <c r="E223" s="0" t="s">
        <v>240</v>
      </c>
      <c r="F223" s="0" t="s">
        <v>240</v>
      </c>
      <c r="G223" s="0" t="s">
        <v>240</v>
      </c>
      <c r="H223" s="0" t="s">
        <v>240</v>
      </c>
      <c r="I223" s="0" t="s">
        <v>5484</v>
      </c>
      <c r="J223" s="0" t="s">
        <v>240</v>
      </c>
      <c r="K223" s="0" t="s">
        <v>240</v>
      </c>
      <c r="L223" s="0" t="s">
        <v>240</v>
      </c>
      <c r="M223" s="0" t="s">
        <v>240</v>
      </c>
      <c r="N223" s="0" t="s">
        <v>240</v>
      </c>
      <c r="O223" s="0" t="s">
        <v>240</v>
      </c>
      <c r="P223" s="0" t="s">
        <v>240</v>
      </c>
      <c r="Q223" s="0" t="s">
        <v>240</v>
      </c>
      <c r="R223" s="0" t="s">
        <v>5572</v>
      </c>
      <c r="S223" s="0" t="s">
        <v>240</v>
      </c>
      <c r="T223" s="0" t="s">
        <v>240</v>
      </c>
      <c r="U223" s="0" t="s">
        <v>102</v>
      </c>
      <c r="V223" s="0" t="s">
        <v>240</v>
      </c>
      <c r="W223" s="0" t="s">
        <v>240</v>
      </c>
      <c r="X223" s="0" t="s">
        <v>5485</v>
      </c>
      <c r="Y223" s="0" t="s">
        <v>240</v>
      </c>
      <c r="Z223" s="0" t="s">
        <v>161</v>
      </c>
      <c r="AA223" s="0" t="s">
        <v>152</v>
      </c>
      <c r="AB223" s="0" t="s">
        <v>152</v>
      </c>
      <c r="AC223" s="0" t="s">
        <v>2991</v>
      </c>
      <c r="AD223" s="0" t="s">
        <v>2991</v>
      </c>
      <c r="AE223" s="0" t="s">
        <v>2992</v>
      </c>
      <c r="AF223" s="0" t="s">
        <v>6534</v>
      </c>
      <c r="AG223" s="0" t="s">
        <v>6535</v>
      </c>
      <c r="AH223" s="0" t="s">
        <v>6462</v>
      </c>
      <c r="AI223" s="0" t="s">
        <v>495</v>
      </c>
      <c r="AJ223" s="0" t="s">
        <v>6421</v>
      </c>
      <c r="AK223" s="0" t="s">
        <v>5672</v>
      </c>
      <c r="AL223" s="0" t="s">
        <v>5506</v>
      </c>
      <c r="AM223" s="0" t="s">
        <v>5493</v>
      </c>
      <c r="AN223" s="0" t="s">
        <v>5553</v>
      </c>
      <c r="AO223" s="0" t="s">
        <v>6049</v>
      </c>
      <c r="AP223" s="0" t="s">
        <v>240</v>
      </c>
      <c r="AQ223" s="0" t="s">
        <v>240</v>
      </c>
      <c r="AR223" s="0" t="s">
        <v>240</v>
      </c>
      <c r="AS223" s="0" t="s">
        <v>240</v>
      </c>
      <c r="AT223" s="0" t="s">
        <v>240</v>
      </c>
      <c r="AU223" s="0" t="s">
        <v>240</v>
      </c>
      <c r="AV223" s="0" t="s">
        <v>240</v>
      </c>
      <c r="AW223" s="0" t="s">
        <v>240</v>
      </c>
      <c r="AX223" s="0" t="s">
        <v>240</v>
      </c>
      <c r="AY223" s="0" t="s">
        <v>240</v>
      </c>
      <c r="AZ223" s="0" t="s">
        <v>240</v>
      </c>
      <c r="BA223" s="0" t="s">
        <v>240</v>
      </c>
      <c r="BB223" s="0" t="s">
        <v>240</v>
      </c>
      <c r="BC223" s="0" t="s">
        <v>240</v>
      </c>
      <c r="BD223" s="0" t="s">
        <v>240</v>
      </c>
      <c r="BE223" s="0" t="s">
        <v>240</v>
      </c>
      <c r="BF223" s="0" t="s">
        <v>240</v>
      </c>
      <c r="BG223" s="0" t="s">
        <v>240</v>
      </c>
      <c r="BH223" s="0" t="s">
        <v>240</v>
      </c>
      <c r="BI223" s="0" t="s">
        <v>240</v>
      </c>
      <c r="BJ223" s="0" t="s">
        <v>240</v>
      </c>
      <c r="BK223" s="0" t="s">
        <v>240</v>
      </c>
      <c r="BL223" s="0" t="s">
        <v>240</v>
      </c>
      <c r="BM223" s="0" t="s">
        <v>240</v>
      </c>
      <c r="BN223" s="0" t="s">
        <v>240</v>
      </c>
      <c r="BO223" s="0" t="s">
        <v>240</v>
      </c>
      <c r="BP223" s="0" t="s">
        <v>240</v>
      </c>
      <c r="BQ223" s="0" t="s">
        <v>240</v>
      </c>
      <c r="BR223" s="0" t="s">
        <v>240</v>
      </c>
      <c r="BS223" s="0" t="s">
        <v>240</v>
      </c>
      <c r="BT223" s="0" t="s">
        <v>240</v>
      </c>
      <c r="BU223" s="0" t="s">
        <v>240</v>
      </c>
      <c r="BV223" s="0" t="s">
        <v>240</v>
      </c>
      <c r="BW223" s="0" t="s">
        <v>240</v>
      </c>
      <c r="BX223" s="0" t="s">
        <v>240</v>
      </c>
      <c r="BY223" s="0" t="s">
        <v>240</v>
      </c>
      <c r="BZ223" s="0" t="s">
        <v>240</v>
      </c>
      <c r="CA223" s="0" t="s">
        <v>240</v>
      </c>
      <c r="CB223" s="0" t="s">
        <v>240</v>
      </c>
      <c r="CC223" s="0" t="s">
        <v>240</v>
      </c>
      <c r="CD223" s="0" t="s">
        <v>240</v>
      </c>
      <c r="CE223" s="0" t="s">
        <v>240</v>
      </c>
      <c r="CF223" s="0" t="s">
        <v>240</v>
      </c>
      <c r="CG223" s="0" t="s">
        <v>240</v>
      </c>
      <c r="CH223" s="0" t="s">
        <v>240</v>
      </c>
      <c r="CI223" s="0" t="s">
        <v>240</v>
      </c>
      <c r="CJ223" s="0" t="s">
        <v>240</v>
      </c>
      <c r="CK223" s="0" t="s">
        <v>240</v>
      </c>
      <c r="CL223" s="0" t="s">
        <v>240</v>
      </c>
      <c r="CM223" s="0" t="s">
        <v>240</v>
      </c>
      <c r="CN223" s="0" t="s">
        <v>240</v>
      </c>
      <c r="CO223" s="0" t="s">
        <v>240</v>
      </c>
      <c r="CP223" s="0" t="s">
        <v>240</v>
      </c>
      <c r="CQ223" s="0" t="s">
        <v>240</v>
      </c>
      <c r="CR223" s="0" t="s">
        <v>240</v>
      </c>
      <c r="CS223" s="0" t="s">
        <v>240</v>
      </c>
      <c r="CT223" s="0" t="s">
        <v>5496</v>
      </c>
      <c r="CU223" s="0" t="s">
        <v>5497</v>
      </c>
      <c r="CV223" s="0" t="s">
        <v>443</v>
      </c>
      <c r="CW223" s="0" t="s">
        <v>5547</v>
      </c>
      <c r="CX223" s="0" t="s">
        <v>229</v>
      </c>
      <c r="CY223" s="0" t="s">
        <v>443</v>
      </c>
      <c r="CZ223" s="0" t="s">
        <v>5548</v>
      </c>
      <c r="DA223" s="0" t="s">
        <v>5549</v>
      </c>
      <c r="DB223" s="0" t="s">
        <v>5547</v>
      </c>
      <c r="DC223" s="0" t="s">
        <v>384</v>
      </c>
      <c r="DD223" s="0" t="s">
        <v>291</v>
      </c>
      <c r="DE223" s="0" t="s">
        <v>6536</v>
      </c>
    </row>
    <row customHeight="1" ht="11.25">
      <c r="A224" s="1441" t="s">
        <v>240</v>
      </c>
      <c r="B224" s="0" t="s">
        <v>240</v>
      </c>
      <c r="C224" s="0" t="s">
        <v>240</v>
      </c>
      <c r="D224" s="0" t="s">
        <v>240</v>
      </c>
      <c r="E224" s="0" t="s">
        <v>240</v>
      </c>
      <c r="F224" s="0" t="s">
        <v>240</v>
      </c>
      <c r="G224" s="0" t="s">
        <v>240</v>
      </c>
      <c r="H224" s="0" t="s">
        <v>240</v>
      </c>
      <c r="I224" s="0" t="s">
        <v>5484</v>
      </c>
      <c r="J224" s="0" t="s">
        <v>240</v>
      </c>
      <c r="K224" s="0" t="s">
        <v>240</v>
      </c>
      <c r="L224" s="0" t="s">
        <v>240</v>
      </c>
      <c r="M224" s="0" t="s">
        <v>240</v>
      </c>
      <c r="N224" s="0" t="s">
        <v>240</v>
      </c>
      <c r="O224" s="0" t="s">
        <v>240</v>
      </c>
      <c r="P224" s="0" t="s">
        <v>240</v>
      </c>
      <c r="Q224" s="0" t="s">
        <v>240</v>
      </c>
      <c r="R224" s="0" t="s">
        <v>6537</v>
      </c>
      <c r="S224" s="0" t="s">
        <v>240</v>
      </c>
      <c r="T224" s="0" t="s">
        <v>240</v>
      </c>
      <c r="U224" s="0" t="s">
        <v>102</v>
      </c>
      <c r="V224" s="0" t="s">
        <v>240</v>
      </c>
      <c r="W224" s="0" t="s">
        <v>240</v>
      </c>
      <c r="X224" s="0" t="s">
        <v>5585</v>
      </c>
      <c r="Y224" s="0" t="s">
        <v>240</v>
      </c>
      <c r="Z224" s="0" t="s">
        <v>152</v>
      </c>
      <c r="AA224" s="0" t="s">
        <v>152</v>
      </c>
      <c r="AB224" s="0" t="s">
        <v>161</v>
      </c>
      <c r="AC224" s="0" t="s">
        <v>2991</v>
      </c>
      <c r="AD224" s="0" t="s">
        <v>2991</v>
      </c>
      <c r="AE224" s="0" t="s">
        <v>2992</v>
      </c>
      <c r="AF224" s="0" t="s">
        <v>6534</v>
      </c>
      <c r="AG224" s="0" t="s">
        <v>6535</v>
      </c>
      <c r="AH224" s="0" t="s">
        <v>5575</v>
      </c>
      <c r="AI224" s="0" t="s">
        <v>5575</v>
      </c>
      <c r="AJ224" s="0" t="s">
        <v>240</v>
      </c>
      <c r="AK224" s="0" t="s">
        <v>240</v>
      </c>
      <c r="AL224" s="0" t="s">
        <v>240</v>
      </c>
      <c r="AM224" s="0" t="s">
        <v>240</v>
      </c>
      <c r="AN224" s="0" t="s">
        <v>240</v>
      </c>
      <c r="AO224" s="0" t="s">
        <v>240</v>
      </c>
      <c r="AP224" s="0" t="s">
        <v>240</v>
      </c>
      <c r="AQ224" s="0" t="s">
        <v>240</v>
      </c>
      <c r="AR224" s="0" t="s">
        <v>240</v>
      </c>
      <c r="AS224" s="0" t="s">
        <v>240</v>
      </c>
      <c r="AT224" s="0" t="s">
        <v>240</v>
      </c>
      <c r="AU224" s="0" t="s">
        <v>240</v>
      </c>
      <c r="AV224" s="0" t="s">
        <v>240</v>
      </c>
      <c r="AW224" s="0" t="s">
        <v>240</v>
      </c>
      <c r="AX224" s="0" t="s">
        <v>240</v>
      </c>
      <c r="AY224" s="0" t="s">
        <v>240</v>
      </c>
      <c r="AZ224" s="0" t="s">
        <v>240</v>
      </c>
      <c r="BA224" s="0" t="s">
        <v>240</v>
      </c>
      <c r="BB224" s="0" t="s">
        <v>240</v>
      </c>
      <c r="BC224" s="0" t="s">
        <v>240</v>
      </c>
      <c r="BD224" s="0" t="s">
        <v>240</v>
      </c>
      <c r="BE224" s="0" t="s">
        <v>5552</v>
      </c>
      <c r="BF224" s="0" t="s">
        <v>5672</v>
      </c>
      <c r="BG224" s="0" t="s">
        <v>112</v>
      </c>
      <c r="BH224" s="0" t="s">
        <v>5589</v>
      </c>
      <c r="BI224" s="0" t="s">
        <v>123</v>
      </c>
      <c r="BJ224" s="0" t="s">
        <v>240</v>
      </c>
      <c r="BK224" s="0" t="s">
        <v>5608</v>
      </c>
      <c r="BL224" s="0" t="s">
        <v>2991</v>
      </c>
      <c r="BM224" s="0" t="s">
        <v>2991</v>
      </c>
      <c r="BN224" s="0" t="s">
        <v>5663</v>
      </c>
      <c r="BO224" s="0" t="s">
        <v>6534</v>
      </c>
      <c r="BP224" s="0" t="s">
        <v>6538</v>
      </c>
      <c r="BQ224" s="0" t="s">
        <v>5575</v>
      </c>
      <c r="BR224" s="0" t="s">
        <v>5575</v>
      </c>
      <c r="BS224" s="0" t="s">
        <v>240</v>
      </c>
      <c r="BT224" s="0" t="s">
        <v>5650</v>
      </c>
      <c r="BU224" s="0" t="s">
        <v>6539</v>
      </c>
      <c r="BV224" s="0" t="s">
        <v>6539</v>
      </c>
      <c r="BW224" s="0" t="s">
        <v>5598</v>
      </c>
      <c r="BX224" s="0" t="s">
        <v>5598</v>
      </c>
      <c r="BY224" s="0" t="s">
        <v>5598</v>
      </c>
      <c r="BZ224" s="0" t="s">
        <v>5598</v>
      </c>
      <c r="CA224" s="0" t="s">
        <v>5598</v>
      </c>
      <c r="CB224" s="0" t="s">
        <v>240</v>
      </c>
      <c r="CC224" s="0" t="s">
        <v>240</v>
      </c>
      <c r="CD224" s="0" t="s">
        <v>240</v>
      </c>
      <c r="CE224" s="0" t="s">
        <v>240</v>
      </c>
      <c r="CF224" s="0" t="s">
        <v>240</v>
      </c>
      <c r="CG224" s="0" t="s">
        <v>5598</v>
      </c>
      <c r="CH224" s="0" t="s">
        <v>240</v>
      </c>
      <c r="CI224" s="0" t="s">
        <v>240</v>
      </c>
      <c r="CJ224" s="0" t="s">
        <v>240</v>
      </c>
      <c r="CK224" s="0" t="s">
        <v>240</v>
      </c>
      <c r="CL224" s="0" t="s">
        <v>240</v>
      </c>
      <c r="CM224" s="0" t="s">
        <v>6539</v>
      </c>
      <c r="CN224" s="0" t="s">
        <v>6539</v>
      </c>
      <c r="CO224" s="0" t="s">
        <v>240</v>
      </c>
      <c r="CP224" s="0" t="s">
        <v>240</v>
      </c>
      <c r="CQ224" s="0" t="s">
        <v>240</v>
      </c>
      <c r="CR224" s="0" t="s">
        <v>240</v>
      </c>
      <c r="CS224" s="0" t="s">
        <v>5666</v>
      </c>
      <c r="CT224" s="0" t="s">
        <v>5496</v>
      </c>
      <c r="CU224" s="0" t="s">
        <v>5497</v>
      </c>
      <c r="CV224" s="0" t="s">
        <v>443</v>
      </c>
      <c r="CW224" s="0" t="s">
        <v>5547</v>
      </c>
      <c r="CX224" s="0" t="s">
        <v>229</v>
      </c>
      <c r="CY224" s="0" t="s">
        <v>443</v>
      </c>
      <c r="CZ224" s="0" t="s">
        <v>5548</v>
      </c>
      <c r="DA224" s="0" t="s">
        <v>5549</v>
      </c>
      <c r="DB224" s="0" t="s">
        <v>5547</v>
      </c>
      <c r="DC224" s="0" t="s">
        <v>384</v>
      </c>
      <c r="DD224" s="0" t="s">
        <v>291</v>
      </c>
      <c r="DE224" s="0" t="s">
        <v>6540</v>
      </c>
    </row>
    <row customHeight="1" ht="11.25">
      <c r="A225" s="1441" t="s">
        <v>240</v>
      </c>
      <c r="B225" s="0" t="s">
        <v>240</v>
      </c>
      <c r="C225" s="0" t="s">
        <v>240</v>
      </c>
      <c r="D225" s="0" t="s">
        <v>240</v>
      </c>
      <c r="E225" s="0" t="s">
        <v>240</v>
      </c>
      <c r="F225" s="0" t="s">
        <v>240</v>
      </c>
      <c r="G225" s="0" t="s">
        <v>240</v>
      </c>
      <c r="H225" s="0" t="s">
        <v>240</v>
      </c>
      <c r="I225" s="0" t="s">
        <v>5484</v>
      </c>
      <c r="J225" s="0" t="s">
        <v>240</v>
      </c>
      <c r="K225" s="0" t="s">
        <v>240</v>
      </c>
      <c r="L225" s="0" t="s">
        <v>240</v>
      </c>
      <c r="M225" s="0" t="s">
        <v>240</v>
      </c>
      <c r="N225" s="0" t="s">
        <v>240</v>
      </c>
      <c r="O225" s="0" t="s">
        <v>240</v>
      </c>
      <c r="P225" s="0" t="s">
        <v>240</v>
      </c>
      <c r="Q225" s="0" t="s">
        <v>240</v>
      </c>
      <c r="R225" s="0" t="s">
        <v>6541</v>
      </c>
      <c r="S225" s="0" t="s">
        <v>240</v>
      </c>
      <c r="T225" s="0" t="s">
        <v>240</v>
      </c>
      <c r="U225" s="0" t="s">
        <v>102</v>
      </c>
      <c r="V225" s="0" t="s">
        <v>240</v>
      </c>
      <c r="W225" s="0" t="s">
        <v>240</v>
      </c>
      <c r="X225" s="0" t="s">
        <v>5585</v>
      </c>
      <c r="Y225" s="0" t="s">
        <v>240</v>
      </c>
      <c r="Z225" s="0" t="s">
        <v>152</v>
      </c>
      <c r="AA225" s="0" t="s">
        <v>152</v>
      </c>
      <c r="AB225" s="0" t="s">
        <v>161</v>
      </c>
      <c r="AC225" s="0" t="s">
        <v>2989</v>
      </c>
      <c r="AD225" s="0" t="s">
        <v>2989</v>
      </c>
      <c r="AE225" s="0" t="s">
        <v>2990</v>
      </c>
      <c r="AF225" s="0" t="s">
        <v>6256</v>
      </c>
      <c r="AG225" s="0" t="s">
        <v>6257</v>
      </c>
      <c r="AH225" s="0" t="s">
        <v>5575</v>
      </c>
      <c r="AI225" s="0" t="s">
        <v>5575</v>
      </c>
      <c r="AJ225" s="0" t="s">
        <v>240</v>
      </c>
      <c r="AK225" s="0" t="s">
        <v>240</v>
      </c>
      <c r="AL225" s="0" t="s">
        <v>240</v>
      </c>
      <c r="AM225" s="0" t="s">
        <v>240</v>
      </c>
      <c r="AN225" s="0" t="s">
        <v>240</v>
      </c>
      <c r="AO225" s="0" t="s">
        <v>240</v>
      </c>
      <c r="AP225" s="0" t="s">
        <v>240</v>
      </c>
      <c r="AQ225" s="0" t="s">
        <v>240</v>
      </c>
      <c r="AR225" s="0" t="s">
        <v>240</v>
      </c>
      <c r="AS225" s="0" t="s">
        <v>240</v>
      </c>
      <c r="AT225" s="0" t="s">
        <v>240</v>
      </c>
      <c r="AU225" s="0" t="s">
        <v>240</v>
      </c>
      <c r="AV225" s="0" t="s">
        <v>240</v>
      </c>
      <c r="AW225" s="0" t="s">
        <v>240</v>
      </c>
      <c r="AX225" s="0" t="s">
        <v>240</v>
      </c>
      <c r="AY225" s="0" t="s">
        <v>240</v>
      </c>
      <c r="AZ225" s="0" t="s">
        <v>240</v>
      </c>
      <c r="BA225" s="0" t="s">
        <v>240</v>
      </c>
      <c r="BB225" s="0" t="s">
        <v>240</v>
      </c>
      <c r="BC225" s="0" t="s">
        <v>240</v>
      </c>
      <c r="BD225" s="0" t="s">
        <v>240</v>
      </c>
      <c r="BE225" s="0" t="s">
        <v>5576</v>
      </c>
      <c r="BF225" s="0" t="s">
        <v>6260</v>
      </c>
      <c r="BG225" s="0" t="s">
        <v>112</v>
      </c>
      <c r="BH225" s="0" t="s">
        <v>5589</v>
      </c>
      <c r="BI225" s="0" t="s">
        <v>123</v>
      </c>
      <c r="BJ225" s="0" t="s">
        <v>240</v>
      </c>
      <c r="BK225" s="0" t="s">
        <v>5608</v>
      </c>
      <c r="BL225" s="0" t="s">
        <v>2989</v>
      </c>
      <c r="BM225" s="0" t="s">
        <v>2989</v>
      </c>
      <c r="BN225" s="0" t="s">
        <v>5798</v>
      </c>
      <c r="BO225" s="0" t="s">
        <v>6256</v>
      </c>
      <c r="BP225" s="0" t="s">
        <v>6542</v>
      </c>
      <c r="BQ225" s="0" t="s">
        <v>5575</v>
      </c>
      <c r="BR225" s="0" t="s">
        <v>5575</v>
      </c>
      <c r="BS225" s="0" t="s">
        <v>240</v>
      </c>
      <c r="BT225" s="0" t="s">
        <v>5650</v>
      </c>
      <c r="BU225" s="0" t="s">
        <v>6543</v>
      </c>
      <c r="BV225" s="0" t="s">
        <v>6543</v>
      </c>
      <c r="BW225" s="0" t="s">
        <v>5598</v>
      </c>
      <c r="BX225" s="0" t="s">
        <v>5598</v>
      </c>
      <c r="BY225" s="0" t="s">
        <v>5598</v>
      </c>
      <c r="BZ225" s="0" t="s">
        <v>5598</v>
      </c>
      <c r="CA225" s="0" t="s">
        <v>5598</v>
      </c>
      <c r="CB225" s="0" t="s">
        <v>240</v>
      </c>
      <c r="CC225" s="0" t="s">
        <v>240</v>
      </c>
      <c r="CD225" s="0" t="s">
        <v>240</v>
      </c>
      <c r="CE225" s="0" t="s">
        <v>240</v>
      </c>
      <c r="CF225" s="0" t="s">
        <v>240</v>
      </c>
      <c r="CG225" s="0" t="s">
        <v>5598</v>
      </c>
      <c r="CH225" s="0" t="s">
        <v>240</v>
      </c>
      <c r="CI225" s="0" t="s">
        <v>240</v>
      </c>
      <c r="CJ225" s="0" t="s">
        <v>240</v>
      </c>
      <c r="CK225" s="0" t="s">
        <v>240</v>
      </c>
      <c r="CL225" s="0" t="s">
        <v>240</v>
      </c>
      <c r="CM225" s="0" t="s">
        <v>6543</v>
      </c>
      <c r="CN225" s="0" t="s">
        <v>6543</v>
      </c>
      <c r="CO225" s="0" t="s">
        <v>240</v>
      </c>
      <c r="CP225" s="0" t="s">
        <v>240</v>
      </c>
      <c r="CQ225" s="0" t="s">
        <v>240</v>
      </c>
      <c r="CR225" s="0" t="s">
        <v>240</v>
      </c>
      <c r="CS225" s="0" t="s">
        <v>5578</v>
      </c>
      <c r="CT225" s="0" t="s">
        <v>5496</v>
      </c>
      <c r="CU225" s="0" t="s">
        <v>5497</v>
      </c>
      <c r="CV225" s="0" t="s">
        <v>443</v>
      </c>
      <c r="CW225" s="0" t="s">
        <v>5580</v>
      </c>
      <c r="CX225" s="0" t="s">
        <v>229</v>
      </c>
      <c r="CY225" s="0" t="s">
        <v>443</v>
      </c>
      <c r="CZ225" s="0" t="s">
        <v>5581</v>
      </c>
      <c r="DA225" s="0" t="s">
        <v>5582</v>
      </c>
      <c r="DB225" s="0" t="s">
        <v>5580</v>
      </c>
      <c r="DC225" s="0" t="s">
        <v>384</v>
      </c>
      <c r="DD225" s="0" t="s">
        <v>291</v>
      </c>
      <c r="DE225" s="0" t="s">
        <v>6544</v>
      </c>
    </row>
    <row customHeight="1" ht="11.25">
      <c r="A226" s="1441" t="s">
        <v>240</v>
      </c>
      <c r="B226" s="0" t="s">
        <v>240</v>
      </c>
      <c r="C226" s="0" t="s">
        <v>240</v>
      </c>
      <c r="D226" s="0" t="s">
        <v>240</v>
      </c>
      <c r="E226" s="0" t="s">
        <v>240</v>
      </c>
      <c r="F226" s="0" t="s">
        <v>240</v>
      </c>
      <c r="G226" s="0" t="s">
        <v>240</v>
      </c>
      <c r="H226" s="0" t="s">
        <v>240</v>
      </c>
      <c r="I226" s="0" t="s">
        <v>5484</v>
      </c>
      <c r="J226" s="0" t="s">
        <v>240</v>
      </c>
      <c r="K226" s="0" t="s">
        <v>240</v>
      </c>
      <c r="L226" s="0" t="s">
        <v>240</v>
      </c>
      <c r="M226" s="0" t="s">
        <v>240</v>
      </c>
      <c r="N226" s="0" t="s">
        <v>240</v>
      </c>
      <c r="O226" s="0" t="s">
        <v>240</v>
      </c>
      <c r="P226" s="0" t="s">
        <v>240</v>
      </c>
      <c r="Q226" s="0" t="s">
        <v>240</v>
      </c>
      <c r="R226" s="0" t="s">
        <v>5572</v>
      </c>
      <c r="S226" s="0" t="s">
        <v>240</v>
      </c>
      <c r="T226" s="0" t="s">
        <v>240</v>
      </c>
      <c r="U226" s="0" t="s">
        <v>102</v>
      </c>
      <c r="V226" s="0" t="s">
        <v>240</v>
      </c>
      <c r="W226" s="0" t="s">
        <v>240</v>
      </c>
      <c r="X226" s="0" t="s">
        <v>5485</v>
      </c>
      <c r="Y226" s="0" t="s">
        <v>240</v>
      </c>
      <c r="Z226" s="0" t="s">
        <v>161</v>
      </c>
      <c r="AA226" s="0" t="s">
        <v>152</v>
      </c>
      <c r="AB226" s="0" t="s">
        <v>152</v>
      </c>
      <c r="AC226" s="0" t="s">
        <v>2989</v>
      </c>
      <c r="AD226" s="0" t="s">
        <v>2989</v>
      </c>
      <c r="AE226" s="0" t="s">
        <v>2990</v>
      </c>
      <c r="AF226" s="0" t="s">
        <v>6545</v>
      </c>
      <c r="AG226" s="0" t="s">
        <v>6546</v>
      </c>
      <c r="AH226" s="0" t="s">
        <v>5575</v>
      </c>
      <c r="AI226" s="0" t="s">
        <v>5575</v>
      </c>
      <c r="AJ226" s="0" t="s">
        <v>5576</v>
      </c>
      <c r="AK226" s="0" t="s">
        <v>6547</v>
      </c>
      <c r="AL226" s="0" t="s">
        <v>5506</v>
      </c>
      <c r="AM226" s="0" t="s">
        <v>5493</v>
      </c>
      <c r="AN226" s="0" t="s">
        <v>5578</v>
      </c>
      <c r="AO226" s="0" t="s">
        <v>5579</v>
      </c>
      <c r="AP226" s="0" t="s">
        <v>240</v>
      </c>
      <c r="AQ226" s="0" t="s">
        <v>240</v>
      </c>
      <c r="AR226" s="0" t="s">
        <v>240</v>
      </c>
      <c r="AS226" s="0" t="s">
        <v>240</v>
      </c>
      <c r="AT226" s="0" t="s">
        <v>240</v>
      </c>
      <c r="AU226" s="0" t="s">
        <v>240</v>
      </c>
      <c r="AV226" s="0" t="s">
        <v>240</v>
      </c>
      <c r="AW226" s="0" t="s">
        <v>240</v>
      </c>
      <c r="AX226" s="0" t="s">
        <v>240</v>
      </c>
      <c r="AY226" s="0" t="s">
        <v>240</v>
      </c>
      <c r="AZ226" s="0" t="s">
        <v>240</v>
      </c>
      <c r="BA226" s="0" t="s">
        <v>240</v>
      </c>
      <c r="BB226" s="0" t="s">
        <v>240</v>
      </c>
      <c r="BC226" s="0" t="s">
        <v>240</v>
      </c>
      <c r="BD226" s="0" t="s">
        <v>240</v>
      </c>
      <c r="BE226" s="0" t="s">
        <v>240</v>
      </c>
      <c r="BF226" s="0" t="s">
        <v>240</v>
      </c>
      <c r="BG226" s="0" t="s">
        <v>240</v>
      </c>
      <c r="BH226" s="0" t="s">
        <v>240</v>
      </c>
      <c r="BI226" s="0" t="s">
        <v>240</v>
      </c>
      <c r="BJ226" s="0" t="s">
        <v>240</v>
      </c>
      <c r="BK226" s="0" t="s">
        <v>240</v>
      </c>
      <c r="BL226" s="0" t="s">
        <v>240</v>
      </c>
      <c r="BM226" s="0" t="s">
        <v>240</v>
      </c>
      <c r="BN226" s="0" t="s">
        <v>240</v>
      </c>
      <c r="BO226" s="0" t="s">
        <v>240</v>
      </c>
      <c r="BP226" s="0" t="s">
        <v>240</v>
      </c>
      <c r="BQ226" s="0" t="s">
        <v>240</v>
      </c>
      <c r="BR226" s="0" t="s">
        <v>240</v>
      </c>
      <c r="BS226" s="0" t="s">
        <v>240</v>
      </c>
      <c r="BT226" s="0" t="s">
        <v>240</v>
      </c>
      <c r="BU226" s="0" t="s">
        <v>240</v>
      </c>
      <c r="BV226" s="0" t="s">
        <v>240</v>
      </c>
      <c r="BW226" s="0" t="s">
        <v>240</v>
      </c>
      <c r="BX226" s="0" t="s">
        <v>240</v>
      </c>
      <c r="BY226" s="0" t="s">
        <v>240</v>
      </c>
      <c r="BZ226" s="0" t="s">
        <v>240</v>
      </c>
      <c r="CA226" s="0" t="s">
        <v>240</v>
      </c>
      <c r="CB226" s="0" t="s">
        <v>240</v>
      </c>
      <c r="CC226" s="0" t="s">
        <v>240</v>
      </c>
      <c r="CD226" s="0" t="s">
        <v>240</v>
      </c>
      <c r="CE226" s="0" t="s">
        <v>240</v>
      </c>
      <c r="CF226" s="0" t="s">
        <v>240</v>
      </c>
      <c r="CG226" s="0" t="s">
        <v>240</v>
      </c>
      <c r="CH226" s="0" t="s">
        <v>240</v>
      </c>
      <c r="CI226" s="0" t="s">
        <v>240</v>
      </c>
      <c r="CJ226" s="0" t="s">
        <v>240</v>
      </c>
      <c r="CK226" s="0" t="s">
        <v>240</v>
      </c>
      <c r="CL226" s="0" t="s">
        <v>240</v>
      </c>
      <c r="CM226" s="0" t="s">
        <v>240</v>
      </c>
      <c r="CN226" s="0" t="s">
        <v>240</v>
      </c>
      <c r="CO226" s="0" t="s">
        <v>240</v>
      </c>
      <c r="CP226" s="0" t="s">
        <v>240</v>
      </c>
      <c r="CQ226" s="0" t="s">
        <v>240</v>
      </c>
      <c r="CR226" s="0" t="s">
        <v>240</v>
      </c>
      <c r="CS226" s="0" t="s">
        <v>240</v>
      </c>
      <c r="CT226" s="0" t="s">
        <v>5496</v>
      </c>
      <c r="CU226" s="0" t="s">
        <v>5497</v>
      </c>
      <c r="CV226" s="0" t="s">
        <v>443</v>
      </c>
      <c r="CW226" s="0" t="s">
        <v>5580</v>
      </c>
      <c r="CX226" s="0" t="s">
        <v>229</v>
      </c>
      <c r="CY226" s="0" t="s">
        <v>443</v>
      </c>
      <c r="CZ226" s="0" t="s">
        <v>5581</v>
      </c>
      <c r="DA226" s="0" t="s">
        <v>5582</v>
      </c>
      <c r="DB226" s="0" t="s">
        <v>5580</v>
      </c>
      <c r="DC226" s="0" t="s">
        <v>384</v>
      </c>
      <c r="DD226" s="0" t="s">
        <v>291</v>
      </c>
      <c r="DE226" s="0" t="s">
        <v>6548</v>
      </c>
    </row>
    <row customHeight="1" ht="11.25">
      <c r="A227" s="1441" t="s">
        <v>240</v>
      </c>
      <c r="B227" s="0" t="s">
        <v>240</v>
      </c>
      <c r="C227" s="0" t="s">
        <v>240</v>
      </c>
      <c r="D227" s="0" t="s">
        <v>240</v>
      </c>
      <c r="E227" s="0" t="s">
        <v>240</v>
      </c>
      <c r="F227" s="0" t="s">
        <v>240</v>
      </c>
      <c r="G227" s="0" t="s">
        <v>240</v>
      </c>
      <c r="H227" s="0" t="s">
        <v>240</v>
      </c>
      <c r="I227" s="0" t="s">
        <v>5484</v>
      </c>
      <c r="J227" s="0" t="s">
        <v>240</v>
      </c>
      <c r="K227" s="0" t="s">
        <v>240</v>
      </c>
      <c r="L227" s="0" t="s">
        <v>240</v>
      </c>
      <c r="M227" s="0" t="s">
        <v>240</v>
      </c>
      <c r="N227" s="0" t="s">
        <v>240</v>
      </c>
      <c r="O227" s="0" t="s">
        <v>240</v>
      </c>
      <c r="P227" s="0" t="s">
        <v>240</v>
      </c>
      <c r="Q227" s="0" t="s">
        <v>240</v>
      </c>
      <c r="R227" s="0" t="s">
        <v>6549</v>
      </c>
      <c r="S227" s="0" t="s">
        <v>240</v>
      </c>
      <c r="T227" s="0" t="s">
        <v>240</v>
      </c>
      <c r="U227" s="0" t="s">
        <v>102</v>
      </c>
      <c r="V227" s="0" t="s">
        <v>240</v>
      </c>
      <c r="W227" s="0" t="s">
        <v>240</v>
      </c>
      <c r="X227" s="0" t="s">
        <v>5485</v>
      </c>
      <c r="Y227" s="0" t="s">
        <v>240</v>
      </c>
      <c r="Z227" s="0" t="s">
        <v>161</v>
      </c>
      <c r="AA227" s="0" t="s">
        <v>152</v>
      </c>
      <c r="AB227" s="0" t="s">
        <v>152</v>
      </c>
      <c r="AC227" s="0" t="s">
        <v>2985</v>
      </c>
      <c r="AD227" s="0" t="s">
        <v>2985</v>
      </c>
      <c r="AE227" s="0" t="s">
        <v>2986</v>
      </c>
      <c r="AF227" s="0" t="s">
        <v>5609</v>
      </c>
      <c r="AG227" s="0" t="s">
        <v>5610</v>
      </c>
      <c r="AH227" s="0" t="s">
        <v>6550</v>
      </c>
      <c r="AI227" s="0" t="s">
        <v>6551</v>
      </c>
      <c r="AJ227" s="0" t="s">
        <v>5576</v>
      </c>
      <c r="AK227" s="0" t="s">
        <v>6552</v>
      </c>
      <c r="AL227" s="0" t="s">
        <v>5506</v>
      </c>
      <c r="AM227" s="0" t="s">
        <v>5493</v>
      </c>
      <c r="AN227" s="0" t="s">
        <v>5553</v>
      </c>
      <c r="AO227" s="0" t="s">
        <v>5746</v>
      </c>
      <c r="AP227" s="0" t="s">
        <v>240</v>
      </c>
      <c r="AQ227" s="0" t="s">
        <v>240</v>
      </c>
      <c r="AR227" s="0" t="s">
        <v>240</v>
      </c>
      <c r="AS227" s="0" t="s">
        <v>240</v>
      </c>
      <c r="AT227" s="0" t="s">
        <v>240</v>
      </c>
      <c r="AU227" s="0" t="s">
        <v>240</v>
      </c>
      <c r="AV227" s="0" t="s">
        <v>240</v>
      </c>
      <c r="AW227" s="0" t="s">
        <v>240</v>
      </c>
      <c r="AX227" s="0" t="s">
        <v>240</v>
      </c>
      <c r="AY227" s="0" t="s">
        <v>240</v>
      </c>
      <c r="AZ227" s="0" t="s">
        <v>240</v>
      </c>
      <c r="BA227" s="0" t="s">
        <v>240</v>
      </c>
      <c r="BB227" s="0" t="s">
        <v>240</v>
      </c>
      <c r="BC227" s="0" t="s">
        <v>240</v>
      </c>
      <c r="BD227" s="0" t="s">
        <v>240</v>
      </c>
      <c r="BE227" s="0" t="s">
        <v>240</v>
      </c>
      <c r="BF227" s="0" t="s">
        <v>240</v>
      </c>
      <c r="BG227" s="0" t="s">
        <v>240</v>
      </c>
      <c r="BH227" s="0" t="s">
        <v>240</v>
      </c>
      <c r="BI227" s="0" t="s">
        <v>240</v>
      </c>
      <c r="BJ227" s="0" t="s">
        <v>240</v>
      </c>
      <c r="BK227" s="0" t="s">
        <v>240</v>
      </c>
      <c r="BL227" s="0" t="s">
        <v>240</v>
      </c>
      <c r="BM227" s="0" t="s">
        <v>240</v>
      </c>
      <c r="BN227" s="0" t="s">
        <v>240</v>
      </c>
      <c r="BO227" s="0" t="s">
        <v>240</v>
      </c>
      <c r="BP227" s="0" t="s">
        <v>240</v>
      </c>
      <c r="BQ227" s="0" t="s">
        <v>240</v>
      </c>
      <c r="BR227" s="0" t="s">
        <v>240</v>
      </c>
      <c r="BS227" s="0" t="s">
        <v>240</v>
      </c>
      <c r="BT227" s="0" t="s">
        <v>240</v>
      </c>
      <c r="BU227" s="0" t="s">
        <v>240</v>
      </c>
      <c r="BV227" s="0" t="s">
        <v>240</v>
      </c>
      <c r="BW227" s="0" t="s">
        <v>240</v>
      </c>
      <c r="BX227" s="0" t="s">
        <v>240</v>
      </c>
      <c r="BY227" s="0" t="s">
        <v>240</v>
      </c>
      <c r="BZ227" s="0" t="s">
        <v>240</v>
      </c>
      <c r="CA227" s="0" t="s">
        <v>240</v>
      </c>
      <c r="CB227" s="0" t="s">
        <v>240</v>
      </c>
      <c r="CC227" s="0" t="s">
        <v>240</v>
      </c>
      <c r="CD227" s="0" t="s">
        <v>240</v>
      </c>
      <c r="CE227" s="0" t="s">
        <v>240</v>
      </c>
      <c r="CF227" s="0" t="s">
        <v>240</v>
      </c>
      <c r="CG227" s="0" t="s">
        <v>240</v>
      </c>
      <c r="CH227" s="0" t="s">
        <v>240</v>
      </c>
      <c r="CI227" s="0" t="s">
        <v>240</v>
      </c>
      <c r="CJ227" s="0" t="s">
        <v>240</v>
      </c>
      <c r="CK227" s="0" t="s">
        <v>240</v>
      </c>
      <c r="CL227" s="0" t="s">
        <v>240</v>
      </c>
      <c r="CM227" s="0" t="s">
        <v>240</v>
      </c>
      <c r="CN227" s="0" t="s">
        <v>240</v>
      </c>
      <c r="CO227" s="0" t="s">
        <v>240</v>
      </c>
      <c r="CP227" s="0" t="s">
        <v>240</v>
      </c>
      <c r="CQ227" s="0" t="s">
        <v>240</v>
      </c>
      <c r="CR227" s="0" t="s">
        <v>240</v>
      </c>
      <c r="CS227" s="0" t="s">
        <v>240</v>
      </c>
      <c r="CT227" s="0" t="s">
        <v>5496</v>
      </c>
      <c r="CU227" s="0" t="s">
        <v>6553</v>
      </c>
      <c r="CV227" s="0" t="s">
        <v>6554</v>
      </c>
      <c r="CW227" s="0" t="s">
        <v>6555</v>
      </c>
      <c r="CX227" s="0" t="s">
        <v>197</v>
      </c>
      <c r="CY227" s="0" t="s">
        <v>6556</v>
      </c>
      <c r="CZ227" s="0" t="s">
        <v>6557</v>
      </c>
      <c r="DA227" s="0" t="s">
        <v>6558</v>
      </c>
      <c r="DB227" s="0" t="s">
        <v>6555</v>
      </c>
      <c r="DC227" s="0" t="s">
        <v>384</v>
      </c>
      <c r="DD227" s="0" t="s">
        <v>291</v>
      </c>
      <c r="DE227" s="0" t="s">
        <v>6559</v>
      </c>
    </row>
    <row customHeight="1" ht="11.25">
      <c r="A228" s="1441" t="s">
        <v>240</v>
      </c>
      <c r="B228" s="0" t="s">
        <v>240</v>
      </c>
      <c r="C228" s="0" t="s">
        <v>240</v>
      </c>
      <c r="D228" s="0" t="s">
        <v>240</v>
      </c>
      <c r="E228" s="0" t="s">
        <v>240</v>
      </c>
      <c r="F228" s="0" t="s">
        <v>240</v>
      </c>
      <c r="G228" s="0" t="s">
        <v>240</v>
      </c>
      <c r="H228" s="0" t="s">
        <v>240</v>
      </c>
      <c r="I228" s="0" t="s">
        <v>5484</v>
      </c>
      <c r="J228" s="0" t="s">
        <v>240</v>
      </c>
      <c r="K228" s="0" t="s">
        <v>240</v>
      </c>
      <c r="L228" s="0" t="s">
        <v>240</v>
      </c>
      <c r="M228" s="0" t="s">
        <v>240</v>
      </c>
      <c r="N228" s="0" t="s">
        <v>240</v>
      </c>
      <c r="O228" s="0" t="s">
        <v>240</v>
      </c>
      <c r="P228" s="0" t="s">
        <v>240</v>
      </c>
      <c r="Q228" s="0" t="s">
        <v>240</v>
      </c>
      <c r="R228" s="0" t="s">
        <v>6560</v>
      </c>
      <c r="S228" s="0" t="s">
        <v>240</v>
      </c>
      <c r="T228" s="0" t="s">
        <v>240</v>
      </c>
      <c r="U228" s="0" t="s">
        <v>102</v>
      </c>
      <c r="V228" s="0" t="s">
        <v>240</v>
      </c>
      <c r="W228" s="0" t="s">
        <v>240</v>
      </c>
      <c r="X228" s="0" t="s">
        <v>5485</v>
      </c>
      <c r="Y228" s="0" t="s">
        <v>240</v>
      </c>
      <c r="Z228" s="0" t="s">
        <v>161</v>
      </c>
      <c r="AA228" s="0" t="s">
        <v>152</v>
      </c>
      <c r="AB228" s="0" t="s">
        <v>152</v>
      </c>
      <c r="AC228" s="0" t="s">
        <v>2991</v>
      </c>
      <c r="AD228" s="0" t="s">
        <v>2991</v>
      </c>
      <c r="AE228" s="0" t="s">
        <v>2992</v>
      </c>
      <c r="AF228" s="0" t="s">
        <v>5749</v>
      </c>
      <c r="AG228" s="0" t="s">
        <v>5750</v>
      </c>
      <c r="AH228" s="0" t="s">
        <v>6561</v>
      </c>
      <c r="AI228" s="0" t="s">
        <v>6562</v>
      </c>
      <c r="AJ228" s="0" t="s">
        <v>5578</v>
      </c>
      <c r="AK228" s="0" t="s">
        <v>5545</v>
      </c>
      <c r="AL228" s="0" t="s">
        <v>6109</v>
      </c>
      <c r="AM228" s="0" t="s">
        <v>5493</v>
      </c>
      <c r="AN228" s="0" t="s">
        <v>5553</v>
      </c>
      <c r="AO228" s="0" t="s">
        <v>5554</v>
      </c>
      <c r="AP228" s="0" t="s">
        <v>240</v>
      </c>
      <c r="AQ228" s="0" t="s">
        <v>240</v>
      </c>
      <c r="AR228" s="0" t="s">
        <v>240</v>
      </c>
      <c r="AS228" s="0" t="s">
        <v>240</v>
      </c>
      <c r="AT228" s="0" t="s">
        <v>240</v>
      </c>
      <c r="AU228" s="0" t="s">
        <v>240</v>
      </c>
      <c r="AV228" s="0" t="s">
        <v>240</v>
      </c>
      <c r="AW228" s="0" t="s">
        <v>240</v>
      </c>
      <c r="AX228" s="0" t="s">
        <v>240</v>
      </c>
      <c r="AY228" s="0" t="s">
        <v>240</v>
      </c>
      <c r="AZ228" s="0" t="s">
        <v>240</v>
      </c>
      <c r="BA228" s="0" t="s">
        <v>240</v>
      </c>
      <c r="BB228" s="0" t="s">
        <v>240</v>
      </c>
      <c r="BC228" s="0" t="s">
        <v>240</v>
      </c>
      <c r="BD228" s="0" t="s">
        <v>240</v>
      </c>
      <c r="BE228" s="0" t="s">
        <v>240</v>
      </c>
      <c r="BF228" s="0" t="s">
        <v>240</v>
      </c>
      <c r="BG228" s="0" t="s">
        <v>240</v>
      </c>
      <c r="BH228" s="0" t="s">
        <v>240</v>
      </c>
      <c r="BI228" s="0" t="s">
        <v>240</v>
      </c>
      <c r="BJ228" s="0" t="s">
        <v>240</v>
      </c>
      <c r="BK228" s="0" t="s">
        <v>240</v>
      </c>
      <c r="BL228" s="0" t="s">
        <v>240</v>
      </c>
      <c r="BM228" s="0" t="s">
        <v>240</v>
      </c>
      <c r="BN228" s="0" t="s">
        <v>240</v>
      </c>
      <c r="BO228" s="0" t="s">
        <v>240</v>
      </c>
      <c r="BP228" s="0" t="s">
        <v>240</v>
      </c>
      <c r="BQ228" s="0" t="s">
        <v>240</v>
      </c>
      <c r="BR228" s="0" t="s">
        <v>240</v>
      </c>
      <c r="BS228" s="0" t="s">
        <v>240</v>
      </c>
      <c r="BT228" s="0" t="s">
        <v>240</v>
      </c>
      <c r="BU228" s="0" t="s">
        <v>240</v>
      </c>
      <c r="BV228" s="0" t="s">
        <v>240</v>
      </c>
      <c r="BW228" s="0" t="s">
        <v>240</v>
      </c>
      <c r="BX228" s="0" t="s">
        <v>240</v>
      </c>
      <c r="BY228" s="0" t="s">
        <v>240</v>
      </c>
      <c r="BZ228" s="0" t="s">
        <v>240</v>
      </c>
      <c r="CA228" s="0" t="s">
        <v>240</v>
      </c>
      <c r="CB228" s="0" t="s">
        <v>240</v>
      </c>
      <c r="CC228" s="0" t="s">
        <v>240</v>
      </c>
      <c r="CD228" s="0" t="s">
        <v>240</v>
      </c>
      <c r="CE228" s="0" t="s">
        <v>240</v>
      </c>
      <c r="CF228" s="0" t="s">
        <v>240</v>
      </c>
      <c r="CG228" s="0" t="s">
        <v>240</v>
      </c>
      <c r="CH228" s="0" t="s">
        <v>240</v>
      </c>
      <c r="CI228" s="0" t="s">
        <v>240</v>
      </c>
      <c r="CJ228" s="0" t="s">
        <v>240</v>
      </c>
      <c r="CK228" s="0" t="s">
        <v>240</v>
      </c>
      <c r="CL228" s="0" t="s">
        <v>240</v>
      </c>
      <c r="CM228" s="0" t="s">
        <v>240</v>
      </c>
      <c r="CN228" s="0" t="s">
        <v>240</v>
      </c>
      <c r="CO228" s="0" t="s">
        <v>240</v>
      </c>
      <c r="CP228" s="0" t="s">
        <v>240</v>
      </c>
      <c r="CQ228" s="0" t="s">
        <v>240</v>
      </c>
      <c r="CR228" s="0" t="s">
        <v>240</v>
      </c>
      <c r="CS228" s="0" t="s">
        <v>240</v>
      </c>
      <c r="CT228" s="0" t="s">
        <v>5496</v>
      </c>
      <c r="CU228" s="0" t="s">
        <v>5497</v>
      </c>
      <c r="CV228" s="0" t="s">
        <v>443</v>
      </c>
      <c r="CW228" s="0" t="s">
        <v>5547</v>
      </c>
      <c r="CX228" s="0" t="s">
        <v>229</v>
      </c>
      <c r="CY228" s="0" t="s">
        <v>443</v>
      </c>
      <c r="CZ228" s="0" t="s">
        <v>5548</v>
      </c>
      <c r="DA228" s="0" t="s">
        <v>5549</v>
      </c>
      <c r="DB228" s="0" t="s">
        <v>5547</v>
      </c>
      <c r="DC228" s="0" t="s">
        <v>384</v>
      </c>
      <c r="DD228" s="0" t="s">
        <v>291</v>
      </c>
      <c r="DE228" s="0" t="s">
        <v>6563</v>
      </c>
    </row>
    <row customHeight="1" ht="11.25">
      <c r="A229" s="1441" t="s">
        <v>240</v>
      </c>
      <c r="B229" s="0" t="s">
        <v>240</v>
      </c>
      <c r="C229" s="0" t="s">
        <v>240</v>
      </c>
      <c r="D229" s="0" t="s">
        <v>240</v>
      </c>
      <c r="E229" s="0" t="s">
        <v>240</v>
      </c>
      <c r="F229" s="0" t="s">
        <v>240</v>
      </c>
      <c r="G229" s="0" t="s">
        <v>240</v>
      </c>
      <c r="H229" s="0" t="s">
        <v>240</v>
      </c>
      <c r="I229" s="0" t="s">
        <v>5484</v>
      </c>
      <c r="J229" s="0" t="s">
        <v>240</v>
      </c>
      <c r="K229" s="0" t="s">
        <v>240</v>
      </c>
      <c r="L229" s="0" t="s">
        <v>240</v>
      </c>
      <c r="M229" s="0" t="s">
        <v>240</v>
      </c>
      <c r="N229" s="0" t="s">
        <v>240</v>
      </c>
      <c r="O229" s="0" t="s">
        <v>240</v>
      </c>
      <c r="P229" s="0" t="s">
        <v>240</v>
      </c>
      <c r="Q229" s="0" t="s">
        <v>240</v>
      </c>
      <c r="R229" s="0" t="s">
        <v>6564</v>
      </c>
      <c r="S229" s="0" t="s">
        <v>240</v>
      </c>
      <c r="T229" s="0" t="s">
        <v>240</v>
      </c>
      <c r="U229" s="0" t="s">
        <v>102</v>
      </c>
      <c r="V229" s="0" t="s">
        <v>240</v>
      </c>
      <c r="W229" s="0" t="s">
        <v>240</v>
      </c>
      <c r="X229" s="0" t="s">
        <v>5585</v>
      </c>
      <c r="Y229" s="0" t="s">
        <v>240</v>
      </c>
      <c r="Z229" s="0" t="s">
        <v>152</v>
      </c>
      <c r="AA229" s="0" t="s">
        <v>152</v>
      </c>
      <c r="AB229" s="0" t="s">
        <v>161</v>
      </c>
      <c r="AC229" s="0" t="s">
        <v>2991</v>
      </c>
      <c r="AD229" s="0" t="s">
        <v>2991</v>
      </c>
      <c r="AE229" s="0" t="s">
        <v>2992</v>
      </c>
      <c r="AF229" s="0" t="s">
        <v>6314</v>
      </c>
      <c r="AG229" s="0" t="s">
        <v>6315</v>
      </c>
      <c r="AH229" s="0" t="s">
        <v>5575</v>
      </c>
      <c r="AI229" s="0" t="s">
        <v>5575</v>
      </c>
      <c r="AJ229" s="0" t="s">
        <v>240</v>
      </c>
      <c r="AK229" s="0" t="s">
        <v>240</v>
      </c>
      <c r="AL229" s="0" t="s">
        <v>240</v>
      </c>
      <c r="AM229" s="0" t="s">
        <v>240</v>
      </c>
      <c r="AN229" s="0" t="s">
        <v>240</v>
      </c>
      <c r="AO229" s="0" t="s">
        <v>240</v>
      </c>
      <c r="AP229" s="0" t="s">
        <v>240</v>
      </c>
      <c r="AQ229" s="0" t="s">
        <v>240</v>
      </c>
      <c r="AR229" s="0" t="s">
        <v>240</v>
      </c>
      <c r="AS229" s="0" t="s">
        <v>240</v>
      </c>
      <c r="AT229" s="0" t="s">
        <v>240</v>
      </c>
      <c r="AU229" s="0" t="s">
        <v>240</v>
      </c>
      <c r="AV229" s="0" t="s">
        <v>240</v>
      </c>
      <c r="AW229" s="0" t="s">
        <v>240</v>
      </c>
      <c r="AX229" s="0" t="s">
        <v>240</v>
      </c>
      <c r="AY229" s="0" t="s">
        <v>240</v>
      </c>
      <c r="AZ229" s="0" t="s">
        <v>240</v>
      </c>
      <c r="BA229" s="0" t="s">
        <v>240</v>
      </c>
      <c r="BB229" s="0" t="s">
        <v>240</v>
      </c>
      <c r="BC229" s="0" t="s">
        <v>240</v>
      </c>
      <c r="BD229" s="0" t="s">
        <v>240</v>
      </c>
      <c r="BE229" s="0" t="s">
        <v>5504</v>
      </c>
      <c r="BF229" s="0" t="s">
        <v>5544</v>
      </c>
      <c r="BG229" s="0" t="s">
        <v>112</v>
      </c>
      <c r="BH229" s="0" t="s">
        <v>5589</v>
      </c>
      <c r="BI229" s="0" t="s">
        <v>123</v>
      </c>
      <c r="BJ229" s="0" t="s">
        <v>240</v>
      </c>
      <c r="BK229" s="0" t="s">
        <v>5608</v>
      </c>
      <c r="BL229" s="0" t="s">
        <v>2991</v>
      </c>
      <c r="BM229" s="0" t="s">
        <v>2991</v>
      </c>
      <c r="BN229" s="0" t="s">
        <v>5663</v>
      </c>
      <c r="BO229" s="0" t="s">
        <v>6314</v>
      </c>
      <c r="BP229" s="0" t="s">
        <v>6565</v>
      </c>
      <c r="BQ229" s="0" t="s">
        <v>5575</v>
      </c>
      <c r="BR229" s="0" t="s">
        <v>5575</v>
      </c>
      <c r="BS229" s="0" t="s">
        <v>240</v>
      </c>
      <c r="BT229" s="0" t="s">
        <v>5650</v>
      </c>
      <c r="BU229" s="0" t="s">
        <v>6566</v>
      </c>
      <c r="BV229" s="0" t="s">
        <v>6566</v>
      </c>
      <c r="BW229" s="0" t="s">
        <v>5598</v>
      </c>
      <c r="BX229" s="0" t="s">
        <v>5598</v>
      </c>
      <c r="BY229" s="0" t="s">
        <v>5598</v>
      </c>
      <c r="BZ229" s="0" t="s">
        <v>5598</v>
      </c>
      <c r="CA229" s="0" t="s">
        <v>5598</v>
      </c>
      <c r="CB229" s="0" t="s">
        <v>240</v>
      </c>
      <c r="CC229" s="0" t="s">
        <v>240</v>
      </c>
      <c r="CD229" s="0" t="s">
        <v>240</v>
      </c>
      <c r="CE229" s="0" t="s">
        <v>240</v>
      </c>
      <c r="CF229" s="0" t="s">
        <v>240</v>
      </c>
      <c r="CG229" s="0" t="s">
        <v>5598</v>
      </c>
      <c r="CH229" s="0" t="s">
        <v>240</v>
      </c>
      <c r="CI229" s="0" t="s">
        <v>240</v>
      </c>
      <c r="CJ229" s="0" t="s">
        <v>240</v>
      </c>
      <c r="CK229" s="0" t="s">
        <v>240</v>
      </c>
      <c r="CL229" s="0" t="s">
        <v>240</v>
      </c>
      <c r="CM229" s="0" t="s">
        <v>6566</v>
      </c>
      <c r="CN229" s="0" t="s">
        <v>6566</v>
      </c>
      <c r="CO229" s="0" t="s">
        <v>240</v>
      </c>
      <c r="CP229" s="0" t="s">
        <v>240</v>
      </c>
      <c r="CQ229" s="0" t="s">
        <v>240</v>
      </c>
      <c r="CR229" s="0" t="s">
        <v>240</v>
      </c>
      <c r="CS229" s="0" t="s">
        <v>5666</v>
      </c>
      <c r="CT229" s="0" t="s">
        <v>5496</v>
      </c>
      <c r="CU229" s="0" t="s">
        <v>5497</v>
      </c>
      <c r="CV229" s="0" t="s">
        <v>443</v>
      </c>
      <c r="CW229" s="0" t="s">
        <v>5547</v>
      </c>
      <c r="CX229" s="0" t="s">
        <v>229</v>
      </c>
      <c r="CY229" s="0" t="s">
        <v>443</v>
      </c>
      <c r="CZ229" s="0" t="s">
        <v>5548</v>
      </c>
      <c r="DA229" s="0" t="s">
        <v>5549</v>
      </c>
      <c r="DB229" s="0" t="s">
        <v>5547</v>
      </c>
      <c r="DC229" s="0" t="s">
        <v>384</v>
      </c>
      <c r="DD229" s="0" t="s">
        <v>291</v>
      </c>
      <c r="DE229" s="0" t="s">
        <v>6567</v>
      </c>
    </row>
    <row customHeight="1" ht="11.25">
      <c r="A230" s="1441" t="s">
        <v>240</v>
      </c>
      <c r="B230" s="0" t="s">
        <v>240</v>
      </c>
      <c r="C230" s="0" t="s">
        <v>240</v>
      </c>
      <c r="D230" s="0" t="s">
        <v>240</v>
      </c>
      <c r="E230" s="0" t="s">
        <v>240</v>
      </c>
      <c r="F230" s="0" t="s">
        <v>240</v>
      </c>
      <c r="G230" s="0" t="s">
        <v>240</v>
      </c>
      <c r="H230" s="0" t="s">
        <v>240</v>
      </c>
      <c r="I230" s="0" t="s">
        <v>5484</v>
      </c>
      <c r="J230" s="0" t="s">
        <v>240</v>
      </c>
      <c r="K230" s="0" t="s">
        <v>240</v>
      </c>
      <c r="L230" s="0" t="s">
        <v>240</v>
      </c>
      <c r="M230" s="0" t="s">
        <v>240</v>
      </c>
      <c r="N230" s="0" t="s">
        <v>240</v>
      </c>
      <c r="O230" s="0" t="s">
        <v>240</v>
      </c>
      <c r="P230" s="0" t="s">
        <v>240</v>
      </c>
      <c r="Q230" s="0" t="s">
        <v>240</v>
      </c>
      <c r="R230" s="0" t="s">
        <v>5572</v>
      </c>
      <c r="S230" s="0" t="s">
        <v>240</v>
      </c>
      <c r="T230" s="0" t="s">
        <v>240</v>
      </c>
      <c r="U230" s="0" t="s">
        <v>102</v>
      </c>
      <c r="V230" s="0" t="s">
        <v>240</v>
      </c>
      <c r="W230" s="0" t="s">
        <v>240</v>
      </c>
      <c r="X230" s="0" t="s">
        <v>5485</v>
      </c>
      <c r="Y230" s="0" t="s">
        <v>240</v>
      </c>
      <c r="Z230" s="0" t="s">
        <v>161</v>
      </c>
      <c r="AA230" s="0" t="s">
        <v>152</v>
      </c>
      <c r="AB230" s="0" t="s">
        <v>152</v>
      </c>
      <c r="AC230" s="0" t="s">
        <v>2991</v>
      </c>
      <c r="AD230" s="0" t="s">
        <v>2991</v>
      </c>
      <c r="AE230" s="0" t="s">
        <v>2992</v>
      </c>
      <c r="AF230" s="0" t="s">
        <v>6568</v>
      </c>
      <c r="AG230" s="0" t="s">
        <v>6569</v>
      </c>
      <c r="AH230" s="0" t="s">
        <v>5755</v>
      </c>
      <c r="AI230" s="0" t="s">
        <v>6570</v>
      </c>
      <c r="AJ230" s="0" t="s">
        <v>5576</v>
      </c>
      <c r="AK230" s="0" t="s">
        <v>5544</v>
      </c>
      <c r="AL230" s="0" t="s">
        <v>5506</v>
      </c>
      <c r="AM230" s="0" t="s">
        <v>5493</v>
      </c>
      <c r="AN230" s="0" t="s">
        <v>5553</v>
      </c>
      <c r="AO230" s="0" t="s">
        <v>5752</v>
      </c>
      <c r="AP230" s="0" t="s">
        <v>240</v>
      </c>
      <c r="AQ230" s="0" t="s">
        <v>240</v>
      </c>
      <c r="AR230" s="0" t="s">
        <v>240</v>
      </c>
      <c r="AS230" s="0" t="s">
        <v>240</v>
      </c>
      <c r="AT230" s="0" t="s">
        <v>240</v>
      </c>
      <c r="AU230" s="0" t="s">
        <v>240</v>
      </c>
      <c r="AV230" s="0" t="s">
        <v>240</v>
      </c>
      <c r="AW230" s="0" t="s">
        <v>240</v>
      </c>
      <c r="AX230" s="0" t="s">
        <v>240</v>
      </c>
      <c r="AY230" s="0" t="s">
        <v>240</v>
      </c>
      <c r="AZ230" s="0" t="s">
        <v>240</v>
      </c>
      <c r="BA230" s="0" t="s">
        <v>240</v>
      </c>
      <c r="BB230" s="0" t="s">
        <v>240</v>
      </c>
      <c r="BC230" s="0" t="s">
        <v>240</v>
      </c>
      <c r="BD230" s="0" t="s">
        <v>240</v>
      </c>
      <c r="BE230" s="0" t="s">
        <v>240</v>
      </c>
      <c r="BF230" s="0" t="s">
        <v>240</v>
      </c>
      <c r="BG230" s="0" t="s">
        <v>240</v>
      </c>
      <c r="BH230" s="0" t="s">
        <v>240</v>
      </c>
      <c r="BI230" s="0" t="s">
        <v>240</v>
      </c>
      <c r="BJ230" s="0" t="s">
        <v>240</v>
      </c>
      <c r="BK230" s="0" t="s">
        <v>240</v>
      </c>
      <c r="BL230" s="0" t="s">
        <v>240</v>
      </c>
      <c r="BM230" s="0" t="s">
        <v>240</v>
      </c>
      <c r="BN230" s="0" t="s">
        <v>240</v>
      </c>
      <c r="BO230" s="0" t="s">
        <v>240</v>
      </c>
      <c r="BP230" s="0" t="s">
        <v>240</v>
      </c>
      <c r="BQ230" s="0" t="s">
        <v>240</v>
      </c>
      <c r="BR230" s="0" t="s">
        <v>240</v>
      </c>
      <c r="BS230" s="0" t="s">
        <v>240</v>
      </c>
      <c r="BT230" s="0" t="s">
        <v>240</v>
      </c>
      <c r="BU230" s="0" t="s">
        <v>240</v>
      </c>
      <c r="BV230" s="0" t="s">
        <v>240</v>
      </c>
      <c r="BW230" s="0" t="s">
        <v>240</v>
      </c>
      <c r="BX230" s="0" t="s">
        <v>240</v>
      </c>
      <c r="BY230" s="0" t="s">
        <v>240</v>
      </c>
      <c r="BZ230" s="0" t="s">
        <v>240</v>
      </c>
      <c r="CA230" s="0" t="s">
        <v>240</v>
      </c>
      <c r="CB230" s="0" t="s">
        <v>240</v>
      </c>
      <c r="CC230" s="0" t="s">
        <v>240</v>
      </c>
      <c r="CD230" s="0" t="s">
        <v>240</v>
      </c>
      <c r="CE230" s="0" t="s">
        <v>240</v>
      </c>
      <c r="CF230" s="0" t="s">
        <v>240</v>
      </c>
      <c r="CG230" s="0" t="s">
        <v>240</v>
      </c>
      <c r="CH230" s="0" t="s">
        <v>240</v>
      </c>
      <c r="CI230" s="0" t="s">
        <v>240</v>
      </c>
      <c r="CJ230" s="0" t="s">
        <v>240</v>
      </c>
      <c r="CK230" s="0" t="s">
        <v>240</v>
      </c>
      <c r="CL230" s="0" t="s">
        <v>240</v>
      </c>
      <c r="CM230" s="0" t="s">
        <v>240</v>
      </c>
      <c r="CN230" s="0" t="s">
        <v>240</v>
      </c>
      <c r="CO230" s="0" t="s">
        <v>240</v>
      </c>
      <c r="CP230" s="0" t="s">
        <v>240</v>
      </c>
      <c r="CQ230" s="0" t="s">
        <v>240</v>
      </c>
      <c r="CR230" s="0" t="s">
        <v>240</v>
      </c>
      <c r="CS230" s="0" t="s">
        <v>240</v>
      </c>
      <c r="CT230" s="0" t="s">
        <v>5496</v>
      </c>
      <c r="CU230" s="0" t="s">
        <v>5497</v>
      </c>
      <c r="CV230" s="0" t="s">
        <v>443</v>
      </c>
      <c r="CW230" s="0" t="s">
        <v>5547</v>
      </c>
      <c r="CX230" s="0" t="s">
        <v>229</v>
      </c>
      <c r="CY230" s="0" t="s">
        <v>443</v>
      </c>
      <c r="CZ230" s="0" t="s">
        <v>5548</v>
      </c>
      <c r="DA230" s="0" t="s">
        <v>5549</v>
      </c>
      <c r="DB230" s="0" t="s">
        <v>5547</v>
      </c>
      <c r="DC230" s="0" t="s">
        <v>384</v>
      </c>
      <c r="DD230" s="0" t="s">
        <v>291</v>
      </c>
      <c r="DE230" s="0" t="s">
        <v>6571</v>
      </c>
    </row>
    <row customHeight="1" ht="11.25">
      <c r="A231" s="1441" t="s">
        <v>240</v>
      </c>
      <c r="B231" s="0" t="s">
        <v>240</v>
      </c>
      <c r="C231" s="0" t="s">
        <v>240</v>
      </c>
      <c r="D231" s="0" t="s">
        <v>240</v>
      </c>
      <c r="E231" s="0" t="s">
        <v>240</v>
      </c>
      <c r="F231" s="0" t="s">
        <v>240</v>
      </c>
      <c r="G231" s="0" t="s">
        <v>240</v>
      </c>
      <c r="H231" s="0" t="s">
        <v>240</v>
      </c>
      <c r="I231" s="0" t="s">
        <v>5484</v>
      </c>
      <c r="J231" s="0" t="s">
        <v>240</v>
      </c>
      <c r="K231" s="0" t="s">
        <v>240</v>
      </c>
      <c r="L231" s="0" t="s">
        <v>240</v>
      </c>
      <c r="M231" s="0" t="s">
        <v>240</v>
      </c>
      <c r="N231" s="0" t="s">
        <v>240</v>
      </c>
      <c r="O231" s="0" t="s">
        <v>240</v>
      </c>
      <c r="P231" s="0" t="s">
        <v>240</v>
      </c>
      <c r="Q231" s="0" t="s">
        <v>240</v>
      </c>
      <c r="R231" s="0" t="s">
        <v>6572</v>
      </c>
      <c r="S231" s="0" t="s">
        <v>240</v>
      </c>
      <c r="T231" s="0" t="s">
        <v>240</v>
      </c>
      <c r="U231" s="0" t="s">
        <v>102</v>
      </c>
      <c r="V231" s="0" t="s">
        <v>240</v>
      </c>
      <c r="W231" s="0" t="s">
        <v>240</v>
      </c>
      <c r="X231" s="0" t="s">
        <v>5585</v>
      </c>
      <c r="Y231" s="0" t="s">
        <v>240</v>
      </c>
      <c r="Z231" s="0" t="s">
        <v>152</v>
      </c>
      <c r="AA231" s="0" t="s">
        <v>152</v>
      </c>
      <c r="AB231" s="0" t="s">
        <v>161</v>
      </c>
      <c r="AC231" s="0" t="s">
        <v>2991</v>
      </c>
      <c r="AD231" s="0" t="s">
        <v>2991</v>
      </c>
      <c r="AE231" s="0" t="s">
        <v>2992</v>
      </c>
      <c r="AF231" s="0" t="s">
        <v>6568</v>
      </c>
      <c r="AG231" s="0" t="s">
        <v>6569</v>
      </c>
      <c r="AH231" s="0" t="s">
        <v>5575</v>
      </c>
      <c r="AI231" s="0" t="s">
        <v>5575</v>
      </c>
      <c r="AJ231" s="0" t="s">
        <v>240</v>
      </c>
      <c r="AK231" s="0" t="s">
        <v>240</v>
      </c>
      <c r="AL231" s="0" t="s">
        <v>240</v>
      </c>
      <c r="AM231" s="0" t="s">
        <v>240</v>
      </c>
      <c r="AN231" s="0" t="s">
        <v>240</v>
      </c>
      <c r="AO231" s="0" t="s">
        <v>240</v>
      </c>
      <c r="AP231" s="0" t="s">
        <v>240</v>
      </c>
      <c r="AQ231" s="0" t="s">
        <v>240</v>
      </c>
      <c r="AR231" s="0" t="s">
        <v>240</v>
      </c>
      <c r="AS231" s="0" t="s">
        <v>240</v>
      </c>
      <c r="AT231" s="0" t="s">
        <v>240</v>
      </c>
      <c r="AU231" s="0" t="s">
        <v>240</v>
      </c>
      <c r="AV231" s="0" t="s">
        <v>240</v>
      </c>
      <c r="AW231" s="0" t="s">
        <v>240</v>
      </c>
      <c r="AX231" s="0" t="s">
        <v>240</v>
      </c>
      <c r="AY231" s="0" t="s">
        <v>240</v>
      </c>
      <c r="AZ231" s="0" t="s">
        <v>240</v>
      </c>
      <c r="BA231" s="0" t="s">
        <v>240</v>
      </c>
      <c r="BB231" s="0" t="s">
        <v>240</v>
      </c>
      <c r="BC231" s="0" t="s">
        <v>240</v>
      </c>
      <c r="BD231" s="0" t="s">
        <v>240</v>
      </c>
      <c r="BE231" s="0" t="s">
        <v>5576</v>
      </c>
      <c r="BF231" s="0" t="s">
        <v>5544</v>
      </c>
      <c r="BG231" s="0" t="s">
        <v>112</v>
      </c>
      <c r="BH231" s="0" t="s">
        <v>5589</v>
      </c>
      <c r="BI231" s="0" t="s">
        <v>123</v>
      </c>
      <c r="BJ231" s="0" t="s">
        <v>240</v>
      </c>
      <c r="BK231" s="0" t="s">
        <v>5608</v>
      </c>
      <c r="BL231" s="0" t="s">
        <v>2991</v>
      </c>
      <c r="BM231" s="0" t="s">
        <v>2991</v>
      </c>
      <c r="BN231" s="0" t="s">
        <v>5663</v>
      </c>
      <c r="BO231" s="0" t="s">
        <v>6568</v>
      </c>
      <c r="BP231" s="0" t="s">
        <v>6573</v>
      </c>
      <c r="BQ231" s="0" t="s">
        <v>5575</v>
      </c>
      <c r="BR231" s="0" t="s">
        <v>5575</v>
      </c>
      <c r="BS231" s="0" t="s">
        <v>240</v>
      </c>
      <c r="BT231" s="0" t="s">
        <v>5650</v>
      </c>
      <c r="BU231" s="0" t="s">
        <v>6574</v>
      </c>
      <c r="BV231" s="0" t="s">
        <v>6574</v>
      </c>
      <c r="BW231" s="0" t="s">
        <v>5598</v>
      </c>
      <c r="BX231" s="0" t="s">
        <v>5598</v>
      </c>
      <c r="BY231" s="0" t="s">
        <v>5598</v>
      </c>
      <c r="BZ231" s="0" t="s">
        <v>5598</v>
      </c>
      <c r="CA231" s="0" t="s">
        <v>5598</v>
      </c>
      <c r="CB231" s="0" t="s">
        <v>240</v>
      </c>
      <c r="CC231" s="0" t="s">
        <v>240</v>
      </c>
      <c r="CD231" s="0" t="s">
        <v>240</v>
      </c>
      <c r="CE231" s="0" t="s">
        <v>240</v>
      </c>
      <c r="CF231" s="0" t="s">
        <v>240</v>
      </c>
      <c r="CG231" s="0" t="s">
        <v>5598</v>
      </c>
      <c r="CH231" s="0" t="s">
        <v>240</v>
      </c>
      <c r="CI231" s="0" t="s">
        <v>240</v>
      </c>
      <c r="CJ231" s="0" t="s">
        <v>240</v>
      </c>
      <c r="CK231" s="0" t="s">
        <v>240</v>
      </c>
      <c r="CL231" s="0" t="s">
        <v>240</v>
      </c>
      <c r="CM231" s="0" t="s">
        <v>6574</v>
      </c>
      <c r="CN231" s="0" t="s">
        <v>6574</v>
      </c>
      <c r="CO231" s="0" t="s">
        <v>240</v>
      </c>
      <c r="CP231" s="0" t="s">
        <v>240</v>
      </c>
      <c r="CQ231" s="0" t="s">
        <v>240</v>
      </c>
      <c r="CR231" s="0" t="s">
        <v>240</v>
      </c>
      <c r="CS231" s="0" t="s">
        <v>5666</v>
      </c>
      <c r="CT231" s="0" t="s">
        <v>5496</v>
      </c>
      <c r="CU231" s="0" t="s">
        <v>5497</v>
      </c>
      <c r="CV231" s="0" t="s">
        <v>443</v>
      </c>
      <c r="CW231" s="0" t="s">
        <v>5547</v>
      </c>
      <c r="CX231" s="0" t="s">
        <v>229</v>
      </c>
      <c r="CY231" s="0" t="s">
        <v>443</v>
      </c>
      <c r="CZ231" s="0" t="s">
        <v>5548</v>
      </c>
      <c r="DA231" s="0" t="s">
        <v>5549</v>
      </c>
      <c r="DB231" s="0" t="s">
        <v>5547</v>
      </c>
      <c r="DC231" s="0" t="s">
        <v>384</v>
      </c>
      <c r="DD231" s="0" t="s">
        <v>291</v>
      </c>
      <c r="DE231" s="0" t="s">
        <v>6575</v>
      </c>
    </row>
    <row customHeight="1" ht="11.25">
      <c r="A232" s="1441" t="s">
        <v>240</v>
      </c>
      <c r="B232" s="0" t="s">
        <v>240</v>
      </c>
      <c r="C232" s="0" t="s">
        <v>240</v>
      </c>
      <c r="D232" s="0" t="s">
        <v>240</v>
      </c>
      <c r="E232" s="0" t="s">
        <v>240</v>
      </c>
      <c r="F232" s="0" t="s">
        <v>240</v>
      </c>
      <c r="G232" s="0" t="s">
        <v>240</v>
      </c>
      <c r="H232" s="0" t="s">
        <v>240</v>
      </c>
      <c r="I232" s="0" t="s">
        <v>5484</v>
      </c>
      <c r="J232" s="0" t="s">
        <v>240</v>
      </c>
      <c r="K232" s="0" t="s">
        <v>240</v>
      </c>
      <c r="L232" s="0" t="s">
        <v>240</v>
      </c>
      <c r="M232" s="0" t="s">
        <v>240</v>
      </c>
      <c r="N232" s="0" t="s">
        <v>240</v>
      </c>
      <c r="O232" s="0" t="s">
        <v>240</v>
      </c>
      <c r="P232" s="0" t="s">
        <v>240</v>
      </c>
      <c r="Q232" s="0" t="s">
        <v>240</v>
      </c>
      <c r="R232" s="0" t="s">
        <v>5572</v>
      </c>
      <c r="S232" s="0" t="s">
        <v>240</v>
      </c>
      <c r="T232" s="0" t="s">
        <v>240</v>
      </c>
      <c r="U232" s="0" t="s">
        <v>102</v>
      </c>
      <c r="V232" s="0" t="s">
        <v>240</v>
      </c>
      <c r="W232" s="0" t="s">
        <v>240</v>
      </c>
      <c r="X232" s="0" t="s">
        <v>5485</v>
      </c>
      <c r="Y232" s="0" t="s">
        <v>240</v>
      </c>
      <c r="Z232" s="0" t="s">
        <v>161</v>
      </c>
      <c r="AA232" s="0" t="s">
        <v>152</v>
      </c>
      <c r="AB232" s="0" t="s">
        <v>152</v>
      </c>
      <c r="AC232" s="0" t="s">
        <v>2991</v>
      </c>
      <c r="AD232" s="0" t="s">
        <v>2991</v>
      </c>
      <c r="AE232" s="0" t="s">
        <v>2992</v>
      </c>
      <c r="AF232" s="0" t="s">
        <v>5884</v>
      </c>
      <c r="AG232" s="0" t="s">
        <v>5885</v>
      </c>
      <c r="AH232" s="0" t="s">
        <v>6379</v>
      </c>
      <c r="AI232" s="0" t="s">
        <v>6551</v>
      </c>
      <c r="AJ232" s="0" t="s">
        <v>5552</v>
      </c>
      <c r="AK232" s="0" t="s">
        <v>5544</v>
      </c>
      <c r="AL232" s="0" t="s">
        <v>5506</v>
      </c>
      <c r="AM232" s="0" t="s">
        <v>5493</v>
      </c>
      <c r="AN232" s="0" t="s">
        <v>5553</v>
      </c>
      <c r="AO232" s="0" t="s">
        <v>5746</v>
      </c>
      <c r="AP232" s="0" t="s">
        <v>240</v>
      </c>
      <c r="AQ232" s="0" t="s">
        <v>240</v>
      </c>
      <c r="AR232" s="0" t="s">
        <v>240</v>
      </c>
      <c r="AS232" s="0" t="s">
        <v>240</v>
      </c>
      <c r="AT232" s="0" t="s">
        <v>240</v>
      </c>
      <c r="AU232" s="0" t="s">
        <v>240</v>
      </c>
      <c r="AV232" s="0" t="s">
        <v>240</v>
      </c>
      <c r="AW232" s="0" t="s">
        <v>240</v>
      </c>
      <c r="AX232" s="0" t="s">
        <v>240</v>
      </c>
      <c r="AY232" s="0" t="s">
        <v>240</v>
      </c>
      <c r="AZ232" s="0" t="s">
        <v>240</v>
      </c>
      <c r="BA232" s="0" t="s">
        <v>240</v>
      </c>
      <c r="BB232" s="0" t="s">
        <v>240</v>
      </c>
      <c r="BC232" s="0" t="s">
        <v>240</v>
      </c>
      <c r="BD232" s="0" t="s">
        <v>240</v>
      </c>
      <c r="BE232" s="0" t="s">
        <v>240</v>
      </c>
      <c r="BF232" s="0" t="s">
        <v>240</v>
      </c>
      <c r="BG232" s="0" t="s">
        <v>240</v>
      </c>
      <c r="BH232" s="0" t="s">
        <v>240</v>
      </c>
      <c r="BI232" s="0" t="s">
        <v>240</v>
      </c>
      <c r="BJ232" s="0" t="s">
        <v>240</v>
      </c>
      <c r="BK232" s="0" t="s">
        <v>240</v>
      </c>
      <c r="BL232" s="0" t="s">
        <v>240</v>
      </c>
      <c r="BM232" s="0" t="s">
        <v>240</v>
      </c>
      <c r="BN232" s="0" t="s">
        <v>240</v>
      </c>
      <c r="BO232" s="0" t="s">
        <v>240</v>
      </c>
      <c r="BP232" s="0" t="s">
        <v>240</v>
      </c>
      <c r="BQ232" s="0" t="s">
        <v>240</v>
      </c>
      <c r="BR232" s="0" t="s">
        <v>240</v>
      </c>
      <c r="BS232" s="0" t="s">
        <v>240</v>
      </c>
      <c r="BT232" s="0" t="s">
        <v>240</v>
      </c>
      <c r="BU232" s="0" t="s">
        <v>240</v>
      </c>
      <c r="BV232" s="0" t="s">
        <v>240</v>
      </c>
      <c r="BW232" s="0" t="s">
        <v>240</v>
      </c>
      <c r="BX232" s="0" t="s">
        <v>240</v>
      </c>
      <c r="BY232" s="0" t="s">
        <v>240</v>
      </c>
      <c r="BZ232" s="0" t="s">
        <v>240</v>
      </c>
      <c r="CA232" s="0" t="s">
        <v>240</v>
      </c>
      <c r="CB232" s="0" t="s">
        <v>240</v>
      </c>
      <c r="CC232" s="0" t="s">
        <v>240</v>
      </c>
      <c r="CD232" s="0" t="s">
        <v>240</v>
      </c>
      <c r="CE232" s="0" t="s">
        <v>240</v>
      </c>
      <c r="CF232" s="0" t="s">
        <v>240</v>
      </c>
      <c r="CG232" s="0" t="s">
        <v>240</v>
      </c>
      <c r="CH232" s="0" t="s">
        <v>240</v>
      </c>
      <c r="CI232" s="0" t="s">
        <v>240</v>
      </c>
      <c r="CJ232" s="0" t="s">
        <v>240</v>
      </c>
      <c r="CK232" s="0" t="s">
        <v>240</v>
      </c>
      <c r="CL232" s="0" t="s">
        <v>240</v>
      </c>
      <c r="CM232" s="0" t="s">
        <v>240</v>
      </c>
      <c r="CN232" s="0" t="s">
        <v>240</v>
      </c>
      <c r="CO232" s="0" t="s">
        <v>240</v>
      </c>
      <c r="CP232" s="0" t="s">
        <v>240</v>
      </c>
      <c r="CQ232" s="0" t="s">
        <v>240</v>
      </c>
      <c r="CR232" s="0" t="s">
        <v>240</v>
      </c>
      <c r="CS232" s="0" t="s">
        <v>240</v>
      </c>
      <c r="CT232" s="0" t="s">
        <v>5496</v>
      </c>
      <c r="CU232" s="0" t="s">
        <v>5497</v>
      </c>
      <c r="CV232" s="0" t="s">
        <v>443</v>
      </c>
      <c r="CW232" s="0" t="s">
        <v>5547</v>
      </c>
      <c r="CX232" s="0" t="s">
        <v>229</v>
      </c>
      <c r="CY232" s="0" t="s">
        <v>443</v>
      </c>
      <c r="CZ232" s="0" t="s">
        <v>5548</v>
      </c>
      <c r="DA232" s="0" t="s">
        <v>5549</v>
      </c>
      <c r="DB232" s="0" t="s">
        <v>5547</v>
      </c>
      <c r="DC232" s="0" t="s">
        <v>384</v>
      </c>
      <c r="DD232" s="0" t="s">
        <v>291</v>
      </c>
      <c r="DE232" s="0" t="s">
        <v>6576</v>
      </c>
    </row>
    <row customHeight="1" ht="11.25">
      <c r="A233" s="1441" t="s">
        <v>240</v>
      </c>
      <c r="B233" s="0" t="s">
        <v>240</v>
      </c>
      <c r="C233" s="0" t="s">
        <v>240</v>
      </c>
      <c r="D233" s="0" t="s">
        <v>240</v>
      </c>
      <c r="E233" s="0" t="s">
        <v>240</v>
      </c>
      <c r="F233" s="0" t="s">
        <v>240</v>
      </c>
      <c r="G233" s="0" t="s">
        <v>240</v>
      </c>
      <c r="H233" s="0" t="s">
        <v>240</v>
      </c>
      <c r="I233" s="0" t="s">
        <v>5484</v>
      </c>
      <c r="J233" s="0" t="s">
        <v>240</v>
      </c>
      <c r="K233" s="0" t="s">
        <v>240</v>
      </c>
      <c r="L233" s="0" t="s">
        <v>240</v>
      </c>
      <c r="M233" s="0" t="s">
        <v>240</v>
      </c>
      <c r="N233" s="0" t="s">
        <v>240</v>
      </c>
      <c r="O233" s="0" t="s">
        <v>240</v>
      </c>
      <c r="P233" s="0" t="s">
        <v>240</v>
      </c>
      <c r="Q233" s="0" t="s">
        <v>240</v>
      </c>
      <c r="R233" s="0" t="s">
        <v>6577</v>
      </c>
      <c r="S233" s="0" t="s">
        <v>240</v>
      </c>
      <c r="T233" s="0" t="s">
        <v>240</v>
      </c>
      <c r="U233" s="0" t="s">
        <v>102</v>
      </c>
      <c r="V233" s="0" t="s">
        <v>240</v>
      </c>
      <c r="W233" s="0" t="s">
        <v>240</v>
      </c>
      <c r="X233" s="0" t="s">
        <v>5485</v>
      </c>
      <c r="Y233" s="0" t="s">
        <v>240</v>
      </c>
      <c r="Z233" s="0" t="s">
        <v>161</v>
      </c>
      <c r="AA233" s="0" t="s">
        <v>152</v>
      </c>
      <c r="AB233" s="0" t="s">
        <v>152</v>
      </c>
      <c r="AC233" s="0" t="s">
        <v>3389</v>
      </c>
      <c r="AD233" s="0" t="s">
        <v>3389</v>
      </c>
      <c r="AE233" s="0" t="s">
        <v>3390</v>
      </c>
      <c r="AF233" s="0" t="s">
        <v>5519</v>
      </c>
      <c r="AG233" s="0" t="s">
        <v>5520</v>
      </c>
      <c r="AH233" s="0" t="s">
        <v>6578</v>
      </c>
      <c r="AI233" s="0" t="s">
        <v>5928</v>
      </c>
      <c r="AJ233" s="0" t="s">
        <v>5872</v>
      </c>
      <c r="AK233" s="0" t="s">
        <v>6579</v>
      </c>
      <c r="AL233" s="0" t="s">
        <v>5524</v>
      </c>
      <c r="AM233" s="0" t="s">
        <v>5493</v>
      </c>
      <c r="AN233" s="0" t="s">
        <v>6580</v>
      </c>
      <c r="AO233" s="0" t="s">
        <v>6581</v>
      </c>
      <c r="AP233" s="0" t="s">
        <v>240</v>
      </c>
      <c r="AQ233" s="0" t="s">
        <v>240</v>
      </c>
      <c r="AR233" s="0" t="s">
        <v>240</v>
      </c>
      <c r="AS233" s="0" t="s">
        <v>240</v>
      </c>
      <c r="AT233" s="0" t="s">
        <v>240</v>
      </c>
      <c r="AU233" s="0" t="s">
        <v>240</v>
      </c>
      <c r="AV233" s="0" t="s">
        <v>240</v>
      </c>
      <c r="AW233" s="0" t="s">
        <v>240</v>
      </c>
      <c r="AX233" s="0" t="s">
        <v>240</v>
      </c>
      <c r="AY233" s="0" t="s">
        <v>240</v>
      </c>
      <c r="AZ233" s="0" t="s">
        <v>240</v>
      </c>
      <c r="BA233" s="0" t="s">
        <v>240</v>
      </c>
      <c r="BB233" s="0" t="s">
        <v>240</v>
      </c>
      <c r="BC233" s="0" t="s">
        <v>240</v>
      </c>
      <c r="BD233" s="0" t="s">
        <v>240</v>
      </c>
      <c r="BE233" s="0" t="s">
        <v>240</v>
      </c>
      <c r="BF233" s="0" t="s">
        <v>240</v>
      </c>
      <c r="BG233" s="0" t="s">
        <v>240</v>
      </c>
      <c r="BH233" s="0" t="s">
        <v>240</v>
      </c>
      <c r="BI233" s="0" t="s">
        <v>240</v>
      </c>
      <c r="BJ233" s="0" t="s">
        <v>240</v>
      </c>
      <c r="BK233" s="0" t="s">
        <v>240</v>
      </c>
      <c r="BL233" s="0" t="s">
        <v>240</v>
      </c>
      <c r="BM233" s="0" t="s">
        <v>240</v>
      </c>
      <c r="BN233" s="0" t="s">
        <v>240</v>
      </c>
      <c r="BO233" s="0" t="s">
        <v>240</v>
      </c>
      <c r="BP233" s="0" t="s">
        <v>240</v>
      </c>
      <c r="BQ233" s="0" t="s">
        <v>240</v>
      </c>
      <c r="BR233" s="0" t="s">
        <v>240</v>
      </c>
      <c r="BS233" s="0" t="s">
        <v>240</v>
      </c>
      <c r="BT233" s="0" t="s">
        <v>240</v>
      </c>
      <c r="BU233" s="0" t="s">
        <v>240</v>
      </c>
      <c r="BV233" s="0" t="s">
        <v>240</v>
      </c>
      <c r="BW233" s="0" t="s">
        <v>240</v>
      </c>
      <c r="BX233" s="0" t="s">
        <v>240</v>
      </c>
      <c r="BY233" s="0" t="s">
        <v>240</v>
      </c>
      <c r="BZ233" s="0" t="s">
        <v>240</v>
      </c>
      <c r="CA233" s="0" t="s">
        <v>240</v>
      </c>
      <c r="CB233" s="0" t="s">
        <v>240</v>
      </c>
      <c r="CC233" s="0" t="s">
        <v>240</v>
      </c>
      <c r="CD233" s="0" t="s">
        <v>240</v>
      </c>
      <c r="CE233" s="0" t="s">
        <v>240</v>
      </c>
      <c r="CF233" s="0" t="s">
        <v>240</v>
      </c>
      <c r="CG233" s="0" t="s">
        <v>240</v>
      </c>
      <c r="CH233" s="0" t="s">
        <v>240</v>
      </c>
      <c r="CI233" s="0" t="s">
        <v>240</v>
      </c>
      <c r="CJ233" s="0" t="s">
        <v>240</v>
      </c>
      <c r="CK233" s="0" t="s">
        <v>240</v>
      </c>
      <c r="CL233" s="0" t="s">
        <v>240</v>
      </c>
      <c r="CM233" s="0" t="s">
        <v>240</v>
      </c>
      <c r="CN233" s="0" t="s">
        <v>240</v>
      </c>
      <c r="CO233" s="0" t="s">
        <v>240</v>
      </c>
      <c r="CP233" s="0" t="s">
        <v>240</v>
      </c>
      <c r="CQ233" s="0" t="s">
        <v>240</v>
      </c>
      <c r="CR233" s="0" t="s">
        <v>240</v>
      </c>
      <c r="CS233" s="0" t="s">
        <v>240</v>
      </c>
      <c r="CT233" s="0" t="s">
        <v>5496</v>
      </c>
      <c r="CU233" s="0" t="s">
        <v>5497</v>
      </c>
      <c r="CV233" s="0" t="s">
        <v>443</v>
      </c>
      <c r="CW233" s="0" t="s">
        <v>5527</v>
      </c>
      <c r="CX233" s="0" t="s">
        <v>5528</v>
      </c>
      <c r="CY233" s="0" t="s">
        <v>443</v>
      </c>
      <c r="CZ233" s="0" t="s">
        <v>299</v>
      </c>
      <c r="DA233" s="0" t="s">
        <v>5529</v>
      </c>
      <c r="DB233" s="0" t="s">
        <v>5527</v>
      </c>
      <c r="DC233" s="0" t="s">
        <v>384</v>
      </c>
      <c r="DD233" s="0" t="s">
        <v>291</v>
      </c>
      <c r="DE233" s="0" t="s">
        <v>6582</v>
      </c>
    </row>
    <row customHeight="1" ht="11.25">
      <c r="A234" s="1441" t="s">
        <v>240</v>
      </c>
      <c r="B234" s="0" t="s">
        <v>240</v>
      </c>
      <c r="C234" s="0" t="s">
        <v>240</v>
      </c>
      <c r="D234" s="0" t="s">
        <v>240</v>
      </c>
      <c r="E234" s="0" t="s">
        <v>240</v>
      </c>
      <c r="F234" s="0" t="s">
        <v>240</v>
      </c>
      <c r="G234" s="0" t="s">
        <v>240</v>
      </c>
      <c r="H234" s="0" t="s">
        <v>240</v>
      </c>
      <c r="I234" s="0" t="s">
        <v>5484</v>
      </c>
      <c r="J234" s="0" t="s">
        <v>240</v>
      </c>
      <c r="K234" s="0" t="s">
        <v>240</v>
      </c>
      <c r="L234" s="0" t="s">
        <v>240</v>
      </c>
      <c r="M234" s="0" t="s">
        <v>240</v>
      </c>
      <c r="N234" s="0" t="s">
        <v>240</v>
      </c>
      <c r="O234" s="0" t="s">
        <v>240</v>
      </c>
      <c r="P234" s="0" t="s">
        <v>240</v>
      </c>
      <c r="Q234" s="0" t="s">
        <v>240</v>
      </c>
      <c r="R234" s="0" t="s">
        <v>6583</v>
      </c>
      <c r="S234" s="0" t="s">
        <v>240</v>
      </c>
      <c r="T234" s="0" t="s">
        <v>240</v>
      </c>
      <c r="U234" s="0" t="s">
        <v>102</v>
      </c>
      <c r="V234" s="0" t="s">
        <v>240</v>
      </c>
      <c r="W234" s="0" t="s">
        <v>240</v>
      </c>
      <c r="X234" s="0" t="s">
        <v>5485</v>
      </c>
      <c r="Y234" s="0" t="s">
        <v>240</v>
      </c>
      <c r="Z234" s="0" t="s">
        <v>161</v>
      </c>
      <c r="AA234" s="0" t="s">
        <v>152</v>
      </c>
      <c r="AB234" s="0" t="s">
        <v>152</v>
      </c>
      <c r="AC234" s="0" t="s">
        <v>2991</v>
      </c>
      <c r="AD234" s="0" t="s">
        <v>2991</v>
      </c>
      <c r="AE234" s="0" t="s">
        <v>2992</v>
      </c>
      <c r="AF234" s="0" t="s">
        <v>5884</v>
      </c>
      <c r="AG234" s="0" t="s">
        <v>5885</v>
      </c>
      <c r="AH234" s="0" t="s">
        <v>6379</v>
      </c>
      <c r="AI234" s="0" t="s">
        <v>5710</v>
      </c>
      <c r="AJ234" s="0" t="s">
        <v>5552</v>
      </c>
      <c r="AK234" s="0" t="s">
        <v>5776</v>
      </c>
      <c r="AL234" s="0" t="s">
        <v>5506</v>
      </c>
      <c r="AM234" s="0" t="s">
        <v>5493</v>
      </c>
      <c r="AN234" s="0" t="s">
        <v>5553</v>
      </c>
      <c r="AO234" s="0" t="s">
        <v>5887</v>
      </c>
      <c r="AP234" s="0" t="s">
        <v>240</v>
      </c>
      <c r="AQ234" s="0" t="s">
        <v>240</v>
      </c>
      <c r="AR234" s="0" t="s">
        <v>240</v>
      </c>
      <c r="AS234" s="0" t="s">
        <v>240</v>
      </c>
      <c r="AT234" s="0" t="s">
        <v>240</v>
      </c>
      <c r="AU234" s="0" t="s">
        <v>240</v>
      </c>
      <c r="AV234" s="0" t="s">
        <v>240</v>
      </c>
      <c r="AW234" s="0" t="s">
        <v>240</v>
      </c>
      <c r="AX234" s="0" t="s">
        <v>240</v>
      </c>
      <c r="AY234" s="0" t="s">
        <v>240</v>
      </c>
      <c r="AZ234" s="0" t="s">
        <v>240</v>
      </c>
      <c r="BA234" s="0" t="s">
        <v>240</v>
      </c>
      <c r="BB234" s="0" t="s">
        <v>240</v>
      </c>
      <c r="BC234" s="0" t="s">
        <v>240</v>
      </c>
      <c r="BD234" s="0" t="s">
        <v>240</v>
      </c>
      <c r="BE234" s="0" t="s">
        <v>240</v>
      </c>
      <c r="BF234" s="0" t="s">
        <v>240</v>
      </c>
      <c r="BG234" s="0" t="s">
        <v>240</v>
      </c>
      <c r="BH234" s="0" t="s">
        <v>240</v>
      </c>
      <c r="BI234" s="0" t="s">
        <v>240</v>
      </c>
      <c r="BJ234" s="0" t="s">
        <v>240</v>
      </c>
      <c r="BK234" s="0" t="s">
        <v>240</v>
      </c>
      <c r="BL234" s="0" t="s">
        <v>240</v>
      </c>
      <c r="BM234" s="0" t="s">
        <v>240</v>
      </c>
      <c r="BN234" s="0" t="s">
        <v>240</v>
      </c>
      <c r="BO234" s="0" t="s">
        <v>240</v>
      </c>
      <c r="BP234" s="0" t="s">
        <v>240</v>
      </c>
      <c r="BQ234" s="0" t="s">
        <v>240</v>
      </c>
      <c r="BR234" s="0" t="s">
        <v>240</v>
      </c>
      <c r="BS234" s="0" t="s">
        <v>240</v>
      </c>
      <c r="BT234" s="0" t="s">
        <v>240</v>
      </c>
      <c r="BU234" s="0" t="s">
        <v>240</v>
      </c>
      <c r="BV234" s="0" t="s">
        <v>240</v>
      </c>
      <c r="BW234" s="0" t="s">
        <v>240</v>
      </c>
      <c r="BX234" s="0" t="s">
        <v>240</v>
      </c>
      <c r="BY234" s="0" t="s">
        <v>240</v>
      </c>
      <c r="BZ234" s="0" t="s">
        <v>240</v>
      </c>
      <c r="CA234" s="0" t="s">
        <v>240</v>
      </c>
      <c r="CB234" s="0" t="s">
        <v>240</v>
      </c>
      <c r="CC234" s="0" t="s">
        <v>240</v>
      </c>
      <c r="CD234" s="0" t="s">
        <v>240</v>
      </c>
      <c r="CE234" s="0" t="s">
        <v>240</v>
      </c>
      <c r="CF234" s="0" t="s">
        <v>240</v>
      </c>
      <c r="CG234" s="0" t="s">
        <v>240</v>
      </c>
      <c r="CH234" s="0" t="s">
        <v>240</v>
      </c>
      <c r="CI234" s="0" t="s">
        <v>240</v>
      </c>
      <c r="CJ234" s="0" t="s">
        <v>240</v>
      </c>
      <c r="CK234" s="0" t="s">
        <v>240</v>
      </c>
      <c r="CL234" s="0" t="s">
        <v>240</v>
      </c>
      <c r="CM234" s="0" t="s">
        <v>240</v>
      </c>
      <c r="CN234" s="0" t="s">
        <v>240</v>
      </c>
      <c r="CO234" s="0" t="s">
        <v>240</v>
      </c>
      <c r="CP234" s="0" t="s">
        <v>240</v>
      </c>
      <c r="CQ234" s="0" t="s">
        <v>240</v>
      </c>
      <c r="CR234" s="0" t="s">
        <v>240</v>
      </c>
      <c r="CS234" s="0" t="s">
        <v>240</v>
      </c>
      <c r="CT234" s="0" t="s">
        <v>5496</v>
      </c>
      <c r="CU234" s="0" t="s">
        <v>5497</v>
      </c>
      <c r="CV234" s="0" t="s">
        <v>443</v>
      </c>
      <c r="CW234" s="0" t="s">
        <v>5547</v>
      </c>
      <c r="CX234" s="0" t="s">
        <v>229</v>
      </c>
      <c r="CY234" s="0" t="s">
        <v>443</v>
      </c>
      <c r="CZ234" s="0" t="s">
        <v>5548</v>
      </c>
      <c r="DA234" s="0" t="s">
        <v>5549</v>
      </c>
      <c r="DB234" s="0" t="s">
        <v>5547</v>
      </c>
      <c r="DC234" s="0" t="s">
        <v>384</v>
      </c>
      <c r="DD234" s="0" t="s">
        <v>291</v>
      </c>
      <c r="DE234" s="0" t="s">
        <v>6584</v>
      </c>
    </row>
    <row customHeight="1" ht="11.25">
      <c r="A235" s="1441" t="s">
        <v>240</v>
      </c>
      <c r="B235" s="0" t="s">
        <v>240</v>
      </c>
      <c r="C235" s="0" t="s">
        <v>240</v>
      </c>
      <c r="D235" s="0" t="s">
        <v>240</v>
      </c>
      <c r="E235" s="0" t="s">
        <v>240</v>
      </c>
      <c r="F235" s="0" t="s">
        <v>240</v>
      </c>
      <c r="G235" s="0" t="s">
        <v>240</v>
      </c>
      <c r="H235" s="0" t="s">
        <v>240</v>
      </c>
      <c r="I235" s="0" t="s">
        <v>5484</v>
      </c>
      <c r="J235" s="0" t="s">
        <v>240</v>
      </c>
      <c r="K235" s="0" t="s">
        <v>240</v>
      </c>
      <c r="L235" s="0" t="s">
        <v>240</v>
      </c>
      <c r="M235" s="0" t="s">
        <v>240</v>
      </c>
      <c r="N235" s="0" t="s">
        <v>240</v>
      </c>
      <c r="O235" s="0" t="s">
        <v>240</v>
      </c>
      <c r="P235" s="0" t="s">
        <v>240</v>
      </c>
      <c r="Q235" s="0" t="s">
        <v>240</v>
      </c>
      <c r="R235" s="0" t="s">
        <v>5572</v>
      </c>
      <c r="S235" s="0" t="s">
        <v>240</v>
      </c>
      <c r="T235" s="0" t="s">
        <v>240</v>
      </c>
      <c r="U235" s="0" t="s">
        <v>102</v>
      </c>
      <c r="V235" s="0" t="s">
        <v>240</v>
      </c>
      <c r="W235" s="0" t="s">
        <v>240</v>
      </c>
      <c r="X235" s="0" t="s">
        <v>5485</v>
      </c>
      <c r="Y235" s="0" t="s">
        <v>240</v>
      </c>
      <c r="Z235" s="0" t="s">
        <v>161</v>
      </c>
      <c r="AA235" s="0" t="s">
        <v>152</v>
      </c>
      <c r="AB235" s="0" t="s">
        <v>152</v>
      </c>
      <c r="AC235" s="0" t="s">
        <v>2991</v>
      </c>
      <c r="AD235" s="0" t="s">
        <v>2991</v>
      </c>
      <c r="AE235" s="0" t="s">
        <v>2992</v>
      </c>
      <c r="AF235" s="0" t="s">
        <v>5749</v>
      </c>
      <c r="AG235" s="0" t="s">
        <v>5750</v>
      </c>
      <c r="AH235" s="0" t="s">
        <v>6585</v>
      </c>
      <c r="AI235" s="0" t="s">
        <v>6586</v>
      </c>
      <c r="AJ235" s="0" t="s">
        <v>5504</v>
      </c>
      <c r="AK235" s="0" t="s">
        <v>5731</v>
      </c>
      <c r="AL235" s="0" t="s">
        <v>5506</v>
      </c>
      <c r="AM235" s="0" t="s">
        <v>5493</v>
      </c>
      <c r="AN235" s="0" t="s">
        <v>5553</v>
      </c>
      <c r="AO235" s="0" t="s">
        <v>5746</v>
      </c>
      <c r="AP235" s="0" t="s">
        <v>240</v>
      </c>
      <c r="AQ235" s="0" t="s">
        <v>240</v>
      </c>
      <c r="AR235" s="0" t="s">
        <v>240</v>
      </c>
      <c r="AS235" s="0" t="s">
        <v>240</v>
      </c>
      <c r="AT235" s="0" t="s">
        <v>240</v>
      </c>
      <c r="AU235" s="0" t="s">
        <v>240</v>
      </c>
      <c r="AV235" s="0" t="s">
        <v>240</v>
      </c>
      <c r="AW235" s="0" t="s">
        <v>240</v>
      </c>
      <c r="AX235" s="0" t="s">
        <v>240</v>
      </c>
      <c r="AY235" s="0" t="s">
        <v>240</v>
      </c>
      <c r="AZ235" s="0" t="s">
        <v>240</v>
      </c>
      <c r="BA235" s="0" t="s">
        <v>240</v>
      </c>
      <c r="BB235" s="0" t="s">
        <v>240</v>
      </c>
      <c r="BC235" s="0" t="s">
        <v>240</v>
      </c>
      <c r="BD235" s="0" t="s">
        <v>240</v>
      </c>
      <c r="BE235" s="0" t="s">
        <v>240</v>
      </c>
      <c r="BF235" s="0" t="s">
        <v>240</v>
      </c>
      <c r="BG235" s="0" t="s">
        <v>240</v>
      </c>
      <c r="BH235" s="0" t="s">
        <v>240</v>
      </c>
      <c r="BI235" s="0" t="s">
        <v>240</v>
      </c>
      <c r="BJ235" s="0" t="s">
        <v>240</v>
      </c>
      <c r="BK235" s="0" t="s">
        <v>240</v>
      </c>
      <c r="BL235" s="0" t="s">
        <v>240</v>
      </c>
      <c r="BM235" s="0" t="s">
        <v>240</v>
      </c>
      <c r="BN235" s="0" t="s">
        <v>240</v>
      </c>
      <c r="BO235" s="0" t="s">
        <v>240</v>
      </c>
      <c r="BP235" s="0" t="s">
        <v>240</v>
      </c>
      <c r="BQ235" s="0" t="s">
        <v>240</v>
      </c>
      <c r="BR235" s="0" t="s">
        <v>240</v>
      </c>
      <c r="BS235" s="0" t="s">
        <v>240</v>
      </c>
      <c r="BT235" s="0" t="s">
        <v>240</v>
      </c>
      <c r="BU235" s="0" t="s">
        <v>240</v>
      </c>
      <c r="BV235" s="0" t="s">
        <v>240</v>
      </c>
      <c r="BW235" s="0" t="s">
        <v>240</v>
      </c>
      <c r="BX235" s="0" t="s">
        <v>240</v>
      </c>
      <c r="BY235" s="0" t="s">
        <v>240</v>
      </c>
      <c r="BZ235" s="0" t="s">
        <v>240</v>
      </c>
      <c r="CA235" s="0" t="s">
        <v>240</v>
      </c>
      <c r="CB235" s="0" t="s">
        <v>240</v>
      </c>
      <c r="CC235" s="0" t="s">
        <v>240</v>
      </c>
      <c r="CD235" s="0" t="s">
        <v>240</v>
      </c>
      <c r="CE235" s="0" t="s">
        <v>240</v>
      </c>
      <c r="CF235" s="0" t="s">
        <v>240</v>
      </c>
      <c r="CG235" s="0" t="s">
        <v>240</v>
      </c>
      <c r="CH235" s="0" t="s">
        <v>240</v>
      </c>
      <c r="CI235" s="0" t="s">
        <v>240</v>
      </c>
      <c r="CJ235" s="0" t="s">
        <v>240</v>
      </c>
      <c r="CK235" s="0" t="s">
        <v>240</v>
      </c>
      <c r="CL235" s="0" t="s">
        <v>240</v>
      </c>
      <c r="CM235" s="0" t="s">
        <v>240</v>
      </c>
      <c r="CN235" s="0" t="s">
        <v>240</v>
      </c>
      <c r="CO235" s="0" t="s">
        <v>240</v>
      </c>
      <c r="CP235" s="0" t="s">
        <v>240</v>
      </c>
      <c r="CQ235" s="0" t="s">
        <v>240</v>
      </c>
      <c r="CR235" s="0" t="s">
        <v>240</v>
      </c>
      <c r="CS235" s="0" t="s">
        <v>240</v>
      </c>
      <c r="CT235" s="0" t="s">
        <v>5496</v>
      </c>
      <c r="CU235" s="0" t="s">
        <v>5497</v>
      </c>
      <c r="CV235" s="0" t="s">
        <v>443</v>
      </c>
      <c r="CW235" s="0" t="s">
        <v>5547</v>
      </c>
      <c r="CX235" s="0" t="s">
        <v>229</v>
      </c>
      <c r="CY235" s="0" t="s">
        <v>443</v>
      </c>
      <c r="CZ235" s="0" t="s">
        <v>5548</v>
      </c>
      <c r="DA235" s="0" t="s">
        <v>5549</v>
      </c>
      <c r="DB235" s="0" t="s">
        <v>5547</v>
      </c>
      <c r="DC235" s="0" t="s">
        <v>384</v>
      </c>
      <c r="DD235" s="0" t="s">
        <v>291</v>
      </c>
      <c r="DE235" s="0" t="s">
        <v>6587</v>
      </c>
    </row>
    <row customHeight="1" ht="11.25">
      <c r="A236" s="1441" t="s">
        <v>240</v>
      </c>
      <c r="B236" s="0" t="s">
        <v>240</v>
      </c>
      <c r="C236" s="0" t="s">
        <v>240</v>
      </c>
      <c r="D236" s="0" t="s">
        <v>240</v>
      </c>
      <c r="E236" s="0" t="s">
        <v>240</v>
      </c>
      <c r="F236" s="0" t="s">
        <v>240</v>
      </c>
      <c r="G236" s="0" t="s">
        <v>240</v>
      </c>
      <c r="H236" s="0" t="s">
        <v>240</v>
      </c>
      <c r="I236" s="0" t="s">
        <v>5484</v>
      </c>
      <c r="J236" s="0" t="s">
        <v>240</v>
      </c>
      <c r="K236" s="0" t="s">
        <v>240</v>
      </c>
      <c r="L236" s="0" t="s">
        <v>240</v>
      </c>
      <c r="M236" s="0" t="s">
        <v>240</v>
      </c>
      <c r="N236" s="0" t="s">
        <v>240</v>
      </c>
      <c r="O236" s="0" t="s">
        <v>240</v>
      </c>
      <c r="P236" s="0" t="s">
        <v>240</v>
      </c>
      <c r="Q236" s="0" t="s">
        <v>240</v>
      </c>
      <c r="R236" s="0" t="s">
        <v>5539</v>
      </c>
      <c r="S236" s="0" t="s">
        <v>240</v>
      </c>
      <c r="T236" s="0" t="s">
        <v>240</v>
      </c>
      <c r="U236" s="0" t="s">
        <v>102</v>
      </c>
      <c r="V236" s="0" t="s">
        <v>240</v>
      </c>
      <c r="W236" s="0" t="s">
        <v>240</v>
      </c>
      <c r="X236" s="0" t="s">
        <v>5485</v>
      </c>
      <c r="Y236" s="0" t="s">
        <v>240</v>
      </c>
      <c r="Z236" s="0" t="s">
        <v>161</v>
      </c>
      <c r="AA236" s="0" t="s">
        <v>152</v>
      </c>
      <c r="AB236" s="0" t="s">
        <v>152</v>
      </c>
      <c r="AC236" s="0" t="s">
        <v>2991</v>
      </c>
      <c r="AD236" s="0" t="s">
        <v>2991</v>
      </c>
      <c r="AE236" s="0" t="s">
        <v>2992</v>
      </c>
      <c r="AF236" s="0" t="s">
        <v>5749</v>
      </c>
      <c r="AG236" s="0" t="s">
        <v>5750</v>
      </c>
      <c r="AH236" s="0" t="s">
        <v>6588</v>
      </c>
      <c r="AI236" s="0" t="s">
        <v>6589</v>
      </c>
      <c r="AJ236" s="0" t="s">
        <v>6590</v>
      </c>
      <c r="AK236" s="0" t="s">
        <v>5731</v>
      </c>
      <c r="AL236" s="0" t="s">
        <v>5506</v>
      </c>
      <c r="AM236" s="0" t="s">
        <v>5493</v>
      </c>
      <c r="AN236" s="0" t="s">
        <v>5553</v>
      </c>
      <c r="AO236" s="0" t="s">
        <v>6074</v>
      </c>
      <c r="AP236" s="0" t="s">
        <v>240</v>
      </c>
      <c r="AQ236" s="0" t="s">
        <v>240</v>
      </c>
      <c r="AR236" s="0" t="s">
        <v>240</v>
      </c>
      <c r="AS236" s="0" t="s">
        <v>240</v>
      </c>
      <c r="AT236" s="0" t="s">
        <v>240</v>
      </c>
      <c r="AU236" s="0" t="s">
        <v>240</v>
      </c>
      <c r="AV236" s="0" t="s">
        <v>240</v>
      </c>
      <c r="AW236" s="0" t="s">
        <v>240</v>
      </c>
      <c r="AX236" s="0" t="s">
        <v>240</v>
      </c>
      <c r="AY236" s="0" t="s">
        <v>240</v>
      </c>
      <c r="AZ236" s="0" t="s">
        <v>240</v>
      </c>
      <c r="BA236" s="0" t="s">
        <v>240</v>
      </c>
      <c r="BB236" s="0" t="s">
        <v>240</v>
      </c>
      <c r="BC236" s="0" t="s">
        <v>240</v>
      </c>
      <c r="BD236" s="0" t="s">
        <v>240</v>
      </c>
      <c r="BE236" s="0" t="s">
        <v>240</v>
      </c>
      <c r="BF236" s="0" t="s">
        <v>240</v>
      </c>
      <c r="BG236" s="0" t="s">
        <v>240</v>
      </c>
      <c r="BH236" s="0" t="s">
        <v>240</v>
      </c>
      <c r="BI236" s="0" t="s">
        <v>240</v>
      </c>
      <c r="BJ236" s="0" t="s">
        <v>240</v>
      </c>
      <c r="BK236" s="0" t="s">
        <v>240</v>
      </c>
      <c r="BL236" s="0" t="s">
        <v>240</v>
      </c>
      <c r="BM236" s="0" t="s">
        <v>240</v>
      </c>
      <c r="BN236" s="0" t="s">
        <v>240</v>
      </c>
      <c r="BO236" s="0" t="s">
        <v>240</v>
      </c>
      <c r="BP236" s="0" t="s">
        <v>240</v>
      </c>
      <c r="BQ236" s="0" t="s">
        <v>240</v>
      </c>
      <c r="BR236" s="0" t="s">
        <v>240</v>
      </c>
      <c r="BS236" s="0" t="s">
        <v>240</v>
      </c>
      <c r="BT236" s="0" t="s">
        <v>240</v>
      </c>
      <c r="BU236" s="0" t="s">
        <v>240</v>
      </c>
      <c r="BV236" s="0" t="s">
        <v>240</v>
      </c>
      <c r="BW236" s="0" t="s">
        <v>240</v>
      </c>
      <c r="BX236" s="0" t="s">
        <v>240</v>
      </c>
      <c r="BY236" s="0" t="s">
        <v>240</v>
      </c>
      <c r="BZ236" s="0" t="s">
        <v>240</v>
      </c>
      <c r="CA236" s="0" t="s">
        <v>240</v>
      </c>
      <c r="CB236" s="0" t="s">
        <v>240</v>
      </c>
      <c r="CC236" s="0" t="s">
        <v>240</v>
      </c>
      <c r="CD236" s="0" t="s">
        <v>240</v>
      </c>
      <c r="CE236" s="0" t="s">
        <v>240</v>
      </c>
      <c r="CF236" s="0" t="s">
        <v>240</v>
      </c>
      <c r="CG236" s="0" t="s">
        <v>240</v>
      </c>
      <c r="CH236" s="0" t="s">
        <v>240</v>
      </c>
      <c r="CI236" s="0" t="s">
        <v>240</v>
      </c>
      <c r="CJ236" s="0" t="s">
        <v>240</v>
      </c>
      <c r="CK236" s="0" t="s">
        <v>240</v>
      </c>
      <c r="CL236" s="0" t="s">
        <v>240</v>
      </c>
      <c r="CM236" s="0" t="s">
        <v>240</v>
      </c>
      <c r="CN236" s="0" t="s">
        <v>240</v>
      </c>
      <c r="CO236" s="0" t="s">
        <v>240</v>
      </c>
      <c r="CP236" s="0" t="s">
        <v>240</v>
      </c>
      <c r="CQ236" s="0" t="s">
        <v>240</v>
      </c>
      <c r="CR236" s="0" t="s">
        <v>240</v>
      </c>
      <c r="CS236" s="0" t="s">
        <v>240</v>
      </c>
      <c r="CT236" s="0" t="s">
        <v>5496</v>
      </c>
      <c r="CU236" s="0" t="s">
        <v>5497</v>
      </c>
      <c r="CV236" s="0" t="s">
        <v>443</v>
      </c>
      <c r="CW236" s="0" t="s">
        <v>5547</v>
      </c>
      <c r="CX236" s="0" t="s">
        <v>229</v>
      </c>
      <c r="CY236" s="0" t="s">
        <v>443</v>
      </c>
      <c r="CZ236" s="0" t="s">
        <v>5548</v>
      </c>
      <c r="DA236" s="0" t="s">
        <v>5549</v>
      </c>
      <c r="DB236" s="0" t="s">
        <v>5547</v>
      </c>
      <c r="DC236" s="0" t="s">
        <v>384</v>
      </c>
      <c r="DD236" s="0" t="s">
        <v>291</v>
      </c>
      <c r="DE236" s="0" t="s">
        <v>6591</v>
      </c>
    </row>
    <row customHeight="1" ht="11.25">
      <c r="A237" s="1441" t="s">
        <v>240</v>
      </c>
      <c r="B237" s="0" t="s">
        <v>240</v>
      </c>
      <c r="C237" s="0" t="s">
        <v>240</v>
      </c>
      <c r="D237" s="0" t="s">
        <v>240</v>
      </c>
      <c r="E237" s="0" t="s">
        <v>240</v>
      </c>
      <c r="F237" s="0" t="s">
        <v>240</v>
      </c>
      <c r="G237" s="0" t="s">
        <v>240</v>
      </c>
      <c r="H237" s="0" t="s">
        <v>240</v>
      </c>
      <c r="I237" s="0" t="s">
        <v>5484</v>
      </c>
      <c r="J237" s="0" t="s">
        <v>240</v>
      </c>
      <c r="K237" s="0" t="s">
        <v>240</v>
      </c>
      <c r="L237" s="0" t="s">
        <v>240</v>
      </c>
      <c r="M237" s="0" t="s">
        <v>240</v>
      </c>
      <c r="N237" s="0" t="s">
        <v>240</v>
      </c>
      <c r="O237" s="0" t="s">
        <v>240</v>
      </c>
      <c r="P237" s="0" t="s">
        <v>240</v>
      </c>
      <c r="Q237" s="0" t="s">
        <v>240</v>
      </c>
      <c r="R237" s="0" t="s">
        <v>6592</v>
      </c>
      <c r="S237" s="0" t="s">
        <v>240</v>
      </c>
      <c r="T237" s="0" t="s">
        <v>240</v>
      </c>
      <c r="U237" s="0" t="s">
        <v>102</v>
      </c>
      <c r="V237" s="0" t="s">
        <v>240</v>
      </c>
      <c r="W237" s="0" t="s">
        <v>240</v>
      </c>
      <c r="X237" s="0" t="s">
        <v>5485</v>
      </c>
      <c r="Y237" s="0" t="s">
        <v>240</v>
      </c>
      <c r="Z237" s="0" t="s">
        <v>161</v>
      </c>
      <c r="AA237" s="0" t="s">
        <v>152</v>
      </c>
      <c r="AB237" s="0" t="s">
        <v>152</v>
      </c>
      <c r="AC237" s="0" t="s">
        <v>2991</v>
      </c>
      <c r="AD237" s="0" t="s">
        <v>2991</v>
      </c>
      <c r="AE237" s="0" t="s">
        <v>2992</v>
      </c>
      <c r="AF237" s="0" t="s">
        <v>5749</v>
      </c>
      <c r="AG237" s="0" t="s">
        <v>5750</v>
      </c>
      <c r="AH237" s="0" t="s">
        <v>6593</v>
      </c>
      <c r="AI237" s="0" t="s">
        <v>6594</v>
      </c>
      <c r="AJ237" s="0" t="s">
        <v>6590</v>
      </c>
      <c r="AK237" s="0" t="s">
        <v>5776</v>
      </c>
      <c r="AL237" s="0" t="s">
        <v>5506</v>
      </c>
      <c r="AM237" s="0" t="s">
        <v>5493</v>
      </c>
      <c r="AN237" s="0" t="s">
        <v>5545</v>
      </c>
      <c r="AO237" s="0" t="s">
        <v>5768</v>
      </c>
      <c r="AP237" s="0" t="s">
        <v>240</v>
      </c>
      <c r="AQ237" s="0" t="s">
        <v>240</v>
      </c>
      <c r="AR237" s="0" t="s">
        <v>240</v>
      </c>
      <c r="AS237" s="0" t="s">
        <v>240</v>
      </c>
      <c r="AT237" s="0" t="s">
        <v>240</v>
      </c>
      <c r="AU237" s="0" t="s">
        <v>240</v>
      </c>
      <c r="AV237" s="0" t="s">
        <v>240</v>
      </c>
      <c r="AW237" s="0" t="s">
        <v>240</v>
      </c>
      <c r="AX237" s="0" t="s">
        <v>240</v>
      </c>
      <c r="AY237" s="0" t="s">
        <v>240</v>
      </c>
      <c r="AZ237" s="0" t="s">
        <v>240</v>
      </c>
      <c r="BA237" s="0" t="s">
        <v>240</v>
      </c>
      <c r="BB237" s="0" t="s">
        <v>240</v>
      </c>
      <c r="BC237" s="0" t="s">
        <v>240</v>
      </c>
      <c r="BD237" s="0" t="s">
        <v>240</v>
      </c>
      <c r="BE237" s="0" t="s">
        <v>240</v>
      </c>
      <c r="BF237" s="0" t="s">
        <v>240</v>
      </c>
      <c r="BG237" s="0" t="s">
        <v>240</v>
      </c>
      <c r="BH237" s="0" t="s">
        <v>240</v>
      </c>
      <c r="BI237" s="0" t="s">
        <v>240</v>
      </c>
      <c r="BJ237" s="0" t="s">
        <v>240</v>
      </c>
      <c r="BK237" s="0" t="s">
        <v>240</v>
      </c>
      <c r="BL237" s="0" t="s">
        <v>240</v>
      </c>
      <c r="BM237" s="0" t="s">
        <v>240</v>
      </c>
      <c r="BN237" s="0" t="s">
        <v>240</v>
      </c>
      <c r="BO237" s="0" t="s">
        <v>240</v>
      </c>
      <c r="BP237" s="0" t="s">
        <v>240</v>
      </c>
      <c r="BQ237" s="0" t="s">
        <v>240</v>
      </c>
      <c r="BR237" s="0" t="s">
        <v>240</v>
      </c>
      <c r="BS237" s="0" t="s">
        <v>240</v>
      </c>
      <c r="BT237" s="0" t="s">
        <v>240</v>
      </c>
      <c r="BU237" s="0" t="s">
        <v>240</v>
      </c>
      <c r="BV237" s="0" t="s">
        <v>240</v>
      </c>
      <c r="BW237" s="0" t="s">
        <v>240</v>
      </c>
      <c r="BX237" s="0" t="s">
        <v>240</v>
      </c>
      <c r="BY237" s="0" t="s">
        <v>240</v>
      </c>
      <c r="BZ237" s="0" t="s">
        <v>240</v>
      </c>
      <c r="CA237" s="0" t="s">
        <v>240</v>
      </c>
      <c r="CB237" s="0" t="s">
        <v>240</v>
      </c>
      <c r="CC237" s="0" t="s">
        <v>240</v>
      </c>
      <c r="CD237" s="0" t="s">
        <v>240</v>
      </c>
      <c r="CE237" s="0" t="s">
        <v>240</v>
      </c>
      <c r="CF237" s="0" t="s">
        <v>240</v>
      </c>
      <c r="CG237" s="0" t="s">
        <v>240</v>
      </c>
      <c r="CH237" s="0" t="s">
        <v>240</v>
      </c>
      <c r="CI237" s="0" t="s">
        <v>240</v>
      </c>
      <c r="CJ237" s="0" t="s">
        <v>240</v>
      </c>
      <c r="CK237" s="0" t="s">
        <v>240</v>
      </c>
      <c r="CL237" s="0" t="s">
        <v>240</v>
      </c>
      <c r="CM237" s="0" t="s">
        <v>240</v>
      </c>
      <c r="CN237" s="0" t="s">
        <v>240</v>
      </c>
      <c r="CO237" s="0" t="s">
        <v>240</v>
      </c>
      <c r="CP237" s="0" t="s">
        <v>240</v>
      </c>
      <c r="CQ237" s="0" t="s">
        <v>240</v>
      </c>
      <c r="CR237" s="0" t="s">
        <v>240</v>
      </c>
      <c r="CS237" s="0" t="s">
        <v>240</v>
      </c>
      <c r="CT237" s="0" t="s">
        <v>5496</v>
      </c>
      <c r="CU237" s="0" t="s">
        <v>5497</v>
      </c>
      <c r="CV237" s="0" t="s">
        <v>443</v>
      </c>
      <c r="CW237" s="0" t="s">
        <v>5547</v>
      </c>
      <c r="CX237" s="0" t="s">
        <v>229</v>
      </c>
      <c r="CY237" s="0" t="s">
        <v>443</v>
      </c>
      <c r="CZ237" s="0" t="s">
        <v>5548</v>
      </c>
      <c r="DA237" s="0" t="s">
        <v>5549</v>
      </c>
      <c r="DB237" s="0" t="s">
        <v>5547</v>
      </c>
      <c r="DC237" s="0" t="s">
        <v>384</v>
      </c>
      <c r="DD237" s="0" t="s">
        <v>291</v>
      </c>
      <c r="DE237" s="0" t="s">
        <v>6595</v>
      </c>
    </row>
    <row customHeight="1" ht="11.25">
      <c r="A238" s="1441" t="s">
        <v>240</v>
      </c>
      <c r="B238" s="0" t="s">
        <v>240</v>
      </c>
      <c r="C238" s="0" t="s">
        <v>240</v>
      </c>
      <c r="D238" s="0" t="s">
        <v>240</v>
      </c>
      <c r="E238" s="0" t="s">
        <v>240</v>
      </c>
      <c r="F238" s="0" t="s">
        <v>240</v>
      </c>
      <c r="G238" s="0" t="s">
        <v>240</v>
      </c>
      <c r="H238" s="0" t="s">
        <v>240</v>
      </c>
      <c r="I238" s="0" t="s">
        <v>5484</v>
      </c>
      <c r="J238" s="0" t="s">
        <v>240</v>
      </c>
      <c r="K238" s="0" t="s">
        <v>240</v>
      </c>
      <c r="L238" s="0" t="s">
        <v>240</v>
      </c>
      <c r="M238" s="0" t="s">
        <v>240</v>
      </c>
      <c r="N238" s="0" t="s">
        <v>240</v>
      </c>
      <c r="O238" s="0" t="s">
        <v>240</v>
      </c>
      <c r="P238" s="0" t="s">
        <v>240</v>
      </c>
      <c r="Q238" s="0" t="s">
        <v>240</v>
      </c>
      <c r="R238" s="0" t="s">
        <v>6596</v>
      </c>
      <c r="S238" s="0" t="s">
        <v>240</v>
      </c>
      <c r="T238" s="0" t="s">
        <v>240</v>
      </c>
      <c r="U238" s="0" t="s">
        <v>102</v>
      </c>
      <c r="V238" s="0" t="s">
        <v>240</v>
      </c>
      <c r="W238" s="0" t="s">
        <v>240</v>
      </c>
      <c r="X238" s="0" t="s">
        <v>5485</v>
      </c>
      <c r="Y238" s="0" t="s">
        <v>240</v>
      </c>
      <c r="Z238" s="0" t="s">
        <v>161</v>
      </c>
      <c r="AA238" s="0" t="s">
        <v>152</v>
      </c>
      <c r="AB238" s="0" t="s">
        <v>152</v>
      </c>
      <c r="AC238" s="0" t="s">
        <v>2991</v>
      </c>
      <c r="AD238" s="0" t="s">
        <v>2991</v>
      </c>
      <c r="AE238" s="0" t="s">
        <v>2992</v>
      </c>
      <c r="AF238" s="0" t="s">
        <v>5749</v>
      </c>
      <c r="AG238" s="0" t="s">
        <v>5750</v>
      </c>
      <c r="AH238" s="0" t="s">
        <v>6597</v>
      </c>
      <c r="AI238" s="0" t="s">
        <v>6598</v>
      </c>
      <c r="AJ238" s="0" t="s">
        <v>6590</v>
      </c>
      <c r="AK238" s="0" t="s">
        <v>5731</v>
      </c>
      <c r="AL238" s="0" t="s">
        <v>5506</v>
      </c>
      <c r="AM238" s="0" t="s">
        <v>5493</v>
      </c>
      <c r="AN238" s="0" t="s">
        <v>5545</v>
      </c>
      <c r="AO238" s="0" t="s">
        <v>5636</v>
      </c>
      <c r="AP238" s="0" t="s">
        <v>240</v>
      </c>
      <c r="AQ238" s="0" t="s">
        <v>240</v>
      </c>
      <c r="AR238" s="0" t="s">
        <v>240</v>
      </c>
      <c r="AS238" s="0" t="s">
        <v>240</v>
      </c>
      <c r="AT238" s="0" t="s">
        <v>240</v>
      </c>
      <c r="AU238" s="0" t="s">
        <v>240</v>
      </c>
      <c r="AV238" s="0" t="s">
        <v>240</v>
      </c>
      <c r="AW238" s="0" t="s">
        <v>240</v>
      </c>
      <c r="AX238" s="0" t="s">
        <v>240</v>
      </c>
      <c r="AY238" s="0" t="s">
        <v>240</v>
      </c>
      <c r="AZ238" s="0" t="s">
        <v>240</v>
      </c>
      <c r="BA238" s="0" t="s">
        <v>240</v>
      </c>
      <c r="BB238" s="0" t="s">
        <v>240</v>
      </c>
      <c r="BC238" s="0" t="s">
        <v>240</v>
      </c>
      <c r="BD238" s="0" t="s">
        <v>240</v>
      </c>
      <c r="BE238" s="0" t="s">
        <v>240</v>
      </c>
      <c r="BF238" s="0" t="s">
        <v>240</v>
      </c>
      <c r="BG238" s="0" t="s">
        <v>240</v>
      </c>
      <c r="BH238" s="0" t="s">
        <v>240</v>
      </c>
      <c r="BI238" s="0" t="s">
        <v>240</v>
      </c>
      <c r="BJ238" s="0" t="s">
        <v>240</v>
      </c>
      <c r="BK238" s="0" t="s">
        <v>240</v>
      </c>
      <c r="BL238" s="0" t="s">
        <v>240</v>
      </c>
      <c r="BM238" s="0" t="s">
        <v>240</v>
      </c>
      <c r="BN238" s="0" t="s">
        <v>240</v>
      </c>
      <c r="BO238" s="0" t="s">
        <v>240</v>
      </c>
      <c r="BP238" s="0" t="s">
        <v>240</v>
      </c>
      <c r="BQ238" s="0" t="s">
        <v>240</v>
      </c>
      <c r="BR238" s="0" t="s">
        <v>240</v>
      </c>
      <c r="BS238" s="0" t="s">
        <v>240</v>
      </c>
      <c r="BT238" s="0" t="s">
        <v>240</v>
      </c>
      <c r="BU238" s="0" t="s">
        <v>240</v>
      </c>
      <c r="BV238" s="0" t="s">
        <v>240</v>
      </c>
      <c r="BW238" s="0" t="s">
        <v>240</v>
      </c>
      <c r="BX238" s="0" t="s">
        <v>240</v>
      </c>
      <c r="BY238" s="0" t="s">
        <v>240</v>
      </c>
      <c r="BZ238" s="0" t="s">
        <v>240</v>
      </c>
      <c r="CA238" s="0" t="s">
        <v>240</v>
      </c>
      <c r="CB238" s="0" t="s">
        <v>240</v>
      </c>
      <c r="CC238" s="0" t="s">
        <v>240</v>
      </c>
      <c r="CD238" s="0" t="s">
        <v>240</v>
      </c>
      <c r="CE238" s="0" t="s">
        <v>240</v>
      </c>
      <c r="CF238" s="0" t="s">
        <v>240</v>
      </c>
      <c r="CG238" s="0" t="s">
        <v>240</v>
      </c>
      <c r="CH238" s="0" t="s">
        <v>240</v>
      </c>
      <c r="CI238" s="0" t="s">
        <v>240</v>
      </c>
      <c r="CJ238" s="0" t="s">
        <v>240</v>
      </c>
      <c r="CK238" s="0" t="s">
        <v>240</v>
      </c>
      <c r="CL238" s="0" t="s">
        <v>240</v>
      </c>
      <c r="CM238" s="0" t="s">
        <v>240</v>
      </c>
      <c r="CN238" s="0" t="s">
        <v>240</v>
      </c>
      <c r="CO238" s="0" t="s">
        <v>240</v>
      </c>
      <c r="CP238" s="0" t="s">
        <v>240</v>
      </c>
      <c r="CQ238" s="0" t="s">
        <v>240</v>
      </c>
      <c r="CR238" s="0" t="s">
        <v>240</v>
      </c>
      <c r="CS238" s="0" t="s">
        <v>240</v>
      </c>
      <c r="CT238" s="0" t="s">
        <v>5496</v>
      </c>
      <c r="CU238" s="0" t="s">
        <v>5497</v>
      </c>
      <c r="CV238" s="0" t="s">
        <v>443</v>
      </c>
      <c r="CW238" s="0" t="s">
        <v>5547</v>
      </c>
      <c r="CX238" s="0" t="s">
        <v>229</v>
      </c>
      <c r="CY238" s="0" t="s">
        <v>443</v>
      </c>
      <c r="CZ238" s="0" t="s">
        <v>5548</v>
      </c>
      <c r="DA238" s="0" t="s">
        <v>5549</v>
      </c>
      <c r="DB238" s="0" t="s">
        <v>5547</v>
      </c>
      <c r="DC238" s="0" t="s">
        <v>384</v>
      </c>
      <c r="DD238" s="0" t="s">
        <v>291</v>
      </c>
      <c r="DE238" s="0" t="s">
        <v>6599</v>
      </c>
    </row>
    <row customHeight="1" ht="11.25">
      <c r="A239" s="1441" t="s">
        <v>240</v>
      </c>
      <c r="B239" s="0" t="s">
        <v>240</v>
      </c>
      <c r="C239" s="0" t="s">
        <v>240</v>
      </c>
      <c r="D239" s="0" t="s">
        <v>240</v>
      </c>
      <c r="E239" s="0" t="s">
        <v>240</v>
      </c>
      <c r="F239" s="0" t="s">
        <v>240</v>
      </c>
      <c r="G239" s="0" t="s">
        <v>240</v>
      </c>
      <c r="H239" s="0" t="s">
        <v>240</v>
      </c>
      <c r="I239" s="0" t="s">
        <v>5484</v>
      </c>
      <c r="J239" s="0" t="s">
        <v>240</v>
      </c>
      <c r="K239" s="0" t="s">
        <v>240</v>
      </c>
      <c r="L239" s="0" t="s">
        <v>240</v>
      </c>
      <c r="M239" s="0" t="s">
        <v>240</v>
      </c>
      <c r="N239" s="0" t="s">
        <v>240</v>
      </c>
      <c r="O239" s="0" t="s">
        <v>240</v>
      </c>
      <c r="P239" s="0" t="s">
        <v>240</v>
      </c>
      <c r="Q239" s="0" t="s">
        <v>240</v>
      </c>
      <c r="R239" s="0" t="s">
        <v>5572</v>
      </c>
      <c r="S239" s="0" t="s">
        <v>240</v>
      </c>
      <c r="T239" s="0" t="s">
        <v>240</v>
      </c>
      <c r="U239" s="0" t="s">
        <v>102</v>
      </c>
      <c r="V239" s="0" t="s">
        <v>240</v>
      </c>
      <c r="W239" s="0" t="s">
        <v>240</v>
      </c>
      <c r="X239" s="0" t="s">
        <v>5485</v>
      </c>
      <c r="Y239" s="0" t="s">
        <v>240</v>
      </c>
      <c r="Z239" s="0" t="s">
        <v>161</v>
      </c>
      <c r="AA239" s="0" t="s">
        <v>152</v>
      </c>
      <c r="AB239" s="0" t="s">
        <v>152</v>
      </c>
      <c r="AC239" s="0" t="s">
        <v>2991</v>
      </c>
      <c r="AD239" s="0" t="s">
        <v>2991</v>
      </c>
      <c r="AE239" s="0" t="s">
        <v>2992</v>
      </c>
      <c r="AF239" s="0" t="s">
        <v>6600</v>
      </c>
      <c r="AG239" s="0" t="s">
        <v>6601</v>
      </c>
      <c r="AH239" s="0" t="s">
        <v>6447</v>
      </c>
      <c r="AI239" s="0" t="s">
        <v>5730</v>
      </c>
      <c r="AJ239" s="0" t="s">
        <v>5504</v>
      </c>
      <c r="AK239" s="0" t="s">
        <v>5672</v>
      </c>
      <c r="AL239" s="0" t="s">
        <v>5506</v>
      </c>
      <c r="AM239" s="0" t="s">
        <v>5493</v>
      </c>
      <c r="AN239" s="0" t="s">
        <v>5545</v>
      </c>
      <c r="AO239" s="0" t="s">
        <v>5680</v>
      </c>
      <c r="AP239" s="0" t="s">
        <v>240</v>
      </c>
      <c r="AQ239" s="0" t="s">
        <v>240</v>
      </c>
      <c r="AR239" s="0" t="s">
        <v>240</v>
      </c>
      <c r="AS239" s="0" t="s">
        <v>240</v>
      </c>
      <c r="AT239" s="0" t="s">
        <v>240</v>
      </c>
      <c r="AU239" s="0" t="s">
        <v>240</v>
      </c>
      <c r="AV239" s="0" t="s">
        <v>240</v>
      </c>
      <c r="AW239" s="0" t="s">
        <v>240</v>
      </c>
      <c r="AX239" s="0" t="s">
        <v>240</v>
      </c>
      <c r="AY239" s="0" t="s">
        <v>240</v>
      </c>
      <c r="AZ239" s="0" t="s">
        <v>240</v>
      </c>
      <c r="BA239" s="0" t="s">
        <v>240</v>
      </c>
      <c r="BB239" s="0" t="s">
        <v>240</v>
      </c>
      <c r="BC239" s="0" t="s">
        <v>240</v>
      </c>
      <c r="BD239" s="0" t="s">
        <v>240</v>
      </c>
      <c r="BE239" s="0" t="s">
        <v>240</v>
      </c>
      <c r="BF239" s="0" t="s">
        <v>240</v>
      </c>
      <c r="BG239" s="0" t="s">
        <v>240</v>
      </c>
      <c r="BH239" s="0" t="s">
        <v>240</v>
      </c>
      <c r="BI239" s="0" t="s">
        <v>240</v>
      </c>
      <c r="BJ239" s="0" t="s">
        <v>240</v>
      </c>
      <c r="BK239" s="0" t="s">
        <v>240</v>
      </c>
      <c r="BL239" s="0" t="s">
        <v>240</v>
      </c>
      <c r="BM239" s="0" t="s">
        <v>240</v>
      </c>
      <c r="BN239" s="0" t="s">
        <v>240</v>
      </c>
      <c r="BO239" s="0" t="s">
        <v>240</v>
      </c>
      <c r="BP239" s="0" t="s">
        <v>240</v>
      </c>
      <c r="BQ239" s="0" t="s">
        <v>240</v>
      </c>
      <c r="BR239" s="0" t="s">
        <v>240</v>
      </c>
      <c r="BS239" s="0" t="s">
        <v>240</v>
      </c>
      <c r="BT239" s="0" t="s">
        <v>240</v>
      </c>
      <c r="BU239" s="0" t="s">
        <v>240</v>
      </c>
      <c r="BV239" s="0" t="s">
        <v>240</v>
      </c>
      <c r="BW239" s="0" t="s">
        <v>240</v>
      </c>
      <c r="BX239" s="0" t="s">
        <v>240</v>
      </c>
      <c r="BY239" s="0" t="s">
        <v>240</v>
      </c>
      <c r="BZ239" s="0" t="s">
        <v>240</v>
      </c>
      <c r="CA239" s="0" t="s">
        <v>240</v>
      </c>
      <c r="CB239" s="0" t="s">
        <v>240</v>
      </c>
      <c r="CC239" s="0" t="s">
        <v>240</v>
      </c>
      <c r="CD239" s="0" t="s">
        <v>240</v>
      </c>
      <c r="CE239" s="0" t="s">
        <v>240</v>
      </c>
      <c r="CF239" s="0" t="s">
        <v>240</v>
      </c>
      <c r="CG239" s="0" t="s">
        <v>240</v>
      </c>
      <c r="CH239" s="0" t="s">
        <v>240</v>
      </c>
      <c r="CI239" s="0" t="s">
        <v>240</v>
      </c>
      <c r="CJ239" s="0" t="s">
        <v>240</v>
      </c>
      <c r="CK239" s="0" t="s">
        <v>240</v>
      </c>
      <c r="CL239" s="0" t="s">
        <v>240</v>
      </c>
      <c r="CM239" s="0" t="s">
        <v>240</v>
      </c>
      <c r="CN239" s="0" t="s">
        <v>240</v>
      </c>
      <c r="CO239" s="0" t="s">
        <v>240</v>
      </c>
      <c r="CP239" s="0" t="s">
        <v>240</v>
      </c>
      <c r="CQ239" s="0" t="s">
        <v>240</v>
      </c>
      <c r="CR239" s="0" t="s">
        <v>240</v>
      </c>
      <c r="CS239" s="0" t="s">
        <v>240</v>
      </c>
      <c r="CT239" s="0" t="s">
        <v>5496</v>
      </c>
      <c r="CU239" s="0" t="s">
        <v>5497</v>
      </c>
      <c r="CV239" s="0" t="s">
        <v>443</v>
      </c>
      <c r="CW239" s="0" t="s">
        <v>5547</v>
      </c>
      <c r="CX239" s="0" t="s">
        <v>229</v>
      </c>
      <c r="CY239" s="0" t="s">
        <v>443</v>
      </c>
      <c r="CZ239" s="0" t="s">
        <v>5548</v>
      </c>
      <c r="DA239" s="0" t="s">
        <v>5549</v>
      </c>
      <c r="DB239" s="0" t="s">
        <v>5547</v>
      </c>
      <c r="DC239" s="0" t="s">
        <v>384</v>
      </c>
      <c r="DD239" s="0" t="s">
        <v>291</v>
      </c>
      <c r="DE239" s="0" t="s">
        <v>6602</v>
      </c>
    </row>
    <row customHeight="1" ht="11.25">
      <c r="A240" s="1441" t="s">
        <v>240</v>
      </c>
      <c r="B240" s="0" t="s">
        <v>240</v>
      </c>
      <c r="C240" s="0" t="s">
        <v>240</v>
      </c>
      <c r="D240" s="0" t="s">
        <v>240</v>
      </c>
      <c r="E240" s="0" t="s">
        <v>240</v>
      </c>
      <c r="F240" s="0" t="s">
        <v>240</v>
      </c>
      <c r="G240" s="0" t="s">
        <v>240</v>
      </c>
      <c r="H240" s="0" t="s">
        <v>240</v>
      </c>
      <c r="I240" s="0" t="s">
        <v>5484</v>
      </c>
      <c r="J240" s="0" t="s">
        <v>240</v>
      </c>
      <c r="K240" s="0" t="s">
        <v>240</v>
      </c>
      <c r="L240" s="0" t="s">
        <v>240</v>
      </c>
      <c r="M240" s="0" t="s">
        <v>240</v>
      </c>
      <c r="N240" s="0" t="s">
        <v>240</v>
      </c>
      <c r="O240" s="0" t="s">
        <v>240</v>
      </c>
      <c r="P240" s="0" t="s">
        <v>240</v>
      </c>
      <c r="Q240" s="0" t="s">
        <v>240</v>
      </c>
      <c r="R240" s="0" t="s">
        <v>6603</v>
      </c>
      <c r="S240" s="0" t="s">
        <v>240</v>
      </c>
      <c r="T240" s="0" t="s">
        <v>240</v>
      </c>
      <c r="U240" s="0" t="s">
        <v>102</v>
      </c>
      <c r="V240" s="0" t="s">
        <v>240</v>
      </c>
      <c r="W240" s="0" t="s">
        <v>240</v>
      </c>
      <c r="X240" s="0" t="s">
        <v>5585</v>
      </c>
      <c r="Y240" s="0" t="s">
        <v>240</v>
      </c>
      <c r="Z240" s="0" t="s">
        <v>152</v>
      </c>
      <c r="AA240" s="0" t="s">
        <v>152</v>
      </c>
      <c r="AB240" s="0" t="s">
        <v>161</v>
      </c>
      <c r="AC240" s="0" t="s">
        <v>2991</v>
      </c>
      <c r="AD240" s="0" t="s">
        <v>2991</v>
      </c>
      <c r="AE240" s="0" t="s">
        <v>2992</v>
      </c>
      <c r="AF240" s="0" t="s">
        <v>6600</v>
      </c>
      <c r="AG240" s="0" t="s">
        <v>6601</v>
      </c>
      <c r="AH240" s="0" t="s">
        <v>5575</v>
      </c>
      <c r="AI240" s="0" t="s">
        <v>5575</v>
      </c>
      <c r="AJ240" s="0" t="s">
        <v>240</v>
      </c>
      <c r="AK240" s="0" t="s">
        <v>240</v>
      </c>
      <c r="AL240" s="0" t="s">
        <v>240</v>
      </c>
      <c r="AM240" s="0" t="s">
        <v>240</v>
      </c>
      <c r="AN240" s="0" t="s">
        <v>240</v>
      </c>
      <c r="AO240" s="0" t="s">
        <v>240</v>
      </c>
      <c r="AP240" s="0" t="s">
        <v>240</v>
      </c>
      <c r="AQ240" s="0" t="s">
        <v>240</v>
      </c>
      <c r="AR240" s="0" t="s">
        <v>240</v>
      </c>
      <c r="AS240" s="0" t="s">
        <v>240</v>
      </c>
      <c r="AT240" s="0" t="s">
        <v>240</v>
      </c>
      <c r="AU240" s="0" t="s">
        <v>240</v>
      </c>
      <c r="AV240" s="0" t="s">
        <v>240</v>
      </c>
      <c r="AW240" s="0" t="s">
        <v>240</v>
      </c>
      <c r="AX240" s="0" t="s">
        <v>240</v>
      </c>
      <c r="AY240" s="0" t="s">
        <v>240</v>
      </c>
      <c r="AZ240" s="0" t="s">
        <v>240</v>
      </c>
      <c r="BA240" s="0" t="s">
        <v>240</v>
      </c>
      <c r="BB240" s="0" t="s">
        <v>240</v>
      </c>
      <c r="BC240" s="0" t="s">
        <v>240</v>
      </c>
      <c r="BD240" s="0" t="s">
        <v>240</v>
      </c>
      <c r="BE240" s="0" t="s">
        <v>5552</v>
      </c>
      <c r="BF240" s="0" t="s">
        <v>5544</v>
      </c>
      <c r="BG240" s="0" t="s">
        <v>112</v>
      </c>
      <c r="BH240" s="0" t="s">
        <v>5589</v>
      </c>
      <c r="BI240" s="0" t="s">
        <v>123</v>
      </c>
      <c r="BJ240" s="0" t="s">
        <v>240</v>
      </c>
      <c r="BK240" s="0" t="s">
        <v>5608</v>
      </c>
      <c r="BL240" s="0" t="s">
        <v>2991</v>
      </c>
      <c r="BM240" s="0" t="s">
        <v>2991</v>
      </c>
      <c r="BN240" s="0" t="s">
        <v>5663</v>
      </c>
      <c r="BO240" s="0" t="s">
        <v>6600</v>
      </c>
      <c r="BP240" s="0" t="s">
        <v>6604</v>
      </c>
      <c r="BQ240" s="0" t="s">
        <v>5575</v>
      </c>
      <c r="BR240" s="0" t="s">
        <v>5575</v>
      </c>
      <c r="BS240" s="0" t="s">
        <v>240</v>
      </c>
      <c r="BT240" s="0" t="s">
        <v>5650</v>
      </c>
      <c r="BU240" s="0" t="s">
        <v>6605</v>
      </c>
      <c r="BV240" s="0" t="s">
        <v>6605</v>
      </c>
      <c r="BW240" s="0" t="s">
        <v>5598</v>
      </c>
      <c r="BX240" s="0" t="s">
        <v>5598</v>
      </c>
      <c r="BY240" s="0" t="s">
        <v>5598</v>
      </c>
      <c r="BZ240" s="0" t="s">
        <v>5598</v>
      </c>
      <c r="CA240" s="0" t="s">
        <v>5598</v>
      </c>
      <c r="CB240" s="0" t="s">
        <v>240</v>
      </c>
      <c r="CC240" s="0" t="s">
        <v>240</v>
      </c>
      <c r="CD240" s="0" t="s">
        <v>240</v>
      </c>
      <c r="CE240" s="0" t="s">
        <v>240</v>
      </c>
      <c r="CF240" s="0" t="s">
        <v>240</v>
      </c>
      <c r="CG240" s="0" t="s">
        <v>5598</v>
      </c>
      <c r="CH240" s="0" t="s">
        <v>240</v>
      </c>
      <c r="CI240" s="0" t="s">
        <v>240</v>
      </c>
      <c r="CJ240" s="0" t="s">
        <v>240</v>
      </c>
      <c r="CK240" s="0" t="s">
        <v>240</v>
      </c>
      <c r="CL240" s="0" t="s">
        <v>240</v>
      </c>
      <c r="CM240" s="0" t="s">
        <v>6605</v>
      </c>
      <c r="CN240" s="0" t="s">
        <v>6605</v>
      </c>
      <c r="CO240" s="0" t="s">
        <v>240</v>
      </c>
      <c r="CP240" s="0" t="s">
        <v>240</v>
      </c>
      <c r="CQ240" s="0" t="s">
        <v>240</v>
      </c>
      <c r="CR240" s="0" t="s">
        <v>240</v>
      </c>
      <c r="CS240" s="0" t="s">
        <v>5666</v>
      </c>
      <c r="CT240" s="0" t="s">
        <v>5496</v>
      </c>
      <c r="CU240" s="0" t="s">
        <v>5497</v>
      </c>
      <c r="CV240" s="0" t="s">
        <v>443</v>
      </c>
      <c r="CW240" s="0" t="s">
        <v>5547</v>
      </c>
      <c r="CX240" s="0" t="s">
        <v>229</v>
      </c>
      <c r="CY240" s="0" t="s">
        <v>443</v>
      </c>
      <c r="CZ240" s="0" t="s">
        <v>5548</v>
      </c>
      <c r="DA240" s="0" t="s">
        <v>5549</v>
      </c>
      <c r="DB240" s="0" t="s">
        <v>5547</v>
      </c>
      <c r="DC240" s="0" t="s">
        <v>384</v>
      </c>
      <c r="DD240" s="0" t="s">
        <v>291</v>
      </c>
      <c r="DE240" s="0" t="s">
        <v>6606</v>
      </c>
    </row>
    <row customHeight="1" ht="11.25">
      <c r="A241" s="1441" t="s">
        <v>240</v>
      </c>
      <c r="B241" s="0" t="s">
        <v>240</v>
      </c>
      <c r="C241" s="0" t="s">
        <v>240</v>
      </c>
      <c r="D241" s="0" t="s">
        <v>240</v>
      </c>
      <c r="E241" s="0" t="s">
        <v>240</v>
      </c>
      <c r="F241" s="0" t="s">
        <v>240</v>
      </c>
      <c r="G241" s="0" t="s">
        <v>240</v>
      </c>
      <c r="H241" s="0" t="s">
        <v>240</v>
      </c>
      <c r="I241" s="0" t="s">
        <v>5484</v>
      </c>
      <c r="J241" s="0" t="s">
        <v>240</v>
      </c>
      <c r="K241" s="0" t="s">
        <v>240</v>
      </c>
      <c r="L241" s="0" t="s">
        <v>240</v>
      </c>
      <c r="M241" s="0" t="s">
        <v>240</v>
      </c>
      <c r="N241" s="0" t="s">
        <v>240</v>
      </c>
      <c r="O241" s="0" t="s">
        <v>240</v>
      </c>
      <c r="P241" s="0" t="s">
        <v>240</v>
      </c>
      <c r="Q241" s="0" t="s">
        <v>240</v>
      </c>
      <c r="R241" s="0" t="s">
        <v>5572</v>
      </c>
      <c r="S241" s="0" t="s">
        <v>240</v>
      </c>
      <c r="T241" s="0" t="s">
        <v>240</v>
      </c>
      <c r="U241" s="0" t="s">
        <v>102</v>
      </c>
      <c r="V241" s="0" t="s">
        <v>240</v>
      </c>
      <c r="W241" s="0" t="s">
        <v>240</v>
      </c>
      <c r="X241" s="0" t="s">
        <v>5485</v>
      </c>
      <c r="Y241" s="0" t="s">
        <v>240</v>
      </c>
      <c r="Z241" s="0" t="s">
        <v>161</v>
      </c>
      <c r="AA241" s="0" t="s">
        <v>152</v>
      </c>
      <c r="AB241" s="0" t="s">
        <v>152</v>
      </c>
      <c r="AC241" s="0" t="s">
        <v>2991</v>
      </c>
      <c r="AD241" s="0" t="s">
        <v>2991</v>
      </c>
      <c r="AE241" s="0" t="s">
        <v>2992</v>
      </c>
      <c r="AF241" s="0" t="s">
        <v>6394</v>
      </c>
      <c r="AG241" s="0" t="s">
        <v>6395</v>
      </c>
      <c r="AH241" s="0" t="s">
        <v>6607</v>
      </c>
      <c r="AI241" s="0" t="s">
        <v>6531</v>
      </c>
      <c r="AJ241" s="0" t="s">
        <v>5576</v>
      </c>
      <c r="AK241" s="0" t="s">
        <v>5672</v>
      </c>
      <c r="AL241" s="0" t="s">
        <v>5506</v>
      </c>
      <c r="AM241" s="0" t="s">
        <v>5493</v>
      </c>
      <c r="AN241" s="0" t="s">
        <v>5553</v>
      </c>
      <c r="AO241" s="0" t="s">
        <v>5625</v>
      </c>
      <c r="AP241" s="0" t="s">
        <v>240</v>
      </c>
      <c r="AQ241" s="0" t="s">
        <v>240</v>
      </c>
      <c r="AR241" s="0" t="s">
        <v>240</v>
      </c>
      <c r="AS241" s="0" t="s">
        <v>240</v>
      </c>
      <c r="AT241" s="0" t="s">
        <v>240</v>
      </c>
      <c r="AU241" s="0" t="s">
        <v>240</v>
      </c>
      <c r="AV241" s="0" t="s">
        <v>240</v>
      </c>
      <c r="AW241" s="0" t="s">
        <v>240</v>
      </c>
      <c r="AX241" s="0" t="s">
        <v>240</v>
      </c>
      <c r="AY241" s="0" t="s">
        <v>240</v>
      </c>
      <c r="AZ241" s="0" t="s">
        <v>240</v>
      </c>
      <c r="BA241" s="0" t="s">
        <v>240</v>
      </c>
      <c r="BB241" s="0" t="s">
        <v>240</v>
      </c>
      <c r="BC241" s="0" t="s">
        <v>240</v>
      </c>
      <c r="BD241" s="0" t="s">
        <v>240</v>
      </c>
      <c r="BE241" s="0" t="s">
        <v>240</v>
      </c>
      <c r="BF241" s="0" t="s">
        <v>240</v>
      </c>
      <c r="BG241" s="0" t="s">
        <v>240</v>
      </c>
      <c r="BH241" s="0" t="s">
        <v>240</v>
      </c>
      <c r="BI241" s="0" t="s">
        <v>240</v>
      </c>
      <c r="BJ241" s="0" t="s">
        <v>240</v>
      </c>
      <c r="BK241" s="0" t="s">
        <v>240</v>
      </c>
      <c r="BL241" s="0" t="s">
        <v>240</v>
      </c>
      <c r="BM241" s="0" t="s">
        <v>240</v>
      </c>
      <c r="BN241" s="0" t="s">
        <v>240</v>
      </c>
      <c r="BO241" s="0" t="s">
        <v>240</v>
      </c>
      <c r="BP241" s="0" t="s">
        <v>240</v>
      </c>
      <c r="BQ241" s="0" t="s">
        <v>240</v>
      </c>
      <c r="BR241" s="0" t="s">
        <v>240</v>
      </c>
      <c r="BS241" s="0" t="s">
        <v>240</v>
      </c>
      <c r="BT241" s="0" t="s">
        <v>240</v>
      </c>
      <c r="BU241" s="0" t="s">
        <v>240</v>
      </c>
      <c r="BV241" s="0" t="s">
        <v>240</v>
      </c>
      <c r="BW241" s="0" t="s">
        <v>240</v>
      </c>
      <c r="BX241" s="0" t="s">
        <v>240</v>
      </c>
      <c r="BY241" s="0" t="s">
        <v>240</v>
      </c>
      <c r="BZ241" s="0" t="s">
        <v>240</v>
      </c>
      <c r="CA241" s="0" t="s">
        <v>240</v>
      </c>
      <c r="CB241" s="0" t="s">
        <v>240</v>
      </c>
      <c r="CC241" s="0" t="s">
        <v>240</v>
      </c>
      <c r="CD241" s="0" t="s">
        <v>240</v>
      </c>
      <c r="CE241" s="0" t="s">
        <v>240</v>
      </c>
      <c r="CF241" s="0" t="s">
        <v>240</v>
      </c>
      <c r="CG241" s="0" t="s">
        <v>240</v>
      </c>
      <c r="CH241" s="0" t="s">
        <v>240</v>
      </c>
      <c r="CI241" s="0" t="s">
        <v>240</v>
      </c>
      <c r="CJ241" s="0" t="s">
        <v>240</v>
      </c>
      <c r="CK241" s="0" t="s">
        <v>240</v>
      </c>
      <c r="CL241" s="0" t="s">
        <v>240</v>
      </c>
      <c r="CM241" s="0" t="s">
        <v>240</v>
      </c>
      <c r="CN241" s="0" t="s">
        <v>240</v>
      </c>
      <c r="CO241" s="0" t="s">
        <v>240</v>
      </c>
      <c r="CP241" s="0" t="s">
        <v>240</v>
      </c>
      <c r="CQ241" s="0" t="s">
        <v>240</v>
      </c>
      <c r="CR241" s="0" t="s">
        <v>240</v>
      </c>
      <c r="CS241" s="0" t="s">
        <v>240</v>
      </c>
      <c r="CT241" s="0" t="s">
        <v>5496</v>
      </c>
      <c r="CU241" s="0" t="s">
        <v>5497</v>
      </c>
      <c r="CV241" s="0" t="s">
        <v>443</v>
      </c>
      <c r="CW241" s="0" t="s">
        <v>5547</v>
      </c>
      <c r="CX241" s="0" t="s">
        <v>229</v>
      </c>
      <c r="CY241" s="0" t="s">
        <v>443</v>
      </c>
      <c r="CZ241" s="0" t="s">
        <v>5548</v>
      </c>
      <c r="DA241" s="0" t="s">
        <v>5549</v>
      </c>
      <c r="DB241" s="0" t="s">
        <v>5547</v>
      </c>
      <c r="DC241" s="0" t="s">
        <v>384</v>
      </c>
      <c r="DD241" s="0" t="s">
        <v>291</v>
      </c>
      <c r="DE241" s="0" t="s">
        <v>6608</v>
      </c>
    </row>
    <row customHeight="1" ht="11.25">
      <c r="A242" s="1441" t="s">
        <v>240</v>
      </c>
      <c r="B242" s="0" t="s">
        <v>240</v>
      </c>
      <c r="C242" s="0" t="s">
        <v>240</v>
      </c>
      <c r="D242" s="0" t="s">
        <v>240</v>
      </c>
      <c r="E242" s="0" t="s">
        <v>240</v>
      </c>
      <c r="F242" s="0" t="s">
        <v>240</v>
      </c>
      <c r="G242" s="0" t="s">
        <v>240</v>
      </c>
      <c r="H242" s="0" t="s">
        <v>240</v>
      </c>
      <c r="I242" s="0" t="s">
        <v>5484</v>
      </c>
      <c r="J242" s="0" t="s">
        <v>240</v>
      </c>
      <c r="K242" s="0" t="s">
        <v>240</v>
      </c>
      <c r="L242" s="0" t="s">
        <v>240</v>
      </c>
      <c r="M242" s="0" t="s">
        <v>240</v>
      </c>
      <c r="N242" s="0" t="s">
        <v>240</v>
      </c>
      <c r="O242" s="0" t="s">
        <v>240</v>
      </c>
      <c r="P242" s="0" t="s">
        <v>240</v>
      </c>
      <c r="Q242" s="0" t="s">
        <v>240</v>
      </c>
      <c r="R242" s="0" t="s">
        <v>5572</v>
      </c>
      <c r="S242" s="0" t="s">
        <v>240</v>
      </c>
      <c r="T242" s="0" t="s">
        <v>240</v>
      </c>
      <c r="U242" s="0" t="s">
        <v>102</v>
      </c>
      <c r="V242" s="0" t="s">
        <v>240</v>
      </c>
      <c r="W242" s="0" t="s">
        <v>240</v>
      </c>
      <c r="X242" s="0" t="s">
        <v>5485</v>
      </c>
      <c r="Y242" s="0" t="s">
        <v>240</v>
      </c>
      <c r="Z242" s="0" t="s">
        <v>161</v>
      </c>
      <c r="AA242" s="0" t="s">
        <v>152</v>
      </c>
      <c r="AB242" s="0" t="s">
        <v>152</v>
      </c>
      <c r="AC242" s="0" t="s">
        <v>2991</v>
      </c>
      <c r="AD242" s="0" t="s">
        <v>2991</v>
      </c>
      <c r="AE242" s="0" t="s">
        <v>2992</v>
      </c>
      <c r="AF242" s="0" t="s">
        <v>6394</v>
      </c>
      <c r="AG242" s="0" t="s">
        <v>6395</v>
      </c>
      <c r="AH242" s="0" t="s">
        <v>6609</v>
      </c>
      <c r="AI242" s="0" t="s">
        <v>6610</v>
      </c>
      <c r="AJ242" s="0" t="s">
        <v>5504</v>
      </c>
      <c r="AK242" s="0" t="s">
        <v>5544</v>
      </c>
      <c r="AL242" s="0" t="s">
        <v>5506</v>
      </c>
      <c r="AM242" s="0" t="s">
        <v>5493</v>
      </c>
      <c r="AN242" s="0" t="s">
        <v>5553</v>
      </c>
      <c r="AO242" s="0" t="s">
        <v>6611</v>
      </c>
      <c r="AP242" s="0" t="s">
        <v>240</v>
      </c>
      <c r="AQ242" s="0" t="s">
        <v>240</v>
      </c>
      <c r="AR242" s="0" t="s">
        <v>240</v>
      </c>
      <c r="AS242" s="0" t="s">
        <v>240</v>
      </c>
      <c r="AT242" s="0" t="s">
        <v>240</v>
      </c>
      <c r="AU242" s="0" t="s">
        <v>240</v>
      </c>
      <c r="AV242" s="0" t="s">
        <v>240</v>
      </c>
      <c r="AW242" s="0" t="s">
        <v>240</v>
      </c>
      <c r="AX242" s="0" t="s">
        <v>240</v>
      </c>
      <c r="AY242" s="0" t="s">
        <v>240</v>
      </c>
      <c r="AZ242" s="0" t="s">
        <v>240</v>
      </c>
      <c r="BA242" s="0" t="s">
        <v>240</v>
      </c>
      <c r="BB242" s="0" t="s">
        <v>240</v>
      </c>
      <c r="BC242" s="0" t="s">
        <v>240</v>
      </c>
      <c r="BD242" s="0" t="s">
        <v>240</v>
      </c>
      <c r="BE242" s="0" t="s">
        <v>240</v>
      </c>
      <c r="BF242" s="0" t="s">
        <v>240</v>
      </c>
      <c r="BG242" s="0" t="s">
        <v>240</v>
      </c>
      <c r="BH242" s="0" t="s">
        <v>240</v>
      </c>
      <c r="BI242" s="0" t="s">
        <v>240</v>
      </c>
      <c r="BJ242" s="0" t="s">
        <v>240</v>
      </c>
      <c r="BK242" s="0" t="s">
        <v>240</v>
      </c>
      <c r="BL242" s="0" t="s">
        <v>240</v>
      </c>
      <c r="BM242" s="0" t="s">
        <v>240</v>
      </c>
      <c r="BN242" s="0" t="s">
        <v>240</v>
      </c>
      <c r="BO242" s="0" t="s">
        <v>240</v>
      </c>
      <c r="BP242" s="0" t="s">
        <v>240</v>
      </c>
      <c r="BQ242" s="0" t="s">
        <v>240</v>
      </c>
      <c r="BR242" s="0" t="s">
        <v>240</v>
      </c>
      <c r="BS242" s="0" t="s">
        <v>240</v>
      </c>
      <c r="BT242" s="0" t="s">
        <v>240</v>
      </c>
      <c r="BU242" s="0" t="s">
        <v>240</v>
      </c>
      <c r="BV242" s="0" t="s">
        <v>240</v>
      </c>
      <c r="BW242" s="0" t="s">
        <v>240</v>
      </c>
      <c r="BX242" s="0" t="s">
        <v>240</v>
      </c>
      <c r="BY242" s="0" t="s">
        <v>240</v>
      </c>
      <c r="BZ242" s="0" t="s">
        <v>240</v>
      </c>
      <c r="CA242" s="0" t="s">
        <v>240</v>
      </c>
      <c r="CB242" s="0" t="s">
        <v>240</v>
      </c>
      <c r="CC242" s="0" t="s">
        <v>240</v>
      </c>
      <c r="CD242" s="0" t="s">
        <v>240</v>
      </c>
      <c r="CE242" s="0" t="s">
        <v>240</v>
      </c>
      <c r="CF242" s="0" t="s">
        <v>240</v>
      </c>
      <c r="CG242" s="0" t="s">
        <v>240</v>
      </c>
      <c r="CH242" s="0" t="s">
        <v>240</v>
      </c>
      <c r="CI242" s="0" t="s">
        <v>240</v>
      </c>
      <c r="CJ242" s="0" t="s">
        <v>240</v>
      </c>
      <c r="CK242" s="0" t="s">
        <v>240</v>
      </c>
      <c r="CL242" s="0" t="s">
        <v>240</v>
      </c>
      <c r="CM242" s="0" t="s">
        <v>240</v>
      </c>
      <c r="CN242" s="0" t="s">
        <v>240</v>
      </c>
      <c r="CO242" s="0" t="s">
        <v>240</v>
      </c>
      <c r="CP242" s="0" t="s">
        <v>240</v>
      </c>
      <c r="CQ242" s="0" t="s">
        <v>240</v>
      </c>
      <c r="CR242" s="0" t="s">
        <v>240</v>
      </c>
      <c r="CS242" s="0" t="s">
        <v>240</v>
      </c>
      <c r="CT242" s="0" t="s">
        <v>5496</v>
      </c>
      <c r="CU242" s="0" t="s">
        <v>5497</v>
      </c>
      <c r="CV242" s="0" t="s">
        <v>443</v>
      </c>
      <c r="CW242" s="0" t="s">
        <v>5547</v>
      </c>
      <c r="CX242" s="0" t="s">
        <v>229</v>
      </c>
      <c r="CY242" s="0" t="s">
        <v>443</v>
      </c>
      <c r="CZ242" s="0" t="s">
        <v>5548</v>
      </c>
      <c r="DA242" s="0" t="s">
        <v>5549</v>
      </c>
      <c r="DB242" s="0" t="s">
        <v>5547</v>
      </c>
      <c r="DC242" s="0" t="s">
        <v>384</v>
      </c>
      <c r="DD242" s="0" t="s">
        <v>291</v>
      </c>
      <c r="DE242" s="0" t="s">
        <v>6612</v>
      </c>
    </row>
    <row customHeight="1" ht="11.25">
      <c r="A243" s="1441" t="s">
        <v>240</v>
      </c>
      <c r="B243" s="0" t="s">
        <v>240</v>
      </c>
      <c r="C243" s="0" t="s">
        <v>240</v>
      </c>
      <c r="D243" s="0" t="s">
        <v>240</v>
      </c>
      <c r="E243" s="0" t="s">
        <v>240</v>
      </c>
      <c r="F243" s="0" t="s">
        <v>240</v>
      </c>
      <c r="G243" s="0" t="s">
        <v>240</v>
      </c>
      <c r="H243" s="0" t="s">
        <v>240</v>
      </c>
      <c r="I243" s="0" t="s">
        <v>5484</v>
      </c>
      <c r="J243" s="0" t="s">
        <v>240</v>
      </c>
      <c r="K243" s="0" t="s">
        <v>240</v>
      </c>
      <c r="L243" s="0" t="s">
        <v>240</v>
      </c>
      <c r="M243" s="0" t="s">
        <v>240</v>
      </c>
      <c r="N243" s="0" t="s">
        <v>240</v>
      </c>
      <c r="O243" s="0" t="s">
        <v>240</v>
      </c>
      <c r="P243" s="0" t="s">
        <v>240</v>
      </c>
      <c r="Q243" s="0" t="s">
        <v>240</v>
      </c>
      <c r="R243" s="0" t="s">
        <v>6613</v>
      </c>
      <c r="S243" s="0" t="s">
        <v>240</v>
      </c>
      <c r="T243" s="0" t="s">
        <v>240</v>
      </c>
      <c r="U243" s="0" t="s">
        <v>102</v>
      </c>
      <c r="V243" s="0" t="s">
        <v>240</v>
      </c>
      <c r="W243" s="0" t="s">
        <v>240</v>
      </c>
      <c r="X243" s="0" t="s">
        <v>5485</v>
      </c>
      <c r="Y243" s="0" t="s">
        <v>240</v>
      </c>
      <c r="Z243" s="0" t="s">
        <v>161</v>
      </c>
      <c r="AA243" s="0" t="s">
        <v>152</v>
      </c>
      <c r="AB243" s="0" t="s">
        <v>152</v>
      </c>
      <c r="AC243" s="0" t="s">
        <v>2985</v>
      </c>
      <c r="AD243" s="0" t="s">
        <v>2985</v>
      </c>
      <c r="AE243" s="0" t="s">
        <v>2986</v>
      </c>
      <c r="AF243" s="0" t="s">
        <v>6614</v>
      </c>
      <c r="AG243" s="0" t="s">
        <v>6615</v>
      </c>
      <c r="AH243" s="0" t="s">
        <v>5617</v>
      </c>
      <c r="AI243" s="0" t="s">
        <v>490</v>
      </c>
      <c r="AJ243" s="0" t="s">
        <v>5504</v>
      </c>
      <c r="AK243" s="0" t="s">
        <v>6616</v>
      </c>
      <c r="AL243" s="0" t="s">
        <v>5506</v>
      </c>
      <c r="AM243" s="0" t="s">
        <v>5493</v>
      </c>
      <c r="AN243" s="0" t="s">
        <v>5553</v>
      </c>
      <c r="AO243" s="0" t="s">
        <v>5508</v>
      </c>
      <c r="AP243" s="0" t="s">
        <v>240</v>
      </c>
      <c r="AQ243" s="0" t="s">
        <v>240</v>
      </c>
      <c r="AR243" s="0" t="s">
        <v>240</v>
      </c>
      <c r="AS243" s="0" t="s">
        <v>240</v>
      </c>
      <c r="AT243" s="0" t="s">
        <v>240</v>
      </c>
      <c r="AU243" s="0" t="s">
        <v>240</v>
      </c>
      <c r="AV243" s="0" t="s">
        <v>240</v>
      </c>
      <c r="AW243" s="0" t="s">
        <v>240</v>
      </c>
      <c r="AX243" s="0" t="s">
        <v>240</v>
      </c>
      <c r="AY243" s="0" t="s">
        <v>240</v>
      </c>
      <c r="AZ243" s="0" t="s">
        <v>240</v>
      </c>
      <c r="BA243" s="0" t="s">
        <v>240</v>
      </c>
      <c r="BB243" s="0" t="s">
        <v>240</v>
      </c>
      <c r="BC243" s="0" t="s">
        <v>240</v>
      </c>
      <c r="BD243" s="0" t="s">
        <v>240</v>
      </c>
      <c r="BE243" s="0" t="s">
        <v>240</v>
      </c>
      <c r="BF243" s="0" t="s">
        <v>240</v>
      </c>
      <c r="BG243" s="0" t="s">
        <v>240</v>
      </c>
      <c r="BH243" s="0" t="s">
        <v>240</v>
      </c>
      <c r="BI243" s="0" t="s">
        <v>240</v>
      </c>
      <c r="BJ243" s="0" t="s">
        <v>240</v>
      </c>
      <c r="BK243" s="0" t="s">
        <v>240</v>
      </c>
      <c r="BL243" s="0" t="s">
        <v>240</v>
      </c>
      <c r="BM243" s="0" t="s">
        <v>240</v>
      </c>
      <c r="BN243" s="0" t="s">
        <v>240</v>
      </c>
      <c r="BO243" s="0" t="s">
        <v>240</v>
      </c>
      <c r="BP243" s="0" t="s">
        <v>240</v>
      </c>
      <c r="BQ243" s="0" t="s">
        <v>240</v>
      </c>
      <c r="BR243" s="0" t="s">
        <v>240</v>
      </c>
      <c r="BS243" s="0" t="s">
        <v>240</v>
      </c>
      <c r="BT243" s="0" t="s">
        <v>240</v>
      </c>
      <c r="BU243" s="0" t="s">
        <v>240</v>
      </c>
      <c r="BV243" s="0" t="s">
        <v>240</v>
      </c>
      <c r="BW243" s="0" t="s">
        <v>240</v>
      </c>
      <c r="BX243" s="0" t="s">
        <v>240</v>
      </c>
      <c r="BY243" s="0" t="s">
        <v>240</v>
      </c>
      <c r="BZ243" s="0" t="s">
        <v>240</v>
      </c>
      <c r="CA243" s="0" t="s">
        <v>240</v>
      </c>
      <c r="CB243" s="0" t="s">
        <v>240</v>
      </c>
      <c r="CC243" s="0" t="s">
        <v>240</v>
      </c>
      <c r="CD243" s="0" t="s">
        <v>240</v>
      </c>
      <c r="CE243" s="0" t="s">
        <v>240</v>
      </c>
      <c r="CF243" s="0" t="s">
        <v>240</v>
      </c>
      <c r="CG243" s="0" t="s">
        <v>240</v>
      </c>
      <c r="CH243" s="0" t="s">
        <v>240</v>
      </c>
      <c r="CI243" s="0" t="s">
        <v>240</v>
      </c>
      <c r="CJ243" s="0" t="s">
        <v>240</v>
      </c>
      <c r="CK243" s="0" t="s">
        <v>240</v>
      </c>
      <c r="CL243" s="0" t="s">
        <v>240</v>
      </c>
      <c r="CM243" s="0" t="s">
        <v>240</v>
      </c>
      <c r="CN243" s="0" t="s">
        <v>240</v>
      </c>
      <c r="CO243" s="0" t="s">
        <v>240</v>
      </c>
      <c r="CP243" s="0" t="s">
        <v>240</v>
      </c>
      <c r="CQ243" s="0" t="s">
        <v>240</v>
      </c>
      <c r="CR243" s="0" t="s">
        <v>240</v>
      </c>
      <c r="CS243" s="0" t="s">
        <v>240</v>
      </c>
      <c r="CT243" s="0" t="s">
        <v>5496</v>
      </c>
      <c r="CU243" s="0" t="s">
        <v>6553</v>
      </c>
      <c r="CV243" s="0" t="s">
        <v>6554</v>
      </c>
      <c r="CW243" s="0" t="s">
        <v>6617</v>
      </c>
      <c r="CX243" s="0" t="s">
        <v>197</v>
      </c>
      <c r="CY243" s="0" t="s">
        <v>6556</v>
      </c>
      <c r="CZ243" s="0" t="s">
        <v>6618</v>
      </c>
      <c r="DA243" s="0" t="s">
        <v>6619</v>
      </c>
      <c r="DB243" s="0" t="s">
        <v>6617</v>
      </c>
      <c r="DC243" s="0" t="s">
        <v>384</v>
      </c>
      <c r="DD243" s="0" t="s">
        <v>291</v>
      </c>
      <c r="DE243" s="0" t="s">
        <v>6620</v>
      </c>
    </row>
    <row customHeight="1" ht="11.25">
      <c r="A244" s="1441" t="s">
        <v>240</v>
      </c>
      <c r="B244" s="0" t="s">
        <v>240</v>
      </c>
      <c r="C244" s="0" t="s">
        <v>240</v>
      </c>
      <c r="D244" s="0" t="s">
        <v>240</v>
      </c>
      <c r="E244" s="0" t="s">
        <v>240</v>
      </c>
      <c r="F244" s="0" t="s">
        <v>240</v>
      </c>
      <c r="G244" s="0" t="s">
        <v>240</v>
      </c>
      <c r="H244" s="0" t="s">
        <v>240</v>
      </c>
      <c r="I244" s="0" t="s">
        <v>5484</v>
      </c>
      <c r="J244" s="0" t="s">
        <v>240</v>
      </c>
      <c r="K244" s="0" t="s">
        <v>240</v>
      </c>
      <c r="L244" s="0" t="s">
        <v>240</v>
      </c>
      <c r="M244" s="0" t="s">
        <v>240</v>
      </c>
      <c r="N244" s="0" t="s">
        <v>240</v>
      </c>
      <c r="O244" s="0" t="s">
        <v>240</v>
      </c>
      <c r="P244" s="0" t="s">
        <v>240</v>
      </c>
      <c r="Q244" s="0" t="s">
        <v>240</v>
      </c>
      <c r="R244" s="0" t="s">
        <v>467</v>
      </c>
      <c r="S244" s="0" t="s">
        <v>240</v>
      </c>
      <c r="T244" s="0" t="s">
        <v>240</v>
      </c>
      <c r="U244" s="0" t="s">
        <v>102</v>
      </c>
      <c r="V244" s="0" t="s">
        <v>240</v>
      </c>
      <c r="W244" s="0" t="s">
        <v>240</v>
      </c>
      <c r="X244" s="0" t="s">
        <v>5485</v>
      </c>
      <c r="Y244" s="0" t="s">
        <v>240</v>
      </c>
      <c r="Z244" s="0" t="s">
        <v>161</v>
      </c>
      <c r="AA244" s="0" t="s">
        <v>152</v>
      </c>
      <c r="AB244" s="0" t="s">
        <v>152</v>
      </c>
      <c r="AC244" s="0" t="s">
        <v>364</v>
      </c>
      <c r="AD244" s="0" t="s">
        <v>364</v>
      </c>
      <c r="AE244" s="0" t="s">
        <v>365</v>
      </c>
      <c r="AF244" s="0" t="s">
        <v>6361</v>
      </c>
      <c r="AG244" s="0" t="s">
        <v>6362</v>
      </c>
      <c r="AH244" s="0" t="s">
        <v>6363</v>
      </c>
      <c r="AI244" s="0" t="s">
        <v>6621</v>
      </c>
      <c r="AJ244" s="0" t="s">
        <v>5494</v>
      </c>
      <c r="AK244" s="0" t="s">
        <v>5598</v>
      </c>
      <c r="AL244" s="0" t="s">
        <v>5605</v>
      </c>
      <c r="AM244" s="0" t="s">
        <v>5493</v>
      </c>
      <c r="AN244" s="0" t="s">
        <v>5545</v>
      </c>
      <c r="AO244" s="0" t="s">
        <v>6190</v>
      </c>
      <c r="AP244" s="0" t="s">
        <v>240</v>
      </c>
      <c r="AQ244" s="0" t="s">
        <v>240</v>
      </c>
      <c r="AR244" s="0" t="s">
        <v>240</v>
      </c>
      <c r="AS244" s="0" t="s">
        <v>240</v>
      </c>
      <c r="AT244" s="0" t="s">
        <v>240</v>
      </c>
      <c r="AU244" s="0" t="s">
        <v>240</v>
      </c>
      <c r="AV244" s="0" t="s">
        <v>240</v>
      </c>
      <c r="AW244" s="0" t="s">
        <v>240</v>
      </c>
      <c r="AX244" s="0" t="s">
        <v>240</v>
      </c>
      <c r="AY244" s="0" t="s">
        <v>240</v>
      </c>
      <c r="AZ244" s="0" t="s">
        <v>240</v>
      </c>
      <c r="BA244" s="0" t="s">
        <v>240</v>
      </c>
      <c r="BB244" s="0" t="s">
        <v>240</v>
      </c>
      <c r="BC244" s="0" t="s">
        <v>240</v>
      </c>
      <c r="BD244" s="0" t="s">
        <v>240</v>
      </c>
      <c r="BE244" s="0" t="s">
        <v>240</v>
      </c>
      <c r="BF244" s="0" t="s">
        <v>240</v>
      </c>
      <c r="BG244" s="0" t="s">
        <v>240</v>
      </c>
      <c r="BH244" s="0" t="s">
        <v>240</v>
      </c>
      <c r="BI244" s="0" t="s">
        <v>240</v>
      </c>
      <c r="BJ244" s="0" t="s">
        <v>240</v>
      </c>
      <c r="BK244" s="0" t="s">
        <v>240</v>
      </c>
      <c r="BL244" s="0" t="s">
        <v>240</v>
      </c>
      <c r="BM244" s="0" t="s">
        <v>240</v>
      </c>
      <c r="BN244" s="0" t="s">
        <v>240</v>
      </c>
      <c r="BO244" s="0" t="s">
        <v>240</v>
      </c>
      <c r="BP244" s="0" t="s">
        <v>240</v>
      </c>
      <c r="BQ244" s="0" t="s">
        <v>240</v>
      </c>
      <c r="BR244" s="0" t="s">
        <v>240</v>
      </c>
      <c r="BS244" s="0" t="s">
        <v>240</v>
      </c>
      <c r="BT244" s="0" t="s">
        <v>240</v>
      </c>
      <c r="BU244" s="0" t="s">
        <v>240</v>
      </c>
      <c r="BV244" s="0" t="s">
        <v>240</v>
      </c>
      <c r="BW244" s="0" t="s">
        <v>240</v>
      </c>
      <c r="BX244" s="0" t="s">
        <v>240</v>
      </c>
      <c r="BY244" s="0" t="s">
        <v>240</v>
      </c>
      <c r="BZ244" s="0" t="s">
        <v>240</v>
      </c>
      <c r="CA244" s="0" t="s">
        <v>240</v>
      </c>
      <c r="CB244" s="0" t="s">
        <v>240</v>
      </c>
      <c r="CC244" s="0" t="s">
        <v>240</v>
      </c>
      <c r="CD244" s="0" t="s">
        <v>240</v>
      </c>
      <c r="CE244" s="0" t="s">
        <v>240</v>
      </c>
      <c r="CF244" s="0" t="s">
        <v>240</v>
      </c>
      <c r="CG244" s="0" t="s">
        <v>240</v>
      </c>
      <c r="CH244" s="0" t="s">
        <v>240</v>
      </c>
      <c r="CI244" s="0" t="s">
        <v>240</v>
      </c>
      <c r="CJ244" s="0" t="s">
        <v>240</v>
      </c>
      <c r="CK244" s="0" t="s">
        <v>240</v>
      </c>
      <c r="CL244" s="0" t="s">
        <v>240</v>
      </c>
      <c r="CM244" s="0" t="s">
        <v>240</v>
      </c>
      <c r="CN244" s="0" t="s">
        <v>240</v>
      </c>
      <c r="CO244" s="0" t="s">
        <v>240</v>
      </c>
      <c r="CP244" s="0" t="s">
        <v>240</v>
      </c>
      <c r="CQ244" s="0" t="s">
        <v>240</v>
      </c>
      <c r="CR244" s="0" t="s">
        <v>240</v>
      </c>
      <c r="CS244" s="0" t="s">
        <v>240</v>
      </c>
      <c r="CT244" s="0" t="s">
        <v>5496</v>
      </c>
      <c r="CU244" s="0" t="s">
        <v>5497</v>
      </c>
      <c r="CV244" s="0" t="s">
        <v>443</v>
      </c>
      <c r="CW244" s="0" t="s">
        <v>5498</v>
      </c>
      <c r="CX244" s="0" t="s">
        <v>229</v>
      </c>
      <c r="CY244" s="0" t="s">
        <v>443</v>
      </c>
      <c r="CZ244" s="0" t="s">
        <v>230</v>
      </c>
      <c r="DA244" s="0" t="s">
        <v>444</v>
      </c>
      <c r="DB244" s="0" t="s">
        <v>5498</v>
      </c>
      <c r="DC244" s="0" t="s">
        <v>384</v>
      </c>
      <c r="DD244" s="0" t="s">
        <v>291</v>
      </c>
      <c r="DE244" s="0" t="s">
        <v>489</v>
      </c>
    </row>
    <row customHeight="1" ht="11.25">
      <c r="A245" s="1441" t="s">
        <v>240</v>
      </c>
      <c r="B245" s="0" t="s">
        <v>240</v>
      </c>
      <c r="C245" s="0" t="s">
        <v>240</v>
      </c>
      <c r="D245" s="0" t="s">
        <v>240</v>
      </c>
      <c r="E245" s="0" t="s">
        <v>240</v>
      </c>
      <c r="F245" s="0" t="s">
        <v>240</v>
      </c>
      <c r="G245" s="0" t="s">
        <v>240</v>
      </c>
      <c r="H245" s="0" t="s">
        <v>240</v>
      </c>
      <c r="I245" s="0" t="s">
        <v>5484</v>
      </c>
      <c r="J245" s="0" t="s">
        <v>240</v>
      </c>
      <c r="K245" s="0" t="s">
        <v>240</v>
      </c>
      <c r="L245" s="0" t="s">
        <v>240</v>
      </c>
      <c r="M245" s="0" t="s">
        <v>240</v>
      </c>
      <c r="N245" s="0" t="s">
        <v>240</v>
      </c>
      <c r="O245" s="0" t="s">
        <v>240</v>
      </c>
      <c r="P245" s="0" t="s">
        <v>240</v>
      </c>
      <c r="Q245" s="0" t="s">
        <v>240</v>
      </c>
      <c r="R245" s="0" t="s">
        <v>449</v>
      </c>
      <c r="S245" s="0" t="s">
        <v>240</v>
      </c>
      <c r="T245" s="0" t="s">
        <v>240</v>
      </c>
      <c r="U245" s="0" t="s">
        <v>102</v>
      </c>
      <c r="V245" s="0" t="s">
        <v>240</v>
      </c>
      <c r="W245" s="0" t="s">
        <v>240</v>
      </c>
      <c r="X245" s="0" t="s">
        <v>5585</v>
      </c>
      <c r="Y245" s="0" t="s">
        <v>240</v>
      </c>
      <c r="Z245" s="0" t="s">
        <v>152</v>
      </c>
      <c r="AA245" s="0" t="s">
        <v>152</v>
      </c>
      <c r="AB245" s="0" t="s">
        <v>161</v>
      </c>
      <c r="AC245" s="0" t="s">
        <v>364</v>
      </c>
      <c r="AD245" s="0" t="s">
        <v>364</v>
      </c>
      <c r="AE245" s="0" t="s">
        <v>365</v>
      </c>
      <c r="AF245" s="0" t="s">
        <v>5486</v>
      </c>
      <c r="AG245" s="0" t="s">
        <v>5487</v>
      </c>
      <c r="AH245" s="0" t="s">
        <v>6622</v>
      </c>
      <c r="AI245" s="0" t="s">
        <v>5575</v>
      </c>
      <c r="AJ245" s="0" t="s">
        <v>240</v>
      </c>
      <c r="AK245" s="0" t="s">
        <v>240</v>
      </c>
      <c r="AL245" s="0" t="s">
        <v>240</v>
      </c>
      <c r="AM245" s="0" t="s">
        <v>240</v>
      </c>
      <c r="AN245" s="0" t="s">
        <v>240</v>
      </c>
      <c r="AO245" s="0" t="s">
        <v>240</v>
      </c>
      <c r="AP245" s="0" t="s">
        <v>240</v>
      </c>
      <c r="AQ245" s="0" t="s">
        <v>240</v>
      </c>
      <c r="AR245" s="0" t="s">
        <v>240</v>
      </c>
      <c r="AS245" s="0" t="s">
        <v>240</v>
      </c>
      <c r="AT245" s="0" t="s">
        <v>240</v>
      </c>
      <c r="AU245" s="0" t="s">
        <v>240</v>
      </c>
      <c r="AV245" s="0" t="s">
        <v>240</v>
      </c>
      <c r="AW245" s="0" t="s">
        <v>240</v>
      </c>
      <c r="AX245" s="0" t="s">
        <v>240</v>
      </c>
      <c r="AY245" s="0" t="s">
        <v>240</v>
      </c>
      <c r="AZ245" s="0" t="s">
        <v>240</v>
      </c>
      <c r="BA245" s="0" t="s">
        <v>240</v>
      </c>
      <c r="BB245" s="0" t="s">
        <v>240</v>
      </c>
      <c r="BC245" s="0" t="s">
        <v>240</v>
      </c>
      <c r="BD245" s="0" t="s">
        <v>240</v>
      </c>
      <c r="BE245" s="0" t="s">
        <v>6518</v>
      </c>
      <c r="BF245" s="0" t="s">
        <v>6519</v>
      </c>
      <c r="BG245" s="0" t="s">
        <v>112</v>
      </c>
      <c r="BH245" s="0" t="s">
        <v>5589</v>
      </c>
      <c r="BI245" s="0" t="s">
        <v>123</v>
      </c>
      <c r="BJ245" s="0" t="s">
        <v>240</v>
      </c>
      <c r="BK245" s="0" t="s">
        <v>499</v>
      </c>
      <c r="BL245" s="0" t="s">
        <v>2964</v>
      </c>
      <c r="BM245" s="0" t="s">
        <v>2964</v>
      </c>
      <c r="BN245" s="0" t="s">
        <v>6623</v>
      </c>
      <c r="BO245" s="0" t="s">
        <v>6514</v>
      </c>
      <c r="BP245" s="0" t="s">
        <v>6624</v>
      </c>
      <c r="BQ245" s="0" t="s">
        <v>6514</v>
      </c>
      <c r="BR245" s="0" t="s">
        <v>6517</v>
      </c>
      <c r="BS245" s="0" t="s">
        <v>240</v>
      </c>
      <c r="BT245" s="0" t="s">
        <v>5650</v>
      </c>
      <c r="BU245" s="0" t="s">
        <v>6625</v>
      </c>
      <c r="BV245" s="0" t="s">
        <v>6626</v>
      </c>
      <c r="BW245" s="0" t="s">
        <v>6627</v>
      </c>
      <c r="BX245" s="0" t="s">
        <v>5494</v>
      </c>
      <c r="BY245" s="0" t="s">
        <v>6628</v>
      </c>
      <c r="BZ245" s="0" t="s">
        <v>6629</v>
      </c>
      <c r="CA245" s="0" t="s">
        <v>5598</v>
      </c>
      <c r="CB245" s="0" t="s">
        <v>240</v>
      </c>
      <c r="CC245" s="0" t="s">
        <v>240</v>
      </c>
      <c r="CD245" s="0" t="s">
        <v>240</v>
      </c>
      <c r="CE245" s="0" t="s">
        <v>240</v>
      </c>
      <c r="CF245" s="0" t="s">
        <v>240</v>
      </c>
      <c r="CG245" s="0" t="s">
        <v>5598</v>
      </c>
      <c r="CH245" s="0" t="s">
        <v>240</v>
      </c>
      <c r="CI245" s="0" t="s">
        <v>240</v>
      </c>
      <c r="CJ245" s="0" t="s">
        <v>240</v>
      </c>
      <c r="CK245" s="0" t="s">
        <v>240</v>
      </c>
      <c r="CL245" s="0" t="s">
        <v>240</v>
      </c>
      <c r="CM245" s="0" t="s">
        <v>6625</v>
      </c>
      <c r="CN245" s="0" t="s">
        <v>6626</v>
      </c>
      <c r="CO245" s="0" t="s">
        <v>6627</v>
      </c>
      <c r="CP245" s="0" t="s">
        <v>5494</v>
      </c>
      <c r="CQ245" s="0" t="s">
        <v>6628</v>
      </c>
      <c r="CR245" s="0" t="s">
        <v>6629</v>
      </c>
      <c r="CS245" s="0" t="s">
        <v>6630</v>
      </c>
      <c r="CT245" s="0" t="s">
        <v>5496</v>
      </c>
      <c r="CU245" s="0" t="s">
        <v>5497</v>
      </c>
      <c r="CV245" s="0" t="s">
        <v>443</v>
      </c>
      <c r="CW245" s="0" t="s">
        <v>5498</v>
      </c>
      <c r="CX245" s="0" t="s">
        <v>229</v>
      </c>
      <c r="CY245" s="0" t="s">
        <v>443</v>
      </c>
      <c r="CZ245" s="0" t="s">
        <v>230</v>
      </c>
      <c r="DA245" s="0" t="s">
        <v>444</v>
      </c>
      <c r="DB245" s="0" t="s">
        <v>5498</v>
      </c>
      <c r="DC245" s="0" t="s">
        <v>384</v>
      </c>
      <c r="DD245" s="0" t="s">
        <v>291</v>
      </c>
      <c r="DE245" s="0" t="s">
        <v>450</v>
      </c>
    </row>
    <row customHeight="1" ht="11.25">
      <c r="A246" s="1441" t="s">
        <v>240</v>
      </c>
      <c r="B246" s="0" t="s">
        <v>240</v>
      </c>
      <c r="C246" s="0" t="s">
        <v>240</v>
      </c>
      <c r="D246" s="0" t="s">
        <v>240</v>
      </c>
      <c r="E246" s="0" t="s">
        <v>240</v>
      </c>
      <c r="F246" s="0" t="s">
        <v>240</v>
      </c>
      <c r="G246" s="0" t="s">
        <v>240</v>
      </c>
      <c r="H246" s="0" t="s">
        <v>240</v>
      </c>
      <c r="I246" s="0" t="s">
        <v>5484</v>
      </c>
      <c r="J246" s="0" t="s">
        <v>240</v>
      </c>
      <c r="K246" s="0" t="s">
        <v>240</v>
      </c>
      <c r="L246" s="0" t="s">
        <v>240</v>
      </c>
      <c r="M246" s="0" t="s">
        <v>240</v>
      </c>
      <c r="N246" s="0" t="s">
        <v>240</v>
      </c>
      <c r="O246" s="0" t="s">
        <v>240</v>
      </c>
      <c r="P246" s="0" t="s">
        <v>240</v>
      </c>
      <c r="Q246" s="0" t="s">
        <v>240</v>
      </c>
      <c r="R246" s="0" t="s">
        <v>5608</v>
      </c>
      <c r="S246" s="0" t="s">
        <v>240</v>
      </c>
      <c r="T246" s="0" t="s">
        <v>240</v>
      </c>
      <c r="U246" s="0" t="s">
        <v>102</v>
      </c>
      <c r="V246" s="0" t="s">
        <v>240</v>
      </c>
      <c r="W246" s="0" t="s">
        <v>240</v>
      </c>
      <c r="X246" s="0" t="s">
        <v>5485</v>
      </c>
      <c r="Y246" s="0" t="s">
        <v>240</v>
      </c>
      <c r="Z246" s="0" t="s">
        <v>161</v>
      </c>
      <c r="AA246" s="0" t="s">
        <v>152</v>
      </c>
      <c r="AB246" s="0" t="s">
        <v>152</v>
      </c>
      <c r="AC246" s="0" t="s">
        <v>2985</v>
      </c>
      <c r="AD246" s="0" t="s">
        <v>2985</v>
      </c>
      <c r="AE246" s="0" t="s">
        <v>2986</v>
      </c>
      <c r="AF246" s="0" t="s">
        <v>6427</v>
      </c>
      <c r="AG246" s="0" t="s">
        <v>6428</v>
      </c>
      <c r="AH246" s="0" t="s">
        <v>6631</v>
      </c>
      <c r="AI246" s="0" t="s">
        <v>6632</v>
      </c>
      <c r="AJ246" s="0" t="s">
        <v>5504</v>
      </c>
      <c r="AK246" s="0" t="s">
        <v>5505</v>
      </c>
      <c r="AL246" s="0" t="s">
        <v>5506</v>
      </c>
      <c r="AM246" s="0" t="s">
        <v>5493</v>
      </c>
      <c r="AN246" s="0" t="s">
        <v>5507</v>
      </c>
      <c r="AO246" s="0" t="s">
        <v>5636</v>
      </c>
      <c r="AP246" s="0" t="s">
        <v>240</v>
      </c>
      <c r="AQ246" s="0" t="s">
        <v>240</v>
      </c>
      <c r="AR246" s="0" t="s">
        <v>240</v>
      </c>
      <c r="AS246" s="0" t="s">
        <v>240</v>
      </c>
      <c r="AT246" s="0" t="s">
        <v>240</v>
      </c>
      <c r="AU246" s="0" t="s">
        <v>240</v>
      </c>
      <c r="AV246" s="0" t="s">
        <v>240</v>
      </c>
      <c r="AW246" s="0" t="s">
        <v>240</v>
      </c>
      <c r="AX246" s="0" t="s">
        <v>240</v>
      </c>
      <c r="AY246" s="0" t="s">
        <v>240</v>
      </c>
      <c r="AZ246" s="0" t="s">
        <v>240</v>
      </c>
      <c r="BA246" s="0" t="s">
        <v>240</v>
      </c>
      <c r="BB246" s="0" t="s">
        <v>240</v>
      </c>
      <c r="BC246" s="0" t="s">
        <v>240</v>
      </c>
      <c r="BD246" s="0" t="s">
        <v>240</v>
      </c>
      <c r="BE246" s="0" t="s">
        <v>240</v>
      </c>
      <c r="BF246" s="0" t="s">
        <v>240</v>
      </c>
      <c r="BG246" s="0" t="s">
        <v>240</v>
      </c>
      <c r="BH246" s="0" t="s">
        <v>240</v>
      </c>
      <c r="BI246" s="0" t="s">
        <v>240</v>
      </c>
      <c r="BJ246" s="0" t="s">
        <v>240</v>
      </c>
      <c r="BK246" s="0" t="s">
        <v>240</v>
      </c>
      <c r="BL246" s="0" t="s">
        <v>240</v>
      </c>
      <c r="BM246" s="0" t="s">
        <v>240</v>
      </c>
      <c r="BN246" s="0" t="s">
        <v>240</v>
      </c>
      <c r="BO246" s="0" t="s">
        <v>240</v>
      </c>
      <c r="BP246" s="0" t="s">
        <v>240</v>
      </c>
      <c r="BQ246" s="0" t="s">
        <v>240</v>
      </c>
      <c r="BR246" s="0" t="s">
        <v>240</v>
      </c>
      <c r="BS246" s="0" t="s">
        <v>240</v>
      </c>
      <c r="BT246" s="0" t="s">
        <v>240</v>
      </c>
      <c r="BU246" s="0" t="s">
        <v>240</v>
      </c>
      <c r="BV246" s="0" t="s">
        <v>240</v>
      </c>
      <c r="BW246" s="0" t="s">
        <v>240</v>
      </c>
      <c r="BX246" s="0" t="s">
        <v>240</v>
      </c>
      <c r="BY246" s="0" t="s">
        <v>240</v>
      </c>
      <c r="BZ246" s="0" t="s">
        <v>240</v>
      </c>
      <c r="CA246" s="0" t="s">
        <v>240</v>
      </c>
      <c r="CB246" s="0" t="s">
        <v>240</v>
      </c>
      <c r="CC246" s="0" t="s">
        <v>240</v>
      </c>
      <c r="CD246" s="0" t="s">
        <v>240</v>
      </c>
      <c r="CE246" s="0" t="s">
        <v>240</v>
      </c>
      <c r="CF246" s="0" t="s">
        <v>240</v>
      </c>
      <c r="CG246" s="0" t="s">
        <v>240</v>
      </c>
      <c r="CH246" s="0" t="s">
        <v>240</v>
      </c>
      <c r="CI246" s="0" t="s">
        <v>240</v>
      </c>
      <c r="CJ246" s="0" t="s">
        <v>240</v>
      </c>
      <c r="CK246" s="0" t="s">
        <v>240</v>
      </c>
      <c r="CL246" s="0" t="s">
        <v>240</v>
      </c>
      <c r="CM246" s="0" t="s">
        <v>240</v>
      </c>
      <c r="CN246" s="0" t="s">
        <v>240</v>
      </c>
      <c r="CO246" s="0" t="s">
        <v>240</v>
      </c>
      <c r="CP246" s="0" t="s">
        <v>240</v>
      </c>
      <c r="CQ246" s="0" t="s">
        <v>240</v>
      </c>
      <c r="CR246" s="0" t="s">
        <v>240</v>
      </c>
      <c r="CS246" s="0" t="s">
        <v>240</v>
      </c>
      <c r="CT246" s="0" t="s">
        <v>5496</v>
      </c>
      <c r="CU246" s="0" t="s">
        <v>5497</v>
      </c>
      <c r="CV246" s="0" t="s">
        <v>443</v>
      </c>
      <c r="CW246" s="0" t="s">
        <v>5509</v>
      </c>
      <c r="CX246" s="0" t="s">
        <v>229</v>
      </c>
      <c r="CY246" s="0" t="s">
        <v>443</v>
      </c>
      <c r="CZ246" s="0" t="s">
        <v>5510</v>
      </c>
      <c r="DA246" s="0" t="s">
        <v>5511</v>
      </c>
      <c r="DB246" s="0" t="s">
        <v>5509</v>
      </c>
      <c r="DC246" s="0" t="s">
        <v>384</v>
      </c>
      <c r="DD246" s="0" t="s">
        <v>291</v>
      </c>
      <c r="DE246" s="0" t="s">
        <v>6633</v>
      </c>
    </row>
    <row customHeight="1" ht="11.25">
      <c r="A247" s="1441" t="s">
        <v>240</v>
      </c>
      <c r="B247" s="0" t="s">
        <v>240</v>
      </c>
      <c r="C247" s="0" t="s">
        <v>240</v>
      </c>
      <c r="D247" s="0" t="s">
        <v>240</v>
      </c>
      <c r="E247" s="0" t="s">
        <v>240</v>
      </c>
      <c r="F247" s="0" t="s">
        <v>240</v>
      </c>
      <c r="G247" s="0" t="s">
        <v>240</v>
      </c>
      <c r="H247" s="0" t="s">
        <v>240</v>
      </c>
      <c r="I247" s="0" t="s">
        <v>5484</v>
      </c>
      <c r="J247" s="0" t="s">
        <v>240</v>
      </c>
      <c r="K247" s="0" t="s">
        <v>240</v>
      </c>
      <c r="L247" s="0" t="s">
        <v>240</v>
      </c>
      <c r="M247" s="0" t="s">
        <v>240</v>
      </c>
      <c r="N247" s="0" t="s">
        <v>240</v>
      </c>
      <c r="O247" s="0" t="s">
        <v>240</v>
      </c>
      <c r="P247" s="0" t="s">
        <v>240</v>
      </c>
      <c r="Q247" s="0" t="s">
        <v>240</v>
      </c>
      <c r="R247" s="0" t="s">
        <v>5608</v>
      </c>
      <c r="S247" s="0" t="s">
        <v>240</v>
      </c>
      <c r="T247" s="0" t="s">
        <v>240</v>
      </c>
      <c r="U247" s="0" t="s">
        <v>102</v>
      </c>
      <c r="V247" s="0" t="s">
        <v>240</v>
      </c>
      <c r="W247" s="0" t="s">
        <v>240</v>
      </c>
      <c r="X247" s="0" t="s">
        <v>5485</v>
      </c>
      <c r="Y247" s="0" t="s">
        <v>240</v>
      </c>
      <c r="Z247" s="0" t="s">
        <v>161</v>
      </c>
      <c r="AA247" s="0" t="s">
        <v>152</v>
      </c>
      <c r="AB247" s="0" t="s">
        <v>152</v>
      </c>
      <c r="AC247" s="0" t="s">
        <v>2985</v>
      </c>
      <c r="AD247" s="0" t="s">
        <v>2985</v>
      </c>
      <c r="AE247" s="0" t="s">
        <v>2986</v>
      </c>
      <c r="AF247" s="0" t="s">
        <v>6427</v>
      </c>
      <c r="AG247" s="0" t="s">
        <v>6428</v>
      </c>
      <c r="AH247" s="0" t="s">
        <v>6634</v>
      </c>
      <c r="AI247" s="0" t="s">
        <v>6635</v>
      </c>
      <c r="AJ247" s="0" t="s">
        <v>5504</v>
      </c>
      <c r="AK247" s="0" t="s">
        <v>5505</v>
      </c>
      <c r="AL247" s="0" t="s">
        <v>5506</v>
      </c>
      <c r="AM247" s="0" t="s">
        <v>5493</v>
      </c>
      <c r="AN247" s="0" t="s">
        <v>5507</v>
      </c>
      <c r="AO247" s="0" t="s">
        <v>5546</v>
      </c>
      <c r="AP247" s="0" t="s">
        <v>240</v>
      </c>
      <c r="AQ247" s="0" t="s">
        <v>240</v>
      </c>
      <c r="AR247" s="0" t="s">
        <v>240</v>
      </c>
      <c r="AS247" s="0" t="s">
        <v>240</v>
      </c>
      <c r="AT247" s="0" t="s">
        <v>240</v>
      </c>
      <c r="AU247" s="0" t="s">
        <v>240</v>
      </c>
      <c r="AV247" s="0" t="s">
        <v>240</v>
      </c>
      <c r="AW247" s="0" t="s">
        <v>240</v>
      </c>
      <c r="AX247" s="0" t="s">
        <v>240</v>
      </c>
      <c r="AY247" s="0" t="s">
        <v>240</v>
      </c>
      <c r="AZ247" s="0" t="s">
        <v>240</v>
      </c>
      <c r="BA247" s="0" t="s">
        <v>240</v>
      </c>
      <c r="BB247" s="0" t="s">
        <v>240</v>
      </c>
      <c r="BC247" s="0" t="s">
        <v>240</v>
      </c>
      <c r="BD247" s="0" t="s">
        <v>240</v>
      </c>
      <c r="BE247" s="0" t="s">
        <v>240</v>
      </c>
      <c r="BF247" s="0" t="s">
        <v>240</v>
      </c>
      <c r="BG247" s="0" t="s">
        <v>240</v>
      </c>
      <c r="BH247" s="0" t="s">
        <v>240</v>
      </c>
      <c r="BI247" s="0" t="s">
        <v>240</v>
      </c>
      <c r="BJ247" s="0" t="s">
        <v>240</v>
      </c>
      <c r="BK247" s="0" t="s">
        <v>240</v>
      </c>
      <c r="BL247" s="0" t="s">
        <v>240</v>
      </c>
      <c r="BM247" s="0" t="s">
        <v>240</v>
      </c>
      <c r="BN247" s="0" t="s">
        <v>240</v>
      </c>
      <c r="BO247" s="0" t="s">
        <v>240</v>
      </c>
      <c r="BP247" s="0" t="s">
        <v>240</v>
      </c>
      <c r="BQ247" s="0" t="s">
        <v>240</v>
      </c>
      <c r="BR247" s="0" t="s">
        <v>240</v>
      </c>
      <c r="BS247" s="0" t="s">
        <v>240</v>
      </c>
      <c r="BT247" s="0" t="s">
        <v>240</v>
      </c>
      <c r="BU247" s="0" t="s">
        <v>240</v>
      </c>
      <c r="BV247" s="0" t="s">
        <v>240</v>
      </c>
      <c r="BW247" s="0" t="s">
        <v>240</v>
      </c>
      <c r="BX247" s="0" t="s">
        <v>240</v>
      </c>
      <c r="BY247" s="0" t="s">
        <v>240</v>
      </c>
      <c r="BZ247" s="0" t="s">
        <v>240</v>
      </c>
      <c r="CA247" s="0" t="s">
        <v>240</v>
      </c>
      <c r="CB247" s="0" t="s">
        <v>240</v>
      </c>
      <c r="CC247" s="0" t="s">
        <v>240</v>
      </c>
      <c r="CD247" s="0" t="s">
        <v>240</v>
      </c>
      <c r="CE247" s="0" t="s">
        <v>240</v>
      </c>
      <c r="CF247" s="0" t="s">
        <v>240</v>
      </c>
      <c r="CG247" s="0" t="s">
        <v>240</v>
      </c>
      <c r="CH247" s="0" t="s">
        <v>240</v>
      </c>
      <c r="CI247" s="0" t="s">
        <v>240</v>
      </c>
      <c r="CJ247" s="0" t="s">
        <v>240</v>
      </c>
      <c r="CK247" s="0" t="s">
        <v>240</v>
      </c>
      <c r="CL247" s="0" t="s">
        <v>240</v>
      </c>
      <c r="CM247" s="0" t="s">
        <v>240</v>
      </c>
      <c r="CN247" s="0" t="s">
        <v>240</v>
      </c>
      <c r="CO247" s="0" t="s">
        <v>240</v>
      </c>
      <c r="CP247" s="0" t="s">
        <v>240</v>
      </c>
      <c r="CQ247" s="0" t="s">
        <v>240</v>
      </c>
      <c r="CR247" s="0" t="s">
        <v>240</v>
      </c>
      <c r="CS247" s="0" t="s">
        <v>240</v>
      </c>
      <c r="CT247" s="0" t="s">
        <v>5496</v>
      </c>
      <c r="CU247" s="0" t="s">
        <v>5497</v>
      </c>
      <c r="CV247" s="0" t="s">
        <v>443</v>
      </c>
      <c r="CW247" s="0" t="s">
        <v>5509</v>
      </c>
      <c r="CX247" s="0" t="s">
        <v>229</v>
      </c>
      <c r="CY247" s="0" t="s">
        <v>443</v>
      </c>
      <c r="CZ247" s="0" t="s">
        <v>5510</v>
      </c>
      <c r="DA247" s="0" t="s">
        <v>5511</v>
      </c>
      <c r="DB247" s="0" t="s">
        <v>5509</v>
      </c>
      <c r="DC247" s="0" t="s">
        <v>384</v>
      </c>
      <c r="DD247" s="0" t="s">
        <v>291</v>
      </c>
      <c r="DE247" s="0" t="s">
        <v>6636</v>
      </c>
    </row>
    <row customHeight="1" ht="11.25">
      <c r="A248" s="1441" t="s">
        <v>240</v>
      </c>
      <c r="B248" s="0" t="s">
        <v>240</v>
      </c>
      <c r="C248" s="0" t="s">
        <v>240</v>
      </c>
      <c r="D248" s="0" t="s">
        <v>240</v>
      </c>
      <c r="E248" s="0" t="s">
        <v>240</v>
      </c>
      <c r="F248" s="0" t="s">
        <v>240</v>
      </c>
      <c r="G248" s="0" t="s">
        <v>240</v>
      </c>
      <c r="H248" s="0" t="s">
        <v>240</v>
      </c>
      <c r="I248" s="0" t="s">
        <v>5484</v>
      </c>
      <c r="J248" s="0" t="s">
        <v>240</v>
      </c>
      <c r="K248" s="0" t="s">
        <v>240</v>
      </c>
      <c r="L248" s="0" t="s">
        <v>240</v>
      </c>
      <c r="M248" s="0" t="s">
        <v>240</v>
      </c>
      <c r="N248" s="0" t="s">
        <v>240</v>
      </c>
      <c r="O248" s="0" t="s">
        <v>240</v>
      </c>
      <c r="P248" s="0" t="s">
        <v>240</v>
      </c>
      <c r="Q248" s="0" t="s">
        <v>240</v>
      </c>
      <c r="R248" s="0" t="s">
        <v>5572</v>
      </c>
      <c r="S248" s="0" t="s">
        <v>240</v>
      </c>
      <c r="T248" s="0" t="s">
        <v>240</v>
      </c>
      <c r="U248" s="0" t="s">
        <v>102</v>
      </c>
      <c r="V248" s="0" t="s">
        <v>240</v>
      </c>
      <c r="W248" s="0" t="s">
        <v>240</v>
      </c>
      <c r="X248" s="0" t="s">
        <v>5485</v>
      </c>
      <c r="Y248" s="0" t="s">
        <v>240</v>
      </c>
      <c r="Z248" s="0" t="s">
        <v>161</v>
      </c>
      <c r="AA248" s="0" t="s">
        <v>152</v>
      </c>
      <c r="AB248" s="0" t="s">
        <v>152</v>
      </c>
      <c r="AC248" s="0" t="s">
        <v>2989</v>
      </c>
      <c r="AD248" s="0" t="s">
        <v>2989</v>
      </c>
      <c r="AE248" s="0" t="s">
        <v>2990</v>
      </c>
      <c r="AF248" s="0" t="s">
        <v>6637</v>
      </c>
      <c r="AG248" s="0" t="s">
        <v>6638</v>
      </c>
      <c r="AH248" s="0" t="s">
        <v>6639</v>
      </c>
      <c r="AI248" s="0" t="s">
        <v>6640</v>
      </c>
      <c r="AJ248" s="0" t="s">
        <v>5576</v>
      </c>
      <c r="AK248" s="0" t="s">
        <v>6641</v>
      </c>
      <c r="AL248" s="0" t="s">
        <v>5506</v>
      </c>
      <c r="AM248" s="0" t="s">
        <v>5493</v>
      </c>
      <c r="AN248" s="0" t="s">
        <v>5578</v>
      </c>
      <c r="AO248" s="0" t="s">
        <v>5495</v>
      </c>
      <c r="AP248" s="0" t="s">
        <v>240</v>
      </c>
      <c r="AQ248" s="0" t="s">
        <v>240</v>
      </c>
      <c r="AR248" s="0" t="s">
        <v>240</v>
      </c>
      <c r="AS248" s="0" t="s">
        <v>240</v>
      </c>
      <c r="AT248" s="0" t="s">
        <v>240</v>
      </c>
      <c r="AU248" s="0" t="s">
        <v>240</v>
      </c>
      <c r="AV248" s="0" t="s">
        <v>240</v>
      </c>
      <c r="AW248" s="0" t="s">
        <v>240</v>
      </c>
      <c r="AX248" s="0" t="s">
        <v>240</v>
      </c>
      <c r="AY248" s="0" t="s">
        <v>240</v>
      </c>
      <c r="AZ248" s="0" t="s">
        <v>240</v>
      </c>
      <c r="BA248" s="0" t="s">
        <v>240</v>
      </c>
      <c r="BB248" s="0" t="s">
        <v>240</v>
      </c>
      <c r="BC248" s="0" t="s">
        <v>240</v>
      </c>
      <c r="BD248" s="0" t="s">
        <v>240</v>
      </c>
      <c r="BE248" s="0" t="s">
        <v>240</v>
      </c>
      <c r="BF248" s="0" t="s">
        <v>240</v>
      </c>
      <c r="BG248" s="0" t="s">
        <v>240</v>
      </c>
      <c r="BH248" s="0" t="s">
        <v>240</v>
      </c>
      <c r="BI248" s="0" t="s">
        <v>240</v>
      </c>
      <c r="BJ248" s="0" t="s">
        <v>240</v>
      </c>
      <c r="BK248" s="0" t="s">
        <v>240</v>
      </c>
      <c r="BL248" s="0" t="s">
        <v>240</v>
      </c>
      <c r="BM248" s="0" t="s">
        <v>240</v>
      </c>
      <c r="BN248" s="0" t="s">
        <v>240</v>
      </c>
      <c r="BO248" s="0" t="s">
        <v>240</v>
      </c>
      <c r="BP248" s="0" t="s">
        <v>240</v>
      </c>
      <c r="BQ248" s="0" t="s">
        <v>240</v>
      </c>
      <c r="BR248" s="0" t="s">
        <v>240</v>
      </c>
      <c r="BS248" s="0" t="s">
        <v>240</v>
      </c>
      <c r="BT248" s="0" t="s">
        <v>240</v>
      </c>
      <c r="BU248" s="0" t="s">
        <v>240</v>
      </c>
      <c r="BV248" s="0" t="s">
        <v>240</v>
      </c>
      <c r="BW248" s="0" t="s">
        <v>240</v>
      </c>
      <c r="BX248" s="0" t="s">
        <v>240</v>
      </c>
      <c r="BY248" s="0" t="s">
        <v>240</v>
      </c>
      <c r="BZ248" s="0" t="s">
        <v>240</v>
      </c>
      <c r="CA248" s="0" t="s">
        <v>240</v>
      </c>
      <c r="CB248" s="0" t="s">
        <v>240</v>
      </c>
      <c r="CC248" s="0" t="s">
        <v>240</v>
      </c>
      <c r="CD248" s="0" t="s">
        <v>240</v>
      </c>
      <c r="CE248" s="0" t="s">
        <v>240</v>
      </c>
      <c r="CF248" s="0" t="s">
        <v>240</v>
      </c>
      <c r="CG248" s="0" t="s">
        <v>240</v>
      </c>
      <c r="CH248" s="0" t="s">
        <v>240</v>
      </c>
      <c r="CI248" s="0" t="s">
        <v>240</v>
      </c>
      <c r="CJ248" s="0" t="s">
        <v>240</v>
      </c>
      <c r="CK248" s="0" t="s">
        <v>240</v>
      </c>
      <c r="CL248" s="0" t="s">
        <v>240</v>
      </c>
      <c r="CM248" s="0" t="s">
        <v>240</v>
      </c>
      <c r="CN248" s="0" t="s">
        <v>240</v>
      </c>
      <c r="CO248" s="0" t="s">
        <v>240</v>
      </c>
      <c r="CP248" s="0" t="s">
        <v>240</v>
      </c>
      <c r="CQ248" s="0" t="s">
        <v>240</v>
      </c>
      <c r="CR248" s="0" t="s">
        <v>240</v>
      </c>
      <c r="CS248" s="0" t="s">
        <v>240</v>
      </c>
      <c r="CT248" s="0" t="s">
        <v>5496</v>
      </c>
      <c r="CU248" s="0" t="s">
        <v>5497</v>
      </c>
      <c r="CV248" s="0" t="s">
        <v>443</v>
      </c>
      <c r="CW248" s="0" t="s">
        <v>5580</v>
      </c>
      <c r="CX248" s="0" t="s">
        <v>229</v>
      </c>
      <c r="CY248" s="0" t="s">
        <v>443</v>
      </c>
      <c r="CZ248" s="0" t="s">
        <v>5581</v>
      </c>
      <c r="DA248" s="0" t="s">
        <v>5582</v>
      </c>
      <c r="DB248" s="0" t="s">
        <v>5580</v>
      </c>
      <c r="DC248" s="0" t="s">
        <v>384</v>
      </c>
      <c r="DD248" s="0" t="s">
        <v>291</v>
      </c>
      <c r="DE248" s="0" t="s">
        <v>6642</v>
      </c>
    </row>
    <row customHeight="1" ht="11.25">
      <c r="A249" s="1441" t="s">
        <v>240</v>
      </c>
      <c r="B249" s="0" t="s">
        <v>240</v>
      </c>
      <c r="C249" s="0" t="s">
        <v>240</v>
      </c>
      <c r="D249" s="0" t="s">
        <v>240</v>
      </c>
      <c r="E249" s="0" t="s">
        <v>240</v>
      </c>
      <c r="F249" s="0" t="s">
        <v>240</v>
      </c>
      <c r="G249" s="0" t="s">
        <v>240</v>
      </c>
      <c r="H249" s="0" t="s">
        <v>240</v>
      </c>
      <c r="I249" s="0" t="s">
        <v>5484</v>
      </c>
      <c r="J249" s="0" t="s">
        <v>240</v>
      </c>
      <c r="K249" s="0" t="s">
        <v>240</v>
      </c>
      <c r="L249" s="0" t="s">
        <v>240</v>
      </c>
      <c r="M249" s="0" t="s">
        <v>240</v>
      </c>
      <c r="N249" s="0" t="s">
        <v>240</v>
      </c>
      <c r="O249" s="0" t="s">
        <v>240</v>
      </c>
      <c r="P249" s="0" t="s">
        <v>240</v>
      </c>
      <c r="Q249" s="0" t="s">
        <v>240</v>
      </c>
      <c r="R249" s="0" t="s">
        <v>6643</v>
      </c>
      <c r="S249" s="0" t="s">
        <v>240</v>
      </c>
      <c r="T249" s="0" t="s">
        <v>240</v>
      </c>
      <c r="U249" s="0" t="s">
        <v>102</v>
      </c>
      <c r="V249" s="0" t="s">
        <v>240</v>
      </c>
      <c r="W249" s="0" t="s">
        <v>240</v>
      </c>
      <c r="X249" s="0" t="s">
        <v>5585</v>
      </c>
      <c r="Y249" s="0" t="s">
        <v>240</v>
      </c>
      <c r="Z249" s="0" t="s">
        <v>152</v>
      </c>
      <c r="AA249" s="0" t="s">
        <v>152</v>
      </c>
      <c r="AB249" s="0" t="s">
        <v>161</v>
      </c>
      <c r="AC249" s="0" t="s">
        <v>2991</v>
      </c>
      <c r="AD249" s="0" t="s">
        <v>2991</v>
      </c>
      <c r="AE249" s="0" t="s">
        <v>2992</v>
      </c>
      <c r="AF249" s="0" t="s">
        <v>6434</v>
      </c>
      <c r="AG249" s="0" t="s">
        <v>6435</v>
      </c>
      <c r="AH249" s="0" t="s">
        <v>5575</v>
      </c>
      <c r="AI249" s="0" t="s">
        <v>5575</v>
      </c>
      <c r="AJ249" s="0" t="s">
        <v>240</v>
      </c>
      <c r="AK249" s="0" t="s">
        <v>240</v>
      </c>
      <c r="AL249" s="0" t="s">
        <v>240</v>
      </c>
      <c r="AM249" s="0" t="s">
        <v>240</v>
      </c>
      <c r="AN249" s="0" t="s">
        <v>240</v>
      </c>
      <c r="AO249" s="0" t="s">
        <v>240</v>
      </c>
      <c r="AP249" s="0" t="s">
        <v>240</v>
      </c>
      <c r="AQ249" s="0" t="s">
        <v>240</v>
      </c>
      <c r="AR249" s="0" t="s">
        <v>240</v>
      </c>
      <c r="AS249" s="0" t="s">
        <v>240</v>
      </c>
      <c r="AT249" s="0" t="s">
        <v>240</v>
      </c>
      <c r="AU249" s="0" t="s">
        <v>240</v>
      </c>
      <c r="AV249" s="0" t="s">
        <v>240</v>
      </c>
      <c r="AW249" s="0" t="s">
        <v>240</v>
      </c>
      <c r="AX249" s="0" t="s">
        <v>240</v>
      </c>
      <c r="AY249" s="0" t="s">
        <v>240</v>
      </c>
      <c r="AZ249" s="0" t="s">
        <v>240</v>
      </c>
      <c r="BA249" s="0" t="s">
        <v>240</v>
      </c>
      <c r="BB249" s="0" t="s">
        <v>240</v>
      </c>
      <c r="BC249" s="0" t="s">
        <v>240</v>
      </c>
      <c r="BD249" s="0" t="s">
        <v>240</v>
      </c>
      <c r="BE249" s="0" t="s">
        <v>5552</v>
      </c>
      <c r="BF249" s="0" t="s">
        <v>5544</v>
      </c>
      <c r="BG249" s="0" t="s">
        <v>112</v>
      </c>
      <c r="BH249" s="0" t="s">
        <v>5589</v>
      </c>
      <c r="BI249" s="0" t="s">
        <v>123</v>
      </c>
      <c r="BJ249" s="0" t="s">
        <v>240</v>
      </c>
      <c r="BK249" s="0" t="s">
        <v>5608</v>
      </c>
      <c r="BL249" s="0" t="s">
        <v>2991</v>
      </c>
      <c r="BM249" s="0" t="s">
        <v>2991</v>
      </c>
      <c r="BN249" s="0" t="s">
        <v>5663</v>
      </c>
      <c r="BO249" s="0" t="s">
        <v>6434</v>
      </c>
      <c r="BP249" s="0" t="s">
        <v>6644</v>
      </c>
      <c r="BQ249" s="0" t="s">
        <v>5575</v>
      </c>
      <c r="BR249" s="0" t="s">
        <v>5575</v>
      </c>
      <c r="BS249" s="0" t="s">
        <v>240</v>
      </c>
      <c r="BT249" s="0" t="s">
        <v>5650</v>
      </c>
      <c r="BU249" s="0" t="s">
        <v>6645</v>
      </c>
      <c r="BV249" s="0" t="s">
        <v>6645</v>
      </c>
      <c r="BW249" s="0" t="s">
        <v>5598</v>
      </c>
      <c r="BX249" s="0" t="s">
        <v>5598</v>
      </c>
      <c r="BY249" s="0" t="s">
        <v>5598</v>
      </c>
      <c r="BZ249" s="0" t="s">
        <v>5598</v>
      </c>
      <c r="CA249" s="0" t="s">
        <v>5598</v>
      </c>
      <c r="CB249" s="0" t="s">
        <v>240</v>
      </c>
      <c r="CC249" s="0" t="s">
        <v>240</v>
      </c>
      <c r="CD249" s="0" t="s">
        <v>240</v>
      </c>
      <c r="CE249" s="0" t="s">
        <v>240</v>
      </c>
      <c r="CF249" s="0" t="s">
        <v>240</v>
      </c>
      <c r="CG249" s="0" t="s">
        <v>5598</v>
      </c>
      <c r="CH249" s="0" t="s">
        <v>240</v>
      </c>
      <c r="CI249" s="0" t="s">
        <v>240</v>
      </c>
      <c r="CJ249" s="0" t="s">
        <v>240</v>
      </c>
      <c r="CK249" s="0" t="s">
        <v>240</v>
      </c>
      <c r="CL249" s="0" t="s">
        <v>240</v>
      </c>
      <c r="CM249" s="0" t="s">
        <v>6645</v>
      </c>
      <c r="CN249" s="0" t="s">
        <v>6645</v>
      </c>
      <c r="CO249" s="0" t="s">
        <v>240</v>
      </c>
      <c r="CP249" s="0" t="s">
        <v>240</v>
      </c>
      <c r="CQ249" s="0" t="s">
        <v>240</v>
      </c>
      <c r="CR249" s="0" t="s">
        <v>240</v>
      </c>
      <c r="CS249" s="0" t="s">
        <v>5666</v>
      </c>
      <c r="CT249" s="0" t="s">
        <v>5496</v>
      </c>
      <c r="CU249" s="0" t="s">
        <v>5497</v>
      </c>
      <c r="CV249" s="0" t="s">
        <v>443</v>
      </c>
      <c r="CW249" s="0" t="s">
        <v>5547</v>
      </c>
      <c r="CX249" s="0" t="s">
        <v>229</v>
      </c>
      <c r="CY249" s="0" t="s">
        <v>443</v>
      </c>
      <c r="CZ249" s="0" t="s">
        <v>5548</v>
      </c>
      <c r="DA249" s="0" t="s">
        <v>5549</v>
      </c>
      <c r="DB249" s="0" t="s">
        <v>5547</v>
      </c>
      <c r="DC249" s="0" t="s">
        <v>384</v>
      </c>
      <c r="DD249" s="0" t="s">
        <v>291</v>
      </c>
      <c r="DE249" s="0" t="s">
        <v>6646</v>
      </c>
    </row>
    <row customHeight="1" ht="11.25">
      <c r="A250" s="1441" t="s">
        <v>240</v>
      </c>
      <c r="B250" s="0" t="s">
        <v>240</v>
      </c>
      <c r="C250" s="0" t="s">
        <v>240</v>
      </c>
      <c r="D250" s="0" t="s">
        <v>240</v>
      </c>
      <c r="E250" s="0" t="s">
        <v>240</v>
      </c>
      <c r="F250" s="0" t="s">
        <v>240</v>
      </c>
      <c r="G250" s="0" t="s">
        <v>240</v>
      </c>
      <c r="H250" s="0" t="s">
        <v>240</v>
      </c>
      <c r="I250" s="0" t="s">
        <v>5484</v>
      </c>
      <c r="J250" s="0" t="s">
        <v>240</v>
      </c>
      <c r="K250" s="0" t="s">
        <v>240</v>
      </c>
      <c r="L250" s="0" t="s">
        <v>240</v>
      </c>
      <c r="M250" s="0" t="s">
        <v>240</v>
      </c>
      <c r="N250" s="0" t="s">
        <v>240</v>
      </c>
      <c r="O250" s="0" t="s">
        <v>240</v>
      </c>
      <c r="P250" s="0" t="s">
        <v>240</v>
      </c>
      <c r="Q250" s="0" t="s">
        <v>240</v>
      </c>
      <c r="R250" s="0" t="s">
        <v>5754</v>
      </c>
      <c r="S250" s="0" t="s">
        <v>240</v>
      </c>
      <c r="T250" s="0" t="s">
        <v>240</v>
      </c>
      <c r="U250" s="0" t="s">
        <v>102</v>
      </c>
      <c r="V250" s="0" t="s">
        <v>240</v>
      </c>
      <c r="W250" s="0" t="s">
        <v>240</v>
      </c>
      <c r="X250" s="0" t="s">
        <v>5485</v>
      </c>
      <c r="Y250" s="0" t="s">
        <v>240</v>
      </c>
      <c r="Z250" s="0" t="s">
        <v>161</v>
      </c>
      <c r="AA250" s="0" t="s">
        <v>152</v>
      </c>
      <c r="AB250" s="0" t="s">
        <v>152</v>
      </c>
      <c r="AC250" s="0" t="s">
        <v>2991</v>
      </c>
      <c r="AD250" s="0" t="s">
        <v>2991</v>
      </c>
      <c r="AE250" s="0" t="s">
        <v>2992</v>
      </c>
      <c r="AF250" s="0" t="s">
        <v>6647</v>
      </c>
      <c r="AG250" s="0" t="s">
        <v>6648</v>
      </c>
      <c r="AH250" s="0" t="s">
        <v>6649</v>
      </c>
      <c r="AI250" s="0" t="s">
        <v>6650</v>
      </c>
      <c r="AJ250" s="0" t="s">
        <v>5504</v>
      </c>
      <c r="AK250" s="0" t="s">
        <v>5672</v>
      </c>
      <c r="AL250" s="0" t="s">
        <v>5506</v>
      </c>
      <c r="AM250" s="0" t="s">
        <v>5493</v>
      </c>
      <c r="AN250" s="0" t="s">
        <v>5545</v>
      </c>
      <c r="AO250" s="0" t="s">
        <v>6440</v>
      </c>
      <c r="AP250" s="0" t="s">
        <v>240</v>
      </c>
      <c r="AQ250" s="0" t="s">
        <v>240</v>
      </c>
      <c r="AR250" s="0" t="s">
        <v>240</v>
      </c>
      <c r="AS250" s="0" t="s">
        <v>240</v>
      </c>
      <c r="AT250" s="0" t="s">
        <v>240</v>
      </c>
      <c r="AU250" s="0" t="s">
        <v>240</v>
      </c>
      <c r="AV250" s="0" t="s">
        <v>240</v>
      </c>
      <c r="AW250" s="0" t="s">
        <v>240</v>
      </c>
      <c r="AX250" s="0" t="s">
        <v>240</v>
      </c>
      <c r="AY250" s="0" t="s">
        <v>240</v>
      </c>
      <c r="AZ250" s="0" t="s">
        <v>240</v>
      </c>
      <c r="BA250" s="0" t="s">
        <v>240</v>
      </c>
      <c r="BB250" s="0" t="s">
        <v>240</v>
      </c>
      <c r="BC250" s="0" t="s">
        <v>240</v>
      </c>
      <c r="BD250" s="0" t="s">
        <v>240</v>
      </c>
      <c r="BE250" s="0" t="s">
        <v>240</v>
      </c>
      <c r="BF250" s="0" t="s">
        <v>240</v>
      </c>
      <c r="BG250" s="0" t="s">
        <v>240</v>
      </c>
      <c r="BH250" s="0" t="s">
        <v>240</v>
      </c>
      <c r="BI250" s="0" t="s">
        <v>240</v>
      </c>
      <c r="BJ250" s="0" t="s">
        <v>240</v>
      </c>
      <c r="BK250" s="0" t="s">
        <v>240</v>
      </c>
      <c r="BL250" s="0" t="s">
        <v>240</v>
      </c>
      <c r="BM250" s="0" t="s">
        <v>240</v>
      </c>
      <c r="BN250" s="0" t="s">
        <v>240</v>
      </c>
      <c r="BO250" s="0" t="s">
        <v>240</v>
      </c>
      <c r="BP250" s="0" t="s">
        <v>240</v>
      </c>
      <c r="BQ250" s="0" t="s">
        <v>240</v>
      </c>
      <c r="BR250" s="0" t="s">
        <v>240</v>
      </c>
      <c r="BS250" s="0" t="s">
        <v>240</v>
      </c>
      <c r="BT250" s="0" t="s">
        <v>240</v>
      </c>
      <c r="BU250" s="0" t="s">
        <v>240</v>
      </c>
      <c r="BV250" s="0" t="s">
        <v>240</v>
      </c>
      <c r="BW250" s="0" t="s">
        <v>240</v>
      </c>
      <c r="BX250" s="0" t="s">
        <v>240</v>
      </c>
      <c r="BY250" s="0" t="s">
        <v>240</v>
      </c>
      <c r="BZ250" s="0" t="s">
        <v>240</v>
      </c>
      <c r="CA250" s="0" t="s">
        <v>240</v>
      </c>
      <c r="CB250" s="0" t="s">
        <v>240</v>
      </c>
      <c r="CC250" s="0" t="s">
        <v>240</v>
      </c>
      <c r="CD250" s="0" t="s">
        <v>240</v>
      </c>
      <c r="CE250" s="0" t="s">
        <v>240</v>
      </c>
      <c r="CF250" s="0" t="s">
        <v>240</v>
      </c>
      <c r="CG250" s="0" t="s">
        <v>240</v>
      </c>
      <c r="CH250" s="0" t="s">
        <v>240</v>
      </c>
      <c r="CI250" s="0" t="s">
        <v>240</v>
      </c>
      <c r="CJ250" s="0" t="s">
        <v>240</v>
      </c>
      <c r="CK250" s="0" t="s">
        <v>240</v>
      </c>
      <c r="CL250" s="0" t="s">
        <v>240</v>
      </c>
      <c r="CM250" s="0" t="s">
        <v>240</v>
      </c>
      <c r="CN250" s="0" t="s">
        <v>240</v>
      </c>
      <c r="CO250" s="0" t="s">
        <v>240</v>
      </c>
      <c r="CP250" s="0" t="s">
        <v>240</v>
      </c>
      <c r="CQ250" s="0" t="s">
        <v>240</v>
      </c>
      <c r="CR250" s="0" t="s">
        <v>240</v>
      </c>
      <c r="CS250" s="0" t="s">
        <v>240</v>
      </c>
      <c r="CT250" s="0" t="s">
        <v>5496</v>
      </c>
      <c r="CU250" s="0" t="s">
        <v>5497</v>
      </c>
      <c r="CV250" s="0" t="s">
        <v>443</v>
      </c>
      <c r="CW250" s="0" t="s">
        <v>5547</v>
      </c>
      <c r="CX250" s="0" t="s">
        <v>229</v>
      </c>
      <c r="CY250" s="0" t="s">
        <v>443</v>
      </c>
      <c r="CZ250" s="0" t="s">
        <v>5548</v>
      </c>
      <c r="DA250" s="0" t="s">
        <v>5549</v>
      </c>
      <c r="DB250" s="0" t="s">
        <v>5547</v>
      </c>
      <c r="DC250" s="0" t="s">
        <v>384</v>
      </c>
      <c r="DD250" s="0" t="s">
        <v>291</v>
      </c>
      <c r="DE250" s="0" t="s">
        <v>6651</v>
      </c>
    </row>
    <row customHeight="1" ht="11.25">
      <c r="A251" s="1441" t="s">
        <v>240</v>
      </c>
      <c r="B251" s="0" t="s">
        <v>240</v>
      </c>
      <c r="C251" s="0" t="s">
        <v>240</v>
      </c>
      <c r="D251" s="0" t="s">
        <v>240</v>
      </c>
      <c r="E251" s="0" t="s">
        <v>240</v>
      </c>
      <c r="F251" s="0" t="s">
        <v>240</v>
      </c>
      <c r="G251" s="0" t="s">
        <v>240</v>
      </c>
      <c r="H251" s="0" t="s">
        <v>240</v>
      </c>
      <c r="I251" s="0" t="s">
        <v>5484</v>
      </c>
      <c r="J251" s="0" t="s">
        <v>240</v>
      </c>
      <c r="K251" s="0" t="s">
        <v>240</v>
      </c>
      <c r="L251" s="0" t="s">
        <v>240</v>
      </c>
      <c r="M251" s="0" t="s">
        <v>240</v>
      </c>
      <c r="N251" s="0" t="s">
        <v>240</v>
      </c>
      <c r="O251" s="0" t="s">
        <v>240</v>
      </c>
      <c r="P251" s="0" t="s">
        <v>240</v>
      </c>
      <c r="Q251" s="0" t="s">
        <v>240</v>
      </c>
      <c r="R251" s="0" t="s">
        <v>5572</v>
      </c>
      <c r="S251" s="0" t="s">
        <v>240</v>
      </c>
      <c r="T251" s="0" t="s">
        <v>240</v>
      </c>
      <c r="U251" s="0" t="s">
        <v>102</v>
      </c>
      <c r="V251" s="0" t="s">
        <v>240</v>
      </c>
      <c r="W251" s="0" t="s">
        <v>240</v>
      </c>
      <c r="X251" s="0" t="s">
        <v>5485</v>
      </c>
      <c r="Y251" s="0" t="s">
        <v>240</v>
      </c>
      <c r="Z251" s="0" t="s">
        <v>161</v>
      </c>
      <c r="AA251" s="0" t="s">
        <v>152</v>
      </c>
      <c r="AB251" s="0" t="s">
        <v>152</v>
      </c>
      <c r="AC251" s="0" t="s">
        <v>2991</v>
      </c>
      <c r="AD251" s="0" t="s">
        <v>2991</v>
      </c>
      <c r="AE251" s="0" t="s">
        <v>2992</v>
      </c>
      <c r="AF251" s="0" t="s">
        <v>6394</v>
      </c>
      <c r="AG251" s="0" t="s">
        <v>6395</v>
      </c>
      <c r="AH251" s="0" t="s">
        <v>6652</v>
      </c>
      <c r="AI251" s="0" t="s">
        <v>6189</v>
      </c>
      <c r="AJ251" s="0" t="s">
        <v>5504</v>
      </c>
      <c r="AK251" s="0" t="s">
        <v>6653</v>
      </c>
      <c r="AL251" s="0" t="s">
        <v>5506</v>
      </c>
      <c r="AM251" s="0" t="s">
        <v>5493</v>
      </c>
      <c r="AN251" s="0" t="s">
        <v>5553</v>
      </c>
      <c r="AO251" s="0" t="s">
        <v>5636</v>
      </c>
      <c r="AP251" s="0" t="s">
        <v>240</v>
      </c>
      <c r="AQ251" s="0" t="s">
        <v>240</v>
      </c>
      <c r="AR251" s="0" t="s">
        <v>240</v>
      </c>
      <c r="AS251" s="0" t="s">
        <v>240</v>
      </c>
      <c r="AT251" s="0" t="s">
        <v>240</v>
      </c>
      <c r="AU251" s="0" t="s">
        <v>240</v>
      </c>
      <c r="AV251" s="0" t="s">
        <v>240</v>
      </c>
      <c r="AW251" s="0" t="s">
        <v>240</v>
      </c>
      <c r="AX251" s="0" t="s">
        <v>240</v>
      </c>
      <c r="AY251" s="0" t="s">
        <v>240</v>
      </c>
      <c r="AZ251" s="0" t="s">
        <v>240</v>
      </c>
      <c r="BA251" s="0" t="s">
        <v>240</v>
      </c>
      <c r="BB251" s="0" t="s">
        <v>240</v>
      </c>
      <c r="BC251" s="0" t="s">
        <v>240</v>
      </c>
      <c r="BD251" s="0" t="s">
        <v>240</v>
      </c>
      <c r="BE251" s="0" t="s">
        <v>240</v>
      </c>
      <c r="BF251" s="0" t="s">
        <v>240</v>
      </c>
      <c r="BG251" s="0" t="s">
        <v>240</v>
      </c>
      <c r="BH251" s="0" t="s">
        <v>240</v>
      </c>
      <c r="BI251" s="0" t="s">
        <v>240</v>
      </c>
      <c r="BJ251" s="0" t="s">
        <v>240</v>
      </c>
      <c r="BK251" s="0" t="s">
        <v>240</v>
      </c>
      <c r="BL251" s="0" t="s">
        <v>240</v>
      </c>
      <c r="BM251" s="0" t="s">
        <v>240</v>
      </c>
      <c r="BN251" s="0" t="s">
        <v>240</v>
      </c>
      <c r="BO251" s="0" t="s">
        <v>240</v>
      </c>
      <c r="BP251" s="0" t="s">
        <v>240</v>
      </c>
      <c r="BQ251" s="0" t="s">
        <v>240</v>
      </c>
      <c r="BR251" s="0" t="s">
        <v>240</v>
      </c>
      <c r="BS251" s="0" t="s">
        <v>240</v>
      </c>
      <c r="BT251" s="0" t="s">
        <v>240</v>
      </c>
      <c r="BU251" s="0" t="s">
        <v>240</v>
      </c>
      <c r="BV251" s="0" t="s">
        <v>240</v>
      </c>
      <c r="BW251" s="0" t="s">
        <v>240</v>
      </c>
      <c r="BX251" s="0" t="s">
        <v>240</v>
      </c>
      <c r="BY251" s="0" t="s">
        <v>240</v>
      </c>
      <c r="BZ251" s="0" t="s">
        <v>240</v>
      </c>
      <c r="CA251" s="0" t="s">
        <v>240</v>
      </c>
      <c r="CB251" s="0" t="s">
        <v>240</v>
      </c>
      <c r="CC251" s="0" t="s">
        <v>240</v>
      </c>
      <c r="CD251" s="0" t="s">
        <v>240</v>
      </c>
      <c r="CE251" s="0" t="s">
        <v>240</v>
      </c>
      <c r="CF251" s="0" t="s">
        <v>240</v>
      </c>
      <c r="CG251" s="0" t="s">
        <v>240</v>
      </c>
      <c r="CH251" s="0" t="s">
        <v>240</v>
      </c>
      <c r="CI251" s="0" t="s">
        <v>240</v>
      </c>
      <c r="CJ251" s="0" t="s">
        <v>240</v>
      </c>
      <c r="CK251" s="0" t="s">
        <v>240</v>
      </c>
      <c r="CL251" s="0" t="s">
        <v>240</v>
      </c>
      <c r="CM251" s="0" t="s">
        <v>240</v>
      </c>
      <c r="CN251" s="0" t="s">
        <v>240</v>
      </c>
      <c r="CO251" s="0" t="s">
        <v>240</v>
      </c>
      <c r="CP251" s="0" t="s">
        <v>240</v>
      </c>
      <c r="CQ251" s="0" t="s">
        <v>240</v>
      </c>
      <c r="CR251" s="0" t="s">
        <v>240</v>
      </c>
      <c r="CS251" s="0" t="s">
        <v>240</v>
      </c>
      <c r="CT251" s="0" t="s">
        <v>5496</v>
      </c>
      <c r="CU251" s="0" t="s">
        <v>5497</v>
      </c>
      <c r="CV251" s="0" t="s">
        <v>443</v>
      </c>
      <c r="CW251" s="0" t="s">
        <v>5547</v>
      </c>
      <c r="CX251" s="0" t="s">
        <v>229</v>
      </c>
      <c r="CY251" s="0" t="s">
        <v>443</v>
      </c>
      <c r="CZ251" s="0" t="s">
        <v>5548</v>
      </c>
      <c r="DA251" s="0" t="s">
        <v>5549</v>
      </c>
      <c r="DB251" s="0" t="s">
        <v>5547</v>
      </c>
      <c r="DC251" s="0" t="s">
        <v>384</v>
      </c>
      <c r="DD251" s="0" t="s">
        <v>291</v>
      </c>
      <c r="DE251" s="0" t="s">
        <v>6654</v>
      </c>
    </row>
    <row customHeight="1" ht="11.25">
      <c r="A252" s="1441" t="s">
        <v>240</v>
      </c>
      <c r="B252" s="0" t="s">
        <v>240</v>
      </c>
      <c r="C252" s="0" t="s">
        <v>240</v>
      </c>
      <c r="D252" s="0" t="s">
        <v>240</v>
      </c>
      <c r="E252" s="0" t="s">
        <v>240</v>
      </c>
      <c r="F252" s="0" t="s">
        <v>240</v>
      </c>
      <c r="G252" s="0" t="s">
        <v>240</v>
      </c>
      <c r="H252" s="0" t="s">
        <v>240</v>
      </c>
      <c r="I252" s="0" t="s">
        <v>5484</v>
      </c>
      <c r="J252" s="0" t="s">
        <v>240</v>
      </c>
      <c r="K252" s="0" t="s">
        <v>240</v>
      </c>
      <c r="L252" s="0" t="s">
        <v>240</v>
      </c>
      <c r="M252" s="0" t="s">
        <v>240</v>
      </c>
      <c r="N252" s="0" t="s">
        <v>240</v>
      </c>
      <c r="O252" s="0" t="s">
        <v>240</v>
      </c>
      <c r="P252" s="0" t="s">
        <v>240</v>
      </c>
      <c r="Q252" s="0" t="s">
        <v>240</v>
      </c>
      <c r="R252" s="0" t="s">
        <v>6655</v>
      </c>
      <c r="S252" s="0" t="s">
        <v>240</v>
      </c>
      <c r="T252" s="0" t="s">
        <v>240</v>
      </c>
      <c r="U252" s="0" t="s">
        <v>102</v>
      </c>
      <c r="V252" s="0" t="s">
        <v>240</v>
      </c>
      <c r="W252" s="0" t="s">
        <v>240</v>
      </c>
      <c r="X252" s="0" t="s">
        <v>5585</v>
      </c>
      <c r="Y252" s="0" t="s">
        <v>240</v>
      </c>
      <c r="Z252" s="0" t="s">
        <v>152</v>
      </c>
      <c r="AA252" s="0" t="s">
        <v>152</v>
      </c>
      <c r="AB252" s="0" t="s">
        <v>161</v>
      </c>
      <c r="AC252" s="0" t="s">
        <v>2991</v>
      </c>
      <c r="AD252" s="0" t="s">
        <v>2991</v>
      </c>
      <c r="AE252" s="0" t="s">
        <v>2992</v>
      </c>
      <c r="AF252" s="0" t="s">
        <v>6184</v>
      </c>
      <c r="AG252" s="0" t="s">
        <v>6185</v>
      </c>
      <c r="AH252" s="0" t="s">
        <v>5575</v>
      </c>
      <c r="AI252" s="0" t="s">
        <v>5575</v>
      </c>
      <c r="AJ252" s="0" t="s">
        <v>240</v>
      </c>
      <c r="AK252" s="0" t="s">
        <v>240</v>
      </c>
      <c r="AL252" s="0" t="s">
        <v>240</v>
      </c>
      <c r="AM252" s="0" t="s">
        <v>240</v>
      </c>
      <c r="AN252" s="0" t="s">
        <v>240</v>
      </c>
      <c r="AO252" s="0" t="s">
        <v>240</v>
      </c>
      <c r="AP252" s="0" t="s">
        <v>240</v>
      </c>
      <c r="AQ252" s="0" t="s">
        <v>240</v>
      </c>
      <c r="AR252" s="0" t="s">
        <v>240</v>
      </c>
      <c r="AS252" s="0" t="s">
        <v>240</v>
      </c>
      <c r="AT252" s="0" t="s">
        <v>240</v>
      </c>
      <c r="AU252" s="0" t="s">
        <v>240</v>
      </c>
      <c r="AV252" s="0" t="s">
        <v>240</v>
      </c>
      <c r="AW252" s="0" t="s">
        <v>240</v>
      </c>
      <c r="AX252" s="0" t="s">
        <v>240</v>
      </c>
      <c r="AY252" s="0" t="s">
        <v>240</v>
      </c>
      <c r="AZ252" s="0" t="s">
        <v>240</v>
      </c>
      <c r="BA252" s="0" t="s">
        <v>240</v>
      </c>
      <c r="BB252" s="0" t="s">
        <v>240</v>
      </c>
      <c r="BC252" s="0" t="s">
        <v>240</v>
      </c>
      <c r="BD252" s="0" t="s">
        <v>240</v>
      </c>
      <c r="BE252" s="0" t="s">
        <v>5552</v>
      </c>
      <c r="BF252" s="0" t="s">
        <v>5672</v>
      </c>
      <c r="BG252" s="0" t="s">
        <v>112</v>
      </c>
      <c r="BH252" s="0" t="s">
        <v>5589</v>
      </c>
      <c r="BI252" s="0" t="s">
        <v>123</v>
      </c>
      <c r="BJ252" s="0" t="s">
        <v>240</v>
      </c>
      <c r="BK252" s="0" t="s">
        <v>5608</v>
      </c>
      <c r="BL252" s="0" t="s">
        <v>2991</v>
      </c>
      <c r="BM252" s="0" t="s">
        <v>2991</v>
      </c>
      <c r="BN252" s="0" t="s">
        <v>5663</v>
      </c>
      <c r="BO252" s="0" t="s">
        <v>6184</v>
      </c>
      <c r="BP252" s="0" t="s">
        <v>6656</v>
      </c>
      <c r="BQ252" s="0" t="s">
        <v>5575</v>
      </c>
      <c r="BR252" s="0" t="s">
        <v>5575</v>
      </c>
      <c r="BS252" s="0" t="s">
        <v>240</v>
      </c>
      <c r="BT252" s="0" t="s">
        <v>5650</v>
      </c>
      <c r="BU252" s="0" t="s">
        <v>6657</v>
      </c>
      <c r="BV252" s="0" t="s">
        <v>6657</v>
      </c>
      <c r="BW252" s="0" t="s">
        <v>5598</v>
      </c>
      <c r="BX252" s="0" t="s">
        <v>5598</v>
      </c>
      <c r="BY252" s="0" t="s">
        <v>5598</v>
      </c>
      <c r="BZ252" s="0" t="s">
        <v>5598</v>
      </c>
      <c r="CA252" s="0" t="s">
        <v>5598</v>
      </c>
      <c r="CB252" s="0" t="s">
        <v>240</v>
      </c>
      <c r="CC252" s="0" t="s">
        <v>240</v>
      </c>
      <c r="CD252" s="0" t="s">
        <v>240</v>
      </c>
      <c r="CE252" s="0" t="s">
        <v>240</v>
      </c>
      <c r="CF252" s="0" t="s">
        <v>240</v>
      </c>
      <c r="CG252" s="0" t="s">
        <v>5598</v>
      </c>
      <c r="CH252" s="0" t="s">
        <v>240</v>
      </c>
      <c r="CI252" s="0" t="s">
        <v>240</v>
      </c>
      <c r="CJ252" s="0" t="s">
        <v>240</v>
      </c>
      <c r="CK252" s="0" t="s">
        <v>240</v>
      </c>
      <c r="CL252" s="0" t="s">
        <v>240</v>
      </c>
      <c r="CM252" s="0" t="s">
        <v>6657</v>
      </c>
      <c r="CN252" s="0" t="s">
        <v>6657</v>
      </c>
      <c r="CO252" s="0" t="s">
        <v>240</v>
      </c>
      <c r="CP252" s="0" t="s">
        <v>240</v>
      </c>
      <c r="CQ252" s="0" t="s">
        <v>240</v>
      </c>
      <c r="CR252" s="0" t="s">
        <v>240</v>
      </c>
      <c r="CS252" s="0" t="s">
        <v>5666</v>
      </c>
      <c r="CT252" s="0" t="s">
        <v>5496</v>
      </c>
      <c r="CU252" s="0" t="s">
        <v>5497</v>
      </c>
      <c r="CV252" s="0" t="s">
        <v>443</v>
      </c>
      <c r="CW252" s="0" t="s">
        <v>5547</v>
      </c>
      <c r="CX252" s="0" t="s">
        <v>229</v>
      </c>
      <c r="CY252" s="0" t="s">
        <v>443</v>
      </c>
      <c r="CZ252" s="0" t="s">
        <v>5548</v>
      </c>
      <c r="DA252" s="0" t="s">
        <v>5549</v>
      </c>
      <c r="DB252" s="0" t="s">
        <v>5547</v>
      </c>
      <c r="DC252" s="0" t="s">
        <v>384</v>
      </c>
      <c r="DD252" s="0" t="s">
        <v>291</v>
      </c>
      <c r="DE252" s="0" t="s">
        <v>6658</v>
      </c>
    </row>
    <row customHeight="1" ht="11.25">
      <c r="A253" s="1441" t="s">
        <v>240</v>
      </c>
      <c r="B253" s="0" t="s">
        <v>240</v>
      </c>
      <c r="C253" s="0" t="s">
        <v>240</v>
      </c>
      <c r="D253" s="0" t="s">
        <v>240</v>
      </c>
      <c r="E253" s="0" t="s">
        <v>240</v>
      </c>
      <c r="F253" s="0" t="s">
        <v>240</v>
      </c>
      <c r="G253" s="0" t="s">
        <v>240</v>
      </c>
      <c r="H253" s="0" t="s">
        <v>240</v>
      </c>
      <c r="I253" s="0" t="s">
        <v>5484</v>
      </c>
      <c r="J253" s="0" t="s">
        <v>240</v>
      </c>
      <c r="K253" s="0" t="s">
        <v>240</v>
      </c>
      <c r="L253" s="0" t="s">
        <v>240</v>
      </c>
      <c r="M253" s="0" t="s">
        <v>240</v>
      </c>
      <c r="N253" s="0" t="s">
        <v>240</v>
      </c>
      <c r="O253" s="0" t="s">
        <v>240</v>
      </c>
      <c r="P253" s="0" t="s">
        <v>240</v>
      </c>
      <c r="Q253" s="0" t="s">
        <v>240</v>
      </c>
      <c r="R253" s="0" t="s">
        <v>6659</v>
      </c>
      <c r="S253" s="0" t="s">
        <v>240</v>
      </c>
      <c r="T253" s="0" t="s">
        <v>240</v>
      </c>
      <c r="U253" s="0" t="s">
        <v>102</v>
      </c>
      <c r="V253" s="0" t="s">
        <v>240</v>
      </c>
      <c r="W253" s="0" t="s">
        <v>240</v>
      </c>
      <c r="X253" s="0" t="s">
        <v>5585</v>
      </c>
      <c r="Y253" s="0" t="s">
        <v>240</v>
      </c>
      <c r="Z253" s="0" t="s">
        <v>152</v>
      </c>
      <c r="AA253" s="0" t="s">
        <v>152</v>
      </c>
      <c r="AB253" s="0" t="s">
        <v>161</v>
      </c>
      <c r="AC253" s="0" t="s">
        <v>2991</v>
      </c>
      <c r="AD253" s="0" t="s">
        <v>2991</v>
      </c>
      <c r="AE253" s="0" t="s">
        <v>2992</v>
      </c>
      <c r="AF253" s="0" t="s">
        <v>5834</v>
      </c>
      <c r="AG253" s="0" t="s">
        <v>5835</v>
      </c>
      <c r="AH253" s="0" t="s">
        <v>5575</v>
      </c>
      <c r="AI253" s="0" t="s">
        <v>5575</v>
      </c>
      <c r="AJ253" s="0" t="s">
        <v>240</v>
      </c>
      <c r="AK253" s="0" t="s">
        <v>240</v>
      </c>
      <c r="AL253" s="0" t="s">
        <v>240</v>
      </c>
      <c r="AM253" s="0" t="s">
        <v>240</v>
      </c>
      <c r="AN253" s="0" t="s">
        <v>240</v>
      </c>
      <c r="AO253" s="0" t="s">
        <v>240</v>
      </c>
      <c r="AP253" s="0" t="s">
        <v>240</v>
      </c>
      <c r="AQ253" s="0" t="s">
        <v>240</v>
      </c>
      <c r="AR253" s="0" t="s">
        <v>240</v>
      </c>
      <c r="AS253" s="0" t="s">
        <v>240</v>
      </c>
      <c r="AT253" s="0" t="s">
        <v>240</v>
      </c>
      <c r="AU253" s="0" t="s">
        <v>240</v>
      </c>
      <c r="AV253" s="0" t="s">
        <v>240</v>
      </c>
      <c r="AW253" s="0" t="s">
        <v>240</v>
      </c>
      <c r="AX253" s="0" t="s">
        <v>240</v>
      </c>
      <c r="AY253" s="0" t="s">
        <v>240</v>
      </c>
      <c r="AZ253" s="0" t="s">
        <v>240</v>
      </c>
      <c r="BA253" s="0" t="s">
        <v>240</v>
      </c>
      <c r="BB253" s="0" t="s">
        <v>240</v>
      </c>
      <c r="BC253" s="0" t="s">
        <v>240</v>
      </c>
      <c r="BD253" s="0" t="s">
        <v>240</v>
      </c>
      <c r="BE253" s="0" t="s">
        <v>5504</v>
      </c>
      <c r="BF253" s="0" t="s">
        <v>5672</v>
      </c>
      <c r="BG253" s="0" t="s">
        <v>112</v>
      </c>
      <c r="BH253" s="0" t="s">
        <v>5589</v>
      </c>
      <c r="BI253" s="0" t="s">
        <v>123</v>
      </c>
      <c r="BJ253" s="0" t="s">
        <v>240</v>
      </c>
      <c r="BK253" s="0" t="s">
        <v>5608</v>
      </c>
      <c r="BL253" s="0" t="s">
        <v>2991</v>
      </c>
      <c r="BM253" s="0" t="s">
        <v>2991</v>
      </c>
      <c r="BN253" s="0" t="s">
        <v>5663</v>
      </c>
      <c r="BO253" s="0" t="s">
        <v>5834</v>
      </c>
      <c r="BP253" s="0" t="s">
        <v>6660</v>
      </c>
      <c r="BQ253" s="0" t="s">
        <v>5575</v>
      </c>
      <c r="BR253" s="0" t="s">
        <v>5575</v>
      </c>
      <c r="BS253" s="0" t="s">
        <v>240</v>
      </c>
      <c r="BT253" s="0" t="s">
        <v>5650</v>
      </c>
      <c r="BU253" s="0" t="s">
        <v>6661</v>
      </c>
      <c r="BV253" s="0" t="s">
        <v>6661</v>
      </c>
      <c r="BW253" s="0" t="s">
        <v>5598</v>
      </c>
      <c r="BX253" s="0" t="s">
        <v>5598</v>
      </c>
      <c r="BY253" s="0" t="s">
        <v>5598</v>
      </c>
      <c r="BZ253" s="0" t="s">
        <v>5598</v>
      </c>
      <c r="CA253" s="0" t="s">
        <v>5598</v>
      </c>
      <c r="CB253" s="0" t="s">
        <v>240</v>
      </c>
      <c r="CC253" s="0" t="s">
        <v>240</v>
      </c>
      <c r="CD253" s="0" t="s">
        <v>240</v>
      </c>
      <c r="CE253" s="0" t="s">
        <v>240</v>
      </c>
      <c r="CF253" s="0" t="s">
        <v>240</v>
      </c>
      <c r="CG253" s="0" t="s">
        <v>5598</v>
      </c>
      <c r="CH253" s="0" t="s">
        <v>240</v>
      </c>
      <c r="CI253" s="0" t="s">
        <v>240</v>
      </c>
      <c r="CJ253" s="0" t="s">
        <v>240</v>
      </c>
      <c r="CK253" s="0" t="s">
        <v>240</v>
      </c>
      <c r="CL253" s="0" t="s">
        <v>240</v>
      </c>
      <c r="CM253" s="0" t="s">
        <v>6661</v>
      </c>
      <c r="CN253" s="0" t="s">
        <v>6661</v>
      </c>
      <c r="CO253" s="0" t="s">
        <v>240</v>
      </c>
      <c r="CP253" s="0" t="s">
        <v>240</v>
      </c>
      <c r="CQ253" s="0" t="s">
        <v>240</v>
      </c>
      <c r="CR253" s="0" t="s">
        <v>240</v>
      </c>
      <c r="CS253" s="0" t="s">
        <v>5666</v>
      </c>
      <c r="CT253" s="0" t="s">
        <v>5496</v>
      </c>
      <c r="CU253" s="0" t="s">
        <v>5497</v>
      </c>
      <c r="CV253" s="0" t="s">
        <v>443</v>
      </c>
      <c r="CW253" s="0" t="s">
        <v>5547</v>
      </c>
      <c r="CX253" s="0" t="s">
        <v>229</v>
      </c>
      <c r="CY253" s="0" t="s">
        <v>443</v>
      </c>
      <c r="CZ253" s="0" t="s">
        <v>5548</v>
      </c>
      <c r="DA253" s="0" t="s">
        <v>5549</v>
      </c>
      <c r="DB253" s="0" t="s">
        <v>5547</v>
      </c>
      <c r="DC253" s="0" t="s">
        <v>384</v>
      </c>
      <c r="DD253" s="0" t="s">
        <v>291</v>
      </c>
      <c r="DE253" s="0" t="s">
        <v>6662</v>
      </c>
    </row>
    <row customHeight="1" ht="11.25">
      <c r="A254" s="1441" t="s">
        <v>240</v>
      </c>
      <c r="B254" s="0" t="s">
        <v>240</v>
      </c>
      <c r="C254" s="0" t="s">
        <v>240</v>
      </c>
      <c r="D254" s="0" t="s">
        <v>240</v>
      </c>
      <c r="E254" s="0" t="s">
        <v>240</v>
      </c>
      <c r="F254" s="0" t="s">
        <v>240</v>
      </c>
      <c r="G254" s="0" t="s">
        <v>240</v>
      </c>
      <c r="H254" s="0" t="s">
        <v>240</v>
      </c>
      <c r="I254" s="0" t="s">
        <v>5484</v>
      </c>
      <c r="J254" s="0" t="s">
        <v>240</v>
      </c>
      <c r="K254" s="0" t="s">
        <v>240</v>
      </c>
      <c r="L254" s="0" t="s">
        <v>240</v>
      </c>
      <c r="M254" s="0" t="s">
        <v>240</v>
      </c>
      <c r="N254" s="0" t="s">
        <v>240</v>
      </c>
      <c r="O254" s="0" t="s">
        <v>240</v>
      </c>
      <c r="P254" s="0" t="s">
        <v>240</v>
      </c>
      <c r="Q254" s="0" t="s">
        <v>240</v>
      </c>
      <c r="R254" s="0" t="s">
        <v>6663</v>
      </c>
      <c r="S254" s="0" t="s">
        <v>240</v>
      </c>
      <c r="T254" s="0" t="s">
        <v>240</v>
      </c>
      <c r="U254" s="0" t="s">
        <v>102</v>
      </c>
      <c r="V254" s="0" t="s">
        <v>240</v>
      </c>
      <c r="W254" s="0" t="s">
        <v>240</v>
      </c>
      <c r="X254" s="0" t="s">
        <v>5585</v>
      </c>
      <c r="Y254" s="0" t="s">
        <v>240</v>
      </c>
      <c r="Z254" s="0" t="s">
        <v>152</v>
      </c>
      <c r="AA254" s="0" t="s">
        <v>152</v>
      </c>
      <c r="AB254" s="0" t="s">
        <v>161</v>
      </c>
      <c r="AC254" s="0" t="s">
        <v>2989</v>
      </c>
      <c r="AD254" s="0" t="s">
        <v>2989</v>
      </c>
      <c r="AE254" s="0" t="s">
        <v>2990</v>
      </c>
      <c r="AF254" s="0" t="s">
        <v>6637</v>
      </c>
      <c r="AG254" s="0" t="s">
        <v>6638</v>
      </c>
      <c r="AH254" s="0" t="s">
        <v>5575</v>
      </c>
      <c r="AI254" s="0" t="s">
        <v>5575</v>
      </c>
      <c r="AJ254" s="0" t="s">
        <v>240</v>
      </c>
      <c r="AK254" s="0" t="s">
        <v>240</v>
      </c>
      <c r="AL254" s="0" t="s">
        <v>240</v>
      </c>
      <c r="AM254" s="0" t="s">
        <v>240</v>
      </c>
      <c r="AN254" s="0" t="s">
        <v>240</v>
      </c>
      <c r="AO254" s="0" t="s">
        <v>240</v>
      </c>
      <c r="AP254" s="0" t="s">
        <v>240</v>
      </c>
      <c r="AQ254" s="0" t="s">
        <v>240</v>
      </c>
      <c r="AR254" s="0" t="s">
        <v>240</v>
      </c>
      <c r="AS254" s="0" t="s">
        <v>240</v>
      </c>
      <c r="AT254" s="0" t="s">
        <v>240</v>
      </c>
      <c r="AU254" s="0" t="s">
        <v>240</v>
      </c>
      <c r="AV254" s="0" t="s">
        <v>240</v>
      </c>
      <c r="AW254" s="0" t="s">
        <v>240</v>
      </c>
      <c r="AX254" s="0" t="s">
        <v>240</v>
      </c>
      <c r="AY254" s="0" t="s">
        <v>240</v>
      </c>
      <c r="AZ254" s="0" t="s">
        <v>240</v>
      </c>
      <c r="BA254" s="0" t="s">
        <v>240</v>
      </c>
      <c r="BB254" s="0" t="s">
        <v>240</v>
      </c>
      <c r="BC254" s="0" t="s">
        <v>240</v>
      </c>
      <c r="BD254" s="0" t="s">
        <v>240</v>
      </c>
      <c r="BE254" s="0" t="s">
        <v>5576</v>
      </c>
      <c r="BF254" s="0" t="s">
        <v>6641</v>
      </c>
      <c r="BG254" s="0" t="s">
        <v>112</v>
      </c>
      <c r="BH254" s="0" t="s">
        <v>5589</v>
      </c>
      <c r="BI254" s="0" t="s">
        <v>123</v>
      </c>
      <c r="BJ254" s="0" t="s">
        <v>240</v>
      </c>
      <c r="BK254" s="0" t="s">
        <v>5608</v>
      </c>
      <c r="BL254" s="0" t="s">
        <v>2989</v>
      </c>
      <c r="BM254" s="0" t="s">
        <v>2989</v>
      </c>
      <c r="BN254" s="0" t="s">
        <v>5798</v>
      </c>
      <c r="BO254" s="0" t="s">
        <v>6637</v>
      </c>
      <c r="BP254" s="0" t="s">
        <v>6664</v>
      </c>
      <c r="BQ254" s="0" t="s">
        <v>5575</v>
      </c>
      <c r="BR254" s="0" t="s">
        <v>5575</v>
      </c>
      <c r="BS254" s="0" t="s">
        <v>240</v>
      </c>
      <c r="BT254" s="0" t="s">
        <v>5650</v>
      </c>
      <c r="BU254" s="0" t="s">
        <v>6665</v>
      </c>
      <c r="BV254" s="0" t="s">
        <v>6665</v>
      </c>
      <c r="BW254" s="0" t="s">
        <v>5598</v>
      </c>
      <c r="BX254" s="0" t="s">
        <v>5598</v>
      </c>
      <c r="BY254" s="0" t="s">
        <v>5598</v>
      </c>
      <c r="BZ254" s="0" t="s">
        <v>5598</v>
      </c>
      <c r="CA254" s="0" t="s">
        <v>5598</v>
      </c>
      <c r="CB254" s="0" t="s">
        <v>240</v>
      </c>
      <c r="CC254" s="0" t="s">
        <v>240</v>
      </c>
      <c r="CD254" s="0" t="s">
        <v>240</v>
      </c>
      <c r="CE254" s="0" t="s">
        <v>240</v>
      </c>
      <c r="CF254" s="0" t="s">
        <v>240</v>
      </c>
      <c r="CG254" s="0" t="s">
        <v>5598</v>
      </c>
      <c r="CH254" s="0" t="s">
        <v>240</v>
      </c>
      <c r="CI254" s="0" t="s">
        <v>240</v>
      </c>
      <c r="CJ254" s="0" t="s">
        <v>240</v>
      </c>
      <c r="CK254" s="0" t="s">
        <v>240</v>
      </c>
      <c r="CL254" s="0" t="s">
        <v>240</v>
      </c>
      <c r="CM254" s="0" t="s">
        <v>6665</v>
      </c>
      <c r="CN254" s="0" t="s">
        <v>6665</v>
      </c>
      <c r="CO254" s="0" t="s">
        <v>240</v>
      </c>
      <c r="CP254" s="0" t="s">
        <v>240</v>
      </c>
      <c r="CQ254" s="0" t="s">
        <v>240</v>
      </c>
      <c r="CR254" s="0" t="s">
        <v>240</v>
      </c>
      <c r="CS254" s="0" t="s">
        <v>5553</v>
      </c>
      <c r="CT254" s="0" t="s">
        <v>5496</v>
      </c>
      <c r="CU254" s="0" t="s">
        <v>5497</v>
      </c>
      <c r="CV254" s="0" t="s">
        <v>443</v>
      </c>
      <c r="CW254" s="0" t="s">
        <v>5580</v>
      </c>
      <c r="CX254" s="0" t="s">
        <v>229</v>
      </c>
      <c r="CY254" s="0" t="s">
        <v>443</v>
      </c>
      <c r="CZ254" s="0" t="s">
        <v>5581</v>
      </c>
      <c r="DA254" s="0" t="s">
        <v>5582</v>
      </c>
      <c r="DB254" s="0" t="s">
        <v>5580</v>
      </c>
      <c r="DC254" s="0" t="s">
        <v>384</v>
      </c>
      <c r="DD254" s="0" t="s">
        <v>291</v>
      </c>
      <c r="DE254" s="0" t="s">
        <v>6666</v>
      </c>
    </row>
    <row customHeight="1" ht="11.25">
      <c r="A255" s="1441" t="s">
        <v>240</v>
      </c>
      <c r="B255" s="0" t="s">
        <v>240</v>
      </c>
      <c r="C255" s="0" t="s">
        <v>240</v>
      </c>
      <c r="D255" s="0" t="s">
        <v>240</v>
      </c>
      <c r="E255" s="0" t="s">
        <v>240</v>
      </c>
      <c r="F255" s="0" t="s">
        <v>240</v>
      </c>
      <c r="G255" s="0" t="s">
        <v>240</v>
      </c>
      <c r="H255" s="0" t="s">
        <v>240</v>
      </c>
      <c r="I255" s="0" t="s">
        <v>5484</v>
      </c>
      <c r="J255" s="0" t="s">
        <v>240</v>
      </c>
      <c r="K255" s="0" t="s">
        <v>240</v>
      </c>
      <c r="L255" s="0" t="s">
        <v>240</v>
      </c>
      <c r="M255" s="0" t="s">
        <v>240</v>
      </c>
      <c r="N255" s="0" t="s">
        <v>240</v>
      </c>
      <c r="O255" s="0" t="s">
        <v>240</v>
      </c>
      <c r="P255" s="0" t="s">
        <v>240</v>
      </c>
      <c r="Q255" s="0" t="s">
        <v>240</v>
      </c>
      <c r="R255" s="0" t="s">
        <v>5572</v>
      </c>
      <c r="S255" s="0" t="s">
        <v>240</v>
      </c>
      <c r="T255" s="0" t="s">
        <v>240</v>
      </c>
      <c r="U255" s="0" t="s">
        <v>102</v>
      </c>
      <c r="V255" s="0" t="s">
        <v>240</v>
      </c>
      <c r="W255" s="0" t="s">
        <v>240</v>
      </c>
      <c r="X255" s="0" t="s">
        <v>5485</v>
      </c>
      <c r="Y255" s="0" t="s">
        <v>240</v>
      </c>
      <c r="Z255" s="0" t="s">
        <v>161</v>
      </c>
      <c r="AA255" s="0" t="s">
        <v>152</v>
      </c>
      <c r="AB255" s="0" t="s">
        <v>152</v>
      </c>
      <c r="AC255" s="0" t="s">
        <v>2989</v>
      </c>
      <c r="AD255" s="0" t="s">
        <v>2989</v>
      </c>
      <c r="AE255" s="0" t="s">
        <v>2990</v>
      </c>
      <c r="AF255" s="0" t="s">
        <v>6667</v>
      </c>
      <c r="AG255" s="0" t="s">
        <v>6668</v>
      </c>
      <c r="AH255" s="0" t="s">
        <v>6669</v>
      </c>
      <c r="AI255" s="0" t="s">
        <v>5575</v>
      </c>
      <c r="AJ255" s="0" t="s">
        <v>5576</v>
      </c>
      <c r="AK255" s="0" t="s">
        <v>6670</v>
      </c>
      <c r="AL255" s="0" t="s">
        <v>5506</v>
      </c>
      <c r="AM255" s="0" t="s">
        <v>5493</v>
      </c>
      <c r="AN255" s="0" t="s">
        <v>5578</v>
      </c>
      <c r="AO255" s="0" t="s">
        <v>5855</v>
      </c>
      <c r="AP255" s="0" t="s">
        <v>240</v>
      </c>
      <c r="AQ255" s="0" t="s">
        <v>240</v>
      </c>
      <c r="AR255" s="0" t="s">
        <v>240</v>
      </c>
      <c r="AS255" s="0" t="s">
        <v>240</v>
      </c>
      <c r="AT255" s="0" t="s">
        <v>240</v>
      </c>
      <c r="AU255" s="0" t="s">
        <v>240</v>
      </c>
      <c r="AV255" s="0" t="s">
        <v>240</v>
      </c>
      <c r="AW255" s="0" t="s">
        <v>240</v>
      </c>
      <c r="AX255" s="0" t="s">
        <v>240</v>
      </c>
      <c r="AY255" s="0" t="s">
        <v>240</v>
      </c>
      <c r="AZ255" s="0" t="s">
        <v>240</v>
      </c>
      <c r="BA255" s="0" t="s">
        <v>240</v>
      </c>
      <c r="BB255" s="0" t="s">
        <v>240</v>
      </c>
      <c r="BC255" s="0" t="s">
        <v>240</v>
      </c>
      <c r="BD255" s="0" t="s">
        <v>240</v>
      </c>
      <c r="BE255" s="0" t="s">
        <v>240</v>
      </c>
      <c r="BF255" s="0" t="s">
        <v>240</v>
      </c>
      <c r="BG255" s="0" t="s">
        <v>240</v>
      </c>
      <c r="BH255" s="0" t="s">
        <v>240</v>
      </c>
      <c r="BI255" s="0" t="s">
        <v>240</v>
      </c>
      <c r="BJ255" s="0" t="s">
        <v>240</v>
      </c>
      <c r="BK255" s="0" t="s">
        <v>240</v>
      </c>
      <c r="BL255" s="0" t="s">
        <v>240</v>
      </c>
      <c r="BM255" s="0" t="s">
        <v>240</v>
      </c>
      <c r="BN255" s="0" t="s">
        <v>240</v>
      </c>
      <c r="BO255" s="0" t="s">
        <v>240</v>
      </c>
      <c r="BP255" s="0" t="s">
        <v>240</v>
      </c>
      <c r="BQ255" s="0" t="s">
        <v>240</v>
      </c>
      <c r="BR255" s="0" t="s">
        <v>240</v>
      </c>
      <c r="BS255" s="0" t="s">
        <v>240</v>
      </c>
      <c r="BT255" s="0" t="s">
        <v>240</v>
      </c>
      <c r="BU255" s="0" t="s">
        <v>240</v>
      </c>
      <c r="BV255" s="0" t="s">
        <v>240</v>
      </c>
      <c r="BW255" s="0" t="s">
        <v>240</v>
      </c>
      <c r="BX255" s="0" t="s">
        <v>240</v>
      </c>
      <c r="BY255" s="0" t="s">
        <v>240</v>
      </c>
      <c r="BZ255" s="0" t="s">
        <v>240</v>
      </c>
      <c r="CA255" s="0" t="s">
        <v>240</v>
      </c>
      <c r="CB255" s="0" t="s">
        <v>240</v>
      </c>
      <c r="CC255" s="0" t="s">
        <v>240</v>
      </c>
      <c r="CD255" s="0" t="s">
        <v>240</v>
      </c>
      <c r="CE255" s="0" t="s">
        <v>240</v>
      </c>
      <c r="CF255" s="0" t="s">
        <v>240</v>
      </c>
      <c r="CG255" s="0" t="s">
        <v>240</v>
      </c>
      <c r="CH255" s="0" t="s">
        <v>240</v>
      </c>
      <c r="CI255" s="0" t="s">
        <v>240</v>
      </c>
      <c r="CJ255" s="0" t="s">
        <v>240</v>
      </c>
      <c r="CK255" s="0" t="s">
        <v>240</v>
      </c>
      <c r="CL255" s="0" t="s">
        <v>240</v>
      </c>
      <c r="CM255" s="0" t="s">
        <v>240</v>
      </c>
      <c r="CN255" s="0" t="s">
        <v>240</v>
      </c>
      <c r="CO255" s="0" t="s">
        <v>240</v>
      </c>
      <c r="CP255" s="0" t="s">
        <v>240</v>
      </c>
      <c r="CQ255" s="0" t="s">
        <v>240</v>
      </c>
      <c r="CR255" s="0" t="s">
        <v>240</v>
      </c>
      <c r="CS255" s="0" t="s">
        <v>240</v>
      </c>
      <c r="CT255" s="0" t="s">
        <v>5496</v>
      </c>
      <c r="CU255" s="0" t="s">
        <v>5497</v>
      </c>
      <c r="CV255" s="0" t="s">
        <v>443</v>
      </c>
      <c r="CW255" s="0" t="s">
        <v>5580</v>
      </c>
      <c r="CX255" s="0" t="s">
        <v>229</v>
      </c>
      <c r="CY255" s="0" t="s">
        <v>443</v>
      </c>
      <c r="CZ255" s="0" t="s">
        <v>5581</v>
      </c>
      <c r="DA255" s="0" t="s">
        <v>5582</v>
      </c>
      <c r="DB255" s="0" t="s">
        <v>5580</v>
      </c>
      <c r="DC255" s="0" t="s">
        <v>384</v>
      </c>
      <c r="DD255" s="0" t="s">
        <v>291</v>
      </c>
      <c r="DE255" s="0" t="s">
        <v>6671</v>
      </c>
    </row>
    <row customHeight="1" ht="11.25">
      <c r="A256" s="1441" t="s">
        <v>240</v>
      </c>
      <c r="B256" s="0" t="s">
        <v>240</v>
      </c>
      <c r="C256" s="0" t="s">
        <v>240</v>
      </c>
      <c r="D256" s="0" t="s">
        <v>240</v>
      </c>
      <c r="E256" s="0" t="s">
        <v>240</v>
      </c>
      <c r="F256" s="0" t="s">
        <v>240</v>
      </c>
      <c r="G256" s="0" t="s">
        <v>240</v>
      </c>
      <c r="H256" s="0" t="s">
        <v>240</v>
      </c>
      <c r="I256" s="0" t="s">
        <v>5484</v>
      </c>
      <c r="J256" s="0" t="s">
        <v>240</v>
      </c>
      <c r="K256" s="0" t="s">
        <v>240</v>
      </c>
      <c r="L256" s="0" t="s">
        <v>240</v>
      </c>
      <c r="M256" s="0" t="s">
        <v>240</v>
      </c>
      <c r="N256" s="0" t="s">
        <v>240</v>
      </c>
      <c r="O256" s="0" t="s">
        <v>240</v>
      </c>
      <c r="P256" s="0" t="s">
        <v>240</v>
      </c>
      <c r="Q256" s="0" t="s">
        <v>240</v>
      </c>
      <c r="R256" s="0" t="s">
        <v>6672</v>
      </c>
      <c r="S256" s="0" t="s">
        <v>240</v>
      </c>
      <c r="T256" s="0" t="s">
        <v>240</v>
      </c>
      <c r="U256" s="0" t="s">
        <v>102</v>
      </c>
      <c r="V256" s="0" t="s">
        <v>240</v>
      </c>
      <c r="W256" s="0" t="s">
        <v>240</v>
      </c>
      <c r="X256" s="0" t="s">
        <v>5485</v>
      </c>
      <c r="Y256" s="0" t="s">
        <v>240</v>
      </c>
      <c r="Z256" s="0" t="s">
        <v>161</v>
      </c>
      <c r="AA256" s="0" t="s">
        <v>152</v>
      </c>
      <c r="AB256" s="0" t="s">
        <v>152</v>
      </c>
      <c r="AC256" s="0" t="s">
        <v>3395</v>
      </c>
      <c r="AD256" s="0" t="s">
        <v>3395</v>
      </c>
      <c r="AE256" s="0" t="s">
        <v>3396</v>
      </c>
      <c r="AF256" s="0" t="s">
        <v>5941</v>
      </c>
      <c r="AG256" s="0" t="s">
        <v>5942</v>
      </c>
      <c r="AH256" s="0" t="s">
        <v>6673</v>
      </c>
      <c r="AI256" s="0" t="s">
        <v>152</v>
      </c>
      <c r="AJ256" s="0" t="s">
        <v>5821</v>
      </c>
      <c r="AK256" s="0" t="s">
        <v>6100</v>
      </c>
      <c r="AL256" s="0" t="s">
        <v>5506</v>
      </c>
      <c r="AM256" s="0" t="s">
        <v>5493</v>
      </c>
      <c r="AN256" s="0" t="s">
        <v>5553</v>
      </c>
      <c r="AO256" s="0" t="s">
        <v>6674</v>
      </c>
      <c r="AP256" s="0" t="s">
        <v>240</v>
      </c>
      <c r="AQ256" s="0" t="s">
        <v>240</v>
      </c>
      <c r="AR256" s="0" t="s">
        <v>240</v>
      </c>
      <c r="AS256" s="0" t="s">
        <v>240</v>
      </c>
      <c r="AT256" s="0" t="s">
        <v>240</v>
      </c>
      <c r="AU256" s="0" t="s">
        <v>240</v>
      </c>
      <c r="AV256" s="0" t="s">
        <v>240</v>
      </c>
      <c r="AW256" s="0" t="s">
        <v>240</v>
      </c>
      <c r="AX256" s="0" t="s">
        <v>240</v>
      </c>
      <c r="AY256" s="0" t="s">
        <v>240</v>
      </c>
      <c r="AZ256" s="0" t="s">
        <v>240</v>
      </c>
      <c r="BA256" s="0" t="s">
        <v>240</v>
      </c>
      <c r="BB256" s="0" t="s">
        <v>240</v>
      </c>
      <c r="BC256" s="0" t="s">
        <v>240</v>
      </c>
      <c r="BD256" s="0" t="s">
        <v>240</v>
      </c>
      <c r="BE256" s="0" t="s">
        <v>240</v>
      </c>
      <c r="BF256" s="0" t="s">
        <v>240</v>
      </c>
      <c r="BG256" s="0" t="s">
        <v>240</v>
      </c>
      <c r="BH256" s="0" t="s">
        <v>240</v>
      </c>
      <c r="BI256" s="0" t="s">
        <v>240</v>
      </c>
      <c r="BJ256" s="0" t="s">
        <v>240</v>
      </c>
      <c r="BK256" s="0" t="s">
        <v>240</v>
      </c>
      <c r="BL256" s="0" t="s">
        <v>240</v>
      </c>
      <c r="BM256" s="0" t="s">
        <v>240</v>
      </c>
      <c r="BN256" s="0" t="s">
        <v>240</v>
      </c>
      <c r="BO256" s="0" t="s">
        <v>240</v>
      </c>
      <c r="BP256" s="0" t="s">
        <v>240</v>
      </c>
      <c r="BQ256" s="0" t="s">
        <v>240</v>
      </c>
      <c r="BR256" s="0" t="s">
        <v>240</v>
      </c>
      <c r="BS256" s="0" t="s">
        <v>240</v>
      </c>
      <c r="BT256" s="0" t="s">
        <v>240</v>
      </c>
      <c r="BU256" s="0" t="s">
        <v>240</v>
      </c>
      <c r="BV256" s="0" t="s">
        <v>240</v>
      </c>
      <c r="BW256" s="0" t="s">
        <v>240</v>
      </c>
      <c r="BX256" s="0" t="s">
        <v>240</v>
      </c>
      <c r="BY256" s="0" t="s">
        <v>240</v>
      </c>
      <c r="BZ256" s="0" t="s">
        <v>240</v>
      </c>
      <c r="CA256" s="0" t="s">
        <v>240</v>
      </c>
      <c r="CB256" s="0" t="s">
        <v>240</v>
      </c>
      <c r="CC256" s="0" t="s">
        <v>240</v>
      </c>
      <c r="CD256" s="0" t="s">
        <v>240</v>
      </c>
      <c r="CE256" s="0" t="s">
        <v>240</v>
      </c>
      <c r="CF256" s="0" t="s">
        <v>240</v>
      </c>
      <c r="CG256" s="0" t="s">
        <v>240</v>
      </c>
      <c r="CH256" s="0" t="s">
        <v>240</v>
      </c>
      <c r="CI256" s="0" t="s">
        <v>240</v>
      </c>
      <c r="CJ256" s="0" t="s">
        <v>240</v>
      </c>
      <c r="CK256" s="0" t="s">
        <v>240</v>
      </c>
      <c r="CL256" s="0" t="s">
        <v>240</v>
      </c>
      <c r="CM256" s="0" t="s">
        <v>240</v>
      </c>
      <c r="CN256" s="0" t="s">
        <v>240</v>
      </c>
      <c r="CO256" s="0" t="s">
        <v>240</v>
      </c>
      <c r="CP256" s="0" t="s">
        <v>240</v>
      </c>
      <c r="CQ256" s="0" t="s">
        <v>240</v>
      </c>
      <c r="CR256" s="0" t="s">
        <v>240</v>
      </c>
      <c r="CS256" s="0" t="s">
        <v>240</v>
      </c>
      <c r="CT256" s="0" t="s">
        <v>5496</v>
      </c>
      <c r="CU256" s="0" t="s">
        <v>5497</v>
      </c>
      <c r="CV256" s="0" t="s">
        <v>5947</v>
      </c>
      <c r="CW256" s="0" t="s">
        <v>5948</v>
      </c>
      <c r="CX256" s="0" t="s">
        <v>5528</v>
      </c>
      <c r="CY256" s="0" t="s">
        <v>5947</v>
      </c>
      <c r="CZ256" s="0" t="s">
        <v>5533</v>
      </c>
      <c r="DA256" s="0" t="s">
        <v>5949</v>
      </c>
      <c r="DB256" s="0" t="s">
        <v>5600</v>
      </c>
      <c r="DC256" s="0" t="s">
        <v>384</v>
      </c>
      <c r="DD256" s="0" t="s">
        <v>291</v>
      </c>
      <c r="DE256" s="0" t="s">
        <v>6675</v>
      </c>
    </row>
    <row customHeight="1" ht="11.25">
      <c r="A257" s="1441" t="s">
        <v>240</v>
      </c>
      <c r="B257" s="0" t="s">
        <v>240</v>
      </c>
      <c r="C257" s="0" t="s">
        <v>240</v>
      </c>
      <c r="D257" s="0" t="s">
        <v>240</v>
      </c>
      <c r="E257" s="0" t="s">
        <v>240</v>
      </c>
      <c r="F257" s="0" t="s">
        <v>240</v>
      </c>
      <c r="G257" s="0" t="s">
        <v>240</v>
      </c>
      <c r="H257" s="0" t="s">
        <v>240</v>
      </c>
      <c r="I257" s="0" t="s">
        <v>5484</v>
      </c>
      <c r="J257" s="0" t="s">
        <v>240</v>
      </c>
      <c r="K257" s="0" t="s">
        <v>240</v>
      </c>
      <c r="L257" s="0" t="s">
        <v>240</v>
      </c>
      <c r="M257" s="0" t="s">
        <v>240</v>
      </c>
      <c r="N257" s="0" t="s">
        <v>240</v>
      </c>
      <c r="O257" s="0" t="s">
        <v>240</v>
      </c>
      <c r="P257" s="0" t="s">
        <v>240</v>
      </c>
      <c r="Q257" s="0" t="s">
        <v>240</v>
      </c>
      <c r="R257" s="0" t="s">
        <v>6676</v>
      </c>
      <c r="S257" s="0" t="s">
        <v>240</v>
      </c>
      <c r="T257" s="0" t="s">
        <v>240</v>
      </c>
      <c r="U257" s="0" t="s">
        <v>102</v>
      </c>
      <c r="V257" s="0" t="s">
        <v>240</v>
      </c>
      <c r="W257" s="0" t="s">
        <v>240</v>
      </c>
      <c r="X257" s="0" t="s">
        <v>5485</v>
      </c>
      <c r="Y257" s="0" t="s">
        <v>240</v>
      </c>
      <c r="Z257" s="0" t="s">
        <v>161</v>
      </c>
      <c r="AA257" s="0" t="s">
        <v>152</v>
      </c>
      <c r="AB257" s="0" t="s">
        <v>152</v>
      </c>
      <c r="AC257" s="0" t="s">
        <v>3395</v>
      </c>
      <c r="AD257" s="0" t="s">
        <v>3395</v>
      </c>
      <c r="AE257" s="0" t="s">
        <v>3396</v>
      </c>
      <c r="AF257" s="0" t="s">
        <v>5941</v>
      </c>
      <c r="AG257" s="0" t="s">
        <v>5942</v>
      </c>
      <c r="AH257" s="0" t="s">
        <v>6677</v>
      </c>
      <c r="AI257" s="0" t="s">
        <v>457</v>
      </c>
      <c r="AJ257" s="0" t="s">
        <v>6678</v>
      </c>
      <c r="AK257" s="0" t="s">
        <v>6679</v>
      </c>
      <c r="AL257" s="0" t="s">
        <v>5524</v>
      </c>
      <c r="AM257" s="0" t="s">
        <v>5493</v>
      </c>
      <c r="AN257" s="0" t="s">
        <v>5578</v>
      </c>
      <c r="AO257" s="0" t="s">
        <v>6680</v>
      </c>
      <c r="AP257" s="0" t="s">
        <v>240</v>
      </c>
      <c r="AQ257" s="0" t="s">
        <v>240</v>
      </c>
      <c r="AR257" s="0" t="s">
        <v>240</v>
      </c>
      <c r="AS257" s="0" t="s">
        <v>240</v>
      </c>
      <c r="AT257" s="0" t="s">
        <v>240</v>
      </c>
      <c r="AU257" s="0" t="s">
        <v>240</v>
      </c>
      <c r="AV257" s="0" t="s">
        <v>240</v>
      </c>
      <c r="AW257" s="0" t="s">
        <v>240</v>
      </c>
      <c r="AX257" s="0" t="s">
        <v>240</v>
      </c>
      <c r="AY257" s="0" t="s">
        <v>240</v>
      </c>
      <c r="AZ257" s="0" t="s">
        <v>240</v>
      </c>
      <c r="BA257" s="0" t="s">
        <v>240</v>
      </c>
      <c r="BB257" s="0" t="s">
        <v>240</v>
      </c>
      <c r="BC257" s="0" t="s">
        <v>240</v>
      </c>
      <c r="BD257" s="0" t="s">
        <v>240</v>
      </c>
      <c r="BE257" s="0" t="s">
        <v>240</v>
      </c>
      <c r="BF257" s="0" t="s">
        <v>240</v>
      </c>
      <c r="BG257" s="0" t="s">
        <v>240</v>
      </c>
      <c r="BH257" s="0" t="s">
        <v>240</v>
      </c>
      <c r="BI257" s="0" t="s">
        <v>240</v>
      </c>
      <c r="BJ257" s="0" t="s">
        <v>240</v>
      </c>
      <c r="BK257" s="0" t="s">
        <v>240</v>
      </c>
      <c r="BL257" s="0" t="s">
        <v>240</v>
      </c>
      <c r="BM257" s="0" t="s">
        <v>240</v>
      </c>
      <c r="BN257" s="0" t="s">
        <v>240</v>
      </c>
      <c r="BO257" s="0" t="s">
        <v>240</v>
      </c>
      <c r="BP257" s="0" t="s">
        <v>240</v>
      </c>
      <c r="BQ257" s="0" t="s">
        <v>240</v>
      </c>
      <c r="BR257" s="0" t="s">
        <v>240</v>
      </c>
      <c r="BS257" s="0" t="s">
        <v>240</v>
      </c>
      <c r="BT257" s="0" t="s">
        <v>240</v>
      </c>
      <c r="BU257" s="0" t="s">
        <v>240</v>
      </c>
      <c r="BV257" s="0" t="s">
        <v>240</v>
      </c>
      <c r="BW257" s="0" t="s">
        <v>240</v>
      </c>
      <c r="BX257" s="0" t="s">
        <v>240</v>
      </c>
      <c r="BY257" s="0" t="s">
        <v>240</v>
      </c>
      <c r="BZ257" s="0" t="s">
        <v>240</v>
      </c>
      <c r="CA257" s="0" t="s">
        <v>240</v>
      </c>
      <c r="CB257" s="0" t="s">
        <v>240</v>
      </c>
      <c r="CC257" s="0" t="s">
        <v>240</v>
      </c>
      <c r="CD257" s="0" t="s">
        <v>240</v>
      </c>
      <c r="CE257" s="0" t="s">
        <v>240</v>
      </c>
      <c r="CF257" s="0" t="s">
        <v>240</v>
      </c>
      <c r="CG257" s="0" t="s">
        <v>240</v>
      </c>
      <c r="CH257" s="0" t="s">
        <v>240</v>
      </c>
      <c r="CI257" s="0" t="s">
        <v>240</v>
      </c>
      <c r="CJ257" s="0" t="s">
        <v>240</v>
      </c>
      <c r="CK257" s="0" t="s">
        <v>240</v>
      </c>
      <c r="CL257" s="0" t="s">
        <v>240</v>
      </c>
      <c r="CM257" s="0" t="s">
        <v>240</v>
      </c>
      <c r="CN257" s="0" t="s">
        <v>240</v>
      </c>
      <c r="CO257" s="0" t="s">
        <v>240</v>
      </c>
      <c r="CP257" s="0" t="s">
        <v>240</v>
      </c>
      <c r="CQ257" s="0" t="s">
        <v>240</v>
      </c>
      <c r="CR257" s="0" t="s">
        <v>240</v>
      </c>
      <c r="CS257" s="0" t="s">
        <v>240</v>
      </c>
      <c r="CT257" s="0" t="s">
        <v>5496</v>
      </c>
      <c r="CU257" s="0" t="s">
        <v>5497</v>
      </c>
      <c r="CV257" s="0" t="s">
        <v>5947</v>
      </c>
      <c r="CW257" s="0" t="s">
        <v>5948</v>
      </c>
      <c r="CX257" s="0" t="s">
        <v>5528</v>
      </c>
      <c r="CY257" s="0" t="s">
        <v>5947</v>
      </c>
      <c r="CZ257" s="0" t="s">
        <v>5533</v>
      </c>
      <c r="DA257" s="0" t="s">
        <v>5949</v>
      </c>
      <c r="DB257" s="0" t="s">
        <v>5600</v>
      </c>
      <c r="DC257" s="0" t="s">
        <v>384</v>
      </c>
      <c r="DD257" s="0" t="s">
        <v>291</v>
      </c>
      <c r="DE257" s="0" t="s">
        <v>6681</v>
      </c>
    </row>
    <row customHeight="1" ht="11.25">
      <c r="A258" s="1441" t="s">
        <v>240</v>
      </c>
      <c r="B258" s="0" t="s">
        <v>240</v>
      </c>
      <c r="C258" s="0" t="s">
        <v>240</v>
      </c>
      <c r="D258" s="0" t="s">
        <v>240</v>
      </c>
      <c r="E258" s="0" t="s">
        <v>240</v>
      </c>
      <c r="F258" s="0" t="s">
        <v>240</v>
      </c>
      <c r="G258" s="0" t="s">
        <v>240</v>
      </c>
      <c r="H258" s="0" t="s">
        <v>240</v>
      </c>
      <c r="I258" s="0" t="s">
        <v>5484</v>
      </c>
      <c r="J258" s="0" t="s">
        <v>240</v>
      </c>
      <c r="K258" s="0" t="s">
        <v>240</v>
      </c>
      <c r="L258" s="0" t="s">
        <v>240</v>
      </c>
      <c r="M258" s="0" t="s">
        <v>240</v>
      </c>
      <c r="N258" s="0" t="s">
        <v>240</v>
      </c>
      <c r="O258" s="0" t="s">
        <v>240</v>
      </c>
      <c r="P258" s="0" t="s">
        <v>240</v>
      </c>
      <c r="Q258" s="0" t="s">
        <v>240</v>
      </c>
      <c r="R258" s="0" t="s">
        <v>5572</v>
      </c>
      <c r="S258" s="0" t="s">
        <v>240</v>
      </c>
      <c r="T258" s="0" t="s">
        <v>240</v>
      </c>
      <c r="U258" s="0" t="s">
        <v>102</v>
      </c>
      <c r="V258" s="0" t="s">
        <v>240</v>
      </c>
      <c r="W258" s="0" t="s">
        <v>240</v>
      </c>
      <c r="X258" s="0" t="s">
        <v>5485</v>
      </c>
      <c r="Y258" s="0" t="s">
        <v>240</v>
      </c>
      <c r="Z258" s="0" t="s">
        <v>161</v>
      </c>
      <c r="AA258" s="0" t="s">
        <v>152</v>
      </c>
      <c r="AB258" s="0" t="s">
        <v>152</v>
      </c>
      <c r="AC258" s="0" t="s">
        <v>2991</v>
      </c>
      <c r="AD258" s="0" t="s">
        <v>2991</v>
      </c>
      <c r="AE258" s="0" t="s">
        <v>2992</v>
      </c>
      <c r="AF258" s="0" t="s">
        <v>6394</v>
      </c>
      <c r="AG258" s="0" t="s">
        <v>6395</v>
      </c>
      <c r="AH258" s="0" t="s">
        <v>5879</v>
      </c>
      <c r="AI258" s="0" t="s">
        <v>5847</v>
      </c>
      <c r="AJ258" s="0" t="s">
        <v>5504</v>
      </c>
      <c r="AK258" s="0" t="s">
        <v>5544</v>
      </c>
      <c r="AL258" s="0" t="s">
        <v>5506</v>
      </c>
      <c r="AM258" s="0" t="s">
        <v>5493</v>
      </c>
      <c r="AN258" s="0" t="s">
        <v>5553</v>
      </c>
      <c r="AO258" s="0" t="s">
        <v>5625</v>
      </c>
      <c r="AP258" s="0" t="s">
        <v>240</v>
      </c>
      <c r="AQ258" s="0" t="s">
        <v>240</v>
      </c>
      <c r="AR258" s="0" t="s">
        <v>240</v>
      </c>
      <c r="AS258" s="0" t="s">
        <v>240</v>
      </c>
      <c r="AT258" s="0" t="s">
        <v>240</v>
      </c>
      <c r="AU258" s="0" t="s">
        <v>240</v>
      </c>
      <c r="AV258" s="0" t="s">
        <v>240</v>
      </c>
      <c r="AW258" s="0" t="s">
        <v>240</v>
      </c>
      <c r="AX258" s="0" t="s">
        <v>240</v>
      </c>
      <c r="AY258" s="0" t="s">
        <v>240</v>
      </c>
      <c r="AZ258" s="0" t="s">
        <v>240</v>
      </c>
      <c r="BA258" s="0" t="s">
        <v>240</v>
      </c>
      <c r="BB258" s="0" t="s">
        <v>240</v>
      </c>
      <c r="BC258" s="0" t="s">
        <v>240</v>
      </c>
      <c r="BD258" s="0" t="s">
        <v>240</v>
      </c>
      <c r="BE258" s="0" t="s">
        <v>240</v>
      </c>
      <c r="BF258" s="0" t="s">
        <v>240</v>
      </c>
      <c r="BG258" s="0" t="s">
        <v>240</v>
      </c>
      <c r="BH258" s="0" t="s">
        <v>240</v>
      </c>
      <c r="BI258" s="0" t="s">
        <v>240</v>
      </c>
      <c r="BJ258" s="0" t="s">
        <v>240</v>
      </c>
      <c r="BK258" s="0" t="s">
        <v>240</v>
      </c>
      <c r="BL258" s="0" t="s">
        <v>240</v>
      </c>
      <c r="BM258" s="0" t="s">
        <v>240</v>
      </c>
      <c r="BN258" s="0" t="s">
        <v>240</v>
      </c>
      <c r="BO258" s="0" t="s">
        <v>240</v>
      </c>
      <c r="BP258" s="0" t="s">
        <v>240</v>
      </c>
      <c r="BQ258" s="0" t="s">
        <v>240</v>
      </c>
      <c r="BR258" s="0" t="s">
        <v>240</v>
      </c>
      <c r="BS258" s="0" t="s">
        <v>240</v>
      </c>
      <c r="BT258" s="0" t="s">
        <v>240</v>
      </c>
      <c r="BU258" s="0" t="s">
        <v>240</v>
      </c>
      <c r="BV258" s="0" t="s">
        <v>240</v>
      </c>
      <c r="BW258" s="0" t="s">
        <v>240</v>
      </c>
      <c r="BX258" s="0" t="s">
        <v>240</v>
      </c>
      <c r="BY258" s="0" t="s">
        <v>240</v>
      </c>
      <c r="BZ258" s="0" t="s">
        <v>240</v>
      </c>
      <c r="CA258" s="0" t="s">
        <v>240</v>
      </c>
      <c r="CB258" s="0" t="s">
        <v>240</v>
      </c>
      <c r="CC258" s="0" t="s">
        <v>240</v>
      </c>
      <c r="CD258" s="0" t="s">
        <v>240</v>
      </c>
      <c r="CE258" s="0" t="s">
        <v>240</v>
      </c>
      <c r="CF258" s="0" t="s">
        <v>240</v>
      </c>
      <c r="CG258" s="0" t="s">
        <v>240</v>
      </c>
      <c r="CH258" s="0" t="s">
        <v>240</v>
      </c>
      <c r="CI258" s="0" t="s">
        <v>240</v>
      </c>
      <c r="CJ258" s="0" t="s">
        <v>240</v>
      </c>
      <c r="CK258" s="0" t="s">
        <v>240</v>
      </c>
      <c r="CL258" s="0" t="s">
        <v>240</v>
      </c>
      <c r="CM258" s="0" t="s">
        <v>240</v>
      </c>
      <c r="CN258" s="0" t="s">
        <v>240</v>
      </c>
      <c r="CO258" s="0" t="s">
        <v>240</v>
      </c>
      <c r="CP258" s="0" t="s">
        <v>240</v>
      </c>
      <c r="CQ258" s="0" t="s">
        <v>240</v>
      </c>
      <c r="CR258" s="0" t="s">
        <v>240</v>
      </c>
      <c r="CS258" s="0" t="s">
        <v>240</v>
      </c>
      <c r="CT258" s="0" t="s">
        <v>5496</v>
      </c>
      <c r="CU258" s="0" t="s">
        <v>5497</v>
      </c>
      <c r="CV258" s="0" t="s">
        <v>443</v>
      </c>
      <c r="CW258" s="0" t="s">
        <v>5547</v>
      </c>
      <c r="CX258" s="0" t="s">
        <v>229</v>
      </c>
      <c r="CY258" s="0" t="s">
        <v>443</v>
      </c>
      <c r="CZ258" s="0" t="s">
        <v>5548</v>
      </c>
      <c r="DA258" s="0" t="s">
        <v>5549</v>
      </c>
      <c r="DB258" s="0" t="s">
        <v>5547</v>
      </c>
      <c r="DC258" s="0" t="s">
        <v>384</v>
      </c>
      <c r="DD258" s="0" t="s">
        <v>291</v>
      </c>
      <c r="DE258" s="0" t="s">
        <v>6682</v>
      </c>
    </row>
    <row customHeight="1" ht="11.25">
      <c r="A259" s="1441" t="s">
        <v>240</v>
      </c>
      <c r="B259" s="0" t="s">
        <v>240</v>
      </c>
      <c r="C259" s="0" t="s">
        <v>240</v>
      </c>
      <c r="D259" s="0" t="s">
        <v>240</v>
      </c>
      <c r="E259" s="0" t="s">
        <v>240</v>
      </c>
      <c r="F259" s="0" t="s">
        <v>240</v>
      </c>
      <c r="G259" s="0" t="s">
        <v>240</v>
      </c>
      <c r="H259" s="0" t="s">
        <v>240</v>
      </c>
      <c r="I259" s="0" t="s">
        <v>5484</v>
      </c>
      <c r="J259" s="0" t="s">
        <v>240</v>
      </c>
      <c r="K259" s="0" t="s">
        <v>240</v>
      </c>
      <c r="L259" s="0" t="s">
        <v>240</v>
      </c>
      <c r="M259" s="0" t="s">
        <v>240</v>
      </c>
      <c r="N259" s="0" t="s">
        <v>240</v>
      </c>
      <c r="O259" s="0" t="s">
        <v>240</v>
      </c>
      <c r="P259" s="0" t="s">
        <v>240</v>
      </c>
      <c r="Q259" s="0" t="s">
        <v>240</v>
      </c>
      <c r="R259" s="0" t="s">
        <v>5572</v>
      </c>
      <c r="S259" s="0" t="s">
        <v>240</v>
      </c>
      <c r="T259" s="0" t="s">
        <v>240</v>
      </c>
      <c r="U259" s="0" t="s">
        <v>102</v>
      </c>
      <c r="V259" s="0" t="s">
        <v>240</v>
      </c>
      <c r="W259" s="0" t="s">
        <v>240</v>
      </c>
      <c r="X259" s="0" t="s">
        <v>5485</v>
      </c>
      <c r="Y259" s="0" t="s">
        <v>240</v>
      </c>
      <c r="Z259" s="0" t="s">
        <v>161</v>
      </c>
      <c r="AA259" s="0" t="s">
        <v>152</v>
      </c>
      <c r="AB259" s="0" t="s">
        <v>152</v>
      </c>
      <c r="AC259" s="0" t="s">
        <v>2991</v>
      </c>
      <c r="AD259" s="0" t="s">
        <v>2991</v>
      </c>
      <c r="AE259" s="0" t="s">
        <v>2992</v>
      </c>
      <c r="AF259" s="0" t="s">
        <v>6394</v>
      </c>
      <c r="AG259" s="0" t="s">
        <v>6395</v>
      </c>
      <c r="AH259" s="0" t="s">
        <v>6609</v>
      </c>
      <c r="AI259" s="0" t="s">
        <v>5966</v>
      </c>
      <c r="AJ259" s="0" t="s">
        <v>5504</v>
      </c>
      <c r="AK259" s="0" t="s">
        <v>6653</v>
      </c>
      <c r="AL259" s="0" t="s">
        <v>5506</v>
      </c>
      <c r="AM259" s="0" t="s">
        <v>5493</v>
      </c>
      <c r="AN259" s="0" t="s">
        <v>5553</v>
      </c>
      <c r="AO259" s="0" t="s">
        <v>5636</v>
      </c>
      <c r="AP259" s="0" t="s">
        <v>240</v>
      </c>
      <c r="AQ259" s="0" t="s">
        <v>240</v>
      </c>
      <c r="AR259" s="0" t="s">
        <v>240</v>
      </c>
      <c r="AS259" s="0" t="s">
        <v>240</v>
      </c>
      <c r="AT259" s="0" t="s">
        <v>240</v>
      </c>
      <c r="AU259" s="0" t="s">
        <v>240</v>
      </c>
      <c r="AV259" s="0" t="s">
        <v>240</v>
      </c>
      <c r="AW259" s="0" t="s">
        <v>240</v>
      </c>
      <c r="AX259" s="0" t="s">
        <v>240</v>
      </c>
      <c r="AY259" s="0" t="s">
        <v>240</v>
      </c>
      <c r="AZ259" s="0" t="s">
        <v>240</v>
      </c>
      <c r="BA259" s="0" t="s">
        <v>240</v>
      </c>
      <c r="BB259" s="0" t="s">
        <v>240</v>
      </c>
      <c r="BC259" s="0" t="s">
        <v>240</v>
      </c>
      <c r="BD259" s="0" t="s">
        <v>240</v>
      </c>
      <c r="BE259" s="0" t="s">
        <v>240</v>
      </c>
      <c r="BF259" s="0" t="s">
        <v>240</v>
      </c>
      <c r="BG259" s="0" t="s">
        <v>240</v>
      </c>
      <c r="BH259" s="0" t="s">
        <v>240</v>
      </c>
      <c r="BI259" s="0" t="s">
        <v>240</v>
      </c>
      <c r="BJ259" s="0" t="s">
        <v>240</v>
      </c>
      <c r="BK259" s="0" t="s">
        <v>240</v>
      </c>
      <c r="BL259" s="0" t="s">
        <v>240</v>
      </c>
      <c r="BM259" s="0" t="s">
        <v>240</v>
      </c>
      <c r="BN259" s="0" t="s">
        <v>240</v>
      </c>
      <c r="BO259" s="0" t="s">
        <v>240</v>
      </c>
      <c r="BP259" s="0" t="s">
        <v>240</v>
      </c>
      <c r="BQ259" s="0" t="s">
        <v>240</v>
      </c>
      <c r="BR259" s="0" t="s">
        <v>240</v>
      </c>
      <c r="BS259" s="0" t="s">
        <v>240</v>
      </c>
      <c r="BT259" s="0" t="s">
        <v>240</v>
      </c>
      <c r="BU259" s="0" t="s">
        <v>240</v>
      </c>
      <c r="BV259" s="0" t="s">
        <v>240</v>
      </c>
      <c r="BW259" s="0" t="s">
        <v>240</v>
      </c>
      <c r="BX259" s="0" t="s">
        <v>240</v>
      </c>
      <c r="BY259" s="0" t="s">
        <v>240</v>
      </c>
      <c r="BZ259" s="0" t="s">
        <v>240</v>
      </c>
      <c r="CA259" s="0" t="s">
        <v>240</v>
      </c>
      <c r="CB259" s="0" t="s">
        <v>240</v>
      </c>
      <c r="CC259" s="0" t="s">
        <v>240</v>
      </c>
      <c r="CD259" s="0" t="s">
        <v>240</v>
      </c>
      <c r="CE259" s="0" t="s">
        <v>240</v>
      </c>
      <c r="CF259" s="0" t="s">
        <v>240</v>
      </c>
      <c r="CG259" s="0" t="s">
        <v>240</v>
      </c>
      <c r="CH259" s="0" t="s">
        <v>240</v>
      </c>
      <c r="CI259" s="0" t="s">
        <v>240</v>
      </c>
      <c r="CJ259" s="0" t="s">
        <v>240</v>
      </c>
      <c r="CK259" s="0" t="s">
        <v>240</v>
      </c>
      <c r="CL259" s="0" t="s">
        <v>240</v>
      </c>
      <c r="CM259" s="0" t="s">
        <v>240</v>
      </c>
      <c r="CN259" s="0" t="s">
        <v>240</v>
      </c>
      <c r="CO259" s="0" t="s">
        <v>240</v>
      </c>
      <c r="CP259" s="0" t="s">
        <v>240</v>
      </c>
      <c r="CQ259" s="0" t="s">
        <v>240</v>
      </c>
      <c r="CR259" s="0" t="s">
        <v>240</v>
      </c>
      <c r="CS259" s="0" t="s">
        <v>240</v>
      </c>
      <c r="CT259" s="0" t="s">
        <v>5496</v>
      </c>
      <c r="CU259" s="0" t="s">
        <v>5497</v>
      </c>
      <c r="CV259" s="0" t="s">
        <v>443</v>
      </c>
      <c r="CW259" s="0" t="s">
        <v>5547</v>
      </c>
      <c r="CX259" s="0" t="s">
        <v>229</v>
      </c>
      <c r="CY259" s="0" t="s">
        <v>443</v>
      </c>
      <c r="CZ259" s="0" t="s">
        <v>5548</v>
      </c>
      <c r="DA259" s="0" t="s">
        <v>5549</v>
      </c>
      <c r="DB259" s="0" t="s">
        <v>5547</v>
      </c>
      <c r="DC259" s="0" t="s">
        <v>384</v>
      </c>
      <c r="DD259" s="0" t="s">
        <v>291</v>
      </c>
      <c r="DE259" s="0" t="s">
        <v>6683</v>
      </c>
    </row>
    <row customHeight="1" ht="11.25">
      <c r="A260" s="1441" t="s">
        <v>240</v>
      </c>
      <c r="B260" s="0" t="s">
        <v>240</v>
      </c>
      <c r="C260" s="0" t="s">
        <v>240</v>
      </c>
      <c r="D260" s="0" t="s">
        <v>240</v>
      </c>
      <c r="E260" s="0" t="s">
        <v>240</v>
      </c>
      <c r="F260" s="0" t="s">
        <v>240</v>
      </c>
      <c r="G260" s="0" t="s">
        <v>240</v>
      </c>
      <c r="H260" s="0" t="s">
        <v>240</v>
      </c>
      <c r="I260" s="0" t="s">
        <v>5484</v>
      </c>
      <c r="J260" s="0" t="s">
        <v>240</v>
      </c>
      <c r="K260" s="0" t="s">
        <v>240</v>
      </c>
      <c r="L260" s="0" t="s">
        <v>240</v>
      </c>
      <c r="M260" s="0" t="s">
        <v>240</v>
      </c>
      <c r="N260" s="0" t="s">
        <v>240</v>
      </c>
      <c r="O260" s="0" t="s">
        <v>240</v>
      </c>
      <c r="P260" s="0" t="s">
        <v>240</v>
      </c>
      <c r="Q260" s="0" t="s">
        <v>240</v>
      </c>
      <c r="R260" s="0" t="s">
        <v>6684</v>
      </c>
      <c r="S260" s="0" t="s">
        <v>240</v>
      </c>
      <c r="T260" s="0" t="s">
        <v>240</v>
      </c>
      <c r="U260" s="0" t="s">
        <v>102</v>
      </c>
      <c r="V260" s="0" t="s">
        <v>240</v>
      </c>
      <c r="W260" s="0" t="s">
        <v>240</v>
      </c>
      <c r="X260" s="0" t="s">
        <v>5585</v>
      </c>
      <c r="Y260" s="0" t="s">
        <v>240</v>
      </c>
      <c r="Z260" s="0" t="s">
        <v>152</v>
      </c>
      <c r="AA260" s="0" t="s">
        <v>152</v>
      </c>
      <c r="AB260" s="0" t="s">
        <v>161</v>
      </c>
      <c r="AC260" s="0" t="s">
        <v>2989</v>
      </c>
      <c r="AD260" s="0" t="s">
        <v>2989</v>
      </c>
      <c r="AE260" s="0" t="s">
        <v>2990</v>
      </c>
      <c r="AF260" s="0" t="s">
        <v>6494</v>
      </c>
      <c r="AG260" s="0" t="s">
        <v>6495</v>
      </c>
      <c r="AH260" s="0" t="s">
        <v>5575</v>
      </c>
      <c r="AI260" s="0" t="s">
        <v>5575</v>
      </c>
      <c r="AJ260" s="0" t="s">
        <v>240</v>
      </c>
      <c r="AK260" s="0" t="s">
        <v>240</v>
      </c>
      <c r="AL260" s="0" t="s">
        <v>240</v>
      </c>
      <c r="AM260" s="0" t="s">
        <v>240</v>
      </c>
      <c r="AN260" s="0" t="s">
        <v>240</v>
      </c>
      <c r="AO260" s="0" t="s">
        <v>240</v>
      </c>
      <c r="AP260" s="0" t="s">
        <v>240</v>
      </c>
      <c r="AQ260" s="0" t="s">
        <v>240</v>
      </c>
      <c r="AR260" s="0" t="s">
        <v>240</v>
      </c>
      <c r="AS260" s="0" t="s">
        <v>240</v>
      </c>
      <c r="AT260" s="0" t="s">
        <v>240</v>
      </c>
      <c r="AU260" s="0" t="s">
        <v>240</v>
      </c>
      <c r="AV260" s="0" t="s">
        <v>240</v>
      </c>
      <c r="AW260" s="0" t="s">
        <v>240</v>
      </c>
      <c r="AX260" s="0" t="s">
        <v>240</v>
      </c>
      <c r="AY260" s="0" t="s">
        <v>240</v>
      </c>
      <c r="AZ260" s="0" t="s">
        <v>240</v>
      </c>
      <c r="BA260" s="0" t="s">
        <v>240</v>
      </c>
      <c r="BB260" s="0" t="s">
        <v>240</v>
      </c>
      <c r="BC260" s="0" t="s">
        <v>240</v>
      </c>
      <c r="BD260" s="0" t="s">
        <v>240</v>
      </c>
      <c r="BE260" s="0" t="s">
        <v>5576</v>
      </c>
      <c r="BF260" s="0" t="s">
        <v>5814</v>
      </c>
      <c r="BG260" s="0" t="s">
        <v>112</v>
      </c>
      <c r="BH260" s="0" t="s">
        <v>5589</v>
      </c>
      <c r="BI260" s="0" t="s">
        <v>123</v>
      </c>
      <c r="BJ260" s="0" t="s">
        <v>240</v>
      </c>
      <c r="BK260" s="0" t="s">
        <v>5608</v>
      </c>
      <c r="BL260" s="0" t="s">
        <v>2989</v>
      </c>
      <c r="BM260" s="0" t="s">
        <v>2989</v>
      </c>
      <c r="BN260" s="0" t="s">
        <v>5798</v>
      </c>
      <c r="BO260" s="0" t="s">
        <v>6494</v>
      </c>
      <c r="BP260" s="0" t="s">
        <v>6685</v>
      </c>
      <c r="BQ260" s="0" t="s">
        <v>5575</v>
      </c>
      <c r="BR260" s="0" t="s">
        <v>5575</v>
      </c>
      <c r="BS260" s="0" t="s">
        <v>240</v>
      </c>
      <c r="BT260" s="0" t="s">
        <v>5650</v>
      </c>
      <c r="BU260" s="0" t="s">
        <v>6686</v>
      </c>
      <c r="BV260" s="0" t="s">
        <v>6686</v>
      </c>
      <c r="BW260" s="0" t="s">
        <v>5598</v>
      </c>
      <c r="BX260" s="0" t="s">
        <v>5598</v>
      </c>
      <c r="BY260" s="0" t="s">
        <v>5598</v>
      </c>
      <c r="BZ260" s="0" t="s">
        <v>5598</v>
      </c>
      <c r="CA260" s="0" t="s">
        <v>5598</v>
      </c>
      <c r="CB260" s="0" t="s">
        <v>240</v>
      </c>
      <c r="CC260" s="0" t="s">
        <v>240</v>
      </c>
      <c r="CD260" s="0" t="s">
        <v>240</v>
      </c>
      <c r="CE260" s="0" t="s">
        <v>240</v>
      </c>
      <c r="CF260" s="0" t="s">
        <v>240</v>
      </c>
      <c r="CG260" s="0" t="s">
        <v>5598</v>
      </c>
      <c r="CH260" s="0" t="s">
        <v>240</v>
      </c>
      <c r="CI260" s="0" t="s">
        <v>240</v>
      </c>
      <c r="CJ260" s="0" t="s">
        <v>240</v>
      </c>
      <c r="CK260" s="0" t="s">
        <v>240</v>
      </c>
      <c r="CL260" s="0" t="s">
        <v>240</v>
      </c>
      <c r="CM260" s="0" t="s">
        <v>6686</v>
      </c>
      <c r="CN260" s="0" t="s">
        <v>6686</v>
      </c>
      <c r="CO260" s="0" t="s">
        <v>240</v>
      </c>
      <c r="CP260" s="0" t="s">
        <v>240</v>
      </c>
      <c r="CQ260" s="0" t="s">
        <v>240</v>
      </c>
      <c r="CR260" s="0" t="s">
        <v>240</v>
      </c>
      <c r="CS260" s="0" t="s">
        <v>5578</v>
      </c>
      <c r="CT260" s="0" t="s">
        <v>5496</v>
      </c>
      <c r="CU260" s="0" t="s">
        <v>5497</v>
      </c>
      <c r="CV260" s="0" t="s">
        <v>443</v>
      </c>
      <c r="CW260" s="0" t="s">
        <v>5580</v>
      </c>
      <c r="CX260" s="0" t="s">
        <v>229</v>
      </c>
      <c r="CY260" s="0" t="s">
        <v>443</v>
      </c>
      <c r="CZ260" s="0" t="s">
        <v>5581</v>
      </c>
      <c r="DA260" s="0" t="s">
        <v>5582</v>
      </c>
      <c r="DB260" s="0" t="s">
        <v>5580</v>
      </c>
      <c r="DC260" s="0" t="s">
        <v>384</v>
      </c>
      <c r="DD260" s="0" t="s">
        <v>291</v>
      </c>
      <c r="DE260" s="0" t="s">
        <v>6687</v>
      </c>
    </row>
    <row customHeight="1" ht="11.25">
      <c r="A261" s="1441" t="s">
        <v>240</v>
      </c>
      <c r="B261" s="0" t="s">
        <v>240</v>
      </c>
      <c r="C261" s="0" t="s">
        <v>240</v>
      </c>
      <c r="D261" s="0" t="s">
        <v>240</v>
      </c>
      <c r="E261" s="0" t="s">
        <v>240</v>
      </c>
      <c r="F261" s="0" t="s">
        <v>240</v>
      </c>
      <c r="G261" s="0" t="s">
        <v>240</v>
      </c>
      <c r="H261" s="0" t="s">
        <v>240</v>
      </c>
      <c r="I261" s="0" t="s">
        <v>5484</v>
      </c>
      <c r="J261" s="0" t="s">
        <v>240</v>
      </c>
      <c r="K261" s="0" t="s">
        <v>240</v>
      </c>
      <c r="L261" s="0" t="s">
        <v>240</v>
      </c>
      <c r="M261" s="0" t="s">
        <v>240</v>
      </c>
      <c r="N261" s="0" t="s">
        <v>240</v>
      </c>
      <c r="O261" s="0" t="s">
        <v>240</v>
      </c>
      <c r="P261" s="0" t="s">
        <v>240</v>
      </c>
      <c r="Q261" s="0" t="s">
        <v>240</v>
      </c>
      <c r="R261" s="0" t="s">
        <v>6688</v>
      </c>
      <c r="S261" s="0" t="s">
        <v>240</v>
      </c>
      <c r="T261" s="0" t="s">
        <v>240</v>
      </c>
      <c r="U261" s="0" t="s">
        <v>102</v>
      </c>
      <c r="V261" s="0" t="s">
        <v>240</v>
      </c>
      <c r="W261" s="0" t="s">
        <v>240</v>
      </c>
      <c r="X261" s="0" t="s">
        <v>5485</v>
      </c>
      <c r="Y261" s="0" t="s">
        <v>240</v>
      </c>
      <c r="Z261" s="0" t="s">
        <v>161</v>
      </c>
      <c r="AA261" s="0" t="s">
        <v>152</v>
      </c>
      <c r="AB261" s="0" t="s">
        <v>152</v>
      </c>
      <c r="AC261" s="0" t="s">
        <v>2989</v>
      </c>
      <c r="AD261" s="0" t="s">
        <v>2989</v>
      </c>
      <c r="AE261" s="0" t="s">
        <v>2990</v>
      </c>
      <c r="AF261" s="0" t="s">
        <v>6689</v>
      </c>
      <c r="AG261" s="0" t="s">
        <v>6690</v>
      </c>
      <c r="AH261" s="0" t="s">
        <v>5984</v>
      </c>
      <c r="AI261" s="0" t="s">
        <v>6691</v>
      </c>
      <c r="AJ261" s="0" t="s">
        <v>5576</v>
      </c>
      <c r="AK261" s="0" t="s">
        <v>6692</v>
      </c>
      <c r="AL261" s="0" t="s">
        <v>5506</v>
      </c>
      <c r="AM261" s="0" t="s">
        <v>5493</v>
      </c>
      <c r="AN261" s="0" t="s">
        <v>5578</v>
      </c>
      <c r="AO261" s="0" t="s">
        <v>6101</v>
      </c>
      <c r="AP261" s="0" t="s">
        <v>240</v>
      </c>
      <c r="AQ261" s="0" t="s">
        <v>240</v>
      </c>
      <c r="AR261" s="0" t="s">
        <v>240</v>
      </c>
      <c r="AS261" s="0" t="s">
        <v>240</v>
      </c>
      <c r="AT261" s="0" t="s">
        <v>240</v>
      </c>
      <c r="AU261" s="0" t="s">
        <v>240</v>
      </c>
      <c r="AV261" s="0" t="s">
        <v>240</v>
      </c>
      <c r="AW261" s="0" t="s">
        <v>240</v>
      </c>
      <c r="AX261" s="0" t="s">
        <v>240</v>
      </c>
      <c r="AY261" s="0" t="s">
        <v>240</v>
      </c>
      <c r="AZ261" s="0" t="s">
        <v>240</v>
      </c>
      <c r="BA261" s="0" t="s">
        <v>240</v>
      </c>
      <c r="BB261" s="0" t="s">
        <v>240</v>
      </c>
      <c r="BC261" s="0" t="s">
        <v>240</v>
      </c>
      <c r="BD261" s="0" t="s">
        <v>240</v>
      </c>
      <c r="BE261" s="0" t="s">
        <v>240</v>
      </c>
      <c r="BF261" s="0" t="s">
        <v>240</v>
      </c>
      <c r="BG261" s="0" t="s">
        <v>240</v>
      </c>
      <c r="BH261" s="0" t="s">
        <v>240</v>
      </c>
      <c r="BI261" s="0" t="s">
        <v>240</v>
      </c>
      <c r="BJ261" s="0" t="s">
        <v>240</v>
      </c>
      <c r="BK261" s="0" t="s">
        <v>240</v>
      </c>
      <c r="BL261" s="0" t="s">
        <v>240</v>
      </c>
      <c r="BM261" s="0" t="s">
        <v>240</v>
      </c>
      <c r="BN261" s="0" t="s">
        <v>240</v>
      </c>
      <c r="BO261" s="0" t="s">
        <v>240</v>
      </c>
      <c r="BP261" s="0" t="s">
        <v>240</v>
      </c>
      <c r="BQ261" s="0" t="s">
        <v>240</v>
      </c>
      <c r="BR261" s="0" t="s">
        <v>240</v>
      </c>
      <c r="BS261" s="0" t="s">
        <v>240</v>
      </c>
      <c r="BT261" s="0" t="s">
        <v>240</v>
      </c>
      <c r="BU261" s="0" t="s">
        <v>240</v>
      </c>
      <c r="BV261" s="0" t="s">
        <v>240</v>
      </c>
      <c r="BW261" s="0" t="s">
        <v>240</v>
      </c>
      <c r="BX261" s="0" t="s">
        <v>240</v>
      </c>
      <c r="BY261" s="0" t="s">
        <v>240</v>
      </c>
      <c r="BZ261" s="0" t="s">
        <v>240</v>
      </c>
      <c r="CA261" s="0" t="s">
        <v>240</v>
      </c>
      <c r="CB261" s="0" t="s">
        <v>240</v>
      </c>
      <c r="CC261" s="0" t="s">
        <v>240</v>
      </c>
      <c r="CD261" s="0" t="s">
        <v>240</v>
      </c>
      <c r="CE261" s="0" t="s">
        <v>240</v>
      </c>
      <c r="CF261" s="0" t="s">
        <v>240</v>
      </c>
      <c r="CG261" s="0" t="s">
        <v>240</v>
      </c>
      <c r="CH261" s="0" t="s">
        <v>240</v>
      </c>
      <c r="CI261" s="0" t="s">
        <v>240</v>
      </c>
      <c r="CJ261" s="0" t="s">
        <v>240</v>
      </c>
      <c r="CK261" s="0" t="s">
        <v>240</v>
      </c>
      <c r="CL261" s="0" t="s">
        <v>240</v>
      </c>
      <c r="CM261" s="0" t="s">
        <v>240</v>
      </c>
      <c r="CN261" s="0" t="s">
        <v>240</v>
      </c>
      <c r="CO261" s="0" t="s">
        <v>240</v>
      </c>
      <c r="CP261" s="0" t="s">
        <v>240</v>
      </c>
      <c r="CQ261" s="0" t="s">
        <v>240</v>
      </c>
      <c r="CR261" s="0" t="s">
        <v>240</v>
      </c>
      <c r="CS261" s="0" t="s">
        <v>240</v>
      </c>
      <c r="CT261" s="0" t="s">
        <v>5496</v>
      </c>
      <c r="CU261" s="0" t="s">
        <v>5497</v>
      </c>
      <c r="CV261" s="0" t="s">
        <v>443</v>
      </c>
      <c r="CW261" s="0" t="s">
        <v>5580</v>
      </c>
      <c r="CX261" s="0" t="s">
        <v>229</v>
      </c>
      <c r="CY261" s="0" t="s">
        <v>443</v>
      </c>
      <c r="CZ261" s="0" t="s">
        <v>5581</v>
      </c>
      <c r="DA261" s="0" t="s">
        <v>5582</v>
      </c>
      <c r="DB261" s="0" t="s">
        <v>5580</v>
      </c>
      <c r="DC261" s="0" t="s">
        <v>384</v>
      </c>
      <c r="DD261" s="0" t="s">
        <v>291</v>
      </c>
      <c r="DE261" s="0" t="s">
        <v>6693</v>
      </c>
    </row>
    <row customHeight="1" ht="11.25">
      <c r="A262" s="1441" t="s">
        <v>240</v>
      </c>
      <c r="B262" s="0" t="s">
        <v>240</v>
      </c>
      <c r="C262" s="0" t="s">
        <v>240</v>
      </c>
      <c r="D262" s="0" t="s">
        <v>240</v>
      </c>
      <c r="E262" s="0" t="s">
        <v>240</v>
      </c>
      <c r="F262" s="0" t="s">
        <v>240</v>
      </c>
      <c r="G262" s="0" t="s">
        <v>240</v>
      </c>
      <c r="H262" s="0" t="s">
        <v>240</v>
      </c>
      <c r="I262" s="0" t="s">
        <v>5484</v>
      </c>
      <c r="J262" s="0" t="s">
        <v>240</v>
      </c>
      <c r="K262" s="0" t="s">
        <v>240</v>
      </c>
      <c r="L262" s="0" t="s">
        <v>240</v>
      </c>
      <c r="M262" s="0" t="s">
        <v>240</v>
      </c>
      <c r="N262" s="0" t="s">
        <v>240</v>
      </c>
      <c r="O262" s="0" t="s">
        <v>240</v>
      </c>
      <c r="P262" s="0" t="s">
        <v>240</v>
      </c>
      <c r="Q262" s="0" t="s">
        <v>240</v>
      </c>
      <c r="R262" s="0" t="s">
        <v>6694</v>
      </c>
      <c r="S262" s="0" t="s">
        <v>240</v>
      </c>
      <c r="T262" s="0" t="s">
        <v>240</v>
      </c>
      <c r="U262" s="0" t="s">
        <v>102</v>
      </c>
      <c r="V262" s="0" t="s">
        <v>240</v>
      </c>
      <c r="W262" s="0" t="s">
        <v>240</v>
      </c>
      <c r="X262" s="0" t="s">
        <v>5585</v>
      </c>
      <c r="Y262" s="0" t="s">
        <v>240</v>
      </c>
      <c r="Z262" s="0" t="s">
        <v>152</v>
      </c>
      <c r="AA262" s="0" t="s">
        <v>152</v>
      </c>
      <c r="AB262" s="0" t="s">
        <v>161</v>
      </c>
      <c r="AC262" s="0" t="s">
        <v>2989</v>
      </c>
      <c r="AD262" s="0" t="s">
        <v>2989</v>
      </c>
      <c r="AE262" s="0" t="s">
        <v>2990</v>
      </c>
      <c r="AF262" s="0" t="s">
        <v>6503</v>
      </c>
      <c r="AG262" s="0" t="s">
        <v>6504</v>
      </c>
      <c r="AH262" s="0" t="s">
        <v>5575</v>
      </c>
      <c r="AI262" s="0" t="s">
        <v>5575</v>
      </c>
      <c r="AJ262" s="0" t="s">
        <v>240</v>
      </c>
      <c r="AK262" s="0" t="s">
        <v>240</v>
      </c>
      <c r="AL262" s="0" t="s">
        <v>240</v>
      </c>
      <c r="AM262" s="0" t="s">
        <v>240</v>
      </c>
      <c r="AN262" s="0" t="s">
        <v>240</v>
      </c>
      <c r="AO262" s="0" t="s">
        <v>240</v>
      </c>
      <c r="AP262" s="0" t="s">
        <v>240</v>
      </c>
      <c r="AQ262" s="0" t="s">
        <v>240</v>
      </c>
      <c r="AR262" s="0" t="s">
        <v>240</v>
      </c>
      <c r="AS262" s="0" t="s">
        <v>240</v>
      </c>
      <c r="AT262" s="0" t="s">
        <v>240</v>
      </c>
      <c r="AU262" s="0" t="s">
        <v>240</v>
      </c>
      <c r="AV262" s="0" t="s">
        <v>240</v>
      </c>
      <c r="AW262" s="0" t="s">
        <v>240</v>
      </c>
      <c r="AX262" s="0" t="s">
        <v>240</v>
      </c>
      <c r="AY262" s="0" t="s">
        <v>240</v>
      </c>
      <c r="AZ262" s="0" t="s">
        <v>240</v>
      </c>
      <c r="BA262" s="0" t="s">
        <v>240</v>
      </c>
      <c r="BB262" s="0" t="s">
        <v>240</v>
      </c>
      <c r="BC262" s="0" t="s">
        <v>240</v>
      </c>
      <c r="BD262" s="0" t="s">
        <v>240</v>
      </c>
      <c r="BE262" s="0" t="s">
        <v>5576</v>
      </c>
      <c r="BF262" s="0" t="s">
        <v>6505</v>
      </c>
      <c r="BG262" s="0" t="s">
        <v>112</v>
      </c>
      <c r="BH262" s="0" t="s">
        <v>5589</v>
      </c>
      <c r="BI262" s="0" t="s">
        <v>123</v>
      </c>
      <c r="BJ262" s="0" t="s">
        <v>240</v>
      </c>
      <c r="BK262" s="0" t="s">
        <v>5608</v>
      </c>
      <c r="BL262" s="0" t="s">
        <v>2989</v>
      </c>
      <c r="BM262" s="0" t="s">
        <v>2989</v>
      </c>
      <c r="BN262" s="0" t="s">
        <v>5798</v>
      </c>
      <c r="BO262" s="0" t="s">
        <v>6503</v>
      </c>
      <c r="BP262" s="0" t="s">
        <v>6695</v>
      </c>
      <c r="BQ262" s="0" t="s">
        <v>5575</v>
      </c>
      <c r="BR262" s="0" t="s">
        <v>5575</v>
      </c>
      <c r="BS262" s="0" t="s">
        <v>240</v>
      </c>
      <c r="BT262" s="0" t="s">
        <v>5650</v>
      </c>
      <c r="BU262" s="0" t="s">
        <v>6696</v>
      </c>
      <c r="BV262" s="0" t="s">
        <v>6696</v>
      </c>
      <c r="BW262" s="0" t="s">
        <v>5598</v>
      </c>
      <c r="BX262" s="0" t="s">
        <v>5598</v>
      </c>
      <c r="BY262" s="0" t="s">
        <v>5598</v>
      </c>
      <c r="BZ262" s="0" t="s">
        <v>5598</v>
      </c>
      <c r="CA262" s="0" t="s">
        <v>5598</v>
      </c>
      <c r="CB262" s="0" t="s">
        <v>240</v>
      </c>
      <c r="CC262" s="0" t="s">
        <v>240</v>
      </c>
      <c r="CD262" s="0" t="s">
        <v>240</v>
      </c>
      <c r="CE262" s="0" t="s">
        <v>240</v>
      </c>
      <c r="CF262" s="0" t="s">
        <v>240</v>
      </c>
      <c r="CG262" s="0" t="s">
        <v>5598</v>
      </c>
      <c r="CH262" s="0" t="s">
        <v>240</v>
      </c>
      <c r="CI262" s="0" t="s">
        <v>240</v>
      </c>
      <c r="CJ262" s="0" t="s">
        <v>240</v>
      </c>
      <c r="CK262" s="0" t="s">
        <v>240</v>
      </c>
      <c r="CL262" s="0" t="s">
        <v>240</v>
      </c>
      <c r="CM262" s="0" t="s">
        <v>6696</v>
      </c>
      <c r="CN262" s="0" t="s">
        <v>6696</v>
      </c>
      <c r="CO262" s="0" t="s">
        <v>240</v>
      </c>
      <c r="CP262" s="0" t="s">
        <v>240</v>
      </c>
      <c r="CQ262" s="0" t="s">
        <v>240</v>
      </c>
      <c r="CR262" s="0" t="s">
        <v>240</v>
      </c>
      <c r="CS262" s="0" t="s">
        <v>5553</v>
      </c>
      <c r="CT262" s="0" t="s">
        <v>5496</v>
      </c>
      <c r="CU262" s="0" t="s">
        <v>5497</v>
      </c>
      <c r="CV262" s="0" t="s">
        <v>443</v>
      </c>
      <c r="CW262" s="0" t="s">
        <v>5580</v>
      </c>
      <c r="CX262" s="0" t="s">
        <v>229</v>
      </c>
      <c r="CY262" s="0" t="s">
        <v>443</v>
      </c>
      <c r="CZ262" s="0" t="s">
        <v>5581</v>
      </c>
      <c r="DA262" s="0" t="s">
        <v>5582</v>
      </c>
      <c r="DB262" s="0" t="s">
        <v>5580</v>
      </c>
      <c r="DC262" s="0" t="s">
        <v>384</v>
      </c>
      <c r="DD262" s="0" t="s">
        <v>291</v>
      </c>
      <c r="DE262" s="0" t="s">
        <v>6506</v>
      </c>
    </row>
    <row customHeight="1" ht="11.25">
      <c r="A263" s="1441" t="s">
        <v>240</v>
      </c>
      <c r="B263" s="0" t="s">
        <v>240</v>
      </c>
      <c r="C263" s="0" t="s">
        <v>240</v>
      </c>
      <c r="D263" s="0" t="s">
        <v>240</v>
      </c>
      <c r="E263" s="0" t="s">
        <v>240</v>
      </c>
      <c r="F263" s="0" t="s">
        <v>240</v>
      </c>
      <c r="G263" s="0" t="s">
        <v>240</v>
      </c>
      <c r="H263" s="0" t="s">
        <v>240</v>
      </c>
      <c r="I263" s="0" t="s">
        <v>5484</v>
      </c>
      <c r="J263" s="0" t="s">
        <v>240</v>
      </c>
      <c r="K263" s="0" t="s">
        <v>240</v>
      </c>
      <c r="L263" s="0" t="s">
        <v>240</v>
      </c>
      <c r="M263" s="0" t="s">
        <v>240</v>
      </c>
      <c r="N263" s="0" t="s">
        <v>240</v>
      </c>
      <c r="O263" s="0" t="s">
        <v>240</v>
      </c>
      <c r="P263" s="0" t="s">
        <v>240</v>
      </c>
      <c r="Q263" s="0" t="s">
        <v>240</v>
      </c>
      <c r="R263" s="0" t="s">
        <v>493</v>
      </c>
      <c r="S263" s="0" t="s">
        <v>240</v>
      </c>
      <c r="T263" s="0" t="s">
        <v>240</v>
      </c>
      <c r="U263" s="0" t="s">
        <v>102</v>
      </c>
      <c r="V263" s="0" t="s">
        <v>240</v>
      </c>
      <c r="W263" s="0" t="s">
        <v>240</v>
      </c>
      <c r="X263" s="0" t="s">
        <v>5485</v>
      </c>
      <c r="Y263" s="0" t="s">
        <v>240</v>
      </c>
      <c r="Z263" s="0" t="s">
        <v>161</v>
      </c>
      <c r="AA263" s="0" t="s">
        <v>152</v>
      </c>
      <c r="AB263" s="0" t="s">
        <v>152</v>
      </c>
      <c r="AC263" s="0" t="s">
        <v>2964</v>
      </c>
      <c r="AD263" s="0" t="s">
        <v>2964</v>
      </c>
      <c r="AE263" s="0" t="s">
        <v>2965</v>
      </c>
      <c r="AF263" s="0" t="s">
        <v>6514</v>
      </c>
      <c r="AG263" s="0" t="s">
        <v>6515</v>
      </c>
      <c r="AH263" s="0" t="s">
        <v>6697</v>
      </c>
      <c r="AI263" s="0" t="s">
        <v>5533</v>
      </c>
      <c r="AJ263" s="0" t="s">
        <v>6698</v>
      </c>
      <c r="AK263" s="0" t="s">
        <v>6519</v>
      </c>
      <c r="AL263" s="0" t="s">
        <v>5605</v>
      </c>
      <c r="AM263" s="0" t="s">
        <v>6520</v>
      </c>
      <c r="AN263" s="0" t="s">
        <v>5494</v>
      </c>
      <c r="AO263" s="0" t="s">
        <v>5777</v>
      </c>
      <c r="AP263" s="0" t="s">
        <v>240</v>
      </c>
      <c r="AQ263" s="0" t="s">
        <v>240</v>
      </c>
      <c r="AR263" s="0" t="s">
        <v>240</v>
      </c>
      <c r="AS263" s="0" t="s">
        <v>240</v>
      </c>
      <c r="AT263" s="0" t="s">
        <v>240</v>
      </c>
      <c r="AU263" s="0" t="s">
        <v>240</v>
      </c>
      <c r="AV263" s="0" t="s">
        <v>240</v>
      </c>
      <c r="AW263" s="0" t="s">
        <v>240</v>
      </c>
      <c r="AX263" s="0" t="s">
        <v>240</v>
      </c>
      <c r="AY263" s="0" t="s">
        <v>240</v>
      </c>
      <c r="AZ263" s="0" t="s">
        <v>240</v>
      </c>
      <c r="BA263" s="0" t="s">
        <v>240</v>
      </c>
      <c r="BB263" s="0" t="s">
        <v>240</v>
      </c>
      <c r="BC263" s="0" t="s">
        <v>240</v>
      </c>
      <c r="BD263" s="0" t="s">
        <v>240</v>
      </c>
      <c r="BE263" s="0" t="s">
        <v>240</v>
      </c>
      <c r="BF263" s="0" t="s">
        <v>240</v>
      </c>
      <c r="BG263" s="0" t="s">
        <v>240</v>
      </c>
      <c r="BH263" s="0" t="s">
        <v>240</v>
      </c>
      <c r="BI263" s="0" t="s">
        <v>240</v>
      </c>
      <c r="BJ263" s="0" t="s">
        <v>240</v>
      </c>
      <c r="BK263" s="0" t="s">
        <v>240</v>
      </c>
      <c r="BL263" s="0" t="s">
        <v>240</v>
      </c>
      <c r="BM263" s="0" t="s">
        <v>240</v>
      </c>
      <c r="BN263" s="0" t="s">
        <v>240</v>
      </c>
      <c r="BO263" s="0" t="s">
        <v>240</v>
      </c>
      <c r="BP263" s="0" t="s">
        <v>240</v>
      </c>
      <c r="BQ263" s="0" t="s">
        <v>240</v>
      </c>
      <c r="BR263" s="0" t="s">
        <v>240</v>
      </c>
      <c r="BS263" s="0" t="s">
        <v>240</v>
      </c>
      <c r="BT263" s="0" t="s">
        <v>240</v>
      </c>
      <c r="BU263" s="0" t="s">
        <v>240</v>
      </c>
      <c r="BV263" s="0" t="s">
        <v>240</v>
      </c>
      <c r="BW263" s="0" t="s">
        <v>240</v>
      </c>
      <c r="BX263" s="0" t="s">
        <v>240</v>
      </c>
      <c r="BY263" s="0" t="s">
        <v>240</v>
      </c>
      <c r="BZ263" s="0" t="s">
        <v>240</v>
      </c>
      <c r="CA263" s="0" t="s">
        <v>240</v>
      </c>
      <c r="CB263" s="0" t="s">
        <v>240</v>
      </c>
      <c r="CC263" s="0" t="s">
        <v>240</v>
      </c>
      <c r="CD263" s="0" t="s">
        <v>240</v>
      </c>
      <c r="CE263" s="0" t="s">
        <v>240</v>
      </c>
      <c r="CF263" s="0" t="s">
        <v>240</v>
      </c>
      <c r="CG263" s="0" t="s">
        <v>240</v>
      </c>
      <c r="CH263" s="0" t="s">
        <v>240</v>
      </c>
      <c r="CI263" s="0" t="s">
        <v>240</v>
      </c>
      <c r="CJ263" s="0" t="s">
        <v>240</v>
      </c>
      <c r="CK263" s="0" t="s">
        <v>240</v>
      </c>
      <c r="CL263" s="0" t="s">
        <v>240</v>
      </c>
      <c r="CM263" s="0" t="s">
        <v>240</v>
      </c>
      <c r="CN263" s="0" t="s">
        <v>240</v>
      </c>
      <c r="CO263" s="0" t="s">
        <v>240</v>
      </c>
      <c r="CP263" s="0" t="s">
        <v>240</v>
      </c>
      <c r="CQ263" s="0" t="s">
        <v>240</v>
      </c>
      <c r="CR263" s="0" t="s">
        <v>240</v>
      </c>
      <c r="CS263" s="0" t="s">
        <v>240</v>
      </c>
      <c r="CT263" s="0" t="s">
        <v>5496</v>
      </c>
      <c r="CU263" s="0" t="s">
        <v>5497</v>
      </c>
      <c r="CV263" s="0" t="s">
        <v>443</v>
      </c>
      <c r="CW263" s="0" t="s">
        <v>5498</v>
      </c>
      <c r="CX263" s="0" t="s">
        <v>229</v>
      </c>
      <c r="CY263" s="0" t="s">
        <v>443</v>
      </c>
      <c r="CZ263" s="0" t="s">
        <v>230</v>
      </c>
      <c r="DA263" s="0" t="s">
        <v>444</v>
      </c>
      <c r="DB263" s="0" t="s">
        <v>5498</v>
      </c>
      <c r="DC263" s="0" t="s">
        <v>384</v>
      </c>
      <c r="DD263" s="0" t="s">
        <v>291</v>
      </c>
      <c r="DE263" s="0" t="s">
        <v>494</v>
      </c>
    </row>
    <row customHeight="1" ht="11.25">
      <c r="A264" s="1441" t="s">
        <v>240</v>
      </c>
      <c r="B264" s="0" t="s">
        <v>240</v>
      </c>
      <c r="C264" s="0" t="s">
        <v>240</v>
      </c>
      <c r="D264" s="0" t="s">
        <v>240</v>
      </c>
      <c r="E264" s="0" t="s">
        <v>240</v>
      </c>
      <c r="F264" s="0" t="s">
        <v>240</v>
      </c>
      <c r="G264" s="0" t="s">
        <v>240</v>
      </c>
      <c r="H264" s="0" t="s">
        <v>240</v>
      </c>
      <c r="I264" s="0" t="s">
        <v>5484</v>
      </c>
      <c r="J264" s="0" t="s">
        <v>240</v>
      </c>
      <c r="K264" s="0" t="s">
        <v>240</v>
      </c>
      <c r="L264" s="0" t="s">
        <v>240</v>
      </c>
      <c r="M264" s="0" t="s">
        <v>240</v>
      </c>
      <c r="N264" s="0" t="s">
        <v>240</v>
      </c>
      <c r="O264" s="0" t="s">
        <v>240</v>
      </c>
      <c r="P264" s="0" t="s">
        <v>240</v>
      </c>
      <c r="Q264" s="0" t="s">
        <v>240</v>
      </c>
      <c r="R264" s="0" t="s">
        <v>496</v>
      </c>
      <c r="S264" s="0" t="s">
        <v>240</v>
      </c>
      <c r="T264" s="0" t="s">
        <v>240</v>
      </c>
      <c r="U264" s="0" t="s">
        <v>102</v>
      </c>
      <c r="V264" s="0" t="s">
        <v>240</v>
      </c>
      <c r="W264" s="0" t="s">
        <v>240</v>
      </c>
      <c r="X264" s="0" t="s">
        <v>5485</v>
      </c>
      <c r="Y264" s="0" t="s">
        <v>240</v>
      </c>
      <c r="Z264" s="0" t="s">
        <v>161</v>
      </c>
      <c r="AA264" s="0" t="s">
        <v>152</v>
      </c>
      <c r="AB264" s="0" t="s">
        <v>152</v>
      </c>
      <c r="AC264" s="0" t="s">
        <v>2964</v>
      </c>
      <c r="AD264" s="0" t="s">
        <v>2964</v>
      </c>
      <c r="AE264" s="0" t="s">
        <v>2965</v>
      </c>
      <c r="AF264" s="0" t="s">
        <v>6514</v>
      </c>
      <c r="AG264" s="0" t="s">
        <v>6515</v>
      </c>
      <c r="AH264" s="0" t="s">
        <v>6699</v>
      </c>
      <c r="AI264" s="0" t="s">
        <v>5533</v>
      </c>
      <c r="AJ264" s="0" t="s">
        <v>6700</v>
      </c>
      <c r="AK264" s="0" t="s">
        <v>6519</v>
      </c>
      <c r="AL264" s="0" t="s">
        <v>5605</v>
      </c>
      <c r="AM264" s="0" t="s">
        <v>6520</v>
      </c>
      <c r="AN264" s="0" t="s">
        <v>5494</v>
      </c>
      <c r="AO264" s="0" t="s">
        <v>5777</v>
      </c>
      <c r="AP264" s="0" t="s">
        <v>240</v>
      </c>
      <c r="AQ264" s="0" t="s">
        <v>240</v>
      </c>
      <c r="AR264" s="0" t="s">
        <v>240</v>
      </c>
      <c r="AS264" s="0" t="s">
        <v>240</v>
      </c>
      <c r="AT264" s="0" t="s">
        <v>240</v>
      </c>
      <c r="AU264" s="0" t="s">
        <v>240</v>
      </c>
      <c r="AV264" s="0" t="s">
        <v>240</v>
      </c>
      <c r="AW264" s="0" t="s">
        <v>240</v>
      </c>
      <c r="AX264" s="0" t="s">
        <v>240</v>
      </c>
      <c r="AY264" s="0" t="s">
        <v>240</v>
      </c>
      <c r="AZ264" s="0" t="s">
        <v>240</v>
      </c>
      <c r="BA264" s="0" t="s">
        <v>240</v>
      </c>
      <c r="BB264" s="0" t="s">
        <v>240</v>
      </c>
      <c r="BC264" s="0" t="s">
        <v>240</v>
      </c>
      <c r="BD264" s="0" t="s">
        <v>240</v>
      </c>
      <c r="BE264" s="0" t="s">
        <v>240</v>
      </c>
      <c r="BF264" s="0" t="s">
        <v>240</v>
      </c>
      <c r="BG264" s="0" t="s">
        <v>240</v>
      </c>
      <c r="BH264" s="0" t="s">
        <v>240</v>
      </c>
      <c r="BI264" s="0" t="s">
        <v>240</v>
      </c>
      <c r="BJ264" s="0" t="s">
        <v>240</v>
      </c>
      <c r="BK264" s="0" t="s">
        <v>240</v>
      </c>
      <c r="BL264" s="0" t="s">
        <v>240</v>
      </c>
      <c r="BM264" s="0" t="s">
        <v>240</v>
      </c>
      <c r="BN264" s="0" t="s">
        <v>240</v>
      </c>
      <c r="BO264" s="0" t="s">
        <v>240</v>
      </c>
      <c r="BP264" s="0" t="s">
        <v>240</v>
      </c>
      <c r="BQ264" s="0" t="s">
        <v>240</v>
      </c>
      <c r="BR264" s="0" t="s">
        <v>240</v>
      </c>
      <c r="BS264" s="0" t="s">
        <v>240</v>
      </c>
      <c r="BT264" s="0" t="s">
        <v>240</v>
      </c>
      <c r="BU264" s="0" t="s">
        <v>240</v>
      </c>
      <c r="BV264" s="0" t="s">
        <v>240</v>
      </c>
      <c r="BW264" s="0" t="s">
        <v>240</v>
      </c>
      <c r="BX264" s="0" t="s">
        <v>240</v>
      </c>
      <c r="BY264" s="0" t="s">
        <v>240</v>
      </c>
      <c r="BZ264" s="0" t="s">
        <v>240</v>
      </c>
      <c r="CA264" s="0" t="s">
        <v>240</v>
      </c>
      <c r="CB264" s="0" t="s">
        <v>240</v>
      </c>
      <c r="CC264" s="0" t="s">
        <v>240</v>
      </c>
      <c r="CD264" s="0" t="s">
        <v>240</v>
      </c>
      <c r="CE264" s="0" t="s">
        <v>240</v>
      </c>
      <c r="CF264" s="0" t="s">
        <v>240</v>
      </c>
      <c r="CG264" s="0" t="s">
        <v>240</v>
      </c>
      <c r="CH264" s="0" t="s">
        <v>240</v>
      </c>
      <c r="CI264" s="0" t="s">
        <v>240</v>
      </c>
      <c r="CJ264" s="0" t="s">
        <v>240</v>
      </c>
      <c r="CK264" s="0" t="s">
        <v>240</v>
      </c>
      <c r="CL264" s="0" t="s">
        <v>240</v>
      </c>
      <c r="CM264" s="0" t="s">
        <v>240</v>
      </c>
      <c r="CN264" s="0" t="s">
        <v>240</v>
      </c>
      <c r="CO264" s="0" t="s">
        <v>240</v>
      </c>
      <c r="CP264" s="0" t="s">
        <v>240</v>
      </c>
      <c r="CQ264" s="0" t="s">
        <v>240</v>
      </c>
      <c r="CR264" s="0" t="s">
        <v>240</v>
      </c>
      <c r="CS264" s="0" t="s">
        <v>240</v>
      </c>
      <c r="CT264" s="0" t="s">
        <v>5496</v>
      </c>
      <c r="CU264" s="0" t="s">
        <v>5497</v>
      </c>
      <c r="CV264" s="0" t="s">
        <v>443</v>
      </c>
      <c r="CW264" s="0" t="s">
        <v>5498</v>
      </c>
      <c r="CX264" s="0" t="s">
        <v>229</v>
      </c>
      <c r="CY264" s="0" t="s">
        <v>443</v>
      </c>
      <c r="CZ264" s="0" t="s">
        <v>230</v>
      </c>
      <c r="DA264" s="0" t="s">
        <v>444</v>
      </c>
      <c r="DB264" s="0" t="s">
        <v>5498</v>
      </c>
      <c r="DC264" s="0" t="s">
        <v>384</v>
      </c>
      <c r="DD264" s="0" t="s">
        <v>291</v>
      </c>
      <c r="DE264" s="0" t="s">
        <v>497</v>
      </c>
    </row>
    <row customHeight="1" ht="11.25">
      <c r="A265" s="1441" t="s">
        <v>240</v>
      </c>
      <c r="B265" s="0" t="s">
        <v>240</v>
      </c>
      <c r="C265" s="0" t="s">
        <v>240</v>
      </c>
      <c r="D265" s="0" t="s">
        <v>240</v>
      </c>
      <c r="E265" s="0" t="s">
        <v>240</v>
      </c>
      <c r="F265" s="0" t="s">
        <v>240</v>
      </c>
      <c r="G265" s="0" t="s">
        <v>240</v>
      </c>
      <c r="H265" s="0" t="s">
        <v>240</v>
      </c>
      <c r="I265" s="0" t="s">
        <v>5484</v>
      </c>
      <c r="J265" s="0" t="s">
        <v>240</v>
      </c>
      <c r="K265" s="0" t="s">
        <v>240</v>
      </c>
      <c r="L265" s="0" t="s">
        <v>240</v>
      </c>
      <c r="M265" s="0" t="s">
        <v>240</v>
      </c>
      <c r="N265" s="0" t="s">
        <v>240</v>
      </c>
      <c r="O265" s="0" t="s">
        <v>240</v>
      </c>
      <c r="P265" s="0" t="s">
        <v>240</v>
      </c>
      <c r="Q265" s="0" t="s">
        <v>240</v>
      </c>
      <c r="R265" s="0" t="s">
        <v>6701</v>
      </c>
      <c r="S265" s="0" t="s">
        <v>240</v>
      </c>
      <c r="T265" s="0" t="s">
        <v>240</v>
      </c>
      <c r="U265" s="0" t="s">
        <v>102</v>
      </c>
      <c r="V265" s="0" t="s">
        <v>240</v>
      </c>
      <c r="W265" s="0" t="s">
        <v>240</v>
      </c>
      <c r="X265" s="0" t="s">
        <v>5485</v>
      </c>
      <c r="Y265" s="0" t="s">
        <v>240</v>
      </c>
      <c r="Z265" s="0" t="s">
        <v>161</v>
      </c>
      <c r="AA265" s="0" t="s">
        <v>152</v>
      </c>
      <c r="AB265" s="0" t="s">
        <v>152</v>
      </c>
      <c r="AC265" s="0" t="s">
        <v>2991</v>
      </c>
      <c r="AD265" s="0" t="s">
        <v>2991</v>
      </c>
      <c r="AE265" s="0" t="s">
        <v>2992</v>
      </c>
      <c r="AF265" s="0" t="s">
        <v>6647</v>
      </c>
      <c r="AG265" s="0" t="s">
        <v>6648</v>
      </c>
      <c r="AH265" s="0" t="s">
        <v>5670</v>
      </c>
      <c r="AI265" s="0" t="s">
        <v>6531</v>
      </c>
      <c r="AJ265" s="0" t="s">
        <v>5504</v>
      </c>
      <c r="AK265" s="0" t="s">
        <v>5544</v>
      </c>
      <c r="AL265" s="0" t="s">
        <v>5506</v>
      </c>
      <c r="AM265" s="0" t="s">
        <v>5493</v>
      </c>
      <c r="AN265" s="0" t="s">
        <v>5553</v>
      </c>
      <c r="AO265" s="0" t="s">
        <v>6190</v>
      </c>
      <c r="AP265" s="0" t="s">
        <v>240</v>
      </c>
      <c r="AQ265" s="0" t="s">
        <v>240</v>
      </c>
      <c r="AR265" s="0" t="s">
        <v>240</v>
      </c>
      <c r="AS265" s="0" t="s">
        <v>240</v>
      </c>
      <c r="AT265" s="0" t="s">
        <v>240</v>
      </c>
      <c r="AU265" s="0" t="s">
        <v>240</v>
      </c>
      <c r="AV265" s="0" t="s">
        <v>240</v>
      </c>
      <c r="AW265" s="0" t="s">
        <v>240</v>
      </c>
      <c r="AX265" s="0" t="s">
        <v>240</v>
      </c>
      <c r="AY265" s="0" t="s">
        <v>240</v>
      </c>
      <c r="AZ265" s="0" t="s">
        <v>240</v>
      </c>
      <c r="BA265" s="0" t="s">
        <v>240</v>
      </c>
      <c r="BB265" s="0" t="s">
        <v>240</v>
      </c>
      <c r="BC265" s="0" t="s">
        <v>240</v>
      </c>
      <c r="BD265" s="0" t="s">
        <v>240</v>
      </c>
      <c r="BE265" s="0" t="s">
        <v>240</v>
      </c>
      <c r="BF265" s="0" t="s">
        <v>240</v>
      </c>
      <c r="BG265" s="0" t="s">
        <v>240</v>
      </c>
      <c r="BH265" s="0" t="s">
        <v>240</v>
      </c>
      <c r="BI265" s="0" t="s">
        <v>240</v>
      </c>
      <c r="BJ265" s="0" t="s">
        <v>240</v>
      </c>
      <c r="BK265" s="0" t="s">
        <v>240</v>
      </c>
      <c r="BL265" s="0" t="s">
        <v>240</v>
      </c>
      <c r="BM265" s="0" t="s">
        <v>240</v>
      </c>
      <c r="BN265" s="0" t="s">
        <v>240</v>
      </c>
      <c r="BO265" s="0" t="s">
        <v>240</v>
      </c>
      <c r="BP265" s="0" t="s">
        <v>240</v>
      </c>
      <c r="BQ265" s="0" t="s">
        <v>240</v>
      </c>
      <c r="BR265" s="0" t="s">
        <v>240</v>
      </c>
      <c r="BS265" s="0" t="s">
        <v>240</v>
      </c>
      <c r="BT265" s="0" t="s">
        <v>240</v>
      </c>
      <c r="BU265" s="0" t="s">
        <v>240</v>
      </c>
      <c r="BV265" s="0" t="s">
        <v>240</v>
      </c>
      <c r="BW265" s="0" t="s">
        <v>240</v>
      </c>
      <c r="BX265" s="0" t="s">
        <v>240</v>
      </c>
      <c r="BY265" s="0" t="s">
        <v>240</v>
      </c>
      <c r="BZ265" s="0" t="s">
        <v>240</v>
      </c>
      <c r="CA265" s="0" t="s">
        <v>240</v>
      </c>
      <c r="CB265" s="0" t="s">
        <v>240</v>
      </c>
      <c r="CC265" s="0" t="s">
        <v>240</v>
      </c>
      <c r="CD265" s="0" t="s">
        <v>240</v>
      </c>
      <c r="CE265" s="0" t="s">
        <v>240</v>
      </c>
      <c r="CF265" s="0" t="s">
        <v>240</v>
      </c>
      <c r="CG265" s="0" t="s">
        <v>240</v>
      </c>
      <c r="CH265" s="0" t="s">
        <v>240</v>
      </c>
      <c r="CI265" s="0" t="s">
        <v>240</v>
      </c>
      <c r="CJ265" s="0" t="s">
        <v>240</v>
      </c>
      <c r="CK265" s="0" t="s">
        <v>240</v>
      </c>
      <c r="CL265" s="0" t="s">
        <v>240</v>
      </c>
      <c r="CM265" s="0" t="s">
        <v>240</v>
      </c>
      <c r="CN265" s="0" t="s">
        <v>240</v>
      </c>
      <c r="CO265" s="0" t="s">
        <v>240</v>
      </c>
      <c r="CP265" s="0" t="s">
        <v>240</v>
      </c>
      <c r="CQ265" s="0" t="s">
        <v>240</v>
      </c>
      <c r="CR265" s="0" t="s">
        <v>240</v>
      </c>
      <c r="CS265" s="0" t="s">
        <v>240</v>
      </c>
      <c r="CT265" s="0" t="s">
        <v>5496</v>
      </c>
      <c r="CU265" s="0" t="s">
        <v>5787</v>
      </c>
      <c r="CV265" s="0" t="s">
        <v>443</v>
      </c>
      <c r="CW265" s="0" t="s">
        <v>5547</v>
      </c>
      <c r="CX265" s="0" t="s">
        <v>229</v>
      </c>
      <c r="CY265" s="0" t="s">
        <v>443</v>
      </c>
      <c r="CZ265" s="0" t="s">
        <v>5548</v>
      </c>
      <c r="DA265" s="0" t="s">
        <v>5549</v>
      </c>
      <c r="DB265" s="0" t="s">
        <v>5547</v>
      </c>
      <c r="DC265" s="0" t="s">
        <v>384</v>
      </c>
      <c r="DD265" s="0" t="s">
        <v>291</v>
      </c>
      <c r="DE265" s="0" t="s">
        <v>6702</v>
      </c>
    </row>
    <row customHeight="1" ht="11.25">
      <c r="A266" s="1441" t="s">
        <v>240</v>
      </c>
      <c r="B266" s="0" t="s">
        <v>240</v>
      </c>
      <c r="C266" s="0" t="s">
        <v>240</v>
      </c>
      <c r="D266" s="0" t="s">
        <v>240</v>
      </c>
      <c r="E266" s="0" t="s">
        <v>240</v>
      </c>
      <c r="F266" s="0" t="s">
        <v>240</v>
      </c>
      <c r="G266" s="0" t="s">
        <v>240</v>
      </c>
      <c r="H266" s="0" t="s">
        <v>240</v>
      </c>
      <c r="I266" s="0" t="s">
        <v>5484</v>
      </c>
      <c r="J266" s="0" t="s">
        <v>240</v>
      </c>
      <c r="K266" s="0" t="s">
        <v>240</v>
      </c>
      <c r="L266" s="0" t="s">
        <v>240</v>
      </c>
      <c r="M266" s="0" t="s">
        <v>240</v>
      </c>
      <c r="N266" s="0" t="s">
        <v>240</v>
      </c>
      <c r="O266" s="0" t="s">
        <v>240</v>
      </c>
      <c r="P266" s="0" t="s">
        <v>240</v>
      </c>
      <c r="Q266" s="0" t="s">
        <v>240</v>
      </c>
      <c r="R266" s="0" t="s">
        <v>5572</v>
      </c>
      <c r="S266" s="0" t="s">
        <v>240</v>
      </c>
      <c r="T266" s="0" t="s">
        <v>240</v>
      </c>
      <c r="U266" s="0" t="s">
        <v>102</v>
      </c>
      <c r="V266" s="0" t="s">
        <v>240</v>
      </c>
      <c r="W266" s="0" t="s">
        <v>240</v>
      </c>
      <c r="X266" s="0" t="s">
        <v>5485</v>
      </c>
      <c r="Y266" s="0" t="s">
        <v>240</v>
      </c>
      <c r="Z266" s="0" t="s">
        <v>161</v>
      </c>
      <c r="AA266" s="0" t="s">
        <v>152</v>
      </c>
      <c r="AB266" s="0" t="s">
        <v>152</v>
      </c>
      <c r="AC266" s="0" t="s">
        <v>2991</v>
      </c>
      <c r="AD266" s="0" t="s">
        <v>2991</v>
      </c>
      <c r="AE266" s="0" t="s">
        <v>2992</v>
      </c>
      <c r="AF266" s="0" t="s">
        <v>6451</v>
      </c>
      <c r="AG266" s="0" t="s">
        <v>6452</v>
      </c>
      <c r="AH266" s="0" t="s">
        <v>6703</v>
      </c>
      <c r="AI266" s="0" t="s">
        <v>5694</v>
      </c>
      <c r="AJ266" s="0" t="s">
        <v>5504</v>
      </c>
      <c r="AK266" s="0" t="s">
        <v>5544</v>
      </c>
      <c r="AL266" s="0" t="s">
        <v>5506</v>
      </c>
      <c r="AM266" s="0" t="s">
        <v>5493</v>
      </c>
      <c r="AN266" s="0" t="s">
        <v>5545</v>
      </c>
      <c r="AO266" s="0" t="s">
        <v>5695</v>
      </c>
      <c r="AP266" s="0" t="s">
        <v>240</v>
      </c>
      <c r="AQ266" s="0" t="s">
        <v>240</v>
      </c>
      <c r="AR266" s="0" t="s">
        <v>240</v>
      </c>
      <c r="AS266" s="0" t="s">
        <v>240</v>
      </c>
      <c r="AT266" s="0" t="s">
        <v>240</v>
      </c>
      <c r="AU266" s="0" t="s">
        <v>240</v>
      </c>
      <c r="AV266" s="0" t="s">
        <v>240</v>
      </c>
      <c r="AW266" s="0" t="s">
        <v>240</v>
      </c>
      <c r="AX266" s="0" t="s">
        <v>240</v>
      </c>
      <c r="AY266" s="0" t="s">
        <v>240</v>
      </c>
      <c r="AZ266" s="0" t="s">
        <v>240</v>
      </c>
      <c r="BA266" s="0" t="s">
        <v>240</v>
      </c>
      <c r="BB266" s="0" t="s">
        <v>240</v>
      </c>
      <c r="BC266" s="0" t="s">
        <v>240</v>
      </c>
      <c r="BD266" s="0" t="s">
        <v>240</v>
      </c>
      <c r="BE266" s="0" t="s">
        <v>240</v>
      </c>
      <c r="BF266" s="0" t="s">
        <v>240</v>
      </c>
      <c r="BG266" s="0" t="s">
        <v>240</v>
      </c>
      <c r="BH266" s="0" t="s">
        <v>240</v>
      </c>
      <c r="BI266" s="0" t="s">
        <v>240</v>
      </c>
      <c r="BJ266" s="0" t="s">
        <v>240</v>
      </c>
      <c r="BK266" s="0" t="s">
        <v>240</v>
      </c>
      <c r="BL266" s="0" t="s">
        <v>240</v>
      </c>
      <c r="BM266" s="0" t="s">
        <v>240</v>
      </c>
      <c r="BN266" s="0" t="s">
        <v>240</v>
      </c>
      <c r="BO266" s="0" t="s">
        <v>240</v>
      </c>
      <c r="BP266" s="0" t="s">
        <v>240</v>
      </c>
      <c r="BQ266" s="0" t="s">
        <v>240</v>
      </c>
      <c r="BR266" s="0" t="s">
        <v>240</v>
      </c>
      <c r="BS266" s="0" t="s">
        <v>240</v>
      </c>
      <c r="BT266" s="0" t="s">
        <v>240</v>
      </c>
      <c r="BU266" s="0" t="s">
        <v>240</v>
      </c>
      <c r="BV266" s="0" t="s">
        <v>240</v>
      </c>
      <c r="BW266" s="0" t="s">
        <v>240</v>
      </c>
      <c r="BX266" s="0" t="s">
        <v>240</v>
      </c>
      <c r="BY266" s="0" t="s">
        <v>240</v>
      </c>
      <c r="BZ266" s="0" t="s">
        <v>240</v>
      </c>
      <c r="CA266" s="0" t="s">
        <v>240</v>
      </c>
      <c r="CB266" s="0" t="s">
        <v>240</v>
      </c>
      <c r="CC266" s="0" t="s">
        <v>240</v>
      </c>
      <c r="CD266" s="0" t="s">
        <v>240</v>
      </c>
      <c r="CE266" s="0" t="s">
        <v>240</v>
      </c>
      <c r="CF266" s="0" t="s">
        <v>240</v>
      </c>
      <c r="CG266" s="0" t="s">
        <v>240</v>
      </c>
      <c r="CH266" s="0" t="s">
        <v>240</v>
      </c>
      <c r="CI266" s="0" t="s">
        <v>240</v>
      </c>
      <c r="CJ266" s="0" t="s">
        <v>240</v>
      </c>
      <c r="CK266" s="0" t="s">
        <v>240</v>
      </c>
      <c r="CL266" s="0" t="s">
        <v>240</v>
      </c>
      <c r="CM266" s="0" t="s">
        <v>240</v>
      </c>
      <c r="CN266" s="0" t="s">
        <v>240</v>
      </c>
      <c r="CO266" s="0" t="s">
        <v>240</v>
      </c>
      <c r="CP266" s="0" t="s">
        <v>240</v>
      </c>
      <c r="CQ266" s="0" t="s">
        <v>240</v>
      </c>
      <c r="CR266" s="0" t="s">
        <v>240</v>
      </c>
      <c r="CS266" s="0" t="s">
        <v>240</v>
      </c>
      <c r="CT266" s="0" t="s">
        <v>5496</v>
      </c>
      <c r="CU266" s="0" t="s">
        <v>5497</v>
      </c>
      <c r="CV266" s="0" t="s">
        <v>443</v>
      </c>
      <c r="CW266" s="0" t="s">
        <v>5547</v>
      </c>
      <c r="CX266" s="0" t="s">
        <v>229</v>
      </c>
      <c r="CY266" s="0" t="s">
        <v>443</v>
      </c>
      <c r="CZ266" s="0" t="s">
        <v>5548</v>
      </c>
      <c r="DA266" s="0" t="s">
        <v>5549</v>
      </c>
      <c r="DB266" s="0" t="s">
        <v>5547</v>
      </c>
      <c r="DC266" s="0" t="s">
        <v>384</v>
      </c>
      <c r="DD266" s="0" t="s">
        <v>291</v>
      </c>
      <c r="DE266" s="0" t="s">
        <v>6704</v>
      </c>
    </row>
    <row customHeight="1" ht="11.25">
      <c r="A267" s="1441" t="s">
        <v>240</v>
      </c>
      <c r="B267" s="0" t="s">
        <v>240</v>
      </c>
      <c r="C267" s="0" t="s">
        <v>240</v>
      </c>
      <c r="D267" s="0" t="s">
        <v>240</v>
      </c>
      <c r="E267" s="0" t="s">
        <v>240</v>
      </c>
      <c r="F267" s="0" t="s">
        <v>240</v>
      </c>
      <c r="G267" s="0" t="s">
        <v>240</v>
      </c>
      <c r="H267" s="0" t="s">
        <v>240</v>
      </c>
      <c r="I267" s="0" t="s">
        <v>5484</v>
      </c>
      <c r="J267" s="0" t="s">
        <v>240</v>
      </c>
      <c r="K267" s="0" t="s">
        <v>240</v>
      </c>
      <c r="L267" s="0" t="s">
        <v>240</v>
      </c>
      <c r="M267" s="0" t="s">
        <v>240</v>
      </c>
      <c r="N267" s="0" t="s">
        <v>240</v>
      </c>
      <c r="O267" s="0" t="s">
        <v>240</v>
      </c>
      <c r="P267" s="0" t="s">
        <v>240</v>
      </c>
      <c r="Q267" s="0" t="s">
        <v>240</v>
      </c>
      <c r="R267" s="0" t="s">
        <v>6705</v>
      </c>
      <c r="S267" s="0" t="s">
        <v>240</v>
      </c>
      <c r="T267" s="0" t="s">
        <v>240</v>
      </c>
      <c r="U267" s="0" t="s">
        <v>102</v>
      </c>
      <c r="V267" s="0" t="s">
        <v>240</v>
      </c>
      <c r="W267" s="0" t="s">
        <v>240</v>
      </c>
      <c r="X267" s="0" t="s">
        <v>5485</v>
      </c>
      <c r="Y267" s="0" t="s">
        <v>240</v>
      </c>
      <c r="Z267" s="0" t="s">
        <v>161</v>
      </c>
      <c r="AA267" s="0" t="s">
        <v>152</v>
      </c>
      <c r="AB267" s="0" t="s">
        <v>152</v>
      </c>
      <c r="AC267" s="0" t="s">
        <v>2991</v>
      </c>
      <c r="AD267" s="0" t="s">
        <v>2991</v>
      </c>
      <c r="AE267" s="0" t="s">
        <v>2992</v>
      </c>
      <c r="AF267" s="0" t="s">
        <v>6706</v>
      </c>
      <c r="AG267" s="0" t="s">
        <v>6707</v>
      </c>
      <c r="AH267" s="0" t="s">
        <v>5670</v>
      </c>
      <c r="AI267" s="0" t="s">
        <v>6650</v>
      </c>
      <c r="AJ267" s="0" t="s">
        <v>5504</v>
      </c>
      <c r="AK267" s="0" t="s">
        <v>5672</v>
      </c>
      <c r="AL267" s="0" t="s">
        <v>5506</v>
      </c>
      <c r="AM267" s="0" t="s">
        <v>5493</v>
      </c>
      <c r="AN267" s="0" t="s">
        <v>5553</v>
      </c>
      <c r="AO267" s="0" t="s">
        <v>5625</v>
      </c>
      <c r="AP267" s="0" t="s">
        <v>240</v>
      </c>
      <c r="AQ267" s="0" t="s">
        <v>240</v>
      </c>
      <c r="AR267" s="0" t="s">
        <v>240</v>
      </c>
      <c r="AS267" s="0" t="s">
        <v>240</v>
      </c>
      <c r="AT267" s="0" t="s">
        <v>240</v>
      </c>
      <c r="AU267" s="0" t="s">
        <v>240</v>
      </c>
      <c r="AV267" s="0" t="s">
        <v>240</v>
      </c>
      <c r="AW267" s="0" t="s">
        <v>240</v>
      </c>
      <c r="AX267" s="0" t="s">
        <v>240</v>
      </c>
      <c r="AY267" s="0" t="s">
        <v>240</v>
      </c>
      <c r="AZ267" s="0" t="s">
        <v>240</v>
      </c>
      <c r="BA267" s="0" t="s">
        <v>240</v>
      </c>
      <c r="BB267" s="0" t="s">
        <v>240</v>
      </c>
      <c r="BC267" s="0" t="s">
        <v>240</v>
      </c>
      <c r="BD267" s="0" t="s">
        <v>240</v>
      </c>
      <c r="BE267" s="0" t="s">
        <v>240</v>
      </c>
      <c r="BF267" s="0" t="s">
        <v>240</v>
      </c>
      <c r="BG267" s="0" t="s">
        <v>240</v>
      </c>
      <c r="BH267" s="0" t="s">
        <v>240</v>
      </c>
      <c r="BI267" s="0" t="s">
        <v>240</v>
      </c>
      <c r="BJ267" s="0" t="s">
        <v>240</v>
      </c>
      <c r="BK267" s="0" t="s">
        <v>240</v>
      </c>
      <c r="BL267" s="0" t="s">
        <v>240</v>
      </c>
      <c r="BM267" s="0" t="s">
        <v>240</v>
      </c>
      <c r="BN267" s="0" t="s">
        <v>240</v>
      </c>
      <c r="BO267" s="0" t="s">
        <v>240</v>
      </c>
      <c r="BP267" s="0" t="s">
        <v>240</v>
      </c>
      <c r="BQ267" s="0" t="s">
        <v>240</v>
      </c>
      <c r="BR267" s="0" t="s">
        <v>240</v>
      </c>
      <c r="BS267" s="0" t="s">
        <v>240</v>
      </c>
      <c r="BT267" s="0" t="s">
        <v>240</v>
      </c>
      <c r="BU267" s="0" t="s">
        <v>240</v>
      </c>
      <c r="BV267" s="0" t="s">
        <v>240</v>
      </c>
      <c r="BW267" s="0" t="s">
        <v>240</v>
      </c>
      <c r="BX267" s="0" t="s">
        <v>240</v>
      </c>
      <c r="BY267" s="0" t="s">
        <v>240</v>
      </c>
      <c r="BZ267" s="0" t="s">
        <v>240</v>
      </c>
      <c r="CA267" s="0" t="s">
        <v>240</v>
      </c>
      <c r="CB267" s="0" t="s">
        <v>240</v>
      </c>
      <c r="CC267" s="0" t="s">
        <v>240</v>
      </c>
      <c r="CD267" s="0" t="s">
        <v>240</v>
      </c>
      <c r="CE267" s="0" t="s">
        <v>240</v>
      </c>
      <c r="CF267" s="0" t="s">
        <v>240</v>
      </c>
      <c r="CG267" s="0" t="s">
        <v>240</v>
      </c>
      <c r="CH267" s="0" t="s">
        <v>240</v>
      </c>
      <c r="CI267" s="0" t="s">
        <v>240</v>
      </c>
      <c r="CJ267" s="0" t="s">
        <v>240</v>
      </c>
      <c r="CK267" s="0" t="s">
        <v>240</v>
      </c>
      <c r="CL267" s="0" t="s">
        <v>240</v>
      </c>
      <c r="CM267" s="0" t="s">
        <v>240</v>
      </c>
      <c r="CN267" s="0" t="s">
        <v>240</v>
      </c>
      <c r="CO267" s="0" t="s">
        <v>240</v>
      </c>
      <c r="CP267" s="0" t="s">
        <v>240</v>
      </c>
      <c r="CQ267" s="0" t="s">
        <v>240</v>
      </c>
      <c r="CR267" s="0" t="s">
        <v>240</v>
      </c>
      <c r="CS267" s="0" t="s">
        <v>240</v>
      </c>
      <c r="CT267" s="0" t="s">
        <v>5496</v>
      </c>
      <c r="CU267" s="0" t="s">
        <v>5497</v>
      </c>
      <c r="CV267" s="0" t="s">
        <v>443</v>
      </c>
      <c r="CW267" s="0" t="s">
        <v>5547</v>
      </c>
      <c r="CX267" s="0" t="s">
        <v>229</v>
      </c>
      <c r="CY267" s="0" t="s">
        <v>443</v>
      </c>
      <c r="CZ267" s="0" t="s">
        <v>5548</v>
      </c>
      <c r="DA267" s="0" t="s">
        <v>5549</v>
      </c>
      <c r="DB267" s="0" t="s">
        <v>5547</v>
      </c>
      <c r="DC267" s="0" t="s">
        <v>384</v>
      </c>
      <c r="DD267" s="0" t="s">
        <v>291</v>
      </c>
      <c r="DE267" s="0" t="s">
        <v>6708</v>
      </c>
    </row>
    <row customHeight="1" ht="11.25">
      <c r="A268" s="1441" t="s">
        <v>240</v>
      </c>
      <c r="B268" s="0" t="s">
        <v>240</v>
      </c>
      <c r="C268" s="0" t="s">
        <v>240</v>
      </c>
      <c r="D268" s="0" t="s">
        <v>240</v>
      </c>
      <c r="E268" s="0" t="s">
        <v>240</v>
      </c>
      <c r="F268" s="0" t="s">
        <v>240</v>
      </c>
      <c r="G268" s="0" t="s">
        <v>240</v>
      </c>
      <c r="H268" s="0" t="s">
        <v>240</v>
      </c>
      <c r="I268" s="0" t="s">
        <v>5484</v>
      </c>
      <c r="J268" s="0" t="s">
        <v>240</v>
      </c>
      <c r="K268" s="0" t="s">
        <v>240</v>
      </c>
      <c r="L268" s="0" t="s">
        <v>240</v>
      </c>
      <c r="M268" s="0" t="s">
        <v>240</v>
      </c>
      <c r="N268" s="0" t="s">
        <v>240</v>
      </c>
      <c r="O268" s="0" t="s">
        <v>240</v>
      </c>
      <c r="P268" s="0" t="s">
        <v>240</v>
      </c>
      <c r="Q268" s="0" t="s">
        <v>240</v>
      </c>
      <c r="R268" s="0" t="s">
        <v>6709</v>
      </c>
      <c r="S268" s="0" t="s">
        <v>240</v>
      </c>
      <c r="T268" s="0" t="s">
        <v>240</v>
      </c>
      <c r="U268" s="0" t="s">
        <v>102</v>
      </c>
      <c r="V268" s="0" t="s">
        <v>240</v>
      </c>
      <c r="W268" s="0" t="s">
        <v>240</v>
      </c>
      <c r="X268" s="0" t="s">
        <v>5585</v>
      </c>
      <c r="Y268" s="0" t="s">
        <v>240</v>
      </c>
      <c r="Z268" s="0" t="s">
        <v>152</v>
      </c>
      <c r="AA268" s="0" t="s">
        <v>152</v>
      </c>
      <c r="AB268" s="0" t="s">
        <v>161</v>
      </c>
      <c r="AC268" s="0" t="s">
        <v>2991</v>
      </c>
      <c r="AD268" s="0" t="s">
        <v>2991</v>
      </c>
      <c r="AE268" s="0" t="s">
        <v>2992</v>
      </c>
      <c r="AF268" s="0" t="s">
        <v>6451</v>
      </c>
      <c r="AG268" s="0" t="s">
        <v>6452</v>
      </c>
      <c r="AH268" s="0" t="s">
        <v>5575</v>
      </c>
      <c r="AI268" s="0" t="s">
        <v>5575</v>
      </c>
      <c r="AJ268" s="0" t="s">
        <v>240</v>
      </c>
      <c r="AK268" s="0" t="s">
        <v>240</v>
      </c>
      <c r="AL268" s="0" t="s">
        <v>240</v>
      </c>
      <c r="AM268" s="0" t="s">
        <v>240</v>
      </c>
      <c r="AN268" s="0" t="s">
        <v>240</v>
      </c>
      <c r="AO268" s="0" t="s">
        <v>240</v>
      </c>
      <c r="AP268" s="0" t="s">
        <v>240</v>
      </c>
      <c r="AQ268" s="0" t="s">
        <v>240</v>
      </c>
      <c r="AR268" s="0" t="s">
        <v>240</v>
      </c>
      <c r="AS268" s="0" t="s">
        <v>240</v>
      </c>
      <c r="AT268" s="0" t="s">
        <v>240</v>
      </c>
      <c r="AU268" s="0" t="s">
        <v>240</v>
      </c>
      <c r="AV268" s="0" t="s">
        <v>240</v>
      </c>
      <c r="AW268" s="0" t="s">
        <v>240</v>
      </c>
      <c r="AX268" s="0" t="s">
        <v>240</v>
      </c>
      <c r="AY268" s="0" t="s">
        <v>240</v>
      </c>
      <c r="AZ268" s="0" t="s">
        <v>240</v>
      </c>
      <c r="BA268" s="0" t="s">
        <v>240</v>
      </c>
      <c r="BB268" s="0" t="s">
        <v>240</v>
      </c>
      <c r="BC268" s="0" t="s">
        <v>240</v>
      </c>
      <c r="BD268" s="0" t="s">
        <v>240</v>
      </c>
      <c r="BE268" s="0" t="s">
        <v>5576</v>
      </c>
      <c r="BF268" s="0" t="s">
        <v>5544</v>
      </c>
      <c r="BG268" s="0" t="s">
        <v>112</v>
      </c>
      <c r="BH268" s="0" t="s">
        <v>5589</v>
      </c>
      <c r="BI268" s="0" t="s">
        <v>123</v>
      </c>
      <c r="BJ268" s="0" t="s">
        <v>240</v>
      </c>
      <c r="BK268" s="0" t="s">
        <v>5608</v>
      </c>
      <c r="BL268" s="0" t="s">
        <v>2991</v>
      </c>
      <c r="BM268" s="0" t="s">
        <v>2991</v>
      </c>
      <c r="BN268" s="0" t="s">
        <v>5663</v>
      </c>
      <c r="BO268" s="0" t="s">
        <v>6451</v>
      </c>
      <c r="BP268" s="0" t="s">
        <v>6710</v>
      </c>
      <c r="BQ268" s="0" t="s">
        <v>5575</v>
      </c>
      <c r="BR268" s="0" t="s">
        <v>5575</v>
      </c>
      <c r="BS268" s="0" t="s">
        <v>240</v>
      </c>
      <c r="BT268" s="0" t="s">
        <v>5650</v>
      </c>
      <c r="BU268" s="0" t="s">
        <v>6711</v>
      </c>
      <c r="BV268" s="0" t="s">
        <v>6711</v>
      </c>
      <c r="BW268" s="0" t="s">
        <v>5598</v>
      </c>
      <c r="BX268" s="0" t="s">
        <v>5598</v>
      </c>
      <c r="BY268" s="0" t="s">
        <v>5598</v>
      </c>
      <c r="BZ268" s="0" t="s">
        <v>5598</v>
      </c>
      <c r="CA268" s="0" t="s">
        <v>5598</v>
      </c>
      <c r="CB268" s="0" t="s">
        <v>240</v>
      </c>
      <c r="CC268" s="0" t="s">
        <v>240</v>
      </c>
      <c r="CD268" s="0" t="s">
        <v>240</v>
      </c>
      <c r="CE268" s="0" t="s">
        <v>240</v>
      </c>
      <c r="CF268" s="0" t="s">
        <v>240</v>
      </c>
      <c r="CG268" s="0" t="s">
        <v>5598</v>
      </c>
      <c r="CH268" s="0" t="s">
        <v>240</v>
      </c>
      <c r="CI268" s="0" t="s">
        <v>240</v>
      </c>
      <c r="CJ268" s="0" t="s">
        <v>240</v>
      </c>
      <c r="CK268" s="0" t="s">
        <v>240</v>
      </c>
      <c r="CL268" s="0" t="s">
        <v>240</v>
      </c>
      <c r="CM268" s="0" t="s">
        <v>6711</v>
      </c>
      <c r="CN268" s="0" t="s">
        <v>6711</v>
      </c>
      <c r="CO268" s="0" t="s">
        <v>240</v>
      </c>
      <c r="CP268" s="0" t="s">
        <v>240</v>
      </c>
      <c r="CQ268" s="0" t="s">
        <v>240</v>
      </c>
      <c r="CR268" s="0" t="s">
        <v>240</v>
      </c>
      <c r="CS268" s="0" t="s">
        <v>5666</v>
      </c>
      <c r="CT268" s="0" t="s">
        <v>5496</v>
      </c>
      <c r="CU268" s="0" t="s">
        <v>5497</v>
      </c>
      <c r="CV268" s="0" t="s">
        <v>443</v>
      </c>
      <c r="CW268" s="0" t="s">
        <v>5547</v>
      </c>
      <c r="CX268" s="0" t="s">
        <v>229</v>
      </c>
      <c r="CY268" s="0" t="s">
        <v>443</v>
      </c>
      <c r="CZ268" s="0" t="s">
        <v>5548</v>
      </c>
      <c r="DA268" s="0" t="s">
        <v>5549</v>
      </c>
      <c r="DB268" s="0" t="s">
        <v>5547</v>
      </c>
      <c r="DC268" s="0" t="s">
        <v>384</v>
      </c>
      <c r="DD268" s="0" t="s">
        <v>291</v>
      </c>
      <c r="DE268" s="0" t="s">
        <v>6712</v>
      </c>
    </row>
    <row customHeight="1" ht="11.25">
      <c r="A269" s="1441" t="s">
        <v>240</v>
      </c>
      <c r="B269" s="0" t="s">
        <v>240</v>
      </c>
      <c r="C269" s="0" t="s">
        <v>240</v>
      </c>
      <c r="D269" s="0" t="s">
        <v>240</v>
      </c>
      <c r="E269" s="0" t="s">
        <v>240</v>
      </c>
      <c r="F269" s="0" t="s">
        <v>240</v>
      </c>
      <c r="G269" s="0" t="s">
        <v>240</v>
      </c>
      <c r="H269" s="0" t="s">
        <v>240</v>
      </c>
      <c r="I269" s="0" t="s">
        <v>5484</v>
      </c>
      <c r="J269" s="0" t="s">
        <v>240</v>
      </c>
      <c r="K269" s="0" t="s">
        <v>240</v>
      </c>
      <c r="L269" s="0" t="s">
        <v>240</v>
      </c>
      <c r="M269" s="0" t="s">
        <v>240</v>
      </c>
      <c r="N269" s="0" t="s">
        <v>240</v>
      </c>
      <c r="O269" s="0" t="s">
        <v>240</v>
      </c>
      <c r="P269" s="0" t="s">
        <v>240</v>
      </c>
      <c r="Q269" s="0" t="s">
        <v>240</v>
      </c>
      <c r="R269" s="0" t="s">
        <v>5572</v>
      </c>
      <c r="S269" s="0" t="s">
        <v>240</v>
      </c>
      <c r="T269" s="0" t="s">
        <v>240</v>
      </c>
      <c r="U269" s="0" t="s">
        <v>102</v>
      </c>
      <c r="V269" s="0" t="s">
        <v>240</v>
      </c>
      <c r="W269" s="0" t="s">
        <v>240</v>
      </c>
      <c r="X269" s="0" t="s">
        <v>5485</v>
      </c>
      <c r="Y269" s="0" t="s">
        <v>240</v>
      </c>
      <c r="Z269" s="0" t="s">
        <v>161</v>
      </c>
      <c r="AA269" s="0" t="s">
        <v>152</v>
      </c>
      <c r="AB269" s="0" t="s">
        <v>152</v>
      </c>
      <c r="AC269" s="0" t="s">
        <v>2991</v>
      </c>
      <c r="AD269" s="0" t="s">
        <v>2991</v>
      </c>
      <c r="AE269" s="0" t="s">
        <v>2992</v>
      </c>
      <c r="AF269" s="0" t="s">
        <v>6713</v>
      </c>
      <c r="AG269" s="0" t="s">
        <v>6714</v>
      </c>
      <c r="AH269" s="0" t="s">
        <v>5684</v>
      </c>
      <c r="AI269" s="0" t="s">
        <v>5575</v>
      </c>
      <c r="AJ269" s="0" t="s">
        <v>5504</v>
      </c>
      <c r="AK269" s="0" t="s">
        <v>5544</v>
      </c>
      <c r="AL269" s="0" t="s">
        <v>5506</v>
      </c>
      <c r="AM269" s="0" t="s">
        <v>5493</v>
      </c>
      <c r="AN269" s="0" t="s">
        <v>5553</v>
      </c>
      <c r="AO269" s="0" t="s">
        <v>5625</v>
      </c>
      <c r="AP269" s="0" t="s">
        <v>240</v>
      </c>
      <c r="AQ269" s="0" t="s">
        <v>240</v>
      </c>
      <c r="AR269" s="0" t="s">
        <v>240</v>
      </c>
      <c r="AS269" s="0" t="s">
        <v>240</v>
      </c>
      <c r="AT269" s="0" t="s">
        <v>240</v>
      </c>
      <c r="AU269" s="0" t="s">
        <v>240</v>
      </c>
      <c r="AV269" s="0" t="s">
        <v>240</v>
      </c>
      <c r="AW269" s="0" t="s">
        <v>240</v>
      </c>
      <c r="AX269" s="0" t="s">
        <v>240</v>
      </c>
      <c r="AY269" s="0" t="s">
        <v>240</v>
      </c>
      <c r="AZ269" s="0" t="s">
        <v>240</v>
      </c>
      <c r="BA269" s="0" t="s">
        <v>240</v>
      </c>
      <c r="BB269" s="0" t="s">
        <v>240</v>
      </c>
      <c r="BC269" s="0" t="s">
        <v>240</v>
      </c>
      <c r="BD269" s="0" t="s">
        <v>240</v>
      </c>
      <c r="BE269" s="0" t="s">
        <v>240</v>
      </c>
      <c r="BF269" s="0" t="s">
        <v>240</v>
      </c>
      <c r="BG269" s="0" t="s">
        <v>240</v>
      </c>
      <c r="BH269" s="0" t="s">
        <v>240</v>
      </c>
      <c r="BI269" s="0" t="s">
        <v>240</v>
      </c>
      <c r="BJ269" s="0" t="s">
        <v>240</v>
      </c>
      <c r="BK269" s="0" t="s">
        <v>240</v>
      </c>
      <c r="BL269" s="0" t="s">
        <v>240</v>
      </c>
      <c r="BM269" s="0" t="s">
        <v>240</v>
      </c>
      <c r="BN269" s="0" t="s">
        <v>240</v>
      </c>
      <c r="BO269" s="0" t="s">
        <v>240</v>
      </c>
      <c r="BP269" s="0" t="s">
        <v>240</v>
      </c>
      <c r="BQ269" s="0" t="s">
        <v>240</v>
      </c>
      <c r="BR269" s="0" t="s">
        <v>240</v>
      </c>
      <c r="BS269" s="0" t="s">
        <v>240</v>
      </c>
      <c r="BT269" s="0" t="s">
        <v>240</v>
      </c>
      <c r="BU269" s="0" t="s">
        <v>240</v>
      </c>
      <c r="BV269" s="0" t="s">
        <v>240</v>
      </c>
      <c r="BW269" s="0" t="s">
        <v>240</v>
      </c>
      <c r="BX269" s="0" t="s">
        <v>240</v>
      </c>
      <c r="BY269" s="0" t="s">
        <v>240</v>
      </c>
      <c r="BZ269" s="0" t="s">
        <v>240</v>
      </c>
      <c r="CA269" s="0" t="s">
        <v>240</v>
      </c>
      <c r="CB269" s="0" t="s">
        <v>240</v>
      </c>
      <c r="CC269" s="0" t="s">
        <v>240</v>
      </c>
      <c r="CD269" s="0" t="s">
        <v>240</v>
      </c>
      <c r="CE269" s="0" t="s">
        <v>240</v>
      </c>
      <c r="CF269" s="0" t="s">
        <v>240</v>
      </c>
      <c r="CG269" s="0" t="s">
        <v>240</v>
      </c>
      <c r="CH269" s="0" t="s">
        <v>240</v>
      </c>
      <c r="CI269" s="0" t="s">
        <v>240</v>
      </c>
      <c r="CJ269" s="0" t="s">
        <v>240</v>
      </c>
      <c r="CK269" s="0" t="s">
        <v>240</v>
      </c>
      <c r="CL269" s="0" t="s">
        <v>240</v>
      </c>
      <c r="CM269" s="0" t="s">
        <v>240</v>
      </c>
      <c r="CN269" s="0" t="s">
        <v>240</v>
      </c>
      <c r="CO269" s="0" t="s">
        <v>240</v>
      </c>
      <c r="CP269" s="0" t="s">
        <v>240</v>
      </c>
      <c r="CQ269" s="0" t="s">
        <v>240</v>
      </c>
      <c r="CR269" s="0" t="s">
        <v>240</v>
      </c>
      <c r="CS269" s="0" t="s">
        <v>240</v>
      </c>
      <c r="CT269" s="0" t="s">
        <v>5496</v>
      </c>
      <c r="CU269" s="0" t="s">
        <v>5497</v>
      </c>
      <c r="CV269" s="0" t="s">
        <v>443</v>
      </c>
      <c r="CW269" s="0" t="s">
        <v>5547</v>
      </c>
      <c r="CX269" s="0" t="s">
        <v>229</v>
      </c>
      <c r="CY269" s="0" t="s">
        <v>443</v>
      </c>
      <c r="CZ269" s="0" t="s">
        <v>5548</v>
      </c>
      <c r="DA269" s="0" t="s">
        <v>5549</v>
      </c>
      <c r="DB269" s="0" t="s">
        <v>5547</v>
      </c>
      <c r="DC269" s="0" t="s">
        <v>384</v>
      </c>
      <c r="DD269" s="0" t="s">
        <v>291</v>
      </c>
      <c r="DE269" s="0" t="s">
        <v>6715</v>
      </c>
    </row>
    <row customHeight="1" ht="11.25">
      <c r="A270" s="1441" t="s">
        <v>240</v>
      </c>
      <c r="B270" s="0" t="s">
        <v>240</v>
      </c>
      <c r="C270" s="0" t="s">
        <v>240</v>
      </c>
      <c r="D270" s="0" t="s">
        <v>240</v>
      </c>
      <c r="E270" s="0" t="s">
        <v>240</v>
      </c>
      <c r="F270" s="0" t="s">
        <v>240</v>
      </c>
      <c r="G270" s="0" t="s">
        <v>240</v>
      </c>
      <c r="H270" s="0" t="s">
        <v>240</v>
      </c>
      <c r="I270" s="0" t="s">
        <v>5484</v>
      </c>
      <c r="J270" s="0" t="s">
        <v>240</v>
      </c>
      <c r="K270" s="0" t="s">
        <v>240</v>
      </c>
      <c r="L270" s="0" t="s">
        <v>240</v>
      </c>
      <c r="M270" s="0" t="s">
        <v>240</v>
      </c>
      <c r="N270" s="0" t="s">
        <v>240</v>
      </c>
      <c r="O270" s="0" t="s">
        <v>240</v>
      </c>
      <c r="P270" s="0" t="s">
        <v>240</v>
      </c>
      <c r="Q270" s="0" t="s">
        <v>240</v>
      </c>
      <c r="R270" s="0" t="s">
        <v>5572</v>
      </c>
      <c r="S270" s="0" t="s">
        <v>240</v>
      </c>
      <c r="T270" s="0" t="s">
        <v>240</v>
      </c>
      <c r="U270" s="0" t="s">
        <v>102</v>
      </c>
      <c r="V270" s="0" t="s">
        <v>240</v>
      </c>
      <c r="W270" s="0" t="s">
        <v>240</v>
      </c>
      <c r="X270" s="0" t="s">
        <v>5485</v>
      </c>
      <c r="Y270" s="0" t="s">
        <v>240</v>
      </c>
      <c r="Z270" s="0" t="s">
        <v>161</v>
      </c>
      <c r="AA270" s="0" t="s">
        <v>152</v>
      </c>
      <c r="AB270" s="0" t="s">
        <v>152</v>
      </c>
      <c r="AC270" s="0" t="s">
        <v>2991</v>
      </c>
      <c r="AD270" s="0" t="s">
        <v>2991</v>
      </c>
      <c r="AE270" s="0" t="s">
        <v>2992</v>
      </c>
      <c r="AF270" s="0" t="s">
        <v>6713</v>
      </c>
      <c r="AG270" s="0" t="s">
        <v>6714</v>
      </c>
      <c r="AH270" s="0" t="s">
        <v>6716</v>
      </c>
      <c r="AI270" s="0" t="s">
        <v>5575</v>
      </c>
      <c r="AJ270" s="0" t="s">
        <v>5504</v>
      </c>
      <c r="AK270" s="0" t="s">
        <v>5672</v>
      </c>
      <c r="AL270" s="0" t="s">
        <v>5506</v>
      </c>
      <c r="AM270" s="0" t="s">
        <v>5493</v>
      </c>
      <c r="AN270" s="0" t="s">
        <v>5553</v>
      </c>
      <c r="AO270" s="0" t="s">
        <v>6717</v>
      </c>
      <c r="AP270" s="0" t="s">
        <v>240</v>
      </c>
      <c r="AQ270" s="0" t="s">
        <v>240</v>
      </c>
      <c r="AR270" s="0" t="s">
        <v>240</v>
      </c>
      <c r="AS270" s="0" t="s">
        <v>240</v>
      </c>
      <c r="AT270" s="0" t="s">
        <v>240</v>
      </c>
      <c r="AU270" s="0" t="s">
        <v>240</v>
      </c>
      <c r="AV270" s="0" t="s">
        <v>240</v>
      </c>
      <c r="AW270" s="0" t="s">
        <v>240</v>
      </c>
      <c r="AX270" s="0" t="s">
        <v>240</v>
      </c>
      <c r="AY270" s="0" t="s">
        <v>240</v>
      </c>
      <c r="AZ270" s="0" t="s">
        <v>240</v>
      </c>
      <c r="BA270" s="0" t="s">
        <v>240</v>
      </c>
      <c r="BB270" s="0" t="s">
        <v>240</v>
      </c>
      <c r="BC270" s="0" t="s">
        <v>240</v>
      </c>
      <c r="BD270" s="0" t="s">
        <v>240</v>
      </c>
      <c r="BE270" s="0" t="s">
        <v>240</v>
      </c>
      <c r="BF270" s="0" t="s">
        <v>240</v>
      </c>
      <c r="BG270" s="0" t="s">
        <v>240</v>
      </c>
      <c r="BH270" s="0" t="s">
        <v>240</v>
      </c>
      <c r="BI270" s="0" t="s">
        <v>240</v>
      </c>
      <c r="BJ270" s="0" t="s">
        <v>240</v>
      </c>
      <c r="BK270" s="0" t="s">
        <v>240</v>
      </c>
      <c r="BL270" s="0" t="s">
        <v>240</v>
      </c>
      <c r="BM270" s="0" t="s">
        <v>240</v>
      </c>
      <c r="BN270" s="0" t="s">
        <v>240</v>
      </c>
      <c r="BO270" s="0" t="s">
        <v>240</v>
      </c>
      <c r="BP270" s="0" t="s">
        <v>240</v>
      </c>
      <c r="BQ270" s="0" t="s">
        <v>240</v>
      </c>
      <c r="BR270" s="0" t="s">
        <v>240</v>
      </c>
      <c r="BS270" s="0" t="s">
        <v>240</v>
      </c>
      <c r="BT270" s="0" t="s">
        <v>240</v>
      </c>
      <c r="BU270" s="0" t="s">
        <v>240</v>
      </c>
      <c r="BV270" s="0" t="s">
        <v>240</v>
      </c>
      <c r="BW270" s="0" t="s">
        <v>240</v>
      </c>
      <c r="BX270" s="0" t="s">
        <v>240</v>
      </c>
      <c r="BY270" s="0" t="s">
        <v>240</v>
      </c>
      <c r="BZ270" s="0" t="s">
        <v>240</v>
      </c>
      <c r="CA270" s="0" t="s">
        <v>240</v>
      </c>
      <c r="CB270" s="0" t="s">
        <v>240</v>
      </c>
      <c r="CC270" s="0" t="s">
        <v>240</v>
      </c>
      <c r="CD270" s="0" t="s">
        <v>240</v>
      </c>
      <c r="CE270" s="0" t="s">
        <v>240</v>
      </c>
      <c r="CF270" s="0" t="s">
        <v>240</v>
      </c>
      <c r="CG270" s="0" t="s">
        <v>240</v>
      </c>
      <c r="CH270" s="0" t="s">
        <v>240</v>
      </c>
      <c r="CI270" s="0" t="s">
        <v>240</v>
      </c>
      <c r="CJ270" s="0" t="s">
        <v>240</v>
      </c>
      <c r="CK270" s="0" t="s">
        <v>240</v>
      </c>
      <c r="CL270" s="0" t="s">
        <v>240</v>
      </c>
      <c r="CM270" s="0" t="s">
        <v>240</v>
      </c>
      <c r="CN270" s="0" t="s">
        <v>240</v>
      </c>
      <c r="CO270" s="0" t="s">
        <v>240</v>
      </c>
      <c r="CP270" s="0" t="s">
        <v>240</v>
      </c>
      <c r="CQ270" s="0" t="s">
        <v>240</v>
      </c>
      <c r="CR270" s="0" t="s">
        <v>240</v>
      </c>
      <c r="CS270" s="0" t="s">
        <v>240</v>
      </c>
      <c r="CT270" s="0" t="s">
        <v>5496</v>
      </c>
      <c r="CU270" s="0" t="s">
        <v>5497</v>
      </c>
      <c r="CV270" s="0" t="s">
        <v>443</v>
      </c>
      <c r="CW270" s="0" t="s">
        <v>5547</v>
      </c>
      <c r="CX270" s="0" t="s">
        <v>229</v>
      </c>
      <c r="CY270" s="0" t="s">
        <v>443</v>
      </c>
      <c r="CZ270" s="0" t="s">
        <v>5548</v>
      </c>
      <c r="DA270" s="0" t="s">
        <v>5549</v>
      </c>
      <c r="DB270" s="0" t="s">
        <v>5547</v>
      </c>
      <c r="DC270" s="0" t="s">
        <v>384</v>
      </c>
      <c r="DD270" s="0" t="s">
        <v>291</v>
      </c>
      <c r="DE270" s="0" t="s">
        <v>6718</v>
      </c>
    </row>
    <row customHeight="1" ht="11.25">
      <c r="A271" s="1441" t="s">
        <v>240</v>
      </c>
      <c r="B271" s="0" t="s">
        <v>240</v>
      </c>
      <c r="C271" s="0" t="s">
        <v>240</v>
      </c>
      <c r="D271" s="0" t="s">
        <v>240</v>
      </c>
      <c r="E271" s="0" t="s">
        <v>240</v>
      </c>
      <c r="F271" s="0" t="s">
        <v>240</v>
      </c>
      <c r="G271" s="0" t="s">
        <v>240</v>
      </c>
      <c r="H271" s="0" t="s">
        <v>240</v>
      </c>
      <c r="I271" s="0" t="s">
        <v>5484</v>
      </c>
      <c r="J271" s="0" t="s">
        <v>240</v>
      </c>
      <c r="K271" s="0" t="s">
        <v>240</v>
      </c>
      <c r="L271" s="0" t="s">
        <v>240</v>
      </c>
      <c r="M271" s="0" t="s">
        <v>240</v>
      </c>
      <c r="N271" s="0" t="s">
        <v>240</v>
      </c>
      <c r="O271" s="0" t="s">
        <v>240</v>
      </c>
      <c r="P271" s="0" t="s">
        <v>240</v>
      </c>
      <c r="Q271" s="0" t="s">
        <v>240</v>
      </c>
      <c r="R271" s="0" t="s">
        <v>5572</v>
      </c>
      <c r="S271" s="0" t="s">
        <v>240</v>
      </c>
      <c r="T271" s="0" t="s">
        <v>240</v>
      </c>
      <c r="U271" s="0" t="s">
        <v>102</v>
      </c>
      <c r="V271" s="0" t="s">
        <v>240</v>
      </c>
      <c r="W271" s="0" t="s">
        <v>240</v>
      </c>
      <c r="X271" s="0" t="s">
        <v>5485</v>
      </c>
      <c r="Y271" s="0" t="s">
        <v>240</v>
      </c>
      <c r="Z271" s="0" t="s">
        <v>161</v>
      </c>
      <c r="AA271" s="0" t="s">
        <v>152</v>
      </c>
      <c r="AB271" s="0" t="s">
        <v>152</v>
      </c>
      <c r="AC271" s="0" t="s">
        <v>2989</v>
      </c>
      <c r="AD271" s="0" t="s">
        <v>2989</v>
      </c>
      <c r="AE271" s="0" t="s">
        <v>2990</v>
      </c>
      <c r="AF271" s="0" t="s">
        <v>6719</v>
      </c>
      <c r="AG271" s="0" t="s">
        <v>6720</v>
      </c>
      <c r="AH271" s="0" t="s">
        <v>6721</v>
      </c>
      <c r="AI271" s="0" t="s">
        <v>5575</v>
      </c>
      <c r="AJ271" s="0" t="s">
        <v>6508</v>
      </c>
      <c r="AK271" s="0" t="s">
        <v>6407</v>
      </c>
      <c r="AL271" s="0" t="s">
        <v>5506</v>
      </c>
      <c r="AM271" s="0" t="s">
        <v>5493</v>
      </c>
      <c r="AN271" s="0" t="s">
        <v>5578</v>
      </c>
      <c r="AO271" s="0" t="s">
        <v>5855</v>
      </c>
      <c r="AP271" s="0" t="s">
        <v>240</v>
      </c>
      <c r="AQ271" s="0" t="s">
        <v>240</v>
      </c>
      <c r="AR271" s="0" t="s">
        <v>240</v>
      </c>
      <c r="AS271" s="0" t="s">
        <v>240</v>
      </c>
      <c r="AT271" s="0" t="s">
        <v>240</v>
      </c>
      <c r="AU271" s="0" t="s">
        <v>240</v>
      </c>
      <c r="AV271" s="0" t="s">
        <v>240</v>
      </c>
      <c r="AW271" s="0" t="s">
        <v>240</v>
      </c>
      <c r="AX271" s="0" t="s">
        <v>240</v>
      </c>
      <c r="AY271" s="0" t="s">
        <v>240</v>
      </c>
      <c r="AZ271" s="0" t="s">
        <v>240</v>
      </c>
      <c r="BA271" s="0" t="s">
        <v>240</v>
      </c>
      <c r="BB271" s="0" t="s">
        <v>240</v>
      </c>
      <c r="BC271" s="0" t="s">
        <v>240</v>
      </c>
      <c r="BD271" s="0" t="s">
        <v>240</v>
      </c>
      <c r="BE271" s="0" t="s">
        <v>240</v>
      </c>
      <c r="BF271" s="0" t="s">
        <v>240</v>
      </c>
      <c r="BG271" s="0" t="s">
        <v>240</v>
      </c>
      <c r="BH271" s="0" t="s">
        <v>240</v>
      </c>
      <c r="BI271" s="0" t="s">
        <v>240</v>
      </c>
      <c r="BJ271" s="0" t="s">
        <v>240</v>
      </c>
      <c r="BK271" s="0" t="s">
        <v>240</v>
      </c>
      <c r="BL271" s="0" t="s">
        <v>240</v>
      </c>
      <c r="BM271" s="0" t="s">
        <v>240</v>
      </c>
      <c r="BN271" s="0" t="s">
        <v>240</v>
      </c>
      <c r="BO271" s="0" t="s">
        <v>240</v>
      </c>
      <c r="BP271" s="0" t="s">
        <v>240</v>
      </c>
      <c r="BQ271" s="0" t="s">
        <v>240</v>
      </c>
      <c r="BR271" s="0" t="s">
        <v>240</v>
      </c>
      <c r="BS271" s="0" t="s">
        <v>240</v>
      </c>
      <c r="BT271" s="0" t="s">
        <v>240</v>
      </c>
      <c r="BU271" s="0" t="s">
        <v>240</v>
      </c>
      <c r="BV271" s="0" t="s">
        <v>240</v>
      </c>
      <c r="BW271" s="0" t="s">
        <v>240</v>
      </c>
      <c r="BX271" s="0" t="s">
        <v>240</v>
      </c>
      <c r="BY271" s="0" t="s">
        <v>240</v>
      </c>
      <c r="BZ271" s="0" t="s">
        <v>240</v>
      </c>
      <c r="CA271" s="0" t="s">
        <v>240</v>
      </c>
      <c r="CB271" s="0" t="s">
        <v>240</v>
      </c>
      <c r="CC271" s="0" t="s">
        <v>240</v>
      </c>
      <c r="CD271" s="0" t="s">
        <v>240</v>
      </c>
      <c r="CE271" s="0" t="s">
        <v>240</v>
      </c>
      <c r="CF271" s="0" t="s">
        <v>240</v>
      </c>
      <c r="CG271" s="0" t="s">
        <v>240</v>
      </c>
      <c r="CH271" s="0" t="s">
        <v>240</v>
      </c>
      <c r="CI271" s="0" t="s">
        <v>240</v>
      </c>
      <c r="CJ271" s="0" t="s">
        <v>240</v>
      </c>
      <c r="CK271" s="0" t="s">
        <v>240</v>
      </c>
      <c r="CL271" s="0" t="s">
        <v>240</v>
      </c>
      <c r="CM271" s="0" t="s">
        <v>240</v>
      </c>
      <c r="CN271" s="0" t="s">
        <v>240</v>
      </c>
      <c r="CO271" s="0" t="s">
        <v>240</v>
      </c>
      <c r="CP271" s="0" t="s">
        <v>240</v>
      </c>
      <c r="CQ271" s="0" t="s">
        <v>240</v>
      </c>
      <c r="CR271" s="0" t="s">
        <v>240</v>
      </c>
      <c r="CS271" s="0" t="s">
        <v>240</v>
      </c>
      <c r="CT271" s="0" t="s">
        <v>5496</v>
      </c>
      <c r="CU271" s="0" t="s">
        <v>5497</v>
      </c>
      <c r="CV271" s="0" t="s">
        <v>443</v>
      </c>
      <c r="CW271" s="0" t="s">
        <v>5580</v>
      </c>
      <c r="CX271" s="0" t="s">
        <v>229</v>
      </c>
      <c r="CY271" s="0" t="s">
        <v>443</v>
      </c>
      <c r="CZ271" s="0" t="s">
        <v>5581</v>
      </c>
      <c r="DA271" s="0" t="s">
        <v>5582</v>
      </c>
      <c r="DB271" s="0" t="s">
        <v>5580</v>
      </c>
      <c r="DC271" s="0" t="s">
        <v>384</v>
      </c>
      <c r="DD271" s="0" t="s">
        <v>291</v>
      </c>
      <c r="DE271" s="0" t="s">
        <v>6722</v>
      </c>
    </row>
    <row customHeight="1" ht="11.25">
      <c r="A272" s="1441" t="s">
        <v>240</v>
      </c>
      <c r="B272" s="0" t="s">
        <v>240</v>
      </c>
      <c r="C272" s="0" t="s">
        <v>240</v>
      </c>
      <c r="D272" s="0" t="s">
        <v>240</v>
      </c>
      <c r="E272" s="0" t="s">
        <v>240</v>
      </c>
      <c r="F272" s="0" t="s">
        <v>240</v>
      </c>
      <c r="G272" s="0" t="s">
        <v>240</v>
      </c>
      <c r="H272" s="0" t="s">
        <v>240</v>
      </c>
      <c r="I272" s="0" t="s">
        <v>5484</v>
      </c>
      <c r="J272" s="0" t="s">
        <v>240</v>
      </c>
      <c r="K272" s="0" t="s">
        <v>240</v>
      </c>
      <c r="L272" s="0" t="s">
        <v>240</v>
      </c>
      <c r="M272" s="0" t="s">
        <v>240</v>
      </c>
      <c r="N272" s="0" t="s">
        <v>240</v>
      </c>
      <c r="O272" s="0" t="s">
        <v>240</v>
      </c>
      <c r="P272" s="0" t="s">
        <v>240</v>
      </c>
      <c r="Q272" s="0" t="s">
        <v>240</v>
      </c>
      <c r="R272" s="0" t="s">
        <v>6723</v>
      </c>
      <c r="S272" s="0" t="s">
        <v>240</v>
      </c>
      <c r="T272" s="0" t="s">
        <v>240</v>
      </c>
      <c r="U272" s="0" t="s">
        <v>102</v>
      </c>
      <c r="V272" s="0" t="s">
        <v>240</v>
      </c>
      <c r="W272" s="0" t="s">
        <v>240</v>
      </c>
      <c r="X272" s="0" t="s">
        <v>5485</v>
      </c>
      <c r="Y272" s="0" t="s">
        <v>240</v>
      </c>
      <c r="Z272" s="0" t="s">
        <v>161</v>
      </c>
      <c r="AA272" s="0" t="s">
        <v>152</v>
      </c>
      <c r="AB272" s="0" t="s">
        <v>152</v>
      </c>
      <c r="AC272" s="0" t="s">
        <v>3389</v>
      </c>
      <c r="AD272" s="0" t="s">
        <v>3389</v>
      </c>
      <c r="AE272" s="0" t="s">
        <v>3390</v>
      </c>
      <c r="AF272" s="0" t="s">
        <v>5519</v>
      </c>
      <c r="AG272" s="0" t="s">
        <v>5520</v>
      </c>
      <c r="AH272" s="0" t="s">
        <v>5566</v>
      </c>
      <c r="AI272" s="0" t="s">
        <v>5567</v>
      </c>
      <c r="AJ272" s="0" t="s">
        <v>5568</v>
      </c>
      <c r="AK272" s="0" t="s">
        <v>6724</v>
      </c>
      <c r="AL272" s="0" t="s">
        <v>5605</v>
      </c>
      <c r="AM272" s="0" t="s">
        <v>5493</v>
      </c>
      <c r="AN272" s="0" t="s">
        <v>6725</v>
      </c>
      <c r="AO272" s="0" t="s">
        <v>6726</v>
      </c>
      <c r="AP272" s="0" t="s">
        <v>240</v>
      </c>
      <c r="AQ272" s="0" t="s">
        <v>240</v>
      </c>
      <c r="AR272" s="0" t="s">
        <v>240</v>
      </c>
      <c r="AS272" s="0" t="s">
        <v>240</v>
      </c>
      <c r="AT272" s="0" t="s">
        <v>240</v>
      </c>
      <c r="AU272" s="0" t="s">
        <v>240</v>
      </c>
      <c r="AV272" s="0" t="s">
        <v>240</v>
      </c>
      <c r="AW272" s="0" t="s">
        <v>240</v>
      </c>
      <c r="AX272" s="0" t="s">
        <v>240</v>
      </c>
      <c r="AY272" s="0" t="s">
        <v>240</v>
      </c>
      <c r="AZ272" s="0" t="s">
        <v>240</v>
      </c>
      <c r="BA272" s="0" t="s">
        <v>240</v>
      </c>
      <c r="BB272" s="0" t="s">
        <v>240</v>
      </c>
      <c r="BC272" s="0" t="s">
        <v>240</v>
      </c>
      <c r="BD272" s="0" t="s">
        <v>240</v>
      </c>
      <c r="BE272" s="0" t="s">
        <v>240</v>
      </c>
      <c r="BF272" s="0" t="s">
        <v>240</v>
      </c>
      <c r="BG272" s="0" t="s">
        <v>240</v>
      </c>
      <c r="BH272" s="0" t="s">
        <v>240</v>
      </c>
      <c r="BI272" s="0" t="s">
        <v>240</v>
      </c>
      <c r="BJ272" s="0" t="s">
        <v>240</v>
      </c>
      <c r="BK272" s="0" t="s">
        <v>240</v>
      </c>
      <c r="BL272" s="0" t="s">
        <v>240</v>
      </c>
      <c r="BM272" s="0" t="s">
        <v>240</v>
      </c>
      <c r="BN272" s="0" t="s">
        <v>240</v>
      </c>
      <c r="BO272" s="0" t="s">
        <v>240</v>
      </c>
      <c r="BP272" s="0" t="s">
        <v>240</v>
      </c>
      <c r="BQ272" s="0" t="s">
        <v>240</v>
      </c>
      <c r="BR272" s="0" t="s">
        <v>240</v>
      </c>
      <c r="BS272" s="0" t="s">
        <v>240</v>
      </c>
      <c r="BT272" s="0" t="s">
        <v>240</v>
      </c>
      <c r="BU272" s="0" t="s">
        <v>240</v>
      </c>
      <c r="BV272" s="0" t="s">
        <v>240</v>
      </c>
      <c r="BW272" s="0" t="s">
        <v>240</v>
      </c>
      <c r="BX272" s="0" t="s">
        <v>240</v>
      </c>
      <c r="BY272" s="0" t="s">
        <v>240</v>
      </c>
      <c r="BZ272" s="0" t="s">
        <v>240</v>
      </c>
      <c r="CA272" s="0" t="s">
        <v>240</v>
      </c>
      <c r="CB272" s="0" t="s">
        <v>240</v>
      </c>
      <c r="CC272" s="0" t="s">
        <v>240</v>
      </c>
      <c r="CD272" s="0" t="s">
        <v>240</v>
      </c>
      <c r="CE272" s="0" t="s">
        <v>240</v>
      </c>
      <c r="CF272" s="0" t="s">
        <v>240</v>
      </c>
      <c r="CG272" s="0" t="s">
        <v>240</v>
      </c>
      <c r="CH272" s="0" t="s">
        <v>240</v>
      </c>
      <c r="CI272" s="0" t="s">
        <v>240</v>
      </c>
      <c r="CJ272" s="0" t="s">
        <v>240</v>
      </c>
      <c r="CK272" s="0" t="s">
        <v>240</v>
      </c>
      <c r="CL272" s="0" t="s">
        <v>240</v>
      </c>
      <c r="CM272" s="0" t="s">
        <v>240</v>
      </c>
      <c r="CN272" s="0" t="s">
        <v>240</v>
      </c>
      <c r="CO272" s="0" t="s">
        <v>240</v>
      </c>
      <c r="CP272" s="0" t="s">
        <v>240</v>
      </c>
      <c r="CQ272" s="0" t="s">
        <v>240</v>
      </c>
      <c r="CR272" s="0" t="s">
        <v>240</v>
      </c>
      <c r="CS272" s="0" t="s">
        <v>240</v>
      </c>
      <c r="CT272" s="0" t="s">
        <v>5496</v>
      </c>
      <c r="CU272" s="0" t="s">
        <v>5497</v>
      </c>
      <c r="CV272" s="0" t="s">
        <v>443</v>
      </c>
      <c r="CW272" s="0" t="s">
        <v>5527</v>
      </c>
      <c r="CX272" s="0" t="s">
        <v>5528</v>
      </c>
      <c r="CY272" s="0" t="s">
        <v>443</v>
      </c>
      <c r="CZ272" s="0" t="s">
        <v>299</v>
      </c>
      <c r="DA272" s="0" t="s">
        <v>5529</v>
      </c>
      <c r="DB272" s="0" t="s">
        <v>5527</v>
      </c>
      <c r="DC272" s="0" t="s">
        <v>384</v>
      </c>
      <c r="DD272" s="0" t="s">
        <v>291</v>
      </c>
      <c r="DE272" s="0" t="s">
        <v>5571</v>
      </c>
    </row>
    <row customHeight="1" ht="11.25">
      <c r="A273" s="1441" t="s">
        <v>240</v>
      </c>
      <c r="B273" s="0" t="s">
        <v>240</v>
      </c>
      <c r="C273" s="0" t="s">
        <v>240</v>
      </c>
      <c r="D273" s="0" t="s">
        <v>240</v>
      </c>
      <c r="E273" s="0" t="s">
        <v>240</v>
      </c>
      <c r="F273" s="0" t="s">
        <v>240</v>
      </c>
      <c r="G273" s="0" t="s">
        <v>240</v>
      </c>
      <c r="H273" s="0" t="s">
        <v>240</v>
      </c>
      <c r="I273" s="0" t="s">
        <v>5484</v>
      </c>
      <c r="J273" s="0" t="s">
        <v>240</v>
      </c>
      <c r="K273" s="0" t="s">
        <v>240</v>
      </c>
      <c r="L273" s="0" t="s">
        <v>240</v>
      </c>
      <c r="M273" s="0" t="s">
        <v>240</v>
      </c>
      <c r="N273" s="0" t="s">
        <v>240</v>
      </c>
      <c r="O273" s="0" t="s">
        <v>240</v>
      </c>
      <c r="P273" s="0" t="s">
        <v>240</v>
      </c>
      <c r="Q273" s="0" t="s">
        <v>240</v>
      </c>
      <c r="R273" s="0" t="s">
        <v>5608</v>
      </c>
      <c r="S273" s="0" t="s">
        <v>240</v>
      </c>
      <c r="T273" s="0" t="s">
        <v>240</v>
      </c>
      <c r="U273" s="0" t="s">
        <v>102</v>
      </c>
      <c r="V273" s="0" t="s">
        <v>240</v>
      </c>
      <c r="W273" s="0" t="s">
        <v>240</v>
      </c>
      <c r="X273" s="0" t="s">
        <v>5485</v>
      </c>
      <c r="Y273" s="0" t="s">
        <v>240</v>
      </c>
      <c r="Z273" s="0" t="s">
        <v>161</v>
      </c>
      <c r="AA273" s="0" t="s">
        <v>152</v>
      </c>
      <c r="AB273" s="0" t="s">
        <v>152</v>
      </c>
      <c r="AC273" s="0" t="s">
        <v>2985</v>
      </c>
      <c r="AD273" s="0" t="s">
        <v>2985</v>
      </c>
      <c r="AE273" s="0" t="s">
        <v>2986</v>
      </c>
      <c r="AF273" s="0" t="s">
        <v>6474</v>
      </c>
      <c r="AG273" s="0" t="s">
        <v>6475</v>
      </c>
      <c r="AH273" s="0" t="s">
        <v>6727</v>
      </c>
      <c r="AI273" s="0" t="s">
        <v>5644</v>
      </c>
      <c r="AJ273" s="0" t="s">
        <v>6268</v>
      </c>
      <c r="AK273" s="0" t="s">
        <v>5731</v>
      </c>
      <c r="AL273" s="0" t="s">
        <v>5605</v>
      </c>
      <c r="AM273" s="0" t="s">
        <v>5493</v>
      </c>
      <c r="AN273" s="0" t="s">
        <v>5507</v>
      </c>
      <c r="AO273" s="0" t="s">
        <v>6481</v>
      </c>
      <c r="AP273" s="0" t="s">
        <v>240</v>
      </c>
      <c r="AQ273" s="0" t="s">
        <v>240</v>
      </c>
      <c r="AR273" s="0" t="s">
        <v>240</v>
      </c>
      <c r="AS273" s="0" t="s">
        <v>240</v>
      </c>
      <c r="AT273" s="0" t="s">
        <v>240</v>
      </c>
      <c r="AU273" s="0" t="s">
        <v>240</v>
      </c>
      <c r="AV273" s="0" t="s">
        <v>240</v>
      </c>
      <c r="AW273" s="0" t="s">
        <v>240</v>
      </c>
      <c r="AX273" s="0" t="s">
        <v>240</v>
      </c>
      <c r="AY273" s="0" t="s">
        <v>240</v>
      </c>
      <c r="AZ273" s="0" t="s">
        <v>240</v>
      </c>
      <c r="BA273" s="0" t="s">
        <v>240</v>
      </c>
      <c r="BB273" s="0" t="s">
        <v>240</v>
      </c>
      <c r="BC273" s="0" t="s">
        <v>240</v>
      </c>
      <c r="BD273" s="0" t="s">
        <v>240</v>
      </c>
      <c r="BE273" s="0" t="s">
        <v>240</v>
      </c>
      <c r="BF273" s="0" t="s">
        <v>240</v>
      </c>
      <c r="BG273" s="0" t="s">
        <v>240</v>
      </c>
      <c r="BH273" s="0" t="s">
        <v>240</v>
      </c>
      <c r="BI273" s="0" t="s">
        <v>240</v>
      </c>
      <c r="BJ273" s="0" t="s">
        <v>240</v>
      </c>
      <c r="BK273" s="0" t="s">
        <v>240</v>
      </c>
      <c r="BL273" s="0" t="s">
        <v>240</v>
      </c>
      <c r="BM273" s="0" t="s">
        <v>240</v>
      </c>
      <c r="BN273" s="0" t="s">
        <v>240</v>
      </c>
      <c r="BO273" s="0" t="s">
        <v>240</v>
      </c>
      <c r="BP273" s="0" t="s">
        <v>240</v>
      </c>
      <c r="BQ273" s="0" t="s">
        <v>240</v>
      </c>
      <c r="BR273" s="0" t="s">
        <v>240</v>
      </c>
      <c r="BS273" s="0" t="s">
        <v>240</v>
      </c>
      <c r="BT273" s="0" t="s">
        <v>240</v>
      </c>
      <c r="BU273" s="0" t="s">
        <v>240</v>
      </c>
      <c r="BV273" s="0" t="s">
        <v>240</v>
      </c>
      <c r="BW273" s="0" t="s">
        <v>240</v>
      </c>
      <c r="BX273" s="0" t="s">
        <v>240</v>
      </c>
      <c r="BY273" s="0" t="s">
        <v>240</v>
      </c>
      <c r="BZ273" s="0" t="s">
        <v>240</v>
      </c>
      <c r="CA273" s="0" t="s">
        <v>240</v>
      </c>
      <c r="CB273" s="0" t="s">
        <v>240</v>
      </c>
      <c r="CC273" s="0" t="s">
        <v>240</v>
      </c>
      <c r="CD273" s="0" t="s">
        <v>240</v>
      </c>
      <c r="CE273" s="0" t="s">
        <v>240</v>
      </c>
      <c r="CF273" s="0" t="s">
        <v>240</v>
      </c>
      <c r="CG273" s="0" t="s">
        <v>240</v>
      </c>
      <c r="CH273" s="0" t="s">
        <v>240</v>
      </c>
      <c r="CI273" s="0" t="s">
        <v>240</v>
      </c>
      <c r="CJ273" s="0" t="s">
        <v>240</v>
      </c>
      <c r="CK273" s="0" t="s">
        <v>240</v>
      </c>
      <c r="CL273" s="0" t="s">
        <v>240</v>
      </c>
      <c r="CM273" s="0" t="s">
        <v>240</v>
      </c>
      <c r="CN273" s="0" t="s">
        <v>240</v>
      </c>
      <c r="CO273" s="0" t="s">
        <v>240</v>
      </c>
      <c r="CP273" s="0" t="s">
        <v>240</v>
      </c>
      <c r="CQ273" s="0" t="s">
        <v>240</v>
      </c>
      <c r="CR273" s="0" t="s">
        <v>240</v>
      </c>
      <c r="CS273" s="0" t="s">
        <v>240</v>
      </c>
      <c r="CT273" s="0" t="s">
        <v>5496</v>
      </c>
      <c r="CU273" s="0" t="s">
        <v>5497</v>
      </c>
      <c r="CV273" s="0" t="s">
        <v>443</v>
      </c>
      <c r="CW273" s="0" t="s">
        <v>5509</v>
      </c>
      <c r="CX273" s="0" t="s">
        <v>229</v>
      </c>
      <c r="CY273" s="0" t="s">
        <v>443</v>
      </c>
      <c r="CZ273" s="0" t="s">
        <v>5510</v>
      </c>
      <c r="DA273" s="0" t="s">
        <v>5511</v>
      </c>
      <c r="DB273" s="0" t="s">
        <v>5509</v>
      </c>
      <c r="DC273" s="0" t="s">
        <v>384</v>
      </c>
      <c r="DD273" s="0" t="s">
        <v>291</v>
      </c>
      <c r="DE273" s="0" t="s">
        <v>6728</v>
      </c>
    </row>
    <row customHeight="1" ht="11.25">
      <c r="A274" s="1441" t="s">
        <v>240</v>
      </c>
      <c r="B274" s="0" t="s">
        <v>240</v>
      </c>
      <c r="C274" s="0" t="s">
        <v>240</v>
      </c>
      <c r="D274" s="0" t="s">
        <v>240</v>
      </c>
      <c r="E274" s="0" t="s">
        <v>240</v>
      </c>
      <c r="F274" s="0" t="s">
        <v>240</v>
      </c>
      <c r="G274" s="0" t="s">
        <v>240</v>
      </c>
      <c r="H274" s="0" t="s">
        <v>240</v>
      </c>
      <c r="I274" s="0" t="s">
        <v>5484</v>
      </c>
      <c r="J274" s="0" t="s">
        <v>240</v>
      </c>
      <c r="K274" s="0" t="s">
        <v>240</v>
      </c>
      <c r="L274" s="0" t="s">
        <v>240</v>
      </c>
      <c r="M274" s="0" t="s">
        <v>240</v>
      </c>
      <c r="N274" s="0" t="s">
        <v>240</v>
      </c>
      <c r="O274" s="0" t="s">
        <v>240</v>
      </c>
      <c r="P274" s="0" t="s">
        <v>240</v>
      </c>
      <c r="Q274" s="0" t="s">
        <v>240</v>
      </c>
      <c r="R274" s="0" t="s">
        <v>449</v>
      </c>
      <c r="S274" s="0" t="s">
        <v>240</v>
      </c>
      <c r="T274" s="0" t="s">
        <v>240</v>
      </c>
      <c r="U274" s="0" t="s">
        <v>102</v>
      </c>
      <c r="V274" s="0" t="s">
        <v>240</v>
      </c>
      <c r="W274" s="0" t="s">
        <v>240</v>
      </c>
      <c r="X274" s="0" t="s">
        <v>5585</v>
      </c>
      <c r="Y274" s="0" t="s">
        <v>240</v>
      </c>
      <c r="Z274" s="0" t="s">
        <v>152</v>
      </c>
      <c r="AA274" s="0" t="s">
        <v>152</v>
      </c>
      <c r="AB274" s="0" t="s">
        <v>161</v>
      </c>
      <c r="AC274" s="0" t="s">
        <v>2985</v>
      </c>
      <c r="AD274" s="0" t="s">
        <v>2985</v>
      </c>
      <c r="AE274" s="0" t="s">
        <v>2986</v>
      </c>
      <c r="AF274" s="0" t="s">
        <v>5632</v>
      </c>
      <c r="AG274" s="0" t="s">
        <v>5633</v>
      </c>
      <c r="AH274" s="0" t="s">
        <v>5632</v>
      </c>
      <c r="AI274" s="0" t="s">
        <v>5644</v>
      </c>
      <c r="AJ274" s="0" t="s">
        <v>240</v>
      </c>
      <c r="AK274" s="0" t="s">
        <v>240</v>
      </c>
      <c r="AL274" s="0" t="s">
        <v>240</v>
      </c>
      <c r="AM274" s="0" t="s">
        <v>240</v>
      </c>
      <c r="AN274" s="0" t="s">
        <v>240</v>
      </c>
      <c r="AO274" s="0" t="s">
        <v>240</v>
      </c>
      <c r="AP274" s="0" t="s">
        <v>240</v>
      </c>
      <c r="AQ274" s="0" t="s">
        <v>240</v>
      </c>
      <c r="AR274" s="0" t="s">
        <v>240</v>
      </c>
      <c r="AS274" s="0" t="s">
        <v>240</v>
      </c>
      <c r="AT274" s="0" t="s">
        <v>240</v>
      </c>
      <c r="AU274" s="0" t="s">
        <v>240</v>
      </c>
      <c r="AV274" s="0" t="s">
        <v>240</v>
      </c>
      <c r="AW274" s="0" t="s">
        <v>240</v>
      </c>
      <c r="AX274" s="0" t="s">
        <v>240</v>
      </c>
      <c r="AY274" s="0" t="s">
        <v>240</v>
      </c>
      <c r="AZ274" s="0" t="s">
        <v>240</v>
      </c>
      <c r="BA274" s="0" t="s">
        <v>240</v>
      </c>
      <c r="BB274" s="0" t="s">
        <v>240</v>
      </c>
      <c r="BC274" s="0" t="s">
        <v>240</v>
      </c>
      <c r="BD274" s="0" t="s">
        <v>240</v>
      </c>
      <c r="BE274" s="0" t="s">
        <v>5645</v>
      </c>
      <c r="BF274" s="0" t="s">
        <v>5645</v>
      </c>
      <c r="BG274" s="0" t="s">
        <v>112</v>
      </c>
      <c r="BH274" s="0" t="s">
        <v>5589</v>
      </c>
      <c r="BI274" s="0" t="s">
        <v>123</v>
      </c>
      <c r="BJ274" s="0" t="s">
        <v>240</v>
      </c>
      <c r="BK274" s="0" t="s">
        <v>5608</v>
      </c>
      <c r="BL274" s="0" t="s">
        <v>2985</v>
      </c>
      <c r="BM274" s="0" t="s">
        <v>2985</v>
      </c>
      <c r="BN274" s="0" t="s">
        <v>5646</v>
      </c>
      <c r="BO274" s="0" t="s">
        <v>5632</v>
      </c>
      <c r="BP274" s="0" t="s">
        <v>6729</v>
      </c>
      <c r="BQ274" s="0" t="s">
        <v>5634</v>
      </c>
      <c r="BR274" s="0" t="s">
        <v>6730</v>
      </c>
      <c r="BS274" s="0" t="s">
        <v>240</v>
      </c>
      <c r="BT274" s="0" t="s">
        <v>5650</v>
      </c>
      <c r="BU274" s="0" t="s">
        <v>6731</v>
      </c>
      <c r="BV274" s="0" t="s">
        <v>6731</v>
      </c>
      <c r="BW274" s="0" t="s">
        <v>5598</v>
      </c>
      <c r="BX274" s="0" t="s">
        <v>5598</v>
      </c>
      <c r="BY274" s="0" t="s">
        <v>5598</v>
      </c>
      <c r="BZ274" s="0" t="s">
        <v>5598</v>
      </c>
      <c r="CA274" s="0" t="s">
        <v>5598</v>
      </c>
      <c r="CB274" s="0" t="s">
        <v>240</v>
      </c>
      <c r="CC274" s="0" t="s">
        <v>240</v>
      </c>
      <c r="CD274" s="0" t="s">
        <v>240</v>
      </c>
      <c r="CE274" s="0" t="s">
        <v>240</v>
      </c>
      <c r="CF274" s="0" t="s">
        <v>240</v>
      </c>
      <c r="CG274" s="0" t="s">
        <v>5598</v>
      </c>
      <c r="CH274" s="0" t="s">
        <v>240</v>
      </c>
      <c r="CI274" s="0" t="s">
        <v>240</v>
      </c>
      <c r="CJ274" s="0" t="s">
        <v>240</v>
      </c>
      <c r="CK274" s="0" t="s">
        <v>240</v>
      </c>
      <c r="CL274" s="0" t="s">
        <v>240</v>
      </c>
      <c r="CM274" s="0" t="s">
        <v>6731</v>
      </c>
      <c r="CN274" s="0" t="s">
        <v>6731</v>
      </c>
      <c r="CO274" s="0" t="s">
        <v>240</v>
      </c>
      <c r="CP274" s="0" t="s">
        <v>240</v>
      </c>
      <c r="CQ274" s="0" t="s">
        <v>240</v>
      </c>
      <c r="CR274" s="0" t="s">
        <v>240</v>
      </c>
      <c r="CS274" s="0" t="s">
        <v>5507</v>
      </c>
      <c r="CT274" s="0" t="s">
        <v>5496</v>
      </c>
      <c r="CU274" s="0" t="s">
        <v>5497</v>
      </c>
      <c r="CV274" s="0" t="s">
        <v>443</v>
      </c>
      <c r="CW274" s="0" t="s">
        <v>5509</v>
      </c>
      <c r="CX274" s="0" t="s">
        <v>229</v>
      </c>
      <c r="CY274" s="0" t="s">
        <v>443</v>
      </c>
      <c r="CZ274" s="0" t="s">
        <v>5510</v>
      </c>
      <c r="DA274" s="0" t="s">
        <v>5511</v>
      </c>
      <c r="DB274" s="0" t="s">
        <v>5509</v>
      </c>
      <c r="DC274" s="0" t="s">
        <v>384</v>
      </c>
      <c r="DD274" s="0" t="s">
        <v>291</v>
      </c>
      <c r="DE274" s="0" t="s">
        <v>6732</v>
      </c>
    </row>
    <row customHeight="1" ht="11.25">
      <c r="A275" s="1441" t="s">
        <v>240</v>
      </c>
      <c r="B275" s="0" t="s">
        <v>240</v>
      </c>
      <c r="C275" s="0" t="s">
        <v>240</v>
      </c>
      <c r="D275" s="0" t="s">
        <v>240</v>
      </c>
      <c r="E275" s="0" t="s">
        <v>240</v>
      </c>
      <c r="F275" s="0" t="s">
        <v>240</v>
      </c>
      <c r="G275" s="0" t="s">
        <v>240</v>
      </c>
      <c r="H275" s="0" t="s">
        <v>240</v>
      </c>
      <c r="I275" s="0" t="s">
        <v>5484</v>
      </c>
      <c r="J275" s="0" t="s">
        <v>240</v>
      </c>
      <c r="K275" s="0" t="s">
        <v>240</v>
      </c>
      <c r="L275" s="0" t="s">
        <v>240</v>
      </c>
      <c r="M275" s="0" t="s">
        <v>240</v>
      </c>
      <c r="N275" s="0" t="s">
        <v>240</v>
      </c>
      <c r="O275" s="0" t="s">
        <v>240</v>
      </c>
      <c r="P275" s="0" t="s">
        <v>240</v>
      </c>
      <c r="Q275" s="0" t="s">
        <v>240</v>
      </c>
      <c r="R275" s="0" t="s">
        <v>6733</v>
      </c>
      <c r="S275" s="0" t="s">
        <v>240</v>
      </c>
      <c r="T275" s="0" t="s">
        <v>240</v>
      </c>
      <c r="U275" s="0" t="s">
        <v>102</v>
      </c>
      <c r="V275" s="0" t="s">
        <v>240</v>
      </c>
      <c r="W275" s="0" t="s">
        <v>240</v>
      </c>
      <c r="X275" s="0" t="s">
        <v>5485</v>
      </c>
      <c r="Y275" s="0" t="s">
        <v>240</v>
      </c>
      <c r="Z275" s="0" t="s">
        <v>161</v>
      </c>
      <c r="AA275" s="0" t="s">
        <v>152</v>
      </c>
      <c r="AB275" s="0" t="s">
        <v>152</v>
      </c>
      <c r="AC275" s="0" t="s">
        <v>2991</v>
      </c>
      <c r="AD275" s="0" t="s">
        <v>2991</v>
      </c>
      <c r="AE275" s="0" t="s">
        <v>2992</v>
      </c>
      <c r="AF275" s="0" t="s">
        <v>5749</v>
      </c>
      <c r="AG275" s="0" t="s">
        <v>5750</v>
      </c>
      <c r="AH275" s="0" t="s">
        <v>6734</v>
      </c>
      <c r="AI275" s="0" t="s">
        <v>6306</v>
      </c>
      <c r="AJ275" s="0" t="s">
        <v>5504</v>
      </c>
      <c r="AK275" s="0" t="s">
        <v>5731</v>
      </c>
      <c r="AL275" s="0" t="s">
        <v>5506</v>
      </c>
      <c r="AM275" s="0" t="s">
        <v>5493</v>
      </c>
      <c r="AN275" s="0" t="s">
        <v>5553</v>
      </c>
      <c r="AO275" s="0" t="s">
        <v>5680</v>
      </c>
      <c r="AP275" s="0" t="s">
        <v>240</v>
      </c>
      <c r="AQ275" s="0" t="s">
        <v>240</v>
      </c>
      <c r="AR275" s="0" t="s">
        <v>240</v>
      </c>
      <c r="AS275" s="0" t="s">
        <v>240</v>
      </c>
      <c r="AT275" s="0" t="s">
        <v>240</v>
      </c>
      <c r="AU275" s="0" t="s">
        <v>240</v>
      </c>
      <c r="AV275" s="0" t="s">
        <v>240</v>
      </c>
      <c r="AW275" s="0" t="s">
        <v>240</v>
      </c>
      <c r="AX275" s="0" t="s">
        <v>240</v>
      </c>
      <c r="AY275" s="0" t="s">
        <v>240</v>
      </c>
      <c r="AZ275" s="0" t="s">
        <v>240</v>
      </c>
      <c r="BA275" s="0" t="s">
        <v>240</v>
      </c>
      <c r="BB275" s="0" t="s">
        <v>240</v>
      </c>
      <c r="BC275" s="0" t="s">
        <v>240</v>
      </c>
      <c r="BD275" s="0" t="s">
        <v>240</v>
      </c>
      <c r="BE275" s="0" t="s">
        <v>240</v>
      </c>
      <c r="BF275" s="0" t="s">
        <v>240</v>
      </c>
      <c r="BG275" s="0" t="s">
        <v>240</v>
      </c>
      <c r="BH275" s="0" t="s">
        <v>240</v>
      </c>
      <c r="BI275" s="0" t="s">
        <v>240</v>
      </c>
      <c r="BJ275" s="0" t="s">
        <v>240</v>
      </c>
      <c r="BK275" s="0" t="s">
        <v>240</v>
      </c>
      <c r="BL275" s="0" t="s">
        <v>240</v>
      </c>
      <c r="BM275" s="0" t="s">
        <v>240</v>
      </c>
      <c r="BN275" s="0" t="s">
        <v>240</v>
      </c>
      <c r="BO275" s="0" t="s">
        <v>240</v>
      </c>
      <c r="BP275" s="0" t="s">
        <v>240</v>
      </c>
      <c r="BQ275" s="0" t="s">
        <v>240</v>
      </c>
      <c r="BR275" s="0" t="s">
        <v>240</v>
      </c>
      <c r="BS275" s="0" t="s">
        <v>240</v>
      </c>
      <c r="BT275" s="0" t="s">
        <v>240</v>
      </c>
      <c r="BU275" s="0" t="s">
        <v>240</v>
      </c>
      <c r="BV275" s="0" t="s">
        <v>240</v>
      </c>
      <c r="BW275" s="0" t="s">
        <v>240</v>
      </c>
      <c r="BX275" s="0" t="s">
        <v>240</v>
      </c>
      <c r="BY275" s="0" t="s">
        <v>240</v>
      </c>
      <c r="BZ275" s="0" t="s">
        <v>240</v>
      </c>
      <c r="CA275" s="0" t="s">
        <v>240</v>
      </c>
      <c r="CB275" s="0" t="s">
        <v>240</v>
      </c>
      <c r="CC275" s="0" t="s">
        <v>240</v>
      </c>
      <c r="CD275" s="0" t="s">
        <v>240</v>
      </c>
      <c r="CE275" s="0" t="s">
        <v>240</v>
      </c>
      <c r="CF275" s="0" t="s">
        <v>240</v>
      </c>
      <c r="CG275" s="0" t="s">
        <v>240</v>
      </c>
      <c r="CH275" s="0" t="s">
        <v>240</v>
      </c>
      <c r="CI275" s="0" t="s">
        <v>240</v>
      </c>
      <c r="CJ275" s="0" t="s">
        <v>240</v>
      </c>
      <c r="CK275" s="0" t="s">
        <v>240</v>
      </c>
      <c r="CL275" s="0" t="s">
        <v>240</v>
      </c>
      <c r="CM275" s="0" t="s">
        <v>240</v>
      </c>
      <c r="CN275" s="0" t="s">
        <v>240</v>
      </c>
      <c r="CO275" s="0" t="s">
        <v>240</v>
      </c>
      <c r="CP275" s="0" t="s">
        <v>240</v>
      </c>
      <c r="CQ275" s="0" t="s">
        <v>240</v>
      </c>
      <c r="CR275" s="0" t="s">
        <v>240</v>
      </c>
      <c r="CS275" s="0" t="s">
        <v>240</v>
      </c>
      <c r="CT275" s="0" t="s">
        <v>5496</v>
      </c>
      <c r="CU275" s="0" t="s">
        <v>5497</v>
      </c>
      <c r="CV275" s="0" t="s">
        <v>443</v>
      </c>
      <c r="CW275" s="0" t="s">
        <v>5547</v>
      </c>
      <c r="CX275" s="0" t="s">
        <v>229</v>
      </c>
      <c r="CY275" s="0" t="s">
        <v>443</v>
      </c>
      <c r="CZ275" s="0" t="s">
        <v>5548</v>
      </c>
      <c r="DA275" s="0" t="s">
        <v>5549</v>
      </c>
      <c r="DB275" s="0" t="s">
        <v>5547</v>
      </c>
      <c r="DC275" s="0" t="s">
        <v>384</v>
      </c>
      <c r="DD275" s="0" t="s">
        <v>291</v>
      </c>
      <c r="DE275" s="0" t="s">
        <v>6735</v>
      </c>
    </row>
    <row customHeight="1" ht="11.25">
      <c r="A276" s="1441" t="s">
        <v>240</v>
      </c>
      <c r="B276" s="0" t="s">
        <v>240</v>
      </c>
      <c r="C276" s="0" t="s">
        <v>240</v>
      </c>
      <c r="D276" s="0" t="s">
        <v>240</v>
      </c>
      <c r="E276" s="0" t="s">
        <v>240</v>
      </c>
      <c r="F276" s="0" t="s">
        <v>240</v>
      </c>
      <c r="G276" s="0" t="s">
        <v>240</v>
      </c>
      <c r="H276" s="0" t="s">
        <v>240</v>
      </c>
      <c r="I276" s="0" t="s">
        <v>5484</v>
      </c>
      <c r="J276" s="0" t="s">
        <v>240</v>
      </c>
      <c r="K276" s="0" t="s">
        <v>240</v>
      </c>
      <c r="L276" s="0" t="s">
        <v>240</v>
      </c>
      <c r="M276" s="0" t="s">
        <v>240</v>
      </c>
      <c r="N276" s="0" t="s">
        <v>240</v>
      </c>
      <c r="O276" s="0" t="s">
        <v>240</v>
      </c>
      <c r="P276" s="0" t="s">
        <v>240</v>
      </c>
      <c r="Q276" s="0" t="s">
        <v>240</v>
      </c>
      <c r="R276" s="0" t="s">
        <v>6736</v>
      </c>
      <c r="S276" s="0" t="s">
        <v>240</v>
      </c>
      <c r="T276" s="0" t="s">
        <v>240</v>
      </c>
      <c r="U276" s="0" t="s">
        <v>102</v>
      </c>
      <c r="V276" s="0" t="s">
        <v>240</v>
      </c>
      <c r="W276" s="0" t="s">
        <v>240</v>
      </c>
      <c r="X276" s="0" t="s">
        <v>5485</v>
      </c>
      <c r="Y276" s="0" t="s">
        <v>240</v>
      </c>
      <c r="Z276" s="0" t="s">
        <v>161</v>
      </c>
      <c r="AA276" s="0" t="s">
        <v>152</v>
      </c>
      <c r="AB276" s="0" t="s">
        <v>152</v>
      </c>
      <c r="AC276" s="0" t="s">
        <v>2991</v>
      </c>
      <c r="AD276" s="0" t="s">
        <v>2991</v>
      </c>
      <c r="AE276" s="0" t="s">
        <v>2992</v>
      </c>
      <c r="AF276" s="0" t="s">
        <v>5749</v>
      </c>
      <c r="AG276" s="0" t="s">
        <v>5750</v>
      </c>
      <c r="AH276" s="0" t="s">
        <v>6737</v>
      </c>
      <c r="AI276" s="0" t="s">
        <v>6531</v>
      </c>
      <c r="AJ276" s="0" t="s">
        <v>5504</v>
      </c>
      <c r="AK276" s="0" t="s">
        <v>5544</v>
      </c>
      <c r="AL276" s="0" t="s">
        <v>5506</v>
      </c>
      <c r="AM276" s="0" t="s">
        <v>5493</v>
      </c>
      <c r="AN276" s="0" t="s">
        <v>5553</v>
      </c>
      <c r="AO276" s="0" t="s">
        <v>5619</v>
      </c>
      <c r="AP276" s="0" t="s">
        <v>240</v>
      </c>
      <c r="AQ276" s="0" t="s">
        <v>240</v>
      </c>
      <c r="AR276" s="0" t="s">
        <v>240</v>
      </c>
      <c r="AS276" s="0" t="s">
        <v>240</v>
      </c>
      <c r="AT276" s="0" t="s">
        <v>240</v>
      </c>
      <c r="AU276" s="0" t="s">
        <v>240</v>
      </c>
      <c r="AV276" s="0" t="s">
        <v>240</v>
      </c>
      <c r="AW276" s="0" t="s">
        <v>240</v>
      </c>
      <c r="AX276" s="0" t="s">
        <v>240</v>
      </c>
      <c r="AY276" s="0" t="s">
        <v>240</v>
      </c>
      <c r="AZ276" s="0" t="s">
        <v>240</v>
      </c>
      <c r="BA276" s="0" t="s">
        <v>240</v>
      </c>
      <c r="BB276" s="0" t="s">
        <v>240</v>
      </c>
      <c r="BC276" s="0" t="s">
        <v>240</v>
      </c>
      <c r="BD276" s="0" t="s">
        <v>240</v>
      </c>
      <c r="BE276" s="0" t="s">
        <v>240</v>
      </c>
      <c r="BF276" s="0" t="s">
        <v>240</v>
      </c>
      <c r="BG276" s="0" t="s">
        <v>240</v>
      </c>
      <c r="BH276" s="0" t="s">
        <v>240</v>
      </c>
      <c r="BI276" s="0" t="s">
        <v>240</v>
      </c>
      <c r="BJ276" s="0" t="s">
        <v>240</v>
      </c>
      <c r="BK276" s="0" t="s">
        <v>240</v>
      </c>
      <c r="BL276" s="0" t="s">
        <v>240</v>
      </c>
      <c r="BM276" s="0" t="s">
        <v>240</v>
      </c>
      <c r="BN276" s="0" t="s">
        <v>240</v>
      </c>
      <c r="BO276" s="0" t="s">
        <v>240</v>
      </c>
      <c r="BP276" s="0" t="s">
        <v>240</v>
      </c>
      <c r="BQ276" s="0" t="s">
        <v>240</v>
      </c>
      <c r="BR276" s="0" t="s">
        <v>240</v>
      </c>
      <c r="BS276" s="0" t="s">
        <v>240</v>
      </c>
      <c r="BT276" s="0" t="s">
        <v>240</v>
      </c>
      <c r="BU276" s="0" t="s">
        <v>240</v>
      </c>
      <c r="BV276" s="0" t="s">
        <v>240</v>
      </c>
      <c r="BW276" s="0" t="s">
        <v>240</v>
      </c>
      <c r="BX276" s="0" t="s">
        <v>240</v>
      </c>
      <c r="BY276" s="0" t="s">
        <v>240</v>
      </c>
      <c r="BZ276" s="0" t="s">
        <v>240</v>
      </c>
      <c r="CA276" s="0" t="s">
        <v>240</v>
      </c>
      <c r="CB276" s="0" t="s">
        <v>240</v>
      </c>
      <c r="CC276" s="0" t="s">
        <v>240</v>
      </c>
      <c r="CD276" s="0" t="s">
        <v>240</v>
      </c>
      <c r="CE276" s="0" t="s">
        <v>240</v>
      </c>
      <c r="CF276" s="0" t="s">
        <v>240</v>
      </c>
      <c r="CG276" s="0" t="s">
        <v>240</v>
      </c>
      <c r="CH276" s="0" t="s">
        <v>240</v>
      </c>
      <c r="CI276" s="0" t="s">
        <v>240</v>
      </c>
      <c r="CJ276" s="0" t="s">
        <v>240</v>
      </c>
      <c r="CK276" s="0" t="s">
        <v>240</v>
      </c>
      <c r="CL276" s="0" t="s">
        <v>240</v>
      </c>
      <c r="CM276" s="0" t="s">
        <v>240</v>
      </c>
      <c r="CN276" s="0" t="s">
        <v>240</v>
      </c>
      <c r="CO276" s="0" t="s">
        <v>240</v>
      </c>
      <c r="CP276" s="0" t="s">
        <v>240</v>
      </c>
      <c r="CQ276" s="0" t="s">
        <v>240</v>
      </c>
      <c r="CR276" s="0" t="s">
        <v>240</v>
      </c>
      <c r="CS276" s="0" t="s">
        <v>240</v>
      </c>
      <c r="CT276" s="0" t="s">
        <v>5496</v>
      </c>
      <c r="CU276" s="0" t="s">
        <v>5497</v>
      </c>
      <c r="CV276" s="0" t="s">
        <v>443</v>
      </c>
      <c r="CW276" s="0" t="s">
        <v>5547</v>
      </c>
      <c r="CX276" s="0" t="s">
        <v>229</v>
      </c>
      <c r="CY276" s="0" t="s">
        <v>443</v>
      </c>
      <c r="CZ276" s="0" t="s">
        <v>5548</v>
      </c>
      <c r="DA276" s="0" t="s">
        <v>5549</v>
      </c>
      <c r="DB276" s="0" t="s">
        <v>5547</v>
      </c>
      <c r="DC276" s="0" t="s">
        <v>384</v>
      </c>
      <c r="DD276" s="0" t="s">
        <v>291</v>
      </c>
      <c r="DE276" s="0" t="s">
        <v>6738</v>
      </c>
    </row>
    <row customHeight="1" ht="11.25">
      <c r="A277" s="1441" t="s">
        <v>240</v>
      </c>
      <c r="B277" s="0" t="s">
        <v>240</v>
      </c>
      <c r="C277" s="0" t="s">
        <v>240</v>
      </c>
      <c r="D277" s="0" t="s">
        <v>240</v>
      </c>
      <c r="E277" s="0" t="s">
        <v>240</v>
      </c>
      <c r="F277" s="0" t="s">
        <v>240</v>
      </c>
      <c r="G277" s="0" t="s">
        <v>240</v>
      </c>
      <c r="H277" s="0" t="s">
        <v>240</v>
      </c>
      <c r="I277" s="0" t="s">
        <v>5484</v>
      </c>
      <c r="J277" s="0" t="s">
        <v>240</v>
      </c>
      <c r="K277" s="0" t="s">
        <v>240</v>
      </c>
      <c r="L277" s="0" t="s">
        <v>240</v>
      </c>
      <c r="M277" s="0" t="s">
        <v>240</v>
      </c>
      <c r="N277" s="0" t="s">
        <v>240</v>
      </c>
      <c r="O277" s="0" t="s">
        <v>240</v>
      </c>
      <c r="P277" s="0" t="s">
        <v>240</v>
      </c>
      <c r="Q277" s="0" t="s">
        <v>240</v>
      </c>
      <c r="R277" s="0" t="s">
        <v>5896</v>
      </c>
      <c r="S277" s="0" t="s">
        <v>240</v>
      </c>
      <c r="T277" s="0" t="s">
        <v>240</v>
      </c>
      <c r="U277" s="0" t="s">
        <v>102</v>
      </c>
      <c r="V277" s="0" t="s">
        <v>240</v>
      </c>
      <c r="W277" s="0" t="s">
        <v>240</v>
      </c>
      <c r="X277" s="0" t="s">
        <v>5485</v>
      </c>
      <c r="Y277" s="0" t="s">
        <v>240</v>
      </c>
      <c r="Z277" s="0" t="s">
        <v>161</v>
      </c>
      <c r="AA277" s="0" t="s">
        <v>152</v>
      </c>
      <c r="AB277" s="0" t="s">
        <v>152</v>
      </c>
      <c r="AC277" s="0" t="s">
        <v>2991</v>
      </c>
      <c r="AD277" s="0" t="s">
        <v>2991</v>
      </c>
      <c r="AE277" s="0" t="s">
        <v>2992</v>
      </c>
      <c r="AF277" s="0" t="s">
        <v>5772</v>
      </c>
      <c r="AG277" s="0" t="s">
        <v>5773</v>
      </c>
      <c r="AH277" s="0" t="s">
        <v>5751</v>
      </c>
      <c r="AI277" s="0" t="s">
        <v>6562</v>
      </c>
      <c r="AJ277" s="0" t="s">
        <v>5504</v>
      </c>
      <c r="AK277" s="0" t="s">
        <v>5731</v>
      </c>
      <c r="AL277" s="0" t="s">
        <v>5506</v>
      </c>
      <c r="AM277" s="0" t="s">
        <v>5493</v>
      </c>
      <c r="AN277" s="0" t="s">
        <v>5553</v>
      </c>
      <c r="AO277" s="0" t="s">
        <v>5613</v>
      </c>
      <c r="AP277" s="0" t="s">
        <v>240</v>
      </c>
      <c r="AQ277" s="0" t="s">
        <v>240</v>
      </c>
      <c r="AR277" s="0" t="s">
        <v>240</v>
      </c>
      <c r="AS277" s="0" t="s">
        <v>240</v>
      </c>
      <c r="AT277" s="0" t="s">
        <v>240</v>
      </c>
      <c r="AU277" s="0" t="s">
        <v>240</v>
      </c>
      <c r="AV277" s="0" t="s">
        <v>240</v>
      </c>
      <c r="AW277" s="0" t="s">
        <v>240</v>
      </c>
      <c r="AX277" s="0" t="s">
        <v>240</v>
      </c>
      <c r="AY277" s="0" t="s">
        <v>240</v>
      </c>
      <c r="AZ277" s="0" t="s">
        <v>240</v>
      </c>
      <c r="BA277" s="0" t="s">
        <v>240</v>
      </c>
      <c r="BB277" s="0" t="s">
        <v>240</v>
      </c>
      <c r="BC277" s="0" t="s">
        <v>240</v>
      </c>
      <c r="BD277" s="0" t="s">
        <v>240</v>
      </c>
      <c r="BE277" s="0" t="s">
        <v>240</v>
      </c>
      <c r="BF277" s="0" t="s">
        <v>240</v>
      </c>
      <c r="BG277" s="0" t="s">
        <v>240</v>
      </c>
      <c r="BH277" s="0" t="s">
        <v>240</v>
      </c>
      <c r="BI277" s="0" t="s">
        <v>240</v>
      </c>
      <c r="BJ277" s="0" t="s">
        <v>240</v>
      </c>
      <c r="BK277" s="0" t="s">
        <v>240</v>
      </c>
      <c r="BL277" s="0" t="s">
        <v>240</v>
      </c>
      <c r="BM277" s="0" t="s">
        <v>240</v>
      </c>
      <c r="BN277" s="0" t="s">
        <v>240</v>
      </c>
      <c r="BO277" s="0" t="s">
        <v>240</v>
      </c>
      <c r="BP277" s="0" t="s">
        <v>240</v>
      </c>
      <c r="BQ277" s="0" t="s">
        <v>240</v>
      </c>
      <c r="BR277" s="0" t="s">
        <v>240</v>
      </c>
      <c r="BS277" s="0" t="s">
        <v>240</v>
      </c>
      <c r="BT277" s="0" t="s">
        <v>240</v>
      </c>
      <c r="BU277" s="0" t="s">
        <v>240</v>
      </c>
      <c r="BV277" s="0" t="s">
        <v>240</v>
      </c>
      <c r="BW277" s="0" t="s">
        <v>240</v>
      </c>
      <c r="BX277" s="0" t="s">
        <v>240</v>
      </c>
      <c r="BY277" s="0" t="s">
        <v>240</v>
      </c>
      <c r="BZ277" s="0" t="s">
        <v>240</v>
      </c>
      <c r="CA277" s="0" t="s">
        <v>240</v>
      </c>
      <c r="CB277" s="0" t="s">
        <v>240</v>
      </c>
      <c r="CC277" s="0" t="s">
        <v>240</v>
      </c>
      <c r="CD277" s="0" t="s">
        <v>240</v>
      </c>
      <c r="CE277" s="0" t="s">
        <v>240</v>
      </c>
      <c r="CF277" s="0" t="s">
        <v>240</v>
      </c>
      <c r="CG277" s="0" t="s">
        <v>240</v>
      </c>
      <c r="CH277" s="0" t="s">
        <v>240</v>
      </c>
      <c r="CI277" s="0" t="s">
        <v>240</v>
      </c>
      <c r="CJ277" s="0" t="s">
        <v>240</v>
      </c>
      <c r="CK277" s="0" t="s">
        <v>240</v>
      </c>
      <c r="CL277" s="0" t="s">
        <v>240</v>
      </c>
      <c r="CM277" s="0" t="s">
        <v>240</v>
      </c>
      <c r="CN277" s="0" t="s">
        <v>240</v>
      </c>
      <c r="CO277" s="0" t="s">
        <v>240</v>
      </c>
      <c r="CP277" s="0" t="s">
        <v>240</v>
      </c>
      <c r="CQ277" s="0" t="s">
        <v>240</v>
      </c>
      <c r="CR277" s="0" t="s">
        <v>240</v>
      </c>
      <c r="CS277" s="0" t="s">
        <v>240</v>
      </c>
      <c r="CT277" s="0" t="s">
        <v>5496</v>
      </c>
      <c r="CU277" s="0" t="s">
        <v>5497</v>
      </c>
      <c r="CV277" s="0" t="s">
        <v>443</v>
      </c>
      <c r="CW277" s="0" t="s">
        <v>5547</v>
      </c>
      <c r="CX277" s="0" t="s">
        <v>229</v>
      </c>
      <c r="CY277" s="0" t="s">
        <v>443</v>
      </c>
      <c r="CZ277" s="0" t="s">
        <v>5548</v>
      </c>
      <c r="DA277" s="0" t="s">
        <v>5549</v>
      </c>
      <c r="DB277" s="0" t="s">
        <v>5547</v>
      </c>
      <c r="DC277" s="0" t="s">
        <v>384</v>
      </c>
      <c r="DD277" s="0" t="s">
        <v>291</v>
      </c>
      <c r="DE277" s="0" t="s">
        <v>6739</v>
      </c>
    </row>
    <row customHeight="1" ht="11.25">
      <c r="A278" s="1441" t="s">
        <v>240</v>
      </c>
      <c r="B278" s="0" t="s">
        <v>240</v>
      </c>
      <c r="C278" s="0" t="s">
        <v>240</v>
      </c>
      <c r="D278" s="0" t="s">
        <v>240</v>
      </c>
      <c r="E278" s="0" t="s">
        <v>240</v>
      </c>
      <c r="F278" s="0" t="s">
        <v>240</v>
      </c>
      <c r="G278" s="0" t="s">
        <v>240</v>
      </c>
      <c r="H278" s="0" t="s">
        <v>240</v>
      </c>
      <c r="I278" s="0" t="s">
        <v>5484</v>
      </c>
      <c r="J278" s="0" t="s">
        <v>240</v>
      </c>
      <c r="K278" s="0" t="s">
        <v>240</v>
      </c>
      <c r="L278" s="0" t="s">
        <v>240</v>
      </c>
      <c r="M278" s="0" t="s">
        <v>240</v>
      </c>
      <c r="N278" s="0" t="s">
        <v>240</v>
      </c>
      <c r="O278" s="0" t="s">
        <v>240</v>
      </c>
      <c r="P278" s="0" t="s">
        <v>240</v>
      </c>
      <c r="Q278" s="0" t="s">
        <v>240</v>
      </c>
      <c r="R278" s="0" t="s">
        <v>6740</v>
      </c>
      <c r="S278" s="0" t="s">
        <v>240</v>
      </c>
      <c r="T278" s="0" t="s">
        <v>240</v>
      </c>
      <c r="U278" s="0" t="s">
        <v>102</v>
      </c>
      <c r="V278" s="0" t="s">
        <v>240</v>
      </c>
      <c r="W278" s="0" t="s">
        <v>240</v>
      </c>
      <c r="X278" s="0" t="s">
        <v>5485</v>
      </c>
      <c r="Y278" s="0" t="s">
        <v>240</v>
      </c>
      <c r="Z278" s="0" t="s">
        <v>161</v>
      </c>
      <c r="AA278" s="0" t="s">
        <v>152</v>
      </c>
      <c r="AB278" s="0" t="s">
        <v>152</v>
      </c>
      <c r="AC278" s="0" t="s">
        <v>2991</v>
      </c>
      <c r="AD278" s="0" t="s">
        <v>2991</v>
      </c>
      <c r="AE278" s="0" t="s">
        <v>2992</v>
      </c>
      <c r="AF278" s="0" t="s">
        <v>5772</v>
      </c>
      <c r="AG278" s="0" t="s">
        <v>5773</v>
      </c>
      <c r="AH278" s="0" t="s">
        <v>5774</v>
      </c>
      <c r="AI278" s="0" t="s">
        <v>6741</v>
      </c>
      <c r="AJ278" s="0" t="s">
        <v>5504</v>
      </c>
      <c r="AK278" s="0" t="s">
        <v>5731</v>
      </c>
      <c r="AL278" s="0" t="s">
        <v>5506</v>
      </c>
      <c r="AM278" s="0" t="s">
        <v>5493</v>
      </c>
      <c r="AN278" s="0" t="s">
        <v>5545</v>
      </c>
      <c r="AO278" s="0" t="s">
        <v>6742</v>
      </c>
      <c r="AP278" s="0" t="s">
        <v>240</v>
      </c>
      <c r="AQ278" s="0" t="s">
        <v>240</v>
      </c>
      <c r="AR278" s="0" t="s">
        <v>240</v>
      </c>
      <c r="AS278" s="0" t="s">
        <v>240</v>
      </c>
      <c r="AT278" s="0" t="s">
        <v>240</v>
      </c>
      <c r="AU278" s="0" t="s">
        <v>240</v>
      </c>
      <c r="AV278" s="0" t="s">
        <v>240</v>
      </c>
      <c r="AW278" s="0" t="s">
        <v>240</v>
      </c>
      <c r="AX278" s="0" t="s">
        <v>240</v>
      </c>
      <c r="AY278" s="0" t="s">
        <v>240</v>
      </c>
      <c r="AZ278" s="0" t="s">
        <v>240</v>
      </c>
      <c r="BA278" s="0" t="s">
        <v>240</v>
      </c>
      <c r="BB278" s="0" t="s">
        <v>240</v>
      </c>
      <c r="BC278" s="0" t="s">
        <v>240</v>
      </c>
      <c r="BD278" s="0" t="s">
        <v>240</v>
      </c>
      <c r="BE278" s="0" t="s">
        <v>240</v>
      </c>
      <c r="BF278" s="0" t="s">
        <v>240</v>
      </c>
      <c r="BG278" s="0" t="s">
        <v>240</v>
      </c>
      <c r="BH278" s="0" t="s">
        <v>240</v>
      </c>
      <c r="BI278" s="0" t="s">
        <v>240</v>
      </c>
      <c r="BJ278" s="0" t="s">
        <v>240</v>
      </c>
      <c r="BK278" s="0" t="s">
        <v>240</v>
      </c>
      <c r="BL278" s="0" t="s">
        <v>240</v>
      </c>
      <c r="BM278" s="0" t="s">
        <v>240</v>
      </c>
      <c r="BN278" s="0" t="s">
        <v>240</v>
      </c>
      <c r="BO278" s="0" t="s">
        <v>240</v>
      </c>
      <c r="BP278" s="0" t="s">
        <v>240</v>
      </c>
      <c r="BQ278" s="0" t="s">
        <v>240</v>
      </c>
      <c r="BR278" s="0" t="s">
        <v>240</v>
      </c>
      <c r="BS278" s="0" t="s">
        <v>240</v>
      </c>
      <c r="BT278" s="0" t="s">
        <v>240</v>
      </c>
      <c r="BU278" s="0" t="s">
        <v>240</v>
      </c>
      <c r="BV278" s="0" t="s">
        <v>240</v>
      </c>
      <c r="BW278" s="0" t="s">
        <v>240</v>
      </c>
      <c r="BX278" s="0" t="s">
        <v>240</v>
      </c>
      <c r="BY278" s="0" t="s">
        <v>240</v>
      </c>
      <c r="BZ278" s="0" t="s">
        <v>240</v>
      </c>
      <c r="CA278" s="0" t="s">
        <v>240</v>
      </c>
      <c r="CB278" s="0" t="s">
        <v>240</v>
      </c>
      <c r="CC278" s="0" t="s">
        <v>240</v>
      </c>
      <c r="CD278" s="0" t="s">
        <v>240</v>
      </c>
      <c r="CE278" s="0" t="s">
        <v>240</v>
      </c>
      <c r="CF278" s="0" t="s">
        <v>240</v>
      </c>
      <c r="CG278" s="0" t="s">
        <v>240</v>
      </c>
      <c r="CH278" s="0" t="s">
        <v>240</v>
      </c>
      <c r="CI278" s="0" t="s">
        <v>240</v>
      </c>
      <c r="CJ278" s="0" t="s">
        <v>240</v>
      </c>
      <c r="CK278" s="0" t="s">
        <v>240</v>
      </c>
      <c r="CL278" s="0" t="s">
        <v>240</v>
      </c>
      <c r="CM278" s="0" t="s">
        <v>240</v>
      </c>
      <c r="CN278" s="0" t="s">
        <v>240</v>
      </c>
      <c r="CO278" s="0" t="s">
        <v>240</v>
      </c>
      <c r="CP278" s="0" t="s">
        <v>240</v>
      </c>
      <c r="CQ278" s="0" t="s">
        <v>240</v>
      </c>
      <c r="CR278" s="0" t="s">
        <v>240</v>
      </c>
      <c r="CS278" s="0" t="s">
        <v>240</v>
      </c>
      <c r="CT278" s="0" t="s">
        <v>5496</v>
      </c>
      <c r="CU278" s="0" t="s">
        <v>5497</v>
      </c>
      <c r="CV278" s="0" t="s">
        <v>443</v>
      </c>
      <c r="CW278" s="0" t="s">
        <v>5547</v>
      </c>
      <c r="CX278" s="0" t="s">
        <v>229</v>
      </c>
      <c r="CY278" s="0" t="s">
        <v>443</v>
      </c>
      <c r="CZ278" s="0" t="s">
        <v>5548</v>
      </c>
      <c r="DA278" s="0" t="s">
        <v>5549</v>
      </c>
      <c r="DB278" s="0" t="s">
        <v>5547</v>
      </c>
      <c r="DC278" s="0" t="s">
        <v>384</v>
      </c>
      <c r="DD278" s="0" t="s">
        <v>291</v>
      </c>
      <c r="DE278" s="0" t="s">
        <v>6743</v>
      </c>
    </row>
    <row customHeight="1" ht="11.25">
      <c r="A279" s="1441" t="s">
        <v>240</v>
      </c>
      <c r="B279" s="0" t="s">
        <v>240</v>
      </c>
      <c r="C279" s="0" t="s">
        <v>240</v>
      </c>
      <c r="D279" s="0" t="s">
        <v>240</v>
      </c>
      <c r="E279" s="0" t="s">
        <v>240</v>
      </c>
      <c r="F279" s="0" t="s">
        <v>240</v>
      </c>
      <c r="G279" s="0" t="s">
        <v>240</v>
      </c>
      <c r="H279" s="0" t="s">
        <v>240</v>
      </c>
      <c r="I279" s="0" t="s">
        <v>5484</v>
      </c>
      <c r="J279" s="0" t="s">
        <v>240</v>
      </c>
      <c r="K279" s="0" t="s">
        <v>240</v>
      </c>
      <c r="L279" s="0" t="s">
        <v>240</v>
      </c>
      <c r="M279" s="0" t="s">
        <v>240</v>
      </c>
      <c r="N279" s="0" t="s">
        <v>240</v>
      </c>
      <c r="O279" s="0" t="s">
        <v>240</v>
      </c>
      <c r="P279" s="0" t="s">
        <v>240</v>
      </c>
      <c r="Q279" s="0" t="s">
        <v>240</v>
      </c>
      <c r="R279" s="0" t="s">
        <v>486</v>
      </c>
      <c r="S279" s="0" t="s">
        <v>240</v>
      </c>
      <c r="T279" s="0" t="s">
        <v>240</v>
      </c>
      <c r="U279" s="0" t="s">
        <v>102</v>
      </c>
      <c r="V279" s="0" t="s">
        <v>240</v>
      </c>
      <c r="W279" s="0" t="s">
        <v>240</v>
      </c>
      <c r="X279" s="0" t="s">
        <v>5485</v>
      </c>
      <c r="Y279" s="0" t="s">
        <v>240</v>
      </c>
      <c r="Z279" s="0" t="s">
        <v>161</v>
      </c>
      <c r="AA279" s="0" t="s">
        <v>152</v>
      </c>
      <c r="AB279" s="0" t="s">
        <v>152</v>
      </c>
      <c r="AC279" s="0" t="s">
        <v>364</v>
      </c>
      <c r="AD279" s="0" t="s">
        <v>364</v>
      </c>
      <c r="AE279" s="0" t="s">
        <v>365</v>
      </c>
      <c r="AF279" s="0" t="s">
        <v>6744</v>
      </c>
      <c r="AG279" s="0" t="s">
        <v>6745</v>
      </c>
      <c r="AH279" s="0" t="s">
        <v>6746</v>
      </c>
      <c r="AI279" s="0" t="s">
        <v>6747</v>
      </c>
      <c r="AJ279" s="0" t="s">
        <v>5568</v>
      </c>
      <c r="AK279" s="0" t="s">
        <v>6519</v>
      </c>
      <c r="AL279" s="0" t="s">
        <v>5570</v>
      </c>
      <c r="AM279" s="0" t="s">
        <v>5493</v>
      </c>
      <c r="AN279" s="0" t="s">
        <v>6104</v>
      </c>
      <c r="AO279" s="0" t="s">
        <v>5777</v>
      </c>
      <c r="AP279" s="0" t="s">
        <v>240</v>
      </c>
      <c r="AQ279" s="0" t="s">
        <v>240</v>
      </c>
      <c r="AR279" s="0" t="s">
        <v>240</v>
      </c>
      <c r="AS279" s="0" t="s">
        <v>240</v>
      </c>
      <c r="AT279" s="0" t="s">
        <v>240</v>
      </c>
      <c r="AU279" s="0" t="s">
        <v>240</v>
      </c>
      <c r="AV279" s="0" t="s">
        <v>240</v>
      </c>
      <c r="AW279" s="0" t="s">
        <v>240</v>
      </c>
      <c r="AX279" s="0" t="s">
        <v>240</v>
      </c>
      <c r="AY279" s="0" t="s">
        <v>240</v>
      </c>
      <c r="AZ279" s="0" t="s">
        <v>240</v>
      </c>
      <c r="BA279" s="0" t="s">
        <v>240</v>
      </c>
      <c r="BB279" s="0" t="s">
        <v>240</v>
      </c>
      <c r="BC279" s="0" t="s">
        <v>240</v>
      </c>
      <c r="BD279" s="0" t="s">
        <v>240</v>
      </c>
      <c r="BE279" s="0" t="s">
        <v>240</v>
      </c>
      <c r="BF279" s="0" t="s">
        <v>240</v>
      </c>
      <c r="BG279" s="0" t="s">
        <v>240</v>
      </c>
      <c r="BH279" s="0" t="s">
        <v>240</v>
      </c>
      <c r="BI279" s="0" t="s">
        <v>240</v>
      </c>
      <c r="BJ279" s="0" t="s">
        <v>240</v>
      </c>
      <c r="BK279" s="0" t="s">
        <v>240</v>
      </c>
      <c r="BL279" s="0" t="s">
        <v>240</v>
      </c>
      <c r="BM279" s="0" t="s">
        <v>240</v>
      </c>
      <c r="BN279" s="0" t="s">
        <v>240</v>
      </c>
      <c r="BO279" s="0" t="s">
        <v>240</v>
      </c>
      <c r="BP279" s="0" t="s">
        <v>240</v>
      </c>
      <c r="BQ279" s="0" t="s">
        <v>240</v>
      </c>
      <c r="BR279" s="0" t="s">
        <v>240</v>
      </c>
      <c r="BS279" s="0" t="s">
        <v>240</v>
      </c>
      <c r="BT279" s="0" t="s">
        <v>240</v>
      </c>
      <c r="BU279" s="0" t="s">
        <v>240</v>
      </c>
      <c r="BV279" s="0" t="s">
        <v>240</v>
      </c>
      <c r="BW279" s="0" t="s">
        <v>240</v>
      </c>
      <c r="BX279" s="0" t="s">
        <v>240</v>
      </c>
      <c r="BY279" s="0" t="s">
        <v>240</v>
      </c>
      <c r="BZ279" s="0" t="s">
        <v>240</v>
      </c>
      <c r="CA279" s="0" t="s">
        <v>240</v>
      </c>
      <c r="CB279" s="0" t="s">
        <v>240</v>
      </c>
      <c r="CC279" s="0" t="s">
        <v>240</v>
      </c>
      <c r="CD279" s="0" t="s">
        <v>240</v>
      </c>
      <c r="CE279" s="0" t="s">
        <v>240</v>
      </c>
      <c r="CF279" s="0" t="s">
        <v>240</v>
      </c>
      <c r="CG279" s="0" t="s">
        <v>240</v>
      </c>
      <c r="CH279" s="0" t="s">
        <v>240</v>
      </c>
      <c r="CI279" s="0" t="s">
        <v>240</v>
      </c>
      <c r="CJ279" s="0" t="s">
        <v>240</v>
      </c>
      <c r="CK279" s="0" t="s">
        <v>240</v>
      </c>
      <c r="CL279" s="0" t="s">
        <v>240</v>
      </c>
      <c r="CM279" s="0" t="s">
        <v>240</v>
      </c>
      <c r="CN279" s="0" t="s">
        <v>240</v>
      </c>
      <c r="CO279" s="0" t="s">
        <v>240</v>
      </c>
      <c r="CP279" s="0" t="s">
        <v>240</v>
      </c>
      <c r="CQ279" s="0" t="s">
        <v>240</v>
      </c>
      <c r="CR279" s="0" t="s">
        <v>240</v>
      </c>
      <c r="CS279" s="0" t="s">
        <v>240</v>
      </c>
      <c r="CT279" s="0" t="s">
        <v>5496</v>
      </c>
      <c r="CU279" s="0" t="s">
        <v>5497</v>
      </c>
      <c r="CV279" s="0" t="s">
        <v>443</v>
      </c>
      <c r="CW279" s="0" t="s">
        <v>5498</v>
      </c>
      <c r="CX279" s="0" t="s">
        <v>229</v>
      </c>
      <c r="CY279" s="0" t="s">
        <v>443</v>
      </c>
      <c r="CZ279" s="0" t="s">
        <v>230</v>
      </c>
      <c r="DA279" s="0" t="s">
        <v>444</v>
      </c>
      <c r="DB279" s="0" t="s">
        <v>5498</v>
      </c>
      <c r="DC279" s="0" t="s">
        <v>384</v>
      </c>
      <c r="DD279" s="0" t="s">
        <v>291</v>
      </c>
      <c r="DE279" s="0" t="s">
        <v>487</v>
      </c>
    </row>
    <row customHeight="1" ht="11.25">
      <c r="A280" s="1441" t="s">
        <v>240</v>
      </c>
      <c r="B280" s="0" t="s">
        <v>240</v>
      </c>
      <c r="C280" s="0" t="s">
        <v>240</v>
      </c>
      <c r="D280" s="0" t="s">
        <v>240</v>
      </c>
      <c r="E280" s="0" t="s">
        <v>240</v>
      </c>
      <c r="F280" s="0" t="s">
        <v>240</v>
      </c>
      <c r="G280" s="0" t="s">
        <v>240</v>
      </c>
      <c r="H280" s="0" t="s">
        <v>240</v>
      </c>
      <c r="I280" s="0" t="s">
        <v>5484</v>
      </c>
      <c r="J280" s="0" t="s">
        <v>240</v>
      </c>
      <c r="K280" s="0" t="s">
        <v>240</v>
      </c>
      <c r="L280" s="0" t="s">
        <v>240</v>
      </c>
      <c r="M280" s="0" t="s">
        <v>240</v>
      </c>
      <c r="N280" s="0" t="s">
        <v>240</v>
      </c>
      <c r="O280" s="0" t="s">
        <v>240</v>
      </c>
      <c r="P280" s="0" t="s">
        <v>240</v>
      </c>
      <c r="Q280" s="0" t="s">
        <v>240</v>
      </c>
      <c r="R280" s="0" t="s">
        <v>483</v>
      </c>
      <c r="S280" s="0" t="s">
        <v>240</v>
      </c>
      <c r="T280" s="0" t="s">
        <v>240</v>
      </c>
      <c r="U280" s="0" t="s">
        <v>102</v>
      </c>
      <c r="V280" s="0" t="s">
        <v>240</v>
      </c>
      <c r="W280" s="0" t="s">
        <v>240</v>
      </c>
      <c r="X280" s="0" t="s">
        <v>5485</v>
      </c>
      <c r="Y280" s="0" t="s">
        <v>240</v>
      </c>
      <c r="Z280" s="0" t="s">
        <v>161</v>
      </c>
      <c r="AA280" s="0" t="s">
        <v>152</v>
      </c>
      <c r="AB280" s="0" t="s">
        <v>152</v>
      </c>
      <c r="AC280" s="0" t="s">
        <v>364</v>
      </c>
      <c r="AD280" s="0" t="s">
        <v>364</v>
      </c>
      <c r="AE280" s="0" t="s">
        <v>365</v>
      </c>
      <c r="AF280" s="0" t="s">
        <v>6744</v>
      </c>
      <c r="AG280" s="0" t="s">
        <v>6745</v>
      </c>
      <c r="AH280" s="0" t="s">
        <v>6748</v>
      </c>
      <c r="AI280" s="0" t="s">
        <v>6749</v>
      </c>
      <c r="AJ280" s="0" t="s">
        <v>6750</v>
      </c>
      <c r="AK280" s="0" t="s">
        <v>5598</v>
      </c>
      <c r="AL280" s="0" t="s">
        <v>5524</v>
      </c>
      <c r="AM280" s="0" t="s">
        <v>5493</v>
      </c>
      <c r="AN280" s="0" t="s">
        <v>6105</v>
      </c>
      <c r="AO280" s="0" t="s">
        <v>6751</v>
      </c>
      <c r="AP280" s="0" t="s">
        <v>240</v>
      </c>
      <c r="AQ280" s="0" t="s">
        <v>240</v>
      </c>
      <c r="AR280" s="0" t="s">
        <v>240</v>
      </c>
      <c r="AS280" s="0" t="s">
        <v>240</v>
      </c>
      <c r="AT280" s="0" t="s">
        <v>240</v>
      </c>
      <c r="AU280" s="0" t="s">
        <v>240</v>
      </c>
      <c r="AV280" s="0" t="s">
        <v>240</v>
      </c>
      <c r="AW280" s="0" t="s">
        <v>240</v>
      </c>
      <c r="AX280" s="0" t="s">
        <v>240</v>
      </c>
      <c r="AY280" s="0" t="s">
        <v>240</v>
      </c>
      <c r="AZ280" s="0" t="s">
        <v>240</v>
      </c>
      <c r="BA280" s="0" t="s">
        <v>240</v>
      </c>
      <c r="BB280" s="0" t="s">
        <v>240</v>
      </c>
      <c r="BC280" s="0" t="s">
        <v>240</v>
      </c>
      <c r="BD280" s="0" t="s">
        <v>240</v>
      </c>
      <c r="BE280" s="0" t="s">
        <v>240</v>
      </c>
      <c r="BF280" s="0" t="s">
        <v>240</v>
      </c>
      <c r="BG280" s="0" t="s">
        <v>240</v>
      </c>
      <c r="BH280" s="0" t="s">
        <v>240</v>
      </c>
      <c r="BI280" s="0" t="s">
        <v>240</v>
      </c>
      <c r="BJ280" s="0" t="s">
        <v>240</v>
      </c>
      <c r="BK280" s="0" t="s">
        <v>240</v>
      </c>
      <c r="BL280" s="0" t="s">
        <v>240</v>
      </c>
      <c r="BM280" s="0" t="s">
        <v>240</v>
      </c>
      <c r="BN280" s="0" t="s">
        <v>240</v>
      </c>
      <c r="BO280" s="0" t="s">
        <v>240</v>
      </c>
      <c r="BP280" s="0" t="s">
        <v>240</v>
      </c>
      <c r="BQ280" s="0" t="s">
        <v>240</v>
      </c>
      <c r="BR280" s="0" t="s">
        <v>240</v>
      </c>
      <c r="BS280" s="0" t="s">
        <v>240</v>
      </c>
      <c r="BT280" s="0" t="s">
        <v>240</v>
      </c>
      <c r="BU280" s="0" t="s">
        <v>240</v>
      </c>
      <c r="BV280" s="0" t="s">
        <v>240</v>
      </c>
      <c r="BW280" s="0" t="s">
        <v>240</v>
      </c>
      <c r="BX280" s="0" t="s">
        <v>240</v>
      </c>
      <c r="BY280" s="0" t="s">
        <v>240</v>
      </c>
      <c r="BZ280" s="0" t="s">
        <v>240</v>
      </c>
      <c r="CA280" s="0" t="s">
        <v>240</v>
      </c>
      <c r="CB280" s="0" t="s">
        <v>240</v>
      </c>
      <c r="CC280" s="0" t="s">
        <v>240</v>
      </c>
      <c r="CD280" s="0" t="s">
        <v>240</v>
      </c>
      <c r="CE280" s="0" t="s">
        <v>240</v>
      </c>
      <c r="CF280" s="0" t="s">
        <v>240</v>
      </c>
      <c r="CG280" s="0" t="s">
        <v>240</v>
      </c>
      <c r="CH280" s="0" t="s">
        <v>240</v>
      </c>
      <c r="CI280" s="0" t="s">
        <v>240</v>
      </c>
      <c r="CJ280" s="0" t="s">
        <v>240</v>
      </c>
      <c r="CK280" s="0" t="s">
        <v>240</v>
      </c>
      <c r="CL280" s="0" t="s">
        <v>240</v>
      </c>
      <c r="CM280" s="0" t="s">
        <v>240</v>
      </c>
      <c r="CN280" s="0" t="s">
        <v>240</v>
      </c>
      <c r="CO280" s="0" t="s">
        <v>240</v>
      </c>
      <c r="CP280" s="0" t="s">
        <v>240</v>
      </c>
      <c r="CQ280" s="0" t="s">
        <v>240</v>
      </c>
      <c r="CR280" s="0" t="s">
        <v>240</v>
      </c>
      <c r="CS280" s="0" t="s">
        <v>240</v>
      </c>
      <c r="CT280" s="0" t="s">
        <v>5496</v>
      </c>
      <c r="CU280" s="0" t="s">
        <v>5497</v>
      </c>
      <c r="CV280" s="0" t="s">
        <v>443</v>
      </c>
      <c r="CW280" s="0" t="s">
        <v>5498</v>
      </c>
      <c r="CX280" s="0" t="s">
        <v>229</v>
      </c>
      <c r="CY280" s="0" t="s">
        <v>443</v>
      </c>
      <c r="CZ280" s="0" t="s">
        <v>230</v>
      </c>
      <c r="DA280" s="0" t="s">
        <v>444</v>
      </c>
      <c r="DB280" s="0" t="s">
        <v>5498</v>
      </c>
      <c r="DC280" s="0" t="s">
        <v>384</v>
      </c>
      <c r="DD280" s="0" t="s">
        <v>291</v>
      </c>
      <c r="DE280" s="0" t="s">
        <v>484</v>
      </c>
    </row>
    <row customHeight="1" ht="11.25">
      <c r="A281" s="1441" t="s">
        <v>240</v>
      </c>
      <c r="B281" s="0" t="s">
        <v>240</v>
      </c>
      <c r="C281" s="0" t="s">
        <v>240</v>
      </c>
      <c r="D281" s="0" t="s">
        <v>240</v>
      </c>
      <c r="E281" s="0" t="s">
        <v>240</v>
      </c>
      <c r="F281" s="0" t="s">
        <v>240</v>
      </c>
      <c r="G281" s="0" t="s">
        <v>240</v>
      </c>
      <c r="H281" s="0" t="s">
        <v>240</v>
      </c>
      <c r="I281" s="0" t="s">
        <v>5484</v>
      </c>
      <c r="J281" s="0" t="s">
        <v>240</v>
      </c>
      <c r="K281" s="0" t="s">
        <v>240</v>
      </c>
      <c r="L281" s="0" t="s">
        <v>240</v>
      </c>
      <c r="M281" s="0" t="s">
        <v>240</v>
      </c>
      <c r="N281" s="0" t="s">
        <v>240</v>
      </c>
      <c r="O281" s="0" t="s">
        <v>240</v>
      </c>
      <c r="P281" s="0" t="s">
        <v>240</v>
      </c>
      <c r="Q281" s="0" t="s">
        <v>240</v>
      </c>
      <c r="R281" s="0" t="s">
        <v>449</v>
      </c>
      <c r="S281" s="0" t="s">
        <v>240</v>
      </c>
      <c r="T281" s="0" t="s">
        <v>240</v>
      </c>
      <c r="U281" s="0" t="s">
        <v>102</v>
      </c>
      <c r="V281" s="0" t="s">
        <v>240</v>
      </c>
      <c r="W281" s="0" t="s">
        <v>240</v>
      </c>
      <c r="X281" s="0" t="s">
        <v>5585</v>
      </c>
      <c r="Y281" s="0" t="s">
        <v>240</v>
      </c>
      <c r="Z281" s="0" t="s">
        <v>152</v>
      </c>
      <c r="AA281" s="0" t="s">
        <v>152</v>
      </c>
      <c r="AB281" s="0" t="s">
        <v>161</v>
      </c>
      <c r="AC281" s="0" t="s">
        <v>2985</v>
      </c>
      <c r="AD281" s="0" t="s">
        <v>2985</v>
      </c>
      <c r="AE281" s="0" t="s">
        <v>2986</v>
      </c>
      <c r="AF281" s="0" t="s">
        <v>6614</v>
      </c>
      <c r="AG281" s="0" t="s">
        <v>6615</v>
      </c>
      <c r="AH281" s="0" t="s">
        <v>6325</v>
      </c>
      <c r="AI281" s="0" t="s">
        <v>6752</v>
      </c>
      <c r="AJ281" s="0" t="s">
        <v>240</v>
      </c>
      <c r="AK281" s="0" t="s">
        <v>240</v>
      </c>
      <c r="AL281" s="0" t="s">
        <v>240</v>
      </c>
      <c r="AM281" s="0" t="s">
        <v>240</v>
      </c>
      <c r="AN281" s="0" t="s">
        <v>240</v>
      </c>
      <c r="AO281" s="0" t="s">
        <v>240</v>
      </c>
      <c r="AP281" s="0" t="s">
        <v>240</v>
      </c>
      <c r="AQ281" s="0" t="s">
        <v>240</v>
      </c>
      <c r="AR281" s="0" t="s">
        <v>240</v>
      </c>
      <c r="AS281" s="0" t="s">
        <v>240</v>
      </c>
      <c r="AT281" s="0" t="s">
        <v>240</v>
      </c>
      <c r="AU281" s="0" t="s">
        <v>240</v>
      </c>
      <c r="AV281" s="0" t="s">
        <v>240</v>
      </c>
      <c r="AW281" s="0" t="s">
        <v>240</v>
      </c>
      <c r="AX281" s="0" t="s">
        <v>240</v>
      </c>
      <c r="AY281" s="0" t="s">
        <v>240</v>
      </c>
      <c r="AZ281" s="0" t="s">
        <v>240</v>
      </c>
      <c r="BA281" s="0" t="s">
        <v>240</v>
      </c>
      <c r="BB281" s="0" t="s">
        <v>240</v>
      </c>
      <c r="BC281" s="0" t="s">
        <v>240</v>
      </c>
      <c r="BD281" s="0" t="s">
        <v>240</v>
      </c>
      <c r="BE281" s="0" t="s">
        <v>5645</v>
      </c>
      <c r="BF281" s="0" t="s">
        <v>5645</v>
      </c>
      <c r="BG281" s="0" t="s">
        <v>112</v>
      </c>
      <c r="BH281" s="0" t="s">
        <v>5589</v>
      </c>
      <c r="BI281" s="0" t="s">
        <v>123</v>
      </c>
      <c r="BJ281" s="0" t="s">
        <v>240</v>
      </c>
      <c r="BK281" s="0" t="s">
        <v>5608</v>
      </c>
      <c r="BL281" s="0" t="s">
        <v>2985</v>
      </c>
      <c r="BM281" s="0" t="s">
        <v>2985</v>
      </c>
      <c r="BN281" s="0" t="s">
        <v>5646</v>
      </c>
      <c r="BO281" s="0" t="s">
        <v>6614</v>
      </c>
      <c r="BP281" s="0" t="s">
        <v>6753</v>
      </c>
      <c r="BQ281" s="0" t="s">
        <v>6328</v>
      </c>
      <c r="BR281" s="0" t="s">
        <v>6329</v>
      </c>
      <c r="BS281" s="0" t="s">
        <v>240</v>
      </c>
      <c r="BT281" s="0" t="s">
        <v>5650</v>
      </c>
      <c r="BU281" s="0" t="s">
        <v>6754</v>
      </c>
      <c r="BV281" s="0" t="s">
        <v>6754</v>
      </c>
      <c r="BW281" s="0" t="s">
        <v>5598</v>
      </c>
      <c r="BX281" s="0" t="s">
        <v>5598</v>
      </c>
      <c r="BY281" s="0" t="s">
        <v>5598</v>
      </c>
      <c r="BZ281" s="0" t="s">
        <v>5598</v>
      </c>
      <c r="CA281" s="0" t="s">
        <v>5598</v>
      </c>
      <c r="CB281" s="0" t="s">
        <v>240</v>
      </c>
      <c r="CC281" s="0" t="s">
        <v>240</v>
      </c>
      <c r="CD281" s="0" t="s">
        <v>240</v>
      </c>
      <c r="CE281" s="0" t="s">
        <v>240</v>
      </c>
      <c r="CF281" s="0" t="s">
        <v>240</v>
      </c>
      <c r="CG281" s="0" t="s">
        <v>5598</v>
      </c>
      <c r="CH281" s="0" t="s">
        <v>240</v>
      </c>
      <c r="CI281" s="0" t="s">
        <v>240</v>
      </c>
      <c r="CJ281" s="0" t="s">
        <v>240</v>
      </c>
      <c r="CK281" s="0" t="s">
        <v>240</v>
      </c>
      <c r="CL281" s="0" t="s">
        <v>240</v>
      </c>
      <c r="CM281" s="0" t="s">
        <v>6754</v>
      </c>
      <c r="CN281" s="0" t="s">
        <v>6754</v>
      </c>
      <c r="CO281" s="0" t="s">
        <v>240</v>
      </c>
      <c r="CP281" s="0" t="s">
        <v>240</v>
      </c>
      <c r="CQ281" s="0" t="s">
        <v>240</v>
      </c>
      <c r="CR281" s="0" t="s">
        <v>240</v>
      </c>
      <c r="CS281" s="0" t="s">
        <v>5507</v>
      </c>
      <c r="CT281" s="0" t="s">
        <v>5496</v>
      </c>
      <c r="CU281" s="0" t="s">
        <v>5497</v>
      </c>
      <c r="CV281" s="0" t="s">
        <v>443</v>
      </c>
      <c r="CW281" s="0" t="s">
        <v>5509</v>
      </c>
      <c r="CX281" s="0" t="s">
        <v>229</v>
      </c>
      <c r="CY281" s="0" t="s">
        <v>443</v>
      </c>
      <c r="CZ281" s="0" t="s">
        <v>5510</v>
      </c>
      <c r="DA281" s="0" t="s">
        <v>5511</v>
      </c>
      <c r="DB281" s="0" t="s">
        <v>5509</v>
      </c>
      <c r="DC281" s="0" t="s">
        <v>384</v>
      </c>
      <c r="DD281" s="0" t="s">
        <v>291</v>
      </c>
      <c r="DE281" s="0" t="s">
        <v>6755</v>
      </c>
    </row>
    <row customHeight="1" ht="11.25">
      <c r="A282" s="1441" t="s">
        <v>240</v>
      </c>
      <c r="B282" s="0" t="s">
        <v>240</v>
      </c>
      <c r="C282" s="0" t="s">
        <v>240</v>
      </c>
      <c r="D282" s="0" t="s">
        <v>240</v>
      </c>
      <c r="E282" s="0" t="s">
        <v>240</v>
      </c>
      <c r="F282" s="0" t="s">
        <v>240</v>
      </c>
      <c r="G282" s="0" t="s">
        <v>240</v>
      </c>
      <c r="H282" s="0" t="s">
        <v>240</v>
      </c>
      <c r="I282" s="0" t="s">
        <v>5484</v>
      </c>
      <c r="J282" s="0" t="s">
        <v>240</v>
      </c>
      <c r="K282" s="0" t="s">
        <v>240</v>
      </c>
      <c r="L282" s="0" t="s">
        <v>240</v>
      </c>
      <c r="M282" s="0" t="s">
        <v>240</v>
      </c>
      <c r="N282" s="0" t="s">
        <v>240</v>
      </c>
      <c r="O282" s="0" t="s">
        <v>240</v>
      </c>
      <c r="P282" s="0" t="s">
        <v>240</v>
      </c>
      <c r="Q282" s="0" t="s">
        <v>240</v>
      </c>
      <c r="R282" s="0" t="s">
        <v>6756</v>
      </c>
      <c r="S282" s="0" t="s">
        <v>240</v>
      </c>
      <c r="T282" s="0" t="s">
        <v>240</v>
      </c>
      <c r="U282" s="0" t="s">
        <v>102</v>
      </c>
      <c r="V282" s="0" t="s">
        <v>240</v>
      </c>
      <c r="W282" s="0" t="s">
        <v>240</v>
      </c>
      <c r="X282" s="0" t="s">
        <v>5485</v>
      </c>
      <c r="Y282" s="0" t="s">
        <v>240</v>
      </c>
      <c r="Z282" s="0" t="s">
        <v>161</v>
      </c>
      <c r="AA282" s="0" t="s">
        <v>152</v>
      </c>
      <c r="AB282" s="0" t="s">
        <v>152</v>
      </c>
      <c r="AC282" s="0" t="s">
        <v>2985</v>
      </c>
      <c r="AD282" s="0" t="s">
        <v>2985</v>
      </c>
      <c r="AE282" s="0" t="s">
        <v>2986</v>
      </c>
      <c r="AF282" s="0" t="s">
        <v>6614</v>
      </c>
      <c r="AG282" s="0" t="s">
        <v>6615</v>
      </c>
      <c r="AH282" s="0" t="s">
        <v>6328</v>
      </c>
      <c r="AI282" s="0" t="s">
        <v>6757</v>
      </c>
      <c r="AJ282" s="0" t="s">
        <v>5504</v>
      </c>
      <c r="AK282" s="0" t="s">
        <v>5505</v>
      </c>
      <c r="AL282" s="0" t="s">
        <v>5506</v>
      </c>
      <c r="AM282" s="0" t="s">
        <v>5493</v>
      </c>
      <c r="AN282" s="0" t="s">
        <v>5507</v>
      </c>
      <c r="AO282" s="0" t="s">
        <v>6758</v>
      </c>
      <c r="AP282" s="0" t="s">
        <v>240</v>
      </c>
      <c r="AQ282" s="0" t="s">
        <v>240</v>
      </c>
      <c r="AR282" s="0" t="s">
        <v>240</v>
      </c>
      <c r="AS282" s="0" t="s">
        <v>240</v>
      </c>
      <c r="AT282" s="0" t="s">
        <v>240</v>
      </c>
      <c r="AU282" s="0" t="s">
        <v>240</v>
      </c>
      <c r="AV282" s="0" t="s">
        <v>240</v>
      </c>
      <c r="AW282" s="0" t="s">
        <v>240</v>
      </c>
      <c r="AX282" s="0" t="s">
        <v>240</v>
      </c>
      <c r="AY282" s="0" t="s">
        <v>240</v>
      </c>
      <c r="AZ282" s="0" t="s">
        <v>240</v>
      </c>
      <c r="BA282" s="0" t="s">
        <v>240</v>
      </c>
      <c r="BB282" s="0" t="s">
        <v>240</v>
      </c>
      <c r="BC282" s="0" t="s">
        <v>240</v>
      </c>
      <c r="BD282" s="0" t="s">
        <v>240</v>
      </c>
      <c r="BE282" s="0" t="s">
        <v>240</v>
      </c>
      <c r="BF282" s="0" t="s">
        <v>240</v>
      </c>
      <c r="BG282" s="0" t="s">
        <v>240</v>
      </c>
      <c r="BH282" s="0" t="s">
        <v>240</v>
      </c>
      <c r="BI282" s="0" t="s">
        <v>240</v>
      </c>
      <c r="BJ282" s="0" t="s">
        <v>240</v>
      </c>
      <c r="BK282" s="0" t="s">
        <v>240</v>
      </c>
      <c r="BL282" s="0" t="s">
        <v>240</v>
      </c>
      <c r="BM282" s="0" t="s">
        <v>240</v>
      </c>
      <c r="BN282" s="0" t="s">
        <v>240</v>
      </c>
      <c r="BO282" s="0" t="s">
        <v>240</v>
      </c>
      <c r="BP282" s="0" t="s">
        <v>240</v>
      </c>
      <c r="BQ282" s="0" t="s">
        <v>240</v>
      </c>
      <c r="BR282" s="0" t="s">
        <v>240</v>
      </c>
      <c r="BS282" s="0" t="s">
        <v>240</v>
      </c>
      <c r="BT282" s="0" t="s">
        <v>240</v>
      </c>
      <c r="BU282" s="0" t="s">
        <v>240</v>
      </c>
      <c r="BV282" s="0" t="s">
        <v>240</v>
      </c>
      <c r="BW282" s="0" t="s">
        <v>240</v>
      </c>
      <c r="BX282" s="0" t="s">
        <v>240</v>
      </c>
      <c r="BY282" s="0" t="s">
        <v>240</v>
      </c>
      <c r="BZ282" s="0" t="s">
        <v>240</v>
      </c>
      <c r="CA282" s="0" t="s">
        <v>240</v>
      </c>
      <c r="CB282" s="0" t="s">
        <v>240</v>
      </c>
      <c r="CC282" s="0" t="s">
        <v>240</v>
      </c>
      <c r="CD282" s="0" t="s">
        <v>240</v>
      </c>
      <c r="CE282" s="0" t="s">
        <v>240</v>
      </c>
      <c r="CF282" s="0" t="s">
        <v>240</v>
      </c>
      <c r="CG282" s="0" t="s">
        <v>240</v>
      </c>
      <c r="CH282" s="0" t="s">
        <v>240</v>
      </c>
      <c r="CI282" s="0" t="s">
        <v>240</v>
      </c>
      <c r="CJ282" s="0" t="s">
        <v>240</v>
      </c>
      <c r="CK282" s="0" t="s">
        <v>240</v>
      </c>
      <c r="CL282" s="0" t="s">
        <v>240</v>
      </c>
      <c r="CM282" s="0" t="s">
        <v>240</v>
      </c>
      <c r="CN282" s="0" t="s">
        <v>240</v>
      </c>
      <c r="CO282" s="0" t="s">
        <v>240</v>
      </c>
      <c r="CP282" s="0" t="s">
        <v>240</v>
      </c>
      <c r="CQ282" s="0" t="s">
        <v>240</v>
      </c>
      <c r="CR282" s="0" t="s">
        <v>240</v>
      </c>
      <c r="CS282" s="0" t="s">
        <v>240</v>
      </c>
      <c r="CT282" s="0" t="s">
        <v>5496</v>
      </c>
      <c r="CU282" s="0" t="s">
        <v>5497</v>
      </c>
      <c r="CV282" s="0" t="s">
        <v>443</v>
      </c>
      <c r="CW282" s="0" t="s">
        <v>5509</v>
      </c>
      <c r="CX282" s="0" t="s">
        <v>229</v>
      </c>
      <c r="CY282" s="0" t="s">
        <v>443</v>
      </c>
      <c r="CZ282" s="0" t="s">
        <v>5510</v>
      </c>
      <c r="DA282" s="0" t="s">
        <v>5511</v>
      </c>
      <c r="DB282" s="0" t="s">
        <v>5509</v>
      </c>
      <c r="DC282" s="0" t="s">
        <v>384</v>
      </c>
      <c r="DD282" s="0" t="s">
        <v>291</v>
      </c>
      <c r="DE282" s="0" t="s">
        <v>6759</v>
      </c>
    </row>
    <row customHeight="1" ht="11.25">
      <c r="A283" s="1441" t="s">
        <v>240</v>
      </c>
      <c r="B283" s="0" t="s">
        <v>240</v>
      </c>
      <c r="C283" s="0" t="s">
        <v>240</v>
      </c>
      <c r="D283" s="0" t="s">
        <v>240</v>
      </c>
      <c r="E283" s="0" t="s">
        <v>240</v>
      </c>
      <c r="F283" s="0" t="s">
        <v>240</v>
      </c>
      <c r="G283" s="0" t="s">
        <v>240</v>
      </c>
      <c r="H283" s="0" t="s">
        <v>240</v>
      </c>
      <c r="I283" s="0" t="s">
        <v>5484</v>
      </c>
      <c r="J283" s="0" t="s">
        <v>240</v>
      </c>
      <c r="K283" s="0" t="s">
        <v>240</v>
      </c>
      <c r="L283" s="0" t="s">
        <v>240</v>
      </c>
      <c r="M283" s="0" t="s">
        <v>240</v>
      </c>
      <c r="N283" s="0" t="s">
        <v>240</v>
      </c>
      <c r="O283" s="0" t="s">
        <v>240</v>
      </c>
      <c r="P283" s="0" t="s">
        <v>240</v>
      </c>
      <c r="Q283" s="0" t="s">
        <v>240</v>
      </c>
      <c r="R283" s="0" t="s">
        <v>449</v>
      </c>
      <c r="S283" s="0" t="s">
        <v>240</v>
      </c>
      <c r="T283" s="0" t="s">
        <v>240</v>
      </c>
      <c r="U283" s="0" t="s">
        <v>102</v>
      </c>
      <c r="V283" s="0" t="s">
        <v>240</v>
      </c>
      <c r="W283" s="0" t="s">
        <v>240</v>
      </c>
      <c r="X283" s="0" t="s">
        <v>5585</v>
      </c>
      <c r="Y283" s="0" t="s">
        <v>240</v>
      </c>
      <c r="Z283" s="0" t="s">
        <v>152</v>
      </c>
      <c r="AA283" s="0" t="s">
        <v>152</v>
      </c>
      <c r="AB283" s="0" t="s">
        <v>161</v>
      </c>
      <c r="AC283" s="0" t="s">
        <v>2985</v>
      </c>
      <c r="AD283" s="0" t="s">
        <v>2985</v>
      </c>
      <c r="AE283" s="0" t="s">
        <v>2986</v>
      </c>
      <c r="AF283" s="0" t="s">
        <v>5500</v>
      </c>
      <c r="AG283" s="0" t="s">
        <v>5501</v>
      </c>
      <c r="AH283" s="0" t="s">
        <v>5502</v>
      </c>
      <c r="AI283" s="0" t="s">
        <v>5503</v>
      </c>
      <c r="AJ283" s="0" t="s">
        <v>240</v>
      </c>
      <c r="AK283" s="0" t="s">
        <v>240</v>
      </c>
      <c r="AL283" s="0" t="s">
        <v>240</v>
      </c>
      <c r="AM283" s="0" t="s">
        <v>240</v>
      </c>
      <c r="AN283" s="0" t="s">
        <v>240</v>
      </c>
      <c r="AO283" s="0" t="s">
        <v>240</v>
      </c>
      <c r="AP283" s="0" t="s">
        <v>240</v>
      </c>
      <c r="AQ283" s="0" t="s">
        <v>240</v>
      </c>
      <c r="AR283" s="0" t="s">
        <v>240</v>
      </c>
      <c r="AS283" s="0" t="s">
        <v>240</v>
      </c>
      <c r="AT283" s="0" t="s">
        <v>240</v>
      </c>
      <c r="AU283" s="0" t="s">
        <v>240</v>
      </c>
      <c r="AV283" s="0" t="s">
        <v>240</v>
      </c>
      <c r="AW283" s="0" t="s">
        <v>240</v>
      </c>
      <c r="AX283" s="0" t="s">
        <v>240</v>
      </c>
      <c r="AY283" s="0" t="s">
        <v>240</v>
      </c>
      <c r="AZ283" s="0" t="s">
        <v>240</v>
      </c>
      <c r="BA283" s="0" t="s">
        <v>240</v>
      </c>
      <c r="BB283" s="0" t="s">
        <v>240</v>
      </c>
      <c r="BC283" s="0" t="s">
        <v>240</v>
      </c>
      <c r="BD283" s="0" t="s">
        <v>240</v>
      </c>
      <c r="BE283" s="0" t="s">
        <v>5645</v>
      </c>
      <c r="BF283" s="0" t="s">
        <v>5645</v>
      </c>
      <c r="BG283" s="0" t="s">
        <v>112</v>
      </c>
      <c r="BH283" s="0" t="s">
        <v>5589</v>
      </c>
      <c r="BI283" s="0" t="s">
        <v>123</v>
      </c>
      <c r="BJ283" s="0" t="s">
        <v>240</v>
      </c>
      <c r="BK283" s="0" t="s">
        <v>5608</v>
      </c>
      <c r="BL283" s="0" t="s">
        <v>2985</v>
      </c>
      <c r="BM283" s="0" t="s">
        <v>2985</v>
      </c>
      <c r="BN283" s="0" t="s">
        <v>5646</v>
      </c>
      <c r="BO283" s="0" t="s">
        <v>5500</v>
      </c>
      <c r="BP283" s="0" t="s">
        <v>6760</v>
      </c>
      <c r="BQ283" s="0" t="s">
        <v>5502</v>
      </c>
      <c r="BR283" s="0" t="s">
        <v>6392</v>
      </c>
      <c r="BS283" s="0" t="s">
        <v>240</v>
      </c>
      <c r="BT283" s="0" t="s">
        <v>5650</v>
      </c>
      <c r="BU283" s="0" t="s">
        <v>6761</v>
      </c>
      <c r="BV283" s="0" t="s">
        <v>6761</v>
      </c>
      <c r="BW283" s="0" t="s">
        <v>5598</v>
      </c>
      <c r="BX283" s="0" t="s">
        <v>5598</v>
      </c>
      <c r="BY283" s="0" t="s">
        <v>5598</v>
      </c>
      <c r="BZ283" s="0" t="s">
        <v>5598</v>
      </c>
      <c r="CA283" s="0" t="s">
        <v>5598</v>
      </c>
      <c r="CB283" s="0" t="s">
        <v>240</v>
      </c>
      <c r="CC283" s="0" t="s">
        <v>240</v>
      </c>
      <c r="CD283" s="0" t="s">
        <v>240</v>
      </c>
      <c r="CE283" s="0" t="s">
        <v>240</v>
      </c>
      <c r="CF283" s="0" t="s">
        <v>240</v>
      </c>
      <c r="CG283" s="0" t="s">
        <v>5598</v>
      </c>
      <c r="CH283" s="0" t="s">
        <v>240</v>
      </c>
      <c r="CI283" s="0" t="s">
        <v>240</v>
      </c>
      <c r="CJ283" s="0" t="s">
        <v>240</v>
      </c>
      <c r="CK283" s="0" t="s">
        <v>240</v>
      </c>
      <c r="CL283" s="0" t="s">
        <v>240</v>
      </c>
      <c r="CM283" s="0" t="s">
        <v>6761</v>
      </c>
      <c r="CN283" s="0" t="s">
        <v>6761</v>
      </c>
      <c r="CO283" s="0" t="s">
        <v>240</v>
      </c>
      <c r="CP283" s="0" t="s">
        <v>240</v>
      </c>
      <c r="CQ283" s="0" t="s">
        <v>240</v>
      </c>
      <c r="CR283" s="0" t="s">
        <v>240</v>
      </c>
      <c r="CS283" s="0" t="s">
        <v>5507</v>
      </c>
      <c r="CT283" s="0" t="s">
        <v>5496</v>
      </c>
      <c r="CU283" s="0" t="s">
        <v>5497</v>
      </c>
      <c r="CV283" s="0" t="s">
        <v>443</v>
      </c>
      <c r="CW283" s="0" t="s">
        <v>5509</v>
      </c>
      <c r="CX283" s="0" t="s">
        <v>229</v>
      </c>
      <c r="CY283" s="0" t="s">
        <v>443</v>
      </c>
      <c r="CZ283" s="0" t="s">
        <v>5510</v>
      </c>
      <c r="DA283" s="0" t="s">
        <v>5511</v>
      </c>
      <c r="DB283" s="0" t="s">
        <v>5509</v>
      </c>
      <c r="DC283" s="0" t="s">
        <v>384</v>
      </c>
      <c r="DD283" s="0" t="s">
        <v>291</v>
      </c>
      <c r="DE283" s="0" t="s">
        <v>5512</v>
      </c>
    </row>
    <row customHeight="1" ht="11.25">
      <c r="A284" s="1441" t="s">
        <v>240</v>
      </c>
      <c r="B284" s="0" t="s">
        <v>240</v>
      </c>
      <c r="C284" s="0" t="s">
        <v>240</v>
      </c>
      <c r="D284" s="0" t="s">
        <v>240</v>
      </c>
      <c r="E284" s="0" t="s">
        <v>240</v>
      </c>
      <c r="F284" s="0" t="s">
        <v>240</v>
      </c>
      <c r="G284" s="0" t="s">
        <v>240</v>
      </c>
      <c r="H284" s="0" t="s">
        <v>240</v>
      </c>
      <c r="I284" s="0" t="s">
        <v>5484</v>
      </c>
      <c r="J284" s="0" t="s">
        <v>240</v>
      </c>
      <c r="K284" s="0" t="s">
        <v>240</v>
      </c>
      <c r="L284" s="0" t="s">
        <v>240</v>
      </c>
      <c r="M284" s="0" t="s">
        <v>240</v>
      </c>
      <c r="N284" s="0" t="s">
        <v>240</v>
      </c>
      <c r="O284" s="0" t="s">
        <v>240</v>
      </c>
      <c r="P284" s="0" t="s">
        <v>240</v>
      </c>
      <c r="Q284" s="0" t="s">
        <v>240</v>
      </c>
      <c r="R284" s="0" t="s">
        <v>5572</v>
      </c>
      <c r="S284" s="0" t="s">
        <v>240</v>
      </c>
      <c r="T284" s="0" t="s">
        <v>240</v>
      </c>
      <c r="U284" s="0" t="s">
        <v>102</v>
      </c>
      <c r="V284" s="0" t="s">
        <v>240</v>
      </c>
      <c r="W284" s="0" t="s">
        <v>240</v>
      </c>
      <c r="X284" s="0" t="s">
        <v>5485</v>
      </c>
      <c r="Y284" s="0" t="s">
        <v>240</v>
      </c>
      <c r="Z284" s="0" t="s">
        <v>161</v>
      </c>
      <c r="AA284" s="0" t="s">
        <v>152</v>
      </c>
      <c r="AB284" s="0" t="s">
        <v>152</v>
      </c>
      <c r="AC284" s="0" t="s">
        <v>2991</v>
      </c>
      <c r="AD284" s="0" t="s">
        <v>2991</v>
      </c>
      <c r="AE284" s="0" t="s">
        <v>2992</v>
      </c>
      <c r="AF284" s="0" t="s">
        <v>5749</v>
      </c>
      <c r="AG284" s="0" t="s">
        <v>5750</v>
      </c>
      <c r="AH284" s="0" t="s">
        <v>6762</v>
      </c>
      <c r="AI284" s="0" t="s">
        <v>6763</v>
      </c>
      <c r="AJ284" s="0" t="s">
        <v>5504</v>
      </c>
      <c r="AK284" s="0" t="s">
        <v>5756</v>
      </c>
      <c r="AL284" s="0" t="s">
        <v>5506</v>
      </c>
      <c r="AM284" s="0" t="s">
        <v>5493</v>
      </c>
      <c r="AN284" s="0" t="s">
        <v>5545</v>
      </c>
      <c r="AO284" s="0" t="s">
        <v>5768</v>
      </c>
      <c r="AP284" s="0" t="s">
        <v>240</v>
      </c>
      <c r="AQ284" s="0" t="s">
        <v>240</v>
      </c>
      <c r="AR284" s="0" t="s">
        <v>240</v>
      </c>
      <c r="AS284" s="0" t="s">
        <v>240</v>
      </c>
      <c r="AT284" s="0" t="s">
        <v>240</v>
      </c>
      <c r="AU284" s="0" t="s">
        <v>240</v>
      </c>
      <c r="AV284" s="0" t="s">
        <v>240</v>
      </c>
      <c r="AW284" s="0" t="s">
        <v>240</v>
      </c>
      <c r="AX284" s="0" t="s">
        <v>240</v>
      </c>
      <c r="AY284" s="0" t="s">
        <v>240</v>
      </c>
      <c r="AZ284" s="0" t="s">
        <v>240</v>
      </c>
      <c r="BA284" s="0" t="s">
        <v>240</v>
      </c>
      <c r="BB284" s="0" t="s">
        <v>240</v>
      </c>
      <c r="BC284" s="0" t="s">
        <v>240</v>
      </c>
      <c r="BD284" s="0" t="s">
        <v>240</v>
      </c>
      <c r="BE284" s="0" t="s">
        <v>240</v>
      </c>
      <c r="BF284" s="0" t="s">
        <v>240</v>
      </c>
      <c r="BG284" s="0" t="s">
        <v>240</v>
      </c>
      <c r="BH284" s="0" t="s">
        <v>240</v>
      </c>
      <c r="BI284" s="0" t="s">
        <v>240</v>
      </c>
      <c r="BJ284" s="0" t="s">
        <v>240</v>
      </c>
      <c r="BK284" s="0" t="s">
        <v>240</v>
      </c>
      <c r="BL284" s="0" t="s">
        <v>240</v>
      </c>
      <c r="BM284" s="0" t="s">
        <v>240</v>
      </c>
      <c r="BN284" s="0" t="s">
        <v>240</v>
      </c>
      <c r="BO284" s="0" t="s">
        <v>240</v>
      </c>
      <c r="BP284" s="0" t="s">
        <v>240</v>
      </c>
      <c r="BQ284" s="0" t="s">
        <v>240</v>
      </c>
      <c r="BR284" s="0" t="s">
        <v>240</v>
      </c>
      <c r="BS284" s="0" t="s">
        <v>240</v>
      </c>
      <c r="BT284" s="0" t="s">
        <v>240</v>
      </c>
      <c r="BU284" s="0" t="s">
        <v>240</v>
      </c>
      <c r="BV284" s="0" t="s">
        <v>240</v>
      </c>
      <c r="BW284" s="0" t="s">
        <v>240</v>
      </c>
      <c r="BX284" s="0" t="s">
        <v>240</v>
      </c>
      <c r="BY284" s="0" t="s">
        <v>240</v>
      </c>
      <c r="BZ284" s="0" t="s">
        <v>240</v>
      </c>
      <c r="CA284" s="0" t="s">
        <v>240</v>
      </c>
      <c r="CB284" s="0" t="s">
        <v>240</v>
      </c>
      <c r="CC284" s="0" t="s">
        <v>240</v>
      </c>
      <c r="CD284" s="0" t="s">
        <v>240</v>
      </c>
      <c r="CE284" s="0" t="s">
        <v>240</v>
      </c>
      <c r="CF284" s="0" t="s">
        <v>240</v>
      </c>
      <c r="CG284" s="0" t="s">
        <v>240</v>
      </c>
      <c r="CH284" s="0" t="s">
        <v>240</v>
      </c>
      <c r="CI284" s="0" t="s">
        <v>240</v>
      </c>
      <c r="CJ284" s="0" t="s">
        <v>240</v>
      </c>
      <c r="CK284" s="0" t="s">
        <v>240</v>
      </c>
      <c r="CL284" s="0" t="s">
        <v>240</v>
      </c>
      <c r="CM284" s="0" t="s">
        <v>240</v>
      </c>
      <c r="CN284" s="0" t="s">
        <v>240</v>
      </c>
      <c r="CO284" s="0" t="s">
        <v>240</v>
      </c>
      <c r="CP284" s="0" t="s">
        <v>240</v>
      </c>
      <c r="CQ284" s="0" t="s">
        <v>240</v>
      </c>
      <c r="CR284" s="0" t="s">
        <v>240</v>
      </c>
      <c r="CS284" s="0" t="s">
        <v>240</v>
      </c>
      <c r="CT284" s="0" t="s">
        <v>5496</v>
      </c>
      <c r="CU284" s="0" t="s">
        <v>5497</v>
      </c>
      <c r="CV284" s="0" t="s">
        <v>443</v>
      </c>
      <c r="CW284" s="0" t="s">
        <v>5547</v>
      </c>
      <c r="CX284" s="0" t="s">
        <v>229</v>
      </c>
      <c r="CY284" s="0" t="s">
        <v>443</v>
      </c>
      <c r="CZ284" s="0" t="s">
        <v>5548</v>
      </c>
      <c r="DA284" s="0" t="s">
        <v>5549</v>
      </c>
      <c r="DB284" s="0" t="s">
        <v>5547</v>
      </c>
      <c r="DC284" s="0" t="s">
        <v>384</v>
      </c>
      <c r="DD284" s="0" t="s">
        <v>291</v>
      </c>
      <c r="DE284" s="0" t="s">
        <v>6764</v>
      </c>
    </row>
    <row customHeight="1" ht="11.25">
      <c r="A285" s="1441" t="s">
        <v>240</v>
      </c>
      <c r="B285" s="0" t="s">
        <v>240</v>
      </c>
      <c r="C285" s="0" t="s">
        <v>240</v>
      </c>
      <c r="D285" s="0" t="s">
        <v>240</v>
      </c>
      <c r="E285" s="0" t="s">
        <v>240</v>
      </c>
      <c r="F285" s="0" t="s">
        <v>240</v>
      </c>
      <c r="G285" s="0" t="s">
        <v>240</v>
      </c>
      <c r="H285" s="0" t="s">
        <v>240</v>
      </c>
      <c r="I285" s="0" t="s">
        <v>5484</v>
      </c>
      <c r="J285" s="0" t="s">
        <v>240</v>
      </c>
      <c r="K285" s="0" t="s">
        <v>240</v>
      </c>
      <c r="L285" s="0" t="s">
        <v>240</v>
      </c>
      <c r="M285" s="0" t="s">
        <v>240</v>
      </c>
      <c r="N285" s="0" t="s">
        <v>240</v>
      </c>
      <c r="O285" s="0" t="s">
        <v>240</v>
      </c>
      <c r="P285" s="0" t="s">
        <v>240</v>
      </c>
      <c r="Q285" s="0" t="s">
        <v>240</v>
      </c>
      <c r="R285" s="0" t="s">
        <v>5572</v>
      </c>
      <c r="S285" s="0" t="s">
        <v>240</v>
      </c>
      <c r="T285" s="0" t="s">
        <v>240</v>
      </c>
      <c r="U285" s="0" t="s">
        <v>102</v>
      </c>
      <c r="V285" s="0" t="s">
        <v>240</v>
      </c>
      <c r="W285" s="0" t="s">
        <v>240</v>
      </c>
      <c r="X285" s="0" t="s">
        <v>5485</v>
      </c>
      <c r="Y285" s="0" t="s">
        <v>240</v>
      </c>
      <c r="Z285" s="0" t="s">
        <v>161</v>
      </c>
      <c r="AA285" s="0" t="s">
        <v>152</v>
      </c>
      <c r="AB285" s="0" t="s">
        <v>152</v>
      </c>
      <c r="AC285" s="0" t="s">
        <v>2991</v>
      </c>
      <c r="AD285" s="0" t="s">
        <v>2991</v>
      </c>
      <c r="AE285" s="0" t="s">
        <v>2992</v>
      </c>
      <c r="AF285" s="0" t="s">
        <v>5749</v>
      </c>
      <c r="AG285" s="0" t="s">
        <v>5750</v>
      </c>
      <c r="AH285" s="0" t="s">
        <v>6087</v>
      </c>
      <c r="AI285" s="0" t="s">
        <v>6765</v>
      </c>
      <c r="AJ285" s="0" t="s">
        <v>5552</v>
      </c>
      <c r="AK285" s="0" t="s">
        <v>5544</v>
      </c>
      <c r="AL285" s="0" t="s">
        <v>5506</v>
      </c>
      <c r="AM285" s="0" t="s">
        <v>5493</v>
      </c>
      <c r="AN285" s="0" t="s">
        <v>5553</v>
      </c>
      <c r="AO285" s="0" t="s">
        <v>5752</v>
      </c>
      <c r="AP285" s="0" t="s">
        <v>240</v>
      </c>
      <c r="AQ285" s="0" t="s">
        <v>240</v>
      </c>
      <c r="AR285" s="0" t="s">
        <v>240</v>
      </c>
      <c r="AS285" s="0" t="s">
        <v>240</v>
      </c>
      <c r="AT285" s="0" t="s">
        <v>240</v>
      </c>
      <c r="AU285" s="0" t="s">
        <v>240</v>
      </c>
      <c r="AV285" s="0" t="s">
        <v>240</v>
      </c>
      <c r="AW285" s="0" t="s">
        <v>240</v>
      </c>
      <c r="AX285" s="0" t="s">
        <v>240</v>
      </c>
      <c r="AY285" s="0" t="s">
        <v>240</v>
      </c>
      <c r="AZ285" s="0" t="s">
        <v>240</v>
      </c>
      <c r="BA285" s="0" t="s">
        <v>240</v>
      </c>
      <c r="BB285" s="0" t="s">
        <v>240</v>
      </c>
      <c r="BC285" s="0" t="s">
        <v>240</v>
      </c>
      <c r="BD285" s="0" t="s">
        <v>240</v>
      </c>
      <c r="BE285" s="0" t="s">
        <v>240</v>
      </c>
      <c r="BF285" s="0" t="s">
        <v>240</v>
      </c>
      <c r="BG285" s="0" t="s">
        <v>240</v>
      </c>
      <c r="BH285" s="0" t="s">
        <v>240</v>
      </c>
      <c r="BI285" s="0" t="s">
        <v>240</v>
      </c>
      <c r="BJ285" s="0" t="s">
        <v>240</v>
      </c>
      <c r="BK285" s="0" t="s">
        <v>240</v>
      </c>
      <c r="BL285" s="0" t="s">
        <v>240</v>
      </c>
      <c r="BM285" s="0" t="s">
        <v>240</v>
      </c>
      <c r="BN285" s="0" t="s">
        <v>240</v>
      </c>
      <c r="BO285" s="0" t="s">
        <v>240</v>
      </c>
      <c r="BP285" s="0" t="s">
        <v>240</v>
      </c>
      <c r="BQ285" s="0" t="s">
        <v>240</v>
      </c>
      <c r="BR285" s="0" t="s">
        <v>240</v>
      </c>
      <c r="BS285" s="0" t="s">
        <v>240</v>
      </c>
      <c r="BT285" s="0" t="s">
        <v>240</v>
      </c>
      <c r="BU285" s="0" t="s">
        <v>240</v>
      </c>
      <c r="BV285" s="0" t="s">
        <v>240</v>
      </c>
      <c r="BW285" s="0" t="s">
        <v>240</v>
      </c>
      <c r="BX285" s="0" t="s">
        <v>240</v>
      </c>
      <c r="BY285" s="0" t="s">
        <v>240</v>
      </c>
      <c r="BZ285" s="0" t="s">
        <v>240</v>
      </c>
      <c r="CA285" s="0" t="s">
        <v>240</v>
      </c>
      <c r="CB285" s="0" t="s">
        <v>240</v>
      </c>
      <c r="CC285" s="0" t="s">
        <v>240</v>
      </c>
      <c r="CD285" s="0" t="s">
        <v>240</v>
      </c>
      <c r="CE285" s="0" t="s">
        <v>240</v>
      </c>
      <c r="CF285" s="0" t="s">
        <v>240</v>
      </c>
      <c r="CG285" s="0" t="s">
        <v>240</v>
      </c>
      <c r="CH285" s="0" t="s">
        <v>240</v>
      </c>
      <c r="CI285" s="0" t="s">
        <v>240</v>
      </c>
      <c r="CJ285" s="0" t="s">
        <v>240</v>
      </c>
      <c r="CK285" s="0" t="s">
        <v>240</v>
      </c>
      <c r="CL285" s="0" t="s">
        <v>240</v>
      </c>
      <c r="CM285" s="0" t="s">
        <v>240</v>
      </c>
      <c r="CN285" s="0" t="s">
        <v>240</v>
      </c>
      <c r="CO285" s="0" t="s">
        <v>240</v>
      </c>
      <c r="CP285" s="0" t="s">
        <v>240</v>
      </c>
      <c r="CQ285" s="0" t="s">
        <v>240</v>
      </c>
      <c r="CR285" s="0" t="s">
        <v>240</v>
      </c>
      <c r="CS285" s="0" t="s">
        <v>240</v>
      </c>
      <c r="CT285" s="0" t="s">
        <v>5496</v>
      </c>
      <c r="CU285" s="0" t="s">
        <v>5497</v>
      </c>
      <c r="CV285" s="0" t="s">
        <v>443</v>
      </c>
      <c r="CW285" s="0" t="s">
        <v>5547</v>
      </c>
      <c r="CX285" s="0" t="s">
        <v>229</v>
      </c>
      <c r="CY285" s="0" t="s">
        <v>443</v>
      </c>
      <c r="CZ285" s="0" t="s">
        <v>5548</v>
      </c>
      <c r="DA285" s="0" t="s">
        <v>5549</v>
      </c>
      <c r="DB285" s="0" t="s">
        <v>5547</v>
      </c>
      <c r="DC285" s="0" t="s">
        <v>384</v>
      </c>
      <c r="DD285" s="0" t="s">
        <v>291</v>
      </c>
      <c r="DE285" s="0" t="s">
        <v>6766</v>
      </c>
    </row>
    <row customHeight="1" ht="11.25">
      <c r="A286" s="1441" t="s">
        <v>240</v>
      </c>
      <c r="B286" s="0" t="s">
        <v>240</v>
      </c>
      <c r="C286" s="0" t="s">
        <v>240</v>
      </c>
      <c r="D286" s="0" t="s">
        <v>240</v>
      </c>
      <c r="E286" s="0" t="s">
        <v>240</v>
      </c>
      <c r="F286" s="0" t="s">
        <v>240</v>
      </c>
      <c r="G286" s="0" t="s">
        <v>240</v>
      </c>
      <c r="H286" s="0" t="s">
        <v>240</v>
      </c>
      <c r="I286" s="0" t="s">
        <v>5484</v>
      </c>
      <c r="J286" s="0" t="s">
        <v>240</v>
      </c>
      <c r="K286" s="0" t="s">
        <v>240</v>
      </c>
      <c r="L286" s="0" t="s">
        <v>240</v>
      </c>
      <c r="M286" s="0" t="s">
        <v>240</v>
      </c>
      <c r="N286" s="0" t="s">
        <v>240</v>
      </c>
      <c r="O286" s="0" t="s">
        <v>240</v>
      </c>
      <c r="P286" s="0" t="s">
        <v>240</v>
      </c>
      <c r="Q286" s="0" t="s">
        <v>240</v>
      </c>
      <c r="R286" s="0" t="s">
        <v>6767</v>
      </c>
      <c r="S286" s="0" t="s">
        <v>240</v>
      </c>
      <c r="T286" s="0" t="s">
        <v>240</v>
      </c>
      <c r="U286" s="0" t="s">
        <v>102</v>
      </c>
      <c r="V286" s="0" t="s">
        <v>240</v>
      </c>
      <c r="W286" s="0" t="s">
        <v>240</v>
      </c>
      <c r="X286" s="0" t="s">
        <v>5585</v>
      </c>
      <c r="Y286" s="0" t="s">
        <v>240</v>
      </c>
      <c r="Z286" s="0" t="s">
        <v>152</v>
      </c>
      <c r="AA286" s="0" t="s">
        <v>152</v>
      </c>
      <c r="AB286" s="0" t="s">
        <v>161</v>
      </c>
      <c r="AC286" s="0" t="s">
        <v>2989</v>
      </c>
      <c r="AD286" s="0" t="s">
        <v>2989</v>
      </c>
      <c r="AE286" s="0" t="s">
        <v>2990</v>
      </c>
      <c r="AF286" s="0" t="s">
        <v>6545</v>
      </c>
      <c r="AG286" s="0" t="s">
        <v>6546</v>
      </c>
      <c r="AH286" s="0" t="s">
        <v>5575</v>
      </c>
      <c r="AI286" s="0" t="s">
        <v>5575</v>
      </c>
      <c r="AJ286" s="0" t="s">
        <v>240</v>
      </c>
      <c r="AK286" s="0" t="s">
        <v>240</v>
      </c>
      <c r="AL286" s="0" t="s">
        <v>240</v>
      </c>
      <c r="AM286" s="0" t="s">
        <v>240</v>
      </c>
      <c r="AN286" s="0" t="s">
        <v>240</v>
      </c>
      <c r="AO286" s="0" t="s">
        <v>240</v>
      </c>
      <c r="AP286" s="0" t="s">
        <v>240</v>
      </c>
      <c r="AQ286" s="0" t="s">
        <v>240</v>
      </c>
      <c r="AR286" s="0" t="s">
        <v>240</v>
      </c>
      <c r="AS286" s="0" t="s">
        <v>240</v>
      </c>
      <c r="AT286" s="0" t="s">
        <v>240</v>
      </c>
      <c r="AU286" s="0" t="s">
        <v>240</v>
      </c>
      <c r="AV286" s="0" t="s">
        <v>240</v>
      </c>
      <c r="AW286" s="0" t="s">
        <v>240</v>
      </c>
      <c r="AX286" s="0" t="s">
        <v>240</v>
      </c>
      <c r="AY286" s="0" t="s">
        <v>240</v>
      </c>
      <c r="AZ286" s="0" t="s">
        <v>240</v>
      </c>
      <c r="BA286" s="0" t="s">
        <v>240</v>
      </c>
      <c r="BB286" s="0" t="s">
        <v>240</v>
      </c>
      <c r="BC286" s="0" t="s">
        <v>240</v>
      </c>
      <c r="BD286" s="0" t="s">
        <v>240</v>
      </c>
      <c r="BE286" s="0" t="s">
        <v>5576</v>
      </c>
      <c r="BF286" s="0" t="s">
        <v>6547</v>
      </c>
      <c r="BG286" s="0" t="s">
        <v>112</v>
      </c>
      <c r="BH286" s="0" t="s">
        <v>5589</v>
      </c>
      <c r="BI286" s="0" t="s">
        <v>123</v>
      </c>
      <c r="BJ286" s="0" t="s">
        <v>240</v>
      </c>
      <c r="BK286" s="0" t="s">
        <v>5608</v>
      </c>
      <c r="BL286" s="0" t="s">
        <v>2989</v>
      </c>
      <c r="BM286" s="0" t="s">
        <v>2989</v>
      </c>
      <c r="BN286" s="0" t="s">
        <v>5798</v>
      </c>
      <c r="BO286" s="0" t="s">
        <v>6545</v>
      </c>
      <c r="BP286" s="0" t="s">
        <v>6768</v>
      </c>
      <c r="BQ286" s="0" t="s">
        <v>5575</v>
      </c>
      <c r="BR286" s="0" t="s">
        <v>5575</v>
      </c>
      <c r="BS286" s="0" t="s">
        <v>240</v>
      </c>
      <c r="BT286" s="0" t="s">
        <v>5650</v>
      </c>
      <c r="BU286" s="0" t="s">
        <v>6769</v>
      </c>
      <c r="BV286" s="0" t="s">
        <v>6769</v>
      </c>
      <c r="BW286" s="0" t="s">
        <v>5598</v>
      </c>
      <c r="BX286" s="0" t="s">
        <v>5598</v>
      </c>
      <c r="BY286" s="0" t="s">
        <v>5598</v>
      </c>
      <c r="BZ286" s="0" t="s">
        <v>5598</v>
      </c>
      <c r="CA286" s="0" t="s">
        <v>5598</v>
      </c>
      <c r="CB286" s="0" t="s">
        <v>240</v>
      </c>
      <c r="CC286" s="0" t="s">
        <v>240</v>
      </c>
      <c r="CD286" s="0" t="s">
        <v>240</v>
      </c>
      <c r="CE286" s="0" t="s">
        <v>240</v>
      </c>
      <c r="CF286" s="0" t="s">
        <v>240</v>
      </c>
      <c r="CG286" s="0" t="s">
        <v>5598</v>
      </c>
      <c r="CH286" s="0" t="s">
        <v>240</v>
      </c>
      <c r="CI286" s="0" t="s">
        <v>240</v>
      </c>
      <c r="CJ286" s="0" t="s">
        <v>240</v>
      </c>
      <c r="CK286" s="0" t="s">
        <v>240</v>
      </c>
      <c r="CL286" s="0" t="s">
        <v>240</v>
      </c>
      <c r="CM286" s="0" t="s">
        <v>6769</v>
      </c>
      <c r="CN286" s="0" t="s">
        <v>6769</v>
      </c>
      <c r="CO286" s="0" t="s">
        <v>240</v>
      </c>
      <c r="CP286" s="0" t="s">
        <v>240</v>
      </c>
      <c r="CQ286" s="0" t="s">
        <v>240</v>
      </c>
      <c r="CR286" s="0" t="s">
        <v>240</v>
      </c>
      <c r="CS286" s="0" t="s">
        <v>5553</v>
      </c>
      <c r="CT286" s="0" t="s">
        <v>5496</v>
      </c>
      <c r="CU286" s="0" t="s">
        <v>5497</v>
      </c>
      <c r="CV286" s="0" t="s">
        <v>443</v>
      </c>
      <c r="CW286" s="0" t="s">
        <v>5580</v>
      </c>
      <c r="CX286" s="0" t="s">
        <v>229</v>
      </c>
      <c r="CY286" s="0" t="s">
        <v>443</v>
      </c>
      <c r="CZ286" s="0" t="s">
        <v>5581</v>
      </c>
      <c r="DA286" s="0" t="s">
        <v>5582</v>
      </c>
      <c r="DB286" s="0" t="s">
        <v>5580</v>
      </c>
      <c r="DC286" s="0" t="s">
        <v>384</v>
      </c>
      <c r="DD286" s="0" t="s">
        <v>291</v>
      </c>
      <c r="DE286" s="0" t="s">
        <v>6548</v>
      </c>
    </row>
    <row customHeight="1" ht="11.25">
      <c r="A287" s="1441" t="s">
        <v>240</v>
      </c>
      <c r="B287" s="0" t="s">
        <v>240</v>
      </c>
      <c r="C287" s="0" t="s">
        <v>240</v>
      </c>
      <c r="D287" s="0" t="s">
        <v>240</v>
      </c>
      <c r="E287" s="0" t="s">
        <v>240</v>
      </c>
      <c r="F287" s="0" t="s">
        <v>240</v>
      </c>
      <c r="G287" s="0" t="s">
        <v>240</v>
      </c>
      <c r="H287" s="0" t="s">
        <v>240</v>
      </c>
      <c r="I287" s="0" t="s">
        <v>5484</v>
      </c>
      <c r="J287" s="0" t="s">
        <v>240</v>
      </c>
      <c r="K287" s="0" t="s">
        <v>240</v>
      </c>
      <c r="L287" s="0" t="s">
        <v>240</v>
      </c>
      <c r="M287" s="0" t="s">
        <v>240</v>
      </c>
      <c r="N287" s="0" t="s">
        <v>240</v>
      </c>
      <c r="O287" s="0" t="s">
        <v>240</v>
      </c>
      <c r="P287" s="0" t="s">
        <v>240</v>
      </c>
      <c r="Q287" s="0" t="s">
        <v>240</v>
      </c>
      <c r="R287" s="0" t="s">
        <v>6770</v>
      </c>
      <c r="S287" s="0" t="s">
        <v>240</v>
      </c>
      <c r="T287" s="0" t="s">
        <v>240</v>
      </c>
      <c r="U287" s="0" t="s">
        <v>102</v>
      </c>
      <c r="V287" s="0" t="s">
        <v>240</v>
      </c>
      <c r="W287" s="0" t="s">
        <v>240</v>
      </c>
      <c r="X287" s="0" t="s">
        <v>5585</v>
      </c>
      <c r="Y287" s="0" t="s">
        <v>240</v>
      </c>
      <c r="Z287" s="0" t="s">
        <v>152</v>
      </c>
      <c r="AA287" s="0" t="s">
        <v>152</v>
      </c>
      <c r="AB287" s="0" t="s">
        <v>161</v>
      </c>
      <c r="AC287" s="0" t="s">
        <v>2989</v>
      </c>
      <c r="AD287" s="0" t="s">
        <v>2989</v>
      </c>
      <c r="AE287" s="0" t="s">
        <v>2990</v>
      </c>
      <c r="AF287" s="0" t="s">
        <v>6719</v>
      </c>
      <c r="AG287" s="0" t="s">
        <v>6720</v>
      </c>
      <c r="AH287" s="0" t="s">
        <v>5575</v>
      </c>
      <c r="AI287" s="0" t="s">
        <v>5575</v>
      </c>
      <c r="AJ287" s="0" t="s">
        <v>240</v>
      </c>
      <c r="AK287" s="0" t="s">
        <v>240</v>
      </c>
      <c r="AL287" s="0" t="s">
        <v>240</v>
      </c>
      <c r="AM287" s="0" t="s">
        <v>240</v>
      </c>
      <c r="AN287" s="0" t="s">
        <v>240</v>
      </c>
      <c r="AO287" s="0" t="s">
        <v>240</v>
      </c>
      <c r="AP287" s="0" t="s">
        <v>240</v>
      </c>
      <c r="AQ287" s="0" t="s">
        <v>240</v>
      </c>
      <c r="AR287" s="0" t="s">
        <v>240</v>
      </c>
      <c r="AS287" s="0" t="s">
        <v>240</v>
      </c>
      <c r="AT287" s="0" t="s">
        <v>240</v>
      </c>
      <c r="AU287" s="0" t="s">
        <v>240</v>
      </c>
      <c r="AV287" s="0" t="s">
        <v>240</v>
      </c>
      <c r="AW287" s="0" t="s">
        <v>240</v>
      </c>
      <c r="AX287" s="0" t="s">
        <v>240</v>
      </c>
      <c r="AY287" s="0" t="s">
        <v>240</v>
      </c>
      <c r="AZ287" s="0" t="s">
        <v>240</v>
      </c>
      <c r="BA287" s="0" t="s">
        <v>240</v>
      </c>
      <c r="BB287" s="0" t="s">
        <v>240</v>
      </c>
      <c r="BC287" s="0" t="s">
        <v>240</v>
      </c>
      <c r="BD287" s="0" t="s">
        <v>240</v>
      </c>
      <c r="BE287" s="0" t="s">
        <v>6508</v>
      </c>
      <c r="BF287" s="0" t="s">
        <v>6407</v>
      </c>
      <c r="BG287" s="0" t="s">
        <v>112</v>
      </c>
      <c r="BH287" s="0" t="s">
        <v>5589</v>
      </c>
      <c r="BI287" s="0" t="s">
        <v>123</v>
      </c>
      <c r="BJ287" s="0" t="s">
        <v>240</v>
      </c>
      <c r="BK287" s="0" t="s">
        <v>5608</v>
      </c>
      <c r="BL287" s="0" t="s">
        <v>2989</v>
      </c>
      <c r="BM287" s="0" t="s">
        <v>2989</v>
      </c>
      <c r="BN287" s="0" t="s">
        <v>5798</v>
      </c>
      <c r="BO287" s="0" t="s">
        <v>6719</v>
      </c>
      <c r="BP287" s="0" t="s">
        <v>6771</v>
      </c>
      <c r="BQ287" s="0" t="s">
        <v>5575</v>
      </c>
      <c r="BR287" s="0" t="s">
        <v>5575</v>
      </c>
      <c r="BS287" s="0" t="s">
        <v>240</v>
      </c>
      <c r="BT287" s="0" t="s">
        <v>5650</v>
      </c>
      <c r="BU287" s="0" t="s">
        <v>6772</v>
      </c>
      <c r="BV287" s="0" t="s">
        <v>6772</v>
      </c>
      <c r="BW287" s="0" t="s">
        <v>5598</v>
      </c>
      <c r="BX287" s="0" t="s">
        <v>5598</v>
      </c>
      <c r="BY287" s="0" t="s">
        <v>5598</v>
      </c>
      <c r="BZ287" s="0" t="s">
        <v>5598</v>
      </c>
      <c r="CA287" s="0" t="s">
        <v>5598</v>
      </c>
      <c r="CB287" s="0" t="s">
        <v>240</v>
      </c>
      <c r="CC287" s="0" t="s">
        <v>240</v>
      </c>
      <c r="CD287" s="0" t="s">
        <v>240</v>
      </c>
      <c r="CE287" s="0" t="s">
        <v>240</v>
      </c>
      <c r="CF287" s="0" t="s">
        <v>240</v>
      </c>
      <c r="CG287" s="0" t="s">
        <v>5598</v>
      </c>
      <c r="CH287" s="0" t="s">
        <v>240</v>
      </c>
      <c r="CI287" s="0" t="s">
        <v>240</v>
      </c>
      <c r="CJ287" s="0" t="s">
        <v>240</v>
      </c>
      <c r="CK287" s="0" t="s">
        <v>240</v>
      </c>
      <c r="CL287" s="0" t="s">
        <v>240</v>
      </c>
      <c r="CM287" s="0" t="s">
        <v>6772</v>
      </c>
      <c r="CN287" s="0" t="s">
        <v>6772</v>
      </c>
      <c r="CO287" s="0" t="s">
        <v>240</v>
      </c>
      <c r="CP287" s="0" t="s">
        <v>240</v>
      </c>
      <c r="CQ287" s="0" t="s">
        <v>240</v>
      </c>
      <c r="CR287" s="0" t="s">
        <v>240</v>
      </c>
      <c r="CS287" s="0" t="s">
        <v>5491</v>
      </c>
      <c r="CT287" s="0" t="s">
        <v>5496</v>
      </c>
      <c r="CU287" s="0" t="s">
        <v>5497</v>
      </c>
      <c r="CV287" s="0" t="s">
        <v>443</v>
      </c>
      <c r="CW287" s="0" t="s">
        <v>5580</v>
      </c>
      <c r="CX287" s="0" t="s">
        <v>229</v>
      </c>
      <c r="CY287" s="0" t="s">
        <v>443</v>
      </c>
      <c r="CZ287" s="0" t="s">
        <v>5581</v>
      </c>
      <c r="DA287" s="0" t="s">
        <v>5582</v>
      </c>
      <c r="DB287" s="0" t="s">
        <v>5580</v>
      </c>
      <c r="DC287" s="0" t="s">
        <v>384</v>
      </c>
      <c r="DD287" s="0" t="s">
        <v>291</v>
      </c>
      <c r="DE287" s="0" t="s">
        <v>6773</v>
      </c>
    </row>
    <row customHeight="1" ht="11.25">
      <c r="A288" s="1441" t="s">
        <v>240</v>
      </c>
      <c r="B288" s="0" t="s">
        <v>240</v>
      </c>
      <c r="C288" s="0" t="s">
        <v>240</v>
      </c>
      <c r="D288" s="0" t="s">
        <v>240</v>
      </c>
      <c r="E288" s="0" t="s">
        <v>240</v>
      </c>
      <c r="F288" s="0" t="s">
        <v>240</v>
      </c>
      <c r="G288" s="0" t="s">
        <v>240</v>
      </c>
      <c r="H288" s="0" t="s">
        <v>240</v>
      </c>
      <c r="I288" s="0" t="s">
        <v>5484</v>
      </c>
      <c r="J288" s="0" t="s">
        <v>240</v>
      </c>
      <c r="K288" s="0" t="s">
        <v>240</v>
      </c>
      <c r="L288" s="0" t="s">
        <v>240</v>
      </c>
      <c r="M288" s="0" t="s">
        <v>240</v>
      </c>
      <c r="N288" s="0" t="s">
        <v>240</v>
      </c>
      <c r="O288" s="0" t="s">
        <v>240</v>
      </c>
      <c r="P288" s="0" t="s">
        <v>240</v>
      </c>
      <c r="Q288" s="0" t="s">
        <v>240</v>
      </c>
      <c r="R288" s="0" t="s">
        <v>6774</v>
      </c>
      <c r="S288" s="0" t="s">
        <v>240</v>
      </c>
      <c r="T288" s="0" t="s">
        <v>240</v>
      </c>
      <c r="U288" s="0" t="s">
        <v>102</v>
      </c>
      <c r="V288" s="0" t="s">
        <v>240</v>
      </c>
      <c r="W288" s="0" t="s">
        <v>240</v>
      </c>
      <c r="X288" s="0" t="s">
        <v>5485</v>
      </c>
      <c r="Y288" s="0" t="s">
        <v>240</v>
      </c>
      <c r="Z288" s="0" t="s">
        <v>161</v>
      </c>
      <c r="AA288" s="0" t="s">
        <v>152</v>
      </c>
      <c r="AB288" s="0" t="s">
        <v>152</v>
      </c>
      <c r="AC288" s="0" t="s">
        <v>2985</v>
      </c>
      <c r="AD288" s="0" t="s">
        <v>2985</v>
      </c>
      <c r="AE288" s="0" t="s">
        <v>2986</v>
      </c>
      <c r="AF288" s="0" t="s">
        <v>6033</v>
      </c>
      <c r="AG288" s="0" t="s">
        <v>6034</v>
      </c>
      <c r="AH288" s="0" t="s">
        <v>6775</v>
      </c>
      <c r="AI288" s="0" t="s">
        <v>5847</v>
      </c>
      <c r="AJ288" s="0" t="s">
        <v>5576</v>
      </c>
      <c r="AK288" s="0" t="s">
        <v>5576</v>
      </c>
      <c r="AL288" s="0" t="s">
        <v>5506</v>
      </c>
      <c r="AM288" s="0" t="s">
        <v>5493</v>
      </c>
      <c r="AN288" s="0" t="s">
        <v>5553</v>
      </c>
      <c r="AO288" s="0" t="s">
        <v>6101</v>
      </c>
      <c r="AP288" s="0" t="s">
        <v>240</v>
      </c>
      <c r="AQ288" s="0" t="s">
        <v>240</v>
      </c>
      <c r="AR288" s="0" t="s">
        <v>240</v>
      </c>
      <c r="AS288" s="0" t="s">
        <v>240</v>
      </c>
      <c r="AT288" s="0" t="s">
        <v>240</v>
      </c>
      <c r="AU288" s="0" t="s">
        <v>240</v>
      </c>
      <c r="AV288" s="0" t="s">
        <v>240</v>
      </c>
      <c r="AW288" s="0" t="s">
        <v>240</v>
      </c>
      <c r="AX288" s="0" t="s">
        <v>240</v>
      </c>
      <c r="AY288" s="0" t="s">
        <v>240</v>
      </c>
      <c r="AZ288" s="0" t="s">
        <v>240</v>
      </c>
      <c r="BA288" s="0" t="s">
        <v>240</v>
      </c>
      <c r="BB288" s="0" t="s">
        <v>240</v>
      </c>
      <c r="BC288" s="0" t="s">
        <v>240</v>
      </c>
      <c r="BD288" s="0" t="s">
        <v>240</v>
      </c>
      <c r="BE288" s="0" t="s">
        <v>240</v>
      </c>
      <c r="BF288" s="0" t="s">
        <v>240</v>
      </c>
      <c r="BG288" s="0" t="s">
        <v>240</v>
      </c>
      <c r="BH288" s="0" t="s">
        <v>240</v>
      </c>
      <c r="BI288" s="0" t="s">
        <v>240</v>
      </c>
      <c r="BJ288" s="0" t="s">
        <v>240</v>
      </c>
      <c r="BK288" s="0" t="s">
        <v>240</v>
      </c>
      <c r="BL288" s="0" t="s">
        <v>240</v>
      </c>
      <c r="BM288" s="0" t="s">
        <v>240</v>
      </c>
      <c r="BN288" s="0" t="s">
        <v>240</v>
      </c>
      <c r="BO288" s="0" t="s">
        <v>240</v>
      </c>
      <c r="BP288" s="0" t="s">
        <v>240</v>
      </c>
      <c r="BQ288" s="0" t="s">
        <v>240</v>
      </c>
      <c r="BR288" s="0" t="s">
        <v>240</v>
      </c>
      <c r="BS288" s="0" t="s">
        <v>240</v>
      </c>
      <c r="BT288" s="0" t="s">
        <v>240</v>
      </c>
      <c r="BU288" s="0" t="s">
        <v>240</v>
      </c>
      <c r="BV288" s="0" t="s">
        <v>240</v>
      </c>
      <c r="BW288" s="0" t="s">
        <v>240</v>
      </c>
      <c r="BX288" s="0" t="s">
        <v>240</v>
      </c>
      <c r="BY288" s="0" t="s">
        <v>240</v>
      </c>
      <c r="BZ288" s="0" t="s">
        <v>240</v>
      </c>
      <c r="CA288" s="0" t="s">
        <v>240</v>
      </c>
      <c r="CB288" s="0" t="s">
        <v>240</v>
      </c>
      <c r="CC288" s="0" t="s">
        <v>240</v>
      </c>
      <c r="CD288" s="0" t="s">
        <v>240</v>
      </c>
      <c r="CE288" s="0" t="s">
        <v>240</v>
      </c>
      <c r="CF288" s="0" t="s">
        <v>240</v>
      </c>
      <c r="CG288" s="0" t="s">
        <v>240</v>
      </c>
      <c r="CH288" s="0" t="s">
        <v>240</v>
      </c>
      <c r="CI288" s="0" t="s">
        <v>240</v>
      </c>
      <c r="CJ288" s="0" t="s">
        <v>240</v>
      </c>
      <c r="CK288" s="0" t="s">
        <v>240</v>
      </c>
      <c r="CL288" s="0" t="s">
        <v>240</v>
      </c>
      <c r="CM288" s="0" t="s">
        <v>240</v>
      </c>
      <c r="CN288" s="0" t="s">
        <v>240</v>
      </c>
      <c r="CO288" s="0" t="s">
        <v>240</v>
      </c>
      <c r="CP288" s="0" t="s">
        <v>240</v>
      </c>
      <c r="CQ288" s="0" t="s">
        <v>240</v>
      </c>
      <c r="CR288" s="0" t="s">
        <v>240</v>
      </c>
      <c r="CS288" s="0" t="s">
        <v>240</v>
      </c>
      <c r="CT288" s="0" t="s">
        <v>5496</v>
      </c>
      <c r="CU288" s="0" t="s">
        <v>5497</v>
      </c>
      <c r="CV288" s="0" t="s">
        <v>443</v>
      </c>
      <c r="CW288" s="0" t="s">
        <v>5509</v>
      </c>
      <c r="CX288" s="0" t="s">
        <v>229</v>
      </c>
      <c r="CY288" s="0" t="s">
        <v>443</v>
      </c>
      <c r="CZ288" s="0" t="s">
        <v>5510</v>
      </c>
      <c r="DA288" s="0" t="s">
        <v>5511</v>
      </c>
      <c r="DB288" s="0" t="s">
        <v>5509</v>
      </c>
      <c r="DC288" s="0" t="s">
        <v>384</v>
      </c>
      <c r="DD288" s="0" t="s">
        <v>291</v>
      </c>
      <c r="DE288" s="0" t="s">
        <v>6776</v>
      </c>
    </row>
    <row customHeight="1" ht="11.25">
      <c r="A289" s="1441" t="s">
        <v>240</v>
      </c>
      <c r="B289" s="0" t="s">
        <v>240</v>
      </c>
      <c r="C289" s="0" t="s">
        <v>240</v>
      </c>
      <c r="D289" s="0" t="s">
        <v>240</v>
      </c>
      <c r="E289" s="0" t="s">
        <v>240</v>
      </c>
      <c r="F289" s="0" t="s">
        <v>240</v>
      </c>
      <c r="G289" s="0" t="s">
        <v>240</v>
      </c>
      <c r="H289" s="0" t="s">
        <v>240</v>
      </c>
      <c r="I289" s="0" t="s">
        <v>5484</v>
      </c>
      <c r="J289" s="0" t="s">
        <v>240</v>
      </c>
      <c r="K289" s="0" t="s">
        <v>240</v>
      </c>
      <c r="L289" s="0" t="s">
        <v>240</v>
      </c>
      <c r="M289" s="0" t="s">
        <v>240</v>
      </c>
      <c r="N289" s="0" t="s">
        <v>240</v>
      </c>
      <c r="O289" s="0" t="s">
        <v>240</v>
      </c>
      <c r="P289" s="0" t="s">
        <v>240</v>
      </c>
      <c r="Q289" s="0" t="s">
        <v>240</v>
      </c>
      <c r="R289" s="0" t="s">
        <v>6777</v>
      </c>
      <c r="S289" s="0" t="s">
        <v>240</v>
      </c>
      <c r="T289" s="0" t="s">
        <v>240</v>
      </c>
      <c r="U289" s="0" t="s">
        <v>102</v>
      </c>
      <c r="V289" s="0" t="s">
        <v>240</v>
      </c>
      <c r="W289" s="0" t="s">
        <v>240</v>
      </c>
      <c r="X289" s="0" t="s">
        <v>5585</v>
      </c>
      <c r="Y289" s="0" t="s">
        <v>240</v>
      </c>
      <c r="Z289" s="0" t="s">
        <v>152</v>
      </c>
      <c r="AA289" s="0" t="s">
        <v>152</v>
      </c>
      <c r="AB289" s="0" t="s">
        <v>161</v>
      </c>
      <c r="AC289" s="0" t="s">
        <v>3389</v>
      </c>
      <c r="AD289" s="0" t="s">
        <v>3389</v>
      </c>
      <c r="AE289" s="0" t="s">
        <v>3390</v>
      </c>
      <c r="AF289" s="0" t="s">
        <v>5519</v>
      </c>
      <c r="AG289" s="0" t="s">
        <v>5520</v>
      </c>
      <c r="AH289" s="0" t="s">
        <v>5566</v>
      </c>
      <c r="AI289" s="0" t="s">
        <v>5567</v>
      </c>
      <c r="AJ289" s="0" t="s">
        <v>240</v>
      </c>
      <c r="AK289" s="0" t="s">
        <v>240</v>
      </c>
      <c r="AL289" s="0" t="s">
        <v>240</v>
      </c>
      <c r="AM289" s="0" t="s">
        <v>240</v>
      </c>
      <c r="AN289" s="0" t="s">
        <v>240</v>
      </c>
      <c r="AO289" s="0" t="s">
        <v>240</v>
      </c>
      <c r="AP289" s="0" t="s">
        <v>240</v>
      </c>
      <c r="AQ289" s="0" t="s">
        <v>240</v>
      </c>
      <c r="AR289" s="0" t="s">
        <v>240</v>
      </c>
      <c r="AS289" s="0" t="s">
        <v>240</v>
      </c>
      <c r="AT289" s="0" t="s">
        <v>240</v>
      </c>
      <c r="AU289" s="0" t="s">
        <v>240</v>
      </c>
      <c r="AV289" s="0" t="s">
        <v>240</v>
      </c>
      <c r="AW289" s="0" t="s">
        <v>240</v>
      </c>
      <c r="AX289" s="0" t="s">
        <v>240</v>
      </c>
      <c r="AY289" s="0" t="s">
        <v>240</v>
      </c>
      <c r="AZ289" s="0" t="s">
        <v>240</v>
      </c>
      <c r="BA289" s="0" t="s">
        <v>240</v>
      </c>
      <c r="BB289" s="0" t="s">
        <v>240</v>
      </c>
      <c r="BC289" s="0" t="s">
        <v>240</v>
      </c>
      <c r="BD289" s="0" t="s">
        <v>240</v>
      </c>
      <c r="BE289" s="0" t="s">
        <v>6778</v>
      </c>
      <c r="BF289" s="0" t="s">
        <v>6779</v>
      </c>
      <c r="BG289" s="0" t="s">
        <v>112</v>
      </c>
      <c r="BH289" s="0" t="s">
        <v>5589</v>
      </c>
      <c r="BI289" s="0" t="s">
        <v>123</v>
      </c>
      <c r="BJ289" s="0" t="s">
        <v>240</v>
      </c>
      <c r="BK289" s="0" t="s">
        <v>6780</v>
      </c>
      <c r="BL289" s="0" t="s">
        <v>3389</v>
      </c>
      <c r="BM289" s="0" t="s">
        <v>3389</v>
      </c>
      <c r="BN289" s="0" t="s">
        <v>5591</v>
      </c>
      <c r="BO289" s="0" t="s">
        <v>5519</v>
      </c>
      <c r="BP289" s="0" t="s">
        <v>5592</v>
      </c>
      <c r="BQ289" s="0" t="s">
        <v>5933</v>
      </c>
      <c r="BR289" s="0" t="s">
        <v>5567</v>
      </c>
      <c r="BS289" s="0" t="s">
        <v>240</v>
      </c>
      <c r="BT289" s="0" t="s">
        <v>5594</v>
      </c>
      <c r="BU289" s="0" t="s">
        <v>6781</v>
      </c>
      <c r="BV289" s="0" t="s">
        <v>6782</v>
      </c>
      <c r="BW289" s="0" t="s">
        <v>6783</v>
      </c>
      <c r="BX289" s="0" t="s">
        <v>6784</v>
      </c>
      <c r="BY289" s="0" t="s">
        <v>6785</v>
      </c>
      <c r="BZ289" s="0" t="s">
        <v>6786</v>
      </c>
      <c r="CA289" s="0" t="s">
        <v>6787</v>
      </c>
      <c r="CB289" s="0" t="s">
        <v>5598</v>
      </c>
      <c r="CC289" s="0" t="s">
        <v>5598</v>
      </c>
      <c r="CD289" s="0" t="s">
        <v>5598</v>
      </c>
      <c r="CE289" s="0" t="s">
        <v>5598</v>
      </c>
      <c r="CF289" s="0" t="s">
        <v>6787</v>
      </c>
      <c r="CG289" s="0" t="s">
        <v>6788</v>
      </c>
      <c r="CH289" s="0" t="s">
        <v>6788</v>
      </c>
      <c r="CI289" s="0" t="s">
        <v>5598</v>
      </c>
      <c r="CJ289" s="0" t="s">
        <v>5598</v>
      </c>
      <c r="CK289" s="0" t="s">
        <v>5598</v>
      </c>
      <c r="CL289" s="0" t="s">
        <v>5598</v>
      </c>
      <c r="CM289" s="0" t="s">
        <v>6789</v>
      </c>
      <c r="CN289" s="0" t="s">
        <v>6790</v>
      </c>
      <c r="CO289" s="0" t="s">
        <v>6783</v>
      </c>
      <c r="CP289" s="0" t="s">
        <v>6784</v>
      </c>
      <c r="CQ289" s="0" t="s">
        <v>6785</v>
      </c>
      <c r="CR289" s="0" t="s">
        <v>6791</v>
      </c>
      <c r="CS289" s="0" t="s">
        <v>5599</v>
      </c>
      <c r="CT289" s="0" t="s">
        <v>5496</v>
      </c>
      <c r="CU289" s="0" t="s">
        <v>5497</v>
      </c>
      <c r="CV289" s="0" t="s">
        <v>443</v>
      </c>
      <c r="CW289" s="0" t="s">
        <v>5600</v>
      </c>
      <c r="CX289" s="0" t="s">
        <v>5528</v>
      </c>
      <c r="CY289" s="0" t="s">
        <v>443</v>
      </c>
      <c r="CZ289" s="0" t="s">
        <v>299</v>
      </c>
      <c r="DA289" s="0" t="s">
        <v>5529</v>
      </c>
      <c r="DB289" s="0" t="s">
        <v>5600</v>
      </c>
      <c r="DC289" s="0" t="s">
        <v>384</v>
      </c>
      <c r="DD289" s="0" t="s">
        <v>291</v>
      </c>
      <c r="DE289" s="0" t="s">
        <v>5571</v>
      </c>
    </row>
    <row customHeight="1" ht="11.25">
      <c r="A290" s="1441" t="s">
        <v>240</v>
      </c>
      <c r="B290" s="0" t="s">
        <v>240</v>
      </c>
      <c r="C290" s="0" t="s">
        <v>240</v>
      </c>
      <c r="D290" s="0" t="s">
        <v>240</v>
      </c>
      <c r="E290" s="0" t="s">
        <v>240</v>
      </c>
      <c r="F290" s="0" t="s">
        <v>240</v>
      </c>
      <c r="G290" s="0" t="s">
        <v>240</v>
      </c>
      <c r="H290" s="0" t="s">
        <v>240</v>
      </c>
      <c r="I290" s="0" t="s">
        <v>5484</v>
      </c>
      <c r="J290" s="0" t="s">
        <v>240</v>
      </c>
      <c r="K290" s="0" t="s">
        <v>240</v>
      </c>
      <c r="L290" s="0" t="s">
        <v>240</v>
      </c>
      <c r="M290" s="0" t="s">
        <v>240</v>
      </c>
      <c r="N290" s="0" t="s">
        <v>240</v>
      </c>
      <c r="O290" s="0" t="s">
        <v>240</v>
      </c>
      <c r="P290" s="0" t="s">
        <v>240</v>
      </c>
      <c r="Q290" s="0" t="s">
        <v>240</v>
      </c>
      <c r="R290" s="0" t="s">
        <v>6792</v>
      </c>
      <c r="S290" s="0" t="s">
        <v>240</v>
      </c>
      <c r="T290" s="0" t="s">
        <v>240</v>
      </c>
      <c r="U290" s="0" t="s">
        <v>102</v>
      </c>
      <c r="V290" s="0" t="s">
        <v>240</v>
      </c>
      <c r="W290" s="0" t="s">
        <v>240</v>
      </c>
      <c r="X290" s="0" t="s">
        <v>5585</v>
      </c>
      <c r="Y290" s="0" t="s">
        <v>240</v>
      </c>
      <c r="Z290" s="0" t="s">
        <v>152</v>
      </c>
      <c r="AA290" s="0" t="s">
        <v>152</v>
      </c>
      <c r="AB290" s="0" t="s">
        <v>161</v>
      </c>
      <c r="AC290" s="0" t="s">
        <v>3389</v>
      </c>
      <c r="AD290" s="0" t="s">
        <v>3389</v>
      </c>
      <c r="AE290" s="0" t="s">
        <v>3390</v>
      </c>
      <c r="AF290" s="0" t="s">
        <v>5519</v>
      </c>
      <c r="AG290" s="0" t="s">
        <v>5520</v>
      </c>
      <c r="AH290" s="0" t="s">
        <v>5593</v>
      </c>
      <c r="AI290" s="0" t="s">
        <v>5533</v>
      </c>
      <c r="AJ290" s="0" t="s">
        <v>240</v>
      </c>
      <c r="AK290" s="0" t="s">
        <v>240</v>
      </c>
      <c r="AL290" s="0" t="s">
        <v>240</v>
      </c>
      <c r="AM290" s="0" t="s">
        <v>240</v>
      </c>
      <c r="AN290" s="0" t="s">
        <v>240</v>
      </c>
      <c r="AO290" s="0" t="s">
        <v>240</v>
      </c>
      <c r="AP290" s="0" t="s">
        <v>240</v>
      </c>
      <c r="AQ290" s="0" t="s">
        <v>240</v>
      </c>
      <c r="AR290" s="0" t="s">
        <v>240</v>
      </c>
      <c r="AS290" s="0" t="s">
        <v>240</v>
      </c>
      <c r="AT290" s="0" t="s">
        <v>240</v>
      </c>
      <c r="AU290" s="0" t="s">
        <v>240</v>
      </c>
      <c r="AV290" s="0" t="s">
        <v>240</v>
      </c>
      <c r="AW290" s="0" t="s">
        <v>240</v>
      </c>
      <c r="AX290" s="0" t="s">
        <v>240</v>
      </c>
      <c r="AY290" s="0" t="s">
        <v>240</v>
      </c>
      <c r="AZ290" s="0" t="s">
        <v>240</v>
      </c>
      <c r="BA290" s="0" t="s">
        <v>240</v>
      </c>
      <c r="BB290" s="0" t="s">
        <v>240</v>
      </c>
      <c r="BC290" s="0" t="s">
        <v>240</v>
      </c>
      <c r="BD290" s="0" t="s">
        <v>240</v>
      </c>
      <c r="BE290" s="0" t="s">
        <v>5603</v>
      </c>
      <c r="BF290" s="0" t="s">
        <v>6793</v>
      </c>
      <c r="BG290" s="0" t="s">
        <v>112</v>
      </c>
      <c r="BH290" s="0" t="s">
        <v>5589</v>
      </c>
      <c r="BI290" s="0" t="s">
        <v>123</v>
      </c>
      <c r="BJ290" s="0" t="s">
        <v>240</v>
      </c>
      <c r="BK290" s="0" t="s">
        <v>6794</v>
      </c>
      <c r="BL290" s="0" t="s">
        <v>3389</v>
      </c>
      <c r="BM290" s="0" t="s">
        <v>3389</v>
      </c>
      <c r="BN290" s="0" t="s">
        <v>5591</v>
      </c>
      <c r="BO290" s="0" t="s">
        <v>5519</v>
      </c>
      <c r="BP290" s="0" t="s">
        <v>5592</v>
      </c>
      <c r="BQ290" s="0" t="s">
        <v>5593</v>
      </c>
      <c r="BR290" s="0" t="s">
        <v>5533</v>
      </c>
      <c r="BS290" s="0" t="s">
        <v>240</v>
      </c>
      <c r="BT290" s="0" t="s">
        <v>5594</v>
      </c>
      <c r="BU290" s="0" t="s">
        <v>6795</v>
      </c>
      <c r="BV290" s="0" t="s">
        <v>6796</v>
      </c>
      <c r="BW290" s="0" t="s">
        <v>6797</v>
      </c>
      <c r="BX290" s="0" t="s">
        <v>6798</v>
      </c>
      <c r="BY290" s="0" t="s">
        <v>5598</v>
      </c>
      <c r="BZ290" s="0" t="s">
        <v>5598</v>
      </c>
      <c r="CA290" s="0" t="s">
        <v>6799</v>
      </c>
      <c r="CB290" s="0" t="s">
        <v>5598</v>
      </c>
      <c r="CC290" s="0" t="s">
        <v>6799</v>
      </c>
      <c r="CD290" s="0" t="s">
        <v>5598</v>
      </c>
      <c r="CE290" s="0" t="s">
        <v>5598</v>
      </c>
      <c r="CF290" s="0" t="s">
        <v>5598</v>
      </c>
      <c r="CG290" s="0" t="s">
        <v>5598</v>
      </c>
      <c r="CH290" s="0" t="s">
        <v>5598</v>
      </c>
      <c r="CI290" s="0" t="s">
        <v>5598</v>
      </c>
      <c r="CJ290" s="0" t="s">
        <v>5598</v>
      </c>
      <c r="CK290" s="0" t="s">
        <v>5598</v>
      </c>
      <c r="CL290" s="0" t="s">
        <v>5598</v>
      </c>
      <c r="CM290" s="0" t="s">
        <v>6800</v>
      </c>
      <c r="CN290" s="0" t="s">
        <v>6796</v>
      </c>
      <c r="CO290" s="0" t="s">
        <v>6801</v>
      </c>
      <c r="CP290" s="0" t="s">
        <v>6798</v>
      </c>
      <c r="CQ290" s="0" t="s">
        <v>5598</v>
      </c>
      <c r="CR290" s="0" t="s">
        <v>5598</v>
      </c>
      <c r="CS290" s="0" t="s">
        <v>5599</v>
      </c>
      <c r="CT290" s="0" t="s">
        <v>5496</v>
      </c>
      <c r="CU290" s="0" t="s">
        <v>5497</v>
      </c>
      <c r="CV290" s="0" t="s">
        <v>443</v>
      </c>
      <c r="CW290" s="0" t="s">
        <v>5600</v>
      </c>
      <c r="CX290" s="0" t="s">
        <v>5528</v>
      </c>
      <c r="CY290" s="0" t="s">
        <v>443</v>
      </c>
      <c r="CZ290" s="0" t="s">
        <v>299</v>
      </c>
      <c r="DA290" s="0" t="s">
        <v>5529</v>
      </c>
      <c r="DB290" s="0" t="s">
        <v>5600</v>
      </c>
      <c r="DC290" s="0" t="s">
        <v>384</v>
      </c>
      <c r="DD290" s="0" t="s">
        <v>291</v>
      </c>
      <c r="DE290" s="0" t="s">
        <v>5607</v>
      </c>
    </row>
    <row customHeight="1" ht="11.25">
      <c r="A291" s="1441" t="s">
        <v>240</v>
      </c>
      <c r="B291" s="0" t="s">
        <v>240</v>
      </c>
      <c r="C291" s="0" t="s">
        <v>240</v>
      </c>
      <c r="D291" s="0" t="s">
        <v>240</v>
      </c>
      <c r="E291" s="0" t="s">
        <v>240</v>
      </c>
      <c r="F291" s="0" t="s">
        <v>240</v>
      </c>
      <c r="G291" s="0" t="s">
        <v>240</v>
      </c>
      <c r="H291" s="0" t="s">
        <v>240</v>
      </c>
      <c r="I291" s="0" t="s">
        <v>5484</v>
      </c>
      <c r="J291" s="0" t="s">
        <v>240</v>
      </c>
      <c r="K291" s="0" t="s">
        <v>240</v>
      </c>
      <c r="L291" s="0" t="s">
        <v>240</v>
      </c>
      <c r="M291" s="0" t="s">
        <v>240</v>
      </c>
      <c r="N291" s="0" t="s">
        <v>240</v>
      </c>
      <c r="O291" s="0" t="s">
        <v>240</v>
      </c>
      <c r="P291" s="0" t="s">
        <v>240</v>
      </c>
      <c r="Q291" s="0" t="s">
        <v>240</v>
      </c>
      <c r="R291" s="0" t="s">
        <v>6366</v>
      </c>
      <c r="S291" s="0" t="s">
        <v>240</v>
      </c>
      <c r="T291" s="0" t="s">
        <v>240</v>
      </c>
      <c r="U291" s="0" t="s">
        <v>102</v>
      </c>
      <c r="V291" s="0" t="s">
        <v>240</v>
      </c>
      <c r="W291" s="0" t="s">
        <v>240</v>
      </c>
      <c r="X291" s="0" t="s">
        <v>5485</v>
      </c>
      <c r="Y291" s="0" t="s">
        <v>240</v>
      </c>
      <c r="Z291" s="0" t="s">
        <v>161</v>
      </c>
      <c r="AA291" s="0" t="s">
        <v>152</v>
      </c>
      <c r="AB291" s="0" t="s">
        <v>152</v>
      </c>
      <c r="AC291" s="0" t="s">
        <v>3389</v>
      </c>
      <c r="AD291" s="0" t="s">
        <v>3389</v>
      </c>
      <c r="AE291" s="0" t="s">
        <v>3390</v>
      </c>
      <c r="AF291" s="0" t="s">
        <v>5519</v>
      </c>
      <c r="AG291" s="0" t="s">
        <v>5520</v>
      </c>
      <c r="AH291" s="0" t="s">
        <v>6802</v>
      </c>
      <c r="AI291" s="0" t="s">
        <v>5533</v>
      </c>
      <c r="AJ291" s="0" t="s">
        <v>6803</v>
      </c>
      <c r="AK291" s="0" t="s">
        <v>6367</v>
      </c>
      <c r="AL291" s="0" t="s">
        <v>5605</v>
      </c>
      <c r="AM291" s="0" t="s">
        <v>5493</v>
      </c>
      <c r="AN291" s="0" t="s">
        <v>6804</v>
      </c>
      <c r="AO291" s="0" t="s">
        <v>5990</v>
      </c>
      <c r="AP291" s="0" t="s">
        <v>240</v>
      </c>
      <c r="AQ291" s="0" t="s">
        <v>240</v>
      </c>
      <c r="AR291" s="0" t="s">
        <v>240</v>
      </c>
      <c r="AS291" s="0" t="s">
        <v>240</v>
      </c>
      <c r="AT291" s="0" t="s">
        <v>240</v>
      </c>
      <c r="AU291" s="0" t="s">
        <v>240</v>
      </c>
      <c r="AV291" s="0" t="s">
        <v>240</v>
      </c>
      <c r="AW291" s="0" t="s">
        <v>240</v>
      </c>
      <c r="AX291" s="0" t="s">
        <v>240</v>
      </c>
      <c r="AY291" s="0" t="s">
        <v>240</v>
      </c>
      <c r="AZ291" s="0" t="s">
        <v>240</v>
      </c>
      <c r="BA291" s="0" t="s">
        <v>240</v>
      </c>
      <c r="BB291" s="0" t="s">
        <v>240</v>
      </c>
      <c r="BC291" s="0" t="s">
        <v>240</v>
      </c>
      <c r="BD291" s="0" t="s">
        <v>240</v>
      </c>
      <c r="BE291" s="0" t="s">
        <v>240</v>
      </c>
      <c r="BF291" s="0" t="s">
        <v>240</v>
      </c>
      <c r="BG291" s="0" t="s">
        <v>240</v>
      </c>
      <c r="BH291" s="0" t="s">
        <v>240</v>
      </c>
      <c r="BI291" s="0" t="s">
        <v>240</v>
      </c>
      <c r="BJ291" s="0" t="s">
        <v>240</v>
      </c>
      <c r="BK291" s="0" t="s">
        <v>240</v>
      </c>
      <c r="BL291" s="0" t="s">
        <v>240</v>
      </c>
      <c r="BM291" s="0" t="s">
        <v>240</v>
      </c>
      <c r="BN291" s="0" t="s">
        <v>240</v>
      </c>
      <c r="BO291" s="0" t="s">
        <v>240</v>
      </c>
      <c r="BP291" s="0" t="s">
        <v>240</v>
      </c>
      <c r="BQ291" s="0" t="s">
        <v>240</v>
      </c>
      <c r="BR291" s="0" t="s">
        <v>240</v>
      </c>
      <c r="BS291" s="0" t="s">
        <v>240</v>
      </c>
      <c r="BT291" s="0" t="s">
        <v>240</v>
      </c>
      <c r="BU291" s="0" t="s">
        <v>240</v>
      </c>
      <c r="BV291" s="0" t="s">
        <v>240</v>
      </c>
      <c r="BW291" s="0" t="s">
        <v>240</v>
      </c>
      <c r="BX291" s="0" t="s">
        <v>240</v>
      </c>
      <c r="BY291" s="0" t="s">
        <v>240</v>
      </c>
      <c r="BZ291" s="0" t="s">
        <v>240</v>
      </c>
      <c r="CA291" s="0" t="s">
        <v>240</v>
      </c>
      <c r="CB291" s="0" t="s">
        <v>240</v>
      </c>
      <c r="CC291" s="0" t="s">
        <v>240</v>
      </c>
      <c r="CD291" s="0" t="s">
        <v>240</v>
      </c>
      <c r="CE291" s="0" t="s">
        <v>240</v>
      </c>
      <c r="CF291" s="0" t="s">
        <v>240</v>
      </c>
      <c r="CG291" s="0" t="s">
        <v>240</v>
      </c>
      <c r="CH291" s="0" t="s">
        <v>240</v>
      </c>
      <c r="CI291" s="0" t="s">
        <v>240</v>
      </c>
      <c r="CJ291" s="0" t="s">
        <v>240</v>
      </c>
      <c r="CK291" s="0" t="s">
        <v>240</v>
      </c>
      <c r="CL291" s="0" t="s">
        <v>240</v>
      </c>
      <c r="CM291" s="0" t="s">
        <v>240</v>
      </c>
      <c r="CN291" s="0" t="s">
        <v>240</v>
      </c>
      <c r="CO291" s="0" t="s">
        <v>240</v>
      </c>
      <c r="CP291" s="0" t="s">
        <v>240</v>
      </c>
      <c r="CQ291" s="0" t="s">
        <v>240</v>
      </c>
      <c r="CR291" s="0" t="s">
        <v>240</v>
      </c>
      <c r="CS291" s="0" t="s">
        <v>240</v>
      </c>
      <c r="CT291" s="0" t="s">
        <v>5496</v>
      </c>
      <c r="CU291" s="0" t="s">
        <v>5497</v>
      </c>
      <c r="CV291" s="0" t="s">
        <v>443</v>
      </c>
      <c r="CW291" s="0" t="s">
        <v>5527</v>
      </c>
      <c r="CX291" s="0" t="s">
        <v>5528</v>
      </c>
      <c r="CY291" s="0" t="s">
        <v>443</v>
      </c>
      <c r="CZ291" s="0" t="s">
        <v>299</v>
      </c>
      <c r="DA291" s="0" t="s">
        <v>5529</v>
      </c>
      <c r="DB291" s="0" t="s">
        <v>5527</v>
      </c>
      <c r="DC291" s="0" t="s">
        <v>384</v>
      </c>
      <c r="DD291" s="0" t="s">
        <v>291</v>
      </c>
      <c r="DE291" s="0" t="s">
        <v>6805</v>
      </c>
    </row>
    <row customHeight="1" ht="11.25">
      <c r="A292" s="1441" t="s">
        <v>240</v>
      </c>
      <c r="B292" s="0" t="s">
        <v>240</v>
      </c>
      <c r="C292" s="0" t="s">
        <v>240</v>
      </c>
      <c r="D292" s="0" t="s">
        <v>240</v>
      </c>
      <c r="E292" s="0" t="s">
        <v>240</v>
      </c>
      <c r="F292" s="0" t="s">
        <v>240</v>
      </c>
      <c r="G292" s="0" t="s">
        <v>240</v>
      </c>
      <c r="H292" s="0" t="s">
        <v>240</v>
      </c>
      <c r="I292" s="0" t="s">
        <v>5484</v>
      </c>
      <c r="J292" s="0" t="s">
        <v>240</v>
      </c>
      <c r="K292" s="0" t="s">
        <v>240</v>
      </c>
      <c r="L292" s="0" t="s">
        <v>240</v>
      </c>
      <c r="M292" s="0" t="s">
        <v>240</v>
      </c>
      <c r="N292" s="0" t="s">
        <v>240</v>
      </c>
      <c r="O292" s="0" t="s">
        <v>240</v>
      </c>
      <c r="P292" s="0" t="s">
        <v>240</v>
      </c>
      <c r="Q292" s="0" t="s">
        <v>240</v>
      </c>
      <c r="R292" s="0" t="s">
        <v>449</v>
      </c>
      <c r="S292" s="0" t="s">
        <v>240</v>
      </c>
      <c r="T292" s="0" t="s">
        <v>240</v>
      </c>
      <c r="U292" s="0" t="s">
        <v>102</v>
      </c>
      <c r="V292" s="0" t="s">
        <v>240</v>
      </c>
      <c r="W292" s="0" t="s">
        <v>240</v>
      </c>
      <c r="X292" s="0" t="s">
        <v>5585</v>
      </c>
      <c r="Y292" s="0" t="s">
        <v>240</v>
      </c>
      <c r="Z292" s="0" t="s">
        <v>152</v>
      </c>
      <c r="AA292" s="0" t="s">
        <v>152</v>
      </c>
      <c r="AB292" s="0" t="s">
        <v>161</v>
      </c>
      <c r="AC292" s="0" t="s">
        <v>364</v>
      </c>
      <c r="AD292" s="0" t="s">
        <v>364</v>
      </c>
      <c r="AE292" s="0" t="s">
        <v>365</v>
      </c>
      <c r="AF292" s="0" t="s">
        <v>6806</v>
      </c>
      <c r="AG292" s="0" t="s">
        <v>6807</v>
      </c>
      <c r="AH292" s="0" t="s">
        <v>6808</v>
      </c>
      <c r="AI292" s="0" t="s">
        <v>5575</v>
      </c>
      <c r="AJ292" s="0" t="s">
        <v>240</v>
      </c>
      <c r="AK292" s="0" t="s">
        <v>240</v>
      </c>
      <c r="AL292" s="0" t="s">
        <v>240</v>
      </c>
      <c r="AM292" s="0" t="s">
        <v>240</v>
      </c>
      <c r="AN292" s="0" t="s">
        <v>240</v>
      </c>
      <c r="AO292" s="0" t="s">
        <v>240</v>
      </c>
      <c r="AP292" s="0" t="s">
        <v>240</v>
      </c>
      <c r="AQ292" s="0" t="s">
        <v>240</v>
      </c>
      <c r="AR292" s="0" t="s">
        <v>240</v>
      </c>
      <c r="AS292" s="0" t="s">
        <v>240</v>
      </c>
      <c r="AT292" s="0" t="s">
        <v>240</v>
      </c>
      <c r="AU292" s="0" t="s">
        <v>240</v>
      </c>
      <c r="AV292" s="0" t="s">
        <v>240</v>
      </c>
      <c r="AW292" s="0" t="s">
        <v>240</v>
      </c>
      <c r="AX292" s="0" t="s">
        <v>240</v>
      </c>
      <c r="AY292" s="0" t="s">
        <v>240</v>
      </c>
      <c r="AZ292" s="0" t="s">
        <v>240</v>
      </c>
      <c r="BA292" s="0" t="s">
        <v>240</v>
      </c>
      <c r="BB292" s="0" t="s">
        <v>240</v>
      </c>
      <c r="BC292" s="0" t="s">
        <v>240</v>
      </c>
      <c r="BD292" s="0" t="s">
        <v>240</v>
      </c>
      <c r="BE292" s="0" t="s">
        <v>6809</v>
      </c>
      <c r="BF292" s="0" t="s">
        <v>6810</v>
      </c>
      <c r="BG292" s="0" t="s">
        <v>112</v>
      </c>
      <c r="BH292" s="0" t="s">
        <v>5589</v>
      </c>
      <c r="BI292" s="0" t="s">
        <v>123</v>
      </c>
      <c r="BJ292" s="0" t="s">
        <v>240</v>
      </c>
      <c r="BK292" s="0" t="s">
        <v>5575</v>
      </c>
      <c r="BL292" s="0" t="s">
        <v>364</v>
      </c>
      <c r="BM292" s="0" t="s">
        <v>364</v>
      </c>
      <c r="BN292" s="0" t="s">
        <v>6811</v>
      </c>
      <c r="BO292" s="0" t="s">
        <v>6806</v>
      </c>
      <c r="BP292" s="0" t="s">
        <v>6812</v>
      </c>
      <c r="BQ292" s="0" t="s">
        <v>6808</v>
      </c>
      <c r="BR292" s="0" t="s">
        <v>5575</v>
      </c>
      <c r="BS292" s="0" t="s">
        <v>240</v>
      </c>
      <c r="BT292" s="0" t="s">
        <v>5650</v>
      </c>
      <c r="BU292" s="0" t="s">
        <v>6813</v>
      </c>
      <c r="BV292" s="0" t="s">
        <v>6814</v>
      </c>
      <c r="BW292" s="0" t="s">
        <v>5598</v>
      </c>
      <c r="BX292" s="0" t="s">
        <v>6815</v>
      </c>
      <c r="BY292" s="0" t="s">
        <v>5598</v>
      </c>
      <c r="BZ292" s="0" t="s">
        <v>6816</v>
      </c>
      <c r="CA292" s="0" t="s">
        <v>5598</v>
      </c>
      <c r="CB292" s="0" t="s">
        <v>240</v>
      </c>
      <c r="CC292" s="0" t="s">
        <v>240</v>
      </c>
      <c r="CD292" s="0" t="s">
        <v>240</v>
      </c>
      <c r="CE292" s="0" t="s">
        <v>240</v>
      </c>
      <c r="CF292" s="0" t="s">
        <v>240</v>
      </c>
      <c r="CG292" s="0" t="s">
        <v>5598</v>
      </c>
      <c r="CH292" s="0" t="s">
        <v>240</v>
      </c>
      <c r="CI292" s="0" t="s">
        <v>240</v>
      </c>
      <c r="CJ292" s="0" t="s">
        <v>240</v>
      </c>
      <c r="CK292" s="0" t="s">
        <v>240</v>
      </c>
      <c r="CL292" s="0" t="s">
        <v>240</v>
      </c>
      <c r="CM292" s="0" t="s">
        <v>6813</v>
      </c>
      <c r="CN292" s="0" t="s">
        <v>6814</v>
      </c>
      <c r="CO292" s="0" t="s">
        <v>5598</v>
      </c>
      <c r="CP292" s="0" t="s">
        <v>6815</v>
      </c>
      <c r="CQ292" s="0" t="s">
        <v>5598</v>
      </c>
      <c r="CR292" s="0" t="s">
        <v>6816</v>
      </c>
      <c r="CS292" s="0" t="s">
        <v>6104</v>
      </c>
      <c r="CT292" s="0" t="s">
        <v>5496</v>
      </c>
      <c r="CU292" s="0" t="s">
        <v>5497</v>
      </c>
      <c r="CV292" s="0" t="s">
        <v>443</v>
      </c>
      <c r="CW292" s="0" t="s">
        <v>6817</v>
      </c>
      <c r="CX292" s="0" t="s">
        <v>229</v>
      </c>
      <c r="CY292" s="0" t="s">
        <v>443</v>
      </c>
      <c r="CZ292" s="0" t="s">
        <v>234</v>
      </c>
      <c r="DA292" s="0" t="s">
        <v>444</v>
      </c>
      <c r="DB292" s="0" t="s">
        <v>6818</v>
      </c>
      <c r="DC292" s="0" t="s">
        <v>384</v>
      </c>
      <c r="DD292" s="0" t="s">
        <v>291</v>
      </c>
      <c r="DE292" s="0" t="s">
        <v>479</v>
      </c>
    </row>
    <row customHeight="1" ht="11.25">
      <c r="A293" s="1441" t="s">
        <v>240</v>
      </c>
      <c r="B293" s="0" t="s">
        <v>240</v>
      </c>
      <c r="C293" s="0" t="s">
        <v>240</v>
      </c>
      <c r="D293" s="0" t="s">
        <v>240</v>
      </c>
      <c r="E293" s="0" t="s">
        <v>240</v>
      </c>
      <c r="F293" s="0" t="s">
        <v>240</v>
      </c>
      <c r="G293" s="0" t="s">
        <v>240</v>
      </c>
      <c r="H293" s="0" t="s">
        <v>240</v>
      </c>
      <c r="I293" s="0" t="s">
        <v>5484</v>
      </c>
      <c r="J293" s="0" t="s">
        <v>240</v>
      </c>
      <c r="K293" s="0" t="s">
        <v>240</v>
      </c>
      <c r="L293" s="0" t="s">
        <v>240</v>
      </c>
      <c r="M293" s="0" t="s">
        <v>240</v>
      </c>
      <c r="N293" s="0" t="s">
        <v>240</v>
      </c>
      <c r="O293" s="0" t="s">
        <v>240</v>
      </c>
      <c r="P293" s="0" t="s">
        <v>240</v>
      </c>
      <c r="Q293" s="0" t="s">
        <v>240</v>
      </c>
      <c r="R293" s="0" t="s">
        <v>6819</v>
      </c>
      <c r="S293" s="0" t="s">
        <v>240</v>
      </c>
      <c r="T293" s="0" t="s">
        <v>240</v>
      </c>
      <c r="U293" s="0" t="s">
        <v>102</v>
      </c>
      <c r="V293" s="0" t="s">
        <v>240</v>
      </c>
      <c r="W293" s="0" t="s">
        <v>240</v>
      </c>
      <c r="X293" s="0" t="s">
        <v>5585</v>
      </c>
      <c r="Y293" s="0" t="s">
        <v>240</v>
      </c>
      <c r="Z293" s="0" t="s">
        <v>152</v>
      </c>
      <c r="AA293" s="0" t="s">
        <v>152</v>
      </c>
      <c r="AB293" s="0" t="s">
        <v>161</v>
      </c>
      <c r="AC293" s="0" t="s">
        <v>2991</v>
      </c>
      <c r="AD293" s="0" t="s">
        <v>2991</v>
      </c>
      <c r="AE293" s="0" t="s">
        <v>2992</v>
      </c>
      <c r="AF293" s="0" t="s">
        <v>5884</v>
      </c>
      <c r="AG293" s="0" t="s">
        <v>5885</v>
      </c>
      <c r="AH293" s="0" t="s">
        <v>5575</v>
      </c>
      <c r="AI293" s="0" t="s">
        <v>5575</v>
      </c>
      <c r="AJ293" s="0" t="s">
        <v>240</v>
      </c>
      <c r="AK293" s="0" t="s">
        <v>240</v>
      </c>
      <c r="AL293" s="0" t="s">
        <v>240</v>
      </c>
      <c r="AM293" s="0" t="s">
        <v>240</v>
      </c>
      <c r="AN293" s="0" t="s">
        <v>240</v>
      </c>
      <c r="AO293" s="0" t="s">
        <v>240</v>
      </c>
      <c r="AP293" s="0" t="s">
        <v>240</v>
      </c>
      <c r="AQ293" s="0" t="s">
        <v>240</v>
      </c>
      <c r="AR293" s="0" t="s">
        <v>240</v>
      </c>
      <c r="AS293" s="0" t="s">
        <v>240</v>
      </c>
      <c r="AT293" s="0" t="s">
        <v>240</v>
      </c>
      <c r="AU293" s="0" t="s">
        <v>240</v>
      </c>
      <c r="AV293" s="0" t="s">
        <v>240</v>
      </c>
      <c r="AW293" s="0" t="s">
        <v>240</v>
      </c>
      <c r="AX293" s="0" t="s">
        <v>240</v>
      </c>
      <c r="AY293" s="0" t="s">
        <v>240</v>
      </c>
      <c r="AZ293" s="0" t="s">
        <v>240</v>
      </c>
      <c r="BA293" s="0" t="s">
        <v>240</v>
      </c>
      <c r="BB293" s="0" t="s">
        <v>240</v>
      </c>
      <c r="BC293" s="0" t="s">
        <v>240</v>
      </c>
      <c r="BD293" s="0" t="s">
        <v>240</v>
      </c>
      <c r="BE293" s="0" t="s">
        <v>5552</v>
      </c>
      <c r="BF293" s="0" t="s">
        <v>5776</v>
      </c>
      <c r="BG293" s="0" t="s">
        <v>112</v>
      </c>
      <c r="BH293" s="0" t="s">
        <v>5589</v>
      </c>
      <c r="BI293" s="0" t="s">
        <v>123</v>
      </c>
      <c r="BJ293" s="0" t="s">
        <v>240</v>
      </c>
      <c r="BK293" s="0" t="s">
        <v>5608</v>
      </c>
      <c r="BL293" s="0" t="s">
        <v>2991</v>
      </c>
      <c r="BM293" s="0" t="s">
        <v>2991</v>
      </c>
      <c r="BN293" s="0" t="s">
        <v>5663</v>
      </c>
      <c r="BO293" s="0" t="s">
        <v>5884</v>
      </c>
      <c r="BP293" s="0" t="s">
        <v>6820</v>
      </c>
      <c r="BQ293" s="0" t="s">
        <v>5575</v>
      </c>
      <c r="BR293" s="0" t="s">
        <v>5575</v>
      </c>
      <c r="BS293" s="0" t="s">
        <v>240</v>
      </c>
      <c r="BT293" s="0" t="s">
        <v>5650</v>
      </c>
      <c r="BU293" s="0" t="s">
        <v>6821</v>
      </c>
      <c r="BV293" s="0" t="s">
        <v>6821</v>
      </c>
      <c r="BW293" s="0" t="s">
        <v>5598</v>
      </c>
      <c r="BX293" s="0" t="s">
        <v>5598</v>
      </c>
      <c r="BY293" s="0" t="s">
        <v>5598</v>
      </c>
      <c r="BZ293" s="0" t="s">
        <v>5598</v>
      </c>
      <c r="CA293" s="0" t="s">
        <v>5598</v>
      </c>
      <c r="CB293" s="0" t="s">
        <v>240</v>
      </c>
      <c r="CC293" s="0" t="s">
        <v>240</v>
      </c>
      <c r="CD293" s="0" t="s">
        <v>240</v>
      </c>
      <c r="CE293" s="0" t="s">
        <v>240</v>
      </c>
      <c r="CF293" s="0" t="s">
        <v>240</v>
      </c>
      <c r="CG293" s="0" t="s">
        <v>5598</v>
      </c>
      <c r="CH293" s="0" t="s">
        <v>240</v>
      </c>
      <c r="CI293" s="0" t="s">
        <v>240</v>
      </c>
      <c r="CJ293" s="0" t="s">
        <v>240</v>
      </c>
      <c r="CK293" s="0" t="s">
        <v>240</v>
      </c>
      <c r="CL293" s="0" t="s">
        <v>240</v>
      </c>
      <c r="CM293" s="0" t="s">
        <v>6821</v>
      </c>
      <c r="CN293" s="0" t="s">
        <v>6821</v>
      </c>
      <c r="CO293" s="0" t="s">
        <v>240</v>
      </c>
      <c r="CP293" s="0" t="s">
        <v>240</v>
      </c>
      <c r="CQ293" s="0" t="s">
        <v>240</v>
      </c>
      <c r="CR293" s="0" t="s">
        <v>240</v>
      </c>
      <c r="CS293" s="0" t="s">
        <v>5666</v>
      </c>
      <c r="CT293" s="0" t="s">
        <v>5496</v>
      </c>
      <c r="CU293" s="0" t="s">
        <v>5497</v>
      </c>
      <c r="CV293" s="0" t="s">
        <v>443</v>
      </c>
      <c r="CW293" s="0" t="s">
        <v>5547</v>
      </c>
      <c r="CX293" s="0" t="s">
        <v>229</v>
      </c>
      <c r="CY293" s="0" t="s">
        <v>443</v>
      </c>
      <c r="CZ293" s="0" t="s">
        <v>5548</v>
      </c>
      <c r="DA293" s="0" t="s">
        <v>5549</v>
      </c>
      <c r="DB293" s="0" t="s">
        <v>5547</v>
      </c>
      <c r="DC293" s="0" t="s">
        <v>384</v>
      </c>
      <c r="DD293" s="0" t="s">
        <v>291</v>
      </c>
      <c r="DE293" s="0" t="s">
        <v>6822</v>
      </c>
    </row>
    <row customHeight="1" ht="11.25">
      <c r="A294" s="1441" t="s">
        <v>240</v>
      </c>
      <c r="B294" s="0" t="s">
        <v>240</v>
      </c>
      <c r="C294" s="0" t="s">
        <v>240</v>
      </c>
      <c r="D294" s="0" t="s">
        <v>240</v>
      </c>
      <c r="E294" s="0" t="s">
        <v>240</v>
      </c>
      <c r="F294" s="0" t="s">
        <v>240</v>
      </c>
      <c r="G294" s="0" t="s">
        <v>240</v>
      </c>
      <c r="H294" s="0" t="s">
        <v>240</v>
      </c>
      <c r="I294" s="0" t="s">
        <v>5484</v>
      </c>
      <c r="J294" s="0" t="s">
        <v>240</v>
      </c>
      <c r="K294" s="0" t="s">
        <v>240</v>
      </c>
      <c r="L294" s="0" t="s">
        <v>240</v>
      </c>
      <c r="M294" s="0" t="s">
        <v>240</v>
      </c>
      <c r="N294" s="0" t="s">
        <v>240</v>
      </c>
      <c r="O294" s="0" t="s">
        <v>240</v>
      </c>
      <c r="P294" s="0" t="s">
        <v>240</v>
      </c>
      <c r="Q294" s="0" t="s">
        <v>240</v>
      </c>
      <c r="R294" s="0" t="s">
        <v>6823</v>
      </c>
      <c r="S294" s="0" t="s">
        <v>240</v>
      </c>
      <c r="T294" s="0" t="s">
        <v>240</v>
      </c>
      <c r="U294" s="0" t="s">
        <v>102</v>
      </c>
      <c r="V294" s="0" t="s">
        <v>240</v>
      </c>
      <c r="W294" s="0" t="s">
        <v>240</v>
      </c>
      <c r="X294" s="0" t="s">
        <v>5585</v>
      </c>
      <c r="Y294" s="0" t="s">
        <v>240</v>
      </c>
      <c r="Z294" s="0" t="s">
        <v>152</v>
      </c>
      <c r="AA294" s="0" t="s">
        <v>152</v>
      </c>
      <c r="AB294" s="0" t="s">
        <v>161</v>
      </c>
      <c r="AC294" s="0" t="s">
        <v>2991</v>
      </c>
      <c r="AD294" s="0" t="s">
        <v>2991</v>
      </c>
      <c r="AE294" s="0" t="s">
        <v>2992</v>
      </c>
      <c r="AF294" s="0" t="s">
        <v>5884</v>
      </c>
      <c r="AG294" s="0" t="s">
        <v>5885</v>
      </c>
      <c r="AH294" s="0" t="s">
        <v>5575</v>
      </c>
      <c r="AI294" s="0" t="s">
        <v>5575</v>
      </c>
      <c r="AJ294" s="0" t="s">
        <v>240</v>
      </c>
      <c r="AK294" s="0" t="s">
        <v>240</v>
      </c>
      <c r="AL294" s="0" t="s">
        <v>240</v>
      </c>
      <c r="AM294" s="0" t="s">
        <v>240</v>
      </c>
      <c r="AN294" s="0" t="s">
        <v>240</v>
      </c>
      <c r="AO294" s="0" t="s">
        <v>240</v>
      </c>
      <c r="AP294" s="0" t="s">
        <v>240</v>
      </c>
      <c r="AQ294" s="0" t="s">
        <v>240</v>
      </c>
      <c r="AR294" s="0" t="s">
        <v>240</v>
      </c>
      <c r="AS294" s="0" t="s">
        <v>240</v>
      </c>
      <c r="AT294" s="0" t="s">
        <v>240</v>
      </c>
      <c r="AU294" s="0" t="s">
        <v>240</v>
      </c>
      <c r="AV294" s="0" t="s">
        <v>240</v>
      </c>
      <c r="AW294" s="0" t="s">
        <v>240</v>
      </c>
      <c r="AX294" s="0" t="s">
        <v>240</v>
      </c>
      <c r="AY294" s="0" t="s">
        <v>240</v>
      </c>
      <c r="AZ294" s="0" t="s">
        <v>240</v>
      </c>
      <c r="BA294" s="0" t="s">
        <v>240</v>
      </c>
      <c r="BB294" s="0" t="s">
        <v>240</v>
      </c>
      <c r="BC294" s="0" t="s">
        <v>240</v>
      </c>
      <c r="BD294" s="0" t="s">
        <v>240</v>
      </c>
      <c r="BE294" s="0" t="s">
        <v>5552</v>
      </c>
      <c r="BF294" s="0" t="s">
        <v>5776</v>
      </c>
      <c r="BG294" s="0" t="s">
        <v>112</v>
      </c>
      <c r="BH294" s="0" t="s">
        <v>5589</v>
      </c>
      <c r="BI294" s="0" t="s">
        <v>123</v>
      </c>
      <c r="BJ294" s="0" t="s">
        <v>240</v>
      </c>
      <c r="BK294" s="0" t="s">
        <v>5608</v>
      </c>
      <c r="BL294" s="0" t="s">
        <v>2991</v>
      </c>
      <c r="BM294" s="0" t="s">
        <v>2991</v>
      </c>
      <c r="BN294" s="0" t="s">
        <v>5663</v>
      </c>
      <c r="BO294" s="0" t="s">
        <v>5884</v>
      </c>
      <c r="BP294" s="0" t="s">
        <v>6820</v>
      </c>
      <c r="BQ294" s="0" t="s">
        <v>5575</v>
      </c>
      <c r="BR294" s="0" t="s">
        <v>5575</v>
      </c>
      <c r="BS294" s="0" t="s">
        <v>240</v>
      </c>
      <c r="BT294" s="0" t="s">
        <v>6151</v>
      </c>
      <c r="BU294" s="0" t="s">
        <v>6824</v>
      </c>
      <c r="BV294" s="0" t="s">
        <v>6824</v>
      </c>
      <c r="BW294" s="0" t="s">
        <v>5598</v>
      </c>
      <c r="BX294" s="0" t="s">
        <v>5598</v>
      </c>
      <c r="BY294" s="0" t="s">
        <v>5598</v>
      </c>
      <c r="BZ294" s="0" t="s">
        <v>5598</v>
      </c>
      <c r="CA294" s="0" t="s">
        <v>5598</v>
      </c>
      <c r="CB294" s="0" t="s">
        <v>240</v>
      </c>
      <c r="CC294" s="0" t="s">
        <v>240</v>
      </c>
      <c r="CD294" s="0" t="s">
        <v>240</v>
      </c>
      <c r="CE294" s="0" t="s">
        <v>240</v>
      </c>
      <c r="CF294" s="0" t="s">
        <v>240</v>
      </c>
      <c r="CG294" s="0" t="s">
        <v>5598</v>
      </c>
      <c r="CH294" s="0" t="s">
        <v>240</v>
      </c>
      <c r="CI294" s="0" t="s">
        <v>240</v>
      </c>
      <c r="CJ294" s="0" t="s">
        <v>240</v>
      </c>
      <c r="CK294" s="0" t="s">
        <v>240</v>
      </c>
      <c r="CL294" s="0" t="s">
        <v>240</v>
      </c>
      <c r="CM294" s="0" t="s">
        <v>6824</v>
      </c>
      <c r="CN294" s="0" t="s">
        <v>6824</v>
      </c>
      <c r="CO294" s="0" t="s">
        <v>240</v>
      </c>
      <c r="CP294" s="0" t="s">
        <v>240</v>
      </c>
      <c r="CQ294" s="0" t="s">
        <v>240</v>
      </c>
      <c r="CR294" s="0" t="s">
        <v>240</v>
      </c>
      <c r="CS294" s="0" t="s">
        <v>5666</v>
      </c>
      <c r="CT294" s="0" t="s">
        <v>5496</v>
      </c>
      <c r="CU294" s="0" t="s">
        <v>5497</v>
      </c>
      <c r="CV294" s="0" t="s">
        <v>443</v>
      </c>
      <c r="CW294" s="0" t="s">
        <v>5547</v>
      </c>
      <c r="CX294" s="0" t="s">
        <v>229</v>
      </c>
      <c r="CY294" s="0" t="s">
        <v>443</v>
      </c>
      <c r="CZ294" s="0" t="s">
        <v>5548</v>
      </c>
      <c r="DA294" s="0" t="s">
        <v>5549</v>
      </c>
      <c r="DB294" s="0" t="s">
        <v>5547</v>
      </c>
      <c r="DC294" s="0" t="s">
        <v>384</v>
      </c>
      <c r="DD294" s="0" t="s">
        <v>291</v>
      </c>
      <c r="DE294" s="0" t="s">
        <v>6822</v>
      </c>
    </row>
    <row customHeight="1" ht="11.25">
      <c r="A295" s="1441" t="s">
        <v>240</v>
      </c>
      <c r="B295" s="0" t="s">
        <v>240</v>
      </c>
      <c r="C295" s="0" t="s">
        <v>240</v>
      </c>
      <c r="D295" s="0" t="s">
        <v>240</v>
      </c>
      <c r="E295" s="0" t="s">
        <v>240</v>
      </c>
      <c r="F295" s="0" t="s">
        <v>240</v>
      </c>
      <c r="G295" s="0" t="s">
        <v>240</v>
      </c>
      <c r="H295" s="0" t="s">
        <v>240</v>
      </c>
      <c r="I295" s="0" t="s">
        <v>5484</v>
      </c>
      <c r="J295" s="0" t="s">
        <v>240</v>
      </c>
      <c r="K295" s="0" t="s">
        <v>240</v>
      </c>
      <c r="L295" s="0" t="s">
        <v>240</v>
      </c>
      <c r="M295" s="0" t="s">
        <v>240</v>
      </c>
      <c r="N295" s="0" t="s">
        <v>240</v>
      </c>
      <c r="O295" s="0" t="s">
        <v>240</v>
      </c>
      <c r="P295" s="0" t="s">
        <v>240</v>
      </c>
      <c r="Q295" s="0" t="s">
        <v>240</v>
      </c>
      <c r="R295" s="0" t="s">
        <v>5513</v>
      </c>
      <c r="S295" s="0" t="s">
        <v>240</v>
      </c>
      <c r="T295" s="0" t="s">
        <v>240</v>
      </c>
      <c r="U295" s="0" t="s">
        <v>102</v>
      </c>
      <c r="V295" s="0" t="s">
        <v>240</v>
      </c>
      <c r="W295" s="0" t="s">
        <v>240</v>
      </c>
      <c r="X295" s="0" t="s">
        <v>5485</v>
      </c>
      <c r="Y295" s="0" t="s">
        <v>240</v>
      </c>
      <c r="Z295" s="0" t="s">
        <v>161</v>
      </c>
      <c r="AA295" s="0" t="s">
        <v>152</v>
      </c>
      <c r="AB295" s="0" t="s">
        <v>152</v>
      </c>
      <c r="AC295" s="0" t="s">
        <v>2991</v>
      </c>
      <c r="AD295" s="0" t="s">
        <v>2991</v>
      </c>
      <c r="AE295" s="0" t="s">
        <v>2992</v>
      </c>
      <c r="AF295" s="0" t="s">
        <v>5884</v>
      </c>
      <c r="AG295" s="0" t="s">
        <v>5885</v>
      </c>
      <c r="AH295" s="0" t="s">
        <v>6379</v>
      </c>
      <c r="AI295" s="0" t="s">
        <v>6551</v>
      </c>
      <c r="AJ295" s="0" t="s">
        <v>5552</v>
      </c>
      <c r="AK295" s="0" t="s">
        <v>5776</v>
      </c>
      <c r="AL295" s="0" t="s">
        <v>5506</v>
      </c>
      <c r="AM295" s="0" t="s">
        <v>5493</v>
      </c>
      <c r="AN295" s="0" t="s">
        <v>5553</v>
      </c>
      <c r="AO295" s="0" t="s">
        <v>5746</v>
      </c>
      <c r="AP295" s="0" t="s">
        <v>240</v>
      </c>
      <c r="AQ295" s="0" t="s">
        <v>240</v>
      </c>
      <c r="AR295" s="0" t="s">
        <v>240</v>
      </c>
      <c r="AS295" s="0" t="s">
        <v>240</v>
      </c>
      <c r="AT295" s="0" t="s">
        <v>240</v>
      </c>
      <c r="AU295" s="0" t="s">
        <v>240</v>
      </c>
      <c r="AV295" s="0" t="s">
        <v>240</v>
      </c>
      <c r="AW295" s="0" t="s">
        <v>240</v>
      </c>
      <c r="AX295" s="0" t="s">
        <v>240</v>
      </c>
      <c r="AY295" s="0" t="s">
        <v>240</v>
      </c>
      <c r="AZ295" s="0" t="s">
        <v>240</v>
      </c>
      <c r="BA295" s="0" t="s">
        <v>240</v>
      </c>
      <c r="BB295" s="0" t="s">
        <v>240</v>
      </c>
      <c r="BC295" s="0" t="s">
        <v>240</v>
      </c>
      <c r="BD295" s="0" t="s">
        <v>240</v>
      </c>
      <c r="BE295" s="0" t="s">
        <v>240</v>
      </c>
      <c r="BF295" s="0" t="s">
        <v>240</v>
      </c>
      <c r="BG295" s="0" t="s">
        <v>240</v>
      </c>
      <c r="BH295" s="0" t="s">
        <v>240</v>
      </c>
      <c r="BI295" s="0" t="s">
        <v>240</v>
      </c>
      <c r="BJ295" s="0" t="s">
        <v>240</v>
      </c>
      <c r="BK295" s="0" t="s">
        <v>240</v>
      </c>
      <c r="BL295" s="0" t="s">
        <v>240</v>
      </c>
      <c r="BM295" s="0" t="s">
        <v>240</v>
      </c>
      <c r="BN295" s="0" t="s">
        <v>240</v>
      </c>
      <c r="BO295" s="0" t="s">
        <v>240</v>
      </c>
      <c r="BP295" s="0" t="s">
        <v>240</v>
      </c>
      <c r="BQ295" s="0" t="s">
        <v>240</v>
      </c>
      <c r="BR295" s="0" t="s">
        <v>240</v>
      </c>
      <c r="BS295" s="0" t="s">
        <v>240</v>
      </c>
      <c r="BT295" s="0" t="s">
        <v>240</v>
      </c>
      <c r="BU295" s="0" t="s">
        <v>240</v>
      </c>
      <c r="BV295" s="0" t="s">
        <v>240</v>
      </c>
      <c r="BW295" s="0" t="s">
        <v>240</v>
      </c>
      <c r="BX295" s="0" t="s">
        <v>240</v>
      </c>
      <c r="BY295" s="0" t="s">
        <v>240</v>
      </c>
      <c r="BZ295" s="0" t="s">
        <v>240</v>
      </c>
      <c r="CA295" s="0" t="s">
        <v>240</v>
      </c>
      <c r="CB295" s="0" t="s">
        <v>240</v>
      </c>
      <c r="CC295" s="0" t="s">
        <v>240</v>
      </c>
      <c r="CD295" s="0" t="s">
        <v>240</v>
      </c>
      <c r="CE295" s="0" t="s">
        <v>240</v>
      </c>
      <c r="CF295" s="0" t="s">
        <v>240</v>
      </c>
      <c r="CG295" s="0" t="s">
        <v>240</v>
      </c>
      <c r="CH295" s="0" t="s">
        <v>240</v>
      </c>
      <c r="CI295" s="0" t="s">
        <v>240</v>
      </c>
      <c r="CJ295" s="0" t="s">
        <v>240</v>
      </c>
      <c r="CK295" s="0" t="s">
        <v>240</v>
      </c>
      <c r="CL295" s="0" t="s">
        <v>240</v>
      </c>
      <c r="CM295" s="0" t="s">
        <v>240</v>
      </c>
      <c r="CN295" s="0" t="s">
        <v>240</v>
      </c>
      <c r="CO295" s="0" t="s">
        <v>240</v>
      </c>
      <c r="CP295" s="0" t="s">
        <v>240</v>
      </c>
      <c r="CQ295" s="0" t="s">
        <v>240</v>
      </c>
      <c r="CR295" s="0" t="s">
        <v>240</v>
      </c>
      <c r="CS295" s="0" t="s">
        <v>240</v>
      </c>
      <c r="CT295" s="0" t="s">
        <v>5496</v>
      </c>
      <c r="CU295" s="0" t="s">
        <v>5497</v>
      </c>
      <c r="CV295" s="0" t="s">
        <v>443</v>
      </c>
      <c r="CW295" s="0" t="s">
        <v>5547</v>
      </c>
      <c r="CX295" s="0" t="s">
        <v>229</v>
      </c>
      <c r="CY295" s="0" t="s">
        <v>443</v>
      </c>
      <c r="CZ295" s="0" t="s">
        <v>5548</v>
      </c>
      <c r="DA295" s="0" t="s">
        <v>5549</v>
      </c>
      <c r="DB295" s="0" t="s">
        <v>5547</v>
      </c>
      <c r="DC295" s="0" t="s">
        <v>384</v>
      </c>
      <c r="DD295" s="0" t="s">
        <v>291</v>
      </c>
      <c r="DE295" s="0" t="s">
        <v>6576</v>
      </c>
    </row>
    <row customHeight="1" ht="11.25">
      <c r="A296" s="1441" t="s">
        <v>240</v>
      </c>
      <c r="B296" s="0" t="s">
        <v>240</v>
      </c>
      <c r="C296" s="0" t="s">
        <v>240</v>
      </c>
      <c r="D296" s="0" t="s">
        <v>240</v>
      </c>
      <c r="E296" s="0" t="s">
        <v>240</v>
      </c>
      <c r="F296" s="0" t="s">
        <v>240</v>
      </c>
      <c r="G296" s="0" t="s">
        <v>240</v>
      </c>
      <c r="H296" s="0" t="s">
        <v>240</v>
      </c>
      <c r="I296" s="0" t="s">
        <v>5484</v>
      </c>
      <c r="J296" s="0" t="s">
        <v>240</v>
      </c>
      <c r="K296" s="0" t="s">
        <v>240</v>
      </c>
      <c r="L296" s="0" t="s">
        <v>240</v>
      </c>
      <c r="M296" s="0" t="s">
        <v>240</v>
      </c>
      <c r="N296" s="0" t="s">
        <v>240</v>
      </c>
      <c r="O296" s="0" t="s">
        <v>240</v>
      </c>
      <c r="P296" s="0" t="s">
        <v>240</v>
      </c>
      <c r="Q296" s="0" t="s">
        <v>240</v>
      </c>
      <c r="R296" s="0" t="s">
        <v>6825</v>
      </c>
      <c r="S296" s="0" t="s">
        <v>240</v>
      </c>
      <c r="T296" s="0" t="s">
        <v>240</v>
      </c>
      <c r="U296" s="0" t="s">
        <v>102</v>
      </c>
      <c r="V296" s="0" t="s">
        <v>240</v>
      </c>
      <c r="W296" s="0" t="s">
        <v>240</v>
      </c>
      <c r="X296" s="0" t="s">
        <v>5585</v>
      </c>
      <c r="Y296" s="0" t="s">
        <v>240</v>
      </c>
      <c r="Z296" s="0" t="s">
        <v>152</v>
      </c>
      <c r="AA296" s="0" t="s">
        <v>152</v>
      </c>
      <c r="AB296" s="0" t="s">
        <v>161</v>
      </c>
      <c r="AC296" s="0" t="s">
        <v>2989</v>
      </c>
      <c r="AD296" s="0" t="s">
        <v>2989</v>
      </c>
      <c r="AE296" s="0" t="s">
        <v>2990</v>
      </c>
      <c r="AF296" s="0" t="s">
        <v>6667</v>
      </c>
      <c r="AG296" s="0" t="s">
        <v>6668</v>
      </c>
      <c r="AH296" s="0" t="s">
        <v>5575</v>
      </c>
      <c r="AI296" s="0" t="s">
        <v>5575</v>
      </c>
      <c r="AJ296" s="0" t="s">
        <v>240</v>
      </c>
      <c r="AK296" s="0" t="s">
        <v>240</v>
      </c>
      <c r="AL296" s="0" t="s">
        <v>240</v>
      </c>
      <c r="AM296" s="0" t="s">
        <v>240</v>
      </c>
      <c r="AN296" s="0" t="s">
        <v>240</v>
      </c>
      <c r="AO296" s="0" t="s">
        <v>240</v>
      </c>
      <c r="AP296" s="0" t="s">
        <v>240</v>
      </c>
      <c r="AQ296" s="0" t="s">
        <v>240</v>
      </c>
      <c r="AR296" s="0" t="s">
        <v>240</v>
      </c>
      <c r="AS296" s="0" t="s">
        <v>240</v>
      </c>
      <c r="AT296" s="0" t="s">
        <v>240</v>
      </c>
      <c r="AU296" s="0" t="s">
        <v>240</v>
      </c>
      <c r="AV296" s="0" t="s">
        <v>240</v>
      </c>
      <c r="AW296" s="0" t="s">
        <v>240</v>
      </c>
      <c r="AX296" s="0" t="s">
        <v>240</v>
      </c>
      <c r="AY296" s="0" t="s">
        <v>240</v>
      </c>
      <c r="AZ296" s="0" t="s">
        <v>240</v>
      </c>
      <c r="BA296" s="0" t="s">
        <v>240</v>
      </c>
      <c r="BB296" s="0" t="s">
        <v>240</v>
      </c>
      <c r="BC296" s="0" t="s">
        <v>240</v>
      </c>
      <c r="BD296" s="0" t="s">
        <v>240</v>
      </c>
      <c r="BE296" s="0" t="s">
        <v>5576</v>
      </c>
      <c r="BF296" s="0" t="s">
        <v>6670</v>
      </c>
      <c r="BG296" s="0" t="s">
        <v>112</v>
      </c>
      <c r="BH296" s="0" t="s">
        <v>5589</v>
      </c>
      <c r="BI296" s="0" t="s">
        <v>123</v>
      </c>
      <c r="BJ296" s="0" t="s">
        <v>240</v>
      </c>
      <c r="BK296" s="0" t="s">
        <v>5608</v>
      </c>
      <c r="BL296" s="0" t="s">
        <v>2989</v>
      </c>
      <c r="BM296" s="0" t="s">
        <v>2989</v>
      </c>
      <c r="BN296" s="0" t="s">
        <v>5798</v>
      </c>
      <c r="BO296" s="0" t="s">
        <v>6667</v>
      </c>
      <c r="BP296" s="0" t="s">
        <v>6826</v>
      </c>
      <c r="BQ296" s="0" t="s">
        <v>5575</v>
      </c>
      <c r="BR296" s="0" t="s">
        <v>5575</v>
      </c>
      <c r="BS296" s="0" t="s">
        <v>240</v>
      </c>
      <c r="BT296" s="0" t="s">
        <v>5650</v>
      </c>
      <c r="BU296" s="0" t="s">
        <v>6827</v>
      </c>
      <c r="BV296" s="0" t="s">
        <v>6827</v>
      </c>
      <c r="BW296" s="0" t="s">
        <v>5598</v>
      </c>
      <c r="BX296" s="0" t="s">
        <v>5598</v>
      </c>
      <c r="BY296" s="0" t="s">
        <v>5598</v>
      </c>
      <c r="BZ296" s="0" t="s">
        <v>5598</v>
      </c>
      <c r="CA296" s="0" t="s">
        <v>5598</v>
      </c>
      <c r="CB296" s="0" t="s">
        <v>240</v>
      </c>
      <c r="CC296" s="0" t="s">
        <v>240</v>
      </c>
      <c r="CD296" s="0" t="s">
        <v>240</v>
      </c>
      <c r="CE296" s="0" t="s">
        <v>240</v>
      </c>
      <c r="CF296" s="0" t="s">
        <v>240</v>
      </c>
      <c r="CG296" s="0" t="s">
        <v>5598</v>
      </c>
      <c r="CH296" s="0" t="s">
        <v>240</v>
      </c>
      <c r="CI296" s="0" t="s">
        <v>240</v>
      </c>
      <c r="CJ296" s="0" t="s">
        <v>240</v>
      </c>
      <c r="CK296" s="0" t="s">
        <v>240</v>
      </c>
      <c r="CL296" s="0" t="s">
        <v>240</v>
      </c>
      <c r="CM296" s="0" t="s">
        <v>6827</v>
      </c>
      <c r="CN296" s="0" t="s">
        <v>6827</v>
      </c>
      <c r="CO296" s="0" t="s">
        <v>240</v>
      </c>
      <c r="CP296" s="0" t="s">
        <v>240</v>
      </c>
      <c r="CQ296" s="0" t="s">
        <v>240</v>
      </c>
      <c r="CR296" s="0" t="s">
        <v>240</v>
      </c>
      <c r="CS296" s="0" t="s">
        <v>5491</v>
      </c>
      <c r="CT296" s="0" t="s">
        <v>5496</v>
      </c>
      <c r="CU296" s="0" t="s">
        <v>5497</v>
      </c>
      <c r="CV296" s="0" t="s">
        <v>443</v>
      </c>
      <c r="CW296" s="0" t="s">
        <v>5580</v>
      </c>
      <c r="CX296" s="0" t="s">
        <v>229</v>
      </c>
      <c r="CY296" s="0" t="s">
        <v>443</v>
      </c>
      <c r="CZ296" s="0" t="s">
        <v>5581</v>
      </c>
      <c r="DA296" s="0" t="s">
        <v>5582</v>
      </c>
      <c r="DB296" s="0" t="s">
        <v>5580</v>
      </c>
      <c r="DC296" s="0" t="s">
        <v>384</v>
      </c>
      <c r="DD296" s="0" t="s">
        <v>291</v>
      </c>
      <c r="DE296" s="0" t="s">
        <v>6828</v>
      </c>
    </row>
    <row customHeight="1" ht="11.25">
      <c r="A297" s="1441" t="s">
        <v>240</v>
      </c>
      <c r="B297" s="0" t="s">
        <v>240</v>
      </c>
      <c r="C297" s="0" t="s">
        <v>240</v>
      </c>
      <c r="D297" s="0" t="s">
        <v>240</v>
      </c>
      <c r="E297" s="0" t="s">
        <v>240</v>
      </c>
      <c r="F297" s="0" t="s">
        <v>240</v>
      </c>
      <c r="G297" s="0" t="s">
        <v>240</v>
      </c>
      <c r="H297" s="0" t="s">
        <v>240</v>
      </c>
      <c r="I297" s="0" t="s">
        <v>5484</v>
      </c>
      <c r="J297" s="0" t="s">
        <v>240</v>
      </c>
      <c r="K297" s="0" t="s">
        <v>240</v>
      </c>
      <c r="L297" s="0" t="s">
        <v>240</v>
      </c>
      <c r="M297" s="0" t="s">
        <v>240</v>
      </c>
      <c r="N297" s="0" t="s">
        <v>240</v>
      </c>
      <c r="O297" s="0" t="s">
        <v>240</v>
      </c>
      <c r="P297" s="0" t="s">
        <v>240</v>
      </c>
      <c r="Q297" s="0" t="s">
        <v>240</v>
      </c>
      <c r="R297" s="0" t="s">
        <v>6829</v>
      </c>
      <c r="S297" s="0" t="s">
        <v>240</v>
      </c>
      <c r="T297" s="0" t="s">
        <v>240</v>
      </c>
      <c r="U297" s="0" t="s">
        <v>102</v>
      </c>
      <c r="V297" s="0" t="s">
        <v>240</v>
      </c>
      <c r="W297" s="0" t="s">
        <v>240</v>
      </c>
      <c r="X297" s="0" t="s">
        <v>5585</v>
      </c>
      <c r="Y297" s="0" t="s">
        <v>240</v>
      </c>
      <c r="Z297" s="0" t="s">
        <v>152</v>
      </c>
      <c r="AA297" s="0" t="s">
        <v>152</v>
      </c>
      <c r="AB297" s="0" t="s">
        <v>161</v>
      </c>
      <c r="AC297" s="0" t="s">
        <v>3395</v>
      </c>
      <c r="AD297" s="0" t="s">
        <v>3395</v>
      </c>
      <c r="AE297" s="0" t="s">
        <v>3396</v>
      </c>
      <c r="AF297" s="0" t="s">
        <v>5941</v>
      </c>
      <c r="AG297" s="0" t="s">
        <v>5942</v>
      </c>
      <c r="AH297" s="0" t="s">
        <v>6063</v>
      </c>
      <c r="AI297" s="0" t="s">
        <v>152</v>
      </c>
      <c r="AJ297" s="0" t="s">
        <v>240</v>
      </c>
      <c r="AK297" s="0" t="s">
        <v>240</v>
      </c>
      <c r="AL297" s="0" t="s">
        <v>240</v>
      </c>
      <c r="AM297" s="0" t="s">
        <v>240</v>
      </c>
      <c r="AN297" s="0" t="s">
        <v>240</v>
      </c>
      <c r="AO297" s="0" t="s">
        <v>240</v>
      </c>
      <c r="AP297" s="0" t="s">
        <v>240</v>
      </c>
      <c r="AQ297" s="0" t="s">
        <v>240</v>
      </c>
      <c r="AR297" s="0" t="s">
        <v>240</v>
      </c>
      <c r="AS297" s="0" t="s">
        <v>240</v>
      </c>
      <c r="AT297" s="0" t="s">
        <v>240</v>
      </c>
      <c r="AU297" s="0" t="s">
        <v>240</v>
      </c>
      <c r="AV297" s="0" t="s">
        <v>240</v>
      </c>
      <c r="AW297" s="0" t="s">
        <v>240</v>
      </c>
      <c r="AX297" s="0" t="s">
        <v>240</v>
      </c>
      <c r="AY297" s="0" t="s">
        <v>240</v>
      </c>
      <c r="AZ297" s="0" t="s">
        <v>240</v>
      </c>
      <c r="BA297" s="0" t="s">
        <v>240</v>
      </c>
      <c r="BB297" s="0" t="s">
        <v>240</v>
      </c>
      <c r="BC297" s="0" t="s">
        <v>240</v>
      </c>
      <c r="BD297" s="0" t="s">
        <v>240</v>
      </c>
      <c r="BE297" s="0" t="s">
        <v>6830</v>
      </c>
      <c r="BF297" s="0" t="s">
        <v>6831</v>
      </c>
      <c r="BG297" s="0" t="s">
        <v>112</v>
      </c>
      <c r="BH297" s="0" t="s">
        <v>5589</v>
      </c>
      <c r="BI297" s="0" t="s">
        <v>123</v>
      </c>
      <c r="BJ297" s="0" t="s">
        <v>240</v>
      </c>
      <c r="BK297" s="0" t="s">
        <v>6832</v>
      </c>
      <c r="BL297" s="0" t="s">
        <v>3395</v>
      </c>
      <c r="BM297" s="0" t="s">
        <v>3395</v>
      </c>
      <c r="BN297" s="0" t="s">
        <v>6066</v>
      </c>
      <c r="BO297" s="0" t="s">
        <v>5941</v>
      </c>
      <c r="BP297" s="0" t="s">
        <v>6067</v>
      </c>
      <c r="BQ297" s="0" t="s">
        <v>6833</v>
      </c>
      <c r="BR297" s="0" t="s">
        <v>457</v>
      </c>
      <c r="BS297" s="0" t="s">
        <v>240</v>
      </c>
      <c r="BT297" s="0" t="s">
        <v>5594</v>
      </c>
      <c r="BU297" s="0" t="s">
        <v>6834</v>
      </c>
      <c r="BV297" s="0" t="s">
        <v>6835</v>
      </c>
      <c r="BW297" s="0" t="s">
        <v>6836</v>
      </c>
      <c r="BX297" s="0" t="s">
        <v>6837</v>
      </c>
      <c r="BY297" s="0" t="s">
        <v>5598</v>
      </c>
      <c r="BZ297" s="0" t="s">
        <v>5598</v>
      </c>
      <c r="CA297" s="0" t="s">
        <v>5598</v>
      </c>
      <c r="CB297" s="0" t="s">
        <v>5598</v>
      </c>
      <c r="CC297" s="0" t="s">
        <v>5598</v>
      </c>
      <c r="CD297" s="0" t="s">
        <v>5598</v>
      </c>
      <c r="CE297" s="0" t="s">
        <v>5598</v>
      </c>
      <c r="CF297" s="0" t="s">
        <v>5598</v>
      </c>
      <c r="CG297" s="0" t="s">
        <v>5598</v>
      </c>
      <c r="CH297" s="0" t="s">
        <v>5598</v>
      </c>
      <c r="CI297" s="0" t="s">
        <v>5598</v>
      </c>
      <c r="CJ297" s="0" t="s">
        <v>5598</v>
      </c>
      <c r="CK297" s="0" t="s">
        <v>5598</v>
      </c>
      <c r="CL297" s="0" t="s">
        <v>5598</v>
      </c>
      <c r="CM297" s="0" t="s">
        <v>6834</v>
      </c>
      <c r="CN297" s="0" t="s">
        <v>6835</v>
      </c>
      <c r="CO297" s="0" t="s">
        <v>6836</v>
      </c>
      <c r="CP297" s="0" t="s">
        <v>6837</v>
      </c>
      <c r="CQ297" s="0" t="s">
        <v>5598</v>
      </c>
      <c r="CR297" s="0" t="s">
        <v>5598</v>
      </c>
      <c r="CS297" s="0" t="s">
        <v>6513</v>
      </c>
      <c r="CT297" s="0" t="s">
        <v>5496</v>
      </c>
      <c r="CU297" s="0" t="s">
        <v>5497</v>
      </c>
      <c r="CV297" s="0" t="s">
        <v>5947</v>
      </c>
      <c r="CW297" s="0" t="s">
        <v>5948</v>
      </c>
      <c r="CX297" s="0" t="s">
        <v>5528</v>
      </c>
      <c r="CY297" s="0" t="s">
        <v>5947</v>
      </c>
      <c r="CZ297" s="0" t="s">
        <v>5533</v>
      </c>
      <c r="DA297" s="0" t="s">
        <v>5949</v>
      </c>
      <c r="DB297" s="0" t="s">
        <v>5600</v>
      </c>
      <c r="DC297" s="0" t="s">
        <v>384</v>
      </c>
      <c r="DD297" s="0" t="s">
        <v>291</v>
      </c>
      <c r="DE297" s="0" t="s">
        <v>6073</v>
      </c>
    </row>
    <row customHeight="1" ht="11.25">
      <c r="A298" s="1441" t="s">
        <v>240</v>
      </c>
      <c r="B298" s="0" t="s">
        <v>240</v>
      </c>
      <c r="C298" s="0" t="s">
        <v>240</v>
      </c>
      <c r="D298" s="0" t="s">
        <v>240</v>
      </c>
      <c r="E298" s="0" t="s">
        <v>240</v>
      </c>
      <c r="F298" s="0" t="s">
        <v>240</v>
      </c>
      <c r="G298" s="0" t="s">
        <v>240</v>
      </c>
      <c r="H298" s="0" t="s">
        <v>240</v>
      </c>
      <c r="I298" s="0" t="s">
        <v>5484</v>
      </c>
      <c r="J298" s="0" t="s">
        <v>240</v>
      </c>
      <c r="K298" s="0" t="s">
        <v>240</v>
      </c>
      <c r="L298" s="0" t="s">
        <v>240</v>
      </c>
      <c r="M298" s="0" t="s">
        <v>240</v>
      </c>
      <c r="N298" s="0" t="s">
        <v>240</v>
      </c>
      <c r="O298" s="0" t="s">
        <v>240</v>
      </c>
      <c r="P298" s="0" t="s">
        <v>240</v>
      </c>
      <c r="Q298" s="0" t="s">
        <v>240</v>
      </c>
      <c r="R298" s="0" t="s">
        <v>6838</v>
      </c>
      <c r="S298" s="0" t="s">
        <v>240</v>
      </c>
      <c r="T298" s="0" t="s">
        <v>240</v>
      </c>
      <c r="U298" s="0" t="s">
        <v>102</v>
      </c>
      <c r="V298" s="0" t="s">
        <v>240</v>
      </c>
      <c r="W298" s="0" t="s">
        <v>240</v>
      </c>
      <c r="X298" s="0" t="s">
        <v>5585</v>
      </c>
      <c r="Y298" s="0" t="s">
        <v>240</v>
      </c>
      <c r="Z298" s="0" t="s">
        <v>152</v>
      </c>
      <c r="AA298" s="0" t="s">
        <v>152</v>
      </c>
      <c r="AB298" s="0" t="s">
        <v>161</v>
      </c>
      <c r="AC298" s="0" t="s">
        <v>3395</v>
      </c>
      <c r="AD298" s="0" t="s">
        <v>3395</v>
      </c>
      <c r="AE298" s="0" t="s">
        <v>3396</v>
      </c>
      <c r="AF298" s="0" t="s">
        <v>5941</v>
      </c>
      <c r="AG298" s="0" t="s">
        <v>5942</v>
      </c>
      <c r="AH298" s="0" t="s">
        <v>6063</v>
      </c>
      <c r="AI298" s="0" t="s">
        <v>152</v>
      </c>
      <c r="AJ298" s="0" t="s">
        <v>240</v>
      </c>
      <c r="AK298" s="0" t="s">
        <v>240</v>
      </c>
      <c r="AL298" s="0" t="s">
        <v>240</v>
      </c>
      <c r="AM298" s="0" t="s">
        <v>240</v>
      </c>
      <c r="AN298" s="0" t="s">
        <v>240</v>
      </c>
      <c r="AO298" s="0" t="s">
        <v>240</v>
      </c>
      <c r="AP298" s="0" t="s">
        <v>240</v>
      </c>
      <c r="AQ298" s="0" t="s">
        <v>240</v>
      </c>
      <c r="AR298" s="0" t="s">
        <v>240</v>
      </c>
      <c r="AS298" s="0" t="s">
        <v>240</v>
      </c>
      <c r="AT298" s="0" t="s">
        <v>240</v>
      </c>
      <c r="AU298" s="0" t="s">
        <v>240</v>
      </c>
      <c r="AV298" s="0" t="s">
        <v>240</v>
      </c>
      <c r="AW298" s="0" t="s">
        <v>240</v>
      </c>
      <c r="AX298" s="0" t="s">
        <v>240</v>
      </c>
      <c r="AY298" s="0" t="s">
        <v>240</v>
      </c>
      <c r="AZ298" s="0" t="s">
        <v>240</v>
      </c>
      <c r="BA298" s="0" t="s">
        <v>240</v>
      </c>
      <c r="BB298" s="0" t="s">
        <v>240</v>
      </c>
      <c r="BC298" s="0" t="s">
        <v>240</v>
      </c>
      <c r="BD298" s="0" t="s">
        <v>240</v>
      </c>
      <c r="BE298" s="0" t="s">
        <v>5944</v>
      </c>
      <c r="BF298" s="0" t="s">
        <v>6209</v>
      </c>
      <c r="BG298" s="0" t="s">
        <v>112</v>
      </c>
      <c r="BH298" s="0" t="s">
        <v>5589</v>
      </c>
      <c r="BI298" s="0" t="s">
        <v>123</v>
      </c>
      <c r="BJ298" s="0" t="s">
        <v>240</v>
      </c>
      <c r="BK298" s="0" t="s">
        <v>6208</v>
      </c>
      <c r="BL298" s="0" t="s">
        <v>3395</v>
      </c>
      <c r="BM298" s="0" t="s">
        <v>3395</v>
      </c>
      <c r="BN298" s="0" t="s">
        <v>6066</v>
      </c>
      <c r="BO298" s="0" t="s">
        <v>5941</v>
      </c>
      <c r="BP298" s="0" t="s">
        <v>6067</v>
      </c>
      <c r="BQ298" s="0" t="s">
        <v>6839</v>
      </c>
      <c r="BR298" s="0" t="s">
        <v>152</v>
      </c>
      <c r="BS298" s="0" t="s">
        <v>240</v>
      </c>
      <c r="BT298" s="0" t="s">
        <v>5594</v>
      </c>
      <c r="BU298" s="0" t="s">
        <v>6840</v>
      </c>
      <c r="BV298" s="0" t="s">
        <v>6841</v>
      </c>
      <c r="BW298" s="0" t="s">
        <v>6842</v>
      </c>
      <c r="BX298" s="0" t="s">
        <v>5598</v>
      </c>
      <c r="BY298" s="0" t="s">
        <v>5598</v>
      </c>
      <c r="BZ298" s="0" t="s">
        <v>5598</v>
      </c>
      <c r="CA298" s="0" t="s">
        <v>5598</v>
      </c>
      <c r="CB298" s="0" t="s">
        <v>5598</v>
      </c>
      <c r="CC298" s="0" t="s">
        <v>5598</v>
      </c>
      <c r="CD298" s="0" t="s">
        <v>5598</v>
      </c>
      <c r="CE298" s="0" t="s">
        <v>5598</v>
      </c>
      <c r="CF298" s="0" t="s">
        <v>5598</v>
      </c>
      <c r="CG298" s="0" t="s">
        <v>5598</v>
      </c>
      <c r="CH298" s="0" t="s">
        <v>5598</v>
      </c>
      <c r="CI298" s="0" t="s">
        <v>5598</v>
      </c>
      <c r="CJ298" s="0" t="s">
        <v>5598</v>
      </c>
      <c r="CK298" s="0" t="s">
        <v>5598</v>
      </c>
      <c r="CL298" s="0" t="s">
        <v>5598</v>
      </c>
      <c r="CM298" s="0" t="s">
        <v>6840</v>
      </c>
      <c r="CN298" s="0" t="s">
        <v>6841</v>
      </c>
      <c r="CO298" s="0" t="s">
        <v>6842</v>
      </c>
      <c r="CP298" s="0" t="s">
        <v>5598</v>
      </c>
      <c r="CQ298" s="0" t="s">
        <v>5598</v>
      </c>
      <c r="CR298" s="0" t="s">
        <v>5598</v>
      </c>
      <c r="CS298" s="0" t="s">
        <v>6843</v>
      </c>
      <c r="CT298" s="0" t="s">
        <v>5496</v>
      </c>
      <c r="CU298" s="0" t="s">
        <v>5497</v>
      </c>
      <c r="CV298" s="0" t="s">
        <v>5947</v>
      </c>
      <c r="CW298" s="0" t="s">
        <v>5948</v>
      </c>
      <c r="CX298" s="0" t="s">
        <v>5528</v>
      </c>
      <c r="CY298" s="0" t="s">
        <v>5947</v>
      </c>
      <c r="CZ298" s="0" t="s">
        <v>5533</v>
      </c>
      <c r="DA298" s="0" t="s">
        <v>5949</v>
      </c>
      <c r="DB298" s="0" t="s">
        <v>5600</v>
      </c>
      <c r="DC298" s="0" t="s">
        <v>384</v>
      </c>
      <c r="DD298" s="0" t="s">
        <v>291</v>
      </c>
      <c r="DE298" s="0" t="s">
        <v>6073</v>
      </c>
    </row>
    <row customHeight="1" ht="11.25">
      <c r="A299" s="1441" t="s">
        <v>240</v>
      </c>
      <c r="B299" s="0" t="s">
        <v>240</v>
      </c>
      <c r="C299" s="0" t="s">
        <v>240</v>
      </c>
      <c r="D299" s="0" t="s">
        <v>240</v>
      </c>
      <c r="E299" s="0" t="s">
        <v>240</v>
      </c>
      <c r="F299" s="0" t="s">
        <v>240</v>
      </c>
      <c r="G299" s="0" t="s">
        <v>240</v>
      </c>
      <c r="H299" s="0" t="s">
        <v>240</v>
      </c>
      <c r="I299" s="0" t="s">
        <v>5484</v>
      </c>
      <c r="J299" s="0" t="s">
        <v>240</v>
      </c>
      <c r="K299" s="0" t="s">
        <v>240</v>
      </c>
      <c r="L299" s="0" t="s">
        <v>240</v>
      </c>
      <c r="M299" s="0" t="s">
        <v>240</v>
      </c>
      <c r="N299" s="0" t="s">
        <v>240</v>
      </c>
      <c r="O299" s="0" t="s">
        <v>240</v>
      </c>
      <c r="P299" s="0" t="s">
        <v>240</v>
      </c>
      <c r="Q299" s="0" t="s">
        <v>240</v>
      </c>
      <c r="R299" s="0" t="s">
        <v>6844</v>
      </c>
      <c r="S299" s="0" t="s">
        <v>240</v>
      </c>
      <c r="T299" s="0" t="s">
        <v>240</v>
      </c>
      <c r="U299" s="0" t="s">
        <v>102</v>
      </c>
      <c r="V299" s="0" t="s">
        <v>240</v>
      </c>
      <c r="W299" s="0" t="s">
        <v>240</v>
      </c>
      <c r="X299" s="0" t="s">
        <v>5585</v>
      </c>
      <c r="Y299" s="0" t="s">
        <v>240</v>
      </c>
      <c r="Z299" s="0" t="s">
        <v>152</v>
      </c>
      <c r="AA299" s="0" t="s">
        <v>152</v>
      </c>
      <c r="AB299" s="0" t="s">
        <v>161</v>
      </c>
      <c r="AC299" s="0" t="s">
        <v>2991</v>
      </c>
      <c r="AD299" s="0" t="s">
        <v>2991</v>
      </c>
      <c r="AE299" s="0" t="s">
        <v>2992</v>
      </c>
      <c r="AF299" s="0" t="s">
        <v>5749</v>
      </c>
      <c r="AG299" s="0" t="s">
        <v>5750</v>
      </c>
      <c r="AH299" s="0" t="s">
        <v>5575</v>
      </c>
      <c r="AI299" s="0" t="s">
        <v>5575</v>
      </c>
      <c r="AJ299" s="0" t="s">
        <v>240</v>
      </c>
      <c r="AK299" s="0" t="s">
        <v>240</v>
      </c>
      <c r="AL299" s="0" t="s">
        <v>240</v>
      </c>
      <c r="AM299" s="0" t="s">
        <v>240</v>
      </c>
      <c r="AN299" s="0" t="s">
        <v>240</v>
      </c>
      <c r="AO299" s="0" t="s">
        <v>240</v>
      </c>
      <c r="AP299" s="0" t="s">
        <v>240</v>
      </c>
      <c r="AQ299" s="0" t="s">
        <v>240</v>
      </c>
      <c r="AR299" s="0" t="s">
        <v>240</v>
      </c>
      <c r="AS299" s="0" t="s">
        <v>240</v>
      </c>
      <c r="AT299" s="0" t="s">
        <v>240</v>
      </c>
      <c r="AU299" s="0" t="s">
        <v>240</v>
      </c>
      <c r="AV299" s="0" t="s">
        <v>240</v>
      </c>
      <c r="AW299" s="0" t="s">
        <v>240</v>
      </c>
      <c r="AX299" s="0" t="s">
        <v>240</v>
      </c>
      <c r="AY299" s="0" t="s">
        <v>240</v>
      </c>
      <c r="AZ299" s="0" t="s">
        <v>240</v>
      </c>
      <c r="BA299" s="0" t="s">
        <v>240</v>
      </c>
      <c r="BB299" s="0" t="s">
        <v>240</v>
      </c>
      <c r="BC299" s="0" t="s">
        <v>240</v>
      </c>
      <c r="BD299" s="0" t="s">
        <v>240</v>
      </c>
      <c r="BE299" s="0" t="s">
        <v>5578</v>
      </c>
      <c r="BF299" s="0" t="s">
        <v>5491</v>
      </c>
      <c r="BG299" s="0" t="s">
        <v>112</v>
      </c>
      <c r="BH299" s="0" t="s">
        <v>5589</v>
      </c>
      <c r="BI299" s="0" t="s">
        <v>123</v>
      </c>
      <c r="BJ299" s="0" t="s">
        <v>240</v>
      </c>
      <c r="BK299" s="0" t="s">
        <v>6845</v>
      </c>
      <c r="BL299" s="0" t="s">
        <v>2991</v>
      </c>
      <c r="BM299" s="0" t="s">
        <v>2991</v>
      </c>
      <c r="BN299" s="0" t="s">
        <v>5663</v>
      </c>
      <c r="BO299" s="0" t="s">
        <v>5749</v>
      </c>
      <c r="BP299" s="0" t="s">
        <v>6846</v>
      </c>
      <c r="BQ299" s="0" t="s">
        <v>5575</v>
      </c>
      <c r="BR299" s="0" t="s">
        <v>5575</v>
      </c>
      <c r="BS299" s="0" t="s">
        <v>240</v>
      </c>
      <c r="BT299" s="0" t="s">
        <v>5650</v>
      </c>
      <c r="BU299" s="0" t="s">
        <v>6847</v>
      </c>
      <c r="BV299" s="0" t="s">
        <v>6847</v>
      </c>
      <c r="BW299" s="0" t="s">
        <v>5598</v>
      </c>
      <c r="BX299" s="0" t="s">
        <v>5598</v>
      </c>
      <c r="BY299" s="0" t="s">
        <v>5598</v>
      </c>
      <c r="BZ299" s="0" t="s">
        <v>5598</v>
      </c>
      <c r="CA299" s="0" t="s">
        <v>5598</v>
      </c>
      <c r="CB299" s="0" t="s">
        <v>240</v>
      </c>
      <c r="CC299" s="0" t="s">
        <v>240</v>
      </c>
      <c r="CD299" s="0" t="s">
        <v>240</v>
      </c>
      <c r="CE299" s="0" t="s">
        <v>240</v>
      </c>
      <c r="CF299" s="0" t="s">
        <v>240</v>
      </c>
      <c r="CG299" s="0" t="s">
        <v>5598</v>
      </c>
      <c r="CH299" s="0" t="s">
        <v>240</v>
      </c>
      <c r="CI299" s="0" t="s">
        <v>240</v>
      </c>
      <c r="CJ299" s="0" t="s">
        <v>240</v>
      </c>
      <c r="CK299" s="0" t="s">
        <v>240</v>
      </c>
      <c r="CL299" s="0" t="s">
        <v>240</v>
      </c>
      <c r="CM299" s="0" t="s">
        <v>6847</v>
      </c>
      <c r="CN299" s="0" t="s">
        <v>6847</v>
      </c>
      <c r="CO299" s="0" t="s">
        <v>240</v>
      </c>
      <c r="CP299" s="0" t="s">
        <v>240</v>
      </c>
      <c r="CQ299" s="0" t="s">
        <v>240</v>
      </c>
      <c r="CR299" s="0" t="s">
        <v>240</v>
      </c>
      <c r="CS299" s="0" t="s">
        <v>5553</v>
      </c>
      <c r="CT299" s="0" t="s">
        <v>5496</v>
      </c>
      <c r="CU299" s="0" t="s">
        <v>5497</v>
      </c>
      <c r="CV299" s="0" t="s">
        <v>443</v>
      </c>
      <c r="CW299" s="0" t="s">
        <v>5547</v>
      </c>
      <c r="CX299" s="0" t="s">
        <v>229</v>
      </c>
      <c r="CY299" s="0" t="s">
        <v>443</v>
      </c>
      <c r="CZ299" s="0" t="s">
        <v>5548</v>
      </c>
      <c r="DA299" s="0" t="s">
        <v>5549</v>
      </c>
      <c r="DB299" s="0" t="s">
        <v>5547</v>
      </c>
      <c r="DC299" s="0" t="s">
        <v>384</v>
      </c>
      <c r="DD299" s="0" t="s">
        <v>291</v>
      </c>
      <c r="DE299" s="0" t="s">
        <v>6848</v>
      </c>
    </row>
    <row customHeight="1" ht="11.25">
      <c r="A300" s="1441" t="s">
        <v>240</v>
      </c>
      <c r="B300" s="0" t="s">
        <v>240</v>
      </c>
      <c r="C300" s="0" t="s">
        <v>240</v>
      </c>
      <c r="D300" s="0" t="s">
        <v>240</v>
      </c>
      <c r="E300" s="0" t="s">
        <v>240</v>
      </c>
      <c r="F300" s="0" t="s">
        <v>240</v>
      </c>
      <c r="G300" s="0" t="s">
        <v>240</v>
      </c>
      <c r="H300" s="0" t="s">
        <v>240</v>
      </c>
      <c r="I300" s="0" t="s">
        <v>5484</v>
      </c>
      <c r="J300" s="0" t="s">
        <v>240</v>
      </c>
      <c r="K300" s="0" t="s">
        <v>240</v>
      </c>
      <c r="L300" s="0" t="s">
        <v>240</v>
      </c>
      <c r="M300" s="0" t="s">
        <v>240</v>
      </c>
      <c r="N300" s="0" t="s">
        <v>240</v>
      </c>
      <c r="O300" s="0" t="s">
        <v>240</v>
      </c>
      <c r="P300" s="0" t="s">
        <v>240</v>
      </c>
      <c r="Q300" s="0" t="s">
        <v>240</v>
      </c>
      <c r="R300" s="0" t="s">
        <v>5572</v>
      </c>
      <c r="S300" s="0" t="s">
        <v>240</v>
      </c>
      <c r="T300" s="0" t="s">
        <v>240</v>
      </c>
      <c r="U300" s="0" t="s">
        <v>102</v>
      </c>
      <c r="V300" s="0" t="s">
        <v>240</v>
      </c>
      <c r="W300" s="0" t="s">
        <v>240</v>
      </c>
      <c r="X300" s="0" t="s">
        <v>5485</v>
      </c>
      <c r="Y300" s="0" t="s">
        <v>240</v>
      </c>
      <c r="Z300" s="0" t="s">
        <v>161</v>
      </c>
      <c r="AA300" s="0" t="s">
        <v>152</v>
      </c>
      <c r="AB300" s="0" t="s">
        <v>152</v>
      </c>
      <c r="AC300" s="0" t="s">
        <v>2991</v>
      </c>
      <c r="AD300" s="0" t="s">
        <v>2991</v>
      </c>
      <c r="AE300" s="0" t="s">
        <v>2992</v>
      </c>
      <c r="AF300" s="0" t="s">
        <v>5661</v>
      </c>
      <c r="AG300" s="0" t="s">
        <v>5662</v>
      </c>
      <c r="AH300" s="0" t="s">
        <v>6849</v>
      </c>
      <c r="AI300" s="0" t="s">
        <v>5551</v>
      </c>
      <c r="AJ300" s="0" t="s">
        <v>5504</v>
      </c>
      <c r="AK300" s="0" t="s">
        <v>5672</v>
      </c>
      <c r="AL300" s="0" t="s">
        <v>5506</v>
      </c>
      <c r="AM300" s="0" t="s">
        <v>5493</v>
      </c>
      <c r="AN300" s="0" t="s">
        <v>5545</v>
      </c>
      <c r="AO300" s="0" t="s">
        <v>6437</v>
      </c>
      <c r="AP300" s="0" t="s">
        <v>240</v>
      </c>
      <c r="AQ300" s="0" t="s">
        <v>240</v>
      </c>
      <c r="AR300" s="0" t="s">
        <v>240</v>
      </c>
      <c r="AS300" s="0" t="s">
        <v>240</v>
      </c>
      <c r="AT300" s="0" t="s">
        <v>240</v>
      </c>
      <c r="AU300" s="0" t="s">
        <v>240</v>
      </c>
      <c r="AV300" s="0" t="s">
        <v>240</v>
      </c>
      <c r="AW300" s="0" t="s">
        <v>240</v>
      </c>
      <c r="AX300" s="0" t="s">
        <v>240</v>
      </c>
      <c r="AY300" s="0" t="s">
        <v>240</v>
      </c>
      <c r="AZ300" s="0" t="s">
        <v>240</v>
      </c>
      <c r="BA300" s="0" t="s">
        <v>240</v>
      </c>
      <c r="BB300" s="0" t="s">
        <v>240</v>
      </c>
      <c r="BC300" s="0" t="s">
        <v>240</v>
      </c>
      <c r="BD300" s="0" t="s">
        <v>240</v>
      </c>
      <c r="BE300" s="0" t="s">
        <v>240</v>
      </c>
      <c r="BF300" s="0" t="s">
        <v>240</v>
      </c>
      <c r="BG300" s="0" t="s">
        <v>240</v>
      </c>
      <c r="BH300" s="0" t="s">
        <v>240</v>
      </c>
      <c r="BI300" s="0" t="s">
        <v>240</v>
      </c>
      <c r="BJ300" s="0" t="s">
        <v>240</v>
      </c>
      <c r="BK300" s="0" t="s">
        <v>240</v>
      </c>
      <c r="BL300" s="0" t="s">
        <v>240</v>
      </c>
      <c r="BM300" s="0" t="s">
        <v>240</v>
      </c>
      <c r="BN300" s="0" t="s">
        <v>240</v>
      </c>
      <c r="BO300" s="0" t="s">
        <v>240</v>
      </c>
      <c r="BP300" s="0" t="s">
        <v>240</v>
      </c>
      <c r="BQ300" s="0" t="s">
        <v>240</v>
      </c>
      <c r="BR300" s="0" t="s">
        <v>240</v>
      </c>
      <c r="BS300" s="0" t="s">
        <v>240</v>
      </c>
      <c r="BT300" s="0" t="s">
        <v>240</v>
      </c>
      <c r="BU300" s="0" t="s">
        <v>240</v>
      </c>
      <c r="BV300" s="0" t="s">
        <v>240</v>
      </c>
      <c r="BW300" s="0" t="s">
        <v>240</v>
      </c>
      <c r="BX300" s="0" t="s">
        <v>240</v>
      </c>
      <c r="BY300" s="0" t="s">
        <v>240</v>
      </c>
      <c r="BZ300" s="0" t="s">
        <v>240</v>
      </c>
      <c r="CA300" s="0" t="s">
        <v>240</v>
      </c>
      <c r="CB300" s="0" t="s">
        <v>240</v>
      </c>
      <c r="CC300" s="0" t="s">
        <v>240</v>
      </c>
      <c r="CD300" s="0" t="s">
        <v>240</v>
      </c>
      <c r="CE300" s="0" t="s">
        <v>240</v>
      </c>
      <c r="CF300" s="0" t="s">
        <v>240</v>
      </c>
      <c r="CG300" s="0" t="s">
        <v>240</v>
      </c>
      <c r="CH300" s="0" t="s">
        <v>240</v>
      </c>
      <c r="CI300" s="0" t="s">
        <v>240</v>
      </c>
      <c r="CJ300" s="0" t="s">
        <v>240</v>
      </c>
      <c r="CK300" s="0" t="s">
        <v>240</v>
      </c>
      <c r="CL300" s="0" t="s">
        <v>240</v>
      </c>
      <c r="CM300" s="0" t="s">
        <v>240</v>
      </c>
      <c r="CN300" s="0" t="s">
        <v>240</v>
      </c>
      <c r="CO300" s="0" t="s">
        <v>240</v>
      </c>
      <c r="CP300" s="0" t="s">
        <v>240</v>
      </c>
      <c r="CQ300" s="0" t="s">
        <v>240</v>
      </c>
      <c r="CR300" s="0" t="s">
        <v>240</v>
      </c>
      <c r="CS300" s="0" t="s">
        <v>240</v>
      </c>
      <c r="CT300" s="0" t="s">
        <v>5496</v>
      </c>
      <c r="CU300" s="0" t="s">
        <v>5497</v>
      </c>
      <c r="CV300" s="0" t="s">
        <v>443</v>
      </c>
      <c r="CW300" s="0" t="s">
        <v>5547</v>
      </c>
      <c r="CX300" s="0" t="s">
        <v>229</v>
      </c>
      <c r="CY300" s="0" t="s">
        <v>443</v>
      </c>
      <c r="CZ300" s="0" t="s">
        <v>5548</v>
      </c>
      <c r="DA300" s="0" t="s">
        <v>5549</v>
      </c>
      <c r="DB300" s="0" t="s">
        <v>5547</v>
      </c>
      <c r="DC300" s="0" t="s">
        <v>384</v>
      </c>
      <c r="DD300" s="0" t="s">
        <v>291</v>
      </c>
      <c r="DE300" s="0" t="s">
        <v>6850</v>
      </c>
    </row>
    <row customHeight="1" ht="11.25">
      <c r="A301" s="1441" t="s">
        <v>240</v>
      </c>
      <c r="B301" s="0" t="s">
        <v>240</v>
      </c>
      <c r="C301" s="0" t="s">
        <v>240</v>
      </c>
      <c r="D301" s="0" t="s">
        <v>240</v>
      </c>
      <c r="E301" s="0" t="s">
        <v>240</v>
      </c>
      <c r="F301" s="0" t="s">
        <v>240</v>
      </c>
      <c r="G301" s="0" t="s">
        <v>240</v>
      </c>
      <c r="H301" s="0" t="s">
        <v>240</v>
      </c>
      <c r="I301" s="0" t="s">
        <v>5484</v>
      </c>
      <c r="J301" s="0" t="s">
        <v>240</v>
      </c>
      <c r="K301" s="0" t="s">
        <v>240</v>
      </c>
      <c r="L301" s="0" t="s">
        <v>240</v>
      </c>
      <c r="M301" s="0" t="s">
        <v>240</v>
      </c>
      <c r="N301" s="0" t="s">
        <v>240</v>
      </c>
      <c r="O301" s="0" t="s">
        <v>240</v>
      </c>
      <c r="P301" s="0" t="s">
        <v>240</v>
      </c>
      <c r="Q301" s="0" t="s">
        <v>240</v>
      </c>
      <c r="R301" s="0" t="s">
        <v>6851</v>
      </c>
      <c r="S301" s="0" t="s">
        <v>240</v>
      </c>
      <c r="T301" s="0" t="s">
        <v>240</v>
      </c>
      <c r="U301" s="0" t="s">
        <v>102</v>
      </c>
      <c r="V301" s="0" t="s">
        <v>240</v>
      </c>
      <c r="W301" s="0" t="s">
        <v>240</v>
      </c>
      <c r="X301" s="0" t="s">
        <v>5485</v>
      </c>
      <c r="Y301" s="0" t="s">
        <v>240</v>
      </c>
      <c r="Z301" s="0" t="s">
        <v>161</v>
      </c>
      <c r="AA301" s="0" t="s">
        <v>152</v>
      </c>
      <c r="AB301" s="0" t="s">
        <v>152</v>
      </c>
      <c r="AC301" s="0" t="s">
        <v>3389</v>
      </c>
      <c r="AD301" s="0" t="s">
        <v>3389</v>
      </c>
      <c r="AE301" s="0" t="s">
        <v>3390</v>
      </c>
      <c r="AF301" s="0" t="s">
        <v>5519</v>
      </c>
      <c r="AG301" s="0" t="s">
        <v>5520</v>
      </c>
      <c r="AH301" s="0" t="s">
        <v>5654</v>
      </c>
      <c r="AI301" s="0" t="s">
        <v>6852</v>
      </c>
      <c r="AJ301" s="0" t="s">
        <v>5560</v>
      </c>
      <c r="AK301" s="0" t="s">
        <v>6853</v>
      </c>
      <c r="AL301" s="0" t="s">
        <v>5524</v>
      </c>
      <c r="AM301" s="0" t="s">
        <v>5493</v>
      </c>
      <c r="AN301" s="0" t="s">
        <v>6580</v>
      </c>
      <c r="AO301" s="0" t="s">
        <v>6581</v>
      </c>
      <c r="AP301" s="0" t="s">
        <v>240</v>
      </c>
      <c r="AQ301" s="0" t="s">
        <v>240</v>
      </c>
      <c r="AR301" s="0" t="s">
        <v>240</v>
      </c>
      <c r="AS301" s="0" t="s">
        <v>240</v>
      </c>
      <c r="AT301" s="0" t="s">
        <v>240</v>
      </c>
      <c r="AU301" s="0" t="s">
        <v>240</v>
      </c>
      <c r="AV301" s="0" t="s">
        <v>240</v>
      </c>
      <c r="AW301" s="0" t="s">
        <v>240</v>
      </c>
      <c r="AX301" s="0" t="s">
        <v>240</v>
      </c>
      <c r="AY301" s="0" t="s">
        <v>240</v>
      </c>
      <c r="AZ301" s="0" t="s">
        <v>240</v>
      </c>
      <c r="BA301" s="0" t="s">
        <v>240</v>
      </c>
      <c r="BB301" s="0" t="s">
        <v>240</v>
      </c>
      <c r="BC301" s="0" t="s">
        <v>240</v>
      </c>
      <c r="BD301" s="0" t="s">
        <v>240</v>
      </c>
      <c r="BE301" s="0" t="s">
        <v>240</v>
      </c>
      <c r="BF301" s="0" t="s">
        <v>240</v>
      </c>
      <c r="BG301" s="0" t="s">
        <v>240</v>
      </c>
      <c r="BH301" s="0" t="s">
        <v>240</v>
      </c>
      <c r="BI301" s="0" t="s">
        <v>240</v>
      </c>
      <c r="BJ301" s="0" t="s">
        <v>240</v>
      </c>
      <c r="BK301" s="0" t="s">
        <v>240</v>
      </c>
      <c r="BL301" s="0" t="s">
        <v>240</v>
      </c>
      <c r="BM301" s="0" t="s">
        <v>240</v>
      </c>
      <c r="BN301" s="0" t="s">
        <v>240</v>
      </c>
      <c r="BO301" s="0" t="s">
        <v>240</v>
      </c>
      <c r="BP301" s="0" t="s">
        <v>240</v>
      </c>
      <c r="BQ301" s="0" t="s">
        <v>240</v>
      </c>
      <c r="BR301" s="0" t="s">
        <v>240</v>
      </c>
      <c r="BS301" s="0" t="s">
        <v>240</v>
      </c>
      <c r="BT301" s="0" t="s">
        <v>240</v>
      </c>
      <c r="BU301" s="0" t="s">
        <v>240</v>
      </c>
      <c r="BV301" s="0" t="s">
        <v>240</v>
      </c>
      <c r="BW301" s="0" t="s">
        <v>240</v>
      </c>
      <c r="BX301" s="0" t="s">
        <v>240</v>
      </c>
      <c r="BY301" s="0" t="s">
        <v>240</v>
      </c>
      <c r="BZ301" s="0" t="s">
        <v>240</v>
      </c>
      <c r="CA301" s="0" t="s">
        <v>240</v>
      </c>
      <c r="CB301" s="0" t="s">
        <v>240</v>
      </c>
      <c r="CC301" s="0" t="s">
        <v>240</v>
      </c>
      <c r="CD301" s="0" t="s">
        <v>240</v>
      </c>
      <c r="CE301" s="0" t="s">
        <v>240</v>
      </c>
      <c r="CF301" s="0" t="s">
        <v>240</v>
      </c>
      <c r="CG301" s="0" t="s">
        <v>240</v>
      </c>
      <c r="CH301" s="0" t="s">
        <v>240</v>
      </c>
      <c r="CI301" s="0" t="s">
        <v>240</v>
      </c>
      <c r="CJ301" s="0" t="s">
        <v>240</v>
      </c>
      <c r="CK301" s="0" t="s">
        <v>240</v>
      </c>
      <c r="CL301" s="0" t="s">
        <v>240</v>
      </c>
      <c r="CM301" s="0" t="s">
        <v>240</v>
      </c>
      <c r="CN301" s="0" t="s">
        <v>240</v>
      </c>
      <c r="CO301" s="0" t="s">
        <v>240</v>
      </c>
      <c r="CP301" s="0" t="s">
        <v>240</v>
      </c>
      <c r="CQ301" s="0" t="s">
        <v>240</v>
      </c>
      <c r="CR301" s="0" t="s">
        <v>240</v>
      </c>
      <c r="CS301" s="0" t="s">
        <v>240</v>
      </c>
      <c r="CT301" s="0" t="s">
        <v>5496</v>
      </c>
      <c r="CU301" s="0" t="s">
        <v>5497</v>
      </c>
      <c r="CV301" s="0" t="s">
        <v>443</v>
      </c>
      <c r="CW301" s="0" t="s">
        <v>5527</v>
      </c>
      <c r="CX301" s="0" t="s">
        <v>5528</v>
      </c>
      <c r="CY301" s="0" t="s">
        <v>443</v>
      </c>
      <c r="CZ301" s="0" t="s">
        <v>299</v>
      </c>
      <c r="DA301" s="0" t="s">
        <v>5529</v>
      </c>
      <c r="DB301" s="0" t="s">
        <v>5527</v>
      </c>
      <c r="DC301" s="0" t="s">
        <v>384</v>
      </c>
      <c r="DD301" s="0" t="s">
        <v>291</v>
      </c>
      <c r="DE301" s="0" t="s">
        <v>6854</v>
      </c>
    </row>
    <row customHeight="1" ht="11.25">
      <c r="A302" s="1441" t="s">
        <v>240</v>
      </c>
      <c r="B302" s="0" t="s">
        <v>240</v>
      </c>
      <c r="C302" s="0" t="s">
        <v>240</v>
      </c>
      <c r="D302" s="0" t="s">
        <v>240</v>
      </c>
      <c r="E302" s="0" t="s">
        <v>240</v>
      </c>
      <c r="F302" s="0" t="s">
        <v>240</v>
      </c>
      <c r="G302" s="0" t="s">
        <v>240</v>
      </c>
      <c r="H302" s="0" t="s">
        <v>240</v>
      </c>
      <c r="I302" s="0" t="s">
        <v>5484</v>
      </c>
      <c r="J302" s="0" t="s">
        <v>240</v>
      </c>
      <c r="K302" s="0" t="s">
        <v>240</v>
      </c>
      <c r="L302" s="0" t="s">
        <v>240</v>
      </c>
      <c r="M302" s="0" t="s">
        <v>240</v>
      </c>
      <c r="N302" s="0" t="s">
        <v>240</v>
      </c>
      <c r="O302" s="0" t="s">
        <v>240</v>
      </c>
      <c r="P302" s="0" t="s">
        <v>240</v>
      </c>
      <c r="Q302" s="0" t="s">
        <v>240</v>
      </c>
      <c r="R302" s="0" t="s">
        <v>6855</v>
      </c>
      <c r="S302" s="0" t="s">
        <v>240</v>
      </c>
      <c r="T302" s="0" t="s">
        <v>240</v>
      </c>
      <c r="U302" s="0" t="s">
        <v>102</v>
      </c>
      <c r="V302" s="0" t="s">
        <v>240</v>
      </c>
      <c r="W302" s="0" t="s">
        <v>240</v>
      </c>
      <c r="X302" s="0" t="s">
        <v>5485</v>
      </c>
      <c r="Y302" s="0" t="s">
        <v>240</v>
      </c>
      <c r="Z302" s="0" t="s">
        <v>161</v>
      </c>
      <c r="AA302" s="0" t="s">
        <v>152</v>
      </c>
      <c r="AB302" s="0" t="s">
        <v>152</v>
      </c>
      <c r="AC302" s="0" t="s">
        <v>2985</v>
      </c>
      <c r="AD302" s="0" t="s">
        <v>2985</v>
      </c>
      <c r="AE302" s="0" t="s">
        <v>2986</v>
      </c>
      <c r="AF302" s="0" t="s">
        <v>5951</v>
      </c>
      <c r="AG302" s="0" t="s">
        <v>5952</v>
      </c>
      <c r="AH302" s="0" t="s">
        <v>5956</v>
      </c>
      <c r="AI302" s="0" t="s">
        <v>6856</v>
      </c>
      <c r="AJ302" s="0" t="s">
        <v>5504</v>
      </c>
      <c r="AK302" s="0" t="s">
        <v>5504</v>
      </c>
      <c r="AL302" s="0" t="s">
        <v>5605</v>
      </c>
      <c r="AM302" s="0" t="s">
        <v>5493</v>
      </c>
      <c r="AN302" s="0" t="s">
        <v>5507</v>
      </c>
      <c r="AO302" s="0" t="s">
        <v>5746</v>
      </c>
      <c r="AP302" s="0" t="s">
        <v>240</v>
      </c>
      <c r="AQ302" s="0" t="s">
        <v>240</v>
      </c>
      <c r="AR302" s="0" t="s">
        <v>240</v>
      </c>
      <c r="AS302" s="0" t="s">
        <v>240</v>
      </c>
      <c r="AT302" s="0" t="s">
        <v>240</v>
      </c>
      <c r="AU302" s="0" t="s">
        <v>240</v>
      </c>
      <c r="AV302" s="0" t="s">
        <v>240</v>
      </c>
      <c r="AW302" s="0" t="s">
        <v>240</v>
      </c>
      <c r="AX302" s="0" t="s">
        <v>240</v>
      </c>
      <c r="AY302" s="0" t="s">
        <v>240</v>
      </c>
      <c r="AZ302" s="0" t="s">
        <v>240</v>
      </c>
      <c r="BA302" s="0" t="s">
        <v>240</v>
      </c>
      <c r="BB302" s="0" t="s">
        <v>240</v>
      </c>
      <c r="BC302" s="0" t="s">
        <v>240</v>
      </c>
      <c r="BD302" s="0" t="s">
        <v>240</v>
      </c>
      <c r="BE302" s="0" t="s">
        <v>240</v>
      </c>
      <c r="BF302" s="0" t="s">
        <v>240</v>
      </c>
      <c r="BG302" s="0" t="s">
        <v>240</v>
      </c>
      <c r="BH302" s="0" t="s">
        <v>240</v>
      </c>
      <c r="BI302" s="0" t="s">
        <v>240</v>
      </c>
      <c r="BJ302" s="0" t="s">
        <v>240</v>
      </c>
      <c r="BK302" s="0" t="s">
        <v>240</v>
      </c>
      <c r="BL302" s="0" t="s">
        <v>240</v>
      </c>
      <c r="BM302" s="0" t="s">
        <v>240</v>
      </c>
      <c r="BN302" s="0" t="s">
        <v>240</v>
      </c>
      <c r="BO302" s="0" t="s">
        <v>240</v>
      </c>
      <c r="BP302" s="0" t="s">
        <v>240</v>
      </c>
      <c r="BQ302" s="0" t="s">
        <v>240</v>
      </c>
      <c r="BR302" s="0" t="s">
        <v>240</v>
      </c>
      <c r="BS302" s="0" t="s">
        <v>240</v>
      </c>
      <c r="BT302" s="0" t="s">
        <v>240</v>
      </c>
      <c r="BU302" s="0" t="s">
        <v>240</v>
      </c>
      <c r="BV302" s="0" t="s">
        <v>240</v>
      </c>
      <c r="BW302" s="0" t="s">
        <v>240</v>
      </c>
      <c r="BX302" s="0" t="s">
        <v>240</v>
      </c>
      <c r="BY302" s="0" t="s">
        <v>240</v>
      </c>
      <c r="BZ302" s="0" t="s">
        <v>240</v>
      </c>
      <c r="CA302" s="0" t="s">
        <v>240</v>
      </c>
      <c r="CB302" s="0" t="s">
        <v>240</v>
      </c>
      <c r="CC302" s="0" t="s">
        <v>240</v>
      </c>
      <c r="CD302" s="0" t="s">
        <v>240</v>
      </c>
      <c r="CE302" s="0" t="s">
        <v>240</v>
      </c>
      <c r="CF302" s="0" t="s">
        <v>240</v>
      </c>
      <c r="CG302" s="0" t="s">
        <v>240</v>
      </c>
      <c r="CH302" s="0" t="s">
        <v>240</v>
      </c>
      <c r="CI302" s="0" t="s">
        <v>240</v>
      </c>
      <c r="CJ302" s="0" t="s">
        <v>240</v>
      </c>
      <c r="CK302" s="0" t="s">
        <v>240</v>
      </c>
      <c r="CL302" s="0" t="s">
        <v>240</v>
      </c>
      <c r="CM302" s="0" t="s">
        <v>240</v>
      </c>
      <c r="CN302" s="0" t="s">
        <v>240</v>
      </c>
      <c r="CO302" s="0" t="s">
        <v>240</v>
      </c>
      <c r="CP302" s="0" t="s">
        <v>240</v>
      </c>
      <c r="CQ302" s="0" t="s">
        <v>240</v>
      </c>
      <c r="CR302" s="0" t="s">
        <v>240</v>
      </c>
      <c r="CS302" s="0" t="s">
        <v>240</v>
      </c>
      <c r="CT302" s="0" t="s">
        <v>5496</v>
      </c>
      <c r="CU302" s="0" t="s">
        <v>5497</v>
      </c>
      <c r="CV302" s="0" t="s">
        <v>443</v>
      </c>
      <c r="CW302" s="0" t="s">
        <v>5509</v>
      </c>
      <c r="CX302" s="0" t="s">
        <v>229</v>
      </c>
      <c r="CY302" s="0" t="s">
        <v>443</v>
      </c>
      <c r="CZ302" s="0" t="s">
        <v>5510</v>
      </c>
      <c r="DA302" s="0" t="s">
        <v>5511</v>
      </c>
      <c r="DB302" s="0" t="s">
        <v>5509</v>
      </c>
      <c r="DC302" s="0" t="s">
        <v>384</v>
      </c>
      <c r="DD302" s="0" t="s">
        <v>291</v>
      </c>
      <c r="DE302" s="0" t="s">
        <v>6857</v>
      </c>
    </row>
    <row customHeight="1" ht="11.25">
      <c r="A303" s="1441" t="s">
        <v>240</v>
      </c>
      <c r="B303" s="0" t="s">
        <v>240</v>
      </c>
      <c r="C303" s="0" t="s">
        <v>240</v>
      </c>
      <c r="D303" s="0" t="s">
        <v>240</v>
      </c>
      <c r="E303" s="0" t="s">
        <v>240</v>
      </c>
      <c r="F303" s="0" t="s">
        <v>240</v>
      </c>
      <c r="G303" s="0" t="s">
        <v>240</v>
      </c>
      <c r="H303" s="0" t="s">
        <v>240</v>
      </c>
      <c r="I303" s="0" t="s">
        <v>5484</v>
      </c>
      <c r="J303" s="0" t="s">
        <v>240</v>
      </c>
      <c r="K303" s="0" t="s">
        <v>240</v>
      </c>
      <c r="L303" s="0" t="s">
        <v>240</v>
      </c>
      <c r="M303" s="0" t="s">
        <v>240</v>
      </c>
      <c r="N303" s="0" t="s">
        <v>240</v>
      </c>
      <c r="O303" s="0" t="s">
        <v>240</v>
      </c>
      <c r="P303" s="0" t="s">
        <v>240</v>
      </c>
      <c r="Q303" s="0" t="s">
        <v>240</v>
      </c>
      <c r="R303" s="0" t="s">
        <v>6858</v>
      </c>
      <c r="S303" s="0" t="s">
        <v>240</v>
      </c>
      <c r="T303" s="0" t="s">
        <v>240</v>
      </c>
      <c r="U303" s="0" t="s">
        <v>102</v>
      </c>
      <c r="V303" s="0" t="s">
        <v>240</v>
      </c>
      <c r="W303" s="0" t="s">
        <v>240</v>
      </c>
      <c r="X303" s="0" t="s">
        <v>5585</v>
      </c>
      <c r="Y303" s="0" t="s">
        <v>240</v>
      </c>
      <c r="Z303" s="0" t="s">
        <v>152</v>
      </c>
      <c r="AA303" s="0" t="s">
        <v>152</v>
      </c>
      <c r="AB303" s="0" t="s">
        <v>161</v>
      </c>
      <c r="AC303" s="0" t="s">
        <v>2991</v>
      </c>
      <c r="AD303" s="0" t="s">
        <v>2991</v>
      </c>
      <c r="AE303" s="0" t="s">
        <v>2992</v>
      </c>
      <c r="AF303" s="0" t="s">
        <v>6394</v>
      </c>
      <c r="AG303" s="0" t="s">
        <v>6395</v>
      </c>
      <c r="AH303" s="0" t="s">
        <v>5575</v>
      </c>
      <c r="AI303" s="0" t="s">
        <v>5575</v>
      </c>
      <c r="AJ303" s="0" t="s">
        <v>240</v>
      </c>
      <c r="AK303" s="0" t="s">
        <v>240</v>
      </c>
      <c r="AL303" s="0" t="s">
        <v>240</v>
      </c>
      <c r="AM303" s="0" t="s">
        <v>240</v>
      </c>
      <c r="AN303" s="0" t="s">
        <v>240</v>
      </c>
      <c r="AO303" s="0" t="s">
        <v>240</v>
      </c>
      <c r="AP303" s="0" t="s">
        <v>240</v>
      </c>
      <c r="AQ303" s="0" t="s">
        <v>240</v>
      </c>
      <c r="AR303" s="0" t="s">
        <v>240</v>
      </c>
      <c r="AS303" s="0" t="s">
        <v>240</v>
      </c>
      <c r="AT303" s="0" t="s">
        <v>240</v>
      </c>
      <c r="AU303" s="0" t="s">
        <v>240</v>
      </c>
      <c r="AV303" s="0" t="s">
        <v>240</v>
      </c>
      <c r="AW303" s="0" t="s">
        <v>240</v>
      </c>
      <c r="AX303" s="0" t="s">
        <v>240</v>
      </c>
      <c r="AY303" s="0" t="s">
        <v>240</v>
      </c>
      <c r="AZ303" s="0" t="s">
        <v>240</v>
      </c>
      <c r="BA303" s="0" t="s">
        <v>240</v>
      </c>
      <c r="BB303" s="0" t="s">
        <v>240</v>
      </c>
      <c r="BC303" s="0" t="s">
        <v>240</v>
      </c>
      <c r="BD303" s="0" t="s">
        <v>240</v>
      </c>
      <c r="BE303" s="0" t="s">
        <v>5504</v>
      </c>
      <c r="BF303" s="0" t="s">
        <v>6653</v>
      </c>
      <c r="BG303" s="0" t="s">
        <v>112</v>
      </c>
      <c r="BH303" s="0" t="s">
        <v>5589</v>
      </c>
      <c r="BI303" s="0" t="s">
        <v>123</v>
      </c>
      <c r="BJ303" s="0" t="s">
        <v>240</v>
      </c>
      <c r="BK303" s="0" t="s">
        <v>5608</v>
      </c>
      <c r="BL303" s="0" t="s">
        <v>2991</v>
      </c>
      <c r="BM303" s="0" t="s">
        <v>2991</v>
      </c>
      <c r="BN303" s="0" t="s">
        <v>5663</v>
      </c>
      <c r="BO303" s="0" t="s">
        <v>6394</v>
      </c>
      <c r="BP303" s="0" t="s">
        <v>6859</v>
      </c>
      <c r="BQ303" s="0" t="s">
        <v>5575</v>
      </c>
      <c r="BR303" s="0" t="s">
        <v>5575</v>
      </c>
      <c r="BS303" s="0" t="s">
        <v>240</v>
      </c>
      <c r="BT303" s="0" t="s">
        <v>5650</v>
      </c>
      <c r="BU303" s="0" t="s">
        <v>6860</v>
      </c>
      <c r="BV303" s="0" t="s">
        <v>6860</v>
      </c>
      <c r="BW303" s="0" t="s">
        <v>5598</v>
      </c>
      <c r="BX303" s="0" t="s">
        <v>5598</v>
      </c>
      <c r="BY303" s="0" t="s">
        <v>5598</v>
      </c>
      <c r="BZ303" s="0" t="s">
        <v>5598</v>
      </c>
      <c r="CA303" s="0" t="s">
        <v>5598</v>
      </c>
      <c r="CB303" s="0" t="s">
        <v>240</v>
      </c>
      <c r="CC303" s="0" t="s">
        <v>240</v>
      </c>
      <c r="CD303" s="0" t="s">
        <v>240</v>
      </c>
      <c r="CE303" s="0" t="s">
        <v>240</v>
      </c>
      <c r="CF303" s="0" t="s">
        <v>240</v>
      </c>
      <c r="CG303" s="0" t="s">
        <v>5598</v>
      </c>
      <c r="CH303" s="0" t="s">
        <v>240</v>
      </c>
      <c r="CI303" s="0" t="s">
        <v>240</v>
      </c>
      <c r="CJ303" s="0" t="s">
        <v>240</v>
      </c>
      <c r="CK303" s="0" t="s">
        <v>240</v>
      </c>
      <c r="CL303" s="0" t="s">
        <v>240</v>
      </c>
      <c r="CM303" s="0" t="s">
        <v>6860</v>
      </c>
      <c r="CN303" s="0" t="s">
        <v>6860</v>
      </c>
      <c r="CO303" s="0" t="s">
        <v>240</v>
      </c>
      <c r="CP303" s="0" t="s">
        <v>240</v>
      </c>
      <c r="CQ303" s="0" t="s">
        <v>240</v>
      </c>
      <c r="CR303" s="0" t="s">
        <v>240</v>
      </c>
      <c r="CS303" s="0" t="s">
        <v>5666</v>
      </c>
      <c r="CT303" s="0" t="s">
        <v>5496</v>
      </c>
      <c r="CU303" s="0" t="s">
        <v>5497</v>
      </c>
      <c r="CV303" s="0" t="s">
        <v>443</v>
      </c>
      <c r="CW303" s="0" t="s">
        <v>5547</v>
      </c>
      <c r="CX303" s="0" t="s">
        <v>229</v>
      </c>
      <c r="CY303" s="0" t="s">
        <v>443</v>
      </c>
      <c r="CZ303" s="0" t="s">
        <v>5548</v>
      </c>
      <c r="DA303" s="0" t="s">
        <v>5549</v>
      </c>
      <c r="DB303" s="0" t="s">
        <v>5547</v>
      </c>
      <c r="DC303" s="0" t="s">
        <v>384</v>
      </c>
      <c r="DD303" s="0" t="s">
        <v>291</v>
      </c>
      <c r="DE303" s="0" t="s">
        <v>6861</v>
      </c>
    </row>
    <row customHeight="1" ht="11.25">
      <c r="A304" s="1441" t="s">
        <v>240</v>
      </c>
      <c r="B304" s="0" t="s">
        <v>240</v>
      </c>
      <c r="C304" s="0" t="s">
        <v>240</v>
      </c>
      <c r="D304" s="0" t="s">
        <v>240</v>
      </c>
      <c r="E304" s="0" t="s">
        <v>240</v>
      </c>
      <c r="F304" s="0" t="s">
        <v>240</v>
      </c>
      <c r="G304" s="0" t="s">
        <v>240</v>
      </c>
      <c r="H304" s="0" t="s">
        <v>240</v>
      </c>
      <c r="I304" s="0" t="s">
        <v>5484</v>
      </c>
      <c r="J304" s="0" t="s">
        <v>240</v>
      </c>
      <c r="K304" s="0" t="s">
        <v>240</v>
      </c>
      <c r="L304" s="0" t="s">
        <v>240</v>
      </c>
      <c r="M304" s="0" t="s">
        <v>240</v>
      </c>
      <c r="N304" s="0" t="s">
        <v>240</v>
      </c>
      <c r="O304" s="0" t="s">
        <v>240</v>
      </c>
      <c r="P304" s="0" t="s">
        <v>240</v>
      </c>
      <c r="Q304" s="0" t="s">
        <v>240</v>
      </c>
      <c r="R304" s="0" t="s">
        <v>6862</v>
      </c>
      <c r="S304" s="0" t="s">
        <v>240</v>
      </c>
      <c r="T304" s="0" t="s">
        <v>240</v>
      </c>
      <c r="U304" s="0" t="s">
        <v>102</v>
      </c>
      <c r="V304" s="0" t="s">
        <v>240</v>
      </c>
      <c r="W304" s="0" t="s">
        <v>240</v>
      </c>
      <c r="X304" s="0" t="s">
        <v>5485</v>
      </c>
      <c r="Y304" s="0" t="s">
        <v>240</v>
      </c>
      <c r="Z304" s="0" t="s">
        <v>161</v>
      </c>
      <c r="AA304" s="0" t="s">
        <v>152</v>
      </c>
      <c r="AB304" s="0" t="s">
        <v>152</v>
      </c>
      <c r="AC304" s="0" t="s">
        <v>3389</v>
      </c>
      <c r="AD304" s="0" t="s">
        <v>3389</v>
      </c>
      <c r="AE304" s="0" t="s">
        <v>3390</v>
      </c>
      <c r="AF304" s="0" t="s">
        <v>5519</v>
      </c>
      <c r="AG304" s="0" t="s">
        <v>5520</v>
      </c>
      <c r="AH304" s="0" t="s">
        <v>6863</v>
      </c>
      <c r="AI304" s="0" t="s">
        <v>6864</v>
      </c>
      <c r="AJ304" s="0" t="s">
        <v>5903</v>
      </c>
      <c r="AK304" s="0" t="s">
        <v>5598</v>
      </c>
      <c r="AL304" s="0" t="s">
        <v>5524</v>
      </c>
      <c r="AM304" s="0" t="s">
        <v>5493</v>
      </c>
      <c r="AN304" s="0" t="s">
        <v>6865</v>
      </c>
      <c r="AO304" s="0" t="s">
        <v>6866</v>
      </c>
      <c r="AP304" s="0" t="s">
        <v>240</v>
      </c>
      <c r="AQ304" s="0" t="s">
        <v>240</v>
      </c>
      <c r="AR304" s="0" t="s">
        <v>240</v>
      </c>
      <c r="AS304" s="0" t="s">
        <v>240</v>
      </c>
      <c r="AT304" s="0" t="s">
        <v>240</v>
      </c>
      <c r="AU304" s="0" t="s">
        <v>240</v>
      </c>
      <c r="AV304" s="0" t="s">
        <v>240</v>
      </c>
      <c r="AW304" s="0" t="s">
        <v>240</v>
      </c>
      <c r="AX304" s="0" t="s">
        <v>240</v>
      </c>
      <c r="AY304" s="0" t="s">
        <v>240</v>
      </c>
      <c r="AZ304" s="0" t="s">
        <v>240</v>
      </c>
      <c r="BA304" s="0" t="s">
        <v>240</v>
      </c>
      <c r="BB304" s="0" t="s">
        <v>240</v>
      </c>
      <c r="BC304" s="0" t="s">
        <v>240</v>
      </c>
      <c r="BD304" s="0" t="s">
        <v>240</v>
      </c>
      <c r="BE304" s="0" t="s">
        <v>240</v>
      </c>
      <c r="BF304" s="0" t="s">
        <v>240</v>
      </c>
      <c r="BG304" s="0" t="s">
        <v>240</v>
      </c>
      <c r="BH304" s="0" t="s">
        <v>240</v>
      </c>
      <c r="BI304" s="0" t="s">
        <v>240</v>
      </c>
      <c r="BJ304" s="0" t="s">
        <v>240</v>
      </c>
      <c r="BK304" s="0" t="s">
        <v>240</v>
      </c>
      <c r="BL304" s="0" t="s">
        <v>240</v>
      </c>
      <c r="BM304" s="0" t="s">
        <v>240</v>
      </c>
      <c r="BN304" s="0" t="s">
        <v>240</v>
      </c>
      <c r="BO304" s="0" t="s">
        <v>240</v>
      </c>
      <c r="BP304" s="0" t="s">
        <v>240</v>
      </c>
      <c r="BQ304" s="0" t="s">
        <v>240</v>
      </c>
      <c r="BR304" s="0" t="s">
        <v>240</v>
      </c>
      <c r="BS304" s="0" t="s">
        <v>240</v>
      </c>
      <c r="BT304" s="0" t="s">
        <v>240</v>
      </c>
      <c r="BU304" s="0" t="s">
        <v>240</v>
      </c>
      <c r="BV304" s="0" t="s">
        <v>240</v>
      </c>
      <c r="BW304" s="0" t="s">
        <v>240</v>
      </c>
      <c r="BX304" s="0" t="s">
        <v>240</v>
      </c>
      <c r="BY304" s="0" t="s">
        <v>240</v>
      </c>
      <c r="BZ304" s="0" t="s">
        <v>240</v>
      </c>
      <c r="CA304" s="0" t="s">
        <v>240</v>
      </c>
      <c r="CB304" s="0" t="s">
        <v>240</v>
      </c>
      <c r="CC304" s="0" t="s">
        <v>240</v>
      </c>
      <c r="CD304" s="0" t="s">
        <v>240</v>
      </c>
      <c r="CE304" s="0" t="s">
        <v>240</v>
      </c>
      <c r="CF304" s="0" t="s">
        <v>240</v>
      </c>
      <c r="CG304" s="0" t="s">
        <v>240</v>
      </c>
      <c r="CH304" s="0" t="s">
        <v>240</v>
      </c>
      <c r="CI304" s="0" t="s">
        <v>240</v>
      </c>
      <c r="CJ304" s="0" t="s">
        <v>240</v>
      </c>
      <c r="CK304" s="0" t="s">
        <v>240</v>
      </c>
      <c r="CL304" s="0" t="s">
        <v>240</v>
      </c>
      <c r="CM304" s="0" t="s">
        <v>240</v>
      </c>
      <c r="CN304" s="0" t="s">
        <v>240</v>
      </c>
      <c r="CO304" s="0" t="s">
        <v>240</v>
      </c>
      <c r="CP304" s="0" t="s">
        <v>240</v>
      </c>
      <c r="CQ304" s="0" t="s">
        <v>240</v>
      </c>
      <c r="CR304" s="0" t="s">
        <v>240</v>
      </c>
      <c r="CS304" s="0" t="s">
        <v>240</v>
      </c>
      <c r="CT304" s="0" t="s">
        <v>5496</v>
      </c>
      <c r="CU304" s="0" t="s">
        <v>5497</v>
      </c>
      <c r="CV304" s="0" t="s">
        <v>443</v>
      </c>
      <c r="CW304" s="0" t="s">
        <v>5527</v>
      </c>
      <c r="CX304" s="0" t="s">
        <v>5528</v>
      </c>
      <c r="CY304" s="0" t="s">
        <v>443</v>
      </c>
      <c r="CZ304" s="0" t="s">
        <v>299</v>
      </c>
      <c r="DA304" s="0" t="s">
        <v>5529</v>
      </c>
      <c r="DB304" s="0" t="s">
        <v>5527</v>
      </c>
      <c r="DC304" s="0" t="s">
        <v>384</v>
      </c>
      <c r="DD304" s="0" t="s">
        <v>291</v>
      </c>
      <c r="DE304" s="0" t="s">
        <v>6867</v>
      </c>
    </row>
    <row customHeight="1" ht="11.25">
      <c r="A305" s="1441" t="s">
        <v>240</v>
      </c>
      <c r="B305" s="0" t="s">
        <v>240</v>
      </c>
      <c r="C305" s="0" t="s">
        <v>240</v>
      </c>
      <c r="D305" s="0" t="s">
        <v>240</v>
      </c>
      <c r="E305" s="0" t="s">
        <v>240</v>
      </c>
      <c r="F305" s="0" t="s">
        <v>240</v>
      </c>
      <c r="G305" s="0" t="s">
        <v>240</v>
      </c>
      <c r="H305" s="0" t="s">
        <v>240</v>
      </c>
      <c r="I305" s="0" t="s">
        <v>5484</v>
      </c>
      <c r="J305" s="0" t="s">
        <v>240</v>
      </c>
      <c r="K305" s="0" t="s">
        <v>240</v>
      </c>
      <c r="L305" s="0" t="s">
        <v>240</v>
      </c>
      <c r="M305" s="0" t="s">
        <v>240</v>
      </c>
      <c r="N305" s="0" t="s">
        <v>240</v>
      </c>
      <c r="O305" s="0" t="s">
        <v>240</v>
      </c>
      <c r="P305" s="0" t="s">
        <v>240</v>
      </c>
      <c r="Q305" s="0" t="s">
        <v>240</v>
      </c>
      <c r="R305" s="0" t="s">
        <v>5572</v>
      </c>
      <c r="S305" s="0" t="s">
        <v>240</v>
      </c>
      <c r="T305" s="0" t="s">
        <v>240</v>
      </c>
      <c r="U305" s="0" t="s">
        <v>102</v>
      </c>
      <c r="V305" s="0" t="s">
        <v>240</v>
      </c>
      <c r="W305" s="0" t="s">
        <v>240</v>
      </c>
      <c r="X305" s="0" t="s">
        <v>5485</v>
      </c>
      <c r="Y305" s="0" t="s">
        <v>240</v>
      </c>
      <c r="Z305" s="0" t="s">
        <v>161</v>
      </c>
      <c r="AA305" s="0" t="s">
        <v>152</v>
      </c>
      <c r="AB305" s="0" t="s">
        <v>152</v>
      </c>
      <c r="AC305" s="0" t="s">
        <v>2991</v>
      </c>
      <c r="AD305" s="0" t="s">
        <v>2991</v>
      </c>
      <c r="AE305" s="0" t="s">
        <v>2992</v>
      </c>
      <c r="AF305" s="0" t="s">
        <v>5682</v>
      </c>
      <c r="AG305" s="0" t="s">
        <v>5683</v>
      </c>
      <c r="AH305" s="0" t="s">
        <v>6868</v>
      </c>
      <c r="AI305" s="0" t="s">
        <v>6869</v>
      </c>
      <c r="AJ305" s="0" t="s">
        <v>6421</v>
      </c>
      <c r="AK305" s="0" t="s">
        <v>5672</v>
      </c>
      <c r="AL305" s="0" t="s">
        <v>5506</v>
      </c>
      <c r="AM305" s="0" t="s">
        <v>5493</v>
      </c>
      <c r="AN305" s="0" t="s">
        <v>5553</v>
      </c>
      <c r="AO305" s="0" t="s">
        <v>5636</v>
      </c>
      <c r="AP305" s="0" t="s">
        <v>240</v>
      </c>
      <c r="AQ305" s="0" t="s">
        <v>240</v>
      </c>
      <c r="AR305" s="0" t="s">
        <v>240</v>
      </c>
      <c r="AS305" s="0" t="s">
        <v>240</v>
      </c>
      <c r="AT305" s="0" t="s">
        <v>240</v>
      </c>
      <c r="AU305" s="0" t="s">
        <v>240</v>
      </c>
      <c r="AV305" s="0" t="s">
        <v>240</v>
      </c>
      <c r="AW305" s="0" t="s">
        <v>240</v>
      </c>
      <c r="AX305" s="0" t="s">
        <v>240</v>
      </c>
      <c r="AY305" s="0" t="s">
        <v>240</v>
      </c>
      <c r="AZ305" s="0" t="s">
        <v>240</v>
      </c>
      <c r="BA305" s="0" t="s">
        <v>240</v>
      </c>
      <c r="BB305" s="0" t="s">
        <v>240</v>
      </c>
      <c r="BC305" s="0" t="s">
        <v>240</v>
      </c>
      <c r="BD305" s="0" t="s">
        <v>240</v>
      </c>
      <c r="BE305" s="0" t="s">
        <v>240</v>
      </c>
      <c r="BF305" s="0" t="s">
        <v>240</v>
      </c>
      <c r="BG305" s="0" t="s">
        <v>240</v>
      </c>
      <c r="BH305" s="0" t="s">
        <v>240</v>
      </c>
      <c r="BI305" s="0" t="s">
        <v>240</v>
      </c>
      <c r="BJ305" s="0" t="s">
        <v>240</v>
      </c>
      <c r="BK305" s="0" t="s">
        <v>240</v>
      </c>
      <c r="BL305" s="0" t="s">
        <v>240</v>
      </c>
      <c r="BM305" s="0" t="s">
        <v>240</v>
      </c>
      <c r="BN305" s="0" t="s">
        <v>240</v>
      </c>
      <c r="BO305" s="0" t="s">
        <v>240</v>
      </c>
      <c r="BP305" s="0" t="s">
        <v>240</v>
      </c>
      <c r="BQ305" s="0" t="s">
        <v>240</v>
      </c>
      <c r="BR305" s="0" t="s">
        <v>240</v>
      </c>
      <c r="BS305" s="0" t="s">
        <v>240</v>
      </c>
      <c r="BT305" s="0" t="s">
        <v>240</v>
      </c>
      <c r="BU305" s="0" t="s">
        <v>240</v>
      </c>
      <c r="BV305" s="0" t="s">
        <v>240</v>
      </c>
      <c r="BW305" s="0" t="s">
        <v>240</v>
      </c>
      <c r="BX305" s="0" t="s">
        <v>240</v>
      </c>
      <c r="BY305" s="0" t="s">
        <v>240</v>
      </c>
      <c r="BZ305" s="0" t="s">
        <v>240</v>
      </c>
      <c r="CA305" s="0" t="s">
        <v>240</v>
      </c>
      <c r="CB305" s="0" t="s">
        <v>240</v>
      </c>
      <c r="CC305" s="0" t="s">
        <v>240</v>
      </c>
      <c r="CD305" s="0" t="s">
        <v>240</v>
      </c>
      <c r="CE305" s="0" t="s">
        <v>240</v>
      </c>
      <c r="CF305" s="0" t="s">
        <v>240</v>
      </c>
      <c r="CG305" s="0" t="s">
        <v>240</v>
      </c>
      <c r="CH305" s="0" t="s">
        <v>240</v>
      </c>
      <c r="CI305" s="0" t="s">
        <v>240</v>
      </c>
      <c r="CJ305" s="0" t="s">
        <v>240</v>
      </c>
      <c r="CK305" s="0" t="s">
        <v>240</v>
      </c>
      <c r="CL305" s="0" t="s">
        <v>240</v>
      </c>
      <c r="CM305" s="0" t="s">
        <v>240</v>
      </c>
      <c r="CN305" s="0" t="s">
        <v>240</v>
      </c>
      <c r="CO305" s="0" t="s">
        <v>240</v>
      </c>
      <c r="CP305" s="0" t="s">
        <v>240</v>
      </c>
      <c r="CQ305" s="0" t="s">
        <v>240</v>
      </c>
      <c r="CR305" s="0" t="s">
        <v>240</v>
      </c>
      <c r="CS305" s="0" t="s">
        <v>240</v>
      </c>
      <c r="CT305" s="0" t="s">
        <v>5496</v>
      </c>
      <c r="CU305" s="0" t="s">
        <v>5497</v>
      </c>
      <c r="CV305" s="0" t="s">
        <v>443</v>
      </c>
      <c r="CW305" s="0" t="s">
        <v>5547</v>
      </c>
      <c r="CX305" s="0" t="s">
        <v>229</v>
      </c>
      <c r="CY305" s="0" t="s">
        <v>443</v>
      </c>
      <c r="CZ305" s="0" t="s">
        <v>5548</v>
      </c>
      <c r="DA305" s="0" t="s">
        <v>5549</v>
      </c>
      <c r="DB305" s="0" t="s">
        <v>5547</v>
      </c>
      <c r="DC305" s="0" t="s">
        <v>384</v>
      </c>
      <c r="DD305" s="0" t="s">
        <v>291</v>
      </c>
      <c r="DE305" s="0" t="s">
        <v>6870</v>
      </c>
    </row>
    <row customHeight="1" ht="11.25">
      <c r="A306" s="1441" t="s">
        <v>240</v>
      </c>
      <c r="B306" s="0" t="s">
        <v>240</v>
      </c>
      <c r="C306" s="0" t="s">
        <v>240</v>
      </c>
      <c r="D306" s="0" t="s">
        <v>240</v>
      </c>
      <c r="E306" s="0" t="s">
        <v>240</v>
      </c>
      <c r="F306" s="0" t="s">
        <v>240</v>
      </c>
      <c r="G306" s="0" t="s">
        <v>240</v>
      </c>
      <c r="H306" s="0" t="s">
        <v>240</v>
      </c>
      <c r="I306" s="0" t="s">
        <v>5484</v>
      </c>
      <c r="J306" s="0" t="s">
        <v>240</v>
      </c>
      <c r="K306" s="0" t="s">
        <v>240</v>
      </c>
      <c r="L306" s="0" t="s">
        <v>240</v>
      </c>
      <c r="M306" s="0" t="s">
        <v>240</v>
      </c>
      <c r="N306" s="0" t="s">
        <v>240</v>
      </c>
      <c r="O306" s="0" t="s">
        <v>240</v>
      </c>
      <c r="P306" s="0" t="s">
        <v>240</v>
      </c>
      <c r="Q306" s="0" t="s">
        <v>240</v>
      </c>
      <c r="R306" s="0" t="s">
        <v>6871</v>
      </c>
      <c r="S306" s="0" t="s">
        <v>240</v>
      </c>
      <c r="T306" s="0" t="s">
        <v>240</v>
      </c>
      <c r="U306" s="0" t="s">
        <v>102</v>
      </c>
      <c r="V306" s="0" t="s">
        <v>240</v>
      </c>
      <c r="W306" s="0" t="s">
        <v>240</v>
      </c>
      <c r="X306" s="0" t="s">
        <v>5585</v>
      </c>
      <c r="Y306" s="0" t="s">
        <v>240</v>
      </c>
      <c r="Z306" s="0" t="s">
        <v>152</v>
      </c>
      <c r="AA306" s="0" t="s">
        <v>152</v>
      </c>
      <c r="AB306" s="0" t="s">
        <v>161</v>
      </c>
      <c r="AC306" s="0" t="s">
        <v>2989</v>
      </c>
      <c r="AD306" s="0" t="s">
        <v>2989</v>
      </c>
      <c r="AE306" s="0" t="s">
        <v>2990</v>
      </c>
      <c r="AF306" s="0" t="s">
        <v>6689</v>
      </c>
      <c r="AG306" s="0" t="s">
        <v>6690</v>
      </c>
      <c r="AH306" s="0" t="s">
        <v>5575</v>
      </c>
      <c r="AI306" s="0" t="s">
        <v>5575</v>
      </c>
      <c r="AJ306" s="0" t="s">
        <v>240</v>
      </c>
      <c r="AK306" s="0" t="s">
        <v>240</v>
      </c>
      <c r="AL306" s="0" t="s">
        <v>240</v>
      </c>
      <c r="AM306" s="0" t="s">
        <v>240</v>
      </c>
      <c r="AN306" s="0" t="s">
        <v>240</v>
      </c>
      <c r="AO306" s="0" t="s">
        <v>240</v>
      </c>
      <c r="AP306" s="0" t="s">
        <v>240</v>
      </c>
      <c r="AQ306" s="0" t="s">
        <v>240</v>
      </c>
      <c r="AR306" s="0" t="s">
        <v>240</v>
      </c>
      <c r="AS306" s="0" t="s">
        <v>240</v>
      </c>
      <c r="AT306" s="0" t="s">
        <v>240</v>
      </c>
      <c r="AU306" s="0" t="s">
        <v>240</v>
      </c>
      <c r="AV306" s="0" t="s">
        <v>240</v>
      </c>
      <c r="AW306" s="0" t="s">
        <v>240</v>
      </c>
      <c r="AX306" s="0" t="s">
        <v>240</v>
      </c>
      <c r="AY306" s="0" t="s">
        <v>240</v>
      </c>
      <c r="AZ306" s="0" t="s">
        <v>240</v>
      </c>
      <c r="BA306" s="0" t="s">
        <v>240</v>
      </c>
      <c r="BB306" s="0" t="s">
        <v>240</v>
      </c>
      <c r="BC306" s="0" t="s">
        <v>240</v>
      </c>
      <c r="BD306" s="0" t="s">
        <v>240</v>
      </c>
      <c r="BE306" s="0" t="s">
        <v>5576</v>
      </c>
      <c r="BF306" s="0" t="s">
        <v>6692</v>
      </c>
      <c r="BG306" s="0" t="s">
        <v>112</v>
      </c>
      <c r="BH306" s="0" t="s">
        <v>5589</v>
      </c>
      <c r="BI306" s="0" t="s">
        <v>123</v>
      </c>
      <c r="BJ306" s="0" t="s">
        <v>240</v>
      </c>
      <c r="BK306" s="0" t="s">
        <v>5608</v>
      </c>
      <c r="BL306" s="0" t="s">
        <v>2989</v>
      </c>
      <c r="BM306" s="0" t="s">
        <v>2989</v>
      </c>
      <c r="BN306" s="0" t="s">
        <v>5798</v>
      </c>
      <c r="BO306" s="0" t="s">
        <v>6689</v>
      </c>
      <c r="BP306" s="0" t="s">
        <v>6872</v>
      </c>
      <c r="BQ306" s="0" t="s">
        <v>5575</v>
      </c>
      <c r="BR306" s="0" t="s">
        <v>5575</v>
      </c>
      <c r="BS306" s="0" t="s">
        <v>240</v>
      </c>
      <c r="BT306" s="0" t="s">
        <v>5650</v>
      </c>
      <c r="BU306" s="0" t="s">
        <v>6873</v>
      </c>
      <c r="BV306" s="0" t="s">
        <v>6873</v>
      </c>
      <c r="BW306" s="0" t="s">
        <v>5598</v>
      </c>
      <c r="BX306" s="0" t="s">
        <v>5598</v>
      </c>
      <c r="BY306" s="0" t="s">
        <v>5598</v>
      </c>
      <c r="BZ306" s="0" t="s">
        <v>5598</v>
      </c>
      <c r="CA306" s="0" t="s">
        <v>5598</v>
      </c>
      <c r="CB306" s="0" t="s">
        <v>240</v>
      </c>
      <c r="CC306" s="0" t="s">
        <v>240</v>
      </c>
      <c r="CD306" s="0" t="s">
        <v>240</v>
      </c>
      <c r="CE306" s="0" t="s">
        <v>240</v>
      </c>
      <c r="CF306" s="0" t="s">
        <v>240</v>
      </c>
      <c r="CG306" s="0" t="s">
        <v>5598</v>
      </c>
      <c r="CH306" s="0" t="s">
        <v>240</v>
      </c>
      <c r="CI306" s="0" t="s">
        <v>240</v>
      </c>
      <c r="CJ306" s="0" t="s">
        <v>240</v>
      </c>
      <c r="CK306" s="0" t="s">
        <v>240</v>
      </c>
      <c r="CL306" s="0" t="s">
        <v>240</v>
      </c>
      <c r="CM306" s="0" t="s">
        <v>6873</v>
      </c>
      <c r="CN306" s="0" t="s">
        <v>6873</v>
      </c>
      <c r="CO306" s="0" t="s">
        <v>240</v>
      </c>
      <c r="CP306" s="0" t="s">
        <v>240</v>
      </c>
      <c r="CQ306" s="0" t="s">
        <v>240</v>
      </c>
      <c r="CR306" s="0" t="s">
        <v>240</v>
      </c>
      <c r="CS306" s="0" t="s">
        <v>5578</v>
      </c>
      <c r="CT306" s="0" t="s">
        <v>5496</v>
      </c>
      <c r="CU306" s="0" t="s">
        <v>5497</v>
      </c>
      <c r="CV306" s="0" t="s">
        <v>443</v>
      </c>
      <c r="CW306" s="0" t="s">
        <v>5580</v>
      </c>
      <c r="CX306" s="0" t="s">
        <v>229</v>
      </c>
      <c r="CY306" s="0" t="s">
        <v>443</v>
      </c>
      <c r="CZ306" s="0" t="s">
        <v>5581</v>
      </c>
      <c r="DA306" s="0" t="s">
        <v>5582</v>
      </c>
      <c r="DB306" s="0" t="s">
        <v>5580</v>
      </c>
      <c r="DC306" s="0" t="s">
        <v>384</v>
      </c>
      <c r="DD306" s="0" t="s">
        <v>291</v>
      </c>
      <c r="DE306" s="0" t="s">
        <v>6874</v>
      </c>
    </row>
    <row customHeight="1" ht="11.25">
      <c r="A307" s="1441" t="s">
        <v>240</v>
      </c>
      <c r="B307" s="0" t="s">
        <v>240</v>
      </c>
      <c r="C307" s="0" t="s">
        <v>240</v>
      </c>
      <c r="D307" s="0" t="s">
        <v>240</v>
      </c>
      <c r="E307" s="0" t="s">
        <v>240</v>
      </c>
      <c r="F307" s="0" t="s">
        <v>240</v>
      </c>
      <c r="G307" s="0" t="s">
        <v>240</v>
      </c>
      <c r="H307" s="0" t="s">
        <v>240</v>
      </c>
      <c r="I307" s="0" t="s">
        <v>5484</v>
      </c>
      <c r="J307" s="0" t="s">
        <v>240</v>
      </c>
      <c r="K307" s="0" t="s">
        <v>240</v>
      </c>
      <c r="L307" s="0" t="s">
        <v>240</v>
      </c>
      <c r="M307" s="0" t="s">
        <v>240</v>
      </c>
      <c r="N307" s="0" t="s">
        <v>240</v>
      </c>
      <c r="O307" s="0" t="s">
        <v>240</v>
      </c>
      <c r="P307" s="0" t="s">
        <v>240</v>
      </c>
      <c r="Q307" s="0" t="s">
        <v>240</v>
      </c>
      <c r="R307" s="0" t="s">
        <v>481</v>
      </c>
      <c r="S307" s="0" t="s">
        <v>240</v>
      </c>
      <c r="T307" s="0" t="s">
        <v>240</v>
      </c>
      <c r="U307" s="0" t="s">
        <v>102</v>
      </c>
      <c r="V307" s="0" t="s">
        <v>240</v>
      </c>
      <c r="W307" s="0" t="s">
        <v>240</v>
      </c>
      <c r="X307" s="0" t="s">
        <v>5485</v>
      </c>
      <c r="Y307" s="0" t="s">
        <v>240</v>
      </c>
      <c r="Z307" s="0" t="s">
        <v>161</v>
      </c>
      <c r="AA307" s="0" t="s">
        <v>152</v>
      </c>
      <c r="AB307" s="0" t="s">
        <v>152</v>
      </c>
      <c r="AC307" s="0" t="s">
        <v>364</v>
      </c>
      <c r="AD307" s="0" t="s">
        <v>364</v>
      </c>
      <c r="AE307" s="0" t="s">
        <v>365</v>
      </c>
      <c r="AF307" s="0" t="s">
        <v>6806</v>
      </c>
      <c r="AG307" s="0" t="s">
        <v>6807</v>
      </c>
      <c r="AH307" s="0" t="s">
        <v>6875</v>
      </c>
      <c r="AI307" s="0" t="s">
        <v>6876</v>
      </c>
      <c r="AJ307" s="0" t="s">
        <v>6877</v>
      </c>
      <c r="AK307" s="0" t="s">
        <v>6878</v>
      </c>
      <c r="AL307" s="0" t="s">
        <v>5570</v>
      </c>
      <c r="AM307" s="0" t="s">
        <v>5493</v>
      </c>
      <c r="AN307" s="0" t="s">
        <v>5507</v>
      </c>
      <c r="AO307" s="0" t="s">
        <v>5746</v>
      </c>
      <c r="AP307" s="0" t="s">
        <v>240</v>
      </c>
      <c r="AQ307" s="0" t="s">
        <v>240</v>
      </c>
      <c r="AR307" s="0" t="s">
        <v>240</v>
      </c>
      <c r="AS307" s="0" t="s">
        <v>240</v>
      </c>
      <c r="AT307" s="0" t="s">
        <v>240</v>
      </c>
      <c r="AU307" s="0" t="s">
        <v>240</v>
      </c>
      <c r="AV307" s="0" t="s">
        <v>240</v>
      </c>
      <c r="AW307" s="0" t="s">
        <v>240</v>
      </c>
      <c r="AX307" s="0" t="s">
        <v>240</v>
      </c>
      <c r="AY307" s="0" t="s">
        <v>240</v>
      </c>
      <c r="AZ307" s="0" t="s">
        <v>240</v>
      </c>
      <c r="BA307" s="0" t="s">
        <v>240</v>
      </c>
      <c r="BB307" s="0" t="s">
        <v>240</v>
      </c>
      <c r="BC307" s="0" t="s">
        <v>240</v>
      </c>
      <c r="BD307" s="0" t="s">
        <v>240</v>
      </c>
      <c r="BE307" s="0" t="s">
        <v>240</v>
      </c>
      <c r="BF307" s="0" t="s">
        <v>240</v>
      </c>
      <c r="BG307" s="0" t="s">
        <v>240</v>
      </c>
      <c r="BH307" s="0" t="s">
        <v>240</v>
      </c>
      <c r="BI307" s="0" t="s">
        <v>240</v>
      </c>
      <c r="BJ307" s="0" t="s">
        <v>240</v>
      </c>
      <c r="BK307" s="0" t="s">
        <v>240</v>
      </c>
      <c r="BL307" s="0" t="s">
        <v>240</v>
      </c>
      <c r="BM307" s="0" t="s">
        <v>240</v>
      </c>
      <c r="BN307" s="0" t="s">
        <v>240</v>
      </c>
      <c r="BO307" s="0" t="s">
        <v>240</v>
      </c>
      <c r="BP307" s="0" t="s">
        <v>240</v>
      </c>
      <c r="BQ307" s="0" t="s">
        <v>240</v>
      </c>
      <c r="BR307" s="0" t="s">
        <v>240</v>
      </c>
      <c r="BS307" s="0" t="s">
        <v>240</v>
      </c>
      <c r="BT307" s="0" t="s">
        <v>240</v>
      </c>
      <c r="BU307" s="0" t="s">
        <v>240</v>
      </c>
      <c r="BV307" s="0" t="s">
        <v>240</v>
      </c>
      <c r="BW307" s="0" t="s">
        <v>240</v>
      </c>
      <c r="BX307" s="0" t="s">
        <v>240</v>
      </c>
      <c r="BY307" s="0" t="s">
        <v>240</v>
      </c>
      <c r="BZ307" s="0" t="s">
        <v>240</v>
      </c>
      <c r="CA307" s="0" t="s">
        <v>240</v>
      </c>
      <c r="CB307" s="0" t="s">
        <v>240</v>
      </c>
      <c r="CC307" s="0" t="s">
        <v>240</v>
      </c>
      <c r="CD307" s="0" t="s">
        <v>240</v>
      </c>
      <c r="CE307" s="0" t="s">
        <v>240</v>
      </c>
      <c r="CF307" s="0" t="s">
        <v>240</v>
      </c>
      <c r="CG307" s="0" t="s">
        <v>240</v>
      </c>
      <c r="CH307" s="0" t="s">
        <v>240</v>
      </c>
      <c r="CI307" s="0" t="s">
        <v>240</v>
      </c>
      <c r="CJ307" s="0" t="s">
        <v>240</v>
      </c>
      <c r="CK307" s="0" t="s">
        <v>240</v>
      </c>
      <c r="CL307" s="0" t="s">
        <v>240</v>
      </c>
      <c r="CM307" s="0" t="s">
        <v>240</v>
      </c>
      <c r="CN307" s="0" t="s">
        <v>240</v>
      </c>
      <c r="CO307" s="0" t="s">
        <v>240</v>
      </c>
      <c r="CP307" s="0" t="s">
        <v>240</v>
      </c>
      <c r="CQ307" s="0" t="s">
        <v>240</v>
      </c>
      <c r="CR307" s="0" t="s">
        <v>240</v>
      </c>
      <c r="CS307" s="0" t="s">
        <v>240</v>
      </c>
      <c r="CT307" s="0" t="s">
        <v>5496</v>
      </c>
      <c r="CU307" s="0" t="s">
        <v>5497</v>
      </c>
      <c r="CV307" s="0" t="s">
        <v>443</v>
      </c>
      <c r="CW307" s="0" t="s">
        <v>6818</v>
      </c>
      <c r="CX307" s="0" t="s">
        <v>229</v>
      </c>
      <c r="CY307" s="0" t="s">
        <v>443</v>
      </c>
      <c r="CZ307" s="0" t="s">
        <v>234</v>
      </c>
      <c r="DA307" s="0" t="s">
        <v>444</v>
      </c>
      <c r="DB307" s="0" t="s">
        <v>6818</v>
      </c>
      <c r="DC307" s="0" t="s">
        <v>384</v>
      </c>
      <c r="DD307" s="0" t="s">
        <v>291</v>
      </c>
      <c r="DE307" s="0" t="s">
        <v>482</v>
      </c>
    </row>
    <row customHeight="1" ht="11.25">
      <c r="A308" s="1441" t="s">
        <v>240</v>
      </c>
      <c r="B308" s="0" t="s">
        <v>240</v>
      </c>
      <c r="C308" s="0" t="s">
        <v>240</v>
      </c>
      <c r="D308" s="0" t="s">
        <v>240</v>
      </c>
      <c r="E308" s="0" t="s">
        <v>240</v>
      </c>
      <c r="F308" s="0" t="s">
        <v>240</v>
      </c>
      <c r="G308" s="0" t="s">
        <v>240</v>
      </c>
      <c r="H308" s="0" t="s">
        <v>240</v>
      </c>
      <c r="I308" s="0" t="s">
        <v>5484</v>
      </c>
      <c r="J308" s="0" t="s">
        <v>240</v>
      </c>
      <c r="K308" s="0" t="s">
        <v>240</v>
      </c>
      <c r="L308" s="0" t="s">
        <v>240</v>
      </c>
      <c r="M308" s="0" t="s">
        <v>240</v>
      </c>
      <c r="N308" s="0" t="s">
        <v>240</v>
      </c>
      <c r="O308" s="0" t="s">
        <v>240</v>
      </c>
      <c r="P308" s="0" t="s">
        <v>240</v>
      </c>
      <c r="Q308" s="0" t="s">
        <v>240</v>
      </c>
      <c r="R308" s="0" t="s">
        <v>6879</v>
      </c>
      <c r="S308" s="0" t="s">
        <v>240</v>
      </c>
      <c r="T308" s="0" t="s">
        <v>240</v>
      </c>
      <c r="U308" s="0" t="s">
        <v>102</v>
      </c>
      <c r="V308" s="0" t="s">
        <v>240</v>
      </c>
      <c r="W308" s="0" t="s">
        <v>240</v>
      </c>
      <c r="X308" s="0" t="s">
        <v>5485</v>
      </c>
      <c r="Y308" s="0" t="s">
        <v>240</v>
      </c>
      <c r="Z308" s="0" t="s">
        <v>161</v>
      </c>
      <c r="AA308" s="0" t="s">
        <v>152</v>
      </c>
      <c r="AB308" s="0" t="s">
        <v>152</v>
      </c>
      <c r="AC308" s="0" t="s">
        <v>364</v>
      </c>
      <c r="AD308" s="0" t="s">
        <v>364</v>
      </c>
      <c r="AE308" s="0" t="s">
        <v>365</v>
      </c>
      <c r="AF308" s="0" t="s">
        <v>6880</v>
      </c>
      <c r="AG308" s="0" t="s">
        <v>6881</v>
      </c>
      <c r="AH308" s="0" t="s">
        <v>6882</v>
      </c>
      <c r="AI308" s="0" t="s">
        <v>6883</v>
      </c>
      <c r="AJ308" s="0" t="s">
        <v>6884</v>
      </c>
      <c r="AK308" s="0" t="s">
        <v>6885</v>
      </c>
      <c r="AL308" s="0" t="s">
        <v>5570</v>
      </c>
      <c r="AM308" s="0" t="s">
        <v>5493</v>
      </c>
      <c r="AN308" s="0" t="s">
        <v>5507</v>
      </c>
      <c r="AO308" s="0" t="s">
        <v>5746</v>
      </c>
      <c r="AP308" s="0" t="s">
        <v>240</v>
      </c>
      <c r="AQ308" s="0" t="s">
        <v>240</v>
      </c>
      <c r="AR308" s="0" t="s">
        <v>240</v>
      </c>
      <c r="AS308" s="0" t="s">
        <v>240</v>
      </c>
      <c r="AT308" s="0" t="s">
        <v>240</v>
      </c>
      <c r="AU308" s="0" t="s">
        <v>240</v>
      </c>
      <c r="AV308" s="0" t="s">
        <v>240</v>
      </c>
      <c r="AW308" s="0" t="s">
        <v>240</v>
      </c>
      <c r="AX308" s="0" t="s">
        <v>240</v>
      </c>
      <c r="AY308" s="0" t="s">
        <v>240</v>
      </c>
      <c r="AZ308" s="0" t="s">
        <v>240</v>
      </c>
      <c r="BA308" s="0" t="s">
        <v>240</v>
      </c>
      <c r="BB308" s="0" t="s">
        <v>240</v>
      </c>
      <c r="BC308" s="0" t="s">
        <v>240</v>
      </c>
      <c r="BD308" s="0" t="s">
        <v>240</v>
      </c>
      <c r="BE308" s="0" t="s">
        <v>240</v>
      </c>
      <c r="BF308" s="0" t="s">
        <v>240</v>
      </c>
      <c r="BG308" s="0" t="s">
        <v>240</v>
      </c>
      <c r="BH308" s="0" t="s">
        <v>240</v>
      </c>
      <c r="BI308" s="0" t="s">
        <v>240</v>
      </c>
      <c r="BJ308" s="0" t="s">
        <v>240</v>
      </c>
      <c r="BK308" s="0" t="s">
        <v>240</v>
      </c>
      <c r="BL308" s="0" t="s">
        <v>240</v>
      </c>
      <c r="BM308" s="0" t="s">
        <v>240</v>
      </c>
      <c r="BN308" s="0" t="s">
        <v>240</v>
      </c>
      <c r="BO308" s="0" t="s">
        <v>240</v>
      </c>
      <c r="BP308" s="0" t="s">
        <v>240</v>
      </c>
      <c r="BQ308" s="0" t="s">
        <v>240</v>
      </c>
      <c r="BR308" s="0" t="s">
        <v>240</v>
      </c>
      <c r="BS308" s="0" t="s">
        <v>240</v>
      </c>
      <c r="BT308" s="0" t="s">
        <v>240</v>
      </c>
      <c r="BU308" s="0" t="s">
        <v>240</v>
      </c>
      <c r="BV308" s="0" t="s">
        <v>240</v>
      </c>
      <c r="BW308" s="0" t="s">
        <v>240</v>
      </c>
      <c r="BX308" s="0" t="s">
        <v>240</v>
      </c>
      <c r="BY308" s="0" t="s">
        <v>240</v>
      </c>
      <c r="BZ308" s="0" t="s">
        <v>240</v>
      </c>
      <c r="CA308" s="0" t="s">
        <v>240</v>
      </c>
      <c r="CB308" s="0" t="s">
        <v>240</v>
      </c>
      <c r="CC308" s="0" t="s">
        <v>240</v>
      </c>
      <c r="CD308" s="0" t="s">
        <v>240</v>
      </c>
      <c r="CE308" s="0" t="s">
        <v>240</v>
      </c>
      <c r="CF308" s="0" t="s">
        <v>240</v>
      </c>
      <c r="CG308" s="0" t="s">
        <v>240</v>
      </c>
      <c r="CH308" s="0" t="s">
        <v>240</v>
      </c>
      <c r="CI308" s="0" t="s">
        <v>240</v>
      </c>
      <c r="CJ308" s="0" t="s">
        <v>240</v>
      </c>
      <c r="CK308" s="0" t="s">
        <v>240</v>
      </c>
      <c r="CL308" s="0" t="s">
        <v>240</v>
      </c>
      <c r="CM308" s="0" t="s">
        <v>240</v>
      </c>
      <c r="CN308" s="0" t="s">
        <v>240</v>
      </c>
      <c r="CO308" s="0" t="s">
        <v>240</v>
      </c>
      <c r="CP308" s="0" t="s">
        <v>240</v>
      </c>
      <c r="CQ308" s="0" t="s">
        <v>240</v>
      </c>
      <c r="CR308" s="0" t="s">
        <v>240</v>
      </c>
      <c r="CS308" s="0" t="s">
        <v>240</v>
      </c>
      <c r="CT308" s="0" t="s">
        <v>5496</v>
      </c>
      <c r="CU308" s="0" t="s">
        <v>5497</v>
      </c>
      <c r="CV308" s="0" t="s">
        <v>443</v>
      </c>
      <c r="CW308" s="0" t="s">
        <v>6818</v>
      </c>
      <c r="CX308" s="0" t="s">
        <v>229</v>
      </c>
      <c r="CY308" s="0" t="s">
        <v>443</v>
      </c>
      <c r="CZ308" s="0" t="s">
        <v>234</v>
      </c>
      <c r="DA308" s="0" t="s">
        <v>444</v>
      </c>
      <c r="DB308" s="0" t="s">
        <v>6818</v>
      </c>
      <c r="DC308" s="0" t="s">
        <v>384</v>
      </c>
      <c r="DD308" s="0" t="s">
        <v>291</v>
      </c>
      <c r="DE308" s="0" t="s">
        <v>6886</v>
      </c>
    </row>
    <row customHeight="1" ht="11.25">
      <c r="A309" s="1441" t="s">
        <v>240</v>
      </c>
      <c r="B309" s="0" t="s">
        <v>240</v>
      </c>
      <c r="C309" s="0" t="s">
        <v>240</v>
      </c>
      <c r="D309" s="0" t="s">
        <v>240</v>
      </c>
      <c r="E309" s="0" t="s">
        <v>240</v>
      </c>
      <c r="F309" s="0" t="s">
        <v>240</v>
      </c>
      <c r="G309" s="0" t="s">
        <v>240</v>
      </c>
      <c r="H309" s="0" t="s">
        <v>240</v>
      </c>
      <c r="I309" s="0" t="s">
        <v>5484</v>
      </c>
      <c r="J309" s="0" t="s">
        <v>240</v>
      </c>
      <c r="K309" s="0" t="s">
        <v>240</v>
      </c>
      <c r="L309" s="0" t="s">
        <v>240</v>
      </c>
      <c r="M309" s="0" t="s">
        <v>240</v>
      </c>
      <c r="N309" s="0" t="s">
        <v>240</v>
      </c>
      <c r="O309" s="0" t="s">
        <v>240</v>
      </c>
      <c r="P309" s="0" t="s">
        <v>240</v>
      </c>
      <c r="Q309" s="0" t="s">
        <v>240</v>
      </c>
      <c r="R309" s="0" t="s">
        <v>5608</v>
      </c>
      <c r="S309" s="0" t="s">
        <v>240</v>
      </c>
      <c r="T309" s="0" t="s">
        <v>240</v>
      </c>
      <c r="U309" s="0" t="s">
        <v>102</v>
      </c>
      <c r="V309" s="0" t="s">
        <v>240</v>
      </c>
      <c r="W309" s="0" t="s">
        <v>240</v>
      </c>
      <c r="X309" s="0" t="s">
        <v>5485</v>
      </c>
      <c r="Y309" s="0" t="s">
        <v>240</v>
      </c>
      <c r="Z309" s="0" t="s">
        <v>161</v>
      </c>
      <c r="AA309" s="0" t="s">
        <v>152</v>
      </c>
      <c r="AB309" s="0" t="s">
        <v>152</v>
      </c>
      <c r="AC309" s="0" t="s">
        <v>2985</v>
      </c>
      <c r="AD309" s="0" t="s">
        <v>2985</v>
      </c>
      <c r="AE309" s="0" t="s">
        <v>2986</v>
      </c>
      <c r="AF309" s="0" t="s">
        <v>6427</v>
      </c>
      <c r="AG309" s="0" t="s">
        <v>6428</v>
      </c>
      <c r="AH309" s="0" t="s">
        <v>6430</v>
      </c>
      <c r="AI309" s="0" t="s">
        <v>6887</v>
      </c>
      <c r="AJ309" s="0" t="s">
        <v>5504</v>
      </c>
      <c r="AK309" s="0" t="s">
        <v>5505</v>
      </c>
      <c r="AL309" s="0" t="s">
        <v>5506</v>
      </c>
      <c r="AM309" s="0" t="s">
        <v>5493</v>
      </c>
      <c r="AN309" s="0" t="s">
        <v>5507</v>
      </c>
      <c r="AO309" s="0" t="s">
        <v>5695</v>
      </c>
      <c r="AP309" s="0" t="s">
        <v>240</v>
      </c>
      <c r="AQ309" s="0" t="s">
        <v>240</v>
      </c>
      <c r="AR309" s="0" t="s">
        <v>240</v>
      </c>
      <c r="AS309" s="0" t="s">
        <v>240</v>
      </c>
      <c r="AT309" s="0" t="s">
        <v>240</v>
      </c>
      <c r="AU309" s="0" t="s">
        <v>240</v>
      </c>
      <c r="AV309" s="0" t="s">
        <v>240</v>
      </c>
      <c r="AW309" s="0" t="s">
        <v>240</v>
      </c>
      <c r="AX309" s="0" t="s">
        <v>240</v>
      </c>
      <c r="AY309" s="0" t="s">
        <v>240</v>
      </c>
      <c r="AZ309" s="0" t="s">
        <v>240</v>
      </c>
      <c r="BA309" s="0" t="s">
        <v>240</v>
      </c>
      <c r="BB309" s="0" t="s">
        <v>240</v>
      </c>
      <c r="BC309" s="0" t="s">
        <v>240</v>
      </c>
      <c r="BD309" s="0" t="s">
        <v>240</v>
      </c>
      <c r="BE309" s="0" t="s">
        <v>240</v>
      </c>
      <c r="BF309" s="0" t="s">
        <v>240</v>
      </c>
      <c r="BG309" s="0" t="s">
        <v>240</v>
      </c>
      <c r="BH309" s="0" t="s">
        <v>240</v>
      </c>
      <c r="BI309" s="0" t="s">
        <v>240</v>
      </c>
      <c r="BJ309" s="0" t="s">
        <v>240</v>
      </c>
      <c r="BK309" s="0" t="s">
        <v>240</v>
      </c>
      <c r="BL309" s="0" t="s">
        <v>240</v>
      </c>
      <c r="BM309" s="0" t="s">
        <v>240</v>
      </c>
      <c r="BN309" s="0" t="s">
        <v>240</v>
      </c>
      <c r="BO309" s="0" t="s">
        <v>240</v>
      </c>
      <c r="BP309" s="0" t="s">
        <v>240</v>
      </c>
      <c r="BQ309" s="0" t="s">
        <v>240</v>
      </c>
      <c r="BR309" s="0" t="s">
        <v>240</v>
      </c>
      <c r="BS309" s="0" t="s">
        <v>240</v>
      </c>
      <c r="BT309" s="0" t="s">
        <v>240</v>
      </c>
      <c r="BU309" s="0" t="s">
        <v>240</v>
      </c>
      <c r="BV309" s="0" t="s">
        <v>240</v>
      </c>
      <c r="BW309" s="0" t="s">
        <v>240</v>
      </c>
      <c r="BX309" s="0" t="s">
        <v>240</v>
      </c>
      <c r="BY309" s="0" t="s">
        <v>240</v>
      </c>
      <c r="BZ309" s="0" t="s">
        <v>240</v>
      </c>
      <c r="CA309" s="0" t="s">
        <v>240</v>
      </c>
      <c r="CB309" s="0" t="s">
        <v>240</v>
      </c>
      <c r="CC309" s="0" t="s">
        <v>240</v>
      </c>
      <c r="CD309" s="0" t="s">
        <v>240</v>
      </c>
      <c r="CE309" s="0" t="s">
        <v>240</v>
      </c>
      <c r="CF309" s="0" t="s">
        <v>240</v>
      </c>
      <c r="CG309" s="0" t="s">
        <v>240</v>
      </c>
      <c r="CH309" s="0" t="s">
        <v>240</v>
      </c>
      <c r="CI309" s="0" t="s">
        <v>240</v>
      </c>
      <c r="CJ309" s="0" t="s">
        <v>240</v>
      </c>
      <c r="CK309" s="0" t="s">
        <v>240</v>
      </c>
      <c r="CL309" s="0" t="s">
        <v>240</v>
      </c>
      <c r="CM309" s="0" t="s">
        <v>240</v>
      </c>
      <c r="CN309" s="0" t="s">
        <v>240</v>
      </c>
      <c r="CO309" s="0" t="s">
        <v>240</v>
      </c>
      <c r="CP309" s="0" t="s">
        <v>240</v>
      </c>
      <c r="CQ309" s="0" t="s">
        <v>240</v>
      </c>
      <c r="CR309" s="0" t="s">
        <v>240</v>
      </c>
      <c r="CS309" s="0" t="s">
        <v>240</v>
      </c>
      <c r="CT309" s="0" t="s">
        <v>5496</v>
      </c>
      <c r="CU309" s="0" t="s">
        <v>5497</v>
      </c>
      <c r="CV309" s="0" t="s">
        <v>443</v>
      </c>
      <c r="CW309" s="0" t="s">
        <v>5509</v>
      </c>
      <c r="CX309" s="0" t="s">
        <v>229</v>
      </c>
      <c r="CY309" s="0" t="s">
        <v>443</v>
      </c>
      <c r="CZ309" s="0" t="s">
        <v>5510</v>
      </c>
      <c r="DA309" s="0" t="s">
        <v>5511</v>
      </c>
      <c r="DB309" s="0" t="s">
        <v>5509</v>
      </c>
      <c r="DC309" s="0" t="s">
        <v>384</v>
      </c>
      <c r="DD309" s="0" t="s">
        <v>291</v>
      </c>
      <c r="DE309" s="0" t="s">
        <v>6888</v>
      </c>
    </row>
    <row customHeight="1" ht="11.25">
      <c r="A310" s="1441" t="s">
        <v>240</v>
      </c>
      <c r="B310" s="0" t="s">
        <v>240</v>
      </c>
      <c r="C310" s="0" t="s">
        <v>240</v>
      </c>
      <c r="D310" s="0" t="s">
        <v>240</v>
      </c>
      <c r="E310" s="0" t="s">
        <v>240</v>
      </c>
      <c r="F310" s="0" t="s">
        <v>240</v>
      </c>
      <c r="G310" s="0" t="s">
        <v>240</v>
      </c>
      <c r="H310" s="0" t="s">
        <v>240</v>
      </c>
      <c r="I310" s="0" t="s">
        <v>5484</v>
      </c>
      <c r="J310" s="0" t="s">
        <v>240</v>
      </c>
      <c r="K310" s="0" t="s">
        <v>240</v>
      </c>
      <c r="L310" s="0" t="s">
        <v>240</v>
      </c>
      <c r="M310" s="0" t="s">
        <v>240</v>
      </c>
      <c r="N310" s="0" t="s">
        <v>240</v>
      </c>
      <c r="O310" s="0" t="s">
        <v>240</v>
      </c>
      <c r="P310" s="0" t="s">
        <v>240</v>
      </c>
      <c r="Q310" s="0" t="s">
        <v>240</v>
      </c>
      <c r="R310" s="0" t="s">
        <v>5705</v>
      </c>
      <c r="S310" s="0" t="s">
        <v>240</v>
      </c>
      <c r="T310" s="0" t="s">
        <v>240</v>
      </c>
      <c r="U310" s="0" t="s">
        <v>102</v>
      </c>
      <c r="V310" s="0" t="s">
        <v>240</v>
      </c>
      <c r="W310" s="0" t="s">
        <v>240</v>
      </c>
      <c r="X310" s="0" t="s">
        <v>5585</v>
      </c>
      <c r="Y310" s="0" t="s">
        <v>240</v>
      </c>
      <c r="Z310" s="0" t="s">
        <v>152</v>
      </c>
      <c r="AA310" s="0" t="s">
        <v>152</v>
      </c>
      <c r="AB310" s="0" t="s">
        <v>161</v>
      </c>
      <c r="AC310" s="0" t="s">
        <v>2985</v>
      </c>
      <c r="AD310" s="0" t="s">
        <v>2985</v>
      </c>
      <c r="AE310" s="0" t="s">
        <v>2986</v>
      </c>
      <c r="AF310" s="0" t="s">
        <v>5621</v>
      </c>
      <c r="AG310" s="0" t="s">
        <v>5622</v>
      </c>
      <c r="AH310" s="0" t="s">
        <v>5621</v>
      </c>
      <c r="AI310" s="0" t="s">
        <v>5644</v>
      </c>
      <c r="AJ310" s="0" t="s">
        <v>240</v>
      </c>
      <c r="AK310" s="0" t="s">
        <v>240</v>
      </c>
      <c r="AL310" s="0" t="s">
        <v>240</v>
      </c>
      <c r="AM310" s="0" t="s">
        <v>240</v>
      </c>
      <c r="AN310" s="0" t="s">
        <v>240</v>
      </c>
      <c r="AO310" s="0" t="s">
        <v>240</v>
      </c>
      <c r="AP310" s="0" t="s">
        <v>240</v>
      </c>
      <c r="AQ310" s="0" t="s">
        <v>240</v>
      </c>
      <c r="AR310" s="0" t="s">
        <v>240</v>
      </c>
      <c r="AS310" s="0" t="s">
        <v>240</v>
      </c>
      <c r="AT310" s="0" t="s">
        <v>240</v>
      </c>
      <c r="AU310" s="0" t="s">
        <v>240</v>
      </c>
      <c r="AV310" s="0" t="s">
        <v>240</v>
      </c>
      <c r="AW310" s="0" t="s">
        <v>240</v>
      </c>
      <c r="AX310" s="0" t="s">
        <v>240</v>
      </c>
      <c r="AY310" s="0" t="s">
        <v>240</v>
      </c>
      <c r="AZ310" s="0" t="s">
        <v>240</v>
      </c>
      <c r="BA310" s="0" t="s">
        <v>240</v>
      </c>
      <c r="BB310" s="0" t="s">
        <v>240</v>
      </c>
      <c r="BC310" s="0" t="s">
        <v>240</v>
      </c>
      <c r="BD310" s="0" t="s">
        <v>240</v>
      </c>
      <c r="BE310" s="0" t="s">
        <v>5645</v>
      </c>
      <c r="BF310" s="0" t="s">
        <v>5645</v>
      </c>
      <c r="BG310" s="0" t="s">
        <v>112</v>
      </c>
      <c r="BH310" s="0" t="s">
        <v>5589</v>
      </c>
      <c r="BI310" s="0" t="s">
        <v>123</v>
      </c>
      <c r="BJ310" s="0" t="s">
        <v>240</v>
      </c>
      <c r="BK310" s="0" t="s">
        <v>5608</v>
      </c>
      <c r="BL310" s="0" t="s">
        <v>2985</v>
      </c>
      <c r="BM310" s="0" t="s">
        <v>2985</v>
      </c>
      <c r="BN310" s="0" t="s">
        <v>5646</v>
      </c>
      <c r="BO310" s="0" t="s">
        <v>5621</v>
      </c>
      <c r="BP310" s="0" t="s">
        <v>6889</v>
      </c>
      <c r="BQ310" s="0" t="s">
        <v>5623</v>
      </c>
      <c r="BR310" s="0" t="s">
        <v>6598</v>
      </c>
      <c r="BS310" s="0" t="s">
        <v>240</v>
      </c>
      <c r="BT310" s="0" t="s">
        <v>5650</v>
      </c>
      <c r="BU310" s="0" t="s">
        <v>6890</v>
      </c>
      <c r="BV310" s="0" t="s">
        <v>6890</v>
      </c>
      <c r="BW310" s="0" t="s">
        <v>5598</v>
      </c>
      <c r="BX310" s="0" t="s">
        <v>5598</v>
      </c>
      <c r="BY310" s="0" t="s">
        <v>5598</v>
      </c>
      <c r="BZ310" s="0" t="s">
        <v>5598</v>
      </c>
      <c r="CA310" s="0" t="s">
        <v>5598</v>
      </c>
      <c r="CB310" s="0" t="s">
        <v>240</v>
      </c>
      <c r="CC310" s="0" t="s">
        <v>240</v>
      </c>
      <c r="CD310" s="0" t="s">
        <v>240</v>
      </c>
      <c r="CE310" s="0" t="s">
        <v>240</v>
      </c>
      <c r="CF310" s="0" t="s">
        <v>240</v>
      </c>
      <c r="CG310" s="0" t="s">
        <v>5598</v>
      </c>
      <c r="CH310" s="0" t="s">
        <v>240</v>
      </c>
      <c r="CI310" s="0" t="s">
        <v>240</v>
      </c>
      <c r="CJ310" s="0" t="s">
        <v>240</v>
      </c>
      <c r="CK310" s="0" t="s">
        <v>240</v>
      </c>
      <c r="CL310" s="0" t="s">
        <v>240</v>
      </c>
      <c r="CM310" s="0" t="s">
        <v>6890</v>
      </c>
      <c r="CN310" s="0" t="s">
        <v>6890</v>
      </c>
      <c r="CO310" s="0" t="s">
        <v>240</v>
      </c>
      <c r="CP310" s="0" t="s">
        <v>240</v>
      </c>
      <c r="CQ310" s="0" t="s">
        <v>240</v>
      </c>
      <c r="CR310" s="0" t="s">
        <v>240</v>
      </c>
      <c r="CS310" s="0" t="s">
        <v>5507</v>
      </c>
      <c r="CT310" s="0" t="s">
        <v>5496</v>
      </c>
      <c r="CU310" s="0" t="s">
        <v>5497</v>
      </c>
      <c r="CV310" s="0" t="s">
        <v>443</v>
      </c>
      <c r="CW310" s="0" t="s">
        <v>5509</v>
      </c>
      <c r="CX310" s="0" t="s">
        <v>229</v>
      </c>
      <c r="CY310" s="0" t="s">
        <v>443</v>
      </c>
      <c r="CZ310" s="0" t="s">
        <v>5510</v>
      </c>
      <c r="DA310" s="0" t="s">
        <v>5511</v>
      </c>
      <c r="DB310" s="0" t="s">
        <v>5509</v>
      </c>
      <c r="DC310" s="0" t="s">
        <v>384</v>
      </c>
      <c r="DD310" s="0" t="s">
        <v>291</v>
      </c>
      <c r="DE310" s="0" t="s">
        <v>6891</v>
      </c>
    </row>
    <row customHeight="1" ht="11.25">
      <c r="A311" s="1441" t="s">
        <v>240</v>
      </c>
      <c r="B311" s="0" t="s">
        <v>240</v>
      </c>
      <c r="C311" s="0" t="s">
        <v>240</v>
      </c>
      <c r="D311" s="0" t="s">
        <v>240</v>
      </c>
      <c r="E311" s="0" t="s">
        <v>240</v>
      </c>
      <c r="F311" s="0" t="s">
        <v>240</v>
      </c>
      <c r="G311" s="0" t="s">
        <v>240</v>
      </c>
      <c r="H311" s="0" t="s">
        <v>240</v>
      </c>
      <c r="I311" s="0" t="s">
        <v>5484</v>
      </c>
      <c r="J311" s="0" t="s">
        <v>240</v>
      </c>
      <c r="K311" s="0" t="s">
        <v>240</v>
      </c>
      <c r="L311" s="0" t="s">
        <v>240</v>
      </c>
      <c r="M311" s="0" t="s">
        <v>240</v>
      </c>
      <c r="N311" s="0" t="s">
        <v>240</v>
      </c>
      <c r="O311" s="0" t="s">
        <v>240</v>
      </c>
      <c r="P311" s="0" t="s">
        <v>240</v>
      </c>
      <c r="Q311" s="0" t="s">
        <v>240</v>
      </c>
      <c r="R311" s="0" t="s">
        <v>6892</v>
      </c>
      <c r="S311" s="0" t="s">
        <v>240</v>
      </c>
      <c r="T311" s="0" t="s">
        <v>240</v>
      </c>
      <c r="U311" s="0" t="s">
        <v>102</v>
      </c>
      <c r="V311" s="0" t="s">
        <v>240</v>
      </c>
      <c r="W311" s="0" t="s">
        <v>240</v>
      </c>
      <c r="X311" s="0" t="s">
        <v>5585</v>
      </c>
      <c r="Y311" s="0" t="s">
        <v>240</v>
      </c>
      <c r="Z311" s="0" t="s">
        <v>152</v>
      </c>
      <c r="AA311" s="0" t="s">
        <v>152</v>
      </c>
      <c r="AB311" s="0" t="s">
        <v>161</v>
      </c>
      <c r="AC311" s="0" t="s">
        <v>2991</v>
      </c>
      <c r="AD311" s="0" t="s">
        <v>2991</v>
      </c>
      <c r="AE311" s="0" t="s">
        <v>2992</v>
      </c>
      <c r="AF311" s="0" t="s">
        <v>6647</v>
      </c>
      <c r="AG311" s="0" t="s">
        <v>6648</v>
      </c>
      <c r="AH311" s="0" t="s">
        <v>5575</v>
      </c>
      <c r="AI311" s="0" t="s">
        <v>5575</v>
      </c>
      <c r="AJ311" s="0" t="s">
        <v>240</v>
      </c>
      <c r="AK311" s="0" t="s">
        <v>240</v>
      </c>
      <c r="AL311" s="0" t="s">
        <v>240</v>
      </c>
      <c r="AM311" s="0" t="s">
        <v>240</v>
      </c>
      <c r="AN311" s="0" t="s">
        <v>240</v>
      </c>
      <c r="AO311" s="0" t="s">
        <v>240</v>
      </c>
      <c r="AP311" s="0" t="s">
        <v>240</v>
      </c>
      <c r="AQ311" s="0" t="s">
        <v>240</v>
      </c>
      <c r="AR311" s="0" t="s">
        <v>240</v>
      </c>
      <c r="AS311" s="0" t="s">
        <v>240</v>
      </c>
      <c r="AT311" s="0" t="s">
        <v>240</v>
      </c>
      <c r="AU311" s="0" t="s">
        <v>240</v>
      </c>
      <c r="AV311" s="0" t="s">
        <v>240</v>
      </c>
      <c r="AW311" s="0" t="s">
        <v>240</v>
      </c>
      <c r="AX311" s="0" t="s">
        <v>240</v>
      </c>
      <c r="AY311" s="0" t="s">
        <v>240</v>
      </c>
      <c r="AZ311" s="0" t="s">
        <v>240</v>
      </c>
      <c r="BA311" s="0" t="s">
        <v>240</v>
      </c>
      <c r="BB311" s="0" t="s">
        <v>240</v>
      </c>
      <c r="BC311" s="0" t="s">
        <v>240</v>
      </c>
      <c r="BD311" s="0" t="s">
        <v>240</v>
      </c>
      <c r="BE311" s="0" t="s">
        <v>5504</v>
      </c>
      <c r="BF311" s="0" t="s">
        <v>5544</v>
      </c>
      <c r="BG311" s="0" t="s">
        <v>112</v>
      </c>
      <c r="BH311" s="0" t="s">
        <v>5589</v>
      </c>
      <c r="BI311" s="0" t="s">
        <v>123</v>
      </c>
      <c r="BJ311" s="0" t="s">
        <v>240</v>
      </c>
      <c r="BK311" s="0" t="s">
        <v>5608</v>
      </c>
      <c r="BL311" s="0" t="s">
        <v>2991</v>
      </c>
      <c r="BM311" s="0" t="s">
        <v>2991</v>
      </c>
      <c r="BN311" s="0" t="s">
        <v>5663</v>
      </c>
      <c r="BO311" s="0" t="s">
        <v>6647</v>
      </c>
      <c r="BP311" s="0" t="s">
        <v>6893</v>
      </c>
      <c r="BQ311" s="0" t="s">
        <v>5575</v>
      </c>
      <c r="BR311" s="0" t="s">
        <v>5575</v>
      </c>
      <c r="BS311" s="0" t="s">
        <v>240</v>
      </c>
      <c r="BT311" s="0" t="s">
        <v>5650</v>
      </c>
      <c r="BU311" s="0" t="s">
        <v>6894</v>
      </c>
      <c r="BV311" s="0" t="s">
        <v>6894</v>
      </c>
      <c r="BW311" s="0" t="s">
        <v>5598</v>
      </c>
      <c r="BX311" s="0" t="s">
        <v>5598</v>
      </c>
      <c r="BY311" s="0" t="s">
        <v>5598</v>
      </c>
      <c r="BZ311" s="0" t="s">
        <v>5598</v>
      </c>
      <c r="CA311" s="0" t="s">
        <v>5598</v>
      </c>
      <c r="CB311" s="0" t="s">
        <v>240</v>
      </c>
      <c r="CC311" s="0" t="s">
        <v>240</v>
      </c>
      <c r="CD311" s="0" t="s">
        <v>240</v>
      </c>
      <c r="CE311" s="0" t="s">
        <v>240</v>
      </c>
      <c r="CF311" s="0" t="s">
        <v>240</v>
      </c>
      <c r="CG311" s="0" t="s">
        <v>5598</v>
      </c>
      <c r="CH311" s="0" t="s">
        <v>240</v>
      </c>
      <c r="CI311" s="0" t="s">
        <v>240</v>
      </c>
      <c r="CJ311" s="0" t="s">
        <v>240</v>
      </c>
      <c r="CK311" s="0" t="s">
        <v>240</v>
      </c>
      <c r="CL311" s="0" t="s">
        <v>240</v>
      </c>
      <c r="CM311" s="0" t="s">
        <v>6894</v>
      </c>
      <c r="CN311" s="0" t="s">
        <v>6894</v>
      </c>
      <c r="CO311" s="0" t="s">
        <v>240</v>
      </c>
      <c r="CP311" s="0" t="s">
        <v>240</v>
      </c>
      <c r="CQ311" s="0" t="s">
        <v>240</v>
      </c>
      <c r="CR311" s="0" t="s">
        <v>240</v>
      </c>
      <c r="CS311" s="0" t="s">
        <v>5666</v>
      </c>
      <c r="CT311" s="0" t="s">
        <v>5496</v>
      </c>
      <c r="CU311" s="0" t="s">
        <v>5497</v>
      </c>
      <c r="CV311" s="0" t="s">
        <v>443</v>
      </c>
      <c r="CW311" s="0" t="s">
        <v>5547</v>
      </c>
      <c r="CX311" s="0" t="s">
        <v>229</v>
      </c>
      <c r="CY311" s="0" t="s">
        <v>443</v>
      </c>
      <c r="CZ311" s="0" t="s">
        <v>5548</v>
      </c>
      <c r="DA311" s="0" t="s">
        <v>5549</v>
      </c>
      <c r="DB311" s="0" t="s">
        <v>5547</v>
      </c>
      <c r="DC311" s="0" t="s">
        <v>384</v>
      </c>
      <c r="DD311" s="0" t="s">
        <v>291</v>
      </c>
      <c r="DE311" s="0" t="s">
        <v>6895</v>
      </c>
    </row>
    <row customHeight="1" ht="11.25">
      <c r="A312" s="1441" t="s">
        <v>240</v>
      </c>
      <c r="B312" s="0" t="s">
        <v>240</v>
      </c>
      <c r="C312" s="0" t="s">
        <v>240</v>
      </c>
      <c r="D312" s="0" t="s">
        <v>240</v>
      </c>
      <c r="E312" s="0" t="s">
        <v>240</v>
      </c>
      <c r="F312" s="0" t="s">
        <v>240</v>
      </c>
      <c r="G312" s="0" t="s">
        <v>240</v>
      </c>
      <c r="H312" s="0" t="s">
        <v>240</v>
      </c>
      <c r="I312" s="0" t="s">
        <v>5484</v>
      </c>
      <c r="J312" s="0" t="s">
        <v>240</v>
      </c>
      <c r="K312" s="0" t="s">
        <v>240</v>
      </c>
      <c r="L312" s="0" t="s">
        <v>240</v>
      </c>
      <c r="M312" s="0" t="s">
        <v>240</v>
      </c>
      <c r="N312" s="0" t="s">
        <v>240</v>
      </c>
      <c r="O312" s="0" t="s">
        <v>240</v>
      </c>
      <c r="P312" s="0" t="s">
        <v>240</v>
      </c>
      <c r="Q312" s="0" t="s">
        <v>240</v>
      </c>
      <c r="R312" s="0" t="s">
        <v>6896</v>
      </c>
      <c r="S312" s="0" t="s">
        <v>240</v>
      </c>
      <c r="T312" s="0" t="s">
        <v>240</v>
      </c>
      <c r="U312" s="0" t="s">
        <v>102</v>
      </c>
      <c r="V312" s="0" t="s">
        <v>240</v>
      </c>
      <c r="W312" s="0" t="s">
        <v>240</v>
      </c>
      <c r="X312" s="0" t="s">
        <v>5485</v>
      </c>
      <c r="Y312" s="0" t="s">
        <v>240</v>
      </c>
      <c r="Z312" s="0" t="s">
        <v>161</v>
      </c>
      <c r="AA312" s="0" t="s">
        <v>152</v>
      </c>
      <c r="AB312" s="0" t="s">
        <v>152</v>
      </c>
      <c r="AC312" s="0" t="s">
        <v>2991</v>
      </c>
      <c r="AD312" s="0" t="s">
        <v>2991</v>
      </c>
      <c r="AE312" s="0" t="s">
        <v>2992</v>
      </c>
      <c r="AF312" s="0" t="s">
        <v>5722</v>
      </c>
      <c r="AG312" s="0" t="s">
        <v>5723</v>
      </c>
      <c r="AH312" s="0" t="s">
        <v>6897</v>
      </c>
      <c r="AI312" s="0" t="s">
        <v>5966</v>
      </c>
      <c r="AJ312" s="0" t="s">
        <v>5552</v>
      </c>
      <c r="AK312" s="0" t="s">
        <v>5672</v>
      </c>
      <c r="AL312" s="0" t="s">
        <v>5506</v>
      </c>
      <c r="AM312" s="0" t="s">
        <v>5493</v>
      </c>
      <c r="AN312" s="0" t="s">
        <v>5491</v>
      </c>
      <c r="AO312" s="0" t="s">
        <v>6440</v>
      </c>
      <c r="AP312" s="0" t="s">
        <v>240</v>
      </c>
      <c r="AQ312" s="0" t="s">
        <v>240</v>
      </c>
      <c r="AR312" s="0" t="s">
        <v>240</v>
      </c>
      <c r="AS312" s="0" t="s">
        <v>240</v>
      </c>
      <c r="AT312" s="0" t="s">
        <v>240</v>
      </c>
      <c r="AU312" s="0" t="s">
        <v>240</v>
      </c>
      <c r="AV312" s="0" t="s">
        <v>240</v>
      </c>
      <c r="AW312" s="0" t="s">
        <v>240</v>
      </c>
      <c r="AX312" s="0" t="s">
        <v>240</v>
      </c>
      <c r="AY312" s="0" t="s">
        <v>240</v>
      </c>
      <c r="AZ312" s="0" t="s">
        <v>240</v>
      </c>
      <c r="BA312" s="0" t="s">
        <v>240</v>
      </c>
      <c r="BB312" s="0" t="s">
        <v>240</v>
      </c>
      <c r="BC312" s="0" t="s">
        <v>240</v>
      </c>
      <c r="BD312" s="0" t="s">
        <v>240</v>
      </c>
      <c r="BE312" s="0" t="s">
        <v>240</v>
      </c>
      <c r="BF312" s="0" t="s">
        <v>240</v>
      </c>
      <c r="BG312" s="0" t="s">
        <v>240</v>
      </c>
      <c r="BH312" s="0" t="s">
        <v>240</v>
      </c>
      <c r="BI312" s="0" t="s">
        <v>240</v>
      </c>
      <c r="BJ312" s="0" t="s">
        <v>240</v>
      </c>
      <c r="BK312" s="0" t="s">
        <v>240</v>
      </c>
      <c r="BL312" s="0" t="s">
        <v>240</v>
      </c>
      <c r="BM312" s="0" t="s">
        <v>240</v>
      </c>
      <c r="BN312" s="0" t="s">
        <v>240</v>
      </c>
      <c r="BO312" s="0" t="s">
        <v>240</v>
      </c>
      <c r="BP312" s="0" t="s">
        <v>240</v>
      </c>
      <c r="BQ312" s="0" t="s">
        <v>240</v>
      </c>
      <c r="BR312" s="0" t="s">
        <v>240</v>
      </c>
      <c r="BS312" s="0" t="s">
        <v>240</v>
      </c>
      <c r="BT312" s="0" t="s">
        <v>240</v>
      </c>
      <c r="BU312" s="0" t="s">
        <v>240</v>
      </c>
      <c r="BV312" s="0" t="s">
        <v>240</v>
      </c>
      <c r="BW312" s="0" t="s">
        <v>240</v>
      </c>
      <c r="BX312" s="0" t="s">
        <v>240</v>
      </c>
      <c r="BY312" s="0" t="s">
        <v>240</v>
      </c>
      <c r="BZ312" s="0" t="s">
        <v>240</v>
      </c>
      <c r="CA312" s="0" t="s">
        <v>240</v>
      </c>
      <c r="CB312" s="0" t="s">
        <v>240</v>
      </c>
      <c r="CC312" s="0" t="s">
        <v>240</v>
      </c>
      <c r="CD312" s="0" t="s">
        <v>240</v>
      </c>
      <c r="CE312" s="0" t="s">
        <v>240</v>
      </c>
      <c r="CF312" s="0" t="s">
        <v>240</v>
      </c>
      <c r="CG312" s="0" t="s">
        <v>240</v>
      </c>
      <c r="CH312" s="0" t="s">
        <v>240</v>
      </c>
      <c r="CI312" s="0" t="s">
        <v>240</v>
      </c>
      <c r="CJ312" s="0" t="s">
        <v>240</v>
      </c>
      <c r="CK312" s="0" t="s">
        <v>240</v>
      </c>
      <c r="CL312" s="0" t="s">
        <v>240</v>
      </c>
      <c r="CM312" s="0" t="s">
        <v>240</v>
      </c>
      <c r="CN312" s="0" t="s">
        <v>240</v>
      </c>
      <c r="CO312" s="0" t="s">
        <v>240</v>
      </c>
      <c r="CP312" s="0" t="s">
        <v>240</v>
      </c>
      <c r="CQ312" s="0" t="s">
        <v>240</v>
      </c>
      <c r="CR312" s="0" t="s">
        <v>240</v>
      </c>
      <c r="CS312" s="0" t="s">
        <v>240</v>
      </c>
      <c r="CT312" s="0" t="s">
        <v>5496</v>
      </c>
      <c r="CU312" s="0" t="s">
        <v>5497</v>
      </c>
      <c r="CV312" s="0" t="s">
        <v>443</v>
      </c>
      <c r="CW312" s="0" t="s">
        <v>5547</v>
      </c>
      <c r="CX312" s="0" t="s">
        <v>229</v>
      </c>
      <c r="CY312" s="0" t="s">
        <v>443</v>
      </c>
      <c r="CZ312" s="0" t="s">
        <v>5548</v>
      </c>
      <c r="DA312" s="0" t="s">
        <v>5549</v>
      </c>
      <c r="DB312" s="0" t="s">
        <v>5547</v>
      </c>
      <c r="DC312" s="0" t="s">
        <v>384</v>
      </c>
      <c r="DD312" s="0" t="s">
        <v>291</v>
      </c>
      <c r="DE312" s="0" t="s">
        <v>6898</v>
      </c>
    </row>
    <row customHeight="1" ht="11.25">
      <c r="A313" s="1441" t="s">
        <v>240</v>
      </c>
      <c r="B313" s="0" t="s">
        <v>240</v>
      </c>
      <c r="C313" s="0" t="s">
        <v>240</v>
      </c>
      <c r="D313" s="0" t="s">
        <v>240</v>
      </c>
      <c r="E313" s="0" t="s">
        <v>240</v>
      </c>
      <c r="F313" s="0" t="s">
        <v>240</v>
      </c>
      <c r="G313" s="0" t="s">
        <v>240</v>
      </c>
      <c r="H313" s="0" t="s">
        <v>240</v>
      </c>
      <c r="I313" s="0" t="s">
        <v>5484</v>
      </c>
      <c r="J313" s="0" t="s">
        <v>240</v>
      </c>
      <c r="K313" s="0" t="s">
        <v>240</v>
      </c>
      <c r="L313" s="0" t="s">
        <v>240</v>
      </c>
      <c r="M313" s="0" t="s">
        <v>240</v>
      </c>
      <c r="N313" s="0" t="s">
        <v>240</v>
      </c>
      <c r="O313" s="0" t="s">
        <v>240</v>
      </c>
      <c r="P313" s="0" t="s">
        <v>240</v>
      </c>
      <c r="Q313" s="0" t="s">
        <v>240</v>
      </c>
      <c r="R313" s="0" t="s">
        <v>5572</v>
      </c>
      <c r="S313" s="0" t="s">
        <v>240</v>
      </c>
      <c r="T313" s="0" t="s">
        <v>240</v>
      </c>
      <c r="U313" s="0" t="s">
        <v>102</v>
      </c>
      <c r="V313" s="0" t="s">
        <v>240</v>
      </c>
      <c r="W313" s="0" t="s">
        <v>240</v>
      </c>
      <c r="X313" s="0" t="s">
        <v>5485</v>
      </c>
      <c r="Y313" s="0" t="s">
        <v>240</v>
      </c>
      <c r="Z313" s="0" t="s">
        <v>161</v>
      </c>
      <c r="AA313" s="0" t="s">
        <v>152</v>
      </c>
      <c r="AB313" s="0" t="s">
        <v>152</v>
      </c>
      <c r="AC313" s="0" t="s">
        <v>2989</v>
      </c>
      <c r="AD313" s="0" t="s">
        <v>2989</v>
      </c>
      <c r="AE313" s="0" t="s">
        <v>2990</v>
      </c>
      <c r="AF313" s="0" t="s">
        <v>5794</v>
      </c>
      <c r="AG313" s="0" t="s">
        <v>5795</v>
      </c>
      <c r="AH313" s="0" t="s">
        <v>5617</v>
      </c>
      <c r="AI313" s="0" t="s">
        <v>6899</v>
      </c>
      <c r="AJ313" s="0" t="s">
        <v>5776</v>
      </c>
      <c r="AK313" s="0" t="s">
        <v>5814</v>
      </c>
      <c r="AL313" s="0" t="s">
        <v>5506</v>
      </c>
      <c r="AM313" s="0" t="s">
        <v>5493</v>
      </c>
      <c r="AN313" s="0" t="s">
        <v>5578</v>
      </c>
      <c r="AO313" s="0" t="s">
        <v>5579</v>
      </c>
      <c r="AP313" s="0" t="s">
        <v>240</v>
      </c>
      <c r="AQ313" s="0" t="s">
        <v>240</v>
      </c>
      <c r="AR313" s="0" t="s">
        <v>240</v>
      </c>
      <c r="AS313" s="0" t="s">
        <v>240</v>
      </c>
      <c r="AT313" s="0" t="s">
        <v>240</v>
      </c>
      <c r="AU313" s="0" t="s">
        <v>240</v>
      </c>
      <c r="AV313" s="0" t="s">
        <v>240</v>
      </c>
      <c r="AW313" s="0" t="s">
        <v>240</v>
      </c>
      <c r="AX313" s="0" t="s">
        <v>240</v>
      </c>
      <c r="AY313" s="0" t="s">
        <v>240</v>
      </c>
      <c r="AZ313" s="0" t="s">
        <v>240</v>
      </c>
      <c r="BA313" s="0" t="s">
        <v>240</v>
      </c>
      <c r="BB313" s="0" t="s">
        <v>240</v>
      </c>
      <c r="BC313" s="0" t="s">
        <v>240</v>
      </c>
      <c r="BD313" s="0" t="s">
        <v>240</v>
      </c>
      <c r="BE313" s="0" t="s">
        <v>240</v>
      </c>
      <c r="BF313" s="0" t="s">
        <v>240</v>
      </c>
      <c r="BG313" s="0" t="s">
        <v>240</v>
      </c>
      <c r="BH313" s="0" t="s">
        <v>240</v>
      </c>
      <c r="BI313" s="0" t="s">
        <v>240</v>
      </c>
      <c r="BJ313" s="0" t="s">
        <v>240</v>
      </c>
      <c r="BK313" s="0" t="s">
        <v>240</v>
      </c>
      <c r="BL313" s="0" t="s">
        <v>240</v>
      </c>
      <c r="BM313" s="0" t="s">
        <v>240</v>
      </c>
      <c r="BN313" s="0" t="s">
        <v>240</v>
      </c>
      <c r="BO313" s="0" t="s">
        <v>240</v>
      </c>
      <c r="BP313" s="0" t="s">
        <v>240</v>
      </c>
      <c r="BQ313" s="0" t="s">
        <v>240</v>
      </c>
      <c r="BR313" s="0" t="s">
        <v>240</v>
      </c>
      <c r="BS313" s="0" t="s">
        <v>240</v>
      </c>
      <c r="BT313" s="0" t="s">
        <v>240</v>
      </c>
      <c r="BU313" s="0" t="s">
        <v>240</v>
      </c>
      <c r="BV313" s="0" t="s">
        <v>240</v>
      </c>
      <c r="BW313" s="0" t="s">
        <v>240</v>
      </c>
      <c r="BX313" s="0" t="s">
        <v>240</v>
      </c>
      <c r="BY313" s="0" t="s">
        <v>240</v>
      </c>
      <c r="BZ313" s="0" t="s">
        <v>240</v>
      </c>
      <c r="CA313" s="0" t="s">
        <v>240</v>
      </c>
      <c r="CB313" s="0" t="s">
        <v>240</v>
      </c>
      <c r="CC313" s="0" t="s">
        <v>240</v>
      </c>
      <c r="CD313" s="0" t="s">
        <v>240</v>
      </c>
      <c r="CE313" s="0" t="s">
        <v>240</v>
      </c>
      <c r="CF313" s="0" t="s">
        <v>240</v>
      </c>
      <c r="CG313" s="0" t="s">
        <v>240</v>
      </c>
      <c r="CH313" s="0" t="s">
        <v>240</v>
      </c>
      <c r="CI313" s="0" t="s">
        <v>240</v>
      </c>
      <c r="CJ313" s="0" t="s">
        <v>240</v>
      </c>
      <c r="CK313" s="0" t="s">
        <v>240</v>
      </c>
      <c r="CL313" s="0" t="s">
        <v>240</v>
      </c>
      <c r="CM313" s="0" t="s">
        <v>240</v>
      </c>
      <c r="CN313" s="0" t="s">
        <v>240</v>
      </c>
      <c r="CO313" s="0" t="s">
        <v>240</v>
      </c>
      <c r="CP313" s="0" t="s">
        <v>240</v>
      </c>
      <c r="CQ313" s="0" t="s">
        <v>240</v>
      </c>
      <c r="CR313" s="0" t="s">
        <v>240</v>
      </c>
      <c r="CS313" s="0" t="s">
        <v>240</v>
      </c>
      <c r="CT313" s="0" t="s">
        <v>5496</v>
      </c>
      <c r="CU313" s="0" t="s">
        <v>5497</v>
      </c>
      <c r="CV313" s="0" t="s">
        <v>443</v>
      </c>
      <c r="CW313" s="0" t="s">
        <v>5580</v>
      </c>
      <c r="CX313" s="0" t="s">
        <v>229</v>
      </c>
      <c r="CY313" s="0" t="s">
        <v>443</v>
      </c>
      <c r="CZ313" s="0" t="s">
        <v>5581</v>
      </c>
      <c r="DA313" s="0" t="s">
        <v>5582</v>
      </c>
      <c r="DB313" s="0" t="s">
        <v>5580</v>
      </c>
      <c r="DC313" s="0" t="s">
        <v>384</v>
      </c>
      <c r="DD313" s="0" t="s">
        <v>291</v>
      </c>
      <c r="DE313" s="0" t="s">
        <v>6900</v>
      </c>
    </row>
    <row customHeight="1" ht="11.25">
      <c r="A314" s="1441" t="s">
        <v>240</v>
      </c>
      <c r="B314" s="0" t="s">
        <v>240</v>
      </c>
      <c r="C314" s="0" t="s">
        <v>240</v>
      </c>
      <c r="D314" s="0" t="s">
        <v>240</v>
      </c>
      <c r="E314" s="0" t="s">
        <v>240</v>
      </c>
      <c r="F314" s="0" t="s">
        <v>240</v>
      </c>
      <c r="G314" s="0" t="s">
        <v>240</v>
      </c>
      <c r="H314" s="0" t="s">
        <v>240</v>
      </c>
      <c r="I314" s="0" t="s">
        <v>5484</v>
      </c>
      <c r="J314" s="0" t="s">
        <v>240</v>
      </c>
      <c r="K314" s="0" t="s">
        <v>240</v>
      </c>
      <c r="L314" s="0" t="s">
        <v>240</v>
      </c>
      <c r="M314" s="0" t="s">
        <v>240</v>
      </c>
      <c r="N314" s="0" t="s">
        <v>240</v>
      </c>
      <c r="O314" s="0" t="s">
        <v>240</v>
      </c>
      <c r="P314" s="0" t="s">
        <v>240</v>
      </c>
      <c r="Q314" s="0" t="s">
        <v>240</v>
      </c>
      <c r="R314" s="0" t="s">
        <v>5572</v>
      </c>
      <c r="S314" s="0" t="s">
        <v>240</v>
      </c>
      <c r="T314" s="0" t="s">
        <v>240</v>
      </c>
      <c r="U314" s="0" t="s">
        <v>102</v>
      </c>
      <c r="V314" s="0" t="s">
        <v>240</v>
      </c>
      <c r="W314" s="0" t="s">
        <v>240</v>
      </c>
      <c r="X314" s="0" t="s">
        <v>5485</v>
      </c>
      <c r="Y314" s="0" t="s">
        <v>240</v>
      </c>
      <c r="Z314" s="0" t="s">
        <v>161</v>
      </c>
      <c r="AA314" s="0" t="s">
        <v>152</v>
      </c>
      <c r="AB314" s="0" t="s">
        <v>152</v>
      </c>
      <c r="AC314" s="0" t="s">
        <v>2989</v>
      </c>
      <c r="AD314" s="0" t="s">
        <v>2989</v>
      </c>
      <c r="AE314" s="0" t="s">
        <v>2990</v>
      </c>
      <c r="AF314" s="0" t="s">
        <v>5794</v>
      </c>
      <c r="AG314" s="0" t="s">
        <v>5795</v>
      </c>
      <c r="AH314" s="0" t="s">
        <v>6901</v>
      </c>
      <c r="AI314" s="0" t="s">
        <v>6902</v>
      </c>
      <c r="AJ314" s="0" t="s">
        <v>5576</v>
      </c>
      <c r="AK314" s="0" t="s">
        <v>6903</v>
      </c>
      <c r="AL314" s="0" t="s">
        <v>5506</v>
      </c>
      <c r="AM314" s="0" t="s">
        <v>5493</v>
      </c>
      <c r="AN314" s="0" t="s">
        <v>5578</v>
      </c>
      <c r="AO314" s="0" t="s">
        <v>5579</v>
      </c>
      <c r="AP314" s="0" t="s">
        <v>240</v>
      </c>
      <c r="AQ314" s="0" t="s">
        <v>240</v>
      </c>
      <c r="AR314" s="0" t="s">
        <v>240</v>
      </c>
      <c r="AS314" s="0" t="s">
        <v>240</v>
      </c>
      <c r="AT314" s="0" t="s">
        <v>240</v>
      </c>
      <c r="AU314" s="0" t="s">
        <v>240</v>
      </c>
      <c r="AV314" s="0" t="s">
        <v>240</v>
      </c>
      <c r="AW314" s="0" t="s">
        <v>240</v>
      </c>
      <c r="AX314" s="0" t="s">
        <v>240</v>
      </c>
      <c r="AY314" s="0" t="s">
        <v>240</v>
      </c>
      <c r="AZ314" s="0" t="s">
        <v>240</v>
      </c>
      <c r="BA314" s="0" t="s">
        <v>240</v>
      </c>
      <c r="BB314" s="0" t="s">
        <v>240</v>
      </c>
      <c r="BC314" s="0" t="s">
        <v>240</v>
      </c>
      <c r="BD314" s="0" t="s">
        <v>240</v>
      </c>
      <c r="BE314" s="0" t="s">
        <v>240</v>
      </c>
      <c r="BF314" s="0" t="s">
        <v>240</v>
      </c>
      <c r="BG314" s="0" t="s">
        <v>240</v>
      </c>
      <c r="BH314" s="0" t="s">
        <v>240</v>
      </c>
      <c r="BI314" s="0" t="s">
        <v>240</v>
      </c>
      <c r="BJ314" s="0" t="s">
        <v>240</v>
      </c>
      <c r="BK314" s="0" t="s">
        <v>240</v>
      </c>
      <c r="BL314" s="0" t="s">
        <v>240</v>
      </c>
      <c r="BM314" s="0" t="s">
        <v>240</v>
      </c>
      <c r="BN314" s="0" t="s">
        <v>240</v>
      </c>
      <c r="BO314" s="0" t="s">
        <v>240</v>
      </c>
      <c r="BP314" s="0" t="s">
        <v>240</v>
      </c>
      <c r="BQ314" s="0" t="s">
        <v>240</v>
      </c>
      <c r="BR314" s="0" t="s">
        <v>240</v>
      </c>
      <c r="BS314" s="0" t="s">
        <v>240</v>
      </c>
      <c r="BT314" s="0" t="s">
        <v>240</v>
      </c>
      <c r="BU314" s="0" t="s">
        <v>240</v>
      </c>
      <c r="BV314" s="0" t="s">
        <v>240</v>
      </c>
      <c r="BW314" s="0" t="s">
        <v>240</v>
      </c>
      <c r="BX314" s="0" t="s">
        <v>240</v>
      </c>
      <c r="BY314" s="0" t="s">
        <v>240</v>
      </c>
      <c r="BZ314" s="0" t="s">
        <v>240</v>
      </c>
      <c r="CA314" s="0" t="s">
        <v>240</v>
      </c>
      <c r="CB314" s="0" t="s">
        <v>240</v>
      </c>
      <c r="CC314" s="0" t="s">
        <v>240</v>
      </c>
      <c r="CD314" s="0" t="s">
        <v>240</v>
      </c>
      <c r="CE314" s="0" t="s">
        <v>240</v>
      </c>
      <c r="CF314" s="0" t="s">
        <v>240</v>
      </c>
      <c r="CG314" s="0" t="s">
        <v>240</v>
      </c>
      <c r="CH314" s="0" t="s">
        <v>240</v>
      </c>
      <c r="CI314" s="0" t="s">
        <v>240</v>
      </c>
      <c r="CJ314" s="0" t="s">
        <v>240</v>
      </c>
      <c r="CK314" s="0" t="s">
        <v>240</v>
      </c>
      <c r="CL314" s="0" t="s">
        <v>240</v>
      </c>
      <c r="CM314" s="0" t="s">
        <v>240</v>
      </c>
      <c r="CN314" s="0" t="s">
        <v>240</v>
      </c>
      <c r="CO314" s="0" t="s">
        <v>240</v>
      </c>
      <c r="CP314" s="0" t="s">
        <v>240</v>
      </c>
      <c r="CQ314" s="0" t="s">
        <v>240</v>
      </c>
      <c r="CR314" s="0" t="s">
        <v>240</v>
      </c>
      <c r="CS314" s="0" t="s">
        <v>240</v>
      </c>
      <c r="CT314" s="0" t="s">
        <v>5496</v>
      </c>
      <c r="CU314" s="0" t="s">
        <v>5497</v>
      </c>
      <c r="CV314" s="0" t="s">
        <v>443</v>
      </c>
      <c r="CW314" s="0" t="s">
        <v>5580</v>
      </c>
      <c r="CX314" s="0" t="s">
        <v>229</v>
      </c>
      <c r="CY314" s="0" t="s">
        <v>443</v>
      </c>
      <c r="CZ314" s="0" t="s">
        <v>5581</v>
      </c>
      <c r="DA314" s="0" t="s">
        <v>5582</v>
      </c>
      <c r="DB314" s="0" t="s">
        <v>5580</v>
      </c>
      <c r="DC314" s="0" t="s">
        <v>384</v>
      </c>
      <c r="DD314" s="0" t="s">
        <v>291</v>
      </c>
      <c r="DE314" s="0" t="s">
        <v>6904</v>
      </c>
    </row>
    <row customHeight="1" ht="11.25">
      <c r="A315" s="1441" t="s">
        <v>240</v>
      </c>
      <c r="B315" s="0" t="s">
        <v>240</v>
      </c>
      <c r="C315" s="0" t="s">
        <v>240</v>
      </c>
      <c r="D315" s="0" t="s">
        <v>240</v>
      </c>
      <c r="E315" s="0" t="s">
        <v>240</v>
      </c>
      <c r="F315" s="0" t="s">
        <v>240</v>
      </c>
      <c r="G315" s="0" t="s">
        <v>240</v>
      </c>
      <c r="H315" s="0" t="s">
        <v>240</v>
      </c>
      <c r="I315" s="0" t="s">
        <v>5484</v>
      </c>
      <c r="J315" s="0" t="s">
        <v>240</v>
      </c>
      <c r="K315" s="0" t="s">
        <v>240</v>
      </c>
      <c r="L315" s="0" t="s">
        <v>240</v>
      </c>
      <c r="M315" s="0" t="s">
        <v>240</v>
      </c>
      <c r="N315" s="0" t="s">
        <v>240</v>
      </c>
      <c r="O315" s="0" t="s">
        <v>240</v>
      </c>
      <c r="P315" s="0" t="s">
        <v>240</v>
      </c>
      <c r="Q315" s="0" t="s">
        <v>240</v>
      </c>
      <c r="R315" s="0" t="s">
        <v>5572</v>
      </c>
      <c r="S315" s="0" t="s">
        <v>240</v>
      </c>
      <c r="T315" s="0" t="s">
        <v>240</v>
      </c>
      <c r="U315" s="0" t="s">
        <v>102</v>
      </c>
      <c r="V315" s="0" t="s">
        <v>240</v>
      </c>
      <c r="W315" s="0" t="s">
        <v>240</v>
      </c>
      <c r="X315" s="0" t="s">
        <v>5485</v>
      </c>
      <c r="Y315" s="0" t="s">
        <v>240</v>
      </c>
      <c r="Z315" s="0" t="s">
        <v>161</v>
      </c>
      <c r="AA315" s="0" t="s">
        <v>152</v>
      </c>
      <c r="AB315" s="0" t="s">
        <v>152</v>
      </c>
      <c r="AC315" s="0" t="s">
        <v>2989</v>
      </c>
      <c r="AD315" s="0" t="s">
        <v>2989</v>
      </c>
      <c r="AE315" s="0" t="s">
        <v>2990</v>
      </c>
      <c r="AF315" s="0" t="s">
        <v>5803</v>
      </c>
      <c r="AG315" s="0" t="s">
        <v>5804</v>
      </c>
      <c r="AH315" s="0" t="s">
        <v>5617</v>
      </c>
      <c r="AI315" s="0" t="s">
        <v>6905</v>
      </c>
      <c r="AJ315" s="0" t="s">
        <v>5576</v>
      </c>
      <c r="AK315" s="0" t="s">
        <v>5814</v>
      </c>
      <c r="AL315" s="0" t="s">
        <v>5506</v>
      </c>
      <c r="AM315" s="0" t="s">
        <v>5493</v>
      </c>
      <c r="AN315" s="0" t="s">
        <v>5578</v>
      </c>
      <c r="AO315" s="0" t="s">
        <v>5625</v>
      </c>
      <c r="AP315" s="0" t="s">
        <v>240</v>
      </c>
      <c r="AQ315" s="0" t="s">
        <v>240</v>
      </c>
      <c r="AR315" s="0" t="s">
        <v>240</v>
      </c>
      <c r="AS315" s="0" t="s">
        <v>240</v>
      </c>
      <c r="AT315" s="0" t="s">
        <v>240</v>
      </c>
      <c r="AU315" s="0" t="s">
        <v>240</v>
      </c>
      <c r="AV315" s="0" t="s">
        <v>240</v>
      </c>
      <c r="AW315" s="0" t="s">
        <v>240</v>
      </c>
      <c r="AX315" s="0" t="s">
        <v>240</v>
      </c>
      <c r="AY315" s="0" t="s">
        <v>240</v>
      </c>
      <c r="AZ315" s="0" t="s">
        <v>240</v>
      </c>
      <c r="BA315" s="0" t="s">
        <v>240</v>
      </c>
      <c r="BB315" s="0" t="s">
        <v>240</v>
      </c>
      <c r="BC315" s="0" t="s">
        <v>240</v>
      </c>
      <c r="BD315" s="0" t="s">
        <v>240</v>
      </c>
      <c r="BE315" s="0" t="s">
        <v>240</v>
      </c>
      <c r="BF315" s="0" t="s">
        <v>240</v>
      </c>
      <c r="BG315" s="0" t="s">
        <v>240</v>
      </c>
      <c r="BH315" s="0" t="s">
        <v>240</v>
      </c>
      <c r="BI315" s="0" t="s">
        <v>240</v>
      </c>
      <c r="BJ315" s="0" t="s">
        <v>240</v>
      </c>
      <c r="BK315" s="0" t="s">
        <v>240</v>
      </c>
      <c r="BL315" s="0" t="s">
        <v>240</v>
      </c>
      <c r="BM315" s="0" t="s">
        <v>240</v>
      </c>
      <c r="BN315" s="0" t="s">
        <v>240</v>
      </c>
      <c r="BO315" s="0" t="s">
        <v>240</v>
      </c>
      <c r="BP315" s="0" t="s">
        <v>240</v>
      </c>
      <c r="BQ315" s="0" t="s">
        <v>240</v>
      </c>
      <c r="BR315" s="0" t="s">
        <v>240</v>
      </c>
      <c r="BS315" s="0" t="s">
        <v>240</v>
      </c>
      <c r="BT315" s="0" t="s">
        <v>240</v>
      </c>
      <c r="BU315" s="0" t="s">
        <v>240</v>
      </c>
      <c r="BV315" s="0" t="s">
        <v>240</v>
      </c>
      <c r="BW315" s="0" t="s">
        <v>240</v>
      </c>
      <c r="BX315" s="0" t="s">
        <v>240</v>
      </c>
      <c r="BY315" s="0" t="s">
        <v>240</v>
      </c>
      <c r="BZ315" s="0" t="s">
        <v>240</v>
      </c>
      <c r="CA315" s="0" t="s">
        <v>240</v>
      </c>
      <c r="CB315" s="0" t="s">
        <v>240</v>
      </c>
      <c r="CC315" s="0" t="s">
        <v>240</v>
      </c>
      <c r="CD315" s="0" t="s">
        <v>240</v>
      </c>
      <c r="CE315" s="0" t="s">
        <v>240</v>
      </c>
      <c r="CF315" s="0" t="s">
        <v>240</v>
      </c>
      <c r="CG315" s="0" t="s">
        <v>240</v>
      </c>
      <c r="CH315" s="0" t="s">
        <v>240</v>
      </c>
      <c r="CI315" s="0" t="s">
        <v>240</v>
      </c>
      <c r="CJ315" s="0" t="s">
        <v>240</v>
      </c>
      <c r="CK315" s="0" t="s">
        <v>240</v>
      </c>
      <c r="CL315" s="0" t="s">
        <v>240</v>
      </c>
      <c r="CM315" s="0" t="s">
        <v>240</v>
      </c>
      <c r="CN315" s="0" t="s">
        <v>240</v>
      </c>
      <c r="CO315" s="0" t="s">
        <v>240</v>
      </c>
      <c r="CP315" s="0" t="s">
        <v>240</v>
      </c>
      <c r="CQ315" s="0" t="s">
        <v>240</v>
      </c>
      <c r="CR315" s="0" t="s">
        <v>240</v>
      </c>
      <c r="CS315" s="0" t="s">
        <v>240</v>
      </c>
      <c r="CT315" s="0" t="s">
        <v>5496</v>
      </c>
      <c r="CU315" s="0" t="s">
        <v>5497</v>
      </c>
      <c r="CV315" s="0" t="s">
        <v>443</v>
      </c>
      <c r="CW315" s="0" t="s">
        <v>5580</v>
      </c>
      <c r="CX315" s="0" t="s">
        <v>229</v>
      </c>
      <c r="CY315" s="0" t="s">
        <v>443</v>
      </c>
      <c r="CZ315" s="0" t="s">
        <v>5581</v>
      </c>
      <c r="DA315" s="0" t="s">
        <v>5582</v>
      </c>
      <c r="DB315" s="0" t="s">
        <v>5580</v>
      </c>
      <c r="DC315" s="0" t="s">
        <v>384</v>
      </c>
      <c r="DD315" s="0" t="s">
        <v>291</v>
      </c>
      <c r="DE315" s="0" t="s">
        <v>6906</v>
      </c>
    </row>
    <row customHeight="1" ht="11.25">
      <c r="A316" s="1441" t="s">
        <v>240</v>
      </c>
      <c r="B316" s="0" t="s">
        <v>240</v>
      </c>
      <c r="C316" s="0" t="s">
        <v>240</v>
      </c>
      <c r="D316" s="0" t="s">
        <v>240</v>
      </c>
      <c r="E316" s="0" t="s">
        <v>240</v>
      </c>
      <c r="F316" s="0" t="s">
        <v>240</v>
      </c>
      <c r="G316" s="0" t="s">
        <v>240</v>
      </c>
      <c r="H316" s="0" t="s">
        <v>240</v>
      </c>
      <c r="I316" s="0" t="s">
        <v>5484</v>
      </c>
      <c r="J316" s="0" t="s">
        <v>240</v>
      </c>
      <c r="K316" s="0" t="s">
        <v>240</v>
      </c>
      <c r="L316" s="0" t="s">
        <v>240</v>
      </c>
      <c r="M316" s="0" t="s">
        <v>240</v>
      </c>
      <c r="N316" s="0" t="s">
        <v>240</v>
      </c>
      <c r="O316" s="0" t="s">
        <v>240</v>
      </c>
      <c r="P316" s="0" t="s">
        <v>240</v>
      </c>
      <c r="Q316" s="0" t="s">
        <v>240</v>
      </c>
      <c r="R316" s="0" t="s">
        <v>5572</v>
      </c>
      <c r="S316" s="0" t="s">
        <v>240</v>
      </c>
      <c r="T316" s="0" t="s">
        <v>240</v>
      </c>
      <c r="U316" s="0" t="s">
        <v>102</v>
      </c>
      <c r="V316" s="0" t="s">
        <v>240</v>
      </c>
      <c r="W316" s="0" t="s">
        <v>240</v>
      </c>
      <c r="X316" s="0" t="s">
        <v>5485</v>
      </c>
      <c r="Y316" s="0" t="s">
        <v>240</v>
      </c>
      <c r="Z316" s="0" t="s">
        <v>161</v>
      </c>
      <c r="AA316" s="0" t="s">
        <v>152</v>
      </c>
      <c r="AB316" s="0" t="s">
        <v>152</v>
      </c>
      <c r="AC316" s="0" t="s">
        <v>2989</v>
      </c>
      <c r="AD316" s="0" t="s">
        <v>2989</v>
      </c>
      <c r="AE316" s="0" t="s">
        <v>2990</v>
      </c>
      <c r="AF316" s="0" t="s">
        <v>5803</v>
      </c>
      <c r="AG316" s="0" t="s">
        <v>5804</v>
      </c>
      <c r="AH316" s="0" t="s">
        <v>5617</v>
      </c>
      <c r="AI316" s="0" t="s">
        <v>6907</v>
      </c>
      <c r="AJ316" s="0" t="s">
        <v>5576</v>
      </c>
      <c r="AK316" s="0" t="s">
        <v>6908</v>
      </c>
      <c r="AL316" s="0" t="s">
        <v>5506</v>
      </c>
      <c r="AM316" s="0" t="s">
        <v>5493</v>
      </c>
      <c r="AN316" s="0" t="s">
        <v>5578</v>
      </c>
      <c r="AO316" s="0" t="s">
        <v>5579</v>
      </c>
      <c r="AP316" s="0" t="s">
        <v>240</v>
      </c>
      <c r="AQ316" s="0" t="s">
        <v>240</v>
      </c>
      <c r="AR316" s="0" t="s">
        <v>240</v>
      </c>
      <c r="AS316" s="0" t="s">
        <v>240</v>
      </c>
      <c r="AT316" s="0" t="s">
        <v>240</v>
      </c>
      <c r="AU316" s="0" t="s">
        <v>240</v>
      </c>
      <c r="AV316" s="0" t="s">
        <v>240</v>
      </c>
      <c r="AW316" s="0" t="s">
        <v>240</v>
      </c>
      <c r="AX316" s="0" t="s">
        <v>240</v>
      </c>
      <c r="AY316" s="0" t="s">
        <v>240</v>
      </c>
      <c r="AZ316" s="0" t="s">
        <v>240</v>
      </c>
      <c r="BA316" s="0" t="s">
        <v>240</v>
      </c>
      <c r="BB316" s="0" t="s">
        <v>240</v>
      </c>
      <c r="BC316" s="0" t="s">
        <v>240</v>
      </c>
      <c r="BD316" s="0" t="s">
        <v>240</v>
      </c>
      <c r="BE316" s="0" t="s">
        <v>240</v>
      </c>
      <c r="BF316" s="0" t="s">
        <v>240</v>
      </c>
      <c r="BG316" s="0" t="s">
        <v>240</v>
      </c>
      <c r="BH316" s="0" t="s">
        <v>240</v>
      </c>
      <c r="BI316" s="0" t="s">
        <v>240</v>
      </c>
      <c r="BJ316" s="0" t="s">
        <v>240</v>
      </c>
      <c r="BK316" s="0" t="s">
        <v>240</v>
      </c>
      <c r="BL316" s="0" t="s">
        <v>240</v>
      </c>
      <c r="BM316" s="0" t="s">
        <v>240</v>
      </c>
      <c r="BN316" s="0" t="s">
        <v>240</v>
      </c>
      <c r="BO316" s="0" t="s">
        <v>240</v>
      </c>
      <c r="BP316" s="0" t="s">
        <v>240</v>
      </c>
      <c r="BQ316" s="0" t="s">
        <v>240</v>
      </c>
      <c r="BR316" s="0" t="s">
        <v>240</v>
      </c>
      <c r="BS316" s="0" t="s">
        <v>240</v>
      </c>
      <c r="BT316" s="0" t="s">
        <v>240</v>
      </c>
      <c r="BU316" s="0" t="s">
        <v>240</v>
      </c>
      <c r="BV316" s="0" t="s">
        <v>240</v>
      </c>
      <c r="BW316" s="0" t="s">
        <v>240</v>
      </c>
      <c r="BX316" s="0" t="s">
        <v>240</v>
      </c>
      <c r="BY316" s="0" t="s">
        <v>240</v>
      </c>
      <c r="BZ316" s="0" t="s">
        <v>240</v>
      </c>
      <c r="CA316" s="0" t="s">
        <v>240</v>
      </c>
      <c r="CB316" s="0" t="s">
        <v>240</v>
      </c>
      <c r="CC316" s="0" t="s">
        <v>240</v>
      </c>
      <c r="CD316" s="0" t="s">
        <v>240</v>
      </c>
      <c r="CE316" s="0" t="s">
        <v>240</v>
      </c>
      <c r="CF316" s="0" t="s">
        <v>240</v>
      </c>
      <c r="CG316" s="0" t="s">
        <v>240</v>
      </c>
      <c r="CH316" s="0" t="s">
        <v>240</v>
      </c>
      <c r="CI316" s="0" t="s">
        <v>240</v>
      </c>
      <c r="CJ316" s="0" t="s">
        <v>240</v>
      </c>
      <c r="CK316" s="0" t="s">
        <v>240</v>
      </c>
      <c r="CL316" s="0" t="s">
        <v>240</v>
      </c>
      <c r="CM316" s="0" t="s">
        <v>240</v>
      </c>
      <c r="CN316" s="0" t="s">
        <v>240</v>
      </c>
      <c r="CO316" s="0" t="s">
        <v>240</v>
      </c>
      <c r="CP316" s="0" t="s">
        <v>240</v>
      </c>
      <c r="CQ316" s="0" t="s">
        <v>240</v>
      </c>
      <c r="CR316" s="0" t="s">
        <v>240</v>
      </c>
      <c r="CS316" s="0" t="s">
        <v>240</v>
      </c>
      <c r="CT316" s="0" t="s">
        <v>5496</v>
      </c>
      <c r="CU316" s="0" t="s">
        <v>5497</v>
      </c>
      <c r="CV316" s="0" t="s">
        <v>443</v>
      </c>
      <c r="CW316" s="0" t="s">
        <v>5580</v>
      </c>
      <c r="CX316" s="0" t="s">
        <v>229</v>
      </c>
      <c r="CY316" s="0" t="s">
        <v>443</v>
      </c>
      <c r="CZ316" s="0" t="s">
        <v>5581</v>
      </c>
      <c r="DA316" s="0" t="s">
        <v>5582</v>
      </c>
      <c r="DB316" s="0" t="s">
        <v>5580</v>
      </c>
      <c r="DC316" s="0" t="s">
        <v>384</v>
      </c>
      <c r="DD316" s="0" t="s">
        <v>291</v>
      </c>
      <c r="DE316" s="0" t="s">
        <v>6909</v>
      </c>
    </row>
    <row customHeight="1" ht="11.25">
      <c r="A317" s="1441" t="s">
        <v>240</v>
      </c>
      <c r="B317" s="0" t="s">
        <v>240</v>
      </c>
      <c r="C317" s="0" t="s">
        <v>240</v>
      </c>
      <c r="D317" s="0" t="s">
        <v>240</v>
      </c>
      <c r="E317" s="0" t="s">
        <v>240</v>
      </c>
      <c r="F317" s="0" t="s">
        <v>240</v>
      </c>
      <c r="G317" s="0" t="s">
        <v>240</v>
      </c>
      <c r="H317" s="0" t="s">
        <v>240</v>
      </c>
      <c r="I317" s="0" t="s">
        <v>5484</v>
      </c>
      <c r="J317" s="0" t="s">
        <v>240</v>
      </c>
      <c r="K317" s="0" t="s">
        <v>240</v>
      </c>
      <c r="L317" s="0" t="s">
        <v>240</v>
      </c>
      <c r="M317" s="0" t="s">
        <v>240</v>
      </c>
      <c r="N317" s="0" t="s">
        <v>240</v>
      </c>
      <c r="O317" s="0" t="s">
        <v>240</v>
      </c>
      <c r="P317" s="0" t="s">
        <v>240</v>
      </c>
      <c r="Q317" s="0" t="s">
        <v>240</v>
      </c>
      <c r="R317" s="0" t="s">
        <v>5572</v>
      </c>
      <c r="S317" s="0" t="s">
        <v>240</v>
      </c>
      <c r="T317" s="0" t="s">
        <v>240</v>
      </c>
      <c r="U317" s="0" t="s">
        <v>102</v>
      </c>
      <c r="V317" s="0" t="s">
        <v>240</v>
      </c>
      <c r="W317" s="0" t="s">
        <v>240</v>
      </c>
      <c r="X317" s="0" t="s">
        <v>5485</v>
      </c>
      <c r="Y317" s="0" t="s">
        <v>240</v>
      </c>
      <c r="Z317" s="0" t="s">
        <v>161</v>
      </c>
      <c r="AA317" s="0" t="s">
        <v>152</v>
      </c>
      <c r="AB317" s="0" t="s">
        <v>152</v>
      </c>
      <c r="AC317" s="0" t="s">
        <v>2989</v>
      </c>
      <c r="AD317" s="0" t="s">
        <v>2989</v>
      </c>
      <c r="AE317" s="0" t="s">
        <v>2990</v>
      </c>
      <c r="AF317" s="0" t="s">
        <v>5803</v>
      </c>
      <c r="AG317" s="0" t="s">
        <v>5804</v>
      </c>
      <c r="AH317" s="0" t="s">
        <v>6910</v>
      </c>
      <c r="AI317" s="0" t="s">
        <v>6911</v>
      </c>
      <c r="AJ317" s="0" t="s">
        <v>5576</v>
      </c>
      <c r="AK317" s="0" t="s">
        <v>6401</v>
      </c>
      <c r="AL317" s="0" t="s">
        <v>5506</v>
      </c>
      <c r="AM317" s="0" t="s">
        <v>5493</v>
      </c>
      <c r="AN317" s="0" t="s">
        <v>5578</v>
      </c>
      <c r="AO317" s="0" t="s">
        <v>5625</v>
      </c>
      <c r="AP317" s="0" t="s">
        <v>240</v>
      </c>
      <c r="AQ317" s="0" t="s">
        <v>240</v>
      </c>
      <c r="AR317" s="0" t="s">
        <v>240</v>
      </c>
      <c r="AS317" s="0" t="s">
        <v>240</v>
      </c>
      <c r="AT317" s="0" t="s">
        <v>240</v>
      </c>
      <c r="AU317" s="0" t="s">
        <v>240</v>
      </c>
      <c r="AV317" s="0" t="s">
        <v>240</v>
      </c>
      <c r="AW317" s="0" t="s">
        <v>240</v>
      </c>
      <c r="AX317" s="0" t="s">
        <v>240</v>
      </c>
      <c r="AY317" s="0" t="s">
        <v>240</v>
      </c>
      <c r="AZ317" s="0" t="s">
        <v>240</v>
      </c>
      <c r="BA317" s="0" t="s">
        <v>240</v>
      </c>
      <c r="BB317" s="0" t="s">
        <v>240</v>
      </c>
      <c r="BC317" s="0" t="s">
        <v>240</v>
      </c>
      <c r="BD317" s="0" t="s">
        <v>240</v>
      </c>
      <c r="BE317" s="0" t="s">
        <v>240</v>
      </c>
      <c r="BF317" s="0" t="s">
        <v>240</v>
      </c>
      <c r="BG317" s="0" t="s">
        <v>240</v>
      </c>
      <c r="BH317" s="0" t="s">
        <v>240</v>
      </c>
      <c r="BI317" s="0" t="s">
        <v>240</v>
      </c>
      <c r="BJ317" s="0" t="s">
        <v>240</v>
      </c>
      <c r="BK317" s="0" t="s">
        <v>240</v>
      </c>
      <c r="BL317" s="0" t="s">
        <v>240</v>
      </c>
      <c r="BM317" s="0" t="s">
        <v>240</v>
      </c>
      <c r="BN317" s="0" t="s">
        <v>240</v>
      </c>
      <c r="BO317" s="0" t="s">
        <v>240</v>
      </c>
      <c r="BP317" s="0" t="s">
        <v>240</v>
      </c>
      <c r="BQ317" s="0" t="s">
        <v>240</v>
      </c>
      <c r="BR317" s="0" t="s">
        <v>240</v>
      </c>
      <c r="BS317" s="0" t="s">
        <v>240</v>
      </c>
      <c r="BT317" s="0" t="s">
        <v>240</v>
      </c>
      <c r="BU317" s="0" t="s">
        <v>240</v>
      </c>
      <c r="BV317" s="0" t="s">
        <v>240</v>
      </c>
      <c r="BW317" s="0" t="s">
        <v>240</v>
      </c>
      <c r="BX317" s="0" t="s">
        <v>240</v>
      </c>
      <c r="BY317" s="0" t="s">
        <v>240</v>
      </c>
      <c r="BZ317" s="0" t="s">
        <v>240</v>
      </c>
      <c r="CA317" s="0" t="s">
        <v>240</v>
      </c>
      <c r="CB317" s="0" t="s">
        <v>240</v>
      </c>
      <c r="CC317" s="0" t="s">
        <v>240</v>
      </c>
      <c r="CD317" s="0" t="s">
        <v>240</v>
      </c>
      <c r="CE317" s="0" t="s">
        <v>240</v>
      </c>
      <c r="CF317" s="0" t="s">
        <v>240</v>
      </c>
      <c r="CG317" s="0" t="s">
        <v>240</v>
      </c>
      <c r="CH317" s="0" t="s">
        <v>240</v>
      </c>
      <c r="CI317" s="0" t="s">
        <v>240</v>
      </c>
      <c r="CJ317" s="0" t="s">
        <v>240</v>
      </c>
      <c r="CK317" s="0" t="s">
        <v>240</v>
      </c>
      <c r="CL317" s="0" t="s">
        <v>240</v>
      </c>
      <c r="CM317" s="0" t="s">
        <v>240</v>
      </c>
      <c r="CN317" s="0" t="s">
        <v>240</v>
      </c>
      <c r="CO317" s="0" t="s">
        <v>240</v>
      </c>
      <c r="CP317" s="0" t="s">
        <v>240</v>
      </c>
      <c r="CQ317" s="0" t="s">
        <v>240</v>
      </c>
      <c r="CR317" s="0" t="s">
        <v>240</v>
      </c>
      <c r="CS317" s="0" t="s">
        <v>240</v>
      </c>
      <c r="CT317" s="0" t="s">
        <v>5496</v>
      </c>
      <c r="CU317" s="0" t="s">
        <v>5497</v>
      </c>
      <c r="CV317" s="0" t="s">
        <v>443</v>
      </c>
      <c r="CW317" s="0" t="s">
        <v>5580</v>
      </c>
      <c r="CX317" s="0" t="s">
        <v>229</v>
      </c>
      <c r="CY317" s="0" t="s">
        <v>443</v>
      </c>
      <c r="CZ317" s="0" t="s">
        <v>5581</v>
      </c>
      <c r="DA317" s="0" t="s">
        <v>5582</v>
      </c>
      <c r="DB317" s="0" t="s">
        <v>5580</v>
      </c>
      <c r="DC317" s="0" t="s">
        <v>384</v>
      </c>
      <c r="DD317" s="0" t="s">
        <v>291</v>
      </c>
      <c r="DE317" s="0" t="s">
        <v>6912</v>
      </c>
    </row>
    <row customHeight="1" ht="11.25">
      <c r="A318" s="1441" t="s">
        <v>240</v>
      </c>
      <c r="B318" s="0" t="s">
        <v>240</v>
      </c>
      <c r="C318" s="0" t="s">
        <v>240</v>
      </c>
      <c r="D318" s="0" t="s">
        <v>240</v>
      </c>
      <c r="E318" s="0" t="s">
        <v>240</v>
      </c>
      <c r="F318" s="0" t="s">
        <v>240</v>
      </c>
      <c r="G318" s="0" t="s">
        <v>240</v>
      </c>
      <c r="H318" s="0" t="s">
        <v>240</v>
      </c>
      <c r="I318" s="0" t="s">
        <v>5484</v>
      </c>
      <c r="J318" s="0" t="s">
        <v>240</v>
      </c>
      <c r="K318" s="0" t="s">
        <v>240</v>
      </c>
      <c r="L318" s="0" t="s">
        <v>240</v>
      </c>
      <c r="M318" s="0" t="s">
        <v>240</v>
      </c>
      <c r="N318" s="0" t="s">
        <v>240</v>
      </c>
      <c r="O318" s="0" t="s">
        <v>240</v>
      </c>
      <c r="P318" s="0" t="s">
        <v>240</v>
      </c>
      <c r="Q318" s="0" t="s">
        <v>240</v>
      </c>
      <c r="R318" s="0" t="s">
        <v>464</v>
      </c>
      <c r="S318" s="0" t="s">
        <v>240</v>
      </c>
      <c r="T318" s="0" t="s">
        <v>240</v>
      </c>
      <c r="U318" s="0" t="s">
        <v>102</v>
      </c>
      <c r="V318" s="0" t="s">
        <v>240</v>
      </c>
      <c r="W318" s="0" t="s">
        <v>240</v>
      </c>
      <c r="X318" s="0" t="s">
        <v>5485</v>
      </c>
      <c r="Y318" s="0" t="s">
        <v>240</v>
      </c>
      <c r="Z318" s="0" t="s">
        <v>161</v>
      </c>
      <c r="AA318" s="0" t="s">
        <v>152</v>
      </c>
      <c r="AB318" s="0" t="s">
        <v>152</v>
      </c>
      <c r="AC318" s="0" t="s">
        <v>364</v>
      </c>
      <c r="AD318" s="0" t="s">
        <v>364</v>
      </c>
      <c r="AE318" s="0" t="s">
        <v>365</v>
      </c>
      <c r="AF318" s="0" t="s">
        <v>5486</v>
      </c>
      <c r="AG318" s="0" t="s">
        <v>5487</v>
      </c>
      <c r="AH318" s="0" t="s">
        <v>6913</v>
      </c>
      <c r="AI318" s="0" t="s">
        <v>478</v>
      </c>
      <c r="AJ318" s="0" t="s">
        <v>6914</v>
      </c>
      <c r="AK318" s="0" t="s">
        <v>6519</v>
      </c>
      <c r="AL318" s="0" t="s">
        <v>5492</v>
      </c>
      <c r="AM318" s="0" t="s">
        <v>5493</v>
      </c>
      <c r="AN318" s="0" t="s">
        <v>5822</v>
      </c>
      <c r="AO318" s="0" t="s">
        <v>5777</v>
      </c>
      <c r="AP318" s="0" t="s">
        <v>240</v>
      </c>
      <c r="AQ318" s="0" t="s">
        <v>240</v>
      </c>
      <c r="AR318" s="0" t="s">
        <v>240</v>
      </c>
      <c r="AS318" s="0" t="s">
        <v>240</v>
      </c>
      <c r="AT318" s="0" t="s">
        <v>240</v>
      </c>
      <c r="AU318" s="0" t="s">
        <v>240</v>
      </c>
      <c r="AV318" s="0" t="s">
        <v>240</v>
      </c>
      <c r="AW318" s="0" t="s">
        <v>240</v>
      </c>
      <c r="AX318" s="0" t="s">
        <v>240</v>
      </c>
      <c r="AY318" s="0" t="s">
        <v>240</v>
      </c>
      <c r="AZ318" s="0" t="s">
        <v>240</v>
      </c>
      <c r="BA318" s="0" t="s">
        <v>240</v>
      </c>
      <c r="BB318" s="0" t="s">
        <v>240</v>
      </c>
      <c r="BC318" s="0" t="s">
        <v>240</v>
      </c>
      <c r="BD318" s="0" t="s">
        <v>240</v>
      </c>
      <c r="BE318" s="0" t="s">
        <v>240</v>
      </c>
      <c r="BF318" s="0" t="s">
        <v>240</v>
      </c>
      <c r="BG318" s="0" t="s">
        <v>240</v>
      </c>
      <c r="BH318" s="0" t="s">
        <v>240</v>
      </c>
      <c r="BI318" s="0" t="s">
        <v>240</v>
      </c>
      <c r="BJ318" s="0" t="s">
        <v>240</v>
      </c>
      <c r="BK318" s="0" t="s">
        <v>240</v>
      </c>
      <c r="BL318" s="0" t="s">
        <v>240</v>
      </c>
      <c r="BM318" s="0" t="s">
        <v>240</v>
      </c>
      <c r="BN318" s="0" t="s">
        <v>240</v>
      </c>
      <c r="BO318" s="0" t="s">
        <v>240</v>
      </c>
      <c r="BP318" s="0" t="s">
        <v>240</v>
      </c>
      <c r="BQ318" s="0" t="s">
        <v>240</v>
      </c>
      <c r="BR318" s="0" t="s">
        <v>240</v>
      </c>
      <c r="BS318" s="0" t="s">
        <v>240</v>
      </c>
      <c r="BT318" s="0" t="s">
        <v>240</v>
      </c>
      <c r="BU318" s="0" t="s">
        <v>240</v>
      </c>
      <c r="BV318" s="0" t="s">
        <v>240</v>
      </c>
      <c r="BW318" s="0" t="s">
        <v>240</v>
      </c>
      <c r="BX318" s="0" t="s">
        <v>240</v>
      </c>
      <c r="BY318" s="0" t="s">
        <v>240</v>
      </c>
      <c r="BZ318" s="0" t="s">
        <v>240</v>
      </c>
      <c r="CA318" s="0" t="s">
        <v>240</v>
      </c>
      <c r="CB318" s="0" t="s">
        <v>240</v>
      </c>
      <c r="CC318" s="0" t="s">
        <v>240</v>
      </c>
      <c r="CD318" s="0" t="s">
        <v>240</v>
      </c>
      <c r="CE318" s="0" t="s">
        <v>240</v>
      </c>
      <c r="CF318" s="0" t="s">
        <v>240</v>
      </c>
      <c r="CG318" s="0" t="s">
        <v>240</v>
      </c>
      <c r="CH318" s="0" t="s">
        <v>240</v>
      </c>
      <c r="CI318" s="0" t="s">
        <v>240</v>
      </c>
      <c r="CJ318" s="0" t="s">
        <v>240</v>
      </c>
      <c r="CK318" s="0" t="s">
        <v>240</v>
      </c>
      <c r="CL318" s="0" t="s">
        <v>240</v>
      </c>
      <c r="CM318" s="0" t="s">
        <v>240</v>
      </c>
      <c r="CN318" s="0" t="s">
        <v>240</v>
      </c>
      <c r="CO318" s="0" t="s">
        <v>240</v>
      </c>
      <c r="CP318" s="0" t="s">
        <v>240</v>
      </c>
      <c r="CQ318" s="0" t="s">
        <v>240</v>
      </c>
      <c r="CR318" s="0" t="s">
        <v>240</v>
      </c>
      <c r="CS318" s="0" t="s">
        <v>240</v>
      </c>
      <c r="CT318" s="0" t="s">
        <v>5496</v>
      </c>
      <c r="CU318" s="0" t="s">
        <v>5497</v>
      </c>
      <c r="CV318" s="0" t="s">
        <v>443</v>
      </c>
      <c r="CW318" s="0" t="s">
        <v>5498</v>
      </c>
      <c r="CX318" s="0" t="s">
        <v>229</v>
      </c>
      <c r="CY318" s="0" t="s">
        <v>443</v>
      </c>
      <c r="CZ318" s="0" t="s">
        <v>230</v>
      </c>
      <c r="DA318" s="0" t="s">
        <v>444</v>
      </c>
      <c r="DB318" s="0" t="s">
        <v>5498</v>
      </c>
      <c r="DC318" s="0" t="s">
        <v>384</v>
      </c>
      <c r="DD318" s="0" t="s">
        <v>291</v>
      </c>
      <c r="DE318" s="0" t="s">
        <v>465</v>
      </c>
    </row>
    <row customHeight="1" ht="11.25">
      <c r="A319" s="1441" t="s">
        <v>240</v>
      </c>
      <c r="B319" s="0" t="s">
        <v>240</v>
      </c>
      <c r="C319" s="0" t="s">
        <v>240</v>
      </c>
      <c r="D319" s="0" t="s">
        <v>240</v>
      </c>
      <c r="E319" s="0" t="s">
        <v>240</v>
      </c>
      <c r="F319" s="0" t="s">
        <v>240</v>
      </c>
      <c r="G319" s="0" t="s">
        <v>240</v>
      </c>
      <c r="H319" s="0" t="s">
        <v>240</v>
      </c>
      <c r="I319" s="0" t="s">
        <v>5484</v>
      </c>
      <c r="J319" s="0" t="s">
        <v>240</v>
      </c>
      <c r="K319" s="0" t="s">
        <v>240</v>
      </c>
      <c r="L319" s="0" t="s">
        <v>240</v>
      </c>
      <c r="M319" s="0" t="s">
        <v>240</v>
      </c>
      <c r="N319" s="0" t="s">
        <v>240</v>
      </c>
      <c r="O319" s="0" t="s">
        <v>240</v>
      </c>
      <c r="P319" s="0" t="s">
        <v>240</v>
      </c>
      <c r="Q319" s="0" t="s">
        <v>240</v>
      </c>
      <c r="R319" s="0" t="s">
        <v>455</v>
      </c>
      <c r="S319" s="0" t="s">
        <v>240</v>
      </c>
      <c r="T319" s="0" t="s">
        <v>240</v>
      </c>
      <c r="U319" s="0" t="s">
        <v>102</v>
      </c>
      <c r="V319" s="0" t="s">
        <v>240</v>
      </c>
      <c r="W319" s="0" t="s">
        <v>240</v>
      </c>
      <c r="X319" s="0" t="s">
        <v>5485</v>
      </c>
      <c r="Y319" s="0" t="s">
        <v>240</v>
      </c>
      <c r="Z319" s="0" t="s">
        <v>161</v>
      </c>
      <c r="AA319" s="0" t="s">
        <v>152</v>
      </c>
      <c r="AB319" s="0" t="s">
        <v>152</v>
      </c>
      <c r="AC319" s="0" t="s">
        <v>364</v>
      </c>
      <c r="AD319" s="0" t="s">
        <v>364</v>
      </c>
      <c r="AE319" s="0" t="s">
        <v>365</v>
      </c>
      <c r="AF319" s="0" t="s">
        <v>5486</v>
      </c>
      <c r="AG319" s="0" t="s">
        <v>5487</v>
      </c>
      <c r="AH319" s="0" t="s">
        <v>6915</v>
      </c>
      <c r="AI319" s="0" t="s">
        <v>6916</v>
      </c>
      <c r="AJ319" s="0" t="s">
        <v>6917</v>
      </c>
      <c r="AK319" s="0" t="s">
        <v>5490</v>
      </c>
      <c r="AL319" s="0" t="s">
        <v>5492</v>
      </c>
      <c r="AM319" s="0" t="s">
        <v>5493</v>
      </c>
      <c r="AN319" s="0" t="s">
        <v>5822</v>
      </c>
      <c r="AO319" s="0" t="s">
        <v>5877</v>
      </c>
      <c r="AP319" s="0" t="s">
        <v>240</v>
      </c>
      <c r="AQ319" s="0" t="s">
        <v>240</v>
      </c>
      <c r="AR319" s="0" t="s">
        <v>240</v>
      </c>
      <c r="AS319" s="0" t="s">
        <v>240</v>
      </c>
      <c r="AT319" s="0" t="s">
        <v>240</v>
      </c>
      <c r="AU319" s="0" t="s">
        <v>240</v>
      </c>
      <c r="AV319" s="0" t="s">
        <v>240</v>
      </c>
      <c r="AW319" s="0" t="s">
        <v>240</v>
      </c>
      <c r="AX319" s="0" t="s">
        <v>240</v>
      </c>
      <c r="AY319" s="0" t="s">
        <v>240</v>
      </c>
      <c r="AZ319" s="0" t="s">
        <v>240</v>
      </c>
      <c r="BA319" s="0" t="s">
        <v>240</v>
      </c>
      <c r="BB319" s="0" t="s">
        <v>240</v>
      </c>
      <c r="BC319" s="0" t="s">
        <v>240</v>
      </c>
      <c r="BD319" s="0" t="s">
        <v>240</v>
      </c>
      <c r="BE319" s="0" t="s">
        <v>240</v>
      </c>
      <c r="BF319" s="0" t="s">
        <v>240</v>
      </c>
      <c r="BG319" s="0" t="s">
        <v>240</v>
      </c>
      <c r="BH319" s="0" t="s">
        <v>240</v>
      </c>
      <c r="BI319" s="0" t="s">
        <v>240</v>
      </c>
      <c r="BJ319" s="0" t="s">
        <v>240</v>
      </c>
      <c r="BK319" s="0" t="s">
        <v>240</v>
      </c>
      <c r="BL319" s="0" t="s">
        <v>240</v>
      </c>
      <c r="BM319" s="0" t="s">
        <v>240</v>
      </c>
      <c r="BN319" s="0" t="s">
        <v>240</v>
      </c>
      <c r="BO319" s="0" t="s">
        <v>240</v>
      </c>
      <c r="BP319" s="0" t="s">
        <v>240</v>
      </c>
      <c r="BQ319" s="0" t="s">
        <v>240</v>
      </c>
      <c r="BR319" s="0" t="s">
        <v>240</v>
      </c>
      <c r="BS319" s="0" t="s">
        <v>240</v>
      </c>
      <c r="BT319" s="0" t="s">
        <v>240</v>
      </c>
      <c r="BU319" s="0" t="s">
        <v>240</v>
      </c>
      <c r="BV319" s="0" t="s">
        <v>240</v>
      </c>
      <c r="BW319" s="0" t="s">
        <v>240</v>
      </c>
      <c r="BX319" s="0" t="s">
        <v>240</v>
      </c>
      <c r="BY319" s="0" t="s">
        <v>240</v>
      </c>
      <c r="BZ319" s="0" t="s">
        <v>240</v>
      </c>
      <c r="CA319" s="0" t="s">
        <v>240</v>
      </c>
      <c r="CB319" s="0" t="s">
        <v>240</v>
      </c>
      <c r="CC319" s="0" t="s">
        <v>240</v>
      </c>
      <c r="CD319" s="0" t="s">
        <v>240</v>
      </c>
      <c r="CE319" s="0" t="s">
        <v>240</v>
      </c>
      <c r="CF319" s="0" t="s">
        <v>240</v>
      </c>
      <c r="CG319" s="0" t="s">
        <v>240</v>
      </c>
      <c r="CH319" s="0" t="s">
        <v>240</v>
      </c>
      <c r="CI319" s="0" t="s">
        <v>240</v>
      </c>
      <c r="CJ319" s="0" t="s">
        <v>240</v>
      </c>
      <c r="CK319" s="0" t="s">
        <v>240</v>
      </c>
      <c r="CL319" s="0" t="s">
        <v>240</v>
      </c>
      <c r="CM319" s="0" t="s">
        <v>240</v>
      </c>
      <c r="CN319" s="0" t="s">
        <v>240</v>
      </c>
      <c r="CO319" s="0" t="s">
        <v>240</v>
      </c>
      <c r="CP319" s="0" t="s">
        <v>240</v>
      </c>
      <c r="CQ319" s="0" t="s">
        <v>240</v>
      </c>
      <c r="CR319" s="0" t="s">
        <v>240</v>
      </c>
      <c r="CS319" s="0" t="s">
        <v>240</v>
      </c>
      <c r="CT319" s="0" t="s">
        <v>5496</v>
      </c>
      <c r="CU319" s="0" t="s">
        <v>5497</v>
      </c>
      <c r="CV319" s="0" t="s">
        <v>443</v>
      </c>
      <c r="CW319" s="0" t="s">
        <v>5498</v>
      </c>
      <c r="CX319" s="0" t="s">
        <v>229</v>
      </c>
      <c r="CY319" s="0" t="s">
        <v>443</v>
      </c>
      <c r="CZ319" s="0" t="s">
        <v>230</v>
      </c>
      <c r="DA319" s="0" t="s">
        <v>444</v>
      </c>
      <c r="DB319" s="0" t="s">
        <v>5498</v>
      </c>
      <c r="DC319" s="0" t="s">
        <v>384</v>
      </c>
      <c r="DD319" s="0" t="s">
        <v>291</v>
      </c>
      <c r="DE319" s="0" t="s">
        <v>456</v>
      </c>
    </row>
    <row customHeight="1" ht="11.25">
      <c r="A320" s="1441" t="s">
        <v>240</v>
      </c>
      <c r="B320" s="0" t="s">
        <v>240</v>
      </c>
      <c r="C320" s="0" t="s">
        <v>240</v>
      </c>
      <c r="D320" s="0" t="s">
        <v>240</v>
      </c>
      <c r="E320" s="0" t="s">
        <v>240</v>
      </c>
      <c r="F320" s="0" t="s">
        <v>240</v>
      </c>
      <c r="G320" s="0" t="s">
        <v>240</v>
      </c>
      <c r="H320" s="0" t="s">
        <v>240</v>
      </c>
      <c r="I320" s="0" t="s">
        <v>5484</v>
      </c>
      <c r="J320" s="0" t="s">
        <v>240</v>
      </c>
      <c r="K320" s="0" t="s">
        <v>240</v>
      </c>
      <c r="L320" s="0" t="s">
        <v>240</v>
      </c>
      <c r="M320" s="0" t="s">
        <v>240</v>
      </c>
      <c r="N320" s="0" t="s">
        <v>240</v>
      </c>
      <c r="O320" s="0" t="s">
        <v>240</v>
      </c>
      <c r="P320" s="0" t="s">
        <v>240</v>
      </c>
      <c r="Q320" s="0" t="s">
        <v>240</v>
      </c>
      <c r="R320" s="0" t="s">
        <v>6918</v>
      </c>
      <c r="S320" s="0" t="s">
        <v>240</v>
      </c>
      <c r="T320" s="0" t="s">
        <v>240</v>
      </c>
      <c r="U320" s="0" t="s">
        <v>102</v>
      </c>
      <c r="V320" s="0" t="s">
        <v>240</v>
      </c>
      <c r="W320" s="0" t="s">
        <v>240</v>
      </c>
      <c r="X320" s="0" t="s">
        <v>5585</v>
      </c>
      <c r="Y320" s="0" t="s">
        <v>240</v>
      </c>
      <c r="Z320" s="0" t="s">
        <v>152</v>
      </c>
      <c r="AA320" s="0" t="s">
        <v>152</v>
      </c>
      <c r="AB320" s="0" t="s">
        <v>161</v>
      </c>
      <c r="AC320" s="0" t="s">
        <v>2991</v>
      </c>
      <c r="AD320" s="0" t="s">
        <v>2991</v>
      </c>
      <c r="AE320" s="0" t="s">
        <v>2992</v>
      </c>
      <c r="AF320" s="0" t="s">
        <v>6706</v>
      </c>
      <c r="AG320" s="0" t="s">
        <v>6707</v>
      </c>
      <c r="AH320" s="0" t="s">
        <v>5575</v>
      </c>
      <c r="AI320" s="0" t="s">
        <v>5575</v>
      </c>
      <c r="AJ320" s="0" t="s">
        <v>240</v>
      </c>
      <c r="AK320" s="0" t="s">
        <v>240</v>
      </c>
      <c r="AL320" s="0" t="s">
        <v>240</v>
      </c>
      <c r="AM320" s="0" t="s">
        <v>240</v>
      </c>
      <c r="AN320" s="0" t="s">
        <v>240</v>
      </c>
      <c r="AO320" s="0" t="s">
        <v>240</v>
      </c>
      <c r="AP320" s="0" t="s">
        <v>240</v>
      </c>
      <c r="AQ320" s="0" t="s">
        <v>240</v>
      </c>
      <c r="AR320" s="0" t="s">
        <v>240</v>
      </c>
      <c r="AS320" s="0" t="s">
        <v>240</v>
      </c>
      <c r="AT320" s="0" t="s">
        <v>240</v>
      </c>
      <c r="AU320" s="0" t="s">
        <v>240</v>
      </c>
      <c r="AV320" s="0" t="s">
        <v>240</v>
      </c>
      <c r="AW320" s="0" t="s">
        <v>240</v>
      </c>
      <c r="AX320" s="0" t="s">
        <v>240</v>
      </c>
      <c r="AY320" s="0" t="s">
        <v>240</v>
      </c>
      <c r="AZ320" s="0" t="s">
        <v>240</v>
      </c>
      <c r="BA320" s="0" t="s">
        <v>240</v>
      </c>
      <c r="BB320" s="0" t="s">
        <v>240</v>
      </c>
      <c r="BC320" s="0" t="s">
        <v>240</v>
      </c>
      <c r="BD320" s="0" t="s">
        <v>240</v>
      </c>
      <c r="BE320" s="0" t="s">
        <v>5504</v>
      </c>
      <c r="BF320" s="0" t="s">
        <v>5672</v>
      </c>
      <c r="BG320" s="0" t="s">
        <v>112</v>
      </c>
      <c r="BH320" s="0" t="s">
        <v>5589</v>
      </c>
      <c r="BI320" s="0" t="s">
        <v>123</v>
      </c>
      <c r="BJ320" s="0" t="s">
        <v>240</v>
      </c>
      <c r="BK320" s="0" t="s">
        <v>5608</v>
      </c>
      <c r="BL320" s="0" t="s">
        <v>2991</v>
      </c>
      <c r="BM320" s="0" t="s">
        <v>2991</v>
      </c>
      <c r="BN320" s="0" t="s">
        <v>5663</v>
      </c>
      <c r="BO320" s="0" t="s">
        <v>6706</v>
      </c>
      <c r="BP320" s="0" t="s">
        <v>6919</v>
      </c>
      <c r="BQ320" s="0" t="s">
        <v>5575</v>
      </c>
      <c r="BR320" s="0" t="s">
        <v>5575</v>
      </c>
      <c r="BS320" s="0" t="s">
        <v>240</v>
      </c>
      <c r="BT320" s="0" t="s">
        <v>5650</v>
      </c>
      <c r="BU320" s="0" t="s">
        <v>6920</v>
      </c>
      <c r="BV320" s="0" t="s">
        <v>6920</v>
      </c>
      <c r="BW320" s="0" t="s">
        <v>5598</v>
      </c>
      <c r="BX320" s="0" t="s">
        <v>5598</v>
      </c>
      <c r="BY320" s="0" t="s">
        <v>5598</v>
      </c>
      <c r="BZ320" s="0" t="s">
        <v>5598</v>
      </c>
      <c r="CA320" s="0" t="s">
        <v>5598</v>
      </c>
      <c r="CB320" s="0" t="s">
        <v>240</v>
      </c>
      <c r="CC320" s="0" t="s">
        <v>240</v>
      </c>
      <c r="CD320" s="0" t="s">
        <v>240</v>
      </c>
      <c r="CE320" s="0" t="s">
        <v>240</v>
      </c>
      <c r="CF320" s="0" t="s">
        <v>240</v>
      </c>
      <c r="CG320" s="0" t="s">
        <v>5598</v>
      </c>
      <c r="CH320" s="0" t="s">
        <v>240</v>
      </c>
      <c r="CI320" s="0" t="s">
        <v>240</v>
      </c>
      <c r="CJ320" s="0" t="s">
        <v>240</v>
      </c>
      <c r="CK320" s="0" t="s">
        <v>240</v>
      </c>
      <c r="CL320" s="0" t="s">
        <v>240</v>
      </c>
      <c r="CM320" s="0" t="s">
        <v>6920</v>
      </c>
      <c r="CN320" s="0" t="s">
        <v>6920</v>
      </c>
      <c r="CO320" s="0" t="s">
        <v>240</v>
      </c>
      <c r="CP320" s="0" t="s">
        <v>240</v>
      </c>
      <c r="CQ320" s="0" t="s">
        <v>240</v>
      </c>
      <c r="CR320" s="0" t="s">
        <v>240</v>
      </c>
      <c r="CS320" s="0" t="s">
        <v>5666</v>
      </c>
      <c r="CT320" s="0" t="s">
        <v>5496</v>
      </c>
      <c r="CU320" s="0" t="s">
        <v>5497</v>
      </c>
      <c r="CV320" s="0" t="s">
        <v>443</v>
      </c>
      <c r="CW320" s="0" t="s">
        <v>5547</v>
      </c>
      <c r="CX320" s="0" t="s">
        <v>229</v>
      </c>
      <c r="CY320" s="0" t="s">
        <v>443</v>
      </c>
      <c r="CZ320" s="0" t="s">
        <v>5548</v>
      </c>
      <c r="DA320" s="0" t="s">
        <v>5549</v>
      </c>
      <c r="DB320" s="0" t="s">
        <v>5547</v>
      </c>
      <c r="DC320" s="0" t="s">
        <v>384</v>
      </c>
      <c r="DD320" s="0" t="s">
        <v>291</v>
      </c>
      <c r="DE320" s="0" t="s">
        <v>6921</v>
      </c>
    </row>
    <row customHeight="1" ht="11.25">
      <c r="A321" s="1441" t="s">
        <v>240</v>
      </c>
      <c r="B321" s="0" t="s">
        <v>240</v>
      </c>
      <c r="C321" s="0" t="s">
        <v>240</v>
      </c>
      <c r="D321" s="0" t="s">
        <v>240</v>
      </c>
      <c r="E321" s="0" t="s">
        <v>240</v>
      </c>
      <c r="F321" s="0" t="s">
        <v>240</v>
      </c>
      <c r="G321" s="0" t="s">
        <v>240</v>
      </c>
      <c r="H321" s="0" t="s">
        <v>240</v>
      </c>
      <c r="I321" s="0" t="s">
        <v>5484</v>
      </c>
      <c r="J321" s="0" t="s">
        <v>240</v>
      </c>
      <c r="K321" s="0" t="s">
        <v>240</v>
      </c>
      <c r="L321" s="0" t="s">
        <v>240</v>
      </c>
      <c r="M321" s="0" t="s">
        <v>240</v>
      </c>
      <c r="N321" s="0" t="s">
        <v>240</v>
      </c>
      <c r="O321" s="0" t="s">
        <v>240</v>
      </c>
      <c r="P321" s="0" t="s">
        <v>240</v>
      </c>
      <c r="Q321" s="0" t="s">
        <v>240</v>
      </c>
      <c r="R321" s="0" t="s">
        <v>6922</v>
      </c>
      <c r="S321" s="0" t="s">
        <v>240</v>
      </c>
      <c r="T321" s="0" t="s">
        <v>240</v>
      </c>
      <c r="U321" s="0" t="s">
        <v>102</v>
      </c>
      <c r="V321" s="0" t="s">
        <v>240</v>
      </c>
      <c r="W321" s="0" t="s">
        <v>240</v>
      </c>
      <c r="X321" s="0" t="s">
        <v>5585</v>
      </c>
      <c r="Y321" s="0" t="s">
        <v>240</v>
      </c>
      <c r="Z321" s="0" t="s">
        <v>152</v>
      </c>
      <c r="AA321" s="0" t="s">
        <v>152</v>
      </c>
      <c r="AB321" s="0" t="s">
        <v>161</v>
      </c>
      <c r="AC321" s="0" t="s">
        <v>2991</v>
      </c>
      <c r="AD321" s="0" t="s">
        <v>2991</v>
      </c>
      <c r="AE321" s="0" t="s">
        <v>2992</v>
      </c>
      <c r="AF321" s="0" t="s">
        <v>6713</v>
      </c>
      <c r="AG321" s="0" t="s">
        <v>6714</v>
      </c>
      <c r="AH321" s="0" t="s">
        <v>5575</v>
      </c>
      <c r="AI321" s="0" t="s">
        <v>5575</v>
      </c>
      <c r="AJ321" s="0" t="s">
        <v>240</v>
      </c>
      <c r="AK321" s="0" t="s">
        <v>240</v>
      </c>
      <c r="AL321" s="0" t="s">
        <v>240</v>
      </c>
      <c r="AM321" s="0" t="s">
        <v>240</v>
      </c>
      <c r="AN321" s="0" t="s">
        <v>240</v>
      </c>
      <c r="AO321" s="0" t="s">
        <v>240</v>
      </c>
      <c r="AP321" s="0" t="s">
        <v>240</v>
      </c>
      <c r="AQ321" s="0" t="s">
        <v>240</v>
      </c>
      <c r="AR321" s="0" t="s">
        <v>240</v>
      </c>
      <c r="AS321" s="0" t="s">
        <v>240</v>
      </c>
      <c r="AT321" s="0" t="s">
        <v>240</v>
      </c>
      <c r="AU321" s="0" t="s">
        <v>240</v>
      </c>
      <c r="AV321" s="0" t="s">
        <v>240</v>
      </c>
      <c r="AW321" s="0" t="s">
        <v>240</v>
      </c>
      <c r="AX321" s="0" t="s">
        <v>240</v>
      </c>
      <c r="AY321" s="0" t="s">
        <v>240</v>
      </c>
      <c r="AZ321" s="0" t="s">
        <v>240</v>
      </c>
      <c r="BA321" s="0" t="s">
        <v>240</v>
      </c>
      <c r="BB321" s="0" t="s">
        <v>240</v>
      </c>
      <c r="BC321" s="0" t="s">
        <v>240</v>
      </c>
      <c r="BD321" s="0" t="s">
        <v>240</v>
      </c>
      <c r="BE321" s="0" t="s">
        <v>5576</v>
      </c>
      <c r="BF321" s="0" t="s">
        <v>5544</v>
      </c>
      <c r="BG321" s="0" t="s">
        <v>112</v>
      </c>
      <c r="BH321" s="0" t="s">
        <v>5589</v>
      </c>
      <c r="BI321" s="0" t="s">
        <v>123</v>
      </c>
      <c r="BJ321" s="0" t="s">
        <v>240</v>
      </c>
      <c r="BK321" s="0" t="s">
        <v>5608</v>
      </c>
      <c r="BL321" s="0" t="s">
        <v>2991</v>
      </c>
      <c r="BM321" s="0" t="s">
        <v>2991</v>
      </c>
      <c r="BN321" s="0" t="s">
        <v>5663</v>
      </c>
      <c r="BO321" s="0" t="s">
        <v>6713</v>
      </c>
      <c r="BP321" s="0" t="s">
        <v>6923</v>
      </c>
      <c r="BQ321" s="0" t="s">
        <v>5575</v>
      </c>
      <c r="BR321" s="0" t="s">
        <v>5575</v>
      </c>
      <c r="BS321" s="0" t="s">
        <v>240</v>
      </c>
      <c r="BT321" s="0" t="s">
        <v>5650</v>
      </c>
      <c r="BU321" s="0" t="s">
        <v>6924</v>
      </c>
      <c r="BV321" s="0" t="s">
        <v>6924</v>
      </c>
      <c r="BW321" s="0" t="s">
        <v>5598</v>
      </c>
      <c r="BX321" s="0" t="s">
        <v>5598</v>
      </c>
      <c r="BY321" s="0" t="s">
        <v>5598</v>
      </c>
      <c r="BZ321" s="0" t="s">
        <v>5598</v>
      </c>
      <c r="CA321" s="0" t="s">
        <v>5598</v>
      </c>
      <c r="CB321" s="0" t="s">
        <v>240</v>
      </c>
      <c r="CC321" s="0" t="s">
        <v>240</v>
      </c>
      <c r="CD321" s="0" t="s">
        <v>240</v>
      </c>
      <c r="CE321" s="0" t="s">
        <v>240</v>
      </c>
      <c r="CF321" s="0" t="s">
        <v>240</v>
      </c>
      <c r="CG321" s="0" t="s">
        <v>5598</v>
      </c>
      <c r="CH321" s="0" t="s">
        <v>240</v>
      </c>
      <c r="CI321" s="0" t="s">
        <v>240</v>
      </c>
      <c r="CJ321" s="0" t="s">
        <v>240</v>
      </c>
      <c r="CK321" s="0" t="s">
        <v>240</v>
      </c>
      <c r="CL321" s="0" t="s">
        <v>240</v>
      </c>
      <c r="CM321" s="0" t="s">
        <v>6924</v>
      </c>
      <c r="CN321" s="0" t="s">
        <v>6924</v>
      </c>
      <c r="CO321" s="0" t="s">
        <v>240</v>
      </c>
      <c r="CP321" s="0" t="s">
        <v>240</v>
      </c>
      <c r="CQ321" s="0" t="s">
        <v>240</v>
      </c>
      <c r="CR321" s="0" t="s">
        <v>240</v>
      </c>
      <c r="CS321" s="0" t="s">
        <v>5666</v>
      </c>
      <c r="CT321" s="0" t="s">
        <v>5496</v>
      </c>
      <c r="CU321" s="0" t="s">
        <v>5497</v>
      </c>
      <c r="CV321" s="0" t="s">
        <v>443</v>
      </c>
      <c r="CW321" s="0" t="s">
        <v>5547</v>
      </c>
      <c r="CX321" s="0" t="s">
        <v>229</v>
      </c>
      <c r="CY321" s="0" t="s">
        <v>443</v>
      </c>
      <c r="CZ321" s="0" t="s">
        <v>5548</v>
      </c>
      <c r="DA321" s="0" t="s">
        <v>5549</v>
      </c>
      <c r="DB321" s="0" t="s">
        <v>5547</v>
      </c>
      <c r="DC321" s="0" t="s">
        <v>384</v>
      </c>
      <c r="DD321" s="0" t="s">
        <v>291</v>
      </c>
      <c r="DE321" s="0" t="s">
        <v>6925</v>
      </c>
    </row>
    <row customHeight="1" ht="11.25">
      <c r="A322" s="1441" t="s">
        <v>240</v>
      </c>
      <c r="B322" s="0" t="s">
        <v>240</v>
      </c>
      <c r="C322" s="0" t="s">
        <v>240</v>
      </c>
      <c r="D322" s="0" t="s">
        <v>240</v>
      </c>
      <c r="E322" s="0" t="s">
        <v>240</v>
      </c>
      <c r="F322" s="0" t="s">
        <v>240</v>
      </c>
      <c r="G322" s="0" t="s">
        <v>240</v>
      </c>
      <c r="H322" s="0" t="s">
        <v>240</v>
      </c>
      <c r="I322" s="0" t="s">
        <v>5484</v>
      </c>
      <c r="J322" s="0" t="s">
        <v>240</v>
      </c>
      <c r="K322" s="0" t="s">
        <v>240</v>
      </c>
      <c r="L322" s="0" t="s">
        <v>240</v>
      </c>
      <c r="M322" s="0" t="s">
        <v>240</v>
      </c>
      <c r="N322" s="0" t="s">
        <v>240</v>
      </c>
      <c r="O322" s="0" t="s">
        <v>240</v>
      </c>
      <c r="P322" s="0" t="s">
        <v>240</v>
      </c>
      <c r="Q322" s="0" t="s">
        <v>240</v>
      </c>
      <c r="R322" s="0" t="s">
        <v>5572</v>
      </c>
      <c r="S322" s="0" t="s">
        <v>240</v>
      </c>
      <c r="T322" s="0" t="s">
        <v>240</v>
      </c>
      <c r="U322" s="0" t="s">
        <v>102</v>
      </c>
      <c r="V322" s="0" t="s">
        <v>240</v>
      </c>
      <c r="W322" s="0" t="s">
        <v>240</v>
      </c>
      <c r="X322" s="0" t="s">
        <v>5485</v>
      </c>
      <c r="Y322" s="0" t="s">
        <v>240</v>
      </c>
      <c r="Z322" s="0" t="s">
        <v>161</v>
      </c>
      <c r="AA322" s="0" t="s">
        <v>152</v>
      </c>
      <c r="AB322" s="0" t="s">
        <v>152</v>
      </c>
      <c r="AC322" s="0" t="s">
        <v>2991</v>
      </c>
      <c r="AD322" s="0" t="s">
        <v>2991</v>
      </c>
      <c r="AE322" s="0" t="s">
        <v>2992</v>
      </c>
      <c r="AF322" s="0" t="s">
        <v>6713</v>
      </c>
      <c r="AG322" s="0" t="s">
        <v>6714</v>
      </c>
      <c r="AH322" s="0" t="s">
        <v>6120</v>
      </c>
      <c r="AI322" s="0" t="s">
        <v>5575</v>
      </c>
      <c r="AJ322" s="0" t="s">
        <v>5504</v>
      </c>
      <c r="AK322" s="0" t="s">
        <v>5544</v>
      </c>
      <c r="AL322" s="0" t="s">
        <v>5506</v>
      </c>
      <c r="AM322" s="0" t="s">
        <v>5493</v>
      </c>
      <c r="AN322" s="0" t="s">
        <v>5545</v>
      </c>
      <c r="AO322" s="0" t="s">
        <v>5508</v>
      </c>
      <c r="AP322" s="0" t="s">
        <v>240</v>
      </c>
      <c r="AQ322" s="0" t="s">
        <v>240</v>
      </c>
      <c r="AR322" s="0" t="s">
        <v>240</v>
      </c>
      <c r="AS322" s="0" t="s">
        <v>240</v>
      </c>
      <c r="AT322" s="0" t="s">
        <v>240</v>
      </c>
      <c r="AU322" s="0" t="s">
        <v>240</v>
      </c>
      <c r="AV322" s="0" t="s">
        <v>240</v>
      </c>
      <c r="AW322" s="0" t="s">
        <v>240</v>
      </c>
      <c r="AX322" s="0" t="s">
        <v>240</v>
      </c>
      <c r="AY322" s="0" t="s">
        <v>240</v>
      </c>
      <c r="AZ322" s="0" t="s">
        <v>240</v>
      </c>
      <c r="BA322" s="0" t="s">
        <v>240</v>
      </c>
      <c r="BB322" s="0" t="s">
        <v>240</v>
      </c>
      <c r="BC322" s="0" t="s">
        <v>240</v>
      </c>
      <c r="BD322" s="0" t="s">
        <v>240</v>
      </c>
      <c r="BE322" s="0" t="s">
        <v>240</v>
      </c>
      <c r="BF322" s="0" t="s">
        <v>240</v>
      </c>
      <c r="BG322" s="0" t="s">
        <v>240</v>
      </c>
      <c r="BH322" s="0" t="s">
        <v>240</v>
      </c>
      <c r="BI322" s="0" t="s">
        <v>240</v>
      </c>
      <c r="BJ322" s="0" t="s">
        <v>240</v>
      </c>
      <c r="BK322" s="0" t="s">
        <v>240</v>
      </c>
      <c r="BL322" s="0" t="s">
        <v>240</v>
      </c>
      <c r="BM322" s="0" t="s">
        <v>240</v>
      </c>
      <c r="BN322" s="0" t="s">
        <v>240</v>
      </c>
      <c r="BO322" s="0" t="s">
        <v>240</v>
      </c>
      <c r="BP322" s="0" t="s">
        <v>240</v>
      </c>
      <c r="BQ322" s="0" t="s">
        <v>240</v>
      </c>
      <c r="BR322" s="0" t="s">
        <v>240</v>
      </c>
      <c r="BS322" s="0" t="s">
        <v>240</v>
      </c>
      <c r="BT322" s="0" t="s">
        <v>240</v>
      </c>
      <c r="BU322" s="0" t="s">
        <v>240</v>
      </c>
      <c r="BV322" s="0" t="s">
        <v>240</v>
      </c>
      <c r="BW322" s="0" t="s">
        <v>240</v>
      </c>
      <c r="BX322" s="0" t="s">
        <v>240</v>
      </c>
      <c r="BY322" s="0" t="s">
        <v>240</v>
      </c>
      <c r="BZ322" s="0" t="s">
        <v>240</v>
      </c>
      <c r="CA322" s="0" t="s">
        <v>240</v>
      </c>
      <c r="CB322" s="0" t="s">
        <v>240</v>
      </c>
      <c r="CC322" s="0" t="s">
        <v>240</v>
      </c>
      <c r="CD322" s="0" t="s">
        <v>240</v>
      </c>
      <c r="CE322" s="0" t="s">
        <v>240</v>
      </c>
      <c r="CF322" s="0" t="s">
        <v>240</v>
      </c>
      <c r="CG322" s="0" t="s">
        <v>240</v>
      </c>
      <c r="CH322" s="0" t="s">
        <v>240</v>
      </c>
      <c r="CI322" s="0" t="s">
        <v>240</v>
      </c>
      <c r="CJ322" s="0" t="s">
        <v>240</v>
      </c>
      <c r="CK322" s="0" t="s">
        <v>240</v>
      </c>
      <c r="CL322" s="0" t="s">
        <v>240</v>
      </c>
      <c r="CM322" s="0" t="s">
        <v>240</v>
      </c>
      <c r="CN322" s="0" t="s">
        <v>240</v>
      </c>
      <c r="CO322" s="0" t="s">
        <v>240</v>
      </c>
      <c r="CP322" s="0" t="s">
        <v>240</v>
      </c>
      <c r="CQ322" s="0" t="s">
        <v>240</v>
      </c>
      <c r="CR322" s="0" t="s">
        <v>240</v>
      </c>
      <c r="CS322" s="0" t="s">
        <v>240</v>
      </c>
      <c r="CT322" s="0" t="s">
        <v>5496</v>
      </c>
      <c r="CU322" s="0" t="s">
        <v>5497</v>
      </c>
      <c r="CV322" s="0" t="s">
        <v>443</v>
      </c>
      <c r="CW322" s="0" t="s">
        <v>5547</v>
      </c>
      <c r="CX322" s="0" t="s">
        <v>229</v>
      </c>
      <c r="CY322" s="0" t="s">
        <v>443</v>
      </c>
      <c r="CZ322" s="0" t="s">
        <v>5548</v>
      </c>
      <c r="DA322" s="0" t="s">
        <v>5549</v>
      </c>
      <c r="DB322" s="0" t="s">
        <v>5547</v>
      </c>
      <c r="DC322" s="0" t="s">
        <v>384</v>
      </c>
      <c r="DD322" s="0" t="s">
        <v>291</v>
      </c>
      <c r="DE322" s="0" t="s">
        <v>6926</v>
      </c>
    </row>
    <row customHeight="1" ht="11.25">
      <c r="A323" s="1441" t="s">
        <v>240</v>
      </c>
      <c r="B323" s="0" t="s">
        <v>240</v>
      </c>
      <c r="C323" s="0" t="s">
        <v>240</v>
      </c>
      <c r="D323" s="0" t="s">
        <v>240</v>
      </c>
      <c r="E323" s="0" t="s">
        <v>240</v>
      </c>
      <c r="F323" s="0" t="s">
        <v>240</v>
      </c>
      <c r="G323" s="0" t="s">
        <v>240</v>
      </c>
      <c r="H323" s="0" t="s">
        <v>240</v>
      </c>
      <c r="I323" s="0" t="s">
        <v>5484</v>
      </c>
      <c r="J323" s="0" t="s">
        <v>240</v>
      </c>
      <c r="K323" s="0" t="s">
        <v>240</v>
      </c>
      <c r="L323" s="0" t="s">
        <v>240</v>
      </c>
      <c r="M323" s="0" t="s">
        <v>240</v>
      </c>
      <c r="N323" s="0" t="s">
        <v>240</v>
      </c>
      <c r="O323" s="0" t="s">
        <v>240</v>
      </c>
      <c r="P323" s="0" t="s">
        <v>240</v>
      </c>
      <c r="Q323" s="0" t="s">
        <v>240</v>
      </c>
      <c r="R323" s="0" t="s">
        <v>5572</v>
      </c>
      <c r="S323" s="0" t="s">
        <v>240</v>
      </c>
      <c r="T323" s="0" t="s">
        <v>240</v>
      </c>
      <c r="U323" s="0" t="s">
        <v>102</v>
      </c>
      <c r="V323" s="0" t="s">
        <v>240</v>
      </c>
      <c r="W323" s="0" t="s">
        <v>240</v>
      </c>
      <c r="X323" s="0" t="s">
        <v>5485</v>
      </c>
      <c r="Y323" s="0" t="s">
        <v>240</v>
      </c>
      <c r="Z323" s="0" t="s">
        <v>161</v>
      </c>
      <c r="AA323" s="0" t="s">
        <v>152</v>
      </c>
      <c r="AB323" s="0" t="s">
        <v>152</v>
      </c>
      <c r="AC323" s="0" t="s">
        <v>2991</v>
      </c>
      <c r="AD323" s="0" t="s">
        <v>2991</v>
      </c>
      <c r="AE323" s="0" t="s">
        <v>2992</v>
      </c>
      <c r="AF323" s="0" t="s">
        <v>5839</v>
      </c>
      <c r="AG323" s="0" t="s">
        <v>5840</v>
      </c>
      <c r="AH323" s="0" t="s">
        <v>5886</v>
      </c>
      <c r="AI323" s="0" t="s">
        <v>6562</v>
      </c>
      <c r="AJ323" s="0" t="s">
        <v>5504</v>
      </c>
      <c r="AK323" s="0" t="s">
        <v>5544</v>
      </c>
      <c r="AL323" s="0" t="s">
        <v>5506</v>
      </c>
      <c r="AM323" s="0" t="s">
        <v>5493</v>
      </c>
      <c r="AN323" s="0" t="s">
        <v>5545</v>
      </c>
      <c r="AO323" s="0" t="s">
        <v>5836</v>
      </c>
      <c r="AP323" s="0" t="s">
        <v>240</v>
      </c>
      <c r="AQ323" s="0" t="s">
        <v>240</v>
      </c>
      <c r="AR323" s="0" t="s">
        <v>240</v>
      </c>
      <c r="AS323" s="0" t="s">
        <v>240</v>
      </c>
      <c r="AT323" s="0" t="s">
        <v>240</v>
      </c>
      <c r="AU323" s="0" t="s">
        <v>240</v>
      </c>
      <c r="AV323" s="0" t="s">
        <v>240</v>
      </c>
      <c r="AW323" s="0" t="s">
        <v>240</v>
      </c>
      <c r="AX323" s="0" t="s">
        <v>240</v>
      </c>
      <c r="AY323" s="0" t="s">
        <v>240</v>
      </c>
      <c r="AZ323" s="0" t="s">
        <v>240</v>
      </c>
      <c r="BA323" s="0" t="s">
        <v>240</v>
      </c>
      <c r="BB323" s="0" t="s">
        <v>240</v>
      </c>
      <c r="BC323" s="0" t="s">
        <v>240</v>
      </c>
      <c r="BD323" s="0" t="s">
        <v>240</v>
      </c>
      <c r="BE323" s="0" t="s">
        <v>240</v>
      </c>
      <c r="BF323" s="0" t="s">
        <v>240</v>
      </c>
      <c r="BG323" s="0" t="s">
        <v>240</v>
      </c>
      <c r="BH323" s="0" t="s">
        <v>240</v>
      </c>
      <c r="BI323" s="0" t="s">
        <v>240</v>
      </c>
      <c r="BJ323" s="0" t="s">
        <v>240</v>
      </c>
      <c r="BK323" s="0" t="s">
        <v>240</v>
      </c>
      <c r="BL323" s="0" t="s">
        <v>240</v>
      </c>
      <c r="BM323" s="0" t="s">
        <v>240</v>
      </c>
      <c r="BN323" s="0" t="s">
        <v>240</v>
      </c>
      <c r="BO323" s="0" t="s">
        <v>240</v>
      </c>
      <c r="BP323" s="0" t="s">
        <v>240</v>
      </c>
      <c r="BQ323" s="0" t="s">
        <v>240</v>
      </c>
      <c r="BR323" s="0" t="s">
        <v>240</v>
      </c>
      <c r="BS323" s="0" t="s">
        <v>240</v>
      </c>
      <c r="BT323" s="0" t="s">
        <v>240</v>
      </c>
      <c r="BU323" s="0" t="s">
        <v>240</v>
      </c>
      <c r="BV323" s="0" t="s">
        <v>240</v>
      </c>
      <c r="BW323" s="0" t="s">
        <v>240</v>
      </c>
      <c r="BX323" s="0" t="s">
        <v>240</v>
      </c>
      <c r="BY323" s="0" t="s">
        <v>240</v>
      </c>
      <c r="BZ323" s="0" t="s">
        <v>240</v>
      </c>
      <c r="CA323" s="0" t="s">
        <v>240</v>
      </c>
      <c r="CB323" s="0" t="s">
        <v>240</v>
      </c>
      <c r="CC323" s="0" t="s">
        <v>240</v>
      </c>
      <c r="CD323" s="0" t="s">
        <v>240</v>
      </c>
      <c r="CE323" s="0" t="s">
        <v>240</v>
      </c>
      <c r="CF323" s="0" t="s">
        <v>240</v>
      </c>
      <c r="CG323" s="0" t="s">
        <v>240</v>
      </c>
      <c r="CH323" s="0" t="s">
        <v>240</v>
      </c>
      <c r="CI323" s="0" t="s">
        <v>240</v>
      </c>
      <c r="CJ323" s="0" t="s">
        <v>240</v>
      </c>
      <c r="CK323" s="0" t="s">
        <v>240</v>
      </c>
      <c r="CL323" s="0" t="s">
        <v>240</v>
      </c>
      <c r="CM323" s="0" t="s">
        <v>240</v>
      </c>
      <c r="CN323" s="0" t="s">
        <v>240</v>
      </c>
      <c r="CO323" s="0" t="s">
        <v>240</v>
      </c>
      <c r="CP323" s="0" t="s">
        <v>240</v>
      </c>
      <c r="CQ323" s="0" t="s">
        <v>240</v>
      </c>
      <c r="CR323" s="0" t="s">
        <v>240</v>
      </c>
      <c r="CS323" s="0" t="s">
        <v>240</v>
      </c>
      <c r="CT323" s="0" t="s">
        <v>5496</v>
      </c>
      <c r="CU323" s="0" t="s">
        <v>5497</v>
      </c>
      <c r="CV323" s="0" t="s">
        <v>443</v>
      </c>
      <c r="CW323" s="0" t="s">
        <v>5547</v>
      </c>
      <c r="CX323" s="0" t="s">
        <v>229</v>
      </c>
      <c r="CY323" s="0" t="s">
        <v>443</v>
      </c>
      <c r="CZ323" s="0" t="s">
        <v>5548</v>
      </c>
      <c r="DA323" s="0" t="s">
        <v>5549</v>
      </c>
      <c r="DB323" s="0" t="s">
        <v>5547</v>
      </c>
      <c r="DC323" s="0" t="s">
        <v>384</v>
      </c>
      <c r="DD323" s="0" t="s">
        <v>291</v>
      </c>
      <c r="DE323" s="0" t="s">
        <v>6927</v>
      </c>
    </row>
    <row customHeight="1" ht="11.25">
      <c r="A324" s="1441" t="s">
        <v>240</v>
      </c>
      <c r="B324" s="0" t="s">
        <v>240</v>
      </c>
      <c r="C324" s="0" t="s">
        <v>240</v>
      </c>
      <c r="D324" s="0" t="s">
        <v>240</v>
      </c>
      <c r="E324" s="0" t="s">
        <v>240</v>
      </c>
      <c r="F324" s="0" t="s">
        <v>240</v>
      </c>
      <c r="G324" s="0" t="s">
        <v>240</v>
      </c>
      <c r="H324" s="0" t="s">
        <v>240</v>
      </c>
      <c r="I324" s="0" t="s">
        <v>5484</v>
      </c>
      <c r="J324" s="0" t="s">
        <v>240</v>
      </c>
      <c r="K324" s="0" t="s">
        <v>240</v>
      </c>
      <c r="L324" s="0" t="s">
        <v>240</v>
      </c>
      <c r="M324" s="0" t="s">
        <v>240</v>
      </c>
      <c r="N324" s="0" t="s">
        <v>240</v>
      </c>
      <c r="O324" s="0" t="s">
        <v>240</v>
      </c>
      <c r="P324" s="0" t="s">
        <v>240</v>
      </c>
      <c r="Q324" s="0" t="s">
        <v>240</v>
      </c>
      <c r="R324" s="0" t="s">
        <v>5572</v>
      </c>
      <c r="S324" s="0" t="s">
        <v>240</v>
      </c>
      <c r="T324" s="0" t="s">
        <v>240</v>
      </c>
      <c r="U324" s="0" t="s">
        <v>102</v>
      </c>
      <c r="V324" s="0" t="s">
        <v>240</v>
      </c>
      <c r="W324" s="0" t="s">
        <v>240</v>
      </c>
      <c r="X324" s="0" t="s">
        <v>5485</v>
      </c>
      <c r="Y324" s="0" t="s">
        <v>240</v>
      </c>
      <c r="Z324" s="0" t="s">
        <v>161</v>
      </c>
      <c r="AA324" s="0" t="s">
        <v>152</v>
      </c>
      <c r="AB324" s="0" t="s">
        <v>152</v>
      </c>
      <c r="AC324" s="0" t="s">
        <v>2991</v>
      </c>
      <c r="AD324" s="0" t="s">
        <v>2991</v>
      </c>
      <c r="AE324" s="0" t="s">
        <v>2992</v>
      </c>
      <c r="AF324" s="0" t="s">
        <v>5839</v>
      </c>
      <c r="AG324" s="0" t="s">
        <v>5840</v>
      </c>
      <c r="AH324" s="0" t="s">
        <v>6116</v>
      </c>
      <c r="AI324" s="0" t="s">
        <v>5966</v>
      </c>
      <c r="AJ324" s="0" t="s">
        <v>5504</v>
      </c>
      <c r="AK324" s="0" t="s">
        <v>5544</v>
      </c>
      <c r="AL324" s="0" t="s">
        <v>5506</v>
      </c>
      <c r="AM324" s="0" t="s">
        <v>5493</v>
      </c>
      <c r="AN324" s="0" t="s">
        <v>5822</v>
      </c>
      <c r="AO324" s="0" t="s">
        <v>6485</v>
      </c>
      <c r="AP324" s="0" t="s">
        <v>240</v>
      </c>
      <c r="AQ324" s="0" t="s">
        <v>240</v>
      </c>
      <c r="AR324" s="0" t="s">
        <v>240</v>
      </c>
      <c r="AS324" s="0" t="s">
        <v>240</v>
      </c>
      <c r="AT324" s="0" t="s">
        <v>240</v>
      </c>
      <c r="AU324" s="0" t="s">
        <v>240</v>
      </c>
      <c r="AV324" s="0" t="s">
        <v>240</v>
      </c>
      <c r="AW324" s="0" t="s">
        <v>240</v>
      </c>
      <c r="AX324" s="0" t="s">
        <v>240</v>
      </c>
      <c r="AY324" s="0" t="s">
        <v>240</v>
      </c>
      <c r="AZ324" s="0" t="s">
        <v>240</v>
      </c>
      <c r="BA324" s="0" t="s">
        <v>240</v>
      </c>
      <c r="BB324" s="0" t="s">
        <v>240</v>
      </c>
      <c r="BC324" s="0" t="s">
        <v>240</v>
      </c>
      <c r="BD324" s="0" t="s">
        <v>240</v>
      </c>
      <c r="BE324" s="0" t="s">
        <v>240</v>
      </c>
      <c r="BF324" s="0" t="s">
        <v>240</v>
      </c>
      <c r="BG324" s="0" t="s">
        <v>240</v>
      </c>
      <c r="BH324" s="0" t="s">
        <v>240</v>
      </c>
      <c r="BI324" s="0" t="s">
        <v>240</v>
      </c>
      <c r="BJ324" s="0" t="s">
        <v>240</v>
      </c>
      <c r="BK324" s="0" t="s">
        <v>240</v>
      </c>
      <c r="BL324" s="0" t="s">
        <v>240</v>
      </c>
      <c r="BM324" s="0" t="s">
        <v>240</v>
      </c>
      <c r="BN324" s="0" t="s">
        <v>240</v>
      </c>
      <c r="BO324" s="0" t="s">
        <v>240</v>
      </c>
      <c r="BP324" s="0" t="s">
        <v>240</v>
      </c>
      <c r="BQ324" s="0" t="s">
        <v>240</v>
      </c>
      <c r="BR324" s="0" t="s">
        <v>240</v>
      </c>
      <c r="BS324" s="0" t="s">
        <v>240</v>
      </c>
      <c r="BT324" s="0" t="s">
        <v>240</v>
      </c>
      <c r="BU324" s="0" t="s">
        <v>240</v>
      </c>
      <c r="BV324" s="0" t="s">
        <v>240</v>
      </c>
      <c r="BW324" s="0" t="s">
        <v>240</v>
      </c>
      <c r="BX324" s="0" t="s">
        <v>240</v>
      </c>
      <c r="BY324" s="0" t="s">
        <v>240</v>
      </c>
      <c r="BZ324" s="0" t="s">
        <v>240</v>
      </c>
      <c r="CA324" s="0" t="s">
        <v>240</v>
      </c>
      <c r="CB324" s="0" t="s">
        <v>240</v>
      </c>
      <c r="CC324" s="0" t="s">
        <v>240</v>
      </c>
      <c r="CD324" s="0" t="s">
        <v>240</v>
      </c>
      <c r="CE324" s="0" t="s">
        <v>240</v>
      </c>
      <c r="CF324" s="0" t="s">
        <v>240</v>
      </c>
      <c r="CG324" s="0" t="s">
        <v>240</v>
      </c>
      <c r="CH324" s="0" t="s">
        <v>240</v>
      </c>
      <c r="CI324" s="0" t="s">
        <v>240</v>
      </c>
      <c r="CJ324" s="0" t="s">
        <v>240</v>
      </c>
      <c r="CK324" s="0" t="s">
        <v>240</v>
      </c>
      <c r="CL324" s="0" t="s">
        <v>240</v>
      </c>
      <c r="CM324" s="0" t="s">
        <v>240</v>
      </c>
      <c r="CN324" s="0" t="s">
        <v>240</v>
      </c>
      <c r="CO324" s="0" t="s">
        <v>240</v>
      </c>
      <c r="CP324" s="0" t="s">
        <v>240</v>
      </c>
      <c r="CQ324" s="0" t="s">
        <v>240</v>
      </c>
      <c r="CR324" s="0" t="s">
        <v>240</v>
      </c>
      <c r="CS324" s="0" t="s">
        <v>240</v>
      </c>
      <c r="CT324" s="0" t="s">
        <v>5496</v>
      </c>
      <c r="CU324" s="0" t="s">
        <v>5497</v>
      </c>
      <c r="CV324" s="0" t="s">
        <v>443</v>
      </c>
      <c r="CW324" s="0" t="s">
        <v>5547</v>
      </c>
      <c r="CX324" s="0" t="s">
        <v>229</v>
      </c>
      <c r="CY324" s="0" t="s">
        <v>443</v>
      </c>
      <c r="CZ324" s="0" t="s">
        <v>5548</v>
      </c>
      <c r="DA324" s="0" t="s">
        <v>5549</v>
      </c>
      <c r="DB324" s="0" t="s">
        <v>5547</v>
      </c>
      <c r="DC324" s="0" t="s">
        <v>384</v>
      </c>
      <c r="DD324" s="0" t="s">
        <v>291</v>
      </c>
      <c r="DE324" s="0" t="s">
        <v>6928</v>
      </c>
    </row>
    <row customHeight="1" ht="11.25">
      <c r="A325" s="1441" t="s">
        <v>240</v>
      </c>
      <c r="B325" s="0" t="s">
        <v>240</v>
      </c>
      <c r="C325" s="0" t="s">
        <v>240</v>
      </c>
      <c r="D325" s="0" t="s">
        <v>240</v>
      </c>
      <c r="E325" s="0" t="s">
        <v>240</v>
      </c>
      <c r="F325" s="0" t="s">
        <v>240</v>
      </c>
      <c r="G325" s="0" t="s">
        <v>240</v>
      </c>
      <c r="H325" s="0" t="s">
        <v>240</v>
      </c>
      <c r="I325" s="0" t="s">
        <v>5484</v>
      </c>
      <c r="J325" s="0" t="s">
        <v>240</v>
      </c>
      <c r="K325" s="0" t="s">
        <v>240</v>
      </c>
      <c r="L325" s="0" t="s">
        <v>240</v>
      </c>
      <c r="M325" s="0" t="s">
        <v>240</v>
      </c>
      <c r="N325" s="0" t="s">
        <v>240</v>
      </c>
      <c r="O325" s="0" t="s">
        <v>240</v>
      </c>
      <c r="P325" s="0" t="s">
        <v>240</v>
      </c>
      <c r="Q325" s="0" t="s">
        <v>240</v>
      </c>
      <c r="R325" s="0" t="s">
        <v>5572</v>
      </c>
      <c r="S325" s="0" t="s">
        <v>240</v>
      </c>
      <c r="T325" s="0" t="s">
        <v>240</v>
      </c>
      <c r="U325" s="0" t="s">
        <v>102</v>
      </c>
      <c r="V325" s="0" t="s">
        <v>240</v>
      </c>
      <c r="W325" s="0" t="s">
        <v>240</v>
      </c>
      <c r="X325" s="0" t="s">
        <v>5485</v>
      </c>
      <c r="Y325" s="0" t="s">
        <v>240</v>
      </c>
      <c r="Z325" s="0" t="s">
        <v>161</v>
      </c>
      <c r="AA325" s="0" t="s">
        <v>152</v>
      </c>
      <c r="AB325" s="0" t="s">
        <v>152</v>
      </c>
      <c r="AC325" s="0" t="s">
        <v>2989</v>
      </c>
      <c r="AD325" s="0" t="s">
        <v>2989</v>
      </c>
      <c r="AE325" s="0" t="s">
        <v>2990</v>
      </c>
      <c r="AF325" s="0" t="s">
        <v>6929</v>
      </c>
      <c r="AG325" s="0" t="s">
        <v>6930</v>
      </c>
      <c r="AH325" s="0" t="s">
        <v>5575</v>
      </c>
      <c r="AI325" s="0" t="s">
        <v>5575</v>
      </c>
      <c r="AJ325" s="0" t="s">
        <v>6508</v>
      </c>
      <c r="AK325" s="0" t="s">
        <v>5577</v>
      </c>
      <c r="AL325" s="0" t="s">
        <v>5506</v>
      </c>
      <c r="AM325" s="0" t="s">
        <v>5493</v>
      </c>
      <c r="AN325" s="0" t="s">
        <v>5578</v>
      </c>
      <c r="AO325" s="0" t="s">
        <v>5579</v>
      </c>
      <c r="AP325" s="0" t="s">
        <v>240</v>
      </c>
      <c r="AQ325" s="0" t="s">
        <v>240</v>
      </c>
      <c r="AR325" s="0" t="s">
        <v>240</v>
      </c>
      <c r="AS325" s="0" t="s">
        <v>240</v>
      </c>
      <c r="AT325" s="0" t="s">
        <v>240</v>
      </c>
      <c r="AU325" s="0" t="s">
        <v>240</v>
      </c>
      <c r="AV325" s="0" t="s">
        <v>240</v>
      </c>
      <c r="AW325" s="0" t="s">
        <v>240</v>
      </c>
      <c r="AX325" s="0" t="s">
        <v>240</v>
      </c>
      <c r="AY325" s="0" t="s">
        <v>240</v>
      </c>
      <c r="AZ325" s="0" t="s">
        <v>240</v>
      </c>
      <c r="BA325" s="0" t="s">
        <v>240</v>
      </c>
      <c r="BB325" s="0" t="s">
        <v>240</v>
      </c>
      <c r="BC325" s="0" t="s">
        <v>240</v>
      </c>
      <c r="BD325" s="0" t="s">
        <v>240</v>
      </c>
      <c r="BE325" s="0" t="s">
        <v>240</v>
      </c>
      <c r="BF325" s="0" t="s">
        <v>240</v>
      </c>
      <c r="BG325" s="0" t="s">
        <v>240</v>
      </c>
      <c r="BH325" s="0" t="s">
        <v>240</v>
      </c>
      <c r="BI325" s="0" t="s">
        <v>240</v>
      </c>
      <c r="BJ325" s="0" t="s">
        <v>240</v>
      </c>
      <c r="BK325" s="0" t="s">
        <v>240</v>
      </c>
      <c r="BL325" s="0" t="s">
        <v>240</v>
      </c>
      <c r="BM325" s="0" t="s">
        <v>240</v>
      </c>
      <c r="BN325" s="0" t="s">
        <v>240</v>
      </c>
      <c r="BO325" s="0" t="s">
        <v>240</v>
      </c>
      <c r="BP325" s="0" t="s">
        <v>240</v>
      </c>
      <c r="BQ325" s="0" t="s">
        <v>240</v>
      </c>
      <c r="BR325" s="0" t="s">
        <v>240</v>
      </c>
      <c r="BS325" s="0" t="s">
        <v>240</v>
      </c>
      <c r="BT325" s="0" t="s">
        <v>240</v>
      </c>
      <c r="BU325" s="0" t="s">
        <v>240</v>
      </c>
      <c r="BV325" s="0" t="s">
        <v>240</v>
      </c>
      <c r="BW325" s="0" t="s">
        <v>240</v>
      </c>
      <c r="BX325" s="0" t="s">
        <v>240</v>
      </c>
      <c r="BY325" s="0" t="s">
        <v>240</v>
      </c>
      <c r="BZ325" s="0" t="s">
        <v>240</v>
      </c>
      <c r="CA325" s="0" t="s">
        <v>240</v>
      </c>
      <c r="CB325" s="0" t="s">
        <v>240</v>
      </c>
      <c r="CC325" s="0" t="s">
        <v>240</v>
      </c>
      <c r="CD325" s="0" t="s">
        <v>240</v>
      </c>
      <c r="CE325" s="0" t="s">
        <v>240</v>
      </c>
      <c r="CF325" s="0" t="s">
        <v>240</v>
      </c>
      <c r="CG325" s="0" t="s">
        <v>240</v>
      </c>
      <c r="CH325" s="0" t="s">
        <v>240</v>
      </c>
      <c r="CI325" s="0" t="s">
        <v>240</v>
      </c>
      <c r="CJ325" s="0" t="s">
        <v>240</v>
      </c>
      <c r="CK325" s="0" t="s">
        <v>240</v>
      </c>
      <c r="CL325" s="0" t="s">
        <v>240</v>
      </c>
      <c r="CM325" s="0" t="s">
        <v>240</v>
      </c>
      <c r="CN325" s="0" t="s">
        <v>240</v>
      </c>
      <c r="CO325" s="0" t="s">
        <v>240</v>
      </c>
      <c r="CP325" s="0" t="s">
        <v>240</v>
      </c>
      <c r="CQ325" s="0" t="s">
        <v>240</v>
      </c>
      <c r="CR325" s="0" t="s">
        <v>240</v>
      </c>
      <c r="CS325" s="0" t="s">
        <v>240</v>
      </c>
      <c r="CT325" s="0" t="s">
        <v>5496</v>
      </c>
      <c r="CU325" s="0" t="s">
        <v>5497</v>
      </c>
      <c r="CV325" s="0" t="s">
        <v>443</v>
      </c>
      <c r="CW325" s="0" t="s">
        <v>5580</v>
      </c>
      <c r="CX325" s="0" t="s">
        <v>229</v>
      </c>
      <c r="CY325" s="0" t="s">
        <v>443</v>
      </c>
      <c r="CZ325" s="0" t="s">
        <v>5581</v>
      </c>
      <c r="DA325" s="0" t="s">
        <v>5582</v>
      </c>
      <c r="DB325" s="0" t="s">
        <v>5580</v>
      </c>
      <c r="DC325" s="0" t="s">
        <v>384</v>
      </c>
      <c r="DD325" s="0" t="s">
        <v>291</v>
      </c>
      <c r="DE325" s="0" t="s">
        <v>6931</v>
      </c>
    </row>
    <row customHeight="1" ht="11.25">
      <c r="A326" s="1441" t="s">
        <v>240</v>
      </c>
      <c r="B326" s="0" t="s">
        <v>240</v>
      </c>
      <c r="C326" s="0" t="s">
        <v>240</v>
      </c>
      <c r="D326" s="0" t="s">
        <v>240</v>
      </c>
      <c r="E326" s="0" t="s">
        <v>240</v>
      </c>
      <c r="F326" s="0" t="s">
        <v>240</v>
      </c>
      <c r="G326" s="0" t="s">
        <v>240</v>
      </c>
      <c r="H326" s="0" t="s">
        <v>240</v>
      </c>
      <c r="I326" s="0" t="s">
        <v>5484</v>
      </c>
      <c r="J326" s="0" t="s">
        <v>240</v>
      </c>
      <c r="K326" s="0" t="s">
        <v>240</v>
      </c>
      <c r="L326" s="0" t="s">
        <v>240</v>
      </c>
      <c r="M326" s="0" t="s">
        <v>240</v>
      </c>
      <c r="N326" s="0" t="s">
        <v>240</v>
      </c>
      <c r="O326" s="0" t="s">
        <v>240</v>
      </c>
      <c r="P326" s="0" t="s">
        <v>240</v>
      </c>
      <c r="Q326" s="0" t="s">
        <v>240</v>
      </c>
      <c r="R326" s="0" t="s">
        <v>6932</v>
      </c>
      <c r="S326" s="0" t="s">
        <v>240</v>
      </c>
      <c r="T326" s="0" t="s">
        <v>240</v>
      </c>
      <c r="U326" s="0" t="s">
        <v>102</v>
      </c>
      <c r="V326" s="0" t="s">
        <v>240</v>
      </c>
      <c r="W326" s="0" t="s">
        <v>240</v>
      </c>
      <c r="X326" s="0" t="s">
        <v>5585</v>
      </c>
      <c r="Y326" s="0" t="s">
        <v>240</v>
      </c>
      <c r="Z326" s="0" t="s">
        <v>152</v>
      </c>
      <c r="AA326" s="0" t="s">
        <v>152</v>
      </c>
      <c r="AB326" s="0" t="s">
        <v>161</v>
      </c>
      <c r="AC326" s="0" t="s">
        <v>2989</v>
      </c>
      <c r="AD326" s="0" t="s">
        <v>2989</v>
      </c>
      <c r="AE326" s="0" t="s">
        <v>2990</v>
      </c>
      <c r="AF326" s="0" t="s">
        <v>6929</v>
      </c>
      <c r="AG326" s="0" t="s">
        <v>6930</v>
      </c>
      <c r="AH326" s="0" t="s">
        <v>5575</v>
      </c>
      <c r="AI326" s="0" t="s">
        <v>5575</v>
      </c>
      <c r="AJ326" s="0" t="s">
        <v>240</v>
      </c>
      <c r="AK326" s="0" t="s">
        <v>240</v>
      </c>
      <c r="AL326" s="0" t="s">
        <v>240</v>
      </c>
      <c r="AM326" s="0" t="s">
        <v>240</v>
      </c>
      <c r="AN326" s="0" t="s">
        <v>240</v>
      </c>
      <c r="AO326" s="0" t="s">
        <v>240</v>
      </c>
      <c r="AP326" s="0" t="s">
        <v>240</v>
      </c>
      <c r="AQ326" s="0" t="s">
        <v>240</v>
      </c>
      <c r="AR326" s="0" t="s">
        <v>240</v>
      </c>
      <c r="AS326" s="0" t="s">
        <v>240</v>
      </c>
      <c r="AT326" s="0" t="s">
        <v>240</v>
      </c>
      <c r="AU326" s="0" t="s">
        <v>240</v>
      </c>
      <c r="AV326" s="0" t="s">
        <v>240</v>
      </c>
      <c r="AW326" s="0" t="s">
        <v>240</v>
      </c>
      <c r="AX326" s="0" t="s">
        <v>240</v>
      </c>
      <c r="AY326" s="0" t="s">
        <v>240</v>
      </c>
      <c r="AZ326" s="0" t="s">
        <v>240</v>
      </c>
      <c r="BA326" s="0" t="s">
        <v>240</v>
      </c>
      <c r="BB326" s="0" t="s">
        <v>240</v>
      </c>
      <c r="BC326" s="0" t="s">
        <v>240</v>
      </c>
      <c r="BD326" s="0" t="s">
        <v>240</v>
      </c>
      <c r="BE326" s="0" t="s">
        <v>6508</v>
      </c>
      <c r="BF326" s="0" t="s">
        <v>5577</v>
      </c>
      <c r="BG326" s="0" t="s">
        <v>112</v>
      </c>
      <c r="BH326" s="0" t="s">
        <v>5589</v>
      </c>
      <c r="BI326" s="0" t="s">
        <v>123</v>
      </c>
      <c r="BJ326" s="0" t="s">
        <v>240</v>
      </c>
      <c r="BK326" s="0" t="s">
        <v>5608</v>
      </c>
      <c r="BL326" s="0" t="s">
        <v>2989</v>
      </c>
      <c r="BM326" s="0" t="s">
        <v>2989</v>
      </c>
      <c r="BN326" s="0" t="s">
        <v>5798</v>
      </c>
      <c r="BO326" s="0" t="s">
        <v>6929</v>
      </c>
      <c r="BP326" s="0" t="s">
        <v>6933</v>
      </c>
      <c r="BQ326" s="0" t="s">
        <v>5575</v>
      </c>
      <c r="BR326" s="0" t="s">
        <v>5575</v>
      </c>
      <c r="BS326" s="0" t="s">
        <v>240</v>
      </c>
      <c r="BT326" s="0" t="s">
        <v>5650</v>
      </c>
      <c r="BU326" s="0" t="s">
        <v>6934</v>
      </c>
      <c r="BV326" s="0" t="s">
        <v>6934</v>
      </c>
      <c r="BW326" s="0" t="s">
        <v>5598</v>
      </c>
      <c r="BX326" s="0" t="s">
        <v>5598</v>
      </c>
      <c r="BY326" s="0" t="s">
        <v>5598</v>
      </c>
      <c r="BZ326" s="0" t="s">
        <v>5598</v>
      </c>
      <c r="CA326" s="0" t="s">
        <v>5598</v>
      </c>
      <c r="CB326" s="0" t="s">
        <v>240</v>
      </c>
      <c r="CC326" s="0" t="s">
        <v>240</v>
      </c>
      <c r="CD326" s="0" t="s">
        <v>240</v>
      </c>
      <c r="CE326" s="0" t="s">
        <v>240</v>
      </c>
      <c r="CF326" s="0" t="s">
        <v>240</v>
      </c>
      <c r="CG326" s="0" t="s">
        <v>5598</v>
      </c>
      <c r="CH326" s="0" t="s">
        <v>240</v>
      </c>
      <c r="CI326" s="0" t="s">
        <v>240</v>
      </c>
      <c r="CJ326" s="0" t="s">
        <v>240</v>
      </c>
      <c r="CK326" s="0" t="s">
        <v>240</v>
      </c>
      <c r="CL326" s="0" t="s">
        <v>240</v>
      </c>
      <c r="CM326" s="0" t="s">
        <v>6934</v>
      </c>
      <c r="CN326" s="0" t="s">
        <v>6934</v>
      </c>
      <c r="CO326" s="0" t="s">
        <v>240</v>
      </c>
      <c r="CP326" s="0" t="s">
        <v>240</v>
      </c>
      <c r="CQ326" s="0" t="s">
        <v>240</v>
      </c>
      <c r="CR326" s="0" t="s">
        <v>240</v>
      </c>
      <c r="CS326" s="0" t="s">
        <v>5491</v>
      </c>
      <c r="CT326" s="0" t="s">
        <v>5496</v>
      </c>
      <c r="CU326" s="0" t="s">
        <v>5497</v>
      </c>
      <c r="CV326" s="0" t="s">
        <v>443</v>
      </c>
      <c r="CW326" s="0" t="s">
        <v>5580</v>
      </c>
      <c r="CX326" s="0" t="s">
        <v>229</v>
      </c>
      <c r="CY326" s="0" t="s">
        <v>443</v>
      </c>
      <c r="CZ326" s="0" t="s">
        <v>5581</v>
      </c>
      <c r="DA326" s="0" t="s">
        <v>5582</v>
      </c>
      <c r="DB326" s="0" t="s">
        <v>5580</v>
      </c>
      <c r="DC326" s="0" t="s">
        <v>384</v>
      </c>
      <c r="DD326" s="0" t="s">
        <v>291</v>
      </c>
      <c r="DE326" s="0" t="s">
        <v>6931</v>
      </c>
    </row>
    <row customHeight="1" ht="11.25">
      <c r="A327" s="1441" t="s">
        <v>240</v>
      </c>
      <c r="B327" s="0" t="s">
        <v>240</v>
      </c>
      <c r="C327" s="0" t="s">
        <v>240</v>
      </c>
      <c r="D327" s="0" t="s">
        <v>240</v>
      </c>
      <c r="E327" s="0" t="s">
        <v>240</v>
      </c>
      <c r="F327" s="0" t="s">
        <v>240</v>
      </c>
      <c r="G327" s="0" t="s">
        <v>240</v>
      </c>
      <c r="H327" s="0" t="s">
        <v>240</v>
      </c>
      <c r="I327" s="0" t="s">
        <v>5484</v>
      </c>
      <c r="J327" s="0" t="s">
        <v>240</v>
      </c>
      <c r="K327" s="0" t="s">
        <v>240</v>
      </c>
      <c r="L327" s="0" t="s">
        <v>240</v>
      </c>
      <c r="M327" s="0" t="s">
        <v>240</v>
      </c>
      <c r="N327" s="0" t="s">
        <v>240</v>
      </c>
      <c r="O327" s="0" t="s">
        <v>240</v>
      </c>
      <c r="P327" s="0" t="s">
        <v>240</v>
      </c>
      <c r="Q327" s="0" t="s">
        <v>240</v>
      </c>
      <c r="R327" s="0" t="s">
        <v>6935</v>
      </c>
      <c r="S327" s="0" t="s">
        <v>240</v>
      </c>
      <c r="T327" s="0" t="s">
        <v>240</v>
      </c>
      <c r="U327" s="0" t="s">
        <v>102</v>
      </c>
      <c r="V327" s="0" t="s">
        <v>240</v>
      </c>
      <c r="W327" s="0" t="s">
        <v>240</v>
      </c>
      <c r="X327" s="0" t="s">
        <v>5485</v>
      </c>
      <c r="Y327" s="0" t="s">
        <v>240</v>
      </c>
      <c r="Z327" s="0" t="s">
        <v>161</v>
      </c>
      <c r="AA327" s="0" t="s">
        <v>152</v>
      </c>
      <c r="AB327" s="0" t="s">
        <v>152</v>
      </c>
      <c r="AC327" s="0" t="s">
        <v>3389</v>
      </c>
      <c r="AD327" s="0" t="s">
        <v>3389</v>
      </c>
      <c r="AE327" s="0" t="s">
        <v>3390</v>
      </c>
      <c r="AF327" s="0" t="s">
        <v>5519</v>
      </c>
      <c r="AG327" s="0" t="s">
        <v>5520</v>
      </c>
      <c r="AH327" s="0" t="s">
        <v>6173</v>
      </c>
      <c r="AI327" s="0" t="s">
        <v>6174</v>
      </c>
      <c r="AJ327" s="0" t="s">
        <v>5716</v>
      </c>
      <c r="AK327" s="0" t="s">
        <v>6175</v>
      </c>
      <c r="AL327" s="0" t="s">
        <v>5492</v>
      </c>
      <c r="AM327" s="0" t="s">
        <v>5493</v>
      </c>
      <c r="AN327" s="0" t="s">
        <v>6176</v>
      </c>
      <c r="AO327" s="0" t="s">
        <v>6177</v>
      </c>
      <c r="AP327" s="0" t="s">
        <v>240</v>
      </c>
      <c r="AQ327" s="0" t="s">
        <v>240</v>
      </c>
      <c r="AR327" s="0" t="s">
        <v>240</v>
      </c>
      <c r="AS327" s="0" t="s">
        <v>240</v>
      </c>
      <c r="AT327" s="0" t="s">
        <v>240</v>
      </c>
      <c r="AU327" s="0" t="s">
        <v>240</v>
      </c>
      <c r="AV327" s="0" t="s">
        <v>240</v>
      </c>
      <c r="AW327" s="0" t="s">
        <v>240</v>
      </c>
      <c r="AX327" s="0" t="s">
        <v>240</v>
      </c>
      <c r="AY327" s="0" t="s">
        <v>240</v>
      </c>
      <c r="AZ327" s="0" t="s">
        <v>240</v>
      </c>
      <c r="BA327" s="0" t="s">
        <v>240</v>
      </c>
      <c r="BB327" s="0" t="s">
        <v>240</v>
      </c>
      <c r="BC327" s="0" t="s">
        <v>240</v>
      </c>
      <c r="BD327" s="0" t="s">
        <v>240</v>
      </c>
      <c r="BE327" s="0" t="s">
        <v>240</v>
      </c>
      <c r="BF327" s="0" t="s">
        <v>240</v>
      </c>
      <c r="BG327" s="0" t="s">
        <v>240</v>
      </c>
      <c r="BH327" s="0" t="s">
        <v>240</v>
      </c>
      <c r="BI327" s="0" t="s">
        <v>240</v>
      </c>
      <c r="BJ327" s="0" t="s">
        <v>240</v>
      </c>
      <c r="BK327" s="0" t="s">
        <v>240</v>
      </c>
      <c r="BL327" s="0" t="s">
        <v>240</v>
      </c>
      <c r="BM327" s="0" t="s">
        <v>240</v>
      </c>
      <c r="BN327" s="0" t="s">
        <v>240</v>
      </c>
      <c r="BO327" s="0" t="s">
        <v>240</v>
      </c>
      <c r="BP327" s="0" t="s">
        <v>240</v>
      </c>
      <c r="BQ327" s="0" t="s">
        <v>240</v>
      </c>
      <c r="BR327" s="0" t="s">
        <v>240</v>
      </c>
      <c r="BS327" s="0" t="s">
        <v>240</v>
      </c>
      <c r="BT327" s="0" t="s">
        <v>240</v>
      </c>
      <c r="BU327" s="0" t="s">
        <v>240</v>
      </c>
      <c r="BV327" s="0" t="s">
        <v>240</v>
      </c>
      <c r="BW327" s="0" t="s">
        <v>240</v>
      </c>
      <c r="BX327" s="0" t="s">
        <v>240</v>
      </c>
      <c r="BY327" s="0" t="s">
        <v>240</v>
      </c>
      <c r="BZ327" s="0" t="s">
        <v>240</v>
      </c>
      <c r="CA327" s="0" t="s">
        <v>240</v>
      </c>
      <c r="CB327" s="0" t="s">
        <v>240</v>
      </c>
      <c r="CC327" s="0" t="s">
        <v>240</v>
      </c>
      <c r="CD327" s="0" t="s">
        <v>240</v>
      </c>
      <c r="CE327" s="0" t="s">
        <v>240</v>
      </c>
      <c r="CF327" s="0" t="s">
        <v>240</v>
      </c>
      <c r="CG327" s="0" t="s">
        <v>240</v>
      </c>
      <c r="CH327" s="0" t="s">
        <v>240</v>
      </c>
      <c r="CI327" s="0" t="s">
        <v>240</v>
      </c>
      <c r="CJ327" s="0" t="s">
        <v>240</v>
      </c>
      <c r="CK327" s="0" t="s">
        <v>240</v>
      </c>
      <c r="CL327" s="0" t="s">
        <v>240</v>
      </c>
      <c r="CM327" s="0" t="s">
        <v>240</v>
      </c>
      <c r="CN327" s="0" t="s">
        <v>240</v>
      </c>
      <c r="CO327" s="0" t="s">
        <v>240</v>
      </c>
      <c r="CP327" s="0" t="s">
        <v>240</v>
      </c>
      <c r="CQ327" s="0" t="s">
        <v>240</v>
      </c>
      <c r="CR327" s="0" t="s">
        <v>240</v>
      </c>
      <c r="CS327" s="0" t="s">
        <v>240</v>
      </c>
      <c r="CT327" s="0" t="s">
        <v>5496</v>
      </c>
      <c r="CU327" s="0" t="s">
        <v>5497</v>
      </c>
      <c r="CV327" s="0" t="s">
        <v>443</v>
      </c>
      <c r="CW327" s="0" t="s">
        <v>5527</v>
      </c>
      <c r="CX327" s="0" t="s">
        <v>5528</v>
      </c>
      <c r="CY327" s="0" t="s">
        <v>443</v>
      </c>
      <c r="CZ327" s="0" t="s">
        <v>299</v>
      </c>
      <c r="DA327" s="0" t="s">
        <v>5529</v>
      </c>
      <c r="DB327" s="0" t="s">
        <v>5527</v>
      </c>
      <c r="DC327" s="0" t="s">
        <v>384</v>
      </c>
      <c r="DD327" s="0" t="s">
        <v>291</v>
      </c>
      <c r="DE327" s="0" t="s">
        <v>6178</v>
      </c>
    </row>
    <row customHeight="1" ht="11.25">
      <c r="A328" s="1441" t="s">
        <v>240</v>
      </c>
      <c r="B328" s="0" t="s">
        <v>240</v>
      </c>
      <c r="C328" s="0" t="s">
        <v>240</v>
      </c>
      <c r="D328" s="0" t="s">
        <v>240</v>
      </c>
      <c r="E328" s="0" t="s">
        <v>240</v>
      </c>
      <c r="F328" s="0" t="s">
        <v>240</v>
      </c>
      <c r="G328" s="0" t="s">
        <v>240</v>
      </c>
      <c r="H328" s="0" t="s">
        <v>240</v>
      </c>
      <c r="I328" s="0" t="s">
        <v>5484</v>
      </c>
      <c r="J328" s="0" t="s">
        <v>240</v>
      </c>
      <c r="K328" s="0" t="s">
        <v>240</v>
      </c>
      <c r="L328" s="0" t="s">
        <v>240</v>
      </c>
      <c r="M328" s="0" t="s">
        <v>240</v>
      </c>
      <c r="N328" s="0" t="s">
        <v>240</v>
      </c>
      <c r="O328" s="0" t="s">
        <v>240</v>
      </c>
      <c r="P328" s="0" t="s">
        <v>240</v>
      </c>
      <c r="Q328" s="0" t="s">
        <v>240</v>
      </c>
      <c r="R328" s="0" t="s">
        <v>6936</v>
      </c>
      <c r="S328" s="0" t="s">
        <v>240</v>
      </c>
      <c r="T328" s="0" t="s">
        <v>240</v>
      </c>
      <c r="U328" s="0" t="s">
        <v>102</v>
      </c>
      <c r="V328" s="0" t="s">
        <v>240</v>
      </c>
      <c r="W328" s="0" t="s">
        <v>240</v>
      </c>
      <c r="X328" s="0" t="s">
        <v>5485</v>
      </c>
      <c r="Y328" s="0" t="s">
        <v>240</v>
      </c>
      <c r="Z328" s="0" t="s">
        <v>161</v>
      </c>
      <c r="AA328" s="0" t="s">
        <v>152</v>
      </c>
      <c r="AB328" s="0" t="s">
        <v>152</v>
      </c>
      <c r="AC328" s="0" t="s">
        <v>3389</v>
      </c>
      <c r="AD328" s="0" t="s">
        <v>3389</v>
      </c>
      <c r="AE328" s="0" t="s">
        <v>3390</v>
      </c>
      <c r="AF328" s="0" t="s">
        <v>5519</v>
      </c>
      <c r="AG328" s="0" t="s">
        <v>5520</v>
      </c>
      <c r="AH328" s="0" t="s">
        <v>5654</v>
      </c>
      <c r="AI328" s="0" t="s">
        <v>6852</v>
      </c>
      <c r="AJ328" s="0" t="s">
        <v>5560</v>
      </c>
      <c r="AK328" s="0" t="s">
        <v>6853</v>
      </c>
      <c r="AL328" s="0" t="s">
        <v>5524</v>
      </c>
      <c r="AM328" s="0" t="s">
        <v>5493</v>
      </c>
      <c r="AN328" s="0" t="s">
        <v>6580</v>
      </c>
      <c r="AO328" s="0" t="s">
        <v>6581</v>
      </c>
      <c r="AP328" s="0" t="s">
        <v>240</v>
      </c>
      <c r="AQ328" s="0" t="s">
        <v>240</v>
      </c>
      <c r="AR328" s="0" t="s">
        <v>240</v>
      </c>
      <c r="AS328" s="0" t="s">
        <v>240</v>
      </c>
      <c r="AT328" s="0" t="s">
        <v>240</v>
      </c>
      <c r="AU328" s="0" t="s">
        <v>240</v>
      </c>
      <c r="AV328" s="0" t="s">
        <v>240</v>
      </c>
      <c r="AW328" s="0" t="s">
        <v>240</v>
      </c>
      <c r="AX328" s="0" t="s">
        <v>240</v>
      </c>
      <c r="AY328" s="0" t="s">
        <v>240</v>
      </c>
      <c r="AZ328" s="0" t="s">
        <v>240</v>
      </c>
      <c r="BA328" s="0" t="s">
        <v>240</v>
      </c>
      <c r="BB328" s="0" t="s">
        <v>240</v>
      </c>
      <c r="BC328" s="0" t="s">
        <v>240</v>
      </c>
      <c r="BD328" s="0" t="s">
        <v>240</v>
      </c>
      <c r="BE328" s="0" t="s">
        <v>240</v>
      </c>
      <c r="BF328" s="0" t="s">
        <v>240</v>
      </c>
      <c r="BG328" s="0" t="s">
        <v>240</v>
      </c>
      <c r="BH328" s="0" t="s">
        <v>240</v>
      </c>
      <c r="BI328" s="0" t="s">
        <v>240</v>
      </c>
      <c r="BJ328" s="0" t="s">
        <v>240</v>
      </c>
      <c r="BK328" s="0" t="s">
        <v>240</v>
      </c>
      <c r="BL328" s="0" t="s">
        <v>240</v>
      </c>
      <c r="BM328" s="0" t="s">
        <v>240</v>
      </c>
      <c r="BN328" s="0" t="s">
        <v>240</v>
      </c>
      <c r="BO328" s="0" t="s">
        <v>240</v>
      </c>
      <c r="BP328" s="0" t="s">
        <v>240</v>
      </c>
      <c r="BQ328" s="0" t="s">
        <v>240</v>
      </c>
      <c r="BR328" s="0" t="s">
        <v>240</v>
      </c>
      <c r="BS328" s="0" t="s">
        <v>240</v>
      </c>
      <c r="BT328" s="0" t="s">
        <v>240</v>
      </c>
      <c r="BU328" s="0" t="s">
        <v>240</v>
      </c>
      <c r="BV328" s="0" t="s">
        <v>240</v>
      </c>
      <c r="BW328" s="0" t="s">
        <v>240</v>
      </c>
      <c r="BX328" s="0" t="s">
        <v>240</v>
      </c>
      <c r="BY328" s="0" t="s">
        <v>240</v>
      </c>
      <c r="BZ328" s="0" t="s">
        <v>240</v>
      </c>
      <c r="CA328" s="0" t="s">
        <v>240</v>
      </c>
      <c r="CB328" s="0" t="s">
        <v>240</v>
      </c>
      <c r="CC328" s="0" t="s">
        <v>240</v>
      </c>
      <c r="CD328" s="0" t="s">
        <v>240</v>
      </c>
      <c r="CE328" s="0" t="s">
        <v>240</v>
      </c>
      <c r="CF328" s="0" t="s">
        <v>240</v>
      </c>
      <c r="CG328" s="0" t="s">
        <v>240</v>
      </c>
      <c r="CH328" s="0" t="s">
        <v>240</v>
      </c>
      <c r="CI328" s="0" t="s">
        <v>240</v>
      </c>
      <c r="CJ328" s="0" t="s">
        <v>240</v>
      </c>
      <c r="CK328" s="0" t="s">
        <v>240</v>
      </c>
      <c r="CL328" s="0" t="s">
        <v>240</v>
      </c>
      <c r="CM328" s="0" t="s">
        <v>240</v>
      </c>
      <c r="CN328" s="0" t="s">
        <v>240</v>
      </c>
      <c r="CO328" s="0" t="s">
        <v>240</v>
      </c>
      <c r="CP328" s="0" t="s">
        <v>240</v>
      </c>
      <c r="CQ328" s="0" t="s">
        <v>240</v>
      </c>
      <c r="CR328" s="0" t="s">
        <v>240</v>
      </c>
      <c r="CS328" s="0" t="s">
        <v>240</v>
      </c>
      <c r="CT328" s="0" t="s">
        <v>5496</v>
      </c>
      <c r="CU328" s="0" t="s">
        <v>5497</v>
      </c>
      <c r="CV328" s="0" t="s">
        <v>443</v>
      </c>
      <c r="CW328" s="0" t="s">
        <v>5527</v>
      </c>
      <c r="CX328" s="0" t="s">
        <v>5528</v>
      </c>
      <c r="CY328" s="0" t="s">
        <v>443</v>
      </c>
      <c r="CZ328" s="0" t="s">
        <v>299</v>
      </c>
      <c r="DA328" s="0" t="s">
        <v>5529</v>
      </c>
      <c r="DB328" s="0" t="s">
        <v>5527</v>
      </c>
      <c r="DC328" s="0" t="s">
        <v>384</v>
      </c>
      <c r="DD328" s="0" t="s">
        <v>291</v>
      </c>
      <c r="DE328" s="0" t="s">
        <v>6854</v>
      </c>
    </row>
    <row customHeight="1" ht="11.25">
      <c r="A329" s="1441" t="s">
        <v>240</v>
      </c>
      <c r="B329" s="0" t="s">
        <v>240</v>
      </c>
      <c r="C329" s="0" t="s">
        <v>240</v>
      </c>
      <c r="D329" s="0" t="s">
        <v>240</v>
      </c>
      <c r="E329" s="0" t="s">
        <v>240</v>
      </c>
      <c r="F329" s="0" t="s">
        <v>240</v>
      </c>
      <c r="G329" s="0" t="s">
        <v>240</v>
      </c>
      <c r="H329" s="0" t="s">
        <v>240</v>
      </c>
      <c r="I329" s="0" t="s">
        <v>5484</v>
      </c>
      <c r="J329" s="0" t="s">
        <v>240</v>
      </c>
      <c r="K329" s="0" t="s">
        <v>240</v>
      </c>
      <c r="L329" s="0" t="s">
        <v>240</v>
      </c>
      <c r="M329" s="0" t="s">
        <v>240</v>
      </c>
      <c r="N329" s="0" t="s">
        <v>240</v>
      </c>
      <c r="O329" s="0" t="s">
        <v>240</v>
      </c>
      <c r="P329" s="0" t="s">
        <v>240</v>
      </c>
      <c r="Q329" s="0" t="s">
        <v>240</v>
      </c>
      <c r="R329" s="0" t="s">
        <v>5499</v>
      </c>
      <c r="S329" s="0" t="s">
        <v>240</v>
      </c>
      <c r="T329" s="0" t="s">
        <v>240</v>
      </c>
      <c r="U329" s="0" t="s">
        <v>102</v>
      </c>
      <c r="V329" s="0" t="s">
        <v>240</v>
      </c>
      <c r="W329" s="0" t="s">
        <v>240</v>
      </c>
      <c r="X329" s="0" t="s">
        <v>5485</v>
      </c>
      <c r="Y329" s="0" t="s">
        <v>240</v>
      </c>
      <c r="Z329" s="0" t="s">
        <v>161</v>
      </c>
      <c r="AA329" s="0" t="s">
        <v>152</v>
      </c>
      <c r="AB329" s="0" t="s">
        <v>152</v>
      </c>
      <c r="AC329" s="0" t="s">
        <v>2991</v>
      </c>
      <c r="AD329" s="0" t="s">
        <v>2991</v>
      </c>
      <c r="AE329" s="0" t="s">
        <v>2992</v>
      </c>
      <c r="AF329" s="0" t="s">
        <v>5970</v>
      </c>
      <c r="AG329" s="0" t="s">
        <v>5971</v>
      </c>
      <c r="AH329" s="0" t="s">
        <v>5972</v>
      </c>
      <c r="AI329" s="0" t="s">
        <v>5730</v>
      </c>
      <c r="AJ329" s="0" t="s">
        <v>5504</v>
      </c>
      <c r="AK329" s="0" t="s">
        <v>5731</v>
      </c>
      <c r="AL329" s="0" t="s">
        <v>5506</v>
      </c>
      <c r="AM329" s="0" t="s">
        <v>5493</v>
      </c>
      <c r="AN329" s="0" t="s">
        <v>5545</v>
      </c>
      <c r="AO329" s="0" t="s">
        <v>5636</v>
      </c>
      <c r="AP329" s="0" t="s">
        <v>240</v>
      </c>
      <c r="AQ329" s="0" t="s">
        <v>240</v>
      </c>
      <c r="AR329" s="0" t="s">
        <v>240</v>
      </c>
      <c r="AS329" s="0" t="s">
        <v>240</v>
      </c>
      <c r="AT329" s="0" t="s">
        <v>240</v>
      </c>
      <c r="AU329" s="0" t="s">
        <v>240</v>
      </c>
      <c r="AV329" s="0" t="s">
        <v>240</v>
      </c>
      <c r="AW329" s="0" t="s">
        <v>240</v>
      </c>
      <c r="AX329" s="0" t="s">
        <v>240</v>
      </c>
      <c r="AY329" s="0" t="s">
        <v>240</v>
      </c>
      <c r="AZ329" s="0" t="s">
        <v>240</v>
      </c>
      <c r="BA329" s="0" t="s">
        <v>240</v>
      </c>
      <c r="BB329" s="0" t="s">
        <v>240</v>
      </c>
      <c r="BC329" s="0" t="s">
        <v>240</v>
      </c>
      <c r="BD329" s="0" t="s">
        <v>240</v>
      </c>
      <c r="BE329" s="0" t="s">
        <v>240</v>
      </c>
      <c r="BF329" s="0" t="s">
        <v>240</v>
      </c>
      <c r="BG329" s="0" t="s">
        <v>240</v>
      </c>
      <c r="BH329" s="0" t="s">
        <v>240</v>
      </c>
      <c r="BI329" s="0" t="s">
        <v>240</v>
      </c>
      <c r="BJ329" s="0" t="s">
        <v>240</v>
      </c>
      <c r="BK329" s="0" t="s">
        <v>240</v>
      </c>
      <c r="BL329" s="0" t="s">
        <v>240</v>
      </c>
      <c r="BM329" s="0" t="s">
        <v>240</v>
      </c>
      <c r="BN329" s="0" t="s">
        <v>240</v>
      </c>
      <c r="BO329" s="0" t="s">
        <v>240</v>
      </c>
      <c r="BP329" s="0" t="s">
        <v>240</v>
      </c>
      <c r="BQ329" s="0" t="s">
        <v>240</v>
      </c>
      <c r="BR329" s="0" t="s">
        <v>240</v>
      </c>
      <c r="BS329" s="0" t="s">
        <v>240</v>
      </c>
      <c r="BT329" s="0" t="s">
        <v>240</v>
      </c>
      <c r="BU329" s="0" t="s">
        <v>240</v>
      </c>
      <c r="BV329" s="0" t="s">
        <v>240</v>
      </c>
      <c r="BW329" s="0" t="s">
        <v>240</v>
      </c>
      <c r="BX329" s="0" t="s">
        <v>240</v>
      </c>
      <c r="BY329" s="0" t="s">
        <v>240</v>
      </c>
      <c r="BZ329" s="0" t="s">
        <v>240</v>
      </c>
      <c r="CA329" s="0" t="s">
        <v>240</v>
      </c>
      <c r="CB329" s="0" t="s">
        <v>240</v>
      </c>
      <c r="CC329" s="0" t="s">
        <v>240</v>
      </c>
      <c r="CD329" s="0" t="s">
        <v>240</v>
      </c>
      <c r="CE329" s="0" t="s">
        <v>240</v>
      </c>
      <c r="CF329" s="0" t="s">
        <v>240</v>
      </c>
      <c r="CG329" s="0" t="s">
        <v>240</v>
      </c>
      <c r="CH329" s="0" t="s">
        <v>240</v>
      </c>
      <c r="CI329" s="0" t="s">
        <v>240</v>
      </c>
      <c r="CJ329" s="0" t="s">
        <v>240</v>
      </c>
      <c r="CK329" s="0" t="s">
        <v>240</v>
      </c>
      <c r="CL329" s="0" t="s">
        <v>240</v>
      </c>
      <c r="CM329" s="0" t="s">
        <v>240</v>
      </c>
      <c r="CN329" s="0" t="s">
        <v>240</v>
      </c>
      <c r="CO329" s="0" t="s">
        <v>240</v>
      </c>
      <c r="CP329" s="0" t="s">
        <v>240</v>
      </c>
      <c r="CQ329" s="0" t="s">
        <v>240</v>
      </c>
      <c r="CR329" s="0" t="s">
        <v>240</v>
      </c>
      <c r="CS329" s="0" t="s">
        <v>240</v>
      </c>
      <c r="CT329" s="0" t="s">
        <v>5496</v>
      </c>
      <c r="CU329" s="0" t="s">
        <v>5497</v>
      </c>
      <c r="CV329" s="0" t="s">
        <v>443</v>
      </c>
      <c r="CW329" s="0" t="s">
        <v>5547</v>
      </c>
      <c r="CX329" s="0" t="s">
        <v>229</v>
      </c>
      <c r="CY329" s="0" t="s">
        <v>443</v>
      </c>
      <c r="CZ329" s="0" t="s">
        <v>5548</v>
      </c>
      <c r="DA329" s="0" t="s">
        <v>5549</v>
      </c>
      <c r="DB329" s="0" t="s">
        <v>5547</v>
      </c>
      <c r="DC329" s="0" t="s">
        <v>384</v>
      </c>
      <c r="DD329" s="0" t="s">
        <v>291</v>
      </c>
      <c r="DE329" s="0" t="s">
        <v>5973</v>
      </c>
    </row>
    <row customHeight="1" ht="11.25">
      <c r="A330" s="1441" t="s">
        <v>240</v>
      </c>
      <c r="B330" s="0" t="s">
        <v>240</v>
      </c>
      <c r="C330" s="0" t="s">
        <v>240</v>
      </c>
      <c r="D330" s="0" t="s">
        <v>240</v>
      </c>
      <c r="E330" s="0" t="s">
        <v>240</v>
      </c>
      <c r="F330" s="0" t="s">
        <v>240</v>
      </c>
      <c r="G330" s="0" t="s">
        <v>240</v>
      </c>
      <c r="H330" s="0" t="s">
        <v>240</v>
      </c>
      <c r="I330" s="0" t="s">
        <v>5484</v>
      </c>
      <c r="J330" s="0" t="s">
        <v>240</v>
      </c>
      <c r="K330" s="0" t="s">
        <v>240</v>
      </c>
      <c r="L330" s="0" t="s">
        <v>240</v>
      </c>
      <c r="M330" s="0" t="s">
        <v>240</v>
      </c>
      <c r="N330" s="0" t="s">
        <v>240</v>
      </c>
      <c r="O330" s="0" t="s">
        <v>240</v>
      </c>
      <c r="P330" s="0" t="s">
        <v>240</v>
      </c>
      <c r="Q330" s="0" t="s">
        <v>240</v>
      </c>
      <c r="R330" s="0" t="s">
        <v>6409</v>
      </c>
      <c r="S330" s="0" t="s">
        <v>240</v>
      </c>
      <c r="T330" s="0" t="s">
        <v>240</v>
      </c>
      <c r="U330" s="0" t="s">
        <v>102</v>
      </c>
      <c r="V330" s="0" t="s">
        <v>240</v>
      </c>
      <c r="W330" s="0" t="s">
        <v>240</v>
      </c>
      <c r="X330" s="0" t="s">
        <v>5585</v>
      </c>
      <c r="Y330" s="0" t="s">
        <v>240</v>
      </c>
      <c r="Z330" s="0" t="s">
        <v>152</v>
      </c>
      <c r="AA330" s="0" t="s">
        <v>152</v>
      </c>
      <c r="AB330" s="0" t="s">
        <v>161</v>
      </c>
      <c r="AC330" s="0" t="s">
        <v>2991</v>
      </c>
      <c r="AD330" s="0" t="s">
        <v>2991</v>
      </c>
      <c r="AE330" s="0" t="s">
        <v>2992</v>
      </c>
      <c r="AF330" s="0" t="s">
        <v>5970</v>
      </c>
      <c r="AG330" s="0" t="s">
        <v>5971</v>
      </c>
      <c r="AH330" s="0" t="s">
        <v>5575</v>
      </c>
      <c r="AI330" s="0" t="s">
        <v>5575</v>
      </c>
      <c r="AJ330" s="0" t="s">
        <v>240</v>
      </c>
      <c r="AK330" s="0" t="s">
        <v>240</v>
      </c>
      <c r="AL330" s="0" t="s">
        <v>240</v>
      </c>
      <c r="AM330" s="0" t="s">
        <v>240</v>
      </c>
      <c r="AN330" s="0" t="s">
        <v>240</v>
      </c>
      <c r="AO330" s="0" t="s">
        <v>240</v>
      </c>
      <c r="AP330" s="0" t="s">
        <v>240</v>
      </c>
      <c r="AQ330" s="0" t="s">
        <v>240</v>
      </c>
      <c r="AR330" s="0" t="s">
        <v>240</v>
      </c>
      <c r="AS330" s="0" t="s">
        <v>240</v>
      </c>
      <c r="AT330" s="0" t="s">
        <v>240</v>
      </c>
      <c r="AU330" s="0" t="s">
        <v>240</v>
      </c>
      <c r="AV330" s="0" t="s">
        <v>240</v>
      </c>
      <c r="AW330" s="0" t="s">
        <v>240</v>
      </c>
      <c r="AX330" s="0" t="s">
        <v>240</v>
      </c>
      <c r="AY330" s="0" t="s">
        <v>240</v>
      </c>
      <c r="AZ330" s="0" t="s">
        <v>240</v>
      </c>
      <c r="BA330" s="0" t="s">
        <v>240</v>
      </c>
      <c r="BB330" s="0" t="s">
        <v>240</v>
      </c>
      <c r="BC330" s="0" t="s">
        <v>240</v>
      </c>
      <c r="BD330" s="0" t="s">
        <v>240</v>
      </c>
      <c r="BE330" s="0" t="s">
        <v>5552</v>
      </c>
      <c r="BF330" s="0" t="s">
        <v>5544</v>
      </c>
      <c r="BG330" s="0" t="s">
        <v>112</v>
      </c>
      <c r="BH330" s="0" t="s">
        <v>5589</v>
      </c>
      <c r="BI330" s="0" t="s">
        <v>123</v>
      </c>
      <c r="BJ330" s="0" t="s">
        <v>240</v>
      </c>
      <c r="BK330" s="0" t="s">
        <v>5608</v>
      </c>
      <c r="BL330" s="0" t="s">
        <v>2991</v>
      </c>
      <c r="BM330" s="0" t="s">
        <v>2991</v>
      </c>
      <c r="BN330" s="0" t="s">
        <v>5663</v>
      </c>
      <c r="BO330" s="0" t="s">
        <v>5970</v>
      </c>
      <c r="BP330" s="0" t="s">
        <v>6410</v>
      </c>
      <c r="BQ330" s="0" t="s">
        <v>5575</v>
      </c>
      <c r="BR330" s="0" t="s">
        <v>5575</v>
      </c>
      <c r="BS330" s="0" t="s">
        <v>240</v>
      </c>
      <c r="BT330" s="0" t="s">
        <v>5650</v>
      </c>
      <c r="BU330" s="0" t="s">
        <v>6411</v>
      </c>
      <c r="BV330" s="0" t="s">
        <v>6411</v>
      </c>
      <c r="BW330" s="0" t="s">
        <v>5598</v>
      </c>
      <c r="BX330" s="0" t="s">
        <v>5598</v>
      </c>
      <c r="BY330" s="0" t="s">
        <v>5598</v>
      </c>
      <c r="BZ330" s="0" t="s">
        <v>5598</v>
      </c>
      <c r="CA330" s="0" t="s">
        <v>5598</v>
      </c>
      <c r="CB330" s="0" t="s">
        <v>240</v>
      </c>
      <c r="CC330" s="0" t="s">
        <v>240</v>
      </c>
      <c r="CD330" s="0" t="s">
        <v>240</v>
      </c>
      <c r="CE330" s="0" t="s">
        <v>240</v>
      </c>
      <c r="CF330" s="0" t="s">
        <v>240</v>
      </c>
      <c r="CG330" s="0" t="s">
        <v>5598</v>
      </c>
      <c r="CH330" s="0" t="s">
        <v>240</v>
      </c>
      <c r="CI330" s="0" t="s">
        <v>240</v>
      </c>
      <c r="CJ330" s="0" t="s">
        <v>240</v>
      </c>
      <c r="CK330" s="0" t="s">
        <v>240</v>
      </c>
      <c r="CL330" s="0" t="s">
        <v>240</v>
      </c>
      <c r="CM330" s="0" t="s">
        <v>6411</v>
      </c>
      <c r="CN330" s="0" t="s">
        <v>6411</v>
      </c>
      <c r="CO330" s="0" t="s">
        <v>240</v>
      </c>
      <c r="CP330" s="0" t="s">
        <v>240</v>
      </c>
      <c r="CQ330" s="0" t="s">
        <v>240</v>
      </c>
      <c r="CR330" s="0" t="s">
        <v>240</v>
      </c>
      <c r="CS330" s="0" t="s">
        <v>5666</v>
      </c>
      <c r="CT330" s="0" t="s">
        <v>5496</v>
      </c>
      <c r="CU330" s="0" t="s">
        <v>5497</v>
      </c>
      <c r="CV330" s="0" t="s">
        <v>443</v>
      </c>
      <c r="CW330" s="0" t="s">
        <v>5547</v>
      </c>
      <c r="CX330" s="0" t="s">
        <v>229</v>
      </c>
      <c r="CY330" s="0" t="s">
        <v>443</v>
      </c>
      <c r="CZ330" s="0" t="s">
        <v>5548</v>
      </c>
      <c r="DA330" s="0" t="s">
        <v>5549</v>
      </c>
      <c r="DB330" s="0" t="s">
        <v>5547</v>
      </c>
      <c r="DC330" s="0" t="s">
        <v>384</v>
      </c>
      <c r="DD330" s="0" t="s">
        <v>291</v>
      </c>
      <c r="DE330" s="0" t="s">
        <v>6412</v>
      </c>
    </row>
    <row customHeight="1" ht="11.25">
      <c r="A331" s="1441" t="s">
        <v>240</v>
      </c>
      <c r="B331" s="0" t="s">
        <v>240</v>
      </c>
      <c r="C331" s="0" t="s">
        <v>240</v>
      </c>
      <c r="D331" s="0" t="s">
        <v>240</v>
      </c>
      <c r="E331" s="0" t="s">
        <v>240</v>
      </c>
      <c r="F331" s="0" t="s">
        <v>240</v>
      </c>
      <c r="G331" s="0" t="s">
        <v>240</v>
      </c>
      <c r="H331" s="0" t="s">
        <v>240</v>
      </c>
      <c r="I331" s="0" t="s">
        <v>5484</v>
      </c>
      <c r="J331" s="0" t="s">
        <v>240</v>
      </c>
      <c r="K331" s="0" t="s">
        <v>240</v>
      </c>
      <c r="L331" s="0" t="s">
        <v>240</v>
      </c>
      <c r="M331" s="0" t="s">
        <v>240</v>
      </c>
      <c r="N331" s="0" t="s">
        <v>240</v>
      </c>
      <c r="O331" s="0" t="s">
        <v>240</v>
      </c>
      <c r="P331" s="0" t="s">
        <v>240</v>
      </c>
      <c r="Q331" s="0" t="s">
        <v>240</v>
      </c>
      <c r="R331" s="0" t="s">
        <v>6937</v>
      </c>
      <c r="S331" s="0" t="s">
        <v>240</v>
      </c>
      <c r="T331" s="0" t="s">
        <v>240</v>
      </c>
      <c r="U331" s="0" t="s">
        <v>102</v>
      </c>
      <c r="V331" s="0" t="s">
        <v>240</v>
      </c>
      <c r="W331" s="0" t="s">
        <v>240</v>
      </c>
      <c r="X331" s="0" t="s">
        <v>5485</v>
      </c>
      <c r="Y331" s="0" t="s">
        <v>240</v>
      </c>
      <c r="Z331" s="0" t="s">
        <v>161</v>
      </c>
      <c r="AA331" s="0" t="s">
        <v>152</v>
      </c>
      <c r="AB331" s="0" t="s">
        <v>152</v>
      </c>
      <c r="AC331" s="0" t="s">
        <v>3389</v>
      </c>
      <c r="AD331" s="0" t="s">
        <v>3389</v>
      </c>
      <c r="AE331" s="0" t="s">
        <v>3390</v>
      </c>
      <c r="AF331" s="0" t="s">
        <v>5519</v>
      </c>
      <c r="AG331" s="0" t="s">
        <v>5520</v>
      </c>
      <c r="AH331" s="0" t="s">
        <v>6140</v>
      </c>
      <c r="AI331" s="0" t="s">
        <v>6141</v>
      </c>
      <c r="AJ331" s="0" t="s">
        <v>5872</v>
      </c>
      <c r="AK331" s="0" t="s">
        <v>6142</v>
      </c>
      <c r="AL331" s="0" t="s">
        <v>5524</v>
      </c>
      <c r="AM331" s="0" t="s">
        <v>5493</v>
      </c>
      <c r="AN331" s="0" t="s">
        <v>6143</v>
      </c>
      <c r="AO331" s="0" t="s">
        <v>6144</v>
      </c>
      <c r="AP331" s="0" t="s">
        <v>240</v>
      </c>
      <c r="AQ331" s="0" t="s">
        <v>240</v>
      </c>
      <c r="AR331" s="0" t="s">
        <v>240</v>
      </c>
      <c r="AS331" s="0" t="s">
        <v>240</v>
      </c>
      <c r="AT331" s="0" t="s">
        <v>240</v>
      </c>
      <c r="AU331" s="0" t="s">
        <v>240</v>
      </c>
      <c r="AV331" s="0" t="s">
        <v>240</v>
      </c>
      <c r="AW331" s="0" t="s">
        <v>240</v>
      </c>
      <c r="AX331" s="0" t="s">
        <v>240</v>
      </c>
      <c r="AY331" s="0" t="s">
        <v>240</v>
      </c>
      <c r="AZ331" s="0" t="s">
        <v>240</v>
      </c>
      <c r="BA331" s="0" t="s">
        <v>240</v>
      </c>
      <c r="BB331" s="0" t="s">
        <v>240</v>
      </c>
      <c r="BC331" s="0" t="s">
        <v>240</v>
      </c>
      <c r="BD331" s="0" t="s">
        <v>240</v>
      </c>
      <c r="BE331" s="0" t="s">
        <v>240</v>
      </c>
      <c r="BF331" s="0" t="s">
        <v>240</v>
      </c>
      <c r="BG331" s="0" t="s">
        <v>240</v>
      </c>
      <c r="BH331" s="0" t="s">
        <v>240</v>
      </c>
      <c r="BI331" s="0" t="s">
        <v>240</v>
      </c>
      <c r="BJ331" s="0" t="s">
        <v>240</v>
      </c>
      <c r="BK331" s="0" t="s">
        <v>240</v>
      </c>
      <c r="BL331" s="0" t="s">
        <v>240</v>
      </c>
      <c r="BM331" s="0" t="s">
        <v>240</v>
      </c>
      <c r="BN331" s="0" t="s">
        <v>240</v>
      </c>
      <c r="BO331" s="0" t="s">
        <v>240</v>
      </c>
      <c r="BP331" s="0" t="s">
        <v>240</v>
      </c>
      <c r="BQ331" s="0" t="s">
        <v>240</v>
      </c>
      <c r="BR331" s="0" t="s">
        <v>240</v>
      </c>
      <c r="BS331" s="0" t="s">
        <v>240</v>
      </c>
      <c r="BT331" s="0" t="s">
        <v>240</v>
      </c>
      <c r="BU331" s="0" t="s">
        <v>240</v>
      </c>
      <c r="BV331" s="0" t="s">
        <v>240</v>
      </c>
      <c r="BW331" s="0" t="s">
        <v>240</v>
      </c>
      <c r="BX331" s="0" t="s">
        <v>240</v>
      </c>
      <c r="BY331" s="0" t="s">
        <v>240</v>
      </c>
      <c r="BZ331" s="0" t="s">
        <v>240</v>
      </c>
      <c r="CA331" s="0" t="s">
        <v>240</v>
      </c>
      <c r="CB331" s="0" t="s">
        <v>240</v>
      </c>
      <c r="CC331" s="0" t="s">
        <v>240</v>
      </c>
      <c r="CD331" s="0" t="s">
        <v>240</v>
      </c>
      <c r="CE331" s="0" t="s">
        <v>240</v>
      </c>
      <c r="CF331" s="0" t="s">
        <v>240</v>
      </c>
      <c r="CG331" s="0" t="s">
        <v>240</v>
      </c>
      <c r="CH331" s="0" t="s">
        <v>240</v>
      </c>
      <c r="CI331" s="0" t="s">
        <v>240</v>
      </c>
      <c r="CJ331" s="0" t="s">
        <v>240</v>
      </c>
      <c r="CK331" s="0" t="s">
        <v>240</v>
      </c>
      <c r="CL331" s="0" t="s">
        <v>240</v>
      </c>
      <c r="CM331" s="0" t="s">
        <v>240</v>
      </c>
      <c r="CN331" s="0" t="s">
        <v>240</v>
      </c>
      <c r="CO331" s="0" t="s">
        <v>240</v>
      </c>
      <c r="CP331" s="0" t="s">
        <v>240</v>
      </c>
      <c r="CQ331" s="0" t="s">
        <v>240</v>
      </c>
      <c r="CR331" s="0" t="s">
        <v>240</v>
      </c>
      <c r="CS331" s="0" t="s">
        <v>240</v>
      </c>
      <c r="CT331" s="0" t="s">
        <v>5496</v>
      </c>
      <c r="CU331" s="0" t="s">
        <v>5497</v>
      </c>
      <c r="CV331" s="0" t="s">
        <v>443</v>
      </c>
      <c r="CW331" s="0" t="s">
        <v>5527</v>
      </c>
      <c r="CX331" s="0" t="s">
        <v>5528</v>
      </c>
      <c r="CY331" s="0" t="s">
        <v>443</v>
      </c>
      <c r="CZ331" s="0" t="s">
        <v>299</v>
      </c>
      <c r="DA331" s="0" t="s">
        <v>5529</v>
      </c>
      <c r="DB331" s="0" t="s">
        <v>5527</v>
      </c>
      <c r="DC331" s="0" t="s">
        <v>384</v>
      </c>
      <c r="DD331" s="0" t="s">
        <v>291</v>
      </c>
      <c r="DE331" s="0" t="s">
        <v>6145</v>
      </c>
    </row>
    <row customHeight="1" ht="11.25">
      <c r="A332" s="1441" t="s">
        <v>240</v>
      </c>
      <c r="B332" s="0" t="s">
        <v>240</v>
      </c>
      <c r="C332" s="0" t="s">
        <v>240</v>
      </c>
      <c r="D332" s="0" t="s">
        <v>240</v>
      </c>
      <c r="E332" s="0" t="s">
        <v>240</v>
      </c>
      <c r="F332" s="0" t="s">
        <v>240</v>
      </c>
      <c r="G332" s="0" t="s">
        <v>240</v>
      </c>
      <c r="H332" s="0" t="s">
        <v>240</v>
      </c>
      <c r="I332" s="0" t="s">
        <v>5484</v>
      </c>
      <c r="J332" s="0" t="s">
        <v>240</v>
      </c>
      <c r="K332" s="0" t="s">
        <v>240</v>
      </c>
      <c r="L332" s="0" t="s">
        <v>240</v>
      </c>
      <c r="M332" s="0" t="s">
        <v>240</v>
      </c>
      <c r="N332" s="0" t="s">
        <v>240</v>
      </c>
      <c r="O332" s="0" t="s">
        <v>240</v>
      </c>
      <c r="P332" s="0" t="s">
        <v>240</v>
      </c>
      <c r="Q332" s="0" t="s">
        <v>240</v>
      </c>
      <c r="R332" s="0" t="s">
        <v>5572</v>
      </c>
      <c r="S332" s="0" t="s">
        <v>240</v>
      </c>
      <c r="T332" s="0" t="s">
        <v>240</v>
      </c>
      <c r="U332" s="0" t="s">
        <v>102</v>
      </c>
      <c r="V332" s="0" t="s">
        <v>240</v>
      </c>
      <c r="W332" s="0" t="s">
        <v>240</v>
      </c>
      <c r="X332" s="0" t="s">
        <v>5485</v>
      </c>
      <c r="Y332" s="0" t="s">
        <v>240</v>
      </c>
      <c r="Z332" s="0" t="s">
        <v>161</v>
      </c>
      <c r="AA332" s="0" t="s">
        <v>152</v>
      </c>
      <c r="AB332" s="0" t="s">
        <v>152</v>
      </c>
      <c r="AC332" s="0" t="s">
        <v>2991</v>
      </c>
      <c r="AD332" s="0" t="s">
        <v>2991</v>
      </c>
      <c r="AE332" s="0" t="s">
        <v>2992</v>
      </c>
      <c r="AF332" s="0" t="s">
        <v>6600</v>
      </c>
      <c r="AG332" s="0" t="s">
        <v>6601</v>
      </c>
      <c r="AH332" s="0" t="s">
        <v>6447</v>
      </c>
      <c r="AI332" s="0" t="s">
        <v>5730</v>
      </c>
      <c r="AJ332" s="0" t="s">
        <v>5504</v>
      </c>
      <c r="AK332" s="0" t="s">
        <v>5672</v>
      </c>
      <c r="AL332" s="0" t="s">
        <v>5506</v>
      </c>
      <c r="AM332" s="0" t="s">
        <v>5493</v>
      </c>
      <c r="AN332" s="0" t="s">
        <v>5545</v>
      </c>
      <c r="AO332" s="0" t="s">
        <v>5680</v>
      </c>
      <c r="AP332" s="0" t="s">
        <v>240</v>
      </c>
      <c r="AQ332" s="0" t="s">
        <v>240</v>
      </c>
      <c r="AR332" s="0" t="s">
        <v>240</v>
      </c>
      <c r="AS332" s="0" t="s">
        <v>240</v>
      </c>
      <c r="AT332" s="0" t="s">
        <v>240</v>
      </c>
      <c r="AU332" s="0" t="s">
        <v>240</v>
      </c>
      <c r="AV332" s="0" t="s">
        <v>240</v>
      </c>
      <c r="AW332" s="0" t="s">
        <v>240</v>
      </c>
      <c r="AX332" s="0" t="s">
        <v>240</v>
      </c>
      <c r="AY332" s="0" t="s">
        <v>240</v>
      </c>
      <c r="AZ332" s="0" t="s">
        <v>240</v>
      </c>
      <c r="BA332" s="0" t="s">
        <v>240</v>
      </c>
      <c r="BB332" s="0" t="s">
        <v>240</v>
      </c>
      <c r="BC332" s="0" t="s">
        <v>240</v>
      </c>
      <c r="BD332" s="0" t="s">
        <v>240</v>
      </c>
      <c r="BE332" s="0" t="s">
        <v>240</v>
      </c>
      <c r="BF332" s="0" t="s">
        <v>240</v>
      </c>
      <c r="BG332" s="0" t="s">
        <v>240</v>
      </c>
      <c r="BH332" s="0" t="s">
        <v>240</v>
      </c>
      <c r="BI332" s="0" t="s">
        <v>240</v>
      </c>
      <c r="BJ332" s="0" t="s">
        <v>240</v>
      </c>
      <c r="BK332" s="0" t="s">
        <v>240</v>
      </c>
      <c r="BL332" s="0" t="s">
        <v>240</v>
      </c>
      <c r="BM332" s="0" t="s">
        <v>240</v>
      </c>
      <c r="BN332" s="0" t="s">
        <v>240</v>
      </c>
      <c r="BO332" s="0" t="s">
        <v>240</v>
      </c>
      <c r="BP332" s="0" t="s">
        <v>240</v>
      </c>
      <c r="BQ332" s="0" t="s">
        <v>240</v>
      </c>
      <c r="BR332" s="0" t="s">
        <v>240</v>
      </c>
      <c r="BS332" s="0" t="s">
        <v>240</v>
      </c>
      <c r="BT332" s="0" t="s">
        <v>240</v>
      </c>
      <c r="BU332" s="0" t="s">
        <v>240</v>
      </c>
      <c r="BV332" s="0" t="s">
        <v>240</v>
      </c>
      <c r="BW332" s="0" t="s">
        <v>240</v>
      </c>
      <c r="BX332" s="0" t="s">
        <v>240</v>
      </c>
      <c r="BY332" s="0" t="s">
        <v>240</v>
      </c>
      <c r="BZ332" s="0" t="s">
        <v>240</v>
      </c>
      <c r="CA332" s="0" t="s">
        <v>240</v>
      </c>
      <c r="CB332" s="0" t="s">
        <v>240</v>
      </c>
      <c r="CC332" s="0" t="s">
        <v>240</v>
      </c>
      <c r="CD332" s="0" t="s">
        <v>240</v>
      </c>
      <c r="CE332" s="0" t="s">
        <v>240</v>
      </c>
      <c r="CF332" s="0" t="s">
        <v>240</v>
      </c>
      <c r="CG332" s="0" t="s">
        <v>240</v>
      </c>
      <c r="CH332" s="0" t="s">
        <v>240</v>
      </c>
      <c r="CI332" s="0" t="s">
        <v>240</v>
      </c>
      <c r="CJ332" s="0" t="s">
        <v>240</v>
      </c>
      <c r="CK332" s="0" t="s">
        <v>240</v>
      </c>
      <c r="CL332" s="0" t="s">
        <v>240</v>
      </c>
      <c r="CM332" s="0" t="s">
        <v>240</v>
      </c>
      <c r="CN332" s="0" t="s">
        <v>240</v>
      </c>
      <c r="CO332" s="0" t="s">
        <v>240</v>
      </c>
      <c r="CP332" s="0" t="s">
        <v>240</v>
      </c>
      <c r="CQ332" s="0" t="s">
        <v>240</v>
      </c>
      <c r="CR332" s="0" t="s">
        <v>240</v>
      </c>
      <c r="CS332" s="0" t="s">
        <v>240</v>
      </c>
      <c r="CT332" s="0" t="s">
        <v>5496</v>
      </c>
      <c r="CU332" s="0" t="s">
        <v>5497</v>
      </c>
      <c r="CV332" s="0" t="s">
        <v>443</v>
      </c>
      <c r="CW332" s="0" t="s">
        <v>5547</v>
      </c>
      <c r="CX332" s="0" t="s">
        <v>229</v>
      </c>
      <c r="CY332" s="0" t="s">
        <v>443</v>
      </c>
      <c r="CZ332" s="0" t="s">
        <v>5548</v>
      </c>
      <c r="DA332" s="0" t="s">
        <v>5549</v>
      </c>
      <c r="DB332" s="0" t="s">
        <v>5547</v>
      </c>
      <c r="DC332" s="0" t="s">
        <v>384</v>
      </c>
      <c r="DD332" s="0" t="s">
        <v>291</v>
      </c>
      <c r="DE332" s="0" t="s">
        <v>6602</v>
      </c>
    </row>
    <row customHeight="1" ht="11.25">
      <c r="A333" s="1441" t="s">
        <v>240</v>
      </c>
      <c r="B333" s="0" t="s">
        <v>240</v>
      </c>
      <c r="C333" s="0" t="s">
        <v>240</v>
      </c>
      <c r="D333" s="0" t="s">
        <v>240</v>
      </c>
      <c r="E333" s="0" t="s">
        <v>240</v>
      </c>
      <c r="F333" s="0" t="s">
        <v>240</v>
      </c>
      <c r="G333" s="0" t="s">
        <v>240</v>
      </c>
      <c r="H333" s="0" t="s">
        <v>240</v>
      </c>
      <c r="I333" s="0" t="s">
        <v>5484</v>
      </c>
      <c r="J333" s="0" t="s">
        <v>240</v>
      </c>
      <c r="K333" s="0" t="s">
        <v>240</v>
      </c>
      <c r="L333" s="0" t="s">
        <v>240</v>
      </c>
      <c r="M333" s="0" t="s">
        <v>240</v>
      </c>
      <c r="N333" s="0" t="s">
        <v>240</v>
      </c>
      <c r="O333" s="0" t="s">
        <v>240</v>
      </c>
      <c r="P333" s="0" t="s">
        <v>240</v>
      </c>
      <c r="Q333" s="0" t="s">
        <v>240</v>
      </c>
      <c r="R333" s="0" t="s">
        <v>6603</v>
      </c>
      <c r="S333" s="0" t="s">
        <v>240</v>
      </c>
      <c r="T333" s="0" t="s">
        <v>240</v>
      </c>
      <c r="U333" s="0" t="s">
        <v>102</v>
      </c>
      <c r="V333" s="0" t="s">
        <v>240</v>
      </c>
      <c r="W333" s="0" t="s">
        <v>240</v>
      </c>
      <c r="X333" s="0" t="s">
        <v>5585</v>
      </c>
      <c r="Y333" s="0" t="s">
        <v>240</v>
      </c>
      <c r="Z333" s="0" t="s">
        <v>152</v>
      </c>
      <c r="AA333" s="0" t="s">
        <v>152</v>
      </c>
      <c r="AB333" s="0" t="s">
        <v>161</v>
      </c>
      <c r="AC333" s="0" t="s">
        <v>2991</v>
      </c>
      <c r="AD333" s="0" t="s">
        <v>2991</v>
      </c>
      <c r="AE333" s="0" t="s">
        <v>2992</v>
      </c>
      <c r="AF333" s="0" t="s">
        <v>6600</v>
      </c>
      <c r="AG333" s="0" t="s">
        <v>6601</v>
      </c>
      <c r="AH333" s="0" t="s">
        <v>5575</v>
      </c>
      <c r="AI333" s="0" t="s">
        <v>5575</v>
      </c>
      <c r="AJ333" s="0" t="s">
        <v>240</v>
      </c>
      <c r="AK333" s="0" t="s">
        <v>240</v>
      </c>
      <c r="AL333" s="0" t="s">
        <v>240</v>
      </c>
      <c r="AM333" s="0" t="s">
        <v>240</v>
      </c>
      <c r="AN333" s="0" t="s">
        <v>240</v>
      </c>
      <c r="AO333" s="0" t="s">
        <v>240</v>
      </c>
      <c r="AP333" s="0" t="s">
        <v>240</v>
      </c>
      <c r="AQ333" s="0" t="s">
        <v>240</v>
      </c>
      <c r="AR333" s="0" t="s">
        <v>240</v>
      </c>
      <c r="AS333" s="0" t="s">
        <v>240</v>
      </c>
      <c r="AT333" s="0" t="s">
        <v>240</v>
      </c>
      <c r="AU333" s="0" t="s">
        <v>240</v>
      </c>
      <c r="AV333" s="0" t="s">
        <v>240</v>
      </c>
      <c r="AW333" s="0" t="s">
        <v>240</v>
      </c>
      <c r="AX333" s="0" t="s">
        <v>240</v>
      </c>
      <c r="AY333" s="0" t="s">
        <v>240</v>
      </c>
      <c r="AZ333" s="0" t="s">
        <v>240</v>
      </c>
      <c r="BA333" s="0" t="s">
        <v>240</v>
      </c>
      <c r="BB333" s="0" t="s">
        <v>240</v>
      </c>
      <c r="BC333" s="0" t="s">
        <v>240</v>
      </c>
      <c r="BD333" s="0" t="s">
        <v>240</v>
      </c>
      <c r="BE333" s="0" t="s">
        <v>5552</v>
      </c>
      <c r="BF333" s="0" t="s">
        <v>5544</v>
      </c>
      <c r="BG333" s="0" t="s">
        <v>112</v>
      </c>
      <c r="BH333" s="0" t="s">
        <v>5589</v>
      </c>
      <c r="BI333" s="0" t="s">
        <v>123</v>
      </c>
      <c r="BJ333" s="0" t="s">
        <v>240</v>
      </c>
      <c r="BK333" s="0" t="s">
        <v>5608</v>
      </c>
      <c r="BL333" s="0" t="s">
        <v>2991</v>
      </c>
      <c r="BM333" s="0" t="s">
        <v>2991</v>
      </c>
      <c r="BN333" s="0" t="s">
        <v>5663</v>
      </c>
      <c r="BO333" s="0" t="s">
        <v>6600</v>
      </c>
      <c r="BP333" s="0" t="s">
        <v>6604</v>
      </c>
      <c r="BQ333" s="0" t="s">
        <v>5575</v>
      </c>
      <c r="BR333" s="0" t="s">
        <v>5575</v>
      </c>
      <c r="BS333" s="0" t="s">
        <v>240</v>
      </c>
      <c r="BT333" s="0" t="s">
        <v>5650</v>
      </c>
      <c r="BU333" s="0" t="s">
        <v>6605</v>
      </c>
      <c r="BV333" s="0" t="s">
        <v>6605</v>
      </c>
      <c r="BW333" s="0" t="s">
        <v>5598</v>
      </c>
      <c r="BX333" s="0" t="s">
        <v>5598</v>
      </c>
      <c r="BY333" s="0" t="s">
        <v>5598</v>
      </c>
      <c r="BZ333" s="0" t="s">
        <v>5598</v>
      </c>
      <c r="CA333" s="0" t="s">
        <v>5598</v>
      </c>
      <c r="CB333" s="0" t="s">
        <v>240</v>
      </c>
      <c r="CC333" s="0" t="s">
        <v>240</v>
      </c>
      <c r="CD333" s="0" t="s">
        <v>240</v>
      </c>
      <c r="CE333" s="0" t="s">
        <v>240</v>
      </c>
      <c r="CF333" s="0" t="s">
        <v>240</v>
      </c>
      <c r="CG333" s="0" t="s">
        <v>5598</v>
      </c>
      <c r="CH333" s="0" t="s">
        <v>240</v>
      </c>
      <c r="CI333" s="0" t="s">
        <v>240</v>
      </c>
      <c r="CJ333" s="0" t="s">
        <v>240</v>
      </c>
      <c r="CK333" s="0" t="s">
        <v>240</v>
      </c>
      <c r="CL333" s="0" t="s">
        <v>240</v>
      </c>
      <c r="CM333" s="0" t="s">
        <v>6605</v>
      </c>
      <c r="CN333" s="0" t="s">
        <v>6605</v>
      </c>
      <c r="CO333" s="0" t="s">
        <v>240</v>
      </c>
      <c r="CP333" s="0" t="s">
        <v>240</v>
      </c>
      <c r="CQ333" s="0" t="s">
        <v>240</v>
      </c>
      <c r="CR333" s="0" t="s">
        <v>240</v>
      </c>
      <c r="CS333" s="0" t="s">
        <v>5666</v>
      </c>
      <c r="CT333" s="0" t="s">
        <v>5496</v>
      </c>
      <c r="CU333" s="0" t="s">
        <v>5497</v>
      </c>
      <c r="CV333" s="0" t="s">
        <v>443</v>
      </c>
      <c r="CW333" s="0" t="s">
        <v>5547</v>
      </c>
      <c r="CX333" s="0" t="s">
        <v>229</v>
      </c>
      <c r="CY333" s="0" t="s">
        <v>443</v>
      </c>
      <c r="CZ333" s="0" t="s">
        <v>5548</v>
      </c>
      <c r="DA333" s="0" t="s">
        <v>5549</v>
      </c>
      <c r="DB333" s="0" t="s">
        <v>5547</v>
      </c>
      <c r="DC333" s="0" t="s">
        <v>384</v>
      </c>
      <c r="DD333" s="0" t="s">
        <v>291</v>
      </c>
      <c r="DE333" s="0" t="s">
        <v>6606</v>
      </c>
    </row>
    <row customHeight="1" ht="11.25">
      <c r="A334" s="1441" t="s">
        <v>240</v>
      </c>
      <c r="B334" s="0" t="s">
        <v>240</v>
      </c>
      <c r="C334" s="0" t="s">
        <v>240</v>
      </c>
      <c r="D334" s="0" t="s">
        <v>240</v>
      </c>
      <c r="E334" s="0" t="s">
        <v>240</v>
      </c>
      <c r="F334" s="0" t="s">
        <v>240</v>
      </c>
      <c r="G334" s="0" t="s">
        <v>240</v>
      </c>
      <c r="H334" s="0" t="s">
        <v>240</v>
      </c>
      <c r="I334" s="0" t="s">
        <v>5484</v>
      </c>
      <c r="J334" s="0" t="s">
        <v>240</v>
      </c>
      <c r="K334" s="0" t="s">
        <v>240</v>
      </c>
      <c r="L334" s="0" t="s">
        <v>240</v>
      </c>
      <c r="M334" s="0" t="s">
        <v>240</v>
      </c>
      <c r="N334" s="0" t="s">
        <v>240</v>
      </c>
      <c r="O334" s="0" t="s">
        <v>240</v>
      </c>
      <c r="P334" s="0" t="s">
        <v>240</v>
      </c>
      <c r="Q334" s="0" t="s">
        <v>240</v>
      </c>
      <c r="R334" s="0" t="s">
        <v>6938</v>
      </c>
      <c r="S334" s="0" t="s">
        <v>240</v>
      </c>
      <c r="T334" s="0" t="s">
        <v>240</v>
      </c>
      <c r="U334" s="0" t="s">
        <v>102</v>
      </c>
      <c r="V334" s="0" t="s">
        <v>240</v>
      </c>
      <c r="W334" s="0" t="s">
        <v>240</v>
      </c>
      <c r="X334" s="0" t="s">
        <v>5485</v>
      </c>
      <c r="Y334" s="0" t="s">
        <v>240</v>
      </c>
      <c r="Z334" s="0" t="s">
        <v>161</v>
      </c>
      <c r="AA334" s="0" t="s">
        <v>152</v>
      </c>
      <c r="AB334" s="0" t="s">
        <v>152</v>
      </c>
      <c r="AC334" s="0" t="s">
        <v>3389</v>
      </c>
      <c r="AD334" s="0" t="s">
        <v>3389</v>
      </c>
      <c r="AE334" s="0" t="s">
        <v>3390</v>
      </c>
      <c r="AF334" s="0" t="s">
        <v>5519</v>
      </c>
      <c r="AG334" s="0" t="s">
        <v>5520</v>
      </c>
      <c r="AH334" s="0" t="s">
        <v>5566</v>
      </c>
      <c r="AI334" s="0" t="s">
        <v>5567</v>
      </c>
      <c r="AJ334" s="0" t="s">
        <v>6046</v>
      </c>
      <c r="AK334" s="0" t="s">
        <v>6047</v>
      </c>
      <c r="AL334" s="0" t="s">
        <v>5605</v>
      </c>
      <c r="AM334" s="0" t="s">
        <v>5493</v>
      </c>
      <c r="AN334" s="0" t="s">
        <v>6048</v>
      </c>
      <c r="AO334" s="0" t="s">
        <v>6049</v>
      </c>
      <c r="AP334" s="0" t="s">
        <v>240</v>
      </c>
      <c r="AQ334" s="0" t="s">
        <v>240</v>
      </c>
      <c r="AR334" s="0" t="s">
        <v>240</v>
      </c>
      <c r="AS334" s="0" t="s">
        <v>240</v>
      </c>
      <c r="AT334" s="0" t="s">
        <v>240</v>
      </c>
      <c r="AU334" s="0" t="s">
        <v>240</v>
      </c>
      <c r="AV334" s="0" t="s">
        <v>240</v>
      </c>
      <c r="AW334" s="0" t="s">
        <v>240</v>
      </c>
      <c r="AX334" s="0" t="s">
        <v>240</v>
      </c>
      <c r="AY334" s="0" t="s">
        <v>240</v>
      </c>
      <c r="AZ334" s="0" t="s">
        <v>240</v>
      </c>
      <c r="BA334" s="0" t="s">
        <v>240</v>
      </c>
      <c r="BB334" s="0" t="s">
        <v>240</v>
      </c>
      <c r="BC334" s="0" t="s">
        <v>240</v>
      </c>
      <c r="BD334" s="0" t="s">
        <v>240</v>
      </c>
      <c r="BE334" s="0" t="s">
        <v>240</v>
      </c>
      <c r="BF334" s="0" t="s">
        <v>240</v>
      </c>
      <c r="BG334" s="0" t="s">
        <v>240</v>
      </c>
      <c r="BH334" s="0" t="s">
        <v>240</v>
      </c>
      <c r="BI334" s="0" t="s">
        <v>240</v>
      </c>
      <c r="BJ334" s="0" t="s">
        <v>240</v>
      </c>
      <c r="BK334" s="0" t="s">
        <v>240</v>
      </c>
      <c r="BL334" s="0" t="s">
        <v>240</v>
      </c>
      <c r="BM334" s="0" t="s">
        <v>240</v>
      </c>
      <c r="BN334" s="0" t="s">
        <v>240</v>
      </c>
      <c r="BO334" s="0" t="s">
        <v>240</v>
      </c>
      <c r="BP334" s="0" t="s">
        <v>240</v>
      </c>
      <c r="BQ334" s="0" t="s">
        <v>240</v>
      </c>
      <c r="BR334" s="0" t="s">
        <v>240</v>
      </c>
      <c r="BS334" s="0" t="s">
        <v>240</v>
      </c>
      <c r="BT334" s="0" t="s">
        <v>240</v>
      </c>
      <c r="BU334" s="0" t="s">
        <v>240</v>
      </c>
      <c r="BV334" s="0" t="s">
        <v>240</v>
      </c>
      <c r="BW334" s="0" t="s">
        <v>240</v>
      </c>
      <c r="BX334" s="0" t="s">
        <v>240</v>
      </c>
      <c r="BY334" s="0" t="s">
        <v>240</v>
      </c>
      <c r="BZ334" s="0" t="s">
        <v>240</v>
      </c>
      <c r="CA334" s="0" t="s">
        <v>240</v>
      </c>
      <c r="CB334" s="0" t="s">
        <v>240</v>
      </c>
      <c r="CC334" s="0" t="s">
        <v>240</v>
      </c>
      <c r="CD334" s="0" t="s">
        <v>240</v>
      </c>
      <c r="CE334" s="0" t="s">
        <v>240</v>
      </c>
      <c r="CF334" s="0" t="s">
        <v>240</v>
      </c>
      <c r="CG334" s="0" t="s">
        <v>240</v>
      </c>
      <c r="CH334" s="0" t="s">
        <v>240</v>
      </c>
      <c r="CI334" s="0" t="s">
        <v>240</v>
      </c>
      <c r="CJ334" s="0" t="s">
        <v>240</v>
      </c>
      <c r="CK334" s="0" t="s">
        <v>240</v>
      </c>
      <c r="CL334" s="0" t="s">
        <v>240</v>
      </c>
      <c r="CM334" s="0" t="s">
        <v>240</v>
      </c>
      <c r="CN334" s="0" t="s">
        <v>240</v>
      </c>
      <c r="CO334" s="0" t="s">
        <v>240</v>
      </c>
      <c r="CP334" s="0" t="s">
        <v>240</v>
      </c>
      <c r="CQ334" s="0" t="s">
        <v>240</v>
      </c>
      <c r="CR334" s="0" t="s">
        <v>240</v>
      </c>
      <c r="CS334" s="0" t="s">
        <v>240</v>
      </c>
      <c r="CT334" s="0" t="s">
        <v>5496</v>
      </c>
      <c r="CU334" s="0" t="s">
        <v>5497</v>
      </c>
      <c r="CV334" s="0" t="s">
        <v>443</v>
      </c>
      <c r="CW334" s="0" t="s">
        <v>5527</v>
      </c>
      <c r="CX334" s="0" t="s">
        <v>5528</v>
      </c>
      <c r="CY334" s="0" t="s">
        <v>443</v>
      </c>
      <c r="CZ334" s="0" t="s">
        <v>299</v>
      </c>
      <c r="DA334" s="0" t="s">
        <v>5529</v>
      </c>
      <c r="DB334" s="0" t="s">
        <v>5527</v>
      </c>
      <c r="DC334" s="0" t="s">
        <v>384</v>
      </c>
      <c r="DD334" s="0" t="s">
        <v>291</v>
      </c>
      <c r="DE334" s="0" t="s">
        <v>5571</v>
      </c>
    </row>
    <row customHeight="1" ht="11.25">
      <c r="A335" s="1441" t="s">
        <v>240</v>
      </c>
      <c r="B335" s="0" t="s">
        <v>240</v>
      </c>
      <c r="C335" s="0" t="s">
        <v>240</v>
      </c>
      <c r="D335" s="0" t="s">
        <v>240</v>
      </c>
      <c r="E335" s="0" t="s">
        <v>240</v>
      </c>
      <c r="F335" s="0" t="s">
        <v>240</v>
      </c>
      <c r="G335" s="0" t="s">
        <v>240</v>
      </c>
      <c r="H335" s="0" t="s">
        <v>240</v>
      </c>
      <c r="I335" s="0" t="s">
        <v>5484</v>
      </c>
      <c r="J335" s="0" t="s">
        <v>240</v>
      </c>
      <c r="K335" s="0" t="s">
        <v>240</v>
      </c>
      <c r="L335" s="0" t="s">
        <v>240</v>
      </c>
      <c r="M335" s="0" t="s">
        <v>240</v>
      </c>
      <c r="N335" s="0" t="s">
        <v>240</v>
      </c>
      <c r="O335" s="0" t="s">
        <v>240</v>
      </c>
      <c r="P335" s="0" t="s">
        <v>240</v>
      </c>
      <c r="Q335" s="0" t="s">
        <v>240</v>
      </c>
      <c r="R335" s="0" t="s">
        <v>5572</v>
      </c>
      <c r="S335" s="0" t="s">
        <v>240</v>
      </c>
      <c r="T335" s="0" t="s">
        <v>240</v>
      </c>
      <c r="U335" s="0" t="s">
        <v>102</v>
      </c>
      <c r="V335" s="0" t="s">
        <v>240</v>
      </c>
      <c r="W335" s="0" t="s">
        <v>240</v>
      </c>
      <c r="X335" s="0" t="s">
        <v>5485</v>
      </c>
      <c r="Y335" s="0" t="s">
        <v>240</v>
      </c>
      <c r="Z335" s="0" t="s">
        <v>161</v>
      </c>
      <c r="AA335" s="0" t="s">
        <v>152</v>
      </c>
      <c r="AB335" s="0" t="s">
        <v>152</v>
      </c>
      <c r="AC335" s="0" t="s">
        <v>2991</v>
      </c>
      <c r="AD335" s="0" t="s">
        <v>2991</v>
      </c>
      <c r="AE335" s="0" t="s">
        <v>2992</v>
      </c>
      <c r="AF335" s="0" t="s">
        <v>6394</v>
      </c>
      <c r="AG335" s="0" t="s">
        <v>6395</v>
      </c>
      <c r="AH335" s="0" t="s">
        <v>6419</v>
      </c>
      <c r="AI335" s="0" t="s">
        <v>6420</v>
      </c>
      <c r="AJ335" s="0" t="s">
        <v>6421</v>
      </c>
      <c r="AK335" s="0" t="s">
        <v>6422</v>
      </c>
      <c r="AL335" s="0" t="s">
        <v>6205</v>
      </c>
      <c r="AM335" s="0" t="s">
        <v>5493</v>
      </c>
      <c r="AN335" s="0" t="s">
        <v>5545</v>
      </c>
      <c r="AO335" s="0" t="s">
        <v>5636</v>
      </c>
      <c r="AP335" s="0" t="s">
        <v>240</v>
      </c>
      <c r="AQ335" s="0" t="s">
        <v>240</v>
      </c>
      <c r="AR335" s="0" t="s">
        <v>240</v>
      </c>
      <c r="AS335" s="0" t="s">
        <v>240</v>
      </c>
      <c r="AT335" s="0" t="s">
        <v>240</v>
      </c>
      <c r="AU335" s="0" t="s">
        <v>240</v>
      </c>
      <c r="AV335" s="0" t="s">
        <v>240</v>
      </c>
      <c r="AW335" s="0" t="s">
        <v>240</v>
      </c>
      <c r="AX335" s="0" t="s">
        <v>240</v>
      </c>
      <c r="AY335" s="0" t="s">
        <v>240</v>
      </c>
      <c r="AZ335" s="0" t="s">
        <v>240</v>
      </c>
      <c r="BA335" s="0" t="s">
        <v>240</v>
      </c>
      <c r="BB335" s="0" t="s">
        <v>240</v>
      </c>
      <c r="BC335" s="0" t="s">
        <v>240</v>
      </c>
      <c r="BD335" s="0" t="s">
        <v>240</v>
      </c>
      <c r="BE335" s="0" t="s">
        <v>240</v>
      </c>
      <c r="BF335" s="0" t="s">
        <v>240</v>
      </c>
      <c r="BG335" s="0" t="s">
        <v>240</v>
      </c>
      <c r="BH335" s="0" t="s">
        <v>240</v>
      </c>
      <c r="BI335" s="0" t="s">
        <v>240</v>
      </c>
      <c r="BJ335" s="0" t="s">
        <v>240</v>
      </c>
      <c r="BK335" s="0" t="s">
        <v>240</v>
      </c>
      <c r="BL335" s="0" t="s">
        <v>240</v>
      </c>
      <c r="BM335" s="0" t="s">
        <v>240</v>
      </c>
      <c r="BN335" s="0" t="s">
        <v>240</v>
      </c>
      <c r="BO335" s="0" t="s">
        <v>240</v>
      </c>
      <c r="BP335" s="0" t="s">
        <v>240</v>
      </c>
      <c r="BQ335" s="0" t="s">
        <v>240</v>
      </c>
      <c r="BR335" s="0" t="s">
        <v>240</v>
      </c>
      <c r="BS335" s="0" t="s">
        <v>240</v>
      </c>
      <c r="BT335" s="0" t="s">
        <v>240</v>
      </c>
      <c r="BU335" s="0" t="s">
        <v>240</v>
      </c>
      <c r="BV335" s="0" t="s">
        <v>240</v>
      </c>
      <c r="BW335" s="0" t="s">
        <v>240</v>
      </c>
      <c r="BX335" s="0" t="s">
        <v>240</v>
      </c>
      <c r="BY335" s="0" t="s">
        <v>240</v>
      </c>
      <c r="BZ335" s="0" t="s">
        <v>240</v>
      </c>
      <c r="CA335" s="0" t="s">
        <v>240</v>
      </c>
      <c r="CB335" s="0" t="s">
        <v>240</v>
      </c>
      <c r="CC335" s="0" t="s">
        <v>240</v>
      </c>
      <c r="CD335" s="0" t="s">
        <v>240</v>
      </c>
      <c r="CE335" s="0" t="s">
        <v>240</v>
      </c>
      <c r="CF335" s="0" t="s">
        <v>240</v>
      </c>
      <c r="CG335" s="0" t="s">
        <v>240</v>
      </c>
      <c r="CH335" s="0" t="s">
        <v>240</v>
      </c>
      <c r="CI335" s="0" t="s">
        <v>240</v>
      </c>
      <c r="CJ335" s="0" t="s">
        <v>240</v>
      </c>
      <c r="CK335" s="0" t="s">
        <v>240</v>
      </c>
      <c r="CL335" s="0" t="s">
        <v>240</v>
      </c>
      <c r="CM335" s="0" t="s">
        <v>240</v>
      </c>
      <c r="CN335" s="0" t="s">
        <v>240</v>
      </c>
      <c r="CO335" s="0" t="s">
        <v>240</v>
      </c>
      <c r="CP335" s="0" t="s">
        <v>240</v>
      </c>
      <c r="CQ335" s="0" t="s">
        <v>240</v>
      </c>
      <c r="CR335" s="0" t="s">
        <v>240</v>
      </c>
      <c r="CS335" s="0" t="s">
        <v>240</v>
      </c>
      <c r="CT335" s="0" t="s">
        <v>5496</v>
      </c>
      <c r="CU335" s="0" t="s">
        <v>5497</v>
      </c>
      <c r="CV335" s="0" t="s">
        <v>443</v>
      </c>
      <c r="CW335" s="0" t="s">
        <v>5547</v>
      </c>
      <c r="CX335" s="0" t="s">
        <v>229</v>
      </c>
      <c r="CY335" s="0" t="s">
        <v>443</v>
      </c>
      <c r="CZ335" s="0" t="s">
        <v>5548</v>
      </c>
      <c r="DA335" s="0" t="s">
        <v>5549</v>
      </c>
      <c r="DB335" s="0" t="s">
        <v>5547</v>
      </c>
      <c r="DC335" s="0" t="s">
        <v>384</v>
      </c>
      <c r="DD335" s="0" t="s">
        <v>291</v>
      </c>
      <c r="DE335" s="0" t="s">
        <v>6423</v>
      </c>
    </row>
    <row customHeight="1" ht="11.25">
      <c r="A336" s="1441" t="s">
        <v>240</v>
      </c>
      <c r="B336" s="0" t="s">
        <v>240</v>
      </c>
      <c r="C336" s="0" t="s">
        <v>240</v>
      </c>
      <c r="D336" s="0" t="s">
        <v>240</v>
      </c>
      <c r="E336" s="0" t="s">
        <v>240</v>
      </c>
      <c r="F336" s="0" t="s">
        <v>240</v>
      </c>
      <c r="G336" s="0" t="s">
        <v>240</v>
      </c>
      <c r="H336" s="0" t="s">
        <v>240</v>
      </c>
      <c r="I336" s="0" t="s">
        <v>5484</v>
      </c>
      <c r="J336" s="0" t="s">
        <v>240</v>
      </c>
      <c r="K336" s="0" t="s">
        <v>240</v>
      </c>
      <c r="L336" s="0" t="s">
        <v>240</v>
      </c>
      <c r="M336" s="0" t="s">
        <v>240</v>
      </c>
      <c r="N336" s="0" t="s">
        <v>240</v>
      </c>
      <c r="O336" s="0" t="s">
        <v>240</v>
      </c>
      <c r="P336" s="0" t="s">
        <v>240</v>
      </c>
      <c r="Q336" s="0" t="s">
        <v>240</v>
      </c>
      <c r="R336" s="0" t="s">
        <v>5572</v>
      </c>
      <c r="S336" s="0" t="s">
        <v>240</v>
      </c>
      <c r="T336" s="0" t="s">
        <v>240</v>
      </c>
      <c r="U336" s="0" t="s">
        <v>102</v>
      </c>
      <c r="V336" s="0" t="s">
        <v>240</v>
      </c>
      <c r="W336" s="0" t="s">
        <v>240</v>
      </c>
      <c r="X336" s="0" t="s">
        <v>5485</v>
      </c>
      <c r="Y336" s="0" t="s">
        <v>240</v>
      </c>
      <c r="Z336" s="0" t="s">
        <v>161</v>
      </c>
      <c r="AA336" s="0" t="s">
        <v>152</v>
      </c>
      <c r="AB336" s="0" t="s">
        <v>152</v>
      </c>
      <c r="AC336" s="0" t="s">
        <v>2991</v>
      </c>
      <c r="AD336" s="0" t="s">
        <v>2991</v>
      </c>
      <c r="AE336" s="0" t="s">
        <v>2992</v>
      </c>
      <c r="AF336" s="0" t="s">
        <v>6394</v>
      </c>
      <c r="AG336" s="0" t="s">
        <v>6395</v>
      </c>
      <c r="AH336" s="0" t="s">
        <v>6607</v>
      </c>
      <c r="AI336" s="0" t="s">
        <v>6531</v>
      </c>
      <c r="AJ336" s="0" t="s">
        <v>5576</v>
      </c>
      <c r="AK336" s="0" t="s">
        <v>5672</v>
      </c>
      <c r="AL336" s="0" t="s">
        <v>5506</v>
      </c>
      <c r="AM336" s="0" t="s">
        <v>5493</v>
      </c>
      <c r="AN336" s="0" t="s">
        <v>5553</v>
      </c>
      <c r="AO336" s="0" t="s">
        <v>5625</v>
      </c>
      <c r="AP336" s="0" t="s">
        <v>240</v>
      </c>
      <c r="AQ336" s="0" t="s">
        <v>240</v>
      </c>
      <c r="AR336" s="0" t="s">
        <v>240</v>
      </c>
      <c r="AS336" s="0" t="s">
        <v>240</v>
      </c>
      <c r="AT336" s="0" t="s">
        <v>240</v>
      </c>
      <c r="AU336" s="0" t="s">
        <v>240</v>
      </c>
      <c r="AV336" s="0" t="s">
        <v>240</v>
      </c>
      <c r="AW336" s="0" t="s">
        <v>240</v>
      </c>
      <c r="AX336" s="0" t="s">
        <v>240</v>
      </c>
      <c r="AY336" s="0" t="s">
        <v>240</v>
      </c>
      <c r="AZ336" s="0" t="s">
        <v>240</v>
      </c>
      <c r="BA336" s="0" t="s">
        <v>240</v>
      </c>
      <c r="BB336" s="0" t="s">
        <v>240</v>
      </c>
      <c r="BC336" s="0" t="s">
        <v>240</v>
      </c>
      <c r="BD336" s="0" t="s">
        <v>240</v>
      </c>
      <c r="BE336" s="0" t="s">
        <v>240</v>
      </c>
      <c r="BF336" s="0" t="s">
        <v>240</v>
      </c>
      <c r="BG336" s="0" t="s">
        <v>240</v>
      </c>
      <c r="BH336" s="0" t="s">
        <v>240</v>
      </c>
      <c r="BI336" s="0" t="s">
        <v>240</v>
      </c>
      <c r="BJ336" s="0" t="s">
        <v>240</v>
      </c>
      <c r="BK336" s="0" t="s">
        <v>240</v>
      </c>
      <c r="BL336" s="0" t="s">
        <v>240</v>
      </c>
      <c r="BM336" s="0" t="s">
        <v>240</v>
      </c>
      <c r="BN336" s="0" t="s">
        <v>240</v>
      </c>
      <c r="BO336" s="0" t="s">
        <v>240</v>
      </c>
      <c r="BP336" s="0" t="s">
        <v>240</v>
      </c>
      <c r="BQ336" s="0" t="s">
        <v>240</v>
      </c>
      <c r="BR336" s="0" t="s">
        <v>240</v>
      </c>
      <c r="BS336" s="0" t="s">
        <v>240</v>
      </c>
      <c r="BT336" s="0" t="s">
        <v>240</v>
      </c>
      <c r="BU336" s="0" t="s">
        <v>240</v>
      </c>
      <c r="BV336" s="0" t="s">
        <v>240</v>
      </c>
      <c r="BW336" s="0" t="s">
        <v>240</v>
      </c>
      <c r="BX336" s="0" t="s">
        <v>240</v>
      </c>
      <c r="BY336" s="0" t="s">
        <v>240</v>
      </c>
      <c r="BZ336" s="0" t="s">
        <v>240</v>
      </c>
      <c r="CA336" s="0" t="s">
        <v>240</v>
      </c>
      <c r="CB336" s="0" t="s">
        <v>240</v>
      </c>
      <c r="CC336" s="0" t="s">
        <v>240</v>
      </c>
      <c r="CD336" s="0" t="s">
        <v>240</v>
      </c>
      <c r="CE336" s="0" t="s">
        <v>240</v>
      </c>
      <c r="CF336" s="0" t="s">
        <v>240</v>
      </c>
      <c r="CG336" s="0" t="s">
        <v>240</v>
      </c>
      <c r="CH336" s="0" t="s">
        <v>240</v>
      </c>
      <c r="CI336" s="0" t="s">
        <v>240</v>
      </c>
      <c r="CJ336" s="0" t="s">
        <v>240</v>
      </c>
      <c r="CK336" s="0" t="s">
        <v>240</v>
      </c>
      <c r="CL336" s="0" t="s">
        <v>240</v>
      </c>
      <c r="CM336" s="0" t="s">
        <v>240</v>
      </c>
      <c r="CN336" s="0" t="s">
        <v>240</v>
      </c>
      <c r="CO336" s="0" t="s">
        <v>240</v>
      </c>
      <c r="CP336" s="0" t="s">
        <v>240</v>
      </c>
      <c r="CQ336" s="0" t="s">
        <v>240</v>
      </c>
      <c r="CR336" s="0" t="s">
        <v>240</v>
      </c>
      <c r="CS336" s="0" t="s">
        <v>240</v>
      </c>
      <c r="CT336" s="0" t="s">
        <v>5496</v>
      </c>
      <c r="CU336" s="0" t="s">
        <v>5497</v>
      </c>
      <c r="CV336" s="0" t="s">
        <v>443</v>
      </c>
      <c r="CW336" s="0" t="s">
        <v>5547</v>
      </c>
      <c r="CX336" s="0" t="s">
        <v>229</v>
      </c>
      <c r="CY336" s="0" t="s">
        <v>443</v>
      </c>
      <c r="CZ336" s="0" t="s">
        <v>5548</v>
      </c>
      <c r="DA336" s="0" t="s">
        <v>5549</v>
      </c>
      <c r="DB336" s="0" t="s">
        <v>5547</v>
      </c>
      <c r="DC336" s="0" t="s">
        <v>384</v>
      </c>
      <c r="DD336" s="0" t="s">
        <v>291</v>
      </c>
      <c r="DE336" s="0" t="s">
        <v>6608</v>
      </c>
    </row>
    <row customHeight="1" ht="11.25">
      <c r="A337" s="1441" t="s">
        <v>240</v>
      </c>
      <c r="B337" s="0" t="s">
        <v>240</v>
      </c>
      <c r="C337" s="0" t="s">
        <v>240</v>
      </c>
      <c r="D337" s="0" t="s">
        <v>240</v>
      </c>
      <c r="E337" s="0" t="s">
        <v>240</v>
      </c>
      <c r="F337" s="0" t="s">
        <v>240</v>
      </c>
      <c r="G337" s="0" t="s">
        <v>240</v>
      </c>
      <c r="H337" s="0" t="s">
        <v>240</v>
      </c>
      <c r="I337" s="0" t="s">
        <v>5484</v>
      </c>
      <c r="J337" s="0" t="s">
        <v>240</v>
      </c>
      <c r="K337" s="0" t="s">
        <v>240</v>
      </c>
      <c r="L337" s="0" t="s">
        <v>240</v>
      </c>
      <c r="M337" s="0" t="s">
        <v>240</v>
      </c>
      <c r="N337" s="0" t="s">
        <v>240</v>
      </c>
      <c r="O337" s="0" t="s">
        <v>240</v>
      </c>
      <c r="P337" s="0" t="s">
        <v>240</v>
      </c>
      <c r="Q337" s="0" t="s">
        <v>240</v>
      </c>
      <c r="R337" s="0" t="s">
        <v>5572</v>
      </c>
      <c r="S337" s="0" t="s">
        <v>240</v>
      </c>
      <c r="T337" s="0" t="s">
        <v>240</v>
      </c>
      <c r="U337" s="0" t="s">
        <v>102</v>
      </c>
      <c r="V337" s="0" t="s">
        <v>240</v>
      </c>
      <c r="W337" s="0" t="s">
        <v>240</v>
      </c>
      <c r="X337" s="0" t="s">
        <v>5485</v>
      </c>
      <c r="Y337" s="0" t="s">
        <v>240</v>
      </c>
      <c r="Z337" s="0" t="s">
        <v>161</v>
      </c>
      <c r="AA337" s="0" t="s">
        <v>152</v>
      </c>
      <c r="AB337" s="0" t="s">
        <v>152</v>
      </c>
      <c r="AC337" s="0" t="s">
        <v>2991</v>
      </c>
      <c r="AD337" s="0" t="s">
        <v>2991</v>
      </c>
      <c r="AE337" s="0" t="s">
        <v>2992</v>
      </c>
      <c r="AF337" s="0" t="s">
        <v>6394</v>
      </c>
      <c r="AG337" s="0" t="s">
        <v>6395</v>
      </c>
      <c r="AH337" s="0" t="s">
        <v>6609</v>
      </c>
      <c r="AI337" s="0" t="s">
        <v>6610</v>
      </c>
      <c r="AJ337" s="0" t="s">
        <v>5504</v>
      </c>
      <c r="AK337" s="0" t="s">
        <v>5544</v>
      </c>
      <c r="AL337" s="0" t="s">
        <v>5506</v>
      </c>
      <c r="AM337" s="0" t="s">
        <v>5493</v>
      </c>
      <c r="AN337" s="0" t="s">
        <v>5553</v>
      </c>
      <c r="AO337" s="0" t="s">
        <v>6611</v>
      </c>
      <c r="AP337" s="0" t="s">
        <v>240</v>
      </c>
      <c r="AQ337" s="0" t="s">
        <v>240</v>
      </c>
      <c r="AR337" s="0" t="s">
        <v>240</v>
      </c>
      <c r="AS337" s="0" t="s">
        <v>240</v>
      </c>
      <c r="AT337" s="0" t="s">
        <v>240</v>
      </c>
      <c r="AU337" s="0" t="s">
        <v>240</v>
      </c>
      <c r="AV337" s="0" t="s">
        <v>240</v>
      </c>
      <c r="AW337" s="0" t="s">
        <v>240</v>
      </c>
      <c r="AX337" s="0" t="s">
        <v>240</v>
      </c>
      <c r="AY337" s="0" t="s">
        <v>240</v>
      </c>
      <c r="AZ337" s="0" t="s">
        <v>240</v>
      </c>
      <c r="BA337" s="0" t="s">
        <v>240</v>
      </c>
      <c r="BB337" s="0" t="s">
        <v>240</v>
      </c>
      <c r="BC337" s="0" t="s">
        <v>240</v>
      </c>
      <c r="BD337" s="0" t="s">
        <v>240</v>
      </c>
      <c r="BE337" s="0" t="s">
        <v>240</v>
      </c>
      <c r="BF337" s="0" t="s">
        <v>240</v>
      </c>
      <c r="BG337" s="0" t="s">
        <v>240</v>
      </c>
      <c r="BH337" s="0" t="s">
        <v>240</v>
      </c>
      <c r="BI337" s="0" t="s">
        <v>240</v>
      </c>
      <c r="BJ337" s="0" t="s">
        <v>240</v>
      </c>
      <c r="BK337" s="0" t="s">
        <v>240</v>
      </c>
      <c r="BL337" s="0" t="s">
        <v>240</v>
      </c>
      <c r="BM337" s="0" t="s">
        <v>240</v>
      </c>
      <c r="BN337" s="0" t="s">
        <v>240</v>
      </c>
      <c r="BO337" s="0" t="s">
        <v>240</v>
      </c>
      <c r="BP337" s="0" t="s">
        <v>240</v>
      </c>
      <c r="BQ337" s="0" t="s">
        <v>240</v>
      </c>
      <c r="BR337" s="0" t="s">
        <v>240</v>
      </c>
      <c r="BS337" s="0" t="s">
        <v>240</v>
      </c>
      <c r="BT337" s="0" t="s">
        <v>240</v>
      </c>
      <c r="BU337" s="0" t="s">
        <v>240</v>
      </c>
      <c r="BV337" s="0" t="s">
        <v>240</v>
      </c>
      <c r="BW337" s="0" t="s">
        <v>240</v>
      </c>
      <c r="BX337" s="0" t="s">
        <v>240</v>
      </c>
      <c r="BY337" s="0" t="s">
        <v>240</v>
      </c>
      <c r="BZ337" s="0" t="s">
        <v>240</v>
      </c>
      <c r="CA337" s="0" t="s">
        <v>240</v>
      </c>
      <c r="CB337" s="0" t="s">
        <v>240</v>
      </c>
      <c r="CC337" s="0" t="s">
        <v>240</v>
      </c>
      <c r="CD337" s="0" t="s">
        <v>240</v>
      </c>
      <c r="CE337" s="0" t="s">
        <v>240</v>
      </c>
      <c r="CF337" s="0" t="s">
        <v>240</v>
      </c>
      <c r="CG337" s="0" t="s">
        <v>240</v>
      </c>
      <c r="CH337" s="0" t="s">
        <v>240</v>
      </c>
      <c r="CI337" s="0" t="s">
        <v>240</v>
      </c>
      <c r="CJ337" s="0" t="s">
        <v>240</v>
      </c>
      <c r="CK337" s="0" t="s">
        <v>240</v>
      </c>
      <c r="CL337" s="0" t="s">
        <v>240</v>
      </c>
      <c r="CM337" s="0" t="s">
        <v>240</v>
      </c>
      <c r="CN337" s="0" t="s">
        <v>240</v>
      </c>
      <c r="CO337" s="0" t="s">
        <v>240</v>
      </c>
      <c r="CP337" s="0" t="s">
        <v>240</v>
      </c>
      <c r="CQ337" s="0" t="s">
        <v>240</v>
      </c>
      <c r="CR337" s="0" t="s">
        <v>240</v>
      </c>
      <c r="CS337" s="0" t="s">
        <v>240</v>
      </c>
      <c r="CT337" s="0" t="s">
        <v>5496</v>
      </c>
      <c r="CU337" s="0" t="s">
        <v>5497</v>
      </c>
      <c r="CV337" s="0" t="s">
        <v>443</v>
      </c>
      <c r="CW337" s="0" t="s">
        <v>5547</v>
      </c>
      <c r="CX337" s="0" t="s">
        <v>229</v>
      </c>
      <c r="CY337" s="0" t="s">
        <v>443</v>
      </c>
      <c r="CZ337" s="0" t="s">
        <v>5548</v>
      </c>
      <c r="DA337" s="0" t="s">
        <v>5549</v>
      </c>
      <c r="DB337" s="0" t="s">
        <v>5547</v>
      </c>
      <c r="DC337" s="0" t="s">
        <v>384</v>
      </c>
      <c r="DD337" s="0" t="s">
        <v>291</v>
      </c>
      <c r="DE337" s="0" t="s">
        <v>6612</v>
      </c>
    </row>
    <row customHeight="1" ht="11.25">
      <c r="A338" s="1441" t="s">
        <v>240</v>
      </c>
      <c r="B338" s="0" t="s">
        <v>240</v>
      </c>
      <c r="C338" s="0" t="s">
        <v>240</v>
      </c>
      <c r="D338" s="0" t="s">
        <v>240</v>
      </c>
      <c r="E338" s="0" t="s">
        <v>240</v>
      </c>
      <c r="F338" s="0" t="s">
        <v>240</v>
      </c>
      <c r="G338" s="0" t="s">
        <v>240</v>
      </c>
      <c r="H338" s="0" t="s">
        <v>240</v>
      </c>
      <c r="I338" s="0" t="s">
        <v>5484</v>
      </c>
      <c r="J338" s="0" t="s">
        <v>240</v>
      </c>
      <c r="K338" s="0" t="s">
        <v>240</v>
      </c>
      <c r="L338" s="0" t="s">
        <v>240</v>
      </c>
      <c r="M338" s="0" t="s">
        <v>240</v>
      </c>
      <c r="N338" s="0" t="s">
        <v>240</v>
      </c>
      <c r="O338" s="0" t="s">
        <v>240</v>
      </c>
      <c r="P338" s="0" t="s">
        <v>240</v>
      </c>
      <c r="Q338" s="0" t="s">
        <v>240</v>
      </c>
      <c r="R338" s="0" t="s">
        <v>5572</v>
      </c>
      <c r="S338" s="0" t="s">
        <v>240</v>
      </c>
      <c r="T338" s="0" t="s">
        <v>240</v>
      </c>
      <c r="U338" s="0" t="s">
        <v>102</v>
      </c>
      <c r="V338" s="0" t="s">
        <v>240</v>
      </c>
      <c r="W338" s="0" t="s">
        <v>240</v>
      </c>
      <c r="X338" s="0" t="s">
        <v>5485</v>
      </c>
      <c r="Y338" s="0" t="s">
        <v>240</v>
      </c>
      <c r="Z338" s="0" t="s">
        <v>161</v>
      </c>
      <c r="AA338" s="0" t="s">
        <v>152</v>
      </c>
      <c r="AB338" s="0" t="s">
        <v>152</v>
      </c>
      <c r="AC338" s="0" t="s">
        <v>2991</v>
      </c>
      <c r="AD338" s="0" t="s">
        <v>2991</v>
      </c>
      <c r="AE338" s="0" t="s">
        <v>2992</v>
      </c>
      <c r="AF338" s="0" t="s">
        <v>6394</v>
      </c>
      <c r="AG338" s="0" t="s">
        <v>6395</v>
      </c>
      <c r="AH338" s="0" t="s">
        <v>5879</v>
      </c>
      <c r="AI338" s="0" t="s">
        <v>5847</v>
      </c>
      <c r="AJ338" s="0" t="s">
        <v>5504</v>
      </c>
      <c r="AK338" s="0" t="s">
        <v>5544</v>
      </c>
      <c r="AL338" s="0" t="s">
        <v>5506</v>
      </c>
      <c r="AM338" s="0" t="s">
        <v>5493</v>
      </c>
      <c r="AN338" s="0" t="s">
        <v>5553</v>
      </c>
      <c r="AO338" s="0" t="s">
        <v>5625</v>
      </c>
      <c r="AP338" s="0" t="s">
        <v>240</v>
      </c>
      <c r="AQ338" s="0" t="s">
        <v>240</v>
      </c>
      <c r="AR338" s="0" t="s">
        <v>240</v>
      </c>
      <c r="AS338" s="0" t="s">
        <v>240</v>
      </c>
      <c r="AT338" s="0" t="s">
        <v>240</v>
      </c>
      <c r="AU338" s="0" t="s">
        <v>240</v>
      </c>
      <c r="AV338" s="0" t="s">
        <v>240</v>
      </c>
      <c r="AW338" s="0" t="s">
        <v>240</v>
      </c>
      <c r="AX338" s="0" t="s">
        <v>240</v>
      </c>
      <c r="AY338" s="0" t="s">
        <v>240</v>
      </c>
      <c r="AZ338" s="0" t="s">
        <v>240</v>
      </c>
      <c r="BA338" s="0" t="s">
        <v>240</v>
      </c>
      <c r="BB338" s="0" t="s">
        <v>240</v>
      </c>
      <c r="BC338" s="0" t="s">
        <v>240</v>
      </c>
      <c r="BD338" s="0" t="s">
        <v>240</v>
      </c>
      <c r="BE338" s="0" t="s">
        <v>240</v>
      </c>
      <c r="BF338" s="0" t="s">
        <v>240</v>
      </c>
      <c r="BG338" s="0" t="s">
        <v>240</v>
      </c>
      <c r="BH338" s="0" t="s">
        <v>240</v>
      </c>
      <c r="BI338" s="0" t="s">
        <v>240</v>
      </c>
      <c r="BJ338" s="0" t="s">
        <v>240</v>
      </c>
      <c r="BK338" s="0" t="s">
        <v>240</v>
      </c>
      <c r="BL338" s="0" t="s">
        <v>240</v>
      </c>
      <c r="BM338" s="0" t="s">
        <v>240</v>
      </c>
      <c r="BN338" s="0" t="s">
        <v>240</v>
      </c>
      <c r="BO338" s="0" t="s">
        <v>240</v>
      </c>
      <c r="BP338" s="0" t="s">
        <v>240</v>
      </c>
      <c r="BQ338" s="0" t="s">
        <v>240</v>
      </c>
      <c r="BR338" s="0" t="s">
        <v>240</v>
      </c>
      <c r="BS338" s="0" t="s">
        <v>240</v>
      </c>
      <c r="BT338" s="0" t="s">
        <v>240</v>
      </c>
      <c r="BU338" s="0" t="s">
        <v>240</v>
      </c>
      <c r="BV338" s="0" t="s">
        <v>240</v>
      </c>
      <c r="BW338" s="0" t="s">
        <v>240</v>
      </c>
      <c r="BX338" s="0" t="s">
        <v>240</v>
      </c>
      <c r="BY338" s="0" t="s">
        <v>240</v>
      </c>
      <c r="BZ338" s="0" t="s">
        <v>240</v>
      </c>
      <c r="CA338" s="0" t="s">
        <v>240</v>
      </c>
      <c r="CB338" s="0" t="s">
        <v>240</v>
      </c>
      <c r="CC338" s="0" t="s">
        <v>240</v>
      </c>
      <c r="CD338" s="0" t="s">
        <v>240</v>
      </c>
      <c r="CE338" s="0" t="s">
        <v>240</v>
      </c>
      <c r="CF338" s="0" t="s">
        <v>240</v>
      </c>
      <c r="CG338" s="0" t="s">
        <v>240</v>
      </c>
      <c r="CH338" s="0" t="s">
        <v>240</v>
      </c>
      <c r="CI338" s="0" t="s">
        <v>240</v>
      </c>
      <c r="CJ338" s="0" t="s">
        <v>240</v>
      </c>
      <c r="CK338" s="0" t="s">
        <v>240</v>
      </c>
      <c r="CL338" s="0" t="s">
        <v>240</v>
      </c>
      <c r="CM338" s="0" t="s">
        <v>240</v>
      </c>
      <c r="CN338" s="0" t="s">
        <v>240</v>
      </c>
      <c r="CO338" s="0" t="s">
        <v>240</v>
      </c>
      <c r="CP338" s="0" t="s">
        <v>240</v>
      </c>
      <c r="CQ338" s="0" t="s">
        <v>240</v>
      </c>
      <c r="CR338" s="0" t="s">
        <v>240</v>
      </c>
      <c r="CS338" s="0" t="s">
        <v>240</v>
      </c>
      <c r="CT338" s="0" t="s">
        <v>5496</v>
      </c>
      <c r="CU338" s="0" t="s">
        <v>5497</v>
      </c>
      <c r="CV338" s="0" t="s">
        <v>443</v>
      </c>
      <c r="CW338" s="0" t="s">
        <v>5547</v>
      </c>
      <c r="CX338" s="0" t="s">
        <v>229</v>
      </c>
      <c r="CY338" s="0" t="s">
        <v>443</v>
      </c>
      <c r="CZ338" s="0" t="s">
        <v>5548</v>
      </c>
      <c r="DA338" s="0" t="s">
        <v>5549</v>
      </c>
      <c r="DB338" s="0" t="s">
        <v>5547</v>
      </c>
      <c r="DC338" s="0" t="s">
        <v>384</v>
      </c>
      <c r="DD338" s="0" t="s">
        <v>291</v>
      </c>
      <c r="DE338" s="0" t="s">
        <v>6682</v>
      </c>
    </row>
    <row customHeight="1" ht="11.25">
      <c r="A339" s="1441" t="s">
        <v>240</v>
      </c>
      <c r="B339" s="0" t="s">
        <v>240</v>
      </c>
      <c r="C339" s="0" t="s">
        <v>240</v>
      </c>
      <c r="D339" s="0" t="s">
        <v>240</v>
      </c>
      <c r="E339" s="0" t="s">
        <v>240</v>
      </c>
      <c r="F339" s="0" t="s">
        <v>240</v>
      </c>
      <c r="G339" s="0" t="s">
        <v>240</v>
      </c>
      <c r="H339" s="0" t="s">
        <v>240</v>
      </c>
      <c r="I339" s="0" t="s">
        <v>5484</v>
      </c>
      <c r="J339" s="0" t="s">
        <v>240</v>
      </c>
      <c r="K339" s="0" t="s">
        <v>240</v>
      </c>
      <c r="L339" s="0" t="s">
        <v>240</v>
      </c>
      <c r="M339" s="0" t="s">
        <v>240</v>
      </c>
      <c r="N339" s="0" t="s">
        <v>240</v>
      </c>
      <c r="O339" s="0" t="s">
        <v>240</v>
      </c>
      <c r="P339" s="0" t="s">
        <v>240</v>
      </c>
      <c r="Q339" s="0" t="s">
        <v>240</v>
      </c>
      <c r="R339" s="0" t="s">
        <v>5572</v>
      </c>
      <c r="S339" s="0" t="s">
        <v>240</v>
      </c>
      <c r="T339" s="0" t="s">
        <v>240</v>
      </c>
      <c r="U339" s="0" t="s">
        <v>102</v>
      </c>
      <c r="V339" s="0" t="s">
        <v>240</v>
      </c>
      <c r="W339" s="0" t="s">
        <v>240</v>
      </c>
      <c r="X339" s="0" t="s">
        <v>5485</v>
      </c>
      <c r="Y339" s="0" t="s">
        <v>240</v>
      </c>
      <c r="Z339" s="0" t="s">
        <v>161</v>
      </c>
      <c r="AA339" s="0" t="s">
        <v>152</v>
      </c>
      <c r="AB339" s="0" t="s">
        <v>152</v>
      </c>
      <c r="AC339" s="0" t="s">
        <v>2991</v>
      </c>
      <c r="AD339" s="0" t="s">
        <v>2991</v>
      </c>
      <c r="AE339" s="0" t="s">
        <v>2992</v>
      </c>
      <c r="AF339" s="0" t="s">
        <v>6394</v>
      </c>
      <c r="AG339" s="0" t="s">
        <v>6395</v>
      </c>
      <c r="AH339" s="0" t="s">
        <v>6609</v>
      </c>
      <c r="AI339" s="0" t="s">
        <v>5966</v>
      </c>
      <c r="AJ339" s="0" t="s">
        <v>5504</v>
      </c>
      <c r="AK339" s="0" t="s">
        <v>6653</v>
      </c>
      <c r="AL339" s="0" t="s">
        <v>5506</v>
      </c>
      <c r="AM339" s="0" t="s">
        <v>5493</v>
      </c>
      <c r="AN339" s="0" t="s">
        <v>5553</v>
      </c>
      <c r="AO339" s="0" t="s">
        <v>5636</v>
      </c>
      <c r="AP339" s="0" t="s">
        <v>240</v>
      </c>
      <c r="AQ339" s="0" t="s">
        <v>240</v>
      </c>
      <c r="AR339" s="0" t="s">
        <v>240</v>
      </c>
      <c r="AS339" s="0" t="s">
        <v>240</v>
      </c>
      <c r="AT339" s="0" t="s">
        <v>240</v>
      </c>
      <c r="AU339" s="0" t="s">
        <v>240</v>
      </c>
      <c r="AV339" s="0" t="s">
        <v>240</v>
      </c>
      <c r="AW339" s="0" t="s">
        <v>240</v>
      </c>
      <c r="AX339" s="0" t="s">
        <v>240</v>
      </c>
      <c r="AY339" s="0" t="s">
        <v>240</v>
      </c>
      <c r="AZ339" s="0" t="s">
        <v>240</v>
      </c>
      <c r="BA339" s="0" t="s">
        <v>240</v>
      </c>
      <c r="BB339" s="0" t="s">
        <v>240</v>
      </c>
      <c r="BC339" s="0" t="s">
        <v>240</v>
      </c>
      <c r="BD339" s="0" t="s">
        <v>240</v>
      </c>
      <c r="BE339" s="0" t="s">
        <v>240</v>
      </c>
      <c r="BF339" s="0" t="s">
        <v>240</v>
      </c>
      <c r="BG339" s="0" t="s">
        <v>240</v>
      </c>
      <c r="BH339" s="0" t="s">
        <v>240</v>
      </c>
      <c r="BI339" s="0" t="s">
        <v>240</v>
      </c>
      <c r="BJ339" s="0" t="s">
        <v>240</v>
      </c>
      <c r="BK339" s="0" t="s">
        <v>240</v>
      </c>
      <c r="BL339" s="0" t="s">
        <v>240</v>
      </c>
      <c r="BM339" s="0" t="s">
        <v>240</v>
      </c>
      <c r="BN339" s="0" t="s">
        <v>240</v>
      </c>
      <c r="BO339" s="0" t="s">
        <v>240</v>
      </c>
      <c r="BP339" s="0" t="s">
        <v>240</v>
      </c>
      <c r="BQ339" s="0" t="s">
        <v>240</v>
      </c>
      <c r="BR339" s="0" t="s">
        <v>240</v>
      </c>
      <c r="BS339" s="0" t="s">
        <v>240</v>
      </c>
      <c r="BT339" s="0" t="s">
        <v>240</v>
      </c>
      <c r="BU339" s="0" t="s">
        <v>240</v>
      </c>
      <c r="BV339" s="0" t="s">
        <v>240</v>
      </c>
      <c r="BW339" s="0" t="s">
        <v>240</v>
      </c>
      <c r="BX339" s="0" t="s">
        <v>240</v>
      </c>
      <c r="BY339" s="0" t="s">
        <v>240</v>
      </c>
      <c r="BZ339" s="0" t="s">
        <v>240</v>
      </c>
      <c r="CA339" s="0" t="s">
        <v>240</v>
      </c>
      <c r="CB339" s="0" t="s">
        <v>240</v>
      </c>
      <c r="CC339" s="0" t="s">
        <v>240</v>
      </c>
      <c r="CD339" s="0" t="s">
        <v>240</v>
      </c>
      <c r="CE339" s="0" t="s">
        <v>240</v>
      </c>
      <c r="CF339" s="0" t="s">
        <v>240</v>
      </c>
      <c r="CG339" s="0" t="s">
        <v>240</v>
      </c>
      <c r="CH339" s="0" t="s">
        <v>240</v>
      </c>
      <c r="CI339" s="0" t="s">
        <v>240</v>
      </c>
      <c r="CJ339" s="0" t="s">
        <v>240</v>
      </c>
      <c r="CK339" s="0" t="s">
        <v>240</v>
      </c>
      <c r="CL339" s="0" t="s">
        <v>240</v>
      </c>
      <c r="CM339" s="0" t="s">
        <v>240</v>
      </c>
      <c r="CN339" s="0" t="s">
        <v>240</v>
      </c>
      <c r="CO339" s="0" t="s">
        <v>240</v>
      </c>
      <c r="CP339" s="0" t="s">
        <v>240</v>
      </c>
      <c r="CQ339" s="0" t="s">
        <v>240</v>
      </c>
      <c r="CR339" s="0" t="s">
        <v>240</v>
      </c>
      <c r="CS339" s="0" t="s">
        <v>240</v>
      </c>
      <c r="CT339" s="0" t="s">
        <v>5496</v>
      </c>
      <c r="CU339" s="0" t="s">
        <v>5497</v>
      </c>
      <c r="CV339" s="0" t="s">
        <v>443</v>
      </c>
      <c r="CW339" s="0" t="s">
        <v>5547</v>
      </c>
      <c r="CX339" s="0" t="s">
        <v>229</v>
      </c>
      <c r="CY339" s="0" t="s">
        <v>443</v>
      </c>
      <c r="CZ339" s="0" t="s">
        <v>5548</v>
      </c>
      <c r="DA339" s="0" t="s">
        <v>5549</v>
      </c>
      <c r="DB339" s="0" t="s">
        <v>5547</v>
      </c>
      <c r="DC339" s="0" t="s">
        <v>384</v>
      </c>
      <c r="DD339" s="0" t="s">
        <v>291</v>
      </c>
      <c r="DE339" s="0" t="s">
        <v>6683</v>
      </c>
    </row>
    <row customHeight="1" ht="11.25">
      <c r="A340" s="1441" t="s">
        <v>240</v>
      </c>
      <c r="B340" s="0" t="s">
        <v>240</v>
      </c>
      <c r="C340" s="0" t="s">
        <v>240</v>
      </c>
      <c r="D340" s="0" t="s">
        <v>240</v>
      </c>
      <c r="E340" s="0" t="s">
        <v>240</v>
      </c>
      <c r="F340" s="0" t="s">
        <v>240</v>
      </c>
      <c r="G340" s="0" t="s">
        <v>240</v>
      </c>
      <c r="H340" s="0" t="s">
        <v>240</v>
      </c>
      <c r="I340" s="0" t="s">
        <v>5484</v>
      </c>
      <c r="J340" s="0" t="s">
        <v>240</v>
      </c>
      <c r="K340" s="0" t="s">
        <v>240</v>
      </c>
      <c r="L340" s="0" t="s">
        <v>240</v>
      </c>
      <c r="M340" s="0" t="s">
        <v>240</v>
      </c>
      <c r="N340" s="0" t="s">
        <v>240</v>
      </c>
      <c r="O340" s="0" t="s">
        <v>240</v>
      </c>
      <c r="P340" s="0" t="s">
        <v>240</v>
      </c>
      <c r="Q340" s="0" t="s">
        <v>240</v>
      </c>
      <c r="R340" s="0" t="s">
        <v>6939</v>
      </c>
      <c r="S340" s="0" t="s">
        <v>240</v>
      </c>
      <c r="T340" s="0" t="s">
        <v>240</v>
      </c>
      <c r="U340" s="0" t="s">
        <v>102</v>
      </c>
      <c r="V340" s="0" t="s">
        <v>240</v>
      </c>
      <c r="W340" s="0" t="s">
        <v>240</v>
      </c>
      <c r="X340" s="0" t="s">
        <v>5485</v>
      </c>
      <c r="Y340" s="0" t="s">
        <v>240</v>
      </c>
      <c r="Z340" s="0" t="s">
        <v>161</v>
      </c>
      <c r="AA340" s="0" t="s">
        <v>152</v>
      </c>
      <c r="AB340" s="0" t="s">
        <v>152</v>
      </c>
      <c r="AC340" s="0" t="s">
        <v>3389</v>
      </c>
      <c r="AD340" s="0" t="s">
        <v>3389</v>
      </c>
      <c r="AE340" s="0" t="s">
        <v>3390</v>
      </c>
      <c r="AF340" s="0" t="s">
        <v>5519</v>
      </c>
      <c r="AG340" s="0" t="s">
        <v>5520</v>
      </c>
      <c r="AH340" s="0" t="s">
        <v>5890</v>
      </c>
      <c r="AI340" s="0" t="s">
        <v>5891</v>
      </c>
      <c r="AJ340" s="0" t="s">
        <v>5587</v>
      </c>
      <c r="AK340" s="0" t="s">
        <v>5892</v>
      </c>
      <c r="AL340" s="0" t="s">
        <v>5492</v>
      </c>
      <c r="AM340" s="0" t="s">
        <v>5493</v>
      </c>
      <c r="AN340" s="0" t="s">
        <v>5893</v>
      </c>
      <c r="AO340" s="0" t="s">
        <v>5894</v>
      </c>
      <c r="AP340" s="0" t="s">
        <v>240</v>
      </c>
      <c r="AQ340" s="0" t="s">
        <v>240</v>
      </c>
      <c r="AR340" s="0" t="s">
        <v>240</v>
      </c>
      <c r="AS340" s="0" t="s">
        <v>240</v>
      </c>
      <c r="AT340" s="0" t="s">
        <v>240</v>
      </c>
      <c r="AU340" s="0" t="s">
        <v>240</v>
      </c>
      <c r="AV340" s="0" t="s">
        <v>240</v>
      </c>
      <c r="AW340" s="0" t="s">
        <v>240</v>
      </c>
      <c r="AX340" s="0" t="s">
        <v>240</v>
      </c>
      <c r="AY340" s="0" t="s">
        <v>240</v>
      </c>
      <c r="AZ340" s="0" t="s">
        <v>240</v>
      </c>
      <c r="BA340" s="0" t="s">
        <v>240</v>
      </c>
      <c r="BB340" s="0" t="s">
        <v>240</v>
      </c>
      <c r="BC340" s="0" t="s">
        <v>240</v>
      </c>
      <c r="BD340" s="0" t="s">
        <v>240</v>
      </c>
      <c r="BE340" s="0" t="s">
        <v>240</v>
      </c>
      <c r="BF340" s="0" t="s">
        <v>240</v>
      </c>
      <c r="BG340" s="0" t="s">
        <v>240</v>
      </c>
      <c r="BH340" s="0" t="s">
        <v>240</v>
      </c>
      <c r="BI340" s="0" t="s">
        <v>240</v>
      </c>
      <c r="BJ340" s="0" t="s">
        <v>240</v>
      </c>
      <c r="BK340" s="0" t="s">
        <v>240</v>
      </c>
      <c r="BL340" s="0" t="s">
        <v>240</v>
      </c>
      <c r="BM340" s="0" t="s">
        <v>240</v>
      </c>
      <c r="BN340" s="0" t="s">
        <v>240</v>
      </c>
      <c r="BO340" s="0" t="s">
        <v>240</v>
      </c>
      <c r="BP340" s="0" t="s">
        <v>240</v>
      </c>
      <c r="BQ340" s="0" t="s">
        <v>240</v>
      </c>
      <c r="BR340" s="0" t="s">
        <v>240</v>
      </c>
      <c r="BS340" s="0" t="s">
        <v>240</v>
      </c>
      <c r="BT340" s="0" t="s">
        <v>240</v>
      </c>
      <c r="BU340" s="0" t="s">
        <v>240</v>
      </c>
      <c r="BV340" s="0" t="s">
        <v>240</v>
      </c>
      <c r="BW340" s="0" t="s">
        <v>240</v>
      </c>
      <c r="BX340" s="0" t="s">
        <v>240</v>
      </c>
      <c r="BY340" s="0" t="s">
        <v>240</v>
      </c>
      <c r="BZ340" s="0" t="s">
        <v>240</v>
      </c>
      <c r="CA340" s="0" t="s">
        <v>240</v>
      </c>
      <c r="CB340" s="0" t="s">
        <v>240</v>
      </c>
      <c r="CC340" s="0" t="s">
        <v>240</v>
      </c>
      <c r="CD340" s="0" t="s">
        <v>240</v>
      </c>
      <c r="CE340" s="0" t="s">
        <v>240</v>
      </c>
      <c r="CF340" s="0" t="s">
        <v>240</v>
      </c>
      <c r="CG340" s="0" t="s">
        <v>240</v>
      </c>
      <c r="CH340" s="0" t="s">
        <v>240</v>
      </c>
      <c r="CI340" s="0" t="s">
        <v>240</v>
      </c>
      <c r="CJ340" s="0" t="s">
        <v>240</v>
      </c>
      <c r="CK340" s="0" t="s">
        <v>240</v>
      </c>
      <c r="CL340" s="0" t="s">
        <v>240</v>
      </c>
      <c r="CM340" s="0" t="s">
        <v>240</v>
      </c>
      <c r="CN340" s="0" t="s">
        <v>240</v>
      </c>
      <c r="CO340" s="0" t="s">
        <v>240</v>
      </c>
      <c r="CP340" s="0" t="s">
        <v>240</v>
      </c>
      <c r="CQ340" s="0" t="s">
        <v>240</v>
      </c>
      <c r="CR340" s="0" t="s">
        <v>240</v>
      </c>
      <c r="CS340" s="0" t="s">
        <v>240</v>
      </c>
      <c r="CT340" s="0" t="s">
        <v>5496</v>
      </c>
      <c r="CU340" s="0" t="s">
        <v>5497</v>
      </c>
      <c r="CV340" s="0" t="s">
        <v>443</v>
      </c>
      <c r="CW340" s="0" t="s">
        <v>5527</v>
      </c>
      <c r="CX340" s="0" t="s">
        <v>5528</v>
      </c>
      <c r="CY340" s="0" t="s">
        <v>443</v>
      </c>
      <c r="CZ340" s="0" t="s">
        <v>299</v>
      </c>
      <c r="DA340" s="0" t="s">
        <v>5529</v>
      </c>
      <c r="DB340" s="0" t="s">
        <v>5527</v>
      </c>
      <c r="DC340" s="0" t="s">
        <v>384</v>
      </c>
      <c r="DD340" s="0" t="s">
        <v>291</v>
      </c>
      <c r="DE340" s="0" t="s">
        <v>5895</v>
      </c>
    </row>
    <row customHeight="1" ht="11.25">
      <c r="A341" s="1441" t="s">
        <v>240</v>
      </c>
      <c r="B341" s="0" t="s">
        <v>240</v>
      </c>
      <c r="C341" s="0" t="s">
        <v>240</v>
      </c>
      <c r="D341" s="0" t="s">
        <v>240</v>
      </c>
      <c r="E341" s="0" t="s">
        <v>240</v>
      </c>
      <c r="F341" s="0" t="s">
        <v>240</v>
      </c>
      <c r="G341" s="0" t="s">
        <v>240</v>
      </c>
      <c r="H341" s="0" t="s">
        <v>240</v>
      </c>
      <c r="I341" s="0" t="s">
        <v>5484</v>
      </c>
      <c r="J341" s="0" t="s">
        <v>240</v>
      </c>
      <c r="K341" s="0" t="s">
        <v>240</v>
      </c>
      <c r="L341" s="0" t="s">
        <v>240</v>
      </c>
      <c r="M341" s="0" t="s">
        <v>240</v>
      </c>
      <c r="N341" s="0" t="s">
        <v>240</v>
      </c>
      <c r="O341" s="0" t="s">
        <v>240</v>
      </c>
      <c r="P341" s="0" t="s">
        <v>240</v>
      </c>
      <c r="Q341" s="0" t="s">
        <v>240</v>
      </c>
      <c r="R341" s="0" t="s">
        <v>5513</v>
      </c>
      <c r="S341" s="0" t="s">
        <v>240</v>
      </c>
      <c r="T341" s="0" t="s">
        <v>240</v>
      </c>
      <c r="U341" s="0" t="s">
        <v>102</v>
      </c>
      <c r="V341" s="0" t="s">
        <v>240</v>
      </c>
      <c r="W341" s="0" t="s">
        <v>240</v>
      </c>
      <c r="X341" s="0" t="s">
        <v>5485</v>
      </c>
      <c r="Y341" s="0" t="s">
        <v>240</v>
      </c>
      <c r="Z341" s="0" t="s">
        <v>161</v>
      </c>
      <c r="AA341" s="0" t="s">
        <v>152</v>
      </c>
      <c r="AB341" s="0" t="s">
        <v>152</v>
      </c>
      <c r="AC341" s="0" t="s">
        <v>2991</v>
      </c>
      <c r="AD341" s="0" t="s">
        <v>2991</v>
      </c>
      <c r="AE341" s="0" t="s">
        <v>2992</v>
      </c>
      <c r="AF341" s="0" t="s">
        <v>5970</v>
      </c>
      <c r="AG341" s="0" t="s">
        <v>5971</v>
      </c>
      <c r="AH341" s="0" t="s">
        <v>5972</v>
      </c>
      <c r="AI341" s="0" t="s">
        <v>5730</v>
      </c>
      <c r="AJ341" s="0" t="s">
        <v>5504</v>
      </c>
      <c r="AK341" s="0" t="s">
        <v>5731</v>
      </c>
      <c r="AL341" s="0" t="s">
        <v>5506</v>
      </c>
      <c r="AM341" s="0" t="s">
        <v>5493</v>
      </c>
      <c r="AN341" s="0" t="s">
        <v>5545</v>
      </c>
      <c r="AO341" s="0" t="s">
        <v>5636</v>
      </c>
      <c r="AP341" s="0" t="s">
        <v>240</v>
      </c>
      <c r="AQ341" s="0" t="s">
        <v>240</v>
      </c>
      <c r="AR341" s="0" t="s">
        <v>240</v>
      </c>
      <c r="AS341" s="0" t="s">
        <v>240</v>
      </c>
      <c r="AT341" s="0" t="s">
        <v>240</v>
      </c>
      <c r="AU341" s="0" t="s">
        <v>240</v>
      </c>
      <c r="AV341" s="0" t="s">
        <v>240</v>
      </c>
      <c r="AW341" s="0" t="s">
        <v>240</v>
      </c>
      <c r="AX341" s="0" t="s">
        <v>240</v>
      </c>
      <c r="AY341" s="0" t="s">
        <v>240</v>
      </c>
      <c r="AZ341" s="0" t="s">
        <v>240</v>
      </c>
      <c r="BA341" s="0" t="s">
        <v>240</v>
      </c>
      <c r="BB341" s="0" t="s">
        <v>240</v>
      </c>
      <c r="BC341" s="0" t="s">
        <v>240</v>
      </c>
      <c r="BD341" s="0" t="s">
        <v>240</v>
      </c>
      <c r="BE341" s="0" t="s">
        <v>240</v>
      </c>
      <c r="BF341" s="0" t="s">
        <v>240</v>
      </c>
      <c r="BG341" s="0" t="s">
        <v>240</v>
      </c>
      <c r="BH341" s="0" t="s">
        <v>240</v>
      </c>
      <c r="BI341" s="0" t="s">
        <v>240</v>
      </c>
      <c r="BJ341" s="0" t="s">
        <v>240</v>
      </c>
      <c r="BK341" s="0" t="s">
        <v>240</v>
      </c>
      <c r="BL341" s="0" t="s">
        <v>240</v>
      </c>
      <c r="BM341" s="0" t="s">
        <v>240</v>
      </c>
      <c r="BN341" s="0" t="s">
        <v>240</v>
      </c>
      <c r="BO341" s="0" t="s">
        <v>240</v>
      </c>
      <c r="BP341" s="0" t="s">
        <v>240</v>
      </c>
      <c r="BQ341" s="0" t="s">
        <v>240</v>
      </c>
      <c r="BR341" s="0" t="s">
        <v>240</v>
      </c>
      <c r="BS341" s="0" t="s">
        <v>240</v>
      </c>
      <c r="BT341" s="0" t="s">
        <v>240</v>
      </c>
      <c r="BU341" s="0" t="s">
        <v>240</v>
      </c>
      <c r="BV341" s="0" t="s">
        <v>240</v>
      </c>
      <c r="BW341" s="0" t="s">
        <v>240</v>
      </c>
      <c r="BX341" s="0" t="s">
        <v>240</v>
      </c>
      <c r="BY341" s="0" t="s">
        <v>240</v>
      </c>
      <c r="BZ341" s="0" t="s">
        <v>240</v>
      </c>
      <c r="CA341" s="0" t="s">
        <v>240</v>
      </c>
      <c r="CB341" s="0" t="s">
        <v>240</v>
      </c>
      <c r="CC341" s="0" t="s">
        <v>240</v>
      </c>
      <c r="CD341" s="0" t="s">
        <v>240</v>
      </c>
      <c r="CE341" s="0" t="s">
        <v>240</v>
      </c>
      <c r="CF341" s="0" t="s">
        <v>240</v>
      </c>
      <c r="CG341" s="0" t="s">
        <v>240</v>
      </c>
      <c r="CH341" s="0" t="s">
        <v>240</v>
      </c>
      <c r="CI341" s="0" t="s">
        <v>240</v>
      </c>
      <c r="CJ341" s="0" t="s">
        <v>240</v>
      </c>
      <c r="CK341" s="0" t="s">
        <v>240</v>
      </c>
      <c r="CL341" s="0" t="s">
        <v>240</v>
      </c>
      <c r="CM341" s="0" t="s">
        <v>240</v>
      </c>
      <c r="CN341" s="0" t="s">
        <v>240</v>
      </c>
      <c r="CO341" s="0" t="s">
        <v>240</v>
      </c>
      <c r="CP341" s="0" t="s">
        <v>240</v>
      </c>
      <c r="CQ341" s="0" t="s">
        <v>240</v>
      </c>
      <c r="CR341" s="0" t="s">
        <v>240</v>
      </c>
      <c r="CS341" s="0" t="s">
        <v>240</v>
      </c>
      <c r="CT341" s="0" t="s">
        <v>5496</v>
      </c>
      <c r="CU341" s="0" t="s">
        <v>5497</v>
      </c>
      <c r="CV341" s="0" t="s">
        <v>443</v>
      </c>
      <c r="CW341" s="0" t="s">
        <v>5547</v>
      </c>
      <c r="CX341" s="0" t="s">
        <v>229</v>
      </c>
      <c r="CY341" s="0" t="s">
        <v>443</v>
      </c>
      <c r="CZ341" s="0" t="s">
        <v>5548</v>
      </c>
      <c r="DA341" s="0" t="s">
        <v>5549</v>
      </c>
      <c r="DB341" s="0" t="s">
        <v>5547</v>
      </c>
      <c r="DC341" s="0" t="s">
        <v>384</v>
      </c>
      <c r="DD341" s="0" t="s">
        <v>291</v>
      </c>
      <c r="DE341" s="0" t="s">
        <v>5973</v>
      </c>
    </row>
    <row customHeight="1" ht="11.25">
      <c r="A342" s="1441" t="s">
        <v>240</v>
      </c>
      <c r="B342" s="0" t="s">
        <v>240</v>
      </c>
      <c r="C342" s="0" t="s">
        <v>240</v>
      </c>
      <c r="D342" s="0" t="s">
        <v>240</v>
      </c>
      <c r="E342" s="0" t="s">
        <v>240</v>
      </c>
      <c r="F342" s="0" t="s">
        <v>240</v>
      </c>
      <c r="G342" s="0" t="s">
        <v>240</v>
      </c>
      <c r="H342" s="0" t="s">
        <v>240</v>
      </c>
      <c r="I342" s="0" t="s">
        <v>5484</v>
      </c>
      <c r="J342" s="0" t="s">
        <v>240</v>
      </c>
      <c r="K342" s="0" t="s">
        <v>240</v>
      </c>
      <c r="L342" s="0" t="s">
        <v>240</v>
      </c>
      <c r="M342" s="0" t="s">
        <v>240</v>
      </c>
      <c r="N342" s="0" t="s">
        <v>240</v>
      </c>
      <c r="O342" s="0" t="s">
        <v>240</v>
      </c>
      <c r="P342" s="0" t="s">
        <v>240</v>
      </c>
      <c r="Q342" s="0" t="s">
        <v>240</v>
      </c>
      <c r="R342" s="0" t="s">
        <v>6940</v>
      </c>
      <c r="S342" s="0" t="s">
        <v>240</v>
      </c>
      <c r="T342" s="0" t="s">
        <v>240</v>
      </c>
      <c r="U342" s="0" t="s">
        <v>102</v>
      </c>
      <c r="V342" s="0" t="s">
        <v>240</v>
      </c>
      <c r="W342" s="0" t="s">
        <v>240</v>
      </c>
      <c r="X342" s="0" t="s">
        <v>5485</v>
      </c>
      <c r="Y342" s="0" t="s">
        <v>240</v>
      </c>
      <c r="Z342" s="0" t="s">
        <v>161</v>
      </c>
      <c r="AA342" s="0" t="s">
        <v>152</v>
      </c>
      <c r="AB342" s="0" t="s">
        <v>152</v>
      </c>
      <c r="AC342" s="0" t="s">
        <v>3389</v>
      </c>
      <c r="AD342" s="0" t="s">
        <v>3389</v>
      </c>
      <c r="AE342" s="0" t="s">
        <v>3390</v>
      </c>
      <c r="AF342" s="0" t="s">
        <v>5519</v>
      </c>
      <c r="AG342" s="0" t="s">
        <v>5520</v>
      </c>
      <c r="AH342" s="0" t="s">
        <v>5566</v>
      </c>
      <c r="AI342" s="0" t="s">
        <v>5567</v>
      </c>
      <c r="AJ342" s="0" t="s">
        <v>6016</v>
      </c>
      <c r="AK342" s="0" t="s">
        <v>6017</v>
      </c>
      <c r="AL342" s="0" t="s">
        <v>5605</v>
      </c>
      <c r="AM342" s="0" t="s">
        <v>5493</v>
      </c>
      <c r="AN342" s="0" t="s">
        <v>5525</v>
      </c>
      <c r="AO342" s="0" t="s">
        <v>6018</v>
      </c>
      <c r="AP342" s="0" t="s">
        <v>240</v>
      </c>
      <c r="AQ342" s="0" t="s">
        <v>240</v>
      </c>
      <c r="AR342" s="0" t="s">
        <v>240</v>
      </c>
      <c r="AS342" s="0" t="s">
        <v>240</v>
      </c>
      <c r="AT342" s="0" t="s">
        <v>240</v>
      </c>
      <c r="AU342" s="0" t="s">
        <v>240</v>
      </c>
      <c r="AV342" s="0" t="s">
        <v>240</v>
      </c>
      <c r="AW342" s="0" t="s">
        <v>240</v>
      </c>
      <c r="AX342" s="0" t="s">
        <v>240</v>
      </c>
      <c r="AY342" s="0" t="s">
        <v>240</v>
      </c>
      <c r="AZ342" s="0" t="s">
        <v>240</v>
      </c>
      <c r="BA342" s="0" t="s">
        <v>240</v>
      </c>
      <c r="BB342" s="0" t="s">
        <v>240</v>
      </c>
      <c r="BC342" s="0" t="s">
        <v>240</v>
      </c>
      <c r="BD342" s="0" t="s">
        <v>240</v>
      </c>
      <c r="BE342" s="0" t="s">
        <v>240</v>
      </c>
      <c r="BF342" s="0" t="s">
        <v>240</v>
      </c>
      <c r="BG342" s="0" t="s">
        <v>240</v>
      </c>
      <c r="BH342" s="0" t="s">
        <v>240</v>
      </c>
      <c r="BI342" s="0" t="s">
        <v>240</v>
      </c>
      <c r="BJ342" s="0" t="s">
        <v>240</v>
      </c>
      <c r="BK342" s="0" t="s">
        <v>240</v>
      </c>
      <c r="BL342" s="0" t="s">
        <v>240</v>
      </c>
      <c r="BM342" s="0" t="s">
        <v>240</v>
      </c>
      <c r="BN342" s="0" t="s">
        <v>240</v>
      </c>
      <c r="BO342" s="0" t="s">
        <v>240</v>
      </c>
      <c r="BP342" s="0" t="s">
        <v>240</v>
      </c>
      <c r="BQ342" s="0" t="s">
        <v>240</v>
      </c>
      <c r="BR342" s="0" t="s">
        <v>240</v>
      </c>
      <c r="BS342" s="0" t="s">
        <v>240</v>
      </c>
      <c r="BT342" s="0" t="s">
        <v>240</v>
      </c>
      <c r="BU342" s="0" t="s">
        <v>240</v>
      </c>
      <c r="BV342" s="0" t="s">
        <v>240</v>
      </c>
      <c r="BW342" s="0" t="s">
        <v>240</v>
      </c>
      <c r="BX342" s="0" t="s">
        <v>240</v>
      </c>
      <c r="BY342" s="0" t="s">
        <v>240</v>
      </c>
      <c r="BZ342" s="0" t="s">
        <v>240</v>
      </c>
      <c r="CA342" s="0" t="s">
        <v>240</v>
      </c>
      <c r="CB342" s="0" t="s">
        <v>240</v>
      </c>
      <c r="CC342" s="0" t="s">
        <v>240</v>
      </c>
      <c r="CD342" s="0" t="s">
        <v>240</v>
      </c>
      <c r="CE342" s="0" t="s">
        <v>240</v>
      </c>
      <c r="CF342" s="0" t="s">
        <v>240</v>
      </c>
      <c r="CG342" s="0" t="s">
        <v>240</v>
      </c>
      <c r="CH342" s="0" t="s">
        <v>240</v>
      </c>
      <c r="CI342" s="0" t="s">
        <v>240</v>
      </c>
      <c r="CJ342" s="0" t="s">
        <v>240</v>
      </c>
      <c r="CK342" s="0" t="s">
        <v>240</v>
      </c>
      <c r="CL342" s="0" t="s">
        <v>240</v>
      </c>
      <c r="CM342" s="0" t="s">
        <v>240</v>
      </c>
      <c r="CN342" s="0" t="s">
        <v>240</v>
      </c>
      <c r="CO342" s="0" t="s">
        <v>240</v>
      </c>
      <c r="CP342" s="0" t="s">
        <v>240</v>
      </c>
      <c r="CQ342" s="0" t="s">
        <v>240</v>
      </c>
      <c r="CR342" s="0" t="s">
        <v>240</v>
      </c>
      <c r="CS342" s="0" t="s">
        <v>240</v>
      </c>
      <c r="CT342" s="0" t="s">
        <v>5496</v>
      </c>
      <c r="CU342" s="0" t="s">
        <v>5497</v>
      </c>
      <c r="CV342" s="0" t="s">
        <v>443</v>
      </c>
      <c r="CW342" s="0" t="s">
        <v>5527</v>
      </c>
      <c r="CX342" s="0" t="s">
        <v>5528</v>
      </c>
      <c r="CY342" s="0" t="s">
        <v>443</v>
      </c>
      <c r="CZ342" s="0" t="s">
        <v>299</v>
      </c>
      <c r="DA342" s="0" t="s">
        <v>5529</v>
      </c>
      <c r="DB342" s="0" t="s">
        <v>5527</v>
      </c>
      <c r="DC342" s="0" t="s">
        <v>384</v>
      </c>
      <c r="DD342" s="0" t="s">
        <v>291</v>
      </c>
      <c r="DE342" s="0" t="s">
        <v>5571</v>
      </c>
    </row>
    <row customHeight="1" ht="11.25">
      <c r="A343" s="1441" t="s">
        <v>240</v>
      </c>
      <c r="B343" s="0" t="s">
        <v>240</v>
      </c>
      <c r="C343" s="0" t="s">
        <v>240</v>
      </c>
      <c r="D343" s="0" t="s">
        <v>240</v>
      </c>
      <c r="E343" s="0" t="s">
        <v>240</v>
      </c>
      <c r="F343" s="0" t="s">
        <v>240</v>
      </c>
      <c r="G343" s="0" t="s">
        <v>240</v>
      </c>
      <c r="H343" s="0" t="s">
        <v>240</v>
      </c>
      <c r="I343" s="0" t="s">
        <v>5484</v>
      </c>
      <c r="J343" s="0" t="s">
        <v>240</v>
      </c>
      <c r="K343" s="0" t="s">
        <v>240</v>
      </c>
      <c r="L343" s="0" t="s">
        <v>240</v>
      </c>
      <c r="M343" s="0" t="s">
        <v>240</v>
      </c>
      <c r="N343" s="0" t="s">
        <v>240</v>
      </c>
      <c r="O343" s="0" t="s">
        <v>240</v>
      </c>
      <c r="P343" s="0" t="s">
        <v>240</v>
      </c>
      <c r="Q343" s="0" t="s">
        <v>240</v>
      </c>
      <c r="R343" s="0" t="s">
        <v>5974</v>
      </c>
      <c r="S343" s="0" t="s">
        <v>240</v>
      </c>
      <c r="T343" s="0" t="s">
        <v>240</v>
      </c>
      <c r="U343" s="0" t="s">
        <v>102</v>
      </c>
      <c r="V343" s="0" t="s">
        <v>240</v>
      </c>
      <c r="W343" s="0" t="s">
        <v>240</v>
      </c>
      <c r="X343" s="0" t="s">
        <v>5485</v>
      </c>
      <c r="Y343" s="0" t="s">
        <v>240</v>
      </c>
      <c r="Z343" s="0" t="s">
        <v>161</v>
      </c>
      <c r="AA343" s="0" t="s">
        <v>152</v>
      </c>
      <c r="AB343" s="0" t="s">
        <v>152</v>
      </c>
      <c r="AC343" s="0" t="s">
        <v>2989</v>
      </c>
      <c r="AD343" s="0" t="s">
        <v>2989</v>
      </c>
      <c r="AE343" s="0" t="s">
        <v>2990</v>
      </c>
      <c r="AF343" s="0" t="s">
        <v>5975</v>
      </c>
      <c r="AG343" s="0" t="s">
        <v>5976</v>
      </c>
      <c r="AH343" s="0" t="s">
        <v>5972</v>
      </c>
      <c r="AI343" s="0" t="s">
        <v>290</v>
      </c>
      <c r="AJ343" s="0" t="s">
        <v>5490</v>
      </c>
      <c r="AK343" s="0" t="s">
        <v>5490</v>
      </c>
      <c r="AL343" s="0" t="s">
        <v>5605</v>
      </c>
      <c r="AM343" s="0" t="s">
        <v>5493</v>
      </c>
      <c r="AN343" s="0" t="s">
        <v>5507</v>
      </c>
      <c r="AO343" s="0" t="s">
        <v>5977</v>
      </c>
      <c r="AP343" s="0" t="s">
        <v>240</v>
      </c>
      <c r="AQ343" s="0" t="s">
        <v>240</v>
      </c>
      <c r="AR343" s="0" t="s">
        <v>240</v>
      </c>
      <c r="AS343" s="0" t="s">
        <v>240</v>
      </c>
      <c r="AT343" s="0" t="s">
        <v>240</v>
      </c>
      <c r="AU343" s="0" t="s">
        <v>240</v>
      </c>
      <c r="AV343" s="0" t="s">
        <v>240</v>
      </c>
      <c r="AW343" s="0" t="s">
        <v>240</v>
      </c>
      <c r="AX343" s="0" t="s">
        <v>240</v>
      </c>
      <c r="AY343" s="0" t="s">
        <v>240</v>
      </c>
      <c r="AZ343" s="0" t="s">
        <v>240</v>
      </c>
      <c r="BA343" s="0" t="s">
        <v>240</v>
      </c>
      <c r="BB343" s="0" t="s">
        <v>240</v>
      </c>
      <c r="BC343" s="0" t="s">
        <v>240</v>
      </c>
      <c r="BD343" s="0" t="s">
        <v>240</v>
      </c>
      <c r="BE343" s="0" t="s">
        <v>240</v>
      </c>
      <c r="BF343" s="0" t="s">
        <v>240</v>
      </c>
      <c r="BG343" s="0" t="s">
        <v>240</v>
      </c>
      <c r="BH343" s="0" t="s">
        <v>240</v>
      </c>
      <c r="BI343" s="0" t="s">
        <v>240</v>
      </c>
      <c r="BJ343" s="0" t="s">
        <v>240</v>
      </c>
      <c r="BK343" s="0" t="s">
        <v>240</v>
      </c>
      <c r="BL343" s="0" t="s">
        <v>240</v>
      </c>
      <c r="BM343" s="0" t="s">
        <v>240</v>
      </c>
      <c r="BN343" s="0" t="s">
        <v>240</v>
      </c>
      <c r="BO343" s="0" t="s">
        <v>240</v>
      </c>
      <c r="BP343" s="0" t="s">
        <v>240</v>
      </c>
      <c r="BQ343" s="0" t="s">
        <v>240</v>
      </c>
      <c r="BR343" s="0" t="s">
        <v>240</v>
      </c>
      <c r="BS343" s="0" t="s">
        <v>240</v>
      </c>
      <c r="BT343" s="0" t="s">
        <v>240</v>
      </c>
      <c r="BU343" s="0" t="s">
        <v>240</v>
      </c>
      <c r="BV343" s="0" t="s">
        <v>240</v>
      </c>
      <c r="BW343" s="0" t="s">
        <v>240</v>
      </c>
      <c r="BX343" s="0" t="s">
        <v>240</v>
      </c>
      <c r="BY343" s="0" t="s">
        <v>240</v>
      </c>
      <c r="BZ343" s="0" t="s">
        <v>240</v>
      </c>
      <c r="CA343" s="0" t="s">
        <v>240</v>
      </c>
      <c r="CB343" s="0" t="s">
        <v>240</v>
      </c>
      <c r="CC343" s="0" t="s">
        <v>240</v>
      </c>
      <c r="CD343" s="0" t="s">
        <v>240</v>
      </c>
      <c r="CE343" s="0" t="s">
        <v>240</v>
      </c>
      <c r="CF343" s="0" t="s">
        <v>240</v>
      </c>
      <c r="CG343" s="0" t="s">
        <v>240</v>
      </c>
      <c r="CH343" s="0" t="s">
        <v>240</v>
      </c>
      <c r="CI343" s="0" t="s">
        <v>240</v>
      </c>
      <c r="CJ343" s="0" t="s">
        <v>240</v>
      </c>
      <c r="CK343" s="0" t="s">
        <v>240</v>
      </c>
      <c r="CL343" s="0" t="s">
        <v>240</v>
      </c>
      <c r="CM343" s="0" t="s">
        <v>240</v>
      </c>
      <c r="CN343" s="0" t="s">
        <v>240</v>
      </c>
      <c r="CO343" s="0" t="s">
        <v>240</v>
      </c>
      <c r="CP343" s="0" t="s">
        <v>240</v>
      </c>
      <c r="CQ343" s="0" t="s">
        <v>240</v>
      </c>
      <c r="CR343" s="0" t="s">
        <v>240</v>
      </c>
      <c r="CS343" s="0" t="s">
        <v>240</v>
      </c>
      <c r="CT343" s="0" t="s">
        <v>5496</v>
      </c>
      <c r="CU343" s="0" t="s">
        <v>5497</v>
      </c>
      <c r="CV343" s="0" t="s">
        <v>443</v>
      </c>
      <c r="CW343" s="0" t="s">
        <v>5580</v>
      </c>
      <c r="CX343" s="0" t="s">
        <v>229</v>
      </c>
      <c r="CY343" s="0" t="s">
        <v>443</v>
      </c>
      <c r="CZ343" s="0" t="s">
        <v>5581</v>
      </c>
      <c r="DA343" s="0" t="s">
        <v>5582</v>
      </c>
      <c r="DB343" s="0" t="s">
        <v>5580</v>
      </c>
      <c r="DC343" s="0" t="s">
        <v>384</v>
      </c>
      <c r="DD343" s="0" t="s">
        <v>291</v>
      </c>
      <c r="DE343" s="0" t="s">
        <v>5978</v>
      </c>
    </row>
    <row customHeight="1" ht="11.25">
      <c r="A344" s="1441" t="s">
        <v>240</v>
      </c>
      <c r="B344" s="0" t="s">
        <v>240</v>
      </c>
      <c r="C344" s="0" t="s">
        <v>240</v>
      </c>
      <c r="D344" s="0" t="s">
        <v>240</v>
      </c>
      <c r="E344" s="0" t="s">
        <v>240</v>
      </c>
      <c r="F344" s="0" t="s">
        <v>240</v>
      </c>
      <c r="G344" s="0" t="s">
        <v>240</v>
      </c>
      <c r="H344" s="0" t="s">
        <v>240</v>
      </c>
      <c r="I344" s="0" t="s">
        <v>5484</v>
      </c>
      <c r="J344" s="0" t="s">
        <v>240</v>
      </c>
      <c r="K344" s="0" t="s">
        <v>240</v>
      </c>
      <c r="L344" s="0" t="s">
        <v>240</v>
      </c>
      <c r="M344" s="0" t="s">
        <v>240</v>
      </c>
      <c r="N344" s="0" t="s">
        <v>240</v>
      </c>
      <c r="O344" s="0" t="s">
        <v>240</v>
      </c>
      <c r="P344" s="0" t="s">
        <v>240</v>
      </c>
      <c r="Q344" s="0" t="s">
        <v>240</v>
      </c>
      <c r="R344" s="0" t="s">
        <v>6161</v>
      </c>
      <c r="S344" s="0" t="s">
        <v>240</v>
      </c>
      <c r="T344" s="0" t="s">
        <v>240</v>
      </c>
      <c r="U344" s="0" t="s">
        <v>102</v>
      </c>
      <c r="V344" s="0" t="s">
        <v>240</v>
      </c>
      <c r="W344" s="0" t="s">
        <v>240</v>
      </c>
      <c r="X344" s="0" t="s">
        <v>5905</v>
      </c>
      <c r="Y344" s="0" t="s">
        <v>240</v>
      </c>
      <c r="Z344" s="0" t="s">
        <v>152</v>
      </c>
      <c r="AA344" s="0" t="s">
        <v>161</v>
      </c>
      <c r="AB344" s="0" t="s">
        <v>152</v>
      </c>
      <c r="AC344" s="0" t="s">
        <v>2989</v>
      </c>
      <c r="AD344" s="0" t="s">
        <v>2989</v>
      </c>
      <c r="AE344" s="0" t="s">
        <v>2990</v>
      </c>
      <c r="AF344" s="0" t="s">
        <v>5975</v>
      </c>
      <c r="AG344" s="0" t="s">
        <v>5976</v>
      </c>
      <c r="AH344" s="0" t="s">
        <v>5972</v>
      </c>
      <c r="AI344" s="0" t="s">
        <v>290</v>
      </c>
      <c r="AJ344" s="0" t="s">
        <v>240</v>
      </c>
      <c r="AK344" s="0" t="s">
        <v>240</v>
      </c>
      <c r="AL344" s="0" t="s">
        <v>240</v>
      </c>
      <c r="AM344" s="0" t="s">
        <v>240</v>
      </c>
      <c r="AN344" s="0" t="s">
        <v>240</v>
      </c>
      <c r="AO344" s="0" t="s">
        <v>240</v>
      </c>
      <c r="AP344" s="0" t="s">
        <v>5490</v>
      </c>
      <c r="AQ344" s="0" t="s">
        <v>5490</v>
      </c>
      <c r="AR344" s="0" t="s">
        <v>112</v>
      </c>
      <c r="AS344" s="0" t="s">
        <v>5589</v>
      </c>
      <c r="AT344" s="0" t="s">
        <v>6941</v>
      </c>
      <c r="AU344" s="0" t="s">
        <v>240</v>
      </c>
      <c r="AV344" s="0" t="s">
        <v>6161</v>
      </c>
      <c r="AW344" s="0" t="s">
        <v>2989</v>
      </c>
      <c r="AX344" s="0" t="s">
        <v>2989</v>
      </c>
      <c r="AY344" s="0" t="s">
        <v>5798</v>
      </c>
      <c r="AZ344" s="0" t="s">
        <v>5975</v>
      </c>
      <c r="BA344" s="0" t="s">
        <v>6162</v>
      </c>
      <c r="BB344" s="0" t="s">
        <v>5575</v>
      </c>
      <c r="BC344" s="0" t="s">
        <v>5575</v>
      </c>
      <c r="BD344" s="0" t="s">
        <v>5507</v>
      </c>
      <c r="BE344" s="0" t="s">
        <v>240</v>
      </c>
      <c r="BF344" s="0" t="s">
        <v>240</v>
      </c>
      <c r="BG344" s="0" t="s">
        <v>240</v>
      </c>
      <c r="BH344" s="0" t="s">
        <v>240</v>
      </c>
      <c r="BI344" s="0" t="s">
        <v>240</v>
      </c>
      <c r="BJ344" s="0" t="s">
        <v>240</v>
      </c>
      <c r="BK344" s="0" t="s">
        <v>240</v>
      </c>
      <c r="BL344" s="0" t="s">
        <v>240</v>
      </c>
      <c r="BM344" s="0" t="s">
        <v>240</v>
      </c>
      <c r="BN344" s="0" t="s">
        <v>240</v>
      </c>
      <c r="BO344" s="0" t="s">
        <v>240</v>
      </c>
      <c r="BP344" s="0" t="s">
        <v>240</v>
      </c>
      <c r="BQ344" s="0" t="s">
        <v>240</v>
      </c>
      <c r="BR344" s="0" t="s">
        <v>240</v>
      </c>
      <c r="BS344" s="0" t="s">
        <v>240</v>
      </c>
      <c r="BT344" s="0" t="s">
        <v>240</v>
      </c>
      <c r="BU344" s="0" t="s">
        <v>240</v>
      </c>
      <c r="BV344" s="0" t="s">
        <v>240</v>
      </c>
      <c r="BW344" s="0" t="s">
        <v>240</v>
      </c>
      <c r="BX344" s="0" t="s">
        <v>240</v>
      </c>
      <c r="BY344" s="0" t="s">
        <v>240</v>
      </c>
      <c r="BZ344" s="0" t="s">
        <v>240</v>
      </c>
      <c r="CA344" s="0" t="s">
        <v>240</v>
      </c>
      <c r="CB344" s="0" t="s">
        <v>240</v>
      </c>
      <c r="CC344" s="0" t="s">
        <v>240</v>
      </c>
      <c r="CD344" s="0" t="s">
        <v>240</v>
      </c>
      <c r="CE344" s="0" t="s">
        <v>240</v>
      </c>
      <c r="CF344" s="0" t="s">
        <v>240</v>
      </c>
      <c r="CG344" s="0" t="s">
        <v>240</v>
      </c>
      <c r="CH344" s="0" t="s">
        <v>240</v>
      </c>
      <c r="CI344" s="0" t="s">
        <v>240</v>
      </c>
      <c r="CJ344" s="0" t="s">
        <v>240</v>
      </c>
      <c r="CK344" s="0" t="s">
        <v>240</v>
      </c>
      <c r="CL344" s="0" t="s">
        <v>240</v>
      </c>
      <c r="CM344" s="0" t="s">
        <v>240</v>
      </c>
      <c r="CN344" s="0" t="s">
        <v>240</v>
      </c>
      <c r="CO344" s="0" t="s">
        <v>240</v>
      </c>
      <c r="CP344" s="0" t="s">
        <v>240</v>
      </c>
      <c r="CQ344" s="0" t="s">
        <v>240</v>
      </c>
      <c r="CR344" s="0" t="s">
        <v>240</v>
      </c>
      <c r="CS344" s="0" t="s">
        <v>240</v>
      </c>
      <c r="CT344" s="0" t="s">
        <v>5496</v>
      </c>
      <c r="CU344" s="0" t="s">
        <v>5497</v>
      </c>
      <c r="CV344" s="0" t="s">
        <v>443</v>
      </c>
      <c r="CW344" s="0" t="s">
        <v>5580</v>
      </c>
      <c r="CX344" s="0" t="s">
        <v>229</v>
      </c>
      <c r="CY344" s="0" t="s">
        <v>443</v>
      </c>
      <c r="CZ344" s="0" t="s">
        <v>5581</v>
      </c>
      <c r="DA344" s="0" t="s">
        <v>5582</v>
      </c>
      <c r="DB344" s="0" t="s">
        <v>5580</v>
      </c>
      <c r="DC344" s="0" t="s">
        <v>384</v>
      </c>
      <c r="DD344" s="0" t="s">
        <v>291</v>
      </c>
      <c r="DE344" s="0" t="s">
        <v>5978</v>
      </c>
    </row>
    <row customHeight="1" ht="11.25">
      <c r="A345" s="1441" t="s">
        <v>240</v>
      </c>
      <c r="B345" s="0" t="s">
        <v>240</v>
      </c>
      <c r="C345" s="0" t="s">
        <v>240</v>
      </c>
      <c r="D345" s="0" t="s">
        <v>240</v>
      </c>
      <c r="E345" s="0" t="s">
        <v>240</v>
      </c>
      <c r="F345" s="0" t="s">
        <v>240</v>
      </c>
      <c r="G345" s="0" t="s">
        <v>240</v>
      </c>
      <c r="H345" s="0" t="s">
        <v>240</v>
      </c>
      <c r="I345" s="0" t="s">
        <v>5484</v>
      </c>
      <c r="J345" s="0" t="s">
        <v>240</v>
      </c>
      <c r="K345" s="0" t="s">
        <v>240</v>
      </c>
      <c r="L345" s="0" t="s">
        <v>240</v>
      </c>
      <c r="M345" s="0" t="s">
        <v>240</v>
      </c>
      <c r="N345" s="0" t="s">
        <v>240</v>
      </c>
      <c r="O345" s="0" t="s">
        <v>240</v>
      </c>
      <c r="P345" s="0" t="s">
        <v>240</v>
      </c>
      <c r="Q345" s="0" t="s">
        <v>240</v>
      </c>
      <c r="R345" s="0" t="s">
        <v>6942</v>
      </c>
      <c r="S345" s="0" t="s">
        <v>240</v>
      </c>
      <c r="T345" s="0" t="s">
        <v>240</v>
      </c>
      <c r="U345" s="0" t="s">
        <v>102</v>
      </c>
      <c r="V345" s="0" t="s">
        <v>240</v>
      </c>
      <c r="W345" s="0" t="s">
        <v>240</v>
      </c>
      <c r="X345" s="0" t="s">
        <v>5485</v>
      </c>
      <c r="Y345" s="0" t="s">
        <v>240</v>
      </c>
      <c r="Z345" s="0" t="s">
        <v>161</v>
      </c>
      <c r="AA345" s="0" t="s">
        <v>152</v>
      </c>
      <c r="AB345" s="0" t="s">
        <v>152</v>
      </c>
      <c r="AC345" s="0" t="s">
        <v>3389</v>
      </c>
      <c r="AD345" s="0" t="s">
        <v>3389</v>
      </c>
      <c r="AE345" s="0" t="s">
        <v>3390</v>
      </c>
      <c r="AF345" s="0" t="s">
        <v>5519</v>
      </c>
      <c r="AG345" s="0" t="s">
        <v>5520</v>
      </c>
      <c r="AH345" s="0" t="s">
        <v>6164</v>
      </c>
      <c r="AI345" s="0" t="s">
        <v>6165</v>
      </c>
      <c r="AJ345" s="0" t="s">
        <v>5903</v>
      </c>
      <c r="AK345" s="0" t="s">
        <v>6166</v>
      </c>
      <c r="AL345" s="0" t="s">
        <v>5492</v>
      </c>
      <c r="AM345" s="0" t="s">
        <v>5493</v>
      </c>
      <c r="AN345" s="0" t="s">
        <v>6167</v>
      </c>
      <c r="AO345" s="0" t="s">
        <v>6168</v>
      </c>
      <c r="AP345" s="0" t="s">
        <v>240</v>
      </c>
      <c r="AQ345" s="0" t="s">
        <v>240</v>
      </c>
      <c r="AR345" s="0" t="s">
        <v>240</v>
      </c>
      <c r="AS345" s="0" t="s">
        <v>240</v>
      </c>
      <c r="AT345" s="0" t="s">
        <v>240</v>
      </c>
      <c r="AU345" s="0" t="s">
        <v>240</v>
      </c>
      <c r="AV345" s="0" t="s">
        <v>240</v>
      </c>
      <c r="AW345" s="0" t="s">
        <v>240</v>
      </c>
      <c r="AX345" s="0" t="s">
        <v>240</v>
      </c>
      <c r="AY345" s="0" t="s">
        <v>240</v>
      </c>
      <c r="AZ345" s="0" t="s">
        <v>240</v>
      </c>
      <c r="BA345" s="0" t="s">
        <v>240</v>
      </c>
      <c r="BB345" s="0" t="s">
        <v>240</v>
      </c>
      <c r="BC345" s="0" t="s">
        <v>240</v>
      </c>
      <c r="BD345" s="0" t="s">
        <v>240</v>
      </c>
      <c r="BE345" s="0" t="s">
        <v>240</v>
      </c>
      <c r="BF345" s="0" t="s">
        <v>240</v>
      </c>
      <c r="BG345" s="0" t="s">
        <v>240</v>
      </c>
      <c r="BH345" s="0" t="s">
        <v>240</v>
      </c>
      <c r="BI345" s="0" t="s">
        <v>240</v>
      </c>
      <c r="BJ345" s="0" t="s">
        <v>240</v>
      </c>
      <c r="BK345" s="0" t="s">
        <v>240</v>
      </c>
      <c r="BL345" s="0" t="s">
        <v>240</v>
      </c>
      <c r="BM345" s="0" t="s">
        <v>240</v>
      </c>
      <c r="BN345" s="0" t="s">
        <v>240</v>
      </c>
      <c r="BO345" s="0" t="s">
        <v>240</v>
      </c>
      <c r="BP345" s="0" t="s">
        <v>240</v>
      </c>
      <c r="BQ345" s="0" t="s">
        <v>240</v>
      </c>
      <c r="BR345" s="0" t="s">
        <v>240</v>
      </c>
      <c r="BS345" s="0" t="s">
        <v>240</v>
      </c>
      <c r="BT345" s="0" t="s">
        <v>240</v>
      </c>
      <c r="BU345" s="0" t="s">
        <v>240</v>
      </c>
      <c r="BV345" s="0" t="s">
        <v>240</v>
      </c>
      <c r="BW345" s="0" t="s">
        <v>240</v>
      </c>
      <c r="BX345" s="0" t="s">
        <v>240</v>
      </c>
      <c r="BY345" s="0" t="s">
        <v>240</v>
      </c>
      <c r="BZ345" s="0" t="s">
        <v>240</v>
      </c>
      <c r="CA345" s="0" t="s">
        <v>240</v>
      </c>
      <c r="CB345" s="0" t="s">
        <v>240</v>
      </c>
      <c r="CC345" s="0" t="s">
        <v>240</v>
      </c>
      <c r="CD345" s="0" t="s">
        <v>240</v>
      </c>
      <c r="CE345" s="0" t="s">
        <v>240</v>
      </c>
      <c r="CF345" s="0" t="s">
        <v>240</v>
      </c>
      <c r="CG345" s="0" t="s">
        <v>240</v>
      </c>
      <c r="CH345" s="0" t="s">
        <v>240</v>
      </c>
      <c r="CI345" s="0" t="s">
        <v>240</v>
      </c>
      <c r="CJ345" s="0" t="s">
        <v>240</v>
      </c>
      <c r="CK345" s="0" t="s">
        <v>240</v>
      </c>
      <c r="CL345" s="0" t="s">
        <v>240</v>
      </c>
      <c r="CM345" s="0" t="s">
        <v>240</v>
      </c>
      <c r="CN345" s="0" t="s">
        <v>240</v>
      </c>
      <c r="CO345" s="0" t="s">
        <v>240</v>
      </c>
      <c r="CP345" s="0" t="s">
        <v>240</v>
      </c>
      <c r="CQ345" s="0" t="s">
        <v>240</v>
      </c>
      <c r="CR345" s="0" t="s">
        <v>240</v>
      </c>
      <c r="CS345" s="0" t="s">
        <v>240</v>
      </c>
      <c r="CT345" s="0" t="s">
        <v>5496</v>
      </c>
      <c r="CU345" s="0" t="s">
        <v>5497</v>
      </c>
      <c r="CV345" s="0" t="s">
        <v>443</v>
      </c>
      <c r="CW345" s="0" t="s">
        <v>5527</v>
      </c>
      <c r="CX345" s="0" t="s">
        <v>5528</v>
      </c>
      <c r="CY345" s="0" t="s">
        <v>443</v>
      </c>
      <c r="CZ345" s="0" t="s">
        <v>299</v>
      </c>
      <c r="DA345" s="0" t="s">
        <v>5529</v>
      </c>
      <c r="DB345" s="0" t="s">
        <v>5527</v>
      </c>
      <c r="DC345" s="0" t="s">
        <v>384</v>
      </c>
      <c r="DD345" s="0" t="s">
        <v>291</v>
      </c>
      <c r="DE345" s="0" t="s">
        <v>6169</v>
      </c>
    </row>
    <row customHeight="1" ht="11.25">
      <c r="A346" s="1441" t="s">
        <v>240</v>
      </c>
      <c r="B346" s="0" t="s">
        <v>240</v>
      </c>
      <c r="C346" s="0" t="s">
        <v>240</v>
      </c>
      <c r="D346" s="0" t="s">
        <v>240</v>
      </c>
      <c r="E346" s="0" t="s">
        <v>240</v>
      </c>
      <c r="F346" s="0" t="s">
        <v>240</v>
      </c>
      <c r="G346" s="0" t="s">
        <v>240</v>
      </c>
      <c r="H346" s="0" t="s">
        <v>240</v>
      </c>
      <c r="I346" s="0" t="s">
        <v>5484</v>
      </c>
      <c r="J346" s="0" t="s">
        <v>240</v>
      </c>
      <c r="K346" s="0" t="s">
        <v>240</v>
      </c>
      <c r="L346" s="0" t="s">
        <v>240</v>
      </c>
      <c r="M346" s="0" t="s">
        <v>240</v>
      </c>
      <c r="N346" s="0" t="s">
        <v>240</v>
      </c>
      <c r="O346" s="0" t="s">
        <v>240</v>
      </c>
      <c r="P346" s="0" t="s">
        <v>240</v>
      </c>
      <c r="Q346" s="0" t="s">
        <v>240</v>
      </c>
      <c r="R346" s="0" t="s">
        <v>5991</v>
      </c>
      <c r="S346" s="0" t="s">
        <v>240</v>
      </c>
      <c r="T346" s="0" t="s">
        <v>240</v>
      </c>
      <c r="U346" s="0" t="s">
        <v>102</v>
      </c>
      <c r="V346" s="0" t="s">
        <v>240</v>
      </c>
      <c r="W346" s="0" t="s">
        <v>240</v>
      </c>
      <c r="X346" s="0" t="s">
        <v>5585</v>
      </c>
      <c r="Y346" s="0" t="s">
        <v>240</v>
      </c>
      <c r="Z346" s="0" t="s">
        <v>152</v>
      </c>
      <c r="AA346" s="0" t="s">
        <v>152</v>
      </c>
      <c r="AB346" s="0" t="s">
        <v>161</v>
      </c>
      <c r="AC346" s="0" t="s">
        <v>2989</v>
      </c>
      <c r="AD346" s="0" t="s">
        <v>2989</v>
      </c>
      <c r="AE346" s="0" t="s">
        <v>2990</v>
      </c>
      <c r="AF346" s="0" t="s">
        <v>5979</v>
      </c>
      <c r="AG346" s="0" t="s">
        <v>5980</v>
      </c>
      <c r="AH346" s="0" t="s">
        <v>5575</v>
      </c>
      <c r="AI346" s="0" t="s">
        <v>5575</v>
      </c>
      <c r="AJ346" s="0" t="s">
        <v>240</v>
      </c>
      <c r="AK346" s="0" t="s">
        <v>240</v>
      </c>
      <c r="AL346" s="0" t="s">
        <v>240</v>
      </c>
      <c r="AM346" s="0" t="s">
        <v>240</v>
      </c>
      <c r="AN346" s="0" t="s">
        <v>240</v>
      </c>
      <c r="AO346" s="0" t="s">
        <v>240</v>
      </c>
      <c r="AP346" s="0" t="s">
        <v>240</v>
      </c>
      <c r="AQ346" s="0" t="s">
        <v>240</v>
      </c>
      <c r="AR346" s="0" t="s">
        <v>240</v>
      </c>
      <c r="AS346" s="0" t="s">
        <v>240</v>
      </c>
      <c r="AT346" s="0" t="s">
        <v>240</v>
      </c>
      <c r="AU346" s="0" t="s">
        <v>240</v>
      </c>
      <c r="AV346" s="0" t="s">
        <v>240</v>
      </c>
      <c r="AW346" s="0" t="s">
        <v>240</v>
      </c>
      <c r="AX346" s="0" t="s">
        <v>240</v>
      </c>
      <c r="AY346" s="0" t="s">
        <v>240</v>
      </c>
      <c r="AZ346" s="0" t="s">
        <v>240</v>
      </c>
      <c r="BA346" s="0" t="s">
        <v>240</v>
      </c>
      <c r="BB346" s="0" t="s">
        <v>240</v>
      </c>
      <c r="BC346" s="0" t="s">
        <v>240</v>
      </c>
      <c r="BD346" s="0" t="s">
        <v>240</v>
      </c>
      <c r="BE346" s="0" t="s">
        <v>5992</v>
      </c>
      <c r="BF346" s="0" t="s">
        <v>5986</v>
      </c>
      <c r="BG346" s="0" t="s">
        <v>112</v>
      </c>
      <c r="BH346" s="0" t="s">
        <v>5589</v>
      </c>
      <c r="BI346" s="0" t="s">
        <v>123</v>
      </c>
      <c r="BJ346" s="0" t="s">
        <v>240</v>
      </c>
      <c r="BK346" s="0" t="s">
        <v>5608</v>
      </c>
      <c r="BL346" s="0" t="s">
        <v>2989</v>
      </c>
      <c r="BM346" s="0" t="s">
        <v>2989</v>
      </c>
      <c r="BN346" s="0" t="s">
        <v>5798</v>
      </c>
      <c r="BO346" s="0" t="s">
        <v>5979</v>
      </c>
      <c r="BP346" s="0" t="s">
        <v>5993</v>
      </c>
      <c r="BQ346" s="0" t="s">
        <v>5575</v>
      </c>
      <c r="BR346" s="0" t="s">
        <v>5575</v>
      </c>
      <c r="BS346" s="0" t="s">
        <v>240</v>
      </c>
      <c r="BT346" s="0" t="s">
        <v>5650</v>
      </c>
      <c r="BU346" s="0" t="s">
        <v>5994</v>
      </c>
      <c r="BV346" s="0" t="s">
        <v>5994</v>
      </c>
      <c r="BW346" s="0" t="s">
        <v>5598</v>
      </c>
      <c r="BX346" s="0" t="s">
        <v>5598</v>
      </c>
      <c r="BY346" s="0" t="s">
        <v>5598</v>
      </c>
      <c r="BZ346" s="0" t="s">
        <v>5598</v>
      </c>
      <c r="CA346" s="0" t="s">
        <v>5598</v>
      </c>
      <c r="CB346" s="0" t="s">
        <v>240</v>
      </c>
      <c r="CC346" s="0" t="s">
        <v>240</v>
      </c>
      <c r="CD346" s="0" t="s">
        <v>240</v>
      </c>
      <c r="CE346" s="0" t="s">
        <v>240</v>
      </c>
      <c r="CF346" s="0" t="s">
        <v>240</v>
      </c>
      <c r="CG346" s="0" t="s">
        <v>5598</v>
      </c>
      <c r="CH346" s="0" t="s">
        <v>240</v>
      </c>
      <c r="CI346" s="0" t="s">
        <v>240</v>
      </c>
      <c r="CJ346" s="0" t="s">
        <v>240</v>
      </c>
      <c r="CK346" s="0" t="s">
        <v>240</v>
      </c>
      <c r="CL346" s="0" t="s">
        <v>240</v>
      </c>
      <c r="CM346" s="0" t="s">
        <v>5994</v>
      </c>
      <c r="CN346" s="0" t="s">
        <v>5994</v>
      </c>
      <c r="CO346" s="0" t="s">
        <v>240</v>
      </c>
      <c r="CP346" s="0" t="s">
        <v>240</v>
      </c>
      <c r="CQ346" s="0" t="s">
        <v>240</v>
      </c>
      <c r="CR346" s="0" t="s">
        <v>240</v>
      </c>
      <c r="CS346" s="0" t="s">
        <v>5553</v>
      </c>
      <c r="CT346" s="0" t="s">
        <v>5496</v>
      </c>
      <c r="CU346" s="0" t="s">
        <v>5497</v>
      </c>
      <c r="CV346" s="0" t="s">
        <v>443</v>
      </c>
      <c r="CW346" s="0" t="s">
        <v>5580</v>
      </c>
      <c r="CX346" s="0" t="s">
        <v>229</v>
      </c>
      <c r="CY346" s="0" t="s">
        <v>443</v>
      </c>
      <c r="CZ346" s="0" t="s">
        <v>5581</v>
      </c>
      <c r="DA346" s="0" t="s">
        <v>5582</v>
      </c>
      <c r="DB346" s="0" t="s">
        <v>5580</v>
      </c>
      <c r="DC346" s="0" t="s">
        <v>384</v>
      </c>
      <c r="DD346" s="0" t="s">
        <v>291</v>
      </c>
      <c r="DE346" s="0" t="s">
        <v>5995</v>
      </c>
    </row>
    <row customHeight="1" ht="11.25">
      <c r="A347" s="1441" t="s">
        <v>240</v>
      </c>
      <c r="B347" s="0" t="s">
        <v>240</v>
      </c>
      <c r="C347" s="0" t="s">
        <v>240</v>
      </c>
      <c r="D347" s="0" t="s">
        <v>240</v>
      </c>
      <c r="E347" s="0" t="s">
        <v>240</v>
      </c>
      <c r="F347" s="0" t="s">
        <v>240</v>
      </c>
      <c r="G347" s="0" t="s">
        <v>240</v>
      </c>
      <c r="H347" s="0" t="s">
        <v>240</v>
      </c>
      <c r="I347" s="0" t="s">
        <v>5484</v>
      </c>
      <c r="J347" s="0" t="s">
        <v>240</v>
      </c>
      <c r="K347" s="0" t="s">
        <v>240</v>
      </c>
      <c r="L347" s="0" t="s">
        <v>240</v>
      </c>
      <c r="M347" s="0" t="s">
        <v>240</v>
      </c>
      <c r="N347" s="0" t="s">
        <v>240</v>
      </c>
      <c r="O347" s="0" t="s">
        <v>240</v>
      </c>
      <c r="P347" s="0" t="s">
        <v>240</v>
      </c>
      <c r="Q347" s="0" t="s">
        <v>240</v>
      </c>
      <c r="R347" s="0" t="s">
        <v>6943</v>
      </c>
      <c r="S347" s="0" t="s">
        <v>240</v>
      </c>
      <c r="T347" s="0" t="s">
        <v>240</v>
      </c>
      <c r="U347" s="0" t="s">
        <v>102</v>
      </c>
      <c r="V347" s="0" t="s">
        <v>240</v>
      </c>
      <c r="W347" s="0" t="s">
        <v>240</v>
      </c>
      <c r="X347" s="0" t="s">
        <v>5485</v>
      </c>
      <c r="Y347" s="0" t="s">
        <v>240</v>
      </c>
      <c r="Z347" s="0" t="s">
        <v>161</v>
      </c>
      <c r="AA347" s="0" t="s">
        <v>152</v>
      </c>
      <c r="AB347" s="0" t="s">
        <v>152</v>
      </c>
      <c r="AC347" s="0" t="s">
        <v>3389</v>
      </c>
      <c r="AD347" s="0" t="s">
        <v>3389</v>
      </c>
      <c r="AE347" s="0" t="s">
        <v>3390</v>
      </c>
      <c r="AF347" s="0" t="s">
        <v>5519</v>
      </c>
      <c r="AG347" s="0" t="s">
        <v>5520</v>
      </c>
      <c r="AH347" s="0" t="s">
        <v>5586</v>
      </c>
      <c r="AI347" s="0" t="s">
        <v>5533</v>
      </c>
      <c r="AJ347" s="0" t="s">
        <v>5587</v>
      </c>
      <c r="AK347" s="0" t="s">
        <v>5588</v>
      </c>
      <c r="AL347" s="0" t="s">
        <v>5570</v>
      </c>
      <c r="AM347" s="0" t="s">
        <v>5493</v>
      </c>
      <c r="AN347" s="0" t="s">
        <v>5989</v>
      </c>
      <c r="AO347" s="0" t="s">
        <v>5990</v>
      </c>
      <c r="AP347" s="0" t="s">
        <v>240</v>
      </c>
      <c r="AQ347" s="0" t="s">
        <v>240</v>
      </c>
      <c r="AR347" s="0" t="s">
        <v>240</v>
      </c>
      <c r="AS347" s="0" t="s">
        <v>240</v>
      </c>
      <c r="AT347" s="0" t="s">
        <v>240</v>
      </c>
      <c r="AU347" s="0" t="s">
        <v>240</v>
      </c>
      <c r="AV347" s="0" t="s">
        <v>240</v>
      </c>
      <c r="AW347" s="0" t="s">
        <v>240</v>
      </c>
      <c r="AX347" s="0" t="s">
        <v>240</v>
      </c>
      <c r="AY347" s="0" t="s">
        <v>240</v>
      </c>
      <c r="AZ347" s="0" t="s">
        <v>240</v>
      </c>
      <c r="BA347" s="0" t="s">
        <v>240</v>
      </c>
      <c r="BB347" s="0" t="s">
        <v>240</v>
      </c>
      <c r="BC347" s="0" t="s">
        <v>240</v>
      </c>
      <c r="BD347" s="0" t="s">
        <v>240</v>
      </c>
      <c r="BE347" s="0" t="s">
        <v>240</v>
      </c>
      <c r="BF347" s="0" t="s">
        <v>240</v>
      </c>
      <c r="BG347" s="0" t="s">
        <v>240</v>
      </c>
      <c r="BH347" s="0" t="s">
        <v>240</v>
      </c>
      <c r="BI347" s="0" t="s">
        <v>240</v>
      </c>
      <c r="BJ347" s="0" t="s">
        <v>240</v>
      </c>
      <c r="BK347" s="0" t="s">
        <v>240</v>
      </c>
      <c r="BL347" s="0" t="s">
        <v>240</v>
      </c>
      <c r="BM347" s="0" t="s">
        <v>240</v>
      </c>
      <c r="BN347" s="0" t="s">
        <v>240</v>
      </c>
      <c r="BO347" s="0" t="s">
        <v>240</v>
      </c>
      <c r="BP347" s="0" t="s">
        <v>240</v>
      </c>
      <c r="BQ347" s="0" t="s">
        <v>240</v>
      </c>
      <c r="BR347" s="0" t="s">
        <v>240</v>
      </c>
      <c r="BS347" s="0" t="s">
        <v>240</v>
      </c>
      <c r="BT347" s="0" t="s">
        <v>240</v>
      </c>
      <c r="BU347" s="0" t="s">
        <v>240</v>
      </c>
      <c r="BV347" s="0" t="s">
        <v>240</v>
      </c>
      <c r="BW347" s="0" t="s">
        <v>240</v>
      </c>
      <c r="BX347" s="0" t="s">
        <v>240</v>
      </c>
      <c r="BY347" s="0" t="s">
        <v>240</v>
      </c>
      <c r="BZ347" s="0" t="s">
        <v>240</v>
      </c>
      <c r="CA347" s="0" t="s">
        <v>240</v>
      </c>
      <c r="CB347" s="0" t="s">
        <v>240</v>
      </c>
      <c r="CC347" s="0" t="s">
        <v>240</v>
      </c>
      <c r="CD347" s="0" t="s">
        <v>240</v>
      </c>
      <c r="CE347" s="0" t="s">
        <v>240</v>
      </c>
      <c r="CF347" s="0" t="s">
        <v>240</v>
      </c>
      <c r="CG347" s="0" t="s">
        <v>240</v>
      </c>
      <c r="CH347" s="0" t="s">
        <v>240</v>
      </c>
      <c r="CI347" s="0" t="s">
        <v>240</v>
      </c>
      <c r="CJ347" s="0" t="s">
        <v>240</v>
      </c>
      <c r="CK347" s="0" t="s">
        <v>240</v>
      </c>
      <c r="CL347" s="0" t="s">
        <v>240</v>
      </c>
      <c r="CM347" s="0" t="s">
        <v>240</v>
      </c>
      <c r="CN347" s="0" t="s">
        <v>240</v>
      </c>
      <c r="CO347" s="0" t="s">
        <v>240</v>
      </c>
      <c r="CP347" s="0" t="s">
        <v>240</v>
      </c>
      <c r="CQ347" s="0" t="s">
        <v>240</v>
      </c>
      <c r="CR347" s="0" t="s">
        <v>240</v>
      </c>
      <c r="CS347" s="0" t="s">
        <v>240</v>
      </c>
      <c r="CT347" s="0" t="s">
        <v>5496</v>
      </c>
      <c r="CU347" s="0" t="s">
        <v>5497</v>
      </c>
      <c r="CV347" s="0" t="s">
        <v>443</v>
      </c>
      <c r="CW347" s="0" t="s">
        <v>5527</v>
      </c>
      <c r="CX347" s="0" t="s">
        <v>5528</v>
      </c>
      <c r="CY347" s="0" t="s">
        <v>443</v>
      </c>
      <c r="CZ347" s="0" t="s">
        <v>299</v>
      </c>
      <c r="DA347" s="0" t="s">
        <v>5529</v>
      </c>
      <c r="DB347" s="0" t="s">
        <v>5527</v>
      </c>
      <c r="DC347" s="0" t="s">
        <v>384</v>
      </c>
      <c r="DD347" s="0" t="s">
        <v>291</v>
      </c>
      <c r="DE347" s="0" t="s">
        <v>5601</v>
      </c>
    </row>
    <row customHeight="1" ht="11.25">
      <c r="A348" s="1441" t="s">
        <v>240</v>
      </c>
      <c r="B348" s="0" t="s">
        <v>240</v>
      </c>
      <c r="C348" s="0" t="s">
        <v>240</v>
      </c>
      <c r="D348" s="0" t="s">
        <v>240</v>
      </c>
      <c r="E348" s="0" t="s">
        <v>240</v>
      </c>
      <c r="F348" s="0" t="s">
        <v>240</v>
      </c>
      <c r="G348" s="0" t="s">
        <v>240</v>
      </c>
      <c r="H348" s="0" t="s">
        <v>240</v>
      </c>
      <c r="I348" s="0" t="s">
        <v>5484</v>
      </c>
      <c r="J348" s="0" t="s">
        <v>240</v>
      </c>
      <c r="K348" s="0" t="s">
        <v>240</v>
      </c>
      <c r="L348" s="0" t="s">
        <v>240</v>
      </c>
      <c r="M348" s="0" t="s">
        <v>240</v>
      </c>
      <c r="N348" s="0" t="s">
        <v>240</v>
      </c>
      <c r="O348" s="0" t="s">
        <v>240</v>
      </c>
      <c r="P348" s="0" t="s">
        <v>240</v>
      </c>
      <c r="Q348" s="0" t="s">
        <v>240</v>
      </c>
      <c r="R348" s="0" t="s">
        <v>5999</v>
      </c>
      <c r="S348" s="0" t="s">
        <v>240</v>
      </c>
      <c r="T348" s="0" t="s">
        <v>240</v>
      </c>
      <c r="U348" s="0" t="s">
        <v>102</v>
      </c>
      <c r="V348" s="0" t="s">
        <v>240</v>
      </c>
      <c r="W348" s="0" t="s">
        <v>240</v>
      </c>
      <c r="X348" s="0" t="s">
        <v>5905</v>
      </c>
      <c r="Y348" s="0" t="s">
        <v>240</v>
      </c>
      <c r="Z348" s="0" t="s">
        <v>152</v>
      </c>
      <c r="AA348" s="0" t="s">
        <v>161</v>
      </c>
      <c r="AB348" s="0" t="s">
        <v>152</v>
      </c>
      <c r="AC348" s="0" t="s">
        <v>3389</v>
      </c>
      <c r="AD348" s="0" t="s">
        <v>3389</v>
      </c>
      <c r="AE348" s="0" t="s">
        <v>3390</v>
      </c>
      <c r="AF348" s="0" t="s">
        <v>5519</v>
      </c>
      <c r="AG348" s="0" t="s">
        <v>5520</v>
      </c>
      <c r="AH348" s="0" t="s">
        <v>5997</v>
      </c>
      <c r="AI348" s="0" t="s">
        <v>5533</v>
      </c>
      <c r="AJ348" s="0" t="s">
        <v>240</v>
      </c>
      <c r="AK348" s="0" t="s">
        <v>240</v>
      </c>
      <c r="AL348" s="0" t="s">
        <v>240</v>
      </c>
      <c r="AM348" s="0" t="s">
        <v>240</v>
      </c>
      <c r="AN348" s="0" t="s">
        <v>240</v>
      </c>
      <c r="AO348" s="0" t="s">
        <v>240</v>
      </c>
      <c r="AP348" s="0" t="s">
        <v>5902</v>
      </c>
      <c r="AQ348" s="0" t="s">
        <v>5998</v>
      </c>
      <c r="AR348" s="0" t="s">
        <v>112</v>
      </c>
      <c r="AS348" s="0" t="s">
        <v>5589</v>
      </c>
      <c r="AT348" s="0" t="s">
        <v>6941</v>
      </c>
      <c r="AU348" s="0" t="s">
        <v>240</v>
      </c>
      <c r="AV348" s="0" t="s">
        <v>5999</v>
      </c>
      <c r="AW348" s="0" t="s">
        <v>3389</v>
      </c>
      <c r="AX348" s="0" t="s">
        <v>3389</v>
      </c>
      <c r="AY348" s="0" t="s">
        <v>5591</v>
      </c>
      <c r="AZ348" s="0" t="s">
        <v>5519</v>
      </c>
      <c r="BA348" s="0" t="s">
        <v>5592</v>
      </c>
      <c r="BB348" s="0" t="s">
        <v>5997</v>
      </c>
      <c r="BC348" s="0" t="s">
        <v>5533</v>
      </c>
      <c r="BD348" s="0" t="s">
        <v>5598</v>
      </c>
      <c r="BE348" s="0" t="s">
        <v>240</v>
      </c>
      <c r="BF348" s="0" t="s">
        <v>240</v>
      </c>
      <c r="BG348" s="0" t="s">
        <v>240</v>
      </c>
      <c r="BH348" s="0" t="s">
        <v>240</v>
      </c>
      <c r="BI348" s="0" t="s">
        <v>240</v>
      </c>
      <c r="BJ348" s="0" t="s">
        <v>240</v>
      </c>
      <c r="BK348" s="0" t="s">
        <v>240</v>
      </c>
      <c r="BL348" s="0" t="s">
        <v>240</v>
      </c>
      <c r="BM348" s="0" t="s">
        <v>240</v>
      </c>
      <c r="BN348" s="0" t="s">
        <v>240</v>
      </c>
      <c r="BO348" s="0" t="s">
        <v>240</v>
      </c>
      <c r="BP348" s="0" t="s">
        <v>240</v>
      </c>
      <c r="BQ348" s="0" t="s">
        <v>240</v>
      </c>
      <c r="BR348" s="0" t="s">
        <v>240</v>
      </c>
      <c r="BS348" s="0" t="s">
        <v>240</v>
      </c>
      <c r="BT348" s="0" t="s">
        <v>240</v>
      </c>
      <c r="BU348" s="0" t="s">
        <v>240</v>
      </c>
      <c r="BV348" s="0" t="s">
        <v>240</v>
      </c>
      <c r="BW348" s="0" t="s">
        <v>240</v>
      </c>
      <c r="BX348" s="0" t="s">
        <v>240</v>
      </c>
      <c r="BY348" s="0" t="s">
        <v>240</v>
      </c>
      <c r="BZ348" s="0" t="s">
        <v>240</v>
      </c>
      <c r="CA348" s="0" t="s">
        <v>240</v>
      </c>
      <c r="CB348" s="0" t="s">
        <v>240</v>
      </c>
      <c r="CC348" s="0" t="s">
        <v>240</v>
      </c>
      <c r="CD348" s="0" t="s">
        <v>240</v>
      </c>
      <c r="CE348" s="0" t="s">
        <v>240</v>
      </c>
      <c r="CF348" s="0" t="s">
        <v>240</v>
      </c>
      <c r="CG348" s="0" t="s">
        <v>240</v>
      </c>
      <c r="CH348" s="0" t="s">
        <v>240</v>
      </c>
      <c r="CI348" s="0" t="s">
        <v>240</v>
      </c>
      <c r="CJ348" s="0" t="s">
        <v>240</v>
      </c>
      <c r="CK348" s="0" t="s">
        <v>240</v>
      </c>
      <c r="CL348" s="0" t="s">
        <v>240</v>
      </c>
      <c r="CM348" s="0" t="s">
        <v>240</v>
      </c>
      <c r="CN348" s="0" t="s">
        <v>240</v>
      </c>
      <c r="CO348" s="0" t="s">
        <v>240</v>
      </c>
      <c r="CP348" s="0" t="s">
        <v>240</v>
      </c>
      <c r="CQ348" s="0" t="s">
        <v>240</v>
      </c>
      <c r="CR348" s="0" t="s">
        <v>240</v>
      </c>
      <c r="CS348" s="0" t="s">
        <v>240</v>
      </c>
      <c r="CT348" s="0" t="s">
        <v>5496</v>
      </c>
      <c r="CU348" s="0" t="s">
        <v>5497</v>
      </c>
      <c r="CV348" s="0" t="s">
        <v>443</v>
      </c>
      <c r="CW348" s="0" t="s">
        <v>5527</v>
      </c>
      <c r="CX348" s="0" t="s">
        <v>5528</v>
      </c>
      <c r="CY348" s="0" t="s">
        <v>443</v>
      </c>
      <c r="CZ348" s="0" t="s">
        <v>299</v>
      </c>
      <c r="DA348" s="0" t="s">
        <v>5529</v>
      </c>
      <c r="DB348" s="0" t="s">
        <v>5527</v>
      </c>
      <c r="DC348" s="0" t="s">
        <v>384</v>
      </c>
      <c r="DD348" s="0" t="s">
        <v>291</v>
      </c>
      <c r="DE348" s="0" t="s">
        <v>6000</v>
      </c>
    </row>
    <row customHeight="1" ht="11.25">
      <c r="A349" s="1441" t="s">
        <v>240</v>
      </c>
      <c r="B349" s="0" t="s">
        <v>240</v>
      </c>
      <c r="C349" s="0" t="s">
        <v>240</v>
      </c>
      <c r="D349" s="0" t="s">
        <v>240</v>
      </c>
      <c r="E349" s="0" t="s">
        <v>240</v>
      </c>
      <c r="F349" s="0" t="s">
        <v>240</v>
      </c>
      <c r="G349" s="0" t="s">
        <v>240</v>
      </c>
      <c r="H349" s="0" t="s">
        <v>240</v>
      </c>
      <c r="I349" s="0" t="s">
        <v>5484</v>
      </c>
      <c r="J349" s="0" t="s">
        <v>240</v>
      </c>
      <c r="K349" s="0" t="s">
        <v>240</v>
      </c>
      <c r="L349" s="0" t="s">
        <v>240</v>
      </c>
      <c r="M349" s="0" t="s">
        <v>240</v>
      </c>
      <c r="N349" s="0" t="s">
        <v>240</v>
      </c>
      <c r="O349" s="0" t="s">
        <v>240</v>
      </c>
      <c r="P349" s="0" t="s">
        <v>240</v>
      </c>
      <c r="Q349" s="0" t="s">
        <v>240</v>
      </c>
      <c r="R349" s="0" t="s">
        <v>6944</v>
      </c>
      <c r="S349" s="0" t="s">
        <v>240</v>
      </c>
      <c r="T349" s="0" t="s">
        <v>240</v>
      </c>
      <c r="U349" s="0" t="s">
        <v>102</v>
      </c>
      <c r="V349" s="0" t="s">
        <v>240</v>
      </c>
      <c r="W349" s="0" t="s">
        <v>240</v>
      </c>
      <c r="X349" s="0" t="s">
        <v>5485</v>
      </c>
      <c r="Y349" s="0" t="s">
        <v>240</v>
      </c>
      <c r="Z349" s="0" t="s">
        <v>161</v>
      </c>
      <c r="AA349" s="0" t="s">
        <v>152</v>
      </c>
      <c r="AB349" s="0" t="s">
        <v>152</v>
      </c>
      <c r="AC349" s="0" t="s">
        <v>3389</v>
      </c>
      <c r="AD349" s="0" t="s">
        <v>3389</v>
      </c>
      <c r="AE349" s="0" t="s">
        <v>3390</v>
      </c>
      <c r="AF349" s="0" t="s">
        <v>5519</v>
      </c>
      <c r="AG349" s="0" t="s">
        <v>5520</v>
      </c>
      <c r="AH349" s="0" t="s">
        <v>6802</v>
      </c>
      <c r="AI349" s="0" t="s">
        <v>5533</v>
      </c>
      <c r="AJ349" s="0" t="s">
        <v>6803</v>
      </c>
      <c r="AK349" s="0" t="s">
        <v>6367</v>
      </c>
      <c r="AL349" s="0" t="s">
        <v>5605</v>
      </c>
      <c r="AM349" s="0" t="s">
        <v>5493</v>
      </c>
      <c r="AN349" s="0" t="s">
        <v>6804</v>
      </c>
      <c r="AO349" s="0" t="s">
        <v>5990</v>
      </c>
      <c r="AP349" s="0" t="s">
        <v>240</v>
      </c>
      <c r="AQ349" s="0" t="s">
        <v>240</v>
      </c>
      <c r="AR349" s="0" t="s">
        <v>240</v>
      </c>
      <c r="AS349" s="0" t="s">
        <v>240</v>
      </c>
      <c r="AT349" s="0" t="s">
        <v>240</v>
      </c>
      <c r="AU349" s="0" t="s">
        <v>240</v>
      </c>
      <c r="AV349" s="0" t="s">
        <v>240</v>
      </c>
      <c r="AW349" s="0" t="s">
        <v>240</v>
      </c>
      <c r="AX349" s="0" t="s">
        <v>240</v>
      </c>
      <c r="AY349" s="0" t="s">
        <v>240</v>
      </c>
      <c r="AZ349" s="0" t="s">
        <v>240</v>
      </c>
      <c r="BA349" s="0" t="s">
        <v>240</v>
      </c>
      <c r="BB349" s="0" t="s">
        <v>240</v>
      </c>
      <c r="BC349" s="0" t="s">
        <v>240</v>
      </c>
      <c r="BD349" s="0" t="s">
        <v>240</v>
      </c>
      <c r="BE349" s="0" t="s">
        <v>240</v>
      </c>
      <c r="BF349" s="0" t="s">
        <v>240</v>
      </c>
      <c r="BG349" s="0" t="s">
        <v>240</v>
      </c>
      <c r="BH349" s="0" t="s">
        <v>240</v>
      </c>
      <c r="BI349" s="0" t="s">
        <v>240</v>
      </c>
      <c r="BJ349" s="0" t="s">
        <v>240</v>
      </c>
      <c r="BK349" s="0" t="s">
        <v>240</v>
      </c>
      <c r="BL349" s="0" t="s">
        <v>240</v>
      </c>
      <c r="BM349" s="0" t="s">
        <v>240</v>
      </c>
      <c r="BN349" s="0" t="s">
        <v>240</v>
      </c>
      <c r="BO349" s="0" t="s">
        <v>240</v>
      </c>
      <c r="BP349" s="0" t="s">
        <v>240</v>
      </c>
      <c r="BQ349" s="0" t="s">
        <v>240</v>
      </c>
      <c r="BR349" s="0" t="s">
        <v>240</v>
      </c>
      <c r="BS349" s="0" t="s">
        <v>240</v>
      </c>
      <c r="BT349" s="0" t="s">
        <v>240</v>
      </c>
      <c r="BU349" s="0" t="s">
        <v>240</v>
      </c>
      <c r="BV349" s="0" t="s">
        <v>240</v>
      </c>
      <c r="BW349" s="0" t="s">
        <v>240</v>
      </c>
      <c r="BX349" s="0" t="s">
        <v>240</v>
      </c>
      <c r="BY349" s="0" t="s">
        <v>240</v>
      </c>
      <c r="BZ349" s="0" t="s">
        <v>240</v>
      </c>
      <c r="CA349" s="0" t="s">
        <v>240</v>
      </c>
      <c r="CB349" s="0" t="s">
        <v>240</v>
      </c>
      <c r="CC349" s="0" t="s">
        <v>240</v>
      </c>
      <c r="CD349" s="0" t="s">
        <v>240</v>
      </c>
      <c r="CE349" s="0" t="s">
        <v>240</v>
      </c>
      <c r="CF349" s="0" t="s">
        <v>240</v>
      </c>
      <c r="CG349" s="0" t="s">
        <v>240</v>
      </c>
      <c r="CH349" s="0" t="s">
        <v>240</v>
      </c>
      <c r="CI349" s="0" t="s">
        <v>240</v>
      </c>
      <c r="CJ349" s="0" t="s">
        <v>240</v>
      </c>
      <c r="CK349" s="0" t="s">
        <v>240</v>
      </c>
      <c r="CL349" s="0" t="s">
        <v>240</v>
      </c>
      <c r="CM349" s="0" t="s">
        <v>240</v>
      </c>
      <c r="CN349" s="0" t="s">
        <v>240</v>
      </c>
      <c r="CO349" s="0" t="s">
        <v>240</v>
      </c>
      <c r="CP349" s="0" t="s">
        <v>240</v>
      </c>
      <c r="CQ349" s="0" t="s">
        <v>240</v>
      </c>
      <c r="CR349" s="0" t="s">
        <v>240</v>
      </c>
      <c r="CS349" s="0" t="s">
        <v>240</v>
      </c>
      <c r="CT349" s="0" t="s">
        <v>5496</v>
      </c>
      <c r="CU349" s="0" t="s">
        <v>5497</v>
      </c>
      <c r="CV349" s="0" t="s">
        <v>443</v>
      </c>
      <c r="CW349" s="0" t="s">
        <v>5527</v>
      </c>
      <c r="CX349" s="0" t="s">
        <v>5528</v>
      </c>
      <c r="CY349" s="0" t="s">
        <v>443</v>
      </c>
      <c r="CZ349" s="0" t="s">
        <v>299</v>
      </c>
      <c r="DA349" s="0" t="s">
        <v>5529</v>
      </c>
      <c r="DB349" s="0" t="s">
        <v>5527</v>
      </c>
      <c r="DC349" s="0" t="s">
        <v>384</v>
      </c>
      <c r="DD349" s="0" t="s">
        <v>291</v>
      </c>
      <c r="DE349" s="0" t="s">
        <v>6805</v>
      </c>
    </row>
    <row customHeight="1" ht="11.25">
      <c r="A350" s="1441" t="s">
        <v>240</v>
      </c>
      <c r="B350" s="0" t="s">
        <v>240</v>
      </c>
      <c r="C350" s="0" t="s">
        <v>240</v>
      </c>
      <c r="D350" s="0" t="s">
        <v>240</v>
      </c>
      <c r="E350" s="0" t="s">
        <v>240</v>
      </c>
      <c r="F350" s="0" t="s">
        <v>240</v>
      </c>
      <c r="G350" s="0" t="s">
        <v>240</v>
      </c>
      <c r="H350" s="0" t="s">
        <v>240</v>
      </c>
      <c r="I350" s="0" t="s">
        <v>5484</v>
      </c>
      <c r="J350" s="0" t="s">
        <v>240</v>
      </c>
      <c r="K350" s="0" t="s">
        <v>240</v>
      </c>
      <c r="L350" s="0" t="s">
        <v>240</v>
      </c>
      <c r="M350" s="0" t="s">
        <v>240</v>
      </c>
      <c r="N350" s="0" t="s">
        <v>240</v>
      </c>
      <c r="O350" s="0" t="s">
        <v>240</v>
      </c>
      <c r="P350" s="0" t="s">
        <v>240</v>
      </c>
      <c r="Q350" s="0" t="s">
        <v>240</v>
      </c>
      <c r="R350" s="0" t="s">
        <v>5572</v>
      </c>
      <c r="S350" s="0" t="s">
        <v>240</v>
      </c>
      <c r="T350" s="0" t="s">
        <v>240</v>
      </c>
      <c r="U350" s="0" t="s">
        <v>102</v>
      </c>
      <c r="V350" s="0" t="s">
        <v>240</v>
      </c>
      <c r="W350" s="0" t="s">
        <v>240</v>
      </c>
      <c r="X350" s="0" t="s">
        <v>5485</v>
      </c>
      <c r="Y350" s="0" t="s">
        <v>240</v>
      </c>
      <c r="Z350" s="0" t="s">
        <v>161</v>
      </c>
      <c r="AA350" s="0" t="s">
        <v>152</v>
      </c>
      <c r="AB350" s="0" t="s">
        <v>152</v>
      </c>
      <c r="AC350" s="0" t="s">
        <v>2989</v>
      </c>
      <c r="AD350" s="0" t="s">
        <v>2989</v>
      </c>
      <c r="AE350" s="0" t="s">
        <v>2990</v>
      </c>
      <c r="AF350" s="0" t="s">
        <v>6237</v>
      </c>
      <c r="AG350" s="0" t="s">
        <v>6238</v>
      </c>
      <c r="AH350" s="0" t="s">
        <v>6239</v>
      </c>
      <c r="AI350" s="0" t="s">
        <v>5575</v>
      </c>
      <c r="AJ350" s="0" t="s">
        <v>5576</v>
      </c>
      <c r="AK350" s="0" t="s">
        <v>6131</v>
      </c>
      <c r="AL350" s="0" t="s">
        <v>5506</v>
      </c>
      <c r="AM350" s="0" t="s">
        <v>5493</v>
      </c>
      <c r="AN350" s="0" t="s">
        <v>5578</v>
      </c>
      <c r="AO350" s="0" t="s">
        <v>5777</v>
      </c>
      <c r="AP350" s="0" t="s">
        <v>240</v>
      </c>
      <c r="AQ350" s="0" t="s">
        <v>240</v>
      </c>
      <c r="AR350" s="0" t="s">
        <v>240</v>
      </c>
      <c r="AS350" s="0" t="s">
        <v>240</v>
      </c>
      <c r="AT350" s="0" t="s">
        <v>240</v>
      </c>
      <c r="AU350" s="0" t="s">
        <v>240</v>
      </c>
      <c r="AV350" s="0" t="s">
        <v>240</v>
      </c>
      <c r="AW350" s="0" t="s">
        <v>240</v>
      </c>
      <c r="AX350" s="0" t="s">
        <v>240</v>
      </c>
      <c r="AY350" s="0" t="s">
        <v>240</v>
      </c>
      <c r="AZ350" s="0" t="s">
        <v>240</v>
      </c>
      <c r="BA350" s="0" t="s">
        <v>240</v>
      </c>
      <c r="BB350" s="0" t="s">
        <v>240</v>
      </c>
      <c r="BC350" s="0" t="s">
        <v>240</v>
      </c>
      <c r="BD350" s="0" t="s">
        <v>240</v>
      </c>
      <c r="BE350" s="0" t="s">
        <v>240</v>
      </c>
      <c r="BF350" s="0" t="s">
        <v>240</v>
      </c>
      <c r="BG350" s="0" t="s">
        <v>240</v>
      </c>
      <c r="BH350" s="0" t="s">
        <v>240</v>
      </c>
      <c r="BI350" s="0" t="s">
        <v>240</v>
      </c>
      <c r="BJ350" s="0" t="s">
        <v>240</v>
      </c>
      <c r="BK350" s="0" t="s">
        <v>240</v>
      </c>
      <c r="BL350" s="0" t="s">
        <v>240</v>
      </c>
      <c r="BM350" s="0" t="s">
        <v>240</v>
      </c>
      <c r="BN350" s="0" t="s">
        <v>240</v>
      </c>
      <c r="BO350" s="0" t="s">
        <v>240</v>
      </c>
      <c r="BP350" s="0" t="s">
        <v>240</v>
      </c>
      <c r="BQ350" s="0" t="s">
        <v>240</v>
      </c>
      <c r="BR350" s="0" t="s">
        <v>240</v>
      </c>
      <c r="BS350" s="0" t="s">
        <v>240</v>
      </c>
      <c r="BT350" s="0" t="s">
        <v>240</v>
      </c>
      <c r="BU350" s="0" t="s">
        <v>240</v>
      </c>
      <c r="BV350" s="0" t="s">
        <v>240</v>
      </c>
      <c r="BW350" s="0" t="s">
        <v>240</v>
      </c>
      <c r="BX350" s="0" t="s">
        <v>240</v>
      </c>
      <c r="BY350" s="0" t="s">
        <v>240</v>
      </c>
      <c r="BZ350" s="0" t="s">
        <v>240</v>
      </c>
      <c r="CA350" s="0" t="s">
        <v>240</v>
      </c>
      <c r="CB350" s="0" t="s">
        <v>240</v>
      </c>
      <c r="CC350" s="0" t="s">
        <v>240</v>
      </c>
      <c r="CD350" s="0" t="s">
        <v>240</v>
      </c>
      <c r="CE350" s="0" t="s">
        <v>240</v>
      </c>
      <c r="CF350" s="0" t="s">
        <v>240</v>
      </c>
      <c r="CG350" s="0" t="s">
        <v>240</v>
      </c>
      <c r="CH350" s="0" t="s">
        <v>240</v>
      </c>
      <c r="CI350" s="0" t="s">
        <v>240</v>
      </c>
      <c r="CJ350" s="0" t="s">
        <v>240</v>
      </c>
      <c r="CK350" s="0" t="s">
        <v>240</v>
      </c>
      <c r="CL350" s="0" t="s">
        <v>240</v>
      </c>
      <c r="CM350" s="0" t="s">
        <v>240</v>
      </c>
      <c r="CN350" s="0" t="s">
        <v>240</v>
      </c>
      <c r="CO350" s="0" t="s">
        <v>240</v>
      </c>
      <c r="CP350" s="0" t="s">
        <v>240</v>
      </c>
      <c r="CQ350" s="0" t="s">
        <v>240</v>
      </c>
      <c r="CR350" s="0" t="s">
        <v>240</v>
      </c>
      <c r="CS350" s="0" t="s">
        <v>240</v>
      </c>
      <c r="CT350" s="0" t="s">
        <v>5496</v>
      </c>
      <c r="CU350" s="0" t="s">
        <v>5497</v>
      </c>
      <c r="CV350" s="0" t="s">
        <v>443</v>
      </c>
      <c r="CW350" s="0" t="s">
        <v>5580</v>
      </c>
      <c r="CX350" s="0" t="s">
        <v>229</v>
      </c>
      <c r="CY350" s="0" t="s">
        <v>443</v>
      </c>
      <c r="CZ350" s="0" t="s">
        <v>5581</v>
      </c>
      <c r="DA350" s="0" t="s">
        <v>5582</v>
      </c>
      <c r="DB350" s="0" t="s">
        <v>5580</v>
      </c>
      <c r="DC350" s="0" t="s">
        <v>384</v>
      </c>
      <c r="DD350" s="0" t="s">
        <v>291</v>
      </c>
      <c r="DE350" s="0" t="s">
        <v>6240</v>
      </c>
    </row>
    <row customHeight="1" ht="11.25">
      <c r="A351" s="1441" t="s">
        <v>240</v>
      </c>
      <c r="B351" s="0" t="s">
        <v>240</v>
      </c>
      <c r="C351" s="0" t="s">
        <v>240</v>
      </c>
      <c r="D351" s="0" t="s">
        <v>240</v>
      </c>
      <c r="E351" s="0" t="s">
        <v>240</v>
      </c>
      <c r="F351" s="0" t="s">
        <v>240</v>
      </c>
      <c r="G351" s="0" t="s">
        <v>240</v>
      </c>
      <c r="H351" s="0" t="s">
        <v>240</v>
      </c>
      <c r="I351" s="0" t="s">
        <v>5484</v>
      </c>
      <c r="J351" s="0" t="s">
        <v>240</v>
      </c>
      <c r="K351" s="0" t="s">
        <v>240</v>
      </c>
      <c r="L351" s="0" t="s">
        <v>240</v>
      </c>
      <c r="M351" s="0" t="s">
        <v>240</v>
      </c>
      <c r="N351" s="0" t="s">
        <v>240</v>
      </c>
      <c r="O351" s="0" t="s">
        <v>240</v>
      </c>
      <c r="P351" s="0" t="s">
        <v>240</v>
      </c>
      <c r="Q351" s="0" t="s">
        <v>240</v>
      </c>
      <c r="R351" s="0" t="s">
        <v>6241</v>
      </c>
      <c r="S351" s="0" t="s">
        <v>240</v>
      </c>
      <c r="T351" s="0" t="s">
        <v>240</v>
      </c>
      <c r="U351" s="0" t="s">
        <v>102</v>
      </c>
      <c r="V351" s="0" t="s">
        <v>240</v>
      </c>
      <c r="W351" s="0" t="s">
        <v>240</v>
      </c>
      <c r="X351" s="0" t="s">
        <v>5585</v>
      </c>
      <c r="Y351" s="0" t="s">
        <v>240</v>
      </c>
      <c r="Z351" s="0" t="s">
        <v>152</v>
      </c>
      <c r="AA351" s="0" t="s">
        <v>152</v>
      </c>
      <c r="AB351" s="0" t="s">
        <v>161</v>
      </c>
      <c r="AC351" s="0" t="s">
        <v>2989</v>
      </c>
      <c r="AD351" s="0" t="s">
        <v>2989</v>
      </c>
      <c r="AE351" s="0" t="s">
        <v>2990</v>
      </c>
      <c r="AF351" s="0" t="s">
        <v>6237</v>
      </c>
      <c r="AG351" s="0" t="s">
        <v>6238</v>
      </c>
      <c r="AH351" s="0" t="s">
        <v>5575</v>
      </c>
      <c r="AI351" s="0" t="s">
        <v>5575</v>
      </c>
      <c r="AJ351" s="0" t="s">
        <v>240</v>
      </c>
      <c r="AK351" s="0" t="s">
        <v>240</v>
      </c>
      <c r="AL351" s="0" t="s">
        <v>240</v>
      </c>
      <c r="AM351" s="0" t="s">
        <v>240</v>
      </c>
      <c r="AN351" s="0" t="s">
        <v>240</v>
      </c>
      <c r="AO351" s="0" t="s">
        <v>240</v>
      </c>
      <c r="AP351" s="0" t="s">
        <v>240</v>
      </c>
      <c r="AQ351" s="0" t="s">
        <v>240</v>
      </c>
      <c r="AR351" s="0" t="s">
        <v>240</v>
      </c>
      <c r="AS351" s="0" t="s">
        <v>240</v>
      </c>
      <c r="AT351" s="0" t="s">
        <v>240</v>
      </c>
      <c r="AU351" s="0" t="s">
        <v>240</v>
      </c>
      <c r="AV351" s="0" t="s">
        <v>240</v>
      </c>
      <c r="AW351" s="0" t="s">
        <v>240</v>
      </c>
      <c r="AX351" s="0" t="s">
        <v>240</v>
      </c>
      <c r="AY351" s="0" t="s">
        <v>240</v>
      </c>
      <c r="AZ351" s="0" t="s">
        <v>240</v>
      </c>
      <c r="BA351" s="0" t="s">
        <v>240</v>
      </c>
      <c r="BB351" s="0" t="s">
        <v>240</v>
      </c>
      <c r="BC351" s="0" t="s">
        <v>240</v>
      </c>
      <c r="BD351" s="0" t="s">
        <v>240</v>
      </c>
      <c r="BE351" s="0" t="s">
        <v>5576</v>
      </c>
      <c r="BF351" s="0" t="s">
        <v>6131</v>
      </c>
      <c r="BG351" s="0" t="s">
        <v>112</v>
      </c>
      <c r="BH351" s="0" t="s">
        <v>5589</v>
      </c>
      <c r="BI351" s="0" t="s">
        <v>123</v>
      </c>
      <c r="BJ351" s="0" t="s">
        <v>240</v>
      </c>
      <c r="BK351" s="0" t="s">
        <v>5608</v>
      </c>
      <c r="BL351" s="0" t="s">
        <v>2989</v>
      </c>
      <c r="BM351" s="0" t="s">
        <v>2989</v>
      </c>
      <c r="BN351" s="0" t="s">
        <v>5798</v>
      </c>
      <c r="BO351" s="0" t="s">
        <v>6237</v>
      </c>
      <c r="BP351" s="0" t="s">
        <v>6242</v>
      </c>
      <c r="BQ351" s="0" t="s">
        <v>5575</v>
      </c>
      <c r="BR351" s="0" t="s">
        <v>5575</v>
      </c>
      <c r="BS351" s="0" t="s">
        <v>240</v>
      </c>
      <c r="BT351" s="0" t="s">
        <v>5650</v>
      </c>
      <c r="BU351" s="0" t="s">
        <v>6243</v>
      </c>
      <c r="BV351" s="0" t="s">
        <v>6243</v>
      </c>
      <c r="BW351" s="0" t="s">
        <v>5598</v>
      </c>
      <c r="BX351" s="0" t="s">
        <v>5598</v>
      </c>
      <c r="BY351" s="0" t="s">
        <v>5598</v>
      </c>
      <c r="BZ351" s="0" t="s">
        <v>5598</v>
      </c>
      <c r="CA351" s="0" t="s">
        <v>5598</v>
      </c>
      <c r="CB351" s="0" t="s">
        <v>240</v>
      </c>
      <c r="CC351" s="0" t="s">
        <v>240</v>
      </c>
      <c r="CD351" s="0" t="s">
        <v>240</v>
      </c>
      <c r="CE351" s="0" t="s">
        <v>240</v>
      </c>
      <c r="CF351" s="0" t="s">
        <v>240</v>
      </c>
      <c r="CG351" s="0" t="s">
        <v>5598</v>
      </c>
      <c r="CH351" s="0" t="s">
        <v>240</v>
      </c>
      <c r="CI351" s="0" t="s">
        <v>240</v>
      </c>
      <c r="CJ351" s="0" t="s">
        <v>240</v>
      </c>
      <c r="CK351" s="0" t="s">
        <v>240</v>
      </c>
      <c r="CL351" s="0" t="s">
        <v>240</v>
      </c>
      <c r="CM351" s="0" t="s">
        <v>6243</v>
      </c>
      <c r="CN351" s="0" t="s">
        <v>6243</v>
      </c>
      <c r="CO351" s="0" t="s">
        <v>240</v>
      </c>
      <c r="CP351" s="0" t="s">
        <v>240</v>
      </c>
      <c r="CQ351" s="0" t="s">
        <v>240</v>
      </c>
      <c r="CR351" s="0" t="s">
        <v>240</v>
      </c>
      <c r="CS351" s="0" t="s">
        <v>5491</v>
      </c>
      <c r="CT351" s="0" t="s">
        <v>5496</v>
      </c>
      <c r="CU351" s="0" t="s">
        <v>5497</v>
      </c>
      <c r="CV351" s="0" t="s">
        <v>443</v>
      </c>
      <c r="CW351" s="0" t="s">
        <v>5580</v>
      </c>
      <c r="CX351" s="0" t="s">
        <v>229</v>
      </c>
      <c r="CY351" s="0" t="s">
        <v>443</v>
      </c>
      <c r="CZ351" s="0" t="s">
        <v>5581</v>
      </c>
      <c r="DA351" s="0" t="s">
        <v>5582</v>
      </c>
      <c r="DB351" s="0" t="s">
        <v>5580</v>
      </c>
      <c r="DC351" s="0" t="s">
        <v>384</v>
      </c>
      <c r="DD351" s="0" t="s">
        <v>291</v>
      </c>
      <c r="DE351" s="0" t="s">
        <v>6244</v>
      </c>
    </row>
    <row customHeight="1" ht="11.25">
      <c r="A352" s="1441" t="s">
        <v>240</v>
      </c>
      <c r="B352" s="0" t="s">
        <v>240</v>
      </c>
      <c r="C352" s="0" t="s">
        <v>240</v>
      </c>
      <c r="D352" s="0" t="s">
        <v>240</v>
      </c>
      <c r="E352" s="0" t="s">
        <v>240</v>
      </c>
      <c r="F352" s="0" t="s">
        <v>240</v>
      </c>
      <c r="G352" s="0" t="s">
        <v>240</v>
      </c>
      <c r="H352" s="0" t="s">
        <v>240</v>
      </c>
      <c r="I352" s="0" t="s">
        <v>5484</v>
      </c>
      <c r="J352" s="0" t="s">
        <v>240</v>
      </c>
      <c r="K352" s="0" t="s">
        <v>240</v>
      </c>
      <c r="L352" s="0" t="s">
        <v>240</v>
      </c>
      <c r="M352" s="0" t="s">
        <v>240</v>
      </c>
      <c r="N352" s="0" t="s">
        <v>240</v>
      </c>
      <c r="O352" s="0" t="s">
        <v>240</v>
      </c>
      <c r="P352" s="0" t="s">
        <v>240</v>
      </c>
      <c r="Q352" s="0" t="s">
        <v>240</v>
      </c>
      <c r="R352" s="0" t="s">
        <v>6499</v>
      </c>
      <c r="S352" s="0" t="s">
        <v>240</v>
      </c>
      <c r="T352" s="0" t="s">
        <v>240</v>
      </c>
      <c r="U352" s="0" t="s">
        <v>102</v>
      </c>
      <c r="V352" s="0" t="s">
        <v>240</v>
      </c>
      <c r="W352" s="0" t="s">
        <v>240</v>
      </c>
      <c r="X352" s="0" t="s">
        <v>5585</v>
      </c>
      <c r="Y352" s="0" t="s">
        <v>240</v>
      </c>
      <c r="Z352" s="0" t="s">
        <v>152</v>
      </c>
      <c r="AA352" s="0" t="s">
        <v>152</v>
      </c>
      <c r="AB352" s="0" t="s">
        <v>161</v>
      </c>
      <c r="AC352" s="0" t="s">
        <v>2989</v>
      </c>
      <c r="AD352" s="0" t="s">
        <v>2989</v>
      </c>
      <c r="AE352" s="0" t="s">
        <v>2990</v>
      </c>
      <c r="AF352" s="0" t="s">
        <v>6245</v>
      </c>
      <c r="AG352" s="0" t="s">
        <v>6246</v>
      </c>
      <c r="AH352" s="0" t="s">
        <v>5575</v>
      </c>
      <c r="AI352" s="0" t="s">
        <v>5575</v>
      </c>
      <c r="AJ352" s="0" t="s">
        <v>240</v>
      </c>
      <c r="AK352" s="0" t="s">
        <v>240</v>
      </c>
      <c r="AL352" s="0" t="s">
        <v>240</v>
      </c>
      <c r="AM352" s="0" t="s">
        <v>240</v>
      </c>
      <c r="AN352" s="0" t="s">
        <v>240</v>
      </c>
      <c r="AO352" s="0" t="s">
        <v>240</v>
      </c>
      <c r="AP352" s="0" t="s">
        <v>240</v>
      </c>
      <c r="AQ352" s="0" t="s">
        <v>240</v>
      </c>
      <c r="AR352" s="0" t="s">
        <v>240</v>
      </c>
      <c r="AS352" s="0" t="s">
        <v>240</v>
      </c>
      <c r="AT352" s="0" t="s">
        <v>240</v>
      </c>
      <c r="AU352" s="0" t="s">
        <v>240</v>
      </c>
      <c r="AV352" s="0" t="s">
        <v>240</v>
      </c>
      <c r="AW352" s="0" t="s">
        <v>240</v>
      </c>
      <c r="AX352" s="0" t="s">
        <v>240</v>
      </c>
      <c r="AY352" s="0" t="s">
        <v>240</v>
      </c>
      <c r="AZ352" s="0" t="s">
        <v>240</v>
      </c>
      <c r="BA352" s="0" t="s">
        <v>240</v>
      </c>
      <c r="BB352" s="0" t="s">
        <v>240</v>
      </c>
      <c r="BC352" s="0" t="s">
        <v>240</v>
      </c>
      <c r="BD352" s="0" t="s">
        <v>240</v>
      </c>
      <c r="BE352" s="0" t="s">
        <v>5992</v>
      </c>
      <c r="BF352" s="0" t="s">
        <v>5797</v>
      </c>
      <c r="BG352" s="0" t="s">
        <v>112</v>
      </c>
      <c r="BH352" s="0" t="s">
        <v>5589</v>
      </c>
      <c r="BI352" s="0" t="s">
        <v>123</v>
      </c>
      <c r="BJ352" s="0" t="s">
        <v>240</v>
      </c>
      <c r="BK352" s="0" t="s">
        <v>5608</v>
      </c>
      <c r="BL352" s="0" t="s">
        <v>2989</v>
      </c>
      <c r="BM352" s="0" t="s">
        <v>2989</v>
      </c>
      <c r="BN352" s="0" t="s">
        <v>5798</v>
      </c>
      <c r="BO352" s="0" t="s">
        <v>6245</v>
      </c>
      <c r="BP352" s="0" t="s">
        <v>6500</v>
      </c>
      <c r="BQ352" s="0" t="s">
        <v>5575</v>
      </c>
      <c r="BR352" s="0" t="s">
        <v>5575</v>
      </c>
      <c r="BS352" s="0" t="s">
        <v>240</v>
      </c>
      <c r="BT352" s="0" t="s">
        <v>5650</v>
      </c>
      <c r="BU352" s="0" t="s">
        <v>6501</v>
      </c>
      <c r="BV352" s="0" t="s">
        <v>6501</v>
      </c>
      <c r="BW352" s="0" t="s">
        <v>5598</v>
      </c>
      <c r="BX352" s="0" t="s">
        <v>5598</v>
      </c>
      <c r="BY352" s="0" t="s">
        <v>5598</v>
      </c>
      <c r="BZ352" s="0" t="s">
        <v>5598</v>
      </c>
      <c r="CA352" s="0" t="s">
        <v>5598</v>
      </c>
      <c r="CB352" s="0" t="s">
        <v>240</v>
      </c>
      <c r="CC352" s="0" t="s">
        <v>240</v>
      </c>
      <c r="CD352" s="0" t="s">
        <v>240</v>
      </c>
      <c r="CE352" s="0" t="s">
        <v>240</v>
      </c>
      <c r="CF352" s="0" t="s">
        <v>240</v>
      </c>
      <c r="CG352" s="0" t="s">
        <v>5598</v>
      </c>
      <c r="CH352" s="0" t="s">
        <v>240</v>
      </c>
      <c r="CI352" s="0" t="s">
        <v>240</v>
      </c>
      <c r="CJ352" s="0" t="s">
        <v>240</v>
      </c>
      <c r="CK352" s="0" t="s">
        <v>240</v>
      </c>
      <c r="CL352" s="0" t="s">
        <v>240</v>
      </c>
      <c r="CM352" s="0" t="s">
        <v>6501</v>
      </c>
      <c r="CN352" s="0" t="s">
        <v>6501</v>
      </c>
      <c r="CO352" s="0" t="s">
        <v>240</v>
      </c>
      <c r="CP352" s="0" t="s">
        <v>240</v>
      </c>
      <c r="CQ352" s="0" t="s">
        <v>240</v>
      </c>
      <c r="CR352" s="0" t="s">
        <v>240</v>
      </c>
      <c r="CS352" s="0" t="s">
        <v>5553</v>
      </c>
      <c r="CT352" s="0" t="s">
        <v>5496</v>
      </c>
      <c r="CU352" s="0" t="s">
        <v>5497</v>
      </c>
      <c r="CV352" s="0" t="s">
        <v>443</v>
      </c>
      <c r="CW352" s="0" t="s">
        <v>5580</v>
      </c>
      <c r="CX352" s="0" t="s">
        <v>229</v>
      </c>
      <c r="CY352" s="0" t="s">
        <v>443</v>
      </c>
      <c r="CZ352" s="0" t="s">
        <v>5581</v>
      </c>
      <c r="DA352" s="0" t="s">
        <v>5582</v>
      </c>
      <c r="DB352" s="0" t="s">
        <v>5580</v>
      </c>
      <c r="DC352" s="0" t="s">
        <v>384</v>
      </c>
      <c r="DD352" s="0" t="s">
        <v>291</v>
      </c>
      <c r="DE352" s="0" t="s">
        <v>6502</v>
      </c>
    </row>
    <row customHeight="1" ht="11.25">
      <c r="A353" s="1441" t="s">
        <v>240</v>
      </c>
      <c r="B353" s="0" t="s">
        <v>240</v>
      </c>
      <c r="C353" s="0" t="s">
        <v>240</v>
      </c>
      <c r="D353" s="0" t="s">
        <v>240</v>
      </c>
      <c r="E353" s="0" t="s">
        <v>240</v>
      </c>
      <c r="F353" s="0" t="s">
        <v>240</v>
      </c>
      <c r="G353" s="0" t="s">
        <v>240</v>
      </c>
      <c r="H353" s="0" t="s">
        <v>240</v>
      </c>
      <c r="I353" s="0" t="s">
        <v>5484</v>
      </c>
      <c r="J353" s="0" t="s">
        <v>240</v>
      </c>
      <c r="K353" s="0" t="s">
        <v>240</v>
      </c>
      <c r="L353" s="0" t="s">
        <v>240</v>
      </c>
      <c r="M353" s="0" t="s">
        <v>240</v>
      </c>
      <c r="N353" s="0" t="s">
        <v>240</v>
      </c>
      <c r="O353" s="0" t="s">
        <v>240</v>
      </c>
      <c r="P353" s="0" t="s">
        <v>240</v>
      </c>
      <c r="Q353" s="0" t="s">
        <v>240</v>
      </c>
      <c r="R353" s="0" t="s">
        <v>6945</v>
      </c>
      <c r="S353" s="0" t="s">
        <v>240</v>
      </c>
      <c r="T353" s="0" t="s">
        <v>240</v>
      </c>
      <c r="U353" s="0" t="s">
        <v>102</v>
      </c>
      <c r="V353" s="0" t="s">
        <v>240</v>
      </c>
      <c r="W353" s="0" t="s">
        <v>240</v>
      </c>
      <c r="X353" s="0" t="s">
        <v>5485</v>
      </c>
      <c r="Y353" s="0" t="s">
        <v>240</v>
      </c>
      <c r="Z353" s="0" t="s">
        <v>161</v>
      </c>
      <c r="AA353" s="0" t="s">
        <v>152</v>
      </c>
      <c r="AB353" s="0" t="s">
        <v>152</v>
      </c>
      <c r="AC353" s="0" t="s">
        <v>3389</v>
      </c>
      <c r="AD353" s="0" t="s">
        <v>3389</v>
      </c>
      <c r="AE353" s="0" t="s">
        <v>3390</v>
      </c>
      <c r="AF353" s="0" t="s">
        <v>5519</v>
      </c>
      <c r="AG353" s="0" t="s">
        <v>5520</v>
      </c>
      <c r="AH353" s="0" t="s">
        <v>5521</v>
      </c>
      <c r="AI353" s="0" t="s">
        <v>5699</v>
      </c>
      <c r="AJ353" s="0" t="s">
        <v>5700</v>
      </c>
      <c r="AK353" s="0" t="s">
        <v>5701</v>
      </c>
      <c r="AL353" s="0" t="s">
        <v>5524</v>
      </c>
      <c r="AM353" s="0" t="s">
        <v>5493</v>
      </c>
      <c r="AN353" s="0" t="s">
        <v>5702</v>
      </c>
      <c r="AO353" s="0" t="s">
        <v>5703</v>
      </c>
      <c r="AP353" s="0" t="s">
        <v>240</v>
      </c>
      <c r="AQ353" s="0" t="s">
        <v>240</v>
      </c>
      <c r="AR353" s="0" t="s">
        <v>240</v>
      </c>
      <c r="AS353" s="0" t="s">
        <v>240</v>
      </c>
      <c r="AT353" s="0" t="s">
        <v>240</v>
      </c>
      <c r="AU353" s="0" t="s">
        <v>240</v>
      </c>
      <c r="AV353" s="0" t="s">
        <v>240</v>
      </c>
      <c r="AW353" s="0" t="s">
        <v>240</v>
      </c>
      <c r="AX353" s="0" t="s">
        <v>240</v>
      </c>
      <c r="AY353" s="0" t="s">
        <v>240</v>
      </c>
      <c r="AZ353" s="0" t="s">
        <v>240</v>
      </c>
      <c r="BA353" s="0" t="s">
        <v>240</v>
      </c>
      <c r="BB353" s="0" t="s">
        <v>240</v>
      </c>
      <c r="BC353" s="0" t="s">
        <v>240</v>
      </c>
      <c r="BD353" s="0" t="s">
        <v>240</v>
      </c>
      <c r="BE353" s="0" t="s">
        <v>240</v>
      </c>
      <c r="BF353" s="0" t="s">
        <v>240</v>
      </c>
      <c r="BG353" s="0" t="s">
        <v>240</v>
      </c>
      <c r="BH353" s="0" t="s">
        <v>240</v>
      </c>
      <c r="BI353" s="0" t="s">
        <v>240</v>
      </c>
      <c r="BJ353" s="0" t="s">
        <v>240</v>
      </c>
      <c r="BK353" s="0" t="s">
        <v>240</v>
      </c>
      <c r="BL353" s="0" t="s">
        <v>240</v>
      </c>
      <c r="BM353" s="0" t="s">
        <v>240</v>
      </c>
      <c r="BN353" s="0" t="s">
        <v>240</v>
      </c>
      <c r="BO353" s="0" t="s">
        <v>240</v>
      </c>
      <c r="BP353" s="0" t="s">
        <v>240</v>
      </c>
      <c r="BQ353" s="0" t="s">
        <v>240</v>
      </c>
      <c r="BR353" s="0" t="s">
        <v>240</v>
      </c>
      <c r="BS353" s="0" t="s">
        <v>240</v>
      </c>
      <c r="BT353" s="0" t="s">
        <v>240</v>
      </c>
      <c r="BU353" s="0" t="s">
        <v>240</v>
      </c>
      <c r="BV353" s="0" t="s">
        <v>240</v>
      </c>
      <c r="BW353" s="0" t="s">
        <v>240</v>
      </c>
      <c r="BX353" s="0" t="s">
        <v>240</v>
      </c>
      <c r="BY353" s="0" t="s">
        <v>240</v>
      </c>
      <c r="BZ353" s="0" t="s">
        <v>240</v>
      </c>
      <c r="CA353" s="0" t="s">
        <v>240</v>
      </c>
      <c r="CB353" s="0" t="s">
        <v>240</v>
      </c>
      <c r="CC353" s="0" t="s">
        <v>240</v>
      </c>
      <c r="CD353" s="0" t="s">
        <v>240</v>
      </c>
      <c r="CE353" s="0" t="s">
        <v>240</v>
      </c>
      <c r="CF353" s="0" t="s">
        <v>240</v>
      </c>
      <c r="CG353" s="0" t="s">
        <v>240</v>
      </c>
      <c r="CH353" s="0" t="s">
        <v>240</v>
      </c>
      <c r="CI353" s="0" t="s">
        <v>240</v>
      </c>
      <c r="CJ353" s="0" t="s">
        <v>240</v>
      </c>
      <c r="CK353" s="0" t="s">
        <v>240</v>
      </c>
      <c r="CL353" s="0" t="s">
        <v>240</v>
      </c>
      <c r="CM353" s="0" t="s">
        <v>240</v>
      </c>
      <c r="CN353" s="0" t="s">
        <v>240</v>
      </c>
      <c r="CO353" s="0" t="s">
        <v>240</v>
      </c>
      <c r="CP353" s="0" t="s">
        <v>240</v>
      </c>
      <c r="CQ353" s="0" t="s">
        <v>240</v>
      </c>
      <c r="CR353" s="0" t="s">
        <v>240</v>
      </c>
      <c r="CS353" s="0" t="s">
        <v>240</v>
      </c>
      <c r="CT353" s="0" t="s">
        <v>5496</v>
      </c>
      <c r="CU353" s="0" t="s">
        <v>5497</v>
      </c>
      <c r="CV353" s="0" t="s">
        <v>443</v>
      </c>
      <c r="CW353" s="0" t="s">
        <v>5527</v>
      </c>
      <c r="CX353" s="0" t="s">
        <v>5528</v>
      </c>
      <c r="CY353" s="0" t="s">
        <v>443</v>
      </c>
      <c r="CZ353" s="0" t="s">
        <v>299</v>
      </c>
      <c r="DA353" s="0" t="s">
        <v>5529</v>
      </c>
      <c r="DB353" s="0" t="s">
        <v>5527</v>
      </c>
      <c r="DC353" s="0" t="s">
        <v>384</v>
      </c>
      <c r="DD353" s="0" t="s">
        <v>291</v>
      </c>
      <c r="DE353" s="0" t="s">
        <v>5704</v>
      </c>
    </row>
    <row customHeight="1" ht="11.25">
      <c r="A354" s="1441" t="s">
        <v>240</v>
      </c>
      <c r="B354" s="0" t="s">
        <v>240</v>
      </c>
      <c r="C354" s="0" t="s">
        <v>240</v>
      </c>
      <c r="D354" s="0" t="s">
        <v>240</v>
      </c>
      <c r="E354" s="0" t="s">
        <v>240</v>
      </c>
      <c r="F354" s="0" t="s">
        <v>240</v>
      </c>
      <c r="G354" s="0" t="s">
        <v>240</v>
      </c>
      <c r="H354" s="0" t="s">
        <v>240</v>
      </c>
      <c r="I354" s="0" t="s">
        <v>5484</v>
      </c>
      <c r="J354" s="0" t="s">
        <v>240</v>
      </c>
      <c r="K354" s="0" t="s">
        <v>240</v>
      </c>
      <c r="L354" s="0" t="s">
        <v>240</v>
      </c>
      <c r="M354" s="0" t="s">
        <v>240</v>
      </c>
      <c r="N354" s="0" t="s">
        <v>240</v>
      </c>
      <c r="O354" s="0" t="s">
        <v>240</v>
      </c>
      <c r="P354" s="0" t="s">
        <v>240</v>
      </c>
      <c r="Q354" s="0" t="s">
        <v>240</v>
      </c>
      <c r="R354" s="0" t="s">
        <v>5572</v>
      </c>
      <c r="S354" s="0" t="s">
        <v>240</v>
      </c>
      <c r="T354" s="0" t="s">
        <v>240</v>
      </c>
      <c r="U354" s="0" t="s">
        <v>102</v>
      </c>
      <c r="V354" s="0" t="s">
        <v>240</v>
      </c>
      <c r="W354" s="0" t="s">
        <v>240</v>
      </c>
      <c r="X354" s="0" t="s">
        <v>5485</v>
      </c>
      <c r="Y354" s="0" t="s">
        <v>240</v>
      </c>
      <c r="Z354" s="0" t="s">
        <v>161</v>
      </c>
      <c r="AA354" s="0" t="s">
        <v>152</v>
      </c>
      <c r="AB354" s="0" t="s">
        <v>152</v>
      </c>
      <c r="AC354" s="0" t="s">
        <v>2989</v>
      </c>
      <c r="AD354" s="0" t="s">
        <v>2989</v>
      </c>
      <c r="AE354" s="0" t="s">
        <v>2990</v>
      </c>
      <c r="AF354" s="0" t="s">
        <v>6503</v>
      </c>
      <c r="AG354" s="0" t="s">
        <v>6504</v>
      </c>
      <c r="AH354" s="0" t="s">
        <v>5575</v>
      </c>
      <c r="AI354" s="0" t="s">
        <v>5575</v>
      </c>
      <c r="AJ354" s="0" t="s">
        <v>5576</v>
      </c>
      <c r="AK354" s="0" t="s">
        <v>6505</v>
      </c>
      <c r="AL354" s="0" t="s">
        <v>5506</v>
      </c>
      <c r="AM354" s="0" t="s">
        <v>5493</v>
      </c>
      <c r="AN354" s="0" t="s">
        <v>5578</v>
      </c>
      <c r="AO354" s="0" t="s">
        <v>5579</v>
      </c>
      <c r="AP354" s="0" t="s">
        <v>240</v>
      </c>
      <c r="AQ354" s="0" t="s">
        <v>240</v>
      </c>
      <c r="AR354" s="0" t="s">
        <v>240</v>
      </c>
      <c r="AS354" s="0" t="s">
        <v>240</v>
      </c>
      <c r="AT354" s="0" t="s">
        <v>240</v>
      </c>
      <c r="AU354" s="0" t="s">
        <v>240</v>
      </c>
      <c r="AV354" s="0" t="s">
        <v>240</v>
      </c>
      <c r="AW354" s="0" t="s">
        <v>240</v>
      </c>
      <c r="AX354" s="0" t="s">
        <v>240</v>
      </c>
      <c r="AY354" s="0" t="s">
        <v>240</v>
      </c>
      <c r="AZ354" s="0" t="s">
        <v>240</v>
      </c>
      <c r="BA354" s="0" t="s">
        <v>240</v>
      </c>
      <c r="BB354" s="0" t="s">
        <v>240</v>
      </c>
      <c r="BC354" s="0" t="s">
        <v>240</v>
      </c>
      <c r="BD354" s="0" t="s">
        <v>240</v>
      </c>
      <c r="BE354" s="0" t="s">
        <v>240</v>
      </c>
      <c r="BF354" s="0" t="s">
        <v>240</v>
      </c>
      <c r="BG354" s="0" t="s">
        <v>240</v>
      </c>
      <c r="BH354" s="0" t="s">
        <v>240</v>
      </c>
      <c r="BI354" s="0" t="s">
        <v>240</v>
      </c>
      <c r="BJ354" s="0" t="s">
        <v>240</v>
      </c>
      <c r="BK354" s="0" t="s">
        <v>240</v>
      </c>
      <c r="BL354" s="0" t="s">
        <v>240</v>
      </c>
      <c r="BM354" s="0" t="s">
        <v>240</v>
      </c>
      <c r="BN354" s="0" t="s">
        <v>240</v>
      </c>
      <c r="BO354" s="0" t="s">
        <v>240</v>
      </c>
      <c r="BP354" s="0" t="s">
        <v>240</v>
      </c>
      <c r="BQ354" s="0" t="s">
        <v>240</v>
      </c>
      <c r="BR354" s="0" t="s">
        <v>240</v>
      </c>
      <c r="BS354" s="0" t="s">
        <v>240</v>
      </c>
      <c r="BT354" s="0" t="s">
        <v>240</v>
      </c>
      <c r="BU354" s="0" t="s">
        <v>240</v>
      </c>
      <c r="BV354" s="0" t="s">
        <v>240</v>
      </c>
      <c r="BW354" s="0" t="s">
        <v>240</v>
      </c>
      <c r="BX354" s="0" t="s">
        <v>240</v>
      </c>
      <c r="BY354" s="0" t="s">
        <v>240</v>
      </c>
      <c r="BZ354" s="0" t="s">
        <v>240</v>
      </c>
      <c r="CA354" s="0" t="s">
        <v>240</v>
      </c>
      <c r="CB354" s="0" t="s">
        <v>240</v>
      </c>
      <c r="CC354" s="0" t="s">
        <v>240</v>
      </c>
      <c r="CD354" s="0" t="s">
        <v>240</v>
      </c>
      <c r="CE354" s="0" t="s">
        <v>240</v>
      </c>
      <c r="CF354" s="0" t="s">
        <v>240</v>
      </c>
      <c r="CG354" s="0" t="s">
        <v>240</v>
      </c>
      <c r="CH354" s="0" t="s">
        <v>240</v>
      </c>
      <c r="CI354" s="0" t="s">
        <v>240</v>
      </c>
      <c r="CJ354" s="0" t="s">
        <v>240</v>
      </c>
      <c r="CK354" s="0" t="s">
        <v>240</v>
      </c>
      <c r="CL354" s="0" t="s">
        <v>240</v>
      </c>
      <c r="CM354" s="0" t="s">
        <v>240</v>
      </c>
      <c r="CN354" s="0" t="s">
        <v>240</v>
      </c>
      <c r="CO354" s="0" t="s">
        <v>240</v>
      </c>
      <c r="CP354" s="0" t="s">
        <v>240</v>
      </c>
      <c r="CQ354" s="0" t="s">
        <v>240</v>
      </c>
      <c r="CR354" s="0" t="s">
        <v>240</v>
      </c>
      <c r="CS354" s="0" t="s">
        <v>240</v>
      </c>
      <c r="CT354" s="0" t="s">
        <v>5496</v>
      </c>
      <c r="CU354" s="0" t="s">
        <v>5497</v>
      </c>
      <c r="CV354" s="0" t="s">
        <v>443</v>
      </c>
      <c r="CW354" s="0" t="s">
        <v>5580</v>
      </c>
      <c r="CX354" s="0" t="s">
        <v>229</v>
      </c>
      <c r="CY354" s="0" t="s">
        <v>443</v>
      </c>
      <c r="CZ354" s="0" t="s">
        <v>5581</v>
      </c>
      <c r="DA354" s="0" t="s">
        <v>5582</v>
      </c>
      <c r="DB354" s="0" t="s">
        <v>5580</v>
      </c>
      <c r="DC354" s="0" t="s">
        <v>384</v>
      </c>
      <c r="DD354" s="0" t="s">
        <v>291</v>
      </c>
      <c r="DE354" s="0" t="s">
        <v>6506</v>
      </c>
    </row>
    <row customHeight="1" ht="11.25">
      <c r="A355" s="1441" t="s">
        <v>240</v>
      </c>
      <c r="B355" s="0" t="s">
        <v>240</v>
      </c>
      <c r="C355" s="0" t="s">
        <v>240</v>
      </c>
      <c r="D355" s="0" t="s">
        <v>240</v>
      </c>
      <c r="E355" s="0" t="s">
        <v>240</v>
      </c>
      <c r="F355" s="0" t="s">
        <v>240</v>
      </c>
      <c r="G355" s="0" t="s">
        <v>240</v>
      </c>
      <c r="H355" s="0" t="s">
        <v>240</v>
      </c>
      <c r="I355" s="0" t="s">
        <v>5484</v>
      </c>
      <c r="J355" s="0" t="s">
        <v>240</v>
      </c>
      <c r="K355" s="0" t="s">
        <v>240</v>
      </c>
      <c r="L355" s="0" t="s">
        <v>240</v>
      </c>
      <c r="M355" s="0" t="s">
        <v>240</v>
      </c>
      <c r="N355" s="0" t="s">
        <v>240</v>
      </c>
      <c r="O355" s="0" t="s">
        <v>240</v>
      </c>
      <c r="P355" s="0" t="s">
        <v>240</v>
      </c>
      <c r="Q355" s="0" t="s">
        <v>240</v>
      </c>
      <c r="R355" s="0" t="s">
        <v>6694</v>
      </c>
      <c r="S355" s="0" t="s">
        <v>240</v>
      </c>
      <c r="T355" s="0" t="s">
        <v>240</v>
      </c>
      <c r="U355" s="0" t="s">
        <v>102</v>
      </c>
      <c r="V355" s="0" t="s">
        <v>240</v>
      </c>
      <c r="W355" s="0" t="s">
        <v>240</v>
      </c>
      <c r="X355" s="0" t="s">
        <v>5585</v>
      </c>
      <c r="Y355" s="0" t="s">
        <v>240</v>
      </c>
      <c r="Z355" s="0" t="s">
        <v>152</v>
      </c>
      <c r="AA355" s="0" t="s">
        <v>152</v>
      </c>
      <c r="AB355" s="0" t="s">
        <v>161</v>
      </c>
      <c r="AC355" s="0" t="s">
        <v>2989</v>
      </c>
      <c r="AD355" s="0" t="s">
        <v>2989</v>
      </c>
      <c r="AE355" s="0" t="s">
        <v>2990</v>
      </c>
      <c r="AF355" s="0" t="s">
        <v>6503</v>
      </c>
      <c r="AG355" s="0" t="s">
        <v>6504</v>
      </c>
      <c r="AH355" s="0" t="s">
        <v>5575</v>
      </c>
      <c r="AI355" s="0" t="s">
        <v>5575</v>
      </c>
      <c r="AJ355" s="0" t="s">
        <v>240</v>
      </c>
      <c r="AK355" s="0" t="s">
        <v>240</v>
      </c>
      <c r="AL355" s="0" t="s">
        <v>240</v>
      </c>
      <c r="AM355" s="0" t="s">
        <v>240</v>
      </c>
      <c r="AN355" s="0" t="s">
        <v>240</v>
      </c>
      <c r="AO355" s="0" t="s">
        <v>240</v>
      </c>
      <c r="AP355" s="0" t="s">
        <v>240</v>
      </c>
      <c r="AQ355" s="0" t="s">
        <v>240</v>
      </c>
      <c r="AR355" s="0" t="s">
        <v>240</v>
      </c>
      <c r="AS355" s="0" t="s">
        <v>240</v>
      </c>
      <c r="AT355" s="0" t="s">
        <v>240</v>
      </c>
      <c r="AU355" s="0" t="s">
        <v>240</v>
      </c>
      <c r="AV355" s="0" t="s">
        <v>240</v>
      </c>
      <c r="AW355" s="0" t="s">
        <v>240</v>
      </c>
      <c r="AX355" s="0" t="s">
        <v>240</v>
      </c>
      <c r="AY355" s="0" t="s">
        <v>240</v>
      </c>
      <c r="AZ355" s="0" t="s">
        <v>240</v>
      </c>
      <c r="BA355" s="0" t="s">
        <v>240</v>
      </c>
      <c r="BB355" s="0" t="s">
        <v>240</v>
      </c>
      <c r="BC355" s="0" t="s">
        <v>240</v>
      </c>
      <c r="BD355" s="0" t="s">
        <v>240</v>
      </c>
      <c r="BE355" s="0" t="s">
        <v>5576</v>
      </c>
      <c r="BF355" s="0" t="s">
        <v>6505</v>
      </c>
      <c r="BG355" s="0" t="s">
        <v>112</v>
      </c>
      <c r="BH355" s="0" t="s">
        <v>5589</v>
      </c>
      <c r="BI355" s="0" t="s">
        <v>123</v>
      </c>
      <c r="BJ355" s="0" t="s">
        <v>240</v>
      </c>
      <c r="BK355" s="0" t="s">
        <v>5608</v>
      </c>
      <c r="BL355" s="0" t="s">
        <v>2989</v>
      </c>
      <c r="BM355" s="0" t="s">
        <v>2989</v>
      </c>
      <c r="BN355" s="0" t="s">
        <v>5798</v>
      </c>
      <c r="BO355" s="0" t="s">
        <v>6503</v>
      </c>
      <c r="BP355" s="0" t="s">
        <v>6695</v>
      </c>
      <c r="BQ355" s="0" t="s">
        <v>5575</v>
      </c>
      <c r="BR355" s="0" t="s">
        <v>5575</v>
      </c>
      <c r="BS355" s="0" t="s">
        <v>240</v>
      </c>
      <c r="BT355" s="0" t="s">
        <v>5650</v>
      </c>
      <c r="BU355" s="0" t="s">
        <v>6696</v>
      </c>
      <c r="BV355" s="0" t="s">
        <v>6696</v>
      </c>
      <c r="BW355" s="0" t="s">
        <v>5598</v>
      </c>
      <c r="BX355" s="0" t="s">
        <v>5598</v>
      </c>
      <c r="BY355" s="0" t="s">
        <v>5598</v>
      </c>
      <c r="BZ355" s="0" t="s">
        <v>5598</v>
      </c>
      <c r="CA355" s="0" t="s">
        <v>5598</v>
      </c>
      <c r="CB355" s="0" t="s">
        <v>240</v>
      </c>
      <c r="CC355" s="0" t="s">
        <v>240</v>
      </c>
      <c r="CD355" s="0" t="s">
        <v>240</v>
      </c>
      <c r="CE355" s="0" t="s">
        <v>240</v>
      </c>
      <c r="CF355" s="0" t="s">
        <v>240</v>
      </c>
      <c r="CG355" s="0" t="s">
        <v>5598</v>
      </c>
      <c r="CH355" s="0" t="s">
        <v>240</v>
      </c>
      <c r="CI355" s="0" t="s">
        <v>240</v>
      </c>
      <c r="CJ355" s="0" t="s">
        <v>240</v>
      </c>
      <c r="CK355" s="0" t="s">
        <v>240</v>
      </c>
      <c r="CL355" s="0" t="s">
        <v>240</v>
      </c>
      <c r="CM355" s="0" t="s">
        <v>6696</v>
      </c>
      <c r="CN355" s="0" t="s">
        <v>6696</v>
      </c>
      <c r="CO355" s="0" t="s">
        <v>240</v>
      </c>
      <c r="CP355" s="0" t="s">
        <v>240</v>
      </c>
      <c r="CQ355" s="0" t="s">
        <v>240</v>
      </c>
      <c r="CR355" s="0" t="s">
        <v>240</v>
      </c>
      <c r="CS355" s="0" t="s">
        <v>5553</v>
      </c>
      <c r="CT355" s="0" t="s">
        <v>5496</v>
      </c>
      <c r="CU355" s="0" t="s">
        <v>5497</v>
      </c>
      <c r="CV355" s="0" t="s">
        <v>443</v>
      </c>
      <c r="CW355" s="0" t="s">
        <v>5580</v>
      </c>
      <c r="CX355" s="0" t="s">
        <v>229</v>
      </c>
      <c r="CY355" s="0" t="s">
        <v>443</v>
      </c>
      <c r="CZ355" s="0" t="s">
        <v>5581</v>
      </c>
      <c r="DA355" s="0" t="s">
        <v>5582</v>
      </c>
      <c r="DB355" s="0" t="s">
        <v>5580</v>
      </c>
      <c r="DC355" s="0" t="s">
        <v>384</v>
      </c>
      <c r="DD355" s="0" t="s">
        <v>291</v>
      </c>
      <c r="DE355" s="0" t="s">
        <v>6506</v>
      </c>
    </row>
    <row customHeight="1" ht="11.25">
      <c r="A356" s="1441" t="s">
        <v>240</v>
      </c>
      <c r="B356" s="0" t="s">
        <v>240</v>
      </c>
      <c r="C356" s="0" t="s">
        <v>240</v>
      </c>
      <c r="D356" s="0" t="s">
        <v>240</v>
      </c>
      <c r="E356" s="0" t="s">
        <v>240</v>
      </c>
      <c r="F356" s="0" t="s">
        <v>240</v>
      </c>
      <c r="G356" s="0" t="s">
        <v>240</v>
      </c>
      <c r="H356" s="0" t="s">
        <v>240</v>
      </c>
      <c r="I356" s="0" t="s">
        <v>5484</v>
      </c>
      <c r="J356" s="0" t="s">
        <v>240</v>
      </c>
      <c r="K356" s="0" t="s">
        <v>240</v>
      </c>
      <c r="L356" s="0" t="s">
        <v>240</v>
      </c>
      <c r="M356" s="0" t="s">
        <v>240</v>
      </c>
      <c r="N356" s="0" t="s">
        <v>240</v>
      </c>
      <c r="O356" s="0" t="s">
        <v>240</v>
      </c>
      <c r="P356" s="0" t="s">
        <v>240</v>
      </c>
      <c r="Q356" s="0" t="s">
        <v>240</v>
      </c>
      <c r="R356" s="0" t="s">
        <v>5572</v>
      </c>
      <c r="S356" s="0" t="s">
        <v>240</v>
      </c>
      <c r="T356" s="0" t="s">
        <v>240</v>
      </c>
      <c r="U356" s="0" t="s">
        <v>102</v>
      </c>
      <c r="V356" s="0" t="s">
        <v>240</v>
      </c>
      <c r="W356" s="0" t="s">
        <v>240</v>
      </c>
      <c r="X356" s="0" t="s">
        <v>5485</v>
      </c>
      <c r="Y356" s="0" t="s">
        <v>240</v>
      </c>
      <c r="Z356" s="0" t="s">
        <v>161</v>
      </c>
      <c r="AA356" s="0" t="s">
        <v>152</v>
      </c>
      <c r="AB356" s="0" t="s">
        <v>152</v>
      </c>
      <c r="AC356" s="0" t="s">
        <v>2989</v>
      </c>
      <c r="AD356" s="0" t="s">
        <v>2989</v>
      </c>
      <c r="AE356" s="0" t="s">
        <v>2990</v>
      </c>
      <c r="AF356" s="0" t="s">
        <v>5803</v>
      </c>
      <c r="AG356" s="0" t="s">
        <v>5804</v>
      </c>
      <c r="AH356" s="0" t="s">
        <v>5617</v>
      </c>
      <c r="AI356" s="0" t="s">
        <v>6905</v>
      </c>
      <c r="AJ356" s="0" t="s">
        <v>5576</v>
      </c>
      <c r="AK356" s="0" t="s">
        <v>5814</v>
      </c>
      <c r="AL356" s="0" t="s">
        <v>5506</v>
      </c>
      <c r="AM356" s="0" t="s">
        <v>5493</v>
      </c>
      <c r="AN356" s="0" t="s">
        <v>5578</v>
      </c>
      <c r="AO356" s="0" t="s">
        <v>5625</v>
      </c>
      <c r="AP356" s="0" t="s">
        <v>240</v>
      </c>
      <c r="AQ356" s="0" t="s">
        <v>240</v>
      </c>
      <c r="AR356" s="0" t="s">
        <v>240</v>
      </c>
      <c r="AS356" s="0" t="s">
        <v>240</v>
      </c>
      <c r="AT356" s="0" t="s">
        <v>240</v>
      </c>
      <c r="AU356" s="0" t="s">
        <v>240</v>
      </c>
      <c r="AV356" s="0" t="s">
        <v>240</v>
      </c>
      <c r="AW356" s="0" t="s">
        <v>240</v>
      </c>
      <c r="AX356" s="0" t="s">
        <v>240</v>
      </c>
      <c r="AY356" s="0" t="s">
        <v>240</v>
      </c>
      <c r="AZ356" s="0" t="s">
        <v>240</v>
      </c>
      <c r="BA356" s="0" t="s">
        <v>240</v>
      </c>
      <c r="BB356" s="0" t="s">
        <v>240</v>
      </c>
      <c r="BC356" s="0" t="s">
        <v>240</v>
      </c>
      <c r="BD356" s="0" t="s">
        <v>240</v>
      </c>
      <c r="BE356" s="0" t="s">
        <v>240</v>
      </c>
      <c r="BF356" s="0" t="s">
        <v>240</v>
      </c>
      <c r="BG356" s="0" t="s">
        <v>240</v>
      </c>
      <c r="BH356" s="0" t="s">
        <v>240</v>
      </c>
      <c r="BI356" s="0" t="s">
        <v>240</v>
      </c>
      <c r="BJ356" s="0" t="s">
        <v>240</v>
      </c>
      <c r="BK356" s="0" t="s">
        <v>240</v>
      </c>
      <c r="BL356" s="0" t="s">
        <v>240</v>
      </c>
      <c r="BM356" s="0" t="s">
        <v>240</v>
      </c>
      <c r="BN356" s="0" t="s">
        <v>240</v>
      </c>
      <c r="BO356" s="0" t="s">
        <v>240</v>
      </c>
      <c r="BP356" s="0" t="s">
        <v>240</v>
      </c>
      <c r="BQ356" s="0" t="s">
        <v>240</v>
      </c>
      <c r="BR356" s="0" t="s">
        <v>240</v>
      </c>
      <c r="BS356" s="0" t="s">
        <v>240</v>
      </c>
      <c r="BT356" s="0" t="s">
        <v>240</v>
      </c>
      <c r="BU356" s="0" t="s">
        <v>240</v>
      </c>
      <c r="BV356" s="0" t="s">
        <v>240</v>
      </c>
      <c r="BW356" s="0" t="s">
        <v>240</v>
      </c>
      <c r="BX356" s="0" t="s">
        <v>240</v>
      </c>
      <c r="BY356" s="0" t="s">
        <v>240</v>
      </c>
      <c r="BZ356" s="0" t="s">
        <v>240</v>
      </c>
      <c r="CA356" s="0" t="s">
        <v>240</v>
      </c>
      <c r="CB356" s="0" t="s">
        <v>240</v>
      </c>
      <c r="CC356" s="0" t="s">
        <v>240</v>
      </c>
      <c r="CD356" s="0" t="s">
        <v>240</v>
      </c>
      <c r="CE356" s="0" t="s">
        <v>240</v>
      </c>
      <c r="CF356" s="0" t="s">
        <v>240</v>
      </c>
      <c r="CG356" s="0" t="s">
        <v>240</v>
      </c>
      <c r="CH356" s="0" t="s">
        <v>240</v>
      </c>
      <c r="CI356" s="0" t="s">
        <v>240</v>
      </c>
      <c r="CJ356" s="0" t="s">
        <v>240</v>
      </c>
      <c r="CK356" s="0" t="s">
        <v>240</v>
      </c>
      <c r="CL356" s="0" t="s">
        <v>240</v>
      </c>
      <c r="CM356" s="0" t="s">
        <v>240</v>
      </c>
      <c r="CN356" s="0" t="s">
        <v>240</v>
      </c>
      <c r="CO356" s="0" t="s">
        <v>240</v>
      </c>
      <c r="CP356" s="0" t="s">
        <v>240</v>
      </c>
      <c r="CQ356" s="0" t="s">
        <v>240</v>
      </c>
      <c r="CR356" s="0" t="s">
        <v>240</v>
      </c>
      <c r="CS356" s="0" t="s">
        <v>240</v>
      </c>
      <c r="CT356" s="0" t="s">
        <v>5496</v>
      </c>
      <c r="CU356" s="0" t="s">
        <v>5497</v>
      </c>
      <c r="CV356" s="0" t="s">
        <v>443</v>
      </c>
      <c r="CW356" s="0" t="s">
        <v>5580</v>
      </c>
      <c r="CX356" s="0" t="s">
        <v>229</v>
      </c>
      <c r="CY356" s="0" t="s">
        <v>443</v>
      </c>
      <c r="CZ356" s="0" t="s">
        <v>5581</v>
      </c>
      <c r="DA356" s="0" t="s">
        <v>5582</v>
      </c>
      <c r="DB356" s="0" t="s">
        <v>5580</v>
      </c>
      <c r="DC356" s="0" t="s">
        <v>384</v>
      </c>
      <c r="DD356" s="0" t="s">
        <v>291</v>
      </c>
      <c r="DE356" s="0" t="s">
        <v>6906</v>
      </c>
    </row>
    <row customHeight="1" ht="11.25">
      <c r="A357" s="1441" t="s">
        <v>240</v>
      </c>
      <c r="B357" s="0" t="s">
        <v>240</v>
      </c>
      <c r="C357" s="0" t="s">
        <v>240</v>
      </c>
      <c r="D357" s="0" t="s">
        <v>240</v>
      </c>
      <c r="E357" s="0" t="s">
        <v>240</v>
      </c>
      <c r="F357" s="0" t="s">
        <v>240</v>
      </c>
      <c r="G357" s="0" t="s">
        <v>240</v>
      </c>
      <c r="H357" s="0" t="s">
        <v>240</v>
      </c>
      <c r="I357" s="0" t="s">
        <v>5484</v>
      </c>
      <c r="J357" s="0" t="s">
        <v>240</v>
      </c>
      <c r="K357" s="0" t="s">
        <v>240</v>
      </c>
      <c r="L357" s="0" t="s">
        <v>240</v>
      </c>
      <c r="M357" s="0" t="s">
        <v>240</v>
      </c>
      <c r="N357" s="0" t="s">
        <v>240</v>
      </c>
      <c r="O357" s="0" t="s">
        <v>240</v>
      </c>
      <c r="P357" s="0" t="s">
        <v>240</v>
      </c>
      <c r="Q357" s="0" t="s">
        <v>240</v>
      </c>
      <c r="R357" s="0" t="s">
        <v>5572</v>
      </c>
      <c r="S357" s="0" t="s">
        <v>240</v>
      </c>
      <c r="T357" s="0" t="s">
        <v>240</v>
      </c>
      <c r="U357" s="0" t="s">
        <v>102</v>
      </c>
      <c r="V357" s="0" t="s">
        <v>240</v>
      </c>
      <c r="W357" s="0" t="s">
        <v>240</v>
      </c>
      <c r="X357" s="0" t="s">
        <v>5485</v>
      </c>
      <c r="Y357" s="0" t="s">
        <v>240</v>
      </c>
      <c r="Z357" s="0" t="s">
        <v>161</v>
      </c>
      <c r="AA357" s="0" t="s">
        <v>152</v>
      </c>
      <c r="AB357" s="0" t="s">
        <v>152</v>
      </c>
      <c r="AC357" s="0" t="s">
        <v>2989</v>
      </c>
      <c r="AD357" s="0" t="s">
        <v>2989</v>
      </c>
      <c r="AE357" s="0" t="s">
        <v>2990</v>
      </c>
      <c r="AF357" s="0" t="s">
        <v>5803</v>
      </c>
      <c r="AG357" s="0" t="s">
        <v>5804</v>
      </c>
      <c r="AH357" s="0" t="s">
        <v>5617</v>
      </c>
      <c r="AI357" s="0" t="s">
        <v>6907</v>
      </c>
      <c r="AJ357" s="0" t="s">
        <v>5576</v>
      </c>
      <c r="AK357" s="0" t="s">
        <v>6908</v>
      </c>
      <c r="AL357" s="0" t="s">
        <v>5506</v>
      </c>
      <c r="AM357" s="0" t="s">
        <v>5493</v>
      </c>
      <c r="AN357" s="0" t="s">
        <v>5578</v>
      </c>
      <c r="AO357" s="0" t="s">
        <v>5579</v>
      </c>
      <c r="AP357" s="0" t="s">
        <v>240</v>
      </c>
      <c r="AQ357" s="0" t="s">
        <v>240</v>
      </c>
      <c r="AR357" s="0" t="s">
        <v>240</v>
      </c>
      <c r="AS357" s="0" t="s">
        <v>240</v>
      </c>
      <c r="AT357" s="0" t="s">
        <v>240</v>
      </c>
      <c r="AU357" s="0" t="s">
        <v>240</v>
      </c>
      <c r="AV357" s="0" t="s">
        <v>240</v>
      </c>
      <c r="AW357" s="0" t="s">
        <v>240</v>
      </c>
      <c r="AX357" s="0" t="s">
        <v>240</v>
      </c>
      <c r="AY357" s="0" t="s">
        <v>240</v>
      </c>
      <c r="AZ357" s="0" t="s">
        <v>240</v>
      </c>
      <c r="BA357" s="0" t="s">
        <v>240</v>
      </c>
      <c r="BB357" s="0" t="s">
        <v>240</v>
      </c>
      <c r="BC357" s="0" t="s">
        <v>240</v>
      </c>
      <c r="BD357" s="0" t="s">
        <v>240</v>
      </c>
      <c r="BE357" s="0" t="s">
        <v>240</v>
      </c>
      <c r="BF357" s="0" t="s">
        <v>240</v>
      </c>
      <c r="BG357" s="0" t="s">
        <v>240</v>
      </c>
      <c r="BH357" s="0" t="s">
        <v>240</v>
      </c>
      <c r="BI357" s="0" t="s">
        <v>240</v>
      </c>
      <c r="BJ357" s="0" t="s">
        <v>240</v>
      </c>
      <c r="BK357" s="0" t="s">
        <v>240</v>
      </c>
      <c r="BL357" s="0" t="s">
        <v>240</v>
      </c>
      <c r="BM357" s="0" t="s">
        <v>240</v>
      </c>
      <c r="BN357" s="0" t="s">
        <v>240</v>
      </c>
      <c r="BO357" s="0" t="s">
        <v>240</v>
      </c>
      <c r="BP357" s="0" t="s">
        <v>240</v>
      </c>
      <c r="BQ357" s="0" t="s">
        <v>240</v>
      </c>
      <c r="BR357" s="0" t="s">
        <v>240</v>
      </c>
      <c r="BS357" s="0" t="s">
        <v>240</v>
      </c>
      <c r="BT357" s="0" t="s">
        <v>240</v>
      </c>
      <c r="BU357" s="0" t="s">
        <v>240</v>
      </c>
      <c r="BV357" s="0" t="s">
        <v>240</v>
      </c>
      <c r="BW357" s="0" t="s">
        <v>240</v>
      </c>
      <c r="BX357" s="0" t="s">
        <v>240</v>
      </c>
      <c r="BY357" s="0" t="s">
        <v>240</v>
      </c>
      <c r="BZ357" s="0" t="s">
        <v>240</v>
      </c>
      <c r="CA357" s="0" t="s">
        <v>240</v>
      </c>
      <c r="CB357" s="0" t="s">
        <v>240</v>
      </c>
      <c r="CC357" s="0" t="s">
        <v>240</v>
      </c>
      <c r="CD357" s="0" t="s">
        <v>240</v>
      </c>
      <c r="CE357" s="0" t="s">
        <v>240</v>
      </c>
      <c r="CF357" s="0" t="s">
        <v>240</v>
      </c>
      <c r="CG357" s="0" t="s">
        <v>240</v>
      </c>
      <c r="CH357" s="0" t="s">
        <v>240</v>
      </c>
      <c r="CI357" s="0" t="s">
        <v>240</v>
      </c>
      <c r="CJ357" s="0" t="s">
        <v>240</v>
      </c>
      <c r="CK357" s="0" t="s">
        <v>240</v>
      </c>
      <c r="CL357" s="0" t="s">
        <v>240</v>
      </c>
      <c r="CM357" s="0" t="s">
        <v>240</v>
      </c>
      <c r="CN357" s="0" t="s">
        <v>240</v>
      </c>
      <c r="CO357" s="0" t="s">
        <v>240</v>
      </c>
      <c r="CP357" s="0" t="s">
        <v>240</v>
      </c>
      <c r="CQ357" s="0" t="s">
        <v>240</v>
      </c>
      <c r="CR357" s="0" t="s">
        <v>240</v>
      </c>
      <c r="CS357" s="0" t="s">
        <v>240</v>
      </c>
      <c r="CT357" s="0" t="s">
        <v>5496</v>
      </c>
      <c r="CU357" s="0" t="s">
        <v>5497</v>
      </c>
      <c r="CV357" s="0" t="s">
        <v>443</v>
      </c>
      <c r="CW357" s="0" t="s">
        <v>5580</v>
      </c>
      <c r="CX357" s="0" t="s">
        <v>229</v>
      </c>
      <c r="CY357" s="0" t="s">
        <v>443</v>
      </c>
      <c r="CZ357" s="0" t="s">
        <v>5581</v>
      </c>
      <c r="DA357" s="0" t="s">
        <v>5582</v>
      </c>
      <c r="DB357" s="0" t="s">
        <v>5580</v>
      </c>
      <c r="DC357" s="0" t="s">
        <v>384</v>
      </c>
      <c r="DD357" s="0" t="s">
        <v>291</v>
      </c>
      <c r="DE357" s="0" t="s">
        <v>6909</v>
      </c>
    </row>
    <row customHeight="1" ht="11.25">
      <c r="A358" s="1441" t="s">
        <v>240</v>
      </c>
      <c r="B358" s="0" t="s">
        <v>240</v>
      </c>
      <c r="C358" s="0" t="s">
        <v>240</v>
      </c>
      <c r="D358" s="0" t="s">
        <v>240</v>
      </c>
      <c r="E358" s="0" t="s">
        <v>240</v>
      </c>
      <c r="F358" s="0" t="s">
        <v>240</v>
      </c>
      <c r="G358" s="0" t="s">
        <v>240</v>
      </c>
      <c r="H358" s="0" t="s">
        <v>240</v>
      </c>
      <c r="I358" s="0" t="s">
        <v>5484</v>
      </c>
      <c r="J358" s="0" t="s">
        <v>240</v>
      </c>
      <c r="K358" s="0" t="s">
        <v>240</v>
      </c>
      <c r="L358" s="0" t="s">
        <v>240</v>
      </c>
      <c r="M358" s="0" t="s">
        <v>240</v>
      </c>
      <c r="N358" s="0" t="s">
        <v>240</v>
      </c>
      <c r="O358" s="0" t="s">
        <v>240</v>
      </c>
      <c r="P358" s="0" t="s">
        <v>240</v>
      </c>
      <c r="Q358" s="0" t="s">
        <v>240</v>
      </c>
      <c r="R358" s="0" t="s">
        <v>5572</v>
      </c>
      <c r="S358" s="0" t="s">
        <v>240</v>
      </c>
      <c r="T358" s="0" t="s">
        <v>240</v>
      </c>
      <c r="U358" s="0" t="s">
        <v>102</v>
      </c>
      <c r="V358" s="0" t="s">
        <v>240</v>
      </c>
      <c r="W358" s="0" t="s">
        <v>240</v>
      </c>
      <c r="X358" s="0" t="s">
        <v>5485</v>
      </c>
      <c r="Y358" s="0" t="s">
        <v>240</v>
      </c>
      <c r="Z358" s="0" t="s">
        <v>161</v>
      </c>
      <c r="AA358" s="0" t="s">
        <v>152</v>
      </c>
      <c r="AB358" s="0" t="s">
        <v>152</v>
      </c>
      <c r="AC358" s="0" t="s">
        <v>2989</v>
      </c>
      <c r="AD358" s="0" t="s">
        <v>2989</v>
      </c>
      <c r="AE358" s="0" t="s">
        <v>2990</v>
      </c>
      <c r="AF358" s="0" t="s">
        <v>5810</v>
      </c>
      <c r="AG358" s="0" t="s">
        <v>5811</v>
      </c>
      <c r="AH358" s="0" t="s">
        <v>5812</v>
      </c>
      <c r="AI358" s="0" t="s">
        <v>5813</v>
      </c>
      <c r="AJ358" s="0" t="s">
        <v>5576</v>
      </c>
      <c r="AK358" s="0" t="s">
        <v>5814</v>
      </c>
      <c r="AL358" s="0" t="s">
        <v>5506</v>
      </c>
      <c r="AM358" s="0" t="s">
        <v>5493</v>
      </c>
      <c r="AN358" s="0" t="s">
        <v>5578</v>
      </c>
      <c r="AO358" s="0" t="s">
        <v>5554</v>
      </c>
      <c r="AP358" s="0" t="s">
        <v>240</v>
      </c>
      <c r="AQ358" s="0" t="s">
        <v>240</v>
      </c>
      <c r="AR358" s="0" t="s">
        <v>240</v>
      </c>
      <c r="AS358" s="0" t="s">
        <v>240</v>
      </c>
      <c r="AT358" s="0" t="s">
        <v>240</v>
      </c>
      <c r="AU358" s="0" t="s">
        <v>240</v>
      </c>
      <c r="AV358" s="0" t="s">
        <v>240</v>
      </c>
      <c r="AW358" s="0" t="s">
        <v>240</v>
      </c>
      <c r="AX358" s="0" t="s">
        <v>240</v>
      </c>
      <c r="AY358" s="0" t="s">
        <v>240</v>
      </c>
      <c r="AZ358" s="0" t="s">
        <v>240</v>
      </c>
      <c r="BA358" s="0" t="s">
        <v>240</v>
      </c>
      <c r="BB358" s="0" t="s">
        <v>240</v>
      </c>
      <c r="BC358" s="0" t="s">
        <v>240</v>
      </c>
      <c r="BD358" s="0" t="s">
        <v>240</v>
      </c>
      <c r="BE358" s="0" t="s">
        <v>240</v>
      </c>
      <c r="BF358" s="0" t="s">
        <v>240</v>
      </c>
      <c r="BG358" s="0" t="s">
        <v>240</v>
      </c>
      <c r="BH358" s="0" t="s">
        <v>240</v>
      </c>
      <c r="BI358" s="0" t="s">
        <v>240</v>
      </c>
      <c r="BJ358" s="0" t="s">
        <v>240</v>
      </c>
      <c r="BK358" s="0" t="s">
        <v>240</v>
      </c>
      <c r="BL358" s="0" t="s">
        <v>240</v>
      </c>
      <c r="BM358" s="0" t="s">
        <v>240</v>
      </c>
      <c r="BN358" s="0" t="s">
        <v>240</v>
      </c>
      <c r="BO358" s="0" t="s">
        <v>240</v>
      </c>
      <c r="BP358" s="0" t="s">
        <v>240</v>
      </c>
      <c r="BQ358" s="0" t="s">
        <v>240</v>
      </c>
      <c r="BR358" s="0" t="s">
        <v>240</v>
      </c>
      <c r="BS358" s="0" t="s">
        <v>240</v>
      </c>
      <c r="BT358" s="0" t="s">
        <v>240</v>
      </c>
      <c r="BU358" s="0" t="s">
        <v>240</v>
      </c>
      <c r="BV358" s="0" t="s">
        <v>240</v>
      </c>
      <c r="BW358" s="0" t="s">
        <v>240</v>
      </c>
      <c r="BX358" s="0" t="s">
        <v>240</v>
      </c>
      <c r="BY358" s="0" t="s">
        <v>240</v>
      </c>
      <c r="BZ358" s="0" t="s">
        <v>240</v>
      </c>
      <c r="CA358" s="0" t="s">
        <v>240</v>
      </c>
      <c r="CB358" s="0" t="s">
        <v>240</v>
      </c>
      <c r="CC358" s="0" t="s">
        <v>240</v>
      </c>
      <c r="CD358" s="0" t="s">
        <v>240</v>
      </c>
      <c r="CE358" s="0" t="s">
        <v>240</v>
      </c>
      <c r="CF358" s="0" t="s">
        <v>240</v>
      </c>
      <c r="CG358" s="0" t="s">
        <v>240</v>
      </c>
      <c r="CH358" s="0" t="s">
        <v>240</v>
      </c>
      <c r="CI358" s="0" t="s">
        <v>240</v>
      </c>
      <c r="CJ358" s="0" t="s">
        <v>240</v>
      </c>
      <c r="CK358" s="0" t="s">
        <v>240</v>
      </c>
      <c r="CL358" s="0" t="s">
        <v>240</v>
      </c>
      <c r="CM358" s="0" t="s">
        <v>240</v>
      </c>
      <c r="CN358" s="0" t="s">
        <v>240</v>
      </c>
      <c r="CO358" s="0" t="s">
        <v>240</v>
      </c>
      <c r="CP358" s="0" t="s">
        <v>240</v>
      </c>
      <c r="CQ358" s="0" t="s">
        <v>240</v>
      </c>
      <c r="CR358" s="0" t="s">
        <v>240</v>
      </c>
      <c r="CS358" s="0" t="s">
        <v>240</v>
      </c>
      <c r="CT358" s="0" t="s">
        <v>5496</v>
      </c>
      <c r="CU358" s="0" t="s">
        <v>5497</v>
      </c>
      <c r="CV358" s="0" t="s">
        <v>443</v>
      </c>
      <c r="CW358" s="0" t="s">
        <v>5580</v>
      </c>
      <c r="CX358" s="0" t="s">
        <v>229</v>
      </c>
      <c r="CY358" s="0" t="s">
        <v>443</v>
      </c>
      <c r="CZ358" s="0" t="s">
        <v>5581</v>
      </c>
      <c r="DA358" s="0" t="s">
        <v>5582</v>
      </c>
      <c r="DB358" s="0" t="s">
        <v>5580</v>
      </c>
      <c r="DC358" s="0" t="s">
        <v>384</v>
      </c>
      <c r="DD358" s="0" t="s">
        <v>291</v>
      </c>
      <c r="DE358" s="0" t="s">
        <v>5815</v>
      </c>
    </row>
    <row customHeight="1" ht="11.25">
      <c r="A359" s="1441" t="s">
        <v>240</v>
      </c>
      <c r="B359" s="0" t="s">
        <v>240</v>
      </c>
      <c r="C359" s="0" t="s">
        <v>240</v>
      </c>
      <c r="D359" s="0" t="s">
        <v>240</v>
      </c>
      <c r="E359" s="0" t="s">
        <v>240</v>
      </c>
      <c r="F359" s="0" t="s">
        <v>240</v>
      </c>
      <c r="G359" s="0" t="s">
        <v>240</v>
      </c>
      <c r="H359" s="0" t="s">
        <v>240</v>
      </c>
      <c r="I359" s="0" t="s">
        <v>5484</v>
      </c>
      <c r="J359" s="0" t="s">
        <v>240</v>
      </c>
      <c r="K359" s="0" t="s">
        <v>240</v>
      </c>
      <c r="L359" s="0" t="s">
        <v>240</v>
      </c>
      <c r="M359" s="0" t="s">
        <v>240</v>
      </c>
      <c r="N359" s="0" t="s">
        <v>240</v>
      </c>
      <c r="O359" s="0" t="s">
        <v>240</v>
      </c>
      <c r="P359" s="0" t="s">
        <v>240</v>
      </c>
      <c r="Q359" s="0" t="s">
        <v>240</v>
      </c>
      <c r="R359" s="0" t="s">
        <v>6613</v>
      </c>
      <c r="S359" s="0" t="s">
        <v>240</v>
      </c>
      <c r="T359" s="0" t="s">
        <v>240</v>
      </c>
      <c r="U359" s="0" t="s">
        <v>102</v>
      </c>
      <c r="V359" s="0" t="s">
        <v>240</v>
      </c>
      <c r="W359" s="0" t="s">
        <v>240</v>
      </c>
      <c r="X359" s="0" t="s">
        <v>5485</v>
      </c>
      <c r="Y359" s="0" t="s">
        <v>240</v>
      </c>
      <c r="Z359" s="0" t="s">
        <v>161</v>
      </c>
      <c r="AA359" s="0" t="s">
        <v>152</v>
      </c>
      <c r="AB359" s="0" t="s">
        <v>152</v>
      </c>
      <c r="AC359" s="0" t="s">
        <v>2985</v>
      </c>
      <c r="AD359" s="0" t="s">
        <v>2985</v>
      </c>
      <c r="AE359" s="0" t="s">
        <v>2986</v>
      </c>
      <c r="AF359" s="0" t="s">
        <v>6614</v>
      </c>
      <c r="AG359" s="0" t="s">
        <v>6615</v>
      </c>
      <c r="AH359" s="0" t="s">
        <v>5617</v>
      </c>
      <c r="AI359" s="0" t="s">
        <v>490</v>
      </c>
      <c r="AJ359" s="0" t="s">
        <v>5504</v>
      </c>
      <c r="AK359" s="0" t="s">
        <v>6616</v>
      </c>
      <c r="AL359" s="0" t="s">
        <v>5506</v>
      </c>
      <c r="AM359" s="0" t="s">
        <v>5493</v>
      </c>
      <c r="AN359" s="0" t="s">
        <v>5553</v>
      </c>
      <c r="AO359" s="0" t="s">
        <v>5508</v>
      </c>
      <c r="AP359" s="0" t="s">
        <v>240</v>
      </c>
      <c r="AQ359" s="0" t="s">
        <v>240</v>
      </c>
      <c r="AR359" s="0" t="s">
        <v>240</v>
      </c>
      <c r="AS359" s="0" t="s">
        <v>240</v>
      </c>
      <c r="AT359" s="0" t="s">
        <v>240</v>
      </c>
      <c r="AU359" s="0" t="s">
        <v>240</v>
      </c>
      <c r="AV359" s="0" t="s">
        <v>240</v>
      </c>
      <c r="AW359" s="0" t="s">
        <v>240</v>
      </c>
      <c r="AX359" s="0" t="s">
        <v>240</v>
      </c>
      <c r="AY359" s="0" t="s">
        <v>240</v>
      </c>
      <c r="AZ359" s="0" t="s">
        <v>240</v>
      </c>
      <c r="BA359" s="0" t="s">
        <v>240</v>
      </c>
      <c r="BB359" s="0" t="s">
        <v>240</v>
      </c>
      <c r="BC359" s="0" t="s">
        <v>240</v>
      </c>
      <c r="BD359" s="0" t="s">
        <v>240</v>
      </c>
      <c r="BE359" s="0" t="s">
        <v>240</v>
      </c>
      <c r="BF359" s="0" t="s">
        <v>240</v>
      </c>
      <c r="BG359" s="0" t="s">
        <v>240</v>
      </c>
      <c r="BH359" s="0" t="s">
        <v>240</v>
      </c>
      <c r="BI359" s="0" t="s">
        <v>240</v>
      </c>
      <c r="BJ359" s="0" t="s">
        <v>240</v>
      </c>
      <c r="BK359" s="0" t="s">
        <v>240</v>
      </c>
      <c r="BL359" s="0" t="s">
        <v>240</v>
      </c>
      <c r="BM359" s="0" t="s">
        <v>240</v>
      </c>
      <c r="BN359" s="0" t="s">
        <v>240</v>
      </c>
      <c r="BO359" s="0" t="s">
        <v>240</v>
      </c>
      <c r="BP359" s="0" t="s">
        <v>240</v>
      </c>
      <c r="BQ359" s="0" t="s">
        <v>240</v>
      </c>
      <c r="BR359" s="0" t="s">
        <v>240</v>
      </c>
      <c r="BS359" s="0" t="s">
        <v>240</v>
      </c>
      <c r="BT359" s="0" t="s">
        <v>240</v>
      </c>
      <c r="BU359" s="0" t="s">
        <v>240</v>
      </c>
      <c r="BV359" s="0" t="s">
        <v>240</v>
      </c>
      <c r="BW359" s="0" t="s">
        <v>240</v>
      </c>
      <c r="BX359" s="0" t="s">
        <v>240</v>
      </c>
      <c r="BY359" s="0" t="s">
        <v>240</v>
      </c>
      <c r="BZ359" s="0" t="s">
        <v>240</v>
      </c>
      <c r="CA359" s="0" t="s">
        <v>240</v>
      </c>
      <c r="CB359" s="0" t="s">
        <v>240</v>
      </c>
      <c r="CC359" s="0" t="s">
        <v>240</v>
      </c>
      <c r="CD359" s="0" t="s">
        <v>240</v>
      </c>
      <c r="CE359" s="0" t="s">
        <v>240</v>
      </c>
      <c r="CF359" s="0" t="s">
        <v>240</v>
      </c>
      <c r="CG359" s="0" t="s">
        <v>240</v>
      </c>
      <c r="CH359" s="0" t="s">
        <v>240</v>
      </c>
      <c r="CI359" s="0" t="s">
        <v>240</v>
      </c>
      <c r="CJ359" s="0" t="s">
        <v>240</v>
      </c>
      <c r="CK359" s="0" t="s">
        <v>240</v>
      </c>
      <c r="CL359" s="0" t="s">
        <v>240</v>
      </c>
      <c r="CM359" s="0" t="s">
        <v>240</v>
      </c>
      <c r="CN359" s="0" t="s">
        <v>240</v>
      </c>
      <c r="CO359" s="0" t="s">
        <v>240</v>
      </c>
      <c r="CP359" s="0" t="s">
        <v>240</v>
      </c>
      <c r="CQ359" s="0" t="s">
        <v>240</v>
      </c>
      <c r="CR359" s="0" t="s">
        <v>240</v>
      </c>
      <c r="CS359" s="0" t="s">
        <v>240</v>
      </c>
      <c r="CT359" s="0" t="s">
        <v>5496</v>
      </c>
      <c r="CU359" s="0" t="s">
        <v>6553</v>
      </c>
      <c r="CV359" s="0" t="s">
        <v>6554</v>
      </c>
      <c r="CW359" s="0" t="s">
        <v>6617</v>
      </c>
      <c r="CX359" s="0" t="s">
        <v>197</v>
      </c>
      <c r="CY359" s="0" t="s">
        <v>6556</v>
      </c>
      <c r="CZ359" s="0" t="s">
        <v>6618</v>
      </c>
      <c r="DA359" s="0" t="s">
        <v>6619</v>
      </c>
      <c r="DB359" s="0" t="s">
        <v>6617</v>
      </c>
      <c r="DC359" s="0" t="s">
        <v>384</v>
      </c>
      <c r="DD359" s="0" t="s">
        <v>291</v>
      </c>
      <c r="DE359" s="0" t="s">
        <v>6620</v>
      </c>
    </row>
    <row customHeight="1" ht="11.25">
      <c r="A360" s="1441" t="s">
        <v>240</v>
      </c>
      <c r="B360" s="0" t="s">
        <v>240</v>
      </c>
      <c r="C360" s="0" t="s">
        <v>240</v>
      </c>
      <c r="D360" s="0" t="s">
        <v>240</v>
      </c>
      <c r="E360" s="0" t="s">
        <v>240</v>
      </c>
      <c r="F360" s="0" t="s">
        <v>240</v>
      </c>
      <c r="G360" s="0" t="s">
        <v>240</v>
      </c>
      <c r="H360" s="0" t="s">
        <v>240</v>
      </c>
      <c r="I360" s="0" t="s">
        <v>5484</v>
      </c>
      <c r="J360" s="0" t="s">
        <v>240</v>
      </c>
      <c r="K360" s="0" t="s">
        <v>240</v>
      </c>
      <c r="L360" s="0" t="s">
        <v>240</v>
      </c>
      <c r="M360" s="0" t="s">
        <v>240</v>
      </c>
      <c r="N360" s="0" t="s">
        <v>240</v>
      </c>
      <c r="O360" s="0" t="s">
        <v>240</v>
      </c>
      <c r="P360" s="0" t="s">
        <v>240</v>
      </c>
      <c r="Q360" s="0" t="s">
        <v>240</v>
      </c>
      <c r="R360" s="0" t="s">
        <v>6777</v>
      </c>
      <c r="S360" s="0" t="s">
        <v>240</v>
      </c>
      <c r="T360" s="0" t="s">
        <v>240</v>
      </c>
      <c r="U360" s="0" t="s">
        <v>102</v>
      </c>
      <c r="V360" s="0" t="s">
        <v>240</v>
      </c>
      <c r="W360" s="0" t="s">
        <v>240</v>
      </c>
      <c r="X360" s="0" t="s">
        <v>5585</v>
      </c>
      <c r="Y360" s="0" t="s">
        <v>240</v>
      </c>
      <c r="Z360" s="0" t="s">
        <v>152</v>
      </c>
      <c r="AA360" s="0" t="s">
        <v>152</v>
      </c>
      <c r="AB360" s="0" t="s">
        <v>161</v>
      </c>
      <c r="AC360" s="0" t="s">
        <v>3389</v>
      </c>
      <c r="AD360" s="0" t="s">
        <v>3389</v>
      </c>
      <c r="AE360" s="0" t="s">
        <v>3390</v>
      </c>
      <c r="AF360" s="0" t="s">
        <v>5519</v>
      </c>
      <c r="AG360" s="0" t="s">
        <v>5520</v>
      </c>
      <c r="AH360" s="0" t="s">
        <v>5566</v>
      </c>
      <c r="AI360" s="0" t="s">
        <v>5567</v>
      </c>
      <c r="AJ360" s="0" t="s">
        <v>240</v>
      </c>
      <c r="AK360" s="0" t="s">
        <v>240</v>
      </c>
      <c r="AL360" s="0" t="s">
        <v>240</v>
      </c>
      <c r="AM360" s="0" t="s">
        <v>240</v>
      </c>
      <c r="AN360" s="0" t="s">
        <v>240</v>
      </c>
      <c r="AO360" s="0" t="s">
        <v>240</v>
      </c>
      <c r="AP360" s="0" t="s">
        <v>240</v>
      </c>
      <c r="AQ360" s="0" t="s">
        <v>240</v>
      </c>
      <c r="AR360" s="0" t="s">
        <v>240</v>
      </c>
      <c r="AS360" s="0" t="s">
        <v>240</v>
      </c>
      <c r="AT360" s="0" t="s">
        <v>240</v>
      </c>
      <c r="AU360" s="0" t="s">
        <v>240</v>
      </c>
      <c r="AV360" s="0" t="s">
        <v>240</v>
      </c>
      <c r="AW360" s="0" t="s">
        <v>240</v>
      </c>
      <c r="AX360" s="0" t="s">
        <v>240</v>
      </c>
      <c r="AY360" s="0" t="s">
        <v>240</v>
      </c>
      <c r="AZ360" s="0" t="s">
        <v>240</v>
      </c>
      <c r="BA360" s="0" t="s">
        <v>240</v>
      </c>
      <c r="BB360" s="0" t="s">
        <v>240</v>
      </c>
      <c r="BC360" s="0" t="s">
        <v>240</v>
      </c>
      <c r="BD360" s="0" t="s">
        <v>240</v>
      </c>
      <c r="BE360" s="0" t="s">
        <v>6778</v>
      </c>
      <c r="BF360" s="0" t="s">
        <v>6779</v>
      </c>
      <c r="BG360" s="0" t="s">
        <v>112</v>
      </c>
      <c r="BH360" s="0" t="s">
        <v>5589</v>
      </c>
      <c r="BI360" s="0" t="s">
        <v>123</v>
      </c>
      <c r="BJ360" s="0" t="s">
        <v>240</v>
      </c>
      <c r="BK360" s="0" t="s">
        <v>6946</v>
      </c>
      <c r="BL360" s="0" t="s">
        <v>3389</v>
      </c>
      <c r="BM360" s="0" t="s">
        <v>3389</v>
      </c>
      <c r="BN360" s="0" t="s">
        <v>5591</v>
      </c>
      <c r="BO360" s="0" t="s">
        <v>5519</v>
      </c>
      <c r="BP360" s="0" t="s">
        <v>5592</v>
      </c>
      <c r="BQ360" s="0" t="s">
        <v>5933</v>
      </c>
      <c r="BR360" s="0" t="s">
        <v>5567</v>
      </c>
      <c r="BS360" s="0" t="s">
        <v>240</v>
      </c>
      <c r="BT360" s="0" t="s">
        <v>5594</v>
      </c>
      <c r="BU360" s="0" t="s">
        <v>6947</v>
      </c>
      <c r="BV360" s="0" t="s">
        <v>6948</v>
      </c>
      <c r="BW360" s="0" t="s">
        <v>6949</v>
      </c>
      <c r="BX360" s="0" t="s">
        <v>6784</v>
      </c>
      <c r="BY360" s="0" t="s">
        <v>6785</v>
      </c>
      <c r="BZ360" s="0" t="s">
        <v>6786</v>
      </c>
      <c r="CA360" s="0" t="s">
        <v>6787</v>
      </c>
      <c r="CB360" s="0" t="s">
        <v>5598</v>
      </c>
      <c r="CC360" s="0" t="s">
        <v>5598</v>
      </c>
      <c r="CD360" s="0" t="s">
        <v>5598</v>
      </c>
      <c r="CE360" s="0" t="s">
        <v>5598</v>
      </c>
      <c r="CF360" s="0" t="s">
        <v>6787</v>
      </c>
      <c r="CG360" s="0" t="s">
        <v>6788</v>
      </c>
      <c r="CH360" s="0" t="s">
        <v>6788</v>
      </c>
      <c r="CI360" s="0" t="s">
        <v>5598</v>
      </c>
      <c r="CJ360" s="0" t="s">
        <v>5598</v>
      </c>
      <c r="CK360" s="0" t="s">
        <v>5598</v>
      </c>
      <c r="CL360" s="0" t="s">
        <v>5598</v>
      </c>
      <c r="CM360" s="0" t="s">
        <v>6950</v>
      </c>
      <c r="CN360" s="0" t="s">
        <v>6951</v>
      </c>
      <c r="CO360" s="0" t="s">
        <v>6949</v>
      </c>
      <c r="CP360" s="0" t="s">
        <v>6784</v>
      </c>
      <c r="CQ360" s="0" t="s">
        <v>6785</v>
      </c>
      <c r="CR360" s="0" t="s">
        <v>6791</v>
      </c>
      <c r="CS360" s="0" t="s">
        <v>5599</v>
      </c>
      <c r="CT360" s="0" t="s">
        <v>5496</v>
      </c>
      <c r="CU360" s="0" t="s">
        <v>5497</v>
      </c>
      <c r="CV360" s="0" t="s">
        <v>443</v>
      </c>
      <c r="CW360" s="0" t="s">
        <v>5600</v>
      </c>
      <c r="CX360" s="0" t="s">
        <v>5528</v>
      </c>
      <c r="CY360" s="0" t="s">
        <v>443</v>
      </c>
      <c r="CZ360" s="0" t="s">
        <v>299</v>
      </c>
      <c r="DA360" s="0" t="s">
        <v>5529</v>
      </c>
      <c r="DB360" s="0" t="s">
        <v>5600</v>
      </c>
      <c r="DC360" s="0" t="s">
        <v>384</v>
      </c>
      <c r="DD360" s="0" t="s">
        <v>291</v>
      </c>
      <c r="DE360" s="0" t="s">
        <v>5571</v>
      </c>
    </row>
    <row customHeight="1" ht="11.25">
      <c r="A361" s="1441" t="s">
        <v>240</v>
      </c>
      <c r="B361" s="0" t="s">
        <v>240</v>
      </c>
      <c r="C361" s="0" t="s">
        <v>240</v>
      </c>
      <c r="D361" s="0" t="s">
        <v>240</v>
      </c>
      <c r="E361" s="0" t="s">
        <v>240</v>
      </c>
      <c r="F361" s="0" t="s">
        <v>240</v>
      </c>
      <c r="G361" s="0" t="s">
        <v>240</v>
      </c>
      <c r="H361" s="0" t="s">
        <v>240</v>
      </c>
      <c r="I361" s="0" t="s">
        <v>5484</v>
      </c>
      <c r="J361" s="0" t="s">
        <v>240</v>
      </c>
      <c r="K361" s="0" t="s">
        <v>240</v>
      </c>
      <c r="L361" s="0" t="s">
        <v>240</v>
      </c>
      <c r="M361" s="0" t="s">
        <v>240</v>
      </c>
      <c r="N361" s="0" t="s">
        <v>240</v>
      </c>
      <c r="O361" s="0" t="s">
        <v>240</v>
      </c>
      <c r="P361" s="0" t="s">
        <v>240</v>
      </c>
      <c r="Q361" s="0" t="s">
        <v>240</v>
      </c>
      <c r="R361" s="0" t="s">
        <v>5572</v>
      </c>
      <c r="S361" s="0" t="s">
        <v>240</v>
      </c>
      <c r="T361" s="0" t="s">
        <v>240</v>
      </c>
      <c r="U361" s="0" t="s">
        <v>102</v>
      </c>
      <c r="V361" s="0" t="s">
        <v>240</v>
      </c>
      <c r="W361" s="0" t="s">
        <v>240</v>
      </c>
      <c r="X361" s="0" t="s">
        <v>5485</v>
      </c>
      <c r="Y361" s="0" t="s">
        <v>240</v>
      </c>
      <c r="Z361" s="0" t="s">
        <v>161</v>
      </c>
      <c r="AA361" s="0" t="s">
        <v>152</v>
      </c>
      <c r="AB361" s="0" t="s">
        <v>152</v>
      </c>
      <c r="AC361" s="0" t="s">
        <v>2989</v>
      </c>
      <c r="AD361" s="0" t="s">
        <v>2989</v>
      </c>
      <c r="AE361" s="0" t="s">
        <v>2990</v>
      </c>
      <c r="AF361" s="0" t="s">
        <v>5810</v>
      </c>
      <c r="AG361" s="0" t="s">
        <v>5811</v>
      </c>
      <c r="AH361" s="0" t="s">
        <v>5566</v>
      </c>
      <c r="AI361" s="0" t="s">
        <v>5816</v>
      </c>
      <c r="AJ361" s="0" t="s">
        <v>5576</v>
      </c>
      <c r="AK361" s="0" t="s">
        <v>5817</v>
      </c>
      <c r="AL361" s="0" t="s">
        <v>5506</v>
      </c>
      <c r="AM361" s="0" t="s">
        <v>5493</v>
      </c>
      <c r="AN361" s="0" t="s">
        <v>5578</v>
      </c>
      <c r="AO361" s="0" t="s">
        <v>5636</v>
      </c>
      <c r="AP361" s="0" t="s">
        <v>240</v>
      </c>
      <c r="AQ361" s="0" t="s">
        <v>240</v>
      </c>
      <c r="AR361" s="0" t="s">
        <v>240</v>
      </c>
      <c r="AS361" s="0" t="s">
        <v>240</v>
      </c>
      <c r="AT361" s="0" t="s">
        <v>240</v>
      </c>
      <c r="AU361" s="0" t="s">
        <v>240</v>
      </c>
      <c r="AV361" s="0" t="s">
        <v>240</v>
      </c>
      <c r="AW361" s="0" t="s">
        <v>240</v>
      </c>
      <c r="AX361" s="0" t="s">
        <v>240</v>
      </c>
      <c r="AY361" s="0" t="s">
        <v>240</v>
      </c>
      <c r="AZ361" s="0" t="s">
        <v>240</v>
      </c>
      <c r="BA361" s="0" t="s">
        <v>240</v>
      </c>
      <c r="BB361" s="0" t="s">
        <v>240</v>
      </c>
      <c r="BC361" s="0" t="s">
        <v>240</v>
      </c>
      <c r="BD361" s="0" t="s">
        <v>240</v>
      </c>
      <c r="BE361" s="0" t="s">
        <v>240</v>
      </c>
      <c r="BF361" s="0" t="s">
        <v>240</v>
      </c>
      <c r="BG361" s="0" t="s">
        <v>240</v>
      </c>
      <c r="BH361" s="0" t="s">
        <v>240</v>
      </c>
      <c r="BI361" s="0" t="s">
        <v>240</v>
      </c>
      <c r="BJ361" s="0" t="s">
        <v>240</v>
      </c>
      <c r="BK361" s="0" t="s">
        <v>240</v>
      </c>
      <c r="BL361" s="0" t="s">
        <v>240</v>
      </c>
      <c r="BM361" s="0" t="s">
        <v>240</v>
      </c>
      <c r="BN361" s="0" t="s">
        <v>240</v>
      </c>
      <c r="BO361" s="0" t="s">
        <v>240</v>
      </c>
      <c r="BP361" s="0" t="s">
        <v>240</v>
      </c>
      <c r="BQ361" s="0" t="s">
        <v>240</v>
      </c>
      <c r="BR361" s="0" t="s">
        <v>240</v>
      </c>
      <c r="BS361" s="0" t="s">
        <v>240</v>
      </c>
      <c r="BT361" s="0" t="s">
        <v>240</v>
      </c>
      <c r="BU361" s="0" t="s">
        <v>240</v>
      </c>
      <c r="BV361" s="0" t="s">
        <v>240</v>
      </c>
      <c r="BW361" s="0" t="s">
        <v>240</v>
      </c>
      <c r="BX361" s="0" t="s">
        <v>240</v>
      </c>
      <c r="BY361" s="0" t="s">
        <v>240</v>
      </c>
      <c r="BZ361" s="0" t="s">
        <v>240</v>
      </c>
      <c r="CA361" s="0" t="s">
        <v>240</v>
      </c>
      <c r="CB361" s="0" t="s">
        <v>240</v>
      </c>
      <c r="CC361" s="0" t="s">
        <v>240</v>
      </c>
      <c r="CD361" s="0" t="s">
        <v>240</v>
      </c>
      <c r="CE361" s="0" t="s">
        <v>240</v>
      </c>
      <c r="CF361" s="0" t="s">
        <v>240</v>
      </c>
      <c r="CG361" s="0" t="s">
        <v>240</v>
      </c>
      <c r="CH361" s="0" t="s">
        <v>240</v>
      </c>
      <c r="CI361" s="0" t="s">
        <v>240</v>
      </c>
      <c r="CJ361" s="0" t="s">
        <v>240</v>
      </c>
      <c r="CK361" s="0" t="s">
        <v>240</v>
      </c>
      <c r="CL361" s="0" t="s">
        <v>240</v>
      </c>
      <c r="CM361" s="0" t="s">
        <v>240</v>
      </c>
      <c r="CN361" s="0" t="s">
        <v>240</v>
      </c>
      <c r="CO361" s="0" t="s">
        <v>240</v>
      </c>
      <c r="CP361" s="0" t="s">
        <v>240</v>
      </c>
      <c r="CQ361" s="0" t="s">
        <v>240</v>
      </c>
      <c r="CR361" s="0" t="s">
        <v>240</v>
      </c>
      <c r="CS361" s="0" t="s">
        <v>240</v>
      </c>
      <c r="CT361" s="0" t="s">
        <v>5496</v>
      </c>
      <c r="CU361" s="0" t="s">
        <v>5497</v>
      </c>
      <c r="CV361" s="0" t="s">
        <v>443</v>
      </c>
      <c r="CW361" s="0" t="s">
        <v>5580</v>
      </c>
      <c r="CX361" s="0" t="s">
        <v>229</v>
      </c>
      <c r="CY361" s="0" t="s">
        <v>443</v>
      </c>
      <c r="CZ361" s="0" t="s">
        <v>5581</v>
      </c>
      <c r="DA361" s="0" t="s">
        <v>5582</v>
      </c>
      <c r="DB361" s="0" t="s">
        <v>5580</v>
      </c>
      <c r="DC361" s="0" t="s">
        <v>384</v>
      </c>
      <c r="DD361" s="0" t="s">
        <v>291</v>
      </c>
      <c r="DE361" s="0" t="s">
        <v>5818</v>
      </c>
    </row>
    <row customHeight="1" ht="11.25">
      <c r="A362" s="1441" t="s">
        <v>240</v>
      </c>
      <c r="B362" s="0" t="s">
        <v>240</v>
      </c>
      <c r="C362" s="0" t="s">
        <v>240</v>
      </c>
      <c r="D362" s="0" t="s">
        <v>240</v>
      </c>
      <c r="E362" s="0" t="s">
        <v>240</v>
      </c>
      <c r="F362" s="0" t="s">
        <v>240</v>
      </c>
      <c r="G362" s="0" t="s">
        <v>240</v>
      </c>
      <c r="H362" s="0" t="s">
        <v>240</v>
      </c>
      <c r="I362" s="0" t="s">
        <v>5484</v>
      </c>
      <c r="J362" s="0" t="s">
        <v>240</v>
      </c>
      <c r="K362" s="0" t="s">
        <v>240</v>
      </c>
      <c r="L362" s="0" t="s">
        <v>240</v>
      </c>
      <c r="M362" s="0" t="s">
        <v>240</v>
      </c>
      <c r="N362" s="0" t="s">
        <v>240</v>
      </c>
      <c r="O362" s="0" t="s">
        <v>240</v>
      </c>
      <c r="P362" s="0" t="s">
        <v>240</v>
      </c>
      <c r="Q362" s="0" t="s">
        <v>240</v>
      </c>
      <c r="R362" s="0" t="s">
        <v>6090</v>
      </c>
      <c r="S362" s="0" t="s">
        <v>240</v>
      </c>
      <c r="T362" s="0" t="s">
        <v>240</v>
      </c>
      <c r="U362" s="0" t="s">
        <v>102</v>
      </c>
      <c r="V362" s="0" t="s">
        <v>240</v>
      </c>
      <c r="W362" s="0" t="s">
        <v>240</v>
      </c>
      <c r="X362" s="0" t="s">
        <v>5585</v>
      </c>
      <c r="Y362" s="0" t="s">
        <v>240</v>
      </c>
      <c r="Z362" s="0" t="s">
        <v>152</v>
      </c>
      <c r="AA362" s="0" t="s">
        <v>152</v>
      </c>
      <c r="AB362" s="0" t="s">
        <v>161</v>
      </c>
      <c r="AC362" s="0" t="s">
        <v>2989</v>
      </c>
      <c r="AD362" s="0" t="s">
        <v>2989</v>
      </c>
      <c r="AE362" s="0" t="s">
        <v>2990</v>
      </c>
      <c r="AF362" s="0" t="s">
        <v>5810</v>
      </c>
      <c r="AG362" s="0" t="s">
        <v>5811</v>
      </c>
      <c r="AH362" s="0" t="s">
        <v>5575</v>
      </c>
      <c r="AI362" s="0" t="s">
        <v>5575</v>
      </c>
      <c r="AJ362" s="0" t="s">
        <v>240</v>
      </c>
      <c r="AK362" s="0" t="s">
        <v>240</v>
      </c>
      <c r="AL362" s="0" t="s">
        <v>240</v>
      </c>
      <c r="AM362" s="0" t="s">
        <v>240</v>
      </c>
      <c r="AN362" s="0" t="s">
        <v>240</v>
      </c>
      <c r="AO362" s="0" t="s">
        <v>240</v>
      </c>
      <c r="AP362" s="0" t="s">
        <v>240</v>
      </c>
      <c r="AQ362" s="0" t="s">
        <v>240</v>
      </c>
      <c r="AR362" s="0" t="s">
        <v>240</v>
      </c>
      <c r="AS362" s="0" t="s">
        <v>240</v>
      </c>
      <c r="AT362" s="0" t="s">
        <v>240</v>
      </c>
      <c r="AU362" s="0" t="s">
        <v>240</v>
      </c>
      <c r="AV362" s="0" t="s">
        <v>240</v>
      </c>
      <c r="AW362" s="0" t="s">
        <v>240</v>
      </c>
      <c r="AX362" s="0" t="s">
        <v>240</v>
      </c>
      <c r="AY362" s="0" t="s">
        <v>240</v>
      </c>
      <c r="AZ362" s="0" t="s">
        <v>240</v>
      </c>
      <c r="BA362" s="0" t="s">
        <v>240</v>
      </c>
      <c r="BB362" s="0" t="s">
        <v>240</v>
      </c>
      <c r="BC362" s="0" t="s">
        <v>240</v>
      </c>
      <c r="BD362" s="0" t="s">
        <v>240</v>
      </c>
      <c r="BE362" s="0" t="s">
        <v>5992</v>
      </c>
      <c r="BF362" s="0" t="s">
        <v>6091</v>
      </c>
      <c r="BG362" s="0" t="s">
        <v>112</v>
      </c>
      <c r="BH362" s="0" t="s">
        <v>5589</v>
      </c>
      <c r="BI362" s="0" t="s">
        <v>123</v>
      </c>
      <c r="BJ362" s="0" t="s">
        <v>240</v>
      </c>
      <c r="BK362" s="0" t="s">
        <v>5608</v>
      </c>
      <c r="BL362" s="0" t="s">
        <v>2989</v>
      </c>
      <c r="BM362" s="0" t="s">
        <v>2989</v>
      </c>
      <c r="BN362" s="0" t="s">
        <v>5798</v>
      </c>
      <c r="BO362" s="0" t="s">
        <v>5810</v>
      </c>
      <c r="BP362" s="0" t="s">
        <v>6092</v>
      </c>
      <c r="BQ362" s="0" t="s">
        <v>5575</v>
      </c>
      <c r="BR362" s="0" t="s">
        <v>5575</v>
      </c>
      <c r="BS362" s="0" t="s">
        <v>240</v>
      </c>
      <c r="BT362" s="0" t="s">
        <v>5650</v>
      </c>
      <c r="BU362" s="0" t="s">
        <v>6093</v>
      </c>
      <c r="BV362" s="0" t="s">
        <v>6093</v>
      </c>
      <c r="BW362" s="0" t="s">
        <v>5598</v>
      </c>
      <c r="BX362" s="0" t="s">
        <v>5598</v>
      </c>
      <c r="BY362" s="0" t="s">
        <v>5598</v>
      </c>
      <c r="BZ362" s="0" t="s">
        <v>5598</v>
      </c>
      <c r="CA362" s="0" t="s">
        <v>5598</v>
      </c>
      <c r="CB362" s="0" t="s">
        <v>240</v>
      </c>
      <c r="CC362" s="0" t="s">
        <v>240</v>
      </c>
      <c r="CD362" s="0" t="s">
        <v>240</v>
      </c>
      <c r="CE362" s="0" t="s">
        <v>240</v>
      </c>
      <c r="CF362" s="0" t="s">
        <v>240</v>
      </c>
      <c r="CG362" s="0" t="s">
        <v>5598</v>
      </c>
      <c r="CH362" s="0" t="s">
        <v>240</v>
      </c>
      <c r="CI362" s="0" t="s">
        <v>240</v>
      </c>
      <c r="CJ362" s="0" t="s">
        <v>240</v>
      </c>
      <c r="CK362" s="0" t="s">
        <v>240</v>
      </c>
      <c r="CL362" s="0" t="s">
        <v>240</v>
      </c>
      <c r="CM362" s="0" t="s">
        <v>6093</v>
      </c>
      <c r="CN362" s="0" t="s">
        <v>6093</v>
      </c>
      <c r="CO362" s="0" t="s">
        <v>240</v>
      </c>
      <c r="CP362" s="0" t="s">
        <v>240</v>
      </c>
      <c r="CQ362" s="0" t="s">
        <v>240</v>
      </c>
      <c r="CR362" s="0" t="s">
        <v>240</v>
      </c>
      <c r="CS362" s="0" t="s">
        <v>5491</v>
      </c>
      <c r="CT362" s="0" t="s">
        <v>5496</v>
      </c>
      <c r="CU362" s="0" t="s">
        <v>5497</v>
      </c>
      <c r="CV362" s="0" t="s">
        <v>443</v>
      </c>
      <c r="CW362" s="0" t="s">
        <v>5580</v>
      </c>
      <c r="CX362" s="0" t="s">
        <v>229</v>
      </c>
      <c r="CY362" s="0" t="s">
        <v>443</v>
      </c>
      <c r="CZ362" s="0" t="s">
        <v>5581</v>
      </c>
      <c r="DA362" s="0" t="s">
        <v>5582</v>
      </c>
      <c r="DB362" s="0" t="s">
        <v>5580</v>
      </c>
      <c r="DC362" s="0" t="s">
        <v>384</v>
      </c>
      <c r="DD362" s="0" t="s">
        <v>291</v>
      </c>
      <c r="DE362" s="0" t="s">
        <v>6094</v>
      </c>
    </row>
    <row customHeight="1" ht="11.25">
      <c r="A363" s="1441" t="s">
        <v>240</v>
      </c>
      <c r="B363" s="0" t="s">
        <v>240</v>
      </c>
      <c r="C363" s="0" t="s">
        <v>240</v>
      </c>
      <c r="D363" s="0" t="s">
        <v>240</v>
      </c>
      <c r="E363" s="0" t="s">
        <v>240</v>
      </c>
      <c r="F363" s="0" t="s">
        <v>240</v>
      </c>
      <c r="G363" s="0" t="s">
        <v>240</v>
      </c>
      <c r="H363" s="0" t="s">
        <v>240</v>
      </c>
      <c r="I363" s="0" t="s">
        <v>5484</v>
      </c>
      <c r="J363" s="0" t="s">
        <v>240</v>
      </c>
      <c r="K363" s="0" t="s">
        <v>240</v>
      </c>
      <c r="L363" s="0" t="s">
        <v>240</v>
      </c>
      <c r="M363" s="0" t="s">
        <v>240</v>
      </c>
      <c r="N363" s="0" t="s">
        <v>240</v>
      </c>
      <c r="O363" s="0" t="s">
        <v>240</v>
      </c>
      <c r="P363" s="0" t="s">
        <v>240</v>
      </c>
      <c r="Q363" s="0" t="s">
        <v>240</v>
      </c>
      <c r="R363" s="0" t="s">
        <v>6352</v>
      </c>
      <c r="S363" s="0" t="s">
        <v>240</v>
      </c>
      <c r="T363" s="0" t="s">
        <v>240</v>
      </c>
      <c r="U363" s="0" t="s">
        <v>102</v>
      </c>
      <c r="V363" s="0" t="s">
        <v>240</v>
      </c>
      <c r="W363" s="0" t="s">
        <v>240</v>
      </c>
      <c r="X363" s="0" t="s">
        <v>5585</v>
      </c>
      <c r="Y363" s="0" t="s">
        <v>240</v>
      </c>
      <c r="Z363" s="0" t="s">
        <v>152</v>
      </c>
      <c r="AA363" s="0" t="s">
        <v>152</v>
      </c>
      <c r="AB363" s="0" t="s">
        <v>161</v>
      </c>
      <c r="AC363" s="0" t="s">
        <v>2989</v>
      </c>
      <c r="AD363" s="0" t="s">
        <v>2989</v>
      </c>
      <c r="AE363" s="0" t="s">
        <v>2990</v>
      </c>
      <c r="AF363" s="0" t="s">
        <v>6293</v>
      </c>
      <c r="AG363" s="0" t="s">
        <v>6294</v>
      </c>
      <c r="AH363" s="0" t="s">
        <v>5575</v>
      </c>
      <c r="AI363" s="0" t="s">
        <v>5575</v>
      </c>
      <c r="AJ363" s="0" t="s">
        <v>240</v>
      </c>
      <c r="AK363" s="0" t="s">
        <v>240</v>
      </c>
      <c r="AL363" s="0" t="s">
        <v>240</v>
      </c>
      <c r="AM363" s="0" t="s">
        <v>240</v>
      </c>
      <c r="AN363" s="0" t="s">
        <v>240</v>
      </c>
      <c r="AO363" s="0" t="s">
        <v>240</v>
      </c>
      <c r="AP363" s="0" t="s">
        <v>240</v>
      </c>
      <c r="AQ363" s="0" t="s">
        <v>240</v>
      </c>
      <c r="AR363" s="0" t="s">
        <v>240</v>
      </c>
      <c r="AS363" s="0" t="s">
        <v>240</v>
      </c>
      <c r="AT363" s="0" t="s">
        <v>240</v>
      </c>
      <c r="AU363" s="0" t="s">
        <v>240</v>
      </c>
      <c r="AV363" s="0" t="s">
        <v>240</v>
      </c>
      <c r="AW363" s="0" t="s">
        <v>240</v>
      </c>
      <c r="AX363" s="0" t="s">
        <v>240</v>
      </c>
      <c r="AY363" s="0" t="s">
        <v>240</v>
      </c>
      <c r="AZ363" s="0" t="s">
        <v>240</v>
      </c>
      <c r="BA363" s="0" t="s">
        <v>240</v>
      </c>
      <c r="BB363" s="0" t="s">
        <v>240</v>
      </c>
      <c r="BC363" s="0" t="s">
        <v>240</v>
      </c>
      <c r="BD363" s="0" t="s">
        <v>240</v>
      </c>
      <c r="BE363" s="0" t="s">
        <v>5576</v>
      </c>
      <c r="BF363" s="0" t="s">
        <v>6296</v>
      </c>
      <c r="BG363" s="0" t="s">
        <v>112</v>
      </c>
      <c r="BH363" s="0" t="s">
        <v>5589</v>
      </c>
      <c r="BI363" s="0" t="s">
        <v>123</v>
      </c>
      <c r="BJ363" s="0" t="s">
        <v>240</v>
      </c>
      <c r="BK363" s="0" t="s">
        <v>5608</v>
      </c>
      <c r="BL363" s="0" t="s">
        <v>2989</v>
      </c>
      <c r="BM363" s="0" t="s">
        <v>2989</v>
      </c>
      <c r="BN363" s="0" t="s">
        <v>5798</v>
      </c>
      <c r="BO363" s="0" t="s">
        <v>6293</v>
      </c>
      <c r="BP363" s="0" t="s">
        <v>6353</v>
      </c>
      <c r="BQ363" s="0" t="s">
        <v>5575</v>
      </c>
      <c r="BR363" s="0" t="s">
        <v>5575</v>
      </c>
      <c r="BS363" s="0" t="s">
        <v>240</v>
      </c>
      <c r="BT363" s="0" t="s">
        <v>5650</v>
      </c>
      <c r="BU363" s="0" t="s">
        <v>6354</v>
      </c>
      <c r="BV363" s="0" t="s">
        <v>6354</v>
      </c>
      <c r="BW363" s="0" t="s">
        <v>5598</v>
      </c>
      <c r="BX363" s="0" t="s">
        <v>5598</v>
      </c>
      <c r="BY363" s="0" t="s">
        <v>5598</v>
      </c>
      <c r="BZ363" s="0" t="s">
        <v>5598</v>
      </c>
      <c r="CA363" s="0" t="s">
        <v>5598</v>
      </c>
      <c r="CB363" s="0" t="s">
        <v>240</v>
      </c>
      <c r="CC363" s="0" t="s">
        <v>240</v>
      </c>
      <c r="CD363" s="0" t="s">
        <v>240</v>
      </c>
      <c r="CE363" s="0" t="s">
        <v>240</v>
      </c>
      <c r="CF363" s="0" t="s">
        <v>240</v>
      </c>
      <c r="CG363" s="0" t="s">
        <v>5598</v>
      </c>
      <c r="CH363" s="0" t="s">
        <v>240</v>
      </c>
      <c r="CI363" s="0" t="s">
        <v>240</v>
      </c>
      <c r="CJ363" s="0" t="s">
        <v>240</v>
      </c>
      <c r="CK363" s="0" t="s">
        <v>240</v>
      </c>
      <c r="CL363" s="0" t="s">
        <v>240</v>
      </c>
      <c r="CM363" s="0" t="s">
        <v>6354</v>
      </c>
      <c r="CN363" s="0" t="s">
        <v>6354</v>
      </c>
      <c r="CO363" s="0" t="s">
        <v>240</v>
      </c>
      <c r="CP363" s="0" t="s">
        <v>240</v>
      </c>
      <c r="CQ363" s="0" t="s">
        <v>240</v>
      </c>
      <c r="CR363" s="0" t="s">
        <v>240</v>
      </c>
      <c r="CS363" s="0" t="s">
        <v>5491</v>
      </c>
      <c r="CT363" s="0" t="s">
        <v>5496</v>
      </c>
      <c r="CU363" s="0" t="s">
        <v>5497</v>
      </c>
      <c r="CV363" s="0" t="s">
        <v>443</v>
      </c>
      <c r="CW363" s="0" t="s">
        <v>5580</v>
      </c>
      <c r="CX363" s="0" t="s">
        <v>229</v>
      </c>
      <c r="CY363" s="0" t="s">
        <v>443</v>
      </c>
      <c r="CZ363" s="0" t="s">
        <v>5581</v>
      </c>
      <c r="DA363" s="0" t="s">
        <v>5582</v>
      </c>
      <c r="DB363" s="0" t="s">
        <v>5580</v>
      </c>
      <c r="DC363" s="0" t="s">
        <v>384</v>
      </c>
      <c r="DD363" s="0" t="s">
        <v>291</v>
      </c>
      <c r="DE363" s="0" t="s">
        <v>6355</v>
      </c>
    </row>
    <row customHeight="1" ht="11.25">
      <c r="A364" s="1441" t="s">
        <v>240</v>
      </c>
      <c r="B364" s="0" t="s">
        <v>240</v>
      </c>
      <c r="C364" s="0" t="s">
        <v>240</v>
      </c>
      <c r="D364" s="0" t="s">
        <v>240</v>
      </c>
      <c r="E364" s="0" t="s">
        <v>240</v>
      </c>
      <c r="F364" s="0" t="s">
        <v>240</v>
      </c>
      <c r="G364" s="0" t="s">
        <v>240</v>
      </c>
      <c r="H364" s="0" t="s">
        <v>240</v>
      </c>
      <c r="I364" s="0" t="s">
        <v>5484</v>
      </c>
      <c r="J364" s="0" t="s">
        <v>240</v>
      </c>
      <c r="K364" s="0" t="s">
        <v>240</v>
      </c>
      <c r="L364" s="0" t="s">
        <v>240</v>
      </c>
      <c r="M364" s="0" t="s">
        <v>240</v>
      </c>
      <c r="N364" s="0" t="s">
        <v>240</v>
      </c>
      <c r="O364" s="0" t="s">
        <v>240</v>
      </c>
      <c r="P364" s="0" t="s">
        <v>240</v>
      </c>
      <c r="Q364" s="0" t="s">
        <v>240</v>
      </c>
      <c r="R364" s="0" t="s">
        <v>6549</v>
      </c>
      <c r="S364" s="0" t="s">
        <v>240</v>
      </c>
      <c r="T364" s="0" t="s">
        <v>240</v>
      </c>
      <c r="U364" s="0" t="s">
        <v>102</v>
      </c>
      <c r="V364" s="0" t="s">
        <v>240</v>
      </c>
      <c r="W364" s="0" t="s">
        <v>240</v>
      </c>
      <c r="X364" s="0" t="s">
        <v>5485</v>
      </c>
      <c r="Y364" s="0" t="s">
        <v>240</v>
      </c>
      <c r="Z364" s="0" t="s">
        <v>161</v>
      </c>
      <c r="AA364" s="0" t="s">
        <v>152</v>
      </c>
      <c r="AB364" s="0" t="s">
        <v>152</v>
      </c>
      <c r="AC364" s="0" t="s">
        <v>2985</v>
      </c>
      <c r="AD364" s="0" t="s">
        <v>2985</v>
      </c>
      <c r="AE364" s="0" t="s">
        <v>2986</v>
      </c>
      <c r="AF364" s="0" t="s">
        <v>5609</v>
      </c>
      <c r="AG364" s="0" t="s">
        <v>5610</v>
      </c>
      <c r="AH364" s="0" t="s">
        <v>6550</v>
      </c>
      <c r="AI364" s="0" t="s">
        <v>6551</v>
      </c>
      <c r="AJ364" s="0" t="s">
        <v>5576</v>
      </c>
      <c r="AK364" s="0" t="s">
        <v>6552</v>
      </c>
      <c r="AL364" s="0" t="s">
        <v>5506</v>
      </c>
      <c r="AM364" s="0" t="s">
        <v>5493</v>
      </c>
      <c r="AN364" s="0" t="s">
        <v>5553</v>
      </c>
      <c r="AO364" s="0" t="s">
        <v>5746</v>
      </c>
      <c r="AP364" s="0" t="s">
        <v>240</v>
      </c>
      <c r="AQ364" s="0" t="s">
        <v>240</v>
      </c>
      <c r="AR364" s="0" t="s">
        <v>240</v>
      </c>
      <c r="AS364" s="0" t="s">
        <v>240</v>
      </c>
      <c r="AT364" s="0" t="s">
        <v>240</v>
      </c>
      <c r="AU364" s="0" t="s">
        <v>240</v>
      </c>
      <c r="AV364" s="0" t="s">
        <v>240</v>
      </c>
      <c r="AW364" s="0" t="s">
        <v>240</v>
      </c>
      <c r="AX364" s="0" t="s">
        <v>240</v>
      </c>
      <c r="AY364" s="0" t="s">
        <v>240</v>
      </c>
      <c r="AZ364" s="0" t="s">
        <v>240</v>
      </c>
      <c r="BA364" s="0" t="s">
        <v>240</v>
      </c>
      <c r="BB364" s="0" t="s">
        <v>240</v>
      </c>
      <c r="BC364" s="0" t="s">
        <v>240</v>
      </c>
      <c r="BD364" s="0" t="s">
        <v>240</v>
      </c>
      <c r="BE364" s="0" t="s">
        <v>240</v>
      </c>
      <c r="BF364" s="0" t="s">
        <v>240</v>
      </c>
      <c r="BG364" s="0" t="s">
        <v>240</v>
      </c>
      <c r="BH364" s="0" t="s">
        <v>240</v>
      </c>
      <c r="BI364" s="0" t="s">
        <v>240</v>
      </c>
      <c r="BJ364" s="0" t="s">
        <v>240</v>
      </c>
      <c r="BK364" s="0" t="s">
        <v>240</v>
      </c>
      <c r="BL364" s="0" t="s">
        <v>240</v>
      </c>
      <c r="BM364" s="0" t="s">
        <v>240</v>
      </c>
      <c r="BN364" s="0" t="s">
        <v>240</v>
      </c>
      <c r="BO364" s="0" t="s">
        <v>240</v>
      </c>
      <c r="BP364" s="0" t="s">
        <v>240</v>
      </c>
      <c r="BQ364" s="0" t="s">
        <v>240</v>
      </c>
      <c r="BR364" s="0" t="s">
        <v>240</v>
      </c>
      <c r="BS364" s="0" t="s">
        <v>240</v>
      </c>
      <c r="BT364" s="0" t="s">
        <v>240</v>
      </c>
      <c r="BU364" s="0" t="s">
        <v>240</v>
      </c>
      <c r="BV364" s="0" t="s">
        <v>240</v>
      </c>
      <c r="BW364" s="0" t="s">
        <v>240</v>
      </c>
      <c r="BX364" s="0" t="s">
        <v>240</v>
      </c>
      <c r="BY364" s="0" t="s">
        <v>240</v>
      </c>
      <c r="BZ364" s="0" t="s">
        <v>240</v>
      </c>
      <c r="CA364" s="0" t="s">
        <v>240</v>
      </c>
      <c r="CB364" s="0" t="s">
        <v>240</v>
      </c>
      <c r="CC364" s="0" t="s">
        <v>240</v>
      </c>
      <c r="CD364" s="0" t="s">
        <v>240</v>
      </c>
      <c r="CE364" s="0" t="s">
        <v>240</v>
      </c>
      <c r="CF364" s="0" t="s">
        <v>240</v>
      </c>
      <c r="CG364" s="0" t="s">
        <v>240</v>
      </c>
      <c r="CH364" s="0" t="s">
        <v>240</v>
      </c>
      <c r="CI364" s="0" t="s">
        <v>240</v>
      </c>
      <c r="CJ364" s="0" t="s">
        <v>240</v>
      </c>
      <c r="CK364" s="0" t="s">
        <v>240</v>
      </c>
      <c r="CL364" s="0" t="s">
        <v>240</v>
      </c>
      <c r="CM364" s="0" t="s">
        <v>240</v>
      </c>
      <c r="CN364" s="0" t="s">
        <v>240</v>
      </c>
      <c r="CO364" s="0" t="s">
        <v>240</v>
      </c>
      <c r="CP364" s="0" t="s">
        <v>240</v>
      </c>
      <c r="CQ364" s="0" t="s">
        <v>240</v>
      </c>
      <c r="CR364" s="0" t="s">
        <v>240</v>
      </c>
      <c r="CS364" s="0" t="s">
        <v>240</v>
      </c>
      <c r="CT364" s="0" t="s">
        <v>5496</v>
      </c>
      <c r="CU364" s="0" t="s">
        <v>6553</v>
      </c>
      <c r="CV364" s="0" t="s">
        <v>6554</v>
      </c>
      <c r="CW364" s="0" t="s">
        <v>6555</v>
      </c>
      <c r="CX364" s="0" t="s">
        <v>197</v>
      </c>
      <c r="CY364" s="0" t="s">
        <v>6556</v>
      </c>
      <c r="CZ364" s="0" t="s">
        <v>6557</v>
      </c>
      <c r="DA364" s="0" t="s">
        <v>6558</v>
      </c>
      <c r="DB364" s="0" t="s">
        <v>6555</v>
      </c>
      <c r="DC364" s="0" t="s">
        <v>384</v>
      </c>
      <c r="DD364" s="0" t="s">
        <v>291</v>
      </c>
      <c r="DE364" s="0" t="s">
        <v>6559</v>
      </c>
    </row>
    <row customHeight="1" ht="11.25">
      <c r="A365" s="1441" t="s">
        <v>240</v>
      </c>
      <c r="B365" s="0" t="s">
        <v>240</v>
      </c>
      <c r="C365" s="0" t="s">
        <v>240</v>
      </c>
      <c r="D365" s="0" t="s">
        <v>240</v>
      </c>
      <c r="E365" s="0" t="s">
        <v>240</v>
      </c>
      <c r="F365" s="0" t="s">
        <v>240</v>
      </c>
      <c r="G365" s="0" t="s">
        <v>240</v>
      </c>
      <c r="H365" s="0" t="s">
        <v>240</v>
      </c>
      <c r="I365" s="0" t="s">
        <v>5484</v>
      </c>
      <c r="J365" s="0" t="s">
        <v>240</v>
      </c>
      <c r="K365" s="0" t="s">
        <v>240</v>
      </c>
      <c r="L365" s="0" t="s">
        <v>240</v>
      </c>
      <c r="M365" s="0" t="s">
        <v>240</v>
      </c>
      <c r="N365" s="0" t="s">
        <v>240</v>
      </c>
      <c r="O365" s="0" t="s">
        <v>240</v>
      </c>
      <c r="P365" s="0" t="s">
        <v>240</v>
      </c>
      <c r="Q365" s="0" t="s">
        <v>240</v>
      </c>
      <c r="R365" s="0" t="s">
        <v>6774</v>
      </c>
      <c r="S365" s="0" t="s">
        <v>240</v>
      </c>
      <c r="T365" s="0" t="s">
        <v>240</v>
      </c>
      <c r="U365" s="0" t="s">
        <v>102</v>
      </c>
      <c r="V365" s="0" t="s">
        <v>240</v>
      </c>
      <c r="W365" s="0" t="s">
        <v>240</v>
      </c>
      <c r="X365" s="0" t="s">
        <v>5485</v>
      </c>
      <c r="Y365" s="0" t="s">
        <v>240</v>
      </c>
      <c r="Z365" s="0" t="s">
        <v>161</v>
      </c>
      <c r="AA365" s="0" t="s">
        <v>152</v>
      </c>
      <c r="AB365" s="0" t="s">
        <v>152</v>
      </c>
      <c r="AC365" s="0" t="s">
        <v>2985</v>
      </c>
      <c r="AD365" s="0" t="s">
        <v>2985</v>
      </c>
      <c r="AE365" s="0" t="s">
        <v>2986</v>
      </c>
      <c r="AF365" s="0" t="s">
        <v>6033</v>
      </c>
      <c r="AG365" s="0" t="s">
        <v>6034</v>
      </c>
      <c r="AH365" s="0" t="s">
        <v>6775</v>
      </c>
      <c r="AI365" s="0" t="s">
        <v>5847</v>
      </c>
      <c r="AJ365" s="0" t="s">
        <v>5576</v>
      </c>
      <c r="AK365" s="0" t="s">
        <v>5576</v>
      </c>
      <c r="AL365" s="0" t="s">
        <v>5506</v>
      </c>
      <c r="AM365" s="0" t="s">
        <v>5493</v>
      </c>
      <c r="AN365" s="0" t="s">
        <v>5553</v>
      </c>
      <c r="AO365" s="0" t="s">
        <v>6101</v>
      </c>
      <c r="AP365" s="0" t="s">
        <v>240</v>
      </c>
      <c r="AQ365" s="0" t="s">
        <v>240</v>
      </c>
      <c r="AR365" s="0" t="s">
        <v>240</v>
      </c>
      <c r="AS365" s="0" t="s">
        <v>240</v>
      </c>
      <c r="AT365" s="0" t="s">
        <v>240</v>
      </c>
      <c r="AU365" s="0" t="s">
        <v>240</v>
      </c>
      <c r="AV365" s="0" t="s">
        <v>240</v>
      </c>
      <c r="AW365" s="0" t="s">
        <v>240</v>
      </c>
      <c r="AX365" s="0" t="s">
        <v>240</v>
      </c>
      <c r="AY365" s="0" t="s">
        <v>240</v>
      </c>
      <c r="AZ365" s="0" t="s">
        <v>240</v>
      </c>
      <c r="BA365" s="0" t="s">
        <v>240</v>
      </c>
      <c r="BB365" s="0" t="s">
        <v>240</v>
      </c>
      <c r="BC365" s="0" t="s">
        <v>240</v>
      </c>
      <c r="BD365" s="0" t="s">
        <v>240</v>
      </c>
      <c r="BE365" s="0" t="s">
        <v>240</v>
      </c>
      <c r="BF365" s="0" t="s">
        <v>240</v>
      </c>
      <c r="BG365" s="0" t="s">
        <v>240</v>
      </c>
      <c r="BH365" s="0" t="s">
        <v>240</v>
      </c>
      <c r="BI365" s="0" t="s">
        <v>240</v>
      </c>
      <c r="BJ365" s="0" t="s">
        <v>240</v>
      </c>
      <c r="BK365" s="0" t="s">
        <v>240</v>
      </c>
      <c r="BL365" s="0" t="s">
        <v>240</v>
      </c>
      <c r="BM365" s="0" t="s">
        <v>240</v>
      </c>
      <c r="BN365" s="0" t="s">
        <v>240</v>
      </c>
      <c r="BO365" s="0" t="s">
        <v>240</v>
      </c>
      <c r="BP365" s="0" t="s">
        <v>240</v>
      </c>
      <c r="BQ365" s="0" t="s">
        <v>240</v>
      </c>
      <c r="BR365" s="0" t="s">
        <v>240</v>
      </c>
      <c r="BS365" s="0" t="s">
        <v>240</v>
      </c>
      <c r="BT365" s="0" t="s">
        <v>240</v>
      </c>
      <c r="BU365" s="0" t="s">
        <v>240</v>
      </c>
      <c r="BV365" s="0" t="s">
        <v>240</v>
      </c>
      <c r="BW365" s="0" t="s">
        <v>240</v>
      </c>
      <c r="BX365" s="0" t="s">
        <v>240</v>
      </c>
      <c r="BY365" s="0" t="s">
        <v>240</v>
      </c>
      <c r="BZ365" s="0" t="s">
        <v>240</v>
      </c>
      <c r="CA365" s="0" t="s">
        <v>240</v>
      </c>
      <c r="CB365" s="0" t="s">
        <v>240</v>
      </c>
      <c r="CC365" s="0" t="s">
        <v>240</v>
      </c>
      <c r="CD365" s="0" t="s">
        <v>240</v>
      </c>
      <c r="CE365" s="0" t="s">
        <v>240</v>
      </c>
      <c r="CF365" s="0" t="s">
        <v>240</v>
      </c>
      <c r="CG365" s="0" t="s">
        <v>240</v>
      </c>
      <c r="CH365" s="0" t="s">
        <v>240</v>
      </c>
      <c r="CI365" s="0" t="s">
        <v>240</v>
      </c>
      <c r="CJ365" s="0" t="s">
        <v>240</v>
      </c>
      <c r="CK365" s="0" t="s">
        <v>240</v>
      </c>
      <c r="CL365" s="0" t="s">
        <v>240</v>
      </c>
      <c r="CM365" s="0" t="s">
        <v>240</v>
      </c>
      <c r="CN365" s="0" t="s">
        <v>240</v>
      </c>
      <c r="CO365" s="0" t="s">
        <v>240</v>
      </c>
      <c r="CP365" s="0" t="s">
        <v>240</v>
      </c>
      <c r="CQ365" s="0" t="s">
        <v>240</v>
      </c>
      <c r="CR365" s="0" t="s">
        <v>240</v>
      </c>
      <c r="CS365" s="0" t="s">
        <v>240</v>
      </c>
      <c r="CT365" s="0" t="s">
        <v>5496</v>
      </c>
      <c r="CU365" s="0" t="s">
        <v>5497</v>
      </c>
      <c r="CV365" s="0" t="s">
        <v>443</v>
      </c>
      <c r="CW365" s="0" t="s">
        <v>5509</v>
      </c>
      <c r="CX365" s="0" t="s">
        <v>229</v>
      </c>
      <c r="CY365" s="0" t="s">
        <v>443</v>
      </c>
      <c r="CZ365" s="0" t="s">
        <v>5510</v>
      </c>
      <c r="DA365" s="0" t="s">
        <v>5511</v>
      </c>
      <c r="DB365" s="0" t="s">
        <v>5509</v>
      </c>
      <c r="DC365" s="0" t="s">
        <v>384</v>
      </c>
      <c r="DD365" s="0" t="s">
        <v>291</v>
      </c>
      <c r="DE365" s="0" t="s">
        <v>6776</v>
      </c>
    </row>
    <row customHeight="1" ht="11.25">
      <c r="A366" s="1441" t="s">
        <v>240</v>
      </c>
      <c r="B366" s="0" t="s">
        <v>240</v>
      </c>
      <c r="C366" s="0" t="s">
        <v>240</v>
      </c>
      <c r="D366" s="0" t="s">
        <v>240</v>
      </c>
      <c r="E366" s="0" t="s">
        <v>240</v>
      </c>
      <c r="F366" s="0" t="s">
        <v>240</v>
      </c>
      <c r="G366" s="0" t="s">
        <v>240</v>
      </c>
      <c r="H366" s="0" t="s">
        <v>240</v>
      </c>
      <c r="I366" s="0" t="s">
        <v>5484</v>
      </c>
      <c r="J366" s="0" t="s">
        <v>240</v>
      </c>
      <c r="K366" s="0" t="s">
        <v>240</v>
      </c>
      <c r="L366" s="0" t="s">
        <v>240</v>
      </c>
      <c r="M366" s="0" t="s">
        <v>240</v>
      </c>
      <c r="N366" s="0" t="s">
        <v>240</v>
      </c>
      <c r="O366" s="0" t="s">
        <v>240</v>
      </c>
      <c r="P366" s="0" t="s">
        <v>240</v>
      </c>
      <c r="Q366" s="0" t="s">
        <v>240</v>
      </c>
      <c r="R366" s="0" t="s">
        <v>6952</v>
      </c>
      <c r="S366" s="0" t="s">
        <v>240</v>
      </c>
      <c r="T366" s="0" t="s">
        <v>240</v>
      </c>
      <c r="U366" s="0" t="s">
        <v>102</v>
      </c>
      <c r="V366" s="0" t="s">
        <v>240</v>
      </c>
      <c r="W366" s="0" t="s">
        <v>240</v>
      </c>
      <c r="X366" s="0" t="s">
        <v>5485</v>
      </c>
      <c r="Y366" s="0" t="s">
        <v>240</v>
      </c>
      <c r="Z366" s="0" t="s">
        <v>161</v>
      </c>
      <c r="AA366" s="0" t="s">
        <v>152</v>
      </c>
      <c r="AB366" s="0" t="s">
        <v>152</v>
      </c>
      <c r="AC366" s="0" t="s">
        <v>3389</v>
      </c>
      <c r="AD366" s="0" t="s">
        <v>3389</v>
      </c>
      <c r="AE366" s="0" t="s">
        <v>3390</v>
      </c>
      <c r="AF366" s="0" t="s">
        <v>5519</v>
      </c>
      <c r="AG366" s="0" t="s">
        <v>5520</v>
      </c>
      <c r="AH366" s="0" t="s">
        <v>6953</v>
      </c>
      <c r="AI366" s="0" t="s">
        <v>5575</v>
      </c>
      <c r="AJ366" s="0" t="s">
        <v>6954</v>
      </c>
      <c r="AK366" s="0" t="s">
        <v>6955</v>
      </c>
      <c r="AL366" s="0" t="s">
        <v>5492</v>
      </c>
      <c r="AM366" s="0" t="s">
        <v>5493</v>
      </c>
      <c r="AN366" s="0" t="s">
        <v>5598</v>
      </c>
      <c r="AO366" s="0" t="s">
        <v>6956</v>
      </c>
      <c r="AP366" s="0" t="s">
        <v>240</v>
      </c>
      <c r="AQ366" s="0" t="s">
        <v>240</v>
      </c>
      <c r="AR366" s="0" t="s">
        <v>240</v>
      </c>
      <c r="AS366" s="0" t="s">
        <v>240</v>
      </c>
      <c r="AT366" s="0" t="s">
        <v>240</v>
      </c>
      <c r="AU366" s="0" t="s">
        <v>240</v>
      </c>
      <c r="AV366" s="0" t="s">
        <v>240</v>
      </c>
      <c r="AW366" s="0" t="s">
        <v>240</v>
      </c>
      <c r="AX366" s="0" t="s">
        <v>240</v>
      </c>
      <c r="AY366" s="0" t="s">
        <v>240</v>
      </c>
      <c r="AZ366" s="0" t="s">
        <v>240</v>
      </c>
      <c r="BA366" s="0" t="s">
        <v>240</v>
      </c>
      <c r="BB366" s="0" t="s">
        <v>240</v>
      </c>
      <c r="BC366" s="0" t="s">
        <v>240</v>
      </c>
      <c r="BD366" s="0" t="s">
        <v>240</v>
      </c>
      <c r="BE366" s="0" t="s">
        <v>240</v>
      </c>
      <c r="BF366" s="0" t="s">
        <v>240</v>
      </c>
      <c r="BG366" s="0" t="s">
        <v>240</v>
      </c>
      <c r="BH366" s="0" t="s">
        <v>240</v>
      </c>
      <c r="BI366" s="0" t="s">
        <v>240</v>
      </c>
      <c r="BJ366" s="0" t="s">
        <v>240</v>
      </c>
      <c r="BK366" s="0" t="s">
        <v>240</v>
      </c>
      <c r="BL366" s="0" t="s">
        <v>240</v>
      </c>
      <c r="BM366" s="0" t="s">
        <v>240</v>
      </c>
      <c r="BN366" s="0" t="s">
        <v>240</v>
      </c>
      <c r="BO366" s="0" t="s">
        <v>240</v>
      </c>
      <c r="BP366" s="0" t="s">
        <v>240</v>
      </c>
      <c r="BQ366" s="0" t="s">
        <v>240</v>
      </c>
      <c r="BR366" s="0" t="s">
        <v>240</v>
      </c>
      <c r="BS366" s="0" t="s">
        <v>240</v>
      </c>
      <c r="BT366" s="0" t="s">
        <v>240</v>
      </c>
      <c r="BU366" s="0" t="s">
        <v>240</v>
      </c>
      <c r="BV366" s="0" t="s">
        <v>240</v>
      </c>
      <c r="BW366" s="0" t="s">
        <v>240</v>
      </c>
      <c r="BX366" s="0" t="s">
        <v>240</v>
      </c>
      <c r="BY366" s="0" t="s">
        <v>240</v>
      </c>
      <c r="BZ366" s="0" t="s">
        <v>240</v>
      </c>
      <c r="CA366" s="0" t="s">
        <v>240</v>
      </c>
      <c r="CB366" s="0" t="s">
        <v>240</v>
      </c>
      <c r="CC366" s="0" t="s">
        <v>240</v>
      </c>
      <c r="CD366" s="0" t="s">
        <v>240</v>
      </c>
      <c r="CE366" s="0" t="s">
        <v>240</v>
      </c>
      <c r="CF366" s="0" t="s">
        <v>240</v>
      </c>
      <c r="CG366" s="0" t="s">
        <v>240</v>
      </c>
      <c r="CH366" s="0" t="s">
        <v>240</v>
      </c>
      <c r="CI366" s="0" t="s">
        <v>240</v>
      </c>
      <c r="CJ366" s="0" t="s">
        <v>240</v>
      </c>
      <c r="CK366" s="0" t="s">
        <v>240</v>
      </c>
      <c r="CL366" s="0" t="s">
        <v>240</v>
      </c>
      <c r="CM366" s="0" t="s">
        <v>240</v>
      </c>
      <c r="CN366" s="0" t="s">
        <v>240</v>
      </c>
      <c r="CO366" s="0" t="s">
        <v>240</v>
      </c>
      <c r="CP366" s="0" t="s">
        <v>240</v>
      </c>
      <c r="CQ366" s="0" t="s">
        <v>240</v>
      </c>
      <c r="CR366" s="0" t="s">
        <v>240</v>
      </c>
      <c r="CS366" s="0" t="s">
        <v>240</v>
      </c>
      <c r="CT366" s="0" t="s">
        <v>5496</v>
      </c>
      <c r="CU366" s="0" t="s">
        <v>5497</v>
      </c>
      <c r="CV366" s="0" t="s">
        <v>443</v>
      </c>
      <c r="CW366" s="0" t="s">
        <v>5527</v>
      </c>
      <c r="CX366" s="0" t="s">
        <v>229</v>
      </c>
      <c r="CY366" s="0" t="s">
        <v>443</v>
      </c>
      <c r="CZ366" s="0" t="s">
        <v>299</v>
      </c>
      <c r="DA366" s="0" t="s">
        <v>5529</v>
      </c>
      <c r="DB366" s="0" t="s">
        <v>5527</v>
      </c>
      <c r="DC366" s="0" t="s">
        <v>384</v>
      </c>
      <c r="DD366" s="0" t="s">
        <v>291</v>
      </c>
      <c r="DE366" s="0" t="s">
        <v>6957</v>
      </c>
    </row>
    <row customHeight="1" ht="11.25">
      <c r="A367" s="1441" t="s">
        <v>240</v>
      </c>
      <c r="B367" s="0" t="s">
        <v>240</v>
      </c>
      <c r="C367" s="0" t="s">
        <v>240</v>
      </c>
      <c r="D367" s="0" t="s">
        <v>240</v>
      </c>
      <c r="E367" s="0" t="s">
        <v>240</v>
      </c>
      <c r="F367" s="0" t="s">
        <v>240</v>
      </c>
      <c r="G367" s="0" t="s">
        <v>240</v>
      </c>
      <c r="H367" s="0" t="s">
        <v>240</v>
      </c>
      <c r="I367" s="0" t="s">
        <v>5484</v>
      </c>
      <c r="J367" s="0" t="s">
        <v>240</v>
      </c>
      <c r="K367" s="0" t="s">
        <v>240</v>
      </c>
      <c r="L367" s="0" t="s">
        <v>240</v>
      </c>
      <c r="M367" s="0" t="s">
        <v>240</v>
      </c>
      <c r="N367" s="0" t="s">
        <v>240</v>
      </c>
      <c r="O367" s="0" t="s">
        <v>240</v>
      </c>
      <c r="P367" s="0" t="s">
        <v>240</v>
      </c>
      <c r="Q367" s="0" t="s">
        <v>240</v>
      </c>
      <c r="R367" s="0" t="s">
        <v>5924</v>
      </c>
      <c r="S367" s="0" t="s">
        <v>240</v>
      </c>
      <c r="T367" s="0" t="s">
        <v>240</v>
      </c>
      <c r="U367" s="0" t="s">
        <v>102</v>
      </c>
      <c r="V367" s="0" t="s">
        <v>240</v>
      </c>
      <c r="W367" s="0" t="s">
        <v>240</v>
      </c>
      <c r="X367" s="0" t="s">
        <v>5485</v>
      </c>
      <c r="Y367" s="0" t="s">
        <v>240</v>
      </c>
      <c r="Z367" s="0" t="s">
        <v>161</v>
      </c>
      <c r="AA367" s="0" t="s">
        <v>152</v>
      </c>
      <c r="AB367" s="0" t="s">
        <v>152</v>
      </c>
      <c r="AC367" s="0" t="s">
        <v>2991</v>
      </c>
      <c r="AD367" s="0" t="s">
        <v>2991</v>
      </c>
      <c r="AE367" s="0" t="s">
        <v>2992</v>
      </c>
      <c r="AF367" s="0" t="s">
        <v>5749</v>
      </c>
      <c r="AG367" s="0" t="s">
        <v>5750</v>
      </c>
      <c r="AH367" s="0" t="s">
        <v>6348</v>
      </c>
      <c r="AI367" s="0" t="s">
        <v>5847</v>
      </c>
      <c r="AJ367" s="0" t="s">
        <v>5504</v>
      </c>
      <c r="AK367" s="0" t="s">
        <v>5756</v>
      </c>
      <c r="AL367" s="0" t="s">
        <v>5506</v>
      </c>
      <c r="AM367" s="0" t="s">
        <v>5493</v>
      </c>
      <c r="AN367" s="0" t="s">
        <v>5553</v>
      </c>
      <c r="AO367" s="0" t="s">
        <v>6074</v>
      </c>
      <c r="AP367" s="0" t="s">
        <v>240</v>
      </c>
      <c r="AQ367" s="0" t="s">
        <v>240</v>
      </c>
      <c r="AR367" s="0" t="s">
        <v>240</v>
      </c>
      <c r="AS367" s="0" t="s">
        <v>240</v>
      </c>
      <c r="AT367" s="0" t="s">
        <v>240</v>
      </c>
      <c r="AU367" s="0" t="s">
        <v>240</v>
      </c>
      <c r="AV367" s="0" t="s">
        <v>240</v>
      </c>
      <c r="AW367" s="0" t="s">
        <v>240</v>
      </c>
      <c r="AX367" s="0" t="s">
        <v>240</v>
      </c>
      <c r="AY367" s="0" t="s">
        <v>240</v>
      </c>
      <c r="AZ367" s="0" t="s">
        <v>240</v>
      </c>
      <c r="BA367" s="0" t="s">
        <v>240</v>
      </c>
      <c r="BB367" s="0" t="s">
        <v>240</v>
      </c>
      <c r="BC367" s="0" t="s">
        <v>240</v>
      </c>
      <c r="BD367" s="0" t="s">
        <v>240</v>
      </c>
      <c r="BE367" s="0" t="s">
        <v>240</v>
      </c>
      <c r="BF367" s="0" t="s">
        <v>240</v>
      </c>
      <c r="BG367" s="0" t="s">
        <v>240</v>
      </c>
      <c r="BH367" s="0" t="s">
        <v>240</v>
      </c>
      <c r="BI367" s="0" t="s">
        <v>240</v>
      </c>
      <c r="BJ367" s="0" t="s">
        <v>240</v>
      </c>
      <c r="BK367" s="0" t="s">
        <v>240</v>
      </c>
      <c r="BL367" s="0" t="s">
        <v>240</v>
      </c>
      <c r="BM367" s="0" t="s">
        <v>240</v>
      </c>
      <c r="BN367" s="0" t="s">
        <v>240</v>
      </c>
      <c r="BO367" s="0" t="s">
        <v>240</v>
      </c>
      <c r="BP367" s="0" t="s">
        <v>240</v>
      </c>
      <c r="BQ367" s="0" t="s">
        <v>240</v>
      </c>
      <c r="BR367" s="0" t="s">
        <v>240</v>
      </c>
      <c r="BS367" s="0" t="s">
        <v>240</v>
      </c>
      <c r="BT367" s="0" t="s">
        <v>240</v>
      </c>
      <c r="BU367" s="0" t="s">
        <v>240</v>
      </c>
      <c r="BV367" s="0" t="s">
        <v>240</v>
      </c>
      <c r="BW367" s="0" t="s">
        <v>240</v>
      </c>
      <c r="BX367" s="0" t="s">
        <v>240</v>
      </c>
      <c r="BY367" s="0" t="s">
        <v>240</v>
      </c>
      <c r="BZ367" s="0" t="s">
        <v>240</v>
      </c>
      <c r="CA367" s="0" t="s">
        <v>240</v>
      </c>
      <c r="CB367" s="0" t="s">
        <v>240</v>
      </c>
      <c r="CC367" s="0" t="s">
        <v>240</v>
      </c>
      <c r="CD367" s="0" t="s">
        <v>240</v>
      </c>
      <c r="CE367" s="0" t="s">
        <v>240</v>
      </c>
      <c r="CF367" s="0" t="s">
        <v>240</v>
      </c>
      <c r="CG367" s="0" t="s">
        <v>240</v>
      </c>
      <c r="CH367" s="0" t="s">
        <v>240</v>
      </c>
      <c r="CI367" s="0" t="s">
        <v>240</v>
      </c>
      <c r="CJ367" s="0" t="s">
        <v>240</v>
      </c>
      <c r="CK367" s="0" t="s">
        <v>240</v>
      </c>
      <c r="CL367" s="0" t="s">
        <v>240</v>
      </c>
      <c r="CM367" s="0" t="s">
        <v>240</v>
      </c>
      <c r="CN367" s="0" t="s">
        <v>240</v>
      </c>
      <c r="CO367" s="0" t="s">
        <v>240</v>
      </c>
      <c r="CP367" s="0" t="s">
        <v>240</v>
      </c>
      <c r="CQ367" s="0" t="s">
        <v>240</v>
      </c>
      <c r="CR367" s="0" t="s">
        <v>240</v>
      </c>
      <c r="CS367" s="0" t="s">
        <v>240</v>
      </c>
      <c r="CT367" s="0" t="s">
        <v>5496</v>
      </c>
      <c r="CU367" s="0" t="s">
        <v>5497</v>
      </c>
      <c r="CV367" s="0" t="s">
        <v>443</v>
      </c>
      <c r="CW367" s="0" t="s">
        <v>5547</v>
      </c>
      <c r="CX367" s="0" t="s">
        <v>229</v>
      </c>
      <c r="CY367" s="0" t="s">
        <v>443</v>
      </c>
      <c r="CZ367" s="0" t="s">
        <v>5548</v>
      </c>
      <c r="DA367" s="0" t="s">
        <v>5549</v>
      </c>
      <c r="DB367" s="0" t="s">
        <v>5547</v>
      </c>
      <c r="DC367" s="0" t="s">
        <v>384</v>
      </c>
      <c r="DD367" s="0" t="s">
        <v>291</v>
      </c>
      <c r="DE367" s="0" t="s">
        <v>6349</v>
      </c>
    </row>
    <row customHeight="1" ht="11.25">
      <c r="A368" s="1441" t="s">
        <v>240</v>
      </c>
      <c r="B368" s="0" t="s">
        <v>240</v>
      </c>
      <c r="C368" s="0" t="s">
        <v>240</v>
      </c>
      <c r="D368" s="0" t="s">
        <v>240</v>
      </c>
      <c r="E368" s="0" t="s">
        <v>240</v>
      </c>
      <c r="F368" s="0" t="s">
        <v>240</v>
      </c>
      <c r="G368" s="0" t="s">
        <v>240</v>
      </c>
      <c r="H368" s="0" t="s">
        <v>240</v>
      </c>
      <c r="I368" s="0" t="s">
        <v>5484</v>
      </c>
      <c r="J368" s="0" t="s">
        <v>240</v>
      </c>
      <c r="K368" s="0" t="s">
        <v>240</v>
      </c>
      <c r="L368" s="0" t="s">
        <v>240</v>
      </c>
      <c r="M368" s="0" t="s">
        <v>240</v>
      </c>
      <c r="N368" s="0" t="s">
        <v>240</v>
      </c>
      <c r="O368" s="0" t="s">
        <v>240</v>
      </c>
      <c r="P368" s="0" t="s">
        <v>240</v>
      </c>
      <c r="Q368" s="0" t="s">
        <v>240</v>
      </c>
      <c r="R368" s="0" t="s">
        <v>5572</v>
      </c>
      <c r="S368" s="0" t="s">
        <v>240</v>
      </c>
      <c r="T368" s="0" t="s">
        <v>240</v>
      </c>
      <c r="U368" s="0" t="s">
        <v>102</v>
      </c>
      <c r="V368" s="0" t="s">
        <v>240</v>
      </c>
      <c r="W368" s="0" t="s">
        <v>240</v>
      </c>
      <c r="X368" s="0" t="s">
        <v>5485</v>
      </c>
      <c r="Y368" s="0" t="s">
        <v>240</v>
      </c>
      <c r="Z368" s="0" t="s">
        <v>161</v>
      </c>
      <c r="AA368" s="0" t="s">
        <v>152</v>
      </c>
      <c r="AB368" s="0" t="s">
        <v>152</v>
      </c>
      <c r="AC368" s="0" t="s">
        <v>2991</v>
      </c>
      <c r="AD368" s="0" t="s">
        <v>2991</v>
      </c>
      <c r="AE368" s="0" t="s">
        <v>2992</v>
      </c>
      <c r="AF368" s="0" t="s">
        <v>5749</v>
      </c>
      <c r="AG368" s="0" t="s">
        <v>5750</v>
      </c>
      <c r="AH368" s="0" t="s">
        <v>6585</v>
      </c>
      <c r="AI368" s="0" t="s">
        <v>6586</v>
      </c>
      <c r="AJ368" s="0" t="s">
        <v>5504</v>
      </c>
      <c r="AK368" s="0" t="s">
        <v>5731</v>
      </c>
      <c r="AL368" s="0" t="s">
        <v>5506</v>
      </c>
      <c r="AM368" s="0" t="s">
        <v>5493</v>
      </c>
      <c r="AN368" s="0" t="s">
        <v>5553</v>
      </c>
      <c r="AO368" s="0" t="s">
        <v>5746</v>
      </c>
      <c r="AP368" s="0" t="s">
        <v>240</v>
      </c>
      <c r="AQ368" s="0" t="s">
        <v>240</v>
      </c>
      <c r="AR368" s="0" t="s">
        <v>240</v>
      </c>
      <c r="AS368" s="0" t="s">
        <v>240</v>
      </c>
      <c r="AT368" s="0" t="s">
        <v>240</v>
      </c>
      <c r="AU368" s="0" t="s">
        <v>240</v>
      </c>
      <c r="AV368" s="0" t="s">
        <v>240</v>
      </c>
      <c r="AW368" s="0" t="s">
        <v>240</v>
      </c>
      <c r="AX368" s="0" t="s">
        <v>240</v>
      </c>
      <c r="AY368" s="0" t="s">
        <v>240</v>
      </c>
      <c r="AZ368" s="0" t="s">
        <v>240</v>
      </c>
      <c r="BA368" s="0" t="s">
        <v>240</v>
      </c>
      <c r="BB368" s="0" t="s">
        <v>240</v>
      </c>
      <c r="BC368" s="0" t="s">
        <v>240</v>
      </c>
      <c r="BD368" s="0" t="s">
        <v>240</v>
      </c>
      <c r="BE368" s="0" t="s">
        <v>240</v>
      </c>
      <c r="BF368" s="0" t="s">
        <v>240</v>
      </c>
      <c r="BG368" s="0" t="s">
        <v>240</v>
      </c>
      <c r="BH368" s="0" t="s">
        <v>240</v>
      </c>
      <c r="BI368" s="0" t="s">
        <v>240</v>
      </c>
      <c r="BJ368" s="0" t="s">
        <v>240</v>
      </c>
      <c r="BK368" s="0" t="s">
        <v>240</v>
      </c>
      <c r="BL368" s="0" t="s">
        <v>240</v>
      </c>
      <c r="BM368" s="0" t="s">
        <v>240</v>
      </c>
      <c r="BN368" s="0" t="s">
        <v>240</v>
      </c>
      <c r="BO368" s="0" t="s">
        <v>240</v>
      </c>
      <c r="BP368" s="0" t="s">
        <v>240</v>
      </c>
      <c r="BQ368" s="0" t="s">
        <v>240</v>
      </c>
      <c r="BR368" s="0" t="s">
        <v>240</v>
      </c>
      <c r="BS368" s="0" t="s">
        <v>240</v>
      </c>
      <c r="BT368" s="0" t="s">
        <v>240</v>
      </c>
      <c r="BU368" s="0" t="s">
        <v>240</v>
      </c>
      <c r="BV368" s="0" t="s">
        <v>240</v>
      </c>
      <c r="BW368" s="0" t="s">
        <v>240</v>
      </c>
      <c r="BX368" s="0" t="s">
        <v>240</v>
      </c>
      <c r="BY368" s="0" t="s">
        <v>240</v>
      </c>
      <c r="BZ368" s="0" t="s">
        <v>240</v>
      </c>
      <c r="CA368" s="0" t="s">
        <v>240</v>
      </c>
      <c r="CB368" s="0" t="s">
        <v>240</v>
      </c>
      <c r="CC368" s="0" t="s">
        <v>240</v>
      </c>
      <c r="CD368" s="0" t="s">
        <v>240</v>
      </c>
      <c r="CE368" s="0" t="s">
        <v>240</v>
      </c>
      <c r="CF368" s="0" t="s">
        <v>240</v>
      </c>
      <c r="CG368" s="0" t="s">
        <v>240</v>
      </c>
      <c r="CH368" s="0" t="s">
        <v>240</v>
      </c>
      <c r="CI368" s="0" t="s">
        <v>240</v>
      </c>
      <c r="CJ368" s="0" t="s">
        <v>240</v>
      </c>
      <c r="CK368" s="0" t="s">
        <v>240</v>
      </c>
      <c r="CL368" s="0" t="s">
        <v>240</v>
      </c>
      <c r="CM368" s="0" t="s">
        <v>240</v>
      </c>
      <c r="CN368" s="0" t="s">
        <v>240</v>
      </c>
      <c r="CO368" s="0" t="s">
        <v>240</v>
      </c>
      <c r="CP368" s="0" t="s">
        <v>240</v>
      </c>
      <c r="CQ368" s="0" t="s">
        <v>240</v>
      </c>
      <c r="CR368" s="0" t="s">
        <v>240</v>
      </c>
      <c r="CS368" s="0" t="s">
        <v>240</v>
      </c>
      <c r="CT368" s="0" t="s">
        <v>5496</v>
      </c>
      <c r="CU368" s="0" t="s">
        <v>5497</v>
      </c>
      <c r="CV368" s="0" t="s">
        <v>443</v>
      </c>
      <c r="CW368" s="0" t="s">
        <v>5547</v>
      </c>
      <c r="CX368" s="0" t="s">
        <v>229</v>
      </c>
      <c r="CY368" s="0" t="s">
        <v>443</v>
      </c>
      <c r="CZ368" s="0" t="s">
        <v>5548</v>
      </c>
      <c r="DA368" s="0" t="s">
        <v>5549</v>
      </c>
      <c r="DB368" s="0" t="s">
        <v>5547</v>
      </c>
      <c r="DC368" s="0" t="s">
        <v>384</v>
      </c>
      <c r="DD368" s="0" t="s">
        <v>291</v>
      </c>
      <c r="DE368" s="0" t="s">
        <v>6587</v>
      </c>
    </row>
    <row customHeight="1" ht="11.25">
      <c r="A369" s="1441" t="s">
        <v>240</v>
      </c>
      <c r="B369" s="0" t="s">
        <v>240</v>
      </c>
      <c r="C369" s="0" t="s">
        <v>240</v>
      </c>
      <c r="D369" s="0" t="s">
        <v>240</v>
      </c>
      <c r="E369" s="0" t="s">
        <v>240</v>
      </c>
      <c r="F369" s="0" t="s">
        <v>240</v>
      </c>
      <c r="G369" s="0" t="s">
        <v>240</v>
      </c>
      <c r="H369" s="0" t="s">
        <v>240</v>
      </c>
      <c r="I369" s="0" t="s">
        <v>5484</v>
      </c>
      <c r="J369" s="0" t="s">
        <v>240</v>
      </c>
      <c r="K369" s="0" t="s">
        <v>240</v>
      </c>
      <c r="L369" s="0" t="s">
        <v>240</v>
      </c>
      <c r="M369" s="0" t="s">
        <v>240</v>
      </c>
      <c r="N369" s="0" t="s">
        <v>240</v>
      </c>
      <c r="O369" s="0" t="s">
        <v>240</v>
      </c>
      <c r="P369" s="0" t="s">
        <v>240</v>
      </c>
      <c r="Q369" s="0" t="s">
        <v>240</v>
      </c>
      <c r="R369" s="0" t="s">
        <v>6958</v>
      </c>
      <c r="S369" s="0" t="s">
        <v>240</v>
      </c>
      <c r="T369" s="0" t="s">
        <v>240</v>
      </c>
      <c r="U369" s="0" t="s">
        <v>102</v>
      </c>
      <c r="V369" s="0" t="s">
        <v>240</v>
      </c>
      <c r="W369" s="0" t="s">
        <v>240</v>
      </c>
      <c r="X369" s="0" t="s">
        <v>5485</v>
      </c>
      <c r="Y369" s="0" t="s">
        <v>240</v>
      </c>
      <c r="Z369" s="0" t="s">
        <v>161</v>
      </c>
      <c r="AA369" s="0" t="s">
        <v>152</v>
      </c>
      <c r="AB369" s="0" t="s">
        <v>152</v>
      </c>
      <c r="AC369" s="0" t="s">
        <v>3389</v>
      </c>
      <c r="AD369" s="0" t="s">
        <v>3389</v>
      </c>
      <c r="AE369" s="0" t="s">
        <v>3390</v>
      </c>
      <c r="AF369" s="0" t="s">
        <v>5519</v>
      </c>
      <c r="AG369" s="0" t="s">
        <v>5520</v>
      </c>
      <c r="AH369" s="0" t="s">
        <v>5532</v>
      </c>
      <c r="AI369" s="0" t="s">
        <v>5533</v>
      </c>
      <c r="AJ369" s="0" t="s">
        <v>5534</v>
      </c>
      <c r="AK369" s="0" t="s">
        <v>5535</v>
      </c>
      <c r="AL369" s="0" t="s">
        <v>5492</v>
      </c>
      <c r="AM369" s="0" t="s">
        <v>5493</v>
      </c>
      <c r="AN369" s="0" t="s">
        <v>5536</v>
      </c>
      <c r="AO369" s="0" t="s">
        <v>5537</v>
      </c>
      <c r="AP369" s="0" t="s">
        <v>240</v>
      </c>
      <c r="AQ369" s="0" t="s">
        <v>240</v>
      </c>
      <c r="AR369" s="0" t="s">
        <v>240</v>
      </c>
      <c r="AS369" s="0" t="s">
        <v>240</v>
      </c>
      <c r="AT369" s="0" t="s">
        <v>240</v>
      </c>
      <c r="AU369" s="0" t="s">
        <v>240</v>
      </c>
      <c r="AV369" s="0" t="s">
        <v>240</v>
      </c>
      <c r="AW369" s="0" t="s">
        <v>240</v>
      </c>
      <c r="AX369" s="0" t="s">
        <v>240</v>
      </c>
      <c r="AY369" s="0" t="s">
        <v>240</v>
      </c>
      <c r="AZ369" s="0" t="s">
        <v>240</v>
      </c>
      <c r="BA369" s="0" t="s">
        <v>240</v>
      </c>
      <c r="BB369" s="0" t="s">
        <v>240</v>
      </c>
      <c r="BC369" s="0" t="s">
        <v>240</v>
      </c>
      <c r="BD369" s="0" t="s">
        <v>240</v>
      </c>
      <c r="BE369" s="0" t="s">
        <v>240</v>
      </c>
      <c r="BF369" s="0" t="s">
        <v>240</v>
      </c>
      <c r="BG369" s="0" t="s">
        <v>240</v>
      </c>
      <c r="BH369" s="0" t="s">
        <v>240</v>
      </c>
      <c r="BI369" s="0" t="s">
        <v>240</v>
      </c>
      <c r="BJ369" s="0" t="s">
        <v>240</v>
      </c>
      <c r="BK369" s="0" t="s">
        <v>240</v>
      </c>
      <c r="BL369" s="0" t="s">
        <v>240</v>
      </c>
      <c r="BM369" s="0" t="s">
        <v>240</v>
      </c>
      <c r="BN369" s="0" t="s">
        <v>240</v>
      </c>
      <c r="BO369" s="0" t="s">
        <v>240</v>
      </c>
      <c r="BP369" s="0" t="s">
        <v>240</v>
      </c>
      <c r="BQ369" s="0" t="s">
        <v>240</v>
      </c>
      <c r="BR369" s="0" t="s">
        <v>240</v>
      </c>
      <c r="BS369" s="0" t="s">
        <v>240</v>
      </c>
      <c r="BT369" s="0" t="s">
        <v>240</v>
      </c>
      <c r="BU369" s="0" t="s">
        <v>240</v>
      </c>
      <c r="BV369" s="0" t="s">
        <v>240</v>
      </c>
      <c r="BW369" s="0" t="s">
        <v>240</v>
      </c>
      <c r="BX369" s="0" t="s">
        <v>240</v>
      </c>
      <c r="BY369" s="0" t="s">
        <v>240</v>
      </c>
      <c r="BZ369" s="0" t="s">
        <v>240</v>
      </c>
      <c r="CA369" s="0" t="s">
        <v>240</v>
      </c>
      <c r="CB369" s="0" t="s">
        <v>240</v>
      </c>
      <c r="CC369" s="0" t="s">
        <v>240</v>
      </c>
      <c r="CD369" s="0" t="s">
        <v>240</v>
      </c>
      <c r="CE369" s="0" t="s">
        <v>240</v>
      </c>
      <c r="CF369" s="0" t="s">
        <v>240</v>
      </c>
      <c r="CG369" s="0" t="s">
        <v>240</v>
      </c>
      <c r="CH369" s="0" t="s">
        <v>240</v>
      </c>
      <c r="CI369" s="0" t="s">
        <v>240</v>
      </c>
      <c r="CJ369" s="0" t="s">
        <v>240</v>
      </c>
      <c r="CK369" s="0" t="s">
        <v>240</v>
      </c>
      <c r="CL369" s="0" t="s">
        <v>240</v>
      </c>
      <c r="CM369" s="0" t="s">
        <v>240</v>
      </c>
      <c r="CN369" s="0" t="s">
        <v>240</v>
      </c>
      <c r="CO369" s="0" t="s">
        <v>240</v>
      </c>
      <c r="CP369" s="0" t="s">
        <v>240</v>
      </c>
      <c r="CQ369" s="0" t="s">
        <v>240</v>
      </c>
      <c r="CR369" s="0" t="s">
        <v>240</v>
      </c>
      <c r="CS369" s="0" t="s">
        <v>240</v>
      </c>
      <c r="CT369" s="0" t="s">
        <v>5496</v>
      </c>
      <c r="CU369" s="0" t="s">
        <v>5497</v>
      </c>
      <c r="CV369" s="0" t="s">
        <v>443</v>
      </c>
      <c r="CW369" s="0" t="s">
        <v>5527</v>
      </c>
      <c r="CX369" s="0" t="s">
        <v>5528</v>
      </c>
      <c r="CY369" s="0" t="s">
        <v>443</v>
      </c>
      <c r="CZ369" s="0" t="s">
        <v>299</v>
      </c>
      <c r="DA369" s="0" t="s">
        <v>5529</v>
      </c>
      <c r="DB369" s="0" t="s">
        <v>5527</v>
      </c>
      <c r="DC369" s="0" t="s">
        <v>384</v>
      </c>
      <c r="DD369" s="0" t="s">
        <v>291</v>
      </c>
      <c r="DE369" s="0" t="s">
        <v>5538</v>
      </c>
    </row>
    <row customHeight="1" ht="11.25">
      <c r="A370" s="1441" t="s">
        <v>240</v>
      </c>
      <c r="B370" s="0" t="s">
        <v>240</v>
      </c>
      <c r="C370" s="0" t="s">
        <v>240</v>
      </c>
      <c r="D370" s="0" t="s">
        <v>240</v>
      </c>
      <c r="E370" s="0" t="s">
        <v>240</v>
      </c>
      <c r="F370" s="0" t="s">
        <v>240</v>
      </c>
      <c r="G370" s="0" t="s">
        <v>240</v>
      </c>
      <c r="H370" s="0" t="s">
        <v>240</v>
      </c>
      <c r="I370" s="0" t="s">
        <v>5484</v>
      </c>
      <c r="J370" s="0" t="s">
        <v>240</v>
      </c>
      <c r="K370" s="0" t="s">
        <v>240</v>
      </c>
      <c r="L370" s="0" t="s">
        <v>240</v>
      </c>
      <c r="M370" s="0" t="s">
        <v>240</v>
      </c>
      <c r="N370" s="0" t="s">
        <v>240</v>
      </c>
      <c r="O370" s="0" t="s">
        <v>240</v>
      </c>
      <c r="P370" s="0" t="s">
        <v>240</v>
      </c>
      <c r="Q370" s="0" t="s">
        <v>240</v>
      </c>
      <c r="R370" s="0" t="s">
        <v>5539</v>
      </c>
      <c r="S370" s="0" t="s">
        <v>240</v>
      </c>
      <c r="T370" s="0" t="s">
        <v>240</v>
      </c>
      <c r="U370" s="0" t="s">
        <v>102</v>
      </c>
      <c r="V370" s="0" t="s">
        <v>240</v>
      </c>
      <c r="W370" s="0" t="s">
        <v>240</v>
      </c>
      <c r="X370" s="0" t="s">
        <v>5485</v>
      </c>
      <c r="Y370" s="0" t="s">
        <v>240</v>
      </c>
      <c r="Z370" s="0" t="s">
        <v>161</v>
      </c>
      <c r="AA370" s="0" t="s">
        <v>152</v>
      </c>
      <c r="AB370" s="0" t="s">
        <v>152</v>
      </c>
      <c r="AC370" s="0" t="s">
        <v>2991</v>
      </c>
      <c r="AD370" s="0" t="s">
        <v>2991</v>
      </c>
      <c r="AE370" s="0" t="s">
        <v>2992</v>
      </c>
      <c r="AF370" s="0" t="s">
        <v>5749</v>
      </c>
      <c r="AG370" s="0" t="s">
        <v>5750</v>
      </c>
      <c r="AH370" s="0" t="s">
        <v>6588</v>
      </c>
      <c r="AI370" s="0" t="s">
        <v>6589</v>
      </c>
      <c r="AJ370" s="0" t="s">
        <v>6590</v>
      </c>
      <c r="AK370" s="0" t="s">
        <v>5731</v>
      </c>
      <c r="AL370" s="0" t="s">
        <v>5506</v>
      </c>
      <c r="AM370" s="0" t="s">
        <v>5493</v>
      </c>
      <c r="AN370" s="0" t="s">
        <v>5553</v>
      </c>
      <c r="AO370" s="0" t="s">
        <v>6074</v>
      </c>
      <c r="AP370" s="0" t="s">
        <v>240</v>
      </c>
      <c r="AQ370" s="0" t="s">
        <v>240</v>
      </c>
      <c r="AR370" s="0" t="s">
        <v>240</v>
      </c>
      <c r="AS370" s="0" t="s">
        <v>240</v>
      </c>
      <c r="AT370" s="0" t="s">
        <v>240</v>
      </c>
      <c r="AU370" s="0" t="s">
        <v>240</v>
      </c>
      <c r="AV370" s="0" t="s">
        <v>240</v>
      </c>
      <c r="AW370" s="0" t="s">
        <v>240</v>
      </c>
      <c r="AX370" s="0" t="s">
        <v>240</v>
      </c>
      <c r="AY370" s="0" t="s">
        <v>240</v>
      </c>
      <c r="AZ370" s="0" t="s">
        <v>240</v>
      </c>
      <c r="BA370" s="0" t="s">
        <v>240</v>
      </c>
      <c r="BB370" s="0" t="s">
        <v>240</v>
      </c>
      <c r="BC370" s="0" t="s">
        <v>240</v>
      </c>
      <c r="BD370" s="0" t="s">
        <v>240</v>
      </c>
      <c r="BE370" s="0" t="s">
        <v>240</v>
      </c>
      <c r="BF370" s="0" t="s">
        <v>240</v>
      </c>
      <c r="BG370" s="0" t="s">
        <v>240</v>
      </c>
      <c r="BH370" s="0" t="s">
        <v>240</v>
      </c>
      <c r="BI370" s="0" t="s">
        <v>240</v>
      </c>
      <c r="BJ370" s="0" t="s">
        <v>240</v>
      </c>
      <c r="BK370" s="0" t="s">
        <v>240</v>
      </c>
      <c r="BL370" s="0" t="s">
        <v>240</v>
      </c>
      <c r="BM370" s="0" t="s">
        <v>240</v>
      </c>
      <c r="BN370" s="0" t="s">
        <v>240</v>
      </c>
      <c r="BO370" s="0" t="s">
        <v>240</v>
      </c>
      <c r="BP370" s="0" t="s">
        <v>240</v>
      </c>
      <c r="BQ370" s="0" t="s">
        <v>240</v>
      </c>
      <c r="BR370" s="0" t="s">
        <v>240</v>
      </c>
      <c r="BS370" s="0" t="s">
        <v>240</v>
      </c>
      <c r="BT370" s="0" t="s">
        <v>240</v>
      </c>
      <c r="BU370" s="0" t="s">
        <v>240</v>
      </c>
      <c r="BV370" s="0" t="s">
        <v>240</v>
      </c>
      <c r="BW370" s="0" t="s">
        <v>240</v>
      </c>
      <c r="BX370" s="0" t="s">
        <v>240</v>
      </c>
      <c r="BY370" s="0" t="s">
        <v>240</v>
      </c>
      <c r="BZ370" s="0" t="s">
        <v>240</v>
      </c>
      <c r="CA370" s="0" t="s">
        <v>240</v>
      </c>
      <c r="CB370" s="0" t="s">
        <v>240</v>
      </c>
      <c r="CC370" s="0" t="s">
        <v>240</v>
      </c>
      <c r="CD370" s="0" t="s">
        <v>240</v>
      </c>
      <c r="CE370" s="0" t="s">
        <v>240</v>
      </c>
      <c r="CF370" s="0" t="s">
        <v>240</v>
      </c>
      <c r="CG370" s="0" t="s">
        <v>240</v>
      </c>
      <c r="CH370" s="0" t="s">
        <v>240</v>
      </c>
      <c r="CI370" s="0" t="s">
        <v>240</v>
      </c>
      <c r="CJ370" s="0" t="s">
        <v>240</v>
      </c>
      <c r="CK370" s="0" t="s">
        <v>240</v>
      </c>
      <c r="CL370" s="0" t="s">
        <v>240</v>
      </c>
      <c r="CM370" s="0" t="s">
        <v>240</v>
      </c>
      <c r="CN370" s="0" t="s">
        <v>240</v>
      </c>
      <c r="CO370" s="0" t="s">
        <v>240</v>
      </c>
      <c r="CP370" s="0" t="s">
        <v>240</v>
      </c>
      <c r="CQ370" s="0" t="s">
        <v>240</v>
      </c>
      <c r="CR370" s="0" t="s">
        <v>240</v>
      </c>
      <c r="CS370" s="0" t="s">
        <v>240</v>
      </c>
      <c r="CT370" s="0" t="s">
        <v>5496</v>
      </c>
      <c r="CU370" s="0" t="s">
        <v>5497</v>
      </c>
      <c r="CV370" s="0" t="s">
        <v>443</v>
      </c>
      <c r="CW370" s="0" t="s">
        <v>5547</v>
      </c>
      <c r="CX370" s="0" t="s">
        <v>229</v>
      </c>
      <c r="CY370" s="0" t="s">
        <v>443</v>
      </c>
      <c r="CZ370" s="0" t="s">
        <v>5548</v>
      </c>
      <c r="DA370" s="0" t="s">
        <v>5549</v>
      </c>
      <c r="DB370" s="0" t="s">
        <v>5547</v>
      </c>
      <c r="DC370" s="0" t="s">
        <v>384</v>
      </c>
      <c r="DD370" s="0" t="s">
        <v>291</v>
      </c>
      <c r="DE370" s="0" t="s">
        <v>6591</v>
      </c>
    </row>
    <row customHeight="1" ht="11.25">
      <c r="A371" s="1441" t="s">
        <v>240</v>
      </c>
      <c r="B371" s="0" t="s">
        <v>240</v>
      </c>
      <c r="C371" s="0" t="s">
        <v>240</v>
      </c>
      <c r="D371" s="0" t="s">
        <v>240</v>
      </c>
      <c r="E371" s="0" t="s">
        <v>240</v>
      </c>
      <c r="F371" s="0" t="s">
        <v>240</v>
      </c>
      <c r="G371" s="0" t="s">
        <v>240</v>
      </c>
      <c r="H371" s="0" t="s">
        <v>240</v>
      </c>
      <c r="I371" s="0" t="s">
        <v>5484</v>
      </c>
      <c r="J371" s="0" t="s">
        <v>240</v>
      </c>
      <c r="K371" s="0" t="s">
        <v>240</v>
      </c>
      <c r="L371" s="0" t="s">
        <v>240</v>
      </c>
      <c r="M371" s="0" t="s">
        <v>240</v>
      </c>
      <c r="N371" s="0" t="s">
        <v>240</v>
      </c>
      <c r="O371" s="0" t="s">
        <v>240</v>
      </c>
      <c r="P371" s="0" t="s">
        <v>240</v>
      </c>
      <c r="Q371" s="0" t="s">
        <v>240</v>
      </c>
      <c r="R371" s="0" t="s">
        <v>6592</v>
      </c>
      <c r="S371" s="0" t="s">
        <v>240</v>
      </c>
      <c r="T371" s="0" t="s">
        <v>240</v>
      </c>
      <c r="U371" s="0" t="s">
        <v>102</v>
      </c>
      <c r="V371" s="0" t="s">
        <v>240</v>
      </c>
      <c r="W371" s="0" t="s">
        <v>240</v>
      </c>
      <c r="X371" s="0" t="s">
        <v>5485</v>
      </c>
      <c r="Y371" s="0" t="s">
        <v>240</v>
      </c>
      <c r="Z371" s="0" t="s">
        <v>161</v>
      </c>
      <c r="AA371" s="0" t="s">
        <v>152</v>
      </c>
      <c r="AB371" s="0" t="s">
        <v>152</v>
      </c>
      <c r="AC371" s="0" t="s">
        <v>2991</v>
      </c>
      <c r="AD371" s="0" t="s">
        <v>2991</v>
      </c>
      <c r="AE371" s="0" t="s">
        <v>2992</v>
      </c>
      <c r="AF371" s="0" t="s">
        <v>5749</v>
      </c>
      <c r="AG371" s="0" t="s">
        <v>5750</v>
      </c>
      <c r="AH371" s="0" t="s">
        <v>6593</v>
      </c>
      <c r="AI371" s="0" t="s">
        <v>6594</v>
      </c>
      <c r="AJ371" s="0" t="s">
        <v>6590</v>
      </c>
      <c r="AK371" s="0" t="s">
        <v>5776</v>
      </c>
      <c r="AL371" s="0" t="s">
        <v>5506</v>
      </c>
      <c r="AM371" s="0" t="s">
        <v>5493</v>
      </c>
      <c r="AN371" s="0" t="s">
        <v>5545</v>
      </c>
      <c r="AO371" s="0" t="s">
        <v>5768</v>
      </c>
      <c r="AP371" s="0" t="s">
        <v>240</v>
      </c>
      <c r="AQ371" s="0" t="s">
        <v>240</v>
      </c>
      <c r="AR371" s="0" t="s">
        <v>240</v>
      </c>
      <c r="AS371" s="0" t="s">
        <v>240</v>
      </c>
      <c r="AT371" s="0" t="s">
        <v>240</v>
      </c>
      <c r="AU371" s="0" t="s">
        <v>240</v>
      </c>
      <c r="AV371" s="0" t="s">
        <v>240</v>
      </c>
      <c r="AW371" s="0" t="s">
        <v>240</v>
      </c>
      <c r="AX371" s="0" t="s">
        <v>240</v>
      </c>
      <c r="AY371" s="0" t="s">
        <v>240</v>
      </c>
      <c r="AZ371" s="0" t="s">
        <v>240</v>
      </c>
      <c r="BA371" s="0" t="s">
        <v>240</v>
      </c>
      <c r="BB371" s="0" t="s">
        <v>240</v>
      </c>
      <c r="BC371" s="0" t="s">
        <v>240</v>
      </c>
      <c r="BD371" s="0" t="s">
        <v>240</v>
      </c>
      <c r="BE371" s="0" t="s">
        <v>240</v>
      </c>
      <c r="BF371" s="0" t="s">
        <v>240</v>
      </c>
      <c r="BG371" s="0" t="s">
        <v>240</v>
      </c>
      <c r="BH371" s="0" t="s">
        <v>240</v>
      </c>
      <c r="BI371" s="0" t="s">
        <v>240</v>
      </c>
      <c r="BJ371" s="0" t="s">
        <v>240</v>
      </c>
      <c r="BK371" s="0" t="s">
        <v>240</v>
      </c>
      <c r="BL371" s="0" t="s">
        <v>240</v>
      </c>
      <c r="BM371" s="0" t="s">
        <v>240</v>
      </c>
      <c r="BN371" s="0" t="s">
        <v>240</v>
      </c>
      <c r="BO371" s="0" t="s">
        <v>240</v>
      </c>
      <c r="BP371" s="0" t="s">
        <v>240</v>
      </c>
      <c r="BQ371" s="0" t="s">
        <v>240</v>
      </c>
      <c r="BR371" s="0" t="s">
        <v>240</v>
      </c>
      <c r="BS371" s="0" t="s">
        <v>240</v>
      </c>
      <c r="BT371" s="0" t="s">
        <v>240</v>
      </c>
      <c r="BU371" s="0" t="s">
        <v>240</v>
      </c>
      <c r="BV371" s="0" t="s">
        <v>240</v>
      </c>
      <c r="BW371" s="0" t="s">
        <v>240</v>
      </c>
      <c r="BX371" s="0" t="s">
        <v>240</v>
      </c>
      <c r="BY371" s="0" t="s">
        <v>240</v>
      </c>
      <c r="BZ371" s="0" t="s">
        <v>240</v>
      </c>
      <c r="CA371" s="0" t="s">
        <v>240</v>
      </c>
      <c r="CB371" s="0" t="s">
        <v>240</v>
      </c>
      <c r="CC371" s="0" t="s">
        <v>240</v>
      </c>
      <c r="CD371" s="0" t="s">
        <v>240</v>
      </c>
      <c r="CE371" s="0" t="s">
        <v>240</v>
      </c>
      <c r="CF371" s="0" t="s">
        <v>240</v>
      </c>
      <c r="CG371" s="0" t="s">
        <v>240</v>
      </c>
      <c r="CH371" s="0" t="s">
        <v>240</v>
      </c>
      <c r="CI371" s="0" t="s">
        <v>240</v>
      </c>
      <c r="CJ371" s="0" t="s">
        <v>240</v>
      </c>
      <c r="CK371" s="0" t="s">
        <v>240</v>
      </c>
      <c r="CL371" s="0" t="s">
        <v>240</v>
      </c>
      <c r="CM371" s="0" t="s">
        <v>240</v>
      </c>
      <c r="CN371" s="0" t="s">
        <v>240</v>
      </c>
      <c r="CO371" s="0" t="s">
        <v>240</v>
      </c>
      <c r="CP371" s="0" t="s">
        <v>240</v>
      </c>
      <c r="CQ371" s="0" t="s">
        <v>240</v>
      </c>
      <c r="CR371" s="0" t="s">
        <v>240</v>
      </c>
      <c r="CS371" s="0" t="s">
        <v>240</v>
      </c>
      <c r="CT371" s="0" t="s">
        <v>5496</v>
      </c>
      <c r="CU371" s="0" t="s">
        <v>5497</v>
      </c>
      <c r="CV371" s="0" t="s">
        <v>443</v>
      </c>
      <c r="CW371" s="0" t="s">
        <v>5547</v>
      </c>
      <c r="CX371" s="0" t="s">
        <v>229</v>
      </c>
      <c r="CY371" s="0" t="s">
        <v>443</v>
      </c>
      <c r="CZ371" s="0" t="s">
        <v>5548</v>
      </c>
      <c r="DA371" s="0" t="s">
        <v>5549</v>
      </c>
      <c r="DB371" s="0" t="s">
        <v>5547</v>
      </c>
      <c r="DC371" s="0" t="s">
        <v>384</v>
      </c>
      <c r="DD371" s="0" t="s">
        <v>291</v>
      </c>
      <c r="DE371" s="0" t="s">
        <v>6595</v>
      </c>
    </row>
    <row customHeight="1" ht="11.25">
      <c r="A372" s="1441" t="s">
        <v>240</v>
      </c>
      <c r="B372" s="0" t="s">
        <v>240</v>
      </c>
      <c r="C372" s="0" t="s">
        <v>240</v>
      </c>
      <c r="D372" s="0" t="s">
        <v>240</v>
      </c>
      <c r="E372" s="0" t="s">
        <v>240</v>
      </c>
      <c r="F372" s="0" t="s">
        <v>240</v>
      </c>
      <c r="G372" s="0" t="s">
        <v>240</v>
      </c>
      <c r="H372" s="0" t="s">
        <v>240</v>
      </c>
      <c r="I372" s="0" t="s">
        <v>5484</v>
      </c>
      <c r="J372" s="0" t="s">
        <v>240</v>
      </c>
      <c r="K372" s="0" t="s">
        <v>240</v>
      </c>
      <c r="L372" s="0" t="s">
        <v>240</v>
      </c>
      <c r="M372" s="0" t="s">
        <v>240</v>
      </c>
      <c r="N372" s="0" t="s">
        <v>240</v>
      </c>
      <c r="O372" s="0" t="s">
        <v>240</v>
      </c>
      <c r="P372" s="0" t="s">
        <v>240</v>
      </c>
      <c r="Q372" s="0" t="s">
        <v>240</v>
      </c>
      <c r="R372" s="0" t="s">
        <v>6596</v>
      </c>
      <c r="S372" s="0" t="s">
        <v>240</v>
      </c>
      <c r="T372" s="0" t="s">
        <v>240</v>
      </c>
      <c r="U372" s="0" t="s">
        <v>102</v>
      </c>
      <c r="V372" s="0" t="s">
        <v>240</v>
      </c>
      <c r="W372" s="0" t="s">
        <v>240</v>
      </c>
      <c r="X372" s="0" t="s">
        <v>5485</v>
      </c>
      <c r="Y372" s="0" t="s">
        <v>240</v>
      </c>
      <c r="Z372" s="0" t="s">
        <v>161</v>
      </c>
      <c r="AA372" s="0" t="s">
        <v>152</v>
      </c>
      <c r="AB372" s="0" t="s">
        <v>152</v>
      </c>
      <c r="AC372" s="0" t="s">
        <v>2991</v>
      </c>
      <c r="AD372" s="0" t="s">
        <v>2991</v>
      </c>
      <c r="AE372" s="0" t="s">
        <v>2992</v>
      </c>
      <c r="AF372" s="0" t="s">
        <v>5749</v>
      </c>
      <c r="AG372" s="0" t="s">
        <v>5750</v>
      </c>
      <c r="AH372" s="0" t="s">
        <v>6597</v>
      </c>
      <c r="AI372" s="0" t="s">
        <v>6598</v>
      </c>
      <c r="AJ372" s="0" t="s">
        <v>6590</v>
      </c>
      <c r="AK372" s="0" t="s">
        <v>5731</v>
      </c>
      <c r="AL372" s="0" t="s">
        <v>5506</v>
      </c>
      <c r="AM372" s="0" t="s">
        <v>5493</v>
      </c>
      <c r="AN372" s="0" t="s">
        <v>5545</v>
      </c>
      <c r="AO372" s="0" t="s">
        <v>5636</v>
      </c>
      <c r="AP372" s="0" t="s">
        <v>240</v>
      </c>
      <c r="AQ372" s="0" t="s">
        <v>240</v>
      </c>
      <c r="AR372" s="0" t="s">
        <v>240</v>
      </c>
      <c r="AS372" s="0" t="s">
        <v>240</v>
      </c>
      <c r="AT372" s="0" t="s">
        <v>240</v>
      </c>
      <c r="AU372" s="0" t="s">
        <v>240</v>
      </c>
      <c r="AV372" s="0" t="s">
        <v>240</v>
      </c>
      <c r="AW372" s="0" t="s">
        <v>240</v>
      </c>
      <c r="AX372" s="0" t="s">
        <v>240</v>
      </c>
      <c r="AY372" s="0" t="s">
        <v>240</v>
      </c>
      <c r="AZ372" s="0" t="s">
        <v>240</v>
      </c>
      <c r="BA372" s="0" t="s">
        <v>240</v>
      </c>
      <c r="BB372" s="0" t="s">
        <v>240</v>
      </c>
      <c r="BC372" s="0" t="s">
        <v>240</v>
      </c>
      <c r="BD372" s="0" t="s">
        <v>240</v>
      </c>
      <c r="BE372" s="0" t="s">
        <v>240</v>
      </c>
      <c r="BF372" s="0" t="s">
        <v>240</v>
      </c>
      <c r="BG372" s="0" t="s">
        <v>240</v>
      </c>
      <c r="BH372" s="0" t="s">
        <v>240</v>
      </c>
      <c r="BI372" s="0" t="s">
        <v>240</v>
      </c>
      <c r="BJ372" s="0" t="s">
        <v>240</v>
      </c>
      <c r="BK372" s="0" t="s">
        <v>240</v>
      </c>
      <c r="BL372" s="0" t="s">
        <v>240</v>
      </c>
      <c r="BM372" s="0" t="s">
        <v>240</v>
      </c>
      <c r="BN372" s="0" t="s">
        <v>240</v>
      </c>
      <c r="BO372" s="0" t="s">
        <v>240</v>
      </c>
      <c r="BP372" s="0" t="s">
        <v>240</v>
      </c>
      <c r="BQ372" s="0" t="s">
        <v>240</v>
      </c>
      <c r="BR372" s="0" t="s">
        <v>240</v>
      </c>
      <c r="BS372" s="0" t="s">
        <v>240</v>
      </c>
      <c r="BT372" s="0" t="s">
        <v>240</v>
      </c>
      <c r="BU372" s="0" t="s">
        <v>240</v>
      </c>
      <c r="BV372" s="0" t="s">
        <v>240</v>
      </c>
      <c r="BW372" s="0" t="s">
        <v>240</v>
      </c>
      <c r="BX372" s="0" t="s">
        <v>240</v>
      </c>
      <c r="BY372" s="0" t="s">
        <v>240</v>
      </c>
      <c r="BZ372" s="0" t="s">
        <v>240</v>
      </c>
      <c r="CA372" s="0" t="s">
        <v>240</v>
      </c>
      <c r="CB372" s="0" t="s">
        <v>240</v>
      </c>
      <c r="CC372" s="0" t="s">
        <v>240</v>
      </c>
      <c r="CD372" s="0" t="s">
        <v>240</v>
      </c>
      <c r="CE372" s="0" t="s">
        <v>240</v>
      </c>
      <c r="CF372" s="0" t="s">
        <v>240</v>
      </c>
      <c r="CG372" s="0" t="s">
        <v>240</v>
      </c>
      <c r="CH372" s="0" t="s">
        <v>240</v>
      </c>
      <c r="CI372" s="0" t="s">
        <v>240</v>
      </c>
      <c r="CJ372" s="0" t="s">
        <v>240</v>
      </c>
      <c r="CK372" s="0" t="s">
        <v>240</v>
      </c>
      <c r="CL372" s="0" t="s">
        <v>240</v>
      </c>
      <c r="CM372" s="0" t="s">
        <v>240</v>
      </c>
      <c r="CN372" s="0" t="s">
        <v>240</v>
      </c>
      <c r="CO372" s="0" t="s">
        <v>240</v>
      </c>
      <c r="CP372" s="0" t="s">
        <v>240</v>
      </c>
      <c r="CQ372" s="0" t="s">
        <v>240</v>
      </c>
      <c r="CR372" s="0" t="s">
        <v>240</v>
      </c>
      <c r="CS372" s="0" t="s">
        <v>240</v>
      </c>
      <c r="CT372" s="0" t="s">
        <v>5496</v>
      </c>
      <c r="CU372" s="0" t="s">
        <v>5497</v>
      </c>
      <c r="CV372" s="0" t="s">
        <v>443</v>
      </c>
      <c r="CW372" s="0" t="s">
        <v>5547</v>
      </c>
      <c r="CX372" s="0" t="s">
        <v>229</v>
      </c>
      <c r="CY372" s="0" t="s">
        <v>443</v>
      </c>
      <c r="CZ372" s="0" t="s">
        <v>5548</v>
      </c>
      <c r="DA372" s="0" t="s">
        <v>5549</v>
      </c>
      <c r="DB372" s="0" t="s">
        <v>5547</v>
      </c>
      <c r="DC372" s="0" t="s">
        <v>384</v>
      </c>
      <c r="DD372" s="0" t="s">
        <v>291</v>
      </c>
      <c r="DE372" s="0" t="s">
        <v>6599</v>
      </c>
    </row>
    <row customHeight="1" ht="11.25">
      <c r="A373" s="1441" t="s">
        <v>240</v>
      </c>
      <c r="B373" s="0" t="s">
        <v>240</v>
      </c>
      <c r="C373" s="0" t="s">
        <v>240</v>
      </c>
      <c r="D373" s="0" t="s">
        <v>240</v>
      </c>
      <c r="E373" s="0" t="s">
        <v>240</v>
      </c>
      <c r="F373" s="0" t="s">
        <v>240</v>
      </c>
      <c r="G373" s="0" t="s">
        <v>240</v>
      </c>
      <c r="H373" s="0" t="s">
        <v>240</v>
      </c>
      <c r="I373" s="0" t="s">
        <v>5484</v>
      </c>
      <c r="J373" s="0" t="s">
        <v>240</v>
      </c>
      <c r="K373" s="0" t="s">
        <v>240</v>
      </c>
      <c r="L373" s="0" t="s">
        <v>240</v>
      </c>
      <c r="M373" s="0" t="s">
        <v>240</v>
      </c>
      <c r="N373" s="0" t="s">
        <v>240</v>
      </c>
      <c r="O373" s="0" t="s">
        <v>240</v>
      </c>
      <c r="P373" s="0" t="s">
        <v>240</v>
      </c>
      <c r="Q373" s="0" t="s">
        <v>240</v>
      </c>
      <c r="R373" s="0" t="s">
        <v>5572</v>
      </c>
      <c r="S373" s="0" t="s">
        <v>240</v>
      </c>
      <c r="T373" s="0" t="s">
        <v>240</v>
      </c>
      <c r="U373" s="0" t="s">
        <v>102</v>
      </c>
      <c r="V373" s="0" t="s">
        <v>240</v>
      </c>
      <c r="W373" s="0" t="s">
        <v>240</v>
      </c>
      <c r="X373" s="0" t="s">
        <v>5485</v>
      </c>
      <c r="Y373" s="0" t="s">
        <v>240</v>
      </c>
      <c r="Z373" s="0" t="s">
        <v>161</v>
      </c>
      <c r="AA373" s="0" t="s">
        <v>152</v>
      </c>
      <c r="AB373" s="0" t="s">
        <v>152</v>
      </c>
      <c r="AC373" s="0" t="s">
        <v>2991</v>
      </c>
      <c r="AD373" s="0" t="s">
        <v>2991</v>
      </c>
      <c r="AE373" s="0" t="s">
        <v>2992</v>
      </c>
      <c r="AF373" s="0" t="s">
        <v>5661</v>
      </c>
      <c r="AG373" s="0" t="s">
        <v>5662</v>
      </c>
      <c r="AH373" s="0" t="s">
        <v>6849</v>
      </c>
      <c r="AI373" s="0" t="s">
        <v>5551</v>
      </c>
      <c r="AJ373" s="0" t="s">
        <v>5504</v>
      </c>
      <c r="AK373" s="0" t="s">
        <v>5672</v>
      </c>
      <c r="AL373" s="0" t="s">
        <v>5506</v>
      </c>
      <c r="AM373" s="0" t="s">
        <v>5493</v>
      </c>
      <c r="AN373" s="0" t="s">
        <v>5545</v>
      </c>
      <c r="AO373" s="0" t="s">
        <v>6437</v>
      </c>
      <c r="AP373" s="0" t="s">
        <v>240</v>
      </c>
      <c r="AQ373" s="0" t="s">
        <v>240</v>
      </c>
      <c r="AR373" s="0" t="s">
        <v>240</v>
      </c>
      <c r="AS373" s="0" t="s">
        <v>240</v>
      </c>
      <c r="AT373" s="0" t="s">
        <v>240</v>
      </c>
      <c r="AU373" s="0" t="s">
        <v>240</v>
      </c>
      <c r="AV373" s="0" t="s">
        <v>240</v>
      </c>
      <c r="AW373" s="0" t="s">
        <v>240</v>
      </c>
      <c r="AX373" s="0" t="s">
        <v>240</v>
      </c>
      <c r="AY373" s="0" t="s">
        <v>240</v>
      </c>
      <c r="AZ373" s="0" t="s">
        <v>240</v>
      </c>
      <c r="BA373" s="0" t="s">
        <v>240</v>
      </c>
      <c r="BB373" s="0" t="s">
        <v>240</v>
      </c>
      <c r="BC373" s="0" t="s">
        <v>240</v>
      </c>
      <c r="BD373" s="0" t="s">
        <v>240</v>
      </c>
      <c r="BE373" s="0" t="s">
        <v>240</v>
      </c>
      <c r="BF373" s="0" t="s">
        <v>240</v>
      </c>
      <c r="BG373" s="0" t="s">
        <v>240</v>
      </c>
      <c r="BH373" s="0" t="s">
        <v>240</v>
      </c>
      <c r="BI373" s="0" t="s">
        <v>240</v>
      </c>
      <c r="BJ373" s="0" t="s">
        <v>240</v>
      </c>
      <c r="BK373" s="0" t="s">
        <v>240</v>
      </c>
      <c r="BL373" s="0" t="s">
        <v>240</v>
      </c>
      <c r="BM373" s="0" t="s">
        <v>240</v>
      </c>
      <c r="BN373" s="0" t="s">
        <v>240</v>
      </c>
      <c r="BO373" s="0" t="s">
        <v>240</v>
      </c>
      <c r="BP373" s="0" t="s">
        <v>240</v>
      </c>
      <c r="BQ373" s="0" t="s">
        <v>240</v>
      </c>
      <c r="BR373" s="0" t="s">
        <v>240</v>
      </c>
      <c r="BS373" s="0" t="s">
        <v>240</v>
      </c>
      <c r="BT373" s="0" t="s">
        <v>240</v>
      </c>
      <c r="BU373" s="0" t="s">
        <v>240</v>
      </c>
      <c r="BV373" s="0" t="s">
        <v>240</v>
      </c>
      <c r="BW373" s="0" t="s">
        <v>240</v>
      </c>
      <c r="BX373" s="0" t="s">
        <v>240</v>
      </c>
      <c r="BY373" s="0" t="s">
        <v>240</v>
      </c>
      <c r="BZ373" s="0" t="s">
        <v>240</v>
      </c>
      <c r="CA373" s="0" t="s">
        <v>240</v>
      </c>
      <c r="CB373" s="0" t="s">
        <v>240</v>
      </c>
      <c r="CC373" s="0" t="s">
        <v>240</v>
      </c>
      <c r="CD373" s="0" t="s">
        <v>240</v>
      </c>
      <c r="CE373" s="0" t="s">
        <v>240</v>
      </c>
      <c r="CF373" s="0" t="s">
        <v>240</v>
      </c>
      <c r="CG373" s="0" t="s">
        <v>240</v>
      </c>
      <c r="CH373" s="0" t="s">
        <v>240</v>
      </c>
      <c r="CI373" s="0" t="s">
        <v>240</v>
      </c>
      <c r="CJ373" s="0" t="s">
        <v>240</v>
      </c>
      <c r="CK373" s="0" t="s">
        <v>240</v>
      </c>
      <c r="CL373" s="0" t="s">
        <v>240</v>
      </c>
      <c r="CM373" s="0" t="s">
        <v>240</v>
      </c>
      <c r="CN373" s="0" t="s">
        <v>240</v>
      </c>
      <c r="CO373" s="0" t="s">
        <v>240</v>
      </c>
      <c r="CP373" s="0" t="s">
        <v>240</v>
      </c>
      <c r="CQ373" s="0" t="s">
        <v>240</v>
      </c>
      <c r="CR373" s="0" t="s">
        <v>240</v>
      </c>
      <c r="CS373" s="0" t="s">
        <v>240</v>
      </c>
      <c r="CT373" s="0" t="s">
        <v>5496</v>
      </c>
      <c r="CU373" s="0" t="s">
        <v>5497</v>
      </c>
      <c r="CV373" s="0" t="s">
        <v>443</v>
      </c>
      <c r="CW373" s="0" t="s">
        <v>5547</v>
      </c>
      <c r="CX373" s="0" t="s">
        <v>229</v>
      </c>
      <c r="CY373" s="0" t="s">
        <v>443</v>
      </c>
      <c r="CZ373" s="0" t="s">
        <v>5548</v>
      </c>
      <c r="DA373" s="0" t="s">
        <v>5549</v>
      </c>
      <c r="DB373" s="0" t="s">
        <v>5547</v>
      </c>
      <c r="DC373" s="0" t="s">
        <v>384</v>
      </c>
      <c r="DD373" s="0" t="s">
        <v>291</v>
      </c>
      <c r="DE373" s="0" t="s">
        <v>6850</v>
      </c>
    </row>
    <row customHeight="1" ht="11.25">
      <c r="A374" s="1441" t="s">
        <v>240</v>
      </c>
      <c r="B374" s="0" t="s">
        <v>240</v>
      </c>
      <c r="C374" s="0" t="s">
        <v>240</v>
      </c>
      <c r="D374" s="0" t="s">
        <v>240</v>
      </c>
      <c r="E374" s="0" t="s">
        <v>240</v>
      </c>
      <c r="F374" s="0" t="s">
        <v>240</v>
      </c>
      <c r="G374" s="0" t="s">
        <v>240</v>
      </c>
      <c r="H374" s="0" t="s">
        <v>240</v>
      </c>
      <c r="I374" s="0" t="s">
        <v>5484</v>
      </c>
      <c r="J374" s="0" t="s">
        <v>240</v>
      </c>
      <c r="K374" s="0" t="s">
        <v>240</v>
      </c>
      <c r="L374" s="0" t="s">
        <v>240</v>
      </c>
      <c r="M374" s="0" t="s">
        <v>240</v>
      </c>
      <c r="N374" s="0" t="s">
        <v>240</v>
      </c>
      <c r="O374" s="0" t="s">
        <v>240</v>
      </c>
      <c r="P374" s="0" t="s">
        <v>240</v>
      </c>
      <c r="Q374" s="0" t="s">
        <v>240</v>
      </c>
      <c r="R374" s="0" t="s">
        <v>5660</v>
      </c>
      <c r="S374" s="0" t="s">
        <v>240</v>
      </c>
      <c r="T374" s="0" t="s">
        <v>240</v>
      </c>
      <c r="U374" s="0" t="s">
        <v>102</v>
      </c>
      <c r="V374" s="0" t="s">
        <v>240</v>
      </c>
      <c r="W374" s="0" t="s">
        <v>240</v>
      </c>
      <c r="X374" s="0" t="s">
        <v>5585</v>
      </c>
      <c r="Y374" s="0" t="s">
        <v>240</v>
      </c>
      <c r="Z374" s="0" t="s">
        <v>152</v>
      </c>
      <c r="AA374" s="0" t="s">
        <v>152</v>
      </c>
      <c r="AB374" s="0" t="s">
        <v>161</v>
      </c>
      <c r="AC374" s="0" t="s">
        <v>2991</v>
      </c>
      <c r="AD374" s="0" t="s">
        <v>2991</v>
      </c>
      <c r="AE374" s="0" t="s">
        <v>2992</v>
      </c>
      <c r="AF374" s="0" t="s">
        <v>5661</v>
      </c>
      <c r="AG374" s="0" t="s">
        <v>5662</v>
      </c>
      <c r="AH374" s="0" t="s">
        <v>5575</v>
      </c>
      <c r="AI374" s="0" t="s">
        <v>5575</v>
      </c>
      <c r="AJ374" s="0" t="s">
        <v>240</v>
      </c>
      <c r="AK374" s="0" t="s">
        <v>240</v>
      </c>
      <c r="AL374" s="0" t="s">
        <v>240</v>
      </c>
      <c r="AM374" s="0" t="s">
        <v>240</v>
      </c>
      <c r="AN374" s="0" t="s">
        <v>240</v>
      </c>
      <c r="AO374" s="0" t="s">
        <v>240</v>
      </c>
      <c r="AP374" s="0" t="s">
        <v>240</v>
      </c>
      <c r="AQ374" s="0" t="s">
        <v>240</v>
      </c>
      <c r="AR374" s="0" t="s">
        <v>240</v>
      </c>
      <c r="AS374" s="0" t="s">
        <v>240</v>
      </c>
      <c r="AT374" s="0" t="s">
        <v>240</v>
      </c>
      <c r="AU374" s="0" t="s">
        <v>240</v>
      </c>
      <c r="AV374" s="0" t="s">
        <v>240</v>
      </c>
      <c r="AW374" s="0" t="s">
        <v>240</v>
      </c>
      <c r="AX374" s="0" t="s">
        <v>240</v>
      </c>
      <c r="AY374" s="0" t="s">
        <v>240</v>
      </c>
      <c r="AZ374" s="0" t="s">
        <v>240</v>
      </c>
      <c r="BA374" s="0" t="s">
        <v>240</v>
      </c>
      <c r="BB374" s="0" t="s">
        <v>240</v>
      </c>
      <c r="BC374" s="0" t="s">
        <v>240</v>
      </c>
      <c r="BD374" s="0" t="s">
        <v>240</v>
      </c>
      <c r="BE374" s="0" t="s">
        <v>5576</v>
      </c>
      <c r="BF374" s="0" t="s">
        <v>5544</v>
      </c>
      <c r="BG374" s="0" t="s">
        <v>112</v>
      </c>
      <c r="BH374" s="0" t="s">
        <v>5589</v>
      </c>
      <c r="BI374" s="0" t="s">
        <v>123</v>
      </c>
      <c r="BJ374" s="0" t="s">
        <v>240</v>
      </c>
      <c r="BK374" s="0" t="s">
        <v>5608</v>
      </c>
      <c r="BL374" s="0" t="s">
        <v>2991</v>
      </c>
      <c r="BM374" s="0" t="s">
        <v>2991</v>
      </c>
      <c r="BN374" s="0" t="s">
        <v>5663</v>
      </c>
      <c r="BO374" s="0" t="s">
        <v>5661</v>
      </c>
      <c r="BP374" s="0" t="s">
        <v>5664</v>
      </c>
      <c r="BQ374" s="0" t="s">
        <v>5575</v>
      </c>
      <c r="BR374" s="0" t="s">
        <v>5575</v>
      </c>
      <c r="BS374" s="0" t="s">
        <v>240</v>
      </c>
      <c r="BT374" s="0" t="s">
        <v>5650</v>
      </c>
      <c r="BU374" s="0" t="s">
        <v>5665</v>
      </c>
      <c r="BV374" s="0" t="s">
        <v>5665</v>
      </c>
      <c r="BW374" s="0" t="s">
        <v>5598</v>
      </c>
      <c r="BX374" s="0" t="s">
        <v>5598</v>
      </c>
      <c r="BY374" s="0" t="s">
        <v>5598</v>
      </c>
      <c r="BZ374" s="0" t="s">
        <v>5598</v>
      </c>
      <c r="CA374" s="0" t="s">
        <v>5598</v>
      </c>
      <c r="CB374" s="0" t="s">
        <v>240</v>
      </c>
      <c r="CC374" s="0" t="s">
        <v>240</v>
      </c>
      <c r="CD374" s="0" t="s">
        <v>240</v>
      </c>
      <c r="CE374" s="0" t="s">
        <v>240</v>
      </c>
      <c r="CF374" s="0" t="s">
        <v>240</v>
      </c>
      <c r="CG374" s="0" t="s">
        <v>5598</v>
      </c>
      <c r="CH374" s="0" t="s">
        <v>240</v>
      </c>
      <c r="CI374" s="0" t="s">
        <v>240</v>
      </c>
      <c r="CJ374" s="0" t="s">
        <v>240</v>
      </c>
      <c r="CK374" s="0" t="s">
        <v>240</v>
      </c>
      <c r="CL374" s="0" t="s">
        <v>240</v>
      </c>
      <c r="CM374" s="0" t="s">
        <v>5665</v>
      </c>
      <c r="CN374" s="0" t="s">
        <v>5665</v>
      </c>
      <c r="CO374" s="0" t="s">
        <v>240</v>
      </c>
      <c r="CP374" s="0" t="s">
        <v>240</v>
      </c>
      <c r="CQ374" s="0" t="s">
        <v>240</v>
      </c>
      <c r="CR374" s="0" t="s">
        <v>240</v>
      </c>
      <c r="CS374" s="0" t="s">
        <v>5666</v>
      </c>
      <c r="CT374" s="0" t="s">
        <v>5496</v>
      </c>
      <c r="CU374" s="0" t="s">
        <v>5497</v>
      </c>
      <c r="CV374" s="0" t="s">
        <v>443</v>
      </c>
      <c r="CW374" s="0" t="s">
        <v>5547</v>
      </c>
      <c r="CX374" s="0" t="s">
        <v>229</v>
      </c>
      <c r="CY374" s="0" t="s">
        <v>443</v>
      </c>
      <c r="CZ374" s="0" t="s">
        <v>5548</v>
      </c>
      <c r="DA374" s="0" t="s">
        <v>5549</v>
      </c>
      <c r="DB374" s="0" t="s">
        <v>5547</v>
      </c>
      <c r="DC374" s="0" t="s">
        <v>384</v>
      </c>
      <c r="DD374" s="0" t="s">
        <v>291</v>
      </c>
      <c r="DE374" s="0" t="s">
        <v>5667</v>
      </c>
    </row>
    <row customHeight="1" ht="11.25">
      <c r="A375" s="1441" t="s">
        <v>240</v>
      </c>
      <c r="B375" s="0" t="s">
        <v>240</v>
      </c>
      <c r="C375" s="0" t="s">
        <v>240</v>
      </c>
      <c r="D375" s="0" t="s">
        <v>240</v>
      </c>
      <c r="E375" s="0" t="s">
        <v>240</v>
      </c>
      <c r="F375" s="0" t="s">
        <v>240</v>
      </c>
      <c r="G375" s="0" t="s">
        <v>240</v>
      </c>
      <c r="H375" s="0" t="s">
        <v>240</v>
      </c>
      <c r="I375" s="0" t="s">
        <v>5484</v>
      </c>
      <c r="J375" s="0" t="s">
        <v>240</v>
      </c>
      <c r="K375" s="0" t="s">
        <v>240</v>
      </c>
      <c r="L375" s="0" t="s">
        <v>240</v>
      </c>
      <c r="M375" s="0" t="s">
        <v>240</v>
      </c>
      <c r="N375" s="0" t="s">
        <v>240</v>
      </c>
      <c r="O375" s="0" t="s">
        <v>240</v>
      </c>
      <c r="P375" s="0" t="s">
        <v>240</v>
      </c>
      <c r="Q375" s="0" t="s">
        <v>240</v>
      </c>
      <c r="R375" s="0" t="s">
        <v>6858</v>
      </c>
      <c r="S375" s="0" t="s">
        <v>240</v>
      </c>
      <c r="T375" s="0" t="s">
        <v>240</v>
      </c>
      <c r="U375" s="0" t="s">
        <v>102</v>
      </c>
      <c r="V375" s="0" t="s">
        <v>240</v>
      </c>
      <c r="W375" s="0" t="s">
        <v>240</v>
      </c>
      <c r="X375" s="0" t="s">
        <v>5585</v>
      </c>
      <c r="Y375" s="0" t="s">
        <v>240</v>
      </c>
      <c r="Z375" s="0" t="s">
        <v>152</v>
      </c>
      <c r="AA375" s="0" t="s">
        <v>152</v>
      </c>
      <c r="AB375" s="0" t="s">
        <v>161</v>
      </c>
      <c r="AC375" s="0" t="s">
        <v>2991</v>
      </c>
      <c r="AD375" s="0" t="s">
        <v>2991</v>
      </c>
      <c r="AE375" s="0" t="s">
        <v>2992</v>
      </c>
      <c r="AF375" s="0" t="s">
        <v>6394</v>
      </c>
      <c r="AG375" s="0" t="s">
        <v>6395</v>
      </c>
      <c r="AH375" s="0" t="s">
        <v>5575</v>
      </c>
      <c r="AI375" s="0" t="s">
        <v>5575</v>
      </c>
      <c r="AJ375" s="0" t="s">
        <v>240</v>
      </c>
      <c r="AK375" s="0" t="s">
        <v>240</v>
      </c>
      <c r="AL375" s="0" t="s">
        <v>240</v>
      </c>
      <c r="AM375" s="0" t="s">
        <v>240</v>
      </c>
      <c r="AN375" s="0" t="s">
        <v>240</v>
      </c>
      <c r="AO375" s="0" t="s">
        <v>240</v>
      </c>
      <c r="AP375" s="0" t="s">
        <v>240</v>
      </c>
      <c r="AQ375" s="0" t="s">
        <v>240</v>
      </c>
      <c r="AR375" s="0" t="s">
        <v>240</v>
      </c>
      <c r="AS375" s="0" t="s">
        <v>240</v>
      </c>
      <c r="AT375" s="0" t="s">
        <v>240</v>
      </c>
      <c r="AU375" s="0" t="s">
        <v>240</v>
      </c>
      <c r="AV375" s="0" t="s">
        <v>240</v>
      </c>
      <c r="AW375" s="0" t="s">
        <v>240</v>
      </c>
      <c r="AX375" s="0" t="s">
        <v>240</v>
      </c>
      <c r="AY375" s="0" t="s">
        <v>240</v>
      </c>
      <c r="AZ375" s="0" t="s">
        <v>240</v>
      </c>
      <c r="BA375" s="0" t="s">
        <v>240</v>
      </c>
      <c r="BB375" s="0" t="s">
        <v>240</v>
      </c>
      <c r="BC375" s="0" t="s">
        <v>240</v>
      </c>
      <c r="BD375" s="0" t="s">
        <v>240</v>
      </c>
      <c r="BE375" s="0" t="s">
        <v>5504</v>
      </c>
      <c r="BF375" s="0" t="s">
        <v>6653</v>
      </c>
      <c r="BG375" s="0" t="s">
        <v>112</v>
      </c>
      <c r="BH375" s="0" t="s">
        <v>5589</v>
      </c>
      <c r="BI375" s="0" t="s">
        <v>123</v>
      </c>
      <c r="BJ375" s="0" t="s">
        <v>240</v>
      </c>
      <c r="BK375" s="0" t="s">
        <v>5608</v>
      </c>
      <c r="BL375" s="0" t="s">
        <v>2991</v>
      </c>
      <c r="BM375" s="0" t="s">
        <v>2991</v>
      </c>
      <c r="BN375" s="0" t="s">
        <v>5663</v>
      </c>
      <c r="BO375" s="0" t="s">
        <v>6394</v>
      </c>
      <c r="BP375" s="0" t="s">
        <v>6859</v>
      </c>
      <c r="BQ375" s="0" t="s">
        <v>5575</v>
      </c>
      <c r="BR375" s="0" t="s">
        <v>5575</v>
      </c>
      <c r="BS375" s="0" t="s">
        <v>240</v>
      </c>
      <c r="BT375" s="0" t="s">
        <v>5650</v>
      </c>
      <c r="BU375" s="0" t="s">
        <v>6860</v>
      </c>
      <c r="BV375" s="0" t="s">
        <v>6860</v>
      </c>
      <c r="BW375" s="0" t="s">
        <v>5598</v>
      </c>
      <c r="BX375" s="0" t="s">
        <v>5598</v>
      </c>
      <c r="BY375" s="0" t="s">
        <v>5598</v>
      </c>
      <c r="BZ375" s="0" t="s">
        <v>5598</v>
      </c>
      <c r="CA375" s="0" t="s">
        <v>5598</v>
      </c>
      <c r="CB375" s="0" t="s">
        <v>240</v>
      </c>
      <c r="CC375" s="0" t="s">
        <v>240</v>
      </c>
      <c r="CD375" s="0" t="s">
        <v>240</v>
      </c>
      <c r="CE375" s="0" t="s">
        <v>240</v>
      </c>
      <c r="CF375" s="0" t="s">
        <v>240</v>
      </c>
      <c r="CG375" s="0" t="s">
        <v>5598</v>
      </c>
      <c r="CH375" s="0" t="s">
        <v>240</v>
      </c>
      <c r="CI375" s="0" t="s">
        <v>240</v>
      </c>
      <c r="CJ375" s="0" t="s">
        <v>240</v>
      </c>
      <c r="CK375" s="0" t="s">
        <v>240</v>
      </c>
      <c r="CL375" s="0" t="s">
        <v>240</v>
      </c>
      <c r="CM375" s="0" t="s">
        <v>6860</v>
      </c>
      <c r="CN375" s="0" t="s">
        <v>6860</v>
      </c>
      <c r="CO375" s="0" t="s">
        <v>240</v>
      </c>
      <c r="CP375" s="0" t="s">
        <v>240</v>
      </c>
      <c r="CQ375" s="0" t="s">
        <v>240</v>
      </c>
      <c r="CR375" s="0" t="s">
        <v>240</v>
      </c>
      <c r="CS375" s="0" t="s">
        <v>5666</v>
      </c>
      <c r="CT375" s="0" t="s">
        <v>5496</v>
      </c>
      <c r="CU375" s="0" t="s">
        <v>5497</v>
      </c>
      <c r="CV375" s="0" t="s">
        <v>443</v>
      </c>
      <c r="CW375" s="0" t="s">
        <v>5547</v>
      </c>
      <c r="CX375" s="0" t="s">
        <v>229</v>
      </c>
      <c r="CY375" s="0" t="s">
        <v>443</v>
      </c>
      <c r="CZ375" s="0" t="s">
        <v>5548</v>
      </c>
      <c r="DA375" s="0" t="s">
        <v>5549</v>
      </c>
      <c r="DB375" s="0" t="s">
        <v>5547</v>
      </c>
      <c r="DC375" s="0" t="s">
        <v>384</v>
      </c>
      <c r="DD375" s="0" t="s">
        <v>291</v>
      </c>
      <c r="DE375" s="0" t="s">
        <v>6861</v>
      </c>
    </row>
    <row customHeight="1" ht="11.25">
      <c r="A376" s="1441" t="s">
        <v>240</v>
      </c>
      <c r="B376" s="0" t="s">
        <v>240</v>
      </c>
      <c r="C376" s="0" t="s">
        <v>240</v>
      </c>
      <c r="D376" s="0" t="s">
        <v>240</v>
      </c>
      <c r="E376" s="0" t="s">
        <v>240</v>
      </c>
      <c r="F376" s="0" t="s">
        <v>240</v>
      </c>
      <c r="G376" s="0" t="s">
        <v>240</v>
      </c>
      <c r="H376" s="0" t="s">
        <v>240</v>
      </c>
      <c r="I376" s="0" t="s">
        <v>5484</v>
      </c>
      <c r="J376" s="0" t="s">
        <v>240</v>
      </c>
      <c r="K376" s="0" t="s">
        <v>240</v>
      </c>
      <c r="L376" s="0" t="s">
        <v>240</v>
      </c>
      <c r="M376" s="0" t="s">
        <v>240</v>
      </c>
      <c r="N376" s="0" t="s">
        <v>240</v>
      </c>
      <c r="O376" s="0" t="s">
        <v>240</v>
      </c>
      <c r="P376" s="0" t="s">
        <v>240</v>
      </c>
      <c r="Q376" s="0" t="s">
        <v>240</v>
      </c>
      <c r="R376" s="0" t="s">
        <v>6959</v>
      </c>
      <c r="S376" s="0" t="s">
        <v>240</v>
      </c>
      <c r="T376" s="0" t="s">
        <v>240</v>
      </c>
      <c r="U376" s="0" t="s">
        <v>102</v>
      </c>
      <c r="V376" s="0" t="s">
        <v>240</v>
      </c>
      <c r="W376" s="0" t="s">
        <v>240</v>
      </c>
      <c r="X376" s="0" t="s">
        <v>5485</v>
      </c>
      <c r="Y376" s="0" t="s">
        <v>240</v>
      </c>
      <c r="Z376" s="0" t="s">
        <v>161</v>
      </c>
      <c r="AA376" s="0" t="s">
        <v>152</v>
      </c>
      <c r="AB376" s="0" t="s">
        <v>152</v>
      </c>
      <c r="AC376" s="0" t="s">
        <v>3389</v>
      </c>
      <c r="AD376" s="0" t="s">
        <v>3389</v>
      </c>
      <c r="AE376" s="0" t="s">
        <v>3390</v>
      </c>
      <c r="AF376" s="0" t="s">
        <v>5519</v>
      </c>
      <c r="AG376" s="0" t="s">
        <v>5520</v>
      </c>
      <c r="AH376" s="0" t="s">
        <v>6863</v>
      </c>
      <c r="AI376" s="0" t="s">
        <v>6864</v>
      </c>
      <c r="AJ376" s="0" t="s">
        <v>5903</v>
      </c>
      <c r="AK376" s="0" t="s">
        <v>5598</v>
      </c>
      <c r="AL376" s="0" t="s">
        <v>5524</v>
      </c>
      <c r="AM376" s="0" t="s">
        <v>5493</v>
      </c>
      <c r="AN376" s="0" t="s">
        <v>6865</v>
      </c>
      <c r="AO376" s="0" t="s">
        <v>6866</v>
      </c>
      <c r="AP376" s="0" t="s">
        <v>240</v>
      </c>
      <c r="AQ376" s="0" t="s">
        <v>240</v>
      </c>
      <c r="AR376" s="0" t="s">
        <v>240</v>
      </c>
      <c r="AS376" s="0" t="s">
        <v>240</v>
      </c>
      <c r="AT376" s="0" t="s">
        <v>240</v>
      </c>
      <c r="AU376" s="0" t="s">
        <v>240</v>
      </c>
      <c r="AV376" s="0" t="s">
        <v>240</v>
      </c>
      <c r="AW376" s="0" t="s">
        <v>240</v>
      </c>
      <c r="AX376" s="0" t="s">
        <v>240</v>
      </c>
      <c r="AY376" s="0" t="s">
        <v>240</v>
      </c>
      <c r="AZ376" s="0" t="s">
        <v>240</v>
      </c>
      <c r="BA376" s="0" t="s">
        <v>240</v>
      </c>
      <c r="BB376" s="0" t="s">
        <v>240</v>
      </c>
      <c r="BC376" s="0" t="s">
        <v>240</v>
      </c>
      <c r="BD376" s="0" t="s">
        <v>240</v>
      </c>
      <c r="BE376" s="0" t="s">
        <v>240</v>
      </c>
      <c r="BF376" s="0" t="s">
        <v>240</v>
      </c>
      <c r="BG376" s="0" t="s">
        <v>240</v>
      </c>
      <c r="BH376" s="0" t="s">
        <v>240</v>
      </c>
      <c r="BI376" s="0" t="s">
        <v>240</v>
      </c>
      <c r="BJ376" s="0" t="s">
        <v>240</v>
      </c>
      <c r="BK376" s="0" t="s">
        <v>240</v>
      </c>
      <c r="BL376" s="0" t="s">
        <v>240</v>
      </c>
      <c r="BM376" s="0" t="s">
        <v>240</v>
      </c>
      <c r="BN376" s="0" t="s">
        <v>240</v>
      </c>
      <c r="BO376" s="0" t="s">
        <v>240</v>
      </c>
      <c r="BP376" s="0" t="s">
        <v>240</v>
      </c>
      <c r="BQ376" s="0" t="s">
        <v>240</v>
      </c>
      <c r="BR376" s="0" t="s">
        <v>240</v>
      </c>
      <c r="BS376" s="0" t="s">
        <v>240</v>
      </c>
      <c r="BT376" s="0" t="s">
        <v>240</v>
      </c>
      <c r="BU376" s="0" t="s">
        <v>240</v>
      </c>
      <c r="BV376" s="0" t="s">
        <v>240</v>
      </c>
      <c r="BW376" s="0" t="s">
        <v>240</v>
      </c>
      <c r="BX376" s="0" t="s">
        <v>240</v>
      </c>
      <c r="BY376" s="0" t="s">
        <v>240</v>
      </c>
      <c r="BZ376" s="0" t="s">
        <v>240</v>
      </c>
      <c r="CA376" s="0" t="s">
        <v>240</v>
      </c>
      <c r="CB376" s="0" t="s">
        <v>240</v>
      </c>
      <c r="CC376" s="0" t="s">
        <v>240</v>
      </c>
      <c r="CD376" s="0" t="s">
        <v>240</v>
      </c>
      <c r="CE376" s="0" t="s">
        <v>240</v>
      </c>
      <c r="CF376" s="0" t="s">
        <v>240</v>
      </c>
      <c r="CG376" s="0" t="s">
        <v>240</v>
      </c>
      <c r="CH376" s="0" t="s">
        <v>240</v>
      </c>
      <c r="CI376" s="0" t="s">
        <v>240</v>
      </c>
      <c r="CJ376" s="0" t="s">
        <v>240</v>
      </c>
      <c r="CK376" s="0" t="s">
        <v>240</v>
      </c>
      <c r="CL376" s="0" t="s">
        <v>240</v>
      </c>
      <c r="CM376" s="0" t="s">
        <v>240</v>
      </c>
      <c r="CN376" s="0" t="s">
        <v>240</v>
      </c>
      <c r="CO376" s="0" t="s">
        <v>240</v>
      </c>
      <c r="CP376" s="0" t="s">
        <v>240</v>
      </c>
      <c r="CQ376" s="0" t="s">
        <v>240</v>
      </c>
      <c r="CR376" s="0" t="s">
        <v>240</v>
      </c>
      <c r="CS376" s="0" t="s">
        <v>240</v>
      </c>
      <c r="CT376" s="0" t="s">
        <v>5496</v>
      </c>
      <c r="CU376" s="0" t="s">
        <v>5497</v>
      </c>
      <c r="CV376" s="0" t="s">
        <v>443</v>
      </c>
      <c r="CW376" s="0" t="s">
        <v>5527</v>
      </c>
      <c r="CX376" s="0" t="s">
        <v>5528</v>
      </c>
      <c r="CY376" s="0" t="s">
        <v>443</v>
      </c>
      <c r="CZ376" s="0" t="s">
        <v>299</v>
      </c>
      <c r="DA376" s="0" t="s">
        <v>5529</v>
      </c>
      <c r="DB376" s="0" t="s">
        <v>5527</v>
      </c>
      <c r="DC376" s="0" t="s">
        <v>384</v>
      </c>
      <c r="DD376" s="0" t="s">
        <v>291</v>
      </c>
      <c r="DE376" s="0" t="s">
        <v>6867</v>
      </c>
    </row>
    <row customHeight="1" ht="11.25">
      <c r="A377" s="1441" t="s">
        <v>240</v>
      </c>
      <c r="B377" s="0" t="s">
        <v>240</v>
      </c>
      <c r="C377" s="0" t="s">
        <v>240</v>
      </c>
      <c r="D377" s="0" t="s">
        <v>240</v>
      </c>
      <c r="E377" s="0" t="s">
        <v>240</v>
      </c>
      <c r="F377" s="0" t="s">
        <v>240</v>
      </c>
      <c r="G377" s="0" t="s">
        <v>240</v>
      </c>
      <c r="H377" s="0" t="s">
        <v>240</v>
      </c>
      <c r="I377" s="0" t="s">
        <v>5484</v>
      </c>
      <c r="J377" s="0" t="s">
        <v>240</v>
      </c>
      <c r="K377" s="0" t="s">
        <v>240</v>
      </c>
      <c r="L377" s="0" t="s">
        <v>240</v>
      </c>
      <c r="M377" s="0" t="s">
        <v>240</v>
      </c>
      <c r="N377" s="0" t="s">
        <v>240</v>
      </c>
      <c r="O377" s="0" t="s">
        <v>240</v>
      </c>
      <c r="P377" s="0" t="s">
        <v>240</v>
      </c>
      <c r="Q377" s="0" t="s">
        <v>240</v>
      </c>
      <c r="R377" s="0" t="s">
        <v>5572</v>
      </c>
      <c r="S377" s="0" t="s">
        <v>240</v>
      </c>
      <c r="T377" s="0" t="s">
        <v>240</v>
      </c>
      <c r="U377" s="0" t="s">
        <v>102</v>
      </c>
      <c r="V377" s="0" t="s">
        <v>240</v>
      </c>
      <c r="W377" s="0" t="s">
        <v>240</v>
      </c>
      <c r="X377" s="0" t="s">
        <v>5485</v>
      </c>
      <c r="Y377" s="0" t="s">
        <v>240</v>
      </c>
      <c r="Z377" s="0" t="s">
        <v>161</v>
      </c>
      <c r="AA377" s="0" t="s">
        <v>152</v>
      </c>
      <c r="AB377" s="0" t="s">
        <v>152</v>
      </c>
      <c r="AC377" s="0" t="s">
        <v>2991</v>
      </c>
      <c r="AD377" s="0" t="s">
        <v>2991</v>
      </c>
      <c r="AE377" s="0" t="s">
        <v>2992</v>
      </c>
      <c r="AF377" s="0" t="s">
        <v>5682</v>
      </c>
      <c r="AG377" s="0" t="s">
        <v>5683</v>
      </c>
      <c r="AH377" s="0" t="s">
        <v>6868</v>
      </c>
      <c r="AI377" s="0" t="s">
        <v>6869</v>
      </c>
      <c r="AJ377" s="0" t="s">
        <v>6421</v>
      </c>
      <c r="AK377" s="0" t="s">
        <v>5672</v>
      </c>
      <c r="AL377" s="0" t="s">
        <v>5506</v>
      </c>
      <c r="AM377" s="0" t="s">
        <v>5493</v>
      </c>
      <c r="AN377" s="0" t="s">
        <v>5553</v>
      </c>
      <c r="AO377" s="0" t="s">
        <v>5636</v>
      </c>
      <c r="AP377" s="0" t="s">
        <v>240</v>
      </c>
      <c r="AQ377" s="0" t="s">
        <v>240</v>
      </c>
      <c r="AR377" s="0" t="s">
        <v>240</v>
      </c>
      <c r="AS377" s="0" t="s">
        <v>240</v>
      </c>
      <c r="AT377" s="0" t="s">
        <v>240</v>
      </c>
      <c r="AU377" s="0" t="s">
        <v>240</v>
      </c>
      <c r="AV377" s="0" t="s">
        <v>240</v>
      </c>
      <c r="AW377" s="0" t="s">
        <v>240</v>
      </c>
      <c r="AX377" s="0" t="s">
        <v>240</v>
      </c>
      <c r="AY377" s="0" t="s">
        <v>240</v>
      </c>
      <c r="AZ377" s="0" t="s">
        <v>240</v>
      </c>
      <c r="BA377" s="0" t="s">
        <v>240</v>
      </c>
      <c r="BB377" s="0" t="s">
        <v>240</v>
      </c>
      <c r="BC377" s="0" t="s">
        <v>240</v>
      </c>
      <c r="BD377" s="0" t="s">
        <v>240</v>
      </c>
      <c r="BE377" s="0" t="s">
        <v>240</v>
      </c>
      <c r="BF377" s="0" t="s">
        <v>240</v>
      </c>
      <c r="BG377" s="0" t="s">
        <v>240</v>
      </c>
      <c r="BH377" s="0" t="s">
        <v>240</v>
      </c>
      <c r="BI377" s="0" t="s">
        <v>240</v>
      </c>
      <c r="BJ377" s="0" t="s">
        <v>240</v>
      </c>
      <c r="BK377" s="0" t="s">
        <v>240</v>
      </c>
      <c r="BL377" s="0" t="s">
        <v>240</v>
      </c>
      <c r="BM377" s="0" t="s">
        <v>240</v>
      </c>
      <c r="BN377" s="0" t="s">
        <v>240</v>
      </c>
      <c r="BO377" s="0" t="s">
        <v>240</v>
      </c>
      <c r="BP377" s="0" t="s">
        <v>240</v>
      </c>
      <c r="BQ377" s="0" t="s">
        <v>240</v>
      </c>
      <c r="BR377" s="0" t="s">
        <v>240</v>
      </c>
      <c r="BS377" s="0" t="s">
        <v>240</v>
      </c>
      <c r="BT377" s="0" t="s">
        <v>240</v>
      </c>
      <c r="BU377" s="0" t="s">
        <v>240</v>
      </c>
      <c r="BV377" s="0" t="s">
        <v>240</v>
      </c>
      <c r="BW377" s="0" t="s">
        <v>240</v>
      </c>
      <c r="BX377" s="0" t="s">
        <v>240</v>
      </c>
      <c r="BY377" s="0" t="s">
        <v>240</v>
      </c>
      <c r="BZ377" s="0" t="s">
        <v>240</v>
      </c>
      <c r="CA377" s="0" t="s">
        <v>240</v>
      </c>
      <c r="CB377" s="0" t="s">
        <v>240</v>
      </c>
      <c r="CC377" s="0" t="s">
        <v>240</v>
      </c>
      <c r="CD377" s="0" t="s">
        <v>240</v>
      </c>
      <c r="CE377" s="0" t="s">
        <v>240</v>
      </c>
      <c r="CF377" s="0" t="s">
        <v>240</v>
      </c>
      <c r="CG377" s="0" t="s">
        <v>240</v>
      </c>
      <c r="CH377" s="0" t="s">
        <v>240</v>
      </c>
      <c r="CI377" s="0" t="s">
        <v>240</v>
      </c>
      <c r="CJ377" s="0" t="s">
        <v>240</v>
      </c>
      <c r="CK377" s="0" t="s">
        <v>240</v>
      </c>
      <c r="CL377" s="0" t="s">
        <v>240</v>
      </c>
      <c r="CM377" s="0" t="s">
        <v>240</v>
      </c>
      <c r="CN377" s="0" t="s">
        <v>240</v>
      </c>
      <c r="CO377" s="0" t="s">
        <v>240</v>
      </c>
      <c r="CP377" s="0" t="s">
        <v>240</v>
      </c>
      <c r="CQ377" s="0" t="s">
        <v>240</v>
      </c>
      <c r="CR377" s="0" t="s">
        <v>240</v>
      </c>
      <c r="CS377" s="0" t="s">
        <v>240</v>
      </c>
      <c r="CT377" s="0" t="s">
        <v>5496</v>
      </c>
      <c r="CU377" s="0" t="s">
        <v>5497</v>
      </c>
      <c r="CV377" s="0" t="s">
        <v>443</v>
      </c>
      <c r="CW377" s="0" t="s">
        <v>5547</v>
      </c>
      <c r="CX377" s="0" t="s">
        <v>229</v>
      </c>
      <c r="CY377" s="0" t="s">
        <v>443</v>
      </c>
      <c r="CZ377" s="0" t="s">
        <v>5548</v>
      </c>
      <c r="DA377" s="0" t="s">
        <v>5549</v>
      </c>
      <c r="DB377" s="0" t="s">
        <v>5547</v>
      </c>
      <c r="DC377" s="0" t="s">
        <v>384</v>
      </c>
      <c r="DD377" s="0" t="s">
        <v>291</v>
      </c>
      <c r="DE377" s="0" t="s">
        <v>6870</v>
      </c>
    </row>
    <row customHeight="1" ht="11.25">
      <c r="A378" s="1441" t="s">
        <v>240</v>
      </c>
      <c r="B378" s="0" t="s">
        <v>240</v>
      </c>
      <c r="C378" s="0" t="s">
        <v>240</v>
      </c>
      <c r="D378" s="0" t="s">
        <v>240</v>
      </c>
      <c r="E378" s="0" t="s">
        <v>240</v>
      </c>
      <c r="F378" s="0" t="s">
        <v>240</v>
      </c>
      <c r="G378" s="0" t="s">
        <v>240</v>
      </c>
      <c r="H378" s="0" t="s">
        <v>240</v>
      </c>
      <c r="I378" s="0" t="s">
        <v>5484</v>
      </c>
      <c r="J378" s="0" t="s">
        <v>240</v>
      </c>
      <c r="K378" s="0" t="s">
        <v>240</v>
      </c>
      <c r="L378" s="0" t="s">
        <v>240</v>
      </c>
      <c r="M378" s="0" t="s">
        <v>240</v>
      </c>
      <c r="N378" s="0" t="s">
        <v>240</v>
      </c>
      <c r="O378" s="0" t="s">
        <v>240</v>
      </c>
      <c r="P378" s="0" t="s">
        <v>240</v>
      </c>
      <c r="Q378" s="0" t="s">
        <v>240</v>
      </c>
      <c r="R378" s="0" t="s">
        <v>6234</v>
      </c>
      <c r="S378" s="0" t="s">
        <v>240</v>
      </c>
      <c r="T378" s="0" t="s">
        <v>240</v>
      </c>
      <c r="U378" s="0" t="s">
        <v>102</v>
      </c>
      <c r="V378" s="0" t="s">
        <v>240</v>
      </c>
      <c r="W378" s="0" t="s">
        <v>240</v>
      </c>
      <c r="X378" s="0" t="s">
        <v>5585</v>
      </c>
      <c r="Y378" s="0" t="s">
        <v>240</v>
      </c>
      <c r="Z378" s="0" t="s">
        <v>152</v>
      </c>
      <c r="AA378" s="0" t="s">
        <v>152</v>
      </c>
      <c r="AB378" s="0" t="s">
        <v>161</v>
      </c>
      <c r="AC378" s="0" t="s">
        <v>2989</v>
      </c>
      <c r="AD378" s="0" t="s">
        <v>2989</v>
      </c>
      <c r="AE378" s="0" t="s">
        <v>2990</v>
      </c>
      <c r="AF378" s="0" t="s">
        <v>5975</v>
      </c>
      <c r="AG378" s="0" t="s">
        <v>5976</v>
      </c>
      <c r="AH378" s="0" t="s">
        <v>5575</v>
      </c>
      <c r="AI378" s="0" t="s">
        <v>5575</v>
      </c>
      <c r="AJ378" s="0" t="s">
        <v>240</v>
      </c>
      <c r="AK378" s="0" t="s">
        <v>240</v>
      </c>
      <c r="AL378" s="0" t="s">
        <v>240</v>
      </c>
      <c r="AM378" s="0" t="s">
        <v>240</v>
      </c>
      <c r="AN378" s="0" t="s">
        <v>240</v>
      </c>
      <c r="AO378" s="0" t="s">
        <v>240</v>
      </c>
      <c r="AP378" s="0" t="s">
        <v>240</v>
      </c>
      <c r="AQ378" s="0" t="s">
        <v>240</v>
      </c>
      <c r="AR378" s="0" t="s">
        <v>240</v>
      </c>
      <c r="AS378" s="0" t="s">
        <v>240</v>
      </c>
      <c r="AT378" s="0" t="s">
        <v>240</v>
      </c>
      <c r="AU378" s="0" t="s">
        <v>240</v>
      </c>
      <c r="AV378" s="0" t="s">
        <v>240</v>
      </c>
      <c r="AW378" s="0" t="s">
        <v>240</v>
      </c>
      <c r="AX378" s="0" t="s">
        <v>240</v>
      </c>
      <c r="AY378" s="0" t="s">
        <v>240</v>
      </c>
      <c r="AZ378" s="0" t="s">
        <v>240</v>
      </c>
      <c r="BA378" s="0" t="s">
        <v>240</v>
      </c>
      <c r="BB378" s="0" t="s">
        <v>240</v>
      </c>
      <c r="BC378" s="0" t="s">
        <v>240</v>
      </c>
      <c r="BD378" s="0" t="s">
        <v>240</v>
      </c>
      <c r="BE378" s="0" t="s">
        <v>5490</v>
      </c>
      <c r="BF378" s="0" t="s">
        <v>5490</v>
      </c>
      <c r="BG378" s="0" t="s">
        <v>112</v>
      </c>
      <c r="BH378" s="0" t="s">
        <v>5589</v>
      </c>
      <c r="BI378" s="0" t="s">
        <v>123</v>
      </c>
      <c r="BJ378" s="0" t="s">
        <v>240</v>
      </c>
      <c r="BK378" s="0" t="s">
        <v>5974</v>
      </c>
      <c r="BL378" s="0" t="s">
        <v>2989</v>
      </c>
      <c r="BM378" s="0" t="s">
        <v>2989</v>
      </c>
      <c r="BN378" s="0" t="s">
        <v>5798</v>
      </c>
      <c r="BO378" s="0" t="s">
        <v>5975</v>
      </c>
      <c r="BP378" s="0" t="s">
        <v>6162</v>
      </c>
      <c r="BQ378" s="0" t="s">
        <v>5575</v>
      </c>
      <c r="BR378" s="0" t="s">
        <v>5575</v>
      </c>
      <c r="BS378" s="0" t="s">
        <v>240</v>
      </c>
      <c r="BT378" s="0" t="s">
        <v>5650</v>
      </c>
      <c r="BU378" s="0" t="s">
        <v>6235</v>
      </c>
      <c r="BV378" s="0" t="s">
        <v>6235</v>
      </c>
      <c r="BW378" s="0" t="s">
        <v>5598</v>
      </c>
      <c r="BX378" s="0" t="s">
        <v>5598</v>
      </c>
      <c r="BY378" s="0" t="s">
        <v>5598</v>
      </c>
      <c r="BZ378" s="0" t="s">
        <v>5598</v>
      </c>
      <c r="CA378" s="0" t="s">
        <v>5598</v>
      </c>
      <c r="CB378" s="0" t="s">
        <v>240</v>
      </c>
      <c r="CC378" s="0" t="s">
        <v>240</v>
      </c>
      <c r="CD378" s="0" t="s">
        <v>240</v>
      </c>
      <c r="CE378" s="0" t="s">
        <v>240</v>
      </c>
      <c r="CF378" s="0" t="s">
        <v>240</v>
      </c>
      <c r="CG378" s="0" t="s">
        <v>5598</v>
      </c>
      <c r="CH378" s="0" t="s">
        <v>240</v>
      </c>
      <c r="CI378" s="0" t="s">
        <v>240</v>
      </c>
      <c r="CJ378" s="0" t="s">
        <v>240</v>
      </c>
      <c r="CK378" s="0" t="s">
        <v>240</v>
      </c>
      <c r="CL378" s="0" t="s">
        <v>240</v>
      </c>
      <c r="CM378" s="0" t="s">
        <v>6235</v>
      </c>
      <c r="CN378" s="0" t="s">
        <v>6235</v>
      </c>
      <c r="CO378" s="0" t="s">
        <v>240</v>
      </c>
      <c r="CP378" s="0" t="s">
        <v>240</v>
      </c>
      <c r="CQ378" s="0" t="s">
        <v>240</v>
      </c>
      <c r="CR378" s="0" t="s">
        <v>240</v>
      </c>
      <c r="CS378" s="0" t="s">
        <v>5491</v>
      </c>
      <c r="CT378" s="0" t="s">
        <v>5496</v>
      </c>
      <c r="CU378" s="0" t="s">
        <v>5497</v>
      </c>
      <c r="CV378" s="0" t="s">
        <v>443</v>
      </c>
      <c r="CW378" s="0" t="s">
        <v>5580</v>
      </c>
      <c r="CX378" s="0" t="s">
        <v>229</v>
      </c>
      <c r="CY378" s="0" t="s">
        <v>443</v>
      </c>
      <c r="CZ378" s="0" t="s">
        <v>5581</v>
      </c>
      <c r="DA378" s="0" t="s">
        <v>5582</v>
      </c>
      <c r="DB378" s="0" t="s">
        <v>5580</v>
      </c>
      <c r="DC378" s="0" t="s">
        <v>384</v>
      </c>
      <c r="DD378" s="0" t="s">
        <v>291</v>
      </c>
      <c r="DE378" s="0" t="s">
        <v>6236</v>
      </c>
    </row>
    <row customHeight="1" ht="11.25">
      <c r="A379" s="1441" t="s">
        <v>240</v>
      </c>
      <c r="B379" s="0" t="s">
        <v>240</v>
      </c>
      <c r="C379" s="0" t="s">
        <v>240</v>
      </c>
      <c r="D379" s="0" t="s">
        <v>240</v>
      </c>
      <c r="E379" s="0" t="s">
        <v>240</v>
      </c>
      <c r="F379" s="0" t="s">
        <v>240</v>
      </c>
      <c r="G379" s="0" t="s">
        <v>240</v>
      </c>
      <c r="H379" s="0" t="s">
        <v>240</v>
      </c>
      <c r="I379" s="0" t="s">
        <v>5484</v>
      </c>
      <c r="J379" s="0" t="s">
        <v>240</v>
      </c>
      <c r="K379" s="0" t="s">
        <v>240</v>
      </c>
      <c r="L379" s="0" t="s">
        <v>240</v>
      </c>
      <c r="M379" s="0" t="s">
        <v>240</v>
      </c>
      <c r="N379" s="0" t="s">
        <v>240</v>
      </c>
      <c r="O379" s="0" t="s">
        <v>240</v>
      </c>
      <c r="P379" s="0" t="s">
        <v>240</v>
      </c>
      <c r="Q379" s="0" t="s">
        <v>240</v>
      </c>
      <c r="R379" s="0" t="s">
        <v>5572</v>
      </c>
      <c r="S379" s="0" t="s">
        <v>240</v>
      </c>
      <c r="T379" s="0" t="s">
        <v>240</v>
      </c>
      <c r="U379" s="0" t="s">
        <v>102</v>
      </c>
      <c r="V379" s="0" t="s">
        <v>240</v>
      </c>
      <c r="W379" s="0" t="s">
        <v>240</v>
      </c>
      <c r="X379" s="0" t="s">
        <v>5485</v>
      </c>
      <c r="Y379" s="0" t="s">
        <v>240</v>
      </c>
      <c r="Z379" s="0" t="s">
        <v>161</v>
      </c>
      <c r="AA379" s="0" t="s">
        <v>152</v>
      </c>
      <c r="AB379" s="0" t="s">
        <v>152</v>
      </c>
      <c r="AC379" s="0" t="s">
        <v>2989</v>
      </c>
      <c r="AD379" s="0" t="s">
        <v>2989</v>
      </c>
      <c r="AE379" s="0" t="s">
        <v>2990</v>
      </c>
      <c r="AF379" s="0" t="s">
        <v>6405</v>
      </c>
      <c r="AG379" s="0" t="s">
        <v>6406</v>
      </c>
      <c r="AH379" s="0" t="s">
        <v>5575</v>
      </c>
      <c r="AI379" s="0" t="s">
        <v>5575</v>
      </c>
      <c r="AJ379" s="0" t="s">
        <v>5576</v>
      </c>
      <c r="AK379" s="0" t="s">
        <v>6407</v>
      </c>
      <c r="AL379" s="0" t="s">
        <v>5506</v>
      </c>
      <c r="AM379" s="0" t="s">
        <v>5493</v>
      </c>
      <c r="AN379" s="0" t="s">
        <v>5578</v>
      </c>
      <c r="AO379" s="0" t="s">
        <v>5579</v>
      </c>
      <c r="AP379" s="0" t="s">
        <v>240</v>
      </c>
      <c r="AQ379" s="0" t="s">
        <v>240</v>
      </c>
      <c r="AR379" s="0" t="s">
        <v>240</v>
      </c>
      <c r="AS379" s="0" t="s">
        <v>240</v>
      </c>
      <c r="AT379" s="0" t="s">
        <v>240</v>
      </c>
      <c r="AU379" s="0" t="s">
        <v>240</v>
      </c>
      <c r="AV379" s="0" t="s">
        <v>240</v>
      </c>
      <c r="AW379" s="0" t="s">
        <v>240</v>
      </c>
      <c r="AX379" s="0" t="s">
        <v>240</v>
      </c>
      <c r="AY379" s="0" t="s">
        <v>240</v>
      </c>
      <c r="AZ379" s="0" t="s">
        <v>240</v>
      </c>
      <c r="BA379" s="0" t="s">
        <v>240</v>
      </c>
      <c r="BB379" s="0" t="s">
        <v>240</v>
      </c>
      <c r="BC379" s="0" t="s">
        <v>240</v>
      </c>
      <c r="BD379" s="0" t="s">
        <v>240</v>
      </c>
      <c r="BE379" s="0" t="s">
        <v>240</v>
      </c>
      <c r="BF379" s="0" t="s">
        <v>240</v>
      </c>
      <c r="BG379" s="0" t="s">
        <v>240</v>
      </c>
      <c r="BH379" s="0" t="s">
        <v>240</v>
      </c>
      <c r="BI379" s="0" t="s">
        <v>240</v>
      </c>
      <c r="BJ379" s="0" t="s">
        <v>240</v>
      </c>
      <c r="BK379" s="0" t="s">
        <v>240</v>
      </c>
      <c r="BL379" s="0" t="s">
        <v>240</v>
      </c>
      <c r="BM379" s="0" t="s">
        <v>240</v>
      </c>
      <c r="BN379" s="0" t="s">
        <v>240</v>
      </c>
      <c r="BO379" s="0" t="s">
        <v>240</v>
      </c>
      <c r="BP379" s="0" t="s">
        <v>240</v>
      </c>
      <c r="BQ379" s="0" t="s">
        <v>240</v>
      </c>
      <c r="BR379" s="0" t="s">
        <v>240</v>
      </c>
      <c r="BS379" s="0" t="s">
        <v>240</v>
      </c>
      <c r="BT379" s="0" t="s">
        <v>240</v>
      </c>
      <c r="BU379" s="0" t="s">
        <v>240</v>
      </c>
      <c r="BV379" s="0" t="s">
        <v>240</v>
      </c>
      <c r="BW379" s="0" t="s">
        <v>240</v>
      </c>
      <c r="BX379" s="0" t="s">
        <v>240</v>
      </c>
      <c r="BY379" s="0" t="s">
        <v>240</v>
      </c>
      <c r="BZ379" s="0" t="s">
        <v>240</v>
      </c>
      <c r="CA379" s="0" t="s">
        <v>240</v>
      </c>
      <c r="CB379" s="0" t="s">
        <v>240</v>
      </c>
      <c r="CC379" s="0" t="s">
        <v>240</v>
      </c>
      <c r="CD379" s="0" t="s">
        <v>240</v>
      </c>
      <c r="CE379" s="0" t="s">
        <v>240</v>
      </c>
      <c r="CF379" s="0" t="s">
        <v>240</v>
      </c>
      <c r="CG379" s="0" t="s">
        <v>240</v>
      </c>
      <c r="CH379" s="0" t="s">
        <v>240</v>
      </c>
      <c r="CI379" s="0" t="s">
        <v>240</v>
      </c>
      <c r="CJ379" s="0" t="s">
        <v>240</v>
      </c>
      <c r="CK379" s="0" t="s">
        <v>240</v>
      </c>
      <c r="CL379" s="0" t="s">
        <v>240</v>
      </c>
      <c r="CM379" s="0" t="s">
        <v>240</v>
      </c>
      <c r="CN379" s="0" t="s">
        <v>240</v>
      </c>
      <c r="CO379" s="0" t="s">
        <v>240</v>
      </c>
      <c r="CP379" s="0" t="s">
        <v>240</v>
      </c>
      <c r="CQ379" s="0" t="s">
        <v>240</v>
      </c>
      <c r="CR379" s="0" t="s">
        <v>240</v>
      </c>
      <c r="CS379" s="0" t="s">
        <v>240</v>
      </c>
      <c r="CT379" s="0" t="s">
        <v>5496</v>
      </c>
      <c r="CU379" s="0" t="s">
        <v>5497</v>
      </c>
      <c r="CV379" s="0" t="s">
        <v>443</v>
      </c>
      <c r="CW379" s="0" t="s">
        <v>5580</v>
      </c>
      <c r="CX379" s="0" t="s">
        <v>229</v>
      </c>
      <c r="CY379" s="0" t="s">
        <v>443</v>
      </c>
      <c r="CZ379" s="0" t="s">
        <v>5581</v>
      </c>
      <c r="DA379" s="0" t="s">
        <v>5582</v>
      </c>
      <c r="DB379" s="0" t="s">
        <v>5580</v>
      </c>
      <c r="DC379" s="0" t="s">
        <v>384</v>
      </c>
      <c r="DD379" s="0" t="s">
        <v>291</v>
      </c>
      <c r="DE379" s="0" t="s">
        <v>6408</v>
      </c>
    </row>
    <row customHeight="1" ht="11.25">
      <c r="A380" s="1441" t="s">
        <v>240</v>
      </c>
      <c r="B380" s="0" t="s">
        <v>240</v>
      </c>
      <c r="C380" s="0" t="s">
        <v>240</v>
      </c>
      <c r="D380" s="0" t="s">
        <v>240</v>
      </c>
      <c r="E380" s="0" t="s">
        <v>240</v>
      </c>
      <c r="F380" s="0" t="s">
        <v>240</v>
      </c>
      <c r="G380" s="0" t="s">
        <v>240</v>
      </c>
      <c r="H380" s="0" t="s">
        <v>240</v>
      </c>
      <c r="I380" s="0" t="s">
        <v>5484</v>
      </c>
      <c r="J380" s="0" t="s">
        <v>240</v>
      </c>
      <c r="K380" s="0" t="s">
        <v>240</v>
      </c>
      <c r="L380" s="0" t="s">
        <v>240</v>
      </c>
      <c r="M380" s="0" t="s">
        <v>240</v>
      </c>
      <c r="N380" s="0" t="s">
        <v>240</v>
      </c>
      <c r="O380" s="0" t="s">
        <v>240</v>
      </c>
      <c r="P380" s="0" t="s">
        <v>240</v>
      </c>
      <c r="Q380" s="0" t="s">
        <v>240</v>
      </c>
      <c r="R380" s="0" t="s">
        <v>6424</v>
      </c>
      <c r="S380" s="0" t="s">
        <v>240</v>
      </c>
      <c r="T380" s="0" t="s">
        <v>240</v>
      </c>
      <c r="U380" s="0" t="s">
        <v>102</v>
      </c>
      <c r="V380" s="0" t="s">
        <v>240</v>
      </c>
      <c r="W380" s="0" t="s">
        <v>240</v>
      </c>
      <c r="X380" s="0" t="s">
        <v>5585</v>
      </c>
      <c r="Y380" s="0" t="s">
        <v>240</v>
      </c>
      <c r="Z380" s="0" t="s">
        <v>152</v>
      </c>
      <c r="AA380" s="0" t="s">
        <v>152</v>
      </c>
      <c r="AB380" s="0" t="s">
        <v>161</v>
      </c>
      <c r="AC380" s="0" t="s">
        <v>2989</v>
      </c>
      <c r="AD380" s="0" t="s">
        <v>2989</v>
      </c>
      <c r="AE380" s="0" t="s">
        <v>2990</v>
      </c>
      <c r="AF380" s="0" t="s">
        <v>6405</v>
      </c>
      <c r="AG380" s="0" t="s">
        <v>6406</v>
      </c>
      <c r="AH380" s="0" t="s">
        <v>5575</v>
      </c>
      <c r="AI380" s="0" t="s">
        <v>5575</v>
      </c>
      <c r="AJ380" s="0" t="s">
        <v>240</v>
      </c>
      <c r="AK380" s="0" t="s">
        <v>240</v>
      </c>
      <c r="AL380" s="0" t="s">
        <v>240</v>
      </c>
      <c r="AM380" s="0" t="s">
        <v>240</v>
      </c>
      <c r="AN380" s="0" t="s">
        <v>240</v>
      </c>
      <c r="AO380" s="0" t="s">
        <v>240</v>
      </c>
      <c r="AP380" s="0" t="s">
        <v>240</v>
      </c>
      <c r="AQ380" s="0" t="s">
        <v>240</v>
      </c>
      <c r="AR380" s="0" t="s">
        <v>240</v>
      </c>
      <c r="AS380" s="0" t="s">
        <v>240</v>
      </c>
      <c r="AT380" s="0" t="s">
        <v>240</v>
      </c>
      <c r="AU380" s="0" t="s">
        <v>240</v>
      </c>
      <c r="AV380" s="0" t="s">
        <v>240</v>
      </c>
      <c r="AW380" s="0" t="s">
        <v>240</v>
      </c>
      <c r="AX380" s="0" t="s">
        <v>240</v>
      </c>
      <c r="AY380" s="0" t="s">
        <v>240</v>
      </c>
      <c r="AZ380" s="0" t="s">
        <v>240</v>
      </c>
      <c r="BA380" s="0" t="s">
        <v>240</v>
      </c>
      <c r="BB380" s="0" t="s">
        <v>240</v>
      </c>
      <c r="BC380" s="0" t="s">
        <v>240</v>
      </c>
      <c r="BD380" s="0" t="s">
        <v>240</v>
      </c>
      <c r="BE380" s="0" t="s">
        <v>5576</v>
      </c>
      <c r="BF380" s="0" t="s">
        <v>6407</v>
      </c>
      <c r="BG380" s="0" t="s">
        <v>112</v>
      </c>
      <c r="BH380" s="0" t="s">
        <v>5589</v>
      </c>
      <c r="BI380" s="0" t="s">
        <v>123</v>
      </c>
      <c r="BJ380" s="0" t="s">
        <v>240</v>
      </c>
      <c r="BK380" s="0" t="s">
        <v>5608</v>
      </c>
      <c r="BL380" s="0" t="s">
        <v>2989</v>
      </c>
      <c r="BM380" s="0" t="s">
        <v>2989</v>
      </c>
      <c r="BN380" s="0" t="s">
        <v>5798</v>
      </c>
      <c r="BO380" s="0" t="s">
        <v>6405</v>
      </c>
      <c r="BP380" s="0" t="s">
        <v>6425</v>
      </c>
      <c r="BQ380" s="0" t="s">
        <v>5575</v>
      </c>
      <c r="BR380" s="0" t="s">
        <v>5575</v>
      </c>
      <c r="BS380" s="0" t="s">
        <v>240</v>
      </c>
      <c r="BT380" s="0" t="s">
        <v>5650</v>
      </c>
      <c r="BU380" s="0" t="s">
        <v>6426</v>
      </c>
      <c r="BV380" s="0" t="s">
        <v>6426</v>
      </c>
      <c r="BW380" s="0" t="s">
        <v>5598</v>
      </c>
      <c r="BX380" s="0" t="s">
        <v>5598</v>
      </c>
      <c r="BY380" s="0" t="s">
        <v>5598</v>
      </c>
      <c r="BZ380" s="0" t="s">
        <v>5598</v>
      </c>
      <c r="CA380" s="0" t="s">
        <v>5598</v>
      </c>
      <c r="CB380" s="0" t="s">
        <v>240</v>
      </c>
      <c r="CC380" s="0" t="s">
        <v>240</v>
      </c>
      <c r="CD380" s="0" t="s">
        <v>240</v>
      </c>
      <c r="CE380" s="0" t="s">
        <v>240</v>
      </c>
      <c r="CF380" s="0" t="s">
        <v>240</v>
      </c>
      <c r="CG380" s="0" t="s">
        <v>5598</v>
      </c>
      <c r="CH380" s="0" t="s">
        <v>240</v>
      </c>
      <c r="CI380" s="0" t="s">
        <v>240</v>
      </c>
      <c r="CJ380" s="0" t="s">
        <v>240</v>
      </c>
      <c r="CK380" s="0" t="s">
        <v>240</v>
      </c>
      <c r="CL380" s="0" t="s">
        <v>240</v>
      </c>
      <c r="CM380" s="0" t="s">
        <v>6426</v>
      </c>
      <c r="CN380" s="0" t="s">
        <v>6426</v>
      </c>
      <c r="CO380" s="0" t="s">
        <v>240</v>
      </c>
      <c r="CP380" s="0" t="s">
        <v>240</v>
      </c>
      <c r="CQ380" s="0" t="s">
        <v>240</v>
      </c>
      <c r="CR380" s="0" t="s">
        <v>240</v>
      </c>
      <c r="CS380" s="0" t="s">
        <v>5553</v>
      </c>
      <c r="CT380" s="0" t="s">
        <v>5496</v>
      </c>
      <c r="CU380" s="0" t="s">
        <v>5497</v>
      </c>
      <c r="CV380" s="0" t="s">
        <v>443</v>
      </c>
      <c r="CW380" s="0" t="s">
        <v>5580</v>
      </c>
      <c r="CX380" s="0" t="s">
        <v>229</v>
      </c>
      <c r="CY380" s="0" t="s">
        <v>443</v>
      </c>
      <c r="CZ380" s="0" t="s">
        <v>5581</v>
      </c>
      <c r="DA380" s="0" t="s">
        <v>5582</v>
      </c>
      <c r="DB380" s="0" t="s">
        <v>5580</v>
      </c>
      <c r="DC380" s="0" t="s">
        <v>384</v>
      </c>
      <c r="DD380" s="0" t="s">
        <v>291</v>
      </c>
      <c r="DE380" s="0" t="s">
        <v>6408</v>
      </c>
    </row>
    <row customHeight="1" ht="11.25">
      <c r="A381" s="1441" t="s">
        <v>240</v>
      </c>
      <c r="B381" s="0" t="s">
        <v>240</v>
      </c>
      <c r="C381" s="0" t="s">
        <v>240</v>
      </c>
      <c r="D381" s="0" t="s">
        <v>240</v>
      </c>
      <c r="E381" s="0" t="s">
        <v>240</v>
      </c>
      <c r="F381" s="0" t="s">
        <v>240</v>
      </c>
      <c r="G381" s="0" t="s">
        <v>240</v>
      </c>
      <c r="H381" s="0" t="s">
        <v>240</v>
      </c>
      <c r="I381" s="0" t="s">
        <v>5484</v>
      </c>
      <c r="J381" s="0" t="s">
        <v>240</v>
      </c>
      <c r="K381" s="0" t="s">
        <v>240</v>
      </c>
      <c r="L381" s="0" t="s">
        <v>240</v>
      </c>
      <c r="M381" s="0" t="s">
        <v>240</v>
      </c>
      <c r="N381" s="0" t="s">
        <v>240</v>
      </c>
      <c r="O381" s="0" t="s">
        <v>240</v>
      </c>
      <c r="P381" s="0" t="s">
        <v>240</v>
      </c>
      <c r="Q381" s="0" t="s">
        <v>240</v>
      </c>
      <c r="R381" s="0" t="s">
        <v>5572</v>
      </c>
      <c r="S381" s="0" t="s">
        <v>240</v>
      </c>
      <c r="T381" s="0" t="s">
        <v>240</v>
      </c>
      <c r="U381" s="0" t="s">
        <v>102</v>
      </c>
      <c r="V381" s="0" t="s">
        <v>240</v>
      </c>
      <c r="W381" s="0" t="s">
        <v>240</v>
      </c>
      <c r="X381" s="0" t="s">
        <v>5485</v>
      </c>
      <c r="Y381" s="0" t="s">
        <v>240</v>
      </c>
      <c r="Z381" s="0" t="s">
        <v>161</v>
      </c>
      <c r="AA381" s="0" t="s">
        <v>152</v>
      </c>
      <c r="AB381" s="0" t="s">
        <v>152</v>
      </c>
      <c r="AC381" s="0" t="s">
        <v>2989</v>
      </c>
      <c r="AD381" s="0" t="s">
        <v>2989</v>
      </c>
      <c r="AE381" s="0" t="s">
        <v>2990</v>
      </c>
      <c r="AF381" s="0" t="s">
        <v>6245</v>
      </c>
      <c r="AG381" s="0" t="s">
        <v>6246</v>
      </c>
      <c r="AH381" s="0" t="s">
        <v>5984</v>
      </c>
      <c r="AI381" s="0" t="s">
        <v>6247</v>
      </c>
      <c r="AJ381" s="0" t="s">
        <v>5576</v>
      </c>
      <c r="AK381" s="0" t="s">
        <v>6100</v>
      </c>
      <c r="AL381" s="0" t="s">
        <v>5506</v>
      </c>
      <c r="AM381" s="0" t="s">
        <v>5493</v>
      </c>
      <c r="AN381" s="0" t="s">
        <v>5578</v>
      </c>
      <c r="AO381" s="0" t="s">
        <v>5625</v>
      </c>
      <c r="AP381" s="0" t="s">
        <v>240</v>
      </c>
      <c r="AQ381" s="0" t="s">
        <v>240</v>
      </c>
      <c r="AR381" s="0" t="s">
        <v>240</v>
      </c>
      <c r="AS381" s="0" t="s">
        <v>240</v>
      </c>
      <c r="AT381" s="0" t="s">
        <v>240</v>
      </c>
      <c r="AU381" s="0" t="s">
        <v>240</v>
      </c>
      <c r="AV381" s="0" t="s">
        <v>240</v>
      </c>
      <c r="AW381" s="0" t="s">
        <v>240</v>
      </c>
      <c r="AX381" s="0" t="s">
        <v>240</v>
      </c>
      <c r="AY381" s="0" t="s">
        <v>240</v>
      </c>
      <c r="AZ381" s="0" t="s">
        <v>240</v>
      </c>
      <c r="BA381" s="0" t="s">
        <v>240</v>
      </c>
      <c r="BB381" s="0" t="s">
        <v>240</v>
      </c>
      <c r="BC381" s="0" t="s">
        <v>240</v>
      </c>
      <c r="BD381" s="0" t="s">
        <v>240</v>
      </c>
      <c r="BE381" s="0" t="s">
        <v>240</v>
      </c>
      <c r="BF381" s="0" t="s">
        <v>240</v>
      </c>
      <c r="BG381" s="0" t="s">
        <v>240</v>
      </c>
      <c r="BH381" s="0" t="s">
        <v>240</v>
      </c>
      <c r="BI381" s="0" t="s">
        <v>240</v>
      </c>
      <c r="BJ381" s="0" t="s">
        <v>240</v>
      </c>
      <c r="BK381" s="0" t="s">
        <v>240</v>
      </c>
      <c r="BL381" s="0" t="s">
        <v>240</v>
      </c>
      <c r="BM381" s="0" t="s">
        <v>240</v>
      </c>
      <c r="BN381" s="0" t="s">
        <v>240</v>
      </c>
      <c r="BO381" s="0" t="s">
        <v>240</v>
      </c>
      <c r="BP381" s="0" t="s">
        <v>240</v>
      </c>
      <c r="BQ381" s="0" t="s">
        <v>240</v>
      </c>
      <c r="BR381" s="0" t="s">
        <v>240</v>
      </c>
      <c r="BS381" s="0" t="s">
        <v>240</v>
      </c>
      <c r="BT381" s="0" t="s">
        <v>240</v>
      </c>
      <c r="BU381" s="0" t="s">
        <v>240</v>
      </c>
      <c r="BV381" s="0" t="s">
        <v>240</v>
      </c>
      <c r="BW381" s="0" t="s">
        <v>240</v>
      </c>
      <c r="BX381" s="0" t="s">
        <v>240</v>
      </c>
      <c r="BY381" s="0" t="s">
        <v>240</v>
      </c>
      <c r="BZ381" s="0" t="s">
        <v>240</v>
      </c>
      <c r="CA381" s="0" t="s">
        <v>240</v>
      </c>
      <c r="CB381" s="0" t="s">
        <v>240</v>
      </c>
      <c r="CC381" s="0" t="s">
        <v>240</v>
      </c>
      <c r="CD381" s="0" t="s">
        <v>240</v>
      </c>
      <c r="CE381" s="0" t="s">
        <v>240</v>
      </c>
      <c r="CF381" s="0" t="s">
        <v>240</v>
      </c>
      <c r="CG381" s="0" t="s">
        <v>240</v>
      </c>
      <c r="CH381" s="0" t="s">
        <v>240</v>
      </c>
      <c r="CI381" s="0" t="s">
        <v>240</v>
      </c>
      <c r="CJ381" s="0" t="s">
        <v>240</v>
      </c>
      <c r="CK381" s="0" t="s">
        <v>240</v>
      </c>
      <c r="CL381" s="0" t="s">
        <v>240</v>
      </c>
      <c r="CM381" s="0" t="s">
        <v>240</v>
      </c>
      <c r="CN381" s="0" t="s">
        <v>240</v>
      </c>
      <c r="CO381" s="0" t="s">
        <v>240</v>
      </c>
      <c r="CP381" s="0" t="s">
        <v>240</v>
      </c>
      <c r="CQ381" s="0" t="s">
        <v>240</v>
      </c>
      <c r="CR381" s="0" t="s">
        <v>240</v>
      </c>
      <c r="CS381" s="0" t="s">
        <v>240</v>
      </c>
      <c r="CT381" s="0" t="s">
        <v>5496</v>
      </c>
      <c r="CU381" s="0" t="s">
        <v>5497</v>
      </c>
      <c r="CV381" s="0" t="s">
        <v>443</v>
      </c>
      <c r="CW381" s="0" t="s">
        <v>5580</v>
      </c>
      <c r="CX381" s="0" t="s">
        <v>229</v>
      </c>
      <c r="CY381" s="0" t="s">
        <v>443</v>
      </c>
      <c r="CZ381" s="0" t="s">
        <v>5581</v>
      </c>
      <c r="DA381" s="0" t="s">
        <v>5582</v>
      </c>
      <c r="DB381" s="0" t="s">
        <v>5580</v>
      </c>
      <c r="DC381" s="0" t="s">
        <v>384</v>
      </c>
      <c r="DD381" s="0" t="s">
        <v>291</v>
      </c>
      <c r="DE381" s="0" t="s">
        <v>6248</v>
      </c>
    </row>
    <row customHeight="1" ht="11.25">
      <c r="A382" s="1441" t="s">
        <v>240</v>
      </c>
      <c r="B382" s="0" t="s">
        <v>240</v>
      </c>
      <c r="C382" s="0" t="s">
        <v>240</v>
      </c>
      <c r="D382" s="0" t="s">
        <v>240</v>
      </c>
      <c r="E382" s="0" t="s">
        <v>240</v>
      </c>
      <c r="F382" s="0" t="s">
        <v>240</v>
      </c>
      <c r="G382" s="0" t="s">
        <v>240</v>
      </c>
      <c r="H382" s="0" t="s">
        <v>240</v>
      </c>
      <c r="I382" s="0" t="s">
        <v>5484</v>
      </c>
      <c r="J382" s="0" t="s">
        <v>240</v>
      </c>
      <c r="K382" s="0" t="s">
        <v>240</v>
      </c>
      <c r="L382" s="0" t="s">
        <v>240</v>
      </c>
      <c r="M382" s="0" t="s">
        <v>240</v>
      </c>
      <c r="N382" s="0" t="s">
        <v>240</v>
      </c>
      <c r="O382" s="0" t="s">
        <v>240</v>
      </c>
      <c r="P382" s="0" t="s">
        <v>240</v>
      </c>
      <c r="Q382" s="0" t="s">
        <v>240</v>
      </c>
      <c r="R382" s="0" t="s">
        <v>5572</v>
      </c>
      <c r="S382" s="0" t="s">
        <v>240</v>
      </c>
      <c r="T382" s="0" t="s">
        <v>240</v>
      </c>
      <c r="U382" s="0" t="s">
        <v>102</v>
      </c>
      <c r="V382" s="0" t="s">
        <v>240</v>
      </c>
      <c r="W382" s="0" t="s">
        <v>240</v>
      </c>
      <c r="X382" s="0" t="s">
        <v>5485</v>
      </c>
      <c r="Y382" s="0" t="s">
        <v>240</v>
      </c>
      <c r="Z382" s="0" t="s">
        <v>161</v>
      </c>
      <c r="AA382" s="0" t="s">
        <v>152</v>
      </c>
      <c r="AB382" s="0" t="s">
        <v>152</v>
      </c>
      <c r="AC382" s="0" t="s">
        <v>2989</v>
      </c>
      <c r="AD382" s="0" t="s">
        <v>2989</v>
      </c>
      <c r="AE382" s="0" t="s">
        <v>2990</v>
      </c>
      <c r="AF382" s="0" t="s">
        <v>6245</v>
      </c>
      <c r="AG382" s="0" t="s">
        <v>6246</v>
      </c>
      <c r="AH382" s="0" t="s">
        <v>6497</v>
      </c>
      <c r="AI382" s="0" t="s">
        <v>5575</v>
      </c>
      <c r="AJ382" s="0" t="s">
        <v>5576</v>
      </c>
      <c r="AK382" s="0" t="s">
        <v>5814</v>
      </c>
      <c r="AL382" s="0" t="s">
        <v>5506</v>
      </c>
      <c r="AM382" s="0" t="s">
        <v>5493</v>
      </c>
      <c r="AN382" s="0" t="s">
        <v>5578</v>
      </c>
      <c r="AO382" s="0" t="s">
        <v>5625</v>
      </c>
      <c r="AP382" s="0" t="s">
        <v>240</v>
      </c>
      <c r="AQ382" s="0" t="s">
        <v>240</v>
      </c>
      <c r="AR382" s="0" t="s">
        <v>240</v>
      </c>
      <c r="AS382" s="0" t="s">
        <v>240</v>
      </c>
      <c r="AT382" s="0" t="s">
        <v>240</v>
      </c>
      <c r="AU382" s="0" t="s">
        <v>240</v>
      </c>
      <c r="AV382" s="0" t="s">
        <v>240</v>
      </c>
      <c r="AW382" s="0" t="s">
        <v>240</v>
      </c>
      <c r="AX382" s="0" t="s">
        <v>240</v>
      </c>
      <c r="AY382" s="0" t="s">
        <v>240</v>
      </c>
      <c r="AZ382" s="0" t="s">
        <v>240</v>
      </c>
      <c r="BA382" s="0" t="s">
        <v>240</v>
      </c>
      <c r="BB382" s="0" t="s">
        <v>240</v>
      </c>
      <c r="BC382" s="0" t="s">
        <v>240</v>
      </c>
      <c r="BD382" s="0" t="s">
        <v>240</v>
      </c>
      <c r="BE382" s="0" t="s">
        <v>240</v>
      </c>
      <c r="BF382" s="0" t="s">
        <v>240</v>
      </c>
      <c r="BG382" s="0" t="s">
        <v>240</v>
      </c>
      <c r="BH382" s="0" t="s">
        <v>240</v>
      </c>
      <c r="BI382" s="0" t="s">
        <v>240</v>
      </c>
      <c r="BJ382" s="0" t="s">
        <v>240</v>
      </c>
      <c r="BK382" s="0" t="s">
        <v>240</v>
      </c>
      <c r="BL382" s="0" t="s">
        <v>240</v>
      </c>
      <c r="BM382" s="0" t="s">
        <v>240</v>
      </c>
      <c r="BN382" s="0" t="s">
        <v>240</v>
      </c>
      <c r="BO382" s="0" t="s">
        <v>240</v>
      </c>
      <c r="BP382" s="0" t="s">
        <v>240</v>
      </c>
      <c r="BQ382" s="0" t="s">
        <v>240</v>
      </c>
      <c r="BR382" s="0" t="s">
        <v>240</v>
      </c>
      <c r="BS382" s="0" t="s">
        <v>240</v>
      </c>
      <c r="BT382" s="0" t="s">
        <v>240</v>
      </c>
      <c r="BU382" s="0" t="s">
        <v>240</v>
      </c>
      <c r="BV382" s="0" t="s">
        <v>240</v>
      </c>
      <c r="BW382" s="0" t="s">
        <v>240</v>
      </c>
      <c r="BX382" s="0" t="s">
        <v>240</v>
      </c>
      <c r="BY382" s="0" t="s">
        <v>240</v>
      </c>
      <c r="BZ382" s="0" t="s">
        <v>240</v>
      </c>
      <c r="CA382" s="0" t="s">
        <v>240</v>
      </c>
      <c r="CB382" s="0" t="s">
        <v>240</v>
      </c>
      <c r="CC382" s="0" t="s">
        <v>240</v>
      </c>
      <c r="CD382" s="0" t="s">
        <v>240</v>
      </c>
      <c r="CE382" s="0" t="s">
        <v>240</v>
      </c>
      <c r="CF382" s="0" t="s">
        <v>240</v>
      </c>
      <c r="CG382" s="0" t="s">
        <v>240</v>
      </c>
      <c r="CH382" s="0" t="s">
        <v>240</v>
      </c>
      <c r="CI382" s="0" t="s">
        <v>240</v>
      </c>
      <c r="CJ382" s="0" t="s">
        <v>240</v>
      </c>
      <c r="CK382" s="0" t="s">
        <v>240</v>
      </c>
      <c r="CL382" s="0" t="s">
        <v>240</v>
      </c>
      <c r="CM382" s="0" t="s">
        <v>240</v>
      </c>
      <c r="CN382" s="0" t="s">
        <v>240</v>
      </c>
      <c r="CO382" s="0" t="s">
        <v>240</v>
      </c>
      <c r="CP382" s="0" t="s">
        <v>240</v>
      </c>
      <c r="CQ382" s="0" t="s">
        <v>240</v>
      </c>
      <c r="CR382" s="0" t="s">
        <v>240</v>
      </c>
      <c r="CS382" s="0" t="s">
        <v>240</v>
      </c>
      <c r="CT382" s="0" t="s">
        <v>5496</v>
      </c>
      <c r="CU382" s="0" t="s">
        <v>5497</v>
      </c>
      <c r="CV382" s="0" t="s">
        <v>443</v>
      </c>
      <c r="CW382" s="0" t="s">
        <v>5580</v>
      </c>
      <c r="CX382" s="0" t="s">
        <v>229</v>
      </c>
      <c r="CY382" s="0" t="s">
        <v>443</v>
      </c>
      <c r="CZ382" s="0" t="s">
        <v>5581</v>
      </c>
      <c r="DA382" s="0" t="s">
        <v>5582</v>
      </c>
      <c r="DB382" s="0" t="s">
        <v>5580</v>
      </c>
      <c r="DC382" s="0" t="s">
        <v>384</v>
      </c>
      <c r="DD382" s="0" t="s">
        <v>291</v>
      </c>
      <c r="DE382" s="0" t="s">
        <v>6498</v>
      </c>
    </row>
    <row customHeight="1" ht="11.25">
      <c r="A383" s="1441" t="s">
        <v>240</v>
      </c>
      <c r="B383" s="0" t="s">
        <v>240</v>
      </c>
      <c r="C383" s="0" t="s">
        <v>240</v>
      </c>
      <c r="D383" s="0" t="s">
        <v>240</v>
      </c>
      <c r="E383" s="0" t="s">
        <v>240</v>
      </c>
      <c r="F383" s="0" t="s">
        <v>240</v>
      </c>
      <c r="G383" s="0" t="s">
        <v>240</v>
      </c>
      <c r="H383" s="0" t="s">
        <v>240</v>
      </c>
      <c r="I383" s="0" t="s">
        <v>5484</v>
      </c>
      <c r="J383" s="0" t="s">
        <v>240</v>
      </c>
      <c r="K383" s="0" t="s">
        <v>240</v>
      </c>
      <c r="L383" s="0" t="s">
        <v>240</v>
      </c>
      <c r="M383" s="0" t="s">
        <v>240</v>
      </c>
      <c r="N383" s="0" t="s">
        <v>240</v>
      </c>
      <c r="O383" s="0" t="s">
        <v>240</v>
      </c>
      <c r="P383" s="0" t="s">
        <v>240</v>
      </c>
      <c r="Q383" s="0" t="s">
        <v>240</v>
      </c>
      <c r="R383" s="0" t="s">
        <v>5572</v>
      </c>
      <c r="S383" s="0" t="s">
        <v>240</v>
      </c>
      <c r="T383" s="0" t="s">
        <v>240</v>
      </c>
      <c r="U383" s="0" t="s">
        <v>102</v>
      </c>
      <c r="V383" s="0" t="s">
        <v>240</v>
      </c>
      <c r="W383" s="0" t="s">
        <v>240</v>
      </c>
      <c r="X383" s="0" t="s">
        <v>5485</v>
      </c>
      <c r="Y383" s="0" t="s">
        <v>240</v>
      </c>
      <c r="Z383" s="0" t="s">
        <v>161</v>
      </c>
      <c r="AA383" s="0" t="s">
        <v>152</v>
      </c>
      <c r="AB383" s="0" t="s">
        <v>152</v>
      </c>
      <c r="AC383" s="0" t="s">
        <v>2989</v>
      </c>
      <c r="AD383" s="0" t="s">
        <v>2989</v>
      </c>
      <c r="AE383" s="0" t="s">
        <v>2990</v>
      </c>
      <c r="AF383" s="0" t="s">
        <v>5803</v>
      </c>
      <c r="AG383" s="0" t="s">
        <v>5804</v>
      </c>
      <c r="AH383" s="0" t="s">
        <v>6910</v>
      </c>
      <c r="AI383" s="0" t="s">
        <v>6911</v>
      </c>
      <c r="AJ383" s="0" t="s">
        <v>5576</v>
      </c>
      <c r="AK383" s="0" t="s">
        <v>6401</v>
      </c>
      <c r="AL383" s="0" t="s">
        <v>5506</v>
      </c>
      <c r="AM383" s="0" t="s">
        <v>5493</v>
      </c>
      <c r="AN383" s="0" t="s">
        <v>5578</v>
      </c>
      <c r="AO383" s="0" t="s">
        <v>5625</v>
      </c>
      <c r="AP383" s="0" t="s">
        <v>240</v>
      </c>
      <c r="AQ383" s="0" t="s">
        <v>240</v>
      </c>
      <c r="AR383" s="0" t="s">
        <v>240</v>
      </c>
      <c r="AS383" s="0" t="s">
        <v>240</v>
      </c>
      <c r="AT383" s="0" t="s">
        <v>240</v>
      </c>
      <c r="AU383" s="0" t="s">
        <v>240</v>
      </c>
      <c r="AV383" s="0" t="s">
        <v>240</v>
      </c>
      <c r="AW383" s="0" t="s">
        <v>240</v>
      </c>
      <c r="AX383" s="0" t="s">
        <v>240</v>
      </c>
      <c r="AY383" s="0" t="s">
        <v>240</v>
      </c>
      <c r="AZ383" s="0" t="s">
        <v>240</v>
      </c>
      <c r="BA383" s="0" t="s">
        <v>240</v>
      </c>
      <c r="BB383" s="0" t="s">
        <v>240</v>
      </c>
      <c r="BC383" s="0" t="s">
        <v>240</v>
      </c>
      <c r="BD383" s="0" t="s">
        <v>240</v>
      </c>
      <c r="BE383" s="0" t="s">
        <v>240</v>
      </c>
      <c r="BF383" s="0" t="s">
        <v>240</v>
      </c>
      <c r="BG383" s="0" t="s">
        <v>240</v>
      </c>
      <c r="BH383" s="0" t="s">
        <v>240</v>
      </c>
      <c r="BI383" s="0" t="s">
        <v>240</v>
      </c>
      <c r="BJ383" s="0" t="s">
        <v>240</v>
      </c>
      <c r="BK383" s="0" t="s">
        <v>240</v>
      </c>
      <c r="BL383" s="0" t="s">
        <v>240</v>
      </c>
      <c r="BM383" s="0" t="s">
        <v>240</v>
      </c>
      <c r="BN383" s="0" t="s">
        <v>240</v>
      </c>
      <c r="BO383" s="0" t="s">
        <v>240</v>
      </c>
      <c r="BP383" s="0" t="s">
        <v>240</v>
      </c>
      <c r="BQ383" s="0" t="s">
        <v>240</v>
      </c>
      <c r="BR383" s="0" t="s">
        <v>240</v>
      </c>
      <c r="BS383" s="0" t="s">
        <v>240</v>
      </c>
      <c r="BT383" s="0" t="s">
        <v>240</v>
      </c>
      <c r="BU383" s="0" t="s">
        <v>240</v>
      </c>
      <c r="BV383" s="0" t="s">
        <v>240</v>
      </c>
      <c r="BW383" s="0" t="s">
        <v>240</v>
      </c>
      <c r="BX383" s="0" t="s">
        <v>240</v>
      </c>
      <c r="BY383" s="0" t="s">
        <v>240</v>
      </c>
      <c r="BZ383" s="0" t="s">
        <v>240</v>
      </c>
      <c r="CA383" s="0" t="s">
        <v>240</v>
      </c>
      <c r="CB383" s="0" t="s">
        <v>240</v>
      </c>
      <c r="CC383" s="0" t="s">
        <v>240</v>
      </c>
      <c r="CD383" s="0" t="s">
        <v>240</v>
      </c>
      <c r="CE383" s="0" t="s">
        <v>240</v>
      </c>
      <c r="CF383" s="0" t="s">
        <v>240</v>
      </c>
      <c r="CG383" s="0" t="s">
        <v>240</v>
      </c>
      <c r="CH383" s="0" t="s">
        <v>240</v>
      </c>
      <c r="CI383" s="0" t="s">
        <v>240</v>
      </c>
      <c r="CJ383" s="0" t="s">
        <v>240</v>
      </c>
      <c r="CK383" s="0" t="s">
        <v>240</v>
      </c>
      <c r="CL383" s="0" t="s">
        <v>240</v>
      </c>
      <c r="CM383" s="0" t="s">
        <v>240</v>
      </c>
      <c r="CN383" s="0" t="s">
        <v>240</v>
      </c>
      <c r="CO383" s="0" t="s">
        <v>240</v>
      </c>
      <c r="CP383" s="0" t="s">
        <v>240</v>
      </c>
      <c r="CQ383" s="0" t="s">
        <v>240</v>
      </c>
      <c r="CR383" s="0" t="s">
        <v>240</v>
      </c>
      <c r="CS383" s="0" t="s">
        <v>240</v>
      </c>
      <c r="CT383" s="0" t="s">
        <v>5496</v>
      </c>
      <c r="CU383" s="0" t="s">
        <v>5497</v>
      </c>
      <c r="CV383" s="0" t="s">
        <v>443</v>
      </c>
      <c r="CW383" s="0" t="s">
        <v>5580</v>
      </c>
      <c r="CX383" s="0" t="s">
        <v>229</v>
      </c>
      <c r="CY383" s="0" t="s">
        <v>443</v>
      </c>
      <c r="CZ383" s="0" t="s">
        <v>5581</v>
      </c>
      <c r="DA383" s="0" t="s">
        <v>5582</v>
      </c>
      <c r="DB383" s="0" t="s">
        <v>5580</v>
      </c>
      <c r="DC383" s="0" t="s">
        <v>384</v>
      </c>
      <c r="DD383" s="0" t="s">
        <v>291</v>
      </c>
      <c r="DE383" s="0" t="s">
        <v>6912</v>
      </c>
    </row>
    <row customHeight="1" ht="11.25">
      <c r="A384" s="1441" t="s">
        <v>240</v>
      </c>
      <c r="B384" s="0" t="s">
        <v>240</v>
      </c>
      <c r="C384" s="0" t="s">
        <v>240</v>
      </c>
      <c r="D384" s="0" t="s">
        <v>240</v>
      </c>
      <c r="E384" s="0" t="s">
        <v>240</v>
      </c>
      <c r="F384" s="0" t="s">
        <v>240</v>
      </c>
      <c r="G384" s="0" t="s">
        <v>240</v>
      </c>
      <c r="H384" s="0" t="s">
        <v>240</v>
      </c>
      <c r="I384" s="0" t="s">
        <v>5484</v>
      </c>
      <c r="J384" s="0" t="s">
        <v>240</v>
      </c>
      <c r="K384" s="0" t="s">
        <v>240</v>
      </c>
      <c r="L384" s="0" t="s">
        <v>240</v>
      </c>
      <c r="M384" s="0" t="s">
        <v>240</v>
      </c>
      <c r="N384" s="0" t="s">
        <v>240</v>
      </c>
      <c r="O384" s="0" t="s">
        <v>240</v>
      </c>
      <c r="P384" s="0" t="s">
        <v>240</v>
      </c>
      <c r="Q384" s="0" t="s">
        <v>240</v>
      </c>
      <c r="R384" s="0" t="s">
        <v>5802</v>
      </c>
      <c r="S384" s="0" t="s">
        <v>240</v>
      </c>
      <c r="T384" s="0" t="s">
        <v>240</v>
      </c>
      <c r="U384" s="0" t="s">
        <v>102</v>
      </c>
      <c r="V384" s="0" t="s">
        <v>240</v>
      </c>
      <c r="W384" s="0" t="s">
        <v>240</v>
      </c>
      <c r="X384" s="0" t="s">
        <v>5585</v>
      </c>
      <c r="Y384" s="0" t="s">
        <v>240</v>
      </c>
      <c r="Z384" s="0" t="s">
        <v>152</v>
      </c>
      <c r="AA384" s="0" t="s">
        <v>152</v>
      </c>
      <c r="AB384" s="0" t="s">
        <v>161</v>
      </c>
      <c r="AC384" s="0" t="s">
        <v>2989</v>
      </c>
      <c r="AD384" s="0" t="s">
        <v>2989</v>
      </c>
      <c r="AE384" s="0" t="s">
        <v>2990</v>
      </c>
      <c r="AF384" s="0" t="s">
        <v>5803</v>
      </c>
      <c r="AG384" s="0" t="s">
        <v>5804</v>
      </c>
      <c r="AH384" s="0" t="s">
        <v>5575</v>
      </c>
      <c r="AI384" s="0" t="s">
        <v>5575</v>
      </c>
      <c r="AJ384" s="0" t="s">
        <v>240</v>
      </c>
      <c r="AK384" s="0" t="s">
        <v>240</v>
      </c>
      <c r="AL384" s="0" t="s">
        <v>240</v>
      </c>
      <c r="AM384" s="0" t="s">
        <v>240</v>
      </c>
      <c r="AN384" s="0" t="s">
        <v>240</v>
      </c>
      <c r="AO384" s="0" t="s">
        <v>240</v>
      </c>
      <c r="AP384" s="0" t="s">
        <v>240</v>
      </c>
      <c r="AQ384" s="0" t="s">
        <v>240</v>
      </c>
      <c r="AR384" s="0" t="s">
        <v>240</v>
      </c>
      <c r="AS384" s="0" t="s">
        <v>240</v>
      </c>
      <c r="AT384" s="0" t="s">
        <v>240</v>
      </c>
      <c r="AU384" s="0" t="s">
        <v>240</v>
      </c>
      <c r="AV384" s="0" t="s">
        <v>240</v>
      </c>
      <c r="AW384" s="0" t="s">
        <v>240</v>
      </c>
      <c r="AX384" s="0" t="s">
        <v>240</v>
      </c>
      <c r="AY384" s="0" t="s">
        <v>240</v>
      </c>
      <c r="AZ384" s="0" t="s">
        <v>240</v>
      </c>
      <c r="BA384" s="0" t="s">
        <v>240</v>
      </c>
      <c r="BB384" s="0" t="s">
        <v>240</v>
      </c>
      <c r="BC384" s="0" t="s">
        <v>240</v>
      </c>
      <c r="BD384" s="0" t="s">
        <v>240</v>
      </c>
      <c r="BE384" s="0" t="s">
        <v>5805</v>
      </c>
      <c r="BF384" s="0" t="s">
        <v>5806</v>
      </c>
      <c r="BG384" s="0" t="s">
        <v>112</v>
      </c>
      <c r="BH384" s="0" t="s">
        <v>5589</v>
      </c>
      <c r="BI384" s="0" t="s">
        <v>123</v>
      </c>
      <c r="BJ384" s="0" t="s">
        <v>240</v>
      </c>
      <c r="BK384" s="0" t="s">
        <v>5608</v>
      </c>
      <c r="BL384" s="0" t="s">
        <v>2989</v>
      </c>
      <c r="BM384" s="0" t="s">
        <v>2989</v>
      </c>
      <c r="BN384" s="0" t="s">
        <v>5798</v>
      </c>
      <c r="BO384" s="0" t="s">
        <v>5803</v>
      </c>
      <c r="BP384" s="0" t="s">
        <v>5807</v>
      </c>
      <c r="BQ384" s="0" t="s">
        <v>5575</v>
      </c>
      <c r="BR384" s="0" t="s">
        <v>5575</v>
      </c>
      <c r="BS384" s="0" t="s">
        <v>240</v>
      </c>
      <c r="BT384" s="0" t="s">
        <v>5650</v>
      </c>
      <c r="BU384" s="0" t="s">
        <v>6960</v>
      </c>
      <c r="BV384" s="0" t="s">
        <v>6960</v>
      </c>
      <c r="BW384" s="0" t="s">
        <v>5598</v>
      </c>
      <c r="BX384" s="0" t="s">
        <v>5598</v>
      </c>
      <c r="BY384" s="0" t="s">
        <v>5598</v>
      </c>
      <c r="BZ384" s="0" t="s">
        <v>5598</v>
      </c>
      <c r="CA384" s="0" t="s">
        <v>5598</v>
      </c>
      <c r="CB384" s="0" t="s">
        <v>240</v>
      </c>
      <c r="CC384" s="0" t="s">
        <v>240</v>
      </c>
      <c r="CD384" s="0" t="s">
        <v>240</v>
      </c>
      <c r="CE384" s="0" t="s">
        <v>240</v>
      </c>
      <c r="CF384" s="0" t="s">
        <v>240</v>
      </c>
      <c r="CG384" s="0" t="s">
        <v>5598</v>
      </c>
      <c r="CH384" s="0" t="s">
        <v>240</v>
      </c>
      <c r="CI384" s="0" t="s">
        <v>240</v>
      </c>
      <c r="CJ384" s="0" t="s">
        <v>240</v>
      </c>
      <c r="CK384" s="0" t="s">
        <v>240</v>
      </c>
      <c r="CL384" s="0" t="s">
        <v>240</v>
      </c>
      <c r="CM384" s="0" t="s">
        <v>6960</v>
      </c>
      <c r="CN384" s="0" t="s">
        <v>6960</v>
      </c>
      <c r="CO384" s="0" t="s">
        <v>240</v>
      </c>
      <c r="CP384" s="0" t="s">
        <v>240</v>
      </c>
      <c r="CQ384" s="0" t="s">
        <v>240</v>
      </c>
      <c r="CR384" s="0" t="s">
        <v>240</v>
      </c>
      <c r="CS384" s="0" t="s">
        <v>5491</v>
      </c>
      <c r="CT384" s="0" t="s">
        <v>5496</v>
      </c>
      <c r="CU384" s="0" t="s">
        <v>5497</v>
      </c>
      <c r="CV384" s="0" t="s">
        <v>443</v>
      </c>
      <c r="CW384" s="0" t="s">
        <v>5580</v>
      </c>
      <c r="CX384" s="0" t="s">
        <v>229</v>
      </c>
      <c r="CY384" s="0" t="s">
        <v>443</v>
      </c>
      <c r="CZ384" s="0" t="s">
        <v>5581</v>
      </c>
      <c r="DA384" s="0" t="s">
        <v>5582</v>
      </c>
      <c r="DB384" s="0" t="s">
        <v>5580</v>
      </c>
      <c r="DC384" s="0" t="s">
        <v>384</v>
      </c>
      <c r="DD384" s="0" t="s">
        <v>291</v>
      </c>
      <c r="DE384" s="0" t="s">
        <v>5809</v>
      </c>
    </row>
    <row customHeight="1" ht="11.25">
      <c r="A385" s="1441" t="s">
        <v>240</v>
      </c>
      <c r="B385" s="0" t="s">
        <v>240</v>
      </c>
      <c r="C385" s="0" t="s">
        <v>240</v>
      </c>
      <c r="D385" s="0" t="s">
        <v>240</v>
      </c>
      <c r="E385" s="0" t="s">
        <v>240</v>
      </c>
      <c r="F385" s="0" t="s">
        <v>240</v>
      </c>
      <c r="G385" s="0" t="s">
        <v>240</v>
      </c>
      <c r="H385" s="0" t="s">
        <v>240</v>
      </c>
      <c r="I385" s="0" t="s">
        <v>5484</v>
      </c>
      <c r="J385" s="0" t="s">
        <v>240</v>
      </c>
      <c r="K385" s="0" t="s">
        <v>240</v>
      </c>
      <c r="L385" s="0" t="s">
        <v>240</v>
      </c>
      <c r="M385" s="0" t="s">
        <v>240</v>
      </c>
      <c r="N385" s="0" t="s">
        <v>240</v>
      </c>
      <c r="O385" s="0" t="s">
        <v>240</v>
      </c>
      <c r="P385" s="0" t="s">
        <v>240</v>
      </c>
      <c r="Q385" s="0" t="s">
        <v>240</v>
      </c>
      <c r="R385" s="0" t="s">
        <v>5572</v>
      </c>
      <c r="S385" s="0" t="s">
        <v>240</v>
      </c>
      <c r="T385" s="0" t="s">
        <v>240</v>
      </c>
      <c r="U385" s="0" t="s">
        <v>102</v>
      </c>
      <c r="V385" s="0" t="s">
        <v>240</v>
      </c>
      <c r="W385" s="0" t="s">
        <v>240</v>
      </c>
      <c r="X385" s="0" t="s">
        <v>5485</v>
      </c>
      <c r="Y385" s="0" t="s">
        <v>240</v>
      </c>
      <c r="Z385" s="0" t="s">
        <v>161</v>
      </c>
      <c r="AA385" s="0" t="s">
        <v>152</v>
      </c>
      <c r="AB385" s="0" t="s">
        <v>152</v>
      </c>
      <c r="AC385" s="0" t="s">
        <v>2989</v>
      </c>
      <c r="AD385" s="0" t="s">
        <v>2989</v>
      </c>
      <c r="AE385" s="0" t="s">
        <v>2990</v>
      </c>
      <c r="AF385" s="0" t="s">
        <v>6095</v>
      </c>
      <c r="AG385" s="0" t="s">
        <v>6096</v>
      </c>
      <c r="AH385" s="0" t="s">
        <v>6097</v>
      </c>
      <c r="AI385" s="0" t="s">
        <v>5575</v>
      </c>
      <c r="AJ385" s="0" t="s">
        <v>5576</v>
      </c>
      <c r="AK385" s="0" t="s">
        <v>5814</v>
      </c>
      <c r="AL385" s="0" t="s">
        <v>5506</v>
      </c>
      <c r="AM385" s="0" t="s">
        <v>5493</v>
      </c>
      <c r="AN385" s="0" t="s">
        <v>5578</v>
      </c>
      <c r="AO385" s="0" t="s">
        <v>5746</v>
      </c>
      <c r="AP385" s="0" t="s">
        <v>240</v>
      </c>
      <c r="AQ385" s="0" t="s">
        <v>240</v>
      </c>
      <c r="AR385" s="0" t="s">
        <v>240</v>
      </c>
      <c r="AS385" s="0" t="s">
        <v>240</v>
      </c>
      <c r="AT385" s="0" t="s">
        <v>240</v>
      </c>
      <c r="AU385" s="0" t="s">
        <v>240</v>
      </c>
      <c r="AV385" s="0" t="s">
        <v>240</v>
      </c>
      <c r="AW385" s="0" t="s">
        <v>240</v>
      </c>
      <c r="AX385" s="0" t="s">
        <v>240</v>
      </c>
      <c r="AY385" s="0" t="s">
        <v>240</v>
      </c>
      <c r="AZ385" s="0" t="s">
        <v>240</v>
      </c>
      <c r="BA385" s="0" t="s">
        <v>240</v>
      </c>
      <c r="BB385" s="0" t="s">
        <v>240</v>
      </c>
      <c r="BC385" s="0" t="s">
        <v>240</v>
      </c>
      <c r="BD385" s="0" t="s">
        <v>240</v>
      </c>
      <c r="BE385" s="0" t="s">
        <v>240</v>
      </c>
      <c r="BF385" s="0" t="s">
        <v>240</v>
      </c>
      <c r="BG385" s="0" t="s">
        <v>240</v>
      </c>
      <c r="BH385" s="0" t="s">
        <v>240</v>
      </c>
      <c r="BI385" s="0" t="s">
        <v>240</v>
      </c>
      <c r="BJ385" s="0" t="s">
        <v>240</v>
      </c>
      <c r="BK385" s="0" t="s">
        <v>240</v>
      </c>
      <c r="BL385" s="0" t="s">
        <v>240</v>
      </c>
      <c r="BM385" s="0" t="s">
        <v>240</v>
      </c>
      <c r="BN385" s="0" t="s">
        <v>240</v>
      </c>
      <c r="BO385" s="0" t="s">
        <v>240</v>
      </c>
      <c r="BP385" s="0" t="s">
        <v>240</v>
      </c>
      <c r="BQ385" s="0" t="s">
        <v>240</v>
      </c>
      <c r="BR385" s="0" t="s">
        <v>240</v>
      </c>
      <c r="BS385" s="0" t="s">
        <v>240</v>
      </c>
      <c r="BT385" s="0" t="s">
        <v>240</v>
      </c>
      <c r="BU385" s="0" t="s">
        <v>240</v>
      </c>
      <c r="BV385" s="0" t="s">
        <v>240</v>
      </c>
      <c r="BW385" s="0" t="s">
        <v>240</v>
      </c>
      <c r="BX385" s="0" t="s">
        <v>240</v>
      </c>
      <c r="BY385" s="0" t="s">
        <v>240</v>
      </c>
      <c r="BZ385" s="0" t="s">
        <v>240</v>
      </c>
      <c r="CA385" s="0" t="s">
        <v>240</v>
      </c>
      <c r="CB385" s="0" t="s">
        <v>240</v>
      </c>
      <c r="CC385" s="0" t="s">
        <v>240</v>
      </c>
      <c r="CD385" s="0" t="s">
        <v>240</v>
      </c>
      <c r="CE385" s="0" t="s">
        <v>240</v>
      </c>
      <c r="CF385" s="0" t="s">
        <v>240</v>
      </c>
      <c r="CG385" s="0" t="s">
        <v>240</v>
      </c>
      <c r="CH385" s="0" t="s">
        <v>240</v>
      </c>
      <c r="CI385" s="0" t="s">
        <v>240</v>
      </c>
      <c r="CJ385" s="0" t="s">
        <v>240</v>
      </c>
      <c r="CK385" s="0" t="s">
        <v>240</v>
      </c>
      <c r="CL385" s="0" t="s">
        <v>240</v>
      </c>
      <c r="CM385" s="0" t="s">
        <v>240</v>
      </c>
      <c r="CN385" s="0" t="s">
        <v>240</v>
      </c>
      <c r="CO385" s="0" t="s">
        <v>240</v>
      </c>
      <c r="CP385" s="0" t="s">
        <v>240</v>
      </c>
      <c r="CQ385" s="0" t="s">
        <v>240</v>
      </c>
      <c r="CR385" s="0" t="s">
        <v>240</v>
      </c>
      <c r="CS385" s="0" t="s">
        <v>240</v>
      </c>
      <c r="CT385" s="0" t="s">
        <v>5496</v>
      </c>
      <c r="CU385" s="0" t="s">
        <v>5497</v>
      </c>
      <c r="CV385" s="0" t="s">
        <v>443</v>
      </c>
      <c r="CW385" s="0" t="s">
        <v>5580</v>
      </c>
      <c r="CX385" s="0" t="s">
        <v>229</v>
      </c>
      <c r="CY385" s="0" t="s">
        <v>443</v>
      </c>
      <c r="CZ385" s="0" t="s">
        <v>5581</v>
      </c>
      <c r="DA385" s="0" t="s">
        <v>5582</v>
      </c>
      <c r="DB385" s="0" t="s">
        <v>5580</v>
      </c>
      <c r="DC385" s="0" t="s">
        <v>384</v>
      </c>
      <c r="DD385" s="0" t="s">
        <v>291</v>
      </c>
      <c r="DE385" s="0" t="s">
        <v>6098</v>
      </c>
    </row>
    <row customHeight="1" ht="11.25">
      <c r="A386" s="1441" t="s">
        <v>240</v>
      </c>
      <c r="B386" s="0" t="s">
        <v>240</v>
      </c>
      <c r="C386" s="0" t="s">
        <v>240</v>
      </c>
      <c r="D386" s="0" t="s">
        <v>240</v>
      </c>
      <c r="E386" s="0" t="s">
        <v>240</v>
      </c>
      <c r="F386" s="0" t="s">
        <v>240</v>
      </c>
      <c r="G386" s="0" t="s">
        <v>240</v>
      </c>
      <c r="H386" s="0" t="s">
        <v>240</v>
      </c>
      <c r="I386" s="0" t="s">
        <v>5484</v>
      </c>
      <c r="J386" s="0" t="s">
        <v>240</v>
      </c>
      <c r="K386" s="0" t="s">
        <v>240</v>
      </c>
      <c r="L386" s="0" t="s">
        <v>240</v>
      </c>
      <c r="M386" s="0" t="s">
        <v>240</v>
      </c>
      <c r="N386" s="0" t="s">
        <v>240</v>
      </c>
      <c r="O386" s="0" t="s">
        <v>240</v>
      </c>
      <c r="P386" s="0" t="s">
        <v>240</v>
      </c>
      <c r="Q386" s="0" t="s">
        <v>240</v>
      </c>
      <c r="R386" s="0" t="s">
        <v>5572</v>
      </c>
      <c r="S386" s="0" t="s">
        <v>240</v>
      </c>
      <c r="T386" s="0" t="s">
        <v>240</v>
      </c>
      <c r="U386" s="0" t="s">
        <v>102</v>
      </c>
      <c r="V386" s="0" t="s">
        <v>240</v>
      </c>
      <c r="W386" s="0" t="s">
        <v>240</v>
      </c>
      <c r="X386" s="0" t="s">
        <v>5485</v>
      </c>
      <c r="Y386" s="0" t="s">
        <v>240</v>
      </c>
      <c r="Z386" s="0" t="s">
        <v>161</v>
      </c>
      <c r="AA386" s="0" t="s">
        <v>152</v>
      </c>
      <c r="AB386" s="0" t="s">
        <v>152</v>
      </c>
      <c r="AC386" s="0" t="s">
        <v>2989</v>
      </c>
      <c r="AD386" s="0" t="s">
        <v>2989</v>
      </c>
      <c r="AE386" s="0" t="s">
        <v>2990</v>
      </c>
      <c r="AF386" s="0" t="s">
        <v>6095</v>
      </c>
      <c r="AG386" s="0" t="s">
        <v>6096</v>
      </c>
      <c r="AH386" s="0" t="s">
        <v>6099</v>
      </c>
      <c r="AI386" s="0" t="s">
        <v>5575</v>
      </c>
      <c r="AJ386" s="0" t="s">
        <v>5576</v>
      </c>
      <c r="AK386" s="0" t="s">
        <v>6100</v>
      </c>
      <c r="AL386" s="0" t="s">
        <v>5506</v>
      </c>
      <c r="AM386" s="0" t="s">
        <v>5493</v>
      </c>
      <c r="AN386" s="0" t="s">
        <v>5578</v>
      </c>
      <c r="AO386" s="0" t="s">
        <v>6101</v>
      </c>
      <c r="AP386" s="0" t="s">
        <v>240</v>
      </c>
      <c r="AQ386" s="0" t="s">
        <v>240</v>
      </c>
      <c r="AR386" s="0" t="s">
        <v>240</v>
      </c>
      <c r="AS386" s="0" t="s">
        <v>240</v>
      </c>
      <c r="AT386" s="0" t="s">
        <v>240</v>
      </c>
      <c r="AU386" s="0" t="s">
        <v>240</v>
      </c>
      <c r="AV386" s="0" t="s">
        <v>240</v>
      </c>
      <c r="AW386" s="0" t="s">
        <v>240</v>
      </c>
      <c r="AX386" s="0" t="s">
        <v>240</v>
      </c>
      <c r="AY386" s="0" t="s">
        <v>240</v>
      </c>
      <c r="AZ386" s="0" t="s">
        <v>240</v>
      </c>
      <c r="BA386" s="0" t="s">
        <v>240</v>
      </c>
      <c r="BB386" s="0" t="s">
        <v>240</v>
      </c>
      <c r="BC386" s="0" t="s">
        <v>240</v>
      </c>
      <c r="BD386" s="0" t="s">
        <v>240</v>
      </c>
      <c r="BE386" s="0" t="s">
        <v>240</v>
      </c>
      <c r="BF386" s="0" t="s">
        <v>240</v>
      </c>
      <c r="BG386" s="0" t="s">
        <v>240</v>
      </c>
      <c r="BH386" s="0" t="s">
        <v>240</v>
      </c>
      <c r="BI386" s="0" t="s">
        <v>240</v>
      </c>
      <c r="BJ386" s="0" t="s">
        <v>240</v>
      </c>
      <c r="BK386" s="0" t="s">
        <v>240</v>
      </c>
      <c r="BL386" s="0" t="s">
        <v>240</v>
      </c>
      <c r="BM386" s="0" t="s">
        <v>240</v>
      </c>
      <c r="BN386" s="0" t="s">
        <v>240</v>
      </c>
      <c r="BO386" s="0" t="s">
        <v>240</v>
      </c>
      <c r="BP386" s="0" t="s">
        <v>240</v>
      </c>
      <c r="BQ386" s="0" t="s">
        <v>240</v>
      </c>
      <c r="BR386" s="0" t="s">
        <v>240</v>
      </c>
      <c r="BS386" s="0" t="s">
        <v>240</v>
      </c>
      <c r="BT386" s="0" t="s">
        <v>240</v>
      </c>
      <c r="BU386" s="0" t="s">
        <v>240</v>
      </c>
      <c r="BV386" s="0" t="s">
        <v>240</v>
      </c>
      <c r="BW386" s="0" t="s">
        <v>240</v>
      </c>
      <c r="BX386" s="0" t="s">
        <v>240</v>
      </c>
      <c r="BY386" s="0" t="s">
        <v>240</v>
      </c>
      <c r="BZ386" s="0" t="s">
        <v>240</v>
      </c>
      <c r="CA386" s="0" t="s">
        <v>240</v>
      </c>
      <c r="CB386" s="0" t="s">
        <v>240</v>
      </c>
      <c r="CC386" s="0" t="s">
        <v>240</v>
      </c>
      <c r="CD386" s="0" t="s">
        <v>240</v>
      </c>
      <c r="CE386" s="0" t="s">
        <v>240</v>
      </c>
      <c r="CF386" s="0" t="s">
        <v>240</v>
      </c>
      <c r="CG386" s="0" t="s">
        <v>240</v>
      </c>
      <c r="CH386" s="0" t="s">
        <v>240</v>
      </c>
      <c r="CI386" s="0" t="s">
        <v>240</v>
      </c>
      <c r="CJ386" s="0" t="s">
        <v>240</v>
      </c>
      <c r="CK386" s="0" t="s">
        <v>240</v>
      </c>
      <c r="CL386" s="0" t="s">
        <v>240</v>
      </c>
      <c r="CM386" s="0" t="s">
        <v>240</v>
      </c>
      <c r="CN386" s="0" t="s">
        <v>240</v>
      </c>
      <c r="CO386" s="0" t="s">
        <v>240</v>
      </c>
      <c r="CP386" s="0" t="s">
        <v>240</v>
      </c>
      <c r="CQ386" s="0" t="s">
        <v>240</v>
      </c>
      <c r="CR386" s="0" t="s">
        <v>240</v>
      </c>
      <c r="CS386" s="0" t="s">
        <v>240</v>
      </c>
      <c r="CT386" s="0" t="s">
        <v>5496</v>
      </c>
      <c r="CU386" s="0" t="s">
        <v>5497</v>
      </c>
      <c r="CV386" s="0" t="s">
        <v>443</v>
      </c>
      <c r="CW386" s="0" t="s">
        <v>5580</v>
      </c>
      <c r="CX386" s="0" t="s">
        <v>229</v>
      </c>
      <c r="CY386" s="0" t="s">
        <v>443</v>
      </c>
      <c r="CZ386" s="0" t="s">
        <v>5581</v>
      </c>
      <c r="DA386" s="0" t="s">
        <v>5582</v>
      </c>
      <c r="DB386" s="0" t="s">
        <v>5580</v>
      </c>
      <c r="DC386" s="0" t="s">
        <v>384</v>
      </c>
      <c r="DD386" s="0" t="s">
        <v>291</v>
      </c>
      <c r="DE386" s="0" t="s">
        <v>6102</v>
      </c>
    </row>
    <row customHeight="1" ht="11.25">
      <c r="A387" s="1441" t="s">
        <v>240</v>
      </c>
      <c r="B387" s="0" t="s">
        <v>240</v>
      </c>
      <c r="C387" s="0" t="s">
        <v>240</v>
      </c>
      <c r="D387" s="0" t="s">
        <v>240</v>
      </c>
      <c r="E387" s="0" t="s">
        <v>240</v>
      </c>
      <c r="F387" s="0" t="s">
        <v>240</v>
      </c>
      <c r="G387" s="0" t="s">
        <v>240</v>
      </c>
      <c r="H387" s="0" t="s">
        <v>240</v>
      </c>
      <c r="I387" s="0" t="s">
        <v>5484</v>
      </c>
      <c r="J387" s="0" t="s">
        <v>240</v>
      </c>
      <c r="K387" s="0" t="s">
        <v>240</v>
      </c>
      <c r="L387" s="0" t="s">
        <v>240</v>
      </c>
      <c r="M387" s="0" t="s">
        <v>240</v>
      </c>
      <c r="N387" s="0" t="s">
        <v>240</v>
      </c>
      <c r="O387" s="0" t="s">
        <v>240</v>
      </c>
      <c r="P387" s="0" t="s">
        <v>240</v>
      </c>
      <c r="Q387" s="0" t="s">
        <v>240</v>
      </c>
      <c r="R387" s="0" t="s">
        <v>6289</v>
      </c>
      <c r="S387" s="0" t="s">
        <v>240</v>
      </c>
      <c r="T387" s="0" t="s">
        <v>240</v>
      </c>
      <c r="U387" s="0" t="s">
        <v>102</v>
      </c>
      <c r="V387" s="0" t="s">
        <v>240</v>
      </c>
      <c r="W387" s="0" t="s">
        <v>240</v>
      </c>
      <c r="X387" s="0" t="s">
        <v>5585</v>
      </c>
      <c r="Y387" s="0" t="s">
        <v>240</v>
      </c>
      <c r="Z387" s="0" t="s">
        <v>152</v>
      </c>
      <c r="AA387" s="0" t="s">
        <v>152</v>
      </c>
      <c r="AB387" s="0" t="s">
        <v>161</v>
      </c>
      <c r="AC387" s="0" t="s">
        <v>2989</v>
      </c>
      <c r="AD387" s="0" t="s">
        <v>2989</v>
      </c>
      <c r="AE387" s="0" t="s">
        <v>2990</v>
      </c>
      <c r="AF387" s="0" t="s">
        <v>6095</v>
      </c>
      <c r="AG387" s="0" t="s">
        <v>6096</v>
      </c>
      <c r="AH387" s="0" t="s">
        <v>5575</v>
      </c>
      <c r="AI387" s="0" t="s">
        <v>5575</v>
      </c>
      <c r="AJ387" s="0" t="s">
        <v>240</v>
      </c>
      <c r="AK387" s="0" t="s">
        <v>240</v>
      </c>
      <c r="AL387" s="0" t="s">
        <v>240</v>
      </c>
      <c r="AM387" s="0" t="s">
        <v>240</v>
      </c>
      <c r="AN387" s="0" t="s">
        <v>240</v>
      </c>
      <c r="AO387" s="0" t="s">
        <v>240</v>
      </c>
      <c r="AP387" s="0" t="s">
        <v>240</v>
      </c>
      <c r="AQ387" s="0" t="s">
        <v>240</v>
      </c>
      <c r="AR387" s="0" t="s">
        <v>240</v>
      </c>
      <c r="AS387" s="0" t="s">
        <v>240</v>
      </c>
      <c r="AT387" s="0" t="s">
        <v>240</v>
      </c>
      <c r="AU387" s="0" t="s">
        <v>240</v>
      </c>
      <c r="AV387" s="0" t="s">
        <v>240</v>
      </c>
      <c r="AW387" s="0" t="s">
        <v>240</v>
      </c>
      <c r="AX387" s="0" t="s">
        <v>240</v>
      </c>
      <c r="AY387" s="0" t="s">
        <v>240</v>
      </c>
      <c r="AZ387" s="0" t="s">
        <v>240</v>
      </c>
      <c r="BA387" s="0" t="s">
        <v>240</v>
      </c>
      <c r="BB387" s="0" t="s">
        <v>240</v>
      </c>
      <c r="BC387" s="0" t="s">
        <v>240</v>
      </c>
      <c r="BD387" s="0" t="s">
        <v>240</v>
      </c>
      <c r="BE387" s="0" t="s">
        <v>5992</v>
      </c>
      <c r="BF387" s="0" t="s">
        <v>5797</v>
      </c>
      <c r="BG387" s="0" t="s">
        <v>112</v>
      </c>
      <c r="BH387" s="0" t="s">
        <v>5589</v>
      </c>
      <c r="BI387" s="0" t="s">
        <v>123</v>
      </c>
      <c r="BJ387" s="0" t="s">
        <v>240</v>
      </c>
      <c r="BK387" s="0" t="s">
        <v>5608</v>
      </c>
      <c r="BL387" s="0" t="s">
        <v>2989</v>
      </c>
      <c r="BM387" s="0" t="s">
        <v>2989</v>
      </c>
      <c r="BN387" s="0" t="s">
        <v>5798</v>
      </c>
      <c r="BO387" s="0" t="s">
        <v>6095</v>
      </c>
      <c r="BP387" s="0" t="s">
        <v>6290</v>
      </c>
      <c r="BQ387" s="0" t="s">
        <v>5575</v>
      </c>
      <c r="BR387" s="0" t="s">
        <v>5575</v>
      </c>
      <c r="BS387" s="0" t="s">
        <v>240</v>
      </c>
      <c r="BT387" s="0" t="s">
        <v>5650</v>
      </c>
      <c r="BU387" s="0" t="s">
        <v>6291</v>
      </c>
      <c r="BV387" s="0" t="s">
        <v>6291</v>
      </c>
      <c r="BW387" s="0" t="s">
        <v>5598</v>
      </c>
      <c r="BX387" s="0" t="s">
        <v>5598</v>
      </c>
      <c r="BY387" s="0" t="s">
        <v>5598</v>
      </c>
      <c r="BZ387" s="0" t="s">
        <v>5598</v>
      </c>
      <c r="CA387" s="0" t="s">
        <v>5598</v>
      </c>
      <c r="CB387" s="0" t="s">
        <v>240</v>
      </c>
      <c r="CC387" s="0" t="s">
        <v>240</v>
      </c>
      <c r="CD387" s="0" t="s">
        <v>240</v>
      </c>
      <c r="CE387" s="0" t="s">
        <v>240</v>
      </c>
      <c r="CF387" s="0" t="s">
        <v>240</v>
      </c>
      <c r="CG387" s="0" t="s">
        <v>5598</v>
      </c>
      <c r="CH387" s="0" t="s">
        <v>240</v>
      </c>
      <c r="CI387" s="0" t="s">
        <v>240</v>
      </c>
      <c r="CJ387" s="0" t="s">
        <v>240</v>
      </c>
      <c r="CK387" s="0" t="s">
        <v>240</v>
      </c>
      <c r="CL387" s="0" t="s">
        <v>240</v>
      </c>
      <c r="CM387" s="0" t="s">
        <v>6291</v>
      </c>
      <c r="CN387" s="0" t="s">
        <v>6291</v>
      </c>
      <c r="CO387" s="0" t="s">
        <v>240</v>
      </c>
      <c r="CP387" s="0" t="s">
        <v>240</v>
      </c>
      <c r="CQ387" s="0" t="s">
        <v>240</v>
      </c>
      <c r="CR387" s="0" t="s">
        <v>240</v>
      </c>
      <c r="CS387" s="0" t="s">
        <v>5578</v>
      </c>
      <c r="CT387" s="0" t="s">
        <v>5496</v>
      </c>
      <c r="CU387" s="0" t="s">
        <v>5497</v>
      </c>
      <c r="CV387" s="0" t="s">
        <v>443</v>
      </c>
      <c r="CW387" s="0" t="s">
        <v>5580</v>
      </c>
      <c r="CX387" s="0" t="s">
        <v>229</v>
      </c>
      <c r="CY387" s="0" t="s">
        <v>443</v>
      </c>
      <c r="CZ387" s="0" t="s">
        <v>5581</v>
      </c>
      <c r="DA387" s="0" t="s">
        <v>5582</v>
      </c>
      <c r="DB387" s="0" t="s">
        <v>5580</v>
      </c>
      <c r="DC387" s="0" t="s">
        <v>384</v>
      </c>
      <c r="DD387" s="0" t="s">
        <v>291</v>
      </c>
      <c r="DE387" s="0" t="s">
        <v>6292</v>
      </c>
    </row>
    <row customHeight="1" ht="11.25">
      <c r="A388" s="1441" t="s">
        <v>240</v>
      </c>
      <c r="B388" s="0" t="s">
        <v>240</v>
      </c>
      <c r="C388" s="0" t="s">
        <v>240</v>
      </c>
      <c r="D388" s="0" t="s">
        <v>240</v>
      </c>
      <c r="E388" s="0" t="s">
        <v>240</v>
      </c>
      <c r="F388" s="0" t="s">
        <v>240</v>
      </c>
      <c r="G388" s="0" t="s">
        <v>240</v>
      </c>
      <c r="H388" s="0" t="s">
        <v>240</v>
      </c>
      <c r="I388" s="0" t="s">
        <v>5484</v>
      </c>
      <c r="J388" s="0" t="s">
        <v>240</v>
      </c>
      <c r="K388" s="0" t="s">
        <v>240</v>
      </c>
      <c r="L388" s="0" t="s">
        <v>240</v>
      </c>
      <c r="M388" s="0" t="s">
        <v>240</v>
      </c>
      <c r="N388" s="0" t="s">
        <v>240</v>
      </c>
      <c r="O388" s="0" t="s">
        <v>240</v>
      </c>
      <c r="P388" s="0" t="s">
        <v>240</v>
      </c>
      <c r="Q388" s="0" t="s">
        <v>240</v>
      </c>
      <c r="R388" s="0" t="s">
        <v>5539</v>
      </c>
      <c r="S388" s="0" t="s">
        <v>240</v>
      </c>
      <c r="T388" s="0" t="s">
        <v>240</v>
      </c>
      <c r="U388" s="0" t="s">
        <v>102</v>
      </c>
      <c r="V388" s="0" t="s">
        <v>240</v>
      </c>
      <c r="W388" s="0" t="s">
        <v>240</v>
      </c>
      <c r="X388" s="0" t="s">
        <v>5485</v>
      </c>
      <c r="Y388" s="0" t="s">
        <v>240</v>
      </c>
      <c r="Z388" s="0" t="s">
        <v>161</v>
      </c>
      <c r="AA388" s="0" t="s">
        <v>152</v>
      </c>
      <c r="AB388" s="0" t="s">
        <v>152</v>
      </c>
      <c r="AC388" s="0" t="s">
        <v>2991</v>
      </c>
      <c r="AD388" s="0" t="s">
        <v>2991</v>
      </c>
      <c r="AE388" s="0" t="s">
        <v>2992</v>
      </c>
      <c r="AF388" s="0" t="s">
        <v>5540</v>
      </c>
      <c r="AG388" s="0" t="s">
        <v>5541</v>
      </c>
      <c r="AH388" s="0" t="s">
        <v>5542</v>
      </c>
      <c r="AI388" s="0" t="s">
        <v>5543</v>
      </c>
      <c r="AJ388" s="0" t="s">
        <v>5504</v>
      </c>
      <c r="AK388" s="0" t="s">
        <v>5544</v>
      </c>
      <c r="AL388" s="0" t="s">
        <v>5506</v>
      </c>
      <c r="AM388" s="0" t="s">
        <v>5493</v>
      </c>
      <c r="AN388" s="0" t="s">
        <v>5545</v>
      </c>
      <c r="AO388" s="0" t="s">
        <v>5546</v>
      </c>
      <c r="AP388" s="0" t="s">
        <v>240</v>
      </c>
      <c r="AQ388" s="0" t="s">
        <v>240</v>
      </c>
      <c r="AR388" s="0" t="s">
        <v>240</v>
      </c>
      <c r="AS388" s="0" t="s">
        <v>240</v>
      </c>
      <c r="AT388" s="0" t="s">
        <v>240</v>
      </c>
      <c r="AU388" s="0" t="s">
        <v>240</v>
      </c>
      <c r="AV388" s="0" t="s">
        <v>240</v>
      </c>
      <c r="AW388" s="0" t="s">
        <v>240</v>
      </c>
      <c r="AX388" s="0" t="s">
        <v>240</v>
      </c>
      <c r="AY388" s="0" t="s">
        <v>240</v>
      </c>
      <c r="AZ388" s="0" t="s">
        <v>240</v>
      </c>
      <c r="BA388" s="0" t="s">
        <v>240</v>
      </c>
      <c r="BB388" s="0" t="s">
        <v>240</v>
      </c>
      <c r="BC388" s="0" t="s">
        <v>240</v>
      </c>
      <c r="BD388" s="0" t="s">
        <v>240</v>
      </c>
      <c r="BE388" s="0" t="s">
        <v>240</v>
      </c>
      <c r="BF388" s="0" t="s">
        <v>240</v>
      </c>
      <c r="BG388" s="0" t="s">
        <v>240</v>
      </c>
      <c r="BH388" s="0" t="s">
        <v>240</v>
      </c>
      <c r="BI388" s="0" t="s">
        <v>240</v>
      </c>
      <c r="BJ388" s="0" t="s">
        <v>240</v>
      </c>
      <c r="BK388" s="0" t="s">
        <v>240</v>
      </c>
      <c r="BL388" s="0" t="s">
        <v>240</v>
      </c>
      <c r="BM388" s="0" t="s">
        <v>240</v>
      </c>
      <c r="BN388" s="0" t="s">
        <v>240</v>
      </c>
      <c r="BO388" s="0" t="s">
        <v>240</v>
      </c>
      <c r="BP388" s="0" t="s">
        <v>240</v>
      </c>
      <c r="BQ388" s="0" t="s">
        <v>240</v>
      </c>
      <c r="BR388" s="0" t="s">
        <v>240</v>
      </c>
      <c r="BS388" s="0" t="s">
        <v>240</v>
      </c>
      <c r="BT388" s="0" t="s">
        <v>240</v>
      </c>
      <c r="BU388" s="0" t="s">
        <v>240</v>
      </c>
      <c r="BV388" s="0" t="s">
        <v>240</v>
      </c>
      <c r="BW388" s="0" t="s">
        <v>240</v>
      </c>
      <c r="BX388" s="0" t="s">
        <v>240</v>
      </c>
      <c r="BY388" s="0" t="s">
        <v>240</v>
      </c>
      <c r="BZ388" s="0" t="s">
        <v>240</v>
      </c>
      <c r="CA388" s="0" t="s">
        <v>240</v>
      </c>
      <c r="CB388" s="0" t="s">
        <v>240</v>
      </c>
      <c r="CC388" s="0" t="s">
        <v>240</v>
      </c>
      <c r="CD388" s="0" t="s">
        <v>240</v>
      </c>
      <c r="CE388" s="0" t="s">
        <v>240</v>
      </c>
      <c r="CF388" s="0" t="s">
        <v>240</v>
      </c>
      <c r="CG388" s="0" t="s">
        <v>240</v>
      </c>
      <c r="CH388" s="0" t="s">
        <v>240</v>
      </c>
      <c r="CI388" s="0" t="s">
        <v>240</v>
      </c>
      <c r="CJ388" s="0" t="s">
        <v>240</v>
      </c>
      <c r="CK388" s="0" t="s">
        <v>240</v>
      </c>
      <c r="CL388" s="0" t="s">
        <v>240</v>
      </c>
      <c r="CM388" s="0" t="s">
        <v>240</v>
      </c>
      <c r="CN388" s="0" t="s">
        <v>240</v>
      </c>
      <c r="CO388" s="0" t="s">
        <v>240</v>
      </c>
      <c r="CP388" s="0" t="s">
        <v>240</v>
      </c>
      <c r="CQ388" s="0" t="s">
        <v>240</v>
      </c>
      <c r="CR388" s="0" t="s">
        <v>240</v>
      </c>
      <c r="CS388" s="0" t="s">
        <v>240</v>
      </c>
      <c r="CT388" s="0" t="s">
        <v>5496</v>
      </c>
      <c r="CU388" s="0" t="s">
        <v>5497</v>
      </c>
      <c r="CV388" s="0" t="s">
        <v>443</v>
      </c>
      <c r="CW388" s="0" t="s">
        <v>5547</v>
      </c>
      <c r="CX388" s="0" t="s">
        <v>229</v>
      </c>
      <c r="CY388" s="0" t="s">
        <v>443</v>
      </c>
      <c r="CZ388" s="0" t="s">
        <v>5548</v>
      </c>
      <c r="DA388" s="0" t="s">
        <v>5549</v>
      </c>
      <c r="DB388" s="0" t="s">
        <v>5547</v>
      </c>
      <c r="DC388" s="0" t="s">
        <v>384</v>
      </c>
      <c r="DD388" s="0" t="s">
        <v>291</v>
      </c>
      <c r="DE388" s="0" t="s">
        <v>5550</v>
      </c>
    </row>
    <row customHeight="1" ht="11.25">
      <c r="A389" s="1441" t="s">
        <v>240</v>
      </c>
      <c r="B389" s="0" t="s">
        <v>240</v>
      </c>
      <c r="C389" s="0" t="s">
        <v>240</v>
      </c>
      <c r="D389" s="0" t="s">
        <v>240</v>
      </c>
      <c r="E389" s="0" t="s">
        <v>240</v>
      </c>
      <c r="F389" s="0" t="s">
        <v>240</v>
      </c>
      <c r="G389" s="0" t="s">
        <v>240</v>
      </c>
      <c r="H389" s="0" t="s">
        <v>240</v>
      </c>
      <c r="I389" s="0" t="s">
        <v>5484</v>
      </c>
      <c r="J389" s="0" t="s">
        <v>240</v>
      </c>
      <c r="K389" s="0" t="s">
        <v>240</v>
      </c>
      <c r="L389" s="0" t="s">
        <v>240</v>
      </c>
      <c r="M389" s="0" t="s">
        <v>240</v>
      </c>
      <c r="N389" s="0" t="s">
        <v>240</v>
      </c>
      <c r="O389" s="0" t="s">
        <v>240</v>
      </c>
      <c r="P389" s="0" t="s">
        <v>240</v>
      </c>
      <c r="Q389" s="0" t="s">
        <v>240</v>
      </c>
      <c r="R389" s="0" t="s">
        <v>473</v>
      </c>
      <c r="S389" s="0" t="s">
        <v>240</v>
      </c>
      <c r="T389" s="0" t="s">
        <v>240</v>
      </c>
      <c r="U389" s="0" t="s">
        <v>102</v>
      </c>
      <c r="V389" s="0" t="s">
        <v>240</v>
      </c>
      <c r="W389" s="0" t="s">
        <v>240</v>
      </c>
      <c r="X389" s="0" t="s">
        <v>5485</v>
      </c>
      <c r="Y389" s="0" t="s">
        <v>240</v>
      </c>
      <c r="Z389" s="0" t="s">
        <v>161</v>
      </c>
      <c r="AA389" s="0" t="s">
        <v>152</v>
      </c>
      <c r="AB389" s="0" t="s">
        <v>152</v>
      </c>
      <c r="AC389" s="0" t="s">
        <v>364</v>
      </c>
      <c r="AD389" s="0" t="s">
        <v>364</v>
      </c>
      <c r="AE389" s="0" t="s">
        <v>365</v>
      </c>
      <c r="AF389" s="0" t="s">
        <v>5486</v>
      </c>
      <c r="AG389" s="0" t="s">
        <v>5487</v>
      </c>
      <c r="AH389" s="0" t="s">
        <v>5900</v>
      </c>
      <c r="AI389" s="0" t="s">
        <v>5901</v>
      </c>
      <c r="AJ389" s="0" t="s">
        <v>5494</v>
      </c>
      <c r="AK389" s="0" t="s">
        <v>5902</v>
      </c>
      <c r="AL389" s="0" t="s">
        <v>5492</v>
      </c>
      <c r="AM389" s="0" t="s">
        <v>5493</v>
      </c>
      <c r="AN389" s="0" t="s">
        <v>5903</v>
      </c>
      <c r="AO389" s="0" t="s">
        <v>5619</v>
      </c>
      <c r="AP389" s="0" t="s">
        <v>240</v>
      </c>
      <c r="AQ389" s="0" t="s">
        <v>240</v>
      </c>
      <c r="AR389" s="0" t="s">
        <v>240</v>
      </c>
      <c r="AS389" s="0" t="s">
        <v>240</v>
      </c>
      <c r="AT389" s="0" t="s">
        <v>240</v>
      </c>
      <c r="AU389" s="0" t="s">
        <v>240</v>
      </c>
      <c r="AV389" s="0" t="s">
        <v>240</v>
      </c>
      <c r="AW389" s="0" t="s">
        <v>240</v>
      </c>
      <c r="AX389" s="0" t="s">
        <v>240</v>
      </c>
      <c r="AY389" s="0" t="s">
        <v>240</v>
      </c>
      <c r="AZ389" s="0" t="s">
        <v>240</v>
      </c>
      <c r="BA389" s="0" t="s">
        <v>240</v>
      </c>
      <c r="BB389" s="0" t="s">
        <v>240</v>
      </c>
      <c r="BC389" s="0" t="s">
        <v>240</v>
      </c>
      <c r="BD389" s="0" t="s">
        <v>240</v>
      </c>
      <c r="BE389" s="0" t="s">
        <v>240</v>
      </c>
      <c r="BF389" s="0" t="s">
        <v>240</v>
      </c>
      <c r="BG389" s="0" t="s">
        <v>240</v>
      </c>
      <c r="BH389" s="0" t="s">
        <v>240</v>
      </c>
      <c r="BI389" s="0" t="s">
        <v>240</v>
      </c>
      <c r="BJ389" s="0" t="s">
        <v>240</v>
      </c>
      <c r="BK389" s="0" t="s">
        <v>240</v>
      </c>
      <c r="BL389" s="0" t="s">
        <v>240</v>
      </c>
      <c r="BM389" s="0" t="s">
        <v>240</v>
      </c>
      <c r="BN389" s="0" t="s">
        <v>240</v>
      </c>
      <c r="BO389" s="0" t="s">
        <v>240</v>
      </c>
      <c r="BP389" s="0" t="s">
        <v>240</v>
      </c>
      <c r="BQ389" s="0" t="s">
        <v>240</v>
      </c>
      <c r="BR389" s="0" t="s">
        <v>240</v>
      </c>
      <c r="BS389" s="0" t="s">
        <v>240</v>
      </c>
      <c r="BT389" s="0" t="s">
        <v>240</v>
      </c>
      <c r="BU389" s="0" t="s">
        <v>240</v>
      </c>
      <c r="BV389" s="0" t="s">
        <v>240</v>
      </c>
      <c r="BW389" s="0" t="s">
        <v>240</v>
      </c>
      <c r="BX389" s="0" t="s">
        <v>240</v>
      </c>
      <c r="BY389" s="0" t="s">
        <v>240</v>
      </c>
      <c r="BZ389" s="0" t="s">
        <v>240</v>
      </c>
      <c r="CA389" s="0" t="s">
        <v>240</v>
      </c>
      <c r="CB389" s="0" t="s">
        <v>240</v>
      </c>
      <c r="CC389" s="0" t="s">
        <v>240</v>
      </c>
      <c r="CD389" s="0" t="s">
        <v>240</v>
      </c>
      <c r="CE389" s="0" t="s">
        <v>240</v>
      </c>
      <c r="CF389" s="0" t="s">
        <v>240</v>
      </c>
      <c r="CG389" s="0" t="s">
        <v>240</v>
      </c>
      <c r="CH389" s="0" t="s">
        <v>240</v>
      </c>
      <c r="CI389" s="0" t="s">
        <v>240</v>
      </c>
      <c r="CJ389" s="0" t="s">
        <v>240</v>
      </c>
      <c r="CK389" s="0" t="s">
        <v>240</v>
      </c>
      <c r="CL389" s="0" t="s">
        <v>240</v>
      </c>
      <c r="CM389" s="0" t="s">
        <v>240</v>
      </c>
      <c r="CN389" s="0" t="s">
        <v>240</v>
      </c>
      <c r="CO389" s="0" t="s">
        <v>240</v>
      </c>
      <c r="CP389" s="0" t="s">
        <v>240</v>
      </c>
      <c r="CQ389" s="0" t="s">
        <v>240</v>
      </c>
      <c r="CR389" s="0" t="s">
        <v>240</v>
      </c>
      <c r="CS389" s="0" t="s">
        <v>240</v>
      </c>
      <c r="CT389" s="0" t="s">
        <v>5496</v>
      </c>
      <c r="CU389" s="0" t="s">
        <v>5497</v>
      </c>
      <c r="CV389" s="0" t="s">
        <v>443</v>
      </c>
      <c r="CW389" s="0" t="s">
        <v>5498</v>
      </c>
      <c r="CX389" s="0" t="s">
        <v>229</v>
      </c>
      <c r="CY389" s="0" t="s">
        <v>443</v>
      </c>
      <c r="CZ389" s="0" t="s">
        <v>230</v>
      </c>
      <c r="DA389" s="0" t="s">
        <v>444</v>
      </c>
      <c r="DB389" s="0" t="s">
        <v>5498</v>
      </c>
      <c r="DC389" s="0" t="s">
        <v>384</v>
      </c>
      <c r="DD389" s="0" t="s">
        <v>291</v>
      </c>
      <c r="DE389" s="0" t="s">
        <v>474</v>
      </c>
    </row>
    <row customHeight="1" ht="11.25">
      <c r="A390" s="1441" t="s">
        <v>240</v>
      </c>
      <c r="B390" s="0" t="s">
        <v>240</v>
      </c>
      <c r="C390" s="0" t="s">
        <v>240</v>
      </c>
      <c r="D390" s="0" t="s">
        <v>240</v>
      </c>
      <c r="E390" s="0" t="s">
        <v>240</v>
      </c>
      <c r="F390" s="0" t="s">
        <v>240</v>
      </c>
      <c r="G390" s="0" t="s">
        <v>240</v>
      </c>
      <c r="H390" s="0" t="s">
        <v>240</v>
      </c>
      <c r="I390" s="0" t="s">
        <v>5484</v>
      </c>
      <c r="J390" s="0" t="s">
        <v>240</v>
      </c>
      <c r="K390" s="0" t="s">
        <v>240</v>
      </c>
      <c r="L390" s="0" t="s">
        <v>240</v>
      </c>
      <c r="M390" s="0" t="s">
        <v>240</v>
      </c>
      <c r="N390" s="0" t="s">
        <v>240</v>
      </c>
      <c r="O390" s="0" t="s">
        <v>240</v>
      </c>
      <c r="P390" s="0" t="s">
        <v>240</v>
      </c>
      <c r="Q390" s="0" t="s">
        <v>240</v>
      </c>
      <c r="R390" s="0" t="s">
        <v>445</v>
      </c>
      <c r="S390" s="0" t="s">
        <v>240</v>
      </c>
      <c r="T390" s="0" t="s">
        <v>240</v>
      </c>
      <c r="U390" s="0" t="s">
        <v>102</v>
      </c>
      <c r="V390" s="0" t="s">
        <v>240</v>
      </c>
      <c r="W390" s="0" t="s">
        <v>240</v>
      </c>
      <c r="X390" s="0" t="s">
        <v>5485</v>
      </c>
      <c r="Y390" s="0" t="s">
        <v>240</v>
      </c>
      <c r="Z390" s="0" t="s">
        <v>161</v>
      </c>
      <c r="AA390" s="0" t="s">
        <v>152</v>
      </c>
      <c r="AB390" s="0" t="s">
        <v>152</v>
      </c>
      <c r="AC390" s="0" t="s">
        <v>364</v>
      </c>
      <c r="AD390" s="0" t="s">
        <v>364</v>
      </c>
      <c r="AE390" s="0" t="s">
        <v>365</v>
      </c>
      <c r="AF390" s="0" t="s">
        <v>5486</v>
      </c>
      <c r="AG390" s="0" t="s">
        <v>5487</v>
      </c>
      <c r="AH390" s="0" t="s">
        <v>6103</v>
      </c>
      <c r="AI390" s="0" t="s">
        <v>5533</v>
      </c>
      <c r="AJ390" s="0" t="s">
        <v>6104</v>
      </c>
      <c r="AK390" s="0" t="s">
        <v>5598</v>
      </c>
      <c r="AL390" s="0" t="s">
        <v>5605</v>
      </c>
      <c r="AM390" s="0" t="s">
        <v>5493</v>
      </c>
      <c r="AN390" s="0" t="s">
        <v>6105</v>
      </c>
      <c r="AO390" s="0" t="s">
        <v>6106</v>
      </c>
      <c r="AP390" s="0" t="s">
        <v>240</v>
      </c>
      <c r="AQ390" s="0" t="s">
        <v>240</v>
      </c>
      <c r="AR390" s="0" t="s">
        <v>240</v>
      </c>
      <c r="AS390" s="0" t="s">
        <v>240</v>
      </c>
      <c r="AT390" s="0" t="s">
        <v>240</v>
      </c>
      <c r="AU390" s="0" t="s">
        <v>240</v>
      </c>
      <c r="AV390" s="0" t="s">
        <v>240</v>
      </c>
      <c r="AW390" s="0" t="s">
        <v>240</v>
      </c>
      <c r="AX390" s="0" t="s">
        <v>240</v>
      </c>
      <c r="AY390" s="0" t="s">
        <v>240</v>
      </c>
      <c r="AZ390" s="0" t="s">
        <v>240</v>
      </c>
      <c r="BA390" s="0" t="s">
        <v>240</v>
      </c>
      <c r="BB390" s="0" t="s">
        <v>240</v>
      </c>
      <c r="BC390" s="0" t="s">
        <v>240</v>
      </c>
      <c r="BD390" s="0" t="s">
        <v>240</v>
      </c>
      <c r="BE390" s="0" t="s">
        <v>240</v>
      </c>
      <c r="BF390" s="0" t="s">
        <v>240</v>
      </c>
      <c r="BG390" s="0" t="s">
        <v>240</v>
      </c>
      <c r="BH390" s="0" t="s">
        <v>240</v>
      </c>
      <c r="BI390" s="0" t="s">
        <v>240</v>
      </c>
      <c r="BJ390" s="0" t="s">
        <v>240</v>
      </c>
      <c r="BK390" s="0" t="s">
        <v>240</v>
      </c>
      <c r="BL390" s="0" t="s">
        <v>240</v>
      </c>
      <c r="BM390" s="0" t="s">
        <v>240</v>
      </c>
      <c r="BN390" s="0" t="s">
        <v>240</v>
      </c>
      <c r="BO390" s="0" t="s">
        <v>240</v>
      </c>
      <c r="BP390" s="0" t="s">
        <v>240</v>
      </c>
      <c r="BQ390" s="0" t="s">
        <v>240</v>
      </c>
      <c r="BR390" s="0" t="s">
        <v>240</v>
      </c>
      <c r="BS390" s="0" t="s">
        <v>240</v>
      </c>
      <c r="BT390" s="0" t="s">
        <v>240</v>
      </c>
      <c r="BU390" s="0" t="s">
        <v>240</v>
      </c>
      <c r="BV390" s="0" t="s">
        <v>240</v>
      </c>
      <c r="BW390" s="0" t="s">
        <v>240</v>
      </c>
      <c r="BX390" s="0" t="s">
        <v>240</v>
      </c>
      <c r="BY390" s="0" t="s">
        <v>240</v>
      </c>
      <c r="BZ390" s="0" t="s">
        <v>240</v>
      </c>
      <c r="CA390" s="0" t="s">
        <v>240</v>
      </c>
      <c r="CB390" s="0" t="s">
        <v>240</v>
      </c>
      <c r="CC390" s="0" t="s">
        <v>240</v>
      </c>
      <c r="CD390" s="0" t="s">
        <v>240</v>
      </c>
      <c r="CE390" s="0" t="s">
        <v>240</v>
      </c>
      <c r="CF390" s="0" t="s">
        <v>240</v>
      </c>
      <c r="CG390" s="0" t="s">
        <v>240</v>
      </c>
      <c r="CH390" s="0" t="s">
        <v>240</v>
      </c>
      <c r="CI390" s="0" t="s">
        <v>240</v>
      </c>
      <c r="CJ390" s="0" t="s">
        <v>240</v>
      </c>
      <c r="CK390" s="0" t="s">
        <v>240</v>
      </c>
      <c r="CL390" s="0" t="s">
        <v>240</v>
      </c>
      <c r="CM390" s="0" t="s">
        <v>240</v>
      </c>
      <c r="CN390" s="0" t="s">
        <v>240</v>
      </c>
      <c r="CO390" s="0" t="s">
        <v>240</v>
      </c>
      <c r="CP390" s="0" t="s">
        <v>240</v>
      </c>
      <c r="CQ390" s="0" t="s">
        <v>240</v>
      </c>
      <c r="CR390" s="0" t="s">
        <v>240</v>
      </c>
      <c r="CS390" s="0" t="s">
        <v>240</v>
      </c>
      <c r="CT390" s="0" t="s">
        <v>5496</v>
      </c>
      <c r="CU390" s="0" t="s">
        <v>5497</v>
      </c>
      <c r="CV390" s="0" t="s">
        <v>443</v>
      </c>
      <c r="CW390" s="0" t="s">
        <v>5498</v>
      </c>
      <c r="CX390" s="0" t="s">
        <v>229</v>
      </c>
      <c r="CY390" s="0" t="s">
        <v>443</v>
      </c>
      <c r="CZ390" s="0" t="s">
        <v>230</v>
      </c>
      <c r="DA390" s="0" t="s">
        <v>444</v>
      </c>
      <c r="DB390" s="0" t="s">
        <v>5498</v>
      </c>
      <c r="DC390" s="0" t="s">
        <v>384</v>
      </c>
      <c r="DD390" s="0" t="s">
        <v>291</v>
      </c>
      <c r="DE390" s="0" t="s">
        <v>446</v>
      </c>
    </row>
    <row customHeight="1" ht="11.25">
      <c r="A391" s="1441" t="s">
        <v>240</v>
      </c>
      <c r="B391" s="0" t="s">
        <v>240</v>
      </c>
      <c r="C391" s="0" t="s">
        <v>240</v>
      </c>
      <c r="D391" s="0" t="s">
        <v>240</v>
      </c>
      <c r="E391" s="0" t="s">
        <v>240</v>
      </c>
      <c r="F391" s="0" t="s">
        <v>240</v>
      </c>
      <c r="G391" s="0" t="s">
        <v>240</v>
      </c>
      <c r="H391" s="0" t="s">
        <v>240</v>
      </c>
      <c r="I391" s="0" t="s">
        <v>5484</v>
      </c>
      <c r="J391" s="0" t="s">
        <v>240</v>
      </c>
      <c r="K391" s="0" t="s">
        <v>240</v>
      </c>
      <c r="L391" s="0" t="s">
        <v>240</v>
      </c>
      <c r="M391" s="0" t="s">
        <v>240</v>
      </c>
      <c r="N391" s="0" t="s">
        <v>240</v>
      </c>
      <c r="O391" s="0" t="s">
        <v>240</v>
      </c>
      <c r="P391" s="0" t="s">
        <v>240</v>
      </c>
      <c r="Q391" s="0" t="s">
        <v>240</v>
      </c>
      <c r="R391" s="0" t="s">
        <v>6961</v>
      </c>
      <c r="S391" s="0" t="s">
        <v>240</v>
      </c>
      <c r="T391" s="0" t="s">
        <v>240</v>
      </c>
      <c r="U391" s="0" t="s">
        <v>102</v>
      </c>
      <c r="V391" s="0" t="s">
        <v>240</v>
      </c>
      <c r="W391" s="0" t="s">
        <v>240</v>
      </c>
      <c r="X391" s="0" t="s">
        <v>5485</v>
      </c>
      <c r="Y391" s="0" t="s">
        <v>240</v>
      </c>
      <c r="Z391" s="0" t="s">
        <v>161</v>
      </c>
      <c r="AA391" s="0" t="s">
        <v>152</v>
      </c>
      <c r="AB391" s="0" t="s">
        <v>152</v>
      </c>
      <c r="AC391" s="0" t="s">
        <v>3389</v>
      </c>
      <c r="AD391" s="0" t="s">
        <v>3389</v>
      </c>
      <c r="AE391" s="0" t="s">
        <v>3390</v>
      </c>
      <c r="AF391" s="0" t="s">
        <v>5519</v>
      </c>
      <c r="AG391" s="0" t="s">
        <v>5520</v>
      </c>
      <c r="AH391" s="0" t="s">
        <v>5566</v>
      </c>
      <c r="AI391" s="0" t="s">
        <v>5567</v>
      </c>
      <c r="AJ391" s="0" t="s">
        <v>5568</v>
      </c>
      <c r="AK391" s="0" t="s">
        <v>6724</v>
      </c>
      <c r="AL391" s="0" t="s">
        <v>5605</v>
      </c>
      <c r="AM391" s="0" t="s">
        <v>5493</v>
      </c>
      <c r="AN391" s="0" t="s">
        <v>6725</v>
      </c>
      <c r="AO391" s="0" t="s">
        <v>6726</v>
      </c>
      <c r="AP391" s="0" t="s">
        <v>240</v>
      </c>
      <c r="AQ391" s="0" t="s">
        <v>240</v>
      </c>
      <c r="AR391" s="0" t="s">
        <v>240</v>
      </c>
      <c r="AS391" s="0" t="s">
        <v>240</v>
      </c>
      <c r="AT391" s="0" t="s">
        <v>240</v>
      </c>
      <c r="AU391" s="0" t="s">
        <v>240</v>
      </c>
      <c r="AV391" s="0" t="s">
        <v>240</v>
      </c>
      <c r="AW391" s="0" t="s">
        <v>240</v>
      </c>
      <c r="AX391" s="0" t="s">
        <v>240</v>
      </c>
      <c r="AY391" s="0" t="s">
        <v>240</v>
      </c>
      <c r="AZ391" s="0" t="s">
        <v>240</v>
      </c>
      <c r="BA391" s="0" t="s">
        <v>240</v>
      </c>
      <c r="BB391" s="0" t="s">
        <v>240</v>
      </c>
      <c r="BC391" s="0" t="s">
        <v>240</v>
      </c>
      <c r="BD391" s="0" t="s">
        <v>240</v>
      </c>
      <c r="BE391" s="0" t="s">
        <v>240</v>
      </c>
      <c r="BF391" s="0" t="s">
        <v>240</v>
      </c>
      <c r="BG391" s="0" t="s">
        <v>240</v>
      </c>
      <c r="BH391" s="0" t="s">
        <v>240</v>
      </c>
      <c r="BI391" s="0" t="s">
        <v>240</v>
      </c>
      <c r="BJ391" s="0" t="s">
        <v>240</v>
      </c>
      <c r="BK391" s="0" t="s">
        <v>240</v>
      </c>
      <c r="BL391" s="0" t="s">
        <v>240</v>
      </c>
      <c r="BM391" s="0" t="s">
        <v>240</v>
      </c>
      <c r="BN391" s="0" t="s">
        <v>240</v>
      </c>
      <c r="BO391" s="0" t="s">
        <v>240</v>
      </c>
      <c r="BP391" s="0" t="s">
        <v>240</v>
      </c>
      <c r="BQ391" s="0" t="s">
        <v>240</v>
      </c>
      <c r="BR391" s="0" t="s">
        <v>240</v>
      </c>
      <c r="BS391" s="0" t="s">
        <v>240</v>
      </c>
      <c r="BT391" s="0" t="s">
        <v>240</v>
      </c>
      <c r="BU391" s="0" t="s">
        <v>240</v>
      </c>
      <c r="BV391" s="0" t="s">
        <v>240</v>
      </c>
      <c r="BW391" s="0" t="s">
        <v>240</v>
      </c>
      <c r="BX391" s="0" t="s">
        <v>240</v>
      </c>
      <c r="BY391" s="0" t="s">
        <v>240</v>
      </c>
      <c r="BZ391" s="0" t="s">
        <v>240</v>
      </c>
      <c r="CA391" s="0" t="s">
        <v>240</v>
      </c>
      <c r="CB391" s="0" t="s">
        <v>240</v>
      </c>
      <c r="CC391" s="0" t="s">
        <v>240</v>
      </c>
      <c r="CD391" s="0" t="s">
        <v>240</v>
      </c>
      <c r="CE391" s="0" t="s">
        <v>240</v>
      </c>
      <c r="CF391" s="0" t="s">
        <v>240</v>
      </c>
      <c r="CG391" s="0" t="s">
        <v>240</v>
      </c>
      <c r="CH391" s="0" t="s">
        <v>240</v>
      </c>
      <c r="CI391" s="0" t="s">
        <v>240</v>
      </c>
      <c r="CJ391" s="0" t="s">
        <v>240</v>
      </c>
      <c r="CK391" s="0" t="s">
        <v>240</v>
      </c>
      <c r="CL391" s="0" t="s">
        <v>240</v>
      </c>
      <c r="CM391" s="0" t="s">
        <v>240</v>
      </c>
      <c r="CN391" s="0" t="s">
        <v>240</v>
      </c>
      <c r="CO391" s="0" t="s">
        <v>240</v>
      </c>
      <c r="CP391" s="0" t="s">
        <v>240</v>
      </c>
      <c r="CQ391" s="0" t="s">
        <v>240</v>
      </c>
      <c r="CR391" s="0" t="s">
        <v>240</v>
      </c>
      <c r="CS391" s="0" t="s">
        <v>240</v>
      </c>
      <c r="CT391" s="0" t="s">
        <v>5496</v>
      </c>
      <c r="CU391" s="0" t="s">
        <v>5497</v>
      </c>
      <c r="CV391" s="0" t="s">
        <v>443</v>
      </c>
      <c r="CW391" s="0" t="s">
        <v>5527</v>
      </c>
      <c r="CX391" s="0" t="s">
        <v>5528</v>
      </c>
      <c r="CY391" s="0" t="s">
        <v>443</v>
      </c>
      <c r="CZ391" s="0" t="s">
        <v>299</v>
      </c>
      <c r="DA391" s="0" t="s">
        <v>5529</v>
      </c>
      <c r="DB391" s="0" t="s">
        <v>5527</v>
      </c>
      <c r="DC391" s="0" t="s">
        <v>384</v>
      </c>
      <c r="DD391" s="0" t="s">
        <v>291</v>
      </c>
      <c r="DE391" s="0" t="s">
        <v>5571</v>
      </c>
    </row>
    <row customHeight="1" ht="11.25">
      <c r="A392" s="1441" t="s">
        <v>240</v>
      </c>
      <c r="B392" s="0" t="s">
        <v>240</v>
      </c>
      <c r="C392" s="0" t="s">
        <v>240</v>
      </c>
      <c r="D392" s="0" t="s">
        <v>240</v>
      </c>
      <c r="E392" s="0" t="s">
        <v>240</v>
      </c>
      <c r="F392" s="0" t="s">
        <v>240</v>
      </c>
      <c r="G392" s="0" t="s">
        <v>240</v>
      </c>
      <c r="H392" s="0" t="s">
        <v>240</v>
      </c>
      <c r="I392" s="0" t="s">
        <v>5484</v>
      </c>
      <c r="J392" s="0" t="s">
        <v>240</v>
      </c>
      <c r="K392" s="0" t="s">
        <v>240</v>
      </c>
      <c r="L392" s="0" t="s">
        <v>240</v>
      </c>
      <c r="M392" s="0" t="s">
        <v>240</v>
      </c>
      <c r="N392" s="0" t="s">
        <v>240</v>
      </c>
      <c r="O392" s="0" t="s">
        <v>240</v>
      </c>
      <c r="P392" s="0" t="s">
        <v>240</v>
      </c>
      <c r="Q392" s="0" t="s">
        <v>240</v>
      </c>
      <c r="R392" s="0" t="s">
        <v>6962</v>
      </c>
      <c r="S392" s="0" t="s">
        <v>240</v>
      </c>
      <c r="T392" s="0" t="s">
        <v>240</v>
      </c>
      <c r="U392" s="0" t="s">
        <v>102</v>
      </c>
      <c r="V392" s="0" t="s">
        <v>240</v>
      </c>
      <c r="W392" s="0" t="s">
        <v>240</v>
      </c>
      <c r="X392" s="0" t="s">
        <v>5905</v>
      </c>
      <c r="Y392" s="0" t="s">
        <v>240</v>
      </c>
      <c r="Z392" s="0" t="s">
        <v>152</v>
      </c>
      <c r="AA392" s="0" t="s">
        <v>161</v>
      </c>
      <c r="AB392" s="0" t="s">
        <v>152</v>
      </c>
      <c r="AC392" s="0" t="s">
        <v>3389</v>
      </c>
      <c r="AD392" s="0" t="s">
        <v>3389</v>
      </c>
      <c r="AE392" s="0" t="s">
        <v>3390</v>
      </c>
      <c r="AF392" s="0" t="s">
        <v>5519</v>
      </c>
      <c r="AG392" s="0" t="s">
        <v>5520</v>
      </c>
      <c r="AH392" s="0" t="s">
        <v>5566</v>
      </c>
      <c r="AI392" s="0" t="s">
        <v>5567</v>
      </c>
      <c r="AJ392" s="0" t="s">
        <v>240</v>
      </c>
      <c r="AK392" s="0" t="s">
        <v>240</v>
      </c>
      <c r="AL392" s="0" t="s">
        <v>240</v>
      </c>
      <c r="AM392" s="0" t="s">
        <v>240</v>
      </c>
      <c r="AN392" s="0" t="s">
        <v>240</v>
      </c>
      <c r="AO392" s="0" t="s">
        <v>240</v>
      </c>
      <c r="AP392" s="0" t="s">
        <v>5906</v>
      </c>
      <c r="AQ392" s="0" t="s">
        <v>5907</v>
      </c>
      <c r="AR392" s="0" t="s">
        <v>112</v>
      </c>
      <c r="AS392" s="0" t="s">
        <v>5589</v>
      </c>
      <c r="AT392" s="0" t="s">
        <v>6941</v>
      </c>
      <c r="AU392" s="0" t="s">
        <v>240</v>
      </c>
      <c r="AV392" s="0" t="s">
        <v>5908</v>
      </c>
      <c r="AW392" s="0" t="s">
        <v>2962</v>
      </c>
      <c r="AX392" s="0" t="s">
        <v>2962</v>
      </c>
      <c r="AY392" s="0" t="s">
        <v>5909</v>
      </c>
      <c r="AZ392" s="0" t="s">
        <v>5910</v>
      </c>
      <c r="BA392" s="0" t="s">
        <v>5911</v>
      </c>
      <c r="BB392" s="0" t="s">
        <v>5566</v>
      </c>
      <c r="BC392" s="0" t="s">
        <v>5567</v>
      </c>
      <c r="BD392" s="0" t="s">
        <v>5912</v>
      </c>
      <c r="BE392" s="0" t="s">
        <v>240</v>
      </c>
      <c r="BF392" s="0" t="s">
        <v>240</v>
      </c>
      <c r="BG392" s="0" t="s">
        <v>240</v>
      </c>
      <c r="BH392" s="0" t="s">
        <v>240</v>
      </c>
      <c r="BI392" s="0" t="s">
        <v>240</v>
      </c>
      <c r="BJ392" s="0" t="s">
        <v>240</v>
      </c>
      <c r="BK392" s="0" t="s">
        <v>240</v>
      </c>
      <c r="BL392" s="0" t="s">
        <v>240</v>
      </c>
      <c r="BM392" s="0" t="s">
        <v>240</v>
      </c>
      <c r="BN392" s="0" t="s">
        <v>240</v>
      </c>
      <c r="BO392" s="0" t="s">
        <v>240</v>
      </c>
      <c r="BP392" s="0" t="s">
        <v>240</v>
      </c>
      <c r="BQ392" s="0" t="s">
        <v>240</v>
      </c>
      <c r="BR392" s="0" t="s">
        <v>240</v>
      </c>
      <c r="BS392" s="0" t="s">
        <v>240</v>
      </c>
      <c r="BT392" s="0" t="s">
        <v>240</v>
      </c>
      <c r="BU392" s="0" t="s">
        <v>240</v>
      </c>
      <c r="BV392" s="0" t="s">
        <v>240</v>
      </c>
      <c r="BW392" s="0" t="s">
        <v>240</v>
      </c>
      <c r="BX392" s="0" t="s">
        <v>240</v>
      </c>
      <c r="BY392" s="0" t="s">
        <v>240</v>
      </c>
      <c r="BZ392" s="0" t="s">
        <v>240</v>
      </c>
      <c r="CA392" s="0" t="s">
        <v>240</v>
      </c>
      <c r="CB392" s="0" t="s">
        <v>240</v>
      </c>
      <c r="CC392" s="0" t="s">
        <v>240</v>
      </c>
      <c r="CD392" s="0" t="s">
        <v>240</v>
      </c>
      <c r="CE392" s="0" t="s">
        <v>240</v>
      </c>
      <c r="CF392" s="0" t="s">
        <v>240</v>
      </c>
      <c r="CG392" s="0" t="s">
        <v>240</v>
      </c>
      <c r="CH392" s="0" t="s">
        <v>240</v>
      </c>
      <c r="CI392" s="0" t="s">
        <v>240</v>
      </c>
      <c r="CJ392" s="0" t="s">
        <v>240</v>
      </c>
      <c r="CK392" s="0" t="s">
        <v>240</v>
      </c>
      <c r="CL392" s="0" t="s">
        <v>240</v>
      </c>
      <c r="CM392" s="0" t="s">
        <v>240</v>
      </c>
      <c r="CN392" s="0" t="s">
        <v>240</v>
      </c>
      <c r="CO392" s="0" t="s">
        <v>240</v>
      </c>
      <c r="CP392" s="0" t="s">
        <v>240</v>
      </c>
      <c r="CQ392" s="0" t="s">
        <v>240</v>
      </c>
      <c r="CR392" s="0" t="s">
        <v>240</v>
      </c>
      <c r="CS392" s="0" t="s">
        <v>240</v>
      </c>
      <c r="CT392" s="0" t="s">
        <v>5496</v>
      </c>
      <c r="CU392" s="0" t="s">
        <v>5497</v>
      </c>
      <c r="CV392" s="0" t="s">
        <v>443</v>
      </c>
      <c r="CW392" s="0" t="s">
        <v>5527</v>
      </c>
      <c r="CX392" s="0" t="s">
        <v>5528</v>
      </c>
      <c r="CY392" s="0" t="s">
        <v>443</v>
      </c>
      <c r="CZ392" s="0" t="s">
        <v>299</v>
      </c>
      <c r="DA392" s="0" t="s">
        <v>5529</v>
      </c>
      <c r="DB392" s="0" t="s">
        <v>5527</v>
      </c>
      <c r="DC392" s="0" t="s">
        <v>384</v>
      </c>
      <c r="DD392" s="0" t="s">
        <v>291</v>
      </c>
      <c r="DE392" s="0" t="s">
        <v>5571</v>
      </c>
    </row>
    <row customHeight="1" ht="11.25">
      <c r="A393" s="1441" t="s">
        <v>240</v>
      </c>
      <c r="B393" s="0" t="s">
        <v>240</v>
      </c>
      <c r="C393" s="0" t="s">
        <v>240</v>
      </c>
      <c r="D393" s="0" t="s">
        <v>240</v>
      </c>
      <c r="E393" s="0" t="s">
        <v>240</v>
      </c>
      <c r="F393" s="0" t="s">
        <v>240</v>
      </c>
      <c r="G393" s="0" t="s">
        <v>240</v>
      </c>
      <c r="H393" s="0" t="s">
        <v>240</v>
      </c>
      <c r="I393" s="0" t="s">
        <v>5484</v>
      </c>
      <c r="J393" s="0" t="s">
        <v>240</v>
      </c>
      <c r="K393" s="0" t="s">
        <v>240</v>
      </c>
      <c r="L393" s="0" t="s">
        <v>240</v>
      </c>
      <c r="M393" s="0" t="s">
        <v>240</v>
      </c>
      <c r="N393" s="0" t="s">
        <v>240</v>
      </c>
      <c r="O393" s="0" t="s">
        <v>240</v>
      </c>
      <c r="P393" s="0" t="s">
        <v>240</v>
      </c>
      <c r="Q393" s="0" t="s">
        <v>240</v>
      </c>
      <c r="R393" s="0" t="s">
        <v>447</v>
      </c>
      <c r="S393" s="0" t="s">
        <v>240</v>
      </c>
      <c r="T393" s="0" t="s">
        <v>240</v>
      </c>
      <c r="U393" s="0" t="s">
        <v>102</v>
      </c>
      <c r="V393" s="0" t="s">
        <v>240</v>
      </c>
      <c r="W393" s="0" t="s">
        <v>240</v>
      </c>
      <c r="X393" s="0" t="s">
        <v>5485</v>
      </c>
      <c r="Y393" s="0" t="s">
        <v>240</v>
      </c>
      <c r="Z393" s="0" t="s">
        <v>161</v>
      </c>
      <c r="AA393" s="0" t="s">
        <v>152</v>
      </c>
      <c r="AB393" s="0" t="s">
        <v>152</v>
      </c>
      <c r="AC393" s="0" t="s">
        <v>364</v>
      </c>
      <c r="AD393" s="0" t="s">
        <v>364</v>
      </c>
      <c r="AE393" s="0" t="s">
        <v>365</v>
      </c>
      <c r="AF393" s="0" t="s">
        <v>5486</v>
      </c>
      <c r="AG393" s="0" t="s">
        <v>5487</v>
      </c>
      <c r="AH393" s="0" t="s">
        <v>6107</v>
      </c>
      <c r="AI393" s="0" t="s">
        <v>5533</v>
      </c>
      <c r="AJ393" s="0" t="s">
        <v>6104</v>
      </c>
      <c r="AK393" s="0" t="s">
        <v>5598</v>
      </c>
      <c r="AL393" s="0" t="s">
        <v>5605</v>
      </c>
      <c r="AM393" s="0" t="s">
        <v>5493</v>
      </c>
      <c r="AN393" s="0" t="s">
        <v>6105</v>
      </c>
      <c r="AO393" s="0" t="s">
        <v>6108</v>
      </c>
      <c r="AP393" s="0" t="s">
        <v>240</v>
      </c>
      <c r="AQ393" s="0" t="s">
        <v>240</v>
      </c>
      <c r="AR393" s="0" t="s">
        <v>240</v>
      </c>
      <c r="AS393" s="0" t="s">
        <v>240</v>
      </c>
      <c r="AT393" s="0" t="s">
        <v>240</v>
      </c>
      <c r="AU393" s="0" t="s">
        <v>240</v>
      </c>
      <c r="AV393" s="0" t="s">
        <v>240</v>
      </c>
      <c r="AW393" s="0" t="s">
        <v>240</v>
      </c>
      <c r="AX393" s="0" t="s">
        <v>240</v>
      </c>
      <c r="AY393" s="0" t="s">
        <v>240</v>
      </c>
      <c r="AZ393" s="0" t="s">
        <v>240</v>
      </c>
      <c r="BA393" s="0" t="s">
        <v>240</v>
      </c>
      <c r="BB393" s="0" t="s">
        <v>240</v>
      </c>
      <c r="BC393" s="0" t="s">
        <v>240</v>
      </c>
      <c r="BD393" s="0" t="s">
        <v>240</v>
      </c>
      <c r="BE393" s="0" t="s">
        <v>240</v>
      </c>
      <c r="BF393" s="0" t="s">
        <v>240</v>
      </c>
      <c r="BG393" s="0" t="s">
        <v>240</v>
      </c>
      <c r="BH393" s="0" t="s">
        <v>240</v>
      </c>
      <c r="BI393" s="0" t="s">
        <v>240</v>
      </c>
      <c r="BJ393" s="0" t="s">
        <v>240</v>
      </c>
      <c r="BK393" s="0" t="s">
        <v>240</v>
      </c>
      <c r="BL393" s="0" t="s">
        <v>240</v>
      </c>
      <c r="BM393" s="0" t="s">
        <v>240</v>
      </c>
      <c r="BN393" s="0" t="s">
        <v>240</v>
      </c>
      <c r="BO393" s="0" t="s">
        <v>240</v>
      </c>
      <c r="BP393" s="0" t="s">
        <v>240</v>
      </c>
      <c r="BQ393" s="0" t="s">
        <v>240</v>
      </c>
      <c r="BR393" s="0" t="s">
        <v>240</v>
      </c>
      <c r="BS393" s="0" t="s">
        <v>240</v>
      </c>
      <c r="BT393" s="0" t="s">
        <v>240</v>
      </c>
      <c r="BU393" s="0" t="s">
        <v>240</v>
      </c>
      <c r="BV393" s="0" t="s">
        <v>240</v>
      </c>
      <c r="BW393" s="0" t="s">
        <v>240</v>
      </c>
      <c r="BX393" s="0" t="s">
        <v>240</v>
      </c>
      <c r="BY393" s="0" t="s">
        <v>240</v>
      </c>
      <c r="BZ393" s="0" t="s">
        <v>240</v>
      </c>
      <c r="CA393" s="0" t="s">
        <v>240</v>
      </c>
      <c r="CB393" s="0" t="s">
        <v>240</v>
      </c>
      <c r="CC393" s="0" t="s">
        <v>240</v>
      </c>
      <c r="CD393" s="0" t="s">
        <v>240</v>
      </c>
      <c r="CE393" s="0" t="s">
        <v>240</v>
      </c>
      <c r="CF393" s="0" t="s">
        <v>240</v>
      </c>
      <c r="CG393" s="0" t="s">
        <v>240</v>
      </c>
      <c r="CH393" s="0" t="s">
        <v>240</v>
      </c>
      <c r="CI393" s="0" t="s">
        <v>240</v>
      </c>
      <c r="CJ393" s="0" t="s">
        <v>240</v>
      </c>
      <c r="CK393" s="0" t="s">
        <v>240</v>
      </c>
      <c r="CL393" s="0" t="s">
        <v>240</v>
      </c>
      <c r="CM393" s="0" t="s">
        <v>240</v>
      </c>
      <c r="CN393" s="0" t="s">
        <v>240</v>
      </c>
      <c r="CO393" s="0" t="s">
        <v>240</v>
      </c>
      <c r="CP393" s="0" t="s">
        <v>240</v>
      </c>
      <c r="CQ393" s="0" t="s">
        <v>240</v>
      </c>
      <c r="CR393" s="0" t="s">
        <v>240</v>
      </c>
      <c r="CS393" s="0" t="s">
        <v>240</v>
      </c>
      <c r="CT393" s="0" t="s">
        <v>5496</v>
      </c>
      <c r="CU393" s="0" t="s">
        <v>5497</v>
      </c>
      <c r="CV393" s="0" t="s">
        <v>443</v>
      </c>
      <c r="CW393" s="0" t="s">
        <v>5498</v>
      </c>
      <c r="CX393" s="0" t="s">
        <v>229</v>
      </c>
      <c r="CY393" s="0" t="s">
        <v>443</v>
      </c>
      <c r="CZ393" s="0" t="s">
        <v>230</v>
      </c>
      <c r="DA393" s="0" t="s">
        <v>444</v>
      </c>
      <c r="DB393" s="0" t="s">
        <v>5498</v>
      </c>
      <c r="DC393" s="0" t="s">
        <v>384</v>
      </c>
      <c r="DD393" s="0" t="s">
        <v>291</v>
      </c>
      <c r="DE393" s="0" t="s">
        <v>448</v>
      </c>
    </row>
    <row customHeight="1" ht="11.25">
      <c r="A394" s="1441" t="s">
        <v>240</v>
      </c>
      <c r="B394" s="0" t="s">
        <v>240</v>
      </c>
      <c r="C394" s="0" t="s">
        <v>240</v>
      </c>
      <c r="D394" s="0" t="s">
        <v>240</v>
      </c>
      <c r="E394" s="0" t="s">
        <v>240</v>
      </c>
      <c r="F394" s="0" t="s">
        <v>240</v>
      </c>
      <c r="G394" s="0" t="s">
        <v>240</v>
      </c>
      <c r="H394" s="0" t="s">
        <v>240</v>
      </c>
      <c r="I394" s="0" t="s">
        <v>5484</v>
      </c>
      <c r="J394" s="0" t="s">
        <v>240</v>
      </c>
      <c r="K394" s="0" t="s">
        <v>240</v>
      </c>
      <c r="L394" s="0" t="s">
        <v>240</v>
      </c>
      <c r="M394" s="0" t="s">
        <v>240</v>
      </c>
      <c r="N394" s="0" t="s">
        <v>240</v>
      </c>
      <c r="O394" s="0" t="s">
        <v>240</v>
      </c>
      <c r="P394" s="0" t="s">
        <v>240</v>
      </c>
      <c r="Q394" s="0" t="s">
        <v>240</v>
      </c>
      <c r="R394" s="0" t="s">
        <v>5572</v>
      </c>
      <c r="S394" s="0" t="s">
        <v>240</v>
      </c>
      <c r="T394" s="0" t="s">
        <v>240</v>
      </c>
      <c r="U394" s="0" t="s">
        <v>102</v>
      </c>
      <c r="V394" s="0" t="s">
        <v>240</v>
      </c>
      <c r="W394" s="0" t="s">
        <v>240</v>
      </c>
      <c r="X394" s="0" t="s">
        <v>5485</v>
      </c>
      <c r="Y394" s="0" t="s">
        <v>240</v>
      </c>
      <c r="Z394" s="0" t="s">
        <v>161</v>
      </c>
      <c r="AA394" s="0" t="s">
        <v>152</v>
      </c>
      <c r="AB394" s="0" t="s">
        <v>152</v>
      </c>
      <c r="AC394" s="0" t="s">
        <v>2989</v>
      </c>
      <c r="AD394" s="0" t="s">
        <v>2989</v>
      </c>
      <c r="AE394" s="0" t="s">
        <v>2990</v>
      </c>
      <c r="AF394" s="0" t="s">
        <v>6293</v>
      </c>
      <c r="AG394" s="0" t="s">
        <v>6294</v>
      </c>
      <c r="AH394" s="0" t="s">
        <v>5984</v>
      </c>
      <c r="AI394" s="0" t="s">
        <v>6295</v>
      </c>
      <c r="AJ394" s="0" t="s">
        <v>5576</v>
      </c>
      <c r="AK394" s="0" t="s">
        <v>6296</v>
      </c>
      <c r="AL394" s="0" t="s">
        <v>5506</v>
      </c>
      <c r="AM394" s="0" t="s">
        <v>5493</v>
      </c>
      <c r="AN394" s="0" t="s">
        <v>5578</v>
      </c>
      <c r="AO394" s="0" t="s">
        <v>5855</v>
      </c>
      <c r="AP394" s="0" t="s">
        <v>240</v>
      </c>
      <c r="AQ394" s="0" t="s">
        <v>240</v>
      </c>
      <c r="AR394" s="0" t="s">
        <v>240</v>
      </c>
      <c r="AS394" s="0" t="s">
        <v>240</v>
      </c>
      <c r="AT394" s="0" t="s">
        <v>240</v>
      </c>
      <c r="AU394" s="0" t="s">
        <v>240</v>
      </c>
      <c r="AV394" s="0" t="s">
        <v>240</v>
      </c>
      <c r="AW394" s="0" t="s">
        <v>240</v>
      </c>
      <c r="AX394" s="0" t="s">
        <v>240</v>
      </c>
      <c r="AY394" s="0" t="s">
        <v>240</v>
      </c>
      <c r="AZ394" s="0" t="s">
        <v>240</v>
      </c>
      <c r="BA394" s="0" t="s">
        <v>240</v>
      </c>
      <c r="BB394" s="0" t="s">
        <v>240</v>
      </c>
      <c r="BC394" s="0" t="s">
        <v>240</v>
      </c>
      <c r="BD394" s="0" t="s">
        <v>240</v>
      </c>
      <c r="BE394" s="0" t="s">
        <v>240</v>
      </c>
      <c r="BF394" s="0" t="s">
        <v>240</v>
      </c>
      <c r="BG394" s="0" t="s">
        <v>240</v>
      </c>
      <c r="BH394" s="0" t="s">
        <v>240</v>
      </c>
      <c r="BI394" s="0" t="s">
        <v>240</v>
      </c>
      <c r="BJ394" s="0" t="s">
        <v>240</v>
      </c>
      <c r="BK394" s="0" t="s">
        <v>240</v>
      </c>
      <c r="BL394" s="0" t="s">
        <v>240</v>
      </c>
      <c r="BM394" s="0" t="s">
        <v>240</v>
      </c>
      <c r="BN394" s="0" t="s">
        <v>240</v>
      </c>
      <c r="BO394" s="0" t="s">
        <v>240</v>
      </c>
      <c r="BP394" s="0" t="s">
        <v>240</v>
      </c>
      <c r="BQ394" s="0" t="s">
        <v>240</v>
      </c>
      <c r="BR394" s="0" t="s">
        <v>240</v>
      </c>
      <c r="BS394" s="0" t="s">
        <v>240</v>
      </c>
      <c r="BT394" s="0" t="s">
        <v>240</v>
      </c>
      <c r="BU394" s="0" t="s">
        <v>240</v>
      </c>
      <c r="BV394" s="0" t="s">
        <v>240</v>
      </c>
      <c r="BW394" s="0" t="s">
        <v>240</v>
      </c>
      <c r="BX394" s="0" t="s">
        <v>240</v>
      </c>
      <c r="BY394" s="0" t="s">
        <v>240</v>
      </c>
      <c r="BZ394" s="0" t="s">
        <v>240</v>
      </c>
      <c r="CA394" s="0" t="s">
        <v>240</v>
      </c>
      <c r="CB394" s="0" t="s">
        <v>240</v>
      </c>
      <c r="CC394" s="0" t="s">
        <v>240</v>
      </c>
      <c r="CD394" s="0" t="s">
        <v>240</v>
      </c>
      <c r="CE394" s="0" t="s">
        <v>240</v>
      </c>
      <c r="CF394" s="0" t="s">
        <v>240</v>
      </c>
      <c r="CG394" s="0" t="s">
        <v>240</v>
      </c>
      <c r="CH394" s="0" t="s">
        <v>240</v>
      </c>
      <c r="CI394" s="0" t="s">
        <v>240</v>
      </c>
      <c r="CJ394" s="0" t="s">
        <v>240</v>
      </c>
      <c r="CK394" s="0" t="s">
        <v>240</v>
      </c>
      <c r="CL394" s="0" t="s">
        <v>240</v>
      </c>
      <c r="CM394" s="0" t="s">
        <v>240</v>
      </c>
      <c r="CN394" s="0" t="s">
        <v>240</v>
      </c>
      <c r="CO394" s="0" t="s">
        <v>240</v>
      </c>
      <c r="CP394" s="0" t="s">
        <v>240</v>
      </c>
      <c r="CQ394" s="0" t="s">
        <v>240</v>
      </c>
      <c r="CR394" s="0" t="s">
        <v>240</v>
      </c>
      <c r="CS394" s="0" t="s">
        <v>240</v>
      </c>
      <c r="CT394" s="0" t="s">
        <v>5496</v>
      </c>
      <c r="CU394" s="0" t="s">
        <v>5497</v>
      </c>
      <c r="CV394" s="0" t="s">
        <v>443</v>
      </c>
      <c r="CW394" s="0" t="s">
        <v>5580</v>
      </c>
      <c r="CX394" s="0" t="s">
        <v>229</v>
      </c>
      <c r="CY394" s="0" t="s">
        <v>443</v>
      </c>
      <c r="CZ394" s="0" t="s">
        <v>5581</v>
      </c>
      <c r="DA394" s="0" t="s">
        <v>5582</v>
      </c>
      <c r="DB394" s="0" t="s">
        <v>5580</v>
      </c>
      <c r="DC394" s="0" t="s">
        <v>384</v>
      </c>
      <c r="DD394" s="0" t="s">
        <v>291</v>
      </c>
      <c r="DE394" s="0" t="s">
        <v>6297</v>
      </c>
    </row>
    <row customHeight="1" ht="11.25">
      <c r="A395" s="1441" t="s">
        <v>240</v>
      </c>
      <c r="B395" s="0" t="s">
        <v>240</v>
      </c>
      <c r="C395" s="0" t="s">
        <v>240</v>
      </c>
      <c r="D395" s="0" t="s">
        <v>240</v>
      </c>
      <c r="E395" s="0" t="s">
        <v>240</v>
      </c>
      <c r="F395" s="0" t="s">
        <v>240</v>
      </c>
      <c r="G395" s="0" t="s">
        <v>240</v>
      </c>
      <c r="H395" s="0" t="s">
        <v>240</v>
      </c>
      <c r="I395" s="0" t="s">
        <v>5484</v>
      </c>
      <c r="J395" s="0" t="s">
        <v>240</v>
      </c>
      <c r="K395" s="0" t="s">
        <v>240</v>
      </c>
      <c r="L395" s="0" t="s">
        <v>240</v>
      </c>
      <c r="M395" s="0" t="s">
        <v>240</v>
      </c>
      <c r="N395" s="0" t="s">
        <v>240</v>
      </c>
      <c r="O395" s="0" t="s">
        <v>240</v>
      </c>
      <c r="P395" s="0" t="s">
        <v>240</v>
      </c>
      <c r="Q395" s="0" t="s">
        <v>240</v>
      </c>
      <c r="R395" s="0" t="s">
        <v>441</v>
      </c>
      <c r="S395" s="0" t="s">
        <v>240</v>
      </c>
      <c r="T395" s="0" t="s">
        <v>240</v>
      </c>
      <c r="U395" s="0" t="s">
        <v>102</v>
      </c>
      <c r="V395" s="0" t="s">
        <v>240</v>
      </c>
      <c r="W395" s="0" t="s">
        <v>240</v>
      </c>
      <c r="X395" s="0" t="s">
        <v>5485</v>
      </c>
      <c r="Y395" s="0" t="s">
        <v>240</v>
      </c>
      <c r="Z395" s="0" t="s">
        <v>161</v>
      </c>
      <c r="AA395" s="0" t="s">
        <v>152</v>
      </c>
      <c r="AB395" s="0" t="s">
        <v>152</v>
      </c>
      <c r="AC395" s="0" t="s">
        <v>364</v>
      </c>
      <c r="AD395" s="0" t="s">
        <v>364</v>
      </c>
      <c r="AE395" s="0" t="s">
        <v>365</v>
      </c>
      <c r="AF395" s="0" t="s">
        <v>5486</v>
      </c>
      <c r="AG395" s="0" t="s">
        <v>5487</v>
      </c>
      <c r="AH395" s="0" t="s">
        <v>6356</v>
      </c>
      <c r="AI395" s="0" t="s">
        <v>5533</v>
      </c>
      <c r="AJ395" s="0" t="s">
        <v>6104</v>
      </c>
      <c r="AK395" s="0" t="s">
        <v>5598</v>
      </c>
      <c r="AL395" s="0" t="s">
        <v>5605</v>
      </c>
      <c r="AM395" s="0" t="s">
        <v>5493</v>
      </c>
      <c r="AN395" s="0" t="s">
        <v>6105</v>
      </c>
      <c r="AO395" s="0" t="s">
        <v>6357</v>
      </c>
      <c r="AP395" s="0" t="s">
        <v>240</v>
      </c>
      <c r="AQ395" s="0" t="s">
        <v>240</v>
      </c>
      <c r="AR395" s="0" t="s">
        <v>240</v>
      </c>
      <c r="AS395" s="0" t="s">
        <v>240</v>
      </c>
      <c r="AT395" s="0" t="s">
        <v>240</v>
      </c>
      <c r="AU395" s="0" t="s">
        <v>240</v>
      </c>
      <c r="AV395" s="0" t="s">
        <v>240</v>
      </c>
      <c r="AW395" s="0" t="s">
        <v>240</v>
      </c>
      <c r="AX395" s="0" t="s">
        <v>240</v>
      </c>
      <c r="AY395" s="0" t="s">
        <v>240</v>
      </c>
      <c r="AZ395" s="0" t="s">
        <v>240</v>
      </c>
      <c r="BA395" s="0" t="s">
        <v>240</v>
      </c>
      <c r="BB395" s="0" t="s">
        <v>240</v>
      </c>
      <c r="BC395" s="0" t="s">
        <v>240</v>
      </c>
      <c r="BD395" s="0" t="s">
        <v>240</v>
      </c>
      <c r="BE395" s="0" t="s">
        <v>240</v>
      </c>
      <c r="BF395" s="0" t="s">
        <v>240</v>
      </c>
      <c r="BG395" s="0" t="s">
        <v>240</v>
      </c>
      <c r="BH395" s="0" t="s">
        <v>240</v>
      </c>
      <c r="BI395" s="0" t="s">
        <v>240</v>
      </c>
      <c r="BJ395" s="0" t="s">
        <v>240</v>
      </c>
      <c r="BK395" s="0" t="s">
        <v>240</v>
      </c>
      <c r="BL395" s="0" t="s">
        <v>240</v>
      </c>
      <c r="BM395" s="0" t="s">
        <v>240</v>
      </c>
      <c r="BN395" s="0" t="s">
        <v>240</v>
      </c>
      <c r="BO395" s="0" t="s">
        <v>240</v>
      </c>
      <c r="BP395" s="0" t="s">
        <v>240</v>
      </c>
      <c r="BQ395" s="0" t="s">
        <v>240</v>
      </c>
      <c r="BR395" s="0" t="s">
        <v>240</v>
      </c>
      <c r="BS395" s="0" t="s">
        <v>240</v>
      </c>
      <c r="BT395" s="0" t="s">
        <v>240</v>
      </c>
      <c r="BU395" s="0" t="s">
        <v>240</v>
      </c>
      <c r="BV395" s="0" t="s">
        <v>240</v>
      </c>
      <c r="BW395" s="0" t="s">
        <v>240</v>
      </c>
      <c r="BX395" s="0" t="s">
        <v>240</v>
      </c>
      <c r="BY395" s="0" t="s">
        <v>240</v>
      </c>
      <c r="BZ395" s="0" t="s">
        <v>240</v>
      </c>
      <c r="CA395" s="0" t="s">
        <v>240</v>
      </c>
      <c r="CB395" s="0" t="s">
        <v>240</v>
      </c>
      <c r="CC395" s="0" t="s">
        <v>240</v>
      </c>
      <c r="CD395" s="0" t="s">
        <v>240</v>
      </c>
      <c r="CE395" s="0" t="s">
        <v>240</v>
      </c>
      <c r="CF395" s="0" t="s">
        <v>240</v>
      </c>
      <c r="CG395" s="0" t="s">
        <v>240</v>
      </c>
      <c r="CH395" s="0" t="s">
        <v>240</v>
      </c>
      <c r="CI395" s="0" t="s">
        <v>240</v>
      </c>
      <c r="CJ395" s="0" t="s">
        <v>240</v>
      </c>
      <c r="CK395" s="0" t="s">
        <v>240</v>
      </c>
      <c r="CL395" s="0" t="s">
        <v>240</v>
      </c>
      <c r="CM395" s="0" t="s">
        <v>240</v>
      </c>
      <c r="CN395" s="0" t="s">
        <v>240</v>
      </c>
      <c r="CO395" s="0" t="s">
        <v>240</v>
      </c>
      <c r="CP395" s="0" t="s">
        <v>240</v>
      </c>
      <c r="CQ395" s="0" t="s">
        <v>240</v>
      </c>
      <c r="CR395" s="0" t="s">
        <v>240</v>
      </c>
      <c r="CS395" s="0" t="s">
        <v>240</v>
      </c>
      <c r="CT395" s="0" t="s">
        <v>5496</v>
      </c>
      <c r="CU395" s="0" t="s">
        <v>5497</v>
      </c>
      <c r="CV395" s="0" t="s">
        <v>443</v>
      </c>
      <c r="CW395" s="0" t="s">
        <v>5498</v>
      </c>
      <c r="CX395" s="0" t="s">
        <v>229</v>
      </c>
      <c r="CY395" s="0" t="s">
        <v>443</v>
      </c>
      <c r="CZ395" s="0" t="s">
        <v>230</v>
      </c>
      <c r="DA395" s="0" t="s">
        <v>444</v>
      </c>
      <c r="DB395" s="0" t="s">
        <v>5498</v>
      </c>
      <c r="DC395" s="0" t="s">
        <v>384</v>
      </c>
      <c r="DD395" s="0" t="s">
        <v>291</v>
      </c>
      <c r="DE395" s="0" t="s">
        <v>442</v>
      </c>
    </row>
    <row customHeight="1" ht="11.25">
      <c r="A396" s="1441" t="s">
        <v>240</v>
      </c>
      <c r="B396" s="0" t="s">
        <v>240</v>
      </c>
      <c r="C396" s="0" t="s">
        <v>240</v>
      </c>
      <c r="D396" s="0" t="s">
        <v>240</v>
      </c>
      <c r="E396" s="0" t="s">
        <v>240</v>
      </c>
      <c r="F396" s="0" t="s">
        <v>240</v>
      </c>
      <c r="G396" s="0" t="s">
        <v>240</v>
      </c>
      <c r="H396" s="0" t="s">
        <v>240</v>
      </c>
      <c r="I396" s="0" t="s">
        <v>5484</v>
      </c>
      <c r="J396" s="0" t="s">
        <v>240</v>
      </c>
      <c r="K396" s="0" t="s">
        <v>240</v>
      </c>
      <c r="L396" s="0" t="s">
        <v>240</v>
      </c>
      <c r="M396" s="0" t="s">
        <v>240</v>
      </c>
      <c r="N396" s="0" t="s">
        <v>240</v>
      </c>
      <c r="O396" s="0" t="s">
        <v>240</v>
      </c>
      <c r="P396" s="0" t="s">
        <v>240</v>
      </c>
      <c r="Q396" s="0" t="s">
        <v>240</v>
      </c>
      <c r="R396" s="0" t="s">
        <v>5572</v>
      </c>
      <c r="S396" s="0" t="s">
        <v>240</v>
      </c>
      <c r="T396" s="0" t="s">
        <v>240</v>
      </c>
      <c r="U396" s="0" t="s">
        <v>102</v>
      </c>
      <c r="V396" s="0" t="s">
        <v>240</v>
      </c>
      <c r="W396" s="0" t="s">
        <v>240</v>
      </c>
      <c r="X396" s="0" t="s">
        <v>5485</v>
      </c>
      <c r="Y396" s="0" t="s">
        <v>240</v>
      </c>
      <c r="Z396" s="0" t="s">
        <v>161</v>
      </c>
      <c r="AA396" s="0" t="s">
        <v>152</v>
      </c>
      <c r="AB396" s="0" t="s">
        <v>152</v>
      </c>
      <c r="AC396" s="0" t="s">
        <v>2991</v>
      </c>
      <c r="AD396" s="0" t="s">
        <v>2991</v>
      </c>
      <c r="AE396" s="0" t="s">
        <v>2992</v>
      </c>
      <c r="AF396" s="0" t="s">
        <v>5749</v>
      </c>
      <c r="AG396" s="0" t="s">
        <v>5750</v>
      </c>
      <c r="AH396" s="0" t="s">
        <v>6762</v>
      </c>
      <c r="AI396" s="0" t="s">
        <v>6763</v>
      </c>
      <c r="AJ396" s="0" t="s">
        <v>5504</v>
      </c>
      <c r="AK396" s="0" t="s">
        <v>5756</v>
      </c>
      <c r="AL396" s="0" t="s">
        <v>5506</v>
      </c>
      <c r="AM396" s="0" t="s">
        <v>5493</v>
      </c>
      <c r="AN396" s="0" t="s">
        <v>5545</v>
      </c>
      <c r="AO396" s="0" t="s">
        <v>5768</v>
      </c>
      <c r="AP396" s="0" t="s">
        <v>240</v>
      </c>
      <c r="AQ396" s="0" t="s">
        <v>240</v>
      </c>
      <c r="AR396" s="0" t="s">
        <v>240</v>
      </c>
      <c r="AS396" s="0" t="s">
        <v>240</v>
      </c>
      <c r="AT396" s="0" t="s">
        <v>240</v>
      </c>
      <c r="AU396" s="0" t="s">
        <v>240</v>
      </c>
      <c r="AV396" s="0" t="s">
        <v>240</v>
      </c>
      <c r="AW396" s="0" t="s">
        <v>240</v>
      </c>
      <c r="AX396" s="0" t="s">
        <v>240</v>
      </c>
      <c r="AY396" s="0" t="s">
        <v>240</v>
      </c>
      <c r="AZ396" s="0" t="s">
        <v>240</v>
      </c>
      <c r="BA396" s="0" t="s">
        <v>240</v>
      </c>
      <c r="BB396" s="0" t="s">
        <v>240</v>
      </c>
      <c r="BC396" s="0" t="s">
        <v>240</v>
      </c>
      <c r="BD396" s="0" t="s">
        <v>240</v>
      </c>
      <c r="BE396" s="0" t="s">
        <v>240</v>
      </c>
      <c r="BF396" s="0" t="s">
        <v>240</v>
      </c>
      <c r="BG396" s="0" t="s">
        <v>240</v>
      </c>
      <c r="BH396" s="0" t="s">
        <v>240</v>
      </c>
      <c r="BI396" s="0" t="s">
        <v>240</v>
      </c>
      <c r="BJ396" s="0" t="s">
        <v>240</v>
      </c>
      <c r="BK396" s="0" t="s">
        <v>240</v>
      </c>
      <c r="BL396" s="0" t="s">
        <v>240</v>
      </c>
      <c r="BM396" s="0" t="s">
        <v>240</v>
      </c>
      <c r="BN396" s="0" t="s">
        <v>240</v>
      </c>
      <c r="BO396" s="0" t="s">
        <v>240</v>
      </c>
      <c r="BP396" s="0" t="s">
        <v>240</v>
      </c>
      <c r="BQ396" s="0" t="s">
        <v>240</v>
      </c>
      <c r="BR396" s="0" t="s">
        <v>240</v>
      </c>
      <c r="BS396" s="0" t="s">
        <v>240</v>
      </c>
      <c r="BT396" s="0" t="s">
        <v>240</v>
      </c>
      <c r="BU396" s="0" t="s">
        <v>240</v>
      </c>
      <c r="BV396" s="0" t="s">
        <v>240</v>
      </c>
      <c r="BW396" s="0" t="s">
        <v>240</v>
      </c>
      <c r="BX396" s="0" t="s">
        <v>240</v>
      </c>
      <c r="BY396" s="0" t="s">
        <v>240</v>
      </c>
      <c r="BZ396" s="0" t="s">
        <v>240</v>
      </c>
      <c r="CA396" s="0" t="s">
        <v>240</v>
      </c>
      <c r="CB396" s="0" t="s">
        <v>240</v>
      </c>
      <c r="CC396" s="0" t="s">
        <v>240</v>
      </c>
      <c r="CD396" s="0" t="s">
        <v>240</v>
      </c>
      <c r="CE396" s="0" t="s">
        <v>240</v>
      </c>
      <c r="CF396" s="0" t="s">
        <v>240</v>
      </c>
      <c r="CG396" s="0" t="s">
        <v>240</v>
      </c>
      <c r="CH396" s="0" t="s">
        <v>240</v>
      </c>
      <c r="CI396" s="0" t="s">
        <v>240</v>
      </c>
      <c r="CJ396" s="0" t="s">
        <v>240</v>
      </c>
      <c r="CK396" s="0" t="s">
        <v>240</v>
      </c>
      <c r="CL396" s="0" t="s">
        <v>240</v>
      </c>
      <c r="CM396" s="0" t="s">
        <v>240</v>
      </c>
      <c r="CN396" s="0" t="s">
        <v>240</v>
      </c>
      <c r="CO396" s="0" t="s">
        <v>240</v>
      </c>
      <c r="CP396" s="0" t="s">
        <v>240</v>
      </c>
      <c r="CQ396" s="0" t="s">
        <v>240</v>
      </c>
      <c r="CR396" s="0" t="s">
        <v>240</v>
      </c>
      <c r="CS396" s="0" t="s">
        <v>240</v>
      </c>
      <c r="CT396" s="0" t="s">
        <v>5496</v>
      </c>
      <c r="CU396" s="0" t="s">
        <v>5497</v>
      </c>
      <c r="CV396" s="0" t="s">
        <v>443</v>
      </c>
      <c r="CW396" s="0" t="s">
        <v>5547</v>
      </c>
      <c r="CX396" s="0" t="s">
        <v>229</v>
      </c>
      <c r="CY396" s="0" t="s">
        <v>443</v>
      </c>
      <c r="CZ396" s="0" t="s">
        <v>5548</v>
      </c>
      <c r="DA396" s="0" t="s">
        <v>5549</v>
      </c>
      <c r="DB396" s="0" t="s">
        <v>5547</v>
      </c>
      <c r="DC396" s="0" t="s">
        <v>384</v>
      </c>
      <c r="DD396" s="0" t="s">
        <v>291</v>
      </c>
      <c r="DE396" s="0" t="s">
        <v>6764</v>
      </c>
    </row>
    <row customHeight="1" ht="11.25">
      <c r="A397" s="1441" t="s">
        <v>240</v>
      </c>
      <c r="B397" s="0" t="s">
        <v>240</v>
      </c>
      <c r="C397" s="0" t="s">
        <v>240</v>
      </c>
      <c r="D397" s="0" t="s">
        <v>240</v>
      </c>
      <c r="E397" s="0" t="s">
        <v>240</v>
      </c>
      <c r="F397" s="0" t="s">
        <v>240</v>
      </c>
      <c r="G397" s="0" t="s">
        <v>240</v>
      </c>
      <c r="H397" s="0" t="s">
        <v>240</v>
      </c>
      <c r="I397" s="0" t="s">
        <v>5484</v>
      </c>
      <c r="J397" s="0" t="s">
        <v>240</v>
      </c>
      <c r="K397" s="0" t="s">
        <v>240</v>
      </c>
      <c r="L397" s="0" t="s">
        <v>240</v>
      </c>
      <c r="M397" s="0" t="s">
        <v>240</v>
      </c>
      <c r="N397" s="0" t="s">
        <v>240</v>
      </c>
      <c r="O397" s="0" t="s">
        <v>240</v>
      </c>
      <c r="P397" s="0" t="s">
        <v>240</v>
      </c>
      <c r="Q397" s="0" t="s">
        <v>240</v>
      </c>
      <c r="R397" s="0" t="s">
        <v>5572</v>
      </c>
      <c r="S397" s="0" t="s">
        <v>240</v>
      </c>
      <c r="T397" s="0" t="s">
        <v>240</v>
      </c>
      <c r="U397" s="0" t="s">
        <v>102</v>
      </c>
      <c r="V397" s="0" t="s">
        <v>240</v>
      </c>
      <c r="W397" s="0" t="s">
        <v>240</v>
      </c>
      <c r="X397" s="0" t="s">
        <v>5485</v>
      </c>
      <c r="Y397" s="0" t="s">
        <v>240</v>
      </c>
      <c r="Z397" s="0" t="s">
        <v>161</v>
      </c>
      <c r="AA397" s="0" t="s">
        <v>152</v>
      </c>
      <c r="AB397" s="0" t="s">
        <v>152</v>
      </c>
      <c r="AC397" s="0" t="s">
        <v>2991</v>
      </c>
      <c r="AD397" s="0" t="s">
        <v>2991</v>
      </c>
      <c r="AE397" s="0" t="s">
        <v>2992</v>
      </c>
      <c r="AF397" s="0" t="s">
        <v>5749</v>
      </c>
      <c r="AG397" s="0" t="s">
        <v>5750</v>
      </c>
      <c r="AH397" s="0" t="s">
        <v>6087</v>
      </c>
      <c r="AI397" s="0" t="s">
        <v>6765</v>
      </c>
      <c r="AJ397" s="0" t="s">
        <v>5552</v>
      </c>
      <c r="AK397" s="0" t="s">
        <v>5544</v>
      </c>
      <c r="AL397" s="0" t="s">
        <v>5506</v>
      </c>
      <c r="AM397" s="0" t="s">
        <v>5493</v>
      </c>
      <c r="AN397" s="0" t="s">
        <v>5553</v>
      </c>
      <c r="AO397" s="0" t="s">
        <v>5752</v>
      </c>
      <c r="AP397" s="0" t="s">
        <v>240</v>
      </c>
      <c r="AQ397" s="0" t="s">
        <v>240</v>
      </c>
      <c r="AR397" s="0" t="s">
        <v>240</v>
      </c>
      <c r="AS397" s="0" t="s">
        <v>240</v>
      </c>
      <c r="AT397" s="0" t="s">
        <v>240</v>
      </c>
      <c r="AU397" s="0" t="s">
        <v>240</v>
      </c>
      <c r="AV397" s="0" t="s">
        <v>240</v>
      </c>
      <c r="AW397" s="0" t="s">
        <v>240</v>
      </c>
      <c r="AX397" s="0" t="s">
        <v>240</v>
      </c>
      <c r="AY397" s="0" t="s">
        <v>240</v>
      </c>
      <c r="AZ397" s="0" t="s">
        <v>240</v>
      </c>
      <c r="BA397" s="0" t="s">
        <v>240</v>
      </c>
      <c r="BB397" s="0" t="s">
        <v>240</v>
      </c>
      <c r="BC397" s="0" t="s">
        <v>240</v>
      </c>
      <c r="BD397" s="0" t="s">
        <v>240</v>
      </c>
      <c r="BE397" s="0" t="s">
        <v>240</v>
      </c>
      <c r="BF397" s="0" t="s">
        <v>240</v>
      </c>
      <c r="BG397" s="0" t="s">
        <v>240</v>
      </c>
      <c r="BH397" s="0" t="s">
        <v>240</v>
      </c>
      <c r="BI397" s="0" t="s">
        <v>240</v>
      </c>
      <c r="BJ397" s="0" t="s">
        <v>240</v>
      </c>
      <c r="BK397" s="0" t="s">
        <v>240</v>
      </c>
      <c r="BL397" s="0" t="s">
        <v>240</v>
      </c>
      <c r="BM397" s="0" t="s">
        <v>240</v>
      </c>
      <c r="BN397" s="0" t="s">
        <v>240</v>
      </c>
      <c r="BO397" s="0" t="s">
        <v>240</v>
      </c>
      <c r="BP397" s="0" t="s">
        <v>240</v>
      </c>
      <c r="BQ397" s="0" t="s">
        <v>240</v>
      </c>
      <c r="BR397" s="0" t="s">
        <v>240</v>
      </c>
      <c r="BS397" s="0" t="s">
        <v>240</v>
      </c>
      <c r="BT397" s="0" t="s">
        <v>240</v>
      </c>
      <c r="BU397" s="0" t="s">
        <v>240</v>
      </c>
      <c r="BV397" s="0" t="s">
        <v>240</v>
      </c>
      <c r="BW397" s="0" t="s">
        <v>240</v>
      </c>
      <c r="BX397" s="0" t="s">
        <v>240</v>
      </c>
      <c r="BY397" s="0" t="s">
        <v>240</v>
      </c>
      <c r="BZ397" s="0" t="s">
        <v>240</v>
      </c>
      <c r="CA397" s="0" t="s">
        <v>240</v>
      </c>
      <c r="CB397" s="0" t="s">
        <v>240</v>
      </c>
      <c r="CC397" s="0" t="s">
        <v>240</v>
      </c>
      <c r="CD397" s="0" t="s">
        <v>240</v>
      </c>
      <c r="CE397" s="0" t="s">
        <v>240</v>
      </c>
      <c r="CF397" s="0" t="s">
        <v>240</v>
      </c>
      <c r="CG397" s="0" t="s">
        <v>240</v>
      </c>
      <c r="CH397" s="0" t="s">
        <v>240</v>
      </c>
      <c r="CI397" s="0" t="s">
        <v>240</v>
      </c>
      <c r="CJ397" s="0" t="s">
        <v>240</v>
      </c>
      <c r="CK397" s="0" t="s">
        <v>240</v>
      </c>
      <c r="CL397" s="0" t="s">
        <v>240</v>
      </c>
      <c r="CM397" s="0" t="s">
        <v>240</v>
      </c>
      <c r="CN397" s="0" t="s">
        <v>240</v>
      </c>
      <c r="CO397" s="0" t="s">
        <v>240</v>
      </c>
      <c r="CP397" s="0" t="s">
        <v>240</v>
      </c>
      <c r="CQ397" s="0" t="s">
        <v>240</v>
      </c>
      <c r="CR397" s="0" t="s">
        <v>240</v>
      </c>
      <c r="CS397" s="0" t="s">
        <v>240</v>
      </c>
      <c r="CT397" s="0" t="s">
        <v>5496</v>
      </c>
      <c r="CU397" s="0" t="s">
        <v>5497</v>
      </c>
      <c r="CV397" s="0" t="s">
        <v>443</v>
      </c>
      <c r="CW397" s="0" t="s">
        <v>5547</v>
      </c>
      <c r="CX397" s="0" t="s">
        <v>229</v>
      </c>
      <c r="CY397" s="0" t="s">
        <v>443</v>
      </c>
      <c r="CZ397" s="0" t="s">
        <v>5548</v>
      </c>
      <c r="DA397" s="0" t="s">
        <v>5549</v>
      </c>
      <c r="DB397" s="0" t="s">
        <v>5547</v>
      </c>
      <c r="DC397" s="0" t="s">
        <v>384</v>
      </c>
      <c r="DD397" s="0" t="s">
        <v>291</v>
      </c>
      <c r="DE397" s="0" t="s">
        <v>6766</v>
      </c>
    </row>
    <row customHeight="1" ht="11.25">
      <c r="A398" s="1441" t="s">
        <v>240</v>
      </c>
      <c r="B398" s="0" t="s">
        <v>240</v>
      </c>
      <c r="C398" s="0" t="s">
        <v>240</v>
      </c>
      <c r="D398" s="0" t="s">
        <v>240</v>
      </c>
      <c r="E398" s="0" t="s">
        <v>240</v>
      </c>
      <c r="F398" s="0" t="s">
        <v>240</v>
      </c>
      <c r="G398" s="0" t="s">
        <v>240</v>
      </c>
      <c r="H398" s="0" t="s">
        <v>240</v>
      </c>
      <c r="I398" s="0" t="s">
        <v>5484</v>
      </c>
      <c r="J398" s="0" t="s">
        <v>240</v>
      </c>
      <c r="K398" s="0" t="s">
        <v>240</v>
      </c>
      <c r="L398" s="0" t="s">
        <v>240</v>
      </c>
      <c r="M398" s="0" t="s">
        <v>240</v>
      </c>
      <c r="N398" s="0" t="s">
        <v>240</v>
      </c>
      <c r="O398" s="0" t="s">
        <v>240</v>
      </c>
      <c r="P398" s="0" t="s">
        <v>240</v>
      </c>
      <c r="Q398" s="0" t="s">
        <v>240</v>
      </c>
      <c r="R398" s="0" t="s">
        <v>6844</v>
      </c>
      <c r="S398" s="0" t="s">
        <v>240</v>
      </c>
      <c r="T398" s="0" t="s">
        <v>240</v>
      </c>
      <c r="U398" s="0" t="s">
        <v>102</v>
      </c>
      <c r="V398" s="0" t="s">
        <v>240</v>
      </c>
      <c r="W398" s="0" t="s">
        <v>240</v>
      </c>
      <c r="X398" s="0" t="s">
        <v>5585</v>
      </c>
      <c r="Y398" s="0" t="s">
        <v>240</v>
      </c>
      <c r="Z398" s="0" t="s">
        <v>152</v>
      </c>
      <c r="AA398" s="0" t="s">
        <v>152</v>
      </c>
      <c r="AB398" s="0" t="s">
        <v>161</v>
      </c>
      <c r="AC398" s="0" t="s">
        <v>2991</v>
      </c>
      <c r="AD398" s="0" t="s">
        <v>2991</v>
      </c>
      <c r="AE398" s="0" t="s">
        <v>2992</v>
      </c>
      <c r="AF398" s="0" t="s">
        <v>5749</v>
      </c>
      <c r="AG398" s="0" t="s">
        <v>5750</v>
      </c>
      <c r="AH398" s="0" t="s">
        <v>5575</v>
      </c>
      <c r="AI398" s="0" t="s">
        <v>5575</v>
      </c>
      <c r="AJ398" s="0" t="s">
        <v>240</v>
      </c>
      <c r="AK398" s="0" t="s">
        <v>240</v>
      </c>
      <c r="AL398" s="0" t="s">
        <v>240</v>
      </c>
      <c r="AM398" s="0" t="s">
        <v>240</v>
      </c>
      <c r="AN398" s="0" t="s">
        <v>240</v>
      </c>
      <c r="AO398" s="0" t="s">
        <v>240</v>
      </c>
      <c r="AP398" s="0" t="s">
        <v>240</v>
      </c>
      <c r="AQ398" s="0" t="s">
        <v>240</v>
      </c>
      <c r="AR398" s="0" t="s">
        <v>240</v>
      </c>
      <c r="AS398" s="0" t="s">
        <v>240</v>
      </c>
      <c r="AT398" s="0" t="s">
        <v>240</v>
      </c>
      <c r="AU398" s="0" t="s">
        <v>240</v>
      </c>
      <c r="AV398" s="0" t="s">
        <v>240</v>
      </c>
      <c r="AW398" s="0" t="s">
        <v>240</v>
      </c>
      <c r="AX398" s="0" t="s">
        <v>240</v>
      </c>
      <c r="AY398" s="0" t="s">
        <v>240</v>
      </c>
      <c r="AZ398" s="0" t="s">
        <v>240</v>
      </c>
      <c r="BA398" s="0" t="s">
        <v>240</v>
      </c>
      <c r="BB398" s="0" t="s">
        <v>240</v>
      </c>
      <c r="BC398" s="0" t="s">
        <v>240</v>
      </c>
      <c r="BD398" s="0" t="s">
        <v>240</v>
      </c>
      <c r="BE398" s="0" t="s">
        <v>5578</v>
      </c>
      <c r="BF398" s="0" t="s">
        <v>5491</v>
      </c>
      <c r="BG398" s="0" t="s">
        <v>112</v>
      </c>
      <c r="BH398" s="0" t="s">
        <v>5589</v>
      </c>
      <c r="BI398" s="0" t="s">
        <v>123</v>
      </c>
      <c r="BJ398" s="0" t="s">
        <v>240</v>
      </c>
      <c r="BK398" s="0" t="s">
        <v>6845</v>
      </c>
      <c r="BL398" s="0" t="s">
        <v>2991</v>
      </c>
      <c r="BM398" s="0" t="s">
        <v>2991</v>
      </c>
      <c r="BN398" s="0" t="s">
        <v>5663</v>
      </c>
      <c r="BO398" s="0" t="s">
        <v>5749</v>
      </c>
      <c r="BP398" s="0" t="s">
        <v>6846</v>
      </c>
      <c r="BQ398" s="0" t="s">
        <v>5575</v>
      </c>
      <c r="BR398" s="0" t="s">
        <v>5575</v>
      </c>
      <c r="BS398" s="0" t="s">
        <v>240</v>
      </c>
      <c r="BT398" s="0" t="s">
        <v>5650</v>
      </c>
      <c r="BU398" s="0" t="s">
        <v>6963</v>
      </c>
      <c r="BV398" s="0" t="s">
        <v>6963</v>
      </c>
      <c r="BW398" s="0" t="s">
        <v>5598</v>
      </c>
      <c r="BX398" s="0" t="s">
        <v>5598</v>
      </c>
      <c r="BY398" s="0" t="s">
        <v>5598</v>
      </c>
      <c r="BZ398" s="0" t="s">
        <v>5598</v>
      </c>
      <c r="CA398" s="0" t="s">
        <v>5598</v>
      </c>
      <c r="CB398" s="0" t="s">
        <v>240</v>
      </c>
      <c r="CC398" s="0" t="s">
        <v>240</v>
      </c>
      <c r="CD398" s="0" t="s">
        <v>240</v>
      </c>
      <c r="CE398" s="0" t="s">
        <v>240</v>
      </c>
      <c r="CF398" s="0" t="s">
        <v>240</v>
      </c>
      <c r="CG398" s="0" t="s">
        <v>5598</v>
      </c>
      <c r="CH398" s="0" t="s">
        <v>240</v>
      </c>
      <c r="CI398" s="0" t="s">
        <v>240</v>
      </c>
      <c r="CJ398" s="0" t="s">
        <v>240</v>
      </c>
      <c r="CK398" s="0" t="s">
        <v>240</v>
      </c>
      <c r="CL398" s="0" t="s">
        <v>240</v>
      </c>
      <c r="CM398" s="0" t="s">
        <v>6963</v>
      </c>
      <c r="CN398" s="0" t="s">
        <v>6963</v>
      </c>
      <c r="CO398" s="0" t="s">
        <v>240</v>
      </c>
      <c r="CP398" s="0" t="s">
        <v>240</v>
      </c>
      <c r="CQ398" s="0" t="s">
        <v>240</v>
      </c>
      <c r="CR398" s="0" t="s">
        <v>240</v>
      </c>
      <c r="CS398" s="0" t="s">
        <v>5553</v>
      </c>
      <c r="CT398" s="0" t="s">
        <v>5496</v>
      </c>
      <c r="CU398" s="0" t="s">
        <v>5497</v>
      </c>
      <c r="CV398" s="0" t="s">
        <v>443</v>
      </c>
      <c r="CW398" s="0" t="s">
        <v>5547</v>
      </c>
      <c r="CX398" s="0" t="s">
        <v>229</v>
      </c>
      <c r="CY398" s="0" t="s">
        <v>443</v>
      </c>
      <c r="CZ398" s="0" t="s">
        <v>5548</v>
      </c>
      <c r="DA398" s="0" t="s">
        <v>5549</v>
      </c>
      <c r="DB398" s="0" t="s">
        <v>5547</v>
      </c>
      <c r="DC398" s="0" t="s">
        <v>384</v>
      </c>
      <c r="DD398" s="0" t="s">
        <v>291</v>
      </c>
      <c r="DE398" s="0" t="s">
        <v>6848</v>
      </c>
    </row>
    <row customHeight="1" ht="11.25">
      <c r="A399" s="1441" t="s">
        <v>240</v>
      </c>
      <c r="B399" s="0" t="s">
        <v>240</v>
      </c>
      <c r="C399" s="0" t="s">
        <v>240</v>
      </c>
      <c r="D399" s="0" t="s">
        <v>240</v>
      </c>
      <c r="E399" s="0" t="s">
        <v>240</v>
      </c>
      <c r="F399" s="0" t="s">
        <v>240</v>
      </c>
      <c r="G399" s="0" t="s">
        <v>240</v>
      </c>
      <c r="H399" s="0" t="s">
        <v>240</v>
      </c>
      <c r="I399" s="0" t="s">
        <v>5484</v>
      </c>
      <c r="J399" s="0" t="s">
        <v>240</v>
      </c>
      <c r="K399" s="0" t="s">
        <v>240</v>
      </c>
      <c r="L399" s="0" t="s">
        <v>240</v>
      </c>
      <c r="M399" s="0" t="s">
        <v>240</v>
      </c>
      <c r="N399" s="0" t="s">
        <v>240</v>
      </c>
      <c r="O399" s="0" t="s">
        <v>240</v>
      </c>
      <c r="P399" s="0" t="s">
        <v>240</v>
      </c>
      <c r="Q399" s="0" t="s">
        <v>240</v>
      </c>
      <c r="R399" s="0" t="s">
        <v>6964</v>
      </c>
      <c r="S399" s="0" t="s">
        <v>240</v>
      </c>
      <c r="T399" s="0" t="s">
        <v>240</v>
      </c>
      <c r="U399" s="0" t="s">
        <v>102</v>
      </c>
      <c r="V399" s="0" t="s">
        <v>240</v>
      </c>
      <c r="W399" s="0" t="s">
        <v>240</v>
      </c>
      <c r="X399" s="0" t="s">
        <v>5485</v>
      </c>
      <c r="Y399" s="0" t="s">
        <v>240</v>
      </c>
      <c r="Z399" s="0" t="s">
        <v>161</v>
      </c>
      <c r="AA399" s="0" t="s">
        <v>152</v>
      </c>
      <c r="AB399" s="0" t="s">
        <v>152</v>
      </c>
      <c r="AC399" s="0" t="s">
        <v>3389</v>
      </c>
      <c r="AD399" s="0" t="s">
        <v>3389</v>
      </c>
      <c r="AE399" s="0" t="s">
        <v>3390</v>
      </c>
      <c r="AF399" s="0" t="s">
        <v>5519</v>
      </c>
      <c r="AG399" s="0" t="s">
        <v>5520</v>
      </c>
      <c r="AH399" s="0" t="s">
        <v>5654</v>
      </c>
      <c r="AI399" s="0" t="s">
        <v>5655</v>
      </c>
      <c r="AJ399" s="0" t="s">
        <v>5560</v>
      </c>
      <c r="AK399" s="0" t="s">
        <v>5656</v>
      </c>
      <c r="AL399" s="0" t="s">
        <v>5524</v>
      </c>
      <c r="AM399" s="0" t="s">
        <v>5493</v>
      </c>
      <c r="AN399" s="0" t="s">
        <v>5657</v>
      </c>
      <c r="AO399" s="0" t="s">
        <v>5658</v>
      </c>
      <c r="AP399" s="0" t="s">
        <v>240</v>
      </c>
      <c r="AQ399" s="0" t="s">
        <v>240</v>
      </c>
      <c r="AR399" s="0" t="s">
        <v>240</v>
      </c>
      <c r="AS399" s="0" t="s">
        <v>240</v>
      </c>
      <c r="AT399" s="0" t="s">
        <v>240</v>
      </c>
      <c r="AU399" s="0" t="s">
        <v>240</v>
      </c>
      <c r="AV399" s="0" t="s">
        <v>240</v>
      </c>
      <c r="AW399" s="0" t="s">
        <v>240</v>
      </c>
      <c r="AX399" s="0" t="s">
        <v>240</v>
      </c>
      <c r="AY399" s="0" t="s">
        <v>240</v>
      </c>
      <c r="AZ399" s="0" t="s">
        <v>240</v>
      </c>
      <c r="BA399" s="0" t="s">
        <v>240</v>
      </c>
      <c r="BB399" s="0" t="s">
        <v>240</v>
      </c>
      <c r="BC399" s="0" t="s">
        <v>240</v>
      </c>
      <c r="BD399" s="0" t="s">
        <v>240</v>
      </c>
      <c r="BE399" s="0" t="s">
        <v>240</v>
      </c>
      <c r="BF399" s="0" t="s">
        <v>240</v>
      </c>
      <c r="BG399" s="0" t="s">
        <v>240</v>
      </c>
      <c r="BH399" s="0" t="s">
        <v>240</v>
      </c>
      <c r="BI399" s="0" t="s">
        <v>240</v>
      </c>
      <c r="BJ399" s="0" t="s">
        <v>240</v>
      </c>
      <c r="BK399" s="0" t="s">
        <v>240</v>
      </c>
      <c r="BL399" s="0" t="s">
        <v>240</v>
      </c>
      <c r="BM399" s="0" t="s">
        <v>240</v>
      </c>
      <c r="BN399" s="0" t="s">
        <v>240</v>
      </c>
      <c r="BO399" s="0" t="s">
        <v>240</v>
      </c>
      <c r="BP399" s="0" t="s">
        <v>240</v>
      </c>
      <c r="BQ399" s="0" t="s">
        <v>240</v>
      </c>
      <c r="BR399" s="0" t="s">
        <v>240</v>
      </c>
      <c r="BS399" s="0" t="s">
        <v>240</v>
      </c>
      <c r="BT399" s="0" t="s">
        <v>240</v>
      </c>
      <c r="BU399" s="0" t="s">
        <v>240</v>
      </c>
      <c r="BV399" s="0" t="s">
        <v>240</v>
      </c>
      <c r="BW399" s="0" t="s">
        <v>240</v>
      </c>
      <c r="BX399" s="0" t="s">
        <v>240</v>
      </c>
      <c r="BY399" s="0" t="s">
        <v>240</v>
      </c>
      <c r="BZ399" s="0" t="s">
        <v>240</v>
      </c>
      <c r="CA399" s="0" t="s">
        <v>240</v>
      </c>
      <c r="CB399" s="0" t="s">
        <v>240</v>
      </c>
      <c r="CC399" s="0" t="s">
        <v>240</v>
      </c>
      <c r="CD399" s="0" t="s">
        <v>240</v>
      </c>
      <c r="CE399" s="0" t="s">
        <v>240</v>
      </c>
      <c r="CF399" s="0" t="s">
        <v>240</v>
      </c>
      <c r="CG399" s="0" t="s">
        <v>240</v>
      </c>
      <c r="CH399" s="0" t="s">
        <v>240</v>
      </c>
      <c r="CI399" s="0" t="s">
        <v>240</v>
      </c>
      <c r="CJ399" s="0" t="s">
        <v>240</v>
      </c>
      <c r="CK399" s="0" t="s">
        <v>240</v>
      </c>
      <c r="CL399" s="0" t="s">
        <v>240</v>
      </c>
      <c r="CM399" s="0" t="s">
        <v>240</v>
      </c>
      <c r="CN399" s="0" t="s">
        <v>240</v>
      </c>
      <c r="CO399" s="0" t="s">
        <v>240</v>
      </c>
      <c r="CP399" s="0" t="s">
        <v>240</v>
      </c>
      <c r="CQ399" s="0" t="s">
        <v>240</v>
      </c>
      <c r="CR399" s="0" t="s">
        <v>240</v>
      </c>
      <c r="CS399" s="0" t="s">
        <v>240</v>
      </c>
      <c r="CT399" s="0" t="s">
        <v>5496</v>
      </c>
      <c r="CU399" s="0" t="s">
        <v>5497</v>
      </c>
      <c r="CV399" s="0" t="s">
        <v>443</v>
      </c>
      <c r="CW399" s="0" t="s">
        <v>5527</v>
      </c>
      <c r="CX399" s="0" t="s">
        <v>5528</v>
      </c>
      <c r="CY399" s="0" t="s">
        <v>443</v>
      </c>
      <c r="CZ399" s="0" t="s">
        <v>299</v>
      </c>
      <c r="DA399" s="0" t="s">
        <v>5529</v>
      </c>
      <c r="DB399" s="0" t="s">
        <v>5527</v>
      </c>
      <c r="DC399" s="0" t="s">
        <v>384</v>
      </c>
      <c r="DD399" s="0" t="s">
        <v>291</v>
      </c>
      <c r="DE399" s="0" t="s">
        <v>5659</v>
      </c>
    </row>
    <row customHeight="1" ht="11.25">
      <c r="A400" s="1441" t="s">
        <v>240</v>
      </c>
      <c r="B400" s="0" t="s">
        <v>240</v>
      </c>
      <c r="C400" s="0" t="s">
        <v>240</v>
      </c>
      <c r="D400" s="0" t="s">
        <v>240</v>
      </c>
      <c r="E400" s="0" t="s">
        <v>240</v>
      </c>
      <c r="F400" s="0" t="s">
        <v>240</v>
      </c>
      <c r="G400" s="0" t="s">
        <v>240</v>
      </c>
      <c r="H400" s="0" t="s">
        <v>240</v>
      </c>
      <c r="I400" s="0" t="s">
        <v>5484</v>
      </c>
      <c r="J400" s="0" t="s">
        <v>240</v>
      </c>
      <c r="K400" s="0" t="s">
        <v>240</v>
      </c>
      <c r="L400" s="0" t="s">
        <v>240</v>
      </c>
      <c r="M400" s="0" t="s">
        <v>240</v>
      </c>
      <c r="N400" s="0" t="s">
        <v>240</v>
      </c>
      <c r="O400" s="0" t="s">
        <v>240</v>
      </c>
      <c r="P400" s="0" t="s">
        <v>240</v>
      </c>
      <c r="Q400" s="0" t="s">
        <v>240</v>
      </c>
      <c r="R400" s="0" t="s">
        <v>5572</v>
      </c>
      <c r="S400" s="0" t="s">
        <v>240</v>
      </c>
      <c r="T400" s="0" t="s">
        <v>240</v>
      </c>
      <c r="U400" s="0" t="s">
        <v>102</v>
      </c>
      <c r="V400" s="0" t="s">
        <v>240</v>
      </c>
      <c r="W400" s="0" t="s">
        <v>240</v>
      </c>
      <c r="X400" s="0" t="s">
        <v>5485</v>
      </c>
      <c r="Y400" s="0" t="s">
        <v>240</v>
      </c>
      <c r="Z400" s="0" t="s">
        <v>161</v>
      </c>
      <c r="AA400" s="0" t="s">
        <v>152</v>
      </c>
      <c r="AB400" s="0" t="s">
        <v>152</v>
      </c>
      <c r="AC400" s="0" t="s">
        <v>2991</v>
      </c>
      <c r="AD400" s="0" t="s">
        <v>2991</v>
      </c>
      <c r="AE400" s="0" t="s">
        <v>2992</v>
      </c>
      <c r="AF400" s="0" t="s">
        <v>5668</v>
      </c>
      <c r="AG400" s="0" t="s">
        <v>5669</v>
      </c>
      <c r="AH400" s="0" t="s">
        <v>5670</v>
      </c>
      <c r="AI400" s="0" t="s">
        <v>5671</v>
      </c>
      <c r="AJ400" s="0" t="s">
        <v>5576</v>
      </c>
      <c r="AK400" s="0" t="s">
        <v>5672</v>
      </c>
      <c r="AL400" s="0" t="s">
        <v>5506</v>
      </c>
      <c r="AM400" s="0" t="s">
        <v>5493</v>
      </c>
      <c r="AN400" s="0" t="s">
        <v>5553</v>
      </c>
      <c r="AO400" s="0" t="s">
        <v>5625</v>
      </c>
      <c r="AP400" s="0" t="s">
        <v>240</v>
      </c>
      <c r="AQ400" s="0" t="s">
        <v>240</v>
      </c>
      <c r="AR400" s="0" t="s">
        <v>240</v>
      </c>
      <c r="AS400" s="0" t="s">
        <v>240</v>
      </c>
      <c r="AT400" s="0" t="s">
        <v>240</v>
      </c>
      <c r="AU400" s="0" t="s">
        <v>240</v>
      </c>
      <c r="AV400" s="0" t="s">
        <v>240</v>
      </c>
      <c r="AW400" s="0" t="s">
        <v>240</v>
      </c>
      <c r="AX400" s="0" t="s">
        <v>240</v>
      </c>
      <c r="AY400" s="0" t="s">
        <v>240</v>
      </c>
      <c r="AZ400" s="0" t="s">
        <v>240</v>
      </c>
      <c r="BA400" s="0" t="s">
        <v>240</v>
      </c>
      <c r="BB400" s="0" t="s">
        <v>240</v>
      </c>
      <c r="BC400" s="0" t="s">
        <v>240</v>
      </c>
      <c r="BD400" s="0" t="s">
        <v>240</v>
      </c>
      <c r="BE400" s="0" t="s">
        <v>240</v>
      </c>
      <c r="BF400" s="0" t="s">
        <v>240</v>
      </c>
      <c r="BG400" s="0" t="s">
        <v>240</v>
      </c>
      <c r="BH400" s="0" t="s">
        <v>240</v>
      </c>
      <c r="BI400" s="0" t="s">
        <v>240</v>
      </c>
      <c r="BJ400" s="0" t="s">
        <v>240</v>
      </c>
      <c r="BK400" s="0" t="s">
        <v>240</v>
      </c>
      <c r="BL400" s="0" t="s">
        <v>240</v>
      </c>
      <c r="BM400" s="0" t="s">
        <v>240</v>
      </c>
      <c r="BN400" s="0" t="s">
        <v>240</v>
      </c>
      <c r="BO400" s="0" t="s">
        <v>240</v>
      </c>
      <c r="BP400" s="0" t="s">
        <v>240</v>
      </c>
      <c r="BQ400" s="0" t="s">
        <v>240</v>
      </c>
      <c r="BR400" s="0" t="s">
        <v>240</v>
      </c>
      <c r="BS400" s="0" t="s">
        <v>240</v>
      </c>
      <c r="BT400" s="0" t="s">
        <v>240</v>
      </c>
      <c r="BU400" s="0" t="s">
        <v>240</v>
      </c>
      <c r="BV400" s="0" t="s">
        <v>240</v>
      </c>
      <c r="BW400" s="0" t="s">
        <v>240</v>
      </c>
      <c r="BX400" s="0" t="s">
        <v>240</v>
      </c>
      <c r="BY400" s="0" t="s">
        <v>240</v>
      </c>
      <c r="BZ400" s="0" t="s">
        <v>240</v>
      </c>
      <c r="CA400" s="0" t="s">
        <v>240</v>
      </c>
      <c r="CB400" s="0" t="s">
        <v>240</v>
      </c>
      <c r="CC400" s="0" t="s">
        <v>240</v>
      </c>
      <c r="CD400" s="0" t="s">
        <v>240</v>
      </c>
      <c r="CE400" s="0" t="s">
        <v>240</v>
      </c>
      <c r="CF400" s="0" t="s">
        <v>240</v>
      </c>
      <c r="CG400" s="0" t="s">
        <v>240</v>
      </c>
      <c r="CH400" s="0" t="s">
        <v>240</v>
      </c>
      <c r="CI400" s="0" t="s">
        <v>240</v>
      </c>
      <c r="CJ400" s="0" t="s">
        <v>240</v>
      </c>
      <c r="CK400" s="0" t="s">
        <v>240</v>
      </c>
      <c r="CL400" s="0" t="s">
        <v>240</v>
      </c>
      <c r="CM400" s="0" t="s">
        <v>240</v>
      </c>
      <c r="CN400" s="0" t="s">
        <v>240</v>
      </c>
      <c r="CO400" s="0" t="s">
        <v>240</v>
      </c>
      <c r="CP400" s="0" t="s">
        <v>240</v>
      </c>
      <c r="CQ400" s="0" t="s">
        <v>240</v>
      </c>
      <c r="CR400" s="0" t="s">
        <v>240</v>
      </c>
      <c r="CS400" s="0" t="s">
        <v>240</v>
      </c>
      <c r="CT400" s="0" t="s">
        <v>5496</v>
      </c>
      <c r="CU400" s="0" t="s">
        <v>5497</v>
      </c>
      <c r="CV400" s="0" t="s">
        <v>443</v>
      </c>
      <c r="CW400" s="0" t="s">
        <v>5547</v>
      </c>
      <c r="CX400" s="0" t="s">
        <v>229</v>
      </c>
      <c r="CY400" s="0" t="s">
        <v>443</v>
      </c>
      <c r="CZ400" s="0" t="s">
        <v>5548</v>
      </c>
      <c r="DA400" s="0" t="s">
        <v>5549</v>
      </c>
      <c r="DB400" s="0" t="s">
        <v>5547</v>
      </c>
      <c r="DC400" s="0" t="s">
        <v>384</v>
      </c>
      <c r="DD400" s="0" t="s">
        <v>291</v>
      </c>
      <c r="DE400" s="0" t="s">
        <v>5673</v>
      </c>
    </row>
    <row customHeight="1" ht="11.25">
      <c r="A401" s="1441" t="s">
        <v>240</v>
      </c>
      <c r="B401" s="0" t="s">
        <v>240</v>
      </c>
      <c r="C401" s="0" t="s">
        <v>240</v>
      </c>
      <c r="D401" s="0" t="s">
        <v>240</v>
      </c>
      <c r="E401" s="0" t="s">
        <v>240</v>
      </c>
      <c r="F401" s="0" t="s">
        <v>240</v>
      </c>
      <c r="G401" s="0" t="s">
        <v>240</v>
      </c>
      <c r="H401" s="0" t="s">
        <v>240</v>
      </c>
      <c r="I401" s="0" t="s">
        <v>5484</v>
      </c>
      <c r="J401" s="0" t="s">
        <v>240</v>
      </c>
      <c r="K401" s="0" t="s">
        <v>240</v>
      </c>
      <c r="L401" s="0" t="s">
        <v>240</v>
      </c>
      <c r="M401" s="0" t="s">
        <v>240</v>
      </c>
      <c r="N401" s="0" t="s">
        <v>240</v>
      </c>
      <c r="O401" s="0" t="s">
        <v>240</v>
      </c>
      <c r="P401" s="0" t="s">
        <v>240</v>
      </c>
      <c r="Q401" s="0" t="s">
        <v>240</v>
      </c>
      <c r="R401" s="0" t="s">
        <v>5674</v>
      </c>
      <c r="S401" s="0" t="s">
        <v>240</v>
      </c>
      <c r="T401" s="0" t="s">
        <v>240</v>
      </c>
      <c r="U401" s="0" t="s">
        <v>102</v>
      </c>
      <c r="V401" s="0" t="s">
        <v>240</v>
      </c>
      <c r="W401" s="0" t="s">
        <v>240</v>
      </c>
      <c r="X401" s="0" t="s">
        <v>5585</v>
      </c>
      <c r="Y401" s="0" t="s">
        <v>240</v>
      </c>
      <c r="Z401" s="0" t="s">
        <v>152</v>
      </c>
      <c r="AA401" s="0" t="s">
        <v>152</v>
      </c>
      <c r="AB401" s="0" t="s">
        <v>161</v>
      </c>
      <c r="AC401" s="0" t="s">
        <v>2991</v>
      </c>
      <c r="AD401" s="0" t="s">
        <v>2991</v>
      </c>
      <c r="AE401" s="0" t="s">
        <v>2992</v>
      </c>
      <c r="AF401" s="0" t="s">
        <v>5668</v>
      </c>
      <c r="AG401" s="0" t="s">
        <v>5669</v>
      </c>
      <c r="AH401" s="0" t="s">
        <v>5575</v>
      </c>
      <c r="AI401" s="0" t="s">
        <v>5575</v>
      </c>
      <c r="AJ401" s="0" t="s">
        <v>240</v>
      </c>
      <c r="AK401" s="0" t="s">
        <v>240</v>
      </c>
      <c r="AL401" s="0" t="s">
        <v>240</v>
      </c>
      <c r="AM401" s="0" t="s">
        <v>240</v>
      </c>
      <c r="AN401" s="0" t="s">
        <v>240</v>
      </c>
      <c r="AO401" s="0" t="s">
        <v>240</v>
      </c>
      <c r="AP401" s="0" t="s">
        <v>240</v>
      </c>
      <c r="AQ401" s="0" t="s">
        <v>240</v>
      </c>
      <c r="AR401" s="0" t="s">
        <v>240</v>
      </c>
      <c r="AS401" s="0" t="s">
        <v>240</v>
      </c>
      <c r="AT401" s="0" t="s">
        <v>240</v>
      </c>
      <c r="AU401" s="0" t="s">
        <v>240</v>
      </c>
      <c r="AV401" s="0" t="s">
        <v>240</v>
      </c>
      <c r="AW401" s="0" t="s">
        <v>240</v>
      </c>
      <c r="AX401" s="0" t="s">
        <v>240</v>
      </c>
      <c r="AY401" s="0" t="s">
        <v>240</v>
      </c>
      <c r="AZ401" s="0" t="s">
        <v>240</v>
      </c>
      <c r="BA401" s="0" t="s">
        <v>240</v>
      </c>
      <c r="BB401" s="0" t="s">
        <v>240</v>
      </c>
      <c r="BC401" s="0" t="s">
        <v>240</v>
      </c>
      <c r="BD401" s="0" t="s">
        <v>240</v>
      </c>
      <c r="BE401" s="0" t="s">
        <v>5552</v>
      </c>
      <c r="BF401" s="0" t="s">
        <v>5544</v>
      </c>
      <c r="BG401" s="0" t="s">
        <v>112</v>
      </c>
      <c r="BH401" s="0" t="s">
        <v>5589</v>
      </c>
      <c r="BI401" s="0" t="s">
        <v>123</v>
      </c>
      <c r="BJ401" s="0" t="s">
        <v>240</v>
      </c>
      <c r="BK401" s="0" t="s">
        <v>5608</v>
      </c>
      <c r="BL401" s="0" t="s">
        <v>2991</v>
      </c>
      <c r="BM401" s="0" t="s">
        <v>2991</v>
      </c>
      <c r="BN401" s="0" t="s">
        <v>5663</v>
      </c>
      <c r="BO401" s="0" t="s">
        <v>5668</v>
      </c>
      <c r="BP401" s="0" t="s">
        <v>5675</v>
      </c>
      <c r="BQ401" s="0" t="s">
        <v>5575</v>
      </c>
      <c r="BR401" s="0" t="s">
        <v>5575</v>
      </c>
      <c r="BS401" s="0" t="s">
        <v>240</v>
      </c>
      <c r="BT401" s="0" t="s">
        <v>5650</v>
      </c>
      <c r="BU401" s="0" t="s">
        <v>5676</v>
      </c>
      <c r="BV401" s="0" t="s">
        <v>5676</v>
      </c>
      <c r="BW401" s="0" t="s">
        <v>5598</v>
      </c>
      <c r="BX401" s="0" t="s">
        <v>5598</v>
      </c>
      <c r="BY401" s="0" t="s">
        <v>5598</v>
      </c>
      <c r="BZ401" s="0" t="s">
        <v>5598</v>
      </c>
      <c r="CA401" s="0" t="s">
        <v>5598</v>
      </c>
      <c r="CB401" s="0" t="s">
        <v>240</v>
      </c>
      <c r="CC401" s="0" t="s">
        <v>240</v>
      </c>
      <c r="CD401" s="0" t="s">
        <v>240</v>
      </c>
      <c r="CE401" s="0" t="s">
        <v>240</v>
      </c>
      <c r="CF401" s="0" t="s">
        <v>240</v>
      </c>
      <c r="CG401" s="0" t="s">
        <v>5598</v>
      </c>
      <c r="CH401" s="0" t="s">
        <v>240</v>
      </c>
      <c r="CI401" s="0" t="s">
        <v>240</v>
      </c>
      <c r="CJ401" s="0" t="s">
        <v>240</v>
      </c>
      <c r="CK401" s="0" t="s">
        <v>240</v>
      </c>
      <c r="CL401" s="0" t="s">
        <v>240</v>
      </c>
      <c r="CM401" s="0" t="s">
        <v>5676</v>
      </c>
      <c r="CN401" s="0" t="s">
        <v>5676</v>
      </c>
      <c r="CO401" s="0" t="s">
        <v>240</v>
      </c>
      <c r="CP401" s="0" t="s">
        <v>240</v>
      </c>
      <c r="CQ401" s="0" t="s">
        <v>240</v>
      </c>
      <c r="CR401" s="0" t="s">
        <v>240</v>
      </c>
      <c r="CS401" s="0" t="s">
        <v>5666</v>
      </c>
      <c r="CT401" s="0" t="s">
        <v>5496</v>
      </c>
      <c r="CU401" s="0" t="s">
        <v>5497</v>
      </c>
      <c r="CV401" s="0" t="s">
        <v>443</v>
      </c>
      <c r="CW401" s="0" t="s">
        <v>5547</v>
      </c>
      <c r="CX401" s="0" t="s">
        <v>229</v>
      </c>
      <c r="CY401" s="0" t="s">
        <v>443</v>
      </c>
      <c r="CZ401" s="0" t="s">
        <v>5548</v>
      </c>
      <c r="DA401" s="0" t="s">
        <v>5549</v>
      </c>
      <c r="DB401" s="0" t="s">
        <v>5547</v>
      </c>
      <c r="DC401" s="0" t="s">
        <v>384</v>
      </c>
      <c r="DD401" s="0" t="s">
        <v>291</v>
      </c>
      <c r="DE401" s="0" t="s">
        <v>5677</v>
      </c>
    </row>
    <row customHeight="1" ht="11.25">
      <c r="A402" s="1441" t="s">
        <v>240</v>
      </c>
      <c r="B402" s="0" t="s">
        <v>240</v>
      </c>
      <c r="C402" s="0" t="s">
        <v>240</v>
      </c>
      <c r="D402" s="0" t="s">
        <v>240</v>
      </c>
      <c r="E402" s="0" t="s">
        <v>240</v>
      </c>
      <c r="F402" s="0" t="s">
        <v>240</v>
      </c>
      <c r="G402" s="0" t="s">
        <v>240</v>
      </c>
      <c r="H402" s="0" t="s">
        <v>240</v>
      </c>
      <c r="I402" s="0" t="s">
        <v>5484</v>
      </c>
      <c r="J402" s="0" t="s">
        <v>240</v>
      </c>
      <c r="K402" s="0" t="s">
        <v>240</v>
      </c>
      <c r="L402" s="0" t="s">
        <v>240</v>
      </c>
      <c r="M402" s="0" t="s">
        <v>240</v>
      </c>
      <c r="N402" s="0" t="s">
        <v>240</v>
      </c>
      <c r="O402" s="0" t="s">
        <v>240</v>
      </c>
      <c r="P402" s="0" t="s">
        <v>240</v>
      </c>
      <c r="Q402" s="0" t="s">
        <v>240</v>
      </c>
      <c r="R402" s="0" t="s">
        <v>5572</v>
      </c>
      <c r="S402" s="0" t="s">
        <v>240</v>
      </c>
      <c r="T402" s="0" t="s">
        <v>240</v>
      </c>
      <c r="U402" s="0" t="s">
        <v>102</v>
      </c>
      <c r="V402" s="0" t="s">
        <v>240</v>
      </c>
      <c r="W402" s="0" t="s">
        <v>240</v>
      </c>
      <c r="X402" s="0" t="s">
        <v>5485</v>
      </c>
      <c r="Y402" s="0" t="s">
        <v>240</v>
      </c>
      <c r="Z402" s="0" t="s">
        <v>161</v>
      </c>
      <c r="AA402" s="0" t="s">
        <v>152</v>
      </c>
      <c r="AB402" s="0" t="s">
        <v>152</v>
      </c>
      <c r="AC402" s="0" t="s">
        <v>2991</v>
      </c>
      <c r="AD402" s="0" t="s">
        <v>2991</v>
      </c>
      <c r="AE402" s="0" t="s">
        <v>2992</v>
      </c>
      <c r="AF402" s="0" t="s">
        <v>5682</v>
      </c>
      <c r="AG402" s="0" t="s">
        <v>5683</v>
      </c>
      <c r="AH402" s="0" t="s">
        <v>5684</v>
      </c>
      <c r="AI402" s="0" t="s">
        <v>475</v>
      </c>
      <c r="AJ402" s="0" t="s">
        <v>5552</v>
      </c>
      <c r="AK402" s="0" t="s">
        <v>5544</v>
      </c>
      <c r="AL402" s="0" t="s">
        <v>5506</v>
      </c>
      <c r="AM402" s="0" t="s">
        <v>5493</v>
      </c>
      <c r="AN402" s="0" t="s">
        <v>5553</v>
      </c>
      <c r="AO402" s="0" t="s">
        <v>5625</v>
      </c>
      <c r="AP402" s="0" t="s">
        <v>240</v>
      </c>
      <c r="AQ402" s="0" t="s">
        <v>240</v>
      </c>
      <c r="AR402" s="0" t="s">
        <v>240</v>
      </c>
      <c r="AS402" s="0" t="s">
        <v>240</v>
      </c>
      <c r="AT402" s="0" t="s">
        <v>240</v>
      </c>
      <c r="AU402" s="0" t="s">
        <v>240</v>
      </c>
      <c r="AV402" s="0" t="s">
        <v>240</v>
      </c>
      <c r="AW402" s="0" t="s">
        <v>240</v>
      </c>
      <c r="AX402" s="0" t="s">
        <v>240</v>
      </c>
      <c r="AY402" s="0" t="s">
        <v>240</v>
      </c>
      <c r="AZ402" s="0" t="s">
        <v>240</v>
      </c>
      <c r="BA402" s="0" t="s">
        <v>240</v>
      </c>
      <c r="BB402" s="0" t="s">
        <v>240</v>
      </c>
      <c r="BC402" s="0" t="s">
        <v>240</v>
      </c>
      <c r="BD402" s="0" t="s">
        <v>240</v>
      </c>
      <c r="BE402" s="0" t="s">
        <v>240</v>
      </c>
      <c r="BF402" s="0" t="s">
        <v>240</v>
      </c>
      <c r="BG402" s="0" t="s">
        <v>240</v>
      </c>
      <c r="BH402" s="0" t="s">
        <v>240</v>
      </c>
      <c r="BI402" s="0" t="s">
        <v>240</v>
      </c>
      <c r="BJ402" s="0" t="s">
        <v>240</v>
      </c>
      <c r="BK402" s="0" t="s">
        <v>240</v>
      </c>
      <c r="BL402" s="0" t="s">
        <v>240</v>
      </c>
      <c r="BM402" s="0" t="s">
        <v>240</v>
      </c>
      <c r="BN402" s="0" t="s">
        <v>240</v>
      </c>
      <c r="BO402" s="0" t="s">
        <v>240</v>
      </c>
      <c r="BP402" s="0" t="s">
        <v>240</v>
      </c>
      <c r="BQ402" s="0" t="s">
        <v>240</v>
      </c>
      <c r="BR402" s="0" t="s">
        <v>240</v>
      </c>
      <c r="BS402" s="0" t="s">
        <v>240</v>
      </c>
      <c r="BT402" s="0" t="s">
        <v>240</v>
      </c>
      <c r="BU402" s="0" t="s">
        <v>240</v>
      </c>
      <c r="BV402" s="0" t="s">
        <v>240</v>
      </c>
      <c r="BW402" s="0" t="s">
        <v>240</v>
      </c>
      <c r="BX402" s="0" t="s">
        <v>240</v>
      </c>
      <c r="BY402" s="0" t="s">
        <v>240</v>
      </c>
      <c r="BZ402" s="0" t="s">
        <v>240</v>
      </c>
      <c r="CA402" s="0" t="s">
        <v>240</v>
      </c>
      <c r="CB402" s="0" t="s">
        <v>240</v>
      </c>
      <c r="CC402" s="0" t="s">
        <v>240</v>
      </c>
      <c r="CD402" s="0" t="s">
        <v>240</v>
      </c>
      <c r="CE402" s="0" t="s">
        <v>240</v>
      </c>
      <c r="CF402" s="0" t="s">
        <v>240</v>
      </c>
      <c r="CG402" s="0" t="s">
        <v>240</v>
      </c>
      <c r="CH402" s="0" t="s">
        <v>240</v>
      </c>
      <c r="CI402" s="0" t="s">
        <v>240</v>
      </c>
      <c r="CJ402" s="0" t="s">
        <v>240</v>
      </c>
      <c r="CK402" s="0" t="s">
        <v>240</v>
      </c>
      <c r="CL402" s="0" t="s">
        <v>240</v>
      </c>
      <c r="CM402" s="0" t="s">
        <v>240</v>
      </c>
      <c r="CN402" s="0" t="s">
        <v>240</v>
      </c>
      <c r="CO402" s="0" t="s">
        <v>240</v>
      </c>
      <c r="CP402" s="0" t="s">
        <v>240</v>
      </c>
      <c r="CQ402" s="0" t="s">
        <v>240</v>
      </c>
      <c r="CR402" s="0" t="s">
        <v>240</v>
      </c>
      <c r="CS402" s="0" t="s">
        <v>240</v>
      </c>
      <c r="CT402" s="0" t="s">
        <v>5496</v>
      </c>
      <c r="CU402" s="0" t="s">
        <v>5497</v>
      </c>
      <c r="CV402" s="0" t="s">
        <v>443</v>
      </c>
      <c r="CW402" s="0" t="s">
        <v>5547</v>
      </c>
      <c r="CX402" s="0" t="s">
        <v>229</v>
      </c>
      <c r="CY402" s="0" t="s">
        <v>443</v>
      </c>
      <c r="CZ402" s="0" t="s">
        <v>5548</v>
      </c>
      <c r="DA402" s="0" t="s">
        <v>5549</v>
      </c>
      <c r="DB402" s="0" t="s">
        <v>5547</v>
      </c>
      <c r="DC402" s="0" t="s">
        <v>384</v>
      </c>
      <c r="DD402" s="0" t="s">
        <v>291</v>
      </c>
      <c r="DE402" s="0" t="s">
        <v>5685</v>
      </c>
    </row>
    <row customHeight="1" ht="11.25">
      <c r="A403" s="1441" t="s">
        <v>240</v>
      </c>
      <c r="B403" s="0" t="s">
        <v>240</v>
      </c>
      <c r="C403" s="0" t="s">
        <v>240</v>
      </c>
      <c r="D403" s="0" t="s">
        <v>240</v>
      </c>
      <c r="E403" s="0" t="s">
        <v>240</v>
      </c>
      <c r="F403" s="0" t="s">
        <v>240</v>
      </c>
      <c r="G403" s="0" t="s">
        <v>240</v>
      </c>
      <c r="H403" s="0" t="s">
        <v>240</v>
      </c>
      <c r="I403" s="0" t="s">
        <v>5484</v>
      </c>
      <c r="J403" s="0" t="s">
        <v>240</v>
      </c>
      <c r="K403" s="0" t="s">
        <v>240</v>
      </c>
      <c r="L403" s="0" t="s">
        <v>240</v>
      </c>
      <c r="M403" s="0" t="s">
        <v>240</v>
      </c>
      <c r="N403" s="0" t="s">
        <v>240</v>
      </c>
      <c r="O403" s="0" t="s">
        <v>240</v>
      </c>
      <c r="P403" s="0" t="s">
        <v>240</v>
      </c>
      <c r="Q403" s="0" t="s">
        <v>240</v>
      </c>
      <c r="R403" s="0" t="s">
        <v>5572</v>
      </c>
      <c r="S403" s="0" t="s">
        <v>240</v>
      </c>
      <c r="T403" s="0" t="s">
        <v>240</v>
      </c>
      <c r="U403" s="0" t="s">
        <v>102</v>
      </c>
      <c r="V403" s="0" t="s">
        <v>240</v>
      </c>
      <c r="W403" s="0" t="s">
        <v>240</v>
      </c>
      <c r="X403" s="0" t="s">
        <v>5485</v>
      </c>
      <c r="Y403" s="0" t="s">
        <v>240</v>
      </c>
      <c r="Z403" s="0" t="s">
        <v>161</v>
      </c>
      <c r="AA403" s="0" t="s">
        <v>152</v>
      </c>
      <c r="AB403" s="0" t="s">
        <v>152</v>
      </c>
      <c r="AC403" s="0" t="s">
        <v>2991</v>
      </c>
      <c r="AD403" s="0" t="s">
        <v>2991</v>
      </c>
      <c r="AE403" s="0" t="s">
        <v>2992</v>
      </c>
      <c r="AF403" s="0" t="s">
        <v>5686</v>
      </c>
      <c r="AG403" s="0" t="s">
        <v>5687</v>
      </c>
      <c r="AH403" s="0" t="s">
        <v>5688</v>
      </c>
      <c r="AI403" s="0" t="s">
        <v>5612</v>
      </c>
      <c r="AJ403" s="0" t="s">
        <v>5552</v>
      </c>
      <c r="AK403" s="0" t="s">
        <v>5544</v>
      </c>
      <c r="AL403" s="0" t="s">
        <v>5506</v>
      </c>
      <c r="AM403" s="0" t="s">
        <v>5493</v>
      </c>
      <c r="AN403" s="0" t="s">
        <v>5545</v>
      </c>
      <c r="AO403" s="0" t="s">
        <v>5680</v>
      </c>
      <c r="AP403" s="0" t="s">
        <v>240</v>
      </c>
      <c r="AQ403" s="0" t="s">
        <v>240</v>
      </c>
      <c r="AR403" s="0" t="s">
        <v>240</v>
      </c>
      <c r="AS403" s="0" t="s">
        <v>240</v>
      </c>
      <c r="AT403" s="0" t="s">
        <v>240</v>
      </c>
      <c r="AU403" s="0" t="s">
        <v>240</v>
      </c>
      <c r="AV403" s="0" t="s">
        <v>240</v>
      </c>
      <c r="AW403" s="0" t="s">
        <v>240</v>
      </c>
      <c r="AX403" s="0" t="s">
        <v>240</v>
      </c>
      <c r="AY403" s="0" t="s">
        <v>240</v>
      </c>
      <c r="AZ403" s="0" t="s">
        <v>240</v>
      </c>
      <c r="BA403" s="0" t="s">
        <v>240</v>
      </c>
      <c r="BB403" s="0" t="s">
        <v>240</v>
      </c>
      <c r="BC403" s="0" t="s">
        <v>240</v>
      </c>
      <c r="BD403" s="0" t="s">
        <v>240</v>
      </c>
      <c r="BE403" s="0" t="s">
        <v>240</v>
      </c>
      <c r="BF403" s="0" t="s">
        <v>240</v>
      </c>
      <c r="BG403" s="0" t="s">
        <v>240</v>
      </c>
      <c r="BH403" s="0" t="s">
        <v>240</v>
      </c>
      <c r="BI403" s="0" t="s">
        <v>240</v>
      </c>
      <c r="BJ403" s="0" t="s">
        <v>240</v>
      </c>
      <c r="BK403" s="0" t="s">
        <v>240</v>
      </c>
      <c r="BL403" s="0" t="s">
        <v>240</v>
      </c>
      <c r="BM403" s="0" t="s">
        <v>240</v>
      </c>
      <c r="BN403" s="0" t="s">
        <v>240</v>
      </c>
      <c r="BO403" s="0" t="s">
        <v>240</v>
      </c>
      <c r="BP403" s="0" t="s">
        <v>240</v>
      </c>
      <c r="BQ403" s="0" t="s">
        <v>240</v>
      </c>
      <c r="BR403" s="0" t="s">
        <v>240</v>
      </c>
      <c r="BS403" s="0" t="s">
        <v>240</v>
      </c>
      <c r="BT403" s="0" t="s">
        <v>240</v>
      </c>
      <c r="BU403" s="0" t="s">
        <v>240</v>
      </c>
      <c r="BV403" s="0" t="s">
        <v>240</v>
      </c>
      <c r="BW403" s="0" t="s">
        <v>240</v>
      </c>
      <c r="BX403" s="0" t="s">
        <v>240</v>
      </c>
      <c r="BY403" s="0" t="s">
        <v>240</v>
      </c>
      <c r="BZ403" s="0" t="s">
        <v>240</v>
      </c>
      <c r="CA403" s="0" t="s">
        <v>240</v>
      </c>
      <c r="CB403" s="0" t="s">
        <v>240</v>
      </c>
      <c r="CC403" s="0" t="s">
        <v>240</v>
      </c>
      <c r="CD403" s="0" t="s">
        <v>240</v>
      </c>
      <c r="CE403" s="0" t="s">
        <v>240</v>
      </c>
      <c r="CF403" s="0" t="s">
        <v>240</v>
      </c>
      <c r="CG403" s="0" t="s">
        <v>240</v>
      </c>
      <c r="CH403" s="0" t="s">
        <v>240</v>
      </c>
      <c r="CI403" s="0" t="s">
        <v>240</v>
      </c>
      <c r="CJ403" s="0" t="s">
        <v>240</v>
      </c>
      <c r="CK403" s="0" t="s">
        <v>240</v>
      </c>
      <c r="CL403" s="0" t="s">
        <v>240</v>
      </c>
      <c r="CM403" s="0" t="s">
        <v>240</v>
      </c>
      <c r="CN403" s="0" t="s">
        <v>240</v>
      </c>
      <c r="CO403" s="0" t="s">
        <v>240</v>
      </c>
      <c r="CP403" s="0" t="s">
        <v>240</v>
      </c>
      <c r="CQ403" s="0" t="s">
        <v>240</v>
      </c>
      <c r="CR403" s="0" t="s">
        <v>240</v>
      </c>
      <c r="CS403" s="0" t="s">
        <v>240</v>
      </c>
      <c r="CT403" s="0" t="s">
        <v>5496</v>
      </c>
      <c r="CU403" s="0" t="s">
        <v>5497</v>
      </c>
      <c r="CV403" s="0" t="s">
        <v>443</v>
      </c>
      <c r="CW403" s="0" t="s">
        <v>5547</v>
      </c>
      <c r="CX403" s="0" t="s">
        <v>229</v>
      </c>
      <c r="CY403" s="0" t="s">
        <v>443</v>
      </c>
      <c r="CZ403" s="0" t="s">
        <v>5548</v>
      </c>
      <c r="DA403" s="0" t="s">
        <v>5549</v>
      </c>
      <c r="DB403" s="0" t="s">
        <v>5547</v>
      </c>
      <c r="DC403" s="0" t="s">
        <v>384</v>
      </c>
      <c r="DD403" s="0" t="s">
        <v>291</v>
      </c>
      <c r="DE403" s="0" t="s">
        <v>5689</v>
      </c>
    </row>
    <row customHeight="1" ht="11.25">
      <c r="A404" s="1441" t="s">
        <v>240</v>
      </c>
      <c r="B404" s="0" t="s">
        <v>240</v>
      </c>
      <c r="C404" s="0" t="s">
        <v>240</v>
      </c>
      <c r="D404" s="0" t="s">
        <v>240</v>
      </c>
      <c r="E404" s="0" t="s">
        <v>240</v>
      </c>
      <c r="F404" s="0" t="s">
        <v>240</v>
      </c>
      <c r="G404" s="0" t="s">
        <v>240</v>
      </c>
      <c r="H404" s="0" t="s">
        <v>240</v>
      </c>
      <c r="I404" s="0" t="s">
        <v>5484</v>
      </c>
      <c r="J404" s="0" t="s">
        <v>240</v>
      </c>
      <c r="K404" s="0" t="s">
        <v>240</v>
      </c>
      <c r="L404" s="0" t="s">
        <v>240</v>
      </c>
      <c r="M404" s="0" t="s">
        <v>240</v>
      </c>
      <c r="N404" s="0" t="s">
        <v>240</v>
      </c>
      <c r="O404" s="0" t="s">
        <v>240</v>
      </c>
      <c r="P404" s="0" t="s">
        <v>240</v>
      </c>
      <c r="Q404" s="0" t="s">
        <v>240</v>
      </c>
      <c r="R404" s="0" t="s">
        <v>5690</v>
      </c>
      <c r="S404" s="0" t="s">
        <v>240</v>
      </c>
      <c r="T404" s="0" t="s">
        <v>240</v>
      </c>
      <c r="U404" s="0" t="s">
        <v>102</v>
      </c>
      <c r="V404" s="0" t="s">
        <v>240</v>
      </c>
      <c r="W404" s="0" t="s">
        <v>240</v>
      </c>
      <c r="X404" s="0" t="s">
        <v>5485</v>
      </c>
      <c r="Y404" s="0" t="s">
        <v>240</v>
      </c>
      <c r="Z404" s="0" t="s">
        <v>161</v>
      </c>
      <c r="AA404" s="0" t="s">
        <v>152</v>
      </c>
      <c r="AB404" s="0" t="s">
        <v>152</v>
      </c>
      <c r="AC404" s="0" t="s">
        <v>2991</v>
      </c>
      <c r="AD404" s="0" t="s">
        <v>2991</v>
      </c>
      <c r="AE404" s="0" t="s">
        <v>2992</v>
      </c>
      <c r="AF404" s="0" t="s">
        <v>5691</v>
      </c>
      <c r="AG404" s="0" t="s">
        <v>5692</v>
      </c>
      <c r="AH404" s="0" t="s">
        <v>5693</v>
      </c>
      <c r="AI404" s="0" t="s">
        <v>5694</v>
      </c>
      <c r="AJ404" s="0" t="s">
        <v>5504</v>
      </c>
      <c r="AK404" s="0" t="s">
        <v>5544</v>
      </c>
      <c r="AL404" s="0" t="s">
        <v>5506</v>
      </c>
      <c r="AM404" s="0" t="s">
        <v>5493</v>
      </c>
      <c r="AN404" s="0" t="s">
        <v>5545</v>
      </c>
      <c r="AO404" s="0" t="s">
        <v>5695</v>
      </c>
      <c r="AP404" s="0" t="s">
        <v>240</v>
      </c>
      <c r="AQ404" s="0" t="s">
        <v>240</v>
      </c>
      <c r="AR404" s="0" t="s">
        <v>240</v>
      </c>
      <c r="AS404" s="0" t="s">
        <v>240</v>
      </c>
      <c r="AT404" s="0" t="s">
        <v>240</v>
      </c>
      <c r="AU404" s="0" t="s">
        <v>240</v>
      </c>
      <c r="AV404" s="0" t="s">
        <v>240</v>
      </c>
      <c r="AW404" s="0" t="s">
        <v>240</v>
      </c>
      <c r="AX404" s="0" t="s">
        <v>240</v>
      </c>
      <c r="AY404" s="0" t="s">
        <v>240</v>
      </c>
      <c r="AZ404" s="0" t="s">
        <v>240</v>
      </c>
      <c r="BA404" s="0" t="s">
        <v>240</v>
      </c>
      <c r="BB404" s="0" t="s">
        <v>240</v>
      </c>
      <c r="BC404" s="0" t="s">
        <v>240</v>
      </c>
      <c r="BD404" s="0" t="s">
        <v>240</v>
      </c>
      <c r="BE404" s="0" t="s">
        <v>240</v>
      </c>
      <c r="BF404" s="0" t="s">
        <v>240</v>
      </c>
      <c r="BG404" s="0" t="s">
        <v>240</v>
      </c>
      <c r="BH404" s="0" t="s">
        <v>240</v>
      </c>
      <c r="BI404" s="0" t="s">
        <v>240</v>
      </c>
      <c r="BJ404" s="0" t="s">
        <v>240</v>
      </c>
      <c r="BK404" s="0" t="s">
        <v>240</v>
      </c>
      <c r="BL404" s="0" t="s">
        <v>240</v>
      </c>
      <c r="BM404" s="0" t="s">
        <v>240</v>
      </c>
      <c r="BN404" s="0" t="s">
        <v>240</v>
      </c>
      <c r="BO404" s="0" t="s">
        <v>240</v>
      </c>
      <c r="BP404" s="0" t="s">
        <v>240</v>
      </c>
      <c r="BQ404" s="0" t="s">
        <v>240</v>
      </c>
      <c r="BR404" s="0" t="s">
        <v>240</v>
      </c>
      <c r="BS404" s="0" t="s">
        <v>240</v>
      </c>
      <c r="BT404" s="0" t="s">
        <v>240</v>
      </c>
      <c r="BU404" s="0" t="s">
        <v>240</v>
      </c>
      <c r="BV404" s="0" t="s">
        <v>240</v>
      </c>
      <c r="BW404" s="0" t="s">
        <v>240</v>
      </c>
      <c r="BX404" s="0" t="s">
        <v>240</v>
      </c>
      <c r="BY404" s="0" t="s">
        <v>240</v>
      </c>
      <c r="BZ404" s="0" t="s">
        <v>240</v>
      </c>
      <c r="CA404" s="0" t="s">
        <v>240</v>
      </c>
      <c r="CB404" s="0" t="s">
        <v>240</v>
      </c>
      <c r="CC404" s="0" t="s">
        <v>240</v>
      </c>
      <c r="CD404" s="0" t="s">
        <v>240</v>
      </c>
      <c r="CE404" s="0" t="s">
        <v>240</v>
      </c>
      <c r="CF404" s="0" t="s">
        <v>240</v>
      </c>
      <c r="CG404" s="0" t="s">
        <v>240</v>
      </c>
      <c r="CH404" s="0" t="s">
        <v>240</v>
      </c>
      <c r="CI404" s="0" t="s">
        <v>240</v>
      </c>
      <c r="CJ404" s="0" t="s">
        <v>240</v>
      </c>
      <c r="CK404" s="0" t="s">
        <v>240</v>
      </c>
      <c r="CL404" s="0" t="s">
        <v>240</v>
      </c>
      <c r="CM404" s="0" t="s">
        <v>240</v>
      </c>
      <c r="CN404" s="0" t="s">
        <v>240</v>
      </c>
      <c r="CO404" s="0" t="s">
        <v>240</v>
      </c>
      <c r="CP404" s="0" t="s">
        <v>240</v>
      </c>
      <c r="CQ404" s="0" t="s">
        <v>240</v>
      </c>
      <c r="CR404" s="0" t="s">
        <v>240</v>
      </c>
      <c r="CS404" s="0" t="s">
        <v>240</v>
      </c>
      <c r="CT404" s="0" t="s">
        <v>5496</v>
      </c>
      <c r="CU404" s="0" t="s">
        <v>5497</v>
      </c>
      <c r="CV404" s="0" t="s">
        <v>443</v>
      </c>
      <c r="CW404" s="0" t="s">
        <v>5547</v>
      </c>
      <c r="CX404" s="0" t="s">
        <v>229</v>
      </c>
      <c r="CY404" s="0" t="s">
        <v>443</v>
      </c>
      <c r="CZ404" s="0" t="s">
        <v>5548</v>
      </c>
      <c r="DA404" s="0" t="s">
        <v>5549</v>
      </c>
      <c r="DB404" s="0" t="s">
        <v>5547</v>
      </c>
      <c r="DC404" s="0" t="s">
        <v>384</v>
      </c>
      <c r="DD404" s="0" t="s">
        <v>291</v>
      </c>
      <c r="DE404" s="0" t="s">
        <v>5696</v>
      </c>
    </row>
    <row customHeight="1" ht="11.25">
      <c r="A405" s="1441" t="s">
        <v>240</v>
      </c>
      <c r="B405" s="0" t="s">
        <v>240</v>
      </c>
      <c r="C405" s="0" t="s">
        <v>240</v>
      </c>
      <c r="D405" s="0" t="s">
        <v>240</v>
      </c>
      <c r="E405" s="0" t="s">
        <v>240</v>
      </c>
      <c r="F405" s="0" t="s">
        <v>240</v>
      </c>
      <c r="G405" s="0" t="s">
        <v>240</v>
      </c>
      <c r="H405" s="0" t="s">
        <v>240</v>
      </c>
      <c r="I405" s="0" t="s">
        <v>5484</v>
      </c>
      <c r="J405" s="0" t="s">
        <v>240</v>
      </c>
      <c r="K405" s="0" t="s">
        <v>240</v>
      </c>
      <c r="L405" s="0" t="s">
        <v>240</v>
      </c>
      <c r="M405" s="0" t="s">
        <v>240</v>
      </c>
      <c r="N405" s="0" t="s">
        <v>240</v>
      </c>
      <c r="O405" s="0" t="s">
        <v>240</v>
      </c>
      <c r="P405" s="0" t="s">
        <v>240</v>
      </c>
      <c r="Q405" s="0" t="s">
        <v>240</v>
      </c>
      <c r="R405" s="0" t="s">
        <v>5572</v>
      </c>
      <c r="S405" s="0" t="s">
        <v>240</v>
      </c>
      <c r="T405" s="0" t="s">
        <v>240</v>
      </c>
      <c r="U405" s="0" t="s">
        <v>102</v>
      </c>
      <c r="V405" s="0" t="s">
        <v>240</v>
      </c>
      <c r="W405" s="0" t="s">
        <v>240</v>
      </c>
      <c r="X405" s="0" t="s">
        <v>5485</v>
      </c>
      <c r="Y405" s="0" t="s">
        <v>240</v>
      </c>
      <c r="Z405" s="0" t="s">
        <v>161</v>
      </c>
      <c r="AA405" s="0" t="s">
        <v>152</v>
      </c>
      <c r="AB405" s="0" t="s">
        <v>152</v>
      </c>
      <c r="AC405" s="0" t="s">
        <v>2989</v>
      </c>
      <c r="AD405" s="0" t="s">
        <v>2989</v>
      </c>
      <c r="AE405" s="0" t="s">
        <v>2990</v>
      </c>
      <c r="AF405" s="0" t="s">
        <v>6494</v>
      </c>
      <c r="AG405" s="0" t="s">
        <v>6495</v>
      </c>
      <c r="AH405" s="0" t="s">
        <v>5981</v>
      </c>
      <c r="AI405" s="0" t="s">
        <v>5575</v>
      </c>
      <c r="AJ405" s="0" t="s">
        <v>5576</v>
      </c>
      <c r="AK405" s="0" t="s">
        <v>5814</v>
      </c>
      <c r="AL405" s="0" t="s">
        <v>5506</v>
      </c>
      <c r="AM405" s="0" t="s">
        <v>5493</v>
      </c>
      <c r="AN405" s="0" t="s">
        <v>5578</v>
      </c>
      <c r="AO405" s="0" t="s">
        <v>5625</v>
      </c>
      <c r="AP405" s="0" t="s">
        <v>240</v>
      </c>
      <c r="AQ405" s="0" t="s">
        <v>240</v>
      </c>
      <c r="AR405" s="0" t="s">
        <v>240</v>
      </c>
      <c r="AS405" s="0" t="s">
        <v>240</v>
      </c>
      <c r="AT405" s="0" t="s">
        <v>240</v>
      </c>
      <c r="AU405" s="0" t="s">
        <v>240</v>
      </c>
      <c r="AV405" s="0" t="s">
        <v>240</v>
      </c>
      <c r="AW405" s="0" t="s">
        <v>240</v>
      </c>
      <c r="AX405" s="0" t="s">
        <v>240</v>
      </c>
      <c r="AY405" s="0" t="s">
        <v>240</v>
      </c>
      <c r="AZ405" s="0" t="s">
        <v>240</v>
      </c>
      <c r="BA405" s="0" t="s">
        <v>240</v>
      </c>
      <c r="BB405" s="0" t="s">
        <v>240</v>
      </c>
      <c r="BC405" s="0" t="s">
        <v>240</v>
      </c>
      <c r="BD405" s="0" t="s">
        <v>240</v>
      </c>
      <c r="BE405" s="0" t="s">
        <v>240</v>
      </c>
      <c r="BF405" s="0" t="s">
        <v>240</v>
      </c>
      <c r="BG405" s="0" t="s">
        <v>240</v>
      </c>
      <c r="BH405" s="0" t="s">
        <v>240</v>
      </c>
      <c r="BI405" s="0" t="s">
        <v>240</v>
      </c>
      <c r="BJ405" s="0" t="s">
        <v>240</v>
      </c>
      <c r="BK405" s="0" t="s">
        <v>240</v>
      </c>
      <c r="BL405" s="0" t="s">
        <v>240</v>
      </c>
      <c r="BM405" s="0" t="s">
        <v>240</v>
      </c>
      <c r="BN405" s="0" t="s">
        <v>240</v>
      </c>
      <c r="BO405" s="0" t="s">
        <v>240</v>
      </c>
      <c r="BP405" s="0" t="s">
        <v>240</v>
      </c>
      <c r="BQ405" s="0" t="s">
        <v>240</v>
      </c>
      <c r="BR405" s="0" t="s">
        <v>240</v>
      </c>
      <c r="BS405" s="0" t="s">
        <v>240</v>
      </c>
      <c r="BT405" s="0" t="s">
        <v>240</v>
      </c>
      <c r="BU405" s="0" t="s">
        <v>240</v>
      </c>
      <c r="BV405" s="0" t="s">
        <v>240</v>
      </c>
      <c r="BW405" s="0" t="s">
        <v>240</v>
      </c>
      <c r="BX405" s="0" t="s">
        <v>240</v>
      </c>
      <c r="BY405" s="0" t="s">
        <v>240</v>
      </c>
      <c r="BZ405" s="0" t="s">
        <v>240</v>
      </c>
      <c r="CA405" s="0" t="s">
        <v>240</v>
      </c>
      <c r="CB405" s="0" t="s">
        <v>240</v>
      </c>
      <c r="CC405" s="0" t="s">
        <v>240</v>
      </c>
      <c r="CD405" s="0" t="s">
        <v>240</v>
      </c>
      <c r="CE405" s="0" t="s">
        <v>240</v>
      </c>
      <c r="CF405" s="0" t="s">
        <v>240</v>
      </c>
      <c r="CG405" s="0" t="s">
        <v>240</v>
      </c>
      <c r="CH405" s="0" t="s">
        <v>240</v>
      </c>
      <c r="CI405" s="0" t="s">
        <v>240</v>
      </c>
      <c r="CJ405" s="0" t="s">
        <v>240</v>
      </c>
      <c r="CK405" s="0" t="s">
        <v>240</v>
      </c>
      <c r="CL405" s="0" t="s">
        <v>240</v>
      </c>
      <c r="CM405" s="0" t="s">
        <v>240</v>
      </c>
      <c r="CN405" s="0" t="s">
        <v>240</v>
      </c>
      <c r="CO405" s="0" t="s">
        <v>240</v>
      </c>
      <c r="CP405" s="0" t="s">
        <v>240</v>
      </c>
      <c r="CQ405" s="0" t="s">
        <v>240</v>
      </c>
      <c r="CR405" s="0" t="s">
        <v>240</v>
      </c>
      <c r="CS405" s="0" t="s">
        <v>240</v>
      </c>
      <c r="CT405" s="0" t="s">
        <v>5496</v>
      </c>
      <c r="CU405" s="0" t="s">
        <v>5497</v>
      </c>
      <c r="CV405" s="0" t="s">
        <v>443</v>
      </c>
      <c r="CW405" s="0" t="s">
        <v>5580</v>
      </c>
      <c r="CX405" s="0" t="s">
        <v>229</v>
      </c>
      <c r="CY405" s="0" t="s">
        <v>443</v>
      </c>
      <c r="CZ405" s="0" t="s">
        <v>5581</v>
      </c>
      <c r="DA405" s="0" t="s">
        <v>5582</v>
      </c>
      <c r="DB405" s="0" t="s">
        <v>5580</v>
      </c>
      <c r="DC405" s="0" t="s">
        <v>384</v>
      </c>
      <c r="DD405" s="0" t="s">
        <v>291</v>
      </c>
      <c r="DE405" s="0" t="s">
        <v>6496</v>
      </c>
    </row>
    <row customHeight="1" ht="11.25">
      <c r="A406" s="1441" t="s">
        <v>240</v>
      </c>
      <c r="B406" s="0" t="s">
        <v>240</v>
      </c>
      <c r="C406" s="0" t="s">
        <v>240</v>
      </c>
      <c r="D406" s="0" t="s">
        <v>240</v>
      </c>
      <c r="E406" s="0" t="s">
        <v>240</v>
      </c>
      <c r="F406" s="0" t="s">
        <v>240</v>
      </c>
      <c r="G406" s="0" t="s">
        <v>240</v>
      </c>
      <c r="H406" s="0" t="s">
        <v>240</v>
      </c>
      <c r="I406" s="0" t="s">
        <v>5484</v>
      </c>
      <c r="J406" s="0" t="s">
        <v>240</v>
      </c>
      <c r="K406" s="0" t="s">
        <v>240</v>
      </c>
      <c r="L406" s="0" t="s">
        <v>240</v>
      </c>
      <c r="M406" s="0" t="s">
        <v>240</v>
      </c>
      <c r="N406" s="0" t="s">
        <v>240</v>
      </c>
      <c r="O406" s="0" t="s">
        <v>240</v>
      </c>
      <c r="P406" s="0" t="s">
        <v>240</v>
      </c>
      <c r="Q406" s="0" t="s">
        <v>240</v>
      </c>
      <c r="R406" s="0" t="s">
        <v>6684</v>
      </c>
      <c r="S406" s="0" t="s">
        <v>240</v>
      </c>
      <c r="T406" s="0" t="s">
        <v>240</v>
      </c>
      <c r="U406" s="0" t="s">
        <v>102</v>
      </c>
      <c r="V406" s="0" t="s">
        <v>240</v>
      </c>
      <c r="W406" s="0" t="s">
        <v>240</v>
      </c>
      <c r="X406" s="0" t="s">
        <v>5585</v>
      </c>
      <c r="Y406" s="0" t="s">
        <v>240</v>
      </c>
      <c r="Z406" s="0" t="s">
        <v>152</v>
      </c>
      <c r="AA406" s="0" t="s">
        <v>152</v>
      </c>
      <c r="AB406" s="0" t="s">
        <v>161</v>
      </c>
      <c r="AC406" s="0" t="s">
        <v>2989</v>
      </c>
      <c r="AD406" s="0" t="s">
        <v>2989</v>
      </c>
      <c r="AE406" s="0" t="s">
        <v>2990</v>
      </c>
      <c r="AF406" s="0" t="s">
        <v>6494</v>
      </c>
      <c r="AG406" s="0" t="s">
        <v>6495</v>
      </c>
      <c r="AH406" s="0" t="s">
        <v>5575</v>
      </c>
      <c r="AI406" s="0" t="s">
        <v>5575</v>
      </c>
      <c r="AJ406" s="0" t="s">
        <v>240</v>
      </c>
      <c r="AK406" s="0" t="s">
        <v>240</v>
      </c>
      <c r="AL406" s="0" t="s">
        <v>240</v>
      </c>
      <c r="AM406" s="0" t="s">
        <v>240</v>
      </c>
      <c r="AN406" s="0" t="s">
        <v>240</v>
      </c>
      <c r="AO406" s="0" t="s">
        <v>240</v>
      </c>
      <c r="AP406" s="0" t="s">
        <v>240</v>
      </c>
      <c r="AQ406" s="0" t="s">
        <v>240</v>
      </c>
      <c r="AR406" s="0" t="s">
        <v>240</v>
      </c>
      <c r="AS406" s="0" t="s">
        <v>240</v>
      </c>
      <c r="AT406" s="0" t="s">
        <v>240</v>
      </c>
      <c r="AU406" s="0" t="s">
        <v>240</v>
      </c>
      <c r="AV406" s="0" t="s">
        <v>240</v>
      </c>
      <c r="AW406" s="0" t="s">
        <v>240</v>
      </c>
      <c r="AX406" s="0" t="s">
        <v>240</v>
      </c>
      <c r="AY406" s="0" t="s">
        <v>240</v>
      </c>
      <c r="AZ406" s="0" t="s">
        <v>240</v>
      </c>
      <c r="BA406" s="0" t="s">
        <v>240</v>
      </c>
      <c r="BB406" s="0" t="s">
        <v>240</v>
      </c>
      <c r="BC406" s="0" t="s">
        <v>240</v>
      </c>
      <c r="BD406" s="0" t="s">
        <v>240</v>
      </c>
      <c r="BE406" s="0" t="s">
        <v>5576</v>
      </c>
      <c r="BF406" s="0" t="s">
        <v>5814</v>
      </c>
      <c r="BG406" s="0" t="s">
        <v>112</v>
      </c>
      <c r="BH406" s="0" t="s">
        <v>5589</v>
      </c>
      <c r="BI406" s="0" t="s">
        <v>123</v>
      </c>
      <c r="BJ406" s="0" t="s">
        <v>240</v>
      </c>
      <c r="BK406" s="0" t="s">
        <v>5608</v>
      </c>
      <c r="BL406" s="0" t="s">
        <v>2989</v>
      </c>
      <c r="BM406" s="0" t="s">
        <v>2989</v>
      </c>
      <c r="BN406" s="0" t="s">
        <v>5798</v>
      </c>
      <c r="BO406" s="0" t="s">
        <v>6494</v>
      </c>
      <c r="BP406" s="0" t="s">
        <v>6685</v>
      </c>
      <c r="BQ406" s="0" t="s">
        <v>5575</v>
      </c>
      <c r="BR406" s="0" t="s">
        <v>5575</v>
      </c>
      <c r="BS406" s="0" t="s">
        <v>240</v>
      </c>
      <c r="BT406" s="0" t="s">
        <v>5650</v>
      </c>
      <c r="BU406" s="0" t="s">
        <v>6686</v>
      </c>
      <c r="BV406" s="0" t="s">
        <v>6686</v>
      </c>
      <c r="BW406" s="0" t="s">
        <v>5598</v>
      </c>
      <c r="BX406" s="0" t="s">
        <v>5598</v>
      </c>
      <c r="BY406" s="0" t="s">
        <v>5598</v>
      </c>
      <c r="BZ406" s="0" t="s">
        <v>5598</v>
      </c>
      <c r="CA406" s="0" t="s">
        <v>5598</v>
      </c>
      <c r="CB406" s="0" t="s">
        <v>240</v>
      </c>
      <c r="CC406" s="0" t="s">
        <v>240</v>
      </c>
      <c r="CD406" s="0" t="s">
        <v>240</v>
      </c>
      <c r="CE406" s="0" t="s">
        <v>240</v>
      </c>
      <c r="CF406" s="0" t="s">
        <v>240</v>
      </c>
      <c r="CG406" s="0" t="s">
        <v>5598</v>
      </c>
      <c r="CH406" s="0" t="s">
        <v>240</v>
      </c>
      <c r="CI406" s="0" t="s">
        <v>240</v>
      </c>
      <c r="CJ406" s="0" t="s">
        <v>240</v>
      </c>
      <c r="CK406" s="0" t="s">
        <v>240</v>
      </c>
      <c r="CL406" s="0" t="s">
        <v>240</v>
      </c>
      <c r="CM406" s="0" t="s">
        <v>6686</v>
      </c>
      <c r="CN406" s="0" t="s">
        <v>6686</v>
      </c>
      <c r="CO406" s="0" t="s">
        <v>240</v>
      </c>
      <c r="CP406" s="0" t="s">
        <v>240</v>
      </c>
      <c r="CQ406" s="0" t="s">
        <v>240</v>
      </c>
      <c r="CR406" s="0" t="s">
        <v>240</v>
      </c>
      <c r="CS406" s="0" t="s">
        <v>5578</v>
      </c>
      <c r="CT406" s="0" t="s">
        <v>5496</v>
      </c>
      <c r="CU406" s="0" t="s">
        <v>5497</v>
      </c>
      <c r="CV406" s="0" t="s">
        <v>443</v>
      </c>
      <c r="CW406" s="0" t="s">
        <v>5580</v>
      </c>
      <c r="CX406" s="0" t="s">
        <v>229</v>
      </c>
      <c r="CY406" s="0" t="s">
        <v>443</v>
      </c>
      <c r="CZ406" s="0" t="s">
        <v>5581</v>
      </c>
      <c r="DA406" s="0" t="s">
        <v>5582</v>
      </c>
      <c r="DB406" s="0" t="s">
        <v>5580</v>
      </c>
      <c r="DC406" s="0" t="s">
        <v>384</v>
      </c>
      <c r="DD406" s="0" t="s">
        <v>291</v>
      </c>
      <c r="DE406" s="0" t="s">
        <v>6687</v>
      </c>
    </row>
    <row customHeight="1" ht="11.25">
      <c r="A407" s="1441" t="s">
        <v>240</v>
      </c>
      <c r="B407" s="0" t="s">
        <v>240</v>
      </c>
      <c r="C407" s="0" t="s">
        <v>240</v>
      </c>
      <c r="D407" s="0" t="s">
        <v>240</v>
      </c>
      <c r="E407" s="0" t="s">
        <v>240</v>
      </c>
      <c r="F407" s="0" t="s">
        <v>240</v>
      </c>
      <c r="G407" s="0" t="s">
        <v>240</v>
      </c>
      <c r="H407" s="0" t="s">
        <v>240</v>
      </c>
      <c r="I407" s="0" t="s">
        <v>5484</v>
      </c>
      <c r="J407" s="0" t="s">
        <v>240</v>
      </c>
      <c r="K407" s="0" t="s">
        <v>240</v>
      </c>
      <c r="L407" s="0" t="s">
        <v>240</v>
      </c>
      <c r="M407" s="0" t="s">
        <v>240</v>
      </c>
      <c r="N407" s="0" t="s">
        <v>240</v>
      </c>
      <c r="O407" s="0" t="s">
        <v>240</v>
      </c>
      <c r="P407" s="0" t="s">
        <v>240</v>
      </c>
      <c r="Q407" s="0" t="s">
        <v>240</v>
      </c>
      <c r="R407" s="0" t="s">
        <v>5499</v>
      </c>
      <c r="S407" s="0" t="s">
        <v>240</v>
      </c>
      <c r="T407" s="0" t="s">
        <v>240</v>
      </c>
      <c r="U407" s="0" t="s">
        <v>102</v>
      </c>
      <c r="V407" s="0" t="s">
        <v>240</v>
      </c>
      <c r="W407" s="0" t="s">
        <v>240</v>
      </c>
      <c r="X407" s="0" t="s">
        <v>5485</v>
      </c>
      <c r="Y407" s="0" t="s">
        <v>240</v>
      </c>
      <c r="Z407" s="0" t="s">
        <v>161</v>
      </c>
      <c r="AA407" s="0" t="s">
        <v>152</v>
      </c>
      <c r="AB407" s="0" t="s">
        <v>152</v>
      </c>
      <c r="AC407" s="0" t="s">
        <v>2991</v>
      </c>
      <c r="AD407" s="0" t="s">
        <v>2991</v>
      </c>
      <c r="AE407" s="0" t="s">
        <v>2992</v>
      </c>
      <c r="AF407" s="0" t="s">
        <v>5540</v>
      </c>
      <c r="AG407" s="0" t="s">
        <v>5541</v>
      </c>
      <c r="AH407" s="0" t="s">
        <v>5542</v>
      </c>
      <c r="AI407" s="0" t="s">
        <v>5551</v>
      </c>
      <c r="AJ407" s="0" t="s">
        <v>5552</v>
      </c>
      <c r="AK407" s="0" t="s">
        <v>5544</v>
      </c>
      <c r="AL407" s="0" t="s">
        <v>5506</v>
      </c>
      <c r="AM407" s="0" t="s">
        <v>5493</v>
      </c>
      <c r="AN407" s="0" t="s">
        <v>5553</v>
      </c>
      <c r="AO407" s="0" t="s">
        <v>5554</v>
      </c>
      <c r="AP407" s="0" t="s">
        <v>240</v>
      </c>
      <c r="AQ407" s="0" t="s">
        <v>240</v>
      </c>
      <c r="AR407" s="0" t="s">
        <v>240</v>
      </c>
      <c r="AS407" s="0" t="s">
        <v>240</v>
      </c>
      <c r="AT407" s="0" t="s">
        <v>240</v>
      </c>
      <c r="AU407" s="0" t="s">
        <v>240</v>
      </c>
      <c r="AV407" s="0" t="s">
        <v>240</v>
      </c>
      <c r="AW407" s="0" t="s">
        <v>240</v>
      </c>
      <c r="AX407" s="0" t="s">
        <v>240</v>
      </c>
      <c r="AY407" s="0" t="s">
        <v>240</v>
      </c>
      <c r="AZ407" s="0" t="s">
        <v>240</v>
      </c>
      <c r="BA407" s="0" t="s">
        <v>240</v>
      </c>
      <c r="BB407" s="0" t="s">
        <v>240</v>
      </c>
      <c r="BC407" s="0" t="s">
        <v>240</v>
      </c>
      <c r="BD407" s="0" t="s">
        <v>240</v>
      </c>
      <c r="BE407" s="0" t="s">
        <v>240</v>
      </c>
      <c r="BF407" s="0" t="s">
        <v>240</v>
      </c>
      <c r="BG407" s="0" t="s">
        <v>240</v>
      </c>
      <c r="BH407" s="0" t="s">
        <v>240</v>
      </c>
      <c r="BI407" s="0" t="s">
        <v>240</v>
      </c>
      <c r="BJ407" s="0" t="s">
        <v>240</v>
      </c>
      <c r="BK407" s="0" t="s">
        <v>240</v>
      </c>
      <c r="BL407" s="0" t="s">
        <v>240</v>
      </c>
      <c r="BM407" s="0" t="s">
        <v>240</v>
      </c>
      <c r="BN407" s="0" t="s">
        <v>240</v>
      </c>
      <c r="BO407" s="0" t="s">
        <v>240</v>
      </c>
      <c r="BP407" s="0" t="s">
        <v>240</v>
      </c>
      <c r="BQ407" s="0" t="s">
        <v>240</v>
      </c>
      <c r="BR407" s="0" t="s">
        <v>240</v>
      </c>
      <c r="BS407" s="0" t="s">
        <v>240</v>
      </c>
      <c r="BT407" s="0" t="s">
        <v>240</v>
      </c>
      <c r="BU407" s="0" t="s">
        <v>240</v>
      </c>
      <c r="BV407" s="0" t="s">
        <v>240</v>
      </c>
      <c r="BW407" s="0" t="s">
        <v>240</v>
      </c>
      <c r="BX407" s="0" t="s">
        <v>240</v>
      </c>
      <c r="BY407" s="0" t="s">
        <v>240</v>
      </c>
      <c r="BZ407" s="0" t="s">
        <v>240</v>
      </c>
      <c r="CA407" s="0" t="s">
        <v>240</v>
      </c>
      <c r="CB407" s="0" t="s">
        <v>240</v>
      </c>
      <c r="CC407" s="0" t="s">
        <v>240</v>
      </c>
      <c r="CD407" s="0" t="s">
        <v>240</v>
      </c>
      <c r="CE407" s="0" t="s">
        <v>240</v>
      </c>
      <c r="CF407" s="0" t="s">
        <v>240</v>
      </c>
      <c r="CG407" s="0" t="s">
        <v>240</v>
      </c>
      <c r="CH407" s="0" t="s">
        <v>240</v>
      </c>
      <c r="CI407" s="0" t="s">
        <v>240</v>
      </c>
      <c r="CJ407" s="0" t="s">
        <v>240</v>
      </c>
      <c r="CK407" s="0" t="s">
        <v>240</v>
      </c>
      <c r="CL407" s="0" t="s">
        <v>240</v>
      </c>
      <c r="CM407" s="0" t="s">
        <v>240</v>
      </c>
      <c r="CN407" s="0" t="s">
        <v>240</v>
      </c>
      <c r="CO407" s="0" t="s">
        <v>240</v>
      </c>
      <c r="CP407" s="0" t="s">
        <v>240</v>
      </c>
      <c r="CQ407" s="0" t="s">
        <v>240</v>
      </c>
      <c r="CR407" s="0" t="s">
        <v>240</v>
      </c>
      <c r="CS407" s="0" t="s">
        <v>240</v>
      </c>
      <c r="CT407" s="0" t="s">
        <v>5496</v>
      </c>
      <c r="CU407" s="0" t="s">
        <v>5497</v>
      </c>
      <c r="CV407" s="0" t="s">
        <v>443</v>
      </c>
      <c r="CW407" s="0" t="s">
        <v>5547</v>
      </c>
      <c r="CX407" s="0" t="s">
        <v>229</v>
      </c>
      <c r="CY407" s="0" t="s">
        <v>443</v>
      </c>
      <c r="CZ407" s="0" t="s">
        <v>5548</v>
      </c>
      <c r="DA407" s="0" t="s">
        <v>5549</v>
      </c>
      <c r="DB407" s="0" t="s">
        <v>5547</v>
      </c>
      <c r="DC407" s="0" t="s">
        <v>384</v>
      </c>
      <c r="DD407" s="0" t="s">
        <v>291</v>
      </c>
      <c r="DE407" s="0" t="s">
        <v>5555</v>
      </c>
    </row>
    <row customHeight="1" ht="11.25">
      <c r="A408" s="1441" t="s">
        <v>240</v>
      </c>
      <c r="B408" s="0" t="s">
        <v>240</v>
      </c>
      <c r="C408" s="0" t="s">
        <v>240</v>
      </c>
      <c r="D408" s="0" t="s">
        <v>240</v>
      </c>
      <c r="E408" s="0" t="s">
        <v>240</v>
      </c>
      <c r="F408" s="0" t="s">
        <v>240</v>
      </c>
      <c r="G408" s="0" t="s">
        <v>240</v>
      </c>
      <c r="H408" s="0" t="s">
        <v>240</v>
      </c>
      <c r="I408" s="0" t="s">
        <v>5484</v>
      </c>
      <c r="J408" s="0" t="s">
        <v>240</v>
      </c>
      <c r="K408" s="0" t="s">
        <v>240</v>
      </c>
      <c r="L408" s="0" t="s">
        <v>240</v>
      </c>
      <c r="M408" s="0" t="s">
        <v>240</v>
      </c>
      <c r="N408" s="0" t="s">
        <v>240</v>
      </c>
      <c r="O408" s="0" t="s">
        <v>240</v>
      </c>
      <c r="P408" s="0" t="s">
        <v>240</v>
      </c>
      <c r="Q408" s="0" t="s">
        <v>240</v>
      </c>
      <c r="R408" s="0" t="s">
        <v>5572</v>
      </c>
      <c r="S408" s="0" t="s">
        <v>240</v>
      </c>
      <c r="T408" s="0" t="s">
        <v>240</v>
      </c>
      <c r="U408" s="0" t="s">
        <v>102</v>
      </c>
      <c r="V408" s="0" t="s">
        <v>240</v>
      </c>
      <c r="W408" s="0" t="s">
        <v>240</v>
      </c>
      <c r="X408" s="0" t="s">
        <v>5485</v>
      </c>
      <c r="Y408" s="0" t="s">
        <v>240</v>
      </c>
      <c r="Z408" s="0" t="s">
        <v>161</v>
      </c>
      <c r="AA408" s="0" t="s">
        <v>152</v>
      </c>
      <c r="AB408" s="0" t="s">
        <v>152</v>
      </c>
      <c r="AC408" s="0" t="s">
        <v>2991</v>
      </c>
      <c r="AD408" s="0" t="s">
        <v>2991</v>
      </c>
      <c r="AE408" s="0" t="s">
        <v>2992</v>
      </c>
      <c r="AF408" s="0" t="s">
        <v>5678</v>
      </c>
      <c r="AG408" s="0" t="s">
        <v>5679</v>
      </c>
      <c r="AH408" s="0" t="s">
        <v>5670</v>
      </c>
      <c r="AI408" s="0" t="s">
        <v>5612</v>
      </c>
      <c r="AJ408" s="0" t="s">
        <v>5504</v>
      </c>
      <c r="AK408" s="0" t="s">
        <v>5672</v>
      </c>
      <c r="AL408" s="0" t="s">
        <v>5506</v>
      </c>
      <c r="AM408" s="0" t="s">
        <v>5493</v>
      </c>
      <c r="AN408" s="0" t="s">
        <v>5545</v>
      </c>
      <c r="AO408" s="0" t="s">
        <v>5680</v>
      </c>
      <c r="AP408" s="0" t="s">
        <v>240</v>
      </c>
      <c r="AQ408" s="0" t="s">
        <v>240</v>
      </c>
      <c r="AR408" s="0" t="s">
        <v>240</v>
      </c>
      <c r="AS408" s="0" t="s">
        <v>240</v>
      </c>
      <c r="AT408" s="0" t="s">
        <v>240</v>
      </c>
      <c r="AU408" s="0" t="s">
        <v>240</v>
      </c>
      <c r="AV408" s="0" t="s">
        <v>240</v>
      </c>
      <c r="AW408" s="0" t="s">
        <v>240</v>
      </c>
      <c r="AX408" s="0" t="s">
        <v>240</v>
      </c>
      <c r="AY408" s="0" t="s">
        <v>240</v>
      </c>
      <c r="AZ408" s="0" t="s">
        <v>240</v>
      </c>
      <c r="BA408" s="0" t="s">
        <v>240</v>
      </c>
      <c r="BB408" s="0" t="s">
        <v>240</v>
      </c>
      <c r="BC408" s="0" t="s">
        <v>240</v>
      </c>
      <c r="BD408" s="0" t="s">
        <v>240</v>
      </c>
      <c r="BE408" s="0" t="s">
        <v>240</v>
      </c>
      <c r="BF408" s="0" t="s">
        <v>240</v>
      </c>
      <c r="BG408" s="0" t="s">
        <v>240</v>
      </c>
      <c r="BH408" s="0" t="s">
        <v>240</v>
      </c>
      <c r="BI408" s="0" t="s">
        <v>240</v>
      </c>
      <c r="BJ408" s="0" t="s">
        <v>240</v>
      </c>
      <c r="BK408" s="0" t="s">
        <v>240</v>
      </c>
      <c r="BL408" s="0" t="s">
        <v>240</v>
      </c>
      <c r="BM408" s="0" t="s">
        <v>240</v>
      </c>
      <c r="BN408" s="0" t="s">
        <v>240</v>
      </c>
      <c r="BO408" s="0" t="s">
        <v>240</v>
      </c>
      <c r="BP408" s="0" t="s">
        <v>240</v>
      </c>
      <c r="BQ408" s="0" t="s">
        <v>240</v>
      </c>
      <c r="BR408" s="0" t="s">
        <v>240</v>
      </c>
      <c r="BS408" s="0" t="s">
        <v>240</v>
      </c>
      <c r="BT408" s="0" t="s">
        <v>240</v>
      </c>
      <c r="BU408" s="0" t="s">
        <v>240</v>
      </c>
      <c r="BV408" s="0" t="s">
        <v>240</v>
      </c>
      <c r="BW408" s="0" t="s">
        <v>240</v>
      </c>
      <c r="BX408" s="0" t="s">
        <v>240</v>
      </c>
      <c r="BY408" s="0" t="s">
        <v>240</v>
      </c>
      <c r="BZ408" s="0" t="s">
        <v>240</v>
      </c>
      <c r="CA408" s="0" t="s">
        <v>240</v>
      </c>
      <c r="CB408" s="0" t="s">
        <v>240</v>
      </c>
      <c r="CC408" s="0" t="s">
        <v>240</v>
      </c>
      <c r="CD408" s="0" t="s">
        <v>240</v>
      </c>
      <c r="CE408" s="0" t="s">
        <v>240</v>
      </c>
      <c r="CF408" s="0" t="s">
        <v>240</v>
      </c>
      <c r="CG408" s="0" t="s">
        <v>240</v>
      </c>
      <c r="CH408" s="0" t="s">
        <v>240</v>
      </c>
      <c r="CI408" s="0" t="s">
        <v>240</v>
      </c>
      <c r="CJ408" s="0" t="s">
        <v>240</v>
      </c>
      <c r="CK408" s="0" t="s">
        <v>240</v>
      </c>
      <c r="CL408" s="0" t="s">
        <v>240</v>
      </c>
      <c r="CM408" s="0" t="s">
        <v>240</v>
      </c>
      <c r="CN408" s="0" t="s">
        <v>240</v>
      </c>
      <c r="CO408" s="0" t="s">
        <v>240</v>
      </c>
      <c r="CP408" s="0" t="s">
        <v>240</v>
      </c>
      <c r="CQ408" s="0" t="s">
        <v>240</v>
      </c>
      <c r="CR408" s="0" t="s">
        <v>240</v>
      </c>
      <c r="CS408" s="0" t="s">
        <v>240</v>
      </c>
      <c r="CT408" s="0" t="s">
        <v>5496</v>
      </c>
      <c r="CU408" s="0" t="s">
        <v>5497</v>
      </c>
      <c r="CV408" s="0" t="s">
        <v>443</v>
      </c>
      <c r="CW408" s="0" t="s">
        <v>5547</v>
      </c>
      <c r="CX408" s="0" t="s">
        <v>229</v>
      </c>
      <c r="CY408" s="0" t="s">
        <v>443</v>
      </c>
      <c r="CZ408" s="0" t="s">
        <v>5548</v>
      </c>
      <c r="DA408" s="0" t="s">
        <v>5549</v>
      </c>
      <c r="DB408" s="0" t="s">
        <v>5547</v>
      </c>
      <c r="DC408" s="0" t="s">
        <v>384</v>
      </c>
      <c r="DD408" s="0" t="s">
        <v>291</v>
      </c>
      <c r="DE408" s="0" t="s">
        <v>5681</v>
      </c>
    </row>
    <row customHeight="1" ht="11.25">
      <c r="A409" s="1441" t="s">
        <v>240</v>
      </c>
      <c r="B409" s="0" t="s">
        <v>240</v>
      </c>
      <c r="C409" s="0" t="s">
        <v>240</v>
      </c>
      <c r="D409" s="0" t="s">
        <v>240</v>
      </c>
      <c r="E409" s="0" t="s">
        <v>240</v>
      </c>
      <c r="F409" s="0" t="s">
        <v>240</v>
      </c>
      <c r="G409" s="0" t="s">
        <v>240</v>
      </c>
      <c r="H409" s="0" t="s">
        <v>240</v>
      </c>
      <c r="I409" s="0" t="s">
        <v>5484</v>
      </c>
      <c r="J409" s="0" t="s">
        <v>240</v>
      </c>
      <c r="K409" s="0" t="s">
        <v>240</v>
      </c>
      <c r="L409" s="0" t="s">
        <v>240</v>
      </c>
      <c r="M409" s="0" t="s">
        <v>240</v>
      </c>
      <c r="N409" s="0" t="s">
        <v>240</v>
      </c>
      <c r="O409" s="0" t="s">
        <v>240</v>
      </c>
      <c r="P409" s="0" t="s">
        <v>240</v>
      </c>
      <c r="Q409" s="0" t="s">
        <v>240</v>
      </c>
      <c r="R409" s="0" t="s">
        <v>6001</v>
      </c>
      <c r="S409" s="0" t="s">
        <v>240</v>
      </c>
      <c r="T409" s="0" t="s">
        <v>240</v>
      </c>
      <c r="U409" s="0" t="s">
        <v>102</v>
      </c>
      <c r="V409" s="0" t="s">
        <v>240</v>
      </c>
      <c r="W409" s="0" t="s">
        <v>240</v>
      </c>
      <c r="X409" s="0" t="s">
        <v>5585</v>
      </c>
      <c r="Y409" s="0" t="s">
        <v>240</v>
      </c>
      <c r="Z409" s="0" t="s">
        <v>152</v>
      </c>
      <c r="AA409" s="0" t="s">
        <v>152</v>
      </c>
      <c r="AB409" s="0" t="s">
        <v>161</v>
      </c>
      <c r="AC409" s="0" t="s">
        <v>2991</v>
      </c>
      <c r="AD409" s="0" t="s">
        <v>2991</v>
      </c>
      <c r="AE409" s="0" t="s">
        <v>2992</v>
      </c>
      <c r="AF409" s="0" t="s">
        <v>5678</v>
      </c>
      <c r="AG409" s="0" t="s">
        <v>5679</v>
      </c>
      <c r="AH409" s="0" t="s">
        <v>5575</v>
      </c>
      <c r="AI409" s="0" t="s">
        <v>5575</v>
      </c>
      <c r="AJ409" s="0" t="s">
        <v>240</v>
      </c>
      <c r="AK409" s="0" t="s">
        <v>240</v>
      </c>
      <c r="AL409" s="0" t="s">
        <v>240</v>
      </c>
      <c r="AM409" s="0" t="s">
        <v>240</v>
      </c>
      <c r="AN409" s="0" t="s">
        <v>240</v>
      </c>
      <c r="AO409" s="0" t="s">
        <v>240</v>
      </c>
      <c r="AP409" s="0" t="s">
        <v>240</v>
      </c>
      <c r="AQ409" s="0" t="s">
        <v>240</v>
      </c>
      <c r="AR409" s="0" t="s">
        <v>240</v>
      </c>
      <c r="AS409" s="0" t="s">
        <v>240</v>
      </c>
      <c r="AT409" s="0" t="s">
        <v>240</v>
      </c>
      <c r="AU409" s="0" t="s">
        <v>240</v>
      </c>
      <c r="AV409" s="0" t="s">
        <v>240</v>
      </c>
      <c r="AW409" s="0" t="s">
        <v>240</v>
      </c>
      <c r="AX409" s="0" t="s">
        <v>240</v>
      </c>
      <c r="AY409" s="0" t="s">
        <v>240</v>
      </c>
      <c r="AZ409" s="0" t="s">
        <v>240</v>
      </c>
      <c r="BA409" s="0" t="s">
        <v>240</v>
      </c>
      <c r="BB409" s="0" t="s">
        <v>240</v>
      </c>
      <c r="BC409" s="0" t="s">
        <v>240</v>
      </c>
      <c r="BD409" s="0" t="s">
        <v>240</v>
      </c>
      <c r="BE409" s="0" t="s">
        <v>5552</v>
      </c>
      <c r="BF409" s="0" t="s">
        <v>5544</v>
      </c>
      <c r="BG409" s="0" t="s">
        <v>112</v>
      </c>
      <c r="BH409" s="0" t="s">
        <v>5589</v>
      </c>
      <c r="BI409" s="0" t="s">
        <v>123</v>
      </c>
      <c r="BJ409" s="0" t="s">
        <v>240</v>
      </c>
      <c r="BK409" s="0" t="s">
        <v>5608</v>
      </c>
      <c r="BL409" s="0" t="s">
        <v>2991</v>
      </c>
      <c r="BM409" s="0" t="s">
        <v>2991</v>
      </c>
      <c r="BN409" s="0" t="s">
        <v>5663</v>
      </c>
      <c r="BO409" s="0" t="s">
        <v>5678</v>
      </c>
      <c r="BP409" s="0" t="s">
        <v>6002</v>
      </c>
      <c r="BQ409" s="0" t="s">
        <v>5575</v>
      </c>
      <c r="BR409" s="0" t="s">
        <v>5575</v>
      </c>
      <c r="BS409" s="0" t="s">
        <v>240</v>
      </c>
      <c r="BT409" s="0" t="s">
        <v>5650</v>
      </c>
      <c r="BU409" s="0" t="s">
        <v>6003</v>
      </c>
      <c r="BV409" s="0" t="s">
        <v>6003</v>
      </c>
      <c r="BW409" s="0" t="s">
        <v>5598</v>
      </c>
      <c r="BX409" s="0" t="s">
        <v>5598</v>
      </c>
      <c r="BY409" s="0" t="s">
        <v>5598</v>
      </c>
      <c r="BZ409" s="0" t="s">
        <v>5598</v>
      </c>
      <c r="CA409" s="0" t="s">
        <v>5598</v>
      </c>
      <c r="CB409" s="0" t="s">
        <v>240</v>
      </c>
      <c r="CC409" s="0" t="s">
        <v>240</v>
      </c>
      <c r="CD409" s="0" t="s">
        <v>240</v>
      </c>
      <c r="CE409" s="0" t="s">
        <v>240</v>
      </c>
      <c r="CF409" s="0" t="s">
        <v>240</v>
      </c>
      <c r="CG409" s="0" t="s">
        <v>5598</v>
      </c>
      <c r="CH409" s="0" t="s">
        <v>240</v>
      </c>
      <c r="CI409" s="0" t="s">
        <v>240</v>
      </c>
      <c r="CJ409" s="0" t="s">
        <v>240</v>
      </c>
      <c r="CK409" s="0" t="s">
        <v>240</v>
      </c>
      <c r="CL409" s="0" t="s">
        <v>240</v>
      </c>
      <c r="CM409" s="0" t="s">
        <v>6003</v>
      </c>
      <c r="CN409" s="0" t="s">
        <v>6003</v>
      </c>
      <c r="CO409" s="0" t="s">
        <v>240</v>
      </c>
      <c r="CP409" s="0" t="s">
        <v>240</v>
      </c>
      <c r="CQ409" s="0" t="s">
        <v>240</v>
      </c>
      <c r="CR409" s="0" t="s">
        <v>240</v>
      </c>
      <c r="CS409" s="0" t="s">
        <v>5666</v>
      </c>
      <c r="CT409" s="0" t="s">
        <v>5496</v>
      </c>
      <c r="CU409" s="0" t="s">
        <v>5497</v>
      </c>
      <c r="CV409" s="0" t="s">
        <v>443</v>
      </c>
      <c r="CW409" s="0" t="s">
        <v>5547</v>
      </c>
      <c r="CX409" s="0" t="s">
        <v>229</v>
      </c>
      <c r="CY409" s="0" t="s">
        <v>443</v>
      </c>
      <c r="CZ409" s="0" t="s">
        <v>5548</v>
      </c>
      <c r="DA409" s="0" t="s">
        <v>5549</v>
      </c>
      <c r="DB409" s="0" t="s">
        <v>5547</v>
      </c>
      <c r="DC409" s="0" t="s">
        <v>384</v>
      </c>
      <c r="DD409" s="0" t="s">
        <v>291</v>
      </c>
      <c r="DE409" s="0" t="s">
        <v>6004</v>
      </c>
    </row>
    <row customHeight="1" ht="11.25">
      <c r="A410" s="1441" t="s">
        <v>240</v>
      </c>
      <c r="B410" s="0" t="s">
        <v>240</v>
      </c>
      <c r="C410" s="0" t="s">
        <v>240</v>
      </c>
      <c r="D410" s="0" t="s">
        <v>240</v>
      </c>
      <c r="E410" s="0" t="s">
        <v>240</v>
      </c>
      <c r="F410" s="0" t="s">
        <v>240</v>
      </c>
      <c r="G410" s="0" t="s">
        <v>240</v>
      </c>
      <c r="H410" s="0" t="s">
        <v>240</v>
      </c>
      <c r="I410" s="0" t="s">
        <v>5484</v>
      </c>
      <c r="J410" s="0" t="s">
        <v>240</v>
      </c>
      <c r="K410" s="0" t="s">
        <v>240</v>
      </c>
      <c r="L410" s="0" t="s">
        <v>240</v>
      </c>
      <c r="M410" s="0" t="s">
        <v>240</v>
      </c>
      <c r="N410" s="0" t="s">
        <v>240</v>
      </c>
      <c r="O410" s="0" t="s">
        <v>240</v>
      </c>
      <c r="P410" s="0" t="s">
        <v>240</v>
      </c>
      <c r="Q410" s="0" t="s">
        <v>240</v>
      </c>
      <c r="R410" s="0" t="s">
        <v>5572</v>
      </c>
      <c r="S410" s="0" t="s">
        <v>240</v>
      </c>
      <c r="T410" s="0" t="s">
        <v>240</v>
      </c>
      <c r="U410" s="0" t="s">
        <v>102</v>
      </c>
      <c r="V410" s="0" t="s">
        <v>240</v>
      </c>
      <c r="W410" s="0" t="s">
        <v>240</v>
      </c>
      <c r="X410" s="0" t="s">
        <v>5485</v>
      </c>
      <c r="Y410" s="0" t="s">
        <v>240</v>
      </c>
      <c r="Z410" s="0" t="s">
        <v>161</v>
      </c>
      <c r="AA410" s="0" t="s">
        <v>152</v>
      </c>
      <c r="AB410" s="0" t="s">
        <v>152</v>
      </c>
      <c r="AC410" s="0" t="s">
        <v>2991</v>
      </c>
      <c r="AD410" s="0" t="s">
        <v>2991</v>
      </c>
      <c r="AE410" s="0" t="s">
        <v>2992</v>
      </c>
      <c r="AF410" s="0" t="s">
        <v>6005</v>
      </c>
      <c r="AG410" s="0" t="s">
        <v>6006</v>
      </c>
      <c r="AH410" s="0" t="s">
        <v>6007</v>
      </c>
      <c r="AI410" s="0" t="s">
        <v>5551</v>
      </c>
      <c r="AJ410" s="0" t="s">
        <v>5504</v>
      </c>
      <c r="AK410" s="0" t="s">
        <v>5672</v>
      </c>
      <c r="AL410" s="0" t="s">
        <v>5506</v>
      </c>
      <c r="AM410" s="0" t="s">
        <v>5493</v>
      </c>
      <c r="AN410" s="0" t="s">
        <v>5545</v>
      </c>
      <c r="AO410" s="0" t="s">
        <v>5636</v>
      </c>
      <c r="AP410" s="0" t="s">
        <v>240</v>
      </c>
      <c r="AQ410" s="0" t="s">
        <v>240</v>
      </c>
      <c r="AR410" s="0" t="s">
        <v>240</v>
      </c>
      <c r="AS410" s="0" t="s">
        <v>240</v>
      </c>
      <c r="AT410" s="0" t="s">
        <v>240</v>
      </c>
      <c r="AU410" s="0" t="s">
        <v>240</v>
      </c>
      <c r="AV410" s="0" t="s">
        <v>240</v>
      </c>
      <c r="AW410" s="0" t="s">
        <v>240</v>
      </c>
      <c r="AX410" s="0" t="s">
        <v>240</v>
      </c>
      <c r="AY410" s="0" t="s">
        <v>240</v>
      </c>
      <c r="AZ410" s="0" t="s">
        <v>240</v>
      </c>
      <c r="BA410" s="0" t="s">
        <v>240</v>
      </c>
      <c r="BB410" s="0" t="s">
        <v>240</v>
      </c>
      <c r="BC410" s="0" t="s">
        <v>240</v>
      </c>
      <c r="BD410" s="0" t="s">
        <v>240</v>
      </c>
      <c r="BE410" s="0" t="s">
        <v>240</v>
      </c>
      <c r="BF410" s="0" t="s">
        <v>240</v>
      </c>
      <c r="BG410" s="0" t="s">
        <v>240</v>
      </c>
      <c r="BH410" s="0" t="s">
        <v>240</v>
      </c>
      <c r="BI410" s="0" t="s">
        <v>240</v>
      </c>
      <c r="BJ410" s="0" t="s">
        <v>240</v>
      </c>
      <c r="BK410" s="0" t="s">
        <v>240</v>
      </c>
      <c r="BL410" s="0" t="s">
        <v>240</v>
      </c>
      <c r="BM410" s="0" t="s">
        <v>240</v>
      </c>
      <c r="BN410" s="0" t="s">
        <v>240</v>
      </c>
      <c r="BO410" s="0" t="s">
        <v>240</v>
      </c>
      <c r="BP410" s="0" t="s">
        <v>240</v>
      </c>
      <c r="BQ410" s="0" t="s">
        <v>240</v>
      </c>
      <c r="BR410" s="0" t="s">
        <v>240</v>
      </c>
      <c r="BS410" s="0" t="s">
        <v>240</v>
      </c>
      <c r="BT410" s="0" t="s">
        <v>240</v>
      </c>
      <c r="BU410" s="0" t="s">
        <v>240</v>
      </c>
      <c r="BV410" s="0" t="s">
        <v>240</v>
      </c>
      <c r="BW410" s="0" t="s">
        <v>240</v>
      </c>
      <c r="BX410" s="0" t="s">
        <v>240</v>
      </c>
      <c r="BY410" s="0" t="s">
        <v>240</v>
      </c>
      <c r="BZ410" s="0" t="s">
        <v>240</v>
      </c>
      <c r="CA410" s="0" t="s">
        <v>240</v>
      </c>
      <c r="CB410" s="0" t="s">
        <v>240</v>
      </c>
      <c r="CC410" s="0" t="s">
        <v>240</v>
      </c>
      <c r="CD410" s="0" t="s">
        <v>240</v>
      </c>
      <c r="CE410" s="0" t="s">
        <v>240</v>
      </c>
      <c r="CF410" s="0" t="s">
        <v>240</v>
      </c>
      <c r="CG410" s="0" t="s">
        <v>240</v>
      </c>
      <c r="CH410" s="0" t="s">
        <v>240</v>
      </c>
      <c r="CI410" s="0" t="s">
        <v>240</v>
      </c>
      <c r="CJ410" s="0" t="s">
        <v>240</v>
      </c>
      <c r="CK410" s="0" t="s">
        <v>240</v>
      </c>
      <c r="CL410" s="0" t="s">
        <v>240</v>
      </c>
      <c r="CM410" s="0" t="s">
        <v>240</v>
      </c>
      <c r="CN410" s="0" t="s">
        <v>240</v>
      </c>
      <c r="CO410" s="0" t="s">
        <v>240</v>
      </c>
      <c r="CP410" s="0" t="s">
        <v>240</v>
      </c>
      <c r="CQ410" s="0" t="s">
        <v>240</v>
      </c>
      <c r="CR410" s="0" t="s">
        <v>240</v>
      </c>
      <c r="CS410" s="0" t="s">
        <v>240</v>
      </c>
      <c r="CT410" s="0" t="s">
        <v>5496</v>
      </c>
      <c r="CU410" s="0" t="s">
        <v>5497</v>
      </c>
      <c r="CV410" s="0" t="s">
        <v>443</v>
      </c>
      <c r="CW410" s="0" t="s">
        <v>5547</v>
      </c>
      <c r="CX410" s="0" t="s">
        <v>229</v>
      </c>
      <c r="CY410" s="0" t="s">
        <v>443</v>
      </c>
      <c r="CZ410" s="0" t="s">
        <v>5548</v>
      </c>
      <c r="DA410" s="0" t="s">
        <v>5549</v>
      </c>
      <c r="DB410" s="0" t="s">
        <v>5547</v>
      </c>
      <c r="DC410" s="0" t="s">
        <v>384</v>
      </c>
      <c r="DD410" s="0" t="s">
        <v>291</v>
      </c>
      <c r="DE410" s="0" t="s">
        <v>6008</v>
      </c>
    </row>
    <row customHeight="1" ht="11.25">
      <c r="A411" s="1441" t="s">
        <v>240</v>
      </c>
      <c r="B411" s="0" t="s">
        <v>240</v>
      </c>
      <c r="C411" s="0" t="s">
        <v>240</v>
      </c>
      <c r="D411" s="0" t="s">
        <v>240</v>
      </c>
      <c r="E411" s="0" t="s">
        <v>240</v>
      </c>
      <c r="F411" s="0" t="s">
        <v>240</v>
      </c>
      <c r="G411" s="0" t="s">
        <v>240</v>
      </c>
      <c r="H411" s="0" t="s">
        <v>240</v>
      </c>
      <c r="I411" s="0" t="s">
        <v>5484</v>
      </c>
      <c r="J411" s="0" t="s">
        <v>240</v>
      </c>
      <c r="K411" s="0" t="s">
        <v>240</v>
      </c>
      <c r="L411" s="0" t="s">
        <v>240</v>
      </c>
      <c r="M411" s="0" t="s">
        <v>240</v>
      </c>
      <c r="N411" s="0" t="s">
        <v>240</v>
      </c>
      <c r="O411" s="0" t="s">
        <v>240</v>
      </c>
      <c r="P411" s="0" t="s">
        <v>240</v>
      </c>
      <c r="Q411" s="0" t="s">
        <v>240</v>
      </c>
      <c r="R411" s="0" t="s">
        <v>5789</v>
      </c>
      <c r="S411" s="0" t="s">
        <v>240</v>
      </c>
      <c r="T411" s="0" t="s">
        <v>240</v>
      </c>
      <c r="U411" s="0" t="s">
        <v>102</v>
      </c>
      <c r="V411" s="0" t="s">
        <v>240</v>
      </c>
      <c r="W411" s="0" t="s">
        <v>240</v>
      </c>
      <c r="X411" s="0" t="s">
        <v>5485</v>
      </c>
      <c r="Y411" s="0" t="s">
        <v>240</v>
      </c>
      <c r="Z411" s="0" t="s">
        <v>161</v>
      </c>
      <c r="AA411" s="0" t="s">
        <v>152</v>
      </c>
      <c r="AB411" s="0" t="s">
        <v>152</v>
      </c>
      <c r="AC411" s="0" t="s">
        <v>2991</v>
      </c>
      <c r="AD411" s="0" t="s">
        <v>2991</v>
      </c>
      <c r="AE411" s="0" t="s">
        <v>2992</v>
      </c>
      <c r="AF411" s="0" t="s">
        <v>5691</v>
      </c>
      <c r="AG411" s="0" t="s">
        <v>5692</v>
      </c>
      <c r="AH411" s="0" t="s">
        <v>5790</v>
      </c>
      <c r="AI411" s="0" t="s">
        <v>5694</v>
      </c>
      <c r="AJ411" s="0" t="s">
        <v>5504</v>
      </c>
      <c r="AK411" s="0" t="s">
        <v>5731</v>
      </c>
      <c r="AL411" s="0" t="s">
        <v>5506</v>
      </c>
      <c r="AM411" s="0" t="s">
        <v>5493</v>
      </c>
      <c r="AN411" s="0" t="s">
        <v>5553</v>
      </c>
      <c r="AO411" s="0" t="s">
        <v>5791</v>
      </c>
      <c r="AP411" s="0" t="s">
        <v>240</v>
      </c>
      <c r="AQ411" s="0" t="s">
        <v>240</v>
      </c>
      <c r="AR411" s="0" t="s">
        <v>240</v>
      </c>
      <c r="AS411" s="0" t="s">
        <v>240</v>
      </c>
      <c r="AT411" s="0" t="s">
        <v>240</v>
      </c>
      <c r="AU411" s="0" t="s">
        <v>240</v>
      </c>
      <c r="AV411" s="0" t="s">
        <v>240</v>
      </c>
      <c r="AW411" s="0" t="s">
        <v>240</v>
      </c>
      <c r="AX411" s="0" t="s">
        <v>240</v>
      </c>
      <c r="AY411" s="0" t="s">
        <v>240</v>
      </c>
      <c r="AZ411" s="0" t="s">
        <v>240</v>
      </c>
      <c r="BA411" s="0" t="s">
        <v>240</v>
      </c>
      <c r="BB411" s="0" t="s">
        <v>240</v>
      </c>
      <c r="BC411" s="0" t="s">
        <v>240</v>
      </c>
      <c r="BD411" s="0" t="s">
        <v>240</v>
      </c>
      <c r="BE411" s="0" t="s">
        <v>240</v>
      </c>
      <c r="BF411" s="0" t="s">
        <v>240</v>
      </c>
      <c r="BG411" s="0" t="s">
        <v>240</v>
      </c>
      <c r="BH411" s="0" t="s">
        <v>240</v>
      </c>
      <c r="BI411" s="0" t="s">
        <v>240</v>
      </c>
      <c r="BJ411" s="0" t="s">
        <v>240</v>
      </c>
      <c r="BK411" s="0" t="s">
        <v>240</v>
      </c>
      <c r="BL411" s="0" t="s">
        <v>240</v>
      </c>
      <c r="BM411" s="0" t="s">
        <v>240</v>
      </c>
      <c r="BN411" s="0" t="s">
        <v>240</v>
      </c>
      <c r="BO411" s="0" t="s">
        <v>240</v>
      </c>
      <c r="BP411" s="0" t="s">
        <v>240</v>
      </c>
      <c r="BQ411" s="0" t="s">
        <v>240</v>
      </c>
      <c r="BR411" s="0" t="s">
        <v>240</v>
      </c>
      <c r="BS411" s="0" t="s">
        <v>240</v>
      </c>
      <c r="BT411" s="0" t="s">
        <v>240</v>
      </c>
      <c r="BU411" s="0" t="s">
        <v>240</v>
      </c>
      <c r="BV411" s="0" t="s">
        <v>240</v>
      </c>
      <c r="BW411" s="0" t="s">
        <v>240</v>
      </c>
      <c r="BX411" s="0" t="s">
        <v>240</v>
      </c>
      <c r="BY411" s="0" t="s">
        <v>240</v>
      </c>
      <c r="BZ411" s="0" t="s">
        <v>240</v>
      </c>
      <c r="CA411" s="0" t="s">
        <v>240</v>
      </c>
      <c r="CB411" s="0" t="s">
        <v>240</v>
      </c>
      <c r="CC411" s="0" t="s">
        <v>240</v>
      </c>
      <c r="CD411" s="0" t="s">
        <v>240</v>
      </c>
      <c r="CE411" s="0" t="s">
        <v>240</v>
      </c>
      <c r="CF411" s="0" t="s">
        <v>240</v>
      </c>
      <c r="CG411" s="0" t="s">
        <v>240</v>
      </c>
      <c r="CH411" s="0" t="s">
        <v>240</v>
      </c>
      <c r="CI411" s="0" t="s">
        <v>240</v>
      </c>
      <c r="CJ411" s="0" t="s">
        <v>240</v>
      </c>
      <c r="CK411" s="0" t="s">
        <v>240</v>
      </c>
      <c r="CL411" s="0" t="s">
        <v>240</v>
      </c>
      <c r="CM411" s="0" t="s">
        <v>240</v>
      </c>
      <c r="CN411" s="0" t="s">
        <v>240</v>
      </c>
      <c r="CO411" s="0" t="s">
        <v>240</v>
      </c>
      <c r="CP411" s="0" t="s">
        <v>240</v>
      </c>
      <c r="CQ411" s="0" t="s">
        <v>240</v>
      </c>
      <c r="CR411" s="0" t="s">
        <v>240</v>
      </c>
      <c r="CS411" s="0" t="s">
        <v>240</v>
      </c>
      <c r="CT411" s="0" t="s">
        <v>5496</v>
      </c>
      <c r="CU411" s="0" t="s">
        <v>5497</v>
      </c>
      <c r="CV411" s="0" t="s">
        <v>443</v>
      </c>
      <c r="CW411" s="0" t="s">
        <v>5547</v>
      </c>
      <c r="CX411" s="0" t="s">
        <v>229</v>
      </c>
      <c r="CY411" s="0" t="s">
        <v>443</v>
      </c>
      <c r="CZ411" s="0" t="s">
        <v>5548</v>
      </c>
      <c r="DA411" s="0" t="s">
        <v>5549</v>
      </c>
      <c r="DB411" s="0" t="s">
        <v>5547</v>
      </c>
      <c r="DC411" s="0" t="s">
        <v>384</v>
      </c>
      <c r="DD411" s="0" t="s">
        <v>291</v>
      </c>
      <c r="DE411" s="0" t="s">
        <v>5792</v>
      </c>
    </row>
    <row customHeight="1" ht="11.25">
      <c r="A412" s="1441" t="s">
        <v>240</v>
      </c>
      <c r="B412" s="0" t="s">
        <v>240</v>
      </c>
      <c r="C412" s="0" t="s">
        <v>240</v>
      </c>
      <c r="D412" s="0" t="s">
        <v>240</v>
      </c>
      <c r="E412" s="0" t="s">
        <v>240</v>
      </c>
      <c r="F412" s="0" t="s">
        <v>240</v>
      </c>
      <c r="G412" s="0" t="s">
        <v>240</v>
      </c>
      <c r="H412" s="0" t="s">
        <v>240</v>
      </c>
      <c r="I412" s="0" t="s">
        <v>5484</v>
      </c>
      <c r="J412" s="0" t="s">
        <v>240</v>
      </c>
      <c r="K412" s="0" t="s">
        <v>240</v>
      </c>
      <c r="L412" s="0" t="s">
        <v>240</v>
      </c>
      <c r="M412" s="0" t="s">
        <v>240</v>
      </c>
      <c r="N412" s="0" t="s">
        <v>240</v>
      </c>
      <c r="O412" s="0" t="s">
        <v>240</v>
      </c>
      <c r="P412" s="0" t="s">
        <v>240</v>
      </c>
      <c r="Q412" s="0" t="s">
        <v>240</v>
      </c>
      <c r="R412" s="0" t="s">
        <v>6009</v>
      </c>
      <c r="S412" s="0" t="s">
        <v>240</v>
      </c>
      <c r="T412" s="0" t="s">
        <v>240</v>
      </c>
      <c r="U412" s="0" t="s">
        <v>102</v>
      </c>
      <c r="V412" s="0" t="s">
        <v>240</v>
      </c>
      <c r="W412" s="0" t="s">
        <v>240</v>
      </c>
      <c r="X412" s="0" t="s">
        <v>5485</v>
      </c>
      <c r="Y412" s="0" t="s">
        <v>240</v>
      </c>
      <c r="Z412" s="0" t="s">
        <v>161</v>
      </c>
      <c r="AA412" s="0" t="s">
        <v>152</v>
      </c>
      <c r="AB412" s="0" t="s">
        <v>152</v>
      </c>
      <c r="AC412" s="0" t="s">
        <v>2991</v>
      </c>
      <c r="AD412" s="0" t="s">
        <v>2991</v>
      </c>
      <c r="AE412" s="0" t="s">
        <v>2992</v>
      </c>
      <c r="AF412" s="0" t="s">
        <v>5691</v>
      </c>
      <c r="AG412" s="0" t="s">
        <v>5692</v>
      </c>
      <c r="AH412" s="0" t="s">
        <v>6010</v>
      </c>
      <c r="AI412" s="0" t="s">
        <v>6011</v>
      </c>
      <c r="AJ412" s="0" t="s">
        <v>5576</v>
      </c>
      <c r="AK412" s="0" t="s">
        <v>5672</v>
      </c>
      <c r="AL412" s="0" t="s">
        <v>5506</v>
      </c>
      <c r="AM412" s="0" t="s">
        <v>5493</v>
      </c>
      <c r="AN412" s="0" t="s">
        <v>5545</v>
      </c>
      <c r="AO412" s="0" t="s">
        <v>5695</v>
      </c>
      <c r="AP412" s="0" t="s">
        <v>240</v>
      </c>
      <c r="AQ412" s="0" t="s">
        <v>240</v>
      </c>
      <c r="AR412" s="0" t="s">
        <v>240</v>
      </c>
      <c r="AS412" s="0" t="s">
        <v>240</v>
      </c>
      <c r="AT412" s="0" t="s">
        <v>240</v>
      </c>
      <c r="AU412" s="0" t="s">
        <v>240</v>
      </c>
      <c r="AV412" s="0" t="s">
        <v>240</v>
      </c>
      <c r="AW412" s="0" t="s">
        <v>240</v>
      </c>
      <c r="AX412" s="0" t="s">
        <v>240</v>
      </c>
      <c r="AY412" s="0" t="s">
        <v>240</v>
      </c>
      <c r="AZ412" s="0" t="s">
        <v>240</v>
      </c>
      <c r="BA412" s="0" t="s">
        <v>240</v>
      </c>
      <c r="BB412" s="0" t="s">
        <v>240</v>
      </c>
      <c r="BC412" s="0" t="s">
        <v>240</v>
      </c>
      <c r="BD412" s="0" t="s">
        <v>240</v>
      </c>
      <c r="BE412" s="0" t="s">
        <v>240</v>
      </c>
      <c r="BF412" s="0" t="s">
        <v>240</v>
      </c>
      <c r="BG412" s="0" t="s">
        <v>240</v>
      </c>
      <c r="BH412" s="0" t="s">
        <v>240</v>
      </c>
      <c r="BI412" s="0" t="s">
        <v>240</v>
      </c>
      <c r="BJ412" s="0" t="s">
        <v>240</v>
      </c>
      <c r="BK412" s="0" t="s">
        <v>240</v>
      </c>
      <c r="BL412" s="0" t="s">
        <v>240</v>
      </c>
      <c r="BM412" s="0" t="s">
        <v>240</v>
      </c>
      <c r="BN412" s="0" t="s">
        <v>240</v>
      </c>
      <c r="BO412" s="0" t="s">
        <v>240</v>
      </c>
      <c r="BP412" s="0" t="s">
        <v>240</v>
      </c>
      <c r="BQ412" s="0" t="s">
        <v>240</v>
      </c>
      <c r="BR412" s="0" t="s">
        <v>240</v>
      </c>
      <c r="BS412" s="0" t="s">
        <v>240</v>
      </c>
      <c r="BT412" s="0" t="s">
        <v>240</v>
      </c>
      <c r="BU412" s="0" t="s">
        <v>240</v>
      </c>
      <c r="BV412" s="0" t="s">
        <v>240</v>
      </c>
      <c r="BW412" s="0" t="s">
        <v>240</v>
      </c>
      <c r="BX412" s="0" t="s">
        <v>240</v>
      </c>
      <c r="BY412" s="0" t="s">
        <v>240</v>
      </c>
      <c r="BZ412" s="0" t="s">
        <v>240</v>
      </c>
      <c r="CA412" s="0" t="s">
        <v>240</v>
      </c>
      <c r="CB412" s="0" t="s">
        <v>240</v>
      </c>
      <c r="CC412" s="0" t="s">
        <v>240</v>
      </c>
      <c r="CD412" s="0" t="s">
        <v>240</v>
      </c>
      <c r="CE412" s="0" t="s">
        <v>240</v>
      </c>
      <c r="CF412" s="0" t="s">
        <v>240</v>
      </c>
      <c r="CG412" s="0" t="s">
        <v>240</v>
      </c>
      <c r="CH412" s="0" t="s">
        <v>240</v>
      </c>
      <c r="CI412" s="0" t="s">
        <v>240</v>
      </c>
      <c r="CJ412" s="0" t="s">
        <v>240</v>
      </c>
      <c r="CK412" s="0" t="s">
        <v>240</v>
      </c>
      <c r="CL412" s="0" t="s">
        <v>240</v>
      </c>
      <c r="CM412" s="0" t="s">
        <v>240</v>
      </c>
      <c r="CN412" s="0" t="s">
        <v>240</v>
      </c>
      <c r="CO412" s="0" t="s">
        <v>240</v>
      </c>
      <c r="CP412" s="0" t="s">
        <v>240</v>
      </c>
      <c r="CQ412" s="0" t="s">
        <v>240</v>
      </c>
      <c r="CR412" s="0" t="s">
        <v>240</v>
      </c>
      <c r="CS412" s="0" t="s">
        <v>240</v>
      </c>
      <c r="CT412" s="0" t="s">
        <v>5496</v>
      </c>
      <c r="CU412" s="0" t="s">
        <v>5497</v>
      </c>
      <c r="CV412" s="0" t="s">
        <v>443</v>
      </c>
      <c r="CW412" s="0" t="s">
        <v>5547</v>
      </c>
      <c r="CX412" s="0" t="s">
        <v>229</v>
      </c>
      <c r="CY412" s="0" t="s">
        <v>443</v>
      </c>
      <c r="CZ412" s="0" t="s">
        <v>5548</v>
      </c>
      <c r="DA412" s="0" t="s">
        <v>5549</v>
      </c>
      <c r="DB412" s="0" t="s">
        <v>5547</v>
      </c>
      <c r="DC412" s="0" t="s">
        <v>384</v>
      </c>
      <c r="DD412" s="0" t="s">
        <v>291</v>
      </c>
      <c r="DE412" s="0" t="s">
        <v>6012</v>
      </c>
    </row>
    <row customHeight="1" ht="11.25">
      <c r="A413" s="1441" t="s">
        <v>240</v>
      </c>
      <c r="B413" s="0" t="s">
        <v>240</v>
      </c>
      <c r="C413" s="0" t="s">
        <v>240</v>
      </c>
      <c r="D413" s="0" t="s">
        <v>240</v>
      </c>
      <c r="E413" s="0" t="s">
        <v>240</v>
      </c>
      <c r="F413" s="0" t="s">
        <v>240</v>
      </c>
      <c r="G413" s="0" t="s">
        <v>240</v>
      </c>
      <c r="H413" s="0" t="s">
        <v>240</v>
      </c>
      <c r="I413" s="0" t="s">
        <v>5484</v>
      </c>
      <c r="J413" s="0" t="s">
        <v>240</v>
      </c>
      <c r="K413" s="0" t="s">
        <v>240</v>
      </c>
      <c r="L413" s="0" t="s">
        <v>240</v>
      </c>
      <c r="M413" s="0" t="s">
        <v>240</v>
      </c>
      <c r="N413" s="0" t="s">
        <v>240</v>
      </c>
      <c r="O413" s="0" t="s">
        <v>240</v>
      </c>
      <c r="P413" s="0" t="s">
        <v>240</v>
      </c>
      <c r="Q413" s="0" t="s">
        <v>240</v>
      </c>
      <c r="R413" s="0" t="s">
        <v>5572</v>
      </c>
      <c r="S413" s="0" t="s">
        <v>240</v>
      </c>
      <c r="T413" s="0" t="s">
        <v>240</v>
      </c>
      <c r="U413" s="0" t="s">
        <v>102</v>
      </c>
      <c r="V413" s="0" t="s">
        <v>240</v>
      </c>
      <c r="W413" s="0" t="s">
        <v>240</v>
      </c>
      <c r="X413" s="0" t="s">
        <v>5485</v>
      </c>
      <c r="Y413" s="0" t="s">
        <v>240</v>
      </c>
      <c r="Z413" s="0" t="s">
        <v>161</v>
      </c>
      <c r="AA413" s="0" t="s">
        <v>152</v>
      </c>
      <c r="AB413" s="0" t="s">
        <v>152</v>
      </c>
      <c r="AC413" s="0" t="s">
        <v>2991</v>
      </c>
      <c r="AD413" s="0" t="s">
        <v>2991</v>
      </c>
      <c r="AE413" s="0" t="s">
        <v>2992</v>
      </c>
      <c r="AF413" s="0" t="s">
        <v>5691</v>
      </c>
      <c r="AG413" s="0" t="s">
        <v>5692</v>
      </c>
      <c r="AH413" s="0" t="s">
        <v>5670</v>
      </c>
      <c r="AI413" s="0" t="s">
        <v>6013</v>
      </c>
      <c r="AJ413" s="0" t="s">
        <v>5576</v>
      </c>
      <c r="AK413" s="0" t="s">
        <v>5672</v>
      </c>
      <c r="AL413" s="0" t="s">
        <v>5506</v>
      </c>
      <c r="AM413" s="0" t="s">
        <v>5493</v>
      </c>
      <c r="AN413" s="0" t="s">
        <v>5545</v>
      </c>
      <c r="AO413" s="0" t="s">
        <v>5680</v>
      </c>
      <c r="AP413" s="0" t="s">
        <v>240</v>
      </c>
      <c r="AQ413" s="0" t="s">
        <v>240</v>
      </c>
      <c r="AR413" s="0" t="s">
        <v>240</v>
      </c>
      <c r="AS413" s="0" t="s">
        <v>240</v>
      </c>
      <c r="AT413" s="0" t="s">
        <v>240</v>
      </c>
      <c r="AU413" s="0" t="s">
        <v>240</v>
      </c>
      <c r="AV413" s="0" t="s">
        <v>240</v>
      </c>
      <c r="AW413" s="0" t="s">
        <v>240</v>
      </c>
      <c r="AX413" s="0" t="s">
        <v>240</v>
      </c>
      <c r="AY413" s="0" t="s">
        <v>240</v>
      </c>
      <c r="AZ413" s="0" t="s">
        <v>240</v>
      </c>
      <c r="BA413" s="0" t="s">
        <v>240</v>
      </c>
      <c r="BB413" s="0" t="s">
        <v>240</v>
      </c>
      <c r="BC413" s="0" t="s">
        <v>240</v>
      </c>
      <c r="BD413" s="0" t="s">
        <v>240</v>
      </c>
      <c r="BE413" s="0" t="s">
        <v>240</v>
      </c>
      <c r="BF413" s="0" t="s">
        <v>240</v>
      </c>
      <c r="BG413" s="0" t="s">
        <v>240</v>
      </c>
      <c r="BH413" s="0" t="s">
        <v>240</v>
      </c>
      <c r="BI413" s="0" t="s">
        <v>240</v>
      </c>
      <c r="BJ413" s="0" t="s">
        <v>240</v>
      </c>
      <c r="BK413" s="0" t="s">
        <v>240</v>
      </c>
      <c r="BL413" s="0" t="s">
        <v>240</v>
      </c>
      <c r="BM413" s="0" t="s">
        <v>240</v>
      </c>
      <c r="BN413" s="0" t="s">
        <v>240</v>
      </c>
      <c r="BO413" s="0" t="s">
        <v>240</v>
      </c>
      <c r="BP413" s="0" t="s">
        <v>240</v>
      </c>
      <c r="BQ413" s="0" t="s">
        <v>240</v>
      </c>
      <c r="BR413" s="0" t="s">
        <v>240</v>
      </c>
      <c r="BS413" s="0" t="s">
        <v>240</v>
      </c>
      <c r="BT413" s="0" t="s">
        <v>240</v>
      </c>
      <c r="BU413" s="0" t="s">
        <v>240</v>
      </c>
      <c r="BV413" s="0" t="s">
        <v>240</v>
      </c>
      <c r="BW413" s="0" t="s">
        <v>240</v>
      </c>
      <c r="BX413" s="0" t="s">
        <v>240</v>
      </c>
      <c r="BY413" s="0" t="s">
        <v>240</v>
      </c>
      <c r="BZ413" s="0" t="s">
        <v>240</v>
      </c>
      <c r="CA413" s="0" t="s">
        <v>240</v>
      </c>
      <c r="CB413" s="0" t="s">
        <v>240</v>
      </c>
      <c r="CC413" s="0" t="s">
        <v>240</v>
      </c>
      <c r="CD413" s="0" t="s">
        <v>240</v>
      </c>
      <c r="CE413" s="0" t="s">
        <v>240</v>
      </c>
      <c r="CF413" s="0" t="s">
        <v>240</v>
      </c>
      <c r="CG413" s="0" t="s">
        <v>240</v>
      </c>
      <c r="CH413" s="0" t="s">
        <v>240</v>
      </c>
      <c r="CI413" s="0" t="s">
        <v>240</v>
      </c>
      <c r="CJ413" s="0" t="s">
        <v>240</v>
      </c>
      <c r="CK413" s="0" t="s">
        <v>240</v>
      </c>
      <c r="CL413" s="0" t="s">
        <v>240</v>
      </c>
      <c r="CM413" s="0" t="s">
        <v>240</v>
      </c>
      <c r="CN413" s="0" t="s">
        <v>240</v>
      </c>
      <c r="CO413" s="0" t="s">
        <v>240</v>
      </c>
      <c r="CP413" s="0" t="s">
        <v>240</v>
      </c>
      <c r="CQ413" s="0" t="s">
        <v>240</v>
      </c>
      <c r="CR413" s="0" t="s">
        <v>240</v>
      </c>
      <c r="CS413" s="0" t="s">
        <v>240</v>
      </c>
      <c r="CT413" s="0" t="s">
        <v>5496</v>
      </c>
      <c r="CU413" s="0" t="s">
        <v>5497</v>
      </c>
      <c r="CV413" s="0" t="s">
        <v>443</v>
      </c>
      <c r="CW413" s="0" t="s">
        <v>5547</v>
      </c>
      <c r="CX413" s="0" t="s">
        <v>229</v>
      </c>
      <c r="CY413" s="0" t="s">
        <v>443</v>
      </c>
      <c r="CZ413" s="0" t="s">
        <v>5548</v>
      </c>
      <c r="DA413" s="0" t="s">
        <v>5549</v>
      </c>
      <c r="DB413" s="0" t="s">
        <v>5547</v>
      </c>
      <c r="DC413" s="0" t="s">
        <v>384</v>
      </c>
      <c r="DD413" s="0" t="s">
        <v>291</v>
      </c>
      <c r="DE413" s="0" t="s">
        <v>6014</v>
      </c>
    </row>
    <row customHeight="1" ht="11.25">
      <c r="A414" s="1441" t="s">
        <v>240</v>
      </c>
      <c r="B414" s="0" t="s">
        <v>240</v>
      </c>
      <c r="C414" s="0" t="s">
        <v>240</v>
      </c>
      <c r="D414" s="0" t="s">
        <v>240</v>
      </c>
      <c r="E414" s="0" t="s">
        <v>240</v>
      </c>
      <c r="F414" s="0" t="s">
        <v>240</v>
      </c>
      <c r="G414" s="0" t="s">
        <v>240</v>
      </c>
      <c r="H414" s="0" t="s">
        <v>240</v>
      </c>
      <c r="I414" s="0" t="s">
        <v>5484</v>
      </c>
      <c r="J414" s="0" t="s">
        <v>240</v>
      </c>
      <c r="K414" s="0" t="s">
        <v>240</v>
      </c>
      <c r="L414" s="0" t="s">
        <v>240</v>
      </c>
      <c r="M414" s="0" t="s">
        <v>240</v>
      </c>
      <c r="N414" s="0" t="s">
        <v>240</v>
      </c>
      <c r="O414" s="0" t="s">
        <v>240</v>
      </c>
      <c r="P414" s="0" t="s">
        <v>240</v>
      </c>
      <c r="Q414" s="0" t="s">
        <v>240</v>
      </c>
      <c r="R414" s="0" t="s">
        <v>6688</v>
      </c>
      <c r="S414" s="0" t="s">
        <v>240</v>
      </c>
      <c r="T414" s="0" t="s">
        <v>240</v>
      </c>
      <c r="U414" s="0" t="s">
        <v>102</v>
      </c>
      <c r="V414" s="0" t="s">
        <v>240</v>
      </c>
      <c r="W414" s="0" t="s">
        <v>240</v>
      </c>
      <c r="X414" s="0" t="s">
        <v>5485</v>
      </c>
      <c r="Y414" s="0" t="s">
        <v>240</v>
      </c>
      <c r="Z414" s="0" t="s">
        <v>161</v>
      </c>
      <c r="AA414" s="0" t="s">
        <v>152</v>
      </c>
      <c r="AB414" s="0" t="s">
        <v>152</v>
      </c>
      <c r="AC414" s="0" t="s">
        <v>2989</v>
      </c>
      <c r="AD414" s="0" t="s">
        <v>2989</v>
      </c>
      <c r="AE414" s="0" t="s">
        <v>2990</v>
      </c>
      <c r="AF414" s="0" t="s">
        <v>6689</v>
      </c>
      <c r="AG414" s="0" t="s">
        <v>6690</v>
      </c>
      <c r="AH414" s="0" t="s">
        <v>5984</v>
      </c>
      <c r="AI414" s="0" t="s">
        <v>6691</v>
      </c>
      <c r="AJ414" s="0" t="s">
        <v>5576</v>
      </c>
      <c r="AK414" s="0" t="s">
        <v>6692</v>
      </c>
      <c r="AL414" s="0" t="s">
        <v>5506</v>
      </c>
      <c r="AM414" s="0" t="s">
        <v>5493</v>
      </c>
      <c r="AN414" s="0" t="s">
        <v>5578</v>
      </c>
      <c r="AO414" s="0" t="s">
        <v>6101</v>
      </c>
      <c r="AP414" s="0" t="s">
        <v>240</v>
      </c>
      <c r="AQ414" s="0" t="s">
        <v>240</v>
      </c>
      <c r="AR414" s="0" t="s">
        <v>240</v>
      </c>
      <c r="AS414" s="0" t="s">
        <v>240</v>
      </c>
      <c r="AT414" s="0" t="s">
        <v>240</v>
      </c>
      <c r="AU414" s="0" t="s">
        <v>240</v>
      </c>
      <c r="AV414" s="0" t="s">
        <v>240</v>
      </c>
      <c r="AW414" s="0" t="s">
        <v>240</v>
      </c>
      <c r="AX414" s="0" t="s">
        <v>240</v>
      </c>
      <c r="AY414" s="0" t="s">
        <v>240</v>
      </c>
      <c r="AZ414" s="0" t="s">
        <v>240</v>
      </c>
      <c r="BA414" s="0" t="s">
        <v>240</v>
      </c>
      <c r="BB414" s="0" t="s">
        <v>240</v>
      </c>
      <c r="BC414" s="0" t="s">
        <v>240</v>
      </c>
      <c r="BD414" s="0" t="s">
        <v>240</v>
      </c>
      <c r="BE414" s="0" t="s">
        <v>240</v>
      </c>
      <c r="BF414" s="0" t="s">
        <v>240</v>
      </c>
      <c r="BG414" s="0" t="s">
        <v>240</v>
      </c>
      <c r="BH414" s="0" t="s">
        <v>240</v>
      </c>
      <c r="BI414" s="0" t="s">
        <v>240</v>
      </c>
      <c r="BJ414" s="0" t="s">
        <v>240</v>
      </c>
      <c r="BK414" s="0" t="s">
        <v>240</v>
      </c>
      <c r="BL414" s="0" t="s">
        <v>240</v>
      </c>
      <c r="BM414" s="0" t="s">
        <v>240</v>
      </c>
      <c r="BN414" s="0" t="s">
        <v>240</v>
      </c>
      <c r="BO414" s="0" t="s">
        <v>240</v>
      </c>
      <c r="BP414" s="0" t="s">
        <v>240</v>
      </c>
      <c r="BQ414" s="0" t="s">
        <v>240</v>
      </c>
      <c r="BR414" s="0" t="s">
        <v>240</v>
      </c>
      <c r="BS414" s="0" t="s">
        <v>240</v>
      </c>
      <c r="BT414" s="0" t="s">
        <v>240</v>
      </c>
      <c r="BU414" s="0" t="s">
        <v>240</v>
      </c>
      <c r="BV414" s="0" t="s">
        <v>240</v>
      </c>
      <c r="BW414" s="0" t="s">
        <v>240</v>
      </c>
      <c r="BX414" s="0" t="s">
        <v>240</v>
      </c>
      <c r="BY414" s="0" t="s">
        <v>240</v>
      </c>
      <c r="BZ414" s="0" t="s">
        <v>240</v>
      </c>
      <c r="CA414" s="0" t="s">
        <v>240</v>
      </c>
      <c r="CB414" s="0" t="s">
        <v>240</v>
      </c>
      <c r="CC414" s="0" t="s">
        <v>240</v>
      </c>
      <c r="CD414" s="0" t="s">
        <v>240</v>
      </c>
      <c r="CE414" s="0" t="s">
        <v>240</v>
      </c>
      <c r="CF414" s="0" t="s">
        <v>240</v>
      </c>
      <c r="CG414" s="0" t="s">
        <v>240</v>
      </c>
      <c r="CH414" s="0" t="s">
        <v>240</v>
      </c>
      <c r="CI414" s="0" t="s">
        <v>240</v>
      </c>
      <c r="CJ414" s="0" t="s">
        <v>240</v>
      </c>
      <c r="CK414" s="0" t="s">
        <v>240</v>
      </c>
      <c r="CL414" s="0" t="s">
        <v>240</v>
      </c>
      <c r="CM414" s="0" t="s">
        <v>240</v>
      </c>
      <c r="CN414" s="0" t="s">
        <v>240</v>
      </c>
      <c r="CO414" s="0" t="s">
        <v>240</v>
      </c>
      <c r="CP414" s="0" t="s">
        <v>240</v>
      </c>
      <c r="CQ414" s="0" t="s">
        <v>240</v>
      </c>
      <c r="CR414" s="0" t="s">
        <v>240</v>
      </c>
      <c r="CS414" s="0" t="s">
        <v>240</v>
      </c>
      <c r="CT414" s="0" t="s">
        <v>5496</v>
      </c>
      <c r="CU414" s="0" t="s">
        <v>5497</v>
      </c>
      <c r="CV414" s="0" t="s">
        <v>443</v>
      </c>
      <c r="CW414" s="0" t="s">
        <v>5580</v>
      </c>
      <c r="CX414" s="0" t="s">
        <v>229</v>
      </c>
      <c r="CY414" s="0" t="s">
        <v>443</v>
      </c>
      <c r="CZ414" s="0" t="s">
        <v>5581</v>
      </c>
      <c r="DA414" s="0" t="s">
        <v>5582</v>
      </c>
      <c r="DB414" s="0" t="s">
        <v>5580</v>
      </c>
      <c r="DC414" s="0" t="s">
        <v>384</v>
      </c>
      <c r="DD414" s="0" t="s">
        <v>291</v>
      </c>
      <c r="DE414" s="0" t="s">
        <v>6693</v>
      </c>
    </row>
    <row customHeight="1" ht="11.25">
      <c r="A415" s="1441" t="s">
        <v>240</v>
      </c>
      <c r="B415" s="0" t="s">
        <v>240</v>
      </c>
      <c r="C415" s="0" t="s">
        <v>240</v>
      </c>
      <c r="D415" s="0" t="s">
        <v>240</v>
      </c>
      <c r="E415" s="0" t="s">
        <v>240</v>
      </c>
      <c r="F415" s="0" t="s">
        <v>240</v>
      </c>
      <c r="G415" s="0" t="s">
        <v>240</v>
      </c>
      <c r="H415" s="0" t="s">
        <v>240</v>
      </c>
      <c r="I415" s="0" t="s">
        <v>5484</v>
      </c>
      <c r="J415" s="0" t="s">
        <v>240</v>
      </c>
      <c r="K415" s="0" t="s">
        <v>240</v>
      </c>
      <c r="L415" s="0" t="s">
        <v>240</v>
      </c>
      <c r="M415" s="0" t="s">
        <v>240</v>
      </c>
      <c r="N415" s="0" t="s">
        <v>240</v>
      </c>
      <c r="O415" s="0" t="s">
        <v>240</v>
      </c>
      <c r="P415" s="0" t="s">
        <v>240</v>
      </c>
      <c r="Q415" s="0" t="s">
        <v>240</v>
      </c>
      <c r="R415" s="0" t="s">
        <v>6871</v>
      </c>
      <c r="S415" s="0" t="s">
        <v>240</v>
      </c>
      <c r="T415" s="0" t="s">
        <v>240</v>
      </c>
      <c r="U415" s="0" t="s">
        <v>102</v>
      </c>
      <c r="V415" s="0" t="s">
        <v>240</v>
      </c>
      <c r="W415" s="0" t="s">
        <v>240</v>
      </c>
      <c r="X415" s="0" t="s">
        <v>5585</v>
      </c>
      <c r="Y415" s="0" t="s">
        <v>240</v>
      </c>
      <c r="Z415" s="0" t="s">
        <v>152</v>
      </c>
      <c r="AA415" s="0" t="s">
        <v>152</v>
      </c>
      <c r="AB415" s="0" t="s">
        <v>161</v>
      </c>
      <c r="AC415" s="0" t="s">
        <v>2989</v>
      </c>
      <c r="AD415" s="0" t="s">
        <v>2989</v>
      </c>
      <c r="AE415" s="0" t="s">
        <v>2990</v>
      </c>
      <c r="AF415" s="0" t="s">
        <v>6689</v>
      </c>
      <c r="AG415" s="0" t="s">
        <v>6690</v>
      </c>
      <c r="AH415" s="0" t="s">
        <v>5575</v>
      </c>
      <c r="AI415" s="0" t="s">
        <v>5575</v>
      </c>
      <c r="AJ415" s="0" t="s">
        <v>240</v>
      </c>
      <c r="AK415" s="0" t="s">
        <v>240</v>
      </c>
      <c r="AL415" s="0" t="s">
        <v>240</v>
      </c>
      <c r="AM415" s="0" t="s">
        <v>240</v>
      </c>
      <c r="AN415" s="0" t="s">
        <v>240</v>
      </c>
      <c r="AO415" s="0" t="s">
        <v>240</v>
      </c>
      <c r="AP415" s="0" t="s">
        <v>240</v>
      </c>
      <c r="AQ415" s="0" t="s">
        <v>240</v>
      </c>
      <c r="AR415" s="0" t="s">
        <v>240</v>
      </c>
      <c r="AS415" s="0" t="s">
        <v>240</v>
      </c>
      <c r="AT415" s="0" t="s">
        <v>240</v>
      </c>
      <c r="AU415" s="0" t="s">
        <v>240</v>
      </c>
      <c r="AV415" s="0" t="s">
        <v>240</v>
      </c>
      <c r="AW415" s="0" t="s">
        <v>240</v>
      </c>
      <c r="AX415" s="0" t="s">
        <v>240</v>
      </c>
      <c r="AY415" s="0" t="s">
        <v>240</v>
      </c>
      <c r="AZ415" s="0" t="s">
        <v>240</v>
      </c>
      <c r="BA415" s="0" t="s">
        <v>240</v>
      </c>
      <c r="BB415" s="0" t="s">
        <v>240</v>
      </c>
      <c r="BC415" s="0" t="s">
        <v>240</v>
      </c>
      <c r="BD415" s="0" t="s">
        <v>240</v>
      </c>
      <c r="BE415" s="0" t="s">
        <v>5576</v>
      </c>
      <c r="BF415" s="0" t="s">
        <v>6692</v>
      </c>
      <c r="BG415" s="0" t="s">
        <v>112</v>
      </c>
      <c r="BH415" s="0" t="s">
        <v>5589</v>
      </c>
      <c r="BI415" s="0" t="s">
        <v>123</v>
      </c>
      <c r="BJ415" s="0" t="s">
        <v>240</v>
      </c>
      <c r="BK415" s="0" t="s">
        <v>5608</v>
      </c>
      <c r="BL415" s="0" t="s">
        <v>2989</v>
      </c>
      <c r="BM415" s="0" t="s">
        <v>2989</v>
      </c>
      <c r="BN415" s="0" t="s">
        <v>5798</v>
      </c>
      <c r="BO415" s="0" t="s">
        <v>6689</v>
      </c>
      <c r="BP415" s="0" t="s">
        <v>6872</v>
      </c>
      <c r="BQ415" s="0" t="s">
        <v>5575</v>
      </c>
      <c r="BR415" s="0" t="s">
        <v>5575</v>
      </c>
      <c r="BS415" s="0" t="s">
        <v>240</v>
      </c>
      <c r="BT415" s="0" t="s">
        <v>5650</v>
      </c>
      <c r="BU415" s="0" t="s">
        <v>6873</v>
      </c>
      <c r="BV415" s="0" t="s">
        <v>6873</v>
      </c>
      <c r="BW415" s="0" t="s">
        <v>5598</v>
      </c>
      <c r="BX415" s="0" t="s">
        <v>5598</v>
      </c>
      <c r="BY415" s="0" t="s">
        <v>5598</v>
      </c>
      <c r="BZ415" s="0" t="s">
        <v>5598</v>
      </c>
      <c r="CA415" s="0" t="s">
        <v>5598</v>
      </c>
      <c r="CB415" s="0" t="s">
        <v>240</v>
      </c>
      <c r="CC415" s="0" t="s">
        <v>240</v>
      </c>
      <c r="CD415" s="0" t="s">
        <v>240</v>
      </c>
      <c r="CE415" s="0" t="s">
        <v>240</v>
      </c>
      <c r="CF415" s="0" t="s">
        <v>240</v>
      </c>
      <c r="CG415" s="0" t="s">
        <v>5598</v>
      </c>
      <c r="CH415" s="0" t="s">
        <v>240</v>
      </c>
      <c r="CI415" s="0" t="s">
        <v>240</v>
      </c>
      <c r="CJ415" s="0" t="s">
        <v>240</v>
      </c>
      <c r="CK415" s="0" t="s">
        <v>240</v>
      </c>
      <c r="CL415" s="0" t="s">
        <v>240</v>
      </c>
      <c r="CM415" s="0" t="s">
        <v>6873</v>
      </c>
      <c r="CN415" s="0" t="s">
        <v>6873</v>
      </c>
      <c r="CO415" s="0" t="s">
        <v>240</v>
      </c>
      <c r="CP415" s="0" t="s">
        <v>240</v>
      </c>
      <c r="CQ415" s="0" t="s">
        <v>240</v>
      </c>
      <c r="CR415" s="0" t="s">
        <v>240</v>
      </c>
      <c r="CS415" s="0" t="s">
        <v>5578</v>
      </c>
      <c r="CT415" s="0" t="s">
        <v>5496</v>
      </c>
      <c r="CU415" s="0" t="s">
        <v>5497</v>
      </c>
      <c r="CV415" s="0" t="s">
        <v>443</v>
      </c>
      <c r="CW415" s="0" t="s">
        <v>5580</v>
      </c>
      <c r="CX415" s="0" t="s">
        <v>229</v>
      </c>
      <c r="CY415" s="0" t="s">
        <v>443</v>
      </c>
      <c r="CZ415" s="0" t="s">
        <v>5581</v>
      </c>
      <c r="DA415" s="0" t="s">
        <v>5582</v>
      </c>
      <c r="DB415" s="0" t="s">
        <v>5580</v>
      </c>
      <c r="DC415" s="0" t="s">
        <v>384</v>
      </c>
      <c r="DD415" s="0" t="s">
        <v>291</v>
      </c>
      <c r="DE415" s="0" t="s">
        <v>6874</v>
      </c>
    </row>
    <row customHeight="1" ht="11.25">
      <c r="A416" s="1441" t="s">
        <v>240</v>
      </c>
      <c r="B416" s="0" t="s">
        <v>240</v>
      </c>
      <c r="C416" s="0" t="s">
        <v>240</v>
      </c>
      <c r="D416" s="0" t="s">
        <v>240</v>
      </c>
      <c r="E416" s="0" t="s">
        <v>240</v>
      </c>
      <c r="F416" s="0" t="s">
        <v>240</v>
      </c>
      <c r="G416" s="0" t="s">
        <v>240</v>
      </c>
      <c r="H416" s="0" t="s">
        <v>240</v>
      </c>
      <c r="I416" s="0" t="s">
        <v>5484</v>
      </c>
      <c r="J416" s="0" t="s">
        <v>240</v>
      </c>
      <c r="K416" s="0" t="s">
        <v>240</v>
      </c>
      <c r="L416" s="0" t="s">
        <v>240</v>
      </c>
      <c r="M416" s="0" t="s">
        <v>240</v>
      </c>
      <c r="N416" s="0" t="s">
        <v>240</v>
      </c>
      <c r="O416" s="0" t="s">
        <v>240</v>
      </c>
      <c r="P416" s="0" t="s">
        <v>240</v>
      </c>
      <c r="Q416" s="0" t="s">
        <v>240</v>
      </c>
      <c r="R416" s="0" t="s">
        <v>6965</v>
      </c>
      <c r="S416" s="0" t="s">
        <v>240</v>
      </c>
      <c r="T416" s="0" t="s">
        <v>240</v>
      </c>
      <c r="U416" s="0" t="s">
        <v>102</v>
      </c>
      <c r="V416" s="0" t="s">
        <v>240</v>
      </c>
      <c r="W416" s="0" t="s">
        <v>240</v>
      </c>
      <c r="X416" s="0" t="s">
        <v>5485</v>
      </c>
      <c r="Y416" s="0" t="s">
        <v>240</v>
      </c>
      <c r="Z416" s="0" t="s">
        <v>161</v>
      </c>
      <c r="AA416" s="0" t="s">
        <v>152</v>
      </c>
      <c r="AB416" s="0" t="s">
        <v>152</v>
      </c>
      <c r="AC416" s="0" t="s">
        <v>3389</v>
      </c>
      <c r="AD416" s="0" t="s">
        <v>3389</v>
      </c>
      <c r="AE416" s="0" t="s">
        <v>3390</v>
      </c>
      <c r="AF416" s="0" t="s">
        <v>5519</v>
      </c>
      <c r="AG416" s="0" t="s">
        <v>5520</v>
      </c>
      <c r="AH416" s="0" t="s">
        <v>6281</v>
      </c>
      <c r="AI416" s="0" t="s">
        <v>457</v>
      </c>
      <c r="AJ416" s="0" t="s">
        <v>5560</v>
      </c>
      <c r="AK416" s="0" t="s">
        <v>6282</v>
      </c>
      <c r="AL416" s="0" t="s">
        <v>5524</v>
      </c>
      <c r="AM416" s="0" t="s">
        <v>5493</v>
      </c>
      <c r="AN416" s="0" t="s">
        <v>6283</v>
      </c>
      <c r="AO416" s="0" t="s">
        <v>6284</v>
      </c>
      <c r="AP416" s="0" t="s">
        <v>240</v>
      </c>
      <c r="AQ416" s="0" t="s">
        <v>240</v>
      </c>
      <c r="AR416" s="0" t="s">
        <v>240</v>
      </c>
      <c r="AS416" s="0" t="s">
        <v>240</v>
      </c>
      <c r="AT416" s="0" t="s">
        <v>240</v>
      </c>
      <c r="AU416" s="0" t="s">
        <v>240</v>
      </c>
      <c r="AV416" s="0" t="s">
        <v>240</v>
      </c>
      <c r="AW416" s="0" t="s">
        <v>240</v>
      </c>
      <c r="AX416" s="0" t="s">
        <v>240</v>
      </c>
      <c r="AY416" s="0" t="s">
        <v>240</v>
      </c>
      <c r="AZ416" s="0" t="s">
        <v>240</v>
      </c>
      <c r="BA416" s="0" t="s">
        <v>240</v>
      </c>
      <c r="BB416" s="0" t="s">
        <v>240</v>
      </c>
      <c r="BC416" s="0" t="s">
        <v>240</v>
      </c>
      <c r="BD416" s="0" t="s">
        <v>240</v>
      </c>
      <c r="BE416" s="0" t="s">
        <v>240</v>
      </c>
      <c r="BF416" s="0" t="s">
        <v>240</v>
      </c>
      <c r="BG416" s="0" t="s">
        <v>240</v>
      </c>
      <c r="BH416" s="0" t="s">
        <v>240</v>
      </c>
      <c r="BI416" s="0" t="s">
        <v>240</v>
      </c>
      <c r="BJ416" s="0" t="s">
        <v>240</v>
      </c>
      <c r="BK416" s="0" t="s">
        <v>240</v>
      </c>
      <c r="BL416" s="0" t="s">
        <v>240</v>
      </c>
      <c r="BM416" s="0" t="s">
        <v>240</v>
      </c>
      <c r="BN416" s="0" t="s">
        <v>240</v>
      </c>
      <c r="BO416" s="0" t="s">
        <v>240</v>
      </c>
      <c r="BP416" s="0" t="s">
        <v>240</v>
      </c>
      <c r="BQ416" s="0" t="s">
        <v>240</v>
      </c>
      <c r="BR416" s="0" t="s">
        <v>240</v>
      </c>
      <c r="BS416" s="0" t="s">
        <v>240</v>
      </c>
      <c r="BT416" s="0" t="s">
        <v>240</v>
      </c>
      <c r="BU416" s="0" t="s">
        <v>240</v>
      </c>
      <c r="BV416" s="0" t="s">
        <v>240</v>
      </c>
      <c r="BW416" s="0" t="s">
        <v>240</v>
      </c>
      <c r="BX416" s="0" t="s">
        <v>240</v>
      </c>
      <c r="BY416" s="0" t="s">
        <v>240</v>
      </c>
      <c r="BZ416" s="0" t="s">
        <v>240</v>
      </c>
      <c r="CA416" s="0" t="s">
        <v>240</v>
      </c>
      <c r="CB416" s="0" t="s">
        <v>240</v>
      </c>
      <c r="CC416" s="0" t="s">
        <v>240</v>
      </c>
      <c r="CD416" s="0" t="s">
        <v>240</v>
      </c>
      <c r="CE416" s="0" t="s">
        <v>240</v>
      </c>
      <c r="CF416" s="0" t="s">
        <v>240</v>
      </c>
      <c r="CG416" s="0" t="s">
        <v>240</v>
      </c>
      <c r="CH416" s="0" t="s">
        <v>240</v>
      </c>
      <c r="CI416" s="0" t="s">
        <v>240</v>
      </c>
      <c r="CJ416" s="0" t="s">
        <v>240</v>
      </c>
      <c r="CK416" s="0" t="s">
        <v>240</v>
      </c>
      <c r="CL416" s="0" t="s">
        <v>240</v>
      </c>
      <c r="CM416" s="0" t="s">
        <v>240</v>
      </c>
      <c r="CN416" s="0" t="s">
        <v>240</v>
      </c>
      <c r="CO416" s="0" t="s">
        <v>240</v>
      </c>
      <c r="CP416" s="0" t="s">
        <v>240</v>
      </c>
      <c r="CQ416" s="0" t="s">
        <v>240</v>
      </c>
      <c r="CR416" s="0" t="s">
        <v>240</v>
      </c>
      <c r="CS416" s="0" t="s">
        <v>240</v>
      </c>
      <c r="CT416" s="0" t="s">
        <v>5496</v>
      </c>
      <c r="CU416" s="0" t="s">
        <v>5497</v>
      </c>
      <c r="CV416" s="0" t="s">
        <v>443</v>
      </c>
      <c r="CW416" s="0" t="s">
        <v>5527</v>
      </c>
      <c r="CX416" s="0" t="s">
        <v>5528</v>
      </c>
      <c r="CY416" s="0" t="s">
        <v>443</v>
      </c>
      <c r="CZ416" s="0" t="s">
        <v>299</v>
      </c>
      <c r="DA416" s="0" t="s">
        <v>5529</v>
      </c>
      <c r="DB416" s="0" t="s">
        <v>5527</v>
      </c>
      <c r="DC416" s="0" t="s">
        <v>384</v>
      </c>
      <c r="DD416" s="0" t="s">
        <v>291</v>
      </c>
      <c r="DE416" s="0" t="s">
        <v>6285</v>
      </c>
    </row>
    <row customHeight="1" ht="11.25">
      <c r="A417" s="1441" t="s">
        <v>240</v>
      </c>
      <c r="B417" s="0" t="s">
        <v>240</v>
      </c>
      <c r="C417" s="0" t="s">
        <v>240</v>
      </c>
      <c r="D417" s="0" t="s">
        <v>240</v>
      </c>
      <c r="E417" s="0" t="s">
        <v>240</v>
      </c>
      <c r="F417" s="0" t="s">
        <v>240</v>
      </c>
      <c r="G417" s="0" t="s">
        <v>240</v>
      </c>
      <c r="H417" s="0" t="s">
        <v>240</v>
      </c>
      <c r="I417" s="0" t="s">
        <v>5484</v>
      </c>
      <c r="J417" s="0" t="s">
        <v>240</v>
      </c>
      <c r="K417" s="0" t="s">
        <v>240</v>
      </c>
      <c r="L417" s="0" t="s">
        <v>240</v>
      </c>
      <c r="M417" s="0" t="s">
        <v>240</v>
      </c>
      <c r="N417" s="0" t="s">
        <v>240</v>
      </c>
      <c r="O417" s="0" t="s">
        <v>240</v>
      </c>
      <c r="P417" s="0" t="s">
        <v>240</v>
      </c>
      <c r="Q417" s="0" t="s">
        <v>240</v>
      </c>
      <c r="R417" s="0" t="s">
        <v>6966</v>
      </c>
      <c r="S417" s="0" t="s">
        <v>240</v>
      </c>
      <c r="T417" s="0" t="s">
        <v>240</v>
      </c>
      <c r="U417" s="0" t="s">
        <v>102</v>
      </c>
      <c r="V417" s="0" t="s">
        <v>240</v>
      </c>
      <c r="W417" s="0" t="s">
        <v>240</v>
      </c>
      <c r="X417" s="0" t="s">
        <v>5485</v>
      </c>
      <c r="Y417" s="0" t="s">
        <v>240</v>
      </c>
      <c r="Z417" s="0" t="s">
        <v>161</v>
      </c>
      <c r="AA417" s="0" t="s">
        <v>152</v>
      </c>
      <c r="AB417" s="0" t="s">
        <v>152</v>
      </c>
      <c r="AC417" s="0" t="s">
        <v>3389</v>
      </c>
      <c r="AD417" s="0" t="s">
        <v>3389</v>
      </c>
      <c r="AE417" s="0" t="s">
        <v>3390</v>
      </c>
      <c r="AF417" s="0" t="s">
        <v>5519</v>
      </c>
      <c r="AG417" s="0" t="s">
        <v>5520</v>
      </c>
      <c r="AH417" s="0" t="s">
        <v>5521</v>
      </c>
      <c r="AI417" s="0" t="s">
        <v>480</v>
      </c>
      <c r="AJ417" s="0" t="s">
        <v>5522</v>
      </c>
      <c r="AK417" s="0" t="s">
        <v>5523</v>
      </c>
      <c r="AL417" s="0" t="s">
        <v>5524</v>
      </c>
      <c r="AM417" s="0" t="s">
        <v>5493</v>
      </c>
      <c r="AN417" s="0" t="s">
        <v>5525</v>
      </c>
      <c r="AO417" s="0" t="s">
        <v>5526</v>
      </c>
      <c r="AP417" s="0" t="s">
        <v>240</v>
      </c>
      <c r="AQ417" s="0" t="s">
        <v>240</v>
      </c>
      <c r="AR417" s="0" t="s">
        <v>240</v>
      </c>
      <c r="AS417" s="0" t="s">
        <v>240</v>
      </c>
      <c r="AT417" s="0" t="s">
        <v>240</v>
      </c>
      <c r="AU417" s="0" t="s">
        <v>240</v>
      </c>
      <c r="AV417" s="0" t="s">
        <v>240</v>
      </c>
      <c r="AW417" s="0" t="s">
        <v>240</v>
      </c>
      <c r="AX417" s="0" t="s">
        <v>240</v>
      </c>
      <c r="AY417" s="0" t="s">
        <v>240</v>
      </c>
      <c r="AZ417" s="0" t="s">
        <v>240</v>
      </c>
      <c r="BA417" s="0" t="s">
        <v>240</v>
      </c>
      <c r="BB417" s="0" t="s">
        <v>240</v>
      </c>
      <c r="BC417" s="0" t="s">
        <v>240</v>
      </c>
      <c r="BD417" s="0" t="s">
        <v>240</v>
      </c>
      <c r="BE417" s="0" t="s">
        <v>240</v>
      </c>
      <c r="BF417" s="0" t="s">
        <v>240</v>
      </c>
      <c r="BG417" s="0" t="s">
        <v>240</v>
      </c>
      <c r="BH417" s="0" t="s">
        <v>240</v>
      </c>
      <c r="BI417" s="0" t="s">
        <v>240</v>
      </c>
      <c r="BJ417" s="0" t="s">
        <v>240</v>
      </c>
      <c r="BK417" s="0" t="s">
        <v>240</v>
      </c>
      <c r="BL417" s="0" t="s">
        <v>240</v>
      </c>
      <c r="BM417" s="0" t="s">
        <v>240</v>
      </c>
      <c r="BN417" s="0" t="s">
        <v>240</v>
      </c>
      <c r="BO417" s="0" t="s">
        <v>240</v>
      </c>
      <c r="BP417" s="0" t="s">
        <v>240</v>
      </c>
      <c r="BQ417" s="0" t="s">
        <v>240</v>
      </c>
      <c r="BR417" s="0" t="s">
        <v>240</v>
      </c>
      <c r="BS417" s="0" t="s">
        <v>240</v>
      </c>
      <c r="BT417" s="0" t="s">
        <v>240</v>
      </c>
      <c r="BU417" s="0" t="s">
        <v>240</v>
      </c>
      <c r="BV417" s="0" t="s">
        <v>240</v>
      </c>
      <c r="BW417" s="0" t="s">
        <v>240</v>
      </c>
      <c r="BX417" s="0" t="s">
        <v>240</v>
      </c>
      <c r="BY417" s="0" t="s">
        <v>240</v>
      </c>
      <c r="BZ417" s="0" t="s">
        <v>240</v>
      </c>
      <c r="CA417" s="0" t="s">
        <v>240</v>
      </c>
      <c r="CB417" s="0" t="s">
        <v>240</v>
      </c>
      <c r="CC417" s="0" t="s">
        <v>240</v>
      </c>
      <c r="CD417" s="0" t="s">
        <v>240</v>
      </c>
      <c r="CE417" s="0" t="s">
        <v>240</v>
      </c>
      <c r="CF417" s="0" t="s">
        <v>240</v>
      </c>
      <c r="CG417" s="0" t="s">
        <v>240</v>
      </c>
      <c r="CH417" s="0" t="s">
        <v>240</v>
      </c>
      <c r="CI417" s="0" t="s">
        <v>240</v>
      </c>
      <c r="CJ417" s="0" t="s">
        <v>240</v>
      </c>
      <c r="CK417" s="0" t="s">
        <v>240</v>
      </c>
      <c r="CL417" s="0" t="s">
        <v>240</v>
      </c>
      <c r="CM417" s="0" t="s">
        <v>240</v>
      </c>
      <c r="CN417" s="0" t="s">
        <v>240</v>
      </c>
      <c r="CO417" s="0" t="s">
        <v>240</v>
      </c>
      <c r="CP417" s="0" t="s">
        <v>240</v>
      </c>
      <c r="CQ417" s="0" t="s">
        <v>240</v>
      </c>
      <c r="CR417" s="0" t="s">
        <v>240</v>
      </c>
      <c r="CS417" s="0" t="s">
        <v>240</v>
      </c>
      <c r="CT417" s="0" t="s">
        <v>5496</v>
      </c>
      <c r="CU417" s="0" t="s">
        <v>5497</v>
      </c>
      <c r="CV417" s="0" t="s">
        <v>443</v>
      </c>
      <c r="CW417" s="0" t="s">
        <v>5527</v>
      </c>
      <c r="CX417" s="0" t="s">
        <v>5528</v>
      </c>
      <c r="CY417" s="0" t="s">
        <v>443</v>
      </c>
      <c r="CZ417" s="0" t="s">
        <v>299</v>
      </c>
      <c r="DA417" s="0" t="s">
        <v>5529</v>
      </c>
      <c r="DB417" s="0" t="s">
        <v>5527</v>
      </c>
      <c r="DC417" s="0" t="s">
        <v>384</v>
      </c>
      <c r="DD417" s="0" t="s">
        <v>291</v>
      </c>
      <c r="DE417" s="0" t="s">
        <v>5530</v>
      </c>
    </row>
    <row customHeight="1" ht="11.25">
      <c r="A418" s="1441" t="s">
        <v>240</v>
      </c>
      <c r="B418" s="0" t="s">
        <v>240</v>
      </c>
      <c r="C418" s="0" t="s">
        <v>240</v>
      </c>
      <c r="D418" s="0" t="s">
        <v>240</v>
      </c>
      <c r="E418" s="0" t="s">
        <v>240</v>
      </c>
      <c r="F418" s="0" t="s">
        <v>240</v>
      </c>
      <c r="G418" s="0" t="s">
        <v>240</v>
      </c>
      <c r="H418" s="0" t="s">
        <v>240</v>
      </c>
      <c r="I418" s="0" t="s">
        <v>5484</v>
      </c>
      <c r="J418" s="0" t="s">
        <v>240</v>
      </c>
      <c r="K418" s="0" t="s">
        <v>240</v>
      </c>
      <c r="L418" s="0" t="s">
        <v>240</v>
      </c>
      <c r="M418" s="0" t="s">
        <v>240</v>
      </c>
      <c r="N418" s="0" t="s">
        <v>240</v>
      </c>
      <c r="O418" s="0" t="s">
        <v>240</v>
      </c>
      <c r="P418" s="0" t="s">
        <v>240</v>
      </c>
      <c r="Q418" s="0" t="s">
        <v>240</v>
      </c>
      <c r="R418" s="0" t="s">
        <v>449</v>
      </c>
      <c r="S418" s="0" t="s">
        <v>240</v>
      </c>
      <c r="T418" s="0" t="s">
        <v>240</v>
      </c>
      <c r="U418" s="0" t="s">
        <v>102</v>
      </c>
      <c r="V418" s="0" t="s">
        <v>240</v>
      </c>
      <c r="W418" s="0" t="s">
        <v>240</v>
      </c>
      <c r="X418" s="0" t="s">
        <v>5585</v>
      </c>
      <c r="Y418" s="0" t="s">
        <v>240</v>
      </c>
      <c r="Z418" s="0" t="s">
        <v>152</v>
      </c>
      <c r="AA418" s="0" t="s">
        <v>152</v>
      </c>
      <c r="AB418" s="0" t="s">
        <v>161</v>
      </c>
      <c r="AC418" s="0" t="s">
        <v>2985</v>
      </c>
      <c r="AD418" s="0" t="s">
        <v>2985</v>
      </c>
      <c r="AE418" s="0" t="s">
        <v>2986</v>
      </c>
      <c r="AF418" s="0" t="s">
        <v>5913</v>
      </c>
      <c r="AG418" s="0" t="s">
        <v>5914</v>
      </c>
      <c r="AH418" s="0" t="s">
        <v>5915</v>
      </c>
      <c r="AI418" s="0" t="s">
        <v>5644</v>
      </c>
      <c r="AJ418" s="0" t="s">
        <v>240</v>
      </c>
      <c r="AK418" s="0" t="s">
        <v>240</v>
      </c>
      <c r="AL418" s="0" t="s">
        <v>240</v>
      </c>
      <c r="AM418" s="0" t="s">
        <v>240</v>
      </c>
      <c r="AN418" s="0" t="s">
        <v>240</v>
      </c>
      <c r="AO418" s="0" t="s">
        <v>240</v>
      </c>
      <c r="AP418" s="0" t="s">
        <v>240</v>
      </c>
      <c r="AQ418" s="0" t="s">
        <v>240</v>
      </c>
      <c r="AR418" s="0" t="s">
        <v>240</v>
      </c>
      <c r="AS418" s="0" t="s">
        <v>240</v>
      </c>
      <c r="AT418" s="0" t="s">
        <v>240</v>
      </c>
      <c r="AU418" s="0" t="s">
        <v>240</v>
      </c>
      <c r="AV418" s="0" t="s">
        <v>240</v>
      </c>
      <c r="AW418" s="0" t="s">
        <v>240</v>
      </c>
      <c r="AX418" s="0" t="s">
        <v>240</v>
      </c>
      <c r="AY418" s="0" t="s">
        <v>240</v>
      </c>
      <c r="AZ418" s="0" t="s">
        <v>240</v>
      </c>
      <c r="BA418" s="0" t="s">
        <v>240</v>
      </c>
      <c r="BB418" s="0" t="s">
        <v>240</v>
      </c>
      <c r="BC418" s="0" t="s">
        <v>240</v>
      </c>
      <c r="BD418" s="0" t="s">
        <v>240</v>
      </c>
      <c r="BE418" s="0" t="s">
        <v>5645</v>
      </c>
      <c r="BF418" s="0" t="s">
        <v>5645</v>
      </c>
      <c r="BG418" s="0" t="s">
        <v>112</v>
      </c>
      <c r="BH418" s="0" t="s">
        <v>5589</v>
      </c>
      <c r="BI418" s="0" t="s">
        <v>123</v>
      </c>
      <c r="BJ418" s="0" t="s">
        <v>240</v>
      </c>
      <c r="BK418" s="0" t="s">
        <v>5608</v>
      </c>
      <c r="BL418" s="0" t="s">
        <v>2985</v>
      </c>
      <c r="BM418" s="0" t="s">
        <v>2985</v>
      </c>
      <c r="BN418" s="0" t="s">
        <v>5646</v>
      </c>
      <c r="BO418" s="0" t="s">
        <v>5913</v>
      </c>
      <c r="BP418" s="0" t="s">
        <v>5916</v>
      </c>
      <c r="BQ418" s="0" t="s">
        <v>5917</v>
      </c>
      <c r="BR418" s="0" t="s">
        <v>485</v>
      </c>
      <c r="BS418" s="0" t="s">
        <v>240</v>
      </c>
      <c r="BT418" s="0" t="s">
        <v>5650</v>
      </c>
      <c r="BU418" s="0" t="s">
        <v>5918</v>
      </c>
      <c r="BV418" s="0" t="s">
        <v>5918</v>
      </c>
      <c r="BW418" s="0" t="s">
        <v>5598</v>
      </c>
      <c r="BX418" s="0" t="s">
        <v>5598</v>
      </c>
      <c r="BY418" s="0" t="s">
        <v>5598</v>
      </c>
      <c r="BZ418" s="0" t="s">
        <v>5598</v>
      </c>
      <c r="CA418" s="0" t="s">
        <v>5598</v>
      </c>
      <c r="CB418" s="0" t="s">
        <v>240</v>
      </c>
      <c r="CC418" s="0" t="s">
        <v>240</v>
      </c>
      <c r="CD418" s="0" t="s">
        <v>240</v>
      </c>
      <c r="CE418" s="0" t="s">
        <v>240</v>
      </c>
      <c r="CF418" s="0" t="s">
        <v>240</v>
      </c>
      <c r="CG418" s="0" t="s">
        <v>5598</v>
      </c>
      <c r="CH418" s="0" t="s">
        <v>240</v>
      </c>
      <c r="CI418" s="0" t="s">
        <v>240</v>
      </c>
      <c r="CJ418" s="0" t="s">
        <v>240</v>
      </c>
      <c r="CK418" s="0" t="s">
        <v>240</v>
      </c>
      <c r="CL418" s="0" t="s">
        <v>240</v>
      </c>
      <c r="CM418" s="0" t="s">
        <v>5918</v>
      </c>
      <c r="CN418" s="0" t="s">
        <v>5918</v>
      </c>
      <c r="CO418" s="0" t="s">
        <v>240</v>
      </c>
      <c r="CP418" s="0" t="s">
        <v>240</v>
      </c>
      <c r="CQ418" s="0" t="s">
        <v>240</v>
      </c>
      <c r="CR418" s="0" t="s">
        <v>240</v>
      </c>
      <c r="CS418" s="0" t="s">
        <v>5507</v>
      </c>
      <c r="CT418" s="0" t="s">
        <v>5496</v>
      </c>
      <c r="CU418" s="0" t="s">
        <v>5497</v>
      </c>
      <c r="CV418" s="0" t="s">
        <v>443</v>
      </c>
      <c r="CW418" s="0" t="s">
        <v>5509</v>
      </c>
      <c r="CX418" s="0" t="s">
        <v>229</v>
      </c>
      <c r="CY418" s="0" t="s">
        <v>443</v>
      </c>
      <c r="CZ418" s="0" t="s">
        <v>5510</v>
      </c>
      <c r="DA418" s="0" t="s">
        <v>5511</v>
      </c>
      <c r="DB418" s="0" t="s">
        <v>5509</v>
      </c>
      <c r="DC418" s="0" t="s">
        <v>384</v>
      </c>
      <c r="DD418" s="0" t="s">
        <v>291</v>
      </c>
      <c r="DE418" s="0" t="s">
        <v>5919</v>
      </c>
    </row>
    <row customHeight="1" ht="11.25">
      <c r="A419" s="1441" t="s">
        <v>240</v>
      </c>
      <c r="B419" s="0" t="s">
        <v>240</v>
      </c>
      <c r="C419" s="0" t="s">
        <v>240</v>
      </c>
      <c r="D419" s="0" t="s">
        <v>240</v>
      </c>
      <c r="E419" s="0" t="s">
        <v>240</v>
      </c>
      <c r="F419" s="0" t="s">
        <v>240</v>
      </c>
      <c r="G419" s="0" t="s">
        <v>240</v>
      </c>
      <c r="H419" s="0" t="s">
        <v>240</v>
      </c>
      <c r="I419" s="0" t="s">
        <v>5484</v>
      </c>
      <c r="J419" s="0" t="s">
        <v>240</v>
      </c>
      <c r="K419" s="0" t="s">
        <v>240</v>
      </c>
      <c r="L419" s="0" t="s">
        <v>240</v>
      </c>
      <c r="M419" s="0" t="s">
        <v>240</v>
      </c>
      <c r="N419" s="0" t="s">
        <v>240</v>
      </c>
      <c r="O419" s="0" t="s">
        <v>240</v>
      </c>
      <c r="P419" s="0" t="s">
        <v>240</v>
      </c>
      <c r="Q419" s="0" t="s">
        <v>240</v>
      </c>
      <c r="R419" s="0" t="s">
        <v>5705</v>
      </c>
      <c r="S419" s="0" t="s">
        <v>240</v>
      </c>
      <c r="T419" s="0" t="s">
        <v>240</v>
      </c>
      <c r="U419" s="0" t="s">
        <v>102</v>
      </c>
      <c r="V419" s="0" t="s">
        <v>240</v>
      </c>
      <c r="W419" s="0" t="s">
        <v>240</v>
      </c>
      <c r="X419" s="0" t="s">
        <v>5585</v>
      </c>
      <c r="Y419" s="0" t="s">
        <v>240</v>
      </c>
      <c r="Z419" s="0" t="s">
        <v>152</v>
      </c>
      <c r="AA419" s="0" t="s">
        <v>152</v>
      </c>
      <c r="AB419" s="0" t="s">
        <v>161</v>
      </c>
      <c r="AC419" s="0" t="s">
        <v>2985</v>
      </c>
      <c r="AD419" s="0" t="s">
        <v>2985</v>
      </c>
      <c r="AE419" s="0" t="s">
        <v>2986</v>
      </c>
      <c r="AF419" s="0" t="s">
        <v>5913</v>
      </c>
      <c r="AG419" s="0" t="s">
        <v>5914</v>
      </c>
      <c r="AH419" s="0" t="s">
        <v>5920</v>
      </c>
      <c r="AI419" s="0" t="s">
        <v>5644</v>
      </c>
      <c r="AJ419" s="0" t="s">
        <v>240</v>
      </c>
      <c r="AK419" s="0" t="s">
        <v>240</v>
      </c>
      <c r="AL419" s="0" t="s">
        <v>240</v>
      </c>
      <c r="AM419" s="0" t="s">
        <v>240</v>
      </c>
      <c r="AN419" s="0" t="s">
        <v>240</v>
      </c>
      <c r="AO419" s="0" t="s">
        <v>240</v>
      </c>
      <c r="AP419" s="0" t="s">
        <v>240</v>
      </c>
      <c r="AQ419" s="0" t="s">
        <v>240</v>
      </c>
      <c r="AR419" s="0" t="s">
        <v>240</v>
      </c>
      <c r="AS419" s="0" t="s">
        <v>240</v>
      </c>
      <c r="AT419" s="0" t="s">
        <v>240</v>
      </c>
      <c r="AU419" s="0" t="s">
        <v>240</v>
      </c>
      <c r="AV419" s="0" t="s">
        <v>240</v>
      </c>
      <c r="AW419" s="0" t="s">
        <v>240</v>
      </c>
      <c r="AX419" s="0" t="s">
        <v>240</v>
      </c>
      <c r="AY419" s="0" t="s">
        <v>240</v>
      </c>
      <c r="AZ419" s="0" t="s">
        <v>240</v>
      </c>
      <c r="BA419" s="0" t="s">
        <v>240</v>
      </c>
      <c r="BB419" s="0" t="s">
        <v>240</v>
      </c>
      <c r="BC419" s="0" t="s">
        <v>240</v>
      </c>
      <c r="BD419" s="0" t="s">
        <v>240</v>
      </c>
      <c r="BE419" s="0" t="s">
        <v>5645</v>
      </c>
      <c r="BF419" s="0" t="s">
        <v>5645</v>
      </c>
      <c r="BG419" s="0" t="s">
        <v>112</v>
      </c>
      <c r="BH419" s="0" t="s">
        <v>5589</v>
      </c>
      <c r="BI419" s="0" t="s">
        <v>123</v>
      </c>
      <c r="BJ419" s="0" t="s">
        <v>240</v>
      </c>
      <c r="BK419" s="0" t="s">
        <v>5608</v>
      </c>
      <c r="BL419" s="0" t="s">
        <v>2985</v>
      </c>
      <c r="BM419" s="0" t="s">
        <v>2985</v>
      </c>
      <c r="BN419" s="0" t="s">
        <v>5646</v>
      </c>
      <c r="BO419" s="0" t="s">
        <v>5913</v>
      </c>
      <c r="BP419" s="0" t="s">
        <v>5916</v>
      </c>
      <c r="BQ419" s="0" t="s">
        <v>5921</v>
      </c>
      <c r="BR419" s="0" t="s">
        <v>485</v>
      </c>
      <c r="BS419" s="0" t="s">
        <v>240</v>
      </c>
      <c r="BT419" s="0" t="s">
        <v>5650</v>
      </c>
      <c r="BU419" s="0" t="s">
        <v>5922</v>
      </c>
      <c r="BV419" s="0" t="s">
        <v>5922</v>
      </c>
      <c r="BW419" s="0" t="s">
        <v>5598</v>
      </c>
      <c r="BX419" s="0" t="s">
        <v>5598</v>
      </c>
      <c r="BY419" s="0" t="s">
        <v>5598</v>
      </c>
      <c r="BZ419" s="0" t="s">
        <v>5598</v>
      </c>
      <c r="CA419" s="0" t="s">
        <v>5598</v>
      </c>
      <c r="CB419" s="0" t="s">
        <v>240</v>
      </c>
      <c r="CC419" s="0" t="s">
        <v>240</v>
      </c>
      <c r="CD419" s="0" t="s">
        <v>240</v>
      </c>
      <c r="CE419" s="0" t="s">
        <v>240</v>
      </c>
      <c r="CF419" s="0" t="s">
        <v>240</v>
      </c>
      <c r="CG419" s="0" t="s">
        <v>5598</v>
      </c>
      <c r="CH419" s="0" t="s">
        <v>240</v>
      </c>
      <c r="CI419" s="0" t="s">
        <v>240</v>
      </c>
      <c r="CJ419" s="0" t="s">
        <v>240</v>
      </c>
      <c r="CK419" s="0" t="s">
        <v>240</v>
      </c>
      <c r="CL419" s="0" t="s">
        <v>240</v>
      </c>
      <c r="CM419" s="0" t="s">
        <v>5922</v>
      </c>
      <c r="CN419" s="0" t="s">
        <v>5922</v>
      </c>
      <c r="CO419" s="0" t="s">
        <v>240</v>
      </c>
      <c r="CP419" s="0" t="s">
        <v>240</v>
      </c>
      <c r="CQ419" s="0" t="s">
        <v>240</v>
      </c>
      <c r="CR419" s="0" t="s">
        <v>240</v>
      </c>
      <c r="CS419" s="0" t="s">
        <v>5507</v>
      </c>
      <c r="CT419" s="0" t="s">
        <v>5496</v>
      </c>
      <c r="CU419" s="0" t="s">
        <v>5497</v>
      </c>
      <c r="CV419" s="0" t="s">
        <v>443</v>
      </c>
      <c r="CW419" s="0" t="s">
        <v>5509</v>
      </c>
      <c r="CX419" s="0" t="s">
        <v>229</v>
      </c>
      <c r="CY419" s="0" t="s">
        <v>443</v>
      </c>
      <c r="CZ419" s="0" t="s">
        <v>5510</v>
      </c>
      <c r="DA419" s="0" t="s">
        <v>5511</v>
      </c>
      <c r="DB419" s="0" t="s">
        <v>5509</v>
      </c>
      <c r="DC419" s="0" t="s">
        <v>384</v>
      </c>
      <c r="DD419" s="0" t="s">
        <v>291</v>
      </c>
      <c r="DE419" s="0" t="s">
        <v>5923</v>
      </c>
    </row>
    <row customHeight="1" ht="11.25">
      <c r="A420" s="1441" t="s">
        <v>240</v>
      </c>
      <c r="B420" s="0" t="s">
        <v>240</v>
      </c>
      <c r="C420" s="0" t="s">
        <v>240</v>
      </c>
      <c r="D420" s="0" t="s">
        <v>240</v>
      </c>
      <c r="E420" s="0" t="s">
        <v>240</v>
      </c>
      <c r="F420" s="0" t="s">
        <v>240</v>
      </c>
      <c r="G420" s="0" t="s">
        <v>240</v>
      </c>
      <c r="H420" s="0" t="s">
        <v>240</v>
      </c>
      <c r="I420" s="0" t="s">
        <v>5484</v>
      </c>
      <c r="J420" s="0" t="s">
        <v>240</v>
      </c>
      <c r="K420" s="0" t="s">
        <v>240</v>
      </c>
      <c r="L420" s="0" t="s">
        <v>240</v>
      </c>
      <c r="M420" s="0" t="s">
        <v>240</v>
      </c>
      <c r="N420" s="0" t="s">
        <v>240</v>
      </c>
      <c r="O420" s="0" t="s">
        <v>240</v>
      </c>
      <c r="P420" s="0" t="s">
        <v>240</v>
      </c>
      <c r="Q420" s="0" t="s">
        <v>240</v>
      </c>
      <c r="R420" s="0" t="s">
        <v>5556</v>
      </c>
      <c r="S420" s="0" t="s">
        <v>240</v>
      </c>
      <c r="T420" s="0" t="s">
        <v>240</v>
      </c>
      <c r="U420" s="0" t="s">
        <v>102</v>
      </c>
      <c r="V420" s="0" t="s">
        <v>240</v>
      </c>
      <c r="W420" s="0" t="s">
        <v>240</v>
      </c>
      <c r="X420" s="0" t="s">
        <v>5485</v>
      </c>
      <c r="Y420" s="0" t="s">
        <v>240</v>
      </c>
      <c r="Z420" s="0" t="s">
        <v>161</v>
      </c>
      <c r="AA420" s="0" t="s">
        <v>152</v>
      </c>
      <c r="AB420" s="0" t="s">
        <v>152</v>
      </c>
      <c r="AC420" s="0" t="s">
        <v>2991</v>
      </c>
      <c r="AD420" s="0" t="s">
        <v>2991</v>
      </c>
      <c r="AE420" s="0" t="s">
        <v>2992</v>
      </c>
      <c r="AF420" s="0" t="s">
        <v>5540</v>
      </c>
      <c r="AG420" s="0" t="s">
        <v>5541</v>
      </c>
      <c r="AH420" s="0" t="s">
        <v>5542</v>
      </c>
      <c r="AI420" s="0" t="s">
        <v>498</v>
      </c>
      <c r="AJ420" s="0" t="s">
        <v>5504</v>
      </c>
      <c r="AK420" s="0" t="s">
        <v>5544</v>
      </c>
      <c r="AL420" s="0" t="s">
        <v>5506</v>
      </c>
      <c r="AM420" s="0" t="s">
        <v>5493</v>
      </c>
      <c r="AN420" s="0" t="s">
        <v>5553</v>
      </c>
      <c r="AO420" s="0" t="s">
        <v>5554</v>
      </c>
      <c r="AP420" s="0" t="s">
        <v>240</v>
      </c>
      <c r="AQ420" s="0" t="s">
        <v>240</v>
      </c>
      <c r="AR420" s="0" t="s">
        <v>240</v>
      </c>
      <c r="AS420" s="0" t="s">
        <v>240</v>
      </c>
      <c r="AT420" s="0" t="s">
        <v>240</v>
      </c>
      <c r="AU420" s="0" t="s">
        <v>240</v>
      </c>
      <c r="AV420" s="0" t="s">
        <v>240</v>
      </c>
      <c r="AW420" s="0" t="s">
        <v>240</v>
      </c>
      <c r="AX420" s="0" t="s">
        <v>240</v>
      </c>
      <c r="AY420" s="0" t="s">
        <v>240</v>
      </c>
      <c r="AZ420" s="0" t="s">
        <v>240</v>
      </c>
      <c r="BA420" s="0" t="s">
        <v>240</v>
      </c>
      <c r="BB420" s="0" t="s">
        <v>240</v>
      </c>
      <c r="BC420" s="0" t="s">
        <v>240</v>
      </c>
      <c r="BD420" s="0" t="s">
        <v>240</v>
      </c>
      <c r="BE420" s="0" t="s">
        <v>240</v>
      </c>
      <c r="BF420" s="0" t="s">
        <v>240</v>
      </c>
      <c r="BG420" s="0" t="s">
        <v>240</v>
      </c>
      <c r="BH420" s="0" t="s">
        <v>240</v>
      </c>
      <c r="BI420" s="0" t="s">
        <v>240</v>
      </c>
      <c r="BJ420" s="0" t="s">
        <v>240</v>
      </c>
      <c r="BK420" s="0" t="s">
        <v>240</v>
      </c>
      <c r="BL420" s="0" t="s">
        <v>240</v>
      </c>
      <c r="BM420" s="0" t="s">
        <v>240</v>
      </c>
      <c r="BN420" s="0" t="s">
        <v>240</v>
      </c>
      <c r="BO420" s="0" t="s">
        <v>240</v>
      </c>
      <c r="BP420" s="0" t="s">
        <v>240</v>
      </c>
      <c r="BQ420" s="0" t="s">
        <v>240</v>
      </c>
      <c r="BR420" s="0" t="s">
        <v>240</v>
      </c>
      <c r="BS420" s="0" t="s">
        <v>240</v>
      </c>
      <c r="BT420" s="0" t="s">
        <v>240</v>
      </c>
      <c r="BU420" s="0" t="s">
        <v>240</v>
      </c>
      <c r="BV420" s="0" t="s">
        <v>240</v>
      </c>
      <c r="BW420" s="0" t="s">
        <v>240</v>
      </c>
      <c r="BX420" s="0" t="s">
        <v>240</v>
      </c>
      <c r="BY420" s="0" t="s">
        <v>240</v>
      </c>
      <c r="BZ420" s="0" t="s">
        <v>240</v>
      </c>
      <c r="CA420" s="0" t="s">
        <v>240</v>
      </c>
      <c r="CB420" s="0" t="s">
        <v>240</v>
      </c>
      <c r="CC420" s="0" t="s">
        <v>240</v>
      </c>
      <c r="CD420" s="0" t="s">
        <v>240</v>
      </c>
      <c r="CE420" s="0" t="s">
        <v>240</v>
      </c>
      <c r="CF420" s="0" t="s">
        <v>240</v>
      </c>
      <c r="CG420" s="0" t="s">
        <v>240</v>
      </c>
      <c r="CH420" s="0" t="s">
        <v>240</v>
      </c>
      <c r="CI420" s="0" t="s">
        <v>240</v>
      </c>
      <c r="CJ420" s="0" t="s">
        <v>240</v>
      </c>
      <c r="CK420" s="0" t="s">
        <v>240</v>
      </c>
      <c r="CL420" s="0" t="s">
        <v>240</v>
      </c>
      <c r="CM420" s="0" t="s">
        <v>240</v>
      </c>
      <c r="CN420" s="0" t="s">
        <v>240</v>
      </c>
      <c r="CO420" s="0" t="s">
        <v>240</v>
      </c>
      <c r="CP420" s="0" t="s">
        <v>240</v>
      </c>
      <c r="CQ420" s="0" t="s">
        <v>240</v>
      </c>
      <c r="CR420" s="0" t="s">
        <v>240</v>
      </c>
      <c r="CS420" s="0" t="s">
        <v>240</v>
      </c>
      <c r="CT420" s="0" t="s">
        <v>5496</v>
      </c>
      <c r="CU420" s="0" t="s">
        <v>5497</v>
      </c>
      <c r="CV420" s="0" t="s">
        <v>443</v>
      </c>
      <c r="CW420" s="0" t="s">
        <v>5547</v>
      </c>
      <c r="CX420" s="0" t="s">
        <v>229</v>
      </c>
      <c r="CY420" s="0" t="s">
        <v>443</v>
      </c>
      <c r="CZ420" s="0" t="s">
        <v>5548</v>
      </c>
      <c r="DA420" s="0" t="s">
        <v>5549</v>
      </c>
      <c r="DB420" s="0" t="s">
        <v>5547</v>
      </c>
      <c r="DC420" s="0" t="s">
        <v>384</v>
      </c>
      <c r="DD420" s="0" t="s">
        <v>291</v>
      </c>
      <c r="DE420" s="0" t="s">
        <v>5557</v>
      </c>
    </row>
    <row customHeight="1" ht="11.25">
      <c r="A421" s="1441" t="s">
        <v>240</v>
      </c>
      <c r="B421" s="0" t="s">
        <v>240</v>
      </c>
      <c r="C421" s="0" t="s">
        <v>240</v>
      </c>
      <c r="D421" s="0" t="s">
        <v>240</v>
      </c>
      <c r="E421" s="0" t="s">
        <v>240</v>
      </c>
      <c r="F421" s="0" t="s">
        <v>240</v>
      </c>
      <c r="G421" s="0" t="s">
        <v>240</v>
      </c>
      <c r="H421" s="0" t="s">
        <v>240</v>
      </c>
      <c r="I421" s="0" t="s">
        <v>5484</v>
      </c>
      <c r="J421" s="0" t="s">
        <v>240</v>
      </c>
      <c r="K421" s="0" t="s">
        <v>240</v>
      </c>
      <c r="L421" s="0" t="s">
        <v>240</v>
      </c>
      <c r="M421" s="0" t="s">
        <v>240</v>
      </c>
      <c r="N421" s="0" t="s">
        <v>240</v>
      </c>
      <c r="O421" s="0" t="s">
        <v>240</v>
      </c>
      <c r="P421" s="0" t="s">
        <v>240</v>
      </c>
      <c r="Q421" s="0" t="s">
        <v>240</v>
      </c>
      <c r="R421" s="0" t="s">
        <v>5924</v>
      </c>
      <c r="S421" s="0" t="s">
        <v>240</v>
      </c>
      <c r="T421" s="0" t="s">
        <v>240</v>
      </c>
      <c r="U421" s="0" t="s">
        <v>102</v>
      </c>
      <c r="V421" s="0" t="s">
        <v>240</v>
      </c>
      <c r="W421" s="0" t="s">
        <v>240</v>
      </c>
      <c r="X421" s="0" t="s">
        <v>5485</v>
      </c>
      <c r="Y421" s="0" t="s">
        <v>240</v>
      </c>
      <c r="Z421" s="0" t="s">
        <v>161</v>
      </c>
      <c r="AA421" s="0" t="s">
        <v>152</v>
      </c>
      <c r="AB421" s="0" t="s">
        <v>152</v>
      </c>
      <c r="AC421" s="0" t="s">
        <v>2991</v>
      </c>
      <c r="AD421" s="0" t="s">
        <v>2991</v>
      </c>
      <c r="AE421" s="0" t="s">
        <v>2992</v>
      </c>
      <c r="AF421" s="0" t="s">
        <v>5540</v>
      </c>
      <c r="AG421" s="0" t="s">
        <v>5541</v>
      </c>
      <c r="AH421" s="0" t="s">
        <v>5542</v>
      </c>
      <c r="AI421" s="0" t="s">
        <v>5925</v>
      </c>
      <c r="AJ421" s="0" t="s">
        <v>5504</v>
      </c>
      <c r="AK421" s="0" t="s">
        <v>5731</v>
      </c>
      <c r="AL421" s="0" t="s">
        <v>5506</v>
      </c>
      <c r="AM421" s="0" t="s">
        <v>5493</v>
      </c>
      <c r="AN421" s="0" t="s">
        <v>5491</v>
      </c>
      <c r="AO421" s="0" t="s">
        <v>5546</v>
      </c>
      <c r="AP421" s="0" t="s">
        <v>240</v>
      </c>
      <c r="AQ421" s="0" t="s">
        <v>240</v>
      </c>
      <c r="AR421" s="0" t="s">
        <v>240</v>
      </c>
      <c r="AS421" s="0" t="s">
        <v>240</v>
      </c>
      <c r="AT421" s="0" t="s">
        <v>240</v>
      </c>
      <c r="AU421" s="0" t="s">
        <v>240</v>
      </c>
      <c r="AV421" s="0" t="s">
        <v>240</v>
      </c>
      <c r="AW421" s="0" t="s">
        <v>240</v>
      </c>
      <c r="AX421" s="0" t="s">
        <v>240</v>
      </c>
      <c r="AY421" s="0" t="s">
        <v>240</v>
      </c>
      <c r="AZ421" s="0" t="s">
        <v>240</v>
      </c>
      <c r="BA421" s="0" t="s">
        <v>240</v>
      </c>
      <c r="BB421" s="0" t="s">
        <v>240</v>
      </c>
      <c r="BC421" s="0" t="s">
        <v>240</v>
      </c>
      <c r="BD421" s="0" t="s">
        <v>240</v>
      </c>
      <c r="BE421" s="0" t="s">
        <v>240</v>
      </c>
      <c r="BF421" s="0" t="s">
        <v>240</v>
      </c>
      <c r="BG421" s="0" t="s">
        <v>240</v>
      </c>
      <c r="BH421" s="0" t="s">
        <v>240</v>
      </c>
      <c r="BI421" s="0" t="s">
        <v>240</v>
      </c>
      <c r="BJ421" s="0" t="s">
        <v>240</v>
      </c>
      <c r="BK421" s="0" t="s">
        <v>240</v>
      </c>
      <c r="BL421" s="0" t="s">
        <v>240</v>
      </c>
      <c r="BM421" s="0" t="s">
        <v>240</v>
      </c>
      <c r="BN421" s="0" t="s">
        <v>240</v>
      </c>
      <c r="BO421" s="0" t="s">
        <v>240</v>
      </c>
      <c r="BP421" s="0" t="s">
        <v>240</v>
      </c>
      <c r="BQ421" s="0" t="s">
        <v>240</v>
      </c>
      <c r="BR421" s="0" t="s">
        <v>240</v>
      </c>
      <c r="BS421" s="0" t="s">
        <v>240</v>
      </c>
      <c r="BT421" s="0" t="s">
        <v>240</v>
      </c>
      <c r="BU421" s="0" t="s">
        <v>240</v>
      </c>
      <c r="BV421" s="0" t="s">
        <v>240</v>
      </c>
      <c r="BW421" s="0" t="s">
        <v>240</v>
      </c>
      <c r="BX421" s="0" t="s">
        <v>240</v>
      </c>
      <c r="BY421" s="0" t="s">
        <v>240</v>
      </c>
      <c r="BZ421" s="0" t="s">
        <v>240</v>
      </c>
      <c r="CA421" s="0" t="s">
        <v>240</v>
      </c>
      <c r="CB421" s="0" t="s">
        <v>240</v>
      </c>
      <c r="CC421" s="0" t="s">
        <v>240</v>
      </c>
      <c r="CD421" s="0" t="s">
        <v>240</v>
      </c>
      <c r="CE421" s="0" t="s">
        <v>240</v>
      </c>
      <c r="CF421" s="0" t="s">
        <v>240</v>
      </c>
      <c r="CG421" s="0" t="s">
        <v>240</v>
      </c>
      <c r="CH421" s="0" t="s">
        <v>240</v>
      </c>
      <c r="CI421" s="0" t="s">
        <v>240</v>
      </c>
      <c r="CJ421" s="0" t="s">
        <v>240</v>
      </c>
      <c r="CK421" s="0" t="s">
        <v>240</v>
      </c>
      <c r="CL421" s="0" t="s">
        <v>240</v>
      </c>
      <c r="CM421" s="0" t="s">
        <v>240</v>
      </c>
      <c r="CN421" s="0" t="s">
        <v>240</v>
      </c>
      <c r="CO421" s="0" t="s">
        <v>240</v>
      </c>
      <c r="CP421" s="0" t="s">
        <v>240</v>
      </c>
      <c r="CQ421" s="0" t="s">
        <v>240</v>
      </c>
      <c r="CR421" s="0" t="s">
        <v>240</v>
      </c>
      <c r="CS421" s="0" t="s">
        <v>240</v>
      </c>
      <c r="CT421" s="0" t="s">
        <v>5496</v>
      </c>
      <c r="CU421" s="0" t="s">
        <v>5497</v>
      </c>
      <c r="CV421" s="0" t="s">
        <v>443</v>
      </c>
      <c r="CW421" s="0" t="s">
        <v>5547</v>
      </c>
      <c r="CX421" s="0" t="s">
        <v>229</v>
      </c>
      <c r="CY421" s="0" t="s">
        <v>443</v>
      </c>
      <c r="CZ421" s="0" t="s">
        <v>5548</v>
      </c>
      <c r="DA421" s="0" t="s">
        <v>5549</v>
      </c>
      <c r="DB421" s="0" t="s">
        <v>5547</v>
      </c>
      <c r="DC421" s="0" t="s">
        <v>384</v>
      </c>
      <c r="DD421" s="0" t="s">
        <v>291</v>
      </c>
      <c r="DE421" s="0" t="s">
        <v>5926</v>
      </c>
    </row>
    <row customHeight="1" ht="11.25">
      <c r="A422" s="1441" t="s">
        <v>240</v>
      </c>
      <c r="B422" s="0" t="s">
        <v>240</v>
      </c>
      <c r="C422" s="0" t="s">
        <v>240</v>
      </c>
      <c r="D422" s="0" t="s">
        <v>240</v>
      </c>
      <c r="E422" s="0" t="s">
        <v>240</v>
      </c>
      <c r="F422" s="0" t="s">
        <v>240</v>
      </c>
      <c r="G422" s="0" t="s">
        <v>240</v>
      </c>
      <c r="H422" s="0" t="s">
        <v>240</v>
      </c>
      <c r="I422" s="0" t="s">
        <v>5484</v>
      </c>
      <c r="J422" s="0" t="s">
        <v>240</v>
      </c>
      <c r="K422" s="0" t="s">
        <v>240</v>
      </c>
      <c r="L422" s="0" t="s">
        <v>240</v>
      </c>
      <c r="M422" s="0" t="s">
        <v>240</v>
      </c>
      <c r="N422" s="0" t="s">
        <v>240</v>
      </c>
      <c r="O422" s="0" t="s">
        <v>240</v>
      </c>
      <c r="P422" s="0" t="s">
        <v>240</v>
      </c>
      <c r="Q422" s="0" t="s">
        <v>240</v>
      </c>
      <c r="R422" s="0" t="s">
        <v>5927</v>
      </c>
      <c r="S422" s="0" t="s">
        <v>240</v>
      </c>
      <c r="T422" s="0" t="s">
        <v>240</v>
      </c>
      <c r="U422" s="0" t="s">
        <v>102</v>
      </c>
      <c r="V422" s="0" t="s">
        <v>240</v>
      </c>
      <c r="W422" s="0" t="s">
        <v>240</v>
      </c>
      <c r="X422" s="0" t="s">
        <v>5485</v>
      </c>
      <c r="Y422" s="0" t="s">
        <v>240</v>
      </c>
      <c r="Z422" s="0" t="s">
        <v>161</v>
      </c>
      <c r="AA422" s="0" t="s">
        <v>152</v>
      </c>
      <c r="AB422" s="0" t="s">
        <v>152</v>
      </c>
      <c r="AC422" s="0" t="s">
        <v>2991</v>
      </c>
      <c r="AD422" s="0" t="s">
        <v>2991</v>
      </c>
      <c r="AE422" s="0" t="s">
        <v>2992</v>
      </c>
      <c r="AF422" s="0" t="s">
        <v>5540</v>
      </c>
      <c r="AG422" s="0" t="s">
        <v>5541</v>
      </c>
      <c r="AH422" s="0" t="s">
        <v>5542</v>
      </c>
      <c r="AI422" s="0" t="s">
        <v>5928</v>
      </c>
      <c r="AJ422" s="0" t="s">
        <v>5504</v>
      </c>
      <c r="AK422" s="0" t="s">
        <v>5776</v>
      </c>
      <c r="AL422" s="0" t="s">
        <v>5506</v>
      </c>
      <c r="AM422" s="0" t="s">
        <v>5493</v>
      </c>
      <c r="AN422" s="0" t="s">
        <v>5491</v>
      </c>
      <c r="AO422" s="0" t="s">
        <v>5546</v>
      </c>
      <c r="AP422" s="0" t="s">
        <v>240</v>
      </c>
      <c r="AQ422" s="0" t="s">
        <v>240</v>
      </c>
      <c r="AR422" s="0" t="s">
        <v>240</v>
      </c>
      <c r="AS422" s="0" t="s">
        <v>240</v>
      </c>
      <c r="AT422" s="0" t="s">
        <v>240</v>
      </c>
      <c r="AU422" s="0" t="s">
        <v>240</v>
      </c>
      <c r="AV422" s="0" t="s">
        <v>240</v>
      </c>
      <c r="AW422" s="0" t="s">
        <v>240</v>
      </c>
      <c r="AX422" s="0" t="s">
        <v>240</v>
      </c>
      <c r="AY422" s="0" t="s">
        <v>240</v>
      </c>
      <c r="AZ422" s="0" t="s">
        <v>240</v>
      </c>
      <c r="BA422" s="0" t="s">
        <v>240</v>
      </c>
      <c r="BB422" s="0" t="s">
        <v>240</v>
      </c>
      <c r="BC422" s="0" t="s">
        <v>240</v>
      </c>
      <c r="BD422" s="0" t="s">
        <v>240</v>
      </c>
      <c r="BE422" s="0" t="s">
        <v>240</v>
      </c>
      <c r="BF422" s="0" t="s">
        <v>240</v>
      </c>
      <c r="BG422" s="0" t="s">
        <v>240</v>
      </c>
      <c r="BH422" s="0" t="s">
        <v>240</v>
      </c>
      <c r="BI422" s="0" t="s">
        <v>240</v>
      </c>
      <c r="BJ422" s="0" t="s">
        <v>240</v>
      </c>
      <c r="BK422" s="0" t="s">
        <v>240</v>
      </c>
      <c r="BL422" s="0" t="s">
        <v>240</v>
      </c>
      <c r="BM422" s="0" t="s">
        <v>240</v>
      </c>
      <c r="BN422" s="0" t="s">
        <v>240</v>
      </c>
      <c r="BO422" s="0" t="s">
        <v>240</v>
      </c>
      <c r="BP422" s="0" t="s">
        <v>240</v>
      </c>
      <c r="BQ422" s="0" t="s">
        <v>240</v>
      </c>
      <c r="BR422" s="0" t="s">
        <v>240</v>
      </c>
      <c r="BS422" s="0" t="s">
        <v>240</v>
      </c>
      <c r="BT422" s="0" t="s">
        <v>240</v>
      </c>
      <c r="BU422" s="0" t="s">
        <v>240</v>
      </c>
      <c r="BV422" s="0" t="s">
        <v>240</v>
      </c>
      <c r="BW422" s="0" t="s">
        <v>240</v>
      </c>
      <c r="BX422" s="0" t="s">
        <v>240</v>
      </c>
      <c r="BY422" s="0" t="s">
        <v>240</v>
      </c>
      <c r="BZ422" s="0" t="s">
        <v>240</v>
      </c>
      <c r="CA422" s="0" t="s">
        <v>240</v>
      </c>
      <c r="CB422" s="0" t="s">
        <v>240</v>
      </c>
      <c r="CC422" s="0" t="s">
        <v>240</v>
      </c>
      <c r="CD422" s="0" t="s">
        <v>240</v>
      </c>
      <c r="CE422" s="0" t="s">
        <v>240</v>
      </c>
      <c r="CF422" s="0" t="s">
        <v>240</v>
      </c>
      <c r="CG422" s="0" t="s">
        <v>240</v>
      </c>
      <c r="CH422" s="0" t="s">
        <v>240</v>
      </c>
      <c r="CI422" s="0" t="s">
        <v>240</v>
      </c>
      <c r="CJ422" s="0" t="s">
        <v>240</v>
      </c>
      <c r="CK422" s="0" t="s">
        <v>240</v>
      </c>
      <c r="CL422" s="0" t="s">
        <v>240</v>
      </c>
      <c r="CM422" s="0" t="s">
        <v>240</v>
      </c>
      <c r="CN422" s="0" t="s">
        <v>240</v>
      </c>
      <c r="CO422" s="0" t="s">
        <v>240</v>
      </c>
      <c r="CP422" s="0" t="s">
        <v>240</v>
      </c>
      <c r="CQ422" s="0" t="s">
        <v>240</v>
      </c>
      <c r="CR422" s="0" t="s">
        <v>240</v>
      </c>
      <c r="CS422" s="0" t="s">
        <v>240</v>
      </c>
      <c r="CT422" s="0" t="s">
        <v>5496</v>
      </c>
      <c r="CU422" s="0" t="s">
        <v>5497</v>
      </c>
      <c r="CV422" s="0" t="s">
        <v>443</v>
      </c>
      <c r="CW422" s="0" t="s">
        <v>5547</v>
      </c>
      <c r="CX422" s="0" t="s">
        <v>229</v>
      </c>
      <c r="CY422" s="0" t="s">
        <v>443</v>
      </c>
      <c r="CZ422" s="0" t="s">
        <v>5548</v>
      </c>
      <c r="DA422" s="0" t="s">
        <v>5549</v>
      </c>
      <c r="DB422" s="0" t="s">
        <v>5547</v>
      </c>
      <c r="DC422" s="0" t="s">
        <v>384</v>
      </c>
      <c r="DD422" s="0" t="s">
        <v>291</v>
      </c>
      <c r="DE422" s="0" t="s">
        <v>5929</v>
      </c>
    </row>
    <row customHeight="1" ht="11.25">
      <c r="A423" s="1441" t="s">
        <v>240</v>
      </c>
      <c r="B423" s="0" t="s">
        <v>240</v>
      </c>
      <c r="C423" s="0" t="s">
        <v>240</v>
      </c>
      <c r="D423" s="0" t="s">
        <v>240</v>
      </c>
      <c r="E423" s="0" t="s">
        <v>240</v>
      </c>
      <c r="F423" s="0" t="s">
        <v>240</v>
      </c>
      <c r="G423" s="0" t="s">
        <v>240</v>
      </c>
      <c r="H423" s="0" t="s">
        <v>240</v>
      </c>
      <c r="I423" s="0" t="s">
        <v>5484</v>
      </c>
      <c r="J423" s="0" t="s">
        <v>240</v>
      </c>
      <c r="K423" s="0" t="s">
        <v>240</v>
      </c>
      <c r="L423" s="0" t="s">
        <v>240</v>
      </c>
      <c r="M423" s="0" t="s">
        <v>240</v>
      </c>
      <c r="N423" s="0" t="s">
        <v>240</v>
      </c>
      <c r="O423" s="0" t="s">
        <v>240</v>
      </c>
      <c r="P423" s="0" t="s">
        <v>240</v>
      </c>
      <c r="Q423" s="0" t="s">
        <v>240</v>
      </c>
      <c r="R423" s="0" t="s">
        <v>6192</v>
      </c>
      <c r="S423" s="0" t="s">
        <v>240</v>
      </c>
      <c r="T423" s="0" t="s">
        <v>240</v>
      </c>
      <c r="U423" s="0" t="s">
        <v>102</v>
      </c>
      <c r="V423" s="0" t="s">
        <v>240</v>
      </c>
      <c r="W423" s="0" t="s">
        <v>240</v>
      </c>
      <c r="X423" s="0" t="s">
        <v>5585</v>
      </c>
      <c r="Y423" s="0" t="s">
        <v>240</v>
      </c>
      <c r="Z423" s="0" t="s">
        <v>152</v>
      </c>
      <c r="AA423" s="0" t="s">
        <v>152</v>
      </c>
      <c r="AB423" s="0" t="s">
        <v>161</v>
      </c>
      <c r="AC423" s="0" t="s">
        <v>2991</v>
      </c>
      <c r="AD423" s="0" t="s">
        <v>2991</v>
      </c>
      <c r="AE423" s="0" t="s">
        <v>2992</v>
      </c>
      <c r="AF423" s="0" t="s">
        <v>6005</v>
      </c>
      <c r="AG423" s="0" t="s">
        <v>6006</v>
      </c>
      <c r="AH423" s="0" t="s">
        <v>5575</v>
      </c>
      <c r="AI423" s="0" t="s">
        <v>5575</v>
      </c>
      <c r="AJ423" s="0" t="s">
        <v>240</v>
      </c>
      <c r="AK423" s="0" t="s">
        <v>240</v>
      </c>
      <c r="AL423" s="0" t="s">
        <v>240</v>
      </c>
      <c r="AM423" s="0" t="s">
        <v>240</v>
      </c>
      <c r="AN423" s="0" t="s">
        <v>240</v>
      </c>
      <c r="AO423" s="0" t="s">
        <v>240</v>
      </c>
      <c r="AP423" s="0" t="s">
        <v>240</v>
      </c>
      <c r="AQ423" s="0" t="s">
        <v>240</v>
      </c>
      <c r="AR423" s="0" t="s">
        <v>240</v>
      </c>
      <c r="AS423" s="0" t="s">
        <v>240</v>
      </c>
      <c r="AT423" s="0" t="s">
        <v>240</v>
      </c>
      <c r="AU423" s="0" t="s">
        <v>240</v>
      </c>
      <c r="AV423" s="0" t="s">
        <v>240</v>
      </c>
      <c r="AW423" s="0" t="s">
        <v>240</v>
      </c>
      <c r="AX423" s="0" t="s">
        <v>240</v>
      </c>
      <c r="AY423" s="0" t="s">
        <v>240</v>
      </c>
      <c r="AZ423" s="0" t="s">
        <v>240</v>
      </c>
      <c r="BA423" s="0" t="s">
        <v>240</v>
      </c>
      <c r="BB423" s="0" t="s">
        <v>240</v>
      </c>
      <c r="BC423" s="0" t="s">
        <v>240</v>
      </c>
      <c r="BD423" s="0" t="s">
        <v>240</v>
      </c>
      <c r="BE423" s="0" t="s">
        <v>5552</v>
      </c>
      <c r="BF423" s="0" t="s">
        <v>5544</v>
      </c>
      <c r="BG423" s="0" t="s">
        <v>112</v>
      </c>
      <c r="BH423" s="0" t="s">
        <v>5589</v>
      </c>
      <c r="BI423" s="0" t="s">
        <v>123</v>
      </c>
      <c r="BJ423" s="0" t="s">
        <v>240</v>
      </c>
      <c r="BK423" s="0" t="s">
        <v>5608</v>
      </c>
      <c r="BL423" s="0" t="s">
        <v>2991</v>
      </c>
      <c r="BM423" s="0" t="s">
        <v>2991</v>
      </c>
      <c r="BN423" s="0" t="s">
        <v>5663</v>
      </c>
      <c r="BO423" s="0" t="s">
        <v>6005</v>
      </c>
      <c r="BP423" s="0" t="s">
        <v>6193</v>
      </c>
      <c r="BQ423" s="0" t="s">
        <v>5575</v>
      </c>
      <c r="BR423" s="0" t="s">
        <v>5575</v>
      </c>
      <c r="BS423" s="0" t="s">
        <v>240</v>
      </c>
      <c r="BT423" s="0" t="s">
        <v>5650</v>
      </c>
      <c r="BU423" s="0" t="s">
        <v>6194</v>
      </c>
      <c r="BV423" s="0" t="s">
        <v>6194</v>
      </c>
      <c r="BW423" s="0" t="s">
        <v>5598</v>
      </c>
      <c r="BX423" s="0" t="s">
        <v>5598</v>
      </c>
      <c r="BY423" s="0" t="s">
        <v>5598</v>
      </c>
      <c r="BZ423" s="0" t="s">
        <v>5598</v>
      </c>
      <c r="CA423" s="0" t="s">
        <v>5598</v>
      </c>
      <c r="CB423" s="0" t="s">
        <v>240</v>
      </c>
      <c r="CC423" s="0" t="s">
        <v>240</v>
      </c>
      <c r="CD423" s="0" t="s">
        <v>240</v>
      </c>
      <c r="CE423" s="0" t="s">
        <v>240</v>
      </c>
      <c r="CF423" s="0" t="s">
        <v>240</v>
      </c>
      <c r="CG423" s="0" t="s">
        <v>5598</v>
      </c>
      <c r="CH423" s="0" t="s">
        <v>240</v>
      </c>
      <c r="CI423" s="0" t="s">
        <v>240</v>
      </c>
      <c r="CJ423" s="0" t="s">
        <v>240</v>
      </c>
      <c r="CK423" s="0" t="s">
        <v>240</v>
      </c>
      <c r="CL423" s="0" t="s">
        <v>240</v>
      </c>
      <c r="CM423" s="0" t="s">
        <v>6194</v>
      </c>
      <c r="CN423" s="0" t="s">
        <v>6194</v>
      </c>
      <c r="CO423" s="0" t="s">
        <v>240</v>
      </c>
      <c r="CP423" s="0" t="s">
        <v>240</v>
      </c>
      <c r="CQ423" s="0" t="s">
        <v>240</v>
      </c>
      <c r="CR423" s="0" t="s">
        <v>240</v>
      </c>
      <c r="CS423" s="0" t="s">
        <v>5666</v>
      </c>
      <c r="CT423" s="0" t="s">
        <v>5496</v>
      </c>
      <c r="CU423" s="0" t="s">
        <v>5497</v>
      </c>
      <c r="CV423" s="0" t="s">
        <v>443</v>
      </c>
      <c r="CW423" s="0" t="s">
        <v>5547</v>
      </c>
      <c r="CX423" s="0" t="s">
        <v>229</v>
      </c>
      <c r="CY423" s="0" t="s">
        <v>443</v>
      </c>
      <c r="CZ423" s="0" t="s">
        <v>5548</v>
      </c>
      <c r="DA423" s="0" t="s">
        <v>5549</v>
      </c>
      <c r="DB423" s="0" t="s">
        <v>5547</v>
      </c>
      <c r="DC423" s="0" t="s">
        <v>384</v>
      </c>
      <c r="DD423" s="0" t="s">
        <v>291</v>
      </c>
      <c r="DE423" s="0" t="s">
        <v>6195</v>
      </c>
    </row>
    <row customHeight="1" ht="11.25">
      <c r="A424" s="1441" t="s">
        <v>240</v>
      </c>
      <c r="B424" s="0" t="s">
        <v>240</v>
      </c>
      <c r="C424" s="0" t="s">
        <v>240</v>
      </c>
      <c r="D424" s="0" t="s">
        <v>240</v>
      </c>
      <c r="E424" s="0" t="s">
        <v>240</v>
      </c>
      <c r="F424" s="0" t="s">
        <v>240</v>
      </c>
      <c r="G424" s="0" t="s">
        <v>240</v>
      </c>
      <c r="H424" s="0" t="s">
        <v>240</v>
      </c>
      <c r="I424" s="0" t="s">
        <v>5484</v>
      </c>
      <c r="J424" s="0" t="s">
        <v>240</v>
      </c>
      <c r="K424" s="0" t="s">
        <v>240</v>
      </c>
      <c r="L424" s="0" t="s">
        <v>240</v>
      </c>
      <c r="M424" s="0" t="s">
        <v>240</v>
      </c>
      <c r="N424" s="0" t="s">
        <v>240</v>
      </c>
      <c r="O424" s="0" t="s">
        <v>240</v>
      </c>
      <c r="P424" s="0" t="s">
        <v>240</v>
      </c>
      <c r="Q424" s="0" t="s">
        <v>240</v>
      </c>
      <c r="R424" s="0" t="s">
        <v>6208</v>
      </c>
      <c r="S424" s="0" t="s">
        <v>240</v>
      </c>
      <c r="T424" s="0" t="s">
        <v>240</v>
      </c>
      <c r="U424" s="0" t="s">
        <v>102</v>
      </c>
      <c r="V424" s="0" t="s">
        <v>240</v>
      </c>
      <c r="W424" s="0" t="s">
        <v>240</v>
      </c>
      <c r="X424" s="0" t="s">
        <v>5485</v>
      </c>
      <c r="Y424" s="0" t="s">
        <v>240</v>
      </c>
      <c r="Z424" s="0" t="s">
        <v>161</v>
      </c>
      <c r="AA424" s="0" t="s">
        <v>152</v>
      </c>
      <c r="AB424" s="0" t="s">
        <v>152</v>
      </c>
      <c r="AC424" s="0" t="s">
        <v>3395</v>
      </c>
      <c r="AD424" s="0" t="s">
        <v>3395</v>
      </c>
      <c r="AE424" s="0" t="s">
        <v>3396</v>
      </c>
      <c r="AF424" s="0" t="s">
        <v>5941</v>
      </c>
      <c r="AG424" s="0" t="s">
        <v>5942</v>
      </c>
      <c r="AH424" s="0" t="s">
        <v>6063</v>
      </c>
      <c r="AI424" s="0" t="s">
        <v>152</v>
      </c>
      <c r="AJ424" s="0" t="s">
        <v>5944</v>
      </c>
      <c r="AK424" s="0" t="s">
        <v>6209</v>
      </c>
      <c r="AL424" s="0" t="s">
        <v>5570</v>
      </c>
      <c r="AM424" s="0" t="s">
        <v>5493</v>
      </c>
      <c r="AN424" s="0" t="s">
        <v>6210</v>
      </c>
      <c r="AO424" s="0" t="s">
        <v>6211</v>
      </c>
      <c r="AP424" s="0" t="s">
        <v>240</v>
      </c>
      <c r="AQ424" s="0" t="s">
        <v>240</v>
      </c>
      <c r="AR424" s="0" t="s">
        <v>240</v>
      </c>
      <c r="AS424" s="0" t="s">
        <v>240</v>
      </c>
      <c r="AT424" s="0" t="s">
        <v>240</v>
      </c>
      <c r="AU424" s="0" t="s">
        <v>240</v>
      </c>
      <c r="AV424" s="0" t="s">
        <v>240</v>
      </c>
      <c r="AW424" s="0" t="s">
        <v>240</v>
      </c>
      <c r="AX424" s="0" t="s">
        <v>240</v>
      </c>
      <c r="AY424" s="0" t="s">
        <v>240</v>
      </c>
      <c r="AZ424" s="0" t="s">
        <v>240</v>
      </c>
      <c r="BA424" s="0" t="s">
        <v>240</v>
      </c>
      <c r="BB424" s="0" t="s">
        <v>240</v>
      </c>
      <c r="BC424" s="0" t="s">
        <v>240</v>
      </c>
      <c r="BD424" s="0" t="s">
        <v>240</v>
      </c>
      <c r="BE424" s="0" t="s">
        <v>240</v>
      </c>
      <c r="BF424" s="0" t="s">
        <v>240</v>
      </c>
      <c r="BG424" s="0" t="s">
        <v>240</v>
      </c>
      <c r="BH424" s="0" t="s">
        <v>240</v>
      </c>
      <c r="BI424" s="0" t="s">
        <v>240</v>
      </c>
      <c r="BJ424" s="0" t="s">
        <v>240</v>
      </c>
      <c r="BK424" s="0" t="s">
        <v>240</v>
      </c>
      <c r="BL424" s="0" t="s">
        <v>240</v>
      </c>
      <c r="BM424" s="0" t="s">
        <v>240</v>
      </c>
      <c r="BN424" s="0" t="s">
        <v>240</v>
      </c>
      <c r="BO424" s="0" t="s">
        <v>240</v>
      </c>
      <c r="BP424" s="0" t="s">
        <v>240</v>
      </c>
      <c r="BQ424" s="0" t="s">
        <v>240</v>
      </c>
      <c r="BR424" s="0" t="s">
        <v>240</v>
      </c>
      <c r="BS424" s="0" t="s">
        <v>240</v>
      </c>
      <c r="BT424" s="0" t="s">
        <v>240</v>
      </c>
      <c r="BU424" s="0" t="s">
        <v>240</v>
      </c>
      <c r="BV424" s="0" t="s">
        <v>240</v>
      </c>
      <c r="BW424" s="0" t="s">
        <v>240</v>
      </c>
      <c r="BX424" s="0" t="s">
        <v>240</v>
      </c>
      <c r="BY424" s="0" t="s">
        <v>240</v>
      </c>
      <c r="BZ424" s="0" t="s">
        <v>240</v>
      </c>
      <c r="CA424" s="0" t="s">
        <v>240</v>
      </c>
      <c r="CB424" s="0" t="s">
        <v>240</v>
      </c>
      <c r="CC424" s="0" t="s">
        <v>240</v>
      </c>
      <c r="CD424" s="0" t="s">
        <v>240</v>
      </c>
      <c r="CE424" s="0" t="s">
        <v>240</v>
      </c>
      <c r="CF424" s="0" t="s">
        <v>240</v>
      </c>
      <c r="CG424" s="0" t="s">
        <v>240</v>
      </c>
      <c r="CH424" s="0" t="s">
        <v>240</v>
      </c>
      <c r="CI424" s="0" t="s">
        <v>240</v>
      </c>
      <c r="CJ424" s="0" t="s">
        <v>240</v>
      </c>
      <c r="CK424" s="0" t="s">
        <v>240</v>
      </c>
      <c r="CL424" s="0" t="s">
        <v>240</v>
      </c>
      <c r="CM424" s="0" t="s">
        <v>240</v>
      </c>
      <c r="CN424" s="0" t="s">
        <v>240</v>
      </c>
      <c r="CO424" s="0" t="s">
        <v>240</v>
      </c>
      <c r="CP424" s="0" t="s">
        <v>240</v>
      </c>
      <c r="CQ424" s="0" t="s">
        <v>240</v>
      </c>
      <c r="CR424" s="0" t="s">
        <v>240</v>
      </c>
      <c r="CS424" s="0" t="s">
        <v>240</v>
      </c>
      <c r="CT424" s="0" t="s">
        <v>5496</v>
      </c>
      <c r="CU424" s="0" t="s">
        <v>5497</v>
      </c>
      <c r="CV424" s="0" t="s">
        <v>5947</v>
      </c>
      <c r="CW424" s="0" t="s">
        <v>5948</v>
      </c>
      <c r="CX424" s="0" t="s">
        <v>5528</v>
      </c>
      <c r="CY424" s="0" t="s">
        <v>5947</v>
      </c>
      <c r="CZ424" s="0" t="s">
        <v>5533</v>
      </c>
      <c r="DA424" s="0" t="s">
        <v>5949</v>
      </c>
      <c r="DB424" s="0" t="s">
        <v>5600</v>
      </c>
      <c r="DC424" s="0" t="s">
        <v>384</v>
      </c>
      <c r="DD424" s="0" t="s">
        <v>291</v>
      </c>
      <c r="DE424" s="0" t="s">
        <v>6073</v>
      </c>
    </row>
    <row customHeight="1" ht="11.25">
      <c r="A425" s="1441" t="s">
        <v>240</v>
      </c>
      <c r="B425" s="0" t="s">
        <v>240</v>
      </c>
      <c r="C425" s="0" t="s">
        <v>240</v>
      </c>
      <c r="D425" s="0" t="s">
        <v>240</v>
      </c>
      <c r="E425" s="0" t="s">
        <v>240</v>
      </c>
      <c r="F425" s="0" t="s">
        <v>240</v>
      </c>
      <c r="G425" s="0" t="s">
        <v>240</v>
      </c>
      <c r="H425" s="0" t="s">
        <v>240</v>
      </c>
      <c r="I425" s="0" t="s">
        <v>5484</v>
      </c>
      <c r="J425" s="0" t="s">
        <v>240</v>
      </c>
      <c r="K425" s="0" t="s">
        <v>240</v>
      </c>
      <c r="L425" s="0" t="s">
        <v>240</v>
      </c>
      <c r="M425" s="0" t="s">
        <v>240</v>
      </c>
      <c r="N425" s="0" t="s">
        <v>240</v>
      </c>
      <c r="O425" s="0" t="s">
        <v>240</v>
      </c>
      <c r="P425" s="0" t="s">
        <v>240</v>
      </c>
      <c r="Q425" s="0" t="s">
        <v>240</v>
      </c>
      <c r="R425" s="0" t="s">
        <v>5572</v>
      </c>
      <c r="S425" s="0" t="s">
        <v>240</v>
      </c>
      <c r="T425" s="0" t="s">
        <v>240</v>
      </c>
      <c r="U425" s="0" t="s">
        <v>102</v>
      </c>
      <c r="V425" s="0" t="s">
        <v>240</v>
      </c>
      <c r="W425" s="0" t="s">
        <v>240</v>
      </c>
      <c r="X425" s="0" t="s">
        <v>5485</v>
      </c>
      <c r="Y425" s="0" t="s">
        <v>240</v>
      </c>
      <c r="Z425" s="0" t="s">
        <v>161</v>
      </c>
      <c r="AA425" s="0" t="s">
        <v>152</v>
      </c>
      <c r="AB425" s="0" t="s">
        <v>152</v>
      </c>
      <c r="AC425" s="0" t="s">
        <v>2991</v>
      </c>
      <c r="AD425" s="0" t="s">
        <v>2991</v>
      </c>
      <c r="AE425" s="0" t="s">
        <v>2992</v>
      </c>
      <c r="AF425" s="0" t="s">
        <v>6445</v>
      </c>
      <c r="AG425" s="0" t="s">
        <v>6446</v>
      </c>
      <c r="AH425" s="0" t="s">
        <v>6447</v>
      </c>
      <c r="AI425" s="0" t="s">
        <v>5551</v>
      </c>
      <c r="AJ425" s="0" t="s">
        <v>6421</v>
      </c>
      <c r="AK425" s="0" t="s">
        <v>6448</v>
      </c>
      <c r="AL425" s="0" t="s">
        <v>5506</v>
      </c>
      <c r="AM425" s="0" t="s">
        <v>5493</v>
      </c>
      <c r="AN425" s="0" t="s">
        <v>5545</v>
      </c>
      <c r="AO425" s="0" t="s">
        <v>5516</v>
      </c>
      <c r="AP425" s="0" t="s">
        <v>240</v>
      </c>
      <c r="AQ425" s="0" t="s">
        <v>240</v>
      </c>
      <c r="AR425" s="0" t="s">
        <v>240</v>
      </c>
      <c r="AS425" s="0" t="s">
        <v>240</v>
      </c>
      <c r="AT425" s="0" t="s">
        <v>240</v>
      </c>
      <c r="AU425" s="0" t="s">
        <v>240</v>
      </c>
      <c r="AV425" s="0" t="s">
        <v>240</v>
      </c>
      <c r="AW425" s="0" t="s">
        <v>240</v>
      </c>
      <c r="AX425" s="0" t="s">
        <v>240</v>
      </c>
      <c r="AY425" s="0" t="s">
        <v>240</v>
      </c>
      <c r="AZ425" s="0" t="s">
        <v>240</v>
      </c>
      <c r="BA425" s="0" t="s">
        <v>240</v>
      </c>
      <c r="BB425" s="0" t="s">
        <v>240</v>
      </c>
      <c r="BC425" s="0" t="s">
        <v>240</v>
      </c>
      <c r="BD425" s="0" t="s">
        <v>240</v>
      </c>
      <c r="BE425" s="0" t="s">
        <v>240</v>
      </c>
      <c r="BF425" s="0" t="s">
        <v>240</v>
      </c>
      <c r="BG425" s="0" t="s">
        <v>240</v>
      </c>
      <c r="BH425" s="0" t="s">
        <v>240</v>
      </c>
      <c r="BI425" s="0" t="s">
        <v>240</v>
      </c>
      <c r="BJ425" s="0" t="s">
        <v>240</v>
      </c>
      <c r="BK425" s="0" t="s">
        <v>240</v>
      </c>
      <c r="BL425" s="0" t="s">
        <v>240</v>
      </c>
      <c r="BM425" s="0" t="s">
        <v>240</v>
      </c>
      <c r="BN425" s="0" t="s">
        <v>240</v>
      </c>
      <c r="BO425" s="0" t="s">
        <v>240</v>
      </c>
      <c r="BP425" s="0" t="s">
        <v>240</v>
      </c>
      <c r="BQ425" s="0" t="s">
        <v>240</v>
      </c>
      <c r="BR425" s="0" t="s">
        <v>240</v>
      </c>
      <c r="BS425" s="0" t="s">
        <v>240</v>
      </c>
      <c r="BT425" s="0" t="s">
        <v>240</v>
      </c>
      <c r="BU425" s="0" t="s">
        <v>240</v>
      </c>
      <c r="BV425" s="0" t="s">
        <v>240</v>
      </c>
      <c r="BW425" s="0" t="s">
        <v>240</v>
      </c>
      <c r="BX425" s="0" t="s">
        <v>240</v>
      </c>
      <c r="BY425" s="0" t="s">
        <v>240</v>
      </c>
      <c r="BZ425" s="0" t="s">
        <v>240</v>
      </c>
      <c r="CA425" s="0" t="s">
        <v>240</v>
      </c>
      <c r="CB425" s="0" t="s">
        <v>240</v>
      </c>
      <c r="CC425" s="0" t="s">
        <v>240</v>
      </c>
      <c r="CD425" s="0" t="s">
        <v>240</v>
      </c>
      <c r="CE425" s="0" t="s">
        <v>240</v>
      </c>
      <c r="CF425" s="0" t="s">
        <v>240</v>
      </c>
      <c r="CG425" s="0" t="s">
        <v>240</v>
      </c>
      <c r="CH425" s="0" t="s">
        <v>240</v>
      </c>
      <c r="CI425" s="0" t="s">
        <v>240</v>
      </c>
      <c r="CJ425" s="0" t="s">
        <v>240</v>
      </c>
      <c r="CK425" s="0" t="s">
        <v>240</v>
      </c>
      <c r="CL425" s="0" t="s">
        <v>240</v>
      </c>
      <c r="CM425" s="0" t="s">
        <v>240</v>
      </c>
      <c r="CN425" s="0" t="s">
        <v>240</v>
      </c>
      <c r="CO425" s="0" t="s">
        <v>240</v>
      </c>
      <c r="CP425" s="0" t="s">
        <v>240</v>
      </c>
      <c r="CQ425" s="0" t="s">
        <v>240</v>
      </c>
      <c r="CR425" s="0" t="s">
        <v>240</v>
      </c>
      <c r="CS425" s="0" t="s">
        <v>240</v>
      </c>
      <c r="CT425" s="0" t="s">
        <v>5496</v>
      </c>
      <c r="CU425" s="0" t="s">
        <v>5497</v>
      </c>
      <c r="CV425" s="0" t="s">
        <v>443</v>
      </c>
      <c r="CW425" s="0" t="s">
        <v>5547</v>
      </c>
      <c r="CX425" s="0" t="s">
        <v>229</v>
      </c>
      <c r="CY425" s="0" t="s">
        <v>443</v>
      </c>
      <c r="CZ425" s="0" t="s">
        <v>5548</v>
      </c>
      <c r="DA425" s="0" t="s">
        <v>5549</v>
      </c>
      <c r="DB425" s="0" t="s">
        <v>5547</v>
      </c>
      <c r="DC425" s="0" t="s">
        <v>384</v>
      </c>
      <c r="DD425" s="0" t="s">
        <v>291</v>
      </c>
      <c r="DE425" s="0" t="s">
        <v>6449</v>
      </c>
    </row>
    <row customHeight="1" ht="11.25">
      <c r="A426" s="1441" t="s">
        <v>240</v>
      </c>
      <c r="B426" s="0" t="s">
        <v>240</v>
      </c>
      <c r="C426" s="0" t="s">
        <v>240</v>
      </c>
      <c r="D426" s="0" t="s">
        <v>240</v>
      </c>
      <c r="E426" s="0" t="s">
        <v>240</v>
      </c>
      <c r="F426" s="0" t="s">
        <v>240</v>
      </c>
      <c r="G426" s="0" t="s">
        <v>240</v>
      </c>
      <c r="H426" s="0" t="s">
        <v>240</v>
      </c>
      <c r="I426" s="0" t="s">
        <v>5484</v>
      </c>
      <c r="J426" s="0" t="s">
        <v>240</v>
      </c>
      <c r="K426" s="0" t="s">
        <v>240</v>
      </c>
      <c r="L426" s="0" t="s">
        <v>240</v>
      </c>
      <c r="M426" s="0" t="s">
        <v>240</v>
      </c>
      <c r="N426" s="0" t="s">
        <v>240</v>
      </c>
      <c r="O426" s="0" t="s">
        <v>240</v>
      </c>
      <c r="P426" s="0" t="s">
        <v>240</v>
      </c>
      <c r="Q426" s="0" t="s">
        <v>240</v>
      </c>
      <c r="R426" s="0" t="s">
        <v>5572</v>
      </c>
      <c r="S426" s="0" t="s">
        <v>240</v>
      </c>
      <c r="T426" s="0" t="s">
        <v>240</v>
      </c>
      <c r="U426" s="0" t="s">
        <v>102</v>
      </c>
      <c r="V426" s="0" t="s">
        <v>240</v>
      </c>
      <c r="W426" s="0" t="s">
        <v>240</v>
      </c>
      <c r="X426" s="0" t="s">
        <v>5485</v>
      </c>
      <c r="Y426" s="0" t="s">
        <v>240</v>
      </c>
      <c r="Z426" s="0" t="s">
        <v>161</v>
      </c>
      <c r="AA426" s="0" t="s">
        <v>152</v>
      </c>
      <c r="AB426" s="0" t="s">
        <v>152</v>
      </c>
      <c r="AC426" s="0" t="s">
        <v>2989</v>
      </c>
      <c r="AD426" s="0" t="s">
        <v>2989</v>
      </c>
      <c r="AE426" s="0" t="s">
        <v>2990</v>
      </c>
      <c r="AF426" s="0" t="s">
        <v>5794</v>
      </c>
      <c r="AG426" s="0" t="s">
        <v>5795</v>
      </c>
      <c r="AH426" s="0" t="s">
        <v>5617</v>
      </c>
      <c r="AI426" s="0" t="s">
        <v>6899</v>
      </c>
      <c r="AJ426" s="0" t="s">
        <v>5776</v>
      </c>
      <c r="AK426" s="0" t="s">
        <v>5814</v>
      </c>
      <c r="AL426" s="0" t="s">
        <v>5506</v>
      </c>
      <c r="AM426" s="0" t="s">
        <v>5493</v>
      </c>
      <c r="AN426" s="0" t="s">
        <v>5578</v>
      </c>
      <c r="AO426" s="0" t="s">
        <v>5579</v>
      </c>
      <c r="AP426" s="0" t="s">
        <v>240</v>
      </c>
      <c r="AQ426" s="0" t="s">
        <v>240</v>
      </c>
      <c r="AR426" s="0" t="s">
        <v>240</v>
      </c>
      <c r="AS426" s="0" t="s">
        <v>240</v>
      </c>
      <c r="AT426" s="0" t="s">
        <v>240</v>
      </c>
      <c r="AU426" s="0" t="s">
        <v>240</v>
      </c>
      <c r="AV426" s="0" t="s">
        <v>240</v>
      </c>
      <c r="AW426" s="0" t="s">
        <v>240</v>
      </c>
      <c r="AX426" s="0" t="s">
        <v>240</v>
      </c>
      <c r="AY426" s="0" t="s">
        <v>240</v>
      </c>
      <c r="AZ426" s="0" t="s">
        <v>240</v>
      </c>
      <c r="BA426" s="0" t="s">
        <v>240</v>
      </c>
      <c r="BB426" s="0" t="s">
        <v>240</v>
      </c>
      <c r="BC426" s="0" t="s">
        <v>240</v>
      </c>
      <c r="BD426" s="0" t="s">
        <v>240</v>
      </c>
      <c r="BE426" s="0" t="s">
        <v>240</v>
      </c>
      <c r="BF426" s="0" t="s">
        <v>240</v>
      </c>
      <c r="BG426" s="0" t="s">
        <v>240</v>
      </c>
      <c r="BH426" s="0" t="s">
        <v>240</v>
      </c>
      <c r="BI426" s="0" t="s">
        <v>240</v>
      </c>
      <c r="BJ426" s="0" t="s">
        <v>240</v>
      </c>
      <c r="BK426" s="0" t="s">
        <v>240</v>
      </c>
      <c r="BL426" s="0" t="s">
        <v>240</v>
      </c>
      <c r="BM426" s="0" t="s">
        <v>240</v>
      </c>
      <c r="BN426" s="0" t="s">
        <v>240</v>
      </c>
      <c r="BO426" s="0" t="s">
        <v>240</v>
      </c>
      <c r="BP426" s="0" t="s">
        <v>240</v>
      </c>
      <c r="BQ426" s="0" t="s">
        <v>240</v>
      </c>
      <c r="BR426" s="0" t="s">
        <v>240</v>
      </c>
      <c r="BS426" s="0" t="s">
        <v>240</v>
      </c>
      <c r="BT426" s="0" t="s">
        <v>240</v>
      </c>
      <c r="BU426" s="0" t="s">
        <v>240</v>
      </c>
      <c r="BV426" s="0" t="s">
        <v>240</v>
      </c>
      <c r="BW426" s="0" t="s">
        <v>240</v>
      </c>
      <c r="BX426" s="0" t="s">
        <v>240</v>
      </c>
      <c r="BY426" s="0" t="s">
        <v>240</v>
      </c>
      <c r="BZ426" s="0" t="s">
        <v>240</v>
      </c>
      <c r="CA426" s="0" t="s">
        <v>240</v>
      </c>
      <c r="CB426" s="0" t="s">
        <v>240</v>
      </c>
      <c r="CC426" s="0" t="s">
        <v>240</v>
      </c>
      <c r="CD426" s="0" t="s">
        <v>240</v>
      </c>
      <c r="CE426" s="0" t="s">
        <v>240</v>
      </c>
      <c r="CF426" s="0" t="s">
        <v>240</v>
      </c>
      <c r="CG426" s="0" t="s">
        <v>240</v>
      </c>
      <c r="CH426" s="0" t="s">
        <v>240</v>
      </c>
      <c r="CI426" s="0" t="s">
        <v>240</v>
      </c>
      <c r="CJ426" s="0" t="s">
        <v>240</v>
      </c>
      <c r="CK426" s="0" t="s">
        <v>240</v>
      </c>
      <c r="CL426" s="0" t="s">
        <v>240</v>
      </c>
      <c r="CM426" s="0" t="s">
        <v>240</v>
      </c>
      <c r="CN426" s="0" t="s">
        <v>240</v>
      </c>
      <c r="CO426" s="0" t="s">
        <v>240</v>
      </c>
      <c r="CP426" s="0" t="s">
        <v>240</v>
      </c>
      <c r="CQ426" s="0" t="s">
        <v>240</v>
      </c>
      <c r="CR426" s="0" t="s">
        <v>240</v>
      </c>
      <c r="CS426" s="0" t="s">
        <v>240</v>
      </c>
      <c r="CT426" s="0" t="s">
        <v>5496</v>
      </c>
      <c r="CU426" s="0" t="s">
        <v>5497</v>
      </c>
      <c r="CV426" s="0" t="s">
        <v>443</v>
      </c>
      <c r="CW426" s="0" t="s">
        <v>5580</v>
      </c>
      <c r="CX426" s="0" t="s">
        <v>229</v>
      </c>
      <c r="CY426" s="0" t="s">
        <v>443</v>
      </c>
      <c r="CZ426" s="0" t="s">
        <v>5581</v>
      </c>
      <c r="DA426" s="0" t="s">
        <v>5582</v>
      </c>
      <c r="DB426" s="0" t="s">
        <v>5580</v>
      </c>
      <c r="DC426" s="0" t="s">
        <v>384</v>
      </c>
      <c r="DD426" s="0" t="s">
        <v>291</v>
      </c>
      <c r="DE426" s="0" t="s">
        <v>6900</v>
      </c>
    </row>
    <row customHeight="1" ht="11.25">
      <c r="A427" s="1441" t="s">
        <v>240</v>
      </c>
      <c r="B427" s="0" t="s">
        <v>240</v>
      </c>
      <c r="C427" s="0" t="s">
        <v>240</v>
      </c>
      <c r="D427" s="0" t="s">
        <v>240</v>
      </c>
      <c r="E427" s="0" t="s">
        <v>240</v>
      </c>
      <c r="F427" s="0" t="s">
        <v>240</v>
      </c>
      <c r="G427" s="0" t="s">
        <v>240</v>
      </c>
      <c r="H427" s="0" t="s">
        <v>240</v>
      </c>
      <c r="I427" s="0" t="s">
        <v>5484</v>
      </c>
      <c r="J427" s="0" t="s">
        <v>240</v>
      </c>
      <c r="K427" s="0" t="s">
        <v>240</v>
      </c>
      <c r="L427" s="0" t="s">
        <v>240</v>
      </c>
      <c r="M427" s="0" t="s">
        <v>240</v>
      </c>
      <c r="N427" s="0" t="s">
        <v>240</v>
      </c>
      <c r="O427" s="0" t="s">
        <v>240</v>
      </c>
      <c r="P427" s="0" t="s">
        <v>240</v>
      </c>
      <c r="Q427" s="0" t="s">
        <v>240</v>
      </c>
      <c r="R427" s="0" t="s">
        <v>5572</v>
      </c>
      <c r="S427" s="0" t="s">
        <v>240</v>
      </c>
      <c r="T427" s="0" t="s">
        <v>240</v>
      </c>
      <c r="U427" s="0" t="s">
        <v>102</v>
      </c>
      <c r="V427" s="0" t="s">
        <v>240</v>
      </c>
      <c r="W427" s="0" t="s">
        <v>240</v>
      </c>
      <c r="X427" s="0" t="s">
        <v>5485</v>
      </c>
      <c r="Y427" s="0" t="s">
        <v>240</v>
      </c>
      <c r="Z427" s="0" t="s">
        <v>161</v>
      </c>
      <c r="AA427" s="0" t="s">
        <v>152</v>
      </c>
      <c r="AB427" s="0" t="s">
        <v>152</v>
      </c>
      <c r="AC427" s="0" t="s">
        <v>2989</v>
      </c>
      <c r="AD427" s="0" t="s">
        <v>2989</v>
      </c>
      <c r="AE427" s="0" t="s">
        <v>2990</v>
      </c>
      <c r="AF427" s="0" t="s">
        <v>5794</v>
      </c>
      <c r="AG427" s="0" t="s">
        <v>5795</v>
      </c>
      <c r="AH427" s="0" t="s">
        <v>6901</v>
      </c>
      <c r="AI427" s="0" t="s">
        <v>6902</v>
      </c>
      <c r="AJ427" s="0" t="s">
        <v>5576</v>
      </c>
      <c r="AK427" s="0" t="s">
        <v>6903</v>
      </c>
      <c r="AL427" s="0" t="s">
        <v>5506</v>
      </c>
      <c r="AM427" s="0" t="s">
        <v>5493</v>
      </c>
      <c r="AN427" s="0" t="s">
        <v>5578</v>
      </c>
      <c r="AO427" s="0" t="s">
        <v>5579</v>
      </c>
      <c r="AP427" s="0" t="s">
        <v>240</v>
      </c>
      <c r="AQ427" s="0" t="s">
        <v>240</v>
      </c>
      <c r="AR427" s="0" t="s">
        <v>240</v>
      </c>
      <c r="AS427" s="0" t="s">
        <v>240</v>
      </c>
      <c r="AT427" s="0" t="s">
        <v>240</v>
      </c>
      <c r="AU427" s="0" t="s">
        <v>240</v>
      </c>
      <c r="AV427" s="0" t="s">
        <v>240</v>
      </c>
      <c r="AW427" s="0" t="s">
        <v>240</v>
      </c>
      <c r="AX427" s="0" t="s">
        <v>240</v>
      </c>
      <c r="AY427" s="0" t="s">
        <v>240</v>
      </c>
      <c r="AZ427" s="0" t="s">
        <v>240</v>
      </c>
      <c r="BA427" s="0" t="s">
        <v>240</v>
      </c>
      <c r="BB427" s="0" t="s">
        <v>240</v>
      </c>
      <c r="BC427" s="0" t="s">
        <v>240</v>
      </c>
      <c r="BD427" s="0" t="s">
        <v>240</v>
      </c>
      <c r="BE427" s="0" t="s">
        <v>240</v>
      </c>
      <c r="BF427" s="0" t="s">
        <v>240</v>
      </c>
      <c r="BG427" s="0" t="s">
        <v>240</v>
      </c>
      <c r="BH427" s="0" t="s">
        <v>240</v>
      </c>
      <c r="BI427" s="0" t="s">
        <v>240</v>
      </c>
      <c r="BJ427" s="0" t="s">
        <v>240</v>
      </c>
      <c r="BK427" s="0" t="s">
        <v>240</v>
      </c>
      <c r="BL427" s="0" t="s">
        <v>240</v>
      </c>
      <c r="BM427" s="0" t="s">
        <v>240</v>
      </c>
      <c r="BN427" s="0" t="s">
        <v>240</v>
      </c>
      <c r="BO427" s="0" t="s">
        <v>240</v>
      </c>
      <c r="BP427" s="0" t="s">
        <v>240</v>
      </c>
      <c r="BQ427" s="0" t="s">
        <v>240</v>
      </c>
      <c r="BR427" s="0" t="s">
        <v>240</v>
      </c>
      <c r="BS427" s="0" t="s">
        <v>240</v>
      </c>
      <c r="BT427" s="0" t="s">
        <v>240</v>
      </c>
      <c r="BU427" s="0" t="s">
        <v>240</v>
      </c>
      <c r="BV427" s="0" t="s">
        <v>240</v>
      </c>
      <c r="BW427" s="0" t="s">
        <v>240</v>
      </c>
      <c r="BX427" s="0" t="s">
        <v>240</v>
      </c>
      <c r="BY427" s="0" t="s">
        <v>240</v>
      </c>
      <c r="BZ427" s="0" t="s">
        <v>240</v>
      </c>
      <c r="CA427" s="0" t="s">
        <v>240</v>
      </c>
      <c r="CB427" s="0" t="s">
        <v>240</v>
      </c>
      <c r="CC427" s="0" t="s">
        <v>240</v>
      </c>
      <c r="CD427" s="0" t="s">
        <v>240</v>
      </c>
      <c r="CE427" s="0" t="s">
        <v>240</v>
      </c>
      <c r="CF427" s="0" t="s">
        <v>240</v>
      </c>
      <c r="CG427" s="0" t="s">
        <v>240</v>
      </c>
      <c r="CH427" s="0" t="s">
        <v>240</v>
      </c>
      <c r="CI427" s="0" t="s">
        <v>240</v>
      </c>
      <c r="CJ427" s="0" t="s">
        <v>240</v>
      </c>
      <c r="CK427" s="0" t="s">
        <v>240</v>
      </c>
      <c r="CL427" s="0" t="s">
        <v>240</v>
      </c>
      <c r="CM427" s="0" t="s">
        <v>240</v>
      </c>
      <c r="CN427" s="0" t="s">
        <v>240</v>
      </c>
      <c r="CO427" s="0" t="s">
        <v>240</v>
      </c>
      <c r="CP427" s="0" t="s">
        <v>240</v>
      </c>
      <c r="CQ427" s="0" t="s">
        <v>240</v>
      </c>
      <c r="CR427" s="0" t="s">
        <v>240</v>
      </c>
      <c r="CS427" s="0" t="s">
        <v>240</v>
      </c>
      <c r="CT427" s="0" t="s">
        <v>5496</v>
      </c>
      <c r="CU427" s="0" t="s">
        <v>5497</v>
      </c>
      <c r="CV427" s="0" t="s">
        <v>443</v>
      </c>
      <c r="CW427" s="0" t="s">
        <v>5580</v>
      </c>
      <c r="CX427" s="0" t="s">
        <v>229</v>
      </c>
      <c r="CY427" s="0" t="s">
        <v>443</v>
      </c>
      <c r="CZ427" s="0" t="s">
        <v>5581</v>
      </c>
      <c r="DA427" s="0" t="s">
        <v>5582</v>
      </c>
      <c r="DB427" s="0" t="s">
        <v>5580</v>
      </c>
      <c r="DC427" s="0" t="s">
        <v>384</v>
      </c>
      <c r="DD427" s="0" t="s">
        <v>291</v>
      </c>
      <c r="DE427" s="0" t="s">
        <v>6904</v>
      </c>
    </row>
    <row customHeight="1" ht="11.25">
      <c r="A428" s="1441" t="s">
        <v>240</v>
      </c>
      <c r="B428" s="0" t="s">
        <v>240</v>
      </c>
      <c r="C428" s="0" t="s">
        <v>240</v>
      </c>
      <c r="D428" s="0" t="s">
        <v>240</v>
      </c>
      <c r="E428" s="0" t="s">
        <v>240</v>
      </c>
      <c r="F428" s="0" t="s">
        <v>240</v>
      </c>
      <c r="G428" s="0" t="s">
        <v>240</v>
      </c>
      <c r="H428" s="0" t="s">
        <v>240</v>
      </c>
      <c r="I428" s="0" t="s">
        <v>5484</v>
      </c>
      <c r="J428" s="0" t="s">
        <v>240</v>
      </c>
      <c r="K428" s="0" t="s">
        <v>240</v>
      </c>
      <c r="L428" s="0" t="s">
        <v>240</v>
      </c>
      <c r="M428" s="0" t="s">
        <v>240</v>
      </c>
      <c r="N428" s="0" t="s">
        <v>240</v>
      </c>
      <c r="O428" s="0" t="s">
        <v>240</v>
      </c>
      <c r="P428" s="0" t="s">
        <v>240</v>
      </c>
      <c r="Q428" s="0" t="s">
        <v>240</v>
      </c>
      <c r="R428" s="0" t="s">
        <v>5793</v>
      </c>
      <c r="S428" s="0" t="s">
        <v>240</v>
      </c>
      <c r="T428" s="0" t="s">
        <v>240</v>
      </c>
      <c r="U428" s="0" t="s">
        <v>102</v>
      </c>
      <c r="V428" s="0" t="s">
        <v>240</v>
      </c>
      <c r="W428" s="0" t="s">
        <v>240</v>
      </c>
      <c r="X428" s="0" t="s">
        <v>5585</v>
      </c>
      <c r="Y428" s="0" t="s">
        <v>240</v>
      </c>
      <c r="Z428" s="0" t="s">
        <v>152</v>
      </c>
      <c r="AA428" s="0" t="s">
        <v>152</v>
      </c>
      <c r="AB428" s="0" t="s">
        <v>161</v>
      </c>
      <c r="AC428" s="0" t="s">
        <v>2989</v>
      </c>
      <c r="AD428" s="0" t="s">
        <v>2989</v>
      </c>
      <c r="AE428" s="0" t="s">
        <v>2990</v>
      </c>
      <c r="AF428" s="0" t="s">
        <v>5794</v>
      </c>
      <c r="AG428" s="0" t="s">
        <v>5795</v>
      </c>
      <c r="AH428" s="0" t="s">
        <v>5575</v>
      </c>
      <c r="AI428" s="0" t="s">
        <v>5575</v>
      </c>
      <c r="AJ428" s="0" t="s">
        <v>240</v>
      </c>
      <c r="AK428" s="0" t="s">
        <v>240</v>
      </c>
      <c r="AL428" s="0" t="s">
        <v>240</v>
      </c>
      <c r="AM428" s="0" t="s">
        <v>240</v>
      </c>
      <c r="AN428" s="0" t="s">
        <v>240</v>
      </c>
      <c r="AO428" s="0" t="s">
        <v>240</v>
      </c>
      <c r="AP428" s="0" t="s">
        <v>240</v>
      </c>
      <c r="AQ428" s="0" t="s">
        <v>240</v>
      </c>
      <c r="AR428" s="0" t="s">
        <v>240</v>
      </c>
      <c r="AS428" s="0" t="s">
        <v>240</v>
      </c>
      <c r="AT428" s="0" t="s">
        <v>240</v>
      </c>
      <c r="AU428" s="0" t="s">
        <v>240</v>
      </c>
      <c r="AV428" s="0" t="s">
        <v>240</v>
      </c>
      <c r="AW428" s="0" t="s">
        <v>240</v>
      </c>
      <c r="AX428" s="0" t="s">
        <v>240</v>
      </c>
      <c r="AY428" s="0" t="s">
        <v>240</v>
      </c>
      <c r="AZ428" s="0" t="s">
        <v>240</v>
      </c>
      <c r="BA428" s="0" t="s">
        <v>240</v>
      </c>
      <c r="BB428" s="0" t="s">
        <v>240</v>
      </c>
      <c r="BC428" s="0" t="s">
        <v>240</v>
      </c>
      <c r="BD428" s="0" t="s">
        <v>240</v>
      </c>
      <c r="BE428" s="0" t="s">
        <v>5796</v>
      </c>
      <c r="BF428" s="0" t="s">
        <v>5797</v>
      </c>
      <c r="BG428" s="0" t="s">
        <v>112</v>
      </c>
      <c r="BH428" s="0" t="s">
        <v>5589</v>
      </c>
      <c r="BI428" s="0" t="s">
        <v>123</v>
      </c>
      <c r="BJ428" s="0" t="s">
        <v>240</v>
      </c>
      <c r="BK428" s="0" t="s">
        <v>5608</v>
      </c>
      <c r="BL428" s="0" t="s">
        <v>2989</v>
      </c>
      <c r="BM428" s="0" t="s">
        <v>2989</v>
      </c>
      <c r="BN428" s="0" t="s">
        <v>5798</v>
      </c>
      <c r="BO428" s="0" t="s">
        <v>5794</v>
      </c>
      <c r="BP428" s="0" t="s">
        <v>5799</v>
      </c>
      <c r="BQ428" s="0" t="s">
        <v>5575</v>
      </c>
      <c r="BR428" s="0" t="s">
        <v>5575</v>
      </c>
      <c r="BS428" s="0" t="s">
        <v>240</v>
      </c>
      <c r="BT428" s="0" t="s">
        <v>5650</v>
      </c>
      <c r="BU428" s="0" t="s">
        <v>5800</v>
      </c>
      <c r="BV428" s="0" t="s">
        <v>5800</v>
      </c>
      <c r="BW428" s="0" t="s">
        <v>5598</v>
      </c>
      <c r="BX428" s="0" t="s">
        <v>5598</v>
      </c>
      <c r="BY428" s="0" t="s">
        <v>5598</v>
      </c>
      <c r="BZ428" s="0" t="s">
        <v>5598</v>
      </c>
      <c r="CA428" s="0" t="s">
        <v>5598</v>
      </c>
      <c r="CB428" s="0" t="s">
        <v>240</v>
      </c>
      <c r="CC428" s="0" t="s">
        <v>240</v>
      </c>
      <c r="CD428" s="0" t="s">
        <v>240</v>
      </c>
      <c r="CE428" s="0" t="s">
        <v>240</v>
      </c>
      <c r="CF428" s="0" t="s">
        <v>240</v>
      </c>
      <c r="CG428" s="0" t="s">
        <v>5598</v>
      </c>
      <c r="CH428" s="0" t="s">
        <v>240</v>
      </c>
      <c r="CI428" s="0" t="s">
        <v>240</v>
      </c>
      <c r="CJ428" s="0" t="s">
        <v>240</v>
      </c>
      <c r="CK428" s="0" t="s">
        <v>240</v>
      </c>
      <c r="CL428" s="0" t="s">
        <v>240</v>
      </c>
      <c r="CM428" s="0" t="s">
        <v>5800</v>
      </c>
      <c r="CN428" s="0" t="s">
        <v>5800</v>
      </c>
      <c r="CO428" s="0" t="s">
        <v>240</v>
      </c>
      <c r="CP428" s="0" t="s">
        <v>240</v>
      </c>
      <c r="CQ428" s="0" t="s">
        <v>240</v>
      </c>
      <c r="CR428" s="0" t="s">
        <v>240</v>
      </c>
      <c r="CS428" s="0" t="s">
        <v>5578</v>
      </c>
      <c r="CT428" s="0" t="s">
        <v>5496</v>
      </c>
      <c r="CU428" s="0" t="s">
        <v>5497</v>
      </c>
      <c r="CV428" s="0" t="s">
        <v>443</v>
      </c>
      <c r="CW428" s="0" t="s">
        <v>5580</v>
      </c>
      <c r="CX428" s="0" t="s">
        <v>229</v>
      </c>
      <c r="CY428" s="0" t="s">
        <v>443</v>
      </c>
      <c r="CZ428" s="0" t="s">
        <v>5581</v>
      </c>
      <c r="DA428" s="0" t="s">
        <v>5582</v>
      </c>
      <c r="DB428" s="0" t="s">
        <v>5580</v>
      </c>
      <c r="DC428" s="0" t="s">
        <v>384</v>
      </c>
      <c r="DD428" s="0" t="s">
        <v>291</v>
      </c>
      <c r="DE428" s="0" t="s">
        <v>5801</v>
      </c>
    </row>
    <row customHeight="1" ht="11.25">
      <c r="A429" s="1441" t="s">
        <v>240</v>
      </c>
      <c r="B429" s="0" t="s">
        <v>240</v>
      </c>
      <c r="C429" s="0" t="s">
        <v>240</v>
      </c>
      <c r="D429" s="0" t="s">
        <v>240</v>
      </c>
      <c r="E429" s="0" t="s">
        <v>240</v>
      </c>
      <c r="F429" s="0" t="s">
        <v>240</v>
      </c>
      <c r="G429" s="0" t="s">
        <v>240</v>
      </c>
      <c r="H429" s="0" t="s">
        <v>240</v>
      </c>
      <c r="I429" s="0" t="s">
        <v>5484</v>
      </c>
      <c r="J429" s="0" t="s">
        <v>240</v>
      </c>
      <c r="K429" s="0" t="s">
        <v>240</v>
      </c>
      <c r="L429" s="0" t="s">
        <v>240</v>
      </c>
      <c r="M429" s="0" t="s">
        <v>240</v>
      </c>
      <c r="N429" s="0" t="s">
        <v>240</v>
      </c>
      <c r="O429" s="0" t="s">
        <v>240</v>
      </c>
      <c r="P429" s="0" t="s">
        <v>240</v>
      </c>
      <c r="Q429" s="0" t="s">
        <v>240</v>
      </c>
      <c r="R429" s="0" t="s">
        <v>5608</v>
      </c>
      <c r="S429" s="0" t="s">
        <v>240</v>
      </c>
      <c r="T429" s="0" t="s">
        <v>240</v>
      </c>
      <c r="U429" s="0" t="s">
        <v>102</v>
      </c>
      <c r="V429" s="0" t="s">
        <v>240</v>
      </c>
      <c r="W429" s="0" t="s">
        <v>240</v>
      </c>
      <c r="X429" s="0" t="s">
        <v>5485</v>
      </c>
      <c r="Y429" s="0" t="s">
        <v>240</v>
      </c>
      <c r="Z429" s="0" t="s">
        <v>161</v>
      </c>
      <c r="AA429" s="0" t="s">
        <v>152</v>
      </c>
      <c r="AB429" s="0" t="s">
        <v>152</v>
      </c>
      <c r="AC429" s="0" t="s">
        <v>2985</v>
      </c>
      <c r="AD429" s="0" t="s">
        <v>2985</v>
      </c>
      <c r="AE429" s="0" t="s">
        <v>2986</v>
      </c>
      <c r="AF429" s="0" t="s">
        <v>5913</v>
      </c>
      <c r="AG429" s="0" t="s">
        <v>5914</v>
      </c>
      <c r="AH429" s="0" t="s">
        <v>5514</v>
      </c>
      <c r="AI429" s="0" t="s">
        <v>485</v>
      </c>
      <c r="AJ429" s="0" t="s">
        <v>5504</v>
      </c>
      <c r="AK429" s="0" t="s">
        <v>5505</v>
      </c>
      <c r="AL429" s="0" t="s">
        <v>6109</v>
      </c>
      <c r="AM429" s="0" t="s">
        <v>5493</v>
      </c>
      <c r="AN429" s="0" t="s">
        <v>5507</v>
      </c>
      <c r="AO429" s="0" t="s">
        <v>5768</v>
      </c>
      <c r="AP429" s="0" t="s">
        <v>240</v>
      </c>
      <c r="AQ429" s="0" t="s">
        <v>240</v>
      </c>
      <c r="AR429" s="0" t="s">
        <v>240</v>
      </c>
      <c r="AS429" s="0" t="s">
        <v>240</v>
      </c>
      <c r="AT429" s="0" t="s">
        <v>240</v>
      </c>
      <c r="AU429" s="0" t="s">
        <v>240</v>
      </c>
      <c r="AV429" s="0" t="s">
        <v>240</v>
      </c>
      <c r="AW429" s="0" t="s">
        <v>240</v>
      </c>
      <c r="AX429" s="0" t="s">
        <v>240</v>
      </c>
      <c r="AY429" s="0" t="s">
        <v>240</v>
      </c>
      <c r="AZ429" s="0" t="s">
        <v>240</v>
      </c>
      <c r="BA429" s="0" t="s">
        <v>240</v>
      </c>
      <c r="BB429" s="0" t="s">
        <v>240</v>
      </c>
      <c r="BC429" s="0" t="s">
        <v>240</v>
      </c>
      <c r="BD429" s="0" t="s">
        <v>240</v>
      </c>
      <c r="BE429" s="0" t="s">
        <v>240</v>
      </c>
      <c r="BF429" s="0" t="s">
        <v>240</v>
      </c>
      <c r="BG429" s="0" t="s">
        <v>240</v>
      </c>
      <c r="BH429" s="0" t="s">
        <v>240</v>
      </c>
      <c r="BI429" s="0" t="s">
        <v>240</v>
      </c>
      <c r="BJ429" s="0" t="s">
        <v>240</v>
      </c>
      <c r="BK429" s="0" t="s">
        <v>240</v>
      </c>
      <c r="BL429" s="0" t="s">
        <v>240</v>
      </c>
      <c r="BM429" s="0" t="s">
        <v>240</v>
      </c>
      <c r="BN429" s="0" t="s">
        <v>240</v>
      </c>
      <c r="BO429" s="0" t="s">
        <v>240</v>
      </c>
      <c r="BP429" s="0" t="s">
        <v>240</v>
      </c>
      <c r="BQ429" s="0" t="s">
        <v>240</v>
      </c>
      <c r="BR429" s="0" t="s">
        <v>240</v>
      </c>
      <c r="BS429" s="0" t="s">
        <v>240</v>
      </c>
      <c r="BT429" s="0" t="s">
        <v>240</v>
      </c>
      <c r="BU429" s="0" t="s">
        <v>240</v>
      </c>
      <c r="BV429" s="0" t="s">
        <v>240</v>
      </c>
      <c r="BW429" s="0" t="s">
        <v>240</v>
      </c>
      <c r="BX429" s="0" t="s">
        <v>240</v>
      </c>
      <c r="BY429" s="0" t="s">
        <v>240</v>
      </c>
      <c r="BZ429" s="0" t="s">
        <v>240</v>
      </c>
      <c r="CA429" s="0" t="s">
        <v>240</v>
      </c>
      <c r="CB429" s="0" t="s">
        <v>240</v>
      </c>
      <c r="CC429" s="0" t="s">
        <v>240</v>
      </c>
      <c r="CD429" s="0" t="s">
        <v>240</v>
      </c>
      <c r="CE429" s="0" t="s">
        <v>240</v>
      </c>
      <c r="CF429" s="0" t="s">
        <v>240</v>
      </c>
      <c r="CG429" s="0" t="s">
        <v>240</v>
      </c>
      <c r="CH429" s="0" t="s">
        <v>240</v>
      </c>
      <c r="CI429" s="0" t="s">
        <v>240</v>
      </c>
      <c r="CJ429" s="0" t="s">
        <v>240</v>
      </c>
      <c r="CK429" s="0" t="s">
        <v>240</v>
      </c>
      <c r="CL429" s="0" t="s">
        <v>240</v>
      </c>
      <c r="CM429" s="0" t="s">
        <v>240</v>
      </c>
      <c r="CN429" s="0" t="s">
        <v>240</v>
      </c>
      <c r="CO429" s="0" t="s">
        <v>240</v>
      </c>
      <c r="CP429" s="0" t="s">
        <v>240</v>
      </c>
      <c r="CQ429" s="0" t="s">
        <v>240</v>
      </c>
      <c r="CR429" s="0" t="s">
        <v>240</v>
      </c>
      <c r="CS429" s="0" t="s">
        <v>240</v>
      </c>
      <c r="CT429" s="0" t="s">
        <v>5496</v>
      </c>
      <c r="CU429" s="0" t="s">
        <v>5497</v>
      </c>
      <c r="CV429" s="0" t="s">
        <v>443</v>
      </c>
      <c r="CW429" s="0" t="s">
        <v>5509</v>
      </c>
      <c r="CX429" s="0" t="s">
        <v>229</v>
      </c>
      <c r="CY429" s="0" t="s">
        <v>443</v>
      </c>
      <c r="CZ429" s="0" t="s">
        <v>5510</v>
      </c>
      <c r="DA429" s="0" t="s">
        <v>5511</v>
      </c>
      <c r="DB429" s="0" t="s">
        <v>5509</v>
      </c>
      <c r="DC429" s="0" t="s">
        <v>384</v>
      </c>
      <c r="DD429" s="0" t="s">
        <v>291</v>
      </c>
      <c r="DE429" s="0" t="s">
        <v>6110</v>
      </c>
    </row>
    <row customHeight="1" ht="11.25">
      <c r="A430" s="1441" t="s">
        <v>240</v>
      </c>
      <c r="B430" s="0" t="s">
        <v>240</v>
      </c>
      <c r="C430" s="0" t="s">
        <v>240</v>
      </c>
      <c r="D430" s="0" t="s">
        <v>240</v>
      </c>
      <c r="E430" s="0" t="s">
        <v>240</v>
      </c>
      <c r="F430" s="0" t="s">
        <v>240</v>
      </c>
      <c r="G430" s="0" t="s">
        <v>240</v>
      </c>
      <c r="H430" s="0" t="s">
        <v>240</v>
      </c>
      <c r="I430" s="0" t="s">
        <v>5484</v>
      </c>
      <c r="J430" s="0" t="s">
        <v>240</v>
      </c>
      <c r="K430" s="0" t="s">
        <v>240</v>
      </c>
      <c r="L430" s="0" t="s">
        <v>240</v>
      </c>
      <c r="M430" s="0" t="s">
        <v>240</v>
      </c>
      <c r="N430" s="0" t="s">
        <v>240</v>
      </c>
      <c r="O430" s="0" t="s">
        <v>240</v>
      </c>
      <c r="P430" s="0" t="s">
        <v>240</v>
      </c>
      <c r="Q430" s="0" t="s">
        <v>240</v>
      </c>
      <c r="R430" s="0" t="s">
        <v>5608</v>
      </c>
      <c r="S430" s="0" t="s">
        <v>240</v>
      </c>
      <c r="T430" s="0" t="s">
        <v>240</v>
      </c>
      <c r="U430" s="0" t="s">
        <v>102</v>
      </c>
      <c r="V430" s="0" t="s">
        <v>240</v>
      </c>
      <c r="W430" s="0" t="s">
        <v>240</v>
      </c>
      <c r="X430" s="0" t="s">
        <v>5485</v>
      </c>
      <c r="Y430" s="0" t="s">
        <v>240</v>
      </c>
      <c r="Z430" s="0" t="s">
        <v>161</v>
      </c>
      <c r="AA430" s="0" t="s">
        <v>152</v>
      </c>
      <c r="AB430" s="0" t="s">
        <v>152</v>
      </c>
      <c r="AC430" s="0" t="s">
        <v>2985</v>
      </c>
      <c r="AD430" s="0" t="s">
        <v>2985</v>
      </c>
      <c r="AE430" s="0" t="s">
        <v>2986</v>
      </c>
      <c r="AF430" s="0" t="s">
        <v>5913</v>
      </c>
      <c r="AG430" s="0" t="s">
        <v>5914</v>
      </c>
      <c r="AH430" s="0" t="s">
        <v>5514</v>
      </c>
      <c r="AI430" s="0" t="s">
        <v>6111</v>
      </c>
      <c r="AJ430" s="0" t="s">
        <v>5504</v>
      </c>
      <c r="AK430" s="0" t="s">
        <v>5505</v>
      </c>
      <c r="AL430" s="0" t="s">
        <v>6109</v>
      </c>
      <c r="AM430" s="0" t="s">
        <v>5493</v>
      </c>
      <c r="AN430" s="0" t="s">
        <v>5507</v>
      </c>
      <c r="AO430" s="0" t="s">
        <v>5768</v>
      </c>
      <c r="AP430" s="0" t="s">
        <v>240</v>
      </c>
      <c r="AQ430" s="0" t="s">
        <v>240</v>
      </c>
      <c r="AR430" s="0" t="s">
        <v>240</v>
      </c>
      <c r="AS430" s="0" t="s">
        <v>240</v>
      </c>
      <c r="AT430" s="0" t="s">
        <v>240</v>
      </c>
      <c r="AU430" s="0" t="s">
        <v>240</v>
      </c>
      <c r="AV430" s="0" t="s">
        <v>240</v>
      </c>
      <c r="AW430" s="0" t="s">
        <v>240</v>
      </c>
      <c r="AX430" s="0" t="s">
        <v>240</v>
      </c>
      <c r="AY430" s="0" t="s">
        <v>240</v>
      </c>
      <c r="AZ430" s="0" t="s">
        <v>240</v>
      </c>
      <c r="BA430" s="0" t="s">
        <v>240</v>
      </c>
      <c r="BB430" s="0" t="s">
        <v>240</v>
      </c>
      <c r="BC430" s="0" t="s">
        <v>240</v>
      </c>
      <c r="BD430" s="0" t="s">
        <v>240</v>
      </c>
      <c r="BE430" s="0" t="s">
        <v>240</v>
      </c>
      <c r="BF430" s="0" t="s">
        <v>240</v>
      </c>
      <c r="BG430" s="0" t="s">
        <v>240</v>
      </c>
      <c r="BH430" s="0" t="s">
        <v>240</v>
      </c>
      <c r="BI430" s="0" t="s">
        <v>240</v>
      </c>
      <c r="BJ430" s="0" t="s">
        <v>240</v>
      </c>
      <c r="BK430" s="0" t="s">
        <v>240</v>
      </c>
      <c r="BL430" s="0" t="s">
        <v>240</v>
      </c>
      <c r="BM430" s="0" t="s">
        <v>240</v>
      </c>
      <c r="BN430" s="0" t="s">
        <v>240</v>
      </c>
      <c r="BO430" s="0" t="s">
        <v>240</v>
      </c>
      <c r="BP430" s="0" t="s">
        <v>240</v>
      </c>
      <c r="BQ430" s="0" t="s">
        <v>240</v>
      </c>
      <c r="BR430" s="0" t="s">
        <v>240</v>
      </c>
      <c r="BS430" s="0" t="s">
        <v>240</v>
      </c>
      <c r="BT430" s="0" t="s">
        <v>240</v>
      </c>
      <c r="BU430" s="0" t="s">
        <v>240</v>
      </c>
      <c r="BV430" s="0" t="s">
        <v>240</v>
      </c>
      <c r="BW430" s="0" t="s">
        <v>240</v>
      </c>
      <c r="BX430" s="0" t="s">
        <v>240</v>
      </c>
      <c r="BY430" s="0" t="s">
        <v>240</v>
      </c>
      <c r="BZ430" s="0" t="s">
        <v>240</v>
      </c>
      <c r="CA430" s="0" t="s">
        <v>240</v>
      </c>
      <c r="CB430" s="0" t="s">
        <v>240</v>
      </c>
      <c r="CC430" s="0" t="s">
        <v>240</v>
      </c>
      <c r="CD430" s="0" t="s">
        <v>240</v>
      </c>
      <c r="CE430" s="0" t="s">
        <v>240</v>
      </c>
      <c r="CF430" s="0" t="s">
        <v>240</v>
      </c>
      <c r="CG430" s="0" t="s">
        <v>240</v>
      </c>
      <c r="CH430" s="0" t="s">
        <v>240</v>
      </c>
      <c r="CI430" s="0" t="s">
        <v>240</v>
      </c>
      <c r="CJ430" s="0" t="s">
        <v>240</v>
      </c>
      <c r="CK430" s="0" t="s">
        <v>240</v>
      </c>
      <c r="CL430" s="0" t="s">
        <v>240</v>
      </c>
      <c r="CM430" s="0" t="s">
        <v>240</v>
      </c>
      <c r="CN430" s="0" t="s">
        <v>240</v>
      </c>
      <c r="CO430" s="0" t="s">
        <v>240</v>
      </c>
      <c r="CP430" s="0" t="s">
        <v>240</v>
      </c>
      <c r="CQ430" s="0" t="s">
        <v>240</v>
      </c>
      <c r="CR430" s="0" t="s">
        <v>240</v>
      </c>
      <c r="CS430" s="0" t="s">
        <v>240</v>
      </c>
      <c r="CT430" s="0" t="s">
        <v>5496</v>
      </c>
      <c r="CU430" s="0" t="s">
        <v>5497</v>
      </c>
      <c r="CV430" s="0" t="s">
        <v>443</v>
      </c>
      <c r="CW430" s="0" t="s">
        <v>5509</v>
      </c>
      <c r="CX430" s="0" t="s">
        <v>229</v>
      </c>
      <c r="CY430" s="0" t="s">
        <v>443</v>
      </c>
      <c r="CZ430" s="0" t="s">
        <v>5510</v>
      </c>
      <c r="DA430" s="0" t="s">
        <v>5511</v>
      </c>
      <c r="DB430" s="0" t="s">
        <v>5509</v>
      </c>
      <c r="DC430" s="0" t="s">
        <v>384</v>
      </c>
      <c r="DD430" s="0" t="s">
        <v>291</v>
      </c>
      <c r="DE430" s="0" t="s">
        <v>6112</v>
      </c>
    </row>
    <row customHeight="1" ht="11.25">
      <c r="A431" s="1441" t="s">
        <v>240</v>
      </c>
      <c r="B431" s="0" t="s">
        <v>240</v>
      </c>
      <c r="C431" s="0" t="s">
        <v>240</v>
      </c>
      <c r="D431" s="0" t="s">
        <v>240</v>
      </c>
      <c r="E431" s="0" t="s">
        <v>240</v>
      </c>
      <c r="F431" s="0" t="s">
        <v>240</v>
      </c>
      <c r="G431" s="0" t="s">
        <v>240</v>
      </c>
      <c r="H431" s="0" t="s">
        <v>240</v>
      </c>
      <c r="I431" s="0" t="s">
        <v>5484</v>
      </c>
      <c r="J431" s="0" t="s">
        <v>240</v>
      </c>
      <c r="K431" s="0" t="s">
        <v>240</v>
      </c>
      <c r="L431" s="0" t="s">
        <v>240</v>
      </c>
      <c r="M431" s="0" t="s">
        <v>240</v>
      </c>
      <c r="N431" s="0" t="s">
        <v>240</v>
      </c>
      <c r="O431" s="0" t="s">
        <v>240</v>
      </c>
      <c r="P431" s="0" t="s">
        <v>240</v>
      </c>
      <c r="Q431" s="0" t="s">
        <v>240</v>
      </c>
      <c r="R431" s="0" t="s">
        <v>5608</v>
      </c>
      <c r="S431" s="0" t="s">
        <v>240</v>
      </c>
      <c r="T431" s="0" t="s">
        <v>240</v>
      </c>
      <c r="U431" s="0" t="s">
        <v>102</v>
      </c>
      <c r="V431" s="0" t="s">
        <v>240</v>
      </c>
      <c r="W431" s="0" t="s">
        <v>240</v>
      </c>
      <c r="X431" s="0" t="s">
        <v>5485</v>
      </c>
      <c r="Y431" s="0" t="s">
        <v>240</v>
      </c>
      <c r="Z431" s="0" t="s">
        <v>161</v>
      </c>
      <c r="AA431" s="0" t="s">
        <v>152</v>
      </c>
      <c r="AB431" s="0" t="s">
        <v>152</v>
      </c>
      <c r="AC431" s="0" t="s">
        <v>2985</v>
      </c>
      <c r="AD431" s="0" t="s">
        <v>2985</v>
      </c>
      <c r="AE431" s="0" t="s">
        <v>2986</v>
      </c>
      <c r="AF431" s="0" t="s">
        <v>5913</v>
      </c>
      <c r="AG431" s="0" t="s">
        <v>5914</v>
      </c>
      <c r="AH431" s="0" t="s">
        <v>5514</v>
      </c>
      <c r="AI431" s="0" t="s">
        <v>6170</v>
      </c>
      <c r="AJ431" s="0" t="s">
        <v>5504</v>
      </c>
      <c r="AK431" s="0" t="s">
        <v>5505</v>
      </c>
      <c r="AL431" s="0" t="s">
        <v>6109</v>
      </c>
      <c r="AM431" s="0" t="s">
        <v>5493</v>
      </c>
      <c r="AN431" s="0" t="s">
        <v>5507</v>
      </c>
      <c r="AO431" s="0" t="s">
        <v>5768</v>
      </c>
      <c r="AP431" s="0" t="s">
        <v>240</v>
      </c>
      <c r="AQ431" s="0" t="s">
        <v>240</v>
      </c>
      <c r="AR431" s="0" t="s">
        <v>240</v>
      </c>
      <c r="AS431" s="0" t="s">
        <v>240</v>
      </c>
      <c r="AT431" s="0" t="s">
        <v>240</v>
      </c>
      <c r="AU431" s="0" t="s">
        <v>240</v>
      </c>
      <c r="AV431" s="0" t="s">
        <v>240</v>
      </c>
      <c r="AW431" s="0" t="s">
        <v>240</v>
      </c>
      <c r="AX431" s="0" t="s">
        <v>240</v>
      </c>
      <c r="AY431" s="0" t="s">
        <v>240</v>
      </c>
      <c r="AZ431" s="0" t="s">
        <v>240</v>
      </c>
      <c r="BA431" s="0" t="s">
        <v>240</v>
      </c>
      <c r="BB431" s="0" t="s">
        <v>240</v>
      </c>
      <c r="BC431" s="0" t="s">
        <v>240</v>
      </c>
      <c r="BD431" s="0" t="s">
        <v>240</v>
      </c>
      <c r="BE431" s="0" t="s">
        <v>240</v>
      </c>
      <c r="BF431" s="0" t="s">
        <v>240</v>
      </c>
      <c r="BG431" s="0" t="s">
        <v>240</v>
      </c>
      <c r="BH431" s="0" t="s">
        <v>240</v>
      </c>
      <c r="BI431" s="0" t="s">
        <v>240</v>
      </c>
      <c r="BJ431" s="0" t="s">
        <v>240</v>
      </c>
      <c r="BK431" s="0" t="s">
        <v>240</v>
      </c>
      <c r="BL431" s="0" t="s">
        <v>240</v>
      </c>
      <c r="BM431" s="0" t="s">
        <v>240</v>
      </c>
      <c r="BN431" s="0" t="s">
        <v>240</v>
      </c>
      <c r="BO431" s="0" t="s">
        <v>240</v>
      </c>
      <c r="BP431" s="0" t="s">
        <v>240</v>
      </c>
      <c r="BQ431" s="0" t="s">
        <v>240</v>
      </c>
      <c r="BR431" s="0" t="s">
        <v>240</v>
      </c>
      <c r="BS431" s="0" t="s">
        <v>240</v>
      </c>
      <c r="BT431" s="0" t="s">
        <v>240</v>
      </c>
      <c r="BU431" s="0" t="s">
        <v>240</v>
      </c>
      <c r="BV431" s="0" t="s">
        <v>240</v>
      </c>
      <c r="BW431" s="0" t="s">
        <v>240</v>
      </c>
      <c r="BX431" s="0" t="s">
        <v>240</v>
      </c>
      <c r="BY431" s="0" t="s">
        <v>240</v>
      </c>
      <c r="BZ431" s="0" t="s">
        <v>240</v>
      </c>
      <c r="CA431" s="0" t="s">
        <v>240</v>
      </c>
      <c r="CB431" s="0" t="s">
        <v>240</v>
      </c>
      <c r="CC431" s="0" t="s">
        <v>240</v>
      </c>
      <c r="CD431" s="0" t="s">
        <v>240</v>
      </c>
      <c r="CE431" s="0" t="s">
        <v>240</v>
      </c>
      <c r="CF431" s="0" t="s">
        <v>240</v>
      </c>
      <c r="CG431" s="0" t="s">
        <v>240</v>
      </c>
      <c r="CH431" s="0" t="s">
        <v>240</v>
      </c>
      <c r="CI431" s="0" t="s">
        <v>240</v>
      </c>
      <c r="CJ431" s="0" t="s">
        <v>240</v>
      </c>
      <c r="CK431" s="0" t="s">
        <v>240</v>
      </c>
      <c r="CL431" s="0" t="s">
        <v>240</v>
      </c>
      <c r="CM431" s="0" t="s">
        <v>240</v>
      </c>
      <c r="CN431" s="0" t="s">
        <v>240</v>
      </c>
      <c r="CO431" s="0" t="s">
        <v>240</v>
      </c>
      <c r="CP431" s="0" t="s">
        <v>240</v>
      </c>
      <c r="CQ431" s="0" t="s">
        <v>240</v>
      </c>
      <c r="CR431" s="0" t="s">
        <v>240</v>
      </c>
      <c r="CS431" s="0" t="s">
        <v>240</v>
      </c>
      <c r="CT431" s="0" t="s">
        <v>5496</v>
      </c>
      <c r="CU431" s="0" t="s">
        <v>5497</v>
      </c>
      <c r="CV431" s="0" t="s">
        <v>443</v>
      </c>
      <c r="CW431" s="0" t="s">
        <v>5509</v>
      </c>
      <c r="CX431" s="0" t="s">
        <v>229</v>
      </c>
      <c r="CY431" s="0" t="s">
        <v>443</v>
      </c>
      <c r="CZ431" s="0" t="s">
        <v>5510</v>
      </c>
      <c r="DA431" s="0" t="s">
        <v>5511</v>
      </c>
      <c r="DB431" s="0" t="s">
        <v>5509</v>
      </c>
      <c r="DC431" s="0" t="s">
        <v>384</v>
      </c>
      <c r="DD431" s="0" t="s">
        <v>291</v>
      </c>
      <c r="DE431" s="0" t="s">
        <v>6171</v>
      </c>
    </row>
    <row customHeight="1" ht="11.25">
      <c r="A432" s="1441" t="s">
        <v>240</v>
      </c>
      <c r="B432" s="0" t="s">
        <v>240</v>
      </c>
      <c r="C432" s="0" t="s">
        <v>240</v>
      </c>
      <c r="D432" s="0" t="s">
        <v>240</v>
      </c>
      <c r="E432" s="0" t="s">
        <v>240</v>
      </c>
      <c r="F432" s="0" t="s">
        <v>240</v>
      </c>
      <c r="G432" s="0" t="s">
        <v>240</v>
      </c>
      <c r="H432" s="0" t="s">
        <v>240</v>
      </c>
      <c r="I432" s="0" t="s">
        <v>5484</v>
      </c>
      <c r="J432" s="0" t="s">
        <v>240</v>
      </c>
      <c r="K432" s="0" t="s">
        <v>240</v>
      </c>
      <c r="L432" s="0" t="s">
        <v>240</v>
      </c>
      <c r="M432" s="0" t="s">
        <v>240</v>
      </c>
      <c r="N432" s="0" t="s">
        <v>240</v>
      </c>
      <c r="O432" s="0" t="s">
        <v>240</v>
      </c>
      <c r="P432" s="0" t="s">
        <v>240</v>
      </c>
      <c r="Q432" s="0" t="s">
        <v>240</v>
      </c>
      <c r="R432" s="0" t="s">
        <v>6179</v>
      </c>
      <c r="S432" s="0" t="s">
        <v>240</v>
      </c>
      <c r="T432" s="0" t="s">
        <v>240</v>
      </c>
      <c r="U432" s="0" t="s">
        <v>102</v>
      </c>
      <c r="V432" s="0" t="s">
        <v>240</v>
      </c>
      <c r="W432" s="0" t="s">
        <v>240</v>
      </c>
      <c r="X432" s="0" t="s">
        <v>5585</v>
      </c>
      <c r="Y432" s="0" t="s">
        <v>240</v>
      </c>
      <c r="Z432" s="0" t="s">
        <v>152</v>
      </c>
      <c r="AA432" s="0" t="s">
        <v>152</v>
      </c>
      <c r="AB432" s="0" t="s">
        <v>161</v>
      </c>
      <c r="AC432" s="0" t="s">
        <v>2991</v>
      </c>
      <c r="AD432" s="0" t="s">
        <v>2991</v>
      </c>
      <c r="AE432" s="0" t="s">
        <v>2992</v>
      </c>
      <c r="AF432" s="0" t="s">
        <v>5540</v>
      </c>
      <c r="AG432" s="0" t="s">
        <v>5541</v>
      </c>
      <c r="AH432" s="0" t="s">
        <v>5575</v>
      </c>
      <c r="AI432" s="0" t="s">
        <v>5575</v>
      </c>
      <c r="AJ432" s="0" t="s">
        <v>240</v>
      </c>
      <c r="AK432" s="0" t="s">
        <v>240</v>
      </c>
      <c r="AL432" s="0" t="s">
        <v>240</v>
      </c>
      <c r="AM432" s="0" t="s">
        <v>240</v>
      </c>
      <c r="AN432" s="0" t="s">
        <v>240</v>
      </c>
      <c r="AO432" s="0" t="s">
        <v>240</v>
      </c>
      <c r="AP432" s="0" t="s">
        <v>240</v>
      </c>
      <c r="AQ432" s="0" t="s">
        <v>240</v>
      </c>
      <c r="AR432" s="0" t="s">
        <v>240</v>
      </c>
      <c r="AS432" s="0" t="s">
        <v>240</v>
      </c>
      <c r="AT432" s="0" t="s">
        <v>240</v>
      </c>
      <c r="AU432" s="0" t="s">
        <v>240</v>
      </c>
      <c r="AV432" s="0" t="s">
        <v>240</v>
      </c>
      <c r="AW432" s="0" t="s">
        <v>240</v>
      </c>
      <c r="AX432" s="0" t="s">
        <v>240</v>
      </c>
      <c r="AY432" s="0" t="s">
        <v>240</v>
      </c>
      <c r="AZ432" s="0" t="s">
        <v>240</v>
      </c>
      <c r="BA432" s="0" t="s">
        <v>240</v>
      </c>
      <c r="BB432" s="0" t="s">
        <v>240</v>
      </c>
      <c r="BC432" s="0" t="s">
        <v>240</v>
      </c>
      <c r="BD432" s="0" t="s">
        <v>240</v>
      </c>
      <c r="BE432" s="0" t="s">
        <v>5504</v>
      </c>
      <c r="BF432" s="0" t="s">
        <v>5544</v>
      </c>
      <c r="BG432" s="0" t="s">
        <v>112</v>
      </c>
      <c r="BH432" s="0" t="s">
        <v>5589</v>
      </c>
      <c r="BI432" s="0" t="s">
        <v>123</v>
      </c>
      <c r="BJ432" s="0" t="s">
        <v>240</v>
      </c>
      <c r="BK432" s="0" t="s">
        <v>5608</v>
      </c>
      <c r="BL432" s="0" t="s">
        <v>2991</v>
      </c>
      <c r="BM432" s="0" t="s">
        <v>2991</v>
      </c>
      <c r="BN432" s="0" t="s">
        <v>5663</v>
      </c>
      <c r="BO432" s="0" t="s">
        <v>5540</v>
      </c>
      <c r="BP432" s="0" t="s">
        <v>6180</v>
      </c>
      <c r="BQ432" s="0" t="s">
        <v>5575</v>
      </c>
      <c r="BR432" s="0" t="s">
        <v>5575</v>
      </c>
      <c r="BS432" s="0" t="s">
        <v>240</v>
      </c>
      <c r="BT432" s="0" t="s">
        <v>5650</v>
      </c>
      <c r="BU432" s="0" t="s">
        <v>6181</v>
      </c>
      <c r="BV432" s="0" t="s">
        <v>6181</v>
      </c>
      <c r="BW432" s="0" t="s">
        <v>5598</v>
      </c>
      <c r="BX432" s="0" t="s">
        <v>5598</v>
      </c>
      <c r="BY432" s="0" t="s">
        <v>5598</v>
      </c>
      <c r="BZ432" s="0" t="s">
        <v>5598</v>
      </c>
      <c r="CA432" s="0" t="s">
        <v>5598</v>
      </c>
      <c r="CB432" s="0" t="s">
        <v>240</v>
      </c>
      <c r="CC432" s="0" t="s">
        <v>240</v>
      </c>
      <c r="CD432" s="0" t="s">
        <v>240</v>
      </c>
      <c r="CE432" s="0" t="s">
        <v>240</v>
      </c>
      <c r="CF432" s="0" t="s">
        <v>240</v>
      </c>
      <c r="CG432" s="0" t="s">
        <v>5598</v>
      </c>
      <c r="CH432" s="0" t="s">
        <v>240</v>
      </c>
      <c r="CI432" s="0" t="s">
        <v>240</v>
      </c>
      <c r="CJ432" s="0" t="s">
        <v>240</v>
      </c>
      <c r="CK432" s="0" t="s">
        <v>240</v>
      </c>
      <c r="CL432" s="0" t="s">
        <v>240</v>
      </c>
      <c r="CM432" s="0" t="s">
        <v>6181</v>
      </c>
      <c r="CN432" s="0" t="s">
        <v>6181</v>
      </c>
      <c r="CO432" s="0" t="s">
        <v>240</v>
      </c>
      <c r="CP432" s="0" t="s">
        <v>240</v>
      </c>
      <c r="CQ432" s="0" t="s">
        <v>240</v>
      </c>
      <c r="CR432" s="0" t="s">
        <v>240</v>
      </c>
      <c r="CS432" s="0" t="s">
        <v>5666</v>
      </c>
      <c r="CT432" s="0" t="s">
        <v>5496</v>
      </c>
      <c r="CU432" s="0" t="s">
        <v>5497</v>
      </c>
      <c r="CV432" s="0" t="s">
        <v>443</v>
      </c>
      <c r="CW432" s="0" t="s">
        <v>5547</v>
      </c>
      <c r="CX432" s="0" t="s">
        <v>229</v>
      </c>
      <c r="CY432" s="0" t="s">
        <v>443</v>
      </c>
      <c r="CZ432" s="0" t="s">
        <v>5548</v>
      </c>
      <c r="DA432" s="0" t="s">
        <v>5549</v>
      </c>
      <c r="DB432" s="0" t="s">
        <v>5547</v>
      </c>
      <c r="DC432" s="0" t="s">
        <v>384</v>
      </c>
      <c r="DD432" s="0" t="s">
        <v>291</v>
      </c>
      <c r="DE432" s="0" t="s">
        <v>6182</v>
      </c>
    </row>
    <row customHeight="1" ht="11.25">
      <c r="A433" s="1441" t="s">
        <v>240</v>
      </c>
      <c r="B433" s="0" t="s">
        <v>240</v>
      </c>
      <c r="C433" s="0" t="s">
        <v>240</v>
      </c>
      <c r="D433" s="0" t="s">
        <v>240</v>
      </c>
      <c r="E433" s="0" t="s">
        <v>240</v>
      </c>
      <c r="F433" s="0" t="s">
        <v>240</v>
      </c>
      <c r="G433" s="0" t="s">
        <v>240</v>
      </c>
      <c r="H433" s="0" t="s">
        <v>240</v>
      </c>
      <c r="I433" s="0" t="s">
        <v>5484</v>
      </c>
      <c r="J433" s="0" t="s">
        <v>240</v>
      </c>
      <c r="K433" s="0" t="s">
        <v>240</v>
      </c>
      <c r="L433" s="0" t="s">
        <v>240</v>
      </c>
      <c r="M433" s="0" t="s">
        <v>240</v>
      </c>
      <c r="N433" s="0" t="s">
        <v>240</v>
      </c>
      <c r="O433" s="0" t="s">
        <v>240</v>
      </c>
      <c r="P433" s="0" t="s">
        <v>240</v>
      </c>
      <c r="Q433" s="0" t="s">
        <v>240</v>
      </c>
      <c r="R433" s="0" t="s">
        <v>6183</v>
      </c>
      <c r="S433" s="0" t="s">
        <v>240</v>
      </c>
      <c r="T433" s="0" t="s">
        <v>240</v>
      </c>
      <c r="U433" s="0" t="s">
        <v>102</v>
      </c>
      <c r="V433" s="0" t="s">
        <v>240</v>
      </c>
      <c r="W433" s="0" t="s">
        <v>240</v>
      </c>
      <c r="X433" s="0" t="s">
        <v>5485</v>
      </c>
      <c r="Y433" s="0" t="s">
        <v>240</v>
      </c>
      <c r="Z433" s="0" t="s">
        <v>161</v>
      </c>
      <c r="AA433" s="0" t="s">
        <v>152</v>
      </c>
      <c r="AB433" s="0" t="s">
        <v>152</v>
      </c>
      <c r="AC433" s="0" t="s">
        <v>2991</v>
      </c>
      <c r="AD433" s="0" t="s">
        <v>2991</v>
      </c>
      <c r="AE433" s="0" t="s">
        <v>2992</v>
      </c>
      <c r="AF433" s="0" t="s">
        <v>6184</v>
      </c>
      <c r="AG433" s="0" t="s">
        <v>6185</v>
      </c>
      <c r="AH433" s="0" t="s">
        <v>5670</v>
      </c>
      <c r="AI433" s="0" t="s">
        <v>6186</v>
      </c>
      <c r="AJ433" s="0" t="s">
        <v>5552</v>
      </c>
      <c r="AK433" s="0" t="s">
        <v>5672</v>
      </c>
      <c r="AL433" s="0" t="s">
        <v>5506</v>
      </c>
      <c r="AM433" s="0" t="s">
        <v>5493</v>
      </c>
      <c r="AN433" s="0" t="s">
        <v>5545</v>
      </c>
      <c r="AO433" s="0" t="s">
        <v>5508</v>
      </c>
      <c r="AP433" s="0" t="s">
        <v>240</v>
      </c>
      <c r="AQ433" s="0" t="s">
        <v>240</v>
      </c>
      <c r="AR433" s="0" t="s">
        <v>240</v>
      </c>
      <c r="AS433" s="0" t="s">
        <v>240</v>
      </c>
      <c r="AT433" s="0" t="s">
        <v>240</v>
      </c>
      <c r="AU433" s="0" t="s">
        <v>240</v>
      </c>
      <c r="AV433" s="0" t="s">
        <v>240</v>
      </c>
      <c r="AW433" s="0" t="s">
        <v>240</v>
      </c>
      <c r="AX433" s="0" t="s">
        <v>240</v>
      </c>
      <c r="AY433" s="0" t="s">
        <v>240</v>
      </c>
      <c r="AZ433" s="0" t="s">
        <v>240</v>
      </c>
      <c r="BA433" s="0" t="s">
        <v>240</v>
      </c>
      <c r="BB433" s="0" t="s">
        <v>240</v>
      </c>
      <c r="BC433" s="0" t="s">
        <v>240</v>
      </c>
      <c r="BD433" s="0" t="s">
        <v>240</v>
      </c>
      <c r="BE433" s="0" t="s">
        <v>240</v>
      </c>
      <c r="BF433" s="0" t="s">
        <v>240</v>
      </c>
      <c r="BG433" s="0" t="s">
        <v>240</v>
      </c>
      <c r="BH433" s="0" t="s">
        <v>240</v>
      </c>
      <c r="BI433" s="0" t="s">
        <v>240</v>
      </c>
      <c r="BJ433" s="0" t="s">
        <v>240</v>
      </c>
      <c r="BK433" s="0" t="s">
        <v>240</v>
      </c>
      <c r="BL433" s="0" t="s">
        <v>240</v>
      </c>
      <c r="BM433" s="0" t="s">
        <v>240</v>
      </c>
      <c r="BN433" s="0" t="s">
        <v>240</v>
      </c>
      <c r="BO433" s="0" t="s">
        <v>240</v>
      </c>
      <c r="BP433" s="0" t="s">
        <v>240</v>
      </c>
      <c r="BQ433" s="0" t="s">
        <v>240</v>
      </c>
      <c r="BR433" s="0" t="s">
        <v>240</v>
      </c>
      <c r="BS433" s="0" t="s">
        <v>240</v>
      </c>
      <c r="BT433" s="0" t="s">
        <v>240</v>
      </c>
      <c r="BU433" s="0" t="s">
        <v>240</v>
      </c>
      <c r="BV433" s="0" t="s">
        <v>240</v>
      </c>
      <c r="BW433" s="0" t="s">
        <v>240</v>
      </c>
      <c r="BX433" s="0" t="s">
        <v>240</v>
      </c>
      <c r="BY433" s="0" t="s">
        <v>240</v>
      </c>
      <c r="BZ433" s="0" t="s">
        <v>240</v>
      </c>
      <c r="CA433" s="0" t="s">
        <v>240</v>
      </c>
      <c r="CB433" s="0" t="s">
        <v>240</v>
      </c>
      <c r="CC433" s="0" t="s">
        <v>240</v>
      </c>
      <c r="CD433" s="0" t="s">
        <v>240</v>
      </c>
      <c r="CE433" s="0" t="s">
        <v>240</v>
      </c>
      <c r="CF433" s="0" t="s">
        <v>240</v>
      </c>
      <c r="CG433" s="0" t="s">
        <v>240</v>
      </c>
      <c r="CH433" s="0" t="s">
        <v>240</v>
      </c>
      <c r="CI433" s="0" t="s">
        <v>240</v>
      </c>
      <c r="CJ433" s="0" t="s">
        <v>240</v>
      </c>
      <c r="CK433" s="0" t="s">
        <v>240</v>
      </c>
      <c r="CL433" s="0" t="s">
        <v>240</v>
      </c>
      <c r="CM433" s="0" t="s">
        <v>240</v>
      </c>
      <c r="CN433" s="0" t="s">
        <v>240</v>
      </c>
      <c r="CO433" s="0" t="s">
        <v>240</v>
      </c>
      <c r="CP433" s="0" t="s">
        <v>240</v>
      </c>
      <c r="CQ433" s="0" t="s">
        <v>240</v>
      </c>
      <c r="CR433" s="0" t="s">
        <v>240</v>
      </c>
      <c r="CS433" s="0" t="s">
        <v>240</v>
      </c>
      <c r="CT433" s="0" t="s">
        <v>5496</v>
      </c>
      <c r="CU433" s="0" t="s">
        <v>5497</v>
      </c>
      <c r="CV433" s="0" t="s">
        <v>443</v>
      </c>
      <c r="CW433" s="0" t="s">
        <v>5547</v>
      </c>
      <c r="CX433" s="0" t="s">
        <v>229</v>
      </c>
      <c r="CY433" s="0" t="s">
        <v>443</v>
      </c>
      <c r="CZ433" s="0" t="s">
        <v>5548</v>
      </c>
      <c r="DA433" s="0" t="s">
        <v>5549</v>
      </c>
      <c r="DB433" s="0" t="s">
        <v>5547</v>
      </c>
      <c r="DC433" s="0" t="s">
        <v>384</v>
      </c>
      <c r="DD433" s="0" t="s">
        <v>291</v>
      </c>
      <c r="DE433" s="0" t="s">
        <v>6187</v>
      </c>
    </row>
    <row customHeight="1" ht="11.25">
      <c r="A434" s="1441" t="s">
        <v>240</v>
      </c>
      <c r="B434" s="0" t="s">
        <v>240</v>
      </c>
      <c r="C434" s="0" t="s">
        <v>240</v>
      </c>
      <c r="D434" s="0" t="s">
        <v>240</v>
      </c>
      <c r="E434" s="0" t="s">
        <v>240</v>
      </c>
      <c r="F434" s="0" t="s">
        <v>240</v>
      </c>
      <c r="G434" s="0" t="s">
        <v>240</v>
      </c>
      <c r="H434" s="0" t="s">
        <v>240</v>
      </c>
      <c r="I434" s="0" t="s">
        <v>5484</v>
      </c>
      <c r="J434" s="0" t="s">
        <v>240</v>
      </c>
      <c r="K434" s="0" t="s">
        <v>240</v>
      </c>
      <c r="L434" s="0" t="s">
        <v>240</v>
      </c>
      <c r="M434" s="0" t="s">
        <v>240</v>
      </c>
      <c r="N434" s="0" t="s">
        <v>240</v>
      </c>
      <c r="O434" s="0" t="s">
        <v>240</v>
      </c>
      <c r="P434" s="0" t="s">
        <v>240</v>
      </c>
      <c r="Q434" s="0" t="s">
        <v>240</v>
      </c>
      <c r="R434" s="0" t="s">
        <v>6188</v>
      </c>
      <c r="S434" s="0" t="s">
        <v>240</v>
      </c>
      <c r="T434" s="0" t="s">
        <v>240</v>
      </c>
      <c r="U434" s="0" t="s">
        <v>102</v>
      </c>
      <c r="V434" s="0" t="s">
        <v>240</v>
      </c>
      <c r="W434" s="0" t="s">
        <v>240</v>
      </c>
      <c r="X434" s="0" t="s">
        <v>5485</v>
      </c>
      <c r="Y434" s="0" t="s">
        <v>240</v>
      </c>
      <c r="Z434" s="0" t="s">
        <v>161</v>
      </c>
      <c r="AA434" s="0" t="s">
        <v>152</v>
      </c>
      <c r="AB434" s="0" t="s">
        <v>152</v>
      </c>
      <c r="AC434" s="0" t="s">
        <v>2991</v>
      </c>
      <c r="AD434" s="0" t="s">
        <v>2991</v>
      </c>
      <c r="AE434" s="0" t="s">
        <v>2992</v>
      </c>
      <c r="AF434" s="0" t="s">
        <v>6184</v>
      </c>
      <c r="AG434" s="0" t="s">
        <v>6185</v>
      </c>
      <c r="AH434" s="0" t="s">
        <v>5972</v>
      </c>
      <c r="AI434" s="0" t="s">
        <v>6189</v>
      </c>
      <c r="AJ434" s="0" t="s">
        <v>5504</v>
      </c>
      <c r="AK434" s="0" t="s">
        <v>5544</v>
      </c>
      <c r="AL434" s="0" t="s">
        <v>5506</v>
      </c>
      <c r="AM434" s="0" t="s">
        <v>5493</v>
      </c>
      <c r="AN434" s="0" t="s">
        <v>5545</v>
      </c>
      <c r="AO434" s="0" t="s">
        <v>6190</v>
      </c>
      <c r="AP434" s="0" t="s">
        <v>240</v>
      </c>
      <c r="AQ434" s="0" t="s">
        <v>240</v>
      </c>
      <c r="AR434" s="0" t="s">
        <v>240</v>
      </c>
      <c r="AS434" s="0" t="s">
        <v>240</v>
      </c>
      <c r="AT434" s="0" t="s">
        <v>240</v>
      </c>
      <c r="AU434" s="0" t="s">
        <v>240</v>
      </c>
      <c r="AV434" s="0" t="s">
        <v>240</v>
      </c>
      <c r="AW434" s="0" t="s">
        <v>240</v>
      </c>
      <c r="AX434" s="0" t="s">
        <v>240</v>
      </c>
      <c r="AY434" s="0" t="s">
        <v>240</v>
      </c>
      <c r="AZ434" s="0" t="s">
        <v>240</v>
      </c>
      <c r="BA434" s="0" t="s">
        <v>240</v>
      </c>
      <c r="BB434" s="0" t="s">
        <v>240</v>
      </c>
      <c r="BC434" s="0" t="s">
        <v>240</v>
      </c>
      <c r="BD434" s="0" t="s">
        <v>240</v>
      </c>
      <c r="BE434" s="0" t="s">
        <v>240</v>
      </c>
      <c r="BF434" s="0" t="s">
        <v>240</v>
      </c>
      <c r="BG434" s="0" t="s">
        <v>240</v>
      </c>
      <c r="BH434" s="0" t="s">
        <v>240</v>
      </c>
      <c r="BI434" s="0" t="s">
        <v>240</v>
      </c>
      <c r="BJ434" s="0" t="s">
        <v>240</v>
      </c>
      <c r="BK434" s="0" t="s">
        <v>240</v>
      </c>
      <c r="BL434" s="0" t="s">
        <v>240</v>
      </c>
      <c r="BM434" s="0" t="s">
        <v>240</v>
      </c>
      <c r="BN434" s="0" t="s">
        <v>240</v>
      </c>
      <c r="BO434" s="0" t="s">
        <v>240</v>
      </c>
      <c r="BP434" s="0" t="s">
        <v>240</v>
      </c>
      <c r="BQ434" s="0" t="s">
        <v>240</v>
      </c>
      <c r="BR434" s="0" t="s">
        <v>240</v>
      </c>
      <c r="BS434" s="0" t="s">
        <v>240</v>
      </c>
      <c r="BT434" s="0" t="s">
        <v>240</v>
      </c>
      <c r="BU434" s="0" t="s">
        <v>240</v>
      </c>
      <c r="BV434" s="0" t="s">
        <v>240</v>
      </c>
      <c r="BW434" s="0" t="s">
        <v>240</v>
      </c>
      <c r="BX434" s="0" t="s">
        <v>240</v>
      </c>
      <c r="BY434" s="0" t="s">
        <v>240</v>
      </c>
      <c r="BZ434" s="0" t="s">
        <v>240</v>
      </c>
      <c r="CA434" s="0" t="s">
        <v>240</v>
      </c>
      <c r="CB434" s="0" t="s">
        <v>240</v>
      </c>
      <c r="CC434" s="0" t="s">
        <v>240</v>
      </c>
      <c r="CD434" s="0" t="s">
        <v>240</v>
      </c>
      <c r="CE434" s="0" t="s">
        <v>240</v>
      </c>
      <c r="CF434" s="0" t="s">
        <v>240</v>
      </c>
      <c r="CG434" s="0" t="s">
        <v>240</v>
      </c>
      <c r="CH434" s="0" t="s">
        <v>240</v>
      </c>
      <c r="CI434" s="0" t="s">
        <v>240</v>
      </c>
      <c r="CJ434" s="0" t="s">
        <v>240</v>
      </c>
      <c r="CK434" s="0" t="s">
        <v>240</v>
      </c>
      <c r="CL434" s="0" t="s">
        <v>240</v>
      </c>
      <c r="CM434" s="0" t="s">
        <v>240</v>
      </c>
      <c r="CN434" s="0" t="s">
        <v>240</v>
      </c>
      <c r="CO434" s="0" t="s">
        <v>240</v>
      </c>
      <c r="CP434" s="0" t="s">
        <v>240</v>
      </c>
      <c r="CQ434" s="0" t="s">
        <v>240</v>
      </c>
      <c r="CR434" s="0" t="s">
        <v>240</v>
      </c>
      <c r="CS434" s="0" t="s">
        <v>240</v>
      </c>
      <c r="CT434" s="0" t="s">
        <v>5496</v>
      </c>
      <c r="CU434" s="0" t="s">
        <v>5497</v>
      </c>
      <c r="CV434" s="0" t="s">
        <v>443</v>
      </c>
      <c r="CW434" s="0" t="s">
        <v>5547</v>
      </c>
      <c r="CX434" s="0" t="s">
        <v>229</v>
      </c>
      <c r="CY434" s="0" t="s">
        <v>443</v>
      </c>
      <c r="CZ434" s="0" t="s">
        <v>5548</v>
      </c>
      <c r="DA434" s="0" t="s">
        <v>5549</v>
      </c>
      <c r="DB434" s="0" t="s">
        <v>5547</v>
      </c>
      <c r="DC434" s="0" t="s">
        <v>384</v>
      </c>
      <c r="DD434" s="0" t="s">
        <v>291</v>
      </c>
      <c r="DE434" s="0" t="s">
        <v>6191</v>
      </c>
    </row>
    <row customHeight="1" ht="11.25">
      <c r="A435" s="1441" t="s">
        <v>240</v>
      </c>
      <c r="B435" s="0" t="s">
        <v>240</v>
      </c>
      <c r="C435" s="0" t="s">
        <v>240</v>
      </c>
      <c r="D435" s="0" t="s">
        <v>240</v>
      </c>
      <c r="E435" s="0" t="s">
        <v>240</v>
      </c>
      <c r="F435" s="0" t="s">
        <v>240</v>
      </c>
      <c r="G435" s="0" t="s">
        <v>240</v>
      </c>
      <c r="H435" s="0" t="s">
        <v>240</v>
      </c>
      <c r="I435" s="0" t="s">
        <v>5484</v>
      </c>
      <c r="J435" s="0" t="s">
        <v>240</v>
      </c>
      <c r="K435" s="0" t="s">
        <v>240</v>
      </c>
      <c r="L435" s="0" t="s">
        <v>240</v>
      </c>
      <c r="M435" s="0" t="s">
        <v>240</v>
      </c>
      <c r="N435" s="0" t="s">
        <v>240</v>
      </c>
      <c r="O435" s="0" t="s">
        <v>240</v>
      </c>
      <c r="P435" s="0" t="s">
        <v>240</v>
      </c>
      <c r="Q435" s="0" t="s">
        <v>240</v>
      </c>
      <c r="R435" s="0" t="s">
        <v>6450</v>
      </c>
      <c r="S435" s="0" t="s">
        <v>240</v>
      </c>
      <c r="T435" s="0" t="s">
        <v>240</v>
      </c>
      <c r="U435" s="0" t="s">
        <v>102</v>
      </c>
      <c r="V435" s="0" t="s">
        <v>240</v>
      </c>
      <c r="W435" s="0" t="s">
        <v>240</v>
      </c>
      <c r="X435" s="0" t="s">
        <v>5485</v>
      </c>
      <c r="Y435" s="0" t="s">
        <v>240</v>
      </c>
      <c r="Z435" s="0" t="s">
        <v>161</v>
      </c>
      <c r="AA435" s="0" t="s">
        <v>152</v>
      </c>
      <c r="AB435" s="0" t="s">
        <v>152</v>
      </c>
      <c r="AC435" s="0" t="s">
        <v>2991</v>
      </c>
      <c r="AD435" s="0" t="s">
        <v>2991</v>
      </c>
      <c r="AE435" s="0" t="s">
        <v>2992</v>
      </c>
      <c r="AF435" s="0" t="s">
        <v>6451</v>
      </c>
      <c r="AG435" s="0" t="s">
        <v>6452</v>
      </c>
      <c r="AH435" s="0" t="s">
        <v>5684</v>
      </c>
      <c r="AI435" s="0" t="s">
        <v>6186</v>
      </c>
      <c r="AJ435" s="0" t="s">
        <v>5576</v>
      </c>
      <c r="AK435" s="0" t="s">
        <v>5544</v>
      </c>
      <c r="AL435" s="0" t="s">
        <v>5506</v>
      </c>
      <c r="AM435" s="0" t="s">
        <v>5493</v>
      </c>
      <c r="AN435" s="0" t="s">
        <v>5553</v>
      </c>
      <c r="AO435" s="0" t="s">
        <v>6074</v>
      </c>
      <c r="AP435" s="0" t="s">
        <v>240</v>
      </c>
      <c r="AQ435" s="0" t="s">
        <v>240</v>
      </c>
      <c r="AR435" s="0" t="s">
        <v>240</v>
      </c>
      <c r="AS435" s="0" t="s">
        <v>240</v>
      </c>
      <c r="AT435" s="0" t="s">
        <v>240</v>
      </c>
      <c r="AU435" s="0" t="s">
        <v>240</v>
      </c>
      <c r="AV435" s="0" t="s">
        <v>240</v>
      </c>
      <c r="AW435" s="0" t="s">
        <v>240</v>
      </c>
      <c r="AX435" s="0" t="s">
        <v>240</v>
      </c>
      <c r="AY435" s="0" t="s">
        <v>240</v>
      </c>
      <c r="AZ435" s="0" t="s">
        <v>240</v>
      </c>
      <c r="BA435" s="0" t="s">
        <v>240</v>
      </c>
      <c r="BB435" s="0" t="s">
        <v>240</v>
      </c>
      <c r="BC435" s="0" t="s">
        <v>240</v>
      </c>
      <c r="BD435" s="0" t="s">
        <v>240</v>
      </c>
      <c r="BE435" s="0" t="s">
        <v>240</v>
      </c>
      <c r="BF435" s="0" t="s">
        <v>240</v>
      </c>
      <c r="BG435" s="0" t="s">
        <v>240</v>
      </c>
      <c r="BH435" s="0" t="s">
        <v>240</v>
      </c>
      <c r="BI435" s="0" t="s">
        <v>240</v>
      </c>
      <c r="BJ435" s="0" t="s">
        <v>240</v>
      </c>
      <c r="BK435" s="0" t="s">
        <v>240</v>
      </c>
      <c r="BL435" s="0" t="s">
        <v>240</v>
      </c>
      <c r="BM435" s="0" t="s">
        <v>240</v>
      </c>
      <c r="BN435" s="0" t="s">
        <v>240</v>
      </c>
      <c r="BO435" s="0" t="s">
        <v>240</v>
      </c>
      <c r="BP435" s="0" t="s">
        <v>240</v>
      </c>
      <c r="BQ435" s="0" t="s">
        <v>240</v>
      </c>
      <c r="BR435" s="0" t="s">
        <v>240</v>
      </c>
      <c r="BS435" s="0" t="s">
        <v>240</v>
      </c>
      <c r="BT435" s="0" t="s">
        <v>240</v>
      </c>
      <c r="BU435" s="0" t="s">
        <v>240</v>
      </c>
      <c r="BV435" s="0" t="s">
        <v>240</v>
      </c>
      <c r="BW435" s="0" t="s">
        <v>240</v>
      </c>
      <c r="BX435" s="0" t="s">
        <v>240</v>
      </c>
      <c r="BY435" s="0" t="s">
        <v>240</v>
      </c>
      <c r="BZ435" s="0" t="s">
        <v>240</v>
      </c>
      <c r="CA435" s="0" t="s">
        <v>240</v>
      </c>
      <c r="CB435" s="0" t="s">
        <v>240</v>
      </c>
      <c r="CC435" s="0" t="s">
        <v>240</v>
      </c>
      <c r="CD435" s="0" t="s">
        <v>240</v>
      </c>
      <c r="CE435" s="0" t="s">
        <v>240</v>
      </c>
      <c r="CF435" s="0" t="s">
        <v>240</v>
      </c>
      <c r="CG435" s="0" t="s">
        <v>240</v>
      </c>
      <c r="CH435" s="0" t="s">
        <v>240</v>
      </c>
      <c r="CI435" s="0" t="s">
        <v>240</v>
      </c>
      <c r="CJ435" s="0" t="s">
        <v>240</v>
      </c>
      <c r="CK435" s="0" t="s">
        <v>240</v>
      </c>
      <c r="CL435" s="0" t="s">
        <v>240</v>
      </c>
      <c r="CM435" s="0" t="s">
        <v>240</v>
      </c>
      <c r="CN435" s="0" t="s">
        <v>240</v>
      </c>
      <c r="CO435" s="0" t="s">
        <v>240</v>
      </c>
      <c r="CP435" s="0" t="s">
        <v>240</v>
      </c>
      <c r="CQ435" s="0" t="s">
        <v>240</v>
      </c>
      <c r="CR435" s="0" t="s">
        <v>240</v>
      </c>
      <c r="CS435" s="0" t="s">
        <v>240</v>
      </c>
      <c r="CT435" s="0" t="s">
        <v>5496</v>
      </c>
      <c r="CU435" s="0" t="s">
        <v>5497</v>
      </c>
      <c r="CV435" s="0" t="s">
        <v>443</v>
      </c>
      <c r="CW435" s="0" t="s">
        <v>5547</v>
      </c>
      <c r="CX435" s="0" t="s">
        <v>229</v>
      </c>
      <c r="CY435" s="0" t="s">
        <v>443</v>
      </c>
      <c r="CZ435" s="0" t="s">
        <v>5548</v>
      </c>
      <c r="DA435" s="0" t="s">
        <v>5549</v>
      </c>
      <c r="DB435" s="0" t="s">
        <v>5547</v>
      </c>
      <c r="DC435" s="0" t="s">
        <v>384</v>
      </c>
      <c r="DD435" s="0" t="s">
        <v>291</v>
      </c>
      <c r="DE435" s="0" t="s">
        <v>6453</v>
      </c>
    </row>
    <row customHeight="1" ht="11.25">
      <c r="A436" s="1441" t="s">
        <v>240</v>
      </c>
      <c r="B436" s="0" t="s">
        <v>240</v>
      </c>
      <c r="C436" s="0" t="s">
        <v>240</v>
      </c>
      <c r="D436" s="0" t="s">
        <v>240</v>
      </c>
      <c r="E436" s="0" t="s">
        <v>240</v>
      </c>
      <c r="F436" s="0" t="s">
        <v>240</v>
      </c>
      <c r="G436" s="0" t="s">
        <v>240</v>
      </c>
      <c r="H436" s="0" t="s">
        <v>240</v>
      </c>
      <c r="I436" s="0" t="s">
        <v>5484</v>
      </c>
      <c r="J436" s="0" t="s">
        <v>240</v>
      </c>
      <c r="K436" s="0" t="s">
        <v>240</v>
      </c>
      <c r="L436" s="0" t="s">
        <v>240</v>
      </c>
      <c r="M436" s="0" t="s">
        <v>240</v>
      </c>
      <c r="N436" s="0" t="s">
        <v>240</v>
      </c>
      <c r="O436" s="0" t="s">
        <v>240</v>
      </c>
      <c r="P436" s="0" t="s">
        <v>240</v>
      </c>
      <c r="Q436" s="0" t="s">
        <v>240</v>
      </c>
      <c r="R436" s="0" t="s">
        <v>6967</v>
      </c>
      <c r="S436" s="0" t="s">
        <v>240</v>
      </c>
      <c r="T436" s="0" t="s">
        <v>240</v>
      </c>
      <c r="U436" s="0" t="s">
        <v>102</v>
      </c>
      <c r="V436" s="0" t="s">
        <v>240</v>
      </c>
      <c r="W436" s="0" t="s">
        <v>240</v>
      </c>
      <c r="X436" s="0" t="s">
        <v>5485</v>
      </c>
      <c r="Y436" s="0" t="s">
        <v>240</v>
      </c>
      <c r="Z436" s="0" t="s">
        <v>161</v>
      </c>
      <c r="AA436" s="0" t="s">
        <v>152</v>
      </c>
      <c r="AB436" s="0" t="s">
        <v>152</v>
      </c>
      <c r="AC436" s="0" t="s">
        <v>3389</v>
      </c>
      <c r="AD436" s="0" t="s">
        <v>3389</v>
      </c>
      <c r="AE436" s="0" t="s">
        <v>3390</v>
      </c>
      <c r="AF436" s="0" t="s">
        <v>5519</v>
      </c>
      <c r="AG436" s="0" t="s">
        <v>5520</v>
      </c>
      <c r="AH436" s="0" t="s">
        <v>6455</v>
      </c>
      <c r="AI436" s="0" t="s">
        <v>6456</v>
      </c>
      <c r="AJ436" s="0" t="s">
        <v>5872</v>
      </c>
      <c r="AK436" s="0" t="s">
        <v>6457</v>
      </c>
      <c r="AL436" s="0" t="s">
        <v>5524</v>
      </c>
      <c r="AM436" s="0" t="s">
        <v>5493</v>
      </c>
      <c r="AN436" s="0" t="s">
        <v>6458</v>
      </c>
      <c r="AO436" s="0" t="s">
        <v>6459</v>
      </c>
      <c r="AP436" s="0" t="s">
        <v>240</v>
      </c>
      <c r="AQ436" s="0" t="s">
        <v>240</v>
      </c>
      <c r="AR436" s="0" t="s">
        <v>240</v>
      </c>
      <c r="AS436" s="0" t="s">
        <v>240</v>
      </c>
      <c r="AT436" s="0" t="s">
        <v>240</v>
      </c>
      <c r="AU436" s="0" t="s">
        <v>240</v>
      </c>
      <c r="AV436" s="0" t="s">
        <v>240</v>
      </c>
      <c r="AW436" s="0" t="s">
        <v>240</v>
      </c>
      <c r="AX436" s="0" t="s">
        <v>240</v>
      </c>
      <c r="AY436" s="0" t="s">
        <v>240</v>
      </c>
      <c r="AZ436" s="0" t="s">
        <v>240</v>
      </c>
      <c r="BA436" s="0" t="s">
        <v>240</v>
      </c>
      <c r="BB436" s="0" t="s">
        <v>240</v>
      </c>
      <c r="BC436" s="0" t="s">
        <v>240</v>
      </c>
      <c r="BD436" s="0" t="s">
        <v>240</v>
      </c>
      <c r="BE436" s="0" t="s">
        <v>240</v>
      </c>
      <c r="BF436" s="0" t="s">
        <v>240</v>
      </c>
      <c r="BG436" s="0" t="s">
        <v>240</v>
      </c>
      <c r="BH436" s="0" t="s">
        <v>240</v>
      </c>
      <c r="BI436" s="0" t="s">
        <v>240</v>
      </c>
      <c r="BJ436" s="0" t="s">
        <v>240</v>
      </c>
      <c r="BK436" s="0" t="s">
        <v>240</v>
      </c>
      <c r="BL436" s="0" t="s">
        <v>240</v>
      </c>
      <c r="BM436" s="0" t="s">
        <v>240</v>
      </c>
      <c r="BN436" s="0" t="s">
        <v>240</v>
      </c>
      <c r="BO436" s="0" t="s">
        <v>240</v>
      </c>
      <c r="BP436" s="0" t="s">
        <v>240</v>
      </c>
      <c r="BQ436" s="0" t="s">
        <v>240</v>
      </c>
      <c r="BR436" s="0" t="s">
        <v>240</v>
      </c>
      <c r="BS436" s="0" t="s">
        <v>240</v>
      </c>
      <c r="BT436" s="0" t="s">
        <v>240</v>
      </c>
      <c r="BU436" s="0" t="s">
        <v>240</v>
      </c>
      <c r="BV436" s="0" t="s">
        <v>240</v>
      </c>
      <c r="BW436" s="0" t="s">
        <v>240</v>
      </c>
      <c r="BX436" s="0" t="s">
        <v>240</v>
      </c>
      <c r="BY436" s="0" t="s">
        <v>240</v>
      </c>
      <c r="BZ436" s="0" t="s">
        <v>240</v>
      </c>
      <c r="CA436" s="0" t="s">
        <v>240</v>
      </c>
      <c r="CB436" s="0" t="s">
        <v>240</v>
      </c>
      <c r="CC436" s="0" t="s">
        <v>240</v>
      </c>
      <c r="CD436" s="0" t="s">
        <v>240</v>
      </c>
      <c r="CE436" s="0" t="s">
        <v>240</v>
      </c>
      <c r="CF436" s="0" t="s">
        <v>240</v>
      </c>
      <c r="CG436" s="0" t="s">
        <v>240</v>
      </c>
      <c r="CH436" s="0" t="s">
        <v>240</v>
      </c>
      <c r="CI436" s="0" t="s">
        <v>240</v>
      </c>
      <c r="CJ436" s="0" t="s">
        <v>240</v>
      </c>
      <c r="CK436" s="0" t="s">
        <v>240</v>
      </c>
      <c r="CL436" s="0" t="s">
        <v>240</v>
      </c>
      <c r="CM436" s="0" t="s">
        <v>240</v>
      </c>
      <c r="CN436" s="0" t="s">
        <v>240</v>
      </c>
      <c r="CO436" s="0" t="s">
        <v>240</v>
      </c>
      <c r="CP436" s="0" t="s">
        <v>240</v>
      </c>
      <c r="CQ436" s="0" t="s">
        <v>240</v>
      </c>
      <c r="CR436" s="0" t="s">
        <v>240</v>
      </c>
      <c r="CS436" s="0" t="s">
        <v>240</v>
      </c>
      <c r="CT436" s="0" t="s">
        <v>5496</v>
      </c>
      <c r="CU436" s="0" t="s">
        <v>5497</v>
      </c>
      <c r="CV436" s="0" t="s">
        <v>443</v>
      </c>
      <c r="CW436" s="0" t="s">
        <v>5527</v>
      </c>
      <c r="CX436" s="0" t="s">
        <v>5528</v>
      </c>
      <c r="CY436" s="0" t="s">
        <v>443</v>
      </c>
      <c r="CZ436" s="0" t="s">
        <v>299</v>
      </c>
      <c r="DA436" s="0" t="s">
        <v>5529</v>
      </c>
      <c r="DB436" s="0" t="s">
        <v>5527</v>
      </c>
      <c r="DC436" s="0" t="s">
        <v>384</v>
      </c>
      <c r="DD436" s="0" t="s">
        <v>291</v>
      </c>
      <c r="DE436" s="0" t="s">
        <v>6460</v>
      </c>
    </row>
    <row customHeight="1" ht="11.25">
      <c r="A437" s="1441" t="s">
        <v>240</v>
      </c>
      <c r="B437" s="0" t="s">
        <v>240</v>
      </c>
      <c r="C437" s="0" t="s">
        <v>240</v>
      </c>
      <c r="D437" s="0" t="s">
        <v>240</v>
      </c>
      <c r="E437" s="0" t="s">
        <v>240</v>
      </c>
      <c r="F437" s="0" t="s">
        <v>240</v>
      </c>
      <c r="G437" s="0" t="s">
        <v>240</v>
      </c>
      <c r="H437" s="0" t="s">
        <v>240</v>
      </c>
      <c r="I437" s="0" t="s">
        <v>5484</v>
      </c>
      <c r="J437" s="0" t="s">
        <v>240</v>
      </c>
      <c r="K437" s="0" t="s">
        <v>240</v>
      </c>
      <c r="L437" s="0" t="s">
        <v>240</v>
      </c>
      <c r="M437" s="0" t="s">
        <v>240</v>
      </c>
      <c r="N437" s="0" t="s">
        <v>240</v>
      </c>
      <c r="O437" s="0" t="s">
        <v>240</v>
      </c>
      <c r="P437" s="0" t="s">
        <v>240</v>
      </c>
      <c r="Q437" s="0" t="s">
        <v>240</v>
      </c>
      <c r="R437" s="0" t="s">
        <v>6461</v>
      </c>
      <c r="S437" s="0" t="s">
        <v>240</v>
      </c>
      <c r="T437" s="0" t="s">
        <v>240</v>
      </c>
      <c r="U437" s="0" t="s">
        <v>102</v>
      </c>
      <c r="V437" s="0" t="s">
        <v>240</v>
      </c>
      <c r="W437" s="0" t="s">
        <v>240</v>
      </c>
      <c r="X437" s="0" t="s">
        <v>5485</v>
      </c>
      <c r="Y437" s="0" t="s">
        <v>240</v>
      </c>
      <c r="Z437" s="0" t="s">
        <v>161</v>
      </c>
      <c r="AA437" s="0" t="s">
        <v>152</v>
      </c>
      <c r="AB437" s="0" t="s">
        <v>152</v>
      </c>
      <c r="AC437" s="0" t="s">
        <v>2991</v>
      </c>
      <c r="AD437" s="0" t="s">
        <v>2991</v>
      </c>
      <c r="AE437" s="0" t="s">
        <v>2992</v>
      </c>
      <c r="AF437" s="0" t="s">
        <v>6451</v>
      </c>
      <c r="AG437" s="0" t="s">
        <v>6452</v>
      </c>
      <c r="AH437" s="0" t="s">
        <v>6462</v>
      </c>
      <c r="AI437" s="0" t="s">
        <v>6463</v>
      </c>
      <c r="AJ437" s="0" t="s">
        <v>5576</v>
      </c>
      <c r="AK437" s="0" t="s">
        <v>5544</v>
      </c>
      <c r="AL437" s="0" t="s">
        <v>5506</v>
      </c>
      <c r="AM437" s="0" t="s">
        <v>5493</v>
      </c>
      <c r="AN437" s="0" t="s">
        <v>5553</v>
      </c>
      <c r="AO437" s="0" t="s">
        <v>6074</v>
      </c>
      <c r="AP437" s="0" t="s">
        <v>240</v>
      </c>
      <c r="AQ437" s="0" t="s">
        <v>240</v>
      </c>
      <c r="AR437" s="0" t="s">
        <v>240</v>
      </c>
      <c r="AS437" s="0" t="s">
        <v>240</v>
      </c>
      <c r="AT437" s="0" t="s">
        <v>240</v>
      </c>
      <c r="AU437" s="0" t="s">
        <v>240</v>
      </c>
      <c r="AV437" s="0" t="s">
        <v>240</v>
      </c>
      <c r="AW437" s="0" t="s">
        <v>240</v>
      </c>
      <c r="AX437" s="0" t="s">
        <v>240</v>
      </c>
      <c r="AY437" s="0" t="s">
        <v>240</v>
      </c>
      <c r="AZ437" s="0" t="s">
        <v>240</v>
      </c>
      <c r="BA437" s="0" t="s">
        <v>240</v>
      </c>
      <c r="BB437" s="0" t="s">
        <v>240</v>
      </c>
      <c r="BC437" s="0" t="s">
        <v>240</v>
      </c>
      <c r="BD437" s="0" t="s">
        <v>240</v>
      </c>
      <c r="BE437" s="0" t="s">
        <v>240</v>
      </c>
      <c r="BF437" s="0" t="s">
        <v>240</v>
      </c>
      <c r="BG437" s="0" t="s">
        <v>240</v>
      </c>
      <c r="BH437" s="0" t="s">
        <v>240</v>
      </c>
      <c r="BI437" s="0" t="s">
        <v>240</v>
      </c>
      <c r="BJ437" s="0" t="s">
        <v>240</v>
      </c>
      <c r="BK437" s="0" t="s">
        <v>240</v>
      </c>
      <c r="BL437" s="0" t="s">
        <v>240</v>
      </c>
      <c r="BM437" s="0" t="s">
        <v>240</v>
      </c>
      <c r="BN437" s="0" t="s">
        <v>240</v>
      </c>
      <c r="BO437" s="0" t="s">
        <v>240</v>
      </c>
      <c r="BP437" s="0" t="s">
        <v>240</v>
      </c>
      <c r="BQ437" s="0" t="s">
        <v>240</v>
      </c>
      <c r="BR437" s="0" t="s">
        <v>240</v>
      </c>
      <c r="BS437" s="0" t="s">
        <v>240</v>
      </c>
      <c r="BT437" s="0" t="s">
        <v>240</v>
      </c>
      <c r="BU437" s="0" t="s">
        <v>240</v>
      </c>
      <c r="BV437" s="0" t="s">
        <v>240</v>
      </c>
      <c r="BW437" s="0" t="s">
        <v>240</v>
      </c>
      <c r="BX437" s="0" t="s">
        <v>240</v>
      </c>
      <c r="BY437" s="0" t="s">
        <v>240</v>
      </c>
      <c r="BZ437" s="0" t="s">
        <v>240</v>
      </c>
      <c r="CA437" s="0" t="s">
        <v>240</v>
      </c>
      <c r="CB437" s="0" t="s">
        <v>240</v>
      </c>
      <c r="CC437" s="0" t="s">
        <v>240</v>
      </c>
      <c r="CD437" s="0" t="s">
        <v>240</v>
      </c>
      <c r="CE437" s="0" t="s">
        <v>240</v>
      </c>
      <c r="CF437" s="0" t="s">
        <v>240</v>
      </c>
      <c r="CG437" s="0" t="s">
        <v>240</v>
      </c>
      <c r="CH437" s="0" t="s">
        <v>240</v>
      </c>
      <c r="CI437" s="0" t="s">
        <v>240</v>
      </c>
      <c r="CJ437" s="0" t="s">
        <v>240</v>
      </c>
      <c r="CK437" s="0" t="s">
        <v>240</v>
      </c>
      <c r="CL437" s="0" t="s">
        <v>240</v>
      </c>
      <c r="CM437" s="0" t="s">
        <v>240</v>
      </c>
      <c r="CN437" s="0" t="s">
        <v>240</v>
      </c>
      <c r="CO437" s="0" t="s">
        <v>240</v>
      </c>
      <c r="CP437" s="0" t="s">
        <v>240</v>
      </c>
      <c r="CQ437" s="0" t="s">
        <v>240</v>
      </c>
      <c r="CR437" s="0" t="s">
        <v>240</v>
      </c>
      <c r="CS437" s="0" t="s">
        <v>240</v>
      </c>
      <c r="CT437" s="0" t="s">
        <v>5496</v>
      </c>
      <c r="CU437" s="0" t="s">
        <v>5497</v>
      </c>
      <c r="CV437" s="0" t="s">
        <v>443</v>
      </c>
      <c r="CW437" s="0" t="s">
        <v>5547</v>
      </c>
      <c r="CX437" s="0" t="s">
        <v>229</v>
      </c>
      <c r="CY437" s="0" t="s">
        <v>443</v>
      </c>
      <c r="CZ437" s="0" t="s">
        <v>5548</v>
      </c>
      <c r="DA437" s="0" t="s">
        <v>5549</v>
      </c>
      <c r="DB437" s="0" t="s">
        <v>5547</v>
      </c>
      <c r="DC437" s="0" t="s">
        <v>384</v>
      </c>
      <c r="DD437" s="0" t="s">
        <v>291</v>
      </c>
      <c r="DE437" s="0" t="s">
        <v>6464</v>
      </c>
    </row>
    <row customHeight="1" ht="11.25">
      <c r="A438" s="1441" t="s">
        <v>240</v>
      </c>
      <c r="B438" s="0" t="s">
        <v>240</v>
      </c>
      <c r="C438" s="0" t="s">
        <v>240</v>
      </c>
      <c r="D438" s="0" t="s">
        <v>240</v>
      </c>
      <c r="E438" s="0" t="s">
        <v>240</v>
      </c>
      <c r="F438" s="0" t="s">
        <v>240</v>
      </c>
      <c r="G438" s="0" t="s">
        <v>240</v>
      </c>
      <c r="H438" s="0" t="s">
        <v>240</v>
      </c>
      <c r="I438" s="0" t="s">
        <v>5484</v>
      </c>
      <c r="J438" s="0" t="s">
        <v>240</v>
      </c>
      <c r="K438" s="0" t="s">
        <v>240</v>
      </c>
      <c r="L438" s="0" t="s">
        <v>240</v>
      </c>
      <c r="M438" s="0" t="s">
        <v>240</v>
      </c>
      <c r="N438" s="0" t="s">
        <v>240</v>
      </c>
      <c r="O438" s="0" t="s">
        <v>240</v>
      </c>
      <c r="P438" s="0" t="s">
        <v>240</v>
      </c>
      <c r="Q438" s="0" t="s">
        <v>240</v>
      </c>
      <c r="R438" s="0" t="s">
        <v>6529</v>
      </c>
      <c r="S438" s="0" t="s">
        <v>240</v>
      </c>
      <c r="T438" s="0" t="s">
        <v>240</v>
      </c>
      <c r="U438" s="0" t="s">
        <v>102</v>
      </c>
      <c r="V438" s="0" t="s">
        <v>240</v>
      </c>
      <c r="W438" s="0" t="s">
        <v>240</v>
      </c>
      <c r="X438" s="0" t="s">
        <v>5485</v>
      </c>
      <c r="Y438" s="0" t="s">
        <v>240</v>
      </c>
      <c r="Z438" s="0" t="s">
        <v>161</v>
      </c>
      <c r="AA438" s="0" t="s">
        <v>152</v>
      </c>
      <c r="AB438" s="0" t="s">
        <v>152</v>
      </c>
      <c r="AC438" s="0" t="s">
        <v>2991</v>
      </c>
      <c r="AD438" s="0" t="s">
        <v>2991</v>
      </c>
      <c r="AE438" s="0" t="s">
        <v>2992</v>
      </c>
      <c r="AF438" s="0" t="s">
        <v>6451</v>
      </c>
      <c r="AG438" s="0" t="s">
        <v>6452</v>
      </c>
      <c r="AH438" s="0" t="s">
        <v>6530</v>
      </c>
      <c r="AI438" s="0" t="s">
        <v>6531</v>
      </c>
      <c r="AJ438" s="0" t="s">
        <v>5576</v>
      </c>
      <c r="AK438" s="0" t="s">
        <v>5544</v>
      </c>
      <c r="AL438" s="0" t="s">
        <v>5506</v>
      </c>
      <c r="AM438" s="0" t="s">
        <v>5493</v>
      </c>
      <c r="AN438" s="0" t="s">
        <v>5545</v>
      </c>
      <c r="AO438" s="0" t="s">
        <v>5508</v>
      </c>
      <c r="AP438" s="0" t="s">
        <v>240</v>
      </c>
      <c r="AQ438" s="0" t="s">
        <v>240</v>
      </c>
      <c r="AR438" s="0" t="s">
        <v>240</v>
      </c>
      <c r="AS438" s="0" t="s">
        <v>240</v>
      </c>
      <c r="AT438" s="0" t="s">
        <v>240</v>
      </c>
      <c r="AU438" s="0" t="s">
        <v>240</v>
      </c>
      <c r="AV438" s="0" t="s">
        <v>240</v>
      </c>
      <c r="AW438" s="0" t="s">
        <v>240</v>
      </c>
      <c r="AX438" s="0" t="s">
        <v>240</v>
      </c>
      <c r="AY438" s="0" t="s">
        <v>240</v>
      </c>
      <c r="AZ438" s="0" t="s">
        <v>240</v>
      </c>
      <c r="BA438" s="0" t="s">
        <v>240</v>
      </c>
      <c r="BB438" s="0" t="s">
        <v>240</v>
      </c>
      <c r="BC438" s="0" t="s">
        <v>240</v>
      </c>
      <c r="BD438" s="0" t="s">
        <v>240</v>
      </c>
      <c r="BE438" s="0" t="s">
        <v>240</v>
      </c>
      <c r="BF438" s="0" t="s">
        <v>240</v>
      </c>
      <c r="BG438" s="0" t="s">
        <v>240</v>
      </c>
      <c r="BH438" s="0" t="s">
        <v>240</v>
      </c>
      <c r="BI438" s="0" t="s">
        <v>240</v>
      </c>
      <c r="BJ438" s="0" t="s">
        <v>240</v>
      </c>
      <c r="BK438" s="0" t="s">
        <v>240</v>
      </c>
      <c r="BL438" s="0" t="s">
        <v>240</v>
      </c>
      <c r="BM438" s="0" t="s">
        <v>240</v>
      </c>
      <c r="BN438" s="0" t="s">
        <v>240</v>
      </c>
      <c r="BO438" s="0" t="s">
        <v>240</v>
      </c>
      <c r="BP438" s="0" t="s">
        <v>240</v>
      </c>
      <c r="BQ438" s="0" t="s">
        <v>240</v>
      </c>
      <c r="BR438" s="0" t="s">
        <v>240</v>
      </c>
      <c r="BS438" s="0" t="s">
        <v>240</v>
      </c>
      <c r="BT438" s="0" t="s">
        <v>240</v>
      </c>
      <c r="BU438" s="0" t="s">
        <v>240</v>
      </c>
      <c r="BV438" s="0" t="s">
        <v>240</v>
      </c>
      <c r="BW438" s="0" t="s">
        <v>240</v>
      </c>
      <c r="BX438" s="0" t="s">
        <v>240</v>
      </c>
      <c r="BY438" s="0" t="s">
        <v>240</v>
      </c>
      <c r="BZ438" s="0" t="s">
        <v>240</v>
      </c>
      <c r="CA438" s="0" t="s">
        <v>240</v>
      </c>
      <c r="CB438" s="0" t="s">
        <v>240</v>
      </c>
      <c r="CC438" s="0" t="s">
        <v>240</v>
      </c>
      <c r="CD438" s="0" t="s">
        <v>240</v>
      </c>
      <c r="CE438" s="0" t="s">
        <v>240</v>
      </c>
      <c r="CF438" s="0" t="s">
        <v>240</v>
      </c>
      <c r="CG438" s="0" t="s">
        <v>240</v>
      </c>
      <c r="CH438" s="0" t="s">
        <v>240</v>
      </c>
      <c r="CI438" s="0" t="s">
        <v>240</v>
      </c>
      <c r="CJ438" s="0" t="s">
        <v>240</v>
      </c>
      <c r="CK438" s="0" t="s">
        <v>240</v>
      </c>
      <c r="CL438" s="0" t="s">
        <v>240</v>
      </c>
      <c r="CM438" s="0" t="s">
        <v>240</v>
      </c>
      <c r="CN438" s="0" t="s">
        <v>240</v>
      </c>
      <c r="CO438" s="0" t="s">
        <v>240</v>
      </c>
      <c r="CP438" s="0" t="s">
        <v>240</v>
      </c>
      <c r="CQ438" s="0" t="s">
        <v>240</v>
      </c>
      <c r="CR438" s="0" t="s">
        <v>240</v>
      </c>
      <c r="CS438" s="0" t="s">
        <v>240</v>
      </c>
      <c r="CT438" s="0" t="s">
        <v>5496</v>
      </c>
      <c r="CU438" s="0" t="s">
        <v>5497</v>
      </c>
      <c r="CV438" s="0" t="s">
        <v>443</v>
      </c>
      <c r="CW438" s="0" t="s">
        <v>5547</v>
      </c>
      <c r="CX438" s="0" t="s">
        <v>229</v>
      </c>
      <c r="CY438" s="0" t="s">
        <v>443</v>
      </c>
      <c r="CZ438" s="0" t="s">
        <v>5548</v>
      </c>
      <c r="DA438" s="0" t="s">
        <v>5549</v>
      </c>
      <c r="DB438" s="0" t="s">
        <v>5547</v>
      </c>
      <c r="DC438" s="0" t="s">
        <v>384</v>
      </c>
      <c r="DD438" s="0" t="s">
        <v>291</v>
      </c>
      <c r="DE438" s="0" t="s">
        <v>6532</v>
      </c>
    </row>
    <row customHeight="1" ht="11.25">
      <c r="A439" s="1441" t="s">
        <v>240</v>
      </c>
      <c r="B439" s="0" t="s">
        <v>240</v>
      </c>
      <c r="C439" s="0" t="s">
        <v>240</v>
      </c>
      <c r="D439" s="0" t="s">
        <v>240</v>
      </c>
      <c r="E439" s="0" t="s">
        <v>240</v>
      </c>
      <c r="F439" s="0" t="s">
        <v>240</v>
      </c>
      <c r="G439" s="0" t="s">
        <v>240</v>
      </c>
      <c r="H439" s="0" t="s">
        <v>240</v>
      </c>
      <c r="I439" s="0" t="s">
        <v>5484</v>
      </c>
      <c r="J439" s="0" t="s">
        <v>240</v>
      </c>
      <c r="K439" s="0" t="s">
        <v>240</v>
      </c>
      <c r="L439" s="0" t="s">
        <v>240</v>
      </c>
      <c r="M439" s="0" t="s">
        <v>240</v>
      </c>
      <c r="N439" s="0" t="s">
        <v>240</v>
      </c>
      <c r="O439" s="0" t="s">
        <v>240</v>
      </c>
      <c r="P439" s="0" t="s">
        <v>240</v>
      </c>
      <c r="Q439" s="0" t="s">
        <v>240</v>
      </c>
      <c r="R439" s="0" t="s">
        <v>5572</v>
      </c>
      <c r="S439" s="0" t="s">
        <v>240</v>
      </c>
      <c r="T439" s="0" t="s">
        <v>240</v>
      </c>
      <c r="U439" s="0" t="s">
        <v>102</v>
      </c>
      <c r="V439" s="0" t="s">
        <v>240</v>
      </c>
      <c r="W439" s="0" t="s">
        <v>240</v>
      </c>
      <c r="X439" s="0" t="s">
        <v>5485</v>
      </c>
      <c r="Y439" s="0" t="s">
        <v>240</v>
      </c>
      <c r="Z439" s="0" t="s">
        <v>161</v>
      </c>
      <c r="AA439" s="0" t="s">
        <v>152</v>
      </c>
      <c r="AB439" s="0" t="s">
        <v>152</v>
      </c>
      <c r="AC439" s="0" t="s">
        <v>2989</v>
      </c>
      <c r="AD439" s="0" t="s">
        <v>2989</v>
      </c>
      <c r="AE439" s="0" t="s">
        <v>2990</v>
      </c>
      <c r="AF439" s="0" t="s">
        <v>5743</v>
      </c>
      <c r="AG439" s="0" t="s">
        <v>5744</v>
      </c>
      <c r="AH439" s="0" t="s">
        <v>5575</v>
      </c>
      <c r="AI439" s="0" t="s">
        <v>5575</v>
      </c>
      <c r="AJ439" s="0" t="s">
        <v>5576</v>
      </c>
      <c r="AK439" s="0" t="s">
        <v>5745</v>
      </c>
      <c r="AL439" s="0" t="s">
        <v>5506</v>
      </c>
      <c r="AM439" s="0" t="s">
        <v>5493</v>
      </c>
      <c r="AN439" s="0" t="s">
        <v>5578</v>
      </c>
      <c r="AO439" s="0" t="s">
        <v>5746</v>
      </c>
      <c r="AP439" s="0" t="s">
        <v>240</v>
      </c>
      <c r="AQ439" s="0" t="s">
        <v>240</v>
      </c>
      <c r="AR439" s="0" t="s">
        <v>240</v>
      </c>
      <c r="AS439" s="0" t="s">
        <v>240</v>
      </c>
      <c r="AT439" s="0" t="s">
        <v>240</v>
      </c>
      <c r="AU439" s="0" t="s">
        <v>240</v>
      </c>
      <c r="AV439" s="0" t="s">
        <v>240</v>
      </c>
      <c r="AW439" s="0" t="s">
        <v>240</v>
      </c>
      <c r="AX439" s="0" t="s">
        <v>240</v>
      </c>
      <c r="AY439" s="0" t="s">
        <v>240</v>
      </c>
      <c r="AZ439" s="0" t="s">
        <v>240</v>
      </c>
      <c r="BA439" s="0" t="s">
        <v>240</v>
      </c>
      <c r="BB439" s="0" t="s">
        <v>240</v>
      </c>
      <c r="BC439" s="0" t="s">
        <v>240</v>
      </c>
      <c r="BD439" s="0" t="s">
        <v>240</v>
      </c>
      <c r="BE439" s="0" t="s">
        <v>240</v>
      </c>
      <c r="BF439" s="0" t="s">
        <v>240</v>
      </c>
      <c r="BG439" s="0" t="s">
        <v>240</v>
      </c>
      <c r="BH439" s="0" t="s">
        <v>240</v>
      </c>
      <c r="BI439" s="0" t="s">
        <v>240</v>
      </c>
      <c r="BJ439" s="0" t="s">
        <v>240</v>
      </c>
      <c r="BK439" s="0" t="s">
        <v>240</v>
      </c>
      <c r="BL439" s="0" t="s">
        <v>240</v>
      </c>
      <c r="BM439" s="0" t="s">
        <v>240</v>
      </c>
      <c r="BN439" s="0" t="s">
        <v>240</v>
      </c>
      <c r="BO439" s="0" t="s">
        <v>240</v>
      </c>
      <c r="BP439" s="0" t="s">
        <v>240</v>
      </c>
      <c r="BQ439" s="0" t="s">
        <v>240</v>
      </c>
      <c r="BR439" s="0" t="s">
        <v>240</v>
      </c>
      <c r="BS439" s="0" t="s">
        <v>240</v>
      </c>
      <c r="BT439" s="0" t="s">
        <v>240</v>
      </c>
      <c r="BU439" s="0" t="s">
        <v>240</v>
      </c>
      <c r="BV439" s="0" t="s">
        <v>240</v>
      </c>
      <c r="BW439" s="0" t="s">
        <v>240</v>
      </c>
      <c r="BX439" s="0" t="s">
        <v>240</v>
      </c>
      <c r="BY439" s="0" t="s">
        <v>240</v>
      </c>
      <c r="BZ439" s="0" t="s">
        <v>240</v>
      </c>
      <c r="CA439" s="0" t="s">
        <v>240</v>
      </c>
      <c r="CB439" s="0" t="s">
        <v>240</v>
      </c>
      <c r="CC439" s="0" t="s">
        <v>240</v>
      </c>
      <c r="CD439" s="0" t="s">
        <v>240</v>
      </c>
      <c r="CE439" s="0" t="s">
        <v>240</v>
      </c>
      <c r="CF439" s="0" t="s">
        <v>240</v>
      </c>
      <c r="CG439" s="0" t="s">
        <v>240</v>
      </c>
      <c r="CH439" s="0" t="s">
        <v>240</v>
      </c>
      <c r="CI439" s="0" t="s">
        <v>240</v>
      </c>
      <c r="CJ439" s="0" t="s">
        <v>240</v>
      </c>
      <c r="CK439" s="0" t="s">
        <v>240</v>
      </c>
      <c r="CL439" s="0" t="s">
        <v>240</v>
      </c>
      <c r="CM439" s="0" t="s">
        <v>240</v>
      </c>
      <c r="CN439" s="0" t="s">
        <v>240</v>
      </c>
      <c r="CO439" s="0" t="s">
        <v>240</v>
      </c>
      <c r="CP439" s="0" t="s">
        <v>240</v>
      </c>
      <c r="CQ439" s="0" t="s">
        <v>240</v>
      </c>
      <c r="CR439" s="0" t="s">
        <v>240</v>
      </c>
      <c r="CS439" s="0" t="s">
        <v>240</v>
      </c>
      <c r="CT439" s="0" t="s">
        <v>5496</v>
      </c>
      <c r="CU439" s="0" t="s">
        <v>5497</v>
      </c>
      <c r="CV439" s="0" t="s">
        <v>443</v>
      </c>
      <c r="CW439" s="0" t="s">
        <v>5580</v>
      </c>
      <c r="CX439" s="0" t="s">
        <v>229</v>
      </c>
      <c r="CY439" s="0" t="s">
        <v>443</v>
      </c>
      <c r="CZ439" s="0" t="s">
        <v>5581</v>
      </c>
      <c r="DA439" s="0" t="s">
        <v>5582</v>
      </c>
      <c r="DB439" s="0" t="s">
        <v>5580</v>
      </c>
      <c r="DC439" s="0" t="s">
        <v>384</v>
      </c>
      <c r="DD439" s="0" t="s">
        <v>291</v>
      </c>
      <c r="DE439" s="0" t="s">
        <v>5747</v>
      </c>
    </row>
    <row customHeight="1" ht="11.25">
      <c r="A440" s="1441" t="s">
        <v>240</v>
      </c>
      <c r="B440" s="0" t="s">
        <v>240</v>
      </c>
      <c r="C440" s="0" t="s">
        <v>240</v>
      </c>
      <c r="D440" s="0" t="s">
        <v>240</v>
      </c>
      <c r="E440" s="0" t="s">
        <v>240</v>
      </c>
      <c r="F440" s="0" t="s">
        <v>240</v>
      </c>
      <c r="G440" s="0" t="s">
        <v>240</v>
      </c>
      <c r="H440" s="0" t="s">
        <v>240</v>
      </c>
      <c r="I440" s="0" t="s">
        <v>5484</v>
      </c>
      <c r="J440" s="0" t="s">
        <v>240</v>
      </c>
      <c r="K440" s="0" t="s">
        <v>240</v>
      </c>
      <c r="L440" s="0" t="s">
        <v>240</v>
      </c>
      <c r="M440" s="0" t="s">
        <v>240</v>
      </c>
      <c r="N440" s="0" t="s">
        <v>240</v>
      </c>
      <c r="O440" s="0" t="s">
        <v>240</v>
      </c>
      <c r="P440" s="0" t="s">
        <v>240</v>
      </c>
      <c r="Q440" s="0" t="s">
        <v>240</v>
      </c>
      <c r="R440" s="0" t="s">
        <v>6023</v>
      </c>
      <c r="S440" s="0" t="s">
        <v>240</v>
      </c>
      <c r="T440" s="0" t="s">
        <v>240</v>
      </c>
      <c r="U440" s="0" t="s">
        <v>102</v>
      </c>
      <c r="V440" s="0" t="s">
        <v>240</v>
      </c>
      <c r="W440" s="0" t="s">
        <v>240</v>
      </c>
      <c r="X440" s="0" t="s">
        <v>5585</v>
      </c>
      <c r="Y440" s="0" t="s">
        <v>240</v>
      </c>
      <c r="Z440" s="0" t="s">
        <v>152</v>
      </c>
      <c r="AA440" s="0" t="s">
        <v>152</v>
      </c>
      <c r="AB440" s="0" t="s">
        <v>161</v>
      </c>
      <c r="AC440" s="0" t="s">
        <v>2989</v>
      </c>
      <c r="AD440" s="0" t="s">
        <v>2989</v>
      </c>
      <c r="AE440" s="0" t="s">
        <v>2990</v>
      </c>
      <c r="AF440" s="0" t="s">
        <v>5743</v>
      </c>
      <c r="AG440" s="0" t="s">
        <v>5744</v>
      </c>
      <c r="AH440" s="0" t="s">
        <v>5575</v>
      </c>
      <c r="AI440" s="0" t="s">
        <v>5575</v>
      </c>
      <c r="AJ440" s="0" t="s">
        <v>240</v>
      </c>
      <c r="AK440" s="0" t="s">
        <v>240</v>
      </c>
      <c r="AL440" s="0" t="s">
        <v>240</v>
      </c>
      <c r="AM440" s="0" t="s">
        <v>240</v>
      </c>
      <c r="AN440" s="0" t="s">
        <v>240</v>
      </c>
      <c r="AO440" s="0" t="s">
        <v>240</v>
      </c>
      <c r="AP440" s="0" t="s">
        <v>240</v>
      </c>
      <c r="AQ440" s="0" t="s">
        <v>240</v>
      </c>
      <c r="AR440" s="0" t="s">
        <v>240</v>
      </c>
      <c r="AS440" s="0" t="s">
        <v>240</v>
      </c>
      <c r="AT440" s="0" t="s">
        <v>240</v>
      </c>
      <c r="AU440" s="0" t="s">
        <v>240</v>
      </c>
      <c r="AV440" s="0" t="s">
        <v>240</v>
      </c>
      <c r="AW440" s="0" t="s">
        <v>240</v>
      </c>
      <c r="AX440" s="0" t="s">
        <v>240</v>
      </c>
      <c r="AY440" s="0" t="s">
        <v>240</v>
      </c>
      <c r="AZ440" s="0" t="s">
        <v>240</v>
      </c>
      <c r="BA440" s="0" t="s">
        <v>240</v>
      </c>
      <c r="BB440" s="0" t="s">
        <v>240</v>
      </c>
      <c r="BC440" s="0" t="s">
        <v>240</v>
      </c>
      <c r="BD440" s="0" t="s">
        <v>240</v>
      </c>
      <c r="BE440" s="0" t="s">
        <v>5576</v>
      </c>
      <c r="BF440" s="0" t="s">
        <v>5745</v>
      </c>
      <c r="BG440" s="0" t="s">
        <v>112</v>
      </c>
      <c r="BH440" s="0" t="s">
        <v>5589</v>
      </c>
      <c r="BI440" s="0" t="s">
        <v>123</v>
      </c>
      <c r="BJ440" s="0" t="s">
        <v>240</v>
      </c>
      <c r="BK440" s="0" t="s">
        <v>5608</v>
      </c>
      <c r="BL440" s="0" t="s">
        <v>2989</v>
      </c>
      <c r="BM440" s="0" t="s">
        <v>2989</v>
      </c>
      <c r="BN440" s="0" t="s">
        <v>5798</v>
      </c>
      <c r="BO440" s="0" t="s">
        <v>5743</v>
      </c>
      <c r="BP440" s="0" t="s">
        <v>6024</v>
      </c>
      <c r="BQ440" s="0" t="s">
        <v>5575</v>
      </c>
      <c r="BR440" s="0" t="s">
        <v>5575</v>
      </c>
      <c r="BS440" s="0" t="s">
        <v>240</v>
      </c>
      <c r="BT440" s="0" t="s">
        <v>5650</v>
      </c>
      <c r="BU440" s="0" t="s">
        <v>6025</v>
      </c>
      <c r="BV440" s="0" t="s">
        <v>6025</v>
      </c>
      <c r="BW440" s="0" t="s">
        <v>5598</v>
      </c>
      <c r="BX440" s="0" t="s">
        <v>5598</v>
      </c>
      <c r="BY440" s="0" t="s">
        <v>5598</v>
      </c>
      <c r="BZ440" s="0" t="s">
        <v>5598</v>
      </c>
      <c r="CA440" s="0" t="s">
        <v>5598</v>
      </c>
      <c r="CB440" s="0" t="s">
        <v>240</v>
      </c>
      <c r="CC440" s="0" t="s">
        <v>240</v>
      </c>
      <c r="CD440" s="0" t="s">
        <v>240</v>
      </c>
      <c r="CE440" s="0" t="s">
        <v>240</v>
      </c>
      <c r="CF440" s="0" t="s">
        <v>240</v>
      </c>
      <c r="CG440" s="0" t="s">
        <v>5598</v>
      </c>
      <c r="CH440" s="0" t="s">
        <v>240</v>
      </c>
      <c r="CI440" s="0" t="s">
        <v>240</v>
      </c>
      <c r="CJ440" s="0" t="s">
        <v>240</v>
      </c>
      <c r="CK440" s="0" t="s">
        <v>240</v>
      </c>
      <c r="CL440" s="0" t="s">
        <v>240</v>
      </c>
      <c r="CM440" s="0" t="s">
        <v>6025</v>
      </c>
      <c r="CN440" s="0" t="s">
        <v>6025</v>
      </c>
      <c r="CO440" s="0" t="s">
        <v>240</v>
      </c>
      <c r="CP440" s="0" t="s">
        <v>240</v>
      </c>
      <c r="CQ440" s="0" t="s">
        <v>240</v>
      </c>
      <c r="CR440" s="0" t="s">
        <v>240</v>
      </c>
      <c r="CS440" s="0" t="s">
        <v>5491</v>
      </c>
      <c r="CT440" s="0" t="s">
        <v>5496</v>
      </c>
      <c r="CU440" s="0" t="s">
        <v>5497</v>
      </c>
      <c r="CV440" s="0" t="s">
        <v>443</v>
      </c>
      <c r="CW440" s="0" t="s">
        <v>5580</v>
      </c>
      <c r="CX440" s="0" t="s">
        <v>229</v>
      </c>
      <c r="CY440" s="0" t="s">
        <v>443</v>
      </c>
      <c r="CZ440" s="0" t="s">
        <v>5581</v>
      </c>
      <c r="DA440" s="0" t="s">
        <v>5582</v>
      </c>
      <c r="DB440" s="0" t="s">
        <v>5580</v>
      </c>
      <c r="DC440" s="0" t="s">
        <v>384</v>
      </c>
      <c r="DD440" s="0" t="s">
        <v>291</v>
      </c>
      <c r="DE440" s="0" t="s">
        <v>5747</v>
      </c>
    </row>
    <row customHeight="1" ht="11.25">
      <c r="A441" s="1441" t="s">
        <v>240</v>
      </c>
      <c r="B441" s="0" t="s">
        <v>240</v>
      </c>
      <c r="C441" s="0" t="s">
        <v>240</v>
      </c>
      <c r="D441" s="0" t="s">
        <v>240</v>
      </c>
      <c r="E441" s="0" t="s">
        <v>240</v>
      </c>
      <c r="F441" s="0" t="s">
        <v>240</v>
      </c>
      <c r="G441" s="0" t="s">
        <v>240</v>
      </c>
      <c r="H441" s="0" t="s">
        <v>240</v>
      </c>
      <c r="I441" s="0" t="s">
        <v>5484</v>
      </c>
      <c r="J441" s="0" t="s">
        <v>240</v>
      </c>
      <c r="K441" s="0" t="s">
        <v>240</v>
      </c>
      <c r="L441" s="0" t="s">
        <v>240</v>
      </c>
      <c r="M441" s="0" t="s">
        <v>240</v>
      </c>
      <c r="N441" s="0" t="s">
        <v>240</v>
      </c>
      <c r="O441" s="0" t="s">
        <v>240</v>
      </c>
      <c r="P441" s="0" t="s">
        <v>240</v>
      </c>
      <c r="Q441" s="0" t="s">
        <v>240</v>
      </c>
      <c r="R441" s="0" t="s">
        <v>449</v>
      </c>
      <c r="S441" s="0" t="s">
        <v>240</v>
      </c>
      <c r="T441" s="0" t="s">
        <v>240</v>
      </c>
      <c r="U441" s="0" t="s">
        <v>102</v>
      </c>
      <c r="V441" s="0" t="s">
        <v>240</v>
      </c>
      <c r="W441" s="0" t="s">
        <v>240</v>
      </c>
      <c r="X441" s="0" t="s">
        <v>5585</v>
      </c>
      <c r="Y441" s="0" t="s">
        <v>240</v>
      </c>
      <c r="Z441" s="0" t="s">
        <v>152</v>
      </c>
      <c r="AA441" s="0" t="s">
        <v>152</v>
      </c>
      <c r="AB441" s="0" t="s">
        <v>161</v>
      </c>
      <c r="AC441" s="0" t="s">
        <v>2985</v>
      </c>
      <c r="AD441" s="0" t="s">
        <v>2985</v>
      </c>
      <c r="AE441" s="0" t="s">
        <v>2986</v>
      </c>
      <c r="AF441" s="0" t="s">
        <v>6371</v>
      </c>
      <c r="AG441" s="0" t="s">
        <v>6372</v>
      </c>
      <c r="AH441" s="0" t="s">
        <v>6371</v>
      </c>
      <c r="AI441" s="0" t="s">
        <v>5644</v>
      </c>
      <c r="AJ441" s="0" t="s">
        <v>240</v>
      </c>
      <c r="AK441" s="0" t="s">
        <v>240</v>
      </c>
      <c r="AL441" s="0" t="s">
        <v>240</v>
      </c>
      <c r="AM441" s="0" t="s">
        <v>240</v>
      </c>
      <c r="AN441" s="0" t="s">
        <v>240</v>
      </c>
      <c r="AO441" s="0" t="s">
        <v>240</v>
      </c>
      <c r="AP441" s="0" t="s">
        <v>240</v>
      </c>
      <c r="AQ441" s="0" t="s">
        <v>240</v>
      </c>
      <c r="AR441" s="0" t="s">
        <v>240</v>
      </c>
      <c r="AS441" s="0" t="s">
        <v>240</v>
      </c>
      <c r="AT441" s="0" t="s">
        <v>240</v>
      </c>
      <c r="AU441" s="0" t="s">
        <v>240</v>
      </c>
      <c r="AV441" s="0" t="s">
        <v>240</v>
      </c>
      <c r="AW441" s="0" t="s">
        <v>240</v>
      </c>
      <c r="AX441" s="0" t="s">
        <v>240</v>
      </c>
      <c r="AY441" s="0" t="s">
        <v>240</v>
      </c>
      <c r="AZ441" s="0" t="s">
        <v>240</v>
      </c>
      <c r="BA441" s="0" t="s">
        <v>240</v>
      </c>
      <c r="BB441" s="0" t="s">
        <v>240</v>
      </c>
      <c r="BC441" s="0" t="s">
        <v>240</v>
      </c>
      <c r="BD441" s="0" t="s">
        <v>240</v>
      </c>
      <c r="BE441" s="0" t="s">
        <v>5645</v>
      </c>
      <c r="BF441" s="0" t="s">
        <v>5645</v>
      </c>
      <c r="BG441" s="0" t="s">
        <v>112</v>
      </c>
      <c r="BH441" s="0" t="s">
        <v>5589</v>
      </c>
      <c r="BI441" s="0" t="s">
        <v>123</v>
      </c>
      <c r="BJ441" s="0" t="s">
        <v>240</v>
      </c>
      <c r="BK441" s="0" t="s">
        <v>5608</v>
      </c>
      <c r="BL441" s="0" t="s">
        <v>2985</v>
      </c>
      <c r="BM441" s="0" t="s">
        <v>2985</v>
      </c>
      <c r="BN441" s="0" t="s">
        <v>5646</v>
      </c>
      <c r="BO441" s="0" t="s">
        <v>6371</v>
      </c>
      <c r="BP441" s="0" t="s">
        <v>6373</v>
      </c>
      <c r="BQ441" s="0" t="s">
        <v>6374</v>
      </c>
      <c r="BR441" s="0" t="s">
        <v>5847</v>
      </c>
      <c r="BS441" s="0" t="s">
        <v>240</v>
      </c>
      <c r="BT441" s="0" t="s">
        <v>5650</v>
      </c>
      <c r="BU441" s="0" t="s">
        <v>6375</v>
      </c>
      <c r="BV441" s="0" t="s">
        <v>6375</v>
      </c>
      <c r="BW441" s="0" t="s">
        <v>5598</v>
      </c>
      <c r="BX441" s="0" t="s">
        <v>5598</v>
      </c>
      <c r="BY441" s="0" t="s">
        <v>5598</v>
      </c>
      <c r="BZ441" s="0" t="s">
        <v>5598</v>
      </c>
      <c r="CA441" s="0" t="s">
        <v>5598</v>
      </c>
      <c r="CB441" s="0" t="s">
        <v>240</v>
      </c>
      <c r="CC441" s="0" t="s">
        <v>240</v>
      </c>
      <c r="CD441" s="0" t="s">
        <v>240</v>
      </c>
      <c r="CE441" s="0" t="s">
        <v>240</v>
      </c>
      <c r="CF441" s="0" t="s">
        <v>240</v>
      </c>
      <c r="CG441" s="0" t="s">
        <v>5598</v>
      </c>
      <c r="CH441" s="0" t="s">
        <v>240</v>
      </c>
      <c r="CI441" s="0" t="s">
        <v>240</v>
      </c>
      <c r="CJ441" s="0" t="s">
        <v>240</v>
      </c>
      <c r="CK441" s="0" t="s">
        <v>240</v>
      </c>
      <c r="CL441" s="0" t="s">
        <v>240</v>
      </c>
      <c r="CM441" s="0" t="s">
        <v>6375</v>
      </c>
      <c r="CN441" s="0" t="s">
        <v>6375</v>
      </c>
      <c r="CO441" s="0" t="s">
        <v>240</v>
      </c>
      <c r="CP441" s="0" t="s">
        <v>240</v>
      </c>
      <c r="CQ441" s="0" t="s">
        <v>240</v>
      </c>
      <c r="CR441" s="0" t="s">
        <v>240</v>
      </c>
      <c r="CS441" s="0" t="s">
        <v>5507</v>
      </c>
      <c r="CT441" s="0" t="s">
        <v>5496</v>
      </c>
      <c r="CU441" s="0" t="s">
        <v>5497</v>
      </c>
      <c r="CV441" s="0" t="s">
        <v>443</v>
      </c>
      <c r="CW441" s="0" t="s">
        <v>5509</v>
      </c>
      <c r="CX441" s="0" t="s">
        <v>229</v>
      </c>
      <c r="CY441" s="0" t="s">
        <v>443</v>
      </c>
      <c r="CZ441" s="0" t="s">
        <v>5510</v>
      </c>
      <c r="DA441" s="0" t="s">
        <v>5511</v>
      </c>
      <c r="DB441" s="0" t="s">
        <v>5509</v>
      </c>
      <c r="DC441" s="0" t="s">
        <v>384</v>
      </c>
      <c r="DD441" s="0" t="s">
        <v>291</v>
      </c>
      <c r="DE441" s="0" t="s">
        <v>6376</v>
      </c>
    </row>
    <row customHeight="1" ht="11.25">
      <c r="A442" s="1441" t="s">
        <v>240</v>
      </c>
      <c r="B442" s="0" t="s">
        <v>240</v>
      </c>
      <c r="C442" s="0" t="s">
        <v>240</v>
      </c>
      <c r="D442" s="0" t="s">
        <v>240</v>
      </c>
      <c r="E442" s="0" t="s">
        <v>240</v>
      </c>
      <c r="F442" s="0" t="s">
        <v>240</v>
      </c>
      <c r="G442" s="0" t="s">
        <v>240</v>
      </c>
      <c r="H442" s="0" t="s">
        <v>240</v>
      </c>
      <c r="I442" s="0" t="s">
        <v>5484</v>
      </c>
      <c r="J442" s="0" t="s">
        <v>240</v>
      </c>
      <c r="K442" s="0" t="s">
        <v>240</v>
      </c>
      <c r="L442" s="0" t="s">
        <v>240</v>
      </c>
      <c r="M442" s="0" t="s">
        <v>240</v>
      </c>
      <c r="N442" s="0" t="s">
        <v>240</v>
      </c>
      <c r="O442" s="0" t="s">
        <v>240</v>
      </c>
      <c r="P442" s="0" t="s">
        <v>240</v>
      </c>
      <c r="Q442" s="0" t="s">
        <v>240</v>
      </c>
      <c r="R442" s="0" t="s">
        <v>5608</v>
      </c>
      <c r="S442" s="0" t="s">
        <v>240</v>
      </c>
      <c r="T442" s="0" t="s">
        <v>240</v>
      </c>
      <c r="U442" s="0" t="s">
        <v>102</v>
      </c>
      <c r="V442" s="0" t="s">
        <v>240</v>
      </c>
      <c r="W442" s="0" t="s">
        <v>240</v>
      </c>
      <c r="X442" s="0" t="s">
        <v>5485</v>
      </c>
      <c r="Y442" s="0" t="s">
        <v>240</v>
      </c>
      <c r="Z442" s="0" t="s">
        <v>161</v>
      </c>
      <c r="AA442" s="0" t="s">
        <v>152</v>
      </c>
      <c r="AB442" s="0" t="s">
        <v>152</v>
      </c>
      <c r="AC442" s="0" t="s">
        <v>2985</v>
      </c>
      <c r="AD442" s="0" t="s">
        <v>2985</v>
      </c>
      <c r="AE442" s="0" t="s">
        <v>2986</v>
      </c>
      <c r="AF442" s="0" t="s">
        <v>6371</v>
      </c>
      <c r="AG442" s="0" t="s">
        <v>6372</v>
      </c>
      <c r="AH442" s="0" t="s">
        <v>6374</v>
      </c>
      <c r="AI442" s="0" t="s">
        <v>6377</v>
      </c>
      <c r="AJ442" s="0" t="s">
        <v>5504</v>
      </c>
      <c r="AK442" s="0" t="s">
        <v>5505</v>
      </c>
      <c r="AL442" s="0" t="s">
        <v>6109</v>
      </c>
      <c r="AM442" s="0" t="s">
        <v>5493</v>
      </c>
      <c r="AN442" s="0" t="s">
        <v>5507</v>
      </c>
      <c r="AO442" s="0" t="s">
        <v>5619</v>
      </c>
      <c r="AP442" s="0" t="s">
        <v>240</v>
      </c>
      <c r="AQ442" s="0" t="s">
        <v>240</v>
      </c>
      <c r="AR442" s="0" t="s">
        <v>240</v>
      </c>
      <c r="AS442" s="0" t="s">
        <v>240</v>
      </c>
      <c r="AT442" s="0" t="s">
        <v>240</v>
      </c>
      <c r="AU442" s="0" t="s">
        <v>240</v>
      </c>
      <c r="AV442" s="0" t="s">
        <v>240</v>
      </c>
      <c r="AW442" s="0" t="s">
        <v>240</v>
      </c>
      <c r="AX442" s="0" t="s">
        <v>240</v>
      </c>
      <c r="AY442" s="0" t="s">
        <v>240</v>
      </c>
      <c r="AZ442" s="0" t="s">
        <v>240</v>
      </c>
      <c r="BA442" s="0" t="s">
        <v>240</v>
      </c>
      <c r="BB442" s="0" t="s">
        <v>240</v>
      </c>
      <c r="BC442" s="0" t="s">
        <v>240</v>
      </c>
      <c r="BD442" s="0" t="s">
        <v>240</v>
      </c>
      <c r="BE442" s="0" t="s">
        <v>240</v>
      </c>
      <c r="BF442" s="0" t="s">
        <v>240</v>
      </c>
      <c r="BG442" s="0" t="s">
        <v>240</v>
      </c>
      <c r="BH442" s="0" t="s">
        <v>240</v>
      </c>
      <c r="BI442" s="0" t="s">
        <v>240</v>
      </c>
      <c r="BJ442" s="0" t="s">
        <v>240</v>
      </c>
      <c r="BK442" s="0" t="s">
        <v>240</v>
      </c>
      <c r="BL442" s="0" t="s">
        <v>240</v>
      </c>
      <c r="BM442" s="0" t="s">
        <v>240</v>
      </c>
      <c r="BN442" s="0" t="s">
        <v>240</v>
      </c>
      <c r="BO442" s="0" t="s">
        <v>240</v>
      </c>
      <c r="BP442" s="0" t="s">
        <v>240</v>
      </c>
      <c r="BQ442" s="0" t="s">
        <v>240</v>
      </c>
      <c r="BR442" s="0" t="s">
        <v>240</v>
      </c>
      <c r="BS442" s="0" t="s">
        <v>240</v>
      </c>
      <c r="BT442" s="0" t="s">
        <v>240</v>
      </c>
      <c r="BU442" s="0" t="s">
        <v>240</v>
      </c>
      <c r="BV442" s="0" t="s">
        <v>240</v>
      </c>
      <c r="BW442" s="0" t="s">
        <v>240</v>
      </c>
      <c r="BX442" s="0" t="s">
        <v>240</v>
      </c>
      <c r="BY442" s="0" t="s">
        <v>240</v>
      </c>
      <c r="BZ442" s="0" t="s">
        <v>240</v>
      </c>
      <c r="CA442" s="0" t="s">
        <v>240</v>
      </c>
      <c r="CB442" s="0" t="s">
        <v>240</v>
      </c>
      <c r="CC442" s="0" t="s">
        <v>240</v>
      </c>
      <c r="CD442" s="0" t="s">
        <v>240</v>
      </c>
      <c r="CE442" s="0" t="s">
        <v>240</v>
      </c>
      <c r="CF442" s="0" t="s">
        <v>240</v>
      </c>
      <c r="CG442" s="0" t="s">
        <v>240</v>
      </c>
      <c r="CH442" s="0" t="s">
        <v>240</v>
      </c>
      <c r="CI442" s="0" t="s">
        <v>240</v>
      </c>
      <c r="CJ442" s="0" t="s">
        <v>240</v>
      </c>
      <c r="CK442" s="0" t="s">
        <v>240</v>
      </c>
      <c r="CL442" s="0" t="s">
        <v>240</v>
      </c>
      <c r="CM442" s="0" t="s">
        <v>240</v>
      </c>
      <c r="CN442" s="0" t="s">
        <v>240</v>
      </c>
      <c r="CO442" s="0" t="s">
        <v>240</v>
      </c>
      <c r="CP442" s="0" t="s">
        <v>240</v>
      </c>
      <c r="CQ442" s="0" t="s">
        <v>240</v>
      </c>
      <c r="CR442" s="0" t="s">
        <v>240</v>
      </c>
      <c r="CS442" s="0" t="s">
        <v>240</v>
      </c>
      <c r="CT442" s="0" t="s">
        <v>5496</v>
      </c>
      <c r="CU442" s="0" t="s">
        <v>5497</v>
      </c>
      <c r="CV442" s="0" t="s">
        <v>443</v>
      </c>
      <c r="CW442" s="0" t="s">
        <v>5509</v>
      </c>
      <c r="CX442" s="0" t="s">
        <v>229</v>
      </c>
      <c r="CY442" s="0" t="s">
        <v>443</v>
      </c>
      <c r="CZ442" s="0" t="s">
        <v>5510</v>
      </c>
      <c r="DA442" s="0" t="s">
        <v>5511</v>
      </c>
      <c r="DB442" s="0" t="s">
        <v>5509</v>
      </c>
      <c r="DC442" s="0" t="s">
        <v>384</v>
      </c>
      <c r="DD442" s="0" t="s">
        <v>291</v>
      </c>
      <c r="DE442" s="0" t="s">
        <v>6378</v>
      </c>
    </row>
    <row customHeight="1" ht="11.25">
      <c r="A443" s="1441" t="s">
        <v>240</v>
      </c>
      <c r="B443" s="0" t="s">
        <v>240</v>
      </c>
      <c r="C443" s="0" t="s">
        <v>240</v>
      </c>
      <c r="D443" s="0" t="s">
        <v>240</v>
      </c>
      <c r="E443" s="0" t="s">
        <v>240</v>
      </c>
      <c r="F443" s="0" t="s">
        <v>240</v>
      </c>
      <c r="G443" s="0" t="s">
        <v>240</v>
      </c>
      <c r="H443" s="0" t="s">
        <v>240</v>
      </c>
      <c r="I443" s="0" t="s">
        <v>5484</v>
      </c>
      <c r="J443" s="0" t="s">
        <v>240</v>
      </c>
      <c r="K443" s="0" t="s">
        <v>240</v>
      </c>
      <c r="L443" s="0" t="s">
        <v>240</v>
      </c>
      <c r="M443" s="0" t="s">
        <v>240</v>
      </c>
      <c r="N443" s="0" t="s">
        <v>240</v>
      </c>
      <c r="O443" s="0" t="s">
        <v>240</v>
      </c>
      <c r="P443" s="0" t="s">
        <v>240</v>
      </c>
      <c r="Q443" s="0" t="s">
        <v>240</v>
      </c>
      <c r="R443" s="0" t="s">
        <v>6433</v>
      </c>
      <c r="S443" s="0" t="s">
        <v>240</v>
      </c>
      <c r="T443" s="0" t="s">
        <v>240</v>
      </c>
      <c r="U443" s="0" t="s">
        <v>102</v>
      </c>
      <c r="V443" s="0" t="s">
        <v>240</v>
      </c>
      <c r="W443" s="0" t="s">
        <v>240</v>
      </c>
      <c r="X443" s="0" t="s">
        <v>5485</v>
      </c>
      <c r="Y443" s="0" t="s">
        <v>240</v>
      </c>
      <c r="Z443" s="0" t="s">
        <v>161</v>
      </c>
      <c r="AA443" s="0" t="s">
        <v>152</v>
      </c>
      <c r="AB443" s="0" t="s">
        <v>152</v>
      </c>
      <c r="AC443" s="0" t="s">
        <v>2991</v>
      </c>
      <c r="AD443" s="0" t="s">
        <v>2991</v>
      </c>
      <c r="AE443" s="0" t="s">
        <v>2992</v>
      </c>
      <c r="AF443" s="0" t="s">
        <v>6434</v>
      </c>
      <c r="AG443" s="0" t="s">
        <v>6435</v>
      </c>
      <c r="AH443" s="0" t="s">
        <v>6436</v>
      </c>
      <c r="AI443" s="0" t="s">
        <v>6306</v>
      </c>
      <c r="AJ443" s="0" t="s">
        <v>5552</v>
      </c>
      <c r="AK443" s="0" t="s">
        <v>5544</v>
      </c>
      <c r="AL443" s="0" t="s">
        <v>5506</v>
      </c>
      <c r="AM443" s="0" t="s">
        <v>5493</v>
      </c>
      <c r="AN443" s="0" t="s">
        <v>5545</v>
      </c>
      <c r="AO443" s="0" t="s">
        <v>6437</v>
      </c>
      <c r="AP443" s="0" t="s">
        <v>240</v>
      </c>
      <c r="AQ443" s="0" t="s">
        <v>240</v>
      </c>
      <c r="AR443" s="0" t="s">
        <v>240</v>
      </c>
      <c r="AS443" s="0" t="s">
        <v>240</v>
      </c>
      <c r="AT443" s="0" t="s">
        <v>240</v>
      </c>
      <c r="AU443" s="0" t="s">
        <v>240</v>
      </c>
      <c r="AV443" s="0" t="s">
        <v>240</v>
      </c>
      <c r="AW443" s="0" t="s">
        <v>240</v>
      </c>
      <c r="AX443" s="0" t="s">
        <v>240</v>
      </c>
      <c r="AY443" s="0" t="s">
        <v>240</v>
      </c>
      <c r="AZ443" s="0" t="s">
        <v>240</v>
      </c>
      <c r="BA443" s="0" t="s">
        <v>240</v>
      </c>
      <c r="BB443" s="0" t="s">
        <v>240</v>
      </c>
      <c r="BC443" s="0" t="s">
        <v>240</v>
      </c>
      <c r="BD443" s="0" t="s">
        <v>240</v>
      </c>
      <c r="BE443" s="0" t="s">
        <v>240</v>
      </c>
      <c r="BF443" s="0" t="s">
        <v>240</v>
      </c>
      <c r="BG443" s="0" t="s">
        <v>240</v>
      </c>
      <c r="BH443" s="0" t="s">
        <v>240</v>
      </c>
      <c r="BI443" s="0" t="s">
        <v>240</v>
      </c>
      <c r="BJ443" s="0" t="s">
        <v>240</v>
      </c>
      <c r="BK443" s="0" t="s">
        <v>240</v>
      </c>
      <c r="BL443" s="0" t="s">
        <v>240</v>
      </c>
      <c r="BM443" s="0" t="s">
        <v>240</v>
      </c>
      <c r="BN443" s="0" t="s">
        <v>240</v>
      </c>
      <c r="BO443" s="0" t="s">
        <v>240</v>
      </c>
      <c r="BP443" s="0" t="s">
        <v>240</v>
      </c>
      <c r="BQ443" s="0" t="s">
        <v>240</v>
      </c>
      <c r="BR443" s="0" t="s">
        <v>240</v>
      </c>
      <c r="BS443" s="0" t="s">
        <v>240</v>
      </c>
      <c r="BT443" s="0" t="s">
        <v>240</v>
      </c>
      <c r="BU443" s="0" t="s">
        <v>240</v>
      </c>
      <c r="BV443" s="0" t="s">
        <v>240</v>
      </c>
      <c r="BW443" s="0" t="s">
        <v>240</v>
      </c>
      <c r="BX443" s="0" t="s">
        <v>240</v>
      </c>
      <c r="BY443" s="0" t="s">
        <v>240</v>
      </c>
      <c r="BZ443" s="0" t="s">
        <v>240</v>
      </c>
      <c r="CA443" s="0" t="s">
        <v>240</v>
      </c>
      <c r="CB443" s="0" t="s">
        <v>240</v>
      </c>
      <c r="CC443" s="0" t="s">
        <v>240</v>
      </c>
      <c r="CD443" s="0" t="s">
        <v>240</v>
      </c>
      <c r="CE443" s="0" t="s">
        <v>240</v>
      </c>
      <c r="CF443" s="0" t="s">
        <v>240</v>
      </c>
      <c r="CG443" s="0" t="s">
        <v>240</v>
      </c>
      <c r="CH443" s="0" t="s">
        <v>240</v>
      </c>
      <c r="CI443" s="0" t="s">
        <v>240</v>
      </c>
      <c r="CJ443" s="0" t="s">
        <v>240</v>
      </c>
      <c r="CK443" s="0" t="s">
        <v>240</v>
      </c>
      <c r="CL443" s="0" t="s">
        <v>240</v>
      </c>
      <c r="CM443" s="0" t="s">
        <v>240</v>
      </c>
      <c r="CN443" s="0" t="s">
        <v>240</v>
      </c>
      <c r="CO443" s="0" t="s">
        <v>240</v>
      </c>
      <c r="CP443" s="0" t="s">
        <v>240</v>
      </c>
      <c r="CQ443" s="0" t="s">
        <v>240</v>
      </c>
      <c r="CR443" s="0" t="s">
        <v>240</v>
      </c>
      <c r="CS443" s="0" t="s">
        <v>240</v>
      </c>
      <c r="CT443" s="0" t="s">
        <v>5496</v>
      </c>
      <c r="CU443" s="0" t="s">
        <v>5497</v>
      </c>
      <c r="CV443" s="0" t="s">
        <v>443</v>
      </c>
      <c r="CW443" s="0" t="s">
        <v>5547</v>
      </c>
      <c r="CX443" s="0" t="s">
        <v>229</v>
      </c>
      <c r="CY443" s="0" t="s">
        <v>443</v>
      </c>
      <c r="CZ443" s="0" t="s">
        <v>5548</v>
      </c>
      <c r="DA443" s="0" t="s">
        <v>5549</v>
      </c>
      <c r="DB443" s="0" t="s">
        <v>5547</v>
      </c>
      <c r="DC443" s="0" t="s">
        <v>384</v>
      </c>
      <c r="DD443" s="0" t="s">
        <v>291</v>
      </c>
      <c r="DE443" s="0" t="s">
        <v>6438</v>
      </c>
    </row>
    <row customHeight="1" ht="11.25">
      <c r="A444" s="1441" t="s">
        <v>240</v>
      </c>
      <c r="B444" s="0" t="s">
        <v>240</v>
      </c>
      <c r="C444" s="0" t="s">
        <v>240</v>
      </c>
      <c r="D444" s="0" t="s">
        <v>240</v>
      </c>
      <c r="E444" s="0" t="s">
        <v>240</v>
      </c>
      <c r="F444" s="0" t="s">
        <v>240</v>
      </c>
      <c r="G444" s="0" t="s">
        <v>240</v>
      </c>
      <c r="H444" s="0" t="s">
        <v>240</v>
      </c>
      <c r="I444" s="0" t="s">
        <v>5484</v>
      </c>
      <c r="J444" s="0" t="s">
        <v>240</v>
      </c>
      <c r="K444" s="0" t="s">
        <v>240</v>
      </c>
      <c r="L444" s="0" t="s">
        <v>240</v>
      </c>
      <c r="M444" s="0" t="s">
        <v>240</v>
      </c>
      <c r="N444" s="0" t="s">
        <v>240</v>
      </c>
      <c r="O444" s="0" t="s">
        <v>240</v>
      </c>
      <c r="P444" s="0" t="s">
        <v>240</v>
      </c>
      <c r="Q444" s="0" t="s">
        <v>240</v>
      </c>
      <c r="R444" s="0" t="s">
        <v>6439</v>
      </c>
      <c r="S444" s="0" t="s">
        <v>240</v>
      </c>
      <c r="T444" s="0" t="s">
        <v>240</v>
      </c>
      <c r="U444" s="0" t="s">
        <v>102</v>
      </c>
      <c r="V444" s="0" t="s">
        <v>240</v>
      </c>
      <c r="W444" s="0" t="s">
        <v>240</v>
      </c>
      <c r="X444" s="0" t="s">
        <v>5485</v>
      </c>
      <c r="Y444" s="0" t="s">
        <v>240</v>
      </c>
      <c r="Z444" s="0" t="s">
        <v>161</v>
      </c>
      <c r="AA444" s="0" t="s">
        <v>152</v>
      </c>
      <c r="AB444" s="0" t="s">
        <v>152</v>
      </c>
      <c r="AC444" s="0" t="s">
        <v>2991</v>
      </c>
      <c r="AD444" s="0" t="s">
        <v>2991</v>
      </c>
      <c r="AE444" s="0" t="s">
        <v>2992</v>
      </c>
      <c r="AF444" s="0" t="s">
        <v>6434</v>
      </c>
      <c r="AG444" s="0" t="s">
        <v>6435</v>
      </c>
      <c r="AH444" s="0" t="s">
        <v>5670</v>
      </c>
      <c r="AI444" s="0" t="s">
        <v>5730</v>
      </c>
      <c r="AJ444" s="0" t="s">
        <v>5504</v>
      </c>
      <c r="AK444" s="0" t="s">
        <v>5672</v>
      </c>
      <c r="AL444" s="0" t="s">
        <v>5506</v>
      </c>
      <c r="AM444" s="0" t="s">
        <v>5493</v>
      </c>
      <c r="AN444" s="0" t="s">
        <v>5491</v>
      </c>
      <c r="AO444" s="0" t="s">
        <v>6440</v>
      </c>
      <c r="AP444" s="0" t="s">
        <v>240</v>
      </c>
      <c r="AQ444" s="0" t="s">
        <v>240</v>
      </c>
      <c r="AR444" s="0" t="s">
        <v>240</v>
      </c>
      <c r="AS444" s="0" t="s">
        <v>240</v>
      </c>
      <c r="AT444" s="0" t="s">
        <v>240</v>
      </c>
      <c r="AU444" s="0" t="s">
        <v>240</v>
      </c>
      <c r="AV444" s="0" t="s">
        <v>240</v>
      </c>
      <c r="AW444" s="0" t="s">
        <v>240</v>
      </c>
      <c r="AX444" s="0" t="s">
        <v>240</v>
      </c>
      <c r="AY444" s="0" t="s">
        <v>240</v>
      </c>
      <c r="AZ444" s="0" t="s">
        <v>240</v>
      </c>
      <c r="BA444" s="0" t="s">
        <v>240</v>
      </c>
      <c r="BB444" s="0" t="s">
        <v>240</v>
      </c>
      <c r="BC444" s="0" t="s">
        <v>240</v>
      </c>
      <c r="BD444" s="0" t="s">
        <v>240</v>
      </c>
      <c r="BE444" s="0" t="s">
        <v>240</v>
      </c>
      <c r="BF444" s="0" t="s">
        <v>240</v>
      </c>
      <c r="BG444" s="0" t="s">
        <v>240</v>
      </c>
      <c r="BH444" s="0" t="s">
        <v>240</v>
      </c>
      <c r="BI444" s="0" t="s">
        <v>240</v>
      </c>
      <c r="BJ444" s="0" t="s">
        <v>240</v>
      </c>
      <c r="BK444" s="0" t="s">
        <v>240</v>
      </c>
      <c r="BL444" s="0" t="s">
        <v>240</v>
      </c>
      <c r="BM444" s="0" t="s">
        <v>240</v>
      </c>
      <c r="BN444" s="0" t="s">
        <v>240</v>
      </c>
      <c r="BO444" s="0" t="s">
        <v>240</v>
      </c>
      <c r="BP444" s="0" t="s">
        <v>240</v>
      </c>
      <c r="BQ444" s="0" t="s">
        <v>240</v>
      </c>
      <c r="BR444" s="0" t="s">
        <v>240</v>
      </c>
      <c r="BS444" s="0" t="s">
        <v>240</v>
      </c>
      <c r="BT444" s="0" t="s">
        <v>240</v>
      </c>
      <c r="BU444" s="0" t="s">
        <v>240</v>
      </c>
      <c r="BV444" s="0" t="s">
        <v>240</v>
      </c>
      <c r="BW444" s="0" t="s">
        <v>240</v>
      </c>
      <c r="BX444" s="0" t="s">
        <v>240</v>
      </c>
      <c r="BY444" s="0" t="s">
        <v>240</v>
      </c>
      <c r="BZ444" s="0" t="s">
        <v>240</v>
      </c>
      <c r="CA444" s="0" t="s">
        <v>240</v>
      </c>
      <c r="CB444" s="0" t="s">
        <v>240</v>
      </c>
      <c r="CC444" s="0" t="s">
        <v>240</v>
      </c>
      <c r="CD444" s="0" t="s">
        <v>240</v>
      </c>
      <c r="CE444" s="0" t="s">
        <v>240</v>
      </c>
      <c r="CF444" s="0" t="s">
        <v>240</v>
      </c>
      <c r="CG444" s="0" t="s">
        <v>240</v>
      </c>
      <c r="CH444" s="0" t="s">
        <v>240</v>
      </c>
      <c r="CI444" s="0" t="s">
        <v>240</v>
      </c>
      <c r="CJ444" s="0" t="s">
        <v>240</v>
      </c>
      <c r="CK444" s="0" t="s">
        <v>240</v>
      </c>
      <c r="CL444" s="0" t="s">
        <v>240</v>
      </c>
      <c r="CM444" s="0" t="s">
        <v>240</v>
      </c>
      <c r="CN444" s="0" t="s">
        <v>240</v>
      </c>
      <c r="CO444" s="0" t="s">
        <v>240</v>
      </c>
      <c r="CP444" s="0" t="s">
        <v>240</v>
      </c>
      <c r="CQ444" s="0" t="s">
        <v>240</v>
      </c>
      <c r="CR444" s="0" t="s">
        <v>240</v>
      </c>
      <c r="CS444" s="0" t="s">
        <v>240</v>
      </c>
      <c r="CT444" s="0" t="s">
        <v>5496</v>
      </c>
      <c r="CU444" s="0" t="s">
        <v>5497</v>
      </c>
      <c r="CV444" s="0" t="s">
        <v>443</v>
      </c>
      <c r="CW444" s="0" t="s">
        <v>5547</v>
      </c>
      <c r="CX444" s="0" t="s">
        <v>229</v>
      </c>
      <c r="CY444" s="0" t="s">
        <v>443</v>
      </c>
      <c r="CZ444" s="0" t="s">
        <v>5548</v>
      </c>
      <c r="DA444" s="0" t="s">
        <v>5549</v>
      </c>
      <c r="DB444" s="0" t="s">
        <v>5547</v>
      </c>
      <c r="DC444" s="0" t="s">
        <v>384</v>
      </c>
      <c r="DD444" s="0" t="s">
        <v>291</v>
      </c>
      <c r="DE444" s="0" t="s">
        <v>6441</v>
      </c>
    </row>
    <row customHeight="1" ht="11.25">
      <c r="A445" s="1441" t="s">
        <v>240</v>
      </c>
      <c r="B445" s="0" t="s">
        <v>240</v>
      </c>
      <c r="C445" s="0" t="s">
        <v>240</v>
      </c>
      <c r="D445" s="0" t="s">
        <v>240</v>
      </c>
      <c r="E445" s="0" t="s">
        <v>240</v>
      </c>
      <c r="F445" s="0" t="s">
        <v>240</v>
      </c>
      <c r="G445" s="0" t="s">
        <v>240</v>
      </c>
      <c r="H445" s="0" t="s">
        <v>240</v>
      </c>
      <c r="I445" s="0" t="s">
        <v>5484</v>
      </c>
      <c r="J445" s="0" t="s">
        <v>240</v>
      </c>
      <c r="K445" s="0" t="s">
        <v>240</v>
      </c>
      <c r="L445" s="0" t="s">
        <v>240</v>
      </c>
      <c r="M445" s="0" t="s">
        <v>240</v>
      </c>
      <c r="N445" s="0" t="s">
        <v>240</v>
      </c>
      <c r="O445" s="0" t="s">
        <v>240</v>
      </c>
      <c r="P445" s="0" t="s">
        <v>240</v>
      </c>
      <c r="Q445" s="0" t="s">
        <v>240</v>
      </c>
      <c r="R445" s="0" t="s">
        <v>6968</v>
      </c>
      <c r="S445" s="0" t="s">
        <v>240</v>
      </c>
      <c r="T445" s="0" t="s">
        <v>240</v>
      </c>
      <c r="U445" s="0" t="s">
        <v>102</v>
      </c>
      <c r="V445" s="0" t="s">
        <v>240</v>
      </c>
      <c r="W445" s="0" t="s">
        <v>240</v>
      </c>
      <c r="X445" s="0" t="s">
        <v>5485</v>
      </c>
      <c r="Y445" s="0" t="s">
        <v>240</v>
      </c>
      <c r="Z445" s="0" t="s">
        <v>161</v>
      </c>
      <c r="AA445" s="0" t="s">
        <v>152</v>
      </c>
      <c r="AB445" s="0" t="s">
        <v>152</v>
      </c>
      <c r="AC445" s="0" t="s">
        <v>3389</v>
      </c>
      <c r="AD445" s="0" t="s">
        <v>3389</v>
      </c>
      <c r="AE445" s="0" t="s">
        <v>3390</v>
      </c>
      <c r="AF445" s="0" t="s">
        <v>5519</v>
      </c>
      <c r="AG445" s="0" t="s">
        <v>5520</v>
      </c>
      <c r="AH445" s="0" t="s">
        <v>6173</v>
      </c>
      <c r="AI445" s="0" t="s">
        <v>6174</v>
      </c>
      <c r="AJ445" s="0" t="s">
        <v>6443</v>
      </c>
      <c r="AK445" s="0" t="s">
        <v>6444</v>
      </c>
      <c r="AL445" s="0" t="s">
        <v>5492</v>
      </c>
      <c r="AM445" s="0" t="s">
        <v>5493</v>
      </c>
      <c r="AN445" s="0" t="s">
        <v>5578</v>
      </c>
      <c r="AO445" s="0" t="s">
        <v>6049</v>
      </c>
      <c r="AP445" s="0" t="s">
        <v>240</v>
      </c>
      <c r="AQ445" s="0" t="s">
        <v>240</v>
      </c>
      <c r="AR445" s="0" t="s">
        <v>240</v>
      </c>
      <c r="AS445" s="0" t="s">
        <v>240</v>
      </c>
      <c r="AT445" s="0" t="s">
        <v>240</v>
      </c>
      <c r="AU445" s="0" t="s">
        <v>240</v>
      </c>
      <c r="AV445" s="0" t="s">
        <v>240</v>
      </c>
      <c r="AW445" s="0" t="s">
        <v>240</v>
      </c>
      <c r="AX445" s="0" t="s">
        <v>240</v>
      </c>
      <c r="AY445" s="0" t="s">
        <v>240</v>
      </c>
      <c r="AZ445" s="0" t="s">
        <v>240</v>
      </c>
      <c r="BA445" s="0" t="s">
        <v>240</v>
      </c>
      <c r="BB445" s="0" t="s">
        <v>240</v>
      </c>
      <c r="BC445" s="0" t="s">
        <v>240</v>
      </c>
      <c r="BD445" s="0" t="s">
        <v>240</v>
      </c>
      <c r="BE445" s="0" t="s">
        <v>240</v>
      </c>
      <c r="BF445" s="0" t="s">
        <v>240</v>
      </c>
      <c r="BG445" s="0" t="s">
        <v>240</v>
      </c>
      <c r="BH445" s="0" t="s">
        <v>240</v>
      </c>
      <c r="BI445" s="0" t="s">
        <v>240</v>
      </c>
      <c r="BJ445" s="0" t="s">
        <v>240</v>
      </c>
      <c r="BK445" s="0" t="s">
        <v>240</v>
      </c>
      <c r="BL445" s="0" t="s">
        <v>240</v>
      </c>
      <c r="BM445" s="0" t="s">
        <v>240</v>
      </c>
      <c r="BN445" s="0" t="s">
        <v>240</v>
      </c>
      <c r="BO445" s="0" t="s">
        <v>240</v>
      </c>
      <c r="BP445" s="0" t="s">
        <v>240</v>
      </c>
      <c r="BQ445" s="0" t="s">
        <v>240</v>
      </c>
      <c r="BR445" s="0" t="s">
        <v>240</v>
      </c>
      <c r="BS445" s="0" t="s">
        <v>240</v>
      </c>
      <c r="BT445" s="0" t="s">
        <v>240</v>
      </c>
      <c r="BU445" s="0" t="s">
        <v>240</v>
      </c>
      <c r="BV445" s="0" t="s">
        <v>240</v>
      </c>
      <c r="BW445" s="0" t="s">
        <v>240</v>
      </c>
      <c r="BX445" s="0" t="s">
        <v>240</v>
      </c>
      <c r="BY445" s="0" t="s">
        <v>240</v>
      </c>
      <c r="BZ445" s="0" t="s">
        <v>240</v>
      </c>
      <c r="CA445" s="0" t="s">
        <v>240</v>
      </c>
      <c r="CB445" s="0" t="s">
        <v>240</v>
      </c>
      <c r="CC445" s="0" t="s">
        <v>240</v>
      </c>
      <c r="CD445" s="0" t="s">
        <v>240</v>
      </c>
      <c r="CE445" s="0" t="s">
        <v>240</v>
      </c>
      <c r="CF445" s="0" t="s">
        <v>240</v>
      </c>
      <c r="CG445" s="0" t="s">
        <v>240</v>
      </c>
      <c r="CH445" s="0" t="s">
        <v>240</v>
      </c>
      <c r="CI445" s="0" t="s">
        <v>240</v>
      </c>
      <c r="CJ445" s="0" t="s">
        <v>240</v>
      </c>
      <c r="CK445" s="0" t="s">
        <v>240</v>
      </c>
      <c r="CL445" s="0" t="s">
        <v>240</v>
      </c>
      <c r="CM445" s="0" t="s">
        <v>240</v>
      </c>
      <c r="CN445" s="0" t="s">
        <v>240</v>
      </c>
      <c r="CO445" s="0" t="s">
        <v>240</v>
      </c>
      <c r="CP445" s="0" t="s">
        <v>240</v>
      </c>
      <c r="CQ445" s="0" t="s">
        <v>240</v>
      </c>
      <c r="CR445" s="0" t="s">
        <v>240</v>
      </c>
      <c r="CS445" s="0" t="s">
        <v>240</v>
      </c>
      <c r="CT445" s="0" t="s">
        <v>5496</v>
      </c>
      <c r="CU445" s="0" t="s">
        <v>5497</v>
      </c>
      <c r="CV445" s="0" t="s">
        <v>443</v>
      </c>
      <c r="CW445" s="0" t="s">
        <v>5527</v>
      </c>
      <c r="CX445" s="0" t="s">
        <v>5528</v>
      </c>
      <c r="CY445" s="0" t="s">
        <v>443</v>
      </c>
      <c r="CZ445" s="0" t="s">
        <v>299</v>
      </c>
      <c r="DA445" s="0" t="s">
        <v>5529</v>
      </c>
      <c r="DB445" s="0" t="s">
        <v>5527</v>
      </c>
      <c r="DC445" s="0" t="s">
        <v>384</v>
      </c>
      <c r="DD445" s="0" t="s">
        <v>291</v>
      </c>
      <c r="DE445" s="0" t="s">
        <v>6178</v>
      </c>
    </row>
    <row customHeight="1" ht="11.25">
      <c r="A446" s="1441" t="s">
        <v>240</v>
      </c>
      <c r="B446" s="0" t="s">
        <v>240</v>
      </c>
      <c r="C446" s="0" t="s">
        <v>240</v>
      </c>
      <c r="D446" s="0" t="s">
        <v>240</v>
      </c>
      <c r="E446" s="0" t="s">
        <v>240</v>
      </c>
      <c r="F446" s="0" t="s">
        <v>240</v>
      </c>
      <c r="G446" s="0" t="s">
        <v>240</v>
      </c>
      <c r="H446" s="0" t="s">
        <v>240</v>
      </c>
      <c r="I446" s="0" t="s">
        <v>5484</v>
      </c>
      <c r="J446" s="0" t="s">
        <v>240</v>
      </c>
      <c r="K446" s="0" t="s">
        <v>240</v>
      </c>
      <c r="L446" s="0" t="s">
        <v>240</v>
      </c>
      <c r="M446" s="0" t="s">
        <v>240</v>
      </c>
      <c r="N446" s="0" t="s">
        <v>240</v>
      </c>
      <c r="O446" s="0" t="s">
        <v>240</v>
      </c>
      <c r="P446" s="0" t="s">
        <v>240</v>
      </c>
      <c r="Q446" s="0" t="s">
        <v>240</v>
      </c>
      <c r="R446" s="0" t="s">
        <v>6643</v>
      </c>
      <c r="S446" s="0" t="s">
        <v>240</v>
      </c>
      <c r="T446" s="0" t="s">
        <v>240</v>
      </c>
      <c r="U446" s="0" t="s">
        <v>102</v>
      </c>
      <c r="V446" s="0" t="s">
        <v>240</v>
      </c>
      <c r="W446" s="0" t="s">
        <v>240</v>
      </c>
      <c r="X446" s="0" t="s">
        <v>5585</v>
      </c>
      <c r="Y446" s="0" t="s">
        <v>240</v>
      </c>
      <c r="Z446" s="0" t="s">
        <v>152</v>
      </c>
      <c r="AA446" s="0" t="s">
        <v>152</v>
      </c>
      <c r="AB446" s="0" t="s">
        <v>161</v>
      </c>
      <c r="AC446" s="0" t="s">
        <v>2991</v>
      </c>
      <c r="AD446" s="0" t="s">
        <v>2991</v>
      </c>
      <c r="AE446" s="0" t="s">
        <v>2992</v>
      </c>
      <c r="AF446" s="0" t="s">
        <v>6434</v>
      </c>
      <c r="AG446" s="0" t="s">
        <v>6435</v>
      </c>
      <c r="AH446" s="0" t="s">
        <v>5575</v>
      </c>
      <c r="AI446" s="0" t="s">
        <v>5575</v>
      </c>
      <c r="AJ446" s="0" t="s">
        <v>240</v>
      </c>
      <c r="AK446" s="0" t="s">
        <v>240</v>
      </c>
      <c r="AL446" s="0" t="s">
        <v>240</v>
      </c>
      <c r="AM446" s="0" t="s">
        <v>240</v>
      </c>
      <c r="AN446" s="0" t="s">
        <v>240</v>
      </c>
      <c r="AO446" s="0" t="s">
        <v>240</v>
      </c>
      <c r="AP446" s="0" t="s">
        <v>240</v>
      </c>
      <c r="AQ446" s="0" t="s">
        <v>240</v>
      </c>
      <c r="AR446" s="0" t="s">
        <v>240</v>
      </c>
      <c r="AS446" s="0" t="s">
        <v>240</v>
      </c>
      <c r="AT446" s="0" t="s">
        <v>240</v>
      </c>
      <c r="AU446" s="0" t="s">
        <v>240</v>
      </c>
      <c r="AV446" s="0" t="s">
        <v>240</v>
      </c>
      <c r="AW446" s="0" t="s">
        <v>240</v>
      </c>
      <c r="AX446" s="0" t="s">
        <v>240</v>
      </c>
      <c r="AY446" s="0" t="s">
        <v>240</v>
      </c>
      <c r="AZ446" s="0" t="s">
        <v>240</v>
      </c>
      <c r="BA446" s="0" t="s">
        <v>240</v>
      </c>
      <c r="BB446" s="0" t="s">
        <v>240</v>
      </c>
      <c r="BC446" s="0" t="s">
        <v>240</v>
      </c>
      <c r="BD446" s="0" t="s">
        <v>240</v>
      </c>
      <c r="BE446" s="0" t="s">
        <v>5552</v>
      </c>
      <c r="BF446" s="0" t="s">
        <v>5544</v>
      </c>
      <c r="BG446" s="0" t="s">
        <v>112</v>
      </c>
      <c r="BH446" s="0" t="s">
        <v>5589</v>
      </c>
      <c r="BI446" s="0" t="s">
        <v>123</v>
      </c>
      <c r="BJ446" s="0" t="s">
        <v>240</v>
      </c>
      <c r="BK446" s="0" t="s">
        <v>5608</v>
      </c>
      <c r="BL446" s="0" t="s">
        <v>2991</v>
      </c>
      <c r="BM446" s="0" t="s">
        <v>2991</v>
      </c>
      <c r="BN446" s="0" t="s">
        <v>5663</v>
      </c>
      <c r="BO446" s="0" t="s">
        <v>6434</v>
      </c>
      <c r="BP446" s="0" t="s">
        <v>6644</v>
      </c>
      <c r="BQ446" s="0" t="s">
        <v>5575</v>
      </c>
      <c r="BR446" s="0" t="s">
        <v>5575</v>
      </c>
      <c r="BS446" s="0" t="s">
        <v>240</v>
      </c>
      <c r="BT446" s="0" t="s">
        <v>5650</v>
      </c>
      <c r="BU446" s="0" t="s">
        <v>6645</v>
      </c>
      <c r="BV446" s="0" t="s">
        <v>6645</v>
      </c>
      <c r="BW446" s="0" t="s">
        <v>5598</v>
      </c>
      <c r="BX446" s="0" t="s">
        <v>5598</v>
      </c>
      <c r="BY446" s="0" t="s">
        <v>5598</v>
      </c>
      <c r="BZ446" s="0" t="s">
        <v>5598</v>
      </c>
      <c r="CA446" s="0" t="s">
        <v>5598</v>
      </c>
      <c r="CB446" s="0" t="s">
        <v>240</v>
      </c>
      <c r="CC446" s="0" t="s">
        <v>240</v>
      </c>
      <c r="CD446" s="0" t="s">
        <v>240</v>
      </c>
      <c r="CE446" s="0" t="s">
        <v>240</v>
      </c>
      <c r="CF446" s="0" t="s">
        <v>240</v>
      </c>
      <c r="CG446" s="0" t="s">
        <v>5598</v>
      </c>
      <c r="CH446" s="0" t="s">
        <v>240</v>
      </c>
      <c r="CI446" s="0" t="s">
        <v>240</v>
      </c>
      <c r="CJ446" s="0" t="s">
        <v>240</v>
      </c>
      <c r="CK446" s="0" t="s">
        <v>240</v>
      </c>
      <c r="CL446" s="0" t="s">
        <v>240</v>
      </c>
      <c r="CM446" s="0" t="s">
        <v>6645</v>
      </c>
      <c r="CN446" s="0" t="s">
        <v>6645</v>
      </c>
      <c r="CO446" s="0" t="s">
        <v>240</v>
      </c>
      <c r="CP446" s="0" t="s">
        <v>240</v>
      </c>
      <c r="CQ446" s="0" t="s">
        <v>240</v>
      </c>
      <c r="CR446" s="0" t="s">
        <v>240</v>
      </c>
      <c r="CS446" s="0" t="s">
        <v>5666</v>
      </c>
      <c r="CT446" s="0" t="s">
        <v>5496</v>
      </c>
      <c r="CU446" s="0" t="s">
        <v>5497</v>
      </c>
      <c r="CV446" s="0" t="s">
        <v>443</v>
      </c>
      <c r="CW446" s="0" t="s">
        <v>5547</v>
      </c>
      <c r="CX446" s="0" t="s">
        <v>229</v>
      </c>
      <c r="CY446" s="0" t="s">
        <v>443</v>
      </c>
      <c r="CZ446" s="0" t="s">
        <v>5548</v>
      </c>
      <c r="DA446" s="0" t="s">
        <v>5549</v>
      </c>
      <c r="DB446" s="0" t="s">
        <v>5547</v>
      </c>
      <c r="DC446" s="0" t="s">
        <v>384</v>
      </c>
      <c r="DD446" s="0" t="s">
        <v>291</v>
      </c>
      <c r="DE446" s="0" t="s">
        <v>6646</v>
      </c>
    </row>
    <row customHeight="1" ht="11.25">
      <c r="A447" s="1441" t="s">
        <v>240</v>
      </c>
      <c r="B447" s="0" t="s">
        <v>240</v>
      </c>
      <c r="C447" s="0" t="s">
        <v>240</v>
      </c>
      <c r="D447" s="0" t="s">
        <v>240</v>
      </c>
      <c r="E447" s="0" t="s">
        <v>240</v>
      </c>
      <c r="F447" s="0" t="s">
        <v>240</v>
      </c>
      <c r="G447" s="0" t="s">
        <v>240</v>
      </c>
      <c r="H447" s="0" t="s">
        <v>240</v>
      </c>
      <c r="I447" s="0" t="s">
        <v>5484</v>
      </c>
      <c r="J447" s="0" t="s">
        <v>240</v>
      </c>
      <c r="K447" s="0" t="s">
        <v>240</v>
      </c>
      <c r="L447" s="0" t="s">
        <v>240</v>
      </c>
      <c r="M447" s="0" t="s">
        <v>240</v>
      </c>
      <c r="N447" s="0" t="s">
        <v>240</v>
      </c>
      <c r="O447" s="0" t="s">
        <v>240</v>
      </c>
      <c r="P447" s="0" t="s">
        <v>240</v>
      </c>
      <c r="Q447" s="0" t="s">
        <v>240</v>
      </c>
      <c r="R447" s="0" t="s">
        <v>5572</v>
      </c>
      <c r="S447" s="0" t="s">
        <v>240</v>
      </c>
      <c r="T447" s="0" t="s">
        <v>240</v>
      </c>
      <c r="U447" s="0" t="s">
        <v>102</v>
      </c>
      <c r="V447" s="0" t="s">
        <v>240</v>
      </c>
      <c r="W447" s="0" t="s">
        <v>240</v>
      </c>
      <c r="X447" s="0" t="s">
        <v>5485</v>
      </c>
      <c r="Y447" s="0" t="s">
        <v>240</v>
      </c>
      <c r="Z447" s="0" t="s">
        <v>161</v>
      </c>
      <c r="AA447" s="0" t="s">
        <v>152</v>
      </c>
      <c r="AB447" s="0" t="s">
        <v>152</v>
      </c>
      <c r="AC447" s="0" t="s">
        <v>2991</v>
      </c>
      <c r="AD447" s="0" t="s">
        <v>2991</v>
      </c>
      <c r="AE447" s="0" t="s">
        <v>2992</v>
      </c>
      <c r="AF447" s="0" t="s">
        <v>6451</v>
      </c>
      <c r="AG447" s="0" t="s">
        <v>6452</v>
      </c>
      <c r="AH447" s="0" t="s">
        <v>5755</v>
      </c>
      <c r="AI447" s="0" t="s">
        <v>488</v>
      </c>
      <c r="AJ447" s="0" t="s">
        <v>5576</v>
      </c>
      <c r="AK447" s="0" t="s">
        <v>5745</v>
      </c>
      <c r="AL447" s="0" t="s">
        <v>5506</v>
      </c>
      <c r="AM447" s="0" t="s">
        <v>5493</v>
      </c>
      <c r="AN447" s="0" t="s">
        <v>5553</v>
      </c>
      <c r="AO447" s="0" t="s">
        <v>5752</v>
      </c>
      <c r="AP447" s="0" t="s">
        <v>240</v>
      </c>
      <c r="AQ447" s="0" t="s">
        <v>240</v>
      </c>
      <c r="AR447" s="0" t="s">
        <v>240</v>
      </c>
      <c r="AS447" s="0" t="s">
        <v>240</v>
      </c>
      <c r="AT447" s="0" t="s">
        <v>240</v>
      </c>
      <c r="AU447" s="0" t="s">
        <v>240</v>
      </c>
      <c r="AV447" s="0" t="s">
        <v>240</v>
      </c>
      <c r="AW447" s="0" t="s">
        <v>240</v>
      </c>
      <c r="AX447" s="0" t="s">
        <v>240</v>
      </c>
      <c r="AY447" s="0" t="s">
        <v>240</v>
      </c>
      <c r="AZ447" s="0" t="s">
        <v>240</v>
      </c>
      <c r="BA447" s="0" t="s">
        <v>240</v>
      </c>
      <c r="BB447" s="0" t="s">
        <v>240</v>
      </c>
      <c r="BC447" s="0" t="s">
        <v>240</v>
      </c>
      <c r="BD447" s="0" t="s">
        <v>240</v>
      </c>
      <c r="BE447" s="0" t="s">
        <v>240</v>
      </c>
      <c r="BF447" s="0" t="s">
        <v>240</v>
      </c>
      <c r="BG447" s="0" t="s">
        <v>240</v>
      </c>
      <c r="BH447" s="0" t="s">
        <v>240</v>
      </c>
      <c r="BI447" s="0" t="s">
        <v>240</v>
      </c>
      <c r="BJ447" s="0" t="s">
        <v>240</v>
      </c>
      <c r="BK447" s="0" t="s">
        <v>240</v>
      </c>
      <c r="BL447" s="0" t="s">
        <v>240</v>
      </c>
      <c r="BM447" s="0" t="s">
        <v>240</v>
      </c>
      <c r="BN447" s="0" t="s">
        <v>240</v>
      </c>
      <c r="BO447" s="0" t="s">
        <v>240</v>
      </c>
      <c r="BP447" s="0" t="s">
        <v>240</v>
      </c>
      <c r="BQ447" s="0" t="s">
        <v>240</v>
      </c>
      <c r="BR447" s="0" t="s">
        <v>240</v>
      </c>
      <c r="BS447" s="0" t="s">
        <v>240</v>
      </c>
      <c r="BT447" s="0" t="s">
        <v>240</v>
      </c>
      <c r="BU447" s="0" t="s">
        <v>240</v>
      </c>
      <c r="BV447" s="0" t="s">
        <v>240</v>
      </c>
      <c r="BW447" s="0" t="s">
        <v>240</v>
      </c>
      <c r="BX447" s="0" t="s">
        <v>240</v>
      </c>
      <c r="BY447" s="0" t="s">
        <v>240</v>
      </c>
      <c r="BZ447" s="0" t="s">
        <v>240</v>
      </c>
      <c r="CA447" s="0" t="s">
        <v>240</v>
      </c>
      <c r="CB447" s="0" t="s">
        <v>240</v>
      </c>
      <c r="CC447" s="0" t="s">
        <v>240</v>
      </c>
      <c r="CD447" s="0" t="s">
        <v>240</v>
      </c>
      <c r="CE447" s="0" t="s">
        <v>240</v>
      </c>
      <c r="CF447" s="0" t="s">
        <v>240</v>
      </c>
      <c r="CG447" s="0" t="s">
        <v>240</v>
      </c>
      <c r="CH447" s="0" t="s">
        <v>240</v>
      </c>
      <c r="CI447" s="0" t="s">
        <v>240</v>
      </c>
      <c r="CJ447" s="0" t="s">
        <v>240</v>
      </c>
      <c r="CK447" s="0" t="s">
        <v>240</v>
      </c>
      <c r="CL447" s="0" t="s">
        <v>240</v>
      </c>
      <c r="CM447" s="0" t="s">
        <v>240</v>
      </c>
      <c r="CN447" s="0" t="s">
        <v>240</v>
      </c>
      <c r="CO447" s="0" t="s">
        <v>240</v>
      </c>
      <c r="CP447" s="0" t="s">
        <v>240</v>
      </c>
      <c r="CQ447" s="0" t="s">
        <v>240</v>
      </c>
      <c r="CR447" s="0" t="s">
        <v>240</v>
      </c>
      <c r="CS447" s="0" t="s">
        <v>240</v>
      </c>
      <c r="CT447" s="0" t="s">
        <v>5496</v>
      </c>
      <c r="CU447" s="0" t="s">
        <v>5497</v>
      </c>
      <c r="CV447" s="0" t="s">
        <v>443</v>
      </c>
      <c r="CW447" s="0" t="s">
        <v>5547</v>
      </c>
      <c r="CX447" s="0" t="s">
        <v>229</v>
      </c>
      <c r="CY447" s="0" t="s">
        <v>443</v>
      </c>
      <c r="CZ447" s="0" t="s">
        <v>5548</v>
      </c>
      <c r="DA447" s="0" t="s">
        <v>5549</v>
      </c>
      <c r="DB447" s="0" t="s">
        <v>5547</v>
      </c>
      <c r="DC447" s="0" t="s">
        <v>384</v>
      </c>
      <c r="DD447" s="0" t="s">
        <v>291</v>
      </c>
      <c r="DE447" s="0" t="s">
        <v>6533</v>
      </c>
    </row>
    <row customHeight="1" ht="11.25">
      <c r="A448" s="1441" t="s">
        <v>240</v>
      </c>
      <c r="B448" s="0" t="s">
        <v>240</v>
      </c>
      <c r="C448" s="0" t="s">
        <v>240</v>
      </c>
      <c r="D448" s="0" t="s">
        <v>240</v>
      </c>
      <c r="E448" s="0" t="s">
        <v>240</v>
      </c>
      <c r="F448" s="0" t="s">
        <v>240</v>
      </c>
      <c r="G448" s="0" t="s">
        <v>240</v>
      </c>
      <c r="H448" s="0" t="s">
        <v>240</v>
      </c>
      <c r="I448" s="0" t="s">
        <v>5484</v>
      </c>
      <c r="J448" s="0" t="s">
        <v>240</v>
      </c>
      <c r="K448" s="0" t="s">
        <v>240</v>
      </c>
      <c r="L448" s="0" t="s">
        <v>240</v>
      </c>
      <c r="M448" s="0" t="s">
        <v>240</v>
      </c>
      <c r="N448" s="0" t="s">
        <v>240</v>
      </c>
      <c r="O448" s="0" t="s">
        <v>240</v>
      </c>
      <c r="P448" s="0" t="s">
        <v>240</v>
      </c>
      <c r="Q448" s="0" t="s">
        <v>240</v>
      </c>
      <c r="R448" s="0" t="s">
        <v>5572</v>
      </c>
      <c r="S448" s="0" t="s">
        <v>240</v>
      </c>
      <c r="T448" s="0" t="s">
        <v>240</v>
      </c>
      <c r="U448" s="0" t="s">
        <v>102</v>
      </c>
      <c r="V448" s="0" t="s">
        <v>240</v>
      </c>
      <c r="W448" s="0" t="s">
        <v>240</v>
      </c>
      <c r="X448" s="0" t="s">
        <v>5485</v>
      </c>
      <c r="Y448" s="0" t="s">
        <v>240</v>
      </c>
      <c r="Z448" s="0" t="s">
        <v>161</v>
      </c>
      <c r="AA448" s="0" t="s">
        <v>152</v>
      </c>
      <c r="AB448" s="0" t="s">
        <v>152</v>
      </c>
      <c r="AC448" s="0" t="s">
        <v>2991</v>
      </c>
      <c r="AD448" s="0" t="s">
        <v>2991</v>
      </c>
      <c r="AE448" s="0" t="s">
        <v>2992</v>
      </c>
      <c r="AF448" s="0" t="s">
        <v>6451</v>
      </c>
      <c r="AG448" s="0" t="s">
        <v>6452</v>
      </c>
      <c r="AH448" s="0" t="s">
        <v>6703</v>
      </c>
      <c r="AI448" s="0" t="s">
        <v>5694</v>
      </c>
      <c r="AJ448" s="0" t="s">
        <v>5504</v>
      </c>
      <c r="AK448" s="0" t="s">
        <v>5544</v>
      </c>
      <c r="AL448" s="0" t="s">
        <v>5506</v>
      </c>
      <c r="AM448" s="0" t="s">
        <v>5493</v>
      </c>
      <c r="AN448" s="0" t="s">
        <v>5545</v>
      </c>
      <c r="AO448" s="0" t="s">
        <v>5695</v>
      </c>
      <c r="AP448" s="0" t="s">
        <v>240</v>
      </c>
      <c r="AQ448" s="0" t="s">
        <v>240</v>
      </c>
      <c r="AR448" s="0" t="s">
        <v>240</v>
      </c>
      <c r="AS448" s="0" t="s">
        <v>240</v>
      </c>
      <c r="AT448" s="0" t="s">
        <v>240</v>
      </c>
      <c r="AU448" s="0" t="s">
        <v>240</v>
      </c>
      <c r="AV448" s="0" t="s">
        <v>240</v>
      </c>
      <c r="AW448" s="0" t="s">
        <v>240</v>
      </c>
      <c r="AX448" s="0" t="s">
        <v>240</v>
      </c>
      <c r="AY448" s="0" t="s">
        <v>240</v>
      </c>
      <c r="AZ448" s="0" t="s">
        <v>240</v>
      </c>
      <c r="BA448" s="0" t="s">
        <v>240</v>
      </c>
      <c r="BB448" s="0" t="s">
        <v>240</v>
      </c>
      <c r="BC448" s="0" t="s">
        <v>240</v>
      </c>
      <c r="BD448" s="0" t="s">
        <v>240</v>
      </c>
      <c r="BE448" s="0" t="s">
        <v>240</v>
      </c>
      <c r="BF448" s="0" t="s">
        <v>240</v>
      </c>
      <c r="BG448" s="0" t="s">
        <v>240</v>
      </c>
      <c r="BH448" s="0" t="s">
        <v>240</v>
      </c>
      <c r="BI448" s="0" t="s">
        <v>240</v>
      </c>
      <c r="BJ448" s="0" t="s">
        <v>240</v>
      </c>
      <c r="BK448" s="0" t="s">
        <v>240</v>
      </c>
      <c r="BL448" s="0" t="s">
        <v>240</v>
      </c>
      <c r="BM448" s="0" t="s">
        <v>240</v>
      </c>
      <c r="BN448" s="0" t="s">
        <v>240</v>
      </c>
      <c r="BO448" s="0" t="s">
        <v>240</v>
      </c>
      <c r="BP448" s="0" t="s">
        <v>240</v>
      </c>
      <c r="BQ448" s="0" t="s">
        <v>240</v>
      </c>
      <c r="BR448" s="0" t="s">
        <v>240</v>
      </c>
      <c r="BS448" s="0" t="s">
        <v>240</v>
      </c>
      <c r="BT448" s="0" t="s">
        <v>240</v>
      </c>
      <c r="BU448" s="0" t="s">
        <v>240</v>
      </c>
      <c r="BV448" s="0" t="s">
        <v>240</v>
      </c>
      <c r="BW448" s="0" t="s">
        <v>240</v>
      </c>
      <c r="BX448" s="0" t="s">
        <v>240</v>
      </c>
      <c r="BY448" s="0" t="s">
        <v>240</v>
      </c>
      <c r="BZ448" s="0" t="s">
        <v>240</v>
      </c>
      <c r="CA448" s="0" t="s">
        <v>240</v>
      </c>
      <c r="CB448" s="0" t="s">
        <v>240</v>
      </c>
      <c r="CC448" s="0" t="s">
        <v>240</v>
      </c>
      <c r="CD448" s="0" t="s">
        <v>240</v>
      </c>
      <c r="CE448" s="0" t="s">
        <v>240</v>
      </c>
      <c r="CF448" s="0" t="s">
        <v>240</v>
      </c>
      <c r="CG448" s="0" t="s">
        <v>240</v>
      </c>
      <c r="CH448" s="0" t="s">
        <v>240</v>
      </c>
      <c r="CI448" s="0" t="s">
        <v>240</v>
      </c>
      <c r="CJ448" s="0" t="s">
        <v>240</v>
      </c>
      <c r="CK448" s="0" t="s">
        <v>240</v>
      </c>
      <c r="CL448" s="0" t="s">
        <v>240</v>
      </c>
      <c r="CM448" s="0" t="s">
        <v>240</v>
      </c>
      <c r="CN448" s="0" t="s">
        <v>240</v>
      </c>
      <c r="CO448" s="0" t="s">
        <v>240</v>
      </c>
      <c r="CP448" s="0" t="s">
        <v>240</v>
      </c>
      <c r="CQ448" s="0" t="s">
        <v>240</v>
      </c>
      <c r="CR448" s="0" t="s">
        <v>240</v>
      </c>
      <c r="CS448" s="0" t="s">
        <v>240</v>
      </c>
      <c r="CT448" s="0" t="s">
        <v>5496</v>
      </c>
      <c r="CU448" s="0" t="s">
        <v>5497</v>
      </c>
      <c r="CV448" s="0" t="s">
        <v>443</v>
      </c>
      <c r="CW448" s="0" t="s">
        <v>5547</v>
      </c>
      <c r="CX448" s="0" t="s">
        <v>229</v>
      </c>
      <c r="CY448" s="0" t="s">
        <v>443</v>
      </c>
      <c r="CZ448" s="0" t="s">
        <v>5548</v>
      </c>
      <c r="DA448" s="0" t="s">
        <v>5549</v>
      </c>
      <c r="DB448" s="0" t="s">
        <v>5547</v>
      </c>
      <c r="DC448" s="0" t="s">
        <v>384</v>
      </c>
      <c r="DD448" s="0" t="s">
        <v>291</v>
      </c>
      <c r="DE448" s="0" t="s">
        <v>6704</v>
      </c>
    </row>
    <row customHeight="1" ht="11.25">
      <c r="A449" s="1441" t="s">
        <v>240</v>
      </c>
      <c r="B449" s="0" t="s">
        <v>240</v>
      </c>
      <c r="C449" s="0" t="s">
        <v>240</v>
      </c>
      <c r="D449" s="0" t="s">
        <v>240</v>
      </c>
      <c r="E449" s="0" t="s">
        <v>240</v>
      </c>
      <c r="F449" s="0" t="s">
        <v>240</v>
      </c>
      <c r="G449" s="0" t="s">
        <v>240</v>
      </c>
      <c r="H449" s="0" t="s">
        <v>240</v>
      </c>
      <c r="I449" s="0" t="s">
        <v>5484</v>
      </c>
      <c r="J449" s="0" t="s">
        <v>240</v>
      </c>
      <c r="K449" s="0" t="s">
        <v>240</v>
      </c>
      <c r="L449" s="0" t="s">
        <v>240</v>
      </c>
      <c r="M449" s="0" t="s">
        <v>240</v>
      </c>
      <c r="N449" s="0" t="s">
        <v>240</v>
      </c>
      <c r="O449" s="0" t="s">
        <v>240</v>
      </c>
      <c r="P449" s="0" t="s">
        <v>240</v>
      </c>
      <c r="Q449" s="0" t="s">
        <v>240</v>
      </c>
      <c r="R449" s="0" t="s">
        <v>6705</v>
      </c>
      <c r="S449" s="0" t="s">
        <v>240</v>
      </c>
      <c r="T449" s="0" t="s">
        <v>240</v>
      </c>
      <c r="U449" s="0" t="s">
        <v>102</v>
      </c>
      <c r="V449" s="0" t="s">
        <v>240</v>
      </c>
      <c r="W449" s="0" t="s">
        <v>240</v>
      </c>
      <c r="X449" s="0" t="s">
        <v>5485</v>
      </c>
      <c r="Y449" s="0" t="s">
        <v>240</v>
      </c>
      <c r="Z449" s="0" t="s">
        <v>161</v>
      </c>
      <c r="AA449" s="0" t="s">
        <v>152</v>
      </c>
      <c r="AB449" s="0" t="s">
        <v>152</v>
      </c>
      <c r="AC449" s="0" t="s">
        <v>2991</v>
      </c>
      <c r="AD449" s="0" t="s">
        <v>2991</v>
      </c>
      <c r="AE449" s="0" t="s">
        <v>2992</v>
      </c>
      <c r="AF449" s="0" t="s">
        <v>6706</v>
      </c>
      <c r="AG449" s="0" t="s">
        <v>6707</v>
      </c>
      <c r="AH449" s="0" t="s">
        <v>5670</v>
      </c>
      <c r="AI449" s="0" t="s">
        <v>6650</v>
      </c>
      <c r="AJ449" s="0" t="s">
        <v>5504</v>
      </c>
      <c r="AK449" s="0" t="s">
        <v>5672</v>
      </c>
      <c r="AL449" s="0" t="s">
        <v>5506</v>
      </c>
      <c r="AM449" s="0" t="s">
        <v>5493</v>
      </c>
      <c r="AN449" s="0" t="s">
        <v>5553</v>
      </c>
      <c r="AO449" s="0" t="s">
        <v>5625</v>
      </c>
      <c r="AP449" s="0" t="s">
        <v>240</v>
      </c>
      <c r="AQ449" s="0" t="s">
        <v>240</v>
      </c>
      <c r="AR449" s="0" t="s">
        <v>240</v>
      </c>
      <c r="AS449" s="0" t="s">
        <v>240</v>
      </c>
      <c r="AT449" s="0" t="s">
        <v>240</v>
      </c>
      <c r="AU449" s="0" t="s">
        <v>240</v>
      </c>
      <c r="AV449" s="0" t="s">
        <v>240</v>
      </c>
      <c r="AW449" s="0" t="s">
        <v>240</v>
      </c>
      <c r="AX449" s="0" t="s">
        <v>240</v>
      </c>
      <c r="AY449" s="0" t="s">
        <v>240</v>
      </c>
      <c r="AZ449" s="0" t="s">
        <v>240</v>
      </c>
      <c r="BA449" s="0" t="s">
        <v>240</v>
      </c>
      <c r="BB449" s="0" t="s">
        <v>240</v>
      </c>
      <c r="BC449" s="0" t="s">
        <v>240</v>
      </c>
      <c r="BD449" s="0" t="s">
        <v>240</v>
      </c>
      <c r="BE449" s="0" t="s">
        <v>240</v>
      </c>
      <c r="BF449" s="0" t="s">
        <v>240</v>
      </c>
      <c r="BG449" s="0" t="s">
        <v>240</v>
      </c>
      <c r="BH449" s="0" t="s">
        <v>240</v>
      </c>
      <c r="BI449" s="0" t="s">
        <v>240</v>
      </c>
      <c r="BJ449" s="0" t="s">
        <v>240</v>
      </c>
      <c r="BK449" s="0" t="s">
        <v>240</v>
      </c>
      <c r="BL449" s="0" t="s">
        <v>240</v>
      </c>
      <c r="BM449" s="0" t="s">
        <v>240</v>
      </c>
      <c r="BN449" s="0" t="s">
        <v>240</v>
      </c>
      <c r="BO449" s="0" t="s">
        <v>240</v>
      </c>
      <c r="BP449" s="0" t="s">
        <v>240</v>
      </c>
      <c r="BQ449" s="0" t="s">
        <v>240</v>
      </c>
      <c r="BR449" s="0" t="s">
        <v>240</v>
      </c>
      <c r="BS449" s="0" t="s">
        <v>240</v>
      </c>
      <c r="BT449" s="0" t="s">
        <v>240</v>
      </c>
      <c r="BU449" s="0" t="s">
        <v>240</v>
      </c>
      <c r="BV449" s="0" t="s">
        <v>240</v>
      </c>
      <c r="BW449" s="0" t="s">
        <v>240</v>
      </c>
      <c r="BX449" s="0" t="s">
        <v>240</v>
      </c>
      <c r="BY449" s="0" t="s">
        <v>240</v>
      </c>
      <c r="BZ449" s="0" t="s">
        <v>240</v>
      </c>
      <c r="CA449" s="0" t="s">
        <v>240</v>
      </c>
      <c r="CB449" s="0" t="s">
        <v>240</v>
      </c>
      <c r="CC449" s="0" t="s">
        <v>240</v>
      </c>
      <c r="CD449" s="0" t="s">
        <v>240</v>
      </c>
      <c r="CE449" s="0" t="s">
        <v>240</v>
      </c>
      <c r="CF449" s="0" t="s">
        <v>240</v>
      </c>
      <c r="CG449" s="0" t="s">
        <v>240</v>
      </c>
      <c r="CH449" s="0" t="s">
        <v>240</v>
      </c>
      <c r="CI449" s="0" t="s">
        <v>240</v>
      </c>
      <c r="CJ449" s="0" t="s">
        <v>240</v>
      </c>
      <c r="CK449" s="0" t="s">
        <v>240</v>
      </c>
      <c r="CL449" s="0" t="s">
        <v>240</v>
      </c>
      <c r="CM449" s="0" t="s">
        <v>240</v>
      </c>
      <c r="CN449" s="0" t="s">
        <v>240</v>
      </c>
      <c r="CO449" s="0" t="s">
        <v>240</v>
      </c>
      <c r="CP449" s="0" t="s">
        <v>240</v>
      </c>
      <c r="CQ449" s="0" t="s">
        <v>240</v>
      </c>
      <c r="CR449" s="0" t="s">
        <v>240</v>
      </c>
      <c r="CS449" s="0" t="s">
        <v>240</v>
      </c>
      <c r="CT449" s="0" t="s">
        <v>5496</v>
      </c>
      <c r="CU449" s="0" t="s">
        <v>5497</v>
      </c>
      <c r="CV449" s="0" t="s">
        <v>443</v>
      </c>
      <c r="CW449" s="0" t="s">
        <v>5547</v>
      </c>
      <c r="CX449" s="0" t="s">
        <v>229</v>
      </c>
      <c r="CY449" s="0" t="s">
        <v>443</v>
      </c>
      <c r="CZ449" s="0" t="s">
        <v>5548</v>
      </c>
      <c r="DA449" s="0" t="s">
        <v>5549</v>
      </c>
      <c r="DB449" s="0" t="s">
        <v>5547</v>
      </c>
      <c r="DC449" s="0" t="s">
        <v>384</v>
      </c>
      <c r="DD449" s="0" t="s">
        <v>291</v>
      </c>
      <c r="DE449" s="0" t="s">
        <v>6708</v>
      </c>
    </row>
    <row customHeight="1" ht="11.25">
      <c r="A450" s="1441" t="s">
        <v>240</v>
      </c>
      <c r="B450" s="0" t="s">
        <v>240</v>
      </c>
      <c r="C450" s="0" t="s">
        <v>240</v>
      </c>
      <c r="D450" s="0" t="s">
        <v>240</v>
      </c>
      <c r="E450" s="0" t="s">
        <v>240</v>
      </c>
      <c r="F450" s="0" t="s">
        <v>240</v>
      </c>
      <c r="G450" s="0" t="s">
        <v>240</v>
      </c>
      <c r="H450" s="0" t="s">
        <v>240</v>
      </c>
      <c r="I450" s="0" t="s">
        <v>5484</v>
      </c>
      <c r="J450" s="0" t="s">
        <v>240</v>
      </c>
      <c r="K450" s="0" t="s">
        <v>240</v>
      </c>
      <c r="L450" s="0" t="s">
        <v>240</v>
      </c>
      <c r="M450" s="0" t="s">
        <v>240</v>
      </c>
      <c r="N450" s="0" t="s">
        <v>240</v>
      </c>
      <c r="O450" s="0" t="s">
        <v>240</v>
      </c>
      <c r="P450" s="0" t="s">
        <v>240</v>
      </c>
      <c r="Q450" s="0" t="s">
        <v>240</v>
      </c>
      <c r="R450" s="0" t="s">
        <v>6019</v>
      </c>
      <c r="S450" s="0" t="s">
        <v>240</v>
      </c>
      <c r="T450" s="0" t="s">
        <v>240</v>
      </c>
      <c r="U450" s="0" t="s">
        <v>102</v>
      </c>
      <c r="V450" s="0" t="s">
        <v>240</v>
      </c>
      <c r="W450" s="0" t="s">
        <v>240</v>
      </c>
      <c r="X450" s="0" t="s">
        <v>5585</v>
      </c>
      <c r="Y450" s="0" t="s">
        <v>240</v>
      </c>
      <c r="Z450" s="0" t="s">
        <v>152</v>
      </c>
      <c r="AA450" s="0" t="s">
        <v>152</v>
      </c>
      <c r="AB450" s="0" t="s">
        <v>161</v>
      </c>
      <c r="AC450" s="0" t="s">
        <v>2991</v>
      </c>
      <c r="AD450" s="0" t="s">
        <v>2991</v>
      </c>
      <c r="AE450" s="0" t="s">
        <v>2992</v>
      </c>
      <c r="AF450" s="0" t="s">
        <v>5691</v>
      </c>
      <c r="AG450" s="0" t="s">
        <v>5692</v>
      </c>
      <c r="AH450" s="0" t="s">
        <v>5575</v>
      </c>
      <c r="AI450" s="0" t="s">
        <v>5575</v>
      </c>
      <c r="AJ450" s="0" t="s">
        <v>240</v>
      </c>
      <c r="AK450" s="0" t="s">
        <v>240</v>
      </c>
      <c r="AL450" s="0" t="s">
        <v>240</v>
      </c>
      <c r="AM450" s="0" t="s">
        <v>240</v>
      </c>
      <c r="AN450" s="0" t="s">
        <v>240</v>
      </c>
      <c r="AO450" s="0" t="s">
        <v>240</v>
      </c>
      <c r="AP450" s="0" t="s">
        <v>240</v>
      </c>
      <c r="AQ450" s="0" t="s">
        <v>240</v>
      </c>
      <c r="AR450" s="0" t="s">
        <v>240</v>
      </c>
      <c r="AS450" s="0" t="s">
        <v>240</v>
      </c>
      <c r="AT450" s="0" t="s">
        <v>240</v>
      </c>
      <c r="AU450" s="0" t="s">
        <v>240</v>
      </c>
      <c r="AV450" s="0" t="s">
        <v>240</v>
      </c>
      <c r="AW450" s="0" t="s">
        <v>240</v>
      </c>
      <c r="AX450" s="0" t="s">
        <v>240</v>
      </c>
      <c r="AY450" s="0" t="s">
        <v>240</v>
      </c>
      <c r="AZ450" s="0" t="s">
        <v>240</v>
      </c>
      <c r="BA450" s="0" t="s">
        <v>240</v>
      </c>
      <c r="BB450" s="0" t="s">
        <v>240</v>
      </c>
      <c r="BC450" s="0" t="s">
        <v>240</v>
      </c>
      <c r="BD450" s="0" t="s">
        <v>240</v>
      </c>
      <c r="BE450" s="0" t="s">
        <v>5576</v>
      </c>
      <c r="BF450" s="0" t="s">
        <v>5672</v>
      </c>
      <c r="BG450" s="0" t="s">
        <v>112</v>
      </c>
      <c r="BH450" s="0" t="s">
        <v>5589</v>
      </c>
      <c r="BI450" s="0" t="s">
        <v>123</v>
      </c>
      <c r="BJ450" s="0" t="s">
        <v>240</v>
      </c>
      <c r="BK450" s="0" t="s">
        <v>5608</v>
      </c>
      <c r="BL450" s="0" t="s">
        <v>2991</v>
      </c>
      <c r="BM450" s="0" t="s">
        <v>2991</v>
      </c>
      <c r="BN450" s="0" t="s">
        <v>5663</v>
      </c>
      <c r="BO450" s="0" t="s">
        <v>5691</v>
      </c>
      <c r="BP450" s="0" t="s">
        <v>6020</v>
      </c>
      <c r="BQ450" s="0" t="s">
        <v>5575</v>
      </c>
      <c r="BR450" s="0" t="s">
        <v>5575</v>
      </c>
      <c r="BS450" s="0" t="s">
        <v>240</v>
      </c>
      <c r="BT450" s="0" t="s">
        <v>5650</v>
      </c>
      <c r="BU450" s="0" t="s">
        <v>6021</v>
      </c>
      <c r="BV450" s="0" t="s">
        <v>6021</v>
      </c>
      <c r="BW450" s="0" t="s">
        <v>5598</v>
      </c>
      <c r="BX450" s="0" t="s">
        <v>5598</v>
      </c>
      <c r="BY450" s="0" t="s">
        <v>5598</v>
      </c>
      <c r="BZ450" s="0" t="s">
        <v>5598</v>
      </c>
      <c r="CA450" s="0" t="s">
        <v>5598</v>
      </c>
      <c r="CB450" s="0" t="s">
        <v>240</v>
      </c>
      <c r="CC450" s="0" t="s">
        <v>240</v>
      </c>
      <c r="CD450" s="0" t="s">
        <v>240</v>
      </c>
      <c r="CE450" s="0" t="s">
        <v>240</v>
      </c>
      <c r="CF450" s="0" t="s">
        <v>240</v>
      </c>
      <c r="CG450" s="0" t="s">
        <v>5598</v>
      </c>
      <c r="CH450" s="0" t="s">
        <v>240</v>
      </c>
      <c r="CI450" s="0" t="s">
        <v>240</v>
      </c>
      <c r="CJ450" s="0" t="s">
        <v>240</v>
      </c>
      <c r="CK450" s="0" t="s">
        <v>240</v>
      </c>
      <c r="CL450" s="0" t="s">
        <v>240</v>
      </c>
      <c r="CM450" s="0" t="s">
        <v>6021</v>
      </c>
      <c r="CN450" s="0" t="s">
        <v>6021</v>
      </c>
      <c r="CO450" s="0" t="s">
        <v>240</v>
      </c>
      <c r="CP450" s="0" t="s">
        <v>240</v>
      </c>
      <c r="CQ450" s="0" t="s">
        <v>240</v>
      </c>
      <c r="CR450" s="0" t="s">
        <v>240</v>
      </c>
      <c r="CS450" s="0" t="s">
        <v>5666</v>
      </c>
      <c r="CT450" s="0" t="s">
        <v>5496</v>
      </c>
      <c r="CU450" s="0" t="s">
        <v>5497</v>
      </c>
      <c r="CV450" s="0" t="s">
        <v>443</v>
      </c>
      <c r="CW450" s="0" t="s">
        <v>5547</v>
      </c>
      <c r="CX450" s="0" t="s">
        <v>229</v>
      </c>
      <c r="CY450" s="0" t="s">
        <v>443</v>
      </c>
      <c r="CZ450" s="0" t="s">
        <v>5548</v>
      </c>
      <c r="DA450" s="0" t="s">
        <v>5549</v>
      </c>
      <c r="DB450" s="0" t="s">
        <v>5547</v>
      </c>
      <c r="DC450" s="0" t="s">
        <v>384</v>
      </c>
      <c r="DD450" s="0" t="s">
        <v>291</v>
      </c>
      <c r="DE450" s="0" t="s">
        <v>6022</v>
      </c>
    </row>
    <row customHeight="1" ht="11.25">
      <c r="A451" s="1441" t="s">
        <v>240</v>
      </c>
      <c r="B451" s="0" t="s">
        <v>240</v>
      </c>
      <c r="C451" s="0" t="s">
        <v>240</v>
      </c>
      <c r="D451" s="0" t="s">
        <v>240</v>
      </c>
      <c r="E451" s="0" t="s">
        <v>240</v>
      </c>
      <c r="F451" s="0" t="s">
        <v>240</v>
      </c>
      <c r="G451" s="0" t="s">
        <v>240</v>
      </c>
      <c r="H451" s="0" t="s">
        <v>240</v>
      </c>
      <c r="I451" s="0" t="s">
        <v>5484</v>
      </c>
      <c r="J451" s="0" t="s">
        <v>240</v>
      </c>
      <c r="K451" s="0" t="s">
        <v>240</v>
      </c>
      <c r="L451" s="0" t="s">
        <v>240</v>
      </c>
      <c r="M451" s="0" t="s">
        <v>240</v>
      </c>
      <c r="N451" s="0" t="s">
        <v>240</v>
      </c>
      <c r="O451" s="0" t="s">
        <v>240</v>
      </c>
      <c r="P451" s="0" t="s">
        <v>240</v>
      </c>
      <c r="Q451" s="0" t="s">
        <v>240</v>
      </c>
      <c r="R451" s="0" t="s">
        <v>5572</v>
      </c>
      <c r="S451" s="0" t="s">
        <v>240</v>
      </c>
      <c r="T451" s="0" t="s">
        <v>240</v>
      </c>
      <c r="U451" s="0" t="s">
        <v>102</v>
      </c>
      <c r="V451" s="0" t="s">
        <v>240</v>
      </c>
      <c r="W451" s="0" t="s">
        <v>240</v>
      </c>
      <c r="X451" s="0" t="s">
        <v>5485</v>
      </c>
      <c r="Y451" s="0" t="s">
        <v>240</v>
      </c>
      <c r="Z451" s="0" t="s">
        <v>161</v>
      </c>
      <c r="AA451" s="0" t="s">
        <v>152</v>
      </c>
      <c r="AB451" s="0" t="s">
        <v>152</v>
      </c>
      <c r="AC451" s="0" t="s">
        <v>2989</v>
      </c>
      <c r="AD451" s="0" t="s">
        <v>2989</v>
      </c>
      <c r="AE451" s="0" t="s">
        <v>2990</v>
      </c>
      <c r="AF451" s="0" t="s">
        <v>6026</v>
      </c>
      <c r="AG451" s="0" t="s">
        <v>6027</v>
      </c>
      <c r="AH451" s="0" t="s">
        <v>5575</v>
      </c>
      <c r="AI451" s="0" t="s">
        <v>5575</v>
      </c>
      <c r="AJ451" s="0" t="s">
        <v>5576</v>
      </c>
      <c r="AK451" s="0" t="s">
        <v>6028</v>
      </c>
      <c r="AL451" s="0" t="s">
        <v>5506</v>
      </c>
      <c r="AM451" s="0" t="s">
        <v>5493</v>
      </c>
      <c r="AN451" s="0" t="s">
        <v>5578</v>
      </c>
      <c r="AO451" s="0" t="s">
        <v>5625</v>
      </c>
      <c r="AP451" s="0" t="s">
        <v>240</v>
      </c>
      <c r="AQ451" s="0" t="s">
        <v>240</v>
      </c>
      <c r="AR451" s="0" t="s">
        <v>240</v>
      </c>
      <c r="AS451" s="0" t="s">
        <v>240</v>
      </c>
      <c r="AT451" s="0" t="s">
        <v>240</v>
      </c>
      <c r="AU451" s="0" t="s">
        <v>240</v>
      </c>
      <c r="AV451" s="0" t="s">
        <v>240</v>
      </c>
      <c r="AW451" s="0" t="s">
        <v>240</v>
      </c>
      <c r="AX451" s="0" t="s">
        <v>240</v>
      </c>
      <c r="AY451" s="0" t="s">
        <v>240</v>
      </c>
      <c r="AZ451" s="0" t="s">
        <v>240</v>
      </c>
      <c r="BA451" s="0" t="s">
        <v>240</v>
      </c>
      <c r="BB451" s="0" t="s">
        <v>240</v>
      </c>
      <c r="BC451" s="0" t="s">
        <v>240</v>
      </c>
      <c r="BD451" s="0" t="s">
        <v>240</v>
      </c>
      <c r="BE451" s="0" t="s">
        <v>240</v>
      </c>
      <c r="BF451" s="0" t="s">
        <v>240</v>
      </c>
      <c r="BG451" s="0" t="s">
        <v>240</v>
      </c>
      <c r="BH451" s="0" t="s">
        <v>240</v>
      </c>
      <c r="BI451" s="0" t="s">
        <v>240</v>
      </c>
      <c r="BJ451" s="0" t="s">
        <v>240</v>
      </c>
      <c r="BK451" s="0" t="s">
        <v>240</v>
      </c>
      <c r="BL451" s="0" t="s">
        <v>240</v>
      </c>
      <c r="BM451" s="0" t="s">
        <v>240</v>
      </c>
      <c r="BN451" s="0" t="s">
        <v>240</v>
      </c>
      <c r="BO451" s="0" t="s">
        <v>240</v>
      </c>
      <c r="BP451" s="0" t="s">
        <v>240</v>
      </c>
      <c r="BQ451" s="0" t="s">
        <v>240</v>
      </c>
      <c r="BR451" s="0" t="s">
        <v>240</v>
      </c>
      <c r="BS451" s="0" t="s">
        <v>240</v>
      </c>
      <c r="BT451" s="0" t="s">
        <v>240</v>
      </c>
      <c r="BU451" s="0" t="s">
        <v>240</v>
      </c>
      <c r="BV451" s="0" t="s">
        <v>240</v>
      </c>
      <c r="BW451" s="0" t="s">
        <v>240</v>
      </c>
      <c r="BX451" s="0" t="s">
        <v>240</v>
      </c>
      <c r="BY451" s="0" t="s">
        <v>240</v>
      </c>
      <c r="BZ451" s="0" t="s">
        <v>240</v>
      </c>
      <c r="CA451" s="0" t="s">
        <v>240</v>
      </c>
      <c r="CB451" s="0" t="s">
        <v>240</v>
      </c>
      <c r="CC451" s="0" t="s">
        <v>240</v>
      </c>
      <c r="CD451" s="0" t="s">
        <v>240</v>
      </c>
      <c r="CE451" s="0" t="s">
        <v>240</v>
      </c>
      <c r="CF451" s="0" t="s">
        <v>240</v>
      </c>
      <c r="CG451" s="0" t="s">
        <v>240</v>
      </c>
      <c r="CH451" s="0" t="s">
        <v>240</v>
      </c>
      <c r="CI451" s="0" t="s">
        <v>240</v>
      </c>
      <c r="CJ451" s="0" t="s">
        <v>240</v>
      </c>
      <c r="CK451" s="0" t="s">
        <v>240</v>
      </c>
      <c r="CL451" s="0" t="s">
        <v>240</v>
      </c>
      <c r="CM451" s="0" t="s">
        <v>240</v>
      </c>
      <c r="CN451" s="0" t="s">
        <v>240</v>
      </c>
      <c r="CO451" s="0" t="s">
        <v>240</v>
      </c>
      <c r="CP451" s="0" t="s">
        <v>240</v>
      </c>
      <c r="CQ451" s="0" t="s">
        <v>240</v>
      </c>
      <c r="CR451" s="0" t="s">
        <v>240</v>
      </c>
      <c r="CS451" s="0" t="s">
        <v>240</v>
      </c>
      <c r="CT451" s="0" t="s">
        <v>5496</v>
      </c>
      <c r="CU451" s="0" t="s">
        <v>5497</v>
      </c>
      <c r="CV451" s="0" t="s">
        <v>443</v>
      </c>
      <c r="CW451" s="0" t="s">
        <v>5580</v>
      </c>
      <c r="CX451" s="0" t="s">
        <v>229</v>
      </c>
      <c r="CY451" s="0" t="s">
        <v>443</v>
      </c>
      <c r="CZ451" s="0" t="s">
        <v>5581</v>
      </c>
      <c r="DA451" s="0" t="s">
        <v>5582</v>
      </c>
      <c r="DB451" s="0" t="s">
        <v>5580</v>
      </c>
      <c r="DC451" s="0" t="s">
        <v>384</v>
      </c>
      <c r="DD451" s="0" t="s">
        <v>291</v>
      </c>
      <c r="DE451" s="0" t="s">
        <v>6029</v>
      </c>
    </row>
    <row customHeight="1" ht="11.25">
      <c r="A452" s="1441" t="s">
        <v>240</v>
      </c>
      <c r="B452" s="0" t="s">
        <v>240</v>
      </c>
      <c r="C452" s="0" t="s">
        <v>240</v>
      </c>
      <c r="D452" s="0" t="s">
        <v>240</v>
      </c>
      <c r="E452" s="0" t="s">
        <v>240</v>
      </c>
      <c r="F452" s="0" t="s">
        <v>240</v>
      </c>
      <c r="G452" s="0" t="s">
        <v>240</v>
      </c>
      <c r="H452" s="0" t="s">
        <v>240</v>
      </c>
      <c r="I452" s="0" t="s">
        <v>5484</v>
      </c>
      <c r="J452" s="0" t="s">
        <v>240</v>
      </c>
      <c r="K452" s="0" t="s">
        <v>240</v>
      </c>
      <c r="L452" s="0" t="s">
        <v>240</v>
      </c>
      <c r="M452" s="0" t="s">
        <v>240</v>
      </c>
      <c r="N452" s="0" t="s">
        <v>240</v>
      </c>
      <c r="O452" s="0" t="s">
        <v>240</v>
      </c>
      <c r="P452" s="0" t="s">
        <v>240</v>
      </c>
      <c r="Q452" s="0" t="s">
        <v>240</v>
      </c>
      <c r="R452" s="0" t="s">
        <v>6286</v>
      </c>
      <c r="S452" s="0" t="s">
        <v>240</v>
      </c>
      <c r="T452" s="0" t="s">
        <v>240</v>
      </c>
      <c r="U452" s="0" t="s">
        <v>102</v>
      </c>
      <c r="V452" s="0" t="s">
        <v>240</v>
      </c>
      <c r="W452" s="0" t="s">
        <v>240</v>
      </c>
      <c r="X452" s="0" t="s">
        <v>5585</v>
      </c>
      <c r="Y452" s="0" t="s">
        <v>240</v>
      </c>
      <c r="Z452" s="0" t="s">
        <v>152</v>
      </c>
      <c r="AA452" s="0" t="s">
        <v>152</v>
      </c>
      <c r="AB452" s="0" t="s">
        <v>161</v>
      </c>
      <c r="AC452" s="0" t="s">
        <v>2989</v>
      </c>
      <c r="AD452" s="0" t="s">
        <v>2989</v>
      </c>
      <c r="AE452" s="0" t="s">
        <v>2990</v>
      </c>
      <c r="AF452" s="0" t="s">
        <v>6026</v>
      </c>
      <c r="AG452" s="0" t="s">
        <v>6027</v>
      </c>
      <c r="AH452" s="0" t="s">
        <v>5575</v>
      </c>
      <c r="AI452" s="0" t="s">
        <v>5575</v>
      </c>
      <c r="AJ452" s="0" t="s">
        <v>240</v>
      </c>
      <c r="AK452" s="0" t="s">
        <v>240</v>
      </c>
      <c r="AL452" s="0" t="s">
        <v>240</v>
      </c>
      <c r="AM452" s="0" t="s">
        <v>240</v>
      </c>
      <c r="AN452" s="0" t="s">
        <v>240</v>
      </c>
      <c r="AO452" s="0" t="s">
        <v>240</v>
      </c>
      <c r="AP452" s="0" t="s">
        <v>240</v>
      </c>
      <c r="AQ452" s="0" t="s">
        <v>240</v>
      </c>
      <c r="AR452" s="0" t="s">
        <v>240</v>
      </c>
      <c r="AS452" s="0" t="s">
        <v>240</v>
      </c>
      <c r="AT452" s="0" t="s">
        <v>240</v>
      </c>
      <c r="AU452" s="0" t="s">
        <v>240</v>
      </c>
      <c r="AV452" s="0" t="s">
        <v>240</v>
      </c>
      <c r="AW452" s="0" t="s">
        <v>240</v>
      </c>
      <c r="AX452" s="0" t="s">
        <v>240</v>
      </c>
      <c r="AY452" s="0" t="s">
        <v>240</v>
      </c>
      <c r="AZ452" s="0" t="s">
        <v>240</v>
      </c>
      <c r="BA452" s="0" t="s">
        <v>240</v>
      </c>
      <c r="BB452" s="0" t="s">
        <v>240</v>
      </c>
      <c r="BC452" s="0" t="s">
        <v>240</v>
      </c>
      <c r="BD452" s="0" t="s">
        <v>240</v>
      </c>
      <c r="BE452" s="0" t="s">
        <v>5576</v>
      </c>
      <c r="BF452" s="0" t="s">
        <v>6028</v>
      </c>
      <c r="BG452" s="0" t="s">
        <v>112</v>
      </c>
      <c r="BH452" s="0" t="s">
        <v>5589</v>
      </c>
      <c r="BI452" s="0" t="s">
        <v>123</v>
      </c>
      <c r="BJ452" s="0" t="s">
        <v>240</v>
      </c>
      <c r="BK452" s="0" t="s">
        <v>5608</v>
      </c>
      <c r="BL452" s="0" t="s">
        <v>2989</v>
      </c>
      <c r="BM452" s="0" t="s">
        <v>2989</v>
      </c>
      <c r="BN452" s="0" t="s">
        <v>5798</v>
      </c>
      <c r="BO452" s="0" t="s">
        <v>6026</v>
      </c>
      <c r="BP452" s="0" t="s">
        <v>6287</v>
      </c>
      <c r="BQ452" s="0" t="s">
        <v>5575</v>
      </c>
      <c r="BR452" s="0" t="s">
        <v>5575</v>
      </c>
      <c r="BS452" s="0" t="s">
        <v>240</v>
      </c>
      <c r="BT452" s="0" t="s">
        <v>5650</v>
      </c>
      <c r="BU452" s="0" t="s">
        <v>6288</v>
      </c>
      <c r="BV452" s="0" t="s">
        <v>6288</v>
      </c>
      <c r="BW452" s="0" t="s">
        <v>5598</v>
      </c>
      <c r="BX452" s="0" t="s">
        <v>5598</v>
      </c>
      <c r="BY452" s="0" t="s">
        <v>5598</v>
      </c>
      <c r="BZ452" s="0" t="s">
        <v>5598</v>
      </c>
      <c r="CA452" s="0" t="s">
        <v>5598</v>
      </c>
      <c r="CB452" s="0" t="s">
        <v>240</v>
      </c>
      <c r="CC452" s="0" t="s">
        <v>240</v>
      </c>
      <c r="CD452" s="0" t="s">
        <v>240</v>
      </c>
      <c r="CE452" s="0" t="s">
        <v>240</v>
      </c>
      <c r="CF452" s="0" t="s">
        <v>240</v>
      </c>
      <c r="CG452" s="0" t="s">
        <v>5598</v>
      </c>
      <c r="CH452" s="0" t="s">
        <v>240</v>
      </c>
      <c r="CI452" s="0" t="s">
        <v>240</v>
      </c>
      <c r="CJ452" s="0" t="s">
        <v>240</v>
      </c>
      <c r="CK452" s="0" t="s">
        <v>240</v>
      </c>
      <c r="CL452" s="0" t="s">
        <v>240</v>
      </c>
      <c r="CM452" s="0" t="s">
        <v>6288</v>
      </c>
      <c r="CN452" s="0" t="s">
        <v>6288</v>
      </c>
      <c r="CO452" s="0" t="s">
        <v>240</v>
      </c>
      <c r="CP452" s="0" t="s">
        <v>240</v>
      </c>
      <c r="CQ452" s="0" t="s">
        <v>240</v>
      </c>
      <c r="CR452" s="0" t="s">
        <v>240</v>
      </c>
      <c r="CS452" s="0" t="s">
        <v>5553</v>
      </c>
      <c r="CT452" s="0" t="s">
        <v>5496</v>
      </c>
      <c r="CU452" s="0" t="s">
        <v>5497</v>
      </c>
      <c r="CV452" s="0" t="s">
        <v>443</v>
      </c>
      <c r="CW452" s="0" t="s">
        <v>5580</v>
      </c>
      <c r="CX452" s="0" t="s">
        <v>229</v>
      </c>
      <c r="CY452" s="0" t="s">
        <v>443</v>
      </c>
      <c r="CZ452" s="0" t="s">
        <v>5581</v>
      </c>
      <c r="DA452" s="0" t="s">
        <v>5582</v>
      </c>
      <c r="DB452" s="0" t="s">
        <v>5580</v>
      </c>
      <c r="DC452" s="0" t="s">
        <v>384</v>
      </c>
      <c r="DD452" s="0" t="s">
        <v>291</v>
      </c>
      <c r="DE452" s="0" t="s">
        <v>6029</v>
      </c>
    </row>
    <row customHeight="1" ht="11.25">
      <c r="A453" s="1441" t="s">
        <v>240</v>
      </c>
      <c r="B453" s="0" t="s">
        <v>240</v>
      </c>
      <c r="C453" s="0" t="s">
        <v>240</v>
      </c>
      <c r="D453" s="0" t="s">
        <v>240</v>
      </c>
      <c r="E453" s="0" t="s">
        <v>240</v>
      </c>
      <c r="F453" s="0" t="s">
        <v>240</v>
      </c>
      <c r="G453" s="0" t="s">
        <v>240</v>
      </c>
      <c r="H453" s="0" t="s">
        <v>240</v>
      </c>
      <c r="I453" s="0" t="s">
        <v>5484</v>
      </c>
      <c r="J453" s="0" t="s">
        <v>240</v>
      </c>
      <c r="K453" s="0" t="s">
        <v>240</v>
      </c>
      <c r="L453" s="0" t="s">
        <v>240</v>
      </c>
      <c r="M453" s="0" t="s">
        <v>240</v>
      </c>
      <c r="N453" s="0" t="s">
        <v>240</v>
      </c>
      <c r="O453" s="0" t="s">
        <v>240</v>
      </c>
      <c r="P453" s="0" t="s">
        <v>240</v>
      </c>
      <c r="Q453" s="0" t="s">
        <v>240</v>
      </c>
      <c r="R453" s="0" t="s">
        <v>6969</v>
      </c>
      <c r="S453" s="0" t="s">
        <v>240</v>
      </c>
      <c r="T453" s="0" t="s">
        <v>240</v>
      </c>
      <c r="U453" s="0" t="s">
        <v>102</v>
      </c>
      <c r="V453" s="0" t="s">
        <v>240</v>
      </c>
      <c r="W453" s="0" t="s">
        <v>240</v>
      </c>
      <c r="X453" s="0" t="s">
        <v>5485</v>
      </c>
      <c r="Y453" s="0" t="s">
        <v>240</v>
      </c>
      <c r="Z453" s="0" t="s">
        <v>161</v>
      </c>
      <c r="AA453" s="0" t="s">
        <v>152</v>
      </c>
      <c r="AB453" s="0" t="s">
        <v>152</v>
      </c>
      <c r="AC453" s="0" t="s">
        <v>3389</v>
      </c>
      <c r="AD453" s="0" t="s">
        <v>3389</v>
      </c>
      <c r="AE453" s="0" t="s">
        <v>3390</v>
      </c>
      <c r="AF453" s="0" t="s">
        <v>5519</v>
      </c>
      <c r="AG453" s="0" t="s">
        <v>5520</v>
      </c>
      <c r="AH453" s="0" t="s">
        <v>5559</v>
      </c>
      <c r="AI453" s="0" t="s">
        <v>501</v>
      </c>
      <c r="AJ453" s="0" t="s">
        <v>5560</v>
      </c>
      <c r="AK453" s="0" t="s">
        <v>5561</v>
      </c>
      <c r="AL453" s="0" t="s">
        <v>5524</v>
      </c>
      <c r="AM453" s="0" t="s">
        <v>5493</v>
      </c>
      <c r="AN453" s="0" t="s">
        <v>5562</v>
      </c>
      <c r="AO453" s="0" t="s">
        <v>5563</v>
      </c>
      <c r="AP453" s="0" t="s">
        <v>240</v>
      </c>
      <c r="AQ453" s="0" t="s">
        <v>240</v>
      </c>
      <c r="AR453" s="0" t="s">
        <v>240</v>
      </c>
      <c r="AS453" s="0" t="s">
        <v>240</v>
      </c>
      <c r="AT453" s="0" t="s">
        <v>240</v>
      </c>
      <c r="AU453" s="0" t="s">
        <v>240</v>
      </c>
      <c r="AV453" s="0" t="s">
        <v>240</v>
      </c>
      <c r="AW453" s="0" t="s">
        <v>240</v>
      </c>
      <c r="AX453" s="0" t="s">
        <v>240</v>
      </c>
      <c r="AY453" s="0" t="s">
        <v>240</v>
      </c>
      <c r="AZ453" s="0" t="s">
        <v>240</v>
      </c>
      <c r="BA453" s="0" t="s">
        <v>240</v>
      </c>
      <c r="BB453" s="0" t="s">
        <v>240</v>
      </c>
      <c r="BC453" s="0" t="s">
        <v>240</v>
      </c>
      <c r="BD453" s="0" t="s">
        <v>240</v>
      </c>
      <c r="BE453" s="0" t="s">
        <v>240</v>
      </c>
      <c r="BF453" s="0" t="s">
        <v>240</v>
      </c>
      <c r="BG453" s="0" t="s">
        <v>240</v>
      </c>
      <c r="BH453" s="0" t="s">
        <v>240</v>
      </c>
      <c r="BI453" s="0" t="s">
        <v>240</v>
      </c>
      <c r="BJ453" s="0" t="s">
        <v>240</v>
      </c>
      <c r="BK453" s="0" t="s">
        <v>240</v>
      </c>
      <c r="BL453" s="0" t="s">
        <v>240</v>
      </c>
      <c r="BM453" s="0" t="s">
        <v>240</v>
      </c>
      <c r="BN453" s="0" t="s">
        <v>240</v>
      </c>
      <c r="BO453" s="0" t="s">
        <v>240</v>
      </c>
      <c r="BP453" s="0" t="s">
        <v>240</v>
      </c>
      <c r="BQ453" s="0" t="s">
        <v>240</v>
      </c>
      <c r="BR453" s="0" t="s">
        <v>240</v>
      </c>
      <c r="BS453" s="0" t="s">
        <v>240</v>
      </c>
      <c r="BT453" s="0" t="s">
        <v>240</v>
      </c>
      <c r="BU453" s="0" t="s">
        <v>240</v>
      </c>
      <c r="BV453" s="0" t="s">
        <v>240</v>
      </c>
      <c r="BW453" s="0" t="s">
        <v>240</v>
      </c>
      <c r="BX453" s="0" t="s">
        <v>240</v>
      </c>
      <c r="BY453" s="0" t="s">
        <v>240</v>
      </c>
      <c r="BZ453" s="0" t="s">
        <v>240</v>
      </c>
      <c r="CA453" s="0" t="s">
        <v>240</v>
      </c>
      <c r="CB453" s="0" t="s">
        <v>240</v>
      </c>
      <c r="CC453" s="0" t="s">
        <v>240</v>
      </c>
      <c r="CD453" s="0" t="s">
        <v>240</v>
      </c>
      <c r="CE453" s="0" t="s">
        <v>240</v>
      </c>
      <c r="CF453" s="0" t="s">
        <v>240</v>
      </c>
      <c r="CG453" s="0" t="s">
        <v>240</v>
      </c>
      <c r="CH453" s="0" t="s">
        <v>240</v>
      </c>
      <c r="CI453" s="0" t="s">
        <v>240</v>
      </c>
      <c r="CJ453" s="0" t="s">
        <v>240</v>
      </c>
      <c r="CK453" s="0" t="s">
        <v>240</v>
      </c>
      <c r="CL453" s="0" t="s">
        <v>240</v>
      </c>
      <c r="CM453" s="0" t="s">
        <v>240</v>
      </c>
      <c r="CN453" s="0" t="s">
        <v>240</v>
      </c>
      <c r="CO453" s="0" t="s">
        <v>240</v>
      </c>
      <c r="CP453" s="0" t="s">
        <v>240</v>
      </c>
      <c r="CQ453" s="0" t="s">
        <v>240</v>
      </c>
      <c r="CR453" s="0" t="s">
        <v>240</v>
      </c>
      <c r="CS453" s="0" t="s">
        <v>240</v>
      </c>
      <c r="CT453" s="0" t="s">
        <v>5496</v>
      </c>
      <c r="CU453" s="0" t="s">
        <v>5497</v>
      </c>
      <c r="CV453" s="0" t="s">
        <v>443</v>
      </c>
      <c r="CW453" s="0" t="s">
        <v>5527</v>
      </c>
      <c r="CX453" s="0" t="s">
        <v>5528</v>
      </c>
      <c r="CY453" s="0" t="s">
        <v>443</v>
      </c>
      <c r="CZ453" s="0" t="s">
        <v>299</v>
      </c>
      <c r="DA453" s="0" t="s">
        <v>5529</v>
      </c>
      <c r="DB453" s="0" t="s">
        <v>5527</v>
      </c>
      <c r="DC453" s="0" t="s">
        <v>384</v>
      </c>
      <c r="DD453" s="0" t="s">
        <v>291</v>
      </c>
      <c r="DE453" s="0" t="s">
        <v>5564</v>
      </c>
    </row>
    <row customHeight="1" ht="11.25">
      <c r="A454" s="1441" t="s">
        <v>240</v>
      </c>
      <c r="B454" s="0" t="s">
        <v>240</v>
      </c>
      <c r="C454" s="0" t="s">
        <v>240</v>
      </c>
      <c r="D454" s="0" t="s">
        <v>240</v>
      </c>
      <c r="E454" s="0" t="s">
        <v>240</v>
      </c>
      <c r="F454" s="0" t="s">
        <v>240</v>
      </c>
      <c r="G454" s="0" t="s">
        <v>240</v>
      </c>
      <c r="H454" s="0" t="s">
        <v>240</v>
      </c>
      <c r="I454" s="0" t="s">
        <v>5484</v>
      </c>
      <c r="J454" s="0" t="s">
        <v>240</v>
      </c>
      <c r="K454" s="0" t="s">
        <v>240</v>
      </c>
      <c r="L454" s="0" t="s">
        <v>240</v>
      </c>
      <c r="M454" s="0" t="s">
        <v>240</v>
      </c>
      <c r="N454" s="0" t="s">
        <v>240</v>
      </c>
      <c r="O454" s="0" t="s">
        <v>240</v>
      </c>
      <c r="P454" s="0" t="s">
        <v>240</v>
      </c>
      <c r="Q454" s="0" t="s">
        <v>240</v>
      </c>
      <c r="R454" s="0" t="s">
        <v>5608</v>
      </c>
      <c r="S454" s="0" t="s">
        <v>240</v>
      </c>
      <c r="T454" s="0" t="s">
        <v>240</v>
      </c>
      <c r="U454" s="0" t="s">
        <v>102</v>
      </c>
      <c r="V454" s="0" t="s">
        <v>240</v>
      </c>
      <c r="W454" s="0" t="s">
        <v>240</v>
      </c>
      <c r="X454" s="0" t="s">
        <v>5485</v>
      </c>
      <c r="Y454" s="0" t="s">
        <v>240</v>
      </c>
      <c r="Z454" s="0" t="s">
        <v>161</v>
      </c>
      <c r="AA454" s="0" t="s">
        <v>152</v>
      </c>
      <c r="AB454" s="0" t="s">
        <v>152</v>
      </c>
      <c r="AC454" s="0" t="s">
        <v>2985</v>
      </c>
      <c r="AD454" s="0" t="s">
        <v>2985</v>
      </c>
      <c r="AE454" s="0" t="s">
        <v>2986</v>
      </c>
      <c r="AF454" s="0" t="s">
        <v>6427</v>
      </c>
      <c r="AG454" s="0" t="s">
        <v>6428</v>
      </c>
      <c r="AH454" s="0" t="s">
        <v>6631</v>
      </c>
      <c r="AI454" s="0" t="s">
        <v>6632</v>
      </c>
      <c r="AJ454" s="0" t="s">
        <v>5504</v>
      </c>
      <c r="AK454" s="0" t="s">
        <v>5505</v>
      </c>
      <c r="AL454" s="0" t="s">
        <v>5506</v>
      </c>
      <c r="AM454" s="0" t="s">
        <v>5493</v>
      </c>
      <c r="AN454" s="0" t="s">
        <v>5507</v>
      </c>
      <c r="AO454" s="0" t="s">
        <v>5636</v>
      </c>
      <c r="AP454" s="0" t="s">
        <v>240</v>
      </c>
      <c r="AQ454" s="0" t="s">
        <v>240</v>
      </c>
      <c r="AR454" s="0" t="s">
        <v>240</v>
      </c>
      <c r="AS454" s="0" t="s">
        <v>240</v>
      </c>
      <c r="AT454" s="0" t="s">
        <v>240</v>
      </c>
      <c r="AU454" s="0" t="s">
        <v>240</v>
      </c>
      <c r="AV454" s="0" t="s">
        <v>240</v>
      </c>
      <c r="AW454" s="0" t="s">
        <v>240</v>
      </c>
      <c r="AX454" s="0" t="s">
        <v>240</v>
      </c>
      <c r="AY454" s="0" t="s">
        <v>240</v>
      </c>
      <c r="AZ454" s="0" t="s">
        <v>240</v>
      </c>
      <c r="BA454" s="0" t="s">
        <v>240</v>
      </c>
      <c r="BB454" s="0" t="s">
        <v>240</v>
      </c>
      <c r="BC454" s="0" t="s">
        <v>240</v>
      </c>
      <c r="BD454" s="0" t="s">
        <v>240</v>
      </c>
      <c r="BE454" s="0" t="s">
        <v>240</v>
      </c>
      <c r="BF454" s="0" t="s">
        <v>240</v>
      </c>
      <c r="BG454" s="0" t="s">
        <v>240</v>
      </c>
      <c r="BH454" s="0" t="s">
        <v>240</v>
      </c>
      <c r="BI454" s="0" t="s">
        <v>240</v>
      </c>
      <c r="BJ454" s="0" t="s">
        <v>240</v>
      </c>
      <c r="BK454" s="0" t="s">
        <v>240</v>
      </c>
      <c r="BL454" s="0" t="s">
        <v>240</v>
      </c>
      <c r="BM454" s="0" t="s">
        <v>240</v>
      </c>
      <c r="BN454" s="0" t="s">
        <v>240</v>
      </c>
      <c r="BO454" s="0" t="s">
        <v>240</v>
      </c>
      <c r="BP454" s="0" t="s">
        <v>240</v>
      </c>
      <c r="BQ454" s="0" t="s">
        <v>240</v>
      </c>
      <c r="BR454" s="0" t="s">
        <v>240</v>
      </c>
      <c r="BS454" s="0" t="s">
        <v>240</v>
      </c>
      <c r="BT454" s="0" t="s">
        <v>240</v>
      </c>
      <c r="BU454" s="0" t="s">
        <v>240</v>
      </c>
      <c r="BV454" s="0" t="s">
        <v>240</v>
      </c>
      <c r="BW454" s="0" t="s">
        <v>240</v>
      </c>
      <c r="BX454" s="0" t="s">
        <v>240</v>
      </c>
      <c r="BY454" s="0" t="s">
        <v>240</v>
      </c>
      <c r="BZ454" s="0" t="s">
        <v>240</v>
      </c>
      <c r="CA454" s="0" t="s">
        <v>240</v>
      </c>
      <c r="CB454" s="0" t="s">
        <v>240</v>
      </c>
      <c r="CC454" s="0" t="s">
        <v>240</v>
      </c>
      <c r="CD454" s="0" t="s">
        <v>240</v>
      </c>
      <c r="CE454" s="0" t="s">
        <v>240</v>
      </c>
      <c r="CF454" s="0" t="s">
        <v>240</v>
      </c>
      <c r="CG454" s="0" t="s">
        <v>240</v>
      </c>
      <c r="CH454" s="0" t="s">
        <v>240</v>
      </c>
      <c r="CI454" s="0" t="s">
        <v>240</v>
      </c>
      <c r="CJ454" s="0" t="s">
        <v>240</v>
      </c>
      <c r="CK454" s="0" t="s">
        <v>240</v>
      </c>
      <c r="CL454" s="0" t="s">
        <v>240</v>
      </c>
      <c r="CM454" s="0" t="s">
        <v>240</v>
      </c>
      <c r="CN454" s="0" t="s">
        <v>240</v>
      </c>
      <c r="CO454" s="0" t="s">
        <v>240</v>
      </c>
      <c r="CP454" s="0" t="s">
        <v>240</v>
      </c>
      <c r="CQ454" s="0" t="s">
        <v>240</v>
      </c>
      <c r="CR454" s="0" t="s">
        <v>240</v>
      </c>
      <c r="CS454" s="0" t="s">
        <v>240</v>
      </c>
      <c r="CT454" s="0" t="s">
        <v>5496</v>
      </c>
      <c r="CU454" s="0" t="s">
        <v>5497</v>
      </c>
      <c r="CV454" s="0" t="s">
        <v>443</v>
      </c>
      <c r="CW454" s="0" t="s">
        <v>5509</v>
      </c>
      <c r="CX454" s="0" t="s">
        <v>229</v>
      </c>
      <c r="CY454" s="0" t="s">
        <v>443</v>
      </c>
      <c r="CZ454" s="0" t="s">
        <v>5510</v>
      </c>
      <c r="DA454" s="0" t="s">
        <v>5511</v>
      </c>
      <c r="DB454" s="0" t="s">
        <v>5509</v>
      </c>
      <c r="DC454" s="0" t="s">
        <v>384</v>
      </c>
      <c r="DD454" s="0" t="s">
        <v>291</v>
      </c>
      <c r="DE454" s="0" t="s">
        <v>6633</v>
      </c>
    </row>
    <row customHeight="1" ht="11.25">
      <c r="A455" s="1441" t="s">
        <v>240</v>
      </c>
      <c r="B455" s="0" t="s">
        <v>240</v>
      </c>
      <c r="C455" s="0" t="s">
        <v>240</v>
      </c>
      <c r="D455" s="0" t="s">
        <v>240</v>
      </c>
      <c r="E455" s="0" t="s">
        <v>240</v>
      </c>
      <c r="F455" s="0" t="s">
        <v>240</v>
      </c>
      <c r="G455" s="0" t="s">
        <v>240</v>
      </c>
      <c r="H455" s="0" t="s">
        <v>240</v>
      </c>
      <c r="I455" s="0" t="s">
        <v>5484</v>
      </c>
      <c r="J455" s="0" t="s">
        <v>240</v>
      </c>
      <c r="K455" s="0" t="s">
        <v>240</v>
      </c>
      <c r="L455" s="0" t="s">
        <v>240</v>
      </c>
      <c r="M455" s="0" t="s">
        <v>240</v>
      </c>
      <c r="N455" s="0" t="s">
        <v>240</v>
      </c>
      <c r="O455" s="0" t="s">
        <v>240</v>
      </c>
      <c r="P455" s="0" t="s">
        <v>240</v>
      </c>
      <c r="Q455" s="0" t="s">
        <v>240</v>
      </c>
      <c r="R455" s="0" t="s">
        <v>449</v>
      </c>
      <c r="S455" s="0" t="s">
        <v>240</v>
      </c>
      <c r="T455" s="0" t="s">
        <v>240</v>
      </c>
      <c r="U455" s="0" t="s">
        <v>102</v>
      </c>
      <c r="V455" s="0" t="s">
        <v>240</v>
      </c>
      <c r="W455" s="0" t="s">
        <v>240</v>
      </c>
      <c r="X455" s="0" t="s">
        <v>5585</v>
      </c>
      <c r="Y455" s="0" t="s">
        <v>240</v>
      </c>
      <c r="Z455" s="0" t="s">
        <v>152</v>
      </c>
      <c r="AA455" s="0" t="s">
        <v>152</v>
      </c>
      <c r="AB455" s="0" t="s">
        <v>161</v>
      </c>
      <c r="AC455" s="0" t="s">
        <v>2985</v>
      </c>
      <c r="AD455" s="0" t="s">
        <v>2985</v>
      </c>
      <c r="AE455" s="0" t="s">
        <v>2986</v>
      </c>
      <c r="AF455" s="0" t="s">
        <v>6474</v>
      </c>
      <c r="AG455" s="0" t="s">
        <v>6475</v>
      </c>
      <c r="AH455" s="0" t="s">
        <v>6474</v>
      </c>
      <c r="AI455" s="0" t="s">
        <v>5644</v>
      </c>
      <c r="AJ455" s="0" t="s">
        <v>240</v>
      </c>
      <c r="AK455" s="0" t="s">
        <v>240</v>
      </c>
      <c r="AL455" s="0" t="s">
        <v>240</v>
      </c>
      <c r="AM455" s="0" t="s">
        <v>240</v>
      </c>
      <c r="AN455" s="0" t="s">
        <v>240</v>
      </c>
      <c r="AO455" s="0" t="s">
        <v>240</v>
      </c>
      <c r="AP455" s="0" t="s">
        <v>240</v>
      </c>
      <c r="AQ455" s="0" t="s">
        <v>240</v>
      </c>
      <c r="AR455" s="0" t="s">
        <v>240</v>
      </c>
      <c r="AS455" s="0" t="s">
        <v>240</v>
      </c>
      <c r="AT455" s="0" t="s">
        <v>240</v>
      </c>
      <c r="AU455" s="0" t="s">
        <v>240</v>
      </c>
      <c r="AV455" s="0" t="s">
        <v>240</v>
      </c>
      <c r="AW455" s="0" t="s">
        <v>240</v>
      </c>
      <c r="AX455" s="0" t="s">
        <v>240</v>
      </c>
      <c r="AY455" s="0" t="s">
        <v>240</v>
      </c>
      <c r="AZ455" s="0" t="s">
        <v>240</v>
      </c>
      <c r="BA455" s="0" t="s">
        <v>240</v>
      </c>
      <c r="BB455" s="0" t="s">
        <v>240</v>
      </c>
      <c r="BC455" s="0" t="s">
        <v>240</v>
      </c>
      <c r="BD455" s="0" t="s">
        <v>240</v>
      </c>
      <c r="BE455" s="0" t="s">
        <v>5645</v>
      </c>
      <c r="BF455" s="0" t="s">
        <v>5645</v>
      </c>
      <c r="BG455" s="0" t="s">
        <v>112</v>
      </c>
      <c r="BH455" s="0" t="s">
        <v>5589</v>
      </c>
      <c r="BI455" s="0" t="s">
        <v>123</v>
      </c>
      <c r="BJ455" s="0" t="s">
        <v>240</v>
      </c>
      <c r="BK455" s="0" t="s">
        <v>5608</v>
      </c>
      <c r="BL455" s="0" t="s">
        <v>2985</v>
      </c>
      <c r="BM455" s="0" t="s">
        <v>2985</v>
      </c>
      <c r="BN455" s="0" t="s">
        <v>5646</v>
      </c>
      <c r="BO455" s="0" t="s">
        <v>6474</v>
      </c>
      <c r="BP455" s="0" t="s">
        <v>6476</v>
      </c>
      <c r="BQ455" s="0" t="s">
        <v>6474</v>
      </c>
      <c r="BR455" s="0" t="s">
        <v>5644</v>
      </c>
      <c r="BS455" s="0" t="s">
        <v>240</v>
      </c>
      <c r="BT455" s="0" t="s">
        <v>5650</v>
      </c>
      <c r="BU455" s="0" t="s">
        <v>6477</v>
      </c>
      <c r="BV455" s="0" t="s">
        <v>6477</v>
      </c>
      <c r="BW455" s="0" t="s">
        <v>5598</v>
      </c>
      <c r="BX455" s="0" t="s">
        <v>5598</v>
      </c>
      <c r="BY455" s="0" t="s">
        <v>5598</v>
      </c>
      <c r="BZ455" s="0" t="s">
        <v>5598</v>
      </c>
      <c r="CA455" s="0" t="s">
        <v>5598</v>
      </c>
      <c r="CB455" s="0" t="s">
        <v>240</v>
      </c>
      <c r="CC455" s="0" t="s">
        <v>240</v>
      </c>
      <c r="CD455" s="0" t="s">
        <v>240</v>
      </c>
      <c r="CE455" s="0" t="s">
        <v>240</v>
      </c>
      <c r="CF455" s="0" t="s">
        <v>240</v>
      </c>
      <c r="CG455" s="0" t="s">
        <v>5598</v>
      </c>
      <c r="CH455" s="0" t="s">
        <v>240</v>
      </c>
      <c r="CI455" s="0" t="s">
        <v>240</v>
      </c>
      <c r="CJ455" s="0" t="s">
        <v>240</v>
      </c>
      <c r="CK455" s="0" t="s">
        <v>240</v>
      </c>
      <c r="CL455" s="0" t="s">
        <v>240</v>
      </c>
      <c r="CM455" s="0" t="s">
        <v>6477</v>
      </c>
      <c r="CN455" s="0" t="s">
        <v>6477</v>
      </c>
      <c r="CO455" s="0" t="s">
        <v>240</v>
      </c>
      <c r="CP455" s="0" t="s">
        <v>240</v>
      </c>
      <c r="CQ455" s="0" t="s">
        <v>240</v>
      </c>
      <c r="CR455" s="0" t="s">
        <v>240</v>
      </c>
      <c r="CS455" s="0" t="s">
        <v>5507</v>
      </c>
      <c r="CT455" s="0" t="s">
        <v>5496</v>
      </c>
      <c r="CU455" s="0" t="s">
        <v>5497</v>
      </c>
      <c r="CV455" s="0" t="s">
        <v>443</v>
      </c>
      <c r="CW455" s="0" t="s">
        <v>5509</v>
      </c>
      <c r="CX455" s="0" t="s">
        <v>229</v>
      </c>
      <c r="CY455" s="0" t="s">
        <v>443</v>
      </c>
      <c r="CZ455" s="0" t="s">
        <v>5510</v>
      </c>
      <c r="DA455" s="0" t="s">
        <v>5511</v>
      </c>
      <c r="DB455" s="0" t="s">
        <v>5509</v>
      </c>
      <c r="DC455" s="0" t="s">
        <v>384</v>
      </c>
      <c r="DD455" s="0" t="s">
        <v>291</v>
      </c>
      <c r="DE455" s="0" t="s">
        <v>6478</v>
      </c>
    </row>
    <row customHeight="1" ht="11.25">
      <c r="A456" s="1441" t="s">
        <v>240</v>
      </c>
      <c r="B456" s="0" t="s">
        <v>240</v>
      </c>
      <c r="C456" s="0" t="s">
        <v>240</v>
      </c>
      <c r="D456" s="0" t="s">
        <v>240</v>
      </c>
      <c r="E456" s="0" t="s">
        <v>240</v>
      </c>
      <c r="F456" s="0" t="s">
        <v>240</v>
      </c>
      <c r="G456" s="0" t="s">
        <v>240</v>
      </c>
      <c r="H456" s="0" t="s">
        <v>240</v>
      </c>
      <c r="I456" s="0" t="s">
        <v>5484</v>
      </c>
      <c r="J456" s="0" t="s">
        <v>240</v>
      </c>
      <c r="K456" s="0" t="s">
        <v>240</v>
      </c>
      <c r="L456" s="0" t="s">
        <v>240</v>
      </c>
      <c r="M456" s="0" t="s">
        <v>240</v>
      </c>
      <c r="N456" s="0" t="s">
        <v>240</v>
      </c>
      <c r="O456" s="0" t="s">
        <v>240</v>
      </c>
      <c r="P456" s="0" t="s">
        <v>240</v>
      </c>
      <c r="Q456" s="0" t="s">
        <v>240</v>
      </c>
      <c r="R456" s="0" t="s">
        <v>6970</v>
      </c>
      <c r="S456" s="0" t="s">
        <v>240</v>
      </c>
      <c r="T456" s="0" t="s">
        <v>240</v>
      </c>
      <c r="U456" s="0" t="s">
        <v>102</v>
      </c>
      <c r="V456" s="0" t="s">
        <v>240</v>
      </c>
      <c r="W456" s="0" t="s">
        <v>240</v>
      </c>
      <c r="X456" s="0" t="s">
        <v>5905</v>
      </c>
      <c r="Y456" s="0" t="s">
        <v>240</v>
      </c>
      <c r="Z456" s="0" t="s">
        <v>152</v>
      </c>
      <c r="AA456" s="0" t="s">
        <v>161</v>
      </c>
      <c r="AB456" s="0" t="s">
        <v>152</v>
      </c>
      <c r="AC456" s="0" t="s">
        <v>3389</v>
      </c>
      <c r="AD456" s="0" t="s">
        <v>3389</v>
      </c>
      <c r="AE456" s="0" t="s">
        <v>3390</v>
      </c>
      <c r="AF456" s="0" t="s">
        <v>5519</v>
      </c>
      <c r="AG456" s="0" t="s">
        <v>5520</v>
      </c>
      <c r="AH456" s="0" t="s">
        <v>5628</v>
      </c>
      <c r="AI456" s="0" t="s">
        <v>5533</v>
      </c>
      <c r="AJ456" s="0" t="s">
        <v>240</v>
      </c>
      <c r="AK456" s="0" t="s">
        <v>240</v>
      </c>
      <c r="AL456" s="0" t="s">
        <v>240</v>
      </c>
      <c r="AM456" s="0" t="s">
        <v>240</v>
      </c>
      <c r="AN456" s="0" t="s">
        <v>240</v>
      </c>
      <c r="AO456" s="0" t="s">
        <v>240</v>
      </c>
      <c r="AP456" s="0" t="s">
        <v>5716</v>
      </c>
      <c r="AQ456" s="0" t="s">
        <v>5962</v>
      </c>
      <c r="AR456" s="0" t="s">
        <v>112</v>
      </c>
      <c r="AS456" s="0" t="s">
        <v>5589</v>
      </c>
      <c r="AT456" s="0" t="s">
        <v>6941</v>
      </c>
      <c r="AU456" s="0" t="s">
        <v>240</v>
      </c>
      <c r="AV456" s="0" t="s">
        <v>5963</v>
      </c>
      <c r="AW456" s="0" t="s">
        <v>3389</v>
      </c>
      <c r="AX456" s="0" t="s">
        <v>3389</v>
      </c>
      <c r="AY456" s="0" t="s">
        <v>5591</v>
      </c>
      <c r="AZ456" s="0" t="s">
        <v>5519</v>
      </c>
      <c r="BA456" s="0" t="s">
        <v>5592</v>
      </c>
      <c r="BB456" s="0" t="s">
        <v>5964</v>
      </c>
      <c r="BC456" s="0" t="s">
        <v>5533</v>
      </c>
      <c r="BD456" s="0" t="s">
        <v>5630</v>
      </c>
      <c r="BE456" s="0" t="s">
        <v>240</v>
      </c>
      <c r="BF456" s="0" t="s">
        <v>240</v>
      </c>
      <c r="BG456" s="0" t="s">
        <v>240</v>
      </c>
      <c r="BH456" s="0" t="s">
        <v>240</v>
      </c>
      <c r="BI456" s="0" t="s">
        <v>240</v>
      </c>
      <c r="BJ456" s="0" t="s">
        <v>240</v>
      </c>
      <c r="BK456" s="0" t="s">
        <v>240</v>
      </c>
      <c r="BL456" s="0" t="s">
        <v>240</v>
      </c>
      <c r="BM456" s="0" t="s">
        <v>240</v>
      </c>
      <c r="BN456" s="0" t="s">
        <v>240</v>
      </c>
      <c r="BO456" s="0" t="s">
        <v>240</v>
      </c>
      <c r="BP456" s="0" t="s">
        <v>240</v>
      </c>
      <c r="BQ456" s="0" t="s">
        <v>240</v>
      </c>
      <c r="BR456" s="0" t="s">
        <v>240</v>
      </c>
      <c r="BS456" s="0" t="s">
        <v>240</v>
      </c>
      <c r="BT456" s="0" t="s">
        <v>240</v>
      </c>
      <c r="BU456" s="0" t="s">
        <v>240</v>
      </c>
      <c r="BV456" s="0" t="s">
        <v>240</v>
      </c>
      <c r="BW456" s="0" t="s">
        <v>240</v>
      </c>
      <c r="BX456" s="0" t="s">
        <v>240</v>
      </c>
      <c r="BY456" s="0" t="s">
        <v>240</v>
      </c>
      <c r="BZ456" s="0" t="s">
        <v>240</v>
      </c>
      <c r="CA456" s="0" t="s">
        <v>240</v>
      </c>
      <c r="CB456" s="0" t="s">
        <v>240</v>
      </c>
      <c r="CC456" s="0" t="s">
        <v>240</v>
      </c>
      <c r="CD456" s="0" t="s">
        <v>240</v>
      </c>
      <c r="CE456" s="0" t="s">
        <v>240</v>
      </c>
      <c r="CF456" s="0" t="s">
        <v>240</v>
      </c>
      <c r="CG456" s="0" t="s">
        <v>240</v>
      </c>
      <c r="CH456" s="0" t="s">
        <v>240</v>
      </c>
      <c r="CI456" s="0" t="s">
        <v>240</v>
      </c>
      <c r="CJ456" s="0" t="s">
        <v>240</v>
      </c>
      <c r="CK456" s="0" t="s">
        <v>240</v>
      </c>
      <c r="CL456" s="0" t="s">
        <v>240</v>
      </c>
      <c r="CM456" s="0" t="s">
        <v>240</v>
      </c>
      <c r="CN456" s="0" t="s">
        <v>240</v>
      </c>
      <c r="CO456" s="0" t="s">
        <v>240</v>
      </c>
      <c r="CP456" s="0" t="s">
        <v>240</v>
      </c>
      <c r="CQ456" s="0" t="s">
        <v>240</v>
      </c>
      <c r="CR456" s="0" t="s">
        <v>240</v>
      </c>
      <c r="CS456" s="0" t="s">
        <v>240</v>
      </c>
      <c r="CT456" s="0" t="s">
        <v>5496</v>
      </c>
      <c r="CU456" s="0" t="s">
        <v>5497</v>
      </c>
      <c r="CV456" s="0" t="s">
        <v>443</v>
      </c>
      <c r="CW456" s="0" t="s">
        <v>5527</v>
      </c>
      <c r="CX456" s="0" t="s">
        <v>5528</v>
      </c>
      <c r="CY456" s="0" t="s">
        <v>443</v>
      </c>
      <c r="CZ456" s="0" t="s">
        <v>299</v>
      </c>
      <c r="DA456" s="0" t="s">
        <v>5529</v>
      </c>
      <c r="DB456" s="0" t="s">
        <v>5527</v>
      </c>
      <c r="DC456" s="0" t="s">
        <v>384</v>
      </c>
      <c r="DD456" s="0" t="s">
        <v>291</v>
      </c>
      <c r="DE456" s="0" t="s">
        <v>5631</v>
      </c>
    </row>
    <row customHeight="1" ht="11.25">
      <c r="A457" s="1441" t="s">
        <v>240</v>
      </c>
      <c r="B457" s="0" t="s">
        <v>240</v>
      </c>
      <c r="C457" s="0" t="s">
        <v>240</v>
      </c>
      <c r="D457" s="0" t="s">
        <v>240</v>
      </c>
      <c r="E457" s="0" t="s">
        <v>240</v>
      </c>
      <c r="F457" s="0" t="s">
        <v>240</v>
      </c>
      <c r="G457" s="0" t="s">
        <v>240</v>
      </c>
      <c r="H457" s="0" t="s">
        <v>240</v>
      </c>
      <c r="I457" s="0" t="s">
        <v>5484</v>
      </c>
      <c r="J457" s="0" t="s">
        <v>240</v>
      </c>
      <c r="K457" s="0" t="s">
        <v>240</v>
      </c>
      <c r="L457" s="0" t="s">
        <v>240</v>
      </c>
      <c r="M457" s="0" t="s">
        <v>240</v>
      </c>
      <c r="N457" s="0" t="s">
        <v>240</v>
      </c>
      <c r="O457" s="0" t="s">
        <v>240</v>
      </c>
      <c r="P457" s="0" t="s">
        <v>240</v>
      </c>
      <c r="Q457" s="0" t="s">
        <v>240</v>
      </c>
      <c r="R457" s="0" t="s">
        <v>5608</v>
      </c>
      <c r="S457" s="0" t="s">
        <v>240</v>
      </c>
      <c r="T457" s="0" t="s">
        <v>240</v>
      </c>
      <c r="U457" s="0" t="s">
        <v>102</v>
      </c>
      <c r="V457" s="0" t="s">
        <v>240</v>
      </c>
      <c r="W457" s="0" t="s">
        <v>240</v>
      </c>
      <c r="X457" s="0" t="s">
        <v>5485</v>
      </c>
      <c r="Y457" s="0" t="s">
        <v>240</v>
      </c>
      <c r="Z457" s="0" t="s">
        <v>161</v>
      </c>
      <c r="AA457" s="0" t="s">
        <v>152</v>
      </c>
      <c r="AB457" s="0" t="s">
        <v>152</v>
      </c>
      <c r="AC457" s="0" t="s">
        <v>2985</v>
      </c>
      <c r="AD457" s="0" t="s">
        <v>2985</v>
      </c>
      <c r="AE457" s="0" t="s">
        <v>2986</v>
      </c>
      <c r="AF457" s="0" t="s">
        <v>5951</v>
      </c>
      <c r="AG457" s="0" t="s">
        <v>5952</v>
      </c>
      <c r="AH457" s="0" t="s">
        <v>5965</v>
      </c>
      <c r="AI457" s="0" t="s">
        <v>5966</v>
      </c>
      <c r="AJ457" s="0" t="s">
        <v>5504</v>
      </c>
      <c r="AK457" s="0" t="s">
        <v>5504</v>
      </c>
      <c r="AL457" s="0" t="s">
        <v>5605</v>
      </c>
      <c r="AM457" s="0" t="s">
        <v>5493</v>
      </c>
      <c r="AN457" s="0" t="s">
        <v>5507</v>
      </c>
      <c r="AO457" s="0" t="s">
        <v>5508</v>
      </c>
      <c r="AP457" s="0" t="s">
        <v>240</v>
      </c>
      <c r="AQ457" s="0" t="s">
        <v>240</v>
      </c>
      <c r="AR457" s="0" t="s">
        <v>240</v>
      </c>
      <c r="AS457" s="0" t="s">
        <v>240</v>
      </c>
      <c r="AT457" s="0" t="s">
        <v>240</v>
      </c>
      <c r="AU457" s="0" t="s">
        <v>240</v>
      </c>
      <c r="AV457" s="0" t="s">
        <v>240</v>
      </c>
      <c r="AW457" s="0" t="s">
        <v>240</v>
      </c>
      <c r="AX457" s="0" t="s">
        <v>240</v>
      </c>
      <c r="AY457" s="0" t="s">
        <v>240</v>
      </c>
      <c r="AZ457" s="0" t="s">
        <v>240</v>
      </c>
      <c r="BA457" s="0" t="s">
        <v>240</v>
      </c>
      <c r="BB457" s="0" t="s">
        <v>240</v>
      </c>
      <c r="BC457" s="0" t="s">
        <v>240</v>
      </c>
      <c r="BD457" s="0" t="s">
        <v>240</v>
      </c>
      <c r="BE457" s="0" t="s">
        <v>240</v>
      </c>
      <c r="BF457" s="0" t="s">
        <v>240</v>
      </c>
      <c r="BG457" s="0" t="s">
        <v>240</v>
      </c>
      <c r="BH457" s="0" t="s">
        <v>240</v>
      </c>
      <c r="BI457" s="0" t="s">
        <v>240</v>
      </c>
      <c r="BJ457" s="0" t="s">
        <v>240</v>
      </c>
      <c r="BK457" s="0" t="s">
        <v>240</v>
      </c>
      <c r="BL457" s="0" t="s">
        <v>240</v>
      </c>
      <c r="BM457" s="0" t="s">
        <v>240</v>
      </c>
      <c r="BN457" s="0" t="s">
        <v>240</v>
      </c>
      <c r="BO457" s="0" t="s">
        <v>240</v>
      </c>
      <c r="BP457" s="0" t="s">
        <v>240</v>
      </c>
      <c r="BQ457" s="0" t="s">
        <v>240</v>
      </c>
      <c r="BR457" s="0" t="s">
        <v>240</v>
      </c>
      <c r="BS457" s="0" t="s">
        <v>240</v>
      </c>
      <c r="BT457" s="0" t="s">
        <v>240</v>
      </c>
      <c r="BU457" s="0" t="s">
        <v>240</v>
      </c>
      <c r="BV457" s="0" t="s">
        <v>240</v>
      </c>
      <c r="BW457" s="0" t="s">
        <v>240</v>
      </c>
      <c r="BX457" s="0" t="s">
        <v>240</v>
      </c>
      <c r="BY457" s="0" t="s">
        <v>240</v>
      </c>
      <c r="BZ457" s="0" t="s">
        <v>240</v>
      </c>
      <c r="CA457" s="0" t="s">
        <v>240</v>
      </c>
      <c r="CB457" s="0" t="s">
        <v>240</v>
      </c>
      <c r="CC457" s="0" t="s">
        <v>240</v>
      </c>
      <c r="CD457" s="0" t="s">
        <v>240</v>
      </c>
      <c r="CE457" s="0" t="s">
        <v>240</v>
      </c>
      <c r="CF457" s="0" t="s">
        <v>240</v>
      </c>
      <c r="CG457" s="0" t="s">
        <v>240</v>
      </c>
      <c r="CH457" s="0" t="s">
        <v>240</v>
      </c>
      <c r="CI457" s="0" t="s">
        <v>240</v>
      </c>
      <c r="CJ457" s="0" t="s">
        <v>240</v>
      </c>
      <c r="CK457" s="0" t="s">
        <v>240</v>
      </c>
      <c r="CL457" s="0" t="s">
        <v>240</v>
      </c>
      <c r="CM457" s="0" t="s">
        <v>240</v>
      </c>
      <c r="CN457" s="0" t="s">
        <v>240</v>
      </c>
      <c r="CO457" s="0" t="s">
        <v>240</v>
      </c>
      <c r="CP457" s="0" t="s">
        <v>240</v>
      </c>
      <c r="CQ457" s="0" t="s">
        <v>240</v>
      </c>
      <c r="CR457" s="0" t="s">
        <v>240</v>
      </c>
      <c r="CS457" s="0" t="s">
        <v>240</v>
      </c>
      <c r="CT457" s="0" t="s">
        <v>5496</v>
      </c>
      <c r="CU457" s="0" t="s">
        <v>5497</v>
      </c>
      <c r="CV457" s="0" t="s">
        <v>443</v>
      </c>
      <c r="CW457" s="0" t="s">
        <v>5509</v>
      </c>
      <c r="CX457" s="0" t="s">
        <v>229</v>
      </c>
      <c r="CY457" s="0" t="s">
        <v>443</v>
      </c>
      <c r="CZ457" s="0" t="s">
        <v>5510</v>
      </c>
      <c r="DA457" s="0" t="s">
        <v>5511</v>
      </c>
      <c r="DB457" s="0" t="s">
        <v>5509</v>
      </c>
      <c r="DC457" s="0" t="s">
        <v>384</v>
      </c>
      <c r="DD457" s="0" t="s">
        <v>291</v>
      </c>
      <c r="DE457" s="0" t="s">
        <v>5967</v>
      </c>
    </row>
    <row customHeight="1" ht="11.25">
      <c r="A458" s="1441" t="s">
        <v>240</v>
      </c>
      <c r="B458" s="0" t="s">
        <v>240</v>
      </c>
      <c r="C458" s="0" t="s">
        <v>240</v>
      </c>
      <c r="D458" s="0" t="s">
        <v>240</v>
      </c>
      <c r="E458" s="0" t="s">
        <v>240</v>
      </c>
      <c r="F458" s="0" t="s">
        <v>240</v>
      </c>
      <c r="G458" s="0" t="s">
        <v>240</v>
      </c>
      <c r="H458" s="0" t="s">
        <v>240</v>
      </c>
      <c r="I458" s="0" t="s">
        <v>5484</v>
      </c>
      <c r="J458" s="0" t="s">
        <v>240</v>
      </c>
      <c r="K458" s="0" t="s">
        <v>240</v>
      </c>
      <c r="L458" s="0" t="s">
        <v>240</v>
      </c>
      <c r="M458" s="0" t="s">
        <v>240</v>
      </c>
      <c r="N458" s="0" t="s">
        <v>240</v>
      </c>
      <c r="O458" s="0" t="s">
        <v>240</v>
      </c>
      <c r="P458" s="0" t="s">
        <v>240</v>
      </c>
      <c r="Q458" s="0" t="s">
        <v>240</v>
      </c>
      <c r="R458" s="0" t="s">
        <v>5608</v>
      </c>
      <c r="S458" s="0" t="s">
        <v>240</v>
      </c>
      <c r="T458" s="0" t="s">
        <v>240</v>
      </c>
      <c r="U458" s="0" t="s">
        <v>102</v>
      </c>
      <c r="V458" s="0" t="s">
        <v>240</v>
      </c>
      <c r="W458" s="0" t="s">
        <v>240</v>
      </c>
      <c r="X458" s="0" t="s">
        <v>5485</v>
      </c>
      <c r="Y458" s="0" t="s">
        <v>240</v>
      </c>
      <c r="Z458" s="0" t="s">
        <v>161</v>
      </c>
      <c r="AA458" s="0" t="s">
        <v>152</v>
      </c>
      <c r="AB458" s="0" t="s">
        <v>152</v>
      </c>
      <c r="AC458" s="0" t="s">
        <v>2985</v>
      </c>
      <c r="AD458" s="0" t="s">
        <v>2985</v>
      </c>
      <c r="AE458" s="0" t="s">
        <v>2986</v>
      </c>
      <c r="AF458" s="0" t="s">
        <v>5951</v>
      </c>
      <c r="AG458" s="0" t="s">
        <v>5952</v>
      </c>
      <c r="AH458" s="0" t="s">
        <v>5566</v>
      </c>
      <c r="AI458" s="0" t="s">
        <v>463</v>
      </c>
      <c r="AJ458" s="0" t="s">
        <v>5504</v>
      </c>
      <c r="AK458" s="0" t="s">
        <v>5504</v>
      </c>
      <c r="AL458" s="0" t="s">
        <v>5605</v>
      </c>
      <c r="AM458" s="0" t="s">
        <v>5493</v>
      </c>
      <c r="AN458" s="0" t="s">
        <v>5507</v>
      </c>
      <c r="AO458" s="0" t="s">
        <v>5613</v>
      </c>
      <c r="AP458" s="0" t="s">
        <v>240</v>
      </c>
      <c r="AQ458" s="0" t="s">
        <v>240</v>
      </c>
      <c r="AR458" s="0" t="s">
        <v>240</v>
      </c>
      <c r="AS458" s="0" t="s">
        <v>240</v>
      </c>
      <c r="AT458" s="0" t="s">
        <v>240</v>
      </c>
      <c r="AU458" s="0" t="s">
        <v>240</v>
      </c>
      <c r="AV458" s="0" t="s">
        <v>240</v>
      </c>
      <c r="AW458" s="0" t="s">
        <v>240</v>
      </c>
      <c r="AX458" s="0" t="s">
        <v>240</v>
      </c>
      <c r="AY458" s="0" t="s">
        <v>240</v>
      </c>
      <c r="AZ458" s="0" t="s">
        <v>240</v>
      </c>
      <c r="BA458" s="0" t="s">
        <v>240</v>
      </c>
      <c r="BB458" s="0" t="s">
        <v>240</v>
      </c>
      <c r="BC458" s="0" t="s">
        <v>240</v>
      </c>
      <c r="BD458" s="0" t="s">
        <v>240</v>
      </c>
      <c r="BE458" s="0" t="s">
        <v>240</v>
      </c>
      <c r="BF458" s="0" t="s">
        <v>240</v>
      </c>
      <c r="BG458" s="0" t="s">
        <v>240</v>
      </c>
      <c r="BH458" s="0" t="s">
        <v>240</v>
      </c>
      <c r="BI458" s="0" t="s">
        <v>240</v>
      </c>
      <c r="BJ458" s="0" t="s">
        <v>240</v>
      </c>
      <c r="BK458" s="0" t="s">
        <v>240</v>
      </c>
      <c r="BL458" s="0" t="s">
        <v>240</v>
      </c>
      <c r="BM458" s="0" t="s">
        <v>240</v>
      </c>
      <c r="BN458" s="0" t="s">
        <v>240</v>
      </c>
      <c r="BO458" s="0" t="s">
        <v>240</v>
      </c>
      <c r="BP458" s="0" t="s">
        <v>240</v>
      </c>
      <c r="BQ458" s="0" t="s">
        <v>240</v>
      </c>
      <c r="BR458" s="0" t="s">
        <v>240</v>
      </c>
      <c r="BS458" s="0" t="s">
        <v>240</v>
      </c>
      <c r="BT458" s="0" t="s">
        <v>240</v>
      </c>
      <c r="BU458" s="0" t="s">
        <v>240</v>
      </c>
      <c r="BV458" s="0" t="s">
        <v>240</v>
      </c>
      <c r="BW458" s="0" t="s">
        <v>240</v>
      </c>
      <c r="BX458" s="0" t="s">
        <v>240</v>
      </c>
      <c r="BY458" s="0" t="s">
        <v>240</v>
      </c>
      <c r="BZ458" s="0" t="s">
        <v>240</v>
      </c>
      <c r="CA458" s="0" t="s">
        <v>240</v>
      </c>
      <c r="CB458" s="0" t="s">
        <v>240</v>
      </c>
      <c r="CC458" s="0" t="s">
        <v>240</v>
      </c>
      <c r="CD458" s="0" t="s">
        <v>240</v>
      </c>
      <c r="CE458" s="0" t="s">
        <v>240</v>
      </c>
      <c r="CF458" s="0" t="s">
        <v>240</v>
      </c>
      <c r="CG458" s="0" t="s">
        <v>240</v>
      </c>
      <c r="CH458" s="0" t="s">
        <v>240</v>
      </c>
      <c r="CI458" s="0" t="s">
        <v>240</v>
      </c>
      <c r="CJ458" s="0" t="s">
        <v>240</v>
      </c>
      <c r="CK458" s="0" t="s">
        <v>240</v>
      </c>
      <c r="CL458" s="0" t="s">
        <v>240</v>
      </c>
      <c r="CM458" s="0" t="s">
        <v>240</v>
      </c>
      <c r="CN458" s="0" t="s">
        <v>240</v>
      </c>
      <c r="CO458" s="0" t="s">
        <v>240</v>
      </c>
      <c r="CP458" s="0" t="s">
        <v>240</v>
      </c>
      <c r="CQ458" s="0" t="s">
        <v>240</v>
      </c>
      <c r="CR458" s="0" t="s">
        <v>240</v>
      </c>
      <c r="CS458" s="0" t="s">
        <v>240</v>
      </c>
      <c r="CT458" s="0" t="s">
        <v>5496</v>
      </c>
      <c r="CU458" s="0" t="s">
        <v>5497</v>
      </c>
      <c r="CV458" s="0" t="s">
        <v>443</v>
      </c>
      <c r="CW458" s="0" t="s">
        <v>5509</v>
      </c>
      <c r="CX458" s="0" t="s">
        <v>229</v>
      </c>
      <c r="CY458" s="0" t="s">
        <v>443</v>
      </c>
      <c r="CZ458" s="0" t="s">
        <v>5510</v>
      </c>
      <c r="DA458" s="0" t="s">
        <v>5511</v>
      </c>
      <c r="DB458" s="0" t="s">
        <v>5509</v>
      </c>
      <c r="DC458" s="0" t="s">
        <v>384</v>
      </c>
      <c r="DD458" s="0" t="s">
        <v>291</v>
      </c>
      <c r="DE458" s="0" t="s">
        <v>6232</v>
      </c>
    </row>
    <row customHeight="1" ht="11.25">
      <c r="A459" s="1441" t="s">
        <v>240</v>
      </c>
      <c r="B459" s="0" t="s">
        <v>240</v>
      </c>
      <c r="C459" s="0" t="s">
        <v>240</v>
      </c>
      <c r="D459" s="0" t="s">
        <v>240</v>
      </c>
      <c r="E459" s="0" t="s">
        <v>240</v>
      </c>
      <c r="F459" s="0" t="s">
        <v>240</v>
      </c>
      <c r="G459" s="0" t="s">
        <v>240</v>
      </c>
      <c r="H459" s="0" t="s">
        <v>240</v>
      </c>
      <c r="I459" s="0" t="s">
        <v>5484</v>
      </c>
      <c r="J459" s="0" t="s">
        <v>240</v>
      </c>
      <c r="K459" s="0" t="s">
        <v>240</v>
      </c>
      <c r="L459" s="0" t="s">
        <v>240</v>
      </c>
      <c r="M459" s="0" t="s">
        <v>240</v>
      </c>
      <c r="N459" s="0" t="s">
        <v>240</v>
      </c>
      <c r="O459" s="0" t="s">
        <v>240</v>
      </c>
      <c r="P459" s="0" t="s">
        <v>240</v>
      </c>
      <c r="Q459" s="0" t="s">
        <v>240</v>
      </c>
      <c r="R459" s="0" t="s">
        <v>5705</v>
      </c>
      <c r="S459" s="0" t="s">
        <v>240</v>
      </c>
      <c r="T459" s="0" t="s">
        <v>240</v>
      </c>
      <c r="U459" s="0" t="s">
        <v>102</v>
      </c>
      <c r="V459" s="0" t="s">
        <v>240</v>
      </c>
      <c r="W459" s="0" t="s">
        <v>240</v>
      </c>
      <c r="X459" s="0" t="s">
        <v>5585</v>
      </c>
      <c r="Y459" s="0" t="s">
        <v>240</v>
      </c>
      <c r="Z459" s="0" t="s">
        <v>152</v>
      </c>
      <c r="AA459" s="0" t="s">
        <v>152</v>
      </c>
      <c r="AB459" s="0" t="s">
        <v>161</v>
      </c>
      <c r="AC459" s="0" t="s">
        <v>2985</v>
      </c>
      <c r="AD459" s="0" t="s">
        <v>2985</v>
      </c>
      <c r="AE459" s="0" t="s">
        <v>2986</v>
      </c>
      <c r="AF459" s="0" t="s">
        <v>6427</v>
      </c>
      <c r="AG459" s="0" t="s">
        <v>6428</v>
      </c>
      <c r="AH459" s="0" t="s">
        <v>6427</v>
      </c>
      <c r="AI459" s="0" t="s">
        <v>5644</v>
      </c>
      <c r="AJ459" s="0" t="s">
        <v>240</v>
      </c>
      <c r="AK459" s="0" t="s">
        <v>240</v>
      </c>
      <c r="AL459" s="0" t="s">
        <v>240</v>
      </c>
      <c r="AM459" s="0" t="s">
        <v>240</v>
      </c>
      <c r="AN459" s="0" t="s">
        <v>240</v>
      </c>
      <c r="AO459" s="0" t="s">
        <v>240</v>
      </c>
      <c r="AP459" s="0" t="s">
        <v>240</v>
      </c>
      <c r="AQ459" s="0" t="s">
        <v>240</v>
      </c>
      <c r="AR459" s="0" t="s">
        <v>240</v>
      </c>
      <c r="AS459" s="0" t="s">
        <v>240</v>
      </c>
      <c r="AT459" s="0" t="s">
        <v>240</v>
      </c>
      <c r="AU459" s="0" t="s">
        <v>240</v>
      </c>
      <c r="AV459" s="0" t="s">
        <v>240</v>
      </c>
      <c r="AW459" s="0" t="s">
        <v>240</v>
      </c>
      <c r="AX459" s="0" t="s">
        <v>240</v>
      </c>
      <c r="AY459" s="0" t="s">
        <v>240</v>
      </c>
      <c r="AZ459" s="0" t="s">
        <v>240</v>
      </c>
      <c r="BA459" s="0" t="s">
        <v>240</v>
      </c>
      <c r="BB459" s="0" t="s">
        <v>240</v>
      </c>
      <c r="BC459" s="0" t="s">
        <v>240</v>
      </c>
      <c r="BD459" s="0" t="s">
        <v>240</v>
      </c>
      <c r="BE459" s="0" t="s">
        <v>5645</v>
      </c>
      <c r="BF459" s="0" t="s">
        <v>5645</v>
      </c>
      <c r="BG459" s="0" t="s">
        <v>112</v>
      </c>
      <c r="BH459" s="0" t="s">
        <v>5589</v>
      </c>
      <c r="BI459" s="0" t="s">
        <v>123</v>
      </c>
      <c r="BJ459" s="0" t="s">
        <v>240</v>
      </c>
      <c r="BK459" s="0" t="s">
        <v>5608</v>
      </c>
      <c r="BL459" s="0" t="s">
        <v>2985</v>
      </c>
      <c r="BM459" s="0" t="s">
        <v>2985</v>
      </c>
      <c r="BN459" s="0" t="s">
        <v>5646</v>
      </c>
      <c r="BO459" s="0" t="s">
        <v>6427</v>
      </c>
      <c r="BP459" s="0" t="s">
        <v>6429</v>
      </c>
      <c r="BQ459" s="0" t="s">
        <v>6430</v>
      </c>
      <c r="BR459" s="0" t="s">
        <v>6306</v>
      </c>
      <c r="BS459" s="0" t="s">
        <v>240</v>
      </c>
      <c r="BT459" s="0" t="s">
        <v>5650</v>
      </c>
      <c r="BU459" s="0" t="s">
        <v>6431</v>
      </c>
      <c r="BV459" s="0" t="s">
        <v>6431</v>
      </c>
      <c r="BW459" s="0" t="s">
        <v>5598</v>
      </c>
      <c r="BX459" s="0" t="s">
        <v>5598</v>
      </c>
      <c r="BY459" s="0" t="s">
        <v>5598</v>
      </c>
      <c r="BZ459" s="0" t="s">
        <v>5598</v>
      </c>
      <c r="CA459" s="0" t="s">
        <v>5598</v>
      </c>
      <c r="CB459" s="0" t="s">
        <v>240</v>
      </c>
      <c r="CC459" s="0" t="s">
        <v>240</v>
      </c>
      <c r="CD459" s="0" t="s">
        <v>240</v>
      </c>
      <c r="CE459" s="0" t="s">
        <v>240</v>
      </c>
      <c r="CF459" s="0" t="s">
        <v>240</v>
      </c>
      <c r="CG459" s="0" t="s">
        <v>5598</v>
      </c>
      <c r="CH459" s="0" t="s">
        <v>240</v>
      </c>
      <c r="CI459" s="0" t="s">
        <v>240</v>
      </c>
      <c r="CJ459" s="0" t="s">
        <v>240</v>
      </c>
      <c r="CK459" s="0" t="s">
        <v>240</v>
      </c>
      <c r="CL459" s="0" t="s">
        <v>240</v>
      </c>
      <c r="CM459" s="0" t="s">
        <v>6431</v>
      </c>
      <c r="CN459" s="0" t="s">
        <v>6431</v>
      </c>
      <c r="CO459" s="0" t="s">
        <v>240</v>
      </c>
      <c r="CP459" s="0" t="s">
        <v>240</v>
      </c>
      <c r="CQ459" s="0" t="s">
        <v>240</v>
      </c>
      <c r="CR459" s="0" t="s">
        <v>240</v>
      </c>
      <c r="CS459" s="0" t="s">
        <v>5507</v>
      </c>
      <c r="CT459" s="0" t="s">
        <v>5496</v>
      </c>
      <c r="CU459" s="0" t="s">
        <v>5497</v>
      </c>
      <c r="CV459" s="0" t="s">
        <v>443</v>
      </c>
      <c r="CW459" s="0" t="s">
        <v>5509</v>
      </c>
      <c r="CX459" s="0" t="s">
        <v>229</v>
      </c>
      <c r="CY459" s="0" t="s">
        <v>443</v>
      </c>
      <c r="CZ459" s="0" t="s">
        <v>5510</v>
      </c>
      <c r="DA459" s="0" t="s">
        <v>5511</v>
      </c>
      <c r="DB459" s="0" t="s">
        <v>5509</v>
      </c>
      <c r="DC459" s="0" t="s">
        <v>384</v>
      </c>
      <c r="DD459" s="0" t="s">
        <v>291</v>
      </c>
      <c r="DE459" s="0" t="s">
        <v>6432</v>
      </c>
    </row>
    <row customHeight="1" ht="11.25">
      <c r="A460" s="1441" t="s">
        <v>240</v>
      </c>
      <c r="B460" s="0" t="s">
        <v>240</v>
      </c>
      <c r="C460" s="0" t="s">
        <v>240</v>
      </c>
      <c r="D460" s="0" t="s">
        <v>240</v>
      </c>
      <c r="E460" s="0" t="s">
        <v>240</v>
      </c>
      <c r="F460" s="0" t="s">
        <v>240</v>
      </c>
      <c r="G460" s="0" t="s">
        <v>240</v>
      </c>
      <c r="H460" s="0" t="s">
        <v>240</v>
      </c>
      <c r="I460" s="0" t="s">
        <v>5484</v>
      </c>
      <c r="J460" s="0" t="s">
        <v>240</v>
      </c>
      <c r="K460" s="0" t="s">
        <v>240</v>
      </c>
      <c r="L460" s="0" t="s">
        <v>240</v>
      </c>
      <c r="M460" s="0" t="s">
        <v>240</v>
      </c>
      <c r="N460" s="0" t="s">
        <v>240</v>
      </c>
      <c r="O460" s="0" t="s">
        <v>240</v>
      </c>
      <c r="P460" s="0" t="s">
        <v>240</v>
      </c>
      <c r="Q460" s="0" t="s">
        <v>240</v>
      </c>
      <c r="R460" s="0" t="s">
        <v>6212</v>
      </c>
      <c r="S460" s="0" t="s">
        <v>240</v>
      </c>
      <c r="T460" s="0" t="s">
        <v>240</v>
      </c>
      <c r="U460" s="0" t="s">
        <v>102</v>
      </c>
      <c r="V460" s="0" t="s">
        <v>240</v>
      </c>
      <c r="W460" s="0" t="s">
        <v>240</v>
      </c>
      <c r="X460" s="0" t="s">
        <v>5485</v>
      </c>
      <c r="Y460" s="0" t="s">
        <v>240</v>
      </c>
      <c r="Z460" s="0" t="s">
        <v>161</v>
      </c>
      <c r="AA460" s="0" t="s">
        <v>152</v>
      </c>
      <c r="AB460" s="0" t="s">
        <v>152</v>
      </c>
      <c r="AC460" s="0" t="s">
        <v>3395</v>
      </c>
      <c r="AD460" s="0" t="s">
        <v>3395</v>
      </c>
      <c r="AE460" s="0" t="s">
        <v>3396</v>
      </c>
      <c r="AF460" s="0" t="s">
        <v>5941</v>
      </c>
      <c r="AG460" s="0" t="s">
        <v>5942</v>
      </c>
      <c r="AH460" s="0" t="s">
        <v>6213</v>
      </c>
      <c r="AI460" s="0" t="s">
        <v>152</v>
      </c>
      <c r="AJ460" s="0" t="s">
        <v>5545</v>
      </c>
      <c r="AK460" s="0" t="s">
        <v>6214</v>
      </c>
      <c r="AL460" s="0" t="s">
        <v>5570</v>
      </c>
      <c r="AM460" s="0" t="s">
        <v>5493</v>
      </c>
      <c r="AN460" s="0" t="s">
        <v>5666</v>
      </c>
      <c r="AO460" s="0" t="s">
        <v>6215</v>
      </c>
      <c r="AP460" s="0" t="s">
        <v>240</v>
      </c>
      <c r="AQ460" s="0" t="s">
        <v>240</v>
      </c>
      <c r="AR460" s="0" t="s">
        <v>240</v>
      </c>
      <c r="AS460" s="0" t="s">
        <v>240</v>
      </c>
      <c r="AT460" s="0" t="s">
        <v>240</v>
      </c>
      <c r="AU460" s="0" t="s">
        <v>240</v>
      </c>
      <c r="AV460" s="0" t="s">
        <v>240</v>
      </c>
      <c r="AW460" s="0" t="s">
        <v>240</v>
      </c>
      <c r="AX460" s="0" t="s">
        <v>240</v>
      </c>
      <c r="AY460" s="0" t="s">
        <v>240</v>
      </c>
      <c r="AZ460" s="0" t="s">
        <v>240</v>
      </c>
      <c r="BA460" s="0" t="s">
        <v>240</v>
      </c>
      <c r="BB460" s="0" t="s">
        <v>240</v>
      </c>
      <c r="BC460" s="0" t="s">
        <v>240</v>
      </c>
      <c r="BD460" s="0" t="s">
        <v>240</v>
      </c>
      <c r="BE460" s="0" t="s">
        <v>240</v>
      </c>
      <c r="BF460" s="0" t="s">
        <v>240</v>
      </c>
      <c r="BG460" s="0" t="s">
        <v>240</v>
      </c>
      <c r="BH460" s="0" t="s">
        <v>240</v>
      </c>
      <c r="BI460" s="0" t="s">
        <v>240</v>
      </c>
      <c r="BJ460" s="0" t="s">
        <v>240</v>
      </c>
      <c r="BK460" s="0" t="s">
        <v>240</v>
      </c>
      <c r="BL460" s="0" t="s">
        <v>240</v>
      </c>
      <c r="BM460" s="0" t="s">
        <v>240</v>
      </c>
      <c r="BN460" s="0" t="s">
        <v>240</v>
      </c>
      <c r="BO460" s="0" t="s">
        <v>240</v>
      </c>
      <c r="BP460" s="0" t="s">
        <v>240</v>
      </c>
      <c r="BQ460" s="0" t="s">
        <v>240</v>
      </c>
      <c r="BR460" s="0" t="s">
        <v>240</v>
      </c>
      <c r="BS460" s="0" t="s">
        <v>240</v>
      </c>
      <c r="BT460" s="0" t="s">
        <v>240</v>
      </c>
      <c r="BU460" s="0" t="s">
        <v>240</v>
      </c>
      <c r="BV460" s="0" t="s">
        <v>240</v>
      </c>
      <c r="BW460" s="0" t="s">
        <v>240</v>
      </c>
      <c r="BX460" s="0" t="s">
        <v>240</v>
      </c>
      <c r="BY460" s="0" t="s">
        <v>240</v>
      </c>
      <c r="BZ460" s="0" t="s">
        <v>240</v>
      </c>
      <c r="CA460" s="0" t="s">
        <v>240</v>
      </c>
      <c r="CB460" s="0" t="s">
        <v>240</v>
      </c>
      <c r="CC460" s="0" t="s">
        <v>240</v>
      </c>
      <c r="CD460" s="0" t="s">
        <v>240</v>
      </c>
      <c r="CE460" s="0" t="s">
        <v>240</v>
      </c>
      <c r="CF460" s="0" t="s">
        <v>240</v>
      </c>
      <c r="CG460" s="0" t="s">
        <v>240</v>
      </c>
      <c r="CH460" s="0" t="s">
        <v>240</v>
      </c>
      <c r="CI460" s="0" t="s">
        <v>240</v>
      </c>
      <c r="CJ460" s="0" t="s">
        <v>240</v>
      </c>
      <c r="CK460" s="0" t="s">
        <v>240</v>
      </c>
      <c r="CL460" s="0" t="s">
        <v>240</v>
      </c>
      <c r="CM460" s="0" t="s">
        <v>240</v>
      </c>
      <c r="CN460" s="0" t="s">
        <v>240</v>
      </c>
      <c r="CO460" s="0" t="s">
        <v>240</v>
      </c>
      <c r="CP460" s="0" t="s">
        <v>240</v>
      </c>
      <c r="CQ460" s="0" t="s">
        <v>240</v>
      </c>
      <c r="CR460" s="0" t="s">
        <v>240</v>
      </c>
      <c r="CS460" s="0" t="s">
        <v>240</v>
      </c>
      <c r="CT460" s="0" t="s">
        <v>5496</v>
      </c>
      <c r="CU460" s="0" t="s">
        <v>5497</v>
      </c>
      <c r="CV460" s="0" t="s">
        <v>5947</v>
      </c>
      <c r="CW460" s="0" t="s">
        <v>5948</v>
      </c>
      <c r="CX460" s="0" t="s">
        <v>5528</v>
      </c>
      <c r="CY460" s="0" t="s">
        <v>5947</v>
      </c>
      <c r="CZ460" s="0" t="s">
        <v>5533</v>
      </c>
      <c r="DA460" s="0" t="s">
        <v>5949</v>
      </c>
      <c r="DB460" s="0" t="s">
        <v>5600</v>
      </c>
      <c r="DC460" s="0" t="s">
        <v>384</v>
      </c>
      <c r="DD460" s="0" t="s">
        <v>291</v>
      </c>
      <c r="DE460" s="0" t="s">
        <v>6216</v>
      </c>
    </row>
    <row customHeight="1" ht="11.25">
      <c r="A461" s="1441" t="s">
        <v>240</v>
      </c>
      <c r="B461" s="0" t="s">
        <v>240</v>
      </c>
      <c r="C461" s="0" t="s">
        <v>240</v>
      </c>
      <c r="D461" s="0" t="s">
        <v>240</v>
      </c>
      <c r="E461" s="0" t="s">
        <v>240</v>
      </c>
      <c r="F461" s="0" t="s">
        <v>240</v>
      </c>
      <c r="G461" s="0" t="s">
        <v>240</v>
      </c>
      <c r="H461" s="0" t="s">
        <v>240</v>
      </c>
      <c r="I461" s="0" t="s">
        <v>5484</v>
      </c>
      <c r="J461" s="0" t="s">
        <v>240</v>
      </c>
      <c r="K461" s="0" t="s">
        <v>240</v>
      </c>
      <c r="L461" s="0" t="s">
        <v>240</v>
      </c>
      <c r="M461" s="0" t="s">
        <v>240</v>
      </c>
      <c r="N461" s="0" t="s">
        <v>240</v>
      </c>
      <c r="O461" s="0" t="s">
        <v>240</v>
      </c>
      <c r="P461" s="0" t="s">
        <v>240</v>
      </c>
      <c r="Q461" s="0" t="s">
        <v>240</v>
      </c>
      <c r="R461" s="0" t="s">
        <v>5608</v>
      </c>
      <c r="S461" s="0" t="s">
        <v>240</v>
      </c>
      <c r="T461" s="0" t="s">
        <v>240</v>
      </c>
      <c r="U461" s="0" t="s">
        <v>102</v>
      </c>
      <c r="V461" s="0" t="s">
        <v>240</v>
      </c>
      <c r="W461" s="0" t="s">
        <v>240</v>
      </c>
      <c r="X461" s="0" t="s">
        <v>5485</v>
      </c>
      <c r="Y461" s="0" t="s">
        <v>240</v>
      </c>
      <c r="Z461" s="0" t="s">
        <v>161</v>
      </c>
      <c r="AA461" s="0" t="s">
        <v>152</v>
      </c>
      <c r="AB461" s="0" t="s">
        <v>152</v>
      </c>
      <c r="AC461" s="0" t="s">
        <v>2985</v>
      </c>
      <c r="AD461" s="0" t="s">
        <v>2985</v>
      </c>
      <c r="AE461" s="0" t="s">
        <v>2986</v>
      </c>
      <c r="AF461" s="0" t="s">
        <v>6427</v>
      </c>
      <c r="AG461" s="0" t="s">
        <v>6428</v>
      </c>
      <c r="AH461" s="0" t="s">
        <v>6634</v>
      </c>
      <c r="AI461" s="0" t="s">
        <v>6635</v>
      </c>
      <c r="AJ461" s="0" t="s">
        <v>5504</v>
      </c>
      <c r="AK461" s="0" t="s">
        <v>5505</v>
      </c>
      <c r="AL461" s="0" t="s">
        <v>5506</v>
      </c>
      <c r="AM461" s="0" t="s">
        <v>5493</v>
      </c>
      <c r="AN461" s="0" t="s">
        <v>5507</v>
      </c>
      <c r="AO461" s="0" t="s">
        <v>5546</v>
      </c>
      <c r="AP461" s="0" t="s">
        <v>240</v>
      </c>
      <c r="AQ461" s="0" t="s">
        <v>240</v>
      </c>
      <c r="AR461" s="0" t="s">
        <v>240</v>
      </c>
      <c r="AS461" s="0" t="s">
        <v>240</v>
      </c>
      <c r="AT461" s="0" t="s">
        <v>240</v>
      </c>
      <c r="AU461" s="0" t="s">
        <v>240</v>
      </c>
      <c r="AV461" s="0" t="s">
        <v>240</v>
      </c>
      <c r="AW461" s="0" t="s">
        <v>240</v>
      </c>
      <c r="AX461" s="0" t="s">
        <v>240</v>
      </c>
      <c r="AY461" s="0" t="s">
        <v>240</v>
      </c>
      <c r="AZ461" s="0" t="s">
        <v>240</v>
      </c>
      <c r="BA461" s="0" t="s">
        <v>240</v>
      </c>
      <c r="BB461" s="0" t="s">
        <v>240</v>
      </c>
      <c r="BC461" s="0" t="s">
        <v>240</v>
      </c>
      <c r="BD461" s="0" t="s">
        <v>240</v>
      </c>
      <c r="BE461" s="0" t="s">
        <v>240</v>
      </c>
      <c r="BF461" s="0" t="s">
        <v>240</v>
      </c>
      <c r="BG461" s="0" t="s">
        <v>240</v>
      </c>
      <c r="BH461" s="0" t="s">
        <v>240</v>
      </c>
      <c r="BI461" s="0" t="s">
        <v>240</v>
      </c>
      <c r="BJ461" s="0" t="s">
        <v>240</v>
      </c>
      <c r="BK461" s="0" t="s">
        <v>240</v>
      </c>
      <c r="BL461" s="0" t="s">
        <v>240</v>
      </c>
      <c r="BM461" s="0" t="s">
        <v>240</v>
      </c>
      <c r="BN461" s="0" t="s">
        <v>240</v>
      </c>
      <c r="BO461" s="0" t="s">
        <v>240</v>
      </c>
      <c r="BP461" s="0" t="s">
        <v>240</v>
      </c>
      <c r="BQ461" s="0" t="s">
        <v>240</v>
      </c>
      <c r="BR461" s="0" t="s">
        <v>240</v>
      </c>
      <c r="BS461" s="0" t="s">
        <v>240</v>
      </c>
      <c r="BT461" s="0" t="s">
        <v>240</v>
      </c>
      <c r="BU461" s="0" t="s">
        <v>240</v>
      </c>
      <c r="BV461" s="0" t="s">
        <v>240</v>
      </c>
      <c r="BW461" s="0" t="s">
        <v>240</v>
      </c>
      <c r="BX461" s="0" t="s">
        <v>240</v>
      </c>
      <c r="BY461" s="0" t="s">
        <v>240</v>
      </c>
      <c r="BZ461" s="0" t="s">
        <v>240</v>
      </c>
      <c r="CA461" s="0" t="s">
        <v>240</v>
      </c>
      <c r="CB461" s="0" t="s">
        <v>240</v>
      </c>
      <c r="CC461" s="0" t="s">
        <v>240</v>
      </c>
      <c r="CD461" s="0" t="s">
        <v>240</v>
      </c>
      <c r="CE461" s="0" t="s">
        <v>240</v>
      </c>
      <c r="CF461" s="0" t="s">
        <v>240</v>
      </c>
      <c r="CG461" s="0" t="s">
        <v>240</v>
      </c>
      <c r="CH461" s="0" t="s">
        <v>240</v>
      </c>
      <c r="CI461" s="0" t="s">
        <v>240</v>
      </c>
      <c r="CJ461" s="0" t="s">
        <v>240</v>
      </c>
      <c r="CK461" s="0" t="s">
        <v>240</v>
      </c>
      <c r="CL461" s="0" t="s">
        <v>240</v>
      </c>
      <c r="CM461" s="0" t="s">
        <v>240</v>
      </c>
      <c r="CN461" s="0" t="s">
        <v>240</v>
      </c>
      <c r="CO461" s="0" t="s">
        <v>240</v>
      </c>
      <c r="CP461" s="0" t="s">
        <v>240</v>
      </c>
      <c r="CQ461" s="0" t="s">
        <v>240</v>
      </c>
      <c r="CR461" s="0" t="s">
        <v>240</v>
      </c>
      <c r="CS461" s="0" t="s">
        <v>240</v>
      </c>
      <c r="CT461" s="0" t="s">
        <v>5496</v>
      </c>
      <c r="CU461" s="0" t="s">
        <v>5497</v>
      </c>
      <c r="CV461" s="0" t="s">
        <v>443</v>
      </c>
      <c r="CW461" s="0" t="s">
        <v>5509</v>
      </c>
      <c r="CX461" s="0" t="s">
        <v>229</v>
      </c>
      <c r="CY461" s="0" t="s">
        <v>443</v>
      </c>
      <c r="CZ461" s="0" t="s">
        <v>5510</v>
      </c>
      <c r="DA461" s="0" t="s">
        <v>5511</v>
      </c>
      <c r="DB461" s="0" t="s">
        <v>5509</v>
      </c>
      <c r="DC461" s="0" t="s">
        <v>384</v>
      </c>
      <c r="DD461" s="0" t="s">
        <v>291</v>
      </c>
      <c r="DE461" s="0" t="s">
        <v>6636</v>
      </c>
    </row>
    <row customHeight="1" ht="11.25">
      <c r="A462" s="1441" t="s">
        <v>240</v>
      </c>
      <c r="B462" s="0" t="s">
        <v>240</v>
      </c>
      <c r="C462" s="0" t="s">
        <v>240</v>
      </c>
      <c r="D462" s="0" t="s">
        <v>240</v>
      </c>
      <c r="E462" s="0" t="s">
        <v>240</v>
      </c>
      <c r="F462" s="0" t="s">
        <v>240</v>
      </c>
      <c r="G462" s="0" t="s">
        <v>240</v>
      </c>
      <c r="H462" s="0" t="s">
        <v>240</v>
      </c>
      <c r="I462" s="0" t="s">
        <v>5484</v>
      </c>
      <c r="J462" s="0" t="s">
        <v>240</v>
      </c>
      <c r="K462" s="0" t="s">
        <v>240</v>
      </c>
      <c r="L462" s="0" t="s">
        <v>240</v>
      </c>
      <c r="M462" s="0" t="s">
        <v>240</v>
      </c>
      <c r="N462" s="0" t="s">
        <v>240</v>
      </c>
      <c r="O462" s="0" t="s">
        <v>240</v>
      </c>
      <c r="P462" s="0" t="s">
        <v>240</v>
      </c>
      <c r="Q462" s="0" t="s">
        <v>240</v>
      </c>
      <c r="R462" s="0" t="s">
        <v>5754</v>
      </c>
      <c r="S462" s="0" t="s">
        <v>240</v>
      </c>
      <c r="T462" s="0" t="s">
        <v>240</v>
      </c>
      <c r="U462" s="0" t="s">
        <v>102</v>
      </c>
      <c r="V462" s="0" t="s">
        <v>240</v>
      </c>
      <c r="W462" s="0" t="s">
        <v>240</v>
      </c>
      <c r="X462" s="0" t="s">
        <v>5485</v>
      </c>
      <c r="Y462" s="0" t="s">
        <v>240</v>
      </c>
      <c r="Z462" s="0" t="s">
        <v>161</v>
      </c>
      <c r="AA462" s="0" t="s">
        <v>152</v>
      </c>
      <c r="AB462" s="0" t="s">
        <v>152</v>
      </c>
      <c r="AC462" s="0" t="s">
        <v>2991</v>
      </c>
      <c r="AD462" s="0" t="s">
        <v>2991</v>
      </c>
      <c r="AE462" s="0" t="s">
        <v>2992</v>
      </c>
      <c r="AF462" s="0" t="s">
        <v>6647</v>
      </c>
      <c r="AG462" s="0" t="s">
        <v>6648</v>
      </c>
      <c r="AH462" s="0" t="s">
        <v>6649</v>
      </c>
      <c r="AI462" s="0" t="s">
        <v>6650</v>
      </c>
      <c r="AJ462" s="0" t="s">
        <v>5504</v>
      </c>
      <c r="AK462" s="0" t="s">
        <v>5672</v>
      </c>
      <c r="AL462" s="0" t="s">
        <v>5506</v>
      </c>
      <c r="AM462" s="0" t="s">
        <v>5493</v>
      </c>
      <c r="AN462" s="0" t="s">
        <v>5545</v>
      </c>
      <c r="AO462" s="0" t="s">
        <v>6440</v>
      </c>
      <c r="AP462" s="0" t="s">
        <v>240</v>
      </c>
      <c r="AQ462" s="0" t="s">
        <v>240</v>
      </c>
      <c r="AR462" s="0" t="s">
        <v>240</v>
      </c>
      <c r="AS462" s="0" t="s">
        <v>240</v>
      </c>
      <c r="AT462" s="0" t="s">
        <v>240</v>
      </c>
      <c r="AU462" s="0" t="s">
        <v>240</v>
      </c>
      <c r="AV462" s="0" t="s">
        <v>240</v>
      </c>
      <c r="AW462" s="0" t="s">
        <v>240</v>
      </c>
      <c r="AX462" s="0" t="s">
        <v>240</v>
      </c>
      <c r="AY462" s="0" t="s">
        <v>240</v>
      </c>
      <c r="AZ462" s="0" t="s">
        <v>240</v>
      </c>
      <c r="BA462" s="0" t="s">
        <v>240</v>
      </c>
      <c r="BB462" s="0" t="s">
        <v>240</v>
      </c>
      <c r="BC462" s="0" t="s">
        <v>240</v>
      </c>
      <c r="BD462" s="0" t="s">
        <v>240</v>
      </c>
      <c r="BE462" s="0" t="s">
        <v>240</v>
      </c>
      <c r="BF462" s="0" t="s">
        <v>240</v>
      </c>
      <c r="BG462" s="0" t="s">
        <v>240</v>
      </c>
      <c r="BH462" s="0" t="s">
        <v>240</v>
      </c>
      <c r="BI462" s="0" t="s">
        <v>240</v>
      </c>
      <c r="BJ462" s="0" t="s">
        <v>240</v>
      </c>
      <c r="BK462" s="0" t="s">
        <v>240</v>
      </c>
      <c r="BL462" s="0" t="s">
        <v>240</v>
      </c>
      <c r="BM462" s="0" t="s">
        <v>240</v>
      </c>
      <c r="BN462" s="0" t="s">
        <v>240</v>
      </c>
      <c r="BO462" s="0" t="s">
        <v>240</v>
      </c>
      <c r="BP462" s="0" t="s">
        <v>240</v>
      </c>
      <c r="BQ462" s="0" t="s">
        <v>240</v>
      </c>
      <c r="BR462" s="0" t="s">
        <v>240</v>
      </c>
      <c r="BS462" s="0" t="s">
        <v>240</v>
      </c>
      <c r="BT462" s="0" t="s">
        <v>240</v>
      </c>
      <c r="BU462" s="0" t="s">
        <v>240</v>
      </c>
      <c r="BV462" s="0" t="s">
        <v>240</v>
      </c>
      <c r="BW462" s="0" t="s">
        <v>240</v>
      </c>
      <c r="BX462" s="0" t="s">
        <v>240</v>
      </c>
      <c r="BY462" s="0" t="s">
        <v>240</v>
      </c>
      <c r="BZ462" s="0" t="s">
        <v>240</v>
      </c>
      <c r="CA462" s="0" t="s">
        <v>240</v>
      </c>
      <c r="CB462" s="0" t="s">
        <v>240</v>
      </c>
      <c r="CC462" s="0" t="s">
        <v>240</v>
      </c>
      <c r="CD462" s="0" t="s">
        <v>240</v>
      </c>
      <c r="CE462" s="0" t="s">
        <v>240</v>
      </c>
      <c r="CF462" s="0" t="s">
        <v>240</v>
      </c>
      <c r="CG462" s="0" t="s">
        <v>240</v>
      </c>
      <c r="CH462" s="0" t="s">
        <v>240</v>
      </c>
      <c r="CI462" s="0" t="s">
        <v>240</v>
      </c>
      <c r="CJ462" s="0" t="s">
        <v>240</v>
      </c>
      <c r="CK462" s="0" t="s">
        <v>240</v>
      </c>
      <c r="CL462" s="0" t="s">
        <v>240</v>
      </c>
      <c r="CM462" s="0" t="s">
        <v>240</v>
      </c>
      <c r="CN462" s="0" t="s">
        <v>240</v>
      </c>
      <c r="CO462" s="0" t="s">
        <v>240</v>
      </c>
      <c r="CP462" s="0" t="s">
        <v>240</v>
      </c>
      <c r="CQ462" s="0" t="s">
        <v>240</v>
      </c>
      <c r="CR462" s="0" t="s">
        <v>240</v>
      </c>
      <c r="CS462" s="0" t="s">
        <v>240</v>
      </c>
      <c r="CT462" s="0" t="s">
        <v>5496</v>
      </c>
      <c r="CU462" s="0" t="s">
        <v>5497</v>
      </c>
      <c r="CV462" s="0" t="s">
        <v>443</v>
      </c>
      <c r="CW462" s="0" t="s">
        <v>5547</v>
      </c>
      <c r="CX462" s="0" t="s">
        <v>229</v>
      </c>
      <c r="CY462" s="0" t="s">
        <v>443</v>
      </c>
      <c r="CZ462" s="0" t="s">
        <v>5548</v>
      </c>
      <c r="DA462" s="0" t="s">
        <v>5549</v>
      </c>
      <c r="DB462" s="0" t="s">
        <v>5547</v>
      </c>
      <c r="DC462" s="0" t="s">
        <v>384</v>
      </c>
      <c r="DD462" s="0" t="s">
        <v>291</v>
      </c>
      <c r="DE462" s="0" t="s">
        <v>6651</v>
      </c>
    </row>
    <row customHeight="1" ht="11.25">
      <c r="A463" s="1441" t="s">
        <v>240</v>
      </c>
      <c r="B463" s="0" t="s">
        <v>240</v>
      </c>
      <c r="C463" s="0" t="s">
        <v>240</v>
      </c>
      <c r="D463" s="0" t="s">
        <v>240</v>
      </c>
      <c r="E463" s="0" t="s">
        <v>240</v>
      </c>
      <c r="F463" s="0" t="s">
        <v>240</v>
      </c>
      <c r="G463" s="0" t="s">
        <v>240</v>
      </c>
      <c r="H463" s="0" t="s">
        <v>240</v>
      </c>
      <c r="I463" s="0" t="s">
        <v>5484</v>
      </c>
      <c r="J463" s="0" t="s">
        <v>240</v>
      </c>
      <c r="K463" s="0" t="s">
        <v>240</v>
      </c>
      <c r="L463" s="0" t="s">
        <v>240</v>
      </c>
      <c r="M463" s="0" t="s">
        <v>240</v>
      </c>
      <c r="N463" s="0" t="s">
        <v>240</v>
      </c>
      <c r="O463" s="0" t="s">
        <v>240</v>
      </c>
      <c r="P463" s="0" t="s">
        <v>240</v>
      </c>
      <c r="Q463" s="0" t="s">
        <v>240</v>
      </c>
      <c r="R463" s="0" t="s">
        <v>6701</v>
      </c>
      <c r="S463" s="0" t="s">
        <v>240</v>
      </c>
      <c r="T463" s="0" t="s">
        <v>240</v>
      </c>
      <c r="U463" s="0" t="s">
        <v>102</v>
      </c>
      <c r="V463" s="0" t="s">
        <v>240</v>
      </c>
      <c r="W463" s="0" t="s">
        <v>240</v>
      </c>
      <c r="X463" s="0" t="s">
        <v>5485</v>
      </c>
      <c r="Y463" s="0" t="s">
        <v>240</v>
      </c>
      <c r="Z463" s="0" t="s">
        <v>161</v>
      </c>
      <c r="AA463" s="0" t="s">
        <v>152</v>
      </c>
      <c r="AB463" s="0" t="s">
        <v>152</v>
      </c>
      <c r="AC463" s="0" t="s">
        <v>2991</v>
      </c>
      <c r="AD463" s="0" t="s">
        <v>2991</v>
      </c>
      <c r="AE463" s="0" t="s">
        <v>2992</v>
      </c>
      <c r="AF463" s="0" t="s">
        <v>6647</v>
      </c>
      <c r="AG463" s="0" t="s">
        <v>6648</v>
      </c>
      <c r="AH463" s="0" t="s">
        <v>5670</v>
      </c>
      <c r="AI463" s="0" t="s">
        <v>6531</v>
      </c>
      <c r="AJ463" s="0" t="s">
        <v>5504</v>
      </c>
      <c r="AK463" s="0" t="s">
        <v>5544</v>
      </c>
      <c r="AL463" s="0" t="s">
        <v>5506</v>
      </c>
      <c r="AM463" s="0" t="s">
        <v>5493</v>
      </c>
      <c r="AN463" s="0" t="s">
        <v>5553</v>
      </c>
      <c r="AO463" s="0" t="s">
        <v>6190</v>
      </c>
      <c r="AP463" s="0" t="s">
        <v>240</v>
      </c>
      <c r="AQ463" s="0" t="s">
        <v>240</v>
      </c>
      <c r="AR463" s="0" t="s">
        <v>240</v>
      </c>
      <c r="AS463" s="0" t="s">
        <v>240</v>
      </c>
      <c r="AT463" s="0" t="s">
        <v>240</v>
      </c>
      <c r="AU463" s="0" t="s">
        <v>240</v>
      </c>
      <c r="AV463" s="0" t="s">
        <v>240</v>
      </c>
      <c r="AW463" s="0" t="s">
        <v>240</v>
      </c>
      <c r="AX463" s="0" t="s">
        <v>240</v>
      </c>
      <c r="AY463" s="0" t="s">
        <v>240</v>
      </c>
      <c r="AZ463" s="0" t="s">
        <v>240</v>
      </c>
      <c r="BA463" s="0" t="s">
        <v>240</v>
      </c>
      <c r="BB463" s="0" t="s">
        <v>240</v>
      </c>
      <c r="BC463" s="0" t="s">
        <v>240</v>
      </c>
      <c r="BD463" s="0" t="s">
        <v>240</v>
      </c>
      <c r="BE463" s="0" t="s">
        <v>240</v>
      </c>
      <c r="BF463" s="0" t="s">
        <v>240</v>
      </c>
      <c r="BG463" s="0" t="s">
        <v>240</v>
      </c>
      <c r="BH463" s="0" t="s">
        <v>240</v>
      </c>
      <c r="BI463" s="0" t="s">
        <v>240</v>
      </c>
      <c r="BJ463" s="0" t="s">
        <v>240</v>
      </c>
      <c r="BK463" s="0" t="s">
        <v>240</v>
      </c>
      <c r="BL463" s="0" t="s">
        <v>240</v>
      </c>
      <c r="BM463" s="0" t="s">
        <v>240</v>
      </c>
      <c r="BN463" s="0" t="s">
        <v>240</v>
      </c>
      <c r="BO463" s="0" t="s">
        <v>240</v>
      </c>
      <c r="BP463" s="0" t="s">
        <v>240</v>
      </c>
      <c r="BQ463" s="0" t="s">
        <v>240</v>
      </c>
      <c r="BR463" s="0" t="s">
        <v>240</v>
      </c>
      <c r="BS463" s="0" t="s">
        <v>240</v>
      </c>
      <c r="BT463" s="0" t="s">
        <v>240</v>
      </c>
      <c r="BU463" s="0" t="s">
        <v>240</v>
      </c>
      <c r="BV463" s="0" t="s">
        <v>240</v>
      </c>
      <c r="BW463" s="0" t="s">
        <v>240</v>
      </c>
      <c r="BX463" s="0" t="s">
        <v>240</v>
      </c>
      <c r="BY463" s="0" t="s">
        <v>240</v>
      </c>
      <c r="BZ463" s="0" t="s">
        <v>240</v>
      </c>
      <c r="CA463" s="0" t="s">
        <v>240</v>
      </c>
      <c r="CB463" s="0" t="s">
        <v>240</v>
      </c>
      <c r="CC463" s="0" t="s">
        <v>240</v>
      </c>
      <c r="CD463" s="0" t="s">
        <v>240</v>
      </c>
      <c r="CE463" s="0" t="s">
        <v>240</v>
      </c>
      <c r="CF463" s="0" t="s">
        <v>240</v>
      </c>
      <c r="CG463" s="0" t="s">
        <v>240</v>
      </c>
      <c r="CH463" s="0" t="s">
        <v>240</v>
      </c>
      <c r="CI463" s="0" t="s">
        <v>240</v>
      </c>
      <c r="CJ463" s="0" t="s">
        <v>240</v>
      </c>
      <c r="CK463" s="0" t="s">
        <v>240</v>
      </c>
      <c r="CL463" s="0" t="s">
        <v>240</v>
      </c>
      <c r="CM463" s="0" t="s">
        <v>240</v>
      </c>
      <c r="CN463" s="0" t="s">
        <v>240</v>
      </c>
      <c r="CO463" s="0" t="s">
        <v>240</v>
      </c>
      <c r="CP463" s="0" t="s">
        <v>240</v>
      </c>
      <c r="CQ463" s="0" t="s">
        <v>240</v>
      </c>
      <c r="CR463" s="0" t="s">
        <v>240</v>
      </c>
      <c r="CS463" s="0" t="s">
        <v>240</v>
      </c>
      <c r="CT463" s="0" t="s">
        <v>5496</v>
      </c>
      <c r="CU463" s="0" t="s">
        <v>5787</v>
      </c>
      <c r="CV463" s="0" t="s">
        <v>443</v>
      </c>
      <c r="CW463" s="0" t="s">
        <v>5547</v>
      </c>
      <c r="CX463" s="0" t="s">
        <v>229</v>
      </c>
      <c r="CY463" s="0" t="s">
        <v>443</v>
      </c>
      <c r="CZ463" s="0" t="s">
        <v>5548</v>
      </c>
      <c r="DA463" s="0" t="s">
        <v>5549</v>
      </c>
      <c r="DB463" s="0" t="s">
        <v>5547</v>
      </c>
      <c r="DC463" s="0" t="s">
        <v>384</v>
      </c>
      <c r="DD463" s="0" t="s">
        <v>291</v>
      </c>
      <c r="DE463" s="0" t="s">
        <v>6702</v>
      </c>
    </row>
    <row customHeight="1" ht="11.25">
      <c r="A464" s="1441" t="s">
        <v>240</v>
      </c>
      <c r="B464" s="0" t="s">
        <v>240</v>
      </c>
      <c r="C464" s="0" t="s">
        <v>240</v>
      </c>
      <c r="D464" s="0" t="s">
        <v>240</v>
      </c>
      <c r="E464" s="0" t="s">
        <v>240</v>
      </c>
      <c r="F464" s="0" t="s">
        <v>240</v>
      </c>
      <c r="G464" s="0" t="s">
        <v>240</v>
      </c>
      <c r="H464" s="0" t="s">
        <v>240</v>
      </c>
      <c r="I464" s="0" t="s">
        <v>5484</v>
      </c>
      <c r="J464" s="0" t="s">
        <v>240</v>
      </c>
      <c r="K464" s="0" t="s">
        <v>240</v>
      </c>
      <c r="L464" s="0" t="s">
        <v>240</v>
      </c>
      <c r="M464" s="0" t="s">
        <v>240</v>
      </c>
      <c r="N464" s="0" t="s">
        <v>240</v>
      </c>
      <c r="O464" s="0" t="s">
        <v>240</v>
      </c>
      <c r="P464" s="0" t="s">
        <v>240</v>
      </c>
      <c r="Q464" s="0" t="s">
        <v>240</v>
      </c>
      <c r="R464" s="0" t="s">
        <v>6709</v>
      </c>
      <c r="S464" s="0" t="s">
        <v>240</v>
      </c>
      <c r="T464" s="0" t="s">
        <v>240</v>
      </c>
      <c r="U464" s="0" t="s">
        <v>102</v>
      </c>
      <c r="V464" s="0" t="s">
        <v>240</v>
      </c>
      <c r="W464" s="0" t="s">
        <v>240</v>
      </c>
      <c r="X464" s="0" t="s">
        <v>5585</v>
      </c>
      <c r="Y464" s="0" t="s">
        <v>240</v>
      </c>
      <c r="Z464" s="0" t="s">
        <v>152</v>
      </c>
      <c r="AA464" s="0" t="s">
        <v>152</v>
      </c>
      <c r="AB464" s="0" t="s">
        <v>161</v>
      </c>
      <c r="AC464" s="0" t="s">
        <v>2991</v>
      </c>
      <c r="AD464" s="0" t="s">
        <v>2991</v>
      </c>
      <c r="AE464" s="0" t="s">
        <v>2992</v>
      </c>
      <c r="AF464" s="0" t="s">
        <v>6451</v>
      </c>
      <c r="AG464" s="0" t="s">
        <v>6452</v>
      </c>
      <c r="AH464" s="0" t="s">
        <v>5575</v>
      </c>
      <c r="AI464" s="0" t="s">
        <v>5575</v>
      </c>
      <c r="AJ464" s="0" t="s">
        <v>240</v>
      </c>
      <c r="AK464" s="0" t="s">
        <v>240</v>
      </c>
      <c r="AL464" s="0" t="s">
        <v>240</v>
      </c>
      <c r="AM464" s="0" t="s">
        <v>240</v>
      </c>
      <c r="AN464" s="0" t="s">
        <v>240</v>
      </c>
      <c r="AO464" s="0" t="s">
        <v>240</v>
      </c>
      <c r="AP464" s="0" t="s">
        <v>240</v>
      </c>
      <c r="AQ464" s="0" t="s">
        <v>240</v>
      </c>
      <c r="AR464" s="0" t="s">
        <v>240</v>
      </c>
      <c r="AS464" s="0" t="s">
        <v>240</v>
      </c>
      <c r="AT464" s="0" t="s">
        <v>240</v>
      </c>
      <c r="AU464" s="0" t="s">
        <v>240</v>
      </c>
      <c r="AV464" s="0" t="s">
        <v>240</v>
      </c>
      <c r="AW464" s="0" t="s">
        <v>240</v>
      </c>
      <c r="AX464" s="0" t="s">
        <v>240</v>
      </c>
      <c r="AY464" s="0" t="s">
        <v>240</v>
      </c>
      <c r="AZ464" s="0" t="s">
        <v>240</v>
      </c>
      <c r="BA464" s="0" t="s">
        <v>240</v>
      </c>
      <c r="BB464" s="0" t="s">
        <v>240</v>
      </c>
      <c r="BC464" s="0" t="s">
        <v>240</v>
      </c>
      <c r="BD464" s="0" t="s">
        <v>240</v>
      </c>
      <c r="BE464" s="0" t="s">
        <v>5576</v>
      </c>
      <c r="BF464" s="0" t="s">
        <v>5544</v>
      </c>
      <c r="BG464" s="0" t="s">
        <v>112</v>
      </c>
      <c r="BH464" s="0" t="s">
        <v>5589</v>
      </c>
      <c r="BI464" s="0" t="s">
        <v>123</v>
      </c>
      <c r="BJ464" s="0" t="s">
        <v>240</v>
      </c>
      <c r="BK464" s="0" t="s">
        <v>5608</v>
      </c>
      <c r="BL464" s="0" t="s">
        <v>2991</v>
      </c>
      <c r="BM464" s="0" t="s">
        <v>2991</v>
      </c>
      <c r="BN464" s="0" t="s">
        <v>5663</v>
      </c>
      <c r="BO464" s="0" t="s">
        <v>6451</v>
      </c>
      <c r="BP464" s="0" t="s">
        <v>6710</v>
      </c>
      <c r="BQ464" s="0" t="s">
        <v>5575</v>
      </c>
      <c r="BR464" s="0" t="s">
        <v>5575</v>
      </c>
      <c r="BS464" s="0" t="s">
        <v>240</v>
      </c>
      <c r="BT464" s="0" t="s">
        <v>5650</v>
      </c>
      <c r="BU464" s="0" t="s">
        <v>6711</v>
      </c>
      <c r="BV464" s="0" t="s">
        <v>6711</v>
      </c>
      <c r="BW464" s="0" t="s">
        <v>5598</v>
      </c>
      <c r="BX464" s="0" t="s">
        <v>5598</v>
      </c>
      <c r="BY464" s="0" t="s">
        <v>5598</v>
      </c>
      <c r="BZ464" s="0" t="s">
        <v>5598</v>
      </c>
      <c r="CA464" s="0" t="s">
        <v>5598</v>
      </c>
      <c r="CB464" s="0" t="s">
        <v>240</v>
      </c>
      <c r="CC464" s="0" t="s">
        <v>240</v>
      </c>
      <c r="CD464" s="0" t="s">
        <v>240</v>
      </c>
      <c r="CE464" s="0" t="s">
        <v>240</v>
      </c>
      <c r="CF464" s="0" t="s">
        <v>240</v>
      </c>
      <c r="CG464" s="0" t="s">
        <v>5598</v>
      </c>
      <c r="CH464" s="0" t="s">
        <v>240</v>
      </c>
      <c r="CI464" s="0" t="s">
        <v>240</v>
      </c>
      <c r="CJ464" s="0" t="s">
        <v>240</v>
      </c>
      <c r="CK464" s="0" t="s">
        <v>240</v>
      </c>
      <c r="CL464" s="0" t="s">
        <v>240</v>
      </c>
      <c r="CM464" s="0" t="s">
        <v>6711</v>
      </c>
      <c r="CN464" s="0" t="s">
        <v>6711</v>
      </c>
      <c r="CO464" s="0" t="s">
        <v>240</v>
      </c>
      <c r="CP464" s="0" t="s">
        <v>240</v>
      </c>
      <c r="CQ464" s="0" t="s">
        <v>240</v>
      </c>
      <c r="CR464" s="0" t="s">
        <v>240</v>
      </c>
      <c r="CS464" s="0" t="s">
        <v>5666</v>
      </c>
      <c r="CT464" s="0" t="s">
        <v>5496</v>
      </c>
      <c r="CU464" s="0" t="s">
        <v>5497</v>
      </c>
      <c r="CV464" s="0" t="s">
        <v>443</v>
      </c>
      <c r="CW464" s="0" t="s">
        <v>5547</v>
      </c>
      <c r="CX464" s="0" t="s">
        <v>229</v>
      </c>
      <c r="CY464" s="0" t="s">
        <v>443</v>
      </c>
      <c r="CZ464" s="0" t="s">
        <v>5548</v>
      </c>
      <c r="DA464" s="0" t="s">
        <v>5549</v>
      </c>
      <c r="DB464" s="0" t="s">
        <v>5547</v>
      </c>
      <c r="DC464" s="0" t="s">
        <v>384</v>
      </c>
      <c r="DD464" s="0" t="s">
        <v>291</v>
      </c>
      <c r="DE464" s="0" t="s">
        <v>6712</v>
      </c>
    </row>
    <row customHeight="1" ht="11.25">
      <c r="A465" s="1441" t="s">
        <v>240</v>
      </c>
      <c r="B465" s="0" t="s">
        <v>240</v>
      </c>
      <c r="C465" s="0" t="s">
        <v>240</v>
      </c>
      <c r="D465" s="0" t="s">
        <v>240</v>
      </c>
      <c r="E465" s="0" t="s">
        <v>240</v>
      </c>
      <c r="F465" s="0" t="s">
        <v>240</v>
      </c>
      <c r="G465" s="0" t="s">
        <v>240</v>
      </c>
      <c r="H465" s="0" t="s">
        <v>240</v>
      </c>
      <c r="I465" s="0" t="s">
        <v>5484</v>
      </c>
      <c r="J465" s="0" t="s">
        <v>240</v>
      </c>
      <c r="K465" s="0" t="s">
        <v>240</v>
      </c>
      <c r="L465" s="0" t="s">
        <v>240</v>
      </c>
      <c r="M465" s="0" t="s">
        <v>240</v>
      </c>
      <c r="N465" s="0" t="s">
        <v>240</v>
      </c>
      <c r="O465" s="0" t="s">
        <v>240</v>
      </c>
      <c r="P465" s="0" t="s">
        <v>240</v>
      </c>
      <c r="Q465" s="0" t="s">
        <v>240</v>
      </c>
      <c r="R465" s="0" t="s">
        <v>6918</v>
      </c>
      <c r="S465" s="0" t="s">
        <v>240</v>
      </c>
      <c r="T465" s="0" t="s">
        <v>240</v>
      </c>
      <c r="U465" s="0" t="s">
        <v>102</v>
      </c>
      <c r="V465" s="0" t="s">
        <v>240</v>
      </c>
      <c r="W465" s="0" t="s">
        <v>240</v>
      </c>
      <c r="X465" s="0" t="s">
        <v>5585</v>
      </c>
      <c r="Y465" s="0" t="s">
        <v>240</v>
      </c>
      <c r="Z465" s="0" t="s">
        <v>152</v>
      </c>
      <c r="AA465" s="0" t="s">
        <v>152</v>
      </c>
      <c r="AB465" s="0" t="s">
        <v>161</v>
      </c>
      <c r="AC465" s="0" t="s">
        <v>2991</v>
      </c>
      <c r="AD465" s="0" t="s">
        <v>2991</v>
      </c>
      <c r="AE465" s="0" t="s">
        <v>2992</v>
      </c>
      <c r="AF465" s="0" t="s">
        <v>6706</v>
      </c>
      <c r="AG465" s="0" t="s">
        <v>6707</v>
      </c>
      <c r="AH465" s="0" t="s">
        <v>5575</v>
      </c>
      <c r="AI465" s="0" t="s">
        <v>5575</v>
      </c>
      <c r="AJ465" s="0" t="s">
        <v>240</v>
      </c>
      <c r="AK465" s="0" t="s">
        <v>240</v>
      </c>
      <c r="AL465" s="0" t="s">
        <v>240</v>
      </c>
      <c r="AM465" s="0" t="s">
        <v>240</v>
      </c>
      <c r="AN465" s="0" t="s">
        <v>240</v>
      </c>
      <c r="AO465" s="0" t="s">
        <v>240</v>
      </c>
      <c r="AP465" s="0" t="s">
        <v>240</v>
      </c>
      <c r="AQ465" s="0" t="s">
        <v>240</v>
      </c>
      <c r="AR465" s="0" t="s">
        <v>240</v>
      </c>
      <c r="AS465" s="0" t="s">
        <v>240</v>
      </c>
      <c r="AT465" s="0" t="s">
        <v>240</v>
      </c>
      <c r="AU465" s="0" t="s">
        <v>240</v>
      </c>
      <c r="AV465" s="0" t="s">
        <v>240</v>
      </c>
      <c r="AW465" s="0" t="s">
        <v>240</v>
      </c>
      <c r="AX465" s="0" t="s">
        <v>240</v>
      </c>
      <c r="AY465" s="0" t="s">
        <v>240</v>
      </c>
      <c r="AZ465" s="0" t="s">
        <v>240</v>
      </c>
      <c r="BA465" s="0" t="s">
        <v>240</v>
      </c>
      <c r="BB465" s="0" t="s">
        <v>240</v>
      </c>
      <c r="BC465" s="0" t="s">
        <v>240</v>
      </c>
      <c r="BD465" s="0" t="s">
        <v>240</v>
      </c>
      <c r="BE465" s="0" t="s">
        <v>5504</v>
      </c>
      <c r="BF465" s="0" t="s">
        <v>5672</v>
      </c>
      <c r="BG465" s="0" t="s">
        <v>112</v>
      </c>
      <c r="BH465" s="0" t="s">
        <v>5589</v>
      </c>
      <c r="BI465" s="0" t="s">
        <v>123</v>
      </c>
      <c r="BJ465" s="0" t="s">
        <v>240</v>
      </c>
      <c r="BK465" s="0" t="s">
        <v>5608</v>
      </c>
      <c r="BL465" s="0" t="s">
        <v>2991</v>
      </c>
      <c r="BM465" s="0" t="s">
        <v>2991</v>
      </c>
      <c r="BN465" s="0" t="s">
        <v>5663</v>
      </c>
      <c r="BO465" s="0" t="s">
        <v>6706</v>
      </c>
      <c r="BP465" s="0" t="s">
        <v>6919</v>
      </c>
      <c r="BQ465" s="0" t="s">
        <v>5575</v>
      </c>
      <c r="BR465" s="0" t="s">
        <v>5575</v>
      </c>
      <c r="BS465" s="0" t="s">
        <v>240</v>
      </c>
      <c r="BT465" s="0" t="s">
        <v>5650</v>
      </c>
      <c r="BU465" s="0" t="s">
        <v>6920</v>
      </c>
      <c r="BV465" s="0" t="s">
        <v>6920</v>
      </c>
      <c r="BW465" s="0" t="s">
        <v>5598</v>
      </c>
      <c r="BX465" s="0" t="s">
        <v>5598</v>
      </c>
      <c r="BY465" s="0" t="s">
        <v>5598</v>
      </c>
      <c r="BZ465" s="0" t="s">
        <v>5598</v>
      </c>
      <c r="CA465" s="0" t="s">
        <v>5598</v>
      </c>
      <c r="CB465" s="0" t="s">
        <v>240</v>
      </c>
      <c r="CC465" s="0" t="s">
        <v>240</v>
      </c>
      <c r="CD465" s="0" t="s">
        <v>240</v>
      </c>
      <c r="CE465" s="0" t="s">
        <v>240</v>
      </c>
      <c r="CF465" s="0" t="s">
        <v>240</v>
      </c>
      <c r="CG465" s="0" t="s">
        <v>5598</v>
      </c>
      <c r="CH465" s="0" t="s">
        <v>240</v>
      </c>
      <c r="CI465" s="0" t="s">
        <v>240</v>
      </c>
      <c r="CJ465" s="0" t="s">
        <v>240</v>
      </c>
      <c r="CK465" s="0" t="s">
        <v>240</v>
      </c>
      <c r="CL465" s="0" t="s">
        <v>240</v>
      </c>
      <c r="CM465" s="0" t="s">
        <v>6920</v>
      </c>
      <c r="CN465" s="0" t="s">
        <v>6920</v>
      </c>
      <c r="CO465" s="0" t="s">
        <v>240</v>
      </c>
      <c r="CP465" s="0" t="s">
        <v>240</v>
      </c>
      <c r="CQ465" s="0" t="s">
        <v>240</v>
      </c>
      <c r="CR465" s="0" t="s">
        <v>240</v>
      </c>
      <c r="CS465" s="0" t="s">
        <v>5666</v>
      </c>
      <c r="CT465" s="0" t="s">
        <v>5496</v>
      </c>
      <c r="CU465" s="0" t="s">
        <v>5497</v>
      </c>
      <c r="CV465" s="0" t="s">
        <v>443</v>
      </c>
      <c r="CW465" s="0" t="s">
        <v>5547</v>
      </c>
      <c r="CX465" s="0" t="s">
        <v>229</v>
      </c>
      <c r="CY465" s="0" t="s">
        <v>443</v>
      </c>
      <c r="CZ465" s="0" t="s">
        <v>5548</v>
      </c>
      <c r="DA465" s="0" t="s">
        <v>5549</v>
      </c>
      <c r="DB465" s="0" t="s">
        <v>5547</v>
      </c>
      <c r="DC465" s="0" t="s">
        <v>384</v>
      </c>
      <c r="DD465" s="0" t="s">
        <v>291</v>
      </c>
      <c r="DE465" s="0" t="s">
        <v>6921</v>
      </c>
    </row>
    <row customHeight="1" ht="11.25">
      <c r="A466" s="1441" t="s">
        <v>240</v>
      </c>
      <c r="B466" s="0" t="s">
        <v>240</v>
      </c>
      <c r="C466" s="0" t="s">
        <v>240</v>
      </c>
      <c r="D466" s="0" t="s">
        <v>240</v>
      </c>
      <c r="E466" s="0" t="s">
        <v>240</v>
      </c>
      <c r="F466" s="0" t="s">
        <v>240</v>
      </c>
      <c r="G466" s="0" t="s">
        <v>240</v>
      </c>
      <c r="H466" s="0" t="s">
        <v>240</v>
      </c>
      <c r="I466" s="0" t="s">
        <v>5484</v>
      </c>
      <c r="J466" s="0" t="s">
        <v>240</v>
      </c>
      <c r="K466" s="0" t="s">
        <v>240</v>
      </c>
      <c r="L466" s="0" t="s">
        <v>240</v>
      </c>
      <c r="M466" s="0" t="s">
        <v>240</v>
      </c>
      <c r="N466" s="0" t="s">
        <v>240</v>
      </c>
      <c r="O466" s="0" t="s">
        <v>240</v>
      </c>
      <c r="P466" s="0" t="s">
        <v>240</v>
      </c>
      <c r="Q466" s="0" t="s">
        <v>240</v>
      </c>
      <c r="R466" s="0" t="s">
        <v>5572</v>
      </c>
      <c r="S466" s="0" t="s">
        <v>240</v>
      </c>
      <c r="T466" s="0" t="s">
        <v>240</v>
      </c>
      <c r="U466" s="0" t="s">
        <v>102</v>
      </c>
      <c r="V466" s="0" t="s">
        <v>240</v>
      </c>
      <c r="W466" s="0" t="s">
        <v>240</v>
      </c>
      <c r="X466" s="0" t="s">
        <v>5485</v>
      </c>
      <c r="Y466" s="0" t="s">
        <v>240</v>
      </c>
      <c r="Z466" s="0" t="s">
        <v>161</v>
      </c>
      <c r="AA466" s="0" t="s">
        <v>152</v>
      </c>
      <c r="AB466" s="0" t="s">
        <v>152</v>
      </c>
      <c r="AC466" s="0" t="s">
        <v>2991</v>
      </c>
      <c r="AD466" s="0" t="s">
        <v>2991</v>
      </c>
      <c r="AE466" s="0" t="s">
        <v>2992</v>
      </c>
      <c r="AF466" s="0" t="s">
        <v>6196</v>
      </c>
      <c r="AG466" s="0" t="s">
        <v>6197</v>
      </c>
      <c r="AH466" s="0" t="s">
        <v>6198</v>
      </c>
      <c r="AI466" s="0" t="s">
        <v>6199</v>
      </c>
      <c r="AJ466" s="0" t="s">
        <v>6200</v>
      </c>
      <c r="AK466" s="0" t="s">
        <v>5776</v>
      </c>
      <c r="AL466" s="0" t="s">
        <v>5506</v>
      </c>
      <c r="AM466" s="0" t="s">
        <v>5493</v>
      </c>
      <c r="AN466" s="0" t="s">
        <v>5553</v>
      </c>
      <c r="AO466" s="0" t="s">
        <v>5867</v>
      </c>
      <c r="AP466" s="0" t="s">
        <v>240</v>
      </c>
      <c r="AQ466" s="0" t="s">
        <v>240</v>
      </c>
      <c r="AR466" s="0" t="s">
        <v>240</v>
      </c>
      <c r="AS466" s="0" t="s">
        <v>240</v>
      </c>
      <c r="AT466" s="0" t="s">
        <v>240</v>
      </c>
      <c r="AU466" s="0" t="s">
        <v>240</v>
      </c>
      <c r="AV466" s="0" t="s">
        <v>240</v>
      </c>
      <c r="AW466" s="0" t="s">
        <v>240</v>
      </c>
      <c r="AX466" s="0" t="s">
        <v>240</v>
      </c>
      <c r="AY466" s="0" t="s">
        <v>240</v>
      </c>
      <c r="AZ466" s="0" t="s">
        <v>240</v>
      </c>
      <c r="BA466" s="0" t="s">
        <v>240</v>
      </c>
      <c r="BB466" s="0" t="s">
        <v>240</v>
      </c>
      <c r="BC466" s="0" t="s">
        <v>240</v>
      </c>
      <c r="BD466" s="0" t="s">
        <v>240</v>
      </c>
      <c r="BE466" s="0" t="s">
        <v>240</v>
      </c>
      <c r="BF466" s="0" t="s">
        <v>240</v>
      </c>
      <c r="BG466" s="0" t="s">
        <v>240</v>
      </c>
      <c r="BH466" s="0" t="s">
        <v>240</v>
      </c>
      <c r="BI466" s="0" t="s">
        <v>240</v>
      </c>
      <c r="BJ466" s="0" t="s">
        <v>240</v>
      </c>
      <c r="BK466" s="0" t="s">
        <v>240</v>
      </c>
      <c r="BL466" s="0" t="s">
        <v>240</v>
      </c>
      <c r="BM466" s="0" t="s">
        <v>240</v>
      </c>
      <c r="BN466" s="0" t="s">
        <v>240</v>
      </c>
      <c r="BO466" s="0" t="s">
        <v>240</v>
      </c>
      <c r="BP466" s="0" t="s">
        <v>240</v>
      </c>
      <c r="BQ466" s="0" t="s">
        <v>240</v>
      </c>
      <c r="BR466" s="0" t="s">
        <v>240</v>
      </c>
      <c r="BS466" s="0" t="s">
        <v>240</v>
      </c>
      <c r="BT466" s="0" t="s">
        <v>240</v>
      </c>
      <c r="BU466" s="0" t="s">
        <v>240</v>
      </c>
      <c r="BV466" s="0" t="s">
        <v>240</v>
      </c>
      <c r="BW466" s="0" t="s">
        <v>240</v>
      </c>
      <c r="BX466" s="0" t="s">
        <v>240</v>
      </c>
      <c r="BY466" s="0" t="s">
        <v>240</v>
      </c>
      <c r="BZ466" s="0" t="s">
        <v>240</v>
      </c>
      <c r="CA466" s="0" t="s">
        <v>240</v>
      </c>
      <c r="CB466" s="0" t="s">
        <v>240</v>
      </c>
      <c r="CC466" s="0" t="s">
        <v>240</v>
      </c>
      <c r="CD466" s="0" t="s">
        <v>240</v>
      </c>
      <c r="CE466" s="0" t="s">
        <v>240</v>
      </c>
      <c r="CF466" s="0" t="s">
        <v>240</v>
      </c>
      <c r="CG466" s="0" t="s">
        <v>240</v>
      </c>
      <c r="CH466" s="0" t="s">
        <v>240</v>
      </c>
      <c r="CI466" s="0" t="s">
        <v>240</v>
      </c>
      <c r="CJ466" s="0" t="s">
        <v>240</v>
      </c>
      <c r="CK466" s="0" t="s">
        <v>240</v>
      </c>
      <c r="CL466" s="0" t="s">
        <v>240</v>
      </c>
      <c r="CM466" s="0" t="s">
        <v>240</v>
      </c>
      <c r="CN466" s="0" t="s">
        <v>240</v>
      </c>
      <c r="CO466" s="0" t="s">
        <v>240</v>
      </c>
      <c r="CP466" s="0" t="s">
        <v>240</v>
      </c>
      <c r="CQ466" s="0" t="s">
        <v>240</v>
      </c>
      <c r="CR466" s="0" t="s">
        <v>240</v>
      </c>
      <c r="CS466" s="0" t="s">
        <v>240</v>
      </c>
      <c r="CT466" s="0" t="s">
        <v>5496</v>
      </c>
      <c r="CU466" s="0" t="s">
        <v>5497</v>
      </c>
      <c r="CV466" s="0" t="s">
        <v>443</v>
      </c>
      <c r="CW466" s="0" t="s">
        <v>5547</v>
      </c>
      <c r="CX466" s="0" t="s">
        <v>229</v>
      </c>
      <c r="CY466" s="0" t="s">
        <v>443</v>
      </c>
      <c r="CZ466" s="0" t="s">
        <v>5548</v>
      </c>
      <c r="DA466" s="0" t="s">
        <v>5549</v>
      </c>
      <c r="DB466" s="0" t="s">
        <v>5547</v>
      </c>
      <c r="DC466" s="0" t="s">
        <v>384</v>
      </c>
      <c r="DD466" s="0" t="s">
        <v>291</v>
      </c>
      <c r="DE466" s="0" t="s">
        <v>6201</v>
      </c>
    </row>
    <row customHeight="1" ht="11.25">
      <c r="A467" s="1441" t="s">
        <v>240</v>
      </c>
      <c r="B467" s="0" t="s">
        <v>240</v>
      </c>
      <c r="C467" s="0" t="s">
        <v>240</v>
      </c>
      <c r="D467" s="0" t="s">
        <v>240</v>
      </c>
      <c r="E467" s="0" t="s">
        <v>240</v>
      </c>
      <c r="F467" s="0" t="s">
        <v>240</v>
      </c>
      <c r="G467" s="0" t="s">
        <v>240</v>
      </c>
      <c r="H467" s="0" t="s">
        <v>240</v>
      </c>
      <c r="I467" s="0" t="s">
        <v>5484</v>
      </c>
      <c r="J467" s="0" t="s">
        <v>240</v>
      </c>
      <c r="K467" s="0" t="s">
        <v>240</v>
      </c>
      <c r="L467" s="0" t="s">
        <v>240</v>
      </c>
      <c r="M467" s="0" t="s">
        <v>240</v>
      </c>
      <c r="N467" s="0" t="s">
        <v>240</v>
      </c>
      <c r="O467" s="0" t="s">
        <v>240</v>
      </c>
      <c r="P467" s="0" t="s">
        <v>240</v>
      </c>
      <c r="Q467" s="0" t="s">
        <v>240</v>
      </c>
      <c r="R467" s="0" t="s">
        <v>6270</v>
      </c>
      <c r="S467" s="0" t="s">
        <v>240</v>
      </c>
      <c r="T467" s="0" t="s">
        <v>240</v>
      </c>
      <c r="U467" s="0" t="s">
        <v>102</v>
      </c>
      <c r="V467" s="0" t="s">
        <v>240</v>
      </c>
      <c r="W467" s="0" t="s">
        <v>240</v>
      </c>
      <c r="X467" s="0" t="s">
        <v>5585</v>
      </c>
      <c r="Y467" s="0" t="s">
        <v>240</v>
      </c>
      <c r="Z467" s="0" t="s">
        <v>152</v>
      </c>
      <c r="AA467" s="0" t="s">
        <v>152</v>
      </c>
      <c r="AB467" s="0" t="s">
        <v>161</v>
      </c>
      <c r="AC467" s="0" t="s">
        <v>2991</v>
      </c>
      <c r="AD467" s="0" t="s">
        <v>2991</v>
      </c>
      <c r="AE467" s="0" t="s">
        <v>2992</v>
      </c>
      <c r="AF467" s="0" t="s">
        <v>6196</v>
      </c>
      <c r="AG467" s="0" t="s">
        <v>6197</v>
      </c>
      <c r="AH467" s="0" t="s">
        <v>5575</v>
      </c>
      <c r="AI467" s="0" t="s">
        <v>5575</v>
      </c>
      <c r="AJ467" s="0" t="s">
        <v>240</v>
      </c>
      <c r="AK467" s="0" t="s">
        <v>240</v>
      </c>
      <c r="AL467" s="0" t="s">
        <v>240</v>
      </c>
      <c r="AM467" s="0" t="s">
        <v>240</v>
      </c>
      <c r="AN467" s="0" t="s">
        <v>240</v>
      </c>
      <c r="AO467" s="0" t="s">
        <v>240</v>
      </c>
      <c r="AP467" s="0" t="s">
        <v>240</v>
      </c>
      <c r="AQ467" s="0" t="s">
        <v>240</v>
      </c>
      <c r="AR467" s="0" t="s">
        <v>240</v>
      </c>
      <c r="AS467" s="0" t="s">
        <v>240</v>
      </c>
      <c r="AT467" s="0" t="s">
        <v>240</v>
      </c>
      <c r="AU467" s="0" t="s">
        <v>240</v>
      </c>
      <c r="AV467" s="0" t="s">
        <v>240</v>
      </c>
      <c r="AW467" s="0" t="s">
        <v>240</v>
      </c>
      <c r="AX467" s="0" t="s">
        <v>240</v>
      </c>
      <c r="AY467" s="0" t="s">
        <v>240</v>
      </c>
      <c r="AZ467" s="0" t="s">
        <v>240</v>
      </c>
      <c r="BA467" s="0" t="s">
        <v>240</v>
      </c>
      <c r="BB467" s="0" t="s">
        <v>240</v>
      </c>
      <c r="BC467" s="0" t="s">
        <v>240</v>
      </c>
      <c r="BD467" s="0" t="s">
        <v>240</v>
      </c>
      <c r="BE467" s="0" t="s">
        <v>5552</v>
      </c>
      <c r="BF467" s="0" t="s">
        <v>5672</v>
      </c>
      <c r="BG467" s="0" t="s">
        <v>112</v>
      </c>
      <c r="BH467" s="0" t="s">
        <v>5589</v>
      </c>
      <c r="BI467" s="0" t="s">
        <v>123</v>
      </c>
      <c r="BJ467" s="0" t="s">
        <v>240</v>
      </c>
      <c r="BK467" s="0" t="s">
        <v>5608</v>
      </c>
      <c r="BL467" s="0" t="s">
        <v>2991</v>
      </c>
      <c r="BM467" s="0" t="s">
        <v>2991</v>
      </c>
      <c r="BN467" s="0" t="s">
        <v>5663</v>
      </c>
      <c r="BO467" s="0" t="s">
        <v>6196</v>
      </c>
      <c r="BP467" s="0" t="s">
        <v>6271</v>
      </c>
      <c r="BQ467" s="0" t="s">
        <v>5575</v>
      </c>
      <c r="BR467" s="0" t="s">
        <v>5575</v>
      </c>
      <c r="BS467" s="0" t="s">
        <v>240</v>
      </c>
      <c r="BT467" s="0" t="s">
        <v>5650</v>
      </c>
      <c r="BU467" s="0" t="s">
        <v>6272</v>
      </c>
      <c r="BV467" s="0" t="s">
        <v>6272</v>
      </c>
      <c r="BW467" s="0" t="s">
        <v>5598</v>
      </c>
      <c r="BX467" s="0" t="s">
        <v>5598</v>
      </c>
      <c r="BY467" s="0" t="s">
        <v>5598</v>
      </c>
      <c r="BZ467" s="0" t="s">
        <v>5598</v>
      </c>
      <c r="CA467" s="0" t="s">
        <v>5598</v>
      </c>
      <c r="CB467" s="0" t="s">
        <v>240</v>
      </c>
      <c r="CC467" s="0" t="s">
        <v>240</v>
      </c>
      <c r="CD467" s="0" t="s">
        <v>240</v>
      </c>
      <c r="CE467" s="0" t="s">
        <v>240</v>
      </c>
      <c r="CF467" s="0" t="s">
        <v>240</v>
      </c>
      <c r="CG467" s="0" t="s">
        <v>5598</v>
      </c>
      <c r="CH467" s="0" t="s">
        <v>240</v>
      </c>
      <c r="CI467" s="0" t="s">
        <v>240</v>
      </c>
      <c r="CJ467" s="0" t="s">
        <v>240</v>
      </c>
      <c r="CK467" s="0" t="s">
        <v>240</v>
      </c>
      <c r="CL467" s="0" t="s">
        <v>240</v>
      </c>
      <c r="CM467" s="0" t="s">
        <v>6272</v>
      </c>
      <c r="CN467" s="0" t="s">
        <v>6272</v>
      </c>
      <c r="CO467" s="0" t="s">
        <v>240</v>
      </c>
      <c r="CP467" s="0" t="s">
        <v>240</v>
      </c>
      <c r="CQ467" s="0" t="s">
        <v>240</v>
      </c>
      <c r="CR467" s="0" t="s">
        <v>240</v>
      </c>
      <c r="CS467" s="0" t="s">
        <v>5666</v>
      </c>
      <c r="CT467" s="0" t="s">
        <v>5496</v>
      </c>
      <c r="CU467" s="0" t="s">
        <v>5497</v>
      </c>
      <c r="CV467" s="0" t="s">
        <v>443</v>
      </c>
      <c r="CW467" s="0" t="s">
        <v>5547</v>
      </c>
      <c r="CX467" s="0" t="s">
        <v>229</v>
      </c>
      <c r="CY467" s="0" t="s">
        <v>443</v>
      </c>
      <c r="CZ467" s="0" t="s">
        <v>5548</v>
      </c>
      <c r="DA467" s="0" t="s">
        <v>5549</v>
      </c>
      <c r="DB467" s="0" t="s">
        <v>5547</v>
      </c>
      <c r="DC467" s="0" t="s">
        <v>384</v>
      </c>
      <c r="DD467" s="0" t="s">
        <v>291</v>
      </c>
      <c r="DE467" s="0" t="s">
        <v>6273</v>
      </c>
    </row>
    <row customHeight="1" ht="11.25">
      <c r="A468" s="1441" t="s">
        <v>240</v>
      </c>
      <c r="B468" s="0" t="s">
        <v>240</v>
      </c>
      <c r="C468" s="0" t="s">
        <v>240</v>
      </c>
      <c r="D468" s="0" t="s">
        <v>240</v>
      </c>
      <c r="E468" s="0" t="s">
        <v>240</v>
      </c>
      <c r="F468" s="0" t="s">
        <v>240</v>
      </c>
      <c r="G468" s="0" t="s">
        <v>240</v>
      </c>
      <c r="H468" s="0" t="s">
        <v>240</v>
      </c>
      <c r="I468" s="0" t="s">
        <v>5484</v>
      </c>
      <c r="J468" s="0" t="s">
        <v>240</v>
      </c>
      <c r="K468" s="0" t="s">
        <v>240</v>
      </c>
      <c r="L468" s="0" t="s">
        <v>240</v>
      </c>
      <c r="M468" s="0" t="s">
        <v>240</v>
      </c>
      <c r="N468" s="0" t="s">
        <v>240</v>
      </c>
      <c r="O468" s="0" t="s">
        <v>240</v>
      </c>
      <c r="P468" s="0" t="s">
        <v>240</v>
      </c>
      <c r="Q468" s="0" t="s">
        <v>240</v>
      </c>
      <c r="R468" s="0" t="s">
        <v>6971</v>
      </c>
      <c r="S468" s="0" t="s">
        <v>240</v>
      </c>
      <c r="T468" s="0" t="s">
        <v>240</v>
      </c>
      <c r="U468" s="0" t="s">
        <v>102</v>
      </c>
      <c r="V468" s="0" t="s">
        <v>240</v>
      </c>
      <c r="W468" s="0" t="s">
        <v>240</v>
      </c>
      <c r="X468" s="0" t="s">
        <v>5485</v>
      </c>
      <c r="Y468" s="0" t="s">
        <v>240</v>
      </c>
      <c r="Z468" s="0" t="s">
        <v>161</v>
      </c>
      <c r="AA468" s="0" t="s">
        <v>152</v>
      </c>
      <c r="AB468" s="0" t="s">
        <v>152</v>
      </c>
      <c r="AC468" s="0" t="s">
        <v>3389</v>
      </c>
      <c r="AD468" s="0" t="s">
        <v>3389</v>
      </c>
      <c r="AE468" s="0" t="s">
        <v>3390</v>
      </c>
      <c r="AF468" s="0" t="s">
        <v>5519</v>
      </c>
      <c r="AG468" s="0" t="s">
        <v>5520</v>
      </c>
      <c r="AH468" s="0" t="s">
        <v>6275</v>
      </c>
      <c r="AI468" s="0" t="s">
        <v>5533</v>
      </c>
      <c r="AJ468" s="0" t="s">
        <v>5781</v>
      </c>
      <c r="AK468" s="0" t="s">
        <v>6276</v>
      </c>
      <c r="AL468" s="0" t="s">
        <v>5524</v>
      </c>
      <c r="AM468" s="0" t="s">
        <v>5493</v>
      </c>
      <c r="AN468" s="0" t="s">
        <v>6277</v>
      </c>
      <c r="AO468" s="0" t="s">
        <v>6278</v>
      </c>
      <c r="AP468" s="0" t="s">
        <v>240</v>
      </c>
      <c r="AQ468" s="0" t="s">
        <v>240</v>
      </c>
      <c r="AR468" s="0" t="s">
        <v>240</v>
      </c>
      <c r="AS468" s="0" t="s">
        <v>240</v>
      </c>
      <c r="AT468" s="0" t="s">
        <v>240</v>
      </c>
      <c r="AU468" s="0" t="s">
        <v>240</v>
      </c>
      <c r="AV468" s="0" t="s">
        <v>240</v>
      </c>
      <c r="AW468" s="0" t="s">
        <v>240</v>
      </c>
      <c r="AX468" s="0" t="s">
        <v>240</v>
      </c>
      <c r="AY468" s="0" t="s">
        <v>240</v>
      </c>
      <c r="AZ468" s="0" t="s">
        <v>240</v>
      </c>
      <c r="BA468" s="0" t="s">
        <v>240</v>
      </c>
      <c r="BB468" s="0" t="s">
        <v>240</v>
      </c>
      <c r="BC468" s="0" t="s">
        <v>240</v>
      </c>
      <c r="BD468" s="0" t="s">
        <v>240</v>
      </c>
      <c r="BE468" s="0" t="s">
        <v>240</v>
      </c>
      <c r="BF468" s="0" t="s">
        <v>240</v>
      </c>
      <c r="BG468" s="0" t="s">
        <v>240</v>
      </c>
      <c r="BH468" s="0" t="s">
        <v>240</v>
      </c>
      <c r="BI468" s="0" t="s">
        <v>240</v>
      </c>
      <c r="BJ468" s="0" t="s">
        <v>240</v>
      </c>
      <c r="BK468" s="0" t="s">
        <v>240</v>
      </c>
      <c r="BL468" s="0" t="s">
        <v>240</v>
      </c>
      <c r="BM468" s="0" t="s">
        <v>240</v>
      </c>
      <c r="BN468" s="0" t="s">
        <v>240</v>
      </c>
      <c r="BO468" s="0" t="s">
        <v>240</v>
      </c>
      <c r="BP468" s="0" t="s">
        <v>240</v>
      </c>
      <c r="BQ468" s="0" t="s">
        <v>240</v>
      </c>
      <c r="BR468" s="0" t="s">
        <v>240</v>
      </c>
      <c r="BS468" s="0" t="s">
        <v>240</v>
      </c>
      <c r="BT468" s="0" t="s">
        <v>240</v>
      </c>
      <c r="BU468" s="0" t="s">
        <v>240</v>
      </c>
      <c r="BV468" s="0" t="s">
        <v>240</v>
      </c>
      <c r="BW468" s="0" t="s">
        <v>240</v>
      </c>
      <c r="BX468" s="0" t="s">
        <v>240</v>
      </c>
      <c r="BY468" s="0" t="s">
        <v>240</v>
      </c>
      <c r="BZ468" s="0" t="s">
        <v>240</v>
      </c>
      <c r="CA468" s="0" t="s">
        <v>240</v>
      </c>
      <c r="CB468" s="0" t="s">
        <v>240</v>
      </c>
      <c r="CC468" s="0" t="s">
        <v>240</v>
      </c>
      <c r="CD468" s="0" t="s">
        <v>240</v>
      </c>
      <c r="CE468" s="0" t="s">
        <v>240</v>
      </c>
      <c r="CF468" s="0" t="s">
        <v>240</v>
      </c>
      <c r="CG468" s="0" t="s">
        <v>240</v>
      </c>
      <c r="CH468" s="0" t="s">
        <v>240</v>
      </c>
      <c r="CI468" s="0" t="s">
        <v>240</v>
      </c>
      <c r="CJ468" s="0" t="s">
        <v>240</v>
      </c>
      <c r="CK468" s="0" t="s">
        <v>240</v>
      </c>
      <c r="CL468" s="0" t="s">
        <v>240</v>
      </c>
      <c r="CM468" s="0" t="s">
        <v>240</v>
      </c>
      <c r="CN468" s="0" t="s">
        <v>240</v>
      </c>
      <c r="CO468" s="0" t="s">
        <v>240</v>
      </c>
      <c r="CP468" s="0" t="s">
        <v>240</v>
      </c>
      <c r="CQ468" s="0" t="s">
        <v>240</v>
      </c>
      <c r="CR468" s="0" t="s">
        <v>240</v>
      </c>
      <c r="CS468" s="0" t="s">
        <v>240</v>
      </c>
      <c r="CT468" s="0" t="s">
        <v>5496</v>
      </c>
      <c r="CU468" s="0" t="s">
        <v>5497</v>
      </c>
      <c r="CV468" s="0" t="s">
        <v>443</v>
      </c>
      <c r="CW468" s="0" t="s">
        <v>5527</v>
      </c>
      <c r="CX468" s="0" t="s">
        <v>5528</v>
      </c>
      <c r="CY468" s="0" t="s">
        <v>443</v>
      </c>
      <c r="CZ468" s="0" t="s">
        <v>299</v>
      </c>
      <c r="DA468" s="0" t="s">
        <v>5529</v>
      </c>
      <c r="DB468" s="0" t="s">
        <v>5527</v>
      </c>
      <c r="DC468" s="0" t="s">
        <v>384</v>
      </c>
      <c r="DD468" s="0" t="s">
        <v>291</v>
      </c>
      <c r="DE468" s="0" t="s">
        <v>6279</v>
      </c>
    </row>
    <row customHeight="1" ht="11.25">
      <c r="A469" s="1441" t="s">
        <v>240</v>
      </c>
      <c r="B469" s="0" t="s">
        <v>240</v>
      </c>
      <c r="C469" s="0" t="s">
        <v>240</v>
      </c>
      <c r="D469" s="0" t="s">
        <v>240</v>
      </c>
      <c r="E469" s="0" t="s">
        <v>240</v>
      </c>
      <c r="F469" s="0" t="s">
        <v>240</v>
      </c>
      <c r="G469" s="0" t="s">
        <v>240</v>
      </c>
      <c r="H469" s="0" t="s">
        <v>240</v>
      </c>
      <c r="I469" s="0" t="s">
        <v>5484</v>
      </c>
      <c r="J469" s="0" t="s">
        <v>240</v>
      </c>
      <c r="K469" s="0" t="s">
        <v>240</v>
      </c>
      <c r="L469" s="0" t="s">
        <v>240</v>
      </c>
      <c r="M469" s="0" t="s">
        <v>240</v>
      </c>
      <c r="N469" s="0" t="s">
        <v>240</v>
      </c>
      <c r="O469" s="0" t="s">
        <v>240</v>
      </c>
      <c r="P469" s="0" t="s">
        <v>240</v>
      </c>
      <c r="Q469" s="0" t="s">
        <v>240</v>
      </c>
      <c r="R469" s="0" t="s">
        <v>5572</v>
      </c>
      <c r="S469" s="0" t="s">
        <v>240</v>
      </c>
      <c r="T469" s="0" t="s">
        <v>240</v>
      </c>
      <c r="U469" s="0" t="s">
        <v>102</v>
      </c>
      <c r="V469" s="0" t="s">
        <v>240</v>
      </c>
      <c r="W469" s="0" t="s">
        <v>240</v>
      </c>
      <c r="X469" s="0" t="s">
        <v>5485</v>
      </c>
      <c r="Y469" s="0" t="s">
        <v>240</v>
      </c>
      <c r="Z469" s="0" t="s">
        <v>161</v>
      </c>
      <c r="AA469" s="0" t="s">
        <v>152</v>
      </c>
      <c r="AB469" s="0" t="s">
        <v>152</v>
      </c>
      <c r="AC469" s="0" t="s">
        <v>2991</v>
      </c>
      <c r="AD469" s="0" t="s">
        <v>2991</v>
      </c>
      <c r="AE469" s="0" t="s">
        <v>2992</v>
      </c>
      <c r="AF469" s="0" t="s">
        <v>6534</v>
      </c>
      <c r="AG469" s="0" t="s">
        <v>6535</v>
      </c>
      <c r="AH469" s="0" t="s">
        <v>6462</v>
      </c>
      <c r="AI469" s="0" t="s">
        <v>495</v>
      </c>
      <c r="AJ469" s="0" t="s">
        <v>6421</v>
      </c>
      <c r="AK469" s="0" t="s">
        <v>5672</v>
      </c>
      <c r="AL469" s="0" t="s">
        <v>5506</v>
      </c>
      <c r="AM469" s="0" t="s">
        <v>5493</v>
      </c>
      <c r="AN469" s="0" t="s">
        <v>5553</v>
      </c>
      <c r="AO469" s="0" t="s">
        <v>6049</v>
      </c>
      <c r="AP469" s="0" t="s">
        <v>240</v>
      </c>
      <c r="AQ469" s="0" t="s">
        <v>240</v>
      </c>
      <c r="AR469" s="0" t="s">
        <v>240</v>
      </c>
      <c r="AS469" s="0" t="s">
        <v>240</v>
      </c>
      <c r="AT469" s="0" t="s">
        <v>240</v>
      </c>
      <c r="AU469" s="0" t="s">
        <v>240</v>
      </c>
      <c r="AV469" s="0" t="s">
        <v>240</v>
      </c>
      <c r="AW469" s="0" t="s">
        <v>240</v>
      </c>
      <c r="AX469" s="0" t="s">
        <v>240</v>
      </c>
      <c r="AY469" s="0" t="s">
        <v>240</v>
      </c>
      <c r="AZ469" s="0" t="s">
        <v>240</v>
      </c>
      <c r="BA469" s="0" t="s">
        <v>240</v>
      </c>
      <c r="BB469" s="0" t="s">
        <v>240</v>
      </c>
      <c r="BC469" s="0" t="s">
        <v>240</v>
      </c>
      <c r="BD469" s="0" t="s">
        <v>240</v>
      </c>
      <c r="BE469" s="0" t="s">
        <v>240</v>
      </c>
      <c r="BF469" s="0" t="s">
        <v>240</v>
      </c>
      <c r="BG469" s="0" t="s">
        <v>240</v>
      </c>
      <c r="BH469" s="0" t="s">
        <v>240</v>
      </c>
      <c r="BI469" s="0" t="s">
        <v>240</v>
      </c>
      <c r="BJ469" s="0" t="s">
        <v>240</v>
      </c>
      <c r="BK469" s="0" t="s">
        <v>240</v>
      </c>
      <c r="BL469" s="0" t="s">
        <v>240</v>
      </c>
      <c r="BM469" s="0" t="s">
        <v>240</v>
      </c>
      <c r="BN469" s="0" t="s">
        <v>240</v>
      </c>
      <c r="BO469" s="0" t="s">
        <v>240</v>
      </c>
      <c r="BP469" s="0" t="s">
        <v>240</v>
      </c>
      <c r="BQ469" s="0" t="s">
        <v>240</v>
      </c>
      <c r="BR469" s="0" t="s">
        <v>240</v>
      </c>
      <c r="BS469" s="0" t="s">
        <v>240</v>
      </c>
      <c r="BT469" s="0" t="s">
        <v>240</v>
      </c>
      <c r="BU469" s="0" t="s">
        <v>240</v>
      </c>
      <c r="BV469" s="0" t="s">
        <v>240</v>
      </c>
      <c r="BW469" s="0" t="s">
        <v>240</v>
      </c>
      <c r="BX469" s="0" t="s">
        <v>240</v>
      </c>
      <c r="BY469" s="0" t="s">
        <v>240</v>
      </c>
      <c r="BZ469" s="0" t="s">
        <v>240</v>
      </c>
      <c r="CA469" s="0" t="s">
        <v>240</v>
      </c>
      <c r="CB469" s="0" t="s">
        <v>240</v>
      </c>
      <c r="CC469" s="0" t="s">
        <v>240</v>
      </c>
      <c r="CD469" s="0" t="s">
        <v>240</v>
      </c>
      <c r="CE469" s="0" t="s">
        <v>240</v>
      </c>
      <c r="CF469" s="0" t="s">
        <v>240</v>
      </c>
      <c r="CG469" s="0" t="s">
        <v>240</v>
      </c>
      <c r="CH469" s="0" t="s">
        <v>240</v>
      </c>
      <c r="CI469" s="0" t="s">
        <v>240</v>
      </c>
      <c r="CJ469" s="0" t="s">
        <v>240</v>
      </c>
      <c r="CK469" s="0" t="s">
        <v>240</v>
      </c>
      <c r="CL469" s="0" t="s">
        <v>240</v>
      </c>
      <c r="CM469" s="0" t="s">
        <v>240</v>
      </c>
      <c r="CN469" s="0" t="s">
        <v>240</v>
      </c>
      <c r="CO469" s="0" t="s">
        <v>240</v>
      </c>
      <c r="CP469" s="0" t="s">
        <v>240</v>
      </c>
      <c r="CQ469" s="0" t="s">
        <v>240</v>
      </c>
      <c r="CR469" s="0" t="s">
        <v>240</v>
      </c>
      <c r="CS469" s="0" t="s">
        <v>240</v>
      </c>
      <c r="CT469" s="0" t="s">
        <v>5496</v>
      </c>
      <c r="CU469" s="0" t="s">
        <v>5497</v>
      </c>
      <c r="CV469" s="0" t="s">
        <v>443</v>
      </c>
      <c r="CW469" s="0" t="s">
        <v>5547</v>
      </c>
      <c r="CX469" s="0" t="s">
        <v>229</v>
      </c>
      <c r="CY469" s="0" t="s">
        <v>443</v>
      </c>
      <c r="CZ469" s="0" t="s">
        <v>5548</v>
      </c>
      <c r="DA469" s="0" t="s">
        <v>5549</v>
      </c>
      <c r="DB469" s="0" t="s">
        <v>5547</v>
      </c>
      <c r="DC469" s="0" t="s">
        <v>384</v>
      </c>
      <c r="DD469" s="0" t="s">
        <v>291</v>
      </c>
      <c r="DE469" s="0" t="s">
        <v>6536</v>
      </c>
    </row>
    <row customHeight="1" ht="11.25">
      <c r="A470" s="1441" t="s">
        <v>240</v>
      </c>
      <c r="B470" s="0" t="s">
        <v>240</v>
      </c>
      <c r="C470" s="0" t="s">
        <v>240</v>
      </c>
      <c r="D470" s="0" t="s">
        <v>240</v>
      </c>
      <c r="E470" s="0" t="s">
        <v>240</v>
      </c>
      <c r="F470" s="0" t="s">
        <v>240</v>
      </c>
      <c r="G470" s="0" t="s">
        <v>240</v>
      </c>
      <c r="H470" s="0" t="s">
        <v>240</v>
      </c>
      <c r="I470" s="0" t="s">
        <v>5484</v>
      </c>
      <c r="J470" s="0" t="s">
        <v>240</v>
      </c>
      <c r="K470" s="0" t="s">
        <v>240</v>
      </c>
      <c r="L470" s="0" t="s">
        <v>240</v>
      </c>
      <c r="M470" s="0" t="s">
        <v>240</v>
      </c>
      <c r="N470" s="0" t="s">
        <v>240</v>
      </c>
      <c r="O470" s="0" t="s">
        <v>240</v>
      </c>
      <c r="P470" s="0" t="s">
        <v>240</v>
      </c>
      <c r="Q470" s="0" t="s">
        <v>240</v>
      </c>
      <c r="R470" s="0" t="s">
        <v>5572</v>
      </c>
      <c r="S470" s="0" t="s">
        <v>240</v>
      </c>
      <c r="T470" s="0" t="s">
        <v>240</v>
      </c>
      <c r="U470" s="0" t="s">
        <v>102</v>
      </c>
      <c r="V470" s="0" t="s">
        <v>240</v>
      </c>
      <c r="W470" s="0" t="s">
        <v>240</v>
      </c>
      <c r="X470" s="0" t="s">
        <v>5485</v>
      </c>
      <c r="Y470" s="0" t="s">
        <v>240</v>
      </c>
      <c r="Z470" s="0" t="s">
        <v>161</v>
      </c>
      <c r="AA470" s="0" t="s">
        <v>152</v>
      </c>
      <c r="AB470" s="0" t="s">
        <v>152</v>
      </c>
      <c r="AC470" s="0" t="s">
        <v>2989</v>
      </c>
      <c r="AD470" s="0" t="s">
        <v>2989</v>
      </c>
      <c r="AE470" s="0" t="s">
        <v>2990</v>
      </c>
      <c r="AF470" s="0" t="s">
        <v>6256</v>
      </c>
      <c r="AG470" s="0" t="s">
        <v>6257</v>
      </c>
      <c r="AH470" s="0" t="s">
        <v>6258</v>
      </c>
      <c r="AI470" s="0" t="s">
        <v>6259</v>
      </c>
      <c r="AJ470" s="0" t="s">
        <v>5576</v>
      </c>
      <c r="AK470" s="0" t="s">
        <v>6260</v>
      </c>
      <c r="AL470" s="0" t="s">
        <v>5506</v>
      </c>
      <c r="AM470" s="0" t="s">
        <v>5493</v>
      </c>
      <c r="AN470" s="0" t="s">
        <v>5578</v>
      </c>
      <c r="AO470" s="0" t="s">
        <v>5636</v>
      </c>
      <c r="AP470" s="0" t="s">
        <v>240</v>
      </c>
      <c r="AQ470" s="0" t="s">
        <v>240</v>
      </c>
      <c r="AR470" s="0" t="s">
        <v>240</v>
      </c>
      <c r="AS470" s="0" t="s">
        <v>240</v>
      </c>
      <c r="AT470" s="0" t="s">
        <v>240</v>
      </c>
      <c r="AU470" s="0" t="s">
        <v>240</v>
      </c>
      <c r="AV470" s="0" t="s">
        <v>240</v>
      </c>
      <c r="AW470" s="0" t="s">
        <v>240</v>
      </c>
      <c r="AX470" s="0" t="s">
        <v>240</v>
      </c>
      <c r="AY470" s="0" t="s">
        <v>240</v>
      </c>
      <c r="AZ470" s="0" t="s">
        <v>240</v>
      </c>
      <c r="BA470" s="0" t="s">
        <v>240</v>
      </c>
      <c r="BB470" s="0" t="s">
        <v>240</v>
      </c>
      <c r="BC470" s="0" t="s">
        <v>240</v>
      </c>
      <c r="BD470" s="0" t="s">
        <v>240</v>
      </c>
      <c r="BE470" s="0" t="s">
        <v>240</v>
      </c>
      <c r="BF470" s="0" t="s">
        <v>240</v>
      </c>
      <c r="BG470" s="0" t="s">
        <v>240</v>
      </c>
      <c r="BH470" s="0" t="s">
        <v>240</v>
      </c>
      <c r="BI470" s="0" t="s">
        <v>240</v>
      </c>
      <c r="BJ470" s="0" t="s">
        <v>240</v>
      </c>
      <c r="BK470" s="0" t="s">
        <v>240</v>
      </c>
      <c r="BL470" s="0" t="s">
        <v>240</v>
      </c>
      <c r="BM470" s="0" t="s">
        <v>240</v>
      </c>
      <c r="BN470" s="0" t="s">
        <v>240</v>
      </c>
      <c r="BO470" s="0" t="s">
        <v>240</v>
      </c>
      <c r="BP470" s="0" t="s">
        <v>240</v>
      </c>
      <c r="BQ470" s="0" t="s">
        <v>240</v>
      </c>
      <c r="BR470" s="0" t="s">
        <v>240</v>
      </c>
      <c r="BS470" s="0" t="s">
        <v>240</v>
      </c>
      <c r="BT470" s="0" t="s">
        <v>240</v>
      </c>
      <c r="BU470" s="0" t="s">
        <v>240</v>
      </c>
      <c r="BV470" s="0" t="s">
        <v>240</v>
      </c>
      <c r="BW470" s="0" t="s">
        <v>240</v>
      </c>
      <c r="BX470" s="0" t="s">
        <v>240</v>
      </c>
      <c r="BY470" s="0" t="s">
        <v>240</v>
      </c>
      <c r="BZ470" s="0" t="s">
        <v>240</v>
      </c>
      <c r="CA470" s="0" t="s">
        <v>240</v>
      </c>
      <c r="CB470" s="0" t="s">
        <v>240</v>
      </c>
      <c r="CC470" s="0" t="s">
        <v>240</v>
      </c>
      <c r="CD470" s="0" t="s">
        <v>240</v>
      </c>
      <c r="CE470" s="0" t="s">
        <v>240</v>
      </c>
      <c r="CF470" s="0" t="s">
        <v>240</v>
      </c>
      <c r="CG470" s="0" t="s">
        <v>240</v>
      </c>
      <c r="CH470" s="0" t="s">
        <v>240</v>
      </c>
      <c r="CI470" s="0" t="s">
        <v>240</v>
      </c>
      <c r="CJ470" s="0" t="s">
        <v>240</v>
      </c>
      <c r="CK470" s="0" t="s">
        <v>240</v>
      </c>
      <c r="CL470" s="0" t="s">
        <v>240</v>
      </c>
      <c r="CM470" s="0" t="s">
        <v>240</v>
      </c>
      <c r="CN470" s="0" t="s">
        <v>240</v>
      </c>
      <c r="CO470" s="0" t="s">
        <v>240</v>
      </c>
      <c r="CP470" s="0" t="s">
        <v>240</v>
      </c>
      <c r="CQ470" s="0" t="s">
        <v>240</v>
      </c>
      <c r="CR470" s="0" t="s">
        <v>240</v>
      </c>
      <c r="CS470" s="0" t="s">
        <v>240</v>
      </c>
      <c r="CT470" s="0" t="s">
        <v>5496</v>
      </c>
      <c r="CU470" s="0" t="s">
        <v>5497</v>
      </c>
      <c r="CV470" s="0" t="s">
        <v>443</v>
      </c>
      <c r="CW470" s="0" t="s">
        <v>5580</v>
      </c>
      <c r="CX470" s="0" t="s">
        <v>229</v>
      </c>
      <c r="CY470" s="0" t="s">
        <v>443</v>
      </c>
      <c r="CZ470" s="0" t="s">
        <v>5581</v>
      </c>
      <c r="DA470" s="0" t="s">
        <v>5582</v>
      </c>
      <c r="DB470" s="0" t="s">
        <v>5580</v>
      </c>
      <c r="DC470" s="0" t="s">
        <v>384</v>
      </c>
      <c r="DD470" s="0" t="s">
        <v>291</v>
      </c>
      <c r="DE470" s="0" t="s">
        <v>6261</v>
      </c>
    </row>
    <row customHeight="1" ht="11.25">
      <c r="A471" s="1441" t="s">
        <v>240</v>
      </c>
      <c r="B471" s="0" t="s">
        <v>240</v>
      </c>
      <c r="C471" s="0" t="s">
        <v>240</v>
      </c>
      <c r="D471" s="0" t="s">
        <v>240</v>
      </c>
      <c r="E471" s="0" t="s">
        <v>240</v>
      </c>
      <c r="F471" s="0" t="s">
        <v>240</v>
      </c>
      <c r="G471" s="0" t="s">
        <v>240</v>
      </c>
      <c r="H471" s="0" t="s">
        <v>240</v>
      </c>
      <c r="I471" s="0" t="s">
        <v>5484</v>
      </c>
      <c r="J471" s="0" t="s">
        <v>240</v>
      </c>
      <c r="K471" s="0" t="s">
        <v>240</v>
      </c>
      <c r="L471" s="0" t="s">
        <v>240</v>
      </c>
      <c r="M471" s="0" t="s">
        <v>240</v>
      </c>
      <c r="N471" s="0" t="s">
        <v>240</v>
      </c>
      <c r="O471" s="0" t="s">
        <v>240</v>
      </c>
      <c r="P471" s="0" t="s">
        <v>240</v>
      </c>
      <c r="Q471" s="0" t="s">
        <v>240</v>
      </c>
      <c r="R471" s="0" t="s">
        <v>6541</v>
      </c>
      <c r="S471" s="0" t="s">
        <v>240</v>
      </c>
      <c r="T471" s="0" t="s">
        <v>240</v>
      </c>
      <c r="U471" s="0" t="s">
        <v>102</v>
      </c>
      <c r="V471" s="0" t="s">
        <v>240</v>
      </c>
      <c r="W471" s="0" t="s">
        <v>240</v>
      </c>
      <c r="X471" s="0" t="s">
        <v>5585</v>
      </c>
      <c r="Y471" s="0" t="s">
        <v>240</v>
      </c>
      <c r="Z471" s="0" t="s">
        <v>152</v>
      </c>
      <c r="AA471" s="0" t="s">
        <v>152</v>
      </c>
      <c r="AB471" s="0" t="s">
        <v>161</v>
      </c>
      <c r="AC471" s="0" t="s">
        <v>2989</v>
      </c>
      <c r="AD471" s="0" t="s">
        <v>2989</v>
      </c>
      <c r="AE471" s="0" t="s">
        <v>2990</v>
      </c>
      <c r="AF471" s="0" t="s">
        <v>6256</v>
      </c>
      <c r="AG471" s="0" t="s">
        <v>6257</v>
      </c>
      <c r="AH471" s="0" t="s">
        <v>5575</v>
      </c>
      <c r="AI471" s="0" t="s">
        <v>5575</v>
      </c>
      <c r="AJ471" s="0" t="s">
        <v>240</v>
      </c>
      <c r="AK471" s="0" t="s">
        <v>240</v>
      </c>
      <c r="AL471" s="0" t="s">
        <v>240</v>
      </c>
      <c r="AM471" s="0" t="s">
        <v>240</v>
      </c>
      <c r="AN471" s="0" t="s">
        <v>240</v>
      </c>
      <c r="AO471" s="0" t="s">
        <v>240</v>
      </c>
      <c r="AP471" s="0" t="s">
        <v>240</v>
      </c>
      <c r="AQ471" s="0" t="s">
        <v>240</v>
      </c>
      <c r="AR471" s="0" t="s">
        <v>240</v>
      </c>
      <c r="AS471" s="0" t="s">
        <v>240</v>
      </c>
      <c r="AT471" s="0" t="s">
        <v>240</v>
      </c>
      <c r="AU471" s="0" t="s">
        <v>240</v>
      </c>
      <c r="AV471" s="0" t="s">
        <v>240</v>
      </c>
      <c r="AW471" s="0" t="s">
        <v>240</v>
      </c>
      <c r="AX471" s="0" t="s">
        <v>240</v>
      </c>
      <c r="AY471" s="0" t="s">
        <v>240</v>
      </c>
      <c r="AZ471" s="0" t="s">
        <v>240</v>
      </c>
      <c r="BA471" s="0" t="s">
        <v>240</v>
      </c>
      <c r="BB471" s="0" t="s">
        <v>240</v>
      </c>
      <c r="BC471" s="0" t="s">
        <v>240</v>
      </c>
      <c r="BD471" s="0" t="s">
        <v>240</v>
      </c>
      <c r="BE471" s="0" t="s">
        <v>5576</v>
      </c>
      <c r="BF471" s="0" t="s">
        <v>6260</v>
      </c>
      <c r="BG471" s="0" t="s">
        <v>112</v>
      </c>
      <c r="BH471" s="0" t="s">
        <v>5589</v>
      </c>
      <c r="BI471" s="0" t="s">
        <v>123</v>
      </c>
      <c r="BJ471" s="0" t="s">
        <v>240</v>
      </c>
      <c r="BK471" s="0" t="s">
        <v>5608</v>
      </c>
      <c r="BL471" s="0" t="s">
        <v>2989</v>
      </c>
      <c r="BM471" s="0" t="s">
        <v>2989</v>
      </c>
      <c r="BN471" s="0" t="s">
        <v>5798</v>
      </c>
      <c r="BO471" s="0" t="s">
        <v>6256</v>
      </c>
      <c r="BP471" s="0" t="s">
        <v>6542</v>
      </c>
      <c r="BQ471" s="0" t="s">
        <v>5575</v>
      </c>
      <c r="BR471" s="0" t="s">
        <v>5575</v>
      </c>
      <c r="BS471" s="0" t="s">
        <v>240</v>
      </c>
      <c r="BT471" s="0" t="s">
        <v>5650</v>
      </c>
      <c r="BU471" s="0" t="s">
        <v>6543</v>
      </c>
      <c r="BV471" s="0" t="s">
        <v>6543</v>
      </c>
      <c r="BW471" s="0" t="s">
        <v>5598</v>
      </c>
      <c r="BX471" s="0" t="s">
        <v>5598</v>
      </c>
      <c r="BY471" s="0" t="s">
        <v>5598</v>
      </c>
      <c r="BZ471" s="0" t="s">
        <v>5598</v>
      </c>
      <c r="CA471" s="0" t="s">
        <v>5598</v>
      </c>
      <c r="CB471" s="0" t="s">
        <v>240</v>
      </c>
      <c r="CC471" s="0" t="s">
        <v>240</v>
      </c>
      <c r="CD471" s="0" t="s">
        <v>240</v>
      </c>
      <c r="CE471" s="0" t="s">
        <v>240</v>
      </c>
      <c r="CF471" s="0" t="s">
        <v>240</v>
      </c>
      <c r="CG471" s="0" t="s">
        <v>5598</v>
      </c>
      <c r="CH471" s="0" t="s">
        <v>240</v>
      </c>
      <c r="CI471" s="0" t="s">
        <v>240</v>
      </c>
      <c r="CJ471" s="0" t="s">
        <v>240</v>
      </c>
      <c r="CK471" s="0" t="s">
        <v>240</v>
      </c>
      <c r="CL471" s="0" t="s">
        <v>240</v>
      </c>
      <c r="CM471" s="0" t="s">
        <v>6543</v>
      </c>
      <c r="CN471" s="0" t="s">
        <v>6543</v>
      </c>
      <c r="CO471" s="0" t="s">
        <v>240</v>
      </c>
      <c r="CP471" s="0" t="s">
        <v>240</v>
      </c>
      <c r="CQ471" s="0" t="s">
        <v>240</v>
      </c>
      <c r="CR471" s="0" t="s">
        <v>240</v>
      </c>
      <c r="CS471" s="0" t="s">
        <v>5578</v>
      </c>
      <c r="CT471" s="0" t="s">
        <v>5496</v>
      </c>
      <c r="CU471" s="0" t="s">
        <v>5497</v>
      </c>
      <c r="CV471" s="0" t="s">
        <v>443</v>
      </c>
      <c r="CW471" s="0" t="s">
        <v>5580</v>
      </c>
      <c r="CX471" s="0" t="s">
        <v>229</v>
      </c>
      <c r="CY471" s="0" t="s">
        <v>443</v>
      </c>
      <c r="CZ471" s="0" t="s">
        <v>5581</v>
      </c>
      <c r="DA471" s="0" t="s">
        <v>5582</v>
      </c>
      <c r="DB471" s="0" t="s">
        <v>5580</v>
      </c>
      <c r="DC471" s="0" t="s">
        <v>384</v>
      </c>
      <c r="DD471" s="0" t="s">
        <v>291</v>
      </c>
      <c r="DE471" s="0" t="s">
        <v>6544</v>
      </c>
    </row>
    <row customHeight="1" ht="11.25">
      <c r="A472" s="1441" t="s">
        <v>240</v>
      </c>
      <c r="B472" s="0" t="s">
        <v>240</v>
      </c>
      <c r="C472" s="0" t="s">
        <v>240</v>
      </c>
      <c r="D472" s="0" t="s">
        <v>240</v>
      </c>
      <c r="E472" s="0" t="s">
        <v>240</v>
      </c>
      <c r="F472" s="0" t="s">
        <v>240</v>
      </c>
      <c r="G472" s="0" t="s">
        <v>240</v>
      </c>
      <c r="H472" s="0" t="s">
        <v>240</v>
      </c>
      <c r="I472" s="0" t="s">
        <v>5484</v>
      </c>
      <c r="J472" s="0" t="s">
        <v>240</v>
      </c>
      <c r="K472" s="0" t="s">
        <v>240</v>
      </c>
      <c r="L472" s="0" t="s">
        <v>240</v>
      </c>
      <c r="M472" s="0" t="s">
        <v>240</v>
      </c>
      <c r="N472" s="0" t="s">
        <v>240</v>
      </c>
      <c r="O472" s="0" t="s">
        <v>240</v>
      </c>
      <c r="P472" s="0" t="s">
        <v>240</v>
      </c>
      <c r="Q472" s="0" t="s">
        <v>240</v>
      </c>
      <c r="R472" s="0" t="s">
        <v>5572</v>
      </c>
      <c r="S472" s="0" t="s">
        <v>240</v>
      </c>
      <c r="T472" s="0" t="s">
        <v>240</v>
      </c>
      <c r="U472" s="0" t="s">
        <v>102</v>
      </c>
      <c r="V472" s="0" t="s">
        <v>240</v>
      </c>
      <c r="W472" s="0" t="s">
        <v>240</v>
      </c>
      <c r="X472" s="0" t="s">
        <v>5485</v>
      </c>
      <c r="Y472" s="0" t="s">
        <v>240</v>
      </c>
      <c r="Z472" s="0" t="s">
        <v>161</v>
      </c>
      <c r="AA472" s="0" t="s">
        <v>152</v>
      </c>
      <c r="AB472" s="0" t="s">
        <v>152</v>
      </c>
      <c r="AC472" s="0" t="s">
        <v>2989</v>
      </c>
      <c r="AD472" s="0" t="s">
        <v>2989</v>
      </c>
      <c r="AE472" s="0" t="s">
        <v>2990</v>
      </c>
      <c r="AF472" s="0" t="s">
        <v>6545</v>
      </c>
      <c r="AG472" s="0" t="s">
        <v>6546</v>
      </c>
      <c r="AH472" s="0" t="s">
        <v>5575</v>
      </c>
      <c r="AI472" s="0" t="s">
        <v>5575</v>
      </c>
      <c r="AJ472" s="0" t="s">
        <v>5576</v>
      </c>
      <c r="AK472" s="0" t="s">
        <v>6547</v>
      </c>
      <c r="AL472" s="0" t="s">
        <v>5506</v>
      </c>
      <c r="AM472" s="0" t="s">
        <v>5493</v>
      </c>
      <c r="AN472" s="0" t="s">
        <v>5578</v>
      </c>
      <c r="AO472" s="0" t="s">
        <v>5579</v>
      </c>
      <c r="AP472" s="0" t="s">
        <v>240</v>
      </c>
      <c r="AQ472" s="0" t="s">
        <v>240</v>
      </c>
      <c r="AR472" s="0" t="s">
        <v>240</v>
      </c>
      <c r="AS472" s="0" t="s">
        <v>240</v>
      </c>
      <c r="AT472" s="0" t="s">
        <v>240</v>
      </c>
      <c r="AU472" s="0" t="s">
        <v>240</v>
      </c>
      <c r="AV472" s="0" t="s">
        <v>240</v>
      </c>
      <c r="AW472" s="0" t="s">
        <v>240</v>
      </c>
      <c r="AX472" s="0" t="s">
        <v>240</v>
      </c>
      <c r="AY472" s="0" t="s">
        <v>240</v>
      </c>
      <c r="AZ472" s="0" t="s">
        <v>240</v>
      </c>
      <c r="BA472" s="0" t="s">
        <v>240</v>
      </c>
      <c r="BB472" s="0" t="s">
        <v>240</v>
      </c>
      <c r="BC472" s="0" t="s">
        <v>240</v>
      </c>
      <c r="BD472" s="0" t="s">
        <v>240</v>
      </c>
      <c r="BE472" s="0" t="s">
        <v>240</v>
      </c>
      <c r="BF472" s="0" t="s">
        <v>240</v>
      </c>
      <c r="BG472" s="0" t="s">
        <v>240</v>
      </c>
      <c r="BH472" s="0" t="s">
        <v>240</v>
      </c>
      <c r="BI472" s="0" t="s">
        <v>240</v>
      </c>
      <c r="BJ472" s="0" t="s">
        <v>240</v>
      </c>
      <c r="BK472" s="0" t="s">
        <v>240</v>
      </c>
      <c r="BL472" s="0" t="s">
        <v>240</v>
      </c>
      <c r="BM472" s="0" t="s">
        <v>240</v>
      </c>
      <c r="BN472" s="0" t="s">
        <v>240</v>
      </c>
      <c r="BO472" s="0" t="s">
        <v>240</v>
      </c>
      <c r="BP472" s="0" t="s">
        <v>240</v>
      </c>
      <c r="BQ472" s="0" t="s">
        <v>240</v>
      </c>
      <c r="BR472" s="0" t="s">
        <v>240</v>
      </c>
      <c r="BS472" s="0" t="s">
        <v>240</v>
      </c>
      <c r="BT472" s="0" t="s">
        <v>240</v>
      </c>
      <c r="BU472" s="0" t="s">
        <v>240</v>
      </c>
      <c r="BV472" s="0" t="s">
        <v>240</v>
      </c>
      <c r="BW472" s="0" t="s">
        <v>240</v>
      </c>
      <c r="BX472" s="0" t="s">
        <v>240</v>
      </c>
      <c r="BY472" s="0" t="s">
        <v>240</v>
      </c>
      <c r="BZ472" s="0" t="s">
        <v>240</v>
      </c>
      <c r="CA472" s="0" t="s">
        <v>240</v>
      </c>
      <c r="CB472" s="0" t="s">
        <v>240</v>
      </c>
      <c r="CC472" s="0" t="s">
        <v>240</v>
      </c>
      <c r="CD472" s="0" t="s">
        <v>240</v>
      </c>
      <c r="CE472" s="0" t="s">
        <v>240</v>
      </c>
      <c r="CF472" s="0" t="s">
        <v>240</v>
      </c>
      <c r="CG472" s="0" t="s">
        <v>240</v>
      </c>
      <c r="CH472" s="0" t="s">
        <v>240</v>
      </c>
      <c r="CI472" s="0" t="s">
        <v>240</v>
      </c>
      <c r="CJ472" s="0" t="s">
        <v>240</v>
      </c>
      <c r="CK472" s="0" t="s">
        <v>240</v>
      </c>
      <c r="CL472" s="0" t="s">
        <v>240</v>
      </c>
      <c r="CM472" s="0" t="s">
        <v>240</v>
      </c>
      <c r="CN472" s="0" t="s">
        <v>240</v>
      </c>
      <c r="CO472" s="0" t="s">
        <v>240</v>
      </c>
      <c r="CP472" s="0" t="s">
        <v>240</v>
      </c>
      <c r="CQ472" s="0" t="s">
        <v>240</v>
      </c>
      <c r="CR472" s="0" t="s">
        <v>240</v>
      </c>
      <c r="CS472" s="0" t="s">
        <v>240</v>
      </c>
      <c r="CT472" s="0" t="s">
        <v>5496</v>
      </c>
      <c r="CU472" s="0" t="s">
        <v>5497</v>
      </c>
      <c r="CV472" s="0" t="s">
        <v>443</v>
      </c>
      <c r="CW472" s="0" t="s">
        <v>5580</v>
      </c>
      <c r="CX472" s="0" t="s">
        <v>229</v>
      </c>
      <c r="CY472" s="0" t="s">
        <v>443</v>
      </c>
      <c r="CZ472" s="0" t="s">
        <v>5581</v>
      </c>
      <c r="DA472" s="0" t="s">
        <v>5582</v>
      </c>
      <c r="DB472" s="0" t="s">
        <v>5580</v>
      </c>
      <c r="DC472" s="0" t="s">
        <v>384</v>
      </c>
      <c r="DD472" s="0" t="s">
        <v>291</v>
      </c>
      <c r="DE472" s="0" t="s">
        <v>6548</v>
      </c>
    </row>
    <row customHeight="1" ht="11.25">
      <c r="A473" s="1441" t="s">
        <v>240</v>
      </c>
      <c r="B473" s="0" t="s">
        <v>240</v>
      </c>
      <c r="C473" s="0" t="s">
        <v>240</v>
      </c>
      <c r="D473" s="0" t="s">
        <v>240</v>
      </c>
      <c r="E473" s="0" t="s">
        <v>240</v>
      </c>
      <c r="F473" s="0" t="s">
        <v>240</v>
      </c>
      <c r="G473" s="0" t="s">
        <v>240</v>
      </c>
      <c r="H473" s="0" t="s">
        <v>240</v>
      </c>
      <c r="I473" s="0" t="s">
        <v>5484</v>
      </c>
      <c r="J473" s="0" t="s">
        <v>240</v>
      </c>
      <c r="K473" s="0" t="s">
        <v>240</v>
      </c>
      <c r="L473" s="0" t="s">
        <v>240</v>
      </c>
      <c r="M473" s="0" t="s">
        <v>240</v>
      </c>
      <c r="N473" s="0" t="s">
        <v>240</v>
      </c>
      <c r="O473" s="0" t="s">
        <v>240</v>
      </c>
      <c r="P473" s="0" t="s">
        <v>240</v>
      </c>
      <c r="Q473" s="0" t="s">
        <v>240</v>
      </c>
      <c r="R473" s="0" t="s">
        <v>5499</v>
      </c>
      <c r="S473" s="0" t="s">
        <v>240</v>
      </c>
      <c r="T473" s="0" t="s">
        <v>240</v>
      </c>
      <c r="U473" s="0" t="s">
        <v>102</v>
      </c>
      <c r="V473" s="0" t="s">
        <v>240</v>
      </c>
      <c r="W473" s="0" t="s">
        <v>240</v>
      </c>
      <c r="X473" s="0" t="s">
        <v>5485</v>
      </c>
      <c r="Y473" s="0" t="s">
        <v>240</v>
      </c>
      <c r="Z473" s="0" t="s">
        <v>161</v>
      </c>
      <c r="AA473" s="0" t="s">
        <v>152</v>
      </c>
      <c r="AB473" s="0" t="s">
        <v>152</v>
      </c>
      <c r="AC473" s="0" t="s">
        <v>2985</v>
      </c>
      <c r="AD473" s="0" t="s">
        <v>2985</v>
      </c>
      <c r="AE473" s="0" t="s">
        <v>2986</v>
      </c>
      <c r="AF473" s="0" t="s">
        <v>5951</v>
      </c>
      <c r="AG473" s="0" t="s">
        <v>5952</v>
      </c>
      <c r="AH473" s="0" t="s">
        <v>5956</v>
      </c>
      <c r="AI473" s="0" t="s">
        <v>5503</v>
      </c>
      <c r="AJ473" s="0" t="s">
        <v>5504</v>
      </c>
      <c r="AK473" s="0" t="s">
        <v>5504</v>
      </c>
      <c r="AL473" s="0" t="s">
        <v>5605</v>
      </c>
      <c r="AM473" s="0" t="s">
        <v>5493</v>
      </c>
      <c r="AN473" s="0" t="s">
        <v>5507</v>
      </c>
      <c r="AO473" s="0" t="s">
        <v>5508</v>
      </c>
      <c r="AP473" s="0" t="s">
        <v>240</v>
      </c>
      <c r="AQ473" s="0" t="s">
        <v>240</v>
      </c>
      <c r="AR473" s="0" t="s">
        <v>240</v>
      </c>
      <c r="AS473" s="0" t="s">
        <v>240</v>
      </c>
      <c r="AT473" s="0" t="s">
        <v>240</v>
      </c>
      <c r="AU473" s="0" t="s">
        <v>240</v>
      </c>
      <c r="AV473" s="0" t="s">
        <v>240</v>
      </c>
      <c r="AW473" s="0" t="s">
        <v>240</v>
      </c>
      <c r="AX473" s="0" t="s">
        <v>240</v>
      </c>
      <c r="AY473" s="0" t="s">
        <v>240</v>
      </c>
      <c r="AZ473" s="0" t="s">
        <v>240</v>
      </c>
      <c r="BA473" s="0" t="s">
        <v>240</v>
      </c>
      <c r="BB473" s="0" t="s">
        <v>240</v>
      </c>
      <c r="BC473" s="0" t="s">
        <v>240</v>
      </c>
      <c r="BD473" s="0" t="s">
        <v>240</v>
      </c>
      <c r="BE473" s="0" t="s">
        <v>240</v>
      </c>
      <c r="BF473" s="0" t="s">
        <v>240</v>
      </c>
      <c r="BG473" s="0" t="s">
        <v>240</v>
      </c>
      <c r="BH473" s="0" t="s">
        <v>240</v>
      </c>
      <c r="BI473" s="0" t="s">
        <v>240</v>
      </c>
      <c r="BJ473" s="0" t="s">
        <v>240</v>
      </c>
      <c r="BK473" s="0" t="s">
        <v>240</v>
      </c>
      <c r="BL473" s="0" t="s">
        <v>240</v>
      </c>
      <c r="BM473" s="0" t="s">
        <v>240</v>
      </c>
      <c r="BN473" s="0" t="s">
        <v>240</v>
      </c>
      <c r="BO473" s="0" t="s">
        <v>240</v>
      </c>
      <c r="BP473" s="0" t="s">
        <v>240</v>
      </c>
      <c r="BQ473" s="0" t="s">
        <v>240</v>
      </c>
      <c r="BR473" s="0" t="s">
        <v>240</v>
      </c>
      <c r="BS473" s="0" t="s">
        <v>240</v>
      </c>
      <c r="BT473" s="0" t="s">
        <v>240</v>
      </c>
      <c r="BU473" s="0" t="s">
        <v>240</v>
      </c>
      <c r="BV473" s="0" t="s">
        <v>240</v>
      </c>
      <c r="BW473" s="0" t="s">
        <v>240</v>
      </c>
      <c r="BX473" s="0" t="s">
        <v>240</v>
      </c>
      <c r="BY473" s="0" t="s">
        <v>240</v>
      </c>
      <c r="BZ473" s="0" t="s">
        <v>240</v>
      </c>
      <c r="CA473" s="0" t="s">
        <v>240</v>
      </c>
      <c r="CB473" s="0" t="s">
        <v>240</v>
      </c>
      <c r="CC473" s="0" t="s">
        <v>240</v>
      </c>
      <c r="CD473" s="0" t="s">
        <v>240</v>
      </c>
      <c r="CE473" s="0" t="s">
        <v>240</v>
      </c>
      <c r="CF473" s="0" t="s">
        <v>240</v>
      </c>
      <c r="CG473" s="0" t="s">
        <v>240</v>
      </c>
      <c r="CH473" s="0" t="s">
        <v>240</v>
      </c>
      <c r="CI473" s="0" t="s">
        <v>240</v>
      </c>
      <c r="CJ473" s="0" t="s">
        <v>240</v>
      </c>
      <c r="CK473" s="0" t="s">
        <v>240</v>
      </c>
      <c r="CL473" s="0" t="s">
        <v>240</v>
      </c>
      <c r="CM473" s="0" t="s">
        <v>240</v>
      </c>
      <c r="CN473" s="0" t="s">
        <v>240</v>
      </c>
      <c r="CO473" s="0" t="s">
        <v>240</v>
      </c>
      <c r="CP473" s="0" t="s">
        <v>240</v>
      </c>
      <c r="CQ473" s="0" t="s">
        <v>240</v>
      </c>
      <c r="CR473" s="0" t="s">
        <v>240</v>
      </c>
      <c r="CS473" s="0" t="s">
        <v>240</v>
      </c>
      <c r="CT473" s="0" t="s">
        <v>5496</v>
      </c>
      <c r="CU473" s="0" t="s">
        <v>5497</v>
      </c>
      <c r="CV473" s="0" t="s">
        <v>443</v>
      </c>
      <c r="CW473" s="0" t="s">
        <v>5509</v>
      </c>
      <c r="CX473" s="0" t="s">
        <v>229</v>
      </c>
      <c r="CY473" s="0" t="s">
        <v>443</v>
      </c>
      <c r="CZ473" s="0" t="s">
        <v>5510</v>
      </c>
      <c r="DA473" s="0" t="s">
        <v>5511</v>
      </c>
      <c r="DB473" s="0" t="s">
        <v>5509</v>
      </c>
      <c r="DC473" s="0" t="s">
        <v>384</v>
      </c>
      <c r="DD473" s="0" t="s">
        <v>291</v>
      </c>
      <c r="DE473" s="0" t="s">
        <v>6233</v>
      </c>
    </row>
    <row customHeight="1" ht="11.25">
      <c r="A474" s="1441" t="s">
        <v>240</v>
      </c>
      <c r="B474" s="0" t="s">
        <v>240</v>
      </c>
      <c r="C474" s="0" t="s">
        <v>240</v>
      </c>
      <c r="D474" s="0" t="s">
        <v>240</v>
      </c>
      <c r="E474" s="0" t="s">
        <v>240</v>
      </c>
      <c r="F474" s="0" t="s">
        <v>240</v>
      </c>
      <c r="G474" s="0" t="s">
        <v>240</v>
      </c>
      <c r="H474" s="0" t="s">
        <v>240</v>
      </c>
      <c r="I474" s="0" t="s">
        <v>5484</v>
      </c>
      <c r="J474" s="0" t="s">
        <v>240</v>
      </c>
      <c r="K474" s="0" t="s">
        <v>240</v>
      </c>
      <c r="L474" s="0" t="s">
        <v>240</v>
      </c>
      <c r="M474" s="0" t="s">
        <v>240</v>
      </c>
      <c r="N474" s="0" t="s">
        <v>240</v>
      </c>
      <c r="O474" s="0" t="s">
        <v>240</v>
      </c>
      <c r="P474" s="0" t="s">
        <v>240</v>
      </c>
      <c r="Q474" s="0" t="s">
        <v>240</v>
      </c>
      <c r="R474" s="0" t="s">
        <v>6298</v>
      </c>
      <c r="S474" s="0" t="s">
        <v>240</v>
      </c>
      <c r="T474" s="0" t="s">
        <v>240</v>
      </c>
      <c r="U474" s="0" t="s">
        <v>102</v>
      </c>
      <c r="V474" s="0" t="s">
        <v>240</v>
      </c>
      <c r="W474" s="0" t="s">
        <v>240</v>
      </c>
      <c r="X474" s="0" t="s">
        <v>5485</v>
      </c>
      <c r="Y474" s="0" t="s">
        <v>240</v>
      </c>
      <c r="Z474" s="0" t="s">
        <v>161</v>
      </c>
      <c r="AA474" s="0" t="s">
        <v>152</v>
      </c>
      <c r="AB474" s="0" t="s">
        <v>152</v>
      </c>
      <c r="AC474" s="0" t="s">
        <v>2985</v>
      </c>
      <c r="AD474" s="0" t="s">
        <v>2985</v>
      </c>
      <c r="AE474" s="0" t="s">
        <v>2986</v>
      </c>
      <c r="AF474" s="0" t="s">
        <v>5951</v>
      </c>
      <c r="AG474" s="0" t="s">
        <v>5952</v>
      </c>
      <c r="AH474" s="0" t="s">
        <v>6299</v>
      </c>
      <c r="AI474" s="0" t="s">
        <v>6300</v>
      </c>
      <c r="AJ474" s="0" t="s">
        <v>5504</v>
      </c>
      <c r="AK474" s="0" t="s">
        <v>5504</v>
      </c>
      <c r="AL474" s="0" t="s">
        <v>5605</v>
      </c>
      <c r="AM474" s="0" t="s">
        <v>5493</v>
      </c>
      <c r="AN474" s="0" t="s">
        <v>5507</v>
      </c>
      <c r="AO474" s="0" t="s">
        <v>6301</v>
      </c>
      <c r="AP474" s="0" t="s">
        <v>240</v>
      </c>
      <c r="AQ474" s="0" t="s">
        <v>240</v>
      </c>
      <c r="AR474" s="0" t="s">
        <v>240</v>
      </c>
      <c r="AS474" s="0" t="s">
        <v>240</v>
      </c>
      <c r="AT474" s="0" t="s">
        <v>240</v>
      </c>
      <c r="AU474" s="0" t="s">
        <v>240</v>
      </c>
      <c r="AV474" s="0" t="s">
        <v>240</v>
      </c>
      <c r="AW474" s="0" t="s">
        <v>240</v>
      </c>
      <c r="AX474" s="0" t="s">
        <v>240</v>
      </c>
      <c r="AY474" s="0" t="s">
        <v>240</v>
      </c>
      <c r="AZ474" s="0" t="s">
        <v>240</v>
      </c>
      <c r="BA474" s="0" t="s">
        <v>240</v>
      </c>
      <c r="BB474" s="0" t="s">
        <v>240</v>
      </c>
      <c r="BC474" s="0" t="s">
        <v>240</v>
      </c>
      <c r="BD474" s="0" t="s">
        <v>240</v>
      </c>
      <c r="BE474" s="0" t="s">
        <v>240</v>
      </c>
      <c r="BF474" s="0" t="s">
        <v>240</v>
      </c>
      <c r="BG474" s="0" t="s">
        <v>240</v>
      </c>
      <c r="BH474" s="0" t="s">
        <v>240</v>
      </c>
      <c r="BI474" s="0" t="s">
        <v>240</v>
      </c>
      <c r="BJ474" s="0" t="s">
        <v>240</v>
      </c>
      <c r="BK474" s="0" t="s">
        <v>240</v>
      </c>
      <c r="BL474" s="0" t="s">
        <v>240</v>
      </c>
      <c r="BM474" s="0" t="s">
        <v>240</v>
      </c>
      <c r="BN474" s="0" t="s">
        <v>240</v>
      </c>
      <c r="BO474" s="0" t="s">
        <v>240</v>
      </c>
      <c r="BP474" s="0" t="s">
        <v>240</v>
      </c>
      <c r="BQ474" s="0" t="s">
        <v>240</v>
      </c>
      <c r="BR474" s="0" t="s">
        <v>240</v>
      </c>
      <c r="BS474" s="0" t="s">
        <v>240</v>
      </c>
      <c r="BT474" s="0" t="s">
        <v>240</v>
      </c>
      <c r="BU474" s="0" t="s">
        <v>240</v>
      </c>
      <c r="BV474" s="0" t="s">
        <v>240</v>
      </c>
      <c r="BW474" s="0" t="s">
        <v>240</v>
      </c>
      <c r="BX474" s="0" t="s">
        <v>240</v>
      </c>
      <c r="BY474" s="0" t="s">
        <v>240</v>
      </c>
      <c r="BZ474" s="0" t="s">
        <v>240</v>
      </c>
      <c r="CA474" s="0" t="s">
        <v>240</v>
      </c>
      <c r="CB474" s="0" t="s">
        <v>240</v>
      </c>
      <c r="CC474" s="0" t="s">
        <v>240</v>
      </c>
      <c r="CD474" s="0" t="s">
        <v>240</v>
      </c>
      <c r="CE474" s="0" t="s">
        <v>240</v>
      </c>
      <c r="CF474" s="0" t="s">
        <v>240</v>
      </c>
      <c r="CG474" s="0" t="s">
        <v>240</v>
      </c>
      <c r="CH474" s="0" t="s">
        <v>240</v>
      </c>
      <c r="CI474" s="0" t="s">
        <v>240</v>
      </c>
      <c r="CJ474" s="0" t="s">
        <v>240</v>
      </c>
      <c r="CK474" s="0" t="s">
        <v>240</v>
      </c>
      <c r="CL474" s="0" t="s">
        <v>240</v>
      </c>
      <c r="CM474" s="0" t="s">
        <v>240</v>
      </c>
      <c r="CN474" s="0" t="s">
        <v>240</v>
      </c>
      <c r="CO474" s="0" t="s">
        <v>240</v>
      </c>
      <c r="CP474" s="0" t="s">
        <v>240</v>
      </c>
      <c r="CQ474" s="0" t="s">
        <v>240</v>
      </c>
      <c r="CR474" s="0" t="s">
        <v>240</v>
      </c>
      <c r="CS474" s="0" t="s">
        <v>240</v>
      </c>
      <c r="CT474" s="0" t="s">
        <v>5496</v>
      </c>
      <c r="CU474" s="0" t="s">
        <v>5497</v>
      </c>
      <c r="CV474" s="0" t="s">
        <v>443</v>
      </c>
      <c r="CW474" s="0" t="s">
        <v>5509</v>
      </c>
      <c r="CX474" s="0" t="s">
        <v>229</v>
      </c>
      <c r="CY474" s="0" t="s">
        <v>443</v>
      </c>
      <c r="CZ474" s="0" t="s">
        <v>5510</v>
      </c>
      <c r="DA474" s="0" t="s">
        <v>5511</v>
      </c>
      <c r="DB474" s="0" t="s">
        <v>5509</v>
      </c>
      <c r="DC474" s="0" t="s">
        <v>384</v>
      </c>
      <c r="DD474" s="0" t="s">
        <v>291</v>
      </c>
      <c r="DE474" s="0" t="s">
        <v>6302</v>
      </c>
    </row>
    <row customHeight="1" ht="11.25">
      <c r="A475" s="1441" t="s">
        <v>240</v>
      </c>
      <c r="B475" s="0" t="s">
        <v>240</v>
      </c>
      <c r="C475" s="0" t="s">
        <v>240</v>
      </c>
      <c r="D475" s="0" t="s">
        <v>240</v>
      </c>
      <c r="E475" s="0" t="s">
        <v>240</v>
      </c>
      <c r="F475" s="0" t="s">
        <v>240</v>
      </c>
      <c r="G475" s="0" t="s">
        <v>240</v>
      </c>
      <c r="H475" s="0" t="s">
        <v>240</v>
      </c>
      <c r="I475" s="0" t="s">
        <v>5484</v>
      </c>
      <c r="J475" s="0" t="s">
        <v>240</v>
      </c>
      <c r="K475" s="0" t="s">
        <v>240</v>
      </c>
      <c r="L475" s="0" t="s">
        <v>240</v>
      </c>
      <c r="M475" s="0" t="s">
        <v>240</v>
      </c>
      <c r="N475" s="0" t="s">
        <v>240</v>
      </c>
      <c r="O475" s="0" t="s">
        <v>240</v>
      </c>
      <c r="P475" s="0" t="s">
        <v>240</v>
      </c>
      <c r="Q475" s="0" t="s">
        <v>240</v>
      </c>
      <c r="R475" s="0" t="s">
        <v>5608</v>
      </c>
      <c r="S475" s="0" t="s">
        <v>240</v>
      </c>
      <c r="T475" s="0" t="s">
        <v>240</v>
      </c>
      <c r="U475" s="0" t="s">
        <v>102</v>
      </c>
      <c r="V475" s="0" t="s">
        <v>240</v>
      </c>
      <c r="W475" s="0" t="s">
        <v>240</v>
      </c>
      <c r="X475" s="0" t="s">
        <v>5485</v>
      </c>
      <c r="Y475" s="0" t="s">
        <v>240</v>
      </c>
      <c r="Z475" s="0" t="s">
        <v>161</v>
      </c>
      <c r="AA475" s="0" t="s">
        <v>152</v>
      </c>
      <c r="AB475" s="0" t="s">
        <v>152</v>
      </c>
      <c r="AC475" s="0" t="s">
        <v>2985</v>
      </c>
      <c r="AD475" s="0" t="s">
        <v>2985</v>
      </c>
      <c r="AE475" s="0" t="s">
        <v>2986</v>
      </c>
      <c r="AF475" s="0" t="s">
        <v>5951</v>
      </c>
      <c r="AG475" s="0" t="s">
        <v>5952</v>
      </c>
      <c r="AH475" s="0" t="s">
        <v>6479</v>
      </c>
      <c r="AI475" s="0" t="s">
        <v>6480</v>
      </c>
      <c r="AJ475" s="0" t="s">
        <v>5504</v>
      </c>
      <c r="AK475" s="0" t="s">
        <v>5504</v>
      </c>
      <c r="AL475" s="0" t="s">
        <v>5605</v>
      </c>
      <c r="AM475" s="0" t="s">
        <v>5493</v>
      </c>
      <c r="AN475" s="0" t="s">
        <v>5507</v>
      </c>
      <c r="AO475" s="0" t="s">
        <v>6481</v>
      </c>
      <c r="AP475" s="0" t="s">
        <v>240</v>
      </c>
      <c r="AQ475" s="0" t="s">
        <v>240</v>
      </c>
      <c r="AR475" s="0" t="s">
        <v>240</v>
      </c>
      <c r="AS475" s="0" t="s">
        <v>240</v>
      </c>
      <c r="AT475" s="0" t="s">
        <v>240</v>
      </c>
      <c r="AU475" s="0" t="s">
        <v>240</v>
      </c>
      <c r="AV475" s="0" t="s">
        <v>240</v>
      </c>
      <c r="AW475" s="0" t="s">
        <v>240</v>
      </c>
      <c r="AX475" s="0" t="s">
        <v>240</v>
      </c>
      <c r="AY475" s="0" t="s">
        <v>240</v>
      </c>
      <c r="AZ475" s="0" t="s">
        <v>240</v>
      </c>
      <c r="BA475" s="0" t="s">
        <v>240</v>
      </c>
      <c r="BB475" s="0" t="s">
        <v>240</v>
      </c>
      <c r="BC475" s="0" t="s">
        <v>240</v>
      </c>
      <c r="BD475" s="0" t="s">
        <v>240</v>
      </c>
      <c r="BE475" s="0" t="s">
        <v>240</v>
      </c>
      <c r="BF475" s="0" t="s">
        <v>240</v>
      </c>
      <c r="BG475" s="0" t="s">
        <v>240</v>
      </c>
      <c r="BH475" s="0" t="s">
        <v>240</v>
      </c>
      <c r="BI475" s="0" t="s">
        <v>240</v>
      </c>
      <c r="BJ475" s="0" t="s">
        <v>240</v>
      </c>
      <c r="BK475" s="0" t="s">
        <v>240</v>
      </c>
      <c r="BL475" s="0" t="s">
        <v>240</v>
      </c>
      <c r="BM475" s="0" t="s">
        <v>240</v>
      </c>
      <c r="BN475" s="0" t="s">
        <v>240</v>
      </c>
      <c r="BO475" s="0" t="s">
        <v>240</v>
      </c>
      <c r="BP475" s="0" t="s">
        <v>240</v>
      </c>
      <c r="BQ475" s="0" t="s">
        <v>240</v>
      </c>
      <c r="BR475" s="0" t="s">
        <v>240</v>
      </c>
      <c r="BS475" s="0" t="s">
        <v>240</v>
      </c>
      <c r="BT475" s="0" t="s">
        <v>240</v>
      </c>
      <c r="BU475" s="0" t="s">
        <v>240</v>
      </c>
      <c r="BV475" s="0" t="s">
        <v>240</v>
      </c>
      <c r="BW475" s="0" t="s">
        <v>240</v>
      </c>
      <c r="BX475" s="0" t="s">
        <v>240</v>
      </c>
      <c r="BY475" s="0" t="s">
        <v>240</v>
      </c>
      <c r="BZ475" s="0" t="s">
        <v>240</v>
      </c>
      <c r="CA475" s="0" t="s">
        <v>240</v>
      </c>
      <c r="CB475" s="0" t="s">
        <v>240</v>
      </c>
      <c r="CC475" s="0" t="s">
        <v>240</v>
      </c>
      <c r="CD475" s="0" t="s">
        <v>240</v>
      </c>
      <c r="CE475" s="0" t="s">
        <v>240</v>
      </c>
      <c r="CF475" s="0" t="s">
        <v>240</v>
      </c>
      <c r="CG475" s="0" t="s">
        <v>240</v>
      </c>
      <c r="CH475" s="0" t="s">
        <v>240</v>
      </c>
      <c r="CI475" s="0" t="s">
        <v>240</v>
      </c>
      <c r="CJ475" s="0" t="s">
        <v>240</v>
      </c>
      <c r="CK475" s="0" t="s">
        <v>240</v>
      </c>
      <c r="CL475" s="0" t="s">
        <v>240</v>
      </c>
      <c r="CM475" s="0" t="s">
        <v>240</v>
      </c>
      <c r="CN475" s="0" t="s">
        <v>240</v>
      </c>
      <c r="CO475" s="0" t="s">
        <v>240</v>
      </c>
      <c r="CP475" s="0" t="s">
        <v>240</v>
      </c>
      <c r="CQ475" s="0" t="s">
        <v>240</v>
      </c>
      <c r="CR475" s="0" t="s">
        <v>240</v>
      </c>
      <c r="CS475" s="0" t="s">
        <v>240</v>
      </c>
      <c r="CT475" s="0" t="s">
        <v>5496</v>
      </c>
      <c r="CU475" s="0" t="s">
        <v>5497</v>
      </c>
      <c r="CV475" s="0" t="s">
        <v>443</v>
      </c>
      <c r="CW475" s="0" t="s">
        <v>5509</v>
      </c>
      <c r="CX475" s="0" t="s">
        <v>229</v>
      </c>
      <c r="CY475" s="0" t="s">
        <v>443</v>
      </c>
      <c r="CZ475" s="0" t="s">
        <v>5510</v>
      </c>
      <c r="DA475" s="0" t="s">
        <v>5511</v>
      </c>
      <c r="DB475" s="0" t="s">
        <v>5509</v>
      </c>
      <c r="DC475" s="0" t="s">
        <v>384</v>
      </c>
      <c r="DD475" s="0" t="s">
        <v>291</v>
      </c>
      <c r="DE475" s="0" t="s">
        <v>6482</v>
      </c>
    </row>
    <row customHeight="1" ht="11.25">
      <c r="A476" s="1441" t="s">
        <v>240</v>
      </c>
      <c r="B476" s="0" t="s">
        <v>240</v>
      </c>
      <c r="C476" s="0" t="s">
        <v>240</v>
      </c>
      <c r="D476" s="0" t="s">
        <v>240</v>
      </c>
      <c r="E476" s="0" t="s">
        <v>240</v>
      </c>
      <c r="F476" s="0" t="s">
        <v>240</v>
      </c>
      <c r="G476" s="0" t="s">
        <v>240</v>
      </c>
      <c r="H476" s="0" t="s">
        <v>240</v>
      </c>
      <c r="I476" s="0" t="s">
        <v>5484</v>
      </c>
      <c r="J476" s="0" t="s">
        <v>240</v>
      </c>
      <c r="K476" s="0" t="s">
        <v>240</v>
      </c>
      <c r="L476" s="0" t="s">
        <v>240</v>
      </c>
      <c r="M476" s="0" t="s">
        <v>240</v>
      </c>
      <c r="N476" s="0" t="s">
        <v>240</v>
      </c>
      <c r="O476" s="0" t="s">
        <v>240</v>
      </c>
      <c r="P476" s="0" t="s">
        <v>240</v>
      </c>
      <c r="Q476" s="0" t="s">
        <v>240</v>
      </c>
      <c r="R476" s="0" t="s">
        <v>5608</v>
      </c>
      <c r="S476" s="0" t="s">
        <v>240</v>
      </c>
      <c r="T476" s="0" t="s">
        <v>240</v>
      </c>
      <c r="U476" s="0" t="s">
        <v>102</v>
      </c>
      <c r="V476" s="0" t="s">
        <v>240</v>
      </c>
      <c r="W476" s="0" t="s">
        <v>240</v>
      </c>
      <c r="X476" s="0" t="s">
        <v>5485</v>
      </c>
      <c r="Y476" s="0" t="s">
        <v>240</v>
      </c>
      <c r="Z476" s="0" t="s">
        <v>161</v>
      </c>
      <c r="AA476" s="0" t="s">
        <v>152</v>
      </c>
      <c r="AB476" s="0" t="s">
        <v>152</v>
      </c>
      <c r="AC476" s="0" t="s">
        <v>2985</v>
      </c>
      <c r="AD476" s="0" t="s">
        <v>2985</v>
      </c>
      <c r="AE476" s="0" t="s">
        <v>2986</v>
      </c>
      <c r="AF476" s="0" t="s">
        <v>6427</v>
      </c>
      <c r="AG476" s="0" t="s">
        <v>6428</v>
      </c>
      <c r="AH476" s="0" t="s">
        <v>6430</v>
      </c>
      <c r="AI476" s="0" t="s">
        <v>6887</v>
      </c>
      <c r="AJ476" s="0" t="s">
        <v>5504</v>
      </c>
      <c r="AK476" s="0" t="s">
        <v>5505</v>
      </c>
      <c r="AL476" s="0" t="s">
        <v>5506</v>
      </c>
      <c r="AM476" s="0" t="s">
        <v>5493</v>
      </c>
      <c r="AN476" s="0" t="s">
        <v>5507</v>
      </c>
      <c r="AO476" s="0" t="s">
        <v>5695</v>
      </c>
      <c r="AP476" s="0" t="s">
        <v>240</v>
      </c>
      <c r="AQ476" s="0" t="s">
        <v>240</v>
      </c>
      <c r="AR476" s="0" t="s">
        <v>240</v>
      </c>
      <c r="AS476" s="0" t="s">
        <v>240</v>
      </c>
      <c r="AT476" s="0" t="s">
        <v>240</v>
      </c>
      <c r="AU476" s="0" t="s">
        <v>240</v>
      </c>
      <c r="AV476" s="0" t="s">
        <v>240</v>
      </c>
      <c r="AW476" s="0" t="s">
        <v>240</v>
      </c>
      <c r="AX476" s="0" t="s">
        <v>240</v>
      </c>
      <c r="AY476" s="0" t="s">
        <v>240</v>
      </c>
      <c r="AZ476" s="0" t="s">
        <v>240</v>
      </c>
      <c r="BA476" s="0" t="s">
        <v>240</v>
      </c>
      <c r="BB476" s="0" t="s">
        <v>240</v>
      </c>
      <c r="BC476" s="0" t="s">
        <v>240</v>
      </c>
      <c r="BD476" s="0" t="s">
        <v>240</v>
      </c>
      <c r="BE476" s="0" t="s">
        <v>240</v>
      </c>
      <c r="BF476" s="0" t="s">
        <v>240</v>
      </c>
      <c r="BG476" s="0" t="s">
        <v>240</v>
      </c>
      <c r="BH476" s="0" t="s">
        <v>240</v>
      </c>
      <c r="BI476" s="0" t="s">
        <v>240</v>
      </c>
      <c r="BJ476" s="0" t="s">
        <v>240</v>
      </c>
      <c r="BK476" s="0" t="s">
        <v>240</v>
      </c>
      <c r="BL476" s="0" t="s">
        <v>240</v>
      </c>
      <c r="BM476" s="0" t="s">
        <v>240</v>
      </c>
      <c r="BN476" s="0" t="s">
        <v>240</v>
      </c>
      <c r="BO476" s="0" t="s">
        <v>240</v>
      </c>
      <c r="BP476" s="0" t="s">
        <v>240</v>
      </c>
      <c r="BQ476" s="0" t="s">
        <v>240</v>
      </c>
      <c r="BR476" s="0" t="s">
        <v>240</v>
      </c>
      <c r="BS476" s="0" t="s">
        <v>240</v>
      </c>
      <c r="BT476" s="0" t="s">
        <v>240</v>
      </c>
      <c r="BU476" s="0" t="s">
        <v>240</v>
      </c>
      <c r="BV476" s="0" t="s">
        <v>240</v>
      </c>
      <c r="BW476" s="0" t="s">
        <v>240</v>
      </c>
      <c r="BX476" s="0" t="s">
        <v>240</v>
      </c>
      <c r="BY476" s="0" t="s">
        <v>240</v>
      </c>
      <c r="BZ476" s="0" t="s">
        <v>240</v>
      </c>
      <c r="CA476" s="0" t="s">
        <v>240</v>
      </c>
      <c r="CB476" s="0" t="s">
        <v>240</v>
      </c>
      <c r="CC476" s="0" t="s">
        <v>240</v>
      </c>
      <c r="CD476" s="0" t="s">
        <v>240</v>
      </c>
      <c r="CE476" s="0" t="s">
        <v>240</v>
      </c>
      <c r="CF476" s="0" t="s">
        <v>240</v>
      </c>
      <c r="CG476" s="0" t="s">
        <v>240</v>
      </c>
      <c r="CH476" s="0" t="s">
        <v>240</v>
      </c>
      <c r="CI476" s="0" t="s">
        <v>240</v>
      </c>
      <c r="CJ476" s="0" t="s">
        <v>240</v>
      </c>
      <c r="CK476" s="0" t="s">
        <v>240</v>
      </c>
      <c r="CL476" s="0" t="s">
        <v>240</v>
      </c>
      <c r="CM476" s="0" t="s">
        <v>240</v>
      </c>
      <c r="CN476" s="0" t="s">
        <v>240</v>
      </c>
      <c r="CO476" s="0" t="s">
        <v>240</v>
      </c>
      <c r="CP476" s="0" t="s">
        <v>240</v>
      </c>
      <c r="CQ476" s="0" t="s">
        <v>240</v>
      </c>
      <c r="CR476" s="0" t="s">
        <v>240</v>
      </c>
      <c r="CS476" s="0" t="s">
        <v>240</v>
      </c>
      <c r="CT476" s="0" t="s">
        <v>5496</v>
      </c>
      <c r="CU476" s="0" t="s">
        <v>5497</v>
      </c>
      <c r="CV476" s="0" t="s">
        <v>443</v>
      </c>
      <c r="CW476" s="0" t="s">
        <v>5509</v>
      </c>
      <c r="CX476" s="0" t="s">
        <v>229</v>
      </c>
      <c r="CY476" s="0" t="s">
        <v>443</v>
      </c>
      <c r="CZ476" s="0" t="s">
        <v>5510</v>
      </c>
      <c r="DA476" s="0" t="s">
        <v>5511</v>
      </c>
      <c r="DB476" s="0" t="s">
        <v>5509</v>
      </c>
      <c r="DC476" s="0" t="s">
        <v>384</v>
      </c>
      <c r="DD476" s="0" t="s">
        <v>291</v>
      </c>
      <c r="DE476" s="0" t="s">
        <v>6888</v>
      </c>
    </row>
    <row customHeight="1" ht="11.25">
      <c r="A477" s="1441" t="s">
        <v>240</v>
      </c>
      <c r="B477" s="0" t="s">
        <v>240</v>
      </c>
      <c r="C477" s="0" t="s">
        <v>240</v>
      </c>
      <c r="D477" s="0" t="s">
        <v>240</v>
      </c>
      <c r="E477" s="0" t="s">
        <v>240</v>
      </c>
      <c r="F477" s="0" t="s">
        <v>240</v>
      </c>
      <c r="G477" s="0" t="s">
        <v>240</v>
      </c>
      <c r="H477" s="0" t="s">
        <v>240</v>
      </c>
      <c r="I477" s="0" t="s">
        <v>5484</v>
      </c>
      <c r="J477" s="0" t="s">
        <v>240</v>
      </c>
      <c r="K477" s="0" t="s">
        <v>240</v>
      </c>
      <c r="L477" s="0" t="s">
        <v>240</v>
      </c>
      <c r="M477" s="0" t="s">
        <v>240</v>
      </c>
      <c r="N477" s="0" t="s">
        <v>240</v>
      </c>
      <c r="O477" s="0" t="s">
        <v>240</v>
      </c>
      <c r="P477" s="0" t="s">
        <v>240</v>
      </c>
      <c r="Q477" s="0" t="s">
        <v>240</v>
      </c>
      <c r="R477" s="0" t="s">
        <v>5705</v>
      </c>
      <c r="S477" s="0" t="s">
        <v>240</v>
      </c>
      <c r="T477" s="0" t="s">
        <v>240</v>
      </c>
      <c r="U477" s="0" t="s">
        <v>102</v>
      </c>
      <c r="V477" s="0" t="s">
        <v>240</v>
      </c>
      <c r="W477" s="0" t="s">
        <v>240</v>
      </c>
      <c r="X477" s="0" t="s">
        <v>5585</v>
      </c>
      <c r="Y477" s="0" t="s">
        <v>240</v>
      </c>
      <c r="Z477" s="0" t="s">
        <v>152</v>
      </c>
      <c r="AA477" s="0" t="s">
        <v>152</v>
      </c>
      <c r="AB477" s="0" t="s">
        <v>161</v>
      </c>
      <c r="AC477" s="0" t="s">
        <v>2985</v>
      </c>
      <c r="AD477" s="0" t="s">
        <v>2985</v>
      </c>
      <c r="AE477" s="0" t="s">
        <v>2986</v>
      </c>
      <c r="AF477" s="0" t="s">
        <v>5621</v>
      </c>
      <c r="AG477" s="0" t="s">
        <v>5622</v>
      </c>
      <c r="AH477" s="0" t="s">
        <v>5621</v>
      </c>
      <c r="AI477" s="0" t="s">
        <v>5644</v>
      </c>
      <c r="AJ477" s="0" t="s">
        <v>240</v>
      </c>
      <c r="AK477" s="0" t="s">
        <v>240</v>
      </c>
      <c r="AL477" s="0" t="s">
        <v>240</v>
      </c>
      <c r="AM477" s="0" t="s">
        <v>240</v>
      </c>
      <c r="AN477" s="0" t="s">
        <v>240</v>
      </c>
      <c r="AO477" s="0" t="s">
        <v>240</v>
      </c>
      <c r="AP477" s="0" t="s">
        <v>240</v>
      </c>
      <c r="AQ477" s="0" t="s">
        <v>240</v>
      </c>
      <c r="AR477" s="0" t="s">
        <v>240</v>
      </c>
      <c r="AS477" s="0" t="s">
        <v>240</v>
      </c>
      <c r="AT477" s="0" t="s">
        <v>240</v>
      </c>
      <c r="AU477" s="0" t="s">
        <v>240</v>
      </c>
      <c r="AV477" s="0" t="s">
        <v>240</v>
      </c>
      <c r="AW477" s="0" t="s">
        <v>240</v>
      </c>
      <c r="AX477" s="0" t="s">
        <v>240</v>
      </c>
      <c r="AY477" s="0" t="s">
        <v>240</v>
      </c>
      <c r="AZ477" s="0" t="s">
        <v>240</v>
      </c>
      <c r="BA477" s="0" t="s">
        <v>240</v>
      </c>
      <c r="BB477" s="0" t="s">
        <v>240</v>
      </c>
      <c r="BC477" s="0" t="s">
        <v>240</v>
      </c>
      <c r="BD477" s="0" t="s">
        <v>240</v>
      </c>
      <c r="BE477" s="0" t="s">
        <v>5645</v>
      </c>
      <c r="BF477" s="0" t="s">
        <v>5645</v>
      </c>
      <c r="BG477" s="0" t="s">
        <v>112</v>
      </c>
      <c r="BH477" s="0" t="s">
        <v>5589</v>
      </c>
      <c r="BI477" s="0" t="s">
        <v>123</v>
      </c>
      <c r="BJ477" s="0" t="s">
        <v>240</v>
      </c>
      <c r="BK477" s="0" t="s">
        <v>5608</v>
      </c>
      <c r="BL477" s="0" t="s">
        <v>2985</v>
      </c>
      <c r="BM477" s="0" t="s">
        <v>2985</v>
      </c>
      <c r="BN477" s="0" t="s">
        <v>5646</v>
      </c>
      <c r="BO477" s="0" t="s">
        <v>5621</v>
      </c>
      <c r="BP477" s="0" t="s">
        <v>6889</v>
      </c>
      <c r="BQ477" s="0" t="s">
        <v>5623</v>
      </c>
      <c r="BR477" s="0" t="s">
        <v>6598</v>
      </c>
      <c r="BS477" s="0" t="s">
        <v>240</v>
      </c>
      <c r="BT477" s="0" t="s">
        <v>5650</v>
      </c>
      <c r="BU477" s="0" t="s">
        <v>6972</v>
      </c>
      <c r="BV477" s="0" t="s">
        <v>6972</v>
      </c>
      <c r="BW477" s="0" t="s">
        <v>5598</v>
      </c>
      <c r="BX477" s="0" t="s">
        <v>5598</v>
      </c>
      <c r="BY477" s="0" t="s">
        <v>5598</v>
      </c>
      <c r="BZ477" s="0" t="s">
        <v>5598</v>
      </c>
      <c r="CA477" s="0" t="s">
        <v>5598</v>
      </c>
      <c r="CB477" s="0" t="s">
        <v>240</v>
      </c>
      <c r="CC477" s="0" t="s">
        <v>240</v>
      </c>
      <c r="CD477" s="0" t="s">
        <v>240</v>
      </c>
      <c r="CE477" s="0" t="s">
        <v>240</v>
      </c>
      <c r="CF477" s="0" t="s">
        <v>240</v>
      </c>
      <c r="CG477" s="0" t="s">
        <v>5598</v>
      </c>
      <c r="CH477" s="0" t="s">
        <v>240</v>
      </c>
      <c r="CI477" s="0" t="s">
        <v>240</v>
      </c>
      <c r="CJ477" s="0" t="s">
        <v>240</v>
      </c>
      <c r="CK477" s="0" t="s">
        <v>240</v>
      </c>
      <c r="CL477" s="0" t="s">
        <v>240</v>
      </c>
      <c r="CM477" s="0" t="s">
        <v>6972</v>
      </c>
      <c r="CN477" s="0" t="s">
        <v>6972</v>
      </c>
      <c r="CO477" s="0" t="s">
        <v>240</v>
      </c>
      <c r="CP477" s="0" t="s">
        <v>240</v>
      </c>
      <c r="CQ477" s="0" t="s">
        <v>240</v>
      </c>
      <c r="CR477" s="0" t="s">
        <v>240</v>
      </c>
      <c r="CS477" s="0" t="s">
        <v>5507</v>
      </c>
      <c r="CT477" s="0" t="s">
        <v>5496</v>
      </c>
      <c r="CU477" s="0" t="s">
        <v>5497</v>
      </c>
      <c r="CV477" s="0" t="s">
        <v>443</v>
      </c>
      <c r="CW477" s="0" t="s">
        <v>5509</v>
      </c>
      <c r="CX477" s="0" t="s">
        <v>229</v>
      </c>
      <c r="CY477" s="0" t="s">
        <v>443</v>
      </c>
      <c r="CZ477" s="0" t="s">
        <v>5510</v>
      </c>
      <c r="DA477" s="0" t="s">
        <v>5511</v>
      </c>
      <c r="DB477" s="0" t="s">
        <v>5509</v>
      </c>
      <c r="DC477" s="0" t="s">
        <v>384</v>
      </c>
      <c r="DD477" s="0" t="s">
        <v>291</v>
      </c>
      <c r="DE477" s="0" t="s">
        <v>6891</v>
      </c>
    </row>
    <row customHeight="1" ht="11.25">
      <c r="A478" s="1441" t="s">
        <v>240</v>
      </c>
      <c r="B478" s="0" t="s">
        <v>240</v>
      </c>
      <c r="C478" s="0" t="s">
        <v>240</v>
      </c>
      <c r="D478" s="0" t="s">
        <v>240</v>
      </c>
      <c r="E478" s="0" t="s">
        <v>240</v>
      </c>
      <c r="F478" s="0" t="s">
        <v>240</v>
      </c>
      <c r="G478" s="0" t="s">
        <v>240</v>
      </c>
      <c r="H478" s="0" t="s">
        <v>240</v>
      </c>
      <c r="I478" s="0" t="s">
        <v>5484</v>
      </c>
      <c r="J478" s="0" t="s">
        <v>240</v>
      </c>
      <c r="K478" s="0" t="s">
        <v>240</v>
      </c>
      <c r="L478" s="0" t="s">
        <v>240</v>
      </c>
      <c r="M478" s="0" t="s">
        <v>240</v>
      </c>
      <c r="N478" s="0" t="s">
        <v>240</v>
      </c>
      <c r="O478" s="0" t="s">
        <v>240</v>
      </c>
      <c r="P478" s="0" t="s">
        <v>240</v>
      </c>
      <c r="Q478" s="0" t="s">
        <v>240</v>
      </c>
      <c r="R478" s="0" t="s">
        <v>5572</v>
      </c>
      <c r="S478" s="0" t="s">
        <v>240</v>
      </c>
      <c r="T478" s="0" t="s">
        <v>240</v>
      </c>
      <c r="U478" s="0" t="s">
        <v>102</v>
      </c>
      <c r="V478" s="0" t="s">
        <v>240</v>
      </c>
      <c r="W478" s="0" t="s">
        <v>240</v>
      </c>
      <c r="X478" s="0" t="s">
        <v>5485</v>
      </c>
      <c r="Y478" s="0" t="s">
        <v>240</v>
      </c>
      <c r="Z478" s="0" t="s">
        <v>161</v>
      </c>
      <c r="AA478" s="0" t="s">
        <v>152</v>
      </c>
      <c r="AB478" s="0" t="s">
        <v>152</v>
      </c>
      <c r="AC478" s="0" t="s">
        <v>2991</v>
      </c>
      <c r="AD478" s="0" t="s">
        <v>2991</v>
      </c>
      <c r="AE478" s="0" t="s">
        <v>2992</v>
      </c>
      <c r="AF478" s="0" t="s">
        <v>5834</v>
      </c>
      <c r="AG478" s="0" t="s">
        <v>5835</v>
      </c>
      <c r="AH478" s="0" t="s">
        <v>5670</v>
      </c>
      <c r="AI478" s="0" t="s">
        <v>5551</v>
      </c>
      <c r="AJ478" s="0" t="s">
        <v>5504</v>
      </c>
      <c r="AK478" s="0" t="s">
        <v>5672</v>
      </c>
      <c r="AL478" s="0" t="s">
        <v>5506</v>
      </c>
      <c r="AM478" s="0" t="s">
        <v>5493</v>
      </c>
      <c r="AN478" s="0" t="s">
        <v>5545</v>
      </c>
      <c r="AO478" s="0" t="s">
        <v>5836</v>
      </c>
      <c r="AP478" s="0" t="s">
        <v>240</v>
      </c>
      <c r="AQ478" s="0" t="s">
        <v>240</v>
      </c>
      <c r="AR478" s="0" t="s">
        <v>240</v>
      </c>
      <c r="AS478" s="0" t="s">
        <v>240</v>
      </c>
      <c r="AT478" s="0" t="s">
        <v>240</v>
      </c>
      <c r="AU478" s="0" t="s">
        <v>240</v>
      </c>
      <c r="AV478" s="0" t="s">
        <v>240</v>
      </c>
      <c r="AW478" s="0" t="s">
        <v>240</v>
      </c>
      <c r="AX478" s="0" t="s">
        <v>240</v>
      </c>
      <c r="AY478" s="0" t="s">
        <v>240</v>
      </c>
      <c r="AZ478" s="0" t="s">
        <v>240</v>
      </c>
      <c r="BA478" s="0" t="s">
        <v>240</v>
      </c>
      <c r="BB478" s="0" t="s">
        <v>240</v>
      </c>
      <c r="BC478" s="0" t="s">
        <v>240</v>
      </c>
      <c r="BD478" s="0" t="s">
        <v>240</v>
      </c>
      <c r="BE478" s="0" t="s">
        <v>240</v>
      </c>
      <c r="BF478" s="0" t="s">
        <v>240</v>
      </c>
      <c r="BG478" s="0" t="s">
        <v>240</v>
      </c>
      <c r="BH478" s="0" t="s">
        <v>240</v>
      </c>
      <c r="BI478" s="0" t="s">
        <v>240</v>
      </c>
      <c r="BJ478" s="0" t="s">
        <v>240</v>
      </c>
      <c r="BK478" s="0" t="s">
        <v>240</v>
      </c>
      <c r="BL478" s="0" t="s">
        <v>240</v>
      </c>
      <c r="BM478" s="0" t="s">
        <v>240</v>
      </c>
      <c r="BN478" s="0" t="s">
        <v>240</v>
      </c>
      <c r="BO478" s="0" t="s">
        <v>240</v>
      </c>
      <c r="BP478" s="0" t="s">
        <v>240</v>
      </c>
      <c r="BQ478" s="0" t="s">
        <v>240</v>
      </c>
      <c r="BR478" s="0" t="s">
        <v>240</v>
      </c>
      <c r="BS478" s="0" t="s">
        <v>240</v>
      </c>
      <c r="BT478" s="0" t="s">
        <v>240</v>
      </c>
      <c r="BU478" s="0" t="s">
        <v>240</v>
      </c>
      <c r="BV478" s="0" t="s">
        <v>240</v>
      </c>
      <c r="BW478" s="0" t="s">
        <v>240</v>
      </c>
      <c r="BX478" s="0" t="s">
        <v>240</v>
      </c>
      <c r="BY478" s="0" t="s">
        <v>240</v>
      </c>
      <c r="BZ478" s="0" t="s">
        <v>240</v>
      </c>
      <c r="CA478" s="0" t="s">
        <v>240</v>
      </c>
      <c r="CB478" s="0" t="s">
        <v>240</v>
      </c>
      <c r="CC478" s="0" t="s">
        <v>240</v>
      </c>
      <c r="CD478" s="0" t="s">
        <v>240</v>
      </c>
      <c r="CE478" s="0" t="s">
        <v>240</v>
      </c>
      <c r="CF478" s="0" t="s">
        <v>240</v>
      </c>
      <c r="CG478" s="0" t="s">
        <v>240</v>
      </c>
      <c r="CH478" s="0" t="s">
        <v>240</v>
      </c>
      <c r="CI478" s="0" t="s">
        <v>240</v>
      </c>
      <c r="CJ478" s="0" t="s">
        <v>240</v>
      </c>
      <c r="CK478" s="0" t="s">
        <v>240</v>
      </c>
      <c r="CL478" s="0" t="s">
        <v>240</v>
      </c>
      <c r="CM478" s="0" t="s">
        <v>240</v>
      </c>
      <c r="CN478" s="0" t="s">
        <v>240</v>
      </c>
      <c r="CO478" s="0" t="s">
        <v>240</v>
      </c>
      <c r="CP478" s="0" t="s">
        <v>240</v>
      </c>
      <c r="CQ478" s="0" t="s">
        <v>240</v>
      </c>
      <c r="CR478" s="0" t="s">
        <v>240</v>
      </c>
      <c r="CS478" s="0" t="s">
        <v>240</v>
      </c>
      <c r="CT478" s="0" t="s">
        <v>5496</v>
      </c>
      <c r="CU478" s="0" t="s">
        <v>5497</v>
      </c>
      <c r="CV478" s="0" t="s">
        <v>443</v>
      </c>
      <c r="CW478" s="0" t="s">
        <v>5547</v>
      </c>
      <c r="CX478" s="0" t="s">
        <v>229</v>
      </c>
      <c r="CY478" s="0" t="s">
        <v>443</v>
      </c>
      <c r="CZ478" s="0" t="s">
        <v>5548</v>
      </c>
      <c r="DA478" s="0" t="s">
        <v>5549</v>
      </c>
      <c r="DB478" s="0" t="s">
        <v>5547</v>
      </c>
      <c r="DC478" s="0" t="s">
        <v>384</v>
      </c>
      <c r="DD478" s="0" t="s">
        <v>291</v>
      </c>
      <c r="DE478" s="0" t="s">
        <v>5837</v>
      </c>
    </row>
    <row customHeight="1" ht="11.25">
      <c r="A479" s="1441" t="s">
        <v>240</v>
      </c>
      <c r="B479" s="0" t="s">
        <v>240</v>
      </c>
      <c r="C479" s="0" t="s">
        <v>240</v>
      </c>
      <c r="D479" s="0" t="s">
        <v>240</v>
      </c>
      <c r="E479" s="0" t="s">
        <v>240</v>
      </c>
      <c r="F479" s="0" t="s">
        <v>240</v>
      </c>
      <c r="G479" s="0" t="s">
        <v>240</v>
      </c>
      <c r="H479" s="0" t="s">
        <v>240</v>
      </c>
      <c r="I479" s="0" t="s">
        <v>5484</v>
      </c>
      <c r="J479" s="0" t="s">
        <v>240</v>
      </c>
      <c r="K479" s="0" t="s">
        <v>240</v>
      </c>
      <c r="L479" s="0" t="s">
        <v>240</v>
      </c>
      <c r="M479" s="0" t="s">
        <v>240</v>
      </c>
      <c r="N479" s="0" t="s">
        <v>240</v>
      </c>
      <c r="O479" s="0" t="s">
        <v>240</v>
      </c>
      <c r="P479" s="0" t="s">
        <v>240</v>
      </c>
      <c r="Q479" s="0" t="s">
        <v>240</v>
      </c>
      <c r="R479" s="0" t="s">
        <v>6892</v>
      </c>
      <c r="S479" s="0" t="s">
        <v>240</v>
      </c>
      <c r="T479" s="0" t="s">
        <v>240</v>
      </c>
      <c r="U479" s="0" t="s">
        <v>102</v>
      </c>
      <c r="V479" s="0" t="s">
        <v>240</v>
      </c>
      <c r="W479" s="0" t="s">
        <v>240</v>
      </c>
      <c r="X479" s="0" t="s">
        <v>5585</v>
      </c>
      <c r="Y479" s="0" t="s">
        <v>240</v>
      </c>
      <c r="Z479" s="0" t="s">
        <v>152</v>
      </c>
      <c r="AA479" s="0" t="s">
        <v>152</v>
      </c>
      <c r="AB479" s="0" t="s">
        <v>161</v>
      </c>
      <c r="AC479" s="0" t="s">
        <v>2991</v>
      </c>
      <c r="AD479" s="0" t="s">
        <v>2991</v>
      </c>
      <c r="AE479" s="0" t="s">
        <v>2992</v>
      </c>
      <c r="AF479" s="0" t="s">
        <v>6647</v>
      </c>
      <c r="AG479" s="0" t="s">
        <v>6648</v>
      </c>
      <c r="AH479" s="0" t="s">
        <v>5575</v>
      </c>
      <c r="AI479" s="0" t="s">
        <v>5575</v>
      </c>
      <c r="AJ479" s="0" t="s">
        <v>240</v>
      </c>
      <c r="AK479" s="0" t="s">
        <v>240</v>
      </c>
      <c r="AL479" s="0" t="s">
        <v>240</v>
      </c>
      <c r="AM479" s="0" t="s">
        <v>240</v>
      </c>
      <c r="AN479" s="0" t="s">
        <v>240</v>
      </c>
      <c r="AO479" s="0" t="s">
        <v>240</v>
      </c>
      <c r="AP479" s="0" t="s">
        <v>240</v>
      </c>
      <c r="AQ479" s="0" t="s">
        <v>240</v>
      </c>
      <c r="AR479" s="0" t="s">
        <v>240</v>
      </c>
      <c r="AS479" s="0" t="s">
        <v>240</v>
      </c>
      <c r="AT479" s="0" t="s">
        <v>240</v>
      </c>
      <c r="AU479" s="0" t="s">
        <v>240</v>
      </c>
      <c r="AV479" s="0" t="s">
        <v>240</v>
      </c>
      <c r="AW479" s="0" t="s">
        <v>240</v>
      </c>
      <c r="AX479" s="0" t="s">
        <v>240</v>
      </c>
      <c r="AY479" s="0" t="s">
        <v>240</v>
      </c>
      <c r="AZ479" s="0" t="s">
        <v>240</v>
      </c>
      <c r="BA479" s="0" t="s">
        <v>240</v>
      </c>
      <c r="BB479" s="0" t="s">
        <v>240</v>
      </c>
      <c r="BC479" s="0" t="s">
        <v>240</v>
      </c>
      <c r="BD479" s="0" t="s">
        <v>240</v>
      </c>
      <c r="BE479" s="0" t="s">
        <v>5504</v>
      </c>
      <c r="BF479" s="0" t="s">
        <v>5544</v>
      </c>
      <c r="BG479" s="0" t="s">
        <v>112</v>
      </c>
      <c r="BH479" s="0" t="s">
        <v>5589</v>
      </c>
      <c r="BI479" s="0" t="s">
        <v>123</v>
      </c>
      <c r="BJ479" s="0" t="s">
        <v>240</v>
      </c>
      <c r="BK479" s="0" t="s">
        <v>5608</v>
      </c>
      <c r="BL479" s="0" t="s">
        <v>2991</v>
      </c>
      <c r="BM479" s="0" t="s">
        <v>2991</v>
      </c>
      <c r="BN479" s="0" t="s">
        <v>5663</v>
      </c>
      <c r="BO479" s="0" t="s">
        <v>6647</v>
      </c>
      <c r="BP479" s="0" t="s">
        <v>6893</v>
      </c>
      <c r="BQ479" s="0" t="s">
        <v>5575</v>
      </c>
      <c r="BR479" s="0" t="s">
        <v>5575</v>
      </c>
      <c r="BS479" s="0" t="s">
        <v>240</v>
      </c>
      <c r="BT479" s="0" t="s">
        <v>5650</v>
      </c>
      <c r="BU479" s="0" t="s">
        <v>6894</v>
      </c>
      <c r="BV479" s="0" t="s">
        <v>6894</v>
      </c>
      <c r="BW479" s="0" t="s">
        <v>5598</v>
      </c>
      <c r="BX479" s="0" t="s">
        <v>5598</v>
      </c>
      <c r="BY479" s="0" t="s">
        <v>5598</v>
      </c>
      <c r="BZ479" s="0" t="s">
        <v>5598</v>
      </c>
      <c r="CA479" s="0" t="s">
        <v>5598</v>
      </c>
      <c r="CB479" s="0" t="s">
        <v>240</v>
      </c>
      <c r="CC479" s="0" t="s">
        <v>240</v>
      </c>
      <c r="CD479" s="0" t="s">
        <v>240</v>
      </c>
      <c r="CE479" s="0" t="s">
        <v>240</v>
      </c>
      <c r="CF479" s="0" t="s">
        <v>240</v>
      </c>
      <c r="CG479" s="0" t="s">
        <v>5598</v>
      </c>
      <c r="CH479" s="0" t="s">
        <v>240</v>
      </c>
      <c r="CI479" s="0" t="s">
        <v>240</v>
      </c>
      <c r="CJ479" s="0" t="s">
        <v>240</v>
      </c>
      <c r="CK479" s="0" t="s">
        <v>240</v>
      </c>
      <c r="CL479" s="0" t="s">
        <v>240</v>
      </c>
      <c r="CM479" s="0" t="s">
        <v>6894</v>
      </c>
      <c r="CN479" s="0" t="s">
        <v>6894</v>
      </c>
      <c r="CO479" s="0" t="s">
        <v>240</v>
      </c>
      <c r="CP479" s="0" t="s">
        <v>240</v>
      </c>
      <c r="CQ479" s="0" t="s">
        <v>240</v>
      </c>
      <c r="CR479" s="0" t="s">
        <v>240</v>
      </c>
      <c r="CS479" s="0" t="s">
        <v>5666</v>
      </c>
      <c r="CT479" s="0" t="s">
        <v>5496</v>
      </c>
      <c r="CU479" s="0" t="s">
        <v>5497</v>
      </c>
      <c r="CV479" s="0" t="s">
        <v>443</v>
      </c>
      <c r="CW479" s="0" t="s">
        <v>5547</v>
      </c>
      <c r="CX479" s="0" t="s">
        <v>229</v>
      </c>
      <c r="CY479" s="0" t="s">
        <v>443</v>
      </c>
      <c r="CZ479" s="0" t="s">
        <v>5548</v>
      </c>
      <c r="DA479" s="0" t="s">
        <v>5549</v>
      </c>
      <c r="DB479" s="0" t="s">
        <v>5547</v>
      </c>
      <c r="DC479" s="0" t="s">
        <v>384</v>
      </c>
      <c r="DD479" s="0" t="s">
        <v>291</v>
      </c>
      <c r="DE479" s="0" t="s">
        <v>6895</v>
      </c>
    </row>
    <row customHeight="1" ht="11.25">
      <c r="A480" s="1441" t="s">
        <v>240</v>
      </c>
      <c r="B480" s="0" t="s">
        <v>240</v>
      </c>
      <c r="C480" s="0" t="s">
        <v>240</v>
      </c>
      <c r="D480" s="0" t="s">
        <v>240</v>
      </c>
      <c r="E480" s="0" t="s">
        <v>240</v>
      </c>
      <c r="F480" s="0" t="s">
        <v>240</v>
      </c>
      <c r="G480" s="0" t="s">
        <v>240</v>
      </c>
      <c r="H480" s="0" t="s">
        <v>240</v>
      </c>
      <c r="I480" s="0" t="s">
        <v>5484</v>
      </c>
      <c r="J480" s="0" t="s">
        <v>240</v>
      </c>
      <c r="K480" s="0" t="s">
        <v>240</v>
      </c>
      <c r="L480" s="0" t="s">
        <v>240</v>
      </c>
      <c r="M480" s="0" t="s">
        <v>240</v>
      </c>
      <c r="N480" s="0" t="s">
        <v>240</v>
      </c>
      <c r="O480" s="0" t="s">
        <v>240</v>
      </c>
      <c r="P480" s="0" t="s">
        <v>240</v>
      </c>
      <c r="Q480" s="0" t="s">
        <v>240</v>
      </c>
      <c r="R480" s="0" t="s">
        <v>6896</v>
      </c>
      <c r="S480" s="0" t="s">
        <v>240</v>
      </c>
      <c r="T480" s="0" t="s">
        <v>240</v>
      </c>
      <c r="U480" s="0" t="s">
        <v>102</v>
      </c>
      <c r="V480" s="0" t="s">
        <v>240</v>
      </c>
      <c r="W480" s="0" t="s">
        <v>240</v>
      </c>
      <c r="X480" s="0" t="s">
        <v>5485</v>
      </c>
      <c r="Y480" s="0" t="s">
        <v>240</v>
      </c>
      <c r="Z480" s="0" t="s">
        <v>161</v>
      </c>
      <c r="AA480" s="0" t="s">
        <v>152</v>
      </c>
      <c r="AB480" s="0" t="s">
        <v>152</v>
      </c>
      <c r="AC480" s="0" t="s">
        <v>2991</v>
      </c>
      <c r="AD480" s="0" t="s">
        <v>2991</v>
      </c>
      <c r="AE480" s="0" t="s">
        <v>2992</v>
      </c>
      <c r="AF480" s="0" t="s">
        <v>5722</v>
      </c>
      <c r="AG480" s="0" t="s">
        <v>5723</v>
      </c>
      <c r="AH480" s="0" t="s">
        <v>6897</v>
      </c>
      <c r="AI480" s="0" t="s">
        <v>5966</v>
      </c>
      <c r="AJ480" s="0" t="s">
        <v>5552</v>
      </c>
      <c r="AK480" s="0" t="s">
        <v>5672</v>
      </c>
      <c r="AL480" s="0" t="s">
        <v>5506</v>
      </c>
      <c r="AM480" s="0" t="s">
        <v>5493</v>
      </c>
      <c r="AN480" s="0" t="s">
        <v>5491</v>
      </c>
      <c r="AO480" s="0" t="s">
        <v>6440</v>
      </c>
      <c r="AP480" s="0" t="s">
        <v>240</v>
      </c>
      <c r="AQ480" s="0" t="s">
        <v>240</v>
      </c>
      <c r="AR480" s="0" t="s">
        <v>240</v>
      </c>
      <c r="AS480" s="0" t="s">
        <v>240</v>
      </c>
      <c r="AT480" s="0" t="s">
        <v>240</v>
      </c>
      <c r="AU480" s="0" t="s">
        <v>240</v>
      </c>
      <c r="AV480" s="0" t="s">
        <v>240</v>
      </c>
      <c r="AW480" s="0" t="s">
        <v>240</v>
      </c>
      <c r="AX480" s="0" t="s">
        <v>240</v>
      </c>
      <c r="AY480" s="0" t="s">
        <v>240</v>
      </c>
      <c r="AZ480" s="0" t="s">
        <v>240</v>
      </c>
      <c r="BA480" s="0" t="s">
        <v>240</v>
      </c>
      <c r="BB480" s="0" t="s">
        <v>240</v>
      </c>
      <c r="BC480" s="0" t="s">
        <v>240</v>
      </c>
      <c r="BD480" s="0" t="s">
        <v>240</v>
      </c>
      <c r="BE480" s="0" t="s">
        <v>240</v>
      </c>
      <c r="BF480" s="0" t="s">
        <v>240</v>
      </c>
      <c r="BG480" s="0" t="s">
        <v>240</v>
      </c>
      <c r="BH480" s="0" t="s">
        <v>240</v>
      </c>
      <c r="BI480" s="0" t="s">
        <v>240</v>
      </c>
      <c r="BJ480" s="0" t="s">
        <v>240</v>
      </c>
      <c r="BK480" s="0" t="s">
        <v>240</v>
      </c>
      <c r="BL480" s="0" t="s">
        <v>240</v>
      </c>
      <c r="BM480" s="0" t="s">
        <v>240</v>
      </c>
      <c r="BN480" s="0" t="s">
        <v>240</v>
      </c>
      <c r="BO480" s="0" t="s">
        <v>240</v>
      </c>
      <c r="BP480" s="0" t="s">
        <v>240</v>
      </c>
      <c r="BQ480" s="0" t="s">
        <v>240</v>
      </c>
      <c r="BR480" s="0" t="s">
        <v>240</v>
      </c>
      <c r="BS480" s="0" t="s">
        <v>240</v>
      </c>
      <c r="BT480" s="0" t="s">
        <v>240</v>
      </c>
      <c r="BU480" s="0" t="s">
        <v>240</v>
      </c>
      <c r="BV480" s="0" t="s">
        <v>240</v>
      </c>
      <c r="BW480" s="0" t="s">
        <v>240</v>
      </c>
      <c r="BX480" s="0" t="s">
        <v>240</v>
      </c>
      <c r="BY480" s="0" t="s">
        <v>240</v>
      </c>
      <c r="BZ480" s="0" t="s">
        <v>240</v>
      </c>
      <c r="CA480" s="0" t="s">
        <v>240</v>
      </c>
      <c r="CB480" s="0" t="s">
        <v>240</v>
      </c>
      <c r="CC480" s="0" t="s">
        <v>240</v>
      </c>
      <c r="CD480" s="0" t="s">
        <v>240</v>
      </c>
      <c r="CE480" s="0" t="s">
        <v>240</v>
      </c>
      <c r="CF480" s="0" t="s">
        <v>240</v>
      </c>
      <c r="CG480" s="0" t="s">
        <v>240</v>
      </c>
      <c r="CH480" s="0" t="s">
        <v>240</v>
      </c>
      <c r="CI480" s="0" t="s">
        <v>240</v>
      </c>
      <c r="CJ480" s="0" t="s">
        <v>240</v>
      </c>
      <c r="CK480" s="0" t="s">
        <v>240</v>
      </c>
      <c r="CL480" s="0" t="s">
        <v>240</v>
      </c>
      <c r="CM480" s="0" t="s">
        <v>240</v>
      </c>
      <c r="CN480" s="0" t="s">
        <v>240</v>
      </c>
      <c r="CO480" s="0" t="s">
        <v>240</v>
      </c>
      <c r="CP480" s="0" t="s">
        <v>240</v>
      </c>
      <c r="CQ480" s="0" t="s">
        <v>240</v>
      </c>
      <c r="CR480" s="0" t="s">
        <v>240</v>
      </c>
      <c r="CS480" s="0" t="s">
        <v>240</v>
      </c>
      <c r="CT480" s="0" t="s">
        <v>5496</v>
      </c>
      <c r="CU480" s="0" t="s">
        <v>5497</v>
      </c>
      <c r="CV480" s="0" t="s">
        <v>443</v>
      </c>
      <c r="CW480" s="0" t="s">
        <v>5547</v>
      </c>
      <c r="CX480" s="0" t="s">
        <v>229</v>
      </c>
      <c r="CY480" s="0" t="s">
        <v>443</v>
      </c>
      <c r="CZ480" s="0" t="s">
        <v>5548</v>
      </c>
      <c r="DA480" s="0" t="s">
        <v>5549</v>
      </c>
      <c r="DB480" s="0" t="s">
        <v>5547</v>
      </c>
      <c r="DC480" s="0" t="s">
        <v>384</v>
      </c>
      <c r="DD480" s="0" t="s">
        <v>291</v>
      </c>
      <c r="DE480" s="0" t="s">
        <v>6898</v>
      </c>
    </row>
    <row customHeight="1" ht="11.25">
      <c r="A481" s="1441" t="s">
        <v>240</v>
      </c>
      <c r="B481" s="0" t="s">
        <v>240</v>
      </c>
      <c r="C481" s="0" t="s">
        <v>240</v>
      </c>
      <c r="D481" s="0" t="s">
        <v>240</v>
      </c>
      <c r="E481" s="0" t="s">
        <v>240</v>
      </c>
      <c r="F481" s="0" t="s">
        <v>240</v>
      </c>
      <c r="G481" s="0" t="s">
        <v>240</v>
      </c>
      <c r="H481" s="0" t="s">
        <v>240</v>
      </c>
      <c r="I481" s="0" t="s">
        <v>5484</v>
      </c>
      <c r="J481" s="0" t="s">
        <v>240</v>
      </c>
      <c r="K481" s="0" t="s">
        <v>240</v>
      </c>
      <c r="L481" s="0" t="s">
        <v>240</v>
      </c>
      <c r="M481" s="0" t="s">
        <v>240</v>
      </c>
      <c r="N481" s="0" t="s">
        <v>240</v>
      </c>
      <c r="O481" s="0" t="s">
        <v>240</v>
      </c>
      <c r="P481" s="0" t="s">
        <v>240</v>
      </c>
      <c r="Q481" s="0" t="s">
        <v>240</v>
      </c>
      <c r="R481" s="0" t="s">
        <v>5721</v>
      </c>
      <c r="S481" s="0" t="s">
        <v>240</v>
      </c>
      <c r="T481" s="0" t="s">
        <v>240</v>
      </c>
      <c r="U481" s="0" t="s">
        <v>102</v>
      </c>
      <c r="V481" s="0" t="s">
        <v>240</v>
      </c>
      <c r="W481" s="0" t="s">
        <v>240</v>
      </c>
      <c r="X481" s="0" t="s">
        <v>5585</v>
      </c>
      <c r="Y481" s="0" t="s">
        <v>240</v>
      </c>
      <c r="Z481" s="0" t="s">
        <v>152</v>
      </c>
      <c r="AA481" s="0" t="s">
        <v>152</v>
      </c>
      <c r="AB481" s="0" t="s">
        <v>161</v>
      </c>
      <c r="AC481" s="0" t="s">
        <v>2991</v>
      </c>
      <c r="AD481" s="0" t="s">
        <v>2991</v>
      </c>
      <c r="AE481" s="0" t="s">
        <v>2992</v>
      </c>
      <c r="AF481" s="0" t="s">
        <v>5722</v>
      </c>
      <c r="AG481" s="0" t="s">
        <v>5723</v>
      </c>
      <c r="AH481" s="0" t="s">
        <v>5575</v>
      </c>
      <c r="AI481" s="0" t="s">
        <v>5575</v>
      </c>
      <c r="AJ481" s="0" t="s">
        <v>240</v>
      </c>
      <c r="AK481" s="0" t="s">
        <v>240</v>
      </c>
      <c r="AL481" s="0" t="s">
        <v>240</v>
      </c>
      <c r="AM481" s="0" t="s">
        <v>240</v>
      </c>
      <c r="AN481" s="0" t="s">
        <v>240</v>
      </c>
      <c r="AO481" s="0" t="s">
        <v>240</v>
      </c>
      <c r="AP481" s="0" t="s">
        <v>240</v>
      </c>
      <c r="AQ481" s="0" t="s">
        <v>240</v>
      </c>
      <c r="AR481" s="0" t="s">
        <v>240</v>
      </c>
      <c r="AS481" s="0" t="s">
        <v>240</v>
      </c>
      <c r="AT481" s="0" t="s">
        <v>240</v>
      </c>
      <c r="AU481" s="0" t="s">
        <v>240</v>
      </c>
      <c r="AV481" s="0" t="s">
        <v>240</v>
      </c>
      <c r="AW481" s="0" t="s">
        <v>240</v>
      </c>
      <c r="AX481" s="0" t="s">
        <v>240</v>
      </c>
      <c r="AY481" s="0" t="s">
        <v>240</v>
      </c>
      <c r="AZ481" s="0" t="s">
        <v>240</v>
      </c>
      <c r="BA481" s="0" t="s">
        <v>240</v>
      </c>
      <c r="BB481" s="0" t="s">
        <v>240</v>
      </c>
      <c r="BC481" s="0" t="s">
        <v>240</v>
      </c>
      <c r="BD481" s="0" t="s">
        <v>240</v>
      </c>
      <c r="BE481" s="0" t="s">
        <v>5504</v>
      </c>
      <c r="BF481" s="0" t="s">
        <v>5544</v>
      </c>
      <c r="BG481" s="0" t="s">
        <v>112</v>
      </c>
      <c r="BH481" s="0" t="s">
        <v>5589</v>
      </c>
      <c r="BI481" s="0" t="s">
        <v>123</v>
      </c>
      <c r="BJ481" s="0" t="s">
        <v>240</v>
      </c>
      <c r="BK481" s="0" t="s">
        <v>5608</v>
      </c>
      <c r="BL481" s="0" t="s">
        <v>2991</v>
      </c>
      <c r="BM481" s="0" t="s">
        <v>2991</v>
      </c>
      <c r="BN481" s="0" t="s">
        <v>5663</v>
      </c>
      <c r="BO481" s="0" t="s">
        <v>5722</v>
      </c>
      <c r="BP481" s="0" t="s">
        <v>5724</v>
      </c>
      <c r="BQ481" s="0" t="s">
        <v>5575</v>
      </c>
      <c r="BR481" s="0" t="s">
        <v>5575</v>
      </c>
      <c r="BS481" s="0" t="s">
        <v>240</v>
      </c>
      <c r="BT481" s="0" t="s">
        <v>5650</v>
      </c>
      <c r="BU481" s="0" t="s">
        <v>5725</v>
      </c>
      <c r="BV481" s="0" t="s">
        <v>5725</v>
      </c>
      <c r="BW481" s="0" t="s">
        <v>5598</v>
      </c>
      <c r="BX481" s="0" t="s">
        <v>5598</v>
      </c>
      <c r="BY481" s="0" t="s">
        <v>5598</v>
      </c>
      <c r="BZ481" s="0" t="s">
        <v>5598</v>
      </c>
      <c r="CA481" s="0" t="s">
        <v>5598</v>
      </c>
      <c r="CB481" s="0" t="s">
        <v>240</v>
      </c>
      <c r="CC481" s="0" t="s">
        <v>240</v>
      </c>
      <c r="CD481" s="0" t="s">
        <v>240</v>
      </c>
      <c r="CE481" s="0" t="s">
        <v>240</v>
      </c>
      <c r="CF481" s="0" t="s">
        <v>240</v>
      </c>
      <c r="CG481" s="0" t="s">
        <v>5598</v>
      </c>
      <c r="CH481" s="0" t="s">
        <v>240</v>
      </c>
      <c r="CI481" s="0" t="s">
        <v>240</v>
      </c>
      <c r="CJ481" s="0" t="s">
        <v>240</v>
      </c>
      <c r="CK481" s="0" t="s">
        <v>240</v>
      </c>
      <c r="CL481" s="0" t="s">
        <v>240</v>
      </c>
      <c r="CM481" s="0" t="s">
        <v>5725</v>
      </c>
      <c r="CN481" s="0" t="s">
        <v>5725</v>
      </c>
      <c r="CO481" s="0" t="s">
        <v>240</v>
      </c>
      <c r="CP481" s="0" t="s">
        <v>240</v>
      </c>
      <c r="CQ481" s="0" t="s">
        <v>240</v>
      </c>
      <c r="CR481" s="0" t="s">
        <v>240</v>
      </c>
      <c r="CS481" s="0" t="s">
        <v>5666</v>
      </c>
      <c r="CT481" s="0" t="s">
        <v>5496</v>
      </c>
      <c r="CU481" s="0" t="s">
        <v>5497</v>
      </c>
      <c r="CV481" s="0" t="s">
        <v>443</v>
      </c>
      <c r="CW481" s="0" t="s">
        <v>5547</v>
      </c>
      <c r="CX481" s="0" t="s">
        <v>229</v>
      </c>
      <c r="CY481" s="0" t="s">
        <v>443</v>
      </c>
      <c r="CZ481" s="0" t="s">
        <v>5548</v>
      </c>
      <c r="DA481" s="0" t="s">
        <v>5549</v>
      </c>
      <c r="DB481" s="0" t="s">
        <v>5547</v>
      </c>
      <c r="DC481" s="0" t="s">
        <v>384</v>
      </c>
      <c r="DD481" s="0" t="s">
        <v>291</v>
      </c>
      <c r="DE481" s="0" t="s">
        <v>5726</v>
      </c>
    </row>
    <row customHeight="1" ht="11.25">
      <c r="A482" s="1441" t="s">
        <v>240</v>
      </c>
      <c r="B482" s="0" t="s">
        <v>240</v>
      </c>
      <c r="C482" s="0" t="s">
        <v>240</v>
      </c>
      <c r="D482" s="0" t="s">
        <v>240</v>
      </c>
      <c r="E482" s="0" t="s">
        <v>240</v>
      </c>
      <c r="F482" s="0" t="s">
        <v>240</v>
      </c>
      <c r="G482" s="0" t="s">
        <v>240</v>
      </c>
      <c r="H482" s="0" t="s">
        <v>240</v>
      </c>
      <c r="I482" s="0" t="s">
        <v>5484</v>
      </c>
      <c r="J482" s="0" t="s">
        <v>240</v>
      </c>
      <c r="K482" s="0" t="s">
        <v>240</v>
      </c>
      <c r="L482" s="0" t="s">
        <v>240</v>
      </c>
      <c r="M482" s="0" t="s">
        <v>240</v>
      </c>
      <c r="N482" s="0" t="s">
        <v>240</v>
      </c>
      <c r="O482" s="0" t="s">
        <v>240</v>
      </c>
      <c r="P482" s="0" t="s">
        <v>240</v>
      </c>
      <c r="Q482" s="0" t="s">
        <v>240</v>
      </c>
      <c r="R482" s="0" t="s">
        <v>5827</v>
      </c>
      <c r="S482" s="0" t="s">
        <v>240</v>
      </c>
      <c r="T482" s="0" t="s">
        <v>240</v>
      </c>
      <c r="U482" s="0" t="s">
        <v>102</v>
      </c>
      <c r="V482" s="0" t="s">
        <v>240</v>
      </c>
      <c r="W482" s="0" t="s">
        <v>240</v>
      </c>
      <c r="X482" s="0" t="s">
        <v>5585</v>
      </c>
      <c r="Y482" s="0" t="s">
        <v>240</v>
      </c>
      <c r="Z482" s="0" t="s">
        <v>152</v>
      </c>
      <c r="AA482" s="0" t="s">
        <v>152</v>
      </c>
      <c r="AB482" s="0" t="s">
        <v>161</v>
      </c>
      <c r="AC482" s="0" t="s">
        <v>2991</v>
      </c>
      <c r="AD482" s="0" t="s">
        <v>2991</v>
      </c>
      <c r="AE482" s="0" t="s">
        <v>2992</v>
      </c>
      <c r="AF482" s="0" t="s">
        <v>5828</v>
      </c>
      <c r="AG482" s="0" t="s">
        <v>5829</v>
      </c>
      <c r="AH482" s="0" t="s">
        <v>5575</v>
      </c>
      <c r="AI482" s="0" t="s">
        <v>5575</v>
      </c>
      <c r="AJ482" s="0" t="s">
        <v>240</v>
      </c>
      <c r="AK482" s="0" t="s">
        <v>240</v>
      </c>
      <c r="AL482" s="0" t="s">
        <v>240</v>
      </c>
      <c r="AM482" s="0" t="s">
        <v>240</v>
      </c>
      <c r="AN482" s="0" t="s">
        <v>240</v>
      </c>
      <c r="AO482" s="0" t="s">
        <v>240</v>
      </c>
      <c r="AP482" s="0" t="s">
        <v>240</v>
      </c>
      <c r="AQ482" s="0" t="s">
        <v>240</v>
      </c>
      <c r="AR482" s="0" t="s">
        <v>240</v>
      </c>
      <c r="AS482" s="0" t="s">
        <v>240</v>
      </c>
      <c r="AT482" s="0" t="s">
        <v>240</v>
      </c>
      <c r="AU482" s="0" t="s">
        <v>240</v>
      </c>
      <c r="AV482" s="0" t="s">
        <v>240</v>
      </c>
      <c r="AW482" s="0" t="s">
        <v>240</v>
      </c>
      <c r="AX482" s="0" t="s">
        <v>240</v>
      </c>
      <c r="AY482" s="0" t="s">
        <v>240</v>
      </c>
      <c r="AZ482" s="0" t="s">
        <v>240</v>
      </c>
      <c r="BA482" s="0" t="s">
        <v>240</v>
      </c>
      <c r="BB482" s="0" t="s">
        <v>240</v>
      </c>
      <c r="BC482" s="0" t="s">
        <v>240</v>
      </c>
      <c r="BD482" s="0" t="s">
        <v>240</v>
      </c>
      <c r="BE482" s="0" t="s">
        <v>5576</v>
      </c>
      <c r="BF482" s="0" t="s">
        <v>5830</v>
      </c>
      <c r="BG482" s="0" t="s">
        <v>112</v>
      </c>
      <c r="BH482" s="0" t="s">
        <v>5589</v>
      </c>
      <c r="BI482" s="0" t="s">
        <v>123</v>
      </c>
      <c r="BJ482" s="0" t="s">
        <v>240</v>
      </c>
      <c r="BK482" s="0" t="s">
        <v>5608</v>
      </c>
      <c r="BL482" s="0" t="s">
        <v>2991</v>
      </c>
      <c r="BM482" s="0" t="s">
        <v>2991</v>
      </c>
      <c r="BN482" s="0" t="s">
        <v>5663</v>
      </c>
      <c r="BO482" s="0" t="s">
        <v>5828</v>
      </c>
      <c r="BP482" s="0" t="s">
        <v>5831</v>
      </c>
      <c r="BQ482" s="0" t="s">
        <v>5575</v>
      </c>
      <c r="BR482" s="0" t="s">
        <v>5575</v>
      </c>
      <c r="BS482" s="0" t="s">
        <v>240</v>
      </c>
      <c r="BT482" s="0" t="s">
        <v>5650</v>
      </c>
      <c r="BU482" s="0" t="s">
        <v>5832</v>
      </c>
      <c r="BV482" s="0" t="s">
        <v>5832</v>
      </c>
      <c r="BW482" s="0" t="s">
        <v>5598</v>
      </c>
      <c r="BX482" s="0" t="s">
        <v>5598</v>
      </c>
      <c r="BY482" s="0" t="s">
        <v>5598</v>
      </c>
      <c r="BZ482" s="0" t="s">
        <v>5598</v>
      </c>
      <c r="CA482" s="0" t="s">
        <v>5598</v>
      </c>
      <c r="CB482" s="0" t="s">
        <v>240</v>
      </c>
      <c r="CC482" s="0" t="s">
        <v>240</v>
      </c>
      <c r="CD482" s="0" t="s">
        <v>240</v>
      </c>
      <c r="CE482" s="0" t="s">
        <v>240</v>
      </c>
      <c r="CF482" s="0" t="s">
        <v>240</v>
      </c>
      <c r="CG482" s="0" t="s">
        <v>5598</v>
      </c>
      <c r="CH482" s="0" t="s">
        <v>240</v>
      </c>
      <c r="CI482" s="0" t="s">
        <v>240</v>
      </c>
      <c r="CJ482" s="0" t="s">
        <v>240</v>
      </c>
      <c r="CK482" s="0" t="s">
        <v>240</v>
      </c>
      <c r="CL482" s="0" t="s">
        <v>240</v>
      </c>
      <c r="CM482" s="0" t="s">
        <v>5832</v>
      </c>
      <c r="CN482" s="0" t="s">
        <v>5832</v>
      </c>
      <c r="CO482" s="0" t="s">
        <v>240</v>
      </c>
      <c r="CP482" s="0" t="s">
        <v>240</v>
      </c>
      <c r="CQ482" s="0" t="s">
        <v>240</v>
      </c>
      <c r="CR482" s="0" t="s">
        <v>240</v>
      </c>
      <c r="CS482" s="0" t="s">
        <v>5666</v>
      </c>
      <c r="CT482" s="0" t="s">
        <v>5496</v>
      </c>
      <c r="CU482" s="0" t="s">
        <v>5497</v>
      </c>
      <c r="CV482" s="0" t="s">
        <v>443</v>
      </c>
      <c r="CW482" s="0" t="s">
        <v>5547</v>
      </c>
      <c r="CX482" s="0" t="s">
        <v>229</v>
      </c>
      <c r="CY482" s="0" t="s">
        <v>443</v>
      </c>
      <c r="CZ482" s="0" t="s">
        <v>5548</v>
      </c>
      <c r="DA482" s="0" t="s">
        <v>5549</v>
      </c>
      <c r="DB482" s="0" t="s">
        <v>5547</v>
      </c>
      <c r="DC482" s="0" t="s">
        <v>384</v>
      </c>
      <c r="DD482" s="0" t="s">
        <v>291</v>
      </c>
      <c r="DE482" s="0" t="s">
        <v>5833</v>
      </c>
    </row>
    <row customHeight="1" ht="11.25">
      <c r="A483" s="1441" t="s">
        <v>240</v>
      </c>
      <c r="B483" s="0" t="s">
        <v>240</v>
      </c>
      <c r="C483" s="0" t="s">
        <v>240</v>
      </c>
      <c r="D483" s="0" t="s">
        <v>240</v>
      </c>
      <c r="E483" s="0" t="s">
        <v>240</v>
      </c>
      <c r="F483" s="0" t="s">
        <v>240</v>
      </c>
      <c r="G483" s="0" t="s">
        <v>240</v>
      </c>
      <c r="H483" s="0" t="s">
        <v>240</v>
      </c>
      <c r="I483" s="0" t="s">
        <v>5484</v>
      </c>
      <c r="J483" s="0" t="s">
        <v>240</v>
      </c>
      <c r="K483" s="0" t="s">
        <v>240</v>
      </c>
      <c r="L483" s="0" t="s">
        <v>240</v>
      </c>
      <c r="M483" s="0" t="s">
        <v>240</v>
      </c>
      <c r="N483" s="0" t="s">
        <v>240</v>
      </c>
      <c r="O483" s="0" t="s">
        <v>240</v>
      </c>
      <c r="P483" s="0" t="s">
        <v>240</v>
      </c>
      <c r="Q483" s="0" t="s">
        <v>240</v>
      </c>
      <c r="R483" s="0" t="s">
        <v>6973</v>
      </c>
      <c r="S483" s="0" t="s">
        <v>240</v>
      </c>
      <c r="T483" s="0" t="s">
        <v>240</v>
      </c>
      <c r="U483" s="0" t="s">
        <v>102</v>
      </c>
      <c r="V483" s="0" t="s">
        <v>240</v>
      </c>
      <c r="W483" s="0" t="s">
        <v>240</v>
      </c>
      <c r="X483" s="0" t="s">
        <v>5485</v>
      </c>
      <c r="Y483" s="0" t="s">
        <v>240</v>
      </c>
      <c r="Z483" s="0" t="s">
        <v>161</v>
      </c>
      <c r="AA483" s="0" t="s">
        <v>152</v>
      </c>
      <c r="AB483" s="0" t="s">
        <v>152</v>
      </c>
      <c r="AC483" s="0" t="s">
        <v>3389</v>
      </c>
      <c r="AD483" s="0" t="s">
        <v>3389</v>
      </c>
      <c r="AE483" s="0" t="s">
        <v>3390</v>
      </c>
      <c r="AF483" s="0" t="s">
        <v>5519</v>
      </c>
      <c r="AG483" s="0" t="s">
        <v>5520</v>
      </c>
      <c r="AH483" s="0" t="s">
        <v>6578</v>
      </c>
      <c r="AI483" s="0" t="s">
        <v>5928</v>
      </c>
      <c r="AJ483" s="0" t="s">
        <v>5872</v>
      </c>
      <c r="AK483" s="0" t="s">
        <v>6579</v>
      </c>
      <c r="AL483" s="0" t="s">
        <v>5524</v>
      </c>
      <c r="AM483" s="0" t="s">
        <v>5493</v>
      </c>
      <c r="AN483" s="0" t="s">
        <v>6580</v>
      </c>
      <c r="AO483" s="0" t="s">
        <v>6581</v>
      </c>
      <c r="AP483" s="0" t="s">
        <v>240</v>
      </c>
      <c r="AQ483" s="0" t="s">
        <v>240</v>
      </c>
      <c r="AR483" s="0" t="s">
        <v>240</v>
      </c>
      <c r="AS483" s="0" t="s">
        <v>240</v>
      </c>
      <c r="AT483" s="0" t="s">
        <v>240</v>
      </c>
      <c r="AU483" s="0" t="s">
        <v>240</v>
      </c>
      <c r="AV483" s="0" t="s">
        <v>240</v>
      </c>
      <c r="AW483" s="0" t="s">
        <v>240</v>
      </c>
      <c r="AX483" s="0" t="s">
        <v>240</v>
      </c>
      <c r="AY483" s="0" t="s">
        <v>240</v>
      </c>
      <c r="AZ483" s="0" t="s">
        <v>240</v>
      </c>
      <c r="BA483" s="0" t="s">
        <v>240</v>
      </c>
      <c r="BB483" s="0" t="s">
        <v>240</v>
      </c>
      <c r="BC483" s="0" t="s">
        <v>240</v>
      </c>
      <c r="BD483" s="0" t="s">
        <v>240</v>
      </c>
      <c r="BE483" s="0" t="s">
        <v>240</v>
      </c>
      <c r="BF483" s="0" t="s">
        <v>240</v>
      </c>
      <c r="BG483" s="0" t="s">
        <v>240</v>
      </c>
      <c r="BH483" s="0" t="s">
        <v>240</v>
      </c>
      <c r="BI483" s="0" t="s">
        <v>240</v>
      </c>
      <c r="BJ483" s="0" t="s">
        <v>240</v>
      </c>
      <c r="BK483" s="0" t="s">
        <v>240</v>
      </c>
      <c r="BL483" s="0" t="s">
        <v>240</v>
      </c>
      <c r="BM483" s="0" t="s">
        <v>240</v>
      </c>
      <c r="BN483" s="0" t="s">
        <v>240</v>
      </c>
      <c r="BO483" s="0" t="s">
        <v>240</v>
      </c>
      <c r="BP483" s="0" t="s">
        <v>240</v>
      </c>
      <c r="BQ483" s="0" t="s">
        <v>240</v>
      </c>
      <c r="BR483" s="0" t="s">
        <v>240</v>
      </c>
      <c r="BS483" s="0" t="s">
        <v>240</v>
      </c>
      <c r="BT483" s="0" t="s">
        <v>240</v>
      </c>
      <c r="BU483" s="0" t="s">
        <v>240</v>
      </c>
      <c r="BV483" s="0" t="s">
        <v>240</v>
      </c>
      <c r="BW483" s="0" t="s">
        <v>240</v>
      </c>
      <c r="BX483" s="0" t="s">
        <v>240</v>
      </c>
      <c r="BY483" s="0" t="s">
        <v>240</v>
      </c>
      <c r="BZ483" s="0" t="s">
        <v>240</v>
      </c>
      <c r="CA483" s="0" t="s">
        <v>240</v>
      </c>
      <c r="CB483" s="0" t="s">
        <v>240</v>
      </c>
      <c r="CC483" s="0" t="s">
        <v>240</v>
      </c>
      <c r="CD483" s="0" t="s">
        <v>240</v>
      </c>
      <c r="CE483" s="0" t="s">
        <v>240</v>
      </c>
      <c r="CF483" s="0" t="s">
        <v>240</v>
      </c>
      <c r="CG483" s="0" t="s">
        <v>240</v>
      </c>
      <c r="CH483" s="0" t="s">
        <v>240</v>
      </c>
      <c r="CI483" s="0" t="s">
        <v>240</v>
      </c>
      <c r="CJ483" s="0" t="s">
        <v>240</v>
      </c>
      <c r="CK483" s="0" t="s">
        <v>240</v>
      </c>
      <c r="CL483" s="0" t="s">
        <v>240</v>
      </c>
      <c r="CM483" s="0" t="s">
        <v>240</v>
      </c>
      <c r="CN483" s="0" t="s">
        <v>240</v>
      </c>
      <c r="CO483" s="0" t="s">
        <v>240</v>
      </c>
      <c r="CP483" s="0" t="s">
        <v>240</v>
      </c>
      <c r="CQ483" s="0" t="s">
        <v>240</v>
      </c>
      <c r="CR483" s="0" t="s">
        <v>240</v>
      </c>
      <c r="CS483" s="0" t="s">
        <v>240</v>
      </c>
      <c r="CT483" s="0" t="s">
        <v>5496</v>
      </c>
      <c r="CU483" s="0" t="s">
        <v>5497</v>
      </c>
      <c r="CV483" s="0" t="s">
        <v>443</v>
      </c>
      <c r="CW483" s="0" t="s">
        <v>5527</v>
      </c>
      <c r="CX483" s="0" t="s">
        <v>5528</v>
      </c>
      <c r="CY483" s="0" t="s">
        <v>443</v>
      </c>
      <c r="CZ483" s="0" t="s">
        <v>299</v>
      </c>
      <c r="DA483" s="0" t="s">
        <v>5529</v>
      </c>
      <c r="DB483" s="0" t="s">
        <v>5527</v>
      </c>
      <c r="DC483" s="0" t="s">
        <v>384</v>
      </c>
      <c r="DD483" s="0" t="s">
        <v>291</v>
      </c>
      <c r="DE483" s="0" t="s">
        <v>6582</v>
      </c>
    </row>
    <row customHeight="1" ht="11.25">
      <c r="A484" s="1441" t="s">
        <v>240</v>
      </c>
      <c r="B484" s="0" t="s">
        <v>240</v>
      </c>
      <c r="C484" s="0" t="s">
        <v>240</v>
      </c>
      <c r="D484" s="0" t="s">
        <v>240</v>
      </c>
      <c r="E484" s="0" t="s">
        <v>240</v>
      </c>
      <c r="F484" s="0" t="s">
        <v>240</v>
      </c>
      <c r="G484" s="0" t="s">
        <v>240</v>
      </c>
      <c r="H484" s="0" t="s">
        <v>240</v>
      </c>
      <c r="I484" s="0" t="s">
        <v>5484</v>
      </c>
      <c r="J484" s="0" t="s">
        <v>240</v>
      </c>
      <c r="K484" s="0" t="s">
        <v>240</v>
      </c>
      <c r="L484" s="0" t="s">
        <v>240</v>
      </c>
      <c r="M484" s="0" t="s">
        <v>240</v>
      </c>
      <c r="N484" s="0" t="s">
        <v>240</v>
      </c>
      <c r="O484" s="0" t="s">
        <v>240</v>
      </c>
      <c r="P484" s="0" t="s">
        <v>240</v>
      </c>
      <c r="Q484" s="0" t="s">
        <v>240</v>
      </c>
      <c r="R484" s="0" t="s">
        <v>5572</v>
      </c>
      <c r="S484" s="0" t="s">
        <v>240</v>
      </c>
      <c r="T484" s="0" t="s">
        <v>240</v>
      </c>
      <c r="U484" s="0" t="s">
        <v>102</v>
      </c>
      <c r="V484" s="0" t="s">
        <v>240</v>
      </c>
      <c r="W484" s="0" t="s">
        <v>240</v>
      </c>
      <c r="X484" s="0" t="s">
        <v>5485</v>
      </c>
      <c r="Y484" s="0" t="s">
        <v>240</v>
      </c>
      <c r="Z484" s="0" t="s">
        <v>161</v>
      </c>
      <c r="AA484" s="0" t="s">
        <v>152</v>
      </c>
      <c r="AB484" s="0" t="s">
        <v>152</v>
      </c>
      <c r="AC484" s="0" t="s">
        <v>2991</v>
      </c>
      <c r="AD484" s="0" t="s">
        <v>2991</v>
      </c>
      <c r="AE484" s="0" t="s">
        <v>2992</v>
      </c>
      <c r="AF484" s="0" t="s">
        <v>6050</v>
      </c>
      <c r="AG484" s="0" t="s">
        <v>6051</v>
      </c>
      <c r="AH484" s="0" t="s">
        <v>6052</v>
      </c>
      <c r="AI484" s="0" t="s">
        <v>6053</v>
      </c>
      <c r="AJ484" s="0" t="s">
        <v>5552</v>
      </c>
      <c r="AK484" s="0" t="s">
        <v>5672</v>
      </c>
      <c r="AL484" s="0" t="s">
        <v>5506</v>
      </c>
      <c r="AM484" s="0" t="s">
        <v>5493</v>
      </c>
      <c r="AN484" s="0" t="s">
        <v>5553</v>
      </c>
      <c r="AO484" s="0" t="s">
        <v>5752</v>
      </c>
      <c r="AP484" s="0" t="s">
        <v>240</v>
      </c>
      <c r="AQ484" s="0" t="s">
        <v>240</v>
      </c>
      <c r="AR484" s="0" t="s">
        <v>240</v>
      </c>
      <c r="AS484" s="0" t="s">
        <v>240</v>
      </c>
      <c r="AT484" s="0" t="s">
        <v>240</v>
      </c>
      <c r="AU484" s="0" t="s">
        <v>240</v>
      </c>
      <c r="AV484" s="0" t="s">
        <v>240</v>
      </c>
      <c r="AW484" s="0" t="s">
        <v>240</v>
      </c>
      <c r="AX484" s="0" t="s">
        <v>240</v>
      </c>
      <c r="AY484" s="0" t="s">
        <v>240</v>
      </c>
      <c r="AZ484" s="0" t="s">
        <v>240</v>
      </c>
      <c r="BA484" s="0" t="s">
        <v>240</v>
      </c>
      <c r="BB484" s="0" t="s">
        <v>240</v>
      </c>
      <c r="BC484" s="0" t="s">
        <v>240</v>
      </c>
      <c r="BD484" s="0" t="s">
        <v>240</v>
      </c>
      <c r="BE484" s="0" t="s">
        <v>240</v>
      </c>
      <c r="BF484" s="0" t="s">
        <v>240</v>
      </c>
      <c r="BG484" s="0" t="s">
        <v>240</v>
      </c>
      <c r="BH484" s="0" t="s">
        <v>240</v>
      </c>
      <c r="BI484" s="0" t="s">
        <v>240</v>
      </c>
      <c r="BJ484" s="0" t="s">
        <v>240</v>
      </c>
      <c r="BK484" s="0" t="s">
        <v>240</v>
      </c>
      <c r="BL484" s="0" t="s">
        <v>240</v>
      </c>
      <c r="BM484" s="0" t="s">
        <v>240</v>
      </c>
      <c r="BN484" s="0" t="s">
        <v>240</v>
      </c>
      <c r="BO484" s="0" t="s">
        <v>240</v>
      </c>
      <c r="BP484" s="0" t="s">
        <v>240</v>
      </c>
      <c r="BQ484" s="0" t="s">
        <v>240</v>
      </c>
      <c r="BR484" s="0" t="s">
        <v>240</v>
      </c>
      <c r="BS484" s="0" t="s">
        <v>240</v>
      </c>
      <c r="BT484" s="0" t="s">
        <v>240</v>
      </c>
      <c r="BU484" s="0" t="s">
        <v>240</v>
      </c>
      <c r="BV484" s="0" t="s">
        <v>240</v>
      </c>
      <c r="BW484" s="0" t="s">
        <v>240</v>
      </c>
      <c r="BX484" s="0" t="s">
        <v>240</v>
      </c>
      <c r="BY484" s="0" t="s">
        <v>240</v>
      </c>
      <c r="BZ484" s="0" t="s">
        <v>240</v>
      </c>
      <c r="CA484" s="0" t="s">
        <v>240</v>
      </c>
      <c r="CB484" s="0" t="s">
        <v>240</v>
      </c>
      <c r="CC484" s="0" t="s">
        <v>240</v>
      </c>
      <c r="CD484" s="0" t="s">
        <v>240</v>
      </c>
      <c r="CE484" s="0" t="s">
        <v>240</v>
      </c>
      <c r="CF484" s="0" t="s">
        <v>240</v>
      </c>
      <c r="CG484" s="0" t="s">
        <v>240</v>
      </c>
      <c r="CH484" s="0" t="s">
        <v>240</v>
      </c>
      <c r="CI484" s="0" t="s">
        <v>240</v>
      </c>
      <c r="CJ484" s="0" t="s">
        <v>240</v>
      </c>
      <c r="CK484" s="0" t="s">
        <v>240</v>
      </c>
      <c r="CL484" s="0" t="s">
        <v>240</v>
      </c>
      <c r="CM484" s="0" t="s">
        <v>240</v>
      </c>
      <c r="CN484" s="0" t="s">
        <v>240</v>
      </c>
      <c r="CO484" s="0" t="s">
        <v>240</v>
      </c>
      <c r="CP484" s="0" t="s">
        <v>240</v>
      </c>
      <c r="CQ484" s="0" t="s">
        <v>240</v>
      </c>
      <c r="CR484" s="0" t="s">
        <v>240</v>
      </c>
      <c r="CS484" s="0" t="s">
        <v>240</v>
      </c>
      <c r="CT484" s="0" t="s">
        <v>5496</v>
      </c>
      <c r="CU484" s="0" t="s">
        <v>5497</v>
      </c>
      <c r="CV484" s="0" t="s">
        <v>443</v>
      </c>
      <c r="CW484" s="0" t="s">
        <v>5547</v>
      </c>
      <c r="CX484" s="0" t="s">
        <v>229</v>
      </c>
      <c r="CY484" s="0" t="s">
        <v>443</v>
      </c>
      <c r="CZ484" s="0" t="s">
        <v>5548</v>
      </c>
      <c r="DA484" s="0" t="s">
        <v>5549</v>
      </c>
      <c r="DB484" s="0" t="s">
        <v>5547</v>
      </c>
      <c r="DC484" s="0" t="s">
        <v>384</v>
      </c>
      <c r="DD484" s="0" t="s">
        <v>291</v>
      </c>
      <c r="DE484" s="0" t="s">
        <v>6054</v>
      </c>
    </row>
    <row customHeight="1" ht="11.25">
      <c r="A485" s="1441" t="s">
        <v>240</v>
      </c>
      <c r="B485" s="0" t="s">
        <v>240</v>
      </c>
      <c r="C485" s="0" t="s">
        <v>240</v>
      </c>
      <c r="D485" s="0" t="s">
        <v>240</v>
      </c>
      <c r="E485" s="0" t="s">
        <v>240</v>
      </c>
      <c r="F485" s="0" t="s">
        <v>240</v>
      </c>
      <c r="G485" s="0" t="s">
        <v>240</v>
      </c>
      <c r="H485" s="0" t="s">
        <v>240</v>
      </c>
      <c r="I485" s="0" t="s">
        <v>5484</v>
      </c>
      <c r="J485" s="0" t="s">
        <v>240</v>
      </c>
      <c r="K485" s="0" t="s">
        <v>240</v>
      </c>
      <c r="L485" s="0" t="s">
        <v>240</v>
      </c>
      <c r="M485" s="0" t="s">
        <v>240</v>
      </c>
      <c r="N485" s="0" t="s">
        <v>240</v>
      </c>
      <c r="O485" s="0" t="s">
        <v>240</v>
      </c>
      <c r="P485" s="0" t="s">
        <v>240</v>
      </c>
      <c r="Q485" s="0" t="s">
        <v>240</v>
      </c>
      <c r="R485" s="0" t="s">
        <v>6537</v>
      </c>
      <c r="S485" s="0" t="s">
        <v>240</v>
      </c>
      <c r="T485" s="0" t="s">
        <v>240</v>
      </c>
      <c r="U485" s="0" t="s">
        <v>102</v>
      </c>
      <c r="V485" s="0" t="s">
        <v>240</v>
      </c>
      <c r="W485" s="0" t="s">
        <v>240</v>
      </c>
      <c r="X485" s="0" t="s">
        <v>5585</v>
      </c>
      <c r="Y485" s="0" t="s">
        <v>240</v>
      </c>
      <c r="Z485" s="0" t="s">
        <v>152</v>
      </c>
      <c r="AA485" s="0" t="s">
        <v>152</v>
      </c>
      <c r="AB485" s="0" t="s">
        <v>161</v>
      </c>
      <c r="AC485" s="0" t="s">
        <v>2991</v>
      </c>
      <c r="AD485" s="0" t="s">
        <v>2991</v>
      </c>
      <c r="AE485" s="0" t="s">
        <v>2992</v>
      </c>
      <c r="AF485" s="0" t="s">
        <v>6534</v>
      </c>
      <c r="AG485" s="0" t="s">
        <v>6535</v>
      </c>
      <c r="AH485" s="0" t="s">
        <v>5575</v>
      </c>
      <c r="AI485" s="0" t="s">
        <v>5575</v>
      </c>
      <c r="AJ485" s="0" t="s">
        <v>240</v>
      </c>
      <c r="AK485" s="0" t="s">
        <v>240</v>
      </c>
      <c r="AL485" s="0" t="s">
        <v>240</v>
      </c>
      <c r="AM485" s="0" t="s">
        <v>240</v>
      </c>
      <c r="AN485" s="0" t="s">
        <v>240</v>
      </c>
      <c r="AO485" s="0" t="s">
        <v>240</v>
      </c>
      <c r="AP485" s="0" t="s">
        <v>240</v>
      </c>
      <c r="AQ485" s="0" t="s">
        <v>240</v>
      </c>
      <c r="AR485" s="0" t="s">
        <v>240</v>
      </c>
      <c r="AS485" s="0" t="s">
        <v>240</v>
      </c>
      <c r="AT485" s="0" t="s">
        <v>240</v>
      </c>
      <c r="AU485" s="0" t="s">
        <v>240</v>
      </c>
      <c r="AV485" s="0" t="s">
        <v>240</v>
      </c>
      <c r="AW485" s="0" t="s">
        <v>240</v>
      </c>
      <c r="AX485" s="0" t="s">
        <v>240</v>
      </c>
      <c r="AY485" s="0" t="s">
        <v>240</v>
      </c>
      <c r="AZ485" s="0" t="s">
        <v>240</v>
      </c>
      <c r="BA485" s="0" t="s">
        <v>240</v>
      </c>
      <c r="BB485" s="0" t="s">
        <v>240</v>
      </c>
      <c r="BC485" s="0" t="s">
        <v>240</v>
      </c>
      <c r="BD485" s="0" t="s">
        <v>240</v>
      </c>
      <c r="BE485" s="0" t="s">
        <v>5552</v>
      </c>
      <c r="BF485" s="0" t="s">
        <v>5672</v>
      </c>
      <c r="BG485" s="0" t="s">
        <v>112</v>
      </c>
      <c r="BH485" s="0" t="s">
        <v>5589</v>
      </c>
      <c r="BI485" s="0" t="s">
        <v>123</v>
      </c>
      <c r="BJ485" s="0" t="s">
        <v>240</v>
      </c>
      <c r="BK485" s="0" t="s">
        <v>5608</v>
      </c>
      <c r="BL485" s="0" t="s">
        <v>2991</v>
      </c>
      <c r="BM485" s="0" t="s">
        <v>2991</v>
      </c>
      <c r="BN485" s="0" t="s">
        <v>5663</v>
      </c>
      <c r="BO485" s="0" t="s">
        <v>6534</v>
      </c>
      <c r="BP485" s="0" t="s">
        <v>6538</v>
      </c>
      <c r="BQ485" s="0" t="s">
        <v>5575</v>
      </c>
      <c r="BR485" s="0" t="s">
        <v>5575</v>
      </c>
      <c r="BS485" s="0" t="s">
        <v>240</v>
      </c>
      <c r="BT485" s="0" t="s">
        <v>5650</v>
      </c>
      <c r="BU485" s="0" t="s">
        <v>6539</v>
      </c>
      <c r="BV485" s="0" t="s">
        <v>6539</v>
      </c>
      <c r="BW485" s="0" t="s">
        <v>5598</v>
      </c>
      <c r="BX485" s="0" t="s">
        <v>5598</v>
      </c>
      <c r="BY485" s="0" t="s">
        <v>5598</v>
      </c>
      <c r="BZ485" s="0" t="s">
        <v>5598</v>
      </c>
      <c r="CA485" s="0" t="s">
        <v>5598</v>
      </c>
      <c r="CB485" s="0" t="s">
        <v>240</v>
      </c>
      <c r="CC485" s="0" t="s">
        <v>240</v>
      </c>
      <c r="CD485" s="0" t="s">
        <v>240</v>
      </c>
      <c r="CE485" s="0" t="s">
        <v>240</v>
      </c>
      <c r="CF485" s="0" t="s">
        <v>240</v>
      </c>
      <c r="CG485" s="0" t="s">
        <v>5598</v>
      </c>
      <c r="CH485" s="0" t="s">
        <v>240</v>
      </c>
      <c r="CI485" s="0" t="s">
        <v>240</v>
      </c>
      <c r="CJ485" s="0" t="s">
        <v>240</v>
      </c>
      <c r="CK485" s="0" t="s">
        <v>240</v>
      </c>
      <c r="CL485" s="0" t="s">
        <v>240</v>
      </c>
      <c r="CM485" s="0" t="s">
        <v>6539</v>
      </c>
      <c r="CN485" s="0" t="s">
        <v>6539</v>
      </c>
      <c r="CO485" s="0" t="s">
        <v>240</v>
      </c>
      <c r="CP485" s="0" t="s">
        <v>240</v>
      </c>
      <c r="CQ485" s="0" t="s">
        <v>240</v>
      </c>
      <c r="CR485" s="0" t="s">
        <v>240</v>
      </c>
      <c r="CS485" s="0" t="s">
        <v>5666</v>
      </c>
      <c r="CT485" s="0" t="s">
        <v>5496</v>
      </c>
      <c r="CU485" s="0" t="s">
        <v>5497</v>
      </c>
      <c r="CV485" s="0" t="s">
        <v>443</v>
      </c>
      <c r="CW485" s="0" t="s">
        <v>5547</v>
      </c>
      <c r="CX485" s="0" t="s">
        <v>229</v>
      </c>
      <c r="CY485" s="0" t="s">
        <v>443</v>
      </c>
      <c r="CZ485" s="0" t="s">
        <v>5548</v>
      </c>
      <c r="DA485" s="0" t="s">
        <v>5549</v>
      </c>
      <c r="DB485" s="0" t="s">
        <v>5547</v>
      </c>
      <c r="DC485" s="0" t="s">
        <v>384</v>
      </c>
      <c r="DD485" s="0" t="s">
        <v>291</v>
      </c>
      <c r="DE485" s="0" t="s">
        <v>6540</v>
      </c>
    </row>
    <row customHeight="1" ht="11.25">
      <c r="A486" s="1441" t="s">
        <v>240</v>
      </c>
      <c r="B486" s="0" t="s">
        <v>240</v>
      </c>
      <c r="C486" s="0" t="s">
        <v>240</v>
      </c>
      <c r="D486" s="0" t="s">
        <v>240</v>
      </c>
      <c r="E486" s="0" t="s">
        <v>240</v>
      </c>
      <c r="F486" s="0" t="s">
        <v>240</v>
      </c>
      <c r="G486" s="0" t="s">
        <v>240</v>
      </c>
      <c r="H486" s="0" t="s">
        <v>240</v>
      </c>
      <c r="I486" s="0" t="s">
        <v>5484</v>
      </c>
      <c r="J486" s="0" t="s">
        <v>240</v>
      </c>
      <c r="K486" s="0" t="s">
        <v>240</v>
      </c>
      <c r="L486" s="0" t="s">
        <v>240</v>
      </c>
      <c r="M486" s="0" t="s">
        <v>240</v>
      </c>
      <c r="N486" s="0" t="s">
        <v>240</v>
      </c>
      <c r="O486" s="0" t="s">
        <v>240</v>
      </c>
      <c r="P486" s="0" t="s">
        <v>240</v>
      </c>
      <c r="Q486" s="0" t="s">
        <v>240</v>
      </c>
      <c r="R486" s="0" t="s">
        <v>5572</v>
      </c>
      <c r="S486" s="0" t="s">
        <v>240</v>
      </c>
      <c r="T486" s="0" t="s">
        <v>240</v>
      </c>
      <c r="U486" s="0" t="s">
        <v>102</v>
      </c>
      <c r="V486" s="0" t="s">
        <v>240</v>
      </c>
      <c r="W486" s="0" t="s">
        <v>240</v>
      </c>
      <c r="X486" s="0" t="s">
        <v>5485</v>
      </c>
      <c r="Y486" s="0" t="s">
        <v>240</v>
      </c>
      <c r="Z486" s="0" t="s">
        <v>161</v>
      </c>
      <c r="AA486" s="0" t="s">
        <v>152</v>
      </c>
      <c r="AB486" s="0" t="s">
        <v>152</v>
      </c>
      <c r="AC486" s="0" t="s">
        <v>2991</v>
      </c>
      <c r="AD486" s="0" t="s">
        <v>2991</v>
      </c>
      <c r="AE486" s="0" t="s">
        <v>2992</v>
      </c>
      <c r="AF486" s="0" t="s">
        <v>6713</v>
      </c>
      <c r="AG486" s="0" t="s">
        <v>6714</v>
      </c>
      <c r="AH486" s="0" t="s">
        <v>5684</v>
      </c>
      <c r="AI486" s="0" t="s">
        <v>5575</v>
      </c>
      <c r="AJ486" s="0" t="s">
        <v>5504</v>
      </c>
      <c r="AK486" s="0" t="s">
        <v>5544</v>
      </c>
      <c r="AL486" s="0" t="s">
        <v>5506</v>
      </c>
      <c r="AM486" s="0" t="s">
        <v>5493</v>
      </c>
      <c r="AN486" s="0" t="s">
        <v>5553</v>
      </c>
      <c r="AO486" s="0" t="s">
        <v>5625</v>
      </c>
      <c r="AP486" s="0" t="s">
        <v>240</v>
      </c>
      <c r="AQ486" s="0" t="s">
        <v>240</v>
      </c>
      <c r="AR486" s="0" t="s">
        <v>240</v>
      </c>
      <c r="AS486" s="0" t="s">
        <v>240</v>
      </c>
      <c r="AT486" s="0" t="s">
        <v>240</v>
      </c>
      <c r="AU486" s="0" t="s">
        <v>240</v>
      </c>
      <c r="AV486" s="0" t="s">
        <v>240</v>
      </c>
      <c r="AW486" s="0" t="s">
        <v>240</v>
      </c>
      <c r="AX486" s="0" t="s">
        <v>240</v>
      </c>
      <c r="AY486" s="0" t="s">
        <v>240</v>
      </c>
      <c r="AZ486" s="0" t="s">
        <v>240</v>
      </c>
      <c r="BA486" s="0" t="s">
        <v>240</v>
      </c>
      <c r="BB486" s="0" t="s">
        <v>240</v>
      </c>
      <c r="BC486" s="0" t="s">
        <v>240</v>
      </c>
      <c r="BD486" s="0" t="s">
        <v>240</v>
      </c>
      <c r="BE486" s="0" t="s">
        <v>240</v>
      </c>
      <c r="BF486" s="0" t="s">
        <v>240</v>
      </c>
      <c r="BG486" s="0" t="s">
        <v>240</v>
      </c>
      <c r="BH486" s="0" t="s">
        <v>240</v>
      </c>
      <c r="BI486" s="0" t="s">
        <v>240</v>
      </c>
      <c r="BJ486" s="0" t="s">
        <v>240</v>
      </c>
      <c r="BK486" s="0" t="s">
        <v>240</v>
      </c>
      <c r="BL486" s="0" t="s">
        <v>240</v>
      </c>
      <c r="BM486" s="0" t="s">
        <v>240</v>
      </c>
      <c r="BN486" s="0" t="s">
        <v>240</v>
      </c>
      <c r="BO486" s="0" t="s">
        <v>240</v>
      </c>
      <c r="BP486" s="0" t="s">
        <v>240</v>
      </c>
      <c r="BQ486" s="0" t="s">
        <v>240</v>
      </c>
      <c r="BR486" s="0" t="s">
        <v>240</v>
      </c>
      <c r="BS486" s="0" t="s">
        <v>240</v>
      </c>
      <c r="BT486" s="0" t="s">
        <v>240</v>
      </c>
      <c r="BU486" s="0" t="s">
        <v>240</v>
      </c>
      <c r="BV486" s="0" t="s">
        <v>240</v>
      </c>
      <c r="BW486" s="0" t="s">
        <v>240</v>
      </c>
      <c r="BX486" s="0" t="s">
        <v>240</v>
      </c>
      <c r="BY486" s="0" t="s">
        <v>240</v>
      </c>
      <c r="BZ486" s="0" t="s">
        <v>240</v>
      </c>
      <c r="CA486" s="0" t="s">
        <v>240</v>
      </c>
      <c r="CB486" s="0" t="s">
        <v>240</v>
      </c>
      <c r="CC486" s="0" t="s">
        <v>240</v>
      </c>
      <c r="CD486" s="0" t="s">
        <v>240</v>
      </c>
      <c r="CE486" s="0" t="s">
        <v>240</v>
      </c>
      <c r="CF486" s="0" t="s">
        <v>240</v>
      </c>
      <c r="CG486" s="0" t="s">
        <v>240</v>
      </c>
      <c r="CH486" s="0" t="s">
        <v>240</v>
      </c>
      <c r="CI486" s="0" t="s">
        <v>240</v>
      </c>
      <c r="CJ486" s="0" t="s">
        <v>240</v>
      </c>
      <c r="CK486" s="0" t="s">
        <v>240</v>
      </c>
      <c r="CL486" s="0" t="s">
        <v>240</v>
      </c>
      <c r="CM486" s="0" t="s">
        <v>240</v>
      </c>
      <c r="CN486" s="0" t="s">
        <v>240</v>
      </c>
      <c r="CO486" s="0" t="s">
        <v>240</v>
      </c>
      <c r="CP486" s="0" t="s">
        <v>240</v>
      </c>
      <c r="CQ486" s="0" t="s">
        <v>240</v>
      </c>
      <c r="CR486" s="0" t="s">
        <v>240</v>
      </c>
      <c r="CS486" s="0" t="s">
        <v>240</v>
      </c>
      <c r="CT486" s="0" t="s">
        <v>5496</v>
      </c>
      <c r="CU486" s="0" t="s">
        <v>5497</v>
      </c>
      <c r="CV486" s="0" t="s">
        <v>443</v>
      </c>
      <c r="CW486" s="0" t="s">
        <v>5547</v>
      </c>
      <c r="CX486" s="0" t="s">
        <v>229</v>
      </c>
      <c r="CY486" s="0" t="s">
        <v>443</v>
      </c>
      <c r="CZ486" s="0" t="s">
        <v>5548</v>
      </c>
      <c r="DA486" s="0" t="s">
        <v>5549</v>
      </c>
      <c r="DB486" s="0" t="s">
        <v>5547</v>
      </c>
      <c r="DC486" s="0" t="s">
        <v>384</v>
      </c>
      <c r="DD486" s="0" t="s">
        <v>291</v>
      </c>
      <c r="DE486" s="0" t="s">
        <v>6715</v>
      </c>
    </row>
    <row customHeight="1" ht="11.25">
      <c r="A487" s="1441" t="s">
        <v>240</v>
      </c>
      <c r="B487" s="0" t="s">
        <v>240</v>
      </c>
      <c r="C487" s="0" t="s">
        <v>240</v>
      </c>
      <c r="D487" s="0" t="s">
        <v>240</v>
      </c>
      <c r="E487" s="0" t="s">
        <v>240</v>
      </c>
      <c r="F487" s="0" t="s">
        <v>240</v>
      </c>
      <c r="G487" s="0" t="s">
        <v>240</v>
      </c>
      <c r="H487" s="0" t="s">
        <v>240</v>
      </c>
      <c r="I487" s="0" t="s">
        <v>5484</v>
      </c>
      <c r="J487" s="0" t="s">
        <v>240</v>
      </c>
      <c r="K487" s="0" t="s">
        <v>240</v>
      </c>
      <c r="L487" s="0" t="s">
        <v>240</v>
      </c>
      <c r="M487" s="0" t="s">
        <v>240</v>
      </c>
      <c r="N487" s="0" t="s">
        <v>240</v>
      </c>
      <c r="O487" s="0" t="s">
        <v>240</v>
      </c>
      <c r="P487" s="0" t="s">
        <v>240</v>
      </c>
      <c r="Q487" s="0" t="s">
        <v>240</v>
      </c>
      <c r="R487" s="0" t="s">
        <v>6767</v>
      </c>
      <c r="S487" s="0" t="s">
        <v>240</v>
      </c>
      <c r="T487" s="0" t="s">
        <v>240</v>
      </c>
      <c r="U487" s="0" t="s">
        <v>102</v>
      </c>
      <c r="V487" s="0" t="s">
        <v>240</v>
      </c>
      <c r="W487" s="0" t="s">
        <v>240</v>
      </c>
      <c r="X487" s="0" t="s">
        <v>5585</v>
      </c>
      <c r="Y487" s="0" t="s">
        <v>240</v>
      </c>
      <c r="Z487" s="0" t="s">
        <v>152</v>
      </c>
      <c r="AA487" s="0" t="s">
        <v>152</v>
      </c>
      <c r="AB487" s="0" t="s">
        <v>161</v>
      </c>
      <c r="AC487" s="0" t="s">
        <v>2989</v>
      </c>
      <c r="AD487" s="0" t="s">
        <v>2989</v>
      </c>
      <c r="AE487" s="0" t="s">
        <v>2990</v>
      </c>
      <c r="AF487" s="0" t="s">
        <v>6545</v>
      </c>
      <c r="AG487" s="0" t="s">
        <v>6546</v>
      </c>
      <c r="AH487" s="0" t="s">
        <v>5575</v>
      </c>
      <c r="AI487" s="0" t="s">
        <v>5575</v>
      </c>
      <c r="AJ487" s="0" t="s">
        <v>240</v>
      </c>
      <c r="AK487" s="0" t="s">
        <v>240</v>
      </c>
      <c r="AL487" s="0" t="s">
        <v>240</v>
      </c>
      <c r="AM487" s="0" t="s">
        <v>240</v>
      </c>
      <c r="AN487" s="0" t="s">
        <v>240</v>
      </c>
      <c r="AO487" s="0" t="s">
        <v>240</v>
      </c>
      <c r="AP487" s="0" t="s">
        <v>240</v>
      </c>
      <c r="AQ487" s="0" t="s">
        <v>240</v>
      </c>
      <c r="AR487" s="0" t="s">
        <v>240</v>
      </c>
      <c r="AS487" s="0" t="s">
        <v>240</v>
      </c>
      <c r="AT487" s="0" t="s">
        <v>240</v>
      </c>
      <c r="AU487" s="0" t="s">
        <v>240</v>
      </c>
      <c r="AV487" s="0" t="s">
        <v>240</v>
      </c>
      <c r="AW487" s="0" t="s">
        <v>240</v>
      </c>
      <c r="AX487" s="0" t="s">
        <v>240</v>
      </c>
      <c r="AY487" s="0" t="s">
        <v>240</v>
      </c>
      <c r="AZ487" s="0" t="s">
        <v>240</v>
      </c>
      <c r="BA487" s="0" t="s">
        <v>240</v>
      </c>
      <c r="BB487" s="0" t="s">
        <v>240</v>
      </c>
      <c r="BC487" s="0" t="s">
        <v>240</v>
      </c>
      <c r="BD487" s="0" t="s">
        <v>240</v>
      </c>
      <c r="BE487" s="0" t="s">
        <v>5576</v>
      </c>
      <c r="BF487" s="0" t="s">
        <v>6547</v>
      </c>
      <c r="BG487" s="0" t="s">
        <v>112</v>
      </c>
      <c r="BH487" s="0" t="s">
        <v>5589</v>
      </c>
      <c r="BI487" s="0" t="s">
        <v>123</v>
      </c>
      <c r="BJ487" s="0" t="s">
        <v>240</v>
      </c>
      <c r="BK487" s="0" t="s">
        <v>5608</v>
      </c>
      <c r="BL487" s="0" t="s">
        <v>2989</v>
      </c>
      <c r="BM487" s="0" t="s">
        <v>2989</v>
      </c>
      <c r="BN487" s="0" t="s">
        <v>5798</v>
      </c>
      <c r="BO487" s="0" t="s">
        <v>6545</v>
      </c>
      <c r="BP487" s="0" t="s">
        <v>6768</v>
      </c>
      <c r="BQ487" s="0" t="s">
        <v>5575</v>
      </c>
      <c r="BR487" s="0" t="s">
        <v>5575</v>
      </c>
      <c r="BS487" s="0" t="s">
        <v>240</v>
      </c>
      <c r="BT487" s="0" t="s">
        <v>5650</v>
      </c>
      <c r="BU487" s="0" t="s">
        <v>6769</v>
      </c>
      <c r="BV487" s="0" t="s">
        <v>6769</v>
      </c>
      <c r="BW487" s="0" t="s">
        <v>5598</v>
      </c>
      <c r="BX487" s="0" t="s">
        <v>5598</v>
      </c>
      <c r="BY487" s="0" t="s">
        <v>5598</v>
      </c>
      <c r="BZ487" s="0" t="s">
        <v>5598</v>
      </c>
      <c r="CA487" s="0" t="s">
        <v>5598</v>
      </c>
      <c r="CB487" s="0" t="s">
        <v>240</v>
      </c>
      <c r="CC487" s="0" t="s">
        <v>240</v>
      </c>
      <c r="CD487" s="0" t="s">
        <v>240</v>
      </c>
      <c r="CE487" s="0" t="s">
        <v>240</v>
      </c>
      <c r="CF487" s="0" t="s">
        <v>240</v>
      </c>
      <c r="CG487" s="0" t="s">
        <v>5598</v>
      </c>
      <c r="CH487" s="0" t="s">
        <v>240</v>
      </c>
      <c r="CI487" s="0" t="s">
        <v>240</v>
      </c>
      <c r="CJ487" s="0" t="s">
        <v>240</v>
      </c>
      <c r="CK487" s="0" t="s">
        <v>240</v>
      </c>
      <c r="CL487" s="0" t="s">
        <v>240</v>
      </c>
      <c r="CM487" s="0" t="s">
        <v>6769</v>
      </c>
      <c r="CN487" s="0" t="s">
        <v>6769</v>
      </c>
      <c r="CO487" s="0" t="s">
        <v>240</v>
      </c>
      <c r="CP487" s="0" t="s">
        <v>240</v>
      </c>
      <c r="CQ487" s="0" t="s">
        <v>240</v>
      </c>
      <c r="CR487" s="0" t="s">
        <v>240</v>
      </c>
      <c r="CS487" s="0" t="s">
        <v>5553</v>
      </c>
      <c r="CT487" s="0" t="s">
        <v>5496</v>
      </c>
      <c r="CU487" s="0" t="s">
        <v>5497</v>
      </c>
      <c r="CV487" s="0" t="s">
        <v>443</v>
      </c>
      <c r="CW487" s="0" t="s">
        <v>5580</v>
      </c>
      <c r="CX487" s="0" t="s">
        <v>229</v>
      </c>
      <c r="CY487" s="0" t="s">
        <v>443</v>
      </c>
      <c r="CZ487" s="0" t="s">
        <v>5581</v>
      </c>
      <c r="DA487" s="0" t="s">
        <v>5582</v>
      </c>
      <c r="DB487" s="0" t="s">
        <v>5580</v>
      </c>
      <c r="DC487" s="0" t="s">
        <v>384</v>
      </c>
      <c r="DD487" s="0" t="s">
        <v>291</v>
      </c>
      <c r="DE487" s="0" t="s">
        <v>6548</v>
      </c>
    </row>
    <row customHeight="1" ht="11.25">
      <c r="A488" s="1441" t="s">
        <v>240</v>
      </c>
      <c r="B488" s="0" t="s">
        <v>240</v>
      </c>
      <c r="C488" s="0" t="s">
        <v>240</v>
      </c>
      <c r="D488" s="0" t="s">
        <v>240</v>
      </c>
      <c r="E488" s="0" t="s">
        <v>240</v>
      </c>
      <c r="F488" s="0" t="s">
        <v>240</v>
      </c>
      <c r="G488" s="0" t="s">
        <v>240</v>
      </c>
      <c r="H488" s="0" t="s">
        <v>240</v>
      </c>
      <c r="I488" s="0" t="s">
        <v>5484</v>
      </c>
      <c r="J488" s="0" t="s">
        <v>240</v>
      </c>
      <c r="K488" s="0" t="s">
        <v>240</v>
      </c>
      <c r="L488" s="0" t="s">
        <v>240</v>
      </c>
      <c r="M488" s="0" t="s">
        <v>240</v>
      </c>
      <c r="N488" s="0" t="s">
        <v>240</v>
      </c>
      <c r="O488" s="0" t="s">
        <v>240</v>
      </c>
      <c r="P488" s="0" t="s">
        <v>240</v>
      </c>
      <c r="Q488" s="0" t="s">
        <v>240</v>
      </c>
      <c r="R488" s="0" t="s">
        <v>5572</v>
      </c>
      <c r="S488" s="0" t="s">
        <v>240</v>
      </c>
      <c r="T488" s="0" t="s">
        <v>240</v>
      </c>
      <c r="U488" s="0" t="s">
        <v>102</v>
      </c>
      <c r="V488" s="0" t="s">
        <v>240</v>
      </c>
      <c r="W488" s="0" t="s">
        <v>240</v>
      </c>
      <c r="X488" s="0" t="s">
        <v>5485</v>
      </c>
      <c r="Y488" s="0" t="s">
        <v>240</v>
      </c>
      <c r="Z488" s="0" t="s">
        <v>161</v>
      </c>
      <c r="AA488" s="0" t="s">
        <v>152</v>
      </c>
      <c r="AB488" s="0" t="s">
        <v>152</v>
      </c>
      <c r="AC488" s="0" t="s">
        <v>2989</v>
      </c>
      <c r="AD488" s="0" t="s">
        <v>2989</v>
      </c>
      <c r="AE488" s="0" t="s">
        <v>2990</v>
      </c>
      <c r="AF488" s="0" t="s">
        <v>6719</v>
      </c>
      <c r="AG488" s="0" t="s">
        <v>6720</v>
      </c>
      <c r="AH488" s="0" t="s">
        <v>6721</v>
      </c>
      <c r="AI488" s="0" t="s">
        <v>5575</v>
      </c>
      <c r="AJ488" s="0" t="s">
        <v>6508</v>
      </c>
      <c r="AK488" s="0" t="s">
        <v>6407</v>
      </c>
      <c r="AL488" s="0" t="s">
        <v>5506</v>
      </c>
      <c r="AM488" s="0" t="s">
        <v>5493</v>
      </c>
      <c r="AN488" s="0" t="s">
        <v>5578</v>
      </c>
      <c r="AO488" s="0" t="s">
        <v>5855</v>
      </c>
      <c r="AP488" s="0" t="s">
        <v>240</v>
      </c>
      <c r="AQ488" s="0" t="s">
        <v>240</v>
      </c>
      <c r="AR488" s="0" t="s">
        <v>240</v>
      </c>
      <c r="AS488" s="0" t="s">
        <v>240</v>
      </c>
      <c r="AT488" s="0" t="s">
        <v>240</v>
      </c>
      <c r="AU488" s="0" t="s">
        <v>240</v>
      </c>
      <c r="AV488" s="0" t="s">
        <v>240</v>
      </c>
      <c r="AW488" s="0" t="s">
        <v>240</v>
      </c>
      <c r="AX488" s="0" t="s">
        <v>240</v>
      </c>
      <c r="AY488" s="0" t="s">
        <v>240</v>
      </c>
      <c r="AZ488" s="0" t="s">
        <v>240</v>
      </c>
      <c r="BA488" s="0" t="s">
        <v>240</v>
      </c>
      <c r="BB488" s="0" t="s">
        <v>240</v>
      </c>
      <c r="BC488" s="0" t="s">
        <v>240</v>
      </c>
      <c r="BD488" s="0" t="s">
        <v>240</v>
      </c>
      <c r="BE488" s="0" t="s">
        <v>240</v>
      </c>
      <c r="BF488" s="0" t="s">
        <v>240</v>
      </c>
      <c r="BG488" s="0" t="s">
        <v>240</v>
      </c>
      <c r="BH488" s="0" t="s">
        <v>240</v>
      </c>
      <c r="BI488" s="0" t="s">
        <v>240</v>
      </c>
      <c r="BJ488" s="0" t="s">
        <v>240</v>
      </c>
      <c r="BK488" s="0" t="s">
        <v>240</v>
      </c>
      <c r="BL488" s="0" t="s">
        <v>240</v>
      </c>
      <c r="BM488" s="0" t="s">
        <v>240</v>
      </c>
      <c r="BN488" s="0" t="s">
        <v>240</v>
      </c>
      <c r="BO488" s="0" t="s">
        <v>240</v>
      </c>
      <c r="BP488" s="0" t="s">
        <v>240</v>
      </c>
      <c r="BQ488" s="0" t="s">
        <v>240</v>
      </c>
      <c r="BR488" s="0" t="s">
        <v>240</v>
      </c>
      <c r="BS488" s="0" t="s">
        <v>240</v>
      </c>
      <c r="BT488" s="0" t="s">
        <v>240</v>
      </c>
      <c r="BU488" s="0" t="s">
        <v>240</v>
      </c>
      <c r="BV488" s="0" t="s">
        <v>240</v>
      </c>
      <c r="BW488" s="0" t="s">
        <v>240</v>
      </c>
      <c r="BX488" s="0" t="s">
        <v>240</v>
      </c>
      <c r="BY488" s="0" t="s">
        <v>240</v>
      </c>
      <c r="BZ488" s="0" t="s">
        <v>240</v>
      </c>
      <c r="CA488" s="0" t="s">
        <v>240</v>
      </c>
      <c r="CB488" s="0" t="s">
        <v>240</v>
      </c>
      <c r="CC488" s="0" t="s">
        <v>240</v>
      </c>
      <c r="CD488" s="0" t="s">
        <v>240</v>
      </c>
      <c r="CE488" s="0" t="s">
        <v>240</v>
      </c>
      <c r="CF488" s="0" t="s">
        <v>240</v>
      </c>
      <c r="CG488" s="0" t="s">
        <v>240</v>
      </c>
      <c r="CH488" s="0" t="s">
        <v>240</v>
      </c>
      <c r="CI488" s="0" t="s">
        <v>240</v>
      </c>
      <c r="CJ488" s="0" t="s">
        <v>240</v>
      </c>
      <c r="CK488" s="0" t="s">
        <v>240</v>
      </c>
      <c r="CL488" s="0" t="s">
        <v>240</v>
      </c>
      <c r="CM488" s="0" t="s">
        <v>240</v>
      </c>
      <c r="CN488" s="0" t="s">
        <v>240</v>
      </c>
      <c r="CO488" s="0" t="s">
        <v>240</v>
      </c>
      <c r="CP488" s="0" t="s">
        <v>240</v>
      </c>
      <c r="CQ488" s="0" t="s">
        <v>240</v>
      </c>
      <c r="CR488" s="0" t="s">
        <v>240</v>
      </c>
      <c r="CS488" s="0" t="s">
        <v>240</v>
      </c>
      <c r="CT488" s="0" t="s">
        <v>5496</v>
      </c>
      <c r="CU488" s="0" t="s">
        <v>5497</v>
      </c>
      <c r="CV488" s="0" t="s">
        <v>443</v>
      </c>
      <c r="CW488" s="0" t="s">
        <v>5580</v>
      </c>
      <c r="CX488" s="0" t="s">
        <v>229</v>
      </c>
      <c r="CY488" s="0" t="s">
        <v>443</v>
      </c>
      <c r="CZ488" s="0" t="s">
        <v>5581</v>
      </c>
      <c r="DA488" s="0" t="s">
        <v>5582</v>
      </c>
      <c r="DB488" s="0" t="s">
        <v>5580</v>
      </c>
      <c r="DC488" s="0" t="s">
        <v>384</v>
      </c>
      <c r="DD488" s="0" t="s">
        <v>291</v>
      </c>
      <c r="DE488" s="0" t="s">
        <v>6722</v>
      </c>
    </row>
    <row customHeight="1" ht="11.25">
      <c r="A489" s="1441" t="s">
        <v>240</v>
      </c>
      <c r="B489" s="0" t="s">
        <v>240</v>
      </c>
      <c r="C489" s="0" t="s">
        <v>240</v>
      </c>
      <c r="D489" s="0" t="s">
        <v>240</v>
      </c>
      <c r="E489" s="0" t="s">
        <v>240</v>
      </c>
      <c r="F489" s="0" t="s">
        <v>240</v>
      </c>
      <c r="G489" s="0" t="s">
        <v>240</v>
      </c>
      <c r="H489" s="0" t="s">
        <v>240</v>
      </c>
      <c r="I489" s="0" t="s">
        <v>5484</v>
      </c>
      <c r="J489" s="0" t="s">
        <v>240</v>
      </c>
      <c r="K489" s="0" t="s">
        <v>240</v>
      </c>
      <c r="L489" s="0" t="s">
        <v>240</v>
      </c>
      <c r="M489" s="0" t="s">
        <v>240</v>
      </c>
      <c r="N489" s="0" t="s">
        <v>240</v>
      </c>
      <c r="O489" s="0" t="s">
        <v>240</v>
      </c>
      <c r="P489" s="0" t="s">
        <v>240</v>
      </c>
      <c r="Q489" s="0" t="s">
        <v>240</v>
      </c>
      <c r="R489" s="0" t="s">
        <v>467</v>
      </c>
      <c r="S489" s="0" t="s">
        <v>240</v>
      </c>
      <c r="T489" s="0" t="s">
        <v>240</v>
      </c>
      <c r="U489" s="0" t="s">
        <v>102</v>
      </c>
      <c r="V489" s="0" t="s">
        <v>240</v>
      </c>
      <c r="W489" s="0" t="s">
        <v>240</v>
      </c>
      <c r="X489" s="0" t="s">
        <v>5485</v>
      </c>
      <c r="Y489" s="0" t="s">
        <v>240</v>
      </c>
      <c r="Z489" s="0" t="s">
        <v>161</v>
      </c>
      <c r="AA489" s="0" t="s">
        <v>152</v>
      </c>
      <c r="AB489" s="0" t="s">
        <v>152</v>
      </c>
      <c r="AC489" s="0" t="s">
        <v>364</v>
      </c>
      <c r="AD489" s="0" t="s">
        <v>364</v>
      </c>
      <c r="AE489" s="0" t="s">
        <v>365</v>
      </c>
      <c r="AF489" s="0" t="s">
        <v>5486</v>
      </c>
      <c r="AG489" s="0" t="s">
        <v>5487</v>
      </c>
      <c r="AH489" s="0" t="s">
        <v>6363</v>
      </c>
      <c r="AI489" s="0" t="s">
        <v>6621</v>
      </c>
      <c r="AJ489" s="0" t="s">
        <v>5494</v>
      </c>
      <c r="AK489" s="0" t="s">
        <v>5598</v>
      </c>
      <c r="AL489" s="0" t="s">
        <v>5605</v>
      </c>
      <c r="AM489" s="0" t="s">
        <v>5493</v>
      </c>
      <c r="AN489" s="0" t="s">
        <v>5545</v>
      </c>
      <c r="AO489" s="0" t="s">
        <v>6190</v>
      </c>
      <c r="AP489" s="0" t="s">
        <v>240</v>
      </c>
      <c r="AQ489" s="0" t="s">
        <v>240</v>
      </c>
      <c r="AR489" s="0" t="s">
        <v>240</v>
      </c>
      <c r="AS489" s="0" t="s">
        <v>240</v>
      </c>
      <c r="AT489" s="0" t="s">
        <v>240</v>
      </c>
      <c r="AU489" s="0" t="s">
        <v>240</v>
      </c>
      <c r="AV489" s="0" t="s">
        <v>240</v>
      </c>
      <c r="AW489" s="0" t="s">
        <v>240</v>
      </c>
      <c r="AX489" s="0" t="s">
        <v>240</v>
      </c>
      <c r="AY489" s="0" t="s">
        <v>240</v>
      </c>
      <c r="AZ489" s="0" t="s">
        <v>240</v>
      </c>
      <c r="BA489" s="0" t="s">
        <v>240</v>
      </c>
      <c r="BB489" s="0" t="s">
        <v>240</v>
      </c>
      <c r="BC489" s="0" t="s">
        <v>240</v>
      </c>
      <c r="BD489" s="0" t="s">
        <v>240</v>
      </c>
      <c r="BE489" s="0" t="s">
        <v>240</v>
      </c>
      <c r="BF489" s="0" t="s">
        <v>240</v>
      </c>
      <c r="BG489" s="0" t="s">
        <v>240</v>
      </c>
      <c r="BH489" s="0" t="s">
        <v>240</v>
      </c>
      <c r="BI489" s="0" t="s">
        <v>240</v>
      </c>
      <c r="BJ489" s="0" t="s">
        <v>240</v>
      </c>
      <c r="BK489" s="0" t="s">
        <v>240</v>
      </c>
      <c r="BL489" s="0" t="s">
        <v>240</v>
      </c>
      <c r="BM489" s="0" t="s">
        <v>240</v>
      </c>
      <c r="BN489" s="0" t="s">
        <v>240</v>
      </c>
      <c r="BO489" s="0" t="s">
        <v>240</v>
      </c>
      <c r="BP489" s="0" t="s">
        <v>240</v>
      </c>
      <c r="BQ489" s="0" t="s">
        <v>240</v>
      </c>
      <c r="BR489" s="0" t="s">
        <v>240</v>
      </c>
      <c r="BS489" s="0" t="s">
        <v>240</v>
      </c>
      <c r="BT489" s="0" t="s">
        <v>240</v>
      </c>
      <c r="BU489" s="0" t="s">
        <v>240</v>
      </c>
      <c r="BV489" s="0" t="s">
        <v>240</v>
      </c>
      <c r="BW489" s="0" t="s">
        <v>240</v>
      </c>
      <c r="BX489" s="0" t="s">
        <v>240</v>
      </c>
      <c r="BY489" s="0" t="s">
        <v>240</v>
      </c>
      <c r="BZ489" s="0" t="s">
        <v>240</v>
      </c>
      <c r="CA489" s="0" t="s">
        <v>240</v>
      </c>
      <c r="CB489" s="0" t="s">
        <v>240</v>
      </c>
      <c r="CC489" s="0" t="s">
        <v>240</v>
      </c>
      <c r="CD489" s="0" t="s">
        <v>240</v>
      </c>
      <c r="CE489" s="0" t="s">
        <v>240</v>
      </c>
      <c r="CF489" s="0" t="s">
        <v>240</v>
      </c>
      <c r="CG489" s="0" t="s">
        <v>240</v>
      </c>
      <c r="CH489" s="0" t="s">
        <v>240</v>
      </c>
      <c r="CI489" s="0" t="s">
        <v>240</v>
      </c>
      <c r="CJ489" s="0" t="s">
        <v>240</v>
      </c>
      <c r="CK489" s="0" t="s">
        <v>240</v>
      </c>
      <c r="CL489" s="0" t="s">
        <v>240</v>
      </c>
      <c r="CM489" s="0" t="s">
        <v>240</v>
      </c>
      <c r="CN489" s="0" t="s">
        <v>240</v>
      </c>
      <c r="CO489" s="0" t="s">
        <v>240</v>
      </c>
      <c r="CP489" s="0" t="s">
        <v>240</v>
      </c>
      <c r="CQ489" s="0" t="s">
        <v>240</v>
      </c>
      <c r="CR489" s="0" t="s">
        <v>240</v>
      </c>
      <c r="CS489" s="0" t="s">
        <v>240</v>
      </c>
      <c r="CT489" s="0" t="s">
        <v>5496</v>
      </c>
      <c r="CU489" s="0" t="s">
        <v>5497</v>
      </c>
      <c r="CV489" s="0" t="s">
        <v>443</v>
      </c>
      <c r="CW489" s="0" t="s">
        <v>5498</v>
      </c>
      <c r="CX489" s="0" t="s">
        <v>229</v>
      </c>
      <c r="CY489" s="0" t="s">
        <v>443</v>
      </c>
      <c r="CZ489" s="0" t="s">
        <v>230</v>
      </c>
      <c r="DA489" s="0" t="s">
        <v>444</v>
      </c>
      <c r="DB489" s="0" t="s">
        <v>5498</v>
      </c>
      <c r="DC489" s="0" t="s">
        <v>384</v>
      </c>
      <c r="DD489" s="0" t="s">
        <v>291</v>
      </c>
      <c r="DE489" s="0" t="s">
        <v>468</v>
      </c>
    </row>
    <row customHeight="1" ht="11.25">
      <c r="A490" s="1441" t="s">
        <v>240</v>
      </c>
      <c r="B490" s="0" t="s">
        <v>240</v>
      </c>
      <c r="C490" s="0" t="s">
        <v>240</v>
      </c>
      <c r="D490" s="0" t="s">
        <v>240</v>
      </c>
      <c r="E490" s="0" t="s">
        <v>240</v>
      </c>
      <c r="F490" s="0" t="s">
        <v>240</v>
      </c>
      <c r="G490" s="0" t="s">
        <v>240</v>
      </c>
      <c r="H490" s="0" t="s">
        <v>240</v>
      </c>
      <c r="I490" s="0" t="s">
        <v>5484</v>
      </c>
      <c r="J490" s="0" t="s">
        <v>240</v>
      </c>
      <c r="K490" s="0" t="s">
        <v>240</v>
      </c>
      <c r="L490" s="0" t="s">
        <v>240</v>
      </c>
      <c r="M490" s="0" t="s">
        <v>240</v>
      </c>
      <c r="N490" s="0" t="s">
        <v>240</v>
      </c>
      <c r="O490" s="0" t="s">
        <v>240</v>
      </c>
      <c r="P490" s="0" t="s">
        <v>240</v>
      </c>
      <c r="Q490" s="0" t="s">
        <v>240</v>
      </c>
      <c r="R490" s="0" t="s">
        <v>449</v>
      </c>
      <c r="S490" s="0" t="s">
        <v>240</v>
      </c>
      <c r="T490" s="0" t="s">
        <v>240</v>
      </c>
      <c r="U490" s="0" t="s">
        <v>102</v>
      </c>
      <c r="V490" s="0" t="s">
        <v>240</v>
      </c>
      <c r="W490" s="0" t="s">
        <v>240</v>
      </c>
      <c r="X490" s="0" t="s">
        <v>5585</v>
      </c>
      <c r="Y490" s="0" t="s">
        <v>240</v>
      </c>
      <c r="Z490" s="0" t="s">
        <v>152</v>
      </c>
      <c r="AA490" s="0" t="s">
        <v>152</v>
      </c>
      <c r="AB490" s="0" t="s">
        <v>161</v>
      </c>
      <c r="AC490" s="0" t="s">
        <v>364</v>
      </c>
      <c r="AD490" s="0" t="s">
        <v>364</v>
      </c>
      <c r="AE490" s="0" t="s">
        <v>365</v>
      </c>
      <c r="AF490" s="0" t="s">
        <v>5486</v>
      </c>
      <c r="AG490" s="0" t="s">
        <v>5487</v>
      </c>
      <c r="AH490" s="0" t="s">
        <v>6622</v>
      </c>
      <c r="AI490" s="0" t="s">
        <v>5575</v>
      </c>
      <c r="AJ490" s="0" t="s">
        <v>240</v>
      </c>
      <c r="AK490" s="0" t="s">
        <v>240</v>
      </c>
      <c r="AL490" s="0" t="s">
        <v>240</v>
      </c>
      <c r="AM490" s="0" t="s">
        <v>240</v>
      </c>
      <c r="AN490" s="0" t="s">
        <v>240</v>
      </c>
      <c r="AO490" s="0" t="s">
        <v>240</v>
      </c>
      <c r="AP490" s="0" t="s">
        <v>240</v>
      </c>
      <c r="AQ490" s="0" t="s">
        <v>240</v>
      </c>
      <c r="AR490" s="0" t="s">
        <v>240</v>
      </c>
      <c r="AS490" s="0" t="s">
        <v>240</v>
      </c>
      <c r="AT490" s="0" t="s">
        <v>240</v>
      </c>
      <c r="AU490" s="0" t="s">
        <v>240</v>
      </c>
      <c r="AV490" s="0" t="s">
        <v>240</v>
      </c>
      <c r="AW490" s="0" t="s">
        <v>240</v>
      </c>
      <c r="AX490" s="0" t="s">
        <v>240</v>
      </c>
      <c r="AY490" s="0" t="s">
        <v>240</v>
      </c>
      <c r="AZ490" s="0" t="s">
        <v>240</v>
      </c>
      <c r="BA490" s="0" t="s">
        <v>240</v>
      </c>
      <c r="BB490" s="0" t="s">
        <v>240</v>
      </c>
      <c r="BC490" s="0" t="s">
        <v>240</v>
      </c>
      <c r="BD490" s="0" t="s">
        <v>240</v>
      </c>
      <c r="BE490" s="0" t="s">
        <v>6518</v>
      </c>
      <c r="BF490" s="0" t="s">
        <v>6519</v>
      </c>
      <c r="BG490" s="0" t="s">
        <v>112</v>
      </c>
      <c r="BH490" s="0" t="s">
        <v>5589</v>
      </c>
      <c r="BI490" s="0" t="s">
        <v>123</v>
      </c>
      <c r="BJ490" s="0" t="s">
        <v>240</v>
      </c>
      <c r="BK490" s="0" t="s">
        <v>499</v>
      </c>
      <c r="BL490" s="0" t="s">
        <v>2964</v>
      </c>
      <c r="BM490" s="0" t="s">
        <v>2964</v>
      </c>
      <c r="BN490" s="0" t="s">
        <v>6623</v>
      </c>
      <c r="BO490" s="0" t="s">
        <v>6514</v>
      </c>
      <c r="BP490" s="0" t="s">
        <v>6624</v>
      </c>
      <c r="BQ490" s="0" t="s">
        <v>6514</v>
      </c>
      <c r="BR490" s="0" t="s">
        <v>6517</v>
      </c>
      <c r="BS490" s="0" t="s">
        <v>240</v>
      </c>
      <c r="BT490" s="0" t="s">
        <v>5650</v>
      </c>
      <c r="BU490" s="0" t="s">
        <v>6974</v>
      </c>
      <c r="BV490" s="0" t="s">
        <v>6975</v>
      </c>
      <c r="BW490" s="0" t="s">
        <v>6627</v>
      </c>
      <c r="BX490" s="0" t="s">
        <v>5494</v>
      </c>
      <c r="BY490" s="0" t="s">
        <v>6628</v>
      </c>
      <c r="BZ490" s="0" t="s">
        <v>6629</v>
      </c>
      <c r="CA490" s="0" t="s">
        <v>5598</v>
      </c>
      <c r="CB490" s="0" t="s">
        <v>240</v>
      </c>
      <c r="CC490" s="0" t="s">
        <v>240</v>
      </c>
      <c r="CD490" s="0" t="s">
        <v>240</v>
      </c>
      <c r="CE490" s="0" t="s">
        <v>240</v>
      </c>
      <c r="CF490" s="0" t="s">
        <v>240</v>
      </c>
      <c r="CG490" s="0" t="s">
        <v>5598</v>
      </c>
      <c r="CH490" s="0" t="s">
        <v>240</v>
      </c>
      <c r="CI490" s="0" t="s">
        <v>240</v>
      </c>
      <c r="CJ490" s="0" t="s">
        <v>240</v>
      </c>
      <c r="CK490" s="0" t="s">
        <v>240</v>
      </c>
      <c r="CL490" s="0" t="s">
        <v>240</v>
      </c>
      <c r="CM490" s="0" t="s">
        <v>6974</v>
      </c>
      <c r="CN490" s="0" t="s">
        <v>6975</v>
      </c>
      <c r="CO490" s="0" t="s">
        <v>6627</v>
      </c>
      <c r="CP490" s="0" t="s">
        <v>5494</v>
      </c>
      <c r="CQ490" s="0" t="s">
        <v>6628</v>
      </c>
      <c r="CR490" s="0" t="s">
        <v>6629</v>
      </c>
      <c r="CS490" s="0" t="s">
        <v>6630</v>
      </c>
      <c r="CT490" s="0" t="s">
        <v>5496</v>
      </c>
      <c r="CU490" s="0" t="s">
        <v>5497</v>
      </c>
      <c r="CV490" s="0" t="s">
        <v>443</v>
      </c>
      <c r="CW490" s="0" t="s">
        <v>5498</v>
      </c>
      <c r="CX490" s="0" t="s">
        <v>229</v>
      </c>
      <c r="CY490" s="0" t="s">
        <v>443</v>
      </c>
      <c r="CZ490" s="0" t="s">
        <v>230</v>
      </c>
      <c r="DA490" s="0" t="s">
        <v>444</v>
      </c>
      <c r="DB490" s="0" t="s">
        <v>5498</v>
      </c>
      <c r="DC490" s="0" t="s">
        <v>384</v>
      </c>
      <c r="DD490" s="0" t="s">
        <v>291</v>
      </c>
      <c r="DE490" s="0" t="s">
        <v>450</v>
      </c>
    </row>
    <row customHeight="1" ht="11.25">
      <c r="A491" s="1441" t="s">
        <v>240</v>
      </c>
      <c r="B491" s="0" t="s">
        <v>240</v>
      </c>
      <c r="C491" s="0" t="s">
        <v>240</v>
      </c>
      <c r="D491" s="0" t="s">
        <v>240</v>
      </c>
      <c r="E491" s="0" t="s">
        <v>240</v>
      </c>
      <c r="F491" s="0" t="s">
        <v>240</v>
      </c>
      <c r="G491" s="0" t="s">
        <v>240</v>
      </c>
      <c r="H491" s="0" t="s">
        <v>240</v>
      </c>
      <c r="I491" s="0" t="s">
        <v>5484</v>
      </c>
      <c r="J491" s="0" t="s">
        <v>240</v>
      </c>
      <c r="K491" s="0" t="s">
        <v>240</v>
      </c>
      <c r="L491" s="0" t="s">
        <v>240</v>
      </c>
      <c r="M491" s="0" t="s">
        <v>240</v>
      </c>
      <c r="N491" s="0" t="s">
        <v>240</v>
      </c>
      <c r="O491" s="0" t="s">
        <v>240</v>
      </c>
      <c r="P491" s="0" t="s">
        <v>240</v>
      </c>
      <c r="Q491" s="0" t="s">
        <v>240</v>
      </c>
      <c r="R491" s="0" t="s">
        <v>6944</v>
      </c>
      <c r="S491" s="0" t="s">
        <v>240</v>
      </c>
      <c r="T491" s="0" t="s">
        <v>240</v>
      </c>
      <c r="U491" s="0" t="s">
        <v>102</v>
      </c>
      <c r="V491" s="0" t="s">
        <v>240</v>
      </c>
      <c r="W491" s="0" t="s">
        <v>240</v>
      </c>
      <c r="X491" s="0" t="s">
        <v>5905</v>
      </c>
      <c r="Y491" s="0" t="s">
        <v>240</v>
      </c>
      <c r="Z491" s="0" t="s">
        <v>152</v>
      </c>
      <c r="AA491" s="0" t="s">
        <v>161</v>
      </c>
      <c r="AB491" s="0" t="s">
        <v>152</v>
      </c>
      <c r="AC491" s="0" t="s">
        <v>3389</v>
      </c>
      <c r="AD491" s="0" t="s">
        <v>3389</v>
      </c>
      <c r="AE491" s="0" t="s">
        <v>3390</v>
      </c>
      <c r="AF491" s="0" t="s">
        <v>5519</v>
      </c>
      <c r="AG491" s="0" t="s">
        <v>5520</v>
      </c>
      <c r="AH491" s="0" t="s">
        <v>5586</v>
      </c>
      <c r="AI491" s="0" t="s">
        <v>5533</v>
      </c>
      <c r="AJ491" s="0" t="s">
        <v>240</v>
      </c>
      <c r="AK491" s="0" t="s">
        <v>240</v>
      </c>
      <c r="AL491" s="0" t="s">
        <v>240</v>
      </c>
      <c r="AM491" s="0" t="s">
        <v>240</v>
      </c>
      <c r="AN491" s="0" t="s">
        <v>240</v>
      </c>
      <c r="AO491" s="0" t="s">
        <v>240</v>
      </c>
      <c r="AP491" s="0" t="s">
        <v>5587</v>
      </c>
      <c r="AQ491" s="0" t="s">
        <v>6367</v>
      </c>
      <c r="AR491" s="0" t="s">
        <v>112</v>
      </c>
      <c r="AS491" s="0" t="s">
        <v>5589</v>
      </c>
      <c r="AT491" s="0" t="s">
        <v>6941</v>
      </c>
      <c r="AU491" s="0" t="s">
        <v>240</v>
      </c>
      <c r="AV491" s="0" t="s">
        <v>6368</v>
      </c>
      <c r="AW491" s="0" t="s">
        <v>2962</v>
      </c>
      <c r="AX491" s="0" t="s">
        <v>2962</v>
      </c>
      <c r="AY491" s="0" t="s">
        <v>5909</v>
      </c>
      <c r="AZ491" s="0" t="s">
        <v>6369</v>
      </c>
      <c r="BA491" s="0" t="s">
        <v>6370</v>
      </c>
      <c r="BB491" s="0" t="s">
        <v>5586</v>
      </c>
      <c r="BC491" s="0" t="s">
        <v>5533</v>
      </c>
      <c r="BD491" s="0" t="s">
        <v>5989</v>
      </c>
      <c r="BE491" s="0" t="s">
        <v>240</v>
      </c>
      <c r="BF491" s="0" t="s">
        <v>240</v>
      </c>
      <c r="BG491" s="0" t="s">
        <v>240</v>
      </c>
      <c r="BH491" s="0" t="s">
        <v>240</v>
      </c>
      <c r="BI491" s="0" t="s">
        <v>240</v>
      </c>
      <c r="BJ491" s="0" t="s">
        <v>240</v>
      </c>
      <c r="BK491" s="0" t="s">
        <v>240</v>
      </c>
      <c r="BL491" s="0" t="s">
        <v>240</v>
      </c>
      <c r="BM491" s="0" t="s">
        <v>240</v>
      </c>
      <c r="BN491" s="0" t="s">
        <v>240</v>
      </c>
      <c r="BO491" s="0" t="s">
        <v>240</v>
      </c>
      <c r="BP491" s="0" t="s">
        <v>240</v>
      </c>
      <c r="BQ491" s="0" t="s">
        <v>240</v>
      </c>
      <c r="BR491" s="0" t="s">
        <v>240</v>
      </c>
      <c r="BS491" s="0" t="s">
        <v>240</v>
      </c>
      <c r="BT491" s="0" t="s">
        <v>240</v>
      </c>
      <c r="BU491" s="0" t="s">
        <v>240</v>
      </c>
      <c r="BV491" s="0" t="s">
        <v>240</v>
      </c>
      <c r="BW491" s="0" t="s">
        <v>240</v>
      </c>
      <c r="BX491" s="0" t="s">
        <v>240</v>
      </c>
      <c r="BY491" s="0" t="s">
        <v>240</v>
      </c>
      <c r="BZ491" s="0" t="s">
        <v>240</v>
      </c>
      <c r="CA491" s="0" t="s">
        <v>240</v>
      </c>
      <c r="CB491" s="0" t="s">
        <v>240</v>
      </c>
      <c r="CC491" s="0" t="s">
        <v>240</v>
      </c>
      <c r="CD491" s="0" t="s">
        <v>240</v>
      </c>
      <c r="CE491" s="0" t="s">
        <v>240</v>
      </c>
      <c r="CF491" s="0" t="s">
        <v>240</v>
      </c>
      <c r="CG491" s="0" t="s">
        <v>240</v>
      </c>
      <c r="CH491" s="0" t="s">
        <v>240</v>
      </c>
      <c r="CI491" s="0" t="s">
        <v>240</v>
      </c>
      <c r="CJ491" s="0" t="s">
        <v>240</v>
      </c>
      <c r="CK491" s="0" t="s">
        <v>240</v>
      </c>
      <c r="CL491" s="0" t="s">
        <v>240</v>
      </c>
      <c r="CM491" s="0" t="s">
        <v>240</v>
      </c>
      <c r="CN491" s="0" t="s">
        <v>240</v>
      </c>
      <c r="CO491" s="0" t="s">
        <v>240</v>
      </c>
      <c r="CP491" s="0" t="s">
        <v>240</v>
      </c>
      <c r="CQ491" s="0" t="s">
        <v>240</v>
      </c>
      <c r="CR491" s="0" t="s">
        <v>240</v>
      </c>
      <c r="CS491" s="0" t="s">
        <v>240</v>
      </c>
      <c r="CT491" s="0" t="s">
        <v>5496</v>
      </c>
      <c r="CU491" s="0" t="s">
        <v>5497</v>
      </c>
      <c r="CV491" s="0" t="s">
        <v>443</v>
      </c>
      <c r="CW491" s="0" t="s">
        <v>5527</v>
      </c>
      <c r="CX491" s="0" t="s">
        <v>5528</v>
      </c>
      <c r="CY491" s="0" t="s">
        <v>443</v>
      </c>
      <c r="CZ491" s="0" t="s">
        <v>299</v>
      </c>
      <c r="DA491" s="0" t="s">
        <v>5529</v>
      </c>
      <c r="DB491" s="0" t="s">
        <v>5527</v>
      </c>
      <c r="DC491" s="0" t="s">
        <v>384</v>
      </c>
      <c r="DD491" s="0" t="s">
        <v>291</v>
      </c>
      <c r="DE491" s="0" t="s">
        <v>5601</v>
      </c>
    </row>
    <row customHeight="1" ht="11.25">
      <c r="A492" s="1441" t="s">
        <v>240</v>
      </c>
      <c r="B492" s="0" t="s">
        <v>240</v>
      </c>
      <c r="C492" s="0" t="s">
        <v>240</v>
      </c>
      <c r="D492" s="0" t="s">
        <v>240</v>
      </c>
      <c r="E492" s="0" t="s">
        <v>240</v>
      </c>
      <c r="F492" s="0" t="s">
        <v>240</v>
      </c>
      <c r="G492" s="0" t="s">
        <v>240</v>
      </c>
      <c r="H492" s="0" t="s">
        <v>240</v>
      </c>
      <c r="I492" s="0" t="s">
        <v>5484</v>
      </c>
      <c r="J492" s="0" t="s">
        <v>240</v>
      </c>
      <c r="K492" s="0" t="s">
        <v>240</v>
      </c>
      <c r="L492" s="0" t="s">
        <v>240</v>
      </c>
      <c r="M492" s="0" t="s">
        <v>240</v>
      </c>
      <c r="N492" s="0" t="s">
        <v>240</v>
      </c>
      <c r="O492" s="0" t="s">
        <v>240</v>
      </c>
      <c r="P492" s="0" t="s">
        <v>240</v>
      </c>
      <c r="Q492" s="0" t="s">
        <v>240</v>
      </c>
      <c r="R492" s="0" t="s">
        <v>449</v>
      </c>
      <c r="S492" s="0" t="s">
        <v>240</v>
      </c>
      <c r="T492" s="0" t="s">
        <v>240</v>
      </c>
      <c r="U492" s="0" t="s">
        <v>102</v>
      </c>
      <c r="V492" s="0" t="s">
        <v>240</v>
      </c>
      <c r="W492" s="0" t="s">
        <v>240</v>
      </c>
      <c r="X492" s="0" t="s">
        <v>5585</v>
      </c>
      <c r="Y492" s="0" t="s">
        <v>240</v>
      </c>
      <c r="Z492" s="0" t="s">
        <v>152</v>
      </c>
      <c r="AA492" s="0" t="s">
        <v>152</v>
      </c>
      <c r="AB492" s="0" t="s">
        <v>161</v>
      </c>
      <c r="AC492" s="0" t="s">
        <v>364</v>
      </c>
      <c r="AD492" s="0" t="s">
        <v>364</v>
      </c>
      <c r="AE492" s="0" t="s">
        <v>365</v>
      </c>
      <c r="AF492" s="0" t="s">
        <v>6806</v>
      </c>
      <c r="AG492" s="0" t="s">
        <v>6807</v>
      </c>
      <c r="AH492" s="0" t="s">
        <v>6808</v>
      </c>
      <c r="AI492" s="0" t="s">
        <v>5575</v>
      </c>
      <c r="AJ492" s="0" t="s">
        <v>240</v>
      </c>
      <c r="AK492" s="0" t="s">
        <v>240</v>
      </c>
      <c r="AL492" s="0" t="s">
        <v>240</v>
      </c>
      <c r="AM492" s="0" t="s">
        <v>240</v>
      </c>
      <c r="AN492" s="0" t="s">
        <v>240</v>
      </c>
      <c r="AO492" s="0" t="s">
        <v>240</v>
      </c>
      <c r="AP492" s="0" t="s">
        <v>240</v>
      </c>
      <c r="AQ492" s="0" t="s">
        <v>240</v>
      </c>
      <c r="AR492" s="0" t="s">
        <v>240</v>
      </c>
      <c r="AS492" s="0" t="s">
        <v>240</v>
      </c>
      <c r="AT492" s="0" t="s">
        <v>240</v>
      </c>
      <c r="AU492" s="0" t="s">
        <v>240</v>
      </c>
      <c r="AV492" s="0" t="s">
        <v>240</v>
      </c>
      <c r="AW492" s="0" t="s">
        <v>240</v>
      </c>
      <c r="AX492" s="0" t="s">
        <v>240</v>
      </c>
      <c r="AY492" s="0" t="s">
        <v>240</v>
      </c>
      <c r="AZ492" s="0" t="s">
        <v>240</v>
      </c>
      <c r="BA492" s="0" t="s">
        <v>240</v>
      </c>
      <c r="BB492" s="0" t="s">
        <v>240</v>
      </c>
      <c r="BC492" s="0" t="s">
        <v>240</v>
      </c>
      <c r="BD492" s="0" t="s">
        <v>240</v>
      </c>
      <c r="BE492" s="0" t="s">
        <v>6809</v>
      </c>
      <c r="BF492" s="0" t="s">
        <v>6810</v>
      </c>
      <c r="BG492" s="0" t="s">
        <v>112</v>
      </c>
      <c r="BH492" s="0" t="s">
        <v>5589</v>
      </c>
      <c r="BI492" s="0" t="s">
        <v>123</v>
      </c>
      <c r="BJ492" s="0" t="s">
        <v>240</v>
      </c>
      <c r="BK492" s="0" t="s">
        <v>5575</v>
      </c>
      <c r="BL492" s="0" t="s">
        <v>364</v>
      </c>
      <c r="BM492" s="0" t="s">
        <v>364</v>
      </c>
      <c r="BN492" s="0" t="s">
        <v>6811</v>
      </c>
      <c r="BO492" s="0" t="s">
        <v>6806</v>
      </c>
      <c r="BP492" s="0" t="s">
        <v>6812</v>
      </c>
      <c r="BQ492" s="0" t="s">
        <v>6808</v>
      </c>
      <c r="BR492" s="0" t="s">
        <v>5575</v>
      </c>
      <c r="BS492" s="0" t="s">
        <v>240</v>
      </c>
      <c r="BT492" s="0" t="s">
        <v>5650</v>
      </c>
      <c r="BU492" s="0" t="s">
        <v>6976</v>
      </c>
      <c r="BV492" s="0" t="s">
        <v>6977</v>
      </c>
      <c r="BW492" s="0" t="s">
        <v>5598</v>
      </c>
      <c r="BX492" s="0" t="s">
        <v>6815</v>
      </c>
      <c r="BY492" s="0" t="s">
        <v>5598</v>
      </c>
      <c r="BZ492" s="0" t="s">
        <v>6816</v>
      </c>
      <c r="CA492" s="0" t="s">
        <v>5598</v>
      </c>
      <c r="CB492" s="0" t="s">
        <v>240</v>
      </c>
      <c r="CC492" s="0" t="s">
        <v>240</v>
      </c>
      <c r="CD492" s="0" t="s">
        <v>240</v>
      </c>
      <c r="CE492" s="0" t="s">
        <v>240</v>
      </c>
      <c r="CF492" s="0" t="s">
        <v>240</v>
      </c>
      <c r="CG492" s="0" t="s">
        <v>5598</v>
      </c>
      <c r="CH492" s="0" t="s">
        <v>240</v>
      </c>
      <c r="CI492" s="0" t="s">
        <v>240</v>
      </c>
      <c r="CJ492" s="0" t="s">
        <v>240</v>
      </c>
      <c r="CK492" s="0" t="s">
        <v>240</v>
      </c>
      <c r="CL492" s="0" t="s">
        <v>240</v>
      </c>
      <c r="CM492" s="0" t="s">
        <v>6976</v>
      </c>
      <c r="CN492" s="0" t="s">
        <v>6977</v>
      </c>
      <c r="CO492" s="0" t="s">
        <v>5598</v>
      </c>
      <c r="CP492" s="0" t="s">
        <v>6815</v>
      </c>
      <c r="CQ492" s="0" t="s">
        <v>5598</v>
      </c>
      <c r="CR492" s="0" t="s">
        <v>6816</v>
      </c>
      <c r="CS492" s="0" t="s">
        <v>6104</v>
      </c>
      <c r="CT492" s="0" t="s">
        <v>5496</v>
      </c>
      <c r="CU492" s="0" t="s">
        <v>5497</v>
      </c>
      <c r="CV492" s="0" t="s">
        <v>443</v>
      </c>
      <c r="CW492" s="0" t="s">
        <v>6817</v>
      </c>
      <c r="CX492" s="0" t="s">
        <v>229</v>
      </c>
      <c r="CY492" s="0" t="s">
        <v>443</v>
      </c>
      <c r="CZ492" s="0" t="s">
        <v>234</v>
      </c>
      <c r="DA492" s="0" t="s">
        <v>444</v>
      </c>
      <c r="DB492" s="0" t="s">
        <v>6818</v>
      </c>
      <c r="DC492" s="0" t="s">
        <v>384</v>
      </c>
      <c r="DD492" s="0" t="s">
        <v>291</v>
      </c>
      <c r="DE492" s="0" t="s">
        <v>479</v>
      </c>
    </row>
    <row customHeight="1" ht="11.25">
      <c r="A493" s="1441" t="s">
        <v>240</v>
      </c>
      <c r="B493" s="0" t="s">
        <v>240</v>
      </c>
      <c r="C493" s="0" t="s">
        <v>240</v>
      </c>
      <c r="D493" s="0" t="s">
        <v>240</v>
      </c>
      <c r="E493" s="0" t="s">
        <v>240</v>
      </c>
      <c r="F493" s="0" t="s">
        <v>240</v>
      </c>
      <c r="G493" s="0" t="s">
        <v>240</v>
      </c>
      <c r="H493" s="0" t="s">
        <v>240</v>
      </c>
      <c r="I493" s="0" t="s">
        <v>5484</v>
      </c>
      <c r="J493" s="0" t="s">
        <v>240</v>
      </c>
      <c r="K493" s="0" t="s">
        <v>240</v>
      </c>
      <c r="L493" s="0" t="s">
        <v>240</v>
      </c>
      <c r="M493" s="0" t="s">
        <v>240</v>
      </c>
      <c r="N493" s="0" t="s">
        <v>240</v>
      </c>
      <c r="O493" s="0" t="s">
        <v>240</v>
      </c>
      <c r="P493" s="0" t="s">
        <v>240</v>
      </c>
      <c r="Q493" s="0" t="s">
        <v>240</v>
      </c>
      <c r="R493" s="0" t="s">
        <v>6855</v>
      </c>
      <c r="S493" s="0" t="s">
        <v>240</v>
      </c>
      <c r="T493" s="0" t="s">
        <v>240</v>
      </c>
      <c r="U493" s="0" t="s">
        <v>102</v>
      </c>
      <c r="V493" s="0" t="s">
        <v>240</v>
      </c>
      <c r="W493" s="0" t="s">
        <v>240</v>
      </c>
      <c r="X493" s="0" t="s">
        <v>5485</v>
      </c>
      <c r="Y493" s="0" t="s">
        <v>240</v>
      </c>
      <c r="Z493" s="0" t="s">
        <v>161</v>
      </c>
      <c r="AA493" s="0" t="s">
        <v>152</v>
      </c>
      <c r="AB493" s="0" t="s">
        <v>152</v>
      </c>
      <c r="AC493" s="0" t="s">
        <v>2985</v>
      </c>
      <c r="AD493" s="0" t="s">
        <v>2985</v>
      </c>
      <c r="AE493" s="0" t="s">
        <v>2986</v>
      </c>
      <c r="AF493" s="0" t="s">
        <v>5951</v>
      </c>
      <c r="AG493" s="0" t="s">
        <v>5952</v>
      </c>
      <c r="AH493" s="0" t="s">
        <v>5956</v>
      </c>
      <c r="AI493" s="0" t="s">
        <v>6856</v>
      </c>
      <c r="AJ493" s="0" t="s">
        <v>5504</v>
      </c>
      <c r="AK493" s="0" t="s">
        <v>5504</v>
      </c>
      <c r="AL493" s="0" t="s">
        <v>5605</v>
      </c>
      <c r="AM493" s="0" t="s">
        <v>5493</v>
      </c>
      <c r="AN493" s="0" t="s">
        <v>5507</v>
      </c>
      <c r="AO493" s="0" t="s">
        <v>5746</v>
      </c>
      <c r="AP493" s="0" t="s">
        <v>240</v>
      </c>
      <c r="AQ493" s="0" t="s">
        <v>240</v>
      </c>
      <c r="AR493" s="0" t="s">
        <v>240</v>
      </c>
      <c r="AS493" s="0" t="s">
        <v>240</v>
      </c>
      <c r="AT493" s="0" t="s">
        <v>240</v>
      </c>
      <c r="AU493" s="0" t="s">
        <v>240</v>
      </c>
      <c r="AV493" s="0" t="s">
        <v>240</v>
      </c>
      <c r="AW493" s="0" t="s">
        <v>240</v>
      </c>
      <c r="AX493" s="0" t="s">
        <v>240</v>
      </c>
      <c r="AY493" s="0" t="s">
        <v>240</v>
      </c>
      <c r="AZ493" s="0" t="s">
        <v>240</v>
      </c>
      <c r="BA493" s="0" t="s">
        <v>240</v>
      </c>
      <c r="BB493" s="0" t="s">
        <v>240</v>
      </c>
      <c r="BC493" s="0" t="s">
        <v>240</v>
      </c>
      <c r="BD493" s="0" t="s">
        <v>240</v>
      </c>
      <c r="BE493" s="0" t="s">
        <v>240</v>
      </c>
      <c r="BF493" s="0" t="s">
        <v>240</v>
      </c>
      <c r="BG493" s="0" t="s">
        <v>240</v>
      </c>
      <c r="BH493" s="0" t="s">
        <v>240</v>
      </c>
      <c r="BI493" s="0" t="s">
        <v>240</v>
      </c>
      <c r="BJ493" s="0" t="s">
        <v>240</v>
      </c>
      <c r="BK493" s="0" t="s">
        <v>240</v>
      </c>
      <c r="BL493" s="0" t="s">
        <v>240</v>
      </c>
      <c r="BM493" s="0" t="s">
        <v>240</v>
      </c>
      <c r="BN493" s="0" t="s">
        <v>240</v>
      </c>
      <c r="BO493" s="0" t="s">
        <v>240</v>
      </c>
      <c r="BP493" s="0" t="s">
        <v>240</v>
      </c>
      <c r="BQ493" s="0" t="s">
        <v>240</v>
      </c>
      <c r="BR493" s="0" t="s">
        <v>240</v>
      </c>
      <c r="BS493" s="0" t="s">
        <v>240</v>
      </c>
      <c r="BT493" s="0" t="s">
        <v>240</v>
      </c>
      <c r="BU493" s="0" t="s">
        <v>240</v>
      </c>
      <c r="BV493" s="0" t="s">
        <v>240</v>
      </c>
      <c r="BW493" s="0" t="s">
        <v>240</v>
      </c>
      <c r="BX493" s="0" t="s">
        <v>240</v>
      </c>
      <c r="BY493" s="0" t="s">
        <v>240</v>
      </c>
      <c r="BZ493" s="0" t="s">
        <v>240</v>
      </c>
      <c r="CA493" s="0" t="s">
        <v>240</v>
      </c>
      <c r="CB493" s="0" t="s">
        <v>240</v>
      </c>
      <c r="CC493" s="0" t="s">
        <v>240</v>
      </c>
      <c r="CD493" s="0" t="s">
        <v>240</v>
      </c>
      <c r="CE493" s="0" t="s">
        <v>240</v>
      </c>
      <c r="CF493" s="0" t="s">
        <v>240</v>
      </c>
      <c r="CG493" s="0" t="s">
        <v>240</v>
      </c>
      <c r="CH493" s="0" t="s">
        <v>240</v>
      </c>
      <c r="CI493" s="0" t="s">
        <v>240</v>
      </c>
      <c r="CJ493" s="0" t="s">
        <v>240</v>
      </c>
      <c r="CK493" s="0" t="s">
        <v>240</v>
      </c>
      <c r="CL493" s="0" t="s">
        <v>240</v>
      </c>
      <c r="CM493" s="0" t="s">
        <v>240</v>
      </c>
      <c r="CN493" s="0" t="s">
        <v>240</v>
      </c>
      <c r="CO493" s="0" t="s">
        <v>240</v>
      </c>
      <c r="CP493" s="0" t="s">
        <v>240</v>
      </c>
      <c r="CQ493" s="0" t="s">
        <v>240</v>
      </c>
      <c r="CR493" s="0" t="s">
        <v>240</v>
      </c>
      <c r="CS493" s="0" t="s">
        <v>240</v>
      </c>
      <c r="CT493" s="0" t="s">
        <v>5496</v>
      </c>
      <c r="CU493" s="0" t="s">
        <v>5497</v>
      </c>
      <c r="CV493" s="0" t="s">
        <v>443</v>
      </c>
      <c r="CW493" s="0" t="s">
        <v>5509</v>
      </c>
      <c r="CX493" s="0" t="s">
        <v>229</v>
      </c>
      <c r="CY493" s="0" t="s">
        <v>443</v>
      </c>
      <c r="CZ493" s="0" t="s">
        <v>5510</v>
      </c>
      <c r="DA493" s="0" t="s">
        <v>5511</v>
      </c>
      <c r="DB493" s="0" t="s">
        <v>5509</v>
      </c>
      <c r="DC493" s="0" t="s">
        <v>384</v>
      </c>
      <c r="DD493" s="0" t="s">
        <v>291</v>
      </c>
      <c r="DE493" s="0" t="s">
        <v>6857</v>
      </c>
    </row>
    <row customHeight="1" ht="11.25">
      <c r="A494" s="1441" t="s">
        <v>240</v>
      </c>
      <c r="B494" s="0" t="s">
        <v>240</v>
      </c>
      <c r="C494" s="0" t="s">
        <v>240</v>
      </c>
      <c r="D494" s="0" t="s">
        <v>240</v>
      </c>
      <c r="E494" s="0" t="s">
        <v>240</v>
      </c>
      <c r="F494" s="0" t="s">
        <v>240</v>
      </c>
      <c r="G494" s="0" t="s">
        <v>240</v>
      </c>
      <c r="H494" s="0" t="s">
        <v>240</v>
      </c>
      <c r="I494" s="0" t="s">
        <v>5484</v>
      </c>
      <c r="J494" s="0" t="s">
        <v>240</v>
      </c>
      <c r="K494" s="0" t="s">
        <v>240</v>
      </c>
      <c r="L494" s="0" t="s">
        <v>240</v>
      </c>
      <c r="M494" s="0" t="s">
        <v>240</v>
      </c>
      <c r="N494" s="0" t="s">
        <v>240</v>
      </c>
      <c r="O494" s="0" t="s">
        <v>240</v>
      </c>
      <c r="P494" s="0" t="s">
        <v>240</v>
      </c>
      <c r="Q494" s="0" t="s">
        <v>240</v>
      </c>
      <c r="R494" s="0" t="s">
        <v>5608</v>
      </c>
      <c r="S494" s="0" t="s">
        <v>240</v>
      </c>
      <c r="T494" s="0" t="s">
        <v>240</v>
      </c>
      <c r="U494" s="0" t="s">
        <v>102</v>
      </c>
      <c r="V494" s="0" t="s">
        <v>240</v>
      </c>
      <c r="W494" s="0" t="s">
        <v>240</v>
      </c>
      <c r="X494" s="0" t="s">
        <v>5485</v>
      </c>
      <c r="Y494" s="0" t="s">
        <v>240</v>
      </c>
      <c r="Z494" s="0" t="s">
        <v>161</v>
      </c>
      <c r="AA494" s="0" t="s">
        <v>152</v>
      </c>
      <c r="AB494" s="0" t="s">
        <v>152</v>
      </c>
      <c r="AC494" s="0" t="s">
        <v>2985</v>
      </c>
      <c r="AD494" s="0" t="s">
        <v>2985</v>
      </c>
      <c r="AE494" s="0" t="s">
        <v>2986</v>
      </c>
      <c r="AF494" s="0" t="s">
        <v>5609</v>
      </c>
      <c r="AG494" s="0" t="s">
        <v>5610</v>
      </c>
      <c r="AH494" s="0" t="s">
        <v>5611</v>
      </c>
      <c r="AI494" s="0" t="s">
        <v>5612</v>
      </c>
      <c r="AJ494" s="0" t="s">
        <v>5504</v>
      </c>
      <c r="AK494" s="0" t="s">
        <v>5505</v>
      </c>
      <c r="AL494" s="0" t="s">
        <v>5605</v>
      </c>
      <c r="AM494" s="0" t="s">
        <v>5493</v>
      </c>
      <c r="AN494" s="0" t="s">
        <v>5507</v>
      </c>
      <c r="AO494" s="0" t="s">
        <v>5613</v>
      </c>
      <c r="AP494" s="0" t="s">
        <v>240</v>
      </c>
      <c r="AQ494" s="0" t="s">
        <v>240</v>
      </c>
      <c r="AR494" s="0" t="s">
        <v>240</v>
      </c>
      <c r="AS494" s="0" t="s">
        <v>240</v>
      </c>
      <c r="AT494" s="0" t="s">
        <v>240</v>
      </c>
      <c r="AU494" s="0" t="s">
        <v>240</v>
      </c>
      <c r="AV494" s="0" t="s">
        <v>240</v>
      </c>
      <c r="AW494" s="0" t="s">
        <v>240</v>
      </c>
      <c r="AX494" s="0" t="s">
        <v>240</v>
      </c>
      <c r="AY494" s="0" t="s">
        <v>240</v>
      </c>
      <c r="AZ494" s="0" t="s">
        <v>240</v>
      </c>
      <c r="BA494" s="0" t="s">
        <v>240</v>
      </c>
      <c r="BB494" s="0" t="s">
        <v>240</v>
      </c>
      <c r="BC494" s="0" t="s">
        <v>240</v>
      </c>
      <c r="BD494" s="0" t="s">
        <v>240</v>
      </c>
      <c r="BE494" s="0" t="s">
        <v>240</v>
      </c>
      <c r="BF494" s="0" t="s">
        <v>240</v>
      </c>
      <c r="BG494" s="0" t="s">
        <v>240</v>
      </c>
      <c r="BH494" s="0" t="s">
        <v>240</v>
      </c>
      <c r="BI494" s="0" t="s">
        <v>240</v>
      </c>
      <c r="BJ494" s="0" t="s">
        <v>240</v>
      </c>
      <c r="BK494" s="0" t="s">
        <v>240</v>
      </c>
      <c r="BL494" s="0" t="s">
        <v>240</v>
      </c>
      <c r="BM494" s="0" t="s">
        <v>240</v>
      </c>
      <c r="BN494" s="0" t="s">
        <v>240</v>
      </c>
      <c r="BO494" s="0" t="s">
        <v>240</v>
      </c>
      <c r="BP494" s="0" t="s">
        <v>240</v>
      </c>
      <c r="BQ494" s="0" t="s">
        <v>240</v>
      </c>
      <c r="BR494" s="0" t="s">
        <v>240</v>
      </c>
      <c r="BS494" s="0" t="s">
        <v>240</v>
      </c>
      <c r="BT494" s="0" t="s">
        <v>240</v>
      </c>
      <c r="BU494" s="0" t="s">
        <v>240</v>
      </c>
      <c r="BV494" s="0" t="s">
        <v>240</v>
      </c>
      <c r="BW494" s="0" t="s">
        <v>240</v>
      </c>
      <c r="BX494" s="0" t="s">
        <v>240</v>
      </c>
      <c r="BY494" s="0" t="s">
        <v>240</v>
      </c>
      <c r="BZ494" s="0" t="s">
        <v>240</v>
      </c>
      <c r="CA494" s="0" t="s">
        <v>240</v>
      </c>
      <c r="CB494" s="0" t="s">
        <v>240</v>
      </c>
      <c r="CC494" s="0" t="s">
        <v>240</v>
      </c>
      <c r="CD494" s="0" t="s">
        <v>240</v>
      </c>
      <c r="CE494" s="0" t="s">
        <v>240</v>
      </c>
      <c r="CF494" s="0" t="s">
        <v>240</v>
      </c>
      <c r="CG494" s="0" t="s">
        <v>240</v>
      </c>
      <c r="CH494" s="0" t="s">
        <v>240</v>
      </c>
      <c r="CI494" s="0" t="s">
        <v>240</v>
      </c>
      <c r="CJ494" s="0" t="s">
        <v>240</v>
      </c>
      <c r="CK494" s="0" t="s">
        <v>240</v>
      </c>
      <c r="CL494" s="0" t="s">
        <v>240</v>
      </c>
      <c r="CM494" s="0" t="s">
        <v>240</v>
      </c>
      <c r="CN494" s="0" t="s">
        <v>240</v>
      </c>
      <c r="CO494" s="0" t="s">
        <v>240</v>
      </c>
      <c r="CP494" s="0" t="s">
        <v>240</v>
      </c>
      <c r="CQ494" s="0" t="s">
        <v>240</v>
      </c>
      <c r="CR494" s="0" t="s">
        <v>240</v>
      </c>
      <c r="CS494" s="0" t="s">
        <v>240</v>
      </c>
      <c r="CT494" s="0" t="s">
        <v>5496</v>
      </c>
      <c r="CU494" s="0" t="s">
        <v>5497</v>
      </c>
      <c r="CV494" s="0" t="s">
        <v>443</v>
      </c>
      <c r="CW494" s="0" t="s">
        <v>5509</v>
      </c>
      <c r="CX494" s="0" t="s">
        <v>229</v>
      </c>
      <c r="CY494" s="0" t="s">
        <v>443</v>
      </c>
      <c r="CZ494" s="0" t="s">
        <v>5510</v>
      </c>
      <c r="DA494" s="0" t="s">
        <v>5511</v>
      </c>
      <c r="DB494" s="0" t="s">
        <v>5509</v>
      </c>
      <c r="DC494" s="0" t="s">
        <v>384</v>
      </c>
      <c r="DD494" s="0" t="s">
        <v>291</v>
      </c>
      <c r="DE494" s="0" t="s">
        <v>5614</v>
      </c>
    </row>
    <row customHeight="1" ht="11.25">
      <c r="A495" s="1441" t="s">
        <v>240</v>
      </c>
      <c r="B495" s="0" t="s">
        <v>240</v>
      </c>
      <c r="C495" s="0" t="s">
        <v>240</v>
      </c>
      <c r="D495" s="0" t="s">
        <v>240</v>
      </c>
      <c r="E495" s="0" t="s">
        <v>240</v>
      </c>
      <c r="F495" s="0" t="s">
        <v>240</v>
      </c>
      <c r="G495" s="0" t="s">
        <v>240</v>
      </c>
      <c r="H495" s="0" t="s">
        <v>240</v>
      </c>
      <c r="I495" s="0" t="s">
        <v>5484</v>
      </c>
      <c r="J495" s="0" t="s">
        <v>240</v>
      </c>
      <c r="K495" s="0" t="s">
        <v>240</v>
      </c>
      <c r="L495" s="0" t="s">
        <v>240</v>
      </c>
      <c r="M495" s="0" t="s">
        <v>240</v>
      </c>
      <c r="N495" s="0" t="s">
        <v>240</v>
      </c>
      <c r="O495" s="0" t="s">
        <v>240</v>
      </c>
      <c r="P495" s="0" t="s">
        <v>240</v>
      </c>
      <c r="Q495" s="0" t="s">
        <v>240</v>
      </c>
      <c r="R495" s="0" t="s">
        <v>5608</v>
      </c>
      <c r="S495" s="0" t="s">
        <v>240</v>
      </c>
      <c r="T495" s="0" t="s">
        <v>240</v>
      </c>
      <c r="U495" s="0" t="s">
        <v>102</v>
      </c>
      <c r="V495" s="0" t="s">
        <v>240</v>
      </c>
      <c r="W495" s="0" t="s">
        <v>240</v>
      </c>
      <c r="X495" s="0" t="s">
        <v>5485</v>
      </c>
      <c r="Y495" s="0" t="s">
        <v>240</v>
      </c>
      <c r="Z495" s="0" t="s">
        <v>161</v>
      </c>
      <c r="AA495" s="0" t="s">
        <v>152</v>
      </c>
      <c r="AB495" s="0" t="s">
        <v>152</v>
      </c>
      <c r="AC495" s="0" t="s">
        <v>2985</v>
      </c>
      <c r="AD495" s="0" t="s">
        <v>2985</v>
      </c>
      <c r="AE495" s="0" t="s">
        <v>2986</v>
      </c>
      <c r="AF495" s="0" t="s">
        <v>5615</v>
      </c>
      <c r="AG495" s="0" t="s">
        <v>5616</v>
      </c>
      <c r="AH495" s="0" t="s">
        <v>5617</v>
      </c>
      <c r="AI495" s="0" t="s">
        <v>5618</v>
      </c>
      <c r="AJ495" s="0" t="s">
        <v>5504</v>
      </c>
      <c r="AK495" s="0" t="s">
        <v>5552</v>
      </c>
      <c r="AL495" s="0" t="s">
        <v>5605</v>
      </c>
      <c r="AM495" s="0" t="s">
        <v>5493</v>
      </c>
      <c r="AN495" s="0" t="s">
        <v>5507</v>
      </c>
      <c r="AO495" s="0" t="s">
        <v>5619</v>
      </c>
      <c r="AP495" s="0" t="s">
        <v>240</v>
      </c>
      <c r="AQ495" s="0" t="s">
        <v>240</v>
      </c>
      <c r="AR495" s="0" t="s">
        <v>240</v>
      </c>
      <c r="AS495" s="0" t="s">
        <v>240</v>
      </c>
      <c r="AT495" s="0" t="s">
        <v>240</v>
      </c>
      <c r="AU495" s="0" t="s">
        <v>240</v>
      </c>
      <c r="AV495" s="0" t="s">
        <v>240</v>
      </c>
      <c r="AW495" s="0" t="s">
        <v>240</v>
      </c>
      <c r="AX495" s="0" t="s">
        <v>240</v>
      </c>
      <c r="AY495" s="0" t="s">
        <v>240</v>
      </c>
      <c r="AZ495" s="0" t="s">
        <v>240</v>
      </c>
      <c r="BA495" s="0" t="s">
        <v>240</v>
      </c>
      <c r="BB495" s="0" t="s">
        <v>240</v>
      </c>
      <c r="BC495" s="0" t="s">
        <v>240</v>
      </c>
      <c r="BD495" s="0" t="s">
        <v>240</v>
      </c>
      <c r="BE495" s="0" t="s">
        <v>240</v>
      </c>
      <c r="BF495" s="0" t="s">
        <v>240</v>
      </c>
      <c r="BG495" s="0" t="s">
        <v>240</v>
      </c>
      <c r="BH495" s="0" t="s">
        <v>240</v>
      </c>
      <c r="BI495" s="0" t="s">
        <v>240</v>
      </c>
      <c r="BJ495" s="0" t="s">
        <v>240</v>
      </c>
      <c r="BK495" s="0" t="s">
        <v>240</v>
      </c>
      <c r="BL495" s="0" t="s">
        <v>240</v>
      </c>
      <c r="BM495" s="0" t="s">
        <v>240</v>
      </c>
      <c r="BN495" s="0" t="s">
        <v>240</v>
      </c>
      <c r="BO495" s="0" t="s">
        <v>240</v>
      </c>
      <c r="BP495" s="0" t="s">
        <v>240</v>
      </c>
      <c r="BQ495" s="0" t="s">
        <v>240</v>
      </c>
      <c r="BR495" s="0" t="s">
        <v>240</v>
      </c>
      <c r="BS495" s="0" t="s">
        <v>240</v>
      </c>
      <c r="BT495" s="0" t="s">
        <v>240</v>
      </c>
      <c r="BU495" s="0" t="s">
        <v>240</v>
      </c>
      <c r="BV495" s="0" t="s">
        <v>240</v>
      </c>
      <c r="BW495" s="0" t="s">
        <v>240</v>
      </c>
      <c r="BX495" s="0" t="s">
        <v>240</v>
      </c>
      <c r="BY495" s="0" t="s">
        <v>240</v>
      </c>
      <c r="BZ495" s="0" t="s">
        <v>240</v>
      </c>
      <c r="CA495" s="0" t="s">
        <v>240</v>
      </c>
      <c r="CB495" s="0" t="s">
        <v>240</v>
      </c>
      <c r="CC495" s="0" t="s">
        <v>240</v>
      </c>
      <c r="CD495" s="0" t="s">
        <v>240</v>
      </c>
      <c r="CE495" s="0" t="s">
        <v>240</v>
      </c>
      <c r="CF495" s="0" t="s">
        <v>240</v>
      </c>
      <c r="CG495" s="0" t="s">
        <v>240</v>
      </c>
      <c r="CH495" s="0" t="s">
        <v>240</v>
      </c>
      <c r="CI495" s="0" t="s">
        <v>240</v>
      </c>
      <c r="CJ495" s="0" t="s">
        <v>240</v>
      </c>
      <c r="CK495" s="0" t="s">
        <v>240</v>
      </c>
      <c r="CL495" s="0" t="s">
        <v>240</v>
      </c>
      <c r="CM495" s="0" t="s">
        <v>240</v>
      </c>
      <c r="CN495" s="0" t="s">
        <v>240</v>
      </c>
      <c r="CO495" s="0" t="s">
        <v>240</v>
      </c>
      <c r="CP495" s="0" t="s">
        <v>240</v>
      </c>
      <c r="CQ495" s="0" t="s">
        <v>240</v>
      </c>
      <c r="CR495" s="0" t="s">
        <v>240</v>
      </c>
      <c r="CS495" s="0" t="s">
        <v>240</v>
      </c>
      <c r="CT495" s="0" t="s">
        <v>5496</v>
      </c>
      <c r="CU495" s="0" t="s">
        <v>5497</v>
      </c>
      <c r="CV495" s="0" t="s">
        <v>443</v>
      </c>
      <c r="CW495" s="0" t="s">
        <v>5509</v>
      </c>
      <c r="CX495" s="0" t="s">
        <v>229</v>
      </c>
      <c r="CY495" s="0" t="s">
        <v>443</v>
      </c>
      <c r="CZ495" s="0" t="s">
        <v>5510</v>
      </c>
      <c r="DA495" s="0" t="s">
        <v>5511</v>
      </c>
      <c r="DB495" s="0" t="s">
        <v>5509</v>
      </c>
      <c r="DC495" s="0" t="s">
        <v>384</v>
      </c>
      <c r="DD495" s="0" t="s">
        <v>291</v>
      </c>
      <c r="DE495" s="0" t="s">
        <v>5620</v>
      </c>
    </row>
    <row customHeight="1" ht="11.25">
      <c r="A496" s="1441" t="s">
        <v>240</v>
      </c>
      <c r="B496" s="0" t="s">
        <v>240</v>
      </c>
      <c r="C496" s="0" t="s">
        <v>240</v>
      </c>
      <c r="D496" s="0" t="s">
        <v>240</v>
      </c>
      <c r="E496" s="0" t="s">
        <v>240</v>
      </c>
      <c r="F496" s="0" t="s">
        <v>240</v>
      </c>
      <c r="G496" s="0" t="s">
        <v>240</v>
      </c>
      <c r="H496" s="0" t="s">
        <v>240</v>
      </c>
      <c r="I496" s="0" t="s">
        <v>5484</v>
      </c>
      <c r="J496" s="0" t="s">
        <v>240</v>
      </c>
      <c r="K496" s="0" t="s">
        <v>240</v>
      </c>
      <c r="L496" s="0" t="s">
        <v>240</v>
      </c>
      <c r="M496" s="0" t="s">
        <v>240</v>
      </c>
      <c r="N496" s="0" t="s">
        <v>240</v>
      </c>
      <c r="O496" s="0" t="s">
        <v>240</v>
      </c>
      <c r="P496" s="0" t="s">
        <v>240</v>
      </c>
      <c r="Q496" s="0" t="s">
        <v>240</v>
      </c>
      <c r="R496" s="0" t="s">
        <v>449</v>
      </c>
      <c r="S496" s="0" t="s">
        <v>240</v>
      </c>
      <c r="T496" s="0" t="s">
        <v>240</v>
      </c>
      <c r="U496" s="0" t="s">
        <v>102</v>
      </c>
      <c r="V496" s="0" t="s">
        <v>240</v>
      </c>
      <c r="W496" s="0" t="s">
        <v>240</v>
      </c>
      <c r="X496" s="0" t="s">
        <v>5585</v>
      </c>
      <c r="Y496" s="0" t="s">
        <v>240</v>
      </c>
      <c r="Z496" s="0" t="s">
        <v>152</v>
      </c>
      <c r="AA496" s="0" t="s">
        <v>152</v>
      </c>
      <c r="AB496" s="0" t="s">
        <v>161</v>
      </c>
      <c r="AC496" s="0" t="s">
        <v>2985</v>
      </c>
      <c r="AD496" s="0" t="s">
        <v>2985</v>
      </c>
      <c r="AE496" s="0" t="s">
        <v>2986</v>
      </c>
      <c r="AF496" s="0" t="s">
        <v>5951</v>
      </c>
      <c r="AG496" s="0" t="s">
        <v>5952</v>
      </c>
      <c r="AH496" s="0" t="s">
        <v>5953</v>
      </c>
      <c r="AI496" s="0" t="s">
        <v>5644</v>
      </c>
      <c r="AJ496" s="0" t="s">
        <v>240</v>
      </c>
      <c r="AK496" s="0" t="s">
        <v>240</v>
      </c>
      <c r="AL496" s="0" t="s">
        <v>240</v>
      </c>
      <c r="AM496" s="0" t="s">
        <v>240</v>
      </c>
      <c r="AN496" s="0" t="s">
        <v>240</v>
      </c>
      <c r="AO496" s="0" t="s">
        <v>240</v>
      </c>
      <c r="AP496" s="0" t="s">
        <v>240</v>
      </c>
      <c r="AQ496" s="0" t="s">
        <v>240</v>
      </c>
      <c r="AR496" s="0" t="s">
        <v>240</v>
      </c>
      <c r="AS496" s="0" t="s">
        <v>240</v>
      </c>
      <c r="AT496" s="0" t="s">
        <v>240</v>
      </c>
      <c r="AU496" s="0" t="s">
        <v>240</v>
      </c>
      <c r="AV496" s="0" t="s">
        <v>240</v>
      </c>
      <c r="AW496" s="0" t="s">
        <v>240</v>
      </c>
      <c r="AX496" s="0" t="s">
        <v>240</v>
      </c>
      <c r="AY496" s="0" t="s">
        <v>240</v>
      </c>
      <c r="AZ496" s="0" t="s">
        <v>240</v>
      </c>
      <c r="BA496" s="0" t="s">
        <v>240</v>
      </c>
      <c r="BB496" s="0" t="s">
        <v>240</v>
      </c>
      <c r="BC496" s="0" t="s">
        <v>240</v>
      </c>
      <c r="BD496" s="0" t="s">
        <v>240</v>
      </c>
      <c r="BE496" s="0" t="s">
        <v>5645</v>
      </c>
      <c r="BF496" s="0" t="s">
        <v>5645</v>
      </c>
      <c r="BG496" s="0" t="s">
        <v>112</v>
      </c>
      <c r="BH496" s="0" t="s">
        <v>5589</v>
      </c>
      <c r="BI496" s="0" t="s">
        <v>123</v>
      </c>
      <c r="BJ496" s="0" t="s">
        <v>240</v>
      </c>
      <c r="BK496" s="0" t="s">
        <v>5954</v>
      </c>
      <c r="BL496" s="0" t="s">
        <v>2985</v>
      </c>
      <c r="BM496" s="0" t="s">
        <v>2985</v>
      </c>
      <c r="BN496" s="0" t="s">
        <v>5646</v>
      </c>
      <c r="BO496" s="0" t="s">
        <v>5951</v>
      </c>
      <c r="BP496" s="0" t="s">
        <v>5955</v>
      </c>
      <c r="BQ496" s="0" t="s">
        <v>5956</v>
      </c>
      <c r="BR496" s="0" t="s">
        <v>5551</v>
      </c>
      <c r="BS496" s="0" t="s">
        <v>240</v>
      </c>
      <c r="BT496" s="0" t="s">
        <v>5650</v>
      </c>
      <c r="BU496" s="0" t="s">
        <v>5957</v>
      </c>
      <c r="BV496" s="0" t="s">
        <v>5957</v>
      </c>
      <c r="BW496" s="0" t="s">
        <v>5598</v>
      </c>
      <c r="BX496" s="0" t="s">
        <v>5598</v>
      </c>
      <c r="BY496" s="0" t="s">
        <v>5598</v>
      </c>
      <c r="BZ496" s="0" t="s">
        <v>5598</v>
      </c>
      <c r="CA496" s="0" t="s">
        <v>5598</v>
      </c>
      <c r="CB496" s="0" t="s">
        <v>240</v>
      </c>
      <c r="CC496" s="0" t="s">
        <v>240</v>
      </c>
      <c r="CD496" s="0" t="s">
        <v>240</v>
      </c>
      <c r="CE496" s="0" t="s">
        <v>240</v>
      </c>
      <c r="CF496" s="0" t="s">
        <v>240</v>
      </c>
      <c r="CG496" s="0" t="s">
        <v>5598</v>
      </c>
      <c r="CH496" s="0" t="s">
        <v>240</v>
      </c>
      <c r="CI496" s="0" t="s">
        <v>240</v>
      </c>
      <c r="CJ496" s="0" t="s">
        <v>240</v>
      </c>
      <c r="CK496" s="0" t="s">
        <v>240</v>
      </c>
      <c r="CL496" s="0" t="s">
        <v>240</v>
      </c>
      <c r="CM496" s="0" t="s">
        <v>5957</v>
      </c>
      <c r="CN496" s="0" t="s">
        <v>5957</v>
      </c>
      <c r="CO496" s="0" t="s">
        <v>240</v>
      </c>
      <c r="CP496" s="0" t="s">
        <v>240</v>
      </c>
      <c r="CQ496" s="0" t="s">
        <v>240</v>
      </c>
      <c r="CR496" s="0" t="s">
        <v>240</v>
      </c>
      <c r="CS496" s="0" t="s">
        <v>5507</v>
      </c>
      <c r="CT496" s="0" t="s">
        <v>5496</v>
      </c>
      <c r="CU496" s="0" t="s">
        <v>5497</v>
      </c>
      <c r="CV496" s="0" t="s">
        <v>443</v>
      </c>
      <c r="CW496" s="0" t="s">
        <v>5509</v>
      </c>
      <c r="CX496" s="0" t="s">
        <v>229</v>
      </c>
      <c r="CY496" s="0" t="s">
        <v>443</v>
      </c>
      <c r="CZ496" s="0" t="s">
        <v>5510</v>
      </c>
      <c r="DA496" s="0" t="s">
        <v>5511</v>
      </c>
      <c r="DB496" s="0" t="s">
        <v>5509</v>
      </c>
      <c r="DC496" s="0" t="s">
        <v>384</v>
      </c>
      <c r="DD496" s="0" t="s">
        <v>291</v>
      </c>
      <c r="DE496" s="0" t="s">
        <v>5958</v>
      </c>
    </row>
    <row customHeight="1" ht="11.25">
      <c r="A497" s="1441" t="s">
        <v>240</v>
      </c>
      <c r="B497" s="0" t="s">
        <v>240</v>
      </c>
      <c r="C497" s="0" t="s">
        <v>240</v>
      </c>
      <c r="D497" s="0" t="s">
        <v>240</v>
      </c>
      <c r="E497" s="0" t="s">
        <v>240</v>
      </c>
      <c r="F497" s="0" t="s">
        <v>240</v>
      </c>
      <c r="G497" s="0" t="s">
        <v>240</v>
      </c>
      <c r="H497" s="0" t="s">
        <v>240</v>
      </c>
      <c r="I497" s="0" t="s">
        <v>5484</v>
      </c>
      <c r="J497" s="0" t="s">
        <v>240</v>
      </c>
      <c r="K497" s="0" t="s">
        <v>240</v>
      </c>
      <c r="L497" s="0" t="s">
        <v>240</v>
      </c>
      <c r="M497" s="0" t="s">
        <v>240</v>
      </c>
      <c r="N497" s="0" t="s">
        <v>240</v>
      </c>
      <c r="O497" s="0" t="s">
        <v>240</v>
      </c>
      <c r="P497" s="0" t="s">
        <v>240</v>
      </c>
      <c r="Q497" s="0" t="s">
        <v>240</v>
      </c>
      <c r="R497" s="0" t="s">
        <v>6222</v>
      </c>
      <c r="S497" s="0" t="s">
        <v>240</v>
      </c>
      <c r="T497" s="0" t="s">
        <v>240</v>
      </c>
      <c r="U497" s="0" t="s">
        <v>102</v>
      </c>
      <c r="V497" s="0" t="s">
        <v>240</v>
      </c>
      <c r="W497" s="0" t="s">
        <v>240</v>
      </c>
      <c r="X497" s="0" t="s">
        <v>5585</v>
      </c>
      <c r="Y497" s="0" t="s">
        <v>240</v>
      </c>
      <c r="Z497" s="0" t="s">
        <v>152</v>
      </c>
      <c r="AA497" s="0" t="s">
        <v>152</v>
      </c>
      <c r="AB497" s="0" t="s">
        <v>161</v>
      </c>
      <c r="AC497" s="0" t="s">
        <v>2985</v>
      </c>
      <c r="AD497" s="0" t="s">
        <v>2985</v>
      </c>
      <c r="AE497" s="0" t="s">
        <v>2986</v>
      </c>
      <c r="AF497" s="0" t="s">
        <v>5951</v>
      </c>
      <c r="AG497" s="0" t="s">
        <v>5952</v>
      </c>
      <c r="AH497" s="0" t="s">
        <v>5951</v>
      </c>
      <c r="AI497" s="0" t="s">
        <v>5644</v>
      </c>
      <c r="AJ497" s="0" t="s">
        <v>240</v>
      </c>
      <c r="AK497" s="0" t="s">
        <v>240</v>
      </c>
      <c r="AL497" s="0" t="s">
        <v>240</v>
      </c>
      <c r="AM497" s="0" t="s">
        <v>240</v>
      </c>
      <c r="AN497" s="0" t="s">
        <v>240</v>
      </c>
      <c r="AO497" s="0" t="s">
        <v>240</v>
      </c>
      <c r="AP497" s="0" t="s">
        <v>240</v>
      </c>
      <c r="AQ497" s="0" t="s">
        <v>240</v>
      </c>
      <c r="AR497" s="0" t="s">
        <v>240</v>
      </c>
      <c r="AS497" s="0" t="s">
        <v>240</v>
      </c>
      <c r="AT497" s="0" t="s">
        <v>240</v>
      </c>
      <c r="AU497" s="0" t="s">
        <v>240</v>
      </c>
      <c r="AV497" s="0" t="s">
        <v>240</v>
      </c>
      <c r="AW497" s="0" t="s">
        <v>240</v>
      </c>
      <c r="AX497" s="0" t="s">
        <v>240</v>
      </c>
      <c r="AY497" s="0" t="s">
        <v>240</v>
      </c>
      <c r="AZ497" s="0" t="s">
        <v>240</v>
      </c>
      <c r="BA497" s="0" t="s">
        <v>240</v>
      </c>
      <c r="BB497" s="0" t="s">
        <v>240</v>
      </c>
      <c r="BC497" s="0" t="s">
        <v>240</v>
      </c>
      <c r="BD497" s="0" t="s">
        <v>240</v>
      </c>
      <c r="BE497" s="0" t="s">
        <v>5645</v>
      </c>
      <c r="BF497" s="0" t="s">
        <v>5645</v>
      </c>
      <c r="BG497" s="0" t="s">
        <v>112</v>
      </c>
      <c r="BH497" s="0" t="s">
        <v>5589</v>
      </c>
      <c r="BI497" s="0" t="s">
        <v>123</v>
      </c>
      <c r="BJ497" s="0" t="s">
        <v>240</v>
      </c>
      <c r="BK497" s="0" t="s">
        <v>5608</v>
      </c>
      <c r="BL497" s="0" t="s">
        <v>2985</v>
      </c>
      <c r="BM497" s="0" t="s">
        <v>2985</v>
      </c>
      <c r="BN497" s="0" t="s">
        <v>5646</v>
      </c>
      <c r="BO497" s="0" t="s">
        <v>5951</v>
      </c>
      <c r="BP497" s="0" t="s">
        <v>5955</v>
      </c>
      <c r="BQ497" s="0" t="s">
        <v>6223</v>
      </c>
      <c r="BR497" s="0" t="s">
        <v>6224</v>
      </c>
      <c r="BS497" s="0" t="s">
        <v>240</v>
      </c>
      <c r="BT497" s="0" t="s">
        <v>5650</v>
      </c>
      <c r="BU497" s="0" t="s">
        <v>6225</v>
      </c>
      <c r="BV497" s="0" t="s">
        <v>6225</v>
      </c>
      <c r="BW497" s="0" t="s">
        <v>5598</v>
      </c>
      <c r="BX497" s="0" t="s">
        <v>5598</v>
      </c>
      <c r="BY497" s="0" t="s">
        <v>5598</v>
      </c>
      <c r="BZ497" s="0" t="s">
        <v>5598</v>
      </c>
      <c r="CA497" s="0" t="s">
        <v>5598</v>
      </c>
      <c r="CB497" s="0" t="s">
        <v>240</v>
      </c>
      <c r="CC497" s="0" t="s">
        <v>240</v>
      </c>
      <c r="CD497" s="0" t="s">
        <v>240</v>
      </c>
      <c r="CE497" s="0" t="s">
        <v>240</v>
      </c>
      <c r="CF497" s="0" t="s">
        <v>240</v>
      </c>
      <c r="CG497" s="0" t="s">
        <v>5598</v>
      </c>
      <c r="CH497" s="0" t="s">
        <v>240</v>
      </c>
      <c r="CI497" s="0" t="s">
        <v>240</v>
      </c>
      <c r="CJ497" s="0" t="s">
        <v>240</v>
      </c>
      <c r="CK497" s="0" t="s">
        <v>240</v>
      </c>
      <c r="CL497" s="0" t="s">
        <v>240</v>
      </c>
      <c r="CM497" s="0" t="s">
        <v>6225</v>
      </c>
      <c r="CN497" s="0" t="s">
        <v>6225</v>
      </c>
      <c r="CO497" s="0" t="s">
        <v>240</v>
      </c>
      <c r="CP497" s="0" t="s">
        <v>240</v>
      </c>
      <c r="CQ497" s="0" t="s">
        <v>240</v>
      </c>
      <c r="CR497" s="0" t="s">
        <v>240</v>
      </c>
      <c r="CS497" s="0" t="s">
        <v>5507</v>
      </c>
      <c r="CT497" s="0" t="s">
        <v>5496</v>
      </c>
      <c r="CU497" s="0" t="s">
        <v>5497</v>
      </c>
      <c r="CV497" s="0" t="s">
        <v>443</v>
      </c>
      <c r="CW497" s="0" t="s">
        <v>5509</v>
      </c>
      <c r="CX497" s="0" t="s">
        <v>229</v>
      </c>
      <c r="CY497" s="0" t="s">
        <v>443</v>
      </c>
      <c r="CZ497" s="0" t="s">
        <v>5510</v>
      </c>
      <c r="DA497" s="0" t="s">
        <v>5511</v>
      </c>
      <c r="DB497" s="0" t="s">
        <v>5509</v>
      </c>
      <c r="DC497" s="0" t="s">
        <v>384</v>
      </c>
      <c r="DD497" s="0" t="s">
        <v>291</v>
      </c>
      <c r="DE497" s="0" t="s">
        <v>5960</v>
      </c>
    </row>
    <row customHeight="1" ht="11.25">
      <c r="A498" s="1441" t="s">
        <v>240</v>
      </c>
      <c r="B498" s="0" t="s">
        <v>240</v>
      </c>
      <c r="C498" s="0" t="s">
        <v>240</v>
      </c>
      <c r="D498" s="0" t="s">
        <v>240</v>
      </c>
      <c r="E498" s="0" t="s">
        <v>240</v>
      </c>
      <c r="F498" s="0" t="s">
        <v>240</v>
      </c>
      <c r="G498" s="0" t="s">
        <v>240</v>
      </c>
      <c r="H498" s="0" t="s">
        <v>240</v>
      </c>
      <c r="I498" s="0" t="s">
        <v>5484</v>
      </c>
      <c r="J498" s="0" t="s">
        <v>240</v>
      </c>
      <c r="K498" s="0" t="s">
        <v>240</v>
      </c>
      <c r="L498" s="0" t="s">
        <v>240</v>
      </c>
      <c r="M498" s="0" t="s">
        <v>240</v>
      </c>
      <c r="N498" s="0" t="s">
        <v>240</v>
      </c>
      <c r="O498" s="0" t="s">
        <v>240</v>
      </c>
      <c r="P498" s="0" t="s">
        <v>240</v>
      </c>
      <c r="Q498" s="0" t="s">
        <v>240</v>
      </c>
      <c r="R498" s="0" t="s">
        <v>449</v>
      </c>
      <c r="S498" s="0" t="s">
        <v>240</v>
      </c>
      <c r="T498" s="0" t="s">
        <v>240</v>
      </c>
      <c r="U498" s="0" t="s">
        <v>102</v>
      </c>
      <c r="V498" s="0" t="s">
        <v>240</v>
      </c>
      <c r="W498" s="0" t="s">
        <v>240</v>
      </c>
      <c r="X498" s="0" t="s">
        <v>5585</v>
      </c>
      <c r="Y498" s="0" t="s">
        <v>240</v>
      </c>
      <c r="Z498" s="0" t="s">
        <v>152</v>
      </c>
      <c r="AA498" s="0" t="s">
        <v>152</v>
      </c>
      <c r="AB498" s="0" t="s">
        <v>161</v>
      </c>
      <c r="AC498" s="0" t="s">
        <v>2985</v>
      </c>
      <c r="AD498" s="0" t="s">
        <v>2985</v>
      </c>
      <c r="AE498" s="0" t="s">
        <v>2986</v>
      </c>
      <c r="AF498" s="0" t="s">
        <v>6226</v>
      </c>
      <c r="AG498" s="0" t="s">
        <v>6227</v>
      </c>
      <c r="AH498" s="0" t="s">
        <v>6226</v>
      </c>
      <c r="AI498" s="0" t="s">
        <v>5644</v>
      </c>
      <c r="AJ498" s="0" t="s">
        <v>240</v>
      </c>
      <c r="AK498" s="0" t="s">
        <v>240</v>
      </c>
      <c r="AL498" s="0" t="s">
        <v>240</v>
      </c>
      <c r="AM498" s="0" t="s">
        <v>240</v>
      </c>
      <c r="AN498" s="0" t="s">
        <v>240</v>
      </c>
      <c r="AO498" s="0" t="s">
        <v>240</v>
      </c>
      <c r="AP498" s="0" t="s">
        <v>240</v>
      </c>
      <c r="AQ498" s="0" t="s">
        <v>240</v>
      </c>
      <c r="AR498" s="0" t="s">
        <v>240</v>
      </c>
      <c r="AS498" s="0" t="s">
        <v>240</v>
      </c>
      <c r="AT498" s="0" t="s">
        <v>240</v>
      </c>
      <c r="AU498" s="0" t="s">
        <v>240</v>
      </c>
      <c r="AV498" s="0" t="s">
        <v>240</v>
      </c>
      <c r="AW498" s="0" t="s">
        <v>240</v>
      </c>
      <c r="AX498" s="0" t="s">
        <v>240</v>
      </c>
      <c r="AY498" s="0" t="s">
        <v>240</v>
      </c>
      <c r="AZ498" s="0" t="s">
        <v>240</v>
      </c>
      <c r="BA498" s="0" t="s">
        <v>240</v>
      </c>
      <c r="BB498" s="0" t="s">
        <v>240</v>
      </c>
      <c r="BC498" s="0" t="s">
        <v>240</v>
      </c>
      <c r="BD498" s="0" t="s">
        <v>240</v>
      </c>
      <c r="BE498" s="0" t="s">
        <v>5645</v>
      </c>
      <c r="BF498" s="0" t="s">
        <v>5645</v>
      </c>
      <c r="BG498" s="0" t="s">
        <v>112</v>
      </c>
      <c r="BH498" s="0" t="s">
        <v>5589</v>
      </c>
      <c r="BI498" s="0" t="s">
        <v>123</v>
      </c>
      <c r="BJ498" s="0" t="s">
        <v>240</v>
      </c>
      <c r="BK498" s="0" t="s">
        <v>5608</v>
      </c>
      <c r="BL498" s="0" t="s">
        <v>2985</v>
      </c>
      <c r="BM498" s="0" t="s">
        <v>2985</v>
      </c>
      <c r="BN498" s="0" t="s">
        <v>5646</v>
      </c>
      <c r="BO498" s="0" t="s">
        <v>6226</v>
      </c>
      <c r="BP498" s="0" t="s">
        <v>6228</v>
      </c>
      <c r="BQ498" s="0" t="s">
        <v>6229</v>
      </c>
      <c r="BR498" s="0" t="s">
        <v>6186</v>
      </c>
      <c r="BS498" s="0" t="s">
        <v>240</v>
      </c>
      <c r="BT498" s="0" t="s">
        <v>5650</v>
      </c>
      <c r="BU498" s="0" t="s">
        <v>6230</v>
      </c>
      <c r="BV498" s="0" t="s">
        <v>6230</v>
      </c>
      <c r="BW498" s="0" t="s">
        <v>5598</v>
      </c>
      <c r="BX498" s="0" t="s">
        <v>5598</v>
      </c>
      <c r="BY498" s="0" t="s">
        <v>5598</v>
      </c>
      <c r="BZ498" s="0" t="s">
        <v>5598</v>
      </c>
      <c r="CA498" s="0" t="s">
        <v>5598</v>
      </c>
      <c r="CB498" s="0" t="s">
        <v>240</v>
      </c>
      <c r="CC498" s="0" t="s">
        <v>240</v>
      </c>
      <c r="CD498" s="0" t="s">
        <v>240</v>
      </c>
      <c r="CE498" s="0" t="s">
        <v>240</v>
      </c>
      <c r="CF498" s="0" t="s">
        <v>240</v>
      </c>
      <c r="CG498" s="0" t="s">
        <v>5598</v>
      </c>
      <c r="CH498" s="0" t="s">
        <v>240</v>
      </c>
      <c r="CI498" s="0" t="s">
        <v>240</v>
      </c>
      <c r="CJ498" s="0" t="s">
        <v>240</v>
      </c>
      <c r="CK498" s="0" t="s">
        <v>240</v>
      </c>
      <c r="CL498" s="0" t="s">
        <v>240</v>
      </c>
      <c r="CM498" s="0" t="s">
        <v>6230</v>
      </c>
      <c r="CN498" s="0" t="s">
        <v>6230</v>
      </c>
      <c r="CO498" s="0" t="s">
        <v>240</v>
      </c>
      <c r="CP498" s="0" t="s">
        <v>240</v>
      </c>
      <c r="CQ498" s="0" t="s">
        <v>240</v>
      </c>
      <c r="CR498" s="0" t="s">
        <v>240</v>
      </c>
      <c r="CS498" s="0" t="s">
        <v>5507</v>
      </c>
      <c r="CT498" s="0" t="s">
        <v>5496</v>
      </c>
      <c r="CU498" s="0" t="s">
        <v>5497</v>
      </c>
      <c r="CV498" s="0" t="s">
        <v>443</v>
      </c>
      <c r="CW498" s="0" t="s">
        <v>5509</v>
      </c>
      <c r="CX498" s="0" t="s">
        <v>229</v>
      </c>
      <c r="CY498" s="0" t="s">
        <v>443</v>
      </c>
      <c r="CZ498" s="0" t="s">
        <v>5510</v>
      </c>
      <c r="DA498" s="0" t="s">
        <v>5511</v>
      </c>
      <c r="DB498" s="0" t="s">
        <v>5509</v>
      </c>
      <c r="DC498" s="0" t="s">
        <v>384</v>
      </c>
      <c r="DD498" s="0" t="s">
        <v>291</v>
      </c>
      <c r="DE498" s="0" t="s">
        <v>6231</v>
      </c>
    </row>
    <row customHeight="1" ht="11.25">
      <c r="A499" s="1441" t="s">
        <v>240</v>
      </c>
      <c r="B499" s="0" t="s">
        <v>240</v>
      </c>
      <c r="C499" s="0" t="s">
        <v>240</v>
      </c>
      <c r="D499" s="0" t="s">
        <v>240</v>
      </c>
      <c r="E499" s="0" t="s">
        <v>240</v>
      </c>
      <c r="F499" s="0" t="s">
        <v>240</v>
      </c>
      <c r="G499" s="0" t="s">
        <v>240</v>
      </c>
      <c r="H499" s="0" t="s">
        <v>240</v>
      </c>
      <c r="I499" s="0" t="s">
        <v>5484</v>
      </c>
      <c r="J499" s="0" t="s">
        <v>240</v>
      </c>
      <c r="K499" s="0" t="s">
        <v>240</v>
      </c>
      <c r="L499" s="0" t="s">
        <v>240</v>
      </c>
      <c r="M499" s="0" t="s">
        <v>240</v>
      </c>
      <c r="N499" s="0" t="s">
        <v>240</v>
      </c>
      <c r="O499" s="0" t="s">
        <v>240</v>
      </c>
      <c r="P499" s="0" t="s">
        <v>240</v>
      </c>
      <c r="Q499" s="0" t="s">
        <v>240</v>
      </c>
      <c r="R499" s="0" t="s">
        <v>5608</v>
      </c>
      <c r="S499" s="0" t="s">
        <v>240</v>
      </c>
      <c r="T499" s="0" t="s">
        <v>240</v>
      </c>
      <c r="U499" s="0" t="s">
        <v>102</v>
      </c>
      <c r="V499" s="0" t="s">
        <v>240</v>
      </c>
      <c r="W499" s="0" t="s">
        <v>240</v>
      </c>
      <c r="X499" s="0" t="s">
        <v>5485</v>
      </c>
      <c r="Y499" s="0" t="s">
        <v>240</v>
      </c>
      <c r="Z499" s="0" t="s">
        <v>161</v>
      </c>
      <c r="AA499" s="0" t="s">
        <v>152</v>
      </c>
      <c r="AB499" s="0" t="s">
        <v>152</v>
      </c>
      <c r="AC499" s="0" t="s">
        <v>2985</v>
      </c>
      <c r="AD499" s="0" t="s">
        <v>2985</v>
      </c>
      <c r="AE499" s="0" t="s">
        <v>2986</v>
      </c>
      <c r="AF499" s="0" t="s">
        <v>6474</v>
      </c>
      <c r="AG499" s="0" t="s">
        <v>6475</v>
      </c>
      <c r="AH499" s="0" t="s">
        <v>6727</v>
      </c>
      <c r="AI499" s="0" t="s">
        <v>5644</v>
      </c>
      <c r="AJ499" s="0" t="s">
        <v>6268</v>
      </c>
      <c r="AK499" s="0" t="s">
        <v>5731</v>
      </c>
      <c r="AL499" s="0" t="s">
        <v>5605</v>
      </c>
      <c r="AM499" s="0" t="s">
        <v>5493</v>
      </c>
      <c r="AN499" s="0" t="s">
        <v>5507</v>
      </c>
      <c r="AO499" s="0" t="s">
        <v>6481</v>
      </c>
      <c r="AP499" s="0" t="s">
        <v>240</v>
      </c>
      <c r="AQ499" s="0" t="s">
        <v>240</v>
      </c>
      <c r="AR499" s="0" t="s">
        <v>240</v>
      </c>
      <c r="AS499" s="0" t="s">
        <v>240</v>
      </c>
      <c r="AT499" s="0" t="s">
        <v>240</v>
      </c>
      <c r="AU499" s="0" t="s">
        <v>240</v>
      </c>
      <c r="AV499" s="0" t="s">
        <v>240</v>
      </c>
      <c r="AW499" s="0" t="s">
        <v>240</v>
      </c>
      <c r="AX499" s="0" t="s">
        <v>240</v>
      </c>
      <c r="AY499" s="0" t="s">
        <v>240</v>
      </c>
      <c r="AZ499" s="0" t="s">
        <v>240</v>
      </c>
      <c r="BA499" s="0" t="s">
        <v>240</v>
      </c>
      <c r="BB499" s="0" t="s">
        <v>240</v>
      </c>
      <c r="BC499" s="0" t="s">
        <v>240</v>
      </c>
      <c r="BD499" s="0" t="s">
        <v>240</v>
      </c>
      <c r="BE499" s="0" t="s">
        <v>240</v>
      </c>
      <c r="BF499" s="0" t="s">
        <v>240</v>
      </c>
      <c r="BG499" s="0" t="s">
        <v>240</v>
      </c>
      <c r="BH499" s="0" t="s">
        <v>240</v>
      </c>
      <c r="BI499" s="0" t="s">
        <v>240</v>
      </c>
      <c r="BJ499" s="0" t="s">
        <v>240</v>
      </c>
      <c r="BK499" s="0" t="s">
        <v>240</v>
      </c>
      <c r="BL499" s="0" t="s">
        <v>240</v>
      </c>
      <c r="BM499" s="0" t="s">
        <v>240</v>
      </c>
      <c r="BN499" s="0" t="s">
        <v>240</v>
      </c>
      <c r="BO499" s="0" t="s">
        <v>240</v>
      </c>
      <c r="BP499" s="0" t="s">
        <v>240</v>
      </c>
      <c r="BQ499" s="0" t="s">
        <v>240</v>
      </c>
      <c r="BR499" s="0" t="s">
        <v>240</v>
      </c>
      <c r="BS499" s="0" t="s">
        <v>240</v>
      </c>
      <c r="BT499" s="0" t="s">
        <v>240</v>
      </c>
      <c r="BU499" s="0" t="s">
        <v>240</v>
      </c>
      <c r="BV499" s="0" t="s">
        <v>240</v>
      </c>
      <c r="BW499" s="0" t="s">
        <v>240</v>
      </c>
      <c r="BX499" s="0" t="s">
        <v>240</v>
      </c>
      <c r="BY499" s="0" t="s">
        <v>240</v>
      </c>
      <c r="BZ499" s="0" t="s">
        <v>240</v>
      </c>
      <c r="CA499" s="0" t="s">
        <v>240</v>
      </c>
      <c r="CB499" s="0" t="s">
        <v>240</v>
      </c>
      <c r="CC499" s="0" t="s">
        <v>240</v>
      </c>
      <c r="CD499" s="0" t="s">
        <v>240</v>
      </c>
      <c r="CE499" s="0" t="s">
        <v>240</v>
      </c>
      <c r="CF499" s="0" t="s">
        <v>240</v>
      </c>
      <c r="CG499" s="0" t="s">
        <v>240</v>
      </c>
      <c r="CH499" s="0" t="s">
        <v>240</v>
      </c>
      <c r="CI499" s="0" t="s">
        <v>240</v>
      </c>
      <c r="CJ499" s="0" t="s">
        <v>240</v>
      </c>
      <c r="CK499" s="0" t="s">
        <v>240</v>
      </c>
      <c r="CL499" s="0" t="s">
        <v>240</v>
      </c>
      <c r="CM499" s="0" t="s">
        <v>240</v>
      </c>
      <c r="CN499" s="0" t="s">
        <v>240</v>
      </c>
      <c r="CO499" s="0" t="s">
        <v>240</v>
      </c>
      <c r="CP499" s="0" t="s">
        <v>240</v>
      </c>
      <c r="CQ499" s="0" t="s">
        <v>240</v>
      </c>
      <c r="CR499" s="0" t="s">
        <v>240</v>
      </c>
      <c r="CS499" s="0" t="s">
        <v>240</v>
      </c>
      <c r="CT499" s="0" t="s">
        <v>5496</v>
      </c>
      <c r="CU499" s="0" t="s">
        <v>5497</v>
      </c>
      <c r="CV499" s="0" t="s">
        <v>443</v>
      </c>
      <c r="CW499" s="0" t="s">
        <v>5509</v>
      </c>
      <c r="CX499" s="0" t="s">
        <v>229</v>
      </c>
      <c r="CY499" s="0" t="s">
        <v>443</v>
      </c>
      <c r="CZ499" s="0" t="s">
        <v>5510</v>
      </c>
      <c r="DA499" s="0" t="s">
        <v>5511</v>
      </c>
      <c r="DB499" s="0" t="s">
        <v>5509</v>
      </c>
      <c r="DC499" s="0" t="s">
        <v>384</v>
      </c>
      <c r="DD499" s="0" t="s">
        <v>291</v>
      </c>
      <c r="DE499" s="0" t="s">
        <v>6728</v>
      </c>
    </row>
    <row customHeight="1" ht="11.25">
      <c r="A500" s="1441" t="s">
        <v>240</v>
      </c>
      <c r="B500" s="0" t="s">
        <v>240</v>
      </c>
      <c r="C500" s="0" t="s">
        <v>240</v>
      </c>
      <c r="D500" s="0" t="s">
        <v>240</v>
      </c>
      <c r="E500" s="0" t="s">
        <v>240</v>
      </c>
      <c r="F500" s="0" t="s">
        <v>240</v>
      </c>
      <c r="G500" s="0" t="s">
        <v>240</v>
      </c>
      <c r="H500" s="0" t="s">
        <v>240</v>
      </c>
      <c r="I500" s="0" t="s">
        <v>5484</v>
      </c>
      <c r="J500" s="0" t="s">
        <v>240</v>
      </c>
      <c r="K500" s="0" t="s">
        <v>240</v>
      </c>
      <c r="L500" s="0" t="s">
        <v>240</v>
      </c>
      <c r="M500" s="0" t="s">
        <v>240</v>
      </c>
      <c r="N500" s="0" t="s">
        <v>240</v>
      </c>
      <c r="O500" s="0" t="s">
        <v>240</v>
      </c>
      <c r="P500" s="0" t="s">
        <v>240</v>
      </c>
      <c r="Q500" s="0" t="s">
        <v>240</v>
      </c>
      <c r="R500" s="0" t="s">
        <v>6483</v>
      </c>
      <c r="S500" s="0" t="s">
        <v>240</v>
      </c>
      <c r="T500" s="0" t="s">
        <v>240</v>
      </c>
      <c r="U500" s="0" t="s">
        <v>102</v>
      </c>
      <c r="V500" s="0" t="s">
        <v>240</v>
      </c>
      <c r="W500" s="0" t="s">
        <v>240</v>
      </c>
      <c r="X500" s="0" t="s">
        <v>5485</v>
      </c>
      <c r="Y500" s="0" t="s">
        <v>240</v>
      </c>
      <c r="Z500" s="0" t="s">
        <v>161</v>
      </c>
      <c r="AA500" s="0" t="s">
        <v>152</v>
      </c>
      <c r="AB500" s="0" t="s">
        <v>152</v>
      </c>
      <c r="AC500" s="0" t="s">
        <v>2985</v>
      </c>
      <c r="AD500" s="0" t="s">
        <v>2985</v>
      </c>
      <c r="AE500" s="0" t="s">
        <v>2986</v>
      </c>
      <c r="AF500" s="0" t="s">
        <v>5951</v>
      </c>
      <c r="AG500" s="0" t="s">
        <v>5952</v>
      </c>
      <c r="AH500" s="0" t="s">
        <v>6484</v>
      </c>
      <c r="AI500" s="0" t="s">
        <v>6224</v>
      </c>
      <c r="AJ500" s="0" t="s">
        <v>5504</v>
      </c>
      <c r="AK500" s="0" t="s">
        <v>5504</v>
      </c>
      <c r="AL500" s="0" t="s">
        <v>5605</v>
      </c>
      <c r="AM500" s="0" t="s">
        <v>5493</v>
      </c>
      <c r="AN500" s="0" t="s">
        <v>5507</v>
      </c>
      <c r="AO500" s="0" t="s">
        <v>6485</v>
      </c>
      <c r="AP500" s="0" t="s">
        <v>240</v>
      </c>
      <c r="AQ500" s="0" t="s">
        <v>240</v>
      </c>
      <c r="AR500" s="0" t="s">
        <v>240</v>
      </c>
      <c r="AS500" s="0" t="s">
        <v>240</v>
      </c>
      <c r="AT500" s="0" t="s">
        <v>240</v>
      </c>
      <c r="AU500" s="0" t="s">
        <v>240</v>
      </c>
      <c r="AV500" s="0" t="s">
        <v>240</v>
      </c>
      <c r="AW500" s="0" t="s">
        <v>240</v>
      </c>
      <c r="AX500" s="0" t="s">
        <v>240</v>
      </c>
      <c r="AY500" s="0" t="s">
        <v>240</v>
      </c>
      <c r="AZ500" s="0" t="s">
        <v>240</v>
      </c>
      <c r="BA500" s="0" t="s">
        <v>240</v>
      </c>
      <c r="BB500" s="0" t="s">
        <v>240</v>
      </c>
      <c r="BC500" s="0" t="s">
        <v>240</v>
      </c>
      <c r="BD500" s="0" t="s">
        <v>240</v>
      </c>
      <c r="BE500" s="0" t="s">
        <v>240</v>
      </c>
      <c r="BF500" s="0" t="s">
        <v>240</v>
      </c>
      <c r="BG500" s="0" t="s">
        <v>240</v>
      </c>
      <c r="BH500" s="0" t="s">
        <v>240</v>
      </c>
      <c r="BI500" s="0" t="s">
        <v>240</v>
      </c>
      <c r="BJ500" s="0" t="s">
        <v>240</v>
      </c>
      <c r="BK500" s="0" t="s">
        <v>240</v>
      </c>
      <c r="BL500" s="0" t="s">
        <v>240</v>
      </c>
      <c r="BM500" s="0" t="s">
        <v>240</v>
      </c>
      <c r="BN500" s="0" t="s">
        <v>240</v>
      </c>
      <c r="BO500" s="0" t="s">
        <v>240</v>
      </c>
      <c r="BP500" s="0" t="s">
        <v>240</v>
      </c>
      <c r="BQ500" s="0" t="s">
        <v>240</v>
      </c>
      <c r="BR500" s="0" t="s">
        <v>240</v>
      </c>
      <c r="BS500" s="0" t="s">
        <v>240</v>
      </c>
      <c r="BT500" s="0" t="s">
        <v>240</v>
      </c>
      <c r="BU500" s="0" t="s">
        <v>240</v>
      </c>
      <c r="BV500" s="0" t="s">
        <v>240</v>
      </c>
      <c r="BW500" s="0" t="s">
        <v>240</v>
      </c>
      <c r="BX500" s="0" t="s">
        <v>240</v>
      </c>
      <c r="BY500" s="0" t="s">
        <v>240</v>
      </c>
      <c r="BZ500" s="0" t="s">
        <v>240</v>
      </c>
      <c r="CA500" s="0" t="s">
        <v>240</v>
      </c>
      <c r="CB500" s="0" t="s">
        <v>240</v>
      </c>
      <c r="CC500" s="0" t="s">
        <v>240</v>
      </c>
      <c r="CD500" s="0" t="s">
        <v>240</v>
      </c>
      <c r="CE500" s="0" t="s">
        <v>240</v>
      </c>
      <c r="CF500" s="0" t="s">
        <v>240</v>
      </c>
      <c r="CG500" s="0" t="s">
        <v>240</v>
      </c>
      <c r="CH500" s="0" t="s">
        <v>240</v>
      </c>
      <c r="CI500" s="0" t="s">
        <v>240</v>
      </c>
      <c r="CJ500" s="0" t="s">
        <v>240</v>
      </c>
      <c r="CK500" s="0" t="s">
        <v>240</v>
      </c>
      <c r="CL500" s="0" t="s">
        <v>240</v>
      </c>
      <c r="CM500" s="0" t="s">
        <v>240</v>
      </c>
      <c r="CN500" s="0" t="s">
        <v>240</v>
      </c>
      <c r="CO500" s="0" t="s">
        <v>240</v>
      </c>
      <c r="CP500" s="0" t="s">
        <v>240</v>
      </c>
      <c r="CQ500" s="0" t="s">
        <v>240</v>
      </c>
      <c r="CR500" s="0" t="s">
        <v>240</v>
      </c>
      <c r="CS500" s="0" t="s">
        <v>240</v>
      </c>
      <c r="CT500" s="0" t="s">
        <v>5496</v>
      </c>
      <c r="CU500" s="0" t="s">
        <v>5497</v>
      </c>
      <c r="CV500" s="0" t="s">
        <v>443</v>
      </c>
      <c r="CW500" s="0" t="s">
        <v>5509</v>
      </c>
      <c r="CX500" s="0" t="s">
        <v>229</v>
      </c>
      <c r="CY500" s="0" t="s">
        <v>443</v>
      </c>
      <c r="CZ500" s="0" t="s">
        <v>5510</v>
      </c>
      <c r="DA500" s="0" t="s">
        <v>5511</v>
      </c>
      <c r="DB500" s="0" t="s">
        <v>5509</v>
      </c>
      <c r="DC500" s="0" t="s">
        <v>384</v>
      </c>
      <c r="DD500" s="0" t="s">
        <v>291</v>
      </c>
      <c r="DE500" s="0" t="s">
        <v>6486</v>
      </c>
    </row>
    <row customHeight="1" ht="11.25">
      <c r="A501" s="1441" t="s">
        <v>240</v>
      </c>
      <c r="B501" s="0" t="s">
        <v>240</v>
      </c>
      <c r="C501" s="0" t="s">
        <v>240</v>
      </c>
      <c r="D501" s="0" t="s">
        <v>240</v>
      </c>
      <c r="E501" s="0" t="s">
        <v>240</v>
      </c>
      <c r="F501" s="0" t="s">
        <v>240</v>
      </c>
      <c r="G501" s="0" t="s">
        <v>240</v>
      </c>
      <c r="H501" s="0" t="s">
        <v>240</v>
      </c>
      <c r="I501" s="0" t="s">
        <v>5484</v>
      </c>
      <c r="J501" s="0" t="s">
        <v>240</v>
      </c>
      <c r="K501" s="0" t="s">
        <v>240</v>
      </c>
      <c r="L501" s="0" t="s">
        <v>240</v>
      </c>
      <c r="M501" s="0" t="s">
        <v>240</v>
      </c>
      <c r="N501" s="0" t="s">
        <v>240</v>
      </c>
      <c r="O501" s="0" t="s">
        <v>240</v>
      </c>
      <c r="P501" s="0" t="s">
        <v>240</v>
      </c>
      <c r="Q501" s="0" t="s">
        <v>240</v>
      </c>
      <c r="R501" s="0" t="s">
        <v>5608</v>
      </c>
      <c r="S501" s="0" t="s">
        <v>240</v>
      </c>
      <c r="T501" s="0" t="s">
        <v>240</v>
      </c>
      <c r="U501" s="0" t="s">
        <v>102</v>
      </c>
      <c r="V501" s="0" t="s">
        <v>240</v>
      </c>
      <c r="W501" s="0" t="s">
        <v>240</v>
      </c>
      <c r="X501" s="0" t="s">
        <v>5485</v>
      </c>
      <c r="Y501" s="0" t="s">
        <v>240</v>
      </c>
      <c r="Z501" s="0" t="s">
        <v>161</v>
      </c>
      <c r="AA501" s="0" t="s">
        <v>152</v>
      </c>
      <c r="AB501" s="0" t="s">
        <v>152</v>
      </c>
      <c r="AC501" s="0" t="s">
        <v>2985</v>
      </c>
      <c r="AD501" s="0" t="s">
        <v>2985</v>
      </c>
      <c r="AE501" s="0" t="s">
        <v>2986</v>
      </c>
      <c r="AF501" s="0" t="s">
        <v>6226</v>
      </c>
      <c r="AG501" s="0" t="s">
        <v>6227</v>
      </c>
      <c r="AH501" s="0" t="s">
        <v>6487</v>
      </c>
      <c r="AI501" s="0" t="s">
        <v>6488</v>
      </c>
      <c r="AJ501" s="0" t="s">
        <v>5576</v>
      </c>
      <c r="AK501" s="0" t="s">
        <v>5756</v>
      </c>
      <c r="AL501" s="0" t="s">
        <v>5605</v>
      </c>
      <c r="AM501" s="0" t="s">
        <v>5493</v>
      </c>
      <c r="AN501" s="0" t="s">
        <v>5507</v>
      </c>
      <c r="AO501" s="0" t="s">
        <v>6346</v>
      </c>
      <c r="AP501" s="0" t="s">
        <v>240</v>
      </c>
      <c r="AQ501" s="0" t="s">
        <v>240</v>
      </c>
      <c r="AR501" s="0" t="s">
        <v>240</v>
      </c>
      <c r="AS501" s="0" t="s">
        <v>240</v>
      </c>
      <c r="AT501" s="0" t="s">
        <v>240</v>
      </c>
      <c r="AU501" s="0" t="s">
        <v>240</v>
      </c>
      <c r="AV501" s="0" t="s">
        <v>240</v>
      </c>
      <c r="AW501" s="0" t="s">
        <v>240</v>
      </c>
      <c r="AX501" s="0" t="s">
        <v>240</v>
      </c>
      <c r="AY501" s="0" t="s">
        <v>240</v>
      </c>
      <c r="AZ501" s="0" t="s">
        <v>240</v>
      </c>
      <c r="BA501" s="0" t="s">
        <v>240</v>
      </c>
      <c r="BB501" s="0" t="s">
        <v>240</v>
      </c>
      <c r="BC501" s="0" t="s">
        <v>240</v>
      </c>
      <c r="BD501" s="0" t="s">
        <v>240</v>
      </c>
      <c r="BE501" s="0" t="s">
        <v>240</v>
      </c>
      <c r="BF501" s="0" t="s">
        <v>240</v>
      </c>
      <c r="BG501" s="0" t="s">
        <v>240</v>
      </c>
      <c r="BH501" s="0" t="s">
        <v>240</v>
      </c>
      <c r="BI501" s="0" t="s">
        <v>240</v>
      </c>
      <c r="BJ501" s="0" t="s">
        <v>240</v>
      </c>
      <c r="BK501" s="0" t="s">
        <v>240</v>
      </c>
      <c r="BL501" s="0" t="s">
        <v>240</v>
      </c>
      <c r="BM501" s="0" t="s">
        <v>240</v>
      </c>
      <c r="BN501" s="0" t="s">
        <v>240</v>
      </c>
      <c r="BO501" s="0" t="s">
        <v>240</v>
      </c>
      <c r="BP501" s="0" t="s">
        <v>240</v>
      </c>
      <c r="BQ501" s="0" t="s">
        <v>240</v>
      </c>
      <c r="BR501" s="0" t="s">
        <v>240</v>
      </c>
      <c r="BS501" s="0" t="s">
        <v>240</v>
      </c>
      <c r="BT501" s="0" t="s">
        <v>240</v>
      </c>
      <c r="BU501" s="0" t="s">
        <v>240</v>
      </c>
      <c r="BV501" s="0" t="s">
        <v>240</v>
      </c>
      <c r="BW501" s="0" t="s">
        <v>240</v>
      </c>
      <c r="BX501" s="0" t="s">
        <v>240</v>
      </c>
      <c r="BY501" s="0" t="s">
        <v>240</v>
      </c>
      <c r="BZ501" s="0" t="s">
        <v>240</v>
      </c>
      <c r="CA501" s="0" t="s">
        <v>240</v>
      </c>
      <c r="CB501" s="0" t="s">
        <v>240</v>
      </c>
      <c r="CC501" s="0" t="s">
        <v>240</v>
      </c>
      <c r="CD501" s="0" t="s">
        <v>240</v>
      </c>
      <c r="CE501" s="0" t="s">
        <v>240</v>
      </c>
      <c r="CF501" s="0" t="s">
        <v>240</v>
      </c>
      <c r="CG501" s="0" t="s">
        <v>240</v>
      </c>
      <c r="CH501" s="0" t="s">
        <v>240</v>
      </c>
      <c r="CI501" s="0" t="s">
        <v>240</v>
      </c>
      <c r="CJ501" s="0" t="s">
        <v>240</v>
      </c>
      <c r="CK501" s="0" t="s">
        <v>240</v>
      </c>
      <c r="CL501" s="0" t="s">
        <v>240</v>
      </c>
      <c r="CM501" s="0" t="s">
        <v>240</v>
      </c>
      <c r="CN501" s="0" t="s">
        <v>240</v>
      </c>
      <c r="CO501" s="0" t="s">
        <v>240</v>
      </c>
      <c r="CP501" s="0" t="s">
        <v>240</v>
      </c>
      <c r="CQ501" s="0" t="s">
        <v>240</v>
      </c>
      <c r="CR501" s="0" t="s">
        <v>240</v>
      </c>
      <c r="CS501" s="0" t="s">
        <v>240</v>
      </c>
      <c r="CT501" s="0" t="s">
        <v>5496</v>
      </c>
      <c r="CU501" s="0" t="s">
        <v>5497</v>
      </c>
      <c r="CV501" s="0" t="s">
        <v>443</v>
      </c>
      <c r="CW501" s="0" t="s">
        <v>5509</v>
      </c>
      <c r="CX501" s="0" t="s">
        <v>229</v>
      </c>
      <c r="CY501" s="0" t="s">
        <v>443</v>
      </c>
      <c r="CZ501" s="0" t="s">
        <v>5510</v>
      </c>
      <c r="DA501" s="0" t="s">
        <v>5511</v>
      </c>
      <c r="DB501" s="0" t="s">
        <v>5509</v>
      </c>
      <c r="DC501" s="0" t="s">
        <v>384</v>
      </c>
      <c r="DD501" s="0" t="s">
        <v>291</v>
      </c>
      <c r="DE501" s="0" t="s">
        <v>6489</v>
      </c>
    </row>
    <row customHeight="1" ht="11.25">
      <c r="A502" s="1441" t="s">
        <v>240</v>
      </c>
      <c r="B502" s="0" t="s">
        <v>240</v>
      </c>
      <c r="C502" s="0" t="s">
        <v>240</v>
      </c>
      <c r="D502" s="0" t="s">
        <v>240</v>
      </c>
      <c r="E502" s="0" t="s">
        <v>240</v>
      </c>
      <c r="F502" s="0" t="s">
        <v>240</v>
      </c>
      <c r="G502" s="0" t="s">
        <v>240</v>
      </c>
      <c r="H502" s="0" t="s">
        <v>240</v>
      </c>
      <c r="I502" s="0" t="s">
        <v>5484</v>
      </c>
      <c r="J502" s="0" t="s">
        <v>240</v>
      </c>
      <c r="K502" s="0" t="s">
        <v>240</v>
      </c>
      <c r="L502" s="0" t="s">
        <v>240</v>
      </c>
      <c r="M502" s="0" t="s">
        <v>240</v>
      </c>
      <c r="N502" s="0" t="s">
        <v>240</v>
      </c>
      <c r="O502" s="0" t="s">
        <v>240</v>
      </c>
      <c r="P502" s="0" t="s">
        <v>240</v>
      </c>
      <c r="Q502" s="0" t="s">
        <v>240</v>
      </c>
      <c r="R502" s="0" t="s">
        <v>5608</v>
      </c>
      <c r="S502" s="0" t="s">
        <v>240</v>
      </c>
      <c r="T502" s="0" t="s">
        <v>240</v>
      </c>
      <c r="U502" s="0" t="s">
        <v>102</v>
      </c>
      <c r="V502" s="0" t="s">
        <v>240</v>
      </c>
      <c r="W502" s="0" t="s">
        <v>240</v>
      </c>
      <c r="X502" s="0" t="s">
        <v>5485</v>
      </c>
      <c r="Y502" s="0" t="s">
        <v>240</v>
      </c>
      <c r="Z502" s="0" t="s">
        <v>161</v>
      </c>
      <c r="AA502" s="0" t="s">
        <v>152</v>
      </c>
      <c r="AB502" s="0" t="s">
        <v>152</v>
      </c>
      <c r="AC502" s="0" t="s">
        <v>2985</v>
      </c>
      <c r="AD502" s="0" t="s">
        <v>2985</v>
      </c>
      <c r="AE502" s="0" t="s">
        <v>2986</v>
      </c>
      <c r="AF502" s="0" t="s">
        <v>5621</v>
      </c>
      <c r="AG502" s="0" t="s">
        <v>5622</v>
      </c>
      <c r="AH502" s="0" t="s">
        <v>5623</v>
      </c>
      <c r="AI502" s="0" t="s">
        <v>5624</v>
      </c>
      <c r="AJ502" s="0" t="s">
        <v>5504</v>
      </c>
      <c r="AK502" s="0" t="s">
        <v>5505</v>
      </c>
      <c r="AL502" s="0" t="s">
        <v>5506</v>
      </c>
      <c r="AM502" s="0" t="s">
        <v>5493</v>
      </c>
      <c r="AN502" s="0" t="s">
        <v>5507</v>
      </c>
      <c r="AO502" s="0" t="s">
        <v>5625</v>
      </c>
      <c r="AP502" s="0" t="s">
        <v>240</v>
      </c>
      <c r="AQ502" s="0" t="s">
        <v>240</v>
      </c>
      <c r="AR502" s="0" t="s">
        <v>240</v>
      </c>
      <c r="AS502" s="0" t="s">
        <v>240</v>
      </c>
      <c r="AT502" s="0" t="s">
        <v>240</v>
      </c>
      <c r="AU502" s="0" t="s">
        <v>240</v>
      </c>
      <c r="AV502" s="0" t="s">
        <v>240</v>
      </c>
      <c r="AW502" s="0" t="s">
        <v>240</v>
      </c>
      <c r="AX502" s="0" t="s">
        <v>240</v>
      </c>
      <c r="AY502" s="0" t="s">
        <v>240</v>
      </c>
      <c r="AZ502" s="0" t="s">
        <v>240</v>
      </c>
      <c r="BA502" s="0" t="s">
        <v>240</v>
      </c>
      <c r="BB502" s="0" t="s">
        <v>240</v>
      </c>
      <c r="BC502" s="0" t="s">
        <v>240</v>
      </c>
      <c r="BD502" s="0" t="s">
        <v>240</v>
      </c>
      <c r="BE502" s="0" t="s">
        <v>240</v>
      </c>
      <c r="BF502" s="0" t="s">
        <v>240</v>
      </c>
      <c r="BG502" s="0" t="s">
        <v>240</v>
      </c>
      <c r="BH502" s="0" t="s">
        <v>240</v>
      </c>
      <c r="BI502" s="0" t="s">
        <v>240</v>
      </c>
      <c r="BJ502" s="0" t="s">
        <v>240</v>
      </c>
      <c r="BK502" s="0" t="s">
        <v>240</v>
      </c>
      <c r="BL502" s="0" t="s">
        <v>240</v>
      </c>
      <c r="BM502" s="0" t="s">
        <v>240</v>
      </c>
      <c r="BN502" s="0" t="s">
        <v>240</v>
      </c>
      <c r="BO502" s="0" t="s">
        <v>240</v>
      </c>
      <c r="BP502" s="0" t="s">
        <v>240</v>
      </c>
      <c r="BQ502" s="0" t="s">
        <v>240</v>
      </c>
      <c r="BR502" s="0" t="s">
        <v>240</v>
      </c>
      <c r="BS502" s="0" t="s">
        <v>240</v>
      </c>
      <c r="BT502" s="0" t="s">
        <v>240</v>
      </c>
      <c r="BU502" s="0" t="s">
        <v>240</v>
      </c>
      <c r="BV502" s="0" t="s">
        <v>240</v>
      </c>
      <c r="BW502" s="0" t="s">
        <v>240</v>
      </c>
      <c r="BX502" s="0" t="s">
        <v>240</v>
      </c>
      <c r="BY502" s="0" t="s">
        <v>240</v>
      </c>
      <c r="BZ502" s="0" t="s">
        <v>240</v>
      </c>
      <c r="CA502" s="0" t="s">
        <v>240</v>
      </c>
      <c r="CB502" s="0" t="s">
        <v>240</v>
      </c>
      <c r="CC502" s="0" t="s">
        <v>240</v>
      </c>
      <c r="CD502" s="0" t="s">
        <v>240</v>
      </c>
      <c r="CE502" s="0" t="s">
        <v>240</v>
      </c>
      <c r="CF502" s="0" t="s">
        <v>240</v>
      </c>
      <c r="CG502" s="0" t="s">
        <v>240</v>
      </c>
      <c r="CH502" s="0" t="s">
        <v>240</v>
      </c>
      <c r="CI502" s="0" t="s">
        <v>240</v>
      </c>
      <c r="CJ502" s="0" t="s">
        <v>240</v>
      </c>
      <c r="CK502" s="0" t="s">
        <v>240</v>
      </c>
      <c r="CL502" s="0" t="s">
        <v>240</v>
      </c>
      <c r="CM502" s="0" t="s">
        <v>240</v>
      </c>
      <c r="CN502" s="0" t="s">
        <v>240</v>
      </c>
      <c r="CO502" s="0" t="s">
        <v>240</v>
      </c>
      <c r="CP502" s="0" t="s">
        <v>240</v>
      </c>
      <c r="CQ502" s="0" t="s">
        <v>240</v>
      </c>
      <c r="CR502" s="0" t="s">
        <v>240</v>
      </c>
      <c r="CS502" s="0" t="s">
        <v>240</v>
      </c>
      <c r="CT502" s="0" t="s">
        <v>5496</v>
      </c>
      <c r="CU502" s="0" t="s">
        <v>5497</v>
      </c>
      <c r="CV502" s="0" t="s">
        <v>443</v>
      </c>
      <c r="CW502" s="0" t="s">
        <v>5509</v>
      </c>
      <c r="CX502" s="0" t="s">
        <v>229</v>
      </c>
      <c r="CY502" s="0" t="s">
        <v>443</v>
      </c>
      <c r="CZ502" s="0" t="s">
        <v>5510</v>
      </c>
      <c r="DA502" s="0" t="s">
        <v>5511</v>
      </c>
      <c r="DB502" s="0" t="s">
        <v>5509</v>
      </c>
      <c r="DC502" s="0" t="s">
        <v>384</v>
      </c>
      <c r="DD502" s="0" t="s">
        <v>291</v>
      </c>
      <c r="DE502" s="0" t="s">
        <v>5626</v>
      </c>
    </row>
    <row customHeight="1" ht="11.25">
      <c r="A503" s="1441" t="s">
        <v>240</v>
      </c>
      <c r="B503" s="0" t="s">
        <v>240</v>
      </c>
      <c r="C503" s="0" t="s">
        <v>240</v>
      </c>
      <c r="D503" s="0" t="s">
        <v>240</v>
      </c>
      <c r="E503" s="0" t="s">
        <v>240</v>
      </c>
      <c r="F503" s="0" t="s">
        <v>240</v>
      </c>
      <c r="G503" s="0" t="s">
        <v>240</v>
      </c>
      <c r="H503" s="0" t="s">
        <v>240</v>
      </c>
      <c r="I503" s="0" t="s">
        <v>5484</v>
      </c>
      <c r="J503" s="0" t="s">
        <v>240</v>
      </c>
      <c r="K503" s="0" t="s">
        <v>240</v>
      </c>
      <c r="L503" s="0" t="s">
        <v>240</v>
      </c>
      <c r="M503" s="0" t="s">
        <v>240</v>
      </c>
      <c r="N503" s="0" t="s">
        <v>240</v>
      </c>
      <c r="O503" s="0" t="s">
        <v>240</v>
      </c>
      <c r="P503" s="0" t="s">
        <v>240</v>
      </c>
      <c r="Q503" s="0" t="s">
        <v>240</v>
      </c>
      <c r="R503" s="0" t="s">
        <v>5608</v>
      </c>
      <c r="S503" s="0" t="s">
        <v>240</v>
      </c>
      <c r="T503" s="0" t="s">
        <v>240</v>
      </c>
      <c r="U503" s="0" t="s">
        <v>102</v>
      </c>
      <c r="V503" s="0" t="s">
        <v>240</v>
      </c>
      <c r="W503" s="0" t="s">
        <v>240</v>
      </c>
      <c r="X503" s="0" t="s">
        <v>5485</v>
      </c>
      <c r="Y503" s="0" t="s">
        <v>240</v>
      </c>
      <c r="Z503" s="0" t="s">
        <v>161</v>
      </c>
      <c r="AA503" s="0" t="s">
        <v>152</v>
      </c>
      <c r="AB503" s="0" t="s">
        <v>152</v>
      </c>
      <c r="AC503" s="0" t="s">
        <v>2985</v>
      </c>
      <c r="AD503" s="0" t="s">
        <v>2985</v>
      </c>
      <c r="AE503" s="0" t="s">
        <v>2986</v>
      </c>
      <c r="AF503" s="0" t="s">
        <v>5621</v>
      </c>
      <c r="AG503" s="0" t="s">
        <v>5622</v>
      </c>
      <c r="AH503" s="0" t="s">
        <v>5623</v>
      </c>
      <c r="AI503" s="0" t="s">
        <v>5640</v>
      </c>
      <c r="AJ503" s="0" t="s">
        <v>5504</v>
      </c>
      <c r="AK503" s="0" t="s">
        <v>5505</v>
      </c>
      <c r="AL503" s="0" t="s">
        <v>5506</v>
      </c>
      <c r="AM503" s="0" t="s">
        <v>5493</v>
      </c>
      <c r="AN503" s="0" t="s">
        <v>5507</v>
      </c>
      <c r="AO503" s="0" t="s">
        <v>5695</v>
      </c>
      <c r="AP503" s="0" t="s">
        <v>240</v>
      </c>
      <c r="AQ503" s="0" t="s">
        <v>240</v>
      </c>
      <c r="AR503" s="0" t="s">
        <v>240</v>
      </c>
      <c r="AS503" s="0" t="s">
        <v>240</v>
      </c>
      <c r="AT503" s="0" t="s">
        <v>240</v>
      </c>
      <c r="AU503" s="0" t="s">
        <v>240</v>
      </c>
      <c r="AV503" s="0" t="s">
        <v>240</v>
      </c>
      <c r="AW503" s="0" t="s">
        <v>240</v>
      </c>
      <c r="AX503" s="0" t="s">
        <v>240</v>
      </c>
      <c r="AY503" s="0" t="s">
        <v>240</v>
      </c>
      <c r="AZ503" s="0" t="s">
        <v>240</v>
      </c>
      <c r="BA503" s="0" t="s">
        <v>240</v>
      </c>
      <c r="BB503" s="0" t="s">
        <v>240</v>
      </c>
      <c r="BC503" s="0" t="s">
        <v>240</v>
      </c>
      <c r="BD503" s="0" t="s">
        <v>240</v>
      </c>
      <c r="BE503" s="0" t="s">
        <v>240</v>
      </c>
      <c r="BF503" s="0" t="s">
        <v>240</v>
      </c>
      <c r="BG503" s="0" t="s">
        <v>240</v>
      </c>
      <c r="BH503" s="0" t="s">
        <v>240</v>
      </c>
      <c r="BI503" s="0" t="s">
        <v>240</v>
      </c>
      <c r="BJ503" s="0" t="s">
        <v>240</v>
      </c>
      <c r="BK503" s="0" t="s">
        <v>240</v>
      </c>
      <c r="BL503" s="0" t="s">
        <v>240</v>
      </c>
      <c r="BM503" s="0" t="s">
        <v>240</v>
      </c>
      <c r="BN503" s="0" t="s">
        <v>240</v>
      </c>
      <c r="BO503" s="0" t="s">
        <v>240</v>
      </c>
      <c r="BP503" s="0" t="s">
        <v>240</v>
      </c>
      <c r="BQ503" s="0" t="s">
        <v>240</v>
      </c>
      <c r="BR503" s="0" t="s">
        <v>240</v>
      </c>
      <c r="BS503" s="0" t="s">
        <v>240</v>
      </c>
      <c r="BT503" s="0" t="s">
        <v>240</v>
      </c>
      <c r="BU503" s="0" t="s">
        <v>240</v>
      </c>
      <c r="BV503" s="0" t="s">
        <v>240</v>
      </c>
      <c r="BW503" s="0" t="s">
        <v>240</v>
      </c>
      <c r="BX503" s="0" t="s">
        <v>240</v>
      </c>
      <c r="BY503" s="0" t="s">
        <v>240</v>
      </c>
      <c r="BZ503" s="0" t="s">
        <v>240</v>
      </c>
      <c r="CA503" s="0" t="s">
        <v>240</v>
      </c>
      <c r="CB503" s="0" t="s">
        <v>240</v>
      </c>
      <c r="CC503" s="0" t="s">
        <v>240</v>
      </c>
      <c r="CD503" s="0" t="s">
        <v>240</v>
      </c>
      <c r="CE503" s="0" t="s">
        <v>240</v>
      </c>
      <c r="CF503" s="0" t="s">
        <v>240</v>
      </c>
      <c r="CG503" s="0" t="s">
        <v>240</v>
      </c>
      <c r="CH503" s="0" t="s">
        <v>240</v>
      </c>
      <c r="CI503" s="0" t="s">
        <v>240</v>
      </c>
      <c r="CJ503" s="0" t="s">
        <v>240</v>
      </c>
      <c r="CK503" s="0" t="s">
        <v>240</v>
      </c>
      <c r="CL503" s="0" t="s">
        <v>240</v>
      </c>
      <c r="CM503" s="0" t="s">
        <v>240</v>
      </c>
      <c r="CN503" s="0" t="s">
        <v>240</v>
      </c>
      <c r="CO503" s="0" t="s">
        <v>240</v>
      </c>
      <c r="CP503" s="0" t="s">
        <v>240</v>
      </c>
      <c r="CQ503" s="0" t="s">
        <v>240</v>
      </c>
      <c r="CR503" s="0" t="s">
        <v>240</v>
      </c>
      <c r="CS503" s="0" t="s">
        <v>240</v>
      </c>
      <c r="CT503" s="0" t="s">
        <v>5496</v>
      </c>
      <c r="CU503" s="0" t="s">
        <v>5497</v>
      </c>
      <c r="CV503" s="0" t="s">
        <v>443</v>
      </c>
      <c r="CW503" s="0" t="s">
        <v>5509</v>
      </c>
      <c r="CX503" s="0" t="s">
        <v>229</v>
      </c>
      <c r="CY503" s="0" t="s">
        <v>443</v>
      </c>
      <c r="CZ503" s="0" t="s">
        <v>5510</v>
      </c>
      <c r="DA503" s="0" t="s">
        <v>5511</v>
      </c>
      <c r="DB503" s="0" t="s">
        <v>5509</v>
      </c>
      <c r="DC503" s="0" t="s">
        <v>384</v>
      </c>
      <c r="DD503" s="0" t="s">
        <v>291</v>
      </c>
      <c r="DE503" s="0" t="s">
        <v>5697</v>
      </c>
    </row>
    <row customHeight="1" ht="11.25">
      <c r="A504" s="1441" t="s">
        <v>240</v>
      </c>
      <c r="B504" s="0" t="s">
        <v>240</v>
      </c>
      <c r="C504" s="0" t="s">
        <v>240</v>
      </c>
      <c r="D504" s="0" t="s">
        <v>240</v>
      </c>
      <c r="E504" s="0" t="s">
        <v>240</v>
      </c>
      <c r="F504" s="0" t="s">
        <v>240</v>
      </c>
      <c r="G504" s="0" t="s">
        <v>240</v>
      </c>
      <c r="H504" s="0" t="s">
        <v>240</v>
      </c>
      <c r="I504" s="0" t="s">
        <v>5484</v>
      </c>
      <c r="J504" s="0" t="s">
        <v>240</v>
      </c>
      <c r="K504" s="0" t="s">
        <v>240</v>
      </c>
      <c r="L504" s="0" t="s">
        <v>240</v>
      </c>
      <c r="M504" s="0" t="s">
        <v>240</v>
      </c>
      <c r="N504" s="0" t="s">
        <v>240</v>
      </c>
      <c r="O504" s="0" t="s">
        <v>240</v>
      </c>
      <c r="P504" s="0" t="s">
        <v>240</v>
      </c>
      <c r="Q504" s="0" t="s">
        <v>240</v>
      </c>
      <c r="R504" s="0" t="s">
        <v>5705</v>
      </c>
      <c r="S504" s="0" t="s">
        <v>240</v>
      </c>
      <c r="T504" s="0" t="s">
        <v>240</v>
      </c>
      <c r="U504" s="0" t="s">
        <v>102</v>
      </c>
      <c r="V504" s="0" t="s">
        <v>240</v>
      </c>
      <c r="W504" s="0" t="s">
        <v>240</v>
      </c>
      <c r="X504" s="0" t="s">
        <v>5585</v>
      </c>
      <c r="Y504" s="0" t="s">
        <v>240</v>
      </c>
      <c r="Z504" s="0" t="s">
        <v>152</v>
      </c>
      <c r="AA504" s="0" t="s">
        <v>152</v>
      </c>
      <c r="AB504" s="0" t="s">
        <v>161</v>
      </c>
      <c r="AC504" s="0" t="s">
        <v>2985</v>
      </c>
      <c r="AD504" s="0" t="s">
        <v>2985</v>
      </c>
      <c r="AE504" s="0" t="s">
        <v>2986</v>
      </c>
      <c r="AF504" s="0" t="s">
        <v>5706</v>
      </c>
      <c r="AG504" s="0" t="s">
        <v>5707</v>
      </c>
      <c r="AH504" s="0" t="s">
        <v>5502</v>
      </c>
      <c r="AI504" s="0" t="s">
        <v>5644</v>
      </c>
      <c r="AJ504" s="0" t="s">
        <v>240</v>
      </c>
      <c r="AK504" s="0" t="s">
        <v>240</v>
      </c>
      <c r="AL504" s="0" t="s">
        <v>240</v>
      </c>
      <c r="AM504" s="0" t="s">
        <v>240</v>
      </c>
      <c r="AN504" s="0" t="s">
        <v>240</v>
      </c>
      <c r="AO504" s="0" t="s">
        <v>240</v>
      </c>
      <c r="AP504" s="0" t="s">
        <v>240</v>
      </c>
      <c r="AQ504" s="0" t="s">
        <v>240</v>
      </c>
      <c r="AR504" s="0" t="s">
        <v>240</v>
      </c>
      <c r="AS504" s="0" t="s">
        <v>240</v>
      </c>
      <c r="AT504" s="0" t="s">
        <v>240</v>
      </c>
      <c r="AU504" s="0" t="s">
        <v>240</v>
      </c>
      <c r="AV504" s="0" t="s">
        <v>240</v>
      </c>
      <c r="AW504" s="0" t="s">
        <v>240</v>
      </c>
      <c r="AX504" s="0" t="s">
        <v>240</v>
      </c>
      <c r="AY504" s="0" t="s">
        <v>240</v>
      </c>
      <c r="AZ504" s="0" t="s">
        <v>240</v>
      </c>
      <c r="BA504" s="0" t="s">
        <v>240</v>
      </c>
      <c r="BB504" s="0" t="s">
        <v>240</v>
      </c>
      <c r="BC504" s="0" t="s">
        <v>240</v>
      </c>
      <c r="BD504" s="0" t="s">
        <v>240</v>
      </c>
      <c r="BE504" s="0" t="s">
        <v>5645</v>
      </c>
      <c r="BF504" s="0" t="s">
        <v>5645</v>
      </c>
      <c r="BG504" s="0" t="s">
        <v>112</v>
      </c>
      <c r="BH504" s="0" t="s">
        <v>5589</v>
      </c>
      <c r="BI504" s="0" t="s">
        <v>123</v>
      </c>
      <c r="BJ504" s="0" t="s">
        <v>240</v>
      </c>
      <c r="BK504" s="0" t="s">
        <v>5608</v>
      </c>
      <c r="BL504" s="0" t="s">
        <v>2985</v>
      </c>
      <c r="BM504" s="0" t="s">
        <v>2985</v>
      </c>
      <c r="BN504" s="0" t="s">
        <v>5646</v>
      </c>
      <c r="BO504" s="0" t="s">
        <v>5706</v>
      </c>
      <c r="BP504" s="0" t="s">
        <v>5708</v>
      </c>
      <c r="BQ504" s="0" t="s">
        <v>5709</v>
      </c>
      <c r="BR504" s="0" t="s">
        <v>5710</v>
      </c>
      <c r="BS504" s="0" t="s">
        <v>240</v>
      </c>
      <c r="BT504" s="0" t="s">
        <v>5650</v>
      </c>
      <c r="BU504" s="0" t="s">
        <v>6978</v>
      </c>
      <c r="BV504" s="0" t="s">
        <v>6978</v>
      </c>
      <c r="BW504" s="0" t="s">
        <v>5598</v>
      </c>
      <c r="BX504" s="0" t="s">
        <v>5598</v>
      </c>
      <c r="BY504" s="0" t="s">
        <v>5598</v>
      </c>
      <c r="BZ504" s="0" t="s">
        <v>5598</v>
      </c>
      <c r="CA504" s="0" t="s">
        <v>5598</v>
      </c>
      <c r="CB504" s="0" t="s">
        <v>240</v>
      </c>
      <c r="CC504" s="0" t="s">
        <v>240</v>
      </c>
      <c r="CD504" s="0" t="s">
        <v>240</v>
      </c>
      <c r="CE504" s="0" t="s">
        <v>240</v>
      </c>
      <c r="CF504" s="0" t="s">
        <v>240</v>
      </c>
      <c r="CG504" s="0" t="s">
        <v>5598</v>
      </c>
      <c r="CH504" s="0" t="s">
        <v>240</v>
      </c>
      <c r="CI504" s="0" t="s">
        <v>240</v>
      </c>
      <c r="CJ504" s="0" t="s">
        <v>240</v>
      </c>
      <c r="CK504" s="0" t="s">
        <v>240</v>
      </c>
      <c r="CL504" s="0" t="s">
        <v>240</v>
      </c>
      <c r="CM504" s="0" t="s">
        <v>6978</v>
      </c>
      <c r="CN504" s="0" t="s">
        <v>6978</v>
      </c>
      <c r="CO504" s="0" t="s">
        <v>240</v>
      </c>
      <c r="CP504" s="0" t="s">
        <v>240</v>
      </c>
      <c r="CQ504" s="0" t="s">
        <v>240</v>
      </c>
      <c r="CR504" s="0" t="s">
        <v>240</v>
      </c>
      <c r="CS504" s="0" t="s">
        <v>5507</v>
      </c>
      <c r="CT504" s="0" t="s">
        <v>5496</v>
      </c>
      <c r="CU504" s="0" t="s">
        <v>5497</v>
      </c>
      <c r="CV504" s="0" t="s">
        <v>443</v>
      </c>
      <c r="CW504" s="0" t="s">
        <v>5509</v>
      </c>
      <c r="CX504" s="0" t="s">
        <v>229</v>
      </c>
      <c r="CY504" s="0" t="s">
        <v>443</v>
      </c>
      <c r="CZ504" s="0" t="s">
        <v>5510</v>
      </c>
      <c r="DA504" s="0" t="s">
        <v>5511</v>
      </c>
      <c r="DB504" s="0" t="s">
        <v>5509</v>
      </c>
      <c r="DC504" s="0" t="s">
        <v>384</v>
      </c>
      <c r="DD504" s="0" t="s">
        <v>291</v>
      </c>
      <c r="DE504" s="0" t="s">
        <v>5712</v>
      </c>
    </row>
    <row customHeight="1" ht="11.25">
      <c r="A505" s="1441" t="s">
        <v>240</v>
      </c>
      <c r="B505" s="0" t="s">
        <v>240</v>
      </c>
      <c r="C505" s="0" t="s">
        <v>240</v>
      </c>
      <c r="D505" s="0" t="s">
        <v>240</v>
      </c>
      <c r="E505" s="0" t="s">
        <v>240</v>
      </c>
      <c r="F505" s="0" t="s">
        <v>240</v>
      </c>
      <c r="G505" s="0" t="s">
        <v>240</v>
      </c>
      <c r="H505" s="0" t="s">
        <v>240</v>
      </c>
      <c r="I505" s="0" t="s">
        <v>5484</v>
      </c>
      <c r="J505" s="0" t="s">
        <v>240</v>
      </c>
      <c r="K505" s="0" t="s">
        <v>240</v>
      </c>
      <c r="L505" s="0" t="s">
        <v>240</v>
      </c>
      <c r="M505" s="0" t="s">
        <v>240</v>
      </c>
      <c r="N505" s="0" t="s">
        <v>240</v>
      </c>
      <c r="O505" s="0" t="s">
        <v>240</v>
      </c>
      <c r="P505" s="0" t="s">
        <v>240</v>
      </c>
      <c r="Q505" s="0" t="s">
        <v>240</v>
      </c>
      <c r="R505" s="0" t="s">
        <v>5572</v>
      </c>
      <c r="S505" s="0" t="s">
        <v>240</v>
      </c>
      <c r="T505" s="0" t="s">
        <v>240</v>
      </c>
      <c r="U505" s="0" t="s">
        <v>102</v>
      </c>
      <c r="V505" s="0" t="s">
        <v>240</v>
      </c>
      <c r="W505" s="0" t="s">
        <v>240</v>
      </c>
      <c r="X505" s="0" t="s">
        <v>5485</v>
      </c>
      <c r="Y505" s="0" t="s">
        <v>240</v>
      </c>
      <c r="Z505" s="0" t="s">
        <v>161</v>
      </c>
      <c r="AA505" s="0" t="s">
        <v>152</v>
      </c>
      <c r="AB505" s="0" t="s">
        <v>152</v>
      </c>
      <c r="AC505" s="0" t="s">
        <v>2991</v>
      </c>
      <c r="AD505" s="0" t="s">
        <v>2991</v>
      </c>
      <c r="AE505" s="0" t="s">
        <v>2992</v>
      </c>
      <c r="AF505" s="0" t="s">
        <v>5727</v>
      </c>
      <c r="AG505" s="0" t="s">
        <v>5728</v>
      </c>
      <c r="AH505" s="0" t="s">
        <v>5729</v>
      </c>
      <c r="AI505" s="0" t="s">
        <v>5730</v>
      </c>
      <c r="AJ505" s="0" t="s">
        <v>5576</v>
      </c>
      <c r="AK505" s="0" t="s">
        <v>5731</v>
      </c>
      <c r="AL505" s="0" t="s">
        <v>5506</v>
      </c>
      <c r="AM505" s="0" t="s">
        <v>5493</v>
      </c>
      <c r="AN505" s="0" t="s">
        <v>5491</v>
      </c>
      <c r="AO505" s="0" t="s">
        <v>5516</v>
      </c>
      <c r="AP505" s="0" t="s">
        <v>240</v>
      </c>
      <c r="AQ505" s="0" t="s">
        <v>240</v>
      </c>
      <c r="AR505" s="0" t="s">
        <v>240</v>
      </c>
      <c r="AS505" s="0" t="s">
        <v>240</v>
      </c>
      <c r="AT505" s="0" t="s">
        <v>240</v>
      </c>
      <c r="AU505" s="0" t="s">
        <v>240</v>
      </c>
      <c r="AV505" s="0" t="s">
        <v>240</v>
      </c>
      <c r="AW505" s="0" t="s">
        <v>240</v>
      </c>
      <c r="AX505" s="0" t="s">
        <v>240</v>
      </c>
      <c r="AY505" s="0" t="s">
        <v>240</v>
      </c>
      <c r="AZ505" s="0" t="s">
        <v>240</v>
      </c>
      <c r="BA505" s="0" t="s">
        <v>240</v>
      </c>
      <c r="BB505" s="0" t="s">
        <v>240</v>
      </c>
      <c r="BC505" s="0" t="s">
        <v>240</v>
      </c>
      <c r="BD505" s="0" t="s">
        <v>240</v>
      </c>
      <c r="BE505" s="0" t="s">
        <v>240</v>
      </c>
      <c r="BF505" s="0" t="s">
        <v>240</v>
      </c>
      <c r="BG505" s="0" t="s">
        <v>240</v>
      </c>
      <c r="BH505" s="0" t="s">
        <v>240</v>
      </c>
      <c r="BI505" s="0" t="s">
        <v>240</v>
      </c>
      <c r="BJ505" s="0" t="s">
        <v>240</v>
      </c>
      <c r="BK505" s="0" t="s">
        <v>240</v>
      </c>
      <c r="BL505" s="0" t="s">
        <v>240</v>
      </c>
      <c r="BM505" s="0" t="s">
        <v>240</v>
      </c>
      <c r="BN505" s="0" t="s">
        <v>240</v>
      </c>
      <c r="BO505" s="0" t="s">
        <v>240</v>
      </c>
      <c r="BP505" s="0" t="s">
        <v>240</v>
      </c>
      <c r="BQ505" s="0" t="s">
        <v>240</v>
      </c>
      <c r="BR505" s="0" t="s">
        <v>240</v>
      </c>
      <c r="BS505" s="0" t="s">
        <v>240</v>
      </c>
      <c r="BT505" s="0" t="s">
        <v>240</v>
      </c>
      <c r="BU505" s="0" t="s">
        <v>240</v>
      </c>
      <c r="BV505" s="0" t="s">
        <v>240</v>
      </c>
      <c r="BW505" s="0" t="s">
        <v>240</v>
      </c>
      <c r="BX505" s="0" t="s">
        <v>240</v>
      </c>
      <c r="BY505" s="0" t="s">
        <v>240</v>
      </c>
      <c r="BZ505" s="0" t="s">
        <v>240</v>
      </c>
      <c r="CA505" s="0" t="s">
        <v>240</v>
      </c>
      <c r="CB505" s="0" t="s">
        <v>240</v>
      </c>
      <c r="CC505" s="0" t="s">
        <v>240</v>
      </c>
      <c r="CD505" s="0" t="s">
        <v>240</v>
      </c>
      <c r="CE505" s="0" t="s">
        <v>240</v>
      </c>
      <c r="CF505" s="0" t="s">
        <v>240</v>
      </c>
      <c r="CG505" s="0" t="s">
        <v>240</v>
      </c>
      <c r="CH505" s="0" t="s">
        <v>240</v>
      </c>
      <c r="CI505" s="0" t="s">
        <v>240</v>
      </c>
      <c r="CJ505" s="0" t="s">
        <v>240</v>
      </c>
      <c r="CK505" s="0" t="s">
        <v>240</v>
      </c>
      <c r="CL505" s="0" t="s">
        <v>240</v>
      </c>
      <c r="CM505" s="0" t="s">
        <v>240</v>
      </c>
      <c r="CN505" s="0" t="s">
        <v>240</v>
      </c>
      <c r="CO505" s="0" t="s">
        <v>240</v>
      </c>
      <c r="CP505" s="0" t="s">
        <v>240</v>
      </c>
      <c r="CQ505" s="0" t="s">
        <v>240</v>
      </c>
      <c r="CR505" s="0" t="s">
        <v>240</v>
      </c>
      <c r="CS505" s="0" t="s">
        <v>240</v>
      </c>
      <c r="CT505" s="0" t="s">
        <v>5496</v>
      </c>
      <c r="CU505" s="0" t="s">
        <v>5497</v>
      </c>
      <c r="CV505" s="0" t="s">
        <v>443</v>
      </c>
      <c r="CW505" s="0" t="s">
        <v>5547</v>
      </c>
      <c r="CX505" s="0" t="s">
        <v>229</v>
      </c>
      <c r="CY505" s="0" t="s">
        <v>443</v>
      </c>
      <c r="CZ505" s="0" t="s">
        <v>5548</v>
      </c>
      <c r="DA505" s="0" t="s">
        <v>5549</v>
      </c>
      <c r="DB505" s="0" t="s">
        <v>5547</v>
      </c>
      <c r="DC505" s="0" t="s">
        <v>384</v>
      </c>
      <c r="DD505" s="0" t="s">
        <v>291</v>
      </c>
      <c r="DE505" s="0" t="s">
        <v>5732</v>
      </c>
    </row>
    <row customHeight="1" ht="11.25">
      <c r="A506" s="1441" t="s">
        <v>240</v>
      </c>
      <c r="B506" s="0" t="s">
        <v>240</v>
      </c>
      <c r="C506" s="0" t="s">
        <v>240</v>
      </c>
      <c r="D506" s="0" t="s">
        <v>240</v>
      </c>
      <c r="E506" s="0" t="s">
        <v>240</v>
      </c>
      <c r="F506" s="0" t="s">
        <v>240</v>
      </c>
      <c r="G506" s="0" t="s">
        <v>240</v>
      </c>
      <c r="H506" s="0" t="s">
        <v>240</v>
      </c>
      <c r="I506" s="0" t="s">
        <v>5484</v>
      </c>
      <c r="J506" s="0" t="s">
        <v>240</v>
      </c>
      <c r="K506" s="0" t="s">
        <v>240</v>
      </c>
      <c r="L506" s="0" t="s">
        <v>240</v>
      </c>
      <c r="M506" s="0" t="s">
        <v>240</v>
      </c>
      <c r="N506" s="0" t="s">
        <v>240</v>
      </c>
      <c r="O506" s="0" t="s">
        <v>240</v>
      </c>
      <c r="P506" s="0" t="s">
        <v>240</v>
      </c>
      <c r="Q506" s="0" t="s">
        <v>240</v>
      </c>
      <c r="R506" s="0" t="s">
        <v>5572</v>
      </c>
      <c r="S506" s="0" t="s">
        <v>240</v>
      </c>
      <c r="T506" s="0" t="s">
        <v>240</v>
      </c>
      <c r="U506" s="0" t="s">
        <v>102</v>
      </c>
      <c r="V506" s="0" t="s">
        <v>240</v>
      </c>
      <c r="W506" s="0" t="s">
        <v>240</v>
      </c>
      <c r="X506" s="0" t="s">
        <v>5485</v>
      </c>
      <c r="Y506" s="0" t="s">
        <v>240</v>
      </c>
      <c r="Z506" s="0" t="s">
        <v>161</v>
      </c>
      <c r="AA506" s="0" t="s">
        <v>152</v>
      </c>
      <c r="AB506" s="0" t="s">
        <v>152</v>
      </c>
      <c r="AC506" s="0" t="s">
        <v>2991</v>
      </c>
      <c r="AD506" s="0" t="s">
        <v>2991</v>
      </c>
      <c r="AE506" s="0" t="s">
        <v>2992</v>
      </c>
      <c r="AF506" s="0" t="s">
        <v>5727</v>
      </c>
      <c r="AG506" s="0" t="s">
        <v>5728</v>
      </c>
      <c r="AH506" s="0" t="s">
        <v>5733</v>
      </c>
      <c r="AI506" s="0" t="s">
        <v>5734</v>
      </c>
      <c r="AJ506" s="0" t="s">
        <v>5552</v>
      </c>
      <c r="AK506" s="0" t="s">
        <v>5544</v>
      </c>
      <c r="AL506" s="0" t="s">
        <v>5506</v>
      </c>
      <c r="AM506" s="0" t="s">
        <v>5493</v>
      </c>
      <c r="AN506" s="0" t="s">
        <v>5491</v>
      </c>
      <c r="AO506" s="0" t="s">
        <v>5735</v>
      </c>
      <c r="AP506" s="0" t="s">
        <v>240</v>
      </c>
      <c r="AQ506" s="0" t="s">
        <v>240</v>
      </c>
      <c r="AR506" s="0" t="s">
        <v>240</v>
      </c>
      <c r="AS506" s="0" t="s">
        <v>240</v>
      </c>
      <c r="AT506" s="0" t="s">
        <v>240</v>
      </c>
      <c r="AU506" s="0" t="s">
        <v>240</v>
      </c>
      <c r="AV506" s="0" t="s">
        <v>240</v>
      </c>
      <c r="AW506" s="0" t="s">
        <v>240</v>
      </c>
      <c r="AX506" s="0" t="s">
        <v>240</v>
      </c>
      <c r="AY506" s="0" t="s">
        <v>240</v>
      </c>
      <c r="AZ506" s="0" t="s">
        <v>240</v>
      </c>
      <c r="BA506" s="0" t="s">
        <v>240</v>
      </c>
      <c r="BB506" s="0" t="s">
        <v>240</v>
      </c>
      <c r="BC506" s="0" t="s">
        <v>240</v>
      </c>
      <c r="BD506" s="0" t="s">
        <v>240</v>
      </c>
      <c r="BE506" s="0" t="s">
        <v>240</v>
      </c>
      <c r="BF506" s="0" t="s">
        <v>240</v>
      </c>
      <c r="BG506" s="0" t="s">
        <v>240</v>
      </c>
      <c r="BH506" s="0" t="s">
        <v>240</v>
      </c>
      <c r="BI506" s="0" t="s">
        <v>240</v>
      </c>
      <c r="BJ506" s="0" t="s">
        <v>240</v>
      </c>
      <c r="BK506" s="0" t="s">
        <v>240</v>
      </c>
      <c r="BL506" s="0" t="s">
        <v>240</v>
      </c>
      <c r="BM506" s="0" t="s">
        <v>240</v>
      </c>
      <c r="BN506" s="0" t="s">
        <v>240</v>
      </c>
      <c r="BO506" s="0" t="s">
        <v>240</v>
      </c>
      <c r="BP506" s="0" t="s">
        <v>240</v>
      </c>
      <c r="BQ506" s="0" t="s">
        <v>240</v>
      </c>
      <c r="BR506" s="0" t="s">
        <v>240</v>
      </c>
      <c r="BS506" s="0" t="s">
        <v>240</v>
      </c>
      <c r="BT506" s="0" t="s">
        <v>240</v>
      </c>
      <c r="BU506" s="0" t="s">
        <v>240</v>
      </c>
      <c r="BV506" s="0" t="s">
        <v>240</v>
      </c>
      <c r="BW506" s="0" t="s">
        <v>240</v>
      </c>
      <c r="BX506" s="0" t="s">
        <v>240</v>
      </c>
      <c r="BY506" s="0" t="s">
        <v>240</v>
      </c>
      <c r="BZ506" s="0" t="s">
        <v>240</v>
      </c>
      <c r="CA506" s="0" t="s">
        <v>240</v>
      </c>
      <c r="CB506" s="0" t="s">
        <v>240</v>
      </c>
      <c r="CC506" s="0" t="s">
        <v>240</v>
      </c>
      <c r="CD506" s="0" t="s">
        <v>240</v>
      </c>
      <c r="CE506" s="0" t="s">
        <v>240</v>
      </c>
      <c r="CF506" s="0" t="s">
        <v>240</v>
      </c>
      <c r="CG506" s="0" t="s">
        <v>240</v>
      </c>
      <c r="CH506" s="0" t="s">
        <v>240</v>
      </c>
      <c r="CI506" s="0" t="s">
        <v>240</v>
      </c>
      <c r="CJ506" s="0" t="s">
        <v>240</v>
      </c>
      <c r="CK506" s="0" t="s">
        <v>240</v>
      </c>
      <c r="CL506" s="0" t="s">
        <v>240</v>
      </c>
      <c r="CM506" s="0" t="s">
        <v>240</v>
      </c>
      <c r="CN506" s="0" t="s">
        <v>240</v>
      </c>
      <c r="CO506" s="0" t="s">
        <v>240</v>
      </c>
      <c r="CP506" s="0" t="s">
        <v>240</v>
      </c>
      <c r="CQ506" s="0" t="s">
        <v>240</v>
      </c>
      <c r="CR506" s="0" t="s">
        <v>240</v>
      </c>
      <c r="CS506" s="0" t="s">
        <v>240</v>
      </c>
      <c r="CT506" s="0" t="s">
        <v>5496</v>
      </c>
      <c r="CU506" s="0" t="s">
        <v>5497</v>
      </c>
      <c r="CV506" s="0" t="s">
        <v>443</v>
      </c>
      <c r="CW506" s="0" t="s">
        <v>5547</v>
      </c>
      <c r="CX506" s="0" t="s">
        <v>229</v>
      </c>
      <c r="CY506" s="0" t="s">
        <v>443</v>
      </c>
      <c r="CZ506" s="0" t="s">
        <v>5548</v>
      </c>
      <c r="DA506" s="0" t="s">
        <v>5549</v>
      </c>
      <c r="DB506" s="0" t="s">
        <v>5547</v>
      </c>
      <c r="DC506" s="0" t="s">
        <v>384</v>
      </c>
      <c r="DD506" s="0" t="s">
        <v>291</v>
      </c>
      <c r="DE506" s="0" t="s">
        <v>5736</v>
      </c>
    </row>
    <row customHeight="1" ht="11.25">
      <c r="A507" s="1441" t="s">
        <v>240</v>
      </c>
      <c r="B507" s="0" t="s">
        <v>240</v>
      </c>
      <c r="C507" s="0" t="s">
        <v>240</v>
      </c>
      <c r="D507" s="0" t="s">
        <v>240</v>
      </c>
      <c r="E507" s="0" t="s">
        <v>240</v>
      </c>
      <c r="F507" s="0" t="s">
        <v>240</v>
      </c>
      <c r="G507" s="0" t="s">
        <v>240</v>
      </c>
      <c r="H507" s="0" t="s">
        <v>240</v>
      </c>
      <c r="I507" s="0" t="s">
        <v>5484</v>
      </c>
      <c r="J507" s="0" t="s">
        <v>240</v>
      </c>
      <c r="K507" s="0" t="s">
        <v>240</v>
      </c>
      <c r="L507" s="0" t="s">
        <v>240</v>
      </c>
      <c r="M507" s="0" t="s">
        <v>240</v>
      </c>
      <c r="N507" s="0" t="s">
        <v>240</v>
      </c>
      <c r="O507" s="0" t="s">
        <v>240</v>
      </c>
      <c r="P507" s="0" t="s">
        <v>240</v>
      </c>
      <c r="Q507" s="0" t="s">
        <v>240</v>
      </c>
      <c r="R507" s="0" t="s">
        <v>6979</v>
      </c>
      <c r="S507" s="0" t="s">
        <v>240</v>
      </c>
      <c r="T507" s="0" t="s">
        <v>240</v>
      </c>
      <c r="U507" s="0" t="s">
        <v>102</v>
      </c>
      <c r="V507" s="0" t="s">
        <v>240</v>
      </c>
      <c r="W507" s="0" t="s">
        <v>240</v>
      </c>
      <c r="X507" s="0" t="s">
        <v>5485</v>
      </c>
      <c r="Y507" s="0" t="s">
        <v>240</v>
      </c>
      <c r="Z507" s="0" t="s">
        <v>161</v>
      </c>
      <c r="AA507" s="0" t="s">
        <v>152</v>
      </c>
      <c r="AB507" s="0" t="s">
        <v>152</v>
      </c>
      <c r="AC507" s="0" t="s">
        <v>3389</v>
      </c>
      <c r="AD507" s="0" t="s">
        <v>3389</v>
      </c>
      <c r="AE507" s="0" t="s">
        <v>3390</v>
      </c>
      <c r="AF507" s="0" t="s">
        <v>5519</v>
      </c>
      <c r="AG507" s="0" t="s">
        <v>5520</v>
      </c>
      <c r="AH507" s="0" t="s">
        <v>5738</v>
      </c>
      <c r="AI507" s="0" t="s">
        <v>5533</v>
      </c>
      <c r="AJ507" s="0" t="s">
        <v>5716</v>
      </c>
      <c r="AK507" s="0" t="s">
        <v>5739</v>
      </c>
      <c r="AL507" s="0" t="s">
        <v>5492</v>
      </c>
      <c r="AM507" s="0" t="s">
        <v>5493</v>
      </c>
      <c r="AN507" s="0" t="s">
        <v>5740</v>
      </c>
      <c r="AO507" s="0" t="s">
        <v>5741</v>
      </c>
      <c r="AP507" s="0" t="s">
        <v>240</v>
      </c>
      <c r="AQ507" s="0" t="s">
        <v>240</v>
      </c>
      <c r="AR507" s="0" t="s">
        <v>240</v>
      </c>
      <c r="AS507" s="0" t="s">
        <v>240</v>
      </c>
      <c r="AT507" s="0" t="s">
        <v>240</v>
      </c>
      <c r="AU507" s="0" t="s">
        <v>240</v>
      </c>
      <c r="AV507" s="0" t="s">
        <v>240</v>
      </c>
      <c r="AW507" s="0" t="s">
        <v>240</v>
      </c>
      <c r="AX507" s="0" t="s">
        <v>240</v>
      </c>
      <c r="AY507" s="0" t="s">
        <v>240</v>
      </c>
      <c r="AZ507" s="0" t="s">
        <v>240</v>
      </c>
      <c r="BA507" s="0" t="s">
        <v>240</v>
      </c>
      <c r="BB507" s="0" t="s">
        <v>240</v>
      </c>
      <c r="BC507" s="0" t="s">
        <v>240</v>
      </c>
      <c r="BD507" s="0" t="s">
        <v>240</v>
      </c>
      <c r="BE507" s="0" t="s">
        <v>240</v>
      </c>
      <c r="BF507" s="0" t="s">
        <v>240</v>
      </c>
      <c r="BG507" s="0" t="s">
        <v>240</v>
      </c>
      <c r="BH507" s="0" t="s">
        <v>240</v>
      </c>
      <c r="BI507" s="0" t="s">
        <v>240</v>
      </c>
      <c r="BJ507" s="0" t="s">
        <v>240</v>
      </c>
      <c r="BK507" s="0" t="s">
        <v>240</v>
      </c>
      <c r="BL507" s="0" t="s">
        <v>240</v>
      </c>
      <c r="BM507" s="0" t="s">
        <v>240</v>
      </c>
      <c r="BN507" s="0" t="s">
        <v>240</v>
      </c>
      <c r="BO507" s="0" t="s">
        <v>240</v>
      </c>
      <c r="BP507" s="0" t="s">
        <v>240</v>
      </c>
      <c r="BQ507" s="0" t="s">
        <v>240</v>
      </c>
      <c r="BR507" s="0" t="s">
        <v>240</v>
      </c>
      <c r="BS507" s="0" t="s">
        <v>240</v>
      </c>
      <c r="BT507" s="0" t="s">
        <v>240</v>
      </c>
      <c r="BU507" s="0" t="s">
        <v>240</v>
      </c>
      <c r="BV507" s="0" t="s">
        <v>240</v>
      </c>
      <c r="BW507" s="0" t="s">
        <v>240</v>
      </c>
      <c r="BX507" s="0" t="s">
        <v>240</v>
      </c>
      <c r="BY507" s="0" t="s">
        <v>240</v>
      </c>
      <c r="BZ507" s="0" t="s">
        <v>240</v>
      </c>
      <c r="CA507" s="0" t="s">
        <v>240</v>
      </c>
      <c r="CB507" s="0" t="s">
        <v>240</v>
      </c>
      <c r="CC507" s="0" t="s">
        <v>240</v>
      </c>
      <c r="CD507" s="0" t="s">
        <v>240</v>
      </c>
      <c r="CE507" s="0" t="s">
        <v>240</v>
      </c>
      <c r="CF507" s="0" t="s">
        <v>240</v>
      </c>
      <c r="CG507" s="0" t="s">
        <v>240</v>
      </c>
      <c r="CH507" s="0" t="s">
        <v>240</v>
      </c>
      <c r="CI507" s="0" t="s">
        <v>240</v>
      </c>
      <c r="CJ507" s="0" t="s">
        <v>240</v>
      </c>
      <c r="CK507" s="0" t="s">
        <v>240</v>
      </c>
      <c r="CL507" s="0" t="s">
        <v>240</v>
      </c>
      <c r="CM507" s="0" t="s">
        <v>240</v>
      </c>
      <c r="CN507" s="0" t="s">
        <v>240</v>
      </c>
      <c r="CO507" s="0" t="s">
        <v>240</v>
      </c>
      <c r="CP507" s="0" t="s">
        <v>240</v>
      </c>
      <c r="CQ507" s="0" t="s">
        <v>240</v>
      </c>
      <c r="CR507" s="0" t="s">
        <v>240</v>
      </c>
      <c r="CS507" s="0" t="s">
        <v>240</v>
      </c>
      <c r="CT507" s="0" t="s">
        <v>5496</v>
      </c>
      <c r="CU507" s="0" t="s">
        <v>5497</v>
      </c>
      <c r="CV507" s="0" t="s">
        <v>443</v>
      </c>
      <c r="CW507" s="0" t="s">
        <v>5527</v>
      </c>
      <c r="CX507" s="0" t="s">
        <v>5528</v>
      </c>
      <c r="CY507" s="0" t="s">
        <v>443</v>
      </c>
      <c r="CZ507" s="0" t="s">
        <v>299</v>
      </c>
      <c r="DA507" s="0" t="s">
        <v>5529</v>
      </c>
      <c r="DB507" s="0" t="s">
        <v>5527</v>
      </c>
      <c r="DC507" s="0" t="s">
        <v>384</v>
      </c>
      <c r="DD507" s="0" t="s">
        <v>291</v>
      </c>
      <c r="DE507" s="0" t="s">
        <v>5742</v>
      </c>
    </row>
    <row customHeight="1" ht="11.25">
      <c r="A508" s="1441" t="s">
        <v>240</v>
      </c>
      <c r="B508" s="0" t="s">
        <v>240</v>
      </c>
      <c r="C508" s="0" t="s">
        <v>240</v>
      </c>
      <c r="D508" s="0" t="s">
        <v>240</v>
      </c>
      <c r="E508" s="0" t="s">
        <v>240</v>
      </c>
      <c r="F508" s="0" t="s">
        <v>240</v>
      </c>
      <c r="G508" s="0" t="s">
        <v>240</v>
      </c>
      <c r="H508" s="0" t="s">
        <v>240</v>
      </c>
      <c r="I508" s="0" t="s">
        <v>5484</v>
      </c>
      <c r="J508" s="0" t="s">
        <v>240</v>
      </c>
      <c r="K508" s="0" t="s">
        <v>240</v>
      </c>
      <c r="L508" s="0" t="s">
        <v>240</v>
      </c>
      <c r="M508" s="0" t="s">
        <v>240</v>
      </c>
      <c r="N508" s="0" t="s">
        <v>240</v>
      </c>
      <c r="O508" s="0" t="s">
        <v>240</v>
      </c>
      <c r="P508" s="0" t="s">
        <v>240</v>
      </c>
      <c r="Q508" s="0" t="s">
        <v>240</v>
      </c>
      <c r="R508" s="0" t="s">
        <v>6055</v>
      </c>
      <c r="S508" s="0" t="s">
        <v>240</v>
      </c>
      <c r="T508" s="0" t="s">
        <v>240</v>
      </c>
      <c r="U508" s="0" t="s">
        <v>102</v>
      </c>
      <c r="V508" s="0" t="s">
        <v>240</v>
      </c>
      <c r="W508" s="0" t="s">
        <v>240</v>
      </c>
      <c r="X508" s="0" t="s">
        <v>5585</v>
      </c>
      <c r="Y508" s="0" t="s">
        <v>240</v>
      </c>
      <c r="Z508" s="0" t="s">
        <v>152</v>
      </c>
      <c r="AA508" s="0" t="s">
        <v>152</v>
      </c>
      <c r="AB508" s="0" t="s">
        <v>161</v>
      </c>
      <c r="AC508" s="0" t="s">
        <v>2991</v>
      </c>
      <c r="AD508" s="0" t="s">
        <v>2991</v>
      </c>
      <c r="AE508" s="0" t="s">
        <v>2992</v>
      </c>
      <c r="AF508" s="0" t="s">
        <v>6050</v>
      </c>
      <c r="AG508" s="0" t="s">
        <v>6051</v>
      </c>
      <c r="AH508" s="0" t="s">
        <v>5575</v>
      </c>
      <c r="AI508" s="0" t="s">
        <v>5575</v>
      </c>
      <c r="AJ508" s="0" t="s">
        <v>240</v>
      </c>
      <c r="AK508" s="0" t="s">
        <v>240</v>
      </c>
      <c r="AL508" s="0" t="s">
        <v>240</v>
      </c>
      <c r="AM508" s="0" t="s">
        <v>240</v>
      </c>
      <c r="AN508" s="0" t="s">
        <v>240</v>
      </c>
      <c r="AO508" s="0" t="s">
        <v>240</v>
      </c>
      <c r="AP508" s="0" t="s">
        <v>240</v>
      </c>
      <c r="AQ508" s="0" t="s">
        <v>240</v>
      </c>
      <c r="AR508" s="0" t="s">
        <v>240</v>
      </c>
      <c r="AS508" s="0" t="s">
        <v>240</v>
      </c>
      <c r="AT508" s="0" t="s">
        <v>240</v>
      </c>
      <c r="AU508" s="0" t="s">
        <v>240</v>
      </c>
      <c r="AV508" s="0" t="s">
        <v>240</v>
      </c>
      <c r="AW508" s="0" t="s">
        <v>240</v>
      </c>
      <c r="AX508" s="0" t="s">
        <v>240</v>
      </c>
      <c r="AY508" s="0" t="s">
        <v>240</v>
      </c>
      <c r="AZ508" s="0" t="s">
        <v>240</v>
      </c>
      <c r="BA508" s="0" t="s">
        <v>240</v>
      </c>
      <c r="BB508" s="0" t="s">
        <v>240</v>
      </c>
      <c r="BC508" s="0" t="s">
        <v>240</v>
      </c>
      <c r="BD508" s="0" t="s">
        <v>240</v>
      </c>
      <c r="BE508" s="0" t="s">
        <v>5552</v>
      </c>
      <c r="BF508" s="0" t="s">
        <v>5672</v>
      </c>
      <c r="BG508" s="0" t="s">
        <v>112</v>
      </c>
      <c r="BH508" s="0" t="s">
        <v>5589</v>
      </c>
      <c r="BI508" s="0" t="s">
        <v>123</v>
      </c>
      <c r="BJ508" s="0" t="s">
        <v>240</v>
      </c>
      <c r="BK508" s="0" t="s">
        <v>5608</v>
      </c>
      <c r="BL508" s="0" t="s">
        <v>2991</v>
      </c>
      <c r="BM508" s="0" t="s">
        <v>2991</v>
      </c>
      <c r="BN508" s="0" t="s">
        <v>5663</v>
      </c>
      <c r="BO508" s="0" t="s">
        <v>6050</v>
      </c>
      <c r="BP508" s="0" t="s">
        <v>6056</v>
      </c>
      <c r="BQ508" s="0" t="s">
        <v>5575</v>
      </c>
      <c r="BR508" s="0" t="s">
        <v>5575</v>
      </c>
      <c r="BS508" s="0" t="s">
        <v>240</v>
      </c>
      <c r="BT508" s="0" t="s">
        <v>5650</v>
      </c>
      <c r="BU508" s="0" t="s">
        <v>6057</v>
      </c>
      <c r="BV508" s="0" t="s">
        <v>6057</v>
      </c>
      <c r="BW508" s="0" t="s">
        <v>5598</v>
      </c>
      <c r="BX508" s="0" t="s">
        <v>5598</v>
      </c>
      <c r="BY508" s="0" t="s">
        <v>5598</v>
      </c>
      <c r="BZ508" s="0" t="s">
        <v>5598</v>
      </c>
      <c r="CA508" s="0" t="s">
        <v>5598</v>
      </c>
      <c r="CB508" s="0" t="s">
        <v>240</v>
      </c>
      <c r="CC508" s="0" t="s">
        <v>240</v>
      </c>
      <c r="CD508" s="0" t="s">
        <v>240</v>
      </c>
      <c r="CE508" s="0" t="s">
        <v>240</v>
      </c>
      <c r="CF508" s="0" t="s">
        <v>240</v>
      </c>
      <c r="CG508" s="0" t="s">
        <v>5598</v>
      </c>
      <c r="CH508" s="0" t="s">
        <v>240</v>
      </c>
      <c r="CI508" s="0" t="s">
        <v>240</v>
      </c>
      <c r="CJ508" s="0" t="s">
        <v>240</v>
      </c>
      <c r="CK508" s="0" t="s">
        <v>240</v>
      </c>
      <c r="CL508" s="0" t="s">
        <v>240</v>
      </c>
      <c r="CM508" s="0" t="s">
        <v>6057</v>
      </c>
      <c r="CN508" s="0" t="s">
        <v>6057</v>
      </c>
      <c r="CO508" s="0" t="s">
        <v>240</v>
      </c>
      <c r="CP508" s="0" t="s">
        <v>240</v>
      </c>
      <c r="CQ508" s="0" t="s">
        <v>240</v>
      </c>
      <c r="CR508" s="0" t="s">
        <v>240</v>
      </c>
      <c r="CS508" s="0" t="s">
        <v>5666</v>
      </c>
      <c r="CT508" s="0" t="s">
        <v>5496</v>
      </c>
      <c r="CU508" s="0" t="s">
        <v>5497</v>
      </c>
      <c r="CV508" s="0" t="s">
        <v>443</v>
      </c>
      <c r="CW508" s="0" t="s">
        <v>5547</v>
      </c>
      <c r="CX508" s="0" t="s">
        <v>229</v>
      </c>
      <c r="CY508" s="0" t="s">
        <v>443</v>
      </c>
      <c r="CZ508" s="0" t="s">
        <v>5548</v>
      </c>
      <c r="DA508" s="0" t="s">
        <v>5549</v>
      </c>
      <c r="DB508" s="0" t="s">
        <v>5547</v>
      </c>
      <c r="DC508" s="0" t="s">
        <v>384</v>
      </c>
      <c r="DD508" s="0" t="s">
        <v>291</v>
      </c>
      <c r="DE508" s="0" t="s">
        <v>6058</v>
      </c>
    </row>
    <row customHeight="1" ht="11.25">
      <c r="A509" s="1441" t="s">
        <v>240</v>
      </c>
      <c r="B509" s="0" t="s">
        <v>240</v>
      </c>
      <c r="C509" s="0" t="s">
        <v>240</v>
      </c>
      <c r="D509" s="0" t="s">
        <v>240</v>
      </c>
      <c r="E509" s="0" t="s">
        <v>240</v>
      </c>
      <c r="F509" s="0" t="s">
        <v>240</v>
      </c>
      <c r="G509" s="0" t="s">
        <v>240</v>
      </c>
      <c r="H509" s="0" t="s">
        <v>240</v>
      </c>
      <c r="I509" s="0" t="s">
        <v>5484</v>
      </c>
      <c r="J509" s="0" t="s">
        <v>240</v>
      </c>
      <c r="K509" s="0" t="s">
        <v>240</v>
      </c>
      <c r="L509" s="0" t="s">
        <v>240</v>
      </c>
      <c r="M509" s="0" t="s">
        <v>240</v>
      </c>
      <c r="N509" s="0" t="s">
        <v>240</v>
      </c>
      <c r="O509" s="0" t="s">
        <v>240</v>
      </c>
      <c r="P509" s="0" t="s">
        <v>240</v>
      </c>
      <c r="Q509" s="0" t="s">
        <v>240</v>
      </c>
      <c r="R509" s="0" t="s">
        <v>5572</v>
      </c>
      <c r="S509" s="0" t="s">
        <v>240</v>
      </c>
      <c r="T509" s="0" t="s">
        <v>240</v>
      </c>
      <c r="U509" s="0" t="s">
        <v>102</v>
      </c>
      <c r="V509" s="0" t="s">
        <v>240</v>
      </c>
      <c r="W509" s="0" t="s">
        <v>240</v>
      </c>
      <c r="X509" s="0" t="s">
        <v>5485</v>
      </c>
      <c r="Y509" s="0" t="s">
        <v>240</v>
      </c>
      <c r="Z509" s="0" t="s">
        <v>161</v>
      </c>
      <c r="AA509" s="0" t="s">
        <v>152</v>
      </c>
      <c r="AB509" s="0" t="s">
        <v>152</v>
      </c>
      <c r="AC509" s="0" t="s">
        <v>2991</v>
      </c>
      <c r="AD509" s="0" t="s">
        <v>2991</v>
      </c>
      <c r="AE509" s="0" t="s">
        <v>2992</v>
      </c>
      <c r="AF509" s="0" t="s">
        <v>6113</v>
      </c>
      <c r="AG509" s="0" t="s">
        <v>6114</v>
      </c>
      <c r="AH509" s="0" t="s">
        <v>5774</v>
      </c>
      <c r="AI509" s="0" t="s">
        <v>5730</v>
      </c>
      <c r="AJ509" s="0" t="s">
        <v>5552</v>
      </c>
      <c r="AK509" s="0" t="s">
        <v>5672</v>
      </c>
      <c r="AL509" s="0" t="s">
        <v>5506</v>
      </c>
      <c r="AM509" s="0" t="s">
        <v>5493</v>
      </c>
      <c r="AN509" s="0" t="s">
        <v>5553</v>
      </c>
      <c r="AO509" s="0" t="s">
        <v>5752</v>
      </c>
      <c r="AP509" s="0" t="s">
        <v>240</v>
      </c>
      <c r="AQ509" s="0" t="s">
        <v>240</v>
      </c>
      <c r="AR509" s="0" t="s">
        <v>240</v>
      </c>
      <c r="AS509" s="0" t="s">
        <v>240</v>
      </c>
      <c r="AT509" s="0" t="s">
        <v>240</v>
      </c>
      <c r="AU509" s="0" t="s">
        <v>240</v>
      </c>
      <c r="AV509" s="0" t="s">
        <v>240</v>
      </c>
      <c r="AW509" s="0" t="s">
        <v>240</v>
      </c>
      <c r="AX509" s="0" t="s">
        <v>240</v>
      </c>
      <c r="AY509" s="0" t="s">
        <v>240</v>
      </c>
      <c r="AZ509" s="0" t="s">
        <v>240</v>
      </c>
      <c r="BA509" s="0" t="s">
        <v>240</v>
      </c>
      <c r="BB509" s="0" t="s">
        <v>240</v>
      </c>
      <c r="BC509" s="0" t="s">
        <v>240</v>
      </c>
      <c r="BD509" s="0" t="s">
        <v>240</v>
      </c>
      <c r="BE509" s="0" t="s">
        <v>240</v>
      </c>
      <c r="BF509" s="0" t="s">
        <v>240</v>
      </c>
      <c r="BG509" s="0" t="s">
        <v>240</v>
      </c>
      <c r="BH509" s="0" t="s">
        <v>240</v>
      </c>
      <c r="BI509" s="0" t="s">
        <v>240</v>
      </c>
      <c r="BJ509" s="0" t="s">
        <v>240</v>
      </c>
      <c r="BK509" s="0" t="s">
        <v>240</v>
      </c>
      <c r="BL509" s="0" t="s">
        <v>240</v>
      </c>
      <c r="BM509" s="0" t="s">
        <v>240</v>
      </c>
      <c r="BN509" s="0" t="s">
        <v>240</v>
      </c>
      <c r="BO509" s="0" t="s">
        <v>240</v>
      </c>
      <c r="BP509" s="0" t="s">
        <v>240</v>
      </c>
      <c r="BQ509" s="0" t="s">
        <v>240</v>
      </c>
      <c r="BR509" s="0" t="s">
        <v>240</v>
      </c>
      <c r="BS509" s="0" t="s">
        <v>240</v>
      </c>
      <c r="BT509" s="0" t="s">
        <v>240</v>
      </c>
      <c r="BU509" s="0" t="s">
        <v>240</v>
      </c>
      <c r="BV509" s="0" t="s">
        <v>240</v>
      </c>
      <c r="BW509" s="0" t="s">
        <v>240</v>
      </c>
      <c r="BX509" s="0" t="s">
        <v>240</v>
      </c>
      <c r="BY509" s="0" t="s">
        <v>240</v>
      </c>
      <c r="BZ509" s="0" t="s">
        <v>240</v>
      </c>
      <c r="CA509" s="0" t="s">
        <v>240</v>
      </c>
      <c r="CB509" s="0" t="s">
        <v>240</v>
      </c>
      <c r="CC509" s="0" t="s">
        <v>240</v>
      </c>
      <c r="CD509" s="0" t="s">
        <v>240</v>
      </c>
      <c r="CE509" s="0" t="s">
        <v>240</v>
      </c>
      <c r="CF509" s="0" t="s">
        <v>240</v>
      </c>
      <c r="CG509" s="0" t="s">
        <v>240</v>
      </c>
      <c r="CH509" s="0" t="s">
        <v>240</v>
      </c>
      <c r="CI509" s="0" t="s">
        <v>240</v>
      </c>
      <c r="CJ509" s="0" t="s">
        <v>240</v>
      </c>
      <c r="CK509" s="0" t="s">
        <v>240</v>
      </c>
      <c r="CL509" s="0" t="s">
        <v>240</v>
      </c>
      <c r="CM509" s="0" t="s">
        <v>240</v>
      </c>
      <c r="CN509" s="0" t="s">
        <v>240</v>
      </c>
      <c r="CO509" s="0" t="s">
        <v>240</v>
      </c>
      <c r="CP509" s="0" t="s">
        <v>240</v>
      </c>
      <c r="CQ509" s="0" t="s">
        <v>240</v>
      </c>
      <c r="CR509" s="0" t="s">
        <v>240</v>
      </c>
      <c r="CS509" s="0" t="s">
        <v>240</v>
      </c>
      <c r="CT509" s="0" t="s">
        <v>5496</v>
      </c>
      <c r="CU509" s="0" t="s">
        <v>5497</v>
      </c>
      <c r="CV509" s="0" t="s">
        <v>443</v>
      </c>
      <c r="CW509" s="0" t="s">
        <v>5547</v>
      </c>
      <c r="CX509" s="0" t="s">
        <v>229</v>
      </c>
      <c r="CY509" s="0" t="s">
        <v>443</v>
      </c>
      <c r="CZ509" s="0" t="s">
        <v>5548</v>
      </c>
      <c r="DA509" s="0" t="s">
        <v>5549</v>
      </c>
      <c r="DB509" s="0" t="s">
        <v>5547</v>
      </c>
      <c r="DC509" s="0" t="s">
        <v>384</v>
      </c>
      <c r="DD509" s="0" t="s">
        <v>291</v>
      </c>
      <c r="DE509" s="0" t="s">
        <v>6115</v>
      </c>
    </row>
    <row customHeight="1" ht="11.25">
      <c r="A510" s="1441" t="s">
        <v>240</v>
      </c>
      <c r="B510" s="0" t="s">
        <v>240</v>
      </c>
      <c r="C510" s="0" t="s">
        <v>240</v>
      </c>
      <c r="D510" s="0" t="s">
        <v>240</v>
      </c>
      <c r="E510" s="0" t="s">
        <v>240</v>
      </c>
      <c r="F510" s="0" t="s">
        <v>240</v>
      </c>
      <c r="G510" s="0" t="s">
        <v>240</v>
      </c>
      <c r="H510" s="0" t="s">
        <v>240</v>
      </c>
      <c r="I510" s="0" t="s">
        <v>5484</v>
      </c>
      <c r="J510" s="0" t="s">
        <v>240</v>
      </c>
      <c r="K510" s="0" t="s">
        <v>240</v>
      </c>
      <c r="L510" s="0" t="s">
        <v>240</v>
      </c>
      <c r="M510" s="0" t="s">
        <v>240</v>
      </c>
      <c r="N510" s="0" t="s">
        <v>240</v>
      </c>
      <c r="O510" s="0" t="s">
        <v>240</v>
      </c>
      <c r="P510" s="0" t="s">
        <v>240</v>
      </c>
      <c r="Q510" s="0" t="s">
        <v>240</v>
      </c>
      <c r="R510" s="0" t="s">
        <v>5572</v>
      </c>
      <c r="S510" s="0" t="s">
        <v>240</v>
      </c>
      <c r="T510" s="0" t="s">
        <v>240</v>
      </c>
      <c r="U510" s="0" t="s">
        <v>102</v>
      </c>
      <c r="V510" s="0" t="s">
        <v>240</v>
      </c>
      <c r="W510" s="0" t="s">
        <v>240</v>
      </c>
      <c r="X510" s="0" t="s">
        <v>5485</v>
      </c>
      <c r="Y510" s="0" t="s">
        <v>240</v>
      </c>
      <c r="Z510" s="0" t="s">
        <v>161</v>
      </c>
      <c r="AA510" s="0" t="s">
        <v>152</v>
      </c>
      <c r="AB510" s="0" t="s">
        <v>152</v>
      </c>
      <c r="AC510" s="0" t="s">
        <v>2991</v>
      </c>
      <c r="AD510" s="0" t="s">
        <v>2991</v>
      </c>
      <c r="AE510" s="0" t="s">
        <v>2992</v>
      </c>
      <c r="AF510" s="0" t="s">
        <v>6713</v>
      </c>
      <c r="AG510" s="0" t="s">
        <v>6714</v>
      </c>
      <c r="AH510" s="0" t="s">
        <v>6716</v>
      </c>
      <c r="AI510" s="0" t="s">
        <v>5575</v>
      </c>
      <c r="AJ510" s="0" t="s">
        <v>5504</v>
      </c>
      <c r="AK510" s="0" t="s">
        <v>5672</v>
      </c>
      <c r="AL510" s="0" t="s">
        <v>5506</v>
      </c>
      <c r="AM510" s="0" t="s">
        <v>5493</v>
      </c>
      <c r="AN510" s="0" t="s">
        <v>5553</v>
      </c>
      <c r="AO510" s="0" t="s">
        <v>6717</v>
      </c>
      <c r="AP510" s="0" t="s">
        <v>240</v>
      </c>
      <c r="AQ510" s="0" t="s">
        <v>240</v>
      </c>
      <c r="AR510" s="0" t="s">
        <v>240</v>
      </c>
      <c r="AS510" s="0" t="s">
        <v>240</v>
      </c>
      <c r="AT510" s="0" t="s">
        <v>240</v>
      </c>
      <c r="AU510" s="0" t="s">
        <v>240</v>
      </c>
      <c r="AV510" s="0" t="s">
        <v>240</v>
      </c>
      <c r="AW510" s="0" t="s">
        <v>240</v>
      </c>
      <c r="AX510" s="0" t="s">
        <v>240</v>
      </c>
      <c r="AY510" s="0" t="s">
        <v>240</v>
      </c>
      <c r="AZ510" s="0" t="s">
        <v>240</v>
      </c>
      <c r="BA510" s="0" t="s">
        <v>240</v>
      </c>
      <c r="BB510" s="0" t="s">
        <v>240</v>
      </c>
      <c r="BC510" s="0" t="s">
        <v>240</v>
      </c>
      <c r="BD510" s="0" t="s">
        <v>240</v>
      </c>
      <c r="BE510" s="0" t="s">
        <v>240</v>
      </c>
      <c r="BF510" s="0" t="s">
        <v>240</v>
      </c>
      <c r="BG510" s="0" t="s">
        <v>240</v>
      </c>
      <c r="BH510" s="0" t="s">
        <v>240</v>
      </c>
      <c r="BI510" s="0" t="s">
        <v>240</v>
      </c>
      <c r="BJ510" s="0" t="s">
        <v>240</v>
      </c>
      <c r="BK510" s="0" t="s">
        <v>240</v>
      </c>
      <c r="BL510" s="0" t="s">
        <v>240</v>
      </c>
      <c r="BM510" s="0" t="s">
        <v>240</v>
      </c>
      <c r="BN510" s="0" t="s">
        <v>240</v>
      </c>
      <c r="BO510" s="0" t="s">
        <v>240</v>
      </c>
      <c r="BP510" s="0" t="s">
        <v>240</v>
      </c>
      <c r="BQ510" s="0" t="s">
        <v>240</v>
      </c>
      <c r="BR510" s="0" t="s">
        <v>240</v>
      </c>
      <c r="BS510" s="0" t="s">
        <v>240</v>
      </c>
      <c r="BT510" s="0" t="s">
        <v>240</v>
      </c>
      <c r="BU510" s="0" t="s">
        <v>240</v>
      </c>
      <c r="BV510" s="0" t="s">
        <v>240</v>
      </c>
      <c r="BW510" s="0" t="s">
        <v>240</v>
      </c>
      <c r="BX510" s="0" t="s">
        <v>240</v>
      </c>
      <c r="BY510" s="0" t="s">
        <v>240</v>
      </c>
      <c r="BZ510" s="0" t="s">
        <v>240</v>
      </c>
      <c r="CA510" s="0" t="s">
        <v>240</v>
      </c>
      <c r="CB510" s="0" t="s">
        <v>240</v>
      </c>
      <c r="CC510" s="0" t="s">
        <v>240</v>
      </c>
      <c r="CD510" s="0" t="s">
        <v>240</v>
      </c>
      <c r="CE510" s="0" t="s">
        <v>240</v>
      </c>
      <c r="CF510" s="0" t="s">
        <v>240</v>
      </c>
      <c r="CG510" s="0" t="s">
        <v>240</v>
      </c>
      <c r="CH510" s="0" t="s">
        <v>240</v>
      </c>
      <c r="CI510" s="0" t="s">
        <v>240</v>
      </c>
      <c r="CJ510" s="0" t="s">
        <v>240</v>
      </c>
      <c r="CK510" s="0" t="s">
        <v>240</v>
      </c>
      <c r="CL510" s="0" t="s">
        <v>240</v>
      </c>
      <c r="CM510" s="0" t="s">
        <v>240</v>
      </c>
      <c r="CN510" s="0" t="s">
        <v>240</v>
      </c>
      <c r="CO510" s="0" t="s">
        <v>240</v>
      </c>
      <c r="CP510" s="0" t="s">
        <v>240</v>
      </c>
      <c r="CQ510" s="0" t="s">
        <v>240</v>
      </c>
      <c r="CR510" s="0" t="s">
        <v>240</v>
      </c>
      <c r="CS510" s="0" t="s">
        <v>240</v>
      </c>
      <c r="CT510" s="0" t="s">
        <v>5496</v>
      </c>
      <c r="CU510" s="0" t="s">
        <v>5497</v>
      </c>
      <c r="CV510" s="0" t="s">
        <v>443</v>
      </c>
      <c r="CW510" s="0" t="s">
        <v>5547</v>
      </c>
      <c r="CX510" s="0" t="s">
        <v>229</v>
      </c>
      <c r="CY510" s="0" t="s">
        <v>443</v>
      </c>
      <c r="CZ510" s="0" t="s">
        <v>5548</v>
      </c>
      <c r="DA510" s="0" t="s">
        <v>5549</v>
      </c>
      <c r="DB510" s="0" t="s">
        <v>5547</v>
      </c>
      <c r="DC510" s="0" t="s">
        <v>384</v>
      </c>
      <c r="DD510" s="0" t="s">
        <v>291</v>
      </c>
      <c r="DE510" s="0" t="s">
        <v>6718</v>
      </c>
    </row>
    <row customHeight="1" ht="11.25">
      <c r="A511" s="1441" t="s">
        <v>240</v>
      </c>
      <c r="B511" s="0" t="s">
        <v>240</v>
      </c>
      <c r="C511" s="0" t="s">
        <v>240</v>
      </c>
      <c r="D511" s="0" t="s">
        <v>240</v>
      </c>
      <c r="E511" s="0" t="s">
        <v>240</v>
      </c>
      <c r="F511" s="0" t="s">
        <v>240</v>
      </c>
      <c r="G511" s="0" t="s">
        <v>240</v>
      </c>
      <c r="H511" s="0" t="s">
        <v>240</v>
      </c>
      <c r="I511" s="0" t="s">
        <v>5484</v>
      </c>
      <c r="J511" s="0" t="s">
        <v>240</v>
      </c>
      <c r="K511" s="0" t="s">
        <v>240</v>
      </c>
      <c r="L511" s="0" t="s">
        <v>240</v>
      </c>
      <c r="M511" s="0" t="s">
        <v>240</v>
      </c>
      <c r="N511" s="0" t="s">
        <v>240</v>
      </c>
      <c r="O511" s="0" t="s">
        <v>240</v>
      </c>
      <c r="P511" s="0" t="s">
        <v>240</v>
      </c>
      <c r="Q511" s="0" t="s">
        <v>240</v>
      </c>
      <c r="R511" s="0" t="s">
        <v>6922</v>
      </c>
      <c r="S511" s="0" t="s">
        <v>240</v>
      </c>
      <c r="T511" s="0" t="s">
        <v>240</v>
      </c>
      <c r="U511" s="0" t="s">
        <v>102</v>
      </c>
      <c r="V511" s="0" t="s">
        <v>240</v>
      </c>
      <c r="W511" s="0" t="s">
        <v>240</v>
      </c>
      <c r="X511" s="0" t="s">
        <v>5585</v>
      </c>
      <c r="Y511" s="0" t="s">
        <v>240</v>
      </c>
      <c r="Z511" s="0" t="s">
        <v>152</v>
      </c>
      <c r="AA511" s="0" t="s">
        <v>152</v>
      </c>
      <c r="AB511" s="0" t="s">
        <v>161</v>
      </c>
      <c r="AC511" s="0" t="s">
        <v>2991</v>
      </c>
      <c r="AD511" s="0" t="s">
        <v>2991</v>
      </c>
      <c r="AE511" s="0" t="s">
        <v>2992</v>
      </c>
      <c r="AF511" s="0" t="s">
        <v>6713</v>
      </c>
      <c r="AG511" s="0" t="s">
        <v>6714</v>
      </c>
      <c r="AH511" s="0" t="s">
        <v>5575</v>
      </c>
      <c r="AI511" s="0" t="s">
        <v>5575</v>
      </c>
      <c r="AJ511" s="0" t="s">
        <v>240</v>
      </c>
      <c r="AK511" s="0" t="s">
        <v>240</v>
      </c>
      <c r="AL511" s="0" t="s">
        <v>240</v>
      </c>
      <c r="AM511" s="0" t="s">
        <v>240</v>
      </c>
      <c r="AN511" s="0" t="s">
        <v>240</v>
      </c>
      <c r="AO511" s="0" t="s">
        <v>240</v>
      </c>
      <c r="AP511" s="0" t="s">
        <v>240</v>
      </c>
      <c r="AQ511" s="0" t="s">
        <v>240</v>
      </c>
      <c r="AR511" s="0" t="s">
        <v>240</v>
      </c>
      <c r="AS511" s="0" t="s">
        <v>240</v>
      </c>
      <c r="AT511" s="0" t="s">
        <v>240</v>
      </c>
      <c r="AU511" s="0" t="s">
        <v>240</v>
      </c>
      <c r="AV511" s="0" t="s">
        <v>240</v>
      </c>
      <c r="AW511" s="0" t="s">
        <v>240</v>
      </c>
      <c r="AX511" s="0" t="s">
        <v>240</v>
      </c>
      <c r="AY511" s="0" t="s">
        <v>240</v>
      </c>
      <c r="AZ511" s="0" t="s">
        <v>240</v>
      </c>
      <c r="BA511" s="0" t="s">
        <v>240</v>
      </c>
      <c r="BB511" s="0" t="s">
        <v>240</v>
      </c>
      <c r="BC511" s="0" t="s">
        <v>240</v>
      </c>
      <c r="BD511" s="0" t="s">
        <v>240</v>
      </c>
      <c r="BE511" s="0" t="s">
        <v>5576</v>
      </c>
      <c r="BF511" s="0" t="s">
        <v>5544</v>
      </c>
      <c r="BG511" s="0" t="s">
        <v>112</v>
      </c>
      <c r="BH511" s="0" t="s">
        <v>5589</v>
      </c>
      <c r="BI511" s="0" t="s">
        <v>123</v>
      </c>
      <c r="BJ511" s="0" t="s">
        <v>240</v>
      </c>
      <c r="BK511" s="0" t="s">
        <v>5608</v>
      </c>
      <c r="BL511" s="0" t="s">
        <v>2991</v>
      </c>
      <c r="BM511" s="0" t="s">
        <v>2991</v>
      </c>
      <c r="BN511" s="0" t="s">
        <v>5663</v>
      </c>
      <c r="BO511" s="0" t="s">
        <v>6713</v>
      </c>
      <c r="BP511" s="0" t="s">
        <v>6923</v>
      </c>
      <c r="BQ511" s="0" t="s">
        <v>5575</v>
      </c>
      <c r="BR511" s="0" t="s">
        <v>5575</v>
      </c>
      <c r="BS511" s="0" t="s">
        <v>240</v>
      </c>
      <c r="BT511" s="0" t="s">
        <v>5650</v>
      </c>
      <c r="BU511" s="0" t="s">
        <v>6924</v>
      </c>
      <c r="BV511" s="0" t="s">
        <v>6924</v>
      </c>
      <c r="BW511" s="0" t="s">
        <v>5598</v>
      </c>
      <c r="BX511" s="0" t="s">
        <v>5598</v>
      </c>
      <c r="BY511" s="0" t="s">
        <v>5598</v>
      </c>
      <c r="BZ511" s="0" t="s">
        <v>5598</v>
      </c>
      <c r="CA511" s="0" t="s">
        <v>5598</v>
      </c>
      <c r="CB511" s="0" t="s">
        <v>240</v>
      </c>
      <c r="CC511" s="0" t="s">
        <v>240</v>
      </c>
      <c r="CD511" s="0" t="s">
        <v>240</v>
      </c>
      <c r="CE511" s="0" t="s">
        <v>240</v>
      </c>
      <c r="CF511" s="0" t="s">
        <v>240</v>
      </c>
      <c r="CG511" s="0" t="s">
        <v>5598</v>
      </c>
      <c r="CH511" s="0" t="s">
        <v>240</v>
      </c>
      <c r="CI511" s="0" t="s">
        <v>240</v>
      </c>
      <c r="CJ511" s="0" t="s">
        <v>240</v>
      </c>
      <c r="CK511" s="0" t="s">
        <v>240</v>
      </c>
      <c r="CL511" s="0" t="s">
        <v>240</v>
      </c>
      <c r="CM511" s="0" t="s">
        <v>6924</v>
      </c>
      <c r="CN511" s="0" t="s">
        <v>6924</v>
      </c>
      <c r="CO511" s="0" t="s">
        <v>240</v>
      </c>
      <c r="CP511" s="0" t="s">
        <v>240</v>
      </c>
      <c r="CQ511" s="0" t="s">
        <v>240</v>
      </c>
      <c r="CR511" s="0" t="s">
        <v>240</v>
      </c>
      <c r="CS511" s="0" t="s">
        <v>5666</v>
      </c>
      <c r="CT511" s="0" t="s">
        <v>5496</v>
      </c>
      <c r="CU511" s="0" t="s">
        <v>5497</v>
      </c>
      <c r="CV511" s="0" t="s">
        <v>443</v>
      </c>
      <c r="CW511" s="0" t="s">
        <v>5547</v>
      </c>
      <c r="CX511" s="0" t="s">
        <v>229</v>
      </c>
      <c r="CY511" s="0" t="s">
        <v>443</v>
      </c>
      <c r="CZ511" s="0" t="s">
        <v>5548</v>
      </c>
      <c r="DA511" s="0" t="s">
        <v>5549</v>
      </c>
      <c r="DB511" s="0" t="s">
        <v>5547</v>
      </c>
      <c r="DC511" s="0" t="s">
        <v>384</v>
      </c>
      <c r="DD511" s="0" t="s">
        <v>291</v>
      </c>
      <c r="DE511" s="0" t="s">
        <v>6925</v>
      </c>
    </row>
    <row customHeight="1" ht="11.25">
      <c r="A512" s="1441" t="s">
        <v>240</v>
      </c>
      <c r="B512" s="0" t="s">
        <v>240</v>
      </c>
      <c r="C512" s="0" t="s">
        <v>240</v>
      </c>
      <c r="D512" s="0" t="s">
        <v>240</v>
      </c>
      <c r="E512" s="0" t="s">
        <v>240</v>
      </c>
      <c r="F512" s="0" t="s">
        <v>240</v>
      </c>
      <c r="G512" s="0" t="s">
        <v>240</v>
      </c>
      <c r="H512" s="0" t="s">
        <v>240</v>
      </c>
      <c r="I512" s="0" t="s">
        <v>5484</v>
      </c>
      <c r="J512" s="0" t="s">
        <v>240</v>
      </c>
      <c r="K512" s="0" t="s">
        <v>240</v>
      </c>
      <c r="L512" s="0" t="s">
        <v>240</v>
      </c>
      <c r="M512" s="0" t="s">
        <v>240</v>
      </c>
      <c r="N512" s="0" t="s">
        <v>240</v>
      </c>
      <c r="O512" s="0" t="s">
        <v>240</v>
      </c>
      <c r="P512" s="0" t="s">
        <v>240</v>
      </c>
      <c r="Q512" s="0" t="s">
        <v>240</v>
      </c>
      <c r="R512" s="0" t="s">
        <v>5572</v>
      </c>
      <c r="S512" s="0" t="s">
        <v>240</v>
      </c>
      <c r="T512" s="0" t="s">
        <v>240</v>
      </c>
      <c r="U512" s="0" t="s">
        <v>102</v>
      </c>
      <c r="V512" s="0" t="s">
        <v>240</v>
      </c>
      <c r="W512" s="0" t="s">
        <v>240</v>
      </c>
      <c r="X512" s="0" t="s">
        <v>5485</v>
      </c>
      <c r="Y512" s="0" t="s">
        <v>240</v>
      </c>
      <c r="Z512" s="0" t="s">
        <v>161</v>
      </c>
      <c r="AA512" s="0" t="s">
        <v>152</v>
      </c>
      <c r="AB512" s="0" t="s">
        <v>152</v>
      </c>
      <c r="AC512" s="0" t="s">
        <v>2991</v>
      </c>
      <c r="AD512" s="0" t="s">
        <v>2991</v>
      </c>
      <c r="AE512" s="0" t="s">
        <v>2992</v>
      </c>
      <c r="AF512" s="0" t="s">
        <v>6713</v>
      </c>
      <c r="AG512" s="0" t="s">
        <v>6714</v>
      </c>
      <c r="AH512" s="0" t="s">
        <v>6120</v>
      </c>
      <c r="AI512" s="0" t="s">
        <v>5575</v>
      </c>
      <c r="AJ512" s="0" t="s">
        <v>5504</v>
      </c>
      <c r="AK512" s="0" t="s">
        <v>5544</v>
      </c>
      <c r="AL512" s="0" t="s">
        <v>5506</v>
      </c>
      <c r="AM512" s="0" t="s">
        <v>5493</v>
      </c>
      <c r="AN512" s="0" t="s">
        <v>5545</v>
      </c>
      <c r="AO512" s="0" t="s">
        <v>5508</v>
      </c>
      <c r="AP512" s="0" t="s">
        <v>240</v>
      </c>
      <c r="AQ512" s="0" t="s">
        <v>240</v>
      </c>
      <c r="AR512" s="0" t="s">
        <v>240</v>
      </c>
      <c r="AS512" s="0" t="s">
        <v>240</v>
      </c>
      <c r="AT512" s="0" t="s">
        <v>240</v>
      </c>
      <c r="AU512" s="0" t="s">
        <v>240</v>
      </c>
      <c r="AV512" s="0" t="s">
        <v>240</v>
      </c>
      <c r="AW512" s="0" t="s">
        <v>240</v>
      </c>
      <c r="AX512" s="0" t="s">
        <v>240</v>
      </c>
      <c r="AY512" s="0" t="s">
        <v>240</v>
      </c>
      <c r="AZ512" s="0" t="s">
        <v>240</v>
      </c>
      <c r="BA512" s="0" t="s">
        <v>240</v>
      </c>
      <c r="BB512" s="0" t="s">
        <v>240</v>
      </c>
      <c r="BC512" s="0" t="s">
        <v>240</v>
      </c>
      <c r="BD512" s="0" t="s">
        <v>240</v>
      </c>
      <c r="BE512" s="0" t="s">
        <v>240</v>
      </c>
      <c r="BF512" s="0" t="s">
        <v>240</v>
      </c>
      <c r="BG512" s="0" t="s">
        <v>240</v>
      </c>
      <c r="BH512" s="0" t="s">
        <v>240</v>
      </c>
      <c r="BI512" s="0" t="s">
        <v>240</v>
      </c>
      <c r="BJ512" s="0" t="s">
        <v>240</v>
      </c>
      <c r="BK512" s="0" t="s">
        <v>240</v>
      </c>
      <c r="BL512" s="0" t="s">
        <v>240</v>
      </c>
      <c r="BM512" s="0" t="s">
        <v>240</v>
      </c>
      <c r="BN512" s="0" t="s">
        <v>240</v>
      </c>
      <c r="BO512" s="0" t="s">
        <v>240</v>
      </c>
      <c r="BP512" s="0" t="s">
        <v>240</v>
      </c>
      <c r="BQ512" s="0" t="s">
        <v>240</v>
      </c>
      <c r="BR512" s="0" t="s">
        <v>240</v>
      </c>
      <c r="BS512" s="0" t="s">
        <v>240</v>
      </c>
      <c r="BT512" s="0" t="s">
        <v>240</v>
      </c>
      <c r="BU512" s="0" t="s">
        <v>240</v>
      </c>
      <c r="BV512" s="0" t="s">
        <v>240</v>
      </c>
      <c r="BW512" s="0" t="s">
        <v>240</v>
      </c>
      <c r="BX512" s="0" t="s">
        <v>240</v>
      </c>
      <c r="BY512" s="0" t="s">
        <v>240</v>
      </c>
      <c r="BZ512" s="0" t="s">
        <v>240</v>
      </c>
      <c r="CA512" s="0" t="s">
        <v>240</v>
      </c>
      <c r="CB512" s="0" t="s">
        <v>240</v>
      </c>
      <c r="CC512" s="0" t="s">
        <v>240</v>
      </c>
      <c r="CD512" s="0" t="s">
        <v>240</v>
      </c>
      <c r="CE512" s="0" t="s">
        <v>240</v>
      </c>
      <c r="CF512" s="0" t="s">
        <v>240</v>
      </c>
      <c r="CG512" s="0" t="s">
        <v>240</v>
      </c>
      <c r="CH512" s="0" t="s">
        <v>240</v>
      </c>
      <c r="CI512" s="0" t="s">
        <v>240</v>
      </c>
      <c r="CJ512" s="0" t="s">
        <v>240</v>
      </c>
      <c r="CK512" s="0" t="s">
        <v>240</v>
      </c>
      <c r="CL512" s="0" t="s">
        <v>240</v>
      </c>
      <c r="CM512" s="0" t="s">
        <v>240</v>
      </c>
      <c r="CN512" s="0" t="s">
        <v>240</v>
      </c>
      <c r="CO512" s="0" t="s">
        <v>240</v>
      </c>
      <c r="CP512" s="0" t="s">
        <v>240</v>
      </c>
      <c r="CQ512" s="0" t="s">
        <v>240</v>
      </c>
      <c r="CR512" s="0" t="s">
        <v>240</v>
      </c>
      <c r="CS512" s="0" t="s">
        <v>240</v>
      </c>
      <c r="CT512" s="0" t="s">
        <v>5496</v>
      </c>
      <c r="CU512" s="0" t="s">
        <v>5497</v>
      </c>
      <c r="CV512" s="0" t="s">
        <v>443</v>
      </c>
      <c r="CW512" s="0" t="s">
        <v>5547</v>
      </c>
      <c r="CX512" s="0" t="s">
        <v>229</v>
      </c>
      <c r="CY512" s="0" t="s">
        <v>443</v>
      </c>
      <c r="CZ512" s="0" t="s">
        <v>5548</v>
      </c>
      <c r="DA512" s="0" t="s">
        <v>5549</v>
      </c>
      <c r="DB512" s="0" t="s">
        <v>5547</v>
      </c>
      <c r="DC512" s="0" t="s">
        <v>384</v>
      </c>
      <c r="DD512" s="0" t="s">
        <v>291</v>
      </c>
      <c r="DE512" s="0" t="s">
        <v>6926</v>
      </c>
    </row>
    <row customHeight="1" ht="11.25">
      <c r="A513" s="1441" t="s">
        <v>240</v>
      </c>
      <c r="B513" s="0" t="s">
        <v>240</v>
      </c>
      <c r="C513" s="0" t="s">
        <v>240</v>
      </c>
      <c r="D513" s="0" t="s">
        <v>240</v>
      </c>
      <c r="E513" s="0" t="s">
        <v>240</v>
      </c>
      <c r="F513" s="0" t="s">
        <v>240</v>
      </c>
      <c r="G513" s="0" t="s">
        <v>240</v>
      </c>
      <c r="H513" s="0" t="s">
        <v>240</v>
      </c>
      <c r="I513" s="0" t="s">
        <v>5484</v>
      </c>
      <c r="J513" s="0" t="s">
        <v>240</v>
      </c>
      <c r="K513" s="0" t="s">
        <v>240</v>
      </c>
      <c r="L513" s="0" t="s">
        <v>240</v>
      </c>
      <c r="M513" s="0" t="s">
        <v>240</v>
      </c>
      <c r="N513" s="0" t="s">
        <v>240</v>
      </c>
      <c r="O513" s="0" t="s">
        <v>240</v>
      </c>
      <c r="P513" s="0" t="s">
        <v>240</v>
      </c>
      <c r="Q513" s="0" t="s">
        <v>240</v>
      </c>
      <c r="R513" s="0" t="s">
        <v>6770</v>
      </c>
      <c r="S513" s="0" t="s">
        <v>240</v>
      </c>
      <c r="T513" s="0" t="s">
        <v>240</v>
      </c>
      <c r="U513" s="0" t="s">
        <v>102</v>
      </c>
      <c r="V513" s="0" t="s">
        <v>240</v>
      </c>
      <c r="W513" s="0" t="s">
        <v>240</v>
      </c>
      <c r="X513" s="0" t="s">
        <v>5585</v>
      </c>
      <c r="Y513" s="0" t="s">
        <v>240</v>
      </c>
      <c r="Z513" s="0" t="s">
        <v>152</v>
      </c>
      <c r="AA513" s="0" t="s">
        <v>152</v>
      </c>
      <c r="AB513" s="0" t="s">
        <v>161</v>
      </c>
      <c r="AC513" s="0" t="s">
        <v>2989</v>
      </c>
      <c r="AD513" s="0" t="s">
        <v>2989</v>
      </c>
      <c r="AE513" s="0" t="s">
        <v>2990</v>
      </c>
      <c r="AF513" s="0" t="s">
        <v>6719</v>
      </c>
      <c r="AG513" s="0" t="s">
        <v>6720</v>
      </c>
      <c r="AH513" s="0" t="s">
        <v>5575</v>
      </c>
      <c r="AI513" s="0" t="s">
        <v>5575</v>
      </c>
      <c r="AJ513" s="0" t="s">
        <v>240</v>
      </c>
      <c r="AK513" s="0" t="s">
        <v>240</v>
      </c>
      <c r="AL513" s="0" t="s">
        <v>240</v>
      </c>
      <c r="AM513" s="0" t="s">
        <v>240</v>
      </c>
      <c r="AN513" s="0" t="s">
        <v>240</v>
      </c>
      <c r="AO513" s="0" t="s">
        <v>240</v>
      </c>
      <c r="AP513" s="0" t="s">
        <v>240</v>
      </c>
      <c r="AQ513" s="0" t="s">
        <v>240</v>
      </c>
      <c r="AR513" s="0" t="s">
        <v>240</v>
      </c>
      <c r="AS513" s="0" t="s">
        <v>240</v>
      </c>
      <c r="AT513" s="0" t="s">
        <v>240</v>
      </c>
      <c r="AU513" s="0" t="s">
        <v>240</v>
      </c>
      <c r="AV513" s="0" t="s">
        <v>240</v>
      </c>
      <c r="AW513" s="0" t="s">
        <v>240</v>
      </c>
      <c r="AX513" s="0" t="s">
        <v>240</v>
      </c>
      <c r="AY513" s="0" t="s">
        <v>240</v>
      </c>
      <c r="AZ513" s="0" t="s">
        <v>240</v>
      </c>
      <c r="BA513" s="0" t="s">
        <v>240</v>
      </c>
      <c r="BB513" s="0" t="s">
        <v>240</v>
      </c>
      <c r="BC513" s="0" t="s">
        <v>240</v>
      </c>
      <c r="BD513" s="0" t="s">
        <v>240</v>
      </c>
      <c r="BE513" s="0" t="s">
        <v>6508</v>
      </c>
      <c r="BF513" s="0" t="s">
        <v>6407</v>
      </c>
      <c r="BG513" s="0" t="s">
        <v>112</v>
      </c>
      <c r="BH513" s="0" t="s">
        <v>5589</v>
      </c>
      <c r="BI513" s="0" t="s">
        <v>123</v>
      </c>
      <c r="BJ513" s="0" t="s">
        <v>240</v>
      </c>
      <c r="BK513" s="0" t="s">
        <v>5608</v>
      </c>
      <c r="BL513" s="0" t="s">
        <v>2989</v>
      </c>
      <c r="BM513" s="0" t="s">
        <v>2989</v>
      </c>
      <c r="BN513" s="0" t="s">
        <v>5798</v>
      </c>
      <c r="BO513" s="0" t="s">
        <v>6719</v>
      </c>
      <c r="BP513" s="0" t="s">
        <v>6771</v>
      </c>
      <c r="BQ513" s="0" t="s">
        <v>5575</v>
      </c>
      <c r="BR513" s="0" t="s">
        <v>5575</v>
      </c>
      <c r="BS513" s="0" t="s">
        <v>240</v>
      </c>
      <c r="BT513" s="0" t="s">
        <v>5650</v>
      </c>
      <c r="BU513" s="0" t="s">
        <v>6772</v>
      </c>
      <c r="BV513" s="0" t="s">
        <v>6772</v>
      </c>
      <c r="BW513" s="0" t="s">
        <v>5598</v>
      </c>
      <c r="BX513" s="0" t="s">
        <v>5598</v>
      </c>
      <c r="BY513" s="0" t="s">
        <v>5598</v>
      </c>
      <c r="BZ513" s="0" t="s">
        <v>5598</v>
      </c>
      <c r="CA513" s="0" t="s">
        <v>5598</v>
      </c>
      <c r="CB513" s="0" t="s">
        <v>240</v>
      </c>
      <c r="CC513" s="0" t="s">
        <v>240</v>
      </c>
      <c r="CD513" s="0" t="s">
        <v>240</v>
      </c>
      <c r="CE513" s="0" t="s">
        <v>240</v>
      </c>
      <c r="CF513" s="0" t="s">
        <v>240</v>
      </c>
      <c r="CG513" s="0" t="s">
        <v>5598</v>
      </c>
      <c r="CH513" s="0" t="s">
        <v>240</v>
      </c>
      <c r="CI513" s="0" t="s">
        <v>240</v>
      </c>
      <c r="CJ513" s="0" t="s">
        <v>240</v>
      </c>
      <c r="CK513" s="0" t="s">
        <v>240</v>
      </c>
      <c r="CL513" s="0" t="s">
        <v>240</v>
      </c>
      <c r="CM513" s="0" t="s">
        <v>6772</v>
      </c>
      <c r="CN513" s="0" t="s">
        <v>6772</v>
      </c>
      <c r="CO513" s="0" t="s">
        <v>240</v>
      </c>
      <c r="CP513" s="0" t="s">
        <v>240</v>
      </c>
      <c r="CQ513" s="0" t="s">
        <v>240</v>
      </c>
      <c r="CR513" s="0" t="s">
        <v>240</v>
      </c>
      <c r="CS513" s="0" t="s">
        <v>5491</v>
      </c>
      <c r="CT513" s="0" t="s">
        <v>5496</v>
      </c>
      <c r="CU513" s="0" t="s">
        <v>5497</v>
      </c>
      <c r="CV513" s="0" t="s">
        <v>443</v>
      </c>
      <c r="CW513" s="0" t="s">
        <v>5580</v>
      </c>
      <c r="CX513" s="0" t="s">
        <v>229</v>
      </c>
      <c r="CY513" s="0" t="s">
        <v>443</v>
      </c>
      <c r="CZ513" s="0" t="s">
        <v>5581</v>
      </c>
      <c r="DA513" s="0" t="s">
        <v>5582</v>
      </c>
      <c r="DB513" s="0" t="s">
        <v>5580</v>
      </c>
      <c r="DC513" s="0" t="s">
        <v>384</v>
      </c>
      <c r="DD513" s="0" t="s">
        <v>291</v>
      </c>
      <c r="DE513" s="0" t="s">
        <v>6773</v>
      </c>
    </row>
    <row customHeight="1" ht="11.25">
      <c r="A514" s="1441" t="s">
        <v>240</v>
      </c>
      <c r="B514" s="0" t="s">
        <v>240</v>
      </c>
      <c r="C514" s="0" t="s">
        <v>240</v>
      </c>
      <c r="D514" s="0" t="s">
        <v>240</v>
      </c>
      <c r="E514" s="0" t="s">
        <v>240</v>
      </c>
      <c r="F514" s="0" t="s">
        <v>240</v>
      </c>
      <c r="G514" s="0" t="s">
        <v>240</v>
      </c>
      <c r="H514" s="0" t="s">
        <v>240</v>
      </c>
      <c r="I514" s="0" t="s">
        <v>5484</v>
      </c>
      <c r="J514" s="0" t="s">
        <v>240</v>
      </c>
      <c r="K514" s="0" t="s">
        <v>240</v>
      </c>
      <c r="L514" s="0" t="s">
        <v>240</v>
      </c>
      <c r="M514" s="0" t="s">
        <v>240</v>
      </c>
      <c r="N514" s="0" t="s">
        <v>240</v>
      </c>
      <c r="O514" s="0" t="s">
        <v>240</v>
      </c>
      <c r="P514" s="0" t="s">
        <v>240</v>
      </c>
      <c r="Q514" s="0" t="s">
        <v>240</v>
      </c>
      <c r="R514" s="0" t="s">
        <v>5572</v>
      </c>
      <c r="S514" s="0" t="s">
        <v>240</v>
      </c>
      <c r="T514" s="0" t="s">
        <v>240</v>
      </c>
      <c r="U514" s="0" t="s">
        <v>102</v>
      </c>
      <c r="V514" s="0" t="s">
        <v>240</v>
      </c>
      <c r="W514" s="0" t="s">
        <v>240</v>
      </c>
      <c r="X514" s="0" t="s">
        <v>5485</v>
      </c>
      <c r="Y514" s="0" t="s">
        <v>240</v>
      </c>
      <c r="Z514" s="0" t="s">
        <v>161</v>
      </c>
      <c r="AA514" s="0" t="s">
        <v>152</v>
      </c>
      <c r="AB514" s="0" t="s">
        <v>152</v>
      </c>
      <c r="AC514" s="0" t="s">
        <v>2989</v>
      </c>
      <c r="AD514" s="0" t="s">
        <v>2989</v>
      </c>
      <c r="AE514" s="0" t="s">
        <v>2990</v>
      </c>
      <c r="AF514" s="0" t="s">
        <v>6929</v>
      </c>
      <c r="AG514" s="0" t="s">
        <v>6930</v>
      </c>
      <c r="AH514" s="0" t="s">
        <v>5575</v>
      </c>
      <c r="AI514" s="0" t="s">
        <v>5575</v>
      </c>
      <c r="AJ514" s="0" t="s">
        <v>6508</v>
      </c>
      <c r="AK514" s="0" t="s">
        <v>5577</v>
      </c>
      <c r="AL514" s="0" t="s">
        <v>5506</v>
      </c>
      <c r="AM514" s="0" t="s">
        <v>5493</v>
      </c>
      <c r="AN514" s="0" t="s">
        <v>5578</v>
      </c>
      <c r="AO514" s="0" t="s">
        <v>5579</v>
      </c>
      <c r="AP514" s="0" t="s">
        <v>240</v>
      </c>
      <c r="AQ514" s="0" t="s">
        <v>240</v>
      </c>
      <c r="AR514" s="0" t="s">
        <v>240</v>
      </c>
      <c r="AS514" s="0" t="s">
        <v>240</v>
      </c>
      <c r="AT514" s="0" t="s">
        <v>240</v>
      </c>
      <c r="AU514" s="0" t="s">
        <v>240</v>
      </c>
      <c r="AV514" s="0" t="s">
        <v>240</v>
      </c>
      <c r="AW514" s="0" t="s">
        <v>240</v>
      </c>
      <c r="AX514" s="0" t="s">
        <v>240</v>
      </c>
      <c r="AY514" s="0" t="s">
        <v>240</v>
      </c>
      <c r="AZ514" s="0" t="s">
        <v>240</v>
      </c>
      <c r="BA514" s="0" t="s">
        <v>240</v>
      </c>
      <c r="BB514" s="0" t="s">
        <v>240</v>
      </c>
      <c r="BC514" s="0" t="s">
        <v>240</v>
      </c>
      <c r="BD514" s="0" t="s">
        <v>240</v>
      </c>
      <c r="BE514" s="0" t="s">
        <v>240</v>
      </c>
      <c r="BF514" s="0" t="s">
        <v>240</v>
      </c>
      <c r="BG514" s="0" t="s">
        <v>240</v>
      </c>
      <c r="BH514" s="0" t="s">
        <v>240</v>
      </c>
      <c r="BI514" s="0" t="s">
        <v>240</v>
      </c>
      <c r="BJ514" s="0" t="s">
        <v>240</v>
      </c>
      <c r="BK514" s="0" t="s">
        <v>240</v>
      </c>
      <c r="BL514" s="0" t="s">
        <v>240</v>
      </c>
      <c r="BM514" s="0" t="s">
        <v>240</v>
      </c>
      <c r="BN514" s="0" t="s">
        <v>240</v>
      </c>
      <c r="BO514" s="0" t="s">
        <v>240</v>
      </c>
      <c r="BP514" s="0" t="s">
        <v>240</v>
      </c>
      <c r="BQ514" s="0" t="s">
        <v>240</v>
      </c>
      <c r="BR514" s="0" t="s">
        <v>240</v>
      </c>
      <c r="BS514" s="0" t="s">
        <v>240</v>
      </c>
      <c r="BT514" s="0" t="s">
        <v>240</v>
      </c>
      <c r="BU514" s="0" t="s">
        <v>240</v>
      </c>
      <c r="BV514" s="0" t="s">
        <v>240</v>
      </c>
      <c r="BW514" s="0" t="s">
        <v>240</v>
      </c>
      <c r="BX514" s="0" t="s">
        <v>240</v>
      </c>
      <c r="BY514" s="0" t="s">
        <v>240</v>
      </c>
      <c r="BZ514" s="0" t="s">
        <v>240</v>
      </c>
      <c r="CA514" s="0" t="s">
        <v>240</v>
      </c>
      <c r="CB514" s="0" t="s">
        <v>240</v>
      </c>
      <c r="CC514" s="0" t="s">
        <v>240</v>
      </c>
      <c r="CD514" s="0" t="s">
        <v>240</v>
      </c>
      <c r="CE514" s="0" t="s">
        <v>240</v>
      </c>
      <c r="CF514" s="0" t="s">
        <v>240</v>
      </c>
      <c r="CG514" s="0" t="s">
        <v>240</v>
      </c>
      <c r="CH514" s="0" t="s">
        <v>240</v>
      </c>
      <c r="CI514" s="0" t="s">
        <v>240</v>
      </c>
      <c r="CJ514" s="0" t="s">
        <v>240</v>
      </c>
      <c r="CK514" s="0" t="s">
        <v>240</v>
      </c>
      <c r="CL514" s="0" t="s">
        <v>240</v>
      </c>
      <c r="CM514" s="0" t="s">
        <v>240</v>
      </c>
      <c r="CN514" s="0" t="s">
        <v>240</v>
      </c>
      <c r="CO514" s="0" t="s">
        <v>240</v>
      </c>
      <c r="CP514" s="0" t="s">
        <v>240</v>
      </c>
      <c r="CQ514" s="0" t="s">
        <v>240</v>
      </c>
      <c r="CR514" s="0" t="s">
        <v>240</v>
      </c>
      <c r="CS514" s="0" t="s">
        <v>240</v>
      </c>
      <c r="CT514" s="0" t="s">
        <v>5496</v>
      </c>
      <c r="CU514" s="0" t="s">
        <v>5497</v>
      </c>
      <c r="CV514" s="0" t="s">
        <v>443</v>
      </c>
      <c r="CW514" s="0" t="s">
        <v>5580</v>
      </c>
      <c r="CX514" s="0" t="s">
        <v>229</v>
      </c>
      <c r="CY514" s="0" t="s">
        <v>443</v>
      </c>
      <c r="CZ514" s="0" t="s">
        <v>5581</v>
      </c>
      <c r="DA514" s="0" t="s">
        <v>5582</v>
      </c>
      <c r="DB514" s="0" t="s">
        <v>5580</v>
      </c>
      <c r="DC514" s="0" t="s">
        <v>384</v>
      </c>
      <c r="DD514" s="0" t="s">
        <v>291</v>
      </c>
      <c r="DE514" s="0" t="s">
        <v>6931</v>
      </c>
    </row>
    <row customHeight="1" ht="11.25">
      <c r="A515" s="1441" t="s">
        <v>240</v>
      </c>
      <c r="B515" s="0" t="s">
        <v>240</v>
      </c>
      <c r="C515" s="0" t="s">
        <v>240</v>
      </c>
      <c r="D515" s="0" t="s">
        <v>240</v>
      </c>
      <c r="E515" s="0" t="s">
        <v>240</v>
      </c>
      <c r="F515" s="0" t="s">
        <v>240</v>
      </c>
      <c r="G515" s="0" t="s">
        <v>240</v>
      </c>
      <c r="H515" s="0" t="s">
        <v>240</v>
      </c>
      <c r="I515" s="0" t="s">
        <v>5484</v>
      </c>
      <c r="J515" s="0" t="s">
        <v>240</v>
      </c>
      <c r="K515" s="0" t="s">
        <v>240</v>
      </c>
      <c r="L515" s="0" t="s">
        <v>240</v>
      </c>
      <c r="M515" s="0" t="s">
        <v>240</v>
      </c>
      <c r="N515" s="0" t="s">
        <v>240</v>
      </c>
      <c r="O515" s="0" t="s">
        <v>240</v>
      </c>
      <c r="P515" s="0" t="s">
        <v>240</v>
      </c>
      <c r="Q515" s="0" t="s">
        <v>240</v>
      </c>
      <c r="R515" s="0" t="s">
        <v>6932</v>
      </c>
      <c r="S515" s="0" t="s">
        <v>240</v>
      </c>
      <c r="T515" s="0" t="s">
        <v>240</v>
      </c>
      <c r="U515" s="0" t="s">
        <v>102</v>
      </c>
      <c r="V515" s="0" t="s">
        <v>240</v>
      </c>
      <c r="W515" s="0" t="s">
        <v>240</v>
      </c>
      <c r="X515" s="0" t="s">
        <v>5585</v>
      </c>
      <c r="Y515" s="0" t="s">
        <v>240</v>
      </c>
      <c r="Z515" s="0" t="s">
        <v>152</v>
      </c>
      <c r="AA515" s="0" t="s">
        <v>152</v>
      </c>
      <c r="AB515" s="0" t="s">
        <v>161</v>
      </c>
      <c r="AC515" s="0" t="s">
        <v>2989</v>
      </c>
      <c r="AD515" s="0" t="s">
        <v>2989</v>
      </c>
      <c r="AE515" s="0" t="s">
        <v>2990</v>
      </c>
      <c r="AF515" s="0" t="s">
        <v>6929</v>
      </c>
      <c r="AG515" s="0" t="s">
        <v>6930</v>
      </c>
      <c r="AH515" s="0" t="s">
        <v>5575</v>
      </c>
      <c r="AI515" s="0" t="s">
        <v>5575</v>
      </c>
      <c r="AJ515" s="0" t="s">
        <v>240</v>
      </c>
      <c r="AK515" s="0" t="s">
        <v>240</v>
      </c>
      <c r="AL515" s="0" t="s">
        <v>240</v>
      </c>
      <c r="AM515" s="0" t="s">
        <v>240</v>
      </c>
      <c r="AN515" s="0" t="s">
        <v>240</v>
      </c>
      <c r="AO515" s="0" t="s">
        <v>240</v>
      </c>
      <c r="AP515" s="0" t="s">
        <v>240</v>
      </c>
      <c r="AQ515" s="0" t="s">
        <v>240</v>
      </c>
      <c r="AR515" s="0" t="s">
        <v>240</v>
      </c>
      <c r="AS515" s="0" t="s">
        <v>240</v>
      </c>
      <c r="AT515" s="0" t="s">
        <v>240</v>
      </c>
      <c r="AU515" s="0" t="s">
        <v>240</v>
      </c>
      <c r="AV515" s="0" t="s">
        <v>240</v>
      </c>
      <c r="AW515" s="0" t="s">
        <v>240</v>
      </c>
      <c r="AX515" s="0" t="s">
        <v>240</v>
      </c>
      <c r="AY515" s="0" t="s">
        <v>240</v>
      </c>
      <c r="AZ515" s="0" t="s">
        <v>240</v>
      </c>
      <c r="BA515" s="0" t="s">
        <v>240</v>
      </c>
      <c r="BB515" s="0" t="s">
        <v>240</v>
      </c>
      <c r="BC515" s="0" t="s">
        <v>240</v>
      </c>
      <c r="BD515" s="0" t="s">
        <v>240</v>
      </c>
      <c r="BE515" s="0" t="s">
        <v>6508</v>
      </c>
      <c r="BF515" s="0" t="s">
        <v>5577</v>
      </c>
      <c r="BG515" s="0" t="s">
        <v>112</v>
      </c>
      <c r="BH515" s="0" t="s">
        <v>5589</v>
      </c>
      <c r="BI515" s="0" t="s">
        <v>123</v>
      </c>
      <c r="BJ515" s="0" t="s">
        <v>240</v>
      </c>
      <c r="BK515" s="0" t="s">
        <v>5608</v>
      </c>
      <c r="BL515" s="0" t="s">
        <v>2989</v>
      </c>
      <c r="BM515" s="0" t="s">
        <v>2989</v>
      </c>
      <c r="BN515" s="0" t="s">
        <v>5798</v>
      </c>
      <c r="BO515" s="0" t="s">
        <v>6929</v>
      </c>
      <c r="BP515" s="0" t="s">
        <v>6933</v>
      </c>
      <c r="BQ515" s="0" t="s">
        <v>5575</v>
      </c>
      <c r="BR515" s="0" t="s">
        <v>5575</v>
      </c>
      <c r="BS515" s="0" t="s">
        <v>240</v>
      </c>
      <c r="BT515" s="0" t="s">
        <v>5650</v>
      </c>
      <c r="BU515" s="0" t="s">
        <v>6934</v>
      </c>
      <c r="BV515" s="0" t="s">
        <v>6934</v>
      </c>
      <c r="BW515" s="0" t="s">
        <v>5598</v>
      </c>
      <c r="BX515" s="0" t="s">
        <v>5598</v>
      </c>
      <c r="BY515" s="0" t="s">
        <v>5598</v>
      </c>
      <c r="BZ515" s="0" t="s">
        <v>5598</v>
      </c>
      <c r="CA515" s="0" t="s">
        <v>5598</v>
      </c>
      <c r="CB515" s="0" t="s">
        <v>240</v>
      </c>
      <c r="CC515" s="0" t="s">
        <v>240</v>
      </c>
      <c r="CD515" s="0" t="s">
        <v>240</v>
      </c>
      <c r="CE515" s="0" t="s">
        <v>240</v>
      </c>
      <c r="CF515" s="0" t="s">
        <v>240</v>
      </c>
      <c r="CG515" s="0" t="s">
        <v>5598</v>
      </c>
      <c r="CH515" s="0" t="s">
        <v>240</v>
      </c>
      <c r="CI515" s="0" t="s">
        <v>240</v>
      </c>
      <c r="CJ515" s="0" t="s">
        <v>240</v>
      </c>
      <c r="CK515" s="0" t="s">
        <v>240</v>
      </c>
      <c r="CL515" s="0" t="s">
        <v>240</v>
      </c>
      <c r="CM515" s="0" t="s">
        <v>6934</v>
      </c>
      <c r="CN515" s="0" t="s">
        <v>6934</v>
      </c>
      <c r="CO515" s="0" t="s">
        <v>240</v>
      </c>
      <c r="CP515" s="0" t="s">
        <v>240</v>
      </c>
      <c r="CQ515" s="0" t="s">
        <v>240</v>
      </c>
      <c r="CR515" s="0" t="s">
        <v>240</v>
      </c>
      <c r="CS515" s="0" t="s">
        <v>5491</v>
      </c>
      <c r="CT515" s="0" t="s">
        <v>5496</v>
      </c>
      <c r="CU515" s="0" t="s">
        <v>5497</v>
      </c>
      <c r="CV515" s="0" t="s">
        <v>443</v>
      </c>
      <c r="CW515" s="0" t="s">
        <v>5580</v>
      </c>
      <c r="CX515" s="0" t="s">
        <v>229</v>
      </c>
      <c r="CY515" s="0" t="s">
        <v>443</v>
      </c>
      <c r="CZ515" s="0" t="s">
        <v>5581</v>
      </c>
      <c r="DA515" s="0" t="s">
        <v>5582</v>
      </c>
      <c r="DB515" s="0" t="s">
        <v>5580</v>
      </c>
      <c r="DC515" s="0" t="s">
        <v>384</v>
      </c>
      <c r="DD515" s="0" t="s">
        <v>291</v>
      </c>
      <c r="DE515" s="0" t="s">
        <v>6931</v>
      </c>
    </row>
    <row customHeight="1" ht="11.25">
      <c r="A516" s="1441" t="s">
        <v>240</v>
      </c>
      <c r="B516" s="0" t="s">
        <v>240</v>
      </c>
      <c r="C516" s="0" t="s">
        <v>240</v>
      </c>
      <c r="D516" s="0" t="s">
        <v>240</v>
      </c>
      <c r="E516" s="0" t="s">
        <v>240</v>
      </c>
      <c r="F516" s="0" t="s">
        <v>240</v>
      </c>
      <c r="G516" s="0" t="s">
        <v>240</v>
      </c>
      <c r="H516" s="0" t="s">
        <v>240</v>
      </c>
      <c r="I516" s="0" t="s">
        <v>5484</v>
      </c>
      <c r="J516" s="0" t="s">
        <v>240</v>
      </c>
      <c r="K516" s="0" t="s">
        <v>240</v>
      </c>
      <c r="L516" s="0" t="s">
        <v>240</v>
      </c>
      <c r="M516" s="0" t="s">
        <v>240</v>
      </c>
      <c r="N516" s="0" t="s">
        <v>240</v>
      </c>
      <c r="O516" s="0" t="s">
        <v>240</v>
      </c>
      <c r="P516" s="0" t="s">
        <v>240</v>
      </c>
      <c r="Q516" s="0" t="s">
        <v>240</v>
      </c>
      <c r="R516" s="0" t="s">
        <v>449</v>
      </c>
      <c r="S516" s="0" t="s">
        <v>240</v>
      </c>
      <c r="T516" s="0" t="s">
        <v>240</v>
      </c>
      <c r="U516" s="0" t="s">
        <v>102</v>
      </c>
      <c r="V516" s="0" t="s">
        <v>240</v>
      </c>
      <c r="W516" s="0" t="s">
        <v>240</v>
      </c>
      <c r="X516" s="0" t="s">
        <v>5585</v>
      </c>
      <c r="Y516" s="0" t="s">
        <v>240</v>
      </c>
      <c r="Z516" s="0" t="s">
        <v>152</v>
      </c>
      <c r="AA516" s="0" t="s">
        <v>152</v>
      </c>
      <c r="AB516" s="0" t="s">
        <v>161</v>
      </c>
      <c r="AC516" s="0" t="s">
        <v>2985</v>
      </c>
      <c r="AD516" s="0" t="s">
        <v>2985</v>
      </c>
      <c r="AE516" s="0" t="s">
        <v>2986</v>
      </c>
      <c r="AF516" s="0" t="s">
        <v>5632</v>
      </c>
      <c r="AG516" s="0" t="s">
        <v>5633</v>
      </c>
      <c r="AH516" s="0" t="s">
        <v>5632</v>
      </c>
      <c r="AI516" s="0" t="s">
        <v>5644</v>
      </c>
      <c r="AJ516" s="0" t="s">
        <v>240</v>
      </c>
      <c r="AK516" s="0" t="s">
        <v>240</v>
      </c>
      <c r="AL516" s="0" t="s">
        <v>240</v>
      </c>
      <c r="AM516" s="0" t="s">
        <v>240</v>
      </c>
      <c r="AN516" s="0" t="s">
        <v>240</v>
      </c>
      <c r="AO516" s="0" t="s">
        <v>240</v>
      </c>
      <c r="AP516" s="0" t="s">
        <v>240</v>
      </c>
      <c r="AQ516" s="0" t="s">
        <v>240</v>
      </c>
      <c r="AR516" s="0" t="s">
        <v>240</v>
      </c>
      <c r="AS516" s="0" t="s">
        <v>240</v>
      </c>
      <c r="AT516" s="0" t="s">
        <v>240</v>
      </c>
      <c r="AU516" s="0" t="s">
        <v>240</v>
      </c>
      <c r="AV516" s="0" t="s">
        <v>240</v>
      </c>
      <c r="AW516" s="0" t="s">
        <v>240</v>
      </c>
      <c r="AX516" s="0" t="s">
        <v>240</v>
      </c>
      <c r="AY516" s="0" t="s">
        <v>240</v>
      </c>
      <c r="AZ516" s="0" t="s">
        <v>240</v>
      </c>
      <c r="BA516" s="0" t="s">
        <v>240</v>
      </c>
      <c r="BB516" s="0" t="s">
        <v>240</v>
      </c>
      <c r="BC516" s="0" t="s">
        <v>240</v>
      </c>
      <c r="BD516" s="0" t="s">
        <v>240</v>
      </c>
      <c r="BE516" s="0" t="s">
        <v>5645</v>
      </c>
      <c r="BF516" s="0" t="s">
        <v>5645</v>
      </c>
      <c r="BG516" s="0" t="s">
        <v>112</v>
      </c>
      <c r="BH516" s="0" t="s">
        <v>5589</v>
      </c>
      <c r="BI516" s="0" t="s">
        <v>123</v>
      </c>
      <c r="BJ516" s="0" t="s">
        <v>240</v>
      </c>
      <c r="BK516" s="0" t="s">
        <v>5608</v>
      </c>
      <c r="BL516" s="0" t="s">
        <v>2985</v>
      </c>
      <c r="BM516" s="0" t="s">
        <v>2985</v>
      </c>
      <c r="BN516" s="0" t="s">
        <v>5646</v>
      </c>
      <c r="BO516" s="0" t="s">
        <v>5632</v>
      </c>
      <c r="BP516" s="0" t="s">
        <v>6729</v>
      </c>
      <c r="BQ516" s="0" t="s">
        <v>5634</v>
      </c>
      <c r="BR516" s="0" t="s">
        <v>6730</v>
      </c>
      <c r="BS516" s="0" t="s">
        <v>240</v>
      </c>
      <c r="BT516" s="0" t="s">
        <v>5650</v>
      </c>
      <c r="BU516" s="0" t="s">
        <v>6731</v>
      </c>
      <c r="BV516" s="0" t="s">
        <v>6731</v>
      </c>
      <c r="BW516" s="0" t="s">
        <v>5598</v>
      </c>
      <c r="BX516" s="0" t="s">
        <v>5598</v>
      </c>
      <c r="BY516" s="0" t="s">
        <v>5598</v>
      </c>
      <c r="BZ516" s="0" t="s">
        <v>5598</v>
      </c>
      <c r="CA516" s="0" t="s">
        <v>5598</v>
      </c>
      <c r="CB516" s="0" t="s">
        <v>240</v>
      </c>
      <c r="CC516" s="0" t="s">
        <v>240</v>
      </c>
      <c r="CD516" s="0" t="s">
        <v>240</v>
      </c>
      <c r="CE516" s="0" t="s">
        <v>240</v>
      </c>
      <c r="CF516" s="0" t="s">
        <v>240</v>
      </c>
      <c r="CG516" s="0" t="s">
        <v>5598</v>
      </c>
      <c r="CH516" s="0" t="s">
        <v>240</v>
      </c>
      <c r="CI516" s="0" t="s">
        <v>240</v>
      </c>
      <c r="CJ516" s="0" t="s">
        <v>240</v>
      </c>
      <c r="CK516" s="0" t="s">
        <v>240</v>
      </c>
      <c r="CL516" s="0" t="s">
        <v>240</v>
      </c>
      <c r="CM516" s="0" t="s">
        <v>6731</v>
      </c>
      <c r="CN516" s="0" t="s">
        <v>6731</v>
      </c>
      <c r="CO516" s="0" t="s">
        <v>240</v>
      </c>
      <c r="CP516" s="0" t="s">
        <v>240</v>
      </c>
      <c r="CQ516" s="0" t="s">
        <v>240</v>
      </c>
      <c r="CR516" s="0" t="s">
        <v>240</v>
      </c>
      <c r="CS516" s="0" t="s">
        <v>5507</v>
      </c>
      <c r="CT516" s="0" t="s">
        <v>5496</v>
      </c>
      <c r="CU516" s="0" t="s">
        <v>5497</v>
      </c>
      <c r="CV516" s="0" t="s">
        <v>443</v>
      </c>
      <c r="CW516" s="0" t="s">
        <v>5509</v>
      </c>
      <c r="CX516" s="0" t="s">
        <v>229</v>
      </c>
      <c r="CY516" s="0" t="s">
        <v>443</v>
      </c>
      <c r="CZ516" s="0" t="s">
        <v>5510</v>
      </c>
      <c r="DA516" s="0" t="s">
        <v>5511</v>
      </c>
      <c r="DB516" s="0" t="s">
        <v>5509</v>
      </c>
      <c r="DC516" s="0" t="s">
        <v>384</v>
      </c>
      <c r="DD516" s="0" t="s">
        <v>291</v>
      </c>
      <c r="DE516" s="0" t="s">
        <v>6732</v>
      </c>
    </row>
    <row customHeight="1" ht="11.25">
      <c r="A517" s="1441" t="s">
        <v>240</v>
      </c>
      <c r="B517" s="0" t="s">
        <v>240</v>
      </c>
      <c r="C517" s="0" t="s">
        <v>240</v>
      </c>
      <c r="D517" s="0" t="s">
        <v>240</v>
      </c>
      <c r="E517" s="0" t="s">
        <v>240</v>
      </c>
      <c r="F517" s="0" t="s">
        <v>240</v>
      </c>
      <c r="G517" s="0" t="s">
        <v>240</v>
      </c>
      <c r="H517" s="0" t="s">
        <v>240</v>
      </c>
      <c r="I517" s="0" t="s">
        <v>5484</v>
      </c>
      <c r="J517" s="0" t="s">
        <v>240</v>
      </c>
      <c r="K517" s="0" t="s">
        <v>240</v>
      </c>
      <c r="L517" s="0" t="s">
        <v>240</v>
      </c>
      <c r="M517" s="0" t="s">
        <v>240</v>
      </c>
      <c r="N517" s="0" t="s">
        <v>240</v>
      </c>
      <c r="O517" s="0" t="s">
        <v>240</v>
      </c>
      <c r="P517" s="0" t="s">
        <v>240</v>
      </c>
      <c r="Q517" s="0" t="s">
        <v>240</v>
      </c>
      <c r="R517" s="0" t="s">
        <v>6980</v>
      </c>
      <c r="S517" s="0" t="s">
        <v>240</v>
      </c>
      <c r="T517" s="0" t="s">
        <v>240</v>
      </c>
      <c r="U517" s="0" t="s">
        <v>102</v>
      </c>
      <c r="V517" s="0" t="s">
        <v>240</v>
      </c>
      <c r="W517" s="0" t="s">
        <v>240</v>
      </c>
      <c r="X517" s="0" t="s">
        <v>5485</v>
      </c>
      <c r="Y517" s="0" t="s">
        <v>240</v>
      </c>
      <c r="Z517" s="0" t="s">
        <v>161</v>
      </c>
      <c r="AA517" s="0" t="s">
        <v>152</v>
      </c>
      <c r="AB517" s="0" t="s">
        <v>152</v>
      </c>
      <c r="AC517" s="0" t="s">
        <v>3389</v>
      </c>
      <c r="AD517" s="0" t="s">
        <v>3389</v>
      </c>
      <c r="AE517" s="0" t="s">
        <v>3390</v>
      </c>
      <c r="AF517" s="0" t="s">
        <v>5519</v>
      </c>
      <c r="AG517" s="0" t="s">
        <v>5520</v>
      </c>
      <c r="AH517" s="0" t="s">
        <v>5628</v>
      </c>
      <c r="AI517" s="0" t="s">
        <v>5533</v>
      </c>
      <c r="AJ517" s="0" t="s">
        <v>5603</v>
      </c>
      <c r="AK517" s="0" t="s">
        <v>5629</v>
      </c>
      <c r="AL517" s="0" t="s">
        <v>5524</v>
      </c>
      <c r="AM517" s="0" t="s">
        <v>5493</v>
      </c>
      <c r="AN517" s="0" t="s">
        <v>5630</v>
      </c>
      <c r="AO517" s="0" t="s">
        <v>5606</v>
      </c>
      <c r="AP517" s="0" t="s">
        <v>240</v>
      </c>
      <c r="AQ517" s="0" t="s">
        <v>240</v>
      </c>
      <c r="AR517" s="0" t="s">
        <v>240</v>
      </c>
      <c r="AS517" s="0" t="s">
        <v>240</v>
      </c>
      <c r="AT517" s="0" t="s">
        <v>240</v>
      </c>
      <c r="AU517" s="0" t="s">
        <v>240</v>
      </c>
      <c r="AV517" s="0" t="s">
        <v>240</v>
      </c>
      <c r="AW517" s="0" t="s">
        <v>240</v>
      </c>
      <c r="AX517" s="0" t="s">
        <v>240</v>
      </c>
      <c r="AY517" s="0" t="s">
        <v>240</v>
      </c>
      <c r="AZ517" s="0" t="s">
        <v>240</v>
      </c>
      <c r="BA517" s="0" t="s">
        <v>240</v>
      </c>
      <c r="BB517" s="0" t="s">
        <v>240</v>
      </c>
      <c r="BC517" s="0" t="s">
        <v>240</v>
      </c>
      <c r="BD517" s="0" t="s">
        <v>240</v>
      </c>
      <c r="BE517" s="0" t="s">
        <v>240</v>
      </c>
      <c r="BF517" s="0" t="s">
        <v>240</v>
      </c>
      <c r="BG517" s="0" t="s">
        <v>240</v>
      </c>
      <c r="BH517" s="0" t="s">
        <v>240</v>
      </c>
      <c r="BI517" s="0" t="s">
        <v>240</v>
      </c>
      <c r="BJ517" s="0" t="s">
        <v>240</v>
      </c>
      <c r="BK517" s="0" t="s">
        <v>240</v>
      </c>
      <c r="BL517" s="0" t="s">
        <v>240</v>
      </c>
      <c r="BM517" s="0" t="s">
        <v>240</v>
      </c>
      <c r="BN517" s="0" t="s">
        <v>240</v>
      </c>
      <c r="BO517" s="0" t="s">
        <v>240</v>
      </c>
      <c r="BP517" s="0" t="s">
        <v>240</v>
      </c>
      <c r="BQ517" s="0" t="s">
        <v>240</v>
      </c>
      <c r="BR517" s="0" t="s">
        <v>240</v>
      </c>
      <c r="BS517" s="0" t="s">
        <v>240</v>
      </c>
      <c r="BT517" s="0" t="s">
        <v>240</v>
      </c>
      <c r="BU517" s="0" t="s">
        <v>240</v>
      </c>
      <c r="BV517" s="0" t="s">
        <v>240</v>
      </c>
      <c r="BW517" s="0" t="s">
        <v>240</v>
      </c>
      <c r="BX517" s="0" t="s">
        <v>240</v>
      </c>
      <c r="BY517" s="0" t="s">
        <v>240</v>
      </c>
      <c r="BZ517" s="0" t="s">
        <v>240</v>
      </c>
      <c r="CA517" s="0" t="s">
        <v>240</v>
      </c>
      <c r="CB517" s="0" t="s">
        <v>240</v>
      </c>
      <c r="CC517" s="0" t="s">
        <v>240</v>
      </c>
      <c r="CD517" s="0" t="s">
        <v>240</v>
      </c>
      <c r="CE517" s="0" t="s">
        <v>240</v>
      </c>
      <c r="CF517" s="0" t="s">
        <v>240</v>
      </c>
      <c r="CG517" s="0" t="s">
        <v>240</v>
      </c>
      <c r="CH517" s="0" t="s">
        <v>240</v>
      </c>
      <c r="CI517" s="0" t="s">
        <v>240</v>
      </c>
      <c r="CJ517" s="0" t="s">
        <v>240</v>
      </c>
      <c r="CK517" s="0" t="s">
        <v>240</v>
      </c>
      <c r="CL517" s="0" t="s">
        <v>240</v>
      </c>
      <c r="CM517" s="0" t="s">
        <v>240</v>
      </c>
      <c r="CN517" s="0" t="s">
        <v>240</v>
      </c>
      <c r="CO517" s="0" t="s">
        <v>240</v>
      </c>
      <c r="CP517" s="0" t="s">
        <v>240</v>
      </c>
      <c r="CQ517" s="0" t="s">
        <v>240</v>
      </c>
      <c r="CR517" s="0" t="s">
        <v>240</v>
      </c>
      <c r="CS517" s="0" t="s">
        <v>240</v>
      </c>
      <c r="CT517" s="0" t="s">
        <v>5496</v>
      </c>
      <c r="CU517" s="0" t="s">
        <v>5497</v>
      </c>
      <c r="CV517" s="0" t="s">
        <v>443</v>
      </c>
      <c r="CW517" s="0" t="s">
        <v>5527</v>
      </c>
      <c r="CX517" s="0" t="s">
        <v>5528</v>
      </c>
      <c r="CY517" s="0" t="s">
        <v>443</v>
      </c>
      <c r="CZ517" s="0" t="s">
        <v>299</v>
      </c>
      <c r="DA517" s="0" t="s">
        <v>5529</v>
      </c>
      <c r="DB517" s="0" t="s">
        <v>5527</v>
      </c>
      <c r="DC517" s="0" t="s">
        <v>384</v>
      </c>
      <c r="DD517" s="0" t="s">
        <v>291</v>
      </c>
      <c r="DE517" s="0" t="s">
        <v>5631</v>
      </c>
    </row>
    <row customHeight="1" ht="11.25">
      <c r="A518" s="1441" t="s">
        <v>240</v>
      </c>
      <c r="B518" s="0" t="s">
        <v>240</v>
      </c>
      <c r="C518" s="0" t="s">
        <v>240</v>
      </c>
      <c r="D518" s="0" t="s">
        <v>240</v>
      </c>
      <c r="E518" s="0" t="s">
        <v>240</v>
      </c>
      <c r="F518" s="0" t="s">
        <v>240</v>
      </c>
      <c r="G518" s="0" t="s">
        <v>240</v>
      </c>
      <c r="H518" s="0" t="s">
        <v>240</v>
      </c>
      <c r="I518" s="0" t="s">
        <v>5484</v>
      </c>
      <c r="J518" s="0" t="s">
        <v>240</v>
      </c>
      <c r="K518" s="0" t="s">
        <v>240</v>
      </c>
      <c r="L518" s="0" t="s">
        <v>240</v>
      </c>
      <c r="M518" s="0" t="s">
        <v>240</v>
      </c>
      <c r="N518" s="0" t="s">
        <v>240</v>
      </c>
      <c r="O518" s="0" t="s">
        <v>240</v>
      </c>
      <c r="P518" s="0" t="s">
        <v>240</v>
      </c>
      <c r="Q518" s="0" t="s">
        <v>240</v>
      </c>
      <c r="R518" s="0" t="s">
        <v>5608</v>
      </c>
      <c r="S518" s="0" t="s">
        <v>240</v>
      </c>
      <c r="T518" s="0" t="s">
        <v>240</v>
      </c>
      <c r="U518" s="0" t="s">
        <v>102</v>
      </c>
      <c r="V518" s="0" t="s">
        <v>240</v>
      </c>
      <c r="W518" s="0" t="s">
        <v>240</v>
      </c>
      <c r="X518" s="0" t="s">
        <v>5485</v>
      </c>
      <c r="Y518" s="0" t="s">
        <v>240</v>
      </c>
      <c r="Z518" s="0" t="s">
        <v>161</v>
      </c>
      <c r="AA518" s="0" t="s">
        <v>152</v>
      </c>
      <c r="AB518" s="0" t="s">
        <v>152</v>
      </c>
      <c r="AC518" s="0" t="s">
        <v>2985</v>
      </c>
      <c r="AD518" s="0" t="s">
        <v>2985</v>
      </c>
      <c r="AE518" s="0" t="s">
        <v>2986</v>
      </c>
      <c r="AF518" s="0" t="s">
        <v>5632</v>
      </c>
      <c r="AG518" s="0" t="s">
        <v>5633</v>
      </c>
      <c r="AH518" s="0" t="s">
        <v>5634</v>
      </c>
      <c r="AI518" s="0" t="s">
        <v>5635</v>
      </c>
      <c r="AJ518" s="0" t="s">
        <v>5504</v>
      </c>
      <c r="AK518" s="0" t="s">
        <v>5505</v>
      </c>
      <c r="AL518" s="0" t="s">
        <v>5605</v>
      </c>
      <c r="AM518" s="0" t="s">
        <v>5493</v>
      </c>
      <c r="AN518" s="0" t="s">
        <v>5507</v>
      </c>
      <c r="AO518" s="0" t="s">
        <v>5636</v>
      </c>
      <c r="AP518" s="0" t="s">
        <v>240</v>
      </c>
      <c r="AQ518" s="0" t="s">
        <v>240</v>
      </c>
      <c r="AR518" s="0" t="s">
        <v>240</v>
      </c>
      <c r="AS518" s="0" t="s">
        <v>240</v>
      </c>
      <c r="AT518" s="0" t="s">
        <v>240</v>
      </c>
      <c r="AU518" s="0" t="s">
        <v>240</v>
      </c>
      <c r="AV518" s="0" t="s">
        <v>240</v>
      </c>
      <c r="AW518" s="0" t="s">
        <v>240</v>
      </c>
      <c r="AX518" s="0" t="s">
        <v>240</v>
      </c>
      <c r="AY518" s="0" t="s">
        <v>240</v>
      </c>
      <c r="AZ518" s="0" t="s">
        <v>240</v>
      </c>
      <c r="BA518" s="0" t="s">
        <v>240</v>
      </c>
      <c r="BB518" s="0" t="s">
        <v>240</v>
      </c>
      <c r="BC518" s="0" t="s">
        <v>240</v>
      </c>
      <c r="BD518" s="0" t="s">
        <v>240</v>
      </c>
      <c r="BE518" s="0" t="s">
        <v>240</v>
      </c>
      <c r="BF518" s="0" t="s">
        <v>240</v>
      </c>
      <c r="BG518" s="0" t="s">
        <v>240</v>
      </c>
      <c r="BH518" s="0" t="s">
        <v>240</v>
      </c>
      <c r="BI518" s="0" t="s">
        <v>240</v>
      </c>
      <c r="BJ518" s="0" t="s">
        <v>240</v>
      </c>
      <c r="BK518" s="0" t="s">
        <v>240</v>
      </c>
      <c r="BL518" s="0" t="s">
        <v>240</v>
      </c>
      <c r="BM518" s="0" t="s">
        <v>240</v>
      </c>
      <c r="BN518" s="0" t="s">
        <v>240</v>
      </c>
      <c r="BO518" s="0" t="s">
        <v>240</v>
      </c>
      <c r="BP518" s="0" t="s">
        <v>240</v>
      </c>
      <c r="BQ518" s="0" t="s">
        <v>240</v>
      </c>
      <c r="BR518" s="0" t="s">
        <v>240</v>
      </c>
      <c r="BS518" s="0" t="s">
        <v>240</v>
      </c>
      <c r="BT518" s="0" t="s">
        <v>240</v>
      </c>
      <c r="BU518" s="0" t="s">
        <v>240</v>
      </c>
      <c r="BV518" s="0" t="s">
        <v>240</v>
      </c>
      <c r="BW518" s="0" t="s">
        <v>240</v>
      </c>
      <c r="BX518" s="0" t="s">
        <v>240</v>
      </c>
      <c r="BY518" s="0" t="s">
        <v>240</v>
      </c>
      <c r="BZ518" s="0" t="s">
        <v>240</v>
      </c>
      <c r="CA518" s="0" t="s">
        <v>240</v>
      </c>
      <c r="CB518" s="0" t="s">
        <v>240</v>
      </c>
      <c r="CC518" s="0" t="s">
        <v>240</v>
      </c>
      <c r="CD518" s="0" t="s">
        <v>240</v>
      </c>
      <c r="CE518" s="0" t="s">
        <v>240</v>
      </c>
      <c r="CF518" s="0" t="s">
        <v>240</v>
      </c>
      <c r="CG518" s="0" t="s">
        <v>240</v>
      </c>
      <c r="CH518" s="0" t="s">
        <v>240</v>
      </c>
      <c r="CI518" s="0" t="s">
        <v>240</v>
      </c>
      <c r="CJ518" s="0" t="s">
        <v>240</v>
      </c>
      <c r="CK518" s="0" t="s">
        <v>240</v>
      </c>
      <c r="CL518" s="0" t="s">
        <v>240</v>
      </c>
      <c r="CM518" s="0" t="s">
        <v>240</v>
      </c>
      <c r="CN518" s="0" t="s">
        <v>240</v>
      </c>
      <c r="CO518" s="0" t="s">
        <v>240</v>
      </c>
      <c r="CP518" s="0" t="s">
        <v>240</v>
      </c>
      <c r="CQ518" s="0" t="s">
        <v>240</v>
      </c>
      <c r="CR518" s="0" t="s">
        <v>240</v>
      </c>
      <c r="CS518" s="0" t="s">
        <v>240</v>
      </c>
      <c r="CT518" s="0" t="s">
        <v>5496</v>
      </c>
      <c r="CU518" s="0" t="s">
        <v>5497</v>
      </c>
      <c r="CV518" s="0" t="s">
        <v>443</v>
      </c>
      <c r="CW518" s="0" t="s">
        <v>5509</v>
      </c>
      <c r="CX518" s="0" t="s">
        <v>229</v>
      </c>
      <c r="CY518" s="0" t="s">
        <v>443</v>
      </c>
      <c r="CZ518" s="0" t="s">
        <v>5510</v>
      </c>
      <c r="DA518" s="0" t="s">
        <v>5511</v>
      </c>
      <c r="DB518" s="0" t="s">
        <v>5509</v>
      </c>
      <c r="DC518" s="0" t="s">
        <v>384</v>
      </c>
      <c r="DD518" s="0" t="s">
        <v>291</v>
      </c>
      <c r="DE518" s="0" t="s">
        <v>5637</v>
      </c>
    </row>
    <row customHeight="1" ht="11.25">
      <c r="A519" s="1441" t="s">
        <v>240</v>
      </c>
      <c r="B519" s="0" t="s">
        <v>240</v>
      </c>
      <c r="C519" s="0" t="s">
        <v>240</v>
      </c>
      <c r="D519" s="0" t="s">
        <v>240</v>
      </c>
      <c r="E519" s="0" t="s">
        <v>240</v>
      </c>
      <c r="F519" s="0" t="s">
        <v>240</v>
      </c>
      <c r="G519" s="0" t="s">
        <v>240</v>
      </c>
      <c r="H519" s="0" t="s">
        <v>240</v>
      </c>
      <c r="I519" s="0" t="s">
        <v>5484</v>
      </c>
      <c r="J519" s="0" t="s">
        <v>240</v>
      </c>
      <c r="K519" s="0" t="s">
        <v>240</v>
      </c>
      <c r="L519" s="0" t="s">
        <v>240</v>
      </c>
      <c r="M519" s="0" t="s">
        <v>240</v>
      </c>
      <c r="N519" s="0" t="s">
        <v>240</v>
      </c>
      <c r="O519" s="0" t="s">
        <v>240</v>
      </c>
      <c r="P519" s="0" t="s">
        <v>240</v>
      </c>
      <c r="Q519" s="0" t="s">
        <v>240</v>
      </c>
      <c r="R519" s="0" t="s">
        <v>5638</v>
      </c>
      <c r="S519" s="0" t="s">
        <v>240</v>
      </c>
      <c r="T519" s="0" t="s">
        <v>240</v>
      </c>
      <c r="U519" s="0" t="s">
        <v>102</v>
      </c>
      <c r="V519" s="0" t="s">
        <v>240</v>
      </c>
      <c r="W519" s="0" t="s">
        <v>240</v>
      </c>
      <c r="X519" s="0" t="s">
        <v>5485</v>
      </c>
      <c r="Y519" s="0" t="s">
        <v>240</v>
      </c>
      <c r="Z519" s="0" t="s">
        <v>161</v>
      </c>
      <c r="AA519" s="0" t="s">
        <v>152</v>
      </c>
      <c r="AB519" s="0" t="s">
        <v>152</v>
      </c>
      <c r="AC519" s="0" t="s">
        <v>2985</v>
      </c>
      <c r="AD519" s="0" t="s">
        <v>2985</v>
      </c>
      <c r="AE519" s="0" t="s">
        <v>2986</v>
      </c>
      <c r="AF519" s="0" t="s">
        <v>5632</v>
      </c>
      <c r="AG519" s="0" t="s">
        <v>5633</v>
      </c>
      <c r="AH519" s="0" t="s">
        <v>5639</v>
      </c>
      <c r="AI519" s="0" t="s">
        <v>5640</v>
      </c>
      <c r="AJ519" s="0" t="s">
        <v>5504</v>
      </c>
      <c r="AK519" s="0" t="s">
        <v>5505</v>
      </c>
      <c r="AL519" s="0" t="s">
        <v>5605</v>
      </c>
      <c r="AM519" s="0" t="s">
        <v>5493</v>
      </c>
      <c r="AN519" s="0" t="s">
        <v>5507</v>
      </c>
      <c r="AO519" s="0" t="s">
        <v>5636</v>
      </c>
      <c r="AP519" s="0" t="s">
        <v>240</v>
      </c>
      <c r="AQ519" s="0" t="s">
        <v>240</v>
      </c>
      <c r="AR519" s="0" t="s">
        <v>240</v>
      </c>
      <c r="AS519" s="0" t="s">
        <v>240</v>
      </c>
      <c r="AT519" s="0" t="s">
        <v>240</v>
      </c>
      <c r="AU519" s="0" t="s">
        <v>240</v>
      </c>
      <c r="AV519" s="0" t="s">
        <v>240</v>
      </c>
      <c r="AW519" s="0" t="s">
        <v>240</v>
      </c>
      <c r="AX519" s="0" t="s">
        <v>240</v>
      </c>
      <c r="AY519" s="0" t="s">
        <v>240</v>
      </c>
      <c r="AZ519" s="0" t="s">
        <v>240</v>
      </c>
      <c r="BA519" s="0" t="s">
        <v>240</v>
      </c>
      <c r="BB519" s="0" t="s">
        <v>240</v>
      </c>
      <c r="BC519" s="0" t="s">
        <v>240</v>
      </c>
      <c r="BD519" s="0" t="s">
        <v>240</v>
      </c>
      <c r="BE519" s="0" t="s">
        <v>240</v>
      </c>
      <c r="BF519" s="0" t="s">
        <v>240</v>
      </c>
      <c r="BG519" s="0" t="s">
        <v>240</v>
      </c>
      <c r="BH519" s="0" t="s">
        <v>240</v>
      </c>
      <c r="BI519" s="0" t="s">
        <v>240</v>
      </c>
      <c r="BJ519" s="0" t="s">
        <v>240</v>
      </c>
      <c r="BK519" s="0" t="s">
        <v>240</v>
      </c>
      <c r="BL519" s="0" t="s">
        <v>240</v>
      </c>
      <c r="BM519" s="0" t="s">
        <v>240</v>
      </c>
      <c r="BN519" s="0" t="s">
        <v>240</v>
      </c>
      <c r="BO519" s="0" t="s">
        <v>240</v>
      </c>
      <c r="BP519" s="0" t="s">
        <v>240</v>
      </c>
      <c r="BQ519" s="0" t="s">
        <v>240</v>
      </c>
      <c r="BR519" s="0" t="s">
        <v>240</v>
      </c>
      <c r="BS519" s="0" t="s">
        <v>240</v>
      </c>
      <c r="BT519" s="0" t="s">
        <v>240</v>
      </c>
      <c r="BU519" s="0" t="s">
        <v>240</v>
      </c>
      <c r="BV519" s="0" t="s">
        <v>240</v>
      </c>
      <c r="BW519" s="0" t="s">
        <v>240</v>
      </c>
      <c r="BX519" s="0" t="s">
        <v>240</v>
      </c>
      <c r="BY519" s="0" t="s">
        <v>240</v>
      </c>
      <c r="BZ519" s="0" t="s">
        <v>240</v>
      </c>
      <c r="CA519" s="0" t="s">
        <v>240</v>
      </c>
      <c r="CB519" s="0" t="s">
        <v>240</v>
      </c>
      <c r="CC519" s="0" t="s">
        <v>240</v>
      </c>
      <c r="CD519" s="0" t="s">
        <v>240</v>
      </c>
      <c r="CE519" s="0" t="s">
        <v>240</v>
      </c>
      <c r="CF519" s="0" t="s">
        <v>240</v>
      </c>
      <c r="CG519" s="0" t="s">
        <v>240</v>
      </c>
      <c r="CH519" s="0" t="s">
        <v>240</v>
      </c>
      <c r="CI519" s="0" t="s">
        <v>240</v>
      </c>
      <c r="CJ519" s="0" t="s">
        <v>240</v>
      </c>
      <c r="CK519" s="0" t="s">
        <v>240</v>
      </c>
      <c r="CL519" s="0" t="s">
        <v>240</v>
      </c>
      <c r="CM519" s="0" t="s">
        <v>240</v>
      </c>
      <c r="CN519" s="0" t="s">
        <v>240</v>
      </c>
      <c r="CO519" s="0" t="s">
        <v>240</v>
      </c>
      <c r="CP519" s="0" t="s">
        <v>240</v>
      </c>
      <c r="CQ519" s="0" t="s">
        <v>240</v>
      </c>
      <c r="CR519" s="0" t="s">
        <v>240</v>
      </c>
      <c r="CS519" s="0" t="s">
        <v>240</v>
      </c>
      <c r="CT519" s="0" t="s">
        <v>5496</v>
      </c>
      <c r="CU519" s="0" t="s">
        <v>5497</v>
      </c>
      <c r="CV519" s="0" t="s">
        <v>443</v>
      </c>
      <c r="CW519" s="0" t="s">
        <v>5509</v>
      </c>
      <c r="CX519" s="0" t="s">
        <v>229</v>
      </c>
      <c r="CY519" s="0" t="s">
        <v>443</v>
      </c>
      <c r="CZ519" s="0" t="s">
        <v>5510</v>
      </c>
      <c r="DA519" s="0" t="s">
        <v>5511</v>
      </c>
      <c r="DB519" s="0" t="s">
        <v>5509</v>
      </c>
      <c r="DC519" s="0" t="s">
        <v>384</v>
      </c>
      <c r="DD519" s="0" t="s">
        <v>291</v>
      </c>
      <c r="DE519" s="0" t="s">
        <v>5641</v>
      </c>
    </row>
    <row customHeight="1" ht="11.25">
      <c r="A520" s="1441" t="s">
        <v>240</v>
      </c>
      <c r="B520" s="0" t="s">
        <v>240</v>
      </c>
      <c r="C520" s="0" t="s">
        <v>240</v>
      </c>
      <c r="D520" s="0" t="s">
        <v>240</v>
      </c>
      <c r="E520" s="0" t="s">
        <v>240</v>
      </c>
      <c r="F520" s="0" t="s">
        <v>240</v>
      </c>
      <c r="G520" s="0" t="s">
        <v>240</v>
      </c>
      <c r="H520" s="0" t="s">
        <v>240</v>
      </c>
      <c r="I520" s="0" t="s">
        <v>5484</v>
      </c>
      <c r="J520" s="0" t="s">
        <v>240</v>
      </c>
      <c r="K520" s="0" t="s">
        <v>240</v>
      </c>
      <c r="L520" s="0" t="s">
        <v>240</v>
      </c>
      <c r="M520" s="0" t="s">
        <v>240</v>
      </c>
      <c r="N520" s="0" t="s">
        <v>240</v>
      </c>
      <c r="O520" s="0" t="s">
        <v>240</v>
      </c>
      <c r="P520" s="0" t="s">
        <v>240</v>
      </c>
      <c r="Q520" s="0" t="s">
        <v>240</v>
      </c>
      <c r="R520" s="0" t="s">
        <v>6981</v>
      </c>
      <c r="S520" s="0" t="s">
        <v>240</v>
      </c>
      <c r="T520" s="0" t="s">
        <v>240</v>
      </c>
      <c r="U520" s="0" t="s">
        <v>102</v>
      </c>
      <c r="V520" s="0" t="s">
        <v>240</v>
      </c>
      <c r="W520" s="0" t="s">
        <v>240</v>
      </c>
      <c r="X520" s="0" t="s">
        <v>5485</v>
      </c>
      <c r="Y520" s="0" t="s">
        <v>240</v>
      </c>
      <c r="Z520" s="0" t="s">
        <v>161</v>
      </c>
      <c r="AA520" s="0" t="s">
        <v>152</v>
      </c>
      <c r="AB520" s="0" t="s">
        <v>152</v>
      </c>
      <c r="AC520" s="0" t="s">
        <v>3389</v>
      </c>
      <c r="AD520" s="0" t="s">
        <v>3389</v>
      </c>
      <c r="AE520" s="0" t="s">
        <v>3390</v>
      </c>
      <c r="AF520" s="0" t="s">
        <v>5519</v>
      </c>
      <c r="AG520" s="0" t="s">
        <v>5520</v>
      </c>
      <c r="AH520" s="0" t="s">
        <v>5714</v>
      </c>
      <c r="AI520" s="0" t="s">
        <v>5715</v>
      </c>
      <c r="AJ520" s="0" t="s">
        <v>5716</v>
      </c>
      <c r="AK520" s="0" t="s">
        <v>5717</v>
      </c>
      <c r="AL520" s="0" t="s">
        <v>5524</v>
      </c>
      <c r="AM520" s="0" t="s">
        <v>5493</v>
      </c>
      <c r="AN520" s="0" t="s">
        <v>5718</v>
      </c>
      <c r="AO520" s="0" t="s">
        <v>5719</v>
      </c>
      <c r="AP520" s="0" t="s">
        <v>240</v>
      </c>
      <c r="AQ520" s="0" t="s">
        <v>240</v>
      </c>
      <c r="AR520" s="0" t="s">
        <v>240</v>
      </c>
      <c r="AS520" s="0" t="s">
        <v>240</v>
      </c>
      <c r="AT520" s="0" t="s">
        <v>240</v>
      </c>
      <c r="AU520" s="0" t="s">
        <v>240</v>
      </c>
      <c r="AV520" s="0" t="s">
        <v>240</v>
      </c>
      <c r="AW520" s="0" t="s">
        <v>240</v>
      </c>
      <c r="AX520" s="0" t="s">
        <v>240</v>
      </c>
      <c r="AY520" s="0" t="s">
        <v>240</v>
      </c>
      <c r="AZ520" s="0" t="s">
        <v>240</v>
      </c>
      <c r="BA520" s="0" t="s">
        <v>240</v>
      </c>
      <c r="BB520" s="0" t="s">
        <v>240</v>
      </c>
      <c r="BC520" s="0" t="s">
        <v>240</v>
      </c>
      <c r="BD520" s="0" t="s">
        <v>240</v>
      </c>
      <c r="BE520" s="0" t="s">
        <v>240</v>
      </c>
      <c r="BF520" s="0" t="s">
        <v>240</v>
      </c>
      <c r="BG520" s="0" t="s">
        <v>240</v>
      </c>
      <c r="BH520" s="0" t="s">
        <v>240</v>
      </c>
      <c r="BI520" s="0" t="s">
        <v>240</v>
      </c>
      <c r="BJ520" s="0" t="s">
        <v>240</v>
      </c>
      <c r="BK520" s="0" t="s">
        <v>240</v>
      </c>
      <c r="BL520" s="0" t="s">
        <v>240</v>
      </c>
      <c r="BM520" s="0" t="s">
        <v>240</v>
      </c>
      <c r="BN520" s="0" t="s">
        <v>240</v>
      </c>
      <c r="BO520" s="0" t="s">
        <v>240</v>
      </c>
      <c r="BP520" s="0" t="s">
        <v>240</v>
      </c>
      <c r="BQ520" s="0" t="s">
        <v>240</v>
      </c>
      <c r="BR520" s="0" t="s">
        <v>240</v>
      </c>
      <c r="BS520" s="0" t="s">
        <v>240</v>
      </c>
      <c r="BT520" s="0" t="s">
        <v>240</v>
      </c>
      <c r="BU520" s="0" t="s">
        <v>240</v>
      </c>
      <c r="BV520" s="0" t="s">
        <v>240</v>
      </c>
      <c r="BW520" s="0" t="s">
        <v>240</v>
      </c>
      <c r="BX520" s="0" t="s">
        <v>240</v>
      </c>
      <c r="BY520" s="0" t="s">
        <v>240</v>
      </c>
      <c r="BZ520" s="0" t="s">
        <v>240</v>
      </c>
      <c r="CA520" s="0" t="s">
        <v>240</v>
      </c>
      <c r="CB520" s="0" t="s">
        <v>240</v>
      </c>
      <c r="CC520" s="0" t="s">
        <v>240</v>
      </c>
      <c r="CD520" s="0" t="s">
        <v>240</v>
      </c>
      <c r="CE520" s="0" t="s">
        <v>240</v>
      </c>
      <c r="CF520" s="0" t="s">
        <v>240</v>
      </c>
      <c r="CG520" s="0" t="s">
        <v>240</v>
      </c>
      <c r="CH520" s="0" t="s">
        <v>240</v>
      </c>
      <c r="CI520" s="0" t="s">
        <v>240</v>
      </c>
      <c r="CJ520" s="0" t="s">
        <v>240</v>
      </c>
      <c r="CK520" s="0" t="s">
        <v>240</v>
      </c>
      <c r="CL520" s="0" t="s">
        <v>240</v>
      </c>
      <c r="CM520" s="0" t="s">
        <v>240</v>
      </c>
      <c r="CN520" s="0" t="s">
        <v>240</v>
      </c>
      <c r="CO520" s="0" t="s">
        <v>240</v>
      </c>
      <c r="CP520" s="0" t="s">
        <v>240</v>
      </c>
      <c r="CQ520" s="0" t="s">
        <v>240</v>
      </c>
      <c r="CR520" s="0" t="s">
        <v>240</v>
      </c>
      <c r="CS520" s="0" t="s">
        <v>240</v>
      </c>
      <c r="CT520" s="0" t="s">
        <v>5496</v>
      </c>
      <c r="CU520" s="0" t="s">
        <v>5497</v>
      </c>
      <c r="CV520" s="0" t="s">
        <v>443</v>
      </c>
      <c r="CW520" s="0" t="s">
        <v>5527</v>
      </c>
      <c r="CX520" s="0" t="s">
        <v>5528</v>
      </c>
      <c r="CY520" s="0" t="s">
        <v>443</v>
      </c>
      <c r="CZ520" s="0" t="s">
        <v>299</v>
      </c>
      <c r="DA520" s="0" t="s">
        <v>5529</v>
      </c>
      <c r="DB520" s="0" t="s">
        <v>5527</v>
      </c>
      <c r="DC520" s="0" t="s">
        <v>384</v>
      </c>
      <c r="DD520" s="0" t="s">
        <v>291</v>
      </c>
      <c r="DE520" s="0" t="s">
        <v>5720</v>
      </c>
    </row>
    <row customHeight="1" ht="11.25">
      <c r="A521" s="1441" t="s">
        <v>240</v>
      </c>
      <c r="B521" s="0" t="s">
        <v>240</v>
      </c>
      <c r="C521" s="0" t="s">
        <v>240</v>
      </c>
      <c r="D521" s="0" t="s">
        <v>240</v>
      </c>
      <c r="E521" s="0" t="s">
        <v>240</v>
      </c>
      <c r="F521" s="0" t="s">
        <v>240</v>
      </c>
      <c r="G521" s="0" t="s">
        <v>240</v>
      </c>
      <c r="H521" s="0" t="s">
        <v>240</v>
      </c>
      <c r="I521" s="0" t="s">
        <v>5484</v>
      </c>
      <c r="J521" s="0" t="s">
        <v>240</v>
      </c>
      <c r="K521" s="0" t="s">
        <v>240</v>
      </c>
      <c r="L521" s="0" t="s">
        <v>240</v>
      </c>
      <c r="M521" s="0" t="s">
        <v>240</v>
      </c>
      <c r="N521" s="0" t="s">
        <v>240</v>
      </c>
      <c r="O521" s="0" t="s">
        <v>240</v>
      </c>
      <c r="P521" s="0" t="s">
        <v>240</v>
      </c>
      <c r="Q521" s="0" t="s">
        <v>240</v>
      </c>
      <c r="R521" s="0" t="s">
        <v>5608</v>
      </c>
      <c r="S521" s="0" t="s">
        <v>240</v>
      </c>
      <c r="T521" s="0" t="s">
        <v>240</v>
      </c>
      <c r="U521" s="0" t="s">
        <v>102</v>
      </c>
      <c r="V521" s="0" t="s">
        <v>240</v>
      </c>
      <c r="W521" s="0" t="s">
        <v>240</v>
      </c>
      <c r="X521" s="0" t="s">
        <v>5485</v>
      </c>
      <c r="Y521" s="0" t="s">
        <v>240</v>
      </c>
      <c r="Z521" s="0" t="s">
        <v>161</v>
      </c>
      <c r="AA521" s="0" t="s">
        <v>152</v>
      </c>
      <c r="AB521" s="0" t="s">
        <v>152</v>
      </c>
      <c r="AC521" s="0" t="s">
        <v>2985</v>
      </c>
      <c r="AD521" s="0" t="s">
        <v>2985</v>
      </c>
      <c r="AE521" s="0" t="s">
        <v>2986</v>
      </c>
      <c r="AF521" s="0" t="s">
        <v>5706</v>
      </c>
      <c r="AG521" s="0" t="s">
        <v>5707</v>
      </c>
      <c r="AH521" s="0" t="s">
        <v>5709</v>
      </c>
      <c r="AI521" s="0" t="s">
        <v>5968</v>
      </c>
      <c r="AJ521" s="0" t="s">
        <v>5504</v>
      </c>
      <c r="AK521" s="0" t="s">
        <v>5505</v>
      </c>
      <c r="AL521" s="0" t="s">
        <v>5506</v>
      </c>
      <c r="AM521" s="0" t="s">
        <v>5493</v>
      </c>
      <c r="AN521" s="0" t="s">
        <v>5507</v>
      </c>
      <c r="AO521" s="0" t="s">
        <v>5768</v>
      </c>
      <c r="AP521" s="0" t="s">
        <v>240</v>
      </c>
      <c r="AQ521" s="0" t="s">
        <v>240</v>
      </c>
      <c r="AR521" s="0" t="s">
        <v>240</v>
      </c>
      <c r="AS521" s="0" t="s">
        <v>240</v>
      </c>
      <c r="AT521" s="0" t="s">
        <v>240</v>
      </c>
      <c r="AU521" s="0" t="s">
        <v>240</v>
      </c>
      <c r="AV521" s="0" t="s">
        <v>240</v>
      </c>
      <c r="AW521" s="0" t="s">
        <v>240</v>
      </c>
      <c r="AX521" s="0" t="s">
        <v>240</v>
      </c>
      <c r="AY521" s="0" t="s">
        <v>240</v>
      </c>
      <c r="AZ521" s="0" t="s">
        <v>240</v>
      </c>
      <c r="BA521" s="0" t="s">
        <v>240</v>
      </c>
      <c r="BB521" s="0" t="s">
        <v>240</v>
      </c>
      <c r="BC521" s="0" t="s">
        <v>240</v>
      </c>
      <c r="BD521" s="0" t="s">
        <v>240</v>
      </c>
      <c r="BE521" s="0" t="s">
        <v>240</v>
      </c>
      <c r="BF521" s="0" t="s">
        <v>240</v>
      </c>
      <c r="BG521" s="0" t="s">
        <v>240</v>
      </c>
      <c r="BH521" s="0" t="s">
        <v>240</v>
      </c>
      <c r="BI521" s="0" t="s">
        <v>240</v>
      </c>
      <c r="BJ521" s="0" t="s">
        <v>240</v>
      </c>
      <c r="BK521" s="0" t="s">
        <v>240</v>
      </c>
      <c r="BL521" s="0" t="s">
        <v>240</v>
      </c>
      <c r="BM521" s="0" t="s">
        <v>240</v>
      </c>
      <c r="BN521" s="0" t="s">
        <v>240</v>
      </c>
      <c r="BO521" s="0" t="s">
        <v>240</v>
      </c>
      <c r="BP521" s="0" t="s">
        <v>240</v>
      </c>
      <c r="BQ521" s="0" t="s">
        <v>240</v>
      </c>
      <c r="BR521" s="0" t="s">
        <v>240</v>
      </c>
      <c r="BS521" s="0" t="s">
        <v>240</v>
      </c>
      <c r="BT521" s="0" t="s">
        <v>240</v>
      </c>
      <c r="BU521" s="0" t="s">
        <v>240</v>
      </c>
      <c r="BV521" s="0" t="s">
        <v>240</v>
      </c>
      <c r="BW521" s="0" t="s">
        <v>240</v>
      </c>
      <c r="BX521" s="0" t="s">
        <v>240</v>
      </c>
      <c r="BY521" s="0" t="s">
        <v>240</v>
      </c>
      <c r="BZ521" s="0" t="s">
        <v>240</v>
      </c>
      <c r="CA521" s="0" t="s">
        <v>240</v>
      </c>
      <c r="CB521" s="0" t="s">
        <v>240</v>
      </c>
      <c r="CC521" s="0" t="s">
        <v>240</v>
      </c>
      <c r="CD521" s="0" t="s">
        <v>240</v>
      </c>
      <c r="CE521" s="0" t="s">
        <v>240</v>
      </c>
      <c r="CF521" s="0" t="s">
        <v>240</v>
      </c>
      <c r="CG521" s="0" t="s">
        <v>240</v>
      </c>
      <c r="CH521" s="0" t="s">
        <v>240</v>
      </c>
      <c r="CI521" s="0" t="s">
        <v>240</v>
      </c>
      <c r="CJ521" s="0" t="s">
        <v>240</v>
      </c>
      <c r="CK521" s="0" t="s">
        <v>240</v>
      </c>
      <c r="CL521" s="0" t="s">
        <v>240</v>
      </c>
      <c r="CM521" s="0" t="s">
        <v>240</v>
      </c>
      <c r="CN521" s="0" t="s">
        <v>240</v>
      </c>
      <c r="CO521" s="0" t="s">
        <v>240</v>
      </c>
      <c r="CP521" s="0" t="s">
        <v>240</v>
      </c>
      <c r="CQ521" s="0" t="s">
        <v>240</v>
      </c>
      <c r="CR521" s="0" t="s">
        <v>240</v>
      </c>
      <c r="CS521" s="0" t="s">
        <v>240</v>
      </c>
      <c r="CT521" s="0" t="s">
        <v>5496</v>
      </c>
      <c r="CU521" s="0" t="s">
        <v>5497</v>
      </c>
      <c r="CV521" s="0" t="s">
        <v>443</v>
      </c>
      <c r="CW521" s="0" t="s">
        <v>5509</v>
      </c>
      <c r="CX521" s="0" t="s">
        <v>229</v>
      </c>
      <c r="CY521" s="0" t="s">
        <v>443</v>
      </c>
      <c r="CZ521" s="0" t="s">
        <v>5510</v>
      </c>
      <c r="DA521" s="0" t="s">
        <v>5511</v>
      </c>
      <c r="DB521" s="0" t="s">
        <v>5509</v>
      </c>
      <c r="DC521" s="0" t="s">
        <v>384</v>
      </c>
      <c r="DD521" s="0" t="s">
        <v>291</v>
      </c>
      <c r="DE521" s="0" t="s">
        <v>5969</v>
      </c>
    </row>
    <row customHeight="1" ht="11.25">
      <c r="A522" s="1441" t="s">
        <v>240</v>
      </c>
      <c r="B522" s="0" t="s">
        <v>240</v>
      </c>
      <c r="C522" s="0" t="s">
        <v>240</v>
      </c>
      <c r="D522" s="0" t="s">
        <v>240</v>
      </c>
      <c r="E522" s="0" t="s">
        <v>240</v>
      </c>
      <c r="F522" s="0" t="s">
        <v>240</v>
      </c>
      <c r="G522" s="0" t="s">
        <v>240</v>
      </c>
      <c r="H522" s="0" t="s">
        <v>240</v>
      </c>
      <c r="I522" s="0" t="s">
        <v>5484</v>
      </c>
      <c r="J522" s="0" t="s">
        <v>240</v>
      </c>
      <c r="K522" s="0" t="s">
        <v>240</v>
      </c>
      <c r="L522" s="0" t="s">
        <v>240</v>
      </c>
      <c r="M522" s="0" t="s">
        <v>240</v>
      </c>
      <c r="N522" s="0" t="s">
        <v>240</v>
      </c>
      <c r="O522" s="0" t="s">
        <v>240</v>
      </c>
      <c r="P522" s="0" t="s">
        <v>240</v>
      </c>
      <c r="Q522" s="0" t="s">
        <v>240</v>
      </c>
      <c r="R522" s="0" t="s">
        <v>5705</v>
      </c>
      <c r="S522" s="0" t="s">
        <v>240</v>
      </c>
      <c r="T522" s="0" t="s">
        <v>240</v>
      </c>
      <c r="U522" s="0" t="s">
        <v>102</v>
      </c>
      <c r="V522" s="0" t="s">
        <v>240</v>
      </c>
      <c r="W522" s="0" t="s">
        <v>240</v>
      </c>
      <c r="X522" s="0" t="s">
        <v>5585</v>
      </c>
      <c r="Y522" s="0" t="s">
        <v>240</v>
      </c>
      <c r="Z522" s="0" t="s">
        <v>152</v>
      </c>
      <c r="AA522" s="0" t="s">
        <v>152</v>
      </c>
      <c r="AB522" s="0" t="s">
        <v>161</v>
      </c>
      <c r="AC522" s="0" t="s">
        <v>2985</v>
      </c>
      <c r="AD522" s="0" t="s">
        <v>2985</v>
      </c>
      <c r="AE522" s="0" t="s">
        <v>2986</v>
      </c>
      <c r="AF522" s="0" t="s">
        <v>5615</v>
      </c>
      <c r="AG522" s="0" t="s">
        <v>5616</v>
      </c>
      <c r="AH522" s="0" t="s">
        <v>5615</v>
      </c>
      <c r="AI522" s="0" t="s">
        <v>5644</v>
      </c>
      <c r="AJ522" s="0" t="s">
        <v>240</v>
      </c>
      <c r="AK522" s="0" t="s">
        <v>240</v>
      </c>
      <c r="AL522" s="0" t="s">
        <v>240</v>
      </c>
      <c r="AM522" s="0" t="s">
        <v>240</v>
      </c>
      <c r="AN522" s="0" t="s">
        <v>240</v>
      </c>
      <c r="AO522" s="0" t="s">
        <v>240</v>
      </c>
      <c r="AP522" s="0" t="s">
        <v>240</v>
      </c>
      <c r="AQ522" s="0" t="s">
        <v>240</v>
      </c>
      <c r="AR522" s="0" t="s">
        <v>240</v>
      </c>
      <c r="AS522" s="0" t="s">
        <v>240</v>
      </c>
      <c r="AT522" s="0" t="s">
        <v>240</v>
      </c>
      <c r="AU522" s="0" t="s">
        <v>240</v>
      </c>
      <c r="AV522" s="0" t="s">
        <v>240</v>
      </c>
      <c r="AW522" s="0" t="s">
        <v>240</v>
      </c>
      <c r="AX522" s="0" t="s">
        <v>240</v>
      </c>
      <c r="AY522" s="0" t="s">
        <v>240</v>
      </c>
      <c r="AZ522" s="0" t="s">
        <v>240</v>
      </c>
      <c r="BA522" s="0" t="s">
        <v>240</v>
      </c>
      <c r="BB522" s="0" t="s">
        <v>240</v>
      </c>
      <c r="BC522" s="0" t="s">
        <v>240</v>
      </c>
      <c r="BD522" s="0" t="s">
        <v>240</v>
      </c>
      <c r="BE522" s="0" t="s">
        <v>5645</v>
      </c>
      <c r="BF522" s="0" t="s">
        <v>5645</v>
      </c>
      <c r="BG522" s="0" t="s">
        <v>112</v>
      </c>
      <c r="BH522" s="0" t="s">
        <v>5589</v>
      </c>
      <c r="BI522" s="0" t="s">
        <v>123</v>
      </c>
      <c r="BJ522" s="0" t="s">
        <v>240</v>
      </c>
      <c r="BK522" s="0" t="s">
        <v>5608</v>
      </c>
      <c r="BL522" s="0" t="s">
        <v>2985</v>
      </c>
      <c r="BM522" s="0" t="s">
        <v>2985</v>
      </c>
      <c r="BN522" s="0" t="s">
        <v>5646</v>
      </c>
      <c r="BO522" s="0" t="s">
        <v>5615</v>
      </c>
      <c r="BP522" s="0" t="s">
        <v>6030</v>
      </c>
      <c r="BQ522" s="0" t="s">
        <v>5502</v>
      </c>
      <c r="BR522" s="0" t="s">
        <v>5618</v>
      </c>
      <c r="BS522" s="0" t="s">
        <v>240</v>
      </c>
      <c r="BT522" s="0" t="s">
        <v>5650</v>
      </c>
      <c r="BU522" s="0" t="s">
        <v>6031</v>
      </c>
      <c r="BV522" s="0" t="s">
        <v>6031</v>
      </c>
      <c r="BW522" s="0" t="s">
        <v>5598</v>
      </c>
      <c r="BX522" s="0" t="s">
        <v>5598</v>
      </c>
      <c r="BY522" s="0" t="s">
        <v>5598</v>
      </c>
      <c r="BZ522" s="0" t="s">
        <v>5598</v>
      </c>
      <c r="CA522" s="0" t="s">
        <v>5598</v>
      </c>
      <c r="CB522" s="0" t="s">
        <v>240</v>
      </c>
      <c r="CC522" s="0" t="s">
        <v>240</v>
      </c>
      <c r="CD522" s="0" t="s">
        <v>240</v>
      </c>
      <c r="CE522" s="0" t="s">
        <v>240</v>
      </c>
      <c r="CF522" s="0" t="s">
        <v>240</v>
      </c>
      <c r="CG522" s="0" t="s">
        <v>5598</v>
      </c>
      <c r="CH522" s="0" t="s">
        <v>240</v>
      </c>
      <c r="CI522" s="0" t="s">
        <v>240</v>
      </c>
      <c r="CJ522" s="0" t="s">
        <v>240</v>
      </c>
      <c r="CK522" s="0" t="s">
        <v>240</v>
      </c>
      <c r="CL522" s="0" t="s">
        <v>240</v>
      </c>
      <c r="CM522" s="0" t="s">
        <v>6031</v>
      </c>
      <c r="CN522" s="0" t="s">
        <v>6031</v>
      </c>
      <c r="CO522" s="0" t="s">
        <v>240</v>
      </c>
      <c r="CP522" s="0" t="s">
        <v>240</v>
      </c>
      <c r="CQ522" s="0" t="s">
        <v>240</v>
      </c>
      <c r="CR522" s="0" t="s">
        <v>240</v>
      </c>
      <c r="CS522" s="0" t="s">
        <v>5507</v>
      </c>
      <c r="CT522" s="0" t="s">
        <v>5496</v>
      </c>
      <c r="CU522" s="0" t="s">
        <v>5497</v>
      </c>
      <c r="CV522" s="0" t="s">
        <v>443</v>
      </c>
      <c r="CW522" s="0" t="s">
        <v>5509</v>
      </c>
      <c r="CX522" s="0" t="s">
        <v>229</v>
      </c>
      <c r="CY522" s="0" t="s">
        <v>443</v>
      </c>
      <c r="CZ522" s="0" t="s">
        <v>5510</v>
      </c>
      <c r="DA522" s="0" t="s">
        <v>5511</v>
      </c>
      <c r="DB522" s="0" t="s">
        <v>5509</v>
      </c>
      <c r="DC522" s="0" t="s">
        <v>384</v>
      </c>
      <c r="DD522" s="0" t="s">
        <v>291</v>
      </c>
      <c r="DE522" s="0" t="s">
        <v>6032</v>
      </c>
    </row>
    <row customHeight="1" ht="11.25">
      <c r="A523" s="1441" t="s">
        <v>240</v>
      </c>
      <c r="B523" s="0" t="s">
        <v>240</v>
      </c>
      <c r="C523" s="0" t="s">
        <v>240</v>
      </c>
      <c r="D523" s="0" t="s">
        <v>240</v>
      </c>
      <c r="E523" s="0" t="s">
        <v>240</v>
      </c>
      <c r="F523" s="0" t="s">
        <v>240</v>
      </c>
      <c r="G523" s="0" t="s">
        <v>240</v>
      </c>
      <c r="H523" s="0" t="s">
        <v>240</v>
      </c>
      <c r="I523" s="0" t="s">
        <v>5484</v>
      </c>
      <c r="J523" s="0" t="s">
        <v>240</v>
      </c>
      <c r="K523" s="0" t="s">
        <v>240</v>
      </c>
      <c r="L523" s="0" t="s">
        <v>240</v>
      </c>
      <c r="M523" s="0" t="s">
        <v>240</v>
      </c>
      <c r="N523" s="0" t="s">
        <v>240</v>
      </c>
      <c r="O523" s="0" t="s">
        <v>240</v>
      </c>
      <c r="P523" s="0" t="s">
        <v>240</v>
      </c>
      <c r="Q523" s="0" t="s">
        <v>240</v>
      </c>
      <c r="R523" s="0" t="s">
        <v>5572</v>
      </c>
      <c r="S523" s="0" t="s">
        <v>240</v>
      </c>
      <c r="T523" s="0" t="s">
        <v>240</v>
      </c>
      <c r="U523" s="0" t="s">
        <v>102</v>
      </c>
      <c r="V523" s="0" t="s">
        <v>240</v>
      </c>
      <c r="W523" s="0" t="s">
        <v>240</v>
      </c>
      <c r="X523" s="0" t="s">
        <v>5485</v>
      </c>
      <c r="Y523" s="0" t="s">
        <v>240</v>
      </c>
      <c r="Z523" s="0" t="s">
        <v>161</v>
      </c>
      <c r="AA523" s="0" t="s">
        <v>152</v>
      </c>
      <c r="AB523" s="0" t="s">
        <v>152</v>
      </c>
      <c r="AC523" s="0" t="s">
        <v>2991</v>
      </c>
      <c r="AD523" s="0" t="s">
        <v>2991</v>
      </c>
      <c r="AE523" s="0" t="s">
        <v>2992</v>
      </c>
      <c r="AF523" s="0" t="s">
        <v>5727</v>
      </c>
      <c r="AG523" s="0" t="s">
        <v>5728</v>
      </c>
      <c r="AH523" s="0" t="s">
        <v>5824</v>
      </c>
      <c r="AI523" s="0" t="s">
        <v>5825</v>
      </c>
      <c r="AJ523" s="0" t="s">
        <v>5552</v>
      </c>
      <c r="AK523" s="0" t="s">
        <v>5544</v>
      </c>
      <c r="AL523" s="0" t="s">
        <v>5506</v>
      </c>
      <c r="AM523" s="0" t="s">
        <v>5493</v>
      </c>
      <c r="AN523" s="0" t="s">
        <v>5545</v>
      </c>
      <c r="AO523" s="0" t="s">
        <v>5508</v>
      </c>
      <c r="AP523" s="0" t="s">
        <v>240</v>
      </c>
      <c r="AQ523" s="0" t="s">
        <v>240</v>
      </c>
      <c r="AR523" s="0" t="s">
        <v>240</v>
      </c>
      <c r="AS523" s="0" t="s">
        <v>240</v>
      </c>
      <c r="AT523" s="0" t="s">
        <v>240</v>
      </c>
      <c r="AU523" s="0" t="s">
        <v>240</v>
      </c>
      <c r="AV523" s="0" t="s">
        <v>240</v>
      </c>
      <c r="AW523" s="0" t="s">
        <v>240</v>
      </c>
      <c r="AX523" s="0" t="s">
        <v>240</v>
      </c>
      <c r="AY523" s="0" t="s">
        <v>240</v>
      </c>
      <c r="AZ523" s="0" t="s">
        <v>240</v>
      </c>
      <c r="BA523" s="0" t="s">
        <v>240</v>
      </c>
      <c r="BB523" s="0" t="s">
        <v>240</v>
      </c>
      <c r="BC523" s="0" t="s">
        <v>240</v>
      </c>
      <c r="BD523" s="0" t="s">
        <v>240</v>
      </c>
      <c r="BE523" s="0" t="s">
        <v>240</v>
      </c>
      <c r="BF523" s="0" t="s">
        <v>240</v>
      </c>
      <c r="BG523" s="0" t="s">
        <v>240</v>
      </c>
      <c r="BH523" s="0" t="s">
        <v>240</v>
      </c>
      <c r="BI523" s="0" t="s">
        <v>240</v>
      </c>
      <c r="BJ523" s="0" t="s">
        <v>240</v>
      </c>
      <c r="BK523" s="0" t="s">
        <v>240</v>
      </c>
      <c r="BL523" s="0" t="s">
        <v>240</v>
      </c>
      <c r="BM523" s="0" t="s">
        <v>240</v>
      </c>
      <c r="BN523" s="0" t="s">
        <v>240</v>
      </c>
      <c r="BO523" s="0" t="s">
        <v>240</v>
      </c>
      <c r="BP523" s="0" t="s">
        <v>240</v>
      </c>
      <c r="BQ523" s="0" t="s">
        <v>240</v>
      </c>
      <c r="BR523" s="0" t="s">
        <v>240</v>
      </c>
      <c r="BS523" s="0" t="s">
        <v>240</v>
      </c>
      <c r="BT523" s="0" t="s">
        <v>240</v>
      </c>
      <c r="BU523" s="0" t="s">
        <v>240</v>
      </c>
      <c r="BV523" s="0" t="s">
        <v>240</v>
      </c>
      <c r="BW523" s="0" t="s">
        <v>240</v>
      </c>
      <c r="BX523" s="0" t="s">
        <v>240</v>
      </c>
      <c r="BY523" s="0" t="s">
        <v>240</v>
      </c>
      <c r="BZ523" s="0" t="s">
        <v>240</v>
      </c>
      <c r="CA523" s="0" t="s">
        <v>240</v>
      </c>
      <c r="CB523" s="0" t="s">
        <v>240</v>
      </c>
      <c r="CC523" s="0" t="s">
        <v>240</v>
      </c>
      <c r="CD523" s="0" t="s">
        <v>240</v>
      </c>
      <c r="CE523" s="0" t="s">
        <v>240</v>
      </c>
      <c r="CF523" s="0" t="s">
        <v>240</v>
      </c>
      <c r="CG523" s="0" t="s">
        <v>240</v>
      </c>
      <c r="CH523" s="0" t="s">
        <v>240</v>
      </c>
      <c r="CI523" s="0" t="s">
        <v>240</v>
      </c>
      <c r="CJ523" s="0" t="s">
        <v>240</v>
      </c>
      <c r="CK523" s="0" t="s">
        <v>240</v>
      </c>
      <c r="CL523" s="0" t="s">
        <v>240</v>
      </c>
      <c r="CM523" s="0" t="s">
        <v>240</v>
      </c>
      <c r="CN523" s="0" t="s">
        <v>240</v>
      </c>
      <c r="CO523" s="0" t="s">
        <v>240</v>
      </c>
      <c r="CP523" s="0" t="s">
        <v>240</v>
      </c>
      <c r="CQ523" s="0" t="s">
        <v>240</v>
      </c>
      <c r="CR523" s="0" t="s">
        <v>240</v>
      </c>
      <c r="CS523" s="0" t="s">
        <v>240</v>
      </c>
      <c r="CT523" s="0" t="s">
        <v>5496</v>
      </c>
      <c r="CU523" s="0" t="s">
        <v>5497</v>
      </c>
      <c r="CV523" s="0" t="s">
        <v>443</v>
      </c>
      <c r="CW523" s="0" t="s">
        <v>5547</v>
      </c>
      <c r="CX523" s="0" t="s">
        <v>229</v>
      </c>
      <c r="CY523" s="0" t="s">
        <v>443</v>
      </c>
      <c r="CZ523" s="0" t="s">
        <v>5548</v>
      </c>
      <c r="DA523" s="0" t="s">
        <v>5549</v>
      </c>
      <c r="DB523" s="0" t="s">
        <v>5547</v>
      </c>
      <c r="DC523" s="0" t="s">
        <v>384</v>
      </c>
      <c r="DD523" s="0" t="s">
        <v>291</v>
      </c>
      <c r="DE523" s="0" t="s">
        <v>5826</v>
      </c>
    </row>
    <row customHeight="1" ht="11.25">
      <c r="A524" s="1441" t="s">
        <v>240</v>
      </c>
      <c r="B524" s="0" t="s">
        <v>240</v>
      </c>
      <c r="C524" s="0" t="s">
        <v>240</v>
      </c>
      <c r="D524" s="0" t="s">
        <v>240</v>
      </c>
      <c r="E524" s="0" t="s">
        <v>240</v>
      </c>
      <c r="F524" s="0" t="s">
        <v>240</v>
      </c>
      <c r="G524" s="0" t="s">
        <v>240</v>
      </c>
      <c r="H524" s="0" t="s">
        <v>240</v>
      </c>
      <c r="I524" s="0" t="s">
        <v>5484</v>
      </c>
      <c r="J524" s="0" t="s">
        <v>240</v>
      </c>
      <c r="K524" s="0" t="s">
        <v>240</v>
      </c>
      <c r="L524" s="0" t="s">
        <v>240</v>
      </c>
      <c r="M524" s="0" t="s">
        <v>240</v>
      </c>
      <c r="N524" s="0" t="s">
        <v>240</v>
      </c>
      <c r="O524" s="0" t="s">
        <v>240</v>
      </c>
      <c r="P524" s="0" t="s">
        <v>240</v>
      </c>
      <c r="Q524" s="0" t="s">
        <v>240</v>
      </c>
      <c r="R524" s="0" t="s">
        <v>6041</v>
      </c>
      <c r="S524" s="0" t="s">
        <v>240</v>
      </c>
      <c r="T524" s="0" t="s">
        <v>240</v>
      </c>
      <c r="U524" s="0" t="s">
        <v>102</v>
      </c>
      <c r="V524" s="0" t="s">
        <v>240</v>
      </c>
      <c r="W524" s="0" t="s">
        <v>240</v>
      </c>
      <c r="X524" s="0" t="s">
        <v>5585</v>
      </c>
      <c r="Y524" s="0" t="s">
        <v>240</v>
      </c>
      <c r="Z524" s="0" t="s">
        <v>152</v>
      </c>
      <c r="AA524" s="0" t="s">
        <v>152</v>
      </c>
      <c r="AB524" s="0" t="s">
        <v>161</v>
      </c>
      <c r="AC524" s="0" t="s">
        <v>2991</v>
      </c>
      <c r="AD524" s="0" t="s">
        <v>2991</v>
      </c>
      <c r="AE524" s="0" t="s">
        <v>2992</v>
      </c>
      <c r="AF524" s="0" t="s">
        <v>5727</v>
      </c>
      <c r="AG524" s="0" t="s">
        <v>5728</v>
      </c>
      <c r="AH524" s="0" t="s">
        <v>5575</v>
      </c>
      <c r="AI524" s="0" t="s">
        <v>5575</v>
      </c>
      <c r="AJ524" s="0" t="s">
        <v>240</v>
      </c>
      <c r="AK524" s="0" t="s">
        <v>240</v>
      </c>
      <c r="AL524" s="0" t="s">
        <v>240</v>
      </c>
      <c r="AM524" s="0" t="s">
        <v>240</v>
      </c>
      <c r="AN524" s="0" t="s">
        <v>240</v>
      </c>
      <c r="AO524" s="0" t="s">
        <v>240</v>
      </c>
      <c r="AP524" s="0" t="s">
        <v>240</v>
      </c>
      <c r="AQ524" s="0" t="s">
        <v>240</v>
      </c>
      <c r="AR524" s="0" t="s">
        <v>240</v>
      </c>
      <c r="AS524" s="0" t="s">
        <v>240</v>
      </c>
      <c r="AT524" s="0" t="s">
        <v>240</v>
      </c>
      <c r="AU524" s="0" t="s">
        <v>240</v>
      </c>
      <c r="AV524" s="0" t="s">
        <v>240</v>
      </c>
      <c r="AW524" s="0" t="s">
        <v>240</v>
      </c>
      <c r="AX524" s="0" t="s">
        <v>240</v>
      </c>
      <c r="AY524" s="0" t="s">
        <v>240</v>
      </c>
      <c r="AZ524" s="0" t="s">
        <v>240</v>
      </c>
      <c r="BA524" s="0" t="s">
        <v>240</v>
      </c>
      <c r="BB524" s="0" t="s">
        <v>240</v>
      </c>
      <c r="BC524" s="0" t="s">
        <v>240</v>
      </c>
      <c r="BD524" s="0" t="s">
        <v>240</v>
      </c>
      <c r="BE524" s="0" t="s">
        <v>5504</v>
      </c>
      <c r="BF524" s="0" t="s">
        <v>5544</v>
      </c>
      <c r="BG524" s="0" t="s">
        <v>112</v>
      </c>
      <c r="BH524" s="0" t="s">
        <v>5589</v>
      </c>
      <c r="BI524" s="0" t="s">
        <v>123</v>
      </c>
      <c r="BJ524" s="0" t="s">
        <v>240</v>
      </c>
      <c r="BK524" s="0" t="s">
        <v>5608</v>
      </c>
      <c r="BL524" s="0" t="s">
        <v>2991</v>
      </c>
      <c r="BM524" s="0" t="s">
        <v>2991</v>
      </c>
      <c r="BN524" s="0" t="s">
        <v>5663</v>
      </c>
      <c r="BO524" s="0" t="s">
        <v>5727</v>
      </c>
      <c r="BP524" s="0" t="s">
        <v>6042</v>
      </c>
      <c r="BQ524" s="0" t="s">
        <v>5575</v>
      </c>
      <c r="BR524" s="0" t="s">
        <v>5575</v>
      </c>
      <c r="BS524" s="0" t="s">
        <v>240</v>
      </c>
      <c r="BT524" s="0" t="s">
        <v>5650</v>
      </c>
      <c r="BU524" s="0" t="s">
        <v>6043</v>
      </c>
      <c r="BV524" s="0" t="s">
        <v>6043</v>
      </c>
      <c r="BW524" s="0" t="s">
        <v>5598</v>
      </c>
      <c r="BX524" s="0" t="s">
        <v>5598</v>
      </c>
      <c r="BY524" s="0" t="s">
        <v>5598</v>
      </c>
      <c r="BZ524" s="0" t="s">
        <v>5598</v>
      </c>
      <c r="CA524" s="0" t="s">
        <v>5598</v>
      </c>
      <c r="CB524" s="0" t="s">
        <v>240</v>
      </c>
      <c r="CC524" s="0" t="s">
        <v>240</v>
      </c>
      <c r="CD524" s="0" t="s">
        <v>240</v>
      </c>
      <c r="CE524" s="0" t="s">
        <v>240</v>
      </c>
      <c r="CF524" s="0" t="s">
        <v>240</v>
      </c>
      <c r="CG524" s="0" t="s">
        <v>5598</v>
      </c>
      <c r="CH524" s="0" t="s">
        <v>240</v>
      </c>
      <c r="CI524" s="0" t="s">
        <v>240</v>
      </c>
      <c r="CJ524" s="0" t="s">
        <v>240</v>
      </c>
      <c r="CK524" s="0" t="s">
        <v>240</v>
      </c>
      <c r="CL524" s="0" t="s">
        <v>240</v>
      </c>
      <c r="CM524" s="0" t="s">
        <v>6043</v>
      </c>
      <c r="CN524" s="0" t="s">
        <v>6043</v>
      </c>
      <c r="CO524" s="0" t="s">
        <v>240</v>
      </c>
      <c r="CP524" s="0" t="s">
        <v>240</v>
      </c>
      <c r="CQ524" s="0" t="s">
        <v>240</v>
      </c>
      <c r="CR524" s="0" t="s">
        <v>240</v>
      </c>
      <c r="CS524" s="0" t="s">
        <v>5666</v>
      </c>
      <c r="CT524" s="0" t="s">
        <v>5496</v>
      </c>
      <c r="CU524" s="0" t="s">
        <v>5497</v>
      </c>
      <c r="CV524" s="0" t="s">
        <v>443</v>
      </c>
      <c r="CW524" s="0" t="s">
        <v>5547</v>
      </c>
      <c r="CX524" s="0" t="s">
        <v>229</v>
      </c>
      <c r="CY524" s="0" t="s">
        <v>443</v>
      </c>
      <c r="CZ524" s="0" t="s">
        <v>5548</v>
      </c>
      <c r="DA524" s="0" t="s">
        <v>5549</v>
      </c>
      <c r="DB524" s="0" t="s">
        <v>5547</v>
      </c>
      <c r="DC524" s="0" t="s">
        <v>384</v>
      </c>
      <c r="DD524" s="0" t="s">
        <v>291</v>
      </c>
      <c r="DE524" s="0" t="s">
        <v>6044</v>
      </c>
    </row>
    <row customHeight="1" ht="11.25">
      <c r="A525" s="1441" t="s">
        <v>240</v>
      </c>
      <c r="B525" s="0" t="s">
        <v>240</v>
      </c>
      <c r="C525" s="0" t="s">
        <v>240</v>
      </c>
      <c r="D525" s="0" t="s">
        <v>240</v>
      </c>
      <c r="E525" s="0" t="s">
        <v>240</v>
      </c>
      <c r="F525" s="0" t="s">
        <v>240</v>
      </c>
      <c r="G525" s="0" t="s">
        <v>240</v>
      </c>
      <c r="H525" s="0" t="s">
        <v>240</v>
      </c>
      <c r="I525" s="0" t="s">
        <v>5484</v>
      </c>
      <c r="J525" s="0" t="s">
        <v>240</v>
      </c>
      <c r="K525" s="0" t="s">
        <v>240</v>
      </c>
      <c r="L525" s="0" t="s">
        <v>240</v>
      </c>
      <c r="M525" s="0" t="s">
        <v>240</v>
      </c>
      <c r="N525" s="0" t="s">
        <v>240</v>
      </c>
      <c r="O525" s="0" t="s">
        <v>240</v>
      </c>
      <c r="P525" s="0" t="s">
        <v>240</v>
      </c>
      <c r="Q525" s="0" t="s">
        <v>240</v>
      </c>
      <c r="R525" s="0" t="s">
        <v>5572</v>
      </c>
      <c r="S525" s="0" t="s">
        <v>240</v>
      </c>
      <c r="T525" s="0" t="s">
        <v>240</v>
      </c>
      <c r="U525" s="0" t="s">
        <v>102</v>
      </c>
      <c r="V525" s="0" t="s">
        <v>240</v>
      </c>
      <c r="W525" s="0" t="s">
        <v>240</v>
      </c>
      <c r="X525" s="0" t="s">
        <v>5485</v>
      </c>
      <c r="Y525" s="0" t="s">
        <v>240</v>
      </c>
      <c r="Z525" s="0" t="s">
        <v>161</v>
      </c>
      <c r="AA525" s="0" t="s">
        <v>152</v>
      </c>
      <c r="AB525" s="0" t="s">
        <v>152</v>
      </c>
      <c r="AC525" s="0" t="s">
        <v>2991</v>
      </c>
      <c r="AD525" s="0" t="s">
        <v>2991</v>
      </c>
      <c r="AE525" s="0" t="s">
        <v>2992</v>
      </c>
      <c r="AF525" s="0" t="s">
        <v>5844</v>
      </c>
      <c r="AG525" s="0" t="s">
        <v>5845</v>
      </c>
      <c r="AH525" s="0" t="s">
        <v>6120</v>
      </c>
      <c r="AI525" s="0" t="s">
        <v>353</v>
      </c>
      <c r="AJ525" s="0" t="s">
        <v>5504</v>
      </c>
      <c r="AK525" s="0" t="s">
        <v>5544</v>
      </c>
      <c r="AL525" s="0" t="s">
        <v>5506</v>
      </c>
      <c r="AM525" s="0" t="s">
        <v>5493</v>
      </c>
      <c r="AN525" s="0" t="s">
        <v>5545</v>
      </c>
      <c r="AO525" s="0" t="s">
        <v>5680</v>
      </c>
      <c r="AP525" s="0" t="s">
        <v>240</v>
      </c>
      <c r="AQ525" s="0" t="s">
        <v>240</v>
      </c>
      <c r="AR525" s="0" t="s">
        <v>240</v>
      </c>
      <c r="AS525" s="0" t="s">
        <v>240</v>
      </c>
      <c r="AT525" s="0" t="s">
        <v>240</v>
      </c>
      <c r="AU525" s="0" t="s">
        <v>240</v>
      </c>
      <c r="AV525" s="0" t="s">
        <v>240</v>
      </c>
      <c r="AW525" s="0" t="s">
        <v>240</v>
      </c>
      <c r="AX525" s="0" t="s">
        <v>240</v>
      </c>
      <c r="AY525" s="0" t="s">
        <v>240</v>
      </c>
      <c r="AZ525" s="0" t="s">
        <v>240</v>
      </c>
      <c r="BA525" s="0" t="s">
        <v>240</v>
      </c>
      <c r="BB525" s="0" t="s">
        <v>240</v>
      </c>
      <c r="BC525" s="0" t="s">
        <v>240</v>
      </c>
      <c r="BD525" s="0" t="s">
        <v>240</v>
      </c>
      <c r="BE525" s="0" t="s">
        <v>240</v>
      </c>
      <c r="BF525" s="0" t="s">
        <v>240</v>
      </c>
      <c r="BG525" s="0" t="s">
        <v>240</v>
      </c>
      <c r="BH525" s="0" t="s">
        <v>240</v>
      </c>
      <c r="BI525" s="0" t="s">
        <v>240</v>
      </c>
      <c r="BJ525" s="0" t="s">
        <v>240</v>
      </c>
      <c r="BK525" s="0" t="s">
        <v>240</v>
      </c>
      <c r="BL525" s="0" t="s">
        <v>240</v>
      </c>
      <c r="BM525" s="0" t="s">
        <v>240</v>
      </c>
      <c r="BN525" s="0" t="s">
        <v>240</v>
      </c>
      <c r="BO525" s="0" t="s">
        <v>240</v>
      </c>
      <c r="BP525" s="0" t="s">
        <v>240</v>
      </c>
      <c r="BQ525" s="0" t="s">
        <v>240</v>
      </c>
      <c r="BR525" s="0" t="s">
        <v>240</v>
      </c>
      <c r="BS525" s="0" t="s">
        <v>240</v>
      </c>
      <c r="BT525" s="0" t="s">
        <v>240</v>
      </c>
      <c r="BU525" s="0" t="s">
        <v>240</v>
      </c>
      <c r="BV525" s="0" t="s">
        <v>240</v>
      </c>
      <c r="BW525" s="0" t="s">
        <v>240</v>
      </c>
      <c r="BX525" s="0" t="s">
        <v>240</v>
      </c>
      <c r="BY525" s="0" t="s">
        <v>240</v>
      </c>
      <c r="BZ525" s="0" t="s">
        <v>240</v>
      </c>
      <c r="CA525" s="0" t="s">
        <v>240</v>
      </c>
      <c r="CB525" s="0" t="s">
        <v>240</v>
      </c>
      <c r="CC525" s="0" t="s">
        <v>240</v>
      </c>
      <c r="CD525" s="0" t="s">
        <v>240</v>
      </c>
      <c r="CE525" s="0" t="s">
        <v>240</v>
      </c>
      <c r="CF525" s="0" t="s">
        <v>240</v>
      </c>
      <c r="CG525" s="0" t="s">
        <v>240</v>
      </c>
      <c r="CH525" s="0" t="s">
        <v>240</v>
      </c>
      <c r="CI525" s="0" t="s">
        <v>240</v>
      </c>
      <c r="CJ525" s="0" t="s">
        <v>240</v>
      </c>
      <c r="CK525" s="0" t="s">
        <v>240</v>
      </c>
      <c r="CL525" s="0" t="s">
        <v>240</v>
      </c>
      <c r="CM525" s="0" t="s">
        <v>240</v>
      </c>
      <c r="CN525" s="0" t="s">
        <v>240</v>
      </c>
      <c r="CO525" s="0" t="s">
        <v>240</v>
      </c>
      <c r="CP525" s="0" t="s">
        <v>240</v>
      </c>
      <c r="CQ525" s="0" t="s">
        <v>240</v>
      </c>
      <c r="CR525" s="0" t="s">
        <v>240</v>
      </c>
      <c r="CS525" s="0" t="s">
        <v>240</v>
      </c>
      <c r="CT525" s="0" t="s">
        <v>5496</v>
      </c>
      <c r="CU525" s="0" t="s">
        <v>5497</v>
      </c>
      <c r="CV525" s="0" t="s">
        <v>443</v>
      </c>
      <c r="CW525" s="0" t="s">
        <v>5547</v>
      </c>
      <c r="CX525" s="0" t="s">
        <v>229</v>
      </c>
      <c r="CY525" s="0" t="s">
        <v>443</v>
      </c>
      <c r="CZ525" s="0" t="s">
        <v>5548</v>
      </c>
      <c r="DA525" s="0" t="s">
        <v>5549</v>
      </c>
      <c r="DB525" s="0" t="s">
        <v>5547</v>
      </c>
      <c r="DC525" s="0" t="s">
        <v>384</v>
      </c>
      <c r="DD525" s="0" t="s">
        <v>291</v>
      </c>
      <c r="DE525" s="0" t="s">
        <v>6308</v>
      </c>
    </row>
    <row customHeight="1" ht="11.25">
      <c r="A526" s="1441" t="s">
        <v>240</v>
      </c>
      <c r="B526" s="0" t="s">
        <v>240</v>
      </c>
      <c r="C526" s="0" t="s">
        <v>240</v>
      </c>
      <c r="D526" s="0" t="s">
        <v>240</v>
      </c>
      <c r="E526" s="0" t="s">
        <v>240</v>
      </c>
      <c r="F526" s="0" t="s">
        <v>240</v>
      </c>
      <c r="G526" s="0" t="s">
        <v>240</v>
      </c>
      <c r="H526" s="0" t="s">
        <v>240</v>
      </c>
      <c r="I526" s="0" t="s">
        <v>5484</v>
      </c>
      <c r="J526" s="0" t="s">
        <v>240</v>
      </c>
      <c r="K526" s="0" t="s">
        <v>240</v>
      </c>
      <c r="L526" s="0" t="s">
        <v>240</v>
      </c>
      <c r="M526" s="0" t="s">
        <v>240</v>
      </c>
      <c r="N526" s="0" t="s">
        <v>240</v>
      </c>
      <c r="O526" s="0" t="s">
        <v>240</v>
      </c>
      <c r="P526" s="0" t="s">
        <v>240</v>
      </c>
      <c r="Q526" s="0" t="s">
        <v>240</v>
      </c>
      <c r="R526" s="0" t="s">
        <v>6318</v>
      </c>
      <c r="S526" s="0" t="s">
        <v>240</v>
      </c>
      <c r="T526" s="0" t="s">
        <v>240</v>
      </c>
      <c r="U526" s="0" t="s">
        <v>102</v>
      </c>
      <c r="V526" s="0" t="s">
        <v>240</v>
      </c>
      <c r="W526" s="0" t="s">
        <v>240</v>
      </c>
      <c r="X526" s="0" t="s">
        <v>5585</v>
      </c>
      <c r="Y526" s="0" t="s">
        <v>240</v>
      </c>
      <c r="Z526" s="0" t="s">
        <v>152</v>
      </c>
      <c r="AA526" s="0" t="s">
        <v>152</v>
      </c>
      <c r="AB526" s="0" t="s">
        <v>161</v>
      </c>
      <c r="AC526" s="0" t="s">
        <v>2991</v>
      </c>
      <c r="AD526" s="0" t="s">
        <v>2991</v>
      </c>
      <c r="AE526" s="0" t="s">
        <v>2992</v>
      </c>
      <c r="AF526" s="0" t="s">
        <v>6113</v>
      </c>
      <c r="AG526" s="0" t="s">
        <v>6114</v>
      </c>
      <c r="AH526" s="0" t="s">
        <v>5575</v>
      </c>
      <c r="AI526" s="0" t="s">
        <v>5575</v>
      </c>
      <c r="AJ526" s="0" t="s">
        <v>240</v>
      </c>
      <c r="AK526" s="0" t="s">
        <v>240</v>
      </c>
      <c r="AL526" s="0" t="s">
        <v>240</v>
      </c>
      <c r="AM526" s="0" t="s">
        <v>240</v>
      </c>
      <c r="AN526" s="0" t="s">
        <v>240</v>
      </c>
      <c r="AO526" s="0" t="s">
        <v>240</v>
      </c>
      <c r="AP526" s="0" t="s">
        <v>240</v>
      </c>
      <c r="AQ526" s="0" t="s">
        <v>240</v>
      </c>
      <c r="AR526" s="0" t="s">
        <v>240</v>
      </c>
      <c r="AS526" s="0" t="s">
        <v>240</v>
      </c>
      <c r="AT526" s="0" t="s">
        <v>240</v>
      </c>
      <c r="AU526" s="0" t="s">
        <v>240</v>
      </c>
      <c r="AV526" s="0" t="s">
        <v>240</v>
      </c>
      <c r="AW526" s="0" t="s">
        <v>240</v>
      </c>
      <c r="AX526" s="0" t="s">
        <v>240</v>
      </c>
      <c r="AY526" s="0" t="s">
        <v>240</v>
      </c>
      <c r="AZ526" s="0" t="s">
        <v>240</v>
      </c>
      <c r="BA526" s="0" t="s">
        <v>240</v>
      </c>
      <c r="BB526" s="0" t="s">
        <v>240</v>
      </c>
      <c r="BC526" s="0" t="s">
        <v>240</v>
      </c>
      <c r="BD526" s="0" t="s">
        <v>240</v>
      </c>
      <c r="BE526" s="0" t="s">
        <v>5552</v>
      </c>
      <c r="BF526" s="0" t="s">
        <v>5672</v>
      </c>
      <c r="BG526" s="0" t="s">
        <v>112</v>
      </c>
      <c r="BH526" s="0" t="s">
        <v>5589</v>
      </c>
      <c r="BI526" s="0" t="s">
        <v>123</v>
      </c>
      <c r="BJ526" s="0" t="s">
        <v>240</v>
      </c>
      <c r="BK526" s="0" t="s">
        <v>5608</v>
      </c>
      <c r="BL526" s="0" t="s">
        <v>2991</v>
      </c>
      <c r="BM526" s="0" t="s">
        <v>2991</v>
      </c>
      <c r="BN526" s="0" t="s">
        <v>5663</v>
      </c>
      <c r="BO526" s="0" t="s">
        <v>6113</v>
      </c>
      <c r="BP526" s="0" t="s">
        <v>6319</v>
      </c>
      <c r="BQ526" s="0" t="s">
        <v>5575</v>
      </c>
      <c r="BR526" s="0" t="s">
        <v>5575</v>
      </c>
      <c r="BS526" s="0" t="s">
        <v>240</v>
      </c>
      <c r="BT526" s="0" t="s">
        <v>5650</v>
      </c>
      <c r="BU526" s="0" t="s">
        <v>6320</v>
      </c>
      <c r="BV526" s="0" t="s">
        <v>6320</v>
      </c>
      <c r="BW526" s="0" t="s">
        <v>5598</v>
      </c>
      <c r="BX526" s="0" t="s">
        <v>5598</v>
      </c>
      <c r="BY526" s="0" t="s">
        <v>5598</v>
      </c>
      <c r="BZ526" s="0" t="s">
        <v>5598</v>
      </c>
      <c r="CA526" s="0" t="s">
        <v>5598</v>
      </c>
      <c r="CB526" s="0" t="s">
        <v>240</v>
      </c>
      <c r="CC526" s="0" t="s">
        <v>240</v>
      </c>
      <c r="CD526" s="0" t="s">
        <v>240</v>
      </c>
      <c r="CE526" s="0" t="s">
        <v>240</v>
      </c>
      <c r="CF526" s="0" t="s">
        <v>240</v>
      </c>
      <c r="CG526" s="0" t="s">
        <v>5598</v>
      </c>
      <c r="CH526" s="0" t="s">
        <v>240</v>
      </c>
      <c r="CI526" s="0" t="s">
        <v>240</v>
      </c>
      <c r="CJ526" s="0" t="s">
        <v>240</v>
      </c>
      <c r="CK526" s="0" t="s">
        <v>240</v>
      </c>
      <c r="CL526" s="0" t="s">
        <v>240</v>
      </c>
      <c r="CM526" s="0" t="s">
        <v>6320</v>
      </c>
      <c r="CN526" s="0" t="s">
        <v>6320</v>
      </c>
      <c r="CO526" s="0" t="s">
        <v>240</v>
      </c>
      <c r="CP526" s="0" t="s">
        <v>240</v>
      </c>
      <c r="CQ526" s="0" t="s">
        <v>240</v>
      </c>
      <c r="CR526" s="0" t="s">
        <v>240</v>
      </c>
      <c r="CS526" s="0" t="s">
        <v>5666</v>
      </c>
      <c r="CT526" s="0" t="s">
        <v>5496</v>
      </c>
      <c r="CU526" s="0" t="s">
        <v>5497</v>
      </c>
      <c r="CV526" s="0" t="s">
        <v>443</v>
      </c>
      <c r="CW526" s="0" t="s">
        <v>5547</v>
      </c>
      <c r="CX526" s="0" t="s">
        <v>229</v>
      </c>
      <c r="CY526" s="0" t="s">
        <v>443</v>
      </c>
      <c r="CZ526" s="0" t="s">
        <v>5548</v>
      </c>
      <c r="DA526" s="0" t="s">
        <v>5549</v>
      </c>
      <c r="DB526" s="0" t="s">
        <v>5547</v>
      </c>
      <c r="DC526" s="0" t="s">
        <v>384</v>
      </c>
      <c r="DD526" s="0" t="s">
        <v>291</v>
      </c>
      <c r="DE526" s="0" t="s">
        <v>6321</v>
      </c>
    </row>
    <row customHeight="1" ht="11.25">
      <c r="A527" s="1441" t="s">
        <v>240</v>
      </c>
      <c r="B527" s="0" t="s">
        <v>240</v>
      </c>
      <c r="C527" s="0" t="s">
        <v>240</v>
      </c>
      <c r="D527" s="0" t="s">
        <v>240</v>
      </c>
      <c r="E527" s="0" t="s">
        <v>240</v>
      </c>
      <c r="F527" s="0" t="s">
        <v>240</v>
      </c>
      <c r="G527" s="0" t="s">
        <v>240</v>
      </c>
      <c r="H527" s="0" t="s">
        <v>240</v>
      </c>
      <c r="I527" s="0" t="s">
        <v>5484</v>
      </c>
      <c r="J527" s="0" t="s">
        <v>240</v>
      </c>
      <c r="K527" s="0" t="s">
        <v>240</v>
      </c>
      <c r="L527" s="0" t="s">
        <v>240</v>
      </c>
      <c r="M527" s="0" t="s">
        <v>240</v>
      </c>
      <c r="N527" s="0" t="s">
        <v>240</v>
      </c>
      <c r="O527" s="0" t="s">
        <v>240</v>
      </c>
      <c r="P527" s="0" t="s">
        <v>240</v>
      </c>
      <c r="Q527" s="0" t="s">
        <v>240</v>
      </c>
      <c r="R527" s="0" t="s">
        <v>5572</v>
      </c>
      <c r="S527" s="0" t="s">
        <v>240</v>
      </c>
      <c r="T527" s="0" t="s">
        <v>240</v>
      </c>
      <c r="U527" s="0" t="s">
        <v>102</v>
      </c>
      <c r="V527" s="0" t="s">
        <v>240</v>
      </c>
      <c r="W527" s="0" t="s">
        <v>240</v>
      </c>
      <c r="X527" s="0" t="s">
        <v>5485</v>
      </c>
      <c r="Y527" s="0" t="s">
        <v>240</v>
      </c>
      <c r="Z527" s="0" t="s">
        <v>161</v>
      </c>
      <c r="AA527" s="0" t="s">
        <v>152</v>
      </c>
      <c r="AB527" s="0" t="s">
        <v>152</v>
      </c>
      <c r="AC527" s="0" t="s">
        <v>2991</v>
      </c>
      <c r="AD527" s="0" t="s">
        <v>2991</v>
      </c>
      <c r="AE527" s="0" t="s">
        <v>2992</v>
      </c>
      <c r="AF527" s="0" t="s">
        <v>5884</v>
      </c>
      <c r="AG527" s="0" t="s">
        <v>5885</v>
      </c>
      <c r="AH527" s="0" t="s">
        <v>6379</v>
      </c>
      <c r="AI527" s="0" t="s">
        <v>5618</v>
      </c>
      <c r="AJ527" s="0" t="s">
        <v>5504</v>
      </c>
      <c r="AK527" s="0" t="s">
        <v>5552</v>
      </c>
      <c r="AL527" s="0" t="s">
        <v>5506</v>
      </c>
      <c r="AM527" s="0" t="s">
        <v>5493</v>
      </c>
      <c r="AN527" s="0" t="s">
        <v>5491</v>
      </c>
      <c r="AO527" s="0" t="s">
        <v>6380</v>
      </c>
      <c r="AP527" s="0" t="s">
        <v>240</v>
      </c>
      <c r="AQ527" s="0" t="s">
        <v>240</v>
      </c>
      <c r="AR527" s="0" t="s">
        <v>240</v>
      </c>
      <c r="AS527" s="0" t="s">
        <v>240</v>
      </c>
      <c r="AT527" s="0" t="s">
        <v>240</v>
      </c>
      <c r="AU527" s="0" t="s">
        <v>240</v>
      </c>
      <c r="AV527" s="0" t="s">
        <v>240</v>
      </c>
      <c r="AW527" s="0" t="s">
        <v>240</v>
      </c>
      <c r="AX527" s="0" t="s">
        <v>240</v>
      </c>
      <c r="AY527" s="0" t="s">
        <v>240</v>
      </c>
      <c r="AZ527" s="0" t="s">
        <v>240</v>
      </c>
      <c r="BA527" s="0" t="s">
        <v>240</v>
      </c>
      <c r="BB527" s="0" t="s">
        <v>240</v>
      </c>
      <c r="BC527" s="0" t="s">
        <v>240</v>
      </c>
      <c r="BD527" s="0" t="s">
        <v>240</v>
      </c>
      <c r="BE527" s="0" t="s">
        <v>240</v>
      </c>
      <c r="BF527" s="0" t="s">
        <v>240</v>
      </c>
      <c r="BG527" s="0" t="s">
        <v>240</v>
      </c>
      <c r="BH527" s="0" t="s">
        <v>240</v>
      </c>
      <c r="BI527" s="0" t="s">
        <v>240</v>
      </c>
      <c r="BJ527" s="0" t="s">
        <v>240</v>
      </c>
      <c r="BK527" s="0" t="s">
        <v>240</v>
      </c>
      <c r="BL527" s="0" t="s">
        <v>240</v>
      </c>
      <c r="BM527" s="0" t="s">
        <v>240</v>
      </c>
      <c r="BN527" s="0" t="s">
        <v>240</v>
      </c>
      <c r="BO527" s="0" t="s">
        <v>240</v>
      </c>
      <c r="BP527" s="0" t="s">
        <v>240</v>
      </c>
      <c r="BQ527" s="0" t="s">
        <v>240</v>
      </c>
      <c r="BR527" s="0" t="s">
        <v>240</v>
      </c>
      <c r="BS527" s="0" t="s">
        <v>240</v>
      </c>
      <c r="BT527" s="0" t="s">
        <v>240</v>
      </c>
      <c r="BU527" s="0" t="s">
        <v>240</v>
      </c>
      <c r="BV527" s="0" t="s">
        <v>240</v>
      </c>
      <c r="BW527" s="0" t="s">
        <v>240</v>
      </c>
      <c r="BX527" s="0" t="s">
        <v>240</v>
      </c>
      <c r="BY527" s="0" t="s">
        <v>240</v>
      </c>
      <c r="BZ527" s="0" t="s">
        <v>240</v>
      </c>
      <c r="CA527" s="0" t="s">
        <v>240</v>
      </c>
      <c r="CB527" s="0" t="s">
        <v>240</v>
      </c>
      <c r="CC527" s="0" t="s">
        <v>240</v>
      </c>
      <c r="CD527" s="0" t="s">
        <v>240</v>
      </c>
      <c r="CE527" s="0" t="s">
        <v>240</v>
      </c>
      <c r="CF527" s="0" t="s">
        <v>240</v>
      </c>
      <c r="CG527" s="0" t="s">
        <v>240</v>
      </c>
      <c r="CH527" s="0" t="s">
        <v>240</v>
      </c>
      <c r="CI527" s="0" t="s">
        <v>240</v>
      </c>
      <c r="CJ527" s="0" t="s">
        <v>240</v>
      </c>
      <c r="CK527" s="0" t="s">
        <v>240</v>
      </c>
      <c r="CL527" s="0" t="s">
        <v>240</v>
      </c>
      <c r="CM527" s="0" t="s">
        <v>240</v>
      </c>
      <c r="CN527" s="0" t="s">
        <v>240</v>
      </c>
      <c r="CO527" s="0" t="s">
        <v>240</v>
      </c>
      <c r="CP527" s="0" t="s">
        <v>240</v>
      </c>
      <c r="CQ527" s="0" t="s">
        <v>240</v>
      </c>
      <c r="CR527" s="0" t="s">
        <v>240</v>
      </c>
      <c r="CS527" s="0" t="s">
        <v>240</v>
      </c>
      <c r="CT527" s="0" t="s">
        <v>5496</v>
      </c>
      <c r="CU527" s="0" t="s">
        <v>5497</v>
      </c>
      <c r="CV527" s="0" t="s">
        <v>443</v>
      </c>
      <c r="CW527" s="0" t="s">
        <v>5547</v>
      </c>
      <c r="CX527" s="0" t="s">
        <v>229</v>
      </c>
      <c r="CY527" s="0" t="s">
        <v>443</v>
      </c>
      <c r="CZ527" s="0" t="s">
        <v>5548</v>
      </c>
      <c r="DA527" s="0" t="s">
        <v>5549</v>
      </c>
      <c r="DB527" s="0" t="s">
        <v>5547</v>
      </c>
      <c r="DC527" s="0" t="s">
        <v>384</v>
      </c>
      <c r="DD527" s="0" t="s">
        <v>291</v>
      </c>
      <c r="DE527" s="0" t="s">
        <v>6381</v>
      </c>
    </row>
    <row customHeight="1" ht="11.25">
      <c r="A528" s="1441" t="s">
        <v>240</v>
      </c>
      <c r="B528" s="0" t="s">
        <v>240</v>
      </c>
      <c r="C528" s="0" t="s">
        <v>240</v>
      </c>
      <c r="D528" s="0" t="s">
        <v>240</v>
      </c>
      <c r="E528" s="0" t="s">
        <v>240</v>
      </c>
      <c r="F528" s="0" t="s">
        <v>240</v>
      </c>
      <c r="G528" s="0" t="s">
        <v>240</v>
      </c>
      <c r="H528" s="0" t="s">
        <v>240</v>
      </c>
      <c r="I528" s="0" t="s">
        <v>5484</v>
      </c>
      <c r="J528" s="0" t="s">
        <v>240</v>
      </c>
      <c r="K528" s="0" t="s">
        <v>240</v>
      </c>
      <c r="L528" s="0" t="s">
        <v>240</v>
      </c>
      <c r="M528" s="0" t="s">
        <v>240</v>
      </c>
      <c r="N528" s="0" t="s">
        <v>240</v>
      </c>
      <c r="O528" s="0" t="s">
        <v>240</v>
      </c>
      <c r="P528" s="0" t="s">
        <v>240</v>
      </c>
      <c r="Q528" s="0" t="s">
        <v>240</v>
      </c>
      <c r="R528" s="0" t="s">
        <v>5572</v>
      </c>
      <c r="S528" s="0" t="s">
        <v>240</v>
      </c>
      <c r="T528" s="0" t="s">
        <v>240</v>
      </c>
      <c r="U528" s="0" t="s">
        <v>102</v>
      </c>
      <c r="V528" s="0" t="s">
        <v>240</v>
      </c>
      <c r="W528" s="0" t="s">
        <v>240</v>
      </c>
      <c r="X528" s="0" t="s">
        <v>5485</v>
      </c>
      <c r="Y528" s="0" t="s">
        <v>240</v>
      </c>
      <c r="Z528" s="0" t="s">
        <v>161</v>
      </c>
      <c r="AA528" s="0" t="s">
        <v>152</v>
      </c>
      <c r="AB528" s="0" t="s">
        <v>152</v>
      </c>
      <c r="AC528" s="0" t="s">
        <v>2991</v>
      </c>
      <c r="AD528" s="0" t="s">
        <v>2991</v>
      </c>
      <c r="AE528" s="0" t="s">
        <v>2992</v>
      </c>
      <c r="AF528" s="0" t="s">
        <v>5839</v>
      </c>
      <c r="AG528" s="0" t="s">
        <v>5840</v>
      </c>
      <c r="AH528" s="0" t="s">
        <v>5886</v>
      </c>
      <c r="AI528" s="0" t="s">
        <v>6562</v>
      </c>
      <c r="AJ528" s="0" t="s">
        <v>5504</v>
      </c>
      <c r="AK528" s="0" t="s">
        <v>5544</v>
      </c>
      <c r="AL528" s="0" t="s">
        <v>5506</v>
      </c>
      <c r="AM528" s="0" t="s">
        <v>5493</v>
      </c>
      <c r="AN528" s="0" t="s">
        <v>5545</v>
      </c>
      <c r="AO528" s="0" t="s">
        <v>5836</v>
      </c>
      <c r="AP528" s="0" t="s">
        <v>240</v>
      </c>
      <c r="AQ528" s="0" t="s">
        <v>240</v>
      </c>
      <c r="AR528" s="0" t="s">
        <v>240</v>
      </c>
      <c r="AS528" s="0" t="s">
        <v>240</v>
      </c>
      <c r="AT528" s="0" t="s">
        <v>240</v>
      </c>
      <c r="AU528" s="0" t="s">
        <v>240</v>
      </c>
      <c r="AV528" s="0" t="s">
        <v>240</v>
      </c>
      <c r="AW528" s="0" t="s">
        <v>240</v>
      </c>
      <c r="AX528" s="0" t="s">
        <v>240</v>
      </c>
      <c r="AY528" s="0" t="s">
        <v>240</v>
      </c>
      <c r="AZ528" s="0" t="s">
        <v>240</v>
      </c>
      <c r="BA528" s="0" t="s">
        <v>240</v>
      </c>
      <c r="BB528" s="0" t="s">
        <v>240</v>
      </c>
      <c r="BC528" s="0" t="s">
        <v>240</v>
      </c>
      <c r="BD528" s="0" t="s">
        <v>240</v>
      </c>
      <c r="BE528" s="0" t="s">
        <v>240</v>
      </c>
      <c r="BF528" s="0" t="s">
        <v>240</v>
      </c>
      <c r="BG528" s="0" t="s">
        <v>240</v>
      </c>
      <c r="BH528" s="0" t="s">
        <v>240</v>
      </c>
      <c r="BI528" s="0" t="s">
        <v>240</v>
      </c>
      <c r="BJ528" s="0" t="s">
        <v>240</v>
      </c>
      <c r="BK528" s="0" t="s">
        <v>240</v>
      </c>
      <c r="BL528" s="0" t="s">
        <v>240</v>
      </c>
      <c r="BM528" s="0" t="s">
        <v>240</v>
      </c>
      <c r="BN528" s="0" t="s">
        <v>240</v>
      </c>
      <c r="BO528" s="0" t="s">
        <v>240</v>
      </c>
      <c r="BP528" s="0" t="s">
        <v>240</v>
      </c>
      <c r="BQ528" s="0" t="s">
        <v>240</v>
      </c>
      <c r="BR528" s="0" t="s">
        <v>240</v>
      </c>
      <c r="BS528" s="0" t="s">
        <v>240</v>
      </c>
      <c r="BT528" s="0" t="s">
        <v>240</v>
      </c>
      <c r="BU528" s="0" t="s">
        <v>240</v>
      </c>
      <c r="BV528" s="0" t="s">
        <v>240</v>
      </c>
      <c r="BW528" s="0" t="s">
        <v>240</v>
      </c>
      <c r="BX528" s="0" t="s">
        <v>240</v>
      </c>
      <c r="BY528" s="0" t="s">
        <v>240</v>
      </c>
      <c r="BZ528" s="0" t="s">
        <v>240</v>
      </c>
      <c r="CA528" s="0" t="s">
        <v>240</v>
      </c>
      <c r="CB528" s="0" t="s">
        <v>240</v>
      </c>
      <c r="CC528" s="0" t="s">
        <v>240</v>
      </c>
      <c r="CD528" s="0" t="s">
        <v>240</v>
      </c>
      <c r="CE528" s="0" t="s">
        <v>240</v>
      </c>
      <c r="CF528" s="0" t="s">
        <v>240</v>
      </c>
      <c r="CG528" s="0" t="s">
        <v>240</v>
      </c>
      <c r="CH528" s="0" t="s">
        <v>240</v>
      </c>
      <c r="CI528" s="0" t="s">
        <v>240</v>
      </c>
      <c r="CJ528" s="0" t="s">
        <v>240</v>
      </c>
      <c r="CK528" s="0" t="s">
        <v>240</v>
      </c>
      <c r="CL528" s="0" t="s">
        <v>240</v>
      </c>
      <c r="CM528" s="0" t="s">
        <v>240</v>
      </c>
      <c r="CN528" s="0" t="s">
        <v>240</v>
      </c>
      <c r="CO528" s="0" t="s">
        <v>240</v>
      </c>
      <c r="CP528" s="0" t="s">
        <v>240</v>
      </c>
      <c r="CQ528" s="0" t="s">
        <v>240</v>
      </c>
      <c r="CR528" s="0" t="s">
        <v>240</v>
      </c>
      <c r="CS528" s="0" t="s">
        <v>240</v>
      </c>
      <c r="CT528" s="0" t="s">
        <v>5496</v>
      </c>
      <c r="CU528" s="0" t="s">
        <v>5497</v>
      </c>
      <c r="CV528" s="0" t="s">
        <v>443</v>
      </c>
      <c r="CW528" s="0" t="s">
        <v>5547</v>
      </c>
      <c r="CX528" s="0" t="s">
        <v>229</v>
      </c>
      <c r="CY528" s="0" t="s">
        <v>443</v>
      </c>
      <c r="CZ528" s="0" t="s">
        <v>5548</v>
      </c>
      <c r="DA528" s="0" t="s">
        <v>5549</v>
      </c>
      <c r="DB528" s="0" t="s">
        <v>5547</v>
      </c>
      <c r="DC528" s="0" t="s">
        <v>384</v>
      </c>
      <c r="DD528" s="0" t="s">
        <v>291</v>
      </c>
      <c r="DE528" s="0" t="s">
        <v>6927</v>
      </c>
    </row>
    <row customHeight="1" ht="11.25">
      <c r="A529" s="1441" t="s">
        <v>240</v>
      </c>
      <c r="B529" s="0" t="s">
        <v>240</v>
      </c>
      <c r="C529" s="0" t="s">
        <v>240</v>
      </c>
      <c r="D529" s="0" t="s">
        <v>240</v>
      </c>
      <c r="E529" s="0" t="s">
        <v>240</v>
      </c>
      <c r="F529" s="0" t="s">
        <v>240</v>
      </c>
      <c r="G529" s="0" t="s">
        <v>240</v>
      </c>
      <c r="H529" s="0" t="s">
        <v>240</v>
      </c>
      <c r="I529" s="0" t="s">
        <v>5484</v>
      </c>
      <c r="J529" s="0" t="s">
        <v>240</v>
      </c>
      <c r="K529" s="0" t="s">
        <v>240</v>
      </c>
      <c r="L529" s="0" t="s">
        <v>240</v>
      </c>
      <c r="M529" s="0" t="s">
        <v>240</v>
      </c>
      <c r="N529" s="0" t="s">
        <v>240</v>
      </c>
      <c r="O529" s="0" t="s">
        <v>240</v>
      </c>
      <c r="P529" s="0" t="s">
        <v>240</v>
      </c>
      <c r="Q529" s="0" t="s">
        <v>240</v>
      </c>
      <c r="R529" s="0" t="s">
        <v>6982</v>
      </c>
      <c r="S529" s="0" t="s">
        <v>240</v>
      </c>
      <c r="T529" s="0" t="s">
        <v>240</v>
      </c>
      <c r="U529" s="0" t="s">
        <v>102</v>
      </c>
      <c r="V529" s="0" t="s">
        <v>240</v>
      </c>
      <c r="W529" s="0" t="s">
        <v>240</v>
      </c>
      <c r="X529" s="0" t="s">
        <v>5485</v>
      </c>
      <c r="Y529" s="0" t="s">
        <v>240</v>
      </c>
      <c r="Z529" s="0" t="s">
        <v>161</v>
      </c>
      <c r="AA529" s="0" t="s">
        <v>152</v>
      </c>
      <c r="AB529" s="0" t="s">
        <v>152</v>
      </c>
      <c r="AC529" s="0" t="s">
        <v>3389</v>
      </c>
      <c r="AD529" s="0" t="s">
        <v>3389</v>
      </c>
      <c r="AE529" s="0" t="s">
        <v>3390</v>
      </c>
      <c r="AF529" s="0" t="s">
        <v>5519</v>
      </c>
      <c r="AG529" s="0" t="s">
        <v>5520</v>
      </c>
      <c r="AH529" s="0" t="s">
        <v>6123</v>
      </c>
      <c r="AI529" s="0" t="s">
        <v>5533</v>
      </c>
      <c r="AJ529" s="0" t="s">
        <v>5587</v>
      </c>
      <c r="AK529" s="0" t="s">
        <v>6124</v>
      </c>
      <c r="AL529" s="0" t="s">
        <v>5492</v>
      </c>
      <c r="AM529" s="0" t="s">
        <v>5493</v>
      </c>
      <c r="AN529" s="0" t="s">
        <v>5893</v>
      </c>
      <c r="AO529" s="0" t="s">
        <v>6125</v>
      </c>
      <c r="AP529" s="0" t="s">
        <v>240</v>
      </c>
      <c r="AQ529" s="0" t="s">
        <v>240</v>
      </c>
      <c r="AR529" s="0" t="s">
        <v>240</v>
      </c>
      <c r="AS529" s="0" t="s">
        <v>240</v>
      </c>
      <c r="AT529" s="0" t="s">
        <v>240</v>
      </c>
      <c r="AU529" s="0" t="s">
        <v>240</v>
      </c>
      <c r="AV529" s="0" t="s">
        <v>240</v>
      </c>
      <c r="AW529" s="0" t="s">
        <v>240</v>
      </c>
      <c r="AX529" s="0" t="s">
        <v>240</v>
      </c>
      <c r="AY529" s="0" t="s">
        <v>240</v>
      </c>
      <c r="AZ529" s="0" t="s">
        <v>240</v>
      </c>
      <c r="BA529" s="0" t="s">
        <v>240</v>
      </c>
      <c r="BB529" s="0" t="s">
        <v>240</v>
      </c>
      <c r="BC529" s="0" t="s">
        <v>240</v>
      </c>
      <c r="BD529" s="0" t="s">
        <v>240</v>
      </c>
      <c r="BE529" s="0" t="s">
        <v>240</v>
      </c>
      <c r="BF529" s="0" t="s">
        <v>240</v>
      </c>
      <c r="BG529" s="0" t="s">
        <v>240</v>
      </c>
      <c r="BH529" s="0" t="s">
        <v>240</v>
      </c>
      <c r="BI529" s="0" t="s">
        <v>240</v>
      </c>
      <c r="BJ529" s="0" t="s">
        <v>240</v>
      </c>
      <c r="BK529" s="0" t="s">
        <v>240</v>
      </c>
      <c r="BL529" s="0" t="s">
        <v>240</v>
      </c>
      <c r="BM529" s="0" t="s">
        <v>240</v>
      </c>
      <c r="BN529" s="0" t="s">
        <v>240</v>
      </c>
      <c r="BO529" s="0" t="s">
        <v>240</v>
      </c>
      <c r="BP529" s="0" t="s">
        <v>240</v>
      </c>
      <c r="BQ529" s="0" t="s">
        <v>240</v>
      </c>
      <c r="BR529" s="0" t="s">
        <v>240</v>
      </c>
      <c r="BS529" s="0" t="s">
        <v>240</v>
      </c>
      <c r="BT529" s="0" t="s">
        <v>240</v>
      </c>
      <c r="BU529" s="0" t="s">
        <v>240</v>
      </c>
      <c r="BV529" s="0" t="s">
        <v>240</v>
      </c>
      <c r="BW529" s="0" t="s">
        <v>240</v>
      </c>
      <c r="BX529" s="0" t="s">
        <v>240</v>
      </c>
      <c r="BY529" s="0" t="s">
        <v>240</v>
      </c>
      <c r="BZ529" s="0" t="s">
        <v>240</v>
      </c>
      <c r="CA529" s="0" t="s">
        <v>240</v>
      </c>
      <c r="CB529" s="0" t="s">
        <v>240</v>
      </c>
      <c r="CC529" s="0" t="s">
        <v>240</v>
      </c>
      <c r="CD529" s="0" t="s">
        <v>240</v>
      </c>
      <c r="CE529" s="0" t="s">
        <v>240</v>
      </c>
      <c r="CF529" s="0" t="s">
        <v>240</v>
      </c>
      <c r="CG529" s="0" t="s">
        <v>240</v>
      </c>
      <c r="CH529" s="0" t="s">
        <v>240</v>
      </c>
      <c r="CI529" s="0" t="s">
        <v>240</v>
      </c>
      <c r="CJ529" s="0" t="s">
        <v>240</v>
      </c>
      <c r="CK529" s="0" t="s">
        <v>240</v>
      </c>
      <c r="CL529" s="0" t="s">
        <v>240</v>
      </c>
      <c r="CM529" s="0" t="s">
        <v>240</v>
      </c>
      <c r="CN529" s="0" t="s">
        <v>240</v>
      </c>
      <c r="CO529" s="0" t="s">
        <v>240</v>
      </c>
      <c r="CP529" s="0" t="s">
        <v>240</v>
      </c>
      <c r="CQ529" s="0" t="s">
        <v>240</v>
      </c>
      <c r="CR529" s="0" t="s">
        <v>240</v>
      </c>
      <c r="CS529" s="0" t="s">
        <v>240</v>
      </c>
      <c r="CT529" s="0" t="s">
        <v>5496</v>
      </c>
      <c r="CU529" s="0" t="s">
        <v>5497</v>
      </c>
      <c r="CV529" s="0" t="s">
        <v>443</v>
      </c>
      <c r="CW529" s="0" t="s">
        <v>5527</v>
      </c>
      <c r="CX529" s="0" t="s">
        <v>5528</v>
      </c>
      <c r="CY529" s="0" t="s">
        <v>443</v>
      </c>
      <c r="CZ529" s="0" t="s">
        <v>299</v>
      </c>
      <c r="DA529" s="0" t="s">
        <v>5529</v>
      </c>
      <c r="DB529" s="0" t="s">
        <v>5527</v>
      </c>
      <c r="DC529" s="0" t="s">
        <v>384</v>
      </c>
      <c r="DD529" s="0" t="s">
        <v>291</v>
      </c>
      <c r="DE529" s="0" t="s">
        <v>6126</v>
      </c>
    </row>
    <row customHeight="1" ht="11.25">
      <c r="A530" s="1441" t="s">
        <v>240</v>
      </c>
      <c r="B530" s="0" t="s">
        <v>240</v>
      </c>
      <c r="C530" s="0" t="s">
        <v>240</v>
      </c>
      <c r="D530" s="0" t="s">
        <v>240</v>
      </c>
      <c r="E530" s="0" t="s">
        <v>240</v>
      </c>
      <c r="F530" s="0" t="s">
        <v>240</v>
      </c>
      <c r="G530" s="0" t="s">
        <v>240</v>
      </c>
      <c r="H530" s="0" t="s">
        <v>240</v>
      </c>
      <c r="I530" s="0" t="s">
        <v>5484</v>
      </c>
      <c r="J530" s="0" t="s">
        <v>240</v>
      </c>
      <c r="K530" s="0" t="s">
        <v>240</v>
      </c>
      <c r="L530" s="0" t="s">
        <v>240</v>
      </c>
      <c r="M530" s="0" t="s">
        <v>240</v>
      </c>
      <c r="N530" s="0" t="s">
        <v>240</v>
      </c>
      <c r="O530" s="0" t="s">
        <v>240</v>
      </c>
      <c r="P530" s="0" t="s">
        <v>240</v>
      </c>
      <c r="Q530" s="0" t="s">
        <v>240</v>
      </c>
      <c r="R530" s="0" t="s">
        <v>5572</v>
      </c>
      <c r="S530" s="0" t="s">
        <v>240</v>
      </c>
      <c r="T530" s="0" t="s">
        <v>240</v>
      </c>
      <c r="U530" s="0" t="s">
        <v>102</v>
      </c>
      <c r="V530" s="0" t="s">
        <v>240</v>
      </c>
      <c r="W530" s="0" t="s">
        <v>240</v>
      </c>
      <c r="X530" s="0" t="s">
        <v>5485</v>
      </c>
      <c r="Y530" s="0" t="s">
        <v>240</v>
      </c>
      <c r="Z530" s="0" t="s">
        <v>161</v>
      </c>
      <c r="AA530" s="0" t="s">
        <v>152</v>
      </c>
      <c r="AB530" s="0" t="s">
        <v>152</v>
      </c>
      <c r="AC530" s="0" t="s">
        <v>2991</v>
      </c>
      <c r="AD530" s="0" t="s">
        <v>2991</v>
      </c>
      <c r="AE530" s="0" t="s">
        <v>2992</v>
      </c>
      <c r="AF530" s="0" t="s">
        <v>5839</v>
      </c>
      <c r="AG530" s="0" t="s">
        <v>5840</v>
      </c>
      <c r="AH530" s="0" t="s">
        <v>6116</v>
      </c>
      <c r="AI530" s="0" t="s">
        <v>5966</v>
      </c>
      <c r="AJ530" s="0" t="s">
        <v>5504</v>
      </c>
      <c r="AK530" s="0" t="s">
        <v>5544</v>
      </c>
      <c r="AL530" s="0" t="s">
        <v>5506</v>
      </c>
      <c r="AM530" s="0" t="s">
        <v>5493</v>
      </c>
      <c r="AN530" s="0" t="s">
        <v>5822</v>
      </c>
      <c r="AO530" s="0" t="s">
        <v>6485</v>
      </c>
      <c r="AP530" s="0" t="s">
        <v>240</v>
      </c>
      <c r="AQ530" s="0" t="s">
        <v>240</v>
      </c>
      <c r="AR530" s="0" t="s">
        <v>240</v>
      </c>
      <c r="AS530" s="0" t="s">
        <v>240</v>
      </c>
      <c r="AT530" s="0" t="s">
        <v>240</v>
      </c>
      <c r="AU530" s="0" t="s">
        <v>240</v>
      </c>
      <c r="AV530" s="0" t="s">
        <v>240</v>
      </c>
      <c r="AW530" s="0" t="s">
        <v>240</v>
      </c>
      <c r="AX530" s="0" t="s">
        <v>240</v>
      </c>
      <c r="AY530" s="0" t="s">
        <v>240</v>
      </c>
      <c r="AZ530" s="0" t="s">
        <v>240</v>
      </c>
      <c r="BA530" s="0" t="s">
        <v>240</v>
      </c>
      <c r="BB530" s="0" t="s">
        <v>240</v>
      </c>
      <c r="BC530" s="0" t="s">
        <v>240</v>
      </c>
      <c r="BD530" s="0" t="s">
        <v>240</v>
      </c>
      <c r="BE530" s="0" t="s">
        <v>240</v>
      </c>
      <c r="BF530" s="0" t="s">
        <v>240</v>
      </c>
      <c r="BG530" s="0" t="s">
        <v>240</v>
      </c>
      <c r="BH530" s="0" t="s">
        <v>240</v>
      </c>
      <c r="BI530" s="0" t="s">
        <v>240</v>
      </c>
      <c r="BJ530" s="0" t="s">
        <v>240</v>
      </c>
      <c r="BK530" s="0" t="s">
        <v>240</v>
      </c>
      <c r="BL530" s="0" t="s">
        <v>240</v>
      </c>
      <c r="BM530" s="0" t="s">
        <v>240</v>
      </c>
      <c r="BN530" s="0" t="s">
        <v>240</v>
      </c>
      <c r="BO530" s="0" t="s">
        <v>240</v>
      </c>
      <c r="BP530" s="0" t="s">
        <v>240</v>
      </c>
      <c r="BQ530" s="0" t="s">
        <v>240</v>
      </c>
      <c r="BR530" s="0" t="s">
        <v>240</v>
      </c>
      <c r="BS530" s="0" t="s">
        <v>240</v>
      </c>
      <c r="BT530" s="0" t="s">
        <v>240</v>
      </c>
      <c r="BU530" s="0" t="s">
        <v>240</v>
      </c>
      <c r="BV530" s="0" t="s">
        <v>240</v>
      </c>
      <c r="BW530" s="0" t="s">
        <v>240</v>
      </c>
      <c r="BX530" s="0" t="s">
        <v>240</v>
      </c>
      <c r="BY530" s="0" t="s">
        <v>240</v>
      </c>
      <c r="BZ530" s="0" t="s">
        <v>240</v>
      </c>
      <c r="CA530" s="0" t="s">
        <v>240</v>
      </c>
      <c r="CB530" s="0" t="s">
        <v>240</v>
      </c>
      <c r="CC530" s="0" t="s">
        <v>240</v>
      </c>
      <c r="CD530" s="0" t="s">
        <v>240</v>
      </c>
      <c r="CE530" s="0" t="s">
        <v>240</v>
      </c>
      <c r="CF530" s="0" t="s">
        <v>240</v>
      </c>
      <c r="CG530" s="0" t="s">
        <v>240</v>
      </c>
      <c r="CH530" s="0" t="s">
        <v>240</v>
      </c>
      <c r="CI530" s="0" t="s">
        <v>240</v>
      </c>
      <c r="CJ530" s="0" t="s">
        <v>240</v>
      </c>
      <c r="CK530" s="0" t="s">
        <v>240</v>
      </c>
      <c r="CL530" s="0" t="s">
        <v>240</v>
      </c>
      <c r="CM530" s="0" t="s">
        <v>240</v>
      </c>
      <c r="CN530" s="0" t="s">
        <v>240</v>
      </c>
      <c r="CO530" s="0" t="s">
        <v>240</v>
      </c>
      <c r="CP530" s="0" t="s">
        <v>240</v>
      </c>
      <c r="CQ530" s="0" t="s">
        <v>240</v>
      </c>
      <c r="CR530" s="0" t="s">
        <v>240</v>
      </c>
      <c r="CS530" s="0" t="s">
        <v>240</v>
      </c>
      <c r="CT530" s="0" t="s">
        <v>5496</v>
      </c>
      <c r="CU530" s="0" t="s">
        <v>5497</v>
      </c>
      <c r="CV530" s="0" t="s">
        <v>443</v>
      </c>
      <c r="CW530" s="0" t="s">
        <v>5547</v>
      </c>
      <c r="CX530" s="0" t="s">
        <v>229</v>
      </c>
      <c r="CY530" s="0" t="s">
        <v>443</v>
      </c>
      <c r="CZ530" s="0" t="s">
        <v>5548</v>
      </c>
      <c r="DA530" s="0" t="s">
        <v>5549</v>
      </c>
      <c r="DB530" s="0" t="s">
        <v>5547</v>
      </c>
      <c r="DC530" s="0" t="s">
        <v>384</v>
      </c>
      <c r="DD530" s="0" t="s">
        <v>291</v>
      </c>
      <c r="DE530" s="0" t="s">
        <v>6928</v>
      </c>
    </row>
    <row customHeight="1" ht="11.25">
      <c r="A531" s="1441" t="s">
        <v>240</v>
      </c>
      <c r="B531" s="0" t="s">
        <v>240</v>
      </c>
      <c r="C531" s="0" t="s">
        <v>240</v>
      </c>
      <c r="D531" s="0" t="s">
        <v>240</v>
      </c>
      <c r="E531" s="0" t="s">
        <v>240</v>
      </c>
      <c r="F531" s="0" t="s">
        <v>240</v>
      </c>
      <c r="G531" s="0" t="s">
        <v>240</v>
      </c>
      <c r="H531" s="0" t="s">
        <v>240</v>
      </c>
      <c r="I531" s="0" t="s">
        <v>5484</v>
      </c>
      <c r="J531" s="0" t="s">
        <v>240</v>
      </c>
      <c r="K531" s="0" t="s">
        <v>240</v>
      </c>
      <c r="L531" s="0" t="s">
        <v>240</v>
      </c>
      <c r="M531" s="0" t="s">
        <v>240</v>
      </c>
      <c r="N531" s="0" t="s">
        <v>240</v>
      </c>
      <c r="O531" s="0" t="s">
        <v>240</v>
      </c>
      <c r="P531" s="0" t="s">
        <v>240</v>
      </c>
      <c r="Q531" s="0" t="s">
        <v>240</v>
      </c>
      <c r="R531" s="0" t="s">
        <v>5838</v>
      </c>
      <c r="S531" s="0" t="s">
        <v>240</v>
      </c>
      <c r="T531" s="0" t="s">
        <v>240</v>
      </c>
      <c r="U531" s="0" t="s">
        <v>102</v>
      </c>
      <c r="V531" s="0" t="s">
        <v>240</v>
      </c>
      <c r="W531" s="0" t="s">
        <v>240</v>
      </c>
      <c r="X531" s="0" t="s">
        <v>5585</v>
      </c>
      <c r="Y531" s="0" t="s">
        <v>240</v>
      </c>
      <c r="Z531" s="0" t="s">
        <v>152</v>
      </c>
      <c r="AA531" s="0" t="s">
        <v>152</v>
      </c>
      <c r="AB531" s="0" t="s">
        <v>161</v>
      </c>
      <c r="AC531" s="0" t="s">
        <v>2991</v>
      </c>
      <c r="AD531" s="0" t="s">
        <v>2991</v>
      </c>
      <c r="AE531" s="0" t="s">
        <v>2992</v>
      </c>
      <c r="AF531" s="0" t="s">
        <v>5839</v>
      </c>
      <c r="AG531" s="0" t="s">
        <v>5840</v>
      </c>
      <c r="AH531" s="0" t="s">
        <v>5575</v>
      </c>
      <c r="AI531" s="0" t="s">
        <v>5575</v>
      </c>
      <c r="AJ531" s="0" t="s">
        <v>240</v>
      </c>
      <c r="AK531" s="0" t="s">
        <v>240</v>
      </c>
      <c r="AL531" s="0" t="s">
        <v>240</v>
      </c>
      <c r="AM531" s="0" t="s">
        <v>240</v>
      </c>
      <c r="AN531" s="0" t="s">
        <v>240</v>
      </c>
      <c r="AO531" s="0" t="s">
        <v>240</v>
      </c>
      <c r="AP531" s="0" t="s">
        <v>240</v>
      </c>
      <c r="AQ531" s="0" t="s">
        <v>240</v>
      </c>
      <c r="AR531" s="0" t="s">
        <v>240</v>
      </c>
      <c r="AS531" s="0" t="s">
        <v>240</v>
      </c>
      <c r="AT531" s="0" t="s">
        <v>240</v>
      </c>
      <c r="AU531" s="0" t="s">
        <v>240</v>
      </c>
      <c r="AV531" s="0" t="s">
        <v>240</v>
      </c>
      <c r="AW531" s="0" t="s">
        <v>240</v>
      </c>
      <c r="AX531" s="0" t="s">
        <v>240</v>
      </c>
      <c r="AY531" s="0" t="s">
        <v>240</v>
      </c>
      <c r="AZ531" s="0" t="s">
        <v>240</v>
      </c>
      <c r="BA531" s="0" t="s">
        <v>240</v>
      </c>
      <c r="BB531" s="0" t="s">
        <v>240</v>
      </c>
      <c r="BC531" s="0" t="s">
        <v>240</v>
      </c>
      <c r="BD531" s="0" t="s">
        <v>240</v>
      </c>
      <c r="BE531" s="0" t="s">
        <v>5552</v>
      </c>
      <c r="BF531" s="0" t="s">
        <v>5672</v>
      </c>
      <c r="BG531" s="0" t="s">
        <v>112</v>
      </c>
      <c r="BH531" s="0" t="s">
        <v>5589</v>
      </c>
      <c r="BI531" s="0" t="s">
        <v>123</v>
      </c>
      <c r="BJ531" s="0" t="s">
        <v>240</v>
      </c>
      <c r="BK531" s="0" t="s">
        <v>5608</v>
      </c>
      <c r="BL531" s="0" t="s">
        <v>2991</v>
      </c>
      <c r="BM531" s="0" t="s">
        <v>2991</v>
      </c>
      <c r="BN531" s="0" t="s">
        <v>5663</v>
      </c>
      <c r="BO531" s="0" t="s">
        <v>5839</v>
      </c>
      <c r="BP531" s="0" t="s">
        <v>5841</v>
      </c>
      <c r="BQ531" s="0" t="s">
        <v>5575</v>
      </c>
      <c r="BR531" s="0" t="s">
        <v>5575</v>
      </c>
      <c r="BS531" s="0" t="s">
        <v>240</v>
      </c>
      <c r="BT531" s="0" t="s">
        <v>5650</v>
      </c>
      <c r="BU531" s="0" t="s">
        <v>5842</v>
      </c>
      <c r="BV531" s="0" t="s">
        <v>5842</v>
      </c>
      <c r="BW531" s="0" t="s">
        <v>5598</v>
      </c>
      <c r="BX531" s="0" t="s">
        <v>5598</v>
      </c>
      <c r="BY531" s="0" t="s">
        <v>5598</v>
      </c>
      <c r="BZ531" s="0" t="s">
        <v>5598</v>
      </c>
      <c r="CA531" s="0" t="s">
        <v>5598</v>
      </c>
      <c r="CB531" s="0" t="s">
        <v>240</v>
      </c>
      <c r="CC531" s="0" t="s">
        <v>240</v>
      </c>
      <c r="CD531" s="0" t="s">
        <v>240</v>
      </c>
      <c r="CE531" s="0" t="s">
        <v>240</v>
      </c>
      <c r="CF531" s="0" t="s">
        <v>240</v>
      </c>
      <c r="CG531" s="0" t="s">
        <v>5598</v>
      </c>
      <c r="CH531" s="0" t="s">
        <v>240</v>
      </c>
      <c r="CI531" s="0" t="s">
        <v>240</v>
      </c>
      <c r="CJ531" s="0" t="s">
        <v>240</v>
      </c>
      <c r="CK531" s="0" t="s">
        <v>240</v>
      </c>
      <c r="CL531" s="0" t="s">
        <v>240</v>
      </c>
      <c r="CM531" s="0" t="s">
        <v>5842</v>
      </c>
      <c r="CN531" s="0" t="s">
        <v>5842</v>
      </c>
      <c r="CO531" s="0" t="s">
        <v>240</v>
      </c>
      <c r="CP531" s="0" t="s">
        <v>240</v>
      </c>
      <c r="CQ531" s="0" t="s">
        <v>240</v>
      </c>
      <c r="CR531" s="0" t="s">
        <v>240</v>
      </c>
      <c r="CS531" s="0" t="s">
        <v>5666</v>
      </c>
      <c r="CT531" s="0" t="s">
        <v>5496</v>
      </c>
      <c r="CU531" s="0" t="s">
        <v>5497</v>
      </c>
      <c r="CV531" s="0" t="s">
        <v>443</v>
      </c>
      <c r="CW531" s="0" t="s">
        <v>5547</v>
      </c>
      <c r="CX531" s="0" t="s">
        <v>229</v>
      </c>
      <c r="CY531" s="0" t="s">
        <v>443</v>
      </c>
      <c r="CZ531" s="0" t="s">
        <v>5548</v>
      </c>
      <c r="DA531" s="0" t="s">
        <v>5549</v>
      </c>
      <c r="DB531" s="0" t="s">
        <v>5547</v>
      </c>
      <c r="DC531" s="0" t="s">
        <v>384</v>
      </c>
      <c r="DD531" s="0" t="s">
        <v>291</v>
      </c>
      <c r="DE531" s="0" t="s">
        <v>5843</v>
      </c>
    </row>
    <row customHeight="1" ht="11.25">
      <c r="A532" s="1441" t="s">
        <v>240</v>
      </c>
      <c r="B532" s="0" t="s">
        <v>240</v>
      </c>
      <c r="C532" s="0" t="s">
        <v>240</v>
      </c>
      <c r="D532" s="0" t="s">
        <v>240</v>
      </c>
      <c r="E532" s="0" t="s">
        <v>240</v>
      </c>
      <c r="F532" s="0" t="s">
        <v>240</v>
      </c>
      <c r="G532" s="0" t="s">
        <v>240</v>
      </c>
      <c r="H532" s="0" t="s">
        <v>240</v>
      </c>
      <c r="I532" s="0" t="s">
        <v>5484</v>
      </c>
      <c r="J532" s="0" t="s">
        <v>240</v>
      </c>
      <c r="K532" s="0" t="s">
        <v>240</v>
      </c>
      <c r="L532" s="0" t="s">
        <v>240</v>
      </c>
      <c r="M532" s="0" t="s">
        <v>240</v>
      </c>
      <c r="N532" s="0" t="s">
        <v>240</v>
      </c>
      <c r="O532" s="0" t="s">
        <v>240</v>
      </c>
      <c r="P532" s="0" t="s">
        <v>240</v>
      </c>
      <c r="Q532" s="0" t="s">
        <v>240</v>
      </c>
      <c r="R532" s="0" t="s">
        <v>6983</v>
      </c>
      <c r="S532" s="0" t="s">
        <v>240</v>
      </c>
      <c r="T532" s="0" t="s">
        <v>240</v>
      </c>
      <c r="U532" s="0" t="s">
        <v>102</v>
      </c>
      <c r="V532" s="0" t="s">
        <v>240</v>
      </c>
      <c r="W532" s="0" t="s">
        <v>240</v>
      </c>
      <c r="X532" s="0" t="s">
        <v>5485</v>
      </c>
      <c r="Y532" s="0" t="s">
        <v>240</v>
      </c>
      <c r="Z532" s="0" t="s">
        <v>161</v>
      </c>
      <c r="AA532" s="0" t="s">
        <v>152</v>
      </c>
      <c r="AB532" s="0" t="s">
        <v>152</v>
      </c>
      <c r="AC532" s="0" t="s">
        <v>3389</v>
      </c>
      <c r="AD532" s="0" t="s">
        <v>3389</v>
      </c>
      <c r="AE532" s="0" t="s">
        <v>3390</v>
      </c>
      <c r="AF532" s="0" t="s">
        <v>5519</v>
      </c>
      <c r="AG532" s="0" t="s">
        <v>5520</v>
      </c>
      <c r="AH532" s="0" t="s">
        <v>5566</v>
      </c>
      <c r="AI532" s="0" t="s">
        <v>5567</v>
      </c>
      <c r="AJ532" s="0" t="s">
        <v>5568</v>
      </c>
      <c r="AK532" s="0" t="s">
        <v>5569</v>
      </c>
      <c r="AL532" s="0" t="s">
        <v>5570</v>
      </c>
      <c r="AM532" s="0" t="s">
        <v>5493</v>
      </c>
      <c r="AN532" s="0" t="s">
        <v>5525</v>
      </c>
      <c r="AO532" s="0" t="s">
        <v>5526</v>
      </c>
      <c r="AP532" s="0" t="s">
        <v>240</v>
      </c>
      <c r="AQ532" s="0" t="s">
        <v>240</v>
      </c>
      <c r="AR532" s="0" t="s">
        <v>240</v>
      </c>
      <c r="AS532" s="0" t="s">
        <v>240</v>
      </c>
      <c r="AT532" s="0" t="s">
        <v>240</v>
      </c>
      <c r="AU532" s="0" t="s">
        <v>240</v>
      </c>
      <c r="AV532" s="0" t="s">
        <v>240</v>
      </c>
      <c r="AW532" s="0" t="s">
        <v>240</v>
      </c>
      <c r="AX532" s="0" t="s">
        <v>240</v>
      </c>
      <c r="AY532" s="0" t="s">
        <v>240</v>
      </c>
      <c r="AZ532" s="0" t="s">
        <v>240</v>
      </c>
      <c r="BA532" s="0" t="s">
        <v>240</v>
      </c>
      <c r="BB532" s="0" t="s">
        <v>240</v>
      </c>
      <c r="BC532" s="0" t="s">
        <v>240</v>
      </c>
      <c r="BD532" s="0" t="s">
        <v>240</v>
      </c>
      <c r="BE532" s="0" t="s">
        <v>240</v>
      </c>
      <c r="BF532" s="0" t="s">
        <v>240</v>
      </c>
      <c r="BG532" s="0" t="s">
        <v>240</v>
      </c>
      <c r="BH532" s="0" t="s">
        <v>240</v>
      </c>
      <c r="BI532" s="0" t="s">
        <v>240</v>
      </c>
      <c r="BJ532" s="0" t="s">
        <v>240</v>
      </c>
      <c r="BK532" s="0" t="s">
        <v>240</v>
      </c>
      <c r="BL532" s="0" t="s">
        <v>240</v>
      </c>
      <c r="BM532" s="0" t="s">
        <v>240</v>
      </c>
      <c r="BN532" s="0" t="s">
        <v>240</v>
      </c>
      <c r="BO532" s="0" t="s">
        <v>240</v>
      </c>
      <c r="BP532" s="0" t="s">
        <v>240</v>
      </c>
      <c r="BQ532" s="0" t="s">
        <v>240</v>
      </c>
      <c r="BR532" s="0" t="s">
        <v>240</v>
      </c>
      <c r="BS532" s="0" t="s">
        <v>240</v>
      </c>
      <c r="BT532" s="0" t="s">
        <v>240</v>
      </c>
      <c r="BU532" s="0" t="s">
        <v>240</v>
      </c>
      <c r="BV532" s="0" t="s">
        <v>240</v>
      </c>
      <c r="BW532" s="0" t="s">
        <v>240</v>
      </c>
      <c r="BX532" s="0" t="s">
        <v>240</v>
      </c>
      <c r="BY532" s="0" t="s">
        <v>240</v>
      </c>
      <c r="BZ532" s="0" t="s">
        <v>240</v>
      </c>
      <c r="CA532" s="0" t="s">
        <v>240</v>
      </c>
      <c r="CB532" s="0" t="s">
        <v>240</v>
      </c>
      <c r="CC532" s="0" t="s">
        <v>240</v>
      </c>
      <c r="CD532" s="0" t="s">
        <v>240</v>
      </c>
      <c r="CE532" s="0" t="s">
        <v>240</v>
      </c>
      <c r="CF532" s="0" t="s">
        <v>240</v>
      </c>
      <c r="CG532" s="0" t="s">
        <v>240</v>
      </c>
      <c r="CH532" s="0" t="s">
        <v>240</v>
      </c>
      <c r="CI532" s="0" t="s">
        <v>240</v>
      </c>
      <c r="CJ532" s="0" t="s">
        <v>240</v>
      </c>
      <c r="CK532" s="0" t="s">
        <v>240</v>
      </c>
      <c r="CL532" s="0" t="s">
        <v>240</v>
      </c>
      <c r="CM532" s="0" t="s">
        <v>240</v>
      </c>
      <c r="CN532" s="0" t="s">
        <v>240</v>
      </c>
      <c r="CO532" s="0" t="s">
        <v>240</v>
      </c>
      <c r="CP532" s="0" t="s">
        <v>240</v>
      </c>
      <c r="CQ532" s="0" t="s">
        <v>240</v>
      </c>
      <c r="CR532" s="0" t="s">
        <v>240</v>
      </c>
      <c r="CS532" s="0" t="s">
        <v>240</v>
      </c>
      <c r="CT532" s="0" t="s">
        <v>5496</v>
      </c>
      <c r="CU532" s="0" t="s">
        <v>5497</v>
      </c>
      <c r="CV532" s="0" t="s">
        <v>443</v>
      </c>
      <c r="CW532" s="0" t="s">
        <v>5527</v>
      </c>
      <c r="CX532" s="0" t="s">
        <v>5528</v>
      </c>
      <c r="CY532" s="0" t="s">
        <v>443</v>
      </c>
      <c r="CZ532" s="0" t="s">
        <v>299</v>
      </c>
      <c r="DA532" s="0" t="s">
        <v>5529</v>
      </c>
      <c r="DB532" s="0" t="s">
        <v>5527</v>
      </c>
      <c r="DC532" s="0" t="s">
        <v>384</v>
      </c>
      <c r="DD532" s="0" t="s">
        <v>291</v>
      </c>
      <c r="DE532" s="0" t="s">
        <v>5571</v>
      </c>
    </row>
    <row customHeight="1" ht="11.25">
      <c r="A533" s="1441" t="s">
        <v>240</v>
      </c>
      <c r="B533" s="0" t="s">
        <v>240</v>
      </c>
      <c r="C533" s="0" t="s">
        <v>240</v>
      </c>
      <c r="D533" s="0" t="s">
        <v>240</v>
      </c>
      <c r="E533" s="0" t="s">
        <v>240</v>
      </c>
      <c r="F533" s="0" t="s">
        <v>240</v>
      </c>
      <c r="G533" s="0" t="s">
        <v>240</v>
      </c>
      <c r="H533" s="0" t="s">
        <v>240</v>
      </c>
      <c r="I533" s="0" t="s">
        <v>5484</v>
      </c>
      <c r="J533" s="0" t="s">
        <v>240</v>
      </c>
      <c r="K533" s="0" t="s">
        <v>240</v>
      </c>
      <c r="L533" s="0" t="s">
        <v>240</v>
      </c>
      <c r="M533" s="0" t="s">
        <v>240</v>
      </c>
      <c r="N533" s="0" t="s">
        <v>240</v>
      </c>
      <c r="O533" s="0" t="s">
        <v>240</v>
      </c>
      <c r="P533" s="0" t="s">
        <v>240</v>
      </c>
      <c r="Q533" s="0" t="s">
        <v>240</v>
      </c>
      <c r="R533" s="0" t="s">
        <v>5572</v>
      </c>
      <c r="S533" s="0" t="s">
        <v>240</v>
      </c>
      <c r="T533" s="0" t="s">
        <v>240</v>
      </c>
      <c r="U533" s="0" t="s">
        <v>102</v>
      </c>
      <c r="V533" s="0" t="s">
        <v>240</v>
      </c>
      <c r="W533" s="0" t="s">
        <v>240</v>
      </c>
      <c r="X533" s="0" t="s">
        <v>5485</v>
      </c>
      <c r="Y533" s="0" t="s">
        <v>240</v>
      </c>
      <c r="Z533" s="0" t="s">
        <v>161</v>
      </c>
      <c r="AA533" s="0" t="s">
        <v>152</v>
      </c>
      <c r="AB533" s="0" t="s">
        <v>152</v>
      </c>
      <c r="AC533" s="0" t="s">
        <v>2989</v>
      </c>
      <c r="AD533" s="0" t="s">
        <v>2989</v>
      </c>
      <c r="AE533" s="0" t="s">
        <v>2990</v>
      </c>
      <c r="AF533" s="0" t="s">
        <v>5573</v>
      </c>
      <c r="AG533" s="0" t="s">
        <v>5574</v>
      </c>
      <c r="AH533" s="0" t="s">
        <v>5575</v>
      </c>
      <c r="AI533" s="0" t="s">
        <v>5575</v>
      </c>
      <c r="AJ533" s="0" t="s">
        <v>5576</v>
      </c>
      <c r="AK533" s="0" t="s">
        <v>5577</v>
      </c>
      <c r="AL533" s="0" t="s">
        <v>5506</v>
      </c>
      <c r="AM533" s="0" t="s">
        <v>5493</v>
      </c>
      <c r="AN533" s="0" t="s">
        <v>5578</v>
      </c>
      <c r="AO533" s="0" t="s">
        <v>5579</v>
      </c>
      <c r="AP533" s="0" t="s">
        <v>240</v>
      </c>
      <c r="AQ533" s="0" t="s">
        <v>240</v>
      </c>
      <c r="AR533" s="0" t="s">
        <v>240</v>
      </c>
      <c r="AS533" s="0" t="s">
        <v>240</v>
      </c>
      <c r="AT533" s="0" t="s">
        <v>240</v>
      </c>
      <c r="AU533" s="0" t="s">
        <v>240</v>
      </c>
      <c r="AV533" s="0" t="s">
        <v>240</v>
      </c>
      <c r="AW533" s="0" t="s">
        <v>240</v>
      </c>
      <c r="AX533" s="0" t="s">
        <v>240</v>
      </c>
      <c r="AY533" s="0" t="s">
        <v>240</v>
      </c>
      <c r="AZ533" s="0" t="s">
        <v>240</v>
      </c>
      <c r="BA533" s="0" t="s">
        <v>240</v>
      </c>
      <c r="BB533" s="0" t="s">
        <v>240</v>
      </c>
      <c r="BC533" s="0" t="s">
        <v>240</v>
      </c>
      <c r="BD533" s="0" t="s">
        <v>240</v>
      </c>
      <c r="BE533" s="0" t="s">
        <v>240</v>
      </c>
      <c r="BF533" s="0" t="s">
        <v>240</v>
      </c>
      <c r="BG533" s="0" t="s">
        <v>240</v>
      </c>
      <c r="BH533" s="0" t="s">
        <v>240</v>
      </c>
      <c r="BI533" s="0" t="s">
        <v>240</v>
      </c>
      <c r="BJ533" s="0" t="s">
        <v>240</v>
      </c>
      <c r="BK533" s="0" t="s">
        <v>240</v>
      </c>
      <c r="BL533" s="0" t="s">
        <v>240</v>
      </c>
      <c r="BM533" s="0" t="s">
        <v>240</v>
      </c>
      <c r="BN533" s="0" t="s">
        <v>240</v>
      </c>
      <c r="BO533" s="0" t="s">
        <v>240</v>
      </c>
      <c r="BP533" s="0" t="s">
        <v>240</v>
      </c>
      <c r="BQ533" s="0" t="s">
        <v>240</v>
      </c>
      <c r="BR533" s="0" t="s">
        <v>240</v>
      </c>
      <c r="BS533" s="0" t="s">
        <v>240</v>
      </c>
      <c r="BT533" s="0" t="s">
        <v>240</v>
      </c>
      <c r="BU533" s="0" t="s">
        <v>240</v>
      </c>
      <c r="BV533" s="0" t="s">
        <v>240</v>
      </c>
      <c r="BW533" s="0" t="s">
        <v>240</v>
      </c>
      <c r="BX533" s="0" t="s">
        <v>240</v>
      </c>
      <c r="BY533" s="0" t="s">
        <v>240</v>
      </c>
      <c r="BZ533" s="0" t="s">
        <v>240</v>
      </c>
      <c r="CA533" s="0" t="s">
        <v>240</v>
      </c>
      <c r="CB533" s="0" t="s">
        <v>240</v>
      </c>
      <c r="CC533" s="0" t="s">
        <v>240</v>
      </c>
      <c r="CD533" s="0" t="s">
        <v>240</v>
      </c>
      <c r="CE533" s="0" t="s">
        <v>240</v>
      </c>
      <c r="CF533" s="0" t="s">
        <v>240</v>
      </c>
      <c r="CG533" s="0" t="s">
        <v>240</v>
      </c>
      <c r="CH533" s="0" t="s">
        <v>240</v>
      </c>
      <c r="CI533" s="0" t="s">
        <v>240</v>
      </c>
      <c r="CJ533" s="0" t="s">
        <v>240</v>
      </c>
      <c r="CK533" s="0" t="s">
        <v>240</v>
      </c>
      <c r="CL533" s="0" t="s">
        <v>240</v>
      </c>
      <c r="CM533" s="0" t="s">
        <v>240</v>
      </c>
      <c r="CN533" s="0" t="s">
        <v>240</v>
      </c>
      <c r="CO533" s="0" t="s">
        <v>240</v>
      </c>
      <c r="CP533" s="0" t="s">
        <v>240</v>
      </c>
      <c r="CQ533" s="0" t="s">
        <v>240</v>
      </c>
      <c r="CR533" s="0" t="s">
        <v>240</v>
      </c>
      <c r="CS533" s="0" t="s">
        <v>240</v>
      </c>
      <c r="CT533" s="0" t="s">
        <v>5496</v>
      </c>
      <c r="CU533" s="0" t="s">
        <v>5497</v>
      </c>
      <c r="CV533" s="0" t="s">
        <v>443</v>
      </c>
      <c r="CW533" s="0" t="s">
        <v>5580</v>
      </c>
      <c r="CX533" s="0" t="s">
        <v>229</v>
      </c>
      <c r="CY533" s="0" t="s">
        <v>443</v>
      </c>
      <c r="CZ533" s="0" t="s">
        <v>5581</v>
      </c>
      <c r="DA533" s="0" t="s">
        <v>5582</v>
      </c>
      <c r="DB533" s="0" t="s">
        <v>5580</v>
      </c>
      <c r="DC533" s="0" t="s">
        <v>384</v>
      </c>
      <c r="DD533" s="0" t="s">
        <v>291</v>
      </c>
      <c r="DE533" s="0" t="s">
        <v>5583</v>
      </c>
    </row>
    <row customHeight="1" ht="11.25">
      <c r="A534" s="1441" t="s">
        <v>240</v>
      </c>
      <c r="B534" s="0" t="s">
        <v>240</v>
      </c>
      <c r="C534" s="0" t="s">
        <v>240</v>
      </c>
      <c r="D534" s="0" t="s">
        <v>240</v>
      </c>
      <c r="E534" s="0" t="s">
        <v>240</v>
      </c>
      <c r="F534" s="0" t="s">
        <v>240</v>
      </c>
      <c r="G534" s="0" t="s">
        <v>240</v>
      </c>
      <c r="H534" s="0" t="s">
        <v>240</v>
      </c>
      <c r="I534" s="0" t="s">
        <v>5484</v>
      </c>
      <c r="J534" s="0" t="s">
        <v>240</v>
      </c>
      <c r="K534" s="0" t="s">
        <v>240</v>
      </c>
      <c r="L534" s="0" t="s">
        <v>240</v>
      </c>
      <c r="M534" s="0" t="s">
        <v>240</v>
      </c>
      <c r="N534" s="0" t="s">
        <v>240</v>
      </c>
      <c r="O534" s="0" t="s">
        <v>240</v>
      </c>
      <c r="P534" s="0" t="s">
        <v>240</v>
      </c>
      <c r="Q534" s="0" t="s">
        <v>240</v>
      </c>
      <c r="R534" s="0" t="s">
        <v>5849</v>
      </c>
      <c r="S534" s="0" t="s">
        <v>240</v>
      </c>
      <c r="T534" s="0" t="s">
        <v>240</v>
      </c>
      <c r="U534" s="0" t="s">
        <v>102</v>
      </c>
      <c r="V534" s="0" t="s">
        <v>240</v>
      </c>
      <c r="W534" s="0" t="s">
        <v>240</v>
      </c>
      <c r="X534" s="0" t="s">
        <v>5585</v>
      </c>
      <c r="Y534" s="0" t="s">
        <v>240</v>
      </c>
      <c r="Z534" s="0" t="s">
        <v>152</v>
      </c>
      <c r="AA534" s="0" t="s">
        <v>152</v>
      </c>
      <c r="AB534" s="0" t="s">
        <v>161</v>
      </c>
      <c r="AC534" s="0" t="s">
        <v>2989</v>
      </c>
      <c r="AD534" s="0" t="s">
        <v>2989</v>
      </c>
      <c r="AE534" s="0" t="s">
        <v>2990</v>
      </c>
      <c r="AF534" s="0" t="s">
        <v>5573</v>
      </c>
      <c r="AG534" s="0" t="s">
        <v>5574</v>
      </c>
      <c r="AH534" s="0" t="s">
        <v>5575</v>
      </c>
      <c r="AI534" s="0" t="s">
        <v>5575</v>
      </c>
      <c r="AJ534" s="0" t="s">
        <v>240</v>
      </c>
      <c r="AK534" s="0" t="s">
        <v>240</v>
      </c>
      <c r="AL534" s="0" t="s">
        <v>240</v>
      </c>
      <c r="AM534" s="0" t="s">
        <v>240</v>
      </c>
      <c r="AN534" s="0" t="s">
        <v>240</v>
      </c>
      <c r="AO534" s="0" t="s">
        <v>240</v>
      </c>
      <c r="AP534" s="0" t="s">
        <v>240</v>
      </c>
      <c r="AQ534" s="0" t="s">
        <v>240</v>
      </c>
      <c r="AR534" s="0" t="s">
        <v>240</v>
      </c>
      <c r="AS534" s="0" t="s">
        <v>240</v>
      </c>
      <c r="AT534" s="0" t="s">
        <v>240</v>
      </c>
      <c r="AU534" s="0" t="s">
        <v>240</v>
      </c>
      <c r="AV534" s="0" t="s">
        <v>240</v>
      </c>
      <c r="AW534" s="0" t="s">
        <v>240</v>
      </c>
      <c r="AX534" s="0" t="s">
        <v>240</v>
      </c>
      <c r="AY534" s="0" t="s">
        <v>240</v>
      </c>
      <c r="AZ534" s="0" t="s">
        <v>240</v>
      </c>
      <c r="BA534" s="0" t="s">
        <v>240</v>
      </c>
      <c r="BB534" s="0" t="s">
        <v>240</v>
      </c>
      <c r="BC534" s="0" t="s">
        <v>240</v>
      </c>
      <c r="BD534" s="0" t="s">
        <v>240</v>
      </c>
      <c r="BE534" s="0" t="s">
        <v>5576</v>
      </c>
      <c r="BF534" s="0" t="s">
        <v>5577</v>
      </c>
      <c r="BG534" s="0" t="s">
        <v>112</v>
      </c>
      <c r="BH534" s="0" t="s">
        <v>5589</v>
      </c>
      <c r="BI534" s="0" t="s">
        <v>123</v>
      </c>
      <c r="BJ534" s="0" t="s">
        <v>240</v>
      </c>
      <c r="BK534" s="0" t="s">
        <v>5608</v>
      </c>
      <c r="BL534" s="0" t="s">
        <v>2989</v>
      </c>
      <c r="BM534" s="0" t="s">
        <v>2989</v>
      </c>
      <c r="BN534" s="0" t="s">
        <v>5798</v>
      </c>
      <c r="BO534" s="0" t="s">
        <v>5573</v>
      </c>
      <c r="BP534" s="0" t="s">
        <v>5850</v>
      </c>
      <c r="BQ534" s="0" t="s">
        <v>5575</v>
      </c>
      <c r="BR534" s="0" t="s">
        <v>5575</v>
      </c>
      <c r="BS534" s="0" t="s">
        <v>240</v>
      </c>
      <c r="BT534" s="0" t="s">
        <v>5650</v>
      </c>
      <c r="BU534" s="0" t="s">
        <v>5851</v>
      </c>
      <c r="BV534" s="0" t="s">
        <v>5851</v>
      </c>
      <c r="BW534" s="0" t="s">
        <v>5598</v>
      </c>
      <c r="BX534" s="0" t="s">
        <v>5598</v>
      </c>
      <c r="BY534" s="0" t="s">
        <v>5598</v>
      </c>
      <c r="BZ534" s="0" t="s">
        <v>5598</v>
      </c>
      <c r="CA534" s="0" t="s">
        <v>5598</v>
      </c>
      <c r="CB534" s="0" t="s">
        <v>240</v>
      </c>
      <c r="CC534" s="0" t="s">
        <v>240</v>
      </c>
      <c r="CD534" s="0" t="s">
        <v>240</v>
      </c>
      <c r="CE534" s="0" t="s">
        <v>240</v>
      </c>
      <c r="CF534" s="0" t="s">
        <v>240</v>
      </c>
      <c r="CG534" s="0" t="s">
        <v>5598</v>
      </c>
      <c r="CH534" s="0" t="s">
        <v>240</v>
      </c>
      <c r="CI534" s="0" t="s">
        <v>240</v>
      </c>
      <c r="CJ534" s="0" t="s">
        <v>240</v>
      </c>
      <c r="CK534" s="0" t="s">
        <v>240</v>
      </c>
      <c r="CL534" s="0" t="s">
        <v>240</v>
      </c>
      <c r="CM534" s="0" t="s">
        <v>5851</v>
      </c>
      <c r="CN534" s="0" t="s">
        <v>5851</v>
      </c>
      <c r="CO534" s="0" t="s">
        <v>240</v>
      </c>
      <c r="CP534" s="0" t="s">
        <v>240</v>
      </c>
      <c r="CQ534" s="0" t="s">
        <v>240</v>
      </c>
      <c r="CR534" s="0" t="s">
        <v>240</v>
      </c>
      <c r="CS534" s="0" t="s">
        <v>5553</v>
      </c>
      <c r="CT534" s="0" t="s">
        <v>5496</v>
      </c>
      <c r="CU534" s="0" t="s">
        <v>5497</v>
      </c>
      <c r="CV534" s="0" t="s">
        <v>443</v>
      </c>
      <c r="CW534" s="0" t="s">
        <v>5580</v>
      </c>
      <c r="CX534" s="0" t="s">
        <v>229</v>
      </c>
      <c r="CY534" s="0" t="s">
        <v>443</v>
      </c>
      <c r="CZ534" s="0" t="s">
        <v>5581</v>
      </c>
      <c r="DA534" s="0" t="s">
        <v>5582</v>
      </c>
      <c r="DB534" s="0" t="s">
        <v>5580</v>
      </c>
      <c r="DC534" s="0" t="s">
        <v>384</v>
      </c>
      <c r="DD534" s="0" t="s">
        <v>291</v>
      </c>
      <c r="DE534" s="0" t="s">
        <v>5583</v>
      </c>
    </row>
    <row customHeight="1" ht="11.25">
      <c r="A535" s="1441" t="s">
        <v>240</v>
      </c>
      <c r="B535" s="0" t="s">
        <v>240</v>
      </c>
      <c r="C535" s="0" t="s">
        <v>240</v>
      </c>
      <c r="D535" s="0" t="s">
        <v>240</v>
      </c>
      <c r="E535" s="0" t="s">
        <v>240</v>
      </c>
      <c r="F535" s="0" t="s">
        <v>240</v>
      </c>
      <c r="G535" s="0" t="s">
        <v>240</v>
      </c>
      <c r="H535" s="0" t="s">
        <v>240</v>
      </c>
      <c r="I535" s="0" t="s">
        <v>5484</v>
      </c>
      <c r="J535" s="0" t="s">
        <v>240</v>
      </c>
      <c r="K535" s="0" t="s">
        <v>240</v>
      </c>
      <c r="L535" s="0" t="s">
        <v>240</v>
      </c>
      <c r="M535" s="0" t="s">
        <v>240</v>
      </c>
      <c r="N535" s="0" t="s">
        <v>240</v>
      </c>
      <c r="O535" s="0" t="s">
        <v>240</v>
      </c>
      <c r="P535" s="0" t="s">
        <v>240</v>
      </c>
      <c r="Q535" s="0" t="s">
        <v>240</v>
      </c>
      <c r="R535" s="0" t="s">
        <v>6984</v>
      </c>
      <c r="S535" s="0" t="s">
        <v>240</v>
      </c>
      <c r="T535" s="0" t="s">
        <v>240</v>
      </c>
      <c r="U535" s="0" t="s">
        <v>102</v>
      </c>
      <c r="V535" s="0" t="s">
        <v>240</v>
      </c>
      <c r="W535" s="0" t="s">
        <v>240</v>
      </c>
      <c r="X535" s="0" t="s">
        <v>5585</v>
      </c>
      <c r="Y535" s="0" t="s">
        <v>240</v>
      </c>
      <c r="Z535" s="0" t="s">
        <v>152</v>
      </c>
      <c r="AA535" s="0" t="s">
        <v>152</v>
      </c>
      <c r="AB535" s="0" t="s">
        <v>161</v>
      </c>
      <c r="AC535" s="0" t="s">
        <v>3389</v>
      </c>
      <c r="AD535" s="0" t="s">
        <v>3389</v>
      </c>
      <c r="AE535" s="0" t="s">
        <v>3390</v>
      </c>
      <c r="AF535" s="0" t="s">
        <v>5519</v>
      </c>
      <c r="AG535" s="0" t="s">
        <v>5520</v>
      </c>
      <c r="AH535" s="0" t="s">
        <v>5593</v>
      </c>
      <c r="AI535" s="0" t="s">
        <v>5533</v>
      </c>
      <c r="AJ535" s="0" t="s">
        <v>240</v>
      </c>
      <c r="AK535" s="0" t="s">
        <v>240</v>
      </c>
      <c r="AL535" s="0" t="s">
        <v>240</v>
      </c>
      <c r="AM535" s="0" t="s">
        <v>240</v>
      </c>
      <c r="AN535" s="0" t="s">
        <v>240</v>
      </c>
      <c r="AO535" s="0" t="s">
        <v>240</v>
      </c>
      <c r="AP535" s="0" t="s">
        <v>240</v>
      </c>
      <c r="AQ535" s="0" t="s">
        <v>240</v>
      </c>
      <c r="AR535" s="0" t="s">
        <v>240</v>
      </c>
      <c r="AS535" s="0" t="s">
        <v>240</v>
      </c>
      <c r="AT535" s="0" t="s">
        <v>240</v>
      </c>
      <c r="AU535" s="0" t="s">
        <v>240</v>
      </c>
      <c r="AV535" s="0" t="s">
        <v>240</v>
      </c>
      <c r="AW535" s="0" t="s">
        <v>240</v>
      </c>
      <c r="AX535" s="0" t="s">
        <v>240</v>
      </c>
      <c r="AY535" s="0" t="s">
        <v>240</v>
      </c>
      <c r="AZ535" s="0" t="s">
        <v>240</v>
      </c>
      <c r="BA535" s="0" t="s">
        <v>240</v>
      </c>
      <c r="BB535" s="0" t="s">
        <v>240</v>
      </c>
      <c r="BC535" s="0" t="s">
        <v>240</v>
      </c>
      <c r="BD535" s="0" t="s">
        <v>240</v>
      </c>
      <c r="BE535" s="0" t="s">
        <v>5603</v>
      </c>
      <c r="BF535" s="0" t="s">
        <v>6793</v>
      </c>
      <c r="BG535" s="0" t="s">
        <v>112</v>
      </c>
      <c r="BH535" s="0" t="s">
        <v>5589</v>
      </c>
      <c r="BI535" s="0" t="s">
        <v>123</v>
      </c>
      <c r="BJ535" s="0" t="s">
        <v>240</v>
      </c>
      <c r="BK535" s="0" t="s">
        <v>6794</v>
      </c>
      <c r="BL535" s="0" t="s">
        <v>3389</v>
      </c>
      <c r="BM535" s="0" t="s">
        <v>3389</v>
      </c>
      <c r="BN535" s="0" t="s">
        <v>5591</v>
      </c>
      <c r="BO535" s="0" t="s">
        <v>5519</v>
      </c>
      <c r="BP535" s="0" t="s">
        <v>5592</v>
      </c>
      <c r="BQ535" s="0" t="s">
        <v>5593</v>
      </c>
      <c r="BR535" s="0" t="s">
        <v>5533</v>
      </c>
      <c r="BS535" s="0" t="s">
        <v>240</v>
      </c>
      <c r="BT535" s="0" t="s">
        <v>5594</v>
      </c>
      <c r="BU535" s="0" t="s">
        <v>6985</v>
      </c>
      <c r="BV535" s="0" t="s">
        <v>6986</v>
      </c>
      <c r="BW535" s="0" t="s">
        <v>6797</v>
      </c>
      <c r="BX535" s="0" t="s">
        <v>6798</v>
      </c>
      <c r="BY535" s="0" t="s">
        <v>5598</v>
      </c>
      <c r="BZ535" s="0" t="s">
        <v>5598</v>
      </c>
      <c r="CA535" s="0" t="s">
        <v>6799</v>
      </c>
      <c r="CB535" s="0" t="s">
        <v>5598</v>
      </c>
      <c r="CC535" s="0" t="s">
        <v>6799</v>
      </c>
      <c r="CD535" s="0" t="s">
        <v>5598</v>
      </c>
      <c r="CE535" s="0" t="s">
        <v>5598</v>
      </c>
      <c r="CF535" s="0" t="s">
        <v>5598</v>
      </c>
      <c r="CG535" s="0" t="s">
        <v>5598</v>
      </c>
      <c r="CH535" s="0" t="s">
        <v>5598</v>
      </c>
      <c r="CI535" s="0" t="s">
        <v>5598</v>
      </c>
      <c r="CJ535" s="0" t="s">
        <v>5598</v>
      </c>
      <c r="CK535" s="0" t="s">
        <v>5598</v>
      </c>
      <c r="CL535" s="0" t="s">
        <v>5598</v>
      </c>
      <c r="CM535" s="0" t="s">
        <v>6987</v>
      </c>
      <c r="CN535" s="0" t="s">
        <v>6986</v>
      </c>
      <c r="CO535" s="0" t="s">
        <v>6801</v>
      </c>
      <c r="CP535" s="0" t="s">
        <v>6798</v>
      </c>
      <c r="CQ535" s="0" t="s">
        <v>5598</v>
      </c>
      <c r="CR535" s="0" t="s">
        <v>5598</v>
      </c>
      <c r="CS535" s="0" t="s">
        <v>5599</v>
      </c>
      <c r="CT535" s="0" t="s">
        <v>5496</v>
      </c>
      <c r="CU535" s="0" t="s">
        <v>5497</v>
      </c>
      <c r="CV535" s="0" t="s">
        <v>443</v>
      </c>
      <c r="CW535" s="0" t="s">
        <v>5600</v>
      </c>
      <c r="CX535" s="0" t="s">
        <v>5528</v>
      </c>
      <c r="CY535" s="0" t="s">
        <v>443</v>
      </c>
      <c r="CZ535" s="0" t="s">
        <v>299</v>
      </c>
      <c r="DA535" s="0" t="s">
        <v>5529</v>
      </c>
      <c r="DB535" s="0" t="s">
        <v>5600</v>
      </c>
      <c r="DC535" s="0" t="s">
        <v>384</v>
      </c>
      <c r="DD535" s="0" t="s">
        <v>291</v>
      </c>
      <c r="DE535" s="0" t="s">
        <v>5607</v>
      </c>
    </row>
    <row customHeight="1" ht="11.25">
      <c r="A536" s="1441" t="s">
        <v>240</v>
      </c>
      <c r="B536" s="0" t="s">
        <v>240</v>
      </c>
      <c r="C536" s="0" t="s">
        <v>240</v>
      </c>
      <c r="D536" s="0" t="s">
        <v>240</v>
      </c>
      <c r="E536" s="0" t="s">
        <v>240</v>
      </c>
      <c r="F536" s="0" t="s">
        <v>240</v>
      </c>
      <c r="G536" s="0" t="s">
        <v>240</v>
      </c>
      <c r="H536" s="0" t="s">
        <v>240</v>
      </c>
      <c r="I536" s="0" t="s">
        <v>5484</v>
      </c>
      <c r="J536" s="0" t="s">
        <v>240</v>
      </c>
      <c r="K536" s="0" t="s">
        <v>240</v>
      </c>
      <c r="L536" s="0" t="s">
        <v>240</v>
      </c>
      <c r="M536" s="0" t="s">
        <v>240</v>
      </c>
      <c r="N536" s="0" t="s">
        <v>240</v>
      </c>
      <c r="O536" s="0" t="s">
        <v>240</v>
      </c>
      <c r="P536" s="0" t="s">
        <v>240</v>
      </c>
      <c r="Q536" s="0" t="s">
        <v>240</v>
      </c>
      <c r="R536" s="0" t="s">
        <v>6988</v>
      </c>
      <c r="S536" s="0" t="s">
        <v>240</v>
      </c>
      <c r="T536" s="0" t="s">
        <v>240</v>
      </c>
      <c r="U536" s="0" t="s">
        <v>102</v>
      </c>
      <c r="V536" s="0" t="s">
        <v>240</v>
      </c>
      <c r="W536" s="0" t="s">
        <v>240</v>
      </c>
      <c r="X536" s="0" t="s">
        <v>5585</v>
      </c>
      <c r="Y536" s="0" t="s">
        <v>240</v>
      </c>
      <c r="Z536" s="0" t="s">
        <v>152</v>
      </c>
      <c r="AA536" s="0" t="s">
        <v>152</v>
      </c>
      <c r="AB536" s="0" t="s">
        <v>161</v>
      </c>
      <c r="AC536" s="0" t="s">
        <v>3389</v>
      </c>
      <c r="AD536" s="0" t="s">
        <v>3389</v>
      </c>
      <c r="AE536" s="0" t="s">
        <v>3390</v>
      </c>
      <c r="AF536" s="0" t="s">
        <v>5519</v>
      </c>
      <c r="AG536" s="0" t="s">
        <v>5520</v>
      </c>
      <c r="AH536" s="0" t="s">
        <v>5586</v>
      </c>
      <c r="AI536" s="0" t="s">
        <v>5533</v>
      </c>
      <c r="AJ536" s="0" t="s">
        <v>240</v>
      </c>
      <c r="AK536" s="0" t="s">
        <v>240</v>
      </c>
      <c r="AL536" s="0" t="s">
        <v>240</v>
      </c>
      <c r="AM536" s="0" t="s">
        <v>240</v>
      </c>
      <c r="AN536" s="0" t="s">
        <v>240</v>
      </c>
      <c r="AO536" s="0" t="s">
        <v>240</v>
      </c>
      <c r="AP536" s="0" t="s">
        <v>240</v>
      </c>
      <c r="AQ536" s="0" t="s">
        <v>240</v>
      </c>
      <c r="AR536" s="0" t="s">
        <v>240</v>
      </c>
      <c r="AS536" s="0" t="s">
        <v>240</v>
      </c>
      <c r="AT536" s="0" t="s">
        <v>240</v>
      </c>
      <c r="AU536" s="0" t="s">
        <v>240</v>
      </c>
      <c r="AV536" s="0" t="s">
        <v>240</v>
      </c>
      <c r="AW536" s="0" t="s">
        <v>240</v>
      </c>
      <c r="AX536" s="0" t="s">
        <v>240</v>
      </c>
      <c r="AY536" s="0" t="s">
        <v>240</v>
      </c>
      <c r="AZ536" s="0" t="s">
        <v>240</v>
      </c>
      <c r="BA536" s="0" t="s">
        <v>240</v>
      </c>
      <c r="BB536" s="0" t="s">
        <v>240</v>
      </c>
      <c r="BC536" s="0" t="s">
        <v>240</v>
      </c>
      <c r="BD536" s="0" t="s">
        <v>240</v>
      </c>
      <c r="BE536" s="0" t="s">
        <v>5587</v>
      </c>
      <c r="BF536" s="0" t="s">
        <v>5588</v>
      </c>
      <c r="BG536" s="0" t="s">
        <v>112</v>
      </c>
      <c r="BH536" s="0" t="s">
        <v>5589</v>
      </c>
      <c r="BI536" s="0" t="s">
        <v>123</v>
      </c>
      <c r="BJ536" s="0" t="s">
        <v>240</v>
      </c>
      <c r="BK536" s="0" t="s">
        <v>5590</v>
      </c>
      <c r="BL536" s="0" t="s">
        <v>3389</v>
      </c>
      <c r="BM536" s="0" t="s">
        <v>3389</v>
      </c>
      <c r="BN536" s="0" t="s">
        <v>5591</v>
      </c>
      <c r="BO536" s="0" t="s">
        <v>5519</v>
      </c>
      <c r="BP536" s="0" t="s">
        <v>5592</v>
      </c>
      <c r="BQ536" s="0" t="s">
        <v>5593</v>
      </c>
      <c r="BR536" s="0" t="s">
        <v>5533</v>
      </c>
      <c r="BS536" s="0" t="s">
        <v>240</v>
      </c>
      <c r="BT536" s="0" t="s">
        <v>5594</v>
      </c>
      <c r="BU536" s="0" t="s">
        <v>6989</v>
      </c>
      <c r="BV536" s="0" t="s">
        <v>6990</v>
      </c>
      <c r="BW536" s="0" t="s">
        <v>5597</v>
      </c>
      <c r="BX536" s="0" t="s">
        <v>5598</v>
      </c>
      <c r="BY536" s="0" t="s">
        <v>5598</v>
      </c>
      <c r="BZ536" s="0" t="s">
        <v>5598</v>
      </c>
      <c r="CA536" s="0" t="s">
        <v>5598</v>
      </c>
      <c r="CB536" s="0" t="s">
        <v>5598</v>
      </c>
      <c r="CC536" s="0" t="s">
        <v>5598</v>
      </c>
      <c r="CD536" s="0" t="s">
        <v>5598</v>
      </c>
      <c r="CE536" s="0" t="s">
        <v>5598</v>
      </c>
      <c r="CF536" s="0" t="s">
        <v>5598</v>
      </c>
      <c r="CG536" s="0" t="s">
        <v>5598</v>
      </c>
      <c r="CH536" s="0" t="s">
        <v>5598</v>
      </c>
      <c r="CI536" s="0" t="s">
        <v>5598</v>
      </c>
      <c r="CJ536" s="0" t="s">
        <v>5598</v>
      </c>
      <c r="CK536" s="0" t="s">
        <v>5598</v>
      </c>
      <c r="CL536" s="0" t="s">
        <v>5598</v>
      </c>
      <c r="CM536" s="0" t="s">
        <v>6989</v>
      </c>
      <c r="CN536" s="0" t="s">
        <v>6990</v>
      </c>
      <c r="CO536" s="0" t="s">
        <v>5597</v>
      </c>
      <c r="CP536" s="0" t="s">
        <v>5598</v>
      </c>
      <c r="CQ536" s="0" t="s">
        <v>5598</v>
      </c>
      <c r="CR536" s="0" t="s">
        <v>5598</v>
      </c>
      <c r="CS536" s="0" t="s">
        <v>5599</v>
      </c>
      <c r="CT536" s="0" t="s">
        <v>5496</v>
      </c>
      <c r="CU536" s="0" t="s">
        <v>5497</v>
      </c>
      <c r="CV536" s="0" t="s">
        <v>443</v>
      </c>
      <c r="CW536" s="0" t="s">
        <v>5600</v>
      </c>
      <c r="CX536" s="0" t="s">
        <v>5528</v>
      </c>
      <c r="CY536" s="0" t="s">
        <v>443</v>
      </c>
      <c r="CZ536" s="0" t="s">
        <v>299</v>
      </c>
      <c r="DA536" s="0" t="s">
        <v>5529</v>
      </c>
      <c r="DB536" s="0" t="s">
        <v>5600</v>
      </c>
      <c r="DC536" s="0" t="s">
        <v>384</v>
      </c>
      <c r="DD536" s="0" t="s">
        <v>291</v>
      </c>
      <c r="DE536" s="0" t="s">
        <v>5601</v>
      </c>
    </row>
    <row customHeight="1" ht="11.25">
      <c r="A537" s="1441" t="s">
        <v>240</v>
      </c>
      <c r="B537" s="0" t="s">
        <v>240</v>
      </c>
      <c r="C537" s="0" t="s">
        <v>240</v>
      </c>
      <c r="D537" s="0" t="s">
        <v>240</v>
      </c>
      <c r="E537" s="0" t="s">
        <v>240</v>
      </c>
      <c r="F537" s="0" t="s">
        <v>240</v>
      </c>
      <c r="G537" s="0" t="s">
        <v>240</v>
      </c>
      <c r="H537" s="0" t="s">
        <v>240</v>
      </c>
      <c r="I537" s="0" t="s">
        <v>5484</v>
      </c>
      <c r="J537" s="0" t="s">
        <v>240</v>
      </c>
      <c r="K537" s="0" t="s">
        <v>240</v>
      </c>
      <c r="L537" s="0" t="s">
        <v>240</v>
      </c>
      <c r="M537" s="0" t="s">
        <v>240</v>
      </c>
      <c r="N537" s="0" t="s">
        <v>240</v>
      </c>
      <c r="O537" s="0" t="s">
        <v>240</v>
      </c>
      <c r="P537" s="0" t="s">
        <v>240</v>
      </c>
      <c r="Q537" s="0" t="s">
        <v>240</v>
      </c>
      <c r="R537" s="0" t="s">
        <v>5602</v>
      </c>
      <c r="S537" s="0" t="s">
        <v>240</v>
      </c>
      <c r="T537" s="0" t="s">
        <v>240</v>
      </c>
      <c r="U537" s="0" t="s">
        <v>102</v>
      </c>
      <c r="V537" s="0" t="s">
        <v>240</v>
      </c>
      <c r="W537" s="0" t="s">
        <v>240</v>
      </c>
      <c r="X537" s="0" t="s">
        <v>5485</v>
      </c>
      <c r="Y537" s="0" t="s">
        <v>240</v>
      </c>
      <c r="Z537" s="0" t="s">
        <v>161</v>
      </c>
      <c r="AA537" s="0" t="s">
        <v>152</v>
      </c>
      <c r="AB537" s="0" t="s">
        <v>152</v>
      </c>
      <c r="AC537" s="0" t="s">
        <v>3389</v>
      </c>
      <c r="AD537" s="0" t="s">
        <v>3389</v>
      </c>
      <c r="AE537" s="0" t="s">
        <v>3390</v>
      </c>
      <c r="AF537" s="0" t="s">
        <v>5519</v>
      </c>
      <c r="AG537" s="0" t="s">
        <v>5520</v>
      </c>
      <c r="AH537" s="0" t="s">
        <v>5593</v>
      </c>
      <c r="AI537" s="0" t="s">
        <v>5533</v>
      </c>
      <c r="AJ537" s="0" t="s">
        <v>5603</v>
      </c>
      <c r="AK537" s="0" t="s">
        <v>5604</v>
      </c>
      <c r="AL537" s="0" t="s">
        <v>5605</v>
      </c>
      <c r="AM537" s="0" t="s">
        <v>5493</v>
      </c>
      <c r="AN537" s="0" t="s">
        <v>5578</v>
      </c>
      <c r="AO537" s="0" t="s">
        <v>5606</v>
      </c>
      <c r="AP537" s="0" t="s">
        <v>240</v>
      </c>
      <c r="AQ537" s="0" t="s">
        <v>240</v>
      </c>
      <c r="AR537" s="0" t="s">
        <v>240</v>
      </c>
      <c r="AS537" s="0" t="s">
        <v>240</v>
      </c>
      <c r="AT537" s="0" t="s">
        <v>240</v>
      </c>
      <c r="AU537" s="0" t="s">
        <v>240</v>
      </c>
      <c r="AV537" s="0" t="s">
        <v>240</v>
      </c>
      <c r="AW537" s="0" t="s">
        <v>240</v>
      </c>
      <c r="AX537" s="0" t="s">
        <v>240</v>
      </c>
      <c r="AY537" s="0" t="s">
        <v>240</v>
      </c>
      <c r="AZ537" s="0" t="s">
        <v>240</v>
      </c>
      <c r="BA537" s="0" t="s">
        <v>240</v>
      </c>
      <c r="BB537" s="0" t="s">
        <v>240</v>
      </c>
      <c r="BC537" s="0" t="s">
        <v>240</v>
      </c>
      <c r="BD537" s="0" t="s">
        <v>240</v>
      </c>
      <c r="BE537" s="0" t="s">
        <v>240</v>
      </c>
      <c r="BF537" s="0" t="s">
        <v>240</v>
      </c>
      <c r="BG537" s="0" t="s">
        <v>240</v>
      </c>
      <c r="BH537" s="0" t="s">
        <v>240</v>
      </c>
      <c r="BI537" s="0" t="s">
        <v>240</v>
      </c>
      <c r="BJ537" s="0" t="s">
        <v>240</v>
      </c>
      <c r="BK537" s="0" t="s">
        <v>240</v>
      </c>
      <c r="BL537" s="0" t="s">
        <v>240</v>
      </c>
      <c r="BM537" s="0" t="s">
        <v>240</v>
      </c>
      <c r="BN537" s="0" t="s">
        <v>240</v>
      </c>
      <c r="BO537" s="0" t="s">
        <v>240</v>
      </c>
      <c r="BP537" s="0" t="s">
        <v>240</v>
      </c>
      <c r="BQ537" s="0" t="s">
        <v>240</v>
      </c>
      <c r="BR537" s="0" t="s">
        <v>240</v>
      </c>
      <c r="BS537" s="0" t="s">
        <v>240</v>
      </c>
      <c r="BT537" s="0" t="s">
        <v>240</v>
      </c>
      <c r="BU537" s="0" t="s">
        <v>240</v>
      </c>
      <c r="BV537" s="0" t="s">
        <v>240</v>
      </c>
      <c r="BW537" s="0" t="s">
        <v>240</v>
      </c>
      <c r="BX537" s="0" t="s">
        <v>240</v>
      </c>
      <c r="BY537" s="0" t="s">
        <v>240</v>
      </c>
      <c r="BZ537" s="0" t="s">
        <v>240</v>
      </c>
      <c r="CA537" s="0" t="s">
        <v>240</v>
      </c>
      <c r="CB537" s="0" t="s">
        <v>240</v>
      </c>
      <c r="CC537" s="0" t="s">
        <v>240</v>
      </c>
      <c r="CD537" s="0" t="s">
        <v>240</v>
      </c>
      <c r="CE537" s="0" t="s">
        <v>240</v>
      </c>
      <c r="CF537" s="0" t="s">
        <v>240</v>
      </c>
      <c r="CG537" s="0" t="s">
        <v>240</v>
      </c>
      <c r="CH537" s="0" t="s">
        <v>240</v>
      </c>
      <c r="CI537" s="0" t="s">
        <v>240</v>
      </c>
      <c r="CJ537" s="0" t="s">
        <v>240</v>
      </c>
      <c r="CK537" s="0" t="s">
        <v>240</v>
      </c>
      <c r="CL537" s="0" t="s">
        <v>240</v>
      </c>
      <c r="CM537" s="0" t="s">
        <v>240</v>
      </c>
      <c r="CN537" s="0" t="s">
        <v>240</v>
      </c>
      <c r="CO537" s="0" t="s">
        <v>240</v>
      </c>
      <c r="CP537" s="0" t="s">
        <v>240</v>
      </c>
      <c r="CQ537" s="0" t="s">
        <v>240</v>
      </c>
      <c r="CR537" s="0" t="s">
        <v>240</v>
      </c>
      <c r="CS537" s="0" t="s">
        <v>240</v>
      </c>
      <c r="CT537" s="0" t="s">
        <v>5496</v>
      </c>
      <c r="CU537" s="0" t="s">
        <v>5497</v>
      </c>
      <c r="CV537" s="0" t="s">
        <v>443</v>
      </c>
      <c r="CW537" s="0" t="s">
        <v>5527</v>
      </c>
      <c r="CX537" s="0" t="s">
        <v>5528</v>
      </c>
      <c r="CY537" s="0" t="s">
        <v>443</v>
      </c>
      <c r="CZ537" s="0" t="s">
        <v>299</v>
      </c>
      <c r="DA537" s="0" t="s">
        <v>5529</v>
      </c>
      <c r="DB537" s="0" t="s">
        <v>5527</v>
      </c>
      <c r="DC537" s="0" t="s">
        <v>384</v>
      </c>
      <c r="DD537" s="0" t="s">
        <v>291</v>
      </c>
      <c r="DE537" s="0" t="s">
        <v>5607</v>
      </c>
    </row>
    <row customHeight="1" ht="11.25">
      <c r="A538" s="1441" t="s">
        <v>240</v>
      </c>
      <c r="B538" s="0" t="s">
        <v>240</v>
      </c>
      <c r="C538" s="0" t="s">
        <v>240</v>
      </c>
      <c r="D538" s="0" t="s">
        <v>240</v>
      </c>
      <c r="E538" s="0" t="s">
        <v>240</v>
      </c>
      <c r="F538" s="0" t="s">
        <v>240</v>
      </c>
      <c r="G538" s="0" t="s">
        <v>240</v>
      </c>
      <c r="H538" s="0" t="s">
        <v>240</v>
      </c>
      <c r="I538" s="0" t="s">
        <v>5484</v>
      </c>
      <c r="J538" s="0" t="s">
        <v>240</v>
      </c>
      <c r="K538" s="0" t="s">
        <v>240</v>
      </c>
      <c r="L538" s="0" t="s">
        <v>240</v>
      </c>
      <c r="M538" s="0" t="s">
        <v>240</v>
      </c>
      <c r="N538" s="0" t="s">
        <v>240</v>
      </c>
      <c r="O538" s="0" t="s">
        <v>240</v>
      </c>
      <c r="P538" s="0" t="s">
        <v>240</v>
      </c>
      <c r="Q538" s="0" t="s">
        <v>240</v>
      </c>
      <c r="R538" s="0" t="s">
        <v>5930</v>
      </c>
      <c r="S538" s="0" t="s">
        <v>240</v>
      </c>
      <c r="T538" s="0" t="s">
        <v>240</v>
      </c>
      <c r="U538" s="0" t="s">
        <v>102</v>
      </c>
      <c r="V538" s="0" t="s">
        <v>240</v>
      </c>
      <c r="W538" s="0" t="s">
        <v>240</v>
      </c>
      <c r="X538" s="0" t="s">
        <v>5585</v>
      </c>
      <c r="Y538" s="0" t="s">
        <v>240</v>
      </c>
      <c r="Z538" s="0" t="s">
        <v>152</v>
      </c>
      <c r="AA538" s="0" t="s">
        <v>152</v>
      </c>
      <c r="AB538" s="0" t="s">
        <v>161</v>
      </c>
      <c r="AC538" s="0" t="s">
        <v>3389</v>
      </c>
      <c r="AD538" s="0" t="s">
        <v>3389</v>
      </c>
      <c r="AE538" s="0" t="s">
        <v>3390</v>
      </c>
      <c r="AF538" s="0" t="s">
        <v>5519</v>
      </c>
      <c r="AG538" s="0" t="s">
        <v>5520</v>
      </c>
      <c r="AH538" s="0" t="s">
        <v>5566</v>
      </c>
      <c r="AI538" s="0" t="s">
        <v>5567</v>
      </c>
      <c r="AJ538" s="0" t="s">
        <v>240</v>
      </c>
      <c r="AK538" s="0" t="s">
        <v>240</v>
      </c>
      <c r="AL538" s="0" t="s">
        <v>240</v>
      </c>
      <c r="AM538" s="0" t="s">
        <v>240</v>
      </c>
      <c r="AN538" s="0" t="s">
        <v>240</v>
      </c>
      <c r="AO538" s="0" t="s">
        <v>240</v>
      </c>
      <c r="AP538" s="0" t="s">
        <v>240</v>
      </c>
      <c r="AQ538" s="0" t="s">
        <v>240</v>
      </c>
      <c r="AR538" s="0" t="s">
        <v>240</v>
      </c>
      <c r="AS538" s="0" t="s">
        <v>240</v>
      </c>
      <c r="AT538" s="0" t="s">
        <v>240</v>
      </c>
      <c r="AU538" s="0" t="s">
        <v>240</v>
      </c>
      <c r="AV538" s="0" t="s">
        <v>240</v>
      </c>
      <c r="AW538" s="0" t="s">
        <v>240</v>
      </c>
      <c r="AX538" s="0" t="s">
        <v>240</v>
      </c>
      <c r="AY538" s="0" t="s">
        <v>240</v>
      </c>
      <c r="AZ538" s="0" t="s">
        <v>240</v>
      </c>
      <c r="BA538" s="0" t="s">
        <v>240</v>
      </c>
      <c r="BB538" s="0" t="s">
        <v>240</v>
      </c>
      <c r="BC538" s="0" t="s">
        <v>240</v>
      </c>
      <c r="BD538" s="0" t="s">
        <v>240</v>
      </c>
      <c r="BE538" s="0" t="s">
        <v>5931</v>
      </c>
      <c r="BF538" s="0" t="s">
        <v>5523</v>
      </c>
      <c r="BG538" s="0" t="s">
        <v>112</v>
      </c>
      <c r="BH538" s="0" t="s">
        <v>5589</v>
      </c>
      <c r="BI538" s="0" t="s">
        <v>123</v>
      </c>
      <c r="BJ538" s="0" t="s">
        <v>240</v>
      </c>
      <c r="BK538" s="0" t="s">
        <v>5932</v>
      </c>
      <c r="BL538" s="0" t="s">
        <v>3389</v>
      </c>
      <c r="BM538" s="0" t="s">
        <v>3389</v>
      </c>
      <c r="BN538" s="0" t="s">
        <v>5591</v>
      </c>
      <c r="BO538" s="0" t="s">
        <v>5519</v>
      </c>
      <c r="BP538" s="0" t="s">
        <v>5592</v>
      </c>
      <c r="BQ538" s="0" t="s">
        <v>5933</v>
      </c>
      <c r="BR538" s="0" t="s">
        <v>5567</v>
      </c>
      <c r="BS538" s="0" t="s">
        <v>240</v>
      </c>
      <c r="BT538" s="0" t="s">
        <v>5594</v>
      </c>
      <c r="BU538" s="0" t="s">
        <v>6991</v>
      </c>
      <c r="BV538" s="0" t="s">
        <v>6992</v>
      </c>
      <c r="BW538" s="0" t="s">
        <v>6993</v>
      </c>
      <c r="BX538" s="0" t="s">
        <v>5937</v>
      </c>
      <c r="BY538" s="0" t="s">
        <v>5938</v>
      </c>
      <c r="BZ538" s="0" t="s">
        <v>5939</v>
      </c>
      <c r="CA538" s="0" t="s">
        <v>5598</v>
      </c>
      <c r="CB538" s="0" t="s">
        <v>5598</v>
      </c>
      <c r="CC538" s="0" t="s">
        <v>5598</v>
      </c>
      <c r="CD538" s="0" t="s">
        <v>5598</v>
      </c>
      <c r="CE538" s="0" t="s">
        <v>5598</v>
      </c>
      <c r="CF538" s="0" t="s">
        <v>5598</v>
      </c>
      <c r="CG538" s="0" t="s">
        <v>5598</v>
      </c>
      <c r="CH538" s="0" t="s">
        <v>5598</v>
      </c>
      <c r="CI538" s="0" t="s">
        <v>5598</v>
      </c>
      <c r="CJ538" s="0" t="s">
        <v>5598</v>
      </c>
      <c r="CK538" s="0" t="s">
        <v>5598</v>
      </c>
      <c r="CL538" s="0" t="s">
        <v>5598</v>
      </c>
      <c r="CM538" s="0" t="s">
        <v>6991</v>
      </c>
      <c r="CN538" s="0" t="s">
        <v>6992</v>
      </c>
      <c r="CO538" s="0" t="s">
        <v>6993</v>
      </c>
      <c r="CP538" s="0" t="s">
        <v>5937</v>
      </c>
      <c r="CQ538" s="0" t="s">
        <v>5938</v>
      </c>
      <c r="CR538" s="0" t="s">
        <v>5939</v>
      </c>
      <c r="CS538" s="0" t="s">
        <v>5599</v>
      </c>
      <c r="CT538" s="0" t="s">
        <v>5496</v>
      </c>
      <c r="CU538" s="0" t="s">
        <v>5497</v>
      </c>
      <c r="CV538" s="0" t="s">
        <v>443</v>
      </c>
      <c r="CW538" s="0" t="s">
        <v>5600</v>
      </c>
      <c r="CX538" s="0" t="s">
        <v>5528</v>
      </c>
      <c r="CY538" s="0" t="s">
        <v>443</v>
      </c>
      <c r="CZ538" s="0" t="s">
        <v>299</v>
      </c>
      <c r="DA538" s="0" t="s">
        <v>5529</v>
      </c>
      <c r="DB538" s="0" t="s">
        <v>5600</v>
      </c>
      <c r="DC538" s="0" t="s">
        <v>384</v>
      </c>
      <c r="DD538" s="0" t="s">
        <v>291</v>
      </c>
      <c r="DE538" s="0" t="s">
        <v>5571</v>
      </c>
    </row>
    <row customHeight="1" ht="11.25">
      <c r="A539" s="1441" t="s">
        <v>240</v>
      </c>
      <c r="B539" s="0" t="s">
        <v>240</v>
      </c>
      <c r="C539" s="0" t="s">
        <v>240</v>
      </c>
      <c r="D539" s="0" t="s">
        <v>240</v>
      </c>
      <c r="E539" s="0" t="s">
        <v>240</v>
      </c>
      <c r="F539" s="0" t="s">
        <v>240</v>
      </c>
      <c r="G539" s="0" t="s">
        <v>240</v>
      </c>
      <c r="H539" s="0" t="s">
        <v>240</v>
      </c>
      <c r="I539" s="0" t="s">
        <v>5484</v>
      </c>
      <c r="J539" s="0" t="s">
        <v>240</v>
      </c>
      <c r="K539" s="0" t="s">
        <v>240</v>
      </c>
      <c r="L539" s="0" t="s">
        <v>240</v>
      </c>
      <c r="M539" s="0" t="s">
        <v>240</v>
      </c>
      <c r="N539" s="0" t="s">
        <v>240</v>
      </c>
      <c r="O539" s="0" t="s">
        <v>240</v>
      </c>
      <c r="P539" s="0" t="s">
        <v>240</v>
      </c>
      <c r="Q539" s="0" t="s">
        <v>240</v>
      </c>
      <c r="R539" s="0" t="s">
        <v>5940</v>
      </c>
      <c r="S539" s="0" t="s">
        <v>240</v>
      </c>
      <c r="T539" s="0" t="s">
        <v>240</v>
      </c>
      <c r="U539" s="0" t="s">
        <v>102</v>
      </c>
      <c r="V539" s="0" t="s">
        <v>240</v>
      </c>
      <c r="W539" s="0" t="s">
        <v>240</v>
      </c>
      <c r="X539" s="0" t="s">
        <v>5485</v>
      </c>
      <c r="Y539" s="0" t="s">
        <v>240</v>
      </c>
      <c r="Z539" s="0" t="s">
        <v>161</v>
      </c>
      <c r="AA539" s="0" t="s">
        <v>152</v>
      </c>
      <c r="AB539" s="0" t="s">
        <v>152</v>
      </c>
      <c r="AC539" s="0" t="s">
        <v>3395</v>
      </c>
      <c r="AD539" s="0" t="s">
        <v>3395</v>
      </c>
      <c r="AE539" s="0" t="s">
        <v>3396</v>
      </c>
      <c r="AF539" s="0" t="s">
        <v>5941</v>
      </c>
      <c r="AG539" s="0" t="s">
        <v>5942</v>
      </c>
      <c r="AH539" s="0" t="s">
        <v>5943</v>
      </c>
      <c r="AI539" s="0" t="s">
        <v>152</v>
      </c>
      <c r="AJ539" s="0" t="s">
        <v>5944</v>
      </c>
      <c r="AK539" s="0" t="s">
        <v>5945</v>
      </c>
      <c r="AL539" s="0" t="s">
        <v>5570</v>
      </c>
      <c r="AM539" s="0" t="s">
        <v>5493</v>
      </c>
      <c r="AN539" s="0" t="s">
        <v>5578</v>
      </c>
      <c r="AO539" s="0" t="s">
        <v>5946</v>
      </c>
      <c r="AP539" s="0" t="s">
        <v>240</v>
      </c>
      <c r="AQ539" s="0" t="s">
        <v>240</v>
      </c>
      <c r="AR539" s="0" t="s">
        <v>240</v>
      </c>
      <c r="AS539" s="0" t="s">
        <v>240</v>
      </c>
      <c r="AT539" s="0" t="s">
        <v>240</v>
      </c>
      <c r="AU539" s="0" t="s">
        <v>240</v>
      </c>
      <c r="AV539" s="0" t="s">
        <v>240</v>
      </c>
      <c r="AW539" s="0" t="s">
        <v>240</v>
      </c>
      <c r="AX539" s="0" t="s">
        <v>240</v>
      </c>
      <c r="AY539" s="0" t="s">
        <v>240</v>
      </c>
      <c r="AZ539" s="0" t="s">
        <v>240</v>
      </c>
      <c r="BA539" s="0" t="s">
        <v>240</v>
      </c>
      <c r="BB539" s="0" t="s">
        <v>240</v>
      </c>
      <c r="BC539" s="0" t="s">
        <v>240</v>
      </c>
      <c r="BD539" s="0" t="s">
        <v>240</v>
      </c>
      <c r="BE539" s="0" t="s">
        <v>240</v>
      </c>
      <c r="BF539" s="0" t="s">
        <v>240</v>
      </c>
      <c r="BG539" s="0" t="s">
        <v>240</v>
      </c>
      <c r="BH539" s="0" t="s">
        <v>240</v>
      </c>
      <c r="BI539" s="0" t="s">
        <v>240</v>
      </c>
      <c r="BJ539" s="0" t="s">
        <v>240</v>
      </c>
      <c r="BK539" s="0" t="s">
        <v>240</v>
      </c>
      <c r="BL539" s="0" t="s">
        <v>240</v>
      </c>
      <c r="BM539" s="0" t="s">
        <v>240</v>
      </c>
      <c r="BN539" s="0" t="s">
        <v>240</v>
      </c>
      <c r="BO539" s="0" t="s">
        <v>240</v>
      </c>
      <c r="BP539" s="0" t="s">
        <v>240</v>
      </c>
      <c r="BQ539" s="0" t="s">
        <v>240</v>
      </c>
      <c r="BR539" s="0" t="s">
        <v>240</v>
      </c>
      <c r="BS539" s="0" t="s">
        <v>240</v>
      </c>
      <c r="BT539" s="0" t="s">
        <v>240</v>
      </c>
      <c r="BU539" s="0" t="s">
        <v>240</v>
      </c>
      <c r="BV539" s="0" t="s">
        <v>240</v>
      </c>
      <c r="BW539" s="0" t="s">
        <v>240</v>
      </c>
      <c r="BX539" s="0" t="s">
        <v>240</v>
      </c>
      <c r="BY539" s="0" t="s">
        <v>240</v>
      </c>
      <c r="BZ539" s="0" t="s">
        <v>240</v>
      </c>
      <c r="CA539" s="0" t="s">
        <v>240</v>
      </c>
      <c r="CB539" s="0" t="s">
        <v>240</v>
      </c>
      <c r="CC539" s="0" t="s">
        <v>240</v>
      </c>
      <c r="CD539" s="0" t="s">
        <v>240</v>
      </c>
      <c r="CE539" s="0" t="s">
        <v>240</v>
      </c>
      <c r="CF539" s="0" t="s">
        <v>240</v>
      </c>
      <c r="CG539" s="0" t="s">
        <v>240</v>
      </c>
      <c r="CH539" s="0" t="s">
        <v>240</v>
      </c>
      <c r="CI539" s="0" t="s">
        <v>240</v>
      </c>
      <c r="CJ539" s="0" t="s">
        <v>240</v>
      </c>
      <c r="CK539" s="0" t="s">
        <v>240</v>
      </c>
      <c r="CL539" s="0" t="s">
        <v>240</v>
      </c>
      <c r="CM539" s="0" t="s">
        <v>240</v>
      </c>
      <c r="CN539" s="0" t="s">
        <v>240</v>
      </c>
      <c r="CO539" s="0" t="s">
        <v>240</v>
      </c>
      <c r="CP539" s="0" t="s">
        <v>240</v>
      </c>
      <c r="CQ539" s="0" t="s">
        <v>240</v>
      </c>
      <c r="CR539" s="0" t="s">
        <v>240</v>
      </c>
      <c r="CS539" s="0" t="s">
        <v>240</v>
      </c>
      <c r="CT539" s="0" t="s">
        <v>5496</v>
      </c>
      <c r="CU539" s="0" t="s">
        <v>5497</v>
      </c>
      <c r="CV539" s="0" t="s">
        <v>5947</v>
      </c>
      <c r="CW539" s="0" t="s">
        <v>5948</v>
      </c>
      <c r="CX539" s="0" t="s">
        <v>5528</v>
      </c>
      <c r="CY539" s="0" t="s">
        <v>5947</v>
      </c>
      <c r="CZ539" s="0" t="s">
        <v>5533</v>
      </c>
      <c r="DA539" s="0" t="s">
        <v>5949</v>
      </c>
      <c r="DB539" s="0" t="s">
        <v>5600</v>
      </c>
      <c r="DC539" s="0" t="s">
        <v>384</v>
      </c>
      <c r="DD539" s="0" t="s">
        <v>291</v>
      </c>
      <c r="DE539" s="0" t="s">
        <v>5950</v>
      </c>
    </row>
    <row customHeight="1" ht="11.25">
      <c r="A540" s="1441" t="s">
        <v>240</v>
      </c>
      <c r="B540" s="0" t="s">
        <v>240</v>
      </c>
      <c r="C540" s="0" t="s">
        <v>240</v>
      </c>
      <c r="D540" s="0" t="s">
        <v>240</v>
      </c>
      <c r="E540" s="0" t="s">
        <v>240</v>
      </c>
      <c r="F540" s="0" t="s">
        <v>240</v>
      </c>
      <c r="G540" s="0" t="s">
        <v>240</v>
      </c>
      <c r="H540" s="0" t="s">
        <v>240</v>
      </c>
      <c r="I540" s="0" t="s">
        <v>5484</v>
      </c>
      <c r="J540" s="0" t="s">
        <v>240</v>
      </c>
      <c r="K540" s="0" t="s">
        <v>240</v>
      </c>
      <c r="L540" s="0" t="s">
        <v>240</v>
      </c>
      <c r="M540" s="0" t="s">
        <v>240</v>
      </c>
      <c r="N540" s="0" t="s">
        <v>240</v>
      </c>
      <c r="O540" s="0" t="s">
        <v>240</v>
      </c>
      <c r="P540" s="0" t="s">
        <v>240</v>
      </c>
      <c r="Q540" s="0" t="s">
        <v>240</v>
      </c>
      <c r="R540" s="0" t="s">
        <v>6202</v>
      </c>
      <c r="S540" s="0" t="s">
        <v>240</v>
      </c>
      <c r="T540" s="0" t="s">
        <v>240</v>
      </c>
      <c r="U540" s="0" t="s">
        <v>102</v>
      </c>
      <c r="V540" s="0" t="s">
        <v>240</v>
      </c>
      <c r="W540" s="0" t="s">
        <v>240</v>
      </c>
      <c r="X540" s="0" t="s">
        <v>5485</v>
      </c>
      <c r="Y540" s="0" t="s">
        <v>240</v>
      </c>
      <c r="Z540" s="0" t="s">
        <v>161</v>
      </c>
      <c r="AA540" s="0" t="s">
        <v>152</v>
      </c>
      <c r="AB540" s="0" t="s">
        <v>152</v>
      </c>
      <c r="AC540" s="0" t="s">
        <v>3395</v>
      </c>
      <c r="AD540" s="0" t="s">
        <v>3395</v>
      </c>
      <c r="AE540" s="0" t="s">
        <v>3396</v>
      </c>
      <c r="AF540" s="0" t="s">
        <v>5941</v>
      </c>
      <c r="AG540" s="0" t="s">
        <v>5942</v>
      </c>
      <c r="AH540" s="0" t="s">
        <v>6063</v>
      </c>
      <c r="AI540" s="0" t="s">
        <v>152</v>
      </c>
      <c r="AJ540" s="0" t="s">
        <v>6203</v>
      </c>
      <c r="AK540" s="0" t="s">
        <v>6204</v>
      </c>
      <c r="AL540" s="0" t="s">
        <v>6205</v>
      </c>
      <c r="AM540" s="0" t="s">
        <v>5493</v>
      </c>
      <c r="AN540" s="0" t="s">
        <v>6206</v>
      </c>
      <c r="AO540" s="0" t="s">
        <v>6207</v>
      </c>
      <c r="AP540" s="0" t="s">
        <v>240</v>
      </c>
      <c r="AQ540" s="0" t="s">
        <v>240</v>
      </c>
      <c r="AR540" s="0" t="s">
        <v>240</v>
      </c>
      <c r="AS540" s="0" t="s">
        <v>240</v>
      </c>
      <c r="AT540" s="0" t="s">
        <v>240</v>
      </c>
      <c r="AU540" s="0" t="s">
        <v>240</v>
      </c>
      <c r="AV540" s="0" t="s">
        <v>240</v>
      </c>
      <c r="AW540" s="0" t="s">
        <v>240</v>
      </c>
      <c r="AX540" s="0" t="s">
        <v>240</v>
      </c>
      <c r="AY540" s="0" t="s">
        <v>240</v>
      </c>
      <c r="AZ540" s="0" t="s">
        <v>240</v>
      </c>
      <c r="BA540" s="0" t="s">
        <v>240</v>
      </c>
      <c r="BB540" s="0" t="s">
        <v>240</v>
      </c>
      <c r="BC540" s="0" t="s">
        <v>240</v>
      </c>
      <c r="BD540" s="0" t="s">
        <v>240</v>
      </c>
      <c r="BE540" s="0" t="s">
        <v>240</v>
      </c>
      <c r="BF540" s="0" t="s">
        <v>240</v>
      </c>
      <c r="BG540" s="0" t="s">
        <v>240</v>
      </c>
      <c r="BH540" s="0" t="s">
        <v>240</v>
      </c>
      <c r="BI540" s="0" t="s">
        <v>240</v>
      </c>
      <c r="BJ540" s="0" t="s">
        <v>240</v>
      </c>
      <c r="BK540" s="0" t="s">
        <v>240</v>
      </c>
      <c r="BL540" s="0" t="s">
        <v>240</v>
      </c>
      <c r="BM540" s="0" t="s">
        <v>240</v>
      </c>
      <c r="BN540" s="0" t="s">
        <v>240</v>
      </c>
      <c r="BO540" s="0" t="s">
        <v>240</v>
      </c>
      <c r="BP540" s="0" t="s">
        <v>240</v>
      </c>
      <c r="BQ540" s="0" t="s">
        <v>240</v>
      </c>
      <c r="BR540" s="0" t="s">
        <v>240</v>
      </c>
      <c r="BS540" s="0" t="s">
        <v>240</v>
      </c>
      <c r="BT540" s="0" t="s">
        <v>240</v>
      </c>
      <c r="BU540" s="0" t="s">
        <v>240</v>
      </c>
      <c r="BV540" s="0" t="s">
        <v>240</v>
      </c>
      <c r="BW540" s="0" t="s">
        <v>240</v>
      </c>
      <c r="BX540" s="0" t="s">
        <v>240</v>
      </c>
      <c r="BY540" s="0" t="s">
        <v>240</v>
      </c>
      <c r="BZ540" s="0" t="s">
        <v>240</v>
      </c>
      <c r="CA540" s="0" t="s">
        <v>240</v>
      </c>
      <c r="CB540" s="0" t="s">
        <v>240</v>
      </c>
      <c r="CC540" s="0" t="s">
        <v>240</v>
      </c>
      <c r="CD540" s="0" t="s">
        <v>240</v>
      </c>
      <c r="CE540" s="0" t="s">
        <v>240</v>
      </c>
      <c r="CF540" s="0" t="s">
        <v>240</v>
      </c>
      <c r="CG540" s="0" t="s">
        <v>240</v>
      </c>
      <c r="CH540" s="0" t="s">
        <v>240</v>
      </c>
      <c r="CI540" s="0" t="s">
        <v>240</v>
      </c>
      <c r="CJ540" s="0" t="s">
        <v>240</v>
      </c>
      <c r="CK540" s="0" t="s">
        <v>240</v>
      </c>
      <c r="CL540" s="0" t="s">
        <v>240</v>
      </c>
      <c r="CM540" s="0" t="s">
        <v>240</v>
      </c>
      <c r="CN540" s="0" t="s">
        <v>240</v>
      </c>
      <c r="CO540" s="0" t="s">
        <v>240</v>
      </c>
      <c r="CP540" s="0" t="s">
        <v>240</v>
      </c>
      <c r="CQ540" s="0" t="s">
        <v>240</v>
      </c>
      <c r="CR540" s="0" t="s">
        <v>240</v>
      </c>
      <c r="CS540" s="0" t="s">
        <v>240</v>
      </c>
      <c r="CT540" s="0" t="s">
        <v>5496</v>
      </c>
      <c r="CU540" s="0" t="s">
        <v>5497</v>
      </c>
      <c r="CV540" s="0" t="s">
        <v>5947</v>
      </c>
      <c r="CW540" s="0" t="s">
        <v>5948</v>
      </c>
      <c r="CX540" s="0" t="s">
        <v>5528</v>
      </c>
      <c r="CY540" s="0" t="s">
        <v>5947</v>
      </c>
      <c r="CZ540" s="0" t="s">
        <v>5533</v>
      </c>
      <c r="DA540" s="0" t="s">
        <v>5949</v>
      </c>
      <c r="DB540" s="0" t="s">
        <v>5600</v>
      </c>
      <c r="DC540" s="0" t="s">
        <v>384</v>
      </c>
      <c r="DD540" s="0" t="s">
        <v>291</v>
      </c>
      <c r="DE540" s="0" t="s">
        <v>6073</v>
      </c>
    </row>
    <row customHeight="1" ht="11.25">
      <c r="A541" s="1441" t="s">
        <v>240</v>
      </c>
      <c r="B541" s="0" t="s">
        <v>240</v>
      </c>
      <c r="C541" s="0" t="s">
        <v>240</v>
      </c>
      <c r="D541" s="0" t="s">
        <v>240</v>
      </c>
      <c r="E541" s="0" t="s">
        <v>240</v>
      </c>
      <c r="F541" s="0" t="s">
        <v>240</v>
      </c>
      <c r="G541" s="0" t="s">
        <v>240</v>
      </c>
      <c r="H541" s="0" t="s">
        <v>240</v>
      </c>
      <c r="I541" s="0" t="s">
        <v>5484</v>
      </c>
      <c r="J541" s="0" t="s">
        <v>240</v>
      </c>
      <c r="K541" s="0" t="s">
        <v>240</v>
      </c>
      <c r="L541" s="0" t="s">
        <v>240</v>
      </c>
      <c r="M541" s="0" t="s">
        <v>240</v>
      </c>
      <c r="N541" s="0" t="s">
        <v>240</v>
      </c>
      <c r="O541" s="0" t="s">
        <v>240</v>
      </c>
      <c r="P541" s="0" t="s">
        <v>240</v>
      </c>
      <c r="Q541" s="0" t="s">
        <v>240</v>
      </c>
      <c r="R541" s="0" t="s">
        <v>449</v>
      </c>
      <c r="S541" s="0" t="s">
        <v>240</v>
      </c>
      <c r="T541" s="0" t="s">
        <v>240</v>
      </c>
      <c r="U541" s="0" t="s">
        <v>102</v>
      </c>
      <c r="V541" s="0" t="s">
        <v>240</v>
      </c>
      <c r="W541" s="0" t="s">
        <v>240</v>
      </c>
      <c r="X541" s="0" t="s">
        <v>5585</v>
      </c>
      <c r="Y541" s="0" t="s">
        <v>240</v>
      </c>
      <c r="Z541" s="0" t="s">
        <v>152</v>
      </c>
      <c r="AA541" s="0" t="s">
        <v>152</v>
      </c>
      <c r="AB541" s="0" t="s">
        <v>161</v>
      </c>
      <c r="AC541" s="0" t="s">
        <v>2985</v>
      </c>
      <c r="AD541" s="0" t="s">
        <v>2985</v>
      </c>
      <c r="AE541" s="0" t="s">
        <v>2986</v>
      </c>
      <c r="AF541" s="0" t="s">
        <v>5642</v>
      </c>
      <c r="AG541" s="0" t="s">
        <v>5643</v>
      </c>
      <c r="AH541" s="0" t="s">
        <v>5642</v>
      </c>
      <c r="AI541" s="0" t="s">
        <v>5644</v>
      </c>
      <c r="AJ541" s="0" t="s">
        <v>240</v>
      </c>
      <c r="AK541" s="0" t="s">
        <v>240</v>
      </c>
      <c r="AL541" s="0" t="s">
        <v>240</v>
      </c>
      <c r="AM541" s="0" t="s">
        <v>240</v>
      </c>
      <c r="AN541" s="0" t="s">
        <v>240</v>
      </c>
      <c r="AO541" s="0" t="s">
        <v>240</v>
      </c>
      <c r="AP541" s="0" t="s">
        <v>240</v>
      </c>
      <c r="AQ541" s="0" t="s">
        <v>240</v>
      </c>
      <c r="AR541" s="0" t="s">
        <v>240</v>
      </c>
      <c r="AS541" s="0" t="s">
        <v>240</v>
      </c>
      <c r="AT541" s="0" t="s">
        <v>240</v>
      </c>
      <c r="AU541" s="0" t="s">
        <v>240</v>
      </c>
      <c r="AV541" s="0" t="s">
        <v>240</v>
      </c>
      <c r="AW541" s="0" t="s">
        <v>240</v>
      </c>
      <c r="AX541" s="0" t="s">
        <v>240</v>
      </c>
      <c r="AY541" s="0" t="s">
        <v>240</v>
      </c>
      <c r="AZ541" s="0" t="s">
        <v>240</v>
      </c>
      <c r="BA541" s="0" t="s">
        <v>240</v>
      </c>
      <c r="BB541" s="0" t="s">
        <v>240</v>
      </c>
      <c r="BC541" s="0" t="s">
        <v>240</v>
      </c>
      <c r="BD541" s="0" t="s">
        <v>240</v>
      </c>
      <c r="BE541" s="0" t="s">
        <v>5645</v>
      </c>
      <c r="BF541" s="0" t="s">
        <v>5645</v>
      </c>
      <c r="BG541" s="0" t="s">
        <v>112</v>
      </c>
      <c r="BH541" s="0" t="s">
        <v>5589</v>
      </c>
      <c r="BI541" s="0" t="s">
        <v>123</v>
      </c>
      <c r="BJ541" s="0" t="s">
        <v>240</v>
      </c>
      <c r="BK541" s="0" t="s">
        <v>5608</v>
      </c>
      <c r="BL541" s="0" t="s">
        <v>2985</v>
      </c>
      <c r="BM541" s="0" t="s">
        <v>2985</v>
      </c>
      <c r="BN541" s="0" t="s">
        <v>5646</v>
      </c>
      <c r="BO541" s="0" t="s">
        <v>5642</v>
      </c>
      <c r="BP541" s="0" t="s">
        <v>5647</v>
      </c>
      <c r="BQ541" s="0" t="s">
        <v>5648</v>
      </c>
      <c r="BR541" s="0" t="s">
        <v>5649</v>
      </c>
      <c r="BS541" s="0" t="s">
        <v>240</v>
      </c>
      <c r="BT541" s="0" t="s">
        <v>5650</v>
      </c>
      <c r="BU541" s="0" t="s">
        <v>5651</v>
      </c>
      <c r="BV541" s="0" t="s">
        <v>5651</v>
      </c>
      <c r="BW541" s="0" t="s">
        <v>5598</v>
      </c>
      <c r="BX541" s="0" t="s">
        <v>5598</v>
      </c>
      <c r="BY541" s="0" t="s">
        <v>5598</v>
      </c>
      <c r="BZ541" s="0" t="s">
        <v>5598</v>
      </c>
      <c r="CA541" s="0" t="s">
        <v>5598</v>
      </c>
      <c r="CB541" s="0" t="s">
        <v>240</v>
      </c>
      <c r="CC541" s="0" t="s">
        <v>240</v>
      </c>
      <c r="CD541" s="0" t="s">
        <v>240</v>
      </c>
      <c r="CE541" s="0" t="s">
        <v>240</v>
      </c>
      <c r="CF541" s="0" t="s">
        <v>240</v>
      </c>
      <c r="CG541" s="0" t="s">
        <v>5598</v>
      </c>
      <c r="CH541" s="0" t="s">
        <v>240</v>
      </c>
      <c r="CI541" s="0" t="s">
        <v>240</v>
      </c>
      <c r="CJ541" s="0" t="s">
        <v>240</v>
      </c>
      <c r="CK541" s="0" t="s">
        <v>240</v>
      </c>
      <c r="CL541" s="0" t="s">
        <v>240</v>
      </c>
      <c r="CM541" s="0" t="s">
        <v>5651</v>
      </c>
      <c r="CN541" s="0" t="s">
        <v>5651</v>
      </c>
      <c r="CO541" s="0" t="s">
        <v>240</v>
      </c>
      <c r="CP541" s="0" t="s">
        <v>240</v>
      </c>
      <c r="CQ541" s="0" t="s">
        <v>240</v>
      </c>
      <c r="CR541" s="0" t="s">
        <v>240</v>
      </c>
      <c r="CS541" s="0" t="s">
        <v>5507</v>
      </c>
      <c r="CT541" s="0" t="s">
        <v>5496</v>
      </c>
      <c r="CU541" s="0" t="s">
        <v>5497</v>
      </c>
      <c r="CV541" s="0" t="s">
        <v>443</v>
      </c>
      <c r="CW541" s="0" t="s">
        <v>5509</v>
      </c>
      <c r="CX541" s="0" t="s">
        <v>229</v>
      </c>
      <c r="CY541" s="0" t="s">
        <v>443</v>
      </c>
      <c r="CZ541" s="0" t="s">
        <v>5510</v>
      </c>
      <c r="DA541" s="0" t="s">
        <v>5511</v>
      </c>
      <c r="DB541" s="0" t="s">
        <v>5509</v>
      </c>
      <c r="DC541" s="0" t="s">
        <v>384</v>
      </c>
      <c r="DD541" s="0" t="s">
        <v>291</v>
      </c>
      <c r="DE541" s="0" t="s">
        <v>5652</v>
      </c>
    </row>
    <row customHeight="1" ht="11.25">
      <c r="A542" s="1441" t="s">
        <v>240</v>
      </c>
      <c r="B542" s="0" t="s">
        <v>240</v>
      </c>
      <c r="C542" s="0" t="s">
        <v>240</v>
      </c>
      <c r="D542" s="0" t="s">
        <v>240</v>
      </c>
      <c r="E542" s="0" t="s">
        <v>240</v>
      </c>
      <c r="F542" s="0" t="s">
        <v>240</v>
      </c>
      <c r="G542" s="0" t="s">
        <v>240</v>
      </c>
      <c r="H542" s="0" t="s">
        <v>240</v>
      </c>
      <c r="I542" s="0" t="s">
        <v>5484</v>
      </c>
      <c r="J542" s="0" t="s">
        <v>240</v>
      </c>
      <c r="K542" s="0" t="s">
        <v>240</v>
      </c>
      <c r="L542" s="0" t="s">
        <v>240</v>
      </c>
      <c r="M542" s="0" t="s">
        <v>240</v>
      </c>
      <c r="N542" s="0" t="s">
        <v>240</v>
      </c>
      <c r="O542" s="0" t="s">
        <v>240</v>
      </c>
      <c r="P542" s="0" t="s">
        <v>240</v>
      </c>
      <c r="Q542" s="0" t="s">
        <v>240</v>
      </c>
      <c r="R542" s="0" t="s">
        <v>5608</v>
      </c>
      <c r="S542" s="0" t="s">
        <v>240</v>
      </c>
      <c r="T542" s="0" t="s">
        <v>240</v>
      </c>
      <c r="U542" s="0" t="s">
        <v>102</v>
      </c>
      <c r="V542" s="0" t="s">
        <v>240</v>
      </c>
      <c r="W542" s="0" t="s">
        <v>240</v>
      </c>
      <c r="X542" s="0" t="s">
        <v>5485</v>
      </c>
      <c r="Y542" s="0" t="s">
        <v>240</v>
      </c>
      <c r="Z542" s="0" t="s">
        <v>161</v>
      </c>
      <c r="AA542" s="0" t="s">
        <v>152</v>
      </c>
      <c r="AB542" s="0" t="s">
        <v>152</v>
      </c>
      <c r="AC542" s="0" t="s">
        <v>2985</v>
      </c>
      <c r="AD542" s="0" t="s">
        <v>2985</v>
      </c>
      <c r="AE542" s="0" t="s">
        <v>2986</v>
      </c>
      <c r="AF542" s="0" t="s">
        <v>5642</v>
      </c>
      <c r="AG542" s="0" t="s">
        <v>5643</v>
      </c>
      <c r="AH542" s="0" t="s">
        <v>5648</v>
      </c>
      <c r="AI542" s="0" t="s">
        <v>5649</v>
      </c>
      <c r="AJ542" s="0" t="s">
        <v>5504</v>
      </c>
      <c r="AK542" s="0" t="s">
        <v>5505</v>
      </c>
      <c r="AL542" s="0" t="s">
        <v>5506</v>
      </c>
      <c r="AM542" s="0" t="s">
        <v>5493</v>
      </c>
      <c r="AN542" s="0" t="s">
        <v>5507</v>
      </c>
      <c r="AO542" s="0" t="s">
        <v>6074</v>
      </c>
      <c r="AP542" s="0" t="s">
        <v>240</v>
      </c>
      <c r="AQ542" s="0" t="s">
        <v>240</v>
      </c>
      <c r="AR542" s="0" t="s">
        <v>240</v>
      </c>
      <c r="AS542" s="0" t="s">
        <v>240</v>
      </c>
      <c r="AT542" s="0" t="s">
        <v>240</v>
      </c>
      <c r="AU542" s="0" t="s">
        <v>240</v>
      </c>
      <c r="AV542" s="0" t="s">
        <v>240</v>
      </c>
      <c r="AW542" s="0" t="s">
        <v>240</v>
      </c>
      <c r="AX542" s="0" t="s">
        <v>240</v>
      </c>
      <c r="AY542" s="0" t="s">
        <v>240</v>
      </c>
      <c r="AZ542" s="0" t="s">
        <v>240</v>
      </c>
      <c r="BA542" s="0" t="s">
        <v>240</v>
      </c>
      <c r="BB542" s="0" t="s">
        <v>240</v>
      </c>
      <c r="BC542" s="0" t="s">
        <v>240</v>
      </c>
      <c r="BD542" s="0" t="s">
        <v>240</v>
      </c>
      <c r="BE542" s="0" t="s">
        <v>240</v>
      </c>
      <c r="BF542" s="0" t="s">
        <v>240</v>
      </c>
      <c r="BG542" s="0" t="s">
        <v>240</v>
      </c>
      <c r="BH542" s="0" t="s">
        <v>240</v>
      </c>
      <c r="BI542" s="0" t="s">
        <v>240</v>
      </c>
      <c r="BJ542" s="0" t="s">
        <v>240</v>
      </c>
      <c r="BK542" s="0" t="s">
        <v>240</v>
      </c>
      <c r="BL542" s="0" t="s">
        <v>240</v>
      </c>
      <c r="BM542" s="0" t="s">
        <v>240</v>
      </c>
      <c r="BN542" s="0" t="s">
        <v>240</v>
      </c>
      <c r="BO542" s="0" t="s">
        <v>240</v>
      </c>
      <c r="BP542" s="0" t="s">
        <v>240</v>
      </c>
      <c r="BQ542" s="0" t="s">
        <v>240</v>
      </c>
      <c r="BR542" s="0" t="s">
        <v>240</v>
      </c>
      <c r="BS542" s="0" t="s">
        <v>240</v>
      </c>
      <c r="BT542" s="0" t="s">
        <v>240</v>
      </c>
      <c r="BU542" s="0" t="s">
        <v>240</v>
      </c>
      <c r="BV542" s="0" t="s">
        <v>240</v>
      </c>
      <c r="BW542" s="0" t="s">
        <v>240</v>
      </c>
      <c r="BX542" s="0" t="s">
        <v>240</v>
      </c>
      <c r="BY542" s="0" t="s">
        <v>240</v>
      </c>
      <c r="BZ542" s="0" t="s">
        <v>240</v>
      </c>
      <c r="CA542" s="0" t="s">
        <v>240</v>
      </c>
      <c r="CB542" s="0" t="s">
        <v>240</v>
      </c>
      <c r="CC542" s="0" t="s">
        <v>240</v>
      </c>
      <c r="CD542" s="0" t="s">
        <v>240</v>
      </c>
      <c r="CE542" s="0" t="s">
        <v>240</v>
      </c>
      <c r="CF542" s="0" t="s">
        <v>240</v>
      </c>
      <c r="CG542" s="0" t="s">
        <v>240</v>
      </c>
      <c r="CH542" s="0" t="s">
        <v>240</v>
      </c>
      <c r="CI542" s="0" t="s">
        <v>240</v>
      </c>
      <c r="CJ542" s="0" t="s">
        <v>240</v>
      </c>
      <c r="CK542" s="0" t="s">
        <v>240</v>
      </c>
      <c r="CL542" s="0" t="s">
        <v>240</v>
      </c>
      <c r="CM542" s="0" t="s">
        <v>240</v>
      </c>
      <c r="CN542" s="0" t="s">
        <v>240</v>
      </c>
      <c r="CO542" s="0" t="s">
        <v>240</v>
      </c>
      <c r="CP542" s="0" t="s">
        <v>240</v>
      </c>
      <c r="CQ542" s="0" t="s">
        <v>240</v>
      </c>
      <c r="CR542" s="0" t="s">
        <v>240</v>
      </c>
      <c r="CS542" s="0" t="s">
        <v>240</v>
      </c>
      <c r="CT542" s="0" t="s">
        <v>5496</v>
      </c>
      <c r="CU542" s="0" t="s">
        <v>5497</v>
      </c>
      <c r="CV542" s="0" t="s">
        <v>443</v>
      </c>
      <c r="CW542" s="0" t="s">
        <v>5509</v>
      </c>
      <c r="CX542" s="0" t="s">
        <v>229</v>
      </c>
      <c r="CY542" s="0" t="s">
        <v>443</v>
      </c>
      <c r="CZ542" s="0" t="s">
        <v>5510</v>
      </c>
      <c r="DA542" s="0" t="s">
        <v>5511</v>
      </c>
      <c r="DB542" s="0" t="s">
        <v>5509</v>
      </c>
      <c r="DC542" s="0" t="s">
        <v>384</v>
      </c>
      <c r="DD542" s="0" t="s">
        <v>291</v>
      </c>
      <c r="DE542" s="0" t="s">
        <v>6075</v>
      </c>
    </row>
    <row customHeight="1" ht="11.25">
      <c r="A543" s="1441" t="s">
        <v>240</v>
      </c>
      <c r="B543" s="0" t="s">
        <v>240</v>
      </c>
      <c r="C543" s="0" t="s">
        <v>240</v>
      </c>
      <c r="D543" s="0" t="s">
        <v>240</v>
      </c>
      <c r="E543" s="0" t="s">
        <v>240</v>
      </c>
      <c r="F543" s="0" t="s">
        <v>240</v>
      </c>
      <c r="G543" s="0" t="s">
        <v>240</v>
      </c>
      <c r="H543" s="0" t="s">
        <v>240</v>
      </c>
      <c r="I543" s="0" t="s">
        <v>5484</v>
      </c>
      <c r="J543" s="0" t="s">
        <v>240</v>
      </c>
      <c r="K543" s="0" t="s">
        <v>240</v>
      </c>
      <c r="L543" s="0" t="s">
        <v>240</v>
      </c>
      <c r="M543" s="0" t="s">
        <v>240</v>
      </c>
      <c r="N543" s="0" t="s">
        <v>240</v>
      </c>
      <c r="O543" s="0" t="s">
        <v>240</v>
      </c>
      <c r="P543" s="0" t="s">
        <v>240</v>
      </c>
      <c r="Q543" s="0" t="s">
        <v>240</v>
      </c>
      <c r="R543" s="0" t="s">
        <v>5705</v>
      </c>
      <c r="S543" s="0" t="s">
        <v>240</v>
      </c>
      <c r="T543" s="0" t="s">
        <v>240</v>
      </c>
      <c r="U543" s="0" t="s">
        <v>102</v>
      </c>
      <c r="V543" s="0" t="s">
        <v>240</v>
      </c>
      <c r="W543" s="0" t="s">
        <v>240</v>
      </c>
      <c r="X543" s="0" t="s">
        <v>5585</v>
      </c>
      <c r="Y543" s="0" t="s">
        <v>240</v>
      </c>
      <c r="Z543" s="0" t="s">
        <v>152</v>
      </c>
      <c r="AA543" s="0" t="s">
        <v>152</v>
      </c>
      <c r="AB543" s="0" t="s">
        <v>161</v>
      </c>
      <c r="AC543" s="0" t="s">
        <v>2985</v>
      </c>
      <c r="AD543" s="0" t="s">
        <v>2985</v>
      </c>
      <c r="AE543" s="0" t="s">
        <v>2986</v>
      </c>
      <c r="AF543" s="0" t="s">
        <v>6033</v>
      </c>
      <c r="AG543" s="0" t="s">
        <v>6034</v>
      </c>
      <c r="AH543" s="0" t="s">
        <v>6033</v>
      </c>
      <c r="AI543" s="0" t="s">
        <v>5644</v>
      </c>
      <c r="AJ543" s="0" t="s">
        <v>240</v>
      </c>
      <c r="AK543" s="0" t="s">
        <v>240</v>
      </c>
      <c r="AL543" s="0" t="s">
        <v>240</v>
      </c>
      <c r="AM543" s="0" t="s">
        <v>240</v>
      </c>
      <c r="AN543" s="0" t="s">
        <v>240</v>
      </c>
      <c r="AO543" s="0" t="s">
        <v>240</v>
      </c>
      <c r="AP543" s="0" t="s">
        <v>240</v>
      </c>
      <c r="AQ543" s="0" t="s">
        <v>240</v>
      </c>
      <c r="AR543" s="0" t="s">
        <v>240</v>
      </c>
      <c r="AS543" s="0" t="s">
        <v>240</v>
      </c>
      <c r="AT543" s="0" t="s">
        <v>240</v>
      </c>
      <c r="AU543" s="0" t="s">
        <v>240</v>
      </c>
      <c r="AV543" s="0" t="s">
        <v>240</v>
      </c>
      <c r="AW543" s="0" t="s">
        <v>240</v>
      </c>
      <c r="AX543" s="0" t="s">
        <v>240</v>
      </c>
      <c r="AY543" s="0" t="s">
        <v>240</v>
      </c>
      <c r="AZ543" s="0" t="s">
        <v>240</v>
      </c>
      <c r="BA543" s="0" t="s">
        <v>240</v>
      </c>
      <c r="BB543" s="0" t="s">
        <v>240</v>
      </c>
      <c r="BC543" s="0" t="s">
        <v>240</v>
      </c>
      <c r="BD543" s="0" t="s">
        <v>240</v>
      </c>
      <c r="BE543" s="0" t="s">
        <v>5645</v>
      </c>
      <c r="BF543" s="0" t="s">
        <v>5645</v>
      </c>
      <c r="BG543" s="0" t="s">
        <v>112</v>
      </c>
      <c r="BH543" s="0" t="s">
        <v>5589</v>
      </c>
      <c r="BI543" s="0" t="s">
        <v>123</v>
      </c>
      <c r="BJ543" s="0" t="s">
        <v>240</v>
      </c>
      <c r="BK543" s="0" t="s">
        <v>6035</v>
      </c>
      <c r="BL543" s="0" t="s">
        <v>2985</v>
      </c>
      <c r="BM543" s="0" t="s">
        <v>2985</v>
      </c>
      <c r="BN543" s="0" t="s">
        <v>5646</v>
      </c>
      <c r="BO543" s="0" t="s">
        <v>6033</v>
      </c>
      <c r="BP543" s="0" t="s">
        <v>6036</v>
      </c>
      <c r="BQ543" s="0" t="s">
        <v>6037</v>
      </c>
      <c r="BR543" s="0" t="s">
        <v>6038</v>
      </c>
      <c r="BS543" s="0" t="s">
        <v>240</v>
      </c>
      <c r="BT543" s="0" t="s">
        <v>5650</v>
      </c>
      <c r="BU543" s="0" t="s">
        <v>6994</v>
      </c>
      <c r="BV543" s="0" t="s">
        <v>6994</v>
      </c>
      <c r="BW543" s="0" t="s">
        <v>5598</v>
      </c>
      <c r="BX543" s="0" t="s">
        <v>5598</v>
      </c>
      <c r="BY543" s="0" t="s">
        <v>5598</v>
      </c>
      <c r="BZ543" s="0" t="s">
        <v>5598</v>
      </c>
      <c r="CA543" s="0" t="s">
        <v>5598</v>
      </c>
      <c r="CB543" s="0" t="s">
        <v>240</v>
      </c>
      <c r="CC543" s="0" t="s">
        <v>240</v>
      </c>
      <c r="CD543" s="0" t="s">
        <v>240</v>
      </c>
      <c r="CE543" s="0" t="s">
        <v>240</v>
      </c>
      <c r="CF543" s="0" t="s">
        <v>240</v>
      </c>
      <c r="CG543" s="0" t="s">
        <v>5598</v>
      </c>
      <c r="CH543" s="0" t="s">
        <v>240</v>
      </c>
      <c r="CI543" s="0" t="s">
        <v>240</v>
      </c>
      <c r="CJ543" s="0" t="s">
        <v>240</v>
      </c>
      <c r="CK543" s="0" t="s">
        <v>240</v>
      </c>
      <c r="CL543" s="0" t="s">
        <v>240</v>
      </c>
      <c r="CM543" s="0" t="s">
        <v>6994</v>
      </c>
      <c r="CN543" s="0" t="s">
        <v>6994</v>
      </c>
      <c r="CO543" s="0" t="s">
        <v>240</v>
      </c>
      <c r="CP543" s="0" t="s">
        <v>240</v>
      </c>
      <c r="CQ543" s="0" t="s">
        <v>240</v>
      </c>
      <c r="CR543" s="0" t="s">
        <v>240</v>
      </c>
      <c r="CS543" s="0" t="s">
        <v>5507</v>
      </c>
      <c r="CT543" s="0" t="s">
        <v>5496</v>
      </c>
      <c r="CU543" s="0" t="s">
        <v>5497</v>
      </c>
      <c r="CV543" s="0" t="s">
        <v>443</v>
      </c>
      <c r="CW543" s="0" t="s">
        <v>5509</v>
      </c>
      <c r="CX543" s="0" t="s">
        <v>229</v>
      </c>
      <c r="CY543" s="0" t="s">
        <v>443</v>
      </c>
      <c r="CZ543" s="0" t="s">
        <v>5510</v>
      </c>
      <c r="DA543" s="0" t="s">
        <v>5511</v>
      </c>
      <c r="DB543" s="0" t="s">
        <v>5509</v>
      </c>
      <c r="DC543" s="0" t="s">
        <v>384</v>
      </c>
      <c r="DD543" s="0" t="s">
        <v>291</v>
      </c>
      <c r="DE543" s="0" t="s">
        <v>6040</v>
      </c>
    </row>
    <row customHeight="1" ht="11.25">
      <c r="A544" s="1441" t="s">
        <v>240</v>
      </c>
      <c r="B544" s="0" t="s">
        <v>240</v>
      </c>
      <c r="C544" s="0" t="s">
        <v>240</v>
      </c>
      <c r="D544" s="0" t="s">
        <v>240</v>
      </c>
      <c r="E544" s="0" t="s">
        <v>240</v>
      </c>
      <c r="F544" s="0" t="s">
        <v>240</v>
      </c>
      <c r="G544" s="0" t="s">
        <v>240</v>
      </c>
      <c r="H544" s="0" t="s">
        <v>240</v>
      </c>
      <c r="I544" s="0" t="s">
        <v>5484</v>
      </c>
      <c r="J544" s="0" t="s">
        <v>240</v>
      </c>
      <c r="K544" s="0" t="s">
        <v>240</v>
      </c>
      <c r="L544" s="0" t="s">
        <v>240</v>
      </c>
      <c r="M544" s="0" t="s">
        <v>240</v>
      </c>
      <c r="N544" s="0" t="s">
        <v>240</v>
      </c>
      <c r="O544" s="0" t="s">
        <v>240</v>
      </c>
      <c r="P544" s="0" t="s">
        <v>240</v>
      </c>
      <c r="Q544" s="0" t="s">
        <v>240</v>
      </c>
      <c r="R544" s="0" t="s">
        <v>6303</v>
      </c>
      <c r="S544" s="0" t="s">
        <v>240</v>
      </c>
      <c r="T544" s="0" t="s">
        <v>240</v>
      </c>
      <c r="U544" s="0" t="s">
        <v>102</v>
      </c>
      <c r="V544" s="0" t="s">
        <v>240</v>
      </c>
      <c r="W544" s="0" t="s">
        <v>240</v>
      </c>
      <c r="X544" s="0" t="s">
        <v>5485</v>
      </c>
      <c r="Y544" s="0" t="s">
        <v>240</v>
      </c>
      <c r="Z544" s="0" t="s">
        <v>161</v>
      </c>
      <c r="AA544" s="0" t="s">
        <v>152</v>
      </c>
      <c r="AB544" s="0" t="s">
        <v>152</v>
      </c>
      <c r="AC544" s="0" t="s">
        <v>2985</v>
      </c>
      <c r="AD544" s="0" t="s">
        <v>2985</v>
      </c>
      <c r="AE544" s="0" t="s">
        <v>2986</v>
      </c>
      <c r="AF544" s="0" t="s">
        <v>6033</v>
      </c>
      <c r="AG544" s="0" t="s">
        <v>6034</v>
      </c>
      <c r="AH544" s="0" t="s">
        <v>6037</v>
      </c>
      <c r="AI544" s="0" t="s">
        <v>6038</v>
      </c>
      <c r="AJ544" s="0" t="s">
        <v>5504</v>
      </c>
      <c r="AK544" s="0" t="s">
        <v>5505</v>
      </c>
      <c r="AL544" s="0" t="s">
        <v>5506</v>
      </c>
      <c r="AM544" s="0" t="s">
        <v>5493</v>
      </c>
      <c r="AN544" s="0" t="s">
        <v>5507</v>
      </c>
      <c r="AO544" s="0" t="s">
        <v>5636</v>
      </c>
      <c r="AP544" s="0" t="s">
        <v>240</v>
      </c>
      <c r="AQ544" s="0" t="s">
        <v>240</v>
      </c>
      <c r="AR544" s="0" t="s">
        <v>240</v>
      </c>
      <c r="AS544" s="0" t="s">
        <v>240</v>
      </c>
      <c r="AT544" s="0" t="s">
        <v>240</v>
      </c>
      <c r="AU544" s="0" t="s">
        <v>240</v>
      </c>
      <c r="AV544" s="0" t="s">
        <v>240</v>
      </c>
      <c r="AW544" s="0" t="s">
        <v>240</v>
      </c>
      <c r="AX544" s="0" t="s">
        <v>240</v>
      </c>
      <c r="AY544" s="0" t="s">
        <v>240</v>
      </c>
      <c r="AZ544" s="0" t="s">
        <v>240</v>
      </c>
      <c r="BA544" s="0" t="s">
        <v>240</v>
      </c>
      <c r="BB544" s="0" t="s">
        <v>240</v>
      </c>
      <c r="BC544" s="0" t="s">
        <v>240</v>
      </c>
      <c r="BD544" s="0" t="s">
        <v>240</v>
      </c>
      <c r="BE544" s="0" t="s">
        <v>240</v>
      </c>
      <c r="BF544" s="0" t="s">
        <v>240</v>
      </c>
      <c r="BG544" s="0" t="s">
        <v>240</v>
      </c>
      <c r="BH544" s="0" t="s">
        <v>240</v>
      </c>
      <c r="BI544" s="0" t="s">
        <v>240</v>
      </c>
      <c r="BJ544" s="0" t="s">
        <v>240</v>
      </c>
      <c r="BK544" s="0" t="s">
        <v>240</v>
      </c>
      <c r="BL544" s="0" t="s">
        <v>240</v>
      </c>
      <c r="BM544" s="0" t="s">
        <v>240</v>
      </c>
      <c r="BN544" s="0" t="s">
        <v>240</v>
      </c>
      <c r="BO544" s="0" t="s">
        <v>240</v>
      </c>
      <c r="BP544" s="0" t="s">
        <v>240</v>
      </c>
      <c r="BQ544" s="0" t="s">
        <v>240</v>
      </c>
      <c r="BR544" s="0" t="s">
        <v>240</v>
      </c>
      <c r="BS544" s="0" t="s">
        <v>240</v>
      </c>
      <c r="BT544" s="0" t="s">
        <v>240</v>
      </c>
      <c r="BU544" s="0" t="s">
        <v>240</v>
      </c>
      <c r="BV544" s="0" t="s">
        <v>240</v>
      </c>
      <c r="BW544" s="0" t="s">
        <v>240</v>
      </c>
      <c r="BX544" s="0" t="s">
        <v>240</v>
      </c>
      <c r="BY544" s="0" t="s">
        <v>240</v>
      </c>
      <c r="BZ544" s="0" t="s">
        <v>240</v>
      </c>
      <c r="CA544" s="0" t="s">
        <v>240</v>
      </c>
      <c r="CB544" s="0" t="s">
        <v>240</v>
      </c>
      <c r="CC544" s="0" t="s">
        <v>240</v>
      </c>
      <c r="CD544" s="0" t="s">
        <v>240</v>
      </c>
      <c r="CE544" s="0" t="s">
        <v>240</v>
      </c>
      <c r="CF544" s="0" t="s">
        <v>240</v>
      </c>
      <c r="CG544" s="0" t="s">
        <v>240</v>
      </c>
      <c r="CH544" s="0" t="s">
        <v>240</v>
      </c>
      <c r="CI544" s="0" t="s">
        <v>240</v>
      </c>
      <c r="CJ544" s="0" t="s">
        <v>240</v>
      </c>
      <c r="CK544" s="0" t="s">
        <v>240</v>
      </c>
      <c r="CL544" s="0" t="s">
        <v>240</v>
      </c>
      <c r="CM544" s="0" t="s">
        <v>240</v>
      </c>
      <c r="CN544" s="0" t="s">
        <v>240</v>
      </c>
      <c r="CO544" s="0" t="s">
        <v>240</v>
      </c>
      <c r="CP544" s="0" t="s">
        <v>240</v>
      </c>
      <c r="CQ544" s="0" t="s">
        <v>240</v>
      </c>
      <c r="CR544" s="0" t="s">
        <v>240</v>
      </c>
      <c r="CS544" s="0" t="s">
        <v>240</v>
      </c>
      <c r="CT544" s="0" t="s">
        <v>5496</v>
      </c>
      <c r="CU544" s="0" t="s">
        <v>5497</v>
      </c>
      <c r="CV544" s="0" t="s">
        <v>443</v>
      </c>
      <c r="CW544" s="0" t="s">
        <v>5509</v>
      </c>
      <c r="CX544" s="0" t="s">
        <v>229</v>
      </c>
      <c r="CY544" s="0" t="s">
        <v>443</v>
      </c>
      <c r="CZ544" s="0" t="s">
        <v>5510</v>
      </c>
      <c r="DA544" s="0" t="s">
        <v>5511</v>
      </c>
      <c r="DB544" s="0" t="s">
        <v>5509</v>
      </c>
      <c r="DC544" s="0" t="s">
        <v>384</v>
      </c>
      <c r="DD544" s="0" t="s">
        <v>291</v>
      </c>
      <c r="DE544" s="0" t="s">
        <v>6304</v>
      </c>
    </row>
    <row customHeight="1" ht="11.25">
      <c r="A545" s="1441" t="s">
        <v>240</v>
      </c>
      <c r="B545" s="0" t="s">
        <v>240</v>
      </c>
      <c r="C545" s="0" t="s">
        <v>240</v>
      </c>
      <c r="D545" s="0" t="s">
        <v>240</v>
      </c>
      <c r="E545" s="0" t="s">
        <v>240</v>
      </c>
      <c r="F545" s="0" t="s">
        <v>240</v>
      </c>
      <c r="G545" s="0" t="s">
        <v>240</v>
      </c>
      <c r="H545" s="0" t="s">
        <v>240</v>
      </c>
      <c r="I545" s="0" t="s">
        <v>5484</v>
      </c>
      <c r="J545" s="0" t="s">
        <v>240</v>
      </c>
      <c r="K545" s="0" t="s">
        <v>240</v>
      </c>
      <c r="L545" s="0" t="s">
        <v>240</v>
      </c>
      <c r="M545" s="0" t="s">
        <v>240</v>
      </c>
      <c r="N545" s="0" t="s">
        <v>240</v>
      </c>
      <c r="O545" s="0" t="s">
        <v>240</v>
      </c>
      <c r="P545" s="0" t="s">
        <v>240</v>
      </c>
      <c r="Q545" s="0" t="s">
        <v>240</v>
      </c>
      <c r="R545" s="0" t="s">
        <v>6305</v>
      </c>
      <c r="S545" s="0" t="s">
        <v>240</v>
      </c>
      <c r="T545" s="0" t="s">
        <v>240</v>
      </c>
      <c r="U545" s="0" t="s">
        <v>102</v>
      </c>
      <c r="V545" s="0" t="s">
        <v>240</v>
      </c>
      <c r="W545" s="0" t="s">
        <v>240</v>
      </c>
      <c r="X545" s="0" t="s">
        <v>5485</v>
      </c>
      <c r="Y545" s="0" t="s">
        <v>240</v>
      </c>
      <c r="Z545" s="0" t="s">
        <v>161</v>
      </c>
      <c r="AA545" s="0" t="s">
        <v>152</v>
      </c>
      <c r="AB545" s="0" t="s">
        <v>152</v>
      </c>
      <c r="AC545" s="0" t="s">
        <v>2991</v>
      </c>
      <c r="AD545" s="0" t="s">
        <v>2991</v>
      </c>
      <c r="AE545" s="0" t="s">
        <v>2992</v>
      </c>
      <c r="AF545" s="0" t="s">
        <v>5749</v>
      </c>
      <c r="AG545" s="0" t="s">
        <v>5750</v>
      </c>
      <c r="AH545" s="0" t="s">
        <v>5684</v>
      </c>
      <c r="AI545" s="0" t="s">
        <v>6306</v>
      </c>
      <c r="AJ545" s="0" t="s">
        <v>5507</v>
      </c>
      <c r="AK545" s="0" t="s">
        <v>5545</v>
      </c>
      <c r="AL545" s="0" t="s">
        <v>6109</v>
      </c>
      <c r="AM545" s="0" t="s">
        <v>5493</v>
      </c>
      <c r="AN545" s="0" t="s">
        <v>5553</v>
      </c>
      <c r="AO545" s="0" t="s">
        <v>5752</v>
      </c>
      <c r="AP545" s="0" t="s">
        <v>240</v>
      </c>
      <c r="AQ545" s="0" t="s">
        <v>240</v>
      </c>
      <c r="AR545" s="0" t="s">
        <v>240</v>
      </c>
      <c r="AS545" s="0" t="s">
        <v>240</v>
      </c>
      <c r="AT545" s="0" t="s">
        <v>240</v>
      </c>
      <c r="AU545" s="0" t="s">
        <v>240</v>
      </c>
      <c r="AV545" s="0" t="s">
        <v>240</v>
      </c>
      <c r="AW545" s="0" t="s">
        <v>240</v>
      </c>
      <c r="AX545" s="0" t="s">
        <v>240</v>
      </c>
      <c r="AY545" s="0" t="s">
        <v>240</v>
      </c>
      <c r="AZ545" s="0" t="s">
        <v>240</v>
      </c>
      <c r="BA545" s="0" t="s">
        <v>240</v>
      </c>
      <c r="BB545" s="0" t="s">
        <v>240</v>
      </c>
      <c r="BC545" s="0" t="s">
        <v>240</v>
      </c>
      <c r="BD545" s="0" t="s">
        <v>240</v>
      </c>
      <c r="BE545" s="0" t="s">
        <v>240</v>
      </c>
      <c r="BF545" s="0" t="s">
        <v>240</v>
      </c>
      <c r="BG545" s="0" t="s">
        <v>240</v>
      </c>
      <c r="BH545" s="0" t="s">
        <v>240</v>
      </c>
      <c r="BI545" s="0" t="s">
        <v>240</v>
      </c>
      <c r="BJ545" s="0" t="s">
        <v>240</v>
      </c>
      <c r="BK545" s="0" t="s">
        <v>240</v>
      </c>
      <c r="BL545" s="0" t="s">
        <v>240</v>
      </c>
      <c r="BM545" s="0" t="s">
        <v>240</v>
      </c>
      <c r="BN545" s="0" t="s">
        <v>240</v>
      </c>
      <c r="BO545" s="0" t="s">
        <v>240</v>
      </c>
      <c r="BP545" s="0" t="s">
        <v>240</v>
      </c>
      <c r="BQ545" s="0" t="s">
        <v>240</v>
      </c>
      <c r="BR545" s="0" t="s">
        <v>240</v>
      </c>
      <c r="BS545" s="0" t="s">
        <v>240</v>
      </c>
      <c r="BT545" s="0" t="s">
        <v>240</v>
      </c>
      <c r="BU545" s="0" t="s">
        <v>240</v>
      </c>
      <c r="BV545" s="0" t="s">
        <v>240</v>
      </c>
      <c r="BW545" s="0" t="s">
        <v>240</v>
      </c>
      <c r="BX545" s="0" t="s">
        <v>240</v>
      </c>
      <c r="BY545" s="0" t="s">
        <v>240</v>
      </c>
      <c r="BZ545" s="0" t="s">
        <v>240</v>
      </c>
      <c r="CA545" s="0" t="s">
        <v>240</v>
      </c>
      <c r="CB545" s="0" t="s">
        <v>240</v>
      </c>
      <c r="CC545" s="0" t="s">
        <v>240</v>
      </c>
      <c r="CD545" s="0" t="s">
        <v>240</v>
      </c>
      <c r="CE545" s="0" t="s">
        <v>240</v>
      </c>
      <c r="CF545" s="0" t="s">
        <v>240</v>
      </c>
      <c r="CG545" s="0" t="s">
        <v>240</v>
      </c>
      <c r="CH545" s="0" t="s">
        <v>240</v>
      </c>
      <c r="CI545" s="0" t="s">
        <v>240</v>
      </c>
      <c r="CJ545" s="0" t="s">
        <v>240</v>
      </c>
      <c r="CK545" s="0" t="s">
        <v>240</v>
      </c>
      <c r="CL545" s="0" t="s">
        <v>240</v>
      </c>
      <c r="CM545" s="0" t="s">
        <v>240</v>
      </c>
      <c r="CN545" s="0" t="s">
        <v>240</v>
      </c>
      <c r="CO545" s="0" t="s">
        <v>240</v>
      </c>
      <c r="CP545" s="0" t="s">
        <v>240</v>
      </c>
      <c r="CQ545" s="0" t="s">
        <v>240</v>
      </c>
      <c r="CR545" s="0" t="s">
        <v>240</v>
      </c>
      <c r="CS545" s="0" t="s">
        <v>240</v>
      </c>
      <c r="CT545" s="0" t="s">
        <v>5496</v>
      </c>
      <c r="CU545" s="0" t="s">
        <v>5497</v>
      </c>
      <c r="CV545" s="0" t="s">
        <v>443</v>
      </c>
      <c r="CW545" s="0" t="s">
        <v>5547</v>
      </c>
      <c r="CX545" s="0" t="s">
        <v>229</v>
      </c>
      <c r="CY545" s="0" t="s">
        <v>443</v>
      </c>
      <c r="CZ545" s="0" t="s">
        <v>5548</v>
      </c>
      <c r="DA545" s="0" t="s">
        <v>5549</v>
      </c>
      <c r="DB545" s="0" t="s">
        <v>5547</v>
      </c>
      <c r="DC545" s="0" t="s">
        <v>384</v>
      </c>
      <c r="DD545" s="0" t="s">
        <v>291</v>
      </c>
      <c r="DE545" s="0" t="s">
        <v>6307</v>
      </c>
    </row>
    <row customHeight="1" ht="11.25">
      <c r="A546" s="1441" t="s">
        <v>240</v>
      </c>
      <c r="B546" s="0" t="s">
        <v>240</v>
      </c>
      <c r="C546" s="0" t="s">
        <v>240</v>
      </c>
      <c r="D546" s="0" t="s">
        <v>240</v>
      </c>
      <c r="E546" s="0" t="s">
        <v>240</v>
      </c>
      <c r="F546" s="0" t="s">
        <v>240</v>
      </c>
      <c r="G546" s="0" t="s">
        <v>240</v>
      </c>
      <c r="H546" s="0" t="s">
        <v>240</v>
      </c>
      <c r="I546" s="0" t="s">
        <v>5484</v>
      </c>
      <c r="J546" s="0" t="s">
        <v>240</v>
      </c>
      <c r="K546" s="0" t="s">
        <v>240</v>
      </c>
      <c r="L546" s="0" t="s">
        <v>240</v>
      </c>
      <c r="M546" s="0" t="s">
        <v>240</v>
      </c>
      <c r="N546" s="0" t="s">
        <v>240</v>
      </c>
      <c r="O546" s="0" t="s">
        <v>240</v>
      </c>
      <c r="P546" s="0" t="s">
        <v>240</v>
      </c>
      <c r="Q546" s="0" t="s">
        <v>240</v>
      </c>
      <c r="R546" s="0" t="s">
        <v>6309</v>
      </c>
      <c r="S546" s="0" t="s">
        <v>240</v>
      </c>
      <c r="T546" s="0" t="s">
        <v>240</v>
      </c>
      <c r="U546" s="0" t="s">
        <v>102</v>
      </c>
      <c r="V546" s="0" t="s">
        <v>240</v>
      </c>
      <c r="W546" s="0" t="s">
        <v>240</v>
      </c>
      <c r="X546" s="0" t="s">
        <v>5585</v>
      </c>
      <c r="Y546" s="0" t="s">
        <v>240</v>
      </c>
      <c r="Z546" s="0" t="s">
        <v>152</v>
      </c>
      <c r="AA546" s="0" t="s">
        <v>152</v>
      </c>
      <c r="AB546" s="0" t="s">
        <v>161</v>
      </c>
      <c r="AC546" s="0" t="s">
        <v>2991</v>
      </c>
      <c r="AD546" s="0" t="s">
        <v>2991</v>
      </c>
      <c r="AE546" s="0" t="s">
        <v>2992</v>
      </c>
      <c r="AF546" s="0" t="s">
        <v>5844</v>
      </c>
      <c r="AG546" s="0" t="s">
        <v>5845</v>
      </c>
      <c r="AH546" s="0" t="s">
        <v>5575</v>
      </c>
      <c r="AI546" s="0" t="s">
        <v>5575</v>
      </c>
      <c r="AJ546" s="0" t="s">
        <v>240</v>
      </c>
      <c r="AK546" s="0" t="s">
        <v>240</v>
      </c>
      <c r="AL546" s="0" t="s">
        <v>240</v>
      </c>
      <c r="AM546" s="0" t="s">
        <v>240</v>
      </c>
      <c r="AN546" s="0" t="s">
        <v>240</v>
      </c>
      <c r="AO546" s="0" t="s">
        <v>240</v>
      </c>
      <c r="AP546" s="0" t="s">
        <v>240</v>
      </c>
      <c r="AQ546" s="0" t="s">
        <v>240</v>
      </c>
      <c r="AR546" s="0" t="s">
        <v>240</v>
      </c>
      <c r="AS546" s="0" t="s">
        <v>240</v>
      </c>
      <c r="AT546" s="0" t="s">
        <v>240</v>
      </c>
      <c r="AU546" s="0" t="s">
        <v>240</v>
      </c>
      <c r="AV546" s="0" t="s">
        <v>240</v>
      </c>
      <c r="AW546" s="0" t="s">
        <v>240</v>
      </c>
      <c r="AX546" s="0" t="s">
        <v>240</v>
      </c>
      <c r="AY546" s="0" t="s">
        <v>240</v>
      </c>
      <c r="AZ546" s="0" t="s">
        <v>240</v>
      </c>
      <c r="BA546" s="0" t="s">
        <v>240</v>
      </c>
      <c r="BB546" s="0" t="s">
        <v>240</v>
      </c>
      <c r="BC546" s="0" t="s">
        <v>240</v>
      </c>
      <c r="BD546" s="0" t="s">
        <v>240</v>
      </c>
      <c r="BE546" s="0" t="s">
        <v>5504</v>
      </c>
      <c r="BF546" s="0" t="s">
        <v>5544</v>
      </c>
      <c r="BG546" s="0" t="s">
        <v>112</v>
      </c>
      <c r="BH546" s="0" t="s">
        <v>5589</v>
      </c>
      <c r="BI546" s="0" t="s">
        <v>123</v>
      </c>
      <c r="BJ546" s="0" t="s">
        <v>240</v>
      </c>
      <c r="BK546" s="0" t="s">
        <v>5608</v>
      </c>
      <c r="BL546" s="0" t="s">
        <v>2991</v>
      </c>
      <c r="BM546" s="0" t="s">
        <v>2991</v>
      </c>
      <c r="BN546" s="0" t="s">
        <v>5663</v>
      </c>
      <c r="BO546" s="0" t="s">
        <v>5844</v>
      </c>
      <c r="BP546" s="0" t="s">
        <v>6310</v>
      </c>
      <c r="BQ546" s="0" t="s">
        <v>5575</v>
      </c>
      <c r="BR546" s="0" t="s">
        <v>5575</v>
      </c>
      <c r="BS546" s="0" t="s">
        <v>240</v>
      </c>
      <c r="BT546" s="0" t="s">
        <v>5650</v>
      </c>
      <c r="BU546" s="0" t="s">
        <v>6311</v>
      </c>
      <c r="BV546" s="0" t="s">
        <v>6311</v>
      </c>
      <c r="BW546" s="0" t="s">
        <v>5598</v>
      </c>
      <c r="BX546" s="0" t="s">
        <v>5598</v>
      </c>
      <c r="BY546" s="0" t="s">
        <v>5598</v>
      </c>
      <c r="BZ546" s="0" t="s">
        <v>5598</v>
      </c>
      <c r="CA546" s="0" t="s">
        <v>5598</v>
      </c>
      <c r="CB546" s="0" t="s">
        <v>240</v>
      </c>
      <c r="CC546" s="0" t="s">
        <v>240</v>
      </c>
      <c r="CD546" s="0" t="s">
        <v>240</v>
      </c>
      <c r="CE546" s="0" t="s">
        <v>240</v>
      </c>
      <c r="CF546" s="0" t="s">
        <v>240</v>
      </c>
      <c r="CG546" s="0" t="s">
        <v>5598</v>
      </c>
      <c r="CH546" s="0" t="s">
        <v>240</v>
      </c>
      <c r="CI546" s="0" t="s">
        <v>240</v>
      </c>
      <c r="CJ546" s="0" t="s">
        <v>240</v>
      </c>
      <c r="CK546" s="0" t="s">
        <v>240</v>
      </c>
      <c r="CL546" s="0" t="s">
        <v>240</v>
      </c>
      <c r="CM546" s="0" t="s">
        <v>6311</v>
      </c>
      <c r="CN546" s="0" t="s">
        <v>6311</v>
      </c>
      <c r="CO546" s="0" t="s">
        <v>240</v>
      </c>
      <c r="CP546" s="0" t="s">
        <v>240</v>
      </c>
      <c r="CQ546" s="0" t="s">
        <v>240</v>
      </c>
      <c r="CR546" s="0" t="s">
        <v>240</v>
      </c>
      <c r="CS546" s="0" t="s">
        <v>5666</v>
      </c>
      <c r="CT546" s="0" t="s">
        <v>5496</v>
      </c>
      <c r="CU546" s="0" t="s">
        <v>5497</v>
      </c>
      <c r="CV546" s="0" t="s">
        <v>443</v>
      </c>
      <c r="CW546" s="0" t="s">
        <v>5547</v>
      </c>
      <c r="CX546" s="0" t="s">
        <v>229</v>
      </c>
      <c r="CY546" s="0" t="s">
        <v>443</v>
      </c>
      <c r="CZ546" s="0" t="s">
        <v>5548</v>
      </c>
      <c r="DA546" s="0" t="s">
        <v>5549</v>
      </c>
      <c r="DB546" s="0" t="s">
        <v>5547</v>
      </c>
      <c r="DC546" s="0" t="s">
        <v>384</v>
      </c>
      <c r="DD546" s="0" t="s">
        <v>291</v>
      </c>
      <c r="DE546" s="0" t="s">
        <v>6312</v>
      </c>
    </row>
    <row customHeight="1" ht="11.25">
      <c r="A547" s="1441" t="s">
        <v>240</v>
      </c>
      <c r="B547" s="0" t="s">
        <v>240</v>
      </c>
      <c r="C547" s="0" t="s">
        <v>240</v>
      </c>
      <c r="D547" s="0" t="s">
        <v>240</v>
      </c>
      <c r="E547" s="0" t="s">
        <v>240</v>
      </c>
      <c r="F547" s="0" t="s">
        <v>240</v>
      </c>
      <c r="G547" s="0" t="s">
        <v>240</v>
      </c>
      <c r="H547" s="0" t="s">
        <v>240</v>
      </c>
      <c r="I547" s="0" t="s">
        <v>5484</v>
      </c>
      <c r="J547" s="0" t="s">
        <v>240</v>
      </c>
      <c r="K547" s="0" t="s">
        <v>240</v>
      </c>
      <c r="L547" s="0" t="s">
        <v>240</v>
      </c>
      <c r="M547" s="0" t="s">
        <v>240</v>
      </c>
      <c r="N547" s="0" t="s">
        <v>240</v>
      </c>
      <c r="O547" s="0" t="s">
        <v>240</v>
      </c>
      <c r="P547" s="0" t="s">
        <v>240</v>
      </c>
      <c r="Q547" s="0" t="s">
        <v>240</v>
      </c>
      <c r="R547" s="0" t="s">
        <v>6313</v>
      </c>
      <c r="S547" s="0" t="s">
        <v>240</v>
      </c>
      <c r="T547" s="0" t="s">
        <v>240</v>
      </c>
      <c r="U547" s="0" t="s">
        <v>102</v>
      </c>
      <c r="V547" s="0" t="s">
        <v>240</v>
      </c>
      <c r="W547" s="0" t="s">
        <v>240</v>
      </c>
      <c r="X547" s="0" t="s">
        <v>5485</v>
      </c>
      <c r="Y547" s="0" t="s">
        <v>240</v>
      </c>
      <c r="Z547" s="0" t="s">
        <v>161</v>
      </c>
      <c r="AA547" s="0" t="s">
        <v>152</v>
      </c>
      <c r="AB547" s="0" t="s">
        <v>152</v>
      </c>
      <c r="AC547" s="0" t="s">
        <v>2991</v>
      </c>
      <c r="AD547" s="0" t="s">
        <v>2991</v>
      </c>
      <c r="AE547" s="0" t="s">
        <v>2992</v>
      </c>
      <c r="AF547" s="0" t="s">
        <v>6314</v>
      </c>
      <c r="AG547" s="0" t="s">
        <v>6315</v>
      </c>
      <c r="AH547" s="0" t="s">
        <v>5542</v>
      </c>
      <c r="AI547" s="0" t="s">
        <v>6316</v>
      </c>
      <c r="AJ547" s="0" t="s">
        <v>5504</v>
      </c>
      <c r="AK547" s="0" t="s">
        <v>5776</v>
      </c>
      <c r="AL547" s="0" t="s">
        <v>5506</v>
      </c>
      <c r="AM547" s="0" t="s">
        <v>5493</v>
      </c>
      <c r="AN547" s="0" t="s">
        <v>5545</v>
      </c>
      <c r="AO547" s="0" t="s">
        <v>5508</v>
      </c>
      <c r="AP547" s="0" t="s">
        <v>240</v>
      </c>
      <c r="AQ547" s="0" t="s">
        <v>240</v>
      </c>
      <c r="AR547" s="0" t="s">
        <v>240</v>
      </c>
      <c r="AS547" s="0" t="s">
        <v>240</v>
      </c>
      <c r="AT547" s="0" t="s">
        <v>240</v>
      </c>
      <c r="AU547" s="0" t="s">
        <v>240</v>
      </c>
      <c r="AV547" s="0" t="s">
        <v>240</v>
      </c>
      <c r="AW547" s="0" t="s">
        <v>240</v>
      </c>
      <c r="AX547" s="0" t="s">
        <v>240</v>
      </c>
      <c r="AY547" s="0" t="s">
        <v>240</v>
      </c>
      <c r="AZ547" s="0" t="s">
        <v>240</v>
      </c>
      <c r="BA547" s="0" t="s">
        <v>240</v>
      </c>
      <c r="BB547" s="0" t="s">
        <v>240</v>
      </c>
      <c r="BC547" s="0" t="s">
        <v>240</v>
      </c>
      <c r="BD547" s="0" t="s">
        <v>240</v>
      </c>
      <c r="BE547" s="0" t="s">
        <v>240</v>
      </c>
      <c r="BF547" s="0" t="s">
        <v>240</v>
      </c>
      <c r="BG547" s="0" t="s">
        <v>240</v>
      </c>
      <c r="BH547" s="0" t="s">
        <v>240</v>
      </c>
      <c r="BI547" s="0" t="s">
        <v>240</v>
      </c>
      <c r="BJ547" s="0" t="s">
        <v>240</v>
      </c>
      <c r="BK547" s="0" t="s">
        <v>240</v>
      </c>
      <c r="BL547" s="0" t="s">
        <v>240</v>
      </c>
      <c r="BM547" s="0" t="s">
        <v>240</v>
      </c>
      <c r="BN547" s="0" t="s">
        <v>240</v>
      </c>
      <c r="BO547" s="0" t="s">
        <v>240</v>
      </c>
      <c r="BP547" s="0" t="s">
        <v>240</v>
      </c>
      <c r="BQ547" s="0" t="s">
        <v>240</v>
      </c>
      <c r="BR547" s="0" t="s">
        <v>240</v>
      </c>
      <c r="BS547" s="0" t="s">
        <v>240</v>
      </c>
      <c r="BT547" s="0" t="s">
        <v>240</v>
      </c>
      <c r="BU547" s="0" t="s">
        <v>240</v>
      </c>
      <c r="BV547" s="0" t="s">
        <v>240</v>
      </c>
      <c r="BW547" s="0" t="s">
        <v>240</v>
      </c>
      <c r="BX547" s="0" t="s">
        <v>240</v>
      </c>
      <c r="BY547" s="0" t="s">
        <v>240</v>
      </c>
      <c r="BZ547" s="0" t="s">
        <v>240</v>
      </c>
      <c r="CA547" s="0" t="s">
        <v>240</v>
      </c>
      <c r="CB547" s="0" t="s">
        <v>240</v>
      </c>
      <c r="CC547" s="0" t="s">
        <v>240</v>
      </c>
      <c r="CD547" s="0" t="s">
        <v>240</v>
      </c>
      <c r="CE547" s="0" t="s">
        <v>240</v>
      </c>
      <c r="CF547" s="0" t="s">
        <v>240</v>
      </c>
      <c r="CG547" s="0" t="s">
        <v>240</v>
      </c>
      <c r="CH547" s="0" t="s">
        <v>240</v>
      </c>
      <c r="CI547" s="0" t="s">
        <v>240</v>
      </c>
      <c r="CJ547" s="0" t="s">
        <v>240</v>
      </c>
      <c r="CK547" s="0" t="s">
        <v>240</v>
      </c>
      <c r="CL547" s="0" t="s">
        <v>240</v>
      </c>
      <c r="CM547" s="0" t="s">
        <v>240</v>
      </c>
      <c r="CN547" s="0" t="s">
        <v>240</v>
      </c>
      <c r="CO547" s="0" t="s">
        <v>240</v>
      </c>
      <c r="CP547" s="0" t="s">
        <v>240</v>
      </c>
      <c r="CQ547" s="0" t="s">
        <v>240</v>
      </c>
      <c r="CR547" s="0" t="s">
        <v>240</v>
      </c>
      <c r="CS547" s="0" t="s">
        <v>240</v>
      </c>
      <c r="CT547" s="0" t="s">
        <v>5496</v>
      </c>
      <c r="CU547" s="0" t="s">
        <v>5497</v>
      </c>
      <c r="CV547" s="0" t="s">
        <v>443</v>
      </c>
      <c r="CW547" s="0" t="s">
        <v>5547</v>
      </c>
      <c r="CX547" s="0" t="s">
        <v>229</v>
      </c>
      <c r="CY547" s="0" t="s">
        <v>443</v>
      </c>
      <c r="CZ547" s="0" t="s">
        <v>5548</v>
      </c>
      <c r="DA547" s="0" t="s">
        <v>5549</v>
      </c>
      <c r="DB547" s="0" t="s">
        <v>5547</v>
      </c>
      <c r="DC547" s="0" t="s">
        <v>384</v>
      </c>
      <c r="DD547" s="0" t="s">
        <v>291</v>
      </c>
      <c r="DE547" s="0" t="s">
        <v>6317</v>
      </c>
    </row>
    <row customHeight="1" ht="11.25">
      <c r="A548" s="1441" t="s">
        <v>240</v>
      </c>
      <c r="B548" s="0" t="s">
        <v>240</v>
      </c>
      <c r="C548" s="0" t="s">
        <v>240</v>
      </c>
      <c r="D548" s="0" t="s">
        <v>240</v>
      </c>
      <c r="E548" s="0" t="s">
        <v>240</v>
      </c>
      <c r="F548" s="0" t="s">
        <v>240</v>
      </c>
      <c r="G548" s="0" t="s">
        <v>240</v>
      </c>
      <c r="H548" s="0" t="s">
        <v>240</v>
      </c>
      <c r="I548" s="0" t="s">
        <v>5484</v>
      </c>
      <c r="J548" s="0" t="s">
        <v>240</v>
      </c>
      <c r="K548" s="0" t="s">
        <v>240</v>
      </c>
      <c r="L548" s="0" t="s">
        <v>240</v>
      </c>
      <c r="M548" s="0" t="s">
        <v>240</v>
      </c>
      <c r="N548" s="0" t="s">
        <v>240</v>
      </c>
      <c r="O548" s="0" t="s">
        <v>240</v>
      </c>
      <c r="P548" s="0" t="s">
        <v>240</v>
      </c>
      <c r="Q548" s="0" t="s">
        <v>240</v>
      </c>
      <c r="R548" s="0" t="s">
        <v>6387</v>
      </c>
      <c r="S548" s="0" t="s">
        <v>240</v>
      </c>
      <c r="T548" s="0" t="s">
        <v>240</v>
      </c>
      <c r="U548" s="0" t="s">
        <v>102</v>
      </c>
      <c r="V548" s="0" t="s">
        <v>240</v>
      </c>
      <c r="W548" s="0" t="s">
        <v>240</v>
      </c>
      <c r="X548" s="0" t="s">
        <v>5485</v>
      </c>
      <c r="Y548" s="0" t="s">
        <v>240</v>
      </c>
      <c r="Z548" s="0" t="s">
        <v>161</v>
      </c>
      <c r="AA548" s="0" t="s">
        <v>152</v>
      </c>
      <c r="AB548" s="0" t="s">
        <v>152</v>
      </c>
      <c r="AC548" s="0" t="s">
        <v>2991</v>
      </c>
      <c r="AD548" s="0" t="s">
        <v>2991</v>
      </c>
      <c r="AE548" s="0" t="s">
        <v>2992</v>
      </c>
      <c r="AF548" s="0" t="s">
        <v>5884</v>
      </c>
      <c r="AG548" s="0" t="s">
        <v>5885</v>
      </c>
      <c r="AH548" s="0" t="s">
        <v>6379</v>
      </c>
      <c r="AI548" s="0" t="s">
        <v>5694</v>
      </c>
      <c r="AJ548" s="0" t="s">
        <v>5552</v>
      </c>
      <c r="AK548" s="0" t="s">
        <v>5776</v>
      </c>
      <c r="AL548" s="0" t="s">
        <v>5506</v>
      </c>
      <c r="AM548" s="0" t="s">
        <v>5493</v>
      </c>
      <c r="AN548" s="0" t="s">
        <v>5553</v>
      </c>
      <c r="AO548" s="0" t="s">
        <v>5495</v>
      </c>
      <c r="AP548" s="0" t="s">
        <v>240</v>
      </c>
      <c r="AQ548" s="0" t="s">
        <v>240</v>
      </c>
      <c r="AR548" s="0" t="s">
        <v>240</v>
      </c>
      <c r="AS548" s="0" t="s">
        <v>240</v>
      </c>
      <c r="AT548" s="0" t="s">
        <v>240</v>
      </c>
      <c r="AU548" s="0" t="s">
        <v>240</v>
      </c>
      <c r="AV548" s="0" t="s">
        <v>240</v>
      </c>
      <c r="AW548" s="0" t="s">
        <v>240</v>
      </c>
      <c r="AX548" s="0" t="s">
        <v>240</v>
      </c>
      <c r="AY548" s="0" t="s">
        <v>240</v>
      </c>
      <c r="AZ548" s="0" t="s">
        <v>240</v>
      </c>
      <c r="BA548" s="0" t="s">
        <v>240</v>
      </c>
      <c r="BB548" s="0" t="s">
        <v>240</v>
      </c>
      <c r="BC548" s="0" t="s">
        <v>240</v>
      </c>
      <c r="BD548" s="0" t="s">
        <v>240</v>
      </c>
      <c r="BE548" s="0" t="s">
        <v>240</v>
      </c>
      <c r="BF548" s="0" t="s">
        <v>240</v>
      </c>
      <c r="BG548" s="0" t="s">
        <v>240</v>
      </c>
      <c r="BH548" s="0" t="s">
        <v>240</v>
      </c>
      <c r="BI548" s="0" t="s">
        <v>240</v>
      </c>
      <c r="BJ548" s="0" t="s">
        <v>240</v>
      </c>
      <c r="BK548" s="0" t="s">
        <v>240</v>
      </c>
      <c r="BL548" s="0" t="s">
        <v>240</v>
      </c>
      <c r="BM548" s="0" t="s">
        <v>240</v>
      </c>
      <c r="BN548" s="0" t="s">
        <v>240</v>
      </c>
      <c r="BO548" s="0" t="s">
        <v>240</v>
      </c>
      <c r="BP548" s="0" t="s">
        <v>240</v>
      </c>
      <c r="BQ548" s="0" t="s">
        <v>240</v>
      </c>
      <c r="BR548" s="0" t="s">
        <v>240</v>
      </c>
      <c r="BS548" s="0" t="s">
        <v>240</v>
      </c>
      <c r="BT548" s="0" t="s">
        <v>240</v>
      </c>
      <c r="BU548" s="0" t="s">
        <v>240</v>
      </c>
      <c r="BV548" s="0" t="s">
        <v>240</v>
      </c>
      <c r="BW548" s="0" t="s">
        <v>240</v>
      </c>
      <c r="BX548" s="0" t="s">
        <v>240</v>
      </c>
      <c r="BY548" s="0" t="s">
        <v>240</v>
      </c>
      <c r="BZ548" s="0" t="s">
        <v>240</v>
      </c>
      <c r="CA548" s="0" t="s">
        <v>240</v>
      </c>
      <c r="CB548" s="0" t="s">
        <v>240</v>
      </c>
      <c r="CC548" s="0" t="s">
        <v>240</v>
      </c>
      <c r="CD548" s="0" t="s">
        <v>240</v>
      </c>
      <c r="CE548" s="0" t="s">
        <v>240</v>
      </c>
      <c r="CF548" s="0" t="s">
        <v>240</v>
      </c>
      <c r="CG548" s="0" t="s">
        <v>240</v>
      </c>
      <c r="CH548" s="0" t="s">
        <v>240</v>
      </c>
      <c r="CI548" s="0" t="s">
        <v>240</v>
      </c>
      <c r="CJ548" s="0" t="s">
        <v>240</v>
      </c>
      <c r="CK548" s="0" t="s">
        <v>240</v>
      </c>
      <c r="CL548" s="0" t="s">
        <v>240</v>
      </c>
      <c r="CM548" s="0" t="s">
        <v>240</v>
      </c>
      <c r="CN548" s="0" t="s">
        <v>240</v>
      </c>
      <c r="CO548" s="0" t="s">
        <v>240</v>
      </c>
      <c r="CP548" s="0" t="s">
        <v>240</v>
      </c>
      <c r="CQ548" s="0" t="s">
        <v>240</v>
      </c>
      <c r="CR548" s="0" t="s">
        <v>240</v>
      </c>
      <c r="CS548" s="0" t="s">
        <v>240</v>
      </c>
      <c r="CT548" s="0" t="s">
        <v>5496</v>
      </c>
      <c r="CU548" s="0" t="s">
        <v>5497</v>
      </c>
      <c r="CV548" s="0" t="s">
        <v>443</v>
      </c>
      <c r="CW548" s="0" t="s">
        <v>5547</v>
      </c>
      <c r="CX548" s="0" t="s">
        <v>229</v>
      </c>
      <c r="CY548" s="0" t="s">
        <v>443</v>
      </c>
      <c r="CZ548" s="0" t="s">
        <v>5548</v>
      </c>
      <c r="DA548" s="0" t="s">
        <v>5549</v>
      </c>
      <c r="DB548" s="0" t="s">
        <v>5547</v>
      </c>
      <c r="DC548" s="0" t="s">
        <v>384</v>
      </c>
      <c r="DD548" s="0" t="s">
        <v>291</v>
      </c>
      <c r="DE548" s="0" t="s">
        <v>6388</v>
      </c>
    </row>
    <row customHeight="1" ht="11.25">
      <c r="A549" s="1441" t="s">
        <v>240</v>
      </c>
      <c r="B549" s="0" t="s">
        <v>240</v>
      </c>
      <c r="C549" s="0" t="s">
        <v>240</v>
      </c>
      <c r="D549" s="0" t="s">
        <v>240</v>
      </c>
      <c r="E549" s="0" t="s">
        <v>240</v>
      </c>
      <c r="F549" s="0" t="s">
        <v>240</v>
      </c>
      <c r="G549" s="0" t="s">
        <v>240</v>
      </c>
      <c r="H549" s="0" t="s">
        <v>240</v>
      </c>
      <c r="I549" s="0" t="s">
        <v>5484</v>
      </c>
      <c r="J549" s="0" t="s">
        <v>240</v>
      </c>
      <c r="K549" s="0" t="s">
        <v>240</v>
      </c>
      <c r="L549" s="0" t="s">
        <v>240</v>
      </c>
      <c r="M549" s="0" t="s">
        <v>240</v>
      </c>
      <c r="N549" s="0" t="s">
        <v>240</v>
      </c>
      <c r="O549" s="0" t="s">
        <v>240</v>
      </c>
      <c r="P549" s="0" t="s">
        <v>240</v>
      </c>
      <c r="Q549" s="0" t="s">
        <v>240</v>
      </c>
      <c r="R549" s="0" t="s">
        <v>5572</v>
      </c>
      <c r="S549" s="0" t="s">
        <v>240</v>
      </c>
      <c r="T549" s="0" t="s">
        <v>240</v>
      </c>
      <c r="U549" s="0" t="s">
        <v>102</v>
      </c>
      <c r="V549" s="0" t="s">
        <v>240</v>
      </c>
      <c r="W549" s="0" t="s">
        <v>240</v>
      </c>
      <c r="X549" s="0" t="s">
        <v>5485</v>
      </c>
      <c r="Y549" s="0" t="s">
        <v>240</v>
      </c>
      <c r="Z549" s="0" t="s">
        <v>161</v>
      </c>
      <c r="AA549" s="0" t="s">
        <v>152</v>
      </c>
      <c r="AB549" s="0" t="s">
        <v>152</v>
      </c>
      <c r="AC549" s="0" t="s">
        <v>2991</v>
      </c>
      <c r="AD549" s="0" t="s">
        <v>2991</v>
      </c>
      <c r="AE549" s="0" t="s">
        <v>2992</v>
      </c>
      <c r="AF549" s="0" t="s">
        <v>5884</v>
      </c>
      <c r="AG549" s="0" t="s">
        <v>5885</v>
      </c>
      <c r="AH549" s="0" t="s">
        <v>6379</v>
      </c>
      <c r="AI549" s="0" t="s">
        <v>6551</v>
      </c>
      <c r="AJ549" s="0" t="s">
        <v>5552</v>
      </c>
      <c r="AK549" s="0" t="s">
        <v>5544</v>
      </c>
      <c r="AL549" s="0" t="s">
        <v>5506</v>
      </c>
      <c r="AM549" s="0" t="s">
        <v>5493</v>
      </c>
      <c r="AN549" s="0" t="s">
        <v>5553</v>
      </c>
      <c r="AO549" s="0" t="s">
        <v>5746</v>
      </c>
      <c r="AP549" s="0" t="s">
        <v>240</v>
      </c>
      <c r="AQ549" s="0" t="s">
        <v>240</v>
      </c>
      <c r="AR549" s="0" t="s">
        <v>240</v>
      </c>
      <c r="AS549" s="0" t="s">
        <v>240</v>
      </c>
      <c r="AT549" s="0" t="s">
        <v>240</v>
      </c>
      <c r="AU549" s="0" t="s">
        <v>240</v>
      </c>
      <c r="AV549" s="0" t="s">
        <v>240</v>
      </c>
      <c r="AW549" s="0" t="s">
        <v>240</v>
      </c>
      <c r="AX549" s="0" t="s">
        <v>240</v>
      </c>
      <c r="AY549" s="0" t="s">
        <v>240</v>
      </c>
      <c r="AZ549" s="0" t="s">
        <v>240</v>
      </c>
      <c r="BA549" s="0" t="s">
        <v>240</v>
      </c>
      <c r="BB549" s="0" t="s">
        <v>240</v>
      </c>
      <c r="BC549" s="0" t="s">
        <v>240</v>
      </c>
      <c r="BD549" s="0" t="s">
        <v>240</v>
      </c>
      <c r="BE549" s="0" t="s">
        <v>240</v>
      </c>
      <c r="BF549" s="0" t="s">
        <v>240</v>
      </c>
      <c r="BG549" s="0" t="s">
        <v>240</v>
      </c>
      <c r="BH549" s="0" t="s">
        <v>240</v>
      </c>
      <c r="BI549" s="0" t="s">
        <v>240</v>
      </c>
      <c r="BJ549" s="0" t="s">
        <v>240</v>
      </c>
      <c r="BK549" s="0" t="s">
        <v>240</v>
      </c>
      <c r="BL549" s="0" t="s">
        <v>240</v>
      </c>
      <c r="BM549" s="0" t="s">
        <v>240</v>
      </c>
      <c r="BN549" s="0" t="s">
        <v>240</v>
      </c>
      <c r="BO549" s="0" t="s">
        <v>240</v>
      </c>
      <c r="BP549" s="0" t="s">
        <v>240</v>
      </c>
      <c r="BQ549" s="0" t="s">
        <v>240</v>
      </c>
      <c r="BR549" s="0" t="s">
        <v>240</v>
      </c>
      <c r="BS549" s="0" t="s">
        <v>240</v>
      </c>
      <c r="BT549" s="0" t="s">
        <v>240</v>
      </c>
      <c r="BU549" s="0" t="s">
        <v>240</v>
      </c>
      <c r="BV549" s="0" t="s">
        <v>240</v>
      </c>
      <c r="BW549" s="0" t="s">
        <v>240</v>
      </c>
      <c r="BX549" s="0" t="s">
        <v>240</v>
      </c>
      <c r="BY549" s="0" t="s">
        <v>240</v>
      </c>
      <c r="BZ549" s="0" t="s">
        <v>240</v>
      </c>
      <c r="CA549" s="0" t="s">
        <v>240</v>
      </c>
      <c r="CB549" s="0" t="s">
        <v>240</v>
      </c>
      <c r="CC549" s="0" t="s">
        <v>240</v>
      </c>
      <c r="CD549" s="0" t="s">
        <v>240</v>
      </c>
      <c r="CE549" s="0" t="s">
        <v>240</v>
      </c>
      <c r="CF549" s="0" t="s">
        <v>240</v>
      </c>
      <c r="CG549" s="0" t="s">
        <v>240</v>
      </c>
      <c r="CH549" s="0" t="s">
        <v>240</v>
      </c>
      <c r="CI549" s="0" t="s">
        <v>240</v>
      </c>
      <c r="CJ549" s="0" t="s">
        <v>240</v>
      </c>
      <c r="CK549" s="0" t="s">
        <v>240</v>
      </c>
      <c r="CL549" s="0" t="s">
        <v>240</v>
      </c>
      <c r="CM549" s="0" t="s">
        <v>240</v>
      </c>
      <c r="CN549" s="0" t="s">
        <v>240</v>
      </c>
      <c r="CO549" s="0" t="s">
        <v>240</v>
      </c>
      <c r="CP549" s="0" t="s">
        <v>240</v>
      </c>
      <c r="CQ549" s="0" t="s">
        <v>240</v>
      </c>
      <c r="CR549" s="0" t="s">
        <v>240</v>
      </c>
      <c r="CS549" s="0" t="s">
        <v>240</v>
      </c>
      <c r="CT549" s="0" t="s">
        <v>5496</v>
      </c>
      <c r="CU549" s="0" t="s">
        <v>5497</v>
      </c>
      <c r="CV549" s="0" t="s">
        <v>443</v>
      </c>
      <c r="CW549" s="0" t="s">
        <v>5547</v>
      </c>
      <c r="CX549" s="0" t="s">
        <v>229</v>
      </c>
      <c r="CY549" s="0" t="s">
        <v>443</v>
      </c>
      <c r="CZ549" s="0" t="s">
        <v>5548</v>
      </c>
      <c r="DA549" s="0" t="s">
        <v>5549</v>
      </c>
      <c r="DB549" s="0" t="s">
        <v>5547</v>
      </c>
      <c r="DC549" s="0" t="s">
        <v>384</v>
      </c>
      <c r="DD549" s="0" t="s">
        <v>291</v>
      </c>
      <c r="DE549" s="0" t="s">
        <v>6576</v>
      </c>
    </row>
    <row customHeight="1" ht="11.25">
      <c r="A550" s="1441" t="s">
        <v>240</v>
      </c>
      <c r="B550" s="0" t="s">
        <v>240</v>
      </c>
      <c r="C550" s="0" t="s">
        <v>240</v>
      </c>
      <c r="D550" s="0" t="s">
        <v>240</v>
      </c>
      <c r="E550" s="0" t="s">
        <v>240</v>
      </c>
      <c r="F550" s="0" t="s">
        <v>240</v>
      </c>
      <c r="G550" s="0" t="s">
        <v>240</v>
      </c>
      <c r="H550" s="0" t="s">
        <v>240</v>
      </c>
      <c r="I550" s="0" t="s">
        <v>5484</v>
      </c>
      <c r="J550" s="0" t="s">
        <v>240</v>
      </c>
      <c r="K550" s="0" t="s">
        <v>240</v>
      </c>
      <c r="L550" s="0" t="s">
        <v>240</v>
      </c>
      <c r="M550" s="0" t="s">
        <v>240</v>
      </c>
      <c r="N550" s="0" t="s">
        <v>240</v>
      </c>
      <c r="O550" s="0" t="s">
        <v>240</v>
      </c>
      <c r="P550" s="0" t="s">
        <v>240</v>
      </c>
      <c r="Q550" s="0" t="s">
        <v>240</v>
      </c>
      <c r="R550" s="0" t="s">
        <v>6995</v>
      </c>
      <c r="S550" s="0" t="s">
        <v>240</v>
      </c>
      <c r="T550" s="0" t="s">
        <v>240</v>
      </c>
      <c r="U550" s="0" t="s">
        <v>102</v>
      </c>
      <c r="V550" s="0" t="s">
        <v>240</v>
      </c>
      <c r="W550" s="0" t="s">
        <v>240</v>
      </c>
      <c r="X550" s="0" t="s">
        <v>5485</v>
      </c>
      <c r="Y550" s="0" t="s">
        <v>240</v>
      </c>
      <c r="Z550" s="0" t="s">
        <v>161</v>
      </c>
      <c r="AA550" s="0" t="s">
        <v>152</v>
      </c>
      <c r="AB550" s="0" t="s">
        <v>152</v>
      </c>
      <c r="AC550" s="0" t="s">
        <v>3389</v>
      </c>
      <c r="AD550" s="0" t="s">
        <v>3389</v>
      </c>
      <c r="AE550" s="0" t="s">
        <v>3390</v>
      </c>
      <c r="AF550" s="0" t="s">
        <v>5519</v>
      </c>
      <c r="AG550" s="0" t="s">
        <v>5520</v>
      </c>
      <c r="AH550" s="0" t="s">
        <v>5870</v>
      </c>
      <c r="AI550" s="0" t="s">
        <v>5871</v>
      </c>
      <c r="AJ550" s="0" t="s">
        <v>5872</v>
      </c>
      <c r="AK550" s="0" t="s">
        <v>5873</v>
      </c>
      <c r="AL550" s="0" t="s">
        <v>5524</v>
      </c>
      <c r="AM550" s="0" t="s">
        <v>5493</v>
      </c>
      <c r="AN550" s="0" t="s">
        <v>5874</v>
      </c>
      <c r="AO550" s="0" t="s">
        <v>5875</v>
      </c>
      <c r="AP550" s="0" t="s">
        <v>240</v>
      </c>
      <c r="AQ550" s="0" t="s">
        <v>240</v>
      </c>
      <c r="AR550" s="0" t="s">
        <v>240</v>
      </c>
      <c r="AS550" s="0" t="s">
        <v>240</v>
      </c>
      <c r="AT550" s="0" t="s">
        <v>240</v>
      </c>
      <c r="AU550" s="0" t="s">
        <v>240</v>
      </c>
      <c r="AV550" s="0" t="s">
        <v>240</v>
      </c>
      <c r="AW550" s="0" t="s">
        <v>240</v>
      </c>
      <c r="AX550" s="0" t="s">
        <v>240</v>
      </c>
      <c r="AY550" s="0" t="s">
        <v>240</v>
      </c>
      <c r="AZ550" s="0" t="s">
        <v>240</v>
      </c>
      <c r="BA550" s="0" t="s">
        <v>240</v>
      </c>
      <c r="BB550" s="0" t="s">
        <v>240</v>
      </c>
      <c r="BC550" s="0" t="s">
        <v>240</v>
      </c>
      <c r="BD550" s="0" t="s">
        <v>240</v>
      </c>
      <c r="BE550" s="0" t="s">
        <v>240</v>
      </c>
      <c r="BF550" s="0" t="s">
        <v>240</v>
      </c>
      <c r="BG550" s="0" t="s">
        <v>240</v>
      </c>
      <c r="BH550" s="0" t="s">
        <v>240</v>
      </c>
      <c r="BI550" s="0" t="s">
        <v>240</v>
      </c>
      <c r="BJ550" s="0" t="s">
        <v>240</v>
      </c>
      <c r="BK550" s="0" t="s">
        <v>240</v>
      </c>
      <c r="BL550" s="0" t="s">
        <v>240</v>
      </c>
      <c r="BM550" s="0" t="s">
        <v>240</v>
      </c>
      <c r="BN550" s="0" t="s">
        <v>240</v>
      </c>
      <c r="BO550" s="0" t="s">
        <v>240</v>
      </c>
      <c r="BP550" s="0" t="s">
        <v>240</v>
      </c>
      <c r="BQ550" s="0" t="s">
        <v>240</v>
      </c>
      <c r="BR550" s="0" t="s">
        <v>240</v>
      </c>
      <c r="BS550" s="0" t="s">
        <v>240</v>
      </c>
      <c r="BT550" s="0" t="s">
        <v>240</v>
      </c>
      <c r="BU550" s="0" t="s">
        <v>240</v>
      </c>
      <c r="BV550" s="0" t="s">
        <v>240</v>
      </c>
      <c r="BW550" s="0" t="s">
        <v>240</v>
      </c>
      <c r="BX550" s="0" t="s">
        <v>240</v>
      </c>
      <c r="BY550" s="0" t="s">
        <v>240</v>
      </c>
      <c r="BZ550" s="0" t="s">
        <v>240</v>
      </c>
      <c r="CA550" s="0" t="s">
        <v>240</v>
      </c>
      <c r="CB550" s="0" t="s">
        <v>240</v>
      </c>
      <c r="CC550" s="0" t="s">
        <v>240</v>
      </c>
      <c r="CD550" s="0" t="s">
        <v>240</v>
      </c>
      <c r="CE550" s="0" t="s">
        <v>240</v>
      </c>
      <c r="CF550" s="0" t="s">
        <v>240</v>
      </c>
      <c r="CG550" s="0" t="s">
        <v>240</v>
      </c>
      <c r="CH550" s="0" t="s">
        <v>240</v>
      </c>
      <c r="CI550" s="0" t="s">
        <v>240</v>
      </c>
      <c r="CJ550" s="0" t="s">
        <v>240</v>
      </c>
      <c r="CK550" s="0" t="s">
        <v>240</v>
      </c>
      <c r="CL550" s="0" t="s">
        <v>240</v>
      </c>
      <c r="CM550" s="0" t="s">
        <v>240</v>
      </c>
      <c r="CN550" s="0" t="s">
        <v>240</v>
      </c>
      <c r="CO550" s="0" t="s">
        <v>240</v>
      </c>
      <c r="CP550" s="0" t="s">
        <v>240</v>
      </c>
      <c r="CQ550" s="0" t="s">
        <v>240</v>
      </c>
      <c r="CR550" s="0" t="s">
        <v>240</v>
      </c>
      <c r="CS550" s="0" t="s">
        <v>240</v>
      </c>
      <c r="CT550" s="0" t="s">
        <v>5496</v>
      </c>
      <c r="CU550" s="0" t="s">
        <v>5497</v>
      </c>
      <c r="CV550" s="0" t="s">
        <v>443</v>
      </c>
      <c r="CW550" s="0" t="s">
        <v>5527</v>
      </c>
      <c r="CX550" s="0" t="s">
        <v>5528</v>
      </c>
      <c r="CY550" s="0" t="s">
        <v>443</v>
      </c>
      <c r="CZ550" s="0" t="s">
        <v>299</v>
      </c>
      <c r="DA550" s="0" t="s">
        <v>5529</v>
      </c>
      <c r="DB550" s="0" t="s">
        <v>5527</v>
      </c>
      <c r="DC550" s="0" t="s">
        <v>384</v>
      </c>
      <c r="DD550" s="0" t="s">
        <v>291</v>
      </c>
      <c r="DE550" s="0" t="s">
        <v>5876</v>
      </c>
    </row>
    <row customHeight="1" ht="11.25">
      <c r="A551" s="1441" t="s">
        <v>240</v>
      </c>
      <c r="B551" s="0" t="s">
        <v>240</v>
      </c>
      <c r="C551" s="0" t="s">
        <v>240</v>
      </c>
      <c r="D551" s="0" t="s">
        <v>240</v>
      </c>
      <c r="E551" s="0" t="s">
        <v>240</v>
      </c>
      <c r="F551" s="0" t="s">
        <v>240</v>
      </c>
      <c r="G551" s="0" t="s">
        <v>240</v>
      </c>
      <c r="H551" s="0" t="s">
        <v>240</v>
      </c>
      <c r="I551" s="0" t="s">
        <v>5484</v>
      </c>
      <c r="J551" s="0" t="s">
        <v>240</v>
      </c>
      <c r="K551" s="0" t="s">
        <v>240</v>
      </c>
      <c r="L551" s="0" t="s">
        <v>240</v>
      </c>
      <c r="M551" s="0" t="s">
        <v>240</v>
      </c>
      <c r="N551" s="0" t="s">
        <v>240</v>
      </c>
      <c r="O551" s="0" t="s">
        <v>240</v>
      </c>
      <c r="P551" s="0" t="s">
        <v>240</v>
      </c>
      <c r="Q551" s="0" t="s">
        <v>240</v>
      </c>
      <c r="R551" s="0" t="s">
        <v>6583</v>
      </c>
      <c r="S551" s="0" t="s">
        <v>240</v>
      </c>
      <c r="T551" s="0" t="s">
        <v>240</v>
      </c>
      <c r="U551" s="0" t="s">
        <v>102</v>
      </c>
      <c r="V551" s="0" t="s">
        <v>240</v>
      </c>
      <c r="W551" s="0" t="s">
        <v>240</v>
      </c>
      <c r="X551" s="0" t="s">
        <v>5485</v>
      </c>
      <c r="Y551" s="0" t="s">
        <v>240</v>
      </c>
      <c r="Z551" s="0" t="s">
        <v>161</v>
      </c>
      <c r="AA551" s="0" t="s">
        <v>152</v>
      </c>
      <c r="AB551" s="0" t="s">
        <v>152</v>
      </c>
      <c r="AC551" s="0" t="s">
        <v>2991</v>
      </c>
      <c r="AD551" s="0" t="s">
        <v>2991</v>
      </c>
      <c r="AE551" s="0" t="s">
        <v>2992</v>
      </c>
      <c r="AF551" s="0" t="s">
        <v>5884</v>
      </c>
      <c r="AG551" s="0" t="s">
        <v>5885</v>
      </c>
      <c r="AH551" s="0" t="s">
        <v>6379</v>
      </c>
      <c r="AI551" s="0" t="s">
        <v>5710</v>
      </c>
      <c r="AJ551" s="0" t="s">
        <v>5552</v>
      </c>
      <c r="AK551" s="0" t="s">
        <v>5776</v>
      </c>
      <c r="AL551" s="0" t="s">
        <v>5506</v>
      </c>
      <c r="AM551" s="0" t="s">
        <v>5493</v>
      </c>
      <c r="AN551" s="0" t="s">
        <v>5553</v>
      </c>
      <c r="AO551" s="0" t="s">
        <v>5887</v>
      </c>
      <c r="AP551" s="0" t="s">
        <v>240</v>
      </c>
      <c r="AQ551" s="0" t="s">
        <v>240</v>
      </c>
      <c r="AR551" s="0" t="s">
        <v>240</v>
      </c>
      <c r="AS551" s="0" t="s">
        <v>240</v>
      </c>
      <c r="AT551" s="0" t="s">
        <v>240</v>
      </c>
      <c r="AU551" s="0" t="s">
        <v>240</v>
      </c>
      <c r="AV551" s="0" t="s">
        <v>240</v>
      </c>
      <c r="AW551" s="0" t="s">
        <v>240</v>
      </c>
      <c r="AX551" s="0" t="s">
        <v>240</v>
      </c>
      <c r="AY551" s="0" t="s">
        <v>240</v>
      </c>
      <c r="AZ551" s="0" t="s">
        <v>240</v>
      </c>
      <c r="BA551" s="0" t="s">
        <v>240</v>
      </c>
      <c r="BB551" s="0" t="s">
        <v>240</v>
      </c>
      <c r="BC551" s="0" t="s">
        <v>240</v>
      </c>
      <c r="BD551" s="0" t="s">
        <v>240</v>
      </c>
      <c r="BE551" s="0" t="s">
        <v>240</v>
      </c>
      <c r="BF551" s="0" t="s">
        <v>240</v>
      </c>
      <c r="BG551" s="0" t="s">
        <v>240</v>
      </c>
      <c r="BH551" s="0" t="s">
        <v>240</v>
      </c>
      <c r="BI551" s="0" t="s">
        <v>240</v>
      </c>
      <c r="BJ551" s="0" t="s">
        <v>240</v>
      </c>
      <c r="BK551" s="0" t="s">
        <v>240</v>
      </c>
      <c r="BL551" s="0" t="s">
        <v>240</v>
      </c>
      <c r="BM551" s="0" t="s">
        <v>240</v>
      </c>
      <c r="BN551" s="0" t="s">
        <v>240</v>
      </c>
      <c r="BO551" s="0" t="s">
        <v>240</v>
      </c>
      <c r="BP551" s="0" t="s">
        <v>240</v>
      </c>
      <c r="BQ551" s="0" t="s">
        <v>240</v>
      </c>
      <c r="BR551" s="0" t="s">
        <v>240</v>
      </c>
      <c r="BS551" s="0" t="s">
        <v>240</v>
      </c>
      <c r="BT551" s="0" t="s">
        <v>240</v>
      </c>
      <c r="BU551" s="0" t="s">
        <v>240</v>
      </c>
      <c r="BV551" s="0" t="s">
        <v>240</v>
      </c>
      <c r="BW551" s="0" t="s">
        <v>240</v>
      </c>
      <c r="BX551" s="0" t="s">
        <v>240</v>
      </c>
      <c r="BY551" s="0" t="s">
        <v>240</v>
      </c>
      <c r="BZ551" s="0" t="s">
        <v>240</v>
      </c>
      <c r="CA551" s="0" t="s">
        <v>240</v>
      </c>
      <c r="CB551" s="0" t="s">
        <v>240</v>
      </c>
      <c r="CC551" s="0" t="s">
        <v>240</v>
      </c>
      <c r="CD551" s="0" t="s">
        <v>240</v>
      </c>
      <c r="CE551" s="0" t="s">
        <v>240</v>
      </c>
      <c r="CF551" s="0" t="s">
        <v>240</v>
      </c>
      <c r="CG551" s="0" t="s">
        <v>240</v>
      </c>
      <c r="CH551" s="0" t="s">
        <v>240</v>
      </c>
      <c r="CI551" s="0" t="s">
        <v>240</v>
      </c>
      <c r="CJ551" s="0" t="s">
        <v>240</v>
      </c>
      <c r="CK551" s="0" t="s">
        <v>240</v>
      </c>
      <c r="CL551" s="0" t="s">
        <v>240</v>
      </c>
      <c r="CM551" s="0" t="s">
        <v>240</v>
      </c>
      <c r="CN551" s="0" t="s">
        <v>240</v>
      </c>
      <c r="CO551" s="0" t="s">
        <v>240</v>
      </c>
      <c r="CP551" s="0" t="s">
        <v>240</v>
      </c>
      <c r="CQ551" s="0" t="s">
        <v>240</v>
      </c>
      <c r="CR551" s="0" t="s">
        <v>240</v>
      </c>
      <c r="CS551" s="0" t="s">
        <v>240</v>
      </c>
      <c r="CT551" s="0" t="s">
        <v>5496</v>
      </c>
      <c r="CU551" s="0" t="s">
        <v>5497</v>
      </c>
      <c r="CV551" s="0" t="s">
        <v>443</v>
      </c>
      <c r="CW551" s="0" t="s">
        <v>5547</v>
      </c>
      <c r="CX551" s="0" t="s">
        <v>229</v>
      </c>
      <c r="CY551" s="0" t="s">
        <v>443</v>
      </c>
      <c r="CZ551" s="0" t="s">
        <v>5548</v>
      </c>
      <c r="DA551" s="0" t="s">
        <v>5549</v>
      </c>
      <c r="DB551" s="0" t="s">
        <v>5547</v>
      </c>
      <c r="DC551" s="0" t="s">
        <v>384</v>
      </c>
      <c r="DD551" s="0" t="s">
        <v>291</v>
      </c>
      <c r="DE551" s="0" t="s">
        <v>6584</v>
      </c>
    </row>
    <row customHeight="1" ht="11.25">
      <c r="A552" s="1441" t="s">
        <v>240</v>
      </c>
      <c r="B552" s="0" t="s">
        <v>240</v>
      </c>
      <c r="C552" s="0" t="s">
        <v>240</v>
      </c>
      <c r="D552" s="0" t="s">
        <v>240</v>
      </c>
      <c r="E552" s="0" t="s">
        <v>240</v>
      </c>
      <c r="F552" s="0" t="s">
        <v>240</v>
      </c>
      <c r="G552" s="0" t="s">
        <v>240</v>
      </c>
      <c r="H552" s="0" t="s">
        <v>240</v>
      </c>
      <c r="I552" s="0" t="s">
        <v>5484</v>
      </c>
      <c r="J552" s="0" t="s">
        <v>240</v>
      </c>
      <c r="K552" s="0" t="s">
        <v>240</v>
      </c>
      <c r="L552" s="0" t="s">
        <v>240</v>
      </c>
      <c r="M552" s="0" t="s">
        <v>240</v>
      </c>
      <c r="N552" s="0" t="s">
        <v>240</v>
      </c>
      <c r="O552" s="0" t="s">
        <v>240</v>
      </c>
      <c r="P552" s="0" t="s">
        <v>240</v>
      </c>
      <c r="Q552" s="0" t="s">
        <v>240</v>
      </c>
      <c r="R552" s="0" t="s">
        <v>6819</v>
      </c>
      <c r="S552" s="0" t="s">
        <v>240</v>
      </c>
      <c r="T552" s="0" t="s">
        <v>240</v>
      </c>
      <c r="U552" s="0" t="s">
        <v>102</v>
      </c>
      <c r="V552" s="0" t="s">
        <v>240</v>
      </c>
      <c r="W552" s="0" t="s">
        <v>240</v>
      </c>
      <c r="X552" s="0" t="s">
        <v>5585</v>
      </c>
      <c r="Y552" s="0" t="s">
        <v>240</v>
      </c>
      <c r="Z552" s="0" t="s">
        <v>152</v>
      </c>
      <c r="AA552" s="0" t="s">
        <v>152</v>
      </c>
      <c r="AB552" s="0" t="s">
        <v>161</v>
      </c>
      <c r="AC552" s="0" t="s">
        <v>2991</v>
      </c>
      <c r="AD552" s="0" t="s">
        <v>2991</v>
      </c>
      <c r="AE552" s="0" t="s">
        <v>2992</v>
      </c>
      <c r="AF552" s="0" t="s">
        <v>5884</v>
      </c>
      <c r="AG552" s="0" t="s">
        <v>5885</v>
      </c>
      <c r="AH552" s="0" t="s">
        <v>5575</v>
      </c>
      <c r="AI552" s="0" t="s">
        <v>5575</v>
      </c>
      <c r="AJ552" s="0" t="s">
        <v>240</v>
      </c>
      <c r="AK552" s="0" t="s">
        <v>240</v>
      </c>
      <c r="AL552" s="0" t="s">
        <v>240</v>
      </c>
      <c r="AM552" s="0" t="s">
        <v>240</v>
      </c>
      <c r="AN552" s="0" t="s">
        <v>240</v>
      </c>
      <c r="AO552" s="0" t="s">
        <v>240</v>
      </c>
      <c r="AP552" s="0" t="s">
        <v>240</v>
      </c>
      <c r="AQ552" s="0" t="s">
        <v>240</v>
      </c>
      <c r="AR552" s="0" t="s">
        <v>240</v>
      </c>
      <c r="AS552" s="0" t="s">
        <v>240</v>
      </c>
      <c r="AT552" s="0" t="s">
        <v>240</v>
      </c>
      <c r="AU552" s="0" t="s">
        <v>240</v>
      </c>
      <c r="AV552" s="0" t="s">
        <v>240</v>
      </c>
      <c r="AW552" s="0" t="s">
        <v>240</v>
      </c>
      <c r="AX552" s="0" t="s">
        <v>240</v>
      </c>
      <c r="AY552" s="0" t="s">
        <v>240</v>
      </c>
      <c r="AZ552" s="0" t="s">
        <v>240</v>
      </c>
      <c r="BA552" s="0" t="s">
        <v>240</v>
      </c>
      <c r="BB552" s="0" t="s">
        <v>240</v>
      </c>
      <c r="BC552" s="0" t="s">
        <v>240</v>
      </c>
      <c r="BD552" s="0" t="s">
        <v>240</v>
      </c>
      <c r="BE552" s="0" t="s">
        <v>5552</v>
      </c>
      <c r="BF552" s="0" t="s">
        <v>5776</v>
      </c>
      <c r="BG552" s="0" t="s">
        <v>112</v>
      </c>
      <c r="BH552" s="0" t="s">
        <v>5589</v>
      </c>
      <c r="BI552" s="0" t="s">
        <v>123</v>
      </c>
      <c r="BJ552" s="0" t="s">
        <v>240</v>
      </c>
      <c r="BK552" s="0" t="s">
        <v>5608</v>
      </c>
      <c r="BL552" s="0" t="s">
        <v>2991</v>
      </c>
      <c r="BM552" s="0" t="s">
        <v>2991</v>
      </c>
      <c r="BN552" s="0" t="s">
        <v>5663</v>
      </c>
      <c r="BO552" s="0" t="s">
        <v>5884</v>
      </c>
      <c r="BP552" s="0" t="s">
        <v>6820</v>
      </c>
      <c r="BQ552" s="0" t="s">
        <v>5575</v>
      </c>
      <c r="BR552" s="0" t="s">
        <v>5575</v>
      </c>
      <c r="BS552" s="0" t="s">
        <v>240</v>
      </c>
      <c r="BT552" s="0" t="s">
        <v>5650</v>
      </c>
      <c r="BU552" s="0" t="s">
        <v>6821</v>
      </c>
      <c r="BV552" s="0" t="s">
        <v>6821</v>
      </c>
      <c r="BW552" s="0" t="s">
        <v>5598</v>
      </c>
      <c r="BX552" s="0" t="s">
        <v>5598</v>
      </c>
      <c r="BY552" s="0" t="s">
        <v>5598</v>
      </c>
      <c r="BZ552" s="0" t="s">
        <v>5598</v>
      </c>
      <c r="CA552" s="0" t="s">
        <v>5598</v>
      </c>
      <c r="CB552" s="0" t="s">
        <v>240</v>
      </c>
      <c r="CC552" s="0" t="s">
        <v>240</v>
      </c>
      <c r="CD552" s="0" t="s">
        <v>240</v>
      </c>
      <c r="CE552" s="0" t="s">
        <v>240</v>
      </c>
      <c r="CF552" s="0" t="s">
        <v>240</v>
      </c>
      <c r="CG552" s="0" t="s">
        <v>5598</v>
      </c>
      <c r="CH552" s="0" t="s">
        <v>240</v>
      </c>
      <c r="CI552" s="0" t="s">
        <v>240</v>
      </c>
      <c r="CJ552" s="0" t="s">
        <v>240</v>
      </c>
      <c r="CK552" s="0" t="s">
        <v>240</v>
      </c>
      <c r="CL552" s="0" t="s">
        <v>240</v>
      </c>
      <c r="CM552" s="0" t="s">
        <v>6821</v>
      </c>
      <c r="CN552" s="0" t="s">
        <v>6821</v>
      </c>
      <c r="CO552" s="0" t="s">
        <v>240</v>
      </c>
      <c r="CP552" s="0" t="s">
        <v>240</v>
      </c>
      <c r="CQ552" s="0" t="s">
        <v>240</v>
      </c>
      <c r="CR552" s="0" t="s">
        <v>240</v>
      </c>
      <c r="CS552" s="0" t="s">
        <v>5666</v>
      </c>
      <c r="CT552" s="0" t="s">
        <v>5496</v>
      </c>
      <c r="CU552" s="0" t="s">
        <v>5497</v>
      </c>
      <c r="CV552" s="0" t="s">
        <v>443</v>
      </c>
      <c r="CW552" s="0" t="s">
        <v>5547</v>
      </c>
      <c r="CX552" s="0" t="s">
        <v>229</v>
      </c>
      <c r="CY552" s="0" t="s">
        <v>443</v>
      </c>
      <c r="CZ552" s="0" t="s">
        <v>5548</v>
      </c>
      <c r="DA552" s="0" t="s">
        <v>5549</v>
      </c>
      <c r="DB552" s="0" t="s">
        <v>5547</v>
      </c>
      <c r="DC552" s="0" t="s">
        <v>384</v>
      </c>
      <c r="DD552" s="0" t="s">
        <v>291</v>
      </c>
      <c r="DE552" s="0" t="s">
        <v>6822</v>
      </c>
    </row>
    <row customHeight="1" ht="11.25">
      <c r="A553" s="1441" t="s">
        <v>240</v>
      </c>
      <c r="B553" s="0" t="s">
        <v>240</v>
      </c>
      <c r="C553" s="0" t="s">
        <v>240</v>
      </c>
      <c r="D553" s="0" t="s">
        <v>240</v>
      </c>
      <c r="E553" s="0" t="s">
        <v>240</v>
      </c>
      <c r="F553" s="0" t="s">
        <v>240</v>
      </c>
      <c r="G553" s="0" t="s">
        <v>240</v>
      </c>
      <c r="H553" s="0" t="s">
        <v>240</v>
      </c>
      <c r="I553" s="0" t="s">
        <v>5484</v>
      </c>
      <c r="J553" s="0" t="s">
        <v>240</v>
      </c>
      <c r="K553" s="0" t="s">
        <v>240</v>
      </c>
      <c r="L553" s="0" t="s">
        <v>240</v>
      </c>
      <c r="M553" s="0" t="s">
        <v>240</v>
      </c>
      <c r="N553" s="0" t="s">
        <v>240</v>
      </c>
      <c r="O553" s="0" t="s">
        <v>240</v>
      </c>
      <c r="P553" s="0" t="s">
        <v>240</v>
      </c>
      <c r="Q553" s="0" t="s">
        <v>240</v>
      </c>
      <c r="R553" s="0" t="s">
        <v>5572</v>
      </c>
      <c r="S553" s="0" t="s">
        <v>240</v>
      </c>
      <c r="T553" s="0" t="s">
        <v>240</v>
      </c>
      <c r="U553" s="0" t="s">
        <v>102</v>
      </c>
      <c r="V553" s="0" t="s">
        <v>240</v>
      </c>
      <c r="W553" s="0" t="s">
        <v>240</v>
      </c>
      <c r="X553" s="0" t="s">
        <v>5485</v>
      </c>
      <c r="Y553" s="0" t="s">
        <v>240</v>
      </c>
      <c r="Z553" s="0" t="s">
        <v>161</v>
      </c>
      <c r="AA553" s="0" t="s">
        <v>152</v>
      </c>
      <c r="AB553" s="0" t="s">
        <v>152</v>
      </c>
      <c r="AC553" s="0" t="s">
        <v>2991</v>
      </c>
      <c r="AD553" s="0" t="s">
        <v>2991</v>
      </c>
      <c r="AE553" s="0" t="s">
        <v>2992</v>
      </c>
      <c r="AF553" s="0" t="s">
        <v>5844</v>
      </c>
      <c r="AG553" s="0" t="s">
        <v>5845</v>
      </c>
      <c r="AH553" s="0" t="s">
        <v>5846</v>
      </c>
      <c r="AI553" s="0" t="s">
        <v>5847</v>
      </c>
      <c r="AJ553" s="0" t="s">
        <v>5504</v>
      </c>
      <c r="AK553" s="0" t="s">
        <v>5544</v>
      </c>
      <c r="AL553" s="0" t="s">
        <v>5506</v>
      </c>
      <c r="AM553" s="0" t="s">
        <v>5493</v>
      </c>
      <c r="AN553" s="0" t="s">
        <v>5545</v>
      </c>
      <c r="AO553" s="0" t="s">
        <v>5508</v>
      </c>
      <c r="AP553" s="0" t="s">
        <v>240</v>
      </c>
      <c r="AQ553" s="0" t="s">
        <v>240</v>
      </c>
      <c r="AR553" s="0" t="s">
        <v>240</v>
      </c>
      <c r="AS553" s="0" t="s">
        <v>240</v>
      </c>
      <c r="AT553" s="0" t="s">
        <v>240</v>
      </c>
      <c r="AU553" s="0" t="s">
        <v>240</v>
      </c>
      <c r="AV553" s="0" t="s">
        <v>240</v>
      </c>
      <c r="AW553" s="0" t="s">
        <v>240</v>
      </c>
      <c r="AX553" s="0" t="s">
        <v>240</v>
      </c>
      <c r="AY553" s="0" t="s">
        <v>240</v>
      </c>
      <c r="AZ553" s="0" t="s">
        <v>240</v>
      </c>
      <c r="BA553" s="0" t="s">
        <v>240</v>
      </c>
      <c r="BB553" s="0" t="s">
        <v>240</v>
      </c>
      <c r="BC553" s="0" t="s">
        <v>240</v>
      </c>
      <c r="BD553" s="0" t="s">
        <v>240</v>
      </c>
      <c r="BE553" s="0" t="s">
        <v>240</v>
      </c>
      <c r="BF553" s="0" t="s">
        <v>240</v>
      </c>
      <c r="BG553" s="0" t="s">
        <v>240</v>
      </c>
      <c r="BH553" s="0" t="s">
        <v>240</v>
      </c>
      <c r="BI553" s="0" t="s">
        <v>240</v>
      </c>
      <c r="BJ553" s="0" t="s">
        <v>240</v>
      </c>
      <c r="BK553" s="0" t="s">
        <v>240</v>
      </c>
      <c r="BL553" s="0" t="s">
        <v>240</v>
      </c>
      <c r="BM553" s="0" t="s">
        <v>240</v>
      </c>
      <c r="BN553" s="0" t="s">
        <v>240</v>
      </c>
      <c r="BO553" s="0" t="s">
        <v>240</v>
      </c>
      <c r="BP553" s="0" t="s">
        <v>240</v>
      </c>
      <c r="BQ553" s="0" t="s">
        <v>240</v>
      </c>
      <c r="BR553" s="0" t="s">
        <v>240</v>
      </c>
      <c r="BS553" s="0" t="s">
        <v>240</v>
      </c>
      <c r="BT553" s="0" t="s">
        <v>240</v>
      </c>
      <c r="BU553" s="0" t="s">
        <v>240</v>
      </c>
      <c r="BV553" s="0" t="s">
        <v>240</v>
      </c>
      <c r="BW553" s="0" t="s">
        <v>240</v>
      </c>
      <c r="BX553" s="0" t="s">
        <v>240</v>
      </c>
      <c r="BY553" s="0" t="s">
        <v>240</v>
      </c>
      <c r="BZ553" s="0" t="s">
        <v>240</v>
      </c>
      <c r="CA553" s="0" t="s">
        <v>240</v>
      </c>
      <c r="CB553" s="0" t="s">
        <v>240</v>
      </c>
      <c r="CC553" s="0" t="s">
        <v>240</v>
      </c>
      <c r="CD553" s="0" t="s">
        <v>240</v>
      </c>
      <c r="CE553" s="0" t="s">
        <v>240</v>
      </c>
      <c r="CF553" s="0" t="s">
        <v>240</v>
      </c>
      <c r="CG553" s="0" t="s">
        <v>240</v>
      </c>
      <c r="CH553" s="0" t="s">
        <v>240</v>
      </c>
      <c r="CI553" s="0" t="s">
        <v>240</v>
      </c>
      <c r="CJ553" s="0" t="s">
        <v>240</v>
      </c>
      <c r="CK553" s="0" t="s">
        <v>240</v>
      </c>
      <c r="CL553" s="0" t="s">
        <v>240</v>
      </c>
      <c r="CM553" s="0" t="s">
        <v>240</v>
      </c>
      <c r="CN553" s="0" t="s">
        <v>240</v>
      </c>
      <c r="CO553" s="0" t="s">
        <v>240</v>
      </c>
      <c r="CP553" s="0" t="s">
        <v>240</v>
      </c>
      <c r="CQ553" s="0" t="s">
        <v>240</v>
      </c>
      <c r="CR553" s="0" t="s">
        <v>240</v>
      </c>
      <c r="CS553" s="0" t="s">
        <v>240</v>
      </c>
      <c r="CT553" s="0" t="s">
        <v>5496</v>
      </c>
      <c r="CU553" s="0" t="s">
        <v>5497</v>
      </c>
      <c r="CV553" s="0" t="s">
        <v>443</v>
      </c>
      <c r="CW553" s="0" t="s">
        <v>5547</v>
      </c>
      <c r="CX553" s="0" t="s">
        <v>229</v>
      </c>
      <c r="CY553" s="0" t="s">
        <v>443</v>
      </c>
      <c r="CZ553" s="0" t="s">
        <v>5548</v>
      </c>
      <c r="DA553" s="0" t="s">
        <v>5549</v>
      </c>
      <c r="DB553" s="0" t="s">
        <v>5547</v>
      </c>
      <c r="DC553" s="0" t="s">
        <v>384</v>
      </c>
      <c r="DD553" s="0" t="s">
        <v>291</v>
      </c>
      <c r="DE553" s="0" t="s">
        <v>5848</v>
      </c>
    </row>
    <row customHeight="1" ht="11.25">
      <c r="A554" s="1441" t="s">
        <v>240</v>
      </c>
      <c r="B554" s="0" t="s">
        <v>240</v>
      </c>
      <c r="C554" s="0" t="s">
        <v>240</v>
      </c>
      <c r="D554" s="0" t="s">
        <v>240</v>
      </c>
      <c r="E554" s="0" t="s">
        <v>240</v>
      </c>
      <c r="F554" s="0" t="s">
        <v>240</v>
      </c>
      <c r="G554" s="0" t="s">
        <v>240</v>
      </c>
      <c r="H554" s="0" t="s">
        <v>240</v>
      </c>
      <c r="I554" s="0" t="s">
        <v>5484</v>
      </c>
      <c r="J554" s="0" t="s">
        <v>240</v>
      </c>
      <c r="K554" s="0" t="s">
        <v>240</v>
      </c>
      <c r="L554" s="0" t="s">
        <v>240</v>
      </c>
      <c r="M554" s="0" t="s">
        <v>240</v>
      </c>
      <c r="N554" s="0" t="s">
        <v>240</v>
      </c>
      <c r="O554" s="0" t="s">
        <v>240</v>
      </c>
      <c r="P554" s="0" t="s">
        <v>240</v>
      </c>
      <c r="Q554" s="0" t="s">
        <v>240</v>
      </c>
      <c r="R554" s="0" t="s">
        <v>5572</v>
      </c>
      <c r="S554" s="0" t="s">
        <v>240</v>
      </c>
      <c r="T554" s="0" t="s">
        <v>240</v>
      </c>
      <c r="U554" s="0" t="s">
        <v>102</v>
      </c>
      <c r="V554" s="0" t="s">
        <v>240</v>
      </c>
      <c r="W554" s="0" t="s">
        <v>240</v>
      </c>
      <c r="X554" s="0" t="s">
        <v>5485</v>
      </c>
      <c r="Y554" s="0" t="s">
        <v>240</v>
      </c>
      <c r="Z554" s="0" t="s">
        <v>161</v>
      </c>
      <c r="AA554" s="0" t="s">
        <v>152</v>
      </c>
      <c r="AB554" s="0" t="s">
        <v>152</v>
      </c>
      <c r="AC554" s="0" t="s">
        <v>2991</v>
      </c>
      <c r="AD554" s="0" t="s">
        <v>2991</v>
      </c>
      <c r="AE554" s="0" t="s">
        <v>2992</v>
      </c>
      <c r="AF554" s="0" t="s">
        <v>5844</v>
      </c>
      <c r="AG554" s="0" t="s">
        <v>5845</v>
      </c>
      <c r="AH554" s="0" t="s">
        <v>6116</v>
      </c>
      <c r="AI554" s="0" t="s">
        <v>5734</v>
      </c>
      <c r="AJ554" s="0" t="s">
        <v>5504</v>
      </c>
      <c r="AK554" s="0" t="s">
        <v>5544</v>
      </c>
      <c r="AL554" s="0" t="s">
        <v>5506</v>
      </c>
      <c r="AM554" s="0" t="s">
        <v>5493</v>
      </c>
      <c r="AN554" s="0" t="s">
        <v>5545</v>
      </c>
      <c r="AO554" s="0" t="s">
        <v>5508</v>
      </c>
      <c r="AP554" s="0" t="s">
        <v>240</v>
      </c>
      <c r="AQ554" s="0" t="s">
        <v>240</v>
      </c>
      <c r="AR554" s="0" t="s">
        <v>240</v>
      </c>
      <c r="AS554" s="0" t="s">
        <v>240</v>
      </c>
      <c r="AT554" s="0" t="s">
        <v>240</v>
      </c>
      <c r="AU554" s="0" t="s">
        <v>240</v>
      </c>
      <c r="AV554" s="0" t="s">
        <v>240</v>
      </c>
      <c r="AW554" s="0" t="s">
        <v>240</v>
      </c>
      <c r="AX554" s="0" t="s">
        <v>240</v>
      </c>
      <c r="AY554" s="0" t="s">
        <v>240</v>
      </c>
      <c r="AZ554" s="0" t="s">
        <v>240</v>
      </c>
      <c r="BA554" s="0" t="s">
        <v>240</v>
      </c>
      <c r="BB554" s="0" t="s">
        <v>240</v>
      </c>
      <c r="BC554" s="0" t="s">
        <v>240</v>
      </c>
      <c r="BD554" s="0" t="s">
        <v>240</v>
      </c>
      <c r="BE554" s="0" t="s">
        <v>240</v>
      </c>
      <c r="BF554" s="0" t="s">
        <v>240</v>
      </c>
      <c r="BG554" s="0" t="s">
        <v>240</v>
      </c>
      <c r="BH554" s="0" t="s">
        <v>240</v>
      </c>
      <c r="BI554" s="0" t="s">
        <v>240</v>
      </c>
      <c r="BJ554" s="0" t="s">
        <v>240</v>
      </c>
      <c r="BK554" s="0" t="s">
        <v>240</v>
      </c>
      <c r="BL554" s="0" t="s">
        <v>240</v>
      </c>
      <c r="BM554" s="0" t="s">
        <v>240</v>
      </c>
      <c r="BN554" s="0" t="s">
        <v>240</v>
      </c>
      <c r="BO554" s="0" t="s">
        <v>240</v>
      </c>
      <c r="BP554" s="0" t="s">
        <v>240</v>
      </c>
      <c r="BQ554" s="0" t="s">
        <v>240</v>
      </c>
      <c r="BR554" s="0" t="s">
        <v>240</v>
      </c>
      <c r="BS554" s="0" t="s">
        <v>240</v>
      </c>
      <c r="BT554" s="0" t="s">
        <v>240</v>
      </c>
      <c r="BU554" s="0" t="s">
        <v>240</v>
      </c>
      <c r="BV554" s="0" t="s">
        <v>240</v>
      </c>
      <c r="BW554" s="0" t="s">
        <v>240</v>
      </c>
      <c r="BX554" s="0" t="s">
        <v>240</v>
      </c>
      <c r="BY554" s="0" t="s">
        <v>240</v>
      </c>
      <c r="BZ554" s="0" t="s">
        <v>240</v>
      </c>
      <c r="CA554" s="0" t="s">
        <v>240</v>
      </c>
      <c r="CB554" s="0" t="s">
        <v>240</v>
      </c>
      <c r="CC554" s="0" t="s">
        <v>240</v>
      </c>
      <c r="CD554" s="0" t="s">
        <v>240</v>
      </c>
      <c r="CE554" s="0" t="s">
        <v>240</v>
      </c>
      <c r="CF554" s="0" t="s">
        <v>240</v>
      </c>
      <c r="CG554" s="0" t="s">
        <v>240</v>
      </c>
      <c r="CH554" s="0" t="s">
        <v>240</v>
      </c>
      <c r="CI554" s="0" t="s">
        <v>240</v>
      </c>
      <c r="CJ554" s="0" t="s">
        <v>240</v>
      </c>
      <c r="CK554" s="0" t="s">
        <v>240</v>
      </c>
      <c r="CL554" s="0" t="s">
        <v>240</v>
      </c>
      <c r="CM554" s="0" t="s">
        <v>240</v>
      </c>
      <c r="CN554" s="0" t="s">
        <v>240</v>
      </c>
      <c r="CO554" s="0" t="s">
        <v>240</v>
      </c>
      <c r="CP554" s="0" t="s">
        <v>240</v>
      </c>
      <c r="CQ554" s="0" t="s">
        <v>240</v>
      </c>
      <c r="CR554" s="0" t="s">
        <v>240</v>
      </c>
      <c r="CS554" s="0" t="s">
        <v>240</v>
      </c>
      <c r="CT554" s="0" t="s">
        <v>5496</v>
      </c>
      <c r="CU554" s="0" t="s">
        <v>5497</v>
      </c>
      <c r="CV554" s="0" t="s">
        <v>443</v>
      </c>
      <c r="CW554" s="0" t="s">
        <v>5547</v>
      </c>
      <c r="CX554" s="0" t="s">
        <v>229</v>
      </c>
      <c r="CY554" s="0" t="s">
        <v>443</v>
      </c>
      <c r="CZ554" s="0" t="s">
        <v>5548</v>
      </c>
      <c r="DA554" s="0" t="s">
        <v>5549</v>
      </c>
      <c r="DB554" s="0" t="s">
        <v>5547</v>
      </c>
      <c r="DC554" s="0" t="s">
        <v>384</v>
      </c>
      <c r="DD554" s="0" t="s">
        <v>291</v>
      </c>
      <c r="DE554" s="0" t="s">
        <v>6117</v>
      </c>
    </row>
    <row customHeight="1" ht="11.25">
      <c r="A555" s="1441" t="s">
        <v>240</v>
      </c>
      <c r="B555" s="0" t="s">
        <v>240</v>
      </c>
      <c r="C555" s="0" t="s">
        <v>240</v>
      </c>
      <c r="D555" s="0" t="s">
        <v>240</v>
      </c>
      <c r="E555" s="0" t="s">
        <v>240</v>
      </c>
      <c r="F555" s="0" t="s">
        <v>240</v>
      </c>
      <c r="G555" s="0" t="s">
        <v>240</v>
      </c>
      <c r="H555" s="0" t="s">
        <v>240</v>
      </c>
      <c r="I555" s="0" t="s">
        <v>5484</v>
      </c>
      <c r="J555" s="0" t="s">
        <v>240</v>
      </c>
      <c r="K555" s="0" t="s">
        <v>240</v>
      </c>
      <c r="L555" s="0" t="s">
        <v>240</v>
      </c>
      <c r="M555" s="0" t="s">
        <v>240</v>
      </c>
      <c r="N555" s="0" t="s">
        <v>240</v>
      </c>
      <c r="O555" s="0" t="s">
        <v>240</v>
      </c>
      <c r="P555" s="0" t="s">
        <v>240</v>
      </c>
      <c r="Q555" s="0" t="s">
        <v>240</v>
      </c>
      <c r="R555" s="0" t="s">
        <v>5572</v>
      </c>
      <c r="S555" s="0" t="s">
        <v>240</v>
      </c>
      <c r="T555" s="0" t="s">
        <v>240</v>
      </c>
      <c r="U555" s="0" t="s">
        <v>102</v>
      </c>
      <c r="V555" s="0" t="s">
        <v>240</v>
      </c>
      <c r="W555" s="0" t="s">
        <v>240</v>
      </c>
      <c r="X555" s="0" t="s">
        <v>5485</v>
      </c>
      <c r="Y555" s="0" t="s">
        <v>240</v>
      </c>
      <c r="Z555" s="0" t="s">
        <v>161</v>
      </c>
      <c r="AA555" s="0" t="s">
        <v>152</v>
      </c>
      <c r="AB555" s="0" t="s">
        <v>152</v>
      </c>
      <c r="AC555" s="0" t="s">
        <v>2989</v>
      </c>
      <c r="AD555" s="0" t="s">
        <v>2989</v>
      </c>
      <c r="AE555" s="0" t="s">
        <v>2990</v>
      </c>
      <c r="AF555" s="0" t="s">
        <v>5852</v>
      </c>
      <c r="AG555" s="0" t="s">
        <v>5853</v>
      </c>
      <c r="AH555" s="0" t="s">
        <v>5854</v>
      </c>
      <c r="AI555" s="0" t="s">
        <v>457</v>
      </c>
      <c r="AJ555" s="0" t="s">
        <v>5576</v>
      </c>
      <c r="AK555" s="0" t="s">
        <v>5814</v>
      </c>
      <c r="AL555" s="0" t="s">
        <v>5506</v>
      </c>
      <c r="AM555" s="0" t="s">
        <v>5493</v>
      </c>
      <c r="AN555" s="0" t="s">
        <v>5578</v>
      </c>
      <c r="AO555" s="0" t="s">
        <v>5855</v>
      </c>
      <c r="AP555" s="0" t="s">
        <v>240</v>
      </c>
      <c r="AQ555" s="0" t="s">
        <v>240</v>
      </c>
      <c r="AR555" s="0" t="s">
        <v>240</v>
      </c>
      <c r="AS555" s="0" t="s">
        <v>240</v>
      </c>
      <c r="AT555" s="0" t="s">
        <v>240</v>
      </c>
      <c r="AU555" s="0" t="s">
        <v>240</v>
      </c>
      <c r="AV555" s="0" t="s">
        <v>240</v>
      </c>
      <c r="AW555" s="0" t="s">
        <v>240</v>
      </c>
      <c r="AX555" s="0" t="s">
        <v>240</v>
      </c>
      <c r="AY555" s="0" t="s">
        <v>240</v>
      </c>
      <c r="AZ555" s="0" t="s">
        <v>240</v>
      </c>
      <c r="BA555" s="0" t="s">
        <v>240</v>
      </c>
      <c r="BB555" s="0" t="s">
        <v>240</v>
      </c>
      <c r="BC555" s="0" t="s">
        <v>240</v>
      </c>
      <c r="BD555" s="0" t="s">
        <v>240</v>
      </c>
      <c r="BE555" s="0" t="s">
        <v>240</v>
      </c>
      <c r="BF555" s="0" t="s">
        <v>240</v>
      </c>
      <c r="BG555" s="0" t="s">
        <v>240</v>
      </c>
      <c r="BH555" s="0" t="s">
        <v>240</v>
      </c>
      <c r="BI555" s="0" t="s">
        <v>240</v>
      </c>
      <c r="BJ555" s="0" t="s">
        <v>240</v>
      </c>
      <c r="BK555" s="0" t="s">
        <v>240</v>
      </c>
      <c r="BL555" s="0" t="s">
        <v>240</v>
      </c>
      <c r="BM555" s="0" t="s">
        <v>240</v>
      </c>
      <c r="BN555" s="0" t="s">
        <v>240</v>
      </c>
      <c r="BO555" s="0" t="s">
        <v>240</v>
      </c>
      <c r="BP555" s="0" t="s">
        <v>240</v>
      </c>
      <c r="BQ555" s="0" t="s">
        <v>240</v>
      </c>
      <c r="BR555" s="0" t="s">
        <v>240</v>
      </c>
      <c r="BS555" s="0" t="s">
        <v>240</v>
      </c>
      <c r="BT555" s="0" t="s">
        <v>240</v>
      </c>
      <c r="BU555" s="0" t="s">
        <v>240</v>
      </c>
      <c r="BV555" s="0" t="s">
        <v>240</v>
      </c>
      <c r="BW555" s="0" t="s">
        <v>240</v>
      </c>
      <c r="BX555" s="0" t="s">
        <v>240</v>
      </c>
      <c r="BY555" s="0" t="s">
        <v>240</v>
      </c>
      <c r="BZ555" s="0" t="s">
        <v>240</v>
      </c>
      <c r="CA555" s="0" t="s">
        <v>240</v>
      </c>
      <c r="CB555" s="0" t="s">
        <v>240</v>
      </c>
      <c r="CC555" s="0" t="s">
        <v>240</v>
      </c>
      <c r="CD555" s="0" t="s">
        <v>240</v>
      </c>
      <c r="CE555" s="0" t="s">
        <v>240</v>
      </c>
      <c r="CF555" s="0" t="s">
        <v>240</v>
      </c>
      <c r="CG555" s="0" t="s">
        <v>240</v>
      </c>
      <c r="CH555" s="0" t="s">
        <v>240</v>
      </c>
      <c r="CI555" s="0" t="s">
        <v>240</v>
      </c>
      <c r="CJ555" s="0" t="s">
        <v>240</v>
      </c>
      <c r="CK555" s="0" t="s">
        <v>240</v>
      </c>
      <c r="CL555" s="0" t="s">
        <v>240</v>
      </c>
      <c r="CM555" s="0" t="s">
        <v>240</v>
      </c>
      <c r="CN555" s="0" t="s">
        <v>240</v>
      </c>
      <c r="CO555" s="0" t="s">
        <v>240</v>
      </c>
      <c r="CP555" s="0" t="s">
        <v>240</v>
      </c>
      <c r="CQ555" s="0" t="s">
        <v>240</v>
      </c>
      <c r="CR555" s="0" t="s">
        <v>240</v>
      </c>
      <c r="CS555" s="0" t="s">
        <v>240</v>
      </c>
      <c r="CT555" s="0" t="s">
        <v>5496</v>
      </c>
      <c r="CU555" s="0" t="s">
        <v>5497</v>
      </c>
      <c r="CV555" s="0" t="s">
        <v>443</v>
      </c>
      <c r="CW555" s="0" t="s">
        <v>5580</v>
      </c>
      <c r="CX555" s="0" t="s">
        <v>229</v>
      </c>
      <c r="CY555" s="0" t="s">
        <v>443</v>
      </c>
      <c r="CZ555" s="0" t="s">
        <v>5581</v>
      </c>
      <c r="DA555" s="0" t="s">
        <v>5582</v>
      </c>
      <c r="DB555" s="0" t="s">
        <v>5580</v>
      </c>
      <c r="DC555" s="0" t="s">
        <v>384</v>
      </c>
      <c r="DD555" s="0" t="s">
        <v>291</v>
      </c>
      <c r="DE555" s="0" t="s">
        <v>5856</v>
      </c>
    </row>
    <row customHeight="1" ht="11.25">
      <c r="A556" s="1441" t="s">
        <v>240</v>
      </c>
      <c r="B556" s="0" t="s">
        <v>240</v>
      </c>
      <c r="C556" s="0" t="s">
        <v>240</v>
      </c>
      <c r="D556" s="0" t="s">
        <v>240</v>
      </c>
      <c r="E556" s="0" t="s">
        <v>240</v>
      </c>
      <c r="F556" s="0" t="s">
        <v>240</v>
      </c>
      <c r="G556" s="0" t="s">
        <v>240</v>
      </c>
      <c r="H556" s="0" t="s">
        <v>240</v>
      </c>
      <c r="I556" s="0" t="s">
        <v>5484</v>
      </c>
      <c r="J556" s="0" t="s">
        <v>240</v>
      </c>
      <c r="K556" s="0" t="s">
        <v>240</v>
      </c>
      <c r="L556" s="0" t="s">
        <v>240</v>
      </c>
      <c r="M556" s="0" t="s">
        <v>240</v>
      </c>
      <c r="N556" s="0" t="s">
        <v>240</v>
      </c>
      <c r="O556" s="0" t="s">
        <v>240</v>
      </c>
      <c r="P556" s="0" t="s">
        <v>240</v>
      </c>
      <c r="Q556" s="0" t="s">
        <v>240</v>
      </c>
      <c r="R556" s="0" t="s">
        <v>5572</v>
      </c>
      <c r="S556" s="0" t="s">
        <v>240</v>
      </c>
      <c r="T556" s="0" t="s">
        <v>240</v>
      </c>
      <c r="U556" s="0" t="s">
        <v>102</v>
      </c>
      <c r="V556" s="0" t="s">
        <v>240</v>
      </c>
      <c r="W556" s="0" t="s">
        <v>240</v>
      </c>
      <c r="X556" s="0" t="s">
        <v>5485</v>
      </c>
      <c r="Y556" s="0" t="s">
        <v>240</v>
      </c>
      <c r="Z556" s="0" t="s">
        <v>161</v>
      </c>
      <c r="AA556" s="0" t="s">
        <v>152</v>
      </c>
      <c r="AB556" s="0" t="s">
        <v>152</v>
      </c>
      <c r="AC556" s="0" t="s">
        <v>2989</v>
      </c>
      <c r="AD556" s="0" t="s">
        <v>2989</v>
      </c>
      <c r="AE556" s="0" t="s">
        <v>2990</v>
      </c>
      <c r="AF556" s="0" t="s">
        <v>5852</v>
      </c>
      <c r="AG556" s="0" t="s">
        <v>5853</v>
      </c>
      <c r="AH556" s="0" t="s">
        <v>6127</v>
      </c>
      <c r="AI556" s="0" t="s">
        <v>6128</v>
      </c>
      <c r="AJ556" s="0" t="s">
        <v>5576</v>
      </c>
      <c r="AK556" s="0" t="s">
        <v>5814</v>
      </c>
      <c r="AL556" s="0" t="s">
        <v>5506</v>
      </c>
      <c r="AM556" s="0" t="s">
        <v>5493</v>
      </c>
      <c r="AN556" s="0" t="s">
        <v>5578</v>
      </c>
      <c r="AO556" s="0" t="s">
        <v>5768</v>
      </c>
      <c r="AP556" s="0" t="s">
        <v>240</v>
      </c>
      <c r="AQ556" s="0" t="s">
        <v>240</v>
      </c>
      <c r="AR556" s="0" t="s">
        <v>240</v>
      </c>
      <c r="AS556" s="0" t="s">
        <v>240</v>
      </c>
      <c r="AT556" s="0" t="s">
        <v>240</v>
      </c>
      <c r="AU556" s="0" t="s">
        <v>240</v>
      </c>
      <c r="AV556" s="0" t="s">
        <v>240</v>
      </c>
      <c r="AW556" s="0" t="s">
        <v>240</v>
      </c>
      <c r="AX556" s="0" t="s">
        <v>240</v>
      </c>
      <c r="AY556" s="0" t="s">
        <v>240</v>
      </c>
      <c r="AZ556" s="0" t="s">
        <v>240</v>
      </c>
      <c r="BA556" s="0" t="s">
        <v>240</v>
      </c>
      <c r="BB556" s="0" t="s">
        <v>240</v>
      </c>
      <c r="BC556" s="0" t="s">
        <v>240</v>
      </c>
      <c r="BD556" s="0" t="s">
        <v>240</v>
      </c>
      <c r="BE556" s="0" t="s">
        <v>240</v>
      </c>
      <c r="BF556" s="0" t="s">
        <v>240</v>
      </c>
      <c r="BG556" s="0" t="s">
        <v>240</v>
      </c>
      <c r="BH556" s="0" t="s">
        <v>240</v>
      </c>
      <c r="BI556" s="0" t="s">
        <v>240</v>
      </c>
      <c r="BJ556" s="0" t="s">
        <v>240</v>
      </c>
      <c r="BK556" s="0" t="s">
        <v>240</v>
      </c>
      <c r="BL556" s="0" t="s">
        <v>240</v>
      </c>
      <c r="BM556" s="0" t="s">
        <v>240</v>
      </c>
      <c r="BN556" s="0" t="s">
        <v>240</v>
      </c>
      <c r="BO556" s="0" t="s">
        <v>240</v>
      </c>
      <c r="BP556" s="0" t="s">
        <v>240</v>
      </c>
      <c r="BQ556" s="0" t="s">
        <v>240</v>
      </c>
      <c r="BR556" s="0" t="s">
        <v>240</v>
      </c>
      <c r="BS556" s="0" t="s">
        <v>240</v>
      </c>
      <c r="BT556" s="0" t="s">
        <v>240</v>
      </c>
      <c r="BU556" s="0" t="s">
        <v>240</v>
      </c>
      <c r="BV556" s="0" t="s">
        <v>240</v>
      </c>
      <c r="BW556" s="0" t="s">
        <v>240</v>
      </c>
      <c r="BX556" s="0" t="s">
        <v>240</v>
      </c>
      <c r="BY556" s="0" t="s">
        <v>240</v>
      </c>
      <c r="BZ556" s="0" t="s">
        <v>240</v>
      </c>
      <c r="CA556" s="0" t="s">
        <v>240</v>
      </c>
      <c r="CB556" s="0" t="s">
        <v>240</v>
      </c>
      <c r="CC556" s="0" t="s">
        <v>240</v>
      </c>
      <c r="CD556" s="0" t="s">
        <v>240</v>
      </c>
      <c r="CE556" s="0" t="s">
        <v>240</v>
      </c>
      <c r="CF556" s="0" t="s">
        <v>240</v>
      </c>
      <c r="CG556" s="0" t="s">
        <v>240</v>
      </c>
      <c r="CH556" s="0" t="s">
        <v>240</v>
      </c>
      <c r="CI556" s="0" t="s">
        <v>240</v>
      </c>
      <c r="CJ556" s="0" t="s">
        <v>240</v>
      </c>
      <c r="CK556" s="0" t="s">
        <v>240</v>
      </c>
      <c r="CL556" s="0" t="s">
        <v>240</v>
      </c>
      <c r="CM556" s="0" t="s">
        <v>240</v>
      </c>
      <c r="CN556" s="0" t="s">
        <v>240</v>
      </c>
      <c r="CO556" s="0" t="s">
        <v>240</v>
      </c>
      <c r="CP556" s="0" t="s">
        <v>240</v>
      </c>
      <c r="CQ556" s="0" t="s">
        <v>240</v>
      </c>
      <c r="CR556" s="0" t="s">
        <v>240</v>
      </c>
      <c r="CS556" s="0" t="s">
        <v>240</v>
      </c>
      <c r="CT556" s="0" t="s">
        <v>5496</v>
      </c>
      <c r="CU556" s="0" t="s">
        <v>5497</v>
      </c>
      <c r="CV556" s="0" t="s">
        <v>443</v>
      </c>
      <c r="CW556" s="0" t="s">
        <v>5580</v>
      </c>
      <c r="CX556" s="0" t="s">
        <v>229</v>
      </c>
      <c r="CY556" s="0" t="s">
        <v>443</v>
      </c>
      <c r="CZ556" s="0" t="s">
        <v>5581</v>
      </c>
      <c r="DA556" s="0" t="s">
        <v>5582</v>
      </c>
      <c r="DB556" s="0" t="s">
        <v>5580</v>
      </c>
      <c r="DC556" s="0" t="s">
        <v>384</v>
      </c>
      <c r="DD556" s="0" t="s">
        <v>291</v>
      </c>
      <c r="DE556" s="0" t="s">
        <v>6129</v>
      </c>
    </row>
    <row customHeight="1" ht="11.25">
      <c r="A557" s="1441" t="s">
        <v>240</v>
      </c>
      <c r="B557" s="0" t="s">
        <v>240</v>
      </c>
      <c r="C557" s="0" t="s">
        <v>240</v>
      </c>
      <c r="D557" s="0" t="s">
        <v>240</v>
      </c>
      <c r="E557" s="0" t="s">
        <v>240</v>
      </c>
      <c r="F557" s="0" t="s">
        <v>240</v>
      </c>
      <c r="G557" s="0" t="s">
        <v>240</v>
      </c>
      <c r="H557" s="0" t="s">
        <v>240</v>
      </c>
      <c r="I557" s="0" t="s">
        <v>5484</v>
      </c>
      <c r="J557" s="0" t="s">
        <v>240</v>
      </c>
      <c r="K557" s="0" t="s">
        <v>240</v>
      </c>
      <c r="L557" s="0" t="s">
        <v>240</v>
      </c>
      <c r="M557" s="0" t="s">
        <v>240</v>
      </c>
      <c r="N557" s="0" t="s">
        <v>240</v>
      </c>
      <c r="O557" s="0" t="s">
        <v>240</v>
      </c>
      <c r="P557" s="0" t="s">
        <v>240</v>
      </c>
      <c r="Q557" s="0" t="s">
        <v>240</v>
      </c>
      <c r="R557" s="0" t="s">
        <v>6130</v>
      </c>
      <c r="S557" s="0" t="s">
        <v>240</v>
      </c>
      <c r="T557" s="0" t="s">
        <v>240</v>
      </c>
      <c r="U557" s="0" t="s">
        <v>102</v>
      </c>
      <c r="V557" s="0" t="s">
        <v>240</v>
      </c>
      <c r="W557" s="0" t="s">
        <v>240</v>
      </c>
      <c r="X557" s="0" t="s">
        <v>5585</v>
      </c>
      <c r="Y557" s="0" t="s">
        <v>240</v>
      </c>
      <c r="Z557" s="0" t="s">
        <v>152</v>
      </c>
      <c r="AA557" s="0" t="s">
        <v>152</v>
      </c>
      <c r="AB557" s="0" t="s">
        <v>161</v>
      </c>
      <c r="AC557" s="0" t="s">
        <v>2989</v>
      </c>
      <c r="AD557" s="0" t="s">
        <v>2989</v>
      </c>
      <c r="AE557" s="0" t="s">
        <v>2990</v>
      </c>
      <c r="AF557" s="0" t="s">
        <v>5852</v>
      </c>
      <c r="AG557" s="0" t="s">
        <v>5853</v>
      </c>
      <c r="AH557" s="0" t="s">
        <v>5575</v>
      </c>
      <c r="AI557" s="0" t="s">
        <v>5575</v>
      </c>
      <c r="AJ557" s="0" t="s">
        <v>240</v>
      </c>
      <c r="AK557" s="0" t="s">
        <v>240</v>
      </c>
      <c r="AL557" s="0" t="s">
        <v>240</v>
      </c>
      <c r="AM557" s="0" t="s">
        <v>240</v>
      </c>
      <c r="AN557" s="0" t="s">
        <v>240</v>
      </c>
      <c r="AO557" s="0" t="s">
        <v>240</v>
      </c>
      <c r="AP557" s="0" t="s">
        <v>240</v>
      </c>
      <c r="AQ557" s="0" t="s">
        <v>240</v>
      </c>
      <c r="AR557" s="0" t="s">
        <v>240</v>
      </c>
      <c r="AS557" s="0" t="s">
        <v>240</v>
      </c>
      <c r="AT557" s="0" t="s">
        <v>240</v>
      </c>
      <c r="AU557" s="0" t="s">
        <v>240</v>
      </c>
      <c r="AV557" s="0" t="s">
        <v>240</v>
      </c>
      <c r="AW557" s="0" t="s">
        <v>240</v>
      </c>
      <c r="AX557" s="0" t="s">
        <v>240</v>
      </c>
      <c r="AY557" s="0" t="s">
        <v>240</v>
      </c>
      <c r="AZ557" s="0" t="s">
        <v>240</v>
      </c>
      <c r="BA557" s="0" t="s">
        <v>240</v>
      </c>
      <c r="BB557" s="0" t="s">
        <v>240</v>
      </c>
      <c r="BC557" s="0" t="s">
        <v>240</v>
      </c>
      <c r="BD557" s="0" t="s">
        <v>240</v>
      </c>
      <c r="BE557" s="0" t="s">
        <v>5992</v>
      </c>
      <c r="BF557" s="0" t="s">
        <v>6131</v>
      </c>
      <c r="BG557" s="0" t="s">
        <v>112</v>
      </c>
      <c r="BH557" s="0" t="s">
        <v>5589</v>
      </c>
      <c r="BI557" s="0" t="s">
        <v>123</v>
      </c>
      <c r="BJ557" s="0" t="s">
        <v>240</v>
      </c>
      <c r="BK557" s="0" t="s">
        <v>5608</v>
      </c>
      <c r="BL557" s="0" t="s">
        <v>2989</v>
      </c>
      <c r="BM557" s="0" t="s">
        <v>2989</v>
      </c>
      <c r="BN557" s="0" t="s">
        <v>5798</v>
      </c>
      <c r="BO557" s="0" t="s">
        <v>5852</v>
      </c>
      <c r="BP557" s="0" t="s">
        <v>6132</v>
      </c>
      <c r="BQ557" s="0" t="s">
        <v>5575</v>
      </c>
      <c r="BR557" s="0" t="s">
        <v>5575</v>
      </c>
      <c r="BS557" s="0" t="s">
        <v>240</v>
      </c>
      <c r="BT557" s="0" t="s">
        <v>5650</v>
      </c>
      <c r="BU557" s="0" t="s">
        <v>6133</v>
      </c>
      <c r="BV557" s="0" t="s">
        <v>6133</v>
      </c>
      <c r="BW557" s="0" t="s">
        <v>5598</v>
      </c>
      <c r="BX557" s="0" t="s">
        <v>5598</v>
      </c>
      <c r="BY557" s="0" t="s">
        <v>5598</v>
      </c>
      <c r="BZ557" s="0" t="s">
        <v>5598</v>
      </c>
      <c r="CA557" s="0" t="s">
        <v>5598</v>
      </c>
      <c r="CB557" s="0" t="s">
        <v>240</v>
      </c>
      <c r="CC557" s="0" t="s">
        <v>240</v>
      </c>
      <c r="CD557" s="0" t="s">
        <v>240</v>
      </c>
      <c r="CE557" s="0" t="s">
        <v>240</v>
      </c>
      <c r="CF557" s="0" t="s">
        <v>240</v>
      </c>
      <c r="CG557" s="0" t="s">
        <v>5598</v>
      </c>
      <c r="CH557" s="0" t="s">
        <v>240</v>
      </c>
      <c r="CI557" s="0" t="s">
        <v>240</v>
      </c>
      <c r="CJ557" s="0" t="s">
        <v>240</v>
      </c>
      <c r="CK557" s="0" t="s">
        <v>240</v>
      </c>
      <c r="CL557" s="0" t="s">
        <v>240</v>
      </c>
      <c r="CM557" s="0" t="s">
        <v>6133</v>
      </c>
      <c r="CN557" s="0" t="s">
        <v>6133</v>
      </c>
      <c r="CO557" s="0" t="s">
        <v>240</v>
      </c>
      <c r="CP557" s="0" t="s">
        <v>240</v>
      </c>
      <c r="CQ557" s="0" t="s">
        <v>240</v>
      </c>
      <c r="CR557" s="0" t="s">
        <v>240</v>
      </c>
      <c r="CS557" s="0" t="s">
        <v>5491</v>
      </c>
      <c r="CT557" s="0" t="s">
        <v>5496</v>
      </c>
      <c r="CU557" s="0" t="s">
        <v>5497</v>
      </c>
      <c r="CV557" s="0" t="s">
        <v>443</v>
      </c>
      <c r="CW557" s="0" t="s">
        <v>5580</v>
      </c>
      <c r="CX557" s="0" t="s">
        <v>229</v>
      </c>
      <c r="CY557" s="0" t="s">
        <v>443</v>
      </c>
      <c r="CZ557" s="0" t="s">
        <v>5581</v>
      </c>
      <c r="DA557" s="0" t="s">
        <v>5582</v>
      </c>
      <c r="DB557" s="0" t="s">
        <v>5580</v>
      </c>
      <c r="DC557" s="0" t="s">
        <v>384</v>
      </c>
      <c r="DD557" s="0" t="s">
        <v>291</v>
      </c>
      <c r="DE557" s="0" t="s">
        <v>6134</v>
      </c>
    </row>
    <row customHeight="1" ht="11.25">
      <c r="A558" s="1441" t="s">
        <v>240</v>
      </c>
      <c r="B558" s="0" t="s">
        <v>240</v>
      </c>
      <c r="C558" s="0" t="s">
        <v>240</v>
      </c>
      <c r="D558" s="0" t="s">
        <v>240</v>
      </c>
      <c r="E558" s="0" t="s">
        <v>240</v>
      </c>
      <c r="F558" s="0" t="s">
        <v>240</v>
      </c>
      <c r="G558" s="0" t="s">
        <v>240</v>
      </c>
      <c r="H558" s="0" t="s">
        <v>240</v>
      </c>
      <c r="I558" s="0" t="s">
        <v>5484</v>
      </c>
      <c r="J558" s="0" t="s">
        <v>240</v>
      </c>
      <c r="K558" s="0" t="s">
        <v>240</v>
      </c>
      <c r="L558" s="0" t="s">
        <v>240</v>
      </c>
      <c r="M558" s="0" t="s">
        <v>240</v>
      </c>
      <c r="N558" s="0" t="s">
        <v>240</v>
      </c>
      <c r="O558" s="0" t="s">
        <v>240</v>
      </c>
      <c r="P558" s="0" t="s">
        <v>240</v>
      </c>
      <c r="Q558" s="0" t="s">
        <v>240</v>
      </c>
      <c r="R558" s="0" t="s">
        <v>6217</v>
      </c>
      <c r="S558" s="0" t="s">
        <v>240</v>
      </c>
      <c r="T558" s="0" t="s">
        <v>240</v>
      </c>
      <c r="U558" s="0" t="s">
        <v>102</v>
      </c>
      <c r="V558" s="0" t="s">
        <v>240</v>
      </c>
      <c r="W558" s="0" t="s">
        <v>240</v>
      </c>
      <c r="X558" s="0" t="s">
        <v>5485</v>
      </c>
      <c r="Y558" s="0" t="s">
        <v>240</v>
      </c>
      <c r="Z558" s="0" t="s">
        <v>161</v>
      </c>
      <c r="AA558" s="0" t="s">
        <v>152</v>
      </c>
      <c r="AB558" s="0" t="s">
        <v>152</v>
      </c>
      <c r="AC558" s="0" t="s">
        <v>3395</v>
      </c>
      <c r="AD558" s="0" t="s">
        <v>3395</v>
      </c>
      <c r="AE558" s="0" t="s">
        <v>3396</v>
      </c>
      <c r="AF558" s="0" t="s">
        <v>5941</v>
      </c>
      <c r="AG558" s="0" t="s">
        <v>5942</v>
      </c>
      <c r="AH558" s="0" t="s">
        <v>6218</v>
      </c>
      <c r="AI558" s="0" t="s">
        <v>152</v>
      </c>
      <c r="AJ558" s="0" t="s">
        <v>5545</v>
      </c>
      <c r="AK558" s="0" t="s">
        <v>6219</v>
      </c>
      <c r="AL558" s="0" t="s">
        <v>5570</v>
      </c>
      <c r="AM558" s="0" t="s">
        <v>5493</v>
      </c>
      <c r="AN558" s="0" t="s">
        <v>5666</v>
      </c>
      <c r="AO558" s="0" t="s">
        <v>6220</v>
      </c>
      <c r="AP558" s="0" t="s">
        <v>240</v>
      </c>
      <c r="AQ558" s="0" t="s">
        <v>240</v>
      </c>
      <c r="AR558" s="0" t="s">
        <v>240</v>
      </c>
      <c r="AS558" s="0" t="s">
        <v>240</v>
      </c>
      <c r="AT558" s="0" t="s">
        <v>240</v>
      </c>
      <c r="AU558" s="0" t="s">
        <v>240</v>
      </c>
      <c r="AV558" s="0" t="s">
        <v>240</v>
      </c>
      <c r="AW558" s="0" t="s">
        <v>240</v>
      </c>
      <c r="AX558" s="0" t="s">
        <v>240</v>
      </c>
      <c r="AY558" s="0" t="s">
        <v>240</v>
      </c>
      <c r="AZ558" s="0" t="s">
        <v>240</v>
      </c>
      <c r="BA558" s="0" t="s">
        <v>240</v>
      </c>
      <c r="BB558" s="0" t="s">
        <v>240</v>
      </c>
      <c r="BC558" s="0" t="s">
        <v>240</v>
      </c>
      <c r="BD558" s="0" t="s">
        <v>240</v>
      </c>
      <c r="BE558" s="0" t="s">
        <v>240</v>
      </c>
      <c r="BF558" s="0" t="s">
        <v>240</v>
      </c>
      <c r="BG558" s="0" t="s">
        <v>240</v>
      </c>
      <c r="BH558" s="0" t="s">
        <v>240</v>
      </c>
      <c r="BI558" s="0" t="s">
        <v>240</v>
      </c>
      <c r="BJ558" s="0" t="s">
        <v>240</v>
      </c>
      <c r="BK558" s="0" t="s">
        <v>240</v>
      </c>
      <c r="BL558" s="0" t="s">
        <v>240</v>
      </c>
      <c r="BM558" s="0" t="s">
        <v>240</v>
      </c>
      <c r="BN558" s="0" t="s">
        <v>240</v>
      </c>
      <c r="BO558" s="0" t="s">
        <v>240</v>
      </c>
      <c r="BP558" s="0" t="s">
        <v>240</v>
      </c>
      <c r="BQ558" s="0" t="s">
        <v>240</v>
      </c>
      <c r="BR558" s="0" t="s">
        <v>240</v>
      </c>
      <c r="BS558" s="0" t="s">
        <v>240</v>
      </c>
      <c r="BT558" s="0" t="s">
        <v>240</v>
      </c>
      <c r="BU558" s="0" t="s">
        <v>240</v>
      </c>
      <c r="BV558" s="0" t="s">
        <v>240</v>
      </c>
      <c r="BW558" s="0" t="s">
        <v>240</v>
      </c>
      <c r="BX558" s="0" t="s">
        <v>240</v>
      </c>
      <c r="BY558" s="0" t="s">
        <v>240</v>
      </c>
      <c r="BZ558" s="0" t="s">
        <v>240</v>
      </c>
      <c r="CA558" s="0" t="s">
        <v>240</v>
      </c>
      <c r="CB558" s="0" t="s">
        <v>240</v>
      </c>
      <c r="CC558" s="0" t="s">
        <v>240</v>
      </c>
      <c r="CD558" s="0" t="s">
        <v>240</v>
      </c>
      <c r="CE558" s="0" t="s">
        <v>240</v>
      </c>
      <c r="CF558" s="0" t="s">
        <v>240</v>
      </c>
      <c r="CG558" s="0" t="s">
        <v>240</v>
      </c>
      <c r="CH558" s="0" t="s">
        <v>240</v>
      </c>
      <c r="CI558" s="0" t="s">
        <v>240</v>
      </c>
      <c r="CJ558" s="0" t="s">
        <v>240</v>
      </c>
      <c r="CK558" s="0" t="s">
        <v>240</v>
      </c>
      <c r="CL558" s="0" t="s">
        <v>240</v>
      </c>
      <c r="CM558" s="0" t="s">
        <v>240</v>
      </c>
      <c r="CN558" s="0" t="s">
        <v>240</v>
      </c>
      <c r="CO558" s="0" t="s">
        <v>240</v>
      </c>
      <c r="CP558" s="0" t="s">
        <v>240</v>
      </c>
      <c r="CQ558" s="0" t="s">
        <v>240</v>
      </c>
      <c r="CR558" s="0" t="s">
        <v>240</v>
      </c>
      <c r="CS558" s="0" t="s">
        <v>240</v>
      </c>
      <c r="CT558" s="0" t="s">
        <v>5496</v>
      </c>
      <c r="CU558" s="0" t="s">
        <v>5497</v>
      </c>
      <c r="CV558" s="0" t="s">
        <v>5947</v>
      </c>
      <c r="CW558" s="0" t="s">
        <v>5948</v>
      </c>
      <c r="CX558" s="0" t="s">
        <v>5528</v>
      </c>
      <c r="CY558" s="0" t="s">
        <v>5947</v>
      </c>
      <c r="CZ558" s="0" t="s">
        <v>5533</v>
      </c>
      <c r="DA558" s="0" t="s">
        <v>5949</v>
      </c>
      <c r="DB558" s="0" t="s">
        <v>5600</v>
      </c>
      <c r="DC558" s="0" t="s">
        <v>384</v>
      </c>
      <c r="DD558" s="0" t="s">
        <v>291</v>
      </c>
      <c r="DE558" s="0" t="s">
        <v>6221</v>
      </c>
    </row>
    <row customHeight="1" ht="11.25">
      <c r="A559" s="1441" t="s">
        <v>240</v>
      </c>
      <c r="B559" s="0" t="s">
        <v>240</v>
      </c>
      <c r="C559" s="0" t="s">
        <v>240</v>
      </c>
      <c r="D559" s="0" t="s">
        <v>240</v>
      </c>
      <c r="E559" s="0" t="s">
        <v>240</v>
      </c>
      <c r="F559" s="0" t="s">
        <v>240</v>
      </c>
      <c r="G559" s="0" t="s">
        <v>240</v>
      </c>
      <c r="H559" s="0" t="s">
        <v>240</v>
      </c>
      <c r="I559" s="0" t="s">
        <v>5484</v>
      </c>
      <c r="J559" s="0" t="s">
        <v>240</v>
      </c>
      <c r="K559" s="0" t="s">
        <v>240</v>
      </c>
      <c r="L559" s="0" t="s">
        <v>240</v>
      </c>
      <c r="M559" s="0" t="s">
        <v>240</v>
      </c>
      <c r="N559" s="0" t="s">
        <v>240</v>
      </c>
      <c r="O559" s="0" t="s">
        <v>240</v>
      </c>
      <c r="P559" s="0" t="s">
        <v>240</v>
      </c>
      <c r="Q559" s="0" t="s">
        <v>240</v>
      </c>
      <c r="R559" s="0" t="s">
        <v>6382</v>
      </c>
      <c r="S559" s="0" t="s">
        <v>240</v>
      </c>
      <c r="T559" s="0" t="s">
        <v>240</v>
      </c>
      <c r="U559" s="0" t="s">
        <v>102</v>
      </c>
      <c r="V559" s="0" t="s">
        <v>240</v>
      </c>
      <c r="W559" s="0" t="s">
        <v>240</v>
      </c>
      <c r="X559" s="0" t="s">
        <v>5485</v>
      </c>
      <c r="Y559" s="0" t="s">
        <v>240</v>
      </c>
      <c r="Z559" s="0" t="s">
        <v>161</v>
      </c>
      <c r="AA559" s="0" t="s">
        <v>152</v>
      </c>
      <c r="AB559" s="0" t="s">
        <v>152</v>
      </c>
      <c r="AC559" s="0" t="s">
        <v>3395</v>
      </c>
      <c r="AD559" s="0" t="s">
        <v>3395</v>
      </c>
      <c r="AE559" s="0" t="s">
        <v>3396</v>
      </c>
      <c r="AF559" s="0" t="s">
        <v>5941</v>
      </c>
      <c r="AG559" s="0" t="s">
        <v>5942</v>
      </c>
      <c r="AH559" s="0" t="s">
        <v>6258</v>
      </c>
      <c r="AI559" s="0" t="s">
        <v>152</v>
      </c>
      <c r="AJ559" s="0" t="s">
        <v>5545</v>
      </c>
      <c r="AK559" s="0" t="s">
        <v>6383</v>
      </c>
      <c r="AL559" s="0" t="s">
        <v>5570</v>
      </c>
      <c r="AM559" s="0" t="s">
        <v>5493</v>
      </c>
      <c r="AN559" s="0" t="s">
        <v>6384</v>
      </c>
      <c r="AO559" s="0" t="s">
        <v>6385</v>
      </c>
      <c r="AP559" s="0" t="s">
        <v>240</v>
      </c>
      <c r="AQ559" s="0" t="s">
        <v>240</v>
      </c>
      <c r="AR559" s="0" t="s">
        <v>240</v>
      </c>
      <c r="AS559" s="0" t="s">
        <v>240</v>
      </c>
      <c r="AT559" s="0" t="s">
        <v>240</v>
      </c>
      <c r="AU559" s="0" t="s">
        <v>240</v>
      </c>
      <c r="AV559" s="0" t="s">
        <v>240</v>
      </c>
      <c r="AW559" s="0" t="s">
        <v>240</v>
      </c>
      <c r="AX559" s="0" t="s">
        <v>240</v>
      </c>
      <c r="AY559" s="0" t="s">
        <v>240</v>
      </c>
      <c r="AZ559" s="0" t="s">
        <v>240</v>
      </c>
      <c r="BA559" s="0" t="s">
        <v>240</v>
      </c>
      <c r="BB559" s="0" t="s">
        <v>240</v>
      </c>
      <c r="BC559" s="0" t="s">
        <v>240</v>
      </c>
      <c r="BD559" s="0" t="s">
        <v>240</v>
      </c>
      <c r="BE559" s="0" t="s">
        <v>240</v>
      </c>
      <c r="BF559" s="0" t="s">
        <v>240</v>
      </c>
      <c r="BG559" s="0" t="s">
        <v>240</v>
      </c>
      <c r="BH559" s="0" t="s">
        <v>240</v>
      </c>
      <c r="BI559" s="0" t="s">
        <v>240</v>
      </c>
      <c r="BJ559" s="0" t="s">
        <v>240</v>
      </c>
      <c r="BK559" s="0" t="s">
        <v>240</v>
      </c>
      <c r="BL559" s="0" t="s">
        <v>240</v>
      </c>
      <c r="BM559" s="0" t="s">
        <v>240</v>
      </c>
      <c r="BN559" s="0" t="s">
        <v>240</v>
      </c>
      <c r="BO559" s="0" t="s">
        <v>240</v>
      </c>
      <c r="BP559" s="0" t="s">
        <v>240</v>
      </c>
      <c r="BQ559" s="0" t="s">
        <v>240</v>
      </c>
      <c r="BR559" s="0" t="s">
        <v>240</v>
      </c>
      <c r="BS559" s="0" t="s">
        <v>240</v>
      </c>
      <c r="BT559" s="0" t="s">
        <v>240</v>
      </c>
      <c r="BU559" s="0" t="s">
        <v>240</v>
      </c>
      <c r="BV559" s="0" t="s">
        <v>240</v>
      </c>
      <c r="BW559" s="0" t="s">
        <v>240</v>
      </c>
      <c r="BX559" s="0" t="s">
        <v>240</v>
      </c>
      <c r="BY559" s="0" t="s">
        <v>240</v>
      </c>
      <c r="BZ559" s="0" t="s">
        <v>240</v>
      </c>
      <c r="CA559" s="0" t="s">
        <v>240</v>
      </c>
      <c r="CB559" s="0" t="s">
        <v>240</v>
      </c>
      <c r="CC559" s="0" t="s">
        <v>240</v>
      </c>
      <c r="CD559" s="0" t="s">
        <v>240</v>
      </c>
      <c r="CE559" s="0" t="s">
        <v>240</v>
      </c>
      <c r="CF559" s="0" t="s">
        <v>240</v>
      </c>
      <c r="CG559" s="0" t="s">
        <v>240</v>
      </c>
      <c r="CH559" s="0" t="s">
        <v>240</v>
      </c>
      <c r="CI559" s="0" t="s">
        <v>240</v>
      </c>
      <c r="CJ559" s="0" t="s">
        <v>240</v>
      </c>
      <c r="CK559" s="0" t="s">
        <v>240</v>
      </c>
      <c r="CL559" s="0" t="s">
        <v>240</v>
      </c>
      <c r="CM559" s="0" t="s">
        <v>240</v>
      </c>
      <c r="CN559" s="0" t="s">
        <v>240</v>
      </c>
      <c r="CO559" s="0" t="s">
        <v>240</v>
      </c>
      <c r="CP559" s="0" t="s">
        <v>240</v>
      </c>
      <c r="CQ559" s="0" t="s">
        <v>240</v>
      </c>
      <c r="CR559" s="0" t="s">
        <v>240</v>
      </c>
      <c r="CS559" s="0" t="s">
        <v>240</v>
      </c>
      <c r="CT559" s="0" t="s">
        <v>5496</v>
      </c>
      <c r="CU559" s="0" t="s">
        <v>5497</v>
      </c>
      <c r="CV559" s="0" t="s">
        <v>5947</v>
      </c>
      <c r="CW559" s="0" t="s">
        <v>5948</v>
      </c>
      <c r="CX559" s="0" t="s">
        <v>5528</v>
      </c>
      <c r="CY559" s="0" t="s">
        <v>5947</v>
      </c>
      <c r="CZ559" s="0" t="s">
        <v>5533</v>
      </c>
      <c r="DA559" s="0" t="s">
        <v>5949</v>
      </c>
      <c r="DB559" s="0" t="s">
        <v>5600</v>
      </c>
      <c r="DC559" s="0" t="s">
        <v>384</v>
      </c>
      <c r="DD559" s="0" t="s">
        <v>291</v>
      </c>
      <c r="DE559" s="0" t="s">
        <v>6386</v>
      </c>
    </row>
    <row customHeight="1" ht="11.25">
      <c r="A560" s="1441" t="s">
        <v>240</v>
      </c>
      <c r="B560" s="0" t="s">
        <v>240</v>
      </c>
      <c r="C560" s="0" t="s">
        <v>240</v>
      </c>
      <c r="D560" s="0" t="s">
        <v>240</v>
      </c>
      <c r="E560" s="0" t="s">
        <v>240</v>
      </c>
      <c r="F560" s="0" t="s">
        <v>240</v>
      </c>
      <c r="G560" s="0" t="s">
        <v>240</v>
      </c>
      <c r="H560" s="0" t="s">
        <v>240</v>
      </c>
      <c r="I560" s="0" t="s">
        <v>5484</v>
      </c>
      <c r="J560" s="0" t="s">
        <v>240</v>
      </c>
      <c r="K560" s="0" t="s">
        <v>240</v>
      </c>
      <c r="L560" s="0" t="s">
        <v>240</v>
      </c>
      <c r="M560" s="0" t="s">
        <v>240</v>
      </c>
      <c r="N560" s="0" t="s">
        <v>240</v>
      </c>
      <c r="O560" s="0" t="s">
        <v>240</v>
      </c>
      <c r="P560" s="0" t="s">
        <v>240</v>
      </c>
      <c r="Q560" s="0" t="s">
        <v>240</v>
      </c>
      <c r="R560" s="0" t="s">
        <v>6465</v>
      </c>
      <c r="S560" s="0" t="s">
        <v>240</v>
      </c>
      <c r="T560" s="0" t="s">
        <v>240</v>
      </c>
      <c r="U560" s="0" t="s">
        <v>102</v>
      </c>
      <c r="V560" s="0" t="s">
        <v>240</v>
      </c>
      <c r="W560" s="0" t="s">
        <v>240</v>
      </c>
      <c r="X560" s="0" t="s">
        <v>5485</v>
      </c>
      <c r="Y560" s="0" t="s">
        <v>240</v>
      </c>
      <c r="Z560" s="0" t="s">
        <v>161</v>
      </c>
      <c r="AA560" s="0" t="s">
        <v>152</v>
      </c>
      <c r="AB560" s="0" t="s">
        <v>152</v>
      </c>
      <c r="AC560" s="0" t="s">
        <v>3395</v>
      </c>
      <c r="AD560" s="0" t="s">
        <v>3395</v>
      </c>
      <c r="AE560" s="0" t="s">
        <v>3396</v>
      </c>
      <c r="AF560" s="0" t="s">
        <v>5941</v>
      </c>
      <c r="AG560" s="0" t="s">
        <v>5942</v>
      </c>
      <c r="AH560" s="0" t="s">
        <v>6063</v>
      </c>
      <c r="AI560" s="0" t="s">
        <v>152</v>
      </c>
      <c r="AJ560" s="0" t="s">
        <v>6466</v>
      </c>
      <c r="AK560" s="0" t="s">
        <v>5598</v>
      </c>
      <c r="AL560" s="0" t="s">
        <v>5506</v>
      </c>
      <c r="AM560" s="0" t="s">
        <v>5493</v>
      </c>
      <c r="AN560" s="0" t="s">
        <v>6467</v>
      </c>
      <c r="AO560" s="0" t="s">
        <v>6207</v>
      </c>
      <c r="AP560" s="0" t="s">
        <v>240</v>
      </c>
      <c r="AQ560" s="0" t="s">
        <v>240</v>
      </c>
      <c r="AR560" s="0" t="s">
        <v>240</v>
      </c>
      <c r="AS560" s="0" t="s">
        <v>240</v>
      </c>
      <c r="AT560" s="0" t="s">
        <v>240</v>
      </c>
      <c r="AU560" s="0" t="s">
        <v>240</v>
      </c>
      <c r="AV560" s="0" t="s">
        <v>240</v>
      </c>
      <c r="AW560" s="0" t="s">
        <v>240</v>
      </c>
      <c r="AX560" s="0" t="s">
        <v>240</v>
      </c>
      <c r="AY560" s="0" t="s">
        <v>240</v>
      </c>
      <c r="AZ560" s="0" t="s">
        <v>240</v>
      </c>
      <c r="BA560" s="0" t="s">
        <v>240</v>
      </c>
      <c r="BB560" s="0" t="s">
        <v>240</v>
      </c>
      <c r="BC560" s="0" t="s">
        <v>240</v>
      </c>
      <c r="BD560" s="0" t="s">
        <v>240</v>
      </c>
      <c r="BE560" s="0" t="s">
        <v>240</v>
      </c>
      <c r="BF560" s="0" t="s">
        <v>240</v>
      </c>
      <c r="BG560" s="0" t="s">
        <v>240</v>
      </c>
      <c r="BH560" s="0" t="s">
        <v>240</v>
      </c>
      <c r="BI560" s="0" t="s">
        <v>240</v>
      </c>
      <c r="BJ560" s="0" t="s">
        <v>240</v>
      </c>
      <c r="BK560" s="0" t="s">
        <v>240</v>
      </c>
      <c r="BL560" s="0" t="s">
        <v>240</v>
      </c>
      <c r="BM560" s="0" t="s">
        <v>240</v>
      </c>
      <c r="BN560" s="0" t="s">
        <v>240</v>
      </c>
      <c r="BO560" s="0" t="s">
        <v>240</v>
      </c>
      <c r="BP560" s="0" t="s">
        <v>240</v>
      </c>
      <c r="BQ560" s="0" t="s">
        <v>240</v>
      </c>
      <c r="BR560" s="0" t="s">
        <v>240</v>
      </c>
      <c r="BS560" s="0" t="s">
        <v>240</v>
      </c>
      <c r="BT560" s="0" t="s">
        <v>240</v>
      </c>
      <c r="BU560" s="0" t="s">
        <v>240</v>
      </c>
      <c r="BV560" s="0" t="s">
        <v>240</v>
      </c>
      <c r="BW560" s="0" t="s">
        <v>240</v>
      </c>
      <c r="BX560" s="0" t="s">
        <v>240</v>
      </c>
      <c r="BY560" s="0" t="s">
        <v>240</v>
      </c>
      <c r="BZ560" s="0" t="s">
        <v>240</v>
      </c>
      <c r="CA560" s="0" t="s">
        <v>240</v>
      </c>
      <c r="CB560" s="0" t="s">
        <v>240</v>
      </c>
      <c r="CC560" s="0" t="s">
        <v>240</v>
      </c>
      <c r="CD560" s="0" t="s">
        <v>240</v>
      </c>
      <c r="CE560" s="0" t="s">
        <v>240</v>
      </c>
      <c r="CF560" s="0" t="s">
        <v>240</v>
      </c>
      <c r="CG560" s="0" t="s">
        <v>240</v>
      </c>
      <c r="CH560" s="0" t="s">
        <v>240</v>
      </c>
      <c r="CI560" s="0" t="s">
        <v>240</v>
      </c>
      <c r="CJ560" s="0" t="s">
        <v>240</v>
      </c>
      <c r="CK560" s="0" t="s">
        <v>240</v>
      </c>
      <c r="CL560" s="0" t="s">
        <v>240</v>
      </c>
      <c r="CM560" s="0" t="s">
        <v>240</v>
      </c>
      <c r="CN560" s="0" t="s">
        <v>240</v>
      </c>
      <c r="CO560" s="0" t="s">
        <v>240</v>
      </c>
      <c r="CP560" s="0" t="s">
        <v>240</v>
      </c>
      <c r="CQ560" s="0" t="s">
        <v>240</v>
      </c>
      <c r="CR560" s="0" t="s">
        <v>240</v>
      </c>
      <c r="CS560" s="0" t="s">
        <v>240</v>
      </c>
      <c r="CT560" s="0" t="s">
        <v>5496</v>
      </c>
      <c r="CU560" s="0" t="s">
        <v>5497</v>
      </c>
      <c r="CV560" s="0" t="s">
        <v>5947</v>
      </c>
      <c r="CW560" s="0" t="s">
        <v>5948</v>
      </c>
      <c r="CX560" s="0" t="s">
        <v>5528</v>
      </c>
      <c r="CY560" s="0" t="s">
        <v>5947</v>
      </c>
      <c r="CZ560" s="0" t="s">
        <v>5533</v>
      </c>
      <c r="DA560" s="0" t="s">
        <v>5949</v>
      </c>
      <c r="DB560" s="0" t="s">
        <v>5600</v>
      </c>
      <c r="DC560" s="0" t="s">
        <v>384</v>
      </c>
      <c r="DD560" s="0" t="s">
        <v>291</v>
      </c>
      <c r="DE560" s="0" t="s">
        <v>6073</v>
      </c>
    </row>
    <row customHeight="1" ht="11.25">
      <c r="A561" s="1441" t="s">
        <v>240</v>
      </c>
      <c r="B561" s="0" t="s">
        <v>240</v>
      </c>
      <c r="C561" s="0" t="s">
        <v>240</v>
      </c>
      <c r="D561" s="0" t="s">
        <v>240</v>
      </c>
      <c r="E561" s="0" t="s">
        <v>240</v>
      </c>
      <c r="F561" s="0" t="s">
        <v>240</v>
      </c>
      <c r="G561" s="0" t="s">
        <v>240</v>
      </c>
      <c r="H561" s="0" t="s">
        <v>240</v>
      </c>
      <c r="I561" s="0" t="s">
        <v>5484</v>
      </c>
      <c r="J561" s="0" t="s">
        <v>240</v>
      </c>
      <c r="K561" s="0" t="s">
        <v>240</v>
      </c>
      <c r="L561" s="0" t="s">
        <v>240</v>
      </c>
      <c r="M561" s="0" t="s">
        <v>240</v>
      </c>
      <c r="N561" s="0" t="s">
        <v>240</v>
      </c>
      <c r="O561" s="0" t="s">
        <v>240</v>
      </c>
      <c r="P561" s="0" t="s">
        <v>240</v>
      </c>
      <c r="Q561" s="0" t="s">
        <v>240</v>
      </c>
      <c r="R561" s="0" t="s">
        <v>6996</v>
      </c>
      <c r="S561" s="0" t="s">
        <v>240</v>
      </c>
      <c r="T561" s="0" t="s">
        <v>240</v>
      </c>
      <c r="U561" s="0" t="s">
        <v>102</v>
      </c>
      <c r="V561" s="0" t="s">
        <v>240</v>
      </c>
      <c r="W561" s="0" t="s">
        <v>240</v>
      </c>
      <c r="X561" s="0" t="s">
        <v>5485</v>
      </c>
      <c r="Y561" s="0" t="s">
        <v>240</v>
      </c>
      <c r="Z561" s="0" t="s">
        <v>161</v>
      </c>
      <c r="AA561" s="0" t="s">
        <v>152</v>
      </c>
      <c r="AB561" s="0" t="s">
        <v>152</v>
      </c>
      <c r="AC561" s="0" t="s">
        <v>3389</v>
      </c>
      <c r="AD561" s="0" t="s">
        <v>3389</v>
      </c>
      <c r="AE561" s="0" t="s">
        <v>3390</v>
      </c>
      <c r="AF561" s="0" t="s">
        <v>5519</v>
      </c>
      <c r="AG561" s="0" t="s">
        <v>5520</v>
      </c>
      <c r="AH561" s="0" t="s">
        <v>5997</v>
      </c>
      <c r="AI561" s="0" t="s">
        <v>5533</v>
      </c>
      <c r="AJ561" s="0" t="s">
        <v>6060</v>
      </c>
      <c r="AK561" s="0" t="s">
        <v>5998</v>
      </c>
      <c r="AL561" s="0" t="s">
        <v>5570</v>
      </c>
      <c r="AM561" s="0" t="s">
        <v>5493</v>
      </c>
      <c r="AN561" s="0" t="s">
        <v>5578</v>
      </c>
      <c r="AO561" s="0" t="s">
        <v>6061</v>
      </c>
      <c r="AP561" s="0" t="s">
        <v>240</v>
      </c>
      <c r="AQ561" s="0" t="s">
        <v>240</v>
      </c>
      <c r="AR561" s="0" t="s">
        <v>240</v>
      </c>
      <c r="AS561" s="0" t="s">
        <v>240</v>
      </c>
      <c r="AT561" s="0" t="s">
        <v>240</v>
      </c>
      <c r="AU561" s="0" t="s">
        <v>240</v>
      </c>
      <c r="AV561" s="0" t="s">
        <v>240</v>
      </c>
      <c r="AW561" s="0" t="s">
        <v>240</v>
      </c>
      <c r="AX561" s="0" t="s">
        <v>240</v>
      </c>
      <c r="AY561" s="0" t="s">
        <v>240</v>
      </c>
      <c r="AZ561" s="0" t="s">
        <v>240</v>
      </c>
      <c r="BA561" s="0" t="s">
        <v>240</v>
      </c>
      <c r="BB561" s="0" t="s">
        <v>240</v>
      </c>
      <c r="BC561" s="0" t="s">
        <v>240</v>
      </c>
      <c r="BD561" s="0" t="s">
        <v>240</v>
      </c>
      <c r="BE561" s="0" t="s">
        <v>240</v>
      </c>
      <c r="BF561" s="0" t="s">
        <v>240</v>
      </c>
      <c r="BG561" s="0" t="s">
        <v>240</v>
      </c>
      <c r="BH561" s="0" t="s">
        <v>240</v>
      </c>
      <c r="BI561" s="0" t="s">
        <v>240</v>
      </c>
      <c r="BJ561" s="0" t="s">
        <v>240</v>
      </c>
      <c r="BK561" s="0" t="s">
        <v>240</v>
      </c>
      <c r="BL561" s="0" t="s">
        <v>240</v>
      </c>
      <c r="BM561" s="0" t="s">
        <v>240</v>
      </c>
      <c r="BN561" s="0" t="s">
        <v>240</v>
      </c>
      <c r="BO561" s="0" t="s">
        <v>240</v>
      </c>
      <c r="BP561" s="0" t="s">
        <v>240</v>
      </c>
      <c r="BQ561" s="0" t="s">
        <v>240</v>
      </c>
      <c r="BR561" s="0" t="s">
        <v>240</v>
      </c>
      <c r="BS561" s="0" t="s">
        <v>240</v>
      </c>
      <c r="BT561" s="0" t="s">
        <v>240</v>
      </c>
      <c r="BU561" s="0" t="s">
        <v>240</v>
      </c>
      <c r="BV561" s="0" t="s">
        <v>240</v>
      </c>
      <c r="BW561" s="0" t="s">
        <v>240</v>
      </c>
      <c r="BX561" s="0" t="s">
        <v>240</v>
      </c>
      <c r="BY561" s="0" t="s">
        <v>240</v>
      </c>
      <c r="BZ561" s="0" t="s">
        <v>240</v>
      </c>
      <c r="CA561" s="0" t="s">
        <v>240</v>
      </c>
      <c r="CB561" s="0" t="s">
        <v>240</v>
      </c>
      <c r="CC561" s="0" t="s">
        <v>240</v>
      </c>
      <c r="CD561" s="0" t="s">
        <v>240</v>
      </c>
      <c r="CE561" s="0" t="s">
        <v>240</v>
      </c>
      <c r="CF561" s="0" t="s">
        <v>240</v>
      </c>
      <c r="CG561" s="0" t="s">
        <v>240</v>
      </c>
      <c r="CH561" s="0" t="s">
        <v>240</v>
      </c>
      <c r="CI561" s="0" t="s">
        <v>240</v>
      </c>
      <c r="CJ561" s="0" t="s">
        <v>240</v>
      </c>
      <c r="CK561" s="0" t="s">
        <v>240</v>
      </c>
      <c r="CL561" s="0" t="s">
        <v>240</v>
      </c>
      <c r="CM561" s="0" t="s">
        <v>240</v>
      </c>
      <c r="CN561" s="0" t="s">
        <v>240</v>
      </c>
      <c r="CO561" s="0" t="s">
        <v>240</v>
      </c>
      <c r="CP561" s="0" t="s">
        <v>240</v>
      </c>
      <c r="CQ561" s="0" t="s">
        <v>240</v>
      </c>
      <c r="CR561" s="0" t="s">
        <v>240</v>
      </c>
      <c r="CS561" s="0" t="s">
        <v>240</v>
      </c>
      <c r="CT561" s="0" t="s">
        <v>5496</v>
      </c>
      <c r="CU561" s="0" t="s">
        <v>5497</v>
      </c>
      <c r="CV561" s="0" t="s">
        <v>443</v>
      </c>
      <c r="CW561" s="0" t="s">
        <v>5527</v>
      </c>
      <c r="CX561" s="0" t="s">
        <v>5528</v>
      </c>
      <c r="CY561" s="0" t="s">
        <v>443</v>
      </c>
      <c r="CZ561" s="0" t="s">
        <v>299</v>
      </c>
      <c r="DA561" s="0" t="s">
        <v>5529</v>
      </c>
      <c r="DB561" s="0" t="s">
        <v>5527</v>
      </c>
      <c r="DC561" s="0" t="s">
        <v>384</v>
      </c>
      <c r="DD561" s="0" t="s">
        <v>291</v>
      </c>
      <c r="DE561" s="0" t="s">
        <v>6000</v>
      </c>
    </row>
    <row customHeight="1" ht="11.25">
      <c r="A562" s="1441" t="s">
        <v>240</v>
      </c>
      <c r="B562" s="0" t="s">
        <v>240</v>
      </c>
      <c r="C562" s="0" t="s">
        <v>240</v>
      </c>
      <c r="D562" s="0" t="s">
        <v>240</v>
      </c>
      <c r="E562" s="0" t="s">
        <v>240</v>
      </c>
      <c r="F562" s="0" t="s">
        <v>240</v>
      </c>
      <c r="G562" s="0" t="s">
        <v>240</v>
      </c>
      <c r="H562" s="0" t="s">
        <v>240</v>
      </c>
      <c r="I562" s="0" t="s">
        <v>5484</v>
      </c>
      <c r="J562" s="0" t="s">
        <v>240</v>
      </c>
      <c r="K562" s="0" t="s">
        <v>240</v>
      </c>
      <c r="L562" s="0" t="s">
        <v>240</v>
      </c>
      <c r="M562" s="0" t="s">
        <v>240</v>
      </c>
      <c r="N562" s="0" t="s">
        <v>240</v>
      </c>
      <c r="O562" s="0" t="s">
        <v>240</v>
      </c>
      <c r="P562" s="0" t="s">
        <v>240</v>
      </c>
      <c r="Q562" s="0" t="s">
        <v>240</v>
      </c>
      <c r="R562" s="0" t="s">
        <v>6468</v>
      </c>
      <c r="S562" s="0" t="s">
        <v>240</v>
      </c>
      <c r="T562" s="0" t="s">
        <v>240</v>
      </c>
      <c r="U562" s="0" t="s">
        <v>102</v>
      </c>
      <c r="V562" s="0" t="s">
        <v>240</v>
      </c>
      <c r="W562" s="0" t="s">
        <v>240</v>
      </c>
      <c r="X562" s="0" t="s">
        <v>5485</v>
      </c>
      <c r="Y562" s="0" t="s">
        <v>240</v>
      </c>
      <c r="Z562" s="0" t="s">
        <v>161</v>
      </c>
      <c r="AA562" s="0" t="s">
        <v>152</v>
      </c>
      <c r="AB562" s="0" t="s">
        <v>152</v>
      </c>
      <c r="AC562" s="0" t="s">
        <v>3395</v>
      </c>
      <c r="AD562" s="0" t="s">
        <v>3395</v>
      </c>
      <c r="AE562" s="0" t="s">
        <v>3396</v>
      </c>
      <c r="AF562" s="0" t="s">
        <v>5941</v>
      </c>
      <c r="AG562" s="0" t="s">
        <v>5942</v>
      </c>
      <c r="AH562" s="0" t="s">
        <v>6469</v>
      </c>
      <c r="AI562" s="0" t="s">
        <v>152</v>
      </c>
      <c r="AJ562" s="0" t="s">
        <v>6470</v>
      </c>
      <c r="AK562" s="0" t="s">
        <v>6471</v>
      </c>
      <c r="AL562" s="0" t="s">
        <v>5506</v>
      </c>
      <c r="AM562" s="0" t="s">
        <v>5493</v>
      </c>
      <c r="AN562" s="0" t="s">
        <v>5553</v>
      </c>
      <c r="AO562" s="0" t="s">
        <v>6472</v>
      </c>
      <c r="AP562" s="0" t="s">
        <v>240</v>
      </c>
      <c r="AQ562" s="0" t="s">
        <v>240</v>
      </c>
      <c r="AR562" s="0" t="s">
        <v>240</v>
      </c>
      <c r="AS562" s="0" t="s">
        <v>240</v>
      </c>
      <c r="AT562" s="0" t="s">
        <v>240</v>
      </c>
      <c r="AU562" s="0" t="s">
        <v>240</v>
      </c>
      <c r="AV562" s="0" t="s">
        <v>240</v>
      </c>
      <c r="AW562" s="0" t="s">
        <v>240</v>
      </c>
      <c r="AX562" s="0" t="s">
        <v>240</v>
      </c>
      <c r="AY562" s="0" t="s">
        <v>240</v>
      </c>
      <c r="AZ562" s="0" t="s">
        <v>240</v>
      </c>
      <c r="BA562" s="0" t="s">
        <v>240</v>
      </c>
      <c r="BB562" s="0" t="s">
        <v>240</v>
      </c>
      <c r="BC562" s="0" t="s">
        <v>240</v>
      </c>
      <c r="BD562" s="0" t="s">
        <v>240</v>
      </c>
      <c r="BE562" s="0" t="s">
        <v>240</v>
      </c>
      <c r="BF562" s="0" t="s">
        <v>240</v>
      </c>
      <c r="BG562" s="0" t="s">
        <v>240</v>
      </c>
      <c r="BH562" s="0" t="s">
        <v>240</v>
      </c>
      <c r="BI562" s="0" t="s">
        <v>240</v>
      </c>
      <c r="BJ562" s="0" t="s">
        <v>240</v>
      </c>
      <c r="BK562" s="0" t="s">
        <v>240</v>
      </c>
      <c r="BL562" s="0" t="s">
        <v>240</v>
      </c>
      <c r="BM562" s="0" t="s">
        <v>240</v>
      </c>
      <c r="BN562" s="0" t="s">
        <v>240</v>
      </c>
      <c r="BO562" s="0" t="s">
        <v>240</v>
      </c>
      <c r="BP562" s="0" t="s">
        <v>240</v>
      </c>
      <c r="BQ562" s="0" t="s">
        <v>240</v>
      </c>
      <c r="BR562" s="0" t="s">
        <v>240</v>
      </c>
      <c r="BS562" s="0" t="s">
        <v>240</v>
      </c>
      <c r="BT562" s="0" t="s">
        <v>240</v>
      </c>
      <c r="BU562" s="0" t="s">
        <v>240</v>
      </c>
      <c r="BV562" s="0" t="s">
        <v>240</v>
      </c>
      <c r="BW562" s="0" t="s">
        <v>240</v>
      </c>
      <c r="BX562" s="0" t="s">
        <v>240</v>
      </c>
      <c r="BY562" s="0" t="s">
        <v>240</v>
      </c>
      <c r="BZ562" s="0" t="s">
        <v>240</v>
      </c>
      <c r="CA562" s="0" t="s">
        <v>240</v>
      </c>
      <c r="CB562" s="0" t="s">
        <v>240</v>
      </c>
      <c r="CC562" s="0" t="s">
        <v>240</v>
      </c>
      <c r="CD562" s="0" t="s">
        <v>240</v>
      </c>
      <c r="CE562" s="0" t="s">
        <v>240</v>
      </c>
      <c r="CF562" s="0" t="s">
        <v>240</v>
      </c>
      <c r="CG562" s="0" t="s">
        <v>240</v>
      </c>
      <c r="CH562" s="0" t="s">
        <v>240</v>
      </c>
      <c r="CI562" s="0" t="s">
        <v>240</v>
      </c>
      <c r="CJ562" s="0" t="s">
        <v>240</v>
      </c>
      <c r="CK562" s="0" t="s">
        <v>240</v>
      </c>
      <c r="CL562" s="0" t="s">
        <v>240</v>
      </c>
      <c r="CM562" s="0" t="s">
        <v>240</v>
      </c>
      <c r="CN562" s="0" t="s">
        <v>240</v>
      </c>
      <c r="CO562" s="0" t="s">
        <v>240</v>
      </c>
      <c r="CP562" s="0" t="s">
        <v>240</v>
      </c>
      <c r="CQ562" s="0" t="s">
        <v>240</v>
      </c>
      <c r="CR562" s="0" t="s">
        <v>240</v>
      </c>
      <c r="CS562" s="0" t="s">
        <v>240</v>
      </c>
      <c r="CT562" s="0" t="s">
        <v>5496</v>
      </c>
      <c r="CU562" s="0" t="s">
        <v>5497</v>
      </c>
      <c r="CV562" s="0" t="s">
        <v>5947</v>
      </c>
      <c r="CW562" s="0" t="s">
        <v>5948</v>
      </c>
      <c r="CX562" s="0" t="s">
        <v>5528</v>
      </c>
      <c r="CY562" s="0" t="s">
        <v>5947</v>
      </c>
      <c r="CZ562" s="0" t="s">
        <v>5533</v>
      </c>
      <c r="DA562" s="0" t="s">
        <v>5949</v>
      </c>
      <c r="DB562" s="0" t="s">
        <v>5600</v>
      </c>
      <c r="DC562" s="0" t="s">
        <v>384</v>
      </c>
      <c r="DD562" s="0" t="s">
        <v>291</v>
      </c>
      <c r="DE562" s="0" t="s">
        <v>6473</v>
      </c>
    </row>
    <row customHeight="1" ht="11.25">
      <c r="A563" s="1441" t="s">
        <v>240</v>
      </c>
      <c r="B563" s="0" t="s">
        <v>240</v>
      </c>
      <c r="C563" s="0" t="s">
        <v>240</v>
      </c>
      <c r="D563" s="0" t="s">
        <v>240</v>
      </c>
      <c r="E563" s="0" t="s">
        <v>240</v>
      </c>
      <c r="F563" s="0" t="s">
        <v>240</v>
      </c>
      <c r="G563" s="0" t="s">
        <v>240</v>
      </c>
      <c r="H563" s="0" t="s">
        <v>240</v>
      </c>
      <c r="I563" s="0" t="s">
        <v>5484</v>
      </c>
      <c r="J563" s="0" t="s">
        <v>240</v>
      </c>
      <c r="K563" s="0" t="s">
        <v>240</v>
      </c>
      <c r="L563" s="0" t="s">
        <v>240</v>
      </c>
      <c r="M563" s="0" t="s">
        <v>240</v>
      </c>
      <c r="N563" s="0" t="s">
        <v>240</v>
      </c>
      <c r="O563" s="0" t="s">
        <v>240</v>
      </c>
      <c r="P563" s="0" t="s">
        <v>240</v>
      </c>
      <c r="Q563" s="0" t="s">
        <v>240</v>
      </c>
      <c r="R563" s="0" t="s">
        <v>6672</v>
      </c>
      <c r="S563" s="0" t="s">
        <v>240</v>
      </c>
      <c r="T563" s="0" t="s">
        <v>240</v>
      </c>
      <c r="U563" s="0" t="s">
        <v>102</v>
      </c>
      <c r="V563" s="0" t="s">
        <v>240</v>
      </c>
      <c r="W563" s="0" t="s">
        <v>240</v>
      </c>
      <c r="X563" s="0" t="s">
        <v>5485</v>
      </c>
      <c r="Y563" s="0" t="s">
        <v>240</v>
      </c>
      <c r="Z563" s="0" t="s">
        <v>161</v>
      </c>
      <c r="AA563" s="0" t="s">
        <v>152</v>
      </c>
      <c r="AB563" s="0" t="s">
        <v>152</v>
      </c>
      <c r="AC563" s="0" t="s">
        <v>3395</v>
      </c>
      <c r="AD563" s="0" t="s">
        <v>3395</v>
      </c>
      <c r="AE563" s="0" t="s">
        <v>3396</v>
      </c>
      <c r="AF563" s="0" t="s">
        <v>5941</v>
      </c>
      <c r="AG563" s="0" t="s">
        <v>5942</v>
      </c>
      <c r="AH563" s="0" t="s">
        <v>6673</v>
      </c>
      <c r="AI563" s="0" t="s">
        <v>152</v>
      </c>
      <c r="AJ563" s="0" t="s">
        <v>5821</v>
      </c>
      <c r="AK563" s="0" t="s">
        <v>6100</v>
      </c>
      <c r="AL563" s="0" t="s">
        <v>5506</v>
      </c>
      <c r="AM563" s="0" t="s">
        <v>5493</v>
      </c>
      <c r="AN563" s="0" t="s">
        <v>5553</v>
      </c>
      <c r="AO563" s="0" t="s">
        <v>6674</v>
      </c>
      <c r="AP563" s="0" t="s">
        <v>240</v>
      </c>
      <c r="AQ563" s="0" t="s">
        <v>240</v>
      </c>
      <c r="AR563" s="0" t="s">
        <v>240</v>
      </c>
      <c r="AS563" s="0" t="s">
        <v>240</v>
      </c>
      <c r="AT563" s="0" t="s">
        <v>240</v>
      </c>
      <c r="AU563" s="0" t="s">
        <v>240</v>
      </c>
      <c r="AV563" s="0" t="s">
        <v>240</v>
      </c>
      <c r="AW563" s="0" t="s">
        <v>240</v>
      </c>
      <c r="AX563" s="0" t="s">
        <v>240</v>
      </c>
      <c r="AY563" s="0" t="s">
        <v>240</v>
      </c>
      <c r="AZ563" s="0" t="s">
        <v>240</v>
      </c>
      <c r="BA563" s="0" t="s">
        <v>240</v>
      </c>
      <c r="BB563" s="0" t="s">
        <v>240</v>
      </c>
      <c r="BC563" s="0" t="s">
        <v>240</v>
      </c>
      <c r="BD563" s="0" t="s">
        <v>240</v>
      </c>
      <c r="BE563" s="0" t="s">
        <v>240</v>
      </c>
      <c r="BF563" s="0" t="s">
        <v>240</v>
      </c>
      <c r="BG563" s="0" t="s">
        <v>240</v>
      </c>
      <c r="BH563" s="0" t="s">
        <v>240</v>
      </c>
      <c r="BI563" s="0" t="s">
        <v>240</v>
      </c>
      <c r="BJ563" s="0" t="s">
        <v>240</v>
      </c>
      <c r="BK563" s="0" t="s">
        <v>240</v>
      </c>
      <c r="BL563" s="0" t="s">
        <v>240</v>
      </c>
      <c r="BM563" s="0" t="s">
        <v>240</v>
      </c>
      <c r="BN563" s="0" t="s">
        <v>240</v>
      </c>
      <c r="BO563" s="0" t="s">
        <v>240</v>
      </c>
      <c r="BP563" s="0" t="s">
        <v>240</v>
      </c>
      <c r="BQ563" s="0" t="s">
        <v>240</v>
      </c>
      <c r="BR563" s="0" t="s">
        <v>240</v>
      </c>
      <c r="BS563" s="0" t="s">
        <v>240</v>
      </c>
      <c r="BT563" s="0" t="s">
        <v>240</v>
      </c>
      <c r="BU563" s="0" t="s">
        <v>240</v>
      </c>
      <c r="BV563" s="0" t="s">
        <v>240</v>
      </c>
      <c r="BW563" s="0" t="s">
        <v>240</v>
      </c>
      <c r="BX563" s="0" t="s">
        <v>240</v>
      </c>
      <c r="BY563" s="0" t="s">
        <v>240</v>
      </c>
      <c r="BZ563" s="0" t="s">
        <v>240</v>
      </c>
      <c r="CA563" s="0" t="s">
        <v>240</v>
      </c>
      <c r="CB563" s="0" t="s">
        <v>240</v>
      </c>
      <c r="CC563" s="0" t="s">
        <v>240</v>
      </c>
      <c r="CD563" s="0" t="s">
        <v>240</v>
      </c>
      <c r="CE563" s="0" t="s">
        <v>240</v>
      </c>
      <c r="CF563" s="0" t="s">
        <v>240</v>
      </c>
      <c r="CG563" s="0" t="s">
        <v>240</v>
      </c>
      <c r="CH563" s="0" t="s">
        <v>240</v>
      </c>
      <c r="CI563" s="0" t="s">
        <v>240</v>
      </c>
      <c r="CJ563" s="0" t="s">
        <v>240</v>
      </c>
      <c r="CK563" s="0" t="s">
        <v>240</v>
      </c>
      <c r="CL563" s="0" t="s">
        <v>240</v>
      </c>
      <c r="CM563" s="0" t="s">
        <v>240</v>
      </c>
      <c r="CN563" s="0" t="s">
        <v>240</v>
      </c>
      <c r="CO563" s="0" t="s">
        <v>240</v>
      </c>
      <c r="CP563" s="0" t="s">
        <v>240</v>
      </c>
      <c r="CQ563" s="0" t="s">
        <v>240</v>
      </c>
      <c r="CR563" s="0" t="s">
        <v>240</v>
      </c>
      <c r="CS563" s="0" t="s">
        <v>240</v>
      </c>
      <c r="CT563" s="0" t="s">
        <v>5496</v>
      </c>
      <c r="CU563" s="0" t="s">
        <v>5497</v>
      </c>
      <c r="CV563" s="0" t="s">
        <v>5947</v>
      </c>
      <c r="CW563" s="0" t="s">
        <v>5948</v>
      </c>
      <c r="CX563" s="0" t="s">
        <v>5528</v>
      </c>
      <c r="CY563" s="0" t="s">
        <v>5947</v>
      </c>
      <c r="CZ563" s="0" t="s">
        <v>5533</v>
      </c>
      <c r="DA563" s="0" t="s">
        <v>5949</v>
      </c>
      <c r="DB563" s="0" t="s">
        <v>5600</v>
      </c>
      <c r="DC563" s="0" t="s">
        <v>384</v>
      </c>
      <c r="DD563" s="0" t="s">
        <v>291</v>
      </c>
      <c r="DE563" s="0" t="s">
        <v>6675</v>
      </c>
    </row>
    <row customHeight="1" ht="11.25">
      <c r="A564" s="1441" t="s">
        <v>240</v>
      </c>
      <c r="B564" s="0" t="s">
        <v>240</v>
      </c>
      <c r="C564" s="0" t="s">
        <v>240</v>
      </c>
      <c r="D564" s="0" t="s">
        <v>240</v>
      </c>
      <c r="E564" s="0" t="s">
        <v>240</v>
      </c>
      <c r="F564" s="0" t="s">
        <v>240</v>
      </c>
      <c r="G564" s="0" t="s">
        <v>240</v>
      </c>
      <c r="H564" s="0" t="s">
        <v>240</v>
      </c>
      <c r="I564" s="0" t="s">
        <v>5484</v>
      </c>
      <c r="J564" s="0" t="s">
        <v>240</v>
      </c>
      <c r="K564" s="0" t="s">
        <v>240</v>
      </c>
      <c r="L564" s="0" t="s">
        <v>240</v>
      </c>
      <c r="M564" s="0" t="s">
        <v>240</v>
      </c>
      <c r="N564" s="0" t="s">
        <v>240</v>
      </c>
      <c r="O564" s="0" t="s">
        <v>240</v>
      </c>
      <c r="P564" s="0" t="s">
        <v>240</v>
      </c>
      <c r="Q564" s="0" t="s">
        <v>240</v>
      </c>
      <c r="R564" s="0" t="s">
        <v>6676</v>
      </c>
      <c r="S564" s="0" t="s">
        <v>240</v>
      </c>
      <c r="T564" s="0" t="s">
        <v>240</v>
      </c>
      <c r="U564" s="0" t="s">
        <v>102</v>
      </c>
      <c r="V564" s="0" t="s">
        <v>240</v>
      </c>
      <c r="W564" s="0" t="s">
        <v>240</v>
      </c>
      <c r="X564" s="0" t="s">
        <v>5485</v>
      </c>
      <c r="Y564" s="0" t="s">
        <v>240</v>
      </c>
      <c r="Z564" s="0" t="s">
        <v>161</v>
      </c>
      <c r="AA564" s="0" t="s">
        <v>152</v>
      </c>
      <c r="AB564" s="0" t="s">
        <v>152</v>
      </c>
      <c r="AC564" s="0" t="s">
        <v>3395</v>
      </c>
      <c r="AD564" s="0" t="s">
        <v>3395</v>
      </c>
      <c r="AE564" s="0" t="s">
        <v>3396</v>
      </c>
      <c r="AF564" s="0" t="s">
        <v>5941</v>
      </c>
      <c r="AG564" s="0" t="s">
        <v>5942</v>
      </c>
      <c r="AH564" s="0" t="s">
        <v>6677</v>
      </c>
      <c r="AI564" s="0" t="s">
        <v>457</v>
      </c>
      <c r="AJ564" s="0" t="s">
        <v>6678</v>
      </c>
      <c r="AK564" s="0" t="s">
        <v>6679</v>
      </c>
      <c r="AL564" s="0" t="s">
        <v>5524</v>
      </c>
      <c r="AM564" s="0" t="s">
        <v>5493</v>
      </c>
      <c r="AN564" s="0" t="s">
        <v>5578</v>
      </c>
      <c r="AO564" s="0" t="s">
        <v>6680</v>
      </c>
      <c r="AP564" s="0" t="s">
        <v>240</v>
      </c>
      <c r="AQ564" s="0" t="s">
        <v>240</v>
      </c>
      <c r="AR564" s="0" t="s">
        <v>240</v>
      </c>
      <c r="AS564" s="0" t="s">
        <v>240</v>
      </c>
      <c r="AT564" s="0" t="s">
        <v>240</v>
      </c>
      <c r="AU564" s="0" t="s">
        <v>240</v>
      </c>
      <c r="AV564" s="0" t="s">
        <v>240</v>
      </c>
      <c r="AW564" s="0" t="s">
        <v>240</v>
      </c>
      <c r="AX564" s="0" t="s">
        <v>240</v>
      </c>
      <c r="AY564" s="0" t="s">
        <v>240</v>
      </c>
      <c r="AZ564" s="0" t="s">
        <v>240</v>
      </c>
      <c r="BA564" s="0" t="s">
        <v>240</v>
      </c>
      <c r="BB564" s="0" t="s">
        <v>240</v>
      </c>
      <c r="BC564" s="0" t="s">
        <v>240</v>
      </c>
      <c r="BD564" s="0" t="s">
        <v>240</v>
      </c>
      <c r="BE564" s="0" t="s">
        <v>240</v>
      </c>
      <c r="BF564" s="0" t="s">
        <v>240</v>
      </c>
      <c r="BG564" s="0" t="s">
        <v>240</v>
      </c>
      <c r="BH564" s="0" t="s">
        <v>240</v>
      </c>
      <c r="BI564" s="0" t="s">
        <v>240</v>
      </c>
      <c r="BJ564" s="0" t="s">
        <v>240</v>
      </c>
      <c r="BK564" s="0" t="s">
        <v>240</v>
      </c>
      <c r="BL564" s="0" t="s">
        <v>240</v>
      </c>
      <c r="BM564" s="0" t="s">
        <v>240</v>
      </c>
      <c r="BN564" s="0" t="s">
        <v>240</v>
      </c>
      <c r="BO564" s="0" t="s">
        <v>240</v>
      </c>
      <c r="BP564" s="0" t="s">
        <v>240</v>
      </c>
      <c r="BQ564" s="0" t="s">
        <v>240</v>
      </c>
      <c r="BR564" s="0" t="s">
        <v>240</v>
      </c>
      <c r="BS564" s="0" t="s">
        <v>240</v>
      </c>
      <c r="BT564" s="0" t="s">
        <v>240</v>
      </c>
      <c r="BU564" s="0" t="s">
        <v>240</v>
      </c>
      <c r="BV564" s="0" t="s">
        <v>240</v>
      </c>
      <c r="BW564" s="0" t="s">
        <v>240</v>
      </c>
      <c r="BX564" s="0" t="s">
        <v>240</v>
      </c>
      <c r="BY564" s="0" t="s">
        <v>240</v>
      </c>
      <c r="BZ564" s="0" t="s">
        <v>240</v>
      </c>
      <c r="CA564" s="0" t="s">
        <v>240</v>
      </c>
      <c r="CB564" s="0" t="s">
        <v>240</v>
      </c>
      <c r="CC564" s="0" t="s">
        <v>240</v>
      </c>
      <c r="CD564" s="0" t="s">
        <v>240</v>
      </c>
      <c r="CE564" s="0" t="s">
        <v>240</v>
      </c>
      <c r="CF564" s="0" t="s">
        <v>240</v>
      </c>
      <c r="CG564" s="0" t="s">
        <v>240</v>
      </c>
      <c r="CH564" s="0" t="s">
        <v>240</v>
      </c>
      <c r="CI564" s="0" t="s">
        <v>240</v>
      </c>
      <c r="CJ564" s="0" t="s">
        <v>240</v>
      </c>
      <c r="CK564" s="0" t="s">
        <v>240</v>
      </c>
      <c r="CL564" s="0" t="s">
        <v>240</v>
      </c>
      <c r="CM564" s="0" t="s">
        <v>240</v>
      </c>
      <c r="CN564" s="0" t="s">
        <v>240</v>
      </c>
      <c r="CO564" s="0" t="s">
        <v>240</v>
      </c>
      <c r="CP564" s="0" t="s">
        <v>240</v>
      </c>
      <c r="CQ564" s="0" t="s">
        <v>240</v>
      </c>
      <c r="CR564" s="0" t="s">
        <v>240</v>
      </c>
      <c r="CS564" s="0" t="s">
        <v>240</v>
      </c>
      <c r="CT564" s="0" t="s">
        <v>5496</v>
      </c>
      <c r="CU564" s="0" t="s">
        <v>5497</v>
      </c>
      <c r="CV564" s="0" t="s">
        <v>5947</v>
      </c>
      <c r="CW564" s="0" t="s">
        <v>5948</v>
      </c>
      <c r="CX564" s="0" t="s">
        <v>5528</v>
      </c>
      <c r="CY564" s="0" t="s">
        <v>5947</v>
      </c>
      <c r="CZ564" s="0" t="s">
        <v>5533</v>
      </c>
      <c r="DA564" s="0" t="s">
        <v>5949</v>
      </c>
      <c r="DB564" s="0" t="s">
        <v>5600</v>
      </c>
      <c r="DC564" s="0" t="s">
        <v>384</v>
      </c>
      <c r="DD564" s="0" t="s">
        <v>291</v>
      </c>
      <c r="DE564" s="0" t="s">
        <v>6681</v>
      </c>
    </row>
    <row customHeight="1" ht="11.25">
      <c r="A565" s="1441" t="s">
        <v>240</v>
      </c>
      <c r="B565" s="0" t="s">
        <v>240</v>
      </c>
      <c r="C565" s="0" t="s">
        <v>240</v>
      </c>
      <c r="D565" s="0" t="s">
        <v>240</v>
      </c>
      <c r="E565" s="0" t="s">
        <v>240</v>
      </c>
      <c r="F565" s="0" t="s">
        <v>240</v>
      </c>
      <c r="G565" s="0" t="s">
        <v>240</v>
      </c>
      <c r="H565" s="0" t="s">
        <v>240</v>
      </c>
      <c r="I565" s="0" t="s">
        <v>5484</v>
      </c>
      <c r="J565" s="0" t="s">
        <v>240</v>
      </c>
      <c r="K565" s="0" t="s">
        <v>240</v>
      </c>
      <c r="L565" s="0" t="s">
        <v>240</v>
      </c>
      <c r="M565" s="0" t="s">
        <v>240</v>
      </c>
      <c r="N565" s="0" t="s">
        <v>240</v>
      </c>
      <c r="O565" s="0" t="s">
        <v>240</v>
      </c>
      <c r="P565" s="0" t="s">
        <v>240</v>
      </c>
      <c r="Q565" s="0" t="s">
        <v>240</v>
      </c>
      <c r="R565" s="0" t="s">
        <v>6829</v>
      </c>
      <c r="S565" s="0" t="s">
        <v>240</v>
      </c>
      <c r="T565" s="0" t="s">
        <v>240</v>
      </c>
      <c r="U565" s="0" t="s">
        <v>102</v>
      </c>
      <c r="V565" s="0" t="s">
        <v>240</v>
      </c>
      <c r="W565" s="0" t="s">
        <v>240</v>
      </c>
      <c r="X565" s="0" t="s">
        <v>5585</v>
      </c>
      <c r="Y565" s="0" t="s">
        <v>240</v>
      </c>
      <c r="Z565" s="0" t="s">
        <v>152</v>
      </c>
      <c r="AA565" s="0" t="s">
        <v>152</v>
      </c>
      <c r="AB565" s="0" t="s">
        <v>161</v>
      </c>
      <c r="AC565" s="0" t="s">
        <v>3395</v>
      </c>
      <c r="AD565" s="0" t="s">
        <v>3395</v>
      </c>
      <c r="AE565" s="0" t="s">
        <v>3396</v>
      </c>
      <c r="AF565" s="0" t="s">
        <v>5941</v>
      </c>
      <c r="AG565" s="0" t="s">
        <v>5942</v>
      </c>
      <c r="AH565" s="0" t="s">
        <v>6063</v>
      </c>
      <c r="AI565" s="0" t="s">
        <v>152</v>
      </c>
      <c r="AJ565" s="0" t="s">
        <v>240</v>
      </c>
      <c r="AK565" s="0" t="s">
        <v>240</v>
      </c>
      <c r="AL565" s="0" t="s">
        <v>240</v>
      </c>
      <c r="AM565" s="0" t="s">
        <v>240</v>
      </c>
      <c r="AN565" s="0" t="s">
        <v>240</v>
      </c>
      <c r="AO565" s="0" t="s">
        <v>240</v>
      </c>
      <c r="AP565" s="0" t="s">
        <v>240</v>
      </c>
      <c r="AQ565" s="0" t="s">
        <v>240</v>
      </c>
      <c r="AR565" s="0" t="s">
        <v>240</v>
      </c>
      <c r="AS565" s="0" t="s">
        <v>240</v>
      </c>
      <c r="AT565" s="0" t="s">
        <v>240</v>
      </c>
      <c r="AU565" s="0" t="s">
        <v>240</v>
      </c>
      <c r="AV565" s="0" t="s">
        <v>240</v>
      </c>
      <c r="AW565" s="0" t="s">
        <v>240</v>
      </c>
      <c r="AX565" s="0" t="s">
        <v>240</v>
      </c>
      <c r="AY565" s="0" t="s">
        <v>240</v>
      </c>
      <c r="AZ565" s="0" t="s">
        <v>240</v>
      </c>
      <c r="BA565" s="0" t="s">
        <v>240</v>
      </c>
      <c r="BB565" s="0" t="s">
        <v>240</v>
      </c>
      <c r="BC565" s="0" t="s">
        <v>240</v>
      </c>
      <c r="BD565" s="0" t="s">
        <v>240</v>
      </c>
      <c r="BE565" s="0" t="s">
        <v>6830</v>
      </c>
      <c r="BF565" s="0" t="s">
        <v>6831</v>
      </c>
      <c r="BG565" s="0" t="s">
        <v>112</v>
      </c>
      <c r="BH565" s="0" t="s">
        <v>5589</v>
      </c>
      <c r="BI565" s="0" t="s">
        <v>123</v>
      </c>
      <c r="BJ565" s="0" t="s">
        <v>240</v>
      </c>
      <c r="BK565" s="0" t="s">
        <v>6832</v>
      </c>
      <c r="BL565" s="0" t="s">
        <v>3395</v>
      </c>
      <c r="BM565" s="0" t="s">
        <v>3395</v>
      </c>
      <c r="BN565" s="0" t="s">
        <v>6066</v>
      </c>
      <c r="BO565" s="0" t="s">
        <v>5941</v>
      </c>
      <c r="BP565" s="0" t="s">
        <v>6067</v>
      </c>
      <c r="BQ565" s="0" t="s">
        <v>6833</v>
      </c>
      <c r="BR565" s="0" t="s">
        <v>457</v>
      </c>
      <c r="BS565" s="0" t="s">
        <v>240</v>
      </c>
      <c r="BT565" s="0" t="s">
        <v>5594</v>
      </c>
      <c r="BU565" s="0" t="s">
        <v>6834</v>
      </c>
      <c r="BV565" s="0" t="s">
        <v>6835</v>
      </c>
      <c r="BW565" s="0" t="s">
        <v>6836</v>
      </c>
      <c r="BX565" s="0" t="s">
        <v>6837</v>
      </c>
      <c r="BY565" s="0" t="s">
        <v>5598</v>
      </c>
      <c r="BZ565" s="0" t="s">
        <v>5598</v>
      </c>
      <c r="CA565" s="0" t="s">
        <v>5598</v>
      </c>
      <c r="CB565" s="0" t="s">
        <v>5598</v>
      </c>
      <c r="CC565" s="0" t="s">
        <v>5598</v>
      </c>
      <c r="CD565" s="0" t="s">
        <v>5598</v>
      </c>
      <c r="CE565" s="0" t="s">
        <v>5598</v>
      </c>
      <c r="CF565" s="0" t="s">
        <v>5598</v>
      </c>
      <c r="CG565" s="0" t="s">
        <v>5598</v>
      </c>
      <c r="CH565" s="0" t="s">
        <v>5598</v>
      </c>
      <c r="CI565" s="0" t="s">
        <v>5598</v>
      </c>
      <c r="CJ565" s="0" t="s">
        <v>5598</v>
      </c>
      <c r="CK565" s="0" t="s">
        <v>5598</v>
      </c>
      <c r="CL565" s="0" t="s">
        <v>5598</v>
      </c>
      <c r="CM565" s="0" t="s">
        <v>6834</v>
      </c>
      <c r="CN565" s="0" t="s">
        <v>6835</v>
      </c>
      <c r="CO565" s="0" t="s">
        <v>6836</v>
      </c>
      <c r="CP565" s="0" t="s">
        <v>6837</v>
      </c>
      <c r="CQ565" s="0" t="s">
        <v>5598</v>
      </c>
      <c r="CR565" s="0" t="s">
        <v>5598</v>
      </c>
      <c r="CS565" s="0" t="s">
        <v>6513</v>
      </c>
      <c r="CT565" s="0" t="s">
        <v>5496</v>
      </c>
      <c r="CU565" s="0" t="s">
        <v>5497</v>
      </c>
      <c r="CV565" s="0" t="s">
        <v>5947</v>
      </c>
      <c r="CW565" s="0" t="s">
        <v>5948</v>
      </c>
      <c r="CX565" s="0" t="s">
        <v>5528</v>
      </c>
      <c r="CY565" s="0" t="s">
        <v>5947</v>
      </c>
      <c r="CZ565" s="0" t="s">
        <v>5533</v>
      </c>
      <c r="DA565" s="0" t="s">
        <v>5949</v>
      </c>
      <c r="DB565" s="0" t="s">
        <v>5600</v>
      </c>
      <c r="DC565" s="0" t="s">
        <v>384</v>
      </c>
      <c r="DD565" s="0" t="s">
        <v>291</v>
      </c>
      <c r="DE565" s="0" t="s">
        <v>6073</v>
      </c>
    </row>
    <row customHeight="1" ht="11.25">
      <c r="A566" s="1441" t="s">
        <v>240</v>
      </c>
      <c r="B566" s="0" t="s">
        <v>240</v>
      </c>
      <c r="C566" s="0" t="s">
        <v>240</v>
      </c>
      <c r="D566" s="0" t="s">
        <v>240</v>
      </c>
      <c r="E566" s="0" t="s">
        <v>240</v>
      </c>
      <c r="F566" s="0" t="s">
        <v>240</v>
      </c>
      <c r="G566" s="0" t="s">
        <v>240</v>
      </c>
      <c r="H566" s="0" t="s">
        <v>240</v>
      </c>
      <c r="I566" s="0" t="s">
        <v>5484</v>
      </c>
      <c r="J566" s="0" t="s">
        <v>240</v>
      </c>
      <c r="K566" s="0" t="s">
        <v>240</v>
      </c>
      <c r="L566" s="0" t="s">
        <v>240</v>
      </c>
      <c r="M566" s="0" t="s">
        <v>240</v>
      </c>
      <c r="N566" s="0" t="s">
        <v>240</v>
      </c>
      <c r="O566" s="0" t="s">
        <v>240</v>
      </c>
      <c r="P566" s="0" t="s">
        <v>240</v>
      </c>
      <c r="Q566" s="0" t="s">
        <v>240</v>
      </c>
      <c r="R566" s="0" t="s">
        <v>6838</v>
      </c>
      <c r="S566" s="0" t="s">
        <v>240</v>
      </c>
      <c r="T566" s="0" t="s">
        <v>240</v>
      </c>
      <c r="U566" s="0" t="s">
        <v>102</v>
      </c>
      <c r="V566" s="0" t="s">
        <v>240</v>
      </c>
      <c r="W566" s="0" t="s">
        <v>240</v>
      </c>
      <c r="X566" s="0" t="s">
        <v>5585</v>
      </c>
      <c r="Y566" s="0" t="s">
        <v>240</v>
      </c>
      <c r="Z566" s="0" t="s">
        <v>152</v>
      </c>
      <c r="AA566" s="0" t="s">
        <v>152</v>
      </c>
      <c r="AB566" s="0" t="s">
        <v>161</v>
      </c>
      <c r="AC566" s="0" t="s">
        <v>3395</v>
      </c>
      <c r="AD566" s="0" t="s">
        <v>3395</v>
      </c>
      <c r="AE566" s="0" t="s">
        <v>3396</v>
      </c>
      <c r="AF566" s="0" t="s">
        <v>5941</v>
      </c>
      <c r="AG566" s="0" t="s">
        <v>5942</v>
      </c>
      <c r="AH566" s="0" t="s">
        <v>6063</v>
      </c>
      <c r="AI566" s="0" t="s">
        <v>152</v>
      </c>
      <c r="AJ566" s="0" t="s">
        <v>240</v>
      </c>
      <c r="AK566" s="0" t="s">
        <v>240</v>
      </c>
      <c r="AL566" s="0" t="s">
        <v>240</v>
      </c>
      <c r="AM566" s="0" t="s">
        <v>240</v>
      </c>
      <c r="AN566" s="0" t="s">
        <v>240</v>
      </c>
      <c r="AO566" s="0" t="s">
        <v>240</v>
      </c>
      <c r="AP566" s="0" t="s">
        <v>240</v>
      </c>
      <c r="AQ566" s="0" t="s">
        <v>240</v>
      </c>
      <c r="AR566" s="0" t="s">
        <v>240</v>
      </c>
      <c r="AS566" s="0" t="s">
        <v>240</v>
      </c>
      <c r="AT566" s="0" t="s">
        <v>240</v>
      </c>
      <c r="AU566" s="0" t="s">
        <v>240</v>
      </c>
      <c r="AV566" s="0" t="s">
        <v>240</v>
      </c>
      <c r="AW566" s="0" t="s">
        <v>240</v>
      </c>
      <c r="AX566" s="0" t="s">
        <v>240</v>
      </c>
      <c r="AY566" s="0" t="s">
        <v>240</v>
      </c>
      <c r="AZ566" s="0" t="s">
        <v>240</v>
      </c>
      <c r="BA566" s="0" t="s">
        <v>240</v>
      </c>
      <c r="BB566" s="0" t="s">
        <v>240</v>
      </c>
      <c r="BC566" s="0" t="s">
        <v>240</v>
      </c>
      <c r="BD566" s="0" t="s">
        <v>240</v>
      </c>
      <c r="BE566" s="0" t="s">
        <v>5944</v>
      </c>
      <c r="BF566" s="0" t="s">
        <v>6209</v>
      </c>
      <c r="BG566" s="0" t="s">
        <v>112</v>
      </c>
      <c r="BH566" s="0" t="s">
        <v>5589</v>
      </c>
      <c r="BI566" s="0" t="s">
        <v>123</v>
      </c>
      <c r="BJ566" s="0" t="s">
        <v>240</v>
      </c>
      <c r="BK566" s="0" t="s">
        <v>6208</v>
      </c>
      <c r="BL566" s="0" t="s">
        <v>3395</v>
      </c>
      <c r="BM566" s="0" t="s">
        <v>3395</v>
      </c>
      <c r="BN566" s="0" t="s">
        <v>6066</v>
      </c>
      <c r="BO566" s="0" t="s">
        <v>5941</v>
      </c>
      <c r="BP566" s="0" t="s">
        <v>6067</v>
      </c>
      <c r="BQ566" s="0" t="s">
        <v>6839</v>
      </c>
      <c r="BR566" s="0" t="s">
        <v>152</v>
      </c>
      <c r="BS566" s="0" t="s">
        <v>240</v>
      </c>
      <c r="BT566" s="0" t="s">
        <v>5594</v>
      </c>
      <c r="BU566" s="0" t="s">
        <v>6840</v>
      </c>
      <c r="BV566" s="0" t="s">
        <v>6841</v>
      </c>
      <c r="BW566" s="0" t="s">
        <v>6842</v>
      </c>
      <c r="BX566" s="0" t="s">
        <v>5598</v>
      </c>
      <c r="BY566" s="0" t="s">
        <v>5598</v>
      </c>
      <c r="BZ566" s="0" t="s">
        <v>5598</v>
      </c>
      <c r="CA566" s="0" t="s">
        <v>5598</v>
      </c>
      <c r="CB566" s="0" t="s">
        <v>5598</v>
      </c>
      <c r="CC566" s="0" t="s">
        <v>5598</v>
      </c>
      <c r="CD566" s="0" t="s">
        <v>5598</v>
      </c>
      <c r="CE566" s="0" t="s">
        <v>5598</v>
      </c>
      <c r="CF566" s="0" t="s">
        <v>5598</v>
      </c>
      <c r="CG566" s="0" t="s">
        <v>5598</v>
      </c>
      <c r="CH566" s="0" t="s">
        <v>5598</v>
      </c>
      <c r="CI566" s="0" t="s">
        <v>5598</v>
      </c>
      <c r="CJ566" s="0" t="s">
        <v>5598</v>
      </c>
      <c r="CK566" s="0" t="s">
        <v>5598</v>
      </c>
      <c r="CL566" s="0" t="s">
        <v>5598</v>
      </c>
      <c r="CM566" s="0" t="s">
        <v>6840</v>
      </c>
      <c r="CN566" s="0" t="s">
        <v>6841</v>
      </c>
      <c r="CO566" s="0" t="s">
        <v>6842</v>
      </c>
      <c r="CP566" s="0" t="s">
        <v>5598</v>
      </c>
      <c r="CQ566" s="0" t="s">
        <v>5598</v>
      </c>
      <c r="CR566" s="0" t="s">
        <v>5598</v>
      </c>
      <c r="CS566" s="0" t="s">
        <v>6843</v>
      </c>
      <c r="CT566" s="0" t="s">
        <v>5496</v>
      </c>
      <c r="CU566" s="0" t="s">
        <v>5497</v>
      </c>
      <c r="CV566" s="0" t="s">
        <v>5947</v>
      </c>
      <c r="CW566" s="0" t="s">
        <v>5948</v>
      </c>
      <c r="CX566" s="0" t="s">
        <v>5528</v>
      </c>
      <c r="CY566" s="0" t="s">
        <v>5947</v>
      </c>
      <c r="CZ566" s="0" t="s">
        <v>5533</v>
      </c>
      <c r="DA566" s="0" t="s">
        <v>5949</v>
      </c>
      <c r="DB566" s="0" t="s">
        <v>5600</v>
      </c>
      <c r="DC566" s="0" t="s">
        <v>384</v>
      </c>
      <c r="DD566" s="0" t="s">
        <v>291</v>
      </c>
      <c r="DE566" s="0" t="s">
        <v>6073</v>
      </c>
    </row>
    <row customHeight="1" ht="11.25">
      <c r="A567" s="1441" t="s">
        <v>240</v>
      </c>
      <c r="B567" s="0" t="s">
        <v>240</v>
      </c>
      <c r="C567" s="0" t="s">
        <v>240</v>
      </c>
      <c r="D567" s="0" t="s">
        <v>240</v>
      </c>
      <c r="E567" s="0" t="s">
        <v>240</v>
      </c>
      <c r="F567" s="0" t="s">
        <v>240</v>
      </c>
      <c r="G567" s="0" t="s">
        <v>240</v>
      </c>
      <c r="H567" s="0" t="s">
        <v>240</v>
      </c>
      <c r="I567" s="0" t="s">
        <v>5484</v>
      </c>
      <c r="J567" s="0" t="s">
        <v>240</v>
      </c>
      <c r="K567" s="0" t="s">
        <v>240</v>
      </c>
      <c r="L567" s="0" t="s">
        <v>240</v>
      </c>
      <c r="M567" s="0" t="s">
        <v>240</v>
      </c>
      <c r="N567" s="0" t="s">
        <v>240</v>
      </c>
      <c r="O567" s="0" t="s">
        <v>240</v>
      </c>
      <c r="P567" s="0" t="s">
        <v>240</v>
      </c>
      <c r="Q567" s="0" t="s">
        <v>240</v>
      </c>
      <c r="R567" s="0" t="s">
        <v>449</v>
      </c>
      <c r="S567" s="0" t="s">
        <v>240</v>
      </c>
      <c r="T567" s="0" t="s">
        <v>240</v>
      </c>
      <c r="U567" s="0" t="s">
        <v>102</v>
      </c>
      <c r="V567" s="0" t="s">
        <v>240</v>
      </c>
      <c r="W567" s="0" t="s">
        <v>240</v>
      </c>
      <c r="X567" s="0" t="s">
        <v>5585</v>
      </c>
      <c r="Y567" s="0" t="s">
        <v>240</v>
      </c>
      <c r="Z567" s="0" t="s">
        <v>152</v>
      </c>
      <c r="AA567" s="0" t="s">
        <v>152</v>
      </c>
      <c r="AB567" s="0" t="s">
        <v>161</v>
      </c>
      <c r="AC567" s="0" t="s">
        <v>2985</v>
      </c>
      <c r="AD567" s="0" t="s">
        <v>2985</v>
      </c>
      <c r="AE567" s="0" t="s">
        <v>2986</v>
      </c>
      <c r="AF567" s="0" t="s">
        <v>5609</v>
      </c>
      <c r="AG567" s="0" t="s">
        <v>5610</v>
      </c>
      <c r="AH567" s="0" t="s">
        <v>5609</v>
      </c>
      <c r="AI567" s="0" t="s">
        <v>5644</v>
      </c>
      <c r="AJ567" s="0" t="s">
        <v>240</v>
      </c>
      <c r="AK567" s="0" t="s">
        <v>240</v>
      </c>
      <c r="AL567" s="0" t="s">
        <v>240</v>
      </c>
      <c r="AM567" s="0" t="s">
        <v>240</v>
      </c>
      <c r="AN567" s="0" t="s">
        <v>240</v>
      </c>
      <c r="AO567" s="0" t="s">
        <v>240</v>
      </c>
      <c r="AP567" s="0" t="s">
        <v>240</v>
      </c>
      <c r="AQ567" s="0" t="s">
        <v>240</v>
      </c>
      <c r="AR567" s="0" t="s">
        <v>240</v>
      </c>
      <c r="AS567" s="0" t="s">
        <v>240</v>
      </c>
      <c r="AT567" s="0" t="s">
        <v>240</v>
      </c>
      <c r="AU567" s="0" t="s">
        <v>240</v>
      </c>
      <c r="AV567" s="0" t="s">
        <v>240</v>
      </c>
      <c r="AW567" s="0" t="s">
        <v>240</v>
      </c>
      <c r="AX567" s="0" t="s">
        <v>240</v>
      </c>
      <c r="AY567" s="0" t="s">
        <v>240</v>
      </c>
      <c r="AZ567" s="0" t="s">
        <v>240</v>
      </c>
      <c r="BA567" s="0" t="s">
        <v>240</v>
      </c>
      <c r="BB567" s="0" t="s">
        <v>240</v>
      </c>
      <c r="BC567" s="0" t="s">
        <v>240</v>
      </c>
      <c r="BD567" s="0" t="s">
        <v>240</v>
      </c>
      <c r="BE567" s="0" t="s">
        <v>5645</v>
      </c>
      <c r="BF567" s="0" t="s">
        <v>5645</v>
      </c>
      <c r="BG567" s="0" t="s">
        <v>112</v>
      </c>
      <c r="BH567" s="0" t="s">
        <v>5589</v>
      </c>
      <c r="BI567" s="0" t="s">
        <v>123</v>
      </c>
      <c r="BJ567" s="0" t="s">
        <v>240</v>
      </c>
      <c r="BK567" s="0" t="s">
        <v>5608</v>
      </c>
      <c r="BL567" s="0" t="s">
        <v>2985</v>
      </c>
      <c r="BM567" s="0" t="s">
        <v>2985</v>
      </c>
      <c r="BN567" s="0" t="s">
        <v>5646</v>
      </c>
      <c r="BO567" s="0" t="s">
        <v>5609</v>
      </c>
      <c r="BP567" s="0" t="s">
        <v>6076</v>
      </c>
      <c r="BQ567" s="0" t="s">
        <v>6077</v>
      </c>
      <c r="BR567" s="0" t="s">
        <v>5612</v>
      </c>
      <c r="BS567" s="0" t="s">
        <v>240</v>
      </c>
      <c r="BT567" s="0" t="s">
        <v>5650</v>
      </c>
      <c r="BU567" s="0" t="s">
        <v>6078</v>
      </c>
      <c r="BV567" s="0" t="s">
        <v>6078</v>
      </c>
      <c r="BW567" s="0" t="s">
        <v>5598</v>
      </c>
      <c r="BX567" s="0" t="s">
        <v>5598</v>
      </c>
      <c r="BY567" s="0" t="s">
        <v>5598</v>
      </c>
      <c r="BZ567" s="0" t="s">
        <v>5598</v>
      </c>
      <c r="CA567" s="0" t="s">
        <v>5598</v>
      </c>
      <c r="CB567" s="0" t="s">
        <v>240</v>
      </c>
      <c r="CC567" s="0" t="s">
        <v>240</v>
      </c>
      <c r="CD567" s="0" t="s">
        <v>240</v>
      </c>
      <c r="CE567" s="0" t="s">
        <v>240</v>
      </c>
      <c r="CF567" s="0" t="s">
        <v>240</v>
      </c>
      <c r="CG567" s="0" t="s">
        <v>5598</v>
      </c>
      <c r="CH567" s="0" t="s">
        <v>240</v>
      </c>
      <c r="CI567" s="0" t="s">
        <v>240</v>
      </c>
      <c r="CJ567" s="0" t="s">
        <v>240</v>
      </c>
      <c r="CK567" s="0" t="s">
        <v>240</v>
      </c>
      <c r="CL567" s="0" t="s">
        <v>240</v>
      </c>
      <c r="CM567" s="0" t="s">
        <v>6078</v>
      </c>
      <c r="CN567" s="0" t="s">
        <v>6078</v>
      </c>
      <c r="CO567" s="0" t="s">
        <v>240</v>
      </c>
      <c r="CP567" s="0" t="s">
        <v>240</v>
      </c>
      <c r="CQ567" s="0" t="s">
        <v>240</v>
      </c>
      <c r="CR567" s="0" t="s">
        <v>240</v>
      </c>
      <c r="CS567" s="0" t="s">
        <v>5507</v>
      </c>
      <c r="CT567" s="0" t="s">
        <v>5496</v>
      </c>
      <c r="CU567" s="0" t="s">
        <v>5497</v>
      </c>
      <c r="CV567" s="0" t="s">
        <v>443</v>
      </c>
      <c r="CW567" s="0" t="s">
        <v>5509</v>
      </c>
      <c r="CX567" s="0" t="s">
        <v>229</v>
      </c>
      <c r="CY567" s="0" t="s">
        <v>443</v>
      </c>
      <c r="CZ567" s="0" t="s">
        <v>5510</v>
      </c>
      <c r="DA567" s="0" t="s">
        <v>5511</v>
      </c>
      <c r="DB567" s="0" t="s">
        <v>5509</v>
      </c>
      <c r="DC567" s="0" t="s">
        <v>384</v>
      </c>
      <c r="DD567" s="0" t="s">
        <v>291</v>
      </c>
      <c r="DE567" s="0" t="s">
        <v>6079</v>
      </c>
    </row>
    <row customHeight="1" ht="11.25">
      <c r="A568" s="1441" t="s">
        <v>240</v>
      </c>
      <c r="B568" s="0" t="s">
        <v>240</v>
      </c>
      <c r="C568" s="0" t="s">
        <v>240</v>
      </c>
      <c r="D568" s="0" t="s">
        <v>240</v>
      </c>
      <c r="E568" s="0" t="s">
        <v>240</v>
      </c>
      <c r="F568" s="0" t="s">
        <v>240</v>
      </c>
      <c r="G568" s="0" t="s">
        <v>240</v>
      </c>
      <c r="H568" s="0" t="s">
        <v>240</v>
      </c>
      <c r="I568" s="0" t="s">
        <v>5484</v>
      </c>
      <c r="J568" s="0" t="s">
        <v>240</v>
      </c>
      <c r="K568" s="0" t="s">
        <v>240</v>
      </c>
      <c r="L568" s="0" t="s">
        <v>240</v>
      </c>
      <c r="M568" s="0" t="s">
        <v>240</v>
      </c>
      <c r="N568" s="0" t="s">
        <v>240</v>
      </c>
      <c r="O568" s="0" t="s">
        <v>240</v>
      </c>
      <c r="P568" s="0" t="s">
        <v>240</v>
      </c>
      <c r="Q568" s="0" t="s">
        <v>240</v>
      </c>
      <c r="R568" s="0" t="s">
        <v>6266</v>
      </c>
      <c r="S568" s="0" t="s">
        <v>240</v>
      </c>
      <c r="T568" s="0" t="s">
        <v>240</v>
      </c>
      <c r="U568" s="0" t="s">
        <v>102</v>
      </c>
      <c r="V568" s="0" t="s">
        <v>240</v>
      </c>
      <c r="W568" s="0" t="s">
        <v>240</v>
      </c>
      <c r="X568" s="0" t="s">
        <v>5485</v>
      </c>
      <c r="Y568" s="0" t="s">
        <v>240</v>
      </c>
      <c r="Z568" s="0" t="s">
        <v>161</v>
      </c>
      <c r="AA568" s="0" t="s">
        <v>152</v>
      </c>
      <c r="AB568" s="0" t="s">
        <v>152</v>
      </c>
      <c r="AC568" s="0" t="s">
        <v>2985</v>
      </c>
      <c r="AD568" s="0" t="s">
        <v>2985</v>
      </c>
      <c r="AE568" s="0" t="s">
        <v>2986</v>
      </c>
      <c r="AF568" s="0" t="s">
        <v>5609</v>
      </c>
      <c r="AG568" s="0" t="s">
        <v>5610</v>
      </c>
      <c r="AH568" s="0" t="s">
        <v>5502</v>
      </c>
      <c r="AI568" s="0" t="s">
        <v>6267</v>
      </c>
      <c r="AJ568" s="0" t="s">
        <v>6268</v>
      </c>
      <c r="AK568" s="0" t="s">
        <v>5731</v>
      </c>
      <c r="AL568" s="0" t="s">
        <v>5506</v>
      </c>
      <c r="AM568" s="0" t="s">
        <v>5493</v>
      </c>
      <c r="AN568" s="0" t="s">
        <v>5507</v>
      </c>
      <c r="AO568" s="0" t="s">
        <v>5613</v>
      </c>
      <c r="AP568" s="0" t="s">
        <v>240</v>
      </c>
      <c r="AQ568" s="0" t="s">
        <v>240</v>
      </c>
      <c r="AR568" s="0" t="s">
        <v>240</v>
      </c>
      <c r="AS568" s="0" t="s">
        <v>240</v>
      </c>
      <c r="AT568" s="0" t="s">
        <v>240</v>
      </c>
      <c r="AU568" s="0" t="s">
        <v>240</v>
      </c>
      <c r="AV568" s="0" t="s">
        <v>240</v>
      </c>
      <c r="AW568" s="0" t="s">
        <v>240</v>
      </c>
      <c r="AX568" s="0" t="s">
        <v>240</v>
      </c>
      <c r="AY568" s="0" t="s">
        <v>240</v>
      </c>
      <c r="AZ568" s="0" t="s">
        <v>240</v>
      </c>
      <c r="BA568" s="0" t="s">
        <v>240</v>
      </c>
      <c r="BB568" s="0" t="s">
        <v>240</v>
      </c>
      <c r="BC568" s="0" t="s">
        <v>240</v>
      </c>
      <c r="BD568" s="0" t="s">
        <v>240</v>
      </c>
      <c r="BE568" s="0" t="s">
        <v>240</v>
      </c>
      <c r="BF568" s="0" t="s">
        <v>240</v>
      </c>
      <c r="BG568" s="0" t="s">
        <v>240</v>
      </c>
      <c r="BH568" s="0" t="s">
        <v>240</v>
      </c>
      <c r="BI568" s="0" t="s">
        <v>240</v>
      </c>
      <c r="BJ568" s="0" t="s">
        <v>240</v>
      </c>
      <c r="BK568" s="0" t="s">
        <v>240</v>
      </c>
      <c r="BL568" s="0" t="s">
        <v>240</v>
      </c>
      <c r="BM568" s="0" t="s">
        <v>240</v>
      </c>
      <c r="BN568" s="0" t="s">
        <v>240</v>
      </c>
      <c r="BO568" s="0" t="s">
        <v>240</v>
      </c>
      <c r="BP568" s="0" t="s">
        <v>240</v>
      </c>
      <c r="BQ568" s="0" t="s">
        <v>240</v>
      </c>
      <c r="BR568" s="0" t="s">
        <v>240</v>
      </c>
      <c r="BS568" s="0" t="s">
        <v>240</v>
      </c>
      <c r="BT568" s="0" t="s">
        <v>240</v>
      </c>
      <c r="BU568" s="0" t="s">
        <v>240</v>
      </c>
      <c r="BV568" s="0" t="s">
        <v>240</v>
      </c>
      <c r="BW568" s="0" t="s">
        <v>240</v>
      </c>
      <c r="BX568" s="0" t="s">
        <v>240</v>
      </c>
      <c r="BY568" s="0" t="s">
        <v>240</v>
      </c>
      <c r="BZ568" s="0" t="s">
        <v>240</v>
      </c>
      <c r="CA568" s="0" t="s">
        <v>240</v>
      </c>
      <c r="CB568" s="0" t="s">
        <v>240</v>
      </c>
      <c r="CC568" s="0" t="s">
        <v>240</v>
      </c>
      <c r="CD568" s="0" t="s">
        <v>240</v>
      </c>
      <c r="CE568" s="0" t="s">
        <v>240</v>
      </c>
      <c r="CF568" s="0" t="s">
        <v>240</v>
      </c>
      <c r="CG568" s="0" t="s">
        <v>240</v>
      </c>
      <c r="CH568" s="0" t="s">
        <v>240</v>
      </c>
      <c r="CI568" s="0" t="s">
        <v>240</v>
      </c>
      <c r="CJ568" s="0" t="s">
        <v>240</v>
      </c>
      <c r="CK568" s="0" t="s">
        <v>240</v>
      </c>
      <c r="CL568" s="0" t="s">
        <v>240</v>
      </c>
      <c r="CM568" s="0" t="s">
        <v>240</v>
      </c>
      <c r="CN568" s="0" t="s">
        <v>240</v>
      </c>
      <c r="CO568" s="0" t="s">
        <v>240</v>
      </c>
      <c r="CP568" s="0" t="s">
        <v>240</v>
      </c>
      <c r="CQ568" s="0" t="s">
        <v>240</v>
      </c>
      <c r="CR568" s="0" t="s">
        <v>240</v>
      </c>
      <c r="CS568" s="0" t="s">
        <v>240</v>
      </c>
      <c r="CT568" s="0" t="s">
        <v>5496</v>
      </c>
      <c r="CU568" s="0" t="s">
        <v>5497</v>
      </c>
      <c r="CV568" s="0" t="s">
        <v>443</v>
      </c>
      <c r="CW568" s="0" t="s">
        <v>5509</v>
      </c>
      <c r="CX568" s="0" t="s">
        <v>229</v>
      </c>
      <c r="CY568" s="0" t="s">
        <v>443</v>
      </c>
      <c r="CZ568" s="0" t="s">
        <v>5510</v>
      </c>
      <c r="DA568" s="0" t="s">
        <v>5511</v>
      </c>
      <c r="DB568" s="0" t="s">
        <v>5509</v>
      </c>
      <c r="DC568" s="0" t="s">
        <v>384</v>
      </c>
      <c r="DD568" s="0" t="s">
        <v>291</v>
      </c>
      <c r="DE568" s="0" t="s">
        <v>6269</v>
      </c>
    </row>
    <row customHeight="1" ht="11.25">
      <c r="A569" s="1441" t="s">
        <v>240</v>
      </c>
      <c r="B569" s="0" t="s">
        <v>240</v>
      </c>
      <c r="C569" s="0" t="s">
        <v>240</v>
      </c>
      <c r="D569" s="0" t="s">
        <v>240</v>
      </c>
      <c r="E569" s="0" t="s">
        <v>240</v>
      </c>
      <c r="F569" s="0" t="s">
        <v>240</v>
      </c>
      <c r="G569" s="0" t="s">
        <v>240</v>
      </c>
      <c r="H569" s="0" t="s">
        <v>240</v>
      </c>
      <c r="I569" s="0" t="s">
        <v>5484</v>
      </c>
      <c r="J569" s="0" t="s">
        <v>240</v>
      </c>
      <c r="K569" s="0" t="s">
        <v>240</v>
      </c>
      <c r="L569" s="0" t="s">
        <v>240</v>
      </c>
      <c r="M569" s="0" t="s">
        <v>240</v>
      </c>
      <c r="N569" s="0" t="s">
        <v>240</v>
      </c>
      <c r="O569" s="0" t="s">
        <v>240</v>
      </c>
      <c r="P569" s="0" t="s">
        <v>240</v>
      </c>
      <c r="Q569" s="0" t="s">
        <v>240</v>
      </c>
      <c r="R569" s="0" t="s">
        <v>6322</v>
      </c>
      <c r="S569" s="0" t="s">
        <v>240</v>
      </c>
      <c r="T569" s="0" t="s">
        <v>240</v>
      </c>
      <c r="U569" s="0" t="s">
        <v>102</v>
      </c>
      <c r="V569" s="0" t="s">
        <v>240</v>
      </c>
      <c r="W569" s="0" t="s">
        <v>240</v>
      </c>
      <c r="X569" s="0" t="s">
        <v>5585</v>
      </c>
      <c r="Y569" s="0" t="s">
        <v>240</v>
      </c>
      <c r="Z569" s="0" t="s">
        <v>152</v>
      </c>
      <c r="AA569" s="0" t="s">
        <v>152</v>
      </c>
      <c r="AB569" s="0" t="s">
        <v>161</v>
      </c>
      <c r="AC569" s="0" t="s">
        <v>2985</v>
      </c>
      <c r="AD569" s="0" t="s">
        <v>2985</v>
      </c>
      <c r="AE569" s="0" t="s">
        <v>2986</v>
      </c>
      <c r="AF569" s="0" t="s">
        <v>6323</v>
      </c>
      <c r="AG569" s="0" t="s">
        <v>6324</v>
      </c>
      <c r="AH569" s="0" t="s">
        <v>6325</v>
      </c>
      <c r="AI569" s="0" t="s">
        <v>6326</v>
      </c>
      <c r="AJ569" s="0" t="s">
        <v>240</v>
      </c>
      <c r="AK569" s="0" t="s">
        <v>240</v>
      </c>
      <c r="AL569" s="0" t="s">
        <v>240</v>
      </c>
      <c r="AM569" s="0" t="s">
        <v>240</v>
      </c>
      <c r="AN569" s="0" t="s">
        <v>240</v>
      </c>
      <c r="AO569" s="0" t="s">
        <v>240</v>
      </c>
      <c r="AP569" s="0" t="s">
        <v>240</v>
      </c>
      <c r="AQ569" s="0" t="s">
        <v>240</v>
      </c>
      <c r="AR569" s="0" t="s">
        <v>240</v>
      </c>
      <c r="AS569" s="0" t="s">
        <v>240</v>
      </c>
      <c r="AT569" s="0" t="s">
        <v>240</v>
      </c>
      <c r="AU569" s="0" t="s">
        <v>240</v>
      </c>
      <c r="AV569" s="0" t="s">
        <v>240</v>
      </c>
      <c r="AW569" s="0" t="s">
        <v>240</v>
      </c>
      <c r="AX569" s="0" t="s">
        <v>240</v>
      </c>
      <c r="AY569" s="0" t="s">
        <v>240</v>
      </c>
      <c r="AZ569" s="0" t="s">
        <v>240</v>
      </c>
      <c r="BA569" s="0" t="s">
        <v>240</v>
      </c>
      <c r="BB569" s="0" t="s">
        <v>240</v>
      </c>
      <c r="BC569" s="0" t="s">
        <v>240</v>
      </c>
      <c r="BD569" s="0" t="s">
        <v>240</v>
      </c>
      <c r="BE569" s="0" t="s">
        <v>5645</v>
      </c>
      <c r="BF569" s="0" t="s">
        <v>5645</v>
      </c>
      <c r="BG569" s="0" t="s">
        <v>112</v>
      </c>
      <c r="BH569" s="0" t="s">
        <v>5589</v>
      </c>
      <c r="BI569" s="0" t="s">
        <v>123</v>
      </c>
      <c r="BJ569" s="0" t="s">
        <v>240</v>
      </c>
      <c r="BK569" s="0" t="s">
        <v>5608</v>
      </c>
      <c r="BL569" s="0" t="s">
        <v>2985</v>
      </c>
      <c r="BM569" s="0" t="s">
        <v>2985</v>
      </c>
      <c r="BN569" s="0" t="s">
        <v>5646</v>
      </c>
      <c r="BO569" s="0" t="s">
        <v>6323</v>
      </c>
      <c r="BP569" s="0" t="s">
        <v>6327</v>
      </c>
      <c r="BQ569" s="0" t="s">
        <v>6328</v>
      </c>
      <c r="BR569" s="0" t="s">
        <v>6329</v>
      </c>
      <c r="BS569" s="0" t="s">
        <v>240</v>
      </c>
      <c r="BT569" s="0" t="s">
        <v>5650</v>
      </c>
      <c r="BU569" s="0" t="s">
        <v>6330</v>
      </c>
      <c r="BV569" s="0" t="s">
        <v>6330</v>
      </c>
      <c r="BW569" s="0" t="s">
        <v>5598</v>
      </c>
      <c r="BX569" s="0" t="s">
        <v>5598</v>
      </c>
      <c r="BY569" s="0" t="s">
        <v>5598</v>
      </c>
      <c r="BZ569" s="0" t="s">
        <v>5598</v>
      </c>
      <c r="CA569" s="0" t="s">
        <v>5598</v>
      </c>
      <c r="CB569" s="0" t="s">
        <v>240</v>
      </c>
      <c r="CC569" s="0" t="s">
        <v>240</v>
      </c>
      <c r="CD569" s="0" t="s">
        <v>240</v>
      </c>
      <c r="CE569" s="0" t="s">
        <v>240</v>
      </c>
      <c r="CF569" s="0" t="s">
        <v>240</v>
      </c>
      <c r="CG569" s="0" t="s">
        <v>5598</v>
      </c>
      <c r="CH569" s="0" t="s">
        <v>240</v>
      </c>
      <c r="CI569" s="0" t="s">
        <v>240</v>
      </c>
      <c r="CJ569" s="0" t="s">
        <v>240</v>
      </c>
      <c r="CK569" s="0" t="s">
        <v>240</v>
      </c>
      <c r="CL569" s="0" t="s">
        <v>240</v>
      </c>
      <c r="CM569" s="0" t="s">
        <v>6330</v>
      </c>
      <c r="CN569" s="0" t="s">
        <v>6330</v>
      </c>
      <c r="CO569" s="0" t="s">
        <v>240</v>
      </c>
      <c r="CP569" s="0" t="s">
        <v>240</v>
      </c>
      <c r="CQ569" s="0" t="s">
        <v>240</v>
      </c>
      <c r="CR569" s="0" t="s">
        <v>240</v>
      </c>
      <c r="CS569" s="0" t="s">
        <v>5507</v>
      </c>
      <c r="CT569" s="0" t="s">
        <v>5496</v>
      </c>
      <c r="CU569" s="0" t="s">
        <v>5497</v>
      </c>
      <c r="CV569" s="0" t="s">
        <v>443</v>
      </c>
      <c r="CW569" s="0" t="s">
        <v>5509</v>
      </c>
      <c r="CX569" s="0" t="s">
        <v>229</v>
      </c>
      <c r="CY569" s="0" t="s">
        <v>443</v>
      </c>
      <c r="CZ569" s="0" t="s">
        <v>5510</v>
      </c>
      <c r="DA569" s="0" t="s">
        <v>5511</v>
      </c>
      <c r="DB569" s="0" t="s">
        <v>5509</v>
      </c>
      <c r="DC569" s="0" t="s">
        <v>384</v>
      </c>
      <c r="DD569" s="0" t="s">
        <v>291</v>
      </c>
      <c r="DE569" s="0" t="s">
        <v>6331</v>
      </c>
    </row>
    <row customHeight="1" ht="11.25">
      <c r="A570" s="1441" t="s">
        <v>240</v>
      </c>
      <c r="B570" s="0" t="s">
        <v>240</v>
      </c>
      <c r="C570" s="0" t="s">
        <v>240</v>
      </c>
      <c r="D570" s="0" t="s">
        <v>240</v>
      </c>
      <c r="E570" s="0" t="s">
        <v>240</v>
      </c>
      <c r="F570" s="0" t="s">
        <v>240</v>
      </c>
      <c r="G570" s="0" t="s">
        <v>240</v>
      </c>
      <c r="H570" s="0" t="s">
        <v>240</v>
      </c>
      <c r="I570" s="0" t="s">
        <v>5484</v>
      </c>
      <c r="J570" s="0" t="s">
        <v>240</v>
      </c>
      <c r="K570" s="0" t="s">
        <v>240</v>
      </c>
      <c r="L570" s="0" t="s">
        <v>240</v>
      </c>
      <c r="M570" s="0" t="s">
        <v>240</v>
      </c>
      <c r="N570" s="0" t="s">
        <v>240</v>
      </c>
      <c r="O570" s="0" t="s">
        <v>240</v>
      </c>
      <c r="P570" s="0" t="s">
        <v>240</v>
      </c>
      <c r="Q570" s="0" t="s">
        <v>240</v>
      </c>
      <c r="R570" s="0" t="s">
        <v>5485</v>
      </c>
      <c r="S570" s="0" t="s">
        <v>240</v>
      </c>
      <c r="T570" s="0" t="s">
        <v>240</v>
      </c>
      <c r="U570" s="0" t="s">
        <v>102</v>
      </c>
      <c r="V570" s="0" t="s">
        <v>240</v>
      </c>
      <c r="W570" s="0" t="s">
        <v>240</v>
      </c>
      <c r="X570" s="0" t="s">
        <v>5485</v>
      </c>
      <c r="Y570" s="0" t="s">
        <v>240</v>
      </c>
      <c r="Z570" s="0" t="s">
        <v>161</v>
      </c>
      <c r="AA570" s="0" t="s">
        <v>152</v>
      </c>
      <c r="AB570" s="0" t="s">
        <v>152</v>
      </c>
      <c r="AC570" s="0" t="s">
        <v>2991</v>
      </c>
      <c r="AD570" s="0" t="s">
        <v>2991</v>
      </c>
      <c r="AE570" s="0" t="s">
        <v>2992</v>
      </c>
      <c r="AF570" s="0" t="s">
        <v>5749</v>
      </c>
      <c r="AG570" s="0" t="s">
        <v>5750</v>
      </c>
      <c r="AH570" s="0" t="s">
        <v>5684</v>
      </c>
      <c r="AI570" s="0" t="s">
        <v>6306</v>
      </c>
      <c r="AJ570" s="0" t="s">
        <v>5578</v>
      </c>
      <c r="AK570" s="0" t="s">
        <v>5545</v>
      </c>
      <c r="AL570" s="0" t="s">
        <v>6109</v>
      </c>
      <c r="AM570" s="0" t="s">
        <v>5493</v>
      </c>
      <c r="AN570" s="0" t="s">
        <v>5553</v>
      </c>
      <c r="AO570" s="0" t="s">
        <v>5752</v>
      </c>
      <c r="AP570" s="0" t="s">
        <v>240</v>
      </c>
      <c r="AQ570" s="0" t="s">
        <v>240</v>
      </c>
      <c r="AR570" s="0" t="s">
        <v>240</v>
      </c>
      <c r="AS570" s="0" t="s">
        <v>240</v>
      </c>
      <c r="AT570" s="0" t="s">
        <v>240</v>
      </c>
      <c r="AU570" s="0" t="s">
        <v>240</v>
      </c>
      <c r="AV570" s="0" t="s">
        <v>240</v>
      </c>
      <c r="AW570" s="0" t="s">
        <v>240</v>
      </c>
      <c r="AX570" s="0" t="s">
        <v>240</v>
      </c>
      <c r="AY570" s="0" t="s">
        <v>240</v>
      </c>
      <c r="AZ570" s="0" t="s">
        <v>240</v>
      </c>
      <c r="BA570" s="0" t="s">
        <v>240</v>
      </c>
      <c r="BB570" s="0" t="s">
        <v>240</v>
      </c>
      <c r="BC570" s="0" t="s">
        <v>240</v>
      </c>
      <c r="BD570" s="0" t="s">
        <v>240</v>
      </c>
      <c r="BE570" s="0" t="s">
        <v>240</v>
      </c>
      <c r="BF570" s="0" t="s">
        <v>240</v>
      </c>
      <c r="BG570" s="0" t="s">
        <v>240</v>
      </c>
      <c r="BH570" s="0" t="s">
        <v>240</v>
      </c>
      <c r="BI570" s="0" t="s">
        <v>240</v>
      </c>
      <c r="BJ570" s="0" t="s">
        <v>240</v>
      </c>
      <c r="BK570" s="0" t="s">
        <v>240</v>
      </c>
      <c r="BL570" s="0" t="s">
        <v>240</v>
      </c>
      <c r="BM570" s="0" t="s">
        <v>240</v>
      </c>
      <c r="BN570" s="0" t="s">
        <v>240</v>
      </c>
      <c r="BO570" s="0" t="s">
        <v>240</v>
      </c>
      <c r="BP570" s="0" t="s">
        <v>240</v>
      </c>
      <c r="BQ570" s="0" t="s">
        <v>240</v>
      </c>
      <c r="BR570" s="0" t="s">
        <v>240</v>
      </c>
      <c r="BS570" s="0" t="s">
        <v>240</v>
      </c>
      <c r="BT570" s="0" t="s">
        <v>240</v>
      </c>
      <c r="BU570" s="0" t="s">
        <v>240</v>
      </c>
      <c r="BV570" s="0" t="s">
        <v>240</v>
      </c>
      <c r="BW570" s="0" t="s">
        <v>240</v>
      </c>
      <c r="BX570" s="0" t="s">
        <v>240</v>
      </c>
      <c r="BY570" s="0" t="s">
        <v>240</v>
      </c>
      <c r="BZ570" s="0" t="s">
        <v>240</v>
      </c>
      <c r="CA570" s="0" t="s">
        <v>240</v>
      </c>
      <c r="CB570" s="0" t="s">
        <v>240</v>
      </c>
      <c r="CC570" s="0" t="s">
        <v>240</v>
      </c>
      <c r="CD570" s="0" t="s">
        <v>240</v>
      </c>
      <c r="CE570" s="0" t="s">
        <v>240</v>
      </c>
      <c r="CF570" s="0" t="s">
        <v>240</v>
      </c>
      <c r="CG570" s="0" t="s">
        <v>240</v>
      </c>
      <c r="CH570" s="0" t="s">
        <v>240</v>
      </c>
      <c r="CI570" s="0" t="s">
        <v>240</v>
      </c>
      <c r="CJ570" s="0" t="s">
        <v>240</v>
      </c>
      <c r="CK570" s="0" t="s">
        <v>240</v>
      </c>
      <c r="CL570" s="0" t="s">
        <v>240</v>
      </c>
      <c r="CM570" s="0" t="s">
        <v>240</v>
      </c>
      <c r="CN570" s="0" t="s">
        <v>240</v>
      </c>
      <c r="CO570" s="0" t="s">
        <v>240</v>
      </c>
      <c r="CP570" s="0" t="s">
        <v>240</v>
      </c>
      <c r="CQ570" s="0" t="s">
        <v>240</v>
      </c>
      <c r="CR570" s="0" t="s">
        <v>240</v>
      </c>
      <c r="CS570" s="0" t="s">
        <v>240</v>
      </c>
      <c r="CT570" s="0" t="s">
        <v>5496</v>
      </c>
      <c r="CU570" s="0" t="s">
        <v>5497</v>
      </c>
      <c r="CV570" s="0" t="s">
        <v>443</v>
      </c>
      <c r="CW570" s="0" t="s">
        <v>5547</v>
      </c>
      <c r="CX570" s="0" t="s">
        <v>229</v>
      </c>
      <c r="CY570" s="0" t="s">
        <v>443</v>
      </c>
      <c r="CZ570" s="0" t="s">
        <v>5548</v>
      </c>
      <c r="DA570" s="0" t="s">
        <v>5549</v>
      </c>
      <c r="DB570" s="0" t="s">
        <v>5547</v>
      </c>
      <c r="DC570" s="0" t="s">
        <v>384</v>
      </c>
      <c r="DD570" s="0" t="s">
        <v>291</v>
      </c>
      <c r="DE570" s="0" t="s">
        <v>6307</v>
      </c>
    </row>
    <row customHeight="1" ht="11.25">
      <c r="A571" s="1441" t="s">
        <v>240</v>
      </c>
      <c r="B571" s="0" t="s">
        <v>240</v>
      </c>
      <c r="C571" s="0" t="s">
        <v>240</v>
      </c>
      <c r="D571" s="0" t="s">
        <v>240</v>
      </c>
      <c r="E571" s="0" t="s">
        <v>240</v>
      </c>
      <c r="F571" s="0" t="s">
        <v>240</v>
      </c>
      <c r="G571" s="0" t="s">
        <v>240</v>
      </c>
      <c r="H571" s="0" t="s">
        <v>240</v>
      </c>
      <c r="I571" s="0" t="s">
        <v>5484</v>
      </c>
      <c r="J571" s="0" t="s">
        <v>240</v>
      </c>
      <c r="K571" s="0" t="s">
        <v>240</v>
      </c>
      <c r="L571" s="0" t="s">
        <v>240</v>
      </c>
      <c r="M571" s="0" t="s">
        <v>240</v>
      </c>
      <c r="N571" s="0" t="s">
        <v>240</v>
      </c>
      <c r="O571" s="0" t="s">
        <v>240</v>
      </c>
      <c r="P571" s="0" t="s">
        <v>240</v>
      </c>
      <c r="Q571" s="0" t="s">
        <v>240</v>
      </c>
      <c r="R571" s="0" t="s">
        <v>6490</v>
      </c>
      <c r="S571" s="0" t="s">
        <v>240</v>
      </c>
      <c r="T571" s="0" t="s">
        <v>240</v>
      </c>
      <c r="U571" s="0" t="s">
        <v>102</v>
      </c>
      <c r="V571" s="0" t="s">
        <v>240</v>
      </c>
      <c r="W571" s="0" t="s">
        <v>240</v>
      </c>
      <c r="X571" s="0" t="s">
        <v>5485</v>
      </c>
      <c r="Y571" s="0" t="s">
        <v>240</v>
      </c>
      <c r="Z571" s="0" t="s">
        <v>161</v>
      </c>
      <c r="AA571" s="0" t="s">
        <v>152</v>
      </c>
      <c r="AB571" s="0" t="s">
        <v>152</v>
      </c>
      <c r="AC571" s="0" t="s">
        <v>2991</v>
      </c>
      <c r="AD571" s="0" t="s">
        <v>2991</v>
      </c>
      <c r="AE571" s="0" t="s">
        <v>2992</v>
      </c>
      <c r="AF571" s="0" t="s">
        <v>5749</v>
      </c>
      <c r="AG571" s="0" t="s">
        <v>5750</v>
      </c>
      <c r="AH571" s="0" t="s">
        <v>6491</v>
      </c>
      <c r="AI571" s="0" t="s">
        <v>5575</v>
      </c>
      <c r="AJ571" s="0" t="s">
        <v>5578</v>
      </c>
      <c r="AK571" s="0" t="s">
        <v>5822</v>
      </c>
      <c r="AL571" s="0" t="s">
        <v>6109</v>
      </c>
      <c r="AM571" s="0" t="s">
        <v>5493</v>
      </c>
      <c r="AN571" s="0" t="s">
        <v>5553</v>
      </c>
      <c r="AO571" s="0" t="s">
        <v>6492</v>
      </c>
      <c r="AP571" s="0" t="s">
        <v>240</v>
      </c>
      <c r="AQ571" s="0" t="s">
        <v>240</v>
      </c>
      <c r="AR571" s="0" t="s">
        <v>240</v>
      </c>
      <c r="AS571" s="0" t="s">
        <v>240</v>
      </c>
      <c r="AT571" s="0" t="s">
        <v>240</v>
      </c>
      <c r="AU571" s="0" t="s">
        <v>240</v>
      </c>
      <c r="AV571" s="0" t="s">
        <v>240</v>
      </c>
      <c r="AW571" s="0" t="s">
        <v>240</v>
      </c>
      <c r="AX571" s="0" t="s">
        <v>240</v>
      </c>
      <c r="AY571" s="0" t="s">
        <v>240</v>
      </c>
      <c r="AZ571" s="0" t="s">
        <v>240</v>
      </c>
      <c r="BA571" s="0" t="s">
        <v>240</v>
      </c>
      <c r="BB571" s="0" t="s">
        <v>240</v>
      </c>
      <c r="BC571" s="0" t="s">
        <v>240</v>
      </c>
      <c r="BD571" s="0" t="s">
        <v>240</v>
      </c>
      <c r="BE571" s="0" t="s">
        <v>240</v>
      </c>
      <c r="BF571" s="0" t="s">
        <v>240</v>
      </c>
      <c r="BG571" s="0" t="s">
        <v>240</v>
      </c>
      <c r="BH571" s="0" t="s">
        <v>240</v>
      </c>
      <c r="BI571" s="0" t="s">
        <v>240</v>
      </c>
      <c r="BJ571" s="0" t="s">
        <v>240</v>
      </c>
      <c r="BK571" s="0" t="s">
        <v>240</v>
      </c>
      <c r="BL571" s="0" t="s">
        <v>240</v>
      </c>
      <c r="BM571" s="0" t="s">
        <v>240</v>
      </c>
      <c r="BN571" s="0" t="s">
        <v>240</v>
      </c>
      <c r="BO571" s="0" t="s">
        <v>240</v>
      </c>
      <c r="BP571" s="0" t="s">
        <v>240</v>
      </c>
      <c r="BQ571" s="0" t="s">
        <v>240</v>
      </c>
      <c r="BR571" s="0" t="s">
        <v>240</v>
      </c>
      <c r="BS571" s="0" t="s">
        <v>240</v>
      </c>
      <c r="BT571" s="0" t="s">
        <v>240</v>
      </c>
      <c r="BU571" s="0" t="s">
        <v>240</v>
      </c>
      <c r="BV571" s="0" t="s">
        <v>240</v>
      </c>
      <c r="BW571" s="0" t="s">
        <v>240</v>
      </c>
      <c r="BX571" s="0" t="s">
        <v>240</v>
      </c>
      <c r="BY571" s="0" t="s">
        <v>240</v>
      </c>
      <c r="BZ571" s="0" t="s">
        <v>240</v>
      </c>
      <c r="CA571" s="0" t="s">
        <v>240</v>
      </c>
      <c r="CB571" s="0" t="s">
        <v>240</v>
      </c>
      <c r="CC571" s="0" t="s">
        <v>240</v>
      </c>
      <c r="CD571" s="0" t="s">
        <v>240</v>
      </c>
      <c r="CE571" s="0" t="s">
        <v>240</v>
      </c>
      <c r="CF571" s="0" t="s">
        <v>240</v>
      </c>
      <c r="CG571" s="0" t="s">
        <v>240</v>
      </c>
      <c r="CH571" s="0" t="s">
        <v>240</v>
      </c>
      <c r="CI571" s="0" t="s">
        <v>240</v>
      </c>
      <c r="CJ571" s="0" t="s">
        <v>240</v>
      </c>
      <c r="CK571" s="0" t="s">
        <v>240</v>
      </c>
      <c r="CL571" s="0" t="s">
        <v>240</v>
      </c>
      <c r="CM571" s="0" t="s">
        <v>240</v>
      </c>
      <c r="CN571" s="0" t="s">
        <v>240</v>
      </c>
      <c r="CO571" s="0" t="s">
        <v>240</v>
      </c>
      <c r="CP571" s="0" t="s">
        <v>240</v>
      </c>
      <c r="CQ571" s="0" t="s">
        <v>240</v>
      </c>
      <c r="CR571" s="0" t="s">
        <v>240</v>
      </c>
      <c r="CS571" s="0" t="s">
        <v>240</v>
      </c>
      <c r="CT571" s="0" t="s">
        <v>5496</v>
      </c>
      <c r="CU571" s="0" t="s">
        <v>5497</v>
      </c>
      <c r="CV571" s="0" t="s">
        <v>443</v>
      </c>
      <c r="CW571" s="0" t="s">
        <v>5547</v>
      </c>
      <c r="CX571" s="0" t="s">
        <v>229</v>
      </c>
      <c r="CY571" s="0" t="s">
        <v>443</v>
      </c>
      <c r="CZ571" s="0" t="s">
        <v>5548</v>
      </c>
      <c r="DA571" s="0" t="s">
        <v>5549</v>
      </c>
      <c r="DB571" s="0" t="s">
        <v>5547</v>
      </c>
      <c r="DC571" s="0" t="s">
        <v>384</v>
      </c>
      <c r="DD571" s="0" t="s">
        <v>291</v>
      </c>
      <c r="DE571" s="0" t="s">
        <v>6493</v>
      </c>
    </row>
    <row customHeight="1" ht="11.25">
      <c r="A572" s="1441" t="s">
        <v>240</v>
      </c>
      <c r="B572" s="0" t="s">
        <v>240</v>
      </c>
      <c r="C572" s="0" t="s">
        <v>240</v>
      </c>
      <c r="D572" s="0" t="s">
        <v>240</v>
      </c>
      <c r="E572" s="0" t="s">
        <v>240</v>
      </c>
      <c r="F572" s="0" t="s">
        <v>240</v>
      </c>
      <c r="G572" s="0" t="s">
        <v>240</v>
      </c>
      <c r="H572" s="0" t="s">
        <v>240</v>
      </c>
      <c r="I572" s="0" t="s">
        <v>5484</v>
      </c>
      <c r="J572" s="0" t="s">
        <v>240</v>
      </c>
      <c r="K572" s="0" t="s">
        <v>240</v>
      </c>
      <c r="L572" s="0" t="s">
        <v>240</v>
      </c>
      <c r="M572" s="0" t="s">
        <v>240</v>
      </c>
      <c r="N572" s="0" t="s">
        <v>240</v>
      </c>
      <c r="O572" s="0" t="s">
        <v>240</v>
      </c>
      <c r="P572" s="0" t="s">
        <v>240</v>
      </c>
      <c r="Q572" s="0" t="s">
        <v>240</v>
      </c>
      <c r="R572" s="0" t="s">
        <v>6560</v>
      </c>
      <c r="S572" s="0" t="s">
        <v>240</v>
      </c>
      <c r="T572" s="0" t="s">
        <v>240</v>
      </c>
      <c r="U572" s="0" t="s">
        <v>102</v>
      </c>
      <c r="V572" s="0" t="s">
        <v>240</v>
      </c>
      <c r="W572" s="0" t="s">
        <v>240</v>
      </c>
      <c r="X572" s="0" t="s">
        <v>5485</v>
      </c>
      <c r="Y572" s="0" t="s">
        <v>240</v>
      </c>
      <c r="Z572" s="0" t="s">
        <v>161</v>
      </c>
      <c r="AA572" s="0" t="s">
        <v>152</v>
      </c>
      <c r="AB572" s="0" t="s">
        <v>152</v>
      </c>
      <c r="AC572" s="0" t="s">
        <v>2991</v>
      </c>
      <c r="AD572" s="0" t="s">
        <v>2991</v>
      </c>
      <c r="AE572" s="0" t="s">
        <v>2992</v>
      </c>
      <c r="AF572" s="0" t="s">
        <v>5749</v>
      </c>
      <c r="AG572" s="0" t="s">
        <v>5750</v>
      </c>
      <c r="AH572" s="0" t="s">
        <v>6561</v>
      </c>
      <c r="AI572" s="0" t="s">
        <v>6562</v>
      </c>
      <c r="AJ572" s="0" t="s">
        <v>5578</v>
      </c>
      <c r="AK572" s="0" t="s">
        <v>5545</v>
      </c>
      <c r="AL572" s="0" t="s">
        <v>6109</v>
      </c>
      <c r="AM572" s="0" t="s">
        <v>5493</v>
      </c>
      <c r="AN572" s="0" t="s">
        <v>5553</v>
      </c>
      <c r="AO572" s="0" t="s">
        <v>5554</v>
      </c>
      <c r="AP572" s="0" t="s">
        <v>240</v>
      </c>
      <c r="AQ572" s="0" t="s">
        <v>240</v>
      </c>
      <c r="AR572" s="0" t="s">
        <v>240</v>
      </c>
      <c r="AS572" s="0" t="s">
        <v>240</v>
      </c>
      <c r="AT572" s="0" t="s">
        <v>240</v>
      </c>
      <c r="AU572" s="0" t="s">
        <v>240</v>
      </c>
      <c r="AV572" s="0" t="s">
        <v>240</v>
      </c>
      <c r="AW572" s="0" t="s">
        <v>240</v>
      </c>
      <c r="AX572" s="0" t="s">
        <v>240</v>
      </c>
      <c r="AY572" s="0" t="s">
        <v>240</v>
      </c>
      <c r="AZ572" s="0" t="s">
        <v>240</v>
      </c>
      <c r="BA572" s="0" t="s">
        <v>240</v>
      </c>
      <c r="BB572" s="0" t="s">
        <v>240</v>
      </c>
      <c r="BC572" s="0" t="s">
        <v>240</v>
      </c>
      <c r="BD572" s="0" t="s">
        <v>240</v>
      </c>
      <c r="BE572" s="0" t="s">
        <v>240</v>
      </c>
      <c r="BF572" s="0" t="s">
        <v>240</v>
      </c>
      <c r="BG572" s="0" t="s">
        <v>240</v>
      </c>
      <c r="BH572" s="0" t="s">
        <v>240</v>
      </c>
      <c r="BI572" s="0" t="s">
        <v>240</v>
      </c>
      <c r="BJ572" s="0" t="s">
        <v>240</v>
      </c>
      <c r="BK572" s="0" t="s">
        <v>240</v>
      </c>
      <c r="BL572" s="0" t="s">
        <v>240</v>
      </c>
      <c r="BM572" s="0" t="s">
        <v>240</v>
      </c>
      <c r="BN572" s="0" t="s">
        <v>240</v>
      </c>
      <c r="BO572" s="0" t="s">
        <v>240</v>
      </c>
      <c r="BP572" s="0" t="s">
        <v>240</v>
      </c>
      <c r="BQ572" s="0" t="s">
        <v>240</v>
      </c>
      <c r="BR572" s="0" t="s">
        <v>240</v>
      </c>
      <c r="BS572" s="0" t="s">
        <v>240</v>
      </c>
      <c r="BT572" s="0" t="s">
        <v>240</v>
      </c>
      <c r="BU572" s="0" t="s">
        <v>240</v>
      </c>
      <c r="BV572" s="0" t="s">
        <v>240</v>
      </c>
      <c r="BW572" s="0" t="s">
        <v>240</v>
      </c>
      <c r="BX572" s="0" t="s">
        <v>240</v>
      </c>
      <c r="BY572" s="0" t="s">
        <v>240</v>
      </c>
      <c r="BZ572" s="0" t="s">
        <v>240</v>
      </c>
      <c r="CA572" s="0" t="s">
        <v>240</v>
      </c>
      <c r="CB572" s="0" t="s">
        <v>240</v>
      </c>
      <c r="CC572" s="0" t="s">
        <v>240</v>
      </c>
      <c r="CD572" s="0" t="s">
        <v>240</v>
      </c>
      <c r="CE572" s="0" t="s">
        <v>240</v>
      </c>
      <c r="CF572" s="0" t="s">
        <v>240</v>
      </c>
      <c r="CG572" s="0" t="s">
        <v>240</v>
      </c>
      <c r="CH572" s="0" t="s">
        <v>240</v>
      </c>
      <c r="CI572" s="0" t="s">
        <v>240</v>
      </c>
      <c r="CJ572" s="0" t="s">
        <v>240</v>
      </c>
      <c r="CK572" s="0" t="s">
        <v>240</v>
      </c>
      <c r="CL572" s="0" t="s">
        <v>240</v>
      </c>
      <c r="CM572" s="0" t="s">
        <v>240</v>
      </c>
      <c r="CN572" s="0" t="s">
        <v>240</v>
      </c>
      <c r="CO572" s="0" t="s">
        <v>240</v>
      </c>
      <c r="CP572" s="0" t="s">
        <v>240</v>
      </c>
      <c r="CQ572" s="0" t="s">
        <v>240</v>
      </c>
      <c r="CR572" s="0" t="s">
        <v>240</v>
      </c>
      <c r="CS572" s="0" t="s">
        <v>240</v>
      </c>
      <c r="CT572" s="0" t="s">
        <v>5496</v>
      </c>
      <c r="CU572" s="0" t="s">
        <v>5497</v>
      </c>
      <c r="CV572" s="0" t="s">
        <v>443</v>
      </c>
      <c r="CW572" s="0" t="s">
        <v>5547</v>
      </c>
      <c r="CX572" s="0" t="s">
        <v>229</v>
      </c>
      <c r="CY572" s="0" t="s">
        <v>443</v>
      </c>
      <c r="CZ572" s="0" t="s">
        <v>5548</v>
      </c>
      <c r="DA572" s="0" t="s">
        <v>5549</v>
      </c>
      <c r="DB572" s="0" t="s">
        <v>5547</v>
      </c>
      <c r="DC572" s="0" t="s">
        <v>384</v>
      </c>
      <c r="DD572" s="0" t="s">
        <v>291</v>
      </c>
      <c r="DE572" s="0" t="s">
        <v>6563</v>
      </c>
    </row>
    <row customHeight="1" ht="11.25">
      <c r="A573" s="1441" t="s">
        <v>240</v>
      </c>
      <c r="B573" s="0" t="s">
        <v>240</v>
      </c>
      <c r="C573" s="0" t="s">
        <v>240</v>
      </c>
      <c r="D573" s="0" t="s">
        <v>240</v>
      </c>
      <c r="E573" s="0" t="s">
        <v>240</v>
      </c>
      <c r="F573" s="0" t="s">
        <v>240</v>
      </c>
      <c r="G573" s="0" t="s">
        <v>240</v>
      </c>
      <c r="H573" s="0" t="s">
        <v>240</v>
      </c>
      <c r="I573" s="0" t="s">
        <v>5484</v>
      </c>
      <c r="J573" s="0" t="s">
        <v>240</v>
      </c>
      <c r="K573" s="0" t="s">
        <v>240</v>
      </c>
      <c r="L573" s="0" t="s">
        <v>240</v>
      </c>
      <c r="M573" s="0" t="s">
        <v>240</v>
      </c>
      <c r="N573" s="0" t="s">
        <v>240</v>
      </c>
      <c r="O573" s="0" t="s">
        <v>240</v>
      </c>
      <c r="P573" s="0" t="s">
        <v>240</v>
      </c>
      <c r="Q573" s="0" t="s">
        <v>240</v>
      </c>
      <c r="R573" s="0" t="s">
        <v>6564</v>
      </c>
      <c r="S573" s="0" t="s">
        <v>240</v>
      </c>
      <c r="T573" s="0" t="s">
        <v>240</v>
      </c>
      <c r="U573" s="0" t="s">
        <v>102</v>
      </c>
      <c r="V573" s="0" t="s">
        <v>240</v>
      </c>
      <c r="W573" s="0" t="s">
        <v>240</v>
      </c>
      <c r="X573" s="0" t="s">
        <v>5585</v>
      </c>
      <c r="Y573" s="0" t="s">
        <v>240</v>
      </c>
      <c r="Z573" s="0" t="s">
        <v>152</v>
      </c>
      <c r="AA573" s="0" t="s">
        <v>152</v>
      </c>
      <c r="AB573" s="0" t="s">
        <v>161</v>
      </c>
      <c r="AC573" s="0" t="s">
        <v>2991</v>
      </c>
      <c r="AD573" s="0" t="s">
        <v>2991</v>
      </c>
      <c r="AE573" s="0" t="s">
        <v>2992</v>
      </c>
      <c r="AF573" s="0" t="s">
        <v>6314</v>
      </c>
      <c r="AG573" s="0" t="s">
        <v>6315</v>
      </c>
      <c r="AH573" s="0" t="s">
        <v>5575</v>
      </c>
      <c r="AI573" s="0" t="s">
        <v>5575</v>
      </c>
      <c r="AJ573" s="0" t="s">
        <v>240</v>
      </c>
      <c r="AK573" s="0" t="s">
        <v>240</v>
      </c>
      <c r="AL573" s="0" t="s">
        <v>240</v>
      </c>
      <c r="AM573" s="0" t="s">
        <v>240</v>
      </c>
      <c r="AN573" s="0" t="s">
        <v>240</v>
      </c>
      <c r="AO573" s="0" t="s">
        <v>240</v>
      </c>
      <c r="AP573" s="0" t="s">
        <v>240</v>
      </c>
      <c r="AQ573" s="0" t="s">
        <v>240</v>
      </c>
      <c r="AR573" s="0" t="s">
        <v>240</v>
      </c>
      <c r="AS573" s="0" t="s">
        <v>240</v>
      </c>
      <c r="AT573" s="0" t="s">
        <v>240</v>
      </c>
      <c r="AU573" s="0" t="s">
        <v>240</v>
      </c>
      <c r="AV573" s="0" t="s">
        <v>240</v>
      </c>
      <c r="AW573" s="0" t="s">
        <v>240</v>
      </c>
      <c r="AX573" s="0" t="s">
        <v>240</v>
      </c>
      <c r="AY573" s="0" t="s">
        <v>240</v>
      </c>
      <c r="AZ573" s="0" t="s">
        <v>240</v>
      </c>
      <c r="BA573" s="0" t="s">
        <v>240</v>
      </c>
      <c r="BB573" s="0" t="s">
        <v>240</v>
      </c>
      <c r="BC573" s="0" t="s">
        <v>240</v>
      </c>
      <c r="BD573" s="0" t="s">
        <v>240</v>
      </c>
      <c r="BE573" s="0" t="s">
        <v>5504</v>
      </c>
      <c r="BF573" s="0" t="s">
        <v>5544</v>
      </c>
      <c r="BG573" s="0" t="s">
        <v>112</v>
      </c>
      <c r="BH573" s="0" t="s">
        <v>5589</v>
      </c>
      <c r="BI573" s="0" t="s">
        <v>123</v>
      </c>
      <c r="BJ573" s="0" t="s">
        <v>240</v>
      </c>
      <c r="BK573" s="0" t="s">
        <v>5608</v>
      </c>
      <c r="BL573" s="0" t="s">
        <v>2991</v>
      </c>
      <c r="BM573" s="0" t="s">
        <v>2991</v>
      </c>
      <c r="BN573" s="0" t="s">
        <v>5663</v>
      </c>
      <c r="BO573" s="0" t="s">
        <v>6314</v>
      </c>
      <c r="BP573" s="0" t="s">
        <v>6565</v>
      </c>
      <c r="BQ573" s="0" t="s">
        <v>5575</v>
      </c>
      <c r="BR573" s="0" t="s">
        <v>5575</v>
      </c>
      <c r="BS573" s="0" t="s">
        <v>240</v>
      </c>
      <c r="BT573" s="0" t="s">
        <v>5650</v>
      </c>
      <c r="BU573" s="0" t="s">
        <v>6566</v>
      </c>
      <c r="BV573" s="0" t="s">
        <v>6566</v>
      </c>
      <c r="BW573" s="0" t="s">
        <v>5598</v>
      </c>
      <c r="BX573" s="0" t="s">
        <v>5598</v>
      </c>
      <c r="BY573" s="0" t="s">
        <v>5598</v>
      </c>
      <c r="BZ573" s="0" t="s">
        <v>5598</v>
      </c>
      <c r="CA573" s="0" t="s">
        <v>5598</v>
      </c>
      <c r="CB573" s="0" t="s">
        <v>240</v>
      </c>
      <c r="CC573" s="0" t="s">
        <v>240</v>
      </c>
      <c r="CD573" s="0" t="s">
        <v>240</v>
      </c>
      <c r="CE573" s="0" t="s">
        <v>240</v>
      </c>
      <c r="CF573" s="0" t="s">
        <v>240</v>
      </c>
      <c r="CG573" s="0" t="s">
        <v>5598</v>
      </c>
      <c r="CH573" s="0" t="s">
        <v>240</v>
      </c>
      <c r="CI573" s="0" t="s">
        <v>240</v>
      </c>
      <c r="CJ573" s="0" t="s">
        <v>240</v>
      </c>
      <c r="CK573" s="0" t="s">
        <v>240</v>
      </c>
      <c r="CL573" s="0" t="s">
        <v>240</v>
      </c>
      <c r="CM573" s="0" t="s">
        <v>6566</v>
      </c>
      <c r="CN573" s="0" t="s">
        <v>6566</v>
      </c>
      <c r="CO573" s="0" t="s">
        <v>240</v>
      </c>
      <c r="CP573" s="0" t="s">
        <v>240</v>
      </c>
      <c r="CQ573" s="0" t="s">
        <v>240</v>
      </c>
      <c r="CR573" s="0" t="s">
        <v>240</v>
      </c>
      <c r="CS573" s="0" t="s">
        <v>5666</v>
      </c>
      <c r="CT573" s="0" t="s">
        <v>5496</v>
      </c>
      <c r="CU573" s="0" t="s">
        <v>5497</v>
      </c>
      <c r="CV573" s="0" t="s">
        <v>443</v>
      </c>
      <c r="CW573" s="0" t="s">
        <v>5547</v>
      </c>
      <c r="CX573" s="0" t="s">
        <v>229</v>
      </c>
      <c r="CY573" s="0" t="s">
        <v>443</v>
      </c>
      <c r="CZ573" s="0" t="s">
        <v>5548</v>
      </c>
      <c r="DA573" s="0" t="s">
        <v>5549</v>
      </c>
      <c r="DB573" s="0" t="s">
        <v>5547</v>
      </c>
      <c r="DC573" s="0" t="s">
        <v>384</v>
      </c>
      <c r="DD573" s="0" t="s">
        <v>291</v>
      </c>
      <c r="DE573" s="0" t="s">
        <v>6567</v>
      </c>
    </row>
    <row customHeight="1" ht="11.25">
      <c r="A574" s="1441" t="s">
        <v>240</v>
      </c>
      <c r="B574" s="0" t="s">
        <v>240</v>
      </c>
      <c r="C574" s="0" t="s">
        <v>240</v>
      </c>
      <c r="D574" s="0" t="s">
        <v>240</v>
      </c>
      <c r="E574" s="0" t="s">
        <v>240</v>
      </c>
      <c r="F574" s="0" t="s">
        <v>240</v>
      </c>
      <c r="G574" s="0" t="s">
        <v>240</v>
      </c>
      <c r="H574" s="0" t="s">
        <v>240</v>
      </c>
      <c r="I574" s="0" t="s">
        <v>5484</v>
      </c>
      <c r="J574" s="0" t="s">
        <v>240</v>
      </c>
      <c r="K574" s="0" t="s">
        <v>240</v>
      </c>
      <c r="L574" s="0" t="s">
        <v>240</v>
      </c>
      <c r="M574" s="0" t="s">
        <v>240</v>
      </c>
      <c r="N574" s="0" t="s">
        <v>240</v>
      </c>
      <c r="O574" s="0" t="s">
        <v>240</v>
      </c>
      <c r="P574" s="0" t="s">
        <v>240</v>
      </c>
      <c r="Q574" s="0" t="s">
        <v>240</v>
      </c>
      <c r="R574" s="0" t="s">
        <v>5572</v>
      </c>
      <c r="S574" s="0" t="s">
        <v>240</v>
      </c>
      <c r="T574" s="0" t="s">
        <v>240</v>
      </c>
      <c r="U574" s="0" t="s">
        <v>102</v>
      </c>
      <c r="V574" s="0" t="s">
        <v>240</v>
      </c>
      <c r="W574" s="0" t="s">
        <v>240</v>
      </c>
      <c r="X574" s="0" t="s">
        <v>5485</v>
      </c>
      <c r="Y574" s="0" t="s">
        <v>240</v>
      </c>
      <c r="Z574" s="0" t="s">
        <v>161</v>
      </c>
      <c r="AA574" s="0" t="s">
        <v>152</v>
      </c>
      <c r="AB574" s="0" t="s">
        <v>152</v>
      </c>
      <c r="AC574" s="0" t="s">
        <v>2991</v>
      </c>
      <c r="AD574" s="0" t="s">
        <v>2991</v>
      </c>
      <c r="AE574" s="0" t="s">
        <v>2992</v>
      </c>
      <c r="AF574" s="0" t="s">
        <v>6568</v>
      </c>
      <c r="AG574" s="0" t="s">
        <v>6569</v>
      </c>
      <c r="AH574" s="0" t="s">
        <v>5755</v>
      </c>
      <c r="AI574" s="0" t="s">
        <v>6570</v>
      </c>
      <c r="AJ574" s="0" t="s">
        <v>5576</v>
      </c>
      <c r="AK574" s="0" t="s">
        <v>5544</v>
      </c>
      <c r="AL574" s="0" t="s">
        <v>5506</v>
      </c>
      <c r="AM574" s="0" t="s">
        <v>5493</v>
      </c>
      <c r="AN574" s="0" t="s">
        <v>5553</v>
      </c>
      <c r="AO574" s="0" t="s">
        <v>5752</v>
      </c>
      <c r="AP574" s="0" t="s">
        <v>240</v>
      </c>
      <c r="AQ574" s="0" t="s">
        <v>240</v>
      </c>
      <c r="AR574" s="0" t="s">
        <v>240</v>
      </c>
      <c r="AS574" s="0" t="s">
        <v>240</v>
      </c>
      <c r="AT574" s="0" t="s">
        <v>240</v>
      </c>
      <c r="AU574" s="0" t="s">
        <v>240</v>
      </c>
      <c r="AV574" s="0" t="s">
        <v>240</v>
      </c>
      <c r="AW574" s="0" t="s">
        <v>240</v>
      </c>
      <c r="AX574" s="0" t="s">
        <v>240</v>
      </c>
      <c r="AY574" s="0" t="s">
        <v>240</v>
      </c>
      <c r="AZ574" s="0" t="s">
        <v>240</v>
      </c>
      <c r="BA574" s="0" t="s">
        <v>240</v>
      </c>
      <c r="BB574" s="0" t="s">
        <v>240</v>
      </c>
      <c r="BC574" s="0" t="s">
        <v>240</v>
      </c>
      <c r="BD574" s="0" t="s">
        <v>240</v>
      </c>
      <c r="BE574" s="0" t="s">
        <v>240</v>
      </c>
      <c r="BF574" s="0" t="s">
        <v>240</v>
      </c>
      <c r="BG574" s="0" t="s">
        <v>240</v>
      </c>
      <c r="BH574" s="0" t="s">
        <v>240</v>
      </c>
      <c r="BI574" s="0" t="s">
        <v>240</v>
      </c>
      <c r="BJ574" s="0" t="s">
        <v>240</v>
      </c>
      <c r="BK574" s="0" t="s">
        <v>240</v>
      </c>
      <c r="BL574" s="0" t="s">
        <v>240</v>
      </c>
      <c r="BM574" s="0" t="s">
        <v>240</v>
      </c>
      <c r="BN574" s="0" t="s">
        <v>240</v>
      </c>
      <c r="BO574" s="0" t="s">
        <v>240</v>
      </c>
      <c r="BP574" s="0" t="s">
        <v>240</v>
      </c>
      <c r="BQ574" s="0" t="s">
        <v>240</v>
      </c>
      <c r="BR574" s="0" t="s">
        <v>240</v>
      </c>
      <c r="BS574" s="0" t="s">
        <v>240</v>
      </c>
      <c r="BT574" s="0" t="s">
        <v>240</v>
      </c>
      <c r="BU574" s="0" t="s">
        <v>240</v>
      </c>
      <c r="BV574" s="0" t="s">
        <v>240</v>
      </c>
      <c r="BW574" s="0" t="s">
        <v>240</v>
      </c>
      <c r="BX574" s="0" t="s">
        <v>240</v>
      </c>
      <c r="BY574" s="0" t="s">
        <v>240</v>
      </c>
      <c r="BZ574" s="0" t="s">
        <v>240</v>
      </c>
      <c r="CA574" s="0" t="s">
        <v>240</v>
      </c>
      <c r="CB574" s="0" t="s">
        <v>240</v>
      </c>
      <c r="CC574" s="0" t="s">
        <v>240</v>
      </c>
      <c r="CD574" s="0" t="s">
        <v>240</v>
      </c>
      <c r="CE574" s="0" t="s">
        <v>240</v>
      </c>
      <c r="CF574" s="0" t="s">
        <v>240</v>
      </c>
      <c r="CG574" s="0" t="s">
        <v>240</v>
      </c>
      <c r="CH574" s="0" t="s">
        <v>240</v>
      </c>
      <c r="CI574" s="0" t="s">
        <v>240</v>
      </c>
      <c r="CJ574" s="0" t="s">
        <v>240</v>
      </c>
      <c r="CK574" s="0" t="s">
        <v>240</v>
      </c>
      <c r="CL574" s="0" t="s">
        <v>240</v>
      </c>
      <c r="CM574" s="0" t="s">
        <v>240</v>
      </c>
      <c r="CN574" s="0" t="s">
        <v>240</v>
      </c>
      <c r="CO574" s="0" t="s">
        <v>240</v>
      </c>
      <c r="CP574" s="0" t="s">
        <v>240</v>
      </c>
      <c r="CQ574" s="0" t="s">
        <v>240</v>
      </c>
      <c r="CR574" s="0" t="s">
        <v>240</v>
      </c>
      <c r="CS574" s="0" t="s">
        <v>240</v>
      </c>
      <c r="CT574" s="0" t="s">
        <v>5496</v>
      </c>
      <c r="CU574" s="0" t="s">
        <v>5497</v>
      </c>
      <c r="CV574" s="0" t="s">
        <v>443</v>
      </c>
      <c r="CW574" s="0" t="s">
        <v>5547</v>
      </c>
      <c r="CX574" s="0" t="s">
        <v>229</v>
      </c>
      <c r="CY574" s="0" t="s">
        <v>443</v>
      </c>
      <c r="CZ574" s="0" t="s">
        <v>5548</v>
      </c>
      <c r="DA574" s="0" t="s">
        <v>5549</v>
      </c>
      <c r="DB574" s="0" t="s">
        <v>5547</v>
      </c>
      <c r="DC574" s="0" t="s">
        <v>384</v>
      </c>
      <c r="DD574" s="0" t="s">
        <v>291</v>
      </c>
      <c r="DE574" s="0" t="s">
        <v>6571</v>
      </c>
    </row>
    <row customHeight="1" ht="11.25">
      <c r="A575" s="1441" t="s">
        <v>240</v>
      </c>
      <c r="B575" s="0" t="s">
        <v>240</v>
      </c>
      <c r="C575" s="0" t="s">
        <v>240</v>
      </c>
      <c r="D575" s="0" t="s">
        <v>240</v>
      </c>
      <c r="E575" s="0" t="s">
        <v>240</v>
      </c>
      <c r="F575" s="0" t="s">
        <v>240</v>
      </c>
      <c r="G575" s="0" t="s">
        <v>240</v>
      </c>
      <c r="H575" s="0" t="s">
        <v>240</v>
      </c>
      <c r="I575" s="0" t="s">
        <v>5484</v>
      </c>
      <c r="J575" s="0" t="s">
        <v>240</v>
      </c>
      <c r="K575" s="0" t="s">
        <v>240</v>
      </c>
      <c r="L575" s="0" t="s">
        <v>240</v>
      </c>
      <c r="M575" s="0" t="s">
        <v>240</v>
      </c>
      <c r="N575" s="0" t="s">
        <v>240</v>
      </c>
      <c r="O575" s="0" t="s">
        <v>240</v>
      </c>
      <c r="P575" s="0" t="s">
        <v>240</v>
      </c>
      <c r="Q575" s="0" t="s">
        <v>240</v>
      </c>
      <c r="R575" s="0" t="s">
        <v>6572</v>
      </c>
      <c r="S575" s="0" t="s">
        <v>240</v>
      </c>
      <c r="T575" s="0" t="s">
        <v>240</v>
      </c>
      <c r="U575" s="0" t="s">
        <v>102</v>
      </c>
      <c r="V575" s="0" t="s">
        <v>240</v>
      </c>
      <c r="W575" s="0" t="s">
        <v>240</v>
      </c>
      <c r="X575" s="0" t="s">
        <v>5585</v>
      </c>
      <c r="Y575" s="0" t="s">
        <v>240</v>
      </c>
      <c r="Z575" s="0" t="s">
        <v>152</v>
      </c>
      <c r="AA575" s="0" t="s">
        <v>152</v>
      </c>
      <c r="AB575" s="0" t="s">
        <v>161</v>
      </c>
      <c r="AC575" s="0" t="s">
        <v>2991</v>
      </c>
      <c r="AD575" s="0" t="s">
        <v>2991</v>
      </c>
      <c r="AE575" s="0" t="s">
        <v>2992</v>
      </c>
      <c r="AF575" s="0" t="s">
        <v>6568</v>
      </c>
      <c r="AG575" s="0" t="s">
        <v>6569</v>
      </c>
      <c r="AH575" s="0" t="s">
        <v>5575</v>
      </c>
      <c r="AI575" s="0" t="s">
        <v>5575</v>
      </c>
      <c r="AJ575" s="0" t="s">
        <v>240</v>
      </c>
      <c r="AK575" s="0" t="s">
        <v>240</v>
      </c>
      <c r="AL575" s="0" t="s">
        <v>240</v>
      </c>
      <c r="AM575" s="0" t="s">
        <v>240</v>
      </c>
      <c r="AN575" s="0" t="s">
        <v>240</v>
      </c>
      <c r="AO575" s="0" t="s">
        <v>240</v>
      </c>
      <c r="AP575" s="0" t="s">
        <v>240</v>
      </c>
      <c r="AQ575" s="0" t="s">
        <v>240</v>
      </c>
      <c r="AR575" s="0" t="s">
        <v>240</v>
      </c>
      <c r="AS575" s="0" t="s">
        <v>240</v>
      </c>
      <c r="AT575" s="0" t="s">
        <v>240</v>
      </c>
      <c r="AU575" s="0" t="s">
        <v>240</v>
      </c>
      <c r="AV575" s="0" t="s">
        <v>240</v>
      </c>
      <c r="AW575" s="0" t="s">
        <v>240</v>
      </c>
      <c r="AX575" s="0" t="s">
        <v>240</v>
      </c>
      <c r="AY575" s="0" t="s">
        <v>240</v>
      </c>
      <c r="AZ575" s="0" t="s">
        <v>240</v>
      </c>
      <c r="BA575" s="0" t="s">
        <v>240</v>
      </c>
      <c r="BB575" s="0" t="s">
        <v>240</v>
      </c>
      <c r="BC575" s="0" t="s">
        <v>240</v>
      </c>
      <c r="BD575" s="0" t="s">
        <v>240</v>
      </c>
      <c r="BE575" s="0" t="s">
        <v>5576</v>
      </c>
      <c r="BF575" s="0" t="s">
        <v>5544</v>
      </c>
      <c r="BG575" s="0" t="s">
        <v>112</v>
      </c>
      <c r="BH575" s="0" t="s">
        <v>5589</v>
      </c>
      <c r="BI575" s="0" t="s">
        <v>123</v>
      </c>
      <c r="BJ575" s="0" t="s">
        <v>240</v>
      </c>
      <c r="BK575" s="0" t="s">
        <v>5608</v>
      </c>
      <c r="BL575" s="0" t="s">
        <v>2991</v>
      </c>
      <c r="BM575" s="0" t="s">
        <v>2991</v>
      </c>
      <c r="BN575" s="0" t="s">
        <v>5663</v>
      </c>
      <c r="BO575" s="0" t="s">
        <v>6568</v>
      </c>
      <c r="BP575" s="0" t="s">
        <v>6573</v>
      </c>
      <c r="BQ575" s="0" t="s">
        <v>5575</v>
      </c>
      <c r="BR575" s="0" t="s">
        <v>5575</v>
      </c>
      <c r="BS575" s="0" t="s">
        <v>240</v>
      </c>
      <c r="BT575" s="0" t="s">
        <v>5650</v>
      </c>
      <c r="BU575" s="0" t="s">
        <v>6574</v>
      </c>
      <c r="BV575" s="0" t="s">
        <v>6574</v>
      </c>
      <c r="BW575" s="0" t="s">
        <v>5598</v>
      </c>
      <c r="BX575" s="0" t="s">
        <v>5598</v>
      </c>
      <c r="BY575" s="0" t="s">
        <v>5598</v>
      </c>
      <c r="BZ575" s="0" t="s">
        <v>5598</v>
      </c>
      <c r="CA575" s="0" t="s">
        <v>5598</v>
      </c>
      <c r="CB575" s="0" t="s">
        <v>240</v>
      </c>
      <c r="CC575" s="0" t="s">
        <v>240</v>
      </c>
      <c r="CD575" s="0" t="s">
        <v>240</v>
      </c>
      <c r="CE575" s="0" t="s">
        <v>240</v>
      </c>
      <c r="CF575" s="0" t="s">
        <v>240</v>
      </c>
      <c r="CG575" s="0" t="s">
        <v>5598</v>
      </c>
      <c r="CH575" s="0" t="s">
        <v>240</v>
      </c>
      <c r="CI575" s="0" t="s">
        <v>240</v>
      </c>
      <c r="CJ575" s="0" t="s">
        <v>240</v>
      </c>
      <c r="CK575" s="0" t="s">
        <v>240</v>
      </c>
      <c r="CL575" s="0" t="s">
        <v>240</v>
      </c>
      <c r="CM575" s="0" t="s">
        <v>6574</v>
      </c>
      <c r="CN575" s="0" t="s">
        <v>6574</v>
      </c>
      <c r="CO575" s="0" t="s">
        <v>240</v>
      </c>
      <c r="CP575" s="0" t="s">
        <v>240</v>
      </c>
      <c r="CQ575" s="0" t="s">
        <v>240</v>
      </c>
      <c r="CR575" s="0" t="s">
        <v>240</v>
      </c>
      <c r="CS575" s="0" t="s">
        <v>5666</v>
      </c>
      <c r="CT575" s="0" t="s">
        <v>5496</v>
      </c>
      <c r="CU575" s="0" t="s">
        <v>5497</v>
      </c>
      <c r="CV575" s="0" t="s">
        <v>443</v>
      </c>
      <c r="CW575" s="0" t="s">
        <v>5547</v>
      </c>
      <c r="CX575" s="0" t="s">
        <v>229</v>
      </c>
      <c r="CY575" s="0" t="s">
        <v>443</v>
      </c>
      <c r="CZ575" s="0" t="s">
        <v>5548</v>
      </c>
      <c r="DA575" s="0" t="s">
        <v>5549</v>
      </c>
      <c r="DB575" s="0" t="s">
        <v>5547</v>
      </c>
      <c r="DC575" s="0" t="s">
        <v>384</v>
      </c>
      <c r="DD575" s="0" t="s">
        <v>291</v>
      </c>
      <c r="DE575" s="0" t="s">
        <v>6575</v>
      </c>
    </row>
    <row customHeight="1" ht="11.25">
      <c r="A576" s="1441" t="s">
        <v>240</v>
      </c>
      <c r="B576" s="0" t="s">
        <v>240</v>
      </c>
      <c r="C576" s="0" t="s">
        <v>240</v>
      </c>
      <c r="D576" s="0" t="s">
        <v>240</v>
      </c>
      <c r="E576" s="0" t="s">
        <v>240</v>
      </c>
      <c r="F576" s="0" t="s">
        <v>240</v>
      </c>
      <c r="G576" s="0" t="s">
        <v>240</v>
      </c>
      <c r="H576" s="0" t="s">
        <v>240</v>
      </c>
      <c r="I576" s="0" t="s">
        <v>5484</v>
      </c>
      <c r="J576" s="0" t="s">
        <v>240</v>
      </c>
      <c r="K576" s="0" t="s">
        <v>240</v>
      </c>
      <c r="L576" s="0" t="s">
        <v>240</v>
      </c>
      <c r="M576" s="0" t="s">
        <v>240</v>
      </c>
      <c r="N576" s="0" t="s">
        <v>240</v>
      </c>
      <c r="O576" s="0" t="s">
        <v>240</v>
      </c>
      <c r="P576" s="0" t="s">
        <v>240</v>
      </c>
      <c r="Q576" s="0" t="s">
        <v>240</v>
      </c>
      <c r="R576" s="0" t="s">
        <v>6997</v>
      </c>
      <c r="S576" s="0" t="s">
        <v>240</v>
      </c>
      <c r="T576" s="0" t="s">
        <v>240</v>
      </c>
      <c r="U576" s="0" t="s">
        <v>102</v>
      </c>
      <c r="V576" s="0" t="s">
        <v>240</v>
      </c>
      <c r="W576" s="0" t="s">
        <v>240</v>
      </c>
      <c r="X576" s="0" t="s">
        <v>5485</v>
      </c>
      <c r="Y576" s="0" t="s">
        <v>240</v>
      </c>
      <c r="Z576" s="0" t="s">
        <v>161</v>
      </c>
      <c r="AA576" s="0" t="s">
        <v>152</v>
      </c>
      <c r="AB576" s="0" t="s">
        <v>152</v>
      </c>
      <c r="AC576" s="0" t="s">
        <v>3389</v>
      </c>
      <c r="AD576" s="0" t="s">
        <v>3389</v>
      </c>
      <c r="AE576" s="0" t="s">
        <v>3390</v>
      </c>
      <c r="AF576" s="0" t="s">
        <v>5519</v>
      </c>
      <c r="AG576" s="0" t="s">
        <v>5520</v>
      </c>
      <c r="AH576" s="0" t="s">
        <v>5780</v>
      </c>
      <c r="AI576" s="0" t="s">
        <v>5533</v>
      </c>
      <c r="AJ576" s="0" t="s">
        <v>5781</v>
      </c>
      <c r="AK576" s="0" t="s">
        <v>5782</v>
      </c>
      <c r="AL576" s="0" t="s">
        <v>5524</v>
      </c>
      <c r="AM576" s="0" t="s">
        <v>5493</v>
      </c>
      <c r="AN576" s="0" t="s">
        <v>5525</v>
      </c>
      <c r="AO576" s="0" t="s">
        <v>5526</v>
      </c>
      <c r="AP576" s="0" t="s">
        <v>240</v>
      </c>
      <c r="AQ576" s="0" t="s">
        <v>240</v>
      </c>
      <c r="AR576" s="0" t="s">
        <v>240</v>
      </c>
      <c r="AS576" s="0" t="s">
        <v>240</v>
      </c>
      <c r="AT576" s="0" t="s">
        <v>240</v>
      </c>
      <c r="AU576" s="0" t="s">
        <v>240</v>
      </c>
      <c r="AV576" s="0" t="s">
        <v>240</v>
      </c>
      <c r="AW576" s="0" t="s">
        <v>240</v>
      </c>
      <c r="AX576" s="0" t="s">
        <v>240</v>
      </c>
      <c r="AY576" s="0" t="s">
        <v>240</v>
      </c>
      <c r="AZ576" s="0" t="s">
        <v>240</v>
      </c>
      <c r="BA576" s="0" t="s">
        <v>240</v>
      </c>
      <c r="BB576" s="0" t="s">
        <v>240</v>
      </c>
      <c r="BC576" s="0" t="s">
        <v>240</v>
      </c>
      <c r="BD576" s="0" t="s">
        <v>240</v>
      </c>
      <c r="BE576" s="0" t="s">
        <v>240</v>
      </c>
      <c r="BF576" s="0" t="s">
        <v>240</v>
      </c>
      <c r="BG576" s="0" t="s">
        <v>240</v>
      </c>
      <c r="BH576" s="0" t="s">
        <v>240</v>
      </c>
      <c r="BI576" s="0" t="s">
        <v>240</v>
      </c>
      <c r="BJ576" s="0" t="s">
        <v>240</v>
      </c>
      <c r="BK576" s="0" t="s">
        <v>240</v>
      </c>
      <c r="BL576" s="0" t="s">
        <v>240</v>
      </c>
      <c r="BM576" s="0" t="s">
        <v>240</v>
      </c>
      <c r="BN576" s="0" t="s">
        <v>240</v>
      </c>
      <c r="BO576" s="0" t="s">
        <v>240</v>
      </c>
      <c r="BP576" s="0" t="s">
        <v>240</v>
      </c>
      <c r="BQ576" s="0" t="s">
        <v>240</v>
      </c>
      <c r="BR576" s="0" t="s">
        <v>240</v>
      </c>
      <c r="BS576" s="0" t="s">
        <v>240</v>
      </c>
      <c r="BT576" s="0" t="s">
        <v>240</v>
      </c>
      <c r="BU576" s="0" t="s">
        <v>240</v>
      </c>
      <c r="BV576" s="0" t="s">
        <v>240</v>
      </c>
      <c r="BW576" s="0" t="s">
        <v>240</v>
      </c>
      <c r="BX576" s="0" t="s">
        <v>240</v>
      </c>
      <c r="BY576" s="0" t="s">
        <v>240</v>
      </c>
      <c r="BZ576" s="0" t="s">
        <v>240</v>
      </c>
      <c r="CA576" s="0" t="s">
        <v>240</v>
      </c>
      <c r="CB576" s="0" t="s">
        <v>240</v>
      </c>
      <c r="CC576" s="0" t="s">
        <v>240</v>
      </c>
      <c r="CD576" s="0" t="s">
        <v>240</v>
      </c>
      <c r="CE576" s="0" t="s">
        <v>240</v>
      </c>
      <c r="CF576" s="0" t="s">
        <v>240</v>
      </c>
      <c r="CG576" s="0" t="s">
        <v>240</v>
      </c>
      <c r="CH576" s="0" t="s">
        <v>240</v>
      </c>
      <c r="CI576" s="0" t="s">
        <v>240</v>
      </c>
      <c r="CJ576" s="0" t="s">
        <v>240</v>
      </c>
      <c r="CK576" s="0" t="s">
        <v>240</v>
      </c>
      <c r="CL576" s="0" t="s">
        <v>240</v>
      </c>
      <c r="CM576" s="0" t="s">
        <v>240</v>
      </c>
      <c r="CN576" s="0" t="s">
        <v>240</v>
      </c>
      <c r="CO576" s="0" t="s">
        <v>240</v>
      </c>
      <c r="CP576" s="0" t="s">
        <v>240</v>
      </c>
      <c r="CQ576" s="0" t="s">
        <v>240</v>
      </c>
      <c r="CR576" s="0" t="s">
        <v>240</v>
      </c>
      <c r="CS576" s="0" t="s">
        <v>240</v>
      </c>
      <c r="CT576" s="0" t="s">
        <v>5496</v>
      </c>
      <c r="CU576" s="0" t="s">
        <v>5497</v>
      </c>
      <c r="CV576" s="0" t="s">
        <v>443</v>
      </c>
      <c r="CW576" s="0" t="s">
        <v>5527</v>
      </c>
      <c r="CX576" s="0" t="s">
        <v>5528</v>
      </c>
      <c r="CY576" s="0" t="s">
        <v>443</v>
      </c>
      <c r="CZ576" s="0" t="s">
        <v>299</v>
      </c>
      <c r="DA576" s="0" t="s">
        <v>5529</v>
      </c>
      <c r="DB576" s="0" t="s">
        <v>5527</v>
      </c>
      <c r="DC576" s="0" t="s">
        <v>384</v>
      </c>
      <c r="DD576" s="0" t="s">
        <v>291</v>
      </c>
      <c r="DE576" s="0" t="s">
        <v>5783</v>
      </c>
    </row>
    <row customHeight="1" ht="11.25">
      <c r="A577" s="1441" t="s">
        <v>240</v>
      </c>
      <c r="B577" s="0" t="s">
        <v>240</v>
      </c>
      <c r="C577" s="0" t="s">
        <v>240</v>
      </c>
      <c r="D577" s="0" t="s">
        <v>240</v>
      </c>
      <c r="E577" s="0" t="s">
        <v>240</v>
      </c>
      <c r="F577" s="0" t="s">
        <v>240</v>
      </c>
      <c r="G577" s="0" t="s">
        <v>240</v>
      </c>
      <c r="H577" s="0" t="s">
        <v>240</v>
      </c>
      <c r="I577" s="0" t="s">
        <v>5484</v>
      </c>
      <c r="J577" s="0" t="s">
        <v>240</v>
      </c>
      <c r="K577" s="0" t="s">
        <v>240</v>
      </c>
      <c r="L577" s="0" t="s">
        <v>240</v>
      </c>
      <c r="M577" s="0" t="s">
        <v>240</v>
      </c>
      <c r="N577" s="0" t="s">
        <v>240</v>
      </c>
      <c r="O577" s="0" t="s">
        <v>240</v>
      </c>
      <c r="P577" s="0" t="s">
        <v>240</v>
      </c>
      <c r="Q577" s="0" t="s">
        <v>240</v>
      </c>
      <c r="R577" s="0" t="s">
        <v>6823</v>
      </c>
      <c r="S577" s="0" t="s">
        <v>240</v>
      </c>
      <c r="T577" s="0" t="s">
        <v>240</v>
      </c>
      <c r="U577" s="0" t="s">
        <v>102</v>
      </c>
      <c r="V577" s="0" t="s">
        <v>240</v>
      </c>
      <c r="W577" s="0" t="s">
        <v>240</v>
      </c>
      <c r="X577" s="0" t="s">
        <v>5585</v>
      </c>
      <c r="Y577" s="0" t="s">
        <v>240</v>
      </c>
      <c r="Z577" s="0" t="s">
        <v>152</v>
      </c>
      <c r="AA577" s="0" t="s">
        <v>152</v>
      </c>
      <c r="AB577" s="0" t="s">
        <v>161</v>
      </c>
      <c r="AC577" s="0" t="s">
        <v>2991</v>
      </c>
      <c r="AD577" s="0" t="s">
        <v>2991</v>
      </c>
      <c r="AE577" s="0" t="s">
        <v>2992</v>
      </c>
      <c r="AF577" s="0" t="s">
        <v>5884</v>
      </c>
      <c r="AG577" s="0" t="s">
        <v>5885</v>
      </c>
      <c r="AH577" s="0" t="s">
        <v>5575</v>
      </c>
      <c r="AI577" s="0" t="s">
        <v>5575</v>
      </c>
      <c r="AJ577" s="0" t="s">
        <v>240</v>
      </c>
      <c r="AK577" s="0" t="s">
        <v>240</v>
      </c>
      <c r="AL577" s="0" t="s">
        <v>240</v>
      </c>
      <c r="AM577" s="0" t="s">
        <v>240</v>
      </c>
      <c r="AN577" s="0" t="s">
        <v>240</v>
      </c>
      <c r="AO577" s="0" t="s">
        <v>240</v>
      </c>
      <c r="AP577" s="0" t="s">
        <v>240</v>
      </c>
      <c r="AQ577" s="0" t="s">
        <v>240</v>
      </c>
      <c r="AR577" s="0" t="s">
        <v>240</v>
      </c>
      <c r="AS577" s="0" t="s">
        <v>240</v>
      </c>
      <c r="AT577" s="0" t="s">
        <v>240</v>
      </c>
      <c r="AU577" s="0" t="s">
        <v>240</v>
      </c>
      <c r="AV577" s="0" t="s">
        <v>240</v>
      </c>
      <c r="AW577" s="0" t="s">
        <v>240</v>
      </c>
      <c r="AX577" s="0" t="s">
        <v>240</v>
      </c>
      <c r="AY577" s="0" t="s">
        <v>240</v>
      </c>
      <c r="AZ577" s="0" t="s">
        <v>240</v>
      </c>
      <c r="BA577" s="0" t="s">
        <v>240</v>
      </c>
      <c r="BB577" s="0" t="s">
        <v>240</v>
      </c>
      <c r="BC577" s="0" t="s">
        <v>240</v>
      </c>
      <c r="BD577" s="0" t="s">
        <v>240</v>
      </c>
      <c r="BE577" s="0" t="s">
        <v>5552</v>
      </c>
      <c r="BF577" s="0" t="s">
        <v>5776</v>
      </c>
      <c r="BG577" s="0" t="s">
        <v>112</v>
      </c>
      <c r="BH577" s="0" t="s">
        <v>5589</v>
      </c>
      <c r="BI577" s="0" t="s">
        <v>123</v>
      </c>
      <c r="BJ577" s="0" t="s">
        <v>240</v>
      </c>
      <c r="BK577" s="0" t="s">
        <v>5608</v>
      </c>
      <c r="BL577" s="0" t="s">
        <v>2991</v>
      </c>
      <c r="BM577" s="0" t="s">
        <v>2991</v>
      </c>
      <c r="BN577" s="0" t="s">
        <v>5663</v>
      </c>
      <c r="BO577" s="0" t="s">
        <v>5884</v>
      </c>
      <c r="BP577" s="0" t="s">
        <v>6820</v>
      </c>
      <c r="BQ577" s="0" t="s">
        <v>5575</v>
      </c>
      <c r="BR577" s="0" t="s">
        <v>5575</v>
      </c>
      <c r="BS577" s="0" t="s">
        <v>240</v>
      </c>
      <c r="BT577" s="0" t="s">
        <v>6151</v>
      </c>
      <c r="BU577" s="0" t="s">
        <v>6824</v>
      </c>
      <c r="BV577" s="0" t="s">
        <v>6824</v>
      </c>
      <c r="BW577" s="0" t="s">
        <v>5598</v>
      </c>
      <c r="BX577" s="0" t="s">
        <v>5598</v>
      </c>
      <c r="BY577" s="0" t="s">
        <v>5598</v>
      </c>
      <c r="BZ577" s="0" t="s">
        <v>5598</v>
      </c>
      <c r="CA577" s="0" t="s">
        <v>5598</v>
      </c>
      <c r="CB577" s="0" t="s">
        <v>240</v>
      </c>
      <c r="CC577" s="0" t="s">
        <v>240</v>
      </c>
      <c r="CD577" s="0" t="s">
        <v>240</v>
      </c>
      <c r="CE577" s="0" t="s">
        <v>240</v>
      </c>
      <c r="CF577" s="0" t="s">
        <v>240</v>
      </c>
      <c r="CG577" s="0" t="s">
        <v>5598</v>
      </c>
      <c r="CH577" s="0" t="s">
        <v>240</v>
      </c>
      <c r="CI577" s="0" t="s">
        <v>240</v>
      </c>
      <c r="CJ577" s="0" t="s">
        <v>240</v>
      </c>
      <c r="CK577" s="0" t="s">
        <v>240</v>
      </c>
      <c r="CL577" s="0" t="s">
        <v>240</v>
      </c>
      <c r="CM577" s="0" t="s">
        <v>6824</v>
      </c>
      <c r="CN577" s="0" t="s">
        <v>6824</v>
      </c>
      <c r="CO577" s="0" t="s">
        <v>240</v>
      </c>
      <c r="CP577" s="0" t="s">
        <v>240</v>
      </c>
      <c r="CQ577" s="0" t="s">
        <v>240</v>
      </c>
      <c r="CR577" s="0" t="s">
        <v>240</v>
      </c>
      <c r="CS577" s="0" t="s">
        <v>5666</v>
      </c>
      <c r="CT577" s="0" t="s">
        <v>5496</v>
      </c>
      <c r="CU577" s="0" t="s">
        <v>5497</v>
      </c>
      <c r="CV577" s="0" t="s">
        <v>443</v>
      </c>
      <c r="CW577" s="0" t="s">
        <v>5547</v>
      </c>
      <c r="CX577" s="0" t="s">
        <v>229</v>
      </c>
      <c r="CY577" s="0" t="s">
        <v>443</v>
      </c>
      <c r="CZ577" s="0" t="s">
        <v>5548</v>
      </c>
      <c r="DA577" s="0" t="s">
        <v>5549</v>
      </c>
      <c r="DB577" s="0" t="s">
        <v>5547</v>
      </c>
      <c r="DC577" s="0" t="s">
        <v>384</v>
      </c>
      <c r="DD577" s="0" t="s">
        <v>291</v>
      </c>
      <c r="DE577" s="0" t="s">
        <v>6822</v>
      </c>
    </row>
    <row customHeight="1" ht="11.25">
      <c r="A578" s="1441" t="s">
        <v>240</v>
      </c>
      <c r="B578" s="0" t="s">
        <v>240</v>
      </c>
      <c r="C578" s="0" t="s">
        <v>240</v>
      </c>
      <c r="D578" s="0" t="s">
        <v>240</v>
      </c>
      <c r="E578" s="0" t="s">
        <v>240</v>
      </c>
      <c r="F578" s="0" t="s">
        <v>240</v>
      </c>
      <c r="G578" s="0" t="s">
        <v>240</v>
      </c>
      <c r="H578" s="0" t="s">
        <v>240</v>
      </c>
      <c r="I578" s="0" t="s">
        <v>5484</v>
      </c>
      <c r="J578" s="0" t="s">
        <v>240</v>
      </c>
      <c r="K578" s="0" t="s">
        <v>240</v>
      </c>
      <c r="L578" s="0" t="s">
        <v>240</v>
      </c>
      <c r="M578" s="0" t="s">
        <v>240</v>
      </c>
      <c r="N578" s="0" t="s">
        <v>240</v>
      </c>
      <c r="O578" s="0" t="s">
        <v>240</v>
      </c>
      <c r="P578" s="0" t="s">
        <v>240</v>
      </c>
      <c r="Q578" s="0" t="s">
        <v>240</v>
      </c>
      <c r="R578" s="0" t="s">
        <v>5572</v>
      </c>
      <c r="S578" s="0" t="s">
        <v>240</v>
      </c>
      <c r="T578" s="0" t="s">
        <v>240</v>
      </c>
      <c r="U578" s="0" t="s">
        <v>102</v>
      </c>
      <c r="V578" s="0" t="s">
        <v>240</v>
      </c>
      <c r="W578" s="0" t="s">
        <v>240</v>
      </c>
      <c r="X578" s="0" t="s">
        <v>5485</v>
      </c>
      <c r="Y578" s="0" t="s">
        <v>240</v>
      </c>
      <c r="Z578" s="0" t="s">
        <v>161</v>
      </c>
      <c r="AA578" s="0" t="s">
        <v>152</v>
      </c>
      <c r="AB578" s="0" t="s">
        <v>152</v>
      </c>
      <c r="AC578" s="0" t="s">
        <v>2991</v>
      </c>
      <c r="AD578" s="0" t="s">
        <v>2991</v>
      </c>
      <c r="AE578" s="0" t="s">
        <v>2992</v>
      </c>
      <c r="AF578" s="0" t="s">
        <v>5661</v>
      </c>
      <c r="AG578" s="0" t="s">
        <v>5662</v>
      </c>
      <c r="AH578" s="0" t="s">
        <v>5542</v>
      </c>
      <c r="AI578" s="0" t="s">
        <v>6118</v>
      </c>
      <c r="AJ578" s="0" t="s">
        <v>5504</v>
      </c>
      <c r="AK578" s="0" t="s">
        <v>5672</v>
      </c>
      <c r="AL578" s="0" t="s">
        <v>5506</v>
      </c>
      <c r="AM578" s="0" t="s">
        <v>5493</v>
      </c>
      <c r="AN578" s="0" t="s">
        <v>5545</v>
      </c>
      <c r="AO578" s="0" t="s">
        <v>5516</v>
      </c>
      <c r="AP578" s="0" t="s">
        <v>240</v>
      </c>
      <c r="AQ578" s="0" t="s">
        <v>240</v>
      </c>
      <c r="AR578" s="0" t="s">
        <v>240</v>
      </c>
      <c r="AS578" s="0" t="s">
        <v>240</v>
      </c>
      <c r="AT578" s="0" t="s">
        <v>240</v>
      </c>
      <c r="AU578" s="0" t="s">
        <v>240</v>
      </c>
      <c r="AV578" s="0" t="s">
        <v>240</v>
      </c>
      <c r="AW578" s="0" t="s">
        <v>240</v>
      </c>
      <c r="AX578" s="0" t="s">
        <v>240</v>
      </c>
      <c r="AY578" s="0" t="s">
        <v>240</v>
      </c>
      <c r="AZ578" s="0" t="s">
        <v>240</v>
      </c>
      <c r="BA578" s="0" t="s">
        <v>240</v>
      </c>
      <c r="BB578" s="0" t="s">
        <v>240</v>
      </c>
      <c r="BC578" s="0" t="s">
        <v>240</v>
      </c>
      <c r="BD578" s="0" t="s">
        <v>240</v>
      </c>
      <c r="BE578" s="0" t="s">
        <v>240</v>
      </c>
      <c r="BF578" s="0" t="s">
        <v>240</v>
      </c>
      <c r="BG578" s="0" t="s">
        <v>240</v>
      </c>
      <c r="BH578" s="0" t="s">
        <v>240</v>
      </c>
      <c r="BI578" s="0" t="s">
        <v>240</v>
      </c>
      <c r="BJ578" s="0" t="s">
        <v>240</v>
      </c>
      <c r="BK578" s="0" t="s">
        <v>240</v>
      </c>
      <c r="BL578" s="0" t="s">
        <v>240</v>
      </c>
      <c r="BM578" s="0" t="s">
        <v>240</v>
      </c>
      <c r="BN578" s="0" t="s">
        <v>240</v>
      </c>
      <c r="BO578" s="0" t="s">
        <v>240</v>
      </c>
      <c r="BP578" s="0" t="s">
        <v>240</v>
      </c>
      <c r="BQ578" s="0" t="s">
        <v>240</v>
      </c>
      <c r="BR578" s="0" t="s">
        <v>240</v>
      </c>
      <c r="BS578" s="0" t="s">
        <v>240</v>
      </c>
      <c r="BT578" s="0" t="s">
        <v>240</v>
      </c>
      <c r="BU578" s="0" t="s">
        <v>240</v>
      </c>
      <c r="BV578" s="0" t="s">
        <v>240</v>
      </c>
      <c r="BW578" s="0" t="s">
        <v>240</v>
      </c>
      <c r="BX578" s="0" t="s">
        <v>240</v>
      </c>
      <c r="BY578" s="0" t="s">
        <v>240</v>
      </c>
      <c r="BZ578" s="0" t="s">
        <v>240</v>
      </c>
      <c r="CA578" s="0" t="s">
        <v>240</v>
      </c>
      <c r="CB578" s="0" t="s">
        <v>240</v>
      </c>
      <c r="CC578" s="0" t="s">
        <v>240</v>
      </c>
      <c r="CD578" s="0" t="s">
        <v>240</v>
      </c>
      <c r="CE578" s="0" t="s">
        <v>240</v>
      </c>
      <c r="CF578" s="0" t="s">
        <v>240</v>
      </c>
      <c r="CG578" s="0" t="s">
        <v>240</v>
      </c>
      <c r="CH578" s="0" t="s">
        <v>240</v>
      </c>
      <c r="CI578" s="0" t="s">
        <v>240</v>
      </c>
      <c r="CJ578" s="0" t="s">
        <v>240</v>
      </c>
      <c r="CK578" s="0" t="s">
        <v>240</v>
      </c>
      <c r="CL578" s="0" t="s">
        <v>240</v>
      </c>
      <c r="CM578" s="0" t="s">
        <v>240</v>
      </c>
      <c r="CN578" s="0" t="s">
        <v>240</v>
      </c>
      <c r="CO578" s="0" t="s">
        <v>240</v>
      </c>
      <c r="CP578" s="0" t="s">
        <v>240</v>
      </c>
      <c r="CQ578" s="0" t="s">
        <v>240</v>
      </c>
      <c r="CR578" s="0" t="s">
        <v>240</v>
      </c>
      <c r="CS578" s="0" t="s">
        <v>240</v>
      </c>
      <c r="CT578" s="0" t="s">
        <v>5496</v>
      </c>
      <c r="CU578" s="0" t="s">
        <v>5497</v>
      </c>
      <c r="CV578" s="0" t="s">
        <v>443</v>
      </c>
      <c r="CW578" s="0" t="s">
        <v>5547</v>
      </c>
      <c r="CX578" s="0" t="s">
        <v>229</v>
      </c>
      <c r="CY578" s="0" t="s">
        <v>443</v>
      </c>
      <c r="CZ578" s="0" t="s">
        <v>5548</v>
      </c>
      <c r="DA578" s="0" t="s">
        <v>5549</v>
      </c>
      <c r="DB578" s="0" t="s">
        <v>5547</v>
      </c>
      <c r="DC578" s="0" t="s">
        <v>384</v>
      </c>
      <c r="DD578" s="0" t="s">
        <v>291</v>
      </c>
      <c r="DE578" s="0" t="s">
        <v>6119</v>
      </c>
    </row>
    <row customHeight="1" ht="11.25">
      <c r="A579" s="1441" t="s">
        <v>240</v>
      </c>
      <c r="B579" s="0" t="s">
        <v>240</v>
      </c>
      <c r="C579" s="0" t="s">
        <v>240</v>
      </c>
      <c r="D579" s="0" t="s">
        <v>240</v>
      </c>
      <c r="E579" s="0" t="s">
        <v>240</v>
      </c>
      <c r="F579" s="0" t="s">
        <v>240</v>
      </c>
      <c r="G579" s="0" t="s">
        <v>240</v>
      </c>
      <c r="H579" s="0" t="s">
        <v>240</v>
      </c>
      <c r="I579" s="0" t="s">
        <v>5484</v>
      </c>
      <c r="J579" s="0" t="s">
        <v>240</v>
      </c>
      <c r="K579" s="0" t="s">
        <v>240</v>
      </c>
      <c r="L579" s="0" t="s">
        <v>240</v>
      </c>
      <c r="M579" s="0" t="s">
        <v>240</v>
      </c>
      <c r="N579" s="0" t="s">
        <v>240</v>
      </c>
      <c r="O579" s="0" t="s">
        <v>240</v>
      </c>
      <c r="P579" s="0" t="s">
        <v>240</v>
      </c>
      <c r="Q579" s="0" t="s">
        <v>240</v>
      </c>
      <c r="R579" s="0" t="s">
        <v>5572</v>
      </c>
      <c r="S579" s="0" t="s">
        <v>240</v>
      </c>
      <c r="T579" s="0" t="s">
        <v>240</v>
      </c>
      <c r="U579" s="0" t="s">
        <v>102</v>
      </c>
      <c r="V579" s="0" t="s">
        <v>240</v>
      </c>
      <c r="W579" s="0" t="s">
        <v>240</v>
      </c>
      <c r="X579" s="0" t="s">
        <v>5485</v>
      </c>
      <c r="Y579" s="0" t="s">
        <v>240</v>
      </c>
      <c r="Z579" s="0" t="s">
        <v>161</v>
      </c>
      <c r="AA579" s="0" t="s">
        <v>152</v>
      </c>
      <c r="AB579" s="0" t="s">
        <v>152</v>
      </c>
      <c r="AC579" s="0" t="s">
        <v>2991</v>
      </c>
      <c r="AD579" s="0" t="s">
        <v>2991</v>
      </c>
      <c r="AE579" s="0" t="s">
        <v>2992</v>
      </c>
      <c r="AF579" s="0" t="s">
        <v>5828</v>
      </c>
      <c r="AG579" s="0" t="s">
        <v>5829</v>
      </c>
      <c r="AH579" s="0" t="s">
        <v>6120</v>
      </c>
      <c r="AI579" s="0" t="s">
        <v>5730</v>
      </c>
      <c r="AJ579" s="0" t="s">
        <v>5504</v>
      </c>
      <c r="AK579" s="0" t="s">
        <v>5745</v>
      </c>
      <c r="AL579" s="0" t="s">
        <v>5506</v>
      </c>
      <c r="AM579" s="0" t="s">
        <v>5493</v>
      </c>
      <c r="AN579" s="0" t="s">
        <v>5553</v>
      </c>
      <c r="AO579" s="0" t="s">
        <v>5877</v>
      </c>
      <c r="AP579" s="0" t="s">
        <v>240</v>
      </c>
      <c r="AQ579" s="0" t="s">
        <v>240</v>
      </c>
      <c r="AR579" s="0" t="s">
        <v>240</v>
      </c>
      <c r="AS579" s="0" t="s">
        <v>240</v>
      </c>
      <c r="AT579" s="0" t="s">
        <v>240</v>
      </c>
      <c r="AU579" s="0" t="s">
        <v>240</v>
      </c>
      <c r="AV579" s="0" t="s">
        <v>240</v>
      </c>
      <c r="AW579" s="0" t="s">
        <v>240</v>
      </c>
      <c r="AX579" s="0" t="s">
        <v>240</v>
      </c>
      <c r="AY579" s="0" t="s">
        <v>240</v>
      </c>
      <c r="AZ579" s="0" t="s">
        <v>240</v>
      </c>
      <c r="BA579" s="0" t="s">
        <v>240</v>
      </c>
      <c r="BB579" s="0" t="s">
        <v>240</v>
      </c>
      <c r="BC579" s="0" t="s">
        <v>240</v>
      </c>
      <c r="BD579" s="0" t="s">
        <v>240</v>
      </c>
      <c r="BE579" s="0" t="s">
        <v>240</v>
      </c>
      <c r="BF579" s="0" t="s">
        <v>240</v>
      </c>
      <c r="BG579" s="0" t="s">
        <v>240</v>
      </c>
      <c r="BH579" s="0" t="s">
        <v>240</v>
      </c>
      <c r="BI579" s="0" t="s">
        <v>240</v>
      </c>
      <c r="BJ579" s="0" t="s">
        <v>240</v>
      </c>
      <c r="BK579" s="0" t="s">
        <v>240</v>
      </c>
      <c r="BL579" s="0" t="s">
        <v>240</v>
      </c>
      <c r="BM579" s="0" t="s">
        <v>240</v>
      </c>
      <c r="BN579" s="0" t="s">
        <v>240</v>
      </c>
      <c r="BO579" s="0" t="s">
        <v>240</v>
      </c>
      <c r="BP579" s="0" t="s">
        <v>240</v>
      </c>
      <c r="BQ579" s="0" t="s">
        <v>240</v>
      </c>
      <c r="BR579" s="0" t="s">
        <v>240</v>
      </c>
      <c r="BS579" s="0" t="s">
        <v>240</v>
      </c>
      <c r="BT579" s="0" t="s">
        <v>240</v>
      </c>
      <c r="BU579" s="0" t="s">
        <v>240</v>
      </c>
      <c r="BV579" s="0" t="s">
        <v>240</v>
      </c>
      <c r="BW579" s="0" t="s">
        <v>240</v>
      </c>
      <c r="BX579" s="0" t="s">
        <v>240</v>
      </c>
      <c r="BY579" s="0" t="s">
        <v>240</v>
      </c>
      <c r="BZ579" s="0" t="s">
        <v>240</v>
      </c>
      <c r="CA579" s="0" t="s">
        <v>240</v>
      </c>
      <c r="CB579" s="0" t="s">
        <v>240</v>
      </c>
      <c r="CC579" s="0" t="s">
        <v>240</v>
      </c>
      <c r="CD579" s="0" t="s">
        <v>240</v>
      </c>
      <c r="CE579" s="0" t="s">
        <v>240</v>
      </c>
      <c r="CF579" s="0" t="s">
        <v>240</v>
      </c>
      <c r="CG579" s="0" t="s">
        <v>240</v>
      </c>
      <c r="CH579" s="0" t="s">
        <v>240</v>
      </c>
      <c r="CI579" s="0" t="s">
        <v>240</v>
      </c>
      <c r="CJ579" s="0" t="s">
        <v>240</v>
      </c>
      <c r="CK579" s="0" t="s">
        <v>240</v>
      </c>
      <c r="CL579" s="0" t="s">
        <v>240</v>
      </c>
      <c r="CM579" s="0" t="s">
        <v>240</v>
      </c>
      <c r="CN579" s="0" t="s">
        <v>240</v>
      </c>
      <c r="CO579" s="0" t="s">
        <v>240</v>
      </c>
      <c r="CP579" s="0" t="s">
        <v>240</v>
      </c>
      <c r="CQ579" s="0" t="s">
        <v>240</v>
      </c>
      <c r="CR579" s="0" t="s">
        <v>240</v>
      </c>
      <c r="CS579" s="0" t="s">
        <v>240</v>
      </c>
      <c r="CT579" s="0" t="s">
        <v>5496</v>
      </c>
      <c r="CU579" s="0" t="s">
        <v>5497</v>
      </c>
      <c r="CV579" s="0" t="s">
        <v>443</v>
      </c>
      <c r="CW579" s="0" t="s">
        <v>5547</v>
      </c>
      <c r="CX579" s="0" t="s">
        <v>229</v>
      </c>
      <c r="CY579" s="0" t="s">
        <v>443</v>
      </c>
      <c r="CZ579" s="0" t="s">
        <v>5548</v>
      </c>
      <c r="DA579" s="0" t="s">
        <v>5549</v>
      </c>
      <c r="DB579" s="0" t="s">
        <v>5547</v>
      </c>
      <c r="DC579" s="0" t="s">
        <v>384</v>
      </c>
      <c r="DD579" s="0" t="s">
        <v>291</v>
      </c>
      <c r="DE579" s="0" t="s">
        <v>6121</v>
      </c>
    </row>
    <row customHeight="1" ht="11.25">
      <c r="A580" s="1441" t="s">
        <v>240</v>
      </c>
      <c r="B580" s="0" t="s">
        <v>240</v>
      </c>
      <c r="C580" s="0" t="s">
        <v>240</v>
      </c>
      <c r="D580" s="0" t="s">
        <v>240</v>
      </c>
      <c r="E580" s="0" t="s">
        <v>240</v>
      </c>
      <c r="F580" s="0" t="s">
        <v>240</v>
      </c>
      <c r="G580" s="0" t="s">
        <v>240</v>
      </c>
      <c r="H580" s="0" t="s">
        <v>240</v>
      </c>
      <c r="I580" s="0" t="s">
        <v>5484</v>
      </c>
      <c r="J580" s="0" t="s">
        <v>240</v>
      </c>
      <c r="K580" s="0" t="s">
        <v>240</v>
      </c>
      <c r="L580" s="0" t="s">
        <v>240</v>
      </c>
      <c r="M580" s="0" t="s">
        <v>240</v>
      </c>
      <c r="N580" s="0" t="s">
        <v>240</v>
      </c>
      <c r="O580" s="0" t="s">
        <v>240</v>
      </c>
      <c r="P580" s="0" t="s">
        <v>240</v>
      </c>
      <c r="Q580" s="0" t="s">
        <v>240</v>
      </c>
      <c r="R580" s="0" t="s">
        <v>6389</v>
      </c>
      <c r="S580" s="0" t="s">
        <v>240</v>
      </c>
      <c r="T580" s="0" t="s">
        <v>240</v>
      </c>
      <c r="U580" s="0" t="s">
        <v>102</v>
      </c>
      <c r="V580" s="0" t="s">
        <v>240</v>
      </c>
      <c r="W580" s="0" t="s">
        <v>240</v>
      </c>
      <c r="X580" s="0" t="s">
        <v>5485</v>
      </c>
      <c r="Y580" s="0" t="s">
        <v>240</v>
      </c>
      <c r="Z580" s="0" t="s">
        <v>161</v>
      </c>
      <c r="AA580" s="0" t="s">
        <v>152</v>
      </c>
      <c r="AB580" s="0" t="s">
        <v>152</v>
      </c>
      <c r="AC580" s="0" t="s">
        <v>2991</v>
      </c>
      <c r="AD580" s="0" t="s">
        <v>2991</v>
      </c>
      <c r="AE580" s="0" t="s">
        <v>2992</v>
      </c>
      <c r="AF580" s="0" t="s">
        <v>5828</v>
      </c>
      <c r="AG580" s="0" t="s">
        <v>5829</v>
      </c>
      <c r="AH580" s="0" t="s">
        <v>5886</v>
      </c>
      <c r="AI580" s="0" t="s">
        <v>5694</v>
      </c>
      <c r="AJ580" s="0" t="s">
        <v>5576</v>
      </c>
      <c r="AK580" s="0" t="s">
        <v>5830</v>
      </c>
      <c r="AL580" s="0" t="s">
        <v>5506</v>
      </c>
      <c r="AM580" s="0" t="s">
        <v>5493</v>
      </c>
      <c r="AN580" s="0" t="s">
        <v>5553</v>
      </c>
      <c r="AO580" s="0" t="s">
        <v>5877</v>
      </c>
      <c r="AP580" s="0" t="s">
        <v>240</v>
      </c>
      <c r="AQ580" s="0" t="s">
        <v>240</v>
      </c>
      <c r="AR580" s="0" t="s">
        <v>240</v>
      </c>
      <c r="AS580" s="0" t="s">
        <v>240</v>
      </c>
      <c r="AT580" s="0" t="s">
        <v>240</v>
      </c>
      <c r="AU580" s="0" t="s">
        <v>240</v>
      </c>
      <c r="AV580" s="0" t="s">
        <v>240</v>
      </c>
      <c r="AW580" s="0" t="s">
        <v>240</v>
      </c>
      <c r="AX580" s="0" t="s">
        <v>240</v>
      </c>
      <c r="AY580" s="0" t="s">
        <v>240</v>
      </c>
      <c r="AZ580" s="0" t="s">
        <v>240</v>
      </c>
      <c r="BA580" s="0" t="s">
        <v>240</v>
      </c>
      <c r="BB580" s="0" t="s">
        <v>240</v>
      </c>
      <c r="BC580" s="0" t="s">
        <v>240</v>
      </c>
      <c r="BD580" s="0" t="s">
        <v>240</v>
      </c>
      <c r="BE580" s="0" t="s">
        <v>240</v>
      </c>
      <c r="BF580" s="0" t="s">
        <v>240</v>
      </c>
      <c r="BG580" s="0" t="s">
        <v>240</v>
      </c>
      <c r="BH580" s="0" t="s">
        <v>240</v>
      </c>
      <c r="BI580" s="0" t="s">
        <v>240</v>
      </c>
      <c r="BJ580" s="0" t="s">
        <v>240</v>
      </c>
      <c r="BK580" s="0" t="s">
        <v>240</v>
      </c>
      <c r="BL580" s="0" t="s">
        <v>240</v>
      </c>
      <c r="BM580" s="0" t="s">
        <v>240</v>
      </c>
      <c r="BN580" s="0" t="s">
        <v>240</v>
      </c>
      <c r="BO580" s="0" t="s">
        <v>240</v>
      </c>
      <c r="BP580" s="0" t="s">
        <v>240</v>
      </c>
      <c r="BQ580" s="0" t="s">
        <v>240</v>
      </c>
      <c r="BR580" s="0" t="s">
        <v>240</v>
      </c>
      <c r="BS580" s="0" t="s">
        <v>240</v>
      </c>
      <c r="BT580" s="0" t="s">
        <v>240</v>
      </c>
      <c r="BU580" s="0" t="s">
        <v>240</v>
      </c>
      <c r="BV580" s="0" t="s">
        <v>240</v>
      </c>
      <c r="BW580" s="0" t="s">
        <v>240</v>
      </c>
      <c r="BX580" s="0" t="s">
        <v>240</v>
      </c>
      <c r="BY580" s="0" t="s">
        <v>240</v>
      </c>
      <c r="BZ580" s="0" t="s">
        <v>240</v>
      </c>
      <c r="CA580" s="0" t="s">
        <v>240</v>
      </c>
      <c r="CB580" s="0" t="s">
        <v>240</v>
      </c>
      <c r="CC580" s="0" t="s">
        <v>240</v>
      </c>
      <c r="CD580" s="0" t="s">
        <v>240</v>
      </c>
      <c r="CE580" s="0" t="s">
        <v>240</v>
      </c>
      <c r="CF580" s="0" t="s">
        <v>240</v>
      </c>
      <c r="CG580" s="0" t="s">
        <v>240</v>
      </c>
      <c r="CH580" s="0" t="s">
        <v>240</v>
      </c>
      <c r="CI580" s="0" t="s">
        <v>240</v>
      </c>
      <c r="CJ580" s="0" t="s">
        <v>240</v>
      </c>
      <c r="CK580" s="0" t="s">
        <v>240</v>
      </c>
      <c r="CL580" s="0" t="s">
        <v>240</v>
      </c>
      <c r="CM580" s="0" t="s">
        <v>240</v>
      </c>
      <c r="CN580" s="0" t="s">
        <v>240</v>
      </c>
      <c r="CO580" s="0" t="s">
        <v>240</v>
      </c>
      <c r="CP580" s="0" t="s">
        <v>240</v>
      </c>
      <c r="CQ580" s="0" t="s">
        <v>240</v>
      </c>
      <c r="CR580" s="0" t="s">
        <v>240</v>
      </c>
      <c r="CS580" s="0" t="s">
        <v>240</v>
      </c>
      <c r="CT580" s="0" t="s">
        <v>5496</v>
      </c>
      <c r="CU580" s="0" t="s">
        <v>5497</v>
      </c>
      <c r="CV580" s="0" t="s">
        <v>443</v>
      </c>
      <c r="CW580" s="0" t="s">
        <v>5547</v>
      </c>
      <c r="CX580" s="0" t="s">
        <v>229</v>
      </c>
      <c r="CY580" s="0" t="s">
        <v>443</v>
      </c>
      <c r="CZ580" s="0" t="s">
        <v>5548</v>
      </c>
      <c r="DA580" s="0" t="s">
        <v>5549</v>
      </c>
      <c r="DB580" s="0" t="s">
        <v>5547</v>
      </c>
      <c r="DC580" s="0" t="s">
        <v>384</v>
      </c>
      <c r="DD580" s="0" t="s">
        <v>291</v>
      </c>
      <c r="DE580" s="0" t="s">
        <v>6390</v>
      </c>
    </row>
    <row customHeight="1" ht="11.25">
      <c r="A581" s="1441" t="s">
        <v>240</v>
      </c>
      <c r="B581" s="0" t="s">
        <v>240</v>
      </c>
      <c r="C581" s="0" t="s">
        <v>240</v>
      </c>
      <c r="D581" s="0" t="s">
        <v>240</v>
      </c>
      <c r="E581" s="0" t="s">
        <v>240</v>
      </c>
      <c r="F581" s="0" t="s">
        <v>240</v>
      </c>
      <c r="G581" s="0" t="s">
        <v>240</v>
      </c>
      <c r="H581" s="0" t="s">
        <v>240</v>
      </c>
      <c r="I581" s="0" t="s">
        <v>5484</v>
      </c>
      <c r="J581" s="0" t="s">
        <v>240</v>
      </c>
      <c r="K581" s="0" t="s">
        <v>240</v>
      </c>
      <c r="L581" s="0" t="s">
        <v>240</v>
      </c>
      <c r="M581" s="0" t="s">
        <v>240</v>
      </c>
      <c r="N581" s="0" t="s">
        <v>240</v>
      </c>
      <c r="O581" s="0" t="s">
        <v>240</v>
      </c>
      <c r="P581" s="0" t="s">
        <v>240</v>
      </c>
      <c r="Q581" s="0" t="s">
        <v>240</v>
      </c>
      <c r="R581" s="0" t="s">
        <v>6391</v>
      </c>
      <c r="S581" s="0" t="s">
        <v>240</v>
      </c>
      <c r="T581" s="0" t="s">
        <v>240</v>
      </c>
      <c r="U581" s="0" t="s">
        <v>102</v>
      </c>
      <c r="V581" s="0" t="s">
        <v>240</v>
      </c>
      <c r="W581" s="0" t="s">
        <v>240</v>
      </c>
      <c r="X581" s="0" t="s">
        <v>5485</v>
      </c>
      <c r="Y581" s="0" t="s">
        <v>240</v>
      </c>
      <c r="Z581" s="0" t="s">
        <v>161</v>
      </c>
      <c r="AA581" s="0" t="s">
        <v>152</v>
      </c>
      <c r="AB581" s="0" t="s">
        <v>152</v>
      </c>
      <c r="AC581" s="0" t="s">
        <v>2991</v>
      </c>
      <c r="AD581" s="0" t="s">
        <v>2991</v>
      </c>
      <c r="AE581" s="0" t="s">
        <v>2992</v>
      </c>
      <c r="AF581" s="0" t="s">
        <v>5828</v>
      </c>
      <c r="AG581" s="0" t="s">
        <v>5829</v>
      </c>
      <c r="AH581" s="0" t="s">
        <v>5886</v>
      </c>
      <c r="AI581" s="0" t="s">
        <v>6392</v>
      </c>
      <c r="AJ581" s="0" t="s">
        <v>5576</v>
      </c>
      <c r="AK581" s="0" t="s">
        <v>5776</v>
      </c>
      <c r="AL581" s="0" t="s">
        <v>5506</v>
      </c>
      <c r="AM581" s="0" t="s">
        <v>5493</v>
      </c>
      <c r="AN581" s="0" t="s">
        <v>5545</v>
      </c>
      <c r="AO581" s="0" t="s">
        <v>5508</v>
      </c>
      <c r="AP581" s="0" t="s">
        <v>240</v>
      </c>
      <c r="AQ581" s="0" t="s">
        <v>240</v>
      </c>
      <c r="AR581" s="0" t="s">
        <v>240</v>
      </c>
      <c r="AS581" s="0" t="s">
        <v>240</v>
      </c>
      <c r="AT581" s="0" t="s">
        <v>240</v>
      </c>
      <c r="AU581" s="0" t="s">
        <v>240</v>
      </c>
      <c r="AV581" s="0" t="s">
        <v>240</v>
      </c>
      <c r="AW581" s="0" t="s">
        <v>240</v>
      </c>
      <c r="AX581" s="0" t="s">
        <v>240</v>
      </c>
      <c r="AY581" s="0" t="s">
        <v>240</v>
      </c>
      <c r="AZ581" s="0" t="s">
        <v>240</v>
      </c>
      <c r="BA581" s="0" t="s">
        <v>240</v>
      </c>
      <c r="BB581" s="0" t="s">
        <v>240</v>
      </c>
      <c r="BC581" s="0" t="s">
        <v>240</v>
      </c>
      <c r="BD581" s="0" t="s">
        <v>240</v>
      </c>
      <c r="BE581" s="0" t="s">
        <v>240</v>
      </c>
      <c r="BF581" s="0" t="s">
        <v>240</v>
      </c>
      <c r="BG581" s="0" t="s">
        <v>240</v>
      </c>
      <c r="BH581" s="0" t="s">
        <v>240</v>
      </c>
      <c r="BI581" s="0" t="s">
        <v>240</v>
      </c>
      <c r="BJ581" s="0" t="s">
        <v>240</v>
      </c>
      <c r="BK581" s="0" t="s">
        <v>240</v>
      </c>
      <c r="BL581" s="0" t="s">
        <v>240</v>
      </c>
      <c r="BM581" s="0" t="s">
        <v>240</v>
      </c>
      <c r="BN581" s="0" t="s">
        <v>240</v>
      </c>
      <c r="BO581" s="0" t="s">
        <v>240</v>
      </c>
      <c r="BP581" s="0" t="s">
        <v>240</v>
      </c>
      <c r="BQ581" s="0" t="s">
        <v>240</v>
      </c>
      <c r="BR581" s="0" t="s">
        <v>240</v>
      </c>
      <c r="BS581" s="0" t="s">
        <v>240</v>
      </c>
      <c r="BT581" s="0" t="s">
        <v>240</v>
      </c>
      <c r="BU581" s="0" t="s">
        <v>240</v>
      </c>
      <c r="BV581" s="0" t="s">
        <v>240</v>
      </c>
      <c r="BW581" s="0" t="s">
        <v>240</v>
      </c>
      <c r="BX581" s="0" t="s">
        <v>240</v>
      </c>
      <c r="BY581" s="0" t="s">
        <v>240</v>
      </c>
      <c r="BZ581" s="0" t="s">
        <v>240</v>
      </c>
      <c r="CA581" s="0" t="s">
        <v>240</v>
      </c>
      <c r="CB581" s="0" t="s">
        <v>240</v>
      </c>
      <c r="CC581" s="0" t="s">
        <v>240</v>
      </c>
      <c r="CD581" s="0" t="s">
        <v>240</v>
      </c>
      <c r="CE581" s="0" t="s">
        <v>240</v>
      </c>
      <c r="CF581" s="0" t="s">
        <v>240</v>
      </c>
      <c r="CG581" s="0" t="s">
        <v>240</v>
      </c>
      <c r="CH581" s="0" t="s">
        <v>240</v>
      </c>
      <c r="CI581" s="0" t="s">
        <v>240</v>
      </c>
      <c r="CJ581" s="0" t="s">
        <v>240</v>
      </c>
      <c r="CK581" s="0" t="s">
        <v>240</v>
      </c>
      <c r="CL581" s="0" t="s">
        <v>240</v>
      </c>
      <c r="CM581" s="0" t="s">
        <v>240</v>
      </c>
      <c r="CN581" s="0" t="s">
        <v>240</v>
      </c>
      <c r="CO581" s="0" t="s">
        <v>240</v>
      </c>
      <c r="CP581" s="0" t="s">
        <v>240</v>
      </c>
      <c r="CQ581" s="0" t="s">
        <v>240</v>
      </c>
      <c r="CR581" s="0" t="s">
        <v>240</v>
      </c>
      <c r="CS581" s="0" t="s">
        <v>240</v>
      </c>
      <c r="CT581" s="0" t="s">
        <v>5496</v>
      </c>
      <c r="CU581" s="0" t="s">
        <v>5497</v>
      </c>
      <c r="CV581" s="0" t="s">
        <v>443</v>
      </c>
      <c r="CW581" s="0" t="s">
        <v>5547</v>
      </c>
      <c r="CX581" s="0" t="s">
        <v>229</v>
      </c>
      <c r="CY581" s="0" t="s">
        <v>443</v>
      </c>
      <c r="CZ581" s="0" t="s">
        <v>5548</v>
      </c>
      <c r="DA581" s="0" t="s">
        <v>5549</v>
      </c>
      <c r="DB581" s="0" t="s">
        <v>5547</v>
      </c>
      <c r="DC581" s="0" t="s">
        <v>384</v>
      </c>
      <c r="DD581" s="0" t="s">
        <v>291</v>
      </c>
      <c r="DE581" s="0" t="s">
        <v>6393</v>
      </c>
    </row>
    <row customHeight="1" ht="11.25">
      <c r="A582" s="1441" t="s">
        <v>240</v>
      </c>
      <c r="B582" s="0" t="s">
        <v>240</v>
      </c>
      <c r="C582" s="0" t="s">
        <v>240</v>
      </c>
      <c r="D582" s="0" t="s">
        <v>240</v>
      </c>
      <c r="E582" s="0" t="s">
        <v>240</v>
      </c>
      <c r="F582" s="0" t="s">
        <v>240</v>
      </c>
      <c r="G582" s="0" t="s">
        <v>240</v>
      </c>
      <c r="H582" s="0" t="s">
        <v>240</v>
      </c>
      <c r="I582" s="0" t="s">
        <v>5484</v>
      </c>
      <c r="J582" s="0" t="s">
        <v>240</v>
      </c>
      <c r="K582" s="0" t="s">
        <v>240</v>
      </c>
      <c r="L582" s="0" t="s">
        <v>240</v>
      </c>
      <c r="M582" s="0" t="s">
        <v>240</v>
      </c>
      <c r="N582" s="0" t="s">
        <v>240</v>
      </c>
      <c r="O582" s="0" t="s">
        <v>240</v>
      </c>
      <c r="P582" s="0" t="s">
        <v>240</v>
      </c>
      <c r="Q582" s="0" t="s">
        <v>240</v>
      </c>
      <c r="R582" s="0" t="s">
        <v>5572</v>
      </c>
      <c r="S582" s="0" t="s">
        <v>240</v>
      </c>
      <c r="T582" s="0" t="s">
        <v>240</v>
      </c>
      <c r="U582" s="0" t="s">
        <v>102</v>
      </c>
      <c r="V582" s="0" t="s">
        <v>240</v>
      </c>
      <c r="W582" s="0" t="s">
        <v>240</v>
      </c>
      <c r="X582" s="0" t="s">
        <v>5485</v>
      </c>
      <c r="Y582" s="0" t="s">
        <v>240</v>
      </c>
      <c r="Z582" s="0" t="s">
        <v>161</v>
      </c>
      <c r="AA582" s="0" t="s">
        <v>152</v>
      </c>
      <c r="AB582" s="0" t="s">
        <v>152</v>
      </c>
      <c r="AC582" s="0" t="s">
        <v>2989</v>
      </c>
      <c r="AD582" s="0" t="s">
        <v>2989</v>
      </c>
      <c r="AE582" s="0" t="s">
        <v>2990</v>
      </c>
      <c r="AF582" s="0" t="s">
        <v>6135</v>
      </c>
      <c r="AG582" s="0" t="s">
        <v>6136</v>
      </c>
      <c r="AH582" s="0" t="s">
        <v>6137</v>
      </c>
      <c r="AI582" s="0" t="s">
        <v>454</v>
      </c>
      <c r="AJ582" s="0" t="s">
        <v>5576</v>
      </c>
      <c r="AK582" s="0" t="s">
        <v>6131</v>
      </c>
      <c r="AL582" s="0" t="s">
        <v>5506</v>
      </c>
      <c r="AM582" s="0" t="s">
        <v>5493</v>
      </c>
      <c r="AN582" s="0" t="s">
        <v>5578</v>
      </c>
      <c r="AO582" s="0" t="s">
        <v>5855</v>
      </c>
      <c r="AP582" s="0" t="s">
        <v>240</v>
      </c>
      <c r="AQ582" s="0" t="s">
        <v>240</v>
      </c>
      <c r="AR582" s="0" t="s">
        <v>240</v>
      </c>
      <c r="AS582" s="0" t="s">
        <v>240</v>
      </c>
      <c r="AT582" s="0" t="s">
        <v>240</v>
      </c>
      <c r="AU582" s="0" t="s">
        <v>240</v>
      </c>
      <c r="AV582" s="0" t="s">
        <v>240</v>
      </c>
      <c r="AW582" s="0" t="s">
        <v>240</v>
      </c>
      <c r="AX582" s="0" t="s">
        <v>240</v>
      </c>
      <c r="AY582" s="0" t="s">
        <v>240</v>
      </c>
      <c r="AZ582" s="0" t="s">
        <v>240</v>
      </c>
      <c r="BA582" s="0" t="s">
        <v>240</v>
      </c>
      <c r="BB582" s="0" t="s">
        <v>240</v>
      </c>
      <c r="BC582" s="0" t="s">
        <v>240</v>
      </c>
      <c r="BD582" s="0" t="s">
        <v>240</v>
      </c>
      <c r="BE582" s="0" t="s">
        <v>240</v>
      </c>
      <c r="BF582" s="0" t="s">
        <v>240</v>
      </c>
      <c r="BG582" s="0" t="s">
        <v>240</v>
      </c>
      <c r="BH582" s="0" t="s">
        <v>240</v>
      </c>
      <c r="BI582" s="0" t="s">
        <v>240</v>
      </c>
      <c r="BJ582" s="0" t="s">
        <v>240</v>
      </c>
      <c r="BK582" s="0" t="s">
        <v>240</v>
      </c>
      <c r="BL582" s="0" t="s">
        <v>240</v>
      </c>
      <c r="BM582" s="0" t="s">
        <v>240</v>
      </c>
      <c r="BN582" s="0" t="s">
        <v>240</v>
      </c>
      <c r="BO582" s="0" t="s">
        <v>240</v>
      </c>
      <c r="BP582" s="0" t="s">
        <v>240</v>
      </c>
      <c r="BQ582" s="0" t="s">
        <v>240</v>
      </c>
      <c r="BR582" s="0" t="s">
        <v>240</v>
      </c>
      <c r="BS582" s="0" t="s">
        <v>240</v>
      </c>
      <c r="BT582" s="0" t="s">
        <v>240</v>
      </c>
      <c r="BU582" s="0" t="s">
        <v>240</v>
      </c>
      <c r="BV582" s="0" t="s">
        <v>240</v>
      </c>
      <c r="BW582" s="0" t="s">
        <v>240</v>
      </c>
      <c r="BX582" s="0" t="s">
        <v>240</v>
      </c>
      <c r="BY582" s="0" t="s">
        <v>240</v>
      </c>
      <c r="BZ582" s="0" t="s">
        <v>240</v>
      </c>
      <c r="CA582" s="0" t="s">
        <v>240</v>
      </c>
      <c r="CB582" s="0" t="s">
        <v>240</v>
      </c>
      <c r="CC582" s="0" t="s">
        <v>240</v>
      </c>
      <c r="CD582" s="0" t="s">
        <v>240</v>
      </c>
      <c r="CE582" s="0" t="s">
        <v>240</v>
      </c>
      <c r="CF582" s="0" t="s">
        <v>240</v>
      </c>
      <c r="CG582" s="0" t="s">
        <v>240</v>
      </c>
      <c r="CH582" s="0" t="s">
        <v>240</v>
      </c>
      <c r="CI582" s="0" t="s">
        <v>240</v>
      </c>
      <c r="CJ582" s="0" t="s">
        <v>240</v>
      </c>
      <c r="CK582" s="0" t="s">
        <v>240</v>
      </c>
      <c r="CL582" s="0" t="s">
        <v>240</v>
      </c>
      <c r="CM582" s="0" t="s">
        <v>240</v>
      </c>
      <c r="CN582" s="0" t="s">
        <v>240</v>
      </c>
      <c r="CO582" s="0" t="s">
        <v>240</v>
      </c>
      <c r="CP582" s="0" t="s">
        <v>240</v>
      </c>
      <c r="CQ582" s="0" t="s">
        <v>240</v>
      </c>
      <c r="CR582" s="0" t="s">
        <v>240</v>
      </c>
      <c r="CS582" s="0" t="s">
        <v>240</v>
      </c>
      <c r="CT582" s="0" t="s">
        <v>5496</v>
      </c>
      <c r="CU582" s="0" t="s">
        <v>5497</v>
      </c>
      <c r="CV582" s="0" t="s">
        <v>443</v>
      </c>
      <c r="CW582" s="0" t="s">
        <v>5580</v>
      </c>
      <c r="CX582" s="0" t="s">
        <v>229</v>
      </c>
      <c r="CY582" s="0" t="s">
        <v>443</v>
      </c>
      <c r="CZ582" s="0" t="s">
        <v>5581</v>
      </c>
      <c r="DA582" s="0" t="s">
        <v>5582</v>
      </c>
      <c r="DB582" s="0" t="s">
        <v>5580</v>
      </c>
      <c r="DC582" s="0" t="s">
        <v>384</v>
      </c>
      <c r="DD582" s="0" t="s">
        <v>291</v>
      </c>
      <c r="DE582" s="0" t="s">
        <v>6138</v>
      </c>
    </row>
    <row customHeight="1" ht="11.25">
      <c r="A583" s="1441" t="s">
        <v>240</v>
      </c>
      <c r="B583" s="0" t="s">
        <v>240</v>
      </c>
      <c r="C583" s="0" t="s">
        <v>240</v>
      </c>
      <c r="D583" s="0" t="s">
        <v>240</v>
      </c>
      <c r="E583" s="0" t="s">
        <v>240</v>
      </c>
      <c r="F583" s="0" t="s">
        <v>240</v>
      </c>
      <c r="G583" s="0" t="s">
        <v>240</v>
      </c>
      <c r="H583" s="0" t="s">
        <v>240</v>
      </c>
      <c r="I583" s="0" t="s">
        <v>5484</v>
      </c>
      <c r="J583" s="0" t="s">
        <v>240</v>
      </c>
      <c r="K583" s="0" t="s">
        <v>240</v>
      </c>
      <c r="L583" s="0" t="s">
        <v>240</v>
      </c>
      <c r="M583" s="0" t="s">
        <v>240</v>
      </c>
      <c r="N583" s="0" t="s">
        <v>240</v>
      </c>
      <c r="O583" s="0" t="s">
        <v>240</v>
      </c>
      <c r="P583" s="0" t="s">
        <v>240</v>
      </c>
      <c r="Q583" s="0" t="s">
        <v>240</v>
      </c>
      <c r="R583" s="0" t="s">
        <v>5572</v>
      </c>
      <c r="S583" s="0" t="s">
        <v>240</v>
      </c>
      <c r="T583" s="0" t="s">
        <v>240</v>
      </c>
      <c r="U583" s="0" t="s">
        <v>102</v>
      </c>
      <c r="V583" s="0" t="s">
        <v>240</v>
      </c>
      <c r="W583" s="0" t="s">
        <v>240</v>
      </c>
      <c r="X583" s="0" t="s">
        <v>5485</v>
      </c>
      <c r="Y583" s="0" t="s">
        <v>240</v>
      </c>
      <c r="Z583" s="0" t="s">
        <v>161</v>
      </c>
      <c r="AA583" s="0" t="s">
        <v>152</v>
      </c>
      <c r="AB583" s="0" t="s">
        <v>152</v>
      </c>
      <c r="AC583" s="0" t="s">
        <v>2989</v>
      </c>
      <c r="AD583" s="0" t="s">
        <v>2989</v>
      </c>
      <c r="AE583" s="0" t="s">
        <v>2990</v>
      </c>
      <c r="AF583" s="0" t="s">
        <v>6135</v>
      </c>
      <c r="AG583" s="0" t="s">
        <v>6136</v>
      </c>
      <c r="AH583" s="0" t="s">
        <v>6398</v>
      </c>
      <c r="AI583" s="0" t="s">
        <v>299</v>
      </c>
      <c r="AJ583" s="0" t="s">
        <v>5576</v>
      </c>
      <c r="AK583" s="0" t="s">
        <v>5814</v>
      </c>
      <c r="AL583" s="0" t="s">
        <v>5506</v>
      </c>
      <c r="AM583" s="0" t="s">
        <v>5493</v>
      </c>
      <c r="AN583" s="0" t="s">
        <v>5578</v>
      </c>
      <c r="AO583" s="0" t="s">
        <v>5855</v>
      </c>
      <c r="AP583" s="0" t="s">
        <v>240</v>
      </c>
      <c r="AQ583" s="0" t="s">
        <v>240</v>
      </c>
      <c r="AR583" s="0" t="s">
        <v>240</v>
      </c>
      <c r="AS583" s="0" t="s">
        <v>240</v>
      </c>
      <c r="AT583" s="0" t="s">
        <v>240</v>
      </c>
      <c r="AU583" s="0" t="s">
        <v>240</v>
      </c>
      <c r="AV583" s="0" t="s">
        <v>240</v>
      </c>
      <c r="AW583" s="0" t="s">
        <v>240</v>
      </c>
      <c r="AX583" s="0" t="s">
        <v>240</v>
      </c>
      <c r="AY583" s="0" t="s">
        <v>240</v>
      </c>
      <c r="AZ583" s="0" t="s">
        <v>240</v>
      </c>
      <c r="BA583" s="0" t="s">
        <v>240</v>
      </c>
      <c r="BB583" s="0" t="s">
        <v>240</v>
      </c>
      <c r="BC583" s="0" t="s">
        <v>240</v>
      </c>
      <c r="BD583" s="0" t="s">
        <v>240</v>
      </c>
      <c r="BE583" s="0" t="s">
        <v>240</v>
      </c>
      <c r="BF583" s="0" t="s">
        <v>240</v>
      </c>
      <c r="BG583" s="0" t="s">
        <v>240</v>
      </c>
      <c r="BH583" s="0" t="s">
        <v>240</v>
      </c>
      <c r="BI583" s="0" t="s">
        <v>240</v>
      </c>
      <c r="BJ583" s="0" t="s">
        <v>240</v>
      </c>
      <c r="BK583" s="0" t="s">
        <v>240</v>
      </c>
      <c r="BL583" s="0" t="s">
        <v>240</v>
      </c>
      <c r="BM583" s="0" t="s">
        <v>240</v>
      </c>
      <c r="BN583" s="0" t="s">
        <v>240</v>
      </c>
      <c r="BO583" s="0" t="s">
        <v>240</v>
      </c>
      <c r="BP583" s="0" t="s">
        <v>240</v>
      </c>
      <c r="BQ583" s="0" t="s">
        <v>240</v>
      </c>
      <c r="BR583" s="0" t="s">
        <v>240</v>
      </c>
      <c r="BS583" s="0" t="s">
        <v>240</v>
      </c>
      <c r="BT583" s="0" t="s">
        <v>240</v>
      </c>
      <c r="BU583" s="0" t="s">
        <v>240</v>
      </c>
      <c r="BV583" s="0" t="s">
        <v>240</v>
      </c>
      <c r="BW583" s="0" t="s">
        <v>240</v>
      </c>
      <c r="BX583" s="0" t="s">
        <v>240</v>
      </c>
      <c r="BY583" s="0" t="s">
        <v>240</v>
      </c>
      <c r="BZ583" s="0" t="s">
        <v>240</v>
      </c>
      <c r="CA583" s="0" t="s">
        <v>240</v>
      </c>
      <c r="CB583" s="0" t="s">
        <v>240</v>
      </c>
      <c r="CC583" s="0" t="s">
        <v>240</v>
      </c>
      <c r="CD583" s="0" t="s">
        <v>240</v>
      </c>
      <c r="CE583" s="0" t="s">
        <v>240</v>
      </c>
      <c r="CF583" s="0" t="s">
        <v>240</v>
      </c>
      <c r="CG583" s="0" t="s">
        <v>240</v>
      </c>
      <c r="CH583" s="0" t="s">
        <v>240</v>
      </c>
      <c r="CI583" s="0" t="s">
        <v>240</v>
      </c>
      <c r="CJ583" s="0" t="s">
        <v>240</v>
      </c>
      <c r="CK583" s="0" t="s">
        <v>240</v>
      </c>
      <c r="CL583" s="0" t="s">
        <v>240</v>
      </c>
      <c r="CM583" s="0" t="s">
        <v>240</v>
      </c>
      <c r="CN583" s="0" t="s">
        <v>240</v>
      </c>
      <c r="CO583" s="0" t="s">
        <v>240</v>
      </c>
      <c r="CP583" s="0" t="s">
        <v>240</v>
      </c>
      <c r="CQ583" s="0" t="s">
        <v>240</v>
      </c>
      <c r="CR583" s="0" t="s">
        <v>240</v>
      </c>
      <c r="CS583" s="0" t="s">
        <v>240</v>
      </c>
      <c r="CT583" s="0" t="s">
        <v>5496</v>
      </c>
      <c r="CU583" s="0" t="s">
        <v>5497</v>
      </c>
      <c r="CV583" s="0" t="s">
        <v>443</v>
      </c>
      <c r="CW583" s="0" t="s">
        <v>5580</v>
      </c>
      <c r="CX583" s="0" t="s">
        <v>229</v>
      </c>
      <c r="CY583" s="0" t="s">
        <v>443</v>
      </c>
      <c r="CZ583" s="0" t="s">
        <v>5581</v>
      </c>
      <c r="DA583" s="0" t="s">
        <v>5582</v>
      </c>
      <c r="DB583" s="0" t="s">
        <v>5580</v>
      </c>
      <c r="DC583" s="0" t="s">
        <v>384</v>
      </c>
      <c r="DD583" s="0" t="s">
        <v>291</v>
      </c>
      <c r="DE583" s="0" t="s">
        <v>6399</v>
      </c>
    </row>
    <row customHeight="1" ht="11.25">
      <c r="A584" s="1441" t="s">
        <v>240</v>
      </c>
      <c r="B584" s="0" t="s">
        <v>240</v>
      </c>
      <c r="C584" s="0" t="s">
        <v>240</v>
      </c>
      <c r="D584" s="0" t="s">
        <v>240</v>
      </c>
      <c r="E584" s="0" t="s">
        <v>240</v>
      </c>
      <c r="F584" s="0" t="s">
        <v>240</v>
      </c>
      <c r="G584" s="0" t="s">
        <v>240</v>
      </c>
      <c r="H584" s="0" t="s">
        <v>240</v>
      </c>
      <c r="I584" s="0" t="s">
        <v>5484</v>
      </c>
      <c r="J584" s="0" t="s">
        <v>240</v>
      </c>
      <c r="K584" s="0" t="s">
        <v>240</v>
      </c>
      <c r="L584" s="0" t="s">
        <v>240</v>
      </c>
      <c r="M584" s="0" t="s">
        <v>240</v>
      </c>
      <c r="N584" s="0" t="s">
        <v>240</v>
      </c>
      <c r="O584" s="0" t="s">
        <v>240</v>
      </c>
      <c r="P584" s="0" t="s">
        <v>240</v>
      </c>
      <c r="Q584" s="0" t="s">
        <v>240</v>
      </c>
      <c r="R584" s="0" t="s">
        <v>6062</v>
      </c>
      <c r="S584" s="0" t="s">
        <v>240</v>
      </c>
      <c r="T584" s="0" t="s">
        <v>240</v>
      </c>
      <c r="U584" s="0" t="s">
        <v>102</v>
      </c>
      <c r="V584" s="0" t="s">
        <v>240</v>
      </c>
      <c r="W584" s="0" t="s">
        <v>240</v>
      </c>
      <c r="X584" s="0" t="s">
        <v>5585</v>
      </c>
      <c r="Y584" s="0" t="s">
        <v>240</v>
      </c>
      <c r="Z584" s="0" t="s">
        <v>152</v>
      </c>
      <c r="AA584" s="0" t="s">
        <v>152</v>
      </c>
      <c r="AB584" s="0" t="s">
        <v>161</v>
      </c>
      <c r="AC584" s="0" t="s">
        <v>3395</v>
      </c>
      <c r="AD584" s="0" t="s">
        <v>3395</v>
      </c>
      <c r="AE584" s="0" t="s">
        <v>3396</v>
      </c>
      <c r="AF584" s="0" t="s">
        <v>5941</v>
      </c>
      <c r="AG584" s="0" t="s">
        <v>5942</v>
      </c>
      <c r="AH584" s="0" t="s">
        <v>6063</v>
      </c>
      <c r="AI584" s="0" t="s">
        <v>152</v>
      </c>
      <c r="AJ584" s="0" t="s">
        <v>240</v>
      </c>
      <c r="AK584" s="0" t="s">
        <v>240</v>
      </c>
      <c r="AL584" s="0" t="s">
        <v>240</v>
      </c>
      <c r="AM584" s="0" t="s">
        <v>240</v>
      </c>
      <c r="AN584" s="0" t="s">
        <v>240</v>
      </c>
      <c r="AO584" s="0" t="s">
        <v>240</v>
      </c>
      <c r="AP584" s="0" t="s">
        <v>240</v>
      </c>
      <c r="AQ584" s="0" t="s">
        <v>240</v>
      </c>
      <c r="AR584" s="0" t="s">
        <v>240</v>
      </c>
      <c r="AS584" s="0" t="s">
        <v>240</v>
      </c>
      <c r="AT584" s="0" t="s">
        <v>240</v>
      </c>
      <c r="AU584" s="0" t="s">
        <v>240</v>
      </c>
      <c r="AV584" s="0" t="s">
        <v>240</v>
      </c>
      <c r="AW584" s="0" t="s">
        <v>240</v>
      </c>
      <c r="AX584" s="0" t="s">
        <v>240</v>
      </c>
      <c r="AY584" s="0" t="s">
        <v>240</v>
      </c>
      <c r="AZ584" s="0" t="s">
        <v>240</v>
      </c>
      <c r="BA584" s="0" t="s">
        <v>240</v>
      </c>
      <c r="BB584" s="0" t="s">
        <v>240</v>
      </c>
      <c r="BC584" s="0" t="s">
        <v>240</v>
      </c>
      <c r="BD584" s="0" t="s">
        <v>240</v>
      </c>
      <c r="BE584" s="0" t="s">
        <v>5944</v>
      </c>
      <c r="BF584" s="0" t="s">
        <v>6064</v>
      </c>
      <c r="BG584" s="0" t="s">
        <v>112</v>
      </c>
      <c r="BH584" s="0" t="s">
        <v>5589</v>
      </c>
      <c r="BI584" s="0" t="s">
        <v>123</v>
      </c>
      <c r="BJ584" s="0" t="s">
        <v>240</v>
      </c>
      <c r="BK584" s="0" t="s">
        <v>6065</v>
      </c>
      <c r="BL584" s="0" t="s">
        <v>3395</v>
      </c>
      <c r="BM584" s="0" t="s">
        <v>3395</v>
      </c>
      <c r="BN584" s="0" t="s">
        <v>6066</v>
      </c>
      <c r="BO584" s="0" t="s">
        <v>5941</v>
      </c>
      <c r="BP584" s="0" t="s">
        <v>6067</v>
      </c>
      <c r="BQ584" s="0" t="s">
        <v>6068</v>
      </c>
      <c r="BR584" s="0" t="s">
        <v>152</v>
      </c>
      <c r="BS584" s="0" t="s">
        <v>240</v>
      </c>
      <c r="BT584" s="0" t="s">
        <v>5594</v>
      </c>
      <c r="BU584" s="0" t="s">
        <v>6069</v>
      </c>
      <c r="BV584" s="0" t="s">
        <v>6070</v>
      </c>
      <c r="BW584" s="0" t="s">
        <v>6071</v>
      </c>
      <c r="BX584" s="0" t="s">
        <v>5598</v>
      </c>
      <c r="BY584" s="0" t="s">
        <v>5598</v>
      </c>
      <c r="BZ584" s="0" t="s">
        <v>5598</v>
      </c>
      <c r="CA584" s="0" t="s">
        <v>5598</v>
      </c>
      <c r="CB584" s="0" t="s">
        <v>5598</v>
      </c>
      <c r="CC584" s="0" t="s">
        <v>5598</v>
      </c>
      <c r="CD584" s="0" t="s">
        <v>5598</v>
      </c>
      <c r="CE584" s="0" t="s">
        <v>5598</v>
      </c>
      <c r="CF584" s="0" t="s">
        <v>5598</v>
      </c>
      <c r="CG584" s="0" t="s">
        <v>5598</v>
      </c>
      <c r="CH584" s="0" t="s">
        <v>5598</v>
      </c>
      <c r="CI584" s="0" t="s">
        <v>5598</v>
      </c>
      <c r="CJ584" s="0" t="s">
        <v>5598</v>
      </c>
      <c r="CK584" s="0" t="s">
        <v>5598</v>
      </c>
      <c r="CL584" s="0" t="s">
        <v>5598</v>
      </c>
      <c r="CM584" s="0" t="s">
        <v>6069</v>
      </c>
      <c r="CN584" s="0" t="s">
        <v>6070</v>
      </c>
      <c r="CO584" s="0" t="s">
        <v>6071</v>
      </c>
      <c r="CP584" s="0" t="s">
        <v>5598</v>
      </c>
      <c r="CQ584" s="0" t="s">
        <v>5598</v>
      </c>
      <c r="CR584" s="0" t="s">
        <v>5598</v>
      </c>
      <c r="CS584" s="0" t="s">
        <v>6072</v>
      </c>
      <c r="CT584" s="0" t="s">
        <v>5496</v>
      </c>
      <c r="CU584" s="0" t="s">
        <v>5497</v>
      </c>
      <c r="CV584" s="0" t="s">
        <v>5947</v>
      </c>
      <c r="CW584" s="0" t="s">
        <v>5948</v>
      </c>
      <c r="CX584" s="0" t="s">
        <v>5528</v>
      </c>
      <c r="CY584" s="0" t="s">
        <v>5947</v>
      </c>
      <c r="CZ584" s="0" t="s">
        <v>5533</v>
      </c>
      <c r="DA584" s="0" t="s">
        <v>5949</v>
      </c>
      <c r="DB584" s="0" t="s">
        <v>5600</v>
      </c>
      <c r="DC584" s="0" t="s">
        <v>384</v>
      </c>
      <c r="DD584" s="0" t="s">
        <v>291</v>
      </c>
      <c r="DE584" s="0" t="s">
        <v>6073</v>
      </c>
    </row>
    <row customHeight="1" ht="11.25">
      <c r="A585" s="1441" t="s">
        <v>240</v>
      </c>
      <c r="B585" s="0" t="s">
        <v>240</v>
      </c>
      <c r="C585" s="0" t="s">
        <v>240</v>
      </c>
      <c r="D585" s="0" t="s">
        <v>240</v>
      </c>
      <c r="E585" s="0" t="s">
        <v>240</v>
      </c>
      <c r="F585" s="0" t="s">
        <v>240</v>
      </c>
      <c r="G585" s="0" t="s">
        <v>240</v>
      </c>
      <c r="H585" s="0" t="s">
        <v>240</v>
      </c>
      <c r="I585" s="0" t="s">
        <v>5484</v>
      </c>
      <c r="J585" s="0" t="s">
        <v>240</v>
      </c>
      <c r="K585" s="0" t="s">
        <v>240</v>
      </c>
      <c r="L585" s="0" t="s">
        <v>240</v>
      </c>
      <c r="M585" s="0" t="s">
        <v>240</v>
      </c>
      <c r="N585" s="0" t="s">
        <v>240</v>
      </c>
      <c r="O585" s="0" t="s">
        <v>240</v>
      </c>
      <c r="P585" s="0" t="s">
        <v>240</v>
      </c>
      <c r="Q585" s="0" t="s">
        <v>240</v>
      </c>
      <c r="R585" s="0" t="s">
        <v>6998</v>
      </c>
      <c r="S585" s="0" t="s">
        <v>240</v>
      </c>
      <c r="T585" s="0" t="s">
        <v>240</v>
      </c>
      <c r="U585" s="0" t="s">
        <v>102</v>
      </c>
      <c r="V585" s="0" t="s">
        <v>240</v>
      </c>
      <c r="W585" s="0" t="s">
        <v>240</v>
      </c>
      <c r="X585" s="0" t="s">
        <v>5485</v>
      </c>
      <c r="Y585" s="0" t="s">
        <v>240</v>
      </c>
      <c r="Z585" s="0" t="s">
        <v>161</v>
      </c>
      <c r="AA585" s="0" t="s">
        <v>152</v>
      </c>
      <c r="AB585" s="0" t="s">
        <v>152</v>
      </c>
      <c r="AC585" s="0" t="s">
        <v>3389</v>
      </c>
      <c r="AD585" s="0" t="s">
        <v>3389</v>
      </c>
      <c r="AE585" s="0" t="s">
        <v>3390</v>
      </c>
      <c r="AF585" s="0" t="s">
        <v>5519</v>
      </c>
      <c r="AG585" s="0" t="s">
        <v>5520</v>
      </c>
      <c r="AH585" s="0" t="s">
        <v>5997</v>
      </c>
      <c r="AI585" s="0" t="s">
        <v>5533</v>
      </c>
      <c r="AJ585" s="0" t="s">
        <v>5504</v>
      </c>
      <c r="AK585" s="0" t="s">
        <v>6999</v>
      </c>
      <c r="AL585" s="0" t="s">
        <v>5570</v>
      </c>
      <c r="AM585" s="0" t="s">
        <v>5493</v>
      </c>
      <c r="AN585" s="0" t="s">
        <v>5598</v>
      </c>
      <c r="AO585" s="0" t="s">
        <v>7000</v>
      </c>
      <c r="AP585" s="0" t="s">
        <v>240</v>
      </c>
      <c r="AQ585" s="0" t="s">
        <v>240</v>
      </c>
      <c r="AR585" s="0" t="s">
        <v>240</v>
      </c>
      <c r="AS585" s="0" t="s">
        <v>240</v>
      </c>
      <c r="AT585" s="0" t="s">
        <v>240</v>
      </c>
      <c r="AU585" s="0" t="s">
        <v>240</v>
      </c>
      <c r="AV585" s="0" t="s">
        <v>240</v>
      </c>
      <c r="AW585" s="0" t="s">
        <v>240</v>
      </c>
      <c r="AX585" s="0" t="s">
        <v>240</v>
      </c>
      <c r="AY585" s="0" t="s">
        <v>240</v>
      </c>
      <c r="AZ585" s="0" t="s">
        <v>240</v>
      </c>
      <c r="BA585" s="0" t="s">
        <v>240</v>
      </c>
      <c r="BB585" s="0" t="s">
        <v>240</v>
      </c>
      <c r="BC585" s="0" t="s">
        <v>240</v>
      </c>
      <c r="BD585" s="0" t="s">
        <v>240</v>
      </c>
      <c r="BE585" s="0" t="s">
        <v>240</v>
      </c>
      <c r="BF585" s="0" t="s">
        <v>240</v>
      </c>
      <c r="BG585" s="0" t="s">
        <v>240</v>
      </c>
      <c r="BH585" s="0" t="s">
        <v>240</v>
      </c>
      <c r="BI585" s="0" t="s">
        <v>240</v>
      </c>
      <c r="BJ585" s="0" t="s">
        <v>240</v>
      </c>
      <c r="BK585" s="0" t="s">
        <v>240</v>
      </c>
      <c r="BL585" s="0" t="s">
        <v>240</v>
      </c>
      <c r="BM585" s="0" t="s">
        <v>240</v>
      </c>
      <c r="BN585" s="0" t="s">
        <v>240</v>
      </c>
      <c r="BO585" s="0" t="s">
        <v>240</v>
      </c>
      <c r="BP585" s="0" t="s">
        <v>240</v>
      </c>
      <c r="BQ585" s="0" t="s">
        <v>240</v>
      </c>
      <c r="BR585" s="0" t="s">
        <v>240</v>
      </c>
      <c r="BS585" s="0" t="s">
        <v>240</v>
      </c>
      <c r="BT585" s="0" t="s">
        <v>240</v>
      </c>
      <c r="BU585" s="0" t="s">
        <v>240</v>
      </c>
      <c r="BV585" s="0" t="s">
        <v>240</v>
      </c>
      <c r="BW585" s="0" t="s">
        <v>240</v>
      </c>
      <c r="BX585" s="0" t="s">
        <v>240</v>
      </c>
      <c r="BY585" s="0" t="s">
        <v>240</v>
      </c>
      <c r="BZ585" s="0" t="s">
        <v>240</v>
      </c>
      <c r="CA585" s="0" t="s">
        <v>240</v>
      </c>
      <c r="CB585" s="0" t="s">
        <v>240</v>
      </c>
      <c r="CC585" s="0" t="s">
        <v>240</v>
      </c>
      <c r="CD585" s="0" t="s">
        <v>240</v>
      </c>
      <c r="CE585" s="0" t="s">
        <v>240</v>
      </c>
      <c r="CF585" s="0" t="s">
        <v>240</v>
      </c>
      <c r="CG585" s="0" t="s">
        <v>240</v>
      </c>
      <c r="CH585" s="0" t="s">
        <v>240</v>
      </c>
      <c r="CI585" s="0" t="s">
        <v>240</v>
      </c>
      <c r="CJ585" s="0" t="s">
        <v>240</v>
      </c>
      <c r="CK585" s="0" t="s">
        <v>240</v>
      </c>
      <c r="CL585" s="0" t="s">
        <v>240</v>
      </c>
      <c r="CM585" s="0" t="s">
        <v>240</v>
      </c>
      <c r="CN585" s="0" t="s">
        <v>240</v>
      </c>
      <c r="CO585" s="0" t="s">
        <v>240</v>
      </c>
      <c r="CP585" s="0" t="s">
        <v>240</v>
      </c>
      <c r="CQ585" s="0" t="s">
        <v>240</v>
      </c>
      <c r="CR585" s="0" t="s">
        <v>240</v>
      </c>
      <c r="CS585" s="0" t="s">
        <v>240</v>
      </c>
      <c r="CT585" s="0" t="s">
        <v>5496</v>
      </c>
      <c r="CU585" s="0" t="s">
        <v>5497</v>
      </c>
      <c r="CV585" s="0" t="s">
        <v>443</v>
      </c>
      <c r="CW585" s="0" t="s">
        <v>5527</v>
      </c>
      <c r="CX585" s="0" t="s">
        <v>5528</v>
      </c>
      <c r="CY585" s="0" t="s">
        <v>443</v>
      </c>
      <c r="CZ585" s="0" t="s">
        <v>299</v>
      </c>
      <c r="DA585" s="0" t="s">
        <v>5529</v>
      </c>
      <c r="DB585" s="0" t="s">
        <v>5527</v>
      </c>
      <c r="DC585" s="0" t="s">
        <v>384</v>
      </c>
      <c r="DD585" s="0" t="s">
        <v>291</v>
      </c>
      <c r="DE585" s="0" t="s">
        <v>6000</v>
      </c>
    </row>
    <row customHeight="1" ht="11.25">
      <c r="A586" s="1441" t="s">
        <v>240</v>
      </c>
      <c r="B586" s="0" t="s">
        <v>240</v>
      </c>
      <c r="C586" s="0" t="s">
        <v>240</v>
      </c>
      <c r="D586" s="0" t="s">
        <v>240</v>
      </c>
      <c r="E586" s="0" t="s">
        <v>240</v>
      </c>
      <c r="F586" s="0" t="s">
        <v>240</v>
      </c>
      <c r="G586" s="0" t="s">
        <v>240</v>
      </c>
      <c r="H586" s="0" t="s">
        <v>240</v>
      </c>
      <c r="I586" s="0" t="s">
        <v>5484</v>
      </c>
      <c r="J586" s="0" t="s">
        <v>240</v>
      </c>
      <c r="K586" s="0" t="s">
        <v>240</v>
      </c>
      <c r="L586" s="0" t="s">
        <v>240</v>
      </c>
      <c r="M586" s="0" t="s">
        <v>240</v>
      </c>
      <c r="N586" s="0" t="s">
        <v>240</v>
      </c>
      <c r="O586" s="0" t="s">
        <v>240</v>
      </c>
      <c r="P586" s="0" t="s">
        <v>240</v>
      </c>
      <c r="Q586" s="0" t="s">
        <v>240</v>
      </c>
      <c r="R586" s="0" t="s">
        <v>6249</v>
      </c>
      <c r="S586" s="0" t="s">
        <v>240</v>
      </c>
      <c r="T586" s="0" t="s">
        <v>240</v>
      </c>
      <c r="U586" s="0" t="s">
        <v>102</v>
      </c>
      <c r="V586" s="0" t="s">
        <v>240</v>
      </c>
      <c r="W586" s="0" t="s">
        <v>240</v>
      </c>
      <c r="X586" s="0" t="s">
        <v>5585</v>
      </c>
      <c r="Y586" s="0" t="s">
        <v>240</v>
      </c>
      <c r="Z586" s="0" t="s">
        <v>152</v>
      </c>
      <c r="AA586" s="0" t="s">
        <v>152</v>
      </c>
      <c r="AB586" s="0" t="s">
        <v>161</v>
      </c>
      <c r="AC586" s="0" t="s">
        <v>3395</v>
      </c>
      <c r="AD586" s="0" t="s">
        <v>3395</v>
      </c>
      <c r="AE586" s="0" t="s">
        <v>3396</v>
      </c>
      <c r="AF586" s="0" t="s">
        <v>5941</v>
      </c>
      <c r="AG586" s="0" t="s">
        <v>5942</v>
      </c>
      <c r="AH586" s="0" t="s">
        <v>6063</v>
      </c>
      <c r="AI586" s="0" t="s">
        <v>152</v>
      </c>
      <c r="AJ586" s="0" t="s">
        <v>240</v>
      </c>
      <c r="AK586" s="0" t="s">
        <v>240</v>
      </c>
      <c r="AL586" s="0" t="s">
        <v>240</v>
      </c>
      <c r="AM586" s="0" t="s">
        <v>240</v>
      </c>
      <c r="AN586" s="0" t="s">
        <v>240</v>
      </c>
      <c r="AO586" s="0" t="s">
        <v>240</v>
      </c>
      <c r="AP586" s="0" t="s">
        <v>240</v>
      </c>
      <c r="AQ586" s="0" t="s">
        <v>240</v>
      </c>
      <c r="AR586" s="0" t="s">
        <v>240</v>
      </c>
      <c r="AS586" s="0" t="s">
        <v>240</v>
      </c>
      <c r="AT586" s="0" t="s">
        <v>240</v>
      </c>
      <c r="AU586" s="0" t="s">
        <v>240</v>
      </c>
      <c r="AV586" s="0" t="s">
        <v>240</v>
      </c>
      <c r="AW586" s="0" t="s">
        <v>240</v>
      </c>
      <c r="AX586" s="0" t="s">
        <v>240</v>
      </c>
      <c r="AY586" s="0" t="s">
        <v>240</v>
      </c>
      <c r="AZ586" s="0" t="s">
        <v>240</v>
      </c>
      <c r="BA586" s="0" t="s">
        <v>240</v>
      </c>
      <c r="BB586" s="0" t="s">
        <v>240</v>
      </c>
      <c r="BC586" s="0" t="s">
        <v>240</v>
      </c>
      <c r="BD586" s="0" t="s">
        <v>240</v>
      </c>
      <c r="BE586" s="0" t="s">
        <v>6250</v>
      </c>
      <c r="BF586" s="0" t="s">
        <v>6251</v>
      </c>
      <c r="BG586" s="0" t="s">
        <v>112</v>
      </c>
      <c r="BH586" s="0" t="s">
        <v>5589</v>
      </c>
      <c r="BI586" s="0" t="s">
        <v>123</v>
      </c>
      <c r="BJ586" s="0" t="s">
        <v>240</v>
      </c>
      <c r="BK586" s="0" t="s">
        <v>6252</v>
      </c>
      <c r="BL586" s="0" t="s">
        <v>3395</v>
      </c>
      <c r="BM586" s="0" t="s">
        <v>3395</v>
      </c>
      <c r="BN586" s="0" t="s">
        <v>6066</v>
      </c>
      <c r="BO586" s="0" t="s">
        <v>5941</v>
      </c>
      <c r="BP586" s="0" t="s">
        <v>6067</v>
      </c>
      <c r="BQ586" s="0" t="s">
        <v>6253</v>
      </c>
      <c r="BR586" s="0" t="s">
        <v>152</v>
      </c>
      <c r="BS586" s="0" t="s">
        <v>240</v>
      </c>
      <c r="BT586" s="0" t="s">
        <v>5594</v>
      </c>
      <c r="BU586" s="0" t="s">
        <v>6254</v>
      </c>
      <c r="BV586" s="0" t="s">
        <v>6254</v>
      </c>
      <c r="BW586" s="0" t="s">
        <v>5598</v>
      </c>
      <c r="BX586" s="0" t="s">
        <v>5598</v>
      </c>
      <c r="BY586" s="0" t="s">
        <v>5598</v>
      </c>
      <c r="BZ586" s="0" t="s">
        <v>5598</v>
      </c>
      <c r="CA586" s="0" t="s">
        <v>5598</v>
      </c>
      <c r="CB586" s="0" t="s">
        <v>5598</v>
      </c>
      <c r="CC586" s="0" t="s">
        <v>5598</v>
      </c>
      <c r="CD586" s="0" t="s">
        <v>5598</v>
      </c>
      <c r="CE586" s="0" t="s">
        <v>5598</v>
      </c>
      <c r="CF586" s="0" t="s">
        <v>5598</v>
      </c>
      <c r="CG586" s="0" t="s">
        <v>5598</v>
      </c>
      <c r="CH586" s="0" t="s">
        <v>5598</v>
      </c>
      <c r="CI586" s="0" t="s">
        <v>5598</v>
      </c>
      <c r="CJ586" s="0" t="s">
        <v>5598</v>
      </c>
      <c r="CK586" s="0" t="s">
        <v>5598</v>
      </c>
      <c r="CL586" s="0" t="s">
        <v>5598</v>
      </c>
      <c r="CM586" s="0" t="s">
        <v>6254</v>
      </c>
      <c r="CN586" s="0" t="s">
        <v>6254</v>
      </c>
      <c r="CO586" s="0" t="s">
        <v>5598</v>
      </c>
      <c r="CP586" s="0" t="s">
        <v>5598</v>
      </c>
      <c r="CQ586" s="0" t="s">
        <v>5598</v>
      </c>
      <c r="CR586" s="0" t="s">
        <v>5598</v>
      </c>
      <c r="CS586" s="0" t="s">
        <v>6255</v>
      </c>
      <c r="CT586" s="0" t="s">
        <v>5496</v>
      </c>
      <c r="CU586" s="0" t="s">
        <v>5497</v>
      </c>
      <c r="CV586" s="0" t="s">
        <v>5947</v>
      </c>
      <c r="CW586" s="0" t="s">
        <v>5948</v>
      </c>
      <c r="CX586" s="0" t="s">
        <v>5528</v>
      </c>
      <c r="CY586" s="0" t="s">
        <v>5947</v>
      </c>
      <c r="CZ586" s="0" t="s">
        <v>5533</v>
      </c>
      <c r="DA586" s="0" t="s">
        <v>5949</v>
      </c>
      <c r="DB586" s="0" t="s">
        <v>5600</v>
      </c>
      <c r="DC586" s="0" t="s">
        <v>384</v>
      </c>
      <c r="DD586" s="0" t="s">
        <v>291</v>
      </c>
      <c r="DE586" s="0" t="s">
        <v>6073</v>
      </c>
    </row>
    <row customHeight="1" ht="11.25">
      <c r="A587" s="1441" t="s">
        <v>240</v>
      </c>
      <c r="B587" s="0" t="s">
        <v>240</v>
      </c>
      <c r="C587" s="0" t="s">
        <v>240</v>
      </c>
      <c r="D587" s="0" t="s">
        <v>240</v>
      </c>
      <c r="E587" s="0" t="s">
        <v>240</v>
      </c>
      <c r="F587" s="0" t="s">
        <v>240</v>
      </c>
      <c r="G587" s="0" t="s">
        <v>240</v>
      </c>
      <c r="H587" s="0" t="s">
        <v>240</v>
      </c>
      <c r="I587" s="0" t="s">
        <v>5484</v>
      </c>
      <c r="J587" s="0" t="s">
        <v>240</v>
      </c>
      <c r="K587" s="0" t="s">
        <v>240</v>
      </c>
      <c r="L587" s="0" t="s">
        <v>240</v>
      </c>
      <c r="M587" s="0" t="s">
        <v>240</v>
      </c>
      <c r="N587" s="0" t="s">
        <v>240</v>
      </c>
      <c r="O587" s="0" t="s">
        <v>240</v>
      </c>
      <c r="P587" s="0" t="s">
        <v>240</v>
      </c>
      <c r="Q587" s="0" t="s">
        <v>240</v>
      </c>
      <c r="R587" s="0" t="s">
        <v>6262</v>
      </c>
      <c r="S587" s="0" t="s">
        <v>240</v>
      </c>
      <c r="T587" s="0" t="s">
        <v>240</v>
      </c>
      <c r="U587" s="0" t="s">
        <v>102</v>
      </c>
      <c r="V587" s="0" t="s">
        <v>240</v>
      </c>
      <c r="W587" s="0" t="s">
        <v>240</v>
      </c>
      <c r="X587" s="0" t="s">
        <v>5905</v>
      </c>
      <c r="Y587" s="0" t="s">
        <v>240</v>
      </c>
      <c r="Z587" s="0" t="s">
        <v>152</v>
      </c>
      <c r="AA587" s="0" t="s">
        <v>161</v>
      </c>
      <c r="AB587" s="0" t="s">
        <v>152</v>
      </c>
      <c r="AC587" s="0" t="s">
        <v>3395</v>
      </c>
      <c r="AD587" s="0" t="s">
        <v>3395</v>
      </c>
      <c r="AE587" s="0" t="s">
        <v>3396</v>
      </c>
      <c r="AF587" s="0" t="s">
        <v>5941</v>
      </c>
      <c r="AG587" s="0" t="s">
        <v>5942</v>
      </c>
      <c r="AH587" s="0" t="s">
        <v>6063</v>
      </c>
      <c r="AI587" s="0" t="s">
        <v>152</v>
      </c>
      <c r="AJ587" s="0" t="s">
        <v>240</v>
      </c>
      <c r="AK587" s="0" t="s">
        <v>240</v>
      </c>
      <c r="AL587" s="0" t="s">
        <v>240</v>
      </c>
      <c r="AM587" s="0" t="s">
        <v>240</v>
      </c>
      <c r="AN587" s="0" t="s">
        <v>240</v>
      </c>
      <c r="AO587" s="0" t="s">
        <v>240</v>
      </c>
      <c r="AP587" s="0" t="s">
        <v>6263</v>
      </c>
      <c r="AQ587" s="0" t="s">
        <v>6264</v>
      </c>
      <c r="AR587" s="0" t="s">
        <v>112</v>
      </c>
      <c r="AS587" s="0" t="s">
        <v>5589</v>
      </c>
      <c r="AT587" s="0" t="s">
        <v>6941</v>
      </c>
      <c r="AU587" s="0" t="s">
        <v>240</v>
      </c>
      <c r="AV587" s="0" t="s">
        <v>6265</v>
      </c>
      <c r="AW587" s="0" t="s">
        <v>3395</v>
      </c>
      <c r="AX587" s="0" t="s">
        <v>3395</v>
      </c>
      <c r="AY587" s="0" t="s">
        <v>6066</v>
      </c>
      <c r="AZ587" s="0" t="s">
        <v>5941</v>
      </c>
      <c r="BA587" s="0" t="s">
        <v>6067</v>
      </c>
      <c r="BB587" s="0" t="s">
        <v>6063</v>
      </c>
      <c r="BC587" s="0" t="s">
        <v>152</v>
      </c>
      <c r="BD587" s="0" t="s">
        <v>6250</v>
      </c>
      <c r="BE587" s="0" t="s">
        <v>240</v>
      </c>
      <c r="BF587" s="0" t="s">
        <v>240</v>
      </c>
      <c r="BG587" s="0" t="s">
        <v>240</v>
      </c>
      <c r="BH587" s="0" t="s">
        <v>240</v>
      </c>
      <c r="BI587" s="0" t="s">
        <v>240</v>
      </c>
      <c r="BJ587" s="0" t="s">
        <v>240</v>
      </c>
      <c r="BK587" s="0" t="s">
        <v>240</v>
      </c>
      <c r="BL587" s="0" t="s">
        <v>240</v>
      </c>
      <c r="BM587" s="0" t="s">
        <v>240</v>
      </c>
      <c r="BN587" s="0" t="s">
        <v>240</v>
      </c>
      <c r="BO587" s="0" t="s">
        <v>240</v>
      </c>
      <c r="BP587" s="0" t="s">
        <v>240</v>
      </c>
      <c r="BQ587" s="0" t="s">
        <v>240</v>
      </c>
      <c r="BR587" s="0" t="s">
        <v>240</v>
      </c>
      <c r="BS587" s="0" t="s">
        <v>240</v>
      </c>
      <c r="BT587" s="0" t="s">
        <v>240</v>
      </c>
      <c r="BU587" s="0" t="s">
        <v>240</v>
      </c>
      <c r="BV587" s="0" t="s">
        <v>240</v>
      </c>
      <c r="BW587" s="0" t="s">
        <v>240</v>
      </c>
      <c r="BX587" s="0" t="s">
        <v>240</v>
      </c>
      <c r="BY587" s="0" t="s">
        <v>240</v>
      </c>
      <c r="BZ587" s="0" t="s">
        <v>240</v>
      </c>
      <c r="CA587" s="0" t="s">
        <v>240</v>
      </c>
      <c r="CB587" s="0" t="s">
        <v>240</v>
      </c>
      <c r="CC587" s="0" t="s">
        <v>240</v>
      </c>
      <c r="CD587" s="0" t="s">
        <v>240</v>
      </c>
      <c r="CE587" s="0" t="s">
        <v>240</v>
      </c>
      <c r="CF587" s="0" t="s">
        <v>240</v>
      </c>
      <c r="CG587" s="0" t="s">
        <v>240</v>
      </c>
      <c r="CH587" s="0" t="s">
        <v>240</v>
      </c>
      <c r="CI587" s="0" t="s">
        <v>240</v>
      </c>
      <c r="CJ587" s="0" t="s">
        <v>240</v>
      </c>
      <c r="CK587" s="0" t="s">
        <v>240</v>
      </c>
      <c r="CL587" s="0" t="s">
        <v>240</v>
      </c>
      <c r="CM587" s="0" t="s">
        <v>240</v>
      </c>
      <c r="CN587" s="0" t="s">
        <v>240</v>
      </c>
      <c r="CO587" s="0" t="s">
        <v>240</v>
      </c>
      <c r="CP587" s="0" t="s">
        <v>240</v>
      </c>
      <c r="CQ587" s="0" t="s">
        <v>240</v>
      </c>
      <c r="CR587" s="0" t="s">
        <v>240</v>
      </c>
      <c r="CS587" s="0" t="s">
        <v>240</v>
      </c>
      <c r="CT587" s="0" t="s">
        <v>5496</v>
      </c>
      <c r="CU587" s="0" t="s">
        <v>5497</v>
      </c>
      <c r="CV587" s="0" t="s">
        <v>5947</v>
      </c>
      <c r="CW587" s="0" t="s">
        <v>5948</v>
      </c>
      <c r="CX587" s="0" t="s">
        <v>5528</v>
      </c>
      <c r="CY587" s="0" t="s">
        <v>5947</v>
      </c>
      <c r="CZ587" s="0" t="s">
        <v>5533</v>
      </c>
      <c r="DA587" s="0" t="s">
        <v>5949</v>
      </c>
      <c r="DB587" s="0" t="s">
        <v>5600</v>
      </c>
      <c r="DC587" s="0" t="s">
        <v>384</v>
      </c>
      <c r="DD587" s="0" t="s">
        <v>291</v>
      </c>
      <c r="DE587" s="0" t="s">
        <v>6073</v>
      </c>
    </row>
    <row customHeight="1" ht="11.25">
      <c r="A588" s="1441" t="s">
        <v>240</v>
      </c>
      <c r="B588" s="0" t="s">
        <v>240</v>
      </c>
      <c r="C588" s="0" t="s">
        <v>240</v>
      </c>
      <c r="D588" s="0" t="s">
        <v>240</v>
      </c>
      <c r="E588" s="0" t="s">
        <v>240</v>
      </c>
      <c r="F588" s="0" t="s">
        <v>240</v>
      </c>
      <c r="G588" s="0" t="s">
        <v>240</v>
      </c>
      <c r="H588" s="0" t="s">
        <v>240</v>
      </c>
      <c r="I588" s="0" t="s">
        <v>5484</v>
      </c>
      <c r="J588" s="0" t="s">
        <v>240</v>
      </c>
      <c r="K588" s="0" t="s">
        <v>240</v>
      </c>
      <c r="L588" s="0" t="s">
        <v>240</v>
      </c>
      <c r="M588" s="0" t="s">
        <v>240</v>
      </c>
      <c r="N588" s="0" t="s">
        <v>240</v>
      </c>
      <c r="O588" s="0" t="s">
        <v>240</v>
      </c>
      <c r="P588" s="0" t="s">
        <v>240</v>
      </c>
      <c r="Q588" s="0" t="s">
        <v>240</v>
      </c>
      <c r="R588" s="0" t="s">
        <v>6507</v>
      </c>
      <c r="S588" s="0" t="s">
        <v>240</v>
      </c>
      <c r="T588" s="0" t="s">
        <v>240</v>
      </c>
      <c r="U588" s="0" t="s">
        <v>102</v>
      </c>
      <c r="V588" s="0" t="s">
        <v>240</v>
      </c>
      <c r="W588" s="0" t="s">
        <v>240</v>
      </c>
      <c r="X588" s="0" t="s">
        <v>5585</v>
      </c>
      <c r="Y588" s="0" t="s">
        <v>240</v>
      </c>
      <c r="Z588" s="0" t="s">
        <v>152</v>
      </c>
      <c r="AA588" s="0" t="s">
        <v>152</v>
      </c>
      <c r="AB588" s="0" t="s">
        <v>161</v>
      </c>
      <c r="AC588" s="0" t="s">
        <v>3395</v>
      </c>
      <c r="AD588" s="0" t="s">
        <v>3395</v>
      </c>
      <c r="AE588" s="0" t="s">
        <v>3396</v>
      </c>
      <c r="AF588" s="0" t="s">
        <v>5941</v>
      </c>
      <c r="AG588" s="0" t="s">
        <v>5942</v>
      </c>
      <c r="AH588" s="0" t="s">
        <v>6063</v>
      </c>
      <c r="AI588" s="0" t="s">
        <v>152</v>
      </c>
      <c r="AJ588" s="0" t="s">
        <v>240</v>
      </c>
      <c r="AK588" s="0" t="s">
        <v>240</v>
      </c>
      <c r="AL588" s="0" t="s">
        <v>240</v>
      </c>
      <c r="AM588" s="0" t="s">
        <v>240</v>
      </c>
      <c r="AN588" s="0" t="s">
        <v>240</v>
      </c>
      <c r="AO588" s="0" t="s">
        <v>240</v>
      </c>
      <c r="AP588" s="0" t="s">
        <v>240</v>
      </c>
      <c r="AQ588" s="0" t="s">
        <v>240</v>
      </c>
      <c r="AR588" s="0" t="s">
        <v>240</v>
      </c>
      <c r="AS588" s="0" t="s">
        <v>240</v>
      </c>
      <c r="AT588" s="0" t="s">
        <v>240</v>
      </c>
      <c r="AU588" s="0" t="s">
        <v>240</v>
      </c>
      <c r="AV588" s="0" t="s">
        <v>240</v>
      </c>
      <c r="AW588" s="0" t="s">
        <v>240</v>
      </c>
      <c r="AX588" s="0" t="s">
        <v>240</v>
      </c>
      <c r="AY588" s="0" t="s">
        <v>240</v>
      </c>
      <c r="AZ588" s="0" t="s">
        <v>240</v>
      </c>
      <c r="BA588" s="0" t="s">
        <v>240</v>
      </c>
      <c r="BB588" s="0" t="s">
        <v>240</v>
      </c>
      <c r="BC588" s="0" t="s">
        <v>240</v>
      </c>
      <c r="BD588" s="0" t="s">
        <v>240</v>
      </c>
      <c r="BE588" s="0" t="s">
        <v>6508</v>
      </c>
      <c r="BF588" s="0" t="s">
        <v>6508</v>
      </c>
      <c r="BG588" s="0" t="s">
        <v>112</v>
      </c>
      <c r="BH588" s="0" t="s">
        <v>5589</v>
      </c>
      <c r="BI588" s="0" t="s">
        <v>123</v>
      </c>
      <c r="BJ588" s="0" t="s">
        <v>240</v>
      </c>
      <c r="BK588" s="0" t="s">
        <v>6509</v>
      </c>
      <c r="BL588" s="0" t="s">
        <v>3395</v>
      </c>
      <c r="BM588" s="0" t="s">
        <v>3395</v>
      </c>
      <c r="BN588" s="0" t="s">
        <v>6066</v>
      </c>
      <c r="BO588" s="0" t="s">
        <v>5941</v>
      </c>
      <c r="BP588" s="0" t="s">
        <v>6067</v>
      </c>
      <c r="BQ588" s="0" t="s">
        <v>6510</v>
      </c>
      <c r="BR588" s="0" t="s">
        <v>152</v>
      </c>
      <c r="BS588" s="0" t="s">
        <v>240</v>
      </c>
      <c r="BT588" s="0" t="s">
        <v>6511</v>
      </c>
      <c r="BU588" s="0" t="s">
        <v>6512</v>
      </c>
      <c r="BV588" s="0" t="s">
        <v>6512</v>
      </c>
      <c r="BW588" s="0" t="s">
        <v>5598</v>
      </c>
      <c r="BX588" s="0" t="s">
        <v>5598</v>
      </c>
      <c r="BY588" s="0" t="s">
        <v>5598</v>
      </c>
      <c r="BZ588" s="0" t="s">
        <v>5598</v>
      </c>
      <c r="CA588" s="0" t="s">
        <v>5598</v>
      </c>
      <c r="CB588" s="0" t="s">
        <v>5598</v>
      </c>
      <c r="CC588" s="0" t="s">
        <v>5598</v>
      </c>
      <c r="CD588" s="0" t="s">
        <v>5598</v>
      </c>
      <c r="CE588" s="0" t="s">
        <v>5598</v>
      </c>
      <c r="CF588" s="0" t="s">
        <v>5598</v>
      </c>
      <c r="CG588" s="0" t="s">
        <v>5598</v>
      </c>
      <c r="CH588" s="0" t="s">
        <v>5598</v>
      </c>
      <c r="CI588" s="0" t="s">
        <v>5598</v>
      </c>
      <c r="CJ588" s="0" t="s">
        <v>5598</v>
      </c>
      <c r="CK588" s="0" t="s">
        <v>5598</v>
      </c>
      <c r="CL588" s="0" t="s">
        <v>5598</v>
      </c>
      <c r="CM588" s="0" t="s">
        <v>6512</v>
      </c>
      <c r="CN588" s="0" t="s">
        <v>6512</v>
      </c>
      <c r="CO588" s="0" t="s">
        <v>5598</v>
      </c>
      <c r="CP588" s="0" t="s">
        <v>5598</v>
      </c>
      <c r="CQ588" s="0" t="s">
        <v>5598</v>
      </c>
      <c r="CR588" s="0" t="s">
        <v>5598</v>
      </c>
      <c r="CS588" s="0" t="s">
        <v>6513</v>
      </c>
      <c r="CT588" s="0" t="s">
        <v>5496</v>
      </c>
      <c r="CU588" s="0" t="s">
        <v>5497</v>
      </c>
      <c r="CV588" s="0" t="s">
        <v>5947</v>
      </c>
      <c r="CW588" s="0" t="s">
        <v>5948</v>
      </c>
      <c r="CX588" s="0" t="s">
        <v>5528</v>
      </c>
      <c r="CY588" s="0" t="s">
        <v>5947</v>
      </c>
      <c r="CZ588" s="0" t="s">
        <v>5533</v>
      </c>
      <c r="DA588" s="0" t="s">
        <v>5949</v>
      </c>
      <c r="DB588" s="0" t="s">
        <v>5600</v>
      </c>
      <c r="DC588" s="0" t="s">
        <v>384</v>
      </c>
      <c r="DD588" s="0" t="s">
        <v>291</v>
      </c>
      <c r="DE588" s="0" t="s">
        <v>6073</v>
      </c>
    </row>
    <row customHeight="1" ht="11.25">
      <c r="A589" s="1441" t="s">
        <v>240</v>
      </c>
      <c r="B589" s="0" t="s">
        <v>240</v>
      </c>
      <c r="C589" s="0" t="s">
        <v>240</v>
      </c>
      <c r="D589" s="0" t="s">
        <v>240</v>
      </c>
      <c r="E589" s="0" t="s">
        <v>240</v>
      </c>
      <c r="F589" s="0" t="s">
        <v>240</v>
      </c>
      <c r="G589" s="0" t="s">
        <v>240</v>
      </c>
      <c r="H589" s="0" t="s">
        <v>240</v>
      </c>
      <c r="I589" s="0" t="s">
        <v>5484</v>
      </c>
      <c r="J589" s="0" t="s">
        <v>240</v>
      </c>
      <c r="K589" s="0" t="s">
        <v>240</v>
      </c>
      <c r="L589" s="0" t="s">
        <v>240</v>
      </c>
      <c r="M589" s="0" t="s">
        <v>240</v>
      </c>
      <c r="N589" s="0" t="s">
        <v>240</v>
      </c>
      <c r="O589" s="0" t="s">
        <v>240</v>
      </c>
      <c r="P589" s="0" t="s">
        <v>240</v>
      </c>
      <c r="Q589" s="0" t="s">
        <v>240</v>
      </c>
      <c r="R589" s="0" t="s">
        <v>499</v>
      </c>
      <c r="S589" s="0" t="s">
        <v>240</v>
      </c>
      <c r="T589" s="0" t="s">
        <v>240</v>
      </c>
      <c r="U589" s="0" t="s">
        <v>102</v>
      </c>
      <c r="V589" s="0" t="s">
        <v>240</v>
      </c>
      <c r="W589" s="0" t="s">
        <v>240</v>
      </c>
      <c r="X589" s="0" t="s">
        <v>5485</v>
      </c>
      <c r="Y589" s="0" t="s">
        <v>240</v>
      </c>
      <c r="Z589" s="0" t="s">
        <v>161</v>
      </c>
      <c r="AA589" s="0" t="s">
        <v>152</v>
      </c>
      <c r="AB589" s="0" t="s">
        <v>152</v>
      </c>
      <c r="AC589" s="0" t="s">
        <v>2964</v>
      </c>
      <c r="AD589" s="0" t="s">
        <v>2964</v>
      </c>
      <c r="AE589" s="0" t="s">
        <v>2965</v>
      </c>
      <c r="AF589" s="0" t="s">
        <v>6514</v>
      </c>
      <c r="AG589" s="0" t="s">
        <v>6515</v>
      </c>
      <c r="AH589" s="0" t="s">
        <v>6516</v>
      </c>
      <c r="AI589" s="0" t="s">
        <v>6517</v>
      </c>
      <c r="AJ589" s="0" t="s">
        <v>6518</v>
      </c>
      <c r="AK589" s="0" t="s">
        <v>6519</v>
      </c>
      <c r="AL589" s="0" t="s">
        <v>5605</v>
      </c>
      <c r="AM589" s="0" t="s">
        <v>6520</v>
      </c>
      <c r="AN589" s="0" t="s">
        <v>6521</v>
      </c>
      <c r="AO589" s="0" t="s">
        <v>5777</v>
      </c>
      <c r="AP589" s="0" t="s">
        <v>240</v>
      </c>
      <c r="AQ589" s="0" t="s">
        <v>240</v>
      </c>
      <c r="AR589" s="0" t="s">
        <v>240</v>
      </c>
      <c r="AS589" s="0" t="s">
        <v>240</v>
      </c>
      <c r="AT589" s="0" t="s">
        <v>240</v>
      </c>
      <c r="AU589" s="0" t="s">
        <v>240</v>
      </c>
      <c r="AV589" s="0" t="s">
        <v>240</v>
      </c>
      <c r="AW589" s="0" t="s">
        <v>240</v>
      </c>
      <c r="AX589" s="0" t="s">
        <v>240</v>
      </c>
      <c r="AY589" s="0" t="s">
        <v>240</v>
      </c>
      <c r="AZ589" s="0" t="s">
        <v>240</v>
      </c>
      <c r="BA589" s="0" t="s">
        <v>240</v>
      </c>
      <c r="BB589" s="0" t="s">
        <v>240</v>
      </c>
      <c r="BC589" s="0" t="s">
        <v>240</v>
      </c>
      <c r="BD589" s="0" t="s">
        <v>240</v>
      </c>
      <c r="BE589" s="0" t="s">
        <v>240</v>
      </c>
      <c r="BF589" s="0" t="s">
        <v>240</v>
      </c>
      <c r="BG589" s="0" t="s">
        <v>240</v>
      </c>
      <c r="BH589" s="0" t="s">
        <v>240</v>
      </c>
      <c r="BI589" s="0" t="s">
        <v>240</v>
      </c>
      <c r="BJ589" s="0" t="s">
        <v>240</v>
      </c>
      <c r="BK589" s="0" t="s">
        <v>240</v>
      </c>
      <c r="BL589" s="0" t="s">
        <v>240</v>
      </c>
      <c r="BM589" s="0" t="s">
        <v>240</v>
      </c>
      <c r="BN589" s="0" t="s">
        <v>240</v>
      </c>
      <c r="BO589" s="0" t="s">
        <v>240</v>
      </c>
      <c r="BP589" s="0" t="s">
        <v>240</v>
      </c>
      <c r="BQ589" s="0" t="s">
        <v>240</v>
      </c>
      <c r="BR589" s="0" t="s">
        <v>240</v>
      </c>
      <c r="BS589" s="0" t="s">
        <v>240</v>
      </c>
      <c r="BT589" s="0" t="s">
        <v>240</v>
      </c>
      <c r="BU589" s="0" t="s">
        <v>240</v>
      </c>
      <c r="BV589" s="0" t="s">
        <v>240</v>
      </c>
      <c r="BW589" s="0" t="s">
        <v>240</v>
      </c>
      <c r="BX589" s="0" t="s">
        <v>240</v>
      </c>
      <c r="BY589" s="0" t="s">
        <v>240</v>
      </c>
      <c r="BZ589" s="0" t="s">
        <v>240</v>
      </c>
      <c r="CA589" s="0" t="s">
        <v>240</v>
      </c>
      <c r="CB589" s="0" t="s">
        <v>240</v>
      </c>
      <c r="CC589" s="0" t="s">
        <v>240</v>
      </c>
      <c r="CD589" s="0" t="s">
        <v>240</v>
      </c>
      <c r="CE589" s="0" t="s">
        <v>240</v>
      </c>
      <c r="CF589" s="0" t="s">
        <v>240</v>
      </c>
      <c r="CG589" s="0" t="s">
        <v>240</v>
      </c>
      <c r="CH589" s="0" t="s">
        <v>240</v>
      </c>
      <c r="CI589" s="0" t="s">
        <v>240</v>
      </c>
      <c r="CJ589" s="0" t="s">
        <v>240</v>
      </c>
      <c r="CK589" s="0" t="s">
        <v>240</v>
      </c>
      <c r="CL589" s="0" t="s">
        <v>240</v>
      </c>
      <c r="CM589" s="0" t="s">
        <v>240</v>
      </c>
      <c r="CN589" s="0" t="s">
        <v>240</v>
      </c>
      <c r="CO589" s="0" t="s">
        <v>240</v>
      </c>
      <c r="CP589" s="0" t="s">
        <v>240</v>
      </c>
      <c r="CQ589" s="0" t="s">
        <v>240</v>
      </c>
      <c r="CR589" s="0" t="s">
        <v>240</v>
      </c>
      <c r="CS589" s="0" t="s">
        <v>240</v>
      </c>
      <c r="CT589" s="0" t="s">
        <v>5496</v>
      </c>
      <c r="CU589" s="0" t="s">
        <v>5497</v>
      </c>
      <c r="CV589" s="0" t="s">
        <v>443</v>
      </c>
      <c r="CW589" s="0" t="s">
        <v>5498</v>
      </c>
      <c r="CX589" s="0" t="s">
        <v>229</v>
      </c>
      <c r="CY589" s="0" t="s">
        <v>443</v>
      </c>
      <c r="CZ589" s="0" t="s">
        <v>230</v>
      </c>
      <c r="DA589" s="0" t="s">
        <v>444</v>
      </c>
      <c r="DB589" s="0" t="s">
        <v>5498</v>
      </c>
      <c r="DC589" s="0" t="s">
        <v>384</v>
      </c>
      <c r="DD589" s="0" t="s">
        <v>291</v>
      </c>
      <c r="DE589" s="0" t="s">
        <v>500</v>
      </c>
    </row>
    <row customHeight="1" ht="11.25">
      <c r="A590" s="1441" t="s">
        <v>240</v>
      </c>
      <c r="B590" s="0" t="s">
        <v>240</v>
      </c>
      <c r="C590" s="0" t="s">
        <v>240</v>
      </c>
      <c r="D590" s="0" t="s">
        <v>240</v>
      </c>
      <c r="E590" s="0" t="s">
        <v>240</v>
      </c>
      <c r="F590" s="0" t="s">
        <v>240</v>
      </c>
      <c r="G590" s="0" t="s">
        <v>240</v>
      </c>
      <c r="H590" s="0" t="s">
        <v>240</v>
      </c>
      <c r="I590" s="0" t="s">
        <v>5484</v>
      </c>
      <c r="J590" s="0" t="s">
        <v>240</v>
      </c>
      <c r="K590" s="0" t="s">
        <v>240</v>
      </c>
      <c r="L590" s="0" t="s">
        <v>240</v>
      </c>
      <c r="M590" s="0" t="s">
        <v>240</v>
      </c>
      <c r="N590" s="0" t="s">
        <v>240</v>
      </c>
      <c r="O590" s="0" t="s">
        <v>240</v>
      </c>
      <c r="P590" s="0" t="s">
        <v>240</v>
      </c>
      <c r="Q590" s="0" t="s">
        <v>240</v>
      </c>
      <c r="R590" s="0" t="s">
        <v>493</v>
      </c>
      <c r="S590" s="0" t="s">
        <v>240</v>
      </c>
      <c r="T590" s="0" t="s">
        <v>240</v>
      </c>
      <c r="U590" s="0" t="s">
        <v>102</v>
      </c>
      <c r="V590" s="0" t="s">
        <v>240</v>
      </c>
      <c r="W590" s="0" t="s">
        <v>240</v>
      </c>
      <c r="X590" s="0" t="s">
        <v>5485</v>
      </c>
      <c r="Y590" s="0" t="s">
        <v>240</v>
      </c>
      <c r="Z590" s="0" t="s">
        <v>161</v>
      </c>
      <c r="AA590" s="0" t="s">
        <v>152</v>
      </c>
      <c r="AB590" s="0" t="s">
        <v>152</v>
      </c>
      <c r="AC590" s="0" t="s">
        <v>2964</v>
      </c>
      <c r="AD590" s="0" t="s">
        <v>2964</v>
      </c>
      <c r="AE590" s="0" t="s">
        <v>2965</v>
      </c>
      <c r="AF590" s="0" t="s">
        <v>6514</v>
      </c>
      <c r="AG590" s="0" t="s">
        <v>6515</v>
      </c>
      <c r="AH590" s="0" t="s">
        <v>6697</v>
      </c>
      <c r="AI590" s="0" t="s">
        <v>5533</v>
      </c>
      <c r="AJ590" s="0" t="s">
        <v>6698</v>
      </c>
      <c r="AK590" s="0" t="s">
        <v>6519</v>
      </c>
      <c r="AL590" s="0" t="s">
        <v>5605</v>
      </c>
      <c r="AM590" s="0" t="s">
        <v>6520</v>
      </c>
      <c r="AN590" s="0" t="s">
        <v>5494</v>
      </c>
      <c r="AO590" s="0" t="s">
        <v>5777</v>
      </c>
      <c r="AP590" s="0" t="s">
        <v>240</v>
      </c>
      <c r="AQ590" s="0" t="s">
        <v>240</v>
      </c>
      <c r="AR590" s="0" t="s">
        <v>240</v>
      </c>
      <c r="AS590" s="0" t="s">
        <v>240</v>
      </c>
      <c r="AT590" s="0" t="s">
        <v>240</v>
      </c>
      <c r="AU590" s="0" t="s">
        <v>240</v>
      </c>
      <c r="AV590" s="0" t="s">
        <v>240</v>
      </c>
      <c r="AW590" s="0" t="s">
        <v>240</v>
      </c>
      <c r="AX590" s="0" t="s">
        <v>240</v>
      </c>
      <c r="AY590" s="0" t="s">
        <v>240</v>
      </c>
      <c r="AZ590" s="0" t="s">
        <v>240</v>
      </c>
      <c r="BA590" s="0" t="s">
        <v>240</v>
      </c>
      <c r="BB590" s="0" t="s">
        <v>240</v>
      </c>
      <c r="BC590" s="0" t="s">
        <v>240</v>
      </c>
      <c r="BD590" s="0" t="s">
        <v>240</v>
      </c>
      <c r="BE590" s="0" t="s">
        <v>240</v>
      </c>
      <c r="BF590" s="0" t="s">
        <v>240</v>
      </c>
      <c r="BG590" s="0" t="s">
        <v>240</v>
      </c>
      <c r="BH590" s="0" t="s">
        <v>240</v>
      </c>
      <c r="BI590" s="0" t="s">
        <v>240</v>
      </c>
      <c r="BJ590" s="0" t="s">
        <v>240</v>
      </c>
      <c r="BK590" s="0" t="s">
        <v>240</v>
      </c>
      <c r="BL590" s="0" t="s">
        <v>240</v>
      </c>
      <c r="BM590" s="0" t="s">
        <v>240</v>
      </c>
      <c r="BN590" s="0" t="s">
        <v>240</v>
      </c>
      <c r="BO590" s="0" t="s">
        <v>240</v>
      </c>
      <c r="BP590" s="0" t="s">
        <v>240</v>
      </c>
      <c r="BQ590" s="0" t="s">
        <v>240</v>
      </c>
      <c r="BR590" s="0" t="s">
        <v>240</v>
      </c>
      <c r="BS590" s="0" t="s">
        <v>240</v>
      </c>
      <c r="BT590" s="0" t="s">
        <v>240</v>
      </c>
      <c r="BU590" s="0" t="s">
        <v>240</v>
      </c>
      <c r="BV590" s="0" t="s">
        <v>240</v>
      </c>
      <c r="BW590" s="0" t="s">
        <v>240</v>
      </c>
      <c r="BX590" s="0" t="s">
        <v>240</v>
      </c>
      <c r="BY590" s="0" t="s">
        <v>240</v>
      </c>
      <c r="BZ590" s="0" t="s">
        <v>240</v>
      </c>
      <c r="CA590" s="0" t="s">
        <v>240</v>
      </c>
      <c r="CB590" s="0" t="s">
        <v>240</v>
      </c>
      <c r="CC590" s="0" t="s">
        <v>240</v>
      </c>
      <c r="CD590" s="0" t="s">
        <v>240</v>
      </c>
      <c r="CE590" s="0" t="s">
        <v>240</v>
      </c>
      <c r="CF590" s="0" t="s">
        <v>240</v>
      </c>
      <c r="CG590" s="0" t="s">
        <v>240</v>
      </c>
      <c r="CH590" s="0" t="s">
        <v>240</v>
      </c>
      <c r="CI590" s="0" t="s">
        <v>240</v>
      </c>
      <c r="CJ590" s="0" t="s">
        <v>240</v>
      </c>
      <c r="CK590" s="0" t="s">
        <v>240</v>
      </c>
      <c r="CL590" s="0" t="s">
        <v>240</v>
      </c>
      <c r="CM590" s="0" t="s">
        <v>240</v>
      </c>
      <c r="CN590" s="0" t="s">
        <v>240</v>
      </c>
      <c r="CO590" s="0" t="s">
        <v>240</v>
      </c>
      <c r="CP590" s="0" t="s">
        <v>240</v>
      </c>
      <c r="CQ590" s="0" t="s">
        <v>240</v>
      </c>
      <c r="CR590" s="0" t="s">
        <v>240</v>
      </c>
      <c r="CS590" s="0" t="s">
        <v>240</v>
      </c>
      <c r="CT590" s="0" t="s">
        <v>5496</v>
      </c>
      <c r="CU590" s="0" t="s">
        <v>5497</v>
      </c>
      <c r="CV590" s="0" t="s">
        <v>443</v>
      </c>
      <c r="CW590" s="0" t="s">
        <v>5498</v>
      </c>
      <c r="CX590" s="0" t="s">
        <v>229</v>
      </c>
      <c r="CY590" s="0" t="s">
        <v>443</v>
      </c>
      <c r="CZ590" s="0" t="s">
        <v>230</v>
      </c>
      <c r="DA590" s="0" t="s">
        <v>444</v>
      </c>
      <c r="DB590" s="0" t="s">
        <v>5498</v>
      </c>
      <c r="DC590" s="0" t="s">
        <v>384</v>
      </c>
      <c r="DD590" s="0" t="s">
        <v>291</v>
      </c>
      <c r="DE590" s="0" t="s">
        <v>494</v>
      </c>
    </row>
    <row customHeight="1" ht="11.25">
      <c r="A591" s="1441" t="s">
        <v>240</v>
      </c>
      <c r="B591" s="0" t="s">
        <v>240</v>
      </c>
      <c r="C591" s="0" t="s">
        <v>240</v>
      </c>
      <c r="D591" s="0" t="s">
        <v>240</v>
      </c>
      <c r="E591" s="0" t="s">
        <v>240</v>
      </c>
      <c r="F591" s="0" t="s">
        <v>240</v>
      </c>
      <c r="G591" s="0" t="s">
        <v>240</v>
      </c>
      <c r="H591" s="0" t="s">
        <v>240</v>
      </c>
      <c r="I591" s="0" t="s">
        <v>5484</v>
      </c>
      <c r="J591" s="0" t="s">
        <v>240</v>
      </c>
      <c r="K591" s="0" t="s">
        <v>240</v>
      </c>
      <c r="L591" s="0" t="s">
        <v>240</v>
      </c>
      <c r="M591" s="0" t="s">
        <v>240</v>
      </c>
      <c r="N591" s="0" t="s">
        <v>240</v>
      </c>
      <c r="O591" s="0" t="s">
        <v>240</v>
      </c>
      <c r="P591" s="0" t="s">
        <v>240</v>
      </c>
      <c r="Q591" s="0" t="s">
        <v>240</v>
      </c>
      <c r="R591" s="0" t="s">
        <v>496</v>
      </c>
      <c r="S591" s="0" t="s">
        <v>240</v>
      </c>
      <c r="T591" s="0" t="s">
        <v>240</v>
      </c>
      <c r="U591" s="0" t="s">
        <v>102</v>
      </c>
      <c r="V591" s="0" t="s">
        <v>240</v>
      </c>
      <c r="W591" s="0" t="s">
        <v>240</v>
      </c>
      <c r="X591" s="0" t="s">
        <v>5485</v>
      </c>
      <c r="Y591" s="0" t="s">
        <v>240</v>
      </c>
      <c r="Z591" s="0" t="s">
        <v>161</v>
      </c>
      <c r="AA591" s="0" t="s">
        <v>152</v>
      </c>
      <c r="AB591" s="0" t="s">
        <v>152</v>
      </c>
      <c r="AC591" s="0" t="s">
        <v>2964</v>
      </c>
      <c r="AD591" s="0" t="s">
        <v>2964</v>
      </c>
      <c r="AE591" s="0" t="s">
        <v>2965</v>
      </c>
      <c r="AF591" s="0" t="s">
        <v>6514</v>
      </c>
      <c r="AG591" s="0" t="s">
        <v>6515</v>
      </c>
      <c r="AH591" s="0" t="s">
        <v>6699</v>
      </c>
      <c r="AI591" s="0" t="s">
        <v>5533</v>
      </c>
      <c r="AJ591" s="0" t="s">
        <v>6700</v>
      </c>
      <c r="AK591" s="0" t="s">
        <v>6519</v>
      </c>
      <c r="AL591" s="0" t="s">
        <v>5605</v>
      </c>
      <c r="AM591" s="0" t="s">
        <v>6520</v>
      </c>
      <c r="AN591" s="0" t="s">
        <v>5494</v>
      </c>
      <c r="AO591" s="0" t="s">
        <v>5777</v>
      </c>
      <c r="AP591" s="0" t="s">
        <v>240</v>
      </c>
      <c r="AQ591" s="0" t="s">
        <v>240</v>
      </c>
      <c r="AR591" s="0" t="s">
        <v>240</v>
      </c>
      <c r="AS591" s="0" t="s">
        <v>240</v>
      </c>
      <c r="AT591" s="0" t="s">
        <v>240</v>
      </c>
      <c r="AU591" s="0" t="s">
        <v>240</v>
      </c>
      <c r="AV591" s="0" t="s">
        <v>240</v>
      </c>
      <c r="AW591" s="0" t="s">
        <v>240</v>
      </c>
      <c r="AX591" s="0" t="s">
        <v>240</v>
      </c>
      <c r="AY591" s="0" t="s">
        <v>240</v>
      </c>
      <c r="AZ591" s="0" t="s">
        <v>240</v>
      </c>
      <c r="BA591" s="0" t="s">
        <v>240</v>
      </c>
      <c r="BB591" s="0" t="s">
        <v>240</v>
      </c>
      <c r="BC591" s="0" t="s">
        <v>240</v>
      </c>
      <c r="BD591" s="0" t="s">
        <v>240</v>
      </c>
      <c r="BE591" s="0" t="s">
        <v>240</v>
      </c>
      <c r="BF591" s="0" t="s">
        <v>240</v>
      </c>
      <c r="BG591" s="0" t="s">
        <v>240</v>
      </c>
      <c r="BH591" s="0" t="s">
        <v>240</v>
      </c>
      <c r="BI591" s="0" t="s">
        <v>240</v>
      </c>
      <c r="BJ591" s="0" t="s">
        <v>240</v>
      </c>
      <c r="BK591" s="0" t="s">
        <v>240</v>
      </c>
      <c r="BL591" s="0" t="s">
        <v>240</v>
      </c>
      <c r="BM591" s="0" t="s">
        <v>240</v>
      </c>
      <c r="BN591" s="0" t="s">
        <v>240</v>
      </c>
      <c r="BO591" s="0" t="s">
        <v>240</v>
      </c>
      <c r="BP591" s="0" t="s">
        <v>240</v>
      </c>
      <c r="BQ591" s="0" t="s">
        <v>240</v>
      </c>
      <c r="BR591" s="0" t="s">
        <v>240</v>
      </c>
      <c r="BS591" s="0" t="s">
        <v>240</v>
      </c>
      <c r="BT591" s="0" t="s">
        <v>240</v>
      </c>
      <c r="BU591" s="0" t="s">
        <v>240</v>
      </c>
      <c r="BV591" s="0" t="s">
        <v>240</v>
      </c>
      <c r="BW591" s="0" t="s">
        <v>240</v>
      </c>
      <c r="BX591" s="0" t="s">
        <v>240</v>
      </c>
      <c r="BY591" s="0" t="s">
        <v>240</v>
      </c>
      <c r="BZ591" s="0" t="s">
        <v>240</v>
      </c>
      <c r="CA591" s="0" t="s">
        <v>240</v>
      </c>
      <c r="CB591" s="0" t="s">
        <v>240</v>
      </c>
      <c r="CC591" s="0" t="s">
        <v>240</v>
      </c>
      <c r="CD591" s="0" t="s">
        <v>240</v>
      </c>
      <c r="CE591" s="0" t="s">
        <v>240</v>
      </c>
      <c r="CF591" s="0" t="s">
        <v>240</v>
      </c>
      <c r="CG591" s="0" t="s">
        <v>240</v>
      </c>
      <c r="CH591" s="0" t="s">
        <v>240</v>
      </c>
      <c r="CI591" s="0" t="s">
        <v>240</v>
      </c>
      <c r="CJ591" s="0" t="s">
        <v>240</v>
      </c>
      <c r="CK591" s="0" t="s">
        <v>240</v>
      </c>
      <c r="CL591" s="0" t="s">
        <v>240</v>
      </c>
      <c r="CM591" s="0" t="s">
        <v>240</v>
      </c>
      <c r="CN591" s="0" t="s">
        <v>240</v>
      </c>
      <c r="CO591" s="0" t="s">
        <v>240</v>
      </c>
      <c r="CP591" s="0" t="s">
        <v>240</v>
      </c>
      <c r="CQ591" s="0" t="s">
        <v>240</v>
      </c>
      <c r="CR591" s="0" t="s">
        <v>240</v>
      </c>
      <c r="CS591" s="0" t="s">
        <v>240</v>
      </c>
      <c r="CT591" s="0" t="s">
        <v>5496</v>
      </c>
      <c r="CU591" s="0" t="s">
        <v>5497</v>
      </c>
      <c r="CV591" s="0" t="s">
        <v>443</v>
      </c>
      <c r="CW591" s="0" t="s">
        <v>5498</v>
      </c>
      <c r="CX591" s="0" t="s">
        <v>229</v>
      </c>
      <c r="CY591" s="0" t="s">
        <v>443</v>
      </c>
      <c r="CZ591" s="0" t="s">
        <v>230</v>
      </c>
      <c r="DA591" s="0" t="s">
        <v>444</v>
      </c>
      <c r="DB591" s="0" t="s">
        <v>5498</v>
      </c>
      <c r="DC591" s="0" t="s">
        <v>384</v>
      </c>
      <c r="DD591" s="0" t="s">
        <v>291</v>
      </c>
      <c r="DE591" s="0" t="s">
        <v>497</v>
      </c>
    </row>
    <row customHeight="1" ht="11.25">
      <c r="A592" s="1441" t="s">
        <v>240</v>
      </c>
      <c r="B592" s="0" t="s">
        <v>240</v>
      </c>
      <c r="C592" s="0" t="s">
        <v>240</v>
      </c>
      <c r="D592" s="0" t="s">
        <v>240</v>
      </c>
      <c r="E592" s="0" t="s">
        <v>240</v>
      </c>
      <c r="F592" s="0" t="s">
        <v>240</v>
      </c>
      <c r="G592" s="0" t="s">
        <v>240</v>
      </c>
      <c r="H592" s="0" t="s">
        <v>240</v>
      </c>
      <c r="I592" s="0" t="s">
        <v>5484</v>
      </c>
      <c r="J592" s="0" t="s">
        <v>240</v>
      </c>
      <c r="K592" s="0" t="s">
        <v>240</v>
      </c>
      <c r="L592" s="0" t="s">
        <v>240</v>
      </c>
      <c r="M592" s="0" t="s">
        <v>240</v>
      </c>
      <c r="N592" s="0" t="s">
        <v>240</v>
      </c>
      <c r="O592" s="0" t="s">
        <v>240</v>
      </c>
      <c r="P592" s="0" t="s">
        <v>240</v>
      </c>
      <c r="Q592" s="0" t="s">
        <v>240</v>
      </c>
      <c r="R592" s="0" t="s">
        <v>486</v>
      </c>
      <c r="S592" s="0" t="s">
        <v>240</v>
      </c>
      <c r="T592" s="0" t="s">
        <v>240</v>
      </c>
      <c r="U592" s="0" t="s">
        <v>102</v>
      </c>
      <c r="V592" s="0" t="s">
        <v>240</v>
      </c>
      <c r="W592" s="0" t="s">
        <v>240</v>
      </c>
      <c r="X592" s="0" t="s">
        <v>5485</v>
      </c>
      <c r="Y592" s="0" t="s">
        <v>240</v>
      </c>
      <c r="Z592" s="0" t="s">
        <v>161</v>
      </c>
      <c r="AA592" s="0" t="s">
        <v>152</v>
      </c>
      <c r="AB592" s="0" t="s">
        <v>152</v>
      </c>
      <c r="AC592" s="0" t="s">
        <v>364</v>
      </c>
      <c r="AD592" s="0" t="s">
        <v>364</v>
      </c>
      <c r="AE592" s="0" t="s">
        <v>365</v>
      </c>
      <c r="AF592" s="0" t="s">
        <v>6744</v>
      </c>
      <c r="AG592" s="0" t="s">
        <v>6745</v>
      </c>
      <c r="AH592" s="0" t="s">
        <v>6746</v>
      </c>
      <c r="AI592" s="0" t="s">
        <v>6747</v>
      </c>
      <c r="AJ592" s="0" t="s">
        <v>5568</v>
      </c>
      <c r="AK592" s="0" t="s">
        <v>6519</v>
      </c>
      <c r="AL592" s="0" t="s">
        <v>5570</v>
      </c>
      <c r="AM592" s="0" t="s">
        <v>5493</v>
      </c>
      <c r="AN592" s="0" t="s">
        <v>6104</v>
      </c>
      <c r="AO592" s="0" t="s">
        <v>5777</v>
      </c>
      <c r="AP592" s="0" t="s">
        <v>240</v>
      </c>
      <c r="AQ592" s="0" t="s">
        <v>240</v>
      </c>
      <c r="AR592" s="0" t="s">
        <v>240</v>
      </c>
      <c r="AS592" s="0" t="s">
        <v>240</v>
      </c>
      <c r="AT592" s="0" t="s">
        <v>240</v>
      </c>
      <c r="AU592" s="0" t="s">
        <v>240</v>
      </c>
      <c r="AV592" s="0" t="s">
        <v>240</v>
      </c>
      <c r="AW592" s="0" t="s">
        <v>240</v>
      </c>
      <c r="AX592" s="0" t="s">
        <v>240</v>
      </c>
      <c r="AY592" s="0" t="s">
        <v>240</v>
      </c>
      <c r="AZ592" s="0" t="s">
        <v>240</v>
      </c>
      <c r="BA592" s="0" t="s">
        <v>240</v>
      </c>
      <c r="BB592" s="0" t="s">
        <v>240</v>
      </c>
      <c r="BC592" s="0" t="s">
        <v>240</v>
      </c>
      <c r="BD592" s="0" t="s">
        <v>240</v>
      </c>
      <c r="BE592" s="0" t="s">
        <v>240</v>
      </c>
      <c r="BF592" s="0" t="s">
        <v>240</v>
      </c>
      <c r="BG592" s="0" t="s">
        <v>240</v>
      </c>
      <c r="BH592" s="0" t="s">
        <v>240</v>
      </c>
      <c r="BI592" s="0" t="s">
        <v>240</v>
      </c>
      <c r="BJ592" s="0" t="s">
        <v>240</v>
      </c>
      <c r="BK592" s="0" t="s">
        <v>240</v>
      </c>
      <c r="BL592" s="0" t="s">
        <v>240</v>
      </c>
      <c r="BM592" s="0" t="s">
        <v>240</v>
      </c>
      <c r="BN592" s="0" t="s">
        <v>240</v>
      </c>
      <c r="BO592" s="0" t="s">
        <v>240</v>
      </c>
      <c r="BP592" s="0" t="s">
        <v>240</v>
      </c>
      <c r="BQ592" s="0" t="s">
        <v>240</v>
      </c>
      <c r="BR592" s="0" t="s">
        <v>240</v>
      </c>
      <c r="BS592" s="0" t="s">
        <v>240</v>
      </c>
      <c r="BT592" s="0" t="s">
        <v>240</v>
      </c>
      <c r="BU592" s="0" t="s">
        <v>240</v>
      </c>
      <c r="BV592" s="0" t="s">
        <v>240</v>
      </c>
      <c r="BW592" s="0" t="s">
        <v>240</v>
      </c>
      <c r="BX592" s="0" t="s">
        <v>240</v>
      </c>
      <c r="BY592" s="0" t="s">
        <v>240</v>
      </c>
      <c r="BZ592" s="0" t="s">
        <v>240</v>
      </c>
      <c r="CA592" s="0" t="s">
        <v>240</v>
      </c>
      <c r="CB592" s="0" t="s">
        <v>240</v>
      </c>
      <c r="CC592" s="0" t="s">
        <v>240</v>
      </c>
      <c r="CD592" s="0" t="s">
        <v>240</v>
      </c>
      <c r="CE592" s="0" t="s">
        <v>240</v>
      </c>
      <c r="CF592" s="0" t="s">
        <v>240</v>
      </c>
      <c r="CG592" s="0" t="s">
        <v>240</v>
      </c>
      <c r="CH592" s="0" t="s">
        <v>240</v>
      </c>
      <c r="CI592" s="0" t="s">
        <v>240</v>
      </c>
      <c r="CJ592" s="0" t="s">
        <v>240</v>
      </c>
      <c r="CK592" s="0" t="s">
        <v>240</v>
      </c>
      <c r="CL592" s="0" t="s">
        <v>240</v>
      </c>
      <c r="CM592" s="0" t="s">
        <v>240</v>
      </c>
      <c r="CN592" s="0" t="s">
        <v>240</v>
      </c>
      <c r="CO592" s="0" t="s">
        <v>240</v>
      </c>
      <c r="CP592" s="0" t="s">
        <v>240</v>
      </c>
      <c r="CQ592" s="0" t="s">
        <v>240</v>
      </c>
      <c r="CR592" s="0" t="s">
        <v>240</v>
      </c>
      <c r="CS592" s="0" t="s">
        <v>240</v>
      </c>
      <c r="CT592" s="0" t="s">
        <v>5496</v>
      </c>
      <c r="CU592" s="0" t="s">
        <v>5497</v>
      </c>
      <c r="CV592" s="0" t="s">
        <v>443</v>
      </c>
      <c r="CW592" s="0" t="s">
        <v>5498</v>
      </c>
      <c r="CX592" s="0" t="s">
        <v>229</v>
      </c>
      <c r="CY592" s="0" t="s">
        <v>443</v>
      </c>
      <c r="CZ592" s="0" t="s">
        <v>230</v>
      </c>
      <c r="DA592" s="0" t="s">
        <v>444</v>
      </c>
      <c r="DB592" s="0" t="s">
        <v>5498</v>
      </c>
      <c r="DC592" s="0" t="s">
        <v>384</v>
      </c>
      <c r="DD592" s="0" t="s">
        <v>291</v>
      </c>
      <c r="DE592" s="0" t="s">
        <v>487</v>
      </c>
    </row>
    <row customHeight="1" ht="11.25">
      <c r="A593" s="1441" t="s">
        <v>240</v>
      </c>
      <c r="B593" s="0" t="s">
        <v>240</v>
      </c>
      <c r="C593" s="0" t="s">
        <v>240</v>
      </c>
      <c r="D593" s="0" t="s">
        <v>240</v>
      </c>
      <c r="E593" s="0" t="s">
        <v>240</v>
      </c>
      <c r="F593" s="0" t="s">
        <v>240</v>
      </c>
      <c r="G593" s="0" t="s">
        <v>240</v>
      </c>
      <c r="H593" s="0" t="s">
        <v>240</v>
      </c>
      <c r="I593" s="0" t="s">
        <v>5484</v>
      </c>
      <c r="J593" s="0" t="s">
        <v>240</v>
      </c>
      <c r="K593" s="0" t="s">
        <v>240</v>
      </c>
      <c r="L593" s="0" t="s">
        <v>240</v>
      </c>
      <c r="M593" s="0" t="s">
        <v>240</v>
      </c>
      <c r="N593" s="0" t="s">
        <v>240</v>
      </c>
      <c r="O593" s="0" t="s">
        <v>240</v>
      </c>
      <c r="P593" s="0" t="s">
        <v>240</v>
      </c>
      <c r="Q593" s="0" t="s">
        <v>240</v>
      </c>
      <c r="R593" s="0" t="s">
        <v>7001</v>
      </c>
      <c r="S593" s="0" t="s">
        <v>240</v>
      </c>
      <c r="T593" s="0" t="s">
        <v>240</v>
      </c>
      <c r="U593" s="0" t="s">
        <v>102</v>
      </c>
      <c r="V593" s="0" t="s">
        <v>240</v>
      </c>
      <c r="W593" s="0" t="s">
        <v>240</v>
      </c>
      <c r="X593" s="0" t="s">
        <v>5485</v>
      </c>
      <c r="Y593" s="0" t="s">
        <v>240</v>
      </c>
      <c r="Z593" s="0" t="s">
        <v>161</v>
      </c>
      <c r="AA593" s="0" t="s">
        <v>152</v>
      </c>
      <c r="AB593" s="0" t="s">
        <v>152</v>
      </c>
      <c r="AC593" s="0" t="s">
        <v>3389</v>
      </c>
      <c r="AD593" s="0" t="s">
        <v>3389</v>
      </c>
      <c r="AE593" s="0" t="s">
        <v>3390</v>
      </c>
      <c r="AF593" s="0" t="s">
        <v>5519</v>
      </c>
      <c r="AG593" s="0" t="s">
        <v>5520</v>
      </c>
      <c r="AH593" s="0" t="s">
        <v>5760</v>
      </c>
      <c r="AI593" s="0" t="s">
        <v>5533</v>
      </c>
      <c r="AJ593" s="0" t="s">
        <v>5761</v>
      </c>
      <c r="AK593" s="0" t="s">
        <v>5762</v>
      </c>
      <c r="AL593" s="0" t="s">
        <v>5524</v>
      </c>
      <c r="AM593" s="0" t="s">
        <v>5493</v>
      </c>
      <c r="AN593" s="0" t="s">
        <v>5763</v>
      </c>
      <c r="AO593" s="0" t="s">
        <v>5764</v>
      </c>
      <c r="AP593" s="0" t="s">
        <v>240</v>
      </c>
      <c r="AQ593" s="0" t="s">
        <v>240</v>
      </c>
      <c r="AR593" s="0" t="s">
        <v>240</v>
      </c>
      <c r="AS593" s="0" t="s">
        <v>240</v>
      </c>
      <c r="AT593" s="0" t="s">
        <v>240</v>
      </c>
      <c r="AU593" s="0" t="s">
        <v>240</v>
      </c>
      <c r="AV593" s="0" t="s">
        <v>240</v>
      </c>
      <c r="AW593" s="0" t="s">
        <v>240</v>
      </c>
      <c r="AX593" s="0" t="s">
        <v>240</v>
      </c>
      <c r="AY593" s="0" t="s">
        <v>240</v>
      </c>
      <c r="AZ593" s="0" t="s">
        <v>240</v>
      </c>
      <c r="BA593" s="0" t="s">
        <v>240</v>
      </c>
      <c r="BB593" s="0" t="s">
        <v>240</v>
      </c>
      <c r="BC593" s="0" t="s">
        <v>240</v>
      </c>
      <c r="BD593" s="0" t="s">
        <v>240</v>
      </c>
      <c r="BE593" s="0" t="s">
        <v>240</v>
      </c>
      <c r="BF593" s="0" t="s">
        <v>240</v>
      </c>
      <c r="BG593" s="0" t="s">
        <v>240</v>
      </c>
      <c r="BH593" s="0" t="s">
        <v>240</v>
      </c>
      <c r="BI593" s="0" t="s">
        <v>240</v>
      </c>
      <c r="BJ593" s="0" t="s">
        <v>240</v>
      </c>
      <c r="BK593" s="0" t="s">
        <v>240</v>
      </c>
      <c r="BL593" s="0" t="s">
        <v>240</v>
      </c>
      <c r="BM593" s="0" t="s">
        <v>240</v>
      </c>
      <c r="BN593" s="0" t="s">
        <v>240</v>
      </c>
      <c r="BO593" s="0" t="s">
        <v>240</v>
      </c>
      <c r="BP593" s="0" t="s">
        <v>240</v>
      </c>
      <c r="BQ593" s="0" t="s">
        <v>240</v>
      </c>
      <c r="BR593" s="0" t="s">
        <v>240</v>
      </c>
      <c r="BS593" s="0" t="s">
        <v>240</v>
      </c>
      <c r="BT593" s="0" t="s">
        <v>240</v>
      </c>
      <c r="BU593" s="0" t="s">
        <v>240</v>
      </c>
      <c r="BV593" s="0" t="s">
        <v>240</v>
      </c>
      <c r="BW593" s="0" t="s">
        <v>240</v>
      </c>
      <c r="BX593" s="0" t="s">
        <v>240</v>
      </c>
      <c r="BY593" s="0" t="s">
        <v>240</v>
      </c>
      <c r="BZ593" s="0" t="s">
        <v>240</v>
      </c>
      <c r="CA593" s="0" t="s">
        <v>240</v>
      </c>
      <c r="CB593" s="0" t="s">
        <v>240</v>
      </c>
      <c r="CC593" s="0" t="s">
        <v>240</v>
      </c>
      <c r="CD593" s="0" t="s">
        <v>240</v>
      </c>
      <c r="CE593" s="0" t="s">
        <v>240</v>
      </c>
      <c r="CF593" s="0" t="s">
        <v>240</v>
      </c>
      <c r="CG593" s="0" t="s">
        <v>240</v>
      </c>
      <c r="CH593" s="0" t="s">
        <v>240</v>
      </c>
      <c r="CI593" s="0" t="s">
        <v>240</v>
      </c>
      <c r="CJ593" s="0" t="s">
        <v>240</v>
      </c>
      <c r="CK593" s="0" t="s">
        <v>240</v>
      </c>
      <c r="CL593" s="0" t="s">
        <v>240</v>
      </c>
      <c r="CM593" s="0" t="s">
        <v>240</v>
      </c>
      <c r="CN593" s="0" t="s">
        <v>240</v>
      </c>
      <c r="CO593" s="0" t="s">
        <v>240</v>
      </c>
      <c r="CP593" s="0" t="s">
        <v>240</v>
      </c>
      <c r="CQ593" s="0" t="s">
        <v>240</v>
      </c>
      <c r="CR593" s="0" t="s">
        <v>240</v>
      </c>
      <c r="CS593" s="0" t="s">
        <v>240</v>
      </c>
      <c r="CT593" s="0" t="s">
        <v>5496</v>
      </c>
      <c r="CU593" s="0" t="s">
        <v>5497</v>
      </c>
      <c r="CV593" s="0" t="s">
        <v>443</v>
      </c>
      <c r="CW593" s="0" t="s">
        <v>5527</v>
      </c>
      <c r="CX593" s="0" t="s">
        <v>5528</v>
      </c>
      <c r="CY593" s="0" t="s">
        <v>443</v>
      </c>
      <c r="CZ593" s="0" t="s">
        <v>299</v>
      </c>
      <c r="DA593" s="0" t="s">
        <v>5529</v>
      </c>
      <c r="DB593" s="0" t="s">
        <v>5527</v>
      </c>
      <c r="DC593" s="0" t="s">
        <v>384</v>
      </c>
      <c r="DD593" s="0" t="s">
        <v>291</v>
      </c>
      <c r="DE593" s="0" t="s">
        <v>5765</v>
      </c>
    </row>
    <row customHeight="1" ht="11.25">
      <c r="A594" s="1441" t="s">
        <v>240</v>
      </c>
      <c r="B594" s="0" t="s">
        <v>240</v>
      </c>
      <c r="C594" s="0" t="s">
        <v>240</v>
      </c>
      <c r="D594" s="0" t="s">
        <v>240</v>
      </c>
      <c r="E594" s="0" t="s">
        <v>240</v>
      </c>
      <c r="F594" s="0" t="s">
        <v>240</v>
      </c>
      <c r="G594" s="0" t="s">
        <v>240</v>
      </c>
      <c r="H594" s="0" t="s">
        <v>240</v>
      </c>
      <c r="I594" s="0" t="s">
        <v>5484</v>
      </c>
      <c r="J594" s="0" t="s">
        <v>240</v>
      </c>
      <c r="K594" s="0" t="s">
        <v>240</v>
      </c>
      <c r="L594" s="0" t="s">
        <v>240</v>
      </c>
      <c r="M594" s="0" t="s">
        <v>240</v>
      </c>
      <c r="N594" s="0" t="s">
        <v>240</v>
      </c>
      <c r="O594" s="0" t="s">
        <v>240</v>
      </c>
      <c r="P594" s="0" t="s">
        <v>240</v>
      </c>
      <c r="Q594" s="0" t="s">
        <v>240</v>
      </c>
      <c r="R594" s="0" t="s">
        <v>483</v>
      </c>
      <c r="S594" s="0" t="s">
        <v>240</v>
      </c>
      <c r="T594" s="0" t="s">
        <v>240</v>
      </c>
      <c r="U594" s="0" t="s">
        <v>102</v>
      </c>
      <c r="V594" s="0" t="s">
        <v>240</v>
      </c>
      <c r="W594" s="0" t="s">
        <v>240</v>
      </c>
      <c r="X594" s="0" t="s">
        <v>5485</v>
      </c>
      <c r="Y594" s="0" t="s">
        <v>240</v>
      </c>
      <c r="Z594" s="0" t="s">
        <v>161</v>
      </c>
      <c r="AA594" s="0" t="s">
        <v>152</v>
      </c>
      <c r="AB594" s="0" t="s">
        <v>152</v>
      </c>
      <c r="AC594" s="0" t="s">
        <v>364</v>
      </c>
      <c r="AD594" s="0" t="s">
        <v>364</v>
      </c>
      <c r="AE594" s="0" t="s">
        <v>365</v>
      </c>
      <c r="AF594" s="0" t="s">
        <v>6744</v>
      </c>
      <c r="AG594" s="0" t="s">
        <v>6745</v>
      </c>
      <c r="AH594" s="0" t="s">
        <v>6748</v>
      </c>
      <c r="AI594" s="0" t="s">
        <v>6749</v>
      </c>
      <c r="AJ594" s="0" t="s">
        <v>6750</v>
      </c>
      <c r="AK594" s="0" t="s">
        <v>5598</v>
      </c>
      <c r="AL594" s="0" t="s">
        <v>5524</v>
      </c>
      <c r="AM594" s="0" t="s">
        <v>5493</v>
      </c>
      <c r="AN594" s="0" t="s">
        <v>6105</v>
      </c>
      <c r="AO594" s="0" t="s">
        <v>6751</v>
      </c>
      <c r="AP594" s="0" t="s">
        <v>240</v>
      </c>
      <c r="AQ594" s="0" t="s">
        <v>240</v>
      </c>
      <c r="AR594" s="0" t="s">
        <v>240</v>
      </c>
      <c r="AS594" s="0" t="s">
        <v>240</v>
      </c>
      <c r="AT594" s="0" t="s">
        <v>240</v>
      </c>
      <c r="AU594" s="0" t="s">
        <v>240</v>
      </c>
      <c r="AV594" s="0" t="s">
        <v>240</v>
      </c>
      <c r="AW594" s="0" t="s">
        <v>240</v>
      </c>
      <c r="AX594" s="0" t="s">
        <v>240</v>
      </c>
      <c r="AY594" s="0" t="s">
        <v>240</v>
      </c>
      <c r="AZ594" s="0" t="s">
        <v>240</v>
      </c>
      <c r="BA594" s="0" t="s">
        <v>240</v>
      </c>
      <c r="BB594" s="0" t="s">
        <v>240</v>
      </c>
      <c r="BC594" s="0" t="s">
        <v>240</v>
      </c>
      <c r="BD594" s="0" t="s">
        <v>240</v>
      </c>
      <c r="BE594" s="0" t="s">
        <v>240</v>
      </c>
      <c r="BF594" s="0" t="s">
        <v>240</v>
      </c>
      <c r="BG594" s="0" t="s">
        <v>240</v>
      </c>
      <c r="BH594" s="0" t="s">
        <v>240</v>
      </c>
      <c r="BI594" s="0" t="s">
        <v>240</v>
      </c>
      <c r="BJ594" s="0" t="s">
        <v>240</v>
      </c>
      <c r="BK594" s="0" t="s">
        <v>240</v>
      </c>
      <c r="BL594" s="0" t="s">
        <v>240</v>
      </c>
      <c r="BM594" s="0" t="s">
        <v>240</v>
      </c>
      <c r="BN594" s="0" t="s">
        <v>240</v>
      </c>
      <c r="BO594" s="0" t="s">
        <v>240</v>
      </c>
      <c r="BP594" s="0" t="s">
        <v>240</v>
      </c>
      <c r="BQ594" s="0" t="s">
        <v>240</v>
      </c>
      <c r="BR594" s="0" t="s">
        <v>240</v>
      </c>
      <c r="BS594" s="0" t="s">
        <v>240</v>
      </c>
      <c r="BT594" s="0" t="s">
        <v>240</v>
      </c>
      <c r="BU594" s="0" t="s">
        <v>240</v>
      </c>
      <c r="BV594" s="0" t="s">
        <v>240</v>
      </c>
      <c r="BW594" s="0" t="s">
        <v>240</v>
      </c>
      <c r="BX594" s="0" t="s">
        <v>240</v>
      </c>
      <c r="BY594" s="0" t="s">
        <v>240</v>
      </c>
      <c r="BZ594" s="0" t="s">
        <v>240</v>
      </c>
      <c r="CA594" s="0" t="s">
        <v>240</v>
      </c>
      <c r="CB594" s="0" t="s">
        <v>240</v>
      </c>
      <c r="CC594" s="0" t="s">
        <v>240</v>
      </c>
      <c r="CD594" s="0" t="s">
        <v>240</v>
      </c>
      <c r="CE594" s="0" t="s">
        <v>240</v>
      </c>
      <c r="CF594" s="0" t="s">
        <v>240</v>
      </c>
      <c r="CG594" s="0" t="s">
        <v>240</v>
      </c>
      <c r="CH594" s="0" t="s">
        <v>240</v>
      </c>
      <c r="CI594" s="0" t="s">
        <v>240</v>
      </c>
      <c r="CJ594" s="0" t="s">
        <v>240</v>
      </c>
      <c r="CK594" s="0" t="s">
        <v>240</v>
      </c>
      <c r="CL594" s="0" t="s">
        <v>240</v>
      </c>
      <c r="CM594" s="0" t="s">
        <v>240</v>
      </c>
      <c r="CN594" s="0" t="s">
        <v>240</v>
      </c>
      <c r="CO594" s="0" t="s">
        <v>240</v>
      </c>
      <c r="CP594" s="0" t="s">
        <v>240</v>
      </c>
      <c r="CQ594" s="0" t="s">
        <v>240</v>
      </c>
      <c r="CR594" s="0" t="s">
        <v>240</v>
      </c>
      <c r="CS594" s="0" t="s">
        <v>240</v>
      </c>
      <c r="CT594" s="0" t="s">
        <v>5496</v>
      </c>
      <c r="CU594" s="0" t="s">
        <v>5497</v>
      </c>
      <c r="CV594" s="0" t="s">
        <v>443</v>
      </c>
      <c r="CW594" s="0" t="s">
        <v>5498</v>
      </c>
      <c r="CX594" s="0" t="s">
        <v>229</v>
      </c>
      <c r="CY594" s="0" t="s">
        <v>443</v>
      </c>
      <c r="CZ594" s="0" t="s">
        <v>230</v>
      </c>
      <c r="DA594" s="0" t="s">
        <v>444</v>
      </c>
      <c r="DB594" s="0" t="s">
        <v>5498</v>
      </c>
      <c r="DC594" s="0" t="s">
        <v>384</v>
      </c>
      <c r="DD594" s="0" t="s">
        <v>291</v>
      </c>
      <c r="DE594" s="0" t="s">
        <v>484</v>
      </c>
    </row>
    <row customHeight="1" ht="11.25">
      <c r="A595" s="1441" t="s">
        <v>240</v>
      </c>
      <c r="B595" s="0" t="s">
        <v>240</v>
      </c>
      <c r="C595" s="0" t="s">
        <v>240</v>
      </c>
      <c r="D595" s="0" t="s">
        <v>240</v>
      </c>
      <c r="E595" s="0" t="s">
        <v>240</v>
      </c>
      <c r="F595" s="0" t="s">
        <v>240</v>
      </c>
      <c r="G595" s="0" t="s">
        <v>240</v>
      </c>
      <c r="H595" s="0" t="s">
        <v>240</v>
      </c>
      <c r="I595" s="0" t="s">
        <v>5484</v>
      </c>
      <c r="J595" s="0" t="s">
        <v>240</v>
      </c>
      <c r="K595" s="0" t="s">
        <v>240</v>
      </c>
      <c r="L595" s="0" t="s">
        <v>240</v>
      </c>
      <c r="M595" s="0" t="s">
        <v>240</v>
      </c>
      <c r="N595" s="0" t="s">
        <v>240</v>
      </c>
      <c r="O595" s="0" t="s">
        <v>240</v>
      </c>
      <c r="P595" s="0" t="s">
        <v>240</v>
      </c>
      <c r="Q595" s="0" t="s">
        <v>240</v>
      </c>
      <c r="R595" s="0" t="s">
        <v>7002</v>
      </c>
      <c r="S595" s="0" t="s">
        <v>240</v>
      </c>
      <c r="T595" s="0" t="s">
        <v>240</v>
      </c>
      <c r="U595" s="0" t="s">
        <v>102</v>
      </c>
      <c r="V595" s="0" t="s">
        <v>240</v>
      </c>
      <c r="W595" s="0" t="s">
        <v>240</v>
      </c>
      <c r="X595" s="0" t="s">
        <v>5485</v>
      </c>
      <c r="Y595" s="0" t="s">
        <v>240</v>
      </c>
      <c r="Z595" s="0" t="s">
        <v>161</v>
      </c>
      <c r="AA595" s="0" t="s">
        <v>152</v>
      </c>
      <c r="AB595" s="0" t="s">
        <v>152</v>
      </c>
      <c r="AC595" s="0" t="s">
        <v>3389</v>
      </c>
      <c r="AD595" s="0" t="s">
        <v>3389</v>
      </c>
      <c r="AE595" s="0" t="s">
        <v>3390</v>
      </c>
      <c r="AF595" s="0" t="s">
        <v>5519</v>
      </c>
      <c r="AG595" s="0" t="s">
        <v>5520</v>
      </c>
      <c r="AH595" s="0" t="s">
        <v>5628</v>
      </c>
      <c r="AI595" s="0" t="s">
        <v>5533</v>
      </c>
      <c r="AJ595" s="0" t="s">
        <v>5587</v>
      </c>
      <c r="AK595" s="0" t="s">
        <v>6333</v>
      </c>
      <c r="AL595" s="0" t="s">
        <v>5524</v>
      </c>
      <c r="AM595" s="0" t="s">
        <v>5493</v>
      </c>
      <c r="AN595" s="0" t="s">
        <v>6334</v>
      </c>
      <c r="AO595" s="0" t="s">
        <v>6335</v>
      </c>
      <c r="AP595" s="0" t="s">
        <v>240</v>
      </c>
      <c r="AQ595" s="0" t="s">
        <v>240</v>
      </c>
      <c r="AR595" s="0" t="s">
        <v>240</v>
      </c>
      <c r="AS595" s="0" t="s">
        <v>240</v>
      </c>
      <c r="AT595" s="0" t="s">
        <v>240</v>
      </c>
      <c r="AU595" s="0" t="s">
        <v>240</v>
      </c>
      <c r="AV595" s="0" t="s">
        <v>240</v>
      </c>
      <c r="AW595" s="0" t="s">
        <v>240</v>
      </c>
      <c r="AX595" s="0" t="s">
        <v>240</v>
      </c>
      <c r="AY595" s="0" t="s">
        <v>240</v>
      </c>
      <c r="AZ595" s="0" t="s">
        <v>240</v>
      </c>
      <c r="BA595" s="0" t="s">
        <v>240</v>
      </c>
      <c r="BB595" s="0" t="s">
        <v>240</v>
      </c>
      <c r="BC595" s="0" t="s">
        <v>240</v>
      </c>
      <c r="BD595" s="0" t="s">
        <v>240</v>
      </c>
      <c r="BE595" s="0" t="s">
        <v>240</v>
      </c>
      <c r="BF595" s="0" t="s">
        <v>240</v>
      </c>
      <c r="BG595" s="0" t="s">
        <v>240</v>
      </c>
      <c r="BH595" s="0" t="s">
        <v>240</v>
      </c>
      <c r="BI595" s="0" t="s">
        <v>240</v>
      </c>
      <c r="BJ595" s="0" t="s">
        <v>240</v>
      </c>
      <c r="BK595" s="0" t="s">
        <v>240</v>
      </c>
      <c r="BL595" s="0" t="s">
        <v>240</v>
      </c>
      <c r="BM595" s="0" t="s">
        <v>240</v>
      </c>
      <c r="BN595" s="0" t="s">
        <v>240</v>
      </c>
      <c r="BO595" s="0" t="s">
        <v>240</v>
      </c>
      <c r="BP595" s="0" t="s">
        <v>240</v>
      </c>
      <c r="BQ595" s="0" t="s">
        <v>240</v>
      </c>
      <c r="BR595" s="0" t="s">
        <v>240</v>
      </c>
      <c r="BS595" s="0" t="s">
        <v>240</v>
      </c>
      <c r="BT595" s="0" t="s">
        <v>240</v>
      </c>
      <c r="BU595" s="0" t="s">
        <v>240</v>
      </c>
      <c r="BV595" s="0" t="s">
        <v>240</v>
      </c>
      <c r="BW595" s="0" t="s">
        <v>240</v>
      </c>
      <c r="BX595" s="0" t="s">
        <v>240</v>
      </c>
      <c r="BY595" s="0" t="s">
        <v>240</v>
      </c>
      <c r="BZ595" s="0" t="s">
        <v>240</v>
      </c>
      <c r="CA595" s="0" t="s">
        <v>240</v>
      </c>
      <c r="CB595" s="0" t="s">
        <v>240</v>
      </c>
      <c r="CC595" s="0" t="s">
        <v>240</v>
      </c>
      <c r="CD595" s="0" t="s">
        <v>240</v>
      </c>
      <c r="CE595" s="0" t="s">
        <v>240</v>
      </c>
      <c r="CF595" s="0" t="s">
        <v>240</v>
      </c>
      <c r="CG595" s="0" t="s">
        <v>240</v>
      </c>
      <c r="CH595" s="0" t="s">
        <v>240</v>
      </c>
      <c r="CI595" s="0" t="s">
        <v>240</v>
      </c>
      <c r="CJ595" s="0" t="s">
        <v>240</v>
      </c>
      <c r="CK595" s="0" t="s">
        <v>240</v>
      </c>
      <c r="CL595" s="0" t="s">
        <v>240</v>
      </c>
      <c r="CM595" s="0" t="s">
        <v>240</v>
      </c>
      <c r="CN595" s="0" t="s">
        <v>240</v>
      </c>
      <c r="CO595" s="0" t="s">
        <v>240</v>
      </c>
      <c r="CP595" s="0" t="s">
        <v>240</v>
      </c>
      <c r="CQ595" s="0" t="s">
        <v>240</v>
      </c>
      <c r="CR595" s="0" t="s">
        <v>240</v>
      </c>
      <c r="CS595" s="0" t="s">
        <v>240</v>
      </c>
      <c r="CT595" s="0" t="s">
        <v>5496</v>
      </c>
      <c r="CU595" s="0" t="s">
        <v>5497</v>
      </c>
      <c r="CV595" s="0" t="s">
        <v>443</v>
      </c>
      <c r="CW595" s="0" t="s">
        <v>5527</v>
      </c>
      <c r="CX595" s="0" t="s">
        <v>5528</v>
      </c>
      <c r="CY595" s="0" t="s">
        <v>443</v>
      </c>
      <c r="CZ595" s="0" t="s">
        <v>299</v>
      </c>
      <c r="DA595" s="0" t="s">
        <v>5529</v>
      </c>
      <c r="DB595" s="0" t="s">
        <v>5527</v>
      </c>
      <c r="DC595" s="0" t="s">
        <v>384</v>
      </c>
      <c r="DD595" s="0" t="s">
        <v>291</v>
      </c>
      <c r="DE595" s="0" t="s">
        <v>5631</v>
      </c>
    </row>
    <row customHeight="1" ht="11.25">
      <c r="A596" s="1441" t="s">
        <v>240</v>
      </c>
      <c r="B596" s="0" t="s">
        <v>240</v>
      </c>
      <c r="C596" s="0" t="s">
        <v>240</v>
      </c>
      <c r="D596" s="0" t="s">
        <v>240</v>
      </c>
      <c r="E596" s="0" t="s">
        <v>240</v>
      </c>
      <c r="F596" s="0" t="s">
        <v>240</v>
      </c>
      <c r="G596" s="0" t="s">
        <v>240</v>
      </c>
      <c r="H596" s="0" t="s">
        <v>240</v>
      </c>
      <c r="I596" s="0" t="s">
        <v>5484</v>
      </c>
      <c r="J596" s="0" t="s">
        <v>240</v>
      </c>
      <c r="K596" s="0" t="s">
        <v>240</v>
      </c>
      <c r="L596" s="0" t="s">
        <v>240</v>
      </c>
      <c r="M596" s="0" t="s">
        <v>240</v>
      </c>
      <c r="N596" s="0" t="s">
        <v>240</v>
      </c>
      <c r="O596" s="0" t="s">
        <v>240</v>
      </c>
      <c r="P596" s="0" t="s">
        <v>240</v>
      </c>
      <c r="Q596" s="0" t="s">
        <v>240</v>
      </c>
      <c r="R596" s="0" t="s">
        <v>6322</v>
      </c>
      <c r="S596" s="0" t="s">
        <v>240</v>
      </c>
      <c r="T596" s="0" t="s">
        <v>240</v>
      </c>
      <c r="U596" s="0" t="s">
        <v>102</v>
      </c>
      <c r="V596" s="0" t="s">
        <v>240</v>
      </c>
      <c r="W596" s="0" t="s">
        <v>240</v>
      </c>
      <c r="X596" s="0" t="s">
        <v>5585</v>
      </c>
      <c r="Y596" s="0" t="s">
        <v>240</v>
      </c>
      <c r="Z596" s="0" t="s">
        <v>152</v>
      </c>
      <c r="AA596" s="0" t="s">
        <v>152</v>
      </c>
      <c r="AB596" s="0" t="s">
        <v>161</v>
      </c>
      <c r="AC596" s="0" t="s">
        <v>2985</v>
      </c>
      <c r="AD596" s="0" t="s">
        <v>2985</v>
      </c>
      <c r="AE596" s="0" t="s">
        <v>2986</v>
      </c>
      <c r="AF596" s="0" t="s">
        <v>6336</v>
      </c>
      <c r="AG596" s="0" t="s">
        <v>6337</v>
      </c>
      <c r="AH596" s="0" t="s">
        <v>6338</v>
      </c>
      <c r="AI596" s="0" t="s">
        <v>6339</v>
      </c>
      <c r="AJ596" s="0" t="s">
        <v>240</v>
      </c>
      <c r="AK596" s="0" t="s">
        <v>240</v>
      </c>
      <c r="AL596" s="0" t="s">
        <v>240</v>
      </c>
      <c r="AM596" s="0" t="s">
        <v>240</v>
      </c>
      <c r="AN596" s="0" t="s">
        <v>240</v>
      </c>
      <c r="AO596" s="0" t="s">
        <v>240</v>
      </c>
      <c r="AP596" s="0" t="s">
        <v>240</v>
      </c>
      <c r="AQ596" s="0" t="s">
        <v>240</v>
      </c>
      <c r="AR596" s="0" t="s">
        <v>240</v>
      </c>
      <c r="AS596" s="0" t="s">
        <v>240</v>
      </c>
      <c r="AT596" s="0" t="s">
        <v>240</v>
      </c>
      <c r="AU596" s="0" t="s">
        <v>240</v>
      </c>
      <c r="AV596" s="0" t="s">
        <v>240</v>
      </c>
      <c r="AW596" s="0" t="s">
        <v>240</v>
      </c>
      <c r="AX596" s="0" t="s">
        <v>240</v>
      </c>
      <c r="AY596" s="0" t="s">
        <v>240</v>
      </c>
      <c r="AZ596" s="0" t="s">
        <v>240</v>
      </c>
      <c r="BA596" s="0" t="s">
        <v>240</v>
      </c>
      <c r="BB596" s="0" t="s">
        <v>240</v>
      </c>
      <c r="BC596" s="0" t="s">
        <v>240</v>
      </c>
      <c r="BD596" s="0" t="s">
        <v>240</v>
      </c>
      <c r="BE596" s="0" t="s">
        <v>5645</v>
      </c>
      <c r="BF596" s="0" t="s">
        <v>5645</v>
      </c>
      <c r="BG596" s="0" t="s">
        <v>112</v>
      </c>
      <c r="BH596" s="0" t="s">
        <v>5589</v>
      </c>
      <c r="BI596" s="0" t="s">
        <v>123</v>
      </c>
      <c r="BJ596" s="0" t="s">
        <v>240</v>
      </c>
      <c r="BK596" s="0" t="s">
        <v>5608</v>
      </c>
      <c r="BL596" s="0" t="s">
        <v>2985</v>
      </c>
      <c r="BM596" s="0" t="s">
        <v>2985</v>
      </c>
      <c r="BN596" s="0" t="s">
        <v>5646</v>
      </c>
      <c r="BO596" s="0" t="s">
        <v>6336</v>
      </c>
      <c r="BP596" s="0" t="s">
        <v>6340</v>
      </c>
      <c r="BQ596" s="0" t="s">
        <v>6328</v>
      </c>
      <c r="BR596" s="0" t="s">
        <v>6329</v>
      </c>
      <c r="BS596" s="0" t="s">
        <v>240</v>
      </c>
      <c r="BT596" s="0" t="s">
        <v>5650</v>
      </c>
      <c r="BU596" s="0" t="s">
        <v>6341</v>
      </c>
      <c r="BV596" s="0" t="s">
        <v>6341</v>
      </c>
      <c r="BW596" s="0" t="s">
        <v>5598</v>
      </c>
      <c r="BX596" s="0" t="s">
        <v>5598</v>
      </c>
      <c r="BY596" s="0" t="s">
        <v>5598</v>
      </c>
      <c r="BZ596" s="0" t="s">
        <v>5598</v>
      </c>
      <c r="CA596" s="0" t="s">
        <v>5598</v>
      </c>
      <c r="CB596" s="0" t="s">
        <v>240</v>
      </c>
      <c r="CC596" s="0" t="s">
        <v>240</v>
      </c>
      <c r="CD596" s="0" t="s">
        <v>240</v>
      </c>
      <c r="CE596" s="0" t="s">
        <v>240</v>
      </c>
      <c r="CF596" s="0" t="s">
        <v>240</v>
      </c>
      <c r="CG596" s="0" t="s">
        <v>5598</v>
      </c>
      <c r="CH596" s="0" t="s">
        <v>240</v>
      </c>
      <c r="CI596" s="0" t="s">
        <v>240</v>
      </c>
      <c r="CJ596" s="0" t="s">
        <v>240</v>
      </c>
      <c r="CK596" s="0" t="s">
        <v>240</v>
      </c>
      <c r="CL596" s="0" t="s">
        <v>240</v>
      </c>
      <c r="CM596" s="0" t="s">
        <v>6341</v>
      </c>
      <c r="CN596" s="0" t="s">
        <v>6341</v>
      </c>
      <c r="CO596" s="0" t="s">
        <v>240</v>
      </c>
      <c r="CP596" s="0" t="s">
        <v>240</v>
      </c>
      <c r="CQ596" s="0" t="s">
        <v>240</v>
      </c>
      <c r="CR596" s="0" t="s">
        <v>240</v>
      </c>
      <c r="CS596" s="0" t="s">
        <v>5507</v>
      </c>
      <c r="CT596" s="0" t="s">
        <v>5496</v>
      </c>
      <c r="CU596" s="0" t="s">
        <v>5497</v>
      </c>
      <c r="CV596" s="0" t="s">
        <v>443</v>
      </c>
      <c r="CW596" s="0" t="s">
        <v>5509</v>
      </c>
      <c r="CX596" s="0" t="s">
        <v>229</v>
      </c>
      <c r="CY596" s="0" t="s">
        <v>443</v>
      </c>
      <c r="CZ596" s="0" t="s">
        <v>5510</v>
      </c>
      <c r="DA596" s="0" t="s">
        <v>5511</v>
      </c>
      <c r="DB596" s="0" t="s">
        <v>5509</v>
      </c>
      <c r="DC596" s="0" t="s">
        <v>384</v>
      </c>
      <c r="DD596" s="0" t="s">
        <v>291</v>
      </c>
      <c r="DE596" s="0" t="s">
        <v>6342</v>
      </c>
    </row>
    <row customHeight="1" ht="11.25">
      <c r="A597" s="1441" t="s">
        <v>240</v>
      </c>
      <c r="B597" s="0" t="s">
        <v>240</v>
      </c>
      <c r="C597" s="0" t="s">
        <v>240</v>
      </c>
      <c r="D597" s="0" t="s">
        <v>240</v>
      </c>
      <c r="E597" s="0" t="s">
        <v>240</v>
      </c>
      <c r="F597" s="0" t="s">
        <v>240</v>
      </c>
      <c r="G597" s="0" t="s">
        <v>240</v>
      </c>
      <c r="H597" s="0" t="s">
        <v>240</v>
      </c>
      <c r="I597" s="0" t="s">
        <v>5484</v>
      </c>
      <c r="J597" s="0" t="s">
        <v>240</v>
      </c>
      <c r="K597" s="0" t="s">
        <v>240</v>
      </c>
      <c r="L597" s="0" t="s">
        <v>240</v>
      </c>
      <c r="M597" s="0" t="s">
        <v>240</v>
      </c>
      <c r="N597" s="0" t="s">
        <v>240</v>
      </c>
      <c r="O597" s="0" t="s">
        <v>240</v>
      </c>
      <c r="P597" s="0" t="s">
        <v>240</v>
      </c>
      <c r="Q597" s="0" t="s">
        <v>240</v>
      </c>
      <c r="R597" s="0" t="s">
        <v>6322</v>
      </c>
      <c r="S597" s="0" t="s">
        <v>240</v>
      </c>
      <c r="T597" s="0" t="s">
        <v>240</v>
      </c>
      <c r="U597" s="0" t="s">
        <v>102</v>
      </c>
      <c r="V597" s="0" t="s">
        <v>240</v>
      </c>
      <c r="W597" s="0" t="s">
        <v>240</v>
      </c>
      <c r="X597" s="0" t="s">
        <v>5585</v>
      </c>
      <c r="Y597" s="0" t="s">
        <v>240</v>
      </c>
      <c r="Z597" s="0" t="s">
        <v>152</v>
      </c>
      <c r="AA597" s="0" t="s">
        <v>152</v>
      </c>
      <c r="AB597" s="0" t="s">
        <v>161</v>
      </c>
      <c r="AC597" s="0" t="s">
        <v>2985</v>
      </c>
      <c r="AD597" s="0" t="s">
        <v>2985</v>
      </c>
      <c r="AE597" s="0" t="s">
        <v>2986</v>
      </c>
      <c r="AF597" s="0" t="s">
        <v>6522</v>
      </c>
      <c r="AG597" s="0" t="s">
        <v>6523</v>
      </c>
      <c r="AH597" s="0" t="s">
        <v>6524</v>
      </c>
      <c r="AI597" s="0" t="s">
        <v>6525</v>
      </c>
      <c r="AJ597" s="0" t="s">
        <v>240</v>
      </c>
      <c r="AK597" s="0" t="s">
        <v>240</v>
      </c>
      <c r="AL597" s="0" t="s">
        <v>240</v>
      </c>
      <c r="AM597" s="0" t="s">
        <v>240</v>
      </c>
      <c r="AN597" s="0" t="s">
        <v>240</v>
      </c>
      <c r="AO597" s="0" t="s">
        <v>240</v>
      </c>
      <c r="AP597" s="0" t="s">
        <v>240</v>
      </c>
      <c r="AQ597" s="0" t="s">
        <v>240</v>
      </c>
      <c r="AR597" s="0" t="s">
        <v>240</v>
      </c>
      <c r="AS597" s="0" t="s">
        <v>240</v>
      </c>
      <c r="AT597" s="0" t="s">
        <v>240</v>
      </c>
      <c r="AU597" s="0" t="s">
        <v>240</v>
      </c>
      <c r="AV597" s="0" t="s">
        <v>240</v>
      </c>
      <c r="AW597" s="0" t="s">
        <v>240</v>
      </c>
      <c r="AX597" s="0" t="s">
        <v>240</v>
      </c>
      <c r="AY597" s="0" t="s">
        <v>240</v>
      </c>
      <c r="AZ597" s="0" t="s">
        <v>240</v>
      </c>
      <c r="BA597" s="0" t="s">
        <v>240</v>
      </c>
      <c r="BB597" s="0" t="s">
        <v>240</v>
      </c>
      <c r="BC597" s="0" t="s">
        <v>240</v>
      </c>
      <c r="BD597" s="0" t="s">
        <v>240</v>
      </c>
      <c r="BE597" s="0" t="s">
        <v>5645</v>
      </c>
      <c r="BF597" s="0" t="s">
        <v>5645</v>
      </c>
      <c r="BG597" s="0" t="s">
        <v>112</v>
      </c>
      <c r="BH597" s="0" t="s">
        <v>5589</v>
      </c>
      <c r="BI597" s="0" t="s">
        <v>123</v>
      </c>
      <c r="BJ597" s="0" t="s">
        <v>240</v>
      </c>
      <c r="BK597" s="0" t="s">
        <v>5608</v>
      </c>
      <c r="BL597" s="0" t="s">
        <v>2985</v>
      </c>
      <c r="BM597" s="0" t="s">
        <v>2985</v>
      </c>
      <c r="BN597" s="0" t="s">
        <v>5646</v>
      </c>
      <c r="BO597" s="0" t="s">
        <v>6522</v>
      </c>
      <c r="BP597" s="0" t="s">
        <v>6526</v>
      </c>
      <c r="BQ597" s="0" t="s">
        <v>6328</v>
      </c>
      <c r="BR597" s="0" t="s">
        <v>6329</v>
      </c>
      <c r="BS597" s="0" t="s">
        <v>240</v>
      </c>
      <c r="BT597" s="0" t="s">
        <v>5650</v>
      </c>
      <c r="BU597" s="0" t="s">
        <v>6527</v>
      </c>
      <c r="BV597" s="0" t="s">
        <v>6527</v>
      </c>
      <c r="BW597" s="0" t="s">
        <v>5598</v>
      </c>
      <c r="BX597" s="0" t="s">
        <v>5598</v>
      </c>
      <c r="BY597" s="0" t="s">
        <v>5598</v>
      </c>
      <c r="BZ597" s="0" t="s">
        <v>5598</v>
      </c>
      <c r="CA597" s="0" t="s">
        <v>5598</v>
      </c>
      <c r="CB597" s="0" t="s">
        <v>240</v>
      </c>
      <c r="CC597" s="0" t="s">
        <v>240</v>
      </c>
      <c r="CD597" s="0" t="s">
        <v>240</v>
      </c>
      <c r="CE597" s="0" t="s">
        <v>240</v>
      </c>
      <c r="CF597" s="0" t="s">
        <v>240</v>
      </c>
      <c r="CG597" s="0" t="s">
        <v>5598</v>
      </c>
      <c r="CH597" s="0" t="s">
        <v>240</v>
      </c>
      <c r="CI597" s="0" t="s">
        <v>240</v>
      </c>
      <c r="CJ597" s="0" t="s">
        <v>240</v>
      </c>
      <c r="CK597" s="0" t="s">
        <v>240</v>
      </c>
      <c r="CL597" s="0" t="s">
        <v>240</v>
      </c>
      <c r="CM597" s="0" t="s">
        <v>6527</v>
      </c>
      <c r="CN597" s="0" t="s">
        <v>6527</v>
      </c>
      <c r="CO597" s="0" t="s">
        <v>240</v>
      </c>
      <c r="CP597" s="0" t="s">
        <v>240</v>
      </c>
      <c r="CQ597" s="0" t="s">
        <v>240</v>
      </c>
      <c r="CR597" s="0" t="s">
        <v>240</v>
      </c>
      <c r="CS597" s="0" t="s">
        <v>5507</v>
      </c>
      <c r="CT597" s="0" t="s">
        <v>5496</v>
      </c>
      <c r="CU597" s="0" t="s">
        <v>5497</v>
      </c>
      <c r="CV597" s="0" t="s">
        <v>443</v>
      </c>
      <c r="CW597" s="0" t="s">
        <v>5509</v>
      </c>
      <c r="CX597" s="0" t="s">
        <v>229</v>
      </c>
      <c r="CY597" s="0" t="s">
        <v>443</v>
      </c>
      <c r="CZ597" s="0" t="s">
        <v>5510</v>
      </c>
      <c r="DA597" s="0" t="s">
        <v>5511</v>
      </c>
      <c r="DB597" s="0" t="s">
        <v>5509</v>
      </c>
      <c r="DC597" s="0" t="s">
        <v>384</v>
      </c>
      <c r="DD597" s="0" t="s">
        <v>291</v>
      </c>
      <c r="DE597" s="0" t="s">
        <v>6528</v>
      </c>
    </row>
    <row customHeight="1" ht="11.25">
      <c r="A598" s="1441" t="s">
        <v>240</v>
      </c>
      <c r="B598" s="0" t="s">
        <v>240</v>
      </c>
      <c r="C598" s="0" t="s">
        <v>240</v>
      </c>
      <c r="D598" s="0" t="s">
        <v>240</v>
      </c>
      <c r="E598" s="0" t="s">
        <v>240</v>
      </c>
      <c r="F598" s="0" t="s">
        <v>240</v>
      </c>
      <c r="G598" s="0" t="s">
        <v>240</v>
      </c>
      <c r="H598" s="0" t="s">
        <v>240</v>
      </c>
      <c r="I598" s="0" t="s">
        <v>5484</v>
      </c>
      <c r="J598" s="0" t="s">
        <v>240</v>
      </c>
      <c r="K598" s="0" t="s">
        <v>240</v>
      </c>
      <c r="L598" s="0" t="s">
        <v>240</v>
      </c>
      <c r="M598" s="0" t="s">
        <v>240</v>
      </c>
      <c r="N598" s="0" t="s">
        <v>240</v>
      </c>
      <c r="O598" s="0" t="s">
        <v>240</v>
      </c>
      <c r="P598" s="0" t="s">
        <v>240</v>
      </c>
      <c r="Q598" s="0" t="s">
        <v>240</v>
      </c>
      <c r="R598" s="0" t="s">
        <v>6733</v>
      </c>
      <c r="S598" s="0" t="s">
        <v>240</v>
      </c>
      <c r="T598" s="0" t="s">
        <v>240</v>
      </c>
      <c r="U598" s="0" t="s">
        <v>102</v>
      </c>
      <c r="V598" s="0" t="s">
        <v>240</v>
      </c>
      <c r="W598" s="0" t="s">
        <v>240</v>
      </c>
      <c r="X598" s="0" t="s">
        <v>5485</v>
      </c>
      <c r="Y598" s="0" t="s">
        <v>240</v>
      </c>
      <c r="Z598" s="0" t="s">
        <v>161</v>
      </c>
      <c r="AA598" s="0" t="s">
        <v>152</v>
      </c>
      <c r="AB598" s="0" t="s">
        <v>152</v>
      </c>
      <c r="AC598" s="0" t="s">
        <v>2991</v>
      </c>
      <c r="AD598" s="0" t="s">
        <v>2991</v>
      </c>
      <c r="AE598" s="0" t="s">
        <v>2992</v>
      </c>
      <c r="AF598" s="0" t="s">
        <v>5749</v>
      </c>
      <c r="AG598" s="0" t="s">
        <v>5750</v>
      </c>
      <c r="AH598" s="0" t="s">
        <v>6734</v>
      </c>
      <c r="AI598" s="0" t="s">
        <v>6306</v>
      </c>
      <c r="AJ598" s="0" t="s">
        <v>5504</v>
      </c>
      <c r="AK598" s="0" t="s">
        <v>5731</v>
      </c>
      <c r="AL598" s="0" t="s">
        <v>5506</v>
      </c>
      <c r="AM598" s="0" t="s">
        <v>5493</v>
      </c>
      <c r="AN598" s="0" t="s">
        <v>5553</v>
      </c>
      <c r="AO598" s="0" t="s">
        <v>5680</v>
      </c>
      <c r="AP598" s="0" t="s">
        <v>240</v>
      </c>
      <c r="AQ598" s="0" t="s">
        <v>240</v>
      </c>
      <c r="AR598" s="0" t="s">
        <v>240</v>
      </c>
      <c r="AS598" s="0" t="s">
        <v>240</v>
      </c>
      <c r="AT598" s="0" t="s">
        <v>240</v>
      </c>
      <c r="AU598" s="0" t="s">
        <v>240</v>
      </c>
      <c r="AV598" s="0" t="s">
        <v>240</v>
      </c>
      <c r="AW598" s="0" t="s">
        <v>240</v>
      </c>
      <c r="AX598" s="0" t="s">
        <v>240</v>
      </c>
      <c r="AY598" s="0" t="s">
        <v>240</v>
      </c>
      <c r="AZ598" s="0" t="s">
        <v>240</v>
      </c>
      <c r="BA598" s="0" t="s">
        <v>240</v>
      </c>
      <c r="BB598" s="0" t="s">
        <v>240</v>
      </c>
      <c r="BC598" s="0" t="s">
        <v>240</v>
      </c>
      <c r="BD598" s="0" t="s">
        <v>240</v>
      </c>
      <c r="BE598" s="0" t="s">
        <v>240</v>
      </c>
      <c r="BF598" s="0" t="s">
        <v>240</v>
      </c>
      <c r="BG598" s="0" t="s">
        <v>240</v>
      </c>
      <c r="BH598" s="0" t="s">
        <v>240</v>
      </c>
      <c r="BI598" s="0" t="s">
        <v>240</v>
      </c>
      <c r="BJ598" s="0" t="s">
        <v>240</v>
      </c>
      <c r="BK598" s="0" t="s">
        <v>240</v>
      </c>
      <c r="BL598" s="0" t="s">
        <v>240</v>
      </c>
      <c r="BM598" s="0" t="s">
        <v>240</v>
      </c>
      <c r="BN598" s="0" t="s">
        <v>240</v>
      </c>
      <c r="BO598" s="0" t="s">
        <v>240</v>
      </c>
      <c r="BP598" s="0" t="s">
        <v>240</v>
      </c>
      <c r="BQ598" s="0" t="s">
        <v>240</v>
      </c>
      <c r="BR598" s="0" t="s">
        <v>240</v>
      </c>
      <c r="BS598" s="0" t="s">
        <v>240</v>
      </c>
      <c r="BT598" s="0" t="s">
        <v>240</v>
      </c>
      <c r="BU598" s="0" t="s">
        <v>240</v>
      </c>
      <c r="BV598" s="0" t="s">
        <v>240</v>
      </c>
      <c r="BW598" s="0" t="s">
        <v>240</v>
      </c>
      <c r="BX598" s="0" t="s">
        <v>240</v>
      </c>
      <c r="BY598" s="0" t="s">
        <v>240</v>
      </c>
      <c r="BZ598" s="0" t="s">
        <v>240</v>
      </c>
      <c r="CA598" s="0" t="s">
        <v>240</v>
      </c>
      <c r="CB598" s="0" t="s">
        <v>240</v>
      </c>
      <c r="CC598" s="0" t="s">
        <v>240</v>
      </c>
      <c r="CD598" s="0" t="s">
        <v>240</v>
      </c>
      <c r="CE598" s="0" t="s">
        <v>240</v>
      </c>
      <c r="CF598" s="0" t="s">
        <v>240</v>
      </c>
      <c r="CG598" s="0" t="s">
        <v>240</v>
      </c>
      <c r="CH598" s="0" t="s">
        <v>240</v>
      </c>
      <c r="CI598" s="0" t="s">
        <v>240</v>
      </c>
      <c r="CJ598" s="0" t="s">
        <v>240</v>
      </c>
      <c r="CK598" s="0" t="s">
        <v>240</v>
      </c>
      <c r="CL598" s="0" t="s">
        <v>240</v>
      </c>
      <c r="CM598" s="0" t="s">
        <v>240</v>
      </c>
      <c r="CN598" s="0" t="s">
        <v>240</v>
      </c>
      <c r="CO598" s="0" t="s">
        <v>240</v>
      </c>
      <c r="CP598" s="0" t="s">
        <v>240</v>
      </c>
      <c r="CQ598" s="0" t="s">
        <v>240</v>
      </c>
      <c r="CR598" s="0" t="s">
        <v>240</v>
      </c>
      <c r="CS598" s="0" t="s">
        <v>240</v>
      </c>
      <c r="CT598" s="0" t="s">
        <v>5496</v>
      </c>
      <c r="CU598" s="0" t="s">
        <v>5497</v>
      </c>
      <c r="CV598" s="0" t="s">
        <v>443</v>
      </c>
      <c r="CW598" s="0" t="s">
        <v>5547</v>
      </c>
      <c r="CX598" s="0" t="s">
        <v>229</v>
      </c>
      <c r="CY598" s="0" t="s">
        <v>443</v>
      </c>
      <c r="CZ598" s="0" t="s">
        <v>5548</v>
      </c>
      <c r="DA598" s="0" t="s">
        <v>5549</v>
      </c>
      <c r="DB598" s="0" t="s">
        <v>5547</v>
      </c>
      <c r="DC598" s="0" t="s">
        <v>384</v>
      </c>
      <c r="DD598" s="0" t="s">
        <v>291</v>
      </c>
      <c r="DE598" s="0" t="s">
        <v>6735</v>
      </c>
    </row>
    <row customHeight="1" ht="11.25">
      <c r="A599" s="1441" t="s">
        <v>240</v>
      </c>
      <c r="B599" s="0" t="s">
        <v>240</v>
      </c>
      <c r="C599" s="0" t="s">
        <v>240</v>
      </c>
      <c r="D599" s="0" t="s">
        <v>240</v>
      </c>
      <c r="E599" s="0" t="s">
        <v>240</v>
      </c>
      <c r="F599" s="0" t="s">
        <v>240</v>
      </c>
      <c r="G599" s="0" t="s">
        <v>240</v>
      </c>
      <c r="H599" s="0" t="s">
        <v>240</v>
      </c>
      <c r="I599" s="0" t="s">
        <v>5484</v>
      </c>
      <c r="J599" s="0" t="s">
        <v>240</v>
      </c>
      <c r="K599" s="0" t="s">
        <v>240</v>
      </c>
      <c r="L599" s="0" t="s">
        <v>240</v>
      </c>
      <c r="M599" s="0" t="s">
        <v>240</v>
      </c>
      <c r="N599" s="0" t="s">
        <v>240</v>
      </c>
      <c r="O599" s="0" t="s">
        <v>240</v>
      </c>
      <c r="P599" s="0" t="s">
        <v>240</v>
      </c>
      <c r="Q599" s="0" t="s">
        <v>240</v>
      </c>
      <c r="R599" s="0" t="s">
        <v>6736</v>
      </c>
      <c r="S599" s="0" t="s">
        <v>240</v>
      </c>
      <c r="T599" s="0" t="s">
        <v>240</v>
      </c>
      <c r="U599" s="0" t="s">
        <v>102</v>
      </c>
      <c r="V599" s="0" t="s">
        <v>240</v>
      </c>
      <c r="W599" s="0" t="s">
        <v>240</v>
      </c>
      <c r="X599" s="0" t="s">
        <v>5485</v>
      </c>
      <c r="Y599" s="0" t="s">
        <v>240</v>
      </c>
      <c r="Z599" s="0" t="s">
        <v>161</v>
      </c>
      <c r="AA599" s="0" t="s">
        <v>152</v>
      </c>
      <c r="AB599" s="0" t="s">
        <v>152</v>
      </c>
      <c r="AC599" s="0" t="s">
        <v>2991</v>
      </c>
      <c r="AD599" s="0" t="s">
        <v>2991</v>
      </c>
      <c r="AE599" s="0" t="s">
        <v>2992</v>
      </c>
      <c r="AF599" s="0" t="s">
        <v>5749</v>
      </c>
      <c r="AG599" s="0" t="s">
        <v>5750</v>
      </c>
      <c r="AH599" s="0" t="s">
        <v>6737</v>
      </c>
      <c r="AI599" s="0" t="s">
        <v>6531</v>
      </c>
      <c r="AJ599" s="0" t="s">
        <v>5504</v>
      </c>
      <c r="AK599" s="0" t="s">
        <v>5544</v>
      </c>
      <c r="AL599" s="0" t="s">
        <v>5506</v>
      </c>
      <c r="AM599" s="0" t="s">
        <v>5493</v>
      </c>
      <c r="AN599" s="0" t="s">
        <v>5553</v>
      </c>
      <c r="AO599" s="0" t="s">
        <v>5619</v>
      </c>
      <c r="AP599" s="0" t="s">
        <v>240</v>
      </c>
      <c r="AQ599" s="0" t="s">
        <v>240</v>
      </c>
      <c r="AR599" s="0" t="s">
        <v>240</v>
      </c>
      <c r="AS599" s="0" t="s">
        <v>240</v>
      </c>
      <c r="AT599" s="0" t="s">
        <v>240</v>
      </c>
      <c r="AU599" s="0" t="s">
        <v>240</v>
      </c>
      <c r="AV599" s="0" t="s">
        <v>240</v>
      </c>
      <c r="AW599" s="0" t="s">
        <v>240</v>
      </c>
      <c r="AX599" s="0" t="s">
        <v>240</v>
      </c>
      <c r="AY599" s="0" t="s">
        <v>240</v>
      </c>
      <c r="AZ599" s="0" t="s">
        <v>240</v>
      </c>
      <c r="BA599" s="0" t="s">
        <v>240</v>
      </c>
      <c r="BB599" s="0" t="s">
        <v>240</v>
      </c>
      <c r="BC599" s="0" t="s">
        <v>240</v>
      </c>
      <c r="BD599" s="0" t="s">
        <v>240</v>
      </c>
      <c r="BE599" s="0" t="s">
        <v>240</v>
      </c>
      <c r="BF599" s="0" t="s">
        <v>240</v>
      </c>
      <c r="BG599" s="0" t="s">
        <v>240</v>
      </c>
      <c r="BH599" s="0" t="s">
        <v>240</v>
      </c>
      <c r="BI599" s="0" t="s">
        <v>240</v>
      </c>
      <c r="BJ599" s="0" t="s">
        <v>240</v>
      </c>
      <c r="BK599" s="0" t="s">
        <v>240</v>
      </c>
      <c r="BL599" s="0" t="s">
        <v>240</v>
      </c>
      <c r="BM599" s="0" t="s">
        <v>240</v>
      </c>
      <c r="BN599" s="0" t="s">
        <v>240</v>
      </c>
      <c r="BO599" s="0" t="s">
        <v>240</v>
      </c>
      <c r="BP599" s="0" t="s">
        <v>240</v>
      </c>
      <c r="BQ599" s="0" t="s">
        <v>240</v>
      </c>
      <c r="BR599" s="0" t="s">
        <v>240</v>
      </c>
      <c r="BS599" s="0" t="s">
        <v>240</v>
      </c>
      <c r="BT599" s="0" t="s">
        <v>240</v>
      </c>
      <c r="BU599" s="0" t="s">
        <v>240</v>
      </c>
      <c r="BV599" s="0" t="s">
        <v>240</v>
      </c>
      <c r="BW599" s="0" t="s">
        <v>240</v>
      </c>
      <c r="BX599" s="0" t="s">
        <v>240</v>
      </c>
      <c r="BY599" s="0" t="s">
        <v>240</v>
      </c>
      <c r="BZ599" s="0" t="s">
        <v>240</v>
      </c>
      <c r="CA599" s="0" t="s">
        <v>240</v>
      </c>
      <c r="CB599" s="0" t="s">
        <v>240</v>
      </c>
      <c r="CC599" s="0" t="s">
        <v>240</v>
      </c>
      <c r="CD599" s="0" t="s">
        <v>240</v>
      </c>
      <c r="CE599" s="0" t="s">
        <v>240</v>
      </c>
      <c r="CF599" s="0" t="s">
        <v>240</v>
      </c>
      <c r="CG599" s="0" t="s">
        <v>240</v>
      </c>
      <c r="CH599" s="0" t="s">
        <v>240</v>
      </c>
      <c r="CI599" s="0" t="s">
        <v>240</v>
      </c>
      <c r="CJ599" s="0" t="s">
        <v>240</v>
      </c>
      <c r="CK599" s="0" t="s">
        <v>240</v>
      </c>
      <c r="CL599" s="0" t="s">
        <v>240</v>
      </c>
      <c r="CM599" s="0" t="s">
        <v>240</v>
      </c>
      <c r="CN599" s="0" t="s">
        <v>240</v>
      </c>
      <c r="CO599" s="0" t="s">
        <v>240</v>
      </c>
      <c r="CP599" s="0" t="s">
        <v>240</v>
      </c>
      <c r="CQ599" s="0" t="s">
        <v>240</v>
      </c>
      <c r="CR599" s="0" t="s">
        <v>240</v>
      </c>
      <c r="CS599" s="0" t="s">
        <v>240</v>
      </c>
      <c r="CT599" s="0" t="s">
        <v>5496</v>
      </c>
      <c r="CU599" s="0" t="s">
        <v>5497</v>
      </c>
      <c r="CV599" s="0" t="s">
        <v>443</v>
      </c>
      <c r="CW599" s="0" t="s">
        <v>5547</v>
      </c>
      <c r="CX599" s="0" t="s">
        <v>229</v>
      </c>
      <c r="CY599" s="0" t="s">
        <v>443</v>
      </c>
      <c r="CZ599" s="0" t="s">
        <v>5548</v>
      </c>
      <c r="DA599" s="0" t="s">
        <v>5549</v>
      </c>
      <c r="DB599" s="0" t="s">
        <v>5547</v>
      </c>
      <c r="DC599" s="0" t="s">
        <v>384</v>
      </c>
      <c r="DD599" s="0" t="s">
        <v>291</v>
      </c>
      <c r="DE599" s="0" t="s">
        <v>6738</v>
      </c>
    </row>
    <row customHeight="1" ht="11.25">
      <c r="A600" s="1441" t="s">
        <v>240</v>
      </c>
      <c r="B600" s="0" t="s">
        <v>240</v>
      </c>
      <c r="C600" s="0" t="s">
        <v>240</v>
      </c>
      <c r="D600" s="0" t="s">
        <v>240</v>
      </c>
      <c r="E600" s="0" t="s">
        <v>240</v>
      </c>
      <c r="F600" s="0" t="s">
        <v>240</v>
      </c>
      <c r="G600" s="0" t="s">
        <v>240</v>
      </c>
      <c r="H600" s="0" t="s">
        <v>240</v>
      </c>
      <c r="I600" s="0" t="s">
        <v>5484</v>
      </c>
      <c r="J600" s="0" t="s">
        <v>240</v>
      </c>
      <c r="K600" s="0" t="s">
        <v>240</v>
      </c>
      <c r="L600" s="0" t="s">
        <v>240</v>
      </c>
      <c r="M600" s="0" t="s">
        <v>240</v>
      </c>
      <c r="N600" s="0" t="s">
        <v>240</v>
      </c>
      <c r="O600" s="0" t="s">
        <v>240</v>
      </c>
      <c r="P600" s="0" t="s">
        <v>240</v>
      </c>
      <c r="Q600" s="0" t="s">
        <v>240</v>
      </c>
      <c r="R600" s="0" t="s">
        <v>5748</v>
      </c>
      <c r="S600" s="0" t="s">
        <v>240</v>
      </c>
      <c r="T600" s="0" t="s">
        <v>240</v>
      </c>
      <c r="U600" s="0" t="s">
        <v>102</v>
      </c>
      <c r="V600" s="0" t="s">
        <v>240</v>
      </c>
      <c r="W600" s="0" t="s">
        <v>240</v>
      </c>
      <c r="X600" s="0" t="s">
        <v>5485</v>
      </c>
      <c r="Y600" s="0" t="s">
        <v>240</v>
      </c>
      <c r="Z600" s="0" t="s">
        <v>161</v>
      </c>
      <c r="AA600" s="0" t="s">
        <v>152</v>
      </c>
      <c r="AB600" s="0" t="s">
        <v>152</v>
      </c>
      <c r="AC600" s="0" t="s">
        <v>2991</v>
      </c>
      <c r="AD600" s="0" t="s">
        <v>2991</v>
      </c>
      <c r="AE600" s="0" t="s">
        <v>2992</v>
      </c>
      <c r="AF600" s="0" t="s">
        <v>5749</v>
      </c>
      <c r="AG600" s="0" t="s">
        <v>5750</v>
      </c>
      <c r="AH600" s="0" t="s">
        <v>5751</v>
      </c>
      <c r="AI600" s="0" t="s">
        <v>5730</v>
      </c>
      <c r="AJ600" s="0" t="s">
        <v>5504</v>
      </c>
      <c r="AK600" s="0" t="s">
        <v>5552</v>
      </c>
      <c r="AL600" s="0" t="s">
        <v>5506</v>
      </c>
      <c r="AM600" s="0" t="s">
        <v>5493</v>
      </c>
      <c r="AN600" s="0" t="s">
        <v>5553</v>
      </c>
      <c r="AO600" s="0" t="s">
        <v>5752</v>
      </c>
      <c r="AP600" s="0" t="s">
        <v>240</v>
      </c>
      <c r="AQ600" s="0" t="s">
        <v>240</v>
      </c>
      <c r="AR600" s="0" t="s">
        <v>240</v>
      </c>
      <c r="AS600" s="0" t="s">
        <v>240</v>
      </c>
      <c r="AT600" s="0" t="s">
        <v>240</v>
      </c>
      <c r="AU600" s="0" t="s">
        <v>240</v>
      </c>
      <c r="AV600" s="0" t="s">
        <v>240</v>
      </c>
      <c r="AW600" s="0" t="s">
        <v>240</v>
      </c>
      <c r="AX600" s="0" t="s">
        <v>240</v>
      </c>
      <c r="AY600" s="0" t="s">
        <v>240</v>
      </c>
      <c r="AZ600" s="0" t="s">
        <v>240</v>
      </c>
      <c r="BA600" s="0" t="s">
        <v>240</v>
      </c>
      <c r="BB600" s="0" t="s">
        <v>240</v>
      </c>
      <c r="BC600" s="0" t="s">
        <v>240</v>
      </c>
      <c r="BD600" s="0" t="s">
        <v>240</v>
      </c>
      <c r="BE600" s="0" t="s">
        <v>240</v>
      </c>
      <c r="BF600" s="0" t="s">
        <v>240</v>
      </c>
      <c r="BG600" s="0" t="s">
        <v>240</v>
      </c>
      <c r="BH600" s="0" t="s">
        <v>240</v>
      </c>
      <c r="BI600" s="0" t="s">
        <v>240</v>
      </c>
      <c r="BJ600" s="0" t="s">
        <v>240</v>
      </c>
      <c r="BK600" s="0" t="s">
        <v>240</v>
      </c>
      <c r="BL600" s="0" t="s">
        <v>240</v>
      </c>
      <c r="BM600" s="0" t="s">
        <v>240</v>
      </c>
      <c r="BN600" s="0" t="s">
        <v>240</v>
      </c>
      <c r="BO600" s="0" t="s">
        <v>240</v>
      </c>
      <c r="BP600" s="0" t="s">
        <v>240</v>
      </c>
      <c r="BQ600" s="0" t="s">
        <v>240</v>
      </c>
      <c r="BR600" s="0" t="s">
        <v>240</v>
      </c>
      <c r="BS600" s="0" t="s">
        <v>240</v>
      </c>
      <c r="BT600" s="0" t="s">
        <v>240</v>
      </c>
      <c r="BU600" s="0" t="s">
        <v>240</v>
      </c>
      <c r="BV600" s="0" t="s">
        <v>240</v>
      </c>
      <c r="BW600" s="0" t="s">
        <v>240</v>
      </c>
      <c r="BX600" s="0" t="s">
        <v>240</v>
      </c>
      <c r="BY600" s="0" t="s">
        <v>240</v>
      </c>
      <c r="BZ600" s="0" t="s">
        <v>240</v>
      </c>
      <c r="CA600" s="0" t="s">
        <v>240</v>
      </c>
      <c r="CB600" s="0" t="s">
        <v>240</v>
      </c>
      <c r="CC600" s="0" t="s">
        <v>240</v>
      </c>
      <c r="CD600" s="0" t="s">
        <v>240</v>
      </c>
      <c r="CE600" s="0" t="s">
        <v>240</v>
      </c>
      <c r="CF600" s="0" t="s">
        <v>240</v>
      </c>
      <c r="CG600" s="0" t="s">
        <v>240</v>
      </c>
      <c r="CH600" s="0" t="s">
        <v>240</v>
      </c>
      <c r="CI600" s="0" t="s">
        <v>240</v>
      </c>
      <c r="CJ600" s="0" t="s">
        <v>240</v>
      </c>
      <c r="CK600" s="0" t="s">
        <v>240</v>
      </c>
      <c r="CL600" s="0" t="s">
        <v>240</v>
      </c>
      <c r="CM600" s="0" t="s">
        <v>240</v>
      </c>
      <c r="CN600" s="0" t="s">
        <v>240</v>
      </c>
      <c r="CO600" s="0" t="s">
        <v>240</v>
      </c>
      <c r="CP600" s="0" t="s">
        <v>240</v>
      </c>
      <c r="CQ600" s="0" t="s">
        <v>240</v>
      </c>
      <c r="CR600" s="0" t="s">
        <v>240</v>
      </c>
      <c r="CS600" s="0" t="s">
        <v>240</v>
      </c>
      <c r="CT600" s="0" t="s">
        <v>5496</v>
      </c>
      <c r="CU600" s="0" t="s">
        <v>5497</v>
      </c>
      <c r="CV600" s="0" t="s">
        <v>443</v>
      </c>
      <c r="CW600" s="0" t="s">
        <v>5547</v>
      </c>
      <c r="CX600" s="0" t="s">
        <v>229</v>
      </c>
      <c r="CY600" s="0" t="s">
        <v>443</v>
      </c>
      <c r="CZ600" s="0" t="s">
        <v>5548</v>
      </c>
      <c r="DA600" s="0" t="s">
        <v>5549</v>
      </c>
      <c r="DB600" s="0" t="s">
        <v>5547</v>
      </c>
      <c r="DC600" s="0" t="s">
        <v>384</v>
      </c>
      <c r="DD600" s="0" t="s">
        <v>291</v>
      </c>
      <c r="DE600" s="0" t="s">
        <v>5753</v>
      </c>
    </row>
    <row customHeight="1" ht="11.25">
      <c r="A601" s="1441" t="s">
        <v>240</v>
      </c>
      <c r="B601" s="0" t="s">
        <v>240</v>
      </c>
      <c r="C601" s="0" t="s">
        <v>240</v>
      </c>
      <c r="D601" s="0" t="s">
        <v>240</v>
      </c>
      <c r="E601" s="0" t="s">
        <v>240</v>
      </c>
      <c r="F601" s="0" t="s">
        <v>240</v>
      </c>
      <c r="G601" s="0" t="s">
        <v>240</v>
      </c>
      <c r="H601" s="0" t="s">
        <v>240</v>
      </c>
      <c r="I601" s="0" t="s">
        <v>5484</v>
      </c>
      <c r="J601" s="0" t="s">
        <v>240</v>
      </c>
      <c r="K601" s="0" t="s">
        <v>240</v>
      </c>
      <c r="L601" s="0" t="s">
        <v>240</v>
      </c>
      <c r="M601" s="0" t="s">
        <v>240</v>
      </c>
      <c r="N601" s="0" t="s">
        <v>240</v>
      </c>
      <c r="O601" s="0" t="s">
        <v>240</v>
      </c>
      <c r="P601" s="0" t="s">
        <v>240</v>
      </c>
      <c r="Q601" s="0" t="s">
        <v>240</v>
      </c>
      <c r="R601" s="0" t="s">
        <v>5896</v>
      </c>
      <c r="S601" s="0" t="s">
        <v>240</v>
      </c>
      <c r="T601" s="0" t="s">
        <v>240</v>
      </c>
      <c r="U601" s="0" t="s">
        <v>102</v>
      </c>
      <c r="V601" s="0" t="s">
        <v>240</v>
      </c>
      <c r="W601" s="0" t="s">
        <v>240</v>
      </c>
      <c r="X601" s="0" t="s">
        <v>5485</v>
      </c>
      <c r="Y601" s="0" t="s">
        <v>240</v>
      </c>
      <c r="Z601" s="0" t="s">
        <v>161</v>
      </c>
      <c r="AA601" s="0" t="s">
        <v>152</v>
      </c>
      <c r="AB601" s="0" t="s">
        <v>152</v>
      </c>
      <c r="AC601" s="0" t="s">
        <v>2991</v>
      </c>
      <c r="AD601" s="0" t="s">
        <v>2991</v>
      </c>
      <c r="AE601" s="0" t="s">
        <v>2992</v>
      </c>
      <c r="AF601" s="0" t="s">
        <v>5772</v>
      </c>
      <c r="AG601" s="0" t="s">
        <v>5773</v>
      </c>
      <c r="AH601" s="0" t="s">
        <v>5751</v>
      </c>
      <c r="AI601" s="0" t="s">
        <v>6562</v>
      </c>
      <c r="AJ601" s="0" t="s">
        <v>5504</v>
      </c>
      <c r="AK601" s="0" t="s">
        <v>5731</v>
      </c>
      <c r="AL601" s="0" t="s">
        <v>5506</v>
      </c>
      <c r="AM601" s="0" t="s">
        <v>5493</v>
      </c>
      <c r="AN601" s="0" t="s">
        <v>5553</v>
      </c>
      <c r="AO601" s="0" t="s">
        <v>5613</v>
      </c>
      <c r="AP601" s="0" t="s">
        <v>240</v>
      </c>
      <c r="AQ601" s="0" t="s">
        <v>240</v>
      </c>
      <c r="AR601" s="0" t="s">
        <v>240</v>
      </c>
      <c r="AS601" s="0" t="s">
        <v>240</v>
      </c>
      <c r="AT601" s="0" t="s">
        <v>240</v>
      </c>
      <c r="AU601" s="0" t="s">
        <v>240</v>
      </c>
      <c r="AV601" s="0" t="s">
        <v>240</v>
      </c>
      <c r="AW601" s="0" t="s">
        <v>240</v>
      </c>
      <c r="AX601" s="0" t="s">
        <v>240</v>
      </c>
      <c r="AY601" s="0" t="s">
        <v>240</v>
      </c>
      <c r="AZ601" s="0" t="s">
        <v>240</v>
      </c>
      <c r="BA601" s="0" t="s">
        <v>240</v>
      </c>
      <c r="BB601" s="0" t="s">
        <v>240</v>
      </c>
      <c r="BC601" s="0" t="s">
        <v>240</v>
      </c>
      <c r="BD601" s="0" t="s">
        <v>240</v>
      </c>
      <c r="BE601" s="0" t="s">
        <v>240</v>
      </c>
      <c r="BF601" s="0" t="s">
        <v>240</v>
      </c>
      <c r="BG601" s="0" t="s">
        <v>240</v>
      </c>
      <c r="BH601" s="0" t="s">
        <v>240</v>
      </c>
      <c r="BI601" s="0" t="s">
        <v>240</v>
      </c>
      <c r="BJ601" s="0" t="s">
        <v>240</v>
      </c>
      <c r="BK601" s="0" t="s">
        <v>240</v>
      </c>
      <c r="BL601" s="0" t="s">
        <v>240</v>
      </c>
      <c r="BM601" s="0" t="s">
        <v>240</v>
      </c>
      <c r="BN601" s="0" t="s">
        <v>240</v>
      </c>
      <c r="BO601" s="0" t="s">
        <v>240</v>
      </c>
      <c r="BP601" s="0" t="s">
        <v>240</v>
      </c>
      <c r="BQ601" s="0" t="s">
        <v>240</v>
      </c>
      <c r="BR601" s="0" t="s">
        <v>240</v>
      </c>
      <c r="BS601" s="0" t="s">
        <v>240</v>
      </c>
      <c r="BT601" s="0" t="s">
        <v>240</v>
      </c>
      <c r="BU601" s="0" t="s">
        <v>240</v>
      </c>
      <c r="BV601" s="0" t="s">
        <v>240</v>
      </c>
      <c r="BW601" s="0" t="s">
        <v>240</v>
      </c>
      <c r="BX601" s="0" t="s">
        <v>240</v>
      </c>
      <c r="BY601" s="0" t="s">
        <v>240</v>
      </c>
      <c r="BZ601" s="0" t="s">
        <v>240</v>
      </c>
      <c r="CA601" s="0" t="s">
        <v>240</v>
      </c>
      <c r="CB601" s="0" t="s">
        <v>240</v>
      </c>
      <c r="CC601" s="0" t="s">
        <v>240</v>
      </c>
      <c r="CD601" s="0" t="s">
        <v>240</v>
      </c>
      <c r="CE601" s="0" t="s">
        <v>240</v>
      </c>
      <c r="CF601" s="0" t="s">
        <v>240</v>
      </c>
      <c r="CG601" s="0" t="s">
        <v>240</v>
      </c>
      <c r="CH601" s="0" t="s">
        <v>240</v>
      </c>
      <c r="CI601" s="0" t="s">
        <v>240</v>
      </c>
      <c r="CJ601" s="0" t="s">
        <v>240</v>
      </c>
      <c r="CK601" s="0" t="s">
        <v>240</v>
      </c>
      <c r="CL601" s="0" t="s">
        <v>240</v>
      </c>
      <c r="CM601" s="0" t="s">
        <v>240</v>
      </c>
      <c r="CN601" s="0" t="s">
        <v>240</v>
      </c>
      <c r="CO601" s="0" t="s">
        <v>240</v>
      </c>
      <c r="CP601" s="0" t="s">
        <v>240</v>
      </c>
      <c r="CQ601" s="0" t="s">
        <v>240</v>
      </c>
      <c r="CR601" s="0" t="s">
        <v>240</v>
      </c>
      <c r="CS601" s="0" t="s">
        <v>240</v>
      </c>
      <c r="CT601" s="0" t="s">
        <v>5496</v>
      </c>
      <c r="CU601" s="0" t="s">
        <v>5497</v>
      </c>
      <c r="CV601" s="0" t="s">
        <v>443</v>
      </c>
      <c r="CW601" s="0" t="s">
        <v>5547</v>
      </c>
      <c r="CX601" s="0" t="s">
        <v>229</v>
      </c>
      <c r="CY601" s="0" t="s">
        <v>443</v>
      </c>
      <c r="CZ601" s="0" t="s">
        <v>5548</v>
      </c>
      <c r="DA601" s="0" t="s">
        <v>5549</v>
      </c>
      <c r="DB601" s="0" t="s">
        <v>5547</v>
      </c>
      <c r="DC601" s="0" t="s">
        <v>384</v>
      </c>
      <c r="DD601" s="0" t="s">
        <v>291</v>
      </c>
      <c r="DE601" s="0" t="s">
        <v>6739</v>
      </c>
    </row>
    <row customHeight="1" ht="11.25">
      <c r="A602" s="1441" t="s">
        <v>240</v>
      </c>
      <c r="B602" s="0" t="s">
        <v>240</v>
      </c>
      <c r="C602" s="0" t="s">
        <v>240</v>
      </c>
      <c r="D602" s="0" t="s">
        <v>240</v>
      </c>
      <c r="E602" s="0" t="s">
        <v>240</v>
      </c>
      <c r="F602" s="0" t="s">
        <v>240</v>
      </c>
      <c r="G602" s="0" t="s">
        <v>240</v>
      </c>
      <c r="H602" s="0" t="s">
        <v>240</v>
      </c>
      <c r="I602" s="0" t="s">
        <v>5484</v>
      </c>
      <c r="J602" s="0" t="s">
        <v>240</v>
      </c>
      <c r="K602" s="0" t="s">
        <v>240</v>
      </c>
      <c r="L602" s="0" t="s">
        <v>240</v>
      </c>
      <c r="M602" s="0" t="s">
        <v>240</v>
      </c>
      <c r="N602" s="0" t="s">
        <v>240</v>
      </c>
      <c r="O602" s="0" t="s">
        <v>240</v>
      </c>
      <c r="P602" s="0" t="s">
        <v>240</v>
      </c>
      <c r="Q602" s="0" t="s">
        <v>240</v>
      </c>
      <c r="R602" s="0" t="s">
        <v>6740</v>
      </c>
      <c r="S602" s="0" t="s">
        <v>240</v>
      </c>
      <c r="T602" s="0" t="s">
        <v>240</v>
      </c>
      <c r="U602" s="0" t="s">
        <v>102</v>
      </c>
      <c r="V602" s="0" t="s">
        <v>240</v>
      </c>
      <c r="W602" s="0" t="s">
        <v>240</v>
      </c>
      <c r="X602" s="0" t="s">
        <v>5485</v>
      </c>
      <c r="Y602" s="0" t="s">
        <v>240</v>
      </c>
      <c r="Z602" s="0" t="s">
        <v>161</v>
      </c>
      <c r="AA602" s="0" t="s">
        <v>152</v>
      </c>
      <c r="AB602" s="0" t="s">
        <v>152</v>
      </c>
      <c r="AC602" s="0" t="s">
        <v>2991</v>
      </c>
      <c r="AD602" s="0" t="s">
        <v>2991</v>
      </c>
      <c r="AE602" s="0" t="s">
        <v>2992</v>
      </c>
      <c r="AF602" s="0" t="s">
        <v>5772</v>
      </c>
      <c r="AG602" s="0" t="s">
        <v>5773</v>
      </c>
      <c r="AH602" s="0" t="s">
        <v>5774</v>
      </c>
      <c r="AI602" s="0" t="s">
        <v>6741</v>
      </c>
      <c r="AJ602" s="0" t="s">
        <v>5504</v>
      </c>
      <c r="AK602" s="0" t="s">
        <v>5731</v>
      </c>
      <c r="AL602" s="0" t="s">
        <v>5506</v>
      </c>
      <c r="AM602" s="0" t="s">
        <v>5493</v>
      </c>
      <c r="AN602" s="0" t="s">
        <v>5545</v>
      </c>
      <c r="AO602" s="0" t="s">
        <v>6742</v>
      </c>
      <c r="AP602" s="0" t="s">
        <v>240</v>
      </c>
      <c r="AQ602" s="0" t="s">
        <v>240</v>
      </c>
      <c r="AR602" s="0" t="s">
        <v>240</v>
      </c>
      <c r="AS602" s="0" t="s">
        <v>240</v>
      </c>
      <c r="AT602" s="0" t="s">
        <v>240</v>
      </c>
      <c r="AU602" s="0" t="s">
        <v>240</v>
      </c>
      <c r="AV602" s="0" t="s">
        <v>240</v>
      </c>
      <c r="AW602" s="0" t="s">
        <v>240</v>
      </c>
      <c r="AX602" s="0" t="s">
        <v>240</v>
      </c>
      <c r="AY602" s="0" t="s">
        <v>240</v>
      </c>
      <c r="AZ602" s="0" t="s">
        <v>240</v>
      </c>
      <c r="BA602" s="0" t="s">
        <v>240</v>
      </c>
      <c r="BB602" s="0" t="s">
        <v>240</v>
      </c>
      <c r="BC602" s="0" t="s">
        <v>240</v>
      </c>
      <c r="BD602" s="0" t="s">
        <v>240</v>
      </c>
      <c r="BE602" s="0" t="s">
        <v>240</v>
      </c>
      <c r="BF602" s="0" t="s">
        <v>240</v>
      </c>
      <c r="BG602" s="0" t="s">
        <v>240</v>
      </c>
      <c r="BH602" s="0" t="s">
        <v>240</v>
      </c>
      <c r="BI602" s="0" t="s">
        <v>240</v>
      </c>
      <c r="BJ602" s="0" t="s">
        <v>240</v>
      </c>
      <c r="BK602" s="0" t="s">
        <v>240</v>
      </c>
      <c r="BL602" s="0" t="s">
        <v>240</v>
      </c>
      <c r="BM602" s="0" t="s">
        <v>240</v>
      </c>
      <c r="BN602" s="0" t="s">
        <v>240</v>
      </c>
      <c r="BO602" s="0" t="s">
        <v>240</v>
      </c>
      <c r="BP602" s="0" t="s">
        <v>240</v>
      </c>
      <c r="BQ602" s="0" t="s">
        <v>240</v>
      </c>
      <c r="BR602" s="0" t="s">
        <v>240</v>
      </c>
      <c r="BS602" s="0" t="s">
        <v>240</v>
      </c>
      <c r="BT602" s="0" t="s">
        <v>240</v>
      </c>
      <c r="BU602" s="0" t="s">
        <v>240</v>
      </c>
      <c r="BV602" s="0" t="s">
        <v>240</v>
      </c>
      <c r="BW602" s="0" t="s">
        <v>240</v>
      </c>
      <c r="BX602" s="0" t="s">
        <v>240</v>
      </c>
      <c r="BY602" s="0" t="s">
        <v>240</v>
      </c>
      <c r="BZ602" s="0" t="s">
        <v>240</v>
      </c>
      <c r="CA602" s="0" t="s">
        <v>240</v>
      </c>
      <c r="CB602" s="0" t="s">
        <v>240</v>
      </c>
      <c r="CC602" s="0" t="s">
        <v>240</v>
      </c>
      <c r="CD602" s="0" t="s">
        <v>240</v>
      </c>
      <c r="CE602" s="0" t="s">
        <v>240</v>
      </c>
      <c r="CF602" s="0" t="s">
        <v>240</v>
      </c>
      <c r="CG602" s="0" t="s">
        <v>240</v>
      </c>
      <c r="CH602" s="0" t="s">
        <v>240</v>
      </c>
      <c r="CI602" s="0" t="s">
        <v>240</v>
      </c>
      <c r="CJ602" s="0" t="s">
        <v>240</v>
      </c>
      <c r="CK602" s="0" t="s">
        <v>240</v>
      </c>
      <c r="CL602" s="0" t="s">
        <v>240</v>
      </c>
      <c r="CM602" s="0" t="s">
        <v>240</v>
      </c>
      <c r="CN602" s="0" t="s">
        <v>240</v>
      </c>
      <c r="CO602" s="0" t="s">
        <v>240</v>
      </c>
      <c r="CP602" s="0" t="s">
        <v>240</v>
      </c>
      <c r="CQ602" s="0" t="s">
        <v>240</v>
      </c>
      <c r="CR602" s="0" t="s">
        <v>240</v>
      </c>
      <c r="CS602" s="0" t="s">
        <v>240</v>
      </c>
      <c r="CT602" s="0" t="s">
        <v>5496</v>
      </c>
      <c r="CU602" s="0" t="s">
        <v>5497</v>
      </c>
      <c r="CV602" s="0" t="s">
        <v>443</v>
      </c>
      <c r="CW602" s="0" t="s">
        <v>5547</v>
      </c>
      <c r="CX602" s="0" t="s">
        <v>229</v>
      </c>
      <c r="CY602" s="0" t="s">
        <v>443</v>
      </c>
      <c r="CZ602" s="0" t="s">
        <v>5548</v>
      </c>
      <c r="DA602" s="0" t="s">
        <v>5549</v>
      </c>
      <c r="DB602" s="0" t="s">
        <v>5547</v>
      </c>
      <c r="DC602" s="0" t="s">
        <v>384</v>
      </c>
      <c r="DD602" s="0" t="s">
        <v>291</v>
      </c>
      <c r="DE602" s="0" t="s">
        <v>6743</v>
      </c>
    </row>
    <row customHeight="1" ht="11.25">
      <c r="A603" s="1441" t="s">
        <v>240</v>
      </c>
      <c r="B603" s="0" t="s">
        <v>240</v>
      </c>
      <c r="C603" s="0" t="s">
        <v>240</v>
      </c>
      <c r="D603" s="0" t="s">
        <v>240</v>
      </c>
      <c r="E603" s="0" t="s">
        <v>240</v>
      </c>
      <c r="F603" s="0" t="s">
        <v>240</v>
      </c>
      <c r="G603" s="0" t="s">
        <v>240</v>
      </c>
      <c r="H603" s="0" t="s">
        <v>240</v>
      </c>
      <c r="I603" s="0" t="s">
        <v>5484</v>
      </c>
      <c r="J603" s="0" t="s">
        <v>240</v>
      </c>
      <c r="K603" s="0" t="s">
        <v>240</v>
      </c>
      <c r="L603" s="0" t="s">
        <v>240</v>
      </c>
      <c r="M603" s="0" t="s">
        <v>240</v>
      </c>
      <c r="N603" s="0" t="s">
        <v>240</v>
      </c>
      <c r="O603" s="0" t="s">
        <v>240</v>
      </c>
      <c r="P603" s="0" t="s">
        <v>240</v>
      </c>
      <c r="Q603" s="0" t="s">
        <v>240</v>
      </c>
      <c r="R603" s="0" t="s">
        <v>5572</v>
      </c>
      <c r="S603" s="0" t="s">
        <v>240</v>
      </c>
      <c r="T603" s="0" t="s">
        <v>240</v>
      </c>
      <c r="U603" s="0" t="s">
        <v>102</v>
      </c>
      <c r="V603" s="0" t="s">
        <v>240</v>
      </c>
      <c r="W603" s="0" t="s">
        <v>240</v>
      </c>
      <c r="X603" s="0" t="s">
        <v>5485</v>
      </c>
      <c r="Y603" s="0" t="s">
        <v>240</v>
      </c>
      <c r="Z603" s="0" t="s">
        <v>161</v>
      </c>
      <c r="AA603" s="0" t="s">
        <v>152</v>
      </c>
      <c r="AB603" s="0" t="s">
        <v>152</v>
      </c>
      <c r="AC603" s="0" t="s">
        <v>2991</v>
      </c>
      <c r="AD603" s="0" t="s">
        <v>2991</v>
      </c>
      <c r="AE603" s="0" t="s">
        <v>2992</v>
      </c>
      <c r="AF603" s="0" t="s">
        <v>5864</v>
      </c>
      <c r="AG603" s="0" t="s">
        <v>5865</v>
      </c>
      <c r="AH603" s="0" t="s">
        <v>5866</v>
      </c>
      <c r="AI603" s="0" t="s">
        <v>475</v>
      </c>
      <c r="AJ603" s="0" t="s">
        <v>5576</v>
      </c>
      <c r="AK603" s="0" t="s">
        <v>5544</v>
      </c>
      <c r="AL603" s="0" t="s">
        <v>5506</v>
      </c>
      <c r="AM603" s="0" t="s">
        <v>5493</v>
      </c>
      <c r="AN603" s="0" t="s">
        <v>5553</v>
      </c>
      <c r="AO603" s="0" t="s">
        <v>5867</v>
      </c>
      <c r="AP603" s="0" t="s">
        <v>240</v>
      </c>
      <c r="AQ603" s="0" t="s">
        <v>240</v>
      </c>
      <c r="AR603" s="0" t="s">
        <v>240</v>
      </c>
      <c r="AS603" s="0" t="s">
        <v>240</v>
      </c>
      <c r="AT603" s="0" t="s">
        <v>240</v>
      </c>
      <c r="AU603" s="0" t="s">
        <v>240</v>
      </c>
      <c r="AV603" s="0" t="s">
        <v>240</v>
      </c>
      <c r="AW603" s="0" t="s">
        <v>240</v>
      </c>
      <c r="AX603" s="0" t="s">
        <v>240</v>
      </c>
      <c r="AY603" s="0" t="s">
        <v>240</v>
      </c>
      <c r="AZ603" s="0" t="s">
        <v>240</v>
      </c>
      <c r="BA603" s="0" t="s">
        <v>240</v>
      </c>
      <c r="BB603" s="0" t="s">
        <v>240</v>
      </c>
      <c r="BC603" s="0" t="s">
        <v>240</v>
      </c>
      <c r="BD603" s="0" t="s">
        <v>240</v>
      </c>
      <c r="BE603" s="0" t="s">
        <v>240</v>
      </c>
      <c r="BF603" s="0" t="s">
        <v>240</v>
      </c>
      <c r="BG603" s="0" t="s">
        <v>240</v>
      </c>
      <c r="BH603" s="0" t="s">
        <v>240</v>
      </c>
      <c r="BI603" s="0" t="s">
        <v>240</v>
      </c>
      <c r="BJ603" s="0" t="s">
        <v>240</v>
      </c>
      <c r="BK603" s="0" t="s">
        <v>240</v>
      </c>
      <c r="BL603" s="0" t="s">
        <v>240</v>
      </c>
      <c r="BM603" s="0" t="s">
        <v>240</v>
      </c>
      <c r="BN603" s="0" t="s">
        <v>240</v>
      </c>
      <c r="BO603" s="0" t="s">
        <v>240</v>
      </c>
      <c r="BP603" s="0" t="s">
        <v>240</v>
      </c>
      <c r="BQ603" s="0" t="s">
        <v>240</v>
      </c>
      <c r="BR603" s="0" t="s">
        <v>240</v>
      </c>
      <c r="BS603" s="0" t="s">
        <v>240</v>
      </c>
      <c r="BT603" s="0" t="s">
        <v>240</v>
      </c>
      <c r="BU603" s="0" t="s">
        <v>240</v>
      </c>
      <c r="BV603" s="0" t="s">
        <v>240</v>
      </c>
      <c r="BW603" s="0" t="s">
        <v>240</v>
      </c>
      <c r="BX603" s="0" t="s">
        <v>240</v>
      </c>
      <c r="BY603" s="0" t="s">
        <v>240</v>
      </c>
      <c r="BZ603" s="0" t="s">
        <v>240</v>
      </c>
      <c r="CA603" s="0" t="s">
        <v>240</v>
      </c>
      <c r="CB603" s="0" t="s">
        <v>240</v>
      </c>
      <c r="CC603" s="0" t="s">
        <v>240</v>
      </c>
      <c r="CD603" s="0" t="s">
        <v>240</v>
      </c>
      <c r="CE603" s="0" t="s">
        <v>240</v>
      </c>
      <c r="CF603" s="0" t="s">
        <v>240</v>
      </c>
      <c r="CG603" s="0" t="s">
        <v>240</v>
      </c>
      <c r="CH603" s="0" t="s">
        <v>240</v>
      </c>
      <c r="CI603" s="0" t="s">
        <v>240</v>
      </c>
      <c r="CJ603" s="0" t="s">
        <v>240</v>
      </c>
      <c r="CK603" s="0" t="s">
        <v>240</v>
      </c>
      <c r="CL603" s="0" t="s">
        <v>240</v>
      </c>
      <c r="CM603" s="0" t="s">
        <v>240</v>
      </c>
      <c r="CN603" s="0" t="s">
        <v>240</v>
      </c>
      <c r="CO603" s="0" t="s">
        <v>240</v>
      </c>
      <c r="CP603" s="0" t="s">
        <v>240</v>
      </c>
      <c r="CQ603" s="0" t="s">
        <v>240</v>
      </c>
      <c r="CR603" s="0" t="s">
        <v>240</v>
      </c>
      <c r="CS603" s="0" t="s">
        <v>240</v>
      </c>
      <c r="CT603" s="0" t="s">
        <v>5496</v>
      </c>
      <c r="CU603" s="0" t="s">
        <v>5497</v>
      </c>
      <c r="CV603" s="0" t="s">
        <v>443</v>
      </c>
      <c r="CW603" s="0" t="s">
        <v>5547</v>
      </c>
      <c r="CX603" s="0" t="s">
        <v>229</v>
      </c>
      <c r="CY603" s="0" t="s">
        <v>443</v>
      </c>
      <c r="CZ603" s="0" t="s">
        <v>5548</v>
      </c>
      <c r="DA603" s="0" t="s">
        <v>5549</v>
      </c>
      <c r="DB603" s="0" t="s">
        <v>5547</v>
      </c>
      <c r="DC603" s="0" t="s">
        <v>384</v>
      </c>
      <c r="DD603" s="0" t="s">
        <v>291</v>
      </c>
      <c r="DE603" s="0" t="s">
        <v>5868</v>
      </c>
    </row>
    <row customHeight="1" ht="11.25">
      <c r="A604" s="1441" t="s">
        <v>240</v>
      </c>
      <c r="B604" s="0" t="s">
        <v>240</v>
      </c>
      <c r="C604" s="0" t="s">
        <v>240</v>
      </c>
      <c r="D604" s="0" t="s">
        <v>240</v>
      </c>
      <c r="E604" s="0" t="s">
        <v>240</v>
      </c>
      <c r="F604" s="0" t="s">
        <v>240</v>
      </c>
      <c r="G604" s="0" t="s">
        <v>240</v>
      </c>
      <c r="H604" s="0" t="s">
        <v>240</v>
      </c>
      <c r="I604" s="0" t="s">
        <v>5484</v>
      </c>
      <c r="J604" s="0" t="s">
        <v>240</v>
      </c>
      <c r="K604" s="0" t="s">
        <v>240</v>
      </c>
      <c r="L604" s="0" t="s">
        <v>240</v>
      </c>
      <c r="M604" s="0" t="s">
        <v>240</v>
      </c>
      <c r="N604" s="0" t="s">
        <v>240</v>
      </c>
      <c r="O604" s="0" t="s">
        <v>240</v>
      </c>
      <c r="P604" s="0" t="s">
        <v>240</v>
      </c>
      <c r="Q604" s="0" t="s">
        <v>240</v>
      </c>
      <c r="R604" s="0" t="s">
        <v>5572</v>
      </c>
      <c r="S604" s="0" t="s">
        <v>240</v>
      </c>
      <c r="T604" s="0" t="s">
        <v>240</v>
      </c>
      <c r="U604" s="0" t="s">
        <v>102</v>
      </c>
      <c r="V604" s="0" t="s">
        <v>240</v>
      </c>
      <c r="W604" s="0" t="s">
        <v>240</v>
      </c>
      <c r="X604" s="0" t="s">
        <v>5485</v>
      </c>
      <c r="Y604" s="0" t="s">
        <v>240</v>
      </c>
      <c r="Z604" s="0" t="s">
        <v>161</v>
      </c>
      <c r="AA604" s="0" t="s">
        <v>152</v>
      </c>
      <c r="AB604" s="0" t="s">
        <v>152</v>
      </c>
      <c r="AC604" s="0" t="s">
        <v>2991</v>
      </c>
      <c r="AD604" s="0" t="s">
        <v>2991</v>
      </c>
      <c r="AE604" s="0" t="s">
        <v>2992</v>
      </c>
      <c r="AF604" s="0" t="s">
        <v>5864</v>
      </c>
      <c r="AG604" s="0" t="s">
        <v>5865</v>
      </c>
      <c r="AH604" s="0" t="s">
        <v>5575</v>
      </c>
      <c r="AI604" s="0" t="s">
        <v>5575</v>
      </c>
      <c r="AJ604" s="0" t="s">
        <v>5576</v>
      </c>
      <c r="AK604" s="0" t="s">
        <v>5544</v>
      </c>
      <c r="AL604" s="0" t="s">
        <v>5506</v>
      </c>
      <c r="AM604" s="0" t="s">
        <v>5493</v>
      </c>
      <c r="AN604" s="0" t="s">
        <v>5553</v>
      </c>
      <c r="AO604" s="0" t="s">
        <v>5877</v>
      </c>
      <c r="AP604" s="0" t="s">
        <v>240</v>
      </c>
      <c r="AQ604" s="0" t="s">
        <v>240</v>
      </c>
      <c r="AR604" s="0" t="s">
        <v>240</v>
      </c>
      <c r="AS604" s="0" t="s">
        <v>240</v>
      </c>
      <c r="AT604" s="0" t="s">
        <v>240</v>
      </c>
      <c r="AU604" s="0" t="s">
        <v>240</v>
      </c>
      <c r="AV604" s="0" t="s">
        <v>240</v>
      </c>
      <c r="AW604" s="0" t="s">
        <v>240</v>
      </c>
      <c r="AX604" s="0" t="s">
        <v>240</v>
      </c>
      <c r="AY604" s="0" t="s">
        <v>240</v>
      </c>
      <c r="AZ604" s="0" t="s">
        <v>240</v>
      </c>
      <c r="BA604" s="0" t="s">
        <v>240</v>
      </c>
      <c r="BB604" s="0" t="s">
        <v>240</v>
      </c>
      <c r="BC604" s="0" t="s">
        <v>240</v>
      </c>
      <c r="BD604" s="0" t="s">
        <v>240</v>
      </c>
      <c r="BE604" s="0" t="s">
        <v>240</v>
      </c>
      <c r="BF604" s="0" t="s">
        <v>240</v>
      </c>
      <c r="BG604" s="0" t="s">
        <v>240</v>
      </c>
      <c r="BH604" s="0" t="s">
        <v>240</v>
      </c>
      <c r="BI604" s="0" t="s">
        <v>240</v>
      </c>
      <c r="BJ604" s="0" t="s">
        <v>240</v>
      </c>
      <c r="BK604" s="0" t="s">
        <v>240</v>
      </c>
      <c r="BL604" s="0" t="s">
        <v>240</v>
      </c>
      <c r="BM604" s="0" t="s">
        <v>240</v>
      </c>
      <c r="BN604" s="0" t="s">
        <v>240</v>
      </c>
      <c r="BO604" s="0" t="s">
        <v>240</v>
      </c>
      <c r="BP604" s="0" t="s">
        <v>240</v>
      </c>
      <c r="BQ604" s="0" t="s">
        <v>240</v>
      </c>
      <c r="BR604" s="0" t="s">
        <v>240</v>
      </c>
      <c r="BS604" s="0" t="s">
        <v>240</v>
      </c>
      <c r="BT604" s="0" t="s">
        <v>240</v>
      </c>
      <c r="BU604" s="0" t="s">
        <v>240</v>
      </c>
      <c r="BV604" s="0" t="s">
        <v>240</v>
      </c>
      <c r="BW604" s="0" t="s">
        <v>240</v>
      </c>
      <c r="BX604" s="0" t="s">
        <v>240</v>
      </c>
      <c r="BY604" s="0" t="s">
        <v>240</v>
      </c>
      <c r="BZ604" s="0" t="s">
        <v>240</v>
      </c>
      <c r="CA604" s="0" t="s">
        <v>240</v>
      </c>
      <c r="CB604" s="0" t="s">
        <v>240</v>
      </c>
      <c r="CC604" s="0" t="s">
        <v>240</v>
      </c>
      <c r="CD604" s="0" t="s">
        <v>240</v>
      </c>
      <c r="CE604" s="0" t="s">
        <v>240</v>
      </c>
      <c r="CF604" s="0" t="s">
        <v>240</v>
      </c>
      <c r="CG604" s="0" t="s">
        <v>240</v>
      </c>
      <c r="CH604" s="0" t="s">
        <v>240</v>
      </c>
      <c r="CI604" s="0" t="s">
        <v>240</v>
      </c>
      <c r="CJ604" s="0" t="s">
        <v>240</v>
      </c>
      <c r="CK604" s="0" t="s">
        <v>240</v>
      </c>
      <c r="CL604" s="0" t="s">
        <v>240</v>
      </c>
      <c r="CM604" s="0" t="s">
        <v>240</v>
      </c>
      <c r="CN604" s="0" t="s">
        <v>240</v>
      </c>
      <c r="CO604" s="0" t="s">
        <v>240</v>
      </c>
      <c r="CP604" s="0" t="s">
        <v>240</v>
      </c>
      <c r="CQ604" s="0" t="s">
        <v>240</v>
      </c>
      <c r="CR604" s="0" t="s">
        <v>240</v>
      </c>
      <c r="CS604" s="0" t="s">
        <v>240</v>
      </c>
      <c r="CT604" s="0" t="s">
        <v>5496</v>
      </c>
      <c r="CU604" s="0" t="s">
        <v>5497</v>
      </c>
      <c r="CV604" s="0" t="s">
        <v>443</v>
      </c>
      <c r="CW604" s="0" t="s">
        <v>5547</v>
      </c>
      <c r="CX604" s="0" t="s">
        <v>229</v>
      </c>
      <c r="CY604" s="0" t="s">
        <v>443</v>
      </c>
      <c r="CZ604" s="0" t="s">
        <v>5548</v>
      </c>
      <c r="DA604" s="0" t="s">
        <v>5549</v>
      </c>
      <c r="DB604" s="0" t="s">
        <v>5547</v>
      </c>
      <c r="DC604" s="0" t="s">
        <v>384</v>
      </c>
      <c r="DD604" s="0" t="s">
        <v>291</v>
      </c>
      <c r="DE604" s="0" t="s">
        <v>5878</v>
      </c>
    </row>
    <row customHeight="1" ht="11.25">
      <c r="A605" s="1441" t="s">
        <v>240</v>
      </c>
      <c r="B605" s="0" t="s">
        <v>240</v>
      </c>
      <c r="C605" s="0" t="s">
        <v>240</v>
      </c>
      <c r="D605" s="0" t="s">
        <v>240</v>
      </c>
      <c r="E605" s="0" t="s">
        <v>240</v>
      </c>
      <c r="F605" s="0" t="s">
        <v>240</v>
      </c>
      <c r="G605" s="0" t="s">
        <v>240</v>
      </c>
      <c r="H605" s="0" t="s">
        <v>240</v>
      </c>
      <c r="I605" s="0" t="s">
        <v>5484</v>
      </c>
      <c r="J605" s="0" t="s">
        <v>240</v>
      </c>
      <c r="K605" s="0" t="s">
        <v>240</v>
      </c>
      <c r="L605" s="0" t="s">
        <v>240</v>
      </c>
      <c r="M605" s="0" t="s">
        <v>240</v>
      </c>
      <c r="N605" s="0" t="s">
        <v>240</v>
      </c>
      <c r="O605" s="0" t="s">
        <v>240</v>
      </c>
      <c r="P605" s="0" t="s">
        <v>240</v>
      </c>
      <c r="Q605" s="0" t="s">
        <v>240</v>
      </c>
      <c r="R605" s="0" t="s">
        <v>5572</v>
      </c>
      <c r="S605" s="0" t="s">
        <v>240</v>
      </c>
      <c r="T605" s="0" t="s">
        <v>240</v>
      </c>
      <c r="U605" s="0" t="s">
        <v>102</v>
      </c>
      <c r="V605" s="0" t="s">
        <v>240</v>
      </c>
      <c r="W605" s="0" t="s">
        <v>240</v>
      </c>
      <c r="X605" s="0" t="s">
        <v>5485</v>
      </c>
      <c r="Y605" s="0" t="s">
        <v>240</v>
      </c>
      <c r="Z605" s="0" t="s">
        <v>161</v>
      </c>
      <c r="AA605" s="0" t="s">
        <v>152</v>
      </c>
      <c r="AB605" s="0" t="s">
        <v>152</v>
      </c>
      <c r="AC605" s="0" t="s">
        <v>2991</v>
      </c>
      <c r="AD605" s="0" t="s">
        <v>2991</v>
      </c>
      <c r="AE605" s="0" t="s">
        <v>2992</v>
      </c>
      <c r="AF605" s="0" t="s">
        <v>5864</v>
      </c>
      <c r="AG605" s="0" t="s">
        <v>5865</v>
      </c>
      <c r="AH605" s="0" t="s">
        <v>5879</v>
      </c>
      <c r="AI605" s="0" t="s">
        <v>5575</v>
      </c>
      <c r="AJ605" s="0" t="s">
        <v>5504</v>
      </c>
      <c r="AK605" s="0" t="s">
        <v>5776</v>
      </c>
      <c r="AL605" s="0" t="s">
        <v>5506</v>
      </c>
      <c r="AM605" s="0" t="s">
        <v>5493</v>
      </c>
      <c r="AN605" s="0" t="s">
        <v>5553</v>
      </c>
      <c r="AO605" s="0" t="s">
        <v>5613</v>
      </c>
      <c r="AP605" s="0" t="s">
        <v>240</v>
      </c>
      <c r="AQ605" s="0" t="s">
        <v>240</v>
      </c>
      <c r="AR605" s="0" t="s">
        <v>240</v>
      </c>
      <c r="AS605" s="0" t="s">
        <v>240</v>
      </c>
      <c r="AT605" s="0" t="s">
        <v>240</v>
      </c>
      <c r="AU605" s="0" t="s">
        <v>240</v>
      </c>
      <c r="AV605" s="0" t="s">
        <v>240</v>
      </c>
      <c r="AW605" s="0" t="s">
        <v>240</v>
      </c>
      <c r="AX605" s="0" t="s">
        <v>240</v>
      </c>
      <c r="AY605" s="0" t="s">
        <v>240</v>
      </c>
      <c r="AZ605" s="0" t="s">
        <v>240</v>
      </c>
      <c r="BA605" s="0" t="s">
        <v>240</v>
      </c>
      <c r="BB605" s="0" t="s">
        <v>240</v>
      </c>
      <c r="BC605" s="0" t="s">
        <v>240</v>
      </c>
      <c r="BD605" s="0" t="s">
        <v>240</v>
      </c>
      <c r="BE605" s="0" t="s">
        <v>240</v>
      </c>
      <c r="BF605" s="0" t="s">
        <v>240</v>
      </c>
      <c r="BG605" s="0" t="s">
        <v>240</v>
      </c>
      <c r="BH605" s="0" t="s">
        <v>240</v>
      </c>
      <c r="BI605" s="0" t="s">
        <v>240</v>
      </c>
      <c r="BJ605" s="0" t="s">
        <v>240</v>
      </c>
      <c r="BK605" s="0" t="s">
        <v>240</v>
      </c>
      <c r="BL605" s="0" t="s">
        <v>240</v>
      </c>
      <c r="BM605" s="0" t="s">
        <v>240</v>
      </c>
      <c r="BN605" s="0" t="s">
        <v>240</v>
      </c>
      <c r="BO605" s="0" t="s">
        <v>240</v>
      </c>
      <c r="BP605" s="0" t="s">
        <v>240</v>
      </c>
      <c r="BQ605" s="0" t="s">
        <v>240</v>
      </c>
      <c r="BR605" s="0" t="s">
        <v>240</v>
      </c>
      <c r="BS605" s="0" t="s">
        <v>240</v>
      </c>
      <c r="BT605" s="0" t="s">
        <v>240</v>
      </c>
      <c r="BU605" s="0" t="s">
        <v>240</v>
      </c>
      <c r="BV605" s="0" t="s">
        <v>240</v>
      </c>
      <c r="BW605" s="0" t="s">
        <v>240</v>
      </c>
      <c r="BX605" s="0" t="s">
        <v>240</v>
      </c>
      <c r="BY605" s="0" t="s">
        <v>240</v>
      </c>
      <c r="BZ605" s="0" t="s">
        <v>240</v>
      </c>
      <c r="CA605" s="0" t="s">
        <v>240</v>
      </c>
      <c r="CB605" s="0" t="s">
        <v>240</v>
      </c>
      <c r="CC605" s="0" t="s">
        <v>240</v>
      </c>
      <c r="CD605" s="0" t="s">
        <v>240</v>
      </c>
      <c r="CE605" s="0" t="s">
        <v>240</v>
      </c>
      <c r="CF605" s="0" t="s">
        <v>240</v>
      </c>
      <c r="CG605" s="0" t="s">
        <v>240</v>
      </c>
      <c r="CH605" s="0" t="s">
        <v>240</v>
      </c>
      <c r="CI605" s="0" t="s">
        <v>240</v>
      </c>
      <c r="CJ605" s="0" t="s">
        <v>240</v>
      </c>
      <c r="CK605" s="0" t="s">
        <v>240</v>
      </c>
      <c r="CL605" s="0" t="s">
        <v>240</v>
      </c>
      <c r="CM605" s="0" t="s">
        <v>240</v>
      </c>
      <c r="CN605" s="0" t="s">
        <v>240</v>
      </c>
      <c r="CO605" s="0" t="s">
        <v>240</v>
      </c>
      <c r="CP605" s="0" t="s">
        <v>240</v>
      </c>
      <c r="CQ605" s="0" t="s">
        <v>240</v>
      </c>
      <c r="CR605" s="0" t="s">
        <v>240</v>
      </c>
      <c r="CS605" s="0" t="s">
        <v>240</v>
      </c>
      <c r="CT605" s="0" t="s">
        <v>5496</v>
      </c>
      <c r="CU605" s="0" t="s">
        <v>5497</v>
      </c>
      <c r="CV605" s="0" t="s">
        <v>443</v>
      </c>
      <c r="CW605" s="0" t="s">
        <v>5547</v>
      </c>
      <c r="CX605" s="0" t="s">
        <v>229</v>
      </c>
      <c r="CY605" s="0" t="s">
        <v>443</v>
      </c>
      <c r="CZ605" s="0" t="s">
        <v>5548</v>
      </c>
      <c r="DA605" s="0" t="s">
        <v>5549</v>
      </c>
      <c r="DB605" s="0" t="s">
        <v>5547</v>
      </c>
      <c r="DC605" s="0" t="s">
        <v>384</v>
      </c>
      <c r="DD605" s="0" t="s">
        <v>291</v>
      </c>
      <c r="DE605" s="0" t="s">
        <v>5880</v>
      </c>
    </row>
    <row customHeight="1" ht="11.25">
      <c r="A606" s="1441" t="s">
        <v>240</v>
      </c>
      <c r="B606" s="0" t="s">
        <v>240</v>
      </c>
      <c r="C606" s="0" t="s">
        <v>240</v>
      </c>
      <c r="D606" s="0" t="s">
        <v>240</v>
      </c>
      <c r="E606" s="0" t="s">
        <v>240</v>
      </c>
      <c r="F606" s="0" t="s">
        <v>240</v>
      </c>
      <c r="G606" s="0" t="s">
        <v>240</v>
      </c>
      <c r="H606" s="0" t="s">
        <v>240</v>
      </c>
      <c r="I606" s="0" t="s">
        <v>5484</v>
      </c>
      <c r="J606" s="0" t="s">
        <v>240</v>
      </c>
      <c r="K606" s="0" t="s">
        <v>240</v>
      </c>
      <c r="L606" s="0" t="s">
        <v>240</v>
      </c>
      <c r="M606" s="0" t="s">
        <v>240</v>
      </c>
      <c r="N606" s="0" t="s">
        <v>240</v>
      </c>
      <c r="O606" s="0" t="s">
        <v>240</v>
      </c>
      <c r="P606" s="0" t="s">
        <v>240</v>
      </c>
      <c r="Q606" s="0" t="s">
        <v>240</v>
      </c>
      <c r="R606" s="0" t="s">
        <v>5881</v>
      </c>
      <c r="S606" s="0" t="s">
        <v>240</v>
      </c>
      <c r="T606" s="0" t="s">
        <v>240</v>
      </c>
      <c r="U606" s="0" t="s">
        <v>102</v>
      </c>
      <c r="V606" s="0" t="s">
        <v>240</v>
      </c>
      <c r="W606" s="0" t="s">
        <v>240</v>
      </c>
      <c r="X606" s="0" t="s">
        <v>5585</v>
      </c>
      <c r="Y606" s="0" t="s">
        <v>240</v>
      </c>
      <c r="Z606" s="0" t="s">
        <v>152</v>
      </c>
      <c r="AA606" s="0" t="s">
        <v>152</v>
      </c>
      <c r="AB606" s="0" t="s">
        <v>161</v>
      </c>
      <c r="AC606" s="0" t="s">
        <v>2991</v>
      </c>
      <c r="AD606" s="0" t="s">
        <v>2991</v>
      </c>
      <c r="AE606" s="0" t="s">
        <v>2992</v>
      </c>
      <c r="AF606" s="0" t="s">
        <v>5864</v>
      </c>
      <c r="AG606" s="0" t="s">
        <v>5865</v>
      </c>
      <c r="AH606" s="0" t="s">
        <v>5575</v>
      </c>
      <c r="AI606" s="0" t="s">
        <v>5575</v>
      </c>
      <c r="AJ606" s="0" t="s">
        <v>240</v>
      </c>
      <c r="AK606" s="0" t="s">
        <v>240</v>
      </c>
      <c r="AL606" s="0" t="s">
        <v>240</v>
      </c>
      <c r="AM606" s="0" t="s">
        <v>240</v>
      </c>
      <c r="AN606" s="0" t="s">
        <v>240</v>
      </c>
      <c r="AO606" s="0" t="s">
        <v>240</v>
      </c>
      <c r="AP606" s="0" t="s">
        <v>240</v>
      </c>
      <c r="AQ606" s="0" t="s">
        <v>240</v>
      </c>
      <c r="AR606" s="0" t="s">
        <v>240</v>
      </c>
      <c r="AS606" s="0" t="s">
        <v>240</v>
      </c>
      <c r="AT606" s="0" t="s">
        <v>240</v>
      </c>
      <c r="AU606" s="0" t="s">
        <v>240</v>
      </c>
      <c r="AV606" s="0" t="s">
        <v>240</v>
      </c>
      <c r="AW606" s="0" t="s">
        <v>240</v>
      </c>
      <c r="AX606" s="0" t="s">
        <v>240</v>
      </c>
      <c r="AY606" s="0" t="s">
        <v>240</v>
      </c>
      <c r="AZ606" s="0" t="s">
        <v>240</v>
      </c>
      <c r="BA606" s="0" t="s">
        <v>240</v>
      </c>
      <c r="BB606" s="0" t="s">
        <v>240</v>
      </c>
      <c r="BC606" s="0" t="s">
        <v>240</v>
      </c>
      <c r="BD606" s="0" t="s">
        <v>240</v>
      </c>
      <c r="BE606" s="0" t="s">
        <v>5552</v>
      </c>
      <c r="BF606" s="0" t="s">
        <v>5544</v>
      </c>
      <c r="BG606" s="0" t="s">
        <v>112</v>
      </c>
      <c r="BH606" s="0" t="s">
        <v>5589</v>
      </c>
      <c r="BI606" s="0" t="s">
        <v>123</v>
      </c>
      <c r="BJ606" s="0" t="s">
        <v>240</v>
      </c>
      <c r="BK606" s="0" t="s">
        <v>5608</v>
      </c>
      <c r="BL606" s="0" t="s">
        <v>2991</v>
      </c>
      <c r="BM606" s="0" t="s">
        <v>2991</v>
      </c>
      <c r="BN606" s="0" t="s">
        <v>5663</v>
      </c>
      <c r="BO606" s="0" t="s">
        <v>5864</v>
      </c>
      <c r="BP606" s="0" t="s">
        <v>5882</v>
      </c>
      <c r="BQ606" s="0" t="s">
        <v>5575</v>
      </c>
      <c r="BR606" s="0" t="s">
        <v>5575</v>
      </c>
      <c r="BS606" s="0" t="s">
        <v>240</v>
      </c>
      <c r="BT606" s="0" t="s">
        <v>5650</v>
      </c>
      <c r="BU606" s="0" t="s">
        <v>5883</v>
      </c>
      <c r="BV606" s="0" t="s">
        <v>5883</v>
      </c>
      <c r="BW606" s="0" t="s">
        <v>5598</v>
      </c>
      <c r="BX606" s="0" t="s">
        <v>5598</v>
      </c>
      <c r="BY606" s="0" t="s">
        <v>5598</v>
      </c>
      <c r="BZ606" s="0" t="s">
        <v>5598</v>
      </c>
      <c r="CA606" s="0" t="s">
        <v>5598</v>
      </c>
      <c r="CB606" s="0" t="s">
        <v>240</v>
      </c>
      <c r="CC606" s="0" t="s">
        <v>240</v>
      </c>
      <c r="CD606" s="0" t="s">
        <v>240</v>
      </c>
      <c r="CE606" s="0" t="s">
        <v>240</v>
      </c>
      <c r="CF606" s="0" t="s">
        <v>240</v>
      </c>
      <c r="CG606" s="0" t="s">
        <v>5598</v>
      </c>
      <c r="CH606" s="0" t="s">
        <v>240</v>
      </c>
      <c r="CI606" s="0" t="s">
        <v>240</v>
      </c>
      <c r="CJ606" s="0" t="s">
        <v>240</v>
      </c>
      <c r="CK606" s="0" t="s">
        <v>240</v>
      </c>
      <c r="CL606" s="0" t="s">
        <v>240</v>
      </c>
      <c r="CM606" s="0" t="s">
        <v>5883</v>
      </c>
      <c r="CN606" s="0" t="s">
        <v>5883</v>
      </c>
      <c r="CO606" s="0" t="s">
        <v>240</v>
      </c>
      <c r="CP606" s="0" t="s">
        <v>240</v>
      </c>
      <c r="CQ606" s="0" t="s">
        <v>240</v>
      </c>
      <c r="CR606" s="0" t="s">
        <v>240</v>
      </c>
      <c r="CS606" s="0" t="s">
        <v>5666</v>
      </c>
      <c r="CT606" s="0" t="s">
        <v>5496</v>
      </c>
      <c r="CU606" s="0" t="s">
        <v>5497</v>
      </c>
      <c r="CV606" s="0" t="s">
        <v>443</v>
      </c>
      <c r="CW606" s="0" t="s">
        <v>5547</v>
      </c>
      <c r="CX606" s="0" t="s">
        <v>229</v>
      </c>
      <c r="CY606" s="0" t="s">
        <v>443</v>
      </c>
      <c r="CZ606" s="0" t="s">
        <v>5548</v>
      </c>
      <c r="DA606" s="0" t="s">
        <v>5549</v>
      </c>
      <c r="DB606" s="0" t="s">
        <v>5547</v>
      </c>
      <c r="DC606" s="0" t="s">
        <v>384</v>
      </c>
      <c r="DD606" s="0" t="s">
        <v>291</v>
      </c>
      <c r="DE606" s="0" t="s">
        <v>5878</v>
      </c>
    </row>
    <row customHeight="1" ht="11.25">
      <c r="A607" s="1441" t="s">
        <v>240</v>
      </c>
      <c r="B607" s="0" t="s">
        <v>240</v>
      </c>
      <c r="C607" s="0" t="s">
        <v>240</v>
      </c>
      <c r="D607" s="0" t="s">
        <v>240</v>
      </c>
      <c r="E607" s="0" t="s">
        <v>240</v>
      </c>
      <c r="F607" s="0" t="s">
        <v>240</v>
      </c>
      <c r="G607" s="0" t="s">
        <v>240</v>
      </c>
      <c r="H607" s="0" t="s">
        <v>240</v>
      </c>
      <c r="I607" s="0" t="s">
        <v>5484</v>
      </c>
      <c r="J607" s="0" t="s">
        <v>240</v>
      </c>
      <c r="K607" s="0" t="s">
        <v>240</v>
      </c>
      <c r="L607" s="0" t="s">
        <v>240</v>
      </c>
      <c r="M607" s="0" t="s">
        <v>240</v>
      </c>
      <c r="N607" s="0" t="s">
        <v>240</v>
      </c>
      <c r="O607" s="0" t="s">
        <v>240</v>
      </c>
      <c r="P607" s="0" t="s">
        <v>240</v>
      </c>
      <c r="Q607" s="0" t="s">
        <v>240</v>
      </c>
      <c r="R607" s="0" t="s">
        <v>5572</v>
      </c>
      <c r="S607" s="0" t="s">
        <v>240</v>
      </c>
      <c r="T607" s="0" t="s">
        <v>240</v>
      </c>
      <c r="U607" s="0" t="s">
        <v>102</v>
      </c>
      <c r="V607" s="0" t="s">
        <v>240</v>
      </c>
      <c r="W607" s="0" t="s">
        <v>240</v>
      </c>
      <c r="X607" s="0" t="s">
        <v>5485</v>
      </c>
      <c r="Y607" s="0" t="s">
        <v>240</v>
      </c>
      <c r="Z607" s="0" t="s">
        <v>161</v>
      </c>
      <c r="AA607" s="0" t="s">
        <v>152</v>
      </c>
      <c r="AB607" s="0" t="s">
        <v>152</v>
      </c>
      <c r="AC607" s="0" t="s">
        <v>2991</v>
      </c>
      <c r="AD607" s="0" t="s">
        <v>2991</v>
      </c>
      <c r="AE607" s="0" t="s">
        <v>2992</v>
      </c>
      <c r="AF607" s="0" t="s">
        <v>6394</v>
      </c>
      <c r="AG607" s="0" t="s">
        <v>6395</v>
      </c>
      <c r="AH607" s="0" t="s">
        <v>6396</v>
      </c>
      <c r="AI607" s="0" t="s">
        <v>6189</v>
      </c>
      <c r="AJ607" s="0" t="s">
        <v>5504</v>
      </c>
      <c r="AK607" s="0" t="s">
        <v>5544</v>
      </c>
      <c r="AL607" s="0" t="s">
        <v>5506</v>
      </c>
      <c r="AM607" s="0" t="s">
        <v>5493</v>
      </c>
      <c r="AN607" s="0" t="s">
        <v>5545</v>
      </c>
      <c r="AO607" s="0" t="s">
        <v>6346</v>
      </c>
      <c r="AP607" s="0" t="s">
        <v>240</v>
      </c>
      <c r="AQ607" s="0" t="s">
        <v>240</v>
      </c>
      <c r="AR607" s="0" t="s">
        <v>240</v>
      </c>
      <c r="AS607" s="0" t="s">
        <v>240</v>
      </c>
      <c r="AT607" s="0" t="s">
        <v>240</v>
      </c>
      <c r="AU607" s="0" t="s">
        <v>240</v>
      </c>
      <c r="AV607" s="0" t="s">
        <v>240</v>
      </c>
      <c r="AW607" s="0" t="s">
        <v>240</v>
      </c>
      <c r="AX607" s="0" t="s">
        <v>240</v>
      </c>
      <c r="AY607" s="0" t="s">
        <v>240</v>
      </c>
      <c r="AZ607" s="0" t="s">
        <v>240</v>
      </c>
      <c r="BA607" s="0" t="s">
        <v>240</v>
      </c>
      <c r="BB607" s="0" t="s">
        <v>240</v>
      </c>
      <c r="BC607" s="0" t="s">
        <v>240</v>
      </c>
      <c r="BD607" s="0" t="s">
        <v>240</v>
      </c>
      <c r="BE607" s="0" t="s">
        <v>240</v>
      </c>
      <c r="BF607" s="0" t="s">
        <v>240</v>
      </c>
      <c r="BG607" s="0" t="s">
        <v>240</v>
      </c>
      <c r="BH607" s="0" t="s">
        <v>240</v>
      </c>
      <c r="BI607" s="0" t="s">
        <v>240</v>
      </c>
      <c r="BJ607" s="0" t="s">
        <v>240</v>
      </c>
      <c r="BK607" s="0" t="s">
        <v>240</v>
      </c>
      <c r="BL607" s="0" t="s">
        <v>240</v>
      </c>
      <c r="BM607" s="0" t="s">
        <v>240</v>
      </c>
      <c r="BN607" s="0" t="s">
        <v>240</v>
      </c>
      <c r="BO607" s="0" t="s">
        <v>240</v>
      </c>
      <c r="BP607" s="0" t="s">
        <v>240</v>
      </c>
      <c r="BQ607" s="0" t="s">
        <v>240</v>
      </c>
      <c r="BR607" s="0" t="s">
        <v>240</v>
      </c>
      <c r="BS607" s="0" t="s">
        <v>240</v>
      </c>
      <c r="BT607" s="0" t="s">
        <v>240</v>
      </c>
      <c r="BU607" s="0" t="s">
        <v>240</v>
      </c>
      <c r="BV607" s="0" t="s">
        <v>240</v>
      </c>
      <c r="BW607" s="0" t="s">
        <v>240</v>
      </c>
      <c r="BX607" s="0" t="s">
        <v>240</v>
      </c>
      <c r="BY607" s="0" t="s">
        <v>240</v>
      </c>
      <c r="BZ607" s="0" t="s">
        <v>240</v>
      </c>
      <c r="CA607" s="0" t="s">
        <v>240</v>
      </c>
      <c r="CB607" s="0" t="s">
        <v>240</v>
      </c>
      <c r="CC607" s="0" t="s">
        <v>240</v>
      </c>
      <c r="CD607" s="0" t="s">
        <v>240</v>
      </c>
      <c r="CE607" s="0" t="s">
        <v>240</v>
      </c>
      <c r="CF607" s="0" t="s">
        <v>240</v>
      </c>
      <c r="CG607" s="0" t="s">
        <v>240</v>
      </c>
      <c r="CH607" s="0" t="s">
        <v>240</v>
      </c>
      <c r="CI607" s="0" t="s">
        <v>240</v>
      </c>
      <c r="CJ607" s="0" t="s">
        <v>240</v>
      </c>
      <c r="CK607" s="0" t="s">
        <v>240</v>
      </c>
      <c r="CL607" s="0" t="s">
        <v>240</v>
      </c>
      <c r="CM607" s="0" t="s">
        <v>240</v>
      </c>
      <c r="CN607" s="0" t="s">
        <v>240</v>
      </c>
      <c r="CO607" s="0" t="s">
        <v>240</v>
      </c>
      <c r="CP607" s="0" t="s">
        <v>240</v>
      </c>
      <c r="CQ607" s="0" t="s">
        <v>240</v>
      </c>
      <c r="CR607" s="0" t="s">
        <v>240</v>
      </c>
      <c r="CS607" s="0" t="s">
        <v>240</v>
      </c>
      <c r="CT607" s="0" t="s">
        <v>5496</v>
      </c>
      <c r="CU607" s="0" t="s">
        <v>5497</v>
      </c>
      <c r="CV607" s="0" t="s">
        <v>443</v>
      </c>
      <c r="CW607" s="0" t="s">
        <v>5547</v>
      </c>
      <c r="CX607" s="0" t="s">
        <v>229</v>
      </c>
      <c r="CY607" s="0" t="s">
        <v>443</v>
      </c>
      <c r="CZ607" s="0" t="s">
        <v>5548</v>
      </c>
      <c r="DA607" s="0" t="s">
        <v>5549</v>
      </c>
      <c r="DB607" s="0" t="s">
        <v>5547</v>
      </c>
      <c r="DC607" s="0" t="s">
        <v>384</v>
      </c>
      <c r="DD607" s="0" t="s">
        <v>291</v>
      </c>
      <c r="DE607" s="0" t="s">
        <v>6397</v>
      </c>
    </row>
    <row customHeight="1" ht="11.25">
      <c r="A608" s="1441" t="s">
        <v>240</v>
      </c>
      <c r="B608" s="0" t="s">
        <v>240</v>
      </c>
      <c r="C608" s="0" t="s">
        <v>240</v>
      </c>
      <c r="D608" s="0" t="s">
        <v>240</v>
      </c>
      <c r="E608" s="0" t="s">
        <v>240</v>
      </c>
      <c r="F608" s="0" t="s">
        <v>240</v>
      </c>
      <c r="G608" s="0" t="s">
        <v>240</v>
      </c>
      <c r="H608" s="0" t="s">
        <v>240</v>
      </c>
      <c r="I608" s="0" t="s">
        <v>5484</v>
      </c>
      <c r="J608" s="0" t="s">
        <v>240</v>
      </c>
      <c r="K608" s="0" t="s">
        <v>240</v>
      </c>
      <c r="L608" s="0" t="s">
        <v>240</v>
      </c>
      <c r="M608" s="0" t="s">
        <v>240</v>
      </c>
      <c r="N608" s="0" t="s">
        <v>240</v>
      </c>
      <c r="O608" s="0" t="s">
        <v>240</v>
      </c>
      <c r="P608" s="0" t="s">
        <v>240</v>
      </c>
      <c r="Q608" s="0" t="s">
        <v>240</v>
      </c>
      <c r="R608" s="0" t="s">
        <v>5572</v>
      </c>
      <c r="S608" s="0" t="s">
        <v>240</v>
      </c>
      <c r="T608" s="0" t="s">
        <v>240</v>
      </c>
      <c r="U608" s="0" t="s">
        <v>102</v>
      </c>
      <c r="V608" s="0" t="s">
        <v>240</v>
      </c>
      <c r="W608" s="0" t="s">
        <v>240</v>
      </c>
      <c r="X608" s="0" t="s">
        <v>5485</v>
      </c>
      <c r="Y608" s="0" t="s">
        <v>240</v>
      </c>
      <c r="Z608" s="0" t="s">
        <v>161</v>
      </c>
      <c r="AA608" s="0" t="s">
        <v>152</v>
      </c>
      <c r="AB608" s="0" t="s">
        <v>152</v>
      </c>
      <c r="AC608" s="0" t="s">
        <v>2991</v>
      </c>
      <c r="AD608" s="0" t="s">
        <v>2991</v>
      </c>
      <c r="AE608" s="0" t="s">
        <v>2992</v>
      </c>
      <c r="AF608" s="0" t="s">
        <v>6394</v>
      </c>
      <c r="AG608" s="0" t="s">
        <v>6395</v>
      </c>
      <c r="AH608" s="0" t="s">
        <v>6652</v>
      </c>
      <c r="AI608" s="0" t="s">
        <v>6189</v>
      </c>
      <c r="AJ608" s="0" t="s">
        <v>5504</v>
      </c>
      <c r="AK608" s="0" t="s">
        <v>6653</v>
      </c>
      <c r="AL608" s="0" t="s">
        <v>5506</v>
      </c>
      <c r="AM608" s="0" t="s">
        <v>5493</v>
      </c>
      <c r="AN608" s="0" t="s">
        <v>5553</v>
      </c>
      <c r="AO608" s="0" t="s">
        <v>5636</v>
      </c>
      <c r="AP608" s="0" t="s">
        <v>240</v>
      </c>
      <c r="AQ608" s="0" t="s">
        <v>240</v>
      </c>
      <c r="AR608" s="0" t="s">
        <v>240</v>
      </c>
      <c r="AS608" s="0" t="s">
        <v>240</v>
      </c>
      <c r="AT608" s="0" t="s">
        <v>240</v>
      </c>
      <c r="AU608" s="0" t="s">
        <v>240</v>
      </c>
      <c r="AV608" s="0" t="s">
        <v>240</v>
      </c>
      <c r="AW608" s="0" t="s">
        <v>240</v>
      </c>
      <c r="AX608" s="0" t="s">
        <v>240</v>
      </c>
      <c r="AY608" s="0" t="s">
        <v>240</v>
      </c>
      <c r="AZ608" s="0" t="s">
        <v>240</v>
      </c>
      <c r="BA608" s="0" t="s">
        <v>240</v>
      </c>
      <c r="BB608" s="0" t="s">
        <v>240</v>
      </c>
      <c r="BC608" s="0" t="s">
        <v>240</v>
      </c>
      <c r="BD608" s="0" t="s">
        <v>240</v>
      </c>
      <c r="BE608" s="0" t="s">
        <v>240</v>
      </c>
      <c r="BF608" s="0" t="s">
        <v>240</v>
      </c>
      <c r="BG608" s="0" t="s">
        <v>240</v>
      </c>
      <c r="BH608" s="0" t="s">
        <v>240</v>
      </c>
      <c r="BI608" s="0" t="s">
        <v>240</v>
      </c>
      <c r="BJ608" s="0" t="s">
        <v>240</v>
      </c>
      <c r="BK608" s="0" t="s">
        <v>240</v>
      </c>
      <c r="BL608" s="0" t="s">
        <v>240</v>
      </c>
      <c r="BM608" s="0" t="s">
        <v>240</v>
      </c>
      <c r="BN608" s="0" t="s">
        <v>240</v>
      </c>
      <c r="BO608" s="0" t="s">
        <v>240</v>
      </c>
      <c r="BP608" s="0" t="s">
        <v>240</v>
      </c>
      <c r="BQ608" s="0" t="s">
        <v>240</v>
      </c>
      <c r="BR608" s="0" t="s">
        <v>240</v>
      </c>
      <c r="BS608" s="0" t="s">
        <v>240</v>
      </c>
      <c r="BT608" s="0" t="s">
        <v>240</v>
      </c>
      <c r="BU608" s="0" t="s">
        <v>240</v>
      </c>
      <c r="BV608" s="0" t="s">
        <v>240</v>
      </c>
      <c r="BW608" s="0" t="s">
        <v>240</v>
      </c>
      <c r="BX608" s="0" t="s">
        <v>240</v>
      </c>
      <c r="BY608" s="0" t="s">
        <v>240</v>
      </c>
      <c r="BZ608" s="0" t="s">
        <v>240</v>
      </c>
      <c r="CA608" s="0" t="s">
        <v>240</v>
      </c>
      <c r="CB608" s="0" t="s">
        <v>240</v>
      </c>
      <c r="CC608" s="0" t="s">
        <v>240</v>
      </c>
      <c r="CD608" s="0" t="s">
        <v>240</v>
      </c>
      <c r="CE608" s="0" t="s">
        <v>240</v>
      </c>
      <c r="CF608" s="0" t="s">
        <v>240</v>
      </c>
      <c r="CG608" s="0" t="s">
        <v>240</v>
      </c>
      <c r="CH608" s="0" t="s">
        <v>240</v>
      </c>
      <c r="CI608" s="0" t="s">
        <v>240</v>
      </c>
      <c r="CJ608" s="0" t="s">
        <v>240</v>
      </c>
      <c r="CK608" s="0" t="s">
        <v>240</v>
      </c>
      <c r="CL608" s="0" t="s">
        <v>240</v>
      </c>
      <c r="CM608" s="0" t="s">
        <v>240</v>
      </c>
      <c r="CN608" s="0" t="s">
        <v>240</v>
      </c>
      <c r="CO608" s="0" t="s">
        <v>240</v>
      </c>
      <c r="CP608" s="0" t="s">
        <v>240</v>
      </c>
      <c r="CQ608" s="0" t="s">
        <v>240</v>
      </c>
      <c r="CR608" s="0" t="s">
        <v>240</v>
      </c>
      <c r="CS608" s="0" t="s">
        <v>240</v>
      </c>
      <c r="CT608" s="0" t="s">
        <v>5496</v>
      </c>
      <c r="CU608" s="0" t="s">
        <v>5497</v>
      </c>
      <c r="CV608" s="0" t="s">
        <v>443</v>
      </c>
      <c r="CW608" s="0" t="s">
        <v>5547</v>
      </c>
      <c r="CX608" s="0" t="s">
        <v>229</v>
      </c>
      <c r="CY608" s="0" t="s">
        <v>443</v>
      </c>
      <c r="CZ608" s="0" t="s">
        <v>5548</v>
      </c>
      <c r="DA608" s="0" t="s">
        <v>5549</v>
      </c>
      <c r="DB608" s="0" t="s">
        <v>5547</v>
      </c>
      <c r="DC608" s="0" t="s">
        <v>384</v>
      </c>
      <c r="DD608" s="0" t="s">
        <v>291</v>
      </c>
      <c r="DE608" s="0" t="s">
        <v>6654</v>
      </c>
    </row>
    <row customHeight="1" ht="11.25">
      <c r="A609" s="1441" t="s">
        <v>240</v>
      </c>
      <c r="B609" s="0" t="s">
        <v>240</v>
      </c>
      <c r="C609" s="0" t="s">
        <v>240</v>
      </c>
      <c r="D609" s="0" t="s">
        <v>240</v>
      </c>
      <c r="E609" s="0" t="s">
        <v>240</v>
      </c>
      <c r="F609" s="0" t="s">
        <v>240</v>
      </c>
      <c r="G609" s="0" t="s">
        <v>240</v>
      </c>
      <c r="H609" s="0" t="s">
        <v>240</v>
      </c>
      <c r="I609" s="0" t="s">
        <v>5484</v>
      </c>
      <c r="J609" s="0" t="s">
        <v>240</v>
      </c>
      <c r="K609" s="0" t="s">
        <v>240</v>
      </c>
      <c r="L609" s="0" t="s">
        <v>240</v>
      </c>
      <c r="M609" s="0" t="s">
        <v>240</v>
      </c>
      <c r="N609" s="0" t="s">
        <v>240</v>
      </c>
      <c r="O609" s="0" t="s">
        <v>240</v>
      </c>
      <c r="P609" s="0" t="s">
        <v>240</v>
      </c>
      <c r="Q609" s="0" t="s">
        <v>240</v>
      </c>
      <c r="R609" s="0" t="s">
        <v>6655</v>
      </c>
      <c r="S609" s="0" t="s">
        <v>240</v>
      </c>
      <c r="T609" s="0" t="s">
        <v>240</v>
      </c>
      <c r="U609" s="0" t="s">
        <v>102</v>
      </c>
      <c r="V609" s="0" t="s">
        <v>240</v>
      </c>
      <c r="W609" s="0" t="s">
        <v>240</v>
      </c>
      <c r="X609" s="0" t="s">
        <v>5585</v>
      </c>
      <c r="Y609" s="0" t="s">
        <v>240</v>
      </c>
      <c r="Z609" s="0" t="s">
        <v>152</v>
      </c>
      <c r="AA609" s="0" t="s">
        <v>152</v>
      </c>
      <c r="AB609" s="0" t="s">
        <v>161</v>
      </c>
      <c r="AC609" s="0" t="s">
        <v>2991</v>
      </c>
      <c r="AD609" s="0" t="s">
        <v>2991</v>
      </c>
      <c r="AE609" s="0" t="s">
        <v>2992</v>
      </c>
      <c r="AF609" s="0" t="s">
        <v>6184</v>
      </c>
      <c r="AG609" s="0" t="s">
        <v>6185</v>
      </c>
      <c r="AH609" s="0" t="s">
        <v>5575</v>
      </c>
      <c r="AI609" s="0" t="s">
        <v>5575</v>
      </c>
      <c r="AJ609" s="0" t="s">
        <v>240</v>
      </c>
      <c r="AK609" s="0" t="s">
        <v>240</v>
      </c>
      <c r="AL609" s="0" t="s">
        <v>240</v>
      </c>
      <c r="AM609" s="0" t="s">
        <v>240</v>
      </c>
      <c r="AN609" s="0" t="s">
        <v>240</v>
      </c>
      <c r="AO609" s="0" t="s">
        <v>240</v>
      </c>
      <c r="AP609" s="0" t="s">
        <v>240</v>
      </c>
      <c r="AQ609" s="0" t="s">
        <v>240</v>
      </c>
      <c r="AR609" s="0" t="s">
        <v>240</v>
      </c>
      <c r="AS609" s="0" t="s">
        <v>240</v>
      </c>
      <c r="AT609" s="0" t="s">
        <v>240</v>
      </c>
      <c r="AU609" s="0" t="s">
        <v>240</v>
      </c>
      <c r="AV609" s="0" t="s">
        <v>240</v>
      </c>
      <c r="AW609" s="0" t="s">
        <v>240</v>
      </c>
      <c r="AX609" s="0" t="s">
        <v>240</v>
      </c>
      <c r="AY609" s="0" t="s">
        <v>240</v>
      </c>
      <c r="AZ609" s="0" t="s">
        <v>240</v>
      </c>
      <c r="BA609" s="0" t="s">
        <v>240</v>
      </c>
      <c r="BB609" s="0" t="s">
        <v>240</v>
      </c>
      <c r="BC609" s="0" t="s">
        <v>240</v>
      </c>
      <c r="BD609" s="0" t="s">
        <v>240</v>
      </c>
      <c r="BE609" s="0" t="s">
        <v>5552</v>
      </c>
      <c r="BF609" s="0" t="s">
        <v>5672</v>
      </c>
      <c r="BG609" s="0" t="s">
        <v>112</v>
      </c>
      <c r="BH609" s="0" t="s">
        <v>5589</v>
      </c>
      <c r="BI609" s="0" t="s">
        <v>123</v>
      </c>
      <c r="BJ609" s="0" t="s">
        <v>240</v>
      </c>
      <c r="BK609" s="0" t="s">
        <v>5608</v>
      </c>
      <c r="BL609" s="0" t="s">
        <v>2991</v>
      </c>
      <c r="BM609" s="0" t="s">
        <v>2991</v>
      </c>
      <c r="BN609" s="0" t="s">
        <v>5663</v>
      </c>
      <c r="BO609" s="0" t="s">
        <v>6184</v>
      </c>
      <c r="BP609" s="0" t="s">
        <v>6656</v>
      </c>
      <c r="BQ609" s="0" t="s">
        <v>5575</v>
      </c>
      <c r="BR609" s="0" t="s">
        <v>5575</v>
      </c>
      <c r="BS609" s="0" t="s">
        <v>240</v>
      </c>
      <c r="BT609" s="0" t="s">
        <v>5650</v>
      </c>
      <c r="BU609" s="0" t="s">
        <v>6657</v>
      </c>
      <c r="BV609" s="0" t="s">
        <v>6657</v>
      </c>
      <c r="BW609" s="0" t="s">
        <v>5598</v>
      </c>
      <c r="BX609" s="0" t="s">
        <v>5598</v>
      </c>
      <c r="BY609" s="0" t="s">
        <v>5598</v>
      </c>
      <c r="BZ609" s="0" t="s">
        <v>5598</v>
      </c>
      <c r="CA609" s="0" t="s">
        <v>5598</v>
      </c>
      <c r="CB609" s="0" t="s">
        <v>240</v>
      </c>
      <c r="CC609" s="0" t="s">
        <v>240</v>
      </c>
      <c r="CD609" s="0" t="s">
        <v>240</v>
      </c>
      <c r="CE609" s="0" t="s">
        <v>240</v>
      </c>
      <c r="CF609" s="0" t="s">
        <v>240</v>
      </c>
      <c r="CG609" s="0" t="s">
        <v>5598</v>
      </c>
      <c r="CH609" s="0" t="s">
        <v>240</v>
      </c>
      <c r="CI609" s="0" t="s">
        <v>240</v>
      </c>
      <c r="CJ609" s="0" t="s">
        <v>240</v>
      </c>
      <c r="CK609" s="0" t="s">
        <v>240</v>
      </c>
      <c r="CL609" s="0" t="s">
        <v>240</v>
      </c>
      <c r="CM609" s="0" t="s">
        <v>6657</v>
      </c>
      <c r="CN609" s="0" t="s">
        <v>6657</v>
      </c>
      <c r="CO609" s="0" t="s">
        <v>240</v>
      </c>
      <c r="CP609" s="0" t="s">
        <v>240</v>
      </c>
      <c r="CQ609" s="0" t="s">
        <v>240</v>
      </c>
      <c r="CR609" s="0" t="s">
        <v>240</v>
      </c>
      <c r="CS609" s="0" t="s">
        <v>5666</v>
      </c>
      <c r="CT609" s="0" t="s">
        <v>5496</v>
      </c>
      <c r="CU609" s="0" t="s">
        <v>5497</v>
      </c>
      <c r="CV609" s="0" t="s">
        <v>443</v>
      </c>
      <c r="CW609" s="0" t="s">
        <v>5547</v>
      </c>
      <c r="CX609" s="0" t="s">
        <v>229</v>
      </c>
      <c r="CY609" s="0" t="s">
        <v>443</v>
      </c>
      <c r="CZ609" s="0" t="s">
        <v>5548</v>
      </c>
      <c r="DA609" s="0" t="s">
        <v>5549</v>
      </c>
      <c r="DB609" s="0" t="s">
        <v>5547</v>
      </c>
      <c r="DC609" s="0" t="s">
        <v>384</v>
      </c>
      <c r="DD609" s="0" t="s">
        <v>291</v>
      </c>
      <c r="DE609" s="0" t="s">
        <v>6658</v>
      </c>
    </row>
    <row customHeight="1" ht="11.25">
      <c r="A610" s="1441" t="s">
        <v>240</v>
      </c>
      <c r="B610" s="0" t="s">
        <v>240</v>
      </c>
      <c r="C610" s="0" t="s">
        <v>240</v>
      </c>
      <c r="D610" s="0" t="s">
        <v>240</v>
      </c>
      <c r="E610" s="0" t="s">
        <v>240</v>
      </c>
      <c r="F610" s="0" t="s">
        <v>240</v>
      </c>
      <c r="G610" s="0" t="s">
        <v>240</v>
      </c>
      <c r="H610" s="0" t="s">
        <v>240</v>
      </c>
      <c r="I610" s="0" t="s">
        <v>5484</v>
      </c>
      <c r="J610" s="0" t="s">
        <v>240</v>
      </c>
      <c r="K610" s="0" t="s">
        <v>240</v>
      </c>
      <c r="L610" s="0" t="s">
        <v>240</v>
      </c>
      <c r="M610" s="0" t="s">
        <v>240</v>
      </c>
      <c r="N610" s="0" t="s">
        <v>240</v>
      </c>
      <c r="O610" s="0" t="s">
        <v>240</v>
      </c>
      <c r="P610" s="0" t="s">
        <v>240</v>
      </c>
      <c r="Q610" s="0" t="s">
        <v>240</v>
      </c>
      <c r="R610" s="0" t="s">
        <v>5770</v>
      </c>
      <c r="S610" s="0" t="s">
        <v>240</v>
      </c>
      <c r="T610" s="0" t="s">
        <v>240</v>
      </c>
      <c r="U610" s="0" t="s">
        <v>102</v>
      </c>
      <c r="V610" s="0" t="s">
        <v>240</v>
      </c>
      <c r="W610" s="0" t="s">
        <v>240</v>
      </c>
      <c r="X610" s="0" t="s">
        <v>5485</v>
      </c>
      <c r="Y610" s="0" t="s">
        <v>240</v>
      </c>
      <c r="Z610" s="0" t="s">
        <v>161</v>
      </c>
      <c r="AA610" s="0" t="s">
        <v>152</v>
      </c>
      <c r="AB610" s="0" t="s">
        <v>152</v>
      </c>
      <c r="AC610" s="0" t="s">
        <v>2991</v>
      </c>
      <c r="AD610" s="0" t="s">
        <v>2991</v>
      </c>
      <c r="AE610" s="0" t="s">
        <v>2992</v>
      </c>
      <c r="AF610" s="0" t="s">
        <v>5749</v>
      </c>
      <c r="AG610" s="0" t="s">
        <v>5750</v>
      </c>
      <c r="AH610" s="0" t="s">
        <v>5767</v>
      </c>
      <c r="AI610" s="0" t="s">
        <v>5575</v>
      </c>
      <c r="AJ610" s="0" t="s">
        <v>5578</v>
      </c>
      <c r="AK610" s="0" t="s">
        <v>5545</v>
      </c>
      <c r="AL610" s="0" t="s">
        <v>5506</v>
      </c>
      <c r="AM610" s="0" t="s">
        <v>5493</v>
      </c>
      <c r="AN610" s="0" t="s">
        <v>5545</v>
      </c>
      <c r="AO610" s="0" t="s">
        <v>5768</v>
      </c>
      <c r="AP610" s="0" t="s">
        <v>240</v>
      </c>
      <c r="AQ610" s="0" t="s">
        <v>240</v>
      </c>
      <c r="AR610" s="0" t="s">
        <v>240</v>
      </c>
      <c r="AS610" s="0" t="s">
        <v>240</v>
      </c>
      <c r="AT610" s="0" t="s">
        <v>240</v>
      </c>
      <c r="AU610" s="0" t="s">
        <v>240</v>
      </c>
      <c r="AV610" s="0" t="s">
        <v>240</v>
      </c>
      <c r="AW610" s="0" t="s">
        <v>240</v>
      </c>
      <c r="AX610" s="0" t="s">
        <v>240</v>
      </c>
      <c r="AY610" s="0" t="s">
        <v>240</v>
      </c>
      <c r="AZ610" s="0" t="s">
        <v>240</v>
      </c>
      <c r="BA610" s="0" t="s">
        <v>240</v>
      </c>
      <c r="BB610" s="0" t="s">
        <v>240</v>
      </c>
      <c r="BC610" s="0" t="s">
        <v>240</v>
      </c>
      <c r="BD610" s="0" t="s">
        <v>240</v>
      </c>
      <c r="BE610" s="0" t="s">
        <v>240</v>
      </c>
      <c r="BF610" s="0" t="s">
        <v>240</v>
      </c>
      <c r="BG610" s="0" t="s">
        <v>240</v>
      </c>
      <c r="BH610" s="0" t="s">
        <v>240</v>
      </c>
      <c r="BI610" s="0" t="s">
        <v>240</v>
      </c>
      <c r="BJ610" s="0" t="s">
        <v>240</v>
      </c>
      <c r="BK610" s="0" t="s">
        <v>240</v>
      </c>
      <c r="BL610" s="0" t="s">
        <v>240</v>
      </c>
      <c r="BM610" s="0" t="s">
        <v>240</v>
      </c>
      <c r="BN610" s="0" t="s">
        <v>240</v>
      </c>
      <c r="BO610" s="0" t="s">
        <v>240</v>
      </c>
      <c r="BP610" s="0" t="s">
        <v>240</v>
      </c>
      <c r="BQ610" s="0" t="s">
        <v>240</v>
      </c>
      <c r="BR610" s="0" t="s">
        <v>240</v>
      </c>
      <c r="BS610" s="0" t="s">
        <v>240</v>
      </c>
      <c r="BT610" s="0" t="s">
        <v>240</v>
      </c>
      <c r="BU610" s="0" t="s">
        <v>240</v>
      </c>
      <c r="BV610" s="0" t="s">
        <v>240</v>
      </c>
      <c r="BW610" s="0" t="s">
        <v>240</v>
      </c>
      <c r="BX610" s="0" t="s">
        <v>240</v>
      </c>
      <c r="BY610" s="0" t="s">
        <v>240</v>
      </c>
      <c r="BZ610" s="0" t="s">
        <v>240</v>
      </c>
      <c r="CA610" s="0" t="s">
        <v>240</v>
      </c>
      <c r="CB610" s="0" t="s">
        <v>240</v>
      </c>
      <c r="CC610" s="0" t="s">
        <v>240</v>
      </c>
      <c r="CD610" s="0" t="s">
        <v>240</v>
      </c>
      <c r="CE610" s="0" t="s">
        <v>240</v>
      </c>
      <c r="CF610" s="0" t="s">
        <v>240</v>
      </c>
      <c r="CG610" s="0" t="s">
        <v>240</v>
      </c>
      <c r="CH610" s="0" t="s">
        <v>240</v>
      </c>
      <c r="CI610" s="0" t="s">
        <v>240</v>
      </c>
      <c r="CJ610" s="0" t="s">
        <v>240</v>
      </c>
      <c r="CK610" s="0" t="s">
        <v>240</v>
      </c>
      <c r="CL610" s="0" t="s">
        <v>240</v>
      </c>
      <c r="CM610" s="0" t="s">
        <v>240</v>
      </c>
      <c r="CN610" s="0" t="s">
        <v>240</v>
      </c>
      <c r="CO610" s="0" t="s">
        <v>240</v>
      </c>
      <c r="CP610" s="0" t="s">
        <v>240</v>
      </c>
      <c r="CQ610" s="0" t="s">
        <v>240</v>
      </c>
      <c r="CR610" s="0" t="s">
        <v>240</v>
      </c>
      <c r="CS610" s="0" t="s">
        <v>240</v>
      </c>
      <c r="CT610" s="0" t="s">
        <v>5496</v>
      </c>
      <c r="CU610" s="0" t="s">
        <v>5497</v>
      </c>
      <c r="CV610" s="0" t="s">
        <v>443</v>
      </c>
      <c r="CW610" s="0" t="s">
        <v>5547</v>
      </c>
      <c r="CX610" s="0" t="s">
        <v>229</v>
      </c>
      <c r="CY610" s="0" t="s">
        <v>443</v>
      </c>
      <c r="CZ610" s="0" t="s">
        <v>5548</v>
      </c>
      <c r="DA610" s="0" t="s">
        <v>5549</v>
      </c>
      <c r="DB610" s="0" t="s">
        <v>5547</v>
      </c>
      <c r="DC610" s="0" t="s">
        <v>384</v>
      </c>
      <c r="DD610" s="0" t="s">
        <v>291</v>
      </c>
      <c r="DE610" s="0" t="s">
        <v>5769</v>
      </c>
    </row>
    <row customHeight="1" ht="11.25">
      <c r="A611" s="1441" t="s">
        <v>240</v>
      </c>
      <c r="B611" s="0" t="s">
        <v>240</v>
      </c>
      <c r="C611" s="0" t="s">
        <v>240</v>
      </c>
      <c r="D611" s="0" t="s">
        <v>240</v>
      </c>
      <c r="E611" s="0" t="s">
        <v>240</v>
      </c>
      <c r="F611" s="0" t="s">
        <v>240</v>
      </c>
      <c r="G611" s="0" t="s">
        <v>240</v>
      </c>
      <c r="H611" s="0" t="s">
        <v>240</v>
      </c>
      <c r="I611" s="0" t="s">
        <v>5484</v>
      </c>
      <c r="J611" s="0" t="s">
        <v>240</v>
      </c>
      <c r="K611" s="0" t="s">
        <v>240</v>
      </c>
      <c r="L611" s="0" t="s">
        <v>240</v>
      </c>
      <c r="M611" s="0" t="s">
        <v>240</v>
      </c>
      <c r="N611" s="0" t="s">
        <v>240</v>
      </c>
      <c r="O611" s="0" t="s">
        <v>240</v>
      </c>
      <c r="P611" s="0" t="s">
        <v>240</v>
      </c>
      <c r="Q611" s="0" t="s">
        <v>240</v>
      </c>
      <c r="R611" s="0" t="s">
        <v>6400</v>
      </c>
      <c r="S611" s="0" t="s">
        <v>240</v>
      </c>
      <c r="T611" s="0" t="s">
        <v>240</v>
      </c>
      <c r="U611" s="0" t="s">
        <v>102</v>
      </c>
      <c r="V611" s="0" t="s">
        <v>240</v>
      </c>
      <c r="W611" s="0" t="s">
        <v>240</v>
      </c>
      <c r="X611" s="0" t="s">
        <v>5585</v>
      </c>
      <c r="Y611" s="0" t="s">
        <v>240</v>
      </c>
      <c r="Z611" s="0" t="s">
        <v>152</v>
      </c>
      <c r="AA611" s="0" t="s">
        <v>152</v>
      </c>
      <c r="AB611" s="0" t="s">
        <v>161</v>
      </c>
      <c r="AC611" s="0" t="s">
        <v>2989</v>
      </c>
      <c r="AD611" s="0" t="s">
        <v>2989</v>
      </c>
      <c r="AE611" s="0" t="s">
        <v>2990</v>
      </c>
      <c r="AF611" s="0" t="s">
        <v>6135</v>
      </c>
      <c r="AG611" s="0" t="s">
        <v>6136</v>
      </c>
      <c r="AH611" s="0" t="s">
        <v>5575</v>
      </c>
      <c r="AI611" s="0" t="s">
        <v>5575</v>
      </c>
      <c r="AJ611" s="0" t="s">
        <v>240</v>
      </c>
      <c r="AK611" s="0" t="s">
        <v>240</v>
      </c>
      <c r="AL611" s="0" t="s">
        <v>240</v>
      </c>
      <c r="AM611" s="0" t="s">
        <v>240</v>
      </c>
      <c r="AN611" s="0" t="s">
        <v>240</v>
      </c>
      <c r="AO611" s="0" t="s">
        <v>240</v>
      </c>
      <c r="AP611" s="0" t="s">
        <v>240</v>
      </c>
      <c r="AQ611" s="0" t="s">
        <v>240</v>
      </c>
      <c r="AR611" s="0" t="s">
        <v>240</v>
      </c>
      <c r="AS611" s="0" t="s">
        <v>240</v>
      </c>
      <c r="AT611" s="0" t="s">
        <v>240</v>
      </c>
      <c r="AU611" s="0" t="s">
        <v>240</v>
      </c>
      <c r="AV611" s="0" t="s">
        <v>240</v>
      </c>
      <c r="AW611" s="0" t="s">
        <v>240</v>
      </c>
      <c r="AX611" s="0" t="s">
        <v>240</v>
      </c>
      <c r="AY611" s="0" t="s">
        <v>240</v>
      </c>
      <c r="AZ611" s="0" t="s">
        <v>240</v>
      </c>
      <c r="BA611" s="0" t="s">
        <v>240</v>
      </c>
      <c r="BB611" s="0" t="s">
        <v>240</v>
      </c>
      <c r="BC611" s="0" t="s">
        <v>240</v>
      </c>
      <c r="BD611" s="0" t="s">
        <v>240</v>
      </c>
      <c r="BE611" s="0" t="s">
        <v>5992</v>
      </c>
      <c r="BF611" s="0" t="s">
        <v>6401</v>
      </c>
      <c r="BG611" s="0" t="s">
        <v>112</v>
      </c>
      <c r="BH611" s="0" t="s">
        <v>5589</v>
      </c>
      <c r="BI611" s="0" t="s">
        <v>123</v>
      </c>
      <c r="BJ611" s="0" t="s">
        <v>240</v>
      </c>
      <c r="BK611" s="0" t="s">
        <v>5608</v>
      </c>
      <c r="BL611" s="0" t="s">
        <v>2989</v>
      </c>
      <c r="BM611" s="0" t="s">
        <v>2989</v>
      </c>
      <c r="BN611" s="0" t="s">
        <v>5798</v>
      </c>
      <c r="BO611" s="0" t="s">
        <v>6135</v>
      </c>
      <c r="BP611" s="0" t="s">
        <v>6402</v>
      </c>
      <c r="BQ611" s="0" t="s">
        <v>5575</v>
      </c>
      <c r="BR611" s="0" t="s">
        <v>5575</v>
      </c>
      <c r="BS611" s="0" t="s">
        <v>240</v>
      </c>
      <c r="BT611" s="0" t="s">
        <v>5650</v>
      </c>
      <c r="BU611" s="0" t="s">
        <v>6403</v>
      </c>
      <c r="BV611" s="0" t="s">
        <v>6403</v>
      </c>
      <c r="BW611" s="0" t="s">
        <v>5598</v>
      </c>
      <c r="BX611" s="0" t="s">
        <v>5598</v>
      </c>
      <c r="BY611" s="0" t="s">
        <v>5598</v>
      </c>
      <c r="BZ611" s="0" t="s">
        <v>5598</v>
      </c>
      <c r="CA611" s="0" t="s">
        <v>5598</v>
      </c>
      <c r="CB611" s="0" t="s">
        <v>240</v>
      </c>
      <c r="CC611" s="0" t="s">
        <v>240</v>
      </c>
      <c r="CD611" s="0" t="s">
        <v>240</v>
      </c>
      <c r="CE611" s="0" t="s">
        <v>240</v>
      </c>
      <c r="CF611" s="0" t="s">
        <v>240</v>
      </c>
      <c r="CG611" s="0" t="s">
        <v>5598</v>
      </c>
      <c r="CH611" s="0" t="s">
        <v>240</v>
      </c>
      <c r="CI611" s="0" t="s">
        <v>240</v>
      </c>
      <c r="CJ611" s="0" t="s">
        <v>240</v>
      </c>
      <c r="CK611" s="0" t="s">
        <v>240</v>
      </c>
      <c r="CL611" s="0" t="s">
        <v>240</v>
      </c>
      <c r="CM611" s="0" t="s">
        <v>6403</v>
      </c>
      <c r="CN611" s="0" t="s">
        <v>6403</v>
      </c>
      <c r="CO611" s="0" t="s">
        <v>240</v>
      </c>
      <c r="CP611" s="0" t="s">
        <v>240</v>
      </c>
      <c r="CQ611" s="0" t="s">
        <v>240</v>
      </c>
      <c r="CR611" s="0" t="s">
        <v>240</v>
      </c>
      <c r="CS611" s="0" t="s">
        <v>5491</v>
      </c>
      <c r="CT611" s="0" t="s">
        <v>5496</v>
      </c>
      <c r="CU611" s="0" t="s">
        <v>5497</v>
      </c>
      <c r="CV611" s="0" t="s">
        <v>443</v>
      </c>
      <c r="CW611" s="0" t="s">
        <v>5580</v>
      </c>
      <c r="CX611" s="0" t="s">
        <v>229</v>
      </c>
      <c r="CY611" s="0" t="s">
        <v>443</v>
      </c>
      <c r="CZ611" s="0" t="s">
        <v>5581</v>
      </c>
      <c r="DA611" s="0" t="s">
        <v>5582</v>
      </c>
      <c r="DB611" s="0" t="s">
        <v>5580</v>
      </c>
      <c r="DC611" s="0" t="s">
        <v>384</v>
      </c>
      <c r="DD611" s="0" t="s">
        <v>291</v>
      </c>
      <c r="DE611" s="0" t="s">
        <v>6404</v>
      </c>
    </row>
    <row customHeight="1" ht="11.25">
      <c r="A612" s="1441" t="s">
        <v>240</v>
      </c>
      <c r="B612" s="0" t="s">
        <v>240</v>
      </c>
      <c r="C612" s="0" t="s">
        <v>240</v>
      </c>
      <c r="D612" s="0" t="s">
        <v>240</v>
      </c>
      <c r="E612" s="0" t="s">
        <v>240</v>
      </c>
      <c r="F612" s="0" t="s">
        <v>240</v>
      </c>
      <c r="G612" s="0" t="s">
        <v>240</v>
      </c>
      <c r="H612" s="0" t="s">
        <v>240</v>
      </c>
      <c r="I612" s="0" t="s">
        <v>5484</v>
      </c>
      <c r="J612" s="0" t="s">
        <v>240</v>
      </c>
      <c r="K612" s="0" t="s">
        <v>240</v>
      </c>
      <c r="L612" s="0" t="s">
        <v>240</v>
      </c>
      <c r="M612" s="0" t="s">
        <v>240</v>
      </c>
      <c r="N612" s="0" t="s">
        <v>240</v>
      </c>
      <c r="O612" s="0" t="s">
        <v>240</v>
      </c>
      <c r="P612" s="0" t="s">
        <v>240</v>
      </c>
      <c r="Q612" s="0" t="s">
        <v>240</v>
      </c>
      <c r="R612" s="0" t="s">
        <v>5572</v>
      </c>
      <c r="S612" s="0" t="s">
        <v>240</v>
      </c>
      <c r="T612" s="0" t="s">
        <v>240</v>
      </c>
      <c r="U612" s="0" t="s">
        <v>102</v>
      </c>
      <c r="V612" s="0" t="s">
        <v>240</v>
      </c>
      <c r="W612" s="0" t="s">
        <v>240</v>
      </c>
      <c r="X612" s="0" t="s">
        <v>5485</v>
      </c>
      <c r="Y612" s="0" t="s">
        <v>240</v>
      </c>
      <c r="Z612" s="0" t="s">
        <v>161</v>
      </c>
      <c r="AA612" s="0" t="s">
        <v>152</v>
      </c>
      <c r="AB612" s="0" t="s">
        <v>152</v>
      </c>
      <c r="AC612" s="0" t="s">
        <v>2989</v>
      </c>
      <c r="AD612" s="0" t="s">
        <v>2989</v>
      </c>
      <c r="AE612" s="0" t="s">
        <v>2990</v>
      </c>
      <c r="AF612" s="0" t="s">
        <v>6637</v>
      </c>
      <c r="AG612" s="0" t="s">
        <v>6638</v>
      </c>
      <c r="AH612" s="0" t="s">
        <v>6639</v>
      </c>
      <c r="AI612" s="0" t="s">
        <v>6640</v>
      </c>
      <c r="AJ612" s="0" t="s">
        <v>5576</v>
      </c>
      <c r="AK612" s="0" t="s">
        <v>6641</v>
      </c>
      <c r="AL612" s="0" t="s">
        <v>5506</v>
      </c>
      <c r="AM612" s="0" t="s">
        <v>5493</v>
      </c>
      <c r="AN612" s="0" t="s">
        <v>5578</v>
      </c>
      <c r="AO612" s="0" t="s">
        <v>5495</v>
      </c>
      <c r="AP612" s="0" t="s">
        <v>240</v>
      </c>
      <c r="AQ612" s="0" t="s">
        <v>240</v>
      </c>
      <c r="AR612" s="0" t="s">
        <v>240</v>
      </c>
      <c r="AS612" s="0" t="s">
        <v>240</v>
      </c>
      <c r="AT612" s="0" t="s">
        <v>240</v>
      </c>
      <c r="AU612" s="0" t="s">
        <v>240</v>
      </c>
      <c r="AV612" s="0" t="s">
        <v>240</v>
      </c>
      <c r="AW612" s="0" t="s">
        <v>240</v>
      </c>
      <c r="AX612" s="0" t="s">
        <v>240</v>
      </c>
      <c r="AY612" s="0" t="s">
        <v>240</v>
      </c>
      <c r="AZ612" s="0" t="s">
        <v>240</v>
      </c>
      <c r="BA612" s="0" t="s">
        <v>240</v>
      </c>
      <c r="BB612" s="0" t="s">
        <v>240</v>
      </c>
      <c r="BC612" s="0" t="s">
        <v>240</v>
      </c>
      <c r="BD612" s="0" t="s">
        <v>240</v>
      </c>
      <c r="BE612" s="0" t="s">
        <v>240</v>
      </c>
      <c r="BF612" s="0" t="s">
        <v>240</v>
      </c>
      <c r="BG612" s="0" t="s">
        <v>240</v>
      </c>
      <c r="BH612" s="0" t="s">
        <v>240</v>
      </c>
      <c r="BI612" s="0" t="s">
        <v>240</v>
      </c>
      <c r="BJ612" s="0" t="s">
        <v>240</v>
      </c>
      <c r="BK612" s="0" t="s">
        <v>240</v>
      </c>
      <c r="BL612" s="0" t="s">
        <v>240</v>
      </c>
      <c r="BM612" s="0" t="s">
        <v>240</v>
      </c>
      <c r="BN612" s="0" t="s">
        <v>240</v>
      </c>
      <c r="BO612" s="0" t="s">
        <v>240</v>
      </c>
      <c r="BP612" s="0" t="s">
        <v>240</v>
      </c>
      <c r="BQ612" s="0" t="s">
        <v>240</v>
      </c>
      <c r="BR612" s="0" t="s">
        <v>240</v>
      </c>
      <c r="BS612" s="0" t="s">
        <v>240</v>
      </c>
      <c r="BT612" s="0" t="s">
        <v>240</v>
      </c>
      <c r="BU612" s="0" t="s">
        <v>240</v>
      </c>
      <c r="BV612" s="0" t="s">
        <v>240</v>
      </c>
      <c r="BW612" s="0" t="s">
        <v>240</v>
      </c>
      <c r="BX612" s="0" t="s">
        <v>240</v>
      </c>
      <c r="BY612" s="0" t="s">
        <v>240</v>
      </c>
      <c r="BZ612" s="0" t="s">
        <v>240</v>
      </c>
      <c r="CA612" s="0" t="s">
        <v>240</v>
      </c>
      <c r="CB612" s="0" t="s">
        <v>240</v>
      </c>
      <c r="CC612" s="0" t="s">
        <v>240</v>
      </c>
      <c r="CD612" s="0" t="s">
        <v>240</v>
      </c>
      <c r="CE612" s="0" t="s">
        <v>240</v>
      </c>
      <c r="CF612" s="0" t="s">
        <v>240</v>
      </c>
      <c r="CG612" s="0" t="s">
        <v>240</v>
      </c>
      <c r="CH612" s="0" t="s">
        <v>240</v>
      </c>
      <c r="CI612" s="0" t="s">
        <v>240</v>
      </c>
      <c r="CJ612" s="0" t="s">
        <v>240</v>
      </c>
      <c r="CK612" s="0" t="s">
        <v>240</v>
      </c>
      <c r="CL612" s="0" t="s">
        <v>240</v>
      </c>
      <c r="CM612" s="0" t="s">
        <v>240</v>
      </c>
      <c r="CN612" s="0" t="s">
        <v>240</v>
      </c>
      <c r="CO612" s="0" t="s">
        <v>240</v>
      </c>
      <c r="CP612" s="0" t="s">
        <v>240</v>
      </c>
      <c r="CQ612" s="0" t="s">
        <v>240</v>
      </c>
      <c r="CR612" s="0" t="s">
        <v>240</v>
      </c>
      <c r="CS612" s="0" t="s">
        <v>240</v>
      </c>
      <c r="CT612" s="0" t="s">
        <v>5496</v>
      </c>
      <c r="CU612" s="0" t="s">
        <v>5497</v>
      </c>
      <c r="CV612" s="0" t="s">
        <v>443</v>
      </c>
      <c r="CW612" s="0" t="s">
        <v>5580</v>
      </c>
      <c r="CX612" s="0" t="s">
        <v>229</v>
      </c>
      <c r="CY612" s="0" t="s">
        <v>443</v>
      </c>
      <c r="CZ612" s="0" t="s">
        <v>5581</v>
      </c>
      <c r="DA612" s="0" t="s">
        <v>5582</v>
      </c>
      <c r="DB612" s="0" t="s">
        <v>5580</v>
      </c>
      <c r="DC612" s="0" t="s">
        <v>384</v>
      </c>
      <c r="DD612" s="0" t="s">
        <v>291</v>
      </c>
      <c r="DE612" s="0" t="s">
        <v>6642</v>
      </c>
    </row>
    <row customHeight="1" ht="11.25">
      <c r="A613" s="1441" t="s">
        <v>240</v>
      </c>
      <c r="B613" s="0" t="s">
        <v>240</v>
      </c>
      <c r="C613" s="0" t="s">
        <v>240</v>
      </c>
      <c r="D613" s="0" t="s">
        <v>240</v>
      </c>
      <c r="E613" s="0" t="s">
        <v>240</v>
      </c>
      <c r="F613" s="0" t="s">
        <v>240</v>
      </c>
      <c r="G613" s="0" t="s">
        <v>240</v>
      </c>
      <c r="H613" s="0" t="s">
        <v>240</v>
      </c>
      <c r="I613" s="0" t="s">
        <v>5484</v>
      </c>
      <c r="J613" s="0" t="s">
        <v>240</v>
      </c>
      <c r="K613" s="0" t="s">
        <v>240</v>
      </c>
      <c r="L613" s="0" t="s">
        <v>240</v>
      </c>
      <c r="M613" s="0" t="s">
        <v>240</v>
      </c>
      <c r="N613" s="0" t="s">
        <v>240</v>
      </c>
      <c r="O613" s="0" t="s">
        <v>240</v>
      </c>
      <c r="P613" s="0" t="s">
        <v>240</v>
      </c>
      <c r="Q613" s="0" t="s">
        <v>240</v>
      </c>
      <c r="R613" s="0" t="s">
        <v>6663</v>
      </c>
      <c r="S613" s="0" t="s">
        <v>240</v>
      </c>
      <c r="T613" s="0" t="s">
        <v>240</v>
      </c>
      <c r="U613" s="0" t="s">
        <v>102</v>
      </c>
      <c r="V613" s="0" t="s">
        <v>240</v>
      </c>
      <c r="W613" s="0" t="s">
        <v>240</v>
      </c>
      <c r="X613" s="0" t="s">
        <v>5585</v>
      </c>
      <c r="Y613" s="0" t="s">
        <v>240</v>
      </c>
      <c r="Z613" s="0" t="s">
        <v>152</v>
      </c>
      <c r="AA613" s="0" t="s">
        <v>152</v>
      </c>
      <c r="AB613" s="0" t="s">
        <v>161</v>
      </c>
      <c r="AC613" s="0" t="s">
        <v>2989</v>
      </c>
      <c r="AD613" s="0" t="s">
        <v>2989</v>
      </c>
      <c r="AE613" s="0" t="s">
        <v>2990</v>
      </c>
      <c r="AF613" s="0" t="s">
        <v>6637</v>
      </c>
      <c r="AG613" s="0" t="s">
        <v>6638</v>
      </c>
      <c r="AH613" s="0" t="s">
        <v>5575</v>
      </c>
      <c r="AI613" s="0" t="s">
        <v>5575</v>
      </c>
      <c r="AJ613" s="0" t="s">
        <v>240</v>
      </c>
      <c r="AK613" s="0" t="s">
        <v>240</v>
      </c>
      <c r="AL613" s="0" t="s">
        <v>240</v>
      </c>
      <c r="AM613" s="0" t="s">
        <v>240</v>
      </c>
      <c r="AN613" s="0" t="s">
        <v>240</v>
      </c>
      <c r="AO613" s="0" t="s">
        <v>240</v>
      </c>
      <c r="AP613" s="0" t="s">
        <v>240</v>
      </c>
      <c r="AQ613" s="0" t="s">
        <v>240</v>
      </c>
      <c r="AR613" s="0" t="s">
        <v>240</v>
      </c>
      <c r="AS613" s="0" t="s">
        <v>240</v>
      </c>
      <c r="AT613" s="0" t="s">
        <v>240</v>
      </c>
      <c r="AU613" s="0" t="s">
        <v>240</v>
      </c>
      <c r="AV613" s="0" t="s">
        <v>240</v>
      </c>
      <c r="AW613" s="0" t="s">
        <v>240</v>
      </c>
      <c r="AX613" s="0" t="s">
        <v>240</v>
      </c>
      <c r="AY613" s="0" t="s">
        <v>240</v>
      </c>
      <c r="AZ613" s="0" t="s">
        <v>240</v>
      </c>
      <c r="BA613" s="0" t="s">
        <v>240</v>
      </c>
      <c r="BB613" s="0" t="s">
        <v>240</v>
      </c>
      <c r="BC613" s="0" t="s">
        <v>240</v>
      </c>
      <c r="BD613" s="0" t="s">
        <v>240</v>
      </c>
      <c r="BE613" s="0" t="s">
        <v>5576</v>
      </c>
      <c r="BF613" s="0" t="s">
        <v>6641</v>
      </c>
      <c r="BG613" s="0" t="s">
        <v>112</v>
      </c>
      <c r="BH613" s="0" t="s">
        <v>5589</v>
      </c>
      <c r="BI613" s="0" t="s">
        <v>123</v>
      </c>
      <c r="BJ613" s="0" t="s">
        <v>240</v>
      </c>
      <c r="BK613" s="0" t="s">
        <v>5608</v>
      </c>
      <c r="BL613" s="0" t="s">
        <v>2989</v>
      </c>
      <c r="BM613" s="0" t="s">
        <v>2989</v>
      </c>
      <c r="BN613" s="0" t="s">
        <v>5798</v>
      </c>
      <c r="BO613" s="0" t="s">
        <v>6637</v>
      </c>
      <c r="BP613" s="0" t="s">
        <v>6664</v>
      </c>
      <c r="BQ613" s="0" t="s">
        <v>5575</v>
      </c>
      <c r="BR613" s="0" t="s">
        <v>5575</v>
      </c>
      <c r="BS613" s="0" t="s">
        <v>240</v>
      </c>
      <c r="BT613" s="0" t="s">
        <v>5650</v>
      </c>
      <c r="BU613" s="0" t="s">
        <v>6665</v>
      </c>
      <c r="BV613" s="0" t="s">
        <v>6665</v>
      </c>
      <c r="BW613" s="0" t="s">
        <v>5598</v>
      </c>
      <c r="BX613" s="0" t="s">
        <v>5598</v>
      </c>
      <c r="BY613" s="0" t="s">
        <v>5598</v>
      </c>
      <c r="BZ613" s="0" t="s">
        <v>5598</v>
      </c>
      <c r="CA613" s="0" t="s">
        <v>5598</v>
      </c>
      <c r="CB613" s="0" t="s">
        <v>240</v>
      </c>
      <c r="CC613" s="0" t="s">
        <v>240</v>
      </c>
      <c r="CD613" s="0" t="s">
        <v>240</v>
      </c>
      <c r="CE613" s="0" t="s">
        <v>240</v>
      </c>
      <c r="CF613" s="0" t="s">
        <v>240</v>
      </c>
      <c r="CG613" s="0" t="s">
        <v>5598</v>
      </c>
      <c r="CH613" s="0" t="s">
        <v>240</v>
      </c>
      <c r="CI613" s="0" t="s">
        <v>240</v>
      </c>
      <c r="CJ613" s="0" t="s">
        <v>240</v>
      </c>
      <c r="CK613" s="0" t="s">
        <v>240</v>
      </c>
      <c r="CL613" s="0" t="s">
        <v>240</v>
      </c>
      <c r="CM613" s="0" t="s">
        <v>6665</v>
      </c>
      <c r="CN613" s="0" t="s">
        <v>6665</v>
      </c>
      <c r="CO613" s="0" t="s">
        <v>240</v>
      </c>
      <c r="CP613" s="0" t="s">
        <v>240</v>
      </c>
      <c r="CQ613" s="0" t="s">
        <v>240</v>
      </c>
      <c r="CR613" s="0" t="s">
        <v>240</v>
      </c>
      <c r="CS613" s="0" t="s">
        <v>5553</v>
      </c>
      <c r="CT613" s="0" t="s">
        <v>5496</v>
      </c>
      <c r="CU613" s="0" t="s">
        <v>5497</v>
      </c>
      <c r="CV613" s="0" t="s">
        <v>443</v>
      </c>
      <c r="CW613" s="0" t="s">
        <v>5580</v>
      </c>
      <c r="CX613" s="0" t="s">
        <v>229</v>
      </c>
      <c r="CY613" s="0" t="s">
        <v>443</v>
      </c>
      <c r="CZ613" s="0" t="s">
        <v>5581</v>
      </c>
      <c r="DA613" s="0" t="s">
        <v>5582</v>
      </c>
      <c r="DB613" s="0" t="s">
        <v>5580</v>
      </c>
      <c r="DC613" s="0" t="s">
        <v>384</v>
      </c>
      <c r="DD613" s="0" t="s">
        <v>291</v>
      </c>
      <c r="DE613" s="0" t="s">
        <v>6666</v>
      </c>
    </row>
    <row customHeight="1" ht="11.25">
      <c r="A614" s="1441" t="s">
        <v>240</v>
      </c>
      <c r="B614" s="0" t="s">
        <v>240</v>
      </c>
      <c r="C614" s="0" t="s">
        <v>240</v>
      </c>
      <c r="D614" s="0" t="s">
        <v>240</v>
      </c>
      <c r="E614" s="0" t="s">
        <v>240</v>
      </c>
      <c r="F614" s="0" t="s">
        <v>240</v>
      </c>
      <c r="G614" s="0" t="s">
        <v>240</v>
      </c>
      <c r="H614" s="0" t="s">
        <v>240</v>
      </c>
      <c r="I614" s="0" t="s">
        <v>5484</v>
      </c>
      <c r="J614" s="0" t="s">
        <v>240</v>
      </c>
      <c r="K614" s="0" t="s">
        <v>240</v>
      </c>
      <c r="L614" s="0" t="s">
        <v>240</v>
      </c>
      <c r="M614" s="0" t="s">
        <v>240</v>
      </c>
      <c r="N614" s="0" t="s">
        <v>240</v>
      </c>
      <c r="O614" s="0" t="s">
        <v>240</v>
      </c>
      <c r="P614" s="0" t="s">
        <v>240</v>
      </c>
      <c r="Q614" s="0" t="s">
        <v>240</v>
      </c>
      <c r="R614" s="0" t="s">
        <v>464</v>
      </c>
      <c r="S614" s="0" t="s">
        <v>240</v>
      </c>
      <c r="T614" s="0" t="s">
        <v>240</v>
      </c>
      <c r="U614" s="0" t="s">
        <v>102</v>
      </c>
      <c r="V614" s="0" t="s">
        <v>240</v>
      </c>
      <c r="W614" s="0" t="s">
        <v>240</v>
      </c>
      <c r="X614" s="0" t="s">
        <v>5485</v>
      </c>
      <c r="Y614" s="0" t="s">
        <v>240</v>
      </c>
      <c r="Z614" s="0" t="s">
        <v>161</v>
      </c>
      <c r="AA614" s="0" t="s">
        <v>152</v>
      </c>
      <c r="AB614" s="0" t="s">
        <v>152</v>
      </c>
      <c r="AC614" s="0" t="s">
        <v>364</v>
      </c>
      <c r="AD614" s="0" t="s">
        <v>364</v>
      </c>
      <c r="AE614" s="0" t="s">
        <v>365</v>
      </c>
      <c r="AF614" s="0" t="s">
        <v>5486</v>
      </c>
      <c r="AG614" s="0" t="s">
        <v>5487</v>
      </c>
      <c r="AH614" s="0" t="s">
        <v>6913</v>
      </c>
      <c r="AI614" s="0" t="s">
        <v>478</v>
      </c>
      <c r="AJ614" s="0" t="s">
        <v>6914</v>
      </c>
      <c r="AK614" s="0" t="s">
        <v>6519</v>
      </c>
      <c r="AL614" s="0" t="s">
        <v>5492</v>
      </c>
      <c r="AM614" s="0" t="s">
        <v>5493</v>
      </c>
      <c r="AN614" s="0" t="s">
        <v>5822</v>
      </c>
      <c r="AO614" s="0" t="s">
        <v>5777</v>
      </c>
      <c r="AP614" s="0" t="s">
        <v>240</v>
      </c>
      <c r="AQ614" s="0" t="s">
        <v>240</v>
      </c>
      <c r="AR614" s="0" t="s">
        <v>240</v>
      </c>
      <c r="AS614" s="0" t="s">
        <v>240</v>
      </c>
      <c r="AT614" s="0" t="s">
        <v>240</v>
      </c>
      <c r="AU614" s="0" t="s">
        <v>240</v>
      </c>
      <c r="AV614" s="0" t="s">
        <v>240</v>
      </c>
      <c r="AW614" s="0" t="s">
        <v>240</v>
      </c>
      <c r="AX614" s="0" t="s">
        <v>240</v>
      </c>
      <c r="AY614" s="0" t="s">
        <v>240</v>
      </c>
      <c r="AZ614" s="0" t="s">
        <v>240</v>
      </c>
      <c r="BA614" s="0" t="s">
        <v>240</v>
      </c>
      <c r="BB614" s="0" t="s">
        <v>240</v>
      </c>
      <c r="BC614" s="0" t="s">
        <v>240</v>
      </c>
      <c r="BD614" s="0" t="s">
        <v>240</v>
      </c>
      <c r="BE614" s="0" t="s">
        <v>240</v>
      </c>
      <c r="BF614" s="0" t="s">
        <v>240</v>
      </c>
      <c r="BG614" s="0" t="s">
        <v>240</v>
      </c>
      <c r="BH614" s="0" t="s">
        <v>240</v>
      </c>
      <c r="BI614" s="0" t="s">
        <v>240</v>
      </c>
      <c r="BJ614" s="0" t="s">
        <v>240</v>
      </c>
      <c r="BK614" s="0" t="s">
        <v>240</v>
      </c>
      <c r="BL614" s="0" t="s">
        <v>240</v>
      </c>
      <c r="BM614" s="0" t="s">
        <v>240</v>
      </c>
      <c r="BN614" s="0" t="s">
        <v>240</v>
      </c>
      <c r="BO614" s="0" t="s">
        <v>240</v>
      </c>
      <c r="BP614" s="0" t="s">
        <v>240</v>
      </c>
      <c r="BQ614" s="0" t="s">
        <v>240</v>
      </c>
      <c r="BR614" s="0" t="s">
        <v>240</v>
      </c>
      <c r="BS614" s="0" t="s">
        <v>240</v>
      </c>
      <c r="BT614" s="0" t="s">
        <v>240</v>
      </c>
      <c r="BU614" s="0" t="s">
        <v>240</v>
      </c>
      <c r="BV614" s="0" t="s">
        <v>240</v>
      </c>
      <c r="BW614" s="0" t="s">
        <v>240</v>
      </c>
      <c r="BX614" s="0" t="s">
        <v>240</v>
      </c>
      <c r="BY614" s="0" t="s">
        <v>240</v>
      </c>
      <c r="BZ614" s="0" t="s">
        <v>240</v>
      </c>
      <c r="CA614" s="0" t="s">
        <v>240</v>
      </c>
      <c r="CB614" s="0" t="s">
        <v>240</v>
      </c>
      <c r="CC614" s="0" t="s">
        <v>240</v>
      </c>
      <c r="CD614" s="0" t="s">
        <v>240</v>
      </c>
      <c r="CE614" s="0" t="s">
        <v>240</v>
      </c>
      <c r="CF614" s="0" t="s">
        <v>240</v>
      </c>
      <c r="CG614" s="0" t="s">
        <v>240</v>
      </c>
      <c r="CH614" s="0" t="s">
        <v>240</v>
      </c>
      <c r="CI614" s="0" t="s">
        <v>240</v>
      </c>
      <c r="CJ614" s="0" t="s">
        <v>240</v>
      </c>
      <c r="CK614" s="0" t="s">
        <v>240</v>
      </c>
      <c r="CL614" s="0" t="s">
        <v>240</v>
      </c>
      <c r="CM614" s="0" t="s">
        <v>240</v>
      </c>
      <c r="CN614" s="0" t="s">
        <v>240</v>
      </c>
      <c r="CO614" s="0" t="s">
        <v>240</v>
      </c>
      <c r="CP614" s="0" t="s">
        <v>240</v>
      </c>
      <c r="CQ614" s="0" t="s">
        <v>240</v>
      </c>
      <c r="CR614" s="0" t="s">
        <v>240</v>
      </c>
      <c r="CS614" s="0" t="s">
        <v>240</v>
      </c>
      <c r="CT614" s="0" t="s">
        <v>5496</v>
      </c>
      <c r="CU614" s="0" t="s">
        <v>5497</v>
      </c>
      <c r="CV614" s="0" t="s">
        <v>443</v>
      </c>
      <c r="CW614" s="0" t="s">
        <v>5498</v>
      </c>
      <c r="CX614" s="0" t="s">
        <v>229</v>
      </c>
      <c r="CY614" s="0" t="s">
        <v>443</v>
      </c>
      <c r="CZ614" s="0" t="s">
        <v>230</v>
      </c>
      <c r="DA614" s="0" t="s">
        <v>444</v>
      </c>
      <c r="DB614" s="0" t="s">
        <v>5498</v>
      </c>
      <c r="DC614" s="0" t="s">
        <v>384</v>
      </c>
      <c r="DD614" s="0" t="s">
        <v>291</v>
      </c>
      <c r="DE614" s="0" t="s">
        <v>465</v>
      </c>
    </row>
    <row customHeight="1" ht="11.25">
      <c r="A615" s="1441" t="s">
        <v>240</v>
      </c>
      <c r="B615" s="0" t="s">
        <v>240</v>
      </c>
      <c r="C615" s="0" t="s">
        <v>240</v>
      </c>
      <c r="D615" s="0" t="s">
        <v>240</v>
      </c>
      <c r="E615" s="0" t="s">
        <v>240</v>
      </c>
      <c r="F615" s="0" t="s">
        <v>240</v>
      </c>
      <c r="G615" s="0" t="s">
        <v>240</v>
      </c>
      <c r="H615" s="0" t="s">
        <v>240</v>
      </c>
      <c r="I615" s="0" t="s">
        <v>5484</v>
      </c>
      <c r="J615" s="0" t="s">
        <v>240</v>
      </c>
      <c r="K615" s="0" t="s">
        <v>240</v>
      </c>
      <c r="L615" s="0" t="s">
        <v>240</v>
      </c>
      <c r="M615" s="0" t="s">
        <v>240</v>
      </c>
      <c r="N615" s="0" t="s">
        <v>240</v>
      </c>
      <c r="O615" s="0" t="s">
        <v>240</v>
      </c>
      <c r="P615" s="0" t="s">
        <v>240</v>
      </c>
      <c r="Q615" s="0" t="s">
        <v>240</v>
      </c>
      <c r="R615" s="0" t="s">
        <v>455</v>
      </c>
      <c r="S615" s="0" t="s">
        <v>240</v>
      </c>
      <c r="T615" s="0" t="s">
        <v>240</v>
      </c>
      <c r="U615" s="0" t="s">
        <v>102</v>
      </c>
      <c r="V615" s="0" t="s">
        <v>240</v>
      </c>
      <c r="W615" s="0" t="s">
        <v>240</v>
      </c>
      <c r="X615" s="0" t="s">
        <v>5485</v>
      </c>
      <c r="Y615" s="0" t="s">
        <v>240</v>
      </c>
      <c r="Z615" s="0" t="s">
        <v>161</v>
      </c>
      <c r="AA615" s="0" t="s">
        <v>152</v>
      </c>
      <c r="AB615" s="0" t="s">
        <v>152</v>
      </c>
      <c r="AC615" s="0" t="s">
        <v>364</v>
      </c>
      <c r="AD615" s="0" t="s">
        <v>364</v>
      </c>
      <c r="AE615" s="0" t="s">
        <v>365</v>
      </c>
      <c r="AF615" s="0" t="s">
        <v>5486</v>
      </c>
      <c r="AG615" s="0" t="s">
        <v>5487</v>
      </c>
      <c r="AH615" s="0" t="s">
        <v>6915</v>
      </c>
      <c r="AI615" s="0" t="s">
        <v>6916</v>
      </c>
      <c r="AJ615" s="0" t="s">
        <v>6917</v>
      </c>
      <c r="AK615" s="0" t="s">
        <v>5490</v>
      </c>
      <c r="AL615" s="0" t="s">
        <v>5492</v>
      </c>
      <c r="AM615" s="0" t="s">
        <v>5493</v>
      </c>
      <c r="AN615" s="0" t="s">
        <v>5822</v>
      </c>
      <c r="AO615" s="0" t="s">
        <v>5877</v>
      </c>
      <c r="AP615" s="0" t="s">
        <v>240</v>
      </c>
      <c r="AQ615" s="0" t="s">
        <v>240</v>
      </c>
      <c r="AR615" s="0" t="s">
        <v>240</v>
      </c>
      <c r="AS615" s="0" t="s">
        <v>240</v>
      </c>
      <c r="AT615" s="0" t="s">
        <v>240</v>
      </c>
      <c r="AU615" s="0" t="s">
        <v>240</v>
      </c>
      <c r="AV615" s="0" t="s">
        <v>240</v>
      </c>
      <c r="AW615" s="0" t="s">
        <v>240</v>
      </c>
      <c r="AX615" s="0" t="s">
        <v>240</v>
      </c>
      <c r="AY615" s="0" t="s">
        <v>240</v>
      </c>
      <c r="AZ615" s="0" t="s">
        <v>240</v>
      </c>
      <c r="BA615" s="0" t="s">
        <v>240</v>
      </c>
      <c r="BB615" s="0" t="s">
        <v>240</v>
      </c>
      <c r="BC615" s="0" t="s">
        <v>240</v>
      </c>
      <c r="BD615" s="0" t="s">
        <v>240</v>
      </c>
      <c r="BE615" s="0" t="s">
        <v>240</v>
      </c>
      <c r="BF615" s="0" t="s">
        <v>240</v>
      </c>
      <c r="BG615" s="0" t="s">
        <v>240</v>
      </c>
      <c r="BH615" s="0" t="s">
        <v>240</v>
      </c>
      <c r="BI615" s="0" t="s">
        <v>240</v>
      </c>
      <c r="BJ615" s="0" t="s">
        <v>240</v>
      </c>
      <c r="BK615" s="0" t="s">
        <v>240</v>
      </c>
      <c r="BL615" s="0" t="s">
        <v>240</v>
      </c>
      <c r="BM615" s="0" t="s">
        <v>240</v>
      </c>
      <c r="BN615" s="0" t="s">
        <v>240</v>
      </c>
      <c r="BO615" s="0" t="s">
        <v>240</v>
      </c>
      <c r="BP615" s="0" t="s">
        <v>240</v>
      </c>
      <c r="BQ615" s="0" t="s">
        <v>240</v>
      </c>
      <c r="BR615" s="0" t="s">
        <v>240</v>
      </c>
      <c r="BS615" s="0" t="s">
        <v>240</v>
      </c>
      <c r="BT615" s="0" t="s">
        <v>240</v>
      </c>
      <c r="BU615" s="0" t="s">
        <v>240</v>
      </c>
      <c r="BV615" s="0" t="s">
        <v>240</v>
      </c>
      <c r="BW615" s="0" t="s">
        <v>240</v>
      </c>
      <c r="BX615" s="0" t="s">
        <v>240</v>
      </c>
      <c r="BY615" s="0" t="s">
        <v>240</v>
      </c>
      <c r="BZ615" s="0" t="s">
        <v>240</v>
      </c>
      <c r="CA615" s="0" t="s">
        <v>240</v>
      </c>
      <c r="CB615" s="0" t="s">
        <v>240</v>
      </c>
      <c r="CC615" s="0" t="s">
        <v>240</v>
      </c>
      <c r="CD615" s="0" t="s">
        <v>240</v>
      </c>
      <c r="CE615" s="0" t="s">
        <v>240</v>
      </c>
      <c r="CF615" s="0" t="s">
        <v>240</v>
      </c>
      <c r="CG615" s="0" t="s">
        <v>240</v>
      </c>
      <c r="CH615" s="0" t="s">
        <v>240</v>
      </c>
      <c r="CI615" s="0" t="s">
        <v>240</v>
      </c>
      <c r="CJ615" s="0" t="s">
        <v>240</v>
      </c>
      <c r="CK615" s="0" t="s">
        <v>240</v>
      </c>
      <c r="CL615" s="0" t="s">
        <v>240</v>
      </c>
      <c r="CM615" s="0" t="s">
        <v>240</v>
      </c>
      <c r="CN615" s="0" t="s">
        <v>240</v>
      </c>
      <c r="CO615" s="0" t="s">
        <v>240</v>
      </c>
      <c r="CP615" s="0" t="s">
        <v>240</v>
      </c>
      <c r="CQ615" s="0" t="s">
        <v>240</v>
      </c>
      <c r="CR615" s="0" t="s">
        <v>240</v>
      </c>
      <c r="CS615" s="0" t="s">
        <v>240</v>
      </c>
      <c r="CT615" s="0" t="s">
        <v>5496</v>
      </c>
      <c r="CU615" s="0" t="s">
        <v>5497</v>
      </c>
      <c r="CV615" s="0" t="s">
        <v>443</v>
      </c>
      <c r="CW615" s="0" t="s">
        <v>5498</v>
      </c>
      <c r="CX615" s="0" t="s">
        <v>229</v>
      </c>
      <c r="CY615" s="0" t="s">
        <v>443</v>
      </c>
      <c r="CZ615" s="0" t="s">
        <v>230</v>
      </c>
      <c r="DA615" s="0" t="s">
        <v>444</v>
      </c>
      <c r="DB615" s="0" t="s">
        <v>5498</v>
      </c>
      <c r="DC615" s="0" t="s">
        <v>384</v>
      </c>
      <c r="DD615" s="0" t="s">
        <v>291</v>
      </c>
      <c r="DE615" s="0" t="s">
        <v>456</v>
      </c>
    </row>
    <row customHeight="1" ht="11.25">
      <c r="A616" s="1441" t="s">
        <v>240</v>
      </c>
      <c r="B616" s="0" t="s">
        <v>240</v>
      </c>
      <c r="C616" s="0" t="s">
        <v>240</v>
      </c>
      <c r="D616" s="0" t="s">
        <v>240</v>
      </c>
      <c r="E616" s="0" t="s">
        <v>240</v>
      </c>
      <c r="F616" s="0" t="s">
        <v>240</v>
      </c>
      <c r="G616" s="0" t="s">
        <v>240</v>
      </c>
      <c r="H616" s="0" t="s">
        <v>240</v>
      </c>
      <c r="I616" s="0" t="s">
        <v>5484</v>
      </c>
      <c r="J616" s="0" t="s">
        <v>240</v>
      </c>
      <c r="K616" s="0" t="s">
        <v>240</v>
      </c>
      <c r="L616" s="0" t="s">
        <v>240</v>
      </c>
      <c r="M616" s="0" t="s">
        <v>240</v>
      </c>
      <c r="N616" s="0" t="s">
        <v>240</v>
      </c>
      <c r="O616" s="0" t="s">
        <v>240</v>
      </c>
      <c r="P616" s="0" t="s">
        <v>240</v>
      </c>
      <c r="Q616" s="0" t="s">
        <v>240</v>
      </c>
      <c r="R616" s="0" t="s">
        <v>5572</v>
      </c>
      <c r="S616" s="0" t="s">
        <v>240</v>
      </c>
      <c r="T616" s="0" t="s">
        <v>240</v>
      </c>
      <c r="U616" s="0" t="s">
        <v>102</v>
      </c>
      <c r="V616" s="0" t="s">
        <v>240</v>
      </c>
      <c r="W616" s="0" t="s">
        <v>240</v>
      </c>
      <c r="X616" s="0" t="s">
        <v>5485</v>
      </c>
      <c r="Y616" s="0" t="s">
        <v>240</v>
      </c>
      <c r="Z616" s="0" t="s">
        <v>161</v>
      </c>
      <c r="AA616" s="0" t="s">
        <v>152</v>
      </c>
      <c r="AB616" s="0" t="s">
        <v>152</v>
      </c>
      <c r="AC616" s="0" t="s">
        <v>2991</v>
      </c>
      <c r="AD616" s="0" t="s">
        <v>2991</v>
      </c>
      <c r="AE616" s="0" t="s">
        <v>2992</v>
      </c>
      <c r="AF616" s="0" t="s">
        <v>5749</v>
      </c>
      <c r="AG616" s="0" t="s">
        <v>5750</v>
      </c>
      <c r="AH616" s="0" t="s">
        <v>6080</v>
      </c>
      <c r="AI616" s="0" t="s">
        <v>5649</v>
      </c>
      <c r="AJ616" s="0" t="s">
        <v>5576</v>
      </c>
      <c r="AK616" s="0" t="s">
        <v>5544</v>
      </c>
      <c r="AL616" s="0" t="s">
        <v>5506</v>
      </c>
      <c r="AM616" s="0" t="s">
        <v>5493</v>
      </c>
      <c r="AN616" s="0" t="s">
        <v>5545</v>
      </c>
      <c r="AO616" s="0" t="s">
        <v>5619</v>
      </c>
      <c r="AP616" s="0" t="s">
        <v>240</v>
      </c>
      <c r="AQ616" s="0" t="s">
        <v>240</v>
      </c>
      <c r="AR616" s="0" t="s">
        <v>240</v>
      </c>
      <c r="AS616" s="0" t="s">
        <v>240</v>
      </c>
      <c r="AT616" s="0" t="s">
        <v>240</v>
      </c>
      <c r="AU616" s="0" t="s">
        <v>240</v>
      </c>
      <c r="AV616" s="0" t="s">
        <v>240</v>
      </c>
      <c r="AW616" s="0" t="s">
        <v>240</v>
      </c>
      <c r="AX616" s="0" t="s">
        <v>240</v>
      </c>
      <c r="AY616" s="0" t="s">
        <v>240</v>
      </c>
      <c r="AZ616" s="0" t="s">
        <v>240</v>
      </c>
      <c r="BA616" s="0" t="s">
        <v>240</v>
      </c>
      <c r="BB616" s="0" t="s">
        <v>240</v>
      </c>
      <c r="BC616" s="0" t="s">
        <v>240</v>
      </c>
      <c r="BD616" s="0" t="s">
        <v>240</v>
      </c>
      <c r="BE616" s="0" t="s">
        <v>240</v>
      </c>
      <c r="BF616" s="0" t="s">
        <v>240</v>
      </c>
      <c r="BG616" s="0" t="s">
        <v>240</v>
      </c>
      <c r="BH616" s="0" t="s">
        <v>240</v>
      </c>
      <c r="BI616" s="0" t="s">
        <v>240</v>
      </c>
      <c r="BJ616" s="0" t="s">
        <v>240</v>
      </c>
      <c r="BK616" s="0" t="s">
        <v>240</v>
      </c>
      <c r="BL616" s="0" t="s">
        <v>240</v>
      </c>
      <c r="BM616" s="0" t="s">
        <v>240</v>
      </c>
      <c r="BN616" s="0" t="s">
        <v>240</v>
      </c>
      <c r="BO616" s="0" t="s">
        <v>240</v>
      </c>
      <c r="BP616" s="0" t="s">
        <v>240</v>
      </c>
      <c r="BQ616" s="0" t="s">
        <v>240</v>
      </c>
      <c r="BR616" s="0" t="s">
        <v>240</v>
      </c>
      <c r="BS616" s="0" t="s">
        <v>240</v>
      </c>
      <c r="BT616" s="0" t="s">
        <v>240</v>
      </c>
      <c r="BU616" s="0" t="s">
        <v>240</v>
      </c>
      <c r="BV616" s="0" t="s">
        <v>240</v>
      </c>
      <c r="BW616" s="0" t="s">
        <v>240</v>
      </c>
      <c r="BX616" s="0" t="s">
        <v>240</v>
      </c>
      <c r="BY616" s="0" t="s">
        <v>240</v>
      </c>
      <c r="BZ616" s="0" t="s">
        <v>240</v>
      </c>
      <c r="CA616" s="0" t="s">
        <v>240</v>
      </c>
      <c r="CB616" s="0" t="s">
        <v>240</v>
      </c>
      <c r="CC616" s="0" t="s">
        <v>240</v>
      </c>
      <c r="CD616" s="0" t="s">
        <v>240</v>
      </c>
      <c r="CE616" s="0" t="s">
        <v>240</v>
      </c>
      <c r="CF616" s="0" t="s">
        <v>240</v>
      </c>
      <c r="CG616" s="0" t="s">
        <v>240</v>
      </c>
      <c r="CH616" s="0" t="s">
        <v>240</v>
      </c>
      <c r="CI616" s="0" t="s">
        <v>240</v>
      </c>
      <c r="CJ616" s="0" t="s">
        <v>240</v>
      </c>
      <c r="CK616" s="0" t="s">
        <v>240</v>
      </c>
      <c r="CL616" s="0" t="s">
        <v>240</v>
      </c>
      <c r="CM616" s="0" t="s">
        <v>240</v>
      </c>
      <c r="CN616" s="0" t="s">
        <v>240</v>
      </c>
      <c r="CO616" s="0" t="s">
        <v>240</v>
      </c>
      <c r="CP616" s="0" t="s">
        <v>240</v>
      </c>
      <c r="CQ616" s="0" t="s">
        <v>240</v>
      </c>
      <c r="CR616" s="0" t="s">
        <v>240</v>
      </c>
      <c r="CS616" s="0" t="s">
        <v>240</v>
      </c>
      <c r="CT616" s="0" t="s">
        <v>5496</v>
      </c>
      <c r="CU616" s="0" t="s">
        <v>5497</v>
      </c>
      <c r="CV616" s="0" t="s">
        <v>443</v>
      </c>
      <c r="CW616" s="0" t="s">
        <v>5547</v>
      </c>
      <c r="CX616" s="0" t="s">
        <v>229</v>
      </c>
      <c r="CY616" s="0" t="s">
        <v>443</v>
      </c>
      <c r="CZ616" s="0" t="s">
        <v>5548</v>
      </c>
      <c r="DA616" s="0" t="s">
        <v>5549</v>
      </c>
      <c r="DB616" s="0" t="s">
        <v>5547</v>
      </c>
      <c r="DC616" s="0" t="s">
        <v>384</v>
      </c>
      <c r="DD616" s="0" t="s">
        <v>291</v>
      </c>
      <c r="DE616" s="0" t="s">
        <v>6082</v>
      </c>
    </row>
    <row customHeight="1" ht="11.25">
      <c r="A617" s="1441" t="s">
        <v>240</v>
      </c>
      <c r="B617" s="0" t="s">
        <v>240</v>
      </c>
      <c r="C617" s="0" t="s">
        <v>240</v>
      </c>
      <c r="D617" s="0" t="s">
        <v>240</v>
      </c>
      <c r="E617" s="0" t="s">
        <v>240</v>
      </c>
      <c r="F617" s="0" t="s">
        <v>240</v>
      </c>
      <c r="G617" s="0" t="s">
        <v>240</v>
      </c>
      <c r="H617" s="0" t="s">
        <v>240</v>
      </c>
      <c r="I617" s="0" t="s">
        <v>5484</v>
      </c>
      <c r="J617" s="0" t="s">
        <v>240</v>
      </c>
      <c r="K617" s="0" t="s">
        <v>240</v>
      </c>
      <c r="L617" s="0" t="s">
        <v>240</v>
      </c>
      <c r="M617" s="0" t="s">
        <v>240</v>
      </c>
      <c r="N617" s="0" t="s">
        <v>240</v>
      </c>
      <c r="O617" s="0" t="s">
        <v>240</v>
      </c>
      <c r="P617" s="0" t="s">
        <v>240</v>
      </c>
      <c r="Q617" s="0" t="s">
        <v>240</v>
      </c>
      <c r="R617" s="0" t="s">
        <v>476</v>
      </c>
      <c r="S617" s="0" t="s">
        <v>240</v>
      </c>
      <c r="T617" s="0" t="s">
        <v>240</v>
      </c>
      <c r="U617" s="0" t="s">
        <v>102</v>
      </c>
      <c r="V617" s="0" t="s">
        <v>240</v>
      </c>
      <c r="W617" s="0" t="s">
        <v>240</v>
      </c>
      <c r="X617" s="0" t="s">
        <v>5485</v>
      </c>
      <c r="Y617" s="0" t="s">
        <v>240</v>
      </c>
      <c r="Z617" s="0" t="s">
        <v>161</v>
      </c>
      <c r="AA617" s="0" t="s">
        <v>152</v>
      </c>
      <c r="AB617" s="0" t="s">
        <v>152</v>
      </c>
      <c r="AC617" s="0" t="s">
        <v>364</v>
      </c>
      <c r="AD617" s="0" t="s">
        <v>364</v>
      </c>
      <c r="AE617" s="0" t="s">
        <v>365</v>
      </c>
      <c r="AF617" s="0" t="s">
        <v>5486</v>
      </c>
      <c r="AG617" s="0" t="s">
        <v>5487</v>
      </c>
      <c r="AH617" s="0" t="s">
        <v>5488</v>
      </c>
      <c r="AI617" s="0" t="s">
        <v>5489</v>
      </c>
      <c r="AJ617" s="0" t="s">
        <v>5490</v>
      </c>
      <c r="AK617" s="0" t="s">
        <v>5491</v>
      </c>
      <c r="AL617" s="0" t="s">
        <v>5492</v>
      </c>
      <c r="AM617" s="0" t="s">
        <v>5493</v>
      </c>
      <c r="AN617" s="0" t="s">
        <v>5494</v>
      </c>
      <c r="AO617" s="0" t="s">
        <v>5495</v>
      </c>
      <c r="AP617" s="0" t="s">
        <v>240</v>
      </c>
      <c r="AQ617" s="0" t="s">
        <v>240</v>
      </c>
      <c r="AR617" s="0" t="s">
        <v>240</v>
      </c>
      <c r="AS617" s="0" t="s">
        <v>240</v>
      </c>
      <c r="AT617" s="0" t="s">
        <v>240</v>
      </c>
      <c r="AU617" s="0" t="s">
        <v>240</v>
      </c>
      <c r="AV617" s="0" t="s">
        <v>240</v>
      </c>
      <c r="AW617" s="0" t="s">
        <v>240</v>
      </c>
      <c r="AX617" s="0" t="s">
        <v>240</v>
      </c>
      <c r="AY617" s="0" t="s">
        <v>240</v>
      </c>
      <c r="AZ617" s="0" t="s">
        <v>240</v>
      </c>
      <c r="BA617" s="0" t="s">
        <v>240</v>
      </c>
      <c r="BB617" s="0" t="s">
        <v>240</v>
      </c>
      <c r="BC617" s="0" t="s">
        <v>240</v>
      </c>
      <c r="BD617" s="0" t="s">
        <v>240</v>
      </c>
      <c r="BE617" s="0" t="s">
        <v>240</v>
      </c>
      <c r="BF617" s="0" t="s">
        <v>240</v>
      </c>
      <c r="BG617" s="0" t="s">
        <v>240</v>
      </c>
      <c r="BH617" s="0" t="s">
        <v>240</v>
      </c>
      <c r="BI617" s="0" t="s">
        <v>240</v>
      </c>
      <c r="BJ617" s="0" t="s">
        <v>240</v>
      </c>
      <c r="BK617" s="0" t="s">
        <v>240</v>
      </c>
      <c r="BL617" s="0" t="s">
        <v>240</v>
      </c>
      <c r="BM617" s="0" t="s">
        <v>240</v>
      </c>
      <c r="BN617" s="0" t="s">
        <v>240</v>
      </c>
      <c r="BO617" s="0" t="s">
        <v>240</v>
      </c>
      <c r="BP617" s="0" t="s">
        <v>240</v>
      </c>
      <c r="BQ617" s="0" t="s">
        <v>240</v>
      </c>
      <c r="BR617" s="0" t="s">
        <v>240</v>
      </c>
      <c r="BS617" s="0" t="s">
        <v>240</v>
      </c>
      <c r="BT617" s="0" t="s">
        <v>240</v>
      </c>
      <c r="BU617" s="0" t="s">
        <v>240</v>
      </c>
      <c r="BV617" s="0" t="s">
        <v>240</v>
      </c>
      <c r="BW617" s="0" t="s">
        <v>240</v>
      </c>
      <c r="BX617" s="0" t="s">
        <v>240</v>
      </c>
      <c r="BY617" s="0" t="s">
        <v>240</v>
      </c>
      <c r="BZ617" s="0" t="s">
        <v>240</v>
      </c>
      <c r="CA617" s="0" t="s">
        <v>240</v>
      </c>
      <c r="CB617" s="0" t="s">
        <v>240</v>
      </c>
      <c r="CC617" s="0" t="s">
        <v>240</v>
      </c>
      <c r="CD617" s="0" t="s">
        <v>240</v>
      </c>
      <c r="CE617" s="0" t="s">
        <v>240</v>
      </c>
      <c r="CF617" s="0" t="s">
        <v>240</v>
      </c>
      <c r="CG617" s="0" t="s">
        <v>240</v>
      </c>
      <c r="CH617" s="0" t="s">
        <v>240</v>
      </c>
      <c r="CI617" s="0" t="s">
        <v>240</v>
      </c>
      <c r="CJ617" s="0" t="s">
        <v>240</v>
      </c>
      <c r="CK617" s="0" t="s">
        <v>240</v>
      </c>
      <c r="CL617" s="0" t="s">
        <v>240</v>
      </c>
      <c r="CM617" s="0" t="s">
        <v>240</v>
      </c>
      <c r="CN617" s="0" t="s">
        <v>240</v>
      </c>
      <c r="CO617" s="0" t="s">
        <v>240</v>
      </c>
      <c r="CP617" s="0" t="s">
        <v>240</v>
      </c>
      <c r="CQ617" s="0" t="s">
        <v>240</v>
      </c>
      <c r="CR617" s="0" t="s">
        <v>240</v>
      </c>
      <c r="CS617" s="0" t="s">
        <v>240</v>
      </c>
      <c r="CT617" s="0" t="s">
        <v>5496</v>
      </c>
      <c r="CU617" s="0" t="s">
        <v>5497</v>
      </c>
      <c r="CV617" s="0" t="s">
        <v>443</v>
      </c>
      <c r="CW617" s="0" t="s">
        <v>5498</v>
      </c>
      <c r="CX617" s="0" t="s">
        <v>229</v>
      </c>
      <c r="CY617" s="0" t="s">
        <v>443</v>
      </c>
      <c r="CZ617" s="0" t="s">
        <v>230</v>
      </c>
      <c r="DA617" s="0" t="s">
        <v>444</v>
      </c>
      <c r="DB617" s="0" t="s">
        <v>5498</v>
      </c>
      <c r="DC617" s="0" t="s">
        <v>384</v>
      </c>
      <c r="DD617" s="0" t="s">
        <v>291</v>
      </c>
      <c r="DE617" s="0" t="s">
        <v>477</v>
      </c>
    </row>
    <row customHeight="1" ht="11.25">
      <c r="A618" s="1441" t="s">
        <v>240</v>
      </c>
      <c r="B618" s="0" t="s">
        <v>240</v>
      </c>
      <c r="C618" s="0" t="s">
        <v>240</v>
      </c>
      <c r="D618" s="0" t="s">
        <v>240</v>
      </c>
      <c r="E618" s="0" t="s">
        <v>240</v>
      </c>
      <c r="F618" s="0" t="s">
        <v>240</v>
      </c>
      <c r="G618" s="0" t="s">
        <v>240</v>
      </c>
      <c r="H618" s="0" t="s">
        <v>240</v>
      </c>
      <c r="I618" s="0" t="s">
        <v>5484</v>
      </c>
      <c r="J618" s="0" t="s">
        <v>240</v>
      </c>
      <c r="K618" s="0" t="s">
        <v>240</v>
      </c>
      <c r="L618" s="0" t="s">
        <v>240</v>
      </c>
      <c r="M618" s="0" t="s">
        <v>240</v>
      </c>
      <c r="N618" s="0" t="s">
        <v>240</v>
      </c>
      <c r="O618" s="0" t="s">
        <v>240</v>
      </c>
      <c r="P618" s="0" t="s">
        <v>240</v>
      </c>
      <c r="Q618" s="0" t="s">
        <v>240</v>
      </c>
      <c r="R618" s="0" t="s">
        <v>461</v>
      </c>
      <c r="S618" s="0" t="s">
        <v>240</v>
      </c>
      <c r="T618" s="0" t="s">
        <v>240</v>
      </c>
      <c r="U618" s="0" t="s">
        <v>102</v>
      </c>
      <c r="V618" s="0" t="s">
        <v>240</v>
      </c>
      <c r="W618" s="0" t="s">
        <v>240</v>
      </c>
      <c r="X618" s="0" t="s">
        <v>5485</v>
      </c>
      <c r="Y618" s="0" t="s">
        <v>240</v>
      </c>
      <c r="Z618" s="0" t="s">
        <v>161</v>
      </c>
      <c r="AA618" s="0" t="s">
        <v>152</v>
      </c>
      <c r="AB618" s="0" t="s">
        <v>152</v>
      </c>
      <c r="AC618" s="0" t="s">
        <v>364</v>
      </c>
      <c r="AD618" s="0" t="s">
        <v>364</v>
      </c>
      <c r="AE618" s="0" t="s">
        <v>365</v>
      </c>
      <c r="AF618" s="0" t="s">
        <v>5486</v>
      </c>
      <c r="AG618" s="0" t="s">
        <v>5487</v>
      </c>
      <c r="AH618" s="0" t="s">
        <v>5819</v>
      </c>
      <c r="AI618" s="0" t="s">
        <v>5820</v>
      </c>
      <c r="AJ618" s="0" t="s">
        <v>5545</v>
      </c>
      <c r="AK618" s="0" t="s">
        <v>5821</v>
      </c>
      <c r="AL618" s="0" t="s">
        <v>5605</v>
      </c>
      <c r="AM618" s="0" t="s">
        <v>5493</v>
      </c>
      <c r="AN618" s="0" t="s">
        <v>5822</v>
      </c>
      <c r="AO618" s="0" t="s">
        <v>5823</v>
      </c>
      <c r="AP618" s="0" t="s">
        <v>240</v>
      </c>
      <c r="AQ618" s="0" t="s">
        <v>240</v>
      </c>
      <c r="AR618" s="0" t="s">
        <v>240</v>
      </c>
      <c r="AS618" s="0" t="s">
        <v>240</v>
      </c>
      <c r="AT618" s="0" t="s">
        <v>240</v>
      </c>
      <c r="AU618" s="0" t="s">
        <v>240</v>
      </c>
      <c r="AV618" s="0" t="s">
        <v>240</v>
      </c>
      <c r="AW618" s="0" t="s">
        <v>240</v>
      </c>
      <c r="AX618" s="0" t="s">
        <v>240</v>
      </c>
      <c r="AY618" s="0" t="s">
        <v>240</v>
      </c>
      <c r="AZ618" s="0" t="s">
        <v>240</v>
      </c>
      <c r="BA618" s="0" t="s">
        <v>240</v>
      </c>
      <c r="BB618" s="0" t="s">
        <v>240</v>
      </c>
      <c r="BC618" s="0" t="s">
        <v>240</v>
      </c>
      <c r="BD618" s="0" t="s">
        <v>240</v>
      </c>
      <c r="BE618" s="0" t="s">
        <v>240</v>
      </c>
      <c r="BF618" s="0" t="s">
        <v>240</v>
      </c>
      <c r="BG618" s="0" t="s">
        <v>240</v>
      </c>
      <c r="BH618" s="0" t="s">
        <v>240</v>
      </c>
      <c r="BI618" s="0" t="s">
        <v>240</v>
      </c>
      <c r="BJ618" s="0" t="s">
        <v>240</v>
      </c>
      <c r="BK618" s="0" t="s">
        <v>240</v>
      </c>
      <c r="BL618" s="0" t="s">
        <v>240</v>
      </c>
      <c r="BM618" s="0" t="s">
        <v>240</v>
      </c>
      <c r="BN618" s="0" t="s">
        <v>240</v>
      </c>
      <c r="BO618" s="0" t="s">
        <v>240</v>
      </c>
      <c r="BP618" s="0" t="s">
        <v>240</v>
      </c>
      <c r="BQ618" s="0" t="s">
        <v>240</v>
      </c>
      <c r="BR618" s="0" t="s">
        <v>240</v>
      </c>
      <c r="BS618" s="0" t="s">
        <v>240</v>
      </c>
      <c r="BT618" s="0" t="s">
        <v>240</v>
      </c>
      <c r="BU618" s="0" t="s">
        <v>240</v>
      </c>
      <c r="BV618" s="0" t="s">
        <v>240</v>
      </c>
      <c r="BW618" s="0" t="s">
        <v>240</v>
      </c>
      <c r="BX618" s="0" t="s">
        <v>240</v>
      </c>
      <c r="BY618" s="0" t="s">
        <v>240</v>
      </c>
      <c r="BZ618" s="0" t="s">
        <v>240</v>
      </c>
      <c r="CA618" s="0" t="s">
        <v>240</v>
      </c>
      <c r="CB618" s="0" t="s">
        <v>240</v>
      </c>
      <c r="CC618" s="0" t="s">
        <v>240</v>
      </c>
      <c r="CD618" s="0" t="s">
        <v>240</v>
      </c>
      <c r="CE618" s="0" t="s">
        <v>240</v>
      </c>
      <c r="CF618" s="0" t="s">
        <v>240</v>
      </c>
      <c r="CG618" s="0" t="s">
        <v>240</v>
      </c>
      <c r="CH618" s="0" t="s">
        <v>240</v>
      </c>
      <c r="CI618" s="0" t="s">
        <v>240</v>
      </c>
      <c r="CJ618" s="0" t="s">
        <v>240</v>
      </c>
      <c r="CK618" s="0" t="s">
        <v>240</v>
      </c>
      <c r="CL618" s="0" t="s">
        <v>240</v>
      </c>
      <c r="CM618" s="0" t="s">
        <v>240</v>
      </c>
      <c r="CN618" s="0" t="s">
        <v>240</v>
      </c>
      <c r="CO618" s="0" t="s">
        <v>240</v>
      </c>
      <c r="CP618" s="0" t="s">
        <v>240</v>
      </c>
      <c r="CQ618" s="0" t="s">
        <v>240</v>
      </c>
      <c r="CR618" s="0" t="s">
        <v>240</v>
      </c>
      <c r="CS618" s="0" t="s">
        <v>240</v>
      </c>
      <c r="CT618" s="0" t="s">
        <v>5496</v>
      </c>
      <c r="CU618" s="0" t="s">
        <v>5497</v>
      </c>
      <c r="CV618" s="0" t="s">
        <v>443</v>
      </c>
      <c r="CW618" s="0" t="s">
        <v>5498</v>
      </c>
      <c r="CX618" s="0" t="s">
        <v>229</v>
      </c>
      <c r="CY618" s="0" t="s">
        <v>443</v>
      </c>
      <c r="CZ618" s="0" t="s">
        <v>230</v>
      </c>
      <c r="DA618" s="0" t="s">
        <v>444</v>
      </c>
      <c r="DB618" s="0" t="s">
        <v>5498</v>
      </c>
      <c r="DC618" s="0" t="s">
        <v>384</v>
      </c>
      <c r="DD618" s="0" t="s">
        <v>291</v>
      </c>
      <c r="DE618" s="0" t="s">
        <v>462</v>
      </c>
    </row>
    <row customHeight="1" ht="11.25">
      <c r="A619" s="1441" t="s">
        <v>240</v>
      </c>
      <c r="B619" s="0" t="s">
        <v>240</v>
      </c>
      <c r="C619" s="0" t="s">
        <v>240</v>
      </c>
      <c r="D619" s="0" t="s">
        <v>240</v>
      </c>
      <c r="E619" s="0" t="s">
        <v>240</v>
      </c>
      <c r="F619" s="0" t="s">
        <v>240</v>
      </c>
      <c r="G619" s="0" t="s">
        <v>240</v>
      </c>
      <c r="H619" s="0" t="s">
        <v>240</v>
      </c>
      <c r="I619" s="0" t="s">
        <v>5484</v>
      </c>
      <c r="J619" s="0" t="s">
        <v>240</v>
      </c>
      <c r="K619" s="0" t="s">
        <v>240</v>
      </c>
      <c r="L619" s="0" t="s">
        <v>240</v>
      </c>
      <c r="M619" s="0" t="s">
        <v>240</v>
      </c>
      <c r="N619" s="0" t="s">
        <v>240</v>
      </c>
      <c r="O619" s="0" t="s">
        <v>240</v>
      </c>
      <c r="P619" s="0" t="s">
        <v>240</v>
      </c>
      <c r="Q619" s="0" t="s">
        <v>240</v>
      </c>
      <c r="R619" s="0" t="s">
        <v>458</v>
      </c>
      <c r="S619" s="0" t="s">
        <v>240</v>
      </c>
      <c r="T619" s="0" t="s">
        <v>240</v>
      </c>
      <c r="U619" s="0" t="s">
        <v>102</v>
      </c>
      <c r="V619" s="0" t="s">
        <v>240</v>
      </c>
      <c r="W619" s="0" t="s">
        <v>240</v>
      </c>
      <c r="X619" s="0" t="s">
        <v>5485</v>
      </c>
      <c r="Y619" s="0" t="s">
        <v>240</v>
      </c>
      <c r="Z619" s="0" t="s">
        <v>161</v>
      </c>
      <c r="AA619" s="0" t="s">
        <v>152</v>
      </c>
      <c r="AB619" s="0" t="s">
        <v>152</v>
      </c>
      <c r="AC619" s="0" t="s">
        <v>364</v>
      </c>
      <c r="AD619" s="0" t="s">
        <v>364</v>
      </c>
      <c r="AE619" s="0" t="s">
        <v>365</v>
      </c>
      <c r="AF619" s="0" t="s">
        <v>5486</v>
      </c>
      <c r="AG619" s="0" t="s">
        <v>5487</v>
      </c>
      <c r="AH619" s="0" t="s">
        <v>5819</v>
      </c>
      <c r="AI619" s="0" t="s">
        <v>5899</v>
      </c>
      <c r="AJ619" s="0" t="s">
        <v>5545</v>
      </c>
      <c r="AK619" s="0" t="s">
        <v>5598</v>
      </c>
      <c r="AL619" s="0" t="s">
        <v>5605</v>
      </c>
      <c r="AM619" s="0" t="s">
        <v>5493</v>
      </c>
      <c r="AN619" s="0" t="s">
        <v>5507</v>
      </c>
      <c r="AO619" s="0" t="s">
        <v>5823</v>
      </c>
      <c r="AP619" s="0" t="s">
        <v>240</v>
      </c>
      <c r="AQ619" s="0" t="s">
        <v>240</v>
      </c>
      <c r="AR619" s="0" t="s">
        <v>240</v>
      </c>
      <c r="AS619" s="0" t="s">
        <v>240</v>
      </c>
      <c r="AT619" s="0" t="s">
        <v>240</v>
      </c>
      <c r="AU619" s="0" t="s">
        <v>240</v>
      </c>
      <c r="AV619" s="0" t="s">
        <v>240</v>
      </c>
      <c r="AW619" s="0" t="s">
        <v>240</v>
      </c>
      <c r="AX619" s="0" t="s">
        <v>240</v>
      </c>
      <c r="AY619" s="0" t="s">
        <v>240</v>
      </c>
      <c r="AZ619" s="0" t="s">
        <v>240</v>
      </c>
      <c r="BA619" s="0" t="s">
        <v>240</v>
      </c>
      <c r="BB619" s="0" t="s">
        <v>240</v>
      </c>
      <c r="BC619" s="0" t="s">
        <v>240</v>
      </c>
      <c r="BD619" s="0" t="s">
        <v>240</v>
      </c>
      <c r="BE619" s="0" t="s">
        <v>240</v>
      </c>
      <c r="BF619" s="0" t="s">
        <v>240</v>
      </c>
      <c r="BG619" s="0" t="s">
        <v>240</v>
      </c>
      <c r="BH619" s="0" t="s">
        <v>240</v>
      </c>
      <c r="BI619" s="0" t="s">
        <v>240</v>
      </c>
      <c r="BJ619" s="0" t="s">
        <v>240</v>
      </c>
      <c r="BK619" s="0" t="s">
        <v>240</v>
      </c>
      <c r="BL619" s="0" t="s">
        <v>240</v>
      </c>
      <c r="BM619" s="0" t="s">
        <v>240</v>
      </c>
      <c r="BN619" s="0" t="s">
        <v>240</v>
      </c>
      <c r="BO619" s="0" t="s">
        <v>240</v>
      </c>
      <c r="BP619" s="0" t="s">
        <v>240</v>
      </c>
      <c r="BQ619" s="0" t="s">
        <v>240</v>
      </c>
      <c r="BR619" s="0" t="s">
        <v>240</v>
      </c>
      <c r="BS619" s="0" t="s">
        <v>240</v>
      </c>
      <c r="BT619" s="0" t="s">
        <v>240</v>
      </c>
      <c r="BU619" s="0" t="s">
        <v>240</v>
      </c>
      <c r="BV619" s="0" t="s">
        <v>240</v>
      </c>
      <c r="BW619" s="0" t="s">
        <v>240</v>
      </c>
      <c r="BX619" s="0" t="s">
        <v>240</v>
      </c>
      <c r="BY619" s="0" t="s">
        <v>240</v>
      </c>
      <c r="BZ619" s="0" t="s">
        <v>240</v>
      </c>
      <c r="CA619" s="0" t="s">
        <v>240</v>
      </c>
      <c r="CB619" s="0" t="s">
        <v>240</v>
      </c>
      <c r="CC619" s="0" t="s">
        <v>240</v>
      </c>
      <c r="CD619" s="0" t="s">
        <v>240</v>
      </c>
      <c r="CE619" s="0" t="s">
        <v>240</v>
      </c>
      <c r="CF619" s="0" t="s">
        <v>240</v>
      </c>
      <c r="CG619" s="0" t="s">
        <v>240</v>
      </c>
      <c r="CH619" s="0" t="s">
        <v>240</v>
      </c>
      <c r="CI619" s="0" t="s">
        <v>240</v>
      </c>
      <c r="CJ619" s="0" t="s">
        <v>240</v>
      </c>
      <c r="CK619" s="0" t="s">
        <v>240</v>
      </c>
      <c r="CL619" s="0" t="s">
        <v>240</v>
      </c>
      <c r="CM619" s="0" t="s">
        <v>240</v>
      </c>
      <c r="CN619" s="0" t="s">
        <v>240</v>
      </c>
      <c r="CO619" s="0" t="s">
        <v>240</v>
      </c>
      <c r="CP619" s="0" t="s">
        <v>240</v>
      </c>
      <c r="CQ619" s="0" t="s">
        <v>240</v>
      </c>
      <c r="CR619" s="0" t="s">
        <v>240</v>
      </c>
      <c r="CS619" s="0" t="s">
        <v>240</v>
      </c>
      <c r="CT619" s="0" t="s">
        <v>5496</v>
      </c>
      <c r="CU619" s="0" t="s">
        <v>5497</v>
      </c>
      <c r="CV619" s="0" t="s">
        <v>443</v>
      </c>
      <c r="CW619" s="0" t="s">
        <v>5498</v>
      </c>
      <c r="CX619" s="0" t="s">
        <v>229</v>
      </c>
      <c r="CY619" s="0" t="s">
        <v>443</v>
      </c>
      <c r="CZ619" s="0" t="s">
        <v>230</v>
      </c>
      <c r="DA619" s="0" t="s">
        <v>444</v>
      </c>
      <c r="DB619" s="0" t="s">
        <v>5498</v>
      </c>
      <c r="DC619" s="0" t="s">
        <v>384</v>
      </c>
      <c r="DD619" s="0" t="s">
        <v>291</v>
      </c>
      <c r="DE619" s="0" t="s">
        <v>459</v>
      </c>
    </row>
    <row customHeight="1" ht="11.25">
      <c r="A620" s="1441" t="s">
        <v>240</v>
      </c>
      <c r="B620" s="0" t="s">
        <v>240</v>
      </c>
      <c r="C620" s="0" t="s">
        <v>240</v>
      </c>
      <c r="D620" s="0" t="s">
        <v>240</v>
      </c>
      <c r="E620" s="0" t="s">
        <v>240</v>
      </c>
      <c r="F620" s="0" t="s">
        <v>240</v>
      </c>
      <c r="G620" s="0" t="s">
        <v>240</v>
      </c>
      <c r="H620" s="0" t="s">
        <v>240</v>
      </c>
      <c r="I620" s="0" t="s">
        <v>5484</v>
      </c>
      <c r="J620" s="0" t="s">
        <v>240</v>
      </c>
      <c r="K620" s="0" t="s">
        <v>240</v>
      </c>
      <c r="L620" s="0" t="s">
        <v>240</v>
      </c>
      <c r="M620" s="0" t="s">
        <v>240</v>
      </c>
      <c r="N620" s="0" t="s">
        <v>240</v>
      </c>
      <c r="O620" s="0" t="s">
        <v>240</v>
      </c>
      <c r="P620" s="0" t="s">
        <v>240</v>
      </c>
      <c r="Q620" s="0" t="s">
        <v>240</v>
      </c>
      <c r="R620" s="0" t="s">
        <v>449</v>
      </c>
      <c r="S620" s="0" t="s">
        <v>240</v>
      </c>
      <c r="T620" s="0" t="s">
        <v>240</v>
      </c>
      <c r="U620" s="0" t="s">
        <v>102</v>
      </c>
      <c r="V620" s="0" t="s">
        <v>240</v>
      </c>
      <c r="W620" s="0" t="s">
        <v>240</v>
      </c>
      <c r="X620" s="0" t="s">
        <v>5585</v>
      </c>
      <c r="Y620" s="0" t="s">
        <v>240</v>
      </c>
      <c r="Z620" s="0" t="s">
        <v>152</v>
      </c>
      <c r="AA620" s="0" t="s">
        <v>152</v>
      </c>
      <c r="AB620" s="0" t="s">
        <v>161</v>
      </c>
      <c r="AC620" s="0" t="s">
        <v>2985</v>
      </c>
      <c r="AD620" s="0" t="s">
        <v>2985</v>
      </c>
      <c r="AE620" s="0" t="s">
        <v>2986</v>
      </c>
      <c r="AF620" s="0" t="s">
        <v>6614</v>
      </c>
      <c r="AG620" s="0" t="s">
        <v>6615</v>
      </c>
      <c r="AH620" s="0" t="s">
        <v>6325</v>
      </c>
      <c r="AI620" s="0" t="s">
        <v>6752</v>
      </c>
      <c r="AJ620" s="0" t="s">
        <v>240</v>
      </c>
      <c r="AK620" s="0" t="s">
        <v>240</v>
      </c>
      <c r="AL620" s="0" t="s">
        <v>240</v>
      </c>
      <c r="AM620" s="0" t="s">
        <v>240</v>
      </c>
      <c r="AN620" s="0" t="s">
        <v>240</v>
      </c>
      <c r="AO620" s="0" t="s">
        <v>240</v>
      </c>
      <c r="AP620" s="0" t="s">
        <v>240</v>
      </c>
      <c r="AQ620" s="0" t="s">
        <v>240</v>
      </c>
      <c r="AR620" s="0" t="s">
        <v>240</v>
      </c>
      <c r="AS620" s="0" t="s">
        <v>240</v>
      </c>
      <c r="AT620" s="0" t="s">
        <v>240</v>
      </c>
      <c r="AU620" s="0" t="s">
        <v>240</v>
      </c>
      <c r="AV620" s="0" t="s">
        <v>240</v>
      </c>
      <c r="AW620" s="0" t="s">
        <v>240</v>
      </c>
      <c r="AX620" s="0" t="s">
        <v>240</v>
      </c>
      <c r="AY620" s="0" t="s">
        <v>240</v>
      </c>
      <c r="AZ620" s="0" t="s">
        <v>240</v>
      </c>
      <c r="BA620" s="0" t="s">
        <v>240</v>
      </c>
      <c r="BB620" s="0" t="s">
        <v>240</v>
      </c>
      <c r="BC620" s="0" t="s">
        <v>240</v>
      </c>
      <c r="BD620" s="0" t="s">
        <v>240</v>
      </c>
      <c r="BE620" s="0" t="s">
        <v>5645</v>
      </c>
      <c r="BF620" s="0" t="s">
        <v>5645</v>
      </c>
      <c r="BG620" s="0" t="s">
        <v>112</v>
      </c>
      <c r="BH620" s="0" t="s">
        <v>5589</v>
      </c>
      <c r="BI620" s="0" t="s">
        <v>123</v>
      </c>
      <c r="BJ620" s="0" t="s">
        <v>240</v>
      </c>
      <c r="BK620" s="0" t="s">
        <v>5608</v>
      </c>
      <c r="BL620" s="0" t="s">
        <v>2985</v>
      </c>
      <c r="BM620" s="0" t="s">
        <v>2985</v>
      </c>
      <c r="BN620" s="0" t="s">
        <v>5646</v>
      </c>
      <c r="BO620" s="0" t="s">
        <v>6614</v>
      </c>
      <c r="BP620" s="0" t="s">
        <v>6753</v>
      </c>
      <c r="BQ620" s="0" t="s">
        <v>6328</v>
      </c>
      <c r="BR620" s="0" t="s">
        <v>6329</v>
      </c>
      <c r="BS620" s="0" t="s">
        <v>240</v>
      </c>
      <c r="BT620" s="0" t="s">
        <v>5650</v>
      </c>
      <c r="BU620" s="0" t="s">
        <v>6754</v>
      </c>
      <c r="BV620" s="0" t="s">
        <v>6754</v>
      </c>
      <c r="BW620" s="0" t="s">
        <v>5598</v>
      </c>
      <c r="BX620" s="0" t="s">
        <v>5598</v>
      </c>
      <c r="BY620" s="0" t="s">
        <v>5598</v>
      </c>
      <c r="BZ620" s="0" t="s">
        <v>5598</v>
      </c>
      <c r="CA620" s="0" t="s">
        <v>5598</v>
      </c>
      <c r="CB620" s="0" t="s">
        <v>240</v>
      </c>
      <c r="CC620" s="0" t="s">
        <v>240</v>
      </c>
      <c r="CD620" s="0" t="s">
        <v>240</v>
      </c>
      <c r="CE620" s="0" t="s">
        <v>240</v>
      </c>
      <c r="CF620" s="0" t="s">
        <v>240</v>
      </c>
      <c r="CG620" s="0" t="s">
        <v>5598</v>
      </c>
      <c r="CH620" s="0" t="s">
        <v>240</v>
      </c>
      <c r="CI620" s="0" t="s">
        <v>240</v>
      </c>
      <c r="CJ620" s="0" t="s">
        <v>240</v>
      </c>
      <c r="CK620" s="0" t="s">
        <v>240</v>
      </c>
      <c r="CL620" s="0" t="s">
        <v>240</v>
      </c>
      <c r="CM620" s="0" t="s">
        <v>6754</v>
      </c>
      <c r="CN620" s="0" t="s">
        <v>6754</v>
      </c>
      <c r="CO620" s="0" t="s">
        <v>240</v>
      </c>
      <c r="CP620" s="0" t="s">
        <v>240</v>
      </c>
      <c r="CQ620" s="0" t="s">
        <v>240</v>
      </c>
      <c r="CR620" s="0" t="s">
        <v>240</v>
      </c>
      <c r="CS620" s="0" t="s">
        <v>5507</v>
      </c>
      <c r="CT620" s="0" t="s">
        <v>5496</v>
      </c>
      <c r="CU620" s="0" t="s">
        <v>5497</v>
      </c>
      <c r="CV620" s="0" t="s">
        <v>443</v>
      </c>
      <c r="CW620" s="0" t="s">
        <v>5509</v>
      </c>
      <c r="CX620" s="0" t="s">
        <v>229</v>
      </c>
      <c r="CY620" s="0" t="s">
        <v>443</v>
      </c>
      <c r="CZ620" s="0" t="s">
        <v>5510</v>
      </c>
      <c r="DA620" s="0" t="s">
        <v>5511</v>
      </c>
      <c r="DB620" s="0" t="s">
        <v>5509</v>
      </c>
      <c r="DC620" s="0" t="s">
        <v>384</v>
      </c>
      <c r="DD620" s="0" t="s">
        <v>291</v>
      </c>
      <c r="DE620" s="0" t="s">
        <v>6755</v>
      </c>
    </row>
    <row customHeight="1" ht="11.25">
      <c r="A621" s="1441" t="s">
        <v>240</v>
      </c>
      <c r="B621" s="0" t="s">
        <v>240</v>
      </c>
      <c r="C621" s="0" t="s">
        <v>240</v>
      </c>
      <c r="D621" s="0" t="s">
        <v>240</v>
      </c>
      <c r="E621" s="0" t="s">
        <v>240</v>
      </c>
      <c r="F621" s="0" t="s">
        <v>240</v>
      </c>
      <c r="G621" s="0" t="s">
        <v>240</v>
      </c>
      <c r="H621" s="0" t="s">
        <v>240</v>
      </c>
      <c r="I621" s="0" t="s">
        <v>5484</v>
      </c>
      <c r="J621" s="0" t="s">
        <v>240</v>
      </c>
      <c r="K621" s="0" t="s">
        <v>240</v>
      </c>
      <c r="L621" s="0" t="s">
        <v>240</v>
      </c>
      <c r="M621" s="0" t="s">
        <v>240</v>
      </c>
      <c r="N621" s="0" t="s">
        <v>240</v>
      </c>
      <c r="O621" s="0" t="s">
        <v>240</v>
      </c>
      <c r="P621" s="0" t="s">
        <v>240</v>
      </c>
      <c r="Q621" s="0" t="s">
        <v>240</v>
      </c>
      <c r="R621" s="0" t="s">
        <v>5754</v>
      </c>
      <c r="S621" s="0" t="s">
        <v>240</v>
      </c>
      <c r="T621" s="0" t="s">
        <v>240</v>
      </c>
      <c r="U621" s="0" t="s">
        <v>102</v>
      </c>
      <c r="V621" s="0" t="s">
        <v>240</v>
      </c>
      <c r="W621" s="0" t="s">
        <v>240</v>
      </c>
      <c r="X621" s="0" t="s">
        <v>5485</v>
      </c>
      <c r="Y621" s="0" t="s">
        <v>240</v>
      </c>
      <c r="Z621" s="0" t="s">
        <v>161</v>
      </c>
      <c r="AA621" s="0" t="s">
        <v>152</v>
      </c>
      <c r="AB621" s="0" t="s">
        <v>152</v>
      </c>
      <c r="AC621" s="0" t="s">
        <v>2991</v>
      </c>
      <c r="AD621" s="0" t="s">
        <v>2991</v>
      </c>
      <c r="AE621" s="0" t="s">
        <v>2992</v>
      </c>
      <c r="AF621" s="0" t="s">
        <v>5749</v>
      </c>
      <c r="AG621" s="0" t="s">
        <v>5750</v>
      </c>
      <c r="AH621" s="0" t="s">
        <v>5755</v>
      </c>
      <c r="AI621" s="0" t="s">
        <v>5551</v>
      </c>
      <c r="AJ621" s="0" t="s">
        <v>5504</v>
      </c>
      <c r="AK621" s="0" t="s">
        <v>5756</v>
      </c>
      <c r="AL621" s="0" t="s">
        <v>5506</v>
      </c>
      <c r="AM621" s="0" t="s">
        <v>5493</v>
      </c>
      <c r="AN621" s="0" t="s">
        <v>5553</v>
      </c>
      <c r="AO621" s="0" t="s">
        <v>5757</v>
      </c>
      <c r="AP621" s="0" t="s">
        <v>240</v>
      </c>
      <c r="AQ621" s="0" t="s">
        <v>240</v>
      </c>
      <c r="AR621" s="0" t="s">
        <v>240</v>
      </c>
      <c r="AS621" s="0" t="s">
        <v>240</v>
      </c>
      <c r="AT621" s="0" t="s">
        <v>240</v>
      </c>
      <c r="AU621" s="0" t="s">
        <v>240</v>
      </c>
      <c r="AV621" s="0" t="s">
        <v>240</v>
      </c>
      <c r="AW621" s="0" t="s">
        <v>240</v>
      </c>
      <c r="AX621" s="0" t="s">
        <v>240</v>
      </c>
      <c r="AY621" s="0" t="s">
        <v>240</v>
      </c>
      <c r="AZ621" s="0" t="s">
        <v>240</v>
      </c>
      <c r="BA621" s="0" t="s">
        <v>240</v>
      </c>
      <c r="BB621" s="0" t="s">
        <v>240</v>
      </c>
      <c r="BC621" s="0" t="s">
        <v>240</v>
      </c>
      <c r="BD621" s="0" t="s">
        <v>240</v>
      </c>
      <c r="BE621" s="0" t="s">
        <v>240</v>
      </c>
      <c r="BF621" s="0" t="s">
        <v>240</v>
      </c>
      <c r="BG621" s="0" t="s">
        <v>240</v>
      </c>
      <c r="BH621" s="0" t="s">
        <v>240</v>
      </c>
      <c r="BI621" s="0" t="s">
        <v>240</v>
      </c>
      <c r="BJ621" s="0" t="s">
        <v>240</v>
      </c>
      <c r="BK621" s="0" t="s">
        <v>240</v>
      </c>
      <c r="BL621" s="0" t="s">
        <v>240</v>
      </c>
      <c r="BM621" s="0" t="s">
        <v>240</v>
      </c>
      <c r="BN621" s="0" t="s">
        <v>240</v>
      </c>
      <c r="BO621" s="0" t="s">
        <v>240</v>
      </c>
      <c r="BP621" s="0" t="s">
        <v>240</v>
      </c>
      <c r="BQ621" s="0" t="s">
        <v>240</v>
      </c>
      <c r="BR621" s="0" t="s">
        <v>240</v>
      </c>
      <c r="BS621" s="0" t="s">
        <v>240</v>
      </c>
      <c r="BT621" s="0" t="s">
        <v>240</v>
      </c>
      <c r="BU621" s="0" t="s">
        <v>240</v>
      </c>
      <c r="BV621" s="0" t="s">
        <v>240</v>
      </c>
      <c r="BW621" s="0" t="s">
        <v>240</v>
      </c>
      <c r="BX621" s="0" t="s">
        <v>240</v>
      </c>
      <c r="BY621" s="0" t="s">
        <v>240</v>
      </c>
      <c r="BZ621" s="0" t="s">
        <v>240</v>
      </c>
      <c r="CA621" s="0" t="s">
        <v>240</v>
      </c>
      <c r="CB621" s="0" t="s">
        <v>240</v>
      </c>
      <c r="CC621" s="0" t="s">
        <v>240</v>
      </c>
      <c r="CD621" s="0" t="s">
        <v>240</v>
      </c>
      <c r="CE621" s="0" t="s">
        <v>240</v>
      </c>
      <c r="CF621" s="0" t="s">
        <v>240</v>
      </c>
      <c r="CG621" s="0" t="s">
        <v>240</v>
      </c>
      <c r="CH621" s="0" t="s">
        <v>240</v>
      </c>
      <c r="CI621" s="0" t="s">
        <v>240</v>
      </c>
      <c r="CJ621" s="0" t="s">
        <v>240</v>
      </c>
      <c r="CK621" s="0" t="s">
        <v>240</v>
      </c>
      <c r="CL621" s="0" t="s">
        <v>240</v>
      </c>
      <c r="CM621" s="0" t="s">
        <v>240</v>
      </c>
      <c r="CN621" s="0" t="s">
        <v>240</v>
      </c>
      <c r="CO621" s="0" t="s">
        <v>240</v>
      </c>
      <c r="CP621" s="0" t="s">
        <v>240</v>
      </c>
      <c r="CQ621" s="0" t="s">
        <v>240</v>
      </c>
      <c r="CR621" s="0" t="s">
        <v>240</v>
      </c>
      <c r="CS621" s="0" t="s">
        <v>240</v>
      </c>
      <c r="CT621" s="0" t="s">
        <v>5496</v>
      </c>
      <c r="CU621" s="0" t="s">
        <v>5497</v>
      </c>
      <c r="CV621" s="0" t="s">
        <v>443</v>
      </c>
      <c r="CW621" s="0" t="s">
        <v>5547</v>
      </c>
      <c r="CX621" s="0" t="s">
        <v>229</v>
      </c>
      <c r="CY621" s="0" t="s">
        <v>443</v>
      </c>
      <c r="CZ621" s="0" t="s">
        <v>5548</v>
      </c>
      <c r="DA621" s="0" t="s">
        <v>5549</v>
      </c>
      <c r="DB621" s="0" t="s">
        <v>5547</v>
      </c>
      <c r="DC621" s="0" t="s">
        <v>384</v>
      </c>
      <c r="DD621" s="0" t="s">
        <v>291</v>
      </c>
      <c r="DE621" s="0" t="s">
        <v>5758</v>
      </c>
    </row>
    <row customHeight="1" ht="11.25">
      <c r="A622" s="1441" t="s">
        <v>240</v>
      </c>
      <c r="B622" s="0" t="s">
        <v>240</v>
      </c>
      <c r="C622" s="0" t="s">
        <v>240</v>
      </c>
      <c r="D622" s="0" t="s">
        <v>240</v>
      </c>
      <c r="E622" s="0" t="s">
        <v>240</v>
      </c>
      <c r="F622" s="0" t="s">
        <v>240</v>
      </c>
      <c r="G622" s="0" t="s">
        <v>240</v>
      </c>
      <c r="H622" s="0" t="s">
        <v>240</v>
      </c>
      <c r="I622" s="0" t="s">
        <v>5484</v>
      </c>
      <c r="J622" s="0" t="s">
        <v>240</v>
      </c>
      <c r="K622" s="0" t="s">
        <v>240</v>
      </c>
      <c r="L622" s="0" t="s">
        <v>240</v>
      </c>
      <c r="M622" s="0" t="s">
        <v>240</v>
      </c>
      <c r="N622" s="0" t="s">
        <v>240</v>
      </c>
      <c r="O622" s="0" t="s">
        <v>240</v>
      </c>
      <c r="P622" s="0" t="s">
        <v>240</v>
      </c>
      <c r="Q622" s="0" t="s">
        <v>240</v>
      </c>
      <c r="R622" s="0" t="s">
        <v>5766</v>
      </c>
      <c r="S622" s="0" t="s">
        <v>240</v>
      </c>
      <c r="T622" s="0" t="s">
        <v>240</v>
      </c>
      <c r="U622" s="0" t="s">
        <v>102</v>
      </c>
      <c r="V622" s="0" t="s">
        <v>240</v>
      </c>
      <c r="W622" s="0" t="s">
        <v>240</v>
      </c>
      <c r="X622" s="0" t="s">
        <v>5485</v>
      </c>
      <c r="Y622" s="0" t="s">
        <v>240</v>
      </c>
      <c r="Z622" s="0" t="s">
        <v>161</v>
      </c>
      <c r="AA622" s="0" t="s">
        <v>152</v>
      </c>
      <c r="AB622" s="0" t="s">
        <v>152</v>
      </c>
      <c r="AC622" s="0" t="s">
        <v>2991</v>
      </c>
      <c r="AD622" s="0" t="s">
        <v>2991</v>
      </c>
      <c r="AE622" s="0" t="s">
        <v>2992</v>
      </c>
      <c r="AF622" s="0" t="s">
        <v>5749</v>
      </c>
      <c r="AG622" s="0" t="s">
        <v>5750</v>
      </c>
      <c r="AH622" s="0" t="s">
        <v>5767</v>
      </c>
      <c r="AI622" s="0" t="s">
        <v>5575</v>
      </c>
      <c r="AJ622" s="0" t="s">
        <v>5578</v>
      </c>
      <c r="AK622" s="0" t="s">
        <v>5545</v>
      </c>
      <c r="AL622" s="0" t="s">
        <v>5506</v>
      </c>
      <c r="AM622" s="0" t="s">
        <v>5493</v>
      </c>
      <c r="AN622" s="0" t="s">
        <v>5553</v>
      </c>
      <c r="AO622" s="0" t="s">
        <v>5768</v>
      </c>
      <c r="AP622" s="0" t="s">
        <v>240</v>
      </c>
      <c r="AQ622" s="0" t="s">
        <v>240</v>
      </c>
      <c r="AR622" s="0" t="s">
        <v>240</v>
      </c>
      <c r="AS622" s="0" t="s">
        <v>240</v>
      </c>
      <c r="AT622" s="0" t="s">
        <v>240</v>
      </c>
      <c r="AU622" s="0" t="s">
        <v>240</v>
      </c>
      <c r="AV622" s="0" t="s">
        <v>240</v>
      </c>
      <c r="AW622" s="0" t="s">
        <v>240</v>
      </c>
      <c r="AX622" s="0" t="s">
        <v>240</v>
      </c>
      <c r="AY622" s="0" t="s">
        <v>240</v>
      </c>
      <c r="AZ622" s="0" t="s">
        <v>240</v>
      </c>
      <c r="BA622" s="0" t="s">
        <v>240</v>
      </c>
      <c r="BB622" s="0" t="s">
        <v>240</v>
      </c>
      <c r="BC622" s="0" t="s">
        <v>240</v>
      </c>
      <c r="BD622" s="0" t="s">
        <v>240</v>
      </c>
      <c r="BE622" s="0" t="s">
        <v>240</v>
      </c>
      <c r="BF622" s="0" t="s">
        <v>240</v>
      </c>
      <c r="BG622" s="0" t="s">
        <v>240</v>
      </c>
      <c r="BH622" s="0" t="s">
        <v>240</v>
      </c>
      <c r="BI622" s="0" t="s">
        <v>240</v>
      </c>
      <c r="BJ622" s="0" t="s">
        <v>240</v>
      </c>
      <c r="BK622" s="0" t="s">
        <v>240</v>
      </c>
      <c r="BL622" s="0" t="s">
        <v>240</v>
      </c>
      <c r="BM622" s="0" t="s">
        <v>240</v>
      </c>
      <c r="BN622" s="0" t="s">
        <v>240</v>
      </c>
      <c r="BO622" s="0" t="s">
        <v>240</v>
      </c>
      <c r="BP622" s="0" t="s">
        <v>240</v>
      </c>
      <c r="BQ622" s="0" t="s">
        <v>240</v>
      </c>
      <c r="BR622" s="0" t="s">
        <v>240</v>
      </c>
      <c r="BS622" s="0" t="s">
        <v>240</v>
      </c>
      <c r="BT622" s="0" t="s">
        <v>240</v>
      </c>
      <c r="BU622" s="0" t="s">
        <v>240</v>
      </c>
      <c r="BV622" s="0" t="s">
        <v>240</v>
      </c>
      <c r="BW622" s="0" t="s">
        <v>240</v>
      </c>
      <c r="BX622" s="0" t="s">
        <v>240</v>
      </c>
      <c r="BY622" s="0" t="s">
        <v>240</v>
      </c>
      <c r="BZ622" s="0" t="s">
        <v>240</v>
      </c>
      <c r="CA622" s="0" t="s">
        <v>240</v>
      </c>
      <c r="CB622" s="0" t="s">
        <v>240</v>
      </c>
      <c r="CC622" s="0" t="s">
        <v>240</v>
      </c>
      <c r="CD622" s="0" t="s">
        <v>240</v>
      </c>
      <c r="CE622" s="0" t="s">
        <v>240</v>
      </c>
      <c r="CF622" s="0" t="s">
        <v>240</v>
      </c>
      <c r="CG622" s="0" t="s">
        <v>240</v>
      </c>
      <c r="CH622" s="0" t="s">
        <v>240</v>
      </c>
      <c r="CI622" s="0" t="s">
        <v>240</v>
      </c>
      <c r="CJ622" s="0" t="s">
        <v>240</v>
      </c>
      <c r="CK622" s="0" t="s">
        <v>240</v>
      </c>
      <c r="CL622" s="0" t="s">
        <v>240</v>
      </c>
      <c r="CM622" s="0" t="s">
        <v>240</v>
      </c>
      <c r="CN622" s="0" t="s">
        <v>240</v>
      </c>
      <c r="CO622" s="0" t="s">
        <v>240</v>
      </c>
      <c r="CP622" s="0" t="s">
        <v>240</v>
      </c>
      <c r="CQ622" s="0" t="s">
        <v>240</v>
      </c>
      <c r="CR622" s="0" t="s">
        <v>240</v>
      </c>
      <c r="CS622" s="0" t="s">
        <v>240</v>
      </c>
      <c r="CT622" s="0" t="s">
        <v>5496</v>
      </c>
      <c r="CU622" s="0" t="s">
        <v>5497</v>
      </c>
      <c r="CV622" s="0" t="s">
        <v>443</v>
      </c>
      <c r="CW622" s="0" t="s">
        <v>5547</v>
      </c>
      <c r="CX622" s="0" t="s">
        <v>229</v>
      </c>
      <c r="CY622" s="0" t="s">
        <v>443</v>
      </c>
      <c r="CZ622" s="0" t="s">
        <v>5548</v>
      </c>
      <c r="DA622" s="0" t="s">
        <v>5549</v>
      </c>
      <c r="DB622" s="0" t="s">
        <v>5547</v>
      </c>
      <c r="DC622" s="0" t="s">
        <v>384</v>
      </c>
      <c r="DD622" s="0" t="s">
        <v>291</v>
      </c>
      <c r="DE622" s="0" t="s">
        <v>5769</v>
      </c>
    </row>
    <row customHeight="1" ht="11.25">
      <c r="A623" s="1441" t="s">
        <v>240</v>
      </c>
      <c r="B623" s="0" t="s">
        <v>240</v>
      </c>
      <c r="C623" s="0" t="s">
        <v>240</v>
      </c>
      <c r="D623" s="0" t="s">
        <v>240</v>
      </c>
      <c r="E623" s="0" t="s">
        <v>240</v>
      </c>
      <c r="F623" s="0" t="s">
        <v>240</v>
      </c>
      <c r="G623" s="0" t="s">
        <v>240</v>
      </c>
      <c r="H623" s="0" t="s">
        <v>240</v>
      </c>
      <c r="I623" s="0" t="s">
        <v>5484</v>
      </c>
      <c r="J623" s="0" t="s">
        <v>240</v>
      </c>
      <c r="K623" s="0" t="s">
        <v>240</v>
      </c>
      <c r="L623" s="0" t="s">
        <v>240</v>
      </c>
      <c r="M623" s="0" t="s">
        <v>240</v>
      </c>
      <c r="N623" s="0" t="s">
        <v>240</v>
      </c>
      <c r="O623" s="0" t="s">
        <v>240</v>
      </c>
      <c r="P623" s="0" t="s">
        <v>240</v>
      </c>
      <c r="Q623" s="0" t="s">
        <v>240</v>
      </c>
      <c r="R623" s="0" t="s">
        <v>5771</v>
      </c>
      <c r="S623" s="0" t="s">
        <v>240</v>
      </c>
      <c r="T623" s="0" t="s">
        <v>240</v>
      </c>
      <c r="U623" s="0" t="s">
        <v>102</v>
      </c>
      <c r="V623" s="0" t="s">
        <v>240</v>
      </c>
      <c r="W623" s="0" t="s">
        <v>240</v>
      </c>
      <c r="X623" s="0" t="s">
        <v>5485</v>
      </c>
      <c r="Y623" s="0" t="s">
        <v>240</v>
      </c>
      <c r="Z623" s="0" t="s">
        <v>161</v>
      </c>
      <c r="AA623" s="0" t="s">
        <v>152</v>
      </c>
      <c r="AB623" s="0" t="s">
        <v>152</v>
      </c>
      <c r="AC623" s="0" t="s">
        <v>2991</v>
      </c>
      <c r="AD623" s="0" t="s">
        <v>2991</v>
      </c>
      <c r="AE623" s="0" t="s">
        <v>2992</v>
      </c>
      <c r="AF623" s="0" t="s">
        <v>5772</v>
      </c>
      <c r="AG623" s="0" t="s">
        <v>5773</v>
      </c>
      <c r="AH623" s="0" t="s">
        <v>5774</v>
      </c>
      <c r="AI623" s="0" t="s">
        <v>5775</v>
      </c>
      <c r="AJ623" s="0" t="s">
        <v>5504</v>
      </c>
      <c r="AK623" s="0" t="s">
        <v>5776</v>
      </c>
      <c r="AL623" s="0" t="s">
        <v>5506</v>
      </c>
      <c r="AM623" s="0" t="s">
        <v>5493</v>
      </c>
      <c r="AN623" s="0" t="s">
        <v>5545</v>
      </c>
      <c r="AO623" s="0" t="s">
        <v>5777</v>
      </c>
      <c r="AP623" s="0" t="s">
        <v>240</v>
      </c>
      <c r="AQ623" s="0" t="s">
        <v>240</v>
      </c>
      <c r="AR623" s="0" t="s">
        <v>240</v>
      </c>
      <c r="AS623" s="0" t="s">
        <v>240</v>
      </c>
      <c r="AT623" s="0" t="s">
        <v>240</v>
      </c>
      <c r="AU623" s="0" t="s">
        <v>240</v>
      </c>
      <c r="AV623" s="0" t="s">
        <v>240</v>
      </c>
      <c r="AW623" s="0" t="s">
        <v>240</v>
      </c>
      <c r="AX623" s="0" t="s">
        <v>240</v>
      </c>
      <c r="AY623" s="0" t="s">
        <v>240</v>
      </c>
      <c r="AZ623" s="0" t="s">
        <v>240</v>
      </c>
      <c r="BA623" s="0" t="s">
        <v>240</v>
      </c>
      <c r="BB623" s="0" t="s">
        <v>240</v>
      </c>
      <c r="BC623" s="0" t="s">
        <v>240</v>
      </c>
      <c r="BD623" s="0" t="s">
        <v>240</v>
      </c>
      <c r="BE623" s="0" t="s">
        <v>240</v>
      </c>
      <c r="BF623" s="0" t="s">
        <v>240</v>
      </c>
      <c r="BG623" s="0" t="s">
        <v>240</v>
      </c>
      <c r="BH623" s="0" t="s">
        <v>240</v>
      </c>
      <c r="BI623" s="0" t="s">
        <v>240</v>
      </c>
      <c r="BJ623" s="0" t="s">
        <v>240</v>
      </c>
      <c r="BK623" s="0" t="s">
        <v>240</v>
      </c>
      <c r="BL623" s="0" t="s">
        <v>240</v>
      </c>
      <c r="BM623" s="0" t="s">
        <v>240</v>
      </c>
      <c r="BN623" s="0" t="s">
        <v>240</v>
      </c>
      <c r="BO623" s="0" t="s">
        <v>240</v>
      </c>
      <c r="BP623" s="0" t="s">
        <v>240</v>
      </c>
      <c r="BQ623" s="0" t="s">
        <v>240</v>
      </c>
      <c r="BR623" s="0" t="s">
        <v>240</v>
      </c>
      <c r="BS623" s="0" t="s">
        <v>240</v>
      </c>
      <c r="BT623" s="0" t="s">
        <v>240</v>
      </c>
      <c r="BU623" s="0" t="s">
        <v>240</v>
      </c>
      <c r="BV623" s="0" t="s">
        <v>240</v>
      </c>
      <c r="BW623" s="0" t="s">
        <v>240</v>
      </c>
      <c r="BX623" s="0" t="s">
        <v>240</v>
      </c>
      <c r="BY623" s="0" t="s">
        <v>240</v>
      </c>
      <c r="BZ623" s="0" t="s">
        <v>240</v>
      </c>
      <c r="CA623" s="0" t="s">
        <v>240</v>
      </c>
      <c r="CB623" s="0" t="s">
        <v>240</v>
      </c>
      <c r="CC623" s="0" t="s">
        <v>240</v>
      </c>
      <c r="CD623" s="0" t="s">
        <v>240</v>
      </c>
      <c r="CE623" s="0" t="s">
        <v>240</v>
      </c>
      <c r="CF623" s="0" t="s">
        <v>240</v>
      </c>
      <c r="CG623" s="0" t="s">
        <v>240</v>
      </c>
      <c r="CH623" s="0" t="s">
        <v>240</v>
      </c>
      <c r="CI623" s="0" t="s">
        <v>240</v>
      </c>
      <c r="CJ623" s="0" t="s">
        <v>240</v>
      </c>
      <c r="CK623" s="0" t="s">
        <v>240</v>
      </c>
      <c r="CL623" s="0" t="s">
        <v>240</v>
      </c>
      <c r="CM623" s="0" t="s">
        <v>240</v>
      </c>
      <c r="CN623" s="0" t="s">
        <v>240</v>
      </c>
      <c r="CO623" s="0" t="s">
        <v>240</v>
      </c>
      <c r="CP623" s="0" t="s">
        <v>240</v>
      </c>
      <c r="CQ623" s="0" t="s">
        <v>240</v>
      </c>
      <c r="CR623" s="0" t="s">
        <v>240</v>
      </c>
      <c r="CS623" s="0" t="s">
        <v>240</v>
      </c>
      <c r="CT623" s="0" t="s">
        <v>5496</v>
      </c>
      <c r="CU623" s="0" t="s">
        <v>5497</v>
      </c>
      <c r="CV623" s="0" t="s">
        <v>443</v>
      </c>
      <c r="CW623" s="0" t="s">
        <v>5547</v>
      </c>
      <c r="CX623" s="0" t="s">
        <v>229</v>
      </c>
      <c r="CY623" s="0" t="s">
        <v>443</v>
      </c>
      <c r="CZ623" s="0" t="s">
        <v>5548</v>
      </c>
      <c r="DA623" s="0" t="s">
        <v>5549</v>
      </c>
      <c r="DB623" s="0" t="s">
        <v>5547</v>
      </c>
      <c r="DC623" s="0" t="s">
        <v>384</v>
      </c>
      <c r="DD623" s="0" t="s">
        <v>291</v>
      </c>
      <c r="DE623" s="0" t="s">
        <v>5778</v>
      </c>
    </row>
    <row customHeight="1" ht="11.25">
      <c r="A624" s="1441" t="s">
        <v>240</v>
      </c>
      <c r="B624" s="0" t="s">
        <v>240</v>
      </c>
      <c r="C624" s="0" t="s">
        <v>240</v>
      </c>
      <c r="D624" s="0" t="s">
        <v>240</v>
      </c>
      <c r="E624" s="0" t="s">
        <v>240</v>
      </c>
      <c r="F624" s="0" t="s">
        <v>240</v>
      </c>
      <c r="G624" s="0" t="s">
        <v>240</v>
      </c>
      <c r="H624" s="0" t="s">
        <v>240</v>
      </c>
      <c r="I624" s="0" t="s">
        <v>5484</v>
      </c>
      <c r="J624" s="0" t="s">
        <v>240</v>
      </c>
      <c r="K624" s="0" t="s">
        <v>240</v>
      </c>
      <c r="L624" s="0" t="s">
        <v>240</v>
      </c>
      <c r="M624" s="0" t="s">
        <v>240</v>
      </c>
      <c r="N624" s="0" t="s">
        <v>240</v>
      </c>
      <c r="O624" s="0" t="s">
        <v>240</v>
      </c>
      <c r="P624" s="0" t="s">
        <v>240</v>
      </c>
      <c r="Q624" s="0" t="s">
        <v>240</v>
      </c>
      <c r="R624" s="0" t="s">
        <v>5784</v>
      </c>
      <c r="S624" s="0" t="s">
        <v>240</v>
      </c>
      <c r="T624" s="0" t="s">
        <v>240</v>
      </c>
      <c r="U624" s="0" t="s">
        <v>102</v>
      </c>
      <c r="V624" s="0" t="s">
        <v>240</v>
      </c>
      <c r="W624" s="0" t="s">
        <v>240</v>
      </c>
      <c r="X624" s="0" t="s">
        <v>5485</v>
      </c>
      <c r="Y624" s="0" t="s">
        <v>240</v>
      </c>
      <c r="Z624" s="0" t="s">
        <v>161</v>
      </c>
      <c r="AA624" s="0" t="s">
        <v>152</v>
      </c>
      <c r="AB624" s="0" t="s">
        <v>152</v>
      </c>
      <c r="AC624" s="0" t="s">
        <v>2991</v>
      </c>
      <c r="AD624" s="0" t="s">
        <v>2991</v>
      </c>
      <c r="AE624" s="0" t="s">
        <v>2992</v>
      </c>
      <c r="AF624" s="0" t="s">
        <v>5772</v>
      </c>
      <c r="AG624" s="0" t="s">
        <v>5773</v>
      </c>
      <c r="AH624" s="0" t="s">
        <v>5774</v>
      </c>
      <c r="AI624" s="0" t="s">
        <v>5785</v>
      </c>
      <c r="AJ624" s="0" t="s">
        <v>5504</v>
      </c>
      <c r="AK624" s="0" t="s">
        <v>5776</v>
      </c>
      <c r="AL624" s="0" t="s">
        <v>5506</v>
      </c>
      <c r="AM624" s="0" t="s">
        <v>5493</v>
      </c>
      <c r="AN624" s="0" t="s">
        <v>5553</v>
      </c>
      <c r="AO624" s="0" t="s">
        <v>5786</v>
      </c>
      <c r="AP624" s="0" t="s">
        <v>240</v>
      </c>
      <c r="AQ624" s="0" t="s">
        <v>240</v>
      </c>
      <c r="AR624" s="0" t="s">
        <v>240</v>
      </c>
      <c r="AS624" s="0" t="s">
        <v>240</v>
      </c>
      <c r="AT624" s="0" t="s">
        <v>240</v>
      </c>
      <c r="AU624" s="0" t="s">
        <v>240</v>
      </c>
      <c r="AV624" s="0" t="s">
        <v>240</v>
      </c>
      <c r="AW624" s="0" t="s">
        <v>240</v>
      </c>
      <c r="AX624" s="0" t="s">
        <v>240</v>
      </c>
      <c r="AY624" s="0" t="s">
        <v>240</v>
      </c>
      <c r="AZ624" s="0" t="s">
        <v>240</v>
      </c>
      <c r="BA624" s="0" t="s">
        <v>240</v>
      </c>
      <c r="BB624" s="0" t="s">
        <v>240</v>
      </c>
      <c r="BC624" s="0" t="s">
        <v>240</v>
      </c>
      <c r="BD624" s="0" t="s">
        <v>240</v>
      </c>
      <c r="BE624" s="0" t="s">
        <v>240</v>
      </c>
      <c r="BF624" s="0" t="s">
        <v>240</v>
      </c>
      <c r="BG624" s="0" t="s">
        <v>240</v>
      </c>
      <c r="BH624" s="0" t="s">
        <v>240</v>
      </c>
      <c r="BI624" s="0" t="s">
        <v>240</v>
      </c>
      <c r="BJ624" s="0" t="s">
        <v>240</v>
      </c>
      <c r="BK624" s="0" t="s">
        <v>240</v>
      </c>
      <c r="BL624" s="0" t="s">
        <v>240</v>
      </c>
      <c r="BM624" s="0" t="s">
        <v>240</v>
      </c>
      <c r="BN624" s="0" t="s">
        <v>240</v>
      </c>
      <c r="BO624" s="0" t="s">
        <v>240</v>
      </c>
      <c r="BP624" s="0" t="s">
        <v>240</v>
      </c>
      <c r="BQ624" s="0" t="s">
        <v>240</v>
      </c>
      <c r="BR624" s="0" t="s">
        <v>240</v>
      </c>
      <c r="BS624" s="0" t="s">
        <v>240</v>
      </c>
      <c r="BT624" s="0" t="s">
        <v>240</v>
      </c>
      <c r="BU624" s="0" t="s">
        <v>240</v>
      </c>
      <c r="BV624" s="0" t="s">
        <v>240</v>
      </c>
      <c r="BW624" s="0" t="s">
        <v>240</v>
      </c>
      <c r="BX624" s="0" t="s">
        <v>240</v>
      </c>
      <c r="BY624" s="0" t="s">
        <v>240</v>
      </c>
      <c r="BZ624" s="0" t="s">
        <v>240</v>
      </c>
      <c r="CA624" s="0" t="s">
        <v>240</v>
      </c>
      <c r="CB624" s="0" t="s">
        <v>240</v>
      </c>
      <c r="CC624" s="0" t="s">
        <v>240</v>
      </c>
      <c r="CD624" s="0" t="s">
        <v>240</v>
      </c>
      <c r="CE624" s="0" t="s">
        <v>240</v>
      </c>
      <c r="CF624" s="0" t="s">
        <v>240</v>
      </c>
      <c r="CG624" s="0" t="s">
        <v>240</v>
      </c>
      <c r="CH624" s="0" t="s">
        <v>240</v>
      </c>
      <c r="CI624" s="0" t="s">
        <v>240</v>
      </c>
      <c r="CJ624" s="0" t="s">
        <v>240</v>
      </c>
      <c r="CK624" s="0" t="s">
        <v>240</v>
      </c>
      <c r="CL624" s="0" t="s">
        <v>240</v>
      </c>
      <c r="CM624" s="0" t="s">
        <v>240</v>
      </c>
      <c r="CN624" s="0" t="s">
        <v>240</v>
      </c>
      <c r="CO624" s="0" t="s">
        <v>240</v>
      </c>
      <c r="CP624" s="0" t="s">
        <v>240</v>
      </c>
      <c r="CQ624" s="0" t="s">
        <v>240</v>
      </c>
      <c r="CR624" s="0" t="s">
        <v>240</v>
      </c>
      <c r="CS624" s="0" t="s">
        <v>240</v>
      </c>
      <c r="CT624" s="0" t="s">
        <v>5496</v>
      </c>
      <c r="CU624" s="0" t="s">
        <v>5787</v>
      </c>
      <c r="CV624" s="0" t="s">
        <v>443</v>
      </c>
      <c r="CW624" s="0" t="s">
        <v>5547</v>
      </c>
      <c r="CX624" s="0" t="s">
        <v>229</v>
      </c>
      <c r="CY624" s="0" t="s">
        <v>443</v>
      </c>
      <c r="CZ624" s="0" t="s">
        <v>5548</v>
      </c>
      <c r="DA624" s="0" t="s">
        <v>5549</v>
      </c>
      <c r="DB624" s="0" t="s">
        <v>5547</v>
      </c>
      <c r="DC624" s="0" t="s">
        <v>384</v>
      </c>
      <c r="DD624" s="0" t="s">
        <v>291</v>
      </c>
      <c r="DE624" s="0" t="s">
        <v>5788</v>
      </c>
    </row>
    <row customHeight="1" ht="11.25">
      <c r="A625" s="1441" t="s">
        <v>240</v>
      </c>
      <c r="B625" s="0" t="s">
        <v>240</v>
      </c>
      <c r="C625" s="0" t="s">
        <v>240</v>
      </c>
      <c r="D625" s="0" t="s">
        <v>240</v>
      </c>
      <c r="E625" s="0" t="s">
        <v>240</v>
      </c>
      <c r="F625" s="0" t="s">
        <v>240</v>
      </c>
      <c r="G625" s="0" t="s">
        <v>240</v>
      </c>
      <c r="H625" s="0" t="s">
        <v>240</v>
      </c>
      <c r="I625" s="0" t="s">
        <v>5484</v>
      </c>
      <c r="J625" s="0" t="s">
        <v>240</v>
      </c>
      <c r="K625" s="0" t="s">
        <v>240</v>
      </c>
      <c r="L625" s="0" t="s">
        <v>240</v>
      </c>
      <c r="M625" s="0" t="s">
        <v>240</v>
      </c>
      <c r="N625" s="0" t="s">
        <v>240</v>
      </c>
      <c r="O625" s="0" t="s">
        <v>240</v>
      </c>
      <c r="P625" s="0" t="s">
        <v>240</v>
      </c>
      <c r="Q625" s="0" t="s">
        <v>240</v>
      </c>
      <c r="R625" s="0" t="s">
        <v>6146</v>
      </c>
      <c r="S625" s="0" t="s">
        <v>240</v>
      </c>
      <c r="T625" s="0" t="s">
        <v>240</v>
      </c>
      <c r="U625" s="0" t="s">
        <v>102</v>
      </c>
      <c r="V625" s="0" t="s">
        <v>240</v>
      </c>
      <c r="W625" s="0" t="s">
        <v>240</v>
      </c>
      <c r="X625" s="0" t="s">
        <v>5585</v>
      </c>
      <c r="Y625" s="0" t="s">
        <v>240</v>
      </c>
      <c r="Z625" s="0" t="s">
        <v>152</v>
      </c>
      <c r="AA625" s="0" t="s">
        <v>152</v>
      </c>
      <c r="AB625" s="0" t="s">
        <v>161</v>
      </c>
      <c r="AC625" s="0" t="s">
        <v>2991</v>
      </c>
      <c r="AD625" s="0" t="s">
        <v>2991</v>
      </c>
      <c r="AE625" s="0" t="s">
        <v>2992</v>
      </c>
      <c r="AF625" s="0" t="s">
        <v>5772</v>
      </c>
      <c r="AG625" s="0" t="s">
        <v>5773</v>
      </c>
      <c r="AH625" s="0" t="s">
        <v>5575</v>
      </c>
      <c r="AI625" s="0" t="s">
        <v>5575</v>
      </c>
      <c r="AJ625" s="0" t="s">
        <v>240</v>
      </c>
      <c r="AK625" s="0" t="s">
        <v>240</v>
      </c>
      <c r="AL625" s="0" t="s">
        <v>240</v>
      </c>
      <c r="AM625" s="0" t="s">
        <v>240</v>
      </c>
      <c r="AN625" s="0" t="s">
        <v>240</v>
      </c>
      <c r="AO625" s="0" t="s">
        <v>240</v>
      </c>
      <c r="AP625" s="0" t="s">
        <v>240</v>
      </c>
      <c r="AQ625" s="0" t="s">
        <v>240</v>
      </c>
      <c r="AR625" s="0" t="s">
        <v>240</v>
      </c>
      <c r="AS625" s="0" t="s">
        <v>240</v>
      </c>
      <c r="AT625" s="0" t="s">
        <v>240</v>
      </c>
      <c r="AU625" s="0" t="s">
        <v>240</v>
      </c>
      <c r="AV625" s="0" t="s">
        <v>240</v>
      </c>
      <c r="AW625" s="0" t="s">
        <v>240</v>
      </c>
      <c r="AX625" s="0" t="s">
        <v>240</v>
      </c>
      <c r="AY625" s="0" t="s">
        <v>240</v>
      </c>
      <c r="AZ625" s="0" t="s">
        <v>240</v>
      </c>
      <c r="BA625" s="0" t="s">
        <v>240</v>
      </c>
      <c r="BB625" s="0" t="s">
        <v>240</v>
      </c>
      <c r="BC625" s="0" t="s">
        <v>240</v>
      </c>
      <c r="BD625" s="0" t="s">
        <v>240</v>
      </c>
      <c r="BE625" s="0" t="s">
        <v>5552</v>
      </c>
      <c r="BF625" s="0" t="s">
        <v>5544</v>
      </c>
      <c r="BG625" s="0" t="s">
        <v>112</v>
      </c>
      <c r="BH625" s="0" t="s">
        <v>5589</v>
      </c>
      <c r="BI625" s="0" t="s">
        <v>123</v>
      </c>
      <c r="BJ625" s="0" t="s">
        <v>240</v>
      </c>
      <c r="BK625" s="0" t="s">
        <v>5608</v>
      </c>
      <c r="BL625" s="0" t="s">
        <v>2991</v>
      </c>
      <c r="BM625" s="0" t="s">
        <v>2991</v>
      </c>
      <c r="BN625" s="0" t="s">
        <v>5663</v>
      </c>
      <c r="BO625" s="0" t="s">
        <v>5772</v>
      </c>
      <c r="BP625" s="0" t="s">
        <v>6147</v>
      </c>
      <c r="BQ625" s="0" t="s">
        <v>5575</v>
      </c>
      <c r="BR625" s="0" t="s">
        <v>5575</v>
      </c>
      <c r="BS625" s="0" t="s">
        <v>240</v>
      </c>
      <c r="BT625" s="0" t="s">
        <v>5650</v>
      </c>
      <c r="BU625" s="0" t="s">
        <v>6148</v>
      </c>
      <c r="BV625" s="0" t="s">
        <v>6148</v>
      </c>
      <c r="BW625" s="0" t="s">
        <v>5598</v>
      </c>
      <c r="BX625" s="0" t="s">
        <v>5598</v>
      </c>
      <c r="BY625" s="0" t="s">
        <v>5598</v>
      </c>
      <c r="BZ625" s="0" t="s">
        <v>5598</v>
      </c>
      <c r="CA625" s="0" t="s">
        <v>5598</v>
      </c>
      <c r="CB625" s="0" t="s">
        <v>240</v>
      </c>
      <c r="CC625" s="0" t="s">
        <v>240</v>
      </c>
      <c r="CD625" s="0" t="s">
        <v>240</v>
      </c>
      <c r="CE625" s="0" t="s">
        <v>240</v>
      </c>
      <c r="CF625" s="0" t="s">
        <v>240</v>
      </c>
      <c r="CG625" s="0" t="s">
        <v>5598</v>
      </c>
      <c r="CH625" s="0" t="s">
        <v>240</v>
      </c>
      <c r="CI625" s="0" t="s">
        <v>240</v>
      </c>
      <c r="CJ625" s="0" t="s">
        <v>240</v>
      </c>
      <c r="CK625" s="0" t="s">
        <v>240</v>
      </c>
      <c r="CL625" s="0" t="s">
        <v>240</v>
      </c>
      <c r="CM625" s="0" t="s">
        <v>6148</v>
      </c>
      <c r="CN625" s="0" t="s">
        <v>6148</v>
      </c>
      <c r="CO625" s="0" t="s">
        <v>240</v>
      </c>
      <c r="CP625" s="0" t="s">
        <v>240</v>
      </c>
      <c r="CQ625" s="0" t="s">
        <v>240</v>
      </c>
      <c r="CR625" s="0" t="s">
        <v>240</v>
      </c>
      <c r="CS625" s="0" t="s">
        <v>5666</v>
      </c>
      <c r="CT625" s="0" t="s">
        <v>5496</v>
      </c>
      <c r="CU625" s="0" t="s">
        <v>5497</v>
      </c>
      <c r="CV625" s="0" t="s">
        <v>443</v>
      </c>
      <c r="CW625" s="0" t="s">
        <v>5547</v>
      </c>
      <c r="CX625" s="0" t="s">
        <v>229</v>
      </c>
      <c r="CY625" s="0" t="s">
        <v>443</v>
      </c>
      <c r="CZ625" s="0" t="s">
        <v>5548</v>
      </c>
      <c r="DA625" s="0" t="s">
        <v>5549</v>
      </c>
      <c r="DB625" s="0" t="s">
        <v>5547</v>
      </c>
      <c r="DC625" s="0" t="s">
        <v>384</v>
      </c>
      <c r="DD625" s="0" t="s">
        <v>291</v>
      </c>
      <c r="DE625" s="0" t="s">
        <v>6149</v>
      </c>
    </row>
    <row customHeight="1" ht="11.25">
      <c r="A626" s="1441" t="s">
        <v>240</v>
      </c>
      <c r="B626" s="0" t="s">
        <v>240</v>
      </c>
      <c r="C626" s="0" t="s">
        <v>240</v>
      </c>
      <c r="D626" s="0" t="s">
        <v>240</v>
      </c>
      <c r="E626" s="0" t="s">
        <v>240</v>
      </c>
      <c r="F626" s="0" t="s">
        <v>240</v>
      </c>
      <c r="G626" s="0" t="s">
        <v>240</v>
      </c>
      <c r="H626" s="0" t="s">
        <v>240</v>
      </c>
      <c r="I626" s="0" t="s">
        <v>5484</v>
      </c>
      <c r="J626" s="0" t="s">
        <v>240</v>
      </c>
      <c r="K626" s="0" t="s">
        <v>240</v>
      </c>
      <c r="L626" s="0" t="s">
        <v>240</v>
      </c>
      <c r="M626" s="0" t="s">
        <v>240</v>
      </c>
      <c r="N626" s="0" t="s">
        <v>240</v>
      </c>
      <c r="O626" s="0" t="s">
        <v>240</v>
      </c>
      <c r="P626" s="0" t="s">
        <v>240</v>
      </c>
      <c r="Q626" s="0" t="s">
        <v>240</v>
      </c>
      <c r="R626" s="0" t="s">
        <v>5572</v>
      </c>
      <c r="S626" s="0" t="s">
        <v>240</v>
      </c>
      <c r="T626" s="0" t="s">
        <v>240</v>
      </c>
      <c r="U626" s="0" t="s">
        <v>102</v>
      </c>
      <c r="V626" s="0" t="s">
        <v>240</v>
      </c>
      <c r="W626" s="0" t="s">
        <v>240</v>
      </c>
      <c r="X626" s="0" t="s">
        <v>5485</v>
      </c>
      <c r="Y626" s="0" t="s">
        <v>240</v>
      </c>
      <c r="Z626" s="0" t="s">
        <v>161</v>
      </c>
      <c r="AA626" s="0" t="s">
        <v>152</v>
      </c>
      <c r="AB626" s="0" t="s">
        <v>152</v>
      </c>
      <c r="AC626" s="0" t="s">
        <v>2991</v>
      </c>
      <c r="AD626" s="0" t="s">
        <v>2991</v>
      </c>
      <c r="AE626" s="0" t="s">
        <v>2992</v>
      </c>
      <c r="AF626" s="0" t="s">
        <v>6158</v>
      </c>
      <c r="AG626" s="0" t="s">
        <v>6159</v>
      </c>
      <c r="AH626" s="0" t="s">
        <v>5684</v>
      </c>
      <c r="AI626" s="0" t="s">
        <v>5551</v>
      </c>
      <c r="AJ626" s="0" t="s">
        <v>5504</v>
      </c>
      <c r="AK626" s="0" t="s">
        <v>5544</v>
      </c>
      <c r="AL626" s="0" t="s">
        <v>5506</v>
      </c>
      <c r="AM626" s="0" t="s">
        <v>5493</v>
      </c>
      <c r="AN626" s="0" t="s">
        <v>5553</v>
      </c>
      <c r="AO626" s="0" t="s">
        <v>5786</v>
      </c>
      <c r="AP626" s="0" t="s">
        <v>240</v>
      </c>
      <c r="AQ626" s="0" t="s">
        <v>240</v>
      </c>
      <c r="AR626" s="0" t="s">
        <v>240</v>
      </c>
      <c r="AS626" s="0" t="s">
        <v>240</v>
      </c>
      <c r="AT626" s="0" t="s">
        <v>240</v>
      </c>
      <c r="AU626" s="0" t="s">
        <v>240</v>
      </c>
      <c r="AV626" s="0" t="s">
        <v>240</v>
      </c>
      <c r="AW626" s="0" t="s">
        <v>240</v>
      </c>
      <c r="AX626" s="0" t="s">
        <v>240</v>
      </c>
      <c r="AY626" s="0" t="s">
        <v>240</v>
      </c>
      <c r="AZ626" s="0" t="s">
        <v>240</v>
      </c>
      <c r="BA626" s="0" t="s">
        <v>240</v>
      </c>
      <c r="BB626" s="0" t="s">
        <v>240</v>
      </c>
      <c r="BC626" s="0" t="s">
        <v>240</v>
      </c>
      <c r="BD626" s="0" t="s">
        <v>240</v>
      </c>
      <c r="BE626" s="0" t="s">
        <v>240</v>
      </c>
      <c r="BF626" s="0" t="s">
        <v>240</v>
      </c>
      <c r="BG626" s="0" t="s">
        <v>240</v>
      </c>
      <c r="BH626" s="0" t="s">
        <v>240</v>
      </c>
      <c r="BI626" s="0" t="s">
        <v>240</v>
      </c>
      <c r="BJ626" s="0" t="s">
        <v>240</v>
      </c>
      <c r="BK626" s="0" t="s">
        <v>240</v>
      </c>
      <c r="BL626" s="0" t="s">
        <v>240</v>
      </c>
      <c r="BM626" s="0" t="s">
        <v>240</v>
      </c>
      <c r="BN626" s="0" t="s">
        <v>240</v>
      </c>
      <c r="BO626" s="0" t="s">
        <v>240</v>
      </c>
      <c r="BP626" s="0" t="s">
        <v>240</v>
      </c>
      <c r="BQ626" s="0" t="s">
        <v>240</v>
      </c>
      <c r="BR626" s="0" t="s">
        <v>240</v>
      </c>
      <c r="BS626" s="0" t="s">
        <v>240</v>
      </c>
      <c r="BT626" s="0" t="s">
        <v>240</v>
      </c>
      <c r="BU626" s="0" t="s">
        <v>240</v>
      </c>
      <c r="BV626" s="0" t="s">
        <v>240</v>
      </c>
      <c r="BW626" s="0" t="s">
        <v>240</v>
      </c>
      <c r="BX626" s="0" t="s">
        <v>240</v>
      </c>
      <c r="BY626" s="0" t="s">
        <v>240</v>
      </c>
      <c r="BZ626" s="0" t="s">
        <v>240</v>
      </c>
      <c r="CA626" s="0" t="s">
        <v>240</v>
      </c>
      <c r="CB626" s="0" t="s">
        <v>240</v>
      </c>
      <c r="CC626" s="0" t="s">
        <v>240</v>
      </c>
      <c r="CD626" s="0" t="s">
        <v>240</v>
      </c>
      <c r="CE626" s="0" t="s">
        <v>240</v>
      </c>
      <c r="CF626" s="0" t="s">
        <v>240</v>
      </c>
      <c r="CG626" s="0" t="s">
        <v>240</v>
      </c>
      <c r="CH626" s="0" t="s">
        <v>240</v>
      </c>
      <c r="CI626" s="0" t="s">
        <v>240</v>
      </c>
      <c r="CJ626" s="0" t="s">
        <v>240</v>
      </c>
      <c r="CK626" s="0" t="s">
        <v>240</v>
      </c>
      <c r="CL626" s="0" t="s">
        <v>240</v>
      </c>
      <c r="CM626" s="0" t="s">
        <v>240</v>
      </c>
      <c r="CN626" s="0" t="s">
        <v>240</v>
      </c>
      <c r="CO626" s="0" t="s">
        <v>240</v>
      </c>
      <c r="CP626" s="0" t="s">
        <v>240</v>
      </c>
      <c r="CQ626" s="0" t="s">
        <v>240</v>
      </c>
      <c r="CR626" s="0" t="s">
        <v>240</v>
      </c>
      <c r="CS626" s="0" t="s">
        <v>240</v>
      </c>
      <c r="CT626" s="0" t="s">
        <v>5496</v>
      </c>
      <c r="CU626" s="0" t="s">
        <v>5497</v>
      </c>
      <c r="CV626" s="0" t="s">
        <v>443</v>
      </c>
      <c r="CW626" s="0" t="s">
        <v>5547</v>
      </c>
      <c r="CX626" s="0" t="s">
        <v>229</v>
      </c>
      <c r="CY626" s="0" t="s">
        <v>443</v>
      </c>
      <c r="CZ626" s="0" t="s">
        <v>5548</v>
      </c>
      <c r="DA626" s="0" t="s">
        <v>5549</v>
      </c>
      <c r="DB626" s="0" t="s">
        <v>5547</v>
      </c>
      <c r="DC626" s="0" t="s">
        <v>384</v>
      </c>
      <c r="DD626" s="0" t="s">
        <v>291</v>
      </c>
      <c r="DE626" s="0" t="s">
        <v>6160</v>
      </c>
    </row>
    <row customHeight="1" ht="11.25">
      <c r="A627" s="1441" t="s">
        <v>240</v>
      </c>
      <c r="B627" s="0" t="s">
        <v>240</v>
      </c>
      <c r="C627" s="0" t="s">
        <v>240</v>
      </c>
      <c r="D627" s="0" t="s">
        <v>240</v>
      </c>
      <c r="E627" s="0" t="s">
        <v>240</v>
      </c>
      <c r="F627" s="0" t="s">
        <v>240</v>
      </c>
      <c r="G627" s="0" t="s">
        <v>240</v>
      </c>
      <c r="H627" s="0" t="s">
        <v>240</v>
      </c>
      <c r="I627" s="0" t="s">
        <v>5484</v>
      </c>
      <c r="J627" s="0" t="s">
        <v>240</v>
      </c>
      <c r="K627" s="0" t="s">
        <v>240</v>
      </c>
      <c r="L627" s="0" t="s">
        <v>240</v>
      </c>
      <c r="M627" s="0" t="s">
        <v>240</v>
      </c>
      <c r="N627" s="0" t="s">
        <v>240</v>
      </c>
      <c r="O627" s="0" t="s">
        <v>240</v>
      </c>
      <c r="P627" s="0" t="s">
        <v>240</v>
      </c>
      <c r="Q627" s="0" t="s">
        <v>240</v>
      </c>
      <c r="R627" s="0" t="s">
        <v>6413</v>
      </c>
      <c r="S627" s="0" t="s">
        <v>240</v>
      </c>
      <c r="T627" s="0" t="s">
        <v>240</v>
      </c>
      <c r="U627" s="0" t="s">
        <v>102</v>
      </c>
      <c r="V627" s="0" t="s">
        <v>240</v>
      </c>
      <c r="W627" s="0" t="s">
        <v>240</v>
      </c>
      <c r="X627" s="0" t="s">
        <v>5585</v>
      </c>
      <c r="Y627" s="0" t="s">
        <v>240</v>
      </c>
      <c r="Z627" s="0" t="s">
        <v>152</v>
      </c>
      <c r="AA627" s="0" t="s">
        <v>152</v>
      </c>
      <c r="AB627" s="0" t="s">
        <v>161</v>
      </c>
      <c r="AC627" s="0" t="s">
        <v>2991</v>
      </c>
      <c r="AD627" s="0" t="s">
        <v>2991</v>
      </c>
      <c r="AE627" s="0" t="s">
        <v>2992</v>
      </c>
      <c r="AF627" s="0" t="s">
        <v>6158</v>
      </c>
      <c r="AG627" s="0" t="s">
        <v>6159</v>
      </c>
      <c r="AH627" s="0" t="s">
        <v>5575</v>
      </c>
      <c r="AI627" s="0" t="s">
        <v>5575</v>
      </c>
      <c r="AJ627" s="0" t="s">
        <v>240</v>
      </c>
      <c r="AK627" s="0" t="s">
        <v>240</v>
      </c>
      <c r="AL627" s="0" t="s">
        <v>240</v>
      </c>
      <c r="AM627" s="0" t="s">
        <v>240</v>
      </c>
      <c r="AN627" s="0" t="s">
        <v>240</v>
      </c>
      <c r="AO627" s="0" t="s">
        <v>240</v>
      </c>
      <c r="AP627" s="0" t="s">
        <v>240</v>
      </c>
      <c r="AQ627" s="0" t="s">
        <v>240</v>
      </c>
      <c r="AR627" s="0" t="s">
        <v>240</v>
      </c>
      <c r="AS627" s="0" t="s">
        <v>240</v>
      </c>
      <c r="AT627" s="0" t="s">
        <v>240</v>
      </c>
      <c r="AU627" s="0" t="s">
        <v>240</v>
      </c>
      <c r="AV627" s="0" t="s">
        <v>240</v>
      </c>
      <c r="AW627" s="0" t="s">
        <v>240</v>
      </c>
      <c r="AX627" s="0" t="s">
        <v>240</v>
      </c>
      <c r="AY627" s="0" t="s">
        <v>240</v>
      </c>
      <c r="AZ627" s="0" t="s">
        <v>240</v>
      </c>
      <c r="BA627" s="0" t="s">
        <v>240</v>
      </c>
      <c r="BB627" s="0" t="s">
        <v>240</v>
      </c>
      <c r="BC627" s="0" t="s">
        <v>240</v>
      </c>
      <c r="BD627" s="0" t="s">
        <v>240</v>
      </c>
      <c r="BE627" s="0" t="s">
        <v>5576</v>
      </c>
      <c r="BF627" s="0" t="s">
        <v>5544</v>
      </c>
      <c r="BG627" s="0" t="s">
        <v>112</v>
      </c>
      <c r="BH627" s="0" t="s">
        <v>5589</v>
      </c>
      <c r="BI627" s="0" t="s">
        <v>123</v>
      </c>
      <c r="BJ627" s="0" t="s">
        <v>240</v>
      </c>
      <c r="BK627" s="0" t="s">
        <v>5608</v>
      </c>
      <c r="BL627" s="0" t="s">
        <v>2991</v>
      </c>
      <c r="BM627" s="0" t="s">
        <v>2991</v>
      </c>
      <c r="BN627" s="0" t="s">
        <v>5663</v>
      </c>
      <c r="BO627" s="0" t="s">
        <v>6158</v>
      </c>
      <c r="BP627" s="0" t="s">
        <v>6414</v>
      </c>
      <c r="BQ627" s="0" t="s">
        <v>5575</v>
      </c>
      <c r="BR627" s="0" t="s">
        <v>5575</v>
      </c>
      <c r="BS627" s="0" t="s">
        <v>240</v>
      </c>
      <c r="BT627" s="0" t="s">
        <v>5650</v>
      </c>
      <c r="BU627" s="0" t="s">
        <v>6415</v>
      </c>
      <c r="BV627" s="0" t="s">
        <v>6415</v>
      </c>
      <c r="BW627" s="0" t="s">
        <v>5598</v>
      </c>
      <c r="BX627" s="0" t="s">
        <v>5598</v>
      </c>
      <c r="BY627" s="0" t="s">
        <v>5598</v>
      </c>
      <c r="BZ627" s="0" t="s">
        <v>5598</v>
      </c>
      <c r="CA627" s="0" t="s">
        <v>5598</v>
      </c>
      <c r="CB627" s="0" t="s">
        <v>240</v>
      </c>
      <c r="CC627" s="0" t="s">
        <v>240</v>
      </c>
      <c r="CD627" s="0" t="s">
        <v>240</v>
      </c>
      <c r="CE627" s="0" t="s">
        <v>240</v>
      </c>
      <c r="CF627" s="0" t="s">
        <v>240</v>
      </c>
      <c r="CG627" s="0" t="s">
        <v>5598</v>
      </c>
      <c r="CH627" s="0" t="s">
        <v>240</v>
      </c>
      <c r="CI627" s="0" t="s">
        <v>240</v>
      </c>
      <c r="CJ627" s="0" t="s">
        <v>240</v>
      </c>
      <c r="CK627" s="0" t="s">
        <v>240</v>
      </c>
      <c r="CL627" s="0" t="s">
        <v>240</v>
      </c>
      <c r="CM627" s="0" t="s">
        <v>6415</v>
      </c>
      <c r="CN627" s="0" t="s">
        <v>6415</v>
      </c>
      <c r="CO627" s="0" t="s">
        <v>240</v>
      </c>
      <c r="CP627" s="0" t="s">
        <v>240</v>
      </c>
      <c r="CQ627" s="0" t="s">
        <v>240</v>
      </c>
      <c r="CR627" s="0" t="s">
        <v>240</v>
      </c>
      <c r="CS627" s="0" t="s">
        <v>5666</v>
      </c>
      <c r="CT627" s="0" t="s">
        <v>5496</v>
      </c>
      <c r="CU627" s="0" t="s">
        <v>5497</v>
      </c>
      <c r="CV627" s="0" t="s">
        <v>443</v>
      </c>
      <c r="CW627" s="0" t="s">
        <v>5547</v>
      </c>
      <c r="CX627" s="0" t="s">
        <v>229</v>
      </c>
      <c r="CY627" s="0" t="s">
        <v>443</v>
      </c>
      <c r="CZ627" s="0" t="s">
        <v>5548</v>
      </c>
      <c r="DA627" s="0" t="s">
        <v>5549</v>
      </c>
      <c r="DB627" s="0" t="s">
        <v>5547</v>
      </c>
      <c r="DC627" s="0" t="s">
        <v>384</v>
      </c>
      <c r="DD627" s="0" t="s">
        <v>291</v>
      </c>
      <c r="DE627" s="0" t="s">
        <v>6416</v>
      </c>
    </row>
    <row customHeight="1" ht="11.25">
      <c r="A628" s="1441" t="s">
        <v>240</v>
      </c>
      <c r="B628" s="0" t="s">
        <v>240</v>
      </c>
      <c r="C628" s="0" t="s">
        <v>240</v>
      </c>
      <c r="D628" s="0" t="s">
        <v>240</v>
      </c>
      <c r="E628" s="0" t="s">
        <v>240</v>
      </c>
      <c r="F628" s="0" t="s">
        <v>240</v>
      </c>
      <c r="G628" s="0" t="s">
        <v>240</v>
      </c>
      <c r="H628" s="0" t="s">
        <v>240</v>
      </c>
      <c r="I628" s="0" t="s">
        <v>5484</v>
      </c>
      <c r="J628" s="0" t="s">
        <v>240</v>
      </c>
      <c r="K628" s="0" t="s">
        <v>240</v>
      </c>
      <c r="L628" s="0" t="s">
        <v>240</v>
      </c>
      <c r="M628" s="0" t="s">
        <v>240</v>
      </c>
      <c r="N628" s="0" t="s">
        <v>240</v>
      </c>
      <c r="O628" s="0" t="s">
        <v>240</v>
      </c>
      <c r="P628" s="0" t="s">
        <v>240</v>
      </c>
      <c r="Q628" s="0" t="s">
        <v>240</v>
      </c>
      <c r="R628" s="0" t="s">
        <v>5499</v>
      </c>
      <c r="S628" s="0" t="s">
        <v>240</v>
      </c>
      <c r="T628" s="0" t="s">
        <v>240</v>
      </c>
      <c r="U628" s="0" t="s">
        <v>102</v>
      </c>
      <c r="V628" s="0" t="s">
        <v>240</v>
      </c>
      <c r="W628" s="0" t="s">
        <v>240</v>
      </c>
      <c r="X628" s="0" t="s">
        <v>5485</v>
      </c>
      <c r="Y628" s="0" t="s">
        <v>240</v>
      </c>
      <c r="Z628" s="0" t="s">
        <v>161</v>
      </c>
      <c r="AA628" s="0" t="s">
        <v>152</v>
      </c>
      <c r="AB628" s="0" t="s">
        <v>152</v>
      </c>
      <c r="AC628" s="0" t="s">
        <v>2985</v>
      </c>
      <c r="AD628" s="0" t="s">
        <v>2985</v>
      </c>
      <c r="AE628" s="0" t="s">
        <v>2986</v>
      </c>
      <c r="AF628" s="0" t="s">
        <v>5500</v>
      </c>
      <c r="AG628" s="0" t="s">
        <v>5501</v>
      </c>
      <c r="AH628" s="0" t="s">
        <v>5502</v>
      </c>
      <c r="AI628" s="0" t="s">
        <v>5503</v>
      </c>
      <c r="AJ628" s="0" t="s">
        <v>5504</v>
      </c>
      <c r="AK628" s="0" t="s">
        <v>5505</v>
      </c>
      <c r="AL628" s="0" t="s">
        <v>5506</v>
      </c>
      <c r="AM628" s="0" t="s">
        <v>5493</v>
      </c>
      <c r="AN628" s="0" t="s">
        <v>5507</v>
      </c>
      <c r="AO628" s="0" t="s">
        <v>5508</v>
      </c>
      <c r="AP628" s="0" t="s">
        <v>240</v>
      </c>
      <c r="AQ628" s="0" t="s">
        <v>240</v>
      </c>
      <c r="AR628" s="0" t="s">
        <v>240</v>
      </c>
      <c r="AS628" s="0" t="s">
        <v>240</v>
      </c>
      <c r="AT628" s="0" t="s">
        <v>240</v>
      </c>
      <c r="AU628" s="0" t="s">
        <v>240</v>
      </c>
      <c r="AV628" s="0" t="s">
        <v>240</v>
      </c>
      <c r="AW628" s="0" t="s">
        <v>240</v>
      </c>
      <c r="AX628" s="0" t="s">
        <v>240</v>
      </c>
      <c r="AY628" s="0" t="s">
        <v>240</v>
      </c>
      <c r="AZ628" s="0" t="s">
        <v>240</v>
      </c>
      <c r="BA628" s="0" t="s">
        <v>240</v>
      </c>
      <c r="BB628" s="0" t="s">
        <v>240</v>
      </c>
      <c r="BC628" s="0" t="s">
        <v>240</v>
      </c>
      <c r="BD628" s="0" t="s">
        <v>240</v>
      </c>
      <c r="BE628" s="0" t="s">
        <v>240</v>
      </c>
      <c r="BF628" s="0" t="s">
        <v>240</v>
      </c>
      <c r="BG628" s="0" t="s">
        <v>240</v>
      </c>
      <c r="BH628" s="0" t="s">
        <v>240</v>
      </c>
      <c r="BI628" s="0" t="s">
        <v>240</v>
      </c>
      <c r="BJ628" s="0" t="s">
        <v>240</v>
      </c>
      <c r="BK628" s="0" t="s">
        <v>240</v>
      </c>
      <c r="BL628" s="0" t="s">
        <v>240</v>
      </c>
      <c r="BM628" s="0" t="s">
        <v>240</v>
      </c>
      <c r="BN628" s="0" t="s">
        <v>240</v>
      </c>
      <c r="BO628" s="0" t="s">
        <v>240</v>
      </c>
      <c r="BP628" s="0" t="s">
        <v>240</v>
      </c>
      <c r="BQ628" s="0" t="s">
        <v>240</v>
      </c>
      <c r="BR628" s="0" t="s">
        <v>240</v>
      </c>
      <c r="BS628" s="0" t="s">
        <v>240</v>
      </c>
      <c r="BT628" s="0" t="s">
        <v>240</v>
      </c>
      <c r="BU628" s="0" t="s">
        <v>240</v>
      </c>
      <c r="BV628" s="0" t="s">
        <v>240</v>
      </c>
      <c r="BW628" s="0" t="s">
        <v>240</v>
      </c>
      <c r="BX628" s="0" t="s">
        <v>240</v>
      </c>
      <c r="BY628" s="0" t="s">
        <v>240</v>
      </c>
      <c r="BZ628" s="0" t="s">
        <v>240</v>
      </c>
      <c r="CA628" s="0" t="s">
        <v>240</v>
      </c>
      <c r="CB628" s="0" t="s">
        <v>240</v>
      </c>
      <c r="CC628" s="0" t="s">
        <v>240</v>
      </c>
      <c r="CD628" s="0" t="s">
        <v>240</v>
      </c>
      <c r="CE628" s="0" t="s">
        <v>240</v>
      </c>
      <c r="CF628" s="0" t="s">
        <v>240</v>
      </c>
      <c r="CG628" s="0" t="s">
        <v>240</v>
      </c>
      <c r="CH628" s="0" t="s">
        <v>240</v>
      </c>
      <c r="CI628" s="0" t="s">
        <v>240</v>
      </c>
      <c r="CJ628" s="0" t="s">
        <v>240</v>
      </c>
      <c r="CK628" s="0" t="s">
        <v>240</v>
      </c>
      <c r="CL628" s="0" t="s">
        <v>240</v>
      </c>
      <c r="CM628" s="0" t="s">
        <v>240</v>
      </c>
      <c r="CN628" s="0" t="s">
        <v>240</v>
      </c>
      <c r="CO628" s="0" t="s">
        <v>240</v>
      </c>
      <c r="CP628" s="0" t="s">
        <v>240</v>
      </c>
      <c r="CQ628" s="0" t="s">
        <v>240</v>
      </c>
      <c r="CR628" s="0" t="s">
        <v>240</v>
      </c>
      <c r="CS628" s="0" t="s">
        <v>240</v>
      </c>
      <c r="CT628" s="0" t="s">
        <v>5496</v>
      </c>
      <c r="CU628" s="0" t="s">
        <v>5497</v>
      </c>
      <c r="CV628" s="0" t="s">
        <v>443</v>
      </c>
      <c r="CW628" s="0" t="s">
        <v>5509</v>
      </c>
      <c r="CX628" s="0" t="s">
        <v>229</v>
      </c>
      <c r="CY628" s="0" t="s">
        <v>443</v>
      </c>
      <c r="CZ628" s="0" t="s">
        <v>5510</v>
      </c>
      <c r="DA628" s="0" t="s">
        <v>5511</v>
      </c>
      <c r="DB628" s="0" t="s">
        <v>5509</v>
      </c>
      <c r="DC628" s="0" t="s">
        <v>384</v>
      </c>
      <c r="DD628" s="0" t="s">
        <v>291</v>
      </c>
      <c r="DE628" s="0" t="s">
        <v>5512</v>
      </c>
    </row>
    <row customHeight="1" ht="11.25">
      <c r="A629" s="1441" t="s">
        <v>240</v>
      </c>
      <c r="B629" s="0" t="s">
        <v>240</v>
      </c>
      <c r="C629" s="0" t="s">
        <v>240</v>
      </c>
      <c r="D629" s="0" t="s">
        <v>240</v>
      </c>
      <c r="E629" s="0" t="s">
        <v>240</v>
      </c>
      <c r="F629" s="0" t="s">
        <v>240</v>
      </c>
      <c r="G629" s="0" t="s">
        <v>240</v>
      </c>
      <c r="H629" s="0" t="s">
        <v>240</v>
      </c>
      <c r="I629" s="0" t="s">
        <v>5484</v>
      </c>
      <c r="J629" s="0" t="s">
        <v>240</v>
      </c>
      <c r="K629" s="0" t="s">
        <v>240</v>
      </c>
      <c r="L629" s="0" t="s">
        <v>240</v>
      </c>
      <c r="M629" s="0" t="s">
        <v>240</v>
      </c>
      <c r="N629" s="0" t="s">
        <v>240</v>
      </c>
      <c r="O629" s="0" t="s">
        <v>240</v>
      </c>
      <c r="P629" s="0" t="s">
        <v>240</v>
      </c>
      <c r="Q629" s="0" t="s">
        <v>240</v>
      </c>
      <c r="R629" s="0" t="s">
        <v>6659</v>
      </c>
      <c r="S629" s="0" t="s">
        <v>240</v>
      </c>
      <c r="T629" s="0" t="s">
        <v>240</v>
      </c>
      <c r="U629" s="0" t="s">
        <v>102</v>
      </c>
      <c r="V629" s="0" t="s">
        <v>240</v>
      </c>
      <c r="W629" s="0" t="s">
        <v>240</v>
      </c>
      <c r="X629" s="0" t="s">
        <v>5585</v>
      </c>
      <c r="Y629" s="0" t="s">
        <v>240</v>
      </c>
      <c r="Z629" s="0" t="s">
        <v>152</v>
      </c>
      <c r="AA629" s="0" t="s">
        <v>152</v>
      </c>
      <c r="AB629" s="0" t="s">
        <v>161</v>
      </c>
      <c r="AC629" s="0" t="s">
        <v>2991</v>
      </c>
      <c r="AD629" s="0" t="s">
        <v>2991</v>
      </c>
      <c r="AE629" s="0" t="s">
        <v>2992</v>
      </c>
      <c r="AF629" s="0" t="s">
        <v>5834</v>
      </c>
      <c r="AG629" s="0" t="s">
        <v>5835</v>
      </c>
      <c r="AH629" s="0" t="s">
        <v>5575</v>
      </c>
      <c r="AI629" s="0" t="s">
        <v>5575</v>
      </c>
      <c r="AJ629" s="0" t="s">
        <v>240</v>
      </c>
      <c r="AK629" s="0" t="s">
        <v>240</v>
      </c>
      <c r="AL629" s="0" t="s">
        <v>240</v>
      </c>
      <c r="AM629" s="0" t="s">
        <v>240</v>
      </c>
      <c r="AN629" s="0" t="s">
        <v>240</v>
      </c>
      <c r="AO629" s="0" t="s">
        <v>240</v>
      </c>
      <c r="AP629" s="0" t="s">
        <v>240</v>
      </c>
      <c r="AQ629" s="0" t="s">
        <v>240</v>
      </c>
      <c r="AR629" s="0" t="s">
        <v>240</v>
      </c>
      <c r="AS629" s="0" t="s">
        <v>240</v>
      </c>
      <c r="AT629" s="0" t="s">
        <v>240</v>
      </c>
      <c r="AU629" s="0" t="s">
        <v>240</v>
      </c>
      <c r="AV629" s="0" t="s">
        <v>240</v>
      </c>
      <c r="AW629" s="0" t="s">
        <v>240</v>
      </c>
      <c r="AX629" s="0" t="s">
        <v>240</v>
      </c>
      <c r="AY629" s="0" t="s">
        <v>240</v>
      </c>
      <c r="AZ629" s="0" t="s">
        <v>240</v>
      </c>
      <c r="BA629" s="0" t="s">
        <v>240</v>
      </c>
      <c r="BB629" s="0" t="s">
        <v>240</v>
      </c>
      <c r="BC629" s="0" t="s">
        <v>240</v>
      </c>
      <c r="BD629" s="0" t="s">
        <v>240</v>
      </c>
      <c r="BE629" s="0" t="s">
        <v>5504</v>
      </c>
      <c r="BF629" s="0" t="s">
        <v>5672</v>
      </c>
      <c r="BG629" s="0" t="s">
        <v>112</v>
      </c>
      <c r="BH629" s="0" t="s">
        <v>5589</v>
      </c>
      <c r="BI629" s="0" t="s">
        <v>123</v>
      </c>
      <c r="BJ629" s="0" t="s">
        <v>240</v>
      </c>
      <c r="BK629" s="0" t="s">
        <v>5608</v>
      </c>
      <c r="BL629" s="0" t="s">
        <v>2991</v>
      </c>
      <c r="BM629" s="0" t="s">
        <v>2991</v>
      </c>
      <c r="BN629" s="0" t="s">
        <v>5663</v>
      </c>
      <c r="BO629" s="0" t="s">
        <v>5834</v>
      </c>
      <c r="BP629" s="0" t="s">
        <v>6660</v>
      </c>
      <c r="BQ629" s="0" t="s">
        <v>5575</v>
      </c>
      <c r="BR629" s="0" t="s">
        <v>5575</v>
      </c>
      <c r="BS629" s="0" t="s">
        <v>240</v>
      </c>
      <c r="BT629" s="0" t="s">
        <v>5650</v>
      </c>
      <c r="BU629" s="0" t="s">
        <v>6661</v>
      </c>
      <c r="BV629" s="0" t="s">
        <v>6661</v>
      </c>
      <c r="BW629" s="0" t="s">
        <v>5598</v>
      </c>
      <c r="BX629" s="0" t="s">
        <v>5598</v>
      </c>
      <c r="BY629" s="0" t="s">
        <v>5598</v>
      </c>
      <c r="BZ629" s="0" t="s">
        <v>5598</v>
      </c>
      <c r="CA629" s="0" t="s">
        <v>5598</v>
      </c>
      <c r="CB629" s="0" t="s">
        <v>240</v>
      </c>
      <c r="CC629" s="0" t="s">
        <v>240</v>
      </c>
      <c r="CD629" s="0" t="s">
        <v>240</v>
      </c>
      <c r="CE629" s="0" t="s">
        <v>240</v>
      </c>
      <c r="CF629" s="0" t="s">
        <v>240</v>
      </c>
      <c r="CG629" s="0" t="s">
        <v>5598</v>
      </c>
      <c r="CH629" s="0" t="s">
        <v>240</v>
      </c>
      <c r="CI629" s="0" t="s">
        <v>240</v>
      </c>
      <c r="CJ629" s="0" t="s">
        <v>240</v>
      </c>
      <c r="CK629" s="0" t="s">
        <v>240</v>
      </c>
      <c r="CL629" s="0" t="s">
        <v>240</v>
      </c>
      <c r="CM629" s="0" t="s">
        <v>6661</v>
      </c>
      <c r="CN629" s="0" t="s">
        <v>6661</v>
      </c>
      <c r="CO629" s="0" t="s">
        <v>240</v>
      </c>
      <c r="CP629" s="0" t="s">
        <v>240</v>
      </c>
      <c r="CQ629" s="0" t="s">
        <v>240</v>
      </c>
      <c r="CR629" s="0" t="s">
        <v>240</v>
      </c>
      <c r="CS629" s="0" t="s">
        <v>5666</v>
      </c>
      <c r="CT629" s="0" t="s">
        <v>5496</v>
      </c>
      <c r="CU629" s="0" t="s">
        <v>5497</v>
      </c>
      <c r="CV629" s="0" t="s">
        <v>443</v>
      </c>
      <c r="CW629" s="0" t="s">
        <v>5547</v>
      </c>
      <c r="CX629" s="0" t="s">
        <v>229</v>
      </c>
      <c r="CY629" s="0" t="s">
        <v>443</v>
      </c>
      <c r="CZ629" s="0" t="s">
        <v>5548</v>
      </c>
      <c r="DA629" s="0" t="s">
        <v>5549</v>
      </c>
      <c r="DB629" s="0" t="s">
        <v>5547</v>
      </c>
      <c r="DC629" s="0" t="s">
        <v>384</v>
      </c>
      <c r="DD629" s="0" t="s">
        <v>291</v>
      </c>
      <c r="DE629" s="0" t="s">
        <v>6662</v>
      </c>
    </row>
    <row customHeight="1" ht="11.25">
      <c r="A630" s="1441" t="s">
        <v>240</v>
      </c>
      <c r="B630" s="0" t="s">
        <v>240</v>
      </c>
      <c r="C630" s="0" t="s">
        <v>240</v>
      </c>
      <c r="D630" s="0" t="s">
        <v>240</v>
      </c>
      <c r="E630" s="0" t="s">
        <v>240</v>
      </c>
      <c r="F630" s="0" t="s">
        <v>240</v>
      </c>
      <c r="G630" s="0" t="s">
        <v>240</v>
      </c>
      <c r="H630" s="0" t="s">
        <v>240</v>
      </c>
      <c r="I630" s="0" t="s">
        <v>5484</v>
      </c>
      <c r="J630" s="0" t="s">
        <v>240</v>
      </c>
      <c r="K630" s="0" t="s">
        <v>240</v>
      </c>
      <c r="L630" s="0" t="s">
        <v>240</v>
      </c>
      <c r="M630" s="0" t="s">
        <v>240</v>
      </c>
      <c r="N630" s="0" t="s">
        <v>240</v>
      </c>
      <c r="O630" s="0" t="s">
        <v>240</v>
      </c>
      <c r="P630" s="0" t="s">
        <v>240</v>
      </c>
      <c r="Q630" s="0" t="s">
        <v>240</v>
      </c>
      <c r="R630" s="0" t="s">
        <v>5572</v>
      </c>
      <c r="S630" s="0" t="s">
        <v>240</v>
      </c>
      <c r="T630" s="0" t="s">
        <v>240</v>
      </c>
      <c r="U630" s="0" t="s">
        <v>102</v>
      </c>
      <c r="V630" s="0" t="s">
        <v>240</v>
      </c>
      <c r="W630" s="0" t="s">
        <v>240</v>
      </c>
      <c r="X630" s="0" t="s">
        <v>5485</v>
      </c>
      <c r="Y630" s="0" t="s">
        <v>240</v>
      </c>
      <c r="Z630" s="0" t="s">
        <v>161</v>
      </c>
      <c r="AA630" s="0" t="s">
        <v>152</v>
      </c>
      <c r="AB630" s="0" t="s">
        <v>152</v>
      </c>
      <c r="AC630" s="0" t="s">
        <v>2989</v>
      </c>
      <c r="AD630" s="0" t="s">
        <v>2989</v>
      </c>
      <c r="AE630" s="0" t="s">
        <v>2990</v>
      </c>
      <c r="AF630" s="0" t="s">
        <v>6667</v>
      </c>
      <c r="AG630" s="0" t="s">
        <v>6668</v>
      </c>
      <c r="AH630" s="0" t="s">
        <v>6669</v>
      </c>
      <c r="AI630" s="0" t="s">
        <v>5575</v>
      </c>
      <c r="AJ630" s="0" t="s">
        <v>5576</v>
      </c>
      <c r="AK630" s="0" t="s">
        <v>6670</v>
      </c>
      <c r="AL630" s="0" t="s">
        <v>5506</v>
      </c>
      <c r="AM630" s="0" t="s">
        <v>5493</v>
      </c>
      <c r="AN630" s="0" t="s">
        <v>5578</v>
      </c>
      <c r="AO630" s="0" t="s">
        <v>5855</v>
      </c>
      <c r="AP630" s="0" t="s">
        <v>240</v>
      </c>
      <c r="AQ630" s="0" t="s">
        <v>240</v>
      </c>
      <c r="AR630" s="0" t="s">
        <v>240</v>
      </c>
      <c r="AS630" s="0" t="s">
        <v>240</v>
      </c>
      <c r="AT630" s="0" t="s">
        <v>240</v>
      </c>
      <c r="AU630" s="0" t="s">
        <v>240</v>
      </c>
      <c r="AV630" s="0" t="s">
        <v>240</v>
      </c>
      <c r="AW630" s="0" t="s">
        <v>240</v>
      </c>
      <c r="AX630" s="0" t="s">
        <v>240</v>
      </c>
      <c r="AY630" s="0" t="s">
        <v>240</v>
      </c>
      <c r="AZ630" s="0" t="s">
        <v>240</v>
      </c>
      <c r="BA630" s="0" t="s">
        <v>240</v>
      </c>
      <c r="BB630" s="0" t="s">
        <v>240</v>
      </c>
      <c r="BC630" s="0" t="s">
        <v>240</v>
      </c>
      <c r="BD630" s="0" t="s">
        <v>240</v>
      </c>
      <c r="BE630" s="0" t="s">
        <v>240</v>
      </c>
      <c r="BF630" s="0" t="s">
        <v>240</v>
      </c>
      <c r="BG630" s="0" t="s">
        <v>240</v>
      </c>
      <c r="BH630" s="0" t="s">
        <v>240</v>
      </c>
      <c r="BI630" s="0" t="s">
        <v>240</v>
      </c>
      <c r="BJ630" s="0" t="s">
        <v>240</v>
      </c>
      <c r="BK630" s="0" t="s">
        <v>240</v>
      </c>
      <c r="BL630" s="0" t="s">
        <v>240</v>
      </c>
      <c r="BM630" s="0" t="s">
        <v>240</v>
      </c>
      <c r="BN630" s="0" t="s">
        <v>240</v>
      </c>
      <c r="BO630" s="0" t="s">
        <v>240</v>
      </c>
      <c r="BP630" s="0" t="s">
        <v>240</v>
      </c>
      <c r="BQ630" s="0" t="s">
        <v>240</v>
      </c>
      <c r="BR630" s="0" t="s">
        <v>240</v>
      </c>
      <c r="BS630" s="0" t="s">
        <v>240</v>
      </c>
      <c r="BT630" s="0" t="s">
        <v>240</v>
      </c>
      <c r="BU630" s="0" t="s">
        <v>240</v>
      </c>
      <c r="BV630" s="0" t="s">
        <v>240</v>
      </c>
      <c r="BW630" s="0" t="s">
        <v>240</v>
      </c>
      <c r="BX630" s="0" t="s">
        <v>240</v>
      </c>
      <c r="BY630" s="0" t="s">
        <v>240</v>
      </c>
      <c r="BZ630" s="0" t="s">
        <v>240</v>
      </c>
      <c r="CA630" s="0" t="s">
        <v>240</v>
      </c>
      <c r="CB630" s="0" t="s">
        <v>240</v>
      </c>
      <c r="CC630" s="0" t="s">
        <v>240</v>
      </c>
      <c r="CD630" s="0" t="s">
        <v>240</v>
      </c>
      <c r="CE630" s="0" t="s">
        <v>240</v>
      </c>
      <c r="CF630" s="0" t="s">
        <v>240</v>
      </c>
      <c r="CG630" s="0" t="s">
        <v>240</v>
      </c>
      <c r="CH630" s="0" t="s">
        <v>240</v>
      </c>
      <c r="CI630" s="0" t="s">
        <v>240</v>
      </c>
      <c r="CJ630" s="0" t="s">
        <v>240</v>
      </c>
      <c r="CK630" s="0" t="s">
        <v>240</v>
      </c>
      <c r="CL630" s="0" t="s">
        <v>240</v>
      </c>
      <c r="CM630" s="0" t="s">
        <v>240</v>
      </c>
      <c r="CN630" s="0" t="s">
        <v>240</v>
      </c>
      <c r="CO630" s="0" t="s">
        <v>240</v>
      </c>
      <c r="CP630" s="0" t="s">
        <v>240</v>
      </c>
      <c r="CQ630" s="0" t="s">
        <v>240</v>
      </c>
      <c r="CR630" s="0" t="s">
        <v>240</v>
      </c>
      <c r="CS630" s="0" t="s">
        <v>240</v>
      </c>
      <c r="CT630" s="0" t="s">
        <v>5496</v>
      </c>
      <c r="CU630" s="0" t="s">
        <v>5497</v>
      </c>
      <c r="CV630" s="0" t="s">
        <v>443</v>
      </c>
      <c r="CW630" s="0" t="s">
        <v>5580</v>
      </c>
      <c r="CX630" s="0" t="s">
        <v>229</v>
      </c>
      <c r="CY630" s="0" t="s">
        <v>443</v>
      </c>
      <c r="CZ630" s="0" t="s">
        <v>5581</v>
      </c>
      <c r="DA630" s="0" t="s">
        <v>5582</v>
      </c>
      <c r="DB630" s="0" t="s">
        <v>5580</v>
      </c>
      <c r="DC630" s="0" t="s">
        <v>384</v>
      </c>
      <c r="DD630" s="0" t="s">
        <v>291</v>
      </c>
      <c r="DE630" s="0" t="s">
        <v>6671</v>
      </c>
    </row>
    <row customHeight="1" ht="11.25">
      <c r="A631" s="1441" t="s">
        <v>240</v>
      </c>
      <c r="B631" s="0" t="s">
        <v>240</v>
      </c>
      <c r="C631" s="0" t="s">
        <v>240</v>
      </c>
      <c r="D631" s="0" t="s">
        <v>240</v>
      </c>
      <c r="E631" s="0" t="s">
        <v>240</v>
      </c>
      <c r="F631" s="0" t="s">
        <v>240</v>
      </c>
      <c r="G631" s="0" t="s">
        <v>240</v>
      </c>
      <c r="H631" s="0" t="s">
        <v>240</v>
      </c>
      <c r="I631" s="0" t="s">
        <v>5484</v>
      </c>
      <c r="J631" s="0" t="s">
        <v>240</v>
      </c>
      <c r="K631" s="0" t="s">
        <v>240</v>
      </c>
      <c r="L631" s="0" t="s">
        <v>240</v>
      </c>
      <c r="M631" s="0" t="s">
        <v>240</v>
      </c>
      <c r="N631" s="0" t="s">
        <v>240</v>
      </c>
      <c r="O631" s="0" t="s">
        <v>240</v>
      </c>
      <c r="P631" s="0" t="s">
        <v>240</v>
      </c>
      <c r="Q631" s="0" t="s">
        <v>240</v>
      </c>
      <c r="R631" s="0" t="s">
        <v>6825</v>
      </c>
      <c r="S631" s="0" t="s">
        <v>240</v>
      </c>
      <c r="T631" s="0" t="s">
        <v>240</v>
      </c>
      <c r="U631" s="0" t="s">
        <v>102</v>
      </c>
      <c r="V631" s="0" t="s">
        <v>240</v>
      </c>
      <c r="W631" s="0" t="s">
        <v>240</v>
      </c>
      <c r="X631" s="0" t="s">
        <v>5585</v>
      </c>
      <c r="Y631" s="0" t="s">
        <v>240</v>
      </c>
      <c r="Z631" s="0" t="s">
        <v>152</v>
      </c>
      <c r="AA631" s="0" t="s">
        <v>152</v>
      </c>
      <c r="AB631" s="0" t="s">
        <v>161</v>
      </c>
      <c r="AC631" s="0" t="s">
        <v>2989</v>
      </c>
      <c r="AD631" s="0" t="s">
        <v>2989</v>
      </c>
      <c r="AE631" s="0" t="s">
        <v>2990</v>
      </c>
      <c r="AF631" s="0" t="s">
        <v>6667</v>
      </c>
      <c r="AG631" s="0" t="s">
        <v>6668</v>
      </c>
      <c r="AH631" s="0" t="s">
        <v>5575</v>
      </c>
      <c r="AI631" s="0" t="s">
        <v>5575</v>
      </c>
      <c r="AJ631" s="0" t="s">
        <v>240</v>
      </c>
      <c r="AK631" s="0" t="s">
        <v>240</v>
      </c>
      <c r="AL631" s="0" t="s">
        <v>240</v>
      </c>
      <c r="AM631" s="0" t="s">
        <v>240</v>
      </c>
      <c r="AN631" s="0" t="s">
        <v>240</v>
      </c>
      <c r="AO631" s="0" t="s">
        <v>240</v>
      </c>
      <c r="AP631" s="0" t="s">
        <v>240</v>
      </c>
      <c r="AQ631" s="0" t="s">
        <v>240</v>
      </c>
      <c r="AR631" s="0" t="s">
        <v>240</v>
      </c>
      <c r="AS631" s="0" t="s">
        <v>240</v>
      </c>
      <c r="AT631" s="0" t="s">
        <v>240</v>
      </c>
      <c r="AU631" s="0" t="s">
        <v>240</v>
      </c>
      <c r="AV631" s="0" t="s">
        <v>240</v>
      </c>
      <c r="AW631" s="0" t="s">
        <v>240</v>
      </c>
      <c r="AX631" s="0" t="s">
        <v>240</v>
      </c>
      <c r="AY631" s="0" t="s">
        <v>240</v>
      </c>
      <c r="AZ631" s="0" t="s">
        <v>240</v>
      </c>
      <c r="BA631" s="0" t="s">
        <v>240</v>
      </c>
      <c r="BB631" s="0" t="s">
        <v>240</v>
      </c>
      <c r="BC631" s="0" t="s">
        <v>240</v>
      </c>
      <c r="BD631" s="0" t="s">
        <v>240</v>
      </c>
      <c r="BE631" s="0" t="s">
        <v>5576</v>
      </c>
      <c r="BF631" s="0" t="s">
        <v>6670</v>
      </c>
      <c r="BG631" s="0" t="s">
        <v>112</v>
      </c>
      <c r="BH631" s="0" t="s">
        <v>5589</v>
      </c>
      <c r="BI631" s="0" t="s">
        <v>123</v>
      </c>
      <c r="BJ631" s="0" t="s">
        <v>240</v>
      </c>
      <c r="BK631" s="0" t="s">
        <v>5608</v>
      </c>
      <c r="BL631" s="0" t="s">
        <v>2989</v>
      </c>
      <c r="BM631" s="0" t="s">
        <v>2989</v>
      </c>
      <c r="BN631" s="0" t="s">
        <v>5798</v>
      </c>
      <c r="BO631" s="0" t="s">
        <v>6667</v>
      </c>
      <c r="BP631" s="0" t="s">
        <v>6826</v>
      </c>
      <c r="BQ631" s="0" t="s">
        <v>5575</v>
      </c>
      <c r="BR631" s="0" t="s">
        <v>5575</v>
      </c>
      <c r="BS631" s="0" t="s">
        <v>240</v>
      </c>
      <c r="BT631" s="0" t="s">
        <v>5650</v>
      </c>
      <c r="BU631" s="0" t="s">
        <v>7003</v>
      </c>
      <c r="BV631" s="0" t="s">
        <v>7003</v>
      </c>
      <c r="BW631" s="0" t="s">
        <v>5598</v>
      </c>
      <c r="BX631" s="0" t="s">
        <v>5598</v>
      </c>
      <c r="BY631" s="0" t="s">
        <v>5598</v>
      </c>
      <c r="BZ631" s="0" t="s">
        <v>5598</v>
      </c>
      <c r="CA631" s="0" t="s">
        <v>5598</v>
      </c>
      <c r="CB631" s="0" t="s">
        <v>240</v>
      </c>
      <c r="CC631" s="0" t="s">
        <v>240</v>
      </c>
      <c r="CD631" s="0" t="s">
        <v>240</v>
      </c>
      <c r="CE631" s="0" t="s">
        <v>240</v>
      </c>
      <c r="CF631" s="0" t="s">
        <v>240</v>
      </c>
      <c r="CG631" s="0" t="s">
        <v>5598</v>
      </c>
      <c r="CH631" s="0" t="s">
        <v>240</v>
      </c>
      <c r="CI631" s="0" t="s">
        <v>240</v>
      </c>
      <c r="CJ631" s="0" t="s">
        <v>240</v>
      </c>
      <c r="CK631" s="0" t="s">
        <v>240</v>
      </c>
      <c r="CL631" s="0" t="s">
        <v>240</v>
      </c>
      <c r="CM631" s="0" t="s">
        <v>7003</v>
      </c>
      <c r="CN631" s="0" t="s">
        <v>7003</v>
      </c>
      <c r="CO631" s="0" t="s">
        <v>240</v>
      </c>
      <c r="CP631" s="0" t="s">
        <v>240</v>
      </c>
      <c r="CQ631" s="0" t="s">
        <v>240</v>
      </c>
      <c r="CR631" s="0" t="s">
        <v>240</v>
      </c>
      <c r="CS631" s="0" t="s">
        <v>5491</v>
      </c>
      <c r="CT631" s="0" t="s">
        <v>5496</v>
      </c>
      <c r="CU631" s="0" t="s">
        <v>5497</v>
      </c>
      <c r="CV631" s="0" t="s">
        <v>443</v>
      </c>
      <c r="CW631" s="0" t="s">
        <v>5580</v>
      </c>
      <c r="CX631" s="0" t="s">
        <v>229</v>
      </c>
      <c r="CY631" s="0" t="s">
        <v>443</v>
      </c>
      <c r="CZ631" s="0" t="s">
        <v>5581</v>
      </c>
      <c r="DA631" s="0" t="s">
        <v>5582</v>
      </c>
      <c r="DB631" s="0" t="s">
        <v>5580</v>
      </c>
      <c r="DC631" s="0" t="s">
        <v>384</v>
      </c>
      <c r="DD631" s="0" t="s">
        <v>291</v>
      </c>
      <c r="DE631" s="0" t="s">
        <v>6828</v>
      </c>
    </row>
    <row customHeight="1" ht="11.25">
      <c r="A632" s="1441" t="s">
        <v>240</v>
      </c>
      <c r="B632" s="0" t="s">
        <v>240</v>
      </c>
      <c r="C632" s="0" t="s">
        <v>240</v>
      </c>
      <c r="D632" s="0" t="s">
        <v>240</v>
      </c>
      <c r="E632" s="0" t="s">
        <v>240</v>
      </c>
      <c r="F632" s="0" t="s">
        <v>240</v>
      </c>
      <c r="G632" s="0" t="s">
        <v>240</v>
      </c>
      <c r="H632" s="0" t="s">
        <v>240</v>
      </c>
      <c r="I632" s="0" t="s">
        <v>5484</v>
      </c>
      <c r="J632" s="0" t="s">
        <v>240</v>
      </c>
      <c r="K632" s="0" t="s">
        <v>240</v>
      </c>
      <c r="L632" s="0" t="s">
        <v>240</v>
      </c>
      <c r="M632" s="0" t="s">
        <v>240</v>
      </c>
      <c r="N632" s="0" t="s">
        <v>240</v>
      </c>
      <c r="O632" s="0" t="s">
        <v>240</v>
      </c>
      <c r="P632" s="0" t="s">
        <v>240</v>
      </c>
      <c r="Q632" s="0" t="s">
        <v>240</v>
      </c>
      <c r="R632" s="0" t="s">
        <v>452</v>
      </c>
      <c r="S632" s="0" t="s">
        <v>240</v>
      </c>
      <c r="T632" s="0" t="s">
        <v>240</v>
      </c>
      <c r="U632" s="0" t="s">
        <v>102</v>
      </c>
      <c r="V632" s="0" t="s">
        <v>240</v>
      </c>
      <c r="W632" s="0" t="s">
        <v>240</v>
      </c>
      <c r="X632" s="0" t="s">
        <v>5485</v>
      </c>
      <c r="Y632" s="0" t="s">
        <v>240</v>
      </c>
      <c r="Z632" s="0" t="s">
        <v>161</v>
      </c>
      <c r="AA632" s="0" t="s">
        <v>152</v>
      </c>
      <c r="AB632" s="0" t="s">
        <v>152</v>
      </c>
      <c r="AC632" s="0" t="s">
        <v>364</v>
      </c>
      <c r="AD632" s="0" t="s">
        <v>364</v>
      </c>
      <c r="AE632" s="0" t="s">
        <v>365</v>
      </c>
      <c r="AF632" s="0" t="s">
        <v>5486</v>
      </c>
      <c r="AG632" s="0" t="s">
        <v>5487</v>
      </c>
      <c r="AH632" s="0" t="s">
        <v>6358</v>
      </c>
      <c r="AI632" s="0" t="s">
        <v>6359</v>
      </c>
      <c r="AJ632" s="0" t="s">
        <v>6104</v>
      </c>
      <c r="AK632" s="0" t="s">
        <v>5598</v>
      </c>
      <c r="AL632" s="0" t="s">
        <v>5605</v>
      </c>
      <c r="AM632" s="0" t="s">
        <v>5493</v>
      </c>
      <c r="AN632" s="0" t="s">
        <v>6105</v>
      </c>
      <c r="AO632" s="0" t="s">
        <v>6360</v>
      </c>
      <c r="AP632" s="0" t="s">
        <v>240</v>
      </c>
      <c r="AQ632" s="0" t="s">
        <v>240</v>
      </c>
      <c r="AR632" s="0" t="s">
        <v>240</v>
      </c>
      <c r="AS632" s="0" t="s">
        <v>240</v>
      </c>
      <c r="AT632" s="0" t="s">
        <v>240</v>
      </c>
      <c r="AU632" s="0" t="s">
        <v>240</v>
      </c>
      <c r="AV632" s="0" t="s">
        <v>240</v>
      </c>
      <c r="AW632" s="0" t="s">
        <v>240</v>
      </c>
      <c r="AX632" s="0" t="s">
        <v>240</v>
      </c>
      <c r="AY632" s="0" t="s">
        <v>240</v>
      </c>
      <c r="AZ632" s="0" t="s">
        <v>240</v>
      </c>
      <c r="BA632" s="0" t="s">
        <v>240</v>
      </c>
      <c r="BB632" s="0" t="s">
        <v>240</v>
      </c>
      <c r="BC632" s="0" t="s">
        <v>240</v>
      </c>
      <c r="BD632" s="0" t="s">
        <v>240</v>
      </c>
      <c r="BE632" s="0" t="s">
        <v>240</v>
      </c>
      <c r="BF632" s="0" t="s">
        <v>240</v>
      </c>
      <c r="BG632" s="0" t="s">
        <v>240</v>
      </c>
      <c r="BH632" s="0" t="s">
        <v>240</v>
      </c>
      <c r="BI632" s="0" t="s">
        <v>240</v>
      </c>
      <c r="BJ632" s="0" t="s">
        <v>240</v>
      </c>
      <c r="BK632" s="0" t="s">
        <v>240</v>
      </c>
      <c r="BL632" s="0" t="s">
        <v>240</v>
      </c>
      <c r="BM632" s="0" t="s">
        <v>240</v>
      </c>
      <c r="BN632" s="0" t="s">
        <v>240</v>
      </c>
      <c r="BO632" s="0" t="s">
        <v>240</v>
      </c>
      <c r="BP632" s="0" t="s">
        <v>240</v>
      </c>
      <c r="BQ632" s="0" t="s">
        <v>240</v>
      </c>
      <c r="BR632" s="0" t="s">
        <v>240</v>
      </c>
      <c r="BS632" s="0" t="s">
        <v>240</v>
      </c>
      <c r="BT632" s="0" t="s">
        <v>240</v>
      </c>
      <c r="BU632" s="0" t="s">
        <v>240</v>
      </c>
      <c r="BV632" s="0" t="s">
        <v>240</v>
      </c>
      <c r="BW632" s="0" t="s">
        <v>240</v>
      </c>
      <c r="BX632" s="0" t="s">
        <v>240</v>
      </c>
      <c r="BY632" s="0" t="s">
        <v>240</v>
      </c>
      <c r="BZ632" s="0" t="s">
        <v>240</v>
      </c>
      <c r="CA632" s="0" t="s">
        <v>240</v>
      </c>
      <c r="CB632" s="0" t="s">
        <v>240</v>
      </c>
      <c r="CC632" s="0" t="s">
        <v>240</v>
      </c>
      <c r="CD632" s="0" t="s">
        <v>240</v>
      </c>
      <c r="CE632" s="0" t="s">
        <v>240</v>
      </c>
      <c r="CF632" s="0" t="s">
        <v>240</v>
      </c>
      <c r="CG632" s="0" t="s">
        <v>240</v>
      </c>
      <c r="CH632" s="0" t="s">
        <v>240</v>
      </c>
      <c r="CI632" s="0" t="s">
        <v>240</v>
      </c>
      <c r="CJ632" s="0" t="s">
        <v>240</v>
      </c>
      <c r="CK632" s="0" t="s">
        <v>240</v>
      </c>
      <c r="CL632" s="0" t="s">
        <v>240</v>
      </c>
      <c r="CM632" s="0" t="s">
        <v>240</v>
      </c>
      <c r="CN632" s="0" t="s">
        <v>240</v>
      </c>
      <c r="CO632" s="0" t="s">
        <v>240</v>
      </c>
      <c r="CP632" s="0" t="s">
        <v>240</v>
      </c>
      <c r="CQ632" s="0" t="s">
        <v>240</v>
      </c>
      <c r="CR632" s="0" t="s">
        <v>240</v>
      </c>
      <c r="CS632" s="0" t="s">
        <v>240</v>
      </c>
      <c r="CT632" s="0" t="s">
        <v>5496</v>
      </c>
      <c r="CU632" s="0" t="s">
        <v>5497</v>
      </c>
      <c r="CV632" s="0" t="s">
        <v>443</v>
      </c>
      <c r="CW632" s="0" t="s">
        <v>5498</v>
      </c>
      <c r="CX632" s="0" t="s">
        <v>229</v>
      </c>
      <c r="CY632" s="0" t="s">
        <v>443</v>
      </c>
      <c r="CZ632" s="0" t="s">
        <v>230</v>
      </c>
      <c r="DA632" s="0" t="s">
        <v>444</v>
      </c>
      <c r="DB632" s="0" t="s">
        <v>5498</v>
      </c>
      <c r="DC632" s="0" t="s">
        <v>384</v>
      </c>
      <c r="DD632" s="0" t="s">
        <v>291</v>
      </c>
      <c r="DE632" s="0" t="s">
        <v>453</v>
      </c>
    </row>
    <row customHeight="1" ht="11.25">
      <c r="A633" s="1441" t="s">
        <v>240</v>
      </c>
      <c r="B633" s="0" t="s">
        <v>240</v>
      </c>
      <c r="C633" s="0" t="s">
        <v>240</v>
      </c>
      <c r="D633" s="0" t="s">
        <v>240</v>
      </c>
      <c r="E633" s="0" t="s">
        <v>240</v>
      </c>
      <c r="F633" s="0" t="s">
        <v>240</v>
      </c>
      <c r="G633" s="0" t="s">
        <v>240</v>
      </c>
      <c r="H633" s="0" t="s">
        <v>240</v>
      </c>
      <c r="I633" s="0" t="s">
        <v>5484</v>
      </c>
      <c r="J633" s="0" t="s">
        <v>240</v>
      </c>
      <c r="K633" s="0" t="s">
        <v>240</v>
      </c>
      <c r="L633" s="0" t="s">
        <v>240</v>
      </c>
      <c r="M633" s="0" t="s">
        <v>240</v>
      </c>
      <c r="N633" s="0" t="s">
        <v>240</v>
      </c>
      <c r="O633" s="0" t="s">
        <v>240</v>
      </c>
      <c r="P633" s="0" t="s">
        <v>240</v>
      </c>
      <c r="Q633" s="0" t="s">
        <v>240</v>
      </c>
      <c r="R633" s="0" t="s">
        <v>470</v>
      </c>
      <c r="S633" s="0" t="s">
        <v>240</v>
      </c>
      <c r="T633" s="0" t="s">
        <v>240</v>
      </c>
      <c r="U633" s="0" t="s">
        <v>102</v>
      </c>
      <c r="V633" s="0" t="s">
        <v>240</v>
      </c>
      <c r="W633" s="0" t="s">
        <v>240</v>
      </c>
      <c r="X633" s="0" t="s">
        <v>5485</v>
      </c>
      <c r="Y633" s="0" t="s">
        <v>240</v>
      </c>
      <c r="Z633" s="0" t="s">
        <v>161</v>
      </c>
      <c r="AA633" s="0" t="s">
        <v>152</v>
      </c>
      <c r="AB633" s="0" t="s">
        <v>152</v>
      </c>
      <c r="AC633" s="0" t="s">
        <v>364</v>
      </c>
      <c r="AD633" s="0" t="s">
        <v>364</v>
      </c>
      <c r="AE633" s="0" t="s">
        <v>365</v>
      </c>
      <c r="AF633" s="0" t="s">
        <v>5486</v>
      </c>
      <c r="AG633" s="0" t="s">
        <v>5487</v>
      </c>
      <c r="AH633" s="0" t="s">
        <v>6363</v>
      </c>
      <c r="AI633" s="0" t="s">
        <v>6364</v>
      </c>
      <c r="AJ633" s="0" t="s">
        <v>5494</v>
      </c>
      <c r="AK633" s="0" t="s">
        <v>5598</v>
      </c>
      <c r="AL633" s="0" t="s">
        <v>5605</v>
      </c>
      <c r="AM633" s="0" t="s">
        <v>5493</v>
      </c>
      <c r="AN633" s="0" t="s">
        <v>5507</v>
      </c>
      <c r="AO633" s="0" t="s">
        <v>6365</v>
      </c>
      <c r="AP633" s="0" t="s">
        <v>240</v>
      </c>
      <c r="AQ633" s="0" t="s">
        <v>240</v>
      </c>
      <c r="AR633" s="0" t="s">
        <v>240</v>
      </c>
      <c r="AS633" s="0" t="s">
        <v>240</v>
      </c>
      <c r="AT633" s="0" t="s">
        <v>240</v>
      </c>
      <c r="AU633" s="0" t="s">
        <v>240</v>
      </c>
      <c r="AV633" s="0" t="s">
        <v>240</v>
      </c>
      <c r="AW633" s="0" t="s">
        <v>240</v>
      </c>
      <c r="AX633" s="0" t="s">
        <v>240</v>
      </c>
      <c r="AY633" s="0" t="s">
        <v>240</v>
      </c>
      <c r="AZ633" s="0" t="s">
        <v>240</v>
      </c>
      <c r="BA633" s="0" t="s">
        <v>240</v>
      </c>
      <c r="BB633" s="0" t="s">
        <v>240</v>
      </c>
      <c r="BC633" s="0" t="s">
        <v>240</v>
      </c>
      <c r="BD633" s="0" t="s">
        <v>240</v>
      </c>
      <c r="BE633" s="0" t="s">
        <v>240</v>
      </c>
      <c r="BF633" s="0" t="s">
        <v>240</v>
      </c>
      <c r="BG633" s="0" t="s">
        <v>240</v>
      </c>
      <c r="BH633" s="0" t="s">
        <v>240</v>
      </c>
      <c r="BI633" s="0" t="s">
        <v>240</v>
      </c>
      <c r="BJ633" s="0" t="s">
        <v>240</v>
      </c>
      <c r="BK633" s="0" t="s">
        <v>240</v>
      </c>
      <c r="BL633" s="0" t="s">
        <v>240</v>
      </c>
      <c r="BM633" s="0" t="s">
        <v>240</v>
      </c>
      <c r="BN633" s="0" t="s">
        <v>240</v>
      </c>
      <c r="BO633" s="0" t="s">
        <v>240</v>
      </c>
      <c r="BP633" s="0" t="s">
        <v>240</v>
      </c>
      <c r="BQ633" s="0" t="s">
        <v>240</v>
      </c>
      <c r="BR633" s="0" t="s">
        <v>240</v>
      </c>
      <c r="BS633" s="0" t="s">
        <v>240</v>
      </c>
      <c r="BT633" s="0" t="s">
        <v>240</v>
      </c>
      <c r="BU633" s="0" t="s">
        <v>240</v>
      </c>
      <c r="BV633" s="0" t="s">
        <v>240</v>
      </c>
      <c r="BW633" s="0" t="s">
        <v>240</v>
      </c>
      <c r="BX633" s="0" t="s">
        <v>240</v>
      </c>
      <c r="BY633" s="0" t="s">
        <v>240</v>
      </c>
      <c r="BZ633" s="0" t="s">
        <v>240</v>
      </c>
      <c r="CA633" s="0" t="s">
        <v>240</v>
      </c>
      <c r="CB633" s="0" t="s">
        <v>240</v>
      </c>
      <c r="CC633" s="0" t="s">
        <v>240</v>
      </c>
      <c r="CD633" s="0" t="s">
        <v>240</v>
      </c>
      <c r="CE633" s="0" t="s">
        <v>240</v>
      </c>
      <c r="CF633" s="0" t="s">
        <v>240</v>
      </c>
      <c r="CG633" s="0" t="s">
        <v>240</v>
      </c>
      <c r="CH633" s="0" t="s">
        <v>240</v>
      </c>
      <c r="CI633" s="0" t="s">
        <v>240</v>
      </c>
      <c r="CJ633" s="0" t="s">
        <v>240</v>
      </c>
      <c r="CK633" s="0" t="s">
        <v>240</v>
      </c>
      <c r="CL633" s="0" t="s">
        <v>240</v>
      </c>
      <c r="CM633" s="0" t="s">
        <v>240</v>
      </c>
      <c r="CN633" s="0" t="s">
        <v>240</v>
      </c>
      <c r="CO633" s="0" t="s">
        <v>240</v>
      </c>
      <c r="CP633" s="0" t="s">
        <v>240</v>
      </c>
      <c r="CQ633" s="0" t="s">
        <v>240</v>
      </c>
      <c r="CR633" s="0" t="s">
        <v>240</v>
      </c>
      <c r="CS633" s="0" t="s">
        <v>240</v>
      </c>
      <c r="CT633" s="0" t="s">
        <v>5496</v>
      </c>
      <c r="CU633" s="0" t="s">
        <v>5497</v>
      </c>
      <c r="CV633" s="0" t="s">
        <v>443</v>
      </c>
      <c r="CW633" s="0" t="s">
        <v>5498</v>
      </c>
      <c r="CX633" s="0" t="s">
        <v>229</v>
      </c>
      <c r="CY633" s="0" t="s">
        <v>443</v>
      </c>
      <c r="CZ633" s="0" t="s">
        <v>230</v>
      </c>
      <c r="DA633" s="0" t="s">
        <v>444</v>
      </c>
      <c r="DB633" s="0" t="s">
        <v>5498</v>
      </c>
      <c r="DC633" s="0" t="s">
        <v>384</v>
      </c>
      <c r="DD633" s="0" t="s">
        <v>291</v>
      </c>
      <c r="DE633" s="0" t="s">
        <v>471</v>
      </c>
    </row>
    <row customHeight="1" ht="11.25">
      <c r="A634" s="1441" t="s">
        <v>240</v>
      </c>
      <c r="B634" s="0" t="s">
        <v>240</v>
      </c>
      <c r="C634" s="0" t="s">
        <v>240</v>
      </c>
      <c r="D634" s="0" t="s">
        <v>240</v>
      </c>
      <c r="E634" s="0" t="s">
        <v>240</v>
      </c>
      <c r="F634" s="0" t="s">
        <v>240</v>
      </c>
      <c r="G634" s="0" t="s">
        <v>240</v>
      </c>
      <c r="H634" s="0" t="s">
        <v>240</v>
      </c>
      <c r="I634" s="0" t="s">
        <v>5484</v>
      </c>
      <c r="J634" s="0" t="s">
        <v>240</v>
      </c>
      <c r="K634" s="0" t="s">
        <v>240</v>
      </c>
      <c r="L634" s="0" t="s">
        <v>240</v>
      </c>
      <c r="M634" s="0" t="s">
        <v>240</v>
      </c>
      <c r="N634" s="0" t="s">
        <v>240</v>
      </c>
      <c r="O634" s="0" t="s">
        <v>240</v>
      </c>
      <c r="P634" s="0" t="s">
        <v>240</v>
      </c>
      <c r="Q634" s="0" t="s">
        <v>240</v>
      </c>
      <c r="R634" s="0" t="s">
        <v>481</v>
      </c>
      <c r="S634" s="0" t="s">
        <v>240</v>
      </c>
      <c r="T634" s="0" t="s">
        <v>240</v>
      </c>
      <c r="U634" s="0" t="s">
        <v>102</v>
      </c>
      <c r="V634" s="0" t="s">
        <v>240</v>
      </c>
      <c r="W634" s="0" t="s">
        <v>240</v>
      </c>
      <c r="X634" s="0" t="s">
        <v>5485</v>
      </c>
      <c r="Y634" s="0" t="s">
        <v>240</v>
      </c>
      <c r="Z634" s="0" t="s">
        <v>161</v>
      </c>
      <c r="AA634" s="0" t="s">
        <v>152</v>
      </c>
      <c r="AB634" s="0" t="s">
        <v>152</v>
      </c>
      <c r="AC634" s="0" t="s">
        <v>364</v>
      </c>
      <c r="AD634" s="0" t="s">
        <v>364</v>
      </c>
      <c r="AE634" s="0" t="s">
        <v>365</v>
      </c>
      <c r="AF634" s="0" t="s">
        <v>6806</v>
      </c>
      <c r="AG634" s="0" t="s">
        <v>6807</v>
      </c>
      <c r="AH634" s="0" t="s">
        <v>6875</v>
      </c>
      <c r="AI634" s="0" t="s">
        <v>6876</v>
      </c>
      <c r="AJ634" s="0" t="s">
        <v>6877</v>
      </c>
      <c r="AK634" s="0" t="s">
        <v>6878</v>
      </c>
      <c r="AL634" s="0" t="s">
        <v>5570</v>
      </c>
      <c r="AM634" s="0" t="s">
        <v>5493</v>
      </c>
      <c r="AN634" s="0" t="s">
        <v>5507</v>
      </c>
      <c r="AO634" s="0" t="s">
        <v>5746</v>
      </c>
      <c r="AP634" s="0" t="s">
        <v>240</v>
      </c>
      <c r="AQ634" s="0" t="s">
        <v>240</v>
      </c>
      <c r="AR634" s="0" t="s">
        <v>240</v>
      </c>
      <c r="AS634" s="0" t="s">
        <v>240</v>
      </c>
      <c r="AT634" s="0" t="s">
        <v>240</v>
      </c>
      <c r="AU634" s="0" t="s">
        <v>240</v>
      </c>
      <c r="AV634" s="0" t="s">
        <v>240</v>
      </c>
      <c r="AW634" s="0" t="s">
        <v>240</v>
      </c>
      <c r="AX634" s="0" t="s">
        <v>240</v>
      </c>
      <c r="AY634" s="0" t="s">
        <v>240</v>
      </c>
      <c r="AZ634" s="0" t="s">
        <v>240</v>
      </c>
      <c r="BA634" s="0" t="s">
        <v>240</v>
      </c>
      <c r="BB634" s="0" t="s">
        <v>240</v>
      </c>
      <c r="BC634" s="0" t="s">
        <v>240</v>
      </c>
      <c r="BD634" s="0" t="s">
        <v>240</v>
      </c>
      <c r="BE634" s="0" t="s">
        <v>240</v>
      </c>
      <c r="BF634" s="0" t="s">
        <v>240</v>
      </c>
      <c r="BG634" s="0" t="s">
        <v>240</v>
      </c>
      <c r="BH634" s="0" t="s">
        <v>240</v>
      </c>
      <c r="BI634" s="0" t="s">
        <v>240</v>
      </c>
      <c r="BJ634" s="0" t="s">
        <v>240</v>
      </c>
      <c r="BK634" s="0" t="s">
        <v>240</v>
      </c>
      <c r="BL634" s="0" t="s">
        <v>240</v>
      </c>
      <c r="BM634" s="0" t="s">
        <v>240</v>
      </c>
      <c r="BN634" s="0" t="s">
        <v>240</v>
      </c>
      <c r="BO634" s="0" t="s">
        <v>240</v>
      </c>
      <c r="BP634" s="0" t="s">
        <v>240</v>
      </c>
      <c r="BQ634" s="0" t="s">
        <v>240</v>
      </c>
      <c r="BR634" s="0" t="s">
        <v>240</v>
      </c>
      <c r="BS634" s="0" t="s">
        <v>240</v>
      </c>
      <c r="BT634" s="0" t="s">
        <v>240</v>
      </c>
      <c r="BU634" s="0" t="s">
        <v>240</v>
      </c>
      <c r="BV634" s="0" t="s">
        <v>240</v>
      </c>
      <c r="BW634" s="0" t="s">
        <v>240</v>
      </c>
      <c r="BX634" s="0" t="s">
        <v>240</v>
      </c>
      <c r="BY634" s="0" t="s">
        <v>240</v>
      </c>
      <c r="BZ634" s="0" t="s">
        <v>240</v>
      </c>
      <c r="CA634" s="0" t="s">
        <v>240</v>
      </c>
      <c r="CB634" s="0" t="s">
        <v>240</v>
      </c>
      <c r="CC634" s="0" t="s">
        <v>240</v>
      </c>
      <c r="CD634" s="0" t="s">
        <v>240</v>
      </c>
      <c r="CE634" s="0" t="s">
        <v>240</v>
      </c>
      <c r="CF634" s="0" t="s">
        <v>240</v>
      </c>
      <c r="CG634" s="0" t="s">
        <v>240</v>
      </c>
      <c r="CH634" s="0" t="s">
        <v>240</v>
      </c>
      <c r="CI634" s="0" t="s">
        <v>240</v>
      </c>
      <c r="CJ634" s="0" t="s">
        <v>240</v>
      </c>
      <c r="CK634" s="0" t="s">
        <v>240</v>
      </c>
      <c r="CL634" s="0" t="s">
        <v>240</v>
      </c>
      <c r="CM634" s="0" t="s">
        <v>240</v>
      </c>
      <c r="CN634" s="0" t="s">
        <v>240</v>
      </c>
      <c r="CO634" s="0" t="s">
        <v>240</v>
      </c>
      <c r="CP634" s="0" t="s">
        <v>240</v>
      </c>
      <c r="CQ634" s="0" t="s">
        <v>240</v>
      </c>
      <c r="CR634" s="0" t="s">
        <v>240</v>
      </c>
      <c r="CS634" s="0" t="s">
        <v>240</v>
      </c>
      <c r="CT634" s="0" t="s">
        <v>5496</v>
      </c>
      <c r="CU634" s="0" t="s">
        <v>5497</v>
      </c>
      <c r="CV634" s="0" t="s">
        <v>443</v>
      </c>
      <c r="CW634" s="0" t="s">
        <v>6818</v>
      </c>
      <c r="CX634" s="0" t="s">
        <v>229</v>
      </c>
      <c r="CY634" s="0" t="s">
        <v>443</v>
      </c>
      <c r="CZ634" s="0" t="s">
        <v>234</v>
      </c>
      <c r="DA634" s="0" t="s">
        <v>444</v>
      </c>
      <c r="DB634" s="0" t="s">
        <v>6818</v>
      </c>
      <c r="DC634" s="0" t="s">
        <v>384</v>
      </c>
      <c r="DD634" s="0" t="s">
        <v>291</v>
      </c>
      <c r="DE634" s="0" t="s">
        <v>482</v>
      </c>
    </row>
    <row customHeight="1" ht="11.25">
      <c r="A635" s="1441" t="s">
        <v>240</v>
      </c>
      <c r="B635" s="0" t="s">
        <v>240</v>
      </c>
      <c r="C635" s="0" t="s">
        <v>240</v>
      </c>
      <c r="D635" s="0" t="s">
        <v>240</v>
      </c>
      <c r="E635" s="0" t="s">
        <v>240</v>
      </c>
      <c r="F635" s="0" t="s">
        <v>240</v>
      </c>
      <c r="G635" s="0" t="s">
        <v>240</v>
      </c>
      <c r="H635" s="0" t="s">
        <v>240</v>
      </c>
      <c r="I635" s="0" t="s">
        <v>5484</v>
      </c>
      <c r="J635" s="0" t="s">
        <v>240</v>
      </c>
      <c r="K635" s="0" t="s">
        <v>240</v>
      </c>
      <c r="L635" s="0" t="s">
        <v>240</v>
      </c>
      <c r="M635" s="0" t="s">
        <v>240</v>
      </c>
      <c r="N635" s="0" t="s">
        <v>240</v>
      </c>
      <c r="O635" s="0" t="s">
        <v>240</v>
      </c>
      <c r="P635" s="0" t="s">
        <v>240</v>
      </c>
      <c r="Q635" s="0" t="s">
        <v>240</v>
      </c>
      <c r="R635" s="0" t="s">
        <v>6879</v>
      </c>
      <c r="S635" s="0" t="s">
        <v>240</v>
      </c>
      <c r="T635" s="0" t="s">
        <v>240</v>
      </c>
      <c r="U635" s="0" t="s">
        <v>102</v>
      </c>
      <c r="V635" s="0" t="s">
        <v>240</v>
      </c>
      <c r="W635" s="0" t="s">
        <v>240</v>
      </c>
      <c r="X635" s="0" t="s">
        <v>5485</v>
      </c>
      <c r="Y635" s="0" t="s">
        <v>240</v>
      </c>
      <c r="Z635" s="0" t="s">
        <v>161</v>
      </c>
      <c r="AA635" s="0" t="s">
        <v>152</v>
      </c>
      <c r="AB635" s="0" t="s">
        <v>152</v>
      </c>
      <c r="AC635" s="0" t="s">
        <v>364</v>
      </c>
      <c r="AD635" s="0" t="s">
        <v>364</v>
      </c>
      <c r="AE635" s="0" t="s">
        <v>365</v>
      </c>
      <c r="AF635" s="0" t="s">
        <v>6880</v>
      </c>
      <c r="AG635" s="0" t="s">
        <v>6881</v>
      </c>
      <c r="AH635" s="0" t="s">
        <v>6882</v>
      </c>
      <c r="AI635" s="0" t="s">
        <v>6883</v>
      </c>
      <c r="AJ635" s="0" t="s">
        <v>6884</v>
      </c>
      <c r="AK635" s="0" t="s">
        <v>6885</v>
      </c>
      <c r="AL635" s="0" t="s">
        <v>5570</v>
      </c>
      <c r="AM635" s="0" t="s">
        <v>5493</v>
      </c>
      <c r="AN635" s="0" t="s">
        <v>5507</v>
      </c>
      <c r="AO635" s="0" t="s">
        <v>5746</v>
      </c>
      <c r="AP635" s="0" t="s">
        <v>240</v>
      </c>
      <c r="AQ635" s="0" t="s">
        <v>240</v>
      </c>
      <c r="AR635" s="0" t="s">
        <v>240</v>
      </c>
      <c r="AS635" s="0" t="s">
        <v>240</v>
      </c>
      <c r="AT635" s="0" t="s">
        <v>240</v>
      </c>
      <c r="AU635" s="0" t="s">
        <v>240</v>
      </c>
      <c r="AV635" s="0" t="s">
        <v>240</v>
      </c>
      <c r="AW635" s="0" t="s">
        <v>240</v>
      </c>
      <c r="AX635" s="0" t="s">
        <v>240</v>
      </c>
      <c r="AY635" s="0" t="s">
        <v>240</v>
      </c>
      <c r="AZ635" s="0" t="s">
        <v>240</v>
      </c>
      <c r="BA635" s="0" t="s">
        <v>240</v>
      </c>
      <c r="BB635" s="0" t="s">
        <v>240</v>
      </c>
      <c r="BC635" s="0" t="s">
        <v>240</v>
      </c>
      <c r="BD635" s="0" t="s">
        <v>240</v>
      </c>
      <c r="BE635" s="0" t="s">
        <v>240</v>
      </c>
      <c r="BF635" s="0" t="s">
        <v>240</v>
      </c>
      <c r="BG635" s="0" t="s">
        <v>240</v>
      </c>
      <c r="BH635" s="0" t="s">
        <v>240</v>
      </c>
      <c r="BI635" s="0" t="s">
        <v>240</v>
      </c>
      <c r="BJ635" s="0" t="s">
        <v>240</v>
      </c>
      <c r="BK635" s="0" t="s">
        <v>240</v>
      </c>
      <c r="BL635" s="0" t="s">
        <v>240</v>
      </c>
      <c r="BM635" s="0" t="s">
        <v>240</v>
      </c>
      <c r="BN635" s="0" t="s">
        <v>240</v>
      </c>
      <c r="BO635" s="0" t="s">
        <v>240</v>
      </c>
      <c r="BP635" s="0" t="s">
        <v>240</v>
      </c>
      <c r="BQ635" s="0" t="s">
        <v>240</v>
      </c>
      <c r="BR635" s="0" t="s">
        <v>240</v>
      </c>
      <c r="BS635" s="0" t="s">
        <v>240</v>
      </c>
      <c r="BT635" s="0" t="s">
        <v>240</v>
      </c>
      <c r="BU635" s="0" t="s">
        <v>240</v>
      </c>
      <c r="BV635" s="0" t="s">
        <v>240</v>
      </c>
      <c r="BW635" s="0" t="s">
        <v>240</v>
      </c>
      <c r="BX635" s="0" t="s">
        <v>240</v>
      </c>
      <c r="BY635" s="0" t="s">
        <v>240</v>
      </c>
      <c r="BZ635" s="0" t="s">
        <v>240</v>
      </c>
      <c r="CA635" s="0" t="s">
        <v>240</v>
      </c>
      <c r="CB635" s="0" t="s">
        <v>240</v>
      </c>
      <c r="CC635" s="0" t="s">
        <v>240</v>
      </c>
      <c r="CD635" s="0" t="s">
        <v>240</v>
      </c>
      <c r="CE635" s="0" t="s">
        <v>240</v>
      </c>
      <c r="CF635" s="0" t="s">
        <v>240</v>
      </c>
      <c r="CG635" s="0" t="s">
        <v>240</v>
      </c>
      <c r="CH635" s="0" t="s">
        <v>240</v>
      </c>
      <c r="CI635" s="0" t="s">
        <v>240</v>
      </c>
      <c r="CJ635" s="0" t="s">
        <v>240</v>
      </c>
      <c r="CK635" s="0" t="s">
        <v>240</v>
      </c>
      <c r="CL635" s="0" t="s">
        <v>240</v>
      </c>
      <c r="CM635" s="0" t="s">
        <v>240</v>
      </c>
      <c r="CN635" s="0" t="s">
        <v>240</v>
      </c>
      <c r="CO635" s="0" t="s">
        <v>240</v>
      </c>
      <c r="CP635" s="0" t="s">
        <v>240</v>
      </c>
      <c r="CQ635" s="0" t="s">
        <v>240</v>
      </c>
      <c r="CR635" s="0" t="s">
        <v>240</v>
      </c>
      <c r="CS635" s="0" t="s">
        <v>240</v>
      </c>
      <c r="CT635" s="0" t="s">
        <v>5496</v>
      </c>
      <c r="CU635" s="0" t="s">
        <v>5497</v>
      </c>
      <c r="CV635" s="0" t="s">
        <v>443</v>
      </c>
      <c r="CW635" s="0" t="s">
        <v>6818</v>
      </c>
      <c r="CX635" s="0" t="s">
        <v>229</v>
      </c>
      <c r="CY635" s="0" t="s">
        <v>443</v>
      </c>
      <c r="CZ635" s="0" t="s">
        <v>234</v>
      </c>
      <c r="DA635" s="0" t="s">
        <v>444</v>
      </c>
      <c r="DB635" s="0" t="s">
        <v>6818</v>
      </c>
      <c r="DC635" s="0" t="s">
        <v>384</v>
      </c>
      <c r="DD635" s="0" t="s">
        <v>291</v>
      </c>
      <c r="DE635" s="0" t="s">
        <v>6886</v>
      </c>
    </row>
    <row customHeight="1" ht="11.25">
      <c r="A636" s="1441" t="s">
        <v>240</v>
      </c>
      <c r="B636" s="0" t="s">
        <v>240</v>
      </c>
      <c r="C636" s="0" t="s">
        <v>240</v>
      </c>
      <c r="D636" s="0" t="s">
        <v>240</v>
      </c>
      <c r="E636" s="0" t="s">
        <v>240</v>
      </c>
      <c r="F636" s="0" t="s">
        <v>240</v>
      </c>
      <c r="G636" s="0" t="s">
        <v>240</v>
      </c>
      <c r="H636" s="0" t="s">
        <v>240</v>
      </c>
      <c r="I636" s="0" t="s">
        <v>5484</v>
      </c>
      <c r="J636" s="0" t="s">
        <v>240</v>
      </c>
      <c r="K636" s="0" t="s">
        <v>240</v>
      </c>
      <c r="L636" s="0" t="s">
        <v>240</v>
      </c>
      <c r="M636" s="0" t="s">
        <v>240</v>
      </c>
      <c r="N636" s="0" t="s">
        <v>240</v>
      </c>
      <c r="O636" s="0" t="s">
        <v>240</v>
      </c>
      <c r="P636" s="0" t="s">
        <v>240</v>
      </c>
      <c r="Q636" s="0" t="s">
        <v>240</v>
      </c>
      <c r="R636" s="0" t="s">
        <v>449</v>
      </c>
      <c r="S636" s="0" t="s">
        <v>240</v>
      </c>
      <c r="T636" s="0" t="s">
        <v>240</v>
      </c>
      <c r="U636" s="0" t="s">
        <v>102</v>
      </c>
      <c r="V636" s="0" t="s">
        <v>240</v>
      </c>
      <c r="W636" s="0" t="s">
        <v>240</v>
      </c>
      <c r="X636" s="0" t="s">
        <v>5585</v>
      </c>
      <c r="Y636" s="0" t="s">
        <v>240</v>
      </c>
      <c r="Z636" s="0" t="s">
        <v>152</v>
      </c>
      <c r="AA636" s="0" t="s">
        <v>152</v>
      </c>
      <c r="AB636" s="0" t="s">
        <v>161</v>
      </c>
      <c r="AC636" s="0" t="s">
        <v>2985</v>
      </c>
      <c r="AD636" s="0" t="s">
        <v>2985</v>
      </c>
      <c r="AE636" s="0" t="s">
        <v>2986</v>
      </c>
      <c r="AF636" s="0" t="s">
        <v>5951</v>
      </c>
      <c r="AG636" s="0" t="s">
        <v>5952</v>
      </c>
      <c r="AH636" s="0" t="s">
        <v>5951</v>
      </c>
      <c r="AI636" s="0" t="s">
        <v>5644</v>
      </c>
      <c r="AJ636" s="0" t="s">
        <v>240</v>
      </c>
      <c r="AK636" s="0" t="s">
        <v>240</v>
      </c>
      <c r="AL636" s="0" t="s">
        <v>240</v>
      </c>
      <c r="AM636" s="0" t="s">
        <v>240</v>
      </c>
      <c r="AN636" s="0" t="s">
        <v>240</v>
      </c>
      <c r="AO636" s="0" t="s">
        <v>240</v>
      </c>
      <c r="AP636" s="0" t="s">
        <v>240</v>
      </c>
      <c r="AQ636" s="0" t="s">
        <v>240</v>
      </c>
      <c r="AR636" s="0" t="s">
        <v>240</v>
      </c>
      <c r="AS636" s="0" t="s">
        <v>240</v>
      </c>
      <c r="AT636" s="0" t="s">
        <v>240</v>
      </c>
      <c r="AU636" s="0" t="s">
        <v>240</v>
      </c>
      <c r="AV636" s="0" t="s">
        <v>240</v>
      </c>
      <c r="AW636" s="0" t="s">
        <v>240</v>
      </c>
      <c r="AX636" s="0" t="s">
        <v>240</v>
      </c>
      <c r="AY636" s="0" t="s">
        <v>240</v>
      </c>
      <c r="AZ636" s="0" t="s">
        <v>240</v>
      </c>
      <c r="BA636" s="0" t="s">
        <v>240</v>
      </c>
      <c r="BB636" s="0" t="s">
        <v>240</v>
      </c>
      <c r="BC636" s="0" t="s">
        <v>240</v>
      </c>
      <c r="BD636" s="0" t="s">
        <v>240</v>
      </c>
      <c r="BE636" s="0" t="s">
        <v>5645</v>
      </c>
      <c r="BF636" s="0" t="s">
        <v>5645</v>
      </c>
      <c r="BG636" s="0" t="s">
        <v>112</v>
      </c>
      <c r="BH636" s="0" t="s">
        <v>5589</v>
      </c>
      <c r="BI636" s="0" t="s">
        <v>123</v>
      </c>
      <c r="BJ636" s="0" t="s">
        <v>240</v>
      </c>
      <c r="BK636" s="0" t="s">
        <v>5608</v>
      </c>
      <c r="BL636" s="0" t="s">
        <v>2985</v>
      </c>
      <c r="BM636" s="0" t="s">
        <v>2985</v>
      </c>
      <c r="BN636" s="0" t="s">
        <v>5646</v>
      </c>
      <c r="BO636" s="0" t="s">
        <v>5951</v>
      </c>
      <c r="BP636" s="0" t="s">
        <v>5955</v>
      </c>
      <c r="BQ636" s="0" t="s">
        <v>5566</v>
      </c>
      <c r="BR636" s="0" t="s">
        <v>5612</v>
      </c>
      <c r="BS636" s="0" t="s">
        <v>240</v>
      </c>
      <c r="BT636" s="0" t="s">
        <v>5650</v>
      </c>
      <c r="BU636" s="0" t="s">
        <v>5959</v>
      </c>
      <c r="BV636" s="0" t="s">
        <v>5959</v>
      </c>
      <c r="BW636" s="0" t="s">
        <v>5598</v>
      </c>
      <c r="BX636" s="0" t="s">
        <v>5598</v>
      </c>
      <c r="BY636" s="0" t="s">
        <v>5598</v>
      </c>
      <c r="BZ636" s="0" t="s">
        <v>5598</v>
      </c>
      <c r="CA636" s="0" t="s">
        <v>5598</v>
      </c>
      <c r="CB636" s="0" t="s">
        <v>240</v>
      </c>
      <c r="CC636" s="0" t="s">
        <v>240</v>
      </c>
      <c r="CD636" s="0" t="s">
        <v>240</v>
      </c>
      <c r="CE636" s="0" t="s">
        <v>240</v>
      </c>
      <c r="CF636" s="0" t="s">
        <v>240</v>
      </c>
      <c r="CG636" s="0" t="s">
        <v>5598</v>
      </c>
      <c r="CH636" s="0" t="s">
        <v>240</v>
      </c>
      <c r="CI636" s="0" t="s">
        <v>240</v>
      </c>
      <c r="CJ636" s="0" t="s">
        <v>240</v>
      </c>
      <c r="CK636" s="0" t="s">
        <v>240</v>
      </c>
      <c r="CL636" s="0" t="s">
        <v>240</v>
      </c>
      <c r="CM636" s="0" t="s">
        <v>5959</v>
      </c>
      <c r="CN636" s="0" t="s">
        <v>5959</v>
      </c>
      <c r="CO636" s="0" t="s">
        <v>240</v>
      </c>
      <c r="CP636" s="0" t="s">
        <v>240</v>
      </c>
      <c r="CQ636" s="0" t="s">
        <v>240</v>
      </c>
      <c r="CR636" s="0" t="s">
        <v>240</v>
      </c>
      <c r="CS636" s="0" t="s">
        <v>5507</v>
      </c>
      <c r="CT636" s="0" t="s">
        <v>5496</v>
      </c>
      <c r="CU636" s="0" t="s">
        <v>5497</v>
      </c>
      <c r="CV636" s="0" t="s">
        <v>443</v>
      </c>
      <c r="CW636" s="0" t="s">
        <v>5509</v>
      </c>
      <c r="CX636" s="0" t="s">
        <v>229</v>
      </c>
      <c r="CY636" s="0" t="s">
        <v>443</v>
      </c>
      <c r="CZ636" s="0" t="s">
        <v>5510</v>
      </c>
      <c r="DA636" s="0" t="s">
        <v>5511</v>
      </c>
      <c r="DB636" s="0" t="s">
        <v>5509</v>
      </c>
      <c r="DC636" s="0" t="s">
        <v>384</v>
      </c>
      <c r="DD636" s="0" t="s">
        <v>291</v>
      </c>
      <c r="DE636" s="0" t="s">
        <v>5960</v>
      </c>
    </row>
    <row customHeight="1" ht="11.25">
      <c r="A637" s="1441" t="s">
        <v>240</v>
      </c>
      <c r="B637" s="0" t="s">
        <v>240</v>
      </c>
      <c r="C637" s="0" t="s">
        <v>240</v>
      </c>
      <c r="D637" s="0" t="s">
        <v>240</v>
      </c>
      <c r="E637" s="0" t="s">
        <v>240</v>
      </c>
      <c r="F637" s="0" t="s">
        <v>240</v>
      </c>
      <c r="G637" s="0" t="s">
        <v>240</v>
      </c>
      <c r="H637" s="0" t="s">
        <v>240</v>
      </c>
      <c r="I637" s="0" t="s">
        <v>5484</v>
      </c>
      <c r="J637" s="0" t="s">
        <v>240</v>
      </c>
      <c r="K637" s="0" t="s">
        <v>240</v>
      </c>
      <c r="L637" s="0" t="s">
        <v>240</v>
      </c>
      <c r="M637" s="0" t="s">
        <v>240</v>
      </c>
      <c r="N637" s="0" t="s">
        <v>240</v>
      </c>
      <c r="O637" s="0" t="s">
        <v>240</v>
      </c>
      <c r="P637" s="0" t="s">
        <v>240</v>
      </c>
      <c r="Q637" s="0" t="s">
        <v>240</v>
      </c>
      <c r="R637" s="0" t="s">
        <v>6756</v>
      </c>
      <c r="S637" s="0" t="s">
        <v>240</v>
      </c>
      <c r="T637" s="0" t="s">
        <v>240</v>
      </c>
      <c r="U637" s="0" t="s">
        <v>102</v>
      </c>
      <c r="V637" s="0" t="s">
        <v>240</v>
      </c>
      <c r="W637" s="0" t="s">
        <v>240</v>
      </c>
      <c r="X637" s="0" t="s">
        <v>5485</v>
      </c>
      <c r="Y637" s="0" t="s">
        <v>240</v>
      </c>
      <c r="Z637" s="0" t="s">
        <v>161</v>
      </c>
      <c r="AA637" s="0" t="s">
        <v>152</v>
      </c>
      <c r="AB637" s="0" t="s">
        <v>152</v>
      </c>
      <c r="AC637" s="0" t="s">
        <v>2985</v>
      </c>
      <c r="AD637" s="0" t="s">
        <v>2985</v>
      </c>
      <c r="AE637" s="0" t="s">
        <v>2986</v>
      </c>
      <c r="AF637" s="0" t="s">
        <v>6614</v>
      </c>
      <c r="AG637" s="0" t="s">
        <v>6615</v>
      </c>
      <c r="AH637" s="0" t="s">
        <v>6328</v>
      </c>
      <c r="AI637" s="0" t="s">
        <v>6757</v>
      </c>
      <c r="AJ637" s="0" t="s">
        <v>5504</v>
      </c>
      <c r="AK637" s="0" t="s">
        <v>5505</v>
      </c>
      <c r="AL637" s="0" t="s">
        <v>5506</v>
      </c>
      <c r="AM637" s="0" t="s">
        <v>5493</v>
      </c>
      <c r="AN637" s="0" t="s">
        <v>5507</v>
      </c>
      <c r="AO637" s="0" t="s">
        <v>6758</v>
      </c>
      <c r="AP637" s="0" t="s">
        <v>240</v>
      </c>
      <c r="AQ637" s="0" t="s">
        <v>240</v>
      </c>
      <c r="AR637" s="0" t="s">
        <v>240</v>
      </c>
      <c r="AS637" s="0" t="s">
        <v>240</v>
      </c>
      <c r="AT637" s="0" t="s">
        <v>240</v>
      </c>
      <c r="AU637" s="0" t="s">
        <v>240</v>
      </c>
      <c r="AV637" s="0" t="s">
        <v>240</v>
      </c>
      <c r="AW637" s="0" t="s">
        <v>240</v>
      </c>
      <c r="AX637" s="0" t="s">
        <v>240</v>
      </c>
      <c r="AY637" s="0" t="s">
        <v>240</v>
      </c>
      <c r="AZ637" s="0" t="s">
        <v>240</v>
      </c>
      <c r="BA637" s="0" t="s">
        <v>240</v>
      </c>
      <c r="BB637" s="0" t="s">
        <v>240</v>
      </c>
      <c r="BC637" s="0" t="s">
        <v>240</v>
      </c>
      <c r="BD637" s="0" t="s">
        <v>240</v>
      </c>
      <c r="BE637" s="0" t="s">
        <v>240</v>
      </c>
      <c r="BF637" s="0" t="s">
        <v>240</v>
      </c>
      <c r="BG637" s="0" t="s">
        <v>240</v>
      </c>
      <c r="BH637" s="0" t="s">
        <v>240</v>
      </c>
      <c r="BI637" s="0" t="s">
        <v>240</v>
      </c>
      <c r="BJ637" s="0" t="s">
        <v>240</v>
      </c>
      <c r="BK637" s="0" t="s">
        <v>240</v>
      </c>
      <c r="BL637" s="0" t="s">
        <v>240</v>
      </c>
      <c r="BM637" s="0" t="s">
        <v>240</v>
      </c>
      <c r="BN637" s="0" t="s">
        <v>240</v>
      </c>
      <c r="BO637" s="0" t="s">
        <v>240</v>
      </c>
      <c r="BP637" s="0" t="s">
        <v>240</v>
      </c>
      <c r="BQ637" s="0" t="s">
        <v>240</v>
      </c>
      <c r="BR637" s="0" t="s">
        <v>240</v>
      </c>
      <c r="BS637" s="0" t="s">
        <v>240</v>
      </c>
      <c r="BT637" s="0" t="s">
        <v>240</v>
      </c>
      <c r="BU637" s="0" t="s">
        <v>240</v>
      </c>
      <c r="BV637" s="0" t="s">
        <v>240</v>
      </c>
      <c r="BW637" s="0" t="s">
        <v>240</v>
      </c>
      <c r="BX637" s="0" t="s">
        <v>240</v>
      </c>
      <c r="BY637" s="0" t="s">
        <v>240</v>
      </c>
      <c r="BZ637" s="0" t="s">
        <v>240</v>
      </c>
      <c r="CA637" s="0" t="s">
        <v>240</v>
      </c>
      <c r="CB637" s="0" t="s">
        <v>240</v>
      </c>
      <c r="CC637" s="0" t="s">
        <v>240</v>
      </c>
      <c r="CD637" s="0" t="s">
        <v>240</v>
      </c>
      <c r="CE637" s="0" t="s">
        <v>240</v>
      </c>
      <c r="CF637" s="0" t="s">
        <v>240</v>
      </c>
      <c r="CG637" s="0" t="s">
        <v>240</v>
      </c>
      <c r="CH637" s="0" t="s">
        <v>240</v>
      </c>
      <c r="CI637" s="0" t="s">
        <v>240</v>
      </c>
      <c r="CJ637" s="0" t="s">
        <v>240</v>
      </c>
      <c r="CK637" s="0" t="s">
        <v>240</v>
      </c>
      <c r="CL637" s="0" t="s">
        <v>240</v>
      </c>
      <c r="CM637" s="0" t="s">
        <v>240</v>
      </c>
      <c r="CN637" s="0" t="s">
        <v>240</v>
      </c>
      <c r="CO637" s="0" t="s">
        <v>240</v>
      </c>
      <c r="CP637" s="0" t="s">
        <v>240</v>
      </c>
      <c r="CQ637" s="0" t="s">
        <v>240</v>
      </c>
      <c r="CR637" s="0" t="s">
        <v>240</v>
      </c>
      <c r="CS637" s="0" t="s">
        <v>240</v>
      </c>
      <c r="CT637" s="0" t="s">
        <v>5496</v>
      </c>
      <c r="CU637" s="0" t="s">
        <v>5497</v>
      </c>
      <c r="CV637" s="0" t="s">
        <v>443</v>
      </c>
      <c r="CW637" s="0" t="s">
        <v>5509</v>
      </c>
      <c r="CX637" s="0" t="s">
        <v>229</v>
      </c>
      <c r="CY637" s="0" t="s">
        <v>443</v>
      </c>
      <c r="CZ637" s="0" t="s">
        <v>5510</v>
      </c>
      <c r="DA637" s="0" t="s">
        <v>5511</v>
      </c>
      <c r="DB637" s="0" t="s">
        <v>5509</v>
      </c>
      <c r="DC637" s="0" t="s">
        <v>384</v>
      </c>
      <c r="DD637" s="0" t="s">
        <v>291</v>
      </c>
      <c r="DE637" s="0" t="s">
        <v>6759</v>
      </c>
    </row>
    <row customHeight="1" ht="11.25">
      <c r="A638" s="1441" t="s">
        <v>240</v>
      </c>
      <c r="B638" s="0" t="s">
        <v>240</v>
      </c>
      <c r="C638" s="0" t="s">
        <v>240</v>
      </c>
      <c r="D638" s="0" t="s">
        <v>240</v>
      </c>
      <c r="E638" s="0" t="s">
        <v>240</v>
      </c>
      <c r="F638" s="0" t="s">
        <v>240</v>
      </c>
      <c r="G638" s="0" t="s">
        <v>240</v>
      </c>
      <c r="H638" s="0" t="s">
        <v>240</v>
      </c>
      <c r="I638" s="0" t="s">
        <v>5484</v>
      </c>
      <c r="J638" s="0" t="s">
        <v>240</v>
      </c>
      <c r="K638" s="0" t="s">
        <v>240</v>
      </c>
      <c r="L638" s="0" t="s">
        <v>240</v>
      </c>
      <c r="M638" s="0" t="s">
        <v>240</v>
      </c>
      <c r="N638" s="0" t="s">
        <v>240</v>
      </c>
      <c r="O638" s="0" t="s">
        <v>240</v>
      </c>
      <c r="P638" s="0" t="s">
        <v>240</v>
      </c>
      <c r="Q638" s="0" t="s">
        <v>240</v>
      </c>
      <c r="R638" s="0" t="s">
        <v>449</v>
      </c>
      <c r="S638" s="0" t="s">
        <v>240</v>
      </c>
      <c r="T638" s="0" t="s">
        <v>240</v>
      </c>
      <c r="U638" s="0" t="s">
        <v>102</v>
      </c>
      <c r="V638" s="0" t="s">
        <v>240</v>
      </c>
      <c r="W638" s="0" t="s">
        <v>240</v>
      </c>
      <c r="X638" s="0" t="s">
        <v>5585</v>
      </c>
      <c r="Y638" s="0" t="s">
        <v>240</v>
      </c>
      <c r="Z638" s="0" t="s">
        <v>152</v>
      </c>
      <c r="AA638" s="0" t="s">
        <v>152</v>
      </c>
      <c r="AB638" s="0" t="s">
        <v>161</v>
      </c>
      <c r="AC638" s="0" t="s">
        <v>2985</v>
      </c>
      <c r="AD638" s="0" t="s">
        <v>2985</v>
      </c>
      <c r="AE638" s="0" t="s">
        <v>2986</v>
      </c>
      <c r="AF638" s="0" t="s">
        <v>5500</v>
      </c>
      <c r="AG638" s="0" t="s">
        <v>5501</v>
      </c>
      <c r="AH638" s="0" t="s">
        <v>5502</v>
      </c>
      <c r="AI638" s="0" t="s">
        <v>5503</v>
      </c>
      <c r="AJ638" s="0" t="s">
        <v>240</v>
      </c>
      <c r="AK638" s="0" t="s">
        <v>240</v>
      </c>
      <c r="AL638" s="0" t="s">
        <v>240</v>
      </c>
      <c r="AM638" s="0" t="s">
        <v>240</v>
      </c>
      <c r="AN638" s="0" t="s">
        <v>240</v>
      </c>
      <c r="AO638" s="0" t="s">
        <v>240</v>
      </c>
      <c r="AP638" s="0" t="s">
        <v>240</v>
      </c>
      <c r="AQ638" s="0" t="s">
        <v>240</v>
      </c>
      <c r="AR638" s="0" t="s">
        <v>240</v>
      </c>
      <c r="AS638" s="0" t="s">
        <v>240</v>
      </c>
      <c r="AT638" s="0" t="s">
        <v>240</v>
      </c>
      <c r="AU638" s="0" t="s">
        <v>240</v>
      </c>
      <c r="AV638" s="0" t="s">
        <v>240</v>
      </c>
      <c r="AW638" s="0" t="s">
        <v>240</v>
      </c>
      <c r="AX638" s="0" t="s">
        <v>240</v>
      </c>
      <c r="AY638" s="0" t="s">
        <v>240</v>
      </c>
      <c r="AZ638" s="0" t="s">
        <v>240</v>
      </c>
      <c r="BA638" s="0" t="s">
        <v>240</v>
      </c>
      <c r="BB638" s="0" t="s">
        <v>240</v>
      </c>
      <c r="BC638" s="0" t="s">
        <v>240</v>
      </c>
      <c r="BD638" s="0" t="s">
        <v>240</v>
      </c>
      <c r="BE638" s="0" t="s">
        <v>5645</v>
      </c>
      <c r="BF638" s="0" t="s">
        <v>5645</v>
      </c>
      <c r="BG638" s="0" t="s">
        <v>112</v>
      </c>
      <c r="BH638" s="0" t="s">
        <v>5589</v>
      </c>
      <c r="BI638" s="0" t="s">
        <v>123</v>
      </c>
      <c r="BJ638" s="0" t="s">
        <v>240</v>
      </c>
      <c r="BK638" s="0" t="s">
        <v>5608</v>
      </c>
      <c r="BL638" s="0" t="s">
        <v>2985</v>
      </c>
      <c r="BM638" s="0" t="s">
        <v>2985</v>
      </c>
      <c r="BN638" s="0" t="s">
        <v>5646</v>
      </c>
      <c r="BO638" s="0" t="s">
        <v>5500</v>
      </c>
      <c r="BP638" s="0" t="s">
        <v>6760</v>
      </c>
      <c r="BQ638" s="0" t="s">
        <v>5502</v>
      </c>
      <c r="BR638" s="0" t="s">
        <v>6392</v>
      </c>
      <c r="BS638" s="0" t="s">
        <v>240</v>
      </c>
      <c r="BT638" s="0" t="s">
        <v>5650</v>
      </c>
      <c r="BU638" s="0" t="s">
        <v>6761</v>
      </c>
      <c r="BV638" s="0" t="s">
        <v>6761</v>
      </c>
      <c r="BW638" s="0" t="s">
        <v>5598</v>
      </c>
      <c r="BX638" s="0" t="s">
        <v>5598</v>
      </c>
      <c r="BY638" s="0" t="s">
        <v>5598</v>
      </c>
      <c r="BZ638" s="0" t="s">
        <v>5598</v>
      </c>
      <c r="CA638" s="0" t="s">
        <v>5598</v>
      </c>
      <c r="CB638" s="0" t="s">
        <v>240</v>
      </c>
      <c r="CC638" s="0" t="s">
        <v>240</v>
      </c>
      <c r="CD638" s="0" t="s">
        <v>240</v>
      </c>
      <c r="CE638" s="0" t="s">
        <v>240</v>
      </c>
      <c r="CF638" s="0" t="s">
        <v>240</v>
      </c>
      <c r="CG638" s="0" t="s">
        <v>5598</v>
      </c>
      <c r="CH638" s="0" t="s">
        <v>240</v>
      </c>
      <c r="CI638" s="0" t="s">
        <v>240</v>
      </c>
      <c r="CJ638" s="0" t="s">
        <v>240</v>
      </c>
      <c r="CK638" s="0" t="s">
        <v>240</v>
      </c>
      <c r="CL638" s="0" t="s">
        <v>240</v>
      </c>
      <c r="CM638" s="0" t="s">
        <v>6761</v>
      </c>
      <c r="CN638" s="0" t="s">
        <v>6761</v>
      </c>
      <c r="CO638" s="0" t="s">
        <v>240</v>
      </c>
      <c r="CP638" s="0" t="s">
        <v>240</v>
      </c>
      <c r="CQ638" s="0" t="s">
        <v>240</v>
      </c>
      <c r="CR638" s="0" t="s">
        <v>240</v>
      </c>
      <c r="CS638" s="0" t="s">
        <v>5507</v>
      </c>
      <c r="CT638" s="0" t="s">
        <v>5496</v>
      </c>
      <c r="CU638" s="0" t="s">
        <v>5497</v>
      </c>
      <c r="CV638" s="0" t="s">
        <v>443</v>
      </c>
      <c r="CW638" s="0" t="s">
        <v>5509</v>
      </c>
      <c r="CX638" s="0" t="s">
        <v>229</v>
      </c>
      <c r="CY638" s="0" t="s">
        <v>443</v>
      </c>
      <c r="CZ638" s="0" t="s">
        <v>5510</v>
      </c>
      <c r="DA638" s="0" t="s">
        <v>5511</v>
      </c>
      <c r="DB638" s="0" t="s">
        <v>5509</v>
      </c>
      <c r="DC638" s="0" t="s">
        <v>384</v>
      </c>
      <c r="DD638" s="0" t="s">
        <v>291</v>
      </c>
      <c r="DE638" s="0" t="s">
        <v>5512</v>
      </c>
    </row>
    <row customHeight="1" ht="11.25">
      <c r="A639" s="1441" t="s">
        <v>240</v>
      </c>
      <c r="B639" s="0" t="s">
        <v>240</v>
      </c>
      <c r="C639" s="0" t="s">
        <v>240</v>
      </c>
      <c r="D639" s="0" t="s">
        <v>240</v>
      </c>
      <c r="E639" s="0" t="s">
        <v>240</v>
      </c>
      <c r="F639" s="0" t="s">
        <v>240</v>
      </c>
      <c r="G639" s="0" t="s">
        <v>240</v>
      </c>
      <c r="H639" s="0" t="s">
        <v>240</v>
      </c>
      <c r="I639" s="0" t="s">
        <v>5484</v>
      </c>
      <c r="J639" s="0" t="s">
        <v>240</v>
      </c>
      <c r="K639" s="0" t="s">
        <v>240</v>
      </c>
      <c r="L639" s="0" t="s">
        <v>240</v>
      </c>
      <c r="M639" s="0" t="s">
        <v>240</v>
      </c>
      <c r="N639" s="0" t="s">
        <v>240</v>
      </c>
      <c r="O639" s="0" t="s">
        <v>240</v>
      </c>
      <c r="P639" s="0" t="s">
        <v>240</v>
      </c>
      <c r="Q639" s="0" t="s">
        <v>240</v>
      </c>
      <c r="R639" s="0" t="s">
        <v>5513</v>
      </c>
      <c r="S639" s="0" t="s">
        <v>240</v>
      </c>
      <c r="T639" s="0" t="s">
        <v>240</v>
      </c>
      <c r="U639" s="0" t="s">
        <v>102</v>
      </c>
      <c r="V639" s="0" t="s">
        <v>240</v>
      </c>
      <c r="W639" s="0" t="s">
        <v>240</v>
      </c>
      <c r="X639" s="0" t="s">
        <v>5485</v>
      </c>
      <c r="Y639" s="0" t="s">
        <v>240</v>
      </c>
      <c r="Z639" s="0" t="s">
        <v>161</v>
      </c>
      <c r="AA639" s="0" t="s">
        <v>152</v>
      </c>
      <c r="AB639" s="0" t="s">
        <v>152</v>
      </c>
      <c r="AC639" s="0" t="s">
        <v>2991</v>
      </c>
      <c r="AD639" s="0" t="s">
        <v>2991</v>
      </c>
      <c r="AE639" s="0" t="s">
        <v>2992</v>
      </c>
      <c r="AF639" s="0" t="s">
        <v>5749</v>
      </c>
      <c r="AG639" s="0" t="s">
        <v>5750</v>
      </c>
      <c r="AH639" s="0" t="s">
        <v>6083</v>
      </c>
      <c r="AI639" s="0" t="s">
        <v>6084</v>
      </c>
      <c r="AJ639" s="0" t="s">
        <v>5576</v>
      </c>
      <c r="AK639" s="0" t="s">
        <v>5544</v>
      </c>
      <c r="AL639" s="0" t="s">
        <v>5506</v>
      </c>
      <c r="AM639" s="0" t="s">
        <v>5493</v>
      </c>
      <c r="AN639" s="0" t="s">
        <v>5491</v>
      </c>
      <c r="AO639" s="0" t="s">
        <v>6085</v>
      </c>
      <c r="AP639" s="0" t="s">
        <v>240</v>
      </c>
      <c r="AQ639" s="0" t="s">
        <v>240</v>
      </c>
      <c r="AR639" s="0" t="s">
        <v>240</v>
      </c>
      <c r="AS639" s="0" t="s">
        <v>240</v>
      </c>
      <c r="AT639" s="0" t="s">
        <v>240</v>
      </c>
      <c r="AU639" s="0" t="s">
        <v>240</v>
      </c>
      <c r="AV639" s="0" t="s">
        <v>240</v>
      </c>
      <c r="AW639" s="0" t="s">
        <v>240</v>
      </c>
      <c r="AX639" s="0" t="s">
        <v>240</v>
      </c>
      <c r="AY639" s="0" t="s">
        <v>240</v>
      </c>
      <c r="AZ639" s="0" t="s">
        <v>240</v>
      </c>
      <c r="BA639" s="0" t="s">
        <v>240</v>
      </c>
      <c r="BB639" s="0" t="s">
        <v>240</v>
      </c>
      <c r="BC639" s="0" t="s">
        <v>240</v>
      </c>
      <c r="BD639" s="0" t="s">
        <v>240</v>
      </c>
      <c r="BE639" s="0" t="s">
        <v>240</v>
      </c>
      <c r="BF639" s="0" t="s">
        <v>240</v>
      </c>
      <c r="BG639" s="0" t="s">
        <v>240</v>
      </c>
      <c r="BH639" s="0" t="s">
        <v>240</v>
      </c>
      <c r="BI639" s="0" t="s">
        <v>240</v>
      </c>
      <c r="BJ639" s="0" t="s">
        <v>240</v>
      </c>
      <c r="BK639" s="0" t="s">
        <v>240</v>
      </c>
      <c r="BL639" s="0" t="s">
        <v>240</v>
      </c>
      <c r="BM639" s="0" t="s">
        <v>240</v>
      </c>
      <c r="BN639" s="0" t="s">
        <v>240</v>
      </c>
      <c r="BO639" s="0" t="s">
        <v>240</v>
      </c>
      <c r="BP639" s="0" t="s">
        <v>240</v>
      </c>
      <c r="BQ639" s="0" t="s">
        <v>240</v>
      </c>
      <c r="BR639" s="0" t="s">
        <v>240</v>
      </c>
      <c r="BS639" s="0" t="s">
        <v>240</v>
      </c>
      <c r="BT639" s="0" t="s">
        <v>240</v>
      </c>
      <c r="BU639" s="0" t="s">
        <v>240</v>
      </c>
      <c r="BV639" s="0" t="s">
        <v>240</v>
      </c>
      <c r="BW639" s="0" t="s">
        <v>240</v>
      </c>
      <c r="BX639" s="0" t="s">
        <v>240</v>
      </c>
      <c r="BY639" s="0" t="s">
        <v>240</v>
      </c>
      <c r="BZ639" s="0" t="s">
        <v>240</v>
      </c>
      <c r="CA639" s="0" t="s">
        <v>240</v>
      </c>
      <c r="CB639" s="0" t="s">
        <v>240</v>
      </c>
      <c r="CC639" s="0" t="s">
        <v>240</v>
      </c>
      <c r="CD639" s="0" t="s">
        <v>240</v>
      </c>
      <c r="CE639" s="0" t="s">
        <v>240</v>
      </c>
      <c r="CF639" s="0" t="s">
        <v>240</v>
      </c>
      <c r="CG639" s="0" t="s">
        <v>240</v>
      </c>
      <c r="CH639" s="0" t="s">
        <v>240</v>
      </c>
      <c r="CI639" s="0" t="s">
        <v>240</v>
      </c>
      <c r="CJ639" s="0" t="s">
        <v>240</v>
      </c>
      <c r="CK639" s="0" t="s">
        <v>240</v>
      </c>
      <c r="CL639" s="0" t="s">
        <v>240</v>
      </c>
      <c r="CM639" s="0" t="s">
        <v>240</v>
      </c>
      <c r="CN639" s="0" t="s">
        <v>240</v>
      </c>
      <c r="CO639" s="0" t="s">
        <v>240</v>
      </c>
      <c r="CP639" s="0" t="s">
        <v>240</v>
      </c>
      <c r="CQ639" s="0" t="s">
        <v>240</v>
      </c>
      <c r="CR639" s="0" t="s">
        <v>240</v>
      </c>
      <c r="CS639" s="0" t="s">
        <v>240</v>
      </c>
      <c r="CT639" s="0" t="s">
        <v>5496</v>
      </c>
      <c r="CU639" s="0" t="s">
        <v>5497</v>
      </c>
      <c r="CV639" s="0" t="s">
        <v>443</v>
      </c>
      <c r="CW639" s="0" t="s">
        <v>5547</v>
      </c>
      <c r="CX639" s="0" t="s">
        <v>229</v>
      </c>
      <c r="CY639" s="0" t="s">
        <v>443</v>
      </c>
      <c r="CZ639" s="0" t="s">
        <v>5548</v>
      </c>
      <c r="DA639" s="0" t="s">
        <v>5549</v>
      </c>
      <c r="DB639" s="0" t="s">
        <v>5547</v>
      </c>
      <c r="DC639" s="0" t="s">
        <v>384</v>
      </c>
      <c r="DD639" s="0" t="s">
        <v>291</v>
      </c>
      <c r="DE639" s="0" t="s">
        <v>6086</v>
      </c>
    </row>
    <row customHeight="1" ht="11.25">
      <c r="A640" s="1441" t="s">
        <v>240</v>
      </c>
      <c r="B640" s="0" t="s">
        <v>240</v>
      </c>
      <c r="C640" s="0" t="s">
        <v>240</v>
      </c>
      <c r="D640" s="0" t="s">
        <v>240</v>
      </c>
      <c r="E640" s="0" t="s">
        <v>240</v>
      </c>
      <c r="F640" s="0" t="s">
        <v>240</v>
      </c>
      <c r="G640" s="0" t="s">
        <v>240</v>
      </c>
      <c r="H640" s="0" t="s">
        <v>240</v>
      </c>
      <c r="I640" s="0" t="s">
        <v>5484</v>
      </c>
      <c r="J640" s="0" t="s">
        <v>240</v>
      </c>
      <c r="K640" s="0" t="s">
        <v>240</v>
      </c>
      <c r="L640" s="0" t="s">
        <v>240</v>
      </c>
      <c r="M640" s="0" t="s">
        <v>240</v>
      </c>
      <c r="N640" s="0" t="s">
        <v>240</v>
      </c>
      <c r="O640" s="0" t="s">
        <v>240</v>
      </c>
      <c r="P640" s="0" t="s">
        <v>240</v>
      </c>
      <c r="Q640" s="0" t="s">
        <v>240</v>
      </c>
      <c r="R640" s="0" t="s">
        <v>5572</v>
      </c>
      <c r="S640" s="0" t="s">
        <v>240</v>
      </c>
      <c r="T640" s="0" t="s">
        <v>240</v>
      </c>
      <c r="U640" s="0" t="s">
        <v>102</v>
      </c>
      <c r="V640" s="0" t="s">
        <v>240</v>
      </c>
      <c r="W640" s="0" t="s">
        <v>240</v>
      </c>
      <c r="X640" s="0" t="s">
        <v>5485</v>
      </c>
      <c r="Y640" s="0" t="s">
        <v>240</v>
      </c>
      <c r="Z640" s="0" t="s">
        <v>161</v>
      </c>
      <c r="AA640" s="0" t="s">
        <v>152</v>
      </c>
      <c r="AB640" s="0" t="s">
        <v>152</v>
      </c>
      <c r="AC640" s="0" t="s">
        <v>2991</v>
      </c>
      <c r="AD640" s="0" t="s">
        <v>2991</v>
      </c>
      <c r="AE640" s="0" t="s">
        <v>2992</v>
      </c>
      <c r="AF640" s="0" t="s">
        <v>5749</v>
      </c>
      <c r="AG640" s="0" t="s">
        <v>5750</v>
      </c>
      <c r="AH640" s="0" t="s">
        <v>6087</v>
      </c>
      <c r="AI640" s="0" t="s">
        <v>6088</v>
      </c>
      <c r="AJ640" s="0" t="s">
        <v>5576</v>
      </c>
      <c r="AK640" s="0" t="s">
        <v>5544</v>
      </c>
      <c r="AL640" s="0" t="s">
        <v>5506</v>
      </c>
      <c r="AM640" s="0" t="s">
        <v>5493</v>
      </c>
      <c r="AN640" s="0" t="s">
        <v>5553</v>
      </c>
      <c r="AO640" s="0" t="s">
        <v>5752</v>
      </c>
      <c r="AP640" s="0" t="s">
        <v>240</v>
      </c>
      <c r="AQ640" s="0" t="s">
        <v>240</v>
      </c>
      <c r="AR640" s="0" t="s">
        <v>240</v>
      </c>
      <c r="AS640" s="0" t="s">
        <v>240</v>
      </c>
      <c r="AT640" s="0" t="s">
        <v>240</v>
      </c>
      <c r="AU640" s="0" t="s">
        <v>240</v>
      </c>
      <c r="AV640" s="0" t="s">
        <v>240</v>
      </c>
      <c r="AW640" s="0" t="s">
        <v>240</v>
      </c>
      <c r="AX640" s="0" t="s">
        <v>240</v>
      </c>
      <c r="AY640" s="0" t="s">
        <v>240</v>
      </c>
      <c r="AZ640" s="0" t="s">
        <v>240</v>
      </c>
      <c r="BA640" s="0" t="s">
        <v>240</v>
      </c>
      <c r="BB640" s="0" t="s">
        <v>240</v>
      </c>
      <c r="BC640" s="0" t="s">
        <v>240</v>
      </c>
      <c r="BD640" s="0" t="s">
        <v>240</v>
      </c>
      <c r="BE640" s="0" t="s">
        <v>240</v>
      </c>
      <c r="BF640" s="0" t="s">
        <v>240</v>
      </c>
      <c r="BG640" s="0" t="s">
        <v>240</v>
      </c>
      <c r="BH640" s="0" t="s">
        <v>240</v>
      </c>
      <c r="BI640" s="0" t="s">
        <v>240</v>
      </c>
      <c r="BJ640" s="0" t="s">
        <v>240</v>
      </c>
      <c r="BK640" s="0" t="s">
        <v>240</v>
      </c>
      <c r="BL640" s="0" t="s">
        <v>240</v>
      </c>
      <c r="BM640" s="0" t="s">
        <v>240</v>
      </c>
      <c r="BN640" s="0" t="s">
        <v>240</v>
      </c>
      <c r="BO640" s="0" t="s">
        <v>240</v>
      </c>
      <c r="BP640" s="0" t="s">
        <v>240</v>
      </c>
      <c r="BQ640" s="0" t="s">
        <v>240</v>
      </c>
      <c r="BR640" s="0" t="s">
        <v>240</v>
      </c>
      <c r="BS640" s="0" t="s">
        <v>240</v>
      </c>
      <c r="BT640" s="0" t="s">
        <v>240</v>
      </c>
      <c r="BU640" s="0" t="s">
        <v>240</v>
      </c>
      <c r="BV640" s="0" t="s">
        <v>240</v>
      </c>
      <c r="BW640" s="0" t="s">
        <v>240</v>
      </c>
      <c r="BX640" s="0" t="s">
        <v>240</v>
      </c>
      <c r="BY640" s="0" t="s">
        <v>240</v>
      </c>
      <c r="BZ640" s="0" t="s">
        <v>240</v>
      </c>
      <c r="CA640" s="0" t="s">
        <v>240</v>
      </c>
      <c r="CB640" s="0" t="s">
        <v>240</v>
      </c>
      <c r="CC640" s="0" t="s">
        <v>240</v>
      </c>
      <c r="CD640" s="0" t="s">
        <v>240</v>
      </c>
      <c r="CE640" s="0" t="s">
        <v>240</v>
      </c>
      <c r="CF640" s="0" t="s">
        <v>240</v>
      </c>
      <c r="CG640" s="0" t="s">
        <v>240</v>
      </c>
      <c r="CH640" s="0" t="s">
        <v>240</v>
      </c>
      <c r="CI640" s="0" t="s">
        <v>240</v>
      </c>
      <c r="CJ640" s="0" t="s">
        <v>240</v>
      </c>
      <c r="CK640" s="0" t="s">
        <v>240</v>
      </c>
      <c r="CL640" s="0" t="s">
        <v>240</v>
      </c>
      <c r="CM640" s="0" t="s">
        <v>240</v>
      </c>
      <c r="CN640" s="0" t="s">
        <v>240</v>
      </c>
      <c r="CO640" s="0" t="s">
        <v>240</v>
      </c>
      <c r="CP640" s="0" t="s">
        <v>240</v>
      </c>
      <c r="CQ640" s="0" t="s">
        <v>240</v>
      </c>
      <c r="CR640" s="0" t="s">
        <v>240</v>
      </c>
      <c r="CS640" s="0" t="s">
        <v>240</v>
      </c>
      <c r="CT640" s="0" t="s">
        <v>5496</v>
      </c>
      <c r="CU640" s="0" t="s">
        <v>5497</v>
      </c>
      <c r="CV640" s="0" t="s">
        <v>443</v>
      </c>
      <c r="CW640" s="0" t="s">
        <v>5547</v>
      </c>
      <c r="CX640" s="0" t="s">
        <v>229</v>
      </c>
      <c r="CY640" s="0" t="s">
        <v>443</v>
      </c>
      <c r="CZ640" s="0" t="s">
        <v>5548</v>
      </c>
      <c r="DA640" s="0" t="s">
        <v>5549</v>
      </c>
      <c r="DB640" s="0" t="s">
        <v>5547</v>
      </c>
      <c r="DC640" s="0" t="s">
        <v>384</v>
      </c>
      <c r="DD640" s="0" t="s">
        <v>291</v>
      </c>
      <c r="DE640" s="0" t="s">
        <v>6089</v>
      </c>
    </row>
    <row customHeight="1" ht="11.25">
      <c r="A641" s="1441" t="s">
        <v>240</v>
      </c>
      <c r="B641" s="0" t="s">
        <v>240</v>
      </c>
      <c r="C641" s="0" t="s">
        <v>240</v>
      </c>
      <c r="D641" s="0" t="s">
        <v>240</v>
      </c>
      <c r="E641" s="0" t="s">
        <v>240</v>
      </c>
      <c r="F641" s="0" t="s">
        <v>240</v>
      </c>
      <c r="G641" s="0" t="s">
        <v>240</v>
      </c>
      <c r="H641" s="0" t="s">
        <v>240</v>
      </c>
      <c r="I641" s="0" t="s">
        <v>5484</v>
      </c>
      <c r="J641" s="0" t="s">
        <v>240</v>
      </c>
      <c r="K641" s="0" t="s">
        <v>240</v>
      </c>
      <c r="L641" s="0" t="s">
        <v>240</v>
      </c>
      <c r="M641" s="0" t="s">
        <v>240</v>
      </c>
      <c r="N641" s="0" t="s">
        <v>240</v>
      </c>
      <c r="O641" s="0" t="s">
        <v>240</v>
      </c>
      <c r="P641" s="0" t="s">
        <v>240</v>
      </c>
      <c r="Q641" s="0" t="s">
        <v>240</v>
      </c>
      <c r="R641" s="0" t="s">
        <v>6150</v>
      </c>
      <c r="S641" s="0" t="s">
        <v>240</v>
      </c>
      <c r="T641" s="0" t="s">
        <v>240</v>
      </c>
      <c r="U641" s="0" t="s">
        <v>102</v>
      </c>
      <c r="V641" s="0" t="s">
        <v>240</v>
      </c>
      <c r="W641" s="0" t="s">
        <v>240</v>
      </c>
      <c r="X641" s="0" t="s">
        <v>5585</v>
      </c>
      <c r="Y641" s="0" t="s">
        <v>240</v>
      </c>
      <c r="Z641" s="0" t="s">
        <v>152</v>
      </c>
      <c r="AA641" s="0" t="s">
        <v>152</v>
      </c>
      <c r="AB641" s="0" t="s">
        <v>161</v>
      </c>
      <c r="AC641" s="0" t="s">
        <v>2991</v>
      </c>
      <c r="AD641" s="0" t="s">
        <v>2991</v>
      </c>
      <c r="AE641" s="0" t="s">
        <v>2992</v>
      </c>
      <c r="AF641" s="0" t="s">
        <v>5772</v>
      </c>
      <c r="AG641" s="0" t="s">
        <v>5773</v>
      </c>
      <c r="AH641" s="0" t="s">
        <v>5575</v>
      </c>
      <c r="AI641" s="0" t="s">
        <v>5575</v>
      </c>
      <c r="AJ641" s="0" t="s">
        <v>240</v>
      </c>
      <c r="AK641" s="0" t="s">
        <v>240</v>
      </c>
      <c r="AL641" s="0" t="s">
        <v>240</v>
      </c>
      <c r="AM641" s="0" t="s">
        <v>240</v>
      </c>
      <c r="AN641" s="0" t="s">
        <v>240</v>
      </c>
      <c r="AO641" s="0" t="s">
        <v>240</v>
      </c>
      <c r="AP641" s="0" t="s">
        <v>240</v>
      </c>
      <c r="AQ641" s="0" t="s">
        <v>240</v>
      </c>
      <c r="AR641" s="0" t="s">
        <v>240</v>
      </c>
      <c r="AS641" s="0" t="s">
        <v>240</v>
      </c>
      <c r="AT641" s="0" t="s">
        <v>240</v>
      </c>
      <c r="AU641" s="0" t="s">
        <v>240</v>
      </c>
      <c r="AV641" s="0" t="s">
        <v>240</v>
      </c>
      <c r="AW641" s="0" t="s">
        <v>240</v>
      </c>
      <c r="AX641" s="0" t="s">
        <v>240</v>
      </c>
      <c r="AY641" s="0" t="s">
        <v>240</v>
      </c>
      <c r="AZ641" s="0" t="s">
        <v>240</v>
      </c>
      <c r="BA641" s="0" t="s">
        <v>240</v>
      </c>
      <c r="BB641" s="0" t="s">
        <v>240</v>
      </c>
      <c r="BC641" s="0" t="s">
        <v>240</v>
      </c>
      <c r="BD641" s="0" t="s">
        <v>240</v>
      </c>
      <c r="BE641" s="0" t="s">
        <v>5552</v>
      </c>
      <c r="BF641" s="0" t="s">
        <v>5544</v>
      </c>
      <c r="BG641" s="0" t="s">
        <v>112</v>
      </c>
      <c r="BH641" s="0" t="s">
        <v>5589</v>
      </c>
      <c r="BI641" s="0" t="s">
        <v>123</v>
      </c>
      <c r="BJ641" s="0" t="s">
        <v>240</v>
      </c>
      <c r="BK641" s="0" t="s">
        <v>5608</v>
      </c>
      <c r="BL641" s="0" t="s">
        <v>2991</v>
      </c>
      <c r="BM641" s="0" t="s">
        <v>2991</v>
      </c>
      <c r="BN641" s="0" t="s">
        <v>5663</v>
      </c>
      <c r="BO641" s="0" t="s">
        <v>5772</v>
      </c>
      <c r="BP641" s="0" t="s">
        <v>6147</v>
      </c>
      <c r="BQ641" s="0" t="s">
        <v>5575</v>
      </c>
      <c r="BR641" s="0" t="s">
        <v>5575</v>
      </c>
      <c r="BS641" s="0" t="s">
        <v>240</v>
      </c>
      <c r="BT641" s="0" t="s">
        <v>6151</v>
      </c>
      <c r="BU641" s="0" t="s">
        <v>6152</v>
      </c>
      <c r="BV641" s="0" t="s">
        <v>6152</v>
      </c>
      <c r="BW641" s="0" t="s">
        <v>5598</v>
      </c>
      <c r="BX641" s="0" t="s">
        <v>5598</v>
      </c>
      <c r="BY641" s="0" t="s">
        <v>5598</v>
      </c>
      <c r="BZ641" s="0" t="s">
        <v>5598</v>
      </c>
      <c r="CA641" s="0" t="s">
        <v>5598</v>
      </c>
      <c r="CB641" s="0" t="s">
        <v>240</v>
      </c>
      <c r="CC641" s="0" t="s">
        <v>240</v>
      </c>
      <c r="CD641" s="0" t="s">
        <v>240</v>
      </c>
      <c r="CE641" s="0" t="s">
        <v>240</v>
      </c>
      <c r="CF641" s="0" t="s">
        <v>240</v>
      </c>
      <c r="CG641" s="0" t="s">
        <v>5598</v>
      </c>
      <c r="CH641" s="0" t="s">
        <v>240</v>
      </c>
      <c r="CI641" s="0" t="s">
        <v>240</v>
      </c>
      <c r="CJ641" s="0" t="s">
        <v>240</v>
      </c>
      <c r="CK641" s="0" t="s">
        <v>240</v>
      </c>
      <c r="CL641" s="0" t="s">
        <v>240</v>
      </c>
      <c r="CM641" s="0" t="s">
        <v>6152</v>
      </c>
      <c r="CN641" s="0" t="s">
        <v>6152</v>
      </c>
      <c r="CO641" s="0" t="s">
        <v>240</v>
      </c>
      <c r="CP641" s="0" t="s">
        <v>240</v>
      </c>
      <c r="CQ641" s="0" t="s">
        <v>240</v>
      </c>
      <c r="CR641" s="0" t="s">
        <v>240</v>
      </c>
      <c r="CS641" s="0" t="s">
        <v>5666</v>
      </c>
      <c r="CT641" s="0" t="s">
        <v>5496</v>
      </c>
      <c r="CU641" s="0" t="s">
        <v>5497</v>
      </c>
      <c r="CV641" s="0" t="s">
        <v>443</v>
      </c>
      <c r="CW641" s="0" t="s">
        <v>5547</v>
      </c>
      <c r="CX641" s="0" t="s">
        <v>229</v>
      </c>
      <c r="CY641" s="0" t="s">
        <v>443</v>
      </c>
      <c r="CZ641" s="0" t="s">
        <v>5548</v>
      </c>
      <c r="DA641" s="0" t="s">
        <v>5549</v>
      </c>
      <c r="DB641" s="0" t="s">
        <v>5547</v>
      </c>
      <c r="DC641" s="0" t="s">
        <v>384</v>
      </c>
      <c r="DD641" s="0" t="s">
        <v>291</v>
      </c>
      <c r="DE641" s="0" t="s">
        <v>6149</v>
      </c>
    </row>
    <row customHeight="1" ht="11.25">
      <c r="A642" s="1441" t="s">
        <v>240</v>
      </c>
      <c r="B642" s="0" t="s">
        <v>240</v>
      </c>
      <c r="C642" s="0" t="s">
        <v>240</v>
      </c>
      <c r="D642" s="0" t="s">
        <v>240</v>
      </c>
      <c r="E642" s="0" t="s">
        <v>240</v>
      </c>
      <c r="F642" s="0" t="s">
        <v>240</v>
      </c>
      <c r="G642" s="0" t="s">
        <v>240</v>
      </c>
      <c r="H642" s="0" t="s">
        <v>240</v>
      </c>
      <c r="I642" s="0" t="s">
        <v>5484</v>
      </c>
      <c r="J642" s="0" t="s">
        <v>240</v>
      </c>
      <c r="K642" s="0" t="s">
        <v>240</v>
      </c>
      <c r="L642" s="0" t="s">
        <v>240</v>
      </c>
      <c r="M642" s="0" t="s">
        <v>240</v>
      </c>
      <c r="N642" s="0" t="s">
        <v>240</v>
      </c>
      <c r="O642" s="0" t="s">
        <v>240</v>
      </c>
      <c r="P642" s="0" t="s">
        <v>240</v>
      </c>
      <c r="Q642" s="0" t="s">
        <v>240</v>
      </c>
      <c r="R642" s="0" t="s">
        <v>6153</v>
      </c>
      <c r="S642" s="0" t="s">
        <v>240</v>
      </c>
      <c r="T642" s="0" t="s">
        <v>240</v>
      </c>
      <c r="U642" s="0" t="s">
        <v>102</v>
      </c>
      <c r="V642" s="0" t="s">
        <v>240</v>
      </c>
      <c r="W642" s="0" t="s">
        <v>240</v>
      </c>
      <c r="X642" s="0" t="s">
        <v>5585</v>
      </c>
      <c r="Y642" s="0" t="s">
        <v>240</v>
      </c>
      <c r="Z642" s="0" t="s">
        <v>152</v>
      </c>
      <c r="AA642" s="0" t="s">
        <v>152</v>
      </c>
      <c r="AB642" s="0" t="s">
        <v>161</v>
      </c>
      <c r="AC642" s="0" t="s">
        <v>2991</v>
      </c>
      <c r="AD642" s="0" t="s">
        <v>2991</v>
      </c>
      <c r="AE642" s="0" t="s">
        <v>2992</v>
      </c>
      <c r="AF642" s="0" t="s">
        <v>5772</v>
      </c>
      <c r="AG642" s="0" t="s">
        <v>5773</v>
      </c>
      <c r="AH642" s="0" t="s">
        <v>6154</v>
      </c>
      <c r="AI642" s="0" t="s">
        <v>6155</v>
      </c>
      <c r="AJ642" s="0" t="s">
        <v>240</v>
      </c>
      <c r="AK642" s="0" t="s">
        <v>240</v>
      </c>
      <c r="AL642" s="0" t="s">
        <v>240</v>
      </c>
      <c r="AM642" s="0" t="s">
        <v>240</v>
      </c>
      <c r="AN642" s="0" t="s">
        <v>240</v>
      </c>
      <c r="AO642" s="0" t="s">
        <v>240</v>
      </c>
      <c r="AP642" s="0" t="s">
        <v>240</v>
      </c>
      <c r="AQ642" s="0" t="s">
        <v>240</v>
      </c>
      <c r="AR642" s="0" t="s">
        <v>240</v>
      </c>
      <c r="AS642" s="0" t="s">
        <v>240</v>
      </c>
      <c r="AT642" s="0" t="s">
        <v>240</v>
      </c>
      <c r="AU642" s="0" t="s">
        <v>240</v>
      </c>
      <c r="AV642" s="0" t="s">
        <v>240</v>
      </c>
      <c r="AW642" s="0" t="s">
        <v>240</v>
      </c>
      <c r="AX642" s="0" t="s">
        <v>240</v>
      </c>
      <c r="AY642" s="0" t="s">
        <v>240</v>
      </c>
      <c r="AZ642" s="0" t="s">
        <v>240</v>
      </c>
      <c r="BA642" s="0" t="s">
        <v>240</v>
      </c>
      <c r="BB642" s="0" t="s">
        <v>240</v>
      </c>
      <c r="BC642" s="0" t="s">
        <v>240</v>
      </c>
      <c r="BD642" s="0" t="s">
        <v>240</v>
      </c>
      <c r="BE642" s="0" t="s">
        <v>5552</v>
      </c>
      <c r="BF642" s="0" t="s">
        <v>5544</v>
      </c>
      <c r="BG642" s="0" t="s">
        <v>112</v>
      </c>
      <c r="BH642" s="0" t="s">
        <v>5589</v>
      </c>
      <c r="BI642" s="0" t="s">
        <v>123</v>
      </c>
      <c r="BJ642" s="0" t="s">
        <v>240</v>
      </c>
      <c r="BK642" s="0" t="s">
        <v>5608</v>
      </c>
      <c r="BL642" s="0" t="s">
        <v>2991</v>
      </c>
      <c r="BM642" s="0" t="s">
        <v>2991</v>
      </c>
      <c r="BN642" s="0" t="s">
        <v>5663</v>
      </c>
      <c r="BO642" s="0" t="s">
        <v>5772</v>
      </c>
      <c r="BP642" s="0" t="s">
        <v>6147</v>
      </c>
      <c r="BQ642" s="0" t="s">
        <v>6154</v>
      </c>
      <c r="BR642" s="0" t="s">
        <v>6155</v>
      </c>
      <c r="BS642" s="0" t="s">
        <v>240</v>
      </c>
      <c r="BT642" s="0" t="s">
        <v>6151</v>
      </c>
      <c r="BU642" s="0" t="s">
        <v>6156</v>
      </c>
      <c r="BV642" s="0" t="s">
        <v>6156</v>
      </c>
      <c r="BW642" s="0" t="s">
        <v>5598</v>
      </c>
      <c r="BX642" s="0" t="s">
        <v>5598</v>
      </c>
      <c r="BY642" s="0" t="s">
        <v>5598</v>
      </c>
      <c r="BZ642" s="0" t="s">
        <v>5598</v>
      </c>
      <c r="CA642" s="0" t="s">
        <v>5598</v>
      </c>
      <c r="CB642" s="0" t="s">
        <v>240</v>
      </c>
      <c r="CC642" s="0" t="s">
        <v>240</v>
      </c>
      <c r="CD642" s="0" t="s">
        <v>240</v>
      </c>
      <c r="CE642" s="0" t="s">
        <v>240</v>
      </c>
      <c r="CF642" s="0" t="s">
        <v>240</v>
      </c>
      <c r="CG642" s="0" t="s">
        <v>5598</v>
      </c>
      <c r="CH642" s="0" t="s">
        <v>240</v>
      </c>
      <c r="CI642" s="0" t="s">
        <v>240</v>
      </c>
      <c r="CJ642" s="0" t="s">
        <v>240</v>
      </c>
      <c r="CK642" s="0" t="s">
        <v>240</v>
      </c>
      <c r="CL642" s="0" t="s">
        <v>240</v>
      </c>
      <c r="CM642" s="0" t="s">
        <v>6156</v>
      </c>
      <c r="CN642" s="0" t="s">
        <v>6156</v>
      </c>
      <c r="CO642" s="0" t="s">
        <v>240</v>
      </c>
      <c r="CP642" s="0" t="s">
        <v>240</v>
      </c>
      <c r="CQ642" s="0" t="s">
        <v>240</v>
      </c>
      <c r="CR642" s="0" t="s">
        <v>240</v>
      </c>
      <c r="CS642" s="0" t="s">
        <v>5666</v>
      </c>
      <c r="CT642" s="0" t="s">
        <v>5496</v>
      </c>
      <c r="CU642" s="0" t="s">
        <v>5497</v>
      </c>
      <c r="CV642" s="0" t="s">
        <v>443</v>
      </c>
      <c r="CW642" s="0" t="s">
        <v>5547</v>
      </c>
      <c r="CX642" s="0" t="s">
        <v>229</v>
      </c>
      <c r="CY642" s="0" t="s">
        <v>443</v>
      </c>
      <c r="CZ642" s="0" t="s">
        <v>5548</v>
      </c>
      <c r="DA642" s="0" t="s">
        <v>5549</v>
      </c>
      <c r="DB642" s="0" t="s">
        <v>5547</v>
      </c>
      <c r="DC642" s="0" t="s">
        <v>384</v>
      </c>
      <c r="DD642" s="0" t="s">
        <v>291</v>
      </c>
      <c r="DE642" s="0" t="s">
        <v>6157</v>
      </c>
    </row>
    <row customHeight="1" ht="11.25">
      <c r="A643" s="1441" t="s">
        <v>240</v>
      </c>
      <c r="B643" s="0" t="s">
        <v>240</v>
      </c>
      <c r="C643" s="0" t="s">
        <v>240</v>
      </c>
      <c r="D643" s="0" t="s">
        <v>240</v>
      </c>
      <c r="E643" s="0" t="s">
        <v>240</v>
      </c>
      <c r="F643" s="0" t="s">
        <v>240</v>
      </c>
      <c r="G643" s="0" t="s">
        <v>240</v>
      </c>
      <c r="H643" s="0" t="s">
        <v>240</v>
      </c>
      <c r="I643" s="0" t="s">
        <v>5484</v>
      </c>
      <c r="J643" s="0" t="s">
        <v>240</v>
      </c>
      <c r="K643" s="0" t="s">
        <v>240</v>
      </c>
      <c r="L643" s="0" t="s">
        <v>240</v>
      </c>
      <c r="M643" s="0" t="s">
        <v>240</v>
      </c>
      <c r="N643" s="0" t="s">
        <v>240</v>
      </c>
      <c r="O643" s="0" t="s">
        <v>240</v>
      </c>
      <c r="P643" s="0" t="s">
        <v>240</v>
      </c>
      <c r="Q643" s="0" t="s">
        <v>240</v>
      </c>
      <c r="R643" s="0" t="s">
        <v>5572</v>
      </c>
      <c r="S643" s="0" t="s">
        <v>240</v>
      </c>
      <c r="T643" s="0" t="s">
        <v>240</v>
      </c>
      <c r="U643" s="0" t="s">
        <v>102</v>
      </c>
      <c r="V643" s="0" t="s">
        <v>240</v>
      </c>
      <c r="W643" s="0" t="s">
        <v>240</v>
      </c>
      <c r="X643" s="0" t="s">
        <v>5485</v>
      </c>
      <c r="Y643" s="0" t="s">
        <v>240</v>
      </c>
      <c r="Z643" s="0" t="s">
        <v>161</v>
      </c>
      <c r="AA643" s="0" t="s">
        <v>152</v>
      </c>
      <c r="AB643" s="0" t="s">
        <v>152</v>
      </c>
      <c r="AC643" s="0" t="s">
        <v>2991</v>
      </c>
      <c r="AD643" s="0" t="s">
        <v>2991</v>
      </c>
      <c r="AE643" s="0" t="s">
        <v>2992</v>
      </c>
      <c r="AF643" s="0" t="s">
        <v>6158</v>
      </c>
      <c r="AG643" s="0" t="s">
        <v>6159</v>
      </c>
      <c r="AH643" s="0" t="s">
        <v>6417</v>
      </c>
      <c r="AI643" s="0" t="s">
        <v>6329</v>
      </c>
      <c r="AJ643" s="0" t="s">
        <v>5552</v>
      </c>
      <c r="AK643" s="0" t="s">
        <v>5544</v>
      </c>
      <c r="AL643" s="0" t="s">
        <v>5506</v>
      </c>
      <c r="AM643" s="0" t="s">
        <v>5493</v>
      </c>
      <c r="AN643" s="0" t="s">
        <v>5553</v>
      </c>
      <c r="AO643" s="0" t="s">
        <v>5836</v>
      </c>
      <c r="AP643" s="0" t="s">
        <v>240</v>
      </c>
      <c r="AQ643" s="0" t="s">
        <v>240</v>
      </c>
      <c r="AR643" s="0" t="s">
        <v>240</v>
      </c>
      <c r="AS643" s="0" t="s">
        <v>240</v>
      </c>
      <c r="AT643" s="0" t="s">
        <v>240</v>
      </c>
      <c r="AU643" s="0" t="s">
        <v>240</v>
      </c>
      <c r="AV643" s="0" t="s">
        <v>240</v>
      </c>
      <c r="AW643" s="0" t="s">
        <v>240</v>
      </c>
      <c r="AX643" s="0" t="s">
        <v>240</v>
      </c>
      <c r="AY643" s="0" t="s">
        <v>240</v>
      </c>
      <c r="AZ643" s="0" t="s">
        <v>240</v>
      </c>
      <c r="BA643" s="0" t="s">
        <v>240</v>
      </c>
      <c r="BB643" s="0" t="s">
        <v>240</v>
      </c>
      <c r="BC643" s="0" t="s">
        <v>240</v>
      </c>
      <c r="BD643" s="0" t="s">
        <v>240</v>
      </c>
      <c r="BE643" s="0" t="s">
        <v>240</v>
      </c>
      <c r="BF643" s="0" t="s">
        <v>240</v>
      </c>
      <c r="BG643" s="0" t="s">
        <v>240</v>
      </c>
      <c r="BH643" s="0" t="s">
        <v>240</v>
      </c>
      <c r="BI643" s="0" t="s">
        <v>240</v>
      </c>
      <c r="BJ643" s="0" t="s">
        <v>240</v>
      </c>
      <c r="BK643" s="0" t="s">
        <v>240</v>
      </c>
      <c r="BL643" s="0" t="s">
        <v>240</v>
      </c>
      <c r="BM643" s="0" t="s">
        <v>240</v>
      </c>
      <c r="BN643" s="0" t="s">
        <v>240</v>
      </c>
      <c r="BO643" s="0" t="s">
        <v>240</v>
      </c>
      <c r="BP643" s="0" t="s">
        <v>240</v>
      </c>
      <c r="BQ643" s="0" t="s">
        <v>240</v>
      </c>
      <c r="BR643" s="0" t="s">
        <v>240</v>
      </c>
      <c r="BS643" s="0" t="s">
        <v>240</v>
      </c>
      <c r="BT643" s="0" t="s">
        <v>240</v>
      </c>
      <c r="BU643" s="0" t="s">
        <v>240</v>
      </c>
      <c r="BV643" s="0" t="s">
        <v>240</v>
      </c>
      <c r="BW643" s="0" t="s">
        <v>240</v>
      </c>
      <c r="BX643" s="0" t="s">
        <v>240</v>
      </c>
      <c r="BY643" s="0" t="s">
        <v>240</v>
      </c>
      <c r="BZ643" s="0" t="s">
        <v>240</v>
      </c>
      <c r="CA643" s="0" t="s">
        <v>240</v>
      </c>
      <c r="CB643" s="0" t="s">
        <v>240</v>
      </c>
      <c r="CC643" s="0" t="s">
        <v>240</v>
      </c>
      <c r="CD643" s="0" t="s">
        <v>240</v>
      </c>
      <c r="CE643" s="0" t="s">
        <v>240</v>
      </c>
      <c r="CF643" s="0" t="s">
        <v>240</v>
      </c>
      <c r="CG643" s="0" t="s">
        <v>240</v>
      </c>
      <c r="CH643" s="0" t="s">
        <v>240</v>
      </c>
      <c r="CI643" s="0" t="s">
        <v>240</v>
      </c>
      <c r="CJ643" s="0" t="s">
        <v>240</v>
      </c>
      <c r="CK643" s="0" t="s">
        <v>240</v>
      </c>
      <c r="CL643" s="0" t="s">
        <v>240</v>
      </c>
      <c r="CM643" s="0" t="s">
        <v>240</v>
      </c>
      <c r="CN643" s="0" t="s">
        <v>240</v>
      </c>
      <c r="CO643" s="0" t="s">
        <v>240</v>
      </c>
      <c r="CP643" s="0" t="s">
        <v>240</v>
      </c>
      <c r="CQ643" s="0" t="s">
        <v>240</v>
      </c>
      <c r="CR643" s="0" t="s">
        <v>240</v>
      </c>
      <c r="CS643" s="0" t="s">
        <v>240</v>
      </c>
      <c r="CT643" s="0" t="s">
        <v>5496</v>
      </c>
      <c r="CU643" s="0" t="s">
        <v>5497</v>
      </c>
      <c r="CV643" s="0" t="s">
        <v>443</v>
      </c>
      <c r="CW643" s="0" t="s">
        <v>5547</v>
      </c>
      <c r="CX643" s="0" t="s">
        <v>229</v>
      </c>
      <c r="CY643" s="0" t="s">
        <v>443</v>
      </c>
      <c r="CZ643" s="0" t="s">
        <v>5548</v>
      </c>
      <c r="DA643" s="0" t="s">
        <v>5549</v>
      </c>
      <c r="DB643" s="0" t="s">
        <v>5547</v>
      </c>
      <c r="DC643" s="0" t="s">
        <v>384</v>
      </c>
      <c r="DD643" s="0" t="s">
        <v>291</v>
      </c>
      <c r="DE643" s="0" t="s">
        <v>6418</v>
      </c>
    </row>
    <row customHeight="1" ht="11.25">
      <c r="A644" s="1441" t="s">
        <v>240</v>
      </c>
      <c r="B644" s="0" t="s">
        <v>240</v>
      </c>
      <c r="C644" s="0" t="s">
        <v>240</v>
      </c>
      <c r="D644" s="0" t="s">
        <v>240</v>
      </c>
      <c r="E644" s="0" t="s">
        <v>240</v>
      </c>
      <c r="F644" s="0" t="s">
        <v>240</v>
      </c>
      <c r="G644" s="0" t="s">
        <v>240</v>
      </c>
      <c r="H644" s="0" t="s">
        <v>240</v>
      </c>
      <c r="I644" s="0" t="s">
        <v>5484</v>
      </c>
      <c r="J644" s="0" t="s">
        <v>240</v>
      </c>
      <c r="K644" s="0" t="s">
        <v>240</v>
      </c>
      <c r="L644" s="0" t="s">
        <v>240</v>
      </c>
      <c r="M644" s="0" t="s">
        <v>240</v>
      </c>
      <c r="N644" s="0" t="s">
        <v>240</v>
      </c>
      <c r="O644" s="0" t="s">
        <v>240</v>
      </c>
      <c r="P644" s="0" t="s">
        <v>240</v>
      </c>
      <c r="Q644" s="0" t="s">
        <v>240</v>
      </c>
      <c r="R644" s="0" t="s">
        <v>5513</v>
      </c>
      <c r="S644" s="0" t="s">
        <v>240</v>
      </c>
      <c r="T644" s="0" t="s">
        <v>240</v>
      </c>
      <c r="U644" s="0" t="s">
        <v>102</v>
      </c>
      <c r="V644" s="0" t="s">
        <v>240</v>
      </c>
      <c r="W644" s="0" t="s">
        <v>240</v>
      </c>
      <c r="X644" s="0" t="s">
        <v>5485</v>
      </c>
      <c r="Y644" s="0" t="s">
        <v>240</v>
      </c>
      <c r="Z644" s="0" t="s">
        <v>161</v>
      </c>
      <c r="AA644" s="0" t="s">
        <v>152</v>
      </c>
      <c r="AB644" s="0" t="s">
        <v>152</v>
      </c>
      <c r="AC644" s="0" t="s">
        <v>2991</v>
      </c>
      <c r="AD644" s="0" t="s">
        <v>2991</v>
      </c>
      <c r="AE644" s="0" t="s">
        <v>2992</v>
      </c>
      <c r="AF644" s="0" t="s">
        <v>5884</v>
      </c>
      <c r="AG644" s="0" t="s">
        <v>5885</v>
      </c>
      <c r="AH644" s="0" t="s">
        <v>6379</v>
      </c>
      <c r="AI644" s="0" t="s">
        <v>6551</v>
      </c>
      <c r="AJ644" s="0" t="s">
        <v>5552</v>
      </c>
      <c r="AK644" s="0" t="s">
        <v>5776</v>
      </c>
      <c r="AL644" s="0" t="s">
        <v>5506</v>
      </c>
      <c r="AM644" s="0" t="s">
        <v>5493</v>
      </c>
      <c r="AN644" s="0" t="s">
        <v>5553</v>
      </c>
      <c r="AO644" s="0" t="s">
        <v>5746</v>
      </c>
      <c r="AP644" s="0" t="s">
        <v>240</v>
      </c>
      <c r="AQ644" s="0" t="s">
        <v>240</v>
      </c>
      <c r="AR644" s="0" t="s">
        <v>240</v>
      </c>
      <c r="AS644" s="0" t="s">
        <v>240</v>
      </c>
      <c r="AT644" s="0" t="s">
        <v>240</v>
      </c>
      <c r="AU644" s="0" t="s">
        <v>240</v>
      </c>
      <c r="AV644" s="0" t="s">
        <v>240</v>
      </c>
      <c r="AW644" s="0" t="s">
        <v>240</v>
      </c>
      <c r="AX644" s="0" t="s">
        <v>240</v>
      </c>
      <c r="AY644" s="0" t="s">
        <v>240</v>
      </c>
      <c r="AZ644" s="0" t="s">
        <v>240</v>
      </c>
      <c r="BA644" s="0" t="s">
        <v>240</v>
      </c>
      <c r="BB644" s="0" t="s">
        <v>240</v>
      </c>
      <c r="BC644" s="0" t="s">
        <v>240</v>
      </c>
      <c r="BD644" s="0" t="s">
        <v>240</v>
      </c>
      <c r="BE644" s="0" t="s">
        <v>240</v>
      </c>
      <c r="BF644" s="0" t="s">
        <v>240</v>
      </c>
      <c r="BG644" s="0" t="s">
        <v>240</v>
      </c>
      <c r="BH644" s="0" t="s">
        <v>240</v>
      </c>
      <c r="BI644" s="0" t="s">
        <v>240</v>
      </c>
      <c r="BJ644" s="0" t="s">
        <v>240</v>
      </c>
      <c r="BK644" s="0" t="s">
        <v>240</v>
      </c>
      <c r="BL644" s="0" t="s">
        <v>240</v>
      </c>
      <c r="BM644" s="0" t="s">
        <v>240</v>
      </c>
      <c r="BN644" s="0" t="s">
        <v>240</v>
      </c>
      <c r="BO644" s="0" t="s">
        <v>240</v>
      </c>
      <c r="BP644" s="0" t="s">
        <v>240</v>
      </c>
      <c r="BQ644" s="0" t="s">
        <v>240</v>
      </c>
      <c r="BR644" s="0" t="s">
        <v>240</v>
      </c>
      <c r="BS644" s="0" t="s">
        <v>240</v>
      </c>
      <c r="BT644" s="0" t="s">
        <v>240</v>
      </c>
      <c r="BU644" s="0" t="s">
        <v>240</v>
      </c>
      <c r="BV644" s="0" t="s">
        <v>240</v>
      </c>
      <c r="BW644" s="0" t="s">
        <v>240</v>
      </c>
      <c r="BX644" s="0" t="s">
        <v>240</v>
      </c>
      <c r="BY644" s="0" t="s">
        <v>240</v>
      </c>
      <c r="BZ644" s="0" t="s">
        <v>240</v>
      </c>
      <c r="CA644" s="0" t="s">
        <v>240</v>
      </c>
      <c r="CB644" s="0" t="s">
        <v>240</v>
      </c>
      <c r="CC644" s="0" t="s">
        <v>240</v>
      </c>
      <c r="CD644" s="0" t="s">
        <v>240</v>
      </c>
      <c r="CE644" s="0" t="s">
        <v>240</v>
      </c>
      <c r="CF644" s="0" t="s">
        <v>240</v>
      </c>
      <c r="CG644" s="0" t="s">
        <v>240</v>
      </c>
      <c r="CH644" s="0" t="s">
        <v>240</v>
      </c>
      <c r="CI644" s="0" t="s">
        <v>240</v>
      </c>
      <c r="CJ644" s="0" t="s">
        <v>240</v>
      </c>
      <c r="CK644" s="0" t="s">
        <v>240</v>
      </c>
      <c r="CL644" s="0" t="s">
        <v>240</v>
      </c>
      <c r="CM644" s="0" t="s">
        <v>240</v>
      </c>
      <c r="CN644" s="0" t="s">
        <v>240</v>
      </c>
      <c r="CO644" s="0" t="s">
        <v>240</v>
      </c>
      <c r="CP644" s="0" t="s">
        <v>240</v>
      </c>
      <c r="CQ644" s="0" t="s">
        <v>240</v>
      </c>
      <c r="CR644" s="0" t="s">
        <v>240</v>
      </c>
      <c r="CS644" s="0" t="s">
        <v>240</v>
      </c>
      <c r="CT644" s="0" t="s">
        <v>5496</v>
      </c>
      <c r="CU644" s="0" t="s">
        <v>5497</v>
      </c>
      <c r="CV644" s="0" t="s">
        <v>443</v>
      </c>
      <c r="CW644" s="0" t="s">
        <v>5547</v>
      </c>
      <c r="CX644" s="0" t="s">
        <v>229</v>
      </c>
      <c r="CY644" s="0" t="s">
        <v>443</v>
      </c>
      <c r="CZ644" s="0" t="s">
        <v>5548</v>
      </c>
      <c r="DA644" s="0" t="s">
        <v>5549</v>
      </c>
      <c r="DB644" s="0" t="s">
        <v>5547</v>
      </c>
      <c r="DC644" s="0" t="s">
        <v>384</v>
      </c>
      <c r="DD644" s="0" t="s">
        <v>291</v>
      </c>
      <c r="DE644" s="0" t="s">
        <v>6576</v>
      </c>
    </row>
    <row customHeight="1" ht="11.25">
      <c r="A645" s="1441" t="s">
        <v>240</v>
      </c>
      <c r="B645" s="0" t="s">
        <v>240</v>
      </c>
      <c r="C645" s="0" t="s">
        <v>240</v>
      </c>
      <c r="D645" s="0" t="s">
        <v>240</v>
      </c>
      <c r="E645" s="0" t="s">
        <v>240</v>
      </c>
      <c r="F645" s="0" t="s">
        <v>240</v>
      </c>
      <c r="G645" s="0" t="s">
        <v>240</v>
      </c>
      <c r="H645" s="0" t="s">
        <v>240</v>
      </c>
      <c r="I645" s="0" t="s">
        <v>5484</v>
      </c>
      <c r="J645" s="0" t="s">
        <v>240</v>
      </c>
      <c r="K645" s="0" t="s">
        <v>240</v>
      </c>
      <c r="L645" s="0" t="s">
        <v>240</v>
      </c>
      <c r="M645" s="0" t="s">
        <v>240</v>
      </c>
      <c r="N645" s="0" t="s">
        <v>240</v>
      </c>
      <c r="O645" s="0" t="s">
        <v>240</v>
      </c>
      <c r="P645" s="0" t="s">
        <v>240</v>
      </c>
      <c r="Q645" s="0" t="s">
        <v>240</v>
      </c>
      <c r="R645" s="0" t="s">
        <v>5572</v>
      </c>
      <c r="S645" s="0" t="s">
        <v>240</v>
      </c>
      <c r="T645" s="0" t="s">
        <v>240</v>
      </c>
      <c r="U645" s="0" t="s">
        <v>102</v>
      </c>
      <c r="V645" s="0" t="s">
        <v>240</v>
      </c>
      <c r="W645" s="0" t="s">
        <v>240</v>
      </c>
      <c r="X645" s="0" t="s">
        <v>5485</v>
      </c>
      <c r="Y645" s="0" t="s">
        <v>240</v>
      </c>
      <c r="Z645" s="0" t="s">
        <v>161</v>
      </c>
      <c r="AA645" s="0" t="s">
        <v>152</v>
      </c>
      <c r="AB645" s="0" t="s">
        <v>152</v>
      </c>
      <c r="AC645" s="0" t="s">
        <v>2991</v>
      </c>
      <c r="AD645" s="0" t="s">
        <v>2991</v>
      </c>
      <c r="AE645" s="0" t="s">
        <v>2992</v>
      </c>
      <c r="AF645" s="0" t="s">
        <v>5884</v>
      </c>
      <c r="AG645" s="0" t="s">
        <v>5885</v>
      </c>
      <c r="AH645" s="0" t="s">
        <v>5886</v>
      </c>
      <c r="AI645" s="0" t="s">
        <v>5710</v>
      </c>
      <c r="AJ645" s="0" t="s">
        <v>5552</v>
      </c>
      <c r="AK645" s="0" t="s">
        <v>5776</v>
      </c>
      <c r="AL645" s="0" t="s">
        <v>5506</v>
      </c>
      <c r="AM645" s="0" t="s">
        <v>5493</v>
      </c>
      <c r="AN645" s="0" t="s">
        <v>5553</v>
      </c>
      <c r="AO645" s="0" t="s">
        <v>5887</v>
      </c>
      <c r="AP645" s="0" t="s">
        <v>240</v>
      </c>
      <c r="AQ645" s="0" t="s">
        <v>240</v>
      </c>
      <c r="AR645" s="0" t="s">
        <v>240</v>
      </c>
      <c r="AS645" s="0" t="s">
        <v>240</v>
      </c>
      <c r="AT645" s="0" t="s">
        <v>240</v>
      </c>
      <c r="AU645" s="0" t="s">
        <v>240</v>
      </c>
      <c r="AV645" s="0" t="s">
        <v>240</v>
      </c>
      <c r="AW645" s="0" t="s">
        <v>240</v>
      </c>
      <c r="AX645" s="0" t="s">
        <v>240</v>
      </c>
      <c r="AY645" s="0" t="s">
        <v>240</v>
      </c>
      <c r="AZ645" s="0" t="s">
        <v>240</v>
      </c>
      <c r="BA645" s="0" t="s">
        <v>240</v>
      </c>
      <c r="BB645" s="0" t="s">
        <v>240</v>
      </c>
      <c r="BC645" s="0" t="s">
        <v>240</v>
      </c>
      <c r="BD645" s="0" t="s">
        <v>240</v>
      </c>
      <c r="BE645" s="0" t="s">
        <v>240</v>
      </c>
      <c r="BF645" s="0" t="s">
        <v>240</v>
      </c>
      <c r="BG645" s="0" t="s">
        <v>240</v>
      </c>
      <c r="BH645" s="0" t="s">
        <v>240</v>
      </c>
      <c r="BI645" s="0" t="s">
        <v>240</v>
      </c>
      <c r="BJ645" s="0" t="s">
        <v>240</v>
      </c>
      <c r="BK645" s="0" t="s">
        <v>240</v>
      </c>
      <c r="BL645" s="0" t="s">
        <v>240</v>
      </c>
      <c r="BM645" s="0" t="s">
        <v>240</v>
      </c>
      <c r="BN645" s="0" t="s">
        <v>240</v>
      </c>
      <c r="BO645" s="0" t="s">
        <v>240</v>
      </c>
      <c r="BP645" s="0" t="s">
        <v>240</v>
      </c>
      <c r="BQ645" s="0" t="s">
        <v>240</v>
      </c>
      <c r="BR645" s="0" t="s">
        <v>240</v>
      </c>
      <c r="BS645" s="0" t="s">
        <v>240</v>
      </c>
      <c r="BT645" s="0" t="s">
        <v>240</v>
      </c>
      <c r="BU645" s="0" t="s">
        <v>240</v>
      </c>
      <c r="BV645" s="0" t="s">
        <v>240</v>
      </c>
      <c r="BW645" s="0" t="s">
        <v>240</v>
      </c>
      <c r="BX645" s="0" t="s">
        <v>240</v>
      </c>
      <c r="BY645" s="0" t="s">
        <v>240</v>
      </c>
      <c r="BZ645" s="0" t="s">
        <v>240</v>
      </c>
      <c r="CA645" s="0" t="s">
        <v>240</v>
      </c>
      <c r="CB645" s="0" t="s">
        <v>240</v>
      </c>
      <c r="CC645" s="0" t="s">
        <v>240</v>
      </c>
      <c r="CD645" s="0" t="s">
        <v>240</v>
      </c>
      <c r="CE645" s="0" t="s">
        <v>240</v>
      </c>
      <c r="CF645" s="0" t="s">
        <v>240</v>
      </c>
      <c r="CG645" s="0" t="s">
        <v>240</v>
      </c>
      <c r="CH645" s="0" t="s">
        <v>240</v>
      </c>
      <c r="CI645" s="0" t="s">
        <v>240</v>
      </c>
      <c r="CJ645" s="0" t="s">
        <v>240</v>
      </c>
      <c r="CK645" s="0" t="s">
        <v>240</v>
      </c>
      <c r="CL645" s="0" t="s">
        <v>240</v>
      </c>
      <c r="CM645" s="0" t="s">
        <v>240</v>
      </c>
      <c r="CN645" s="0" t="s">
        <v>240</v>
      </c>
      <c r="CO645" s="0" t="s">
        <v>240</v>
      </c>
      <c r="CP645" s="0" t="s">
        <v>240</v>
      </c>
      <c r="CQ645" s="0" t="s">
        <v>240</v>
      </c>
      <c r="CR645" s="0" t="s">
        <v>240</v>
      </c>
      <c r="CS645" s="0" t="s">
        <v>240</v>
      </c>
      <c r="CT645" s="0" t="s">
        <v>5496</v>
      </c>
      <c r="CU645" s="0" t="s">
        <v>5497</v>
      </c>
      <c r="CV645" s="0" t="s">
        <v>443</v>
      </c>
      <c r="CW645" s="0" t="s">
        <v>5547</v>
      </c>
      <c r="CX645" s="0" t="s">
        <v>229</v>
      </c>
      <c r="CY645" s="0" t="s">
        <v>443</v>
      </c>
      <c r="CZ645" s="0" t="s">
        <v>5548</v>
      </c>
      <c r="DA645" s="0" t="s">
        <v>5549</v>
      </c>
      <c r="DB645" s="0" t="s">
        <v>5547</v>
      </c>
      <c r="DC645" s="0" t="s">
        <v>384</v>
      </c>
      <c r="DD645" s="0" t="s">
        <v>291</v>
      </c>
      <c r="DE645" s="0" t="s">
        <v>5888</v>
      </c>
    </row>
    <row customHeight="1" ht="11.25">
      <c r="A646" s="1441" t="s">
        <v>240</v>
      </c>
      <c r="B646" s="0" t="s">
        <v>240</v>
      </c>
      <c r="C646" s="0" t="s">
        <v>240</v>
      </c>
      <c r="D646" s="0" t="s">
        <v>240</v>
      </c>
      <c r="E646" s="0" t="s">
        <v>240</v>
      </c>
      <c r="F646" s="0" t="s">
        <v>240</v>
      </c>
      <c r="G646" s="0" t="s">
        <v>240</v>
      </c>
      <c r="H646" s="0" t="s">
        <v>240</v>
      </c>
      <c r="I646" s="0" t="s">
        <v>5484</v>
      </c>
      <c r="J646" s="0" t="s">
        <v>240</v>
      </c>
      <c r="K646" s="0" t="s">
        <v>240</v>
      </c>
      <c r="L646" s="0" t="s">
        <v>240</v>
      </c>
      <c r="M646" s="0" t="s">
        <v>240</v>
      </c>
      <c r="N646" s="0" t="s">
        <v>240</v>
      </c>
      <c r="O646" s="0" t="s">
        <v>240</v>
      </c>
      <c r="P646" s="0" t="s">
        <v>240</v>
      </c>
      <c r="Q646" s="0" t="s">
        <v>240</v>
      </c>
      <c r="R646" s="0" t="s">
        <v>5896</v>
      </c>
      <c r="S646" s="0" t="s">
        <v>240</v>
      </c>
      <c r="T646" s="0" t="s">
        <v>240</v>
      </c>
      <c r="U646" s="0" t="s">
        <v>102</v>
      </c>
      <c r="V646" s="0" t="s">
        <v>240</v>
      </c>
      <c r="W646" s="0" t="s">
        <v>240</v>
      </c>
      <c r="X646" s="0" t="s">
        <v>5485</v>
      </c>
      <c r="Y646" s="0" t="s">
        <v>240</v>
      </c>
      <c r="Z646" s="0" t="s">
        <v>161</v>
      </c>
      <c r="AA646" s="0" t="s">
        <v>152</v>
      </c>
      <c r="AB646" s="0" t="s">
        <v>152</v>
      </c>
      <c r="AC646" s="0" t="s">
        <v>2991</v>
      </c>
      <c r="AD646" s="0" t="s">
        <v>2991</v>
      </c>
      <c r="AE646" s="0" t="s">
        <v>2992</v>
      </c>
      <c r="AF646" s="0" t="s">
        <v>5772</v>
      </c>
      <c r="AG646" s="0" t="s">
        <v>5773</v>
      </c>
      <c r="AH646" s="0" t="s">
        <v>5751</v>
      </c>
      <c r="AI646" s="0" t="s">
        <v>5897</v>
      </c>
      <c r="AJ646" s="0" t="s">
        <v>5504</v>
      </c>
      <c r="AK646" s="0" t="s">
        <v>5731</v>
      </c>
      <c r="AL646" s="0" t="s">
        <v>5506</v>
      </c>
      <c r="AM646" s="0" t="s">
        <v>5493</v>
      </c>
      <c r="AN646" s="0" t="s">
        <v>5553</v>
      </c>
      <c r="AO646" s="0" t="s">
        <v>5613</v>
      </c>
      <c r="AP646" s="0" t="s">
        <v>240</v>
      </c>
      <c r="AQ646" s="0" t="s">
        <v>240</v>
      </c>
      <c r="AR646" s="0" t="s">
        <v>240</v>
      </c>
      <c r="AS646" s="0" t="s">
        <v>240</v>
      </c>
      <c r="AT646" s="0" t="s">
        <v>240</v>
      </c>
      <c r="AU646" s="0" t="s">
        <v>240</v>
      </c>
      <c r="AV646" s="0" t="s">
        <v>240</v>
      </c>
      <c r="AW646" s="0" t="s">
        <v>240</v>
      </c>
      <c r="AX646" s="0" t="s">
        <v>240</v>
      </c>
      <c r="AY646" s="0" t="s">
        <v>240</v>
      </c>
      <c r="AZ646" s="0" t="s">
        <v>240</v>
      </c>
      <c r="BA646" s="0" t="s">
        <v>240</v>
      </c>
      <c r="BB646" s="0" t="s">
        <v>240</v>
      </c>
      <c r="BC646" s="0" t="s">
        <v>240</v>
      </c>
      <c r="BD646" s="0" t="s">
        <v>240</v>
      </c>
      <c r="BE646" s="0" t="s">
        <v>240</v>
      </c>
      <c r="BF646" s="0" t="s">
        <v>240</v>
      </c>
      <c r="BG646" s="0" t="s">
        <v>240</v>
      </c>
      <c r="BH646" s="0" t="s">
        <v>240</v>
      </c>
      <c r="BI646" s="0" t="s">
        <v>240</v>
      </c>
      <c r="BJ646" s="0" t="s">
        <v>240</v>
      </c>
      <c r="BK646" s="0" t="s">
        <v>240</v>
      </c>
      <c r="BL646" s="0" t="s">
        <v>240</v>
      </c>
      <c r="BM646" s="0" t="s">
        <v>240</v>
      </c>
      <c r="BN646" s="0" t="s">
        <v>240</v>
      </c>
      <c r="BO646" s="0" t="s">
        <v>240</v>
      </c>
      <c r="BP646" s="0" t="s">
        <v>240</v>
      </c>
      <c r="BQ646" s="0" t="s">
        <v>240</v>
      </c>
      <c r="BR646" s="0" t="s">
        <v>240</v>
      </c>
      <c r="BS646" s="0" t="s">
        <v>240</v>
      </c>
      <c r="BT646" s="0" t="s">
        <v>240</v>
      </c>
      <c r="BU646" s="0" t="s">
        <v>240</v>
      </c>
      <c r="BV646" s="0" t="s">
        <v>240</v>
      </c>
      <c r="BW646" s="0" t="s">
        <v>240</v>
      </c>
      <c r="BX646" s="0" t="s">
        <v>240</v>
      </c>
      <c r="BY646" s="0" t="s">
        <v>240</v>
      </c>
      <c r="BZ646" s="0" t="s">
        <v>240</v>
      </c>
      <c r="CA646" s="0" t="s">
        <v>240</v>
      </c>
      <c r="CB646" s="0" t="s">
        <v>240</v>
      </c>
      <c r="CC646" s="0" t="s">
        <v>240</v>
      </c>
      <c r="CD646" s="0" t="s">
        <v>240</v>
      </c>
      <c r="CE646" s="0" t="s">
        <v>240</v>
      </c>
      <c r="CF646" s="0" t="s">
        <v>240</v>
      </c>
      <c r="CG646" s="0" t="s">
        <v>240</v>
      </c>
      <c r="CH646" s="0" t="s">
        <v>240</v>
      </c>
      <c r="CI646" s="0" t="s">
        <v>240</v>
      </c>
      <c r="CJ646" s="0" t="s">
        <v>240</v>
      </c>
      <c r="CK646" s="0" t="s">
        <v>240</v>
      </c>
      <c r="CL646" s="0" t="s">
        <v>240</v>
      </c>
      <c r="CM646" s="0" t="s">
        <v>240</v>
      </c>
      <c r="CN646" s="0" t="s">
        <v>240</v>
      </c>
      <c r="CO646" s="0" t="s">
        <v>240</v>
      </c>
      <c r="CP646" s="0" t="s">
        <v>240</v>
      </c>
      <c r="CQ646" s="0" t="s">
        <v>240</v>
      </c>
      <c r="CR646" s="0" t="s">
        <v>240</v>
      </c>
      <c r="CS646" s="0" t="s">
        <v>240</v>
      </c>
      <c r="CT646" s="0" t="s">
        <v>5496</v>
      </c>
      <c r="CU646" s="0" t="s">
        <v>5497</v>
      </c>
      <c r="CV646" s="0" t="s">
        <v>443</v>
      </c>
      <c r="CW646" s="0" t="s">
        <v>5547</v>
      </c>
      <c r="CX646" s="0" t="s">
        <v>229</v>
      </c>
      <c r="CY646" s="0" t="s">
        <v>443</v>
      </c>
      <c r="CZ646" s="0" t="s">
        <v>5548</v>
      </c>
      <c r="DA646" s="0" t="s">
        <v>5549</v>
      </c>
      <c r="DB646" s="0" t="s">
        <v>5547</v>
      </c>
      <c r="DC646" s="0" t="s">
        <v>384</v>
      </c>
      <c r="DD646" s="0" t="s">
        <v>291</v>
      </c>
      <c r="DE646" s="0" t="s">
        <v>5898</v>
      </c>
    </row>
    <row customHeight="1" ht="11.25">
      <c r="A647" s="1441" t="s">
        <v>240</v>
      </c>
      <c r="B647" s="0" t="s">
        <v>240</v>
      </c>
      <c r="C647" s="0" t="s">
        <v>240</v>
      </c>
      <c r="D647" s="0" t="s">
        <v>240</v>
      </c>
      <c r="E647" s="0" t="s">
        <v>240</v>
      </c>
      <c r="F647" s="0" t="s">
        <v>240</v>
      </c>
      <c r="G647" s="0" t="s">
        <v>240</v>
      </c>
      <c r="H647" s="0" t="s">
        <v>240</v>
      </c>
      <c r="I647" s="0" t="s">
        <v>5484</v>
      </c>
      <c r="J647" s="0" t="s">
        <v>240</v>
      </c>
      <c r="K647" s="0" t="s">
        <v>240</v>
      </c>
      <c r="L647" s="0" t="s">
        <v>240</v>
      </c>
      <c r="M647" s="0" t="s">
        <v>240</v>
      </c>
      <c r="N647" s="0" t="s">
        <v>240</v>
      </c>
      <c r="O647" s="0" t="s">
        <v>240</v>
      </c>
      <c r="P647" s="0" t="s">
        <v>240</v>
      </c>
      <c r="Q647" s="0" t="s">
        <v>240</v>
      </c>
      <c r="R647" s="0" t="s">
        <v>5572</v>
      </c>
      <c r="S647" s="0" t="s">
        <v>240</v>
      </c>
      <c r="T647" s="0" t="s">
        <v>240</v>
      </c>
      <c r="U647" s="0" t="s">
        <v>102</v>
      </c>
      <c r="V647" s="0" t="s">
        <v>240</v>
      </c>
      <c r="W647" s="0" t="s">
        <v>240</v>
      </c>
      <c r="X647" s="0" t="s">
        <v>5485</v>
      </c>
      <c r="Y647" s="0" t="s">
        <v>240</v>
      </c>
      <c r="Z647" s="0" t="s">
        <v>161</v>
      </c>
      <c r="AA647" s="0" t="s">
        <v>152</v>
      </c>
      <c r="AB647" s="0" t="s">
        <v>152</v>
      </c>
      <c r="AC647" s="0" t="s">
        <v>2989</v>
      </c>
      <c r="AD647" s="0" t="s">
        <v>2989</v>
      </c>
      <c r="AE647" s="0" t="s">
        <v>2990</v>
      </c>
      <c r="AF647" s="0" t="s">
        <v>5979</v>
      </c>
      <c r="AG647" s="0" t="s">
        <v>5980</v>
      </c>
      <c r="AH647" s="0" t="s">
        <v>5981</v>
      </c>
      <c r="AI647" s="0" t="s">
        <v>5982</v>
      </c>
      <c r="AJ647" s="0" t="s">
        <v>5576</v>
      </c>
      <c r="AK647" s="0" t="s">
        <v>5598</v>
      </c>
      <c r="AL647" s="0" t="s">
        <v>5506</v>
      </c>
      <c r="AM647" s="0" t="s">
        <v>5493</v>
      </c>
      <c r="AN647" s="0" t="s">
        <v>5578</v>
      </c>
      <c r="AO647" s="0" t="s">
        <v>5625</v>
      </c>
      <c r="AP647" s="0" t="s">
        <v>240</v>
      </c>
      <c r="AQ647" s="0" t="s">
        <v>240</v>
      </c>
      <c r="AR647" s="0" t="s">
        <v>240</v>
      </c>
      <c r="AS647" s="0" t="s">
        <v>240</v>
      </c>
      <c r="AT647" s="0" t="s">
        <v>240</v>
      </c>
      <c r="AU647" s="0" t="s">
        <v>240</v>
      </c>
      <c r="AV647" s="0" t="s">
        <v>240</v>
      </c>
      <c r="AW647" s="0" t="s">
        <v>240</v>
      </c>
      <c r="AX647" s="0" t="s">
        <v>240</v>
      </c>
      <c r="AY647" s="0" t="s">
        <v>240</v>
      </c>
      <c r="AZ647" s="0" t="s">
        <v>240</v>
      </c>
      <c r="BA647" s="0" t="s">
        <v>240</v>
      </c>
      <c r="BB647" s="0" t="s">
        <v>240</v>
      </c>
      <c r="BC647" s="0" t="s">
        <v>240</v>
      </c>
      <c r="BD647" s="0" t="s">
        <v>240</v>
      </c>
      <c r="BE647" s="0" t="s">
        <v>240</v>
      </c>
      <c r="BF647" s="0" t="s">
        <v>240</v>
      </c>
      <c r="BG647" s="0" t="s">
        <v>240</v>
      </c>
      <c r="BH647" s="0" t="s">
        <v>240</v>
      </c>
      <c r="BI647" s="0" t="s">
        <v>240</v>
      </c>
      <c r="BJ647" s="0" t="s">
        <v>240</v>
      </c>
      <c r="BK647" s="0" t="s">
        <v>240</v>
      </c>
      <c r="BL647" s="0" t="s">
        <v>240</v>
      </c>
      <c r="BM647" s="0" t="s">
        <v>240</v>
      </c>
      <c r="BN647" s="0" t="s">
        <v>240</v>
      </c>
      <c r="BO647" s="0" t="s">
        <v>240</v>
      </c>
      <c r="BP647" s="0" t="s">
        <v>240</v>
      </c>
      <c r="BQ647" s="0" t="s">
        <v>240</v>
      </c>
      <c r="BR647" s="0" t="s">
        <v>240</v>
      </c>
      <c r="BS647" s="0" t="s">
        <v>240</v>
      </c>
      <c r="BT647" s="0" t="s">
        <v>240</v>
      </c>
      <c r="BU647" s="0" t="s">
        <v>240</v>
      </c>
      <c r="BV647" s="0" t="s">
        <v>240</v>
      </c>
      <c r="BW647" s="0" t="s">
        <v>240</v>
      </c>
      <c r="BX647" s="0" t="s">
        <v>240</v>
      </c>
      <c r="BY647" s="0" t="s">
        <v>240</v>
      </c>
      <c r="BZ647" s="0" t="s">
        <v>240</v>
      </c>
      <c r="CA647" s="0" t="s">
        <v>240</v>
      </c>
      <c r="CB647" s="0" t="s">
        <v>240</v>
      </c>
      <c r="CC647" s="0" t="s">
        <v>240</v>
      </c>
      <c r="CD647" s="0" t="s">
        <v>240</v>
      </c>
      <c r="CE647" s="0" t="s">
        <v>240</v>
      </c>
      <c r="CF647" s="0" t="s">
        <v>240</v>
      </c>
      <c r="CG647" s="0" t="s">
        <v>240</v>
      </c>
      <c r="CH647" s="0" t="s">
        <v>240</v>
      </c>
      <c r="CI647" s="0" t="s">
        <v>240</v>
      </c>
      <c r="CJ647" s="0" t="s">
        <v>240</v>
      </c>
      <c r="CK647" s="0" t="s">
        <v>240</v>
      </c>
      <c r="CL647" s="0" t="s">
        <v>240</v>
      </c>
      <c r="CM647" s="0" t="s">
        <v>240</v>
      </c>
      <c r="CN647" s="0" t="s">
        <v>240</v>
      </c>
      <c r="CO647" s="0" t="s">
        <v>240</v>
      </c>
      <c r="CP647" s="0" t="s">
        <v>240</v>
      </c>
      <c r="CQ647" s="0" t="s">
        <v>240</v>
      </c>
      <c r="CR647" s="0" t="s">
        <v>240</v>
      </c>
      <c r="CS647" s="0" t="s">
        <v>240</v>
      </c>
      <c r="CT647" s="0" t="s">
        <v>5496</v>
      </c>
      <c r="CU647" s="0" t="s">
        <v>5497</v>
      </c>
      <c r="CV647" s="0" t="s">
        <v>443</v>
      </c>
      <c r="CW647" s="0" t="s">
        <v>5580</v>
      </c>
      <c r="CX647" s="0" t="s">
        <v>229</v>
      </c>
      <c r="CY647" s="0" t="s">
        <v>443</v>
      </c>
      <c r="CZ647" s="0" t="s">
        <v>5581</v>
      </c>
      <c r="DA647" s="0" t="s">
        <v>5582</v>
      </c>
      <c r="DB647" s="0" t="s">
        <v>5580</v>
      </c>
      <c r="DC647" s="0" t="s">
        <v>384</v>
      </c>
      <c r="DD647" s="0" t="s">
        <v>291</v>
      </c>
      <c r="DE647" s="0" t="s">
        <v>5983</v>
      </c>
    </row>
    <row customHeight="1" ht="11.25">
      <c r="A648" s="1441" t="s">
        <v>240</v>
      </c>
      <c r="B648" s="0" t="s">
        <v>240</v>
      </c>
      <c r="C648" s="0" t="s">
        <v>240</v>
      </c>
      <c r="D648" s="0" t="s">
        <v>240</v>
      </c>
      <c r="E648" s="0" t="s">
        <v>240</v>
      </c>
      <c r="F648" s="0" t="s">
        <v>240</v>
      </c>
      <c r="G648" s="0" t="s">
        <v>240</v>
      </c>
      <c r="H648" s="0" t="s">
        <v>240</v>
      </c>
      <c r="I648" s="0" t="s">
        <v>5484</v>
      </c>
      <c r="J648" s="0" t="s">
        <v>240</v>
      </c>
      <c r="K648" s="0" t="s">
        <v>240</v>
      </c>
      <c r="L648" s="0" t="s">
        <v>240</v>
      </c>
      <c r="M648" s="0" t="s">
        <v>240</v>
      </c>
      <c r="N648" s="0" t="s">
        <v>240</v>
      </c>
      <c r="O648" s="0" t="s">
        <v>240</v>
      </c>
      <c r="P648" s="0" t="s">
        <v>240</v>
      </c>
      <c r="Q648" s="0" t="s">
        <v>240</v>
      </c>
      <c r="R648" s="0" t="s">
        <v>5572</v>
      </c>
      <c r="S648" s="0" t="s">
        <v>240</v>
      </c>
      <c r="T648" s="0" t="s">
        <v>240</v>
      </c>
      <c r="U648" s="0" t="s">
        <v>102</v>
      </c>
      <c r="V648" s="0" t="s">
        <v>240</v>
      </c>
      <c r="W648" s="0" t="s">
        <v>240</v>
      </c>
      <c r="X648" s="0" t="s">
        <v>5485</v>
      </c>
      <c r="Y648" s="0" t="s">
        <v>240</v>
      </c>
      <c r="Z648" s="0" t="s">
        <v>161</v>
      </c>
      <c r="AA648" s="0" t="s">
        <v>152</v>
      </c>
      <c r="AB648" s="0" t="s">
        <v>152</v>
      </c>
      <c r="AC648" s="0" t="s">
        <v>2989</v>
      </c>
      <c r="AD648" s="0" t="s">
        <v>2989</v>
      </c>
      <c r="AE648" s="0" t="s">
        <v>2990</v>
      </c>
      <c r="AF648" s="0" t="s">
        <v>5979</v>
      </c>
      <c r="AG648" s="0" t="s">
        <v>5980</v>
      </c>
      <c r="AH648" s="0" t="s">
        <v>5984</v>
      </c>
      <c r="AI648" s="0" t="s">
        <v>5985</v>
      </c>
      <c r="AJ648" s="0" t="s">
        <v>5576</v>
      </c>
      <c r="AK648" s="0" t="s">
        <v>5986</v>
      </c>
      <c r="AL648" s="0" t="s">
        <v>5506</v>
      </c>
      <c r="AM648" s="0" t="s">
        <v>5493</v>
      </c>
      <c r="AN648" s="0" t="s">
        <v>5578</v>
      </c>
      <c r="AO648" s="0" t="s">
        <v>5579</v>
      </c>
      <c r="AP648" s="0" t="s">
        <v>240</v>
      </c>
      <c r="AQ648" s="0" t="s">
        <v>240</v>
      </c>
      <c r="AR648" s="0" t="s">
        <v>240</v>
      </c>
      <c r="AS648" s="0" t="s">
        <v>240</v>
      </c>
      <c r="AT648" s="0" t="s">
        <v>240</v>
      </c>
      <c r="AU648" s="0" t="s">
        <v>240</v>
      </c>
      <c r="AV648" s="0" t="s">
        <v>240</v>
      </c>
      <c r="AW648" s="0" t="s">
        <v>240</v>
      </c>
      <c r="AX648" s="0" t="s">
        <v>240</v>
      </c>
      <c r="AY648" s="0" t="s">
        <v>240</v>
      </c>
      <c r="AZ648" s="0" t="s">
        <v>240</v>
      </c>
      <c r="BA648" s="0" t="s">
        <v>240</v>
      </c>
      <c r="BB648" s="0" t="s">
        <v>240</v>
      </c>
      <c r="BC648" s="0" t="s">
        <v>240</v>
      </c>
      <c r="BD648" s="0" t="s">
        <v>240</v>
      </c>
      <c r="BE648" s="0" t="s">
        <v>240</v>
      </c>
      <c r="BF648" s="0" t="s">
        <v>240</v>
      </c>
      <c r="BG648" s="0" t="s">
        <v>240</v>
      </c>
      <c r="BH648" s="0" t="s">
        <v>240</v>
      </c>
      <c r="BI648" s="0" t="s">
        <v>240</v>
      </c>
      <c r="BJ648" s="0" t="s">
        <v>240</v>
      </c>
      <c r="BK648" s="0" t="s">
        <v>240</v>
      </c>
      <c r="BL648" s="0" t="s">
        <v>240</v>
      </c>
      <c r="BM648" s="0" t="s">
        <v>240</v>
      </c>
      <c r="BN648" s="0" t="s">
        <v>240</v>
      </c>
      <c r="BO648" s="0" t="s">
        <v>240</v>
      </c>
      <c r="BP648" s="0" t="s">
        <v>240</v>
      </c>
      <c r="BQ648" s="0" t="s">
        <v>240</v>
      </c>
      <c r="BR648" s="0" t="s">
        <v>240</v>
      </c>
      <c r="BS648" s="0" t="s">
        <v>240</v>
      </c>
      <c r="BT648" s="0" t="s">
        <v>240</v>
      </c>
      <c r="BU648" s="0" t="s">
        <v>240</v>
      </c>
      <c r="BV648" s="0" t="s">
        <v>240</v>
      </c>
      <c r="BW648" s="0" t="s">
        <v>240</v>
      </c>
      <c r="BX648" s="0" t="s">
        <v>240</v>
      </c>
      <c r="BY648" s="0" t="s">
        <v>240</v>
      </c>
      <c r="BZ648" s="0" t="s">
        <v>240</v>
      </c>
      <c r="CA648" s="0" t="s">
        <v>240</v>
      </c>
      <c r="CB648" s="0" t="s">
        <v>240</v>
      </c>
      <c r="CC648" s="0" t="s">
        <v>240</v>
      </c>
      <c r="CD648" s="0" t="s">
        <v>240</v>
      </c>
      <c r="CE648" s="0" t="s">
        <v>240</v>
      </c>
      <c r="CF648" s="0" t="s">
        <v>240</v>
      </c>
      <c r="CG648" s="0" t="s">
        <v>240</v>
      </c>
      <c r="CH648" s="0" t="s">
        <v>240</v>
      </c>
      <c r="CI648" s="0" t="s">
        <v>240</v>
      </c>
      <c r="CJ648" s="0" t="s">
        <v>240</v>
      </c>
      <c r="CK648" s="0" t="s">
        <v>240</v>
      </c>
      <c r="CL648" s="0" t="s">
        <v>240</v>
      </c>
      <c r="CM648" s="0" t="s">
        <v>240</v>
      </c>
      <c r="CN648" s="0" t="s">
        <v>240</v>
      </c>
      <c r="CO648" s="0" t="s">
        <v>240</v>
      </c>
      <c r="CP648" s="0" t="s">
        <v>240</v>
      </c>
      <c r="CQ648" s="0" t="s">
        <v>240</v>
      </c>
      <c r="CR648" s="0" t="s">
        <v>240</v>
      </c>
      <c r="CS648" s="0" t="s">
        <v>240</v>
      </c>
      <c r="CT648" s="0" t="s">
        <v>5496</v>
      </c>
      <c r="CU648" s="0" t="s">
        <v>5497</v>
      </c>
      <c r="CV648" s="0" t="s">
        <v>443</v>
      </c>
      <c r="CW648" s="0" t="s">
        <v>5580</v>
      </c>
      <c r="CX648" s="0" t="s">
        <v>229</v>
      </c>
      <c r="CY648" s="0" t="s">
        <v>443</v>
      </c>
      <c r="CZ648" s="0" t="s">
        <v>5581</v>
      </c>
      <c r="DA648" s="0" t="s">
        <v>5582</v>
      </c>
      <c r="DB648" s="0" t="s">
        <v>5580</v>
      </c>
      <c r="DC648" s="0" t="s">
        <v>384</v>
      </c>
      <c r="DD648" s="0" t="s">
        <v>291</v>
      </c>
      <c r="DE648" s="0" t="s">
        <v>5987</v>
      </c>
    </row>
    <row customHeight="1" ht="11.25">
      <c r="A649" s="1441" t="s">
        <v>240</v>
      </c>
      <c r="B649" s="0" t="s">
        <v>240</v>
      </c>
      <c r="C649" s="0" t="s">
        <v>240</v>
      </c>
      <c r="D649" s="0" t="s">
        <v>240</v>
      </c>
      <c r="E649" s="0" t="s">
        <v>240</v>
      </c>
      <c r="F649" s="0" t="s">
        <v>240</v>
      </c>
      <c r="G649" s="0" t="s">
        <v>240</v>
      </c>
      <c r="H649" s="0" t="s">
        <v>240</v>
      </c>
      <c r="I649" s="0" t="s">
        <v>5484</v>
      </c>
      <c r="J649" s="0" t="s">
        <v>240</v>
      </c>
      <c r="K649" s="0" t="s">
        <v>240</v>
      </c>
      <c r="L649" s="0" t="s">
        <v>240</v>
      </c>
      <c r="M649" s="0" t="s">
        <v>240</v>
      </c>
      <c r="N649" s="0" t="s">
        <v>240</v>
      </c>
      <c r="O649" s="0" t="s">
        <v>240</v>
      </c>
      <c r="P649" s="0" t="s">
        <v>240</v>
      </c>
      <c r="Q649" s="0" t="s">
        <v>240</v>
      </c>
      <c r="R649" s="0" t="s">
        <v>5513</v>
      </c>
      <c r="S649" s="0" t="s">
        <v>240</v>
      </c>
      <c r="T649" s="0" t="s">
        <v>240</v>
      </c>
      <c r="U649" s="0" t="s">
        <v>102</v>
      </c>
      <c r="V649" s="0" t="s">
        <v>240</v>
      </c>
      <c r="W649" s="0" t="s">
        <v>240</v>
      </c>
      <c r="X649" s="0" t="s">
        <v>5485</v>
      </c>
      <c r="Y649" s="0" t="s">
        <v>240</v>
      </c>
      <c r="Z649" s="0" t="s">
        <v>161</v>
      </c>
      <c r="AA649" s="0" t="s">
        <v>152</v>
      </c>
      <c r="AB649" s="0" t="s">
        <v>152</v>
      </c>
      <c r="AC649" s="0" t="s">
        <v>2985</v>
      </c>
      <c r="AD649" s="0" t="s">
        <v>2985</v>
      </c>
      <c r="AE649" s="0" t="s">
        <v>2986</v>
      </c>
      <c r="AF649" s="0" t="s">
        <v>5500</v>
      </c>
      <c r="AG649" s="0" t="s">
        <v>5501</v>
      </c>
      <c r="AH649" s="0" t="s">
        <v>5514</v>
      </c>
      <c r="AI649" s="0" t="s">
        <v>5515</v>
      </c>
      <c r="AJ649" s="0" t="s">
        <v>5504</v>
      </c>
      <c r="AK649" s="0" t="s">
        <v>5505</v>
      </c>
      <c r="AL649" s="0" t="s">
        <v>5506</v>
      </c>
      <c r="AM649" s="0" t="s">
        <v>5493</v>
      </c>
      <c r="AN649" s="0" t="s">
        <v>5507</v>
      </c>
      <c r="AO649" s="0" t="s">
        <v>5516</v>
      </c>
      <c r="AP649" s="0" t="s">
        <v>240</v>
      </c>
      <c r="AQ649" s="0" t="s">
        <v>240</v>
      </c>
      <c r="AR649" s="0" t="s">
        <v>240</v>
      </c>
      <c r="AS649" s="0" t="s">
        <v>240</v>
      </c>
      <c r="AT649" s="0" t="s">
        <v>240</v>
      </c>
      <c r="AU649" s="0" t="s">
        <v>240</v>
      </c>
      <c r="AV649" s="0" t="s">
        <v>240</v>
      </c>
      <c r="AW649" s="0" t="s">
        <v>240</v>
      </c>
      <c r="AX649" s="0" t="s">
        <v>240</v>
      </c>
      <c r="AY649" s="0" t="s">
        <v>240</v>
      </c>
      <c r="AZ649" s="0" t="s">
        <v>240</v>
      </c>
      <c r="BA649" s="0" t="s">
        <v>240</v>
      </c>
      <c r="BB649" s="0" t="s">
        <v>240</v>
      </c>
      <c r="BC649" s="0" t="s">
        <v>240</v>
      </c>
      <c r="BD649" s="0" t="s">
        <v>240</v>
      </c>
      <c r="BE649" s="0" t="s">
        <v>240</v>
      </c>
      <c r="BF649" s="0" t="s">
        <v>240</v>
      </c>
      <c r="BG649" s="0" t="s">
        <v>240</v>
      </c>
      <c r="BH649" s="0" t="s">
        <v>240</v>
      </c>
      <c r="BI649" s="0" t="s">
        <v>240</v>
      </c>
      <c r="BJ649" s="0" t="s">
        <v>240</v>
      </c>
      <c r="BK649" s="0" t="s">
        <v>240</v>
      </c>
      <c r="BL649" s="0" t="s">
        <v>240</v>
      </c>
      <c r="BM649" s="0" t="s">
        <v>240</v>
      </c>
      <c r="BN649" s="0" t="s">
        <v>240</v>
      </c>
      <c r="BO649" s="0" t="s">
        <v>240</v>
      </c>
      <c r="BP649" s="0" t="s">
        <v>240</v>
      </c>
      <c r="BQ649" s="0" t="s">
        <v>240</v>
      </c>
      <c r="BR649" s="0" t="s">
        <v>240</v>
      </c>
      <c r="BS649" s="0" t="s">
        <v>240</v>
      </c>
      <c r="BT649" s="0" t="s">
        <v>240</v>
      </c>
      <c r="BU649" s="0" t="s">
        <v>240</v>
      </c>
      <c r="BV649" s="0" t="s">
        <v>240</v>
      </c>
      <c r="BW649" s="0" t="s">
        <v>240</v>
      </c>
      <c r="BX649" s="0" t="s">
        <v>240</v>
      </c>
      <c r="BY649" s="0" t="s">
        <v>240</v>
      </c>
      <c r="BZ649" s="0" t="s">
        <v>240</v>
      </c>
      <c r="CA649" s="0" t="s">
        <v>240</v>
      </c>
      <c r="CB649" s="0" t="s">
        <v>240</v>
      </c>
      <c r="CC649" s="0" t="s">
        <v>240</v>
      </c>
      <c r="CD649" s="0" t="s">
        <v>240</v>
      </c>
      <c r="CE649" s="0" t="s">
        <v>240</v>
      </c>
      <c r="CF649" s="0" t="s">
        <v>240</v>
      </c>
      <c r="CG649" s="0" t="s">
        <v>240</v>
      </c>
      <c r="CH649" s="0" t="s">
        <v>240</v>
      </c>
      <c r="CI649" s="0" t="s">
        <v>240</v>
      </c>
      <c r="CJ649" s="0" t="s">
        <v>240</v>
      </c>
      <c r="CK649" s="0" t="s">
        <v>240</v>
      </c>
      <c r="CL649" s="0" t="s">
        <v>240</v>
      </c>
      <c r="CM649" s="0" t="s">
        <v>240</v>
      </c>
      <c r="CN649" s="0" t="s">
        <v>240</v>
      </c>
      <c r="CO649" s="0" t="s">
        <v>240</v>
      </c>
      <c r="CP649" s="0" t="s">
        <v>240</v>
      </c>
      <c r="CQ649" s="0" t="s">
        <v>240</v>
      </c>
      <c r="CR649" s="0" t="s">
        <v>240</v>
      </c>
      <c r="CS649" s="0" t="s">
        <v>240</v>
      </c>
      <c r="CT649" s="0" t="s">
        <v>5496</v>
      </c>
      <c r="CU649" s="0" t="s">
        <v>5497</v>
      </c>
      <c r="CV649" s="0" t="s">
        <v>443</v>
      </c>
      <c r="CW649" s="0" t="s">
        <v>5509</v>
      </c>
      <c r="CX649" s="0" t="s">
        <v>229</v>
      </c>
      <c r="CY649" s="0" t="s">
        <v>443</v>
      </c>
      <c r="CZ649" s="0" t="s">
        <v>5510</v>
      </c>
      <c r="DA649" s="0" t="s">
        <v>5511</v>
      </c>
      <c r="DB649" s="0" t="s">
        <v>5509</v>
      </c>
      <c r="DC649" s="0" t="s">
        <v>384</v>
      </c>
      <c r="DD649" s="0" t="s">
        <v>291</v>
      </c>
      <c r="DE649" s="0" t="s">
        <v>5517</v>
      </c>
    </row>
    <row customHeight="1" ht="11.25">
      <c r="A650" s="1441" t="s">
        <v>240</v>
      </c>
      <c r="B650" s="0" t="s">
        <v>240</v>
      </c>
      <c r="C650" s="0" t="s">
        <v>240</v>
      </c>
      <c r="D650" s="0" t="s">
        <v>240</v>
      </c>
      <c r="E650" s="0" t="s">
        <v>240</v>
      </c>
      <c r="F650" s="0" t="s">
        <v>240</v>
      </c>
      <c r="G650" s="0" t="s">
        <v>240</v>
      </c>
      <c r="H650" s="0" t="s">
        <v>240</v>
      </c>
      <c r="I650" s="0" t="s">
        <v>5484</v>
      </c>
      <c r="J650" s="0" t="s">
        <v>240</v>
      </c>
      <c r="K650" s="0" t="s">
        <v>240</v>
      </c>
      <c r="L650" s="0" t="s">
        <v>240</v>
      </c>
      <c r="M650" s="0" t="s">
        <v>240</v>
      </c>
      <c r="N650" s="0" t="s">
        <v>240</v>
      </c>
      <c r="O650" s="0" t="s">
        <v>240</v>
      </c>
      <c r="P650" s="0" t="s">
        <v>240</v>
      </c>
      <c r="Q650" s="0" t="s">
        <v>240</v>
      </c>
      <c r="R650" s="0" t="s">
        <v>5572</v>
      </c>
      <c r="S650" s="0" t="s">
        <v>240</v>
      </c>
      <c r="T650" s="0" t="s">
        <v>240</v>
      </c>
      <c r="U650" s="0" t="s">
        <v>102</v>
      </c>
      <c r="V650" s="0" t="s">
        <v>240</v>
      </c>
      <c r="W650" s="0" t="s">
        <v>240</v>
      </c>
      <c r="X650" s="0" t="s">
        <v>5485</v>
      </c>
      <c r="Y650" s="0" t="s">
        <v>240</v>
      </c>
      <c r="Z650" s="0" t="s">
        <v>161</v>
      </c>
      <c r="AA650" s="0" t="s">
        <v>152</v>
      </c>
      <c r="AB650" s="0" t="s">
        <v>152</v>
      </c>
      <c r="AC650" s="0" t="s">
        <v>2991</v>
      </c>
      <c r="AD650" s="0" t="s">
        <v>2991</v>
      </c>
      <c r="AE650" s="0" t="s">
        <v>2992</v>
      </c>
      <c r="AF650" s="0" t="s">
        <v>5749</v>
      </c>
      <c r="AG650" s="0" t="s">
        <v>5750</v>
      </c>
      <c r="AH650" s="0" t="s">
        <v>6343</v>
      </c>
      <c r="AI650" s="0" t="s">
        <v>299</v>
      </c>
      <c r="AJ650" s="0" t="s">
        <v>5552</v>
      </c>
      <c r="AK650" s="0" t="s">
        <v>5544</v>
      </c>
      <c r="AL650" s="0" t="s">
        <v>5506</v>
      </c>
      <c r="AM650" s="0" t="s">
        <v>5493</v>
      </c>
      <c r="AN650" s="0" t="s">
        <v>5553</v>
      </c>
      <c r="AO650" s="0" t="s">
        <v>5752</v>
      </c>
      <c r="AP650" s="0" t="s">
        <v>240</v>
      </c>
      <c r="AQ650" s="0" t="s">
        <v>240</v>
      </c>
      <c r="AR650" s="0" t="s">
        <v>240</v>
      </c>
      <c r="AS650" s="0" t="s">
        <v>240</v>
      </c>
      <c r="AT650" s="0" t="s">
        <v>240</v>
      </c>
      <c r="AU650" s="0" t="s">
        <v>240</v>
      </c>
      <c r="AV650" s="0" t="s">
        <v>240</v>
      </c>
      <c r="AW650" s="0" t="s">
        <v>240</v>
      </c>
      <c r="AX650" s="0" t="s">
        <v>240</v>
      </c>
      <c r="AY650" s="0" t="s">
        <v>240</v>
      </c>
      <c r="AZ650" s="0" t="s">
        <v>240</v>
      </c>
      <c r="BA650" s="0" t="s">
        <v>240</v>
      </c>
      <c r="BB650" s="0" t="s">
        <v>240</v>
      </c>
      <c r="BC650" s="0" t="s">
        <v>240</v>
      </c>
      <c r="BD650" s="0" t="s">
        <v>240</v>
      </c>
      <c r="BE650" s="0" t="s">
        <v>240</v>
      </c>
      <c r="BF650" s="0" t="s">
        <v>240</v>
      </c>
      <c r="BG650" s="0" t="s">
        <v>240</v>
      </c>
      <c r="BH650" s="0" t="s">
        <v>240</v>
      </c>
      <c r="BI650" s="0" t="s">
        <v>240</v>
      </c>
      <c r="BJ650" s="0" t="s">
        <v>240</v>
      </c>
      <c r="BK650" s="0" t="s">
        <v>240</v>
      </c>
      <c r="BL650" s="0" t="s">
        <v>240</v>
      </c>
      <c r="BM650" s="0" t="s">
        <v>240</v>
      </c>
      <c r="BN650" s="0" t="s">
        <v>240</v>
      </c>
      <c r="BO650" s="0" t="s">
        <v>240</v>
      </c>
      <c r="BP650" s="0" t="s">
        <v>240</v>
      </c>
      <c r="BQ650" s="0" t="s">
        <v>240</v>
      </c>
      <c r="BR650" s="0" t="s">
        <v>240</v>
      </c>
      <c r="BS650" s="0" t="s">
        <v>240</v>
      </c>
      <c r="BT650" s="0" t="s">
        <v>240</v>
      </c>
      <c r="BU650" s="0" t="s">
        <v>240</v>
      </c>
      <c r="BV650" s="0" t="s">
        <v>240</v>
      </c>
      <c r="BW650" s="0" t="s">
        <v>240</v>
      </c>
      <c r="BX650" s="0" t="s">
        <v>240</v>
      </c>
      <c r="BY650" s="0" t="s">
        <v>240</v>
      </c>
      <c r="BZ650" s="0" t="s">
        <v>240</v>
      </c>
      <c r="CA650" s="0" t="s">
        <v>240</v>
      </c>
      <c r="CB650" s="0" t="s">
        <v>240</v>
      </c>
      <c r="CC650" s="0" t="s">
        <v>240</v>
      </c>
      <c r="CD650" s="0" t="s">
        <v>240</v>
      </c>
      <c r="CE650" s="0" t="s">
        <v>240</v>
      </c>
      <c r="CF650" s="0" t="s">
        <v>240</v>
      </c>
      <c r="CG650" s="0" t="s">
        <v>240</v>
      </c>
      <c r="CH650" s="0" t="s">
        <v>240</v>
      </c>
      <c r="CI650" s="0" t="s">
        <v>240</v>
      </c>
      <c r="CJ650" s="0" t="s">
        <v>240</v>
      </c>
      <c r="CK650" s="0" t="s">
        <v>240</v>
      </c>
      <c r="CL650" s="0" t="s">
        <v>240</v>
      </c>
      <c r="CM650" s="0" t="s">
        <v>240</v>
      </c>
      <c r="CN650" s="0" t="s">
        <v>240</v>
      </c>
      <c r="CO650" s="0" t="s">
        <v>240</v>
      </c>
      <c r="CP650" s="0" t="s">
        <v>240</v>
      </c>
      <c r="CQ650" s="0" t="s">
        <v>240</v>
      </c>
      <c r="CR650" s="0" t="s">
        <v>240</v>
      </c>
      <c r="CS650" s="0" t="s">
        <v>240</v>
      </c>
      <c r="CT650" s="0" t="s">
        <v>5496</v>
      </c>
      <c r="CU650" s="0" t="s">
        <v>5497</v>
      </c>
      <c r="CV650" s="0" t="s">
        <v>443</v>
      </c>
      <c r="CW650" s="0" t="s">
        <v>5547</v>
      </c>
      <c r="CX650" s="0" t="s">
        <v>229</v>
      </c>
      <c r="CY650" s="0" t="s">
        <v>443</v>
      </c>
      <c r="CZ650" s="0" t="s">
        <v>5548</v>
      </c>
      <c r="DA650" s="0" t="s">
        <v>5549</v>
      </c>
      <c r="DB650" s="0" t="s">
        <v>5547</v>
      </c>
      <c r="DC650" s="0" t="s">
        <v>384</v>
      </c>
      <c r="DD650" s="0" t="s">
        <v>291</v>
      </c>
      <c r="DE650" s="0" t="s">
        <v>6344</v>
      </c>
    </row>
    <row customHeight="1" ht="11.25">
      <c r="A651" s="1441" t="s">
        <v>240</v>
      </c>
      <c r="B651" s="0" t="s">
        <v>240</v>
      </c>
      <c r="C651" s="0" t="s">
        <v>240</v>
      </c>
      <c r="D651" s="0" t="s">
        <v>240</v>
      </c>
      <c r="E651" s="0" t="s">
        <v>240</v>
      </c>
      <c r="F651" s="0" t="s">
        <v>240</v>
      </c>
      <c r="G651" s="0" t="s">
        <v>240</v>
      </c>
      <c r="H651" s="0" t="s">
        <v>240</v>
      </c>
      <c r="I651" s="0" t="s">
        <v>5484</v>
      </c>
      <c r="J651" s="0" t="s">
        <v>240</v>
      </c>
      <c r="K651" s="0" t="s">
        <v>240</v>
      </c>
      <c r="L651" s="0" t="s">
        <v>240</v>
      </c>
      <c r="M651" s="0" t="s">
        <v>240</v>
      </c>
      <c r="N651" s="0" t="s">
        <v>240</v>
      </c>
      <c r="O651" s="0" t="s">
        <v>240</v>
      </c>
      <c r="P651" s="0" t="s">
        <v>240</v>
      </c>
      <c r="Q651" s="0" t="s">
        <v>240</v>
      </c>
      <c r="R651" s="0" t="s">
        <v>5572</v>
      </c>
      <c r="S651" s="0" t="s">
        <v>240</v>
      </c>
      <c r="T651" s="0" t="s">
        <v>240</v>
      </c>
      <c r="U651" s="0" t="s">
        <v>102</v>
      </c>
      <c r="V651" s="0" t="s">
        <v>240</v>
      </c>
      <c r="W651" s="0" t="s">
        <v>240</v>
      </c>
      <c r="X651" s="0" t="s">
        <v>5485</v>
      </c>
      <c r="Y651" s="0" t="s">
        <v>240</v>
      </c>
      <c r="Z651" s="0" t="s">
        <v>161</v>
      </c>
      <c r="AA651" s="0" t="s">
        <v>152</v>
      </c>
      <c r="AB651" s="0" t="s">
        <v>152</v>
      </c>
      <c r="AC651" s="0" t="s">
        <v>2991</v>
      </c>
      <c r="AD651" s="0" t="s">
        <v>2991</v>
      </c>
      <c r="AE651" s="0" t="s">
        <v>2992</v>
      </c>
      <c r="AF651" s="0" t="s">
        <v>5749</v>
      </c>
      <c r="AG651" s="0" t="s">
        <v>5750</v>
      </c>
      <c r="AH651" s="0" t="s">
        <v>6345</v>
      </c>
      <c r="AI651" s="0" t="s">
        <v>5966</v>
      </c>
      <c r="AJ651" s="0" t="s">
        <v>5552</v>
      </c>
      <c r="AK651" s="0" t="s">
        <v>5544</v>
      </c>
      <c r="AL651" s="0" t="s">
        <v>5506</v>
      </c>
      <c r="AM651" s="0" t="s">
        <v>5493</v>
      </c>
      <c r="AN651" s="0" t="s">
        <v>5553</v>
      </c>
      <c r="AO651" s="0" t="s">
        <v>6346</v>
      </c>
      <c r="AP651" s="0" t="s">
        <v>240</v>
      </c>
      <c r="AQ651" s="0" t="s">
        <v>240</v>
      </c>
      <c r="AR651" s="0" t="s">
        <v>240</v>
      </c>
      <c r="AS651" s="0" t="s">
        <v>240</v>
      </c>
      <c r="AT651" s="0" t="s">
        <v>240</v>
      </c>
      <c r="AU651" s="0" t="s">
        <v>240</v>
      </c>
      <c r="AV651" s="0" t="s">
        <v>240</v>
      </c>
      <c r="AW651" s="0" t="s">
        <v>240</v>
      </c>
      <c r="AX651" s="0" t="s">
        <v>240</v>
      </c>
      <c r="AY651" s="0" t="s">
        <v>240</v>
      </c>
      <c r="AZ651" s="0" t="s">
        <v>240</v>
      </c>
      <c r="BA651" s="0" t="s">
        <v>240</v>
      </c>
      <c r="BB651" s="0" t="s">
        <v>240</v>
      </c>
      <c r="BC651" s="0" t="s">
        <v>240</v>
      </c>
      <c r="BD651" s="0" t="s">
        <v>240</v>
      </c>
      <c r="BE651" s="0" t="s">
        <v>240</v>
      </c>
      <c r="BF651" s="0" t="s">
        <v>240</v>
      </c>
      <c r="BG651" s="0" t="s">
        <v>240</v>
      </c>
      <c r="BH651" s="0" t="s">
        <v>240</v>
      </c>
      <c r="BI651" s="0" t="s">
        <v>240</v>
      </c>
      <c r="BJ651" s="0" t="s">
        <v>240</v>
      </c>
      <c r="BK651" s="0" t="s">
        <v>240</v>
      </c>
      <c r="BL651" s="0" t="s">
        <v>240</v>
      </c>
      <c r="BM651" s="0" t="s">
        <v>240</v>
      </c>
      <c r="BN651" s="0" t="s">
        <v>240</v>
      </c>
      <c r="BO651" s="0" t="s">
        <v>240</v>
      </c>
      <c r="BP651" s="0" t="s">
        <v>240</v>
      </c>
      <c r="BQ651" s="0" t="s">
        <v>240</v>
      </c>
      <c r="BR651" s="0" t="s">
        <v>240</v>
      </c>
      <c r="BS651" s="0" t="s">
        <v>240</v>
      </c>
      <c r="BT651" s="0" t="s">
        <v>240</v>
      </c>
      <c r="BU651" s="0" t="s">
        <v>240</v>
      </c>
      <c r="BV651" s="0" t="s">
        <v>240</v>
      </c>
      <c r="BW651" s="0" t="s">
        <v>240</v>
      </c>
      <c r="BX651" s="0" t="s">
        <v>240</v>
      </c>
      <c r="BY651" s="0" t="s">
        <v>240</v>
      </c>
      <c r="BZ651" s="0" t="s">
        <v>240</v>
      </c>
      <c r="CA651" s="0" t="s">
        <v>240</v>
      </c>
      <c r="CB651" s="0" t="s">
        <v>240</v>
      </c>
      <c r="CC651" s="0" t="s">
        <v>240</v>
      </c>
      <c r="CD651" s="0" t="s">
        <v>240</v>
      </c>
      <c r="CE651" s="0" t="s">
        <v>240</v>
      </c>
      <c r="CF651" s="0" t="s">
        <v>240</v>
      </c>
      <c r="CG651" s="0" t="s">
        <v>240</v>
      </c>
      <c r="CH651" s="0" t="s">
        <v>240</v>
      </c>
      <c r="CI651" s="0" t="s">
        <v>240</v>
      </c>
      <c r="CJ651" s="0" t="s">
        <v>240</v>
      </c>
      <c r="CK651" s="0" t="s">
        <v>240</v>
      </c>
      <c r="CL651" s="0" t="s">
        <v>240</v>
      </c>
      <c r="CM651" s="0" t="s">
        <v>240</v>
      </c>
      <c r="CN651" s="0" t="s">
        <v>240</v>
      </c>
      <c r="CO651" s="0" t="s">
        <v>240</v>
      </c>
      <c r="CP651" s="0" t="s">
        <v>240</v>
      </c>
      <c r="CQ651" s="0" t="s">
        <v>240</v>
      </c>
      <c r="CR651" s="0" t="s">
        <v>240</v>
      </c>
      <c r="CS651" s="0" t="s">
        <v>240</v>
      </c>
      <c r="CT651" s="0" t="s">
        <v>5496</v>
      </c>
      <c r="CU651" s="0" t="s">
        <v>5497</v>
      </c>
      <c r="CV651" s="0" t="s">
        <v>443</v>
      </c>
      <c r="CW651" s="0" t="s">
        <v>5547</v>
      </c>
      <c r="CX651" s="0" t="s">
        <v>229</v>
      </c>
      <c r="CY651" s="0" t="s">
        <v>443</v>
      </c>
      <c r="CZ651" s="0" t="s">
        <v>5548</v>
      </c>
      <c r="DA651" s="0" t="s">
        <v>5549</v>
      </c>
      <c r="DB651" s="0" t="s">
        <v>5547</v>
      </c>
      <c r="DC651" s="0" t="s">
        <v>384</v>
      </c>
      <c r="DD651" s="0" t="s">
        <v>291</v>
      </c>
      <c r="DE651" s="0" t="s">
        <v>6347</v>
      </c>
    </row>
    <row customHeight="1" ht="11.25">
      <c r="A652" s="1441" t="s">
        <v>240</v>
      </c>
      <c r="B652" s="0" t="s">
        <v>240</v>
      </c>
      <c r="C652" s="0" t="s">
        <v>240</v>
      </c>
      <c r="D652" s="0" t="s">
        <v>240</v>
      </c>
      <c r="E652" s="0" t="s">
        <v>240</v>
      </c>
      <c r="F652" s="0" t="s">
        <v>240</v>
      </c>
      <c r="G652" s="0" t="s">
        <v>240</v>
      </c>
      <c r="H652" s="0" t="s">
        <v>240</v>
      </c>
      <c r="I652" s="0" t="s">
        <v>5484</v>
      </c>
      <c r="J652" s="0" t="s">
        <v>240</v>
      </c>
      <c r="K652" s="0" t="s">
        <v>240</v>
      </c>
      <c r="L652" s="0" t="s">
        <v>240</v>
      </c>
      <c r="M652" s="0" t="s">
        <v>240</v>
      </c>
      <c r="N652" s="0" t="s">
        <v>240</v>
      </c>
      <c r="O652" s="0" t="s">
        <v>240</v>
      </c>
      <c r="P652" s="0" t="s">
        <v>240</v>
      </c>
      <c r="Q652" s="0" t="s">
        <v>240</v>
      </c>
      <c r="R652" s="0" t="s">
        <v>5513</v>
      </c>
      <c r="S652" s="0" t="s">
        <v>240</v>
      </c>
      <c r="T652" s="0" t="s">
        <v>240</v>
      </c>
      <c r="U652" s="0" t="s">
        <v>102</v>
      </c>
      <c r="V652" s="0" t="s">
        <v>240</v>
      </c>
      <c r="W652" s="0" t="s">
        <v>240</v>
      </c>
      <c r="X652" s="0" t="s">
        <v>5485</v>
      </c>
      <c r="Y652" s="0" t="s">
        <v>240</v>
      </c>
      <c r="Z652" s="0" t="s">
        <v>161</v>
      </c>
      <c r="AA652" s="0" t="s">
        <v>152</v>
      </c>
      <c r="AB652" s="0" t="s">
        <v>152</v>
      </c>
      <c r="AC652" s="0" t="s">
        <v>2991</v>
      </c>
      <c r="AD652" s="0" t="s">
        <v>2991</v>
      </c>
      <c r="AE652" s="0" t="s">
        <v>2992</v>
      </c>
      <c r="AF652" s="0" t="s">
        <v>5970</v>
      </c>
      <c r="AG652" s="0" t="s">
        <v>5971</v>
      </c>
      <c r="AH652" s="0" t="s">
        <v>6350</v>
      </c>
      <c r="AI652" s="0" t="s">
        <v>5730</v>
      </c>
      <c r="AJ652" s="0" t="s">
        <v>5504</v>
      </c>
      <c r="AK652" s="0" t="s">
        <v>5544</v>
      </c>
      <c r="AL652" s="0" t="s">
        <v>5506</v>
      </c>
      <c r="AM652" s="0" t="s">
        <v>5493</v>
      </c>
      <c r="AN652" s="0" t="s">
        <v>5545</v>
      </c>
      <c r="AO652" s="0" t="s">
        <v>5508</v>
      </c>
      <c r="AP652" s="0" t="s">
        <v>240</v>
      </c>
      <c r="AQ652" s="0" t="s">
        <v>240</v>
      </c>
      <c r="AR652" s="0" t="s">
        <v>240</v>
      </c>
      <c r="AS652" s="0" t="s">
        <v>240</v>
      </c>
      <c r="AT652" s="0" t="s">
        <v>240</v>
      </c>
      <c r="AU652" s="0" t="s">
        <v>240</v>
      </c>
      <c r="AV652" s="0" t="s">
        <v>240</v>
      </c>
      <c r="AW652" s="0" t="s">
        <v>240</v>
      </c>
      <c r="AX652" s="0" t="s">
        <v>240</v>
      </c>
      <c r="AY652" s="0" t="s">
        <v>240</v>
      </c>
      <c r="AZ652" s="0" t="s">
        <v>240</v>
      </c>
      <c r="BA652" s="0" t="s">
        <v>240</v>
      </c>
      <c r="BB652" s="0" t="s">
        <v>240</v>
      </c>
      <c r="BC652" s="0" t="s">
        <v>240</v>
      </c>
      <c r="BD652" s="0" t="s">
        <v>240</v>
      </c>
      <c r="BE652" s="0" t="s">
        <v>240</v>
      </c>
      <c r="BF652" s="0" t="s">
        <v>240</v>
      </c>
      <c r="BG652" s="0" t="s">
        <v>240</v>
      </c>
      <c r="BH652" s="0" t="s">
        <v>240</v>
      </c>
      <c r="BI652" s="0" t="s">
        <v>240</v>
      </c>
      <c r="BJ652" s="0" t="s">
        <v>240</v>
      </c>
      <c r="BK652" s="0" t="s">
        <v>240</v>
      </c>
      <c r="BL652" s="0" t="s">
        <v>240</v>
      </c>
      <c r="BM652" s="0" t="s">
        <v>240</v>
      </c>
      <c r="BN652" s="0" t="s">
        <v>240</v>
      </c>
      <c r="BO652" s="0" t="s">
        <v>240</v>
      </c>
      <c r="BP652" s="0" t="s">
        <v>240</v>
      </c>
      <c r="BQ652" s="0" t="s">
        <v>240</v>
      </c>
      <c r="BR652" s="0" t="s">
        <v>240</v>
      </c>
      <c r="BS652" s="0" t="s">
        <v>240</v>
      </c>
      <c r="BT652" s="0" t="s">
        <v>240</v>
      </c>
      <c r="BU652" s="0" t="s">
        <v>240</v>
      </c>
      <c r="BV652" s="0" t="s">
        <v>240</v>
      </c>
      <c r="BW652" s="0" t="s">
        <v>240</v>
      </c>
      <c r="BX652" s="0" t="s">
        <v>240</v>
      </c>
      <c r="BY652" s="0" t="s">
        <v>240</v>
      </c>
      <c r="BZ652" s="0" t="s">
        <v>240</v>
      </c>
      <c r="CA652" s="0" t="s">
        <v>240</v>
      </c>
      <c r="CB652" s="0" t="s">
        <v>240</v>
      </c>
      <c r="CC652" s="0" t="s">
        <v>240</v>
      </c>
      <c r="CD652" s="0" t="s">
        <v>240</v>
      </c>
      <c r="CE652" s="0" t="s">
        <v>240</v>
      </c>
      <c r="CF652" s="0" t="s">
        <v>240</v>
      </c>
      <c r="CG652" s="0" t="s">
        <v>240</v>
      </c>
      <c r="CH652" s="0" t="s">
        <v>240</v>
      </c>
      <c r="CI652" s="0" t="s">
        <v>240</v>
      </c>
      <c r="CJ652" s="0" t="s">
        <v>240</v>
      </c>
      <c r="CK652" s="0" t="s">
        <v>240</v>
      </c>
      <c r="CL652" s="0" t="s">
        <v>240</v>
      </c>
      <c r="CM652" s="0" t="s">
        <v>240</v>
      </c>
      <c r="CN652" s="0" t="s">
        <v>240</v>
      </c>
      <c r="CO652" s="0" t="s">
        <v>240</v>
      </c>
      <c r="CP652" s="0" t="s">
        <v>240</v>
      </c>
      <c r="CQ652" s="0" t="s">
        <v>240</v>
      </c>
      <c r="CR652" s="0" t="s">
        <v>240</v>
      </c>
      <c r="CS652" s="0" t="s">
        <v>240</v>
      </c>
      <c r="CT652" s="0" t="s">
        <v>5496</v>
      </c>
      <c r="CU652" s="0" t="s">
        <v>5497</v>
      </c>
      <c r="CV652" s="0" t="s">
        <v>443</v>
      </c>
      <c r="CW652" s="0" t="s">
        <v>5547</v>
      </c>
      <c r="CX652" s="0" t="s">
        <v>229</v>
      </c>
      <c r="CY652" s="0" t="s">
        <v>443</v>
      </c>
      <c r="CZ652" s="0" t="s">
        <v>5548</v>
      </c>
      <c r="DA652" s="0" t="s">
        <v>5549</v>
      </c>
      <c r="DB652" s="0" t="s">
        <v>5547</v>
      </c>
      <c r="DC652" s="0" t="s">
        <v>384</v>
      </c>
      <c r="DD652" s="0" t="s">
        <v>291</v>
      </c>
      <c r="DE652" s="0" t="s">
        <v>6351</v>
      </c>
    </row>
    <row customHeight="1" ht="11.25">
      <c r="A653" s="1441" t="s">
        <v>240</v>
      </c>
      <c r="B653" s="0" t="s">
        <v>240</v>
      </c>
      <c r="C653" s="0" t="s">
        <v>240</v>
      </c>
      <c r="D653" s="0" t="s">
        <v>240</v>
      </c>
      <c r="E653" s="0" t="s">
        <v>240</v>
      </c>
      <c r="F653" s="0" t="s">
        <v>240</v>
      </c>
      <c r="G653" s="0" t="s">
        <v>240</v>
      </c>
      <c r="H653" s="0" t="s">
        <v>240</v>
      </c>
      <c r="I653" s="0" t="s">
        <v>7004</v>
      </c>
      <c r="J653" s="0" t="s">
        <v>240</v>
      </c>
      <c r="K653" s="0" t="s">
        <v>240</v>
      </c>
      <c r="L653" s="0" t="s">
        <v>240</v>
      </c>
      <c r="M653" s="0" t="s">
        <v>240</v>
      </c>
      <c r="N653" s="0" t="s">
        <v>240</v>
      </c>
      <c r="O653" s="0" t="s">
        <v>240</v>
      </c>
      <c r="P653" s="0" t="s">
        <v>240</v>
      </c>
      <c r="Q653" s="0" t="s">
        <v>240</v>
      </c>
      <c r="R653" s="0" t="s">
        <v>7005</v>
      </c>
      <c r="S653" s="0" t="s">
        <v>240</v>
      </c>
      <c r="T653" s="0" t="s">
        <v>240</v>
      </c>
      <c r="U653" s="0" t="s">
        <v>102</v>
      </c>
      <c r="V653" s="0" t="s">
        <v>240</v>
      </c>
      <c r="W653" s="0" t="s">
        <v>240</v>
      </c>
      <c r="X653" s="0" t="s">
        <v>546</v>
      </c>
      <c r="Y653" s="0" t="s">
        <v>240</v>
      </c>
      <c r="Z653" s="0" t="s">
        <v>161</v>
      </c>
      <c r="AA653" s="0" t="s">
        <v>152</v>
      </c>
      <c r="AB653" s="0" t="s">
        <v>152</v>
      </c>
      <c r="AC653" s="0" t="s">
        <v>3389</v>
      </c>
      <c r="AD653" s="0" t="s">
        <v>3389</v>
      </c>
      <c r="AE653" s="0" t="s">
        <v>3390</v>
      </c>
      <c r="AF653" s="0" t="s">
        <v>5519</v>
      </c>
      <c r="AG653" s="0" t="s">
        <v>5520</v>
      </c>
      <c r="AH653" s="0" t="s">
        <v>7006</v>
      </c>
      <c r="AI653" s="0" t="s">
        <v>5533</v>
      </c>
      <c r="AJ653" s="0" t="s">
        <v>7007</v>
      </c>
      <c r="AK653" s="0" t="s">
        <v>7008</v>
      </c>
      <c r="AL653" s="0" t="s">
        <v>7009</v>
      </c>
      <c r="AN653" s="0" t="s">
        <v>7010</v>
      </c>
      <c r="AO653" s="0" t="s">
        <v>7011</v>
      </c>
      <c r="AP653" s="0" t="s">
        <v>240</v>
      </c>
      <c r="AQ653" s="0" t="s">
        <v>240</v>
      </c>
      <c r="AR653" s="0" t="s">
        <v>240</v>
      </c>
      <c r="AS653" s="0" t="s">
        <v>240</v>
      </c>
      <c r="AT653" s="0" t="s">
        <v>240</v>
      </c>
      <c r="AU653" s="0" t="s">
        <v>240</v>
      </c>
      <c r="AV653" s="0" t="s">
        <v>240</v>
      </c>
      <c r="AW653" s="0" t="s">
        <v>240</v>
      </c>
      <c r="AX653" s="0" t="s">
        <v>240</v>
      </c>
      <c r="AY653" s="0" t="s">
        <v>240</v>
      </c>
      <c r="AZ653" s="0" t="s">
        <v>240</v>
      </c>
      <c r="BA653" s="0" t="s">
        <v>240</v>
      </c>
      <c r="BB653" s="0" t="s">
        <v>240</v>
      </c>
      <c r="BC653" s="0" t="s">
        <v>240</v>
      </c>
      <c r="BD653" s="0" t="s">
        <v>240</v>
      </c>
      <c r="BE653" s="0" t="s">
        <v>240</v>
      </c>
      <c r="BF653" s="0" t="s">
        <v>240</v>
      </c>
      <c r="BG653" s="0" t="s">
        <v>240</v>
      </c>
      <c r="BH653" s="0" t="s">
        <v>240</v>
      </c>
      <c r="BI653" s="0" t="s">
        <v>240</v>
      </c>
      <c r="BJ653" s="0" t="s">
        <v>240</v>
      </c>
      <c r="BK653" s="0" t="s">
        <v>240</v>
      </c>
      <c r="BL653" s="0" t="s">
        <v>240</v>
      </c>
      <c r="BM653" s="0" t="s">
        <v>240</v>
      </c>
      <c r="BN653" s="0" t="s">
        <v>240</v>
      </c>
      <c r="BO653" s="0" t="s">
        <v>240</v>
      </c>
      <c r="BP653" s="0" t="s">
        <v>240</v>
      </c>
      <c r="BQ653" s="0" t="s">
        <v>240</v>
      </c>
      <c r="BR653" s="0" t="s">
        <v>240</v>
      </c>
      <c r="BS653" s="0" t="s">
        <v>240</v>
      </c>
      <c r="BT653" s="0" t="s">
        <v>240</v>
      </c>
      <c r="CS653" s="0" t="s">
        <v>240</v>
      </c>
      <c r="CT653" s="0" t="s">
        <v>5496</v>
      </c>
      <c r="CU653" s="0" t="s">
        <v>7012</v>
      </c>
      <c r="CV653" s="0" t="s">
        <v>5947</v>
      </c>
      <c r="CW653" s="0" t="s">
        <v>7013</v>
      </c>
      <c r="CX653" s="0" t="s">
        <v>5528</v>
      </c>
      <c r="CY653" s="0" t="s">
        <v>5947</v>
      </c>
      <c r="CZ653" s="0" t="s">
        <v>7014</v>
      </c>
      <c r="DA653" s="0" t="s">
        <v>7015</v>
      </c>
      <c r="DB653" s="0" t="s">
        <v>7013</v>
      </c>
      <c r="DC653" s="0" t="s">
        <v>384</v>
      </c>
      <c r="DD653" s="0" t="s">
        <v>300</v>
      </c>
      <c r="DE653" s="0" t="s">
        <v>7016</v>
      </c>
    </row>
    <row customHeight="1" ht="11.25">
      <c r="A654" s="1441" t="s">
        <v>240</v>
      </c>
      <c r="B654" s="0" t="s">
        <v>240</v>
      </c>
      <c r="C654" s="0" t="s">
        <v>240</v>
      </c>
      <c r="D654" s="0" t="s">
        <v>240</v>
      </c>
      <c r="E654" s="0" t="s">
        <v>240</v>
      </c>
      <c r="F654" s="0" t="s">
        <v>240</v>
      </c>
      <c r="G654" s="0" t="s">
        <v>240</v>
      </c>
      <c r="H654" s="0" t="s">
        <v>240</v>
      </c>
      <c r="I654" s="0" t="s">
        <v>7004</v>
      </c>
      <c r="J654" s="0" t="s">
        <v>240</v>
      </c>
      <c r="K654" s="0" t="s">
        <v>240</v>
      </c>
      <c r="L654" s="0" t="s">
        <v>240</v>
      </c>
      <c r="M654" s="0" t="s">
        <v>240</v>
      </c>
      <c r="N654" s="0" t="s">
        <v>240</v>
      </c>
      <c r="O654" s="0" t="s">
        <v>240</v>
      </c>
      <c r="P654" s="0" t="s">
        <v>240</v>
      </c>
      <c r="Q654" s="0" t="s">
        <v>240</v>
      </c>
      <c r="R654" s="0" t="s">
        <v>7017</v>
      </c>
      <c r="S654" s="0" t="s">
        <v>240</v>
      </c>
      <c r="T654" s="0" t="s">
        <v>240</v>
      </c>
      <c r="U654" s="0" t="s">
        <v>102</v>
      </c>
      <c r="V654" s="0" t="s">
        <v>240</v>
      </c>
      <c r="W654" s="0" t="s">
        <v>240</v>
      </c>
      <c r="X654" s="0" t="s">
        <v>546</v>
      </c>
      <c r="Y654" s="0" t="s">
        <v>240</v>
      </c>
      <c r="Z654" s="0" t="s">
        <v>161</v>
      </c>
      <c r="AA654" s="0" t="s">
        <v>152</v>
      </c>
      <c r="AB654" s="0" t="s">
        <v>152</v>
      </c>
      <c r="AC654" s="0" t="s">
        <v>3395</v>
      </c>
      <c r="AD654" s="0" t="s">
        <v>3395</v>
      </c>
      <c r="AE654" s="0" t="s">
        <v>3396</v>
      </c>
      <c r="AF654" s="0" t="s">
        <v>5941</v>
      </c>
      <c r="AG654" s="0" t="s">
        <v>5942</v>
      </c>
      <c r="AH654" s="0" t="s">
        <v>7018</v>
      </c>
      <c r="AI654" s="0" t="s">
        <v>7019</v>
      </c>
      <c r="AJ654" s="0" t="s">
        <v>6884</v>
      </c>
      <c r="AK654" s="0" t="s">
        <v>7020</v>
      </c>
      <c r="AL654" s="0" t="s">
        <v>7009</v>
      </c>
      <c r="AN654" s="0" t="s">
        <v>5553</v>
      </c>
      <c r="AO654" s="0" t="s">
        <v>7021</v>
      </c>
      <c r="AP654" s="0" t="s">
        <v>240</v>
      </c>
      <c r="AQ654" s="0" t="s">
        <v>240</v>
      </c>
      <c r="AR654" s="0" t="s">
        <v>240</v>
      </c>
      <c r="AS654" s="0" t="s">
        <v>240</v>
      </c>
      <c r="AT654" s="0" t="s">
        <v>240</v>
      </c>
      <c r="AU654" s="0" t="s">
        <v>240</v>
      </c>
      <c r="AV654" s="0" t="s">
        <v>240</v>
      </c>
      <c r="AW654" s="0" t="s">
        <v>240</v>
      </c>
      <c r="AX654" s="0" t="s">
        <v>240</v>
      </c>
      <c r="AY654" s="0" t="s">
        <v>240</v>
      </c>
      <c r="AZ654" s="0" t="s">
        <v>240</v>
      </c>
      <c r="BA654" s="0" t="s">
        <v>240</v>
      </c>
      <c r="BB654" s="0" t="s">
        <v>240</v>
      </c>
      <c r="BC654" s="0" t="s">
        <v>240</v>
      </c>
      <c r="BD654" s="0" t="s">
        <v>240</v>
      </c>
      <c r="BE654" s="0" t="s">
        <v>240</v>
      </c>
      <c r="BF654" s="0" t="s">
        <v>240</v>
      </c>
      <c r="BG654" s="0" t="s">
        <v>240</v>
      </c>
      <c r="BH654" s="0" t="s">
        <v>240</v>
      </c>
      <c r="BI654" s="0" t="s">
        <v>240</v>
      </c>
      <c r="BJ654" s="0" t="s">
        <v>240</v>
      </c>
      <c r="BK654" s="0" t="s">
        <v>240</v>
      </c>
      <c r="BL654" s="0" t="s">
        <v>240</v>
      </c>
      <c r="BM654" s="0" t="s">
        <v>240</v>
      </c>
      <c r="BN654" s="0" t="s">
        <v>240</v>
      </c>
      <c r="BO654" s="0" t="s">
        <v>240</v>
      </c>
      <c r="BP654" s="0" t="s">
        <v>240</v>
      </c>
      <c r="BQ654" s="0" t="s">
        <v>240</v>
      </c>
      <c r="BR654" s="0" t="s">
        <v>240</v>
      </c>
      <c r="BS654" s="0" t="s">
        <v>240</v>
      </c>
      <c r="BT654" s="0" t="s">
        <v>240</v>
      </c>
      <c r="CS654" s="0" t="s">
        <v>240</v>
      </c>
      <c r="CT654" s="0" t="s">
        <v>5496</v>
      </c>
      <c r="CU654" s="0" t="s">
        <v>5497</v>
      </c>
      <c r="CV654" s="0" t="s">
        <v>5947</v>
      </c>
      <c r="CW654" s="0" t="s">
        <v>5948</v>
      </c>
      <c r="CX654" s="0" t="s">
        <v>5528</v>
      </c>
      <c r="CY654" s="0" t="s">
        <v>5947</v>
      </c>
      <c r="CZ654" s="0" t="s">
        <v>7022</v>
      </c>
      <c r="DA654" s="0" t="s">
        <v>5949</v>
      </c>
      <c r="DB654" s="0" t="s">
        <v>5948</v>
      </c>
      <c r="DC654" s="0" t="s">
        <v>384</v>
      </c>
      <c r="DD654" s="0" t="s">
        <v>300</v>
      </c>
      <c r="DE654" s="0" t="s">
        <v>7023</v>
      </c>
    </row>
    <row customHeight="1" ht="11.25">
      <c r="A655" s="1441" t="s">
        <v>240</v>
      </c>
      <c r="B655" s="0" t="s">
        <v>240</v>
      </c>
      <c r="C655" s="0" t="s">
        <v>240</v>
      </c>
      <c r="D655" s="0" t="s">
        <v>240</v>
      </c>
      <c r="E655" s="0" t="s">
        <v>240</v>
      </c>
      <c r="F655" s="0" t="s">
        <v>240</v>
      </c>
      <c r="G655" s="0" t="s">
        <v>240</v>
      </c>
      <c r="H655" s="0" t="s">
        <v>240</v>
      </c>
      <c r="I655" s="0" t="s">
        <v>7004</v>
      </c>
      <c r="J655" s="0" t="s">
        <v>240</v>
      </c>
      <c r="K655" s="0" t="s">
        <v>240</v>
      </c>
      <c r="L655" s="0" t="s">
        <v>240</v>
      </c>
      <c r="M655" s="0" t="s">
        <v>240</v>
      </c>
      <c r="N655" s="0" t="s">
        <v>240</v>
      </c>
      <c r="O655" s="0" t="s">
        <v>240</v>
      </c>
      <c r="P655" s="0" t="s">
        <v>240</v>
      </c>
      <c r="Q655" s="0" t="s">
        <v>240</v>
      </c>
      <c r="R655" s="0" t="s">
        <v>532</v>
      </c>
      <c r="S655" s="0" t="s">
        <v>240</v>
      </c>
      <c r="T655" s="0" t="s">
        <v>240</v>
      </c>
      <c r="U655" s="0" t="s">
        <v>102</v>
      </c>
      <c r="V655" s="0" t="s">
        <v>240</v>
      </c>
      <c r="W655" s="0" t="s">
        <v>240</v>
      </c>
      <c r="X655" s="0" t="s">
        <v>546</v>
      </c>
      <c r="Y655" s="0" t="s">
        <v>240</v>
      </c>
      <c r="Z655" s="0" t="s">
        <v>161</v>
      </c>
      <c r="AA655" s="0" t="s">
        <v>152</v>
      </c>
      <c r="AB655" s="0" t="s">
        <v>152</v>
      </c>
      <c r="AC655" s="0" t="s">
        <v>3389</v>
      </c>
      <c r="AD655" s="0" t="s">
        <v>3389</v>
      </c>
      <c r="AE655" s="0" t="s">
        <v>3390</v>
      </c>
      <c r="AF655" s="0" t="s">
        <v>5519</v>
      </c>
      <c r="AG655" s="0" t="s">
        <v>5520</v>
      </c>
      <c r="AH655" s="0" t="s">
        <v>7024</v>
      </c>
      <c r="AI655" s="0" t="s">
        <v>7025</v>
      </c>
      <c r="AJ655" s="0" t="s">
        <v>5568</v>
      </c>
      <c r="AK655" s="0" t="s">
        <v>7026</v>
      </c>
      <c r="AL655" s="0" t="s">
        <v>7027</v>
      </c>
      <c r="AN655" s="0" t="s">
        <v>7028</v>
      </c>
      <c r="AO655" s="0" t="s">
        <v>7029</v>
      </c>
      <c r="AP655" s="0" t="s">
        <v>240</v>
      </c>
      <c r="AQ655" s="0" t="s">
        <v>240</v>
      </c>
      <c r="AR655" s="0" t="s">
        <v>240</v>
      </c>
      <c r="AS655" s="0" t="s">
        <v>240</v>
      </c>
      <c r="AT655" s="0" t="s">
        <v>240</v>
      </c>
      <c r="AU655" s="0" t="s">
        <v>240</v>
      </c>
      <c r="AV655" s="0" t="s">
        <v>240</v>
      </c>
      <c r="AW655" s="0" t="s">
        <v>240</v>
      </c>
      <c r="AX655" s="0" t="s">
        <v>240</v>
      </c>
      <c r="AY655" s="0" t="s">
        <v>240</v>
      </c>
      <c r="AZ655" s="0" t="s">
        <v>240</v>
      </c>
      <c r="BA655" s="0" t="s">
        <v>240</v>
      </c>
      <c r="BB655" s="0" t="s">
        <v>240</v>
      </c>
      <c r="BC655" s="0" t="s">
        <v>240</v>
      </c>
      <c r="BD655" s="0" t="s">
        <v>240</v>
      </c>
      <c r="BE655" s="0" t="s">
        <v>240</v>
      </c>
      <c r="BF655" s="0" t="s">
        <v>240</v>
      </c>
      <c r="BG655" s="0" t="s">
        <v>240</v>
      </c>
      <c r="BH655" s="0" t="s">
        <v>240</v>
      </c>
      <c r="BI655" s="0" t="s">
        <v>240</v>
      </c>
      <c r="BJ655" s="0" t="s">
        <v>240</v>
      </c>
      <c r="BK655" s="0" t="s">
        <v>240</v>
      </c>
      <c r="BL655" s="0" t="s">
        <v>240</v>
      </c>
      <c r="BM655" s="0" t="s">
        <v>240</v>
      </c>
      <c r="BN655" s="0" t="s">
        <v>240</v>
      </c>
      <c r="BO655" s="0" t="s">
        <v>240</v>
      </c>
      <c r="BP655" s="0" t="s">
        <v>240</v>
      </c>
      <c r="BQ655" s="0" t="s">
        <v>240</v>
      </c>
      <c r="BR655" s="0" t="s">
        <v>240</v>
      </c>
      <c r="BS655" s="0" t="s">
        <v>240</v>
      </c>
      <c r="BT655" s="0" t="s">
        <v>240</v>
      </c>
      <c r="CS655" s="0" t="s">
        <v>240</v>
      </c>
      <c r="CT655" s="0" t="s">
        <v>5496</v>
      </c>
      <c r="CU655" s="0" t="s">
        <v>7012</v>
      </c>
      <c r="CV655" s="0" t="s">
        <v>5947</v>
      </c>
      <c r="CW655" s="0" t="s">
        <v>7013</v>
      </c>
      <c r="CX655" s="0" t="s">
        <v>5528</v>
      </c>
      <c r="CY655" s="0" t="s">
        <v>5947</v>
      </c>
      <c r="CZ655" s="0" t="s">
        <v>7014</v>
      </c>
      <c r="DA655" s="0" t="s">
        <v>7015</v>
      </c>
      <c r="DB655" s="0" t="s">
        <v>7013</v>
      </c>
      <c r="DC655" s="0" t="s">
        <v>384</v>
      </c>
      <c r="DD655" s="0" t="s">
        <v>300</v>
      </c>
      <c r="DE655" s="0" t="s">
        <v>7030</v>
      </c>
    </row>
    <row customHeight="1" ht="11.25">
      <c r="A656" s="1441" t="s">
        <v>240</v>
      </c>
      <c r="B656" s="0" t="s">
        <v>240</v>
      </c>
      <c r="C656" s="0" t="s">
        <v>240</v>
      </c>
      <c r="D656" s="0" t="s">
        <v>240</v>
      </c>
      <c r="E656" s="0" t="s">
        <v>240</v>
      </c>
      <c r="F656" s="0" t="s">
        <v>240</v>
      </c>
      <c r="G656" s="0" t="s">
        <v>240</v>
      </c>
      <c r="H656" s="0" t="s">
        <v>240</v>
      </c>
      <c r="I656" s="0" t="s">
        <v>7004</v>
      </c>
      <c r="J656" s="0" t="s">
        <v>240</v>
      </c>
      <c r="K656" s="0" t="s">
        <v>240</v>
      </c>
      <c r="L656" s="0" t="s">
        <v>240</v>
      </c>
      <c r="M656" s="0" t="s">
        <v>240</v>
      </c>
      <c r="N656" s="0" t="s">
        <v>240</v>
      </c>
      <c r="O656" s="0" t="s">
        <v>240</v>
      </c>
      <c r="P656" s="0" t="s">
        <v>240</v>
      </c>
      <c r="Q656" s="0" t="s">
        <v>240</v>
      </c>
      <c r="R656" s="0" t="s">
        <v>7031</v>
      </c>
      <c r="S656" s="0" t="s">
        <v>240</v>
      </c>
      <c r="T656" s="0" t="s">
        <v>240</v>
      </c>
      <c r="U656" s="0" t="s">
        <v>102</v>
      </c>
      <c r="V656" s="0" t="s">
        <v>240</v>
      </c>
      <c r="W656" s="0" t="s">
        <v>240</v>
      </c>
      <c r="X656" s="0" t="s">
        <v>546</v>
      </c>
      <c r="Y656" s="0" t="s">
        <v>240</v>
      </c>
      <c r="Z656" s="0" t="s">
        <v>161</v>
      </c>
      <c r="AA656" s="0" t="s">
        <v>152</v>
      </c>
      <c r="AB656" s="0" t="s">
        <v>152</v>
      </c>
      <c r="AC656" s="0" t="s">
        <v>3389</v>
      </c>
      <c r="AD656" s="0" t="s">
        <v>3389</v>
      </c>
      <c r="AE656" s="0" t="s">
        <v>3390</v>
      </c>
      <c r="AF656" s="0" t="s">
        <v>5519</v>
      </c>
      <c r="AG656" s="0" t="s">
        <v>5520</v>
      </c>
      <c r="AH656" s="0" t="s">
        <v>7032</v>
      </c>
      <c r="AI656" s="0" t="s">
        <v>5533</v>
      </c>
      <c r="AJ656" s="0" t="s">
        <v>5902</v>
      </c>
      <c r="AK656" s="0" t="s">
        <v>7033</v>
      </c>
      <c r="AL656" s="0" t="s">
        <v>7009</v>
      </c>
      <c r="AN656" s="0" t="s">
        <v>5893</v>
      </c>
      <c r="AO656" s="0" t="s">
        <v>7034</v>
      </c>
      <c r="AP656" s="0" t="s">
        <v>240</v>
      </c>
      <c r="AQ656" s="0" t="s">
        <v>240</v>
      </c>
      <c r="AR656" s="0" t="s">
        <v>240</v>
      </c>
      <c r="AS656" s="0" t="s">
        <v>240</v>
      </c>
      <c r="AT656" s="0" t="s">
        <v>240</v>
      </c>
      <c r="AU656" s="0" t="s">
        <v>240</v>
      </c>
      <c r="AV656" s="0" t="s">
        <v>240</v>
      </c>
      <c r="AW656" s="0" t="s">
        <v>240</v>
      </c>
      <c r="AX656" s="0" t="s">
        <v>240</v>
      </c>
      <c r="AY656" s="0" t="s">
        <v>240</v>
      </c>
      <c r="AZ656" s="0" t="s">
        <v>240</v>
      </c>
      <c r="BA656" s="0" t="s">
        <v>240</v>
      </c>
      <c r="BB656" s="0" t="s">
        <v>240</v>
      </c>
      <c r="BC656" s="0" t="s">
        <v>240</v>
      </c>
      <c r="BD656" s="0" t="s">
        <v>240</v>
      </c>
      <c r="BE656" s="0" t="s">
        <v>240</v>
      </c>
      <c r="BF656" s="0" t="s">
        <v>240</v>
      </c>
      <c r="BG656" s="0" t="s">
        <v>240</v>
      </c>
      <c r="BH656" s="0" t="s">
        <v>240</v>
      </c>
      <c r="BI656" s="0" t="s">
        <v>240</v>
      </c>
      <c r="BJ656" s="0" t="s">
        <v>240</v>
      </c>
      <c r="BK656" s="0" t="s">
        <v>240</v>
      </c>
      <c r="BL656" s="0" t="s">
        <v>240</v>
      </c>
      <c r="BM656" s="0" t="s">
        <v>240</v>
      </c>
      <c r="BN656" s="0" t="s">
        <v>240</v>
      </c>
      <c r="BO656" s="0" t="s">
        <v>240</v>
      </c>
      <c r="BP656" s="0" t="s">
        <v>240</v>
      </c>
      <c r="BQ656" s="0" t="s">
        <v>240</v>
      </c>
      <c r="BR656" s="0" t="s">
        <v>240</v>
      </c>
      <c r="BS656" s="0" t="s">
        <v>240</v>
      </c>
      <c r="BT656" s="0" t="s">
        <v>240</v>
      </c>
      <c r="CS656" s="0" t="s">
        <v>240</v>
      </c>
      <c r="CT656" s="0" t="s">
        <v>5496</v>
      </c>
      <c r="CU656" s="0" t="s">
        <v>5497</v>
      </c>
      <c r="CV656" s="0" t="s">
        <v>443</v>
      </c>
      <c r="CW656" s="0" t="s">
        <v>5527</v>
      </c>
      <c r="CX656" s="0" t="s">
        <v>5528</v>
      </c>
      <c r="CY656" s="0" t="s">
        <v>443</v>
      </c>
      <c r="CZ656" s="0" t="s">
        <v>299</v>
      </c>
      <c r="DA656" s="0" t="s">
        <v>5529</v>
      </c>
      <c r="DB656" s="0" t="s">
        <v>5527</v>
      </c>
      <c r="DC656" s="0" t="s">
        <v>384</v>
      </c>
      <c r="DD656" s="0" t="s">
        <v>300</v>
      </c>
      <c r="DE656" s="0" t="s">
        <v>7035</v>
      </c>
    </row>
    <row customHeight="1" ht="11.25">
      <c r="A657" s="1441" t="s">
        <v>240</v>
      </c>
      <c r="B657" s="0" t="s">
        <v>240</v>
      </c>
      <c r="C657" s="0" t="s">
        <v>240</v>
      </c>
      <c r="D657" s="0" t="s">
        <v>240</v>
      </c>
      <c r="E657" s="0" t="s">
        <v>240</v>
      </c>
      <c r="F657" s="0" t="s">
        <v>240</v>
      </c>
      <c r="G657" s="0" t="s">
        <v>240</v>
      </c>
      <c r="H657" s="0" t="s">
        <v>240</v>
      </c>
      <c r="I657" s="0" t="s">
        <v>7004</v>
      </c>
      <c r="J657" s="0" t="s">
        <v>240</v>
      </c>
      <c r="K657" s="0" t="s">
        <v>240</v>
      </c>
      <c r="L657" s="0" t="s">
        <v>240</v>
      </c>
      <c r="M657" s="0" t="s">
        <v>240</v>
      </c>
      <c r="N657" s="0" t="s">
        <v>240</v>
      </c>
      <c r="O657" s="0" t="s">
        <v>240</v>
      </c>
      <c r="P657" s="0" t="s">
        <v>240</v>
      </c>
      <c r="Q657" s="0" t="s">
        <v>240</v>
      </c>
      <c r="R657" s="0" t="s">
        <v>7036</v>
      </c>
      <c r="S657" s="0" t="s">
        <v>240</v>
      </c>
      <c r="T657" s="0" t="s">
        <v>240</v>
      </c>
      <c r="U657" s="0" t="s">
        <v>102</v>
      </c>
      <c r="V657" s="0" t="s">
        <v>240</v>
      </c>
      <c r="W657" s="0" t="s">
        <v>240</v>
      </c>
      <c r="X657" s="0" t="s">
        <v>546</v>
      </c>
      <c r="Y657" s="0" t="s">
        <v>240</v>
      </c>
      <c r="Z657" s="0" t="s">
        <v>161</v>
      </c>
      <c r="AA657" s="0" t="s">
        <v>152</v>
      </c>
      <c r="AB657" s="0" t="s">
        <v>152</v>
      </c>
      <c r="AC657" s="0" t="s">
        <v>3395</v>
      </c>
      <c r="AD657" s="0" t="s">
        <v>3395</v>
      </c>
      <c r="AE657" s="0" t="s">
        <v>3396</v>
      </c>
      <c r="AF657" s="0" t="s">
        <v>5941</v>
      </c>
      <c r="AG657" s="0" t="s">
        <v>5942</v>
      </c>
      <c r="AH657" s="0" t="s">
        <v>5617</v>
      </c>
      <c r="AI657" s="0" t="s">
        <v>5533</v>
      </c>
      <c r="AJ657" s="0" t="s">
        <v>5822</v>
      </c>
      <c r="AK657" s="0" t="s">
        <v>5545</v>
      </c>
      <c r="AL657" s="0" t="s">
        <v>7009</v>
      </c>
      <c r="AN657" s="0" t="s">
        <v>5553</v>
      </c>
      <c r="AO657" s="0" t="s">
        <v>7037</v>
      </c>
      <c r="AP657" s="0" t="s">
        <v>240</v>
      </c>
      <c r="AQ657" s="0" t="s">
        <v>240</v>
      </c>
      <c r="AR657" s="0" t="s">
        <v>240</v>
      </c>
      <c r="AS657" s="0" t="s">
        <v>240</v>
      </c>
      <c r="AT657" s="0" t="s">
        <v>240</v>
      </c>
      <c r="AU657" s="0" t="s">
        <v>240</v>
      </c>
      <c r="AV657" s="0" t="s">
        <v>240</v>
      </c>
      <c r="AW657" s="0" t="s">
        <v>240</v>
      </c>
      <c r="AX657" s="0" t="s">
        <v>240</v>
      </c>
      <c r="AY657" s="0" t="s">
        <v>240</v>
      </c>
      <c r="AZ657" s="0" t="s">
        <v>240</v>
      </c>
      <c r="BA657" s="0" t="s">
        <v>240</v>
      </c>
      <c r="BB657" s="0" t="s">
        <v>240</v>
      </c>
      <c r="BC657" s="0" t="s">
        <v>240</v>
      </c>
      <c r="BD657" s="0" t="s">
        <v>240</v>
      </c>
      <c r="BE657" s="0" t="s">
        <v>240</v>
      </c>
      <c r="BF657" s="0" t="s">
        <v>240</v>
      </c>
      <c r="BG657" s="0" t="s">
        <v>240</v>
      </c>
      <c r="BH657" s="0" t="s">
        <v>240</v>
      </c>
      <c r="BI657" s="0" t="s">
        <v>240</v>
      </c>
      <c r="BJ657" s="0" t="s">
        <v>240</v>
      </c>
      <c r="BK657" s="0" t="s">
        <v>240</v>
      </c>
      <c r="BL657" s="0" t="s">
        <v>240</v>
      </c>
      <c r="BM657" s="0" t="s">
        <v>240</v>
      </c>
      <c r="BN657" s="0" t="s">
        <v>240</v>
      </c>
      <c r="BO657" s="0" t="s">
        <v>240</v>
      </c>
      <c r="BP657" s="0" t="s">
        <v>240</v>
      </c>
      <c r="BQ657" s="0" t="s">
        <v>240</v>
      </c>
      <c r="BR657" s="0" t="s">
        <v>240</v>
      </c>
      <c r="BS657" s="0" t="s">
        <v>240</v>
      </c>
      <c r="BT657" s="0" t="s">
        <v>240</v>
      </c>
      <c r="CS657" s="0" t="s">
        <v>240</v>
      </c>
      <c r="CT657" s="0" t="s">
        <v>5496</v>
      </c>
      <c r="CU657" s="0" t="s">
        <v>5497</v>
      </c>
      <c r="CV657" s="0" t="s">
        <v>5947</v>
      </c>
      <c r="CW657" s="0" t="s">
        <v>5948</v>
      </c>
      <c r="CX657" s="0" t="s">
        <v>5528</v>
      </c>
      <c r="CY657" s="0" t="s">
        <v>5947</v>
      </c>
      <c r="CZ657" s="0" t="s">
        <v>7022</v>
      </c>
      <c r="DA657" s="0" t="s">
        <v>5949</v>
      </c>
      <c r="DB657" s="0" t="s">
        <v>5948</v>
      </c>
      <c r="DC657" s="0" t="s">
        <v>384</v>
      </c>
      <c r="DD657" s="0" t="s">
        <v>300</v>
      </c>
      <c r="DE657" s="0" t="s">
        <v>7038</v>
      </c>
    </row>
    <row customHeight="1" ht="11.25">
      <c r="A658" s="1441" t="s">
        <v>240</v>
      </c>
      <c r="B658" s="0" t="s">
        <v>240</v>
      </c>
      <c r="C658" s="0" t="s">
        <v>240</v>
      </c>
      <c r="D658" s="0" t="s">
        <v>240</v>
      </c>
      <c r="E658" s="0" t="s">
        <v>240</v>
      </c>
      <c r="F658" s="0" t="s">
        <v>240</v>
      </c>
      <c r="G658" s="0" t="s">
        <v>240</v>
      </c>
      <c r="H658" s="0" t="s">
        <v>240</v>
      </c>
      <c r="I658" s="0" t="s">
        <v>7004</v>
      </c>
      <c r="J658" s="0" t="s">
        <v>240</v>
      </c>
      <c r="K658" s="0" t="s">
        <v>240</v>
      </c>
      <c r="L658" s="0" t="s">
        <v>240</v>
      </c>
      <c r="M658" s="0" t="s">
        <v>240</v>
      </c>
      <c r="N658" s="0" t="s">
        <v>240</v>
      </c>
      <c r="O658" s="0" t="s">
        <v>240</v>
      </c>
      <c r="P658" s="0" t="s">
        <v>240</v>
      </c>
      <c r="Q658" s="0" t="s">
        <v>240</v>
      </c>
      <c r="R658" s="0" t="s">
        <v>7039</v>
      </c>
      <c r="S658" s="0" t="s">
        <v>240</v>
      </c>
      <c r="T658" s="0" t="s">
        <v>240</v>
      </c>
      <c r="U658" s="0" t="s">
        <v>102</v>
      </c>
      <c r="V658" s="0" t="s">
        <v>240</v>
      </c>
      <c r="W658" s="0" t="s">
        <v>240</v>
      </c>
      <c r="X658" s="0" t="s">
        <v>546</v>
      </c>
      <c r="Y658" s="0" t="s">
        <v>240</v>
      </c>
      <c r="Z658" s="0" t="s">
        <v>161</v>
      </c>
      <c r="AA658" s="0" t="s">
        <v>152</v>
      </c>
      <c r="AB658" s="0" t="s">
        <v>152</v>
      </c>
      <c r="AC658" s="0" t="s">
        <v>3389</v>
      </c>
      <c r="AD658" s="0" t="s">
        <v>3389</v>
      </c>
      <c r="AE658" s="0" t="s">
        <v>3390</v>
      </c>
      <c r="AF658" s="0" t="s">
        <v>5519</v>
      </c>
      <c r="AG658" s="0" t="s">
        <v>5520</v>
      </c>
      <c r="AH658" s="0" t="s">
        <v>7040</v>
      </c>
      <c r="AI658" s="0" t="s">
        <v>5533</v>
      </c>
      <c r="AJ658" s="0" t="s">
        <v>5781</v>
      </c>
      <c r="AK658" s="0" t="s">
        <v>7041</v>
      </c>
      <c r="AL658" s="0" t="s">
        <v>7027</v>
      </c>
      <c r="AN658" s="0" t="s">
        <v>7042</v>
      </c>
      <c r="AO658" s="0" t="s">
        <v>7043</v>
      </c>
      <c r="AP658" s="0" t="s">
        <v>240</v>
      </c>
      <c r="AQ658" s="0" t="s">
        <v>240</v>
      </c>
      <c r="AR658" s="0" t="s">
        <v>240</v>
      </c>
      <c r="AS658" s="0" t="s">
        <v>240</v>
      </c>
      <c r="AT658" s="0" t="s">
        <v>240</v>
      </c>
      <c r="AU658" s="0" t="s">
        <v>240</v>
      </c>
      <c r="AV658" s="0" t="s">
        <v>240</v>
      </c>
      <c r="AW658" s="0" t="s">
        <v>240</v>
      </c>
      <c r="AX658" s="0" t="s">
        <v>240</v>
      </c>
      <c r="AY658" s="0" t="s">
        <v>240</v>
      </c>
      <c r="AZ658" s="0" t="s">
        <v>240</v>
      </c>
      <c r="BA658" s="0" t="s">
        <v>240</v>
      </c>
      <c r="BB658" s="0" t="s">
        <v>240</v>
      </c>
      <c r="BC658" s="0" t="s">
        <v>240</v>
      </c>
      <c r="BD658" s="0" t="s">
        <v>240</v>
      </c>
      <c r="BE658" s="0" t="s">
        <v>240</v>
      </c>
      <c r="BF658" s="0" t="s">
        <v>240</v>
      </c>
      <c r="BG658" s="0" t="s">
        <v>240</v>
      </c>
      <c r="BH658" s="0" t="s">
        <v>240</v>
      </c>
      <c r="BI658" s="0" t="s">
        <v>240</v>
      </c>
      <c r="BJ658" s="0" t="s">
        <v>240</v>
      </c>
      <c r="BK658" s="0" t="s">
        <v>240</v>
      </c>
      <c r="BL658" s="0" t="s">
        <v>240</v>
      </c>
      <c r="BM658" s="0" t="s">
        <v>240</v>
      </c>
      <c r="BN658" s="0" t="s">
        <v>240</v>
      </c>
      <c r="BO658" s="0" t="s">
        <v>240</v>
      </c>
      <c r="BP658" s="0" t="s">
        <v>240</v>
      </c>
      <c r="BQ658" s="0" t="s">
        <v>240</v>
      </c>
      <c r="BR658" s="0" t="s">
        <v>240</v>
      </c>
      <c r="BS658" s="0" t="s">
        <v>240</v>
      </c>
      <c r="BT658" s="0" t="s">
        <v>240</v>
      </c>
      <c r="CS658" s="0" t="s">
        <v>240</v>
      </c>
      <c r="CT658" s="0" t="s">
        <v>5496</v>
      </c>
      <c r="CU658" s="0" t="s">
        <v>5497</v>
      </c>
      <c r="CV658" s="0" t="s">
        <v>443</v>
      </c>
      <c r="CW658" s="0" t="s">
        <v>5527</v>
      </c>
      <c r="CX658" s="0" t="s">
        <v>229</v>
      </c>
      <c r="CY658" s="0" t="s">
        <v>443</v>
      </c>
      <c r="CZ658" s="0" t="s">
        <v>299</v>
      </c>
      <c r="DA658" s="0" t="s">
        <v>5529</v>
      </c>
      <c r="DB658" s="0" t="s">
        <v>5527</v>
      </c>
      <c r="DC658" s="0" t="s">
        <v>384</v>
      </c>
      <c r="DD658" s="0" t="s">
        <v>300</v>
      </c>
      <c r="DE658" s="0" t="s">
        <v>7044</v>
      </c>
    </row>
    <row customHeight="1" ht="11.25">
      <c r="A659" s="1441" t="s">
        <v>240</v>
      </c>
      <c r="B659" s="0" t="s">
        <v>240</v>
      </c>
      <c r="C659" s="0" t="s">
        <v>240</v>
      </c>
      <c r="D659" s="0" t="s">
        <v>240</v>
      </c>
      <c r="E659" s="0" t="s">
        <v>240</v>
      </c>
      <c r="F659" s="0" t="s">
        <v>240</v>
      </c>
      <c r="G659" s="0" t="s">
        <v>240</v>
      </c>
      <c r="H659" s="0" t="s">
        <v>240</v>
      </c>
      <c r="I659" s="0" t="s">
        <v>7004</v>
      </c>
      <c r="J659" s="0" t="s">
        <v>240</v>
      </c>
      <c r="K659" s="0" t="s">
        <v>240</v>
      </c>
      <c r="L659" s="0" t="s">
        <v>240</v>
      </c>
      <c r="M659" s="0" t="s">
        <v>240</v>
      </c>
      <c r="N659" s="0" t="s">
        <v>240</v>
      </c>
      <c r="O659" s="0" t="s">
        <v>240</v>
      </c>
      <c r="P659" s="0" t="s">
        <v>240</v>
      </c>
      <c r="Q659" s="0" t="s">
        <v>240</v>
      </c>
      <c r="R659" s="0" t="s">
        <v>7045</v>
      </c>
      <c r="S659" s="0" t="s">
        <v>240</v>
      </c>
      <c r="T659" s="0" t="s">
        <v>240</v>
      </c>
      <c r="U659" s="0" t="s">
        <v>102</v>
      </c>
      <c r="V659" s="0" t="s">
        <v>240</v>
      </c>
      <c r="W659" s="0" t="s">
        <v>240</v>
      </c>
      <c r="X659" s="0" t="s">
        <v>5905</v>
      </c>
      <c r="Y659" s="0" t="s">
        <v>240</v>
      </c>
      <c r="Z659" s="0" t="s">
        <v>152</v>
      </c>
      <c r="AA659" s="0" t="s">
        <v>161</v>
      </c>
      <c r="AB659" s="0" t="s">
        <v>152</v>
      </c>
      <c r="AC659" s="0" t="s">
        <v>3389</v>
      </c>
      <c r="AD659" s="0" t="s">
        <v>3389</v>
      </c>
      <c r="AE659" s="0" t="s">
        <v>3390</v>
      </c>
      <c r="AF659" s="0" t="s">
        <v>5519</v>
      </c>
      <c r="AG659" s="0" t="s">
        <v>5520</v>
      </c>
      <c r="AH659" s="0" t="s">
        <v>7046</v>
      </c>
      <c r="AI659" s="0" t="s">
        <v>5533</v>
      </c>
      <c r="AJ659" s="0" t="s">
        <v>240</v>
      </c>
      <c r="AK659" s="0" t="s">
        <v>240</v>
      </c>
      <c r="AL659" s="0" t="s">
        <v>240</v>
      </c>
      <c r="AN659" s="0" t="s">
        <v>240</v>
      </c>
      <c r="AO659" s="0" t="s">
        <v>240</v>
      </c>
      <c r="AP659" s="0" t="s">
        <v>7047</v>
      </c>
      <c r="AQ659" s="0" t="s">
        <v>7048</v>
      </c>
      <c r="AR659" s="0" t="s">
        <v>112</v>
      </c>
      <c r="AS659" s="0" t="s">
        <v>5589</v>
      </c>
      <c r="AT659" s="0" t="s">
        <v>123</v>
      </c>
      <c r="AU659" s="0" t="s">
        <v>240</v>
      </c>
      <c r="AV659" s="0" t="s">
        <v>7045</v>
      </c>
      <c r="AW659" s="0" t="s">
        <v>3389</v>
      </c>
      <c r="AX659" s="0" t="s">
        <v>3389</v>
      </c>
      <c r="AY659" s="0" t="s">
        <v>5591</v>
      </c>
      <c r="AZ659" s="0" t="s">
        <v>5519</v>
      </c>
      <c r="BA659" s="0" t="s">
        <v>5592</v>
      </c>
      <c r="BB659" s="0" t="s">
        <v>7046</v>
      </c>
      <c r="BC659" s="0" t="s">
        <v>5533</v>
      </c>
      <c r="BD659" s="0" t="s">
        <v>5491</v>
      </c>
      <c r="BE659" s="0" t="s">
        <v>240</v>
      </c>
      <c r="BF659" s="0" t="s">
        <v>240</v>
      </c>
      <c r="BG659" s="0" t="s">
        <v>240</v>
      </c>
      <c r="BH659" s="0" t="s">
        <v>240</v>
      </c>
      <c r="BI659" s="0" t="s">
        <v>240</v>
      </c>
      <c r="BJ659" s="0" t="s">
        <v>240</v>
      </c>
      <c r="BK659" s="0" t="s">
        <v>240</v>
      </c>
      <c r="BL659" s="0" t="s">
        <v>240</v>
      </c>
      <c r="BM659" s="0" t="s">
        <v>240</v>
      </c>
      <c r="BN659" s="0" t="s">
        <v>240</v>
      </c>
      <c r="BO659" s="0" t="s">
        <v>240</v>
      </c>
      <c r="BP659" s="0" t="s">
        <v>240</v>
      </c>
      <c r="BQ659" s="0" t="s">
        <v>240</v>
      </c>
      <c r="BR659" s="0" t="s">
        <v>240</v>
      </c>
      <c r="BS659" s="0" t="s">
        <v>240</v>
      </c>
      <c r="BT659" s="0" t="s">
        <v>240</v>
      </c>
      <c r="CS659" s="0" t="s">
        <v>240</v>
      </c>
      <c r="CT659" s="0" t="s">
        <v>5496</v>
      </c>
      <c r="CU659" s="0" t="s">
        <v>5497</v>
      </c>
      <c r="CV659" s="0" t="s">
        <v>443</v>
      </c>
      <c r="CW659" s="0" t="s">
        <v>5527</v>
      </c>
      <c r="CX659" s="0" t="s">
        <v>5528</v>
      </c>
      <c r="CY659" s="0" t="s">
        <v>443</v>
      </c>
      <c r="CZ659" s="0" t="s">
        <v>299</v>
      </c>
      <c r="DA659" s="0" t="s">
        <v>5529</v>
      </c>
      <c r="DB659" s="0" t="s">
        <v>5527</v>
      </c>
      <c r="DC659" s="0" t="s">
        <v>384</v>
      </c>
      <c r="DD659" s="0" t="s">
        <v>300</v>
      </c>
      <c r="DE659" s="0" t="s">
        <v>7049</v>
      </c>
    </row>
    <row customHeight="1" ht="11.25">
      <c r="A660" s="1441" t="s">
        <v>240</v>
      </c>
      <c r="B660" s="0" t="s">
        <v>240</v>
      </c>
      <c r="C660" s="0" t="s">
        <v>240</v>
      </c>
      <c r="D660" s="0" t="s">
        <v>240</v>
      </c>
      <c r="E660" s="0" t="s">
        <v>240</v>
      </c>
      <c r="F660" s="0" t="s">
        <v>240</v>
      </c>
      <c r="G660" s="0" t="s">
        <v>240</v>
      </c>
      <c r="H660" s="0" t="s">
        <v>240</v>
      </c>
      <c r="I660" s="0" t="s">
        <v>7004</v>
      </c>
      <c r="J660" s="0" t="s">
        <v>240</v>
      </c>
      <c r="K660" s="0" t="s">
        <v>240</v>
      </c>
      <c r="L660" s="0" t="s">
        <v>240</v>
      </c>
      <c r="M660" s="0" t="s">
        <v>240</v>
      </c>
      <c r="N660" s="0" t="s">
        <v>240</v>
      </c>
      <c r="O660" s="0" t="s">
        <v>240</v>
      </c>
      <c r="P660" s="0" t="s">
        <v>240</v>
      </c>
      <c r="Q660" s="0" t="s">
        <v>240</v>
      </c>
      <c r="R660" s="0" t="s">
        <v>7050</v>
      </c>
      <c r="S660" s="0" t="s">
        <v>240</v>
      </c>
      <c r="T660" s="0" t="s">
        <v>240</v>
      </c>
      <c r="U660" s="0" t="s">
        <v>102</v>
      </c>
      <c r="V660" s="0" t="s">
        <v>240</v>
      </c>
      <c r="W660" s="0" t="s">
        <v>240</v>
      </c>
      <c r="X660" s="0" t="s">
        <v>546</v>
      </c>
      <c r="Y660" s="0" t="s">
        <v>240</v>
      </c>
      <c r="Z660" s="0" t="s">
        <v>161</v>
      </c>
      <c r="AA660" s="0" t="s">
        <v>152</v>
      </c>
      <c r="AB660" s="0" t="s">
        <v>152</v>
      </c>
      <c r="AC660" s="0" t="s">
        <v>3389</v>
      </c>
      <c r="AD660" s="0" t="s">
        <v>3389</v>
      </c>
      <c r="AE660" s="0" t="s">
        <v>3390</v>
      </c>
      <c r="AF660" s="0" t="s">
        <v>5519</v>
      </c>
      <c r="AG660" s="0" t="s">
        <v>5520</v>
      </c>
      <c r="AH660" s="0" t="s">
        <v>7040</v>
      </c>
      <c r="AI660" s="0" t="s">
        <v>5533</v>
      </c>
      <c r="AJ660" s="0" t="s">
        <v>7051</v>
      </c>
      <c r="AK660" s="0" t="s">
        <v>7052</v>
      </c>
      <c r="AL660" s="0" t="s">
        <v>7027</v>
      </c>
      <c r="AN660" s="0" t="s">
        <v>6470</v>
      </c>
      <c r="AO660" s="0" t="s">
        <v>7053</v>
      </c>
      <c r="AP660" s="0" t="s">
        <v>240</v>
      </c>
      <c r="AQ660" s="0" t="s">
        <v>240</v>
      </c>
      <c r="AR660" s="0" t="s">
        <v>240</v>
      </c>
      <c r="AS660" s="0" t="s">
        <v>240</v>
      </c>
      <c r="AT660" s="0" t="s">
        <v>240</v>
      </c>
      <c r="AU660" s="0" t="s">
        <v>240</v>
      </c>
      <c r="AV660" s="0" t="s">
        <v>240</v>
      </c>
      <c r="AW660" s="0" t="s">
        <v>240</v>
      </c>
      <c r="AX660" s="0" t="s">
        <v>240</v>
      </c>
      <c r="AY660" s="0" t="s">
        <v>240</v>
      </c>
      <c r="AZ660" s="0" t="s">
        <v>240</v>
      </c>
      <c r="BA660" s="0" t="s">
        <v>240</v>
      </c>
      <c r="BB660" s="0" t="s">
        <v>240</v>
      </c>
      <c r="BC660" s="0" t="s">
        <v>240</v>
      </c>
      <c r="BD660" s="0" t="s">
        <v>240</v>
      </c>
      <c r="BE660" s="0" t="s">
        <v>240</v>
      </c>
      <c r="BF660" s="0" t="s">
        <v>240</v>
      </c>
      <c r="BG660" s="0" t="s">
        <v>240</v>
      </c>
      <c r="BH660" s="0" t="s">
        <v>240</v>
      </c>
      <c r="BI660" s="0" t="s">
        <v>240</v>
      </c>
      <c r="BJ660" s="0" t="s">
        <v>240</v>
      </c>
      <c r="BK660" s="0" t="s">
        <v>240</v>
      </c>
      <c r="BL660" s="0" t="s">
        <v>240</v>
      </c>
      <c r="BM660" s="0" t="s">
        <v>240</v>
      </c>
      <c r="BN660" s="0" t="s">
        <v>240</v>
      </c>
      <c r="BO660" s="0" t="s">
        <v>240</v>
      </c>
      <c r="BP660" s="0" t="s">
        <v>240</v>
      </c>
      <c r="BQ660" s="0" t="s">
        <v>240</v>
      </c>
      <c r="BR660" s="0" t="s">
        <v>240</v>
      </c>
      <c r="BS660" s="0" t="s">
        <v>240</v>
      </c>
      <c r="BT660" s="0" t="s">
        <v>240</v>
      </c>
      <c r="CS660" s="0" t="s">
        <v>240</v>
      </c>
      <c r="CT660" s="0" t="s">
        <v>5496</v>
      </c>
      <c r="CU660" s="0" t="s">
        <v>5497</v>
      </c>
      <c r="CV660" s="0" t="s">
        <v>443</v>
      </c>
      <c r="CW660" s="0" t="s">
        <v>5527</v>
      </c>
      <c r="CX660" s="0" t="s">
        <v>229</v>
      </c>
      <c r="CY660" s="0" t="s">
        <v>443</v>
      </c>
      <c r="CZ660" s="0" t="s">
        <v>299</v>
      </c>
      <c r="DA660" s="0" t="s">
        <v>5529</v>
      </c>
      <c r="DB660" s="0" t="s">
        <v>5527</v>
      </c>
      <c r="DC660" s="0" t="s">
        <v>384</v>
      </c>
      <c r="DD660" s="0" t="s">
        <v>300</v>
      </c>
      <c r="DE660" s="0" t="s">
        <v>7044</v>
      </c>
    </row>
    <row customHeight="1" ht="11.25">
      <c r="A661" s="1441" t="s">
        <v>240</v>
      </c>
      <c r="B661" s="0" t="s">
        <v>240</v>
      </c>
      <c r="C661" s="0" t="s">
        <v>240</v>
      </c>
      <c r="D661" s="0" t="s">
        <v>240</v>
      </c>
      <c r="E661" s="0" t="s">
        <v>240</v>
      </c>
      <c r="F661" s="0" t="s">
        <v>240</v>
      </c>
      <c r="G661" s="0" t="s">
        <v>240</v>
      </c>
      <c r="H661" s="0" t="s">
        <v>240</v>
      </c>
      <c r="I661" s="0" t="s">
        <v>7004</v>
      </c>
      <c r="J661" s="0" t="s">
        <v>240</v>
      </c>
      <c r="K661" s="0" t="s">
        <v>240</v>
      </c>
      <c r="L661" s="0" t="s">
        <v>240</v>
      </c>
      <c r="M661" s="0" t="s">
        <v>240</v>
      </c>
      <c r="N661" s="0" t="s">
        <v>240</v>
      </c>
      <c r="O661" s="0" t="s">
        <v>240</v>
      </c>
      <c r="P661" s="0" t="s">
        <v>240</v>
      </c>
      <c r="Q661" s="0" t="s">
        <v>240</v>
      </c>
      <c r="R661" s="0" t="s">
        <v>502</v>
      </c>
      <c r="S661" s="0" t="s">
        <v>240</v>
      </c>
      <c r="T661" s="0" t="s">
        <v>240</v>
      </c>
      <c r="U661" s="0" t="s">
        <v>102</v>
      </c>
      <c r="V661" s="0" t="s">
        <v>240</v>
      </c>
      <c r="W661" s="0" t="s">
        <v>240</v>
      </c>
      <c r="X661" s="0" t="s">
        <v>5585</v>
      </c>
      <c r="Y661" s="0" t="s">
        <v>240</v>
      </c>
      <c r="Z661" s="0" t="s">
        <v>152</v>
      </c>
      <c r="AA661" s="0" t="s">
        <v>152</v>
      </c>
      <c r="AB661" s="0" t="s">
        <v>161</v>
      </c>
      <c r="AC661" s="0" t="s">
        <v>364</v>
      </c>
      <c r="AD661" s="0" t="s">
        <v>364</v>
      </c>
      <c r="AE661" s="0" t="s">
        <v>365</v>
      </c>
      <c r="AF661" s="0" t="s">
        <v>5486</v>
      </c>
      <c r="AG661" s="0" t="s">
        <v>5487</v>
      </c>
      <c r="AH661" s="0" t="s">
        <v>6622</v>
      </c>
      <c r="AI661" s="0" t="s">
        <v>5533</v>
      </c>
      <c r="AJ661" s="0" t="s">
        <v>240</v>
      </c>
      <c r="AK661" s="0" t="s">
        <v>240</v>
      </c>
      <c r="AL661" s="0" t="s">
        <v>240</v>
      </c>
      <c r="AN661" s="0" t="s">
        <v>240</v>
      </c>
      <c r="AO661" s="0" t="s">
        <v>240</v>
      </c>
      <c r="AP661" s="0" t="s">
        <v>240</v>
      </c>
      <c r="AQ661" s="0" t="s">
        <v>240</v>
      </c>
      <c r="AR661" s="0" t="s">
        <v>240</v>
      </c>
      <c r="AS661" s="0" t="s">
        <v>240</v>
      </c>
      <c r="AT661" s="0" t="s">
        <v>240</v>
      </c>
      <c r="AU661" s="0" t="s">
        <v>240</v>
      </c>
      <c r="AV661" s="0" t="s">
        <v>240</v>
      </c>
      <c r="AW661" s="0" t="s">
        <v>240</v>
      </c>
      <c r="AX661" s="0" t="s">
        <v>240</v>
      </c>
      <c r="AY661" s="0" t="s">
        <v>240</v>
      </c>
      <c r="AZ661" s="0" t="s">
        <v>240</v>
      </c>
      <c r="BA661" s="0" t="s">
        <v>240</v>
      </c>
      <c r="BB661" s="0" t="s">
        <v>240</v>
      </c>
      <c r="BC661" s="0" t="s">
        <v>240</v>
      </c>
      <c r="BD661" s="0" t="s">
        <v>240</v>
      </c>
      <c r="BE661" s="0" t="s">
        <v>7054</v>
      </c>
      <c r="BF661" s="0" t="s">
        <v>7055</v>
      </c>
      <c r="BG661" s="0" t="s">
        <v>112</v>
      </c>
      <c r="BH661" s="0" t="s">
        <v>5589</v>
      </c>
      <c r="BI661" s="0" t="s">
        <v>123</v>
      </c>
      <c r="BJ661" s="0" t="s">
        <v>240</v>
      </c>
      <c r="BK661" s="0" t="s">
        <v>7056</v>
      </c>
      <c r="BL661" s="0" t="s">
        <v>364</v>
      </c>
      <c r="BM661" s="0" t="s">
        <v>364</v>
      </c>
      <c r="BN661" s="0" t="s">
        <v>6811</v>
      </c>
      <c r="BO661" s="0" t="s">
        <v>5486</v>
      </c>
      <c r="BP661" s="0" t="s">
        <v>7057</v>
      </c>
      <c r="BQ661" s="0" t="s">
        <v>6622</v>
      </c>
      <c r="BR661" s="0" t="s">
        <v>5533</v>
      </c>
      <c r="BS661" s="0" t="s">
        <v>240</v>
      </c>
      <c r="BT661" s="0" t="s">
        <v>5650</v>
      </c>
      <c r="CS661" s="0" t="s">
        <v>7058</v>
      </c>
      <c r="CT661" s="0" t="s">
        <v>5496</v>
      </c>
      <c r="CU661" s="0" t="s">
        <v>5497</v>
      </c>
      <c r="CV661" s="0" t="s">
        <v>443</v>
      </c>
      <c r="CW661" s="0" t="s">
        <v>5498</v>
      </c>
      <c r="CX661" s="0" t="s">
        <v>229</v>
      </c>
      <c r="CY661" s="0" t="s">
        <v>443</v>
      </c>
      <c r="CZ661" s="0" t="s">
        <v>230</v>
      </c>
      <c r="DA661" s="0" t="s">
        <v>444</v>
      </c>
      <c r="DB661" s="0" t="s">
        <v>5498</v>
      </c>
      <c r="DC661" s="0" t="s">
        <v>384</v>
      </c>
      <c r="DD661" s="0" t="s">
        <v>300</v>
      </c>
      <c r="DE661" s="0" t="s">
        <v>503</v>
      </c>
    </row>
    <row customHeight="1" ht="11.25">
      <c r="A662" s="1441" t="s">
        <v>240</v>
      </c>
      <c r="B662" s="0" t="s">
        <v>240</v>
      </c>
      <c r="C662" s="0" t="s">
        <v>240</v>
      </c>
      <c r="D662" s="0" t="s">
        <v>240</v>
      </c>
      <c r="E662" s="0" t="s">
        <v>240</v>
      </c>
      <c r="F662" s="0" t="s">
        <v>240</v>
      </c>
      <c r="G662" s="0" t="s">
        <v>240</v>
      </c>
      <c r="H662" s="0" t="s">
        <v>240</v>
      </c>
      <c r="I662" s="0" t="s">
        <v>7004</v>
      </c>
      <c r="J662" s="0" t="s">
        <v>240</v>
      </c>
      <c r="K662" s="0" t="s">
        <v>240</v>
      </c>
      <c r="L662" s="0" t="s">
        <v>240</v>
      </c>
      <c r="M662" s="0" t="s">
        <v>240</v>
      </c>
      <c r="N662" s="0" t="s">
        <v>240</v>
      </c>
      <c r="O662" s="0" t="s">
        <v>240</v>
      </c>
      <c r="P662" s="0" t="s">
        <v>240</v>
      </c>
      <c r="Q662" s="0" t="s">
        <v>240</v>
      </c>
      <c r="R662" s="0" t="s">
        <v>502</v>
      </c>
      <c r="S662" s="0" t="s">
        <v>240</v>
      </c>
      <c r="T662" s="0" t="s">
        <v>240</v>
      </c>
      <c r="U662" s="0" t="s">
        <v>102</v>
      </c>
      <c r="V662" s="0" t="s">
        <v>240</v>
      </c>
      <c r="W662" s="0" t="s">
        <v>240</v>
      </c>
      <c r="X662" s="0" t="s">
        <v>5585</v>
      </c>
      <c r="Y662" s="0" t="s">
        <v>240</v>
      </c>
      <c r="Z662" s="0" t="s">
        <v>152</v>
      </c>
      <c r="AA662" s="0" t="s">
        <v>152</v>
      </c>
      <c r="AB662" s="0" t="s">
        <v>161</v>
      </c>
      <c r="AC662" s="0" t="s">
        <v>364</v>
      </c>
      <c r="AD662" s="0" t="s">
        <v>364</v>
      </c>
      <c r="AE662" s="0" t="s">
        <v>365</v>
      </c>
      <c r="AF662" s="0" t="s">
        <v>6806</v>
      </c>
      <c r="AG662" s="0" t="s">
        <v>6807</v>
      </c>
      <c r="AH662" s="0" t="s">
        <v>6808</v>
      </c>
      <c r="AI662" s="0" t="s">
        <v>5533</v>
      </c>
      <c r="AJ662" s="0" t="s">
        <v>240</v>
      </c>
      <c r="AK662" s="0" t="s">
        <v>240</v>
      </c>
      <c r="AL662" s="0" t="s">
        <v>240</v>
      </c>
      <c r="AN662" s="0" t="s">
        <v>240</v>
      </c>
      <c r="AO662" s="0" t="s">
        <v>240</v>
      </c>
      <c r="AP662" s="0" t="s">
        <v>240</v>
      </c>
      <c r="AQ662" s="0" t="s">
        <v>240</v>
      </c>
      <c r="AR662" s="0" t="s">
        <v>240</v>
      </c>
      <c r="AS662" s="0" t="s">
        <v>240</v>
      </c>
      <c r="AT662" s="0" t="s">
        <v>240</v>
      </c>
      <c r="AU662" s="0" t="s">
        <v>240</v>
      </c>
      <c r="AV662" s="0" t="s">
        <v>240</v>
      </c>
      <c r="AW662" s="0" t="s">
        <v>240</v>
      </c>
      <c r="AX662" s="0" t="s">
        <v>240</v>
      </c>
      <c r="AY662" s="0" t="s">
        <v>240</v>
      </c>
      <c r="AZ662" s="0" t="s">
        <v>240</v>
      </c>
      <c r="BA662" s="0" t="s">
        <v>240</v>
      </c>
      <c r="BB662" s="0" t="s">
        <v>240</v>
      </c>
      <c r="BC662" s="0" t="s">
        <v>240</v>
      </c>
      <c r="BD662" s="0" t="s">
        <v>240</v>
      </c>
      <c r="BE662" s="0" t="s">
        <v>6917</v>
      </c>
      <c r="BF662" s="0" t="s">
        <v>7059</v>
      </c>
      <c r="BG662" s="0" t="s">
        <v>112</v>
      </c>
      <c r="BH662" s="0" t="s">
        <v>5589</v>
      </c>
      <c r="BI662" s="0" t="s">
        <v>123</v>
      </c>
      <c r="BJ662" s="0" t="s">
        <v>240</v>
      </c>
      <c r="BK662" s="0" t="s">
        <v>546</v>
      </c>
      <c r="BL662" s="0" t="s">
        <v>364</v>
      </c>
      <c r="BM662" s="0" t="s">
        <v>364</v>
      </c>
      <c r="BN662" s="0" t="s">
        <v>6811</v>
      </c>
      <c r="BO662" s="0" t="s">
        <v>6806</v>
      </c>
      <c r="BP662" s="0" t="s">
        <v>6812</v>
      </c>
      <c r="BQ662" s="0" t="s">
        <v>7060</v>
      </c>
      <c r="BR662" s="0" t="s">
        <v>7061</v>
      </c>
      <c r="BS662" s="0" t="s">
        <v>240</v>
      </c>
      <c r="BT662" s="0" t="s">
        <v>5650</v>
      </c>
      <c r="CS662" s="0" t="s">
        <v>5504</v>
      </c>
      <c r="CT662" s="0" t="s">
        <v>5496</v>
      </c>
      <c r="CU662" s="0" t="s">
        <v>5497</v>
      </c>
      <c r="CV662" s="0" t="s">
        <v>443</v>
      </c>
      <c r="CW662" s="0" t="s">
        <v>6818</v>
      </c>
      <c r="CX662" s="0" t="s">
        <v>229</v>
      </c>
      <c r="CY662" s="0" t="s">
        <v>443</v>
      </c>
      <c r="CZ662" s="0" t="s">
        <v>234</v>
      </c>
      <c r="DA662" s="0" t="s">
        <v>444</v>
      </c>
      <c r="DB662" s="0" t="s">
        <v>6818</v>
      </c>
      <c r="DC662" s="0" t="s">
        <v>384</v>
      </c>
      <c r="DD662" s="0" t="s">
        <v>300</v>
      </c>
      <c r="DE662" s="0" t="s">
        <v>538</v>
      </c>
    </row>
    <row customHeight="1" ht="11.25">
      <c r="A663" s="1441" t="s">
        <v>240</v>
      </c>
      <c r="B663" s="0" t="s">
        <v>240</v>
      </c>
      <c r="C663" s="0" t="s">
        <v>240</v>
      </c>
      <c r="D663" s="0" t="s">
        <v>240</v>
      </c>
      <c r="E663" s="0" t="s">
        <v>240</v>
      </c>
      <c r="F663" s="0" t="s">
        <v>240</v>
      </c>
      <c r="G663" s="0" t="s">
        <v>240</v>
      </c>
      <c r="H663" s="0" t="s">
        <v>240</v>
      </c>
      <c r="I663" s="0" t="s">
        <v>7004</v>
      </c>
      <c r="J663" s="0" t="s">
        <v>240</v>
      </c>
      <c r="K663" s="0" t="s">
        <v>240</v>
      </c>
      <c r="L663" s="0" t="s">
        <v>240</v>
      </c>
      <c r="M663" s="0" t="s">
        <v>240</v>
      </c>
      <c r="N663" s="0" t="s">
        <v>240</v>
      </c>
      <c r="O663" s="0" t="s">
        <v>240</v>
      </c>
      <c r="P663" s="0" t="s">
        <v>240</v>
      </c>
      <c r="Q663" s="0" t="s">
        <v>240</v>
      </c>
      <c r="R663" s="0" t="s">
        <v>7062</v>
      </c>
      <c r="S663" s="0" t="s">
        <v>240</v>
      </c>
      <c r="T663" s="0" t="s">
        <v>240</v>
      </c>
      <c r="U663" s="0" t="s">
        <v>102</v>
      </c>
      <c r="V663" s="0" t="s">
        <v>240</v>
      </c>
      <c r="W663" s="0" t="s">
        <v>240</v>
      </c>
      <c r="X663" s="0" t="s">
        <v>546</v>
      </c>
      <c r="Y663" s="0" t="s">
        <v>240</v>
      </c>
      <c r="Z663" s="0" t="s">
        <v>161</v>
      </c>
      <c r="AA663" s="0" t="s">
        <v>152</v>
      </c>
      <c r="AB663" s="0" t="s">
        <v>152</v>
      </c>
      <c r="AC663" s="0" t="s">
        <v>3389</v>
      </c>
      <c r="AD663" s="0" t="s">
        <v>3389</v>
      </c>
      <c r="AE663" s="0" t="s">
        <v>3390</v>
      </c>
      <c r="AF663" s="0" t="s">
        <v>5519</v>
      </c>
      <c r="AG663" s="0" t="s">
        <v>5520</v>
      </c>
      <c r="AH663" s="0" t="s">
        <v>7063</v>
      </c>
      <c r="AI663" s="0" t="s">
        <v>7064</v>
      </c>
      <c r="AJ663" s="0" t="s">
        <v>7065</v>
      </c>
      <c r="AK663" s="0" t="s">
        <v>6311</v>
      </c>
      <c r="AL663" s="0" t="s">
        <v>7009</v>
      </c>
      <c r="AN663" s="0" t="s">
        <v>7066</v>
      </c>
      <c r="AO663" s="0" t="s">
        <v>7067</v>
      </c>
      <c r="AP663" s="0" t="s">
        <v>240</v>
      </c>
      <c r="AQ663" s="0" t="s">
        <v>240</v>
      </c>
      <c r="AR663" s="0" t="s">
        <v>240</v>
      </c>
      <c r="AS663" s="0" t="s">
        <v>240</v>
      </c>
      <c r="AT663" s="0" t="s">
        <v>240</v>
      </c>
      <c r="AU663" s="0" t="s">
        <v>240</v>
      </c>
      <c r="AV663" s="0" t="s">
        <v>240</v>
      </c>
      <c r="AW663" s="0" t="s">
        <v>240</v>
      </c>
      <c r="AX663" s="0" t="s">
        <v>240</v>
      </c>
      <c r="AY663" s="0" t="s">
        <v>240</v>
      </c>
      <c r="AZ663" s="0" t="s">
        <v>240</v>
      </c>
      <c r="BA663" s="0" t="s">
        <v>240</v>
      </c>
      <c r="BB663" s="0" t="s">
        <v>240</v>
      </c>
      <c r="BC663" s="0" t="s">
        <v>240</v>
      </c>
      <c r="BD663" s="0" t="s">
        <v>240</v>
      </c>
      <c r="BE663" s="0" t="s">
        <v>240</v>
      </c>
      <c r="BF663" s="0" t="s">
        <v>240</v>
      </c>
      <c r="BG663" s="0" t="s">
        <v>240</v>
      </c>
      <c r="BH663" s="0" t="s">
        <v>240</v>
      </c>
      <c r="BI663" s="0" t="s">
        <v>240</v>
      </c>
      <c r="BJ663" s="0" t="s">
        <v>240</v>
      </c>
      <c r="BK663" s="0" t="s">
        <v>240</v>
      </c>
      <c r="BL663" s="0" t="s">
        <v>240</v>
      </c>
      <c r="BM663" s="0" t="s">
        <v>240</v>
      </c>
      <c r="BN663" s="0" t="s">
        <v>240</v>
      </c>
      <c r="BO663" s="0" t="s">
        <v>240</v>
      </c>
      <c r="BP663" s="0" t="s">
        <v>240</v>
      </c>
      <c r="BQ663" s="0" t="s">
        <v>240</v>
      </c>
      <c r="BR663" s="0" t="s">
        <v>240</v>
      </c>
      <c r="BS663" s="0" t="s">
        <v>240</v>
      </c>
      <c r="BT663" s="0" t="s">
        <v>240</v>
      </c>
      <c r="CS663" s="0" t="s">
        <v>240</v>
      </c>
      <c r="CT663" s="0" t="s">
        <v>5496</v>
      </c>
      <c r="CU663" s="0" t="s">
        <v>5497</v>
      </c>
      <c r="CV663" s="0" t="s">
        <v>5947</v>
      </c>
      <c r="CW663" s="0" t="s">
        <v>4249</v>
      </c>
      <c r="CX663" s="0" t="s">
        <v>5528</v>
      </c>
      <c r="CY663" s="0" t="s">
        <v>7068</v>
      </c>
      <c r="CZ663" s="0" t="s">
        <v>5533</v>
      </c>
      <c r="DA663" s="0" t="s">
        <v>7069</v>
      </c>
      <c r="DB663" s="0" t="s">
        <v>7013</v>
      </c>
      <c r="DC663" s="0" t="s">
        <v>384</v>
      </c>
      <c r="DD663" s="0" t="s">
        <v>300</v>
      </c>
      <c r="DE663" s="0" t="s">
        <v>7070</v>
      </c>
    </row>
    <row customHeight="1" ht="11.25">
      <c r="A664" s="1441" t="s">
        <v>240</v>
      </c>
      <c r="B664" s="0" t="s">
        <v>240</v>
      </c>
      <c r="C664" s="0" t="s">
        <v>240</v>
      </c>
      <c r="D664" s="0" t="s">
        <v>240</v>
      </c>
      <c r="E664" s="0" t="s">
        <v>240</v>
      </c>
      <c r="F664" s="0" t="s">
        <v>240</v>
      </c>
      <c r="G664" s="0" t="s">
        <v>240</v>
      </c>
      <c r="H664" s="0" t="s">
        <v>240</v>
      </c>
      <c r="I664" s="0" t="s">
        <v>7004</v>
      </c>
      <c r="J664" s="0" t="s">
        <v>240</v>
      </c>
      <c r="K664" s="0" t="s">
        <v>240</v>
      </c>
      <c r="L664" s="0" t="s">
        <v>240</v>
      </c>
      <c r="M664" s="0" t="s">
        <v>240</v>
      </c>
      <c r="N664" s="0" t="s">
        <v>240</v>
      </c>
      <c r="O664" s="0" t="s">
        <v>240</v>
      </c>
      <c r="P664" s="0" t="s">
        <v>240</v>
      </c>
      <c r="Q664" s="0" t="s">
        <v>240</v>
      </c>
      <c r="R664" s="0" t="s">
        <v>7071</v>
      </c>
      <c r="S664" s="0" t="s">
        <v>240</v>
      </c>
      <c r="T664" s="0" t="s">
        <v>240</v>
      </c>
      <c r="U664" s="0" t="s">
        <v>102</v>
      </c>
      <c r="V664" s="0" t="s">
        <v>240</v>
      </c>
      <c r="W664" s="0" t="s">
        <v>240</v>
      </c>
      <c r="X664" s="0" t="s">
        <v>546</v>
      </c>
      <c r="Y664" s="0" t="s">
        <v>240</v>
      </c>
      <c r="Z664" s="0" t="s">
        <v>161</v>
      </c>
      <c r="AA664" s="0" t="s">
        <v>152</v>
      </c>
      <c r="AB664" s="0" t="s">
        <v>152</v>
      </c>
      <c r="AC664" s="0" t="s">
        <v>3389</v>
      </c>
      <c r="AD664" s="0" t="s">
        <v>3389</v>
      </c>
      <c r="AE664" s="0" t="s">
        <v>3390</v>
      </c>
      <c r="AF664" s="0" t="s">
        <v>5519</v>
      </c>
      <c r="AG664" s="0" t="s">
        <v>5520</v>
      </c>
      <c r="AH664" s="0" t="s">
        <v>7072</v>
      </c>
      <c r="AI664" s="0" t="s">
        <v>5533</v>
      </c>
      <c r="AJ664" s="0" t="s">
        <v>5781</v>
      </c>
      <c r="AK664" s="0" t="s">
        <v>7073</v>
      </c>
      <c r="AL664" s="0" t="s">
        <v>7009</v>
      </c>
      <c r="AN664" s="0" t="s">
        <v>7074</v>
      </c>
      <c r="AO664" s="0" t="s">
        <v>7075</v>
      </c>
      <c r="AP664" s="0" t="s">
        <v>240</v>
      </c>
      <c r="AQ664" s="0" t="s">
        <v>240</v>
      </c>
      <c r="AR664" s="0" t="s">
        <v>240</v>
      </c>
      <c r="AS664" s="0" t="s">
        <v>240</v>
      </c>
      <c r="AT664" s="0" t="s">
        <v>240</v>
      </c>
      <c r="AU664" s="0" t="s">
        <v>240</v>
      </c>
      <c r="AV664" s="0" t="s">
        <v>240</v>
      </c>
      <c r="AW664" s="0" t="s">
        <v>240</v>
      </c>
      <c r="AX664" s="0" t="s">
        <v>240</v>
      </c>
      <c r="AY664" s="0" t="s">
        <v>240</v>
      </c>
      <c r="AZ664" s="0" t="s">
        <v>240</v>
      </c>
      <c r="BA664" s="0" t="s">
        <v>240</v>
      </c>
      <c r="BB664" s="0" t="s">
        <v>240</v>
      </c>
      <c r="BC664" s="0" t="s">
        <v>240</v>
      </c>
      <c r="BD664" s="0" t="s">
        <v>240</v>
      </c>
      <c r="BE664" s="0" t="s">
        <v>240</v>
      </c>
      <c r="BF664" s="0" t="s">
        <v>240</v>
      </c>
      <c r="BG664" s="0" t="s">
        <v>240</v>
      </c>
      <c r="BH664" s="0" t="s">
        <v>240</v>
      </c>
      <c r="BI664" s="0" t="s">
        <v>240</v>
      </c>
      <c r="BJ664" s="0" t="s">
        <v>240</v>
      </c>
      <c r="BK664" s="0" t="s">
        <v>240</v>
      </c>
      <c r="BL664" s="0" t="s">
        <v>240</v>
      </c>
      <c r="BM664" s="0" t="s">
        <v>240</v>
      </c>
      <c r="BN664" s="0" t="s">
        <v>240</v>
      </c>
      <c r="BO664" s="0" t="s">
        <v>240</v>
      </c>
      <c r="BP664" s="0" t="s">
        <v>240</v>
      </c>
      <c r="BQ664" s="0" t="s">
        <v>240</v>
      </c>
      <c r="BR664" s="0" t="s">
        <v>240</v>
      </c>
      <c r="BS664" s="0" t="s">
        <v>240</v>
      </c>
      <c r="BT664" s="0" t="s">
        <v>240</v>
      </c>
      <c r="CS664" s="0" t="s">
        <v>240</v>
      </c>
      <c r="CT664" s="0" t="s">
        <v>5496</v>
      </c>
      <c r="CU664" s="0" t="s">
        <v>5497</v>
      </c>
      <c r="CV664" s="0" t="s">
        <v>443</v>
      </c>
      <c r="CW664" s="0" t="s">
        <v>5527</v>
      </c>
      <c r="CX664" s="0" t="s">
        <v>229</v>
      </c>
      <c r="CY664" s="0" t="s">
        <v>443</v>
      </c>
      <c r="CZ664" s="0" t="s">
        <v>299</v>
      </c>
      <c r="DA664" s="0" t="s">
        <v>5529</v>
      </c>
      <c r="DB664" s="0" t="s">
        <v>5527</v>
      </c>
      <c r="DC664" s="0" t="s">
        <v>384</v>
      </c>
      <c r="DD664" s="0" t="s">
        <v>300</v>
      </c>
      <c r="DE664" s="0" t="s">
        <v>7076</v>
      </c>
    </row>
    <row customHeight="1" ht="11.25">
      <c r="A665" s="1441" t="s">
        <v>240</v>
      </c>
      <c r="B665" s="0" t="s">
        <v>240</v>
      </c>
      <c r="C665" s="0" t="s">
        <v>240</v>
      </c>
      <c r="D665" s="0" t="s">
        <v>240</v>
      </c>
      <c r="E665" s="0" t="s">
        <v>240</v>
      </c>
      <c r="F665" s="0" t="s">
        <v>240</v>
      </c>
      <c r="G665" s="0" t="s">
        <v>240</v>
      </c>
      <c r="H665" s="0" t="s">
        <v>240</v>
      </c>
      <c r="I665" s="0" t="s">
        <v>7004</v>
      </c>
      <c r="J665" s="0" t="s">
        <v>240</v>
      </c>
      <c r="K665" s="0" t="s">
        <v>240</v>
      </c>
      <c r="L665" s="0" t="s">
        <v>240</v>
      </c>
      <c r="M665" s="0" t="s">
        <v>240</v>
      </c>
      <c r="N665" s="0" t="s">
        <v>240</v>
      </c>
      <c r="O665" s="0" t="s">
        <v>240</v>
      </c>
      <c r="P665" s="0" t="s">
        <v>240</v>
      </c>
      <c r="Q665" s="0" t="s">
        <v>240</v>
      </c>
      <c r="R665" s="0" t="s">
        <v>7077</v>
      </c>
      <c r="S665" s="0" t="s">
        <v>240</v>
      </c>
      <c r="T665" s="0" t="s">
        <v>240</v>
      </c>
      <c r="U665" s="0" t="s">
        <v>102</v>
      </c>
      <c r="V665" s="0" t="s">
        <v>240</v>
      </c>
      <c r="W665" s="0" t="s">
        <v>240</v>
      </c>
      <c r="X665" s="0" t="s">
        <v>546</v>
      </c>
      <c r="Y665" s="0" t="s">
        <v>240</v>
      </c>
      <c r="Z665" s="0" t="s">
        <v>161</v>
      </c>
      <c r="AA665" s="0" t="s">
        <v>152</v>
      </c>
      <c r="AB665" s="0" t="s">
        <v>152</v>
      </c>
      <c r="AC665" s="0" t="s">
        <v>3389</v>
      </c>
      <c r="AD665" s="0" t="s">
        <v>3389</v>
      </c>
      <c r="AE665" s="0" t="s">
        <v>3390</v>
      </c>
      <c r="AF665" s="0" t="s">
        <v>5519</v>
      </c>
      <c r="AG665" s="0" t="s">
        <v>5520</v>
      </c>
      <c r="AH665" s="0" t="s">
        <v>7078</v>
      </c>
      <c r="AI665" s="0" t="s">
        <v>5533</v>
      </c>
      <c r="AJ665" s="0" t="s">
        <v>5781</v>
      </c>
      <c r="AK665" s="0" t="s">
        <v>7079</v>
      </c>
      <c r="AL665" s="0" t="s">
        <v>7009</v>
      </c>
      <c r="AN665" s="0" t="s">
        <v>7074</v>
      </c>
      <c r="AO665" s="0" t="s">
        <v>7075</v>
      </c>
      <c r="AP665" s="0" t="s">
        <v>240</v>
      </c>
      <c r="AQ665" s="0" t="s">
        <v>240</v>
      </c>
      <c r="AR665" s="0" t="s">
        <v>240</v>
      </c>
      <c r="AS665" s="0" t="s">
        <v>240</v>
      </c>
      <c r="AT665" s="0" t="s">
        <v>240</v>
      </c>
      <c r="AU665" s="0" t="s">
        <v>240</v>
      </c>
      <c r="AV665" s="0" t="s">
        <v>240</v>
      </c>
      <c r="AW665" s="0" t="s">
        <v>240</v>
      </c>
      <c r="AX665" s="0" t="s">
        <v>240</v>
      </c>
      <c r="AY665" s="0" t="s">
        <v>240</v>
      </c>
      <c r="AZ665" s="0" t="s">
        <v>240</v>
      </c>
      <c r="BA665" s="0" t="s">
        <v>240</v>
      </c>
      <c r="BB665" s="0" t="s">
        <v>240</v>
      </c>
      <c r="BC665" s="0" t="s">
        <v>240</v>
      </c>
      <c r="BD665" s="0" t="s">
        <v>240</v>
      </c>
      <c r="BE665" s="0" t="s">
        <v>240</v>
      </c>
      <c r="BF665" s="0" t="s">
        <v>240</v>
      </c>
      <c r="BG665" s="0" t="s">
        <v>240</v>
      </c>
      <c r="BH665" s="0" t="s">
        <v>240</v>
      </c>
      <c r="BI665" s="0" t="s">
        <v>240</v>
      </c>
      <c r="BJ665" s="0" t="s">
        <v>240</v>
      </c>
      <c r="BK665" s="0" t="s">
        <v>240</v>
      </c>
      <c r="BL665" s="0" t="s">
        <v>240</v>
      </c>
      <c r="BM665" s="0" t="s">
        <v>240</v>
      </c>
      <c r="BN665" s="0" t="s">
        <v>240</v>
      </c>
      <c r="BO665" s="0" t="s">
        <v>240</v>
      </c>
      <c r="BP665" s="0" t="s">
        <v>240</v>
      </c>
      <c r="BQ665" s="0" t="s">
        <v>240</v>
      </c>
      <c r="BR665" s="0" t="s">
        <v>240</v>
      </c>
      <c r="BS665" s="0" t="s">
        <v>240</v>
      </c>
      <c r="BT665" s="0" t="s">
        <v>240</v>
      </c>
      <c r="CS665" s="0" t="s">
        <v>240</v>
      </c>
      <c r="CT665" s="0" t="s">
        <v>5496</v>
      </c>
      <c r="CU665" s="0" t="s">
        <v>5497</v>
      </c>
      <c r="CV665" s="0" t="s">
        <v>443</v>
      </c>
      <c r="CW665" s="0" t="s">
        <v>5527</v>
      </c>
      <c r="CX665" s="0" t="s">
        <v>229</v>
      </c>
      <c r="CY665" s="0" t="s">
        <v>443</v>
      </c>
      <c r="CZ665" s="0" t="s">
        <v>299</v>
      </c>
      <c r="DA665" s="0" t="s">
        <v>5529</v>
      </c>
      <c r="DB665" s="0" t="s">
        <v>5527</v>
      </c>
      <c r="DC665" s="0" t="s">
        <v>384</v>
      </c>
      <c r="DD665" s="0" t="s">
        <v>300</v>
      </c>
      <c r="DE665" s="0" t="s">
        <v>7080</v>
      </c>
    </row>
    <row customHeight="1" ht="11.25">
      <c r="A666" s="1441" t="s">
        <v>240</v>
      </c>
      <c r="B666" s="0" t="s">
        <v>240</v>
      </c>
      <c r="C666" s="0" t="s">
        <v>240</v>
      </c>
      <c r="D666" s="0" t="s">
        <v>240</v>
      </c>
      <c r="E666" s="0" t="s">
        <v>240</v>
      </c>
      <c r="F666" s="0" t="s">
        <v>240</v>
      </c>
      <c r="G666" s="0" t="s">
        <v>240</v>
      </c>
      <c r="H666" s="0" t="s">
        <v>240</v>
      </c>
      <c r="I666" s="0" t="s">
        <v>7004</v>
      </c>
      <c r="J666" s="0" t="s">
        <v>240</v>
      </c>
      <c r="K666" s="0" t="s">
        <v>240</v>
      </c>
      <c r="L666" s="0" t="s">
        <v>240</v>
      </c>
      <c r="M666" s="0" t="s">
        <v>240</v>
      </c>
      <c r="N666" s="0" t="s">
        <v>240</v>
      </c>
      <c r="O666" s="0" t="s">
        <v>240</v>
      </c>
      <c r="P666" s="0" t="s">
        <v>240</v>
      </c>
      <c r="Q666" s="0" t="s">
        <v>240</v>
      </c>
      <c r="R666" s="0" t="s">
        <v>7081</v>
      </c>
      <c r="S666" s="0" t="s">
        <v>240</v>
      </c>
      <c r="T666" s="0" t="s">
        <v>240</v>
      </c>
      <c r="U666" s="0" t="s">
        <v>102</v>
      </c>
      <c r="V666" s="0" t="s">
        <v>240</v>
      </c>
      <c r="W666" s="0" t="s">
        <v>240</v>
      </c>
      <c r="X666" s="0" t="s">
        <v>546</v>
      </c>
      <c r="Y666" s="0" t="s">
        <v>240</v>
      </c>
      <c r="Z666" s="0" t="s">
        <v>161</v>
      </c>
      <c r="AA666" s="0" t="s">
        <v>152</v>
      </c>
      <c r="AB666" s="0" t="s">
        <v>152</v>
      </c>
      <c r="AC666" s="0" t="s">
        <v>3389</v>
      </c>
      <c r="AD666" s="0" t="s">
        <v>3389</v>
      </c>
      <c r="AE666" s="0" t="s">
        <v>3390</v>
      </c>
      <c r="AF666" s="0" t="s">
        <v>5519</v>
      </c>
      <c r="AG666" s="0" t="s">
        <v>5520</v>
      </c>
      <c r="AH666" s="0" t="s">
        <v>6123</v>
      </c>
      <c r="AI666" s="0" t="s">
        <v>7082</v>
      </c>
      <c r="AJ666" s="0" t="s">
        <v>7083</v>
      </c>
      <c r="AK666" s="0" t="s">
        <v>7084</v>
      </c>
      <c r="AL666" s="0" t="s">
        <v>7009</v>
      </c>
      <c r="AN666" s="0" t="s">
        <v>7085</v>
      </c>
      <c r="AO666" s="0" t="s">
        <v>7086</v>
      </c>
      <c r="AP666" s="0" t="s">
        <v>240</v>
      </c>
      <c r="AQ666" s="0" t="s">
        <v>240</v>
      </c>
      <c r="AR666" s="0" t="s">
        <v>240</v>
      </c>
      <c r="AS666" s="0" t="s">
        <v>240</v>
      </c>
      <c r="AT666" s="0" t="s">
        <v>240</v>
      </c>
      <c r="AU666" s="0" t="s">
        <v>240</v>
      </c>
      <c r="AV666" s="0" t="s">
        <v>240</v>
      </c>
      <c r="AW666" s="0" t="s">
        <v>240</v>
      </c>
      <c r="AX666" s="0" t="s">
        <v>240</v>
      </c>
      <c r="AY666" s="0" t="s">
        <v>240</v>
      </c>
      <c r="AZ666" s="0" t="s">
        <v>240</v>
      </c>
      <c r="BA666" s="0" t="s">
        <v>240</v>
      </c>
      <c r="BB666" s="0" t="s">
        <v>240</v>
      </c>
      <c r="BC666" s="0" t="s">
        <v>240</v>
      </c>
      <c r="BD666" s="0" t="s">
        <v>240</v>
      </c>
      <c r="BE666" s="0" t="s">
        <v>240</v>
      </c>
      <c r="BF666" s="0" t="s">
        <v>240</v>
      </c>
      <c r="BG666" s="0" t="s">
        <v>240</v>
      </c>
      <c r="BH666" s="0" t="s">
        <v>240</v>
      </c>
      <c r="BI666" s="0" t="s">
        <v>240</v>
      </c>
      <c r="BJ666" s="0" t="s">
        <v>240</v>
      </c>
      <c r="BK666" s="0" t="s">
        <v>240</v>
      </c>
      <c r="BL666" s="0" t="s">
        <v>240</v>
      </c>
      <c r="BM666" s="0" t="s">
        <v>240</v>
      </c>
      <c r="BN666" s="0" t="s">
        <v>240</v>
      </c>
      <c r="BO666" s="0" t="s">
        <v>240</v>
      </c>
      <c r="BP666" s="0" t="s">
        <v>240</v>
      </c>
      <c r="BQ666" s="0" t="s">
        <v>240</v>
      </c>
      <c r="BR666" s="0" t="s">
        <v>240</v>
      </c>
      <c r="BS666" s="0" t="s">
        <v>240</v>
      </c>
      <c r="BT666" s="0" t="s">
        <v>240</v>
      </c>
      <c r="CS666" s="0" t="s">
        <v>240</v>
      </c>
      <c r="CT666" s="0" t="s">
        <v>5496</v>
      </c>
      <c r="CU666" s="0" t="s">
        <v>5497</v>
      </c>
      <c r="CV666" s="0" t="s">
        <v>443</v>
      </c>
      <c r="CW666" s="0" t="s">
        <v>5527</v>
      </c>
      <c r="CX666" s="0" t="s">
        <v>229</v>
      </c>
      <c r="CY666" s="0" t="s">
        <v>443</v>
      </c>
      <c r="CZ666" s="0" t="s">
        <v>299</v>
      </c>
      <c r="DA666" s="0" t="s">
        <v>5529</v>
      </c>
      <c r="DB666" s="0" t="s">
        <v>5527</v>
      </c>
      <c r="DC666" s="0" t="s">
        <v>384</v>
      </c>
      <c r="DD666" s="0" t="s">
        <v>300</v>
      </c>
      <c r="DE666" s="0" t="s">
        <v>7087</v>
      </c>
    </row>
    <row customHeight="1" ht="11.25">
      <c r="A667" s="1441" t="s">
        <v>240</v>
      </c>
      <c r="B667" s="0" t="s">
        <v>240</v>
      </c>
      <c r="C667" s="0" t="s">
        <v>240</v>
      </c>
      <c r="D667" s="0" t="s">
        <v>240</v>
      </c>
      <c r="E667" s="0" t="s">
        <v>240</v>
      </c>
      <c r="F667" s="0" t="s">
        <v>240</v>
      </c>
      <c r="G667" s="0" t="s">
        <v>240</v>
      </c>
      <c r="H667" s="0" t="s">
        <v>240</v>
      </c>
      <c r="I667" s="0" t="s">
        <v>7004</v>
      </c>
      <c r="J667" s="0" t="s">
        <v>240</v>
      </c>
      <c r="K667" s="0" t="s">
        <v>240</v>
      </c>
      <c r="L667" s="0" t="s">
        <v>240</v>
      </c>
      <c r="M667" s="0" t="s">
        <v>240</v>
      </c>
      <c r="N667" s="0" t="s">
        <v>240</v>
      </c>
      <c r="O667" s="0" t="s">
        <v>240</v>
      </c>
      <c r="P667" s="0" t="s">
        <v>240</v>
      </c>
      <c r="Q667" s="0" t="s">
        <v>240</v>
      </c>
      <c r="R667" s="0" t="s">
        <v>7088</v>
      </c>
      <c r="S667" s="0" t="s">
        <v>240</v>
      </c>
      <c r="T667" s="0" t="s">
        <v>240</v>
      </c>
      <c r="U667" s="0" t="s">
        <v>102</v>
      </c>
      <c r="V667" s="0" t="s">
        <v>240</v>
      </c>
      <c r="W667" s="0" t="s">
        <v>240</v>
      </c>
      <c r="X667" s="0" t="s">
        <v>546</v>
      </c>
      <c r="Y667" s="0" t="s">
        <v>240</v>
      </c>
      <c r="Z667" s="0" t="s">
        <v>161</v>
      </c>
      <c r="AA667" s="0" t="s">
        <v>152</v>
      </c>
      <c r="AB667" s="0" t="s">
        <v>152</v>
      </c>
      <c r="AC667" s="0" t="s">
        <v>3389</v>
      </c>
      <c r="AD667" s="0" t="s">
        <v>3389</v>
      </c>
      <c r="AE667" s="0" t="s">
        <v>3390</v>
      </c>
      <c r="AF667" s="0" t="s">
        <v>5519</v>
      </c>
      <c r="AG667" s="0" t="s">
        <v>5520</v>
      </c>
      <c r="AH667" s="0" t="s">
        <v>7089</v>
      </c>
      <c r="AI667" s="0" t="s">
        <v>5533</v>
      </c>
      <c r="AJ667" s="0" t="s">
        <v>5903</v>
      </c>
      <c r="AK667" s="0" t="s">
        <v>7090</v>
      </c>
      <c r="AL667" s="0" t="s">
        <v>7009</v>
      </c>
      <c r="AN667" s="0" t="s">
        <v>7091</v>
      </c>
      <c r="AO667" s="0" t="s">
        <v>6125</v>
      </c>
      <c r="AP667" s="0" t="s">
        <v>240</v>
      </c>
      <c r="AQ667" s="0" t="s">
        <v>240</v>
      </c>
      <c r="AR667" s="0" t="s">
        <v>240</v>
      </c>
      <c r="AS667" s="0" t="s">
        <v>240</v>
      </c>
      <c r="AT667" s="0" t="s">
        <v>240</v>
      </c>
      <c r="AU667" s="0" t="s">
        <v>240</v>
      </c>
      <c r="AV667" s="0" t="s">
        <v>240</v>
      </c>
      <c r="AW667" s="0" t="s">
        <v>240</v>
      </c>
      <c r="AX667" s="0" t="s">
        <v>240</v>
      </c>
      <c r="AY667" s="0" t="s">
        <v>240</v>
      </c>
      <c r="AZ667" s="0" t="s">
        <v>240</v>
      </c>
      <c r="BA667" s="0" t="s">
        <v>240</v>
      </c>
      <c r="BB667" s="0" t="s">
        <v>240</v>
      </c>
      <c r="BC667" s="0" t="s">
        <v>240</v>
      </c>
      <c r="BD667" s="0" t="s">
        <v>240</v>
      </c>
      <c r="BE667" s="0" t="s">
        <v>240</v>
      </c>
      <c r="BF667" s="0" t="s">
        <v>240</v>
      </c>
      <c r="BG667" s="0" t="s">
        <v>240</v>
      </c>
      <c r="BH667" s="0" t="s">
        <v>240</v>
      </c>
      <c r="BI667" s="0" t="s">
        <v>240</v>
      </c>
      <c r="BJ667" s="0" t="s">
        <v>240</v>
      </c>
      <c r="BK667" s="0" t="s">
        <v>240</v>
      </c>
      <c r="BL667" s="0" t="s">
        <v>240</v>
      </c>
      <c r="BM667" s="0" t="s">
        <v>240</v>
      </c>
      <c r="BN667" s="0" t="s">
        <v>240</v>
      </c>
      <c r="BO667" s="0" t="s">
        <v>240</v>
      </c>
      <c r="BP667" s="0" t="s">
        <v>240</v>
      </c>
      <c r="BQ667" s="0" t="s">
        <v>240</v>
      </c>
      <c r="BR667" s="0" t="s">
        <v>240</v>
      </c>
      <c r="BS667" s="0" t="s">
        <v>240</v>
      </c>
      <c r="BT667" s="0" t="s">
        <v>240</v>
      </c>
      <c r="CS667" s="0" t="s">
        <v>240</v>
      </c>
      <c r="CT667" s="0" t="s">
        <v>5496</v>
      </c>
      <c r="CU667" s="0" t="s">
        <v>5497</v>
      </c>
      <c r="CV667" s="0" t="s">
        <v>443</v>
      </c>
      <c r="CW667" s="0" t="s">
        <v>5527</v>
      </c>
      <c r="CX667" s="0" t="s">
        <v>229</v>
      </c>
      <c r="CY667" s="0" t="s">
        <v>443</v>
      </c>
      <c r="CZ667" s="0" t="s">
        <v>299</v>
      </c>
      <c r="DA667" s="0" t="s">
        <v>5529</v>
      </c>
      <c r="DB667" s="0" t="s">
        <v>5527</v>
      </c>
      <c r="DC667" s="0" t="s">
        <v>384</v>
      </c>
      <c r="DD667" s="0" t="s">
        <v>300</v>
      </c>
      <c r="DE667" s="0" t="s">
        <v>7092</v>
      </c>
    </row>
    <row customHeight="1" ht="11.25">
      <c r="A668" s="1441" t="s">
        <v>240</v>
      </c>
      <c r="B668" s="0" t="s">
        <v>240</v>
      </c>
      <c r="C668" s="0" t="s">
        <v>240</v>
      </c>
      <c r="D668" s="0" t="s">
        <v>240</v>
      </c>
      <c r="E668" s="0" t="s">
        <v>240</v>
      </c>
      <c r="F668" s="0" t="s">
        <v>240</v>
      </c>
      <c r="G668" s="0" t="s">
        <v>240</v>
      </c>
      <c r="H668" s="0" t="s">
        <v>240</v>
      </c>
      <c r="I668" s="0" t="s">
        <v>7004</v>
      </c>
      <c r="J668" s="0" t="s">
        <v>240</v>
      </c>
      <c r="K668" s="0" t="s">
        <v>240</v>
      </c>
      <c r="L668" s="0" t="s">
        <v>240</v>
      </c>
      <c r="M668" s="0" t="s">
        <v>240</v>
      </c>
      <c r="N668" s="0" t="s">
        <v>240</v>
      </c>
      <c r="O668" s="0" t="s">
        <v>240</v>
      </c>
      <c r="P668" s="0" t="s">
        <v>240</v>
      </c>
      <c r="Q668" s="0" t="s">
        <v>240</v>
      </c>
      <c r="R668" s="0" t="s">
        <v>6829</v>
      </c>
      <c r="S668" s="0" t="s">
        <v>240</v>
      </c>
      <c r="T668" s="0" t="s">
        <v>240</v>
      </c>
      <c r="U668" s="0" t="s">
        <v>102</v>
      </c>
      <c r="V668" s="0" t="s">
        <v>240</v>
      </c>
      <c r="W668" s="0" t="s">
        <v>240</v>
      </c>
      <c r="X668" s="0" t="s">
        <v>5585</v>
      </c>
      <c r="Y668" s="0" t="s">
        <v>240</v>
      </c>
      <c r="Z668" s="0" t="s">
        <v>152</v>
      </c>
      <c r="AA668" s="0" t="s">
        <v>152</v>
      </c>
      <c r="AB668" s="0" t="s">
        <v>161</v>
      </c>
      <c r="AC668" s="0" t="s">
        <v>3395</v>
      </c>
      <c r="AD668" s="0" t="s">
        <v>3395</v>
      </c>
      <c r="AE668" s="0" t="s">
        <v>3396</v>
      </c>
      <c r="AF668" s="0" t="s">
        <v>5941</v>
      </c>
      <c r="AG668" s="0" t="s">
        <v>5942</v>
      </c>
      <c r="AH668" s="0" t="s">
        <v>6063</v>
      </c>
      <c r="AI668" s="0" t="s">
        <v>5533</v>
      </c>
      <c r="AJ668" s="0" t="s">
        <v>240</v>
      </c>
      <c r="AK668" s="0" t="s">
        <v>240</v>
      </c>
      <c r="AL668" s="0" t="s">
        <v>240</v>
      </c>
      <c r="AN668" s="0" t="s">
        <v>240</v>
      </c>
      <c r="AO668" s="0" t="s">
        <v>240</v>
      </c>
      <c r="AP668" s="0" t="s">
        <v>240</v>
      </c>
      <c r="AQ668" s="0" t="s">
        <v>240</v>
      </c>
      <c r="AR668" s="0" t="s">
        <v>240</v>
      </c>
      <c r="AS668" s="0" t="s">
        <v>240</v>
      </c>
      <c r="AT668" s="0" t="s">
        <v>240</v>
      </c>
      <c r="AU668" s="0" t="s">
        <v>240</v>
      </c>
      <c r="AV668" s="0" t="s">
        <v>240</v>
      </c>
      <c r="AW668" s="0" t="s">
        <v>240</v>
      </c>
      <c r="AX668" s="0" t="s">
        <v>240</v>
      </c>
      <c r="AY668" s="0" t="s">
        <v>240</v>
      </c>
      <c r="AZ668" s="0" t="s">
        <v>240</v>
      </c>
      <c r="BA668" s="0" t="s">
        <v>240</v>
      </c>
      <c r="BB668" s="0" t="s">
        <v>240</v>
      </c>
      <c r="BC668" s="0" t="s">
        <v>240</v>
      </c>
      <c r="BD668" s="0" t="s">
        <v>240</v>
      </c>
      <c r="BE668" s="0" t="s">
        <v>7093</v>
      </c>
      <c r="BF668" s="0" t="s">
        <v>7094</v>
      </c>
      <c r="BG668" s="0" t="s">
        <v>112</v>
      </c>
      <c r="BH668" s="0" t="s">
        <v>5589</v>
      </c>
      <c r="BI668" s="0" t="s">
        <v>123</v>
      </c>
      <c r="BJ668" s="0" t="s">
        <v>240</v>
      </c>
      <c r="BK668" s="0" t="s">
        <v>7095</v>
      </c>
      <c r="BL668" s="0" t="s">
        <v>3395</v>
      </c>
      <c r="BM668" s="0" t="s">
        <v>3395</v>
      </c>
      <c r="BN668" s="0" t="s">
        <v>6066</v>
      </c>
      <c r="BO668" s="0" t="s">
        <v>5941</v>
      </c>
      <c r="BP668" s="0" t="s">
        <v>6067</v>
      </c>
      <c r="BQ668" s="0" t="s">
        <v>6063</v>
      </c>
      <c r="BR668" s="0" t="s">
        <v>5533</v>
      </c>
      <c r="BS668" s="0" t="s">
        <v>240</v>
      </c>
      <c r="BT668" s="0" t="s">
        <v>5594</v>
      </c>
      <c r="CS668" s="0" t="s">
        <v>5553</v>
      </c>
      <c r="CT668" s="0" t="s">
        <v>5496</v>
      </c>
      <c r="CU668" s="0" t="s">
        <v>5497</v>
      </c>
      <c r="CV668" s="0" t="s">
        <v>5947</v>
      </c>
      <c r="CW668" s="0" t="s">
        <v>5948</v>
      </c>
      <c r="CX668" s="0" t="s">
        <v>5528</v>
      </c>
      <c r="CY668" s="0" t="s">
        <v>5947</v>
      </c>
      <c r="CZ668" s="0" t="s">
        <v>7022</v>
      </c>
      <c r="DA668" s="0" t="s">
        <v>5949</v>
      </c>
      <c r="DB668" s="0" t="s">
        <v>5948</v>
      </c>
      <c r="DC668" s="0" t="s">
        <v>384</v>
      </c>
      <c r="DD668" s="0" t="s">
        <v>300</v>
      </c>
      <c r="DE668" s="0" t="s">
        <v>7096</v>
      </c>
    </row>
    <row customHeight="1" ht="11.25">
      <c r="A669" s="1441" t="s">
        <v>240</v>
      </c>
      <c r="B669" s="0" t="s">
        <v>240</v>
      </c>
      <c r="C669" s="0" t="s">
        <v>240</v>
      </c>
      <c r="D669" s="0" t="s">
        <v>240</v>
      </c>
      <c r="E669" s="0" t="s">
        <v>240</v>
      </c>
      <c r="F669" s="0" t="s">
        <v>240</v>
      </c>
      <c r="G669" s="0" t="s">
        <v>240</v>
      </c>
      <c r="H669" s="0" t="s">
        <v>240</v>
      </c>
      <c r="I669" s="0" t="s">
        <v>7004</v>
      </c>
      <c r="J669" s="0" t="s">
        <v>240</v>
      </c>
      <c r="K669" s="0" t="s">
        <v>240</v>
      </c>
      <c r="L669" s="0" t="s">
        <v>240</v>
      </c>
      <c r="M669" s="0" t="s">
        <v>240</v>
      </c>
      <c r="N669" s="0" t="s">
        <v>240</v>
      </c>
      <c r="O669" s="0" t="s">
        <v>240</v>
      </c>
      <c r="P669" s="0" t="s">
        <v>240</v>
      </c>
      <c r="Q669" s="0" t="s">
        <v>240</v>
      </c>
      <c r="R669" s="0" t="s">
        <v>544</v>
      </c>
      <c r="S669" s="0" t="s">
        <v>240</v>
      </c>
      <c r="T669" s="0" t="s">
        <v>240</v>
      </c>
      <c r="U669" s="0" t="s">
        <v>102</v>
      </c>
      <c r="V669" s="0" t="s">
        <v>240</v>
      </c>
      <c r="W669" s="0" t="s">
        <v>240</v>
      </c>
      <c r="X669" s="0" t="s">
        <v>546</v>
      </c>
      <c r="Y669" s="0" t="s">
        <v>240</v>
      </c>
      <c r="Z669" s="0" t="s">
        <v>161</v>
      </c>
      <c r="AA669" s="0" t="s">
        <v>152</v>
      </c>
      <c r="AB669" s="0" t="s">
        <v>152</v>
      </c>
      <c r="AC669" s="0" t="s">
        <v>364</v>
      </c>
      <c r="AD669" s="0" t="s">
        <v>364</v>
      </c>
      <c r="AE669" s="0" t="s">
        <v>365</v>
      </c>
      <c r="AF669" s="0" t="s">
        <v>6806</v>
      </c>
      <c r="AG669" s="0" t="s">
        <v>6807</v>
      </c>
      <c r="AH669" s="0" t="s">
        <v>7097</v>
      </c>
      <c r="AI669" s="0" t="s">
        <v>5533</v>
      </c>
      <c r="AJ669" s="0" t="s">
        <v>5491</v>
      </c>
      <c r="AK669" s="0" t="s">
        <v>7098</v>
      </c>
      <c r="AL669" s="0" t="s">
        <v>7009</v>
      </c>
      <c r="AN669" s="0" t="s">
        <v>5578</v>
      </c>
      <c r="AO669" s="0" t="s">
        <v>6485</v>
      </c>
      <c r="AP669" s="0" t="s">
        <v>240</v>
      </c>
      <c r="AQ669" s="0" t="s">
        <v>240</v>
      </c>
      <c r="AR669" s="0" t="s">
        <v>240</v>
      </c>
      <c r="AS669" s="0" t="s">
        <v>240</v>
      </c>
      <c r="AT669" s="0" t="s">
        <v>240</v>
      </c>
      <c r="AU669" s="0" t="s">
        <v>240</v>
      </c>
      <c r="AV669" s="0" t="s">
        <v>240</v>
      </c>
      <c r="AW669" s="0" t="s">
        <v>240</v>
      </c>
      <c r="AX669" s="0" t="s">
        <v>240</v>
      </c>
      <c r="AY669" s="0" t="s">
        <v>240</v>
      </c>
      <c r="AZ669" s="0" t="s">
        <v>240</v>
      </c>
      <c r="BA669" s="0" t="s">
        <v>240</v>
      </c>
      <c r="BB669" s="0" t="s">
        <v>240</v>
      </c>
      <c r="BC669" s="0" t="s">
        <v>240</v>
      </c>
      <c r="BD669" s="0" t="s">
        <v>240</v>
      </c>
      <c r="BE669" s="0" t="s">
        <v>240</v>
      </c>
      <c r="BF669" s="0" t="s">
        <v>240</v>
      </c>
      <c r="BG669" s="0" t="s">
        <v>240</v>
      </c>
      <c r="BH669" s="0" t="s">
        <v>240</v>
      </c>
      <c r="BI669" s="0" t="s">
        <v>240</v>
      </c>
      <c r="BJ669" s="0" t="s">
        <v>240</v>
      </c>
      <c r="BK669" s="0" t="s">
        <v>240</v>
      </c>
      <c r="BL669" s="0" t="s">
        <v>240</v>
      </c>
      <c r="BM669" s="0" t="s">
        <v>240</v>
      </c>
      <c r="BN669" s="0" t="s">
        <v>240</v>
      </c>
      <c r="BO669" s="0" t="s">
        <v>240</v>
      </c>
      <c r="BP669" s="0" t="s">
        <v>240</v>
      </c>
      <c r="BQ669" s="0" t="s">
        <v>240</v>
      </c>
      <c r="BR669" s="0" t="s">
        <v>240</v>
      </c>
      <c r="BS669" s="0" t="s">
        <v>240</v>
      </c>
      <c r="BT669" s="0" t="s">
        <v>240</v>
      </c>
      <c r="CS669" s="0" t="s">
        <v>240</v>
      </c>
      <c r="CT669" s="0" t="s">
        <v>5496</v>
      </c>
      <c r="CU669" s="0" t="s">
        <v>5497</v>
      </c>
      <c r="CV669" s="0" t="s">
        <v>443</v>
      </c>
      <c r="CW669" s="0" t="s">
        <v>6818</v>
      </c>
      <c r="CX669" s="0" t="s">
        <v>229</v>
      </c>
      <c r="CY669" s="0" t="s">
        <v>443</v>
      </c>
      <c r="CZ669" s="0" t="s">
        <v>234</v>
      </c>
      <c r="DA669" s="0" t="s">
        <v>444</v>
      </c>
      <c r="DB669" s="0" t="s">
        <v>6818</v>
      </c>
      <c r="DC669" s="0" t="s">
        <v>384</v>
      </c>
      <c r="DD669" s="0" t="s">
        <v>300</v>
      </c>
      <c r="DE669" s="0" t="s">
        <v>545</v>
      </c>
    </row>
    <row customHeight="1" ht="11.25">
      <c r="A670" s="1441" t="s">
        <v>240</v>
      </c>
      <c r="B670" s="0" t="s">
        <v>240</v>
      </c>
      <c r="C670" s="0" t="s">
        <v>240</v>
      </c>
      <c r="D670" s="0" t="s">
        <v>240</v>
      </c>
      <c r="E670" s="0" t="s">
        <v>240</v>
      </c>
      <c r="F670" s="0" t="s">
        <v>240</v>
      </c>
      <c r="G670" s="0" t="s">
        <v>240</v>
      </c>
      <c r="H670" s="0" t="s">
        <v>240</v>
      </c>
      <c r="I670" s="0" t="s">
        <v>7004</v>
      </c>
      <c r="J670" s="0" t="s">
        <v>240</v>
      </c>
      <c r="K670" s="0" t="s">
        <v>240</v>
      </c>
      <c r="L670" s="0" t="s">
        <v>240</v>
      </c>
      <c r="M670" s="0" t="s">
        <v>240</v>
      </c>
      <c r="N670" s="0" t="s">
        <v>240</v>
      </c>
      <c r="O670" s="0" t="s">
        <v>240</v>
      </c>
      <c r="P670" s="0" t="s">
        <v>240</v>
      </c>
      <c r="Q670" s="0" t="s">
        <v>240</v>
      </c>
      <c r="R670" s="0" t="s">
        <v>7099</v>
      </c>
      <c r="S670" s="0" t="s">
        <v>240</v>
      </c>
      <c r="T670" s="0" t="s">
        <v>240</v>
      </c>
      <c r="U670" s="0" t="s">
        <v>102</v>
      </c>
      <c r="V670" s="0" t="s">
        <v>240</v>
      </c>
      <c r="W670" s="0" t="s">
        <v>240</v>
      </c>
      <c r="X670" s="0" t="s">
        <v>546</v>
      </c>
      <c r="Y670" s="0" t="s">
        <v>240</v>
      </c>
      <c r="Z670" s="0" t="s">
        <v>161</v>
      </c>
      <c r="AA670" s="0" t="s">
        <v>152</v>
      </c>
      <c r="AB670" s="0" t="s">
        <v>152</v>
      </c>
      <c r="AC670" s="0" t="s">
        <v>3389</v>
      </c>
      <c r="AD670" s="0" t="s">
        <v>3389</v>
      </c>
      <c r="AE670" s="0" t="s">
        <v>3390</v>
      </c>
      <c r="AF670" s="0" t="s">
        <v>5519</v>
      </c>
      <c r="AG670" s="0" t="s">
        <v>5520</v>
      </c>
      <c r="AH670" s="0" t="s">
        <v>7100</v>
      </c>
      <c r="AI670" s="0" t="s">
        <v>7101</v>
      </c>
      <c r="AJ670" s="0" t="s">
        <v>7102</v>
      </c>
      <c r="AK670" s="0" t="s">
        <v>7103</v>
      </c>
      <c r="AL670" s="0" t="s">
        <v>7027</v>
      </c>
      <c r="AN670" s="0" t="s">
        <v>7104</v>
      </c>
      <c r="AO670" s="0" t="s">
        <v>7105</v>
      </c>
      <c r="AP670" s="0" t="s">
        <v>240</v>
      </c>
      <c r="AQ670" s="0" t="s">
        <v>240</v>
      </c>
      <c r="AR670" s="0" t="s">
        <v>240</v>
      </c>
      <c r="AS670" s="0" t="s">
        <v>240</v>
      </c>
      <c r="AT670" s="0" t="s">
        <v>240</v>
      </c>
      <c r="AU670" s="0" t="s">
        <v>240</v>
      </c>
      <c r="AV670" s="0" t="s">
        <v>240</v>
      </c>
      <c r="AW670" s="0" t="s">
        <v>240</v>
      </c>
      <c r="AX670" s="0" t="s">
        <v>240</v>
      </c>
      <c r="AY670" s="0" t="s">
        <v>240</v>
      </c>
      <c r="AZ670" s="0" t="s">
        <v>240</v>
      </c>
      <c r="BA670" s="0" t="s">
        <v>240</v>
      </c>
      <c r="BB670" s="0" t="s">
        <v>240</v>
      </c>
      <c r="BC670" s="0" t="s">
        <v>240</v>
      </c>
      <c r="BD670" s="0" t="s">
        <v>240</v>
      </c>
      <c r="BE670" s="0" t="s">
        <v>240</v>
      </c>
      <c r="BF670" s="0" t="s">
        <v>240</v>
      </c>
      <c r="BG670" s="0" t="s">
        <v>240</v>
      </c>
      <c r="BH670" s="0" t="s">
        <v>240</v>
      </c>
      <c r="BI670" s="0" t="s">
        <v>240</v>
      </c>
      <c r="BJ670" s="0" t="s">
        <v>240</v>
      </c>
      <c r="BK670" s="0" t="s">
        <v>240</v>
      </c>
      <c r="BL670" s="0" t="s">
        <v>240</v>
      </c>
      <c r="BM670" s="0" t="s">
        <v>240</v>
      </c>
      <c r="BN670" s="0" t="s">
        <v>240</v>
      </c>
      <c r="BO670" s="0" t="s">
        <v>240</v>
      </c>
      <c r="BP670" s="0" t="s">
        <v>240</v>
      </c>
      <c r="BQ670" s="0" t="s">
        <v>240</v>
      </c>
      <c r="BR670" s="0" t="s">
        <v>240</v>
      </c>
      <c r="BS670" s="0" t="s">
        <v>240</v>
      </c>
      <c r="BT670" s="0" t="s">
        <v>240</v>
      </c>
      <c r="CS670" s="0" t="s">
        <v>240</v>
      </c>
      <c r="CT670" s="0" t="s">
        <v>5496</v>
      </c>
      <c r="CU670" s="0" t="s">
        <v>7012</v>
      </c>
      <c r="CV670" s="0" t="s">
        <v>5947</v>
      </c>
      <c r="CW670" s="0" t="s">
        <v>7013</v>
      </c>
      <c r="CX670" s="0" t="s">
        <v>5528</v>
      </c>
      <c r="CY670" s="0" t="s">
        <v>5947</v>
      </c>
      <c r="CZ670" s="0" t="s">
        <v>7014</v>
      </c>
      <c r="DA670" s="0" t="s">
        <v>7015</v>
      </c>
      <c r="DB670" s="0" t="s">
        <v>7013</v>
      </c>
      <c r="DC670" s="0" t="s">
        <v>384</v>
      </c>
      <c r="DD670" s="0" t="s">
        <v>300</v>
      </c>
      <c r="DE670" s="0" t="s">
        <v>7106</v>
      </c>
    </row>
    <row customHeight="1" ht="11.25">
      <c r="A671" s="1441" t="s">
        <v>240</v>
      </c>
      <c r="B671" s="0" t="s">
        <v>240</v>
      </c>
      <c r="C671" s="0" t="s">
        <v>240</v>
      </c>
      <c r="D671" s="0" t="s">
        <v>240</v>
      </c>
      <c r="E671" s="0" t="s">
        <v>240</v>
      </c>
      <c r="F671" s="0" t="s">
        <v>240</v>
      </c>
      <c r="G671" s="0" t="s">
        <v>240</v>
      </c>
      <c r="H671" s="0" t="s">
        <v>240</v>
      </c>
      <c r="I671" s="0" t="s">
        <v>7004</v>
      </c>
      <c r="J671" s="0" t="s">
        <v>240</v>
      </c>
      <c r="K671" s="0" t="s">
        <v>240</v>
      </c>
      <c r="L671" s="0" t="s">
        <v>240</v>
      </c>
      <c r="M671" s="0" t="s">
        <v>240</v>
      </c>
      <c r="N671" s="0" t="s">
        <v>240</v>
      </c>
      <c r="O671" s="0" t="s">
        <v>240</v>
      </c>
      <c r="P671" s="0" t="s">
        <v>240</v>
      </c>
      <c r="Q671" s="0" t="s">
        <v>240</v>
      </c>
      <c r="R671" s="0" t="s">
        <v>548</v>
      </c>
      <c r="S671" s="0" t="s">
        <v>240</v>
      </c>
      <c r="T671" s="0" t="s">
        <v>240</v>
      </c>
      <c r="U671" s="0" t="s">
        <v>102</v>
      </c>
      <c r="V671" s="0" t="s">
        <v>240</v>
      </c>
      <c r="W671" s="0" t="s">
        <v>240</v>
      </c>
      <c r="X671" s="0" t="s">
        <v>546</v>
      </c>
      <c r="Y671" s="0" t="s">
        <v>240</v>
      </c>
      <c r="Z671" s="0" t="s">
        <v>161</v>
      </c>
      <c r="AA671" s="0" t="s">
        <v>152</v>
      </c>
      <c r="AB671" s="0" t="s">
        <v>152</v>
      </c>
      <c r="AC671" s="0" t="s">
        <v>364</v>
      </c>
      <c r="AD671" s="0" t="s">
        <v>364</v>
      </c>
      <c r="AE671" s="0" t="s">
        <v>365</v>
      </c>
      <c r="AF671" s="0" t="s">
        <v>6806</v>
      </c>
      <c r="AG671" s="0" t="s">
        <v>6807</v>
      </c>
      <c r="AH671" s="0" t="s">
        <v>7107</v>
      </c>
      <c r="AI671" s="0" t="s">
        <v>5533</v>
      </c>
      <c r="AJ671" s="0" t="s">
        <v>7108</v>
      </c>
      <c r="AK671" s="0" t="s">
        <v>7109</v>
      </c>
      <c r="AL671" s="0" t="s">
        <v>7009</v>
      </c>
      <c r="AN671" s="0" t="s">
        <v>5507</v>
      </c>
      <c r="AO671" s="0" t="s">
        <v>7110</v>
      </c>
      <c r="AP671" s="0" t="s">
        <v>240</v>
      </c>
      <c r="AQ671" s="0" t="s">
        <v>240</v>
      </c>
      <c r="AR671" s="0" t="s">
        <v>240</v>
      </c>
      <c r="AS671" s="0" t="s">
        <v>240</v>
      </c>
      <c r="AT671" s="0" t="s">
        <v>240</v>
      </c>
      <c r="AU671" s="0" t="s">
        <v>240</v>
      </c>
      <c r="AV671" s="0" t="s">
        <v>240</v>
      </c>
      <c r="AW671" s="0" t="s">
        <v>240</v>
      </c>
      <c r="AX671" s="0" t="s">
        <v>240</v>
      </c>
      <c r="AY671" s="0" t="s">
        <v>240</v>
      </c>
      <c r="AZ671" s="0" t="s">
        <v>240</v>
      </c>
      <c r="BA671" s="0" t="s">
        <v>240</v>
      </c>
      <c r="BB671" s="0" t="s">
        <v>240</v>
      </c>
      <c r="BC671" s="0" t="s">
        <v>240</v>
      </c>
      <c r="BD671" s="0" t="s">
        <v>240</v>
      </c>
      <c r="BE671" s="0" t="s">
        <v>240</v>
      </c>
      <c r="BF671" s="0" t="s">
        <v>240</v>
      </c>
      <c r="BG671" s="0" t="s">
        <v>240</v>
      </c>
      <c r="BH671" s="0" t="s">
        <v>240</v>
      </c>
      <c r="BI671" s="0" t="s">
        <v>240</v>
      </c>
      <c r="BJ671" s="0" t="s">
        <v>240</v>
      </c>
      <c r="BK671" s="0" t="s">
        <v>240</v>
      </c>
      <c r="BL671" s="0" t="s">
        <v>240</v>
      </c>
      <c r="BM671" s="0" t="s">
        <v>240</v>
      </c>
      <c r="BN671" s="0" t="s">
        <v>240</v>
      </c>
      <c r="BO671" s="0" t="s">
        <v>240</v>
      </c>
      <c r="BP671" s="0" t="s">
        <v>240</v>
      </c>
      <c r="BQ671" s="0" t="s">
        <v>240</v>
      </c>
      <c r="BR671" s="0" t="s">
        <v>240</v>
      </c>
      <c r="BS671" s="0" t="s">
        <v>240</v>
      </c>
      <c r="BT671" s="0" t="s">
        <v>240</v>
      </c>
      <c r="CS671" s="0" t="s">
        <v>240</v>
      </c>
      <c r="CT671" s="0" t="s">
        <v>5496</v>
      </c>
      <c r="CU671" s="0" t="s">
        <v>5497</v>
      </c>
      <c r="CV671" s="0" t="s">
        <v>443</v>
      </c>
      <c r="CW671" s="0" t="s">
        <v>6818</v>
      </c>
      <c r="CX671" s="0" t="s">
        <v>229</v>
      </c>
      <c r="CY671" s="0" t="s">
        <v>443</v>
      </c>
      <c r="CZ671" s="0" t="s">
        <v>234</v>
      </c>
      <c r="DA671" s="0" t="s">
        <v>444</v>
      </c>
      <c r="DB671" s="0" t="s">
        <v>6818</v>
      </c>
      <c r="DC671" s="0" t="s">
        <v>384</v>
      </c>
      <c r="DD671" s="0" t="s">
        <v>300</v>
      </c>
      <c r="DE671" s="0" t="s">
        <v>549</v>
      </c>
    </row>
    <row customHeight="1" ht="11.25">
      <c r="A672" s="1441" t="s">
        <v>240</v>
      </c>
      <c r="B672" s="0" t="s">
        <v>240</v>
      </c>
      <c r="C672" s="0" t="s">
        <v>240</v>
      </c>
      <c r="D672" s="0" t="s">
        <v>240</v>
      </c>
      <c r="E672" s="0" t="s">
        <v>240</v>
      </c>
      <c r="F672" s="0" t="s">
        <v>240</v>
      </c>
      <c r="G672" s="0" t="s">
        <v>240</v>
      </c>
      <c r="H672" s="0" t="s">
        <v>240</v>
      </c>
      <c r="I672" s="0" t="s">
        <v>7004</v>
      </c>
      <c r="J672" s="0" t="s">
        <v>240</v>
      </c>
      <c r="K672" s="0" t="s">
        <v>240</v>
      </c>
      <c r="L672" s="0" t="s">
        <v>240</v>
      </c>
      <c r="M672" s="0" t="s">
        <v>240</v>
      </c>
      <c r="N672" s="0" t="s">
        <v>240</v>
      </c>
      <c r="O672" s="0" t="s">
        <v>240</v>
      </c>
      <c r="P672" s="0" t="s">
        <v>240</v>
      </c>
      <c r="Q672" s="0" t="s">
        <v>240</v>
      </c>
      <c r="R672" s="0" t="s">
        <v>502</v>
      </c>
      <c r="S672" s="0" t="s">
        <v>240</v>
      </c>
      <c r="T672" s="0" t="s">
        <v>240</v>
      </c>
      <c r="U672" s="0" t="s">
        <v>102</v>
      </c>
      <c r="V672" s="0" t="s">
        <v>240</v>
      </c>
      <c r="W672" s="0" t="s">
        <v>240</v>
      </c>
      <c r="X672" s="0" t="s">
        <v>5585</v>
      </c>
      <c r="Y672" s="0" t="s">
        <v>240</v>
      </c>
      <c r="Z672" s="0" t="s">
        <v>152</v>
      </c>
      <c r="AA672" s="0" t="s">
        <v>152</v>
      </c>
      <c r="AB672" s="0" t="s">
        <v>161</v>
      </c>
      <c r="AC672" s="0" t="s">
        <v>2985</v>
      </c>
      <c r="AD672" s="0" t="s">
        <v>2985</v>
      </c>
      <c r="AE672" s="0" t="s">
        <v>2986</v>
      </c>
      <c r="AF672" s="0" t="s">
        <v>5951</v>
      </c>
      <c r="AG672" s="0" t="s">
        <v>5952</v>
      </c>
      <c r="AH672" s="0" t="s">
        <v>5951</v>
      </c>
      <c r="AI672" s="0" t="s">
        <v>5533</v>
      </c>
      <c r="AJ672" s="0" t="s">
        <v>240</v>
      </c>
      <c r="AK672" s="0" t="s">
        <v>240</v>
      </c>
      <c r="AL672" s="0" t="s">
        <v>240</v>
      </c>
      <c r="AN672" s="0" t="s">
        <v>240</v>
      </c>
      <c r="AO672" s="0" t="s">
        <v>240</v>
      </c>
      <c r="AP672" s="0" t="s">
        <v>240</v>
      </c>
      <c r="AQ672" s="0" t="s">
        <v>240</v>
      </c>
      <c r="AR672" s="0" t="s">
        <v>240</v>
      </c>
      <c r="AS672" s="0" t="s">
        <v>240</v>
      </c>
      <c r="AT672" s="0" t="s">
        <v>240</v>
      </c>
      <c r="AU672" s="0" t="s">
        <v>240</v>
      </c>
      <c r="AV672" s="0" t="s">
        <v>240</v>
      </c>
      <c r="AW672" s="0" t="s">
        <v>240</v>
      </c>
      <c r="AX672" s="0" t="s">
        <v>240</v>
      </c>
      <c r="AY672" s="0" t="s">
        <v>240</v>
      </c>
      <c r="AZ672" s="0" t="s">
        <v>240</v>
      </c>
      <c r="BA672" s="0" t="s">
        <v>240</v>
      </c>
      <c r="BB672" s="0" t="s">
        <v>240</v>
      </c>
      <c r="BC672" s="0" t="s">
        <v>240</v>
      </c>
      <c r="BD672" s="0" t="s">
        <v>240</v>
      </c>
      <c r="BE672" s="0" t="s">
        <v>7111</v>
      </c>
      <c r="BF672" s="0" t="s">
        <v>7112</v>
      </c>
      <c r="BG672" s="0" t="s">
        <v>112</v>
      </c>
      <c r="BH672" s="0" t="s">
        <v>5589</v>
      </c>
      <c r="BI672" s="0" t="s">
        <v>123</v>
      </c>
      <c r="BJ672" s="0" t="s">
        <v>240</v>
      </c>
      <c r="BK672" s="0" t="s">
        <v>520</v>
      </c>
      <c r="BL672" s="0" t="s">
        <v>2985</v>
      </c>
      <c r="BM672" s="0" t="s">
        <v>2985</v>
      </c>
      <c r="BN672" s="0" t="s">
        <v>5646</v>
      </c>
      <c r="BO672" s="0" t="s">
        <v>5951</v>
      </c>
      <c r="BP672" s="0" t="s">
        <v>5955</v>
      </c>
      <c r="BQ672" s="0" t="s">
        <v>7113</v>
      </c>
      <c r="BR672" s="0" t="s">
        <v>5533</v>
      </c>
      <c r="BS672" s="0" t="s">
        <v>240</v>
      </c>
      <c r="BT672" s="0" t="s">
        <v>5650</v>
      </c>
      <c r="CS672" s="0" t="s">
        <v>5507</v>
      </c>
      <c r="CT672" s="0" t="s">
        <v>5496</v>
      </c>
      <c r="CU672" s="0" t="s">
        <v>5497</v>
      </c>
      <c r="CV672" s="0" t="s">
        <v>443</v>
      </c>
      <c r="CW672" s="0" t="s">
        <v>5509</v>
      </c>
      <c r="CX672" s="0" t="s">
        <v>229</v>
      </c>
      <c r="CY672" s="0" t="s">
        <v>443</v>
      </c>
      <c r="CZ672" s="0" t="s">
        <v>5510</v>
      </c>
      <c r="DA672" s="0" t="s">
        <v>5511</v>
      </c>
      <c r="DB672" s="0" t="s">
        <v>5509</v>
      </c>
      <c r="DC672" s="0" t="s">
        <v>384</v>
      </c>
      <c r="DD672" s="0" t="s">
        <v>300</v>
      </c>
      <c r="DE672" s="0" t="s">
        <v>7114</v>
      </c>
    </row>
    <row customHeight="1" ht="11.25">
      <c r="A673" s="1441" t="s">
        <v>240</v>
      </c>
      <c r="B673" s="0" t="s">
        <v>240</v>
      </c>
      <c r="C673" s="0" t="s">
        <v>240</v>
      </c>
      <c r="D673" s="0" t="s">
        <v>240</v>
      </c>
      <c r="E673" s="0" t="s">
        <v>240</v>
      </c>
      <c r="F673" s="0" t="s">
        <v>240</v>
      </c>
      <c r="G673" s="0" t="s">
        <v>240</v>
      </c>
      <c r="H673" s="0" t="s">
        <v>240</v>
      </c>
      <c r="I673" s="0" t="s">
        <v>7004</v>
      </c>
      <c r="J673" s="0" t="s">
        <v>240</v>
      </c>
      <c r="K673" s="0" t="s">
        <v>240</v>
      </c>
      <c r="L673" s="0" t="s">
        <v>240</v>
      </c>
      <c r="M673" s="0" t="s">
        <v>240</v>
      </c>
      <c r="N673" s="0" t="s">
        <v>240</v>
      </c>
      <c r="O673" s="0" t="s">
        <v>240</v>
      </c>
      <c r="P673" s="0" t="s">
        <v>240</v>
      </c>
      <c r="Q673" s="0" t="s">
        <v>240</v>
      </c>
      <c r="R673" s="0" t="s">
        <v>7115</v>
      </c>
      <c r="S673" s="0" t="s">
        <v>240</v>
      </c>
      <c r="T673" s="0" t="s">
        <v>240</v>
      </c>
      <c r="U673" s="0" t="s">
        <v>102</v>
      </c>
      <c r="V673" s="0" t="s">
        <v>240</v>
      </c>
      <c r="W673" s="0" t="s">
        <v>240</v>
      </c>
      <c r="X673" s="0" t="s">
        <v>5585</v>
      </c>
      <c r="Y673" s="0" t="s">
        <v>240</v>
      </c>
      <c r="Z673" s="0" t="s">
        <v>152</v>
      </c>
      <c r="AA673" s="0" t="s">
        <v>152</v>
      </c>
      <c r="AB673" s="0" t="s">
        <v>161</v>
      </c>
      <c r="AC673" s="0" t="s">
        <v>2989</v>
      </c>
      <c r="AD673" s="0" t="s">
        <v>2989</v>
      </c>
      <c r="AE673" s="0" t="s">
        <v>2990</v>
      </c>
      <c r="AF673" s="0" t="s">
        <v>5975</v>
      </c>
      <c r="AG673" s="0" t="s">
        <v>5976</v>
      </c>
      <c r="AH673" s="0" t="s">
        <v>5575</v>
      </c>
      <c r="AI673" s="0" t="s">
        <v>5575</v>
      </c>
      <c r="AJ673" s="0" t="s">
        <v>240</v>
      </c>
      <c r="AK673" s="0" t="s">
        <v>240</v>
      </c>
      <c r="AL673" s="0" t="s">
        <v>240</v>
      </c>
      <c r="AN673" s="0" t="s">
        <v>240</v>
      </c>
      <c r="AO673" s="0" t="s">
        <v>240</v>
      </c>
      <c r="AP673" s="0" t="s">
        <v>240</v>
      </c>
      <c r="AQ673" s="0" t="s">
        <v>240</v>
      </c>
      <c r="AR673" s="0" t="s">
        <v>240</v>
      </c>
      <c r="AS673" s="0" t="s">
        <v>240</v>
      </c>
      <c r="AT673" s="0" t="s">
        <v>240</v>
      </c>
      <c r="AU673" s="0" t="s">
        <v>240</v>
      </c>
      <c r="AV673" s="0" t="s">
        <v>240</v>
      </c>
      <c r="AW673" s="0" t="s">
        <v>240</v>
      </c>
      <c r="AX673" s="0" t="s">
        <v>240</v>
      </c>
      <c r="AY673" s="0" t="s">
        <v>240</v>
      </c>
      <c r="AZ673" s="0" t="s">
        <v>240</v>
      </c>
      <c r="BA673" s="0" t="s">
        <v>240</v>
      </c>
      <c r="BB673" s="0" t="s">
        <v>240</v>
      </c>
      <c r="BC673" s="0" t="s">
        <v>240</v>
      </c>
      <c r="BD673" s="0" t="s">
        <v>240</v>
      </c>
      <c r="BE673" s="0" t="s">
        <v>7116</v>
      </c>
      <c r="BF673" s="0" t="s">
        <v>7117</v>
      </c>
      <c r="BG673" s="0" t="s">
        <v>112</v>
      </c>
      <c r="BH673" s="0" t="s">
        <v>5589</v>
      </c>
      <c r="BI673" s="0" t="s">
        <v>123</v>
      </c>
      <c r="BJ673" s="0" t="s">
        <v>240</v>
      </c>
      <c r="BK673" s="0" t="s">
        <v>240</v>
      </c>
      <c r="BL673" s="0" t="s">
        <v>2989</v>
      </c>
      <c r="BM673" s="0" t="s">
        <v>2989</v>
      </c>
      <c r="BN673" s="0" t="s">
        <v>5798</v>
      </c>
      <c r="BO673" s="0" t="s">
        <v>5975</v>
      </c>
      <c r="BP673" s="0" t="s">
        <v>6162</v>
      </c>
      <c r="BQ673" s="0" t="s">
        <v>5575</v>
      </c>
      <c r="BR673" s="0" t="s">
        <v>5575</v>
      </c>
      <c r="BS673" s="0" t="s">
        <v>240</v>
      </c>
      <c r="BT673" s="0" t="s">
        <v>5650</v>
      </c>
      <c r="CS673" s="0" t="s">
        <v>7118</v>
      </c>
      <c r="CT673" s="0" t="s">
        <v>5496</v>
      </c>
      <c r="CU673" s="0" t="s">
        <v>5497</v>
      </c>
      <c r="CV673" s="0" t="s">
        <v>443</v>
      </c>
      <c r="CW673" s="0" t="s">
        <v>5580</v>
      </c>
      <c r="CX673" s="0" t="s">
        <v>229</v>
      </c>
      <c r="CY673" s="0" t="s">
        <v>443</v>
      </c>
      <c r="CZ673" s="0" t="s">
        <v>5581</v>
      </c>
      <c r="DA673" s="0" t="s">
        <v>5582</v>
      </c>
      <c r="DB673" s="0" t="s">
        <v>5580</v>
      </c>
      <c r="DC673" s="0" t="s">
        <v>384</v>
      </c>
      <c r="DD673" s="0" t="s">
        <v>300</v>
      </c>
      <c r="DE673" s="0" t="s">
        <v>6236</v>
      </c>
    </row>
    <row customHeight="1" ht="11.25">
      <c r="A674" s="1441" t="s">
        <v>240</v>
      </c>
      <c r="B674" s="0" t="s">
        <v>240</v>
      </c>
      <c r="C674" s="0" t="s">
        <v>240</v>
      </c>
      <c r="D674" s="0" t="s">
        <v>240</v>
      </c>
      <c r="E674" s="0" t="s">
        <v>240</v>
      </c>
      <c r="F674" s="0" t="s">
        <v>240</v>
      </c>
      <c r="G674" s="0" t="s">
        <v>240</v>
      </c>
      <c r="H674" s="0" t="s">
        <v>240</v>
      </c>
      <c r="I674" s="0" t="s">
        <v>7004</v>
      </c>
      <c r="J674" s="0" t="s">
        <v>240</v>
      </c>
      <c r="K674" s="0" t="s">
        <v>240</v>
      </c>
      <c r="L674" s="0" t="s">
        <v>240</v>
      </c>
      <c r="M674" s="0" t="s">
        <v>240</v>
      </c>
      <c r="N674" s="0" t="s">
        <v>240</v>
      </c>
      <c r="O674" s="0" t="s">
        <v>240</v>
      </c>
      <c r="P674" s="0" t="s">
        <v>240</v>
      </c>
      <c r="Q674" s="0" t="s">
        <v>240</v>
      </c>
      <c r="R674" s="0" t="s">
        <v>7119</v>
      </c>
      <c r="S674" s="0" t="s">
        <v>240</v>
      </c>
      <c r="T674" s="0" t="s">
        <v>240</v>
      </c>
      <c r="U674" s="0" t="s">
        <v>102</v>
      </c>
      <c r="V674" s="0" t="s">
        <v>240</v>
      </c>
      <c r="W674" s="0" t="s">
        <v>240</v>
      </c>
      <c r="X674" s="0" t="s">
        <v>546</v>
      </c>
      <c r="Y674" s="0" t="s">
        <v>240</v>
      </c>
      <c r="Z674" s="0" t="s">
        <v>161</v>
      </c>
      <c r="AA674" s="0" t="s">
        <v>152</v>
      </c>
      <c r="AB674" s="0" t="s">
        <v>152</v>
      </c>
      <c r="AC674" s="0" t="s">
        <v>2989</v>
      </c>
      <c r="AD674" s="0" t="s">
        <v>2989</v>
      </c>
      <c r="AE674" s="0" t="s">
        <v>2990</v>
      </c>
      <c r="AF674" s="0" t="s">
        <v>5975</v>
      </c>
      <c r="AG674" s="0" t="s">
        <v>5976</v>
      </c>
      <c r="AH674" s="0" t="s">
        <v>7120</v>
      </c>
      <c r="AI674" s="0" t="s">
        <v>5575</v>
      </c>
      <c r="AJ674" s="0" t="s">
        <v>7118</v>
      </c>
      <c r="AK674" s="0" t="s">
        <v>7121</v>
      </c>
      <c r="AL674" s="0" t="s">
        <v>7009</v>
      </c>
      <c r="AN674" s="0" t="s">
        <v>5491</v>
      </c>
      <c r="AO674" s="0" t="s">
        <v>7122</v>
      </c>
      <c r="AP674" s="0" t="s">
        <v>240</v>
      </c>
      <c r="AQ674" s="0" t="s">
        <v>240</v>
      </c>
      <c r="AR674" s="0" t="s">
        <v>240</v>
      </c>
      <c r="AS674" s="0" t="s">
        <v>240</v>
      </c>
      <c r="AT674" s="0" t="s">
        <v>240</v>
      </c>
      <c r="AU674" s="0" t="s">
        <v>240</v>
      </c>
      <c r="AV674" s="0" t="s">
        <v>240</v>
      </c>
      <c r="AW674" s="0" t="s">
        <v>240</v>
      </c>
      <c r="AX674" s="0" t="s">
        <v>240</v>
      </c>
      <c r="AY674" s="0" t="s">
        <v>240</v>
      </c>
      <c r="AZ674" s="0" t="s">
        <v>240</v>
      </c>
      <c r="BA674" s="0" t="s">
        <v>240</v>
      </c>
      <c r="BB674" s="0" t="s">
        <v>240</v>
      </c>
      <c r="BC674" s="0" t="s">
        <v>240</v>
      </c>
      <c r="BD674" s="0" t="s">
        <v>240</v>
      </c>
      <c r="BE674" s="0" t="s">
        <v>240</v>
      </c>
      <c r="BF674" s="0" t="s">
        <v>240</v>
      </c>
      <c r="BG674" s="0" t="s">
        <v>240</v>
      </c>
      <c r="BH674" s="0" t="s">
        <v>240</v>
      </c>
      <c r="BI674" s="0" t="s">
        <v>240</v>
      </c>
      <c r="BJ674" s="0" t="s">
        <v>240</v>
      </c>
      <c r="BK674" s="0" t="s">
        <v>240</v>
      </c>
      <c r="BL674" s="0" t="s">
        <v>240</v>
      </c>
      <c r="BM674" s="0" t="s">
        <v>240</v>
      </c>
      <c r="BN674" s="0" t="s">
        <v>240</v>
      </c>
      <c r="BO674" s="0" t="s">
        <v>240</v>
      </c>
      <c r="BP674" s="0" t="s">
        <v>240</v>
      </c>
      <c r="BQ674" s="0" t="s">
        <v>240</v>
      </c>
      <c r="BR674" s="0" t="s">
        <v>240</v>
      </c>
      <c r="BS674" s="0" t="s">
        <v>240</v>
      </c>
      <c r="BT674" s="0" t="s">
        <v>240</v>
      </c>
      <c r="CS674" s="0" t="s">
        <v>240</v>
      </c>
      <c r="CT674" s="0" t="s">
        <v>5496</v>
      </c>
      <c r="CU674" s="0" t="s">
        <v>5497</v>
      </c>
      <c r="CV674" s="0" t="s">
        <v>443</v>
      </c>
      <c r="CW674" s="0" t="s">
        <v>5580</v>
      </c>
      <c r="CX674" s="0" t="s">
        <v>229</v>
      </c>
      <c r="CY674" s="0" t="s">
        <v>443</v>
      </c>
      <c r="CZ674" s="0" t="s">
        <v>5581</v>
      </c>
      <c r="DA674" s="0" t="s">
        <v>5582</v>
      </c>
      <c r="DB674" s="0" t="s">
        <v>5580</v>
      </c>
      <c r="DC674" s="0" t="s">
        <v>384</v>
      </c>
      <c r="DD674" s="0" t="s">
        <v>300</v>
      </c>
      <c r="DE674" s="0" t="s">
        <v>7123</v>
      </c>
    </row>
    <row customHeight="1" ht="11.25">
      <c r="A675" s="1441" t="s">
        <v>240</v>
      </c>
      <c r="B675" s="0" t="s">
        <v>240</v>
      </c>
      <c r="C675" s="0" t="s">
        <v>240</v>
      </c>
      <c r="D675" s="0" t="s">
        <v>240</v>
      </c>
      <c r="E675" s="0" t="s">
        <v>240</v>
      </c>
      <c r="F675" s="0" t="s">
        <v>240</v>
      </c>
      <c r="G675" s="0" t="s">
        <v>240</v>
      </c>
      <c r="H675" s="0" t="s">
        <v>240</v>
      </c>
      <c r="I675" s="0" t="s">
        <v>7004</v>
      </c>
      <c r="J675" s="0" t="s">
        <v>240</v>
      </c>
      <c r="K675" s="0" t="s">
        <v>240</v>
      </c>
      <c r="L675" s="0" t="s">
        <v>240</v>
      </c>
      <c r="M675" s="0" t="s">
        <v>240</v>
      </c>
      <c r="N675" s="0" t="s">
        <v>240</v>
      </c>
      <c r="O675" s="0" t="s">
        <v>240</v>
      </c>
      <c r="P675" s="0" t="s">
        <v>240</v>
      </c>
      <c r="Q675" s="0" t="s">
        <v>240</v>
      </c>
      <c r="R675" s="0" t="s">
        <v>7124</v>
      </c>
      <c r="S675" s="0" t="s">
        <v>240</v>
      </c>
      <c r="T675" s="0" t="s">
        <v>240</v>
      </c>
      <c r="U675" s="0" t="s">
        <v>102</v>
      </c>
      <c r="V675" s="0" t="s">
        <v>240</v>
      </c>
      <c r="W675" s="0" t="s">
        <v>240</v>
      </c>
      <c r="X675" s="0" t="s">
        <v>546</v>
      </c>
      <c r="Y675" s="0" t="s">
        <v>240</v>
      </c>
      <c r="Z675" s="0" t="s">
        <v>161</v>
      </c>
      <c r="AA675" s="0" t="s">
        <v>152</v>
      </c>
      <c r="AB675" s="0" t="s">
        <v>152</v>
      </c>
      <c r="AC675" s="0" t="s">
        <v>2989</v>
      </c>
      <c r="AD675" s="0" t="s">
        <v>2989</v>
      </c>
      <c r="AE675" s="0" t="s">
        <v>2990</v>
      </c>
      <c r="AF675" s="0" t="s">
        <v>5975</v>
      </c>
      <c r="AG675" s="0" t="s">
        <v>5976</v>
      </c>
      <c r="AH675" s="0" t="s">
        <v>7113</v>
      </c>
      <c r="AI675" s="0" t="s">
        <v>5575</v>
      </c>
      <c r="AJ675" s="0" t="s">
        <v>7125</v>
      </c>
      <c r="AK675" s="0" t="s">
        <v>5731</v>
      </c>
      <c r="AL675" s="0" t="s">
        <v>7009</v>
      </c>
      <c r="AN675" s="0" t="s">
        <v>5491</v>
      </c>
      <c r="AO675" s="0" t="s">
        <v>7126</v>
      </c>
      <c r="AP675" s="0" t="s">
        <v>240</v>
      </c>
      <c r="AQ675" s="0" t="s">
        <v>240</v>
      </c>
      <c r="AR675" s="0" t="s">
        <v>240</v>
      </c>
      <c r="AS675" s="0" t="s">
        <v>240</v>
      </c>
      <c r="AT675" s="0" t="s">
        <v>240</v>
      </c>
      <c r="AU675" s="0" t="s">
        <v>240</v>
      </c>
      <c r="AV675" s="0" t="s">
        <v>240</v>
      </c>
      <c r="AW675" s="0" t="s">
        <v>240</v>
      </c>
      <c r="AX675" s="0" t="s">
        <v>240</v>
      </c>
      <c r="AY675" s="0" t="s">
        <v>240</v>
      </c>
      <c r="AZ675" s="0" t="s">
        <v>240</v>
      </c>
      <c r="BA675" s="0" t="s">
        <v>240</v>
      </c>
      <c r="BB675" s="0" t="s">
        <v>240</v>
      </c>
      <c r="BC675" s="0" t="s">
        <v>240</v>
      </c>
      <c r="BD675" s="0" t="s">
        <v>240</v>
      </c>
      <c r="BE675" s="0" t="s">
        <v>240</v>
      </c>
      <c r="BF675" s="0" t="s">
        <v>240</v>
      </c>
      <c r="BG675" s="0" t="s">
        <v>240</v>
      </c>
      <c r="BH675" s="0" t="s">
        <v>240</v>
      </c>
      <c r="BI675" s="0" t="s">
        <v>240</v>
      </c>
      <c r="BJ675" s="0" t="s">
        <v>240</v>
      </c>
      <c r="BK675" s="0" t="s">
        <v>240</v>
      </c>
      <c r="BL675" s="0" t="s">
        <v>240</v>
      </c>
      <c r="BM675" s="0" t="s">
        <v>240</v>
      </c>
      <c r="BN675" s="0" t="s">
        <v>240</v>
      </c>
      <c r="BO675" s="0" t="s">
        <v>240</v>
      </c>
      <c r="BP675" s="0" t="s">
        <v>240</v>
      </c>
      <c r="BQ675" s="0" t="s">
        <v>240</v>
      </c>
      <c r="BR675" s="0" t="s">
        <v>240</v>
      </c>
      <c r="BS675" s="0" t="s">
        <v>240</v>
      </c>
      <c r="BT675" s="0" t="s">
        <v>240</v>
      </c>
      <c r="CS675" s="0" t="s">
        <v>240</v>
      </c>
      <c r="CT675" s="0" t="s">
        <v>5496</v>
      </c>
      <c r="CU675" s="0" t="s">
        <v>5497</v>
      </c>
      <c r="CV675" s="0" t="s">
        <v>443</v>
      </c>
      <c r="CW675" s="0" t="s">
        <v>5580</v>
      </c>
      <c r="CX675" s="0" t="s">
        <v>229</v>
      </c>
      <c r="CY675" s="0" t="s">
        <v>443</v>
      </c>
      <c r="CZ675" s="0" t="s">
        <v>5581</v>
      </c>
      <c r="DA675" s="0" t="s">
        <v>5582</v>
      </c>
      <c r="DB675" s="0" t="s">
        <v>5580</v>
      </c>
      <c r="DC675" s="0" t="s">
        <v>384</v>
      </c>
      <c r="DD675" s="0" t="s">
        <v>300</v>
      </c>
      <c r="DE675" s="0" t="s">
        <v>7127</v>
      </c>
    </row>
    <row customHeight="1" ht="11.25">
      <c r="A676" s="1441" t="s">
        <v>240</v>
      </c>
      <c r="B676" s="0" t="s">
        <v>240</v>
      </c>
      <c r="C676" s="0" t="s">
        <v>240</v>
      </c>
      <c r="D676" s="0" t="s">
        <v>240</v>
      </c>
      <c r="E676" s="0" t="s">
        <v>240</v>
      </c>
      <c r="F676" s="0" t="s">
        <v>240</v>
      </c>
      <c r="G676" s="0" t="s">
        <v>240</v>
      </c>
      <c r="H676" s="0" t="s">
        <v>240</v>
      </c>
      <c r="I676" s="0" t="s">
        <v>7004</v>
      </c>
      <c r="J676" s="0" t="s">
        <v>240</v>
      </c>
      <c r="K676" s="0" t="s">
        <v>240</v>
      </c>
      <c r="L676" s="0" t="s">
        <v>240</v>
      </c>
      <c r="M676" s="0" t="s">
        <v>240</v>
      </c>
      <c r="N676" s="0" t="s">
        <v>240</v>
      </c>
      <c r="O676" s="0" t="s">
        <v>240</v>
      </c>
      <c r="P676" s="0" t="s">
        <v>240</v>
      </c>
      <c r="Q676" s="0" t="s">
        <v>240</v>
      </c>
      <c r="R676" s="0" t="s">
        <v>6838</v>
      </c>
      <c r="S676" s="0" t="s">
        <v>240</v>
      </c>
      <c r="T676" s="0" t="s">
        <v>240</v>
      </c>
      <c r="U676" s="0" t="s">
        <v>102</v>
      </c>
      <c r="V676" s="0" t="s">
        <v>240</v>
      </c>
      <c r="W676" s="0" t="s">
        <v>240</v>
      </c>
      <c r="X676" s="0" t="s">
        <v>5585</v>
      </c>
      <c r="Y676" s="0" t="s">
        <v>240</v>
      </c>
      <c r="Z676" s="0" t="s">
        <v>152</v>
      </c>
      <c r="AA676" s="0" t="s">
        <v>152</v>
      </c>
      <c r="AB676" s="0" t="s">
        <v>161</v>
      </c>
      <c r="AC676" s="0" t="s">
        <v>3395</v>
      </c>
      <c r="AD676" s="0" t="s">
        <v>3395</v>
      </c>
      <c r="AE676" s="0" t="s">
        <v>3396</v>
      </c>
      <c r="AF676" s="0" t="s">
        <v>5941</v>
      </c>
      <c r="AG676" s="0" t="s">
        <v>5942</v>
      </c>
      <c r="AH676" s="0" t="s">
        <v>6063</v>
      </c>
      <c r="AI676" s="0" t="s">
        <v>5533</v>
      </c>
      <c r="AJ676" s="0" t="s">
        <v>240</v>
      </c>
      <c r="AK676" s="0" t="s">
        <v>240</v>
      </c>
      <c r="AL676" s="0" t="s">
        <v>240</v>
      </c>
      <c r="AN676" s="0" t="s">
        <v>240</v>
      </c>
      <c r="AO676" s="0" t="s">
        <v>240</v>
      </c>
      <c r="AP676" s="0" t="s">
        <v>240</v>
      </c>
      <c r="AQ676" s="0" t="s">
        <v>240</v>
      </c>
      <c r="AR676" s="0" t="s">
        <v>240</v>
      </c>
      <c r="AS676" s="0" t="s">
        <v>240</v>
      </c>
      <c r="AT676" s="0" t="s">
        <v>240</v>
      </c>
      <c r="AU676" s="0" t="s">
        <v>240</v>
      </c>
      <c r="AV676" s="0" t="s">
        <v>240</v>
      </c>
      <c r="AW676" s="0" t="s">
        <v>240</v>
      </c>
      <c r="AX676" s="0" t="s">
        <v>240</v>
      </c>
      <c r="AY676" s="0" t="s">
        <v>240</v>
      </c>
      <c r="AZ676" s="0" t="s">
        <v>240</v>
      </c>
      <c r="BA676" s="0" t="s">
        <v>240</v>
      </c>
      <c r="BB676" s="0" t="s">
        <v>240</v>
      </c>
      <c r="BC676" s="0" t="s">
        <v>240</v>
      </c>
      <c r="BD676" s="0" t="s">
        <v>240</v>
      </c>
      <c r="BE676" s="0" t="s">
        <v>7128</v>
      </c>
      <c r="BF676" s="0" t="s">
        <v>7129</v>
      </c>
      <c r="BG676" s="0" t="s">
        <v>112</v>
      </c>
      <c r="BH676" s="0" t="s">
        <v>5589</v>
      </c>
      <c r="BI676" s="0" t="s">
        <v>123</v>
      </c>
      <c r="BJ676" s="0" t="s">
        <v>240</v>
      </c>
      <c r="BK676" s="0" t="s">
        <v>7130</v>
      </c>
      <c r="BL676" s="0" t="s">
        <v>3395</v>
      </c>
      <c r="BM676" s="0" t="s">
        <v>3395</v>
      </c>
      <c r="BN676" s="0" t="s">
        <v>6066</v>
      </c>
      <c r="BO676" s="0" t="s">
        <v>5941</v>
      </c>
      <c r="BP676" s="0" t="s">
        <v>6067</v>
      </c>
      <c r="BQ676" s="0" t="s">
        <v>6063</v>
      </c>
      <c r="BR676" s="0" t="s">
        <v>5533</v>
      </c>
      <c r="BS676" s="0" t="s">
        <v>240</v>
      </c>
      <c r="BT676" s="0" t="s">
        <v>5594</v>
      </c>
      <c r="CS676" s="0" t="s">
        <v>5553</v>
      </c>
      <c r="CT676" s="0" t="s">
        <v>5496</v>
      </c>
      <c r="CU676" s="0" t="s">
        <v>5497</v>
      </c>
      <c r="CV676" s="0" t="s">
        <v>5947</v>
      </c>
      <c r="CW676" s="0" t="s">
        <v>5948</v>
      </c>
      <c r="CX676" s="0" t="s">
        <v>5528</v>
      </c>
      <c r="CY676" s="0" t="s">
        <v>5947</v>
      </c>
      <c r="CZ676" s="0" t="s">
        <v>7022</v>
      </c>
      <c r="DA676" s="0" t="s">
        <v>5949</v>
      </c>
      <c r="DB676" s="0" t="s">
        <v>5948</v>
      </c>
      <c r="DC676" s="0" t="s">
        <v>384</v>
      </c>
      <c r="DD676" s="0" t="s">
        <v>300</v>
      </c>
      <c r="DE676" s="0" t="s">
        <v>7096</v>
      </c>
    </row>
    <row customHeight="1" ht="11.25">
      <c r="A677" s="1441" t="s">
        <v>240</v>
      </c>
      <c r="B677" s="0" t="s">
        <v>240</v>
      </c>
      <c r="C677" s="0" t="s">
        <v>240</v>
      </c>
      <c r="D677" s="0" t="s">
        <v>240</v>
      </c>
      <c r="E677" s="0" t="s">
        <v>240</v>
      </c>
      <c r="F677" s="0" t="s">
        <v>240</v>
      </c>
      <c r="G677" s="0" t="s">
        <v>240</v>
      </c>
      <c r="H677" s="0" t="s">
        <v>240</v>
      </c>
      <c r="I677" s="0" t="s">
        <v>7004</v>
      </c>
      <c r="J677" s="0" t="s">
        <v>240</v>
      </c>
      <c r="K677" s="0" t="s">
        <v>240</v>
      </c>
      <c r="L677" s="0" t="s">
        <v>240</v>
      </c>
      <c r="M677" s="0" t="s">
        <v>240</v>
      </c>
      <c r="N677" s="0" t="s">
        <v>240</v>
      </c>
      <c r="O677" s="0" t="s">
        <v>240</v>
      </c>
      <c r="P677" s="0" t="s">
        <v>240</v>
      </c>
      <c r="Q677" s="0" t="s">
        <v>240</v>
      </c>
      <c r="R677" s="0" t="s">
        <v>7131</v>
      </c>
      <c r="S677" s="0" t="s">
        <v>240</v>
      </c>
      <c r="T677" s="0" t="s">
        <v>240</v>
      </c>
      <c r="U677" s="0" t="s">
        <v>102</v>
      </c>
      <c r="V677" s="0" t="s">
        <v>240</v>
      </c>
      <c r="W677" s="0" t="s">
        <v>240</v>
      </c>
      <c r="X677" s="0" t="s">
        <v>546</v>
      </c>
      <c r="Y677" s="0" t="s">
        <v>240</v>
      </c>
      <c r="Z677" s="0" t="s">
        <v>161</v>
      </c>
      <c r="AA677" s="0" t="s">
        <v>152</v>
      </c>
      <c r="AB677" s="0" t="s">
        <v>152</v>
      </c>
      <c r="AC677" s="0" t="s">
        <v>3389</v>
      </c>
      <c r="AD677" s="0" t="s">
        <v>3389</v>
      </c>
      <c r="AE677" s="0" t="s">
        <v>3390</v>
      </c>
      <c r="AF677" s="0" t="s">
        <v>5519</v>
      </c>
      <c r="AG677" s="0" t="s">
        <v>5520</v>
      </c>
      <c r="AH677" s="0" t="s">
        <v>7132</v>
      </c>
      <c r="AI677" s="0" t="s">
        <v>5533</v>
      </c>
      <c r="AJ677" s="0" t="s">
        <v>7133</v>
      </c>
      <c r="AK677" s="0" t="s">
        <v>7134</v>
      </c>
      <c r="AL677" s="0" t="s">
        <v>7009</v>
      </c>
      <c r="AN677" s="0" t="s">
        <v>7135</v>
      </c>
      <c r="AO677" s="0" t="s">
        <v>7136</v>
      </c>
      <c r="AP677" s="0" t="s">
        <v>240</v>
      </c>
      <c r="AQ677" s="0" t="s">
        <v>240</v>
      </c>
      <c r="AR677" s="0" t="s">
        <v>240</v>
      </c>
      <c r="AS677" s="0" t="s">
        <v>240</v>
      </c>
      <c r="AT677" s="0" t="s">
        <v>240</v>
      </c>
      <c r="AU677" s="0" t="s">
        <v>240</v>
      </c>
      <c r="AV677" s="0" t="s">
        <v>240</v>
      </c>
      <c r="AW677" s="0" t="s">
        <v>240</v>
      </c>
      <c r="AX677" s="0" t="s">
        <v>240</v>
      </c>
      <c r="AY677" s="0" t="s">
        <v>240</v>
      </c>
      <c r="AZ677" s="0" t="s">
        <v>240</v>
      </c>
      <c r="BA677" s="0" t="s">
        <v>240</v>
      </c>
      <c r="BB677" s="0" t="s">
        <v>240</v>
      </c>
      <c r="BC677" s="0" t="s">
        <v>240</v>
      </c>
      <c r="BD677" s="0" t="s">
        <v>240</v>
      </c>
      <c r="BE677" s="0" t="s">
        <v>240</v>
      </c>
      <c r="BF677" s="0" t="s">
        <v>240</v>
      </c>
      <c r="BG677" s="0" t="s">
        <v>240</v>
      </c>
      <c r="BH677" s="0" t="s">
        <v>240</v>
      </c>
      <c r="BI677" s="0" t="s">
        <v>240</v>
      </c>
      <c r="BJ677" s="0" t="s">
        <v>240</v>
      </c>
      <c r="BK677" s="0" t="s">
        <v>240</v>
      </c>
      <c r="BL677" s="0" t="s">
        <v>240</v>
      </c>
      <c r="BM677" s="0" t="s">
        <v>240</v>
      </c>
      <c r="BN677" s="0" t="s">
        <v>240</v>
      </c>
      <c r="BO677" s="0" t="s">
        <v>240</v>
      </c>
      <c r="BP677" s="0" t="s">
        <v>240</v>
      </c>
      <c r="BQ677" s="0" t="s">
        <v>240</v>
      </c>
      <c r="BR677" s="0" t="s">
        <v>240</v>
      </c>
      <c r="BS677" s="0" t="s">
        <v>240</v>
      </c>
      <c r="BT677" s="0" t="s">
        <v>240</v>
      </c>
      <c r="CS677" s="0" t="s">
        <v>240</v>
      </c>
      <c r="CT677" s="0" t="s">
        <v>5496</v>
      </c>
      <c r="CU677" s="0" t="s">
        <v>5497</v>
      </c>
      <c r="CV677" s="0" t="s">
        <v>443</v>
      </c>
      <c r="CW677" s="0" t="s">
        <v>5527</v>
      </c>
      <c r="CX677" s="0" t="s">
        <v>5528</v>
      </c>
      <c r="CY677" s="0" t="s">
        <v>443</v>
      </c>
      <c r="CZ677" s="0" t="s">
        <v>299</v>
      </c>
      <c r="DA677" s="0" t="s">
        <v>5529</v>
      </c>
      <c r="DB677" s="0" t="s">
        <v>5527</v>
      </c>
      <c r="DC677" s="0" t="s">
        <v>384</v>
      </c>
      <c r="DD677" s="0" t="s">
        <v>300</v>
      </c>
      <c r="DE677" s="0" t="s">
        <v>7137</v>
      </c>
    </row>
    <row customHeight="1" ht="11.25">
      <c r="A678" s="1441" t="s">
        <v>240</v>
      </c>
      <c r="B678" s="0" t="s">
        <v>240</v>
      </c>
      <c r="C678" s="0" t="s">
        <v>240</v>
      </c>
      <c r="D678" s="0" t="s">
        <v>240</v>
      </c>
      <c r="E678" s="0" t="s">
        <v>240</v>
      </c>
      <c r="F678" s="0" t="s">
        <v>240</v>
      </c>
      <c r="G678" s="0" t="s">
        <v>240</v>
      </c>
      <c r="H678" s="0" t="s">
        <v>240</v>
      </c>
      <c r="I678" s="0" t="s">
        <v>7004</v>
      </c>
      <c r="J678" s="0" t="s">
        <v>240</v>
      </c>
      <c r="K678" s="0" t="s">
        <v>240</v>
      </c>
      <c r="L678" s="0" t="s">
        <v>240</v>
      </c>
      <c r="M678" s="0" t="s">
        <v>240</v>
      </c>
      <c r="N678" s="0" t="s">
        <v>240</v>
      </c>
      <c r="O678" s="0" t="s">
        <v>240</v>
      </c>
      <c r="P678" s="0" t="s">
        <v>240</v>
      </c>
      <c r="Q678" s="0" t="s">
        <v>240</v>
      </c>
      <c r="R678" s="0" t="s">
        <v>6062</v>
      </c>
      <c r="S678" s="0" t="s">
        <v>240</v>
      </c>
      <c r="T678" s="0" t="s">
        <v>240</v>
      </c>
      <c r="U678" s="0" t="s">
        <v>102</v>
      </c>
      <c r="V678" s="0" t="s">
        <v>240</v>
      </c>
      <c r="W678" s="0" t="s">
        <v>240</v>
      </c>
      <c r="X678" s="0" t="s">
        <v>5585</v>
      </c>
      <c r="Y678" s="0" t="s">
        <v>240</v>
      </c>
      <c r="Z678" s="0" t="s">
        <v>152</v>
      </c>
      <c r="AA678" s="0" t="s">
        <v>152</v>
      </c>
      <c r="AB678" s="0" t="s">
        <v>161</v>
      </c>
      <c r="AC678" s="0" t="s">
        <v>3395</v>
      </c>
      <c r="AD678" s="0" t="s">
        <v>3395</v>
      </c>
      <c r="AE678" s="0" t="s">
        <v>3396</v>
      </c>
      <c r="AF678" s="0" t="s">
        <v>5941</v>
      </c>
      <c r="AG678" s="0" t="s">
        <v>5942</v>
      </c>
      <c r="AH678" s="0" t="s">
        <v>6063</v>
      </c>
      <c r="AI678" s="0" t="s">
        <v>5533</v>
      </c>
      <c r="AJ678" s="0" t="s">
        <v>240</v>
      </c>
      <c r="AK678" s="0" t="s">
        <v>240</v>
      </c>
      <c r="AL678" s="0" t="s">
        <v>240</v>
      </c>
      <c r="AN678" s="0" t="s">
        <v>240</v>
      </c>
      <c r="AO678" s="0" t="s">
        <v>240</v>
      </c>
      <c r="AP678" s="0" t="s">
        <v>240</v>
      </c>
      <c r="AQ678" s="0" t="s">
        <v>240</v>
      </c>
      <c r="AR678" s="0" t="s">
        <v>240</v>
      </c>
      <c r="AS678" s="0" t="s">
        <v>240</v>
      </c>
      <c r="AT678" s="0" t="s">
        <v>240</v>
      </c>
      <c r="AU678" s="0" t="s">
        <v>240</v>
      </c>
      <c r="AV678" s="0" t="s">
        <v>240</v>
      </c>
      <c r="AW678" s="0" t="s">
        <v>240</v>
      </c>
      <c r="AX678" s="0" t="s">
        <v>240</v>
      </c>
      <c r="AY678" s="0" t="s">
        <v>240</v>
      </c>
      <c r="AZ678" s="0" t="s">
        <v>240</v>
      </c>
      <c r="BA678" s="0" t="s">
        <v>240</v>
      </c>
      <c r="BB678" s="0" t="s">
        <v>240</v>
      </c>
      <c r="BC678" s="0" t="s">
        <v>240</v>
      </c>
      <c r="BD678" s="0" t="s">
        <v>240</v>
      </c>
      <c r="BE678" s="0" t="s">
        <v>7138</v>
      </c>
      <c r="BF678" s="0" t="s">
        <v>7139</v>
      </c>
      <c r="BG678" s="0" t="s">
        <v>112</v>
      </c>
      <c r="BH678" s="0" t="s">
        <v>5589</v>
      </c>
      <c r="BI678" s="0" t="s">
        <v>123</v>
      </c>
      <c r="BJ678" s="0" t="s">
        <v>240</v>
      </c>
      <c r="BK678" s="0" t="s">
        <v>152</v>
      </c>
      <c r="BL678" s="0" t="s">
        <v>3395</v>
      </c>
      <c r="BM678" s="0" t="s">
        <v>3395</v>
      </c>
      <c r="BN678" s="0" t="s">
        <v>6066</v>
      </c>
      <c r="BO678" s="0" t="s">
        <v>5941</v>
      </c>
      <c r="BP678" s="0" t="s">
        <v>6067</v>
      </c>
      <c r="BQ678" s="0" t="s">
        <v>6063</v>
      </c>
      <c r="BR678" s="0" t="s">
        <v>5533</v>
      </c>
      <c r="BS678" s="0" t="s">
        <v>240</v>
      </c>
      <c r="BT678" s="0" t="s">
        <v>5594</v>
      </c>
      <c r="CS678" s="0" t="s">
        <v>5553</v>
      </c>
      <c r="CT678" s="0" t="s">
        <v>5496</v>
      </c>
      <c r="CU678" s="0" t="s">
        <v>5497</v>
      </c>
      <c r="CV678" s="0" t="s">
        <v>5947</v>
      </c>
      <c r="CW678" s="0" t="s">
        <v>5948</v>
      </c>
      <c r="CX678" s="0" t="s">
        <v>5528</v>
      </c>
      <c r="CY678" s="0" t="s">
        <v>5947</v>
      </c>
      <c r="CZ678" s="0" t="s">
        <v>7022</v>
      </c>
      <c r="DA678" s="0" t="s">
        <v>5949</v>
      </c>
      <c r="DB678" s="0" t="s">
        <v>5948</v>
      </c>
      <c r="DC678" s="0" t="s">
        <v>384</v>
      </c>
      <c r="DD678" s="0" t="s">
        <v>300</v>
      </c>
      <c r="DE678" s="0" t="s">
        <v>7096</v>
      </c>
    </row>
    <row customHeight="1" ht="11.25">
      <c r="A679" s="1441" t="s">
        <v>240</v>
      </c>
      <c r="B679" s="0" t="s">
        <v>240</v>
      </c>
      <c r="C679" s="0" t="s">
        <v>240</v>
      </c>
      <c r="D679" s="0" t="s">
        <v>240</v>
      </c>
      <c r="E679" s="0" t="s">
        <v>240</v>
      </c>
      <c r="F679" s="0" t="s">
        <v>240</v>
      </c>
      <c r="G679" s="0" t="s">
        <v>240</v>
      </c>
      <c r="H679" s="0" t="s">
        <v>240</v>
      </c>
      <c r="I679" s="0" t="s">
        <v>7004</v>
      </c>
      <c r="J679" s="0" t="s">
        <v>240</v>
      </c>
      <c r="K679" s="0" t="s">
        <v>240</v>
      </c>
      <c r="L679" s="0" t="s">
        <v>240</v>
      </c>
      <c r="M679" s="0" t="s">
        <v>240</v>
      </c>
      <c r="N679" s="0" t="s">
        <v>240</v>
      </c>
      <c r="O679" s="0" t="s">
        <v>240</v>
      </c>
      <c r="P679" s="0" t="s">
        <v>240</v>
      </c>
      <c r="Q679" s="0" t="s">
        <v>240</v>
      </c>
      <c r="R679" s="0" t="s">
        <v>520</v>
      </c>
      <c r="S679" s="0" t="s">
        <v>240</v>
      </c>
      <c r="T679" s="0" t="s">
        <v>240</v>
      </c>
      <c r="U679" s="0" t="s">
        <v>102</v>
      </c>
      <c r="V679" s="0" t="s">
        <v>240</v>
      </c>
      <c r="W679" s="0" t="s">
        <v>240</v>
      </c>
      <c r="X679" s="0" t="s">
        <v>546</v>
      </c>
      <c r="Y679" s="0" t="s">
        <v>240</v>
      </c>
      <c r="Z679" s="0" t="s">
        <v>161</v>
      </c>
      <c r="AA679" s="0" t="s">
        <v>152</v>
      </c>
      <c r="AB679" s="0" t="s">
        <v>152</v>
      </c>
      <c r="AC679" s="0" t="s">
        <v>2985</v>
      </c>
      <c r="AD679" s="0" t="s">
        <v>2985</v>
      </c>
      <c r="AE679" s="0" t="s">
        <v>2986</v>
      </c>
      <c r="AF679" s="0" t="s">
        <v>5951</v>
      </c>
      <c r="AG679" s="0" t="s">
        <v>5952</v>
      </c>
      <c r="AH679" s="0" t="s">
        <v>7113</v>
      </c>
      <c r="AI679" s="0" t="s">
        <v>5533</v>
      </c>
      <c r="AJ679" s="0" t="s">
        <v>7140</v>
      </c>
      <c r="AK679" s="0" t="s">
        <v>5491</v>
      </c>
      <c r="AL679" s="0" t="s">
        <v>7009</v>
      </c>
      <c r="AN679" s="0" t="s">
        <v>5507</v>
      </c>
      <c r="AO679" s="0" t="s">
        <v>7141</v>
      </c>
      <c r="AP679" s="0" t="s">
        <v>240</v>
      </c>
      <c r="AQ679" s="0" t="s">
        <v>240</v>
      </c>
      <c r="AR679" s="0" t="s">
        <v>240</v>
      </c>
      <c r="AS679" s="0" t="s">
        <v>240</v>
      </c>
      <c r="AT679" s="0" t="s">
        <v>240</v>
      </c>
      <c r="AU679" s="0" t="s">
        <v>240</v>
      </c>
      <c r="AV679" s="0" t="s">
        <v>240</v>
      </c>
      <c r="AW679" s="0" t="s">
        <v>240</v>
      </c>
      <c r="AX679" s="0" t="s">
        <v>240</v>
      </c>
      <c r="AY679" s="0" t="s">
        <v>240</v>
      </c>
      <c r="AZ679" s="0" t="s">
        <v>240</v>
      </c>
      <c r="BA679" s="0" t="s">
        <v>240</v>
      </c>
      <c r="BB679" s="0" t="s">
        <v>240</v>
      </c>
      <c r="BC679" s="0" t="s">
        <v>240</v>
      </c>
      <c r="BD679" s="0" t="s">
        <v>240</v>
      </c>
      <c r="BE679" s="0" t="s">
        <v>240</v>
      </c>
      <c r="BF679" s="0" t="s">
        <v>240</v>
      </c>
      <c r="BG679" s="0" t="s">
        <v>240</v>
      </c>
      <c r="BH679" s="0" t="s">
        <v>240</v>
      </c>
      <c r="BI679" s="0" t="s">
        <v>240</v>
      </c>
      <c r="BJ679" s="0" t="s">
        <v>240</v>
      </c>
      <c r="BK679" s="0" t="s">
        <v>240</v>
      </c>
      <c r="BL679" s="0" t="s">
        <v>240</v>
      </c>
      <c r="BM679" s="0" t="s">
        <v>240</v>
      </c>
      <c r="BN679" s="0" t="s">
        <v>240</v>
      </c>
      <c r="BO679" s="0" t="s">
        <v>240</v>
      </c>
      <c r="BP679" s="0" t="s">
        <v>240</v>
      </c>
      <c r="BQ679" s="0" t="s">
        <v>240</v>
      </c>
      <c r="BR679" s="0" t="s">
        <v>240</v>
      </c>
      <c r="BS679" s="0" t="s">
        <v>240</v>
      </c>
      <c r="BT679" s="0" t="s">
        <v>240</v>
      </c>
      <c r="CS679" s="0" t="s">
        <v>240</v>
      </c>
      <c r="CT679" s="0" t="s">
        <v>5496</v>
      </c>
      <c r="CU679" s="0" t="s">
        <v>5497</v>
      </c>
      <c r="CV679" s="0" t="s">
        <v>443</v>
      </c>
      <c r="CW679" s="0" t="s">
        <v>5509</v>
      </c>
      <c r="CX679" s="0" t="s">
        <v>229</v>
      </c>
      <c r="CY679" s="0" t="s">
        <v>443</v>
      </c>
      <c r="CZ679" s="0" t="s">
        <v>5510</v>
      </c>
      <c r="DA679" s="0" t="s">
        <v>5511</v>
      </c>
      <c r="DB679" s="0" t="s">
        <v>5509</v>
      </c>
      <c r="DC679" s="0" t="s">
        <v>384</v>
      </c>
      <c r="DD679" s="0" t="s">
        <v>300</v>
      </c>
      <c r="DE679" s="0" t="s">
        <v>7142</v>
      </c>
    </row>
    <row customHeight="1" ht="11.25">
      <c r="A680" s="1441" t="s">
        <v>240</v>
      </c>
      <c r="B680" s="0" t="s">
        <v>240</v>
      </c>
      <c r="C680" s="0" t="s">
        <v>240</v>
      </c>
      <c r="D680" s="0" t="s">
        <v>240</v>
      </c>
      <c r="E680" s="0" t="s">
        <v>240</v>
      </c>
      <c r="F680" s="0" t="s">
        <v>240</v>
      </c>
      <c r="G680" s="0" t="s">
        <v>240</v>
      </c>
      <c r="H680" s="0" t="s">
        <v>240</v>
      </c>
      <c r="I680" s="0" t="s">
        <v>7004</v>
      </c>
      <c r="J680" s="0" t="s">
        <v>240</v>
      </c>
      <c r="K680" s="0" t="s">
        <v>240</v>
      </c>
      <c r="L680" s="0" t="s">
        <v>240</v>
      </c>
      <c r="M680" s="0" t="s">
        <v>240</v>
      </c>
      <c r="N680" s="0" t="s">
        <v>240</v>
      </c>
      <c r="O680" s="0" t="s">
        <v>240</v>
      </c>
      <c r="P680" s="0" t="s">
        <v>240</v>
      </c>
      <c r="Q680" s="0" t="s">
        <v>240</v>
      </c>
      <c r="R680" s="0" t="s">
        <v>7143</v>
      </c>
      <c r="S680" s="0" t="s">
        <v>240</v>
      </c>
      <c r="T680" s="0" t="s">
        <v>240</v>
      </c>
      <c r="U680" s="0" t="s">
        <v>102</v>
      </c>
      <c r="V680" s="0" t="s">
        <v>240</v>
      </c>
      <c r="W680" s="0" t="s">
        <v>240</v>
      </c>
      <c r="X680" s="0" t="s">
        <v>546</v>
      </c>
      <c r="Y680" s="0" t="s">
        <v>240</v>
      </c>
      <c r="Z680" s="0" t="s">
        <v>161</v>
      </c>
      <c r="AA680" s="0" t="s">
        <v>152</v>
      </c>
      <c r="AB680" s="0" t="s">
        <v>152</v>
      </c>
      <c r="AC680" s="0" t="s">
        <v>2985</v>
      </c>
      <c r="AD680" s="0" t="s">
        <v>2985</v>
      </c>
      <c r="AE680" s="0" t="s">
        <v>2986</v>
      </c>
      <c r="AF680" s="0" t="s">
        <v>5951</v>
      </c>
      <c r="AG680" s="0" t="s">
        <v>5952</v>
      </c>
      <c r="AH680" s="0" t="s">
        <v>7144</v>
      </c>
      <c r="AI680" s="0" t="s">
        <v>5533</v>
      </c>
      <c r="AJ680" s="0" t="s">
        <v>5945</v>
      </c>
      <c r="AK680" s="0" t="s">
        <v>7145</v>
      </c>
      <c r="AL680" s="0" t="s">
        <v>7009</v>
      </c>
      <c r="AN680" s="0" t="s">
        <v>5507</v>
      </c>
      <c r="AO680" s="0" t="s">
        <v>7146</v>
      </c>
      <c r="AP680" s="0" t="s">
        <v>240</v>
      </c>
      <c r="AQ680" s="0" t="s">
        <v>240</v>
      </c>
      <c r="AR680" s="0" t="s">
        <v>240</v>
      </c>
      <c r="AS680" s="0" t="s">
        <v>240</v>
      </c>
      <c r="AT680" s="0" t="s">
        <v>240</v>
      </c>
      <c r="AU680" s="0" t="s">
        <v>240</v>
      </c>
      <c r="AV680" s="0" t="s">
        <v>240</v>
      </c>
      <c r="AW680" s="0" t="s">
        <v>240</v>
      </c>
      <c r="AX680" s="0" t="s">
        <v>240</v>
      </c>
      <c r="AY680" s="0" t="s">
        <v>240</v>
      </c>
      <c r="AZ680" s="0" t="s">
        <v>240</v>
      </c>
      <c r="BA680" s="0" t="s">
        <v>240</v>
      </c>
      <c r="BB680" s="0" t="s">
        <v>240</v>
      </c>
      <c r="BC680" s="0" t="s">
        <v>240</v>
      </c>
      <c r="BD680" s="0" t="s">
        <v>240</v>
      </c>
      <c r="BE680" s="0" t="s">
        <v>240</v>
      </c>
      <c r="BF680" s="0" t="s">
        <v>240</v>
      </c>
      <c r="BG680" s="0" t="s">
        <v>240</v>
      </c>
      <c r="BH680" s="0" t="s">
        <v>240</v>
      </c>
      <c r="BI680" s="0" t="s">
        <v>240</v>
      </c>
      <c r="BJ680" s="0" t="s">
        <v>240</v>
      </c>
      <c r="BK680" s="0" t="s">
        <v>240</v>
      </c>
      <c r="BL680" s="0" t="s">
        <v>240</v>
      </c>
      <c r="BM680" s="0" t="s">
        <v>240</v>
      </c>
      <c r="BN680" s="0" t="s">
        <v>240</v>
      </c>
      <c r="BO680" s="0" t="s">
        <v>240</v>
      </c>
      <c r="BP680" s="0" t="s">
        <v>240</v>
      </c>
      <c r="BQ680" s="0" t="s">
        <v>240</v>
      </c>
      <c r="BR680" s="0" t="s">
        <v>240</v>
      </c>
      <c r="BS680" s="0" t="s">
        <v>240</v>
      </c>
      <c r="BT680" s="0" t="s">
        <v>240</v>
      </c>
      <c r="CS680" s="0" t="s">
        <v>240</v>
      </c>
      <c r="CT680" s="0" t="s">
        <v>5496</v>
      </c>
      <c r="CU680" s="0" t="s">
        <v>5497</v>
      </c>
      <c r="CV680" s="0" t="s">
        <v>443</v>
      </c>
      <c r="CW680" s="0" t="s">
        <v>5509</v>
      </c>
      <c r="CX680" s="0" t="s">
        <v>229</v>
      </c>
      <c r="CY680" s="0" t="s">
        <v>443</v>
      </c>
      <c r="CZ680" s="0" t="s">
        <v>5510</v>
      </c>
      <c r="DA680" s="0" t="s">
        <v>5511</v>
      </c>
      <c r="DB680" s="0" t="s">
        <v>5509</v>
      </c>
      <c r="DC680" s="0" t="s">
        <v>384</v>
      </c>
      <c r="DD680" s="0" t="s">
        <v>300</v>
      </c>
      <c r="DE680" s="0" t="s">
        <v>7147</v>
      </c>
    </row>
    <row customHeight="1" ht="11.25">
      <c r="A681" s="1441" t="s">
        <v>240</v>
      </c>
      <c r="B681" s="0" t="s">
        <v>240</v>
      </c>
      <c r="C681" s="0" t="s">
        <v>240</v>
      </c>
      <c r="D681" s="0" t="s">
        <v>240</v>
      </c>
      <c r="E681" s="0" t="s">
        <v>240</v>
      </c>
      <c r="F681" s="0" t="s">
        <v>240</v>
      </c>
      <c r="G681" s="0" t="s">
        <v>240</v>
      </c>
      <c r="H681" s="0" t="s">
        <v>240</v>
      </c>
      <c r="I681" s="0" t="s">
        <v>7004</v>
      </c>
      <c r="J681" s="0" t="s">
        <v>240</v>
      </c>
      <c r="K681" s="0" t="s">
        <v>240</v>
      </c>
      <c r="L681" s="0" t="s">
        <v>240</v>
      </c>
      <c r="M681" s="0" t="s">
        <v>240</v>
      </c>
      <c r="N681" s="0" t="s">
        <v>240</v>
      </c>
      <c r="O681" s="0" t="s">
        <v>240</v>
      </c>
      <c r="P681" s="0" t="s">
        <v>240</v>
      </c>
      <c r="Q681" s="0" t="s">
        <v>240</v>
      </c>
      <c r="R681" s="0" t="s">
        <v>7148</v>
      </c>
      <c r="S681" s="0" t="s">
        <v>240</v>
      </c>
      <c r="T681" s="0" t="s">
        <v>240</v>
      </c>
      <c r="U681" s="0" t="s">
        <v>102</v>
      </c>
      <c r="V681" s="0" t="s">
        <v>240</v>
      </c>
      <c r="W681" s="0" t="s">
        <v>240</v>
      </c>
      <c r="X681" s="0" t="s">
        <v>546</v>
      </c>
      <c r="Y681" s="0" t="s">
        <v>240</v>
      </c>
      <c r="Z681" s="0" t="s">
        <v>161</v>
      </c>
      <c r="AA681" s="0" t="s">
        <v>152</v>
      </c>
      <c r="AB681" s="0" t="s">
        <v>152</v>
      </c>
      <c r="AC681" s="0" t="s">
        <v>2989</v>
      </c>
      <c r="AD681" s="0" t="s">
        <v>2989</v>
      </c>
      <c r="AE681" s="0" t="s">
        <v>2990</v>
      </c>
      <c r="AF681" s="0" t="s">
        <v>5975</v>
      </c>
      <c r="AG681" s="0" t="s">
        <v>5976</v>
      </c>
      <c r="AH681" s="0" t="s">
        <v>7149</v>
      </c>
      <c r="AI681" s="0" t="s">
        <v>5575</v>
      </c>
      <c r="AJ681" s="0" t="s">
        <v>7125</v>
      </c>
      <c r="AK681" s="0" t="s">
        <v>7145</v>
      </c>
      <c r="AL681" s="0" t="s">
        <v>7009</v>
      </c>
      <c r="AN681" s="0" t="s">
        <v>5507</v>
      </c>
      <c r="AO681" s="0" t="s">
        <v>7150</v>
      </c>
      <c r="AP681" s="0" t="s">
        <v>240</v>
      </c>
      <c r="AQ681" s="0" t="s">
        <v>240</v>
      </c>
      <c r="AR681" s="0" t="s">
        <v>240</v>
      </c>
      <c r="AS681" s="0" t="s">
        <v>240</v>
      </c>
      <c r="AT681" s="0" t="s">
        <v>240</v>
      </c>
      <c r="AU681" s="0" t="s">
        <v>240</v>
      </c>
      <c r="AV681" s="0" t="s">
        <v>240</v>
      </c>
      <c r="AW681" s="0" t="s">
        <v>240</v>
      </c>
      <c r="AX681" s="0" t="s">
        <v>240</v>
      </c>
      <c r="AY681" s="0" t="s">
        <v>240</v>
      </c>
      <c r="AZ681" s="0" t="s">
        <v>240</v>
      </c>
      <c r="BA681" s="0" t="s">
        <v>240</v>
      </c>
      <c r="BB681" s="0" t="s">
        <v>240</v>
      </c>
      <c r="BC681" s="0" t="s">
        <v>240</v>
      </c>
      <c r="BD681" s="0" t="s">
        <v>240</v>
      </c>
      <c r="BE681" s="0" t="s">
        <v>240</v>
      </c>
      <c r="BF681" s="0" t="s">
        <v>240</v>
      </c>
      <c r="BG681" s="0" t="s">
        <v>240</v>
      </c>
      <c r="BH681" s="0" t="s">
        <v>240</v>
      </c>
      <c r="BI681" s="0" t="s">
        <v>240</v>
      </c>
      <c r="BJ681" s="0" t="s">
        <v>240</v>
      </c>
      <c r="BK681" s="0" t="s">
        <v>240</v>
      </c>
      <c r="BL681" s="0" t="s">
        <v>240</v>
      </c>
      <c r="BM681" s="0" t="s">
        <v>240</v>
      </c>
      <c r="BN681" s="0" t="s">
        <v>240</v>
      </c>
      <c r="BO681" s="0" t="s">
        <v>240</v>
      </c>
      <c r="BP681" s="0" t="s">
        <v>240</v>
      </c>
      <c r="BQ681" s="0" t="s">
        <v>240</v>
      </c>
      <c r="BR681" s="0" t="s">
        <v>240</v>
      </c>
      <c r="BS681" s="0" t="s">
        <v>240</v>
      </c>
      <c r="BT681" s="0" t="s">
        <v>240</v>
      </c>
      <c r="CS681" s="0" t="s">
        <v>240</v>
      </c>
      <c r="CT681" s="0" t="s">
        <v>5496</v>
      </c>
      <c r="CU681" s="0" t="s">
        <v>5497</v>
      </c>
      <c r="CV681" s="0" t="s">
        <v>443</v>
      </c>
      <c r="CW681" s="0" t="s">
        <v>5580</v>
      </c>
      <c r="CX681" s="0" t="s">
        <v>229</v>
      </c>
      <c r="CY681" s="0" t="s">
        <v>443</v>
      </c>
      <c r="CZ681" s="0" t="s">
        <v>5581</v>
      </c>
      <c r="DA681" s="0" t="s">
        <v>5582</v>
      </c>
      <c r="DB681" s="0" t="s">
        <v>5580</v>
      </c>
      <c r="DC681" s="0" t="s">
        <v>384</v>
      </c>
      <c r="DD681" s="0" t="s">
        <v>300</v>
      </c>
      <c r="DE681" s="0" t="s">
        <v>7151</v>
      </c>
    </row>
    <row customHeight="1" ht="11.25">
      <c r="A682" s="1441" t="s">
        <v>240</v>
      </c>
      <c r="B682" s="0" t="s">
        <v>240</v>
      </c>
      <c r="C682" s="0" t="s">
        <v>240</v>
      </c>
      <c r="D682" s="0" t="s">
        <v>240</v>
      </c>
      <c r="E682" s="0" t="s">
        <v>240</v>
      </c>
      <c r="F682" s="0" t="s">
        <v>240</v>
      </c>
      <c r="G682" s="0" t="s">
        <v>240</v>
      </c>
      <c r="H682" s="0" t="s">
        <v>240</v>
      </c>
      <c r="I682" s="0" t="s">
        <v>7004</v>
      </c>
      <c r="J682" s="0" t="s">
        <v>240</v>
      </c>
      <c r="K682" s="0" t="s">
        <v>240</v>
      </c>
      <c r="L682" s="0" t="s">
        <v>240</v>
      </c>
      <c r="M682" s="0" t="s">
        <v>240</v>
      </c>
      <c r="N682" s="0" t="s">
        <v>240</v>
      </c>
      <c r="O682" s="0" t="s">
        <v>240</v>
      </c>
      <c r="P682" s="0" t="s">
        <v>240</v>
      </c>
      <c r="Q682" s="0" t="s">
        <v>240</v>
      </c>
      <c r="R682" s="0" t="s">
        <v>7152</v>
      </c>
      <c r="S682" s="0" t="s">
        <v>240</v>
      </c>
      <c r="T682" s="0" t="s">
        <v>240</v>
      </c>
      <c r="U682" s="0" t="s">
        <v>102</v>
      </c>
      <c r="V682" s="0" t="s">
        <v>240</v>
      </c>
      <c r="W682" s="0" t="s">
        <v>240</v>
      </c>
      <c r="X682" s="0" t="s">
        <v>546</v>
      </c>
      <c r="Y682" s="0" t="s">
        <v>240</v>
      </c>
      <c r="Z682" s="0" t="s">
        <v>161</v>
      </c>
      <c r="AA682" s="0" t="s">
        <v>152</v>
      </c>
      <c r="AB682" s="0" t="s">
        <v>152</v>
      </c>
      <c r="AC682" s="0" t="s">
        <v>3395</v>
      </c>
      <c r="AD682" s="0" t="s">
        <v>3395</v>
      </c>
      <c r="AE682" s="0" t="s">
        <v>3396</v>
      </c>
      <c r="AF682" s="0" t="s">
        <v>5941</v>
      </c>
      <c r="AG682" s="0" t="s">
        <v>5942</v>
      </c>
      <c r="AH682" s="0" t="s">
        <v>7153</v>
      </c>
      <c r="AI682" s="0" t="s">
        <v>5533</v>
      </c>
      <c r="AJ682" s="0" t="s">
        <v>7154</v>
      </c>
      <c r="AK682" s="0" t="s">
        <v>7154</v>
      </c>
      <c r="AL682" s="0" t="s">
        <v>7009</v>
      </c>
      <c r="AN682" s="0" t="s">
        <v>5553</v>
      </c>
      <c r="AO682" s="0" t="s">
        <v>7155</v>
      </c>
      <c r="AP682" s="0" t="s">
        <v>240</v>
      </c>
      <c r="AQ682" s="0" t="s">
        <v>240</v>
      </c>
      <c r="AR682" s="0" t="s">
        <v>240</v>
      </c>
      <c r="AS682" s="0" t="s">
        <v>240</v>
      </c>
      <c r="AT682" s="0" t="s">
        <v>240</v>
      </c>
      <c r="AU682" s="0" t="s">
        <v>240</v>
      </c>
      <c r="AV682" s="0" t="s">
        <v>240</v>
      </c>
      <c r="AW682" s="0" t="s">
        <v>240</v>
      </c>
      <c r="AX682" s="0" t="s">
        <v>240</v>
      </c>
      <c r="AY682" s="0" t="s">
        <v>240</v>
      </c>
      <c r="AZ682" s="0" t="s">
        <v>240</v>
      </c>
      <c r="BA682" s="0" t="s">
        <v>240</v>
      </c>
      <c r="BB682" s="0" t="s">
        <v>240</v>
      </c>
      <c r="BC682" s="0" t="s">
        <v>240</v>
      </c>
      <c r="BD682" s="0" t="s">
        <v>240</v>
      </c>
      <c r="BE682" s="0" t="s">
        <v>240</v>
      </c>
      <c r="BF682" s="0" t="s">
        <v>240</v>
      </c>
      <c r="BG682" s="0" t="s">
        <v>240</v>
      </c>
      <c r="BH682" s="0" t="s">
        <v>240</v>
      </c>
      <c r="BI682" s="0" t="s">
        <v>240</v>
      </c>
      <c r="BJ682" s="0" t="s">
        <v>240</v>
      </c>
      <c r="BK682" s="0" t="s">
        <v>240</v>
      </c>
      <c r="BL682" s="0" t="s">
        <v>240</v>
      </c>
      <c r="BM682" s="0" t="s">
        <v>240</v>
      </c>
      <c r="BN682" s="0" t="s">
        <v>240</v>
      </c>
      <c r="BO682" s="0" t="s">
        <v>240</v>
      </c>
      <c r="BP682" s="0" t="s">
        <v>240</v>
      </c>
      <c r="BQ682" s="0" t="s">
        <v>240</v>
      </c>
      <c r="BR682" s="0" t="s">
        <v>240</v>
      </c>
      <c r="BS682" s="0" t="s">
        <v>240</v>
      </c>
      <c r="BT682" s="0" t="s">
        <v>240</v>
      </c>
      <c r="CS682" s="0" t="s">
        <v>240</v>
      </c>
      <c r="CT682" s="0" t="s">
        <v>5496</v>
      </c>
      <c r="CU682" s="0" t="s">
        <v>5497</v>
      </c>
      <c r="CV682" s="0" t="s">
        <v>5947</v>
      </c>
      <c r="CW682" s="0" t="s">
        <v>5948</v>
      </c>
      <c r="CX682" s="0" t="s">
        <v>5528</v>
      </c>
      <c r="CY682" s="0" t="s">
        <v>5947</v>
      </c>
      <c r="CZ682" s="0" t="s">
        <v>7022</v>
      </c>
      <c r="DA682" s="0" t="s">
        <v>5949</v>
      </c>
      <c r="DB682" s="0" t="s">
        <v>5948</v>
      </c>
      <c r="DC682" s="0" t="s">
        <v>384</v>
      </c>
      <c r="DD682" s="0" t="s">
        <v>300</v>
      </c>
      <c r="DE682" s="0" t="s">
        <v>7156</v>
      </c>
    </row>
    <row customHeight="1" ht="11.25">
      <c r="A683" s="1441" t="s">
        <v>240</v>
      </c>
      <c r="B683" s="0" t="s">
        <v>240</v>
      </c>
      <c r="C683" s="0" t="s">
        <v>240</v>
      </c>
      <c r="D683" s="0" t="s">
        <v>240</v>
      </c>
      <c r="E683" s="0" t="s">
        <v>240</v>
      </c>
      <c r="F683" s="0" t="s">
        <v>240</v>
      </c>
      <c r="G683" s="0" t="s">
        <v>240</v>
      </c>
      <c r="H683" s="0" t="s">
        <v>240</v>
      </c>
      <c r="I683" s="0" t="s">
        <v>7004</v>
      </c>
      <c r="J683" s="0" t="s">
        <v>240</v>
      </c>
      <c r="K683" s="0" t="s">
        <v>240</v>
      </c>
      <c r="L683" s="0" t="s">
        <v>240</v>
      </c>
      <c r="M683" s="0" t="s">
        <v>240</v>
      </c>
      <c r="N683" s="0" t="s">
        <v>240</v>
      </c>
      <c r="O683" s="0" t="s">
        <v>240</v>
      </c>
      <c r="P683" s="0" t="s">
        <v>240</v>
      </c>
      <c r="Q683" s="0" t="s">
        <v>240</v>
      </c>
      <c r="R683" s="0" t="s">
        <v>7157</v>
      </c>
      <c r="S683" s="0" t="s">
        <v>240</v>
      </c>
      <c r="T683" s="0" t="s">
        <v>240</v>
      </c>
      <c r="U683" s="0" t="s">
        <v>102</v>
      </c>
      <c r="V683" s="0" t="s">
        <v>240</v>
      </c>
      <c r="W683" s="0" t="s">
        <v>240</v>
      </c>
      <c r="X683" s="0" t="s">
        <v>546</v>
      </c>
      <c r="Y683" s="0" t="s">
        <v>240</v>
      </c>
      <c r="Z683" s="0" t="s">
        <v>161</v>
      </c>
      <c r="AA683" s="0" t="s">
        <v>152</v>
      </c>
      <c r="AB683" s="0" t="s">
        <v>152</v>
      </c>
      <c r="AC683" s="0" t="s">
        <v>3389</v>
      </c>
      <c r="AD683" s="0" t="s">
        <v>3389</v>
      </c>
      <c r="AE683" s="0" t="s">
        <v>3390</v>
      </c>
      <c r="AF683" s="0" t="s">
        <v>5519</v>
      </c>
      <c r="AG683" s="0" t="s">
        <v>5520</v>
      </c>
      <c r="AH683" s="0" t="s">
        <v>7158</v>
      </c>
      <c r="AI683" s="0" t="s">
        <v>5575</v>
      </c>
      <c r="AJ683" s="0" t="s">
        <v>5903</v>
      </c>
      <c r="AK683" s="0" t="s">
        <v>7159</v>
      </c>
      <c r="AL683" s="0" t="s">
        <v>7009</v>
      </c>
      <c r="AN683" s="0" t="s">
        <v>5491</v>
      </c>
      <c r="AO683" s="0" t="s">
        <v>7160</v>
      </c>
      <c r="AP683" s="0" t="s">
        <v>240</v>
      </c>
      <c r="AQ683" s="0" t="s">
        <v>240</v>
      </c>
      <c r="AR683" s="0" t="s">
        <v>240</v>
      </c>
      <c r="AS683" s="0" t="s">
        <v>240</v>
      </c>
      <c r="AT683" s="0" t="s">
        <v>240</v>
      </c>
      <c r="AU683" s="0" t="s">
        <v>240</v>
      </c>
      <c r="AV683" s="0" t="s">
        <v>240</v>
      </c>
      <c r="AW683" s="0" t="s">
        <v>240</v>
      </c>
      <c r="AX683" s="0" t="s">
        <v>240</v>
      </c>
      <c r="AY683" s="0" t="s">
        <v>240</v>
      </c>
      <c r="AZ683" s="0" t="s">
        <v>240</v>
      </c>
      <c r="BA683" s="0" t="s">
        <v>240</v>
      </c>
      <c r="BB683" s="0" t="s">
        <v>240</v>
      </c>
      <c r="BC683" s="0" t="s">
        <v>240</v>
      </c>
      <c r="BD683" s="0" t="s">
        <v>240</v>
      </c>
      <c r="BE683" s="0" t="s">
        <v>240</v>
      </c>
      <c r="BF683" s="0" t="s">
        <v>240</v>
      </c>
      <c r="BG683" s="0" t="s">
        <v>240</v>
      </c>
      <c r="BH683" s="0" t="s">
        <v>240</v>
      </c>
      <c r="BI683" s="0" t="s">
        <v>240</v>
      </c>
      <c r="BJ683" s="0" t="s">
        <v>240</v>
      </c>
      <c r="BK683" s="0" t="s">
        <v>240</v>
      </c>
      <c r="BL683" s="0" t="s">
        <v>240</v>
      </c>
      <c r="BM683" s="0" t="s">
        <v>240</v>
      </c>
      <c r="BN683" s="0" t="s">
        <v>240</v>
      </c>
      <c r="BO683" s="0" t="s">
        <v>240</v>
      </c>
      <c r="BP683" s="0" t="s">
        <v>240</v>
      </c>
      <c r="BQ683" s="0" t="s">
        <v>240</v>
      </c>
      <c r="BR683" s="0" t="s">
        <v>240</v>
      </c>
      <c r="BS683" s="0" t="s">
        <v>240</v>
      </c>
      <c r="BT683" s="0" t="s">
        <v>240</v>
      </c>
      <c r="CS683" s="0" t="s">
        <v>240</v>
      </c>
      <c r="CT683" s="0" t="s">
        <v>5496</v>
      </c>
      <c r="CU683" s="0" t="s">
        <v>5497</v>
      </c>
      <c r="CV683" s="0" t="s">
        <v>443</v>
      </c>
      <c r="CW683" s="0" t="s">
        <v>5527</v>
      </c>
      <c r="CX683" s="0" t="s">
        <v>229</v>
      </c>
      <c r="CY683" s="0" t="s">
        <v>443</v>
      </c>
      <c r="CZ683" s="0" t="s">
        <v>299</v>
      </c>
      <c r="DA683" s="0" t="s">
        <v>5529</v>
      </c>
      <c r="DB683" s="0" t="s">
        <v>5527</v>
      </c>
      <c r="DC683" s="0" t="s">
        <v>384</v>
      </c>
      <c r="DD683" s="0" t="s">
        <v>300</v>
      </c>
      <c r="DE683" s="0" t="s">
        <v>7161</v>
      </c>
    </row>
    <row customHeight="1" ht="11.25">
      <c r="A684" s="1441" t="s">
        <v>240</v>
      </c>
      <c r="B684" s="0" t="s">
        <v>240</v>
      </c>
      <c r="C684" s="0" t="s">
        <v>240</v>
      </c>
      <c r="D684" s="0" t="s">
        <v>240</v>
      </c>
      <c r="E684" s="0" t="s">
        <v>240</v>
      </c>
      <c r="F684" s="0" t="s">
        <v>240</v>
      </c>
      <c r="G684" s="0" t="s">
        <v>240</v>
      </c>
      <c r="H684" s="0" t="s">
        <v>240</v>
      </c>
      <c r="I684" s="0" t="s">
        <v>7004</v>
      </c>
      <c r="J684" s="0" t="s">
        <v>240</v>
      </c>
      <c r="K684" s="0" t="s">
        <v>240</v>
      </c>
      <c r="L684" s="0" t="s">
        <v>240</v>
      </c>
      <c r="M684" s="0" t="s">
        <v>240</v>
      </c>
      <c r="N684" s="0" t="s">
        <v>240</v>
      </c>
      <c r="O684" s="0" t="s">
        <v>240</v>
      </c>
      <c r="P684" s="0" t="s">
        <v>240</v>
      </c>
      <c r="Q684" s="0" t="s">
        <v>240</v>
      </c>
      <c r="R684" s="0" t="s">
        <v>7162</v>
      </c>
      <c r="S684" s="0" t="s">
        <v>240</v>
      </c>
      <c r="T684" s="0" t="s">
        <v>240</v>
      </c>
      <c r="U684" s="0" t="s">
        <v>102</v>
      </c>
      <c r="V684" s="0" t="s">
        <v>240</v>
      </c>
      <c r="W684" s="0" t="s">
        <v>240</v>
      </c>
      <c r="X684" s="0" t="s">
        <v>546</v>
      </c>
      <c r="Y684" s="0" t="s">
        <v>240</v>
      </c>
      <c r="Z684" s="0" t="s">
        <v>161</v>
      </c>
      <c r="AA684" s="0" t="s">
        <v>152</v>
      </c>
      <c r="AB684" s="0" t="s">
        <v>152</v>
      </c>
      <c r="AC684" s="0" t="s">
        <v>3389</v>
      </c>
      <c r="AD684" s="0" t="s">
        <v>3389</v>
      </c>
      <c r="AE684" s="0" t="s">
        <v>3390</v>
      </c>
      <c r="AF684" s="0" t="s">
        <v>5519</v>
      </c>
      <c r="AG684" s="0" t="s">
        <v>5520</v>
      </c>
      <c r="AH684" s="0" t="s">
        <v>7163</v>
      </c>
      <c r="AI684" s="0" t="s">
        <v>5575</v>
      </c>
      <c r="AJ684" s="0" t="s">
        <v>7164</v>
      </c>
      <c r="AK684" s="0" t="s">
        <v>7165</v>
      </c>
      <c r="AL684" s="0" t="s">
        <v>7009</v>
      </c>
      <c r="AN684" s="0" t="s">
        <v>6725</v>
      </c>
      <c r="AO684" s="0" t="s">
        <v>7166</v>
      </c>
      <c r="AP684" s="0" t="s">
        <v>240</v>
      </c>
      <c r="AQ684" s="0" t="s">
        <v>240</v>
      </c>
      <c r="AR684" s="0" t="s">
        <v>240</v>
      </c>
      <c r="AS684" s="0" t="s">
        <v>240</v>
      </c>
      <c r="AT684" s="0" t="s">
        <v>240</v>
      </c>
      <c r="AU684" s="0" t="s">
        <v>240</v>
      </c>
      <c r="AV684" s="0" t="s">
        <v>240</v>
      </c>
      <c r="AW684" s="0" t="s">
        <v>240</v>
      </c>
      <c r="AX684" s="0" t="s">
        <v>240</v>
      </c>
      <c r="AY684" s="0" t="s">
        <v>240</v>
      </c>
      <c r="AZ684" s="0" t="s">
        <v>240</v>
      </c>
      <c r="BA684" s="0" t="s">
        <v>240</v>
      </c>
      <c r="BB684" s="0" t="s">
        <v>240</v>
      </c>
      <c r="BC684" s="0" t="s">
        <v>240</v>
      </c>
      <c r="BD684" s="0" t="s">
        <v>240</v>
      </c>
      <c r="BE684" s="0" t="s">
        <v>240</v>
      </c>
      <c r="BF684" s="0" t="s">
        <v>240</v>
      </c>
      <c r="BG684" s="0" t="s">
        <v>240</v>
      </c>
      <c r="BH684" s="0" t="s">
        <v>240</v>
      </c>
      <c r="BI684" s="0" t="s">
        <v>240</v>
      </c>
      <c r="BJ684" s="0" t="s">
        <v>240</v>
      </c>
      <c r="BK684" s="0" t="s">
        <v>240</v>
      </c>
      <c r="BL684" s="0" t="s">
        <v>240</v>
      </c>
      <c r="BM684" s="0" t="s">
        <v>240</v>
      </c>
      <c r="BN684" s="0" t="s">
        <v>240</v>
      </c>
      <c r="BO684" s="0" t="s">
        <v>240</v>
      </c>
      <c r="BP684" s="0" t="s">
        <v>240</v>
      </c>
      <c r="BQ684" s="0" t="s">
        <v>240</v>
      </c>
      <c r="BR684" s="0" t="s">
        <v>240</v>
      </c>
      <c r="BS684" s="0" t="s">
        <v>240</v>
      </c>
      <c r="BT684" s="0" t="s">
        <v>240</v>
      </c>
      <c r="CS684" s="0" t="s">
        <v>240</v>
      </c>
      <c r="CT684" s="0" t="s">
        <v>5496</v>
      </c>
      <c r="CU684" s="0" t="s">
        <v>5497</v>
      </c>
      <c r="CV684" s="0" t="s">
        <v>443</v>
      </c>
      <c r="CW684" s="0" t="s">
        <v>5527</v>
      </c>
      <c r="CX684" s="0" t="s">
        <v>229</v>
      </c>
      <c r="CY684" s="0" t="s">
        <v>443</v>
      </c>
      <c r="CZ684" s="0" t="s">
        <v>299</v>
      </c>
      <c r="DA684" s="0" t="s">
        <v>5529</v>
      </c>
      <c r="DB684" s="0" t="s">
        <v>5527</v>
      </c>
      <c r="DC684" s="0" t="s">
        <v>384</v>
      </c>
      <c r="DD684" s="0" t="s">
        <v>300</v>
      </c>
      <c r="DE684" s="0" t="s">
        <v>7167</v>
      </c>
    </row>
    <row customHeight="1" ht="11.25">
      <c r="A685" s="1441" t="s">
        <v>240</v>
      </c>
      <c r="B685" s="0" t="s">
        <v>240</v>
      </c>
      <c r="C685" s="0" t="s">
        <v>240</v>
      </c>
      <c r="D685" s="0" t="s">
        <v>240</v>
      </c>
      <c r="E685" s="0" t="s">
        <v>240</v>
      </c>
      <c r="F685" s="0" t="s">
        <v>240</v>
      </c>
      <c r="G685" s="0" t="s">
        <v>240</v>
      </c>
      <c r="H685" s="0" t="s">
        <v>240</v>
      </c>
      <c r="I685" s="0" t="s">
        <v>7004</v>
      </c>
      <c r="J685" s="0" t="s">
        <v>240</v>
      </c>
      <c r="K685" s="0" t="s">
        <v>240</v>
      </c>
      <c r="L685" s="0" t="s">
        <v>240</v>
      </c>
      <c r="M685" s="0" t="s">
        <v>240</v>
      </c>
      <c r="N685" s="0" t="s">
        <v>240</v>
      </c>
      <c r="O685" s="0" t="s">
        <v>240</v>
      </c>
      <c r="P685" s="0" t="s">
        <v>240</v>
      </c>
      <c r="Q685" s="0" t="s">
        <v>240</v>
      </c>
      <c r="R685" s="0" t="s">
        <v>7168</v>
      </c>
      <c r="S685" s="0" t="s">
        <v>240</v>
      </c>
      <c r="T685" s="0" t="s">
        <v>240</v>
      </c>
      <c r="U685" s="0" t="s">
        <v>102</v>
      </c>
      <c r="V685" s="0" t="s">
        <v>240</v>
      </c>
      <c r="W685" s="0" t="s">
        <v>240</v>
      </c>
      <c r="X685" s="0" t="s">
        <v>546</v>
      </c>
      <c r="Y685" s="0" t="s">
        <v>240</v>
      </c>
      <c r="Z685" s="0" t="s">
        <v>161</v>
      </c>
      <c r="AA685" s="0" t="s">
        <v>152</v>
      </c>
      <c r="AB685" s="0" t="s">
        <v>152</v>
      </c>
      <c r="AC685" s="0" t="s">
        <v>3389</v>
      </c>
      <c r="AD685" s="0" t="s">
        <v>3389</v>
      </c>
      <c r="AE685" s="0" t="s">
        <v>3390</v>
      </c>
      <c r="AF685" s="0" t="s">
        <v>5519</v>
      </c>
      <c r="AG685" s="0" t="s">
        <v>5520</v>
      </c>
      <c r="AH685" s="0" t="s">
        <v>7169</v>
      </c>
      <c r="AI685" s="0" t="s">
        <v>475</v>
      </c>
      <c r="AJ685" s="0" t="s">
        <v>6200</v>
      </c>
      <c r="AK685" s="0" t="s">
        <v>7170</v>
      </c>
      <c r="AL685" s="0" t="s">
        <v>7009</v>
      </c>
      <c r="AN685" s="0" t="s">
        <v>5504</v>
      </c>
      <c r="AO685" s="0" t="s">
        <v>6380</v>
      </c>
      <c r="AP685" s="0" t="s">
        <v>240</v>
      </c>
      <c r="AQ685" s="0" t="s">
        <v>240</v>
      </c>
      <c r="AR685" s="0" t="s">
        <v>240</v>
      </c>
      <c r="AS685" s="0" t="s">
        <v>240</v>
      </c>
      <c r="AT685" s="0" t="s">
        <v>240</v>
      </c>
      <c r="AU685" s="0" t="s">
        <v>240</v>
      </c>
      <c r="AV685" s="0" t="s">
        <v>240</v>
      </c>
      <c r="AW685" s="0" t="s">
        <v>240</v>
      </c>
      <c r="AX685" s="0" t="s">
        <v>240</v>
      </c>
      <c r="AY685" s="0" t="s">
        <v>240</v>
      </c>
      <c r="AZ685" s="0" t="s">
        <v>240</v>
      </c>
      <c r="BA685" s="0" t="s">
        <v>240</v>
      </c>
      <c r="BB685" s="0" t="s">
        <v>240</v>
      </c>
      <c r="BC685" s="0" t="s">
        <v>240</v>
      </c>
      <c r="BD685" s="0" t="s">
        <v>240</v>
      </c>
      <c r="BE685" s="0" t="s">
        <v>240</v>
      </c>
      <c r="BF685" s="0" t="s">
        <v>240</v>
      </c>
      <c r="BG685" s="0" t="s">
        <v>240</v>
      </c>
      <c r="BH685" s="0" t="s">
        <v>240</v>
      </c>
      <c r="BI685" s="0" t="s">
        <v>240</v>
      </c>
      <c r="BJ685" s="0" t="s">
        <v>240</v>
      </c>
      <c r="BK685" s="0" t="s">
        <v>240</v>
      </c>
      <c r="BL685" s="0" t="s">
        <v>240</v>
      </c>
      <c r="BM685" s="0" t="s">
        <v>240</v>
      </c>
      <c r="BN685" s="0" t="s">
        <v>240</v>
      </c>
      <c r="BO685" s="0" t="s">
        <v>240</v>
      </c>
      <c r="BP685" s="0" t="s">
        <v>240</v>
      </c>
      <c r="BQ685" s="0" t="s">
        <v>240</v>
      </c>
      <c r="BR685" s="0" t="s">
        <v>240</v>
      </c>
      <c r="BS685" s="0" t="s">
        <v>240</v>
      </c>
      <c r="BT685" s="0" t="s">
        <v>240</v>
      </c>
      <c r="CS685" s="0" t="s">
        <v>240</v>
      </c>
      <c r="CT685" s="0" t="s">
        <v>5496</v>
      </c>
      <c r="CU685" s="0" t="s">
        <v>5497</v>
      </c>
      <c r="CV685" s="0" t="s">
        <v>443</v>
      </c>
      <c r="CW685" s="0" t="s">
        <v>5527</v>
      </c>
      <c r="CX685" s="0" t="s">
        <v>229</v>
      </c>
      <c r="CY685" s="0" t="s">
        <v>443</v>
      </c>
      <c r="CZ685" s="0" t="s">
        <v>299</v>
      </c>
      <c r="DA685" s="0" t="s">
        <v>5529</v>
      </c>
      <c r="DB685" s="0" t="s">
        <v>5527</v>
      </c>
      <c r="DC685" s="0" t="s">
        <v>384</v>
      </c>
      <c r="DD685" s="0" t="s">
        <v>300</v>
      </c>
      <c r="DE685" s="0" t="s">
        <v>7171</v>
      </c>
    </row>
    <row customHeight="1" ht="11.25">
      <c r="A686" s="1441" t="s">
        <v>240</v>
      </c>
      <c r="B686" s="0" t="s">
        <v>240</v>
      </c>
      <c r="C686" s="0" t="s">
        <v>240</v>
      </c>
      <c r="D686" s="0" t="s">
        <v>240</v>
      </c>
      <c r="E686" s="0" t="s">
        <v>240</v>
      </c>
      <c r="F686" s="0" t="s">
        <v>240</v>
      </c>
      <c r="G686" s="0" t="s">
        <v>240</v>
      </c>
      <c r="H686" s="0" t="s">
        <v>240</v>
      </c>
      <c r="I686" s="0" t="s">
        <v>7004</v>
      </c>
      <c r="J686" s="0" t="s">
        <v>240</v>
      </c>
      <c r="K686" s="0" t="s">
        <v>240</v>
      </c>
      <c r="L686" s="0" t="s">
        <v>240</v>
      </c>
      <c r="M686" s="0" t="s">
        <v>240</v>
      </c>
      <c r="N686" s="0" t="s">
        <v>240</v>
      </c>
      <c r="O686" s="0" t="s">
        <v>240</v>
      </c>
      <c r="P686" s="0" t="s">
        <v>240</v>
      </c>
      <c r="Q686" s="0" t="s">
        <v>240</v>
      </c>
      <c r="R686" s="0" t="s">
        <v>518</v>
      </c>
      <c r="S686" s="0" t="s">
        <v>240</v>
      </c>
      <c r="T686" s="0" t="s">
        <v>240</v>
      </c>
      <c r="U686" s="0" t="s">
        <v>102</v>
      </c>
      <c r="V686" s="0" t="s">
        <v>240</v>
      </c>
      <c r="W686" s="0" t="s">
        <v>240</v>
      </c>
      <c r="X686" s="0" t="s">
        <v>546</v>
      </c>
      <c r="Y686" s="0" t="s">
        <v>240</v>
      </c>
      <c r="Z686" s="0" t="s">
        <v>161</v>
      </c>
      <c r="AA686" s="0" t="s">
        <v>152</v>
      </c>
      <c r="AB686" s="0" t="s">
        <v>152</v>
      </c>
      <c r="AC686" s="0" t="s">
        <v>364</v>
      </c>
      <c r="AD686" s="0" t="s">
        <v>364</v>
      </c>
      <c r="AE686" s="0" t="s">
        <v>365</v>
      </c>
      <c r="AF686" s="0" t="s">
        <v>5486</v>
      </c>
      <c r="AG686" s="0" t="s">
        <v>5487</v>
      </c>
      <c r="AH686" s="0" t="s">
        <v>7172</v>
      </c>
      <c r="AI686" s="0" t="s">
        <v>7173</v>
      </c>
      <c r="AJ686" s="0" t="s">
        <v>5578</v>
      </c>
      <c r="AK686" s="0" t="s">
        <v>5796</v>
      </c>
      <c r="AL686" s="0" t="s">
        <v>7009</v>
      </c>
      <c r="AN686" s="0" t="s">
        <v>7174</v>
      </c>
      <c r="AO686" s="0" t="s">
        <v>5619</v>
      </c>
      <c r="AP686" s="0" t="s">
        <v>240</v>
      </c>
      <c r="AQ686" s="0" t="s">
        <v>240</v>
      </c>
      <c r="AR686" s="0" t="s">
        <v>240</v>
      </c>
      <c r="AS686" s="0" t="s">
        <v>240</v>
      </c>
      <c r="AT686" s="0" t="s">
        <v>240</v>
      </c>
      <c r="AU686" s="0" t="s">
        <v>240</v>
      </c>
      <c r="AV686" s="0" t="s">
        <v>240</v>
      </c>
      <c r="AW686" s="0" t="s">
        <v>240</v>
      </c>
      <c r="AX686" s="0" t="s">
        <v>240</v>
      </c>
      <c r="AY686" s="0" t="s">
        <v>240</v>
      </c>
      <c r="AZ686" s="0" t="s">
        <v>240</v>
      </c>
      <c r="BA686" s="0" t="s">
        <v>240</v>
      </c>
      <c r="BB686" s="0" t="s">
        <v>240</v>
      </c>
      <c r="BC686" s="0" t="s">
        <v>240</v>
      </c>
      <c r="BD686" s="0" t="s">
        <v>240</v>
      </c>
      <c r="BE686" s="0" t="s">
        <v>240</v>
      </c>
      <c r="BF686" s="0" t="s">
        <v>240</v>
      </c>
      <c r="BG686" s="0" t="s">
        <v>240</v>
      </c>
      <c r="BH686" s="0" t="s">
        <v>240</v>
      </c>
      <c r="BI686" s="0" t="s">
        <v>240</v>
      </c>
      <c r="BJ686" s="0" t="s">
        <v>240</v>
      </c>
      <c r="BK686" s="0" t="s">
        <v>240</v>
      </c>
      <c r="BL686" s="0" t="s">
        <v>240</v>
      </c>
      <c r="BM686" s="0" t="s">
        <v>240</v>
      </c>
      <c r="BN686" s="0" t="s">
        <v>240</v>
      </c>
      <c r="BO686" s="0" t="s">
        <v>240</v>
      </c>
      <c r="BP686" s="0" t="s">
        <v>240</v>
      </c>
      <c r="BQ686" s="0" t="s">
        <v>240</v>
      </c>
      <c r="BR686" s="0" t="s">
        <v>240</v>
      </c>
      <c r="BS686" s="0" t="s">
        <v>240</v>
      </c>
      <c r="BT686" s="0" t="s">
        <v>240</v>
      </c>
      <c r="CS686" s="0" t="s">
        <v>240</v>
      </c>
      <c r="CT686" s="0" t="s">
        <v>5496</v>
      </c>
      <c r="CU686" s="0" t="s">
        <v>5497</v>
      </c>
      <c r="CV686" s="0" t="s">
        <v>443</v>
      </c>
      <c r="CW686" s="0" t="s">
        <v>5498</v>
      </c>
      <c r="CX686" s="0" t="s">
        <v>229</v>
      </c>
      <c r="CY686" s="0" t="s">
        <v>443</v>
      </c>
      <c r="CZ686" s="0" t="s">
        <v>230</v>
      </c>
      <c r="DA686" s="0" t="s">
        <v>444</v>
      </c>
      <c r="DB686" s="0" t="s">
        <v>5498</v>
      </c>
      <c r="DC686" s="0" t="s">
        <v>384</v>
      </c>
      <c r="DD686" s="0" t="s">
        <v>300</v>
      </c>
      <c r="DE686" s="0" t="s">
        <v>519</v>
      </c>
    </row>
    <row customHeight="1" ht="11.25">
      <c r="A687" s="1441" t="s">
        <v>240</v>
      </c>
      <c r="B687" s="0" t="s">
        <v>240</v>
      </c>
      <c r="C687" s="0" t="s">
        <v>240</v>
      </c>
      <c r="D687" s="0" t="s">
        <v>240</v>
      </c>
      <c r="E687" s="0" t="s">
        <v>240</v>
      </c>
      <c r="F687" s="0" t="s">
        <v>240</v>
      </c>
      <c r="G687" s="0" t="s">
        <v>240</v>
      </c>
      <c r="H687" s="0" t="s">
        <v>240</v>
      </c>
      <c r="I687" s="0" t="s">
        <v>7004</v>
      </c>
      <c r="J687" s="0" t="s">
        <v>240</v>
      </c>
      <c r="K687" s="0" t="s">
        <v>240</v>
      </c>
      <c r="L687" s="0" t="s">
        <v>240</v>
      </c>
      <c r="M687" s="0" t="s">
        <v>240</v>
      </c>
      <c r="N687" s="0" t="s">
        <v>240</v>
      </c>
      <c r="O687" s="0" t="s">
        <v>240</v>
      </c>
      <c r="P687" s="0" t="s">
        <v>240</v>
      </c>
      <c r="Q687" s="0" t="s">
        <v>240</v>
      </c>
      <c r="R687" s="0" t="s">
        <v>528</v>
      </c>
      <c r="S687" s="0" t="s">
        <v>240</v>
      </c>
      <c r="T687" s="0" t="s">
        <v>240</v>
      </c>
      <c r="U687" s="0" t="s">
        <v>102</v>
      </c>
      <c r="V687" s="0" t="s">
        <v>240</v>
      </c>
      <c r="W687" s="0" t="s">
        <v>240</v>
      </c>
      <c r="X687" s="0" t="s">
        <v>546</v>
      </c>
      <c r="Y687" s="0" t="s">
        <v>240</v>
      </c>
      <c r="Z687" s="0" t="s">
        <v>161</v>
      </c>
      <c r="AA687" s="0" t="s">
        <v>152</v>
      </c>
      <c r="AB687" s="0" t="s">
        <v>152</v>
      </c>
      <c r="AC687" s="0" t="s">
        <v>364</v>
      </c>
      <c r="AD687" s="0" t="s">
        <v>364</v>
      </c>
      <c r="AE687" s="0" t="s">
        <v>365</v>
      </c>
      <c r="AF687" s="0" t="s">
        <v>5486</v>
      </c>
      <c r="AG687" s="0" t="s">
        <v>5487</v>
      </c>
      <c r="AH687" s="0" t="s">
        <v>7175</v>
      </c>
      <c r="AI687" s="0" t="s">
        <v>7176</v>
      </c>
      <c r="AJ687" s="0" t="s">
        <v>7177</v>
      </c>
      <c r="AK687" s="0" t="s">
        <v>6210</v>
      </c>
      <c r="AL687" s="0" t="s">
        <v>7009</v>
      </c>
      <c r="AN687" s="0" t="s">
        <v>7178</v>
      </c>
      <c r="AO687" s="0" t="s">
        <v>5636</v>
      </c>
      <c r="AP687" s="0" t="s">
        <v>240</v>
      </c>
      <c r="AQ687" s="0" t="s">
        <v>240</v>
      </c>
      <c r="AR687" s="0" t="s">
        <v>240</v>
      </c>
      <c r="AS687" s="0" t="s">
        <v>240</v>
      </c>
      <c r="AT687" s="0" t="s">
        <v>240</v>
      </c>
      <c r="AU687" s="0" t="s">
        <v>240</v>
      </c>
      <c r="AV687" s="0" t="s">
        <v>240</v>
      </c>
      <c r="AW687" s="0" t="s">
        <v>240</v>
      </c>
      <c r="AX687" s="0" t="s">
        <v>240</v>
      </c>
      <c r="AY687" s="0" t="s">
        <v>240</v>
      </c>
      <c r="AZ687" s="0" t="s">
        <v>240</v>
      </c>
      <c r="BA687" s="0" t="s">
        <v>240</v>
      </c>
      <c r="BB687" s="0" t="s">
        <v>240</v>
      </c>
      <c r="BC687" s="0" t="s">
        <v>240</v>
      </c>
      <c r="BD687" s="0" t="s">
        <v>240</v>
      </c>
      <c r="BE687" s="0" t="s">
        <v>240</v>
      </c>
      <c r="BF687" s="0" t="s">
        <v>240</v>
      </c>
      <c r="BG687" s="0" t="s">
        <v>240</v>
      </c>
      <c r="BH687" s="0" t="s">
        <v>240</v>
      </c>
      <c r="BI687" s="0" t="s">
        <v>240</v>
      </c>
      <c r="BJ687" s="0" t="s">
        <v>240</v>
      </c>
      <c r="BK687" s="0" t="s">
        <v>240</v>
      </c>
      <c r="BL687" s="0" t="s">
        <v>240</v>
      </c>
      <c r="BM687" s="0" t="s">
        <v>240</v>
      </c>
      <c r="BN687" s="0" t="s">
        <v>240</v>
      </c>
      <c r="BO687" s="0" t="s">
        <v>240</v>
      </c>
      <c r="BP687" s="0" t="s">
        <v>240</v>
      </c>
      <c r="BQ687" s="0" t="s">
        <v>240</v>
      </c>
      <c r="BR687" s="0" t="s">
        <v>240</v>
      </c>
      <c r="BS687" s="0" t="s">
        <v>240</v>
      </c>
      <c r="BT687" s="0" t="s">
        <v>240</v>
      </c>
      <c r="CS687" s="0" t="s">
        <v>240</v>
      </c>
      <c r="CT687" s="0" t="s">
        <v>5496</v>
      </c>
      <c r="CU687" s="0" t="s">
        <v>5497</v>
      </c>
      <c r="CV687" s="0" t="s">
        <v>443</v>
      </c>
      <c r="CW687" s="0" t="s">
        <v>5498</v>
      </c>
      <c r="CX687" s="0" t="s">
        <v>229</v>
      </c>
      <c r="CY687" s="0" t="s">
        <v>443</v>
      </c>
      <c r="CZ687" s="0" t="s">
        <v>230</v>
      </c>
      <c r="DA687" s="0" t="s">
        <v>444</v>
      </c>
      <c r="DB687" s="0" t="s">
        <v>5498</v>
      </c>
      <c r="DC687" s="0" t="s">
        <v>384</v>
      </c>
      <c r="DD687" s="0" t="s">
        <v>300</v>
      </c>
      <c r="DE687" s="0" t="s">
        <v>529</v>
      </c>
    </row>
    <row customHeight="1" ht="11.25">
      <c r="A688" s="1441" t="s">
        <v>240</v>
      </c>
      <c r="B688" s="0" t="s">
        <v>240</v>
      </c>
      <c r="C688" s="0" t="s">
        <v>240</v>
      </c>
      <c r="D688" s="0" t="s">
        <v>240</v>
      </c>
      <c r="E688" s="0" t="s">
        <v>240</v>
      </c>
      <c r="F688" s="0" t="s">
        <v>240</v>
      </c>
      <c r="G688" s="0" t="s">
        <v>240</v>
      </c>
      <c r="H688" s="0" t="s">
        <v>240</v>
      </c>
      <c r="I688" s="0" t="s">
        <v>7004</v>
      </c>
      <c r="J688" s="0" t="s">
        <v>240</v>
      </c>
      <c r="K688" s="0" t="s">
        <v>240</v>
      </c>
      <c r="L688" s="0" t="s">
        <v>240</v>
      </c>
      <c r="M688" s="0" t="s">
        <v>240</v>
      </c>
      <c r="N688" s="0" t="s">
        <v>240</v>
      </c>
      <c r="O688" s="0" t="s">
        <v>240</v>
      </c>
      <c r="P688" s="0" t="s">
        <v>240</v>
      </c>
      <c r="Q688" s="0" t="s">
        <v>240</v>
      </c>
      <c r="R688" s="0" t="s">
        <v>530</v>
      </c>
      <c r="S688" s="0" t="s">
        <v>240</v>
      </c>
      <c r="T688" s="0" t="s">
        <v>240</v>
      </c>
      <c r="U688" s="0" t="s">
        <v>102</v>
      </c>
      <c r="V688" s="0" t="s">
        <v>240</v>
      </c>
      <c r="W688" s="0" t="s">
        <v>240</v>
      </c>
      <c r="X688" s="0" t="s">
        <v>546</v>
      </c>
      <c r="Y688" s="0" t="s">
        <v>240</v>
      </c>
      <c r="Z688" s="0" t="s">
        <v>161</v>
      </c>
      <c r="AA688" s="0" t="s">
        <v>152</v>
      </c>
      <c r="AB688" s="0" t="s">
        <v>152</v>
      </c>
      <c r="AC688" s="0" t="s">
        <v>364</v>
      </c>
      <c r="AD688" s="0" t="s">
        <v>364</v>
      </c>
      <c r="AE688" s="0" t="s">
        <v>365</v>
      </c>
      <c r="AF688" s="0" t="s">
        <v>5486</v>
      </c>
      <c r="AG688" s="0" t="s">
        <v>5487</v>
      </c>
      <c r="AH688" s="0" t="s">
        <v>7179</v>
      </c>
      <c r="AI688" s="0" t="s">
        <v>7176</v>
      </c>
      <c r="AJ688" s="0" t="s">
        <v>7154</v>
      </c>
      <c r="AK688" s="0" t="s">
        <v>5992</v>
      </c>
      <c r="AL688" s="0" t="s">
        <v>7009</v>
      </c>
      <c r="AN688" s="0" t="s">
        <v>7180</v>
      </c>
      <c r="AO688" s="0" t="s">
        <v>5546</v>
      </c>
      <c r="AP688" s="0" t="s">
        <v>240</v>
      </c>
      <c r="AQ688" s="0" t="s">
        <v>240</v>
      </c>
      <c r="AR688" s="0" t="s">
        <v>240</v>
      </c>
      <c r="AS688" s="0" t="s">
        <v>240</v>
      </c>
      <c r="AT688" s="0" t="s">
        <v>240</v>
      </c>
      <c r="AU688" s="0" t="s">
        <v>240</v>
      </c>
      <c r="AV688" s="0" t="s">
        <v>240</v>
      </c>
      <c r="AW688" s="0" t="s">
        <v>240</v>
      </c>
      <c r="AX688" s="0" t="s">
        <v>240</v>
      </c>
      <c r="AY688" s="0" t="s">
        <v>240</v>
      </c>
      <c r="AZ688" s="0" t="s">
        <v>240</v>
      </c>
      <c r="BA688" s="0" t="s">
        <v>240</v>
      </c>
      <c r="BB688" s="0" t="s">
        <v>240</v>
      </c>
      <c r="BC688" s="0" t="s">
        <v>240</v>
      </c>
      <c r="BD688" s="0" t="s">
        <v>240</v>
      </c>
      <c r="BE688" s="0" t="s">
        <v>240</v>
      </c>
      <c r="BF688" s="0" t="s">
        <v>240</v>
      </c>
      <c r="BG688" s="0" t="s">
        <v>240</v>
      </c>
      <c r="BH688" s="0" t="s">
        <v>240</v>
      </c>
      <c r="BI688" s="0" t="s">
        <v>240</v>
      </c>
      <c r="BJ688" s="0" t="s">
        <v>240</v>
      </c>
      <c r="BK688" s="0" t="s">
        <v>240</v>
      </c>
      <c r="BL688" s="0" t="s">
        <v>240</v>
      </c>
      <c r="BM688" s="0" t="s">
        <v>240</v>
      </c>
      <c r="BN688" s="0" t="s">
        <v>240</v>
      </c>
      <c r="BO688" s="0" t="s">
        <v>240</v>
      </c>
      <c r="BP688" s="0" t="s">
        <v>240</v>
      </c>
      <c r="BQ688" s="0" t="s">
        <v>240</v>
      </c>
      <c r="BR688" s="0" t="s">
        <v>240</v>
      </c>
      <c r="BS688" s="0" t="s">
        <v>240</v>
      </c>
      <c r="BT688" s="0" t="s">
        <v>240</v>
      </c>
      <c r="CS688" s="0" t="s">
        <v>240</v>
      </c>
      <c r="CT688" s="0" t="s">
        <v>5496</v>
      </c>
      <c r="CU688" s="0" t="s">
        <v>5497</v>
      </c>
      <c r="CV688" s="0" t="s">
        <v>443</v>
      </c>
      <c r="CW688" s="0" t="s">
        <v>5498</v>
      </c>
      <c r="CX688" s="0" t="s">
        <v>229</v>
      </c>
      <c r="CY688" s="0" t="s">
        <v>443</v>
      </c>
      <c r="CZ688" s="0" t="s">
        <v>230</v>
      </c>
      <c r="DA688" s="0" t="s">
        <v>444</v>
      </c>
      <c r="DB688" s="0" t="s">
        <v>5498</v>
      </c>
      <c r="DC688" s="0" t="s">
        <v>384</v>
      </c>
      <c r="DD688" s="0" t="s">
        <v>300</v>
      </c>
      <c r="DE688" s="0" t="s">
        <v>531</v>
      </c>
    </row>
    <row customHeight="1" ht="11.25">
      <c r="A689" s="1441" t="s">
        <v>240</v>
      </c>
      <c r="B689" s="0" t="s">
        <v>240</v>
      </c>
      <c r="C689" s="0" t="s">
        <v>240</v>
      </c>
      <c r="D689" s="0" t="s">
        <v>240</v>
      </c>
      <c r="E689" s="0" t="s">
        <v>240</v>
      </c>
      <c r="F689" s="0" t="s">
        <v>240</v>
      </c>
      <c r="G689" s="0" t="s">
        <v>240</v>
      </c>
      <c r="H689" s="0" t="s">
        <v>240</v>
      </c>
      <c r="I689" s="0" t="s">
        <v>7004</v>
      </c>
      <c r="J689" s="0" t="s">
        <v>240</v>
      </c>
      <c r="K689" s="0" t="s">
        <v>240</v>
      </c>
      <c r="L689" s="0" t="s">
        <v>240</v>
      </c>
      <c r="M689" s="0" t="s">
        <v>240</v>
      </c>
      <c r="N689" s="0" t="s">
        <v>240</v>
      </c>
      <c r="O689" s="0" t="s">
        <v>240</v>
      </c>
      <c r="P689" s="0" t="s">
        <v>240</v>
      </c>
      <c r="Q689" s="0" t="s">
        <v>240</v>
      </c>
      <c r="R689" s="0" t="s">
        <v>506</v>
      </c>
      <c r="S689" s="0" t="s">
        <v>240</v>
      </c>
      <c r="T689" s="0" t="s">
        <v>240</v>
      </c>
      <c r="U689" s="0" t="s">
        <v>102</v>
      </c>
      <c r="V689" s="0" t="s">
        <v>240</v>
      </c>
      <c r="W689" s="0" t="s">
        <v>240</v>
      </c>
      <c r="X689" s="0" t="s">
        <v>546</v>
      </c>
      <c r="Y689" s="0" t="s">
        <v>240</v>
      </c>
      <c r="Z689" s="0" t="s">
        <v>161</v>
      </c>
      <c r="AA689" s="0" t="s">
        <v>152</v>
      </c>
      <c r="AB689" s="0" t="s">
        <v>152</v>
      </c>
      <c r="AC689" s="0" t="s">
        <v>364</v>
      </c>
      <c r="AD689" s="0" t="s">
        <v>364</v>
      </c>
      <c r="AE689" s="0" t="s">
        <v>365</v>
      </c>
      <c r="AF689" s="0" t="s">
        <v>5486</v>
      </c>
      <c r="AG689" s="0" t="s">
        <v>5487</v>
      </c>
      <c r="AH689" s="0" t="s">
        <v>7181</v>
      </c>
      <c r="AI689" s="0" t="s">
        <v>7182</v>
      </c>
      <c r="AJ689" s="0" t="s">
        <v>7154</v>
      </c>
      <c r="AK689" s="0" t="s">
        <v>5992</v>
      </c>
      <c r="AL689" s="0" t="s">
        <v>7009</v>
      </c>
      <c r="AN689" s="0" t="s">
        <v>6104</v>
      </c>
      <c r="AO689" s="0" t="s">
        <v>5546</v>
      </c>
      <c r="AP689" s="0" t="s">
        <v>240</v>
      </c>
      <c r="AQ689" s="0" t="s">
        <v>240</v>
      </c>
      <c r="AR689" s="0" t="s">
        <v>240</v>
      </c>
      <c r="AS689" s="0" t="s">
        <v>240</v>
      </c>
      <c r="AT689" s="0" t="s">
        <v>240</v>
      </c>
      <c r="AU689" s="0" t="s">
        <v>240</v>
      </c>
      <c r="AV689" s="0" t="s">
        <v>240</v>
      </c>
      <c r="AW689" s="0" t="s">
        <v>240</v>
      </c>
      <c r="AX689" s="0" t="s">
        <v>240</v>
      </c>
      <c r="AY689" s="0" t="s">
        <v>240</v>
      </c>
      <c r="AZ689" s="0" t="s">
        <v>240</v>
      </c>
      <c r="BA689" s="0" t="s">
        <v>240</v>
      </c>
      <c r="BB689" s="0" t="s">
        <v>240</v>
      </c>
      <c r="BC689" s="0" t="s">
        <v>240</v>
      </c>
      <c r="BD689" s="0" t="s">
        <v>240</v>
      </c>
      <c r="BE689" s="0" t="s">
        <v>240</v>
      </c>
      <c r="BF689" s="0" t="s">
        <v>240</v>
      </c>
      <c r="BG689" s="0" t="s">
        <v>240</v>
      </c>
      <c r="BH689" s="0" t="s">
        <v>240</v>
      </c>
      <c r="BI689" s="0" t="s">
        <v>240</v>
      </c>
      <c r="BJ689" s="0" t="s">
        <v>240</v>
      </c>
      <c r="BK689" s="0" t="s">
        <v>240</v>
      </c>
      <c r="BL689" s="0" t="s">
        <v>240</v>
      </c>
      <c r="BM689" s="0" t="s">
        <v>240</v>
      </c>
      <c r="BN689" s="0" t="s">
        <v>240</v>
      </c>
      <c r="BO689" s="0" t="s">
        <v>240</v>
      </c>
      <c r="BP689" s="0" t="s">
        <v>240</v>
      </c>
      <c r="BQ689" s="0" t="s">
        <v>240</v>
      </c>
      <c r="BR689" s="0" t="s">
        <v>240</v>
      </c>
      <c r="BS689" s="0" t="s">
        <v>240</v>
      </c>
      <c r="BT689" s="0" t="s">
        <v>240</v>
      </c>
      <c r="CS689" s="0" t="s">
        <v>240</v>
      </c>
      <c r="CT689" s="0" t="s">
        <v>5496</v>
      </c>
      <c r="CU689" s="0" t="s">
        <v>5497</v>
      </c>
      <c r="CV689" s="0" t="s">
        <v>443</v>
      </c>
      <c r="CW689" s="0" t="s">
        <v>5498</v>
      </c>
      <c r="CX689" s="0" t="s">
        <v>229</v>
      </c>
      <c r="CY689" s="0" t="s">
        <v>443</v>
      </c>
      <c r="CZ689" s="0" t="s">
        <v>230</v>
      </c>
      <c r="DA689" s="0" t="s">
        <v>444</v>
      </c>
      <c r="DB689" s="0" t="s">
        <v>5498</v>
      </c>
      <c r="DC689" s="0" t="s">
        <v>384</v>
      </c>
      <c r="DD689" s="0" t="s">
        <v>300</v>
      </c>
      <c r="DE689" s="0" t="s">
        <v>507</v>
      </c>
    </row>
    <row customHeight="1" ht="11.25">
      <c r="A690" s="1441" t="s">
        <v>240</v>
      </c>
      <c r="B690" s="0" t="s">
        <v>240</v>
      </c>
      <c r="C690" s="0" t="s">
        <v>240</v>
      </c>
      <c r="D690" s="0" t="s">
        <v>240</v>
      </c>
      <c r="E690" s="0" t="s">
        <v>240</v>
      </c>
      <c r="F690" s="0" t="s">
        <v>240</v>
      </c>
      <c r="G690" s="0" t="s">
        <v>240</v>
      </c>
      <c r="H690" s="0" t="s">
        <v>240</v>
      </c>
      <c r="I690" s="0" t="s">
        <v>7004</v>
      </c>
      <c r="J690" s="0" t="s">
        <v>240</v>
      </c>
      <c r="K690" s="0" t="s">
        <v>240</v>
      </c>
      <c r="L690" s="0" t="s">
        <v>240</v>
      </c>
      <c r="M690" s="0" t="s">
        <v>240</v>
      </c>
      <c r="N690" s="0" t="s">
        <v>240</v>
      </c>
      <c r="O690" s="0" t="s">
        <v>240</v>
      </c>
      <c r="P690" s="0" t="s">
        <v>240</v>
      </c>
      <c r="Q690" s="0" t="s">
        <v>240</v>
      </c>
      <c r="R690" s="0" t="s">
        <v>7183</v>
      </c>
      <c r="S690" s="0" t="s">
        <v>240</v>
      </c>
      <c r="T690" s="0" t="s">
        <v>240</v>
      </c>
      <c r="U690" s="0" t="s">
        <v>102</v>
      </c>
      <c r="V690" s="0" t="s">
        <v>240</v>
      </c>
      <c r="W690" s="0" t="s">
        <v>240</v>
      </c>
      <c r="X690" s="0" t="s">
        <v>546</v>
      </c>
      <c r="Y690" s="0" t="s">
        <v>240</v>
      </c>
      <c r="Z690" s="0" t="s">
        <v>161</v>
      </c>
      <c r="AA690" s="0" t="s">
        <v>152</v>
      </c>
      <c r="AB690" s="0" t="s">
        <v>152</v>
      </c>
      <c r="AC690" s="0" t="s">
        <v>3389</v>
      </c>
      <c r="AD690" s="0" t="s">
        <v>3389</v>
      </c>
      <c r="AE690" s="0" t="s">
        <v>3390</v>
      </c>
      <c r="AF690" s="0" t="s">
        <v>5519</v>
      </c>
      <c r="AG690" s="0" t="s">
        <v>5520</v>
      </c>
      <c r="AH690" s="0" t="s">
        <v>7184</v>
      </c>
      <c r="AI690" s="0" t="s">
        <v>7185</v>
      </c>
      <c r="AJ690" s="0" t="s">
        <v>5821</v>
      </c>
      <c r="AK690" s="0" t="s">
        <v>7186</v>
      </c>
      <c r="AL690" s="0" t="s">
        <v>7009</v>
      </c>
      <c r="AN690" s="0" t="s">
        <v>5494</v>
      </c>
      <c r="AO690" s="0" t="s">
        <v>7187</v>
      </c>
      <c r="AP690" s="0" t="s">
        <v>240</v>
      </c>
      <c r="AQ690" s="0" t="s">
        <v>240</v>
      </c>
      <c r="AR690" s="0" t="s">
        <v>240</v>
      </c>
      <c r="AS690" s="0" t="s">
        <v>240</v>
      </c>
      <c r="AT690" s="0" t="s">
        <v>240</v>
      </c>
      <c r="AU690" s="0" t="s">
        <v>240</v>
      </c>
      <c r="AV690" s="0" t="s">
        <v>240</v>
      </c>
      <c r="AW690" s="0" t="s">
        <v>240</v>
      </c>
      <c r="AX690" s="0" t="s">
        <v>240</v>
      </c>
      <c r="AY690" s="0" t="s">
        <v>240</v>
      </c>
      <c r="AZ690" s="0" t="s">
        <v>240</v>
      </c>
      <c r="BA690" s="0" t="s">
        <v>240</v>
      </c>
      <c r="BB690" s="0" t="s">
        <v>240</v>
      </c>
      <c r="BC690" s="0" t="s">
        <v>240</v>
      </c>
      <c r="BD690" s="0" t="s">
        <v>240</v>
      </c>
      <c r="BE690" s="0" t="s">
        <v>240</v>
      </c>
      <c r="BF690" s="0" t="s">
        <v>240</v>
      </c>
      <c r="BG690" s="0" t="s">
        <v>240</v>
      </c>
      <c r="BH690" s="0" t="s">
        <v>240</v>
      </c>
      <c r="BI690" s="0" t="s">
        <v>240</v>
      </c>
      <c r="BJ690" s="0" t="s">
        <v>240</v>
      </c>
      <c r="BK690" s="0" t="s">
        <v>240</v>
      </c>
      <c r="BL690" s="0" t="s">
        <v>240</v>
      </c>
      <c r="BM690" s="0" t="s">
        <v>240</v>
      </c>
      <c r="BN690" s="0" t="s">
        <v>240</v>
      </c>
      <c r="BO690" s="0" t="s">
        <v>240</v>
      </c>
      <c r="BP690" s="0" t="s">
        <v>240</v>
      </c>
      <c r="BQ690" s="0" t="s">
        <v>240</v>
      </c>
      <c r="BR690" s="0" t="s">
        <v>240</v>
      </c>
      <c r="BS690" s="0" t="s">
        <v>240</v>
      </c>
      <c r="BT690" s="0" t="s">
        <v>240</v>
      </c>
      <c r="CS690" s="0" t="s">
        <v>240</v>
      </c>
      <c r="CT690" s="0" t="s">
        <v>5496</v>
      </c>
      <c r="CU690" s="0" t="s">
        <v>7012</v>
      </c>
      <c r="CV690" s="0" t="s">
        <v>6554</v>
      </c>
      <c r="CW690" s="0" t="s">
        <v>7188</v>
      </c>
      <c r="CX690" s="0" t="s">
        <v>5528</v>
      </c>
      <c r="CY690" s="0" t="s">
        <v>7189</v>
      </c>
      <c r="CZ690" s="0" t="s">
        <v>7190</v>
      </c>
      <c r="DA690" s="0" t="s">
        <v>7187</v>
      </c>
      <c r="DB690" s="0" t="s">
        <v>7188</v>
      </c>
      <c r="DC690" s="0" t="s">
        <v>384</v>
      </c>
      <c r="DD690" s="0" t="s">
        <v>300</v>
      </c>
      <c r="DE690" s="0" t="s">
        <v>7191</v>
      </c>
    </row>
    <row customHeight="1" ht="11.25">
      <c r="A691" s="1441" t="s">
        <v>240</v>
      </c>
      <c r="B691" s="0" t="s">
        <v>240</v>
      </c>
      <c r="C691" s="0" t="s">
        <v>240</v>
      </c>
      <c r="D691" s="0" t="s">
        <v>240</v>
      </c>
      <c r="E691" s="0" t="s">
        <v>240</v>
      </c>
      <c r="F691" s="0" t="s">
        <v>240</v>
      </c>
      <c r="G691" s="0" t="s">
        <v>240</v>
      </c>
      <c r="H691" s="0" t="s">
        <v>240</v>
      </c>
      <c r="I691" s="0" t="s">
        <v>7004</v>
      </c>
      <c r="J691" s="0" t="s">
        <v>240</v>
      </c>
      <c r="K691" s="0" t="s">
        <v>240</v>
      </c>
      <c r="L691" s="0" t="s">
        <v>240</v>
      </c>
      <c r="M691" s="0" t="s">
        <v>240</v>
      </c>
      <c r="N691" s="0" t="s">
        <v>240</v>
      </c>
      <c r="O691" s="0" t="s">
        <v>240</v>
      </c>
      <c r="P691" s="0" t="s">
        <v>240</v>
      </c>
      <c r="Q691" s="0" t="s">
        <v>240</v>
      </c>
      <c r="R691" s="0" t="s">
        <v>7192</v>
      </c>
      <c r="S691" s="0" t="s">
        <v>240</v>
      </c>
      <c r="T691" s="0" t="s">
        <v>240</v>
      </c>
      <c r="U691" s="0" t="s">
        <v>102</v>
      </c>
      <c r="V691" s="0" t="s">
        <v>240</v>
      </c>
      <c r="W691" s="0" t="s">
        <v>240</v>
      </c>
      <c r="X691" s="0" t="s">
        <v>546</v>
      </c>
      <c r="Y691" s="0" t="s">
        <v>240</v>
      </c>
      <c r="Z691" s="0" t="s">
        <v>161</v>
      </c>
      <c r="AA691" s="0" t="s">
        <v>152</v>
      </c>
      <c r="AB691" s="0" t="s">
        <v>152</v>
      </c>
      <c r="AC691" s="0" t="s">
        <v>2991</v>
      </c>
      <c r="AD691" s="0" t="s">
        <v>2991</v>
      </c>
      <c r="AE691" s="0" t="s">
        <v>2992</v>
      </c>
      <c r="AF691" s="0" t="s">
        <v>5749</v>
      </c>
      <c r="AG691" s="0" t="s">
        <v>5750</v>
      </c>
      <c r="AH691" s="0" t="s">
        <v>7193</v>
      </c>
      <c r="AI691" s="0" t="s">
        <v>7194</v>
      </c>
      <c r="AJ691" s="0" t="s">
        <v>6917</v>
      </c>
      <c r="AK691" s="0" t="s">
        <v>7195</v>
      </c>
      <c r="AL691" s="0" t="s">
        <v>7009</v>
      </c>
      <c r="AN691" s="0" t="s">
        <v>5507</v>
      </c>
      <c r="AO691" s="0" t="s">
        <v>5625</v>
      </c>
      <c r="AP691" s="0" t="s">
        <v>240</v>
      </c>
      <c r="AQ691" s="0" t="s">
        <v>240</v>
      </c>
      <c r="AR691" s="0" t="s">
        <v>240</v>
      </c>
      <c r="AS691" s="0" t="s">
        <v>240</v>
      </c>
      <c r="AT691" s="0" t="s">
        <v>240</v>
      </c>
      <c r="AU691" s="0" t="s">
        <v>240</v>
      </c>
      <c r="AV691" s="0" t="s">
        <v>240</v>
      </c>
      <c r="AW691" s="0" t="s">
        <v>240</v>
      </c>
      <c r="AX691" s="0" t="s">
        <v>240</v>
      </c>
      <c r="AY691" s="0" t="s">
        <v>240</v>
      </c>
      <c r="AZ691" s="0" t="s">
        <v>240</v>
      </c>
      <c r="BA691" s="0" t="s">
        <v>240</v>
      </c>
      <c r="BB691" s="0" t="s">
        <v>240</v>
      </c>
      <c r="BC691" s="0" t="s">
        <v>240</v>
      </c>
      <c r="BD691" s="0" t="s">
        <v>240</v>
      </c>
      <c r="BE691" s="0" t="s">
        <v>240</v>
      </c>
      <c r="BF691" s="0" t="s">
        <v>240</v>
      </c>
      <c r="BG691" s="0" t="s">
        <v>240</v>
      </c>
      <c r="BH691" s="0" t="s">
        <v>240</v>
      </c>
      <c r="BI691" s="0" t="s">
        <v>240</v>
      </c>
      <c r="BJ691" s="0" t="s">
        <v>240</v>
      </c>
      <c r="BK691" s="0" t="s">
        <v>240</v>
      </c>
      <c r="BL691" s="0" t="s">
        <v>240</v>
      </c>
      <c r="BM691" s="0" t="s">
        <v>240</v>
      </c>
      <c r="BN691" s="0" t="s">
        <v>240</v>
      </c>
      <c r="BO691" s="0" t="s">
        <v>240</v>
      </c>
      <c r="BP691" s="0" t="s">
        <v>240</v>
      </c>
      <c r="BQ691" s="0" t="s">
        <v>240</v>
      </c>
      <c r="BR691" s="0" t="s">
        <v>240</v>
      </c>
      <c r="BS691" s="0" t="s">
        <v>240</v>
      </c>
      <c r="BT691" s="0" t="s">
        <v>240</v>
      </c>
      <c r="CS691" s="0" t="s">
        <v>240</v>
      </c>
      <c r="CT691" s="0" t="s">
        <v>5496</v>
      </c>
      <c r="CU691" s="0" t="s">
        <v>5497</v>
      </c>
      <c r="CV691" s="0" t="s">
        <v>443</v>
      </c>
      <c r="CW691" s="0" t="s">
        <v>5547</v>
      </c>
      <c r="CX691" s="0" t="s">
        <v>229</v>
      </c>
      <c r="CY691" s="0" t="s">
        <v>443</v>
      </c>
      <c r="CZ691" s="0" t="s">
        <v>5548</v>
      </c>
      <c r="DA691" s="0" t="s">
        <v>5549</v>
      </c>
      <c r="DB691" s="0" t="s">
        <v>5547</v>
      </c>
      <c r="DC691" s="0" t="s">
        <v>384</v>
      </c>
      <c r="DD691" s="0" t="s">
        <v>300</v>
      </c>
      <c r="DE691" s="0" t="s">
        <v>7196</v>
      </c>
    </row>
    <row customHeight="1" ht="11.25">
      <c r="A692" s="1441" t="s">
        <v>240</v>
      </c>
      <c r="B692" s="0" t="s">
        <v>240</v>
      </c>
      <c r="C692" s="0" t="s">
        <v>240</v>
      </c>
      <c r="D692" s="0" t="s">
        <v>240</v>
      </c>
      <c r="E692" s="0" t="s">
        <v>240</v>
      </c>
      <c r="F692" s="0" t="s">
        <v>240</v>
      </c>
      <c r="G692" s="0" t="s">
        <v>240</v>
      </c>
      <c r="H692" s="0" t="s">
        <v>240</v>
      </c>
      <c r="I692" s="0" t="s">
        <v>7004</v>
      </c>
      <c r="J692" s="0" t="s">
        <v>240</v>
      </c>
      <c r="K692" s="0" t="s">
        <v>240</v>
      </c>
      <c r="L692" s="0" t="s">
        <v>240</v>
      </c>
      <c r="M692" s="0" t="s">
        <v>240</v>
      </c>
      <c r="N692" s="0" t="s">
        <v>240</v>
      </c>
      <c r="O692" s="0" t="s">
        <v>240</v>
      </c>
      <c r="P692" s="0" t="s">
        <v>240</v>
      </c>
      <c r="Q692" s="0" t="s">
        <v>240</v>
      </c>
      <c r="R692" s="0" t="s">
        <v>7197</v>
      </c>
      <c r="S692" s="0" t="s">
        <v>240</v>
      </c>
      <c r="T692" s="0" t="s">
        <v>240</v>
      </c>
      <c r="U692" s="0" t="s">
        <v>102</v>
      </c>
      <c r="V692" s="0" t="s">
        <v>240</v>
      </c>
      <c r="W692" s="0" t="s">
        <v>240</v>
      </c>
      <c r="X692" s="0" t="s">
        <v>546</v>
      </c>
      <c r="Y692" s="0" t="s">
        <v>240</v>
      </c>
      <c r="Z692" s="0" t="s">
        <v>161</v>
      </c>
      <c r="AA692" s="0" t="s">
        <v>152</v>
      </c>
      <c r="AB692" s="0" t="s">
        <v>152</v>
      </c>
      <c r="AC692" s="0" t="s">
        <v>2991</v>
      </c>
      <c r="AD692" s="0" t="s">
        <v>2991</v>
      </c>
      <c r="AE692" s="0" t="s">
        <v>2992</v>
      </c>
      <c r="AF692" s="0" t="s">
        <v>5749</v>
      </c>
      <c r="AG692" s="0" t="s">
        <v>5750</v>
      </c>
      <c r="AH692" s="0" t="s">
        <v>7198</v>
      </c>
      <c r="AI692" s="0" t="s">
        <v>5575</v>
      </c>
      <c r="AJ692" s="0" t="s">
        <v>6917</v>
      </c>
      <c r="AK692" s="0" t="s">
        <v>7195</v>
      </c>
      <c r="AL692" s="0" t="s">
        <v>7009</v>
      </c>
      <c r="AN692" s="0" t="s">
        <v>5507</v>
      </c>
      <c r="AO692" s="0" t="s">
        <v>5625</v>
      </c>
      <c r="AP692" s="0" t="s">
        <v>240</v>
      </c>
      <c r="AQ692" s="0" t="s">
        <v>240</v>
      </c>
      <c r="AR692" s="0" t="s">
        <v>240</v>
      </c>
      <c r="AS692" s="0" t="s">
        <v>240</v>
      </c>
      <c r="AT692" s="0" t="s">
        <v>240</v>
      </c>
      <c r="AU692" s="0" t="s">
        <v>240</v>
      </c>
      <c r="AV692" s="0" t="s">
        <v>240</v>
      </c>
      <c r="AW692" s="0" t="s">
        <v>240</v>
      </c>
      <c r="AX692" s="0" t="s">
        <v>240</v>
      </c>
      <c r="AY692" s="0" t="s">
        <v>240</v>
      </c>
      <c r="AZ692" s="0" t="s">
        <v>240</v>
      </c>
      <c r="BA692" s="0" t="s">
        <v>240</v>
      </c>
      <c r="BB692" s="0" t="s">
        <v>240</v>
      </c>
      <c r="BC692" s="0" t="s">
        <v>240</v>
      </c>
      <c r="BD692" s="0" t="s">
        <v>240</v>
      </c>
      <c r="BE692" s="0" t="s">
        <v>240</v>
      </c>
      <c r="BF692" s="0" t="s">
        <v>240</v>
      </c>
      <c r="BG692" s="0" t="s">
        <v>240</v>
      </c>
      <c r="BH692" s="0" t="s">
        <v>240</v>
      </c>
      <c r="BI692" s="0" t="s">
        <v>240</v>
      </c>
      <c r="BJ692" s="0" t="s">
        <v>240</v>
      </c>
      <c r="BK692" s="0" t="s">
        <v>240</v>
      </c>
      <c r="BL692" s="0" t="s">
        <v>240</v>
      </c>
      <c r="BM692" s="0" t="s">
        <v>240</v>
      </c>
      <c r="BN692" s="0" t="s">
        <v>240</v>
      </c>
      <c r="BO692" s="0" t="s">
        <v>240</v>
      </c>
      <c r="BP692" s="0" t="s">
        <v>240</v>
      </c>
      <c r="BQ692" s="0" t="s">
        <v>240</v>
      </c>
      <c r="BR692" s="0" t="s">
        <v>240</v>
      </c>
      <c r="BS692" s="0" t="s">
        <v>240</v>
      </c>
      <c r="BT692" s="0" t="s">
        <v>240</v>
      </c>
      <c r="CS692" s="0" t="s">
        <v>240</v>
      </c>
      <c r="CT692" s="0" t="s">
        <v>5496</v>
      </c>
      <c r="CU692" s="0" t="s">
        <v>5497</v>
      </c>
      <c r="CV692" s="0" t="s">
        <v>443</v>
      </c>
      <c r="CW692" s="0" t="s">
        <v>5547</v>
      </c>
      <c r="CX692" s="0" t="s">
        <v>229</v>
      </c>
      <c r="CY692" s="0" t="s">
        <v>443</v>
      </c>
      <c r="CZ692" s="0" t="s">
        <v>5548</v>
      </c>
      <c r="DA692" s="0" t="s">
        <v>5549</v>
      </c>
      <c r="DB692" s="0" t="s">
        <v>5547</v>
      </c>
      <c r="DC692" s="0" t="s">
        <v>384</v>
      </c>
      <c r="DD692" s="0" t="s">
        <v>300</v>
      </c>
      <c r="DE692" s="0" t="s">
        <v>7199</v>
      </c>
    </row>
    <row customHeight="1" ht="11.25">
      <c r="A693" s="1441" t="s">
        <v>240</v>
      </c>
      <c r="B693" s="0" t="s">
        <v>240</v>
      </c>
      <c r="C693" s="0" t="s">
        <v>240</v>
      </c>
      <c r="D693" s="0" t="s">
        <v>240</v>
      </c>
      <c r="E693" s="0" t="s">
        <v>240</v>
      </c>
      <c r="F693" s="0" t="s">
        <v>240</v>
      </c>
      <c r="G693" s="0" t="s">
        <v>240</v>
      </c>
      <c r="H693" s="0" t="s">
        <v>240</v>
      </c>
      <c r="I693" s="0" t="s">
        <v>7004</v>
      </c>
      <c r="J693" s="0" t="s">
        <v>240</v>
      </c>
      <c r="K693" s="0" t="s">
        <v>240</v>
      </c>
      <c r="L693" s="0" t="s">
        <v>240</v>
      </c>
      <c r="M693" s="0" t="s">
        <v>240</v>
      </c>
      <c r="N693" s="0" t="s">
        <v>240</v>
      </c>
      <c r="O693" s="0" t="s">
        <v>240</v>
      </c>
      <c r="P693" s="0" t="s">
        <v>240</v>
      </c>
      <c r="Q693" s="0" t="s">
        <v>240</v>
      </c>
      <c r="R693" s="0" t="s">
        <v>7200</v>
      </c>
      <c r="S693" s="0" t="s">
        <v>240</v>
      </c>
      <c r="T693" s="0" t="s">
        <v>240</v>
      </c>
      <c r="U693" s="0" t="s">
        <v>102</v>
      </c>
      <c r="V693" s="0" t="s">
        <v>240</v>
      </c>
      <c r="W693" s="0" t="s">
        <v>240</v>
      </c>
      <c r="X693" s="0" t="s">
        <v>546</v>
      </c>
      <c r="Y693" s="0" t="s">
        <v>240</v>
      </c>
      <c r="Z693" s="0" t="s">
        <v>161</v>
      </c>
      <c r="AA693" s="0" t="s">
        <v>152</v>
      </c>
      <c r="AB693" s="0" t="s">
        <v>152</v>
      </c>
      <c r="AC693" s="0" t="s">
        <v>3389</v>
      </c>
      <c r="AD693" s="0" t="s">
        <v>3389</v>
      </c>
      <c r="AE693" s="0" t="s">
        <v>3390</v>
      </c>
      <c r="AF693" s="0" t="s">
        <v>5519</v>
      </c>
      <c r="AG693" s="0" t="s">
        <v>5520</v>
      </c>
      <c r="AH693" s="0" t="s">
        <v>7201</v>
      </c>
      <c r="AI693" s="0" t="s">
        <v>457</v>
      </c>
      <c r="AJ693" s="0" t="s">
        <v>6884</v>
      </c>
      <c r="AK693" s="0" t="s">
        <v>7202</v>
      </c>
      <c r="AL693" s="0" t="s">
        <v>7009</v>
      </c>
      <c r="AN693" s="0" t="s">
        <v>5491</v>
      </c>
      <c r="AO693" s="0" t="s">
        <v>7110</v>
      </c>
      <c r="AP693" s="0" t="s">
        <v>240</v>
      </c>
      <c r="AQ693" s="0" t="s">
        <v>240</v>
      </c>
      <c r="AR693" s="0" t="s">
        <v>240</v>
      </c>
      <c r="AS693" s="0" t="s">
        <v>240</v>
      </c>
      <c r="AT693" s="0" t="s">
        <v>240</v>
      </c>
      <c r="AU693" s="0" t="s">
        <v>240</v>
      </c>
      <c r="AV693" s="0" t="s">
        <v>240</v>
      </c>
      <c r="AW693" s="0" t="s">
        <v>240</v>
      </c>
      <c r="AX693" s="0" t="s">
        <v>240</v>
      </c>
      <c r="AY693" s="0" t="s">
        <v>240</v>
      </c>
      <c r="AZ693" s="0" t="s">
        <v>240</v>
      </c>
      <c r="BA693" s="0" t="s">
        <v>240</v>
      </c>
      <c r="BB693" s="0" t="s">
        <v>240</v>
      </c>
      <c r="BC693" s="0" t="s">
        <v>240</v>
      </c>
      <c r="BD693" s="0" t="s">
        <v>240</v>
      </c>
      <c r="BE693" s="0" t="s">
        <v>240</v>
      </c>
      <c r="BF693" s="0" t="s">
        <v>240</v>
      </c>
      <c r="BG693" s="0" t="s">
        <v>240</v>
      </c>
      <c r="BH693" s="0" t="s">
        <v>240</v>
      </c>
      <c r="BI693" s="0" t="s">
        <v>240</v>
      </c>
      <c r="BJ693" s="0" t="s">
        <v>240</v>
      </c>
      <c r="BK693" s="0" t="s">
        <v>240</v>
      </c>
      <c r="BL693" s="0" t="s">
        <v>240</v>
      </c>
      <c r="BM693" s="0" t="s">
        <v>240</v>
      </c>
      <c r="BN693" s="0" t="s">
        <v>240</v>
      </c>
      <c r="BO693" s="0" t="s">
        <v>240</v>
      </c>
      <c r="BP693" s="0" t="s">
        <v>240</v>
      </c>
      <c r="BQ693" s="0" t="s">
        <v>240</v>
      </c>
      <c r="BR693" s="0" t="s">
        <v>240</v>
      </c>
      <c r="BS693" s="0" t="s">
        <v>240</v>
      </c>
      <c r="BT693" s="0" t="s">
        <v>240</v>
      </c>
      <c r="CS693" s="0" t="s">
        <v>240</v>
      </c>
      <c r="CT693" s="0" t="s">
        <v>5496</v>
      </c>
      <c r="CU693" s="0" t="s">
        <v>5497</v>
      </c>
      <c r="CV693" s="0" t="s">
        <v>443</v>
      </c>
      <c r="CW693" s="0" t="s">
        <v>5527</v>
      </c>
      <c r="CX693" s="0" t="s">
        <v>229</v>
      </c>
      <c r="CY693" s="0" t="s">
        <v>443</v>
      </c>
      <c r="CZ693" s="0" t="s">
        <v>299</v>
      </c>
      <c r="DA693" s="0" t="s">
        <v>5529</v>
      </c>
      <c r="DB693" s="0" t="s">
        <v>5527</v>
      </c>
      <c r="DC693" s="0" t="s">
        <v>384</v>
      </c>
      <c r="DD693" s="0" t="s">
        <v>300</v>
      </c>
      <c r="DE693" s="0" t="s">
        <v>7203</v>
      </c>
    </row>
    <row customHeight="1" ht="11.25">
      <c r="A694" s="1441" t="s">
        <v>240</v>
      </c>
      <c r="B694" s="0" t="s">
        <v>240</v>
      </c>
      <c r="C694" s="0" t="s">
        <v>240</v>
      </c>
      <c r="D694" s="0" t="s">
        <v>240</v>
      </c>
      <c r="E694" s="0" t="s">
        <v>240</v>
      </c>
      <c r="F694" s="0" t="s">
        <v>240</v>
      </c>
      <c r="G694" s="0" t="s">
        <v>240</v>
      </c>
      <c r="H694" s="0" t="s">
        <v>240</v>
      </c>
      <c r="I694" s="0" t="s">
        <v>7004</v>
      </c>
      <c r="J694" s="0" t="s">
        <v>240</v>
      </c>
      <c r="K694" s="0" t="s">
        <v>240</v>
      </c>
      <c r="L694" s="0" t="s">
        <v>240</v>
      </c>
      <c r="M694" s="0" t="s">
        <v>240</v>
      </c>
      <c r="N694" s="0" t="s">
        <v>240</v>
      </c>
      <c r="O694" s="0" t="s">
        <v>240</v>
      </c>
      <c r="P694" s="0" t="s">
        <v>240</v>
      </c>
      <c r="Q694" s="0" t="s">
        <v>240</v>
      </c>
      <c r="R694" s="0" t="s">
        <v>7204</v>
      </c>
      <c r="S694" s="0" t="s">
        <v>240</v>
      </c>
      <c r="T694" s="0" t="s">
        <v>240</v>
      </c>
      <c r="U694" s="0" t="s">
        <v>102</v>
      </c>
      <c r="V694" s="0" t="s">
        <v>240</v>
      </c>
      <c r="W694" s="0" t="s">
        <v>240</v>
      </c>
      <c r="X694" s="0" t="s">
        <v>546</v>
      </c>
      <c r="Y694" s="0" t="s">
        <v>240</v>
      </c>
      <c r="Z694" s="0" t="s">
        <v>161</v>
      </c>
      <c r="AA694" s="0" t="s">
        <v>152</v>
      </c>
      <c r="AB694" s="0" t="s">
        <v>152</v>
      </c>
      <c r="AC694" s="0" t="s">
        <v>3389</v>
      </c>
      <c r="AD694" s="0" t="s">
        <v>3389</v>
      </c>
      <c r="AE694" s="0" t="s">
        <v>3390</v>
      </c>
      <c r="AF694" s="0" t="s">
        <v>5519</v>
      </c>
      <c r="AG694" s="0" t="s">
        <v>5520</v>
      </c>
      <c r="AH694" s="0" t="s">
        <v>7205</v>
      </c>
      <c r="AI694" s="0" t="s">
        <v>5575</v>
      </c>
      <c r="AJ694" s="0" t="s">
        <v>6884</v>
      </c>
      <c r="AK694" s="0" t="s">
        <v>5504</v>
      </c>
      <c r="AL694" s="0" t="s">
        <v>7009</v>
      </c>
      <c r="AN694" s="0" t="s">
        <v>5821</v>
      </c>
      <c r="AO694" s="0" t="s">
        <v>7206</v>
      </c>
      <c r="AP694" s="0" t="s">
        <v>240</v>
      </c>
      <c r="AQ694" s="0" t="s">
        <v>240</v>
      </c>
      <c r="AR694" s="0" t="s">
        <v>240</v>
      </c>
      <c r="AS694" s="0" t="s">
        <v>240</v>
      </c>
      <c r="AT694" s="0" t="s">
        <v>240</v>
      </c>
      <c r="AU694" s="0" t="s">
        <v>240</v>
      </c>
      <c r="AV694" s="0" t="s">
        <v>240</v>
      </c>
      <c r="AW694" s="0" t="s">
        <v>240</v>
      </c>
      <c r="AX694" s="0" t="s">
        <v>240</v>
      </c>
      <c r="AY694" s="0" t="s">
        <v>240</v>
      </c>
      <c r="AZ694" s="0" t="s">
        <v>240</v>
      </c>
      <c r="BA694" s="0" t="s">
        <v>240</v>
      </c>
      <c r="BB694" s="0" t="s">
        <v>240</v>
      </c>
      <c r="BC694" s="0" t="s">
        <v>240</v>
      </c>
      <c r="BD694" s="0" t="s">
        <v>240</v>
      </c>
      <c r="BE694" s="0" t="s">
        <v>240</v>
      </c>
      <c r="BF694" s="0" t="s">
        <v>240</v>
      </c>
      <c r="BG694" s="0" t="s">
        <v>240</v>
      </c>
      <c r="BH694" s="0" t="s">
        <v>240</v>
      </c>
      <c r="BI694" s="0" t="s">
        <v>240</v>
      </c>
      <c r="BJ694" s="0" t="s">
        <v>240</v>
      </c>
      <c r="BK694" s="0" t="s">
        <v>240</v>
      </c>
      <c r="BL694" s="0" t="s">
        <v>240</v>
      </c>
      <c r="BM694" s="0" t="s">
        <v>240</v>
      </c>
      <c r="BN694" s="0" t="s">
        <v>240</v>
      </c>
      <c r="BO694" s="0" t="s">
        <v>240</v>
      </c>
      <c r="BP694" s="0" t="s">
        <v>240</v>
      </c>
      <c r="BQ694" s="0" t="s">
        <v>240</v>
      </c>
      <c r="BR694" s="0" t="s">
        <v>240</v>
      </c>
      <c r="BS694" s="0" t="s">
        <v>240</v>
      </c>
      <c r="BT694" s="0" t="s">
        <v>240</v>
      </c>
      <c r="CS694" s="0" t="s">
        <v>240</v>
      </c>
      <c r="CT694" s="0" t="s">
        <v>5496</v>
      </c>
      <c r="CU694" s="0" t="s">
        <v>7012</v>
      </c>
      <c r="CV694" s="0" t="s">
        <v>7207</v>
      </c>
      <c r="CW694" s="0" t="s">
        <v>7208</v>
      </c>
      <c r="CX694" s="0" t="s">
        <v>7209</v>
      </c>
      <c r="CY694" s="0" t="s">
        <v>7189</v>
      </c>
      <c r="CZ694" s="0" t="s">
        <v>7210</v>
      </c>
      <c r="DA694" s="0" t="s">
        <v>7206</v>
      </c>
      <c r="DB694" s="0" t="s">
        <v>7208</v>
      </c>
      <c r="DC694" s="0" t="s">
        <v>384</v>
      </c>
      <c r="DD694" s="0" t="s">
        <v>300</v>
      </c>
      <c r="DE694" s="0" t="s">
        <v>7211</v>
      </c>
    </row>
    <row customHeight="1" ht="11.25">
      <c r="A695" s="1441" t="s">
        <v>240</v>
      </c>
      <c r="B695" s="0" t="s">
        <v>240</v>
      </c>
      <c r="C695" s="0" t="s">
        <v>240</v>
      </c>
      <c r="D695" s="0" t="s">
        <v>240</v>
      </c>
      <c r="E695" s="0" t="s">
        <v>240</v>
      </c>
      <c r="F695" s="0" t="s">
        <v>240</v>
      </c>
      <c r="G695" s="0" t="s">
        <v>240</v>
      </c>
      <c r="H695" s="0" t="s">
        <v>240</v>
      </c>
      <c r="I695" s="0" t="s">
        <v>7004</v>
      </c>
      <c r="J695" s="0" t="s">
        <v>240</v>
      </c>
      <c r="K695" s="0" t="s">
        <v>240</v>
      </c>
      <c r="L695" s="0" t="s">
        <v>240</v>
      </c>
      <c r="M695" s="0" t="s">
        <v>240</v>
      </c>
      <c r="N695" s="0" t="s">
        <v>240</v>
      </c>
      <c r="O695" s="0" t="s">
        <v>240</v>
      </c>
      <c r="P695" s="0" t="s">
        <v>240</v>
      </c>
      <c r="Q695" s="0" t="s">
        <v>240</v>
      </c>
      <c r="R695" s="0" t="s">
        <v>7212</v>
      </c>
      <c r="S695" s="0" t="s">
        <v>240</v>
      </c>
      <c r="T695" s="0" t="s">
        <v>240</v>
      </c>
      <c r="U695" s="0" t="s">
        <v>102</v>
      </c>
      <c r="V695" s="0" t="s">
        <v>240</v>
      </c>
      <c r="W695" s="0" t="s">
        <v>240</v>
      </c>
      <c r="X695" s="0" t="s">
        <v>546</v>
      </c>
      <c r="Y695" s="0" t="s">
        <v>240</v>
      </c>
      <c r="Z695" s="0" t="s">
        <v>161</v>
      </c>
      <c r="AA695" s="0" t="s">
        <v>152</v>
      </c>
      <c r="AB695" s="0" t="s">
        <v>152</v>
      </c>
      <c r="AC695" s="0" t="s">
        <v>3389</v>
      </c>
      <c r="AD695" s="0" t="s">
        <v>3389</v>
      </c>
      <c r="AE695" s="0" t="s">
        <v>3390</v>
      </c>
      <c r="AF695" s="0" t="s">
        <v>5519</v>
      </c>
      <c r="AG695" s="0" t="s">
        <v>5520</v>
      </c>
      <c r="AH695" s="0" t="s">
        <v>7213</v>
      </c>
      <c r="AI695" s="0" t="s">
        <v>7214</v>
      </c>
      <c r="AJ695" s="0" t="s">
        <v>7215</v>
      </c>
      <c r="AK695" s="0" t="s">
        <v>7216</v>
      </c>
      <c r="AL695" s="0" t="s">
        <v>7009</v>
      </c>
      <c r="AN695" s="0" t="s">
        <v>5491</v>
      </c>
      <c r="AO695" s="0" t="s">
        <v>7110</v>
      </c>
      <c r="AP695" s="0" t="s">
        <v>240</v>
      </c>
      <c r="AQ695" s="0" t="s">
        <v>240</v>
      </c>
      <c r="AR695" s="0" t="s">
        <v>240</v>
      </c>
      <c r="AS695" s="0" t="s">
        <v>240</v>
      </c>
      <c r="AT695" s="0" t="s">
        <v>240</v>
      </c>
      <c r="AU695" s="0" t="s">
        <v>240</v>
      </c>
      <c r="AV695" s="0" t="s">
        <v>240</v>
      </c>
      <c r="AW695" s="0" t="s">
        <v>240</v>
      </c>
      <c r="AX695" s="0" t="s">
        <v>240</v>
      </c>
      <c r="AY695" s="0" t="s">
        <v>240</v>
      </c>
      <c r="AZ695" s="0" t="s">
        <v>240</v>
      </c>
      <c r="BA695" s="0" t="s">
        <v>240</v>
      </c>
      <c r="BB695" s="0" t="s">
        <v>240</v>
      </c>
      <c r="BC695" s="0" t="s">
        <v>240</v>
      </c>
      <c r="BD695" s="0" t="s">
        <v>240</v>
      </c>
      <c r="BE695" s="0" t="s">
        <v>240</v>
      </c>
      <c r="BF695" s="0" t="s">
        <v>240</v>
      </c>
      <c r="BG695" s="0" t="s">
        <v>240</v>
      </c>
      <c r="BH695" s="0" t="s">
        <v>240</v>
      </c>
      <c r="BI695" s="0" t="s">
        <v>240</v>
      </c>
      <c r="BJ695" s="0" t="s">
        <v>240</v>
      </c>
      <c r="BK695" s="0" t="s">
        <v>240</v>
      </c>
      <c r="BL695" s="0" t="s">
        <v>240</v>
      </c>
      <c r="BM695" s="0" t="s">
        <v>240</v>
      </c>
      <c r="BN695" s="0" t="s">
        <v>240</v>
      </c>
      <c r="BO695" s="0" t="s">
        <v>240</v>
      </c>
      <c r="BP695" s="0" t="s">
        <v>240</v>
      </c>
      <c r="BQ695" s="0" t="s">
        <v>240</v>
      </c>
      <c r="BR695" s="0" t="s">
        <v>240</v>
      </c>
      <c r="BS695" s="0" t="s">
        <v>240</v>
      </c>
      <c r="BT695" s="0" t="s">
        <v>240</v>
      </c>
      <c r="CS695" s="0" t="s">
        <v>240</v>
      </c>
      <c r="CT695" s="0" t="s">
        <v>5496</v>
      </c>
      <c r="CU695" s="0" t="s">
        <v>5497</v>
      </c>
      <c r="CV695" s="0" t="s">
        <v>443</v>
      </c>
      <c r="CW695" s="0" t="s">
        <v>5527</v>
      </c>
      <c r="CX695" s="0" t="s">
        <v>229</v>
      </c>
      <c r="CY695" s="0" t="s">
        <v>443</v>
      </c>
      <c r="CZ695" s="0" t="s">
        <v>299</v>
      </c>
      <c r="DA695" s="0" t="s">
        <v>5529</v>
      </c>
      <c r="DB695" s="0" t="s">
        <v>7217</v>
      </c>
      <c r="DC695" s="0" t="s">
        <v>384</v>
      </c>
      <c r="DD695" s="0" t="s">
        <v>300</v>
      </c>
      <c r="DE695" s="0" t="s">
        <v>7218</v>
      </c>
    </row>
    <row customHeight="1" ht="11.25">
      <c r="A696" s="1441" t="s">
        <v>240</v>
      </c>
      <c r="B696" s="0" t="s">
        <v>240</v>
      </c>
      <c r="C696" s="0" t="s">
        <v>240</v>
      </c>
      <c r="D696" s="0" t="s">
        <v>240</v>
      </c>
      <c r="E696" s="0" t="s">
        <v>240</v>
      </c>
      <c r="F696" s="0" t="s">
        <v>240</v>
      </c>
      <c r="G696" s="0" t="s">
        <v>240</v>
      </c>
      <c r="H696" s="0" t="s">
        <v>240</v>
      </c>
      <c r="I696" s="0" t="s">
        <v>7004</v>
      </c>
      <c r="J696" s="0" t="s">
        <v>240</v>
      </c>
      <c r="K696" s="0" t="s">
        <v>240</v>
      </c>
      <c r="L696" s="0" t="s">
        <v>240</v>
      </c>
      <c r="M696" s="0" t="s">
        <v>240</v>
      </c>
      <c r="N696" s="0" t="s">
        <v>240</v>
      </c>
      <c r="O696" s="0" t="s">
        <v>240</v>
      </c>
      <c r="P696" s="0" t="s">
        <v>240</v>
      </c>
      <c r="Q696" s="0" t="s">
        <v>240</v>
      </c>
      <c r="R696" s="0" t="s">
        <v>522</v>
      </c>
      <c r="S696" s="0" t="s">
        <v>240</v>
      </c>
      <c r="T696" s="0" t="s">
        <v>240</v>
      </c>
      <c r="U696" s="0" t="s">
        <v>102</v>
      </c>
      <c r="V696" s="0" t="s">
        <v>240</v>
      </c>
      <c r="W696" s="0" t="s">
        <v>240</v>
      </c>
      <c r="X696" s="0" t="s">
        <v>546</v>
      </c>
      <c r="Y696" s="0" t="s">
        <v>240</v>
      </c>
      <c r="Z696" s="0" t="s">
        <v>161</v>
      </c>
      <c r="AA696" s="0" t="s">
        <v>152</v>
      </c>
      <c r="AB696" s="0" t="s">
        <v>152</v>
      </c>
      <c r="AC696" s="0" t="s">
        <v>364</v>
      </c>
      <c r="AD696" s="0" t="s">
        <v>364</v>
      </c>
      <c r="AE696" s="0" t="s">
        <v>365</v>
      </c>
      <c r="AF696" s="0" t="s">
        <v>5486</v>
      </c>
      <c r="AG696" s="0" t="s">
        <v>5487</v>
      </c>
      <c r="AH696" s="0" t="s">
        <v>5488</v>
      </c>
      <c r="AI696" s="0" t="s">
        <v>7219</v>
      </c>
      <c r="AJ696" s="0" t="s">
        <v>5578</v>
      </c>
      <c r="AK696" s="0" t="s">
        <v>5776</v>
      </c>
      <c r="AL696" s="0" t="s">
        <v>7009</v>
      </c>
      <c r="AN696" s="0" t="s">
        <v>7220</v>
      </c>
      <c r="AO696" s="0" t="s">
        <v>5636</v>
      </c>
      <c r="AP696" s="0" t="s">
        <v>240</v>
      </c>
      <c r="AQ696" s="0" t="s">
        <v>240</v>
      </c>
      <c r="AR696" s="0" t="s">
        <v>240</v>
      </c>
      <c r="AS696" s="0" t="s">
        <v>240</v>
      </c>
      <c r="AT696" s="0" t="s">
        <v>240</v>
      </c>
      <c r="AU696" s="0" t="s">
        <v>240</v>
      </c>
      <c r="AV696" s="0" t="s">
        <v>240</v>
      </c>
      <c r="AW696" s="0" t="s">
        <v>240</v>
      </c>
      <c r="AX696" s="0" t="s">
        <v>240</v>
      </c>
      <c r="AY696" s="0" t="s">
        <v>240</v>
      </c>
      <c r="AZ696" s="0" t="s">
        <v>240</v>
      </c>
      <c r="BA696" s="0" t="s">
        <v>240</v>
      </c>
      <c r="BB696" s="0" t="s">
        <v>240</v>
      </c>
      <c r="BC696" s="0" t="s">
        <v>240</v>
      </c>
      <c r="BD696" s="0" t="s">
        <v>240</v>
      </c>
      <c r="BE696" s="0" t="s">
        <v>240</v>
      </c>
      <c r="BF696" s="0" t="s">
        <v>240</v>
      </c>
      <c r="BG696" s="0" t="s">
        <v>240</v>
      </c>
      <c r="BH696" s="0" t="s">
        <v>240</v>
      </c>
      <c r="BI696" s="0" t="s">
        <v>240</v>
      </c>
      <c r="BJ696" s="0" t="s">
        <v>240</v>
      </c>
      <c r="BK696" s="0" t="s">
        <v>240</v>
      </c>
      <c r="BL696" s="0" t="s">
        <v>240</v>
      </c>
      <c r="BM696" s="0" t="s">
        <v>240</v>
      </c>
      <c r="BN696" s="0" t="s">
        <v>240</v>
      </c>
      <c r="BO696" s="0" t="s">
        <v>240</v>
      </c>
      <c r="BP696" s="0" t="s">
        <v>240</v>
      </c>
      <c r="BQ696" s="0" t="s">
        <v>240</v>
      </c>
      <c r="BR696" s="0" t="s">
        <v>240</v>
      </c>
      <c r="BS696" s="0" t="s">
        <v>240</v>
      </c>
      <c r="BT696" s="0" t="s">
        <v>240</v>
      </c>
      <c r="CS696" s="0" t="s">
        <v>240</v>
      </c>
      <c r="CT696" s="0" t="s">
        <v>5496</v>
      </c>
      <c r="CU696" s="0" t="s">
        <v>5497</v>
      </c>
      <c r="CV696" s="0" t="s">
        <v>443</v>
      </c>
      <c r="CW696" s="0" t="s">
        <v>5498</v>
      </c>
      <c r="CX696" s="0" t="s">
        <v>229</v>
      </c>
      <c r="CY696" s="0" t="s">
        <v>443</v>
      </c>
      <c r="CZ696" s="0" t="s">
        <v>230</v>
      </c>
      <c r="DA696" s="0" t="s">
        <v>444</v>
      </c>
      <c r="DB696" s="0" t="s">
        <v>5498</v>
      </c>
      <c r="DC696" s="0" t="s">
        <v>384</v>
      </c>
      <c r="DD696" s="0" t="s">
        <v>300</v>
      </c>
      <c r="DE696" s="0" t="s">
        <v>523</v>
      </c>
    </row>
    <row customHeight="1" ht="11.25">
      <c r="A697" s="1441" t="s">
        <v>240</v>
      </c>
      <c r="B697" s="0" t="s">
        <v>240</v>
      </c>
      <c r="C697" s="0" t="s">
        <v>240</v>
      </c>
      <c r="D697" s="0" t="s">
        <v>240</v>
      </c>
      <c r="E697" s="0" t="s">
        <v>240</v>
      </c>
      <c r="F697" s="0" t="s">
        <v>240</v>
      </c>
      <c r="G697" s="0" t="s">
        <v>240</v>
      </c>
      <c r="H697" s="0" t="s">
        <v>240</v>
      </c>
      <c r="I697" s="0" t="s">
        <v>7004</v>
      </c>
      <c r="J697" s="0" t="s">
        <v>240</v>
      </c>
      <c r="K697" s="0" t="s">
        <v>240</v>
      </c>
      <c r="L697" s="0" t="s">
        <v>240</v>
      </c>
      <c r="M697" s="0" t="s">
        <v>240</v>
      </c>
      <c r="N697" s="0" t="s">
        <v>240</v>
      </c>
      <c r="O697" s="0" t="s">
        <v>240</v>
      </c>
      <c r="P697" s="0" t="s">
        <v>240</v>
      </c>
      <c r="Q697" s="0" t="s">
        <v>240</v>
      </c>
      <c r="R697" s="0" t="s">
        <v>512</v>
      </c>
      <c r="S697" s="0" t="s">
        <v>240</v>
      </c>
      <c r="T697" s="0" t="s">
        <v>240</v>
      </c>
      <c r="U697" s="0" t="s">
        <v>102</v>
      </c>
      <c r="V697" s="0" t="s">
        <v>240</v>
      </c>
      <c r="W697" s="0" t="s">
        <v>240</v>
      </c>
      <c r="X697" s="0" t="s">
        <v>546</v>
      </c>
      <c r="Y697" s="0" t="s">
        <v>240</v>
      </c>
      <c r="Z697" s="0" t="s">
        <v>161</v>
      </c>
      <c r="AA697" s="0" t="s">
        <v>152</v>
      </c>
      <c r="AB697" s="0" t="s">
        <v>152</v>
      </c>
      <c r="AC697" s="0" t="s">
        <v>364</v>
      </c>
      <c r="AD697" s="0" t="s">
        <v>364</v>
      </c>
      <c r="AE697" s="0" t="s">
        <v>365</v>
      </c>
      <c r="AF697" s="0" t="s">
        <v>5486</v>
      </c>
      <c r="AG697" s="0" t="s">
        <v>5487</v>
      </c>
      <c r="AH697" s="0" t="s">
        <v>7221</v>
      </c>
      <c r="AI697" s="0" t="s">
        <v>7222</v>
      </c>
      <c r="AJ697" s="0" t="s">
        <v>5578</v>
      </c>
      <c r="AK697" s="0" t="s">
        <v>5776</v>
      </c>
      <c r="AL697" s="0" t="s">
        <v>7009</v>
      </c>
      <c r="AN697" s="0" t="s">
        <v>5666</v>
      </c>
      <c r="AO697" s="0" t="s">
        <v>5768</v>
      </c>
      <c r="AP697" s="0" t="s">
        <v>240</v>
      </c>
      <c r="AQ697" s="0" t="s">
        <v>240</v>
      </c>
      <c r="AR697" s="0" t="s">
        <v>240</v>
      </c>
      <c r="AS697" s="0" t="s">
        <v>240</v>
      </c>
      <c r="AT697" s="0" t="s">
        <v>240</v>
      </c>
      <c r="AU697" s="0" t="s">
        <v>240</v>
      </c>
      <c r="AV697" s="0" t="s">
        <v>240</v>
      </c>
      <c r="AW697" s="0" t="s">
        <v>240</v>
      </c>
      <c r="AX697" s="0" t="s">
        <v>240</v>
      </c>
      <c r="AY697" s="0" t="s">
        <v>240</v>
      </c>
      <c r="AZ697" s="0" t="s">
        <v>240</v>
      </c>
      <c r="BA697" s="0" t="s">
        <v>240</v>
      </c>
      <c r="BB697" s="0" t="s">
        <v>240</v>
      </c>
      <c r="BC697" s="0" t="s">
        <v>240</v>
      </c>
      <c r="BD697" s="0" t="s">
        <v>240</v>
      </c>
      <c r="BE697" s="0" t="s">
        <v>240</v>
      </c>
      <c r="BF697" s="0" t="s">
        <v>240</v>
      </c>
      <c r="BG697" s="0" t="s">
        <v>240</v>
      </c>
      <c r="BH697" s="0" t="s">
        <v>240</v>
      </c>
      <c r="BI697" s="0" t="s">
        <v>240</v>
      </c>
      <c r="BJ697" s="0" t="s">
        <v>240</v>
      </c>
      <c r="BK697" s="0" t="s">
        <v>240</v>
      </c>
      <c r="BL697" s="0" t="s">
        <v>240</v>
      </c>
      <c r="BM697" s="0" t="s">
        <v>240</v>
      </c>
      <c r="BN697" s="0" t="s">
        <v>240</v>
      </c>
      <c r="BO697" s="0" t="s">
        <v>240</v>
      </c>
      <c r="BP697" s="0" t="s">
        <v>240</v>
      </c>
      <c r="BQ697" s="0" t="s">
        <v>240</v>
      </c>
      <c r="BR697" s="0" t="s">
        <v>240</v>
      </c>
      <c r="BS697" s="0" t="s">
        <v>240</v>
      </c>
      <c r="BT697" s="0" t="s">
        <v>240</v>
      </c>
      <c r="CS697" s="0" t="s">
        <v>240</v>
      </c>
      <c r="CT697" s="0" t="s">
        <v>5496</v>
      </c>
      <c r="CU697" s="0" t="s">
        <v>5497</v>
      </c>
      <c r="CV697" s="0" t="s">
        <v>443</v>
      </c>
      <c r="CW697" s="0" t="s">
        <v>5498</v>
      </c>
      <c r="CX697" s="0" t="s">
        <v>229</v>
      </c>
      <c r="CY697" s="0" t="s">
        <v>443</v>
      </c>
      <c r="CZ697" s="0" t="s">
        <v>230</v>
      </c>
      <c r="DA697" s="0" t="s">
        <v>444</v>
      </c>
      <c r="DB697" s="0" t="s">
        <v>5498</v>
      </c>
      <c r="DC697" s="0" t="s">
        <v>384</v>
      </c>
      <c r="DD697" s="0" t="s">
        <v>300</v>
      </c>
      <c r="DE697" s="0" t="s">
        <v>513</v>
      </c>
    </row>
    <row customHeight="1" ht="11.25">
      <c r="A698" s="1441" t="s">
        <v>240</v>
      </c>
      <c r="B698" s="0" t="s">
        <v>240</v>
      </c>
      <c r="C698" s="0" t="s">
        <v>240</v>
      </c>
      <c r="D698" s="0" t="s">
        <v>240</v>
      </c>
      <c r="E698" s="0" t="s">
        <v>240</v>
      </c>
      <c r="F698" s="0" t="s">
        <v>240</v>
      </c>
      <c r="G698" s="0" t="s">
        <v>240</v>
      </c>
      <c r="H698" s="0" t="s">
        <v>240</v>
      </c>
      <c r="I698" s="0" t="s">
        <v>7004</v>
      </c>
      <c r="J698" s="0" t="s">
        <v>240</v>
      </c>
      <c r="K698" s="0" t="s">
        <v>240</v>
      </c>
      <c r="L698" s="0" t="s">
        <v>240</v>
      </c>
      <c r="M698" s="0" t="s">
        <v>240</v>
      </c>
      <c r="N698" s="0" t="s">
        <v>240</v>
      </c>
      <c r="O698" s="0" t="s">
        <v>240</v>
      </c>
      <c r="P698" s="0" t="s">
        <v>240</v>
      </c>
      <c r="Q698" s="0" t="s">
        <v>240</v>
      </c>
      <c r="R698" s="0" t="s">
        <v>7223</v>
      </c>
      <c r="S698" s="0" t="s">
        <v>240</v>
      </c>
      <c r="T698" s="0" t="s">
        <v>240</v>
      </c>
      <c r="U698" s="0" t="s">
        <v>102</v>
      </c>
      <c r="V698" s="0" t="s">
        <v>240</v>
      </c>
      <c r="W698" s="0" t="s">
        <v>240</v>
      </c>
      <c r="X698" s="0" t="s">
        <v>546</v>
      </c>
      <c r="Y698" s="0" t="s">
        <v>240</v>
      </c>
      <c r="Z698" s="0" t="s">
        <v>161</v>
      </c>
      <c r="AA698" s="0" t="s">
        <v>152</v>
      </c>
      <c r="AB698" s="0" t="s">
        <v>152</v>
      </c>
      <c r="AC698" s="0" t="s">
        <v>3395</v>
      </c>
      <c r="AD698" s="0" t="s">
        <v>3395</v>
      </c>
      <c r="AE698" s="0" t="s">
        <v>3396</v>
      </c>
      <c r="AF698" s="0" t="s">
        <v>5941</v>
      </c>
      <c r="AG698" s="0" t="s">
        <v>5942</v>
      </c>
      <c r="AH698" s="0" t="s">
        <v>7224</v>
      </c>
      <c r="AI698" s="0" t="s">
        <v>5533</v>
      </c>
      <c r="AJ698" s="0" t="s">
        <v>5945</v>
      </c>
      <c r="AK698" s="0" t="s">
        <v>7121</v>
      </c>
      <c r="AL698" s="0" t="s">
        <v>7009</v>
      </c>
      <c r="AN698" s="0" t="s">
        <v>5553</v>
      </c>
      <c r="AO698" s="0" t="s">
        <v>7225</v>
      </c>
      <c r="AP698" s="0" t="s">
        <v>240</v>
      </c>
      <c r="AQ698" s="0" t="s">
        <v>240</v>
      </c>
      <c r="AR698" s="0" t="s">
        <v>240</v>
      </c>
      <c r="AS698" s="0" t="s">
        <v>240</v>
      </c>
      <c r="AT698" s="0" t="s">
        <v>240</v>
      </c>
      <c r="AU698" s="0" t="s">
        <v>240</v>
      </c>
      <c r="AV698" s="0" t="s">
        <v>240</v>
      </c>
      <c r="AW698" s="0" t="s">
        <v>240</v>
      </c>
      <c r="AX698" s="0" t="s">
        <v>240</v>
      </c>
      <c r="AY698" s="0" t="s">
        <v>240</v>
      </c>
      <c r="AZ698" s="0" t="s">
        <v>240</v>
      </c>
      <c r="BA698" s="0" t="s">
        <v>240</v>
      </c>
      <c r="BB698" s="0" t="s">
        <v>240</v>
      </c>
      <c r="BC698" s="0" t="s">
        <v>240</v>
      </c>
      <c r="BD698" s="0" t="s">
        <v>240</v>
      </c>
      <c r="BE698" s="0" t="s">
        <v>240</v>
      </c>
      <c r="BF698" s="0" t="s">
        <v>240</v>
      </c>
      <c r="BG698" s="0" t="s">
        <v>240</v>
      </c>
      <c r="BH698" s="0" t="s">
        <v>240</v>
      </c>
      <c r="BI698" s="0" t="s">
        <v>240</v>
      </c>
      <c r="BJ698" s="0" t="s">
        <v>240</v>
      </c>
      <c r="BK698" s="0" t="s">
        <v>240</v>
      </c>
      <c r="BL698" s="0" t="s">
        <v>240</v>
      </c>
      <c r="BM698" s="0" t="s">
        <v>240</v>
      </c>
      <c r="BN698" s="0" t="s">
        <v>240</v>
      </c>
      <c r="BO698" s="0" t="s">
        <v>240</v>
      </c>
      <c r="BP698" s="0" t="s">
        <v>240</v>
      </c>
      <c r="BQ698" s="0" t="s">
        <v>240</v>
      </c>
      <c r="BR698" s="0" t="s">
        <v>240</v>
      </c>
      <c r="BS698" s="0" t="s">
        <v>240</v>
      </c>
      <c r="BT698" s="0" t="s">
        <v>240</v>
      </c>
      <c r="CS698" s="0" t="s">
        <v>240</v>
      </c>
      <c r="CT698" s="0" t="s">
        <v>5496</v>
      </c>
      <c r="CU698" s="0" t="s">
        <v>5497</v>
      </c>
      <c r="CV698" s="0" t="s">
        <v>5947</v>
      </c>
      <c r="CW698" s="0" t="s">
        <v>5948</v>
      </c>
      <c r="CX698" s="0" t="s">
        <v>5528</v>
      </c>
      <c r="CY698" s="0" t="s">
        <v>5947</v>
      </c>
      <c r="CZ698" s="0" t="s">
        <v>7022</v>
      </c>
      <c r="DA698" s="0" t="s">
        <v>5949</v>
      </c>
      <c r="DB698" s="0" t="s">
        <v>5948</v>
      </c>
      <c r="DC698" s="0" t="s">
        <v>384</v>
      </c>
      <c r="DD698" s="0" t="s">
        <v>300</v>
      </c>
      <c r="DE698" s="0" t="s">
        <v>7226</v>
      </c>
    </row>
    <row customHeight="1" ht="11.25">
      <c r="A699" s="1441" t="s">
        <v>240</v>
      </c>
      <c r="B699" s="0" t="s">
        <v>240</v>
      </c>
      <c r="C699" s="0" t="s">
        <v>240</v>
      </c>
      <c r="D699" s="0" t="s">
        <v>240</v>
      </c>
      <c r="E699" s="0" t="s">
        <v>240</v>
      </c>
      <c r="F699" s="0" t="s">
        <v>240</v>
      </c>
      <c r="G699" s="0" t="s">
        <v>240</v>
      </c>
      <c r="H699" s="0" t="s">
        <v>240</v>
      </c>
      <c r="I699" s="0" t="s">
        <v>7004</v>
      </c>
      <c r="J699" s="0" t="s">
        <v>240</v>
      </c>
      <c r="K699" s="0" t="s">
        <v>240</v>
      </c>
      <c r="L699" s="0" t="s">
        <v>240</v>
      </c>
      <c r="M699" s="0" t="s">
        <v>240</v>
      </c>
      <c r="N699" s="0" t="s">
        <v>240</v>
      </c>
      <c r="O699" s="0" t="s">
        <v>240</v>
      </c>
      <c r="P699" s="0" t="s">
        <v>240</v>
      </c>
      <c r="Q699" s="0" t="s">
        <v>240</v>
      </c>
      <c r="R699" s="0" t="s">
        <v>526</v>
      </c>
      <c r="S699" s="0" t="s">
        <v>240</v>
      </c>
      <c r="T699" s="0" t="s">
        <v>240</v>
      </c>
      <c r="U699" s="0" t="s">
        <v>102</v>
      </c>
      <c r="V699" s="0" t="s">
        <v>240</v>
      </c>
      <c r="W699" s="0" t="s">
        <v>240</v>
      </c>
      <c r="X699" s="0" t="s">
        <v>546</v>
      </c>
      <c r="Y699" s="0" t="s">
        <v>240</v>
      </c>
      <c r="Z699" s="0" t="s">
        <v>161</v>
      </c>
      <c r="AA699" s="0" t="s">
        <v>152</v>
      </c>
      <c r="AB699" s="0" t="s">
        <v>152</v>
      </c>
      <c r="AC699" s="0" t="s">
        <v>364</v>
      </c>
      <c r="AD699" s="0" t="s">
        <v>364</v>
      </c>
      <c r="AE699" s="0" t="s">
        <v>365</v>
      </c>
      <c r="AF699" s="0" t="s">
        <v>5486</v>
      </c>
      <c r="AG699" s="0" t="s">
        <v>5487</v>
      </c>
      <c r="AH699" s="0" t="s">
        <v>7227</v>
      </c>
      <c r="AI699" s="0" t="s">
        <v>6621</v>
      </c>
      <c r="AJ699" s="0" t="s">
        <v>5491</v>
      </c>
      <c r="AK699" s="0" t="s">
        <v>7145</v>
      </c>
      <c r="AL699" s="0" t="s">
        <v>7009</v>
      </c>
      <c r="AN699" s="0" t="s">
        <v>5902</v>
      </c>
      <c r="AO699" s="0" t="s">
        <v>7228</v>
      </c>
      <c r="AP699" s="0" t="s">
        <v>240</v>
      </c>
      <c r="AQ699" s="0" t="s">
        <v>240</v>
      </c>
      <c r="AR699" s="0" t="s">
        <v>240</v>
      </c>
      <c r="AS699" s="0" t="s">
        <v>240</v>
      </c>
      <c r="AT699" s="0" t="s">
        <v>240</v>
      </c>
      <c r="AU699" s="0" t="s">
        <v>240</v>
      </c>
      <c r="AV699" s="0" t="s">
        <v>240</v>
      </c>
      <c r="AW699" s="0" t="s">
        <v>240</v>
      </c>
      <c r="AX699" s="0" t="s">
        <v>240</v>
      </c>
      <c r="AY699" s="0" t="s">
        <v>240</v>
      </c>
      <c r="AZ699" s="0" t="s">
        <v>240</v>
      </c>
      <c r="BA699" s="0" t="s">
        <v>240</v>
      </c>
      <c r="BB699" s="0" t="s">
        <v>240</v>
      </c>
      <c r="BC699" s="0" t="s">
        <v>240</v>
      </c>
      <c r="BD699" s="0" t="s">
        <v>240</v>
      </c>
      <c r="BE699" s="0" t="s">
        <v>240</v>
      </c>
      <c r="BF699" s="0" t="s">
        <v>240</v>
      </c>
      <c r="BG699" s="0" t="s">
        <v>240</v>
      </c>
      <c r="BH699" s="0" t="s">
        <v>240</v>
      </c>
      <c r="BI699" s="0" t="s">
        <v>240</v>
      </c>
      <c r="BJ699" s="0" t="s">
        <v>240</v>
      </c>
      <c r="BK699" s="0" t="s">
        <v>240</v>
      </c>
      <c r="BL699" s="0" t="s">
        <v>240</v>
      </c>
      <c r="BM699" s="0" t="s">
        <v>240</v>
      </c>
      <c r="BN699" s="0" t="s">
        <v>240</v>
      </c>
      <c r="BO699" s="0" t="s">
        <v>240</v>
      </c>
      <c r="BP699" s="0" t="s">
        <v>240</v>
      </c>
      <c r="BQ699" s="0" t="s">
        <v>240</v>
      </c>
      <c r="BR699" s="0" t="s">
        <v>240</v>
      </c>
      <c r="BS699" s="0" t="s">
        <v>240</v>
      </c>
      <c r="BT699" s="0" t="s">
        <v>240</v>
      </c>
      <c r="CS699" s="0" t="s">
        <v>240</v>
      </c>
      <c r="CT699" s="0" t="s">
        <v>5496</v>
      </c>
      <c r="CU699" s="0" t="s">
        <v>5497</v>
      </c>
      <c r="CV699" s="0" t="s">
        <v>443</v>
      </c>
      <c r="CW699" s="0" t="s">
        <v>5498</v>
      </c>
      <c r="CX699" s="0" t="s">
        <v>229</v>
      </c>
      <c r="CY699" s="0" t="s">
        <v>443</v>
      </c>
      <c r="CZ699" s="0" t="s">
        <v>230</v>
      </c>
      <c r="DA699" s="0" t="s">
        <v>444</v>
      </c>
      <c r="DB699" s="0" t="s">
        <v>5498</v>
      </c>
      <c r="DC699" s="0" t="s">
        <v>384</v>
      </c>
      <c r="DD699" s="0" t="s">
        <v>300</v>
      </c>
      <c r="DE699" s="0" t="s">
        <v>527</v>
      </c>
    </row>
    <row customHeight="1" ht="11.25">
      <c r="A700" s="1441" t="s">
        <v>240</v>
      </c>
      <c r="B700" s="0" t="s">
        <v>240</v>
      </c>
      <c r="C700" s="0" t="s">
        <v>240</v>
      </c>
      <c r="D700" s="0" t="s">
        <v>240</v>
      </c>
      <c r="E700" s="0" t="s">
        <v>240</v>
      </c>
      <c r="F700" s="0" t="s">
        <v>240</v>
      </c>
      <c r="G700" s="0" t="s">
        <v>240</v>
      </c>
      <c r="H700" s="0" t="s">
        <v>240</v>
      </c>
      <c r="I700" s="0" t="s">
        <v>7004</v>
      </c>
      <c r="J700" s="0" t="s">
        <v>240</v>
      </c>
      <c r="K700" s="0" t="s">
        <v>240</v>
      </c>
      <c r="L700" s="0" t="s">
        <v>240</v>
      </c>
      <c r="M700" s="0" t="s">
        <v>240</v>
      </c>
      <c r="N700" s="0" t="s">
        <v>240</v>
      </c>
      <c r="O700" s="0" t="s">
        <v>240</v>
      </c>
      <c r="P700" s="0" t="s">
        <v>240</v>
      </c>
      <c r="Q700" s="0" t="s">
        <v>240</v>
      </c>
      <c r="R700" s="0" t="s">
        <v>7229</v>
      </c>
      <c r="S700" s="0" t="s">
        <v>240</v>
      </c>
      <c r="T700" s="0" t="s">
        <v>240</v>
      </c>
      <c r="U700" s="0" t="s">
        <v>102</v>
      </c>
      <c r="V700" s="0" t="s">
        <v>240</v>
      </c>
      <c r="W700" s="0" t="s">
        <v>240</v>
      </c>
      <c r="X700" s="0" t="s">
        <v>546</v>
      </c>
      <c r="Y700" s="0" t="s">
        <v>240</v>
      </c>
      <c r="Z700" s="0" t="s">
        <v>161</v>
      </c>
      <c r="AA700" s="0" t="s">
        <v>152</v>
      </c>
      <c r="AB700" s="0" t="s">
        <v>152</v>
      </c>
      <c r="AC700" s="0" t="s">
        <v>2991</v>
      </c>
      <c r="AD700" s="0" t="s">
        <v>2991</v>
      </c>
      <c r="AE700" s="0" t="s">
        <v>2992</v>
      </c>
      <c r="AF700" s="0" t="s">
        <v>5749</v>
      </c>
      <c r="AG700" s="0" t="s">
        <v>5750</v>
      </c>
      <c r="AH700" s="0" t="s">
        <v>7230</v>
      </c>
      <c r="AI700" s="0" t="s">
        <v>5624</v>
      </c>
      <c r="AJ700" s="0" t="s">
        <v>6917</v>
      </c>
      <c r="AK700" s="0" t="s">
        <v>7195</v>
      </c>
      <c r="AL700" s="0" t="s">
        <v>7009</v>
      </c>
      <c r="AN700" s="0" t="s">
        <v>5507</v>
      </c>
      <c r="AO700" s="0" t="s">
        <v>5625</v>
      </c>
      <c r="AP700" s="0" t="s">
        <v>240</v>
      </c>
      <c r="AQ700" s="0" t="s">
        <v>240</v>
      </c>
      <c r="AR700" s="0" t="s">
        <v>240</v>
      </c>
      <c r="AS700" s="0" t="s">
        <v>240</v>
      </c>
      <c r="AT700" s="0" t="s">
        <v>240</v>
      </c>
      <c r="AU700" s="0" t="s">
        <v>240</v>
      </c>
      <c r="AV700" s="0" t="s">
        <v>240</v>
      </c>
      <c r="AW700" s="0" t="s">
        <v>240</v>
      </c>
      <c r="AX700" s="0" t="s">
        <v>240</v>
      </c>
      <c r="AY700" s="0" t="s">
        <v>240</v>
      </c>
      <c r="AZ700" s="0" t="s">
        <v>240</v>
      </c>
      <c r="BA700" s="0" t="s">
        <v>240</v>
      </c>
      <c r="BB700" s="0" t="s">
        <v>240</v>
      </c>
      <c r="BC700" s="0" t="s">
        <v>240</v>
      </c>
      <c r="BD700" s="0" t="s">
        <v>240</v>
      </c>
      <c r="BE700" s="0" t="s">
        <v>240</v>
      </c>
      <c r="BF700" s="0" t="s">
        <v>240</v>
      </c>
      <c r="BG700" s="0" t="s">
        <v>240</v>
      </c>
      <c r="BH700" s="0" t="s">
        <v>240</v>
      </c>
      <c r="BI700" s="0" t="s">
        <v>240</v>
      </c>
      <c r="BJ700" s="0" t="s">
        <v>240</v>
      </c>
      <c r="BK700" s="0" t="s">
        <v>240</v>
      </c>
      <c r="BL700" s="0" t="s">
        <v>240</v>
      </c>
      <c r="BM700" s="0" t="s">
        <v>240</v>
      </c>
      <c r="BN700" s="0" t="s">
        <v>240</v>
      </c>
      <c r="BO700" s="0" t="s">
        <v>240</v>
      </c>
      <c r="BP700" s="0" t="s">
        <v>240</v>
      </c>
      <c r="BQ700" s="0" t="s">
        <v>240</v>
      </c>
      <c r="BR700" s="0" t="s">
        <v>240</v>
      </c>
      <c r="BS700" s="0" t="s">
        <v>240</v>
      </c>
      <c r="BT700" s="0" t="s">
        <v>240</v>
      </c>
      <c r="CS700" s="0" t="s">
        <v>240</v>
      </c>
      <c r="CT700" s="0" t="s">
        <v>5496</v>
      </c>
      <c r="CU700" s="0" t="s">
        <v>5497</v>
      </c>
      <c r="CV700" s="0" t="s">
        <v>443</v>
      </c>
      <c r="CW700" s="0" t="s">
        <v>5547</v>
      </c>
      <c r="CX700" s="0" t="s">
        <v>229</v>
      </c>
      <c r="CY700" s="0" t="s">
        <v>443</v>
      </c>
      <c r="CZ700" s="0" t="s">
        <v>5548</v>
      </c>
      <c r="DA700" s="0" t="s">
        <v>5549</v>
      </c>
      <c r="DB700" s="0" t="s">
        <v>5547</v>
      </c>
      <c r="DC700" s="0" t="s">
        <v>384</v>
      </c>
      <c r="DD700" s="0" t="s">
        <v>300</v>
      </c>
      <c r="DE700" s="0" t="s">
        <v>7231</v>
      </c>
    </row>
    <row customHeight="1" ht="11.25">
      <c r="A701" s="1441" t="s">
        <v>240</v>
      </c>
      <c r="B701" s="0" t="s">
        <v>240</v>
      </c>
      <c r="C701" s="0" t="s">
        <v>240</v>
      </c>
      <c r="D701" s="0" t="s">
        <v>240</v>
      </c>
      <c r="E701" s="0" t="s">
        <v>240</v>
      </c>
      <c r="F701" s="0" t="s">
        <v>240</v>
      </c>
      <c r="G701" s="0" t="s">
        <v>240</v>
      </c>
      <c r="H701" s="0" t="s">
        <v>240</v>
      </c>
      <c r="I701" s="0" t="s">
        <v>7004</v>
      </c>
      <c r="J701" s="0" t="s">
        <v>240</v>
      </c>
      <c r="K701" s="0" t="s">
        <v>240</v>
      </c>
      <c r="L701" s="0" t="s">
        <v>240</v>
      </c>
      <c r="M701" s="0" t="s">
        <v>240</v>
      </c>
      <c r="N701" s="0" t="s">
        <v>240</v>
      </c>
      <c r="O701" s="0" t="s">
        <v>240</v>
      </c>
      <c r="P701" s="0" t="s">
        <v>240</v>
      </c>
      <c r="Q701" s="0" t="s">
        <v>240</v>
      </c>
      <c r="R701" s="0" t="s">
        <v>7232</v>
      </c>
      <c r="S701" s="0" t="s">
        <v>240</v>
      </c>
      <c r="T701" s="0" t="s">
        <v>240</v>
      </c>
      <c r="U701" s="0" t="s">
        <v>102</v>
      </c>
      <c r="V701" s="0" t="s">
        <v>240</v>
      </c>
      <c r="W701" s="0" t="s">
        <v>240</v>
      </c>
      <c r="X701" s="0" t="s">
        <v>546</v>
      </c>
      <c r="Y701" s="0" t="s">
        <v>240</v>
      </c>
      <c r="Z701" s="0" t="s">
        <v>161</v>
      </c>
      <c r="AA701" s="0" t="s">
        <v>152</v>
      </c>
      <c r="AB701" s="0" t="s">
        <v>152</v>
      </c>
      <c r="AC701" s="0" t="s">
        <v>2991</v>
      </c>
      <c r="AD701" s="0" t="s">
        <v>2991</v>
      </c>
      <c r="AE701" s="0" t="s">
        <v>2992</v>
      </c>
      <c r="AF701" s="0" t="s">
        <v>5749</v>
      </c>
      <c r="AG701" s="0" t="s">
        <v>5750</v>
      </c>
      <c r="AH701" s="0" t="s">
        <v>7233</v>
      </c>
      <c r="AI701" s="0" t="s">
        <v>5575</v>
      </c>
      <c r="AJ701" s="0" t="s">
        <v>6917</v>
      </c>
      <c r="AK701" s="0" t="s">
        <v>7195</v>
      </c>
      <c r="AL701" s="0" t="s">
        <v>7009</v>
      </c>
      <c r="AN701" s="0" t="s">
        <v>5507</v>
      </c>
      <c r="AO701" s="0" t="s">
        <v>7015</v>
      </c>
      <c r="AP701" s="0" t="s">
        <v>240</v>
      </c>
      <c r="AQ701" s="0" t="s">
        <v>240</v>
      </c>
      <c r="AR701" s="0" t="s">
        <v>240</v>
      </c>
      <c r="AS701" s="0" t="s">
        <v>240</v>
      </c>
      <c r="AT701" s="0" t="s">
        <v>240</v>
      </c>
      <c r="AU701" s="0" t="s">
        <v>240</v>
      </c>
      <c r="AV701" s="0" t="s">
        <v>240</v>
      </c>
      <c r="AW701" s="0" t="s">
        <v>240</v>
      </c>
      <c r="AX701" s="0" t="s">
        <v>240</v>
      </c>
      <c r="AY701" s="0" t="s">
        <v>240</v>
      </c>
      <c r="AZ701" s="0" t="s">
        <v>240</v>
      </c>
      <c r="BA701" s="0" t="s">
        <v>240</v>
      </c>
      <c r="BB701" s="0" t="s">
        <v>240</v>
      </c>
      <c r="BC701" s="0" t="s">
        <v>240</v>
      </c>
      <c r="BD701" s="0" t="s">
        <v>240</v>
      </c>
      <c r="BE701" s="0" t="s">
        <v>240</v>
      </c>
      <c r="BF701" s="0" t="s">
        <v>240</v>
      </c>
      <c r="BG701" s="0" t="s">
        <v>240</v>
      </c>
      <c r="BH701" s="0" t="s">
        <v>240</v>
      </c>
      <c r="BI701" s="0" t="s">
        <v>240</v>
      </c>
      <c r="BJ701" s="0" t="s">
        <v>240</v>
      </c>
      <c r="BK701" s="0" t="s">
        <v>240</v>
      </c>
      <c r="BL701" s="0" t="s">
        <v>240</v>
      </c>
      <c r="BM701" s="0" t="s">
        <v>240</v>
      </c>
      <c r="BN701" s="0" t="s">
        <v>240</v>
      </c>
      <c r="BO701" s="0" t="s">
        <v>240</v>
      </c>
      <c r="BP701" s="0" t="s">
        <v>240</v>
      </c>
      <c r="BQ701" s="0" t="s">
        <v>240</v>
      </c>
      <c r="BR701" s="0" t="s">
        <v>240</v>
      </c>
      <c r="BS701" s="0" t="s">
        <v>240</v>
      </c>
      <c r="BT701" s="0" t="s">
        <v>240</v>
      </c>
      <c r="CS701" s="0" t="s">
        <v>240</v>
      </c>
      <c r="CT701" s="0" t="s">
        <v>5496</v>
      </c>
      <c r="CU701" s="0" t="s">
        <v>5497</v>
      </c>
      <c r="CV701" s="0" t="s">
        <v>443</v>
      </c>
      <c r="CW701" s="0" t="s">
        <v>5547</v>
      </c>
      <c r="CX701" s="0" t="s">
        <v>229</v>
      </c>
      <c r="CY701" s="0" t="s">
        <v>443</v>
      </c>
      <c r="CZ701" s="0" t="s">
        <v>5548</v>
      </c>
      <c r="DA701" s="0" t="s">
        <v>5549</v>
      </c>
      <c r="DB701" s="0" t="s">
        <v>5547</v>
      </c>
      <c r="DC701" s="0" t="s">
        <v>384</v>
      </c>
      <c r="DD701" s="0" t="s">
        <v>300</v>
      </c>
      <c r="DE701" s="0" t="s">
        <v>7234</v>
      </c>
    </row>
    <row customHeight="1" ht="11.25">
      <c r="A702" s="1441" t="s">
        <v>240</v>
      </c>
      <c r="B702" s="0" t="s">
        <v>240</v>
      </c>
      <c r="C702" s="0" t="s">
        <v>240</v>
      </c>
      <c r="D702" s="0" t="s">
        <v>240</v>
      </c>
      <c r="E702" s="0" t="s">
        <v>240</v>
      </c>
      <c r="F702" s="0" t="s">
        <v>240</v>
      </c>
      <c r="G702" s="0" t="s">
        <v>240</v>
      </c>
      <c r="H702" s="0" t="s">
        <v>240</v>
      </c>
      <c r="I702" s="0" t="s">
        <v>7004</v>
      </c>
      <c r="J702" s="0" t="s">
        <v>240</v>
      </c>
      <c r="K702" s="0" t="s">
        <v>240</v>
      </c>
      <c r="L702" s="0" t="s">
        <v>240</v>
      </c>
      <c r="M702" s="0" t="s">
        <v>240</v>
      </c>
      <c r="N702" s="0" t="s">
        <v>240</v>
      </c>
      <c r="O702" s="0" t="s">
        <v>240</v>
      </c>
      <c r="P702" s="0" t="s">
        <v>240</v>
      </c>
      <c r="Q702" s="0" t="s">
        <v>240</v>
      </c>
      <c r="R702" s="0" t="s">
        <v>7235</v>
      </c>
      <c r="S702" s="0" t="s">
        <v>240</v>
      </c>
      <c r="T702" s="0" t="s">
        <v>240</v>
      </c>
      <c r="U702" s="0" t="s">
        <v>102</v>
      </c>
      <c r="V702" s="0" t="s">
        <v>240</v>
      </c>
      <c r="W702" s="0" t="s">
        <v>240</v>
      </c>
      <c r="X702" s="0" t="s">
        <v>5585</v>
      </c>
      <c r="Y702" s="0" t="s">
        <v>240</v>
      </c>
      <c r="Z702" s="0" t="s">
        <v>152</v>
      </c>
      <c r="AA702" s="0" t="s">
        <v>152</v>
      </c>
      <c r="AB702" s="0" t="s">
        <v>161</v>
      </c>
      <c r="AC702" s="0" t="s">
        <v>2991</v>
      </c>
      <c r="AD702" s="0" t="s">
        <v>2991</v>
      </c>
      <c r="AE702" s="0" t="s">
        <v>2992</v>
      </c>
      <c r="AF702" s="0" t="s">
        <v>5540</v>
      </c>
      <c r="AG702" s="0" t="s">
        <v>5541</v>
      </c>
      <c r="AH702" s="0" t="s">
        <v>5575</v>
      </c>
      <c r="AI702" s="0" t="s">
        <v>5575</v>
      </c>
      <c r="AJ702" s="0" t="s">
        <v>240</v>
      </c>
      <c r="AK702" s="0" t="s">
        <v>240</v>
      </c>
      <c r="AL702" s="0" t="s">
        <v>240</v>
      </c>
      <c r="AN702" s="0" t="s">
        <v>240</v>
      </c>
      <c r="AO702" s="0" t="s">
        <v>240</v>
      </c>
      <c r="AP702" s="0" t="s">
        <v>240</v>
      </c>
      <c r="AQ702" s="0" t="s">
        <v>240</v>
      </c>
      <c r="AR702" s="0" t="s">
        <v>240</v>
      </c>
      <c r="AS702" s="0" t="s">
        <v>240</v>
      </c>
      <c r="AT702" s="0" t="s">
        <v>240</v>
      </c>
      <c r="AU702" s="0" t="s">
        <v>240</v>
      </c>
      <c r="AV702" s="0" t="s">
        <v>240</v>
      </c>
      <c r="AW702" s="0" t="s">
        <v>240</v>
      </c>
      <c r="AX702" s="0" t="s">
        <v>240</v>
      </c>
      <c r="AY702" s="0" t="s">
        <v>240</v>
      </c>
      <c r="AZ702" s="0" t="s">
        <v>240</v>
      </c>
      <c r="BA702" s="0" t="s">
        <v>240</v>
      </c>
      <c r="BB702" s="0" t="s">
        <v>240</v>
      </c>
      <c r="BC702" s="0" t="s">
        <v>240</v>
      </c>
      <c r="BD702" s="0" t="s">
        <v>240</v>
      </c>
      <c r="BE702" s="0" t="s">
        <v>5505</v>
      </c>
      <c r="BF702" s="0" t="s">
        <v>5776</v>
      </c>
      <c r="BG702" s="0" t="s">
        <v>112</v>
      </c>
      <c r="BH702" s="0" t="s">
        <v>5589</v>
      </c>
      <c r="BI702" s="0" t="s">
        <v>123</v>
      </c>
      <c r="BJ702" s="0" t="s">
        <v>240</v>
      </c>
      <c r="BK702" s="0" t="s">
        <v>240</v>
      </c>
      <c r="BL702" s="0" t="s">
        <v>2991</v>
      </c>
      <c r="BM702" s="0" t="s">
        <v>2991</v>
      </c>
      <c r="BN702" s="0" t="s">
        <v>5663</v>
      </c>
      <c r="BO702" s="0" t="s">
        <v>5540</v>
      </c>
      <c r="BP702" s="0" t="s">
        <v>6180</v>
      </c>
      <c r="BQ702" s="0" t="s">
        <v>5575</v>
      </c>
      <c r="BR702" s="0" t="s">
        <v>5575</v>
      </c>
      <c r="BS702" s="0" t="s">
        <v>240</v>
      </c>
      <c r="BT702" s="0" t="s">
        <v>5650</v>
      </c>
      <c r="CS702" s="0" t="s">
        <v>7118</v>
      </c>
      <c r="CT702" s="0" t="s">
        <v>5496</v>
      </c>
      <c r="CU702" s="0" t="s">
        <v>5497</v>
      </c>
      <c r="CV702" s="0" t="s">
        <v>443</v>
      </c>
      <c r="CW702" s="0" t="s">
        <v>5547</v>
      </c>
      <c r="CX702" s="0" t="s">
        <v>229</v>
      </c>
      <c r="CY702" s="0" t="s">
        <v>443</v>
      </c>
      <c r="CZ702" s="0" t="s">
        <v>5548</v>
      </c>
      <c r="DA702" s="0" t="s">
        <v>5549</v>
      </c>
      <c r="DB702" s="0" t="s">
        <v>5547</v>
      </c>
      <c r="DC702" s="0" t="s">
        <v>384</v>
      </c>
      <c r="DD702" s="0" t="s">
        <v>300</v>
      </c>
      <c r="DE702" s="0" t="s">
        <v>6182</v>
      </c>
    </row>
    <row customHeight="1" ht="11.25">
      <c r="A703" s="1441" t="s">
        <v>240</v>
      </c>
      <c r="B703" s="0" t="s">
        <v>240</v>
      </c>
      <c r="C703" s="0" t="s">
        <v>240</v>
      </c>
      <c r="D703" s="0" t="s">
        <v>240</v>
      </c>
      <c r="E703" s="0" t="s">
        <v>240</v>
      </c>
      <c r="F703" s="0" t="s">
        <v>240</v>
      </c>
      <c r="G703" s="0" t="s">
        <v>240</v>
      </c>
      <c r="H703" s="0" t="s">
        <v>240</v>
      </c>
      <c r="I703" s="0" t="s">
        <v>7004</v>
      </c>
      <c r="J703" s="0" t="s">
        <v>240</v>
      </c>
      <c r="K703" s="0" t="s">
        <v>240</v>
      </c>
      <c r="L703" s="0" t="s">
        <v>240</v>
      </c>
      <c r="M703" s="0" t="s">
        <v>240</v>
      </c>
      <c r="N703" s="0" t="s">
        <v>240</v>
      </c>
      <c r="O703" s="0" t="s">
        <v>240</v>
      </c>
      <c r="P703" s="0" t="s">
        <v>240</v>
      </c>
      <c r="Q703" s="0" t="s">
        <v>240</v>
      </c>
      <c r="R703" s="0" t="s">
        <v>7236</v>
      </c>
      <c r="S703" s="0" t="s">
        <v>240</v>
      </c>
      <c r="T703" s="0" t="s">
        <v>240</v>
      </c>
      <c r="U703" s="0" t="s">
        <v>102</v>
      </c>
      <c r="V703" s="0" t="s">
        <v>240</v>
      </c>
      <c r="W703" s="0" t="s">
        <v>240</v>
      </c>
      <c r="X703" s="0" t="s">
        <v>546</v>
      </c>
      <c r="Y703" s="0" t="s">
        <v>240</v>
      </c>
      <c r="Z703" s="0" t="s">
        <v>161</v>
      </c>
      <c r="AA703" s="0" t="s">
        <v>152</v>
      </c>
      <c r="AB703" s="0" t="s">
        <v>152</v>
      </c>
      <c r="AC703" s="0" t="s">
        <v>3389</v>
      </c>
      <c r="AD703" s="0" t="s">
        <v>3389</v>
      </c>
      <c r="AE703" s="0" t="s">
        <v>3390</v>
      </c>
      <c r="AF703" s="0" t="s">
        <v>5519</v>
      </c>
      <c r="AG703" s="0" t="s">
        <v>5520</v>
      </c>
      <c r="AH703" s="0" t="s">
        <v>7237</v>
      </c>
      <c r="AI703" s="0" t="s">
        <v>7238</v>
      </c>
      <c r="AJ703" s="0" t="s">
        <v>5504</v>
      </c>
      <c r="AK703" s="0" t="s">
        <v>5598</v>
      </c>
      <c r="AL703" s="0" t="s">
        <v>7009</v>
      </c>
      <c r="AN703" s="0" t="s">
        <v>5494</v>
      </c>
      <c r="AO703" s="0" t="s">
        <v>7239</v>
      </c>
      <c r="AP703" s="0" t="s">
        <v>240</v>
      </c>
      <c r="AQ703" s="0" t="s">
        <v>240</v>
      </c>
      <c r="AR703" s="0" t="s">
        <v>240</v>
      </c>
      <c r="AS703" s="0" t="s">
        <v>240</v>
      </c>
      <c r="AT703" s="0" t="s">
        <v>240</v>
      </c>
      <c r="AU703" s="0" t="s">
        <v>240</v>
      </c>
      <c r="AV703" s="0" t="s">
        <v>240</v>
      </c>
      <c r="AW703" s="0" t="s">
        <v>240</v>
      </c>
      <c r="AX703" s="0" t="s">
        <v>240</v>
      </c>
      <c r="AY703" s="0" t="s">
        <v>240</v>
      </c>
      <c r="AZ703" s="0" t="s">
        <v>240</v>
      </c>
      <c r="BA703" s="0" t="s">
        <v>240</v>
      </c>
      <c r="BB703" s="0" t="s">
        <v>240</v>
      </c>
      <c r="BC703" s="0" t="s">
        <v>240</v>
      </c>
      <c r="BD703" s="0" t="s">
        <v>240</v>
      </c>
      <c r="BE703" s="0" t="s">
        <v>240</v>
      </c>
      <c r="BF703" s="0" t="s">
        <v>240</v>
      </c>
      <c r="BG703" s="0" t="s">
        <v>240</v>
      </c>
      <c r="BH703" s="0" t="s">
        <v>240</v>
      </c>
      <c r="BI703" s="0" t="s">
        <v>240</v>
      </c>
      <c r="BJ703" s="0" t="s">
        <v>240</v>
      </c>
      <c r="BK703" s="0" t="s">
        <v>240</v>
      </c>
      <c r="BL703" s="0" t="s">
        <v>240</v>
      </c>
      <c r="BM703" s="0" t="s">
        <v>240</v>
      </c>
      <c r="BN703" s="0" t="s">
        <v>240</v>
      </c>
      <c r="BO703" s="0" t="s">
        <v>240</v>
      </c>
      <c r="BP703" s="0" t="s">
        <v>240</v>
      </c>
      <c r="BQ703" s="0" t="s">
        <v>240</v>
      </c>
      <c r="BR703" s="0" t="s">
        <v>240</v>
      </c>
      <c r="BS703" s="0" t="s">
        <v>240</v>
      </c>
      <c r="BT703" s="0" t="s">
        <v>240</v>
      </c>
      <c r="CS703" s="0" t="s">
        <v>240</v>
      </c>
      <c r="CT703" s="0" t="s">
        <v>5496</v>
      </c>
      <c r="CU703" s="0" t="s">
        <v>5497</v>
      </c>
      <c r="CV703" s="0" t="s">
        <v>443</v>
      </c>
      <c r="CW703" s="0" t="s">
        <v>5527</v>
      </c>
      <c r="CX703" s="0" t="s">
        <v>229</v>
      </c>
      <c r="CY703" s="0" t="s">
        <v>443</v>
      </c>
      <c r="CZ703" s="0" t="s">
        <v>299</v>
      </c>
      <c r="DA703" s="0" t="s">
        <v>5529</v>
      </c>
      <c r="DB703" s="0" t="s">
        <v>7240</v>
      </c>
      <c r="DC703" s="0" t="s">
        <v>384</v>
      </c>
      <c r="DD703" s="0" t="s">
        <v>300</v>
      </c>
      <c r="DE703" s="0" t="s">
        <v>7241</v>
      </c>
    </row>
    <row customHeight="1" ht="11.25">
      <c r="A704" s="1441" t="s">
        <v>240</v>
      </c>
      <c r="B704" s="0" t="s">
        <v>240</v>
      </c>
      <c r="C704" s="0" t="s">
        <v>240</v>
      </c>
      <c r="D704" s="0" t="s">
        <v>240</v>
      </c>
      <c r="E704" s="0" t="s">
        <v>240</v>
      </c>
      <c r="F704" s="0" t="s">
        <v>240</v>
      </c>
      <c r="G704" s="0" t="s">
        <v>240</v>
      </c>
      <c r="H704" s="0" t="s">
        <v>240</v>
      </c>
      <c r="I704" s="0" t="s">
        <v>7004</v>
      </c>
      <c r="J704" s="0" t="s">
        <v>240</v>
      </c>
      <c r="K704" s="0" t="s">
        <v>240</v>
      </c>
      <c r="L704" s="0" t="s">
        <v>240</v>
      </c>
      <c r="M704" s="0" t="s">
        <v>240</v>
      </c>
      <c r="N704" s="0" t="s">
        <v>240</v>
      </c>
      <c r="O704" s="0" t="s">
        <v>240</v>
      </c>
      <c r="P704" s="0" t="s">
        <v>240</v>
      </c>
      <c r="Q704" s="0" t="s">
        <v>240</v>
      </c>
      <c r="R704" s="0" t="s">
        <v>7242</v>
      </c>
      <c r="S704" s="0" t="s">
        <v>240</v>
      </c>
      <c r="T704" s="0" t="s">
        <v>240</v>
      </c>
      <c r="U704" s="0" t="s">
        <v>102</v>
      </c>
      <c r="V704" s="0" t="s">
        <v>240</v>
      </c>
      <c r="W704" s="0" t="s">
        <v>240</v>
      </c>
      <c r="X704" s="0" t="s">
        <v>546</v>
      </c>
      <c r="Y704" s="0" t="s">
        <v>240</v>
      </c>
      <c r="Z704" s="0" t="s">
        <v>161</v>
      </c>
      <c r="AA704" s="0" t="s">
        <v>152</v>
      </c>
      <c r="AB704" s="0" t="s">
        <v>152</v>
      </c>
      <c r="AC704" s="0" t="s">
        <v>3389</v>
      </c>
      <c r="AD704" s="0" t="s">
        <v>3389</v>
      </c>
      <c r="AE704" s="0" t="s">
        <v>3390</v>
      </c>
      <c r="AF704" s="0" t="s">
        <v>5519</v>
      </c>
      <c r="AG704" s="0" t="s">
        <v>5520</v>
      </c>
      <c r="AH704" s="0" t="s">
        <v>7237</v>
      </c>
      <c r="AI704" s="0" t="s">
        <v>234</v>
      </c>
      <c r="AJ704" s="0" t="s">
        <v>7243</v>
      </c>
      <c r="AK704" s="0" t="s">
        <v>7244</v>
      </c>
      <c r="AL704" s="0" t="s">
        <v>7009</v>
      </c>
      <c r="AN704" s="0" t="s">
        <v>5494</v>
      </c>
      <c r="AO704" s="0" t="s">
        <v>7239</v>
      </c>
      <c r="AP704" s="0" t="s">
        <v>240</v>
      </c>
      <c r="AQ704" s="0" t="s">
        <v>240</v>
      </c>
      <c r="AR704" s="0" t="s">
        <v>240</v>
      </c>
      <c r="AS704" s="0" t="s">
        <v>240</v>
      </c>
      <c r="AT704" s="0" t="s">
        <v>240</v>
      </c>
      <c r="AU704" s="0" t="s">
        <v>240</v>
      </c>
      <c r="AV704" s="0" t="s">
        <v>240</v>
      </c>
      <c r="AW704" s="0" t="s">
        <v>240</v>
      </c>
      <c r="AX704" s="0" t="s">
        <v>240</v>
      </c>
      <c r="AY704" s="0" t="s">
        <v>240</v>
      </c>
      <c r="AZ704" s="0" t="s">
        <v>240</v>
      </c>
      <c r="BA704" s="0" t="s">
        <v>240</v>
      </c>
      <c r="BB704" s="0" t="s">
        <v>240</v>
      </c>
      <c r="BC704" s="0" t="s">
        <v>240</v>
      </c>
      <c r="BD704" s="0" t="s">
        <v>240</v>
      </c>
      <c r="BE704" s="0" t="s">
        <v>240</v>
      </c>
      <c r="BF704" s="0" t="s">
        <v>240</v>
      </c>
      <c r="BG704" s="0" t="s">
        <v>240</v>
      </c>
      <c r="BH704" s="0" t="s">
        <v>240</v>
      </c>
      <c r="BI704" s="0" t="s">
        <v>240</v>
      </c>
      <c r="BJ704" s="0" t="s">
        <v>240</v>
      </c>
      <c r="BK704" s="0" t="s">
        <v>240</v>
      </c>
      <c r="BL704" s="0" t="s">
        <v>240</v>
      </c>
      <c r="BM704" s="0" t="s">
        <v>240</v>
      </c>
      <c r="BN704" s="0" t="s">
        <v>240</v>
      </c>
      <c r="BO704" s="0" t="s">
        <v>240</v>
      </c>
      <c r="BP704" s="0" t="s">
        <v>240</v>
      </c>
      <c r="BQ704" s="0" t="s">
        <v>240</v>
      </c>
      <c r="BR704" s="0" t="s">
        <v>240</v>
      </c>
      <c r="BS704" s="0" t="s">
        <v>240</v>
      </c>
      <c r="BT704" s="0" t="s">
        <v>240</v>
      </c>
      <c r="CS704" s="0" t="s">
        <v>240</v>
      </c>
      <c r="CT704" s="0" t="s">
        <v>5496</v>
      </c>
      <c r="CU704" s="0" t="s">
        <v>5497</v>
      </c>
      <c r="CV704" s="0" t="s">
        <v>443</v>
      </c>
      <c r="CW704" s="0" t="s">
        <v>5527</v>
      </c>
      <c r="CX704" s="0" t="s">
        <v>229</v>
      </c>
      <c r="CY704" s="0" t="s">
        <v>443</v>
      </c>
      <c r="CZ704" s="0" t="s">
        <v>299</v>
      </c>
      <c r="DA704" s="0" t="s">
        <v>5529</v>
      </c>
      <c r="DB704" s="0" t="s">
        <v>7240</v>
      </c>
      <c r="DC704" s="0" t="s">
        <v>384</v>
      </c>
      <c r="DD704" s="0" t="s">
        <v>300</v>
      </c>
      <c r="DE704" s="0" t="s">
        <v>7245</v>
      </c>
    </row>
    <row customHeight="1" ht="11.25">
      <c r="A705" s="1441" t="s">
        <v>240</v>
      </c>
      <c r="B705" s="0" t="s">
        <v>240</v>
      </c>
      <c r="C705" s="0" t="s">
        <v>240</v>
      </c>
      <c r="D705" s="0" t="s">
        <v>240</v>
      </c>
      <c r="E705" s="0" t="s">
        <v>240</v>
      </c>
      <c r="F705" s="0" t="s">
        <v>240</v>
      </c>
      <c r="G705" s="0" t="s">
        <v>240</v>
      </c>
      <c r="H705" s="0" t="s">
        <v>240</v>
      </c>
      <c r="I705" s="0" t="s">
        <v>7004</v>
      </c>
      <c r="J705" s="0" t="s">
        <v>240</v>
      </c>
      <c r="K705" s="0" t="s">
        <v>240</v>
      </c>
      <c r="L705" s="0" t="s">
        <v>240</v>
      </c>
      <c r="M705" s="0" t="s">
        <v>240</v>
      </c>
      <c r="N705" s="0" t="s">
        <v>240</v>
      </c>
      <c r="O705" s="0" t="s">
        <v>240</v>
      </c>
      <c r="P705" s="0" t="s">
        <v>240</v>
      </c>
      <c r="Q705" s="0" t="s">
        <v>240</v>
      </c>
      <c r="R705" s="0" t="s">
        <v>7246</v>
      </c>
      <c r="S705" s="0" t="s">
        <v>240</v>
      </c>
      <c r="T705" s="0" t="s">
        <v>240</v>
      </c>
      <c r="U705" s="0" t="s">
        <v>102</v>
      </c>
      <c r="V705" s="0" t="s">
        <v>240</v>
      </c>
      <c r="W705" s="0" t="s">
        <v>240</v>
      </c>
      <c r="X705" s="0" t="s">
        <v>546</v>
      </c>
      <c r="Y705" s="0" t="s">
        <v>240</v>
      </c>
      <c r="Z705" s="0" t="s">
        <v>161</v>
      </c>
      <c r="AA705" s="0" t="s">
        <v>152</v>
      </c>
      <c r="AB705" s="0" t="s">
        <v>152</v>
      </c>
      <c r="AC705" s="0" t="s">
        <v>3389</v>
      </c>
      <c r="AD705" s="0" t="s">
        <v>3389</v>
      </c>
      <c r="AE705" s="0" t="s">
        <v>3390</v>
      </c>
      <c r="AF705" s="0" t="s">
        <v>5519</v>
      </c>
      <c r="AG705" s="0" t="s">
        <v>5520</v>
      </c>
      <c r="AH705" s="0" t="s">
        <v>7247</v>
      </c>
      <c r="AI705" s="0" t="s">
        <v>5575</v>
      </c>
      <c r="AJ705" s="0" t="s">
        <v>7248</v>
      </c>
      <c r="AK705" s="0" t="s">
        <v>7249</v>
      </c>
      <c r="AL705" s="0" t="s">
        <v>7009</v>
      </c>
      <c r="AN705" s="0" t="s">
        <v>5494</v>
      </c>
      <c r="AO705" s="0" t="s">
        <v>7250</v>
      </c>
      <c r="AP705" s="0" t="s">
        <v>240</v>
      </c>
      <c r="AQ705" s="0" t="s">
        <v>240</v>
      </c>
      <c r="AR705" s="0" t="s">
        <v>240</v>
      </c>
      <c r="AS705" s="0" t="s">
        <v>240</v>
      </c>
      <c r="AT705" s="0" t="s">
        <v>240</v>
      </c>
      <c r="AU705" s="0" t="s">
        <v>240</v>
      </c>
      <c r="AV705" s="0" t="s">
        <v>240</v>
      </c>
      <c r="AW705" s="0" t="s">
        <v>240</v>
      </c>
      <c r="AX705" s="0" t="s">
        <v>240</v>
      </c>
      <c r="AY705" s="0" t="s">
        <v>240</v>
      </c>
      <c r="AZ705" s="0" t="s">
        <v>240</v>
      </c>
      <c r="BA705" s="0" t="s">
        <v>240</v>
      </c>
      <c r="BB705" s="0" t="s">
        <v>240</v>
      </c>
      <c r="BC705" s="0" t="s">
        <v>240</v>
      </c>
      <c r="BD705" s="0" t="s">
        <v>240</v>
      </c>
      <c r="BE705" s="0" t="s">
        <v>240</v>
      </c>
      <c r="BF705" s="0" t="s">
        <v>240</v>
      </c>
      <c r="BG705" s="0" t="s">
        <v>240</v>
      </c>
      <c r="BH705" s="0" t="s">
        <v>240</v>
      </c>
      <c r="BI705" s="0" t="s">
        <v>240</v>
      </c>
      <c r="BJ705" s="0" t="s">
        <v>240</v>
      </c>
      <c r="BK705" s="0" t="s">
        <v>240</v>
      </c>
      <c r="BL705" s="0" t="s">
        <v>240</v>
      </c>
      <c r="BM705" s="0" t="s">
        <v>240</v>
      </c>
      <c r="BN705" s="0" t="s">
        <v>240</v>
      </c>
      <c r="BO705" s="0" t="s">
        <v>240</v>
      </c>
      <c r="BP705" s="0" t="s">
        <v>240</v>
      </c>
      <c r="BQ705" s="0" t="s">
        <v>240</v>
      </c>
      <c r="BR705" s="0" t="s">
        <v>240</v>
      </c>
      <c r="BS705" s="0" t="s">
        <v>240</v>
      </c>
      <c r="BT705" s="0" t="s">
        <v>240</v>
      </c>
      <c r="CS705" s="0" t="s">
        <v>240</v>
      </c>
      <c r="CT705" s="0" t="s">
        <v>5496</v>
      </c>
      <c r="CU705" s="0" t="s">
        <v>5497</v>
      </c>
      <c r="CV705" s="0" t="s">
        <v>443</v>
      </c>
      <c r="CW705" s="0" t="s">
        <v>5527</v>
      </c>
      <c r="CX705" s="0" t="s">
        <v>229</v>
      </c>
      <c r="CY705" s="0" t="s">
        <v>443</v>
      </c>
      <c r="CZ705" s="0" t="s">
        <v>299</v>
      </c>
      <c r="DA705" s="0" t="s">
        <v>5529</v>
      </c>
      <c r="DB705" s="0" t="s">
        <v>7240</v>
      </c>
      <c r="DC705" s="0" t="s">
        <v>384</v>
      </c>
      <c r="DD705" s="0" t="s">
        <v>300</v>
      </c>
      <c r="DE705" s="0" t="s">
        <v>7251</v>
      </c>
    </row>
    <row customHeight="1" ht="11.25">
      <c r="A706" s="1441" t="s">
        <v>240</v>
      </c>
      <c r="B706" s="0" t="s">
        <v>240</v>
      </c>
      <c r="C706" s="0" t="s">
        <v>240</v>
      </c>
      <c r="D706" s="0" t="s">
        <v>240</v>
      </c>
      <c r="E706" s="0" t="s">
        <v>240</v>
      </c>
      <c r="F706" s="0" t="s">
        <v>240</v>
      </c>
      <c r="G706" s="0" t="s">
        <v>240</v>
      </c>
      <c r="H706" s="0" t="s">
        <v>240</v>
      </c>
      <c r="I706" s="0" t="s">
        <v>7004</v>
      </c>
      <c r="J706" s="0" t="s">
        <v>240</v>
      </c>
      <c r="K706" s="0" t="s">
        <v>240</v>
      </c>
      <c r="L706" s="0" t="s">
        <v>240</v>
      </c>
      <c r="M706" s="0" t="s">
        <v>240</v>
      </c>
      <c r="N706" s="0" t="s">
        <v>240</v>
      </c>
      <c r="O706" s="0" t="s">
        <v>240</v>
      </c>
      <c r="P706" s="0" t="s">
        <v>240</v>
      </c>
      <c r="Q706" s="0" t="s">
        <v>240</v>
      </c>
      <c r="R706" s="0" t="s">
        <v>7252</v>
      </c>
      <c r="S706" s="0" t="s">
        <v>240</v>
      </c>
      <c r="T706" s="0" t="s">
        <v>240</v>
      </c>
      <c r="U706" s="0" t="s">
        <v>102</v>
      </c>
      <c r="V706" s="0" t="s">
        <v>240</v>
      </c>
      <c r="W706" s="0" t="s">
        <v>240</v>
      </c>
      <c r="X706" s="0" t="s">
        <v>5585</v>
      </c>
      <c r="Y706" s="0" t="s">
        <v>240</v>
      </c>
      <c r="Z706" s="0" t="s">
        <v>152</v>
      </c>
      <c r="AA706" s="0" t="s">
        <v>152</v>
      </c>
      <c r="AB706" s="0" t="s">
        <v>161</v>
      </c>
      <c r="AC706" s="0" t="s">
        <v>3389</v>
      </c>
      <c r="AD706" s="0" t="s">
        <v>3389</v>
      </c>
      <c r="AE706" s="0" t="s">
        <v>3390</v>
      </c>
      <c r="AF706" s="0" t="s">
        <v>5519</v>
      </c>
      <c r="AG706" s="0" t="s">
        <v>5520</v>
      </c>
      <c r="AH706" s="0" t="s">
        <v>7253</v>
      </c>
      <c r="AI706" s="0" t="s">
        <v>5533</v>
      </c>
      <c r="AJ706" s="0" t="s">
        <v>240</v>
      </c>
      <c r="AK706" s="0" t="s">
        <v>240</v>
      </c>
      <c r="AL706" s="0" t="s">
        <v>240</v>
      </c>
      <c r="AN706" s="0" t="s">
        <v>240</v>
      </c>
      <c r="AO706" s="0" t="s">
        <v>240</v>
      </c>
      <c r="AP706" s="0" t="s">
        <v>240</v>
      </c>
      <c r="AQ706" s="0" t="s">
        <v>240</v>
      </c>
      <c r="AR706" s="0" t="s">
        <v>240</v>
      </c>
      <c r="AS706" s="0" t="s">
        <v>240</v>
      </c>
      <c r="AT706" s="0" t="s">
        <v>240</v>
      </c>
      <c r="AU706" s="0" t="s">
        <v>240</v>
      </c>
      <c r="AV706" s="0" t="s">
        <v>240</v>
      </c>
      <c r="AW706" s="0" t="s">
        <v>240</v>
      </c>
      <c r="AX706" s="0" t="s">
        <v>240</v>
      </c>
      <c r="AY706" s="0" t="s">
        <v>240</v>
      </c>
      <c r="AZ706" s="0" t="s">
        <v>240</v>
      </c>
      <c r="BA706" s="0" t="s">
        <v>240</v>
      </c>
      <c r="BB706" s="0" t="s">
        <v>240</v>
      </c>
      <c r="BC706" s="0" t="s">
        <v>240</v>
      </c>
      <c r="BD706" s="0" t="s">
        <v>240</v>
      </c>
      <c r="BE706" s="0" t="s">
        <v>7254</v>
      </c>
      <c r="BF706" s="0" t="s">
        <v>7255</v>
      </c>
      <c r="BG706" s="0" t="s">
        <v>112</v>
      </c>
      <c r="BH706" s="0" t="s">
        <v>5589</v>
      </c>
      <c r="BI706" s="0" t="s">
        <v>123</v>
      </c>
      <c r="BJ706" s="0" t="s">
        <v>240</v>
      </c>
      <c r="BK706" s="0" t="s">
        <v>7256</v>
      </c>
      <c r="BL706" s="0" t="s">
        <v>3389</v>
      </c>
      <c r="BM706" s="0" t="s">
        <v>3389</v>
      </c>
      <c r="BN706" s="0" t="s">
        <v>5591</v>
      </c>
      <c r="BO706" s="0" t="s">
        <v>5519</v>
      </c>
      <c r="BP706" s="0" t="s">
        <v>5592</v>
      </c>
      <c r="BQ706" s="0" t="s">
        <v>5593</v>
      </c>
      <c r="BR706" s="0" t="s">
        <v>5533</v>
      </c>
      <c r="BS706" s="0" t="s">
        <v>240</v>
      </c>
      <c r="BT706" s="0" t="s">
        <v>5594</v>
      </c>
      <c r="CS706" s="0" t="s">
        <v>7257</v>
      </c>
      <c r="CT706" s="0" t="s">
        <v>5496</v>
      </c>
      <c r="CU706" s="0" t="s">
        <v>5497</v>
      </c>
      <c r="CV706" s="0" t="s">
        <v>443</v>
      </c>
      <c r="CW706" s="0" t="s">
        <v>5527</v>
      </c>
      <c r="CX706" s="0" t="s">
        <v>229</v>
      </c>
      <c r="CY706" s="0" t="s">
        <v>443</v>
      </c>
      <c r="CZ706" s="0" t="s">
        <v>299</v>
      </c>
      <c r="DA706" s="0" t="s">
        <v>5529</v>
      </c>
      <c r="DB706" s="0" t="s">
        <v>5527</v>
      </c>
      <c r="DC706" s="0" t="s">
        <v>384</v>
      </c>
      <c r="DD706" s="0" t="s">
        <v>300</v>
      </c>
      <c r="DE706" s="0" t="s">
        <v>7258</v>
      </c>
    </row>
    <row customHeight="1" ht="11.25">
      <c r="A707" s="1441" t="s">
        <v>240</v>
      </c>
      <c r="B707" s="0" t="s">
        <v>240</v>
      </c>
      <c r="C707" s="0" t="s">
        <v>240</v>
      </c>
      <c r="D707" s="0" t="s">
        <v>240</v>
      </c>
      <c r="E707" s="0" t="s">
        <v>240</v>
      </c>
      <c r="F707" s="0" t="s">
        <v>240</v>
      </c>
      <c r="G707" s="0" t="s">
        <v>240</v>
      </c>
      <c r="H707" s="0" t="s">
        <v>240</v>
      </c>
      <c r="I707" s="0" t="s">
        <v>7004</v>
      </c>
      <c r="J707" s="0" t="s">
        <v>240</v>
      </c>
      <c r="K707" s="0" t="s">
        <v>240</v>
      </c>
      <c r="L707" s="0" t="s">
        <v>240</v>
      </c>
      <c r="M707" s="0" t="s">
        <v>240</v>
      </c>
      <c r="N707" s="0" t="s">
        <v>240</v>
      </c>
      <c r="O707" s="0" t="s">
        <v>240</v>
      </c>
      <c r="P707" s="0" t="s">
        <v>240</v>
      </c>
      <c r="Q707" s="0" t="s">
        <v>240</v>
      </c>
      <c r="R707" s="0" t="s">
        <v>7045</v>
      </c>
      <c r="S707" s="0" t="s">
        <v>240</v>
      </c>
      <c r="T707" s="0" t="s">
        <v>240</v>
      </c>
      <c r="U707" s="0" t="s">
        <v>102</v>
      </c>
      <c r="V707" s="0" t="s">
        <v>240</v>
      </c>
      <c r="W707" s="0" t="s">
        <v>240</v>
      </c>
      <c r="X707" s="0" t="s">
        <v>5585</v>
      </c>
      <c r="Y707" s="0" t="s">
        <v>240</v>
      </c>
      <c r="Z707" s="0" t="s">
        <v>152</v>
      </c>
      <c r="AA707" s="0" t="s">
        <v>152</v>
      </c>
      <c r="AB707" s="0" t="s">
        <v>161</v>
      </c>
      <c r="AC707" s="0" t="s">
        <v>3389</v>
      </c>
      <c r="AD707" s="0" t="s">
        <v>3389</v>
      </c>
      <c r="AE707" s="0" t="s">
        <v>3390</v>
      </c>
      <c r="AF707" s="0" t="s">
        <v>5519</v>
      </c>
      <c r="AG707" s="0" t="s">
        <v>5520</v>
      </c>
      <c r="AH707" s="0" t="s">
        <v>7046</v>
      </c>
      <c r="AI707" s="0" t="s">
        <v>5533</v>
      </c>
      <c r="AJ707" s="0" t="s">
        <v>240</v>
      </c>
      <c r="AK707" s="0" t="s">
        <v>240</v>
      </c>
      <c r="AL707" s="0" t="s">
        <v>240</v>
      </c>
      <c r="AN707" s="0" t="s">
        <v>240</v>
      </c>
      <c r="AO707" s="0" t="s">
        <v>240</v>
      </c>
      <c r="AP707" s="0" t="s">
        <v>240</v>
      </c>
      <c r="AQ707" s="0" t="s">
        <v>240</v>
      </c>
      <c r="AR707" s="0" t="s">
        <v>240</v>
      </c>
      <c r="AS707" s="0" t="s">
        <v>240</v>
      </c>
      <c r="AT707" s="0" t="s">
        <v>240</v>
      </c>
      <c r="AU707" s="0" t="s">
        <v>240</v>
      </c>
      <c r="AV707" s="0" t="s">
        <v>240</v>
      </c>
      <c r="AW707" s="0" t="s">
        <v>240</v>
      </c>
      <c r="AX707" s="0" t="s">
        <v>240</v>
      </c>
      <c r="AY707" s="0" t="s">
        <v>240</v>
      </c>
      <c r="AZ707" s="0" t="s">
        <v>240</v>
      </c>
      <c r="BA707" s="0" t="s">
        <v>240</v>
      </c>
      <c r="BB707" s="0" t="s">
        <v>240</v>
      </c>
      <c r="BC707" s="0" t="s">
        <v>240</v>
      </c>
      <c r="BD707" s="0" t="s">
        <v>240</v>
      </c>
      <c r="BE707" s="0" t="s">
        <v>7259</v>
      </c>
      <c r="BF707" s="0" t="s">
        <v>7048</v>
      </c>
      <c r="BG707" s="0" t="s">
        <v>112</v>
      </c>
      <c r="BH707" s="0" t="s">
        <v>5589</v>
      </c>
      <c r="BI707" s="0" t="s">
        <v>123</v>
      </c>
      <c r="BJ707" s="0" t="s">
        <v>240</v>
      </c>
      <c r="BK707" s="0" t="s">
        <v>7260</v>
      </c>
      <c r="BL707" s="0" t="s">
        <v>3389</v>
      </c>
      <c r="BM707" s="0" t="s">
        <v>3389</v>
      </c>
      <c r="BN707" s="0" t="s">
        <v>5591</v>
      </c>
      <c r="BO707" s="0" t="s">
        <v>5519</v>
      </c>
      <c r="BP707" s="0" t="s">
        <v>5592</v>
      </c>
      <c r="BQ707" s="0" t="s">
        <v>7261</v>
      </c>
      <c r="BR707" s="0" t="s">
        <v>5533</v>
      </c>
      <c r="BS707" s="0" t="s">
        <v>240</v>
      </c>
      <c r="BT707" s="0" t="s">
        <v>5594</v>
      </c>
      <c r="CS707" s="0" t="s">
        <v>7257</v>
      </c>
      <c r="CT707" s="0" t="s">
        <v>5496</v>
      </c>
      <c r="CU707" s="0" t="s">
        <v>5497</v>
      </c>
      <c r="CV707" s="0" t="s">
        <v>443</v>
      </c>
      <c r="CW707" s="0" t="s">
        <v>5527</v>
      </c>
      <c r="CX707" s="0" t="s">
        <v>229</v>
      </c>
      <c r="CY707" s="0" t="s">
        <v>443</v>
      </c>
      <c r="CZ707" s="0" t="s">
        <v>299</v>
      </c>
      <c r="DA707" s="0" t="s">
        <v>5529</v>
      </c>
      <c r="DB707" s="0" t="s">
        <v>5527</v>
      </c>
      <c r="DC707" s="0" t="s">
        <v>384</v>
      </c>
      <c r="DD707" s="0" t="s">
        <v>300</v>
      </c>
      <c r="DE707" s="0" t="s">
        <v>7049</v>
      </c>
    </row>
    <row customHeight="1" ht="11.25">
      <c r="A708" s="1441" t="s">
        <v>240</v>
      </c>
      <c r="B708" s="0" t="s">
        <v>240</v>
      </c>
      <c r="C708" s="0" t="s">
        <v>240</v>
      </c>
      <c r="D708" s="0" t="s">
        <v>240</v>
      </c>
      <c r="E708" s="0" t="s">
        <v>240</v>
      </c>
      <c r="F708" s="0" t="s">
        <v>240</v>
      </c>
      <c r="G708" s="0" t="s">
        <v>240</v>
      </c>
      <c r="H708" s="0" t="s">
        <v>240</v>
      </c>
      <c r="I708" s="0" t="s">
        <v>7004</v>
      </c>
      <c r="J708" s="0" t="s">
        <v>240</v>
      </c>
      <c r="K708" s="0" t="s">
        <v>240</v>
      </c>
      <c r="L708" s="0" t="s">
        <v>240</v>
      </c>
      <c r="M708" s="0" t="s">
        <v>240</v>
      </c>
      <c r="N708" s="0" t="s">
        <v>240</v>
      </c>
      <c r="O708" s="0" t="s">
        <v>240</v>
      </c>
      <c r="P708" s="0" t="s">
        <v>240</v>
      </c>
      <c r="Q708" s="0" t="s">
        <v>240</v>
      </c>
      <c r="R708" s="0" t="s">
        <v>7262</v>
      </c>
      <c r="S708" s="0" t="s">
        <v>240</v>
      </c>
      <c r="T708" s="0" t="s">
        <v>240</v>
      </c>
      <c r="U708" s="0" t="s">
        <v>102</v>
      </c>
      <c r="V708" s="0" t="s">
        <v>240</v>
      </c>
      <c r="W708" s="0" t="s">
        <v>240</v>
      </c>
      <c r="X708" s="0" t="s">
        <v>5585</v>
      </c>
      <c r="Y708" s="0" t="s">
        <v>240</v>
      </c>
      <c r="Z708" s="0" t="s">
        <v>152</v>
      </c>
      <c r="AA708" s="0" t="s">
        <v>152</v>
      </c>
      <c r="AB708" s="0" t="s">
        <v>161</v>
      </c>
      <c r="AC708" s="0" t="s">
        <v>3389</v>
      </c>
      <c r="AD708" s="0" t="s">
        <v>3389</v>
      </c>
      <c r="AE708" s="0" t="s">
        <v>3390</v>
      </c>
      <c r="AF708" s="0" t="s">
        <v>5519</v>
      </c>
      <c r="AG708" s="0" t="s">
        <v>5520</v>
      </c>
      <c r="AH708" s="0" t="s">
        <v>7263</v>
      </c>
      <c r="AI708" s="0" t="s">
        <v>5533</v>
      </c>
      <c r="AJ708" s="0" t="s">
        <v>240</v>
      </c>
      <c r="AK708" s="0" t="s">
        <v>240</v>
      </c>
      <c r="AL708" s="0" t="s">
        <v>240</v>
      </c>
      <c r="AN708" s="0" t="s">
        <v>240</v>
      </c>
      <c r="AO708" s="0" t="s">
        <v>240</v>
      </c>
      <c r="AP708" s="0" t="s">
        <v>240</v>
      </c>
      <c r="AQ708" s="0" t="s">
        <v>240</v>
      </c>
      <c r="AR708" s="0" t="s">
        <v>240</v>
      </c>
      <c r="AS708" s="0" t="s">
        <v>240</v>
      </c>
      <c r="AT708" s="0" t="s">
        <v>240</v>
      </c>
      <c r="AU708" s="0" t="s">
        <v>240</v>
      </c>
      <c r="AV708" s="0" t="s">
        <v>240</v>
      </c>
      <c r="AW708" s="0" t="s">
        <v>240</v>
      </c>
      <c r="AX708" s="0" t="s">
        <v>240</v>
      </c>
      <c r="AY708" s="0" t="s">
        <v>240</v>
      </c>
      <c r="AZ708" s="0" t="s">
        <v>240</v>
      </c>
      <c r="BA708" s="0" t="s">
        <v>240</v>
      </c>
      <c r="BB708" s="0" t="s">
        <v>240</v>
      </c>
      <c r="BC708" s="0" t="s">
        <v>240</v>
      </c>
      <c r="BD708" s="0" t="s">
        <v>240</v>
      </c>
      <c r="BE708" s="0" t="s">
        <v>5716</v>
      </c>
      <c r="BF708" s="0" t="s">
        <v>7264</v>
      </c>
      <c r="BG708" s="0" t="s">
        <v>112</v>
      </c>
      <c r="BH708" s="0" t="s">
        <v>5589</v>
      </c>
      <c r="BI708" s="0" t="s">
        <v>123</v>
      </c>
      <c r="BJ708" s="0" t="s">
        <v>240</v>
      </c>
      <c r="BK708" s="0" t="s">
        <v>7265</v>
      </c>
      <c r="BL708" s="0" t="s">
        <v>3389</v>
      </c>
      <c r="BM708" s="0" t="s">
        <v>3389</v>
      </c>
      <c r="BN708" s="0" t="s">
        <v>5591</v>
      </c>
      <c r="BO708" s="0" t="s">
        <v>5519</v>
      </c>
      <c r="BP708" s="0" t="s">
        <v>5592</v>
      </c>
      <c r="BQ708" s="0" t="s">
        <v>7263</v>
      </c>
      <c r="BR708" s="0" t="s">
        <v>5533</v>
      </c>
      <c r="BS708" s="0" t="s">
        <v>240</v>
      </c>
      <c r="BT708" s="0" t="s">
        <v>5594</v>
      </c>
      <c r="CS708" s="0" t="s">
        <v>7257</v>
      </c>
      <c r="CT708" s="0" t="s">
        <v>5496</v>
      </c>
      <c r="CU708" s="0" t="s">
        <v>5497</v>
      </c>
      <c r="CV708" s="0" t="s">
        <v>443</v>
      </c>
      <c r="CW708" s="0" t="s">
        <v>5527</v>
      </c>
      <c r="CX708" s="0" t="s">
        <v>229</v>
      </c>
      <c r="CY708" s="0" t="s">
        <v>443</v>
      </c>
      <c r="CZ708" s="0" t="s">
        <v>299</v>
      </c>
      <c r="DA708" s="0" t="s">
        <v>5529</v>
      </c>
      <c r="DB708" s="0" t="s">
        <v>5527</v>
      </c>
      <c r="DC708" s="0" t="s">
        <v>384</v>
      </c>
      <c r="DD708" s="0" t="s">
        <v>300</v>
      </c>
      <c r="DE708" s="0" t="s">
        <v>7266</v>
      </c>
    </row>
    <row customHeight="1" ht="11.25">
      <c r="A709" s="1441" t="s">
        <v>240</v>
      </c>
      <c r="B709" s="0" t="s">
        <v>240</v>
      </c>
      <c r="C709" s="0" t="s">
        <v>240</v>
      </c>
      <c r="D709" s="0" t="s">
        <v>240</v>
      </c>
      <c r="E709" s="0" t="s">
        <v>240</v>
      </c>
      <c r="F709" s="0" t="s">
        <v>240</v>
      </c>
      <c r="G709" s="0" t="s">
        <v>240</v>
      </c>
      <c r="H709" s="0" t="s">
        <v>240</v>
      </c>
      <c r="I709" s="0" t="s">
        <v>7004</v>
      </c>
      <c r="J709" s="0" t="s">
        <v>240</v>
      </c>
      <c r="K709" s="0" t="s">
        <v>240</v>
      </c>
      <c r="L709" s="0" t="s">
        <v>240</v>
      </c>
      <c r="M709" s="0" t="s">
        <v>240</v>
      </c>
      <c r="N709" s="0" t="s">
        <v>240</v>
      </c>
      <c r="O709" s="0" t="s">
        <v>240</v>
      </c>
      <c r="P709" s="0" t="s">
        <v>240</v>
      </c>
      <c r="Q709" s="0" t="s">
        <v>240</v>
      </c>
      <c r="R709" s="0" t="s">
        <v>7262</v>
      </c>
      <c r="S709" s="0" t="s">
        <v>240</v>
      </c>
      <c r="T709" s="0" t="s">
        <v>240</v>
      </c>
      <c r="U709" s="0" t="s">
        <v>102</v>
      </c>
      <c r="V709" s="0" t="s">
        <v>240</v>
      </c>
      <c r="W709" s="0" t="s">
        <v>240</v>
      </c>
      <c r="X709" s="0" t="s">
        <v>5905</v>
      </c>
      <c r="Y709" s="0" t="s">
        <v>240</v>
      </c>
      <c r="Z709" s="0" t="s">
        <v>152</v>
      </c>
      <c r="AA709" s="0" t="s">
        <v>161</v>
      </c>
      <c r="AB709" s="0" t="s">
        <v>152</v>
      </c>
      <c r="AC709" s="0" t="s">
        <v>3389</v>
      </c>
      <c r="AD709" s="0" t="s">
        <v>3389</v>
      </c>
      <c r="AE709" s="0" t="s">
        <v>3390</v>
      </c>
      <c r="AF709" s="0" t="s">
        <v>5519</v>
      </c>
      <c r="AG709" s="0" t="s">
        <v>5520</v>
      </c>
      <c r="AH709" s="0" t="s">
        <v>7263</v>
      </c>
      <c r="AI709" s="0" t="s">
        <v>5533</v>
      </c>
      <c r="AJ709" s="0" t="s">
        <v>240</v>
      </c>
      <c r="AK709" s="0" t="s">
        <v>240</v>
      </c>
      <c r="AL709" s="0" t="s">
        <v>240</v>
      </c>
      <c r="AN709" s="0" t="s">
        <v>240</v>
      </c>
      <c r="AO709" s="0" t="s">
        <v>240</v>
      </c>
      <c r="AP709" s="0" t="s">
        <v>5716</v>
      </c>
      <c r="AQ709" s="0" t="s">
        <v>7264</v>
      </c>
      <c r="AR709" s="0" t="s">
        <v>112</v>
      </c>
      <c r="AS709" s="0" t="s">
        <v>5589</v>
      </c>
      <c r="AT709" s="0" t="s">
        <v>123</v>
      </c>
      <c r="AU709" s="0" t="s">
        <v>240</v>
      </c>
      <c r="AV709" s="0" t="s">
        <v>7262</v>
      </c>
      <c r="AW709" s="0" t="s">
        <v>3389</v>
      </c>
      <c r="AX709" s="0" t="s">
        <v>3389</v>
      </c>
      <c r="AY709" s="0" t="s">
        <v>5591</v>
      </c>
      <c r="AZ709" s="0" t="s">
        <v>5519</v>
      </c>
      <c r="BA709" s="0" t="s">
        <v>5592</v>
      </c>
      <c r="BB709" s="0" t="s">
        <v>7263</v>
      </c>
      <c r="BC709" s="0" t="s">
        <v>5533</v>
      </c>
      <c r="BD709" s="0" t="s">
        <v>7267</v>
      </c>
      <c r="BE709" s="0" t="s">
        <v>240</v>
      </c>
      <c r="BF709" s="0" t="s">
        <v>240</v>
      </c>
      <c r="BG709" s="0" t="s">
        <v>240</v>
      </c>
      <c r="BH709" s="0" t="s">
        <v>240</v>
      </c>
      <c r="BI709" s="0" t="s">
        <v>240</v>
      </c>
      <c r="BJ709" s="0" t="s">
        <v>240</v>
      </c>
      <c r="BK709" s="0" t="s">
        <v>240</v>
      </c>
      <c r="BL709" s="0" t="s">
        <v>240</v>
      </c>
      <c r="BM709" s="0" t="s">
        <v>240</v>
      </c>
      <c r="BN709" s="0" t="s">
        <v>240</v>
      </c>
      <c r="BO709" s="0" t="s">
        <v>240</v>
      </c>
      <c r="BP709" s="0" t="s">
        <v>240</v>
      </c>
      <c r="BQ709" s="0" t="s">
        <v>240</v>
      </c>
      <c r="BR709" s="0" t="s">
        <v>240</v>
      </c>
      <c r="BS709" s="0" t="s">
        <v>240</v>
      </c>
      <c r="BT709" s="0" t="s">
        <v>240</v>
      </c>
      <c r="CS709" s="0" t="s">
        <v>240</v>
      </c>
      <c r="CT709" s="0" t="s">
        <v>5496</v>
      </c>
      <c r="CU709" s="0" t="s">
        <v>5497</v>
      </c>
      <c r="CV709" s="0" t="s">
        <v>443</v>
      </c>
      <c r="CW709" s="0" t="s">
        <v>5527</v>
      </c>
      <c r="CX709" s="0" t="s">
        <v>5528</v>
      </c>
      <c r="CY709" s="0" t="s">
        <v>443</v>
      </c>
      <c r="CZ709" s="0" t="s">
        <v>299</v>
      </c>
      <c r="DA709" s="0" t="s">
        <v>5529</v>
      </c>
      <c r="DB709" s="0" t="s">
        <v>5527</v>
      </c>
      <c r="DC709" s="0" t="s">
        <v>384</v>
      </c>
      <c r="DD709" s="0" t="s">
        <v>300</v>
      </c>
      <c r="DE709" s="0" t="s">
        <v>7266</v>
      </c>
    </row>
    <row customHeight="1" ht="11.25">
      <c r="A710" s="1441" t="s">
        <v>240</v>
      </c>
      <c r="B710" s="0" t="s">
        <v>240</v>
      </c>
      <c r="C710" s="0" t="s">
        <v>240</v>
      </c>
      <c r="D710" s="0" t="s">
        <v>240</v>
      </c>
      <c r="E710" s="0" t="s">
        <v>240</v>
      </c>
      <c r="F710" s="0" t="s">
        <v>240</v>
      </c>
      <c r="G710" s="0" t="s">
        <v>240</v>
      </c>
      <c r="H710" s="0" t="s">
        <v>240</v>
      </c>
      <c r="I710" s="0" t="s">
        <v>7004</v>
      </c>
      <c r="J710" s="0" t="s">
        <v>240</v>
      </c>
      <c r="K710" s="0" t="s">
        <v>240</v>
      </c>
      <c r="L710" s="0" t="s">
        <v>240</v>
      </c>
      <c r="M710" s="0" t="s">
        <v>240</v>
      </c>
      <c r="N710" s="0" t="s">
        <v>240</v>
      </c>
      <c r="O710" s="0" t="s">
        <v>240</v>
      </c>
      <c r="P710" s="0" t="s">
        <v>240</v>
      </c>
      <c r="Q710" s="0" t="s">
        <v>240</v>
      </c>
      <c r="R710" s="0" t="s">
        <v>7268</v>
      </c>
      <c r="S710" s="0" t="s">
        <v>240</v>
      </c>
      <c r="T710" s="0" t="s">
        <v>240</v>
      </c>
      <c r="U710" s="0" t="s">
        <v>102</v>
      </c>
      <c r="V710" s="0" t="s">
        <v>240</v>
      </c>
      <c r="W710" s="0" t="s">
        <v>240</v>
      </c>
      <c r="X710" s="0" t="s">
        <v>7269</v>
      </c>
      <c r="Y710" s="0" t="s">
        <v>240</v>
      </c>
      <c r="Z710" s="0" t="s">
        <v>161</v>
      </c>
      <c r="AA710" s="0" t="s">
        <v>152</v>
      </c>
      <c r="AB710" s="0" t="s">
        <v>161</v>
      </c>
      <c r="AC710" s="0" t="s">
        <v>3389</v>
      </c>
      <c r="AD710" s="0" t="s">
        <v>3389</v>
      </c>
      <c r="AE710" s="0" t="s">
        <v>3390</v>
      </c>
      <c r="AF710" s="0" t="s">
        <v>5519</v>
      </c>
      <c r="AG710" s="0" t="s">
        <v>5520</v>
      </c>
      <c r="AH710" s="0" t="s">
        <v>7270</v>
      </c>
      <c r="AI710" s="0" t="s">
        <v>6128</v>
      </c>
      <c r="AJ710" s="0" t="s">
        <v>7083</v>
      </c>
      <c r="AK710" s="0" t="s">
        <v>5490</v>
      </c>
      <c r="AL710" s="0" t="s">
        <v>7027</v>
      </c>
      <c r="AN710" s="0" t="s">
        <v>5507</v>
      </c>
      <c r="AO710" s="0" t="s">
        <v>7271</v>
      </c>
      <c r="AP710" s="0" t="s">
        <v>240</v>
      </c>
      <c r="AQ710" s="0" t="s">
        <v>240</v>
      </c>
      <c r="AR710" s="0" t="s">
        <v>240</v>
      </c>
      <c r="AS710" s="0" t="s">
        <v>240</v>
      </c>
      <c r="AT710" s="0" t="s">
        <v>240</v>
      </c>
      <c r="AU710" s="0" t="s">
        <v>240</v>
      </c>
      <c r="AV710" s="0" t="s">
        <v>240</v>
      </c>
      <c r="AW710" s="0" t="s">
        <v>240</v>
      </c>
      <c r="AX710" s="0" t="s">
        <v>240</v>
      </c>
      <c r="AY710" s="0" t="s">
        <v>240</v>
      </c>
      <c r="AZ710" s="0" t="s">
        <v>240</v>
      </c>
      <c r="BA710" s="0" t="s">
        <v>240</v>
      </c>
      <c r="BB710" s="0" t="s">
        <v>240</v>
      </c>
      <c r="BC710" s="0" t="s">
        <v>240</v>
      </c>
      <c r="BD710" s="0" t="s">
        <v>240</v>
      </c>
      <c r="BE710" s="0" t="s">
        <v>7083</v>
      </c>
      <c r="BF710" s="0" t="s">
        <v>5490</v>
      </c>
      <c r="BG710" s="0" t="s">
        <v>240</v>
      </c>
      <c r="BH710" s="0" t="s">
        <v>240</v>
      </c>
      <c r="BI710" s="0" t="s">
        <v>240</v>
      </c>
      <c r="BJ710" s="0" t="s">
        <v>240</v>
      </c>
      <c r="BK710" s="0" t="s">
        <v>240</v>
      </c>
      <c r="BL710" s="0" t="s">
        <v>240</v>
      </c>
      <c r="BM710" s="0" t="s">
        <v>240</v>
      </c>
      <c r="BN710" s="0" t="s">
        <v>240</v>
      </c>
      <c r="BO710" s="0" t="s">
        <v>240</v>
      </c>
      <c r="BP710" s="0" t="s">
        <v>240</v>
      </c>
      <c r="BQ710" s="0" t="s">
        <v>240</v>
      </c>
      <c r="BR710" s="0" t="s">
        <v>240</v>
      </c>
      <c r="BS710" s="0" t="s">
        <v>240</v>
      </c>
      <c r="BT710" s="0" t="s">
        <v>5594</v>
      </c>
      <c r="CS710" s="0" t="s">
        <v>7272</v>
      </c>
      <c r="CT710" s="0" t="s">
        <v>5496</v>
      </c>
      <c r="CU710" s="0" t="s">
        <v>5497</v>
      </c>
      <c r="CV710" s="0" t="s">
        <v>443</v>
      </c>
      <c r="CW710" s="0" t="s">
        <v>5527</v>
      </c>
      <c r="CX710" s="0" t="s">
        <v>229</v>
      </c>
      <c r="CY710" s="0" t="s">
        <v>443</v>
      </c>
      <c r="CZ710" s="0" t="s">
        <v>299</v>
      </c>
      <c r="DA710" s="0" t="s">
        <v>5529</v>
      </c>
      <c r="DB710" s="0" t="s">
        <v>5527</v>
      </c>
      <c r="DC710" s="0" t="s">
        <v>384</v>
      </c>
      <c r="DD710" s="0" t="s">
        <v>300</v>
      </c>
      <c r="DE710" s="0" t="s">
        <v>7273</v>
      </c>
    </row>
    <row customHeight="1" ht="11.25">
      <c r="A711" s="1441" t="s">
        <v>240</v>
      </c>
      <c r="B711" s="0" t="s">
        <v>240</v>
      </c>
      <c r="C711" s="0" t="s">
        <v>240</v>
      </c>
      <c r="D711" s="0" t="s">
        <v>240</v>
      </c>
      <c r="E711" s="0" t="s">
        <v>240</v>
      </c>
      <c r="F711" s="0" t="s">
        <v>240</v>
      </c>
      <c r="G711" s="0" t="s">
        <v>240</v>
      </c>
      <c r="H711" s="0" t="s">
        <v>240</v>
      </c>
      <c r="I711" s="0" t="s">
        <v>7004</v>
      </c>
      <c r="J711" s="0" t="s">
        <v>240</v>
      </c>
      <c r="K711" s="0" t="s">
        <v>240</v>
      </c>
      <c r="L711" s="0" t="s">
        <v>240</v>
      </c>
      <c r="M711" s="0" t="s">
        <v>240</v>
      </c>
      <c r="N711" s="0" t="s">
        <v>240</v>
      </c>
      <c r="O711" s="0" t="s">
        <v>240</v>
      </c>
      <c r="P711" s="0" t="s">
        <v>240</v>
      </c>
      <c r="Q711" s="0" t="s">
        <v>240</v>
      </c>
      <c r="R711" s="0" t="s">
        <v>7274</v>
      </c>
      <c r="S711" s="0" t="s">
        <v>240</v>
      </c>
      <c r="T711" s="0" t="s">
        <v>240</v>
      </c>
      <c r="U711" s="0" t="s">
        <v>102</v>
      </c>
      <c r="V711" s="0" t="s">
        <v>240</v>
      </c>
      <c r="W711" s="0" t="s">
        <v>240</v>
      </c>
      <c r="X711" s="0" t="s">
        <v>5585</v>
      </c>
      <c r="Y711" s="0" t="s">
        <v>240</v>
      </c>
      <c r="Z711" s="0" t="s">
        <v>152</v>
      </c>
      <c r="AA711" s="0" t="s">
        <v>152</v>
      </c>
      <c r="AB711" s="0" t="s">
        <v>161</v>
      </c>
      <c r="AC711" s="0" t="s">
        <v>3389</v>
      </c>
      <c r="AD711" s="0" t="s">
        <v>3389</v>
      </c>
      <c r="AE711" s="0" t="s">
        <v>3390</v>
      </c>
      <c r="AF711" s="0" t="s">
        <v>5519</v>
      </c>
      <c r="AG711" s="0" t="s">
        <v>5520</v>
      </c>
      <c r="AH711" s="0" t="s">
        <v>6455</v>
      </c>
      <c r="AI711" s="0" t="s">
        <v>7275</v>
      </c>
      <c r="AJ711" s="0" t="s">
        <v>240</v>
      </c>
      <c r="AK711" s="0" t="s">
        <v>240</v>
      </c>
      <c r="AL711" s="0" t="s">
        <v>240</v>
      </c>
      <c r="AN711" s="0" t="s">
        <v>240</v>
      </c>
      <c r="AO711" s="0" t="s">
        <v>240</v>
      </c>
      <c r="AP711" s="0" t="s">
        <v>240</v>
      </c>
      <c r="AQ711" s="0" t="s">
        <v>240</v>
      </c>
      <c r="AR711" s="0" t="s">
        <v>240</v>
      </c>
      <c r="AS711" s="0" t="s">
        <v>240</v>
      </c>
      <c r="AT711" s="0" t="s">
        <v>240</v>
      </c>
      <c r="AU711" s="0" t="s">
        <v>240</v>
      </c>
      <c r="AV711" s="0" t="s">
        <v>240</v>
      </c>
      <c r="AW711" s="0" t="s">
        <v>240</v>
      </c>
      <c r="AX711" s="0" t="s">
        <v>240</v>
      </c>
      <c r="AY711" s="0" t="s">
        <v>240</v>
      </c>
      <c r="AZ711" s="0" t="s">
        <v>240</v>
      </c>
      <c r="BA711" s="0" t="s">
        <v>240</v>
      </c>
      <c r="BB711" s="0" t="s">
        <v>240</v>
      </c>
      <c r="BC711" s="0" t="s">
        <v>240</v>
      </c>
      <c r="BD711" s="0" t="s">
        <v>240</v>
      </c>
      <c r="BE711" s="0" t="s">
        <v>7276</v>
      </c>
      <c r="BF711" s="0" t="s">
        <v>7276</v>
      </c>
      <c r="BG711" s="0" t="s">
        <v>112</v>
      </c>
      <c r="BH711" s="0" t="s">
        <v>5589</v>
      </c>
      <c r="BI711" s="0" t="s">
        <v>123</v>
      </c>
      <c r="BJ711" s="0" t="s">
        <v>240</v>
      </c>
      <c r="BK711" s="0" t="s">
        <v>532</v>
      </c>
      <c r="BL711" s="0" t="s">
        <v>3389</v>
      </c>
      <c r="BM711" s="0" t="s">
        <v>3389</v>
      </c>
      <c r="BN711" s="0" t="s">
        <v>5591</v>
      </c>
      <c r="BO711" s="0" t="s">
        <v>5519</v>
      </c>
      <c r="BP711" s="0" t="s">
        <v>5592</v>
      </c>
      <c r="BQ711" s="0" t="s">
        <v>6455</v>
      </c>
      <c r="BR711" s="0" t="s">
        <v>7275</v>
      </c>
      <c r="BS711" s="0" t="s">
        <v>240</v>
      </c>
      <c r="BT711" s="0" t="s">
        <v>5594</v>
      </c>
      <c r="CS711" s="0" t="s">
        <v>7257</v>
      </c>
      <c r="CT711" s="0" t="s">
        <v>5496</v>
      </c>
      <c r="CU711" s="0" t="s">
        <v>5497</v>
      </c>
      <c r="CV711" s="0" t="s">
        <v>443</v>
      </c>
      <c r="CW711" s="0" t="s">
        <v>5527</v>
      </c>
      <c r="CX711" s="0" t="s">
        <v>229</v>
      </c>
      <c r="CY711" s="0" t="s">
        <v>443</v>
      </c>
      <c r="CZ711" s="0" t="s">
        <v>299</v>
      </c>
      <c r="DA711" s="0" t="s">
        <v>5529</v>
      </c>
      <c r="DB711" s="0" t="s">
        <v>5527</v>
      </c>
      <c r="DC711" s="0" t="s">
        <v>384</v>
      </c>
      <c r="DD711" s="0" t="s">
        <v>300</v>
      </c>
      <c r="DE711" s="0" t="s">
        <v>7277</v>
      </c>
    </row>
    <row customHeight="1" ht="11.25">
      <c r="A712" s="1441" t="s">
        <v>240</v>
      </c>
      <c r="B712" s="0" t="s">
        <v>240</v>
      </c>
      <c r="C712" s="0" t="s">
        <v>240</v>
      </c>
      <c r="D712" s="0" t="s">
        <v>240</v>
      </c>
      <c r="E712" s="0" t="s">
        <v>240</v>
      </c>
      <c r="F712" s="0" t="s">
        <v>240</v>
      </c>
      <c r="G712" s="0" t="s">
        <v>240</v>
      </c>
      <c r="H712" s="0" t="s">
        <v>240</v>
      </c>
      <c r="I712" s="0" t="s">
        <v>7004</v>
      </c>
      <c r="J712" s="0" t="s">
        <v>240</v>
      </c>
      <c r="K712" s="0" t="s">
        <v>240</v>
      </c>
      <c r="L712" s="0" t="s">
        <v>240</v>
      </c>
      <c r="M712" s="0" t="s">
        <v>240</v>
      </c>
      <c r="N712" s="0" t="s">
        <v>240</v>
      </c>
      <c r="O712" s="0" t="s">
        <v>240</v>
      </c>
      <c r="P712" s="0" t="s">
        <v>240</v>
      </c>
      <c r="Q712" s="0" t="s">
        <v>240</v>
      </c>
      <c r="R712" s="0" t="s">
        <v>7278</v>
      </c>
      <c r="S712" s="0" t="s">
        <v>240</v>
      </c>
      <c r="T712" s="0" t="s">
        <v>240</v>
      </c>
      <c r="U712" s="0" t="s">
        <v>102</v>
      </c>
      <c r="V712" s="0" t="s">
        <v>240</v>
      </c>
      <c r="W712" s="0" t="s">
        <v>240</v>
      </c>
      <c r="X712" s="0" t="s">
        <v>546</v>
      </c>
      <c r="Y712" s="0" t="s">
        <v>240</v>
      </c>
      <c r="Z712" s="0" t="s">
        <v>161</v>
      </c>
      <c r="AA712" s="0" t="s">
        <v>152</v>
      </c>
      <c r="AB712" s="0" t="s">
        <v>152</v>
      </c>
      <c r="AC712" s="0" t="s">
        <v>2991</v>
      </c>
      <c r="AD712" s="0" t="s">
        <v>2991</v>
      </c>
      <c r="AE712" s="0" t="s">
        <v>2992</v>
      </c>
      <c r="AF712" s="0" t="s">
        <v>5772</v>
      </c>
      <c r="AG712" s="0" t="s">
        <v>5773</v>
      </c>
      <c r="AH712" s="0" t="s">
        <v>5575</v>
      </c>
      <c r="AI712" s="0" t="s">
        <v>5575</v>
      </c>
      <c r="AJ712" s="0" t="s">
        <v>6917</v>
      </c>
      <c r="AK712" s="0" t="s">
        <v>7195</v>
      </c>
      <c r="AL712" s="0" t="s">
        <v>7009</v>
      </c>
      <c r="AN712" s="0" t="s">
        <v>5507</v>
      </c>
      <c r="AO712" s="0" t="s">
        <v>6101</v>
      </c>
      <c r="AP712" s="0" t="s">
        <v>240</v>
      </c>
      <c r="AQ712" s="0" t="s">
        <v>240</v>
      </c>
      <c r="AR712" s="0" t="s">
        <v>240</v>
      </c>
      <c r="AS712" s="0" t="s">
        <v>240</v>
      </c>
      <c r="AT712" s="0" t="s">
        <v>240</v>
      </c>
      <c r="AU712" s="0" t="s">
        <v>240</v>
      </c>
      <c r="AV712" s="0" t="s">
        <v>240</v>
      </c>
      <c r="AW712" s="0" t="s">
        <v>240</v>
      </c>
      <c r="AX712" s="0" t="s">
        <v>240</v>
      </c>
      <c r="AY712" s="0" t="s">
        <v>240</v>
      </c>
      <c r="AZ712" s="0" t="s">
        <v>240</v>
      </c>
      <c r="BA712" s="0" t="s">
        <v>240</v>
      </c>
      <c r="BB712" s="0" t="s">
        <v>240</v>
      </c>
      <c r="BC712" s="0" t="s">
        <v>240</v>
      </c>
      <c r="BD712" s="0" t="s">
        <v>240</v>
      </c>
      <c r="BE712" s="0" t="s">
        <v>240</v>
      </c>
      <c r="BF712" s="0" t="s">
        <v>240</v>
      </c>
      <c r="BG712" s="0" t="s">
        <v>240</v>
      </c>
      <c r="BH712" s="0" t="s">
        <v>240</v>
      </c>
      <c r="BI712" s="0" t="s">
        <v>240</v>
      </c>
      <c r="BJ712" s="0" t="s">
        <v>240</v>
      </c>
      <c r="BK712" s="0" t="s">
        <v>240</v>
      </c>
      <c r="BL712" s="0" t="s">
        <v>240</v>
      </c>
      <c r="BM712" s="0" t="s">
        <v>240</v>
      </c>
      <c r="BN712" s="0" t="s">
        <v>240</v>
      </c>
      <c r="BO712" s="0" t="s">
        <v>240</v>
      </c>
      <c r="BP712" s="0" t="s">
        <v>240</v>
      </c>
      <c r="BQ712" s="0" t="s">
        <v>240</v>
      </c>
      <c r="BR712" s="0" t="s">
        <v>240</v>
      </c>
      <c r="BS712" s="0" t="s">
        <v>240</v>
      </c>
      <c r="BT712" s="0" t="s">
        <v>240</v>
      </c>
      <c r="CS712" s="0" t="s">
        <v>240</v>
      </c>
      <c r="CT712" s="0" t="s">
        <v>5496</v>
      </c>
      <c r="CU712" s="0" t="s">
        <v>5497</v>
      </c>
      <c r="CV712" s="0" t="s">
        <v>443</v>
      </c>
      <c r="CW712" s="0" t="s">
        <v>5547</v>
      </c>
      <c r="CX712" s="0" t="s">
        <v>229</v>
      </c>
      <c r="CY712" s="0" t="s">
        <v>443</v>
      </c>
      <c r="CZ712" s="0" t="s">
        <v>5548</v>
      </c>
      <c r="DA712" s="0" t="s">
        <v>5549</v>
      </c>
      <c r="DB712" s="0" t="s">
        <v>5547</v>
      </c>
      <c r="DC712" s="0" t="s">
        <v>384</v>
      </c>
      <c r="DD712" s="0" t="s">
        <v>300</v>
      </c>
      <c r="DE712" s="0" t="s">
        <v>6149</v>
      </c>
    </row>
    <row customHeight="1" ht="11.25">
      <c r="A713" s="1441" t="s">
        <v>240</v>
      </c>
      <c r="B713" s="0" t="s">
        <v>240</v>
      </c>
      <c r="C713" s="0" t="s">
        <v>240</v>
      </c>
      <c r="D713" s="0" t="s">
        <v>240</v>
      </c>
      <c r="E713" s="0" t="s">
        <v>240</v>
      </c>
      <c r="F713" s="0" t="s">
        <v>240</v>
      </c>
      <c r="G713" s="0" t="s">
        <v>240</v>
      </c>
      <c r="H713" s="0" t="s">
        <v>240</v>
      </c>
      <c r="I713" s="0" t="s">
        <v>7004</v>
      </c>
      <c r="J713" s="0" t="s">
        <v>240</v>
      </c>
      <c r="K713" s="0" t="s">
        <v>240</v>
      </c>
      <c r="L713" s="0" t="s">
        <v>240</v>
      </c>
      <c r="M713" s="0" t="s">
        <v>240</v>
      </c>
      <c r="N713" s="0" t="s">
        <v>240</v>
      </c>
      <c r="O713" s="0" t="s">
        <v>240</v>
      </c>
      <c r="P713" s="0" t="s">
        <v>240</v>
      </c>
      <c r="Q713" s="0" t="s">
        <v>240</v>
      </c>
      <c r="R713" s="0" t="s">
        <v>7279</v>
      </c>
      <c r="S713" s="0" t="s">
        <v>240</v>
      </c>
      <c r="T713" s="0" t="s">
        <v>240</v>
      </c>
      <c r="U713" s="0" t="s">
        <v>102</v>
      </c>
      <c r="V713" s="0" t="s">
        <v>240</v>
      </c>
      <c r="W713" s="0" t="s">
        <v>240</v>
      </c>
      <c r="X713" s="0" t="s">
        <v>5585</v>
      </c>
      <c r="Y713" s="0" t="s">
        <v>240</v>
      </c>
      <c r="Z713" s="0" t="s">
        <v>152</v>
      </c>
      <c r="AA713" s="0" t="s">
        <v>152</v>
      </c>
      <c r="AB713" s="0" t="s">
        <v>161</v>
      </c>
      <c r="AC713" s="0" t="s">
        <v>2991</v>
      </c>
      <c r="AD713" s="0" t="s">
        <v>2991</v>
      </c>
      <c r="AE713" s="0" t="s">
        <v>2992</v>
      </c>
      <c r="AF713" s="0" t="s">
        <v>5970</v>
      </c>
      <c r="AG713" s="0" t="s">
        <v>5971</v>
      </c>
      <c r="AH713" s="0" t="s">
        <v>5575</v>
      </c>
      <c r="AI713" s="0" t="s">
        <v>5575</v>
      </c>
      <c r="AJ713" s="0" t="s">
        <v>240</v>
      </c>
      <c r="AK713" s="0" t="s">
        <v>240</v>
      </c>
      <c r="AL713" s="0" t="s">
        <v>240</v>
      </c>
      <c r="AN713" s="0" t="s">
        <v>240</v>
      </c>
      <c r="AO713" s="0" t="s">
        <v>240</v>
      </c>
      <c r="AP713" s="0" t="s">
        <v>240</v>
      </c>
      <c r="AQ713" s="0" t="s">
        <v>240</v>
      </c>
      <c r="AR713" s="0" t="s">
        <v>240</v>
      </c>
      <c r="AS713" s="0" t="s">
        <v>240</v>
      </c>
      <c r="AT713" s="0" t="s">
        <v>240</v>
      </c>
      <c r="AU713" s="0" t="s">
        <v>240</v>
      </c>
      <c r="AV713" s="0" t="s">
        <v>240</v>
      </c>
      <c r="AW713" s="0" t="s">
        <v>240</v>
      </c>
      <c r="AX713" s="0" t="s">
        <v>240</v>
      </c>
      <c r="AY713" s="0" t="s">
        <v>240</v>
      </c>
      <c r="AZ713" s="0" t="s">
        <v>240</v>
      </c>
      <c r="BA713" s="0" t="s">
        <v>240</v>
      </c>
      <c r="BB713" s="0" t="s">
        <v>240</v>
      </c>
      <c r="BC713" s="0" t="s">
        <v>240</v>
      </c>
      <c r="BD713" s="0" t="s">
        <v>240</v>
      </c>
      <c r="BE713" s="0" t="s">
        <v>5552</v>
      </c>
      <c r="BF713" s="0" t="s">
        <v>5731</v>
      </c>
      <c r="BG713" s="0" t="s">
        <v>112</v>
      </c>
      <c r="BH713" s="0" t="s">
        <v>5589</v>
      </c>
      <c r="BI713" s="0" t="s">
        <v>123</v>
      </c>
      <c r="BJ713" s="0" t="s">
        <v>240</v>
      </c>
      <c r="BK713" s="0" t="s">
        <v>240</v>
      </c>
      <c r="BL713" s="0" t="s">
        <v>2991</v>
      </c>
      <c r="BM713" s="0" t="s">
        <v>2991</v>
      </c>
      <c r="BN713" s="0" t="s">
        <v>5663</v>
      </c>
      <c r="BO713" s="0" t="s">
        <v>5970</v>
      </c>
      <c r="BP713" s="0" t="s">
        <v>6410</v>
      </c>
      <c r="BQ713" s="0" t="s">
        <v>5575</v>
      </c>
      <c r="BR713" s="0" t="s">
        <v>5575</v>
      </c>
      <c r="BS713" s="0" t="s">
        <v>240</v>
      </c>
      <c r="BT713" s="0" t="s">
        <v>5650</v>
      </c>
      <c r="CS713" s="0" t="s">
        <v>7118</v>
      </c>
      <c r="CT713" s="0" t="s">
        <v>5496</v>
      </c>
      <c r="CU713" s="0" t="s">
        <v>5497</v>
      </c>
      <c r="CV713" s="0" t="s">
        <v>443</v>
      </c>
      <c r="CW713" s="0" t="s">
        <v>5547</v>
      </c>
      <c r="CX713" s="0" t="s">
        <v>229</v>
      </c>
      <c r="CY713" s="0" t="s">
        <v>443</v>
      </c>
      <c r="CZ713" s="0" t="s">
        <v>5548</v>
      </c>
      <c r="DA713" s="0" t="s">
        <v>5549</v>
      </c>
      <c r="DB713" s="0" t="s">
        <v>5547</v>
      </c>
      <c r="DC713" s="0" t="s">
        <v>384</v>
      </c>
      <c r="DD713" s="0" t="s">
        <v>300</v>
      </c>
      <c r="DE713" s="0" t="s">
        <v>6412</v>
      </c>
    </row>
    <row customHeight="1" ht="11.25">
      <c r="A714" s="1441" t="s">
        <v>240</v>
      </c>
      <c r="B714" s="0" t="s">
        <v>240</v>
      </c>
      <c r="C714" s="0" t="s">
        <v>240</v>
      </c>
      <c r="D714" s="0" t="s">
        <v>240</v>
      </c>
      <c r="E714" s="0" t="s">
        <v>240</v>
      </c>
      <c r="F714" s="0" t="s">
        <v>240</v>
      </c>
      <c r="G714" s="0" t="s">
        <v>240</v>
      </c>
      <c r="H714" s="0" t="s">
        <v>240</v>
      </c>
      <c r="I714" s="0" t="s">
        <v>7004</v>
      </c>
      <c r="J714" s="0" t="s">
        <v>240</v>
      </c>
      <c r="K714" s="0" t="s">
        <v>240</v>
      </c>
      <c r="L714" s="0" t="s">
        <v>240</v>
      </c>
      <c r="M714" s="0" t="s">
        <v>240</v>
      </c>
      <c r="N714" s="0" t="s">
        <v>240</v>
      </c>
      <c r="O714" s="0" t="s">
        <v>240</v>
      </c>
      <c r="P714" s="0" t="s">
        <v>240</v>
      </c>
      <c r="Q714" s="0" t="s">
        <v>240</v>
      </c>
      <c r="R714" s="0" t="s">
        <v>7280</v>
      </c>
      <c r="S714" s="0" t="s">
        <v>240</v>
      </c>
      <c r="T714" s="0" t="s">
        <v>240</v>
      </c>
      <c r="U714" s="0" t="s">
        <v>102</v>
      </c>
      <c r="V714" s="0" t="s">
        <v>240</v>
      </c>
      <c r="W714" s="0" t="s">
        <v>240</v>
      </c>
      <c r="X714" s="0" t="s">
        <v>546</v>
      </c>
      <c r="Y714" s="0" t="s">
        <v>240</v>
      </c>
      <c r="Z714" s="0" t="s">
        <v>161</v>
      </c>
      <c r="AA714" s="0" t="s">
        <v>152</v>
      </c>
      <c r="AB714" s="0" t="s">
        <v>152</v>
      </c>
      <c r="AC714" s="0" t="s">
        <v>3395</v>
      </c>
      <c r="AD714" s="0" t="s">
        <v>3395</v>
      </c>
      <c r="AE714" s="0" t="s">
        <v>3396</v>
      </c>
      <c r="AF714" s="0" t="s">
        <v>5941</v>
      </c>
      <c r="AG714" s="0" t="s">
        <v>5942</v>
      </c>
      <c r="AH714" s="0" t="s">
        <v>7281</v>
      </c>
      <c r="AI714" s="0" t="s">
        <v>466</v>
      </c>
      <c r="AJ714" s="0" t="s">
        <v>6917</v>
      </c>
      <c r="AK714" s="0" t="s">
        <v>7282</v>
      </c>
      <c r="AL714" s="0" t="s">
        <v>7009</v>
      </c>
      <c r="AN714" s="0" t="s">
        <v>5553</v>
      </c>
      <c r="AO714" s="0" t="s">
        <v>7283</v>
      </c>
      <c r="AP714" s="0" t="s">
        <v>240</v>
      </c>
      <c r="AQ714" s="0" t="s">
        <v>240</v>
      </c>
      <c r="AR714" s="0" t="s">
        <v>240</v>
      </c>
      <c r="AS714" s="0" t="s">
        <v>240</v>
      </c>
      <c r="AT714" s="0" t="s">
        <v>240</v>
      </c>
      <c r="AU714" s="0" t="s">
        <v>240</v>
      </c>
      <c r="AV714" s="0" t="s">
        <v>240</v>
      </c>
      <c r="AW714" s="0" t="s">
        <v>240</v>
      </c>
      <c r="AX714" s="0" t="s">
        <v>240</v>
      </c>
      <c r="AY714" s="0" t="s">
        <v>240</v>
      </c>
      <c r="AZ714" s="0" t="s">
        <v>240</v>
      </c>
      <c r="BA714" s="0" t="s">
        <v>240</v>
      </c>
      <c r="BB714" s="0" t="s">
        <v>240</v>
      </c>
      <c r="BC714" s="0" t="s">
        <v>240</v>
      </c>
      <c r="BD714" s="0" t="s">
        <v>240</v>
      </c>
      <c r="BE714" s="0" t="s">
        <v>240</v>
      </c>
      <c r="BF714" s="0" t="s">
        <v>240</v>
      </c>
      <c r="BG714" s="0" t="s">
        <v>240</v>
      </c>
      <c r="BH714" s="0" t="s">
        <v>240</v>
      </c>
      <c r="BI714" s="0" t="s">
        <v>240</v>
      </c>
      <c r="BJ714" s="0" t="s">
        <v>240</v>
      </c>
      <c r="BK714" s="0" t="s">
        <v>240</v>
      </c>
      <c r="BL714" s="0" t="s">
        <v>240</v>
      </c>
      <c r="BM714" s="0" t="s">
        <v>240</v>
      </c>
      <c r="BN714" s="0" t="s">
        <v>240</v>
      </c>
      <c r="BO714" s="0" t="s">
        <v>240</v>
      </c>
      <c r="BP714" s="0" t="s">
        <v>240</v>
      </c>
      <c r="BQ714" s="0" t="s">
        <v>240</v>
      </c>
      <c r="BR714" s="0" t="s">
        <v>240</v>
      </c>
      <c r="BS714" s="0" t="s">
        <v>240</v>
      </c>
      <c r="BT714" s="0" t="s">
        <v>240</v>
      </c>
      <c r="CS714" s="0" t="s">
        <v>240</v>
      </c>
      <c r="CT714" s="0" t="s">
        <v>5496</v>
      </c>
      <c r="CU714" s="0" t="s">
        <v>5497</v>
      </c>
      <c r="CV714" s="0" t="s">
        <v>5947</v>
      </c>
      <c r="CW714" s="0" t="s">
        <v>5948</v>
      </c>
      <c r="CX714" s="0" t="s">
        <v>5528</v>
      </c>
      <c r="CY714" s="0" t="s">
        <v>5947</v>
      </c>
      <c r="CZ714" s="0" t="s">
        <v>7022</v>
      </c>
      <c r="DA714" s="0" t="s">
        <v>5949</v>
      </c>
      <c r="DB714" s="0" t="s">
        <v>5948</v>
      </c>
      <c r="DC714" s="0" t="s">
        <v>384</v>
      </c>
      <c r="DD714" s="0" t="s">
        <v>300</v>
      </c>
      <c r="DE714" s="0" t="s">
        <v>7284</v>
      </c>
    </row>
    <row customHeight="1" ht="11.25">
      <c r="A715" s="1441" t="s">
        <v>240</v>
      </c>
      <c r="B715" s="0" t="s">
        <v>240</v>
      </c>
      <c r="C715" s="0" t="s">
        <v>240</v>
      </c>
      <c r="D715" s="0" t="s">
        <v>240</v>
      </c>
      <c r="E715" s="0" t="s">
        <v>240</v>
      </c>
      <c r="F715" s="0" t="s">
        <v>240</v>
      </c>
      <c r="G715" s="0" t="s">
        <v>240</v>
      </c>
      <c r="H715" s="0" t="s">
        <v>240</v>
      </c>
      <c r="I715" s="0" t="s">
        <v>7004</v>
      </c>
      <c r="J715" s="0" t="s">
        <v>240</v>
      </c>
      <c r="K715" s="0" t="s">
        <v>240</v>
      </c>
      <c r="L715" s="0" t="s">
        <v>240</v>
      </c>
      <c r="M715" s="0" t="s">
        <v>240</v>
      </c>
      <c r="N715" s="0" t="s">
        <v>240</v>
      </c>
      <c r="O715" s="0" t="s">
        <v>240</v>
      </c>
      <c r="P715" s="0" t="s">
        <v>240</v>
      </c>
      <c r="Q715" s="0" t="s">
        <v>240</v>
      </c>
      <c r="R715" s="0" t="s">
        <v>7285</v>
      </c>
      <c r="S715" s="0" t="s">
        <v>240</v>
      </c>
      <c r="T715" s="0" t="s">
        <v>240</v>
      </c>
      <c r="U715" s="0" t="s">
        <v>102</v>
      </c>
      <c r="V715" s="0" t="s">
        <v>240</v>
      </c>
      <c r="W715" s="0" t="s">
        <v>240</v>
      </c>
      <c r="X715" s="0" t="s">
        <v>546</v>
      </c>
      <c r="Y715" s="0" t="s">
        <v>240</v>
      </c>
      <c r="Z715" s="0" t="s">
        <v>161</v>
      </c>
      <c r="AA715" s="0" t="s">
        <v>152</v>
      </c>
      <c r="AB715" s="0" t="s">
        <v>152</v>
      </c>
      <c r="AC715" s="0" t="s">
        <v>3395</v>
      </c>
      <c r="AD715" s="0" t="s">
        <v>3395</v>
      </c>
      <c r="AE715" s="0" t="s">
        <v>3396</v>
      </c>
      <c r="AF715" s="0" t="s">
        <v>5941</v>
      </c>
      <c r="AG715" s="0" t="s">
        <v>5942</v>
      </c>
      <c r="AH715" s="0" t="s">
        <v>7286</v>
      </c>
      <c r="AI715" s="0" t="s">
        <v>472</v>
      </c>
      <c r="AJ715" s="0" t="s">
        <v>6884</v>
      </c>
      <c r="AK715" s="0" t="s">
        <v>7287</v>
      </c>
      <c r="AL715" s="0" t="s">
        <v>7009</v>
      </c>
      <c r="AN715" s="0" t="s">
        <v>5553</v>
      </c>
      <c r="AO715" s="0" t="s">
        <v>7288</v>
      </c>
      <c r="AP715" s="0" t="s">
        <v>240</v>
      </c>
      <c r="AQ715" s="0" t="s">
        <v>240</v>
      </c>
      <c r="AR715" s="0" t="s">
        <v>240</v>
      </c>
      <c r="AS715" s="0" t="s">
        <v>240</v>
      </c>
      <c r="AT715" s="0" t="s">
        <v>240</v>
      </c>
      <c r="AU715" s="0" t="s">
        <v>240</v>
      </c>
      <c r="AV715" s="0" t="s">
        <v>240</v>
      </c>
      <c r="AW715" s="0" t="s">
        <v>240</v>
      </c>
      <c r="AX715" s="0" t="s">
        <v>240</v>
      </c>
      <c r="AY715" s="0" t="s">
        <v>240</v>
      </c>
      <c r="AZ715" s="0" t="s">
        <v>240</v>
      </c>
      <c r="BA715" s="0" t="s">
        <v>240</v>
      </c>
      <c r="BB715" s="0" t="s">
        <v>240</v>
      </c>
      <c r="BC715" s="0" t="s">
        <v>240</v>
      </c>
      <c r="BD715" s="0" t="s">
        <v>240</v>
      </c>
      <c r="BE715" s="0" t="s">
        <v>240</v>
      </c>
      <c r="BF715" s="0" t="s">
        <v>240</v>
      </c>
      <c r="BG715" s="0" t="s">
        <v>240</v>
      </c>
      <c r="BH715" s="0" t="s">
        <v>240</v>
      </c>
      <c r="BI715" s="0" t="s">
        <v>240</v>
      </c>
      <c r="BJ715" s="0" t="s">
        <v>240</v>
      </c>
      <c r="BK715" s="0" t="s">
        <v>240</v>
      </c>
      <c r="BL715" s="0" t="s">
        <v>240</v>
      </c>
      <c r="BM715" s="0" t="s">
        <v>240</v>
      </c>
      <c r="BN715" s="0" t="s">
        <v>240</v>
      </c>
      <c r="BO715" s="0" t="s">
        <v>240</v>
      </c>
      <c r="BP715" s="0" t="s">
        <v>240</v>
      </c>
      <c r="BQ715" s="0" t="s">
        <v>240</v>
      </c>
      <c r="BR715" s="0" t="s">
        <v>240</v>
      </c>
      <c r="BS715" s="0" t="s">
        <v>240</v>
      </c>
      <c r="BT715" s="0" t="s">
        <v>240</v>
      </c>
      <c r="CS715" s="0" t="s">
        <v>240</v>
      </c>
      <c r="CT715" s="0" t="s">
        <v>5496</v>
      </c>
      <c r="CU715" s="0" t="s">
        <v>5497</v>
      </c>
      <c r="CV715" s="0" t="s">
        <v>5947</v>
      </c>
      <c r="CW715" s="0" t="s">
        <v>5948</v>
      </c>
      <c r="CX715" s="0" t="s">
        <v>5528</v>
      </c>
      <c r="CY715" s="0" t="s">
        <v>5947</v>
      </c>
      <c r="CZ715" s="0" t="s">
        <v>7022</v>
      </c>
      <c r="DA715" s="0" t="s">
        <v>5949</v>
      </c>
      <c r="DB715" s="0" t="s">
        <v>5948</v>
      </c>
      <c r="DC715" s="0" t="s">
        <v>384</v>
      </c>
      <c r="DD715" s="0" t="s">
        <v>300</v>
      </c>
      <c r="DE715" s="0" t="s">
        <v>7289</v>
      </c>
    </row>
    <row customHeight="1" ht="11.25">
      <c r="A716" s="1441" t="s">
        <v>240</v>
      </c>
      <c r="B716" s="0" t="s">
        <v>240</v>
      </c>
      <c r="C716" s="0" t="s">
        <v>240</v>
      </c>
      <c r="D716" s="0" t="s">
        <v>240</v>
      </c>
      <c r="E716" s="0" t="s">
        <v>240</v>
      </c>
      <c r="F716" s="0" t="s">
        <v>240</v>
      </c>
      <c r="G716" s="0" t="s">
        <v>240</v>
      </c>
      <c r="H716" s="0" t="s">
        <v>240</v>
      </c>
      <c r="I716" s="0" t="s">
        <v>7004</v>
      </c>
      <c r="J716" s="0" t="s">
        <v>240</v>
      </c>
      <c r="K716" s="0" t="s">
        <v>240</v>
      </c>
      <c r="L716" s="0" t="s">
        <v>240</v>
      </c>
      <c r="M716" s="0" t="s">
        <v>240</v>
      </c>
      <c r="N716" s="0" t="s">
        <v>240</v>
      </c>
      <c r="O716" s="0" t="s">
        <v>240</v>
      </c>
      <c r="P716" s="0" t="s">
        <v>240</v>
      </c>
      <c r="Q716" s="0" t="s">
        <v>240</v>
      </c>
      <c r="R716" s="0" t="s">
        <v>7290</v>
      </c>
      <c r="S716" s="0" t="s">
        <v>240</v>
      </c>
      <c r="T716" s="0" t="s">
        <v>240</v>
      </c>
      <c r="U716" s="0" t="s">
        <v>102</v>
      </c>
      <c r="V716" s="0" t="s">
        <v>240</v>
      </c>
      <c r="W716" s="0" t="s">
        <v>240</v>
      </c>
      <c r="X716" s="0" t="s">
        <v>5585</v>
      </c>
      <c r="Y716" s="0" t="s">
        <v>240</v>
      </c>
      <c r="Z716" s="0" t="s">
        <v>152</v>
      </c>
      <c r="AA716" s="0" t="s">
        <v>152</v>
      </c>
      <c r="AB716" s="0" t="s">
        <v>161</v>
      </c>
      <c r="AC716" s="0" t="s">
        <v>2991</v>
      </c>
      <c r="AD716" s="0" t="s">
        <v>2991</v>
      </c>
      <c r="AE716" s="0" t="s">
        <v>2992</v>
      </c>
      <c r="AF716" s="0" t="s">
        <v>6451</v>
      </c>
      <c r="AG716" s="0" t="s">
        <v>6452</v>
      </c>
      <c r="AH716" s="0" t="s">
        <v>5575</v>
      </c>
      <c r="AI716" s="0" t="s">
        <v>5575</v>
      </c>
      <c r="AJ716" s="0" t="s">
        <v>240</v>
      </c>
      <c r="AK716" s="0" t="s">
        <v>240</v>
      </c>
      <c r="AL716" s="0" t="s">
        <v>240</v>
      </c>
      <c r="AN716" s="0" t="s">
        <v>240</v>
      </c>
      <c r="AO716" s="0" t="s">
        <v>240</v>
      </c>
      <c r="AP716" s="0" t="s">
        <v>240</v>
      </c>
      <c r="AQ716" s="0" t="s">
        <v>240</v>
      </c>
      <c r="AR716" s="0" t="s">
        <v>240</v>
      </c>
      <c r="AS716" s="0" t="s">
        <v>240</v>
      </c>
      <c r="AT716" s="0" t="s">
        <v>240</v>
      </c>
      <c r="AU716" s="0" t="s">
        <v>240</v>
      </c>
      <c r="AV716" s="0" t="s">
        <v>240</v>
      </c>
      <c r="AW716" s="0" t="s">
        <v>240</v>
      </c>
      <c r="AX716" s="0" t="s">
        <v>240</v>
      </c>
      <c r="AY716" s="0" t="s">
        <v>240</v>
      </c>
      <c r="AZ716" s="0" t="s">
        <v>240</v>
      </c>
      <c r="BA716" s="0" t="s">
        <v>240</v>
      </c>
      <c r="BB716" s="0" t="s">
        <v>240</v>
      </c>
      <c r="BC716" s="0" t="s">
        <v>240</v>
      </c>
      <c r="BD716" s="0" t="s">
        <v>240</v>
      </c>
      <c r="BE716" s="0" t="s">
        <v>5552</v>
      </c>
      <c r="BF716" s="0" t="s">
        <v>5731</v>
      </c>
      <c r="BG716" s="0" t="s">
        <v>112</v>
      </c>
      <c r="BH716" s="0" t="s">
        <v>5589</v>
      </c>
      <c r="BI716" s="0" t="s">
        <v>123</v>
      </c>
      <c r="BJ716" s="0" t="s">
        <v>240</v>
      </c>
      <c r="BK716" s="0" t="s">
        <v>240</v>
      </c>
      <c r="BL716" s="0" t="s">
        <v>2991</v>
      </c>
      <c r="BM716" s="0" t="s">
        <v>2991</v>
      </c>
      <c r="BN716" s="0" t="s">
        <v>5663</v>
      </c>
      <c r="BO716" s="0" t="s">
        <v>6451</v>
      </c>
      <c r="BP716" s="0" t="s">
        <v>6710</v>
      </c>
      <c r="BQ716" s="0" t="s">
        <v>5575</v>
      </c>
      <c r="BR716" s="0" t="s">
        <v>5575</v>
      </c>
      <c r="BS716" s="0" t="s">
        <v>240</v>
      </c>
      <c r="BT716" s="0" t="s">
        <v>5650</v>
      </c>
      <c r="CS716" s="0" t="s">
        <v>7118</v>
      </c>
      <c r="CT716" s="0" t="s">
        <v>5496</v>
      </c>
      <c r="CU716" s="0" t="s">
        <v>5497</v>
      </c>
      <c r="CV716" s="0" t="s">
        <v>443</v>
      </c>
      <c r="CW716" s="0" t="s">
        <v>5547</v>
      </c>
      <c r="CX716" s="0" t="s">
        <v>229</v>
      </c>
      <c r="CY716" s="0" t="s">
        <v>443</v>
      </c>
      <c r="CZ716" s="0" t="s">
        <v>5548</v>
      </c>
      <c r="DA716" s="0" t="s">
        <v>5549</v>
      </c>
      <c r="DB716" s="0" t="s">
        <v>5547</v>
      </c>
      <c r="DC716" s="0" t="s">
        <v>384</v>
      </c>
      <c r="DD716" s="0" t="s">
        <v>300</v>
      </c>
      <c r="DE716" s="0" t="s">
        <v>6712</v>
      </c>
    </row>
    <row customHeight="1" ht="11.25">
      <c r="A717" s="1441" t="s">
        <v>240</v>
      </c>
      <c r="B717" s="0" t="s">
        <v>240</v>
      </c>
      <c r="C717" s="0" t="s">
        <v>240</v>
      </c>
      <c r="D717" s="0" t="s">
        <v>240</v>
      </c>
      <c r="E717" s="0" t="s">
        <v>240</v>
      </c>
      <c r="F717" s="0" t="s">
        <v>240</v>
      </c>
      <c r="G717" s="0" t="s">
        <v>240</v>
      </c>
      <c r="H717" s="0" t="s">
        <v>240</v>
      </c>
      <c r="I717" s="0" t="s">
        <v>7004</v>
      </c>
      <c r="J717" s="0" t="s">
        <v>240</v>
      </c>
      <c r="K717" s="0" t="s">
        <v>240</v>
      </c>
      <c r="L717" s="0" t="s">
        <v>240</v>
      </c>
      <c r="M717" s="0" t="s">
        <v>240</v>
      </c>
      <c r="N717" s="0" t="s">
        <v>240</v>
      </c>
      <c r="O717" s="0" t="s">
        <v>240</v>
      </c>
      <c r="P717" s="0" t="s">
        <v>240</v>
      </c>
      <c r="Q717" s="0" t="s">
        <v>240</v>
      </c>
      <c r="R717" s="0" t="s">
        <v>7291</v>
      </c>
      <c r="S717" s="0" t="s">
        <v>240</v>
      </c>
      <c r="T717" s="0" t="s">
        <v>240</v>
      </c>
      <c r="U717" s="0" t="s">
        <v>102</v>
      </c>
      <c r="V717" s="0" t="s">
        <v>240</v>
      </c>
      <c r="W717" s="0" t="s">
        <v>240</v>
      </c>
      <c r="X717" s="0" t="s">
        <v>546</v>
      </c>
      <c r="Y717" s="0" t="s">
        <v>240</v>
      </c>
      <c r="Z717" s="0" t="s">
        <v>161</v>
      </c>
      <c r="AA717" s="0" t="s">
        <v>152</v>
      </c>
      <c r="AB717" s="0" t="s">
        <v>152</v>
      </c>
      <c r="AC717" s="0" t="s">
        <v>3389</v>
      </c>
      <c r="AD717" s="0" t="s">
        <v>3389</v>
      </c>
      <c r="AE717" s="0" t="s">
        <v>3390</v>
      </c>
      <c r="AF717" s="0" t="s">
        <v>5519</v>
      </c>
      <c r="AG717" s="0" t="s">
        <v>5520</v>
      </c>
      <c r="AH717" s="0" t="s">
        <v>7292</v>
      </c>
      <c r="AI717" s="0" t="s">
        <v>5533</v>
      </c>
      <c r="AJ717" s="0" t="s">
        <v>5781</v>
      </c>
      <c r="AK717" s="0" t="s">
        <v>7293</v>
      </c>
      <c r="AL717" s="0" t="s">
        <v>7009</v>
      </c>
      <c r="AN717" s="0" t="s">
        <v>7294</v>
      </c>
      <c r="AO717" s="0" t="s">
        <v>7295</v>
      </c>
      <c r="AP717" s="0" t="s">
        <v>240</v>
      </c>
      <c r="AQ717" s="0" t="s">
        <v>240</v>
      </c>
      <c r="AR717" s="0" t="s">
        <v>240</v>
      </c>
      <c r="AS717" s="0" t="s">
        <v>240</v>
      </c>
      <c r="AT717" s="0" t="s">
        <v>240</v>
      </c>
      <c r="AU717" s="0" t="s">
        <v>240</v>
      </c>
      <c r="AV717" s="0" t="s">
        <v>240</v>
      </c>
      <c r="AW717" s="0" t="s">
        <v>240</v>
      </c>
      <c r="AX717" s="0" t="s">
        <v>240</v>
      </c>
      <c r="AY717" s="0" t="s">
        <v>240</v>
      </c>
      <c r="AZ717" s="0" t="s">
        <v>240</v>
      </c>
      <c r="BA717" s="0" t="s">
        <v>240</v>
      </c>
      <c r="BB717" s="0" t="s">
        <v>240</v>
      </c>
      <c r="BC717" s="0" t="s">
        <v>240</v>
      </c>
      <c r="BD717" s="0" t="s">
        <v>240</v>
      </c>
      <c r="BE717" s="0" t="s">
        <v>240</v>
      </c>
      <c r="BF717" s="0" t="s">
        <v>240</v>
      </c>
      <c r="BG717" s="0" t="s">
        <v>240</v>
      </c>
      <c r="BH717" s="0" t="s">
        <v>240</v>
      </c>
      <c r="BI717" s="0" t="s">
        <v>240</v>
      </c>
      <c r="BJ717" s="0" t="s">
        <v>240</v>
      </c>
      <c r="BK717" s="0" t="s">
        <v>240</v>
      </c>
      <c r="BL717" s="0" t="s">
        <v>240</v>
      </c>
      <c r="BM717" s="0" t="s">
        <v>240</v>
      </c>
      <c r="BN717" s="0" t="s">
        <v>240</v>
      </c>
      <c r="BO717" s="0" t="s">
        <v>240</v>
      </c>
      <c r="BP717" s="0" t="s">
        <v>240</v>
      </c>
      <c r="BQ717" s="0" t="s">
        <v>240</v>
      </c>
      <c r="BR717" s="0" t="s">
        <v>240</v>
      </c>
      <c r="BS717" s="0" t="s">
        <v>240</v>
      </c>
      <c r="BT717" s="0" t="s">
        <v>240</v>
      </c>
      <c r="CS717" s="0" t="s">
        <v>240</v>
      </c>
      <c r="CT717" s="0" t="s">
        <v>5496</v>
      </c>
      <c r="CU717" s="0" t="s">
        <v>5497</v>
      </c>
      <c r="CV717" s="0" t="s">
        <v>443</v>
      </c>
      <c r="CW717" s="0" t="s">
        <v>5527</v>
      </c>
      <c r="CX717" s="0" t="s">
        <v>5528</v>
      </c>
      <c r="CY717" s="0" t="s">
        <v>443</v>
      </c>
      <c r="CZ717" s="0" t="s">
        <v>299</v>
      </c>
      <c r="DA717" s="0" t="s">
        <v>5529</v>
      </c>
      <c r="DB717" s="0" t="s">
        <v>5527</v>
      </c>
      <c r="DC717" s="0" t="s">
        <v>384</v>
      </c>
      <c r="DD717" s="0" t="s">
        <v>300</v>
      </c>
      <c r="DE717" s="0" t="s">
        <v>7296</v>
      </c>
    </row>
    <row customHeight="1" ht="11.25">
      <c r="A718" s="1441" t="s">
        <v>240</v>
      </c>
      <c r="B718" s="0" t="s">
        <v>240</v>
      </c>
      <c r="C718" s="0" t="s">
        <v>240</v>
      </c>
      <c r="D718" s="0" t="s">
        <v>240</v>
      </c>
      <c r="E718" s="0" t="s">
        <v>240</v>
      </c>
      <c r="F718" s="0" t="s">
        <v>240</v>
      </c>
      <c r="G718" s="0" t="s">
        <v>240</v>
      </c>
      <c r="H718" s="0" t="s">
        <v>240</v>
      </c>
      <c r="I718" s="0" t="s">
        <v>7004</v>
      </c>
      <c r="J718" s="0" t="s">
        <v>240</v>
      </c>
      <c r="K718" s="0" t="s">
        <v>240</v>
      </c>
      <c r="L718" s="0" t="s">
        <v>240</v>
      </c>
      <c r="M718" s="0" t="s">
        <v>240</v>
      </c>
      <c r="N718" s="0" t="s">
        <v>240</v>
      </c>
      <c r="O718" s="0" t="s">
        <v>240</v>
      </c>
      <c r="P718" s="0" t="s">
        <v>240</v>
      </c>
      <c r="Q718" s="0" t="s">
        <v>240</v>
      </c>
      <c r="R718" s="0" t="s">
        <v>7297</v>
      </c>
      <c r="S718" s="0" t="s">
        <v>240</v>
      </c>
      <c r="T718" s="0" t="s">
        <v>240</v>
      </c>
      <c r="U718" s="0" t="s">
        <v>102</v>
      </c>
      <c r="V718" s="0" t="s">
        <v>240</v>
      </c>
      <c r="W718" s="0" t="s">
        <v>240</v>
      </c>
      <c r="X718" s="0" t="s">
        <v>5585</v>
      </c>
      <c r="Y718" s="0" t="s">
        <v>240</v>
      </c>
      <c r="Z718" s="0" t="s">
        <v>152</v>
      </c>
      <c r="AA718" s="0" t="s">
        <v>152</v>
      </c>
      <c r="AB718" s="0" t="s">
        <v>161</v>
      </c>
      <c r="AC718" s="0" t="s">
        <v>2991</v>
      </c>
      <c r="AD718" s="0" t="s">
        <v>2991</v>
      </c>
      <c r="AE718" s="0" t="s">
        <v>2992</v>
      </c>
      <c r="AF718" s="0" t="s">
        <v>5884</v>
      </c>
      <c r="AG718" s="0" t="s">
        <v>5885</v>
      </c>
      <c r="AH718" s="0" t="s">
        <v>5575</v>
      </c>
      <c r="AI718" s="0" t="s">
        <v>5575</v>
      </c>
      <c r="AJ718" s="0" t="s">
        <v>240</v>
      </c>
      <c r="AK718" s="0" t="s">
        <v>240</v>
      </c>
      <c r="AL718" s="0" t="s">
        <v>240</v>
      </c>
      <c r="AN718" s="0" t="s">
        <v>240</v>
      </c>
      <c r="AO718" s="0" t="s">
        <v>240</v>
      </c>
      <c r="AP718" s="0" t="s">
        <v>240</v>
      </c>
      <c r="AQ718" s="0" t="s">
        <v>240</v>
      </c>
      <c r="AR718" s="0" t="s">
        <v>240</v>
      </c>
      <c r="AS718" s="0" t="s">
        <v>240</v>
      </c>
      <c r="AT718" s="0" t="s">
        <v>240</v>
      </c>
      <c r="AU718" s="0" t="s">
        <v>240</v>
      </c>
      <c r="AV718" s="0" t="s">
        <v>240</v>
      </c>
      <c r="AW718" s="0" t="s">
        <v>240</v>
      </c>
      <c r="AX718" s="0" t="s">
        <v>240</v>
      </c>
      <c r="AY718" s="0" t="s">
        <v>240</v>
      </c>
      <c r="AZ718" s="0" t="s">
        <v>240</v>
      </c>
      <c r="BA718" s="0" t="s">
        <v>240</v>
      </c>
      <c r="BB718" s="0" t="s">
        <v>240</v>
      </c>
      <c r="BC718" s="0" t="s">
        <v>240</v>
      </c>
      <c r="BD718" s="0" t="s">
        <v>240</v>
      </c>
      <c r="BE718" s="0" t="s">
        <v>5504</v>
      </c>
      <c r="BF718" s="0" t="s">
        <v>5776</v>
      </c>
      <c r="BG718" s="0" t="s">
        <v>112</v>
      </c>
      <c r="BH718" s="0" t="s">
        <v>5589</v>
      </c>
      <c r="BI718" s="0" t="s">
        <v>123</v>
      </c>
      <c r="BJ718" s="0" t="s">
        <v>240</v>
      </c>
      <c r="BK718" s="0" t="s">
        <v>240</v>
      </c>
      <c r="BL718" s="0" t="s">
        <v>2991</v>
      </c>
      <c r="BM718" s="0" t="s">
        <v>2991</v>
      </c>
      <c r="BN718" s="0" t="s">
        <v>5663</v>
      </c>
      <c r="BO718" s="0" t="s">
        <v>5884</v>
      </c>
      <c r="BP718" s="0" t="s">
        <v>6820</v>
      </c>
      <c r="BQ718" s="0" t="s">
        <v>5575</v>
      </c>
      <c r="BR718" s="0" t="s">
        <v>5575</v>
      </c>
      <c r="BS718" s="0" t="s">
        <v>240</v>
      </c>
      <c r="BT718" s="0" t="s">
        <v>5650</v>
      </c>
      <c r="CS718" s="0" t="s">
        <v>7118</v>
      </c>
      <c r="CT718" s="0" t="s">
        <v>5496</v>
      </c>
      <c r="CU718" s="0" t="s">
        <v>5497</v>
      </c>
      <c r="CV718" s="0" t="s">
        <v>443</v>
      </c>
      <c r="CW718" s="0" t="s">
        <v>5547</v>
      </c>
      <c r="CX718" s="0" t="s">
        <v>229</v>
      </c>
      <c r="CY718" s="0" t="s">
        <v>443</v>
      </c>
      <c r="CZ718" s="0" t="s">
        <v>5548</v>
      </c>
      <c r="DA718" s="0" t="s">
        <v>5549</v>
      </c>
      <c r="DB718" s="0" t="s">
        <v>5547</v>
      </c>
      <c r="DC718" s="0" t="s">
        <v>384</v>
      </c>
      <c r="DD718" s="0" t="s">
        <v>300</v>
      </c>
      <c r="DE718" s="0" t="s">
        <v>6822</v>
      </c>
    </row>
    <row customHeight="1" ht="11.25">
      <c r="A719" s="1441" t="s">
        <v>240</v>
      </c>
      <c r="B719" s="0" t="s">
        <v>240</v>
      </c>
      <c r="C719" s="0" t="s">
        <v>240</v>
      </c>
      <c r="D719" s="0" t="s">
        <v>240</v>
      </c>
      <c r="E719" s="0" t="s">
        <v>240</v>
      </c>
      <c r="F719" s="0" t="s">
        <v>240</v>
      </c>
      <c r="G719" s="0" t="s">
        <v>240</v>
      </c>
      <c r="H719" s="0" t="s">
        <v>240</v>
      </c>
      <c r="I719" s="0" t="s">
        <v>7004</v>
      </c>
      <c r="J719" s="0" t="s">
        <v>240</v>
      </c>
      <c r="K719" s="0" t="s">
        <v>240</v>
      </c>
      <c r="L719" s="0" t="s">
        <v>240</v>
      </c>
      <c r="M719" s="0" t="s">
        <v>240</v>
      </c>
      <c r="N719" s="0" t="s">
        <v>240</v>
      </c>
      <c r="O719" s="0" t="s">
        <v>240</v>
      </c>
      <c r="P719" s="0" t="s">
        <v>240</v>
      </c>
      <c r="Q719" s="0" t="s">
        <v>240</v>
      </c>
      <c r="R719" s="0" t="s">
        <v>7298</v>
      </c>
      <c r="S719" s="0" t="s">
        <v>240</v>
      </c>
      <c r="T719" s="0" t="s">
        <v>240</v>
      </c>
      <c r="U719" s="0" t="s">
        <v>102</v>
      </c>
      <c r="V719" s="0" t="s">
        <v>240</v>
      </c>
      <c r="W719" s="0" t="s">
        <v>240</v>
      </c>
      <c r="X719" s="0" t="s">
        <v>5905</v>
      </c>
      <c r="Y719" s="0" t="s">
        <v>240</v>
      </c>
      <c r="Z719" s="0" t="s">
        <v>152</v>
      </c>
      <c r="AA719" s="0" t="s">
        <v>161</v>
      </c>
      <c r="AB719" s="0" t="s">
        <v>152</v>
      </c>
      <c r="AC719" s="0" t="s">
        <v>3395</v>
      </c>
      <c r="AD719" s="0" t="s">
        <v>3395</v>
      </c>
      <c r="AE719" s="0" t="s">
        <v>3396</v>
      </c>
      <c r="AF719" s="0" t="s">
        <v>5941</v>
      </c>
      <c r="AG719" s="0" t="s">
        <v>5942</v>
      </c>
      <c r="AH719" s="0" t="s">
        <v>7299</v>
      </c>
      <c r="AI719" s="0" t="s">
        <v>5533</v>
      </c>
      <c r="AJ719" s="0" t="s">
        <v>240</v>
      </c>
      <c r="AK719" s="0" t="s">
        <v>240</v>
      </c>
      <c r="AL719" s="0" t="s">
        <v>240</v>
      </c>
      <c r="AN719" s="0" t="s">
        <v>240</v>
      </c>
      <c r="AO719" s="0" t="s">
        <v>240</v>
      </c>
      <c r="AP719" s="0" t="s">
        <v>7138</v>
      </c>
      <c r="AQ719" s="0" t="s">
        <v>7139</v>
      </c>
      <c r="AR719" s="0" t="s">
        <v>112</v>
      </c>
      <c r="AS719" s="0" t="s">
        <v>5589</v>
      </c>
      <c r="AT719" s="0" t="s">
        <v>123</v>
      </c>
      <c r="AU719" s="0" t="s">
        <v>240</v>
      </c>
      <c r="AV719" s="0" t="s">
        <v>550</v>
      </c>
      <c r="AW719" s="0" t="s">
        <v>3395</v>
      </c>
      <c r="AX719" s="0" t="s">
        <v>3395</v>
      </c>
      <c r="AY719" s="0" t="s">
        <v>6066</v>
      </c>
      <c r="AZ719" s="0" t="s">
        <v>5941</v>
      </c>
      <c r="BA719" s="0" t="s">
        <v>6067</v>
      </c>
      <c r="BB719" s="0" t="s">
        <v>7299</v>
      </c>
      <c r="BC719" s="0" t="s">
        <v>5533</v>
      </c>
      <c r="BD719" s="0" t="s">
        <v>5553</v>
      </c>
      <c r="BE719" s="0" t="s">
        <v>240</v>
      </c>
      <c r="BF719" s="0" t="s">
        <v>240</v>
      </c>
      <c r="BG719" s="0" t="s">
        <v>240</v>
      </c>
      <c r="BH719" s="0" t="s">
        <v>240</v>
      </c>
      <c r="BI719" s="0" t="s">
        <v>240</v>
      </c>
      <c r="BJ719" s="0" t="s">
        <v>240</v>
      </c>
      <c r="BK719" s="0" t="s">
        <v>240</v>
      </c>
      <c r="BL719" s="0" t="s">
        <v>240</v>
      </c>
      <c r="BM719" s="0" t="s">
        <v>240</v>
      </c>
      <c r="BN719" s="0" t="s">
        <v>240</v>
      </c>
      <c r="BO719" s="0" t="s">
        <v>240</v>
      </c>
      <c r="BP719" s="0" t="s">
        <v>240</v>
      </c>
      <c r="BQ719" s="0" t="s">
        <v>240</v>
      </c>
      <c r="BR719" s="0" t="s">
        <v>240</v>
      </c>
      <c r="BS719" s="0" t="s">
        <v>240</v>
      </c>
      <c r="BT719" s="0" t="s">
        <v>240</v>
      </c>
      <c r="CS719" s="0" t="s">
        <v>240</v>
      </c>
      <c r="CT719" s="0" t="s">
        <v>5496</v>
      </c>
      <c r="CU719" s="0" t="s">
        <v>5497</v>
      </c>
      <c r="CV719" s="0" t="s">
        <v>5947</v>
      </c>
      <c r="CW719" s="0" t="s">
        <v>5948</v>
      </c>
      <c r="CX719" s="0" t="s">
        <v>5528</v>
      </c>
      <c r="CY719" s="0" t="s">
        <v>5947</v>
      </c>
      <c r="CZ719" s="0" t="s">
        <v>7022</v>
      </c>
      <c r="DA719" s="0" t="s">
        <v>5949</v>
      </c>
      <c r="DB719" s="0" t="s">
        <v>5948</v>
      </c>
      <c r="DC719" s="0" t="s">
        <v>384</v>
      </c>
      <c r="DD719" s="0" t="s">
        <v>300</v>
      </c>
      <c r="DE719" s="0" t="s">
        <v>7300</v>
      </c>
    </row>
    <row customHeight="1" ht="11.25">
      <c r="A720" s="1441" t="s">
        <v>240</v>
      </c>
      <c r="B720" s="0" t="s">
        <v>240</v>
      </c>
      <c r="C720" s="0" t="s">
        <v>240</v>
      </c>
      <c r="D720" s="0" t="s">
        <v>240</v>
      </c>
      <c r="E720" s="0" t="s">
        <v>240</v>
      </c>
      <c r="F720" s="0" t="s">
        <v>240</v>
      </c>
      <c r="G720" s="0" t="s">
        <v>240</v>
      </c>
      <c r="H720" s="0" t="s">
        <v>240</v>
      </c>
      <c r="I720" s="0" t="s">
        <v>7004</v>
      </c>
      <c r="J720" s="0" t="s">
        <v>240</v>
      </c>
      <c r="K720" s="0" t="s">
        <v>240</v>
      </c>
      <c r="L720" s="0" t="s">
        <v>240</v>
      </c>
      <c r="M720" s="0" t="s">
        <v>240</v>
      </c>
      <c r="N720" s="0" t="s">
        <v>240</v>
      </c>
      <c r="O720" s="0" t="s">
        <v>240</v>
      </c>
      <c r="P720" s="0" t="s">
        <v>240</v>
      </c>
      <c r="Q720" s="0" t="s">
        <v>240</v>
      </c>
      <c r="R720" s="0" t="s">
        <v>550</v>
      </c>
      <c r="S720" s="0" t="s">
        <v>240</v>
      </c>
      <c r="T720" s="0" t="s">
        <v>240</v>
      </c>
      <c r="U720" s="0" t="s">
        <v>102</v>
      </c>
      <c r="V720" s="0" t="s">
        <v>240</v>
      </c>
      <c r="W720" s="0" t="s">
        <v>240</v>
      </c>
      <c r="X720" s="0" t="s">
        <v>5905</v>
      </c>
      <c r="Y720" s="0" t="s">
        <v>240</v>
      </c>
      <c r="Z720" s="0" t="s">
        <v>152</v>
      </c>
      <c r="AA720" s="0" t="s">
        <v>161</v>
      </c>
      <c r="AB720" s="0" t="s">
        <v>152</v>
      </c>
      <c r="AC720" s="0" t="s">
        <v>364</v>
      </c>
      <c r="AD720" s="0" t="s">
        <v>364</v>
      </c>
      <c r="AE720" s="0" t="s">
        <v>365</v>
      </c>
      <c r="AF720" s="0" t="s">
        <v>6806</v>
      </c>
      <c r="AG720" s="0" t="s">
        <v>6807</v>
      </c>
      <c r="AH720" s="0" t="s">
        <v>6910</v>
      </c>
      <c r="AI720" s="0" t="s">
        <v>290</v>
      </c>
      <c r="AJ720" s="0" t="s">
        <v>240</v>
      </c>
      <c r="AK720" s="0" t="s">
        <v>240</v>
      </c>
      <c r="AL720" s="0" t="s">
        <v>240</v>
      </c>
      <c r="AN720" s="0" t="s">
        <v>240</v>
      </c>
      <c r="AO720" s="0" t="s">
        <v>240</v>
      </c>
      <c r="AP720" s="0" t="s">
        <v>7177</v>
      </c>
      <c r="AQ720" s="0" t="s">
        <v>7059</v>
      </c>
      <c r="AR720" s="0" t="s">
        <v>112</v>
      </c>
      <c r="AS720" s="0" t="s">
        <v>5589</v>
      </c>
      <c r="AT720" s="0" t="s">
        <v>123</v>
      </c>
      <c r="AU720" s="0" t="s">
        <v>240</v>
      </c>
      <c r="AV720" s="0" t="s">
        <v>550</v>
      </c>
      <c r="AW720" s="0" t="s">
        <v>364</v>
      </c>
      <c r="AX720" s="0" t="s">
        <v>364</v>
      </c>
      <c r="AY720" s="0" t="s">
        <v>6811</v>
      </c>
      <c r="AZ720" s="0" t="s">
        <v>6806</v>
      </c>
      <c r="BA720" s="0" t="s">
        <v>6812</v>
      </c>
      <c r="BB720" s="0" t="s">
        <v>6910</v>
      </c>
      <c r="BC720" s="0" t="s">
        <v>290</v>
      </c>
      <c r="BD720" s="0" t="s">
        <v>5578</v>
      </c>
      <c r="BE720" s="0" t="s">
        <v>240</v>
      </c>
      <c r="BF720" s="0" t="s">
        <v>240</v>
      </c>
      <c r="BG720" s="0" t="s">
        <v>240</v>
      </c>
      <c r="BH720" s="0" t="s">
        <v>240</v>
      </c>
      <c r="BI720" s="0" t="s">
        <v>240</v>
      </c>
      <c r="BJ720" s="0" t="s">
        <v>240</v>
      </c>
      <c r="BK720" s="0" t="s">
        <v>240</v>
      </c>
      <c r="BL720" s="0" t="s">
        <v>240</v>
      </c>
      <c r="BM720" s="0" t="s">
        <v>240</v>
      </c>
      <c r="BN720" s="0" t="s">
        <v>240</v>
      </c>
      <c r="BO720" s="0" t="s">
        <v>240</v>
      </c>
      <c r="BP720" s="0" t="s">
        <v>240</v>
      </c>
      <c r="BQ720" s="0" t="s">
        <v>240</v>
      </c>
      <c r="BR720" s="0" t="s">
        <v>240</v>
      </c>
      <c r="BS720" s="0" t="s">
        <v>240</v>
      </c>
      <c r="BT720" s="0" t="s">
        <v>240</v>
      </c>
      <c r="CS720" s="0" t="s">
        <v>240</v>
      </c>
      <c r="CT720" s="0" t="s">
        <v>5496</v>
      </c>
      <c r="CU720" s="0" t="s">
        <v>5497</v>
      </c>
      <c r="CV720" s="0" t="s">
        <v>443</v>
      </c>
      <c r="CW720" s="0" t="s">
        <v>6818</v>
      </c>
      <c r="CX720" s="0" t="s">
        <v>229</v>
      </c>
      <c r="CY720" s="0" t="s">
        <v>443</v>
      </c>
      <c r="CZ720" s="0" t="s">
        <v>234</v>
      </c>
      <c r="DA720" s="0" t="s">
        <v>444</v>
      </c>
      <c r="DB720" s="0" t="s">
        <v>6818</v>
      </c>
      <c r="DC720" s="0" t="s">
        <v>384</v>
      </c>
      <c r="DD720" s="0" t="s">
        <v>300</v>
      </c>
      <c r="DE720" s="0" t="s">
        <v>551</v>
      </c>
    </row>
    <row customHeight="1" ht="11.25">
      <c r="A721" s="1441" t="s">
        <v>240</v>
      </c>
      <c r="B721" s="0" t="s">
        <v>240</v>
      </c>
      <c r="C721" s="0" t="s">
        <v>240</v>
      </c>
      <c r="D721" s="0" t="s">
        <v>240</v>
      </c>
      <c r="E721" s="0" t="s">
        <v>240</v>
      </c>
      <c r="F721" s="0" t="s">
        <v>240</v>
      </c>
      <c r="G721" s="0" t="s">
        <v>240</v>
      </c>
      <c r="H721" s="0" t="s">
        <v>240</v>
      </c>
      <c r="I721" s="0" t="s">
        <v>7004</v>
      </c>
      <c r="J721" s="0" t="s">
        <v>240</v>
      </c>
      <c r="K721" s="0" t="s">
        <v>240</v>
      </c>
      <c r="L721" s="0" t="s">
        <v>240</v>
      </c>
      <c r="M721" s="0" t="s">
        <v>240</v>
      </c>
      <c r="N721" s="0" t="s">
        <v>240</v>
      </c>
      <c r="O721" s="0" t="s">
        <v>240</v>
      </c>
      <c r="P721" s="0" t="s">
        <v>240</v>
      </c>
      <c r="Q721" s="0" t="s">
        <v>240</v>
      </c>
      <c r="R721" s="0" t="s">
        <v>546</v>
      </c>
      <c r="S721" s="0" t="s">
        <v>240</v>
      </c>
      <c r="T721" s="0" t="s">
        <v>240</v>
      </c>
      <c r="U721" s="0" t="s">
        <v>102</v>
      </c>
      <c r="V721" s="0" t="s">
        <v>240</v>
      </c>
      <c r="W721" s="0" t="s">
        <v>240</v>
      </c>
      <c r="X721" s="0" t="s">
        <v>546</v>
      </c>
      <c r="Y721" s="0" t="s">
        <v>240</v>
      </c>
      <c r="Z721" s="0" t="s">
        <v>161</v>
      </c>
      <c r="AA721" s="0" t="s">
        <v>152</v>
      </c>
      <c r="AB721" s="0" t="s">
        <v>152</v>
      </c>
      <c r="AC721" s="0" t="s">
        <v>364</v>
      </c>
      <c r="AD721" s="0" t="s">
        <v>364</v>
      </c>
      <c r="AE721" s="0" t="s">
        <v>365</v>
      </c>
      <c r="AF721" s="0" t="s">
        <v>6806</v>
      </c>
      <c r="AG721" s="0" t="s">
        <v>6807</v>
      </c>
      <c r="AH721" s="0" t="s">
        <v>7060</v>
      </c>
      <c r="AI721" s="0" t="s">
        <v>7301</v>
      </c>
      <c r="AJ721" s="0" t="s">
        <v>7302</v>
      </c>
      <c r="AK721" s="0" t="s">
        <v>7303</v>
      </c>
      <c r="AL721" s="0" t="s">
        <v>7009</v>
      </c>
      <c r="AN721" s="0" t="s">
        <v>5578</v>
      </c>
      <c r="AO721" s="0" t="s">
        <v>5619</v>
      </c>
      <c r="AP721" s="0" t="s">
        <v>240</v>
      </c>
      <c r="AQ721" s="0" t="s">
        <v>240</v>
      </c>
      <c r="AR721" s="0" t="s">
        <v>240</v>
      </c>
      <c r="AS721" s="0" t="s">
        <v>240</v>
      </c>
      <c r="AT721" s="0" t="s">
        <v>240</v>
      </c>
      <c r="AU721" s="0" t="s">
        <v>240</v>
      </c>
      <c r="AV721" s="0" t="s">
        <v>240</v>
      </c>
      <c r="AW721" s="0" t="s">
        <v>240</v>
      </c>
      <c r="AX721" s="0" t="s">
        <v>240</v>
      </c>
      <c r="AY721" s="0" t="s">
        <v>240</v>
      </c>
      <c r="AZ721" s="0" t="s">
        <v>240</v>
      </c>
      <c r="BA721" s="0" t="s">
        <v>240</v>
      </c>
      <c r="BB721" s="0" t="s">
        <v>240</v>
      </c>
      <c r="BC721" s="0" t="s">
        <v>240</v>
      </c>
      <c r="BD721" s="0" t="s">
        <v>240</v>
      </c>
      <c r="BE721" s="0" t="s">
        <v>240</v>
      </c>
      <c r="BF721" s="0" t="s">
        <v>240</v>
      </c>
      <c r="BG721" s="0" t="s">
        <v>240</v>
      </c>
      <c r="BH721" s="0" t="s">
        <v>240</v>
      </c>
      <c r="BI721" s="0" t="s">
        <v>240</v>
      </c>
      <c r="BJ721" s="0" t="s">
        <v>240</v>
      </c>
      <c r="BK721" s="0" t="s">
        <v>240</v>
      </c>
      <c r="BL721" s="0" t="s">
        <v>240</v>
      </c>
      <c r="BM721" s="0" t="s">
        <v>240</v>
      </c>
      <c r="BN721" s="0" t="s">
        <v>240</v>
      </c>
      <c r="BO721" s="0" t="s">
        <v>240</v>
      </c>
      <c r="BP721" s="0" t="s">
        <v>240</v>
      </c>
      <c r="BQ721" s="0" t="s">
        <v>240</v>
      </c>
      <c r="BR721" s="0" t="s">
        <v>240</v>
      </c>
      <c r="BS721" s="0" t="s">
        <v>240</v>
      </c>
      <c r="BT721" s="0" t="s">
        <v>240</v>
      </c>
      <c r="CS721" s="0" t="s">
        <v>240</v>
      </c>
      <c r="CT721" s="0" t="s">
        <v>5496</v>
      </c>
      <c r="CU721" s="0" t="s">
        <v>5497</v>
      </c>
      <c r="CV721" s="0" t="s">
        <v>443</v>
      </c>
      <c r="CW721" s="0" t="s">
        <v>6818</v>
      </c>
      <c r="CX721" s="0" t="s">
        <v>229</v>
      </c>
      <c r="CY721" s="0" t="s">
        <v>443</v>
      </c>
      <c r="CZ721" s="0" t="s">
        <v>234</v>
      </c>
      <c r="DA721" s="0" t="s">
        <v>444</v>
      </c>
      <c r="DB721" s="0" t="s">
        <v>6818</v>
      </c>
      <c r="DC721" s="0" t="s">
        <v>384</v>
      </c>
      <c r="DD721" s="0" t="s">
        <v>300</v>
      </c>
      <c r="DE721" s="0" t="s">
        <v>547</v>
      </c>
    </row>
    <row customHeight="1" ht="11.25">
      <c r="A722" s="1441" t="s">
        <v>240</v>
      </c>
      <c r="B722" s="0" t="s">
        <v>240</v>
      </c>
      <c r="C722" s="0" t="s">
        <v>240</v>
      </c>
      <c r="D722" s="0" t="s">
        <v>240</v>
      </c>
      <c r="E722" s="0" t="s">
        <v>240</v>
      </c>
      <c r="F722" s="0" t="s">
        <v>240</v>
      </c>
      <c r="G722" s="0" t="s">
        <v>240</v>
      </c>
      <c r="H722" s="0" t="s">
        <v>240</v>
      </c>
      <c r="I722" s="0" t="s">
        <v>7004</v>
      </c>
      <c r="J722" s="0" t="s">
        <v>240</v>
      </c>
      <c r="K722" s="0" t="s">
        <v>240</v>
      </c>
      <c r="L722" s="0" t="s">
        <v>240</v>
      </c>
      <c r="M722" s="0" t="s">
        <v>240</v>
      </c>
      <c r="N722" s="0" t="s">
        <v>240</v>
      </c>
      <c r="O722" s="0" t="s">
        <v>240</v>
      </c>
      <c r="P722" s="0" t="s">
        <v>240</v>
      </c>
      <c r="Q722" s="0" t="s">
        <v>240</v>
      </c>
      <c r="R722" s="0" t="s">
        <v>542</v>
      </c>
      <c r="S722" s="0" t="s">
        <v>240</v>
      </c>
      <c r="T722" s="0" t="s">
        <v>240</v>
      </c>
      <c r="U722" s="0" t="s">
        <v>102</v>
      </c>
      <c r="V722" s="0" t="s">
        <v>240</v>
      </c>
      <c r="W722" s="0" t="s">
        <v>240</v>
      </c>
      <c r="X722" s="0" t="s">
        <v>546</v>
      </c>
      <c r="Y722" s="0" t="s">
        <v>240</v>
      </c>
      <c r="Z722" s="0" t="s">
        <v>161</v>
      </c>
      <c r="AA722" s="0" t="s">
        <v>152</v>
      </c>
      <c r="AB722" s="0" t="s">
        <v>152</v>
      </c>
      <c r="AC722" s="0" t="s">
        <v>364</v>
      </c>
      <c r="AD722" s="0" t="s">
        <v>364</v>
      </c>
      <c r="AE722" s="0" t="s">
        <v>365</v>
      </c>
      <c r="AF722" s="0" t="s">
        <v>6806</v>
      </c>
      <c r="AG722" s="0" t="s">
        <v>6807</v>
      </c>
      <c r="AH722" s="0" t="s">
        <v>7304</v>
      </c>
      <c r="AI722" s="0" t="s">
        <v>5533</v>
      </c>
      <c r="AJ722" s="0" t="s">
        <v>5507</v>
      </c>
      <c r="AK722" s="0" t="s">
        <v>7305</v>
      </c>
      <c r="AL722" s="0" t="s">
        <v>7009</v>
      </c>
      <c r="AN722" s="0" t="s">
        <v>7195</v>
      </c>
      <c r="AO722" s="0" t="s">
        <v>7015</v>
      </c>
      <c r="AP722" s="0" t="s">
        <v>240</v>
      </c>
      <c r="AQ722" s="0" t="s">
        <v>240</v>
      </c>
      <c r="AR722" s="0" t="s">
        <v>240</v>
      </c>
      <c r="AS722" s="0" t="s">
        <v>240</v>
      </c>
      <c r="AT722" s="0" t="s">
        <v>240</v>
      </c>
      <c r="AU722" s="0" t="s">
        <v>240</v>
      </c>
      <c r="AV722" s="0" t="s">
        <v>240</v>
      </c>
      <c r="AW722" s="0" t="s">
        <v>240</v>
      </c>
      <c r="AX722" s="0" t="s">
        <v>240</v>
      </c>
      <c r="AY722" s="0" t="s">
        <v>240</v>
      </c>
      <c r="AZ722" s="0" t="s">
        <v>240</v>
      </c>
      <c r="BA722" s="0" t="s">
        <v>240</v>
      </c>
      <c r="BB722" s="0" t="s">
        <v>240</v>
      </c>
      <c r="BC722" s="0" t="s">
        <v>240</v>
      </c>
      <c r="BD722" s="0" t="s">
        <v>240</v>
      </c>
      <c r="BE722" s="0" t="s">
        <v>240</v>
      </c>
      <c r="BF722" s="0" t="s">
        <v>240</v>
      </c>
      <c r="BG722" s="0" t="s">
        <v>240</v>
      </c>
      <c r="BH722" s="0" t="s">
        <v>240</v>
      </c>
      <c r="BI722" s="0" t="s">
        <v>240</v>
      </c>
      <c r="BJ722" s="0" t="s">
        <v>240</v>
      </c>
      <c r="BK722" s="0" t="s">
        <v>240</v>
      </c>
      <c r="BL722" s="0" t="s">
        <v>240</v>
      </c>
      <c r="BM722" s="0" t="s">
        <v>240</v>
      </c>
      <c r="BN722" s="0" t="s">
        <v>240</v>
      </c>
      <c r="BO722" s="0" t="s">
        <v>240</v>
      </c>
      <c r="BP722" s="0" t="s">
        <v>240</v>
      </c>
      <c r="BQ722" s="0" t="s">
        <v>240</v>
      </c>
      <c r="BR722" s="0" t="s">
        <v>240</v>
      </c>
      <c r="BS722" s="0" t="s">
        <v>240</v>
      </c>
      <c r="BT722" s="0" t="s">
        <v>240</v>
      </c>
      <c r="CS722" s="0" t="s">
        <v>240</v>
      </c>
      <c r="CT722" s="0" t="s">
        <v>5496</v>
      </c>
      <c r="CU722" s="0" t="s">
        <v>5497</v>
      </c>
      <c r="CV722" s="0" t="s">
        <v>443</v>
      </c>
      <c r="CW722" s="0" t="s">
        <v>6818</v>
      </c>
      <c r="CX722" s="0" t="s">
        <v>229</v>
      </c>
      <c r="CY722" s="0" t="s">
        <v>443</v>
      </c>
      <c r="CZ722" s="0" t="s">
        <v>234</v>
      </c>
      <c r="DA722" s="0" t="s">
        <v>444</v>
      </c>
      <c r="DB722" s="0" t="s">
        <v>6818</v>
      </c>
      <c r="DC722" s="0" t="s">
        <v>384</v>
      </c>
      <c r="DD722" s="0" t="s">
        <v>300</v>
      </c>
      <c r="DE722" s="0" t="s">
        <v>543</v>
      </c>
    </row>
    <row customHeight="1" ht="11.25">
      <c r="A723" s="1441" t="s">
        <v>240</v>
      </c>
      <c r="B723" s="0" t="s">
        <v>240</v>
      </c>
      <c r="C723" s="0" t="s">
        <v>240</v>
      </c>
      <c r="D723" s="0" t="s">
        <v>240</v>
      </c>
      <c r="E723" s="0" t="s">
        <v>240</v>
      </c>
      <c r="F723" s="0" t="s">
        <v>240</v>
      </c>
      <c r="G723" s="0" t="s">
        <v>240</v>
      </c>
      <c r="H723" s="0" t="s">
        <v>240</v>
      </c>
      <c r="I723" s="0" t="s">
        <v>7004</v>
      </c>
      <c r="J723" s="0" t="s">
        <v>240</v>
      </c>
      <c r="K723" s="0" t="s">
        <v>240</v>
      </c>
      <c r="L723" s="0" t="s">
        <v>240</v>
      </c>
      <c r="M723" s="0" t="s">
        <v>240</v>
      </c>
      <c r="N723" s="0" t="s">
        <v>240</v>
      </c>
      <c r="O723" s="0" t="s">
        <v>240</v>
      </c>
      <c r="P723" s="0" t="s">
        <v>240</v>
      </c>
      <c r="Q723" s="0" t="s">
        <v>240</v>
      </c>
      <c r="R723" s="0" t="s">
        <v>7306</v>
      </c>
      <c r="S723" s="0" t="s">
        <v>240</v>
      </c>
      <c r="T723" s="0" t="s">
        <v>240</v>
      </c>
      <c r="U723" s="0" t="s">
        <v>102</v>
      </c>
      <c r="V723" s="0" t="s">
        <v>240</v>
      </c>
      <c r="W723" s="0" t="s">
        <v>240</v>
      </c>
      <c r="X723" s="0" t="s">
        <v>5585</v>
      </c>
      <c r="Y723" s="0" t="s">
        <v>240</v>
      </c>
      <c r="Z723" s="0" t="s">
        <v>152</v>
      </c>
      <c r="AA723" s="0" t="s">
        <v>152</v>
      </c>
      <c r="AB723" s="0" t="s">
        <v>161</v>
      </c>
      <c r="AC723" s="0" t="s">
        <v>2991</v>
      </c>
      <c r="AD723" s="0" t="s">
        <v>2991</v>
      </c>
      <c r="AE723" s="0" t="s">
        <v>2992</v>
      </c>
      <c r="AF723" s="0" t="s">
        <v>5691</v>
      </c>
      <c r="AG723" s="0" t="s">
        <v>5692</v>
      </c>
      <c r="AH723" s="0" t="s">
        <v>5575</v>
      </c>
      <c r="AI723" s="0" t="s">
        <v>5575</v>
      </c>
      <c r="AJ723" s="0" t="s">
        <v>240</v>
      </c>
      <c r="AK723" s="0" t="s">
        <v>240</v>
      </c>
      <c r="AL723" s="0" t="s">
        <v>240</v>
      </c>
      <c r="AN723" s="0" t="s">
        <v>240</v>
      </c>
      <c r="AO723" s="0" t="s">
        <v>240</v>
      </c>
      <c r="AP723" s="0" t="s">
        <v>240</v>
      </c>
      <c r="AQ723" s="0" t="s">
        <v>240</v>
      </c>
      <c r="AR723" s="0" t="s">
        <v>240</v>
      </c>
      <c r="AS723" s="0" t="s">
        <v>240</v>
      </c>
      <c r="AT723" s="0" t="s">
        <v>240</v>
      </c>
      <c r="AU723" s="0" t="s">
        <v>240</v>
      </c>
      <c r="AV723" s="0" t="s">
        <v>240</v>
      </c>
      <c r="AW723" s="0" t="s">
        <v>240</v>
      </c>
      <c r="AX723" s="0" t="s">
        <v>240</v>
      </c>
      <c r="AY723" s="0" t="s">
        <v>240</v>
      </c>
      <c r="AZ723" s="0" t="s">
        <v>240</v>
      </c>
      <c r="BA723" s="0" t="s">
        <v>240</v>
      </c>
      <c r="BB723" s="0" t="s">
        <v>240</v>
      </c>
      <c r="BC723" s="0" t="s">
        <v>240</v>
      </c>
      <c r="BD723" s="0" t="s">
        <v>240</v>
      </c>
      <c r="BE723" s="0" t="s">
        <v>5544</v>
      </c>
      <c r="BF723" s="0" t="s">
        <v>5672</v>
      </c>
      <c r="BG723" s="0" t="s">
        <v>112</v>
      </c>
      <c r="BH723" s="0" t="s">
        <v>5589</v>
      </c>
      <c r="BI723" s="0" t="s">
        <v>123</v>
      </c>
      <c r="BJ723" s="0" t="s">
        <v>240</v>
      </c>
      <c r="BK723" s="0" t="s">
        <v>240</v>
      </c>
      <c r="BL723" s="0" t="s">
        <v>2991</v>
      </c>
      <c r="BM723" s="0" t="s">
        <v>2991</v>
      </c>
      <c r="BN723" s="0" t="s">
        <v>5663</v>
      </c>
      <c r="BO723" s="0" t="s">
        <v>5691</v>
      </c>
      <c r="BP723" s="0" t="s">
        <v>6020</v>
      </c>
      <c r="BQ723" s="0" t="s">
        <v>5575</v>
      </c>
      <c r="BR723" s="0" t="s">
        <v>5575</v>
      </c>
      <c r="BS723" s="0" t="s">
        <v>240</v>
      </c>
      <c r="BT723" s="0" t="s">
        <v>5650</v>
      </c>
      <c r="CS723" s="0" t="s">
        <v>7118</v>
      </c>
      <c r="CT723" s="0" t="s">
        <v>5496</v>
      </c>
      <c r="CU723" s="0" t="s">
        <v>5497</v>
      </c>
      <c r="CV723" s="0" t="s">
        <v>443</v>
      </c>
      <c r="CW723" s="0" t="s">
        <v>5547</v>
      </c>
      <c r="CX723" s="0" t="s">
        <v>229</v>
      </c>
      <c r="CY723" s="0" t="s">
        <v>443</v>
      </c>
      <c r="CZ723" s="0" t="s">
        <v>5548</v>
      </c>
      <c r="DA723" s="0" t="s">
        <v>5549</v>
      </c>
      <c r="DB723" s="0" t="s">
        <v>5547</v>
      </c>
      <c r="DC723" s="0" t="s">
        <v>384</v>
      </c>
      <c r="DD723" s="0" t="s">
        <v>300</v>
      </c>
      <c r="DE723" s="0" t="s">
        <v>6022</v>
      </c>
    </row>
    <row customHeight="1" ht="11.25">
      <c r="A724" s="1441" t="s">
        <v>240</v>
      </c>
      <c r="B724" s="0" t="s">
        <v>240</v>
      </c>
      <c r="C724" s="0" t="s">
        <v>240</v>
      </c>
      <c r="D724" s="0" t="s">
        <v>240</v>
      </c>
      <c r="E724" s="0" t="s">
        <v>240</v>
      </c>
      <c r="F724" s="0" t="s">
        <v>240</v>
      </c>
      <c r="G724" s="0" t="s">
        <v>240</v>
      </c>
      <c r="H724" s="0" t="s">
        <v>240</v>
      </c>
      <c r="I724" s="0" t="s">
        <v>7004</v>
      </c>
      <c r="J724" s="0" t="s">
        <v>240</v>
      </c>
      <c r="K724" s="0" t="s">
        <v>240</v>
      </c>
      <c r="L724" s="0" t="s">
        <v>240</v>
      </c>
      <c r="M724" s="0" t="s">
        <v>240</v>
      </c>
      <c r="N724" s="0" t="s">
        <v>240</v>
      </c>
      <c r="O724" s="0" t="s">
        <v>240</v>
      </c>
      <c r="P724" s="0" t="s">
        <v>240</v>
      </c>
      <c r="Q724" s="0" t="s">
        <v>240</v>
      </c>
      <c r="R724" s="0" t="s">
        <v>7307</v>
      </c>
      <c r="S724" s="0" t="s">
        <v>240</v>
      </c>
      <c r="T724" s="0" t="s">
        <v>240</v>
      </c>
      <c r="U724" s="0" t="s">
        <v>102</v>
      </c>
      <c r="V724" s="0" t="s">
        <v>240</v>
      </c>
      <c r="W724" s="0" t="s">
        <v>240</v>
      </c>
      <c r="X724" s="0" t="s">
        <v>5585</v>
      </c>
      <c r="Y724" s="0" t="s">
        <v>240</v>
      </c>
      <c r="Z724" s="0" t="s">
        <v>152</v>
      </c>
      <c r="AA724" s="0" t="s">
        <v>152</v>
      </c>
      <c r="AB724" s="0" t="s">
        <v>161</v>
      </c>
      <c r="AC724" s="0" t="s">
        <v>2991</v>
      </c>
      <c r="AD724" s="0" t="s">
        <v>2991</v>
      </c>
      <c r="AE724" s="0" t="s">
        <v>2992</v>
      </c>
      <c r="AF724" s="0" t="s">
        <v>5749</v>
      </c>
      <c r="AG724" s="0" t="s">
        <v>5750</v>
      </c>
      <c r="AH724" s="0" t="s">
        <v>5575</v>
      </c>
      <c r="AI724" s="0" t="s">
        <v>5575</v>
      </c>
      <c r="AJ724" s="0" t="s">
        <v>240</v>
      </c>
      <c r="AK724" s="0" t="s">
        <v>240</v>
      </c>
      <c r="AL724" s="0" t="s">
        <v>240</v>
      </c>
      <c r="AN724" s="0" t="s">
        <v>240</v>
      </c>
      <c r="AO724" s="0" t="s">
        <v>240</v>
      </c>
      <c r="AP724" s="0" t="s">
        <v>240</v>
      </c>
      <c r="AQ724" s="0" t="s">
        <v>240</v>
      </c>
      <c r="AR724" s="0" t="s">
        <v>240</v>
      </c>
      <c r="AS724" s="0" t="s">
        <v>240</v>
      </c>
      <c r="AT724" s="0" t="s">
        <v>240</v>
      </c>
      <c r="AU724" s="0" t="s">
        <v>240</v>
      </c>
      <c r="AV724" s="0" t="s">
        <v>240</v>
      </c>
      <c r="AW724" s="0" t="s">
        <v>240</v>
      </c>
      <c r="AX724" s="0" t="s">
        <v>240</v>
      </c>
      <c r="AY724" s="0" t="s">
        <v>240</v>
      </c>
      <c r="AZ724" s="0" t="s">
        <v>240</v>
      </c>
      <c r="BA724" s="0" t="s">
        <v>240</v>
      </c>
      <c r="BB724" s="0" t="s">
        <v>240</v>
      </c>
      <c r="BC724" s="0" t="s">
        <v>240</v>
      </c>
      <c r="BD724" s="0" t="s">
        <v>240</v>
      </c>
      <c r="BE724" s="0" t="s">
        <v>6917</v>
      </c>
      <c r="BF724" s="0" t="s">
        <v>7195</v>
      </c>
      <c r="BG724" s="0" t="s">
        <v>112</v>
      </c>
      <c r="BH724" s="0" t="s">
        <v>5589</v>
      </c>
      <c r="BI724" s="0" t="s">
        <v>123</v>
      </c>
      <c r="BJ724" s="0" t="s">
        <v>240</v>
      </c>
      <c r="BK724" s="0" t="s">
        <v>240</v>
      </c>
      <c r="BL724" s="0" t="s">
        <v>2991</v>
      </c>
      <c r="BM724" s="0" t="s">
        <v>2991</v>
      </c>
      <c r="BN724" s="0" t="s">
        <v>5663</v>
      </c>
      <c r="BO724" s="0" t="s">
        <v>5749</v>
      </c>
      <c r="BP724" s="0" t="s">
        <v>6846</v>
      </c>
      <c r="BQ724" s="0" t="s">
        <v>5575</v>
      </c>
      <c r="BR724" s="0" t="s">
        <v>5575</v>
      </c>
      <c r="BS724" s="0" t="s">
        <v>240</v>
      </c>
      <c r="BT724" s="0" t="s">
        <v>5650</v>
      </c>
      <c r="CS724" s="0" t="s">
        <v>7118</v>
      </c>
      <c r="CT724" s="0" t="s">
        <v>5496</v>
      </c>
      <c r="CU724" s="0" t="s">
        <v>5497</v>
      </c>
      <c r="CV724" s="0" t="s">
        <v>443</v>
      </c>
      <c r="CW724" s="0" t="s">
        <v>5547</v>
      </c>
      <c r="CX724" s="0" t="s">
        <v>229</v>
      </c>
      <c r="CY724" s="0" t="s">
        <v>443</v>
      </c>
      <c r="CZ724" s="0" t="s">
        <v>5548</v>
      </c>
      <c r="DA724" s="0" t="s">
        <v>5549</v>
      </c>
      <c r="DB724" s="0" t="s">
        <v>5580</v>
      </c>
      <c r="DC724" s="0" t="s">
        <v>384</v>
      </c>
      <c r="DD724" s="0" t="s">
        <v>300</v>
      </c>
      <c r="DE724" s="0" t="s">
        <v>6848</v>
      </c>
    </row>
    <row customHeight="1" ht="11.25">
      <c r="A725" s="1441" t="s">
        <v>240</v>
      </c>
      <c r="B725" s="0" t="s">
        <v>240</v>
      </c>
      <c r="C725" s="0" t="s">
        <v>240</v>
      </c>
      <c r="D725" s="0" t="s">
        <v>240</v>
      </c>
      <c r="E725" s="0" t="s">
        <v>240</v>
      </c>
      <c r="F725" s="0" t="s">
        <v>240</v>
      </c>
      <c r="G725" s="0" t="s">
        <v>240</v>
      </c>
      <c r="H725" s="0" t="s">
        <v>240</v>
      </c>
      <c r="I725" s="0" t="s">
        <v>7004</v>
      </c>
      <c r="J725" s="0" t="s">
        <v>240</v>
      </c>
      <c r="K725" s="0" t="s">
        <v>240</v>
      </c>
      <c r="L725" s="0" t="s">
        <v>240</v>
      </c>
      <c r="M725" s="0" t="s">
        <v>240</v>
      </c>
      <c r="N725" s="0" t="s">
        <v>240</v>
      </c>
      <c r="O725" s="0" t="s">
        <v>240</v>
      </c>
      <c r="P725" s="0" t="s">
        <v>240</v>
      </c>
      <c r="Q725" s="0" t="s">
        <v>240</v>
      </c>
      <c r="R725" s="0" t="s">
        <v>7308</v>
      </c>
      <c r="S725" s="0" t="s">
        <v>240</v>
      </c>
      <c r="T725" s="0" t="s">
        <v>240</v>
      </c>
      <c r="U725" s="0" t="s">
        <v>102</v>
      </c>
      <c r="V725" s="0" t="s">
        <v>240</v>
      </c>
      <c r="W725" s="0" t="s">
        <v>240</v>
      </c>
      <c r="X725" s="0" t="s">
        <v>5905</v>
      </c>
      <c r="Y725" s="0" t="s">
        <v>240</v>
      </c>
      <c r="Z725" s="0" t="s">
        <v>152</v>
      </c>
      <c r="AA725" s="0" t="s">
        <v>161</v>
      </c>
      <c r="AB725" s="0" t="s">
        <v>152</v>
      </c>
      <c r="AC725" s="0" t="s">
        <v>3395</v>
      </c>
      <c r="AD725" s="0" t="s">
        <v>3395</v>
      </c>
      <c r="AE725" s="0" t="s">
        <v>3396</v>
      </c>
      <c r="AF725" s="0" t="s">
        <v>5941</v>
      </c>
      <c r="AG725" s="0" t="s">
        <v>5942</v>
      </c>
      <c r="AH725" s="0" t="s">
        <v>7309</v>
      </c>
      <c r="AI725" s="0" t="s">
        <v>5533</v>
      </c>
      <c r="AJ725" s="0" t="s">
        <v>240</v>
      </c>
      <c r="AK725" s="0" t="s">
        <v>240</v>
      </c>
      <c r="AL725" s="0" t="s">
        <v>240</v>
      </c>
      <c r="AN725" s="0" t="s">
        <v>240</v>
      </c>
      <c r="AO725" s="0" t="s">
        <v>240</v>
      </c>
      <c r="AP725" s="0" t="s">
        <v>7093</v>
      </c>
      <c r="AQ725" s="0" t="s">
        <v>7094</v>
      </c>
      <c r="AR725" s="0" t="s">
        <v>112</v>
      </c>
      <c r="AS725" s="0" t="s">
        <v>5589</v>
      </c>
      <c r="AT725" s="0" t="s">
        <v>123</v>
      </c>
      <c r="AU725" s="0" t="s">
        <v>240</v>
      </c>
      <c r="AV725" s="0" t="s">
        <v>550</v>
      </c>
      <c r="AW725" s="0" t="s">
        <v>3395</v>
      </c>
      <c r="AX725" s="0" t="s">
        <v>3395</v>
      </c>
      <c r="AY725" s="0" t="s">
        <v>6066</v>
      </c>
      <c r="AZ725" s="0" t="s">
        <v>5941</v>
      </c>
      <c r="BA725" s="0" t="s">
        <v>6067</v>
      </c>
      <c r="BB725" s="0" t="s">
        <v>7310</v>
      </c>
      <c r="BC725" s="0" t="s">
        <v>5533</v>
      </c>
      <c r="BD725" s="0" t="s">
        <v>5553</v>
      </c>
      <c r="BE725" s="0" t="s">
        <v>240</v>
      </c>
      <c r="BF725" s="0" t="s">
        <v>240</v>
      </c>
      <c r="BG725" s="0" t="s">
        <v>240</v>
      </c>
      <c r="BH725" s="0" t="s">
        <v>240</v>
      </c>
      <c r="BI725" s="0" t="s">
        <v>240</v>
      </c>
      <c r="BJ725" s="0" t="s">
        <v>240</v>
      </c>
      <c r="BK725" s="0" t="s">
        <v>240</v>
      </c>
      <c r="BL725" s="0" t="s">
        <v>240</v>
      </c>
      <c r="BM725" s="0" t="s">
        <v>240</v>
      </c>
      <c r="BN725" s="0" t="s">
        <v>240</v>
      </c>
      <c r="BO725" s="0" t="s">
        <v>240</v>
      </c>
      <c r="BP725" s="0" t="s">
        <v>240</v>
      </c>
      <c r="BQ725" s="0" t="s">
        <v>240</v>
      </c>
      <c r="BR725" s="0" t="s">
        <v>240</v>
      </c>
      <c r="BS725" s="0" t="s">
        <v>240</v>
      </c>
      <c r="BT725" s="0" t="s">
        <v>240</v>
      </c>
      <c r="CS725" s="0" t="s">
        <v>240</v>
      </c>
      <c r="CT725" s="0" t="s">
        <v>5496</v>
      </c>
      <c r="CU725" s="0" t="s">
        <v>5497</v>
      </c>
      <c r="CV725" s="0" t="s">
        <v>5947</v>
      </c>
      <c r="CW725" s="0" t="s">
        <v>5948</v>
      </c>
      <c r="CX725" s="0" t="s">
        <v>5528</v>
      </c>
      <c r="CY725" s="0" t="s">
        <v>5947</v>
      </c>
      <c r="CZ725" s="0" t="s">
        <v>7022</v>
      </c>
      <c r="DA725" s="0" t="s">
        <v>5949</v>
      </c>
      <c r="DB725" s="0" t="s">
        <v>5948</v>
      </c>
      <c r="DC725" s="0" t="s">
        <v>384</v>
      </c>
      <c r="DD725" s="0" t="s">
        <v>300</v>
      </c>
      <c r="DE725" s="0" t="s">
        <v>7311</v>
      </c>
    </row>
    <row customHeight="1" ht="11.25">
      <c r="A726" s="1441" t="s">
        <v>240</v>
      </c>
      <c r="B726" s="0" t="s">
        <v>240</v>
      </c>
      <c r="C726" s="0" t="s">
        <v>240</v>
      </c>
      <c r="D726" s="0" t="s">
        <v>240</v>
      </c>
      <c r="E726" s="0" t="s">
        <v>240</v>
      </c>
      <c r="F726" s="0" t="s">
        <v>240</v>
      </c>
      <c r="G726" s="0" t="s">
        <v>240</v>
      </c>
      <c r="H726" s="0" t="s">
        <v>240</v>
      </c>
      <c r="I726" s="0" t="s">
        <v>7004</v>
      </c>
      <c r="J726" s="0" t="s">
        <v>240</v>
      </c>
      <c r="K726" s="0" t="s">
        <v>240</v>
      </c>
      <c r="L726" s="0" t="s">
        <v>240</v>
      </c>
      <c r="M726" s="0" t="s">
        <v>240</v>
      </c>
      <c r="N726" s="0" t="s">
        <v>240</v>
      </c>
      <c r="O726" s="0" t="s">
        <v>240</v>
      </c>
      <c r="P726" s="0" t="s">
        <v>240</v>
      </c>
      <c r="Q726" s="0" t="s">
        <v>240</v>
      </c>
      <c r="R726" s="0" t="s">
        <v>508</v>
      </c>
      <c r="S726" s="0" t="s">
        <v>240</v>
      </c>
      <c r="T726" s="0" t="s">
        <v>240</v>
      </c>
      <c r="U726" s="0" t="s">
        <v>102</v>
      </c>
      <c r="V726" s="0" t="s">
        <v>240</v>
      </c>
      <c r="W726" s="0" t="s">
        <v>240</v>
      </c>
      <c r="X726" s="0" t="s">
        <v>546</v>
      </c>
      <c r="Y726" s="0" t="s">
        <v>240</v>
      </c>
      <c r="Z726" s="0" t="s">
        <v>161</v>
      </c>
      <c r="AA726" s="0" t="s">
        <v>152</v>
      </c>
      <c r="AB726" s="0" t="s">
        <v>152</v>
      </c>
      <c r="AC726" s="0" t="s">
        <v>364</v>
      </c>
      <c r="AD726" s="0" t="s">
        <v>364</v>
      </c>
      <c r="AE726" s="0" t="s">
        <v>365</v>
      </c>
      <c r="AF726" s="0" t="s">
        <v>5486</v>
      </c>
      <c r="AG726" s="0" t="s">
        <v>5487</v>
      </c>
      <c r="AH726" s="0" t="s">
        <v>7312</v>
      </c>
      <c r="AI726" s="0" t="s">
        <v>5533</v>
      </c>
      <c r="AJ726" s="0" t="s">
        <v>6200</v>
      </c>
      <c r="AK726" s="0" t="s">
        <v>7313</v>
      </c>
      <c r="AL726" s="0" t="s">
        <v>7009</v>
      </c>
      <c r="AN726" s="0" t="s">
        <v>5756</v>
      </c>
      <c r="AO726" s="0" t="s">
        <v>6481</v>
      </c>
      <c r="AP726" s="0" t="s">
        <v>240</v>
      </c>
      <c r="AQ726" s="0" t="s">
        <v>240</v>
      </c>
      <c r="AR726" s="0" t="s">
        <v>240</v>
      </c>
      <c r="AS726" s="0" t="s">
        <v>240</v>
      </c>
      <c r="AT726" s="0" t="s">
        <v>240</v>
      </c>
      <c r="AU726" s="0" t="s">
        <v>240</v>
      </c>
      <c r="AV726" s="0" t="s">
        <v>240</v>
      </c>
      <c r="AW726" s="0" t="s">
        <v>240</v>
      </c>
      <c r="AX726" s="0" t="s">
        <v>240</v>
      </c>
      <c r="AY726" s="0" t="s">
        <v>240</v>
      </c>
      <c r="AZ726" s="0" t="s">
        <v>240</v>
      </c>
      <c r="BA726" s="0" t="s">
        <v>240</v>
      </c>
      <c r="BB726" s="0" t="s">
        <v>240</v>
      </c>
      <c r="BC726" s="0" t="s">
        <v>240</v>
      </c>
      <c r="BD726" s="0" t="s">
        <v>240</v>
      </c>
      <c r="BE726" s="0" t="s">
        <v>240</v>
      </c>
      <c r="BF726" s="0" t="s">
        <v>240</v>
      </c>
      <c r="BG726" s="0" t="s">
        <v>240</v>
      </c>
      <c r="BH726" s="0" t="s">
        <v>240</v>
      </c>
      <c r="BI726" s="0" t="s">
        <v>240</v>
      </c>
      <c r="BJ726" s="0" t="s">
        <v>240</v>
      </c>
      <c r="BK726" s="0" t="s">
        <v>240</v>
      </c>
      <c r="BL726" s="0" t="s">
        <v>240</v>
      </c>
      <c r="BM726" s="0" t="s">
        <v>240</v>
      </c>
      <c r="BN726" s="0" t="s">
        <v>240</v>
      </c>
      <c r="BO726" s="0" t="s">
        <v>240</v>
      </c>
      <c r="BP726" s="0" t="s">
        <v>240</v>
      </c>
      <c r="BQ726" s="0" t="s">
        <v>240</v>
      </c>
      <c r="BR726" s="0" t="s">
        <v>240</v>
      </c>
      <c r="BS726" s="0" t="s">
        <v>240</v>
      </c>
      <c r="BT726" s="0" t="s">
        <v>240</v>
      </c>
      <c r="CS726" s="0" t="s">
        <v>240</v>
      </c>
      <c r="CT726" s="0" t="s">
        <v>5496</v>
      </c>
      <c r="CU726" s="0" t="s">
        <v>5497</v>
      </c>
      <c r="CV726" s="0" t="s">
        <v>443</v>
      </c>
      <c r="CW726" s="0" t="s">
        <v>5498</v>
      </c>
      <c r="CX726" s="0" t="s">
        <v>229</v>
      </c>
      <c r="CY726" s="0" t="s">
        <v>443</v>
      </c>
      <c r="CZ726" s="0" t="s">
        <v>230</v>
      </c>
      <c r="DA726" s="0" t="s">
        <v>444</v>
      </c>
      <c r="DB726" s="0" t="s">
        <v>5498</v>
      </c>
      <c r="DC726" s="0" t="s">
        <v>384</v>
      </c>
      <c r="DD726" s="0" t="s">
        <v>300</v>
      </c>
      <c r="DE726" s="0" t="s">
        <v>509</v>
      </c>
    </row>
    <row customHeight="1" ht="11.25">
      <c r="A727" s="1441" t="s">
        <v>240</v>
      </c>
      <c r="B727" s="0" t="s">
        <v>240</v>
      </c>
      <c r="C727" s="0" t="s">
        <v>240</v>
      </c>
      <c r="D727" s="0" t="s">
        <v>240</v>
      </c>
      <c r="E727" s="0" t="s">
        <v>240</v>
      </c>
      <c r="F727" s="0" t="s">
        <v>240</v>
      </c>
      <c r="G727" s="0" t="s">
        <v>240</v>
      </c>
      <c r="H727" s="0" t="s">
        <v>240</v>
      </c>
      <c r="I727" s="0" t="s">
        <v>7004</v>
      </c>
      <c r="J727" s="0" t="s">
        <v>240</v>
      </c>
      <c r="K727" s="0" t="s">
        <v>240</v>
      </c>
      <c r="L727" s="0" t="s">
        <v>240</v>
      </c>
      <c r="M727" s="0" t="s">
        <v>240</v>
      </c>
      <c r="N727" s="0" t="s">
        <v>240</v>
      </c>
      <c r="O727" s="0" t="s">
        <v>240</v>
      </c>
      <c r="P727" s="0" t="s">
        <v>240</v>
      </c>
      <c r="Q727" s="0" t="s">
        <v>240</v>
      </c>
      <c r="R727" s="0" t="s">
        <v>7252</v>
      </c>
      <c r="S727" s="0" t="s">
        <v>240</v>
      </c>
      <c r="T727" s="0" t="s">
        <v>240</v>
      </c>
      <c r="U727" s="0" t="s">
        <v>102</v>
      </c>
      <c r="V727" s="0" t="s">
        <v>240</v>
      </c>
      <c r="W727" s="0" t="s">
        <v>240</v>
      </c>
      <c r="X727" s="0" t="s">
        <v>5905</v>
      </c>
      <c r="Y727" s="0" t="s">
        <v>240</v>
      </c>
      <c r="Z727" s="0" t="s">
        <v>152</v>
      </c>
      <c r="AA727" s="0" t="s">
        <v>161</v>
      </c>
      <c r="AB727" s="0" t="s">
        <v>152</v>
      </c>
      <c r="AC727" s="0" t="s">
        <v>3389</v>
      </c>
      <c r="AD727" s="0" t="s">
        <v>3389</v>
      </c>
      <c r="AE727" s="0" t="s">
        <v>3390</v>
      </c>
      <c r="AF727" s="0" t="s">
        <v>5519</v>
      </c>
      <c r="AG727" s="0" t="s">
        <v>5520</v>
      </c>
      <c r="AH727" s="0" t="s">
        <v>7253</v>
      </c>
      <c r="AI727" s="0" t="s">
        <v>5533</v>
      </c>
      <c r="AJ727" s="0" t="s">
        <v>240</v>
      </c>
      <c r="AK727" s="0" t="s">
        <v>240</v>
      </c>
      <c r="AL727" s="0" t="s">
        <v>240</v>
      </c>
      <c r="AN727" s="0" t="s">
        <v>240</v>
      </c>
      <c r="AO727" s="0" t="s">
        <v>240</v>
      </c>
      <c r="AP727" s="0" t="s">
        <v>7314</v>
      </c>
      <c r="AQ727" s="0" t="s">
        <v>7255</v>
      </c>
      <c r="AR727" s="0" t="s">
        <v>112</v>
      </c>
      <c r="AS727" s="0" t="s">
        <v>5589</v>
      </c>
      <c r="AT727" s="0" t="s">
        <v>123</v>
      </c>
      <c r="AU727" s="0" t="s">
        <v>240</v>
      </c>
      <c r="AV727" s="0" t="s">
        <v>7252</v>
      </c>
      <c r="AW727" s="0" t="s">
        <v>3389</v>
      </c>
      <c r="AX727" s="0" t="s">
        <v>3389</v>
      </c>
      <c r="AY727" s="0" t="s">
        <v>5591</v>
      </c>
      <c r="AZ727" s="0" t="s">
        <v>5519</v>
      </c>
      <c r="BA727" s="0" t="s">
        <v>5592</v>
      </c>
      <c r="BB727" s="0" t="s">
        <v>7253</v>
      </c>
      <c r="BC727" s="0" t="s">
        <v>5533</v>
      </c>
      <c r="BD727" s="0" t="s">
        <v>7315</v>
      </c>
      <c r="BE727" s="0" t="s">
        <v>240</v>
      </c>
      <c r="BF727" s="0" t="s">
        <v>240</v>
      </c>
      <c r="BG727" s="0" t="s">
        <v>240</v>
      </c>
      <c r="BH727" s="0" t="s">
        <v>240</v>
      </c>
      <c r="BI727" s="0" t="s">
        <v>240</v>
      </c>
      <c r="BJ727" s="0" t="s">
        <v>240</v>
      </c>
      <c r="BK727" s="0" t="s">
        <v>240</v>
      </c>
      <c r="BL727" s="0" t="s">
        <v>240</v>
      </c>
      <c r="BM727" s="0" t="s">
        <v>240</v>
      </c>
      <c r="BN727" s="0" t="s">
        <v>240</v>
      </c>
      <c r="BO727" s="0" t="s">
        <v>240</v>
      </c>
      <c r="BP727" s="0" t="s">
        <v>240</v>
      </c>
      <c r="BQ727" s="0" t="s">
        <v>240</v>
      </c>
      <c r="BR727" s="0" t="s">
        <v>240</v>
      </c>
      <c r="BS727" s="0" t="s">
        <v>240</v>
      </c>
      <c r="BT727" s="0" t="s">
        <v>240</v>
      </c>
      <c r="CS727" s="0" t="s">
        <v>240</v>
      </c>
      <c r="CT727" s="0" t="s">
        <v>5496</v>
      </c>
      <c r="CU727" s="0" t="s">
        <v>7012</v>
      </c>
      <c r="CV727" s="0" t="s">
        <v>5947</v>
      </c>
      <c r="CW727" s="0" t="s">
        <v>5600</v>
      </c>
      <c r="CX727" s="0" t="s">
        <v>5528</v>
      </c>
      <c r="CY727" s="0" t="s">
        <v>5947</v>
      </c>
      <c r="CZ727" s="0" t="s">
        <v>7014</v>
      </c>
      <c r="DA727" s="0" t="s">
        <v>7015</v>
      </c>
      <c r="DB727" s="0" t="s">
        <v>5600</v>
      </c>
      <c r="DC727" s="0" t="s">
        <v>384</v>
      </c>
      <c r="DD727" s="0" t="s">
        <v>300</v>
      </c>
      <c r="DE727" s="0" t="s">
        <v>7258</v>
      </c>
    </row>
    <row customHeight="1" ht="11.25">
      <c r="A728" s="1441" t="s">
        <v>240</v>
      </c>
      <c r="B728" s="0" t="s">
        <v>240</v>
      </c>
      <c r="C728" s="0" t="s">
        <v>240</v>
      </c>
      <c r="D728" s="0" t="s">
        <v>240</v>
      </c>
      <c r="E728" s="0" t="s">
        <v>240</v>
      </c>
      <c r="F728" s="0" t="s">
        <v>240</v>
      </c>
      <c r="G728" s="0" t="s">
        <v>240</v>
      </c>
      <c r="H728" s="0" t="s">
        <v>240</v>
      </c>
      <c r="I728" s="0" t="s">
        <v>7004</v>
      </c>
      <c r="J728" s="0" t="s">
        <v>240</v>
      </c>
      <c r="K728" s="0" t="s">
        <v>240</v>
      </c>
      <c r="L728" s="0" t="s">
        <v>240</v>
      </c>
      <c r="M728" s="0" t="s">
        <v>240</v>
      </c>
      <c r="N728" s="0" t="s">
        <v>240</v>
      </c>
      <c r="O728" s="0" t="s">
        <v>240</v>
      </c>
      <c r="P728" s="0" t="s">
        <v>240</v>
      </c>
      <c r="Q728" s="0" t="s">
        <v>240</v>
      </c>
      <c r="R728" s="0" t="s">
        <v>524</v>
      </c>
      <c r="S728" s="0" t="s">
        <v>240</v>
      </c>
      <c r="T728" s="0" t="s">
        <v>240</v>
      </c>
      <c r="U728" s="0" t="s">
        <v>102</v>
      </c>
      <c r="V728" s="0" t="s">
        <v>240</v>
      </c>
      <c r="W728" s="0" t="s">
        <v>240</v>
      </c>
      <c r="X728" s="0" t="s">
        <v>546</v>
      </c>
      <c r="Y728" s="0" t="s">
        <v>240</v>
      </c>
      <c r="Z728" s="0" t="s">
        <v>161</v>
      </c>
      <c r="AA728" s="0" t="s">
        <v>152</v>
      </c>
      <c r="AB728" s="0" t="s">
        <v>152</v>
      </c>
      <c r="AC728" s="0" t="s">
        <v>364</v>
      </c>
      <c r="AD728" s="0" t="s">
        <v>364</v>
      </c>
      <c r="AE728" s="0" t="s">
        <v>365</v>
      </c>
      <c r="AF728" s="0" t="s">
        <v>5486</v>
      </c>
      <c r="AG728" s="0" t="s">
        <v>5487</v>
      </c>
      <c r="AH728" s="0" t="s">
        <v>7316</v>
      </c>
      <c r="AI728" s="0" t="s">
        <v>7317</v>
      </c>
      <c r="AJ728" s="0" t="s">
        <v>7054</v>
      </c>
      <c r="AK728" s="0" t="s">
        <v>7318</v>
      </c>
      <c r="AL728" s="0" t="s">
        <v>7027</v>
      </c>
      <c r="AN728" s="0" t="s">
        <v>7319</v>
      </c>
      <c r="AO728" s="0" t="s">
        <v>5746</v>
      </c>
      <c r="AP728" s="0" t="s">
        <v>240</v>
      </c>
      <c r="AQ728" s="0" t="s">
        <v>240</v>
      </c>
      <c r="AR728" s="0" t="s">
        <v>240</v>
      </c>
      <c r="AS728" s="0" t="s">
        <v>240</v>
      </c>
      <c r="AT728" s="0" t="s">
        <v>240</v>
      </c>
      <c r="AU728" s="0" t="s">
        <v>240</v>
      </c>
      <c r="AV728" s="0" t="s">
        <v>240</v>
      </c>
      <c r="AW728" s="0" t="s">
        <v>240</v>
      </c>
      <c r="AX728" s="0" t="s">
        <v>240</v>
      </c>
      <c r="AY728" s="0" t="s">
        <v>240</v>
      </c>
      <c r="AZ728" s="0" t="s">
        <v>240</v>
      </c>
      <c r="BA728" s="0" t="s">
        <v>240</v>
      </c>
      <c r="BB728" s="0" t="s">
        <v>240</v>
      </c>
      <c r="BC728" s="0" t="s">
        <v>240</v>
      </c>
      <c r="BD728" s="0" t="s">
        <v>240</v>
      </c>
      <c r="BE728" s="0" t="s">
        <v>240</v>
      </c>
      <c r="BF728" s="0" t="s">
        <v>240</v>
      </c>
      <c r="BG728" s="0" t="s">
        <v>240</v>
      </c>
      <c r="BH728" s="0" t="s">
        <v>240</v>
      </c>
      <c r="BI728" s="0" t="s">
        <v>240</v>
      </c>
      <c r="BJ728" s="0" t="s">
        <v>240</v>
      </c>
      <c r="BK728" s="0" t="s">
        <v>240</v>
      </c>
      <c r="BL728" s="0" t="s">
        <v>240</v>
      </c>
      <c r="BM728" s="0" t="s">
        <v>240</v>
      </c>
      <c r="BN728" s="0" t="s">
        <v>240</v>
      </c>
      <c r="BO728" s="0" t="s">
        <v>240</v>
      </c>
      <c r="BP728" s="0" t="s">
        <v>240</v>
      </c>
      <c r="BQ728" s="0" t="s">
        <v>240</v>
      </c>
      <c r="BR728" s="0" t="s">
        <v>240</v>
      </c>
      <c r="BS728" s="0" t="s">
        <v>240</v>
      </c>
      <c r="BT728" s="0" t="s">
        <v>240</v>
      </c>
      <c r="CS728" s="0" t="s">
        <v>240</v>
      </c>
      <c r="CT728" s="0" t="s">
        <v>5496</v>
      </c>
      <c r="CU728" s="0" t="s">
        <v>5497</v>
      </c>
      <c r="CV728" s="0" t="s">
        <v>443</v>
      </c>
      <c r="CW728" s="0" t="s">
        <v>5498</v>
      </c>
      <c r="CX728" s="0" t="s">
        <v>229</v>
      </c>
      <c r="CY728" s="0" t="s">
        <v>443</v>
      </c>
      <c r="CZ728" s="0" t="s">
        <v>230</v>
      </c>
      <c r="DA728" s="0" t="s">
        <v>444</v>
      </c>
      <c r="DB728" s="0" t="s">
        <v>5498</v>
      </c>
      <c r="DC728" s="0" t="s">
        <v>384</v>
      </c>
      <c r="DD728" s="0" t="s">
        <v>300</v>
      </c>
      <c r="DE728" s="0" t="s">
        <v>525</v>
      </c>
    </row>
    <row customHeight="1" ht="11.25">
      <c r="A729" s="1441" t="s">
        <v>240</v>
      </c>
      <c r="B729" s="0" t="s">
        <v>240</v>
      </c>
      <c r="C729" s="0" t="s">
        <v>240</v>
      </c>
      <c r="D729" s="0" t="s">
        <v>240</v>
      </c>
      <c r="E729" s="0" t="s">
        <v>240</v>
      </c>
      <c r="F729" s="0" t="s">
        <v>240</v>
      </c>
      <c r="G729" s="0" t="s">
        <v>240</v>
      </c>
      <c r="H729" s="0" t="s">
        <v>240</v>
      </c>
      <c r="I729" s="0" t="s">
        <v>7004</v>
      </c>
      <c r="J729" s="0" t="s">
        <v>240</v>
      </c>
      <c r="K729" s="0" t="s">
        <v>240</v>
      </c>
      <c r="L729" s="0" t="s">
        <v>240</v>
      </c>
      <c r="M729" s="0" t="s">
        <v>240</v>
      </c>
      <c r="N729" s="0" t="s">
        <v>240</v>
      </c>
      <c r="O729" s="0" t="s">
        <v>240</v>
      </c>
      <c r="P729" s="0" t="s">
        <v>240</v>
      </c>
      <c r="Q729" s="0" t="s">
        <v>240</v>
      </c>
      <c r="R729" s="0" t="s">
        <v>7320</v>
      </c>
      <c r="S729" s="0" t="s">
        <v>240</v>
      </c>
      <c r="T729" s="0" t="s">
        <v>240</v>
      </c>
      <c r="U729" s="0" t="s">
        <v>102</v>
      </c>
      <c r="V729" s="0" t="s">
        <v>240</v>
      </c>
      <c r="W729" s="0" t="s">
        <v>240</v>
      </c>
      <c r="X729" s="0" t="s">
        <v>546</v>
      </c>
      <c r="Y729" s="0" t="s">
        <v>240</v>
      </c>
      <c r="Z729" s="0" t="s">
        <v>161</v>
      </c>
      <c r="AA729" s="0" t="s">
        <v>152</v>
      </c>
      <c r="AB729" s="0" t="s">
        <v>152</v>
      </c>
      <c r="AC729" s="0" t="s">
        <v>3389</v>
      </c>
      <c r="AD729" s="0" t="s">
        <v>3389</v>
      </c>
      <c r="AE729" s="0" t="s">
        <v>3390</v>
      </c>
      <c r="AF729" s="0" t="s">
        <v>5519</v>
      </c>
      <c r="AG729" s="0" t="s">
        <v>5520</v>
      </c>
      <c r="AH729" s="0" t="s">
        <v>7321</v>
      </c>
      <c r="AI729" s="0" t="s">
        <v>5533</v>
      </c>
      <c r="AJ729" s="0" t="s">
        <v>7322</v>
      </c>
      <c r="AK729" s="0" t="s">
        <v>7323</v>
      </c>
      <c r="AL729" s="0" t="s">
        <v>7009</v>
      </c>
      <c r="AN729" s="0" t="s">
        <v>7324</v>
      </c>
      <c r="AO729" s="0" t="s">
        <v>7325</v>
      </c>
      <c r="AP729" s="0" t="s">
        <v>240</v>
      </c>
      <c r="AQ729" s="0" t="s">
        <v>240</v>
      </c>
      <c r="AR729" s="0" t="s">
        <v>240</v>
      </c>
      <c r="AS729" s="0" t="s">
        <v>240</v>
      </c>
      <c r="AT729" s="0" t="s">
        <v>240</v>
      </c>
      <c r="AU729" s="0" t="s">
        <v>240</v>
      </c>
      <c r="AV729" s="0" t="s">
        <v>240</v>
      </c>
      <c r="AW729" s="0" t="s">
        <v>240</v>
      </c>
      <c r="AX729" s="0" t="s">
        <v>240</v>
      </c>
      <c r="AY729" s="0" t="s">
        <v>240</v>
      </c>
      <c r="AZ729" s="0" t="s">
        <v>240</v>
      </c>
      <c r="BA729" s="0" t="s">
        <v>240</v>
      </c>
      <c r="BB729" s="0" t="s">
        <v>240</v>
      </c>
      <c r="BC729" s="0" t="s">
        <v>240</v>
      </c>
      <c r="BD729" s="0" t="s">
        <v>240</v>
      </c>
      <c r="BE729" s="0" t="s">
        <v>240</v>
      </c>
      <c r="BF729" s="0" t="s">
        <v>240</v>
      </c>
      <c r="BG729" s="0" t="s">
        <v>240</v>
      </c>
      <c r="BH729" s="0" t="s">
        <v>240</v>
      </c>
      <c r="BI729" s="0" t="s">
        <v>240</v>
      </c>
      <c r="BJ729" s="0" t="s">
        <v>240</v>
      </c>
      <c r="BK729" s="0" t="s">
        <v>240</v>
      </c>
      <c r="BL729" s="0" t="s">
        <v>240</v>
      </c>
      <c r="BM729" s="0" t="s">
        <v>240</v>
      </c>
      <c r="BN729" s="0" t="s">
        <v>240</v>
      </c>
      <c r="BO729" s="0" t="s">
        <v>240</v>
      </c>
      <c r="BP729" s="0" t="s">
        <v>240</v>
      </c>
      <c r="BQ729" s="0" t="s">
        <v>240</v>
      </c>
      <c r="BR729" s="0" t="s">
        <v>240</v>
      </c>
      <c r="BS729" s="0" t="s">
        <v>240</v>
      </c>
      <c r="BT729" s="0" t="s">
        <v>240</v>
      </c>
      <c r="CS729" s="0" t="s">
        <v>240</v>
      </c>
      <c r="CT729" s="0" t="s">
        <v>5496</v>
      </c>
      <c r="CU729" s="0" t="s">
        <v>5497</v>
      </c>
      <c r="CV729" s="0" t="s">
        <v>443</v>
      </c>
      <c r="CW729" s="0" t="s">
        <v>5527</v>
      </c>
      <c r="CX729" s="0" t="s">
        <v>5528</v>
      </c>
      <c r="CY729" s="0" t="s">
        <v>443</v>
      </c>
      <c r="CZ729" s="0" t="s">
        <v>299</v>
      </c>
      <c r="DA729" s="0" t="s">
        <v>5529</v>
      </c>
      <c r="DB729" s="0" t="s">
        <v>5527</v>
      </c>
      <c r="DC729" s="0" t="s">
        <v>384</v>
      </c>
      <c r="DD729" s="0" t="s">
        <v>300</v>
      </c>
      <c r="DE729" s="0" t="s">
        <v>7326</v>
      </c>
    </row>
    <row customHeight="1" ht="11.25">
      <c r="A730" s="1441" t="s">
        <v>240</v>
      </c>
      <c r="B730" s="0" t="s">
        <v>240</v>
      </c>
      <c r="C730" s="0" t="s">
        <v>240</v>
      </c>
      <c r="D730" s="0" t="s">
        <v>240</v>
      </c>
      <c r="E730" s="0" t="s">
        <v>240</v>
      </c>
      <c r="F730" s="0" t="s">
        <v>240</v>
      </c>
      <c r="G730" s="0" t="s">
        <v>240</v>
      </c>
      <c r="H730" s="0" t="s">
        <v>240</v>
      </c>
      <c r="I730" s="0" t="s">
        <v>7004</v>
      </c>
      <c r="J730" s="0" t="s">
        <v>240</v>
      </c>
      <c r="K730" s="0" t="s">
        <v>240</v>
      </c>
      <c r="L730" s="0" t="s">
        <v>240</v>
      </c>
      <c r="M730" s="0" t="s">
        <v>240</v>
      </c>
      <c r="N730" s="0" t="s">
        <v>240</v>
      </c>
      <c r="O730" s="0" t="s">
        <v>240</v>
      </c>
      <c r="P730" s="0" t="s">
        <v>240</v>
      </c>
      <c r="Q730" s="0" t="s">
        <v>240</v>
      </c>
      <c r="R730" s="0" t="s">
        <v>504</v>
      </c>
      <c r="S730" s="0" t="s">
        <v>240</v>
      </c>
      <c r="T730" s="0" t="s">
        <v>240</v>
      </c>
      <c r="U730" s="0" t="s">
        <v>102</v>
      </c>
      <c r="V730" s="0" t="s">
        <v>240</v>
      </c>
      <c r="W730" s="0" t="s">
        <v>240</v>
      </c>
      <c r="X730" s="0" t="s">
        <v>546</v>
      </c>
      <c r="Y730" s="0" t="s">
        <v>240</v>
      </c>
      <c r="Z730" s="0" t="s">
        <v>161</v>
      </c>
      <c r="AA730" s="0" t="s">
        <v>152</v>
      </c>
      <c r="AB730" s="0" t="s">
        <v>152</v>
      </c>
      <c r="AC730" s="0" t="s">
        <v>364</v>
      </c>
      <c r="AD730" s="0" t="s">
        <v>364</v>
      </c>
      <c r="AE730" s="0" t="s">
        <v>365</v>
      </c>
      <c r="AF730" s="0" t="s">
        <v>5486</v>
      </c>
      <c r="AG730" s="0" t="s">
        <v>5487</v>
      </c>
      <c r="AH730" s="0" t="s">
        <v>7327</v>
      </c>
      <c r="AI730" s="0" t="s">
        <v>7328</v>
      </c>
      <c r="AJ730" s="0" t="s">
        <v>6200</v>
      </c>
      <c r="AK730" s="0" t="s">
        <v>5504</v>
      </c>
      <c r="AL730" s="0" t="s">
        <v>7009</v>
      </c>
      <c r="AN730" s="0" t="s">
        <v>5756</v>
      </c>
      <c r="AO730" s="0" t="s">
        <v>7126</v>
      </c>
      <c r="AP730" s="0" t="s">
        <v>240</v>
      </c>
      <c r="AQ730" s="0" t="s">
        <v>240</v>
      </c>
      <c r="AR730" s="0" t="s">
        <v>240</v>
      </c>
      <c r="AS730" s="0" t="s">
        <v>240</v>
      </c>
      <c r="AT730" s="0" t="s">
        <v>240</v>
      </c>
      <c r="AU730" s="0" t="s">
        <v>240</v>
      </c>
      <c r="AV730" s="0" t="s">
        <v>240</v>
      </c>
      <c r="AW730" s="0" t="s">
        <v>240</v>
      </c>
      <c r="AX730" s="0" t="s">
        <v>240</v>
      </c>
      <c r="AY730" s="0" t="s">
        <v>240</v>
      </c>
      <c r="AZ730" s="0" t="s">
        <v>240</v>
      </c>
      <c r="BA730" s="0" t="s">
        <v>240</v>
      </c>
      <c r="BB730" s="0" t="s">
        <v>240</v>
      </c>
      <c r="BC730" s="0" t="s">
        <v>240</v>
      </c>
      <c r="BD730" s="0" t="s">
        <v>240</v>
      </c>
      <c r="BE730" s="0" t="s">
        <v>240</v>
      </c>
      <c r="BF730" s="0" t="s">
        <v>240</v>
      </c>
      <c r="BG730" s="0" t="s">
        <v>240</v>
      </c>
      <c r="BH730" s="0" t="s">
        <v>240</v>
      </c>
      <c r="BI730" s="0" t="s">
        <v>240</v>
      </c>
      <c r="BJ730" s="0" t="s">
        <v>240</v>
      </c>
      <c r="BK730" s="0" t="s">
        <v>240</v>
      </c>
      <c r="BL730" s="0" t="s">
        <v>240</v>
      </c>
      <c r="BM730" s="0" t="s">
        <v>240</v>
      </c>
      <c r="BN730" s="0" t="s">
        <v>240</v>
      </c>
      <c r="BO730" s="0" t="s">
        <v>240</v>
      </c>
      <c r="BP730" s="0" t="s">
        <v>240</v>
      </c>
      <c r="BQ730" s="0" t="s">
        <v>240</v>
      </c>
      <c r="BR730" s="0" t="s">
        <v>240</v>
      </c>
      <c r="BS730" s="0" t="s">
        <v>240</v>
      </c>
      <c r="BT730" s="0" t="s">
        <v>240</v>
      </c>
      <c r="CS730" s="0" t="s">
        <v>240</v>
      </c>
      <c r="CT730" s="0" t="s">
        <v>5496</v>
      </c>
      <c r="CU730" s="0" t="s">
        <v>5497</v>
      </c>
      <c r="CV730" s="0" t="s">
        <v>443</v>
      </c>
      <c r="CW730" s="0" t="s">
        <v>5498</v>
      </c>
      <c r="CX730" s="0" t="s">
        <v>229</v>
      </c>
      <c r="CY730" s="0" t="s">
        <v>443</v>
      </c>
      <c r="CZ730" s="0" t="s">
        <v>230</v>
      </c>
      <c r="DA730" s="0" t="s">
        <v>444</v>
      </c>
      <c r="DB730" s="0" t="s">
        <v>5498</v>
      </c>
      <c r="DC730" s="0" t="s">
        <v>384</v>
      </c>
      <c r="DD730" s="0" t="s">
        <v>300</v>
      </c>
      <c r="DE730" s="0" t="s">
        <v>505</v>
      </c>
    </row>
    <row customHeight="1" ht="11.25">
      <c r="A731" s="1441" t="s">
        <v>240</v>
      </c>
      <c r="B731" s="0" t="s">
        <v>240</v>
      </c>
      <c r="C731" s="0" t="s">
        <v>240</v>
      </c>
      <c r="D731" s="0" t="s">
        <v>240</v>
      </c>
      <c r="E731" s="0" t="s">
        <v>240</v>
      </c>
      <c r="F731" s="0" t="s">
        <v>240</v>
      </c>
      <c r="G731" s="0" t="s">
        <v>240</v>
      </c>
      <c r="H731" s="0" t="s">
        <v>240</v>
      </c>
      <c r="I731" s="0" t="s">
        <v>7004</v>
      </c>
      <c r="J731" s="0" t="s">
        <v>240</v>
      </c>
      <c r="K731" s="0" t="s">
        <v>240</v>
      </c>
      <c r="L731" s="0" t="s">
        <v>240</v>
      </c>
      <c r="M731" s="0" t="s">
        <v>240</v>
      </c>
      <c r="N731" s="0" t="s">
        <v>240</v>
      </c>
      <c r="O731" s="0" t="s">
        <v>240</v>
      </c>
      <c r="P731" s="0" t="s">
        <v>240</v>
      </c>
      <c r="Q731" s="0" t="s">
        <v>240</v>
      </c>
      <c r="R731" s="0" t="s">
        <v>532</v>
      </c>
      <c r="S731" s="0" t="s">
        <v>240</v>
      </c>
      <c r="T731" s="0" t="s">
        <v>240</v>
      </c>
      <c r="U731" s="0" t="s">
        <v>102</v>
      </c>
      <c r="V731" s="0" t="s">
        <v>240</v>
      </c>
      <c r="W731" s="0" t="s">
        <v>240</v>
      </c>
      <c r="X731" s="0" t="s">
        <v>546</v>
      </c>
      <c r="Y731" s="0" t="s">
        <v>240</v>
      </c>
      <c r="Z731" s="0" t="s">
        <v>161</v>
      </c>
      <c r="AA731" s="0" t="s">
        <v>152</v>
      </c>
      <c r="AB731" s="0" t="s">
        <v>152</v>
      </c>
      <c r="AC731" s="0" t="s">
        <v>364</v>
      </c>
      <c r="AD731" s="0" t="s">
        <v>364</v>
      </c>
      <c r="AE731" s="0" t="s">
        <v>365</v>
      </c>
      <c r="AF731" s="0" t="s">
        <v>5486</v>
      </c>
      <c r="AG731" s="0" t="s">
        <v>5487</v>
      </c>
      <c r="AH731" s="0" t="s">
        <v>7329</v>
      </c>
      <c r="AI731" s="0" t="s">
        <v>7330</v>
      </c>
      <c r="AJ731" s="0" t="s">
        <v>7054</v>
      </c>
      <c r="AK731" s="0" t="s">
        <v>7055</v>
      </c>
      <c r="AL731" s="0" t="s">
        <v>7009</v>
      </c>
      <c r="AN731" s="0" t="s">
        <v>7319</v>
      </c>
      <c r="AO731" s="0" t="s">
        <v>7029</v>
      </c>
      <c r="AP731" s="0" t="s">
        <v>240</v>
      </c>
      <c r="AQ731" s="0" t="s">
        <v>240</v>
      </c>
      <c r="AR731" s="0" t="s">
        <v>240</v>
      </c>
      <c r="AS731" s="0" t="s">
        <v>240</v>
      </c>
      <c r="AT731" s="0" t="s">
        <v>240</v>
      </c>
      <c r="AU731" s="0" t="s">
        <v>240</v>
      </c>
      <c r="AV731" s="0" t="s">
        <v>240</v>
      </c>
      <c r="AW731" s="0" t="s">
        <v>240</v>
      </c>
      <c r="AX731" s="0" t="s">
        <v>240</v>
      </c>
      <c r="AY731" s="0" t="s">
        <v>240</v>
      </c>
      <c r="AZ731" s="0" t="s">
        <v>240</v>
      </c>
      <c r="BA731" s="0" t="s">
        <v>240</v>
      </c>
      <c r="BB731" s="0" t="s">
        <v>240</v>
      </c>
      <c r="BC731" s="0" t="s">
        <v>240</v>
      </c>
      <c r="BD731" s="0" t="s">
        <v>240</v>
      </c>
      <c r="BE731" s="0" t="s">
        <v>240</v>
      </c>
      <c r="BF731" s="0" t="s">
        <v>240</v>
      </c>
      <c r="BG731" s="0" t="s">
        <v>240</v>
      </c>
      <c r="BH731" s="0" t="s">
        <v>240</v>
      </c>
      <c r="BI731" s="0" t="s">
        <v>240</v>
      </c>
      <c r="BJ731" s="0" t="s">
        <v>240</v>
      </c>
      <c r="BK731" s="0" t="s">
        <v>240</v>
      </c>
      <c r="BL731" s="0" t="s">
        <v>240</v>
      </c>
      <c r="BM731" s="0" t="s">
        <v>240</v>
      </c>
      <c r="BN731" s="0" t="s">
        <v>240</v>
      </c>
      <c r="BO731" s="0" t="s">
        <v>240</v>
      </c>
      <c r="BP731" s="0" t="s">
        <v>240</v>
      </c>
      <c r="BQ731" s="0" t="s">
        <v>240</v>
      </c>
      <c r="BR731" s="0" t="s">
        <v>240</v>
      </c>
      <c r="BS731" s="0" t="s">
        <v>240</v>
      </c>
      <c r="BT731" s="0" t="s">
        <v>240</v>
      </c>
      <c r="CS731" s="0" t="s">
        <v>240</v>
      </c>
      <c r="CT731" s="0" t="s">
        <v>5496</v>
      </c>
      <c r="CU731" s="0" t="s">
        <v>5497</v>
      </c>
      <c r="CV731" s="0" t="s">
        <v>443</v>
      </c>
      <c r="CW731" s="0" t="s">
        <v>5498</v>
      </c>
      <c r="CX731" s="0" t="s">
        <v>229</v>
      </c>
      <c r="CY731" s="0" t="s">
        <v>443</v>
      </c>
      <c r="CZ731" s="0" t="s">
        <v>230</v>
      </c>
      <c r="DA731" s="0" t="s">
        <v>444</v>
      </c>
      <c r="DB731" s="0" t="s">
        <v>5498</v>
      </c>
      <c r="DC731" s="0" t="s">
        <v>384</v>
      </c>
      <c r="DD731" s="0" t="s">
        <v>300</v>
      </c>
      <c r="DE731" s="0" t="s">
        <v>533</v>
      </c>
    </row>
    <row customHeight="1" ht="11.25">
      <c r="A732" s="1441" t="s">
        <v>240</v>
      </c>
      <c r="B732" s="0" t="s">
        <v>240</v>
      </c>
      <c r="C732" s="0" t="s">
        <v>240</v>
      </c>
      <c r="D732" s="0" t="s">
        <v>240</v>
      </c>
      <c r="E732" s="0" t="s">
        <v>240</v>
      </c>
      <c r="F732" s="0" t="s">
        <v>240</v>
      </c>
      <c r="G732" s="0" t="s">
        <v>240</v>
      </c>
      <c r="H732" s="0" t="s">
        <v>240</v>
      </c>
      <c r="I732" s="0" t="s">
        <v>7004</v>
      </c>
      <c r="J732" s="0" t="s">
        <v>240</v>
      </c>
      <c r="K732" s="0" t="s">
        <v>240</v>
      </c>
      <c r="L732" s="0" t="s">
        <v>240</v>
      </c>
      <c r="M732" s="0" t="s">
        <v>240</v>
      </c>
      <c r="N732" s="0" t="s">
        <v>240</v>
      </c>
      <c r="O732" s="0" t="s">
        <v>240</v>
      </c>
      <c r="P732" s="0" t="s">
        <v>240</v>
      </c>
      <c r="Q732" s="0" t="s">
        <v>240</v>
      </c>
      <c r="R732" s="0" t="s">
        <v>7331</v>
      </c>
      <c r="S732" s="0" t="s">
        <v>240</v>
      </c>
      <c r="T732" s="0" t="s">
        <v>240</v>
      </c>
      <c r="U732" s="0" t="s">
        <v>102</v>
      </c>
      <c r="V732" s="0" t="s">
        <v>240</v>
      </c>
      <c r="W732" s="0" t="s">
        <v>240</v>
      </c>
      <c r="X732" s="0" t="s">
        <v>546</v>
      </c>
      <c r="Y732" s="0" t="s">
        <v>240</v>
      </c>
      <c r="Z732" s="0" t="s">
        <v>161</v>
      </c>
      <c r="AA732" s="0" t="s">
        <v>152</v>
      </c>
      <c r="AB732" s="0" t="s">
        <v>152</v>
      </c>
      <c r="AC732" s="0" t="s">
        <v>3389</v>
      </c>
      <c r="AD732" s="0" t="s">
        <v>3389</v>
      </c>
      <c r="AE732" s="0" t="s">
        <v>3390</v>
      </c>
      <c r="AF732" s="0" t="s">
        <v>5519</v>
      </c>
      <c r="AG732" s="0" t="s">
        <v>5520</v>
      </c>
      <c r="AH732" s="0" t="s">
        <v>7332</v>
      </c>
      <c r="AI732" s="0" t="s">
        <v>7333</v>
      </c>
      <c r="AJ732" s="0" t="s">
        <v>5781</v>
      </c>
      <c r="AK732" s="0" t="s">
        <v>7334</v>
      </c>
      <c r="AL732" s="0" t="s">
        <v>7009</v>
      </c>
      <c r="AN732" s="0" t="s">
        <v>7335</v>
      </c>
      <c r="AO732" s="0" t="s">
        <v>7295</v>
      </c>
      <c r="AP732" s="0" t="s">
        <v>240</v>
      </c>
      <c r="AQ732" s="0" t="s">
        <v>240</v>
      </c>
      <c r="AR732" s="0" t="s">
        <v>240</v>
      </c>
      <c r="AS732" s="0" t="s">
        <v>240</v>
      </c>
      <c r="AT732" s="0" t="s">
        <v>240</v>
      </c>
      <c r="AU732" s="0" t="s">
        <v>240</v>
      </c>
      <c r="AV732" s="0" t="s">
        <v>240</v>
      </c>
      <c r="AW732" s="0" t="s">
        <v>240</v>
      </c>
      <c r="AX732" s="0" t="s">
        <v>240</v>
      </c>
      <c r="AY732" s="0" t="s">
        <v>240</v>
      </c>
      <c r="AZ732" s="0" t="s">
        <v>240</v>
      </c>
      <c r="BA732" s="0" t="s">
        <v>240</v>
      </c>
      <c r="BB732" s="0" t="s">
        <v>240</v>
      </c>
      <c r="BC732" s="0" t="s">
        <v>240</v>
      </c>
      <c r="BD732" s="0" t="s">
        <v>240</v>
      </c>
      <c r="BE732" s="0" t="s">
        <v>240</v>
      </c>
      <c r="BF732" s="0" t="s">
        <v>240</v>
      </c>
      <c r="BG732" s="0" t="s">
        <v>240</v>
      </c>
      <c r="BH732" s="0" t="s">
        <v>240</v>
      </c>
      <c r="BI732" s="0" t="s">
        <v>240</v>
      </c>
      <c r="BJ732" s="0" t="s">
        <v>240</v>
      </c>
      <c r="BK732" s="0" t="s">
        <v>240</v>
      </c>
      <c r="BL732" s="0" t="s">
        <v>240</v>
      </c>
      <c r="BM732" s="0" t="s">
        <v>240</v>
      </c>
      <c r="BN732" s="0" t="s">
        <v>240</v>
      </c>
      <c r="BO732" s="0" t="s">
        <v>240</v>
      </c>
      <c r="BP732" s="0" t="s">
        <v>240</v>
      </c>
      <c r="BQ732" s="0" t="s">
        <v>240</v>
      </c>
      <c r="BR732" s="0" t="s">
        <v>240</v>
      </c>
      <c r="BS732" s="0" t="s">
        <v>240</v>
      </c>
      <c r="BT732" s="0" t="s">
        <v>240</v>
      </c>
      <c r="CS732" s="0" t="s">
        <v>240</v>
      </c>
      <c r="CT732" s="0" t="s">
        <v>5496</v>
      </c>
      <c r="CU732" s="0" t="s">
        <v>5497</v>
      </c>
      <c r="CV732" s="0" t="s">
        <v>443</v>
      </c>
      <c r="CW732" s="0" t="s">
        <v>5527</v>
      </c>
      <c r="CX732" s="0" t="s">
        <v>5528</v>
      </c>
      <c r="CY732" s="0" t="s">
        <v>443</v>
      </c>
      <c r="CZ732" s="0" t="s">
        <v>299</v>
      </c>
      <c r="DA732" s="0" t="s">
        <v>5529</v>
      </c>
      <c r="DB732" s="0" t="s">
        <v>5527</v>
      </c>
      <c r="DC732" s="0" t="s">
        <v>384</v>
      </c>
      <c r="DD732" s="0" t="s">
        <v>300</v>
      </c>
      <c r="DE732" s="0" t="s">
        <v>7336</v>
      </c>
    </row>
    <row customHeight="1" ht="11.25">
      <c r="A733" s="1441" t="s">
        <v>240</v>
      </c>
      <c r="B733" s="0" t="s">
        <v>240</v>
      </c>
      <c r="C733" s="0" t="s">
        <v>240</v>
      </c>
      <c r="D733" s="0" t="s">
        <v>240</v>
      </c>
      <c r="E733" s="0" t="s">
        <v>240</v>
      </c>
      <c r="F733" s="0" t="s">
        <v>240</v>
      </c>
      <c r="G733" s="0" t="s">
        <v>240</v>
      </c>
      <c r="H733" s="0" t="s">
        <v>240</v>
      </c>
      <c r="I733" s="0" t="s">
        <v>7004</v>
      </c>
      <c r="J733" s="0" t="s">
        <v>240</v>
      </c>
      <c r="K733" s="0" t="s">
        <v>240</v>
      </c>
      <c r="L733" s="0" t="s">
        <v>240</v>
      </c>
      <c r="M733" s="0" t="s">
        <v>240</v>
      </c>
      <c r="N733" s="0" t="s">
        <v>240</v>
      </c>
      <c r="O733" s="0" t="s">
        <v>240</v>
      </c>
      <c r="P733" s="0" t="s">
        <v>240</v>
      </c>
      <c r="Q733" s="0" t="s">
        <v>240</v>
      </c>
      <c r="R733" s="0" t="s">
        <v>7337</v>
      </c>
      <c r="S733" s="0" t="s">
        <v>240</v>
      </c>
      <c r="T733" s="0" t="s">
        <v>240</v>
      </c>
      <c r="U733" s="0" t="s">
        <v>102</v>
      </c>
      <c r="V733" s="0" t="s">
        <v>240</v>
      </c>
      <c r="W733" s="0" t="s">
        <v>240</v>
      </c>
      <c r="X733" s="0" t="s">
        <v>5585</v>
      </c>
      <c r="Y733" s="0" t="s">
        <v>240</v>
      </c>
      <c r="Z733" s="0" t="s">
        <v>152</v>
      </c>
      <c r="AA733" s="0" t="s">
        <v>152</v>
      </c>
      <c r="AB733" s="0" t="s">
        <v>161</v>
      </c>
      <c r="AC733" s="0" t="s">
        <v>2991</v>
      </c>
      <c r="AD733" s="0" t="s">
        <v>2991</v>
      </c>
      <c r="AE733" s="0" t="s">
        <v>2992</v>
      </c>
      <c r="AF733" s="0" t="s">
        <v>5727</v>
      </c>
      <c r="AG733" s="0" t="s">
        <v>5728</v>
      </c>
      <c r="AH733" s="0" t="s">
        <v>5575</v>
      </c>
      <c r="AI733" s="0" t="s">
        <v>5575</v>
      </c>
      <c r="AJ733" s="0" t="s">
        <v>240</v>
      </c>
      <c r="AK733" s="0" t="s">
        <v>240</v>
      </c>
      <c r="AL733" s="0" t="s">
        <v>240</v>
      </c>
      <c r="AN733" s="0" t="s">
        <v>240</v>
      </c>
      <c r="AO733" s="0" t="s">
        <v>240</v>
      </c>
      <c r="AP733" s="0" t="s">
        <v>240</v>
      </c>
      <c r="AQ733" s="0" t="s">
        <v>240</v>
      </c>
      <c r="AR733" s="0" t="s">
        <v>240</v>
      </c>
      <c r="AS733" s="0" t="s">
        <v>240</v>
      </c>
      <c r="AT733" s="0" t="s">
        <v>240</v>
      </c>
      <c r="AU733" s="0" t="s">
        <v>240</v>
      </c>
      <c r="AV733" s="0" t="s">
        <v>240</v>
      </c>
      <c r="AW733" s="0" t="s">
        <v>240</v>
      </c>
      <c r="AX733" s="0" t="s">
        <v>240</v>
      </c>
      <c r="AY733" s="0" t="s">
        <v>240</v>
      </c>
      <c r="AZ733" s="0" t="s">
        <v>240</v>
      </c>
      <c r="BA733" s="0" t="s">
        <v>240</v>
      </c>
      <c r="BB733" s="0" t="s">
        <v>240</v>
      </c>
      <c r="BC733" s="0" t="s">
        <v>240</v>
      </c>
      <c r="BD733" s="0" t="s">
        <v>240</v>
      </c>
      <c r="BE733" s="0" t="s">
        <v>5505</v>
      </c>
      <c r="BF733" s="0" t="s">
        <v>5776</v>
      </c>
      <c r="BG733" s="0" t="s">
        <v>112</v>
      </c>
      <c r="BH733" s="0" t="s">
        <v>5589</v>
      </c>
      <c r="BI733" s="0" t="s">
        <v>123</v>
      </c>
      <c r="BJ733" s="0" t="s">
        <v>240</v>
      </c>
      <c r="BK733" s="0" t="s">
        <v>240</v>
      </c>
      <c r="BL733" s="0" t="s">
        <v>2991</v>
      </c>
      <c r="BM733" s="0" t="s">
        <v>2991</v>
      </c>
      <c r="BN733" s="0" t="s">
        <v>5663</v>
      </c>
      <c r="BO733" s="0" t="s">
        <v>5727</v>
      </c>
      <c r="BP733" s="0" t="s">
        <v>6042</v>
      </c>
      <c r="BQ733" s="0" t="s">
        <v>5575</v>
      </c>
      <c r="BR733" s="0" t="s">
        <v>5575</v>
      </c>
      <c r="BS733" s="0" t="s">
        <v>240</v>
      </c>
      <c r="BT733" s="0" t="s">
        <v>5650</v>
      </c>
      <c r="CS733" s="0" t="s">
        <v>7118</v>
      </c>
      <c r="CT733" s="0" t="s">
        <v>5496</v>
      </c>
      <c r="CU733" s="0" t="s">
        <v>5497</v>
      </c>
      <c r="CV733" s="0" t="s">
        <v>443</v>
      </c>
      <c r="CW733" s="0" t="s">
        <v>5547</v>
      </c>
      <c r="CX733" s="0" t="s">
        <v>229</v>
      </c>
      <c r="CY733" s="0" t="s">
        <v>443</v>
      </c>
      <c r="CZ733" s="0" t="s">
        <v>5548</v>
      </c>
      <c r="DA733" s="0" t="s">
        <v>5549</v>
      </c>
      <c r="DB733" s="0" t="s">
        <v>5547</v>
      </c>
      <c r="DC733" s="0" t="s">
        <v>384</v>
      </c>
      <c r="DD733" s="0" t="s">
        <v>300</v>
      </c>
      <c r="DE733" s="0" t="s">
        <v>6044</v>
      </c>
    </row>
    <row customHeight="1" ht="11.25">
      <c r="A734" s="1441" t="s">
        <v>240</v>
      </c>
      <c r="B734" s="0" t="s">
        <v>240</v>
      </c>
      <c r="C734" s="0" t="s">
        <v>240</v>
      </c>
      <c r="D734" s="0" t="s">
        <v>240</v>
      </c>
      <c r="E734" s="0" t="s">
        <v>240</v>
      </c>
      <c r="F734" s="0" t="s">
        <v>240</v>
      </c>
      <c r="G734" s="0" t="s">
        <v>240</v>
      </c>
      <c r="H734" s="0" t="s">
        <v>240</v>
      </c>
      <c r="I734" s="0" t="s">
        <v>7004</v>
      </c>
      <c r="J734" s="0" t="s">
        <v>240</v>
      </c>
      <c r="K734" s="0" t="s">
        <v>240</v>
      </c>
      <c r="L734" s="0" t="s">
        <v>240</v>
      </c>
      <c r="M734" s="0" t="s">
        <v>240</v>
      </c>
      <c r="N734" s="0" t="s">
        <v>240</v>
      </c>
      <c r="O734" s="0" t="s">
        <v>240</v>
      </c>
      <c r="P734" s="0" t="s">
        <v>240</v>
      </c>
      <c r="Q734" s="0" t="s">
        <v>240</v>
      </c>
      <c r="R734" s="0" t="s">
        <v>7338</v>
      </c>
      <c r="S734" s="0" t="s">
        <v>240</v>
      </c>
      <c r="T734" s="0" t="s">
        <v>240</v>
      </c>
      <c r="U734" s="0" t="s">
        <v>102</v>
      </c>
      <c r="V734" s="0" t="s">
        <v>240</v>
      </c>
      <c r="W734" s="0" t="s">
        <v>240</v>
      </c>
      <c r="X734" s="0" t="s">
        <v>5585</v>
      </c>
      <c r="Y734" s="0" t="s">
        <v>240</v>
      </c>
      <c r="Z734" s="0" t="s">
        <v>152</v>
      </c>
      <c r="AA734" s="0" t="s">
        <v>152</v>
      </c>
      <c r="AB734" s="0" t="s">
        <v>161</v>
      </c>
      <c r="AC734" s="0" t="s">
        <v>2991</v>
      </c>
      <c r="AD734" s="0" t="s">
        <v>2991</v>
      </c>
      <c r="AE734" s="0" t="s">
        <v>2992</v>
      </c>
      <c r="AF734" s="0" t="s">
        <v>5844</v>
      </c>
      <c r="AG734" s="0" t="s">
        <v>5845</v>
      </c>
      <c r="AH734" s="0" t="s">
        <v>5575</v>
      </c>
      <c r="AI734" s="0" t="s">
        <v>5575</v>
      </c>
      <c r="AJ734" s="0" t="s">
        <v>240</v>
      </c>
      <c r="AK734" s="0" t="s">
        <v>240</v>
      </c>
      <c r="AL734" s="0" t="s">
        <v>240</v>
      </c>
      <c r="AN734" s="0" t="s">
        <v>240</v>
      </c>
      <c r="AO734" s="0" t="s">
        <v>240</v>
      </c>
      <c r="AP734" s="0" t="s">
        <v>240</v>
      </c>
      <c r="AQ734" s="0" t="s">
        <v>240</v>
      </c>
      <c r="AR734" s="0" t="s">
        <v>240</v>
      </c>
      <c r="AS734" s="0" t="s">
        <v>240</v>
      </c>
      <c r="AT734" s="0" t="s">
        <v>240</v>
      </c>
      <c r="AU734" s="0" t="s">
        <v>240</v>
      </c>
      <c r="AV734" s="0" t="s">
        <v>240</v>
      </c>
      <c r="AW734" s="0" t="s">
        <v>240</v>
      </c>
      <c r="AX734" s="0" t="s">
        <v>240</v>
      </c>
      <c r="AY734" s="0" t="s">
        <v>240</v>
      </c>
      <c r="AZ734" s="0" t="s">
        <v>240</v>
      </c>
      <c r="BA734" s="0" t="s">
        <v>240</v>
      </c>
      <c r="BB734" s="0" t="s">
        <v>240</v>
      </c>
      <c r="BC734" s="0" t="s">
        <v>240</v>
      </c>
      <c r="BD734" s="0" t="s">
        <v>240</v>
      </c>
      <c r="BE734" s="0" t="s">
        <v>5544</v>
      </c>
      <c r="BF734" s="0" t="s">
        <v>5672</v>
      </c>
      <c r="BG734" s="0" t="s">
        <v>112</v>
      </c>
      <c r="BH734" s="0" t="s">
        <v>5589</v>
      </c>
      <c r="BI734" s="0" t="s">
        <v>123</v>
      </c>
      <c r="BJ734" s="0" t="s">
        <v>240</v>
      </c>
      <c r="BK734" s="0" t="s">
        <v>240</v>
      </c>
      <c r="BL734" s="0" t="s">
        <v>2991</v>
      </c>
      <c r="BM734" s="0" t="s">
        <v>2991</v>
      </c>
      <c r="BN734" s="0" t="s">
        <v>5663</v>
      </c>
      <c r="BO734" s="0" t="s">
        <v>5844</v>
      </c>
      <c r="BP734" s="0" t="s">
        <v>6310</v>
      </c>
      <c r="BQ734" s="0" t="s">
        <v>5575</v>
      </c>
      <c r="BR734" s="0" t="s">
        <v>5575</v>
      </c>
      <c r="BS734" s="0" t="s">
        <v>240</v>
      </c>
      <c r="BT734" s="0" t="s">
        <v>5650</v>
      </c>
      <c r="CS734" s="0" t="s">
        <v>7118</v>
      </c>
      <c r="CT734" s="0" t="s">
        <v>5496</v>
      </c>
      <c r="CU734" s="0" t="s">
        <v>5497</v>
      </c>
      <c r="CV734" s="0" t="s">
        <v>443</v>
      </c>
      <c r="CW734" s="0" t="s">
        <v>5547</v>
      </c>
      <c r="CX734" s="0" t="s">
        <v>229</v>
      </c>
      <c r="CY734" s="0" t="s">
        <v>443</v>
      </c>
      <c r="CZ734" s="0" t="s">
        <v>5548</v>
      </c>
      <c r="DA734" s="0" t="s">
        <v>5549</v>
      </c>
      <c r="DB734" s="0" t="s">
        <v>5547</v>
      </c>
      <c r="DC734" s="0" t="s">
        <v>384</v>
      </c>
      <c r="DD734" s="0" t="s">
        <v>300</v>
      </c>
      <c r="DE734" s="0" t="s">
        <v>6312</v>
      </c>
    </row>
    <row customHeight="1" ht="11.25">
      <c r="A735" s="1441" t="s">
        <v>240</v>
      </c>
      <c r="B735" s="0" t="s">
        <v>240</v>
      </c>
      <c r="C735" s="0" t="s">
        <v>240</v>
      </c>
      <c r="D735" s="0" t="s">
        <v>240</v>
      </c>
      <c r="E735" s="0" t="s">
        <v>240</v>
      </c>
      <c r="F735" s="0" t="s">
        <v>240</v>
      </c>
      <c r="G735" s="0" t="s">
        <v>240</v>
      </c>
      <c r="H735" s="0" t="s">
        <v>240</v>
      </c>
      <c r="I735" s="0" t="s">
        <v>7004</v>
      </c>
      <c r="J735" s="0" t="s">
        <v>240</v>
      </c>
      <c r="K735" s="0" t="s">
        <v>240</v>
      </c>
      <c r="L735" s="0" t="s">
        <v>240</v>
      </c>
      <c r="M735" s="0" t="s">
        <v>240</v>
      </c>
      <c r="N735" s="0" t="s">
        <v>240</v>
      </c>
      <c r="O735" s="0" t="s">
        <v>240</v>
      </c>
      <c r="P735" s="0" t="s">
        <v>240</v>
      </c>
      <c r="Q735" s="0" t="s">
        <v>240</v>
      </c>
      <c r="R735" s="0" t="s">
        <v>7339</v>
      </c>
      <c r="S735" s="0" t="s">
        <v>240</v>
      </c>
      <c r="T735" s="0" t="s">
        <v>240</v>
      </c>
      <c r="U735" s="0" t="s">
        <v>102</v>
      </c>
      <c r="V735" s="0" t="s">
        <v>240</v>
      </c>
      <c r="W735" s="0" t="s">
        <v>240</v>
      </c>
      <c r="X735" s="0" t="s">
        <v>546</v>
      </c>
      <c r="Y735" s="0" t="s">
        <v>240</v>
      </c>
      <c r="Z735" s="0" t="s">
        <v>161</v>
      </c>
      <c r="AA735" s="0" t="s">
        <v>152</v>
      </c>
      <c r="AB735" s="0" t="s">
        <v>152</v>
      </c>
      <c r="AC735" s="0" t="s">
        <v>3389</v>
      </c>
      <c r="AD735" s="0" t="s">
        <v>3389</v>
      </c>
      <c r="AE735" s="0" t="s">
        <v>3390</v>
      </c>
      <c r="AF735" s="0" t="s">
        <v>5519</v>
      </c>
      <c r="AG735" s="0" t="s">
        <v>5520</v>
      </c>
      <c r="AH735" s="0" t="s">
        <v>7340</v>
      </c>
      <c r="AI735" s="0" t="s">
        <v>7341</v>
      </c>
      <c r="AJ735" s="0" t="s">
        <v>5700</v>
      </c>
      <c r="AK735" s="0" t="s">
        <v>7342</v>
      </c>
      <c r="AL735" s="0" t="s">
        <v>7009</v>
      </c>
      <c r="AN735" s="0" t="s">
        <v>6277</v>
      </c>
      <c r="AO735" s="0" t="s">
        <v>6278</v>
      </c>
      <c r="AP735" s="0" t="s">
        <v>240</v>
      </c>
      <c r="AQ735" s="0" t="s">
        <v>240</v>
      </c>
      <c r="AR735" s="0" t="s">
        <v>240</v>
      </c>
      <c r="AS735" s="0" t="s">
        <v>240</v>
      </c>
      <c r="AT735" s="0" t="s">
        <v>240</v>
      </c>
      <c r="AU735" s="0" t="s">
        <v>240</v>
      </c>
      <c r="AV735" s="0" t="s">
        <v>240</v>
      </c>
      <c r="AW735" s="0" t="s">
        <v>240</v>
      </c>
      <c r="AX735" s="0" t="s">
        <v>240</v>
      </c>
      <c r="AY735" s="0" t="s">
        <v>240</v>
      </c>
      <c r="AZ735" s="0" t="s">
        <v>240</v>
      </c>
      <c r="BA735" s="0" t="s">
        <v>240</v>
      </c>
      <c r="BB735" s="0" t="s">
        <v>240</v>
      </c>
      <c r="BC735" s="0" t="s">
        <v>240</v>
      </c>
      <c r="BD735" s="0" t="s">
        <v>240</v>
      </c>
      <c r="BE735" s="0" t="s">
        <v>240</v>
      </c>
      <c r="BF735" s="0" t="s">
        <v>240</v>
      </c>
      <c r="BG735" s="0" t="s">
        <v>240</v>
      </c>
      <c r="BH735" s="0" t="s">
        <v>240</v>
      </c>
      <c r="BI735" s="0" t="s">
        <v>240</v>
      </c>
      <c r="BJ735" s="0" t="s">
        <v>240</v>
      </c>
      <c r="BK735" s="0" t="s">
        <v>240</v>
      </c>
      <c r="BL735" s="0" t="s">
        <v>240</v>
      </c>
      <c r="BM735" s="0" t="s">
        <v>240</v>
      </c>
      <c r="BN735" s="0" t="s">
        <v>240</v>
      </c>
      <c r="BO735" s="0" t="s">
        <v>240</v>
      </c>
      <c r="BP735" s="0" t="s">
        <v>240</v>
      </c>
      <c r="BQ735" s="0" t="s">
        <v>240</v>
      </c>
      <c r="BR735" s="0" t="s">
        <v>240</v>
      </c>
      <c r="BS735" s="0" t="s">
        <v>240</v>
      </c>
      <c r="BT735" s="0" t="s">
        <v>240</v>
      </c>
      <c r="CS735" s="0" t="s">
        <v>240</v>
      </c>
      <c r="CT735" s="0" t="s">
        <v>5496</v>
      </c>
      <c r="CU735" s="0" t="s">
        <v>5497</v>
      </c>
      <c r="CV735" s="0" t="s">
        <v>443</v>
      </c>
      <c r="CW735" s="0" t="s">
        <v>5527</v>
      </c>
      <c r="CX735" s="0" t="s">
        <v>5528</v>
      </c>
      <c r="CY735" s="0" t="s">
        <v>443</v>
      </c>
      <c r="CZ735" s="0" t="s">
        <v>299</v>
      </c>
      <c r="DA735" s="0" t="s">
        <v>5529</v>
      </c>
      <c r="DB735" s="0" t="s">
        <v>5527</v>
      </c>
      <c r="DC735" s="0" t="s">
        <v>384</v>
      </c>
      <c r="DD735" s="0" t="s">
        <v>300</v>
      </c>
      <c r="DE735" s="0" t="s">
        <v>7343</v>
      </c>
    </row>
    <row customHeight="1" ht="11.25">
      <c r="A736" s="1441" t="s">
        <v>240</v>
      </c>
      <c r="B736" s="0" t="s">
        <v>240</v>
      </c>
      <c r="C736" s="0" t="s">
        <v>240</v>
      </c>
      <c r="D736" s="0" t="s">
        <v>240</v>
      </c>
      <c r="E736" s="0" t="s">
        <v>240</v>
      </c>
      <c r="F736" s="0" t="s">
        <v>240</v>
      </c>
      <c r="G736" s="0" t="s">
        <v>240</v>
      </c>
      <c r="H736" s="0" t="s">
        <v>240</v>
      </c>
      <c r="I736" s="0" t="s">
        <v>7004</v>
      </c>
      <c r="J736" s="0" t="s">
        <v>240</v>
      </c>
      <c r="K736" s="0" t="s">
        <v>240</v>
      </c>
      <c r="L736" s="0" t="s">
        <v>240</v>
      </c>
      <c r="M736" s="0" t="s">
        <v>240</v>
      </c>
      <c r="N736" s="0" t="s">
        <v>240</v>
      </c>
      <c r="O736" s="0" t="s">
        <v>240</v>
      </c>
      <c r="P736" s="0" t="s">
        <v>240</v>
      </c>
      <c r="Q736" s="0" t="s">
        <v>240</v>
      </c>
      <c r="R736" s="0" t="s">
        <v>7344</v>
      </c>
      <c r="S736" s="0" t="s">
        <v>240</v>
      </c>
      <c r="T736" s="0" t="s">
        <v>240</v>
      </c>
      <c r="U736" s="0" t="s">
        <v>102</v>
      </c>
      <c r="V736" s="0" t="s">
        <v>240</v>
      </c>
      <c r="W736" s="0" t="s">
        <v>240</v>
      </c>
      <c r="X736" s="0" t="s">
        <v>546</v>
      </c>
      <c r="Y736" s="0" t="s">
        <v>240</v>
      </c>
      <c r="Z736" s="0" t="s">
        <v>161</v>
      </c>
      <c r="AA736" s="0" t="s">
        <v>152</v>
      </c>
      <c r="AB736" s="0" t="s">
        <v>152</v>
      </c>
      <c r="AC736" s="0" t="s">
        <v>3389</v>
      </c>
      <c r="AD736" s="0" t="s">
        <v>3389</v>
      </c>
      <c r="AE736" s="0" t="s">
        <v>3390</v>
      </c>
      <c r="AF736" s="0" t="s">
        <v>5519</v>
      </c>
      <c r="AG736" s="0" t="s">
        <v>5520</v>
      </c>
      <c r="AH736" s="0" t="s">
        <v>7345</v>
      </c>
      <c r="AI736" s="0" t="s">
        <v>5533</v>
      </c>
      <c r="AJ736" s="0" t="s">
        <v>7346</v>
      </c>
      <c r="AK736" s="0" t="s">
        <v>5598</v>
      </c>
      <c r="AL736" s="0" t="s">
        <v>7009</v>
      </c>
      <c r="AN736" s="0" t="s">
        <v>7324</v>
      </c>
      <c r="AO736" s="0" t="s">
        <v>7325</v>
      </c>
      <c r="AP736" s="0" t="s">
        <v>240</v>
      </c>
      <c r="AQ736" s="0" t="s">
        <v>240</v>
      </c>
      <c r="AR736" s="0" t="s">
        <v>240</v>
      </c>
      <c r="AS736" s="0" t="s">
        <v>240</v>
      </c>
      <c r="AT736" s="0" t="s">
        <v>240</v>
      </c>
      <c r="AU736" s="0" t="s">
        <v>240</v>
      </c>
      <c r="AV736" s="0" t="s">
        <v>240</v>
      </c>
      <c r="AW736" s="0" t="s">
        <v>240</v>
      </c>
      <c r="AX736" s="0" t="s">
        <v>240</v>
      </c>
      <c r="AY736" s="0" t="s">
        <v>240</v>
      </c>
      <c r="AZ736" s="0" t="s">
        <v>240</v>
      </c>
      <c r="BA736" s="0" t="s">
        <v>240</v>
      </c>
      <c r="BB736" s="0" t="s">
        <v>240</v>
      </c>
      <c r="BC736" s="0" t="s">
        <v>240</v>
      </c>
      <c r="BD736" s="0" t="s">
        <v>240</v>
      </c>
      <c r="BE736" s="0" t="s">
        <v>240</v>
      </c>
      <c r="BF736" s="0" t="s">
        <v>240</v>
      </c>
      <c r="BG736" s="0" t="s">
        <v>240</v>
      </c>
      <c r="BH736" s="0" t="s">
        <v>240</v>
      </c>
      <c r="BI736" s="0" t="s">
        <v>240</v>
      </c>
      <c r="BJ736" s="0" t="s">
        <v>240</v>
      </c>
      <c r="BK736" s="0" t="s">
        <v>240</v>
      </c>
      <c r="BL736" s="0" t="s">
        <v>240</v>
      </c>
      <c r="BM736" s="0" t="s">
        <v>240</v>
      </c>
      <c r="BN736" s="0" t="s">
        <v>240</v>
      </c>
      <c r="BO736" s="0" t="s">
        <v>240</v>
      </c>
      <c r="BP736" s="0" t="s">
        <v>240</v>
      </c>
      <c r="BQ736" s="0" t="s">
        <v>240</v>
      </c>
      <c r="BR736" s="0" t="s">
        <v>240</v>
      </c>
      <c r="BS736" s="0" t="s">
        <v>240</v>
      </c>
      <c r="BT736" s="0" t="s">
        <v>240</v>
      </c>
      <c r="CS736" s="0" t="s">
        <v>240</v>
      </c>
      <c r="CT736" s="0" t="s">
        <v>5496</v>
      </c>
      <c r="CU736" s="0" t="s">
        <v>5497</v>
      </c>
      <c r="CV736" s="0" t="s">
        <v>443</v>
      </c>
      <c r="CW736" s="0" t="s">
        <v>5527</v>
      </c>
      <c r="CX736" s="0" t="s">
        <v>5528</v>
      </c>
      <c r="CY736" s="0" t="s">
        <v>443</v>
      </c>
      <c r="CZ736" s="0" t="s">
        <v>299</v>
      </c>
      <c r="DA736" s="0" t="s">
        <v>5529</v>
      </c>
      <c r="DB736" s="0" t="s">
        <v>5527</v>
      </c>
      <c r="DC736" s="0" t="s">
        <v>384</v>
      </c>
      <c r="DD736" s="0" t="s">
        <v>300</v>
      </c>
      <c r="DE736" s="0" t="s">
        <v>7347</v>
      </c>
    </row>
    <row customHeight="1" ht="11.25">
      <c r="A737" s="1441" t="s">
        <v>240</v>
      </c>
      <c r="B737" s="0" t="s">
        <v>240</v>
      </c>
      <c r="C737" s="0" t="s">
        <v>240</v>
      </c>
      <c r="D737" s="0" t="s">
        <v>240</v>
      </c>
      <c r="E737" s="0" t="s">
        <v>240</v>
      </c>
      <c r="F737" s="0" t="s">
        <v>240</v>
      </c>
      <c r="G737" s="0" t="s">
        <v>240</v>
      </c>
      <c r="H737" s="0" t="s">
        <v>240</v>
      </c>
      <c r="I737" s="0" t="s">
        <v>7004</v>
      </c>
      <c r="J737" s="0" t="s">
        <v>240</v>
      </c>
      <c r="K737" s="0" t="s">
        <v>240</v>
      </c>
      <c r="L737" s="0" t="s">
        <v>240</v>
      </c>
      <c r="M737" s="0" t="s">
        <v>240</v>
      </c>
      <c r="N737" s="0" t="s">
        <v>240</v>
      </c>
      <c r="O737" s="0" t="s">
        <v>240</v>
      </c>
      <c r="P737" s="0" t="s">
        <v>240</v>
      </c>
      <c r="Q737" s="0" t="s">
        <v>240</v>
      </c>
      <c r="R737" s="0" t="s">
        <v>7348</v>
      </c>
      <c r="S737" s="0" t="s">
        <v>240</v>
      </c>
      <c r="T737" s="0" t="s">
        <v>240</v>
      </c>
      <c r="U737" s="0" t="s">
        <v>102</v>
      </c>
      <c r="V737" s="0" t="s">
        <v>240</v>
      </c>
      <c r="W737" s="0" t="s">
        <v>240</v>
      </c>
      <c r="X737" s="0" t="s">
        <v>546</v>
      </c>
      <c r="Y737" s="0" t="s">
        <v>240</v>
      </c>
      <c r="Z737" s="0" t="s">
        <v>161</v>
      </c>
      <c r="AA737" s="0" t="s">
        <v>152</v>
      </c>
      <c r="AB737" s="0" t="s">
        <v>152</v>
      </c>
      <c r="AC737" s="0" t="s">
        <v>3389</v>
      </c>
      <c r="AD737" s="0" t="s">
        <v>3389</v>
      </c>
      <c r="AE737" s="0" t="s">
        <v>3390</v>
      </c>
      <c r="AF737" s="0" t="s">
        <v>5519</v>
      </c>
      <c r="AG737" s="0" t="s">
        <v>5520</v>
      </c>
      <c r="AH737" s="0" t="s">
        <v>7349</v>
      </c>
      <c r="AI737" s="0" t="s">
        <v>7350</v>
      </c>
      <c r="AJ737" s="0" t="s">
        <v>7351</v>
      </c>
      <c r="AK737" s="0" t="s">
        <v>7352</v>
      </c>
      <c r="AL737" s="0" t="s">
        <v>7009</v>
      </c>
      <c r="AN737" s="0" t="s">
        <v>5599</v>
      </c>
      <c r="AO737" s="0" t="s">
        <v>7353</v>
      </c>
      <c r="AP737" s="0" t="s">
        <v>240</v>
      </c>
      <c r="AQ737" s="0" t="s">
        <v>240</v>
      </c>
      <c r="AR737" s="0" t="s">
        <v>240</v>
      </c>
      <c r="AS737" s="0" t="s">
        <v>240</v>
      </c>
      <c r="AT737" s="0" t="s">
        <v>240</v>
      </c>
      <c r="AU737" s="0" t="s">
        <v>240</v>
      </c>
      <c r="AV737" s="0" t="s">
        <v>240</v>
      </c>
      <c r="AW737" s="0" t="s">
        <v>240</v>
      </c>
      <c r="AX737" s="0" t="s">
        <v>240</v>
      </c>
      <c r="AY737" s="0" t="s">
        <v>240</v>
      </c>
      <c r="AZ737" s="0" t="s">
        <v>240</v>
      </c>
      <c r="BA737" s="0" t="s">
        <v>240</v>
      </c>
      <c r="BB737" s="0" t="s">
        <v>240</v>
      </c>
      <c r="BC737" s="0" t="s">
        <v>240</v>
      </c>
      <c r="BD737" s="0" t="s">
        <v>240</v>
      </c>
      <c r="BE737" s="0" t="s">
        <v>240</v>
      </c>
      <c r="BF737" s="0" t="s">
        <v>240</v>
      </c>
      <c r="BG737" s="0" t="s">
        <v>240</v>
      </c>
      <c r="BH737" s="0" t="s">
        <v>240</v>
      </c>
      <c r="BI737" s="0" t="s">
        <v>240</v>
      </c>
      <c r="BJ737" s="0" t="s">
        <v>240</v>
      </c>
      <c r="BK737" s="0" t="s">
        <v>240</v>
      </c>
      <c r="BL737" s="0" t="s">
        <v>240</v>
      </c>
      <c r="BM737" s="0" t="s">
        <v>240</v>
      </c>
      <c r="BN737" s="0" t="s">
        <v>240</v>
      </c>
      <c r="BO737" s="0" t="s">
        <v>240</v>
      </c>
      <c r="BP737" s="0" t="s">
        <v>240</v>
      </c>
      <c r="BQ737" s="0" t="s">
        <v>240</v>
      </c>
      <c r="BR737" s="0" t="s">
        <v>240</v>
      </c>
      <c r="BS737" s="0" t="s">
        <v>240</v>
      </c>
      <c r="BT737" s="0" t="s">
        <v>240</v>
      </c>
      <c r="CS737" s="0" t="s">
        <v>240</v>
      </c>
      <c r="CT737" s="0" t="s">
        <v>5496</v>
      </c>
      <c r="CU737" s="0" t="s">
        <v>5497</v>
      </c>
      <c r="CV737" s="0" t="s">
        <v>443</v>
      </c>
      <c r="CW737" s="0" t="s">
        <v>5527</v>
      </c>
      <c r="CX737" s="0" t="s">
        <v>5528</v>
      </c>
      <c r="CY737" s="0" t="s">
        <v>443</v>
      </c>
      <c r="CZ737" s="0" t="s">
        <v>299</v>
      </c>
      <c r="DA737" s="0" t="s">
        <v>5529</v>
      </c>
      <c r="DB737" s="0" t="s">
        <v>5527</v>
      </c>
      <c r="DC737" s="0" t="s">
        <v>384</v>
      </c>
      <c r="DD737" s="0" t="s">
        <v>300</v>
      </c>
      <c r="DE737" s="0" t="s">
        <v>7354</v>
      </c>
    </row>
    <row customHeight="1" ht="11.25">
      <c r="A738" s="1441" t="s">
        <v>240</v>
      </c>
      <c r="B738" s="0" t="s">
        <v>240</v>
      </c>
      <c r="C738" s="0" t="s">
        <v>240</v>
      </c>
      <c r="D738" s="0" t="s">
        <v>240</v>
      </c>
      <c r="E738" s="0" t="s">
        <v>240</v>
      </c>
      <c r="F738" s="0" t="s">
        <v>240</v>
      </c>
      <c r="G738" s="0" t="s">
        <v>240</v>
      </c>
      <c r="H738" s="0" t="s">
        <v>240</v>
      </c>
      <c r="I738" s="0" t="s">
        <v>7004</v>
      </c>
      <c r="J738" s="0" t="s">
        <v>240</v>
      </c>
      <c r="K738" s="0" t="s">
        <v>240</v>
      </c>
      <c r="L738" s="0" t="s">
        <v>240</v>
      </c>
      <c r="M738" s="0" t="s">
        <v>240</v>
      </c>
      <c r="N738" s="0" t="s">
        <v>240</v>
      </c>
      <c r="O738" s="0" t="s">
        <v>240</v>
      </c>
      <c r="P738" s="0" t="s">
        <v>240</v>
      </c>
      <c r="Q738" s="0" t="s">
        <v>240</v>
      </c>
      <c r="R738" s="0" t="s">
        <v>534</v>
      </c>
      <c r="S738" s="0" t="s">
        <v>240</v>
      </c>
      <c r="T738" s="0" t="s">
        <v>240</v>
      </c>
      <c r="U738" s="0" t="s">
        <v>102</v>
      </c>
      <c r="V738" s="0" t="s">
        <v>240</v>
      </c>
      <c r="W738" s="0" t="s">
        <v>240</v>
      </c>
      <c r="X738" s="0" t="s">
        <v>5905</v>
      </c>
      <c r="Y738" s="0" t="s">
        <v>240</v>
      </c>
      <c r="Z738" s="0" t="s">
        <v>152</v>
      </c>
      <c r="AA738" s="0" t="s">
        <v>161</v>
      </c>
      <c r="AB738" s="0" t="s">
        <v>152</v>
      </c>
      <c r="AC738" s="0" t="s">
        <v>364</v>
      </c>
      <c r="AD738" s="0" t="s">
        <v>364</v>
      </c>
      <c r="AE738" s="0" t="s">
        <v>365</v>
      </c>
      <c r="AF738" s="0" t="s">
        <v>5486</v>
      </c>
      <c r="AG738" s="0" t="s">
        <v>5487</v>
      </c>
      <c r="AH738" s="0" t="s">
        <v>7329</v>
      </c>
      <c r="AI738" s="0" t="s">
        <v>7355</v>
      </c>
      <c r="AJ738" s="0" t="s">
        <v>240</v>
      </c>
      <c r="AK738" s="0" t="s">
        <v>240</v>
      </c>
      <c r="AL738" s="0" t="s">
        <v>240</v>
      </c>
      <c r="AN738" s="0" t="s">
        <v>240</v>
      </c>
      <c r="AO738" s="0" t="s">
        <v>240</v>
      </c>
      <c r="AP738" s="0" t="s">
        <v>7356</v>
      </c>
      <c r="AQ738" s="0" t="s">
        <v>7055</v>
      </c>
      <c r="AR738" s="0" t="s">
        <v>112</v>
      </c>
      <c r="AS738" s="0" t="s">
        <v>5589</v>
      </c>
      <c r="AT738" s="0" t="s">
        <v>123</v>
      </c>
      <c r="AU738" s="0" t="s">
        <v>240</v>
      </c>
      <c r="AV738" s="0" t="s">
        <v>550</v>
      </c>
      <c r="AW738" s="0" t="s">
        <v>364</v>
      </c>
      <c r="AX738" s="0" t="s">
        <v>364</v>
      </c>
      <c r="AY738" s="0" t="s">
        <v>6811</v>
      </c>
      <c r="AZ738" s="0" t="s">
        <v>5486</v>
      </c>
      <c r="BA738" s="0" t="s">
        <v>7057</v>
      </c>
      <c r="BB738" s="0" t="s">
        <v>7329</v>
      </c>
      <c r="BC738" s="0" t="s">
        <v>7355</v>
      </c>
      <c r="BD738" s="0" t="s">
        <v>5494</v>
      </c>
      <c r="BE738" s="0" t="s">
        <v>240</v>
      </c>
      <c r="BF738" s="0" t="s">
        <v>240</v>
      </c>
      <c r="BG738" s="0" t="s">
        <v>240</v>
      </c>
      <c r="BH738" s="0" t="s">
        <v>240</v>
      </c>
      <c r="BI738" s="0" t="s">
        <v>240</v>
      </c>
      <c r="BJ738" s="0" t="s">
        <v>240</v>
      </c>
      <c r="BK738" s="0" t="s">
        <v>240</v>
      </c>
      <c r="BL738" s="0" t="s">
        <v>240</v>
      </c>
      <c r="BM738" s="0" t="s">
        <v>240</v>
      </c>
      <c r="BN738" s="0" t="s">
        <v>240</v>
      </c>
      <c r="BO738" s="0" t="s">
        <v>240</v>
      </c>
      <c r="BP738" s="0" t="s">
        <v>240</v>
      </c>
      <c r="BQ738" s="0" t="s">
        <v>240</v>
      </c>
      <c r="BR738" s="0" t="s">
        <v>240</v>
      </c>
      <c r="BS738" s="0" t="s">
        <v>240</v>
      </c>
      <c r="BT738" s="0" t="s">
        <v>240</v>
      </c>
      <c r="CS738" s="0" t="s">
        <v>240</v>
      </c>
      <c r="CT738" s="0" t="s">
        <v>5496</v>
      </c>
      <c r="CU738" s="0" t="s">
        <v>5497</v>
      </c>
      <c r="CV738" s="0" t="s">
        <v>443</v>
      </c>
      <c r="CW738" s="0" t="s">
        <v>5498</v>
      </c>
      <c r="CX738" s="0" t="s">
        <v>229</v>
      </c>
      <c r="CY738" s="0" t="s">
        <v>443</v>
      </c>
      <c r="CZ738" s="0" t="s">
        <v>230</v>
      </c>
      <c r="DA738" s="0" t="s">
        <v>444</v>
      </c>
      <c r="DB738" s="0" t="s">
        <v>5498</v>
      </c>
      <c r="DC738" s="0" t="s">
        <v>384</v>
      </c>
      <c r="DD738" s="0" t="s">
        <v>300</v>
      </c>
      <c r="DE738" s="0" t="s">
        <v>535</v>
      </c>
    </row>
    <row customHeight="1" ht="11.25">
      <c r="A739" s="1441" t="s">
        <v>240</v>
      </c>
      <c r="B739" s="0" t="s">
        <v>240</v>
      </c>
      <c r="C739" s="0" t="s">
        <v>240</v>
      </c>
      <c r="D739" s="0" t="s">
        <v>240</v>
      </c>
      <c r="E739" s="0" t="s">
        <v>240</v>
      </c>
      <c r="F739" s="0" t="s">
        <v>240</v>
      </c>
      <c r="G739" s="0" t="s">
        <v>240</v>
      </c>
      <c r="H739" s="0" t="s">
        <v>240</v>
      </c>
      <c r="I739" s="0" t="s">
        <v>7004</v>
      </c>
      <c r="J739" s="0" t="s">
        <v>240</v>
      </c>
      <c r="K739" s="0" t="s">
        <v>240</v>
      </c>
      <c r="L739" s="0" t="s">
        <v>240</v>
      </c>
      <c r="M739" s="0" t="s">
        <v>240</v>
      </c>
      <c r="N739" s="0" t="s">
        <v>240</v>
      </c>
      <c r="O739" s="0" t="s">
        <v>240</v>
      </c>
      <c r="P739" s="0" t="s">
        <v>240</v>
      </c>
      <c r="Q739" s="0" t="s">
        <v>240</v>
      </c>
      <c r="R739" s="0" t="s">
        <v>536</v>
      </c>
      <c r="S739" s="0" t="s">
        <v>240</v>
      </c>
      <c r="T739" s="0" t="s">
        <v>240</v>
      </c>
      <c r="U739" s="0" t="s">
        <v>102</v>
      </c>
      <c r="V739" s="0" t="s">
        <v>240</v>
      </c>
      <c r="W739" s="0" t="s">
        <v>240</v>
      </c>
      <c r="X739" s="0" t="s">
        <v>5905</v>
      </c>
      <c r="Y739" s="0" t="s">
        <v>240</v>
      </c>
      <c r="Z739" s="0" t="s">
        <v>152</v>
      </c>
      <c r="AA739" s="0" t="s">
        <v>161</v>
      </c>
      <c r="AB739" s="0" t="s">
        <v>152</v>
      </c>
      <c r="AC739" s="0" t="s">
        <v>364</v>
      </c>
      <c r="AD739" s="0" t="s">
        <v>364</v>
      </c>
      <c r="AE739" s="0" t="s">
        <v>365</v>
      </c>
      <c r="AF739" s="0" t="s">
        <v>5486</v>
      </c>
      <c r="AG739" s="0" t="s">
        <v>5487</v>
      </c>
      <c r="AH739" s="0" t="s">
        <v>7357</v>
      </c>
      <c r="AI739" s="0" t="s">
        <v>7358</v>
      </c>
      <c r="AJ739" s="0" t="s">
        <v>240</v>
      </c>
      <c r="AK739" s="0" t="s">
        <v>240</v>
      </c>
      <c r="AL739" s="0" t="s">
        <v>240</v>
      </c>
      <c r="AN739" s="0" t="s">
        <v>240</v>
      </c>
      <c r="AO739" s="0" t="s">
        <v>240</v>
      </c>
      <c r="AP739" s="0" t="s">
        <v>6884</v>
      </c>
      <c r="AQ739" s="0" t="s">
        <v>7359</v>
      </c>
      <c r="AR739" s="0" t="s">
        <v>112</v>
      </c>
      <c r="AS739" s="0" t="s">
        <v>5589</v>
      </c>
      <c r="AT739" s="0" t="s">
        <v>123</v>
      </c>
      <c r="AU739" s="0" t="s">
        <v>240</v>
      </c>
      <c r="AV739" s="0" t="s">
        <v>550</v>
      </c>
      <c r="AW739" s="0" t="s">
        <v>364</v>
      </c>
      <c r="AX739" s="0" t="s">
        <v>364</v>
      </c>
      <c r="AY739" s="0" t="s">
        <v>6811</v>
      </c>
      <c r="AZ739" s="0" t="s">
        <v>6361</v>
      </c>
      <c r="BA739" s="0" t="s">
        <v>7360</v>
      </c>
      <c r="BB739" s="0" t="s">
        <v>6363</v>
      </c>
      <c r="BC739" s="0" t="s">
        <v>5533</v>
      </c>
      <c r="BD739" s="0" t="s">
        <v>5494</v>
      </c>
      <c r="BE739" s="0" t="s">
        <v>240</v>
      </c>
      <c r="BF739" s="0" t="s">
        <v>240</v>
      </c>
      <c r="BG739" s="0" t="s">
        <v>240</v>
      </c>
      <c r="BH739" s="0" t="s">
        <v>240</v>
      </c>
      <c r="BI739" s="0" t="s">
        <v>240</v>
      </c>
      <c r="BJ739" s="0" t="s">
        <v>240</v>
      </c>
      <c r="BK739" s="0" t="s">
        <v>240</v>
      </c>
      <c r="BL739" s="0" t="s">
        <v>240</v>
      </c>
      <c r="BM739" s="0" t="s">
        <v>240</v>
      </c>
      <c r="BN739" s="0" t="s">
        <v>240</v>
      </c>
      <c r="BO739" s="0" t="s">
        <v>240</v>
      </c>
      <c r="BP739" s="0" t="s">
        <v>240</v>
      </c>
      <c r="BQ739" s="0" t="s">
        <v>240</v>
      </c>
      <c r="BR739" s="0" t="s">
        <v>240</v>
      </c>
      <c r="BS739" s="0" t="s">
        <v>240</v>
      </c>
      <c r="BT739" s="0" t="s">
        <v>240</v>
      </c>
      <c r="CS739" s="0" t="s">
        <v>240</v>
      </c>
      <c r="CT739" s="0" t="s">
        <v>5496</v>
      </c>
      <c r="CU739" s="0" t="s">
        <v>5497</v>
      </c>
      <c r="CV739" s="0" t="s">
        <v>443</v>
      </c>
      <c r="CW739" s="0" t="s">
        <v>5498</v>
      </c>
      <c r="CX739" s="0" t="s">
        <v>229</v>
      </c>
      <c r="CY739" s="0" t="s">
        <v>443</v>
      </c>
      <c r="CZ739" s="0" t="s">
        <v>230</v>
      </c>
      <c r="DA739" s="0" t="s">
        <v>444</v>
      </c>
      <c r="DB739" s="0" t="s">
        <v>5498</v>
      </c>
      <c r="DC739" s="0" t="s">
        <v>384</v>
      </c>
      <c r="DD739" s="0" t="s">
        <v>300</v>
      </c>
      <c r="DE739" s="0" t="s">
        <v>537</v>
      </c>
    </row>
    <row customHeight="1" ht="11.25">
      <c r="A740" s="1441" t="s">
        <v>240</v>
      </c>
      <c r="B740" s="0" t="s">
        <v>240</v>
      </c>
      <c r="C740" s="0" t="s">
        <v>240</v>
      </c>
      <c r="D740" s="0" t="s">
        <v>240</v>
      </c>
      <c r="E740" s="0" t="s">
        <v>240</v>
      </c>
      <c r="F740" s="0" t="s">
        <v>240</v>
      </c>
      <c r="G740" s="0" t="s">
        <v>240</v>
      </c>
      <c r="H740" s="0" t="s">
        <v>240</v>
      </c>
      <c r="I740" s="0" t="s">
        <v>7004</v>
      </c>
      <c r="J740" s="0" t="s">
        <v>240</v>
      </c>
      <c r="K740" s="0" t="s">
        <v>240</v>
      </c>
      <c r="L740" s="0" t="s">
        <v>240</v>
      </c>
      <c r="M740" s="0" t="s">
        <v>240</v>
      </c>
      <c r="N740" s="0" t="s">
        <v>240</v>
      </c>
      <c r="O740" s="0" t="s">
        <v>240</v>
      </c>
      <c r="P740" s="0" t="s">
        <v>240</v>
      </c>
      <c r="Q740" s="0" t="s">
        <v>240</v>
      </c>
      <c r="R740" s="0" t="s">
        <v>7361</v>
      </c>
      <c r="S740" s="0" t="s">
        <v>240</v>
      </c>
      <c r="T740" s="0" t="s">
        <v>240</v>
      </c>
      <c r="U740" s="0" t="s">
        <v>102</v>
      </c>
      <c r="V740" s="0" t="s">
        <v>240</v>
      </c>
      <c r="W740" s="0" t="s">
        <v>240</v>
      </c>
      <c r="X740" s="0" t="s">
        <v>5585</v>
      </c>
      <c r="Y740" s="0" t="s">
        <v>240</v>
      </c>
      <c r="Z740" s="0" t="s">
        <v>152</v>
      </c>
      <c r="AA740" s="0" t="s">
        <v>152</v>
      </c>
      <c r="AB740" s="0" t="s">
        <v>161</v>
      </c>
      <c r="AC740" s="0" t="s">
        <v>2991</v>
      </c>
      <c r="AD740" s="0" t="s">
        <v>2991</v>
      </c>
      <c r="AE740" s="0" t="s">
        <v>2992</v>
      </c>
      <c r="AF740" s="0" t="s">
        <v>6314</v>
      </c>
      <c r="AG740" s="0" t="s">
        <v>6315</v>
      </c>
      <c r="AH740" s="0" t="s">
        <v>5575</v>
      </c>
      <c r="AI740" s="0" t="s">
        <v>5575</v>
      </c>
      <c r="AJ740" s="0" t="s">
        <v>240</v>
      </c>
      <c r="AK740" s="0" t="s">
        <v>240</v>
      </c>
      <c r="AL740" s="0" t="s">
        <v>240</v>
      </c>
      <c r="AN740" s="0" t="s">
        <v>240</v>
      </c>
      <c r="AO740" s="0" t="s">
        <v>240</v>
      </c>
      <c r="AP740" s="0" t="s">
        <v>240</v>
      </c>
      <c r="AQ740" s="0" t="s">
        <v>240</v>
      </c>
      <c r="AR740" s="0" t="s">
        <v>240</v>
      </c>
      <c r="AS740" s="0" t="s">
        <v>240</v>
      </c>
      <c r="AT740" s="0" t="s">
        <v>240</v>
      </c>
      <c r="AU740" s="0" t="s">
        <v>240</v>
      </c>
      <c r="AV740" s="0" t="s">
        <v>240</v>
      </c>
      <c r="AW740" s="0" t="s">
        <v>240</v>
      </c>
      <c r="AX740" s="0" t="s">
        <v>240</v>
      </c>
      <c r="AY740" s="0" t="s">
        <v>240</v>
      </c>
      <c r="AZ740" s="0" t="s">
        <v>240</v>
      </c>
      <c r="BA740" s="0" t="s">
        <v>240</v>
      </c>
      <c r="BB740" s="0" t="s">
        <v>240</v>
      </c>
      <c r="BC740" s="0" t="s">
        <v>240</v>
      </c>
      <c r="BD740" s="0" t="s">
        <v>240</v>
      </c>
      <c r="BE740" s="0" t="s">
        <v>5776</v>
      </c>
      <c r="BF740" s="0" t="s">
        <v>5544</v>
      </c>
      <c r="BG740" s="0" t="s">
        <v>112</v>
      </c>
      <c r="BH740" s="0" t="s">
        <v>5589</v>
      </c>
      <c r="BI740" s="0" t="s">
        <v>123</v>
      </c>
      <c r="BJ740" s="0" t="s">
        <v>240</v>
      </c>
      <c r="BK740" s="0" t="s">
        <v>240</v>
      </c>
      <c r="BL740" s="0" t="s">
        <v>2991</v>
      </c>
      <c r="BM740" s="0" t="s">
        <v>2991</v>
      </c>
      <c r="BN740" s="0" t="s">
        <v>5663</v>
      </c>
      <c r="BO740" s="0" t="s">
        <v>6314</v>
      </c>
      <c r="BP740" s="0" t="s">
        <v>6565</v>
      </c>
      <c r="BQ740" s="0" t="s">
        <v>5575</v>
      </c>
      <c r="BR740" s="0" t="s">
        <v>5575</v>
      </c>
      <c r="BS740" s="0" t="s">
        <v>240</v>
      </c>
      <c r="BT740" s="0" t="s">
        <v>5650</v>
      </c>
      <c r="CS740" s="0" t="s">
        <v>7118</v>
      </c>
      <c r="CT740" s="0" t="s">
        <v>5496</v>
      </c>
      <c r="CU740" s="0" t="s">
        <v>5497</v>
      </c>
      <c r="CV740" s="0" t="s">
        <v>443</v>
      </c>
      <c r="CW740" s="0" t="s">
        <v>5547</v>
      </c>
      <c r="CX740" s="0" t="s">
        <v>229</v>
      </c>
      <c r="CY740" s="0" t="s">
        <v>443</v>
      </c>
      <c r="CZ740" s="0" t="s">
        <v>5548</v>
      </c>
      <c r="DA740" s="0" t="s">
        <v>5549</v>
      </c>
      <c r="DB740" s="0" t="s">
        <v>5547</v>
      </c>
      <c r="DC740" s="0" t="s">
        <v>384</v>
      </c>
      <c r="DD740" s="0" t="s">
        <v>300</v>
      </c>
      <c r="DE740" s="0" t="s">
        <v>6567</v>
      </c>
    </row>
    <row customHeight="1" ht="11.25">
      <c r="A741" s="1441" t="s">
        <v>240</v>
      </c>
      <c r="B741" s="0" t="s">
        <v>240</v>
      </c>
      <c r="C741" s="0" t="s">
        <v>240</v>
      </c>
      <c r="D741" s="0" t="s">
        <v>240</v>
      </c>
      <c r="E741" s="0" t="s">
        <v>240</v>
      </c>
      <c r="F741" s="0" t="s">
        <v>240</v>
      </c>
      <c r="G741" s="0" t="s">
        <v>240</v>
      </c>
      <c r="H741" s="0" t="s">
        <v>240</v>
      </c>
      <c r="I741" s="0" t="s">
        <v>7004</v>
      </c>
      <c r="J741" s="0" t="s">
        <v>240</v>
      </c>
      <c r="K741" s="0" t="s">
        <v>240</v>
      </c>
      <c r="L741" s="0" t="s">
        <v>240</v>
      </c>
      <c r="M741" s="0" t="s">
        <v>240</v>
      </c>
      <c r="N741" s="0" t="s">
        <v>240</v>
      </c>
      <c r="O741" s="0" t="s">
        <v>240</v>
      </c>
      <c r="P741" s="0" t="s">
        <v>240</v>
      </c>
      <c r="Q741" s="0" t="s">
        <v>240</v>
      </c>
      <c r="R741" s="0" t="s">
        <v>7362</v>
      </c>
      <c r="S741" s="0" t="s">
        <v>240</v>
      </c>
      <c r="T741" s="0" t="s">
        <v>240</v>
      </c>
      <c r="U741" s="0" t="s">
        <v>102</v>
      </c>
      <c r="V741" s="0" t="s">
        <v>240</v>
      </c>
      <c r="W741" s="0" t="s">
        <v>240</v>
      </c>
      <c r="X741" s="0" t="s">
        <v>5585</v>
      </c>
      <c r="Y741" s="0" t="s">
        <v>240</v>
      </c>
      <c r="Z741" s="0" t="s">
        <v>152</v>
      </c>
      <c r="AA741" s="0" t="s">
        <v>152</v>
      </c>
      <c r="AB741" s="0" t="s">
        <v>161</v>
      </c>
      <c r="AC741" s="0" t="s">
        <v>2991</v>
      </c>
      <c r="AD741" s="0" t="s">
        <v>2991</v>
      </c>
      <c r="AE741" s="0" t="s">
        <v>2992</v>
      </c>
      <c r="AF741" s="0" t="s">
        <v>5772</v>
      </c>
      <c r="AG741" s="0" t="s">
        <v>5773</v>
      </c>
      <c r="AH741" s="0" t="s">
        <v>5575</v>
      </c>
      <c r="AI741" s="0" t="s">
        <v>5575</v>
      </c>
      <c r="AJ741" s="0" t="s">
        <v>240</v>
      </c>
      <c r="AK741" s="0" t="s">
        <v>240</v>
      </c>
      <c r="AL741" s="0" t="s">
        <v>240</v>
      </c>
      <c r="AN741" s="0" t="s">
        <v>240</v>
      </c>
      <c r="AO741" s="0" t="s">
        <v>240</v>
      </c>
      <c r="AP741" s="0" t="s">
        <v>240</v>
      </c>
      <c r="AQ741" s="0" t="s">
        <v>240</v>
      </c>
      <c r="AR741" s="0" t="s">
        <v>240</v>
      </c>
      <c r="AS741" s="0" t="s">
        <v>240</v>
      </c>
      <c r="AT741" s="0" t="s">
        <v>240</v>
      </c>
      <c r="AU741" s="0" t="s">
        <v>240</v>
      </c>
      <c r="AV741" s="0" t="s">
        <v>240</v>
      </c>
      <c r="AW741" s="0" t="s">
        <v>240</v>
      </c>
      <c r="AX741" s="0" t="s">
        <v>240</v>
      </c>
      <c r="AY741" s="0" t="s">
        <v>240</v>
      </c>
      <c r="AZ741" s="0" t="s">
        <v>240</v>
      </c>
      <c r="BA741" s="0" t="s">
        <v>240</v>
      </c>
      <c r="BB741" s="0" t="s">
        <v>240</v>
      </c>
      <c r="BC741" s="0" t="s">
        <v>240</v>
      </c>
      <c r="BD741" s="0" t="s">
        <v>240</v>
      </c>
      <c r="BE741" s="0" t="s">
        <v>7313</v>
      </c>
      <c r="BF741" s="0" t="s">
        <v>5756</v>
      </c>
      <c r="BG741" s="0" t="s">
        <v>112</v>
      </c>
      <c r="BH741" s="0" t="s">
        <v>5589</v>
      </c>
      <c r="BI741" s="0" t="s">
        <v>123</v>
      </c>
      <c r="BJ741" s="0" t="s">
        <v>240</v>
      </c>
      <c r="BK741" s="0" t="s">
        <v>240</v>
      </c>
      <c r="BL741" s="0" t="s">
        <v>2991</v>
      </c>
      <c r="BM741" s="0" t="s">
        <v>2991</v>
      </c>
      <c r="BN741" s="0" t="s">
        <v>5663</v>
      </c>
      <c r="BO741" s="0" t="s">
        <v>5772</v>
      </c>
      <c r="BP741" s="0" t="s">
        <v>6147</v>
      </c>
      <c r="BQ741" s="0" t="s">
        <v>5575</v>
      </c>
      <c r="BR741" s="0" t="s">
        <v>5575</v>
      </c>
      <c r="BS741" s="0" t="s">
        <v>240</v>
      </c>
      <c r="BT741" s="0" t="s">
        <v>5650</v>
      </c>
      <c r="CS741" s="0" t="s">
        <v>7118</v>
      </c>
      <c r="CT741" s="0" t="s">
        <v>5496</v>
      </c>
      <c r="CU741" s="0" t="s">
        <v>5497</v>
      </c>
      <c r="CV741" s="0" t="s">
        <v>443</v>
      </c>
      <c r="CW741" s="0" t="s">
        <v>5547</v>
      </c>
      <c r="CX741" s="0" t="s">
        <v>229</v>
      </c>
      <c r="CY741" s="0" t="s">
        <v>443</v>
      </c>
      <c r="CZ741" s="0" t="s">
        <v>5548</v>
      </c>
      <c r="DA741" s="0" t="s">
        <v>5549</v>
      </c>
      <c r="DB741" s="0" t="s">
        <v>5547</v>
      </c>
      <c r="DC741" s="0" t="s">
        <v>384</v>
      </c>
      <c r="DD741" s="0" t="s">
        <v>300</v>
      </c>
      <c r="DE741" s="0" t="s">
        <v>6149</v>
      </c>
    </row>
    <row customHeight="1" ht="11.25">
      <c r="A742" s="1441" t="s">
        <v>240</v>
      </c>
      <c r="B742" s="0" t="s">
        <v>240</v>
      </c>
      <c r="C742" s="0" t="s">
        <v>240</v>
      </c>
      <c r="D742" s="0" t="s">
        <v>240</v>
      </c>
      <c r="E742" s="0" t="s">
        <v>240</v>
      </c>
      <c r="F742" s="0" t="s">
        <v>240</v>
      </c>
      <c r="G742" s="0" t="s">
        <v>240</v>
      </c>
      <c r="H742" s="0" t="s">
        <v>240</v>
      </c>
      <c r="I742" s="0" t="s">
        <v>7004</v>
      </c>
      <c r="J742" s="0" t="s">
        <v>240</v>
      </c>
      <c r="K742" s="0" t="s">
        <v>240</v>
      </c>
      <c r="L742" s="0" t="s">
        <v>240</v>
      </c>
      <c r="M742" s="0" t="s">
        <v>240</v>
      </c>
      <c r="N742" s="0" t="s">
        <v>240</v>
      </c>
      <c r="O742" s="0" t="s">
        <v>240</v>
      </c>
      <c r="P742" s="0" t="s">
        <v>240</v>
      </c>
      <c r="Q742" s="0" t="s">
        <v>240</v>
      </c>
      <c r="R742" s="0" t="s">
        <v>7363</v>
      </c>
      <c r="S742" s="0" t="s">
        <v>240</v>
      </c>
      <c r="T742" s="0" t="s">
        <v>240</v>
      </c>
      <c r="U742" s="0" t="s">
        <v>102</v>
      </c>
      <c r="V742" s="0" t="s">
        <v>240</v>
      </c>
      <c r="W742" s="0" t="s">
        <v>240</v>
      </c>
      <c r="X742" s="0" t="s">
        <v>546</v>
      </c>
      <c r="Y742" s="0" t="s">
        <v>240</v>
      </c>
      <c r="Z742" s="0" t="s">
        <v>161</v>
      </c>
      <c r="AA742" s="0" t="s">
        <v>152</v>
      </c>
      <c r="AB742" s="0" t="s">
        <v>152</v>
      </c>
      <c r="AC742" s="0" t="s">
        <v>3389</v>
      </c>
      <c r="AD742" s="0" t="s">
        <v>3389</v>
      </c>
      <c r="AE742" s="0" t="s">
        <v>3390</v>
      </c>
      <c r="AF742" s="0" t="s">
        <v>5519</v>
      </c>
      <c r="AG742" s="0" t="s">
        <v>5520</v>
      </c>
      <c r="AH742" s="0" t="s">
        <v>7040</v>
      </c>
      <c r="AI742" s="0" t="s">
        <v>5533</v>
      </c>
      <c r="AJ742" s="0" t="s">
        <v>7051</v>
      </c>
      <c r="AK742" s="0" t="s">
        <v>7364</v>
      </c>
      <c r="AL742" s="0" t="s">
        <v>7027</v>
      </c>
      <c r="AN742" s="0" t="s">
        <v>6470</v>
      </c>
      <c r="AO742" s="0" t="s">
        <v>7053</v>
      </c>
      <c r="AP742" s="0" t="s">
        <v>240</v>
      </c>
      <c r="AQ742" s="0" t="s">
        <v>240</v>
      </c>
      <c r="AR742" s="0" t="s">
        <v>240</v>
      </c>
      <c r="AS742" s="0" t="s">
        <v>240</v>
      </c>
      <c r="AT742" s="0" t="s">
        <v>240</v>
      </c>
      <c r="AU742" s="0" t="s">
        <v>240</v>
      </c>
      <c r="AV742" s="0" t="s">
        <v>240</v>
      </c>
      <c r="AW742" s="0" t="s">
        <v>240</v>
      </c>
      <c r="AX742" s="0" t="s">
        <v>240</v>
      </c>
      <c r="AY742" s="0" t="s">
        <v>240</v>
      </c>
      <c r="AZ742" s="0" t="s">
        <v>240</v>
      </c>
      <c r="BA742" s="0" t="s">
        <v>240</v>
      </c>
      <c r="BB742" s="0" t="s">
        <v>240</v>
      </c>
      <c r="BC742" s="0" t="s">
        <v>240</v>
      </c>
      <c r="BD742" s="0" t="s">
        <v>240</v>
      </c>
      <c r="BE742" s="0" t="s">
        <v>240</v>
      </c>
      <c r="BF742" s="0" t="s">
        <v>240</v>
      </c>
      <c r="BG742" s="0" t="s">
        <v>240</v>
      </c>
      <c r="BH742" s="0" t="s">
        <v>240</v>
      </c>
      <c r="BI742" s="0" t="s">
        <v>240</v>
      </c>
      <c r="BJ742" s="0" t="s">
        <v>240</v>
      </c>
      <c r="BK742" s="0" t="s">
        <v>240</v>
      </c>
      <c r="BL742" s="0" t="s">
        <v>240</v>
      </c>
      <c r="BM742" s="0" t="s">
        <v>240</v>
      </c>
      <c r="BN742" s="0" t="s">
        <v>240</v>
      </c>
      <c r="BO742" s="0" t="s">
        <v>240</v>
      </c>
      <c r="BP742" s="0" t="s">
        <v>240</v>
      </c>
      <c r="BQ742" s="0" t="s">
        <v>240</v>
      </c>
      <c r="BR742" s="0" t="s">
        <v>240</v>
      </c>
      <c r="BS742" s="0" t="s">
        <v>240</v>
      </c>
      <c r="BT742" s="0" t="s">
        <v>240</v>
      </c>
      <c r="CS742" s="0" t="s">
        <v>240</v>
      </c>
      <c r="CT742" s="0" t="s">
        <v>5496</v>
      </c>
      <c r="CU742" s="0" t="s">
        <v>5497</v>
      </c>
      <c r="CV742" s="0" t="s">
        <v>443</v>
      </c>
      <c r="CW742" s="0" t="s">
        <v>5527</v>
      </c>
      <c r="CX742" s="0" t="s">
        <v>229</v>
      </c>
      <c r="CY742" s="0" t="s">
        <v>443</v>
      </c>
      <c r="CZ742" s="0" t="s">
        <v>299</v>
      </c>
      <c r="DA742" s="0" t="s">
        <v>5529</v>
      </c>
      <c r="DB742" s="0" t="s">
        <v>5527</v>
      </c>
      <c r="DC742" s="0" t="s">
        <v>384</v>
      </c>
      <c r="DD742" s="0" t="s">
        <v>300</v>
      </c>
      <c r="DE742" s="0" t="s">
        <v>7044</v>
      </c>
    </row>
    <row customHeight="1" ht="11.25">
      <c r="A743" s="1441" t="s">
        <v>240</v>
      </c>
      <c r="B743" s="0" t="s">
        <v>240</v>
      </c>
      <c r="C743" s="0" t="s">
        <v>240</v>
      </c>
      <c r="D743" s="0" t="s">
        <v>240</v>
      </c>
      <c r="E743" s="0" t="s">
        <v>240</v>
      </c>
      <c r="F743" s="0" t="s">
        <v>240</v>
      </c>
      <c r="G743" s="0" t="s">
        <v>240</v>
      </c>
      <c r="H743" s="0" t="s">
        <v>240</v>
      </c>
      <c r="I743" s="0" t="s">
        <v>7004</v>
      </c>
      <c r="J743" s="0" t="s">
        <v>240</v>
      </c>
      <c r="K743" s="0" t="s">
        <v>240</v>
      </c>
      <c r="L743" s="0" t="s">
        <v>240</v>
      </c>
      <c r="M743" s="0" t="s">
        <v>240</v>
      </c>
      <c r="N743" s="0" t="s">
        <v>240</v>
      </c>
      <c r="O743" s="0" t="s">
        <v>240</v>
      </c>
      <c r="P743" s="0" t="s">
        <v>240</v>
      </c>
      <c r="Q743" s="0" t="s">
        <v>240</v>
      </c>
      <c r="R743" s="0" t="s">
        <v>7365</v>
      </c>
      <c r="S743" s="0" t="s">
        <v>240</v>
      </c>
      <c r="T743" s="0" t="s">
        <v>240</v>
      </c>
      <c r="U743" s="0" t="s">
        <v>102</v>
      </c>
      <c r="V743" s="0" t="s">
        <v>240</v>
      </c>
      <c r="W743" s="0" t="s">
        <v>240</v>
      </c>
      <c r="X743" s="0" t="s">
        <v>546</v>
      </c>
      <c r="Y743" s="0" t="s">
        <v>240</v>
      </c>
      <c r="Z743" s="0" t="s">
        <v>161</v>
      </c>
      <c r="AA743" s="0" t="s">
        <v>152</v>
      </c>
      <c r="AB743" s="0" t="s">
        <v>152</v>
      </c>
      <c r="AC743" s="0" t="s">
        <v>2989</v>
      </c>
      <c r="AD743" s="0" t="s">
        <v>2989</v>
      </c>
      <c r="AE743" s="0" t="s">
        <v>2990</v>
      </c>
      <c r="AF743" s="0" t="s">
        <v>5975</v>
      </c>
      <c r="AG743" s="0" t="s">
        <v>5976</v>
      </c>
      <c r="AH743" s="0" t="s">
        <v>5617</v>
      </c>
      <c r="AI743" s="0" t="s">
        <v>5575</v>
      </c>
      <c r="AJ743" s="0" t="s">
        <v>7125</v>
      </c>
      <c r="AK743" s="0" t="s">
        <v>7366</v>
      </c>
      <c r="AL743" s="0" t="s">
        <v>7009</v>
      </c>
      <c r="AN743" s="0" t="s">
        <v>5491</v>
      </c>
      <c r="AO743" s="0" t="s">
        <v>7150</v>
      </c>
      <c r="AP743" s="0" t="s">
        <v>240</v>
      </c>
      <c r="AQ743" s="0" t="s">
        <v>240</v>
      </c>
      <c r="AR743" s="0" t="s">
        <v>240</v>
      </c>
      <c r="AS743" s="0" t="s">
        <v>240</v>
      </c>
      <c r="AT743" s="0" t="s">
        <v>240</v>
      </c>
      <c r="AU743" s="0" t="s">
        <v>240</v>
      </c>
      <c r="AV743" s="0" t="s">
        <v>240</v>
      </c>
      <c r="AW743" s="0" t="s">
        <v>240</v>
      </c>
      <c r="AX743" s="0" t="s">
        <v>240</v>
      </c>
      <c r="AY743" s="0" t="s">
        <v>240</v>
      </c>
      <c r="AZ743" s="0" t="s">
        <v>240</v>
      </c>
      <c r="BA743" s="0" t="s">
        <v>240</v>
      </c>
      <c r="BB743" s="0" t="s">
        <v>240</v>
      </c>
      <c r="BC743" s="0" t="s">
        <v>240</v>
      </c>
      <c r="BD743" s="0" t="s">
        <v>240</v>
      </c>
      <c r="BE743" s="0" t="s">
        <v>240</v>
      </c>
      <c r="BF743" s="0" t="s">
        <v>240</v>
      </c>
      <c r="BG743" s="0" t="s">
        <v>240</v>
      </c>
      <c r="BH743" s="0" t="s">
        <v>240</v>
      </c>
      <c r="BI743" s="0" t="s">
        <v>240</v>
      </c>
      <c r="BJ743" s="0" t="s">
        <v>240</v>
      </c>
      <c r="BK743" s="0" t="s">
        <v>240</v>
      </c>
      <c r="BL743" s="0" t="s">
        <v>240</v>
      </c>
      <c r="BM743" s="0" t="s">
        <v>240</v>
      </c>
      <c r="BN743" s="0" t="s">
        <v>240</v>
      </c>
      <c r="BO743" s="0" t="s">
        <v>240</v>
      </c>
      <c r="BP743" s="0" t="s">
        <v>240</v>
      </c>
      <c r="BQ743" s="0" t="s">
        <v>240</v>
      </c>
      <c r="BR743" s="0" t="s">
        <v>240</v>
      </c>
      <c r="BS743" s="0" t="s">
        <v>240</v>
      </c>
      <c r="BT743" s="0" t="s">
        <v>240</v>
      </c>
      <c r="CS743" s="0" t="s">
        <v>240</v>
      </c>
      <c r="CT743" s="0" t="s">
        <v>5496</v>
      </c>
      <c r="CU743" s="0" t="s">
        <v>5497</v>
      </c>
      <c r="CV743" s="0" t="s">
        <v>443</v>
      </c>
      <c r="CW743" s="0" t="s">
        <v>5580</v>
      </c>
      <c r="CX743" s="0" t="s">
        <v>229</v>
      </c>
      <c r="CY743" s="0" t="s">
        <v>443</v>
      </c>
      <c r="CZ743" s="0" t="s">
        <v>5581</v>
      </c>
      <c r="DA743" s="0" t="s">
        <v>5582</v>
      </c>
      <c r="DB743" s="0" t="s">
        <v>5580</v>
      </c>
      <c r="DC743" s="0" t="s">
        <v>384</v>
      </c>
      <c r="DD743" s="0" t="s">
        <v>300</v>
      </c>
      <c r="DE743" s="0" t="s">
        <v>7367</v>
      </c>
    </row>
    <row customHeight="1" ht="11.25">
      <c r="A744" s="1441" t="s">
        <v>240</v>
      </c>
      <c r="B744" s="0" t="s">
        <v>240</v>
      </c>
      <c r="C744" s="0" t="s">
        <v>240</v>
      </c>
      <c r="D744" s="0" t="s">
        <v>240</v>
      </c>
      <c r="E744" s="0" t="s">
        <v>240</v>
      </c>
      <c r="F744" s="0" t="s">
        <v>240</v>
      </c>
      <c r="G744" s="0" t="s">
        <v>240</v>
      </c>
      <c r="H744" s="0" t="s">
        <v>240</v>
      </c>
      <c r="I744" s="0" t="s">
        <v>7004</v>
      </c>
      <c r="J744" s="0" t="s">
        <v>240</v>
      </c>
      <c r="K744" s="0" t="s">
        <v>240</v>
      </c>
      <c r="L744" s="0" t="s">
        <v>240</v>
      </c>
      <c r="M744" s="0" t="s">
        <v>240</v>
      </c>
      <c r="N744" s="0" t="s">
        <v>240</v>
      </c>
      <c r="O744" s="0" t="s">
        <v>240</v>
      </c>
      <c r="P744" s="0" t="s">
        <v>240</v>
      </c>
      <c r="Q744" s="0" t="s">
        <v>240</v>
      </c>
      <c r="R744" s="0" t="s">
        <v>7368</v>
      </c>
      <c r="S744" s="0" t="s">
        <v>240</v>
      </c>
      <c r="T744" s="0" t="s">
        <v>240</v>
      </c>
      <c r="U744" s="0" t="s">
        <v>102</v>
      </c>
      <c r="V744" s="0" t="s">
        <v>240</v>
      </c>
      <c r="W744" s="0" t="s">
        <v>240</v>
      </c>
      <c r="X744" s="0" t="s">
        <v>546</v>
      </c>
      <c r="Y744" s="0" t="s">
        <v>240</v>
      </c>
      <c r="Z744" s="0" t="s">
        <v>161</v>
      </c>
      <c r="AA744" s="0" t="s">
        <v>152</v>
      </c>
      <c r="AB744" s="0" t="s">
        <v>152</v>
      </c>
      <c r="AC744" s="0" t="s">
        <v>3389</v>
      </c>
      <c r="AD744" s="0" t="s">
        <v>3389</v>
      </c>
      <c r="AE744" s="0" t="s">
        <v>3390</v>
      </c>
      <c r="AF744" s="0" t="s">
        <v>5519</v>
      </c>
      <c r="AG744" s="0" t="s">
        <v>5520</v>
      </c>
      <c r="AH744" s="0" t="s">
        <v>5760</v>
      </c>
      <c r="AI744" s="0" t="s">
        <v>5533</v>
      </c>
      <c r="AJ744" s="0" t="s">
        <v>5903</v>
      </c>
      <c r="AK744" s="0" t="s">
        <v>7369</v>
      </c>
      <c r="AL744" s="0" t="s">
        <v>7009</v>
      </c>
      <c r="AN744" s="0" t="s">
        <v>7370</v>
      </c>
      <c r="AO744" s="0" t="s">
        <v>7371</v>
      </c>
      <c r="AP744" s="0" t="s">
        <v>240</v>
      </c>
      <c r="AQ744" s="0" t="s">
        <v>240</v>
      </c>
      <c r="AR744" s="0" t="s">
        <v>240</v>
      </c>
      <c r="AS744" s="0" t="s">
        <v>240</v>
      </c>
      <c r="AT744" s="0" t="s">
        <v>240</v>
      </c>
      <c r="AU744" s="0" t="s">
        <v>240</v>
      </c>
      <c r="AV744" s="0" t="s">
        <v>240</v>
      </c>
      <c r="AW744" s="0" t="s">
        <v>240</v>
      </c>
      <c r="AX744" s="0" t="s">
        <v>240</v>
      </c>
      <c r="AY744" s="0" t="s">
        <v>240</v>
      </c>
      <c r="AZ744" s="0" t="s">
        <v>240</v>
      </c>
      <c r="BA744" s="0" t="s">
        <v>240</v>
      </c>
      <c r="BB744" s="0" t="s">
        <v>240</v>
      </c>
      <c r="BC744" s="0" t="s">
        <v>240</v>
      </c>
      <c r="BD744" s="0" t="s">
        <v>240</v>
      </c>
      <c r="BE744" s="0" t="s">
        <v>240</v>
      </c>
      <c r="BF744" s="0" t="s">
        <v>240</v>
      </c>
      <c r="BG744" s="0" t="s">
        <v>240</v>
      </c>
      <c r="BH744" s="0" t="s">
        <v>240</v>
      </c>
      <c r="BI744" s="0" t="s">
        <v>240</v>
      </c>
      <c r="BJ744" s="0" t="s">
        <v>240</v>
      </c>
      <c r="BK744" s="0" t="s">
        <v>240</v>
      </c>
      <c r="BL744" s="0" t="s">
        <v>240</v>
      </c>
      <c r="BM744" s="0" t="s">
        <v>240</v>
      </c>
      <c r="BN744" s="0" t="s">
        <v>240</v>
      </c>
      <c r="BO744" s="0" t="s">
        <v>240</v>
      </c>
      <c r="BP744" s="0" t="s">
        <v>240</v>
      </c>
      <c r="BQ744" s="0" t="s">
        <v>240</v>
      </c>
      <c r="BR744" s="0" t="s">
        <v>240</v>
      </c>
      <c r="BS744" s="0" t="s">
        <v>240</v>
      </c>
      <c r="BT744" s="0" t="s">
        <v>240</v>
      </c>
      <c r="CS744" s="0" t="s">
        <v>240</v>
      </c>
      <c r="CT744" s="0" t="s">
        <v>5496</v>
      </c>
      <c r="CU744" s="0" t="s">
        <v>5497</v>
      </c>
      <c r="CV744" s="0" t="s">
        <v>443</v>
      </c>
      <c r="CW744" s="0" t="s">
        <v>5527</v>
      </c>
      <c r="CX744" s="0" t="s">
        <v>5528</v>
      </c>
      <c r="CY744" s="0" t="s">
        <v>443</v>
      </c>
      <c r="CZ744" s="0" t="s">
        <v>299</v>
      </c>
      <c r="DA744" s="0" t="s">
        <v>5529</v>
      </c>
      <c r="DB744" s="0" t="s">
        <v>5527</v>
      </c>
      <c r="DC744" s="0" t="s">
        <v>384</v>
      </c>
      <c r="DD744" s="0" t="s">
        <v>300</v>
      </c>
      <c r="DE744" s="0" t="s">
        <v>5765</v>
      </c>
    </row>
    <row customHeight="1" ht="11.25">
      <c r="A745" s="1441" t="s">
        <v>240</v>
      </c>
      <c r="B745" s="0" t="s">
        <v>240</v>
      </c>
      <c r="C745" s="0" t="s">
        <v>240</v>
      </c>
      <c r="D745" s="0" t="s">
        <v>240</v>
      </c>
      <c r="E745" s="0" t="s">
        <v>240</v>
      </c>
      <c r="F745" s="0" t="s">
        <v>240</v>
      </c>
      <c r="G745" s="0" t="s">
        <v>240</v>
      </c>
      <c r="H745" s="0" t="s">
        <v>240</v>
      </c>
      <c r="I745" s="0" t="s">
        <v>7004</v>
      </c>
      <c r="J745" s="0" t="s">
        <v>240</v>
      </c>
      <c r="K745" s="0" t="s">
        <v>240</v>
      </c>
      <c r="L745" s="0" t="s">
        <v>240</v>
      </c>
      <c r="M745" s="0" t="s">
        <v>240</v>
      </c>
      <c r="N745" s="0" t="s">
        <v>240</v>
      </c>
      <c r="O745" s="0" t="s">
        <v>240</v>
      </c>
      <c r="P745" s="0" t="s">
        <v>240</v>
      </c>
      <c r="Q745" s="0" t="s">
        <v>240</v>
      </c>
      <c r="R745" s="0" t="s">
        <v>7372</v>
      </c>
      <c r="S745" s="0" t="s">
        <v>240</v>
      </c>
      <c r="T745" s="0" t="s">
        <v>240</v>
      </c>
      <c r="U745" s="0" t="s">
        <v>102</v>
      </c>
      <c r="V745" s="0" t="s">
        <v>240</v>
      </c>
      <c r="W745" s="0" t="s">
        <v>240</v>
      </c>
      <c r="X745" s="0" t="s">
        <v>5905</v>
      </c>
      <c r="Y745" s="0" t="s">
        <v>240</v>
      </c>
      <c r="Z745" s="0" t="s">
        <v>152</v>
      </c>
      <c r="AA745" s="0" t="s">
        <v>161</v>
      </c>
      <c r="AB745" s="0" t="s">
        <v>152</v>
      </c>
      <c r="AC745" s="0" t="s">
        <v>2989</v>
      </c>
      <c r="AD745" s="0" t="s">
        <v>2989</v>
      </c>
      <c r="AE745" s="0" t="s">
        <v>2990</v>
      </c>
      <c r="AF745" s="0" t="s">
        <v>5975</v>
      </c>
      <c r="AG745" s="0" t="s">
        <v>5976</v>
      </c>
      <c r="AH745" s="0" t="s">
        <v>5575</v>
      </c>
      <c r="AI745" s="0" t="s">
        <v>5575</v>
      </c>
      <c r="AJ745" s="0" t="s">
        <v>240</v>
      </c>
      <c r="AK745" s="0" t="s">
        <v>240</v>
      </c>
      <c r="AL745" s="0" t="s">
        <v>240</v>
      </c>
      <c r="AN745" s="0" t="s">
        <v>240</v>
      </c>
      <c r="AO745" s="0" t="s">
        <v>240</v>
      </c>
      <c r="AP745" s="0" t="s">
        <v>7116</v>
      </c>
      <c r="AQ745" s="0" t="s">
        <v>7117</v>
      </c>
      <c r="AR745" s="0" t="s">
        <v>112</v>
      </c>
      <c r="AS745" s="0" t="s">
        <v>5589</v>
      </c>
      <c r="AT745" s="0" t="s">
        <v>123</v>
      </c>
      <c r="AU745" s="0" t="s">
        <v>240</v>
      </c>
      <c r="AV745" s="0" t="s">
        <v>7372</v>
      </c>
      <c r="AW745" s="0" t="s">
        <v>2989</v>
      </c>
      <c r="AX745" s="0" t="s">
        <v>2989</v>
      </c>
      <c r="AY745" s="0" t="s">
        <v>5798</v>
      </c>
      <c r="AZ745" s="0" t="s">
        <v>5975</v>
      </c>
      <c r="BA745" s="0" t="s">
        <v>6162</v>
      </c>
      <c r="BB745" s="0" t="s">
        <v>240</v>
      </c>
      <c r="BC745" s="0" t="s">
        <v>240</v>
      </c>
      <c r="BD745" s="0" t="s">
        <v>5507</v>
      </c>
      <c r="BE745" s="0" t="s">
        <v>240</v>
      </c>
      <c r="BF745" s="0" t="s">
        <v>240</v>
      </c>
      <c r="BG745" s="0" t="s">
        <v>240</v>
      </c>
      <c r="BH745" s="0" t="s">
        <v>240</v>
      </c>
      <c r="BI745" s="0" t="s">
        <v>240</v>
      </c>
      <c r="BJ745" s="0" t="s">
        <v>240</v>
      </c>
      <c r="BK745" s="0" t="s">
        <v>240</v>
      </c>
      <c r="BL745" s="0" t="s">
        <v>240</v>
      </c>
      <c r="BM745" s="0" t="s">
        <v>240</v>
      </c>
      <c r="BN745" s="0" t="s">
        <v>240</v>
      </c>
      <c r="BO745" s="0" t="s">
        <v>240</v>
      </c>
      <c r="BP745" s="0" t="s">
        <v>240</v>
      </c>
      <c r="BQ745" s="0" t="s">
        <v>240</v>
      </c>
      <c r="BR745" s="0" t="s">
        <v>240</v>
      </c>
      <c r="BS745" s="0" t="s">
        <v>240</v>
      </c>
      <c r="BT745" s="0" t="s">
        <v>240</v>
      </c>
      <c r="CS745" s="0" t="s">
        <v>240</v>
      </c>
      <c r="CT745" s="0" t="s">
        <v>5496</v>
      </c>
      <c r="CU745" s="0" t="s">
        <v>5497</v>
      </c>
      <c r="CV745" s="0" t="s">
        <v>443</v>
      </c>
      <c r="CW745" s="0" t="s">
        <v>5580</v>
      </c>
      <c r="CX745" s="0" t="s">
        <v>229</v>
      </c>
      <c r="CY745" s="0" t="s">
        <v>443</v>
      </c>
      <c r="CZ745" s="0" t="s">
        <v>5581</v>
      </c>
      <c r="DA745" s="0" t="s">
        <v>5582</v>
      </c>
      <c r="DB745" s="0" t="s">
        <v>5580</v>
      </c>
      <c r="DC745" s="0" t="s">
        <v>384</v>
      </c>
      <c r="DD745" s="0" t="s">
        <v>300</v>
      </c>
      <c r="DE745" s="0" t="s">
        <v>6236</v>
      </c>
    </row>
    <row customHeight="1" ht="11.25">
      <c r="A746" s="1441" t="s">
        <v>240</v>
      </c>
      <c r="B746" s="0" t="s">
        <v>240</v>
      </c>
      <c r="C746" s="0" t="s">
        <v>240</v>
      </c>
      <c r="D746" s="0" t="s">
        <v>240</v>
      </c>
      <c r="E746" s="0" t="s">
        <v>240</v>
      </c>
      <c r="F746" s="0" t="s">
        <v>240</v>
      </c>
      <c r="G746" s="0" t="s">
        <v>240</v>
      </c>
      <c r="H746" s="0" t="s">
        <v>240</v>
      </c>
      <c r="I746" s="0" t="s">
        <v>7004</v>
      </c>
      <c r="J746" s="0" t="s">
        <v>240</v>
      </c>
      <c r="K746" s="0" t="s">
        <v>240</v>
      </c>
      <c r="L746" s="0" t="s">
        <v>240</v>
      </c>
      <c r="M746" s="0" t="s">
        <v>240</v>
      </c>
      <c r="N746" s="0" t="s">
        <v>240</v>
      </c>
      <c r="O746" s="0" t="s">
        <v>240</v>
      </c>
      <c r="P746" s="0" t="s">
        <v>240</v>
      </c>
      <c r="Q746" s="0" t="s">
        <v>240</v>
      </c>
      <c r="R746" s="0" t="s">
        <v>520</v>
      </c>
      <c r="S746" s="0" t="s">
        <v>240</v>
      </c>
      <c r="T746" s="0" t="s">
        <v>240</v>
      </c>
      <c r="U746" s="0" t="s">
        <v>102</v>
      </c>
      <c r="V746" s="0" t="s">
        <v>240</v>
      </c>
      <c r="W746" s="0" t="s">
        <v>240</v>
      </c>
      <c r="X746" s="0" t="s">
        <v>546</v>
      </c>
      <c r="Y746" s="0" t="s">
        <v>240</v>
      </c>
      <c r="Z746" s="0" t="s">
        <v>161</v>
      </c>
      <c r="AA746" s="0" t="s">
        <v>152</v>
      </c>
      <c r="AB746" s="0" t="s">
        <v>152</v>
      </c>
      <c r="AC746" s="0" t="s">
        <v>364</v>
      </c>
      <c r="AD746" s="0" t="s">
        <v>364</v>
      </c>
      <c r="AE746" s="0" t="s">
        <v>365</v>
      </c>
      <c r="AF746" s="0" t="s">
        <v>5486</v>
      </c>
      <c r="AG746" s="0" t="s">
        <v>5487</v>
      </c>
      <c r="AH746" s="0" t="s">
        <v>7373</v>
      </c>
      <c r="AI746" s="0" t="s">
        <v>5968</v>
      </c>
      <c r="AJ746" s="0" t="s">
        <v>6884</v>
      </c>
      <c r="AK746" s="0" t="s">
        <v>5494</v>
      </c>
      <c r="AL746" s="0" t="s">
        <v>7009</v>
      </c>
      <c r="AN746" s="0" t="s">
        <v>6206</v>
      </c>
      <c r="AO746" s="0" t="s">
        <v>5579</v>
      </c>
      <c r="AP746" s="0" t="s">
        <v>240</v>
      </c>
      <c r="AQ746" s="0" t="s">
        <v>240</v>
      </c>
      <c r="AR746" s="0" t="s">
        <v>240</v>
      </c>
      <c r="AS746" s="0" t="s">
        <v>240</v>
      </c>
      <c r="AT746" s="0" t="s">
        <v>240</v>
      </c>
      <c r="AU746" s="0" t="s">
        <v>240</v>
      </c>
      <c r="AV746" s="0" t="s">
        <v>240</v>
      </c>
      <c r="AW746" s="0" t="s">
        <v>240</v>
      </c>
      <c r="AX746" s="0" t="s">
        <v>240</v>
      </c>
      <c r="AY746" s="0" t="s">
        <v>240</v>
      </c>
      <c r="AZ746" s="0" t="s">
        <v>240</v>
      </c>
      <c r="BA746" s="0" t="s">
        <v>240</v>
      </c>
      <c r="BB746" s="0" t="s">
        <v>240</v>
      </c>
      <c r="BC746" s="0" t="s">
        <v>240</v>
      </c>
      <c r="BD746" s="0" t="s">
        <v>240</v>
      </c>
      <c r="BE746" s="0" t="s">
        <v>240</v>
      </c>
      <c r="BF746" s="0" t="s">
        <v>240</v>
      </c>
      <c r="BG746" s="0" t="s">
        <v>240</v>
      </c>
      <c r="BH746" s="0" t="s">
        <v>240</v>
      </c>
      <c r="BI746" s="0" t="s">
        <v>240</v>
      </c>
      <c r="BJ746" s="0" t="s">
        <v>240</v>
      </c>
      <c r="BK746" s="0" t="s">
        <v>240</v>
      </c>
      <c r="BL746" s="0" t="s">
        <v>240</v>
      </c>
      <c r="BM746" s="0" t="s">
        <v>240</v>
      </c>
      <c r="BN746" s="0" t="s">
        <v>240</v>
      </c>
      <c r="BO746" s="0" t="s">
        <v>240</v>
      </c>
      <c r="BP746" s="0" t="s">
        <v>240</v>
      </c>
      <c r="BQ746" s="0" t="s">
        <v>240</v>
      </c>
      <c r="BR746" s="0" t="s">
        <v>240</v>
      </c>
      <c r="BS746" s="0" t="s">
        <v>240</v>
      </c>
      <c r="BT746" s="0" t="s">
        <v>240</v>
      </c>
      <c r="CS746" s="0" t="s">
        <v>240</v>
      </c>
      <c r="CT746" s="0" t="s">
        <v>5496</v>
      </c>
      <c r="CU746" s="0" t="s">
        <v>5497</v>
      </c>
      <c r="CV746" s="0" t="s">
        <v>443</v>
      </c>
      <c r="CW746" s="0" t="s">
        <v>5498</v>
      </c>
      <c r="CX746" s="0" t="s">
        <v>229</v>
      </c>
      <c r="CY746" s="0" t="s">
        <v>443</v>
      </c>
      <c r="CZ746" s="0" t="s">
        <v>230</v>
      </c>
      <c r="DA746" s="0" t="s">
        <v>444</v>
      </c>
      <c r="DB746" s="0" t="s">
        <v>5498</v>
      </c>
      <c r="DC746" s="0" t="s">
        <v>384</v>
      </c>
      <c r="DD746" s="0" t="s">
        <v>300</v>
      </c>
      <c r="DE746" s="0" t="s">
        <v>521</v>
      </c>
    </row>
    <row customHeight="1" ht="11.25">
      <c r="A747" s="1441" t="s">
        <v>240</v>
      </c>
      <c r="B747" s="0" t="s">
        <v>240</v>
      </c>
      <c r="C747" s="0" t="s">
        <v>240</v>
      </c>
      <c r="D747" s="0" t="s">
        <v>240</v>
      </c>
      <c r="E747" s="0" t="s">
        <v>240</v>
      </c>
      <c r="F747" s="0" t="s">
        <v>240</v>
      </c>
      <c r="G747" s="0" t="s">
        <v>240</v>
      </c>
      <c r="H747" s="0" t="s">
        <v>240</v>
      </c>
      <c r="I747" s="0" t="s">
        <v>7004</v>
      </c>
      <c r="J747" s="0" t="s">
        <v>240</v>
      </c>
      <c r="K747" s="0" t="s">
        <v>240</v>
      </c>
      <c r="L747" s="0" t="s">
        <v>240</v>
      </c>
      <c r="M747" s="0" t="s">
        <v>240</v>
      </c>
      <c r="N747" s="0" t="s">
        <v>240</v>
      </c>
      <c r="O747" s="0" t="s">
        <v>240</v>
      </c>
      <c r="P747" s="0" t="s">
        <v>240</v>
      </c>
      <c r="Q747" s="0" t="s">
        <v>240</v>
      </c>
      <c r="R747" s="0" t="s">
        <v>532</v>
      </c>
      <c r="S747" s="0" t="s">
        <v>240</v>
      </c>
      <c r="T747" s="0" t="s">
        <v>240</v>
      </c>
      <c r="U747" s="0" t="s">
        <v>102</v>
      </c>
      <c r="V747" s="0" t="s">
        <v>240</v>
      </c>
      <c r="W747" s="0" t="s">
        <v>240</v>
      </c>
      <c r="X747" s="0" t="s">
        <v>546</v>
      </c>
      <c r="Y747" s="0" t="s">
        <v>240</v>
      </c>
      <c r="Z747" s="0" t="s">
        <v>161</v>
      </c>
      <c r="AA747" s="0" t="s">
        <v>152</v>
      </c>
      <c r="AB747" s="0" t="s">
        <v>152</v>
      </c>
      <c r="AC747" s="0" t="s">
        <v>364</v>
      </c>
      <c r="AD747" s="0" t="s">
        <v>364</v>
      </c>
      <c r="AE747" s="0" t="s">
        <v>365</v>
      </c>
      <c r="AF747" s="0" t="s">
        <v>6806</v>
      </c>
      <c r="AG747" s="0" t="s">
        <v>6807</v>
      </c>
      <c r="AH747" s="0" t="s">
        <v>7374</v>
      </c>
      <c r="AI747" s="0" t="s">
        <v>6899</v>
      </c>
      <c r="AJ747" s="0" t="s">
        <v>7375</v>
      </c>
      <c r="AK747" s="0" t="s">
        <v>6884</v>
      </c>
      <c r="AL747" s="0" t="s">
        <v>7009</v>
      </c>
      <c r="AN747" s="0" t="s">
        <v>5578</v>
      </c>
      <c r="AO747" s="0" t="s">
        <v>5636</v>
      </c>
      <c r="AP747" s="0" t="s">
        <v>240</v>
      </c>
      <c r="AQ747" s="0" t="s">
        <v>240</v>
      </c>
      <c r="AR747" s="0" t="s">
        <v>240</v>
      </c>
      <c r="AS747" s="0" t="s">
        <v>240</v>
      </c>
      <c r="AT747" s="0" t="s">
        <v>240</v>
      </c>
      <c r="AU747" s="0" t="s">
        <v>240</v>
      </c>
      <c r="AV747" s="0" t="s">
        <v>240</v>
      </c>
      <c r="AW747" s="0" t="s">
        <v>240</v>
      </c>
      <c r="AX747" s="0" t="s">
        <v>240</v>
      </c>
      <c r="AY747" s="0" t="s">
        <v>240</v>
      </c>
      <c r="AZ747" s="0" t="s">
        <v>240</v>
      </c>
      <c r="BA747" s="0" t="s">
        <v>240</v>
      </c>
      <c r="BB747" s="0" t="s">
        <v>240</v>
      </c>
      <c r="BC747" s="0" t="s">
        <v>240</v>
      </c>
      <c r="BD747" s="0" t="s">
        <v>240</v>
      </c>
      <c r="BE747" s="0" t="s">
        <v>240</v>
      </c>
      <c r="BF747" s="0" t="s">
        <v>240</v>
      </c>
      <c r="BG747" s="0" t="s">
        <v>240</v>
      </c>
      <c r="BH747" s="0" t="s">
        <v>240</v>
      </c>
      <c r="BI747" s="0" t="s">
        <v>240</v>
      </c>
      <c r="BJ747" s="0" t="s">
        <v>240</v>
      </c>
      <c r="BK747" s="0" t="s">
        <v>240</v>
      </c>
      <c r="BL747" s="0" t="s">
        <v>240</v>
      </c>
      <c r="BM747" s="0" t="s">
        <v>240</v>
      </c>
      <c r="BN747" s="0" t="s">
        <v>240</v>
      </c>
      <c r="BO747" s="0" t="s">
        <v>240</v>
      </c>
      <c r="BP747" s="0" t="s">
        <v>240</v>
      </c>
      <c r="BQ747" s="0" t="s">
        <v>240</v>
      </c>
      <c r="BR747" s="0" t="s">
        <v>240</v>
      </c>
      <c r="BS747" s="0" t="s">
        <v>240</v>
      </c>
      <c r="BT747" s="0" t="s">
        <v>240</v>
      </c>
      <c r="CS747" s="0" t="s">
        <v>240</v>
      </c>
      <c r="CT747" s="0" t="s">
        <v>5496</v>
      </c>
      <c r="CU747" s="0" t="s">
        <v>5497</v>
      </c>
      <c r="CV747" s="0" t="s">
        <v>443</v>
      </c>
      <c r="CW747" s="0" t="s">
        <v>6818</v>
      </c>
      <c r="CX747" s="0" t="s">
        <v>229</v>
      </c>
      <c r="CY747" s="0" t="s">
        <v>443</v>
      </c>
      <c r="CZ747" s="0" t="s">
        <v>234</v>
      </c>
      <c r="DA747" s="0" t="s">
        <v>444</v>
      </c>
      <c r="DB747" s="0" t="s">
        <v>6818</v>
      </c>
      <c r="DC747" s="0" t="s">
        <v>384</v>
      </c>
      <c r="DD747" s="0" t="s">
        <v>300</v>
      </c>
      <c r="DE747" s="0" t="s">
        <v>552</v>
      </c>
    </row>
    <row customHeight="1" ht="11.25">
      <c r="A748" s="1441" t="s">
        <v>240</v>
      </c>
      <c r="B748" s="0" t="s">
        <v>240</v>
      </c>
      <c r="C748" s="0" t="s">
        <v>240</v>
      </c>
      <c r="D748" s="0" t="s">
        <v>240</v>
      </c>
      <c r="E748" s="0" t="s">
        <v>240</v>
      </c>
      <c r="F748" s="0" t="s">
        <v>240</v>
      </c>
      <c r="G748" s="0" t="s">
        <v>240</v>
      </c>
      <c r="H748" s="0" t="s">
        <v>240</v>
      </c>
      <c r="I748" s="0" t="s">
        <v>7004</v>
      </c>
      <c r="J748" s="0" t="s">
        <v>240</v>
      </c>
      <c r="K748" s="0" t="s">
        <v>240</v>
      </c>
      <c r="L748" s="0" t="s">
        <v>240</v>
      </c>
      <c r="M748" s="0" t="s">
        <v>240</v>
      </c>
      <c r="N748" s="0" t="s">
        <v>240</v>
      </c>
      <c r="O748" s="0" t="s">
        <v>240</v>
      </c>
      <c r="P748" s="0" t="s">
        <v>240</v>
      </c>
      <c r="Q748" s="0" t="s">
        <v>240</v>
      </c>
      <c r="R748" s="0" t="s">
        <v>7376</v>
      </c>
      <c r="S748" s="0" t="s">
        <v>240</v>
      </c>
      <c r="T748" s="0" t="s">
        <v>240</v>
      </c>
      <c r="U748" s="0" t="s">
        <v>102</v>
      </c>
      <c r="V748" s="0" t="s">
        <v>240</v>
      </c>
      <c r="W748" s="0" t="s">
        <v>240</v>
      </c>
      <c r="X748" s="0" t="s">
        <v>546</v>
      </c>
      <c r="Y748" s="0" t="s">
        <v>240</v>
      </c>
      <c r="Z748" s="0" t="s">
        <v>161</v>
      </c>
      <c r="AA748" s="0" t="s">
        <v>152</v>
      </c>
      <c r="AB748" s="0" t="s">
        <v>152</v>
      </c>
      <c r="AC748" s="0" t="s">
        <v>3395</v>
      </c>
      <c r="AD748" s="0" t="s">
        <v>3395</v>
      </c>
      <c r="AE748" s="0" t="s">
        <v>3396</v>
      </c>
      <c r="AF748" s="0" t="s">
        <v>5941</v>
      </c>
      <c r="AG748" s="0" t="s">
        <v>5942</v>
      </c>
      <c r="AH748" s="0" t="s">
        <v>6223</v>
      </c>
      <c r="AI748" s="0" t="s">
        <v>6562</v>
      </c>
      <c r="AJ748" s="0" t="s">
        <v>5822</v>
      </c>
      <c r="AK748" s="0" t="s">
        <v>5822</v>
      </c>
      <c r="AL748" s="0" t="s">
        <v>7009</v>
      </c>
      <c r="AN748" s="0" t="s">
        <v>5553</v>
      </c>
      <c r="AO748" s="0" t="s">
        <v>7377</v>
      </c>
      <c r="AP748" s="0" t="s">
        <v>240</v>
      </c>
      <c r="AQ748" s="0" t="s">
        <v>240</v>
      </c>
      <c r="AR748" s="0" t="s">
        <v>240</v>
      </c>
      <c r="AS748" s="0" t="s">
        <v>240</v>
      </c>
      <c r="AT748" s="0" t="s">
        <v>240</v>
      </c>
      <c r="AU748" s="0" t="s">
        <v>240</v>
      </c>
      <c r="AV748" s="0" t="s">
        <v>240</v>
      </c>
      <c r="AW748" s="0" t="s">
        <v>240</v>
      </c>
      <c r="AX748" s="0" t="s">
        <v>240</v>
      </c>
      <c r="AY748" s="0" t="s">
        <v>240</v>
      </c>
      <c r="AZ748" s="0" t="s">
        <v>240</v>
      </c>
      <c r="BA748" s="0" t="s">
        <v>240</v>
      </c>
      <c r="BB748" s="0" t="s">
        <v>240</v>
      </c>
      <c r="BC748" s="0" t="s">
        <v>240</v>
      </c>
      <c r="BD748" s="0" t="s">
        <v>240</v>
      </c>
      <c r="BE748" s="0" t="s">
        <v>240</v>
      </c>
      <c r="BF748" s="0" t="s">
        <v>240</v>
      </c>
      <c r="BG748" s="0" t="s">
        <v>240</v>
      </c>
      <c r="BH748" s="0" t="s">
        <v>240</v>
      </c>
      <c r="BI748" s="0" t="s">
        <v>240</v>
      </c>
      <c r="BJ748" s="0" t="s">
        <v>240</v>
      </c>
      <c r="BK748" s="0" t="s">
        <v>240</v>
      </c>
      <c r="BL748" s="0" t="s">
        <v>240</v>
      </c>
      <c r="BM748" s="0" t="s">
        <v>240</v>
      </c>
      <c r="BN748" s="0" t="s">
        <v>240</v>
      </c>
      <c r="BO748" s="0" t="s">
        <v>240</v>
      </c>
      <c r="BP748" s="0" t="s">
        <v>240</v>
      </c>
      <c r="BQ748" s="0" t="s">
        <v>240</v>
      </c>
      <c r="BR748" s="0" t="s">
        <v>240</v>
      </c>
      <c r="BS748" s="0" t="s">
        <v>240</v>
      </c>
      <c r="BT748" s="0" t="s">
        <v>240</v>
      </c>
      <c r="CS748" s="0" t="s">
        <v>240</v>
      </c>
      <c r="CT748" s="0" t="s">
        <v>5496</v>
      </c>
      <c r="CU748" s="0" t="s">
        <v>5497</v>
      </c>
      <c r="CV748" s="0" t="s">
        <v>5947</v>
      </c>
      <c r="CW748" s="0" t="s">
        <v>5948</v>
      </c>
      <c r="CX748" s="0" t="s">
        <v>5528</v>
      </c>
      <c r="CY748" s="0" t="s">
        <v>5947</v>
      </c>
      <c r="CZ748" s="0" t="s">
        <v>7022</v>
      </c>
      <c r="DA748" s="0" t="s">
        <v>5949</v>
      </c>
      <c r="DB748" s="0" t="s">
        <v>5948</v>
      </c>
      <c r="DC748" s="0" t="s">
        <v>384</v>
      </c>
      <c r="DD748" s="0" t="s">
        <v>300</v>
      </c>
      <c r="DE748" s="0" t="s">
        <v>7378</v>
      </c>
    </row>
    <row customHeight="1" ht="11.25">
      <c r="A749" s="1441" t="s">
        <v>240</v>
      </c>
      <c r="B749" s="0" t="s">
        <v>240</v>
      </c>
      <c r="C749" s="0" t="s">
        <v>240</v>
      </c>
      <c r="D749" s="0" t="s">
        <v>240</v>
      </c>
      <c r="E749" s="0" t="s">
        <v>240</v>
      </c>
      <c r="F749" s="0" t="s">
        <v>240</v>
      </c>
      <c r="G749" s="0" t="s">
        <v>240</v>
      </c>
      <c r="H749" s="0" t="s">
        <v>240</v>
      </c>
      <c r="I749" s="0" t="s">
        <v>7004</v>
      </c>
      <c r="J749" s="0" t="s">
        <v>240</v>
      </c>
      <c r="K749" s="0" t="s">
        <v>240</v>
      </c>
      <c r="L749" s="0" t="s">
        <v>240</v>
      </c>
      <c r="M749" s="0" t="s">
        <v>240</v>
      </c>
      <c r="N749" s="0" t="s">
        <v>240</v>
      </c>
      <c r="O749" s="0" t="s">
        <v>240</v>
      </c>
      <c r="P749" s="0" t="s">
        <v>240</v>
      </c>
      <c r="Q749" s="0" t="s">
        <v>240</v>
      </c>
      <c r="R749" s="0" t="s">
        <v>7379</v>
      </c>
      <c r="S749" s="0" t="s">
        <v>240</v>
      </c>
      <c r="T749" s="0" t="s">
        <v>240</v>
      </c>
      <c r="U749" s="0" t="s">
        <v>102</v>
      </c>
      <c r="V749" s="0" t="s">
        <v>240</v>
      </c>
      <c r="W749" s="0" t="s">
        <v>240</v>
      </c>
      <c r="X749" s="0" t="s">
        <v>546</v>
      </c>
      <c r="Y749" s="0" t="s">
        <v>240</v>
      </c>
      <c r="Z749" s="0" t="s">
        <v>161</v>
      </c>
      <c r="AA749" s="0" t="s">
        <v>152</v>
      </c>
      <c r="AB749" s="0" t="s">
        <v>152</v>
      </c>
      <c r="AC749" s="0" t="s">
        <v>3395</v>
      </c>
      <c r="AD749" s="0" t="s">
        <v>3395</v>
      </c>
      <c r="AE749" s="0" t="s">
        <v>3396</v>
      </c>
      <c r="AF749" s="0" t="s">
        <v>5941</v>
      </c>
      <c r="AG749" s="0" t="s">
        <v>5942</v>
      </c>
      <c r="AH749" s="0" t="s">
        <v>6677</v>
      </c>
      <c r="AI749" s="0" t="s">
        <v>457</v>
      </c>
      <c r="AJ749" s="0" t="s">
        <v>5578</v>
      </c>
      <c r="AK749" s="0" t="s">
        <v>5578</v>
      </c>
      <c r="AL749" s="0" t="s">
        <v>7009</v>
      </c>
      <c r="AN749" s="0" t="s">
        <v>5553</v>
      </c>
      <c r="AO749" s="0" t="s">
        <v>7380</v>
      </c>
      <c r="AP749" s="0" t="s">
        <v>240</v>
      </c>
      <c r="AQ749" s="0" t="s">
        <v>240</v>
      </c>
      <c r="AR749" s="0" t="s">
        <v>240</v>
      </c>
      <c r="AS749" s="0" t="s">
        <v>240</v>
      </c>
      <c r="AT749" s="0" t="s">
        <v>240</v>
      </c>
      <c r="AU749" s="0" t="s">
        <v>240</v>
      </c>
      <c r="AV749" s="0" t="s">
        <v>240</v>
      </c>
      <c r="AW749" s="0" t="s">
        <v>240</v>
      </c>
      <c r="AX749" s="0" t="s">
        <v>240</v>
      </c>
      <c r="AY749" s="0" t="s">
        <v>240</v>
      </c>
      <c r="AZ749" s="0" t="s">
        <v>240</v>
      </c>
      <c r="BA749" s="0" t="s">
        <v>240</v>
      </c>
      <c r="BB749" s="0" t="s">
        <v>240</v>
      </c>
      <c r="BC749" s="0" t="s">
        <v>240</v>
      </c>
      <c r="BD749" s="0" t="s">
        <v>240</v>
      </c>
      <c r="BE749" s="0" t="s">
        <v>240</v>
      </c>
      <c r="BF749" s="0" t="s">
        <v>240</v>
      </c>
      <c r="BG749" s="0" t="s">
        <v>240</v>
      </c>
      <c r="BH749" s="0" t="s">
        <v>240</v>
      </c>
      <c r="BI749" s="0" t="s">
        <v>240</v>
      </c>
      <c r="BJ749" s="0" t="s">
        <v>240</v>
      </c>
      <c r="BK749" s="0" t="s">
        <v>240</v>
      </c>
      <c r="BL749" s="0" t="s">
        <v>240</v>
      </c>
      <c r="BM749" s="0" t="s">
        <v>240</v>
      </c>
      <c r="BN749" s="0" t="s">
        <v>240</v>
      </c>
      <c r="BO749" s="0" t="s">
        <v>240</v>
      </c>
      <c r="BP749" s="0" t="s">
        <v>240</v>
      </c>
      <c r="BQ749" s="0" t="s">
        <v>240</v>
      </c>
      <c r="BR749" s="0" t="s">
        <v>240</v>
      </c>
      <c r="BS749" s="0" t="s">
        <v>240</v>
      </c>
      <c r="BT749" s="0" t="s">
        <v>240</v>
      </c>
      <c r="CS749" s="0" t="s">
        <v>240</v>
      </c>
      <c r="CT749" s="0" t="s">
        <v>5496</v>
      </c>
      <c r="CU749" s="0" t="s">
        <v>5497</v>
      </c>
      <c r="CV749" s="0" t="s">
        <v>5947</v>
      </c>
      <c r="CW749" s="0" t="s">
        <v>5948</v>
      </c>
      <c r="CX749" s="0" t="s">
        <v>5528</v>
      </c>
      <c r="CY749" s="0" t="s">
        <v>5947</v>
      </c>
      <c r="CZ749" s="0" t="s">
        <v>7022</v>
      </c>
      <c r="DA749" s="0" t="s">
        <v>5949</v>
      </c>
      <c r="DB749" s="0" t="s">
        <v>5948</v>
      </c>
      <c r="DC749" s="0" t="s">
        <v>384</v>
      </c>
      <c r="DD749" s="0" t="s">
        <v>300</v>
      </c>
      <c r="DE749" s="0" t="s">
        <v>6681</v>
      </c>
    </row>
    <row customHeight="1" ht="11.25">
      <c r="A750" s="1441" t="s">
        <v>240</v>
      </c>
      <c r="B750" s="0" t="s">
        <v>240</v>
      </c>
      <c r="C750" s="0" t="s">
        <v>240</v>
      </c>
      <c r="D750" s="0" t="s">
        <v>240</v>
      </c>
      <c r="E750" s="0" t="s">
        <v>240</v>
      </c>
      <c r="F750" s="0" t="s">
        <v>240</v>
      </c>
      <c r="G750" s="0" t="s">
        <v>240</v>
      </c>
      <c r="H750" s="0" t="s">
        <v>240</v>
      </c>
      <c r="I750" s="0" t="s">
        <v>7004</v>
      </c>
      <c r="J750" s="0" t="s">
        <v>240</v>
      </c>
      <c r="K750" s="0" t="s">
        <v>240</v>
      </c>
      <c r="L750" s="0" t="s">
        <v>240</v>
      </c>
      <c r="M750" s="0" t="s">
        <v>240</v>
      </c>
      <c r="N750" s="0" t="s">
        <v>240</v>
      </c>
      <c r="O750" s="0" t="s">
        <v>240</v>
      </c>
      <c r="P750" s="0" t="s">
        <v>240</v>
      </c>
      <c r="Q750" s="0" t="s">
        <v>240</v>
      </c>
      <c r="R750" s="0" t="s">
        <v>539</v>
      </c>
      <c r="S750" s="0" t="s">
        <v>240</v>
      </c>
      <c r="T750" s="0" t="s">
        <v>240</v>
      </c>
      <c r="U750" s="0" t="s">
        <v>102</v>
      </c>
      <c r="V750" s="0" t="s">
        <v>240</v>
      </c>
      <c r="W750" s="0" t="s">
        <v>240</v>
      </c>
      <c r="X750" s="0" t="s">
        <v>5585</v>
      </c>
      <c r="Y750" s="0" t="s">
        <v>240</v>
      </c>
      <c r="Z750" s="0" t="s">
        <v>152</v>
      </c>
      <c r="AA750" s="0" t="s">
        <v>152</v>
      </c>
      <c r="AB750" s="0" t="s">
        <v>161</v>
      </c>
      <c r="AC750" s="0" t="s">
        <v>364</v>
      </c>
      <c r="AD750" s="0" t="s">
        <v>364</v>
      </c>
      <c r="AE750" s="0" t="s">
        <v>365</v>
      </c>
      <c r="AF750" s="0" t="s">
        <v>6806</v>
      </c>
      <c r="AG750" s="0" t="s">
        <v>6807</v>
      </c>
      <c r="AH750" s="0" t="s">
        <v>6808</v>
      </c>
      <c r="AI750" s="0" t="s">
        <v>5533</v>
      </c>
      <c r="AJ750" s="0" t="s">
        <v>240</v>
      </c>
      <c r="AK750" s="0" t="s">
        <v>240</v>
      </c>
      <c r="AL750" s="0" t="s">
        <v>240</v>
      </c>
      <c r="AN750" s="0" t="s">
        <v>240</v>
      </c>
      <c r="AO750" s="0" t="s">
        <v>240</v>
      </c>
      <c r="AP750" s="0" t="s">
        <v>240</v>
      </c>
      <c r="AQ750" s="0" t="s">
        <v>240</v>
      </c>
      <c r="AR750" s="0" t="s">
        <v>240</v>
      </c>
      <c r="AS750" s="0" t="s">
        <v>240</v>
      </c>
      <c r="AT750" s="0" t="s">
        <v>240</v>
      </c>
      <c r="AU750" s="0" t="s">
        <v>240</v>
      </c>
      <c r="AV750" s="0" t="s">
        <v>240</v>
      </c>
      <c r="AW750" s="0" t="s">
        <v>240</v>
      </c>
      <c r="AX750" s="0" t="s">
        <v>240</v>
      </c>
      <c r="AY750" s="0" t="s">
        <v>240</v>
      </c>
      <c r="AZ750" s="0" t="s">
        <v>240</v>
      </c>
      <c r="BA750" s="0" t="s">
        <v>240</v>
      </c>
      <c r="BB750" s="0" t="s">
        <v>240</v>
      </c>
      <c r="BC750" s="0" t="s">
        <v>240</v>
      </c>
      <c r="BD750" s="0" t="s">
        <v>240</v>
      </c>
      <c r="BE750" s="0" t="s">
        <v>6917</v>
      </c>
      <c r="BF750" s="0" t="s">
        <v>7059</v>
      </c>
      <c r="BG750" s="0" t="s">
        <v>112</v>
      </c>
      <c r="BH750" s="0" t="s">
        <v>5589</v>
      </c>
      <c r="BI750" s="0" t="s">
        <v>123</v>
      </c>
      <c r="BJ750" s="0" t="s">
        <v>240</v>
      </c>
      <c r="BK750" s="0" t="s">
        <v>532</v>
      </c>
      <c r="BL750" s="0" t="s">
        <v>364</v>
      </c>
      <c r="BM750" s="0" t="s">
        <v>364</v>
      </c>
      <c r="BN750" s="0" t="s">
        <v>6811</v>
      </c>
      <c r="BO750" s="0" t="s">
        <v>6806</v>
      </c>
      <c r="BP750" s="0" t="s">
        <v>6812</v>
      </c>
      <c r="BQ750" s="0" t="s">
        <v>7374</v>
      </c>
      <c r="BR750" s="0" t="s">
        <v>5847</v>
      </c>
      <c r="BS750" s="0" t="s">
        <v>240</v>
      </c>
      <c r="BT750" s="0" t="s">
        <v>5650</v>
      </c>
      <c r="CS750" s="0" t="s">
        <v>5504</v>
      </c>
      <c r="CT750" s="0" t="s">
        <v>5496</v>
      </c>
      <c r="CU750" s="0" t="s">
        <v>5497</v>
      </c>
      <c r="CV750" s="0" t="s">
        <v>443</v>
      </c>
      <c r="CW750" s="0" t="s">
        <v>6818</v>
      </c>
      <c r="CX750" s="0" t="s">
        <v>229</v>
      </c>
      <c r="CY750" s="0" t="s">
        <v>443</v>
      </c>
      <c r="CZ750" s="0" t="s">
        <v>234</v>
      </c>
      <c r="DA750" s="0" t="s">
        <v>444</v>
      </c>
      <c r="DB750" s="0" t="s">
        <v>6818</v>
      </c>
      <c r="DC750" s="0" t="s">
        <v>384</v>
      </c>
      <c r="DD750" s="0" t="s">
        <v>300</v>
      </c>
      <c r="DE750" s="0" t="s">
        <v>538</v>
      </c>
    </row>
    <row customHeight="1" ht="11.25">
      <c r="A751" s="1441" t="s">
        <v>240</v>
      </c>
      <c r="B751" s="0" t="s">
        <v>240</v>
      </c>
      <c r="C751" s="0" t="s">
        <v>240</v>
      </c>
      <c r="D751" s="0" t="s">
        <v>240</v>
      </c>
      <c r="E751" s="0" t="s">
        <v>240</v>
      </c>
      <c r="F751" s="0" t="s">
        <v>240</v>
      </c>
      <c r="G751" s="0" t="s">
        <v>240</v>
      </c>
      <c r="H751" s="0" t="s">
        <v>240</v>
      </c>
      <c r="I751" s="0" t="s">
        <v>7004</v>
      </c>
      <c r="J751" s="0" t="s">
        <v>240</v>
      </c>
      <c r="K751" s="0" t="s">
        <v>240</v>
      </c>
      <c r="L751" s="0" t="s">
        <v>240</v>
      </c>
      <c r="M751" s="0" t="s">
        <v>240</v>
      </c>
      <c r="N751" s="0" t="s">
        <v>240</v>
      </c>
      <c r="O751" s="0" t="s">
        <v>240</v>
      </c>
      <c r="P751" s="0" t="s">
        <v>240</v>
      </c>
      <c r="Q751" s="0" t="s">
        <v>240</v>
      </c>
      <c r="R751" s="0" t="s">
        <v>7381</v>
      </c>
      <c r="S751" s="0" t="s">
        <v>240</v>
      </c>
      <c r="T751" s="0" t="s">
        <v>240</v>
      </c>
      <c r="U751" s="0" t="s">
        <v>102</v>
      </c>
      <c r="V751" s="0" t="s">
        <v>240</v>
      </c>
      <c r="W751" s="0" t="s">
        <v>240</v>
      </c>
      <c r="X751" s="0" t="s">
        <v>5585</v>
      </c>
      <c r="Y751" s="0" t="s">
        <v>240</v>
      </c>
      <c r="Z751" s="0" t="s">
        <v>152</v>
      </c>
      <c r="AA751" s="0" t="s">
        <v>152</v>
      </c>
      <c r="AB751" s="0" t="s">
        <v>161</v>
      </c>
      <c r="AC751" s="0" t="s">
        <v>2991</v>
      </c>
      <c r="AD751" s="0" t="s">
        <v>2991</v>
      </c>
      <c r="AE751" s="0" t="s">
        <v>2992</v>
      </c>
      <c r="AF751" s="0" t="s">
        <v>6394</v>
      </c>
      <c r="AG751" s="0" t="s">
        <v>6395</v>
      </c>
      <c r="AH751" s="0" t="s">
        <v>5575</v>
      </c>
      <c r="AI751" s="0" t="s">
        <v>5575</v>
      </c>
      <c r="AJ751" s="0" t="s">
        <v>240</v>
      </c>
      <c r="AK751" s="0" t="s">
        <v>240</v>
      </c>
      <c r="AL751" s="0" t="s">
        <v>240</v>
      </c>
      <c r="AN751" s="0" t="s">
        <v>240</v>
      </c>
      <c r="AO751" s="0" t="s">
        <v>240</v>
      </c>
      <c r="AP751" s="0" t="s">
        <v>240</v>
      </c>
      <c r="AQ751" s="0" t="s">
        <v>240</v>
      </c>
      <c r="AR751" s="0" t="s">
        <v>240</v>
      </c>
      <c r="AS751" s="0" t="s">
        <v>240</v>
      </c>
      <c r="AT751" s="0" t="s">
        <v>240</v>
      </c>
      <c r="AU751" s="0" t="s">
        <v>240</v>
      </c>
      <c r="AV751" s="0" t="s">
        <v>240</v>
      </c>
      <c r="AW751" s="0" t="s">
        <v>240</v>
      </c>
      <c r="AX751" s="0" t="s">
        <v>240</v>
      </c>
      <c r="AY751" s="0" t="s">
        <v>240</v>
      </c>
      <c r="AZ751" s="0" t="s">
        <v>240</v>
      </c>
      <c r="BA751" s="0" t="s">
        <v>240</v>
      </c>
      <c r="BB751" s="0" t="s">
        <v>240</v>
      </c>
      <c r="BC751" s="0" t="s">
        <v>240</v>
      </c>
      <c r="BD751" s="0" t="s">
        <v>240</v>
      </c>
      <c r="BE751" s="0" t="s">
        <v>5544</v>
      </c>
      <c r="BF751" s="0" t="s">
        <v>5672</v>
      </c>
      <c r="BG751" s="0" t="s">
        <v>112</v>
      </c>
      <c r="BH751" s="0" t="s">
        <v>5589</v>
      </c>
      <c r="BI751" s="0" t="s">
        <v>123</v>
      </c>
      <c r="BJ751" s="0" t="s">
        <v>240</v>
      </c>
      <c r="BK751" s="0" t="s">
        <v>240</v>
      </c>
      <c r="BL751" s="0" t="s">
        <v>2991</v>
      </c>
      <c r="BM751" s="0" t="s">
        <v>2991</v>
      </c>
      <c r="BN751" s="0" t="s">
        <v>5663</v>
      </c>
      <c r="BO751" s="0" t="s">
        <v>6394</v>
      </c>
      <c r="BP751" s="0" t="s">
        <v>6859</v>
      </c>
      <c r="BQ751" s="0" t="s">
        <v>5575</v>
      </c>
      <c r="BR751" s="0" t="s">
        <v>5575</v>
      </c>
      <c r="BS751" s="0" t="s">
        <v>240</v>
      </c>
      <c r="BT751" s="0" t="s">
        <v>5650</v>
      </c>
      <c r="CS751" s="0" t="s">
        <v>7118</v>
      </c>
      <c r="CT751" s="0" t="s">
        <v>5496</v>
      </c>
      <c r="CU751" s="0" t="s">
        <v>5497</v>
      </c>
      <c r="CV751" s="0" t="s">
        <v>443</v>
      </c>
      <c r="CW751" s="0" t="s">
        <v>5547</v>
      </c>
      <c r="CX751" s="0" t="s">
        <v>229</v>
      </c>
      <c r="CY751" s="0" t="s">
        <v>443</v>
      </c>
      <c r="CZ751" s="0" t="s">
        <v>5548</v>
      </c>
      <c r="DA751" s="0" t="s">
        <v>5549</v>
      </c>
      <c r="DB751" s="0" t="s">
        <v>5547</v>
      </c>
      <c r="DC751" s="0" t="s">
        <v>384</v>
      </c>
      <c r="DD751" s="0" t="s">
        <v>300</v>
      </c>
      <c r="DE751" s="0" t="s">
        <v>6861</v>
      </c>
    </row>
    <row customHeight="1" ht="11.25">
      <c r="A752" s="1441" t="s">
        <v>240</v>
      </c>
      <c r="B752" s="0" t="s">
        <v>240</v>
      </c>
      <c r="C752" s="0" t="s">
        <v>240</v>
      </c>
      <c r="D752" s="0" t="s">
        <v>240</v>
      </c>
      <c r="E752" s="0" t="s">
        <v>240</v>
      </c>
      <c r="F752" s="0" t="s">
        <v>240</v>
      </c>
      <c r="G752" s="0" t="s">
        <v>240</v>
      </c>
      <c r="H752" s="0" t="s">
        <v>240</v>
      </c>
      <c r="I752" s="0" t="s">
        <v>7004</v>
      </c>
      <c r="J752" s="0" t="s">
        <v>240</v>
      </c>
      <c r="K752" s="0" t="s">
        <v>240</v>
      </c>
      <c r="L752" s="0" t="s">
        <v>240</v>
      </c>
      <c r="M752" s="0" t="s">
        <v>240</v>
      </c>
      <c r="N752" s="0" t="s">
        <v>240</v>
      </c>
      <c r="O752" s="0" t="s">
        <v>240</v>
      </c>
      <c r="P752" s="0" t="s">
        <v>240</v>
      </c>
      <c r="Q752" s="0" t="s">
        <v>240</v>
      </c>
      <c r="R752" s="0" t="s">
        <v>7382</v>
      </c>
      <c r="S752" s="0" t="s">
        <v>240</v>
      </c>
      <c r="T752" s="0" t="s">
        <v>240</v>
      </c>
      <c r="U752" s="0" t="s">
        <v>102</v>
      </c>
      <c r="V752" s="0" t="s">
        <v>240</v>
      </c>
      <c r="W752" s="0" t="s">
        <v>240</v>
      </c>
      <c r="X752" s="0" t="s">
        <v>546</v>
      </c>
      <c r="Y752" s="0" t="s">
        <v>240</v>
      </c>
      <c r="Z752" s="0" t="s">
        <v>161</v>
      </c>
      <c r="AA752" s="0" t="s">
        <v>152</v>
      </c>
      <c r="AB752" s="0" t="s">
        <v>152</v>
      </c>
      <c r="AC752" s="0" t="s">
        <v>3389</v>
      </c>
      <c r="AD752" s="0" t="s">
        <v>3389</v>
      </c>
      <c r="AE752" s="0" t="s">
        <v>3390</v>
      </c>
      <c r="AF752" s="0" t="s">
        <v>5519</v>
      </c>
      <c r="AG752" s="0" t="s">
        <v>5520</v>
      </c>
      <c r="AH752" s="0" t="s">
        <v>7383</v>
      </c>
      <c r="AI752" s="0" t="s">
        <v>7384</v>
      </c>
      <c r="AJ752" s="0" t="s">
        <v>5781</v>
      </c>
      <c r="AK752" s="0" t="s">
        <v>7385</v>
      </c>
      <c r="AL752" s="0" t="s">
        <v>7009</v>
      </c>
      <c r="AN752" s="0" t="s">
        <v>7386</v>
      </c>
      <c r="AO752" s="0" t="s">
        <v>7295</v>
      </c>
      <c r="AP752" s="0" t="s">
        <v>240</v>
      </c>
      <c r="AQ752" s="0" t="s">
        <v>240</v>
      </c>
      <c r="AR752" s="0" t="s">
        <v>240</v>
      </c>
      <c r="AS752" s="0" t="s">
        <v>240</v>
      </c>
      <c r="AT752" s="0" t="s">
        <v>240</v>
      </c>
      <c r="AU752" s="0" t="s">
        <v>240</v>
      </c>
      <c r="AV752" s="0" t="s">
        <v>240</v>
      </c>
      <c r="AW752" s="0" t="s">
        <v>240</v>
      </c>
      <c r="AX752" s="0" t="s">
        <v>240</v>
      </c>
      <c r="AY752" s="0" t="s">
        <v>240</v>
      </c>
      <c r="AZ752" s="0" t="s">
        <v>240</v>
      </c>
      <c r="BA752" s="0" t="s">
        <v>240</v>
      </c>
      <c r="BB752" s="0" t="s">
        <v>240</v>
      </c>
      <c r="BC752" s="0" t="s">
        <v>240</v>
      </c>
      <c r="BD752" s="0" t="s">
        <v>240</v>
      </c>
      <c r="BE752" s="0" t="s">
        <v>240</v>
      </c>
      <c r="BF752" s="0" t="s">
        <v>240</v>
      </c>
      <c r="BG752" s="0" t="s">
        <v>240</v>
      </c>
      <c r="BH752" s="0" t="s">
        <v>240</v>
      </c>
      <c r="BI752" s="0" t="s">
        <v>240</v>
      </c>
      <c r="BJ752" s="0" t="s">
        <v>240</v>
      </c>
      <c r="BK752" s="0" t="s">
        <v>240</v>
      </c>
      <c r="BL752" s="0" t="s">
        <v>240</v>
      </c>
      <c r="BM752" s="0" t="s">
        <v>240</v>
      </c>
      <c r="BN752" s="0" t="s">
        <v>240</v>
      </c>
      <c r="BO752" s="0" t="s">
        <v>240</v>
      </c>
      <c r="BP752" s="0" t="s">
        <v>240</v>
      </c>
      <c r="BQ752" s="0" t="s">
        <v>240</v>
      </c>
      <c r="BR752" s="0" t="s">
        <v>240</v>
      </c>
      <c r="BS752" s="0" t="s">
        <v>240</v>
      </c>
      <c r="BT752" s="0" t="s">
        <v>240</v>
      </c>
      <c r="CS752" s="0" t="s">
        <v>240</v>
      </c>
      <c r="CT752" s="0" t="s">
        <v>5496</v>
      </c>
      <c r="CU752" s="0" t="s">
        <v>5497</v>
      </c>
      <c r="CV752" s="0" t="s">
        <v>443</v>
      </c>
      <c r="CW752" s="0" t="s">
        <v>5527</v>
      </c>
      <c r="CX752" s="0" t="s">
        <v>5528</v>
      </c>
      <c r="CY752" s="0" t="s">
        <v>443</v>
      </c>
      <c r="CZ752" s="0" t="s">
        <v>299</v>
      </c>
      <c r="DA752" s="0" t="s">
        <v>5529</v>
      </c>
      <c r="DB752" s="0" t="s">
        <v>5527</v>
      </c>
      <c r="DC752" s="0" t="s">
        <v>384</v>
      </c>
      <c r="DD752" s="0" t="s">
        <v>300</v>
      </c>
      <c r="DE752" s="0" t="s">
        <v>7387</v>
      </c>
    </row>
    <row customHeight="1" ht="11.25">
      <c r="A753" s="1441" t="s">
        <v>240</v>
      </c>
      <c r="B753" s="0" t="s">
        <v>240</v>
      </c>
      <c r="C753" s="0" t="s">
        <v>240</v>
      </c>
      <c r="D753" s="0" t="s">
        <v>240</v>
      </c>
      <c r="E753" s="0" t="s">
        <v>240</v>
      </c>
      <c r="F753" s="0" t="s">
        <v>240</v>
      </c>
      <c r="G753" s="0" t="s">
        <v>240</v>
      </c>
      <c r="H753" s="0" t="s">
        <v>240</v>
      </c>
      <c r="I753" s="0" t="s">
        <v>7004</v>
      </c>
      <c r="J753" s="0" t="s">
        <v>240</v>
      </c>
      <c r="K753" s="0" t="s">
        <v>240</v>
      </c>
      <c r="L753" s="0" t="s">
        <v>240</v>
      </c>
      <c r="M753" s="0" t="s">
        <v>240</v>
      </c>
      <c r="N753" s="0" t="s">
        <v>240</v>
      </c>
      <c r="O753" s="0" t="s">
        <v>240</v>
      </c>
      <c r="P753" s="0" t="s">
        <v>240</v>
      </c>
      <c r="Q753" s="0" t="s">
        <v>240</v>
      </c>
      <c r="R753" s="0" t="s">
        <v>7388</v>
      </c>
      <c r="S753" s="0" t="s">
        <v>240</v>
      </c>
      <c r="T753" s="0" t="s">
        <v>240</v>
      </c>
      <c r="U753" s="0" t="s">
        <v>102</v>
      </c>
      <c r="V753" s="0" t="s">
        <v>240</v>
      </c>
      <c r="W753" s="0" t="s">
        <v>240</v>
      </c>
      <c r="X753" s="0" t="s">
        <v>5905</v>
      </c>
      <c r="Y753" s="0" t="s">
        <v>240</v>
      </c>
      <c r="Z753" s="0" t="s">
        <v>152</v>
      </c>
      <c r="AA753" s="0" t="s">
        <v>161</v>
      </c>
      <c r="AB753" s="0" t="s">
        <v>152</v>
      </c>
      <c r="AC753" s="0" t="s">
        <v>3395</v>
      </c>
      <c r="AD753" s="0" t="s">
        <v>3395</v>
      </c>
      <c r="AE753" s="0" t="s">
        <v>3396</v>
      </c>
      <c r="AF753" s="0" t="s">
        <v>5941</v>
      </c>
      <c r="AG753" s="0" t="s">
        <v>5942</v>
      </c>
      <c r="AH753" s="0" t="s">
        <v>6223</v>
      </c>
      <c r="AI753" s="0" t="s">
        <v>5533</v>
      </c>
      <c r="AJ753" s="0" t="s">
        <v>240</v>
      </c>
      <c r="AK753" s="0" t="s">
        <v>240</v>
      </c>
      <c r="AL753" s="0" t="s">
        <v>240</v>
      </c>
      <c r="AN753" s="0" t="s">
        <v>240</v>
      </c>
      <c r="AO753" s="0" t="s">
        <v>240</v>
      </c>
      <c r="AP753" s="0" t="s">
        <v>7128</v>
      </c>
      <c r="AQ753" s="0" t="s">
        <v>7129</v>
      </c>
      <c r="AR753" s="0" t="s">
        <v>112</v>
      </c>
      <c r="AS753" s="0" t="s">
        <v>5589</v>
      </c>
      <c r="AT753" s="0" t="s">
        <v>123</v>
      </c>
      <c r="AU753" s="0" t="s">
        <v>240</v>
      </c>
      <c r="AV753" s="0" t="s">
        <v>550</v>
      </c>
      <c r="AW753" s="0" t="s">
        <v>3395</v>
      </c>
      <c r="AX753" s="0" t="s">
        <v>3395</v>
      </c>
      <c r="AY753" s="0" t="s">
        <v>6066</v>
      </c>
      <c r="AZ753" s="0" t="s">
        <v>5941</v>
      </c>
      <c r="BA753" s="0" t="s">
        <v>6067</v>
      </c>
      <c r="BB753" s="0" t="s">
        <v>6223</v>
      </c>
      <c r="BC753" s="0" t="s">
        <v>5533</v>
      </c>
      <c r="BD753" s="0" t="s">
        <v>5553</v>
      </c>
      <c r="BE753" s="0" t="s">
        <v>240</v>
      </c>
      <c r="BF753" s="0" t="s">
        <v>240</v>
      </c>
      <c r="BG753" s="0" t="s">
        <v>240</v>
      </c>
      <c r="BH753" s="0" t="s">
        <v>240</v>
      </c>
      <c r="BI753" s="0" t="s">
        <v>240</v>
      </c>
      <c r="BJ753" s="0" t="s">
        <v>240</v>
      </c>
      <c r="BK753" s="0" t="s">
        <v>240</v>
      </c>
      <c r="BL753" s="0" t="s">
        <v>240</v>
      </c>
      <c r="BM753" s="0" t="s">
        <v>240</v>
      </c>
      <c r="BN753" s="0" t="s">
        <v>240</v>
      </c>
      <c r="BO753" s="0" t="s">
        <v>240</v>
      </c>
      <c r="BP753" s="0" t="s">
        <v>240</v>
      </c>
      <c r="BQ753" s="0" t="s">
        <v>240</v>
      </c>
      <c r="BR753" s="0" t="s">
        <v>240</v>
      </c>
      <c r="BS753" s="0" t="s">
        <v>240</v>
      </c>
      <c r="BT753" s="0" t="s">
        <v>240</v>
      </c>
      <c r="CS753" s="0" t="s">
        <v>240</v>
      </c>
      <c r="CT753" s="0" t="s">
        <v>5496</v>
      </c>
      <c r="CU753" s="0" t="s">
        <v>5497</v>
      </c>
      <c r="CV753" s="0" t="s">
        <v>5947</v>
      </c>
      <c r="CW753" s="0" t="s">
        <v>5948</v>
      </c>
      <c r="CX753" s="0" t="s">
        <v>5528</v>
      </c>
      <c r="CY753" s="0" t="s">
        <v>5947</v>
      </c>
      <c r="CZ753" s="0" t="s">
        <v>7022</v>
      </c>
      <c r="DA753" s="0" t="s">
        <v>5949</v>
      </c>
      <c r="DB753" s="0" t="s">
        <v>5948</v>
      </c>
      <c r="DC753" s="0" t="s">
        <v>384</v>
      </c>
      <c r="DD753" s="0" t="s">
        <v>300</v>
      </c>
      <c r="DE753" s="0" t="s">
        <v>7389</v>
      </c>
    </row>
    <row customHeight="1" ht="11.25">
      <c r="A754" s="1441" t="s">
        <v>240</v>
      </c>
      <c r="B754" s="0" t="s">
        <v>240</v>
      </c>
      <c r="C754" s="0" t="s">
        <v>240</v>
      </c>
      <c r="D754" s="0" t="s">
        <v>240</v>
      </c>
      <c r="E754" s="0" t="s">
        <v>240</v>
      </c>
      <c r="F754" s="0" t="s">
        <v>240</v>
      </c>
      <c r="G754" s="0" t="s">
        <v>240</v>
      </c>
      <c r="H754" s="0" t="s">
        <v>240</v>
      </c>
      <c r="I754" s="0" t="s">
        <v>7004</v>
      </c>
      <c r="J754" s="0" t="s">
        <v>240</v>
      </c>
      <c r="K754" s="0" t="s">
        <v>240</v>
      </c>
      <c r="L754" s="0" t="s">
        <v>240</v>
      </c>
      <c r="M754" s="0" t="s">
        <v>240</v>
      </c>
      <c r="N754" s="0" t="s">
        <v>240</v>
      </c>
      <c r="O754" s="0" t="s">
        <v>240</v>
      </c>
      <c r="P754" s="0" t="s">
        <v>240</v>
      </c>
      <c r="Q754" s="0" t="s">
        <v>240</v>
      </c>
      <c r="R754" s="0" t="s">
        <v>550</v>
      </c>
      <c r="S754" s="0" t="s">
        <v>240</v>
      </c>
      <c r="T754" s="0" t="s">
        <v>240</v>
      </c>
      <c r="U754" s="0" t="s">
        <v>102</v>
      </c>
      <c r="V754" s="0" t="s">
        <v>240</v>
      </c>
      <c r="W754" s="0" t="s">
        <v>240</v>
      </c>
      <c r="X754" s="0" t="s">
        <v>5905</v>
      </c>
      <c r="Y754" s="0" t="s">
        <v>240</v>
      </c>
      <c r="Z754" s="0" t="s">
        <v>152</v>
      </c>
      <c r="AA754" s="0" t="s">
        <v>161</v>
      </c>
      <c r="AB754" s="0" t="s">
        <v>152</v>
      </c>
      <c r="AC754" s="0" t="s">
        <v>2985</v>
      </c>
      <c r="AD754" s="0" t="s">
        <v>2985</v>
      </c>
      <c r="AE754" s="0" t="s">
        <v>2986</v>
      </c>
      <c r="AF754" s="0" t="s">
        <v>5951</v>
      </c>
      <c r="AG754" s="0" t="s">
        <v>5952</v>
      </c>
      <c r="AH754" s="0" t="s">
        <v>7113</v>
      </c>
      <c r="AI754" s="0" t="s">
        <v>5533</v>
      </c>
      <c r="AJ754" s="0" t="s">
        <v>240</v>
      </c>
      <c r="AK754" s="0" t="s">
        <v>240</v>
      </c>
      <c r="AL754" s="0" t="s">
        <v>240</v>
      </c>
      <c r="AN754" s="0" t="s">
        <v>240</v>
      </c>
      <c r="AO754" s="0" t="s">
        <v>240</v>
      </c>
      <c r="AP754" s="0" t="s">
        <v>7111</v>
      </c>
      <c r="AQ754" s="0" t="s">
        <v>7112</v>
      </c>
      <c r="AR754" s="0" t="s">
        <v>112</v>
      </c>
      <c r="AS754" s="0" t="s">
        <v>5589</v>
      </c>
      <c r="AT754" s="0" t="s">
        <v>123</v>
      </c>
      <c r="AU754" s="0" t="s">
        <v>240</v>
      </c>
      <c r="AV754" s="0" t="s">
        <v>550</v>
      </c>
      <c r="AW754" s="0" t="s">
        <v>2985</v>
      </c>
      <c r="AX754" s="0" t="s">
        <v>2985</v>
      </c>
      <c r="AY754" s="0" t="s">
        <v>5646</v>
      </c>
      <c r="AZ754" s="0" t="s">
        <v>5951</v>
      </c>
      <c r="BA754" s="0" t="s">
        <v>5955</v>
      </c>
      <c r="BB754" s="0" t="s">
        <v>7113</v>
      </c>
      <c r="BC754" s="0" t="s">
        <v>5533</v>
      </c>
      <c r="BD754" s="0" t="s">
        <v>5507</v>
      </c>
      <c r="BE754" s="0" t="s">
        <v>240</v>
      </c>
      <c r="BF754" s="0" t="s">
        <v>240</v>
      </c>
      <c r="BG754" s="0" t="s">
        <v>240</v>
      </c>
      <c r="BH754" s="0" t="s">
        <v>240</v>
      </c>
      <c r="BI754" s="0" t="s">
        <v>240</v>
      </c>
      <c r="BJ754" s="0" t="s">
        <v>240</v>
      </c>
      <c r="BK754" s="0" t="s">
        <v>240</v>
      </c>
      <c r="BL754" s="0" t="s">
        <v>240</v>
      </c>
      <c r="BM754" s="0" t="s">
        <v>240</v>
      </c>
      <c r="BN754" s="0" t="s">
        <v>240</v>
      </c>
      <c r="BO754" s="0" t="s">
        <v>240</v>
      </c>
      <c r="BP754" s="0" t="s">
        <v>240</v>
      </c>
      <c r="BQ754" s="0" t="s">
        <v>240</v>
      </c>
      <c r="BR754" s="0" t="s">
        <v>240</v>
      </c>
      <c r="BS754" s="0" t="s">
        <v>240</v>
      </c>
      <c r="BT754" s="0" t="s">
        <v>240</v>
      </c>
      <c r="CS754" s="0" t="s">
        <v>240</v>
      </c>
      <c r="CT754" s="0" t="s">
        <v>5496</v>
      </c>
      <c r="CU754" s="0" t="s">
        <v>5497</v>
      </c>
      <c r="CV754" s="0" t="s">
        <v>443</v>
      </c>
      <c r="CW754" s="0" t="s">
        <v>5509</v>
      </c>
      <c r="CX754" s="0" t="s">
        <v>229</v>
      </c>
      <c r="CY754" s="0" t="s">
        <v>443</v>
      </c>
      <c r="CZ754" s="0" t="s">
        <v>5510</v>
      </c>
      <c r="DA754" s="0" t="s">
        <v>5511</v>
      </c>
      <c r="DB754" s="0" t="s">
        <v>5509</v>
      </c>
      <c r="DC754" s="0" t="s">
        <v>384</v>
      </c>
      <c r="DD754" s="0" t="s">
        <v>300</v>
      </c>
      <c r="DE754" s="0" t="s">
        <v>7142</v>
      </c>
    </row>
    <row customHeight="1" ht="11.25">
      <c r="A755" s="1441" t="s">
        <v>240</v>
      </c>
      <c r="B755" s="0" t="s">
        <v>240</v>
      </c>
      <c r="C755" s="0" t="s">
        <v>240</v>
      </c>
      <c r="D755" s="0" t="s">
        <v>240</v>
      </c>
      <c r="E755" s="0" t="s">
        <v>240</v>
      </c>
      <c r="F755" s="0" t="s">
        <v>240</v>
      </c>
      <c r="G755" s="0" t="s">
        <v>240</v>
      </c>
      <c r="H755" s="0" t="s">
        <v>240</v>
      </c>
      <c r="I755" s="0" t="s">
        <v>7004</v>
      </c>
      <c r="J755" s="0" t="s">
        <v>240</v>
      </c>
      <c r="K755" s="0" t="s">
        <v>240</v>
      </c>
      <c r="L755" s="0" t="s">
        <v>240</v>
      </c>
      <c r="M755" s="0" t="s">
        <v>240</v>
      </c>
      <c r="N755" s="0" t="s">
        <v>240</v>
      </c>
      <c r="O755" s="0" t="s">
        <v>240</v>
      </c>
      <c r="P755" s="0" t="s">
        <v>240</v>
      </c>
      <c r="Q755" s="0" t="s">
        <v>240</v>
      </c>
      <c r="R755" s="0" t="s">
        <v>540</v>
      </c>
      <c r="S755" s="0" t="s">
        <v>240</v>
      </c>
      <c r="T755" s="0" t="s">
        <v>240</v>
      </c>
      <c r="U755" s="0" t="s">
        <v>102</v>
      </c>
      <c r="V755" s="0" t="s">
        <v>240</v>
      </c>
      <c r="W755" s="0" t="s">
        <v>240</v>
      </c>
      <c r="X755" s="0" t="s">
        <v>546</v>
      </c>
      <c r="Y755" s="0" t="s">
        <v>240</v>
      </c>
      <c r="Z755" s="0" t="s">
        <v>161</v>
      </c>
      <c r="AA755" s="0" t="s">
        <v>152</v>
      </c>
      <c r="AB755" s="0" t="s">
        <v>152</v>
      </c>
      <c r="AC755" s="0" t="s">
        <v>364</v>
      </c>
      <c r="AD755" s="0" t="s">
        <v>364</v>
      </c>
      <c r="AE755" s="0" t="s">
        <v>365</v>
      </c>
      <c r="AF755" s="0" t="s">
        <v>6806</v>
      </c>
      <c r="AG755" s="0" t="s">
        <v>6807</v>
      </c>
      <c r="AH755" s="0" t="s">
        <v>7390</v>
      </c>
      <c r="AI755" s="0" t="s">
        <v>5533</v>
      </c>
      <c r="AJ755" s="0" t="s">
        <v>7391</v>
      </c>
      <c r="AK755" s="0" t="s">
        <v>7109</v>
      </c>
      <c r="AL755" s="0" t="s">
        <v>7009</v>
      </c>
      <c r="AN755" s="0" t="s">
        <v>5553</v>
      </c>
      <c r="AO755" s="0" t="s">
        <v>7166</v>
      </c>
      <c r="AP755" s="0" t="s">
        <v>240</v>
      </c>
      <c r="AQ755" s="0" t="s">
        <v>240</v>
      </c>
      <c r="AR755" s="0" t="s">
        <v>240</v>
      </c>
      <c r="AS755" s="0" t="s">
        <v>240</v>
      </c>
      <c r="AT755" s="0" t="s">
        <v>240</v>
      </c>
      <c r="AU755" s="0" t="s">
        <v>240</v>
      </c>
      <c r="AV755" s="0" t="s">
        <v>240</v>
      </c>
      <c r="AW755" s="0" t="s">
        <v>240</v>
      </c>
      <c r="AX755" s="0" t="s">
        <v>240</v>
      </c>
      <c r="AY755" s="0" t="s">
        <v>240</v>
      </c>
      <c r="AZ755" s="0" t="s">
        <v>240</v>
      </c>
      <c r="BA755" s="0" t="s">
        <v>240</v>
      </c>
      <c r="BB755" s="0" t="s">
        <v>240</v>
      </c>
      <c r="BC755" s="0" t="s">
        <v>240</v>
      </c>
      <c r="BD755" s="0" t="s">
        <v>240</v>
      </c>
      <c r="BE755" s="0" t="s">
        <v>240</v>
      </c>
      <c r="BF755" s="0" t="s">
        <v>240</v>
      </c>
      <c r="BG755" s="0" t="s">
        <v>240</v>
      </c>
      <c r="BH755" s="0" t="s">
        <v>240</v>
      </c>
      <c r="BI755" s="0" t="s">
        <v>240</v>
      </c>
      <c r="BJ755" s="0" t="s">
        <v>240</v>
      </c>
      <c r="BK755" s="0" t="s">
        <v>240</v>
      </c>
      <c r="BL755" s="0" t="s">
        <v>240</v>
      </c>
      <c r="BM755" s="0" t="s">
        <v>240</v>
      </c>
      <c r="BN755" s="0" t="s">
        <v>240</v>
      </c>
      <c r="BO755" s="0" t="s">
        <v>240</v>
      </c>
      <c r="BP755" s="0" t="s">
        <v>240</v>
      </c>
      <c r="BQ755" s="0" t="s">
        <v>240</v>
      </c>
      <c r="BR755" s="0" t="s">
        <v>240</v>
      </c>
      <c r="BS755" s="0" t="s">
        <v>240</v>
      </c>
      <c r="BT755" s="0" t="s">
        <v>240</v>
      </c>
      <c r="CS755" s="0" t="s">
        <v>240</v>
      </c>
      <c r="CT755" s="0" t="s">
        <v>5496</v>
      </c>
      <c r="CU755" s="0" t="s">
        <v>5497</v>
      </c>
      <c r="CV755" s="0" t="s">
        <v>443</v>
      </c>
      <c r="CW755" s="0" t="s">
        <v>6818</v>
      </c>
      <c r="CX755" s="0" t="s">
        <v>229</v>
      </c>
      <c r="CY755" s="0" t="s">
        <v>443</v>
      </c>
      <c r="CZ755" s="0" t="s">
        <v>234</v>
      </c>
      <c r="DA755" s="0" t="s">
        <v>444</v>
      </c>
      <c r="DB755" s="0" t="s">
        <v>6818</v>
      </c>
      <c r="DC755" s="0" t="s">
        <v>384</v>
      </c>
      <c r="DD755" s="0" t="s">
        <v>300</v>
      </c>
      <c r="DE755" s="0" t="s">
        <v>541</v>
      </c>
    </row>
    <row customHeight="1" ht="11.25">
      <c r="A756" s="1441" t="s">
        <v>240</v>
      </c>
      <c r="B756" s="0" t="s">
        <v>240</v>
      </c>
      <c r="C756" s="0" t="s">
        <v>240</v>
      </c>
      <c r="D756" s="0" t="s">
        <v>240</v>
      </c>
      <c r="E756" s="0" t="s">
        <v>240</v>
      </c>
      <c r="F756" s="0" t="s">
        <v>240</v>
      </c>
      <c r="G756" s="0" t="s">
        <v>240</v>
      </c>
      <c r="H756" s="0" t="s">
        <v>240</v>
      </c>
      <c r="I756" s="0" t="s">
        <v>7004</v>
      </c>
      <c r="J756" s="0" t="s">
        <v>240</v>
      </c>
      <c r="K756" s="0" t="s">
        <v>240</v>
      </c>
      <c r="L756" s="0" t="s">
        <v>240</v>
      </c>
      <c r="M756" s="0" t="s">
        <v>240</v>
      </c>
      <c r="N756" s="0" t="s">
        <v>240</v>
      </c>
      <c r="O756" s="0" t="s">
        <v>240</v>
      </c>
      <c r="P756" s="0" t="s">
        <v>240</v>
      </c>
      <c r="Q756" s="0" t="s">
        <v>240</v>
      </c>
      <c r="R756" s="0" t="s">
        <v>7392</v>
      </c>
      <c r="S756" s="0" t="s">
        <v>240</v>
      </c>
      <c r="T756" s="0" t="s">
        <v>240</v>
      </c>
      <c r="U756" s="0" t="s">
        <v>102</v>
      </c>
      <c r="V756" s="0" t="s">
        <v>240</v>
      </c>
      <c r="W756" s="0" t="s">
        <v>240</v>
      </c>
      <c r="X756" s="0" t="s">
        <v>546</v>
      </c>
      <c r="Y756" s="0" t="s">
        <v>240</v>
      </c>
      <c r="Z756" s="0" t="s">
        <v>161</v>
      </c>
      <c r="AA756" s="0" t="s">
        <v>152</v>
      </c>
      <c r="AB756" s="0" t="s">
        <v>152</v>
      </c>
      <c r="AC756" s="0" t="s">
        <v>3389</v>
      </c>
      <c r="AD756" s="0" t="s">
        <v>3389</v>
      </c>
      <c r="AE756" s="0" t="s">
        <v>3390</v>
      </c>
      <c r="AF756" s="0" t="s">
        <v>5519</v>
      </c>
      <c r="AG756" s="0" t="s">
        <v>5520</v>
      </c>
      <c r="AH756" s="0" t="s">
        <v>7184</v>
      </c>
      <c r="AI756" s="0" t="s">
        <v>7393</v>
      </c>
      <c r="AJ756" s="0" t="s">
        <v>6255</v>
      </c>
      <c r="AK756" s="0" t="s">
        <v>7394</v>
      </c>
      <c r="AL756" s="0" t="s">
        <v>7009</v>
      </c>
      <c r="AN756" s="0" t="s">
        <v>5494</v>
      </c>
      <c r="AO756" s="0" t="s">
        <v>7187</v>
      </c>
      <c r="AP756" s="0" t="s">
        <v>240</v>
      </c>
      <c r="AQ756" s="0" t="s">
        <v>240</v>
      </c>
      <c r="AR756" s="0" t="s">
        <v>240</v>
      </c>
      <c r="AS756" s="0" t="s">
        <v>240</v>
      </c>
      <c r="AT756" s="0" t="s">
        <v>240</v>
      </c>
      <c r="AU756" s="0" t="s">
        <v>240</v>
      </c>
      <c r="AV756" s="0" t="s">
        <v>240</v>
      </c>
      <c r="AW756" s="0" t="s">
        <v>240</v>
      </c>
      <c r="AX756" s="0" t="s">
        <v>240</v>
      </c>
      <c r="AY756" s="0" t="s">
        <v>240</v>
      </c>
      <c r="AZ756" s="0" t="s">
        <v>240</v>
      </c>
      <c r="BA756" s="0" t="s">
        <v>240</v>
      </c>
      <c r="BB756" s="0" t="s">
        <v>240</v>
      </c>
      <c r="BC756" s="0" t="s">
        <v>240</v>
      </c>
      <c r="BD756" s="0" t="s">
        <v>240</v>
      </c>
      <c r="BE756" s="0" t="s">
        <v>240</v>
      </c>
      <c r="BF756" s="0" t="s">
        <v>240</v>
      </c>
      <c r="BG756" s="0" t="s">
        <v>240</v>
      </c>
      <c r="BH756" s="0" t="s">
        <v>240</v>
      </c>
      <c r="BI756" s="0" t="s">
        <v>240</v>
      </c>
      <c r="BJ756" s="0" t="s">
        <v>240</v>
      </c>
      <c r="BK756" s="0" t="s">
        <v>240</v>
      </c>
      <c r="BL756" s="0" t="s">
        <v>240</v>
      </c>
      <c r="BM756" s="0" t="s">
        <v>240</v>
      </c>
      <c r="BN756" s="0" t="s">
        <v>240</v>
      </c>
      <c r="BO756" s="0" t="s">
        <v>240</v>
      </c>
      <c r="BP756" s="0" t="s">
        <v>240</v>
      </c>
      <c r="BQ756" s="0" t="s">
        <v>240</v>
      </c>
      <c r="BR756" s="0" t="s">
        <v>240</v>
      </c>
      <c r="BS756" s="0" t="s">
        <v>240</v>
      </c>
      <c r="BT756" s="0" t="s">
        <v>240</v>
      </c>
      <c r="CS756" s="0" t="s">
        <v>240</v>
      </c>
      <c r="CT756" s="0" t="s">
        <v>5496</v>
      </c>
      <c r="CU756" s="0" t="s">
        <v>7012</v>
      </c>
      <c r="CV756" s="0" t="s">
        <v>6554</v>
      </c>
      <c r="CW756" s="0" t="s">
        <v>7395</v>
      </c>
      <c r="CX756" s="0" t="s">
        <v>5528</v>
      </c>
      <c r="CY756" s="0" t="s">
        <v>7189</v>
      </c>
      <c r="CZ756" s="0" t="s">
        <v>7396</v>
      </c>
      <c r="DA756" s="0" t="s">
        <v>7187</v>
      </c>
      <c r="DB756" s="0" t="s">
        <v>7395</v>
      </c>
      <c r="DC756" s="0" t="s">
        <v>384</v>
      </c>
      <c r="DD756" s="0" t="s">
        <v>300</v>
      </c>
      <c r="DE756" s="0" t="s">
        <v>7397</v>
      </c>
    </row>
    <row customHeight="1" ht="11.25">
      <c r="A757" s="1441" t="s">
        <v>240</v>
      </c>
      <c r="B757" s="0" t="s">
        <v>240</v>
      </c>
      <c r="C757" s="0" t="s">
        <v>240</v>
      </c>
      <c r="D757" s="0" t="s">
        <v>240</v>
      </c>
      <c r="E757" s="0" t="s">
        <v>240</v>
      </c>
      <c r="F757" s="0" t="s">
        <v>240</v>
      </c>
      <c r="G757" s="0" t="s">
        <v>240</v>
      </c>
      <c r="H757" s="0" t="s">
        <v>240</v>
      </c>
      <c r="I757" s="0" t="s">
        <v>7004</v>
      </c>
      <c r="J757" s="0" t="s">
        <v>240</v>
      </c>
      <c r="K757" s="0" t="s">
        <v>240</v>
      </c>
      <c r="L757" s="0" t="s">
        <v>240</v>
      </c>
      <c r="M757" s="0" t="s">
        <v>240</v>
      </c>
      <c r="N757" s="0" t="s">
        <v>240</v>
      </c>
      <c r="O757" s="0" t="s">
        <v>240</v>
      </c>
      <c r="P757" s="0" t="s">
        <v>240</v>
      </c>
      <c r="Q757" s="0" t="s">
        <v>240</v>
      </c>
      <c r="R757" s="0" t="s">
        <v>510</v>
      </c>
      <c r="S757" s="0" t="s">
        <v>240</v>
      </c>
      <c r="T757" s="0" t="s">
        <v>240</v>
      </c>
      <c r="U757" s="0" t="s">
        <v>102</v>
      </c>
      <c r="V757" s="0" t="s">
        <v>240</v>
      </c>
      <c r="W757" s="0" t="s">
        <v>240</v>
      </c>
      <c r="X757" s="0" t="s">
        <v>546</v>
      </c>
      <c r="Y757" s="0" t="s">
        <v>240</v>
      </c>
      <c r="Z757" s="0" t="s">
        <v>161</v>
      </c>
      <c r="AA757" s="0" t="s">
        <v>152</v>
      </c>
      <c r="AB757" s="0" t="s">
        <v>152</v>
      </c>
      <c r="AC757" s="0" t="s">
        <v>364</v>
      </c>
      <c r="AD757" s="0" t="s">
        <v>364</v>
      </c>
      <c r="AE757" s="0" t="s">
        <v>365</v>
      </c>
      <c r="AF757" s="0" t="s">
        <v>5486</v>
      </c>
      <c r="AG757" s="0" t="s">
        <v>5487</v>
      </c>
      <c r="AH757" s="0" t="s">
        <v>7398</v>
      </c>
      <c r="AI757" s="0" t="s">
        <v>475</v>
      </c>
      <c r="AJ757" s="0" t="s">
        <v>5821</v>
      </c>
      <c r="AK757" s="0" t="s">
        <v>5544</v>
      </c>
      <c r="AL757" s="0" t="s">
        <v>7009</v>
      </c>
      <c r="AN757" s="0" t="s">
        <v>5756</v>
      </c>
      <c r="AO757" s="0" t="s">
        <v>6481</v>
      </c>
      <c r="AP757" s="0" t="s">
        <v>240</v>
      </c>
      <c r="AQ757" s="0" t="s">
        <v>240</v>
      </c>
      <c r="AR757" s="0" t="s">
        <v>240</v>
      </c>
      <c r="AS757" s="0" t="s">
        <v>240</v>
      </c>
      <c r="AT757" s="0" t="s">
        <v>240</v>
      </c>
      <c r="AU757" s="0" t="s">
        <v>240</v>
      </c>
      <c r="AV757" s="0" t="s">
        <v>240</v>
      </c>
      <c r="AW757" s="0" t="s">
        <v>240</v>
      </c>
      <c r="AX757" s="0" t="s">
        <v>240</v>
      </c>
      <c r="AY757" s="0" t="s">
        <v>240</v>
      </c>
      <c r="AZ757" s="0" t="s">
        <v>240</v>
      </c>
      <c r="BA757" s="0" t="s">
        <v>240</v>
      </c>
      <c r="BB757" s="0" t="s">
        <v>240</v>
      </c>
      <c r="BC757" s="0" t="s">
        <v>240</v>
      </c>
      <c r="BD757" s="0" t="s">
        <v>240</v>
      </c>
      <c r="BE757" s="0" t="s">
        <v>240</v>
      </c>
      <c r="BF757" s="0" t="s">
        <v>240</v>
      </c>
      <c r="BG757" s="0" t="s">
        <v>240</v>
      </c>
      <c r="BH757" s="0" t="s">
        <v>240</v>
      </c>
      <c r="BI757" s="0" t="s">
        <v>240</v>
      </c>
      <c r="BJ757" s="0" t="s">
        <v>240</v>
      </c>
      <c r="BK757" s="0" t="s">
        <v>240</v>
      </c>
      <c r="BL757" s="0" t="s">
        <v>240</v>
      </c>
      <c r="BM757" s="0" t="s">
        <v>240</v>
      </c>
      <c r="BN757" s="0" t="s">
        <v>240</v>
      </c>
      <c r="BO757" s="0" t="s">
        <v>240</v>
      </c>
      <c r="BP757" s="0" t="s">
        <v>240</v>
      </c>
      <c r="BQ757" s="0" t="s">
        <v>240</v>
      </c>
      <c r="BR757" s="0" t="s">
        <v>240</v>
      </c>
      <c r="BS757" s="0" t="s">
        <v>240</v>
      </c>
      <c r="BT757" s="0" t="s">
        <v>240</v>
      </c>
      <c r="CS757" s="0" t="s">
        <v>240</v>
      </c>
      <c r="CT757" s="0" t="s">
        <v>5496</v>
      </c>
      <c r="CU757" s="0" t="s">
        <v>5497</v>
      </c>
      <c r="CV757" s="0" t="s">
        <v>443</v>
      </c>
      <c r="CW757" s="0" t="s">
        <v>5498</v>
      </c>
      <c r="CX757" s="0" t="s">
        <v>229</v>
      </c>
      <c r="CY757" s="0" t="s">
        <v>443</v>
      </c>
      <c r="CZ757" s="0" t="s">
        <v>230</v>
      </c>
      <c r="DA757" s="0" t="s">
        <v>444</v>
      </c>
      <c r="DB757" s="0" t="s">
        <v>5498</v>
      </c>
      <c r="DC757" s="0" t="s">
        <v>384</v>
      </c>
      <c r="DD757" s="0" t="s">
        <v>300</v>
      </c>
      <c r="DE757" s="0" t="s">
        <v>511</v>
      </c>
    </row>
    <row customHeight="1" ht="11.25">
      <c r="A758" s="1441" t="s">
        <v>240</v>
      </c>
      <c r="B758" s="0" t="s">
        <v>240</v>
      </c>
      <c r="C758" s="0" t="s">
        <v>240</v>
      </c>
      <c r="D758" s="0" t="s">
        <v>240</v>
      </c>
      <c r="E758" s="0" t="s">
        <v>240</v>
      </c>
      <c r="F758" s="0" t="s">
        <v>240</v>
      </c>
      <c r="G758" s="0" t="s">
        <v>240</v>
      </c>
      <c r="H758" s="0" t="s">
        <v>240</v>
      </c>
      <c r="I758" s="0" t="s">
        <v>7004</v>
      </c>
      <c r="J758" s="0" t="s">
        <v>240</v>
      </c>
      <c r="K758" s="0" t="s">
        <v>240</v>
      </c>
      <c r="L758" s="0" t="s">
        <v>240</v>
      </c>
      <c r="M758" s="0" t="s">
        <v>240</v>
      </c>
      <c r="N758" s="0" t="s">
        <v>240</v>
      </c>
      <c r="O758" s="0" t="s">
        <v>240</v>
      </c>
      <c r="P758" s="0" t="s">
        <v>240</v>
      </c>
      <c r="Q758" s="0" t="s">
        <v>240</v>
      </c>
      <c r="R758" s="0" t="s">
        <v>514</v>
      </c>
      <c r="S758" s="0" t="s">
        <v>240</v>
      </c>
      <c r="T758" s="0" t="s">
        <v>240</v>
      </c>
      <c r="U758" s="0" t="s">
        <v>102</v>
      </c>
      <c r="V758" s="0" t="s">
        <v>240</v>
      </c>
      <c r="W758" s="0" t="s">
        <v>240</v>
      </c>
      <c r="X758" s="0" t="s">
        <v>546</v>
      </c>
      <c r="Y758" s="0" t="s">
        <v>240</v>
      </c>
      <c r="Z758" s="0" t="s">
        <v>161</v>
      </c>
      <c r="AA758" s="0" t="s">
        <v>152</v>
      </c>
      <c r="AB758" s="0" t="s">
        <v>152</v>
      </c>
      <c r="AC758" s="0" t="s">
        <v>364</v>
      </c>
      <c r="AD758" s="0" t="s">
        <v>364</v>
      </c>
      <c r="AE758" s="0" t="s">
        <v>365</v>
      </c>
      <c r="AF758" s="0" t="s">
        <v>5486</v>
      </c>
      <c r="AG758" s="0" t="s">
        <v>5487</v>
      </c>
      <c r="AH758" s="0" t="s">
        <v>7399</v>
      </c>
      <c r="AI758" s="0" t="s">
        <v>7400</v>
      </c>
      <c r="AJ758" s="0" t="s">
        <v>7112</v>
      </c>
      <c r="AK758" s="0" t="s">
        <v>5992</v>
      </c>
      <c r="AL758" s="0" t="s">
        <v>7009</v>
      </c>
      <c r="AN758" s="0" t="s">
        <v>5657</v>
      </c>
      <c r="AO758" s="0" t="s">
        <v>5579</v>
      </c>
      <c r="AP758" s="0" t="s">
        <v>240</v>
      </c>
      <c r="AQ758" s="0" t="s">
        <v>240</v>
      </c>
      <c r="AR758" s="0" t="s">
        <v>240</v>
      </c>
      <c r="AS758" s="0" t="s">
        <v>240</v>
      </c>
      <c r="AT758" s="0" t="s">
        <v>240</v>
      </c>
      <c r="AU758" s="0" t="s">
        <v>240</v>
      </c>
      <c r="AV758" s="0" t="s">
        <v>240</v>
      </c>
      <c r="AW758" s="0" t="s">
        <v>240</v>
      </c>
      <c r="AX758" s="0" t="s">
        <v>240</v>
      </c>
      <c r="AY758" s="0" t="s">
        <v>240</v>
      </c>
      <c r="AZ758" s="0" t="s">
        <v>240</v>
      </c>
      <c r="BA758" s="0" t="s">
        <v>240</v>
      </c>
      <c r="BB758" s="0" t="s">
        <v>240</v>
      </c>
      <c r="BC758" s="0" t="s">
        <v>240</v>
      </c>
      <c r="BD758" s="0" t="s">
        <v>240</v>
      </c>
      <c r="BE758" s="0" t="s">
        <v>240</v>
      </c>
      <c r="BF758" s="0" t="s">
        <v>240</v>
      </c>
      <c r="BG758" s="0" t="s">
        <v>240</v>
      </c>
      <c r="BH758" s="0" t="s">
        <v>240</v>
      </c>
      <c r="BI758" s="0" t="s">
        <v>240</v>
      </c>
      <c r="BJ758" s="0" t="s">
        <v>240</v>
      </c>
      <c r="BK758" s="0" t="s">
        <v>240</v>
      </c>
      <c r="BL758" s="0" t="s">
        <v>240</v>
      </c>
      <c r="BM758" s="0" t="s">
        <v>240</v>
      </c>
      <c r="BN758" s="0" t="s">
        <v>240</v>
      </c>
      <c r="BO758" s="0" t="s">
        <v>240</v>
      </c>
      <c r="BP758" s="0" t="s">
        <v>240</v>
      </c>
      <c r="BQ758" s="0" t="s">
        <v>240</v>
      </c>
      <c r="BR758" s="0" t="s">
        <v>240</v>
      </c>
      <c r="BS758" s="0" t="s">
        <v>240</v>
      </c>
      <c r="BT758" s="0" t="s">
        <v>240</v>
      </c>
      <c r="CS758" s="0" t="s">
        <v>240</v>
      </c>
      <c r="CT758" s="0" t="s">
        <v>5496</v>
      </c>
      <c r="CU758" s="0" t="s">
        <v>5497</v>
      </c>
      <c r="CV758" s="0" t="s">
        <v>443</v>
      </c>
      <c r="CW758" s="0" t="s">
        <v>5498</v>
      </c>
      <c r="CX758" s="0" t="s">
        <v>229</v>
      </c>
      <c r="CY758" s="0" t="s">
        <v>443</v>
      </c>
      <c r="CZ758" s="0" t="s">
        <v>230</v>
      </c>
      <c r="DA758" s="0" t="s">
        <v>444</v>
      </c>
      <c r="DB758" s="0" t="s">
        <v>5498</v>
      </c>
      <c r="DC758" s="0" t="s">
        <v>384</v>
      </c>
      <c r="DD758" s="0" t="s">
        <v>300</v>
      </c>
      <c r="DE758" s="0" t="s">
        <v>515</v>
      </c>
    </row>
    <row customHeight="1" ht="11.25">
      <c r="A759" s="1441" t="s">
        <v>240</v>
      </c>
      <c r="B759" s="0" t="s">
        <v>240</v>
      </c>
      <c r="C759" s="0" t="s">
        <v>240</v>
      </c>
      <c r="D759" s="0" t="s">
        <v>240</v>
      </c>
      <c r="E759" s="0" t="s">
        <v>240</v>
      </c>
      <c r="F759" s="0" t="s">
        <v>240</v>
      </c>
      <c r="G759" s="0" t="s">
        <v>240</v>
      </c>
      <c r="H759" s="0" t="s">
        <v>240</v>
      </c>
      <c r="I759" s="0" t="s">
        <v>7004</v>
      </c>
      <c r="J759" s="0" t="s">
        <v>240</v>
      </c>
      <c r="K759" s="0" t="s">
        <v>240</v>
      </c>
      <c r="L759" s="0" t="s">
        <v>240</v>
      </c>
      <c r="M759" s="0" t="s">
        <v>240</v>
      </c>
      <c r="N759" s="0" t="s">
        <v>240</v>
      </c>
      <c r="O759" s="0" t="s">
        <v>240</v>
      </c>
      <c r="P759" s="0" t="s">
        <v>240</v>
      </c>
      <c r="Q759" s="0" t="s">
        <v>240</v>
      </c>
      <c r="R759" s="0" t="s">
        <v>516</v>
      </c>
      <c r="S759" s="0" t="s">
        <v>240</v>
      </c>
      <c r="T759" s="0" t="s">
        <v>240</v>
      </c>
      <c r="U759" s="0" t="s">
        <v>102</v>
      </c>
      <c r="V759" s="0" t="s">
        <v>240</v>
      </c>
      <c r="W759" s="0" t="s">
        <v>240</v>
      </c>
      <c r="X759" s="0" t="s">
        <v>546</v>
      </c>
      <c r="Y759" s="0" t="s">
        <v>240</v>
      </c>
      <c r="Z759" s="0" t="s">
        <v>161</v>
      </c>
      <c r="AA759" s="0" t="s">
        <v>152</v>
      </c>
      <c r="AB759" s="0" t="s">
        <v>152</v>
      </c>
      <c r="AC759" s="0" t="s">
        <v>364</v>
      </c>
      <c r="AD759" s="0" t="s">
        <v>364</v>
      </c>
      <c r="AE759" s="0" t="s">
        <v>365</v>
      </c>
      <c r="AF759" s="0" t="s">
        <v>5486</v>
      </c>
      <c r="AG759" s="0" t="s">
        <v>5487</v>
      </c>
      <c r="AH759" s="0" t="s">
        <v>7401</v>
      </c>
      <c r="AI759" s="0" t="s">
        <v>5503</v>
      </c>
      <c r="AJ759" s="0" t="s">
        <v>7154</v>
      </c>
      <c r="AK759" s="0" t="s">
        <v>7402</v>
      </c>
      <c r="AL759" s="0" t="s">
        <v>7009</v>
      </c>
      <c r="AN759" s="0" t="s">
        <v>6206</v>
      </c>
      <c r="AO759" s="0" t="s">
        <v>7141</v>
      </c>
      <c r="AP759" s="0" t="s">
        <v>240</v>
      </c>
      <c r="AQ759" s="0" t="s">
        <v>240</v>
      </c>
      <c r="AR759" s="0" t="s">
        <v>240</v>
      </c>
      <c r="AS759" s="0" t="s">
        <v>240</v>
      </c>
      <c r="AT759" s="0" t="s">
        <v>240</v>
      </c>
      <c r="AU759" s="0" t="s">
        <v>240</v>
      </c>
      <c r="AV759" s="0" t="s">
        <v>240</v>
      </c>
      <c r="AW759" s="0" t="s">
        <v>240</v>
      </c>
      <c r="AX759" s="0" t="s">
        <v>240</v>
      </c>
      <c r="AY759" s="0" t="s">
        <v>240</v>
      </c>
      <c r="AZ759" s="0" t="s">
        <v>240</v>
      </c>
      <c r="BA759" s="0" t="s">
        <v>240</v>
      </c>
      <c r="BB759" s="0" t="s">
        <v>240</v>
      </c>
      <c r="BC759" s="0" t="s">
        <v>240</v>
      </c>
      <c r="BD759" s="0" t="s">
        <v>240</v>
      </c>
      <c r="BE759" s="0" t="s">
        <v>240</v>
      </c>
      <c r="BF759" s="0" t="s">
        <v>240</v>
      </c>
      <c r="BG759" s="0" t="s">
        <v>240</v>
      </c>
      <c r="BH759" s="0" t="s">
        <v>240</v>
      </c>
      <c r="BI759" s="0" t="s">
        <v>240</v>
      </c>
      <c r="BJ759" s="0" t="s">
        <v>240</v>
      </c>
      <c r="BK759" s="0" t="s">
        <v>240</v>
      </c>
      <c r="BL759" s="0" t="s">
        <v>240</v>
      </c>
      <c r="BM759" s="0" t="s">
        <v>240</v>
      </c>
      <c r="BN759" s="0" t="s">
        <v>240</v>
      </c>
      <c r="BO759" s="0" t="s">
        <v>240</v>
      </c>
      <c r="BP759" s="0" t="s">
        <v>240</v>
      </c>
      <c r="BQ759" s="0" t="s">
        <v>240</v>
      </c>
      <c r="BR759" s="0" t="s">
        <v>240</v>
      </c>
      <c r="BS759" s="0" t="s">
        <v>240</v>
      </c>
      <c r="BT759" s="0" t="s">
        <v>240</v>
      </c>
      <c r="CS759" s="0" t="s">
        <v>240</v>
      </c>
      <c r="CT759" s="0" t="s">
        <v>5496</v>
      </c>
      <c r="CU759" s="0" t="s">
        <v>5497</v>
      </c>
      <c r="CV759" s="0" t="s">
        <v>443</v>
      </c>
      <c r="CW759" s="0" t="s">
        <v>5498</v>
      </c>
      <c r="CX759" s="0" t="s">
        <v>229</v>
      </c>
      <c r="CY759" s="0" t="s">
        <v>443</v>
      </c>
      <c r="CZ759" s="0" t="s">
        <v>230</v>
      </c>
      <c r="DA759" s="0" t="s">
        <v>444</v>
      </c>
      <c r="DB759" s="0" t="s">
        <v>5498</v>
      </c>
      <c r="DC759" s="0" t="s">
        <v>384</v>
      </c>
      <c r="DD759" s="0" t="s">
        <v>300</v>
      </c>
      <c r="DE759" s="0" t="s">
        <v>517</v>
      </c>
    </row>
    <row customHeight="1" ht="11.25">
      <c r="A760" s="1441" t="s">
        <v>240</v>
      </c>
      <c r="B760" s="0" t="s">
        <v>240</v>
      </c>
      <c r="C760" s="0" t="s">
        <v>240</v>
      </c>
      <c r="D760" s="0" t="s">
        <v>240</v>
      </c>
      <c r="E760" s="0" t="s">
        <v>240</v>
      </c>
      <c r="F760" s="0" t="s">
        <v>240</v>
      </c>
      <c r="G760" s="0" t="s">
        <v>240</v>
      </c>
      <c r="H760" s="0" t="s">
        <v>240</v>
      </c>
      <c r="I760" s="0" t="s">
        <v>7004</v>
      </c>
      <c r="J760" s="0" t="s">
        <v>240</v>
      </c>
      <c r="K760" s="0" t="s">
        <v>240</v>
      </c>
      <c r="L760" s="0" t="s">
        <v>240</v>
      </c>
      <c r="M760" s="0" t="s">
        <v>240</v>
      </c>
      <c r="N760" s="0" t="s">
        <v>240</v>
      </c>
      <c r="O760" s="0" t="s">
        <v>240</v>
      </c>
      <c r="P760" s="0" t="s">
        <v>240</v>
      </c>
      <c r="Q760" s="0" t="s">
        <v>240</v>
      </c>
      <c r="R760" s="0" t="s">
        <v>7368</v>
      </c>
      <c r="S760" s="0" t="s">
        <v>240</v>
      </c>
      <c r="T760" s="0" t="s">
        <v>240</v>
      </c>
      <c r="U760" s="0" t="s">
        <v>102</v>
      </c>
      <c r="V760" s="0" t="s">
        <v>240</v>
      </c>
      <c r="W760" s="0" t="s">
        <v>240</v>
      </c>
      <c r="X760" s="0" t="s">
        <v>546</v>
      </c>
      <c r="Y760" s="0" t="s">
        <v>240</v>
      </c>
      <c r="Z760" s="0" t="s">
        <v>161</v>
      </c>
      <c r="AA760" s="0" t="s">
        <v>152</v>
      </c>
      <c r="AB760" s="0" t="s">
        <v>152</v>
      </c>
      <c r="AC760" s="0" t="s">
        <v>3389</v>
      </c>
      <c r="AD760" s="0" t="s">
        <v>3389</v>
      </c>
      <c r="AE760" s="0" t="s">
        <v>3390</v>
      </c>
      <c r="AF760" s="0" t="s">
        <v>5519</v>
      </c>
      <c r="AG760" s="0" t="s">
        <v>5520</v>
      </c>
      <c r="AH760" s="0" t="s">
        <v>5760</v>
      </c>
      <c r="AI760" s="0" t="s">
        <v>5533</v>
      </c>
      <c r="AJ760" s="0" t="s">
        <v>5903</v>
      </c>
      <c r="AK760" s="0" t="s">
        <v>7369</v>
      </c>
      <c r="AL760" s="0" t="s">
        <v>7009</v>
      </c>
      <c r="AN760" s="0" t="s">
        <v>7370</v>
      </c>
      <c r="AO760" s="0" t="s">
        <v>7371</v>
      </c>
      <c r="AP760" s="0" t="s">
        <v>240</v>
      </c>
      <c r="AQ760" s="0" t="s">
        <v>240</v>
      </c>
      <c r="AR760" s="0" t="s">
        <v>240</v>
      </c>
      <c r="AS760" s="0" t="s">
        <v>240</v>
      </c>
      <c r="AT760" s="0" t="s">
        <v>240</v>
      </c>
      <c r="AU760" s="0" t="s">
        <v>240</v>
      </c>
      <c r="AV760" s="0" t="s">
        <v>240</v>
      </c>
      <c r="AW760" s="0" t="s">
        <v>240</v>
      </c>
      <c r="AX760" s="0" t="s">
        <v>240</v>
      </c>
      <c r="AY760" s="0" t="s">
        <v>240</v>
      </c>
      <c r="AZ760" s="0" t="s">
        <v>240</v>
      </c>
      <c r="BA760" s="0" t="s">
        <v>240</v>
      </c>
      <c r="BB760" s="0" t="s">
        <v>240</v>
      </c>
      <c r="BC760" s="0" t="s">
        <v>240</v>
      </c>
      <c r="BD760" s="0" t="s">
        <v>240</v>
      </c>
      <c r="BE760" s="0" t="s">
        <v>240</v>
      </c>
      <c r="BF760" s="0" t="s">
        <v>240</v>
      </c>
      <c r="BG760" s="0" t="s">
        <v>240</v>
      </c>
      <c r="BH760" s="0" t="s">
        <v>240</v>
      </c>
      <c r="BI760" s="0" t="s">
        <v>240</v>
      </c>
      <c r="BJ760" s="0" t="s">
        <v>240</v>
      </c>
      <c r="BK760" s="0" t="s">
        <v>240</v>
      </c>
      <c r="BL760" s="0" t="s">
        <v>240</v>
      </c>
      <c r="BM760" s="0" t="s">
        <v>240</v>
      </c>
      <c r="BN760" s="0" t="s">
        <v>240</v>
      </c>
      <c r="BO760" s="0" t="s">
        <v>240</v>
      </c>
      <c r="BP760" s="0" t="s">
        <v>240</v>
      </c>
      <c r="BQ760" s="0" t="s">
        <v>240</v>
      </c>
      <c r="BR760" s="0" t="s">
        <v>240</v>
      </c>
      <c r="BS760" s="0" t="s">
        <v>240</v>
      </c>
      <c r="BT760" s="0" t="s">
        <v>240</v>
      </c>
      <c r="CS760" s="0" t="s">
        <v>240</v>
      </c>
      <c r="CT760" s="0" t="s">
        <v>5496</v>
      </c>
      <c r="CU760" s="0" t="s">
        <v>5497</v>
      </c>
      <c r="CV760" s="0" t="s">
        <v>443</v>
      </c>
      <c r="CW760" s="0" t="s">
        <v>5527</v>
      </c>
      <c r="CX760" s="0" t="s">
        <v>5528</v>
      </c>
      <c r="CY760" s="0" t="s">
        <v>443</v>
      </c>
      <c r="CZ760" s="0" t="s">
        <v>299</v>
      </c>
      <c r="DA760" s="0" t="s">
        <v>5529</v>
      </c>
      <c r="DB760" s="0" t="s">
        <v>5527</v>
      </c>
      <c r="DC760" s="0" t="s">
        <v>384</v>
      </c>
      <c r="DD760" s="0" t="s">
        <v>300</v>
      </c>
      <c r="DE760" s="0" t="s">
        <v>5765</v>
      </c>
    </row>
    <row customHeight="1" ht="11.25">
      <c r="A761" s="1441" t="s">
        <v>240</v>
      </c>
      <c r="B761" s="0" t="s">
        <v>240</v>
      </c>
      <c r="C761" s="0" t="s">
        <v>240</v>
      </c>
      <c r="D761" s="0" t="s">
        <v>240</v>
      </c>
      <c r="E761" s="0" t="s">
        <v>240</v>
      </c>
      <c r="F761" s="0" t="s">
        <v>240</v>
      </c>
      <c r="G761" s="0" t="s">
        <v>240</v>
      </c>
      <c r="H761" s="0" t="s">
        <v>240</v>
      </c>
      <c r="I761" s="0" t="s">
        <v>7004</v>
      </c>
      <c r="J761" s="0" t="s">
        <v>240</v>
      </c>
      <c r="K761" s="0" t="s">
        <v>240</v>
      </c>
      <c r="L761" s="0" t="s">
        <v>240</v>
      </c>
      <c r="M761" s="0" t="s">
        <v>240</v>
      </c>
      <c r="N761" s="0" t="s">
        <v>240</v>
      </c>
      <c r="O761" s="0" t="s">
        <v>240</v>
      </c>
      <c r="P761" s="0" t="s">
        <v>240</v>
      </c>
      <c r="Q761" s="0" t="s">
        <v>240</v>
      </c>
      <c r="R761" s="0" t="s">
        <v>7005</v>
      </c>
      <c r="S761" s="0" t="s">
        <v>240</v>
      </c>
      <c r="T761" s="0" t="s">
        <v>240</v>
      </c>
      <c r="U761" s="0" t="s">
        <v>102</v>
      </c>
      <c r="V761" s="0" t="s">
        <v>240</v>
      </c>
      <c r="W761" s="0" t="s">
        <v>240</v>
      </c>
      <c r="X761" s="0" t="s">
        <v>546</v>
      </c>
      <c r="Y761" s="0" t="s">
        <v>240</v>
      </c>
      <c r="Z761" s="0" t="s">
        <v>161</v>
      </c>
      <c r="AA761" s="0" t="s">
        <v>152</v>
      </c>
      <c r="AB761" s="0" t="s">
        <v>152</v>
      </c>
      <c r="AC761" s="0" t="s">
        <v>3389</v>
      </c>
      <c r="AD761" s="0" t="s">
        <v>3389</v>
      </c>
      <c r="AE761" s="0" t="s">
        <v>3390</v>
      </c>
      <c r="AF761" s="0" t="s">
        <v>5519</v>
      </c>
      <c r="AG761" s="0" t="s">
        <v>5520</v>
      </c>
      <c r="AH761" s="0" t="s">
        <v>7006</v>
      </c>
      <c r="AI761" s="0" t="s">
        <v>5533</v>
      </c>
      <c r="AJ761" s="0" t="s">
        <v>7007</v>
      </c>
      <c r="AK761" s="0" t="s">
        <v>7008</v>
      </c>
      <c r="AL761" s="0" t="s">
        <v>7009</v>
      </c>
      <c r="AN761" s="0" t="s">
        <v>7010</v>
      </c>
      <c r="AO761" s="0" t="s">
        <v>7011</v>
      </c>
      <c r="AP761" s="0" t="s">
        <v>240</v>
      </c>
      <c r="AQ761" s="0" t="s">
        <v>240</v>
      </c>
      <c r="AR761" s="0" t="s">
        <v>240</v>
      </c>
      <c r="AS761" s="0" t="s">
        <v>240</v>
      </c>
      <c r="AT761" s="0" t="s">
        <v>240</v>
      </c>
      <c r="AU761" s="0" t="s">
        <v>240</v>
      </c>
      <c r="AV761" s="0" t="s">
        <v>240</v>
      </c>
      <c r="AW761" s="0" t="s">
        <v>240</v>
      </c>
      <c r="AX761" s="0" t="s">
        <v>240</v>
      </c>
      <c r="AY761" s="0" t="s">
        <v>240</v>
      </c>
      <c r="AZ761" s="0" t="s">
        <v>240</v>
      </c>
      <c r="BA761" s="0" t="s">
        <v>240</v>
      </c>
      <c r="BB761" s="0" t="s">
        <v>240</v>
      </c>
      <c r="BC761" s="0" t="s">
        <v>240</v>
      </c>
      <c r="BD761" s="0" t="s">
        <v>240</v>
      </c>
      <c r="BE761" s="0" t="s">
        <v>240</v>
      </c>
      <c r="BF761" s="0" t="s">
        <v>240</v>
      </c>
      <c r="BG761" s="0" t="s">
        <v>240</v>
      </c>
      <c r="BH761" s="0" t="s">
        <v>240</v>
      </c>
      <c r="BI761" s="0" t="s">
        <v>240</v>
      </c>
      <c r="BJ761" s="0" t="s">
        <v>240</v>
      </c>
      <c r="BK761" s="0" t="s">
        <v>240</v>
      </c>
      <c r="BL761" s="0" t="s">
        <v>240</v>
      </c>
      <c r="BM761" s="0" t="s">
        <v>240</v>
      </c>
      <c r="BN761" s="0" t="s">
        <v>240</v>
      </c>
      <c r="BO761" s="0" t="s">
        <v>240</v>
      </c>
      <c r="BP761" s="0" t="s">
        <v>240</v>
      </c>
      <c r="BQ761" s="0" t="s">
        <v>240</v>
      </c>
      <c r="BR761" s="0" t="s">
        <v>240</v>
      </c>
      <c r="BS761" s="0" t="s">
        <v>240</v>
      </c>
      <c r="BT761" s="0" t="s">
        <v>240</v>
      </c>
      <c r="CS761" s="0" t="s">
        <v>240</v>
      </c>
      <c r="CT761" s="0" t="s">
        <v>5496</v>
      </c>
      <c r="CU761" s="0" t="s">
        <v>7012</v>
      </c>
      <c r="CV761" s="0" t="s">
        <v>5947</v>
      </c>
      <c r="CW761" s="0" t="s">
        <v>7013</v>
      </c>
      <c r="CX761" s="0" t="s">
        <v>5528</v>
      </c>
      <c r="CY761" s="0" t="s">
        <v>5947</v>
      </c>
      <c r="CZ761" s="0" t="s">
        <v>7014</v>
      </c>
      <c r="DA761" s="0" t="s">
        <v>7015</v>
      </c>
      <c r="DB761" s="0" t="s">
        <v>7013</v>
      </c>
      <c r="DC761" s="0" t="s">
        <v>384</v>
      </c>
      <c r="DD761" s="0" t="s">
        <v>300</v>
      </c>
      <c r="DE761" s="0" t="s">
        <v>7016</v>
      </c>
    </row>
    <row customHeight="1" ht="11.25">
      <c r="A762" s="1441" t="s">
        <v>240</v>
      </c>
      <c r="B762" s="0" t="s">
        <v>240</v>
      </c>
      <c r="C762" s="0" t="s">
        <v>240</v>
      </c>
      <c r="D762" s="0" t="s">
        <v>240</v>
      </c>
      <c r="E762" s="0" t="s">
        <v>240</v>
      </c>
      <c r="F762" s="0" t="s">
        <v>240</v>
      </c>
      <c r="G762" s="0" t="s">
        <v>240</v>
      </c>
      <c r="H762" s="0" t="s">
        <v>240</v>
      </c>
      <c r="I762" s="0" t="s">
        <v>7004</v>
      </c>
      <c r="J762" s="0" t="s">
        <v>240</v>
      </c>
      <c r="K762" s="0" t="s">
        <v>240</v>
      </c>
      <c r="L762" s="0" t="s">
        <v>240</v>
      </c>
      <c r="M762" s="0" t="s">
        <v>240</v>
      </c>
      <c r="N762" s="0" t="s">
        <v>240</v>
      </c>
      <c r="O762" s="0" t="s">
        <v>240</v>
      </c>
      <c r="P762" s="0" t="s">
        <v>240</v>
      </c>
      <c r="Q762" s="0" t="s">
        <v>240</v>
      </c>
      <c r="R762" s="0" t="s">
        <v>520</v>
      </c>
      <c r="S762" s="0" t="s">
        <v>240</v>
      </c>
      <c r="T762" s="0" t="s">
        <v>240</v>
      </c>
      <c r="U762" s="0" t="s">
        <v>102</v>
      </c>
      <c r="V762" s="0" t="s">
        <v>240</v>
      </c>
      <c r="W762" s="0" t="s">
        <v>240</v>
      </c>
      <c r="X762" s="0" t="s">
        <v>546</v>
      </c>
      <c r="Y762" s="0" t="s">
        <v>240</v>
      </c>
      <c r="Z762" s="0" t="s">
        <v>161</v>
      </c>
      <c r="AA762" s="0" t="s">
        <v>152</v>
      </c>
      <c r="AB762" s="0" t="s">
        <v>152</v>
      </c>
      <c r="AC762" s="0" t="s">
        <v>2985</v>
      </c>
      <c r="AD762" s="0" t="s">
        <v>2985</v>
      </c>
      <c r="AE762" s="0" t="s">
        <v>2986</v>
      </c>
      <c r="AF762" s="0" t="s">
        <v>5951</v>
      </c>
      <c r="AG762" s="0" t="s">
        <v>5952</v>
      </c>
      <c r="AH762" s="0" t="s">
        <v>7113</v>
      </c>
      <c r="AI762" s="0" t="s">
        <v>5533</v>
      </c>
      <c r="AJ762" s="0" t="s">
        <v>7140</v>
      </c>
      <c r="AK762" s="0" t="s">
        <v>5491</v>
      </c>
      <c r="AL762" s="0" t="s">
        <v>7009</v>
      </c>
      <c r="AN762" s="0" t="s">
        <v>5507</v>
      </c>
      <c r="AO762" s="0" t="s">
        <v>7141</v>
      </c>
      <c r="AP762" s="0" t="s">
        <v>240</v>
      </c>
      <c r="AQ762" s="0" t="s">
        <v>240</v>
      </c>
      <c r="AR762" s="0" t="s">
        <v>240</v>
      </c>
      <c r="AS762" s="0" t="s">
        <v>240</v>
      </c>
      <c r="AT762" s="0" t="s">
        <v>240</v>
      </c>
      <c r="AU762" s="0" t="s">
        <v>240</v>
      </c>
      <c r="AV762" s="0" t="s">
        <v>240</v>
      </c>
      <c r="AW762" s="0" t="s">
        <v>240</v>
      </c>
      <c r="AX762" s="0" t="s">
        <v>240</v>
      </c>
      <c r="AY762" s="0" t="s">
        <v>240</v>
      </c>
      <c r="AZ762" s="0" t="s">
        <v>240</v>
      </c>
      <c r="BA762" s="0" t="s">
        <v>240</v>
      </c>
      <c r="BB762" s="0" t="s">
        <v>240</v>
      </c>
      <c r="BC762" s="0" t="s">
        <v>240</v>
      </c>
      <c r="BD762" s="0" t="s">
        <v>240</v>
      </c>
      <c r="BE762" s="0" t="s">
        <v>240</v>
      </c>
      <c r="BF762" s="0" t="s">
        <v>240</v>
      </c>
      <c r="BG762" s="0" t="s">
        <v>240</v>
      </c>
      <c r="BH762" s="0" t="s">
        <v>240</v>
      </c>
      <c r="BI762" s="0" t="s">
        <v>240</v>
      </c>
      <c r="BJ762" s="0" t="s">
        <v>240</v>
      </c>
      <c r="BK762" s="0" t="s">
        <v>240</v>
      </c>
      <c r="BL762" s="0" t="s">
        <v>240</v>
      </c>
      <c r="BM762" s="0" t="s">
        <v>240</v>
      </c>
      <c r="BN762" s="0" t="s">
        <v>240</v>
      </c>
      <c r="BO762" s="0" t="s">
        <v>240</v>
      </c>
      <c r="BP762" s="0" t="s">
        <v>240</v>
      </c>
      <c r="BQ762" s="0" t="s">
        <v>240</v>
      </c>
      <c r="BR762" s="0" t="s">
        <v>240</v>
      </c>
      <c r="BS762" s="0" t="s">
        <v>240</v>
      </c>
      <c r="BT762" s="0" t="s">
        <v>240</v>
      </c>
      <c r="CS762" s="0" t="s">
        <v>240</v>
      </c>
      <c r="CT762" s="0" t="s">
        <v>5496</v>
      </c>
      <c r="CU762" s="0" t="s">
        <v>5497</v>
      </c>
      <c r="CV762" s="0" t="s">
        <v>443</v>
      </c>
      <c r="CW762" s="0" t="s">
        <v>5509</v>
      </c>
      <c r="CX762" s="0" t="s">
        <v>229</v>
      </c>
      <c r="CY762" s="0" t="s">
        <v>443</v>
      </c>
      <c r="CZ762" s="0" t="s">
        <v>5510</v>
      </c>
      <c r="DA762" s="0" t="s">
        <v>5511</v>
      </c>
      <c r="DB762" s="0" t="s">
        <v>5509</v>
      </c>
      <c r="DC762" s="0" t="s">
        <v>384</v>
      </c>
      <c r="DD762" s="0" t="s">
        <v>300</v>
      </c>
      <c r="DE762" s="0" t="s">
        <v>7142</v>
      </c>
    </row>
    <row customHeight="1" ht="11.25">
      <c r="A763" s="1441" t="s">
        <v>240</v>
      </c>
      <c r="B763" s="0" t="s">
        <v>240</v>
      </c>
      <c r="C763" s="0" t="s">
        <v>240</v>
      </c>
      <c r="D763" s="0" t="s">
        <v>240</v>
      </c>
      <c r="E763" s="0" t="s">
        <v>240</v>
      </c>
      <c r="F763" s="0" t="s">
        <v>240</v>
      </c>
      <c r="G763" s="0" t="s">
        <v>240</v>
      </c>
      <c r="H763" s="0" t="s">
        <v>240</v>
      </c>
      <c r="I763" s="0" t="s">
        <v>7004</v>
      </c>
      <c r="J763" s="0" t="s">
        <v>240</v>
      </c>
      <c r="K763" s="0" t="s">
        <v>240</v>
      </c>
      <c r="L763" s="0" t="s">
        <v>240</v>
      </c>
      <c r="M763" s="0" t="s">
        <v>240</v>
      </c>
      <c r="N763" s="0" t="s">
        <v>240</v>
      </c>
      <c r="O763" s="0" t="s">
        <v>240</v>
      </c>
      <c r="P763" s="0" t="s">
        <v>240</v>
      </c>
      <c r="Q763" s="0" t="s">
        <v>240</v>
      </c>
      <c r="R763" s="0" t="s">
        <v>7268</v>
      </c>
      <c r="S763" s="0" t="s">
        <v>240</v>
      </c>
      <c r="T763" s="0" t="s">
        <v>240</v>
      </c>
      <c r="U763" s="0" t="s">
        <v>102</v>
      </c>
      <c r="V763" s="0" t="s">
        <v>240</v>
      </c>
      <c r="W763" s="0" t="s">
        <v>240</v>
      </c>
      <c r="X763" s="0" t="s">
        <v>7269</v>
      </c>
      <c r="Y763" s="0" t="s">
        <v>240</v>
      </c>
      <c r="Z763" s="0" t="s">
        <v>161</v>
      </c>
      <c r="AA763" s="0" t="s">
        <v>152</v>
      </c>
      <c r="AB763" s="0" t="s">
        <v>161</v>
      </c>
      <c r="AC763" s="0" t="s">
        <v>3389</v>
      </c>
      <c r="AD763" s="0" t="s">
        <v>3389</v>
      </c>
      <c r="AE763" s="0" t="s">
        <v>3390</v>
      </c>
      <c r="AF763" s="0" t="s">
        <v>5519</v>
      </c>
      <c r="AG763" s="0" t="s">
        <v>5520</v>
      </c>
      <c r="AH763" s="0" t="s">
        <v>7270</v>
      </c>
      <c r="AI763" s="0" t="s">
        <v>6128</v>
      </c>
      <c r="AJ763" s="0" t="s">
        <v>7083</v>
      </c>
      <c r="AK763" s="0" t="s">
        <v>5490</v>
      </c>
      <c r="AL763" s="0" t="s">
        <v>7027</v>
      </c>
      <c r="AN763" s="0" t="s">
        <v>5507</v>
      </c>
      <c r="AO763" s="0" t="s">
        <v>7271</v>
      </c>
      <c r="AP763" s="0" t="s">
        <v>240</v>
      </c>
      <c r="AQ763" s="0" t="s">
        <v>240</v>
      </c>
      <c r="AR763" s="0" t="s">
        <v>240</v>
      </c>
      <c r="AS763" s="0" t="s">
        <v>240</v>
      </c>
      <c r="AT763" s="0" t="s">
        <v>240</v>
      </c>
      <c r="AU763" s="0" t="s">
        <v>240</v>
      </c>
      <c r="AV763" s="0" t="s">
        <v>240</v>
      </c>
      <c r="AW763" s="0" t="s">
        <v>240</v>
      </c>
      <c r="AX763" s="0" t="s">
        <v>240</v>
      </c>
      <c r="AY763" s="0" t="s">
        <v>240</v>
      </c>
      <c r="AZ763" s="0" t="s">
        <v>240</v>
      </c>
      <c r="BA763" s="0" t="s">
        <v>240</v>
      </c>
      <c r="BB763" s="0" t="s">
        <v>240</v>
      </c>
      <c r="BC763" s="0" t="s">
        <v>240</v>
      </c>
      <c r="BD763" s="0" t="s">
        <v>240</v>
      </c>
      <c r="BE763" s="0" t="s">
        <v>7083</v>
      </c>
      <c r="BF763" s="0" t="s">
        <v>5490</v>
      </c>
      <c r="BG763" s="0" t="s">
        <v>240</v>
      </c>
      <c r="BH763" s="0" t="s">
        <v>240</v>
      </c>
      <c r="BI763" s="0" t="s">
        <v>240</v>
      </c>
      <c r="BJ763" s="0" t="s">
        <v>240</v>
      </c>
      <c r="BK763" s="0" t="s">
        <v>240</v>
      </c>
      <c r="BL763" s="0" t="s">
        <v>240</v>
      </c>
      <c r="BM763" s="0" t="s">
        <v>240</v>
      </c>
      <c r="BN763" s="0" t="s">
        <v>240</v>
      </c>
      <c r="BO763" s="0" t="s">
        <v>240</v>
      </c>
      <c r="BP763" s="0" t="s">
        <v>240</v>
      </c>
      <c r="BQ763" s="0" t="s">
        <v>240</v>
      </c>
      <c r="BR763" s="0" t="s">
        <v>240</v>
      </c>
      <c r="BS763" s="0" t="s">
        <v>240</v>
      </c>
      <c r="BT763" s="0" t="s">
        <v>5594</v>
      </c>
      <c r="CS763" s="0" t="s">
        <v>7272</v>
      </c>
      <c r="CT763" s="0" t="s">
        <v>5496</v>
      </c>
      <c r="CU763" s="0" t="s">
        <v>5497</v>
      </c>
      <c r="CV763" s="0" t="s">
        <v>443</v>
      </c>
      <c r="CW763" s="0" t="s">
        <v>5527</v>
      </c>
      <c r="CX763" s="0" t="s">
        <v>229</v>
      </c>
      <c r="CY763" s="0" t="s">
        <v>443</v>
      </c>
      <c r="CZ763" s="0" t="s">
        <v>299</v>
      </c>
      <c r="DA763" s="0" t="s">
        <v>5529</v>
      </c>
      <c r="DB763" s="0" t="s">
        <v>5527</v>
      </c>
      <c r="DC763" s="0" t="s">
        <v>384</v>
      </c>
      <c r="DD763" s="0" t="s">
        <v>300</v>
      </c>
      <c r="DE763" s="0" t="s">
        <v>7273</v>
      </c>
    </row>
    <row customHeight="1" ht="11.25">
      <c r="A764" s="1441" t="s">
        <v>240</v>
      </c>
      <c r="B764" s="0" t="s">
        <v>240</v>
      </c>
      <c r="C764" s="0" t="s">
        <v>240</v>
      </c>
      <c r="D764" s="0" t="s">
        <v>240</v>
      </c>
      <c r="E764" s="0" t="s">
        <v>240</v>
      </c>
      <c r="F764" s="0" t="s">
        <v>240</v>
      </c>
      <c r="G764" s="0" t="s">
        <v>240</v>
      </c>
      <c r="H764" s="0" t="s">
        <v>240</v>
      </c>
      <c r="I764" s="0" t="s">
        <v>7004</v>
      </c>
      <c r="J764" s="0" t="s">
        <v>240</v>
      </c>
      <c r="K764" s="0" t="s">
        <v>240</v>
      </c>
      <c r="L764" s="0" t="s">
        <v>240</v>
      </c>
      <c r="M764" s="0" t="s">
        <v>240</v>
      </c>
      <c r="N764" s="0" t="s">
        <v>240</v>
      </c>
      <c r="O764" s="0" t="s">
        <v>240</v>
      </c>
      <c r="P764" s="0" t="s">
        <v>240</v>
      </c>
      <c r="Q764" s="0" t="s">
        <v>240</v>
      </c>
      <c r="R764" s="0" t="s">
        <v>7262</v>
      </c>
      <c r="S764" s="0" t="s">
        <v>240</v>
      </c>
      <c r="T764" s="0" t="s">
        <v>240</v>
      </c>
      <c r="U764" s="0" t="s">
        <v>102</v>
      </c>
      <c r="V764" s="0" t="s">
        <v>240</v>
      </c>
      <c r="W764" s="0" t="s">
        <v>240</v>
      </c>
      <c r="X764" s="0" t="s">
        <v>5905</v>
      </c>
      <c r="Y764" s="0" t="s">
        <v>240</v>
      </c>
      <c r="Z764" s="0" t="s">
        <v>152</v>
      </c>
      <c r="AA764" s="0" t="s">
        <v>161</v>
      </c>
      <c r="AB764" s="0" t="s">
        <v>152</v>
      </c>
      <c r="AC764" s="0" t="s">
        <v>3389</v>
      </c>
      <c r="AD764" s="0" t="s">
        <v>3389</v>
      </c>
      <c r="AE764" s="0" t="s">
        <v>3390</v>
      </c>
      <c r="AF764" s="0" t="s">
        <v>5519</v>
      </c>
      <c r="AG764" s="0" t="s">
        <v>5520</v>
      </c>
      <c r="AH764" s="0" t="s">
        <v>7263</v>
      </c>
      <c r="AI764" s="0" t="s">
        <v>5533</v>
      </c>
      <c r="AJ764" s="0" t="s">
        <v>240</v>
      </c>
      <c r="AK764" s="0" t="s">
        <v>240</v>
      </c>
      <c r="AL764" s="0" t="s">
        <v>240</v>
      </c>
      <c r="AN764" s="0" t="s">
        <v>240</v>
      </c>
      <c r="AO764" s="0" t="s">
        <v>240</v>
      </c>
      <c r="AP764" s="0" t="s">
        <v>5716</v>
      </c>
      <c r="AQ764" s="0" t="s">
        <v>7264</v>
      </c>
      <c r="AR764" s="0" t="s">
        <v>112</v>
      </c>
      <c r="AS764" s="0" t="s">
        <v>5589</v>
      </c>
      <c r="AT764" s="0" t="s">
        <v>123</v>
      </c>
      <c r="AU764" s="0" t="s">
        <v>240</v>
      </c>
      <c r="AV764" s="0" t="s">
        <v>7262</v>
      </c>
      <c r="AW764" s="0" t="s">
        <v>3389</v>
      </c>
      <c r="AX764" s="0" t="s">
        <v>3389</v>
      </c>
      <c r="AY764" s="0" t="s">
        <v>5591</v>
      </c>
      <c r="AZ764" s="0" t="s">
        <v>5519</v>
      </c>
      <c r="BA764" s="0" t="s">
        <v>5592</v>
      </c>
      <c r="BB764" s="0" t="s">
        <v>7263</v>
      </c>
      <c r="BC764" s="0" t="s">
        <v>5533</v>
      </c>
      <c r="BD764" s="0" t="s">
        <v>7267</v>
      </c>
      <c r="BE764" s="0" t="s">
        <v>240</v>
      </c>
      <c r="BF764" s="0" t="s">
        <v>240</v>
      </c>
      <c r="BG764" s="0" t="s">
        <v>240</v>
      </c>
      <c r="BH764" s="0" t="s">
        <v>240</v>
      </c>
      <c r="BI764" s="0" t="s">
        <v>240</v>
      </c>
      <c r="BJ764" s="0" t="s">
        <v>240</v>
      </c>
      <c r="BK764" s="0" t="s">
        <v>240</v>
      </c>
      <c r="BL764" s="0" t="s">
        <v>240</v>
      </c>
      <c r="BM764" s="0" t="s">
        <v>240</v>
      </c>
      <c r="BN764" s="0" t="s">
        <v>240</v>
      </c>
      <c r="BO764" s="0" t="s">
        <v>240</v>
      </c>
      <c r="BP764" s="0" t="s">
        <v>240</v>
      </c>
      <c r="BQ764" s="0" t="s">
        <v>240</v>
      </c>
      <c r="BR764" s="0" t="s">
        <v>240</v>
      </c>
      <c r="BS764" s="0" t="s">
        <v>240</v>
      </c>
      <c r="BT764" s="0" t="s">
        <v>240</v>
      </c>
      <c r="CS764" s="0" t="s">
        <v>240</v>
      </c>
      <c r="CT764" s="0" t="s">
        <v>5496</v>
      </c>
      <c r="CU764" s="0" t="s">
        <v>5497</v>
      </c>
      <c r="CV764" s="0" t="s">
        <v>443</v>
      </c>
      <c r="CW764" s="0" t="s">
        <v>5527</v>
      </c>
      <c r="CX764" s="0" t="s">
        <v>5528</v>
      </c>
      <c r="CY764" s="0" t="s">
        <v>443</v>
      </c>
      <c r="CZ764" s="0" t="s">
        <v>299</v>
      </c>
      <c r="DA764" s="0" t="s">
        <v>5529</v>
      </c>
      <c r="DB764" s="0" t="s">
        <v>5527</v>
      </c>
      <c r="DC764" s="0" t="s">
        <v>384</v>
      </c>
      <c r="DD764" s="0" t="s">
        <v>300</v>
      </c>
      <c r="DE764" s="0" t="s">
        <v>7266</v>
      </c>
    </row>
    <row customHeight="1" ht="11.25">
      <c r="A765" s="1441" t="s">
        <v>240</v>
      </c>
      <c r="B765" s="0" t="s">
        <v>240</v>
      </c>
      <c r="C765" s="0" t="s">
        <v>240</v>
      </c>
      <c r="D765" s="0" t="s">
        <v>240</v>
      </c>
      <c r="E765" s="0" t="s">
        <v>240</v>
      </c>
      <c r="F765" s="0" t="s">
        <v>240</v>
      </c>
      <c r="G765" s="0" t="s">
        <v>240</v>
      </c>
      <c r="H765" s="0" t="s">
        <v>240</v>
      </c>
      <c r="I765" s="0" t="s">
        <v>7004</v>
      </c>
      <c r="J765" s="0" t="s">
        <v>240</v>
      </c>
      <c r="K765" s="0" t="s">
        <v>240</v>
      </c>
      <c r="L765" s="0" t="s">
        <v>240</v>
      </c>
      <c r="M765" s="0" t="s">
        <v>240</v>
      </c>
      <c r="N765" s="0" t="s">
        <v>240</v>
      </c>
      <c r="O765" s="0" t="s">
        <v>240</v>
      </c>
      <c r="P765" s="0" t="s">
        <v>240</v>
      </c>
      <c r="Q765" s="0" t="s">
        <v>240</v>
      </c>
      <c r="R765" s="0" t="s">
        <v>7274</v>
      </c>
      <c r="S765" s="0" t="s">
        <v>240</v>
      </c>
      <c r="T765" s="0" t="s">
        <v>240</v>
      </c>
      <c r="U765" s="0" t="s">
        <v>102</v>
      </c>
      <c r="V765" s="0" t="s">
        <v>240</v>
      </c>
      <c r="W765" s="0" t="s">
        <v>240</v>
      </c>
      <c r="X765" s="0" t="s">
        <v>5585</v>
      </c>
      <c r="Y765" s="0" t="s">
        <v>240</v>
      </c>
      <c r="Z765" s="0" t="s">
        <v>152</v>
      </c>
      <c r="AA765" s="0" t="s">
        <v>152</v>
      </c>
      <c r="AB765" s="0" t="s">
        <v>161</v>
      </c>
      <c r="AC765" s="0" t="s">
        <v>3389</v>
      </c>
      <c r="AD765" s="0" t="s">
        <v>3389</v>
      </c>
      <c r="AE765" s="0" t="s">
        <v>3390</v>
      </c>
      <c r="AF765" s="0" t="s">
        <v>5519</v>
      </c>
      <c r="AG765" s="0" t="s">
        <v>5520</v>
      </c>
      <c r="AH765" s="0" t="s">
        <v>6455</v>
      </c>
      <c r="AI765" s="0" t="s">
        <v>7275</v>
      </c>
      <c r="AJ765" s="0" t="s">
        <v>240</v>
      </c>
      <c r="AK765" s="0" t="s">
        <v>240</v>
      </c>
      <c r="AL765" s="0" t="s">
        <v>240</v>
      </c>
      <c r="AN765" s="0" t="s">
        <v>240</v>
      </c>
      <c r="AO765" s="0" t="s">
        <v>240</v>
      </c>
      <c r="AP765" s="0" t="s">
        <v>240</v>
      </c>
      <c r="AQ765" s="0" t="s">
        <v>240</v>
      </c>
      <c r="AR765" s="0" t="s">
        <v>240</v>
      </c>
      <c r="AS765" s="0" t="s">
        <v>240</v>
      </c>
      <c r="AT765" s="0" t="s">
        <v>240</v>
      </c>
      <c r="AU765" s="0" t="s">
        <v>240</v>
      </c>
      <c r="AV765" s="0" t="s">
        <v>240</v>
      </c>
      <c r="AW765" s="0" t="s">
        <v>240</v>
      </c>
      <c r="AX765" s="0" t="s">
        <v>240</v>
      </c>
      <c r="AY765" s="0" t="s">
        <v>240</v>
      </c>
      <c r="AZ765" s="0" t="s">
        <v>240</v>
      </c>
      <c r="BA765" s="0" t="s">
        <v>240</v>
      </c>
      <c r="BB765" s="0" t="s">
        <v>240</v>
      </c>
      <c r="BC765" s="0" t="s">
        <v>240</v>
      </c>
      <c r="BD765" s="0" t="s">
        <v>240</v>
      </c>
      <c r="BE765" s="0" t="s">
        <v>7276</v>
      </c>
      <c r="BF765" s="0" t="s">
        <v>7276</v>
      </c>
      <c r="BG765" s="0" t="s">
        <v>112</v>
      </c>
      <c r="BH765" s="0" t="s">
        <v>5589</v>
      </c>
      <c r="BI765" s="0" t="s">
        <v>123</v>
      </c>
      <c r="BJ765" s="0" t="s">
        <v>240</v>
      </c>
      <c r="BK765" s="0" t="s">
        <v>532</v>
      </c>
      <c r="BL765" s="0" t="s">
        <v>3389</v>
      </c>
      <c r="BM765" s="0" t="s">
        <v>3389</v>
      </c>
      <c r="BN765" s="0" t="s">
        <v>5591</v>
      </c>
      <c r="BO765" s="0" t="s">
        <v>5519</v>
      </c>
      <c r="BP765" s="0" t="s">
        <v>5592</v>
      </c>
      <c r="BQ765" s="0" t="s">
        <v>6455</v>
      </c>
      <c r="BR765" s="0" t="s">
        <v>7275</v>
      </c>
      <c r="BS765" s="0" t="s">
        <v>240</v>
      </c>
      <c r="BT765" s="0" t="s">
        <v>5594</v>
      </c>
      <c r="CS765" s="0" t="s">
        <v>7257</v>
      </c>
      <c r="CT765" s="0" t="s">
        <v>5496</v>
      </c>
      <c r="CU765" s="0" t="s">
        <v>5497</v>
      </c>
      <c r="CV765" s="0" t="s">
        <v>443</v>
      </c>
      <c r="CW765" s="0" t="s">
        <v>5527</v>
      </c>
      <c r="CX765" s="0" t="s">
        <v>229</v>
      </c>
      <c r="CY765" s="0" t="s">
        <v>443</v>
      </c>
      <c r="CZ765" s="0" t="s">
        <v>299</v>
      </c>
      <c r="DA765" s="0" t="s">
        <v>5529</v>
      </c>
      <c r="DB765" s="0" t="s">
        <v>5527</v>
      </c>
      <c r="DC765" s="0" t="s">
        <v>384</v>
      </c>
      <c r="DD765" s="0" t="s">
        <v>300</v>
      </c>
      <c r="DE765" s="0" t="s">
        <v>7277</v>
      </c>
    </row>
    <row customHeight="1" ht="11.25">
      <c r="A766" s="1441" t="s">
        <v>240</v>
      </c>
      <c r="B766" s="0" t="s">
        <v>240</v>
      </c>
      <c r="C766" s="0" t="s">
        <v>240</v>
      </c>
      <c r="D766" s="0" t="s">
        <v>240</v>
      </c>
      <c r="E766" s="0" t="s">
        <v>240</v>
      </c>
      <c r="F766" s="0" t="s">
        <v>240</v>
      </c>
      <c r="G766" s="0" t="s">
        <v>240</v>
      </c>
      <c r="H766" s="0" t="s">
        <v>240</v>
      </c>
      <c r="I766" s="0" t="s">
        <v>7004</v>
      </c>
      <c r="J766" s="0" t="s">
        <v>240</v>
      </c>
      <c r="K766" s="0" t="s">
        <v>240</v>
      </c>
      <c r="L766" s="0" t="s">
        <v>240</v>
      </c>
      <c r="M766" s="0" t="s">
        <v>240</v>
      </c>
      <c r="N766" s="0" t="s">
        <v>240</v>
      </c>
      <c r="O766" s="0" t="s">
        <v>240</v>
      </c>
      <c r="P766" s="0" t="s">
        <v>240</v>
      </c>
      <c r="Q766" s="0" t="s">
        <v>240</v>
      </c>
      <c r="R766" s="0" t="s">
        <v>502</v>
      </c>
      <c r="S766" s="0" t="s">
        <v>240</v>
      </c>
      <c r="T766" s="0" t="s">
        <v>240</v>
      </c>
      <c r="U766" s="0" t="s">
        <v>102</v>
      </c>
      <c r="V766" s="0" t="s">
        <v>240</v>
      </c>
      <c r="W766" s="0" t="s">
        <v>240</v>
      </c>
      <c r="X766" s="0" t="s">
        <v>5585</v>
      </c>
      <c r="Y766" s="0" t="s">
        <v>240</v>
      </c>
      <c r="Z766" s="0" t="s">
        <v>152</v>
      </c>
      <c r="AA766" s="0" t="s">
        <v>152</v>
      </c>
      <c r="AB766" s="0" t="s">
        <v>161</v>
      </c>
      <c r="AC766" s="0" t="s">
        <v>2985</v>
      </c>
      <c r="AD766" s="0" t="s">
        <v>2985</v>
      </c>
      <c r="AE766" s="0" t="s">
        <v>2986</v>
      </c>
      <c r="AF766" s="0" t="s">
        <v>5951</v>
      </c>
      <c r="AG766" s="0" t="s">
        <v>5952</v>
      </c>
      <c r="AH766" s="0" t="s">
        <v>5951</v>
      </c>
      <c r="AI766" s="0" t="s">
        <v>5533</v>
      </c>
      <c r="AJ766" s="0" t="s">
        <v>240</v>
      </c>
      <c r="AK766" s="0" t="s">
        <v>240</v>
      </c>
      <c r="AL766" s="0" t="s">
        <v>240</v>
      </c>
      <c r="AN766" s="0" t="s">
        <v>240</v>
      </c>
      <c r="AO766" s="0" t="s">
        <v>240</v>
      </c>
      <c r="AP766" s="0" t="s">
        <v>240</v>
      </c>
      <c r="AQ766" s="0" t="s">
        <v>240</v>
      </c>
      <c r="AR766" s="0" t="s">
        <v>240</v>
      </c>
      <c r="AS766" s="0" t="s">
        <v>240</v>
      </c>
      <c r="AT766" s="0" t="s">
        <v>240</v>
      </c>
      <c r="AU766" s="0" t="s">
        <v>240</v>
      </c>
      <c r="AV766" s="0" t="s">
        <v>240</v>
      </c>
      <c r="AW766" s="0" t="s">
        <v>240</v>
      </c>
      <c r="AX766" s="0" t="s">
        <v>240</v>
      </c>
      <c r="AY766" s="0" t="s">
        <v>240</v>
      </c>
      <c r="AZ766" s="0" t="s">
        <v>240</v>
      </c>
      <c r="BA766" s="0" t="s">
        <v>240</v>
      </c>
      <c r="BB766" s="0" t="s">
        <v>240</v>
      </c>
      <c r="BC766" s="0" t="s">
        <v>240</v>
      </c>
      <c r="BD766" s="0" t="s">
        <v>240</v>
      </c>
      <c r="BE766" s="0" t="s">
        <v>7111</v>
      </c>
      <c r="BF766" s="0" t="s">
        <v>7112</v>
      </c>
      <c r="BG766" s="0" t="s">
        <v>112</v>
      </c>
      <c r="BH766" s="0" t="s">
        <v>5589</v>
      </c>
      <c r="BI766" s="0" t="s">
        <v>123</v>
      </c>
      <c r="BJ766" s="0" t="s">
        <v>240</v>
      </c>
      <c r="BK766" s="0" t="s">
        <v>520</v>
      </c>
      <c r="BL766" s="0" t="s">
        <v>2985</v>
      </c>
      <c r="BM766" s="0" t="s">
        <v>2985</v>
      </c>
      <c r="BN766" s="0" t="s">
        <v>5646</v>
      </c>
      <c r="BO766" s="0" t="s">
        <v>5951</v>
      </c>
      <c r="BP766" s="0" t="s">
        <v>5955</v>
      </c>
      <c r="BQ766" s="0" t="s">
        <v>7113</v>
      </c>
      <c r="BR766" s="0" t="s">
        <v>5533</v>
      </c>
      <c r="BS766" s="0" t="s">
        <v>240</v>
      </c>
      <c r="BT766" s="0" t="s">
        <v>5650</v>
      </c>
      <c r="CS766" s="0" t="s">
        <v>5507</v>
      </c>
      <c r="CT766" s="0" t="s">
        <v>5496</v>
      </c>
      <c r="CU766" s="0" t="s">
        <v>5497</v>
      </c>
      <c r="CV766" s="0" t="s">
        <v>443</v>
      </c>
      <c r="CW766" s="0" t="s">
        <v>5509</v>
      </c>
      <c r="CX766" s="0" t="s">
        <v>229</v>
      </c>
      <c r="CY766" s="0" t="s">
        <v>443</v>
      </c>
      <c r="CZ766" s="0" t="s">
        <v>5510</v>
      </c>
      <c r="DA766" s="0" t="s">
        <v>5511</v>
      </c>
      <c r="DB766" s="0" t="s">
        <v>5509</v>
      </c>
      <c r="DC766" s="0" t="s">
        <v>384</v>
      </c>
      <c r="DD766" s="0" t="s">
        <v>300</v>
      </c>
      <c r="DE766" s="0" t="s">
        <v>7114</v>
      </c>
    </row>
    <row customHeight="1" ht="11.25">
      <c r="A767" s="1441" t="s">
        <v>240</v>
      </c>
      <c r="B767" s="0" t="s">
        <v>240</v>
      </c>
      <c r="C767" s="0" t="s">
        <v>240</v>
      </c>
      <c r="D767" s="0" t="s">
        <v>240</v>
      </c>
      <c r="E767" s="0" t="s">
        <v>240</v>
      </c>
      <c r="F767" s="0" t="s">
        <v>240</v>
      </c>
      <c r="G767" s="0" t="s">
        <v>240</v>
      </c>
      <c r="H767" s="0" t="s">
        <v>240</v>
      </c>
      <c r="I767" s="0" t="s">
        <v>7004</v>
      </c>
      <c r="J767" s="0" t="s">
        <v>240</v>
      </c>
      <c r="K767" s="0" t="s">
        <v>240</v>
      </c>
      <c r="L767" s="0" t="s">
        <v>240</v>
      </c>
      <c r="M767" s="0" t="s">
        <v>240</v>
      </c>
      <c r="N767" s="0" t="s">
        <v>240</v>
      </c>
      <c r="O767" s="0" t="s">
        <v>240</v>
      </c>
      <c r="P767" s="0" t="s">
        <v>240</v>
      </c>
      <c r="Q767" s="0" t="s">
        <v>240</v>
      </c>
      <c r="R767" s="0" t="s">
        <v>7031</v>
      </c>
      <c r="S767" s="0" t="s">
        <v>240</v>
      </c>
      <c r="T767" s="0" t="s">
        <v>240</v>
      </c>
      <c r="U767" s="0" t="s">
        <v>102</v>
      </c>
      <c r="V767" s="0" t="s">
        <v>240</v>
      </c>
      <c r="W767" s="0" t="s">
        <v>240</v>
      </c>
      <c r="X767" s="0" t="s">
        <v>546</v>
      </c>
      <c r="Y767" s="0" t="s">
        <v>240</v>
      </c>
      <c r="Z767" s="0" t="s">
        <v>161</v>
      </c>
      <c r="AA767" s="0" t="s">
        <v>152</v>
      </c>
      <c r="AB767" s="0" t="s">
        <v>152</v>
      </c>
      <c r="AC767" s="0" t="s">
        <v>3389</v>
      </c>
      <c r="AD767" s="0" t="s">
        <v>3389</v>
      </c>
      <c r="AE767" s="0" t="s">
        <v>3390</v>
      </c>
      <c r="AF767" s="0" t="s">
        <v>5519</v>
      </c>
      <c r="AG767" s="0" t="s">
        <v>5520</v>
      </c>
      <c r="AH767" s="0" t="s">
        <v>7032</v>
      </c>
      <c r="AI767" s="0" t="s">
        <v>5533</v>
      </c>
      <c r="AJ767" s="0" t="s">
        <v>5902</v>
      </c>
      <c r="AK767" s="0" t="s">
        <v>7033</v>
      </c>
      <c r="AL767" s="0" t="s">
        <v>7009</v>
      </c>
      <c r="AN767" s="0" t="s">
        <v>5893</v>
      </c>
      <c r="AO767" s="0" t="s">
        <v>7034</v>
      </c>
      <c r="AP767" s="0" t="s">
        <v>240</v>
      </c>
      <c r="AQ767" s="0" t="s">
        <v>240</v>
      </c>
      <c r="AR767" s="0" t="s">
        <v>240</v>
      </c>
      <c r="AS767" s="0" t="s">
        <v>240</v>
      </c>
      <c r="AT767" s="0" t="s">
        <v>240</v>
      </c>
      <c r="AU767" s="0" t="s">
        <v>240</v>
      </c>
      <c r="AV767" s="0" t="s">
        <v>240</v>
      </c>
      <c r="AW767" s="0" t="s">
        <v>240</v>
      </c>
      <c r="AX767" s="0" t="s">
        <v>240</v>
      </c>
      <c r="AY767" s="0" t="s">
        <v>240</v>
      </c>
      <c r="AZ767" s="0" t="s">
        <v>240</v>
      </c>
      <c r="BA767" s="0" t="s">
        <v>240</v>
      </c>
      <c r="BB767" s="0" t="s">
        <v>240</v>
      </c>
      <c r="BC767" s="0" t="s">
        <v>240</v>
      </c>
      <c r="BD767" s="0" t="s">
        <v>240</v>
      </c>
      <c r="BE767" s="0" t="s">
        <v>240</v>
      </c>
      <c r="BF767" s="0" t="s">
        <v>240</v>
      </c>
      <c r="BG767" s="0" t="s">
        <v>240</v>
      </c>
      <c r="BH767" s="0" t="s">
        <v>240</v>
      </c>
      <c r="BI767" s="0" t="s">
        <v>240</v>
      </c>
      <c r="BJ767" s="0" t="s">
        <v>240</v>
      </c>
      <c r="BK767" s="0" t="s">
        <v>240</v>
      </c>
      <c r="BL767" s="0" t="s">
        <v>240</v>
      </c>
      <c r="BM767" s="0" t="s">
        <v>240</v>
      </c>
      <c r="BN767" s="0" t="s">
        <v>240</v>
      </c>
      <c r="BO767" s="0" t="s">
        <v>240</v>
      </c>
      <c r="BP767" s="0" t="s">
        <v>240</v>
      </c>
      <c r="BQ767" s="0" t="s">
        <v>240</v>
      </c>
      <c r="BR767" s="0" t="s">
        <v>240</v>
      </c>
      <c r="BS767" s="0" t="s">
        <v>240</v>
      </c>
      <c r="BT767" s="0" t="s">
        <v>240</v>
      </c>
      <c r="CS767" s="0" t="s">
        <v>240</v>
      </c>
      <c r="CT767" s="0" t="s">
        <v>5496</v>
      </c>
      <c r="CU767" s="0" t="s">
        <v>5497</v>
      </c>
      <c r="CV767" s="0" t="s">
        <v>443</v>
      </c>
      <c r="CW767" s="0" t="s">
        <v>5527</v>
      </c>
      <c r="CX767" s="0" t="s">
        <v>5528</v>
      </c>
      <c r="CY767" s="0" t="s">
        <v>443</v>
      </c>
      <c r="CZ767" s="0" t="s">
        <v>299</v>
      </c>
      <c r="DA767" s="0" t="s">
        <v>5529</v>
      </c>
      <c r="DB767" s="0" t="s">
        <v>5527</v>
      </c>
      <c r="DC767" s="0" t="s">
        <v>384</v>
      </c>
      <c r="DD767" s="0" t="s">
        <v>300</v>
      </c>
      <c r="DE767" s="0" t="s">
        <v>7035</v>
      </c>
    </row>
    <row customHeight="1" ht="11.25">
      <c r="A768" s="1441" t="s">
        <v>240</v>
      </c>
      <c r="B768" s="0" t="s">
        <v>240</v>
      </c>
      <c r="C768" s="0" t="s">
        <v>240</v>
      </c>
      <c r="D768" s="0" t="s">
        <v>240</v>
      </c>
      <c r="E768" s="0" t="s">
        <v>240</v>
      </c>
      <c r="F768" s="0" t="s">
        <v>240</v>
      </c>
      <c r="G768" s="0" t="s">
        <v>240</v>
      </c>
      <c r="H768" s="0" t="s">
        <v>240</v>
      </c>
      <c r="I768" s="0" t="s">
        <v>7004</v>
      </c>
      <c r="J768" s="0" t="s">
        <v>240</v>
      </c>
      <c r="K768" s="0" t="s">
        <v>240</v>
      </c>
      <c r="L768" s="0" t="s">
        <v>240</v>
      </c>
      <c r="M768" s="0" t="s">
        <v>240</v>
      </c>
      <c r="N768" s="0" t="s">
        <v>240</v>
      </c>
      <c r="O768" s="0" t="s">
        <v>240</v>
      </c>
      <c r="P768" s="0" t="s">
        <v>240</v>
      </c>
      <c r="Q768" s="0" t="s">
        <v>240</v>
      </c>
      <c r="R768" s="0" t="s">
        <v>7252</v>
      </c>
      <c r="S768" s="0" t="s">
        <v>240</v>
      </c>
      <c r="T768" s="0" t="s">
        <v>240</v>
      </c>
      <c r="U768" s="0" t="s">
        <v>102</v>
      </c>
      <c r="V768" s="0" t="s">
        <v>240</v>
      </c>
      <c r="W768" s="0" t="s">
        <v>240</v>
      </c>
      <c r="X768" s="0" t="s">
        <v>5905</v>
      </c>
      <c r="Y768" s="0" t="s">
        <v>240</v>
      </c>
      <c r="Z768" s="0" t="s">
        <v>152</v>
      </c>
      <c r="AA768" s="0" t="s">
        <v>161</v>
      </c>
      <c r="AB768" s="0" t="s">
        <v>152</v>
      </c>
      <c r="AC768" s="0" t="s">
        <v>3389</v>
      </c>
      <c r="AD768" s="0" t="s">
        <v>3389</v>
      </c>
      <c r="AE768" s="0" t="s">
        <v>3390</v>
      </c>
      <c r="AF768" s="0" t="s">
        <v>5519</v>
      </c>
      <c r="AG768" s="0" t="s">
        <v>5520</v>
      </c>
      <c r="AH768" s="0" t="s">
        <v>7253</v>
      </c>
      <c r="AI768" s="0" t="s">
        <v>5533</v>
      </c>
      <c r="AJ768" s="0" t="s">
        <v>240</v>
      </c>
      <c r="AK768" s="0" t="s">
        <v>240</v>
      </c>
      <c r="AL768" s="0" t="s">
        <v>240</v>
      </c>
      <c r="AN768" s="0" t="s">
        <v>240</v>
      </c>
      <c r="AO768" s="0" t="s">
        <v>240</v>
      </c>
      <c r="AP768" s="0" t="s">
        <v>7314</v>
      </c>
      <c r="AQ768" s="0" t="s">
        <v>7255</v>
      </c>
      <c r="AR768" s="0" t="s">
        <v>112</v>
      </c>
      <c r="AS768" s="0" t="s">
        <v>5589</v>
      </c>
      <c r="AT768" s="0" t="s">
        <v>123</v>
      </c>
      <c r="AU768" s="0" t="s">
        <v>240</v>
      </c>
      <c r="AV768" s="0" t="s">
        <v>7252</v>
      </c>
      <c r="AW768" s="0" t="s">
        <v>3389</v>
      </c>
      <c r="AX768" s="0" t="s">
        <v>3389</v>
      </c>
      <c r="AY768" s="0" t="s">
        <v>5591</v>
      </c>
      <c r="AZ768" s="0" t="s">
        <v>5519</v>
      </c>
      <c r="BA768" s="0" t="s">
        <v>5592</v>
      </c>
      <c r="BB768" s="0" t="s">
        <v>7253</v>
      </c>
      <c r="BC768" s="0" t="s">
        <v>5533</v>
      </c>
      <c r="BD768" s="0" t="s">
        <v>7315</v>
      </c>
      <c r="BE768" s="0" t="s">
        <v>240</v>
      </c>
      <c r="BF768" s="0" t="s">
        <v>240</v>
      </c>
      <c r="BG768" s="0" t="s">
        <v>240</v>
      </c>
      <c r="BH768" s="0" t="s">
        <v>240</v>
      </c>
      <c r="BI768" s="0" t="s">
        <v>240</v>
      </c>
      <c r="BJ768" s="0" t="s">
        <v>240</v>
      </c>
      <c r="BK768" s="0" t="s">
        <v>240</v>
      </c>
      <c r="BL768" s="0" t="s">
        <v>240</v>
      </c>
      <c r="BM768" s="0" t="s">
        <v>240</v>
      </c>
      <c r="BN768" s="0" t="s">
        <v>240</v>
      </c>
      <c r="BO768" s="0" t="s">
        <v>240</v>
      </c>
      <c r="BP768" s="0" t="s">
        <v>240</v>
      </c>
      <c r="BQ768" s="0" t="s">
        <v>240</v>
      </c>
      <c r="BR768" s="0" t="s">
        <v>240</v>
      </c>
      <c r="BS768" s="0" t="s">
        <v>240</v>
      </c>
      <c r="BT768" s="0" t="s">
        <v>240</v>
      </c>
      <c r="CS768" s="0" t="s">
        <v>240</v>
      </c>
      <c r="CT768" s="0" t="s">
        <v>5496</v>
      </c>
      <c r="CU768" s="0" t="s">
        <v>7012</v>
      </c>
      <c r="CV768" s="0" t="s">
        <v>5947</v>
      </c>
      <c r="CW768" s="0" t="s">
        <v>5600</v>
      </c>
      <c r="CX768" s="0" t="s">
        <v>5528</v>
      </c>
      <c r="CY768" s="0" t="s">
        <v>5947</v>
      </c>
      <c r="CZ768" s="0" t="s">
        <v>7014</v>
      </c>
      <c r="DA768" s="0" t="s">
        <v>7015</v>
      </c>
      <c r="DB768" s="0" t="s">
        <v>5600</v>
      </c>
      <c r="DC768" s="0" t="s">
        <v>384</v>
      </c>
      <c r="DD768" s="0" t="s">
        <v>300</v>
      </c>
      <c r="DE768" s="0" t="s">
        <v>7258</v>
      </c>
    </row>
    <row customHeight="1" ht="11.25">
      <c r="A769" s="1441" t="s">
        <v>240</v>
      </c>
      <c r="B769" s="0" t="s">
        <v>240</v>
      </c>
      <c r="C769" s="0" t="s">
        <v>240</v>
      </c>
      <c r="D769" s="0" t="s">
        <v>240</v>
      </c>
      <c r="E769" s="0" t="s">
        <v>240</v>
      </c>
      <c r="F769" s="0" t="s">
        <v>240</v>
      </c>
      <c r="G769" s="0" t="s">
        <v>240</v>
      </c>
      <c r="H769" s="0" t="s">
        <v>240</v>
      </c>
      <c r="I769" s="0" t="s">
        <v>7004</v>
      </c>
      <c r="J769" s="0" t="s">
        <v>240</v>
      </c>
      <c r="K769" s="0" t="s">
        <v>240</v>
      </c>
      <c r="L769" s="0" t="s">
        <v>240</v>
      </c>
      <c r="M769" s="0" t="s">
        <v>240</v>
      </c>
      <c r="N769" s="0" t="s">
        <v>240</v>
      </c>
      <c r="O769" s="0" t="s">
        <v>240</v>
      </c>
      <c r="P769" s="0" t="s">
        <v>240</v>
      </c>
      <c r="Q769" s="0" t="s">
        <v>240</v>
      </c>
      <c r="R769" s="0" t="s">
        <v>7143</v>
      </c>
      <c r="S769" s="0" t="s">
        <v>240</v>
      </c>
      <c r="T769" s="0" t="s">
        <v>240</v>
      </c>
      <c r="U769" s="0" t="s">
        <v>102</v>
      </c>
      <c r="V769" s="0" t="s">
        <v>240</v>
      </c>
      <c r="W769" s="0" t="s">
        <v>240</v>
      </c>
      <c r="X769" s="0" t="s">
        <v>546</v>
      </c>
      <c r="Y769" s="0" t="s">
        <v>240</v>
      </c>
      <c r="Z769" s="0" t="s">
        <v>161</v>
      </c>
      <c r="AA769" s="0" t="s">
        <v>152</v>
      </c>
      <c r="AB769" s="0" t="s">
        <v>152</v>
      </c>
      <c r="AC769" s="0" t="s">
        <v>2985</v>
      </c>
      <c r="AD769" s="0" t="s">
        <v>2985</v>
      </c>
      <c r="AE769" s="0" t="s">
        <v>2986</v>
      </c>
      <c r="AF769" s="0" t="s">
        <v>5951</v>
      </c>
      <c r="AG769" s="0" t="s">
        <v>5952</v>
      </c>
      <c r="AH769" s="0" t="s">
        <v>7144</v>
      </c>
      <c r="AI769" s="0" t="s">
        <v>5533</v>
      </c>
      <c r="AJ769" s="0" t="s">
        <v>5945</v>
      </c>
      <c r="AK769" s="0" t="s">
        <v>7145</v>
      </c>
      <c r="AL769" s="0" t="s">
        <v>7009</v>
      </c>
      <c r="AN769" s="0" t="s">
        <v>5507</v>
      </c>
      <c r="AO769" s="0" t="s">
        <v>7146</v>
      </c>
      <c r="AP769" s="0" t="s">
        <v>240</v>
      </c>
      <c r="AQ769" s="0" t="s">
        <v>240</v>
      </c>
      <c r="AR769" s="0" t="s">
        <v>240</v>
      </c>
      <c r="AS769" s="0" t="s">
        <v>240</v>
      </c>
      <c r="AT769" s="0" t="s">
        <v>240</v>
      </c>
      <c r="AU769" s="0" t="s">
        <v>240</v>
      </c>
      <c r="AV769" s="0" t="s">
        <v>240</v>
      </c>
      <c r="AW769" s="0" t="s">
        <v>240</v>
      </c>
      <c r="AX769" s="0" t="s">
        <v>240</v>
      </c>
      <c r="AY769" s="0" t="s">
        <v>240</v>
      </c>
      <c r="AZ769" s="0" t="s">
        <v>240</v>
      </c>
      <c r="BA769" s="0" t="s">
        <v>240</v>
      </c>
      <c r="BB769" s="0" t="s">
        <v>240</v>
      </c>
      <c r="BC769" s="0" t="s">
        <v>240</v>
      </c>
      <c r="BD769" s="0" t="s">
        <v>240</v>
      </c>
      <c r="BE769" s="0" t="s">
        <v>240</v>
      </c>
      <c r="BF769" s="0" t="s">
        <v>240</v>
      </c>
      <c r="BG769" s="0" t="s">
        <v>240</v>
      </c>
      <c r="BH769" s="0" t="s">
        <v>240</v>
      </c>
      <c r="BI769" s="0" t="s">
        <v>240</v>
      </c>
      <c r="BJ769" s="0" t="s">
        <v>240</v>
      </c>
      <c r="BK769" s="0" t="s">
        <v>240</v>
      </c>
      <c r="BL769" s="0" t="s">
        <v>240</v>
      </c>
      <c r="BM769" s="0" t="s">
        <v>240</v>
      </c>
      <c r="BN769" s="0" t="s">
        <v>240</v>
      </c>
      <c r="BO769" s="0" t="s">
        <v>240</v>
      </c>
      <c r="BP769" s="0" t="s">
        <v>240</v>
      </c>
      <c r="BQ769" s="0" t="s">
        <v>240</v>
      </c>
      <c r="BR769" s="0" t="s">
        <v>240</v>
      </c>
      <c r="BS769" s="0" t="s">
        <v>240</v>
      </c>
      <c r="BT769" s="0" t="s">
        <v>240</v>
      </c>
      <c r="CS769" s="0" t="s">
        <v>240</v>
      </c>
      <c r="CT769" s="0" t="s">
        <v>5496</v>
      </c>
      <c r="CU769" s="0" t="s">
        <v>5497</v>
      </c>
      <c r="CV769" s="0" t="s">
        <v>443</v>
      </c>
      <c r="CW769" s="0" t="s">
        <v>5509</v>
      </c>
      <c r="CX769" s="0" t="s">
        <v>229</v>
      </c>
      <c r="CY769" s="0" t="s">
        <v>443</v>
      </c>
      <c r="CZ769" s="0" t="s">
        <v>5510</v>
      </c>
      <c r="DA769" s="0" t="s">
        <v>5511</v>
      </c>
      <c r="DB769" s="0" t="s">
        <v>5509</v>
      </c>
      <c r="DC769" s="0" t="s">
        <v>384</v>
      </c>
      <c r="DD769" s="0" t="s">
        <v>300</v>
      </c>
      <c r="DE769" s="0" t="s">
        <v>7147</v>
      </c>
    </row>
    <row customHeight="1" ht="11.25">
      <c r="A770" s="1441" t="s">
        <v>240</v>
      </c>
      <c r="B770" s="0" t="s">
        <v>240</v>
      </c>
      <c r="C770" s="0" t="s">
        <v>240</v>
      </c>
      <c r="D770" s="0" t="s">
        <v>240</v>
      </c>
      <c r="E770" s="0" t="s">
        <v>240</v>
      </c>
      <c r="F770" s="0" t="s">
        <v>240</v>
      </c>
      <c r="G770" s="0" t="s">
        <v>240</v>
      </c>
      <c r="H770" s="0" t="s">
        <v>240</v>
      </c>
      <c r="I770" s="0" t="s">
        <v>7004</v>
      </c>
      <c r="J770" s="0" t="s">
        <v>240</v>
      </c>
      <c r="K770" s="0" t="s">
        <v>240</v>
      </c>
      <c r="L770" s="0" t="s">
        <v>240</v>
      </c>
      <c r="M770" s="0" t="s">
        <v>240</v>
      </c>
      <c r="N770" s="0" t="s">
        <v>240</v>
      </c>
      <c r="O770" s="0" t="s">
        <v>240</v>
      </c>
      <c r="P770" s="0" t="s">
        <v>240</v>
      </c>
      <c r="Q770" s="0" t="s">
        <v>240</v>
      </c>
      <c r="R770" s="0" t="s">
        <v>550</v>
      </c>
      <c r="S770" s="0" t="s">
        <v>240</v>
      </c>
      <c r="T770" s="0" t="s">
        <v>240</v>
      </c>
      <c r="U770" s="0" t="s">
        <v>102</v>
      </c>
      <c r="V770" s="0" t="s">
        <v>240</v>
      </c>
      <c r="W770" s="0" t="s">
        <v>240</v>
      </c>
      <c r="X770" s="0" t="s">
        <v>5905</v>
      </c>
      <c r="Y770" s="0" t="s">
        <v>240</v>
      </c>
      <c r="Z770" s="0" t="s">
        <v>152</v>
      </c>
      <c r="AA770" s="0" t="s">
        <v>161</v>
      </c>
      <c r="AB770" s="0" t="s">
        <v>152</v>
      </c>
      <c r="AC770" s="0" t="s">
        <v>2985</v>
      </c>
      <c r="AD770" s="0" t="s">
        <v>2985</v>
      </c>
      <c r="AE770" s="0" t="s">
        <v>2986</v>
      </c>
      <c r="AF770" s="0" t="s">
        <v>5951</v>
      </c>
      <c r="AG770" s="0" t="s">
        <v>5952</v>
      </c>
      <c r="AH770" s="0" t="s">
        <v>7113</v>
      </c>
      <c r="AI770" s="0" t="s">
        <v>5533</v>
      </c>
      <c r="AJ770" s="0" t="s">
        <v>240</v>
      </c>
      <c r="AK770" s="0" t="s">
        <v>240</v>
      </c>
      <c r="AL770" s="0" t="s">
        <v>240</v>
      </c>
      <c r="AN770" s="0" t="s">
        <v>240</v>
      </c>
      <c r="AO770" s="0" t="s">
        <v>240</v>
      </c>
      <c r="AP770" s="0" t="s">
        <v>7111</v>
      </c>
      <c r="AQ770" s="0" t="s">
        <v>7112</v>
      </c>
      <c r="AR770" s="0" t="s">
        <v>112</v>
      </c>
      <c r="AS770" s="0" t="s">
        <v>5589</v>
      </c>
      <c r="AT770" s="0" t="s">
        <v>123</v>
      </c>
      <c r="AU770" s="0" t="s">
        <v>240</v>
      </c>
      <c r="AV770" s="0" t="s">
        <v>550</v>
      </c>
      <c r="AW770" s="0" t="s">
        <v>2985</v>
      </c>
      <c r="AX770" s="0" t="s">
        <v>2985</v>
      </c>
      <c r="AY770" s="0" t="s">
        <v>5646</v>
      </c>
      <c r="AZ770" s="0" t="s">
        <v>5951</v>
      </c>
      <c r="BA770" s="0" t="s">
        <v>5955</v>
      </c>
      <c r="BB770" s="0" t="s">
        <v>7113</v>
      </c>
      <c r="BC770" s="0" t="s">
        <v>5533</v>
      </c>
      <c r="BD770" s="0" t="s">
        <v>5507</v>
      </c>
      <c r="BE770" s="0" t="s">
        <v>240</v>
      </c>
      <c r="BF770" s="0" t="s">
        <v>240</v>
      </c>
      <c r="BG770" s="0" t="s">
        <v>240</v>
      </c>
      <c r="BH770" s="0" t="s">
        <v>240</v>
      </c>
      <c r="BI770" s="0" t="s">
        <v>240</v>
      </c>
      <c r="BJ770" s="0" t="s">
        <v>240</v>
      </c>
      <c r="BK770" s="0" t="s">
        <v>240</v>
      </c>
      <c r="BL770" s="0" t="s">
        <v>240</v>
      </c>
      <c r="BM770" s="0" t="s">
        <v>240</v>
      </c>
      <c r="BN770" s="0" t="s">
        <v>240</v>
      </c>
      <c r="BO770" s="0" t="s">
        <v>240</v>
      </c>
      <c r="BP770" s="0" t="s">
        <v>240</v>
      </c>
      <c r="BQ770" s="0" t="s">
        <v>240</v>
      </c>
      <c r="BR770" s="0" t="s">
        <v>240</v>
      </c>
      <c r="BS770" s="0" t="s">
        <v>240</v>
      </c>
      <c r="BT770" s="0" t="s">
        <v>240</v>
      </c>
      <c r="CS770" s="0" t="s">
        <v>240</v>
      </c>
      <c r="CT770" s="0" t="s">
        <v>5496</v>
      </c>
      <c r="CU770" s="0" t="s">
        <v>5497</v>
      </c>
      <c r="CV770" s="0" t="s">
        <v>443</v>
      </c>
      <c r="CW770" s="0" t="s">
        <v>5509</v>
      </c>
      <c r="CX770" s="0" t="s">
        <v>229</v>
      </c>
      <c r="CY770" s="0" t="s">
        <v>443</v>
      </c>
      <c r="CZ770" s="0" t="s">
        <v>5510</v>
      </c>
      <c r="DA770" s="0" t="s">
        <v>5511</v>
      </c>
      <c r="DB770" s="0" t="s">
        <v>5509</v>
      </c>
      <c r="DC770" s="0" t="s">
        <v>384</v>
      </c>
      <c r="DD770" s="0" t="s">
        <v>300</v>
      </c>
      <c r="DE770" s="0" t="s">
        <v>7142</v>
      </c>
    </row>
    <row customHeight="1" ht="11.25">
      <c r="A771" s="1441" t="s">
        <v>240</v>
      </c>
      <c r="B771" s="0" t="s">
        <v>240</v>
      </c>
      <c r="C771" s="0" t="s">
        <v>240</v>
      </c>
      <c r="D771" s="0" t="s">
        <v>240</v>
      </c>
      <c r="E771" s="0" t="s">
        <v>240</v>
      </c>
      <c r="F771" s="0" t="s">
        <v>240</v>
      </c>
      <c r="G771" s="0" t="s">
        <v>240</v>
      </c>
      <c r="H771" s="0" t="s">
        <v>240</v>
      </c>
      <c r="I771" s="0" t="s">
        <v>7004</v>
      </c>
      <c r="J771" s="0" t="s">
        <v>240</v>
      </c>
      <c r="K771" s="0" t="s">
        <v>240</v>
      </c>
      <c r="L771" s="0" t="s">
        <v>240</v>
      </c>
      <c r="M771" s="0" t="s">
        <v>240</v>
      </c>
      <c r="N771" s="0" t="s">
        <v>240</v>
      </c>
      <c r="O771" s="0" t="s">
        <v>240</v>
      </c>
      <c r="P771" s="0" t="s">
        <v>240</v>
      </c>
      <c r="Q771" s="0" t="s">
        <v>240</v>
      </c>
      <c r="R771" s="0" t="s">
        <v>7278</v>
      </c>
      <c r="S771" s="0" t="s">
        <v>240</v>
      </c>
      <c r="T771" s="0" t="s">
        <v>240</v>
      </c>
      <c r="U771" s="0" t="s">
        <v>102</v>
      </c>
      <c r="V771" s="0" t="s">
        <v>240</v>
      </c>
      <c r="W771" s="0" t="s">
        <v>240</v>
      </c>
      <c r="X771" s="0" t="s">
        <v>546</v>
      </c>
      <c r="Y771" s="0" t="s">
        <v>240</v>
      </c>
      <c r="Z771" s="0" t="s">
        <v>161</v>
      </c>
      <c r="AA771" s="0" t="s">
        <v>152</v>
      </c>
      <c r="AB771" s="0" t="s">
        <v>152</v>
      </c>
      <c r="AC771" s="0" t="s">
        <v>2991</v>
      </c>
      <c r="AD771" s="0" t="s">
        <v>2991</v>
      </c>
      <c r="AE771" s="0" t="s">
        <v>2992</v>
      </c>
      <c r="AF771" s="0" t="s">
        <v>5772</v>
      </c>
      <c r="AG771" s="0" t="s">
        <v>5773</v>
      </c>
      <c r="AH771" s="0" t="s">
        <v>5575</v>
      </c>
      <c r="AI771" s="0" t="s">
        <v>5575</v>
      </c>
      <c r="AJ771" s="0" t="s">
        <v>6917</v>
      </c>
      <c r="AK771" s="0" t="s">
        <v>7195</v>
      </c>
      <c r="AL771" s="0" t="s">
        <v>7009</v>
      </c>
      <c r="AN771" s="0" t="s">
        <v>5507</v>
      </c>
      <c r="AO771" s="0" t="s">
        <v>6101</v>
      </c>
      <c r="AP771" s="0" t="s">
        <v>240</v>
      </c>
      <c r="AQ771" s="0" t="s">
        <v>240</v>
      </c>
      <c r="AR771" s="0" t="s">
        <v>240</v>
      </c>
      <c r="AS771" s="0" t="s">
        <v>240</v>
      </c>
      <c r="AT771" s="0" t="s">
        <v>240</v>
      </c>
      <c r="AU771" s="0" t="s">
        <v>240</v>
      </c>
      <c r="AV771" s="0" t="s">
        <v>240</v>
      </c>
      <c r="AW771" s="0" t="s">
        <v>240</v>
      </c>
      <c r="AX771" s="0" t="s">
        <v>240</v>
      </c>
      <c r="AY771" s="0" t="s">
        <v>240</v>
      </c>
      <c r="AZ771" s="0" t="s">
        <v>240</v>
      </c>
      <c r="BA771" s="0" t="s">
        <v>240</v>
      </c>
      <c r="BB771" s="0" t="s">
        <v>240</v>
      </c>
      <c r="BC771" s="0" t="s">
        <v>240</v>
      </c>
      <c r="BD771" s="0" t="s">
        <v>240</v>
      </c>
      <c r="BE771" s="0" t="s">
        <v>240</v>
      </c>
      <c r="BF771" s="0" t="s">
        <v>240</v>
      </c>
      <c r="BG771" s="0" t="s">
        <v>240</v>
      </c>
      <c r="BH771" s="0" t="s">
        <v>240</v>
      </c>
      <c r="BI771" s="0" t="s">
        <v>240</v>
      </c>
      <c r="BJ771" s="0" t="s">
        <v>240</v>
      </c>
      <c r="BK771" s="0" t="s">
        <v>240</v>
      </c>
      <c r="BL771" s="0" t="s">
        <v>240</v>
      </c>
      <c r="BM771" s="0" t="s">
        <v>240</v>
      </c>
      <c r="BN771" s="0" t="s">
        <v>240</v>
      </c>
      <c r="BO771" s="0" t="s">
        <v>240</v>
      </c>
      <c r="BP771" s="0" t="s">
        <v>240</v>
      </c>
      <c r="BQ771" s="0" t="s">
        <v>240</v>
      </c>
      <c r="BR771" s="0" t="s">
        <v>240</v>
      </c>
      <c r="BS771" s="0" t="s">
        <v>240</v>
      </c>
      <c r="BT771" s="0" t="s">
        <v>240</v>
      </c>
      <c r="CS771" s="0" t="s">
        <v>240</v>
      </c>
      <c r="CT771" s="0" t="s">
        <v>5496</v>
      </c>
      <c r="CU771" s="0" t="s">
        <v>5497</v>
      </c>
      <c r="CV771" s="0" t="s">
        <v>443</v>
      </c>
      <c r="CW771" s="0" t="s">
        <v>5547</v>
      </c>
      <c r="CX771" s="0" t="s">
        <v>229</v>
      </c>
      <c r="CY771" s="0" t="s">
        <v>443</v>
      </c>
      <c r="CZ771" s="0" t="s">
        <v>5548</v>
      </c>
      <c r="DA771" s="0" t="s">
        <v>5549</v>
      </c>
      <c r="DB771" s="0" t="s">
        <v>5547</v>
      </c>
      <c r="DC771" s="0" t="s">
        <v>384</v>
      </c>
      <c r="DD771" s="0" t="s">
        <v>300</v>
      </c>
      <c r="DE771" s="0" t="s">
        <v>6149</v>
      </c>
    </row>
    <row customHeight="1" ht="11.25">
      <c r="A772" s="1441" t="s">
        <v>240</v>
      </c>
      <c r="B772" s="0" t="s">
        <v>240</v>
      </c>
      <c r="C772" s="0" t="s">
        <v>240</v>
      </c>
      <c r="D772" s="0" t="s">
        <v>240</v>
      </c>
      <c r="E772" s="0" t="s">
        <v>240</v>
      </c>
      <c r="F772" s="0" t="s">
        <v>240</v>
      </c>
      <c r="G772" s="0" t="s">
        <v>240</v>
      </c>
      <c r="H772" s="0" t="s">
        <v>240</v>
      </c>
      <c r="I772" s="0" t="s">
        <v>7004</v>
      </c>
      <c r="J772" s="0" t="s">
        <v>240</v>
      </c>
      <c r="K772" s="0" t="s">
        <v>240</v>
      </c>
      <c r="L772" s="0" t="s">
        <v>240</v>
      </c>
      <c r="M772" s="0" t="s">
        <v>240</v>
      </c>
      <c r="N772" s="0" t="s">
        <v>240</v>
      </c>
      <c r="O772" s="0" t="s">
        <v>240</v>
      </c>
      <c r="P772" s="0" t="s">
        <v>240</v>
      </c>
      <c r="Q772" s="0" t="s">
        <v>240</v>
      </c>
      <c r="R772" s="0" t="s">
        <v>7291</v>
      </c>
      <c r="S772" s="0" t="s">
        <v>240</v>
      </c>
      <c r="T772" s="0" t="s">
        <v>240</v>
      </c>
      <c r="U772" s="0" t="s">
        <v>102</v>
      </c>
      <c r="V772" s="0" t="s">
        <v>240</v>
      </c>
      <c r="W772" s="0" t="s">
        <v>240</v>
      </c>
      <c r="X772" s="0" t="s">
        <v>546</v>
      </c>
      <c r="Y772" s="0" t="s">
        <v>240</v>
      </c>
      <c r="Z772" s="0" t="s">
        <v>161</v>
      </c>
      <c r="AA772" s="0" t="s">
        <v>152</v>
      </c>
      <c r="AB772" s="0" t="s">
        <v>152</v>
      </c>
      <c r="AC772" s="0" t="s">
        <v>3389</v>
      </c>
      <c r="AD772" s="0" t="s">
        <v>3389</v>
      </c>
      <c r="AE772" s="0" t="s">
        <v>3390</v>
      </c>
      <c r="AF772" s="0" t="s">
        <v>5519</v>
      </c>
      <c r="AG772" s="0" t="s">
        <v>5520</v>
      </c>
      <c r="AH772" s="0" t="s">
        <v>7292</v>
      </c>
      <c r="AI772" s="0" t="s">
        <v>5533</v>
      </c>
      <c r="AJ772" s="0" t="s">
        <v>5781</v>
      </c>
      <c r="AK772" s="0" t="s">
        <v>7293</v>
      </c>
      <c r="AL772" s="0" t="s">
        <v>7009</v>
      </c>
      <c r="AN772" s="0" t="s">
        <v>7294</v>
      </c>
      <c r="AO772" s="0" t="s">
        <v>7295</v>
      </c>
      <c r="AP772" s="0" t="s">
        <v>240</v>
      </c>
      <c r="AQ772" s="0" t="s">
        <v>240</v>
      </c>
      <c r="AR772" s="0" t="s">
        <v>240</v>
      </c>
      <c r="AS772" s="0" t="s">
        <v>240</v>
      </c>
      <c r="AT772" s="0" t="s">
        <v>240</v>
      </c>
      <c r="AU772" s="0" t="s">
        <v>240</v>
      </c>
      <c r="AV772" s="0" t="s">
        <v>240</v>
      </c>
      <c r="AW772" s="0" t="s">
        <v>240</v>
      </c>
      <c r="AX772" s="0" t="s">
        <v>240</v>
      </c>
      <c r="AY772" s="0" t="s">
        <v>240</v>
      </c>
      <c r="AZ772" s="0" t="s">
        <v>240</v>
      </c>
      <c r="BA772" s="0" t="s">
        <v>240</v>
      </c>
      <c r="BB772" s="0" t="s">
        <v>240</v>
      </c>
      <c r="BC772" s="0" t="s">
        <v>240</v>
      </c>
      <c r="BD772" s="0" t="s">
        <v>240</v>
      </c>
      <c r="BE772" s="0" t="s">
        <v>240</v>
      </c>
      <c r="BF772" s="0" t="s">
        <v>240</v>
      </c>
      <c r="BG772" s="0" t="s">
        <v>240</v>
      </c>
      <c r="BH772" s="0" t="s">
        <v>240</v>
      </c>
      <c r="BI772" s="0" t="s">
        <v>240</v>
      </c>
      <c r="BJ772" s="0" t="s">
        <v>240</v>
      </c>
      <c r="BK772" s="0" t="s">
        <v>240</v>
      </c>
      <c r="BL772" s="0" t="s">
        <v>240</v>
      </c>
      <c r="BM772" s="0" t="s">
        <v>240</v>
      </c>
      <c r="BN772" s="0" t="s">
        <v>240</v>
      </c>
      <c r="BO772" s="0" t="s">
        <v>240</v>
      </c>
      <c r="BP772" s="0" t="s">
        <v>240</v>
      </c>
      <c r="BQ772" s="0" t="s">
        <v>240</v>
      </c>
      <c r="BR772" s="0" t="s">
        <v>240</v>
      </c>
      <c r="BS772" s="0" t="s">
        <v>240</v>
      </c>
      <c r="BT772" s="0" t="s">
        <v>240</v>
      </c>
      <c r="CS772" s="0" t="s">
        <v>240</v>
      </c>
      <c r="CT772" s="0" t="s">
        <v>5496</v>
      </c>
      <c r="CU772" s="0" t="s">
        <v>5497</v>
      </c>
      <c r="CV772" s="0" t="s">
        <v>443</v>
      </c>
      <c r="CW772" s="0" t="s">
        <v>5527</v>
      </c>
      <c r="CX772" s="0" t="s">
        <v>5528</v>
      </c>
      <c r="CY772" s="0" t="s">
        <v>443</v>
      </c>
      <c r="CZ772" s="0" t="s">
        <v>299</v>
      </c>
      <c r="DA772" s="0" t="s">
        <v>5529</v>
      </c>
      <c r="DB772" s="0" t="s">
        <v>5527</v>
      </c>
      <c r="DC772" s="0" t="s">
        <v>384</v>
      </c>
      <c r="DD772" s="0" t="s">
        <v>300</v>
      </c>
      <c r="DE772" s="0" t="s">
        <v>7296</v>
      </c>
    </row>
    <row customHeight="1" ht="11.25">
      <c r="A773" s="1441" t="s">
        <v>240</v>
      </c>
      <c r="B773" s="0" t="s">
        <v>240</v>
      </c>
      <c r="C773" s="0" t="s">
        <v>240</v>
      </c>
      <c r="D773" s="0" t="s">
        <v>240</v>
      </c>
      <c r="E773" s="0" t="s">
        <v>240</v>
      </c>
      <c r="F773" s="0" t="s">
        <v>240</v>
      </c>
      <c r="G773" s="0" t="s">
        <v>240</v>
      </c>
      <c r="H773" s="0" t="s">
        <v>240</v>
      </c>
      <c r="I773" s="0" t="s">
        <v>7004</v>
      </c>
      <c r="J773" s="0" t="s">
        <v>240</v>
      </c>
      <c r="K773" s="0" t="s">
        <v>240</v>
      </c>
      <c r="L773" s="0" t="s">
        <v>240</v>
      </c>
      <c r="M773" s="0" t="s">
        <v>240</v>
      </c>
      <c r="N773" s="0" t="s">
        <v>240</v>
      </c>
      <c r="O773" s="0" t="s">
        <v>240</v>
      </c>
      <c r="P773" s="0" t="s">
        <v>240</v>
      </c>
      <c r="Q773" s="0" t="s">
        <v>240</v>
      </c>
      <c r="R773" s="0" t="s">
        <v>7279</v>
      </c>
      <c r="S773" s="0" t="s">
        <v>240</v>
      </c>
      <c r="T773" s="0" t="s">
        <v>240</v>
      </c>
      <c r="U773" s="0" t="s">
        <v>102</v>
      </c>
      <c r="V773" s="0" t="s">
        <v>240</v>
      </c>
      <c r="W773" s="0" t="s">
        <v>240</v>
      </c>
      <c r="X773" s="0" t="s">
        <v>5585</v>
      </c>
      <c r="Y773" s="0" t="s">
        <v>240</v>
      </c>
      <c r="Z773" s="0" t="s">
        <v>152</v>
      </c>
      <c r="AA773" s="0" t="s">
        <v>152</v>
      </c>
      <c r="AB773" s="0" t="s">
        <v>161</v>
      </c>
      <c r="AC773" s="0" t="s">
        <v>2991</v>
      </c>
      <c r="AD773" s="0" t="s">
        <v>2991</v>
      </c>
      <c r="AE773" s="0" t="s">
        <v>2992</v>
      </c>
      <c r="AF773" s="0" t="s">
        <v>5970</v>
      </c>
      <c r="AG773" s="0" t="s">
        <v>5971</v>
      </c>
      <c r="AH773" s="0" t="s">
        <v>5575</v>
      </c>
      <c r="AI773" s="0" t="s">
        <v>5575</v>
      </c>
      <c r="AJ773" s="0" t="s">
        <v>240</v>
      </c>
      <c r="AK773" s="0" t="s">
        <v>240</v>
      </c>
      <c r="AL773" s="0" t="s">
        <v>240</v>
      </c>
      <c r="AN773" s="0" t="s">
        <v>240</v>
      </c>
      <c r="AO773" s="0" t="s">
        <v>240</v>
      </c>
      <c r="AP773" s="0" t="s">
        <v>240</v>
      </c>
      <c r="AQ773" s="0" t="s">
        <v>240</v>
      </c>
      <c r="AR773" s="0" t="s">
        <v>240</v>
      </c>
      <c r="AS773" s="0" t="s">
        <v>240</v>
      </c>
      <c r="AT773" s="0" t="s">
        <v>240</v>
      </c>
      <c r="AU773" s="0" t="s">
        <v>240</v>
      </c>
      <c r="AV773" s="0" t="s">
        <v>240</v>
      </c>
      <c r="AW773" s="0" t="s">
        <v>240</v>
      </c>
      <c r="AX773" s="0" t="s">
        <v>240</v>
      </c>
      <c r="AY773" s="0" t="s">
        <v>240</v>
      </c>
      <c r="AZ773" s="0" t="s">
        <v>240</v>
      </c>
      <c r="BA773" s="0" t="s">
        <v>240</v>
      </c>
      <c r="BB773" s="0" t="s">
        <v>240</v>
      </c>
      <c r="BC773" s="0" t="s">
        <v>240</v>
      </c>
      <c r="BD773" s="0" t="s">
        <v>240</v>
      </c>
      <c r="BE773" s="0" t="s">
        <v>5552</v>
      </c>
      <c r="BF773" s="0" t="s">
        <v>5731</v>
      </c>
      <c r="BG773" s="0" t="s">
        <v>112</v>
      </c>
      <c r="BH773" s="0" t="s">
        <v>5589</v>
      </c>
      <c r="BI773" s="0" t="s">
        <v>123</v>
      </c>
      <c r="BJ773" s="0" t="s">
        <v>240</v>
      </c>
      <c r="BK773" s="0" t="s">
        <v>240</v>
      </c>
      <c r="BL773" s="0" t="s">
        <v>2991</v>
      </c>
      <c r="BM773" s="0" t="s">
        <v>2991</v>
      </c>
      <c r="BN773" s="0" t="s">
        <v>5663</v>
      </c>
      <c r="BO773" s="0" t="s">
        <v>5970</v>
      </c>
      <c r="BP773" s="0" t="s">
        <v>6410</v>
      </c>
      <c r="BQ773" s="0" t="s">
        <v>5575</v>
      </c>
      <c r="BR773" s="0" t="s">
        <v>5575</v>
      </c>
      <c r="BS773" s="0" t="s">
        <v>240</v>
      </c>
      <c r="BT773" s="0" t="s">
        <v>5650</v>
      </c>
      <c r="CS773" s="0" t="s">
        <v>7118</v>
      </c>
      <c r="CT773" s="0" t="s">
        <v>5496</v>
      </c>
      <c r="CU773" s="0" t="s">
        <v>5497</v>
      </c>
      <c r="CV773" s="0" t="s">
        <v>443</v>
      </c>
      <c r="CW773" s="0" t="s">
        <v>5547</v>
      </c>
      <c r="CX773" s="0" t="s">
        <v>229</v>
      </c>
      <c r="CY773" s="0" t="s">
        <v>443</v>
      </c>
      <c r="CZ773" s="0" t="s">
        <v>5548</v>
      </c>
      <c r="DA773" s="0" t="s">
        <v>5549</v>
      </c>
      <c r="DB773" s="0" t="s">
        <v>5547</v>
      </c>
      <c r="DC773" s="0" t="s">
        <v>384</v>
      </c>
      <c r="DD773" s="0" t="s">
        <v>300</v>
      </c>
      <c r="DE773" s="0" t="s">
        <v>6412</v>
      </c>
    </row>
    <row customHeight="1" ht="11.25">
      <c r="A774" s="1441" t="s">
        <v>240</v>
      </c>
      <c r="B774" s="0" t="s">
        <v>240</v>
      </c>
      <c r="C774" s="0" t="s">
        <v>240</v>
      </c>
      <c r="D774" s="0" t="s">
        <v>240</v>
      </c>
      <c r="E774" s="0" t="s">
        <v>240</v>
      </c>
      <c r="F774" s="0" t="s">
        <v>240</v>
      </c>
      <c r="G774" s="0" t="s">
        <v>240</v>
      </c>
      <c r="H774" s="0" t="s">
        <v>240</v>
      </c>
      <c r="I774" s="0" t="s">
        <v>7004</v>
      </c>
      <c r="J774" s="0" t="s">
        <v>240</v>
      </c>
      <c r="K774" s="0" t="s">
        <v>240</v>
      </c>
      <c r="L774" s="0" t="s">
        <v>240</v>
      </c>
      <c r="M774" s="0" t="s">
        <v>240</v>
      </c>
      <c r="N774" s="0" t="s">
        <v>240</v>
      </c>
      <c r="O774" s="0" t="s">
        <v>240</v>
      </c>
      <c r="P774" s="0" t="s">
        <v>240</v>
      </c>
      <c r="Q774" s="0" t="s">
        <v>240</v>
      </c>
      <c r="R774" s="0" t="s">
        <v>7290</v>
      </c>
      <c r="S774" s="0" t="s">
        <v>240</v>
      </c>
      <c r="T774" s="0" t="s">
        <v>240</v>
      </c>
      <c r="U774" s="0" t="s">
        <v>102</v>
      </c>
      <c r="V774" s="0" t="s">
        <v>240</v>
      </c>
      <c r="W774" s="0" t="s">
        <v>240</v>
      </c>
      <c r="X774" s="0" t="s">
        <v>5585</v>
      </c>
      <c r="Y774" s="0" t="s">
        <v>240</v>
      </c>
      <c r="Z774" s="0" t="s">
        <v>152</v>
      </c>
      <c r="AA774" s="0" t="s">
        <v>152</v>
      </c>
      <c r="AB774" s="0" t="s">
        <v>161</v>
      </c>
      <c r="AC774" s="0" t="s">
        <v>2991</v>
      </c>
      <c r="AD774" s="0" t="s">
        <v>2991</v>
      </c>
      <c r="AE774" s="0" t="s">
        <v>2992</v>
      </c>
      <c r="AF774" s="0" t="s">
        <v>6451</v>
      </c>
      <c r="AG774" s="0" t="s">
        <v>6452</v>
      </c>
      <c r="AH774" s="0" t="s">
        <v>5575</v>
      </c>
      <c r="AI774" s="0" t="s">
        <v>5575</v>
      </c>
      <c r="AJ774" s="0" t="s">
        <v>240</v>
      </c>
      <c r="AK774" s="0" t="s">
        <v>240</v>
      </c>
      <c r="AL774" s="0" t="s">
        <v>240</v>
      </c>
      <c r="AN774" s="0" t="s">
        <v>240</v>
      </c>
      <c r="AO774" s="0" t="s">
        <v>240</v>
      </c>
      <c r="AP774" s="0" t="s">
        <v>240</v>
      </c>
      <c r="AQ774" s="0" t="s">
        <v>240</v>
      </c>
      <c r="AR774" s="0" t="s">
        <v>240</v>
      </c>
      <c r="AS774" s="0" t="s">
        <v>240</v>
      </c>
      <c r="AT774" s="0" t="s">
        <v>240</v>
      </c>
      <c r="AU774" s="0" t="s">
        <v>240</v>
      </c>
      <c r="AV774" s="0" t="s">
        <v>240</v>
      </c>
      <c r="AW774" s="0" t="s">
        <v>240</v>
      </c>
      <c r="AX774" s="0" t="s">
        <v>240</v>
      </c>
      <c r="AY774" s="0" t="s">
        <v>240</v>
      </c>
      <c r="AZ774" s="0" t="s">
        <v>240</v>
      </c>
      <c r="BA774" s="0" t="s">
        <v>240</v>
      </c>
      <c r="BB774" s="0" t="s">
        <v>240</v>
      </c>
      <c r="BC774" s="0" t="s">
        <v>240</v>
      </c>
      <c r="BD774" s="0" t="s">
        <v>240</v>
      </c>
      <c r="BE774" s="0" t="s">
        <v>5552</v>
      </c>
      <c r="BF774" s="0" t="s">
        <v>5731</v>
      </c>
      <c r="BG774" s="0" t="s">
        <v>112</v>
      </c>
      <c r="BH774" s="0" t="s">
        <v>5589</v>
      </c>
      <c r="BI774" s="0" t="s">
        <v>123</v>
      </c>
      <c r="BJ774" s="0" t="s">
        <v>240</v>
      </c>
      <c r="BK774" s="0" t="s">
        <v>240</v>
      </c>
      <c r="BL774" s="0" t="s">
        <v>2991</v>
      </c>
      <c r="BM774" s="0" t="s">
        <v>2991</v>
      </c>
      <c r="BN774" s="0" t="s">
        <v>5663</v>
      </c>
      <c r="BO774" s="0" t="s">
        <v>6451</v>
      </c>
      <c r="BP774" s="0" t="s">
        <v>6710</v>
      </c>
      <c r="BQ774" s="0" t="s">
        <v>5575</v>
      </c>
      <c r="BR774" s="0" t="s">
        <v>5575</v>
      </c>
      <c r="BS774" s="0" t="s">
        <v>240</v>
      </c>
      <c r="BT774" s="0" t="s">
        <v>5650</v>
      </c>
      <c r="CS774" s="0" t="s">
        <v>7118</v>
      </c>
      <c r="CT774" s="0" t="s">
        <v>5496</v>
      </c>
      <c r="CU774" s="0" t="s">
        <v>5497</v>
      </c>
      <c r="CV774" s="0" t="s">
        <v>443</v>
      </c>
      <c r="CW774" s="0" t="s">
        <v>5547</v>
      </c>
      <c r="CX774" s="0" t="s">
        <v>229</v>
      </c>
      <c r="CY774" s="0" t="s">
        <v>443</v>
      </c>
      <c r="CZ774" s="0" t="s">
        <v>5548</v>
      </c>
      <c r="DA774" s="0" t="s">
        <v>5549</v>
      </c>
      <c r="DB774" s="0" t="s">
        <v>5547</v>
      </c>
      <c r="DC774" s="0" t="s">
        <v>384</v>
      </c>
      <c r="DD774" s="0" t="s">
        <v>300</v>
      </c>
      <c r="DE774" s="0" t="s">
        <v>6712</v>
      </c>
    </row>
    <row customHeight="1" ht="11.25">
      <c r="A775" s="1441" t="s">
        <v>240</v>
      </c>
      <c r="B775" s="0" t="s">
        <v>240</v>
      </c>
      <c r="C775" s="0" t="s">
        <v>240</v>
      </c>
      <c r="D775" s="0" t="s">
        <v>240</v>
      </c>
      <c r="E775" s="0" t="s">
        <v>240</v>
      </c>
      <c r="F775" s="0" t="s">
        <v>240</v>
      </c>
      <c r="G775" s="0" t="s">
        <v>240</v>
      </c>
      <c r="H775" s="0" t="s">
        <v>240</v>
      </c>
      <c r="I775" s="0" t="s">
        <v>7004</v>
      </c>
      <c r="J775" s="0" t="s">
        <v>240</v>
      </c>
      <c r="K775" s="0" t="s">
        <v>240</v>
      </c>
      <c r="L775" s="0" t="s">
        <v>240</v>
      </c>
      <c r="M775" s="0" t="s">
        <v>240</v>
      </c>
      <c r="N775" s="0" t="s">
        <v>240</v>
      </c>
      <c r="O775" s="0" t="s">
        <v>240</v>
      </c>
      <c r="P775" s="0" t="s">
        <v>240</v>
      </c>
      <c r="Q775" s="0" t="s">
        <v>240</v>
      </c>
      <c r="R775" s="0" t="s">
        <v>7017</v>
      </c>
      <c r="S775" s="0" t="s">
        <v>240</v>
      </c>
      <c r="T775" s="0" t="s">
        <v>240</v>
      </c>
      <c r="U775" s="0" t="s">
        <v>102</v>
      </c>
      <c r="V775" s="0" t="s">
        <v>240</v>
      </c>
      <c r="W775" s="0" t="s">
        <v>240</v>
      </c>
      <c r="X775" s="0" t="s">
        <v>546</v>
      </c>
      <c r="Y775" s="0" t="s">
        <v>240</v>
      </c>
      <c r="Z775" s="0" t="s">
        <v>161</v>
      </c>
      <c r="AA775" s="0" t="s">
        <v>152</v>
      </c>
      <c r="AB775" s="0" t="s">
        <v>152</v>
      </c>
      <c r="AC775" s="0" t="s">
        <v>3395</v>
      </c>
      <c r="AD775" s="0" t="s">
        <v>3395</v>
      </c>
      <c r="AE775" s="0" t="s">
        <v>3396</v>
      </c>
      <c r="AF775" s="0" t="s">
        <v>5941</v>
      </c>
      <c r="AG775" s="0" t="s">
        <v>5942</v>
      </c>
      <c r="AH775" s="0" t="s">
        <v>7018</v>
      </c>
      <c r="AI775" s="0" t="s">
        <v>7019</v>
      </c>
      <c r="AJ775" s="0" t="s">
        <v>6884</v>
      </c>
      <c r="AK775" s="0" t="s">
        <v>7020</v>
      </c>
      <c r="AL775" s="0" t="s">
        <v>7009</v>
      </c>
      <c r="AN775" s="0" t="s">
        <v>5553</v>
      </c>
      <c r="AO775" s="0" t="s">
        <v>7021</v>
      </c>
      <c r="AP775" s="0" t="s">
        <v>240</v>
      </c>
      <c r="AQ775" s="0" t="s">
        <v>240</v>
      </c>
      <c r="AR775" s="0" t="s">
        <v>240</v>
      </c>
      <c r="AS775" s="0" t="s">
        <v>240</v>
      </c>
      <c r="AT775" s="0" t="s">
        <v>240</v>
      </c>
      <c r="AU775" s="0" t="s">
        <v>240</v>
      </c>
      <c r="AV775" s="0" t="s">
        <v>240</v>
      </c>
      <c r="AW775" s="0" t="s">
        <v>240</v>
      </c>
      <c r="AX775" s="0" t="s">
        <v>240</v>
      </c>
      <c r="AY775" s="0" t="s">
        <v>240</v>
      </c>
      <c r="AZ775" s="0" t="s">
        <v>240</v>
      </c>
      <c r="BA775" s="0" t="s">
        <v>240</v>
      </c>
      <c r="BB775" s="0" t="s">
        <v>240</v>
      </c>
      <c r="BC775" s="0" t="s">
        <v>240</v>
      </c>
      <c r="BD775" s="0" t="s">
        <v>240</v>
      </c>
      <c r="BE775" s="0" t="s">
        <v>240</v>
      </c>
      <c r="BF775" s="0" t="s">
        <v>240</v>
      </c>
      <c r="BG775" s="0" t="s">
        <v>240</v>
      </c>
      <c r="BH775" s="0" t="s">
        <v>240</v>
      </c>
      <c r="BI775" s="0" t="s">
        <v>240</v>
      </c>
      <c r="BJ775" s="0" t="s">
        <v>240</v>
      </c>
      <c r="BK775" s="0" t="s">
        <v>240</v>
      </c>
      <c r="BL775" s="0" t="s">
        <v>240</v>
      </c>
      <c r="BM775" s="0" t="s">
        <v>240</v>
      </c>
      <c r="BN775" s="0" t="s">
        <v>240</v>
      </c>
      <c r="BO775" s="0" t="s">
        <v>240</v>
      </c>
      <c r="BP775" s="0" t="s">
        <v>240</v>
      </c>
      <c r="BQ775" s="0" t="s">
        <v>240</v>
      </c>
      <c r="BR775" s="0" t="s">
        <v>240</v>
      </c>
      <c r="BS775" s="0" t="s">
        <v>240</v>
      </c>
      <c r="BT775" s="0" t="s">
        <v>240</v>
      </c>
      <c r="CS775" s="0" t="s">
        <v>240</v>
      </c>
      <c r="CT775" s="0" t="s">
        <v>5496</v>
      </c>
      <c r="CU775" s="0" t="s">
        <v>5497</v>
      </c>
      <c r="CV775" s="0" t="s">
        <v>5947</v>
      </c>
      <c r="CW775" s="0" t="s">
        <v>5948</v>
      </c>
      <c r="CX775" s="0" t="s">
        <v>5528</v>
      </c>
      <c r="CY775" s="0" t="s">
        <v>5947</v>
      </c>
      <c r="CZ775" s="0" t="s">
        <v>7022</v>
      </c>
      <c r="DA775" s="0" t="s">
        <v>5949</v>
      </c>
      <c r="DB775" s="0" t="s">
        <v>5948</v>
      </c>
      <c r="DC775" s="0" t="s">
        <v>384</v>
      </c>
      <c r="DD775" s="0" t="s">
        <v>300</v>
      </c>
      <c r="DE775" s="0" t="s">
        <v>7023</v>
      </c>
    </row>
    <row customHeight="1" ht="11.25">
      <c r="A776" s="1441" t="s">
        <v>240</v>
      </c>
      <c r="B776" s="0" t="s">
        <v>240</v>
      </c>
      <c r="C776" s="0" t="s">
        <v>240</v>
      </c>
      <c r="D776" s="0" t="s">
        <v>240</v>
      </c>
      <c r="E776" s="0" t="s">
        <v>240</v>
      </c>
      <c r="F776" s="0" t="s">
        <v>240</v>
      </c>
      <c r="G776" s="0" t="s">
        <v>240</v>
      </c>
      <c r="H776" s="0" t="s">
        <v>240</v>
      </c>
      <c r="I776" s="0" t="s">
        <v>7004</v>
      </c>
      <c r="J776" s="0" t="s">
        <v>240</v>
      </c>
      <c r="K776" s="0" t="s">
        <v>240</v>
      </c>
      <c r="L776" s="0" t="s">
        <v>240</v>
      </c>
      <c r="M776" s="0" t="s">
        <v>240</v>
      </c>
      <c r="N776" s="0" t="s">
        <v>240</v>
      </c>
      <c r="O776" s="0" t="s">
        <v>240</v>
      </c>
      <c r="P776" s="0" t="s">
        <v>240</v>
      </c>
      <c r="Q776" s="0" t="s">
        <v>240</v>
      </c>
      <c r="R776" s="0" t="s">
        <v>7280</v>
      </c>
      <c r="S776" s="0" t="s">
        <v>240</v>
      </c>
      <c r="T776" s="0" t="s">
        <v>240</v>
      </c>
      <c r="U776" s="0" t="s">
        <v>102</v>
      </c>
      <c r="V776" s="0" t="s">
        <v>240</v>
      </c>
      <c r="W776" s="0" t="s">
        <v>240</v>
      </c>
      <c r="X776" s="0" t="s">
        <v>546</v>
      </c>
      <c r="Y776" s="0" t="s">
        <v>240</v>
      </c>
      <c r="Z776" s="0" t="s">
        <v>161</v>
      </c>
      <c r="AA776" s="0" t="s">
        <v>152</v>
      </c>
      <c r="AB776" s="0" t="s">
        <v>152</v>
      </c>
      <c r="AC776" s="0" t="s">
        <v>3395</v>
      </c>
      <c r="AD776" s="0" t="s">
        <v>3395</v>
      </c>
      <c r="AE776" s="0" t="s">
        <v>3396</v>
      </c>
      <c r="AF776" s="0" t="s">
        <v>5941</v>
      </c>
      <c r="AG776" s="0" t="s">
        <v>5942</v>
      </c>
      <c r="AH776" s="0" t="s">
        <v>7281</v>
      </c>
      <c r="AI776" s="0" t="s">
        <v>466</v>
      </c>
      <c r="AJ776" s="0" t="s">
        <v>6917</v>
      </c>
      <c r="AK776" s="0" t="s">
        <v>7282</v>
      </c>
      <c r="AL776" s="0" t="s">
        <v>7009</v>
      </c>
      <c r="AN776" s="0" t="s">
        <v>5553</v>
      </c>
      <c r="AO776" s="0" t="s">
        <v>7283</v>
      </c>
      <c r="AP776" s="0" t="s">
        <v>240</v>
      </c>
      <c r="AQ776" s="0" t="s">
        <v>240</v>
      </c>
      <c r="AR776" s="0" t="s">
        <v>240</v>
      </c>
      <c r="AS776" s="0" t="s">
        <v>240</v>
      </c>
      <c r="AT776" s="0" t="s">
        <v>240</v>
      </c>
      <c r="AU776" s="0" t="s">
        <v>240</v>
      </c>
      <c r="AV776" s="0" t="s">
        <v>240</v>
      </c>
      <c r="AW776" s="0" t="s">
        <v>240</v>
      </c>
      <c r="AX776" s="0" t="s">
        <v>240</v>
      </c>
      <c r="AY776" s="0" t="s">
        <v>240</v>
      </c>
      <c r="AZ776" s="0" t="s">
        <v>240</v>
      </c>
      <c r="BA776" s="0" t="s">
        <v>240</v>
      </c>
      <c r="BB776" s="0" t="s">
        <v>240</v>
      </c>
      <c r="BC776" s="0" t="s">
        <v>240</v>
      </c>
      <c r="BD776" s="0" t="s">
        <v>240</v>
      </c>
      <c r="BE776" s="0" t="s">
        <v>240</v>
      </c>
      <c r="BF776" s="0" t="s">
        <v>240</v>
      </c>
      <c r="BG776" s="0" t="s">
        <v>240</v>
      </c>
      <c r="BH776" s="0" t="s">
        <v>240</v>
      </c>
      <c r="BI776" s="0" t="s">
        <v>240</v>
      </c>
      <c r="BJ776" s="0" t="s">
        <v>240</v>
      </c>
      <c r="BK776" s="0" t="s">
        <v>240</v>
      </c>
      <c r="BL776" s="0" t="s">
        <v>240</v>
      </c>
      <c r="BM776" s="0" t="s">
        <v>240</v>
      </c>
      <c r="BN776" s="0" t="s">
        <v>240</v>
      </c>
      <c r="BO776" s="0" t="s">
        <v>240</v>
      </c>
      <c r="BP776" s="0" t="s">
        <v>240</v>
      </c>
      <c r="BQ776" s="0" t="s">
        <v>240</v>
      </c>
      <c r="BR776" s="0" t="s">
        <v>240</v>
      </c>
      <c r="BS776" s="0" t="s">
        <v>240</v>
      </c>
      <c r="BT776" s="0" t="s">
        <v>240</v>
      </c>
      <c r="CS776" s="0" t="s">
        <v>240</v>
      </c>
      <c r="CT776" s="0" t="s">
        <v>5496</v>
      </c>
      <c r="CU776" s="0" t="s">
        <v>5497</v>
      </c>
      <c r="CV776" s="0" t="s">
        <v>5947</v>
      </c>
      <c r="CW776" s="0" t="s">
        <v>5948</v>
      </c>
      <c r="CX776" s="0" t="s">
        <v>5528</v>
      </c>
      <c r="CY776" s="0" t="s">
        <v>5947</v>
      </c>
      <c r="CZ776" s="0" t="s">
        <v>7022</v>
      </c>
      <c r="DA776" s="0" t="s">
        <v>5949</v>
      </c>
      <c r="DB776" s="0" t="s">
        <v>5948</v>
      </c>
      <c r="DC776" s="0" t="s">
        <v>384</v>
      </c>
      <c r="DD776" s="0" t="s">
        <v>300</v>
      </c>
      <c r="DE776" s="0" t="s">
        <v>7284</v>
      </c>
    </row>
    <row customHeight="1" ht="11.25">
      <c r="A777" s="1441" t="s">
        <v>240</v>
      </c>
      <c r="B777" s="0" t="s">
        <v>240</v>
      </c>
      <c r="C777" s="0" t="s">
        <v>240</v>
      </c>
      <c r="D777" s="0" t="s">
        <v>240</v>
      </c>
      <c r="E777" s="0" t="s">
        <v>240</v>
      </c>
      <c r="F777" s="0" t="s">
        <v>240</v>
      </c>
      <c r="G777" s="0" t="s">
        <v>240</v>
      </c>
      <c r="H777" s="0" t="s">
        <v>240</v>
      </c>
      <c r="I777" s="0" t="s">
        <v>7004</v>
      </c>
      <c r="J777" s="0" t="s">
        <v>240</v>
      </c>
      <c r="K777" s="0" t="s">
        <v>240</v>
      </c>
      <c r="L777" s="0" t="s">
        <v>240</v>
      </c>
      <c r="M777" s="0" t="s">
        <v>240</v>
      </c>
      <c r="N777" s="0" t="s">
        <v>240</v>
      </c>
      <c r="O777" s="0" t="s">
        <v>240</v>
      </c>
      <c r="P777" s="0" t="s">
        <v>240</v>
      </c>
      <c r="Q777" s="0" t="s">
        <v>240</v>
      </c>
      <c r="R777" s="0" t="s">
        <v>7285</v>
      </c>
      <c r="S777" s="0" t="s">
        <v>240</v>
      </c>
      <c r="T777" s="0" t="s">
        <v>240</v>
      </c>
      <c r="U777" s="0" t="s">
        <v>102</v>
      </c>
      <c r="V777" s="0" t="s">
        <v>240</v>
      </c>
      <c r="W777" s="0" t="s">
        <v>240</v>
      </c>
      <c r="X777" s="0" t="s">
        <v>546</v>
      </c>
      <c r="Y777" s="0" t="s">
        <v>240</v>
      </c>
      <c r="Z777" s="0" t="s">
        <v>161</v>
      </c>
      <c r="AA777" s="0" t="s">
        <v>152</v>
      </c>
      <c r="AB777" s="0" t="s">
        <v>152</v>
      </c>
      <c r="AC777" s="0" t="s">
        <v>3395</v>
      </c>
      <c r="AD777" s="0" t="s">
        <v>3395</v>
      </c>
      <c r="AE777" s="0" t="s">
        <v>3396</v>
      </c>
      <c r="AF777" s="0" t="s">
        <v>5941</v>
      </c>
      <c r="AG777" s="0" t="s">
        <v>5942</v>
      </c>
      <c r="AH777" s="0" t="s">
        <v>7286</v>
      </c>
      <c r="AI777" s="0" t="s">
        <v>472</v>
      </c>
      <c r="AJ777" s="0" t="s">
        <v>6884</v>
      </c>
      <c r="AK777" s="0" t="s">
        <v>7287</v>
      </c>
      <c r="AL777" s="0" t="s">
        <v>7009</v>
      </c>
      <c r="AN777" s="0" t="s">
        <v>5553</v>
      </c>
      <c r="AO777" s="0" t="s">
        <v>7288</v>
      </c>
      <c r="AP777" s="0" t="s">
        <v>240</v>
      </c>
      <c r="AQ777" s="0" t="s">
        <v>240</v>
      </c>
      <c r="AR777" s="0" t="s">
        <v>240</v>
      </c>
      <c r="AS777" s="0" t="s">
        <v>240</v>
      </c>
      <c r="AT777" s="0" t="s">
        <v>240</v>
      </c>
      <c r="AU777" s="0" t="s">
        <v>240</v>
      </c>
      <c r="AV777" s="0" t="s">
        <v>240</v>
      </c>
      <c r="AW777" s="0" t="s">
        <v>240</v>
      </c>
      <c r="AX777" s="0" t="s">
        <v>240</v>
      </c>
      <c r="AY777" s="0" t="s">
        <v>240</v>
      </c>
      <c r="AZ777" s="0" t="s">
        <v>240</v>
      </c>
      <c r="BA777" s="0" t="s">
        <v>240</v>
      </c>
      <c r="BB777" s="0" t="s">
        <v>240</v>
      </c>
      <c r="BC777" s="0" t="s">
        <v>240</v>
      </c>
      <c r="BD777" s="0" t="s">
        <v>240</v>
      </c>
      <c r="BE777" s="0" t="s">
        <v>240</v>
      </c>
      <c r="BF777" s="0" t="s">
        <v>240</v>
      </c>
      <c r="BG777" s="0" t="s">
        <v>240</v>
      </c>
      <c r="BH777" s="0" t="s">
        <v>240</v>
      </c>
      <c r="BI777" s="0" t="s">
        <v>240</v>
      </c>
      <c r="BJ777" s="0" t="s">
        <v>240</v>
      </c>
      <c r="BK777" s="0" t="s">
        <v>240</v>
      </c>
      <c r="BL777" s="0" t="s">
        <v>240</v>
      </c>
      <c r="BM777" s="0" t="s">
        <v>240</v>
      </c>
      <c r="BN777" s="0" t="s">
        <v>240</v>
      </c>
      <c r="BO777" s="0" t="s">
        <v>240</v>
      </c>
      <c r="BP777" s="0" t="s">
        <v>240</v>
      </c>
      <c r="BQ777" s="0" t="s">
        <v>240</v>
      </c>
      <c r="BR777" s="0" t="s">
        <v>240</v>
      </c>
      <c r="BS777" s="0" t="s">
        <v>240</v>
      </c>
      <c r="BT777" s="0" t="s">
        <v>240</v>
      </c>
      <c r="CS777" s="0" t="s">
        <v>240</v>
      </c>
      <c r="CT777" s="0" t="s">
        <v>5496</v>
      </c>
      <c r="CU777" s="0" t="s">
        <v>5497</v>
      </c>
      <c r="CV777" s="0" t="s">
        <v>5947</v>
      </c>
      <c r="CW777" s="0" t="s">
        <v>5948</v>
      </c>
      <c r="CX777" s="0" t="s">
        <v>5528</v>
      </c>
      <c r="CY777" s="0" t="s">
        <v>5947</v>
      </c>
      <c r="CZ777" s="0" t="s">
        <v>7022</v>
      </c>
      <c r="DA777" s="0" t="s">
        <v>5949</v>
      </c>
      <c r="DB777" s="0" t="s">
        <v>5948</v>
      </c>
      <c r="DC777" s="0" t="s">
        <v>384</v>
      </c>
      <c r="DD777" s="0" t="s">
        <v>300</v>
      </c>
      <c r="DE777" s="0" t="s">
        <v>7289</v>
      </c>
    </row>
    <row customHeight="1" ht="11.25">
      <c r="A778" s="1441" t="s">
        <v>240</v>
      </c>
      <c r="B778" s="0" t="s">
        <v>240</v>
      </c>
      <c r="C778" s="0" t="s">
        <v>240</v>
      </c>
      <c r="D778" s="0" t="s">
        <v>240</v>
      </c>
      <c r="E778" s="0" t="s">
        <v>240</v>
      </c>
      <c r="F778" s="0" t="s">
        <v>240</v>
      </c>
      <c r="G778" s="0" t="s">
        <v>240</v>
      </c>
      <c r="H778" s="0" t="s">
        <v>240</v>
      </c>
      <c r="I778" s="0" t="s">
        <v>7004</v>
      </c>
      <c r="J778" s="0" t="s">
        <v>240</v>
      </c>
      <c r="K778" s="0" t="s">
        <v>240</v>
      </c>
      <c r="L778" s="0" t="s">
        <v>240</v>
      </c>
      <c r="M778" s="0" t="s">
        <v>240</v>
      </c>
      <c r="N778" s="0" t="s">
        <v>240</v>
      </c>
      <c r="O778" s="0" t="s">
        <v>240</v>
      </c>
      <c r="P778" s="0" t="s">
        <v>240</v>
      </c>
      <c r="Q778" s="0" t="s">
        <v>240</v>
      </c>
      <c r="R778" s="0" t="s">
        <v>7223</v>
      </c>
      <c r="S778" s="0" t="s">
        <v>240</v>
      </c>
      <c r="T778" s="0" t="s">
        <v>240</v>
      </c>
      <c r="U778" s="0" t="s">
        <v>102</v>
      </c>
      <c r="V778" s="0" t="s">
        <v>240</v>
      </c>
      <c r="W778" s="0" t="s">
        <v>240</v>
      </c>
      <c r="X778" s="0" t="s">
        <v>546</v>
      </c>
      <c r="Y778" s="0" t="s">
        <v>240</v>
      </c>
      <c r="Z778" s="0" t="s">
        <v>161</v>
      </c>
      <c r="AA778" s="0" t="s">
        <v>152</v>
      </c>
      <c r="AB778" s="0" t="s">
        <v>152</v>
      </c>
      <c r="AC778" s="0" t="s">
        <v>3395</v>
      </c>
      <c r="AD778" s="0" t="s">
        <v>3395</v>
      </c>
      <c r="AE778" s="0" t="s">
        <v>3396</v>
      </c>
      <c r="AF778" s="0" t="s">
        <v>5941</v>
      </c>
      <c r="AG778" s="0" t="s">
        <v>5942</v>
      </c>
      <c r="AH778" s="0" t="s">
        <v>7224</v>
      </c>
      <c r="AI778" s="0" t="s">
        <v>5533</v>
      </c>
      <c r="AJ778" s="0" t="s">
        <v>5945</v>
      </c>
      <c r="AK778" s="0" t="s">
        <v>7121</v>
      </c>
      <c r="AL778" s="0" t="s">
        <v>7009</v>
      </c>
      <c r="AN778" s="0" t="s">
        <v>5553</v>
      </c>
      <c r="AO778" s="0" t="s">
        <v>7225</v>
      </c>
      <c r="AP778" s="0" t="s">
        <v>240</v>
      </c>
      <c r="AQ778" s="0" t="s">
        <v>240</v>
      </c>
      <c r="AR778" s="0" t="s">
        <v>240</v>
      </c>
      <c r="AS778" s="0" t="s">
        <v>240</v>
      </c>
      <c r="AT778" s="0" t="s">
        <v>240</v>
      </c>
      <c r="AU778" s="0" t="s">
        <v>240</v>
      </c>
      <c r="AV778" s="0" t="s">
        <v>240</v>
      </c>
      <c r="AW778" s="0" t="s">
        <v>240</v>
      </c>
      <c r="AX778" s="0" t="s">
        <v>240</v>
      </c>
      <c r="AY778" s="0" t="s">
        <v>240</v>
      </c>
      <c r="AZ778" s="0" t="s">
        <v>240</v>
      </c>
      <c r="BA778" s="0" t="s">
        <v>240</v>
      </c>
      <c r="BB778" s="0" t="s">
        <v>240</v>
      </c>
      <c r="BC778" s="0" t="s">
        <v>240</v>
      </c>
      <c r="BD778" s="0" t="s">
        <v>240</v>
      </c>
      <c r="BE778" s="0" t="s">
        <v>240</v>
      </c>
      <c r="BF778" s="0" t="s">
        <v>240</v>
      </c>
      <c r="BG778" s="0" t="s">
        <v>240</v>
      </c>
      <c r="BH778" s="0" t="s">
        <v>240</v>
      </c>
      <c r="BI778" s="0" t="s">
        <v>240</v>
      </c>
      <c r="BJ778" s="0" t="s">
        <v>240</v>
      </c>
      <c r="BK778" s="0" t="s">
        <v>240</v>
      </c>
      <c r="BL778" s="0" t="s">
        <v>240</v>
      </c>
      <c r="BM778" s="0" t="s">
        <v>240</v>
      </c>
      <c r="BN778" s="0" t="s">
        <v>240</v>
      </c>
      <c r="BO778" s="0" t="s">
        <v>240</v>
      </c>
      <c r="BP778" s="0" t="s">
        <v>240</v>
      </c>
      <c r="BQ778" s="0" t="s">
        <v>240</v>
      </c>
      <c r="BR778" s="0" t="s">
        <v>240</v>
      </c>
      <c r="BS778" s="0" t="s">
        <v>240</v>
      </c>
      <c r="BT778" s="0" t="s">
        <v>240</v>
      </c>
      <c r="CS778" s="0" t="s">
        <v>240</v>
      </c>
      <c r="CT778" s="0" t="s">
        <v>5496</v>
      </c>
      <c r="CU778" s="0" t="s">
        <v>5497</v>
      </c>
      <c r="CV778" s="0" t="s">
        <v>5947</v>
      </c>
      <c r="CW778" s="0" t="s">
        <v>5948</v>
      </c>
      <c r="CX778" s="0" t="s">
        <v>5528</v>
      </c>
      <c r="CY778" s="0" t="s">
        <v>5947</v>
      </c>
      <c r="CZ778" s="0" t="s">
        <v>7022</v>
      </c>
      <c r="DA778" s="0" t="s">
        <v>5949</v>
      </c>
      <c r="DB778" s="0" t="s">
        <v>5948</v>
      </c>
      <c r="DC778" s="0" t="s">
        <v>384</v>
      </c>
      <c r="DD778" s="0" t="s">
        <v>300</v>
      </c>
      <c r="DE778" s="0" t="s">
        <v>7226</v>
      </c>
    </row>
    <row customHeight="1" ht="11.25">
      <c r="A779" s="1441" t="s">
        <v>240</v>
      </c>
      <c r="B779" s="0" t="s">
        <v>240</v>
      </c>
      <c r="C779" s="0" t="s">
        <v>240</v>
      </c>
      <c r="D779" s="0" t="s">
        <v>240</v>
      </c>
      <c r="E779" s="0" t="s">
        <v>240</v>
      </c>
      <c r="F779" s="0" t="s">
        <v>240</v>
      </c>
      <c r="G779" s="0" t="s">
        <v>240</v>
      </c>
      <c r="H779" s="0" t="s">
        <v>240</v>
      </c>
      <c r="I779" s="0" t="s">
        <v>7004</v>
      </c>
      <c r="J779" s="0" t="s">
        <v>240</v>
      </c>
      <c r="K779" s="0" t="s">
        <v>240</v>
      </c>
      <c r="L779" s="0" t="s">
        <v>240</v>
      </c>
      <c r="M779" s="0" t="s">
        <v>240</v>
      </c>
      <c r="N779" s="0" t="s">
        <v>240</v>
      </c>
      <c r="O779" s="0" t="s">
        <v>240</v>
      </c>
      <c r="P779" s="0" t="s">
        <v>240</v>
      </c>
      <c r="Q779" s="0" t="s">
        <v>240</v>
      </c>
      <c r="R779" s="0" t="s">
        <v>532</v>
      </c>
      <c r="S779" s="0" t="s">
        <v>240</v>
      </c>
      <c r="T779" s="0" t="s">
        <v>240</v>
      </c>
      <c r="U779" s="0" t="s">
        <v>102</v>
      </c>
      <c r="V779" s="0" t="s">
        <v>240</v>
      </c>
      <c r="W779" s="0" t="s">
        <v>240</v>
      </c>
      <c r="X779" s="0" t="s">
        <v>546</v>
      </c>
      <c r="Y779" s="0" t="s">
        <v>240</v>
      </c>
      <c r="Z779" s="0" t="s">
        <v>161</v>
      </c>
      <c r="AA779" s="0" t="s">
        <v>152</v>
      </c>
      <c r="AB779" s="0" t="s">
        <v>152</v>
      </c>
      <c r="AC779" s="0" t="s">
        <v>364</v>
      </c>
      <c r="AD779" s="0" t="s">
        <v>364</v>
      </c>
      <c r="AE779" s="0" t="s">
        <v>365</v>
      </c>
      <c r="AF779" s="0" t="s">
        <v>6806</v>
      </c>
      <c r="AG779" s="0" t="s">
        <v>6807</v>
      </c>
      <c r="AH779" s="0" t="s">
        <v>7374</v>
      </c>
      <c r="AI779" s="0" t="s">
        <v>6899</v>
      </c>
      <c r="AJ779" s="0" t="s">
        <v>7375</v>
      </c>
      <c r="AK779" s="0" t="s">
        <v>6884</v>
      </c>
      <c r="AL779" s="0" t="s">
        <v>7009</v>
      </c>
      <c r="AN779" s="0" t="s">
        <v>5578</v>
      </c>
      <c r="AO779" s="0" t="s">
        <v>5636</v>
      </c>
      <c r="AP779" s="0" t="s">
        <v>240</v>
      </c>
      <c r="AQ779" s="0" t="s">
        <v>240</v>
      </c>
      <c r="AR779" s="0" t="s">
        <v>240</v>
      </c>
      <c r="AS779" s="0" t="s">
        <v>240</v>
      </c>
      <c r="AT779" s="0" t="s">
        <v>240</v>
      </c>
      <c r="AU779" s="0" t="s">
        <v>240</v>
      </c>
      <c r="AV779" s="0" t="s">
        <v>240</v>
      </c>
      <c r="AW779" s="0" t="s">
        <v>240</v>
      </c>
      <c r="AX779" s="0" t="s">
        <v>240</v>
      </c>
      <c r="AY779" s="0" t="s">
        <v>240</v>
      </c>
      <c r="AZ779" s="0" t="s">
        <v>240</v>
      </c>
      <c r="BA779" s="0" t="s">
        <v>240</v>
      </c>
      <c r="BB779" s="0" t="s">
        <v>240</v>
      </c>
      <c r="BC779" s="0" t="s">
        <v>240</v>
      </c>
      <c r="BD779" s="0" t="s">
        <v>240</v>
      </c>
      <c r="BE779" s="0" t="s">
        <v>240</v>
      </c>
      <c r="BF779" s="0" t="s">
        <v>240</v>
      </c>
      <c r="BG779" s="0" t="s">
        <v>240</v>
      </c>
      <c r="BH779" s="0" t="s">
        <v>240</v>
      </c>
      <c r="BI779" s="0" t="s">
        <v>240</v>
      </c>
      <c r="BJ779" s="0" t="s">
        <v>240</v>
      </c>
      <c r="BK779" s="0" t="s">
        <v>240</v>
      </c>
      <c r="BL779" s="0" t="s">
        <v>240</v>
      </c>
      <c r="BM779" s="0" t="s">
        <v>240</v>
      </c>
      <c r="BN779" s="0" t="s">
        <v>240</v>
      </c>
      <c r="BO779" s="0" t="s">
        <v>240</v>
      </c>
      <c r="BP779" s="0" t="s">
        <v>240</v>
      </c>
      <c r="BQ779" s="0" t="s">
        <v>240</v>
      </c>
      <c r="BR779" s="0" t="s">
        <v>240</v>
      </c>
      <c r="BS779" s="0" t="s">
        <v>240</v>
      </c>
      <c r="BT779" s="0" t="s">
        <v>240</v>
      </c>
      <c r="CS779" s="0" t="s">
        <v>240</v>
      </c>
      <c r="CT779" s="0" t="s">
        <v>5496</v>
      </c>
      <c r="CU779" s="0" t="s">
        <v>5497</v>
      </c>
      <c r="CV779" s="0" t="s">
        <v>443</v>
      </c>
      <c r="CW779" s="0" t="s">
        <v>6818</v>
      </c>
      <c r="CX779" s="0" t="s">
        <v>229</v>
      </c>
      <c r="CY779" s="0" t="s">
        <v>443</v>
      </c>
      <c r="CZ779" s="0" t="s">
        <v>234</v>
      </c>
      <c r="DA779" s="0" t="s">
        <v>444</v>
      </c>
      <c r="DB779" s="0" t="s">
        <v>6818</v>
      </c>
      <c r="DC779" s="0" t="s">
        <v>384</v>
      </c>
      <c r="DD779" s="0" t="s">
        <v>300</v>
      </c>
      <c r="DE779" s="0" t="s">
        <v>552</v>
      </c>
    </row>
    <row customHeight="1" ht="11.25">
      <c r="A780" s="1441" t="s">
        <v>240</v>
      </c>
      <c r="B780" s="0" t="s">
        <v>240</v>
      </c>
      <c r="C780" s="0" t="s">
        <v>240</v>
      </c>
      <c r="D780" s="0" t="s">
        <v>240</v>
      </c>
      <c r="E780" s="0" t="s">
        <v>240</v>
      </c>
      <c r="F780" s="0" t="s">
        <v>240</v>
      </c>
      <c r="G780" s="0" t="s">
        <v>240</v>
      </c>
      <c r="H780" s="0" t="s">
        <v>240</v>
      </c>
      <c r="I780" s="0" t="s">
        <v>7004</v>
      </c>
      <c r="J780" s="0" t="s">
        <v>240</v>
      </c>
      <c r="K780" s="0" t="s">
        <v>240</v>
      </c>
      <c r="L780" s="0" t="s">
        <v>240</v>
      </c>
      <c r="M780" s="0" t="s">
        <v>240</v>
      </c>
      <c r="N780" s="0" t="s">
        <v>240</v>
      </c>
      <c r="O780" s="0" t="s">
        <v>240</v>
      </c>
      <c r="P780" s="0" t="s">
        <v>240</v>
      </c>
      <c r="Q780" s="0" t="s">
        <v>240</v>
      </c>
      <c r="R780" s="0" t="s">
        <v>540</v>
      </c>
      <c r="S780" s="0" t="s">
        <v>240</v>
      </c>
      <c r="T780" s="0" t="s">
        <v>240</v>
      </c>
      <c r="U780" s="0" t="s">
        <v>102</v>
      </c>
      <c r="V780" s="0" t="s">
        <v>240</v>
      </c>
      <c r="W780" s="0" t="s">
        <v>240</v>
      </c>
      <c r="X780" s="0" t="s">
        <v>546</v>
      </c>
      <c r="Y780" s="0" t="s">
        <v>240</v>
      </c>
      <c r="Z780" s="0" t="s">
        <v>161</v>
      </c>
      <c r="AA780" s="0" t="s">
        <v>152</v>
      </c>
      <c r="AB780" s="0" t="s">
        <v>152</v>
      </c>
      <c r="AC780" s="0" t="s">
        <v>364</v>
      </c>
      <c r="AD780" s="0" t="s">
        <v>364</v>
      </c>
      <c r="AE780" s="0" t="s">
        <v>365</v>
      </c>
      <c r="AF780" s="0" t="s">
        <v>6806</v>
      </c>
      <c r="AG780" s="0" t="s">
        <v>6807</v>
      </c>
      <c r="AH780" s="0" t="s">
        <v>7390</v>
      </c>
      <c r="AI780" s="0" t="s">
        <v>5533</v>
      </c>
      <c r="AJ780" s="0" t="s">
        <v>7391</v>
      </c>
      <c r="AK780" s="0" t="s">
        <v>7109</v>
      </c>
      <c r="AL780" s="0" t="s">
        <v>7009</v>
      </c>
      <c r="AN780" s="0" t="s">
        <v>5553</v>
      </c>
      <c r="AO780" s="0" t="s">
        <v>7166</v>
      </c>
      <c r="AP780" s="0" t="s">
        <v>240</v>
      </c>
      <c r="AQ780" s="0" t="s">
        <v>240</v>
      </c>
      <c r="AR780" s="0" t="s">
        <v>240</v>
      </c>
      <c r="AS780" s="0" t="s">
        <v>240</v>
      </c>
      <c r="AT780" s="0" t="s">
        <v>240</v>
      </c>
      <c r="AU780" s="0" t="s">
        <v>240</v>
      </c>
      <c r="AV780" s="0" t="s">
        <v>240</v>
      </c>
      <c r="AW780" s="0" t="s">
        <v>240</v>
      </c>
      <c r="AX780" s="0" t="s">
        <v>240</v>
      </c>
      <c r="AY780" s="0" t="s">
        <v>240</v>
      </c>
      <c r="AZ780" s="0" t="s">
        <v>240</v>
      </c>
      <c r="BA780" s="0" t="s">
        <v>240</v>
      </c>
      <c r="BB780" s="0" t="s">
        <v>240</v>
      </c>
      <c r="BC780" s="0" t="s">
        <v>240</v>
      </c>
      <c r="BD780" s="0" t="s">
        <v>240</v>
      </c>
      <c r="BE780" s="0" t="s">
        <v>240</v>
      </c>
      <c r="BF780" s="0" t="s">
        <v>240</v>
      </c>
      <c r="BG780" s="0" t="s">
        <v>240</v>
      </c>
      <c r="BH780" s="0" t="s">
        <v>240</v>
      </c>
      <c r="BI780" s="0" t="s">
        <v>240</v>
      </c>
      <c r="BJ780" s="0" t="s">
        <v>240</v>
      </c>
      <c r="BK780" s="0" t="s">
        <v>240</v>
      </c>
      <c r="BL780" s="0" t="s">
        <v>240</v>
      </c>
      <c r="BM780" s="0" t="s">
        <v>240</v>
      </c>
      <c r="BN780" s="0" t="s">
        <v>240</v>
      </c>
      <c r="BO780" s="0" t="s">
        <v>240</v>
      </c>
      <c r="BP780" s="0" t="s">
        <v>240</v>
      </c>
      <c r="BQ780" s="0" t="s">
        <v>240</v>
      </c>
      <c r="BR780" s="0" t="s">
        <v>240</v>
      </c>
      <c r="BS780" s="0" t="s">
        <v>240</v>
      </c>
      <c r="BT780" s="0" t="s">
        <v>240</v>
      </c>
      <c r="CS780" s="0" t="s">
        <v>240</v>
      </c>
      <c r="CT780" s="0" t="s">
        <v>5496</v>
      </c>
      <c r="CU780" s="0" t="s">
        <v>5497</v>
      </c>
      <c r="CV780" s="0" t="s">
        <v>443</v>
      </c>
      <c r="CW780" s="0" t="s">
        <v>6818</v>
      </c>
      <c r="CX780" s="0" t="s">
        <v>229</v>
      </c>
      <c r="CY780" s="0" t="s">
        <v>443</v>
      </c>
      <c r="CZ780" s="0" t="s">
        <v>234</v>
      </c>
      <c r="DA780" s="0" t="s">
        <v>444</v>
      </c>
      <c r="DB780" s="0" t="s">
        <v>6818</v>
      </c>
      <c r="DC780" s="0" t="s">
        <v>384</v>
      </c>
      <c r="DD780" s="0" t="s">
        <v>300</v>
      </c>
      <c r="DE780" s="0" t="s">
        <v>541</v>
      </c>
    </row>
    <row customHeight="1" ht="11.25">
      <c r="A781" s="1441" t="s">
        <v>240</v>
      </c>
      <c r="B781" s="0" t="s">
        <v>240</v>
      </c>
      <c r="C781" s="0" t="s">
        <v>240</v>
      </c>
      <c r="D781" s="0" t="s">
        <v>240</v>
      </c>
      <c r="E781" s="0" t="s">
        <v>240</v>
      </c>
      <c r="F781" s="0" t="s">
        <v>240</v>
      </c>
      <c r="G781" s="0" t="s">
        <v>240</v>
      </c>
      <c r="H781" s="0" t="s">
        <v>240</v>
      </c>
      <c r="I781" s="0" t="s">
        <v>7004</v>
      </c>
      <c r="J781" s="0" t="s">
        <v>240</v>
      </c>
      <c r="K781" s="0" t="s">
        <v>240</v>
      </c>
      <c r="L781" s="0" t="s">
        <v>240</v>
      </c>
      <c r="M781" s="0" t="s">
        <v>240</v>
      </c>
      <c r="N781" s="0" t="s">
        <v>240</v>
      </c>
      <c r="O781" s="0" t="s">
        <v>240</v>
      </c>
      <c r="P781" s="0" t="s">
        <v>240</v>
      </c>
      <c r="Q781" s="0" t="s">
        <v>240</v>
      </c>
      <c r="R781" s="0" t="s">
        <v>7297</v>
      </c>
      <c r="S781" s="0" t="s">
        <v>240</v>
      </c>
      <c r="T781" s="0" t="s">
        <v>240</v>
      </c>
      <c r="U781" s="0" t="s">
        <v>102</v>
      </c>
      <c r="V781" s="0" t="s">
        <v>240</v>
      </c>
      <c r="W781" s="0" t="s">
        <v>240</v>
      </c>
      <c r="X781" s="0" t="s">
        <v>5585</v>
      </c>
      <c r="Y781" s="0" t="s">
        <v>240</v>
      </c>
      <c r="Z781" s="0" t="s">
        <v>152</v>
      </c>
      <c r="AA781" s="0" t="s">
        <v>152</v>
      </c>
      <c r="AB781" s="0" t="s">
        <v>161</v>
      </c>
      <c r="AC781" s="0" t="s">
        <v>2991</v>
      </c>
      <c r="AD781" s="0" t="s">
        <v>2991</v>
      </c>
      <c r="AE781" s="0" t="s">
        <v>2992</v>
      </c>
      <c r="AF781" s="0" t="s">
        <v>5884</v>
      </c>
      <c r="AG781" s="0" t="s">
        <v>5885</v>
      </c>
      <c r="AH781" s="0" t="s">
        <v>5575</v>
      </c>
      <c r="AI781" s="0" t="s">
        <v>5575</v>
      </c>
      <c r="AJ781" s="0" t="s">
        <v>240</v>
      </c>
      <c r="AK781" s="0" t="s">
        <v>240</v>
      </c>
      <c r="AL781" s="0" t="s">
        <v>240</v>
      </c>
      <c r="AN781" s="0" t="s">
        <v>240</v>
      </c>
      <c r="AO781" s="0" t="s">
        <v>240</v>
      </c>
      <c r="AP781" s="0" t="s">
        <v>240</v>
      </c>
      <c r="AQ781" s="0" t="s">
        <v>240</v>
      </c>
      <c r="AR781" s="0" t="s">
        <v>240</v>
      </c>
      <c r="AS781" s="0" t="s">
        <v>240</v>
      </c>
      <c r="AT781" s="0" t="s">
        <v>240</v>
      </c>
      <c r="AU781" s="0" t="s">
        <v>240</v>
      </c>
      <c r="AV781" s="0" t="s">
        <v>240</v>
      </c>
      <c r="AW781" s="0" t="s">
        <v>240</v>
      </c>
      <c r="AX781" s="0" t="s">
        <v>240</v>
      </c>
      <c r="AY781" s="0" t="s">
        <v>240</v>
      </c>
      <c r="AZ781" s="0" t="s">
        <v>240</v>
      </c>
      <c r="BA781" s="0" t="s">
        <v>240</v>
      </c>
      <c r="BB781" s="0" t="s">
        <v>240</v>
      </c>
      <c r="BC781" s="0" t="s">
        <v>240</v>
      </c>
      <c r="BD781" s="0" t="s">
        <v>240</v>
      </c>
      <c r="BE781" s="0" t="s">
        <v>5504</v>
      </c>
      <c r="BF781" s="0" t="s">
        <v>5776</v>
      </c>
      <c r="BG781" s="0" t="s">
        <v>112</v>
      </c>
      <c r="BH781" s="0" t="s">
        <v>5589</v>
      </c>
      <c r="BI781" s="0" t="s">
        <v>123</v>
      </c>
      <c r="BJ781" s="0" t="s">
        <v>240</v>
      </c>
      <c r="BK781" s="0" t="s">
        <v>240</v>
      </c>
      <c r="BL781" s="0" t="s">
        <v>2991</v>
      </c>
      <c r="BM781" s="0" t="s">
        <v>2991</v>
      </c>
      <c r="BN781" s="0" t="s">
        <v>5663</v>
      </c>
      <c r="BO781" s="0" t="s">
        <v>5884</v>
      </c>
      <c r="BP781" s="0" t="s">
        <v>6820</v>
      </c>
      <c r="BQ781" s="0" t="s">
        <v>5575</v>
      </c>
      <c r="BR781" s="0" t="s">
        <v>5575</v>
      </c>
      <c r="BS781" s="0" t="s">
        <v>240</v>
      </c>
      <c r="BT781" s="0" t="s">
        <v>5650</v>
      </c>
      <c r="CS781" s="0" t="s">
        <v>7118</v>
      </c>
      <c r="CT781" s="0" t="s">
        <v>5496</v>
      </c>
      <c r="CU781" s="0" t="s">
        <v>5497</v>
      </c>
      <c r="CV781" s="0" t="s">
        <v>443</v>
      </c>
      <c r="CW781" s="0" t="s">
        <v>5547</v>
      </c>
      <c r="CX781" s="0" t="s">
        <v>229</v>
      </c>
      <c r="CY781" s="0" t="s">
        <v>443</v>
      </c>
      <c r="CZ781" s="0" t="s">
        <v>5548</v>
      </c>
      <c r="DA781" s="0" t="s">
        <v>5549</v>
      </c>
      <c r="DB781" s="0" t="s">
        <v>5547</v>
      </c>
      <c r="DC781" s="0" t="s">
        <v>384</v>
      </c>
      <c r="DD781" s="0" t="s">
        <v>300</v>
      </c>
      <c r="DE781" s="0" t="s">
        <v>6822</v>
      </c>
    </row>
    <row customHeight="1" ht="11.25">
      <c r="A782" s="1441" t="s">
        <v>240</v>
      </c>
      <c r="B782" s="0" t="s">
        <v>240</v>
      </c>
      <c r="C782" s="0" t="s">
        <v>240</v>
      </c>
      <c r="D782" s="0" t="s">
        <v>240</v>
      </c>
      <c r="E782" s="0" t="s">
        <v>240</v>
      </c>
      <c r="F782" s="0" t="s">
        <v>240</v>
      </c>
      <c r="G782" s="0" t="s">
        <v>240</v>
      </c>
      <c r="H782" s="0" t="s">
        <v>240</v>
      </c>
      <c r="I782" s="0" t="s">
        <v>7004</v>
      </c>
      <c r="J782" s="0" t="s">
        <v>240</v>
      </c>
      <c r="K782" s="0" t="s">
        <v>240</v>
      </c>
      <c r="L782" s="0" t="s">
        <v>240</v>
      </c>
      <c r="M782" s="0" t="s">
        <v>240</v>
      </c>
      <c r="N782" s="0" t="s">
        <v>240</v>
      </c>
      <c r="O782" s="0" t="s">
        <v>240</v>
      </c>
      <c r="P782" s="0" t="s">
        <v>240</v>
      </c>
      <c r="Q782" s="0" t="s">
        <v>240</v>
      </c>
      <c r="R782" s="0" t="s">
        <v>7381</v>
      </c>
      <c r="S782" s="0" t="s">
        <v>240</v>
      </c>
      <c r="T782" s="0" t="s">
        <v>240</v>
      </c>
      <c r="U782" s="0" t="s">
        <v>102</v>
      </c>
      <c r="V782" s="0" t="s">
        <v>240</v>
      </c>
      <c r="W782" s="0" t="s">
        <v>240</v>
      </c>
      <c r="X782" s="0" t="s">
        <v>5585</v>
      </c>
      <c r="Y782" s="0" t="s">
        <v>240</v>
      </c>
      <c r="Z782" s="0" t="s">
        <v>152</v>
      </c>
      <c r="AA782" s="0" t="s">
        <v>152</v>
      </c>
      <c r="AB782" s="0" t="s">
        <v>161</v>
      </c>
      <c r="AC782" s="0" t="s">
        <v>2991</v>
      </c>
      <c r="AD782" s="0" t="s">
        <v>2991</v>
      </c>
      <c r="AE782" s="0" t="s">
        <v>2992</v>
      </c>
      <c r="AF782" s="0" t="s">
        <v>6394</v>
      </c>
      <c r="AG782" s="0" t="s">
        <v>6395</v>
      </c>
      <c r="AH782" s="0" t="s">
        <v>5575</v>
      </c>
      <c r="AI782" s="0" t="s">
        <v>5575</v>
      </c>
      <c r="AJ782" s="0" t="s">
        <v>240</v>
      </c>
      <c r="AK782" s="0" t="s">
        <v>240</v>
      </c>
      <c r="AL782" s="0" t="s">
        <v>240</v>
      </c>
      <c r="AN782" s="0" t="s">
        <v>240</v>
      </c>
      <c r="AO782" s="0" t="s">
        <v>240</v>
      </c>
      <c r="AP782" s="0" t="s">
        <v>240</v>
      </c>
      <c r="AQ782" s="0" t="s">
        <v>240</v>
      </c>
      <c r="AR782" s="0" t="s">
        <v>240</v>
      </c>
      <c r="AS782" s="0" t="s">
        <v>240</v>
      </c>
      <c r="AT782" s="0" t="s">
        <v>240</v>
      </c>
      <c r="AU782" s="0" t="s">
        <v>240</v>
      </c>
      <c r="AV782" s="0" t="s">
        <v>240</v>
      </c>
      <c r="AW782" s="0" t="s">
        <v>240</v>
      </c>
      <c r="AX782" s="0" t="s">
        <v>240</v>
      </c>
      <c r="AY782" s="0" t="s">
        <v>240</v>
      </c>
      <c r="AZ782" s="0" t="s">
        <v>240</v>
      </c>
      <c r="BA782" s="0" t="s">
        <v>240</v>
      </c>
      <c r="BB782" s="0" t="s">
        <v>240</v>
      </c>
      <c r="BC782" s="0" t="s">
        <v>240</v>
      </c>
      <c r="BD782" s="0" t="s">
        <v>240</v>
      </c>
      <c r="BE782" s="0" t="s">
        <v>5544</v>
      </c>
      <c r="BF782" s="0" t="s">
        <v>5672</v>
      </c>
      <c r="BG782" s="0" t="s">
        <v>112</v>
      </c>
      <c r="BH782" s="0" t="s">
        <v>5589</v>
      </c>
      <c r="BI782" s="0" t="s">
        <v>123</v>
      </c>
      <c r="BJ782" s="0" t="s">
        <v>240</v>
      </c>
      <c r="BK782" s="0" t="s">
        <v>240</v>
      </c>
      <c r="BL782" s="0" t="s">
        <v>2991</v>
      </c>
      <c r="BM782" s="0" t="s">
        <v>2991</v>
      </c>
      <c r="BN782" s="0" t="s">
        <v>5663</v>
      </c>
      <c r="BO782" s="0" t="s">
        <v>6394</v>
      </c>
      <c r="BP782" s="0" t="s">
        <v>6859</v>
      </c>
      <c r="BQ782" s="0" t="s">
        <v>5575</v>
      </c>
      <c r="BR782" s="0" t="s">
        <v>5575</v>
      </c>
      <c r="BS782" s="0" t="s">
        <v>240</v>
      </c>
      <c r="BT782" s="0" t="s">
        <v>5650</v>
      </c>
      <c r="CS782" s="0" t="s">
        <v>7118</v>
      </c>
      <c r="CT782" s="0" t="s">
        <v>5496</v>
      </c>
      <c r="CU782" s="0" t="s">
        <v>5497</v>
      </c>
      <c r="CV782" s="0" t="s">
        <v>443</v>
      </c>
      <c r="CW782" s="0" t="s">
        <v>5547</v>
      </c>
      <c r="CX782" s="0" t="s">
        <v>229</v>
      </c>
      <c r="CY782" s="0" t="s">
        <v>443</v>
      </c>
      <c r="CZ782" s="0" t="s">
        <v>5548</v>
      </c>
      <c r="DA782" s="0" t="s">
        <v>5549</v>
      </c>
      <c r="DB782" s="0" t="s">
        <v>5547</v>
      </c>
      <c r="DC782" s="0" t="s">
        <v>384</v>
      </c>
      <c r="DD782" s="0" t="s">
        <v>300</v>
      </c>
      <c r="DE782" s="0" t="s">
        <v>6861</v>
      </c>
    </row>
    <row customHeight="1" ht="11.25">
      <c r="A783" s="1441" t="s">
        <v>240</v>
      </c>
      <c r="B783" s="0" t="s">
        <v>240</v>
      </c>
      <c r="C783" s="0" t="s">
        <v>240</v>
      </c>
      <c r="D783" s="0" t="s">
        <v>240</v>
      </c>
      <c r="E783" s="0" t="s">
        <v>240</v>
      </c>
      <c r="F783" s="0" t="s">
        <v>240</v>
      </c>
      <c r="G783" s="0" t="s">
        <v>240</v>
      </c>
      <c r="H783" s="0" t="s">
        <v>240</v>
      </c>
      <c r="I783" s="0" t="s">
        <v>7004</v>
      </c>
      <c r="J783" s="0" t="s">
        <v>240</v>
      </c>
      <c r="K783" s="0" t="s">
        <v>240</v>
      </c>
      <c r="L783" s="0" t="s">
        <v>240</v>
      </c>
      <c r="M783" s="0" t="s">
        <v>240</v>
      </c>
      <c r="N783" s="0" t="s">
        <v>240</v>
      </c>
      <c r="O783" s="0" t="s">
        <v>240</v>
      </c>
      <c r="P783" s="0" t="s">
        <v>240</v>
      </c>
      <c r="Q783" s="0" t="s">
        <v>240</v>
      </c>
      <c r="R783" s="0" t="s">
        <v>7379</v>
      </c>
      <c r="S783" s="0" t="s">
        <v>240</v>
      </c>
      <c r="T783" s="0" t="s">
        <v>240</v>
      </c>
      <c r="U783" s="0" t="s">
        <v>102</v>
      </c>
      <c r="V783" s="0" t="s">
        <v>240</v>
      </c>
      <c r="W783" s="0" t="s">
        <v>240</v>
      </c>
      <c r="X783" s="0" t="s">
        <v>546</v>
      </c>
      <c r="Y783" s="0" t="s">
        <v>240</v>
      </c>
      <c r="Z783" s="0" t="s">
        <v>161</v>
      </c>
      <c r="AA783" s="0" t="s">
        <v>152</v>
      </c>
      <c r="AB783" s="0" t="s">
        <v>152</v>
      </c>
      <c r="AC783" s="0" t="s">
        <v>3395</v>
      </c>
      <c r="AD783" s="0" t="s">
        <v>3395</v>
      </c>
      <c r="AE783" s="0" t="s">
        <v>3396</v>
      </c>
      <c r="AF783" s="0" t="s">
        <v>5941</v>
      </c>
      <c r="AG783" s="0" t="s">
        <v>5942</v>
      </c>
      <c r="AH783" s="0" t="s">
        <v>6677</v>
      </c>
      <c r="AI783" s="0" t="s">
        <v>457</v>
      </c>
      <c r="AJ783" s="0" t="s">
        <v>5578</v>
      </c>
      <c r="AK783" s="0" t="s">
        <v>5578</v>
      </c>
      <c r="AL783" s="0" t="s">
        <v>7009</v>
      </c>
      <c r="AN783" s="0" t="s">
        <v>5553</v>
      </c>
      <c r="AO783" s="0" t="s">
        <v>7380</v>
      </c>
      <c r="AP783" s="0" t="s">
        <v>240</v>
      </c>
      <c r="AQ783" s="0" t="s">
        <v>240</v>
      </c>
      <c r="AR783" s="0" t="s">
        <v>240</v>
      </c>
      <c r="AS783" s="0" t="s">
        <v>240</v>
      </c>
      <c r="AT783" s="0" t="s">
        <v>240</v>
      </c>
      <c r="AU783" s="0" t="s">
        <v>240</v>
      </c>
      <c r="AV783" s="0" t="s">
        <v>240</v>
      </c>
      <c r="AW783" s="0" t="s">
        <v>240</v>
      </c>
      <c r="AX783" s="0" t="s">
        <v>240</v>
      </c>
      <c r="AY783" s="0" t="s">
        <v>240</v>
      </c>
      <c r="AZ783" s="0" t="s">
        <v>240</v>
      </c>
      <c r="BA783" s="0" t="s">
        <v>240</v>
      </c>
      <c r="BB783" s="0" t="s">
        <v>240</v>
      </c>
      <c r="BC783" s="0" t="s">
        <v>240</v>
      </c>
      <c r="BD783" s="0" t="s">
        <v>240</v>
      </c>
      <c r="BE783" s="0" t="s">
        <v>240</v>
      </c>
      <c r="BF783" s="0" t="s">
        <v>240</v>
      </c>
      <c r="BG783" s="0" t="s">
        <v>240</v>
      </c>
      <c r="BH783" s="0" t="s">
        <v>240</v>
      </c>
      <c r="BI783" s="0" t="s">
        <v>240</v>
      </c>
      <c r="BJ783" s="0" t="s">
        <v>240</v>
      </c>
      <c r="BK783" s="0" t="s">
        <v>240</v>
      </c>
      <c r="BL783" s="0" t="s">
        <v>240</v>
      </c>
      <c r="BM783" s="0" t="s">
        <v>240</v>
      </c>
      <c r="BN783" s="0" t="s">
        <v>240</v>
      </c>
      <c r="BO783" s="0" t="s">
        <v>240</v>
      </c>
      <c r="BP783" s="0" t="s">
        <v>240</v>
      </c>
      <c r="BQ783" s="0" t="s">
        <v>240</v>
      </c>
      <c r="BR783" s="0" t="s">
        <v>240</v>
      </c>
      <c r="BS783" s="0" t="s">
        <v>240</v>
      </c>
      <c r="BT783" s="0" t="s">
        <v>240</v>
      </c>
      <c r="CS783" s="0" t="s">
        <v>240</v>
      </c>
      <c r="CT783" s="0" t="s">
        <v>5496</v>
      </c>
      <c r="CU783" s="0" t="s">
        <v>5497</v>
      </c>
      <c r="CV783" s="0" t="s">
        <v>5947</v>
      </c>
      <c r="CW783" s="0" t="s">
        <v>5948</v>
      </c>
      <c r="CX783" s="0" t="s">
        <v>5528</v>
      </c>
      <c r="CY783" s="0" t="s">
        <v>5947</v>
      </c>
      <c r="CZ783" s="0" t="s">
        <v>7022</v>
      </c>
      <c r="DA783" s="0" t="s">
        <v>5949</v>
      </c>
      <c r="DB783" s="0" t="s">
        <v>5948</v>
      </c>
      <c r="DC783" s="0" t="s">
        <v>384</v>
      </c>
      <c r="DD783" s="0" t="s">
        <v>300</v>
      </c>
      <c r="DE783" s="0" t="s">
        <v>6681</v>
      </c>
    </row>
    <row customHeight="1" ht="11.25">
      <c r="A784" s="1441" t="s">
        <v>240</v>
      </c>
      <c r="B784" s="0" t="s">
        <v>240</v>
      </c>
      <c r="C784" s="0" t="s">
        <v>240</v>
      </c>
      <c r="D784" s="0" t="s">
        <v>240</v>
      </c>
      <c r="E784" s="0" t="s">
        <v>240</v>
      </c>
      <c r="F784" s="0" t="s">
        <v>240</v>
      </c>
      <c r="G784" s="0" t="s">
        <v>240</v>
      </c>
      <c r="H784" s="0" t="s">
        <v>240</v>
      </c>
      <c r="I784" s="0" t="s">
        <v>7004</v>
      </c>
      <c r="J784" s="0" t="s">
        <v>240</v>
      </c>
      <c r="K784" s="0" t="s">
        <v>240</v>
      </c>
      <c r="L784" s="0" t="s">
        <v>240</v>
      </c>
      <c r="M784" s="0" t="s">
        <v>240</v>
      </c>
      <c r="N784" s="0" t="s">
        <v>240</v>
      </c>
      <c r="O784" s="0" t="s">
        <v>240</v>
      </c>
      <c r="P784" s="0" t="s">
        <v>240</v>
      </c>
      <c r="Q784" s="0" t="s">
        <v>240</v>
      </c>
      <c r="R784" s="0" t="s">
        <v>7376</v>
      </c>
      <c r="S784" s="0" t="s">
        <v>240</v>
      </c>
      <c r="T784" s="0" t="s">
        <v>240</v>
      </c>
      <c r="U784" s="0" t="s">
        <v>102</v>
      </c>
      <c r="V784" s="0" t="s">
        <v>240</v>
      </c>
      <c r="W784" s="0" t="s">
        <v>240</v>
      </c>
      <c r="X784" s="0" t="s">
        <v>546</v>
      </c>
      <c r="Y784" s="0" t="s">
        <v>240</v>
      </c>
      <c r="Z784" s="0" t="s">
        <v>161</v>
      </c>
      <c r="AA784" s="0" t="s">
        <v>152</v>
      </c>
      <c r="AB784" s="0" t="s">
        <v>152</v>
      </c>
      <c r="AC784" s="0" t="s">
        <v>3395</v>
      </c>
      <c r="AD784" s="0" t="s">
        <v>3395</v>
      </c>
      <c r="AE784" s="0" t="s">
        <v>3396</v>
      </c>
      <c r="AF784" s="0" t="s">
        <v>5941</v>
      </c>
      <c r="AG784" s="0" t="s">
        <v>5942</v>
      </c>
      <c r="AH784" s="0" t="s">
        <v>6223</v>
      </c>
      <c r="AI784" s="0" t="s">
        <v>6562</v>
      </c>
      <c r="AJ784" s="0" t="s">
        <v>5822</v>
      </c>
      <c r="AK784" s="0" t="s">
        <v>5822</v>
      </c>
      <c r="AL784" s="0" t="s">
        <v>7009</v>
      </c>
      <c r="AN784" s="0" t="s">
        <v>5553</v>
      </c>
      <c r="AO784" s="0" t="s">
        <v>7377</v>
      </c>
      <c r="AP784" s="0" t="s">
        <v>240</v>
      </c>
      <c r="AQ784" s="0" t="s">
        <v>240</v>
      </c>
      <c r="AR784" s="0" t="s">
        <v>240</v>
      </c>
      <c r="AS784" s="0" t="s">
        <v>240</v>
      </c>
      <c r="AT784" s="0" t="s">
        <v>240</v>
      </c>
      <c r="AU784" s="0" t="s">
        <v>240</v>
      </c>
      <c r="AV784" s="0" t="s">
        <v>240</v>
      </c>
      <c r="AW784" s="0" t="s">
        <v>240</v>
      </c>
      <c r="AX784" s="0" t="s">
        <v>240</v>
      </c>
      <c r="AY784" s="0" t="s">
        <v>240</v>
      </c>
      <c r="AZ784" s="0" t="s">
        <v>240</v>
      </c>
      <c r="BA784" s="0" t="s">
        <v>240</v>
      </c>
      <c r="BB784" s="0" t="s">
        <v>240</v>
      </c>
      <c r="BC784" s="0" t="s">
        <v>240</v>
      </c>
      <c r="BD784" s="0" t="s">
        <v>240</v>
      </c>
      <c r="BE784" s="0" t="s">
        <v>240</v>
      </c>
      <c r="BF784" s="0" t="s">
        <v>240</v>
      </c>
      <c r="BG784" s="0" t="s">
        <v>240</v>
      </c>
      <c r="BH784" s="0" t="s">
        <v>240</v>
      </c>
      <c r="BI784" s="0" t="s">
        <v>240</v>
      </c>
      <c r="BJ784" s="0" t="s">
        <v>240</v>
      </c>
      <c r="BK784" s="0" t="s">
        <v>240</v>
      </c>
      <c r="BL784" s="0" t="s">
        <v>240</v>
      </c>
      <c r="BM784" s="0" t="s">
        <v>240</v>
      </c>
      <c r="BN784" s="0" t="s">
        <v>240</v>
      </c>
      <c r="BO784" s="0" t="s">
        <v>240</v>
      </c>
      <c r="BP784" s="0" t="s">
        <v>240</v>
      </c>
      <c r="BQ784" s="0" t="s">
        <v>240</v>
      </c>
      <c r="BR784" s="0" t="s">
        <v>240</v>
      </c>
      <c r="BS784" s="0" t="s">
        <v>240</v>
      </c>
      <c r="BT784" s="0" t="s">
        <v>240</v>
      </c>
      <c r="CS784" s="0" t="s">
        <v>240</v>
      </c>
      <c r="CT784" s="0" t="s">
        <v>5496</v>
      </c>
      <c r="CU784" s="0" t="s">
        <v>5497</v>
      </c>
      <c r="CV784" s="0" t="s">
        <v>5947</v>
      </c>
      <c r="CW784" s="0" t="s">
        <v>5948</v>
      </c>
      <c r="CX784" s="0" t="s">
        <v>5528</v>
      </c>
      <c r="CY784" s="0" t="s">
        <v>5947</v>
      </c>
      <c r="CZ784" s="0" t="s">
        <v>7022</v>
      </c>
      <c r="DA784" s="0" t="s">
        <v>5949</v>
      </c>
      <c r="DB784" s="0" t="s">
        <v>5948</v>
      </c>
      <c r="DC784" s="0" t="s">
        <v>384</v>
      </c>
      <c r="DD784" s="0" t="s">
        <v>300</v>
      </c>
      <c r="DE784" s="0" t="s">
        <v>7378</v>
      </c>
    </row>
    <row customHeight="1" ht="11.25">
      <c r="A785" s="1441" t="s">
        <v>240</v>
      </c>
      <c r="B785" s="0" t="s">
        <v>240</v>
      </c>
      <c r="C785" s="0" t="s">
        <v>240</v>
      </c>
      <c r="D785" s="0" t="s">
        <v>240</v>
      </c>
      <c r="E785" s="0" t="s">
        <v>240</v>
      </c>
      <c r="F785" s="0" t="s">
        <v>240</v>
      </c>
      <c r="G785" s="0" t="s">
        <v>240</v>
      </c>
      <c r="H785" s="0" t="s">
        <v>240</v>
      </c>
      <c r="I785" s="0" t="s">
        <v>7004</v>
      </c>
      <c r="J785" s="0" t="s">
        <v>240</v>
      </c>
      <c r="K785" s="0" t="s">
        <v>240</v>
      </c>
      <c r="L785" s="0" t="s">
        <v>240</v>
      </c>
      <c r="M785" s="0" t="s">
        <v>240</v>
      </c>
      <c r="N785" s="0" t="s">
        <v>240</v>
      </c>
      <c r="O785" s="0" t="s">
        <v>240</v>
      </c>
      <c r="P785" s="0" t="s">
        <v>240</v>
      </c>
      <c r="Q785" s="0" t="s">
        <v>240</v>
      </c>
      <c r="R785" s="0" t="s">
        <v>7036</v>
      </c>
      <c r="S785" s="0" t="s">
        <v>240</v>
      </c>
      <c r="T785" s="0" t="s">
        <v>240</v>
      </c>
      <c r="U785" s="0" t="s">
        <v>102</v>
      </c>
      <c r="V785" s="0" t="s">
        <v>240</v>
      </c>
      <c r="W785" s="0" t="s">
        <v>240</v>
      </c>
      <c r="X785" s="0" t="s">
        <v>546</v>
      </c>
      <c r="Y785" s="0" t="s">
        <v>240</v>
      </c>
      <c r="Z785" s="0" t="s">
        <v>161</v>
      </c>
      <c r="AA785" s="0" t="s">
        <v>152</v>
      </c>
      <c r="AB785" s="0" t="s">
        <v>152</v>
      </c>
      <c r="AC785" s="0" t="s">
        <v>3395</v>
      </c>
      <c r="AD785" s="0" t="s">
        <v>3395</v>
      </c>
      <c r="AE785" s="0" t="s">
        <v>3396</v>
      </c>
      <c r="AF785" s="0" t="s">
        <v>5941</v>
      </c>
      <c r="AG785" s="0" t="s">
        <v>5942</v>
      </c>
      <c r="AH785" s="0" t="s">
        <v>5617</v>
      </c>
      <c r="AI785" s="0" t="s">
        <v>5533</v>
      </c>
      <c r="AJ785" s="0" t="s">
        <v>5822</v>
      </c>
      <c r="AK785" s="0" t="s">
        <v>5545</v>
      </c>
      <c r="AL785" s="0" t="s">
        <v>7009</v>
      </c>
      <c r="AN785" s="0" t="s">
        <v>5553</v>
      </c>
      <c r="AO785" s="0" t="s">
        <v>7037</v>
      </c>
      <c r="AP785" s="0" t="s">
        <v>240</v>
      </c>
      <c r="AQ785" s="0" t="s">
        <v>240</v>
      </c>
      <c r="AR785" s="0" t="s">
        <v>240</v>
      </c>
      <c r="AS785" s="0" t="s">
        <v>240</v>
      </c>
      <c r="AT785" s="0" t="s">
        <v>240</v>
      </c>
      <c r="AU785" s="0" t="s">
        <v>240</v>
      </c>
      <c r="AV785" s="0" t="s">
        <v>240</v>
      </c>
      <c r="AW785" s="0" t="s">
        <v>240</v>
      </c>
      <c r="AX785" s="0" t="s">
        <v>240</v>
      </c>
      <c r="AY785" s="0" t="s">
        <v>240</v>
      </c>
      <c r="AZ785" s="0" t="s">
        <v>240</v>
      </c>
      <c r="BA785" s="0" t="s">
        <v>240</v>
      </c>
      <c r="BB785" s="0" t="s">
        <v>240</v>
      </c>
      <c r="BC785" s="0" t="s">
        <v>240</v>
      </c>
      <c r="BD785" s="0" t="s">
        <v>240</v>
      </c>
      <c r="BE785" s="0" t="s">
        <v>240</v>
      </c>
      <c r="BF785" s="0" t="s">
        <v>240</v>
      </c>
      <c r="BG785" s="0" t="s">
        <v>240</v>
      </c>
      <c r="BH785" s="0" t="s">
        <v>240</v>
      </c>
      <c r="BI785" s="0" t="s">
        <v>240</v>
      </c>
      <c r="BJ785" s="0" t="s">
        <v>240</v>
      </c>
      <c r="BK785" s="0" t="s">
        <v>240</v>
      </c>
      <c r="BL785" s="0" t="s">
        <v>240</v>
      </c>
      <c r="BM785" s="0" t="s">
        <v>240</v>
      </c>
      <c r="BN785" s="0" t="s">
        <v>240</v>
      </c>
      <c r="BO785" s="0" t="s">
        <v>240</v>
      </c>
      <c r="BP785" s="0" t="s">
        <v>240</v>
      </c>
      <c r="BQ785" s="0" t="s">
        <v>240</v>
      </c>
      <c r="BR785" s="0" t="s">
        <v>240</v>
      </c>
      <c r="BS785" s="0" t="s">
        <v>240</v>
      </c>
      <c r="BT785" s="0" t="s">
        <v>240</v>
      </c>
      <c r="CS785" s="0" t="s">
        <v>240</v>
      </c>
      <c r="CT785" s="0" t="s">
        <v>5496</v>
      </c>
      <c r="CU785" s="0" t="s">
        <v>5497</v>
      </c>
      <c r="CV785" s="0" t="s">
        <v>5947</v>
      </c>
      <c r="CW785" s="0" t="s">
        <v>5948</v>
      </c>
      <c r="CX785" s="0" t="s">
        <v>5528</v>
      </c>
      <c r="CY785" s="0" t="s">
        <v>5947</v>
      </c>
      <c r="CZ785" s="0" t="s">
        <v>7022</v>
      </c>
      <c r="DA785" s="0" t="s">
        <v>5949</v>
      </c>
      <c r="DB785" s="0" t="s">
        <v>5948</v>
      </c>
      <c r="DC785" s="0" t="s">
        <v>384</v>
      </c>
      <c r="DD785" s="0" t="s">
        <v>300</v>
      </c>
      <c r="DE785" s="0" t="s">
        <v>7038</v>
      </c>
    </row>
    <row customHeight="1" ht="11.25">
      <c r="A786" s="1441" t="s">
        <v>240</v>
      </c>
      <c r="B786" s="0" t="s">
        <v>240</v>
      </c>
      <c r="C786" s="0" t="s">
        <v>240</v>
      </c>
      <c r="D786" s="0" t="s">
        <v>240</v>
      </c>
      <c r="E786" s="0" t="s">
        <v>240</v>
      </c>
      <c r="F786" s="0" t="s">
        <v>240</v>
      </c>
      <c r="G786" s="0" t="s">
        <v>240</v>
      </c>
      <c r="H786" s="0" t="s">
        <v>240</v>
      </c>
      <c r="I786" s="0" t="s">
        <v>7004</v>
      </c>
      <c r="J786" s="0" t="s">
        <v>240</v>
      </c>
      <c r="K786" s="0" t="s">
        <v>240</v>
      </c>
      <c r="L786" s="0" t="s">
        <v>240</v>
      </c>
      <c r="M786" s="0" t="s">
        <v>240</v>
      </c>
      <c r="N786" s="0" t="s">
        <v>240</v>
      </c>
      <c r="O786" s="0" t="s">
        <v>240</v>
      </c>
      <c r="P786" s="0" t="s">
        <v>240</v>
      </c>
      <c r="Q786" s="0" t="s">
        <v>240</v>
      </c>
      <c r="R786" s="0" t="s">
        <v>7392</v>
      </c>
      <c r="S786" s="0" t="s">
        <v>240</v>
      </c>
      <c r="T786" s="0" t="s">
        <v>240</v>
      </c>
      <c r="U786" s="0" t="s">
        <v>102</v>
      </c>
      <c r="V786" s="0" t="s">
        <v>240</v>
      </c>
      <c r="W786" s="0" t="s">
        <v>240</v>
      </c>
      <c r="X786" s="0" t="s">
        <v>546</v>
      </c>
      <c r="Y786" s="0" t="s">
        <v>240</v>
      </c>
      <c r="Z786" s="0" t="s">
        <v>161</v>
      </c>
      <c r="AA786" s="0" t="s">
        <v>152</v>
      </c>
      <c r="AB786" s="0" t="s">
        <v>152</v>
      </c>
      <c r="AC786" s="0" t="s">
        <v>3389</v>
      </c>
      <c r="AD786" s="0" t="s">
        <v>3389</v>
      </c>
      <c r="AE786" s="0" t="s">
        <v>3390</v>
      </c>
      <c r="AF786" s="0" t="s">
        <v>5519</v>
      </c>
      <c r="AG786" s="0" t="s">
        <v>5520</v>
      </c>
      <c r="AH786" s="0" t="s">
        <v>7184</v>
      </c>
      <c r="AI786" s="0" t="s">
        <v>7393</v>
      </c>
      <c r="AJ786" s="0" t="s">
        <v>6255</v>
      </c>
      <c r="AK786" s="0" t="s">
        <v>7394</v>
      </c>
      <c r="AL786" s="0" t="s">
        <v>7009</v>
      </c>
      <c r="AN786" s="0" t="s">
        <v>5494</v>
      </c>
      <c r="AO786" s="0" t="s">
        <v>7187</v>
      </c>
      <c r="AP786" s="0" t="s">
        <v>240</v>
      </c>
      <c r="AQ786" s="0" t="s">
        <v>240</v>
      </c>
      <c r="AR786" s="0" t="s">
        <v>240</v>
      </c>
      <c r="AS786" s="0" t="s">
        <v>240</v>
      </c>
      <c r="AT786" s="0" t="s">
        <v>240</v>
      </c>
      <c r="AU786" s="0" t="s">
        <v>240</v>
      </c>
      <c r="AV786" s="0" t="s">
        <v>240</v>
      </c>
      <c r="AW786" s="0" t="s">
        <v>240</v>
      </c>
      <c r="AX786" s="0" t="s">
        <v>240</v>
      </c>
      <c r="AY786" s="0" t="s">
        <v>240</v>
      </c>
      <c r="AZ786" s="0" t="s">
        <v>240</v>
      </c>
      <c r="BA786" s="0" t="s">
        <v>240</v>
      </c>
      <c r="BB786" s="0" t="s">
        <v>240</v>
      </c>
      <c r="BC786" s="0" t="s">
        <v>240</v>
      </c>
      <c r="BD786" s="0" t="s">
        <v>240</v>
      </c>
      <c r="BE786" s="0" t="s">
        <v>240</v>
      </c>
      <c r="BF786" s="0" t="s">
        <v>240</v>
      </c>
      <c r="BG786" s="0" t="s">
        <v>240</v>
      </c>
      <c r="BH786" s="0" t="s">
        <v>240</v>
      </c>
      <c r="BI786" s="0" t="s">
        <v>240</v>
      </c>
      <c r="BJ786" s="0" t="s">
        <v>240</v>
      </c>
      <c r="BK786" s="0" t="s">
        <v>240</v>
      </c>
      <c r="BL786" s="0" t="s">
        <v>240</v>
      </c>
      <c r="BM786" s="0" t="s">
        <v>240</v>
      </c>
      <c r="BN786" s="0" t="s">
        <v>240</v>
      </c>
      <c r="BO786" s="0" t="s">
        <v>240</v>
      </c>
      <c r="BP786" s="0" t="s">
        <v>240</v>
      </c>
      <c r="BQ786" s="0" t="s">
        <v>240</v>
      </c>
      <c r="BR786" s="0" t="s">
        <v>240</v>
      </c>
      <c r="BS786" s="0" t="s">
        <v>240</v>
      </c>
      <c r="BT786" s="0" t="s">
        <v>240</v>
      </c>
      <c r="CS786" s="0" t="s">
        <v>240</v>
      </c>
      <c r="CT786" s="0" t="s">
        <v>5496</v>
      </c>
      <c r="CU786" s="0" t="s">
        <v>7012</v>
      </c>
      <c r="CV786" s="0" t="s">
        <v>6554</v>
      </c>
      <c r="CW786" s="0" t="s">
        <v>7395</v>
      </c>
      <c r="CX786" s="0" t="s">
        <v>5528</v>
      </c>
      <c r="CY786" s="0" t="s">
        <v>7189</v>
      </c>
      <c r="CZ786" s="0" t="s">
        <v>7396</v>
      </c>
      <c r="DA786" s="0" t="s">
        <v>7187</v>
      </c>
      <c r="DB786" s="0" t="s">
        <v>7395</v>
      </c>
      <c r="DC786" s="0" t="s">
        <v>384</v>
      </c>
      <c r="DD786" s="0" t="s">
        <v>300</v>
      </c>
      <c r="DE786" s="0" t="s">
        <v>7397</v>
      </c>
    </row>
    <row customHeight="1" ht="11.25">
      <c r="A787" s="1441" t="s">
        <v>240</v>
      </c>
      <c r="B787" s="0" t="s">
        <v>240</v>
      </c>
      <c r="C787" s="0" t="s">
        <v>240</v>
      </c>
      <c r="D787" s="0" t="s">
        <v>240</v>
      </c>
      <c r="E787" s="0" t="s">
        <v>240</v>
      </c>
      <c r="F787" s="0" t="s">
        <v>240</v>
      </c>
      <c r="G787" s="0" t="s">
        <v>240</v>
      </c>
      <c r="H787" s="0" t="s">
        <v>240</v>
      </c>
      <c r="I787" s="0" t="s">
        <v>7004</v>
      </c>
      <c r="J787" s="0" t="s">
        <v>240</v>
      </c>
      <c r="K787" s="0" t="s">
        <v>240</v>
      </c>
      <c r="L787" s="0" t="s">
        <v>240</v>
      </c>
      <c r="M787" s="0" t="s">
        <v>240</v>
      </c>
      <c r="N787" s="0" t="s">
        <v>240</v>
      </c>
      <c r="O787" s="0" t="s">
        <v>240</v>
      </c>
      <c r="P787" s="0" t="s">
        <v>240</v>
      </c>
      <c r="Q787" s="0" t="s">
        <v>240</v>
      </c>
      <c r="R787" s="0" t="s">
        <v>7183</v>
      </c>
      <c r="S787" s="0" t="s">
        <v>240</v>
      </c>
      <c r="T787" s="0" t="s">
        <v>240</v>
      </c>
      <c r="U787" s="0" t="s">
        <v>102</v>
      </c>
      <c r="V787" s="0" t="s">
        <v>240</v>
      </c>
      <c r="W787" s="0" t="s">
        <v>240</v>
      </c>
      <c r="X787" s="0" t="s">
        <v>546</v>
      </c>
      <c r="Y787" s="0" t="s">
        <v>240</v>
      </c>
      <c r="Z787" s="0" t="s">
        <v>161</v>
      </c>
      <c r="AA787" s="0" t="s">
        <v>152</v>
      </c>
      <c r="AB787" s="0" t="s">
        <v>152</v>
      </c>
      <c r="AC787" s="0" t="s">
        <v>3389</v>
      </c>
      <c r="AD787" s="0" t="s">
        <v>3389</v>
      </c>
      <c r="AE787" s="0" t="s">
        <v>3390</v>
      </c>
      <c r="AF787" s="0" t="s">
        <v>5519</v>
      </c>
      <c r="AG787" s="0" t="s">
        <v>5520</v>
      </c>
      <c r="AH787" s="0" t="s">
        <v>7184</v>
      </c>
      <c r="AI787" s="0" t="s">
        <v>7185</v>
      </c>
      <c r="AJ787" s="0" t="s">
        <v>5821</v>
      </c>
      <c r="AK787" s="0" t="s">
        <v>7186</v>
      </c>
      <c r="AL787" s="0" t="s">
        <v>7009</v>
      </c>
      <c r="AN787" s="0" t="s">
        <v>5494</v>
      </c>
      <c r="AO787" s="0" t="s">
        <v>7187</v>
      </c>
      <c r="AP787" s="0" t="s">
        <v>240</v>
      </c>
      <c r="AQ787" s="0" t="s">
        <v>240</v>
      </c>
      <c r="AR787" s="0" t="s">
        <v>240</v>
      </c>
      <c r="AS787" s="0" t="s">
        <v>240</v>
      </c>
      <c r="AT787" s="0" t="s">
        <v>240</v>
      </c>
      <c r="AU787" s="0" t="s">
        <v>240</v>
      </c>
      <c r="AV787" s="0" t="s">
        <v>240</v>
      </c>
      <c r="AW787" s="0" t="s">
        <v>240</v>
      </c>
      <c r="AX787" s="0" t="s">
        <v>240</v>
      </c>
      <c r="AY787" s="0" t="s">
        <v>240</v>
      </c>
      <c r="AZ787" s="0" t="s">
        <v>240</v>
      </c>
      <c r="BA787" s="0" t="s">
        <v>240</v>
      </c>
      <c r="BB787" s="0" t="s">
        <v>240</v>
      </c>
      <c r="BC787" s="0" t="s">
        <v>240</v>
      </c>
      <c r="BD787" s="0" t="s">
        <v>240</v>
      </c>
      <c r="BE787" s="0" t="s">
        <v>240</v>
      </c>
      <c r="BF787" s="0" t="s">
        <v>240</v>
      </c>
      <c r="BG787" s="0" t="s">
        <v>240</v>
      </c>
      <c r="BH787" s="0" t="s">
        <v>240</v>
      </c>
      <c r="BI787" s="0" t="s">
        <v>240</v>
      </c>
      <c r="BJ787" s="0" t="s">
        <v>240</v>
      </c>
      <c r="BK787" s="0" t="s">
        <v>240</v>
      </c>
      <c r="BL787" s="0" t="s">
        <v>240</v>
      </c>
      <c r="BM787" s="0" t="s">
        <v>240</v>
      </c>
      <c r="BN787" s="0" t="s">
        <v>240</v>
      </c>
      <c r="BO787" s="0" t="s">
        <v>240</v>
      </c>
      <c r="BP787" s="0" t="s">
        <v>240</v>
      </c>
      <c r="BQ787" s="0" t="s">
        <v>240</v>
      </c>
      <c r="BR787" s="0" t="s">
        <v>240</v>
      </c>
      <c r="BS787" s="0" t="s">
        <v>240</v>
      </c>
      <c r="BT787" s="0" t="s">
        <v>240</v>
      </c>
      <c r="CS787" s="0" t="s">
        <v>240</v>
      </c>
      <c r="CT787" s="0" t="s">
        <v>5496</v>
      </c>
      <c r="CU787" s="0" t="s">
        <v>7012</v>
      </c>
      <c r="CV787" s="0" t="s">
        <v>6554</v>
      </c>
      <c r="CW787" s="0" t="s">
        <v>7188</v>
      </c>
      <c r="CX787" s="0" t="s">
        <v>5528</v>
      </c>
      <c r="CY787" s="0" t="s">
        <v>7189</v>
      </c>
      <c r="CZ787" s="0" t="s">
        <v>7190</v>
      </c>
      <c r="DA787" s="0" t="s">
        <v>7187</v>
      </c>
      <c r="DB787" s="0" t="s">
        <v>7188</v>
      </c>
      <c r="DC787" s="0" t="s">
        <v>384</v>
      </c>
      <c r="DD787" s="0" t="s">
        <v>300</v>
      </c>
      <c r="DE787" s="0" t="s">
        <v>7191</v>
      </c>
    </row>
    <row customHeight="1" ht="11.25">
      <c r="A788" s="1441" t="s">
        <v>240</v>
      </c>
      <c r="B788" s="0" t="s">
        <v>240</v>
      </c>
      <c r="C788" s="0" t="s">
        <v>240</v>
      </c>
      <c r="D788" s="0" t="s">
        <v>240</v>
      </c>
      <c r="E788" s="0" t="s">
        <v>240</v>
      </c>
      <c r="F788" s="0" t="s">
        <v>240</v>
      </c>
      <c r="G788" s="0" t="s">
        <v>240</v>
      </c>
      <c r="H788" s="0" t="s">
        <v>240</v>
      </c>
      <c r="I788" s="0" t="s">
        <v>7004</v>
      </c>
      <c r="J788" s="0" t="s">
        <v>240</v>
      </c>
      <c r="K788" s="0" t="s">
        <v>240</v>
      </c>
      <c r="L788" s="0" t="s">
        <v>240</v>
      </c>
      <c r="M788" s="0" t="s">
        <v>240</v>
      </c>
      <c r="N788" s="0" t="s">
        <v>240</v>
      </c>
      <c r="O788" s="0" t="s">
        <v>240</v>
      </c>
      <c r="P788" s="0" t="s">
        <v>240</v>
      </c>
      <c r="Q788" s="0" t="s">
        <v>240</v>
      </c>
      <c r="R788" s="0" t="s">
        <v>7331</v>
      </c>
      <c r="S788" s="0" t="s">
        <v>240</v>
      </c>
      <c r="T788" s="0" t="s">
        <v>240</v>
      </c>
      <c r="U788" s="0" t="s">
        <v>102</v>
      </c>
      <c r="V788" s="0" t="s">
        <v>240</v>
      </c>
      <c r="W788" s="0" t="s">
        <v>240</v>
      </c>
      <c r="X788" s="0" t="s">
        <v>546</v>
      </c>
      <c r="Y788" s="0" t="s">
        <v>240</v>
      </c>
      <c r="Z788" s="0" t="s">
        <v>161</v>
      </c>
      <c r="AA788" s="0" t="s">
        <v>152</v>
      </c>
      <c r="AB788" s="0" t="s">
        <v>152</v>
      </c>
      <c r="AC788" s="0" t="s">
        <v>3389</v>
      </c>
      <c r="AD788" s="0" t="s">
        <v>3389</v>
      </c>
      <c r="AE788" s="0" t="s">
        <v>3390</v>
      </c>
      <c r="AF788" s="0" t="s">
        <v>5519</v>
      </c>
      <c r="AG788" s="0" t="s">
        <v>5520</v>
      </c>
      <c r="AH788" s="0" t="s">
        <v>7332</v>
      </c>
      <c r="AI788" s="0" t="s">
        <v>7333</v>
      </c>
      <c r="AJ788" s="0" t="s">
        <v>5781</v>
      </c>
      <c r="AK788" s="0" t="s">
        <v>7334</v>
      </c>
      <c r="AL788" s="0" t="s">
        <v>7009</v>
      </c>
      <c r="AN788" s="0" t="s">
        <v>7335</v>
      </c>
      <c r="AO788" s="0" t="s">
        <v>7295</v>
      </c>
      <c r="AP788" s="0" t="s">
        <v>240</v>
      </c>
      <c r="AQ788" s="0" t="s">
        <v>240</v>
      </c>
      <c r="AR788" s="0" t="s">
        <v>240</v>
      </c>
      <c r="AS788" s="0" t="s">
        <v>240</v>
      </c>
      <c r="AT788" s="0" t="s">
        <v>240</v>
      </c>
      <c r="AU788" s="0" t="s">
        <v>240</v>
      </c>
      <c r="AV788" s="0" t="s">
        <v>240</v>
      </c>
      <c r="AW788" s="0" t="s">
        <v>240</v>
      </c>
      <c r="AX788" s="0" t="s">
        <v>240</v>
      </c>
      <c r="AY788" s="0" t="s">
        <v>240</v>
      </c>
      <c r="AZ788" s="0" t="s">
        <v>240</v>
      </c>
      <c r="BA788" s="0" t="s">
        <v>240</v>
      </c>
      <c r="BB788" s="0" t="s">
        <v>240</v>
      </c>
      <c r="BC788" s="0" t="s">
        <v>240</v>
      </c>
      <c r="BD788" s="0" t="s">
        <v>240</v>
      </c>
      <c r="BE788" s="0" t="s">
        <v>240</v>
      </c>
      <c r="BF788" s="0" t="s">
        <v>240</v>
      </c>
      <c r="BG788" s="0" t="s">
        <v>240</v>
      </c>
      <c r="BH788" s="0" t="s">
        <v>240</v>
      </c>
      <c r="BI788" s="0" t="s">
        <v>240</v>
      </c>
      <c r="BJ788" s="0" t="s">
        <v>240</v>
      </c>
      <c r="BK788" s="0" t="s">
        <v>240</v>
      </c>
      <c r="BL788" s="0" t="s">
        <v>240</v>
      </c>
      <c r="BM788" s="0" t="s">
        <v>240</v>
      </c>
      <c r="BN788" s="0" t="s">
        <v>240</v>
      </c>
      <c r="BO788" s="0" t="s">
        <v>240</v>
      </c>
      <c r="BP788" s="0" t="s">
        <v>240</v>
      </c>
      <c r="BQ788" s="0" t="s">
        <v>240</v>
      </c>
      <c r="BR788" s="0" t="s">
        <v>240</v>
      </c>
      <c r="BS788" s="0" t="s">
        <v>240</v>
      </c>
      <c r="BT788" s="0" t="s">
        <v>240</v>
      </c>
      <c r="CS788" s="0" t="s">
        <v>240</v>
      </c>
      <c r="CT788" s="0" t="s">
        <v>5496</v>
      </c>
      <c r="CU788" s="0" t="s">
        <v>5497</v>
      </c>
      <c r="CV788" s="0" t="s">
        <v>443</v>
      </c>
      <c r="CW788" s="0" t="s">
        <v>5527</v>
      </c>
      <c r="CX788" s="0" t="s">
        <v>5528</v>
      </c>
      <c r="CY788" s="0" t="s">
        <v>443</v>
      </c>
      <c r="CZ788" s="0" t="s">
        <v>299</v>
      </c>
      <c r="DA788" s="0" t="s">
        <v>5529</v>
      </c>
      <c r="DB788" s="0" t="s">
        <v>5527</v>
      </c>
      <c r="DC788" s="0" t="s">
        <v>384</v>
      </c>
      <c r="DD788" s="0" t="s">
        <v>300</v>
      </c>
      <c r="DE788" s="0" t="s">
        <v>7336</v>
      </c>
    </row>
    <row customHeight="1" ht="11.25">
      <c r="A789" s="1441" t="s">
        <v>240</v>
      </c>
      <c r="B789" s="0" t="s">
        <v>240</v>
      </c>
      <c r="C789" s="0" t="s">
        <v>240</v>
      </c>
      <c r="D789" s="0" t="s">
        <v>240</v>
      </c>
      <c r="E789" s="0" t="s">
        <v>240</v>
      </c>
      <c r="F789" s="0" t="s">
        <v>240</v>
      </c>
      <c r="G789" s="0" t="s">
        <v>240</v>
      </c>
      <c r="H789" s="0" t="s">
        <v>240</v>
      </c>
      <c r="I789" s="0" t="s">
        <v>7004</v>
      </c>
      <c r="J789" s="0" t="s">
        <v>240</v>
      </c>
      <c r="K789" s="0" t="s">
        <v>240</v>
      </c>
      <c r="L789" s="0" t="s">
        <v>240</v>
      </c>
      <c r="M789" s="0" t="s">
        <v>240</v>
      </c>
      <c r="N789" s="0" t="s">
        <v>240</v>
      </c>
      <c r="O789" s="0" t="s">
        <v>240</v>
      </c>
      <c r="P789" s="0" t="s">
        <v>240</v>
      </c>
      <c r="Q789" s="0" t="s">
        <v>240</v>
      </c>
      <c r="R789" s="0" t="s">
        <v>7192</v>
      </c>
      <c r="S789" s="0" t="s">
        <v>240</v>
      </c>
      <c r="T789" s="0" t="s">
        <v>240</v>
      </c>
      <c r="U789" s="0" t="s">
        <v>102</v>
      </c>
      <c r="V789" s="0" t="s">
        <v>240</v>
      </c>
      <c r="W789" s="0" t="s">
        <v>240</v>
      </c>
      <c r="X789" s="0" t="s">
        <v>546</v>
      </c>
      <c r="Y789" s="0" t="s">
        <v>240</v>
      </c>
      <c r="Z789" s="0" t="s">
        <v>161</v>
      </c>
      <c r="AA789" s="0" t="s">
        <v>152</v>
      </c>
      <c r="AB789" s="0" t="s">
        <v>152</v>
      </c>
      <c r="AC789" s="0" t="s">
        <v>2991</v>
      </c>
      <c r="AD789" s="0" t="s">
        <v>2991</v>
      </c>
      <c r="AE789" s="0" t="s">
        <v>2992</v>
      </c>
      <c r="AF789" s="0" t="s">
        <v>5749</v>
      </c>
      <c r="AG789" s="0" t="s">
        <v>5750</v>
      </c>
      <c r="AH789" s="0" t="s">
        <v>7193</v>
      </c>
      <c r="AI789" s="0" t="s">
        <v>7194</v>
      </c>
      <c r="AJ789" s="0" t="s">
        <v>6917</v>
      </c>
      <c r="AK789" s="0" t="s">
        <v>7195</v>
      </c>
      <c r="AL789" s="0" t="s">
        <v>7009</v>
      </c>
      <c r="AN789" s="0" t="s">
        <v>5507</v>
      </c>
      <c r="AO789" s="0" t="s">
        <v>5625</v>
      </c>
      <c r="AP789" s="0" t="s">
        <v>240</v>
      </c>
      <c r="AQ789" s="0" t="s">
        <v>240</v>
      </c>
      <c r="AR789" s="0" t="s">
        <v>240</v>
      </c>
      <c r="AS789" s="0" t="s">
        <v>240</v>
      </c>
      <c r="AT789" s="0" t="s">
        <v>240</v>
      </c>
      <c r="AU789" s="0" t="s">
        <v>240</v>
      </c>
      <c r="AV789" s="0" t="s">
        <v>240</v>
      </c>
      <c r="AW789" s="0" t="s">
        <v>240</v>
      </c>
      <c r="AX789" s="0" t="s">
        <v>240</v>
      </c>
      <c r="AY789" s="0" t="s">
        <v>240</v>
      </c>
      <c r="AZ789" s="0" t="s">
        <v>240</v>
      </c>
      <c r="BA789" s="0" t="s">
        <v>240</v>
      </c>
      <c r="BB789" s="0" t="s">
        <v>240</v>
      </c>
      <c r="BC789" s="0" t="s">
        <v>240</v>
      </c>
      <c r="BD789" s="0" t="s">
        <v>240</v>
      </c>
      <c r="BE789" s="0" t="s">
        <v>240</v>
      </c>
      <c r="BF789" s="0" t="s">
        <v>240</v>
      </c>
      <c r="BG789" s="0" t="s">
        <v>240</v>
      </c>
      <c r="BH789" s="0" t="s">
        <v>240</v>
      </c>
      <c r="BI789" s="0" t="s">
        <v>240</v>
      </c>
      <c r="BJ789" s="0" t="s">
        <v>240</v>
      </c>
      <c r="BK789" s="0" t="s">
        <v>240</v>
      </c>
      <c r="BL789" s="0" t="s">
        <v>240</v>
      </c>
      <c r="BM789" s="0" t="s">
        <v>240</v>
      </c>
      <c r="BN789" s="0" t="s">
        <v>240</v>
      </c>
      <c r="BO789" s="0" t="s">
        <v>240</v>
      </c>
      <c r="BP789" s="0" t="s">
        <v>240</v>
      </c>
      <c r="BQ789" s="0" t="s">
        <v>240</v>
      </c>
      <c r="BR789" s="0" t="s">
        <v>240</v>
      </c>
      <c r="BS789" s="0" t="s">
        <v>240</v>
      </c>
      <c r="BT789" s="0" t="s">
        <v>240</v>
      </c>
      <c r="CS789" s="0" t="s">
        <v>240</v>
      </c>
      <c r="CT789" s="0" t="s">
        <v>5496</v>
      </c>
      <c r="CU789" s="0" t="s">
        <v>5497</v>
      </c>
      <c r="CV789" s="0" t="s">
        <v>443</v>
      </c>
      <c r="CW789" s="0" t="s">
        <v>5547</v>
      </c>
      <c r="CX789" s="0" t="s">
        <v>229</v>
      </c>
      <c r="CY789" s="0" t="s">
        <v>443</v>
      </c>
      <c r="CZ789" s="0" t="s">
        <v>5548</v>
      </c>
      <c r="DA789" s="0" t="s">
        <v>5549</v>
      </c>
      <c r="DB789" s="0" t="s">
        <v>5547</v>
      </c>
      <c r="DC789" s="0" t="s">
        <v>384</v>
      </c>
      <c r="DD789" s="0" t="s">
        <v>300</v>
      </c>
      <c r="DE789" s="0" t="s">
        <v>7196</v>
      </c>
    </row>
    <row customHeight="1" ht="11.25">
      <c r="A790" s="1441" t="s">
        <v>240</v>
      </c>
      <c r="B790" s="0" t="s">
        <v>240</v>
      </c>
      <c r="C790" s="0" t="s">
        <v>240</v>
      </c>
      <c r="D790" s="0" t="s">
        <v>240</v>
      </c>
      <c r="E790" s="0" t="s">
        <v>240</v>
      </c>
      <c r="F790" s="0" t="s">
        <v>240</v>
      </c>
      <c r="G790" s="0" t="s">
        <v>240</v>
      </c>
      <c r="H790" s="0" t="s">
        <v>240</v>
      </c>
      <c r="I790" s="0" t="s">
        <v>7004</v>
      </c>
      <c r="J790" s="0" t="s">
        <v>240</v>
      </c>
      <c r="K790" s="0" t="s">
        <v>240</v>
      </c>
      <c r="L790" s="0" t="s">
        <v>240</v>
      </c>
      <c r="M790" s="0" t="s">
        <v>240</v>
      </c>
      <c r="N790" s="0" t="s">
        <v>240</v>
      </c>
      <c r="O790" s="0" t="s">
        <v>240</v>
      </c>
      <c r="P790" s="0" t="s">
        <v>240</v>
      </c>
      <c r="Q790" s="0" t="s">
        <v>240</v>
      </c>
      <c r="R790" s="0" t="s">
        <v>7197</v>
      </c>
      <c r="S790" s="0" t="s">
        <v>240</v>
      </c>
      <c r="T790" s="0" t="s">
        <v>240</v>
      </c>
      <c r="U790" s="0" t="s">
        <v>102</v>
      </c>
      <c r="V790" s="0" t="s">
        <v>240</v>
      </c>
      <c r="W790" s="0" t="s">
        <v>240</v>
      </c>
      <c r="X790" s="0" t="s">
        <v>546</v>
      </c>
      <c r="Y790" s="0" t="s">
        <v>240</v>
      </c>
      <c r="Z790" s="0" t="s">
        <v>161</v>
      </c>
      <c r="AA790" s="0" t="s">
        <v>152</v>
      </c>
      <c r="AB790" s="0" t="s">
        <v>152</v>
      </c>
      <c r="AC790" s="0" t="s">
        <v>2991</v>
      </c>
      <c r="AD790" s="0" t="s">
        <v>2991</v>
      </c>
      <c r="AE790" s="0" t="s">
        <v>2992</v>
      </c>
      <c r="AF790" s="0" t="s">
        <v>5749</v>
      </c>
      <c r="AG790" s="0" t="s">
        <v>5750</v>
      </c>
      <c r="AH790" s="0" t="s">
        <v>7198</v>
      </c>
      <c r="AI790" s="0" t="s">
        <v>5575</v>
      </c>
      <c r="AJ790" s="0" t="s">
        <v>6917</v>
      </c>
      <c r="AK790" s="0" t="s">
        <v>7195</v>
      </c>
      <c r="AL790" s="0" t="s">
        <v>7009</v>
      </c>
      <c r="AN790" s="0" t="s">
        <v>5507</v>
      </c>
      <c r="AO790" s="0" t="s">
        <v>5625</v>
      </c>
      <c r="AP790" s="0" t="s">
        <v>240</v>
      </c>
      <c r="AQ790" s="0" t="s">
        <v>240</v>
      </c>
      <c r="AR790" s="0" t="s">
        <v>240</v>
      </c>
      <c r="AS790" s="0" t="s">
        <v>240</v>
      </c>
      <c r="AT790" s="0" t="s">
        <v>240</v>
      </c>
      <c r="AU790" s="0" t="s">
        <v>240</v>
      </c>
      <c r="AV790" s="0" t="s">
        <v>240</v>
      </c>
      <c r="AW790" s="0" t="s">
        <v>240</v>
      </c>
      <c r="AX790" s="0" t="s">
        <v>240</v>
      </c>
      <c r="AY790" s="0" t="s">
        <v>240</v>
      </c>
      <c r="AZ790" s="0" t="s">
        <v>240</v>
      </c>
      <c r="BA790" s="0" t="s">
        <v>240</v>
      </c>
      <c r="BB790" s="0" t="s">
        <v>240</v>
      </c>
      <c r="BC790" s="0" t="s">
        <v>240</v>
      </c>
      <c r="BD790" s="0" t="s">
        <v>240</v>
      </c>
      <c r="BE790" s="0" t="s">
        <v>240</v>
      </c>
      <c r="BF790" s="0" t="s">
        <v>240</v>
      </c>
      <c r="BG790" s="0" t="s">
        <v>240</v>
      </c>
      <c r="BH790" s="0" t="s">
        <v>240</v>
      </c>
      <c r="BI790" s="0" t="s">
        <v>240</v>
      </c>
      <c r="BJ790" s="0" t="s">
        <v>240</v>
      </c>
      <c r="BK790" s="0" t="s">
        <v>240</v>
      </c>
      <c r="BL790" s="0" t="s">
        <v>240</v>
      </c>
      <c r="BM790" s="0" t="s">
        <v>240</v>
      </c>
      <c r="BN790" s="0" t="s">
        <v>240</v>
      </c>
      <c r="BO790" s="0" t="s">
        <v>240</v>
      </c>
      <c r="BP790" s="0" t="s">
        <v>240</v>
      </c>
      <c r="BQ790" s="0" t="s">
        <v>240</v>
      </c>
      <c r="BR790" s="0" t="s">
        <v>240</v>
      </c>
      <c r="BS790" s="0" t="s">
        <v>240</v>
      </c>
      <c r="BT790" s="0" t="s">
        <v>240</v>
      </c>
      <c r="CS790" s="0" t="s">
        <v>240</v>
      </c>
      <c r="CT790" s="0" t="s">
        <v>5496</v>
      </c>
      <c r="CU790" s="0" t="s">
        <v>5497</v>
      </c>
      <c r="CV790" s="0" t="s">
        <v>443</v>
      </c>
      <c r="CW790" s="0" t="s">
        <v>5547</v>
      </c>
      <c r="CX790" s="0" t="s">
        <v>229</v>
      </c>
      <c r="CY790" s="0" t="s">
        <v>443</v>
      </c>
      <c r="CZ790" s="0" t="s">
        <v>5548</v>
      </c>
      <c r="DA790" s="0" t="s">
        <v>5549</v>
      </c>
      <c r="DB790" s="0" t="s">
        <v>5547</v>
      </c>
      <c r="DC790" s="0" t="s">
        <v>384</v>
      </c>
      <c r="DD790" s="0" t="s">
        <v>300</v>
      </c>
      <c r="DE790" s="0" t="s">
        <v>7199</v>
      </c>
    </row>
    <row customHeight="1" ht="11.25">
      <c r="A791" s="1441" t="s">
        <v>240</v>
      </c>
      <c r="B791" s="0" t="s">
        <v>240</v>
      </c>
      <c r="C791" s="0" t="s">
        <v>240</v>
      </c>
      <c r="D791" s="0" t="s">
        <v>240</v>
      </c>
      <c r="E791" s="0" t="s">
        <v>240</v>
      </c>
      <c r="F791" s="0" t="s">
        <v>240</v>
      </c>
      <c r="G791" s="0" t="s">
        <v>240</v>
      </c>
      <c r="H791" s="0" t="s">
        <v>240</v>
      </c>
      <c r="I791" s="0" t="s">
        <v>7004</v>
      </c>
      <c r="J791" s="0" t="s">
        <v>240</v>
      </c>
      <c r="K791" s="0" t="s">
        <v>240</v>
      </c>
      <c r="L791" s="0" t="s">
        <v>240</v>
      </c>
      <c r="M791" s="0" t="s">
        <v>240</v>
      </c>
      <c r="N791" s="0" t="s">
        <v>240</v>
      </c>
      <c r="O791" s="0" t="s">
        <v>240</v>
      </c>
      <c r="P791" s="0" t="s">
        <v>240</v>
      </c>
      <c r="Q791" s="0" t="s">
        <v>240</v>
      </c>
      <c r="R791" s="0" t="s">
        <v>7382</v>
      </c>
      <c r="S791" s="0" t="s">
        <v>240</v>
      </c>
      <c r="T791" s="0" t="s">
        <v>240</v>
      </c>
      <c r="U791" s="0" t="s">
        <v>102</v>
      </c>
      <c r="V791" s="0" t="s">
        <v>240</v>
      </c>
      <c r="W791" s="0" t="s">
        <v>240</v>
      </c>
      <c r="X791" s="0" t="s">
        <v>546</v>
      </c>
      <c r="Y791" s="0" t="s">
        <v>240</v>
      </c>
      <c r="Z791" s="0" t="s">
        <v>161</v>
      </c>
      <c r="AA791" s="0" t="s">
        <v>152</v>
      </c>
      <c r="AB791" s="0" t="s">
        <v>152</v>
      </c>
      <c r="AC791" s="0" t="s">
        <v>3389</v>
      </c>
      <c r="AD791" s="0" t="s">
        <v>3389</v>
      </c>
      <c r="AE791" s="0" t="s">
        <v>3390</v>
      </c>
      <c r="AF791" s="0" t="s">
        <v>5519</v>
      </c>
      <c r="AG791" s="0" t="s">
        <v>5520</v>
      </c>
      <c r="AH791" s="0" t="s">
        <v>7383</v>
      </c>
      <c r="AI791" s="0" t="s">
        <v>7384</v>
      </c>
      <c r="AJ791" s="0" t="s">
        <v>5781</v>
      </c>
      <c r="AK791" s="0" t="s">
        <v>7385</v>
      </c>
      <c r="AL791" s="0" t="s">
        <v>7009</v>
      </c>
      <c r="AN791" s="0" t="s">
        <v>7386</v>
      </c>
      <c r="AO791" s="0" t="s">
        <v>7295</v>
      </c>
      <c r="AP791" s="0" t="s">
        <v>240</v>
      </c>
      <c r="AQ791" s="0" t="s">
        <v>240</v>
      </c>
      <c r="AR791" s="0" t="s">
        <v>240</v>
      </c>
      <c r="AS791" s="0" t="s">
        <v>240</v>
      </c>
      <c r="AT791" s="0" t="s">
        <v>240</v>
      </c>
      <c r="AU791" s="0" t="s">
        <v>240</v>
      </c>
      <c r="AV791" s="0" t="s">
        <v>240</v>
      </c>
      <c r="AW791" s="0" t="s">
        <v>240</v>
      </c>
      <c r="AX791" s="0" t="s">
        <v>240</v>
      </c>
      <c r="AY791" s="0" t="s">
        <v>240</v>
      </c>
      <c r="AZ791" s="0" t="s">
        <v>240</v>
      </c>
      <c r="BA791" s="0" t="s">
        <v>240</v>
      </c>
      <c r="BB791" s="0" t="s">
        <v>240</v>
      </c>
      <c r="BC791" s="0" t="s">
        <v>240</v>
      </c>
      <c r="BD791" s="0" t="s">
        <v>240</v>
      </c>
      <c r="BE791" s="0" t="s">
        <v>240</v>
      </c>
      <c r="BF791" s="0" t="s">
        <v>240</v>
      </c>
      <c r="BG791" s="0" t="s">
        <v>240</v>
      </c>
      <c r="BH791" s="0" t="s">
        <v>240</v>
      </c>
      <c r="BI791" s="0" t="s">
        <v>240</v>
      </c>
      <c r="BJ791" s="0" t="s">
        <v>240</v>
      </c>
      <c r="BK791" s="0" t="s">
        <v>240</v>
      </c>
      <c r="BL791" s="0" t="s">
        <v>240</v>
      </c>
      <c r="BM791" s="0" t="s">
        <v>240</v>
      </c>
      <c r="BN791" s="0" t="s">
        <v>240</v>
      </c>
      <c r="BO791" s="0" t="s">
        <v>240</v>
      </c>
      <c r="BP791" s="0" t="s">
        <v>240</v>
      </c>
      <c r="BQ791" s="0" t="s">
        <v>240</v>
      </c>
      <c r="BR791" s="0" t="s">
        <v>240</v>
      </c>
      <c r="BS791" s="0" t="s">
        <v>240</v>
      </c>
      <c r="BT791" s="0" t="s">
        <v>240</v>
      </c>
      <c r="CS791" s="0" t="s">
        <v>240</v>
      </c>
      <c r="CT791" s="0" t="s">
        <v>5496</v>
      </c>
      <c r="CU791" s="0" t="s">
        <v>5497</v>
      </c>
      <c r="CV791" s="0" t="s">
        <v>443</v>
      </c>
      <c r="CW791" s="0" t="s">
        <v>5527</v>
      </c>
      <c r="CX791" s="0" t="s">
        <v>5528</v>
      </c>
      <c r="CY791" s="0" t="s">
        <v>443</v>
      </c>
      <c r="CZ791" s="0" t="s">
        <v>299</v>
      </c>
      <c r="DA791" s="0" t="s">
        <v>5529</v>
      </c>
      <c r="DB791" s="0" t="s">
        <v>5527</v>
      </c>
      <c r="DC791" s="0" t="s">
        <v>384</v>
      </c>
      <c r="DD791" s="0" t="s">
        <v>300</v>
      </c>
      <c r="DE791" s="0" t="s">
        <v>7387</v>
      </c>
    </row>
    <row customHeight="1" ht="11.25">
      <c r="A792" s="1441" t="s">
        <v>240</v>
      </c>
      <c r="B792" s="0" t="s">
        <v>240</v>
      </c>
      <c r="C792" s="0" t="s">
        <v>240</v>
      </c>
      <c r="D792" s="0" t="s">
        <v>240</v>
      </c>
      <c r="E792" s="0" t="s">
        <v>240</v>
      </c>
      <c r="F792" s="0" t="s">
        <v>240</v>
      </c>
      <c r="G792" s="0" t="s">
        <v>240</v>
      </c>
      <c r="H792" s="0" t="s">
        <v>240</v>
      </c>
      <c r="I792" s="0" t="s">
        <v>7004</v>
      </c>
      <c r="J792" s="0" t="s">
        <v>240</v>
      </c>
      <c r="K792" s="0" t="s">
        <v>240</v>
      </c>
      <c r="L792" s="0" t="s">
        <v>240</v>
      </c>
      <c r="M792" s="0" t="s">
        <v>240</v>
      </c>
      <c r="N792" s="0" t="s">
        <v>240</v>
      </c>
      <c r="O792" s="0" t="s">
        <v>240</v>
      </c>
      <c r="P792" s="0" t="s">
        <v>240</v>
      </c>
      <c r="Q792" s="0" t="s">
        <v>240</v>
      </c>
      <c r="R792" s="0" t="s">
        <v>7306</v>
      </c>
      <c r="S792" s="0" t="s">
        <v>240</v>
      </c>
      <c r="T792" s="0" t="s">
        <v>240</v>
      </c>
      <c r="U792" s="0" t="s">
        <v>102</v>
      </c>
      <c r="V792" s="0" t="s">
        <v>240</v>
      </c>
      <c r="W792" s="0" t="s">
        <v>240</v>
      </c>
      <c r="X792" s="0" t="s">
        <v>5585</v>
      </c>
      <c r="Y792" s="0" t="s">
        <v>240</v>
      </c>
      <c r="Z792" s="0" t="s">
        <v>152</v>
      </c>
      <c r="AA792" s="0" t="s">
        <v>152</v>
      </c>
      <c r="AB792" s="0" t="s">
        <v>161</v>
      </c>
      <c r="AC792" s="0" t="s">
        <v>2991</v>
      </c>
      <c r="AD792" s="0" t="s">
        <v>2991</v>
      </c>
      <c r="AE792" s="0" t="s">
        <v>2992</v>
      </c>
      <c r="AF792" s="0" t="s">
        <v>5691</v>
      </c>
      <c r="AG792" s="0" t="s">
        <v>5692</v>
      </c>
      <c r="AH792" s="0" t="s">
        <v>5575</v>
      </c>
      <c r="AI792" s="0" t="s">
        <v>5575</v>
      </c>
      <c r="AJ792" s="0" t="s">
        <v>240</v>
      </c>
      <c r="AK792" s="0" t="s">
        <v>240</v>
      </c>
      <c r="AL792" s="0" t="s">
        <v>240</v>
      </c>
      <c r="AN792" s="0" t="s">
        <v>240</v>
      </c>
      <c r="AO792" s="0" t="s">
        <v>240</v>
      </c>
      <c r="AP792" s="0" t="s">
        <v>240</v>
      </c>
      <c r="AQ792" s="0" t="s">
        <v>240</v>
      </c>
      <c r="AR792" s="0" t="s">
        <v>240</v>
      </c>
      <c r="AS792" s="0" t="s">
        <v>240</v>
      </c>
      <c r="AT792" s="0" t="s">
        <v>240</v>
      </c>
      <c r="AU792" s="0" t="s">
        <v>240</v>
      </c>
      <c r="AV792" s="0" t="s">
        <v>240</v>
      </c>
      <c r="AW792" s="0" t="s">
        <v>240</v>
      </c>
      <c r="AX792" s="0" t="s">
        <v>240</v>
      </c>
      <c r="AY792" s="0" t="s">
        <v>240</v>
      </c>
      <c r="AZ792" s="0" t="s">
        <v>240</v>
      </c>
      <c r="BA792" s="0" t="s">
        <v>240</v>
      </c>
      <c r="BB792" s="0" t="s">
        <v>240</v>
      </c>
      <c r="BC792" s="0" t="s">
        <v>240</v>
      </c>
      <c r="BD792" s="0" t="s">
        <v>240</v>
      </c>
      <c r="BE792" s="0" t="s">
        <v>5544</v>
      </c>
      <c r="BF792" s="0" t="s">
        <v>5672</v>
      </c>
      <c r="BG792" s="0" t="s">
        <v>112</v>
      </c>
      <c r="BH792" s="0" t="s">
        <v>5589</v>
      </c>
      <c r="BI792" s="0" t="s">
        <v>123</v>
      </c>
      <c r="BJ792" s="0" t="s">
        <v>240</v>
      </c>
      <c r="BK792" s="0" t="s">
        <v>240</v>
      </c>
      <c r="BL792" s="0" t="s">
        <v>2991</v>
      </c>
      <c r="BM792" s="0" t="s">
        <v>2991</v>
      </c>
      <c r="BN792" s="0" t="s">
        <v>5663</v>
      </c>
      <c r="BO792" s="0" t="s">
        <v>5691</v>
      </c>
      <c r="BP792" s="0" t="s">
        <v>6020</v>
      </c>
      <c r="BQ792" s="0" t="s">
        <v>5575</v>
      </c>
      <c r="BR792" s="0" t="s">
        <v>5575</v>
      </c>
      <c r="BS792" s="0" t="s">
        <v>240</v>
      </c>
      <c r="BT792" s="0" t="s">
        <v>5650</v>
      </c>
      <c r="CS792" s="0" t="s">
        <v>7118</v>
      </c>
      <c r="CT792" s="0" t="s">
        <v>5496</v>
      </c>
      <c r="CU792" s="0" t="s">
        <v>5497</v>
      </c>
      <c r="CV792" s="0" t="s">
        <v>443</v>
      </c>
      <c r="CW792" s="0" t="s">
        <v>5547</v>
      </c>
      <c r="CX792" s="0" t="s">
        <v>229</v>
      </c>
      <c r="CY792" s="0" t="s">
        <v>443</v>
      </c>
      <c r="CZ792" s="0" t="s">
        <v>5548</v>
      </c>
      <c r="DA792" s="0" t="s">
        <v>5549</v>
      </c>
      <c r="DB792" s="0" t="s">
        <v>5547</v>
      </c>
      <c r="DC792" s="0" t="s">
        <v>384</v>
      </c>
      <c r="DD792" s="0" t="s">
        <v>300</v>
      </c>
      <c r="DE792" s="0" t="s">
        <v>6022</v>
      </c>
    </row>
    <row customHeight="1" ht="11.25">
      <c r="A793" s="1441" t="s">
        <v>240</v>
      </c>
      <c r="B793" s="0" t="s">
        <v>240</v>
      </c>
      <c r="C793" s="0" t="s">
        <v>240</v>
      </c>
      <c r="D793" s="0" t="s">
        <v>240</v>
      </c>
      <c r="E793" s="0" t="s">
        <v>240</v>
      </c>
      <c r="F793" s="0" t="s">
        <v>240</v>
      </c>
      <c r="G793" s="0" t="s">
        <v>240</v>
      </c>
      <c r="H793" s="0" t="s">
        <v>240</v>
      </c>
      <c r="I793" s="0" t="s">
        <v>7004</v>
      </c>
      <c r="J793" s="0" t="s">
        <v>240</v>
      </c>
      <c r="K793" s="0" t="s">
        <v>240</v>
      </c>
      <c r="L793" s="0" t="s">
        <v>240</v>
      </c>
      <c r="M793" s="0" t="s">
        <v>240</v>
      </c>
      <c r="N793" s="0" t="s">
        <v>240</v>
      </c>
      <c r="O793" s="0" t="s">
        <v>240</v>
      </c>
      <c r="P793" s="0" t="s">
        <v>240</v>
      </c>
      <c r="Q793" s="0" t="s">
        <v>240</v>
      </c>
      <c r="R793" s="0" t="s">
        <v>7307</v>
      </c>
      <c r="S793" s="0" t="s">
        <v>240</v>
      </c>
      <c r="T793" s="0" t="s">
        <v>240</v>
      </c>
      <c r="U793" s="0" t="s">
        <v>102</v>
      </c>
      <c r="V793" s="0" t="s">
        <v>240</v>
      </c>
      <c r="W793" s="0" t="s">
        <v>240</v>
      </c>
      <c r="X793" s="0" t="s">
        <v>5585</v>
      </c>
      <c r="Y793" s="0" t="s">
        <v>240</v>
      </c>
      <c r="Z793" s="0" t="s">
        <v>152</v>
      </c>
      <c r="AA793" s="0" t="s">
        <v>152</v>
      </c>
      <c r="AB793" s="0" t="s">
        <v>161</v>
      </c>
      <c r="AC793" s="0" t="s">
        <v>2991</v>
      </c>
      <c r="AD793" s="0" t="s">
        <v>2991</v>
      </c>
      <c r="AE793" s="0" t="s">
        <v>2992</v>
      </c>
      <c r="AF793" s="0" t="s">
        <v>5749</v>
      </c>
      <c r="AG793" s="0" t="s">
        <v>5750</v>
      </c>
      <c r="AH793" s="0" t="s">
        <v>5575</v>
      </c>
      <c r="AI793" s="0" t="s">
        <v>5575</v>
      </c>
      <c r="AJ793" s="0" t="s">
        <v>240</v>
      </c>
      <c r="AK793" s="0" t="s">
        <v>240</v>
      </c>
      <c r="AL793" s="0" t="s">
        <v>240</v>
      </c>
      <c r="AN793" s="0" t="s">
        <v>240</v>
      </c>
      <c r="AO793" s="0" t="s">
        <v>240</v>
      </c>
      <c r="AP793" s="0" t="s">
        <v>240</v>
      </c>
      <c r="AQ793" s="0" t="s">
        <v>240</v>
      </c>
      <c r="AR793" s="0" t="s">
        <v>240</v>
      </c>
      <c r="AS793" s="0" t="s">
        <v>240</v>
      </c>
      <c r="AT793" s="0" t="s">
        <v>240</v>
      </c>
      <c r="AU793" s="0" t="s">
        <v>240</v>
      </c>
      <c r="AV793" s="0" t="s">
        <v>240</v>
      </c>
      <c r="AW793" s="0" t="s">
        <v>240</v>
      </c>
      <c r="AX793" s="0" t="s">
        <v>240</v>
      </c>
      <c r="AY793" s="0" t="s">
        <v>240</v>
      </c>
      <c r="AZ793" s="0" t="s">
        <v>240</v>
      </c>
      <c r="BA793" s="0" t="s">
        <v>240</v>
      </c>
      <c r="BB793" s="0" t="s">
        <v>240</v>
      </c>
      <c r="BC793" s="0" t="s">
        <v>240</v>
      </c>
      <c r="BD793" s="0" t="s">
        <v>240</v>
      </c>
      <c r="BE793" s="0" t="s">
        <v>6917</v>
      </c>
      <c r="BF793" s="0" t="s">
        <v>7195</v>
      </c>
      <c r="BG793" s="0" t="s">
        <v>112</v>
      </c>
      <c r="BH793" s="0" t="s">
        <v>5589</v>
      </c>
      <c r="BI793" s="0" t="s">
        <v>123</v>
      </c>
      <c r="BJ793" s="0" t="s">
        <v>240</v>
      </c>
      <c r="BK793" s="0" t="s">
        <v>240</v>
      </c>
      <c r="BL793" s="0" t="s">
        <v>2991</v>
      </c>
      <c r="BM793" s="0" t="s">
        <v>2991</v>
      </c>
      <c r="BN793" s="0" t="s">
        <v>5663</v>
      </c>
      <c r="BO793" s="0" t="s">
        <v>5749</v>
      </c>
      <c r="BP793" s="0" t="s">
        <v>6846</v>
      </c>
      <c r="BQ793" s="0" t="s">
        <v>5575</v>
      </c>
      <c r="BR793" s="0" t="s">
        <v>5575</v>
      </c>
      <c r="BS793" s="0" t="s">
        <v>240</v>
      </c>
      <c r="BT793" s="0" t="s">
        <v>5650</v>
      </c>
      <c r="CS793" s="0" t="s">
        <v>7118</v>
      </c>
      <c r="CT793" s="0" t="s">
        <v>5496</v>
      </c>
      <c r="CU793" s="0" t="s">
        <v>5497</v>
      </c>
      <c r="CV793" s="0" t="s">
        <v>443</v>
      </c>
      <c r="CW793" s="0" t="s">
        <v>5547</v>
      </c>
      <c r="CX793" s="0" t="s">
        <v>229</v>
      </c>
      <c r="CY793" s="0" t="s">
        <v>443</v>
      </c>
      <c r="CZ793" s="0" t="s">
        <v>5548</v>
      </c>
      <c r="DA793" s="0" t="s">
        <v>5549</v>
      </c>
      <c r="DB793" s="0" t="s">
        <v>5580</v>
      </c>
      <c r="DC793" s="0" t="s">
        <v>384</v>
      </c>
      <c r="DD793" s="0" t="s">
        <v>300</v>
      </c>
      <c r="DE793" s="0" t="s">
        <v>6848</v>
      </c>
    </row>
    <row customHeight="1" ht="11.25">
      <c r="A794" s="1441" t="s">
        <v>240</v>
      </c>
      <c r="B794" s="0" t="s">
        <v>240</v>
      </c>
      <c r="C794" s="0" t="s">
        <v>240</v>
      </c>
      <c r="D794" s="0" t="s">
        <v>240</v>
      </c>
      <c r="E794" s="0" t="s">
        <v>240</v>
      </c>
      <c r="F794" s="0" t="s">
        <v>240</v>
      </c>
      <c r="G794" s="0" t="s">
        <v>240</v>
      </c>
      <c r="H794" s="0" t="s">
        <v>240</v>
      </c>
      <c r="I794" s="0" t="s">
        <v>7004</v>
      </c>
      <c r="J794" s="0" t="s">
        <v>240</v>
      </c>
      <c r="K794" s="0" t="s">
        <v>240</v>
      </c>
      <c r="L794" s="0" t="s">
        <v>240</v>
      </c>
      <c r="M794" s="0" t="s">
        <v>240</v>
      </c>
      <c r="N794" s="0" t="s">
        <v>240</v>
      </c>
      <c r="O794" s="0" t="s">
        <v>240</v>
      </c>
      <c r="P794" s="0" t="s">
        <v>240</v>
      </c>
      <c r="Q794" s="0" t="s">
        <v>240</v>
      </c>
      <c r="R794" s="0" t="s">
        <v>7152</v>
      </c>
      <c r="S794" s="0" t="s">
        <v>240</v>
      </c>
      <c r="T794" s="0" t="s">
        <v>240</v>
      </c>
      <c r="U794" s="0" t="s">
        <v>102</v>
      </c>
      <c r="V794" s="0" t="s">
        <v>240</v>
      </c>
      <c r="W794" s="0" t="s">
        <v>240</v>
      </c>
      <c r="X794" s="0" t="s">
        <v>546</v>
      </c>
      <c r="Y794" s="0" t="s">
        <v>240</v>
      </c>
      <c r="Z794" s="0" t="s">
        <v>161</v>
      </c>
      <c r="AA794" s="0" t="s">
        <v>152</v>
      </c>
      <c r="AB794" s="0" t="s">
        <v>152</v>
      </c>
      <c r="AC794" s="0" t="s">
        <v>3395</v>
      </c>
      <c r="AD794" s="0" t="s">
        <v>3395</v>
      </c>
      <c r="AE794" s="0" t="s">
        <v>3396</v>
      </c>
      <c r="AF794" s="0" t="s">
        <v>5941</v>
      </c>
      <c r="AG794" s="0" t="s">
        <v>5942</v>
      </c>
      <c r="AH794" s="0" t="s">
        <v>7153</v>
      </c>
      <c r="AI794" s="0" t="s">
        <v>5533</v>
      </c>
      <c r="AJ794" s="0" t="s">
        <v>7154</v>
      </c>
      <c r="AK794" s="0" t="s">
        <v>7154</v>
      </c>
      <c r="AL794" s="0" t="s">
        <v>7009</v>
      </c>
      <c r="AN794" s="0" t="s">
        <v>5553</v>
      </c>
      <c r="AO794" s="0" t="s">
        <v>7155</v>
      </c>
      <c r="AP794" s="0" t="s">
        <v>240</v>
      </c>
      <c r="AQ794" s="0" t="s">
        <v>240</v>
      </c>
      <c r="AR794" s="0" t="s">
        <v>240</v>
      </c>
      <c r="AS794" s="0" t="s">
        <v>240</v>
      </c>
      <c r="AT794" s="0" t="s">
        <v>240</v>
      </c>
      <c r="AU794" s="0" t="s">
        <v>240</v>
      </c>
      <c r="AV794" s="0" t="s">
        <v>240</v>
      </c>
      <c r="AW794" s="0" t="s">
        <v>240</v>
      </c>
      <c r="AX794" s="0" t="s">
        <v>240</v>
      </c>
      <c r="AY794" s="0" t="s">
        <v>240</v>
      </c>
      <c r="AZ794" s="0" t="s">
        <v>240</v>
      </c>
      <c r="BA794" s="0" t="s">
        <v>240</v>
      </c>
      <c r="BB794" s="0" t="s">
        <v>240</v>
      </c>
      <c r="BC794" s="0" t="s">
        <v>240</v>
      </c>
      <c r="BD794" s="0" t="s">
        <v>240</v>
      </c>
      <c r="BE794" s="0" t="s">
        <v>240</v>
      </c>
      <c r="BF794" s="0" t="s">
        <v>240</v>
      </c>
      <c r="BG794" s="0" t="s">
        <v>240</v>
      </c>
      <c r="BH794" s="0" t="s">
        <v>240</v>
      </c>
      <c r="BI794" s="0" t="s">
        <v>240</v>
      </c>
      <c r="BJ794" s="0" t="s">
        <v>240</v>
      </c>
      <c r="BK794" s="0" t="s">
        <v>240</v>
      </c>
      <c r="BL794" s="0" t="s">
        <v>240</v>
      </c>
      <c r="BM794" s="0" t="s">
        <v>240</v>
      </c>
      <c r="BN794" s="0" t="s">
        <v>240</v>
      </c>
      <c r="BO794" s="0" t="s">
        <v>240</v>
      </c>
      <c r="BP794" s="0" t="s">
        <v>240</v>
      </c>
      <c r="BQ794" s="0" t="s">
        <v>240</v>
      </c>
      <c r="BR794" s="0" t="s">
        <v>240</v>
      </c>
      <c r="BS794" s="0" t="s">
        <v>240</v>
      </c>
      <c r="BT794" s="0" t="s">
        <v>240</v>
      </c>
      <c r="CS794" s="0" t="s">
        <v>240</v>
      </c>
      <c r="CT794" s="0" t="s">
        <v>5496</v>
      </c>
      <c r="CU794" s="0" t="s">
        <v>5497</v>
      </c>
      <c r="CV794" s="0" t="s">
        <v>5947</v>
      </c>
      <c r="CW794" s="0" t="s">
        <v>5948</v>
      </c>
      <c r="CX794" s="0" t="s">
        <v>5528</v>
      </c>
      <c r="CY794" s="0" t="s">
        <v>5947</v>
      </c>
      <c r="CZ794" s="0" t="s">
        <v>7022</v>
      </c>
      <c r="DA794" s="0" t="s">
        <v>5949</v>
      </c>
      <c r="DB794" s="0" t="s">
        <v>5948</v>
      </c>
      <c r="DC794" s="0" t="s">
        <v>384</v>
      </c>
      <c r="DD794" s="0" t="s">
        <v>300</v>
      </c>
      <c r="DE794" s="0" t="s">
        <v>7156</v>
      </c>
    </row>
    <row customHeight="1" ht="11.25">
      <c r="A795" s="1441" t="s">
        <v>240</v>
      </c>
      <c r="B795" s="0" t="s">
        <v>240</v>
      </c>
      <c r="C795" s="0" t="s">
        <v>240</v>
      </c>
      <c r="D795" s="0" t="s">
        <v>240</v>
      </c>
      <c r="E795" s="0" t="s">
        <v>240</v>
      </c>
      <c r="F795" s="0" t="s">
        <v>240</v>
      </c>
      <c r="G795" s="0" t="s">
        <v>240</v>
      </c>
      <c r="H795" s="0" t="s">
        <v>240</v>
      </c>
      <c r="I795" s="0" t="s">
        <v>7004</v>
      </c>
      <c r="J795" s="0" t="s">
        <v>240</v>
      </c>
      <c r="K795" s="0" t="s">
        <v>240</v>
      </c>
      <c r="L795" s="0" t="s">
        <v>240</v>
      </c>
      <c r="M795" s="0" t="s">
        <v>240</v>
      </c>
      <c r="N795" s="0" t="s">
        <v>240</v>
      </c>
      <c r="O795" s="0" t="s">
        <v>240</v>
      </c>
      <c r="P795" s="0" t="s">
        <v>240</v>
      </c>
      <c r="Q795" s="0" t="s">
        <v>240</v>
      </c>
      <c r="R795" s="0" t="s">
        <v>7388</v>
      </c>
      <c r="S795" s="0" t="s">
        <v>240</v>
      </c>
      <c r="T795" s="0" t="s">
        <v>240</v>
      </c>
      <c r="U795" s="0" t="s">
        <v>102</v>
      </c>
      <c r="V795" s="0" t="s">
        <v>240</v>
      </c>
      <c r="W795" s="0" t="s">
        <v>240</v>
      </c>
      <c r="X795" s="0" t="s">
        <v>5905</v>
      </c>
      <c r="Y795" s="0" t="s">
        <v>240</v>
      </c>
      <c r="Z795" s="0" t="s">
        <v>152</v>
      </c>
      <c r="AA795" s="0" t="s">
        <v>161</v>
      </c>
      <c r="AB795" s="0" t="s">
        <v>152</v>
      </c>
      <c r="AC795" s="0" t="s">
        <v>3395</v>
      </c>
      <c r="AD795" s="0" t="s">
        <v>3395</v>
      </c>
      <c r="AE795" s="0" t="s">
        <v>3396</v>
      </c>
      <c r="AF795" s="0" t="s">
        <v>5941</v>
      </c>
      <c r="AG795" s="0" t="s">
        <v>5942</v>
      </c>
      <c r="AH795" s="0" t="s">
        <v>6223</v>
      </c>
      <c r="AI795" s="0" t="s">
        <v>5533</v>
      </c>
      <c r="AJ795" s="0" t="s">
        <v>240</v>
      </c>
      <c r="AK795" s="0" t="s">
        <v>240</v>
      </c>
      <c r="AL795" s="0" t="s">
        <v>240</v>
      </c>
      <c r="AN795" s="0" t="s">
        <v>240</v>
      </c>
      <c r="AO795" s="0" t="s">
        <v>240</v>
      </c>
      <c r="AP795" s="0" t="s">
        <v>7128</v>
      </c>
      <c r="AQ795" s="0" t="s">
        <v>7129</v>
      </c>
      <c r="AR795" s="0" t="s">
        <v>112</v>
      </c>
      <c r="AS795" s="0" t="s">
        <v>5589</v>
      </c>
      <c r="AT795" s="0" t="s">
        <v>123</v>
      </c>
      <c r="AU795" s="0" t="s">
        <v>240</v>
      </c>
      <c r="AV795" s="0" t="s">
        <v>550</v>
      </c>
      <c r="AW795" s="0" t="s">
        <v>3395</v>
      </c>
      <c r="AX795" s="0" t="s">
        <v>3395</v>
      </c>
      <c r="AY795" s="0" t="s">
        <v>6066</v>
      </c>
      <c r="AZ795" s="0" t="s">
        <v>5941</v>
      </c>
      <c r="BA795" s="0" t="s">
        <v>6067</v>
      </c>
      <c r="BB795" s="0" t="s">
        <v>6223</v>
      </c>
      <c r="BC795" s="0" t="s">
        <v>5533</v>
      </c>
      <c r="BD795" s="0" t="s">
        <v>5553</v>
      </c>
      <c r="BE795" s="0" t="s">
        <v>240</v>
      </c>
      <c r="BF795" s="0" t="s">
        <v>240</v>
      </c>
      <c r="BG795" s="0" t="s">
        <v>240</v>
      </c>
      <c r="BH795" s="0" t="s">
        <v>240</v>
      </c>
      <c r="BI795" s="0" t="s">
        <v>240</v>
      </c>
      <c r="BJ795" s="0" t="s">
        <v>240</v>
      </c>
      <c r="BK795" s="0" t="s">
        <v>240</v>
      </c>
      <c r="BL795" s="0" t="s">
        <v>240</v>
      </c>
      <c r="BM795" s="0" t="s">
        <v>240</v>
      </c>
      <c r="BN795" s="0" t="s">
        <v>240</v>
      </c>
      <c r="BO795" s="0" t="s">
        <v>240</v>
      </c>
      <c r="BP795" s="0" t="s">
        <v>240</v>
      </c>
      <c r="BQ795" s="0" t="s">
        <v>240</v>
      </c>
      <c r="BR795" s="0" t="s">
        <v>240</v>
      </c>
      <c r="BS795" s="0" t="s">
        <v>240</v>
      </c>
      <c r="BT795" s="0" t="s">
        <v>240</v>
      </c>
      <c r="CS795" s="0" t="s">
        <v>240</v>
      </c>
      <c r="CT795" s="0" t="s">
        <v>5496</v>
      </c>
      <c r="CU795" s="0" t="s">
        <v>5497</v>
      </c>
      <c r="CV795" s="0" t="s">
        <v>5947</v>
      </c>
      <c r="CW795" s="0" t="s">
        <v>5948</v>
      </c>
      <c r="CX795" s="0" t="s">
        <v>5528</v>
      </c>
      <c r="CY795" s="0" t="s">
        <v>5947</v>
      </c>
      <c r="CZ795" s="0" t="s">
        <v>7022</v>
      </c>
      <c r="DA795" s="0" t="s">
        <v>5949</v>
      </c>
      <c r="DB795" s="0" t="s">
        <v>5948</v>
      </c>
      <c r="DC795" s="0" t="s">
        <v>384</v>
      </c>
      <c r="DD795" s="0" t="s">
        <v>300</v>
      </c>
      <c r="DE795" s="0" t="s">
        <v>7389</v>
      </c>
    </row>
    <row customHeight="1" ht="11.25">
      <c r="A796" s="1441" t="s">
        <v>240</v>
      </c>
      <c r="B796" s="0" t="s">
        <v>240</v>
      </c>
      <c r="C796" s="0" t="s">
        <v>240</v>
      </c>
      <c r="D796" s="0" t="s">
        <v>240</v>
      </c>
      <c r="E796" s="0" t="s">
        <v>240</v>
      </c>
      <c r="F796" s="0" t="s">
        <v>240</v>
      </c>
      <c r="G796" s="0" t="s">
        <v>240</v>
      </c>
      <c r="H796" s="0" t="s">
        <v>240</v>
      </c>
      <c r="I796" s="0" t="s">
        <v>7004</v>
      </c>
      <c r="J796" s="0" t="s">
        <v>240</v>
      </c>
      <c r="K796" s="0" t="s">
        <v>240</v>
      </c>
      <c r="L796" s="0" t="s">
        <v>240</v>
      </c>
      <c r="M796" s="0" t="s">
        <v>240</v>
      </c>
      <c r="N796" s="0" t="s">
        <v>240</v>
      </c>
      <c r="O796" s="0" t="s">
        <v>240</v>
      </c>
      <c r="P796" s="0" t="s">
        <v>240</v>
      </c>
      <c r="Q796" s="0" t="s">
        <v>240</v>
      </c>
      <c r="R796" s="0" t="s">
        <v>7131</v>
      </c>
      <c r="S796" s="0" t="s">
        <v>240</v>
      </c>
      <c r="T796" s="0" t="s">
        <v>240</v>
      </c>
      <c r="U796" s="0" t="s">
        <v>102</v>
      </c>
      <c r="V796" s="0" t="s">
        <v>240</v>
      </c>
      <c r="W796" s="0" t="s">
        <v>240</v>
      </c>
      <c r="X796" s="0" t="s">
        <v>546</v>
      </c>
      <c r="Y796" s="0" t="s">
        <v>240</v>
      </c>
      <c r="Z796" s="0" t="s">
        <v>161</v>
      </c>
      <c r="AA796" s="0" t="s">
        <v>152</v>
      </c>
      <c r="AB796" s="0" t="s">
        <v>152</v>
      </c>
      <c r="AC796" s="0" t="s">
        <v>3389</v>
      </c>
      <c r="AD796" s="0" t="s">
        <v>3389</v>
      </c>
      <c r="AE796" s="0" t="s">
        <v>3390</v>
      </c>
      <c r="AF796" s="0" t="s">
        <v>5519</v>
      </c>
      <c r="AG796" s="0" t="s">
        <v>5520</v>
      </c>
      <c r="AH796" s="0" t="s">
        <v>7132</v>
      </c>
      <c r="AI796" s="0" t="s">
        <v>5533</v>
      </c>
      <c r="AJ796" s="0" t="s">
        <v>7133</v>
      </c>
      <c r="AK796" s="0" t="s">
        <v>7134</v>
      </c>
      <c r="AL796" s="0" t="s">
        <v>7009</v>
      </c>
      <c r="AN796" s="0" t="s">
        <v>7135</v>
      </c>
      <c r="AO796" s="0" t="s">
        <v>7136</v>
      </c>
      <c r="AP796" s="0" t="s">
        <v>240</v>
      </c>
      <c r="AQ796" s="0" t="s">
        <v>240</v>
      </c>
      <c r="AR796" s="0" t="s">
        <v>240</v>
      </c>
      <c r="AS796" s="0" t="s">
        <v>240</v>
      </c>
      <c r="AT796" s="0" t="s">
        <v>240</v>
      </c>
      <c r="AU796" s="0" t="s">
        <v>240</v>
      </c>
      <c r="AV796" s="0" t="s">
        <v>240</v>
      </c>
      <c r="AW796" s="0" t="s">
        <v>240</v>
      </c>
      <c r="AX796" s="0" t="s">
        <v>240</v>
      </c>
      <c r="AY796" s="0" t="s">
        <v>240</v>
      </c>
      <c r="AZ796" s="0" t="s">
        <v>240</v>
      </c>
      <c r="BA796" s="0" t="s">
        <v>240</v>
      </c>
      <c r="BB796" s="0" t="s">
        <v>240</v>
      </c>
      <c r="BC796" s="0" t="s">
        <v>240</v>
      </c>
      <c r="BD796" s="0" t="s">
        <v>240</v>
      </c>
      <c r="BE796" s="0" t="s">
        <v>240</v>
      </c>
      <c r="BF796" s="0" t="s">
        <v>240</v>
      </c>
      <c r="BG796" s="0" t="s">
        <v>240</v>
      </c>
      <c r="BH796" s="0" t="s">
        <v>240</v>
      </c>
      <c r="BI796" s="0" t="s">
        <v>240</v>
      </c>
      <c r="BJ796" s="0" t="s">
        <v>240</v>
      </c>
      <c r="BK796" s="0" t="s">
        <v>240</v>
      </c>
      <c r="BL796" s="0" t="s">
        <v>240</v>
      </c>
      <c r="BM796" s="0" t="s">
        <v>240</v>
      </c>
      <c r="BN796" s="0" t="s">
        <v>240</v>
      </c>
      <c r="BO796" s="0" t="s">
        <v>240</v>
      </c>
      <c r="BP796" s="0" t="s">
        <v>240</v>
      </c>
      <c r="BQ796" s="0" t="s">
        <v>240</v>
      </c>
      <c r="BR796" s="0" t="s">
        <v>240</v>
      </c>
      <c r="BS796" s="0" t="s">
        <v>240</v>
      </c>
      <c r="BT796" s="0" t="s">
        <v>240</v>
      </c>
      <c r="CS796" s="0" t="s">
        <v>240</v>
      </c>
      <c r="CT796" s="0" t="s">
        <v>5496</v>
      </c>
      <c r="CU796" s="0" t="s">
        <v>5497</v>
      </c>
      <c r="CV796" s="0" t="s">
        <v>443</v>
      </c>
      <c r="CW796" s="0" t="s">
        <v>5527</v>
      </c>
      <c r="CX796" s="0" t="s">
        <v>5528</v>
      </c>
      <c r="CY796" s="0" t="s">
        <v>443</v>
      </c>
      <c r="CZ796" s="0" t="s">
        <v>299</v>
      </c>
      <c r="DA796" s="0" t="s">
        <v>5529</v>
      </c>
      <c r="DB796" s="0" t="s">
        <v>5527</v>
      </c>
      <c r="DC796" s="0" t="s">
        <v>384</v>
      </c>
      <c r="DD796" s="0" t="s">
        <v>300</v>
      </c>
      <c r="DE796" s="0" t="s">
        <v>7137</v>
      </c>
    </row>
    <row customHeight="1" ht="11.25">
      <c r="A797" s="1441" t="s">
        <v>240</v>
      </c>
      <c r="B797" s="0" t="s">
        <v>240</v>
      </c>
      <c r="C797" s="0" t="s">
        <v>240</v>
      </c>
      <c r="D797" s="0" t="s">
        <v>240</v>
      </c>
      <c r="E797" s="0" t="s">
        <v>240</v>
      </c>
      <c r="F797" s="0" t="s">
        <v>240</v>
      </c>
      <c r="G797" s="0" t="s">
        <v>240</v>
      </c>
      <c r="H797" s="0" t="s">
        <v>240</v>
      </c>
      <c r="I797" s="0" t="s">
        <v>7004</v>
      </c>
      <c r="J797" s="0" t="s">
        <v>240</v>
      </c>
      <c r="K797" s="0" t="s">
        <v>240</v>
      </c>
      <c r="L797" s="0" t="s">
        <v>240</v>
      </c>
      <c r="M797" s="0" t="s">
        <v>240</v>
      </c>
      <c r="N797" s="0" t="s">
        <v>240</v>
      </c>
      <c r="O797" s="0" t="s">
        <v>240</v>
      </c>
      <c r="P797" s="0" t="s">
        <v>240</v>
      </c>
      <c r="Q797" s="0" t="s">
        <v>240</v>
      </c>
      <c r="R797" s="0" t="s">
        <v>7298</v>
      </c>
      <c r="S797" s="0" t="s">
        <v>240</v>
      </c>
      <c r="T797" s="0" t="s">
        <v>240</v>
      </c>
      <c r="U797" s="0" t="s">
        <v>102</v>
      </c>
      <c r="V797" s="0" t="s">
        <v>240</v>
      </c>
      <c r="W797" s="0" t="s">
        <v>240</v>
      </c>
      <c r="X797" s="0" t="s">
        <v>5905</v>
      </c>
      <c r="Y797" s="0" t="s">
        <v>240</v>
      </c>
      <c r="Z797" s="0" t="s">
        <v>152</v>
      </c>
      <c r="AA797" s="0" t="s">
        <v>161</v>
      </c>
      <c r="AB797" s="0" t="s">
        <v>152</v>
      </c>
      <c r="AC797" s="0" t="s">
        <v>3395</v>
      </c>
      <c r="AD797" s="0" t="s">
        <v>3395</v>
      </c>
      <c r="AE797" s="0" t="s">
        <v>3396</v>
      </c>
      <c r="AF797" s="0" t="s">
        <v>5941</v>
      </c>
      <c r="AG797" s="0" t="s">
        <v>5942</v>
      </c>
      <c r="AH797" s="0" t="s">
        <v>7299</v>
      </c>
      <c r="AI797" s="0" t="s">
        <v>5533</v>
      </c>
      <c r="AJ797" s="0" t="s">
        <v>240</v>
      </c>
      <c r="AK797" s="0" t="s">
        <v>240</v>
      </c>
      <c r="AL797" s="0" t="s">
        <v>240</v>
      </c>
      <c r="AN797" s="0" t="s">
        <v>240</v>
      </c>
      <c r="AO797" s="0" t="s">
        <v>240</v>
      </c>
      <c r="AP797" s="0" t="s">
        <v>7138</v>
      </c>
      <c r="AQ797" s="0" t="s">
        <v>7139</v>
      </c>
      <c r="AR797" s="0" t="s">
        <v>112</v>
      </c>
      <c r="AS797" s="0" t="s">
        <v>5589</v>
      </c>
      <c r="AT797" s="0" t="s">
        <v>123</v>
      </c>
      <c r="AU797" s="0" t="s">
        <v>240</v>
      </c>
      <c r="AV797" s="0" t="s">
        <v>550</v>
      </c>
      <c r="AW797" s="0" t="s">
        <v>3395</v>
      </c>
      <c r="AX797" s="0" t="s">
        <v>3395</v>
      </c>
      <c r="AY797" s="0" t="s">
        <v>6066</v>
      </c>
      <c r="AZ797" s="0" t="s">
        <v>5941</v>
      </c>
      <c r="BA797" s="0" t="s">
        <v>6067</v>
      </c>
      <c r="BB797" s="0" t="s">
        <v>7299</v>
      </c>
      <c r="BC797" s="0" t="s">
        <v>5533</v>
      </c>
      <c r="BD797" s="0" t="s">
        <v>5553</v>
      </c>
      <c r="BE797" s="0" t="s">
        <v>240</v>
      </c>
      <c r="BF797" s="0" t="s">
        <v>240</v>
      </c>
      <c r="BG797" s="0" t="s">
        <v>240</v>
      </c>
      <c r="BH797" s="0" t="s">
        <v>240</v>
      </c>
      <c r="BI797" s="0" t="s">
        <v>240</v>
      </c>
      <c r="BJ797" s="0" t="s">
        <v>240</v>
      </c>
      <c r="BK797" s="0" t="s">
        <v>240</v>
      </c>
      <c r="BL797" s="0" t="s">
        <v>240</v>
      </c>
      <c r="BM797" s="0" t="s">
        <v>240</v>
      </c>
      <c r="BN797" s="0" t="s">
        <v>240</v>
      </c>
      <c r="BO797" s="0" t="s">
        <v>240</v>
      </c>
      <c r="BP797" s="0" t="s">
        <v>240</v>
      </c>
      <c r="BQ797" s="0" t="s">
        <v>240</v>
      </c>
      <c r="BR797" s="0" t="s">
        <v>240</v>
      </c>
      <c r="BS797" s="0" t="s">
        <v>240</v>
      </c>
      <c r="BT797" s="0" t="s">
        <v>240</v>
      </c>
      <c r="CS797" s="0" t="s">
        <v>240</v>
      </c>
      <c r="CT797" s="0" t="s">
        <v>5496</v>
      </c>
      <c r="CU797" s="0" t="s">
        <v>5497</v>
      </c>
      <c r="CV797" s="0" t="s">
        <v>5947</v>
      </c>
      <c r="CW797" s="0" t="s">
        <v>5948</v>
      </c>
      <c r="CX797" s="0" t="s">
        <v>5528</v>
      </c>
      <c r="CY797" s="0" t="s">
        <v>5947</v>
      </c>
      <c r="CZ797" s="0" t="s">
        <v>7022</v>
      </c>
      <c r="DA797" s="0" t="s">
        <v>5949</v>
      </c>
      <c r="DB797" s="0" t="s">
        <v>5948</v>
      </c>
      <c r="DC797" s="0" t="s">
        <v>384</v>
      </c>
      <c r="DD797" s="0" t="s">
        <v>300</v>
      </c>
      <c r="DE797" s="0" t="s">
        <v>7300</v>
      </c>
    </row>
    <row customHeight="1" ht="11.25">
      <c r="A798" s="1441" t="s">
        <v>240</v>
      </c>
      <c r="B798" s="0" t="s">
        <v>240</v>
      </c>
      <c r="C798" s="0" t="s">
        <v>240</v>
      </c>
      <c r="D798" s="0" t="s">
        <v>240</v>
      </c>
      <c r="E798" s="0" t="s">
        <v>240</v>
      </c>
      <c r="F798" s="0" t="s">
        <v>240</v>
      </c>
      <c r="G798" s="0" t="s">
        <v>240</v>
      </c>
      <c r="H798" s="0" t="s">
        <v>240</v>
      </c>
      <c r="I798" s="0" t="s">
        <v>7004</v>
      </c>
      <c r="J798" s="0" t="s">
        <v>240</v>
      </c>
      <c r="K798" s="0" t="s">
        <v>240</v>
      </c>
      <c r="L798" s="0" t="s">
        <v>240</v>
      </c>
      <c r="M798" s="0" t="s">
        <v>240</v>
      </c>
      <c r="N798" s="0" t="s">
        <v>240</v>
      </c>
      <c r="O798" s="0" t="s">
        <v>240</v>
      </c>
      <c r="P798" s="0" t="s">
        <v>240</v>
      </c>
      <c r="Q798" s="0" t="s">
        <v>240</v>
      </c>
      <c r="R798" s="0" t="s">
        <v>7229</v>
      </c>
      <c r="S798" s="0" t="s">
        <v>240</v>
      </c>
      <c r="T798" s="0" t="s">
        <v>240</v>
      </c>
      <c r="U798" s="0" t="s">
        <v>102</v>
      </c>
      <c r="V798" s="0" t="s">
        <v>240</v>
      </c>
      <c r="W798" s="0" t="s">
        <v>240</v>
      </c>
      <c r="X798" s="0" t="s">
        <v>546</v>
      </c>
      <c r="Y798" s="0" t="s">
        <v>240</v>
      </c>
      <c r="Z798" s="0" t="s">
        <v>161</v>
      </c>
      <c r="AA798" s="0" t="s">
        <v>152</v>
      </c>
      <c r="AB798" s="0" t="s">
        <v>152</v>
      </c>
      <c r="AC798" s="0" t="s">
        <v>2991</v>
      </c>
      <c r="AD798" s="0" t="s">
        <v>2991</v>
      </c>
      <c r="AE798" s="0" t="s">
        <v>2992</v>
      </c>
      <c r="AF798" s="0" t="s">
        <v>5749</v>
      </c>
      <c r="AG798" s="0" t="s">
        <v>5750</v>
      </c>
      <c r="AH798" s="0" t="s">
        <v>7230</v>
      </c>
      <c r="AI798" s="0" t="s">
        <v>5624</v>
      </c>
      <c r="AJ798" s="0" t="s">
        <v>6917</v>
      </c>
      <c r="AK798" s="0" t="s">
        <v>7195</v>
      </c>
      <c r="AL798" s="0" t="s">
        <v>7009</v>
      </c>
      <c r="AN798" s="0" t="s">
        <v>5507</v>
      </c>
      <c r="AO798" s="0" t="s">
        <v>5625</v>
      </c>
      <c r="AP798" s="0" t="s">
        <v>240</v>
      </c>
      <c r="AQ798" s="0" t="s">
        <v>240</v>
      </c>
      <c r="AR798" s="0" t="s">
        <v>240</v>
      </c>
      <c r="AS798" s="0" t="s">
        <v>240</v>
      </c>
      <c r="AT798" s="0" t="s">
        <v>240</v>
      </c>
      <c r="AU798" s="0" t="s">
        <v>240</v>
      </c>
      <c r="AV798" s="0" t="s">
        <v>240</v>
      </c>
      <c r="AW798" s="0" t="s">
        <v>240</v>
      </c>
      <c r="AX798" s="0" t="s">
        <v>240</v>
      </c>
      <c r="AY798" s="0" t="s">
        <v>240</v>
      </c>
      <c r="AZ798" s="0" t="s">
        <v>240</v>
      </c>
      <c r="BA798" s="0" t="s">
        <v>240</v>
      </c>
      <c r="BB798" s="0" t="s">
        <v>240</v>
      </c>
      <c r="BC798" s="0" t="s">
        <v>240</v>
      </c>
      <c r="BD798" s="0" t="s">
        <v>240</v>
      </c>
      <c r="BE798" s="0" t="s">
        <v>240</v>
      </c>
      <c r="BF798" s="0" t="s">
        <v>240</v>
      </c>
      <c r="BG798" s="0" t="s">
        <v>240</v>
      </c>
      <c r="BH798" s="0" t="s">
        <v>240</v>
      </c>
      <c r="BI798" s="0" t="s">
        <v>240</v>
      </c>
      <c r="BJ798" s="0" t="s">
        <v>240</v>
      </c>
      <c r="BK798" s="0" t="s">
        <v>240</v>
      </c>
      <c r="BL798" s="0" t="s">
        <v>240</v>
      </c>
      <c r="BM798" s="0" t="s">
        <v>240</v>
      </c>
      <c r="BN798" s="0" t="s">
        <v>240</v>
      </c>
      <c r="BO798" s="0" t="s">
        <v>240</v>
      </c>
      <c r="BP798" s="0" t="s">
        <v>240</v>
      </c>
      <c r="BQ798" s="0" t="s">
        <v>240</v>
      </c>
      <c r="BR798" s="0" t="s">
        <v>240</v>
      </c>
      <c r="BS798" s="0" t="s">
        <v>240</v>
      </c>
      <c r="BT798" s="0" t="s">
        <v>240</v>
      </c>
      <c r="CS798" s="0" t="s">
        <v>240</v>
      </c>
      <c r="CT798" s="0" t="s">
        <v>5496</v>
      </c>
      <c r="CU798" s="0" t="s">
        <v>5497</v>
      </c>
      <c r="CV798" s="0" t="s">
        <v>443</v>
      </c>
      <c r="CW798" s="0" t="s">
        <v>5547</v>
      </c>
      <c r="CX798" s="0" t="s">
        <v>229</v>
      </c>
      <c r="CY798" s="0" t="s">
        <v>443</v>
      </c>
      <c r="CZ798" s="0" t="s">
        <v>5548</v>
      </c>
      <c r="DA798" s="0" t="s">
        <v>5549</v>
      </c>
      <c r="DB798" s="0" t="s">
        <v>5547</v>
      </c>
      <c r="DC798" s="0" t="s">
        <v>384</v>
      </c>
      <c r="DD798" s="0" t="s">
        <v>300</v>
      </c>
      <c r="DE798" s="0" t="s">
        <v>7231</v>
      </c>
    </row>
    <row customHeight="1" ht="11.25">
      <c r="A799" s="1441" t="s">
        <v>240</v>
      </c>
      <c r="B799" s="0" t="s">
        <v>240</v>
      </c>
      <c r="C799" s="0" t="s">
        <v>240</v>
      </c>
      <c r="D799" s="0" t="s">
        <v>240</v>
      </c>
      <c r="E799" s="0" t="s">
        <v>240</v>
      </c>
      <c r="F799" s="0" t="s">
        <v>240</v>
      </c>
      <c r="G799" s="0" t="s">
        <v>240</v>
      </c>
      <c r="H799" s="0" t="s">
        <v>240</v>
      </c>
      <c r="I799" s="0" t="s">
        <v>7004</v>
      </c>
      <c r="J799" s="0" t="s">
        <v>240</v>
      </c>
      <c r="K799" s="0" t="s">
        <v>240</v>
      </c>
      <c r="L799" s="0" t="s">
        <v>240</v>
      </c>
      <c r="M799" s="0" t="s">
        <v>240</v>
      </c>
      <c r="N799" s="0" t="s">
        <v>240</v>
      </c>
      <c r="O799" s="0" t="s">
        <v>240</v>
      </c>
      <c r="P799" s="0" t="s">
        <v>240</v>
      </c>
      <c r="Q799" s="0" t="s">
        <v>240</v>
      </c>
      <c r="R799" s="0" t="s">
        <v>7232</v>
      </c>
      <c r="S799" s="0" t="s">
        <v>240</v>
      </c>
      <c r="T799" s="0" t="s">
        <v>240</v>
      </c>
      <c r="U799" s="0" t="s">
        <v>102</v>
      </c>
      <c r="V799" s="0" t="s">
        <v>240</v>
      </c>
      <c r="W799" s="0" t="s">
        <v>240</v>
      </c>
      <c r="X799" s="0" t="s">
        <v>546</v>
      </c>
      <c r="Y799" s="0" t="s">
        <v>240</v>
      </c>
      <c r="Z799" s="0" t="s">
        <v>161</v>
      </c>
      <c r="AA799" s="0" t="s">
        <v>152</v>
      </c>
      <c r="AB799" s="0" t="s">
        <v>152</v>
      </c>
      <c r="AC799" s="0" t="s">
        <v>2991</v>
      </c>
      <c r="AD799" s="0" t="s">
        <v>2991</v>
      </c>
      <c r="AE799" s="0" t="s">
        <v>2992</v>
      </c>
      <c r="AF799" s="0" t="s">
        <v>5749</v>
      </c>
      <c r="AG799" s="0" t="s">
        <v>5750</v>
      </c>
      <c r="AH799" s="0" t="s">
        <v>7233</v>
      </c>
      <c r="AI799" s="0" t="s">
        <v>5575</v>
      </c>
      <c r="AJ799" s="0" t="s">
        <v>6917</v>
      </c>
      <c r="AK799" s="0" t="s">
        <v>7195</v>
      </c>
      <c r="AL799" s="0" t="s">
        <v>7009</v>
      </c>
      <c r="AN799" s="0" t="s">
        <v>5507</v>
      </c>
      <c r="AO799" s="0" t="s">
        <v>7015</v>
      </c>
      <c r="AP799" s="0" t="s">
        <v>240</v>
      </c>
      <c r="AQ799" s="0" t="s">
        <v>240</v>
      </c>
      <c r="AR799" s="0" t="s">
        <v>240</v>
      </c>
      <c r="AS799" s="0" t="s">
        <v>240</v>
      </c>
      <c r="AT799" s="0" t="s">
        <v>240</v>
      </c>
      <c r="AU799" s="0" t="s">
        <v>240</v>
      </c>
      <c r="AV799" s="0" t="s">
        <v>240</v>
      </c>
      <c r="AW799" s="0" t="s">
        <v>240</v>
      </c>
      <c r="AX799" s="0" t="s">
        <v>240</v>
      </c>
      <c r="AY799" s="0" t="s">
        <v>240</v>
      </c>
      <c r="AZ799" s="0" t="s">
        <v>240</v>
      </c>
      <c r="BA799" s="0" t="s">
        <v>240</v>
      </c>
      <c r="BB799" s="0" t="s">
        <v>240</v>
      </c>
      <c r="BC799" s="0" t="s">
        <v>240</v>
      </c>
      <c r="BD799" s="0" t="s">
        <v>240</v>
      </c>
      <c r="BE799" s="0" t="s">
        <v>240</v>
      </c>
      <c r="BF799" s="0" t="s">
        <v>240</v>
      </c>
      <c r="BG799" s="0" t="s">
        <v>240</v>
      </c>
      <c r="BH799" s="0" t="s">
        <v>240</v>
      </c>
      <c r="BI799" s="0" t="s">
        <v>240</v>
      </c>
      <c r="BJ799" s="0" t="s">
        <v>240</v>
      </c>
      <c r="BK799" s="0" t="s">
        <v>240</v>
      </c>
      <c r="BL799" s="0" t="s">
        <v>240</v>
      </c>
      <c r="BM799" s="0" t="s">
        <v>240</v>
      </c>
      <c r="BN799" s="0" t="s">
        <v>240</v>
      </c>
      <c r="BO799" s="0" t="s">
        <v>240</v>
      </c>
      <c r="BP799" s="0" t="s">
        <v>240</v>
      </c>
      <c r="BQ799" s="0" t="s">
        <v>240</v>
      </c>
      <c r="BR799" s="0" t="s">
        <v>240</v>
      </c>
      <c r="BS799" s="0" t="s">
        <v>240</v>
      </c>
      <c r="BT799" s="0" t="s">
        <v>240</v>
      </c>
      <c r="CS799" s="0" t="s">
        <v>240</v>
      </c>
      <c r="CT799" s="0" t="s">
        <v>5496</v>
      </c>
      <c r="CU799" s="0" t="s">
        <v>5497</v>
      </c>
      <c r="CV799" s="0" t="s">
        <v>443</v>
      </c>
      <c r="CW799" s="0" t="s">
        <v>5547</v>
      </c>
      <c r="CX799" s="0" t="s">
        <v>229</v>
      </c>
      <c r="CY799" s="0" t="s">
        <v>443</v>
      </c>
      <c r="CZ799" s="0" t="s">
        <v>5548</v>
      </c>
      <c r="DA799" s="0" t="s">
        <v>5549</v>
      </c>
      <c r="DB799" s="0" t="s">
        <v>5547</v>
      </c>
      <c r="DC799" s="0" t="s">
        <v>384</v>
      </c>
      <c r="DD799" s="0" t="s">
        <v>300</v>
      </c>
      <c r="DE799" s="0" t="s">
        <v>7234</v>
      </c>
    </row>
    <row customHeight="1" ht="11.25">
      <c r="A800" s="1441" t="s">
        <v>240</v>
      </c>
      <c r="B800" s="0" t="s">
        <v>240</v>
      </c>
      <c r="C800" s="0" t="s">
        <v>240</v>
      </c>
      <c r="D800" s="0" t="s">
        <v>240</v>
      </c>
      <c r="E800" s="0" t="s">
        <v>240</v>
      </c>
      <c r="F800" s="0" t="s">
        <v>240</v>
      </c>
      <c r="G800" s="0" t="s">
        <v>240</v>
      </c>
      <c r="H800" s="0" t="s">
        <v>240</v>
      </c>
      <c r="I800" s="0" t="s">
        <v>7004</v>
      </c>
      <c r="J800" s="0" t="s">
        <v>240</v>
      </c>
      <c r="K800" s="0" t="s">
        <v>240</v>
      </c>
      <c r="L800" s="0" t="s">
        <v>240</v>
      </c>
      <c r="M800" s="0" t="s">
        <v>240</v>
      </c>
      <c r="N800" s="0" t="s">
        <v>240</v>
      </c>
      <c r="O800" s="0" t="s">
        <v>240</v>
      </c>
      <c r="P800" s="0" t="s">
        <v>240</v>
      </c>
      <c r="Q800" s="0" t="s">
        <v>240</v>
      </c>
      <c r="R800" s="0" t="s">
        <v>7235</v>
      </c>
      <c r="S800" s="0" t="s">
        <v>240</v>
      </c>
      <c r="T800" s="0" t="s">
        <v>240</v>
      </c>
      <c r="U800" s="0" t="s">
        <v>102</v>
      </c>
      <c r="V800" s="0" t="s">
        <v>240</v>
      </c>
      <c r="W800" s="0" t="s">
        <v>240</v>
      </c>
      <c r="X800" s="0" t="s">
        <v>5585</v>
      </c>
      <c r="Y800" s="0" t="s">
        <v>240</v>
      </c>
      <c r="Z800" s="0" t="s">
        <v>152</v>
      </c>
      <c r="AA800" s="0" t="s">
        <v>152</v>
      </c>
      <c r="AB800" s="0" t="s">
        <v>161</v>
      </c>
      <c r="AC800" s="0" t="s">
        <v>2991</v>
      </c>
      <c r="AD800" s="0" t="s">
        <v>2991</v>
      </c>
      <c r="AE800" s="0" t="s">
        <v>2992</v>
      </c>
      <c r="AF800" s="0" t="s">
        <v>5540</v>
      </c>
      <c r="AG800" s="0" t="s">
        <v>5541</v>
      </c>
      <c r="AH800" s="0" t="s">
        <v>5575</v>
      </c>
      <c r="AI800" s="0" t="s">
        <v>5575</v>
      </c>
      <c r="AJ800" s="0" t="s">
        <v>240</v>
      </c>
      <c r="AK800" s="0" t="s">
        <v>240</v>
      </c>
      <c r="AL800" s="0" t="s">
        <v>240</v>
      </c>
      <c r="AN800" s="0" t="s">
        <v>240</v>
      </c>
      <c r="AO800" s="0" t="s">
        <v>240</v>
      </c>
      <c r="AP800" s="0" t="s">
        <v>240</v>
      </c>
      <c r="AQ800" s="0" t="s">
        <v>240</v>
      </c>
      <c r="AR800" s="0" t="s">
        <v>240</v>
      </c>
      <c r="AS800" s="0" t="s">
        <v>240</v>
      </c>
      <c r="AT800" s="0" t="s">
        <v>240</v>
      </c>
      <c r="AU800" s="0" t="s">
        <v>240</v>
      </c>
      <c r="AV800" s="0" t="s">
        <v>240</v>
      </c>
      <c r="AW800" s="0" t="s">
        <v>240</v>
      </c>
      <c r="AX800" s="0" t="s">
        <v>240</v>
      </c>
      <c r="AY800" s="0" t="s">
        <v>240</v>
      </c>
      <c r="AZ800" s="0" t="s">
        <v>240</v>
      </c>
      <c r="BA800" s="0" t="s">
        <v>240</v>
      </c>
      <c r="BB800" s="0" t="s">
        <v>240</v>
      </c>
      <c r="BC800" s="0" t="s">
        <v>240</v>
      </c>
      <c r="BD800" s="0" t="s">
        <v>240</v>
      </c>
      <c r="BE800" s="0" t="s">
        <v>5505</v>
      </c>
      <c r="BF800" s="0" t="s">
        <v>5776</v>
      </c>
      <c r="BG800" s="0" t="s">
        <v>112</v>
      </c>
      <c r="BH800" s="0" t="s">
        <v>5589</v>
      </c>
      <c r="BI800" s="0" t="s">
        <v>123</v>
      </c>
      <c r="BJ800" s="0" t="s">
        <v>240</v>
      </c>
      <c r="BK800" s="0" t="s">
        <v>240</v>
      </c>
      <c r="BL800" s="0" t="s">
        <v>2991</v>
      </c>
      <c r="BM800" s="0" t="s">
        <v>2991</v>
      </c>
      <c r="BN800" s="0" t="s">
        <v>5663</v>
      </c>
      <c r="BO800" s="0" t="s">
        <v>5540</v>
      </c>
      <c r="BP800" s="0" t="s">
        <v>6180</v>
      </c>
      <c r="BQ800" s="0" t="s">
        <v>5575</v>
      </c>
      <c r="BR800" s="0" t="s">
        <v>5575</v>
      </c>
      <c r="BS800" s="0" t="s">
        <v>240</v>
      </c>
      <c r="BT800" s="0" t="s">
        <v>5650</v>
      </c>
      <c r="CS800" s="0" t="s">
        <v>7118</v>
      </c>
      <c r="CT800" s="0" t="s">
        <v>5496</v>
      </c>
      <c r="CU800" s="0" t="s">
        <v>5497</v>
      </c>
      <c r="CV800" s="0" t="s">
        <v>443</v>
      </c>
      <c r="CW800" s="0" t="s">
        <v>5547</v>
      </c>
      <c r="CX800" s="0" t="s">
        <v>229</v>
      </c>
      <c r="CY800" s="0" t="s">
        <v>443</v>
      </c>
      <c r="CZ800" s="0" t="s">
        <v>5548</v>
      </c>
      <c r="DA800" s="0" t="s">
        <v>5549</v>
      </c>
      <c r="DB800" s="0" t="s">
        <v>5547</v>
      </c>
      <c r="DC800" s="0" t="s">
        <v>384</v>
      </c>
      <c r="DD800" s="0" t="s">
        <v>300</v>
      </c>
      <c r="DE800" s="0" t="s">
        <v>6182</v>
      </c>
    </row>
    <row customHeight="1" ht="11.25">
      <c r="A801" s="1441" t="s">
        <v>240</v>
      </c>
      <c r="B801" s="0" t="s">
        <v>240</v>
      </c>
      <c r="C801" s="0" t="s">
        <v>240</v>
      </c>
      <c r="D801" s="0" t="s">
        <v>240</v>
      </c>
      <c r="E801" s="0" t="s">
        <v>240</v>
      </c>
      <c r="F801" s="0" t="s">
        <v>240</v>
      </c>
      <c r="G801" s="0" t="s">
        <v>240</v>
      </c>
      <c r="H801" s="0" t="s">
        <v>240</v>
      </c>
      <c r="I801" s="0" t="s">
        <v>7004</v>
      </c>
      <c r="J801" s="0" t="s">
        <v>240</v>
      </c>
      <c r="K801" s="0" t="s">
        <v>240</v>
      </c>
      <c r="L801" s="0" t="s">
        <v>240</v>
      </c>
      <c r="M801" s="0" t="s">
        <v>240</v>
      </c>
      <c r="N801" s="0" t="s">
        <v>240</v>
      </c>
      <c r="O801" s="0" t="s">
        <v>240</v>
      </c>
      <c r="P801" s="0" t="s">
        <v>240</v>
      </c>
      <c r="Q801" s="0" t="s">
        <v>240</v>
      </c>
      <c r="R801" s="0" t="s">
        <v>7115</v>
      </c>
      <c r="S801" s="0" t="s">
        <v>240</v>
      </c>
      <c r="T801" s="0" t="s">
        <v>240</v>
      </c>
      <c r="U801" s="0" t="s">
        <v>102</v>
      </c>
      <c r="V801" s="0" t="s">
        <v>240</v>
      </c>
      <c r="W801" s="0" t="s">
        <v>240</v>
      </c>
      <c r="X801" s="0" t="s">
        <v>5585</v>
      </c>
      <c r="Y801" s="0" t="s">
        <v>240</v>
      </c>
      <c r="Z801" s="0" t="s">
        <v>152</v>
      </c>
      <c r="AA801" s="0" t="s">
        <v>152</v>
      </c>
      <c r="AB801" s="0" t="s">
        <v>161</v>
      </c>
      <c r="AC801" s="0" t="s">
        <v>2989</v>
      </c>
      <c r="AD801" s="0" t="s">
        <v>2989</v>
      </c>
      <c r="AE801" s="0" t="s">
        <v>2990</v>
      </c>
      <c r="AF801" s="0" t="s">
        <v>5975</v>
      </c>
      <c r="AG801" s="0" t="s">
        <v>5976</v>
      </c>
      <c r="AH801" s="0" t="s">
        <v>5575</v>
      </c>
      <c r="AI801" s="0" t="s">
        <v>5575</v>
      </c>
      <c r="AJ801" s="0" t="s">
        <v>240</v>
      </c>
      <c r="AK801" s="0" t="s">
        <v>240</v>
      </c>
      <c r="AL801" s="0" t="s">
        <v>240</v>
      </c>
      <c r="AN801" s="0" t="s">
        <v>240</v>
      </c>
      <c r="AO801" s="0" t="s">
        <v>240</v>
      </c>
      <c r="AP801" s="0" t="s">
        <v>240</v>
      </c>
      <c r="AQ801" s="0" t="s">
        <v>240</v>
      </c>
      <c r="AR801" s="0" t="s">
        <v>240</v>
      </c>
      <c r="AS801" s="0" t="s">
        <v>240</v>
      </c>
      <c r="AT801" s="0" t="s">
        <v>240</v>
      </c>
      <c r="AU801" s="0" t="s">
        <v>240</v>
      </c>
      <c r="AV801" s="0" t="s">
        <v>240</v>
      </c>
      <c r="AW801" s="0" t="s">
        <v>240</v>
      </c>
      <c r="AX801" s="0" t="s">
        <v>240</v>
      </c>
      <c r="AY801" s="0" t="s">
        <v>240</v>
      </c>
      <c r="AZ801" s="0" t="s">
        <v>240</v>
      </c>
      <c r="BA801" s="0" t="s">
        <v>240</v>
      </c>
      <c r="BB801" s="0" t="s">
        <v>240</v>
      </c>
      <c r="BC801" s="0" t="s">
        <v>240</v>
      </c>
      <c r="BD801" s="0" t="s">
        <v>240</v>
      </c>
      <c r="BE801" s="0" t="s">
        <v>7116</v>
      </c>
      <c r="BF801" s="0" t="s">
        <v>7117</v>
      </c>
      <c r="BG801" s="0" t="s">
        <v>112</v>
      </c>
      <c r="BH801" s="0" t="s">
        <v>5589</v>
      </c>
      <c r="BI801" s="0" t="s">
        <v>123</v>
      </c>
      <c r="BJ801" s="0" t="s">
        <v>240</v>
      </c>
      <c r="BK801" s="0" t="s">
        <v>240</v>
      </c>
      <c r="BL801" s="0" t="s">
        <v>2989</v>
      </c>
      <c r="BM801" s="0" t="s">
        <v>2989</v>
      </c>
      <c r="BN801" s="0" t="s">
        <v>5798</v>
      </c>
      <c r="BO801" s="0" t="s">
        <v>5975</v>
      </c>
      <c r="BP801" s="0" t="s">
        <v>6162</v>
      </c>
      <c r="BQ801" s="0" t="s">
        <v>5575</v>
      </c>
      <c r="BR801" s="0" t="s">
        <v>5575</v>
      </c>
      <c r="BS801" s="0" t="s">
        <v>240</v>
      </c>
      <c r="BT801" s="0" t="s">
        <v>5650</v>
      </c>
      <c r="CS801" s="0" t="s">
        <v>7118</v>
      </c>
      <c r="CT801" s="0" t="s">
        <v>5496</v>
      </c>
      <c r="CU801" s="0" t="s">
        <v>5497</v>
      </c>
      <c r="CV801" s="0" t="s">
        <v>443</v>
      </c>
      <c r="CW801" s="0" t="s">
        <v>5580</v>
      </c>
      <c r="CX801" s="0" t="s">
        <v>229</v>
      </c>
      <c r="CY801" s="0" t="s">
        <v>443</v>
      </c>
      <c r="CZ801" s="0" t="s">
        <v>5581</v>
      </c>
      <c r="DA801" s="0" t="s">
        <v>5582</v>
      </c>
      <c r="DB801" s="0" t="s">
        <v>5580</v>
      </c>
      <c r="DC801" s="0" t="s">
        <v>384</v>
      </c>
      <c r="DD801" s="0" t="s">
        <v>300</v>
      </c>
      <c r="DE801" s="0" t="s">
        <v>6236</v>
      </c>
    </row>
    <row customHeight="1" ht="11.25">
      <c r="A802" s="1441" t="s">
        <v>240</v>
      </c>
      <c r="B802" s="0" t="s">
        <v>240</v>
      </c>
      <c r="C802" s="0" t="s">
        <v>240</v>
      </c>
      <c r="D802" s="0" t="s">
        <v>240</v>
      </c>
      <c r="E802" s="0" t="s">
        <v>240</v>
      </c>
      <c r="F802" s="0" t="s">
        <v>240</v>
      </c>
      <c r="G802" s="0" t="s">
        <v>240</v>
      </c>
      <c r="H802" s="0" t="s">
        <v>240</v>
      </c>
      <c r="I802" s="0" t="s">
        <v>7004</v>
      </c>
      <c r="J802" s="0" t="s">
        <v>240</v>
      </c>
      <c r="K802" s="0" t="s">
        <v>240</v>
      </c>
      <c r="L802" s="0" t="s">
        <v>240</v>
      </c>
      <c r="M802" s="0" t="s">
        <v>240</v>
      </c>
      <c r="N802" s="0" t="s">
        <v>240</v>
      </c>
      <c r="O802" s="0" t="s">
        <v>240</v>
      </c>
      <c r="P802" s="0" t="s">
        <v>240</v>
      </c>
      <c r="Q802" s="0" t="s">
        <v>240</v>
      </c>
      <c r="R802" s="0" t="s">
        <v>7308</v>
      </c>
      <c r="S802" s="0" t="s">
        <v>240</v>
      </c>
      <c r="T802" s="0" t="s">
        <v>240</v>
      </c>
      <c r="U802" s="0" t="s">
        <v>102</v>
      </c>
      <c r="V802" s="0" t="s">
        <v>240</v>
      </c>
      <c r="W802" s="0" t="s">
        <v>240</v>
      </c>
      <c r="X802" s="0" t="s">
        <v>5905</v>
      </c>
      <c r="Y802" s="0" t="s">
        <v>240</v>
      </c>
      <c r="Z802" s="0" t="s">
        <v>152</v>
      </c>
      <c r="AA802" s="0" t="s">
        <v>161</v>
      </c>
      <c r="AB802" s="0" t="s">
        <v>152</v>
      </c>
      <c r="AC802" s="0" t="s">
        <v>3395</v>
      </c>
      <c r="AD802" s="0" t="s">
        <v>3395</v>
      </c>
      <c r="AE802" s="0" t="s">
        <v>3396</v>
      </c>
      <c r="AF802" s="0" t="s">
        <v>5941</v>
      </c>
      <c r="AG802" s="0" t="s">
        <v>5942</v>
      </c>
      <c r="AH802" s="0" t="s">
        <v>7309</v>
      </c>
      <c r="AI802" s="0" t="s">
        <v>5533</v>
      </c>
      <c r="AJ802" s="0" t="s">
        <v>240</v>
      </c>
      <c r="AK802" s="0" t="s">
        <v>240</v>
      </c>
      <c r="AL802" s="0" t="s">
        <v>240</v>
      </c>
      <c r="AN802" s="0" t="s">
        <v>240</v>
      </c>
      <c r="AO802" s="0" t="s">
        <v>240</v>
      </c>
      <c r="AP802" s="0" t="s">
        <v>7093</v>
      </c>
      <c r="AQ802" s="0" t="s">
        <v>7094</v>
      </c>
      <c r="AR802" s="0" t="s">
        <v>112</v>
      </c>
      <c r="AS802" s="0" t="s">
        <v>5589</v>
      </c>
      <c r="AT802" s="0" t="s">
        <v>123</v>
      </c>
      <c r="AU802" s="0" t="s">
        <v>240</v>
      </c>
      <c r="AV802" s="0" t="s">
        <v>550</v>
      </c>
      <c r="AW802" s="0" t="s">
        <v>3395</v>
      </c>
      <c r="AX802" s="0" t="s">
        <v>3395</v>
      </c>
      <c r="AY802" s="0" t="s">
        <v>6066</v>
      </c>
      <c r="AZ802" s="0" t="s">
        <v>5941</v>
      </c>
      <c r="BA802" s="0" t="s">
        <v>6067</v>
      </c>
      <c r="BB802" s="0" t="s">
        <v>7310</v>
      </c>
      <c r="BC802" s="0" t="s">
        <v>5533</v>
      </c>
      <c r="BD802" s="0" t="s">
        <v>5553</v>
      </c>
      <c r="BE802" s="0" t="s">
        <v>240</v>
      </c>
      <c r="BF802" s="0" t="s">
        <v>240</v>
      </c>
      <c r="BG802" s="0" t="s">
        <v>240</v>
      </c>
      <c r="BH802" s="0" t="s">
        <v>240</v>
      </c>
      <c r="BI802" s="0" t="s">
        <v>240</v>
      </c>
      <c r="BJ802" s="0" t="s">
        <v>240</v>
      </c>
      <c r="BK802" s="0" t="s">
        <v>240</v>
      </c>
      <c r="BL802" s="0" t="s">
        <v>240</v>
      </c>
      <c r="BM802" s="0" t="s">
        <v>240</v>
      </c>
      <c r="BN802" s="0" t="s">
        <v>240</v>
      </c>
      <c r="BO802" s="0" t="s">
        <v>240</v>
      </c>
      <c r="BP802" s="0" t="s">
        <v>240</v>
      </c>
      <c r="BQ802" s="0" t="s">
        <v>240</v>
      </c>
      <c r="BR802" s="0" t="s">
        <v>240</v>
      </c>
      <c r="BS802" s="0" t="s">
        <v>240</v>
      </c>
      <c r="BT802" s="0" t="s">
        <v>240</v>
      </c>
      <c r="CS802" s="0" t="s">
        <v>240</v>
      </c>
      <c r="CT802" s="0" t="s">
        <v>5496</v>
      </c>
      <c r="CU802" s="0" t="s">
        <v>5497</v>
      </c>
      <c r="CV802" s="0" t="s">
        <v>5947</v>
      </c>
      <c r="CW802" s="0" t="s">
        <v>5948</v>
      </c>
      <c r="CX802" s="0" t="s">
        <v>5528</v>
      </c>
      <c r="CY802" s="0" t="s">
        <v>5947</v>
      </c>
      <c r="CZ802" s="0" t="s">
        <v>7022</v>
      </c>
      <c r="DA802" s="0" t="s">
        <v>5949</v>
      </c>
      <c r="DB802" s="0" t="s">
        <v>5948</v>
      </c>
      <c r="DC802" s="0" t="s">
        <v>384</v>
      </c>
      <c r="DD802" s="0" t="s">
        <v>300</v>
      </c>
      <c r="DE802" s="0" t="s">
        <v>7311</v>
      </c>
    </row>
    <row customHeight="1" ht="11.25">
      <c r="A803" s="1441" t="s">
        <v>240</v>
      </c>
      <c r="B803" s="0" t="s">
        <v>240</v>
      </c>
      <c r="C803" s="0" t="s">
        <v>240</v>
      </c>
      <c r="D803" s="0" t="s">
        <v>240</v>
      </c>
      <c r="E803" s="0" t="s">
        <v>240</v>
      </c>
      <c r="F803" s="0" t="s">
        <v>240</v>
      </c>
      <c r="G803" s="0" t="s">
        <v>240</v>
      </c>
      <c r="H803" s="0" t="s">
        <v>240</v>
      </c>
      <c r="I803" s="0" t="s">
        <v>7004</v>
      </c>
      <c r="J803" s="0" t="s">
        <v>240</v>
      </c>
      <c r="K803" s="0" t="s">
        <v>240</v>
      </c>
      <c r="L803" s="0" t="s">
        <v>240</v>
      </c>
      <c r="M803" s="0" t="s">
        <v>240</v>
      </c>
      <c r="N803" s="0" t="s">
        <v>240</v>
      </c>
      <c r="O803" s="0" t="s">
        <v>240</v>
      </c>
      <c r="P803" s="0" t="s">
        <v>240</v>
      </c>
      <c r="Q803" s="0" t="s">
        <v>240</v>
      </c>
      <c r="R803" s="0" t="s">
        <v>7365</v>
      </c>
      <c r="S803" s="0" t="s">
        <v>240</v>
      </c>
      <c r="T803" s="0" t="s">
        <v>240</v>
      </c>
      <c r="U803" s="0" t="s">
        <v>102</v>
      </c>
      <c r="V803" s="0" t="s">
        <v>240</v>
      </c>
      <c r="W803" s="0" t="s">
        <v>240</v>
      </c>
      <c r="X803" s="0" t="s">
        <v>546</v>
      </c>
      <c r="Y803" s="0" t="s">
        <v>240</v>
      </c>
      <c r="Z803" s="0" t="s">
        <v>161</v>
      </c>
      <c r="AA803" s="0" t="s">
        <v>152</v>
      </c>
      <c r="AB803" s="0" t="s">
        <v>152</v>
      </c>
      <c r="AC803" s="0" t="s">
        <v>2989</v>
      </c>
      <c r="AD803" s="0" t="s">
        <v>2989</v>
      </c>
      <c r="AE803" s="0" t="s">
        <v>2990</v>
      </c>
      <c r="AF803" s="0" t="s">
        <v>5975</v>
      </c>
      <c r="AG803" s="0" t="s">
        <v>5976</v>
      </c>
      <c r="AH803" s="0" t="s">
        <v>5617</v>
      </c>
      <c r="AI803" s="0" t="s">
        <v>5575</v>
      </c>
      <c r="AJ803" s="0" t="s">
        <v>7125</v>
      </c>
      <c r="AK803" s="0" t="s">
        <v>7366</v>
      </c>
      <c r="AL803" s="0" t="s">
        <v>7009</v>
      </c>
      <c r="AN803" s="0" t="s">
        <v>5491</v>
      </c>
      <c r="AO803" s="0" t="s">
        <v>7150</v>
      </c>
      <c r="AP803" s="0" t="s">
        <v>240</v>
      </c>
      <c r="AQ803" s="0" t="s">
        <v>240</v>
      </c>
      <c r="AR803" s="0" t="s">
        <v>240</v>
      </c>
      <c r="AS803" s="0" t="s">
        <v>240</v>
      </c>
      <c r="AT803" s="0" t="s">
        <v>240</v>
      </c>
      <c r="AU803" s="0" t="s">
        <v>240</v>
      </c>
      <c r="AV803" s="0" t="s">
        <v>240</v>
      </c>
      <c r="AW803" s="0" t="s">
        <v>240</v>
      </c>
      <c r="AX803" s="0" t="s">
        <v>240</v>
      </c>
      <c r="AY803" s="0" t="s">
        <v>240</v>
      </c>
      <c r="AZ803" s="0" t="s">
        <v>240</v>
      </c>
      <c r="BA803" s="0" t="s">
        <v>240</v>
      </c>
      <c r="BB803" s="0" t="s">
        <v>240</v>
      </c>
      <c r="BC803" s="0" t="s">
        <v>240</v>
      </c>
      <c r="BD803" s="0" t="s">
        <v>240</v>
      </c>
      <c r="BE803" s="0" t="s">
        <v>240</v>
      </c>
      <c r="BF803" s="0" t="s">
        <v>240</v>
      </c>
      <c r="BG803" s="0" t="s">
        <v>240</v>
      </c>
      <c r="BH803" s="0" t="s">
        <v>240</v>
      </c>
      <c r="BI803" s="0" t="s">
        <v>240</v>
      </c>
      <c r="BJ803" s="0" t="s">
        <v>240</v>
      </c>
      <c r="BK803" s="0" t="s">
        <v>240</v>
      </c>
      <c r="BL803" s="0" t="s">
        <v>240</v>
      </c>
      <c r="BM803" s="0" t="s">
        <v>240</v>
      </c>
      <c r="BN803" s="0" t="s">
        <v>240</v>
      </c>
      <c r="BO803" s="0" t="s">
        <v>240</v>
      </c>
      <c r="BP803" s="0" t="s">
        <v>240</v>
      </c>
      <c r="BQ803" s="0" t="s">
        <v>240</v>
      </c>
      <c r="BR803" s="0" t="s">
        <v>240</v>
      </c>
      <c r="BS803" s="0" t="s">
        <v>240</v>
      </c>
      <c r="BT803" s="0" t="s">
        <v>240</v>
      </c>
      <c r="CS803" s="0" t="s">
        <v>240</v>
      </c>
      <c r="CT803" s="0" t="s">
        <v>5496</v>
      </c>
      <c r="CU803" s="0" t="s">
        <v>5497</v>
      </c>
      <c r="CV803" s="0" t="s">
        <v>443</v>
      </c>
      <c r="CW803" s="0" t="s">
        <v>5580</v>
      </c>
      <c r="CX803" s="0" t="s">
        <v>229</v>
      </c>
      <c r="CY803" s="0" t="s">
        <v>443</v>
      </c>
      <c r="CZ803" s="0" t="s">
        <v>5581</v>
      </c>
      <c r="DA803" s="0" t="s">
        <v>5582</v>
      </c>
      <c r="DB803" s="0" t="s">
        <v>5580</v>
      </c>
      <c r="DC803" s="0" t="s">
        <v>384</v>
      </c>
      <c r="DD803" s="0" t="s">
        <v>300</v>
      </c>
      <c r="DE803" s="0" t="s">
        <v>7367</v>
      </c>
    </row>
    <row customHeight="1" ht="11.25">
      <c r="A804" s="1441" t="s">
        <v>240</v>
      </c>
      <c r="B804" s="0" t="s">
        <v>240</v>
      </c>
      <c r="C804" s="0" t="s">
        <v>240</v>
      </c>
      <c r="D804" s="0" t="s">
        <v>240</v>
      </c>
      <c r="E804" s="0" t="s">
        <v>240</v>
      </c>
      <c r="F804" s="0" t="s">
        <v>240</v>
      </c>
      <c r="G804" s="0" t="s">
        <v>240</v>
      </c>
      <c r="H804" s="0" t="s">
        <v>240</v>
      </c>
      <c r="I804" s="0" t="s">
        <v>7004</v>
      </c>
      <c r="J804" s="0" t="s">
        <v>240</v>
      </c>
      <c r="K804" s="0" t="s">
        <v>240</v>
      </c>
      <c r="L804" s="0" t="s">
        <v>240</v>
      </c>
      <c r="M804" s="0" t="s">
        <v>240</v>
      </c>
      <c r="N804" s="0" t="s">
        <v>240</v>
      </c>
      <c r="O804" s="0" t="s">
        <v>240</v>
      </c>
      <c r="P804" s="0" t="s">
        <v>240</v>
      </c>
      <c r="Q804" s="0" t="s">
        <v>240</v>
      </c>
      <c r="R804" s="0" t="s">
        <v>6829</v>
      </c>
      <c r="S804" s="0" t="s">
        <v>240</v>
      </c>
      <c r="T804" s="0" t="s">
        <v>240</v>
      </c>
      <c r="U804" s="0" t="s">
        <v>102</v>
      </c>
      <c r="V804" s="0" t="s">
        <v>240</v>
      </c>
      <c r="W804" s="0" t="s">
        <v>240</v>
      </c>
      <c r="X804" s="0" t="s">
        <v>5585</v>
      </c>
      <c r="Y804" s="0" t="s">
        <v>240</v>
      </c>
      <c r="Z804" s="0" t="s">
        <v>152</v>
      </c>
      <c r="AA804" s="0" t="s">
        <v>152</v>
      </c>
      <c r="AB804" s="0" t="s">
        <v>161</v>
      </c>
      <c r="AC804" s="0" t="s">
        <v>3395</v>
      </c>
      <c r="AD804" s="0" t="s">
        <v>3395</v>
      </c>
      <c r="AE804" s="0" t="s">
        <v>3396</v>
      </c>
      <c r="AF804" s="0" t="s">
        <v>5941</v>
      </c>
      <c r="AG804" s="0" t="s">
        <v>5942</v>
      </c>
      <c r="AH804" s="0" t="s">
        <v>6063</v>
      </c>
      <c r="AI804" s="0" t="s">
        <v>5533</v>
      </c>
      <c r="AJ804" s="0" t="s">
        <v>240</v>
      </c>
      <c r="AK804" s="0" t="s">
        <v>240</v>
      </c>
      <c r="AL804" s="0" t="s">
        <v>240</v>
      </c>
      <c r="AN804" s="0" t="s">
        <v>240</v>
      </c>
      <c r="AO804" s="0" t="s">
        <v>240</v>
      </c>
      <c r="AP804" s="0" t="s">
        <v>240</v>
      </c>
      <c r="AQ804" s="0" t="s">
        <v>240</v>
      </c>
      <c r="AR804" s="0" t="s">
        <v>240</v>
      </c>
      <c r="AS804" s="0" t="s">
        <v>240</v>
      </c>
      <c r="AT804" s="0" t="s">
        <v>240</v>
      </c>
      <c r="AU804" s="0" t="s">
        <v>240</v>
      </c>
      <c r="AV804" s="0" t="s">
        <v>240</v>
      </c>
      <c r="AW804" s="0" t="s">
        <v>240</v>
      </c>
      <c r="AX804" s="0" t="s">
        <v>240</v>
      </c>
      <c r="AY804" s="0" t="s">
        <v>240</v>
      </c>
      <c r="AZ804" s="0" t="s">
        <v>240</v>
      </c>
      <c r="BA804" s="0" t="s">
        <v>240</v>
      </c>
      <c r="BB804" s="0" t="s">
        <v>240</v>
      </c>
      <c r="BC804" s="0" t="s">
        <v>240</v>
      </c>
      <c r="BD804" s="0" t="s">
        <v>240</v>
      </c>
      <c r="BE804" s="0" t="s">
        <v>7093</v>
      </c>
      <c r="BF804" s="0" t="s">
        <v>7094</v>
      </c>
      <c r="BG804" s="0" t="s">
        <v>112</v>
      </c>
      <c r="BH804" s="0" t="s">
        <v>5589</v>
      </c>
      <c r="BI804" s="0" t="s">
        <v>123</v>
      </c>
      <c r="BJ804" s="0" t="s">
        <v>240</v>
      </c>
      <c r="BK804" s="0" t="s">
        <v>7095</v>
      </c>
      <c r="BL804" s="0" t="s">
        <v>3395</v>
      </c>
      <c r="BM804" s="0" t="s">
        <v>3395</v>
      </c>
      <c r="BN804" s="0" t="s">
        <v>6066</v>
      </c>
      <c r="BO804" s="0" t="s">
        <v>5941</v>
      </c>
      <c r="BP804" s="0" t="s">
        <v>6067</v>
      </c>
      <c r="BQ804" s="0" t="s">
        <v>6063</v>
      </c>
      <c r="BR804" s="0" t="s">
        <v>5533</v>
      </c>
      <c r="BS804" s="0" t="s">
        <v>240</v>
      </c>
      <c r="BT804" s="0" t="s">
        <v>5594</v>
      </c>
      <c r="CS804" s="0" t="s">
        <v>5553</v>
      </c>
      <c r="CT804" s="0" t="s">
        <v>5496</v>
      </c>
      <c r="CU804" s="0" t="s">
        <v>5497</v>
      </c>
      <c r="CV804" s="0" t="s">
        <v>5947</v>
      </c>
      <c r="CW804" s="0" t="s">
        <v>5948</v>
      </c>
      <c r="CX804" s="0" t="s">
        <v>5528</v>
      </c>
      <c r="CY804" s="0" t="s">
        <v>5947</v>
      </c>
      <c r="CZ804" s="0" t="s">
        <v>7022</v>
      </c>
      <c r="DA804" s="0" t="s">
        <v>5949</v>
      </c>
      <c r="DB804" s="0" t="s">
        <v>5948</v>
      </c>
      <c r="DC804" s="0" t="s">
        <v>384</v>
      </c>
      <c r="DD804" s="0" t="s">
        <v>300</v>
      </c>
      <c r="DE804" s="0" t="s">
        <v>7096</v>
      </c>
    </row>
    <row customHeight="1" ht="11.25">
      <c r="A805" s="1441" t="s">
        <v>240</v>
      </c>
      <c r="B805" s="0" t="s">
        <v>240</v>
      </c>
      <c r="C805" s="0" t="s">
        <v>240</v>
      </c>
      <c r="D805" s="0" t="s">
        <v>240</v>
      </c>
      <c r="E805" s="0" t="s">
        <v>240</v>
      </c>
      <c r="F805" s="0" t="s">
        <v>240</v>
      </c>
      <c r="G805" s="0" t="s">
        <v>240</v>
      </c>
      <c r="H805" s="0" t="s">
        <v>240</v>
      </c>
      <c r="I805" s="0" t="s">
        <v>7004</v>
      </c>
      <c r="J805" s="0" t="s">
        <v>240</v>
      </c>
      <c r="K805" s="0" t="s">
        <v>240</v>
      </c>
      <c r="L805" s="0" t="s">
        <v>240</v>
      </c>
      <c r="M805" s="0" t="s">
        <v>240</v>
      </c>
      <c r="N805" s="0" t="s">
        <v>240</v>
      </c>
      <c r="O805" s="0" t="s">
        <v>240</v>
      </c>
      <c r="P805" s="0" t="s">
        <v>240</v>
      </c>
      <c r="Q805" s="0" t="s">
        <v>240</v>
      </c>
      <c r="R805" s="0" t="s">
        <v>7337</v>
      </c>
      <c r="S805" s="0" t="s">
        <v>240</v>
      </c>
      <c r="T805" s="0" t="s">
        <v>240</v>
      </c>
      <c r="U805" s="0" t="s">
        <v>102</v>
      </c>
      <c r="V805" s="0" t="s">
        <v>240</v>
      </c>
      <c r="W805" s="0" t="s">
        <v>240</v>
      </c>
      <c r="X805" s="0" t="s">
        <v>5585</v>
      </c>
      <c r="Y805" s="0" t="s">
        <v>240</v>
      </c>
      <c r="Z805" s="0" t="s">
        <v>152</v>
      </c>
      <c r="AA805" s="0" t="s">
        <v>152</v>
      </c>
      <c r="AB805" s="0" t="s">
        <v>161</v>
      </c>
      <c r="AC805" s="0" t="s">
        <v>2991</v>
      </c>
      <c r="AD805" s="0" t="s">
        <v>2991</v>
      </c>
      <c r="AE805" s="0" t="s">
        <v>2992</v>
      </c>
      <c r="AF805" s="0" t="s">
        <v>5727</v>
      </c>
      <c r="AG805" s="0" t="s">
        <v>5728</v>
      </c>
      <c r="AH805" s="0" t="s">
        <v>5575</v>
      </c>
      <c r="AI805" s="0" t="s">
        <v>5575</v>
      </c>
      <c r="AJ805" s="0" t="s">
        <v>240</v>
      </c>
      <c r="AK805" s="0" t="s">
        <v>240</v>
      </c>
      <c r="AL805" s="0" t="s">
        <v>240</v>
      </c>
      <c r="AN805" s="0" t="s">
        <v>240</v>
      </c>
      <c r="AO805" s="0" t="s">
        <v>240</v>
      </c>
      <c r="AP805" s="0" t="s">
        <v>240</v>
      </c>
      <c r="AQ805" s="0" t="s">
        <v>240</v>
      </c>
      <c r="AR805" s="0" t="s">
        <v>240</v>
      </c>
      <c r="AS805" s="0" t="s">
        <v>240</v>
      </c>
      <c r="AT805" s="0" t="s">
        <v>240</v>
      </c>
      <c r="AU805" s="0" t="s">
        <v>240</v>
      </c>
      <c r="AV805" s="0" t="s">
        <v>240</v>
      </c>
      <c r="AW805" s="0" t="s">
        <v>240</v>
      </c>
      <c r="AX805" s="0" t="s">
        <v>240</v>
      </c>
      <c r="AY805" s="0" t="s">
        <v>240</v>
      </c>
      <c r="AZ805" s="0" t="s">
        <v>240</v>
      </c>
      <c r="BA805" s="0" t="s">
        <v>240</v>
      </c>
      <c r="BB805" s="0" t="s">
        <v>240</v>
      </c>
      <c r="BC805" s="0" t="s">
        <v>240</v>
      </c>
      <c r="BD805" s="0" t="s">
        <v>240</v>
      </c>
      <c r="BE805" s="0" t="s">
        <v>5505</v>
      </c>
      <c r="BF805" s="0" t="s">
        <v>5776</v>
      </c>
      <c r="BG805" s="0" t="s">
        <v>112</v>
      </c>
      <c r="BH805" s="0" t="s">
        <v>5589</v>
      </c>
      <c r="BI805" s="0" t="s">
        <v>123</v>
      </c>
      <c r="BJ805" s="0" t="s">
        <v>240</v>
      </c>
      <c r="BK805" s="0" t="s">
        <v>240</v>
      </c>
      <c r="BL805" s="0" t="s">
        <v>2991</v>
      </c>
      <c r="BM805" s="0" t="s">
        <v>2991</v>
      </c>
      <c r="BN805" s="0" t="s">
        <v>5663</v>
      </c>
      <c r="BO805" s="0" t="s">
        <v>5727</v>
      </c>
      <c r="BP805" s="0" t="s">
        <v>6042</v>
      </c>
      <c r="BQ805" s="0" t="s">
        <v>5575</v>
      </c>
      <c r="BR805" s="0" t="s">
        <v>5575</v>
      </c>
      <c r="BS805" s="0" t="s">
        <v>240</v>
      </c>
      <c r="BT805" s="0" t="s">
        <v>5650</v>
      </c>
      <c r="CS805" s="0" t="s">
        <v>7118</v>
      </c>
      <c r="CT805" s="0" t="s">
        <v>5496</v>
      </c>
      <c r="CU805" s="0" t="s">
        <v>5497</v>
      </c>
      <c r="CV805" s="0" t="s">
        <v>443</v>
      </c>
      <c r="CW805" s="0" t="s">
        <v>5547</v>
      </c>
      <c r="CX805" s="0" t="s">
        <v>229</v>
      </c>
      <c r="CY805" s="0" t="s">
        <v>443</v>
      </c>
      <c r="CZ805" s="0" t="s">
        <v>5548</v>
      </c>
      <c r="DA805" s="0" t="s">
        <v>5549</v>
      </c>
      <c r="DB805" s="0" t="s">
        <v>5547</v>
      </c>
      <c r="DC805" s="0" t="s">
        <v>384</v>
      </c>
      <c r="DD805" s="0" t="s">
        <v>300</v>
      </c>
      <c r="DE805" s="0" t="s">
        <v>6044</v>
      </c>
    </row>
    <row customHeight="1" ht="11.25">
      <c r="A806" s="1441" t="s">
        <v>240</v>
      </c>
      <c r="B806" s="0" t="s">
        <v>240</v>
      </c>
      <c r="C806" s="0" t="s">
        <v>240</v>
      </c>
      <c r="D806" s="0" t="s">
        <v>240</v>
      </c>
      <c r="E806" s="0" t="s">
        <v>240</v>
      </c>
      <c r="F806" s="0" t="s">
        <v>240</v>
      </c>
      <c r="G806" s="0" t="s">
        <v>240</v>
      </c>
      <c r="H806" s="0" t="s">
        <v>240</v>
      </c>
      <c r="I806" s="0" t="s">
        <v>7004</v>
      </c>
      <c r="J806" s="0" t="s">
        <v>240</v>
      </c>
      <c r="K806" s="0" t="s">
        <v>240</v>
      </c>
      <c r="L806" s="0" t="s">
        <v>240</v>
      </c>
      <c r="M806" s="0" t="s">
        <v>240</v>
      </c>
      <c r="N806" s="0" t="s">
        <v>240</v>
      </c>
      <c r="O806" s="0" t="s">
        <v>240</v>
      </c>
      <c r="P806" s="0" t="s">
        <v>240</v>
      </c>
      <c r="Q806" s="0" t="s">
        <v>240</v>
      </c>
      <c r="R806" s="0" t="s">
        <v>7338</v>
      </c>
      <c r="S806" s="0" t="s">
        <v>240</v>
      </c>
      <c r="T806" s="0" t="s">
        <v>240</v>
      </c>
      <c r="U806" s="0" t="s">
        <v>102</v>
      </c>
      <c r="V806" s="0" t="s">
        <v>240</v>
      </c>
      <c r="W806" s="0" t="s">
        <v>240</v>
      </c>
      <c r="X806" s="0" t="s">
        <v>5585</v>
      </c>
      <c r="Y806" s="0" t="s">
        <v>240</v>
      </c>
      <c r="Z806" s="0" t="s">
        <v>152</v>
      </c>
      <c r="AA806" s="0" t="s">
        <v>152</v>
      </c>
      <c r="AB806" s="0" t="s">
        <v>161</v>
      </c>
      <c r="AC806" s="0" t="s">
        <v>2991</v>
      </c>
      <c r="AD806" s="0" t="s">
        <v>2991</v>
      </c>
      <c r="AE806" s="0" t="s">
        <v>2992</v>
      </c>
      <c r="AF806" s="0" t="s">
        <v>5844</v>
      </c>
      <c r="AG806" s="0" t="s">
        <v>5845</v>
      </c>
      <c r="AH806" s="0" t="s">
        <v>5575</v>
      </c>
      <c r="AI806" s="0" t="s">
        <v>5575</v>
      </c>
      <c r="AJ806" s="0" t="s">
        <v>240</v>
      </c>
      <c r="AK806" s="0" t="s">
        <v>240</v>
      </c>
      <c r="AL806" s="0" t="s">
        <v>240</v>
      </c>
      <c r="AN806" s="0" t="s">
        <v>240</v>
      </c>
      <c r="AO806" s="0" t="s">
        <v>240</v>
      </c>
      <c r="AP806" s="0" t="s">
        <v>240</v>
      </c>
      <c r="AQ806" s="0" t="s">
        <v>240</v>
      </c>
      <c r="AR806" s="0" t="s">
        <v>240</v>
      </c>
      <c r="AS806" s="0" t="s">
        <v>240</v>
      </c>
      <c r="AT806" s="0" t="s">
        <v>240</v>
      </c>
      <c r="AU806" s="0" t="s">
        <v>240</v>
      </c>
      <c r="AV806" s="0" t="s">
        <v>240</v>
      </c>
      <c r="AW806" s="0" t="s">
        <v>240</v>
      </c>
      <c r="AX806" s="0" t="s">
        <v>240</v>
      </c>
      <c r="AY806" s="0" t="s">
        <v>240</v>
      </c>
      <c r="AZ806" s="0" t="s">
        <v>240</v>
      </c>
      <c r="BA806" s="0" t="s">
        <v>240</v>
      </c>
      <c r="BB806" s="0" t="s">
        <v>240</v>
      </c>
      <c r="BC806" s="0" t="s">
        <v>240</v>
      </c>
      <c r="BD806" s="0" t="s">
        <v>240</v>
      </c>
      <c r="BE806" s="0" t="s">
        <v>5544</v>
      </c>
      <c r="BF806" s="0" t="s">
        <v>5672</v>
      </c>
      <c r="BG806" s="0" t="s">
        <v>112</v>
      </c>
      <c r="BH806" s="0" t="s">
        <v>5589</v>
      </c>
      <c r="BI806" s="0" t="s">
        <v>123</v>
      </c>
      <c r="BJ806" s="0" t="s">
        <v>240</v>
      </c>
      <c r="BK806" s="0" t="s">
        <v>240</v>
      </c>
      <c r="BL806" s="0" t="s">
        <v>2991</v>
      </c>
      <c r="BM806" s="0" t="s">
        <v>2991</v>
      </c>
      <c r="BN806" s="0" t="s">
        <v>5663</v>
      </c>
      <c r="BO806" s="0" t="s">
        <v>5844</v>
      </c>
      <c r="BP806" s="0" t="s">
        <v>6310</v>
      </c>
      <c r="BQ806" s="0" t="s">
        <v>5575</v>
      </c>
      <c r="BR806" s="0" t="s">
        <v>5575</v>
      </c>
      <c r="BS806" s="0" t="s">
        <v>240</v>
      </c>
      <c r="BT806" s="0" t="s">
        <v>5650</v>
      </c>
      <c r="CS806" s="0" t="s">
        <v>7118</v>
      </c>
      <c r="CT806" s="0" t="s">
        <v>5496</v>
      </c>
      <c r="CU806" s="0" t="s">
        <v>5497</v>
      </c>
      <c r="CV806" s="0" t="s">
        <v>443</v>
      </c>
      <c r="CW806" s="0" t="s">
        <v>5547</v>
      </c>
      <c r="CX806" s="0" t="s">
        <v>229</v>
      </c>
      <c r="CY806" s="0" t="s">
        <v>443</v>
      </c>
      <c r="CZ806" s="0" t="s">
        <v>5548</v>
      </c>
      <c r="DA806" s="0" t="s">
        <v>5549</v>
      </c>
      <c r="DB806" s="0" t="s">
        <v>5547</v>
      </c>
      <c r="DC806" s="0" t="s">
        <v>384</v>
      </c>
      <c r="DD806" s="0" t="s">
        <v>300</v>
      </c>
      <c r="DE806" s="0" t="s">
        <v>6312</v>
      </c>
    </row>
    <row customHeight="1" ht="11.25">
      <c r="A807" s="1441" t="s">
        <v>240</v>
      </c>
      <c r="B807" s="0" t="s">
        <v>240</v>
      </c>
      <c r="C807" s="0" t="s">
        <v>240</v>
      </c>
      <c r="D807" s="0" t="s">
        <v>240</v>
      </c>
      <c r="E807" s="0" t="s">
        <v>240</v>
      </c>
      <c r="F807" s="0" t="s">
        <v>240</v>
      </c>
      <c r="G807" s="0" t="s">
        <v>240</v>
      </c>
      <c r="H807" s="0" t="s">
        <v>240</v>
      </c>
      <c r="I807" s="0" t="s">
        <v>7004</v>
      </c>
      <c r="J807" s="0" t="s">
        <v>240</v>
      </c>
      <c r="K807" s="0" t="s">
        <v>240</v>
      </c>
      <c r="L807" s="0" t="s">
        <v>240</v>
      </c>
      <c r="M807" s="0" t="s">
        <v>240</v>
      </c>
      <c r="N807" s="0" t="s">
        <v>240</v>
      </c>
      <c r="O807" s="0" t="s">
        <v>240</v>
      </c>
      <c r="P807" s="0" t="s">
        <v>240</v>
      </c>
      <c r="Q807" s="0" t="s">
        <v>240</v>
      </c>
      <c r="R807" s="0" t="s">
        <v>7119</v>
      </c>
      <c r="S807" s="0" t="s">
        <v>240</v>
      </c>
      <c r="T807" s="0" t="s">
        <v>240</v>
      </c>
      <c r="U807" s="0" t="s">
        <v>102</v>
      </c>
      <c r="V807" s="0" t="s">
        <v>240</v>
      </c>
      <c r="W807" s="0" t="s">
        <v>240</v>
      </c>
      <c r="X807" s="0" t="s">
        <v>546</v>
      </c>
      <c r="Y807" s="0" t="s">
        <v>240</v>
      </c>
      <c r="Z807" s="0" t="s">
        <v>161</v>
      </c>
      <c r="AA807" s="0" t="s">
        <v>152</v>
      </c>
      <c r="AB807" s="0" t="s">
        <v>152</v>
      </c>
      <c r="AC807" s="0" t="s">
        <v>2989</v>
      </c>
      <c r="AD807" s="0" t="s">
        <v>2989</v>
      </c>
      <c r="AE807" s="0" t="s">
        <v>2990</v>
      </c>
      <c r="AF807" s="0" t="s">
        <v>5975</v>
      </c>
      <c r="AG807" s="0" t="s">
        <v>5976</v>
      </c>
      <c r="AH807" s="0" t="s">
        <v>7120</v>
      </c>
      <c r="AI807" s="0" t="s">
        <v>5575</v>
      </c>
      <c r="AJ807" s="0" t="s">
        <v>7118</v>
      </c>
      <c r="AK807" s="0" t="s">
        <v>7121</v>
      </c>
      <c r="AL807" s="0" t="s">
        <v>7009</v>
      </c>
      <c r="AN807" s="0" t="s">
        <v>5491</v>
      </c>
      <c r="AO807" s="0" t="s">
        <v>7122</v>
      </c>
      <c r="AP807" s="0" t="s">
        <v>240</v>
      </c>
      <c r="AQ807" s="0" t="s">
        <v>240</v>
      </c>
      <c r="AR807" s="0" t="s">
        <v>240</v>
      </c>
      <c r="AS807" s="0" t="s">
        <v>240</v>
      </c>
      <c r="AT807" s="0" t="s">
        <v>240</v>
      </c>
      <c r="AU807" s="0" t="s">
        <v>240</v>
      </c>
      <c r="AV807" s="0" t="s">
        <v>240</v>
      </c>
      <c r="AW807" s="0" t="s">
        <v>240</v>
      </c>
      <c r="AX807" s="0" t="s">
        <v>240</v>
      </c>
      <c r="AY807" s="0" t="s">
        <v>240</v>
      </c>
      <c r="AZ807" s="0" t="s">
        <v>240</v>
      </c>
      <c r="BA807" s="0" t="s">
        <v>240</v>
      </c>
      <c r="BB807" s="0" t="s">
        <v>240</v>
      </c>
      <c r="BC807" s="0" t="s">
        <v>240</v>
      </c>
      <c r="BD807" s="0" t="s">
        <v>240</v>
      </c>
      <c r="BE807" s="0" t="s">
        <v>240</v>
      </c>
      <c r="BF807" s="0" t="s">
        <v>240</v>
      </c>
      <c r="BG807" s="0" t="s">
        <v>240</v>
      </c>
      <c r="BH807" s="0" t="s">
        <v>240</v>
      </c>
      <c r="BI807" s="0" t="s">
        <v>240</v>
      </c>
      <c r="BJ807" s="0" t="s">
        <v>240</v>
      </c>
      <c r="BK807" s="0" t="s">
        <v>240</v>
      </c>
      <c r="BL807" s="0" t="s">
        <v>240</v>
      </c>
      <c r="BM807" s="0" t="s">
        <v>240</v>
      </c>
      <c r="BN807" s="0" t="s">
        <v>240</v>
      </c>
      <c r="BO807" s="0" t="s">
        <v>240</v>
      </c>
      <c r="BP807" s="0" t="s">
        <v>240</v>
      </c>
      <c r="BQ807" s="0" t="s">
        <v>240</v>
      </c>
      <c r="BR807" s="0" t="s">
        <v>240</v>
      </c>
      <c r="BS807" s="0" t="s">
        <v>240</v>
      </c>
      <c r="BT807" s="0" t="s">
        <v>240</v>
      </c>
      <c r="CS807" s="0" t="s">
        <v>240</v>
      </c>
      <c r="CT807" s="0" t="s">
        <v>5496</v>
      </c>
      <c r="CU807" s="0" t="s">
        <v>5497</v>
      </c>
      <c r="CV807" s="0" t="s">
        <v>443</v>
      </c>
      <c r="CW807" s="0" t="s">
        <v>5580</v>
      </c>
      <c r="CX807" s="0" t="s">
        <v>229</v>
      </c>
      <c r="CY807" s="0" t="s">
        <v>443</v>
      </c>
      <c r="CZ807" s="0" t="s">
        <v>5581</v>
      </c>
      <c r="DA807" s="0" t="s">
        <v>5582</v>
      </c>
      <c r="DB807" s="0" t="s">
        <v>5580</v>
      </c>
      <c r="DC807" s="0" t="s">
        <v>384</v>
      </c>
      <c r="DD807" s="0" t="s">
        <v>300</v>
      </c>
      <c r="DE807" s="0" t="s">
        <v>7123</v>
      </c>
    </row>
    <row customHeight="1" ht="11.25">
      <c r="A808" s="1441" t="s">
        <v>240</v>
      </c>
      <c r="B808" s="0" t="s">
        <v>240</v>
      </c>
      <c r="C808" s="0" t="s">
        <v>240</v>
      </c>
      <c r="D808" s="0" t="s">
        <v>240</v>
      </c>
      <c r="E808" s="0" t="s">
        <v>240</v>
      </c>
      <c r="F808" s="0" t="s">
        <v>240</v>
      </c>
      <c r="G808" s="0" t="s">
        <v>240</v>
      </c>
      <c r="H808" s="0" t="s">
        <v>240</v>
      </c>
      <c r="I808" s="0" t="s">
        <v>7004</v>
      </c>
      <c r="J808" s="0" t="s">
        <v>240</v>
      </c>
      <c r="K808" s="0" t="s">
        <v>240</v>
      </c>
      <c r="L808" s="0" t="s">
        <v>240</v>
      </c>
      <c r="M808" s="0" t="s">
        <v>240</v>
      </c>
      <c r="N808" s="0" t="s">
        <v>240</v>
      </c>
      <c r="O808" s="0" t="s">
        <v>240</v>
      </c>
      <c r="P808" s="0" t="s">
        <v>240</v>
      </c>
      <c r="Q808" s="0" t="s">
        <v>240</v>
      </c>
      <c r="R808" s="0" t="s">
        <v>7124</v>
      </c>
      <c r="S808" s="0" t="s">
        <v>240</v>
      </c>
      <c r="T808" s="0" t="s">
        <v>240</v>
      </c>
      <c r="U808" s="0" t="s">
        <v>102</v>
      </c>
      <c r="V808" s="0" t="s">
        <v>240</v>
      </c>
      <c r="W808" s="0" t="s">
        <v>240</v>
      </c>
      <c r="X808" s="0" t="s">
        <v>546</v>
      </c>
      <c r="Y808" s="0" t="s">
        <v>240</v>
      </c>
      <c r="Z808" s="0" t="s">
        <v>161</v>
      </c>
      <c r="AA808" s="0" t="s">
        <v>152</v>
      </c>
      <c r="AB808" s="0" t="s">
        <v>152</v>
      </c>
      <c r="AC808" s="0" t="s">
        <v>2989</v>
      </c>
      <c r="AD808" s="0" t="s">
        <v>2989</v>
      </c>
      <c r="AE808" s="0" t="s">
        <v>2990</v>
      </c>
      <c r="AF808" s="0" t="s">
        <v>5975</v>
      </c>
      <c r="AG808" s="0" t="s">
        <v>5976</v>
      </c>
      <c r="AH808" s="0" t="s">
        <v>7113</v>
      </c>
      <c r="AI808" s="0" t="s">
        <v>5575</v>
      </c>
      <c r="AJ808" s="0" t="s">
        <v>7125</v>
      </c>
      <c r="AK808" s="0" t="s">
        <v>5731</v>
      </c>
      <c r="AL808" s="0" t="s">
        <v>7009</v>
      </c>
      <c r="AN808" s="0" t="s">
        <v>5491</v>
      </c>
      <c r="AO808" s="0" t="s">
        <v>7126</v>
      </c>
      <c r="AP808" s="0" t="s">
        <v>240</v>
      </c>
      <c r="AQ808" s="0" t="s">
        <v>240</v>
      </c>
      <c r="AR808" s="0" t="s">
        <v>240</v>
      </c>
      <c r="AS808" s="0" t="s">
        <v>240</v>
      </c>
      <c r="AT808" s="0" t="s">
        <v>240</v>
      </c>
      <c r="AU808" s="0" t="s">
        <v>240</v>
      </c>
      <c r="AV808" s="0" t="s">
        <v>240</v>
      </c>
      <c r="AW808" s="0" t="s">
        <v>240</v>
      </c>
      <c r="AX808" s="0" t="s">
        <v>240</v>
      </c>
      <c r="AY808" s="0" t="s">
        <v>240</v>
      </c>
      <c r="AZ808" s="0" t="s">
        <v>240</v>
      </c>
      <c r="BA808" s="0" t="s">
        <v>240</v>
      </c>
      <c r="BB808" s="0" t="s">
        <v>240</v>
      </c>
      <c r="BC808" s="0" t="s">
        <v>240</v>
      </c>
      <c r="BD808" s="0" t="s">
        <v>240</v>
      </c>
      <c r="BE808" s="0" t="s">
        <v>240</v>
      </c>
      <c r="BF808" s="0" t="s">
        <v>240</v>
      </c>
      <c r="BG808" s="0" t="s">
        <v>240</v>
      </c>
      <c r="BH808" s="0" t="s">
        <v>240</v>
      </c>
      <c r="BI808" s="0" t="s">
        <v>240</v>
      </c>
      <c r="BJ808" s="0" t="s">
        <v>240</v>
      </c>
      <c r="BK808" s="0" t="s">
        <v>240</v>
      </c>
      <c r="BL808" s="0" t="s">
        <v>240</v>
      </c>
      <c r="BM808" s="0" t="s">
        <v>240</v>
      </c>
      <c r="BN808" s="0" t="s">
        <v>240</v>
      </c>
      <c r="BO808" s="0" t="s">
        <v>240</v>
      </c>
      <c r="BP808" s="0" t="s">
        <v>240</v>
      </c>
      <c r="BQ808" s="0" t="s">
        <v>240</v>
      </c>
      <c r="BR808" s="0" t="s">
        <v>240</v>
      </c>
      <c r="BS808" s="0" t="s">
        <v>240</v>
      </c>
      <c r="BT808" s="0" t="s">
        <v>240</v>
      </c>
      <c r="CS808" s="0" t="s">
        <v>240</v>
      </c>
      <c r="CT808" s="0" t="s">
        <v>5496</v>
      </c>
      <c r="CU808" s="0" t="s">
        <v>5497</v>
      </c>
      <c r="CV808" s="0" t="s">
        <v>443</v>
      </c>
      <c r="CW808" s="0" t="s">
        <v>5580</v>
      </c>
      <c r="CX808" s="0" t="s">
        <v>229</v>
      </c>
      <c r="CY808" s="0" t="s">
        <v>443</v>
      </c>
      <c r="CZ808" s="0" t="s">
        <v>5581</v>
      </c>
      <c r="DA808" s="0" t="s">
        <v>5582</v>
      </c>
      <c r="DB808" s="0" t="s">
        <v>5580</v>
      </c>
      <c r="DC808" s="0" t="s">
        <v>384</v>
      </c>
      <c r="DD808" s="0" t="s">
        <v>300</v>
      </c>
      <c r="DE808" s="0" t="s">
        <v>7127</v>
      </c>
    </row>
    <row customHeight="1" ht="11.25">
      <c r="A809" s="1441" t="s">
        <v>240</v>
      </c>
      <c r="B809" s="0" t="s">
        <v>240</v>
      </c>
      <c r="C809" s="0" t="s">
        <v>240</v>
      </c>
      <c r="D809" s="0" t="s">
        <v>240</v>
      </c>
      <c r="E809" s="0" t="s">
        <v>240</v>
      </c>
      <c r="F809" s="0" t="s">
        <v>240</v>
      </c>
      <c r="G809" s="0" t="s">
        <v>240</v>
      </c>
      <c r="H809" s="0" t="s">
        <v>240</v>
      </c>
      <c r="I809" s="0" t="s">
        <v>7004</v>
      </c>
      <c r="J809" s="0" t="s">
        <v>240</v>
      </c>
      <c r="K809" s="0" t="s">
        <v>240</v>
      </c>
      <c r="L809" s="0" t="s">
        <v>240</v>
      </c>
      <c r="M809" s="0" t="s">
        <v>240</v>
      </c>
      <c r="N809" s="0" t="s">
        <v>240</v>
      </c>
      <c r="O809" s="0" t="s">
        <v>240</v>
      </c>
      <c r="P809" s="0" t="s">
        <v>240</v>
      </c>
      <c r="Q809" s="0" t="s">
        <v>240</v>
      </c>
      <c r="R809" s="0" t="s">
        <v>7148</v>
      </c>
      <c r="S809" s="0" t="s">
        <v>240</v>
      </c>
      <c r="T809" s="0" t="s">
        <v>240</v>
      </c>
      <c r="U809" s="0" t="s">
        <v>102</v>
      </c>
      <c r="V809" s="0" t="s">
        <v>240</v>
      </c>
      <c r="W809" s="0" t="s">
        <v>240</v>
      </c>
      <c r="X809" s="0" t="s">
        <v>546</v>
      </c>
      <c r="Y809" s="0" t="s">
        <v>240</v>
      </c>
      <c r="Z809" s="0" t="s">
        <v>161</v>
      </c>
      <c r="AA809" s="0" t="s">
        <v>152</v>
      </c>
      <c r="AB809" s="0" t="s">
        <v>152</v>
      </c>
      <c r="AC809" s="0" t="s">
        <v>2989</v>
      </c>
      <c r="AD809" s="0" t="s">
        <v>2989</v>
      </c>
      <c r="AE809" s="0" t="s">
        <v>2990</v>
      </c>
      <c r="AF809" s="0" t="s">
        <v>5975</v>
      </c>
      <c r="AG809" s="0" t="s">
        <v>5976</v>
      </c>
      <c r="AH809" s="0" t="s">
        <v>7149</v>
      </c>
      <c r="AI809" s="0" t="s">
        <v>5575</v>
      </c>
      <c r="AJ809" s="0" t="s">
        <v>7125</v>
      </c>
      <c r="AK809" s="0" t="s">
        <v>7145</v>
      </c>
      <c r="AL809" s="0" t="s">
        <v>7009</v>
      </c>
      <c r="AN809" s="0" t="s">
        <v>5507</v>
      </c>
      <c r="AO809" s="0" t="s">
        <v>7150</v>
      </c>
      <c r="AP809" s="0" t="s">
        <v>240</v>
      </c>
      <c r="AQ809" s="0" t="s">
        <v>240</v>
      </c>
      <c r="AR809" s="0" t="s">
        <v>240</v>
      </c>
      <c r="AS809" s="0" t="s">
        <v>240</v>
      </c>
      <c r="AT809" s="0" t="s">
        <v>240</v>
      </c>
      <c r="AU809" s="0" t="s">
        <v>240</v>
      </c>
      <c r="AV809" s="0" t="s">
        <v>240</v>
      </c>
      <c r="AW809" s="0" t="s">
        <v>240</v>
      </c>
      <c r="AX809" s="0" t="s">
        <v>240</v>
      </c>
      <c r="AY809" s="0" t="s">
        <v>240</v>
      </c>
      <c r="AZ809" s="0" t="s">
        <v>240</v>
      </c>
      <c r="BA809" s="0" t="s">
        <v>240</v>
      </c>
      <c r="BB809" s="0" t="s">
        <v>240</v>
      </c>
      <c r="BC809" s="0" t="s">
        <v>240</v>
      </c>
      <c r="BD809" s="0" t="s">
        <v>240</v>
      </c>
      <c r="BE809" s="0" t="s">
        <v>240</v>
      </c>
      <c r="BF809" s="0" t="s">
        <v>240</v>
      </c>
      <c r="BG809" s="0" t="s">
        <v>240</v>
      </c>
      <c r="BH809" s="0" t="s">
        <v>240</v>
      </c>
      <c r="BI809" s="0" t="s">
        <v>240</v>
      </c>
      <c r="BJ809" s="0" t="s">
        <v>240</v>
      </c>
      <c r="BK809" s="0" t="s">
        <v>240</v>
      </c>
      <c r="BL809" s="0" t="s">
        <v>240</v>
      </c>
      <c r="BM809" s="0" t="s">
        <v>240</v>
      </c>
      <c r="BN809" s="0" t="s">
        <v>240</v>
      </c>
      <c r="BO809" s="0" t="s">
        <v>240</v>
      </c>
      <c r="BP809" s="0" t="s">
        <v>240</v>
      </c>
      <c r="BQ809" s="0" t="s">
        <v>240</v>
      </c>
      <c r="BR809" s="0" t="s">
        <v>240</v>
      </c>
      <c r="BS809" s="0" t="s">
        <v>240</v>
      </c>
      <c r="BT809" s="0" t="s">
        <v>240</v>
      </c>
      <c r="CS809" s="0" t="s">
        <v>240</v>
      </c>
      <c r="CT809" s="0" t="s">
        <v>5496</v>
      </c>
      <c r="CU809" s="0" t="s">
        <v>5497</v>
      </c>
      <c r="CV809" s="0" t="s">
        <v>443</v>
      </c>
      <c r="CW809" s="0" t="s">
        <v>5580</v>
      </c>
      <c r="CX809" s="0" t="s">
        <v>229</v>
      </c>
      <c r="CY809" s="0" t="s">
        <v>443</v>
      </c>
      <c r="CZ809" s="0" t="s">
        <v>5581</v>
      </c>
      <c r="DA809" s="0" t="s">
        <v>5582</v>
      </c>
      <c r="DB809" s="0" t="s">
        <v>5580</v>
      </c>
      <c r="DC809" s="0" t="s">
        <v>384</v>
      </c>
      <c r="DD809" s="0" t="s">
        <v>300</v>
      </c>
      <c r="DE809" s="0" t="s">
        <v>7151</v>
      </c>
    </row>
    <row customHeight="1" ht="11.25">
      <c r="A810" s="1441" t="s">
        <v>240</v>
      </c>
      <c r="B810" s="0" t="s">
        <v>240</v>
      </c>
      <c r="C810" s="0" t="s">
        <v>240</v>
      </c>
      <c r="D810" s="0" t="s">
        <v>240</v>
      </c>
      <c r="E810" s="0" t="s">
        <v>240</v>
      </c>
      <c r="F810" s="0" t="s">
        <v>240</v>
      </c>
      <c r="G810" s="0" t="s">
        <v>240</v>
      </c>
      <c r="H810" s="0" t="s">
        <v>240</v>
      </c>
      <c r="I810" s="0" t="s">
        <v>7004</v>
      </c>
      <c r="J810" s="0" t="s">
        <v>240</v>
      </c>
      <c r="K810" s="0" t="s">
        <v>240</v>
      </c>
      <c r="L810" s="0" t="s">
        <v>240</v>
      </c>
      <c r="M810" s="0" t="s">
        <v>240</v>
      </c>
      <c r="N810" s="0" t="s">
        <v>240</v>
      </c>
      <c r="O810" s="0" t="s">
        <v>240</v>
      </c>
      <c r="P810" s="0" t="s">
        <v>240</v>
      </c>
      <c r="Q810" s="0" t="s">
        <v>240</v>
      </c>
      <c r="R810" s="0" t="s">
        <v>6838</v>
      </c>
      <c r="S810" s="0" t="s">
        <v>240</v>
      </c>
      <c r="T810" s="0" t="s">
        <v>240</v>
      </c>
      <c r="U810" s="0" t="s">
        <v>102</v>
      </c>
      <c r="V810" s="0" t="s">
        <v>240</v>
      </c>
      <c r="W810" s="0" t="s">
        <v>240</v>
      </c>
      <c r="X810" s="0" t="s">
        <v>5585</v>
      </c>
      <c r="Y810" s="0" t="s">
        <v>240</v>
      </c>
      <c r="Z810" s="0" t="s">
        <v>152</v>
      </c>
      <c r="AA810" s="0" t="s">
        <v>152</v>
      </c>
      <c r="AB810" s="0" t="s">
        <v>161</v>
      </c>
      <c r="AC810" s="0" t="s">
        <v>3395</v>
      </c>
      <c r="AD810" s="0" t="s">
        <v>3395</v>
      </c>
      <c r="AE810" s="0" t="s">
        <v>3396</v>
      </c>
      <c r="AF810" s="0" t="s">
        <v>5941</v>
      </c>
      <c r="AG810" s="0" t="s">
        <v>5942</v>
      </c>
      <c r="AH810" s="0" t="s">
        <v>6063</v>
      </c>
      <c r="AI810" s="0" t="s">
        <v>5533</v>
      </c>
      <c r="AJ810" s="0" t="s">
        <v>240</v>
      </c>
      <c r="AK810" s="0" t="s">
        <v>240</v>
      </c>
      <c r="AL810" s="0" t="s">
        <v>240</v>
      </c>
      <c r="AN810" s="0" t="s">
        <v>240</v>
      </c>
      <c r="AO810" s="0" t="s">
        <v>240</v>
      </c>
      <c r="AP810" s="0" t="s">
        <v>240</v>
      </c>
      <c r="AQ810" s="0" t="s">
        <v>240</v>
      </c>
      <c r="AR810" s="0" t="s">
        <v>240</v>
      </c>
      <c r="AS810" s="0" t="s">
        <v>240</v>
      </c>
      <c r="AT810" s="0" t="s">
        <v>240</v>
      </c>
      <c r="AU810" s="0" t="s">
        <v>240</v>
      </c>
      <c r="AV810" s="0" t="s">
        <v>240</v>
      </c>
      <c r="AW810" s="0" t="s">
        <v>240</v>
      </c>
      <c r="AX810" s="0" t="s">
        <v>240</v>
      </c>
      <c r="AY810" s="0" t="s">
        <v>240</v>
      </c>
      <c r="AZ810" s="0" t="s">
        <v>240</v>
      </c>
      <c r="BA810" s="0" t="s">
        <v>240</v>
      </c>
      <c r="BB810" s="0" t="s">
        <v>240</v>
      </c>
      <c r="BC810" s="0" t="s">
        <v>240</v>
      </c>
      <c r="BD810" s="0" t="s">
        <v>240</v>
      </c>
      <c r="BE810" s="0" t="s">
        <v>7128</v>
      </c>
      <c r="BF810" s="0" t="s">
        <v>7129</v>
      </c>
      <c r="BG810" s="0" t="s">
        <v>112</v>
      </c>
      <c r="BH810" s="0" t="s">
        <v>5589</v>
      </c>
      <c r="BI810" s="0" t="s">
        <v>123</v>
      </c>
      <c r="BJ810" s="0" t="s">
        <v>240</v>
      </c>
      <c r="BK810" s="0" t="s">
        <v>7130</v>
      </c>
      <c r="BL810" s="0" t="s">
        <v>3395</v>
      </c>
      <c r="BM810" s="0" t="s">
        <v>3395</v>
      </c>
      <c r="BN810" s="0" t="s">
        <v>6066</v>
      </c>
      <c r="BO810" s="0" t="s">
        <v>5941</v>
      </c>
      <c r="BP810" s="0" t="s">
        <v>6067</v>
      </c>
      <c r="BQ810" s="0" t="s">
        <v>6063</v>
      </c>
      <c r="BR810" s="0" t="s">
        <v>5533</v>
      </c>
      <c r="BS810" s="0" t="s">
        <v>240</v>
      </c>
      <c r="BT810" s="0" t="s">
        <v>5594</v>
      </c>
      <c r="CS810" s="0" t="s">
        <v>5553</v>
      </c>
      <c r="CT810" s="0" t="s">
        <v>5496</v>
      </c>
      <c r="CU810" s="0" t="s">
        <v>5497</v>
      </c>
      <c r="CV810" s="0" t="s">
        <v>5947</v>
      </c>
      <c r="CW810" s="0" t="s">
        <v>5948</v>
      </c>
      <c r="CX810" s="0" t="s">
        <v>5528</v>
      </c>
      <c r="CY810" s="0" t="s">
        <v>5947</v>
      </c>
      <c r="CZ810" s="0" t="s">
        <v>7022</v>
      </c>
      <c r="DA810" s="0" t="s">
        <v>5949</v>
      </c>
      <c r="DB810" s="0" t="s">
        <v>5948</v>
      </c>
      <c r="DC810" s="0" t="s">
        <v>384</v>
      </c>
      <c r="DD810" s="0" t="s">
        <v>300</v>
      </c>
      <c r="DE810" s="0" t="s">
        <v>7096</v>
      </c>
    </row>
    <row customHeight="1" ht="11.25">
      <c r="A811" s="1441" t="s">
        <v>240</v>
      </c>
      <c r="B811" s="0" t="s">
        <v>240</v>
      </c>
      <c r="C811" s="0" t="s">
        <v>240</v>
      </c>
      <c r="D811" s="0" t="s">
        <v>240</v>
      </c>
      <c r="E811" s="0" t="s">
        <v>240</v>
      </c>
      <c r="F811" s="0" t="s">
        <v>240</v>
      </c>
      <c r="G811" s="0" t="s">
        <v>240</v>
      </c>
      <c r="H811" s="0" t="s">
        <v>240</v>
      </c>
      <c r="I811" s="0" t="s">
        <v>7004</v>
      </c>
      <c r="J811" s="0" t="s">
        <v>240</v>
      </c>
      <c r="K811" s="0" t="s">
        <v>240</v>
      </c>
      <c r="L811" s="0" t="s">
        <v>240</v>
      </c>
      <c r="M811" s="0" t="s">
        <v>240</v>
      </c>
      <c r="N811" s="0" t="s">
        <v>240</v>
      </c>
      <c r="O811" s="0" t="s">
        <v>240</v>
      </c>
      <c r="P811" s="0" t="s">
        <v>240</v>
      </c>
      <c r="Q811" s="0" t="s">
        <v>240</v>
      </c>
      <c r="R811" s="0" t="s">
        <v>7361</v>
      </c>
      <c r="S811" s="0" t="s">
        <v>240</v>
      </c>
      <c r="T811" s="0" t="s">
        <v>240</v>
      </c>
      <c r="U811" s="0" t="s">
        <v>102</v>
      </c>
      <c r="V811" s="0" t="s">
        <v>240</v>
      </c>
      <c r="W811" s="0" t="s">
        <v>240</v>
      </c>
      <c r="X811" s="0" t="s">
        <v>5585</v>
      </c>
      <c r="Y811" s="0" t="s">
        <v>240</v>
      </c>
      <c r="Z811" s="0" t="s">
        <v>152</v>
      </c>
      <c r="AA811" s="0" t="s">
        <v>152</v>
      </c>
      <c r="AB811" s="0" t="s">
        <v>161</v>
      </c>
      <c r="AC811" s="0" t="s">
        <v>2991</v>
      </c>
      <c r="AD811" s="0" t="s">
        <v>2991</v>
      </c>
      <c r="AE811" s="0" t="s">
        <v>2992</v>
      </c>
      <c r="AF811" s="0" t="s">
        <v>6314</v>
      </c>
      <c r="AG811" s="0" t="s">
        <v>6315</v>
      </c>
      <c r="AH811" s="0" t="s">
        <v>5575</v>
      </c>
      <c r="AI811" s="0" t="s">
        <v>5575</v>
      </c>
      <c r="AJ811" s="0" t="s">
        <v>240</v>
      </c>
      <c r="AK811" s="0" t="s">
        <v>240</v>
      </c>
      <c r="AL811" s="0" t="s">
        <v>240</v>
      </c>
      <c r="AN811" s="0" t="s">
        <v>240</v>
      </c>
      <c r="AO811" s="0" t="s">
        <v>240</v>
      </c>
      <c r="AP811" s="0" t="s">
        <v>240</v>
      </c>
      <c r="AQ811" s="0" t="s">
        <v>240</v>
      </c>
      <c r="AR811" s="0" t="s">
        <v>240</v>
      </c>
      <c r="AS811" s="0" t="s">
        <v>240</v>
      </c>
      <c r="AT811" s="0" t="s">
        <v>240</v>
      </c>
      <c r="AU811" s="0" t="s">
        <v>240</v>
      </c>
      <c r="AV811" s="0" t="s">
        <v>240</v>
      </c>
      <c r="AW811" s="0" t="s">
        <v>240</v>
      </c>
      <c r="AX811" s="0" t="s">
        <v>240</v>
      </c>
      <c r="AY811" s="0" t="s">
        <v>240</v>
      </c>
      <c r="AZ811" s="0" t="s">
        <v>240</v>
      </c>
      <c r="BA811" s="0" t="s">
        <v>240</v>
      </c>
      <c r="BB811" s="0" t="s">
        <v>240</v>
      </c>
      <c r="BC811" s="0" t="s">
        <v>240</v>
      </c>
      <c r="BD811" s="0" t="s">
        <v>240</v>
      </c>
      <c r="BE811" s="0" t="s">
        <v>5776</v>
      </c>
      <c r="BF811" s="0" t="s">
        <v>5544</v>
      </c>
      <c r="BG811" s="0" t="s">
        <v>112</v>
      </c>
      <c r="BH811" s="0" t="s">
        <v>5589</v>
      </c>
      <c r="BI811" s="0" t="s">
        <v>123</v>
      </c>
      <c r="BJ811" s="0" t="s">
        <v>240</v>
      </c>
      <c r="BK811" s="0" t="s">
        <v>240</v>
      </c>
      <c r="BL811" s="0" t="s">
        <v>2991</v>
      </c>
      <c r="BM811" s="0" t="s">
        <v>2991</v>
      </c>
      <c r="BN811" s="0" t="s">
        <v>5663</v>
      </c>
      <c r="BO811" s="0" t="s">
        <v>6314</v>
      </c>
      <c r="BP811" s="0" t="s">
        <v>6565</v>
      </c>
      <c r="BQ811" s="0" t="s">
        <v>5575</v>
      </c>
      <c r="BR811" s="0" t="s">
        <v>5575</v>
      </c>
      <c r="BS811" s="0" t="s">
        <v>240</v>
      </c>
      <c r="BT811" s="0" t="s">
        <v>5650</v>
      </c>
      <c r="CS811" s="0" t="s">
        <v>7118</v>
      </c>
      <c r="CT811" s="0" t="s">
        <v>5496</v>
      </c>
      <c r="CU811" s="0" t="s">
        <v>5497</v>
      </c>
      <c r="CV811" s="0" t="s">
        <v>443</v>
      </c>
      <c r="CW811" s="0" t="s">
        <v>5547</v>
      </c>
      <c r="CX811" s="0" t="s">
        <v>229</v>
      </c>
      <c r="CY811" s="0" t="s">
        <v>443</v>
      </c>
      <c r="CZ811" s="0" t="s">
        <v>5548</v>
      </c>
      <c r="DA811" s="0" t="s">
        <v>5549</v>
      </c>
      <c r="DB811" s="0" t="s">
        <v>5547</v>
      </c>
      <c r="DC811" s="0" t="s">
        <v>384</v>
      </c>
      <c r="DD811" s="0" t="s">
        <v>300</v>
      </c>
      <c r="DE811" s="0" t="s">
        <v>6567</v>
      </c>
    </row>
    <row customHeight="1" ht="11.25">
      <c r="A812" s="1441" t="s">
        <v>240</v>
      </c>
      <c r="B812" s="0" t="s">
        <v>240</v>
      </c>
      <c r="C812" s="0" t="s">
        <v>240</v>
      </c>
      <c r="D812" s="0" t="s">
        <v>240</v>
      </c>
      <c r="E812" s="0" t="s">
        <v>240</v>
      </c>
      <c r="F812" s="0" t="s">
        <v>240</v>
      </c>
      <c r="G812" s="0" t="s">
        <v>240</v>
      </c>
      <c r="H812" s="0" t="s">
        <v>240</v>
      </c>
      <c r="I812" s="0" t="s">
        <v>7004</v>
      </c>
      <c r="J812" s="0" t="s">
        <v>240</v>
      </c>
      <c r="K812" s="0" t="s">
        <v>240</v>
      </c>
      <c r="L812" s="0" t="s">
        <v>240</v>
      </c>
      <c r="M812" s="0" t="s">
        <v>240</v>
      </c>
      <c r="N812" s="0" t="s">
        <v>240</v>
      </c>
      <c r="O812" s="0" t="s">
        <v>240</v>
      </c>
      <c r="P812" s="0" t="s">
        <v>240</v>
      </c>
      <c r="Q812" s="0" t="s">
        <v>240</v>
      </c>
      <c r="R812" s="0" t="s">
        <v>7372</v>
      </c>
      <c r="S812" s="0" t="s">
        <v>240</v>
      </c>
      <c r="T812" s="0" t="s">
        <v>240</v>
      </c>
      <c r="U812" s="0" t="s">
        <v>102</v>
      </c>
      <c r="V812" s="0" t="s">
        <v>240</v>
      </c>
      <c r="W812" s="0" t="s">
        <v>240</v>
      </c>
      <c r="X812" s="0" t="s">
        <v>5905</v>
      </c>
      <c r="Y812" s="0" t="s">
        <v>240</v>
      </c>
      <c r="Z812" s="0" t="s">
        <v>152</v>
      </c>
      <c r="AA812" s="0" t="s">
        <v>161</v>
      </c>
      <c r="AB812" s="0" t="s">
        <v>152</v>
      </c>
      <c r="AC812" s="0" t="s">
        <v>2989</v>
      </c>
      <c r="AD812" s="0" t="s">
        <v>2989</v>
      </c>
      <c r="AE812" s="0" t="s">
        <v>2990</v>
      </c>
      <c r="AF812" s="0" t="s">
        <v>5975</v>
      </c>
      <c r="AG812" s="0" t="s">
        <v>5976</v>
      </c>
      <c r="AH812" s="0" t="s">
        <v>5575</v>
      </c>
      <c r="AI812" s="0" t="s">
        <v>5575</v>
      </c>
      <c r="AJ812" s="0" t="s">
        <v>240</v>
      </c>
      <c r="AK812" s="0" t="s">
        <v>240</v>
      </c>
      <c r="AL812" s="0" t="s">
        <v>240</v>
      </c>
      <c r="AN812" s="0" t="s">
        <v>240</v>
      </c>
      <c r="AO812" s="0" t="s">
        <v>240</v>
      </c>
      <c r="AP812" s="0" t="s">
        <v>7116</v>
      </c>
      <c r="AQ812" s="0" t="s">
        <v>7117</v>
      </c>
      <c r="AR812" s="0" t="s">
        <v>112</v>
      </c>
      <c r="AS812" s="0" t="s">
        <v>5589</v>
      </c>
      <c r="AT812" s="0" t="s">
        <v>123</v>
      </c>
      <c r="AU812" s="0" t="s">
        <v>240</v>
      </c>
      <c r="AV812" s="0" t="s">
        <v>7372</v>
      </c>
      <c r="AW812" s="0" t="s">
        <v>2989</v>
      </c>
      <c r="AX812" s="0" t="s">
        <v>2989</v>
      </c>
      <c r="AY812" s="0" t="s">
        <v>5798</v>
      </c>
      <c r="AZ812" s="0" t="s">
        <v>5975</v>
      </c>
      <c r="BA812" s="0" t="s">
        <v>6162</v>
      </c>
      <c r="BB812" s="0" t="s">
        <v>240</v>
      </c>
      <c r="BC812" s="0" t="s">
        <v>240</v>
      </c>
      <c r="BD812" s="0" t="s">
        <v>5507</v>
      </c>
      <c r="BE812" s="0" t="s">
        <v>240</v>
      </c>
      <c r="BF812" s="0" t="s">
        <v>240</v>
      </c>
      <c r="BG812" s="0" t="s">
        <v>240</v>
      </c>
      <c r="BH812" s="0" t="s">
        <v>240</v>
      </c>
      <c r="BI812" s="0" t="s">
        <v>240</v>
      </c>
      <c r="BJ812" s="0" t="s">
        <v>240</v>
      </c>
      <c r="BK812" s="0" t="s">
        <v>240</v>
      </c>
      <c r="BL812" s="0" t="s">
        <v>240</v>
      </c>
      <c r="BM812" s="0" t="s">
        <v>240</v>
      </c>
      <c r="BN812" s="0" t="s">
        <v>240</v>
      </c>
      <c r="BO812" s="0" t="s">
        <v>240</v>
      </c>
      <c r="BP812" s="0" t="s">
        <v>240</v>
      </c>
      <c r="BQ812" s="0" t="s">
        <v>240</v>
      </c>
      <c r="BR812" s="0" t="s">
        <v>240</v>
      </c>
      <c r="BS812" s="0" t="s">
        <v>240</v>
      </c>
      <c r="BT812" s="0" t="s">
        <v>240</v>
      </c>
      <c r="CS812" s="0" t="s">
        <v>240</v>
      </c>
      <c r="CT812" s="0" t="s">
        <v>5496</v>
      </c>
      <c r="CU812" s="0" t="s">
        <v>5497</v>
      </c>
      <c r="CV812" s="0" t="s">
        <v>443</v>
      </c>
      <c r="CW812" s="0" t="s">
        <v>5580</v>
      </c>
      <c r="CX812" s="0" t="s">
        <v>229</v>
      </c>
      <c r="CY812" s="0" t="s">
        <v>443</v>
      </c>
      <c r="CZ812" s="0" t="s">
        <v>5581</v>
      </c>
      <c r="DA812" s="0" t="s">
        <v>5582</v>
      </c>
      <c r="DB812" s="0" t="s">
        <v>5580</v>
      </c>
      <c r="DC812" s="0" t="s">
        <v>384</v>
      </c>
      <c r="DD812" s="0" t="s">
        <v>300</v>
      </c>
      <c r="DE812" s="0" t="s">
        <v>6236</v>
      </c>
    </row>
    <row customHeight="1" ht="11.25">
      <c r="A813" s="1441" t="s">
        <v>240</v>
      </c>
      <c r="B813" s="0" t="s">
        <v>240</v>
      </c>
      <c r="C813" s="0" t="s">
        <v>240</v>
      </c>
      <c r="D813" s="0" t="s">
        <v>240</v>
      </c>
      <c r="E813" s="0" t="s">
        <v>240</v>
      </c>
      <c r="F813" s="0" t="s">
        <v>240</v>
      </c>
      <c r="G813" s="0" t="s">
        <v>240</v>
      </c>
      <c r="H813" s="0" t="s">
        <v>240</v>
      </c>
      <c r="I813" s="0" t="s">
        <v>7004</v>
      </c>
      <c r="J813" s="0" t="s">
        <v>240</v>
      </c>
      <c r="K813" s="0" t="s">
        <v>240</v>
      </c>
      <c r="L813" s="0" t="s">
        <v>240</v>
      </c>
      <c r="M813" s="0" t="s">
        <v>240</v>
      </c>
      <c r="N813" s="0" t="s">
        <v>240</v>
      </c>
      <c r="O813" s="0" t="s">
        <v>240</v>
      </c>
      <c r="P813" s="0" t="s">
        <v>240</v>
      </c>
      <c r="Q813" s="0" t="s">
        <v>240</v>
      </c>
      <c r="R813" s="0" t="s">
        <v>7157</v>
      </c>
      <c r="S813" s="0" t="s">
        <v>240</v>
      </c>
      <c r="T813" s="0" t="s">
        <v>240</v>
      </c>
      <c r="U813" s="0" t="s">
        <v>102</v>
      </c>
      <c r="V813" s="0" t="s">
        <v>240</v>
      </c>
      <c r="W813" s="0" t="s">
        <v>240</v>
      </c>
      <c r="X813" s="0" t="s">
        <v>546</v>
      </c>
      <c r="Y813" s="0" t="s">
        <v>240</v>
      </c>
      <c r="Z813" s="0" t="s">
        <v>161</v>
      </c>
      <c r="AA813" s="0" t="s">
        <v>152</v>
      </c>
      <c r="AB813" s="0" t="s">
        <v>152</v>
      </c>
      <c r="AC813" s="0" t="s">
        <v>3389</v>
      </c>
      <c r="AD813" s="0" t="s">
        <v>3389</v>
      </c>
      <c r="AE813" s="0" t="s">
        <v>3390</v>
      </c>
      <c r="AF813" s="0" t="s">
        <v>5519</v>
      </c>
      <c r="AG813" s="0" t="s">
        <v>5520</v>
      </c>
      <c r="AH813" s="0" t="s">
        <v>7158</v>
      </c>
      <c r="AI813" s="0" t="s">
        <v>5575</v>
      </c>
      <c r="AJ813" s="0" t="s">
        <v>5903</v>
      </c>
      <c r="AK813" s="0" t="s">
        <v>7159</v>
      </c>
      <c r="AL813" s="0" t="s">
        <v>7009</v>
      </c>
      <c r="AN813" s="0" t="s">
        <v>5491</v>
      </c>
      <c r="AO813" s="0" t="s">
        <v>7160</v>
      </c>
      <c r="AP813" s="0" t="s">
        <v>240</v>
      </c>
      <c r="AQ813" s="0" t="s">
        <v>240</v>
      </c>
      <c r="AR813" s="0" t="s">
        <v>240</v>
      </c>
      <c r="AS813" s="0" t="s">
        <v>240</v>
      </c>
      <c r="AT813" s="0" t="s">
        <v>240</v>
      </c>
      <c r="AU813" s="0" t="s">
        <v>240</v>
      </c>
      <c r="AV813" s="0" t="s">
        <v>240</v>
      </c>
      <c r="AW813" s="0" t="s">
        <v>240</v>
      </c>
      <c r="AX813" s="0" t="s">
        <v>240</v>
      </c>
      <c r="AY813" s="0" t="s">
        <v>240</v>
      </c>
      <c r="AZ813" s="0" t="s">
        <v>240</v>
      </c>
      <c r="BA813" s="0" t="s">
        <v>240</v>
      </c>
      <c r="BB813" s="0" t="s">
        <v>240</v>
      </c>
      <c r="BC813" s="0" t="s">
        <v>240</v>
      </c>
      <c r="BD813" s="0" t="s">
        <v>240</v>
      </c>
      <c r="BE813" s="0" t="s">
        <v>240</v>
      </c>
      <c r="BF813" s="0" t="s">
        <v>240</v>
      </c>
      <c r="BG813" s="0" t="s">
        <v>240</v>
      </c>
      <c r="BH813" s="0" t="s">
        <v>240</v>
      </c>
      <c r="BI813" s="0" t="s">
        <v>240</v>
      </c>
      <c r="BJ813" s="0" t="s">
        <v>240</v>
      </c>
      <c r="BK813" s="0" t="s">
        <v>240</v>
      </c>
      <c r="BL813" s="0" t="s">
        <v>240</v>
      </c>
      <c r="BM813" s="0" t="s">
        <v>240</v>
      </c>
      <c r="BN813" s="0" t="s">
        <v>240</v>
      </c>
      <c r="BO813" s="0" t="s">
        <v>240</v>
      </c>
      <c r="BP813" s="0" t="s">
        <v>240</v>
      </c>
      <c r="BQ813" s="0" t="s">
        <v>240</v>
      </c>
      <c r="BR813" s="0" t="s">
        <v>240</v>
      </c>
      <c r="BS813" s="0" t="s">
        <v>240</v>
      </c>
      <c r="BT813" s="0" t="s">
        <v>240</v>
      </c>
      <c r="CS813" s="0" t="s">
        <v>240</v>
      </c>
      <c r="CT813" s="0" t="s">
        <v>5496</v>
      </c>
      <c r="CU813" s="0" t="s">
        <v>5497</v>
      </c>
      <c r="CV813" s="0" t="s">
        <v>443</v>
      </c>
      <c r="CW813" s="0" t="s">
        <v>5527</v>
      </c>
      <c r="CX813" s="0" t="s">
        <v>229</v>
      </c>
      <c r="CY813" s="0" t="s">
        <v>443</v>
      </c>
      <c r="CZ813" s="0" t="s">
        <v>299</v>
      </c>
      <c r="DA813" s="0" t="s">
        <v>5529</v>
      </c>
      <c r="DB813" s="0" t="s">
        <v>5527</v>
      </c>
      <c r="DC813" s="0" t="s">
        <v>384</v>
      </c>
      <c r="DD813" s="0" t="s">
        <v>300</v>
      </c>
      <c r="DE813" s="0" t="s">
        <v>7161</v>
      </c>
    </row>
    <row customHeight="1" ht="11.25">
      <c r="A814" s="1441" t="s">
        <v>240</v>
      </c>
      <c r="B814" s="0" t="s">
        <v>240</v>
      </c>
      <c r="C814" s="0" t="s">
        <v>240</v>
      </c>
      <c r="D814" s="0" t="s">
        <v>240</v>
      </c>
      <c r="E814" s="0" t="s">
        <v>240</v>
      </c>
      <c r="F814" s="0" t="s">
        <v>240</v>
      </c>
      <c r="G814" s="0" t="s">
        <v>240</v>
      </c>
      <c r="H814" s="0" t="s">
        <v>240</v>
      </c>
      <c r="I814" s="0" t="s">
        <v>7004</v>
      </c>
      <c r="J814" s="0" t="s">
        <v>240</v>
      </c>
      <c r="K814" s="0" t="s">
        <v>240</v>
      </c>
      <c r="L814" s="0" t="s">
        <v>240</v>
      </c>
      <c r="M814" s="0" t="s">
        <v>240</v>
      </c>
      <c r="N814" s="0" t="s">
        <v>240</v>
      </c>
      <c r="O814" s="0" t="s">
        <v>240</v>
      </c>
      <c r="P814" s="0" t="s">
        <v>240</v>
      </c>
      <c r="Q814" s="0" t="s">
        <v>240</v>
      </c>
      <c r="R814" s="0" t="s">
        <v>7162</v>
      </c>
      <c r="S814" s="0" t="s">
        <v>240</v>
      </c>
      <c r="T814" s="0" t="s">
        <v>240</v>
      </c>
      <c r="U814" s="0" t="s">
        <v>102</v>
      </c>
      <c r="V814" s="0" t="s">
        <v>240</v>
      </c>
      <c r="W814" s="0" t="s">
        <v>240</v>
      </c>
      <c r="X814" s="0" t="s">
        <v>546</v>
      </c>
      <c r="Y814" s="0" t="s">
        <v>240</v>
      </c>
      <c r="Z814" s="0" t="s">
        <v>161</v>
      </c>
      <c r="AA814" s="0" t="s">
        <v>152</v>
      </c>
      <c r="AB814" s="0" t="s">
        <v>152</v>
      </c>
      <c r="AC814" s="0" t="s">
        <v>3389</v>
      </c>
      <c r="AD814" s="0" t="s">
        <v>3389</v>
      </c>
      <c r="AE814" s="0" t="s">
        <v>3390</v>
      </c>
      <c r="AF814" s="0" t="s">
        <v>5519</v>
      </c>
      <c r="AG814" s="0" t="s">
        <v>5520</v>
      </c>
      <c r="AH814" s="0" t="s">
        <v>7163</v>
      </c>
      <c r="AI814" s="0" t="s">
        <v>5575</v>
      </c>
      <c r="AJ814" s="0" t="s">
        <v>7164</v>
      </c>
      <c r="AK814" s="0" t="s">
        <v>7165</v>
      </c>
      <c r="AL814" s="0" t="s">
        <v>7009</v>
      </c>
      <c r="AN814" s="0" t="s">
        <v>6725</v>
      </c>
      <c r="AO814" s="0" t="s">
        <v>7166</v>
      </c>
      <c r="AP814" s="0" t="s">
        <v>240</v>
      </c>
      <c r="AQ814" s="0" t="s">
        <v>240</v>
      </c>
      <c r="AR814" s="0" t="s">
        <v>240</v>
      </c>
      <c r="AS814" s="0" t="s">
        <v>240</v>
      </c>
      <c r="AT814" s="0" t="s">
        <v>240</v>
      </c>
      <c r="AU814" s="0" t="s">
        <v>240</v>
      </c>
      <c r="AV814" s="0" t="s">
        <v>240</v>
      </c>
      <c r="AW814" s="0" t="s">
        <v>240</v>
      </c>
      <c r="AX814" s="0" t="s">
        <v>240</v>
      </c>
      <c r="AY814" s="0" t="s">
        <v>240</v>
      </c>
      <c r="AZ814" s="0" t="s">
        <v>240</v>
      </c>
      <c r="BA814" s="0" t="s">
        <v>240</v>
      </c>
      <c r="BB814" s="0" t="s">
        <v>240</v>
      </c>
      <c r="BC814" s="0" t="s">
        <v>240</v>
      </c>
      <c r="BD814" s="0" t="s">
        <v>240</v>
      </c>
      <c r="BE814" s="0" t="s">
        <v>240</v>
      </c>
      <c r="BF814" s="0" t="s">
        <v>240</v>
      </c>
      <c r="BG814" s="0" t="s">
        <v>240</v>
      </c>
      <c r="BH814" s="0" t="s">
        <v>240</v>
      </c>
      <c r="BI814" s="0" t="s">
        <v>240</v>
      </c>
      <c r="BJ814" s="0" t="s">
        <v>240</v>
      </c>
      <c r="BK814" s="0" t="s">
        <v>240</v>
      </c>
      <c r="BL814" s="0" t="s">
        <v>240</v>
      </c>
      <c r="BM814" s="0" t="s">
        <v>240</v>
      </c>
      <c r="BN814" s="0" t="s">
        <v>240</v>
      </c>
      <c r="BO814" s="0" t="s">
        <v>240</v>
      </c>
      <c r="BP814" s="0" t="s">
        <v>240</v>
      </c>
      <c r="BQ814" s="0" t="s">
        <v>240</v>
      </c>
      <c r="BR814" s="0" t="s">
        <v>240</v>
      </c>
      <c r="BS814" s="0" t="s">
        <v>240</v>
      </c>
      <c r="BT814" s="0" t="s">
        <v>240</v>
      </c>
      <c r="CS814" s="0" t="s">
        <v>240</v>
      </c>
      <c r="CT814" s="0" t="s">
        <v>5496</v>
      </c>
      <c r="CU814" s="0" t="s">
        <v>5497</v>
      </c>
      <c r="CV814" s="0" t="s">
        <v>443</v>
      </c>
      <c r="CW814" s="0" t="s">
        <v>5527</v>
      </c>
      <c r="CX814" s="0" t="s">
        <v>229</v>
      </c>
      <c r="CY814" s="0" t="s">
        <v>443</v>
      </c>
      <c r="CZ814" s="0" t="s">
        <v>299</v>
      </c>
      <c r="DA814" s="0" t="s">
        <v>5529</v>
      </c>
      <c r="DB814" s="0" t="s">
        <v>5527</v>
      </c>
      <c r="DC814" s="0" t="s">
        <v>384</v>
      </c>
      <c r="DD814" s="0" t="s">
        <v>300</v>
      </c>
      <c r="DE814" s="0" t="s">
        <v>7167</v>
      </c>
    </row>
    <row customHeight="1" ht="11.25">
      <c r="A815" s="1441" t="s">
        <v>240</v>
      </c>
      <c r="B815" s="0" t="s">
        <v>240</v>
      </c>
      <c r="C815" s="0" t="s">
        <v>240</v>
      </c>
      <c r="D815" s="0" t="s">
        <v>240</v>
      </c>
      <c r="E815" s="0" t="s">
        <v>240</v>
      </c>
      <c r="F815" s="0" t="s">
        <v>240</v>
      </c>
      <c r="G815" s="0" t="s">
        <v>240</v>
      </c>
      <c r="H815" s="0" t="s">
        <v>240</v>
      </c>
      <c r="I815" s="0" t="s">
        <v>7004</v>
      </c>
      <c r="J815" s="0" t="s">
        <v>240</v>
      </c>
      <c r="K815" s="0" t="s">
        <v>240</v>
      </c>
      <c r="L815" s="0" t="s">
        <v>240</v>
      </c>
      <c r="M815" s="0" t="s">
        <v>240</v>
      </c>
      <c r="N815" s="0" t="s">
        <v>240</v>
      </c>
      <c r="O815" s="0" t="s">
        <v>240</v>
      </c>
      <c r="P815" s="0" t="s">
        <v>240</v>
      </c>
      <c r="Q815" s="0" t="s">
        <v>240</v>
      </c>
      <c r="R815" s="0" t="s">
        <v>6062</v>
      </c>
      <c r="S815" s="0" t="s">
        <v>240</v>
      </c>
      <c r="T815" s="0" t="s">
        <v>240</v>
      </c>
      <c r="U815" s="0" t="s">
        <v>102</v>
      </c>
      <c r="V815" s="0" t="s">
        <v>240</v>
      </c>
      <c r="W815" s="0" t="s">
        <v>240</v>
      </c>
      <c r="X815" s="0" t="s">
        <v>5585</v>
      </c>
      <c r="Y815" s="0" t="s">
        <v>240</v>
      </c>
      <c r="Z815" s="0" t="s">
        <v>152</v>
      </c>
      <c r="AA815" s="0" t="s">
        <v>152</v>
      </c>
      <c r="AB815" s="0" t="s">
        <v>161</v>
      </c>
      <c r="AC815" s="0" t="s">
        <v>3395</v>
      </c>
      <c r="AD815" s="0" t="s">
        <v>3395</v>
      </c>
      <c r="AE815" s="0" t="s">
        <v>3396</v>
      </c>
      <c r="AF815" s="0" t="s">
        <v>5941</v>
      </c>
      <c r="AG815" s="0" t="s">
        <v>5942</v>
      </c>
      <c r="AH815" s="0" t="s">
        <v>6063</v>
      </c>
      <c r="AI815" s="0" t="s">
        <v>5533</v>
      </c>
      <c r="AJ815" s="0" t="s">
        <v>240</v>
      </c>
      <c r="AK815" s="0" t="s">
        <v>240</v>
      </c>
      <c r="AL815" s="0" t="s">
        <v>240</v>
      </c>
      <c r="AN815" s="0" t="s">
        <v>240</v>
      </c>
      <c r="AO815" s="0" t="s">
        <v>240</v>
      </c>
      <c r="AP815" s="0" t="s">
        <v>240</v>
      </c>
      <c r="AQ815" s="0" t="s">
        <v>240</v>
      </c>
      <c r="AR815" s="0" t="s">
        <v>240</v>
      </c>
      <c r="AS815" s="0" t="s">
        <v>240</v>
      </c>
      <c r="AT815" s="0" t="s">
        <v>240</v>
      </c>
      <c r="AU815" s="0" t="s">
        <v>240</v>
      </c>
      <c r="AV815" s="0" t="s">
        <v>240</v>
      </c>
      <c r="AW815" s="0" t="s">
        <v>240</v>
      </c>
      <c r="AX815" s="0" t="s">
        <v>240</v>
      </c>
      <c r="AY815" s="0" t="s">
        <v>240</v>
      </c>
      <c r="AZ815" s="0" t="s">
        <v>240</v>
      </c>
      <c r="BA815" s="0" t="s">
        <v>240</v>
      </c>
      <c r="BB815" s="0" t="s">
        <v>240</v>
      </c>
      <c r="BC815" s="0" t="s">
        <v>240</v>
      </c>
      <c r="BD815" s="0" t="s">
        <v>240</v>
      </c>
      <c r="BE815" s="0" t="s">
        <v>7138</v>
      </c>
      <c r="BF815" s="0" t="s">
        <v>7139</v>
      </c>
      <c r="BG815" s="0" t="s">
        <v>112</v>
      </c>
      <c r="BH815" s="0" t="s">
        <v>5589</v>
      </c>
      <c r="BI815" s="0" t="s">
        <v>123</v>
      </c>
      <c r="BJ815" s="0" t="s">
        <v>240</v>
      </c>
      <c r="BK815" s="0" t="s">
        <v>152</v>
      </c>
      <c r="BL815" s="0" t="s">
        <v>3395</v>
      </c>
      <c r="BM815" s="0" t="s">
        <v>3395</v>
      </c>
      <c r="BN815" s="0" t="s">
        <v>6066</v>
      </c>
      <c r="BO815" s="0" t="s">
        <v>5941</v>
      </c>
      <c r="BP815" s="0" t="s">
        <v>6067</v>
      </c>
      <c r="BQ815" s="0" t="s">
        <v>6063</v>
      </c>
      <c r="BR815" s="0" t="s">
        <v>5533</v>
      </c>
      <c r="BS815" s="0" t="s">
        <v>240</v>
      </c>
      <c r="BT815" s="0" t="s">
        <v>5594</v>
      </c>
      <c r="CS815" s="0" t="s">
        <v>5553</v>
      </c>
      <c r="CT815" s="0" t="s">
        <v>5496</v>
      </c>
      <c r="CU815" s="0" t="s">
        <v>5497</v>
      </c>
      <c r="CV815" s="0" t="s">
        <v>5947</v>
      </c>
      <c r="CW815" s="0" t="s">
        <v>5948</v>
      </c>
      <c r="CX815" s="0" t="s">
        <v>5528</v>
      </c>
      <c r="CY815" s="0" t="s">
        <v>5947</v>
      </c>
      <c r="CZ815" s="0" t="s">
        <v>7022</v>
      </c>
      <c r="DA815" s="0" t="s">
        <v>5949</v>
      </c>
      <c r="DB815" s="0" t="s">
        <v>5948</v>
      </c>
      <c r="DC815" s="0" t="s">
        <v>384</v>
      </c>
      <c r="DD815" s="0" t="s">
        <v>300</v>
      </c>
      <c r="DE815" s="0" t="s">
        <v>7096</v>
      </c>
    </row>
    <row customHeight="1" ht="11.25">
      <c r="A816" s="1441" t="s">
        <v>240</v>
      </c>
      <c r="B816" s="0" t="s">
        <v>240</v>
      </c>
      <c r="C816" s="0" t="s">
        <v>240</v>
      </c>
      <c r="D816" s="0" t="s">
        <v>240</v>
      </c>
      <c r="E816" s="0" t="s">
        <v>240</v>
      </c>
      <c r="F816" s="0" t="s">
        <v>240</v>
      </c>
      <c r="G816" s="0" t="s">
        <v>240</v>
      </c>
      <c r="H816" s="0" t="s">
        <v>240</v>
      </c>
      <c r="I816" s="0" t="s">
        <v>7004</v>
      </c>
      <c r="J816" s="0" t="s">
        <v>240</v>
      </c>
      <c r="K816" s="0" t="s">
        <v>240</v>
      </c>
      <c r="L816" s="0" t="s">
        <v>240</v>
      </c>
      <c r="M816" s="0" t="s">
        <v>240</v>
      </c>
      <c r="N816" s="0" t="s">
        <v>240</v>
      </c>
      <c r="O816" s="0" t="s">
        <v>240</v>
      </c>
      <c r="P816" s="0" t="s">
        <v>240</v>
      </c>
      <c r="Q816" s="0" t="s">
        <v>240</v>
      </c>
      <c r="R816" s="0" t="s">
        <v>520</v>
      </c>
      <c r="S816" s="0" t="s">
        <v>240</v>
      </c>
      <c r="T816" s="0" t="s">
        <v>240</v>
      </c>
      <c r="U816" s="0" t="s">
        <v>102</v>
      </c>
      <c r="V816" s="0" t="s">
        <v>240</v>
      </c>
      <c r="W816" s="0" t="s">
        <v>240</v>
      </c>
      <c r="X816" s="0" t="s">
        <v>546</v>
      </c>
      <c r="Y816" s="0" t="s">
        <v>240</v>
      </c>
      <c r="Z816" s="0" t="s">
        <v>161</v>
      </c>
      <c r="AA816" s="0" t="s">
        <v>152</v>
      </c>
      <c r="AB816" s="0" t="s">
        <v>152</v>
      </c>
      <c r="AC816" s="0" t="s">
        <v>364</v>
      </c>
      <c r="AD816" s="0" t="s">
        <v>364</v>
      </c>
      <c r="AE816" s="0" t="s">
        <v>365</v>
      </c>
      <c r="AF816" s="0" t="s">
        <v>5486</v>
      </c>
      <c r="AG816" s="0" t="s">
        <v>5487</v>
      </c>
      <c r="AH816" s="0" t="s">
        <v>7373</v>
      </c>
      <c r="AI816" s="0" t="s">
        <v>5968</v>
      </c>
      <c r="AJ816" s="0" t="s">
        <v>6884</v>
      </c>
      <c r="AK816" s="0" t="s">
        <v>5494</v>
      </c>
      <c r="AL816" s="0" t="s">
        <v>7009</v>
      </c>
      <c r="AN816" s="0" t="s">
        <v>6206</v>
      </c>
      <c r="AO816" s="0" t="s">
        <v>5579</v>
      </c>
      <c r="AP816" s="0" t="s">
        <v>240</v>
      </c>
      <c r="AQ816" s="0" t="s">
        <v>240</v>
      </c>
      <c r="AR816" s="0" t="s">
        <v>240</v>
      </c>
      <c r="AS816" s="0" t="s">
        <v>240</v>
      </c>
      <c r="AT816" s="0" t="s">
        <v>240</v>
      </c>
      <c r="AU816" s="0" t="s">
        <v>240</v>
      </c>
      <c r="AV816" s="0" t="s">
        <v>240</v>
      </c>
      <c r="AW816" s="0" t="s">
        <v>240</v>
      </c>
      <c r="AX816" s="0" t="s">
        <v>240</v>
      </c>
      <c r="AY816" s="0" t="s">
        <v>240</v>
      </c>
      <c r="AZ816" s="0" t="s">
        <v>240</v>
      </c>
      <c r="BA816" s="0" t="s">
        <v>240</v>
      </c>
      <c r="BB816" s="0" t="s">
        <v>240</v>
      </c>
      <c r="BC816" s="0" t="s">
        <v>240</v>
      </c>
      <c r="BD816" s="0" t="s">
        <v>240</v>
      </c>
      <c r="BE816" s="0" t="s">
        <v>240</v>
      </c>
      <c r="BF816" s="0" t="s">
        <v>240</v>
      </c>
      <c r="BG816" s="0" t="s">
        <v>240</v>
      </c>
      <c r="BH816" s="0" t="s">
        <v>240</v>
      </c>
      <c r="BI816" s="0" t="s">
        <v>240</v>
      </c>
      <c r="BJ816" s="0" t="s">
        <v>240</v>
      </c>
      <c r="BK816" s="0" t="s">
        <v>240</v>
      </c>
      <c r="BL816" s="0" t="s">
        <v>240</v>
      </c>
      <c r="BM816" s="0" t="s">
        <v>240</v>
      </c>
      <c r="BN816" s="0" t="s">
        <v>240</v>
      </c>
      <c r="BO816" s="0" t="s">
        <v>240</v>
      </c>
      <c r="BP816" s="0" t="s">
        <v>240</v>
      </c>
      <c r="BQ816" s="0" t="s">
        <v>240</v>
      </c>
      <c r="BR816" s="0" t="s">
        <v>240</v>
      </c>
      <c r="BS816" s="0" t="s">
        <v>240</v>
      </c>
      <c r="BT816" s="0" t="s">
        <v>240</v>
      </c>
      <c r="CS816" s="0" t="s">
        <v>240</v>
      </c>
      <c r="CT816" s="0" t="s">
        <v>5496</v>
      </c>
      <c r="CU816" s="0" t="s">
        <v>5497</v>
      </c>
      <c r="CV816" s="0" t="s">
        <v>443</v>
      </c>
      <c r="CW816" s="0" t="s">
        <v>5498</v>
      </c>
      <c r="CX816" s="0" t="s">
        <v>229</v>
      </c>
      <c r="CY816" s="0" t="s">
        <v>443</v>
      </c>
      <c r="CZ816" s="0" t="s">
        <v>230</v>
      </c>
      <c r="DA816" s="0" t="s">
        <v>444</v>
      </c>
      <c r="DB816" s="0" t="s">
        <v>5498</v>
      </c>
      <c r="DC816" s="0" t="s">
        <v>384</v>
      </c>
      <c r="DD816" s="0" t="s">
        <v>300</v>
      </c>
      <c r="DE816" s="0" t="s">
        <v>521</v>
      </c>
    </row>
    <row customHeight="1" ht="11.25">
      <c r="A817" s="1441" t="s">
        <v>240</v>
      </c>
      <c r="B817" s="0" t="s">
        <v>240</v>
      </c>
      <c r="C817" s="0" t="s">
        <v>240</v>
      </c>
      <c r="D817" s="0" t="s">
        <v>240</v>
      </c>
      <c r="E817" s="0" t="s">
        <v>240</v>
      </c>
      <c r="F817" s="0" t="s">
        <v>240</v>
      </c>
      <c r="G817" s="0" t="s">
        <v>240</v>
      </c>
      <c r="H817" s="0" t="s">
        <v>240</v>
      </c>
      <c r="I817" s="0" t="s">
        <v>7004</v>
      </c>
      <c r="J817" s="0" t="s">
        <v>240</v>
      </c>
      <c r="K817" s="0" t="s">
        <v>240</v>
      </c>
      <c r="L817" s="0" t="s">
        <v>240</v>
      </c>
      <c r="M817" s="0" t="s">
        <v>240</v>
      </c>
      <c r="N817" s="0" t="s">
        <v>240</v>
      </c>
      <c r="O817" s="0" t="s">
        <v>240</v>
      </c>
      <c r="P817" s="0" t="s">
        <v>240</v>
      </c>
      <c r="Q817" s="0" t="s">
        <v>240</v>
      </c>
      <c r="R817" s="0" t="s">
        <v>7362</v>
      </c>
      <c r="S817" s="0" t="s">
        <v>240</v>
      </c>
      <c r="T817" s="0" t="s">
        <v>240</v>
      </c>
      <c r="U817" s="0" t="s">
        <v>102</v>
      </c>
      <c r="V817" s="0" t="s">
        <v>240</v>
      </c>
      <c r="W817" s="0" t="s">
        <v>240</v>
      </c>
      <c r="X817" s="0" t="s">
        <v>5585</v>
      </c>
      <c r="Y817" s="0" t="s">
        <v>240</v>
      </c>
      <c r="Z817" s="0" t="s">
        <v>152</v>
      </c>
      <c r="AA817" s="0" t="s">
        <v>152</v>
      </c>
      <c r="AB817" s="0" t="s">
        <v>161</v>
      </c>
      <c r="AC817" s="0" t="s">
        <v>2991</v>
      </c>
      <c r="AD817" s="0" t="s">
        <v>2991</v>
      </c>
      <c r="AE817" s="0" t="s">
        <v>2992</v>
      </c>
      <c r="AF817" s="0" t="s">
        <v>5772</v>
      </c>
      <c r="AG817" s="0" t="s">
        <v>5773</v>
      </c>
      <c r="AH817" s="0" t="s">
        <v>5575</v>
      </c>
      <c r="AI817" s="0" t="s">
        <v>5575</v>
      </c>
      <c r="AJ817" s="0" t="s">
        <v>240</v>
      </c>
      <c r="AK817" s="0" t="s">
        <v>240</v>
      </c>
      <c r="AL817" s="0" t="s">
        <v>240</v>
      </c>
      <c r="AN817" s="0" t="s">
        <v>240</v>
      </c>
      <c r="AO817" s="0" t="s">
        <v>240</v>
      </c>
      <c r="AP817" s="0" t="s">
        <v>240</v>
      </c>
      <c r="AQ817" s="0" t="s">
        <v>240</v>
      </c>
      <c r="AR817" s="0" t="s">
        <v>240</v>
      </c>
      <c r="AS817" s="0" t="s">
        <v>240</v>
      </c>
      <c r="AT817" s="0" t="s">
        <v>240</v>
      </c>
      <c r="AU817" s="0" t="s">
        <v>240</v>
      </c>
      <c r="AV817" s="0" t="s">
        <v>240</v>
      </c>
      <c r="AW817" s="0" t="s">
        <v>240</v>
      </c>
      <c r="AX817" s="0" t="s">
        <v>240</v>
      </c>
      <c r="AY817" s="0" t="s">
        <v>240</v>
      </c>
      <c r="AZ817" s="0" t="s">
        <v>240</v>
      </c>
      <c r="BA817" s="0" t="s">
        <v>240</v>
      </c>
      <c r="BB817" s="0" t="s">
        <v>240</v>
      </c>
      <c r="BC817" s="0" t="s">
        <v>240</v>
      </c>
      <c r="BD817" s="0" t="s">
        <v>240</v>
      </c>
      <c r="BE817" s="0" t="s">
        <v>7313</v>
      </c>
      <c r="BF817" s="0" t="s">
        <v>5756</v>
      </c>
      <c r="BG817" s="0" t="s">
        <v>112</v>
      </c>
      <c r="BH817" s="0" t="s">
        <v>5589</v>
      </c>
      <c r="BI817" s="0" t="s">
        <v>123</v>
      </c>
      <c r="BJ817" s="0" t="s">
        <v>240</v>
      </c>
      <c r="BK817" s="0" t="s">
        <v>240</v>
      </c>
      <c r="BL817" s="0" t="s">
        <v>2991</v>
      </c>
      <c r="BM817" s="0" t="s">
        <v>2991</v>
      </c>
      <c r="BN817" s="0" t="s">
        <v>5663</v>
      </c>
      <c r="BO817" s="0" t="s">
        <v>5772</v>
      </c>
      <c r="BP817" s="0" t="s">
        <v>6147</v>
      </c>
      <c r="BQ817" s="0" t="s">
        <v>5575</v>
      </c>
      <c r="BR817" s="0" t="s">
        <v>5575</v>
      </c>
      <c r="BS817" s="0" t="s">
        <v>240</v>
      </c>
      <c r="BT817" s="0" t="s">
        <v>5650</v>
      </c>
      <c r="CS817" s="0" t="s">
        <v>7118</v>
      </c>
      <c r="CT817" s="0" t="s">
        <v>5496</v>
      </c>
      <c r="CU817" s="0" t="s">
        <v>5497</v>
      </c>
      <c r="CV817" s="0" t="s">
        <v>443</v>
      </c>
      <c r="CW817" s="0" t="s">
        <v>5547</v>
      </c>
      <c r="CX817" s="0" t="s">
        <v>229</v>
      </c>
      <c r="CY817" s="0" t="s">
        <v>443</v>
      </c>
      <c r="CZ817" s="0" t="s">
        <v>5548</v>
      </c>
      <c r="DA817" s="0" t="s">
        <v>5549</v>
      </c>
      <c r="DB817" s="0" t="s">
        <v>5547</v>
      </c>
      <c r="DC817" s="0" t="s">
        <v>384</v>
      </c>
      <c r="DD817" s="0" t="s">
        <v>300</v>
      </c>
      <c r="DE817" s="0" t="s">
        <v>6149</v>
      </c>
    </row>
    <row customHeight="1" ht="11.25">
      <c r="A818" s="1441" t="s">
        <v>240</v>
      </c>
      <c r="B818" s="0" t="s">
        <v>240</v>
      </c>
      <c r="C818" s="0" t="s">
        <v>240</v>
      </c>
      <c r="D818" s="0" t="s">
        <v>240</v>
      </c>
      <c r="E818" s="0" t="s">
        <v>240</v>
      </c>
      <c r="F818" s="0" t="s">
        <v>240</v>
      </c>
      <c r="G818" s="0" t="s">
        <v>240</v>
      </c>
      <c r="H818" s="0" t="s">
        <v>240</v>
      </c>
      <c r="I818" s="0" t="s">
        <v>7004</v>
      </c>
      <c r="J818" s="0" t="s">
        <v>240</v>
      </c>
      <c r="K818" s="0" t="s">
        <v>240</v>
      </c>
      <c r="L818" s="0" t="s">
        <v>240</v>
      </c>
      <c r="M818" s="0" t="s">
        <v>240</v>
      </c>
      <c r="N818" s="0" t="s">
        <v>240</v>
      </c>
      <c r="O818" s="0" t="s">
        <v>240</v>
      </c>
      <c r="P818" s="0" t="s">
        <v>240</v>
      </c>
      <c r="Q818" s="0" t="s">
        <v>240</v>
      </c>
      <c r="R818" s="0" t="s">
        <v>7168</v>
      </c>
      <c r="S818" s="0" t="s">
        <v>240</v>
      </c>
      <c r="T818" s="0" t="s">
        <v>240</v>
      </c>
      <c r="U818" s="0" t="s">
        <v>102</v>
      </c>
      <c r="V818" s="0" t="s">
        <v>240</v>
      </c>
      <c r="W818" s="0" t="s">
        <v>240</v>
      </c>
      <c r="X818" s="0" t="s">
        <v>546</v>
      </c>
      <c r="Y818" s="0" t="s">
        <v>240</v>
      </c>
      <c r="Z818" s="0" t="s">
        <v>161</v>
      </c>
      <c r="AA818" s="0" t="s">
        <v>152</v>
      </c>
      <c r="AB818" s="0" t="s">
        <v>152</v>
      </c>
      <c r="AC818" s="0" t="s">
        <v>3389</v>
      </c>
      <c r="AD818" s="0" t="s">
        <v>3389</v>
      </c>
      <c r="AE818" s="0" t="s">
        <v>3390</v>
      </c>
      <c r="AF818" s="0" t="s">
        <v>5519</v>
      </c>
      <c r="AG818" s="0" t="s">
        <v>5520</v>
      </c>
      <c r="AH818" s="0" t="s">
        <v>7169</v>
      </c>
      <c r="AI818" s="0" t="s">
        <v>475</v>
      </c>
      <c r="AJ818" s="0" t="s">
        <v>6200</v>
      </c>
      <c r="AK818" s="0" t="s">
        <v>7170</v>
      </c>
      <c r="AL818" s="0" t="s">
        <v>7009</v>
      </c>
      <c r="AN818" s="0" t="s">
        <v>5504</v>
      </c>
      <c r="AO818" s="0" t="s">
        <v>6380</v>
      </c>
      <c r="AP818" s="0" t="s">
        <v>240</v>
      </c>
      <c r="AQ818" s="0" t="s">
        <v>240</v>
      </c>
      <c r="AR818" s="0" t="s">
        <v>240</v>
      </c>
      <c r="AS818" s="0" t="s">
        <v>240</v>
      </c>
      <c r="AT818" s="0" t="s">
        <v>240</v>
      </c>
      <c r="AU818" s="0" t="s">
        <v>240</v>
      </c>
      <c r="AV818" s="0" t="s">
        <v>240</v>
      </c>
      <c r="AW818" s="0" t="s">
        <v>240</v>
      </c>
      <c r="AX818" s="0" t="s">
        <v>240</v>
      </c>
      <c r="AY818" s="0" t="s">
        <v>240</v>
      </c>
      <c r="AZ818" s="0" t="s">
        <v>240</v>
      </c>
      <c r="BA818" s="0" t="s">
        <v>240</v>
      </c>
      <c r="BB818" s="0" t="s">
        <v>240</v>
      </c>
      <c r="BC818" s="0" t="s">
        <v>240</v>
      </c>
      <c r="BD818" s="0" t="s">
        <v>240</v>
      </c>
      <c r="BE818" s="0" t="s">
        <v>240</v>
      </c>
      <c r="BF818" s="0" t="s">
        <v>240</v>
      </c>
      <c r="BG818" s="0" t="s">
        <v>240</v>
      </c>
      <c r="BH818" s="0" t="s">
        <v>240</v>
      </c>
      <c r="BI818" s="0" t="s">
        <v>240</v>
      </c>
      <c r="BJ818" s="0" t="s">
        <v>240</v>
      </c>
      <c r="BK818" s="0" t="s">
        <v>240</v>
      </c>
      <c r="BL818" s="0" t="s">
        <v>240</v>
      </c>
      <c r="BM818" s="0" t="s">
        <v>240</v>
      </c>
      <c r="BN818" s="0" t="s">
        <v>240</v>
      </c>
      <c r="BO818" s="0" t="s">
        <v>240</v>
      </c>
      <c r="BP818" s="0" t="s">
        <v>240</v>
      </c>
      <c r="BQ818" s="0" t="s">
        <v>240</v>
      </c>
      <c r="BR818" s="0" t="s">
        <v>240</v>
      </c>
      <c r="BS818" s="0" t="s">
        <v>240</v>
      </c>
      <c r="BT818" s="0" t="s">
        <v>240</v>
      </c>
      <c r="CS818" s="0" t="s">
        <v>240</v>
      </c>
      <c r="CT818" s="0" t="s">
        <v>5496</v>
      </c>
      <c r="CU818" s="0" t="s">
        <v>5497</v>
      </c>
      <c r="CV818" s="0" t="s">
        <v>443</v>
      </c>
      <c r="CW818" s="0" t="s">
        <v>5527</v>
      </c>
      <c r="CX818" s="0" t="s">
        <v>229</v>
      </c>
      <c r="CY818" s="0" t="s">
        <v>443</v>
      </c>
      <c r="CZ818" s="0" t="s">
        <v>299</v>
      </c>
      <c r="DA818" s="0" t="s">
        <v>5529</v>
      </c>
      <c r="DB818" s="0" t="s">
        <v>5527</v>
      </c>
      <c r="DC818" s="0" t="s">
        <v>384</v>
      </c>
      <c r="DD818" s="0" t="s">
        <v>300</v>
      </c>
      <c r="DE818" s="0" t="s">
        <v>7171</v>
      </c>
    </row>
    <row customHeight="1" ht="11.25">
      <c r="A819" s="1441" t="s">
        <v>240</v>
      </c>
      <c r="B819" s="0" t="s">
        <v>240</v>
      </c>
      <c r="C819" s="0" t="s">
        <v>240</v>
      </c>
      <c r="D819" s="0" t="s">
        <v>240</v>
      </c>
      <c r="E819" s="0" t="s">
        <v>240</v>
      </c>
      <c r="F819" s="0" t="s">
        <v>240</v>
      </c>
      <c r="G819" s="0" t="s">
        <v>240</v>
      </c>
      <c r="H819" s="0" t="s">
        <v>240</v>
      </c>
      <c r="I819" s="0" t="s">
        <v>7004</v>
      </c>
      <c r="J819" s="0" t="s">
        <v>240</v>
      </c>
      <c r="K819" s="0" t="s">
        <v>240</v>
      </c>
      <c r="L819" s="0" t="s">
        <v>240</v>
      </c>
      <c r="M819" s="0" t="s">
        <v>240</v>
      </c>
      <c r="N819" s="0" t="s">
        <v>240</v>
      </c>
      <c r="O819" s="0" t="s">
        <v>240</v>
      </c>
      <c r="P819" s="0" t="s">
        <v>240</v>
      </c>
      <c r="Q819" s="0" t="s">
        <v>240</v>
      </c>
      <c r="R819" s="0" t="s">
        <v>7200</v>
      </c>
      <c r="S819" s="0" t="s">
        <v>240</v>
      </c>
      <c r="T819" s="0" t="s">
        <v>240</v>
      </c>
      <c r="U819" s="0" t="s">
        <v>102</v>
      </c>
      <c r="V819" s="0" t="s">
        <v>240</v>
      </c>
      <c r="W819" s="0" t="s">
        <v>240</v>
      </c>
      <c r="X819" s="0" t="s">
        <v>546</v>
      </c>
      <c r="Y819" s="0" t="s">
        <v>240</v>
      </c>
      <c r="Z819" s="0" t="s">
        <v>161</v>
      </c>
      <c r="AA819" s="0" t="s">
        <v>152</v>
      </c>
      <c r="AB819" s="0" t="s">
        <v>152</v>
      </c>
      <c r="AC819" s="0" t="s">
        <v>3389</v>
      </c>
      <c r="AD819" s="0" t="s">
        <v>3389</v>
      </c>
      <c r="AE819" s="0" t="s">
        <v>3390</v>
      </c>
      <c r="AF819" s="0" t="s">
        <v>5519</v>
      </c>
      <c r="AG819" s="0" t="s">
        <v>5520</v>
      </c>
      <c r="AH819" s="0" t="s">
        <v>7201</v>
      </c>
      <c r="AI819" s="0" t="s">
        <v>457</v>
      </c>
      <c r="AJ819" s="0" t="s">
        <v>6884</v>
      </c>
      <c r="AK819" s="0" t="s">
        <v>7202</v>
      </c>
      <c r="AL819" s="0" t="s">
        <v>7009</v>
      </c>
      <c r="AN819" s="0" t="s">
        <v>5491</v>
      </c>
      <c r="AO819" s="0" t="s">
        <v>7110</v>
      </c>
      <c r="AP819" s="0" t="s">
        <v>240</v>
      </c>
      <c r="AQ819" s="0" t="s">
        <v>240</v>
      </c>
      <c r="AR819" s="0" t="s">
        <v>240</v>
      </c>
      <c r="AS819" s="0" t="s">
        <v>240</v>
      </c>
      <c r="AT819" s="0" t="s">
        <v>240</v>
      </c>
      <c r="AU819" s="0" t="s">
        <v>240</v>
      </c>
      <c r="AV819" s="0" t="s">
        <v>240</v>
      </c>
      <c r="AW819" s="0" t="s">
        <v>240</v>
      </c>
      <c r="AX819" s="0" t="s">
        <v>240</v>
      </c>
      <c r="AY819" s="0" t="s">
        <v>240</v>
      </c>
      <c r="AZ819" s="0" t="s">
        <v>240</v>
      </c>
      <c r="BA819" s="0" t="s">
        <v>240</v>
      </c>
      <c r="BB819" s="0" t="s">
        <v>240</v>
      </c>
      <c r="BC819" s="0" t="s">
        <v>240</v>
      </c>
      <c r="BD819" s="0" t="s">
        <v>240</v>
      </c>
      <c r="BE819" s="0" t="s">
        <v>240</v>
      </c>
      <c r="BF819" s="0" t="s">
        <v>240</v>
      </c>
      <c r="BG819" s="0" t="s">
        <v>240</v>
      </c>
      <c r="BH819" s="0" t="s">
        <v>240</v>
      </c>
      <c r="BI819" s="0" t="s">
        <v>240</v>
      </c>
      <c r="BJ819" s="0" t="s">
        <v>240</v>
      </c>
      <c r="BK819" s="0" t="s">
        <v>240</v>
      </c>
      <c r="BL819" s="0" t="s">
        <v>240</v>
      </c>
      <c r="BM819" s="0" t="s">
        <v>240</v>
      </c>
      <c r="BN819" s="0" t="s">
        <v>240</v>
      </c>
      <c r="BO819" s="0" t="s">
        <v>240</v>
      </c>
      <c r="BP819" s="0" t="s">
        <v>240</v>
      </c>
      <c r="BQ819" s="0" t="s">
        <v>240</v>
      </c>
      <c r="BR819" s="0" t="s">
        <v>240</v>
      </c>
      <c r="BS819" s="0" t="s">
        <v>240</v>
      </c>
      <c r="BT819" s="0" t="s">
        <v>240</v>
      </c>
      <c r="CS819" s="0" t="s">
        <v>240</v>
      </c>
      <c r="CT819" s="0" t="s">
        <v>5496</v>
      </c>
      <c r="CU819" s="0" t="s">
        <v>5497</v>
      </c>
      <c r="CV819" s="0" t="s">
        <v>443</v>
      </c>
      <c r="CW819" s="0" t="s">
        <v>5527</v>
      </c>
      <c r="CX819" s="0" t="s">
        <v>229</v>
      </c>
      <c r="CY819" s="0" t="s">
        <v>443</v>
      </c>
      <c r="CZ819" s="0" t="s">
        <v>299</v>
      </c>
      <c r="DA819" s="0" t="s">
        <v>5529</v>
      </c>
      <c r="DB819" s="0" t="s">
        <v>5527</v>
      </c>
      <c r="DC819" s="0" t="s">
        <v>384</v>
      </c>
      <c r="DD819" s="0" t="s">
        <v>300</v>
      </c>
      <c r="DE819" s="0" t="s">
        <v>7203</v>
      </c>
    </row>
    <row customHeight="1" ht="11.25">
      <c r="A820" s="1441" t="s">
        <v>240</v>
      </c>
      <c r="B820" s="0" t="s">
        <v>240</v>
      </c>
      <c r="C820" s="0" t="s">
        <v>240</v>
      </c>
      <c r="D820" s="0" t="s">
        <v>240</v>
      </c>
      <c r="E820" s="0" t="s">
        <v>240</v>
      </c>
      <c r="F820" s="0" t="s">
        <v>240</v>
      </c>
      <c r="G820" s="0" t="s">
        <v>240</v>
      </c>
      <c r="H820" s="0" t="s">
        <v>240</v>
      </c>
      <c r="I820" s="0" t="s">
        <v>7004</v>
      </c>
      <c r="J820" s="0" t="s">
        <v>240</v>
      </c>
      <c r="K820" s="0" t="s">
        <v>240</v>
      </c>
      <c r="L820" s="0" t="s">
        <v>240</v>
      </c>
      <c r="M820" s="0" t="s">
        <v>240</v>
      </c>
      <c r="N820" s="0" t="s">
        <v>240</v>
      </c>
      <c r="O820" s="0" t="s">
        <v>240</v>
      </c>
      <c r="P820" s="0" t="s">
        <v>240</v>
      </c>
      <c r="Q820" s="0" t="s">
        <v>240</v>
      </c>
      <c r="R820" s="0" t="s">
        <v>7204</v>
      </c>
      <c r="S820" s="0" t="s">
        <v>240</v>
      </c>
      <c r="T820" s="0" t="s">
        <v>240</v>
      </c>
      <c r="U820" s="0" t="s">
        <v>102</v>
      </c>
      <c r="V820" s="0" t="s">
        <v>240</v>
      </c>
      <c r="W820" s="0" t="s">
        <v>240</v>
      </c>
      <c r="X820" s="0" t="s">
        <v>546</v>
      </c>
      <c r="Y820" s="0" t="s">
        <v>240</v>
      </c>
      <c r="Z820" s="0" t="s">
        <v>161</v>
      </c>
      <c r="AA820" s="0" t="s">
        <v>152</v>
      </c>
      <c r="AB820" s="0" t="s">
        <v>152</v>
      </c>
      <c r="AC820" s="0" t="s">
        <v>3389</v>
      </c>
      <c r="AD820" s="0" t="s">
        <v>3389</v>
      </c>
      <c r="AE820" s="0" t="s">
        <v>3390</v>
      </c>
      <c r="AF820" s="0" t="s">
        <v>5519</v>
      </c>
      <c r="AG820" s="0" t="s">
        <v>5520</v>
      </c>
      <c r="AH820" s="0" t="s">
        <v>7205</v>
      </c>
      <c r="AI820" s="0" t="s">
        <v>5575</v>
      </c>
      <c r="AJ820" s="0" t="s">
        <v>6884</v>
      </c>
      <c r="AK820" s="0" t="s">
        <v>5504</v>
      </c>
      <c r="AL820" s="0" t="s">
        <v>7009</v>
      </c>
      <c r="AN820" s="0" t="s">
        <v>5821</v>
      </c>
      <c r="AO820" s="0" t="s">
        <v>7206</v>
      </c>
      <c r="AP820" s="0" t="s">
        <v>240</v>
      </c>
      <c r="AQ820" s="0" t="s">
        <v>240</v>
      </c>
      <c r="AR820" s="0" t="s">
        <v>240</v>
      </c>
      <c r="AS820" s="0" t="s">
        <v>240</v>
      </c>
      <c r="AT820" s="0" t="s">
        <v>240</v>
      </c>
      <c r="AU820" s="0" t="s">
        <v>240</v>
      </c>
      <c r="AV820" s="0" t="s">
        <v>240</v>
      </c>
      <c r="AW820" s="0" t="s">
        <v>240</v>
      </c>
      <c r="AX820" s="0" t="s">
        <v>240</v>
      </c>
      <c r="AY820" s="0" t="s">
        <v>240</v>
      </c>
      <c r="AZ820" s="0" t="s">
        <v>240</v>
      </c>
      <c r="BA820" s="0" t="s">
        <v>240</v>
      </c>
      <c r="BB820" s="0" t="s">
        <v>240</v>
      </c>
      <c r="BC820" s="0" t="s">
        <v>240</v>
      </c>
      <c r="BD820" s="0" t="s">
        <v>240</v>
      </c>
      <c r="BE820" s="0" t="s">
        <v>240</v>
      </c>
      <c r="BF820" s="0" t="s">
        <v>240</v>
      </c>
      <c r="BG820" s="0" t="s">
        <v>240</v>
      </c>
      <c r="BH820" s="0" t="s">
        <v>240</v>
      </c>
      <c r="BI820" s="0" t="s">
        <v>240</v>
      </c>
      <c r="BJ820" s="0" t="s">
        <v>240</v>
      </c>
      <c r="BK820" s="0" t="s">
        <v>240</v>
      </c>
      <c r="BL820" s="0" t="s">
        <v>240</v>
      </c>
      <c r="BM820" s="0" t="s">
        <v>240</v>
      </c>
      <c r="BN820" s="0" t="s">
        <v>240</v>
      </c>
      <c r="BO820" s="0" t="s">
        <v>240</v>
      </c>
      <c r="BP820" s="0" t="s">
        <v>240</v>
      </c>
      <c r="BQ820" s="0" t="s">
        <v>240</v>
      </c>
      <c r="BR820" s="0" t="s">
        <v>240</v>
      </c>
      <c r="BS820" s="0" t="s">
        <v>240</v>
      </c>
      <c r="BT820" s="0" t="s">
        <v>240</v>
      </c>
      <c r="CS820" s="0" t="s">
        <v>240</v>
      </c>
      <c r="CT820" s="0" t="s">
        <v>5496</v>
      </c>
      <c r="CU820" s="0" t="s">
        <v>7012</v>
      </c>
      <c r="CV820" s="0" t="s">
        <v>7207</v>
      </c>
      <c r="CW820" s="0" t="s">
        <v>7208</v>
      </c>
      <c r="CX820" s="0" t="s">
        <v>7209</v>
      </c>
      <c r="CY820" s="0" t="s">
        <v>7189</v>
      </c>
      <c r="CZ820" s="0" t="s">
        <v>7210</v>
      </c>
      <c r="DA820" s="0" t="s">
        <v>7206</v>
      </c>
      <c r="DB820" s="0" t="s">
        <v>7208</v>
      </c>
      <c r="DC820" s="0" t="s">
        <v>384</v>
      </c>
      <c r="DD820" s="0" t="s">
        <v>300</v>
      </c>
      <c r="DE820" s="0" t="s">
        <v>7211</v>
      </c>
    </row>
    <row customHeight="1" ht="11.25">
      <c r="A821" s="1441" t="s">
        <v>240</v>
      </c>
      <c r="B821" s="0" t="s">
        <v>240</v>
      </c>
      <c r="C821" s="0" t="s">
        <v>240</v>
      </c>
      <c r="D821" s="0" t="s">
        <v>240</v>
      </c>
      <c r="E821" s="0" t="s">
        <v>240</v>
      </c>
      <c r="F821" s="0" t="s">
        <v>240</v>
      </c>
      <c r="G821" s="0" t="s">
        <v>240</v>
      </c>
      <c r="H821" s="0" t="s">
        <v>240</v>
      </c>
      <c r="I821" s="0" t="s">
        <v>7004</v>
      </c>
      <c r="J821" s="0" t="s">
        <v>240</v>
      </c>
      <c r="K821" s="0" t="s">
        <v>240</v>
      </c>
      <c r="L821" s="0" t="s">
        <v>240</v>
      </c>
      <c r="M821" s="0" t="s">
        <v>240</v>
      </c>
      <c r="N821" s="0" t="s">
        <v>240</v>
      </c>
      <c r="O821" s="0" t="s">
        <v>240</v>
      </c>
      <c r="P821" s="0" t="s">
        <v>240</v>
      </c>
      <c r="Q821" s="0" t="s">
        <v>240</v>
      </c>
      <c r="R821" s="0" t="s">
        <v>518</v>
      </c>
      <c r="S821" s="0" t="s">
        <v>240</v>
      </c>
      <c r="T821" s="0" t="s">
        <v>240</v>
      </c>
      <c r="U821" s="0" t="s">
        <v>102</v>
      </c>
      <c r="V821" s="0" t="s">
        <v>240</v>
      </c>
      <c r="W821" s="0" t="s">
        <v>240</v>
      </c>
      <c r="X821" s="0" t="s">
        <v>546</v>
      </c>
      <c r="Y821" s="0" t="s">
        <v>240</v>
      </c>
      <c r="Z821" s="0" t="s">
        <v>161</v>
      </c>
      <c r="AA821" s="0" t="s">
        <v>152</v>
      </c>
      <c r="AB821" s="0" t="s">
        <v>152</v>
      </c>
      <c r="AC821" s="0" t="s">
        <v>364</v>
      </c>
      <c r="AD821" s="0" t="s">
        <v>364</v>
      </c>
      <c r="AE821" s="0" t="s">
        <v>365</v>
      </c>
      <c r="AF821" s="0" t="s">
        <v>5486</v>
      </c>
      <c r="AG821" s="0" t="s">
        <v>5487</v>
      </c>
      <c r="AH821" s="0" t="s">
        <v>7172</v>
      </c>
      <c r="AI821" s="0" t="s">
        <v>7173</v>
      </c>
      <c r="AJ821" s="0" t="s">
        <v>5578</v>
      </c>
      <c r="AK821" s="0" t="s">
        <v>5796</v>
      </c>
      <c r="AL821" s="0" t="s">
        <v>7009</v>
      </c>
      <c r="AN821" s="0" t="s">
        <v>7174</v>
      </c>
      <c r="AO821" s="0" t="s">
        <v>5619</v>
      </c>
      <c r="AP821" s="0" t="s">
        <v>240</v>
      </c>
      <c r="AQ821" s="0" t="s">
        <v>240</v>
      </c>
      <c r="AR821" s="0" t="s">
        <v>240</v>
      </c>
      <c r="AS821" s="0" t="s">
        <v>240</v>
      </c>
      <c r="AT821" s="0" t="s">
        <v>240</v>
      </c>
      <c r="AU821" s="0" t="s">
        <v>240</v>
      </c>
      <c r="AV821" s="0" t="s">
        <v>240</v>
      </c>
      <c r="AW821" s="0" t="s">
        <v>240</v>
      </c>
      <c r="AX821" s="0" t="s">
        <v>240</v>
      </c>
      <c r="AY821" s="0" t="s">
        <v>240</v>
      </c>
      <c r="AZ821" s="0" t="s">
        <v>240</v>
      </c>
      <c r="BA821" s="0" t="s">
        <v>240</v>
      </c>
      <c r="BB821" s="0" t="s">
        <v>240</v>
      </c>
      <c r="BC821" s="0" t="s">
        <v>240</v>
      </c>
      <c r="BD821" s="0" t="s">
        <v>240</v>
      </c>
      <c r="BE821" s="0" t="s">
        <v>240</v>
      </c>
      <c r="BF821" s="0" t="s">
        <v>240</v>
      </c>
      <c r="BG821" s="0" t="s">
        <v>240</v>
      </c>
      <c r="BH821" s="0" t="s">
        <v>240</v>
      </c>
      <c r="BI821" s="0" t="s">
        <v>240</v>
      </c>
      <c r="BJ821" s="0" t="s">
        <v>240</v>
      </c>
      <c r="BK821" s="0" t="s">
        <v>240</v>
      </c>
      <c r="BL821" s="0" t="s">
        <v>240</v>
      </c>
      <c r="BM821" s="0" t="s">
        <v>240</v>
      </c>
      <c r="BN821" s="0" t="s">
        <v>240</v>
      </c>
      <c r="BO821" s="0" t="s">
        <v>240</v>
      </c>
      <c r="BP821" s="0" t="s">
        <v>240</v>
      </c>
      <c r="BQ821" s="0" t="s">
        <v>240</v>
      </c>
      <c r="BR821" s="0" t="s">
        <v>240</v>
      </c>
      <c r="BS821" s="0" t="s">
        <v>240</v>
      </c>
      <c r="BT821" s="0" t="s">
        <v>240</v>
      </c>
      <c r="CS821" s="0" t="s">
        <v>240</v>
      </c>
      <c r="CT821" s="0" t="s">
        <v>5496</v>
      </c>
      <c r="CU821" s="0" t="s">
        <v>5497</v>
      </c>
      <c r="CV821" s="0" t="s">
        <v>443</v>
      </c>
      <c r="CW821" s="0" t="s">
        <v>5498</v>
      </c>
      <c r="CX821" s="0" t="s">
        <v>229</v>
      </c>
      <c r="CY821" s="0" t="s">
        <v>443</v>
      </c>
      <c r="CZ821" s="0" t="s">
        <v>230</v>
      </c>
      <c r="DA821" s="0" t="s">
        <v>444</v>
      </c>
      <c r="DB821" s="0" t="s">
        <v>5498</v>
      </c>
      <c r="DC821" s="0" t="s">
        <v>384</v>
      </c>
      <c r="DD821" s="0" t="s">
        <v>300</v>
      </c>
      <c r="DE821" s="0" t="s">
        <v>519</v>
      </c>
    </row>
    <row customHeight="1" ht="11.25">
      <c r="A822" s="1441" t="s">
        <v>240</v>
      </c>
      <c r="B822" s="0" t="s">
        <v>240</v>
      </c>
      <c r="C822" s="0" t="s">
        <v>240</v>
      </c>
      <c r="D822" s="0" t="s">
        <v>240</v>
      </c>
      <c r="E822" s="0" t="s">
        <v>240</v>
      </c>
      <c r="F822" s="0" t="s">
        <v>240</v>
      </c>
      <c r="G822" s="0" t="s">
        <v>240</v>
      </c>
      <c r="H822" s="0" t="s">
        <v>240</v>
      </c>
      <c r="I822" s="0" t="s">
        <v>7004</v>
      </c>
      <c r="J822" s="0" t="s">
        <v>240</v>
      </c>
      <c r="K822" s="0" t="s">
        <v>240</v>
      </c>
      <c r="L822" s="0" t="s">
        <v>240</v>
      </c>
      <c r="M822" s="0" t="s">
        <v>240</v>
      </c>
      <c r="N822" s="0" t="s">
        <v>240</v>
      </c>
      <c r="O822" s="0" t="s">
        <v>240</v>
      </c>
      <c r="P822" s="0" t="s">
        <v>240</v>
      </c>
      <c r="Q822" s="0" t="s">
        <v>240</v>
      </c>
      <c r="R822" s="0" t="s">
        <v>528</v>
      </c>
      <c r="S822" s="0" t="s">
        <v>240</v>
      </c>
      <c r="T822" s="0" t="s">
        <v>240</v>
      </c>
      <c r="U822" s="0" t="s">
        <v>102</v>
      </c>
      <c r="V822" s="0" t="s">
        <v>240</v>
      </c>
      <c r="W822" s="0" t="s">
        <v>240</v>
      </c>
      <c r="X822" s="0" t="s">
        <v>546</v>
      </c>
      <c r="Y822" s="0" t="s">
        <v>240</v>
      </c>
      <c r="Z822" s="0" t="s">
        <v>161</v>
      </c>
      <c r="AA822" s="0" t="s">
        <v>152</v>
      </c>
      <c r="AB822" s="0" t="s">
        <v>152</v>
      </c>
      <c r="AC822" s="0" t="s">
        <v>364</v>
      </c>
      <c r="AD822" s="0" t="s">
        <v>364</v>
      </c>
      <c r="AE822" s="0" t="s">
        <v>365</v>
      </c>
      <c r="AF822" s="0" t="s">
        <v>5486</v>
      </c>
      <c r="AG822" s="0" t="s">
        <v>5487</v>
      </c>
      <c r="AH822" s="0" t="s">
        <v>7175</v>
      </c>
      <c r="AI822" s="0" t="s">
        <v>7176</v>
      </c>
      <c r="AJ822" s="0" t="s">
        <v>7177</v>
      </c>
      <c r="AK822" s="0" t="s">
        <v>6210</v>
      </c>
      <c r="AL822" s="0" t="s">
        <v>7009</v>
      </c>
      <c r="AN822" s="0" t="s">
        <v>7178</v>
      </c>
      <c r="AO822" s="0" t="s">
        <v>5636</v>
      </c>
      <c r="AP822" s="0" t="s">
        <v>240</v>
      </c>
      <c r="AQ822" s="0" t="s">
        <v>240</v>
      </c>
      <c r="AR822" s="0" t="s">
        <v>240</v>
      </c>
      <c r="AS822" s="0" t="s">
        <v>240</v>
      </c>
      <c r="AT822" s="0" t="s">
        <v>240</v>
      </c>
      <c r="AU822" s="0" t="s">
        <v>240</v>
      </c>
      <c r="AV822" s="0" t="s">
        <v>240</v>
      </c>
      <c r="AW822" s="0" t="s">
        <v>240</v>
      </c>
      <c r="AX822" s="0" t="s">
        <v>240</v>
      </c>
      <c r="AY822" s="0" t="s">
        <v>240</v>
      </c>
      <c r="AZ822" s="0" t="s">
        <v>240</v>
      </c>
      <c r="BA822" s="0" t="s">
        <v>240</v>
      </c>
      <c r="BB822" s="0" t="s">
        <v>240</v>
      </c>
      <c r="BC822" s="0" t="s">
        <v>240</v>
      </c>
      <c r="BD822" s="0" t="s">
        <v>240</v>
      </c>
      <c r="BE822" s="0" t="s">
        <v>240</v>
      </c>
      <c r="BF822" s="0" t="s">
        <v>240</v>
      </c>
      <c r="BG822" s="0" t="s">
        <v>240</v>
      </c>
      <c r="BH822" s="0" t="s">
        <v>240</v>
      </c>
      <c r="BI822" s="0" t="s">
        <v>240</v>
      </c>
      <c r="BJ822" s="0" t="s">
        <v>240</v>
      </c>
      <c r="BK822" s="0" t="s">
        <v>240</v>
      </c>
      <c r="BL822" s="0" t="s">
        <v>240</v>
      </c>
      <c r="BM822" s="0" t="s">
        <v>240</v>
      </c>
      <c r="BN822" s="0" t="s">
        <v>240</v>
      </c>
      <c r="BO822" s="0" t="s">
        <v>240</v>
      </c>
      <c r="BP822" s="0" t="s">
        <v>240</v>
      </c>
      <c r="BQ822" s="0" t="s">
        <v>240</v>
      </c>
      <c r="BR822" s="0" t="s">
        <v>240</v>
      </c>
      <c r="BS822" s="0" t="s">
        <v>240</v>
      </c>
      <c r="BT822" s="0" t="s">
        <v>240</v>
      </c>
      <c r="CS822" s="0" t="s">
        <v>240</v>
      </c>
      <c r="CT822" s="0" t="s">
        <v>5496</v>
      </c>
      <c r="CU822" s="0" t="s">
        <v>5497</v>
      </c>
      <c r="CV822" s="0" t="s">
        <v>443</v>
      </c>
      <c r="CW822" s="0" t="s">
        <v>5498</v>
      </c>
      <c r="CX822" s="0" t="s">
        <v>229</v>
      </c>
      <c r="CY822" s="0" t="s">
        <v>443</v>
      </c>
      <c r="CZ822" s="0" t="s">
        <v>230</v>
      </c>
      <c r="DA822" s="0" t="s">
        <v>444</v>
      </c>
      <c r="DB822" s="0" t="s">
        <v>5498</v>
      </c>
      <c r="DC822" s="0" t="s">
        <v>384</v>
      </c>
      <c r="DD822" s="0" t="s">
        <v>300</v>
      </c>
      <c r="DE822" s="0" t="s">
        <v>529</v>
      </c>
    </row>
    <row customHeight="1" ht="11.25">
      <c r="A823" s="1441" t="s">
        <v>240</v>
      </c>
      <c r="B823" s="0" t="s">
        <v>240</v>
      </c>
      <c r="C823" s="0" t="s">
        <v>240</v>
      </c>
      <c r="D823" s="0" t="s">
        <v>240</v>
      </c>
      <c r="E823" s="0" t="s">
        <v>240</v>
      </c>
      <c r="F823" s="0" t="s">
        <v>240</v>
      </c>
      <c r="G823" s="0" t="s">
        <v>240</v>
      </c>
      <c r="H823" s="0" t="s">
        <v>240</v>
      </c>
      <c r="I823" s="0" t="s">
        <v>7004</v>
      </c>
      <c r="J823" s="0" t="s">
        <v>240</v>
      </c>
      <c r="K823" s="0" t="s">
        <v>240</v>
      </c>
      <c r="L823" s="0" t="s">
        <v>240</v>
      </c>
      <c r="M823" s="0" t="s">
        <v>240</v>
      </c>
      <c r="N823" s="0" t="s">
        <v>240</v>
      </c>
      <c r="O823" s="0" t="s">
        <v>240</v>
      </c>
      <c r="P823" s="0" t="s">
        <v>240</v>
      </c>
      <c r="Q823" s="0" t="s">
        <v>240</v>
      </c>
      <c r="R823" s="0" t="s">
        <v>530</v>
      </c>
      <c r="S823" s="0" t="s">
        <v>240</v>
      </c>
      <c r="T823" s="0" t="s">
        <v>240</v>
      </c>
      <c r="U823" s="0" t="s">
        <v>102</v>
      </c>
      <c r="V823" s="0" t="s">
        <v>240</v>
      </c>
      <c r="W823" s="0" t="s">
        <v>240</v>
      </c>
      <c r="X823" s="0" t="s">
        <v>546</v>
      </c>
      <c r="Y823" s="0" t="s">
        <v>240</v>
      </c>
      <c r="Z823" s="0" t="s">
        <v>161</v>
      </c>
      <c r="AA823" s="0" t="s">
        <v>152</v>
      </c>
      <c r="AB823" s="0" t="s">
        <v>152</v>
      </c>
      <c r="AC823" s="0" t="s">
        <v>364</v>
      </c>
      <c r="AD823" s="0" t="s">
        <v>364</v>
      </c>
      <c r="AE823" s="0" t="s">
        <v>365</v>
      </c>
      <c r="AF823" s="0" t="s">
        <v>5486</v>
      </c>
      <c r="AG823" s="0" t="s">
        <v>5487</v>
      </c>
      <c r="AH823" s="0" t="s">
        <v>7179</v>
      </c>
      <c r="AI823" s="0" t="s">
        <v>7176</v>
      </c>
      <c r="AJ823" s="0" t="s">
        <v>7154</v>
      </c>
      <c r="AK823" s="0" t="s">
        <v>5992</v>
      </c>
      <c r="AL823" s="0" t="s">
        <v>7009</v>
      </c>
      <c r="AN823" s="0" t="s">
        <v>7180</v>
      </c>
      <c r="AO823" s="0" t="s">
        <v>5546</v>
      </c>
      <c r="AP823" s="0" t="s">
        <v>240</v>
      </c>
      <c r="AQ823" s="0" t="s">
        <v>240</v>
      </c>
      <c r="AR823" s="0" t="s">
        <v>240</v>
      </c>
      <c r="AS823" s="0" t="s">
        <v>240</v>
      </c>
      <c r="AT823" s="0" t="s">
        <v>240</v>
      </c>
      <c r="AU823" s="0" t="s">
        <v>240</v>
      </c>
      <c r="AV823" s="0" t="s">
        <v>240</v>
      </c>
      <c r="AW823" s="0" t="s">
        <v>240</v>
      </c>
      <c r="AX823" s="0" t="s">
        <v>240</v>
      </c>
      <c r="AY823" s="0" t="s">
        <v>240</v>
      </c>
      <c r="AZ823" s="0" t="s">
        <v>240</v>
      </c>
      <c r="BA823" s="0" t="s">
        <v>240</v>
      </c>
      <c r="BB823" s="0" t="s">
        <v>240</v>
      </c>
      <c r="BC823" s="0" t="s">
        <v>240</v>
      </c>
      <c r="BD823" s="0" t="s">
        <v>240</v>
      </c>
      <c r="BE823" s="0" t="s">
        <v>240</v>
      </c>
      <c r="BF823" s="0" t="s">
        <v>240</v>
      </c>
      <c r="BG823" s="0" t="s">
        <v>240</v>
      </c>
      <c r="BH823" s="0" t="s">
        <v>240</v>
      </c>
      <c r="BI823" s="0" t="s">
        <v>240</v>
      </c>
      <c r="BJ823" s="0" t="s">
        <v>240</v>
      </c>
      <c r="BK823" s="0" t="s">
        <v>240</v>
      </c>
      <c r="BL823" s="0" t="s">
        <v>240</v>
      </c>
      <c r="BM823" s="0" t="s">
        <v>240</v>
      </c>
      <c r="BN823" s="0" t="s">
        <v>240</v>
      </c>
      <c r="BO823" s="0" t="s">
        <v>240</v>
      </c>
      <c r="BP823" s="0" t="s">
        <v>240</v>
      </c>
      <c r="BQ823" s="0" t="s">
        <v>240</v>
      </c>
      <c r="BR823" s="0" t="s">
        <v>240</v>
      </c>
      <c r="BS823" s="0" t="s">
        <v>240</v>
      </c>
      <c r="BT823" s="0" t="s">
        <v>240</v>
      </c>
      <c r="CS823" s="0" t="s">
        <v>240</v>
      </c>
      <c r="CT823" s="0" t="s">
        <v>5496</v>
      </c>
      <c r="CU823" s="0" t="s">
        <v>5497</v>
      </c>
      <c r="CV823" s="0" t="s">
        <v>443</v>
      </c>
      <c r="CW823" s="0" t="s">
        <v>5498</v>
      </c>
      <c r="CX823" s="0" t="s">
        <v>229</v>
      </c>
      <c r="CY823" s="0" t="s">
        <v>443</v>
      </c>
      <c r="CZ823" s="0" t="s">
        <v>230</v>
      </c>
      <c r="DA823" s="0" t="s">
        <v>444</v>
      </c>
      <c r="DB823" s="0" t="s">
        <v>5498</v>
      </c>
      <c r="DC823" s="0" t="s">
        <v>384</v>
      </c>
      <c r="DD823" s="0" t="s">
        <v>300</v>
      </c>
      <c r="DE823" s="0" t="s">
        <v>531</v>
      </c>
    </row>
    <row customHeight="1" ht="11.25">
      <c r="A824" s="1441" t="s">
        <v>240</v>
      </c>
      <c r="B824" s="0" t="s">
        <v>240</v>
      </c>
      <c r="C824" s="0" t="s">
        <v>240</v>
      </c>
      <c r="D824" s="0" t="s">
        <v>240</v>
      </c>
      <c r="E824" s="0" t="s">
        <v>240</v>
      </c>
      <c r="F824" s="0" t="s">
        <v>240</v>
      </c>
      <c r="G824" s="0" t="s">
        <v>240</v>
      </c>
      <c r="H824" s="0" t="s">
        <v>240</v>
      </c>
      <c r="I824" s="0" t="s">
        <v>7004</v>
      </c>
      <c r="J824" s="0" t="s">
        <v>240</v>
      </c>
      <c r="K824" s="0" t="s">
        <v>240</v>
      </c>
      <c r="L824" s="0" t="s">
        <v>240</v>
      </c>
      <c r="M824" s="0" t="s">
        <v>240</v>
      </c>
      <c r="N824" s="0" t="s">
        <v>240</v>
      </c>
      <c r="O824" s="0" t="s">
        <v>240</v>
      </c>
      <c r="P824" s="0" t="s">
        <v>240</v>
      </c>
      <c r="Q824" s="0" t="s">
        <v>240</v>
      </c>
      <c r="R824" s="0" t="s">
        <v>506</v>
      </c>
      <c r="S824" s="0" t="s">
        <v>240</v>
      </c>
      <c r="T824" s="0" t="s">
        <v>240</v>
      </c>
      <c r="U824" s="0" t="s">
        <v>102</v>
      </c>
      <c r="V824" s="0" t="s">
        <v>240</v>
      </c>
      <c r="W824" s="0" t="s">
        <v>240</v>
      </c>
      <c r="X824" s="0" t="s">
        <v>546</v>
      </c>
      <c r="Y824" s="0" t="s">
        <v>240</v>
      </c>
      <c r="Z824" s="0" t="s">
        <v>161</v>
      </c>
      <c r="AA824" s="0" t="s">
        <v>152</v>
      </c>
      <c r="AB824" s="0" t="s">
        <v>152</v>
      </c>
      <c r="AC824" s="0" t="s">
        <v>364</v>
      </c>
      <c r="AD824" s="0" t="s">
        <v>364</v>
      </c>
      <c r="AE824" s="0" t="s">
        <v>365</v>
      </c>
      <c r="AF824" s="0" t="s">
        <v>5486</v>
      </c>
      <c r="AG824" s="0" t="s">
        <v>5487</v>
      </c>
      <c r="AH824" s="0" t="s">
        <v>7181</v>
      </c>
      <c r="AI824" s="0" t="s">
        <v>7182</v>
      </c>
      <c r="AJ824" s="0" t="s">
        <v>7154</v>
      </c>
      <c r="AK824" s="0" t="s">
        <v>5992</v>
      </c>
      <c r="AL824" s="0" t="s">
        <v>7009</v>
      </c>
      <c r="AN824" s="0" t="s">
        <v>6104</v>
      </c>
      <c r="AO824" s="0" t="s">
        <v>5546</v>
      </c>
      <c r="AP824" s="0" t="s">
        <v>240</v>
      </c>
      <c r="AQ824" s="0" t="s">
        <v>240</v>
      </c>
      <c r="AR824" s="0" t="s">
        <v>240</v>
      </c>
      <c r="AS824" s="0" t="s">
        <v>240</v>
      </c>
      <c r="AT824" s="0" t="s">
        <v>240</v>
      </c>
      <c r="AU824" s="0" t="s">
        <v>240</v>
      </c>
      <c r="AV824" s="0" t="s">
        <v>240</v>
      </c>
      <c r="AW824" s="0" t="s">
        <v>240</v>
      </c>
      <c r="AX824" s="0" t="s">
        <v>240</v>
      </c>
      <c r="AY824" s="0" t="s">
        <v>240</v>
      </c>
      <c r="AZ824" s="0" t="s">
        <v>240</v>
      </c>
      <c r="BA824" s="0" t="s">
        <v>240</v>
      </c>
      <c r="BB824" s="0" t="s">
        <v>240</v>
      </c>
      <c r="BC824" s="0" t="s">
        <v>240</v>
      </c>
      <c r="BD824" s="0" t="s">
        <v>240</v>
      </c>
      <c r="BE824" s="0" t="s">
        <v>240</v>
      </c>
      <c r="BF824" s="0" t="s">
        <v>240</v>
      </c>
      <c r="BG824" s="0" t="s">
        <v>240</v>
      </c>
      <c r="BH824" s="0" t="s">
        <v>240</v>
      </c>
      <c r="BI824" s="0" t="s">
        <v>240</v>
      </c>
      <c r="BJ824" s="0" t="s">
        <v>240</v>
      </c>
      <c r="BK824" s="0" t="s">
        <v>240</v>
      </c>
      <c r="BL824" s="0" t="s">
        <v>240</v>
      </c>
      <c r="BM824" s="0" t="s">
        <v>240</v>
      </c>
      <c r="BN824" s="0" t="s">
        <v>240</v>
      </c>
      <c r="BO824" s="0" t="s">
        <v>240</v>
      </c>
      <c r="BP824" s="0" t="s">
        <v>240</v>
      </c>
      <c r="BQ824" s="0" t="s">
        <v>240</v>
      </c>
      <c r="BR824" s="0" t="s">
        <v>240</v>
      </c>
      <c r="BS824" s="0" t="s">
        <v>240</v>
      </c>
      <c r="BT824" s="0" t="s">
        <v>240</v>
      </c>
      <c r="CS824" s="0" t="s">
        <v>240</v>
      </c>
      <c r="CT824" s="0" t="s">
        <v>5496</v>
      </c>
      <c r="CU824" s="0" t="s">
        <v>5497</v>
      </c>
      <c r="CV824" s="0" t="s">
        <v>443</v>
      </c>
      <c r="CW824" s="0" t="s">
        <v>5498</v>
      </c>
      <c r="CX824" s="0" t="s">
        <v>229</v>
      </c>
      <c r="CY824" s="0" t="s">
        <v>443</v>
      </c>
      <c r="CZ824" s="0" t="s">
        <v>230</v>
      </c>
      <c r="DA824" s="0" t="s">
        <v>444</v>
      </c>
      <c r="DB824" s="0" t="s">
        <v>5498</v>
      </c>
      <c r="DC824" s="0" t="s">
        <v>384</v>
      </c>
      <c r="DD824" s="0" t="s">
        <v>300</v>
      </c>
      <c r="DE824" s="0" t="s">
        <v>507</v>
      </c>
    </row>
    <row customHeight="1" ht="11.25">
      <c r="A825" s="1441" t="s">
        <v>240</v>
      </c>
      <c r="B825" s="0" t="s">
        <v>240</v>
      </c>
      <c r="C825" s="0" t="s">
        <v>240</v>
      </c>
      <c r="D825" s="0" t="s">
        <v>240</v>
      </c>
      <c r="E825" s="0" t="s">
        <v>240</v>
      </c>
      <c r="F825" s="0" t="s">
        <v>240</v>
      </c>
      <c r="G825" s="0" t="s">
        <v>240</v>
      </c>
      <c r="H825" s="0" t="s">
        <v>240</v>
      </c>
      <c r="I825" s="0" t="s">
        <v>7004</v>
      </c>
      <c r="J825" s="0" t="s">
        <v>240</v>
      </c>
      <c r="K825" s="0" t="s">
        <v>240</v>
      </c>
      <c r="L825" s="0" t="s">
        <v>240</v>
      </c>
      <c r="M825" s="0" t="s">
        <v>240</v>
      </c>
      <c r="N825" s="0" t="s">
        <v>240</v>
      </c>
      <c r="O825" s="0" t="s">
        <v>240</v>
      </c>
      <c r="P825" s="0" t="s">
        <v>240</v>
      </c>
      <c r="Q825" s="0" t="s">
        <v>240</v>
      </c>
      <c r="R825" s="0" t="s">
        <v>7212</v>
      </c>
      <c r="S825" s="0" t="s">
        <v>240</v>
      </c>
      <c r="T825" s="0" t="s">
        <v>240</v>
      </c>
      <c r="U825" s="0" t="s">
        <v>102</v>
      </c>
      <c r="V825" s="0" t="s">
        <v>240</v>
      </c>
      <c r="W825" s="0" t="s">
        <v>240</v>
      </c>
      <c r="X825" s="0" t="s">
        <v>546</v>
      </c>
      <c r="Y825" s="0" t="s">
        <v>240</v>
      </c>
      <c r="Z825" s="0" t="s">
        <v>161</v>
      </c>
      <c r="AA825" s="0" t="s">
        <v>152</v>
      </c>
      <c r="AB825" s="0" t="s">
        <v>152</v>
      </c>
      <c r="AC825" s="0" t="s">
        <v>3389</v>
      </c>
      <c r="AD825" s="0" t="s">
        <v>3389</v>
      </c>
      <c r="AE825" s="0" t="s">
        <v>3390</v>
      </c>
      <c r="AF825" s="0" t="s">
        <v>5519</v>
      </c>
      <c r="AG825" s="0" t="s">
        <v>5520</v>
      </c>
      <c r="AH825" s="0" t="s">
        <v>7213</v>
      </c>
      <c r="AI825" s="0" t="s">
        <v>7214</v>
      </c>
      <c r="AJ825" s="0" t="s">
        <v>7215</v>
      </c>
      <c r="AK825" s="0" t="s">
        <v>7216</v>
      </c>
      <c r="AL825" s="0" t="s">
        <v>7009</v>
      </c>
      <c r="AN825" s="0" t="s">
        <v>5491</v>
      </c>
      <c r="AO825" s="0" t="s">
        <v>7110</v>
      </c>
      <c r="AP825" s="0" t="s">
        <v>240</v>
      </c>
      <c r="AQ825" s="0" t="s">
        <v>240</v>
      </c>
      <c r="AR825" s="0" t="s">
        <v>240</v>
      </c>
      <c r="AS825" s="0" t="s">
        <v>240</v>
      </c>
      <c r="AT825" s="0" t="s">
        <v>240</v>
      </c>
      <c r="AU825" s="0" t="s">
        <v>240</v>
      </c>
      <c r="AV825" s="0" t="s">
        <v>240</v>
      </c>
      <c r="AW825" s="0" t="s">
        <v>240</v>
      </c>
      <c r="AX825" s="0" t="s">
        <v>240</v>
      </c>
      <c r="AY825" s="0" t="s">
        <v>240</v>
      </c>
      <c r="AZ825" s="0" t="s">
        <v>240</v>
      </c>
      <c r="BA825" s="0" t="s">
        <v>240</v>
      </c>
      <c r="BB825" s="0" t="s">
        <v>240</v>
      </c>
      <c r="BC825" s="0" t="s">
        <v>240</v>
      </c>
      <c r="BD825" s="0" t="s">
        <v>240</v>
      </c>
      <c r="BE825" s="0" t="s">
        <v>240</v>
      </c>
      <c r="BF825" s="0" t="s">
        <v>240</v>
      </c>
      <c r="BG825" s="0" t="s">
        <v>240</v>
      </c>
      <c r="BH825" s="0" t="s">
        <v>240</v>
      </c>
      <c r="BI825" s="0" t="s">
        <v>240</v>
      </c>
      <c r="BJ825" s="0" t="s">
        <v>240</v>
      </c>
      <c r="BK825" s="0" t="s">
        <v>240</v>
      </c>
      <c r="BL825" s="0" t="s">
        <v>240</v>
      </c>
      <c r="BM825" s="0" t="s">
        <v>240</v>
      </c>
      <c r="BN825" s="0" t="s">
        <v>240</v>
      </c>
      <c r="BO825" s="0" t="s">
        <v>240</v>
      </c>
      <c r="BP825" s="0" t="s">
        <v>240</v>
      </c>
      <c r="BQ825" s="0" t="s">
        <v>240</v>
      </c>
      <c r="BR825" s="0" t="s">
        <v>240</v>
      </c>
      <c r="BS825" s="0" t="s">
        <v>240</v>
      </c>
      <c r="BT825" s="0" t="s">
        <v>240</v>
      </c>
      <c r="CS825" s="0" t="s">
        <v>240</v>
      </c>
      <c r="CT825" s="0" t="s">
        <v>5496</v>
      </c>
      <c r="CU825" s="0" t="s">
        <v>5497</v>
      </c>
      <c r="CV825" s="0" t="s">
        <v>443</v>
      </c>
      <c r="CW825" s="0" t="s">
        <v>5527</v>
      </c>
      <c r="CX825" s="0" t="s">
        <v>229</v>
      </c>
      <c r="CY825" s="0" t="s">
        <v>443</v>
      </c>
      <c r="CZ825" s="0" t="s">
        <v>299</v>
      </c>
      <c r="DA825" s="0" t="s">
        <v>5529</v>
      </c>
      <c r="DB825" s="0" t="s">
        <v>7217</v>
      </c>
      <c r="DC825" s="0" t="s">
        <v>384</v>
      </c>
      <c r="DD825" s="0" t="s">
        <v>300</v>
      </c>
      <c r="DE825" s="0" t="s">
        <v>7218</v>
      </c>
    </row>
    <row customHeight="1" ht="11.25">
      <c r="A826" s="1441" t="s">
        <v>240</v>
      </c>
      <c r="B826" s="0" t="s">
        <v>240</v>
      </c>
      <c r="C826" s="0" t="s">
        <v>240</v>
      </c>
      <c r="D826" s="0" t="s">
        <v>240</v>
      </c>
      <c r="E826" s="0" t="s">
        <v>240</v>
      </c>
      <c r="F826" s="0" t="s">
        <v>240</v>
      </c>
      <c r="G826" s="0" t="s">
        <v>240</v>
      </c>
      <c r="H826" s="0" t="s">
        <v>240</v>
      </c>
      <c r="I826" s="0" t="s">
        <v>7004</v>
      </c>
      <c r="J826" s="0" t="s">
        <v>240</v>
      </c>
      <c r="K826" s="0" t="s">
        <v>240</v>
      </c>
      <c r="L826" s="0" t="s">
        <v>240</v>
      </c>
      <c r="M826" s="0" t="s">
        <v>240</v>
      </c>
      <c r="N826" s="0" t="s">
        <v>240</v>
      </c>
      <c r="O826" s="0" t="s">
        <v>240</v>
      </c>
      <c r="P826" s="0" t="s">
        <v>240</v>
      </c>
      <c r="Q826" s="0" t="s">
        <v>240</v>
      </c>
      <c r="R826" s="0" t="s">
        <v>7236</v>
      </c>
      <c r="S826" s="0" t="s">
        <v>240</v>
      </c>
      <c r="T826" s="0" t="s">
        <v>240</v>
      </c>
      <c r="U826" s="0" t="s">
        <v>102</v>
      </c>
      <c r="V826" s="0" t="s">
        <v>240</v>
      </c>
      <c r="W826" s="0" t="s">
        <v>240</v>
      </c>
      <c r="X826" s="0" t="s">
        <v>546</v>
      </c>
      <c r="Y826" s="0" t="s">
        <v>240</v>
      </c>
      <c r="Z826" s="0" t="s">
        <v>161</v>
      </c>
      <c r="AA826" s="0" t="s">
        <v>152</v>
      </c>
      <c r="AB826" s="0" t="s">
        <v>152</v>
      </c>
      <c r="AC826" s="0" t="s">
        <v>3389</v>
      </c>
      <c r="AD826" s="0" t="s">
        <v>3389</v>
      </c>
      <c r="AE826" s="0" t="s">
        <v>3390</v>
      </c>
      <c r="AF826" s="0" t="s">
        <v>5519</v>
      </c>
      <c r="AG826" s="0" t="s">
        <v>5520</v>
      </c>
      <c r="AH826" s="0" t="s">
        <v>7237</v>
      </c>
      <c r="AI826" s="0" t="s">
        <v>7238</v>
      </c>
      <c r="AJ826" s="0" t="s">
        <v>5504</v>
      </c>
      <c r="AK826" s="0" t="s">
        <v>5598</v>
      </c>
      <c r="AL826" s="0" t="s">
        <v>7009</v>
      </c>
      <c r="AN826" s="0" t="s">
        <v>5494</v>
      </c>
      <c r="AO826" s="0" t="s">
        <v>7239</v>
      </c>
      <c r="AP826" s="0" t="s">
        <v>240</v>
      </c>
      <c r="AQ826" s="0" t="s">
        <v>240</v>
      </c>
      <c r="AR826" s="0" t="s">
        <v>240</v>
      </c>
      <c r="AS826" s="0" t="s">
        <v>240</v>
      </c>
      <c r="AT826" s="0" t="s">
        <v>240</v>
      </c>
      <c r="AU826" s="0" t="s">
        <v>240</v>
      </c>
      <c r="AV826" s="0" t="s">
        <v>240</v>
      </c>
      <c r="AW826" s="0" t="s">
        <v>240</v>
      </c>
      <c r="AX826" s="0" t="s">
        <v>240</v>
      </c>
      <c r="AY826" s="0" t="s">
        <v>240</v>
      </c>
      <c r="AZ826" s="0" t="s">
        <v>240</v>
      </c>
      <c r="BA826" s="0" t="s">
        <v>240</v>
      </c>
      <c r="BB826" s="0" t="s">
        <v>240</v>
      </c>
      <c r="BC826" s="0" t="s">
        <v>240</v>
      </c>
      <c r="BD826" s="0" t="s">
        <v>240</v>
      </c>
      <c r="BE826" s="0" t="s">
        <v>240</v>
      </c>
      <c r="BF826" s="0" t="s">
        <v>240</v>
      </c>
      <c r="BG826" s="0" t="s">
        <v>240</v>
      </c>
      <c r="BH826" s="0" t="s">
        <v>240</v>
      </c>
      <c r="BI826" s="0" t="s">
        <v>240</v>
      </c>
      <c r="BJ826" s="0" t="s">
        <v>240</v>
      </c>
      <c r="BK826" s="0" t="s">
        <v>240</v>
      </c>
      <c r="BL826" s="0" t="s">
        <v>240</v>
      </c>
      <c r="BM826" s="0" t="s">
        <v>240</v>
      </c>
      <c r="BN826" s="0" t="s">
        <v>240</v>
      </c>
      <c r="BO826" s="0" t="s">
        <v>240</v>
      </c>
      <c r="BP826" s="0" t="s">
        <v>240</v>
      </c>
      <c r="BQ826" s="0" t="s">
        <v>240</v>
      </c>
      <c r="BR826" s="0" t="s">
        <v>240</v>
      </c>
      <c r="BS826" s="0" t="s">
        <v>240</v>
      </c>
      <c r="BT826" s="0" t="s">
        <v>240</v>
      </c>
      <c r="CS826" s="0" t="s">
        <v>240</v>
      </c>
      <c r="CT826" s="0" t="s">
        <v>5496</v>
      </c>
      <c r="CU826" s="0" t="s">
        <v>5497</v>
      </c>
      <c r="CV826" s="0" t="s">
        <v>443</v>
      </c>
      <c r="CW826" s="0" t="s">
        <v>5527</v>
      </c>
      <c r="CX826" s="0" t="s">
        <v>229</v>
      </c>
      <c r="CY826" s="0" t="s">
        <v>443</v>
      </c>
      <c r="CZ826" s="0" t="s">
        <v>299</v>
      </c>
      <c r="DA826" s="0" t="s">
        <v>5529</v>
      </c>
      <c r="DB826" s="0" t="s">
        <v>7240</v>
      </c>
      <c r="DC826" s="0" t="s">
        <v>384</v>
      </c>
      <c r="DD826" s="0" t="s">
        <v>300</v>
      </c>
      <c r="DE826" s="0" t="s">
        <v>7241</v>
      </c>
    </row>
    <row customHeight="1" ht="11.25">
      <c r="A827" s="1441" t="s">
        <v>240</v>
      </c>
      <c r="B827" s="0" t="s">
        <v>240</v>
      </c>
      <c r="C827" s="0" t="s">
        <v>240</v>
      </c>
      <c r="D827" s="0" t="s">
        <v>240</v>
      </c>
      <c r="E827" s="0" t="s">
        <v>240</v>
      </c>
      <c r="F827" s="0" t="s">
        <v>240</v>
      </c>
      <c r="G827" s="0" t="s">
        <v>240</v>
      </c>
      <c r="H827" s="0" t="s">
        <v>240</v>
      </c>
      <c r="I827" s="0" t="s">
        <v>7004</v>
      </c>
      <c r="J827" s="0" t="s">
        <v>240</v>
      </c>
      <c r="K827" s="0" t="s">
        <v>240</v>
      </c>
      <c r="L827" s="0" t="s">
        <v>240</v>
      </c>
      <c r="M827" s="0" t="s">
        <v>240</v>
      </c>
      <c r="N827" s="0" t="s">
        <v>240</v>
      </c>
      <c r="O827" s="0" t="s">
        <v>240</v>
      </c>
      <c r="P827" s="0" t="s">
        <v>240</v>
      </c>
      <c r="Q827" s="0" t="s">
        <v>240</v>
      </c>
      <c r="R827" s="0" t="s">
        <v>7242</v>
      </c>
      <c r="S827" s="0" t="s">
        <v>240</v>
      </c>
      <c r="T827" s="0" t="s">
        <v>240</v>
      </c>
      <c r="U827" s="0" t="s">
        <v>102</v>
      </c>
      <c r="V827" s="0" t="s">
        <v>240</v>
      </c>
      <c r="W827" s="0" t="s">
        <v>240</v>
      </c>
      <c r="X827" s="0" t="s">
        <v>546</v>
      </c>
      <c r="Y827" s="0" t="s">
        <v>240</v>
      </c>
      <c r="Z827" s="0" t="s">
        <v>161</v>
      </c>
      <c r="AA827" s="0" t="s">
        <v>152</v>
      </c>
      <c r="AB827" s="0" t="s">
        <v>152</v>
      </c>
      <c r="AC827" s="0" t="s">
        <v>3389</v>
      </c>
      <c r="AD827" s="0" t="s">
        <v>3389</v>
      </c>
      <c r="AE827" s="0" t="s">
        <v>3390</v>
      </c>
      <c r="AF827" s="0" t="s">
        <v>5519</v>
      </c>
      <c r="AG827" s="0" t="s">
        <v>5520</v>
      </c>
      <c r="AH827" s="0" t="s">
        <v>7237</v>
      </c>
      <c r="AI827" s="0" t="s">
        <v>234</v>
      </c>
      <c r="AJ827" s="0" t="s">
        <v>7243</v>
      </c>
      <c r="AK827" s="0" t="s">
        <v>7244</v>
      </c>
      <c r="AL827" s="0" t="s">
        <v>7009</v>
      </c>
      <c r="AN827" s="0" t="s">
        <v>5494</v>
      </c>
      <c r="AO827" s="0" t="s">
        <v>7239</v>
      </c>
      <c r="AP827" s="0" t="s">
        <v>240</v>
      </c>
      <c r="AQ827" s="0" t="s">
        <v>240</v>
      </c>
      <c r="AR827" s="0" t="s">
        <v>240</v>
      </c>
      <c r="AS827" s="0" t="s">
        <v>240</v>
      </c>
      <c r="AT827" s="0" t="s">
        <v>240</v>
      </c>
      <c r="AU827" s="0" t="s">
        <v>240</v>
      </c>
      <c r="AV827" s="0" t="s">
        <v>240</v>
      </c>
      <c r="AW827" s="0" t="s">
        <v>240</v>
      </c>
      <c r="AX827" s="0" t="s">
        <v>240</v>
      </c>
      <c r="AY827" s="0" t="s">
        <v>240</v>
      </c>
      <c r="AZ827" s="0" t="s">
        <v>240</v>
      </c>
      <c r="BA827" s="0" t="s">
        <v>240</v>
      </c>
      <c r="BB827" s="0" t="s">
        <v>240</v>
      </c>
      <c r="BC827" s="0" t="s">
        <v>240</v>
      </c>
      <c r="BD827" s="0" t="s">
        <v>240</v>
      </c>
      <c r="BE827" s="0" t="s">
        <v>240</v>
      </c>
      <c r="BF827" s="0" t="s">
        <v>240</v>
      </c>
      <c r="BG827" s="0" t="s">
        <v>240</v>
      </c>
      <c r="BH827" s="0" t="s">
        <v>240</v>
      </c>
      <c r="BI827" s="0" t="s">
        <v>240</v>
      </c>
      <c r="BJ827" s="0" t="s">
        <v>240</v>
      </c>
      <c r="BK827" s="0" t="s">
        <v>240</v>
      </c>
      <c r="BL827" s="0" t="s">
        <v>240</v>
      </c>
      <c r="BM827" s="0" t="s">
        <v>240</v>
      </c>
      <c r="BN827" s="0" t="s">
        <v>240</v>
      </c>
      <c r="BO827" s="0" t="s">
        <v>240</v>
      </c>
      <c r="BP827" s="0" t="s">
        <v>240</v>
      </c>
      <c r="BQ827" s="0" t="s">
        <v>240</v>
      </c>
      <c r="BR827" s="0" t="s">
        <v>240</v>
      </c>
      <c r="BS827" s="0" t="s">
        <v>240</v>
      </c>
      <c r="BT827" s="0" t="s">
        <v>240</v>
      </c>
      <c r="CS827" s="0" t="s">
        <v>240</v>
      </c>
      <c r="CT827" s="0" t="s">
        <v>5496</v>
      </c>
      <c r="CU827" s="0" t="s">
        <v>5497</v>
      </c>
      <c r="CV827" s="0" t="s">
        <v>443</v>
      </c>
      <c r="CW827" s="0" t="s">
        <v>5527</v>
      </c>
      <c r="CX827" s="0" t="s">
        <v>229</v>
      </c>
      <c r="CY827" s="0" t="s">
        <v>443</v>
      </c>
      <c r="CZ827" s="0" t="s">
        <v>299</v>
      </c>
      <c r="DA827" s="0" t="s">
        <v>5529</v>
      </c>
      <c r="DB827" s="0" t="s">
        <v>7240</v>
      </c>
      <c r="DC827" s="0" t="s">
        <v>384</v>
      </c>
      <c r="DD827" s="0" t="s">
        <v>300</v>
      </c>
      <c r="DE827" s="0" t="s">
        <v>7245</v>
      </c>
    </row>
    <row customHeight="1" ht="11.25">
      <c r="A828" s="1441" t="s">
        <v>240</v>
      </c>
      <c r="B828" s="0" t="s">
        <v>240</v>
      </c>
      <c r="C828" s="0" t="s">
        <v>240</v>
      </c>
      <c r="D828" s="0" t="s">
        <v>240</v>
      </c>
      <c r="E828" s="0" t="s">
        <v>240</v>
      </c>
      <c r="F828" s="0" t="s">
        <v>240</v>
      </c>
      <c r="G828" s="0" t="s">
        <v>240</v>
      </c>
      <c r="H828" s="0" t="s">
        <v>240</v>
      </c>
      <c r="I828" s="0" t="s">
        <v>7004</v>
      </c>
      <c r="J828" s="0" t="s">
        <v>240</v>
      </c>
      <c r="K828" s="0" t="s">
        <v>240</v>
      </c>
      <c r="L828" s="0" t="s">
        <v>240</v>
      </c>
      <c r="M828" s="0" t="s">
        <v>240</v>
      </c>
      <c r="N828" s="0" t="s">
        <v>240</v>
      </c>
      <c r="O828" s="0" t="s">
        <v>240</v>
      </c>
      <c r="P828" s="0" t="s">
        <v>240</v>
      </c>
      <c r="Q828" s="0" t="s">
        <v>240</v>
      </c>
      <c r="R828" s="0" t="s">
        <v>522</v>
      </c>
      <c r="S828" s="0" t="s">
        <v>240</v>
      </c>
      <c r="T828" s="0" t="s">
        <v>240</v>
      </c>
      <c r="U828" s="0" t="s">
        <v>102</v>
      </c>
      <c r="V828" s="0" t="s">
        <v>240</v>
      </c>
      <c r="W828" s="0" t="s">
        <v>240</v>
      </c>
      <c r="X828" s="0" t="s">
        <v>546</v>
      </c>
      <c r="Y828" s="0" t="s">
        <v>240</v>
      </c>
      <c r="Z828" s="0" t="s">
        <v>161</v>
      </c>
      <c r="AA828" s="0" t="s">
        <v>152</v>
      </c>
      <c r="AB828" s="0" t="s">
        <v>152</v>
      </c>
      <c r="AC828" s="0" t="s">
        <v>364</v>
      </c>
      <c r="AD828" s="0" t="s">
        <v>364</v>
      </c>
      <c r="AE828" s="0" t="s">
        <v>365</v>
      </c>
      <c r="AF828" s="0" t="s">
        <v>5486</v>
      </c>
      <c r="AG828" s="0" t="s">
        <v>5487</v>
      </c>
      <c r="AH828" s="0" t="s">
        <v>5488</v>
      </c>
      <c r="AI828" s="0" t="s">
        <v>7219</v>
      </c>
      <c r="AJ828" s="0" t="s">
        <v>5578</v>
      </c>
      <c r="AK828" s="0" t="s">
        <v>5776</v>
      </c>
      <c r="AL828" s="0" t="s">
        <v>7009</v>
      </c>
      <c r="AN828" s="0" t="s">
        <v>7220</v>
      </c>
      <c r="AO828" s="0" t="s">
        <v>5636</v>
      </c>
      <c r="AP828" s="0" t="s">
        <v>240</v>
      </c>
      <c r="AQ828" s="0" t="s">
        <v>240</v>
      </c>
      <c r="AR828" s="0" t="s">
        <v>240</v>
      </c>
      <c r="AS828" s="0" t="s">
        <v>240</v>
      </c>
      <c r="AT828" s="0" t="s">
        <v>240</v>
      </c>
      <c r="AU828" s="0" t="s">
        <v>240</v>
      </c>
      <c r="AV828" s="0" t="s">
        <v>240</v>
      </c>
      <c r="AW828" s="0" t="s">
        <v>240</v>
      </c>
      <c r="AX828" s="0" t="s">
        <v>240</v>
      </c>
      <c r="AY828" s="0" t="s">
        <v>240</v>
      </c>
      <c r="AZ828" s="0" t="s">
        <v>240</v>
      </c>
      <c r="BA828" s="0" t="s">
        <v>240</v>
      </c>
      <c r="BB828" s="0" t="s">
        <v>240</v>
      </c>
      <c r="BC828" s="0" t="s">
        <v>240</v>
      </c>
      <c r="BD828" s="0" t="s">
        <v>240</v>
      </c>
      <c r="BE828" s="0" t="s">
        <v>240</v>
      </c>
      <c r="BF828" s="0" t="s">
        <v>240</v>
      </c>
      <c r="BG828" s="0" t="s">
        <v>240</v>
      </c>
      <c r="BH828" s="0" t="s">
        <v>240</v>
      </c>
      <c r="BI828" s="0" t="s">
        <v>240</v>
      </c>
      <c r="BJ828" s="0" t="s">
        <v>240</v>
      </c>
      <c r="BK828" s="0" t="s">
        <v>240</v>
      </c>
      <c r="BL828" s="0" t="s">
        <v>240</v>
      </c>
      <c r="BM828" s="0" t="s">
        <v>240</v>
      </c>
      <c r="BN828" s="0" t="s">
        <v>240</v>
      </c>
      <c r="BO828" s="0" t="s">
        <v>240</v>
      </c>
      <c r="BP828" s="0" t="s">
        <v>240</v>
      </c>
      <c r="BQ828" s="0" t="s">
        <v>240</v>
      </c>
      <c r="BR828" s="0" t="s">
        <v>240</v>
      </c>
      <c r="BS828" s="0" t="s">
        <v>240</v>
      </c>
      <c r="BT828" s="0" t="s">
        <v>240</v>
      </c>
      <c r="CS828" s="0" t="s">
        <v>240</v>
      </c>
      <c r="CT828" s="0" t="s">
        <v>5496</v>
      </c>
      <c r="CU828" s="0" t="s">
        <v>5497</v>
      </c>
      <c r="CV828" s="0" t="s">
        <v>443</v>
      </c>
      <c r="CW828" s="0" t="s">
        <v>5498</v>
      </c>
      <c r="CX828" s="0" t="s">
        <v>229</v>
      </c>
      <c r="CY828" s="0" t="s">
        <v>443</v>
      </c>
      <c r="CZ828" s="0" t="s">
        <v>230</v>
      </c>
      <c r="DA828" s="0" t="s">
        <v>444</v>
      </c>
      <c r="DB828" s="0" t="s">
        <v>5498</v>
      </c>
      <c r="DC828" s="0" t="s">
        <v>384</v>
      </c>
      <c r="DD828" s="0" t="s">
        <v>300</v>
      </c>
      <c r="DE828" s="0" t="s">
        <v>523</v>
      </c>
    </row>
    <row customHeight="1" ht="11.25">
      <c r="A829" s="1441" t="s">
        <v>240</v>
      </c>
      <c r="B829" s="0" t="s">
        <v>240</v>
      </c>
      <c r="C829" s="0" t="s">
        <v>240</v>
      </c>
      <c r="D829" s="0" t="s">
        <v>240</v>
      </c>
      <c r="E829" s="0" t="s">
        <v>240</v>
      </c>
      <c r="F829" s="0" t="s">
        <v>240</v>
      </c>
      <c r="G829" s="0" t="s">
        <v>240</v>
      </c>
      <c r="H829" s="0" t="s">
        <v>240</v>
      </c>
      <c r="I829" s="0" t="s">
        <v>7004</v>
      </c>
      <c r="J829" s="0" t="s">
        <v>240</v>
      </c>
      <c r="K829" s="0" t="s">
        <v>240</v>
      </c>
      <c r="L829" s="0" t="s">
        <v>240</v>
      </c>
      <c r="M829" s="0" t="s">
        <v>240</v>
      </c>
      <c r="N829" s="0" t="s">
        <v>240</v>
      </c>
      <c r="O829" s="0" t="s">
        <v>240</v>
      </c>
      <c r="P829" s="0" t="s">
        <v>240</v>
      </c>
      <c r="Q829" s="0" t="s">
        <v>240</v>
      </c>
      <c r="R829" s="0" t="s">
        <v>512</v>
      </c>
      <c r="S829" s="0" t="s">
        <v>240</v>
      </c>
      <c r="T829" s="0" t="s">
        <v>240</v>
      </c>
      <c r="U829" s="0" t="s">
        <v>102</v>
      </c>
      <c r="V829" s="0" t="s">
        <v>240</v>
      </c>
      <c r="W829" s="0" t="s">
        <v>240</v>
      </c>
      <c r="X829" s="0" t="s">
        <v>546</v>
      </c>
      <c r="Y829" s="0" t="s">
        <v>240</v>
      </c>
      <c r="Z829" s="0" t="s">
        <v>161</v>
      </c>
      <c r="AA829" s="0" t="s">
        <v>152</v>
      </c>
      <c r="AB829" s="0" t="s">
        <v>152</v>
      </c>
      <c r="AC829" s="0" t="s">
        <v>364</v>
      </c>
      <c r="AD829" s="0" t="s">
        <v>364</v>
      </c>
      <c r="AE829" s="0" t="s">
        <v>365</v>
      </c>
      <c r="AF829" s="0" t="s">
        <v>5486</v>
      </c>
      <c r="AG829" s="0" t="s">
        <v>5487</v>
      </c>
      <c r="AH829" s="0" t="s">
        <v>7221</v>
      </c>
      <c r="AI829" s="0" t="s">
        <v>7222</v>
      </c>
      <c r="AJ829" s="0" t="s">
        <v>5578</v>
      </c>
      <c r="AK829" s="0" t="s">
        <v>5776</v>
      </c>
      <c r="AL829" s="0" t="s">
        <v>7009</v>
      </c>
      <c r="AN829" s="0" t="s">
        <v>5666</v>
      </c>
      <c r="AO829" s="0" t="s">
        <v>5768</v>
      </c>
      <c r="AP829" s="0" t="s">
        <v>240</v>
      </c>
      <c r="AQ829" s="0" t="s">
        <v>240</v>
      </c>
      <c r="AR829" s="0" t="s">
        <v>240</v>
      </c>
      <c r="AS829" s="0" t="s">
        <v>240</v>
      </c>
      <c r="AT829" s="0" t="s">
        <v>240</v>
      </c>
      <c r="AU829" s="0" t="s">
        <v>240</v>
      </c>
      <c r="AV829" s="0" t="s">
        <v>240</v>
      </c>
      <c r="AW829" s="0" t="s">
        <v>240</v>
      </c>
      <c r="AX829" s="0" t="s">
        <v>240</v>
      </c>
      <c r="AY829" s="0" t="s">
        <v>240</v>
      </c>
      <c r="AZ829" s="0" t="s">
        <v>240</v>
      </c>
      <c r="BA829" s="0" t="s">
        <v>240</v>
      </c>
      <c r="BB829" s="0" t="s">
        <v>240</v>
      </c>
      <c r="BC829" s="0" t="s">
        <v>240</v>
      </c>
      <c r="BD829" s="0" t="s">
        <v>240</v>
      </c>
      <c r="BE829" s="0" t="s">
        <v>240</v>
      </c>
      <c r="BF829" s="0" t="s">
        <v>240</v>
      </c>
      <c r="BG829" s="0" t="s">
        <v>240</v>
      </c>
      <c r="BH829" s="0" t="s">
        <v>240</v>
      </c>
      <c r="BI829" s="0" t="s">
        <v>240</v>
      </c>
      <c r="BJ829" s="0" t="s">
        <v>240</v>
      </c>
      <c r="BK829" s="0" t="s">
        <v>240</v>
      </c>
      <c r="BL829" s="0" t="s">
        <v>240</v>
      </c>
      <c r="BM829" s="0" t="s">
        <v>240</v>
      </c>
      <c r="BN829" s="0" t="s">
        <v>240</v>
      </c>
      <c r="BO829" s="0" t="s">
        <v>240</v>
      </c>
      <c r="BP829" s="0" t="s">
        <v>240</v>
      </c>
      <c r="BQ829" s="0" t="s">
        <v>240</v>
      </c>
      <c r="BR829" s="0" t="s">
        <v>240</v>
      </c>
      <c r="BS829" s="0" t="s">
        <v>240</v>
      </c>
      <c r="BT829" s="0" t="s">
        <v>240</v>
      </c>
      <c r="CS829" s="0" t="s">
        <v>240</v>
      </c>
      <c r="CT829" s="0" t="s">
        <v>5496</v>
      </c>
      <c r="CU829" s="0" t="s">
        <v>5497</v>
      </c>
      <c r="CV829" s="0" t="s">
        <v>443</v>
      </c>
      <c r="CW829" s="0" t="s">
        <v>5498</v>
      </c>
      <c r="CX829" s="0" t="s">
        <v>229</v>
      </c>
      <c r="CY829" s="0" t="s">
        <v>443</v>
      </c>
      <c r="CZ829" s="0" t="s">
        <v>230</v>
      </c>
      <c r="DA829" s="0" t="s">
        <v>444</v>
      </c>
      <c r="DB829" s="0" t="s">
        <v>5498</v>
      </c>
      <c r="DC829" s="0" t="s">
        <v>384</v>
      </c>
      <c r="DD829" s="0" t="s">
        <v>300</v>
      </c>
      <c r="DE829" s="0" t="s">
        <v>513</v>
      </c>
    </row>
    <row customHeight="1" ht="11.25">
      <c r="A830" s="1441" t="s">
        <v>240</v>
      </c>
      <c r="B830" s="0" t="s">
        <v>240</v>
      </c>
      <c r="C830" s="0" t="s">
        <v>240</v>
      </c>
      <c r="D830" s="0" t="s">
        <v>240</v>
      </c>
      <c r="E830" s="0" t="s">
        <v>240</v>
      </c>
      <c r="F830" s="0" t="s">
        <v>240</v>
      </c>
      <c r="G830" s="0" t="s">
        <v>240</v>
      </c>
      <c r="H830" s="0" t="s">
        <v>240</v>
      </c>
      <c r="I830" s="0" t="s">
        <v>7004</v>
      </c>
      <c r="J830" s="0" t="s">
        <v>240</v>
      </c>
      <c r="K830" s="0" t="s">
        <v>240</v>
      </c>
      <c r="L830" s="0" t="s">
        <v>240</v>
      </c>
      <c r="M830" s="0" t="s">
        <v>240</v>
      </c>
      <c r="N830" s="0" t="s">
        <v>240</v>
      </c>
      <c r="O830" s="0" t="s">
        <v>240</v>
      </c>
      <c r="P830" s="0" t="s">
        <v>240</v>
      </c>
      <c r="Q830" s="0" t="s">
        <v>240</v>
      </c>
      <c r="R830" s="0" t="s">
        <v>526</v>
      </c>
      <c r="S830" s="0" t="s">
        <v>240</v>
      </c>
      <c r="T830" s="0" t="s">
        <v>240</v>
      </c>
      <c r="U830" s="0" t="s">
        <v>102</v>
      </c>
      <c r="V830" s="0" t="s">
        <v>240</v>
      </c>
      <c r="W830" s="0" t="s">
        <v>240</v>
      </c>
      <c r="X830" s="0" t="s">
        <v>546</v>
      </c>
      <c r="Y830" s="0" t="s">
        <v>240</v>
      </c>
      <c r="Z830" s="0" t="s">
        <v>161</v>
      </c>
      <c r="AA830" s="0" t="s">
        <v>152</v>
      </c>
      <c r="AB830" s="0" t="s">
        <v>152</v>
      </c>
      <c r="AC830" s="0" t="s">
        <v>364</v>
      </c>
      <c r="AD830" s="0" t="s">
        <v>364</v>
      </c>
      <c r="AE830" s="0" t="s">
        <v>365</v>
      </c>
      <c r="AF830" s="0" t="s">
        <v>5486</v>
      </c>
      <c r="AG830" s="0" t="s">
        <v>5487</v>
      </c>
      <c r="AH830" s="0" t="s">
        <v>7227</v>
      </c>
      <c r="AI830" s="0" t="s">
        <v>6621</v>
      </c>
      <c r="AJ830" s="0" t="s">
        <v>5491</v>
      </c>
      <c r="AK830" s="0" t="s">
        <v>7145</v>
      </c>
      <c r="AL830" s="0" t="s">
        <v>7009</v>
      </c>
      <c r="AN830" s="0" t="s">
        <v>5902</v>
      </c>
      <c r="AO830" s="0" t="s">
        <v>7228</v>
      </c>
      <c r="AP830" s="0" t="s">
        <v>240</v>
      </c>
      <c r="AQ830" s="0" t="s">
        <v>240</v>
      </c>
      <c r="AR830" s="0" t="s">
        <v>240</v>
      </c>
      <c r="AS830" s="0" t="s">
        <v>240</v>
      </c>
      <c r="AT830" s="0" t="s">
        <v>240</v>
      </c>
      <c r="AU830" s="0" t="s">
        <v>240</v>
      </c>
      <c r="AV830" s="0" t="s">
        <v>240</v>
      </c>
      <c r="AW830" s="0" t="s">
        <v>240</v>
      </c>
      <c r="AX830" s="0" t="s">
        <v>240</v>
      </c>
      <c r="AY830" s="0" t="s">
        <v>240</v>
      </c>
      <c r="AZ830" s="0" t="s">
        <v>240</v>
      </c>
      <c r="BA830" s="0" t="s">
        <v>240</v>
      </c>
      <c r="BB830" s="0" t="s">
        <v>240</v>
      </c>
      <c r="BC830" s="0" t="s">
        <v>240</v>
      </c>
      <c r="BD830" s="0" t="s">
        <v>240</v>
      </c>
      <c r="BE830" s="0" t="s">
        <v>240</v>
      </c>
      <c r="BF830" s="0" t="s">
        <v>240</v>
      </c>
      <c r="BG830" s="0" t="s">
        <v>240</v>
      </c>
      <c r="BH830" s="0" t="s">
        <v>240</v>
      </c>
      <c r="BI830" s="0" t="s">
        <v>240</v>
      </c>
      <c r="BJ830" s="0" t="s">
        <v>240</v>
      </c>
      <c r="BK830" s="0" t="s">
        <v>240</v>
      </c>
      <c r="BL830" s="0" t="s">
        <v>240</v>
      </c>
      <c r="BM830" s="0" t="s">
        <v>240</v>
      </c>
      <c r="BN830" s="0" t="s">
        <v>240</v>
      </c>
      <c r="BO830" s="0" t="s">
        <v>240</v>
      </c>
      <c r="BP830" s="0" t="s">
        <v>240</v>
      </c>
      <c r="BQ830" s="0" t="s">
        <v>240</v>
      </c>
      <c r="BR830" s="0" t="s">
        <v>240</v>
      </c>
      <c r="BS830" s="0" t="s">
        <v>240</v>
      </c>
      <c r="BT830" s="0" t="s">
        <v>240</v>
      </c>
      <c r="CS830" s="0" t="s">
        <v>240</v>
      </c>
      <c r="CT830" s="0" t="s">
        <v>5496</v>
      </c>
      <c r="CU830" s="0" t="s">
        <v>5497</v>
      </c>
      <c r="CV830" s="0" t="s">
        <v>443</v>
      </c>
      <c r="CW830" s="0" t="s">
        <v>5498</v>
      </c>
      <c r="CX830" s="0" t="s">
        <v>229</v>
      </c>
      <c r="CY830" s="0" t="s">
        <v>443</v>
      </c>
      <c r="CZ830" s="0" t="s">
        <v>230</v>
      </c>
      <c r="DA830" s="0" t="s">
        <v>444</v>
      </c>
      <c r="DB830" s="0" t="s">
        <v>5498</v>
      </c>
      <c r="DC830" s="0" t="s">
        <v>384</v>
      </c>
      <c r="DD830" s="0" t="s">
        <v>300</v>
      </c>
      <c r="DE830" s="0" t="s">
        <v>527</v>
      </c>
    </row>
    <row customHeight="1" ht="11.25">
      <c r="A831" s="1441" t="s">
        <v>240</v>
      </c>
      <c r="B831" s="0" t="s">
        <v>240</v>
      </c>
      <c r="C831" s="0" t="s">
        <v>240</v>
      </c>
      <c r="D831" s="0" t="s">
        <v>240</v>
      </c>
      <c r="E831" s="0" t="s">
        <v>240</v>
      </c>
      <c r="F831" s="0" t="s">
        <v>240</v>
      </c>
      <c r="G831" s="0" t="s">
        <v>240</v>
      </c>
      <c r="H831" s="0" t="s">
        <v>240</v>
      </c>
      <c r="I831" s="0" t="s">
        <v>7004</v>
      </c>
      <c r="J831" s="0" t="s">
        <v>240</v>
      </c>
      <c r="K831" s="0" t="s">
        <v>240</v>
      </c>
      <c r="L831" s="0" t="s">
        <v>240</v>
      </c>
      <c r="M831" s="0" t="s">
        <v>240</v>
      </c>
      <c r="N831" s="0" t="s">
        <v>240</v>
      </c>
      <c r="O831" s="0" t="s">
        <v>240</v>
      </c>
      <c r="P831" s="0" t="s">
        <v>240</v>
      </c>
      <c r="Q831" s="0" t="s">
        <v>240</v>
      </c>
      <c r="R831" s="0" t="s">
        <v>7339</v>
      </c>
      <c r="S831" s="0" t="s">
        <v>240</v>
      </c>
      <c r="T831" s="0" t="s">
        <v>240</v>
      </c>
      <c r="U831" s="0" t="s">
        <v>102</v>
      </c>
      <c r="V831" s="0" t="s">
        <v>240</v>
      </c>
      <c r="W831" s="0" t="s">
        <v>240</v>
      </c>
      <c r="X831" s="0" t="s">
        <v>546</v>
      </c>
      <c r="Y831" s="0" t="s">
        <v>240</v>
      </c>
      <c r="Z831" s="0" t="s">
        <v>161</v>
      </c>
      <c r="AA831" s="0" t="s">
        <v>152</v>
      </c>
      <c r="AB831" s="0" t="s">
        <v>152</v>
      </c>
      <c r="AC831" s="0" t="s">
        <v>3389</v>
      </c>
      <c r="AD831" s="0" t="s">
        <v>3389</v>
      </c>
      <c r="AE831" s="0" t="s">
        <v>3390</v>
      </c>
      <c r="AF831" s="0" t="s">
        <v>5519</v>
      </c>
      <c r="AG831" s="0" t="s">
        <v>5520</v>
      </c>
      <c r="AH831" s="0" t="s">
        <v>7340</v>
      </c>
      <c r="AI831" s="0" t="s">
        <v>7341</v>
      </c>
      <c r="AJ831" s="0" t="s">
        <v>5700</v>
      </c>
      <c r="AK831" s="0" t="s">
        <v>7342</v>
      </c>
      <c r="AL831" s="0" t="s">
        <v>7009</v>
      </c>
      <c r="AN831" s="0" t="s">
        <v>6277</v>
      </c>
      <c r="AO831" s="0" t="s">
        <v>6278</v>
      </c>
      <c r="AP831" s="0" t="s">
        <v>240</v>
      </c>
      <c r="AQ831" s="0" t="s">
        <v>240</v>
      </c>
      <c r="AR831" s="0" t="s">
        <v>240</v>
      </c>
      <c r="AS831" s="0" t="s">
        <v>240</v>
      </c>
      <c r="AT831" s="0" t="s">
        <v>240</v>
      </c>
      <c r="AU831" s="0" t="s">
        <v>240</v>
      </c>
      <c r="AV831" s="0" t="s">
        <v>240</v>
      </c>
      <c r="AW831" s="0" t="s">
        <v>240</v>
      </c>
      <c r="AX831" s="0" t="s">
        <v>240</v>
      </c>
      <c r="AY831" s="0" t="s">
        <v>240</v>
      </c>
      <c r="AZ831" s="0" t="s">
        <v>240</v>
      </c>
      <c r="BA831" s="0" t="s">
        <v>240</v>
      </c>
      <c r="BB831" s="0" t="s">
        <v>240</v>
      </c>
      <c r="BC831" s="0" t="s">
        <v>240</v>
      </c>
      <c r="BD831" s="0" t="s">
        <v>240</v>
      </c>
      <c r="BE831" s="0" t="s">
        <v>240</v>
      </c>
      <c r="BF831" s="0" t="s">
        <v>240</v>
      </c>
      <c r="BG831" s="0" t="s">
        <v>240</v>
      </c>
      <c r="BH831" s="0" t="s">
        <v>240</v>
      </c>
      <c r="BI831" s="0" t="s">
        <v>240</v>
      </c>
      <c r="BJ831" s="0" t="s">
        <v>240</v>
      </c>
      <c r="BK831" s="0" t="s">
        <v>240</v>
      </c>
      <c r="BL831" s="0" t="s">
        <v>240</v>
      </c>
      <c r="BM831" s="0" t="s">
        <v>240</v>
      </c>
      <c r="BN831" s="0" t="s">
        <v>240</v>
      </c>
      <c r="BO831" s="0" t="s">
        <v>240</v>
      </c>
      <c r="BP831" s="0" t="s">
        <v>240</v>
      </c>
      <c r="BQ831" s="0" t="s">
        <v>240</v>
      </c>
      <c r="BR831" s="0" t="s">
        <v>240</v>
      </c>
      <c r="BS831" s="0" t="s">
        <v>240</v>
      </c>
      <c r="BT831" s="0" t="s">
        <v>240</v>
      </c>
      <c r="CS831" s="0" t="s">
        <v>240</v>
      </c>
      <c r="CT831" s="0" t="s">
        <v>5496</v>
      </c>
      <c r="CU831" s="0" t="s">
        <v>5497</v>
      </c>
      <c r="CV831" s="0" t="s">
        <v>443</v>
      </c>
      <c r="CW831" s="0" t="s">
        <v>5527</v>
      </c>
      <c r="CX831" s="0" t="s">
        <v>5528</v>
      </c>
      <c r="CY831" s="0" t="s">
        <v>443</v>
      </c>
      <c r="CZ831" s="0" t="s">
        <v>299</v>
      </c>
      <c r="DA831" s="0" t="s">
        <v>5529</v>
      </c>
      <c r="DB831" s="0" t="s">
        <v>5527</v>
      </c>
      <c r="DC831" s="0" t="s">
        <v>384</v>
      </c>
      <c r="DD831" s="0" t="s">
        <v>300</v>
      </c>
      <c r="DE831" s="0" t="s">
        <v>7343</v>
      </c>
    </row>
    <row customHeight="1" ht="11.25">
      <c r="A832" s="1441" t="s">
        <v>240</v>
      </c>
      <c r="B832" s="0" t="s">
        <v>240</v>
      </c>
      <c r="C832" s="0" t="s">
        <v>240</v>
      </c>
      <c r="D832" s="0" t="s">
        <v>240</v>
      </c>
      <c r="E832" s="0" t="s">
        <v>240</v>
      </c>
      <c r="F832" s="0" t="s">
        <v>240</v>
      </c>
      <c r="G832" s="0" t="s">
        <v>240</v>
      </c>
      <c r="H832" s="0" t="s">
        <v>240</v>
      </c>
      <c r="I832" s="0" t="s">
        <v>7004</v>
      </c>
      <c r="J832" s="0" t="s">
        <v>240</v>
      </c>
      <c r="K832" s="0" t="s">
        <v>240</v>
      </c>
      <c r="L832" s="0" t="s">
        <v>240</v>
      </c>
      <c r="M832" s="0" t="s">
        <v>240</v>
      </c>
      <c r="N832" s="0" t="s">
        <v>240</v>
      </c>
      <c r="O832" s="0" t="s">
        <v>240</v>
      </c>
      <c r="P832" s="0" t="s">
        <v>240</v>
      </c>
      <c r="Q832" s="0" t="s">
        <v>240</v>
      </c>
      <c r="R832" s="0" t="s">
        <v>7246</v>
      </c>
      <c r="S832" s="0" t="s">
        <v>240</v>
      </c>
      <c r="T832" s="0" t="s">
        <v>240</v>
      </c>
      <c r="U832" s="0" t="s">
        <v>102</v>
      </c>
      <c r="V832" s="0" t="s">
        <v>240</v>
      </c>
      <c r="W832" s="0" t="s">
        <v>240</v>
      </c>
      <c r="X832" s="0" t="s">
        <v>546</v>
      </c>
      <c r="Y832" s="0" t="s">
        <v>240</v>
      </c>
      <c r="Z832" s="0" t="s">
        <v>161</v>
      </c>
      <c r="AA832" s="0" t="s">
        <v>152</v>
      </c>
      <c r="AB832" s="0" t="s">
        <v>152</v>
      </c>
      <c r="AC832" s="0" t="s">
        <v>3389</v>
      </c>
      <c r="AD832" s="0" t="s">
        <v>3389</v>
      </c>
      <c r="AE832" s="0" t="s">
        <v>3390</v>
      </c>
      <c r="AF832" s="0" t="s">
        <v>5519</v>
      </c>
      <c r="AG832" s="0" t="s">
        <v>5520</v>
      </c>
      <c r="AH832" s="0" t="s">
        <v>7247</v>
      </c>
      <c r="AI832" s="0" t="s">
        <v>5575</v>
      </c>
      <c r="AJ832" s="0" t="s">
        <v>7248</v>
      </c>
      <c r="AK832" s="0" t="s">
        <v>7249</v>
      </c>
      <c r="AL832" s="0" t="s">
        <v>7009</v>
      </c>
      <c r="AN832" s="0" t="s">
        <v>5494</v>
      </c>
      <c r="AO832" s="0" t="s">
        <v>7250</v>
      </c>
      <c r="AP832" s="0" t="s">
        <v>240</v>
      </c>
      <c r="AQ832" s="0" t="s">
        <v>240</v>
      </c>
      <c r="AR832" s="0" t="s">
        <v>240</v>
      </c>
      <c r="AS832" s="0" t="s">
        <v>240</v>
      </c>
      <c r="AT832" s="0" t="s">
        <v>240</v>
      </c>
      <c r="AU832" s="0" t="s">
        <v>240</v>
      </c>
      <c r="AV832" s="0" t="s">
        <v>240</v>
      </c>
      <c r="AW832" s="0" t="s">
        <v>240</v>
      </c>
      <c r="AX832" s="0" t="s">
        <v>240</v>
      </c>
      <c r="AY832" s="0" t="s">
        <v>240</v>
      </c>
      <c r="AZ832" s="0" t="s">
        <v>240</v>
      </c>
      <c r="BA832" s="0" t="s">
        <v>240</v>
      </c>
      <c r="BB832" s="0" t="s">
        <v>240</v>
      </c>
      <c r="BC832" s="0" t="s">
        <v>240</v>
      </c>
      <c r="BD832" s="0" t="s">
        <v>240</v>
      </c>
      <c r="BE832" s="0" t="s">
        <v>240</v>
      </c>
      <c r="BF832" s="0" t="s">
        <v>240</v>
      </c>
      <c r="BG832" s="0" t="s">
        <v>240</v>
      </c>
      <c r="BH832" s="0" t="s">
        <v>240</v>
      </c>
      <c r="BI832" s="0" t="s">
        <v>240</v>
      </c>
      <c r="BJ832" s="0" t="s">
        <v>240</v>
      </c>
      <c r="BK832" s="0" t="s">
        <v>240</v>
      </c>
      <c r="BL832" s="0" t="s">
        <v>240</v>
      </c>
      <c r="BM832" s="0" t="s">
        <v>240</v>
      </c>
      <c r="BN832" s="0" t="s">
        <v>240</v>
      </c>
      <c r="BO832" s="0" t="s">
        <v>240</v>
      </c>
      <c r="BP832" s="0" t="s">
        <v>240</v>
      </c>
      <c r="BQ832" s="0" t="s">
        <v>240</v>
      </c>
      <c r="BR832" s="0" t="s">
        <v>240</v>
      </c>
      <c r="BS832" s="0" t="s">
        <v>240</v>
      </c>
      <c r="BT832" s="0" t="s">
        <v>240</v>
      </c>
      <c r="CS832" s="0" t="s">
        <v>240</v>
      </c>
      <c r="CT832" s="0" t="s">
        <v>5496</v>
      </c>
      <c r="CU832" s="0" t="s">
        <v>5497</v>
      </c>
      <c r="CV832" s="0" t="s">
        <v>443</v>
      </c>
      <c r="CW832" s="0" t="s">
        <v>5527</v>
      </c>
      <c r="CX832" s="0" t="s">
        <v>229</v>
      </c>
      <c r="CY832" s="0" t="s">
        <v>443</v>
      </c>
      <c r="CZ832" s="0" t="s">
        <v>299</v>
      </c>
      <c r="DA832" s="0" t="s">
        <v>5529</v>
      </c>
      <c r="DB832" s="0" t="s">
        <v>7240</v>
      </c>
      <c r="DC832" s="0" t="s">
        <v>384</v>
      </c>
      <c r="DD832" s="0" t="s">
        <v>300</v>
      </c>
      <c r="DE832" s="0" t="s">
        <v>7251</v>
      </c>
    </row>
    <row customHeight="1" ht="11.25">
      <c r="A833" s="1441" t="s">
        <v>240</v>
      </c>
      <c r="B833" s="0" t="s">
        <v>240</v>
      </c>
      <c r="C833" s="0" t="s">
        <v>240</v>
      </c>
      <c r="D833" s="0" t="s">
        <v>240</v>
      </c>
      <c r="E833" s="0" t="s">
        <v>240</v>
      </c>
      <c r="F833" s="0" t="s">
        <v>240</v>
      </c>
      <c r="G833" s="0" t="s">
        <v>240</v>
      </c>
      <c r="H833" s="0" t="s">
        <v>240</v>
      </c>
      <c r="I833" s="0" t="s">
        <v>7004</v>
      </c>
      <c r="J833" s="0" t="s">
        <v>240</v>
      </c>
      <c r="K833" s="0" t="s">
        <v>240</v>
      </c>
      <c r="L833" s="0" t="s">
        <v>240</v>
      </c>
      <c r="M833" s="0" t="s">
        <v>240</v>
      </c>
      <c r="N833" s="0" t="s">
        <v>240</v>
      </c>
      <c r="O833" s="0" t="s">
        <v>240</v>
      </c>
      <c r="P833" s="0" t="s">
        <v>240</v>
      </c>
      <c r="Q833" s="0" t="s">
        <v>240</v>
      </c>
      <c r="R833" s="0" t="s">
        <v>7403</v>
      </c>
      <c r="S833" s="0" t="s">
        <v>240</v>
      </c>
      <c r="T833" s="0" t="s">
        <v>240</v>
      </c>
      <c r="U833" s="0" t="s">
        <v>102</v>
      </c>
      <c r="V833" s="0" t="s">
        <v>240</v>
      </c>
      <c r="W833" s="0" t="s">
        <v>240</v>
      </c>
      <c r="X833" s="0" t="s">
        <v>5905</v>
      </c>
      <c r="Y833" s="0" t="s">
        <v>240</v>
      </c>
      <c r="Z833" s="0" t="s">
        <v>152</v>
      </c>
      <c r="AA833" s="0" t="s">
        <v>161</v>
      </c>
      <c r="AB833" s="0" t="s">
        <v>152</v>
      </c>
      <c r="AC833" s="0" t="s">
        <v>3389</v>
      </c>
      <c r="AD833" s="0" t="s">
        <v>3389</v>
      </c>
      <c r="AE833" s="0" t="s">
        <v>3390</v>
      </c>
      <c r="AF833" s="0" t="s">
        <v>5519</v>
      </c>
      <c r="AG833" s="0" t="s">
        <v>5520</v>
      </c>
      <c r="AH833" s="0" t="s">
        <v>7253</v>
      </c>
      <c r="AI833" s="0" t="s">
        <v>5533</v>
      </c>
      <c r="AJ833" s="0" t="s">
        <v>240</v>
      </c>
      <c r="AK833" s="0" t="s">
        <v>240</v>
      </c>
      <c r="AL833" s="0" t="s">
        <v>240</v>
      </c>
      <c r="AN833" s="0" t="s">
        <v>240</v>
      </c>
      <c r="AO833" s="0" t="s">
        <v>240</v>
      </c>
      <c r="AP833" s="0" t="s">
        <v>5578</v>
      </c>
      <c r="AQ833" s="0" t="s">
        <v>5598</v>
      </c>
      <c r="AR833" s="0" t="s">
        <v>112</v>
      </c>
      <c r="AS833" s="0" t="s">
        <v>5589</v>
      </c>
      <c r="AT833" s="0" t="s">
        <v>123</v>
      </c>
      <c r="AU833" s="0" t="s">
        <v>240</v>
      </c>
      <c r="AV833" s="0" t="s">
        <v>7403</v>
      </c>
      <c r="AW833" s="0" t="s">
        <v>3389</v>
      </c>
      <c r="AX833" s="0" t="s">
        <v>3389</v>
      </c>
      <c r="AY833" s="0" t="s">
        <v>5591</v>
      </c>
      <c r="AZ833" s="0" t="s">
        <v>5519</v>
      </c>
      <c r="BA833" s="0" t="s">
        <v>5592</v>
      </c>
      <c r="BB833" s="0" t="s">
        <v>7253</v>
      </c>
      <c r="BC833" s="0" t="s">
        <v>5533</v>
      </c>
      <c r="BD833" s="0" t="s">
        <v>5598</v>
      </c>
      <c r="BE833" s="0" t="s">
        <v>240</v>
      </c>
      <c r="BF833" s="0" t="s">
        <v>240</v>
      </c>
      <c r="BG833" s="0" t="s">
        <v>240</v>
      </c>
      <c r="BH833" s="0" t="s">
        <v>240</v>
      </c>
      <c r="BI833" s="0" t="s">
        <v>240</v>
      </c>
      <c r="BJ833" s="0" t="s">
        <v>240</v>
      </c>
      <c r="BK833" s="0" t="s">
        <v>240</v>
      </c>
      <c r="BL833" s="0" t="s">
        <v>240</v>
      </c>
      <c r="BM833" s="0" t="s">
        <v>240</v>
      </c>
      <c r="BN833" s="0" t="s">
        <v>240</v>
      </c>
      <c r="BO833" s="0" t="s">
        <v>240</v>
      </c>
      <c r="BP833" s="0" t="s">
        <v>240</v>
      </c>
      <c r="BQ833" s="0" t="s">
        <v>240</v>
      </c>
      <c r="BR833" s="0" t="s">
        <v>240</v>
      </c>
      <c r="BS833" s="0" t="s">
        <v>240</v>
      </c>
      <c r="BT833" s="0" t="s">
        <v>240</v>
      </c>
      <c r="CS833" s="0" t="s">
        <v>240</v>
      </c>
      <c r="CT833" s="0" t="s">
        <v>5496</v>
      </c>
      <c r="CU833" s="0" t="s">
        <v>7012</v>
      </c>
      <c r="CV833" s="0" t="s">
        <v>7404</v>
      </c>
      <c r="CW833" s="0" t="s">
        <v>7405</v>
      </c>
      <c r="CX833" s="0" t="s">
        <v>7406</v>
      </c>
      <c r="CY833" s="0" t="s">
        <v>7404</v>
      </c>
      <c r="CZ833" s="0" t="s">
        <v>7407</v>
      </c>
      <c r="DA833" s="0" t="s">
        <v>7408</v>
      </c>
      <c r="DB833" s="0" t="s">
        <v>7405</v>
      </c>
      <c r="DC833" s="0" t="s">
        <v>384</v>
      </c>
      <c r="DD833" s="0" t="s">
        <v>300</v>
      </c>
      <c r="DE833" s="0" t="s">
        <v>7258</v>
      </c>
    </row>
    <row customHeight="1" ht="11.25">
      <c r="A834" s="1441" t="s">
        <v>240</v>
      </c>
      <c r="B834" s="0" t="s">
        <v>240</v>
      </c>
      <c r="C834" s="0" t="s">
        <v>240</v>
      </c>
      <c r="D834" s="0" t="s">
        <v>240</v>
      </c>
      <c r="E834" s="0" t="s">
        <v>240</v>
      </c>
      <c r="F834" s="0" t="s">
        <v>240</v>
      </c>
      <c r="G834" s="0" t="s">
        <v>240</v>
      </c>
      <c r="H834" s="0" t="s">
        <v>240</v>
      </c>
      <c r="I834" s="0" t="s">
        <v>7004</v>
      </c>
      <c r="J834" s="0" t="s">
        <v>240</v>
      </c>
      <c r="K834" s="0" t="s">
        <v>240</v>
      </c>
      <c r="L834" s="0" t="s">
        <v>240</v>
      </c>
      <c r="M834" s="0" t="s">
        <v>240</v>
      </c>
      <c r="N834" s="0" t="s">
        <v>240</v>
      </c>
      <c r="O834" s="0" t="s">
        <v>240</v>
      </c>
      <c r="P834" s="0" t="s">
        <v>240</v>
      </c>
      <c r="Q834" s="0" t="s">
        <v>240</v>
      </c>
      <c r="R834" s="0" t="s">
        <v>550</v>
      </c>
      <c r="S834" s="0" t="s">
        <v>240</v>
      </c>
      <c r="T834" s="0" t="s">
        <v>240</v>
      </c>
      <c r="U834" s="0" t="s">
        <v>102</v>
      </c>
      <c r="V834" s="0" t="s">
        <v>240</v>
      </c>
      <c r="W834" s="0" t="s">
        <v>240</v>
      </c>
      <c r="X834" s="0" t="s">
        <v>5905</v>
      </c>
      <c r="Y834" s="0" t="s">
        <v>240</v>
      </c>
      <c r="Z834" s="0" t="s">
        <v>152</v>
      </c>
      <c r="AA834" s="0" t="s">
        <v>161</v>
      </c>
      <c r="AB834" s="0" t="s">
        <v>152</v>
      </c>
      <c r="AC834" s="0" t="s">
        <v>2991</v>
      </c>
      <c r="AD834" s="0" t="s">
        <v>2991</v>
      </c>
      <c r="AE834" s="0" t="s">
        <v>2992</v>
      </c>
      <c r="AF834" s="0" t="s">
        <v>5749</v>
      </c>
      <c r="AG834" s="0" t="s">
        <v>5750</v>
      </c>
      <c r="AH834" s="0" t="s">
        <v>5644</v>
      </c>
      <c r="AI834" s="0" t="s">
        <v>5644</v>
      </c>
      <c r="AJ834" s="0" t="s">
        <v>240</v>
      </c>
      <c r="AK834" s="0" t="s">
        <v>240</v>
      </c>
      <c r="AL834" s="0" t="s">
        <v>240</v>
      </c>
      <c r="AN834" s="0" t="s">
        <v>240</v>
      </c>
      <c r="AO834" s="0" t="s">
        <v>240</v>
      </c>
      <c r="AP834" s="0" t="s">
        <v>7409</v>
      </c>
      <c r="AQ834" s="0" t="s">
        <v>5578</v>
      </c>
      <c r="AR834" s="0" t="s">
        <v>112</v>
      </c>
      <c r="AS834" s="0" t="s">
        <v>5589</v>
      </c>
      <c r="AT834" s="0" t="s">
        <v>123</v>
      </c>
      <c r="AU834" s="0" t="s">
        <v>240</v>
      </c>
      <c r="AV834" s="0" t="s">
        <v>550</v>
      </c>
      <c r="AW834" s="0" t="s">
        <v>2991</v>
      </c>
      <c r="AX834" s="0" t="s">
        <v>2991</v>
      </c>
      <c r="AY834" s="0" t="s">
        <v>5663</v>
      </c>
      <c r="AZ834" s="0" t="s">
        <v>5749</v>
      </c>
      <c r="BA834" s="0" t="s">
        <v>6846</v>
      </c>
      <c r="BB834" s="0" t="s">
        <v>5644</v>
      </c>
      <c r="BC834" s="0" t="s">
        <v>5644</v>
      </c>
      <c r="BD834" s="0" t="s">
        <v>5578</v>
      </c>
      <c r="BE834" s="0" t="s">
        <v>240</v>
      </c>
      <c r="BF834" s="0" t="s">
        <v>240</v>
      </c>
      <c r="BG834" s="0" t="s">
        <v>240</v>
      </c>
      <c r="BH834" s="0" t="s">
        <v>240</v>
      </c>
      <c r="BI834" s="0" t="s">
        <v>240</v>
      </c>
      <c r="BJ834" s="0" t="s">
        <v>240</v>
      </c>
      <c r="BK834" s="0" t="s">
        <v>240</v>
      </c>
      <c r="BL834" s="0" t="s">
        <v>240</v>
      </c>
      <c r="BM834" s="0" t="s">
        <v>240</v>
      </c>
      <c r="BN834" s="0" t="s">
        <v>240</v>
      </c>
      <c r="BO834" s="0" t="s">
        <v>240</v>
      </c>
      <c r="BP834" s="0" t="s">
        <v>240</v>
      </c>
      <c r="BQ834" s="0" t="s">
        <v>240</v>
      </c>
      <c r="BR834" s="0" t="s">
        <v>240</v>
      </c>
      <c r="BS834" s="0" t="s">
        <v>240</v>
      </c>
      <c r="BT834" s="0" t="s">
        <v>240</v>
      </c>
      <c r="CS834" s="0" t="s">
        <v>240</v>
      </c>
      <c r="CT834" s="0" t="s">
        <v>5496</v>
      </c>
      <c r="CU834" s="0" t="s">
        <v>5497</v>
      </c>
      <c r="CV834" s="0" t="s">
        <v>443</v>
      </c>
      <c r="CW834" s="0" t="s">
        <v>5547</v>
      </c>
      <c r="CX834" s="0" t="s">
        <v>229</v>
      </c>
      <c r="CY834" s="0" t="s">
        <v>443</v>
      </c>
      <c r="CZ834" s="0" t="s">
        <v>5548</v>
      </c>
      <c r="DA834" s="0" t="s">
        <v>5549</v>
      </c>
      <c r="DB834" s="0" t="s">
        <v>5547</v>
      </c>
      <c r="DC834" s="0" t="s">
        <v>384</v>
      </c>
      <c r="DD834" s="0" t="s">
        <v>300</v>
      </c>
      <c r="DE834" s="0" t="s">
        <v>7410</v>
      </c>
    </row>
    <row customHeight="1" ht="11.25">
      <c r="A835" s="1441" t="s">
        <v>240</v>
      </c>
      <c r="B835" s="0" t="s">
        <v>240</v>
      </c>
      <c r="C835" s="0" t="s">
        <v>240</v>
      </c>
      <c r="D835" s="0" t="s">
        <v>240</v>
      </c>
      <c r="E835" s="0" t="s">
        <v>240</v>
      </c>
      <c r="F835" s="0" t="s">
        <v>240</v>
      </c>
      <c r="G835" s="0" t="s">
        <v>240</v>
      </c>
      <c r="H835" s="0" t="s">
        <v>240</v>
      </c>
      <c r="I835" s="0" t="s">
        <v>7004</v>
      </c>
      <c r="J835" s="0" t="s">
        <v>240</v>
      </c>
      <c r="K835" s="0" t="s">
        <v>240</v>
      </c>
      <c r="L835" s="0" t="s">
        <v>240</v>
      </c>
      <c r="M835" s="0" t="s">
        <v>240</v>
      </c>
      <c r="N835" s="0" t="s">
        <v>240</v>
      </c>
      <c r="O835" s="0" t="s">
        <v>240</v>
      </c>
      <c r="P835" s="0" t="s">
        <v>240</v>
      </c>
      <c r="Q835" s="0" t="s">
        <v>240</v>
      </c>
      <c r="R835" s="0" t="s">
        <v>514</v>
      </c>
      <c r="S835" s="0" t="s">
        <v>240</v>
      </c>
      <c r="T835" s="0" t="s">
        <v>240</v>
      </c>
      <c r="U835" s="0" t="s">
        <v>102</v>
      </c>
      <c r="V835" s="0" t="s">
        <v>240</v>
      </c>
      <c r="W835" s="0" t="s">
        <v>240</v>
      </c>
      <c r="X835" s="0" t="s">
        <v>546</v>
      </c>
      <c r="Y835" s="0" t="s">
        <v>240</v>
      </c>
      <c r="Z835" s="0" t="s">
        <v>161</v>
      </c>
      <c r="AA835" s="0" t="s">
        <v>152</v>
      </c>
      <c r="AB835" s="0" t="s">
        <v>152</v>
      </c>
      <c r="AC835" s="0" t="s">
        <v>364</v>
      </c>
      <c r="AD835" s="0" t="s">
        <v>364</v>
      </c>
      <c r="AE835" s="0" t="s">
        <v>365</v>
      </c>
      <c r="AF835" s="0" t="s">
        <v>5486</v>
      </c>
      <c r="AG835" s="0" t="s">
        <v>5487</v>
      </c>
      <c r="AH835" s="0" t="s">
        <v>7399</v>
      </c>
      <c r="AI835" s="0" t="s">
        <v>7400</v>
      </c>
      <c r="AJ835" s="0" t="s">
        <v>7112</v>
      </c>
      <c r="AK835" s="0" t="s">
        <v>5992</v>
      </c>
      <c r="AL835" s="0" t="s">
        <v>7009</v>
      </c>
      <c r="AN835" s="0" t="s">
        <v>5657</v>
      </c>
      <c r="AO835" s="0" t="s">
        <v>5579</v>
      </c>
      <c r="AP835" s="0" t="s">
        <v>240</v>
      </c>
      <c r="AQ835" s="0" t="s">
        <v>240</v>
      </c>
      <c r="AR835" s="0" t="s">
        <v>240</v>
      </c>
      <c r="AS835" s="0" t="s">
        <v>240</v>
      </c>
      <c r="AT835" s="0" t="s">
        <v>240</v>
      </c>
      <c r="AU835" s="0" t="s">
        <v>240</v>
      </c>
      <c r="AV835" s="0" t="s">
        <v>240</v>
      </c>
      <c r="AW835" s="0" t="s">
        <v>240</v>
      </c>
      <c r="AX835" s="0" t="s">
        <v>240</v>
      </c>
      <c r="AY835" s="0" t="s">
        <v>240</v>
      </c>
      <c r="AZ835" s="0" t="s">
        <v>240</v>
      </c>
      <c r="BA835" s="0" t="s">
        <v>240</v>
      </c>
      <c r="BB835" s="0" t="s">
        <v>240</v>
      </c>
      <c r="BC835" s="0" t="s">
        <v>240</v>
      </c>
      <c r="BD835" s="0" t="s">
        <v>240</v>
      </c>
      <c r="BE835" s="0" t="s">
        <v>240</v>
      </c>
      <c r="BF835" s="0" t="s">
        <v>240</v>
      </c>
      <c r="BG835" s="0" t="s">
        <v>240</v>
      </c>
      <c r="BH835" s="0" t="s">
        <v>240</v>
      </c>
      <c r="BI835" s="0" t="s">
        <v>240</v>
      </c>
      <c r="BJ835" s="0" t="s">
        <v>240</v>
      </c>
      <c r="BK835" s="0" t="s">
        <v>240</v>
      </c>
      <c r="BL835" s="0" t="s">
        <v>240</v>
      </c>
      <c r="BM835" s="0" t="s">
        <v>240</v>
      </c>
      <c r="BN835" s="0" t="s">
        <v>240</v>
      </c>
      <c r="BO835" s="0" t="s">
        <v>240</v>
      </c>
      <c r="BP835" s="0" t="s">
        <v>240</v>
      </c>
      <c r="BQ835" s="0" t="s">
        <v>240</v>
      </c>
      <c r="BR835" s="0" t="s">
        <v>240</v>
      </c>
      <c r="BS835" s="0" t="s">
        <v>240</v>
      </c>
      <c r="BT835" s="0" t="s">
        <v>240</v>
      </c>
      <c r="CS835" s="0" t="s">
        <v>240</v>
      </c>
      <c r="CT835" s="0" t="s">
        <v>5496</v>
      </c>
      <c r="CU835" s="0" t="s">
        <v>5497</v>
      </c>
      <c r="CV835" s="0" t="s">
        <v>443</v>
      </c>
      <c r="CW835" s="0" t="s">
        <v>5498</v>
      </c>
      <c r="CX835" s="0" t="s">
        <v>229</v>
      </c>
      <c r="CY835" s="0" t="s">
        <v>443</v>
      </c>
      <c r="CZ835" s="0" t="s">
        <v>230</v>
      </c>
      <c r="DA835" s="0" t="s">
        <v>444</v>
      </c>
      <c r="DB835" s="0" t="s">
        <v>5498</v>
      </c>
      <c r="DC835" s="0" t="s">
        <v>384</v>
      </c>
      <c r="DD835" s="0" t="s">
        <v>300</v>
      </c>
      <c r="DE835" s="0" t="s">
        <v>515</v>
      </c>
    </row>
    <row customHeight="1" ht="11.25">
      <c r="A836" s="1441" t="s">
        <v>240</v>
      </c>
      <c r="B836" s="0" t="s">
        <v>240</v>
      </c>
      <c r="C836" s="0" t="s">
        <v>240</v>
      </c>
      <c r="D836" s="0" t="s">
        <v>240</v>
      </c>
      <c r="E836" s="0" t="s">
        <v>240</v>
      </c>
      <c r="F836" s="0" t="s">
        <v>240</v>
      </c>
      <c r="G836" s="0" t="s">
        <v>240</v>
      </c>
      <c r="H836" s="0" t="s">
        <v>240</v>
      </c>
      <c r="I836" s="0" t="s">
        <v>7004</v>
      </c>
      <c r="J836" s="0" t="s">
        <v>240</v>
      </c>
      <c r="K836" s="0" t="s">
        <v>240</v>
      </c>
      <c r="L836" s="0" t="s">
        <v>240</v>
      </c>
      <c r="M836" s="0" t="s">
        <v>240</v>
      </c>
      <c r="N836" s="0" t="s">
        <v>240</v>
      </c>
      <c r="O836" s="0" t="s">
        <v>240</v>
      </c>
      <c r="P836" s="0" t="s">
        <v>240</v>
      </c>
      <c r="Q836" s="0" t="s">
        <v>240</v>
      </c>
      <c r="R836" s="0" t="s">
        <v>532</v>
      </c>
      <c r="S836" s="0" t="s">
        <v>240</v>
      </c>
      <c r="T836" s="0" t="s">
        <v>240</v>
      </c>
      <c r="U836" s="0" t="s">
        <v>102</v>
      </c>
      <c r="V836" s="0" t="s">
        <v>240</v>
      </c>
      <c r="W836" s="0" t="s">
        <v>240</v>
      </c>
      <c r="X836" s="0" t="s">
        <v>546</v>
      </c>
      <c r="Y836" s="0" t="s">
        <v>240</v>
      </c>
      <c r="Z836" s="0" t="s">
        <v>161</v>
      </c>
      <c r="AA836" s="0" t="s">
        <v>152</v>
      </c>
      <c r="AB836" s="0" t="s">
        <v>152</v>
      </c>
      <c r="AC836" s="0" t="s">
        <v>3389</v>
      </c>
      <c r="AD836" s="0" t="s">
        <v>3389</v>
      </c>
      <c r="AE836" s="0" t="s">
        <v>3390</v>
      </c>
      <c r="AF836" s="0" t="s">
        <v>5519</v>
      </c>
      <c r="AG836" s="0" t="s">
        <v>5520</v>
      </c>
      <c r="AH836" s="0" t="s">
        <v>7024</v>
      </c>
      <c r="AI836" s="0" t="s">
        <v>7025</v>
      </c>
      <c r="AJ836" s="0" t="s">
        <v>5568</v>
      </c>
      <c r="AK836" s="0" t="s">
        <v>7026</v>
      </c>
      <c r="AL836" s="0" t="s">
        <v>7027</v>
      </c>
      <c r="AN836" s="0" t="s">
        <v>7028</v>
      </c>
      <c r="AO836" s="0" t="s">
        <v>7029</v>
      </c>
      <c r="AP836" s="0" t="s">
        <v>240</v>
      </c>
      <c r="AQ836" s="0" t="s">
        <v>240</v>
      </c>
      <c r="AR836" s="0" t="s">
        <v>240</v>
      </c>
      <c r="AS836" s="0" t="s">
        <v>240</v>
      </c>
      <c r="AT836" s="0" t="s">
        <v>240</v>
      </c>
      <c r="AU836" s="0" t="s">
        <v>240</v>
      </c>
      <c r="AV836" s="0" t="s">
        <v>240</v>
      </c>
      <c r="AW836" s="0" t="s">
        <v>240</v>
      </c>
      <c r="AX836" s="0" t="s">
        <v>240</v>
      </c>
      <c r="AY836" s="0" t="s">
        <v>240</v>
      </c>
      <c r="AZ836" s="0" t="s">
        <v>240</v>
      </c>
      <c r="BA836" s="0" t="s">
        <v>240</v>
      </c>
      <c r="BB836" s="0" t="s">
        <v>240</v>
      </c>
      <c r="BC836" s="0" t="s">
        <v>240</v>
      </c>
      <c r="BD836" s="0" t="s">
        <v>240</v>
      </c>
      <c r="BE836" s="0" t="s">
        <v>240</v>
      </c>
      <c r="BF836" s="0" t="s">
        <v>240</v>
      </c>
      <c r="BG836" s="0" t="s">
        <v>240</v>
      </c>
      <c r="BH836" s="0" t="s">
        <v>240</v>
      </c>
      <c r="BI836" s="0" t="s">
        <v>240</v>
      </c>
      <c r="BJ836" s="0" t="s">
        <v>240</v>
      </c>
      <c r="BK836" s="0" t="s">
        <v>240</v>
      </c>
      <c r="BL836" s="0" t="s">
        <v>240</v>
      </c>
      <c r="BM836" s="0" t="s">
        <v>240</v>
      </c>
      <c r="BN836" s="0" t="s">
        <v>240</v>
      </c>
      <c r="BO836" s="0" t="s">
        <v>240</v>
      </c>
      <c r="BP836" s="0" t="s">
        <v>240</v>
      </c>
      <c r="BQ836" s="0" t="s">
        <v>240</v>
      </c>
      <c r="BR836" s="0" t="s">
        <v>240</v>
      </c>
      <c r="BS836" s="0" t="s">
        <v>240</v>
      </c>
      <c r="BT836" s="0" t="s">
        <v>240</v>
      </c>
      <c r="CS836" s="0" t="s">
        <v>240</v>
      </c>
      <c r="CT836" s="0" t="s">
        <v>5496</v>
      </c>
      <c r="CU836" s="0" t="s">
        <v>7012</v>
      </c>
      <c r="CV836" s="0" t="s">
        <v>5947</v>
      </c>
      <c r="CW836" s="0" t="s">
        <v>7013</v>
      </c>
      <c r="CX836" s="0" t="s">
        <v>5528</v>
      </c>
      <c r="CY836" s="0" t="s">
        <v>5947</v>
      </c>
      <c r="CZ836" s="0" t="s">
        <v>7014</v>
      </c>
      <c r="DA836" s="0" t="s">
        <v>7015</v>
      </c>
      <c r="DB836" s="0" t="s">
        <v>7013</v>
      </c>
      <c r="DC836" s="0" t="s">
        <v>384</v>
      </c>
      <c r="DD836" s="0" t="s">
        <v>300</v>
      </c>
      <c r="DE836" s="0" t="s">
        <v>7030</v>
      </c>
    </row>
    <row customHeight="1" ht="11.25">
      <c r="A837" s="1441" t="s">
        <v>240</v>
      </c>
      <c r="B837" s="0" t="s">
        <v>240</v>
      </c>
      <c r="C837" s="0" t="s">
        <v>240</v>
      </c>
      <c r="D837" s="0" t="s">
        <v>240</v>
      </c>
      <c r="E837" s="0" t="s">
        <v>240</v>
      </c>
      <c r="F837" s="0" t="s">
        <v>240</v>
      </c>
      <c r="G837" s="0" t="s">
        <v>240</v>
      </c>
      <c r="H837" s="0" t="s">
        <v>240</v>
      </c>
      <c r="I837" s="0" t="s">
        <v>7004</v>
      </c>
      <c r="J837" s="0" t="s">
        <v>240</v>
      </c>
      <c r="K837" s="0" t="s">
        <v>240</v>
      </c>
      <c r="L837" s="0" t="s">
        <v>240</v>
      </c>
      <c r="M837" s="0" t="s">
        <v>240</v>
      </c>
      <c r="N837" s="0" t="s">
        <v>240</v>
      </c>
      <c r="O837" s="0" t="s">
        <v>240</v>
      </c>
      <c r="P837" s="0" t="s">
        <v>240</v>
      </c>
      <c r="Q837" s="0" t="s">
        <v>240</v>
      </c>
      <c r="R837" s="0" t="s">
        <v>516</v>
      </c>
      <c r="S837" s="0" t="s">
        <v>240</v>
      </c>
      <c r="T837" s="0" t="s">
        <v>240</v>
      </c>
      <c r="U837" s="0" t="s">
        <v>102</v>
      </c>
      <c r="V837" s="0" t="s">
        <v>240</v>
      </c>
      <c r="W837" s="0" t="s">
        <v>240</v>
      </c>
      <c r="X837" s="0" t="s">
        <v>546</v>
      </c>
      <c r="Y837" s="0" t="s">
        <v>240</v>
      </c>
      <c r="Z837" s="0" t="s">
        <v>161</v>
      </c>
      <c r="AA837" s="0" t="s">
        <v>152</v>
      </c>
      <c r="AB837" s="0" t="s">
        <v>152</v>
      </c>
      <c r="AC837" s="0" t="s">
        <v>364</v>
      </c>
      <c r="AD837" s="0" t="s">
        <v>364</v>
      </c>
      <c r="AE837" s="0" t="s">
        <v>365</v>
      </c>
      <c r="AF837" s="0" t="s">
        <v>5486</v>
      </c>
      <c r="AG837" s="0" t="s">
        <v>5487</v>
      </c>
      <c r="AH837" s="0" t="s">
        <v>7401</v>
      </c>
      <c r="AI837" s="0" t="s">
        <v>5503</v>
      </c>
      <c r="AJ837" s="0" t="s">
        <v>7154</v>
      </c>
      <c r="AK837" s="0" t="s">
        <v>7402</v>
      </c>
      <c r="AL837" s="0" t="s">
        <v>7009</v>
      </c>
      <c r="AN837" s="0" t="s">
        <v>6206</v>
      </c>
      <c r="AO837" s="0" t="s">
        <v>7141</v>
      </c>
      <c r="AP837" s="0" t="s">
        <v>240</v>
      </c>
      <c r="AQ837" s="0" t="s">
        <v>240</v>
      </c>
      <c r="AR837" s="0" t="s">
        <v>240</v>
      </c>
      <c r="AS837" s="0" t="s">
        <v>240</v>
      </c>
      <c r="AT837" s="0" t="s">
        <v>240</v>
      </c>
      <c r="AU837" s="0" t="s">
        <v>240</v>
      </c>
      <c r="AV837" s="0" t="s">
        <v>240</v>
      </c>
      <c r="AW837" s="0" t="s">
        <v>240</v>
      </c>
      <c r="AX837" s="0" t="s">
        <v>240</v>
      </c>
      <c r="AY837" s="0" t="s">
        <v>240</v>
      </c>
      <c r="AZ837" s="0" t="s">
        <v>240</v>
      </c>
      <c r="BA837" s="0" t="s">
        <v>240</v>
      </c>
      <c r="BB837" s="0" t="s">
        <v>240</v>
      </c>
      <c r="BC837" s="0" t="s">
        <v>240</v>
      </c>
      <c r="BD837" s="0" t="s">
        <v>240</v>
      </c>
      <c r="BE837" s="0" t="s">
        <v>240</v>
      </c>
      <c r="BF837" s="0" t="s">
        <v>240</v>
      </c>
      <c r="BG837" s="0" t="s">
        <v>240</v>
      </c>
      <c r="BH837" s="0" t="s">
        <v>240</v>
      </c>
      <c r="BI837" s="0" t="s">
        <v>240</v>
      </c>
      <c r="BJ837" s="0" t="s">
        <v>240</v>
      </c>
      <c r="BK837" s="0" t="s">
        <v>240</v>
      </c>
      <c r="BL837" s="0" t="s">
        <v>240</v>
      </c>
      <c r="BM837" s="0" t="s">
        <v>240</v>
      </c>
      <c r="BN837" s="0" t="s">
        <v>240</v>
      </c>
      <c r="BO837" s="0" t="s">
        <v>240</v>
      </c>
      <c r="BP837" s="0" t="s">
        <v>240</v>
      </c>
      <c r="BQ837" s="0" t="s">
        <v>240</v>
      </c>
      <c r="BR837" s="0" t="s">
        <v>240</v>
      </c>
      <c r="BS837" s="0" t="s">
        <v>240</v>
      </c>
      <c r="BT837" s="0" t="s">
        <v>240</v>
      </c>
      <c r="CS837" s="0" t="s">
        <v>240</v>
      </c>
      <c r="CT837" s="0" t="s">
        <v>5496</v>
      </c>
      <c r="CU837" s="0" t="s">
        <v>5497</v>
      </c>
      <c r="CV837" s="0" t="s">
        <v>443</v>
      </c>
      <c r="CW837" s="0" t="s">
        <v>5498</v>
      </c>
      <c r="CX837" s="0" t="s">
        <v>229</v>
      </c>
      <c r="CY837" s="0" t="s">
        <v>443</v>
      </c>
      <c r="CZ837" s="0" t="s">
        <v>230</v>
      </c>
      <c r="DA837" s="0" t="s">
        <v>444</v>
      </c>
      <c r="DB837" s="0" t="s">
        <v>5498</v>
      </c>
      <c r="DC837" s="0" t="s">
        <v>384</v>
      </c>
      <c r="DD837" s="0" t="s">
        <v>300</v>
      </c>
      <c r="DE837" s="0" t="s">
        <v>517</v>
      </c>
    </row>
    <row customHeight="1" ht="11.25">
      <c r="A838" s="1441" t="s">
        <v>240</v>
      </c>
      <c r="B838" s="0" t="s">
        <v>240</v>
      </c>
      <c r="C838" s="0" t="s">
        <v>240</v>
      </c>
      <c r="D838" s="0" t="s">
        <v>240</v>
      </c>
      <c r="E838" s="0" t="s">
        <v>240</v>
      </c>
      <c r="F838" s="0" t="s">
        <v>240</v>
      </c>
      <c r="G838" s="0" t="s">
        <v>240</v>
      </c>
      <c r="H838" s="0" t="s">
        <v>240</v>
      </c>
      <c r="I838" s="0" t="s">
        <v>7004</v>
      </c>
      <c r="J838" s="0" t="s">
        <v>240</v>
      </c>
      <c r="K838" s="0" t="s">
        <v>240</v>
      </c>
      <c r="L838" s="0" t="s">
        <v>240</v>
      </c>
      <c r="M838" s="0" t="s">
        <v>240</v>
      </c>
      <c r="N838" s="0" t="s">
        <v>240</v>
      </c>
      <c r="O838" s="0" t="s">
        <v>240</v>
      </c>
      <c r="P838" s="0" t="s">
        <v>240</v>
      </c>
      <c r="Q838" s="0" t="s">
        <v>240</v>
      </c>
      <c r="R838" s="0" t="s">
        <v>510</v>
      </c>
      <c r="S838" s="0" t="s">
        <v>240</v>
      </c>
      <c r="T838" s="0" t="s">
        <v>240</v>
      </c>
      <c r="U838" s="0" t="s">
        <v>102</v>
      </c>
      <c r="V838" s="0" t="s">
        <v>240</v>
      </c>
      <c r="W838" s="0" t="s">
        <v>240</v>
      </c>
      <c r="X838" s="0" t="s">
        <v>546</v>
      </c>
      <c r="Y838" s="0" t="s">
        <v>240</v>
      </c>
      <c r="Z838" s="0" t="s">
        <v>161</v>
      </c>
      <c r="AA838" s="0" t="s">
        <v>152</v>
      </c>
      <c r="AB838" s="0" t="s">
        <v>152</v>
      </c>
      <c r="AC838" s="0" t="s">
        <v>364</v>
      </c>
      <c r="AD838" s="0" t="s">
        <v>364</v>
      </c>
      <c r="AE838" s="0" t="s">
        <v>365</v>
      </c>
      <c r="AF838" s="0" t="s">
        <v>5486</v>
      </c>
      <c r="AG838" s="0" t="s">
        <v>5487</v>
      </c>
      <c r="AH838" s="0" t="s">
        <v>7398</v>
      </c>
      <c r="AI838" s="0" t="s">
        <v>475</v>
      </c>
      <c r="AJ838" s="0" t="s">
        <v>5821</v>
      </c>
      <c r="AK838" s="0" t="s">
        <v>5544</v>
      </c>
      <c r="AL838" s="0" t="s">
        <v>7009</v>
      </c>
      <c r="AN838" s="0" t="s">
        <v>5756</v>
      </c>
      <c r="AO838" s="0" t="s">
        <v>6481</v>
      </c>
      <c r="AP838" s="0" t="s">
        <v>240</v>
      </c>
      <c r="AQ838" s="0" t="s">
        <v>240</v>
      </c>
      <c r="AR838" s="0" t="s">
        <v>240</v>
      </c>
      <c r="AS838" s="0" t="s">
        <v>240</v>
      </c>
      <c r="AT838" s="0" t="s">
        <v>240</v>
      </c>
      <c r="AU838" s="0" t="s">
        <v>240</v>
      </c>
      <c r="AV838" s="0" t="s">
        <v>240</v>
      </c>
      <c r="AW838" s="0" t="s">
        <v>240</v>
      </c>
      <c r="AX838" s="0" t="s">
        <v>240</v>
      </c>
      <c r="AY838" s="0" t="s">
        <v>240</v>
      </c>
      <c r="AZ838" s="0" t="s">
        <v>240</v>
      </c>
      <c r="BA838" s="0" t="s">
        <v>240</v>
      </c>
      <c r="BB838" s="0" t="s">
        <v>240</v>
      </c>
      <c r="BC838" s="0" t="s">
        <v>240</v>
      </c>
      <c r="BD838" s="0" t="s">
        <v>240</v>
      </c>
      <c r="BE838" s="0" t="s">
        <v>240</v>
      </c>
      <c r="BF838" s="0" t="s">
        <v>240</v>
      </c>
      <c r="BG838" s="0" t="s">
        <v>240</v>
      </c>
      <c r="BH838" s="0" t="s">
        <v>240</v>
      </c>
      <c r="BI838" s="0" t="s">
        <v>240</v>
      </c>
      <c r="BJ838" s="0" t="s">
        <v>240</v>
      </c>
      <c r="BK838" s="0" t="s">
        <v>240</v>
      </c>
      <c r="BL838" s="0" t="s">
        <v>240</v>
      </c>
      <c r="BM838" s="0" t="s">
        <v>240</v>
      </c>
      <c r="BN838" s="0" t="s">
        <v>240</v>
      </c>
      <c r="BO838" s="0" t="s">
        <v>240</v>
      </c>
      <c r="BP838" s="0" t="s">
        <v>240</v>
      </c>
      <c r="BQ838" s="0" t="s">
        <v>240</v>
      </c>
      <c r="BR838" s="0" t="s">
        <v>240</v>
      </c>
      <c r="BS838" s="0" t="s">
        <v>240</v>
      </c>
      <c r="BT838" s="0" t="s">
        <v>240</v>
      </c>
      <c r="CS838" s="0" t="s">
        <v>240</v>
      </c>
      <c r="CT838" s="0" t="s">
        <v>5496</v>
      </c>
      <c r="CU838" s="0" t="s">
        <v>5497</v>
      </c>
      <c r="CV838" s="0" t="s">
        <v>443</v>
      </c>
      <c r="CW838" s="0" t="s">
        <v>5498</v>
      </c>
      <c r="CX838" s="0" t="s">
        <v>229</v>
      </c>
      <c r="CY838" s="0" t="s">
        <v>443</v>
      </c>
      <c r="CZ838" s="0" t="s">
        <v>230</v>
      </c>
      <c r="DA838" s="0" t="s">
        <v>444</v>
      </c>
      <c r="DB838" s="0" t="s">
        <v>5498</v>
      </c>
      <c r="DC838" s="0" t="s">
        <v>384</v>
      </c>
      <c r="DD838" s="0" t="s">
        <v>300</v>
      </c>
      <c r="DE838" s="0" t="s">
        <v>511</v>
      </c>
    </row>
    <row customHeight="1" ht="11.25">
      <c r="A839" s="1441" t="s">
        <v>240</v>
      </c>
      <c r="B839" s="0" t="s">
        <v>240</v>
      </c>
      <c r="C839" s="0" t="s">
        <v>240</v>
      </c>
      <c r="D839" s="0" t="s">
        <v>240</v>
      </c>
      <c r="E839" s="0" t="s">
        <v>240</v>
      </c>
      <c r="F839" s="0" t="s">
        <v>240</v>
      </c>
      <c r="G839" s="0" t="s">
        <v>240</v>
      </c>
      <c r="H839" s="0" t="s">
        <v>240</v>
      </c>
      <c r="I839" s="0" t="s">
        <v>7004</v>
      </c>
      <c r="J839" s="0" t="s">
        <v>240</v>
      </c>
      <c r="K839" s="0" t="s">
        <v>240</v>
      </c>
      <c r="L839" s="0" t="s">
        <v>240</v>
      </c>
      <c r="M839" s="0" t="s">
        <v>240</v>
      </c>
      <c r="N839" s="0" t="s">
        <v>240</v>
      </c>
      <c r="O839" s="0" t="s">
        <v>240</v>
      </c>
      <c r="P839" s="0" t="s">
        <v>240</v>
      </c>
      <c r="Q839" s="0" t="s">
        <v>240</v>
      </c>
      <c r="R839" s="0" t="s">
        <v>7320</v>
      </c>
      <c r="S839" s="0" t="s">
        <v>240</v>
      </c>
      <c r="T839" s="0" t="s">
        <v>240</v>
      </c>
      <c r="U839" s="0" t="s">
        <v>102</v>
      </c>
      <c r="V839" s="0" t="s">
        <v>240</v>
      </c>
      <c r="W839" s="0" t="s">
        <v>240</v>
      </c>
      <c r="X839" s="0" t="s">
        <v>546</v>
      </c>
      <c r="Y839" s="0" t="s">
        <v>240</v>
      </c>
      <c r="Z839" s="0" t="s">
        <v>161</v>
      </c>
      <c r="AA839" s="0" t="s">
        <v>152</v>
      </c>
      <c r="AB839" s="0" t="s">
        <v>152</v>
      </c>
      <c r="AC839" s="0" t="s">
        <v>3389</v>
      </c>
      <c r="AD839" s="0" t="s">
        <v>3389</v>
      </c>
      <c r="AE839" s="0" t="s">
        <v>3390</v>
      </c>
      <c r="AF839" s="0" t="s">
        <v>5519</v>
      </c>
      <c r="AG839" s="0" t="s">
        <v>5520</v>
      </c>
      <c r="AH839" s="0" t="s">
        <v>7321</v>
      </c>
      <c r="AI839" s="0" t="s">
        <v>5533</v>
      </c>
      <c r="AJ839" s="0" t="s">
        <v>7322</v>
      </c>
      <c r="AK839" s="0" t="s">
        <v>7323</v>
      </c>
      <c r="AL839" s="0" t="s">
        <v>7009</v>
      </c>
      <c r="AN839" s="0" t="s">
        <v>7324</v>
      </c>
      <c r="AO839" s="0" t="s">
        <v>7325</v>
      </c>
      <c r="AP839" s="0" t="s">
        <v>240</v>
      </c>
      <c r="AQ839" s="0" t="s">
        <v>240</v>
      </c>
      <c r="AR839" s="0" t="s">
        <v>240</v>
      </c>
      <c r="AS839" s="0" t="s">
        <v>240</v>
      </c>
      <c r="AT839" s="0" t="s">
        <v>240</v>
      </c>
      <c r="AU839" s="0" t="s">
        <v>240</v>
      </c>
      <c r="AV839" s="0" t="s">
        <v>240</v>
      </c>
      <c r="AW839" s="0" t="s">
        <v>240</v>
      </c>
      <c r="AX839" s="0" t="s">
        <v>240</v>
      </c>
      <c r="AY839" s="0" t="s">
        <v>240</v>
      </c>
      <c r="AZ839" s="0" t="s">
        <v>240</v>
      </c>
      <c r="BA839" s="0" t="s">
        <v>240</v>
      </c>
      <c r="BB839" s="0" t="s">
        <v>240</v>
      </c>
      <c r="BC839" s="0" t="s">
        <v>240</v>
      </c>
      <c r="BD839" s="0" t="s">
        <v>240</v>
      </c>
      <c r="BE839" s="0" t="s">
        <v>240</v>
      </c>
      <c r="BF839" s="0" t="s">
        <v>240</v>
      </c>
      <c r="BG839" s="0" t="s">
        <v>240</v>
      </c>
      <c r="BH839" s="0" t="s">
        <v>240</v>
      </c>
      <c r="BI839" s="0" t="s">
        <v>240</v>
      </c>
      <c r="BJ839" s="0" t="s">
        <v>240</v>
      </c>
      <c r="BK839" s="0" t="s">
        <v>240</v>
      </c>
      <c r="BL839" s="0" t="s">
        <v>240</v>
      </c>
      <c r="BM839" s="0" t="s">
        <v>240</v>
      </c>
      <c r="BN839" s="0" t="s">
        <v>240</v>
      </c>
      <c r="BO839" s="0" t="s">
        <v>240</v>
      </c>
      <c r="BP839" s="0" t="s">
        <v>240</v>
      </c>
      <c r="BQ839" s="0" t="s">
        <v>240</v>
      </c>
      <c r="BR839" s="0" t="s">
        <v>240</v>
      </c>
      <c r="BS839" s="0" t="s">
        <v>240</v>
      </c>
      <c r="BT839" s="0" t="s">
        <v>240</v>
      </c>
      <c r="CS839" s="0" t="s">
        <v>240</v>
      </c>
      <c r="CT839" s="0" t="s">
        <v>5496</v>
      </c>
      <c r="CU839" s="0" t="s">
        <v>5497</v>
      </c>
      <c r="CV839" s="0" t="s">
        <v>443</v>
      </c>
      <c r="CW839" s="0" t="s">
        <v>5527</v>
      </c>
      <c r="CX839" s="0" t="s">
        <v>5528</v>
      </c>
      <c r="CY839" s="0" t="s">
        <v>443</v>
      </c>
      <c r="CZ839" s="0" t="s">
        <v>299</v>
      </c>
      <c r="DA839" s="0" t="s">
        <v>5529</v>
      </c>
      <c r="DB839" s="0" t="s">
        <v>5527</v>
      </c>
      <c r="DC839" s="0" t="s">
        <v>384</v>
      </c>
      <c r="DD839" s="0" t="s">
        <v>300</v>
      </c>
      <c r="DE839" s="0" t="s">
        <v>7326</v>
      </c>
    </row>
    <row customHeight="1" ht="11.25">
      <c r="A840" s="1441" t="s">
        <v>240</v>
      </c>
      <c r="B840" s="0" t="s">
        <v>240</v>
      </c>
      <c r="C840" s="0" t="s">
        <v>240</v>
      </c>
      <c r="D840" s="0" t="s">
        <v>240</v>
      </c>
      <c r="E840" s="0" t="s">
        <v>240</v>
      </c>
      <c r="F840" s="0" t="s">
        <v>240</v>
      </c>
      <c r="G840" s="0" t="s">
        <v>240</v>
      </c>
      <c r="H840" s="0" t="s">
        <v>240</v>
      </c>
      <c r="I840" s="0" t="s">
        <v>7004</v>
      </c>
      <c r="J840" s="0" t="s">
        <v>240</v>
      </c>
      <c r="K840" s="0" t="s">
        <v>240</v>
      </c>
      <c r="L840" s="0" t="s">
        <v>240</v>
      </c>
      <c r="M840" s="0" t="s">
        <v>240</v>
      </c>
      <c r="N840" s="0" t="s">
        <v>240</v>
      </c>
      <c r="O840" s="0" t="s">
        <v>240</v>
      </c>
      <c r="P840" s="0" t="s">
        <v>240</v>
      </c>
      <c r="Q840" s="0" t="s">
        <v>240</v>
      </c>
      <c r="R840" s="0" t="s">
        <v>7344</v>
      </c>
      <c r="S840" s="0" t="s">
        <v>240</v>
      </c>
      <c r="T840" s="0" t="s">
        <v>240</v>
      </c>
      <c r="U840" s="0" t="s">
        <v>102</v>
      </c>
      <c r="V840" s="0" t="s">
        <v>240</v>
      </c>
      <c r="W840" s="0" t="s">
        <v>240</v>
      </c>
      <c r="X840" s="0" t="s">
        <v>546</v>
      </c>
      <c r="Y840" s="0" t="s">
        <v>240</v>
      </c>
      <c r="Z840" s="0" t="s">
        <v>161</v>
      </c>
      <c r="AA840" s="0" t="s">
        <v>152</v>
      </c>
      <c r="AB840" s="0" t="s">
        <v>152</v>
      </c>
      <c r="AC840" s="0" t="s">
        <v>3389</v>
      </c>
      <c r="AD840" s="0" t="s">
        <v>3389</v>
      </c>
      <c r="AE840" s="0" t="s">
        <v>3390</v>
      </c>
      <c r="AF840" s="0" t="s">
        <v>5519</v>
      </c>
      <c r="AG840" s="0" t="s">
        <v>5520</v>
      </c>
      <c r="AH840" s="0" t="s">
        <v>7345</v>
      </c>
      <c r="AI840" s="0" t="s">
        <v>5533</v>
      </c>
      <c r="AJ840" s="0" t="s">
        <v>7346</v>
      </c>
      <c r="AK840" s="0" t="s">
        <v>5598</v>
      </c>
      <c r="AL840" s="0" t="s">
        <v>7009</v>
      </c>
      <c r="AN840" s="0" t="s">
        <v>7324</v>
      </c>
      <c r="AO840" s="0" t="s">
        <v>7325</v>
      </c>
      <c r="AP840" s="0" t="s">
        <v>240</v>
      </c>
      <c r="AQ840" s="0" t="s">
        <v>240</v>
      </c>
      <c r="AR840" s="0" t="s">
        <v>240</v>
      </c>
      <c r="AS840" s="0" t="s">
        <v>240</v>
      </c>
      <c r="AT840" s="0" t="s">
        <v>240</v>
      </c>
      <c r="AU840" s="0" t="s">
        <v>240</v>
      </c>
      <c r="AV840" s="0" t="s">
        <v>240</v>
      </c>
      <c r="AW840" s="0" t="s">
        <v>240</v>
      </c>
      <c r="AX840" s="0" t="s">
        <v>240</v>
      </c>
      <c r="AY840" s="0" t="s">
        <v>240</v>
      </c>
      <c r="AZ840" s="0" t="s">
        <v>240</v>
      </c>
      <c r="BA840" s="0" t="s">
        <v>240</v>
      </c>
      <c r="BB840" s="0" t="s">
        <v>240</v>
      </c>
      <c r="BC840" s="0" t="s">
        <v>240</v>
      </c>
      <c r="BD840" s="0" t="s">
        <v>240</v>
      </c>
      <c r="BE840" s="0" t="s">
        <v>240</v>
      </c>
      <c r="BF840" s="0" t="s">
        <v>240</v>
      </c>
      <c r="BG840" s="0" t="s">
        <v>240</v>
      </c>
      <c r="BH840" s="0" t="s">
        <v>240</v>
      </c>
      <c r="BI840" s="0" t="s">
        <v>240</v>
      </c>
      <c r="BJ840" s="0" t="s">
        <v>240</v>
      </c>
      <c r="BK840" s="0" t="s">
        <v>240</v>
      </c>
      <c r="BL840" s="0" t="s">
        <v>240</v>
      </c>
      <c r="BM840" s="0" t="s">
        <v>240</v>
      </c>
      <c r="BN840" s="0" t="s">
        <v>240</v>
      </c>
      <c r="BO840" s="0" t="s">
        <v>240</v>
      </c>
      <c r="BP840" s="0" t="s">
        <v>240</v>
      </c>
      <c r="BQ840" s="0" t="s">
        <v>240</v>
      </c>
      <c r="BR840" s="0" t="s">
        <v>240</v>
      </c>
      <c r="BS840" s="0" t="s">
        <v>240</v>
      </c>
      <c r="BT840" s="0" t="s">
        <v>240</v>
      </c>
      <c r="CS840" s="0" t="s">
        <v>240</v>
      </c>
      <c r="CT840" s="0" t="s">
        <v>5496</v>
      </c>
      <c r="CU840" s="0" t="s">
        <v>5497</v>
      </c>
      <c r="CV840" s="0" t="s">
        <v>443</v>
      </c>
      <c r="CW840" s="0" t="s">
        <v>5527</v>
      </c>
      <c r="CX840" s="0" t="s">
        <v>5528</v>
      </c>
      <c r="CY840" s="0" t="s">
        <v>443</v>
      </c>
      <c r="CZ840" s="0" t="s">
        <v>299</v>
      </c>
      <c r="DA840" s="0" t="s">
        <v>5529</v>
      </c>
      <c r="DB840" s="0" t="s">
        <v>5527</v>
      </c>
      <c r="DC840" s="0" t="s">
        <v>384</v>
      </c>
      <c r="DD840" s="0" t="s">
        <v>300</v>
      </c>
      <c r="DE840" s="0" t="s">
        <v>7347</v>
      </c>
    </row>
    <row customHeight="1" ht="11.25">
      <c r="A841" s="1441" t="s">
        <v>240</v>
      </c>
      <c r="B841" s="0" t="s">
        <v>240</v>
      </c>
      <c r="C841" s="0" t="s">
        <v>240</v>
      </c>
      <c r="D841" s="0" t="s">
        <v>240</v>
      </c>
      <c r="E841" s="0" t="s">
        <v>240</v>
      </c>
      <c r="F841" s="0" t="s">
        <v>240</v>
      </c>
      <c r="G841" s="0" t="s">
        <v>240</v>
      </c>
      <c r="H841" s="0" t="s">
        <v>240</v>
      </c>
      <c r="I841" s="0" t="s">
        <v>7004</v>
      </c>
      <c r="J841" s="0" t="s">
        <v>240</v>
      </c>
      <c r="K841" s="0" t="s">
        <v>240</v>
      </c>
      <c r="L841" s="0" t="s">
        <v>240</v>
      </c>
      <c r="M841" s="0" t="s">
        <v>240</v>
      </c>
      <c r="N841" s="0" t="s">
        <v>240</v>
      </c>
      <c r="O841" s="0" t="s">
        <v>240</v>
      </c>
      <c r="P841" s="0" t="s">
        <v>240</v>
      </c>
      <c r="Q841" s="0" t="s">
        <v>240</v>
      </c>
      <c r="R841" s="0" t="s">
        <v>508</v>
      </c>
      <c r="S841" s="0" t="s">
        <v>240</v>
      </c>
      <c r="T841" s="0" t="s">
        <v>240</v>
      </c>
      <c r="U841" s="0" t="s">
        <v>102</v>
      </c>
      <c r="V841" s="0" t="s">
        <v>240</v>
      </c>
      <c r="W841" s="0" t="s">
        <v>240</v>
      </c>
      <c r="X841" s="0" t="s">
        <v>546</v>
      </c>
      <c r="Y841" s="0" t="s">
        <v>240</v>
      </c>
      <c r="Z841" s="0" t="s">
        <v>161</v>
      </c>
      <c r="AA841" s="0" t="s">
        <v>152</v>
      </c>
      <c r="AB841" s="0" t="s">
        <v>152</v>
      </c>
      <c r="AC841" s="0" t="s">
        <v>364</v>
      </c>
      <c r="AD841" s="0" t="s">
        <v>364</v>
      </c>
      <c r="AE841" s="0" t="s">
        <v>365</v>
      </c>
      <c r="AF841" s="0" t="s">
        <v>5486</v>
      </c>
      <c r="AG841" s="0" t="s">
        <v>5487</v>
      </c>
      <c r="AH841" s="0" t="s">
        <v>7312</v>
      </c>
      <c r="AI841" s="0" t="s">
        <v>5533</v>
      </c>
      <c r="AJ841" s="0" t="s">
        <v>6200</v>
      </c>
      <c r="AK841" s="0" t="s">
        <v>7313</v>
      </c>
      <c r="AL841" s="0" t="s">
        <v>7009</v>
      </c>
      <c r="AN841" s="0" t="s">
        <v>5756</v>
      </c>
      <c r="AO841" s="0" t="s">
        <v>6481</v>
      </c>
      <c r="AP841" s="0" t="s">
        <v>240</v>
      </c>
      <c r="AQ841" s="0" t="s">
        <v>240</v>
      </c>
      <c r="AR841" s="0" t="s">
        <v>240</v>
      </c>
      <c r="AS841" s="0" t="s">
        <v>240</v>
      </c>
      <c r="AT841" s="0" t="s">
        <v>240</v>
      </c>
      <c r="AU841" s="0" t="s">
        <v>240</v>
      </c>
      <c r="AV841" s="0" t="s">
        <v>240</v>
      </c>
      <c r="AW841" s="0" t="s">
        <v>240</v>
      </c>
      <c r="AX841" s="0" t="s">
        <v>240</v>
      </c>
      <c r="AY841" s="0" t="s">
        <v>240</v>
      </c>
      <c r="AZ841" s="0" t="s">
        <v>240</v>
      </c>
      <c r="BA841" s="0" t="s">
        <v>240</v>
      </c>
      <c r="BB841" s="0" t="s">
        <v>240</v>
      </c>
      <c r="BC841" s="0" t="s">
        <v>240</v>
      </c>
      <c r="BD841" s="0" t="s">
        <v>240</v>
      </c>
      <c r="BE841" s="0" t="s">
        <v>240</v>
      </c>
      <c r="BF841" s="0" t="s">
        <v>240</v>
      </c>
      <c r="BG841" s="0" t="s">
        <v>240</v>
      </c>
      <c r="BH841" s="0" t="s">
        <v>240</v>
      </c>
      <c r="BI841" s="0" t="s">
        <v>240</v>
      </c>
      <c r="BJ841" s="0" t="s">
        <v>240</v>
      </c>
      <c r="BK841" s="0" t="s">
        <v>240</v>
      </c>
      <c r="BL841" s="0" t="s">
        <v>240</v>
      </c>
      <c r="BM841" s="0" t="s">
        <v>240</v>
      </c>
      <c r="BN841" s="0" t="s">
        <v>240</v>
      </c>
      <c r="BO841" s="0" t="s">
        <v>240</v>
      </c>
      <c r="BP841" s="0" t="s">
        <v>240</v>
      </c>
      <c r="BQ841" s="0" t="s">
        <v>240</v>
      </c>
      <c r="BR841" s="0" t="s">
        <v>240</v>
      </c>
      <c r="BS841" s="0" t="s">
        <v>240</v>
      </c>
      <c r="BT841" s="0" t="s">
        <v>240</v>
      </c>
      <c r="CS841" s="0" t="s">
        <v>240</v>
      </c>
      <c r="CT841" s="0" t="s">
        <v>5496</v>
      </c>
      <c r="CU841" s="0" t="s">
        <v>5497</v>
      </c>
      <c r="CV841" s="0" t="s">
        <v>443</v>
      </c>
      <c r="CW841" s="0" t="s">
        <v>5498</v>
      </c>
      <c r="CX841" s="0" t="s">
        <v>229</v>
      </c>
      <c r="CY841" s="0" t="s">
        <v>443</v>
      </c>
      <c r="CZ841" s="0" t="s">
        <v>230</v>
      </c>
      <c r="DA841" s="0" t="s">
        <v>444</v>
      </c>
      <c r="DB841" s="0" t="s">
        <v>5498</v>
      </c>
      <c r="DC841" s="0" t="s">
        <v>384</v>
      </c>
      <c r="DD841" s="0" t="s">
        <v>300</v>
      </c>
      <c r="DE841" s="0" t="s">
        <v>509</v>
      </c>
    </row>
    <row customHeight="1" ht="11.25">
      <c r="A842" s="1441" t="s">
        <v>240</v>
      </c>
      <c r="B842" s="0" t="s">
        <v>240</v>
      </c>
      <c r="C842" s="0" t="s">
        <v>240</v>
      </c>
      <c r="D842" s="0" t="s">
        <v>240</v>
      </c>
      <c r="E842" s="0" t="s">
        <v>240</v>
      </c>
      <c r="F842" s="0" t="s">
        <v>240</v>
      </c>
      <c r="G842" s="0" t="s">
        <v>240</v>
      </c>
      <c r="H842" s="0" t="s">
        <v>240</v>
      </c>
      <c r="I842" s="0" t="s">
        <v>7004</v>
      </c>
      <c r="J842" s="0" t="s">
        <v>240</v>
      </c>
      <c r="K842" s="0" t="s">
        <v>240</v>
      </c>
      <c r="L842" s="0" t="s">
        <v>240</v>
      </c>
      <c r="M842" s="0" t="s">
        <v>240</v>
      </c>
      <c r="N842" s="0" t="s">
        <v>240</v>
      </c>
      <c r="O842" s="0" t="s">
        <v>240</v>
      </c>
      <c r="P842" s="0" t="s">
        <v>240</v>
      </c>
      <c r="Q842" s="0" t="s">
        <v>240</v>
      </c>
      <c r="R842" s="0" t="s">
        <v>524</v>
      </c>
      <c r="S842" s="0" t="s">
        <v>240</v>
      </c>
      <c r="T842" s="0" t="s">
        <v>240</v>
      </c>
      <c r="U842" s="0" t="s">
        <v>102</v>
      </c>
      <c r="V842" s="0" t="s">
        <v>240</v>
      </c>
      <c r="W842" s="0" t="s">
        <v>240</v>
      </c>
      <c r="X842" s="0" t="s">
        <v>546</v>
      </c>
      <c r="Y842" s="0" t="s">
        <v>240</v>
      </c>
      <c r="Z842" s="0" t="s">
        <v>161</v>
      </c>
      <c r="AA842" s="0" t="s">
        <v>152</v>
      </c>
      <c r="AB842" s="0" t="s">
        <v>152</v>
      </c>
      <c r="AC842" s="0" t="s">
        <v>364</v>
      </c>
      <c r="AD842" s="0" t="s">
        <v>364</v>
      </c>
      <c r="AE842" s="0" t="s">
        <v>365</v>
      </c>
      <c r="AF842" s="0" t="s">
        <v>5486</v>
      </c>
      <c r="AG842" s="0" t="s">
        <v>5487</v>
      </c>
      <c r="AH842" s="0" t="s">
        <v>7316</v>
      </c>
      <c r="AI842" s="0" t="s">
        <v>7317</v>
      </c>
      <c r="AJ842" s="0" t="s">
        <v>7054</v>
      </c>
      <c r="AK842" s="0" t="s">
        <v>7318</v>
      </c>
      <c r="AL842" s="0" t="s">
        <v>7027</v>
      </c>
      <c r="AN842" s="0" t="s">
        <v>7319</v>
      </c>
      <c r="AO842" s="0" t="s">
        <v>5746</v>
      </c>
      <c r="AP842" s="0" t="s">
        <v>240</v>
      </c>
      <c r="AQ842" s="0" t="s">
        <v>240</v>
      </c>
      <c r="AR842" s="0" t="s">
        <v>240</v>
      </c>
      <c r="AS842" s="0" t="s">
        <v>240</v>
      </c>
      <c r="AT842" s="0" t="s">
        <v>240</v>
      </c>
      <c r="AU842" s="0" t="s">
        <v>240</v>
      </c>
      <c r="AV842" s="0" t="s">
        <v>240</v>
      </c>
      <c r="AW842" s="0" t="s">
        <v>240</v>
      </c>
      <c r="AX842" s="0" t="s">
        <v>240</v>
      </c>
      <c r="AY842" s="0" t="s">
        <v>240</v>
      </c>
      <c r="AZ842" s="0" t="s">
        <v>240</v>
      </c>
      <c r="BA842" s="0" t="s">
        <v>240</v>
      </c>
      <c r="BB842" s="0" t="s">
        <v>240</v>
      </c>
      <c r="BC842" s="0" t="s">
        <v>240</v>
      </c>
      <c r="BD842" s="0" t="s">
        <v>240</v>
      </c>
      <c r="BE842" s="0" t="s">
        <v>240</v>
      </c>
      <c r="BF842" s="0" t="s">
        <v>240</v>
      </c>
      <c r="BG842" s="0" t="s">
        <v>240</v>
      </c>
      <c r="BH842" s="0" t="s">
        <v>240</v>
      </c>
      <c r="BI842" s="0" t="s">
        <v>240</v>
      </c>
      <c r="BJ842" s="0" t="s">
        <v>240</v>
      </c>
      <c r="BK842" s="0" t="s">
        <v>240</v>
      </c>
      <c r="BL842" s="0" t="s">
        <v>240</v>
      </c>
      <c r="BM842" s="0" t="s">
        <v>240</v>
      </c>
      <c r="BN842" s="0" t="s">
        <v>240</v>
      </c>
      <c r="BO842" s="0" t="s">
        <v>240</v>
      </c>
      <c r="BP842" s="0" t="s">
        <v>240</v>
      </c>
      <c r="BQ842" s="0" t="s">
        <v>240</v>
      </c>
      <c r="BR842" s="0" t="s">
        <v>240</v>
      </c>
      <c r="BS842" s="0" t="s">
        <v>240</v>
      </c>
      <c r="BT842" s="0" t="s">
        <v>240</v>
      </c>
      <c r="CS842" s="0" t="s">
        <v>240</v>
      </c>
      <c r="CT842" s="0" t="s">
        <v>5496</v>
      </c>
      <c r="CU842" s="0" t="s">
        <v>5497</v>
      </c>
      <c r="CV842" s="0" t="s">
        <v>443</v>
      </c>
      <c r="CW842" s="0" t="s">
        <v>5498</v>
      </c>
      <c r="CX842" s="0" t="s">
        <v>229</v>
      </c>
      <c r="CY842" s="0" t="s">
        <v>443</v>
      </c>
      <c r="CZ842" s="0" t="s">
        <v>230</v>
      </c>
      <c r="DA842" s="0" t="s">
        <v>444</v>
      </c>
      <c r="DB842" s="0" t="s">
        <v>5498</v>
      </c>
      <c r="DC842" s="0" t="s">
        <v>384</v>
      </c>
      <c r="DD842" s="0" t="s">
        <v>300</v>
      </c>
      <c r="DE842" s="0" t="s">
        <v>525</v>
      </c>
    </row>
    <row customHeight="1" ht="11.25">
      <c r="A843" s="1441" t="s">
        <v>240</v>
      </c>
      <c r="B843" s="0" t="s">
        <v>240</v>
      </c>
      <c r="C843" s="0" t="s">
        <v>240</v>
      </c>
      <c r="D843" s="0" t="s">
        <v>240</v>
      </c>
      <c r="E843" s="0" t="s">
        <v>240</v>
      </c>
      <c r="F843" s="0" t="s">
        <v>240</v>
      </c>
      <c r="G843" s="0" t="s">
        <v>240</v>
      </c>
      <c r="H843" s="0" t="s">
        <v>240</v>
      </c>
      <c r="I843" s="0" t="s">
        <v>7004</v>
      </c>
      <c r="J843" s="0" t="s">
        <v>240</v>
      </c>
      <c r="K843" s="0" t="s">
        <v>240</v>
      </c>
      <c r="L843" s="0" t="s">
        <v>240</v>
      </c>
      <c r="M843" s="0" t="s">
        <v>240</v>
      </c>
      <c r="N843" s="0" t="s">
        <v>240</v>
      </c>
      <c r="O843" s="0" t="s">
        <v>240</v>
      </c>
      <c r="P843" s="0" t="s">
        <v>240</v>
      </c>
      <c r="Q843" s="0" t="s">
        <v>240</v>
      </c>
      <c r="R843" s="0" t="s">
        <v>504</v>
      </c>
      <c r="S843" s="0" t="s">
        <v>240</v>
      </c>
      <c r="T843" s="0" t="s">
        <v>240</v>
      </c>
      <c r="U843" s="0" t="s">
        <v>102</v>
      </c>
      <c r="V843" s="0" t="s">
        <v>240</v>
      </c>
      <c r="W843" s="0" t="s">
        <v>240</v>
      </c>
      <c r="X843" s="0" t="s">
        <v>546</v>
      </c>
      <c r="Y843" s="0" t="s">
        <v>240</v>
      </c>
      <c r="Z843" s="0" t="s">
        <v>161</v>
      </c>
      <c r="AA843" s="0" t="s">
        <v>152</v>
      </c>
      <c r="AB843" s="0" t="s">
        <v>152</v>
      </c>
      <c r="AC843" s="0" t="s">
        <v>364</v>
      </c>
      <c r="AD843" s="0" t="s">
        <v>364</v>
      </c>
      <c r="AE843" s="0" t="s">
        <v>365</v>
      </c>
      <c r="AF843" s="0" t="s">
        <v>5486</v>
      </c>
      <c r="AG843" s="0" t="s">
        <v>5487</v>
      </c>
      <c r="AH843" s="0" t="s">
        <v>7327</v>
      </c>
      <c r="AI843" s="0" t="s">
        <v>7328</v>
      </c>
      <c r="AJ843" s="0" t="s">
        <v>6200</v>
      </c>
      <c r="AK843" s="0" t="s">
        <v>5504</v>
      </c>
      <c r="AL843" s="0" t="s">
        <v>7009</v>
      </c>
      <c r="AN843" s="0" t="s">
        <v>5756</v>
      </c>
      <c r="AO843" s="0" t="s">
        <v>7126</v>
      </c>
      <c r="AP843" s="0" t="s">
        <v>240</v>
      </c>
      <c r="AQ843" s="0" t="s">
        <v>240</v>
      </c>
      <c r="AR843" s="0" t="s">
        <v>240</v>
      </c>
      <c r="AS843" s="0" t="s">
        <v>240</v>
      </c>
      <c r="AT843" s="0" t="s">
        <v>240</v>
      </c>
      <c r="AU843" s="0" t="s">
        <v>240</v>
      </c>
      <c r="AV843" s="0" t="s">
        <v>240</v>
      </c>
      <c r="AW843" s="0" t="s">
        <v>240</v>
      </c>
      <c r="AX843" s="0" t="s">
        <v>240</v>
      </c>
      <c r="AY843" s="0" t="s">
        <v>240</v>
      </c>
      <c r="AZ843" s="0" t="s">
        <v>240</v>
      </c>
      <c r="BA843" s="0" t="s">
        <v>240</v>
      </c>
      <c r="BB843" s="0" t="s">
        <v>240</v>
      </c>
      <c r="BC843" s="0" t="s">
        <v>240</v>
      </c>
      <c r="BD843" s="0" t="s">
        <v>240</v>
      </c>
      <c r="BE843" s="0" t="s">
        <v>240</v>
      </c>
      <c r="BF843" s="0" t="s">
        <v>240</v>
      </c>
      <c r="BG843" s="0" t="s">
        <v>240</v>
      </c>
      <c r="BH843" s="0" t="s">
        <v>240</v>
      </c>
      <c r="BI843" s="0" t="s">
        <v>240</v>
      </c>
      <c r="BJ843" s="0" t="s">
        <v>240</v>
      </c>
      <c r="BK843" s="0" t="s">
        <v>240</v>
      </c>
      <c r="BL843" s="0" t="s">
        <v>240</v>
      </c>
      <c r="BM843" s="0" t="s">
        <v>240</v>
      </c>
      <c r="BN843" s="0" t="s">
        <v>240</v>
      </c>
      <c r="BO843" s="0" t="s">
        <v>240</v>
      </c>
      <c r="BP843" s="0" t="s">
        <v>240</v>
      </c>
      <c r="BQ843" s="0" t="s">
        <v>240</v>
      </c>
      <c r="BR843" s="0" t="s">
        <v>240</v>
      </c>
      <c r="BS843" s="0" t="s">
        <v>240</v>
      </c>
      <c r="BT843" s="0" t="s">
        <v>240</v>
      </c>
      <c r="CS843" s="0" t="s">
        <v>240</v>
      </c>
      <c r="CT843" s="0" t="s">
        <v>5496</v>
      </c>
      <c r="CU843" s="0" t="s">
        <v>5497</v>
      </c>
      <c r="CV843" s="0" t="s">
        <v>443</v>
      </c>
      <c r="CW843" s="0" t="s">
        <v>5498</v>
      </c>
      <c r="CX843" s="0" t="s">
        <v>229</v>
      </c>
      <c r="CY843" s="0" t="s">
        <v>443</v>
      </c>
      <c r="CZ843" s="0" t="s">
        <v>230</v>
      </c>
      <c r="DA843" s="0" t="s">
        <v>444</v>
      </c>
      <c r="DB843" s="0" t="s">
        <v>5498</v>
      </c>
      <c r="DC843" s="0" t="s">
        <v>384</v>
      </c>
      <c r="DD843" s="0" t="s">
        <v>300</v>
      </c>
      <c r="DE843" s="0" t="s">
        <v>505</v>
      </c>
    </row>
    <row customHeight="1" ht="11.25">
      <c r="A844" s="1441" t="s">
        <v>240</v>
      </c>
      <c r="B844" s="0" t="s">
        <v>240</v>
      </c>
      <c r="C844" s="0" t="s">
        <v>240</v>
      </c>
      <c r="D844" s="0" t="s">
        <v>240</v>
      </c>
      <c r="E844" s="0" t="s">
        <v>240</v>
      </c>
      <c r="F844" s="0" t="s">
        <v>240</v>
      </c>
      <c r="G844" s="0" t="s">
        <v>240</v>
      </c>
      <c r="H844" s="0" t="s">
        <v>240</v>
      </c>
      <c r="I844" s="0" t="s">
        <v>7004</v>
      </c>
      <c r="J844" s="0" t="s">
        <v>240</v>
      </c>
      <c r="K844" s="0" t="s">
        <v>240</v>
      </c>
      <c r="L844" s="0" t="s">
        <v>240</v>
      </c>
      <c r="M844" s="0" t="s">
        <v>240</v>
      </c>
      <c r="N844" s="0" t="s">
        <v>240</v>
      </c>
      <c r="O844" s="0" t="s">
        <v>240</v>
      </c>
      <c r="P844" s="0" t="s">
        <v>240</v>
      </c>
      <c r="Q844" s="0" t="s">
        <v>240</v>
      </c>
      <c r="R844" s="0" t="s">
        <v>7348</v>
      </c>
      <c r="S844" s="0" t="s">
        <v>240</v>
      </c>
      <c r="T844" s="0" t="s">
        <v>240</v>
      </c>
      <c r="U844" s="0" t="s">
        <v>102</v>
      </c>
      <c r="V844" s="0" t="s">
        <v>240</v>
      </c>
      <c r="W844" s="0" t="s">
        <v>240</v>
      </c>
      <c r="X844" s="0" t="s">
        <v>546</v>
      </c>
      <c r="Y844" s="0" t="s">
        <v>240</v>
      </c>
      <c r="Z844" s="0" t="s">
        <v>161</v>
      </c>
      <c r="AA844" s="0" t="s">
        <v>152</v>
      </c>
      <c r="AB844" s="0" t="s">
        <v>152</v>
      </c>
      <c r="AC844" s="0" t="s">
        <v>3389</v>
      </c>
      <c r="AD844" s="0" t="s">
        <v>3389</v>
      </c>
      <c r="AE844" s="0" t="s">
        <v>3390</v>
      </c>
      <c r="AF844" s="0" t="s">
        <v>5519</v>
      </c>
      <c r="AG844" s="0" t="s">
        <v>5520</v>
      </c>
      <c r="AH844" s="0" t="s">
        <v>7349</v>
      </c>
      <c r="AI844" s="0" t="s">
        <v>7350</v>
      </c>
      <c r="AJ844" s="0" t="s">
        <v>7351</v>
      </c>
      <c r="AK844" s="0" t="s">
        <v>7352</v>
      </c>
      <c r="AL844" s="0" t="s">
        <v>7009</v>
      </c>
      <c r="AN844" s="0" t="s">
        <v>5599</v>
      </c>
      <c r="AO844" s="0" t="s">
        <v>7353</v>
      </c>
      <c r="AP844" s="0" t="s">
        <v>240</v>
      </c>
      <c r="AQ844" s="0" t="s">
        <v>240</v>
      </c>
      <c r="AR844" s="0" t="s">
        <v>240</v>
      </c>
      <c r="AS844" s="0" t="s">
        <v>240</v>
      </c>
      <c r="AT844" s="0" t="s">
        <v>240</v>
      </c>
      <c r="AU844" s="0" t="s">
        <v>240</v>
      </c>
      <c r="AV844" s="0" t="s">
        <v>240</v>
      </c>
      <c r="AW844" s="0" t="s">
        <v>240</v>
      </c>
      <c r="AX844" s="0" t="s">
        <v>240</v>
      </c>
      <c r="AY844" s="0" t="s">
        <v>240</v>
      </c>
      <c r="AZ844" s="0" t="s">
        <v>240</v>
      </c>
      <c r="BA844" s="0" t="s">
        <v>240</v>
      </c>
      <c r="BB844" s="0" t="s">
        <v>240</v>
      </c>
      <c r="BC844" s="0" t="s">
        <v>240</v>
      </c>
      <c r="BD844" s="0" t="s">
        <v>240</v>
      </c>
      <c r="BE844" s="0" t="s">
        <v>240</v>
      </c>
      <c r="BF844" s="0" t="s">
        <v>240</v>
      </c>
      <c r="BG844" s="0" t="s">
        <v>240</v>
      </c>
      <c r="BH844" s="0" t="s">
        <v>240</v>
      </c>
      <c r="BI844" s="0" t="s">
        <v>240</v>
      </c>
      <c r="BJ844" s="0" t="s">
        <v>240</v>
      </c>
      <c r="BK844" s="0" t="s">
        <v>240</v>
      </c>
      <c r="BL844" s="0" t="s">
        <v>240</v>
      </c>
      <c r="BM844" s="0" t="s">
        <v>240</v>
      </c>
      <c r="BN844" s="0" t="s">
        <v>240</v>
      </c>
      <c r="BO844" s="0" t="s">
        <v>240</v>
      </c>
      <c r="BP844" s="0" t="s">
        <v>240</v>
      </c>
      <c r="BQ844" s="0" t="s">
        <v>240</v>
      </c>
      <c r="BR844" s="0" t="s">
        <v>240</v>
      </c>
      <c r="BS844" s="0" t="s">
        <v>240</v>
      </c>
      <c r="BT844" s="0" t="s">
        <v>240</v>
      </c>
      <c r="CS844" s="0" t="s">
        <v>240</v>
      </c>
      <c r="CT844" s="0" t="s">
        <v>5496</v>
      </c>
      <c r="CU844" s="0" t="s">
        <v>5497</v>
      </c>
      <c r="CV844" s="0" t="s">
        <v>443</v>
      </c>
      <c r="CW844" s="0" t="s">
        <v>5527</v>
      </c>
      <c r="CX844" s="0" t="s">
        <v>5528</v>
      </c>
      <c r="CY844" s="0" t="s">
        <v>443</v>
      </c>
      <c r="CZ844" s="0" t="s">
        <v>299</v>
      </c>
      <c r="DA844" s="0" t="s">
        <v>5529</v>
      </c>
      <c r="DB844" s="0" t="s">
        <v>5527</v>
      </c>
      <c r="DC844" s="0" t="s">
        <v>384</v>
      </c>
      <c r="DD844" s="0" t="s">
        <v>300</v>
      </c>
      <c r="DE844" s="0" t="s">
        <v>7354</v>
      </c>
    </row>
    <row customHeight="1" ht="11.25">
      <c r="A845" s="1441" t="s">
        <v>240</v>
      </c>
      <c r="B845" s="0" t="s">
        <v>240</v>
      </c>
      <c r="C845" s="0" t="s">
        <v>240</v>
      </c>
      <c r="D845" s="0" t="s">
        <v>240</v>
      </c>
      <c r="E845" s="0" t="s">
        <v>240</v>
      </c>
      <c r="F845" s="0" t="s">
        <v>240</v>
      </c>
      <c r="G845" s="0" t="s">
        <v>240</v>
      </c>
      <c r="H845" s="0" t="s">
        <v>240</v>
      </c>
      <c r="I845" s="0" t="s">
        <v>7004</v>
      </c>
      <c r="J845" s="0" t="s">
        <v>240</v>
      </c>
      <c r="K845" s="0" t="s">
        <v>240</v>
      </c>
      <c r="L845" s="0" t="s">
        <v>240</v>
      </c>
      <c r="M845" s="0" t="s">
        <v>240</v>
      </c>
      <c r="N845" s="0" t="s">
        <v>240</v>
      </c>
      <c r="O845" s="0" t="s">
        <v>240</v>
      </c>
      <c r="P845" s="0" t="s">
        <v>240</v>
      </c>
      <c r="Q845" s="0" t="s">
        <v>240</v>
      </c>
      <c r="R845" s="0" t="s">
        <v>7363</v>
      </c>
      <c r="S845" s="0" t="s">
        <v>240</v>
      </c>
      <c r="T845" s="0" t="s">
        <v>240</v>
      </c>
      <c r="U845" s="0" t="s">
        <v>102</v>
      </c>
      <c r="V845" s="0" t="s">
        <v>240</v>
      </c>
      <c r="W845" s="0" t="s">
        <v>240</v>
      </c>
      <c r="X845" s="0" t="s">
        <v>546</v>
      </c>
      <c r="Y845" s="0" t="s">
        <v>240</v>
      </c>
      <c r="Z845" s="0" t="s">
        <v>161</v>
      </c>
      <c r="AA845" s="0" t="s">
        <v>152</v>
      </c>
      <c r="AB845" s="0" t="s">
        <v>152</v>
      </c>
      <c r="AC845" s="0" t="s">
        <v>3389</v>
      </c>
      <c r="AD845" s="0" t="s">
        <v>3389</v>
      </c>
      <c r="AE845" s="0" t="s">
        <v>3390</v>
      </c>
      <c r="AF845" s="0" t="s">
        <v>5519</v>
      </c>
      <c r="AG845" s="0" t="s">
        <v>5520</v>
      </c>
      <c r="AH845" s="0" t="s">
        <v>7040</v>
      </c>
      <c r="AI845" s="0" t="s">
        <v>5533</v>
      </c>
      <c r="AJ845" s="0" t="s">
        <v>7051</v>
      </c>
      <c r="AK845" s="0" t="s">
        <v>7364</v>
      </c>
      <c r="AL845" s="0" t="s">
        <v>7027</v>
      </c>
      <c r="AN845" s="0" t="s">
        <v>6470</v>
      </c>
      <c r="AO845" s="0" t="s">
        <v>7053</v>
      </c>
      <c r="AP845" s="0" t="s">
        <v>240</v>
      </c>
      <c r="AQ845" s="0" t="s">
        <v>240</v>
      </c>
      <c r="AR845" s="0" t="s">
        <v>240</v>
      </c>
      <c r="AS845" s="0" t="s">
        <v>240</v>
      </c>
      <c r="AT845" s="0" t="s">
        <v>240</v>
      </c>
      <c r="AU845" s="0" t="s">
        <v>240</v>
      </c>
      <c r="AV845" s="0" t="s">
        <v>240</v>
      </c>
      <c r="AW845" s="0" t="s">
        <v>240</v>
      </c>
      <c r="AX845" s="0" t="s">
        <v>240</v>
      </c>
      <c r="AY845" s="0" t="s">
        <v>240</v>
      </c>
      <c r="AZ845" s="0" t="s">
        <v>240</v>
      </c>
      <c r="BA845" s="0" t="s">
        <v>240</v>
      </c>
      <c r="BB845" s="0" t="s">
        <v>240</v>
      </c>
      <c r="BC845" s="0" t="s">
        <v>240</v>
      </c>
      <c r="BD845" s="0" t="s">
        <v>240</v>
      </c>
      <c r="BE845" s="0" t="s">
        <v>240</v>
      </c>
      <c r="BF845" s="0" t="s">
        <v>240</v>
      </c>
      <c r="BG845" s="0" t="s">
        <v>240</v>
      </c>
      <c r="BH845" s="0" t="s">
        <v>240</v>
      </c>
      <c r="BI845" s="0" t="s">
        <v>240</v>
      </c>
      <c r="BJ845" s="0" t="s">
        <v>240</v>
      </c>
      <c r="BK845" s="0" t="s">
        <v>240</v>
      </c>
      <c r="BL845" s="0" t="s">
        <v>240</v>
      </c>
      <c r="BM845" s="0" t="s">
        <v>240</v>
      </c>
      <c r="BN845" s="0" t="s">
        <v>240</v>
      </c>
      <c r="BO845" s="0" t="s">
        <v>240</v>
      </c>
      <c r="BP845" s="0" t="s">
        <v>240</v>
      </c>
      <c r="BQ845" s="0" t="s">
        <v>240</v>
      </c>
      <c r="BR845" s="0" t="s">
        <v>240</v>
      </c>
      <c r="BS845" s="0" t="s">
        <v>240</v>
      </c>
      <c r="BT845" s="0" t="s">
        <v>240</v>
      </c>
      <c r="CS845" s="0" t="s">
        <v>240</v>
      </c>
      <c r="CT845" s="0" t="s">
        <v>5496</v>
      </c>
      <c r="CU845" s="0" t="s">
        <v>5497</v>
      </c>
      <c r="CV845" s="0" t="s">
        <v>443</v>
      </c>
      <c r="CW845" s="0" t="s">
        <v>5527</v>
      </c>
      <c r="CX845" s="0" t="s">
        <v>229</v>
      </c>
      <c r="CY845" s="0" t="s">
        <v>443</v>
      </c>
      <c r="CZ845" s="0" t="s">
        <v>299</v>
      </c>
      <c r="DA845" s="0" t="s">
        <v>5529</v>
      </c>
      <c r="DB845" s="0" t="s">
        <v>5527</v>
      </c>
      <c r="DC845" s="0" t="s">
        <v>384</v>
      </c>
      <c r="DD845" s="0" t="s">
        <v>300</v>
      </c>
      <c r="DE845" s="0" t="s">
        <v>7044</v>
      </c>
    </row>
    <row customHeight="1" ht="11.25">
      <c r="A846" s="1441" t="s">
        <v>240</v>
      </c>
      <c r="B846" s="0" t="s">
        <v>240</v>
      </c>
      <c r="C846" s="0" t="s">
        <v>240</v>
      </c>
      <c r="D846" s="0" t="s">
        <v>240</v>
      </c>
      <c r="E846" s="0" t="s">
        <v>240</v>
      </c>
      <c r="F846" s="0" t="s">
        <v>240</v>
      </c>
      <c r="G846" s="0" t="s">
        <v>240</v>
      </c>
      <c r="H846" s="0" t="s">
        <v>240</v>
      </c>
      <c r="I846" s="0" t="s">
        <v>7004</v>
      </c>
      <c r="J846" s="0" t="s">
        <v>240</v>
      </c>
      <c r="K846" s="0" t="s">
        <v>240</v>
      </c>
      <c r="L846" s="0" t="s">
        <v>240</v>
      </c>
      <c r="M846" s="0" t="s">
        <v>240</v>
      </c>
      <c r="N846" s="0" t="s">
        <v>240</v>
      </c>
      <c r="O846" s="0" t="s">
        <v>240</v>
      </c>
      <c r="P846" s="0" t="s">
        <v>240</v>
      </c>
      <c r="Q846" s="0" t="s">
        <v>240</v>
      </c>
      <c r="R846" s="0" t="s">
        <v>7045</v>
      </c>
      <c r="S846" s="0" t="s">
        <v>240</v>
      </c>
      <c r="T846" s="0" t="s">
        <v>240</v>
      </c>
      <c r="U846" s="0" t="s">
        <v>102</v>
      </c>
      <c r="V846" s="0" t="s">
        <v>240</v>
      </c>
      <c r="W846" s="0" t="s">
        <v>240</v>
      </c>
      <c r="X846" s="0" t="s">
        <v>5905</v>
      </c>
      <c r="Y846" s="0" t="s">
        <v>240</v>
      </c>
      <c r="Z846" s="0" t="s">
        <v>152</v>
      </c>
      <c r="AA846" s="0" t="s">
        <v>161</v>
      </c>
      <c r="AB846" s="0" t="s">
        <v>152</v>
      </c>
      <c r="AC846" s="0" t="s">
        <v>3389</v>
      </c>
      <c r="AD846" s="0" t="s">
        <v>3389</v>
      </c>
      <c r="AE846" s="0" t="s">
        <v>3390</v>
      </c>
      <c r="AF846" s="0" t="s">
        <v>5519</v>
      </c>
      <c r="AG846" s="0" t="s">
        <v>5520</v>
      </c>
      <c r="AH846" s="0" t="s">
        <v>7046</v>
      </c>
      <c r="AI846" s="0" t="s">
        <v>5533</v>
      </c>
      <c r="AJ846" s="0" t="s">
        <v>240</v>
      </c>
      <c r="AK846" s="0" t="s">
        <v>240</v>
      </c>
      <c r="AL846" s="0" t="s">
        <v>240</v>
      </c>
      <c r="AN846" s="0" t="s">
        <v>240</v>
      </c>
      <c r="AO846" s="0" t="s">
        <v>240</v>
      </c>
      <c r="AP846" s="0" t="s">
        <v>7047</v>
      </c>
      <c r="AQ846" s="0" t="s">
        <v>7048</v>
      </c>
      <c r="AR846" s="0" t="s">
        <v>112</v>
      </c>
      <c r="AS846" s="0" t="s">
        <v>5589</v>
      </c>
      <c r="AT846" s="0" t="s">
        <v>123</v>
      </c>
      <c r="AU846" s="0" t="s">
        <v>240</v>
      </c>
      <c r="AV846" s="0" t="s">
        <v>7045</v>
      </c>
      <c r="AW846" s="0" t="s">
        <v>3389</v>
      </c>
      <c r="AX846" s="0" t="s">
        <v>3389</v>
      </c>
      <c r="AY846" s="0" t="s">
        <v>5591</v>
      </c>
      <c r="AZ846" s="0" t="s">
        <v>5519</v>
      </c>
      <c r="BA846" s="0" t="s">
        <v>5592</v>
      </c>
      <c r="BB846" s="0" t="s">
        <v>7046</v>
      </c>
      <c r="BC846" s="0" t="s">
        <v>5533</v>
      </c>
      <c r="BD846" s="0" t="s">
        <v>5491</v>
      </c>
      <c r="BE846" s="0" t="s">
        <v>240</v>
      </c>
      <c r="BF846" s="0" t="s">
        <v>240</v>
      </c>
      <c r="BG846" s="0" t="s">
        <v>240</v>
      </c>
      <c r="BH846" s="0" t="s">
        <v>240</v>
      </c>
      <c r="BI846" s="0" t="s">
        <v>240</v>
      </c>
      <c r="BJ846" s="0" t="s">
        <v>240</v>
      </c>
      <c r="BK846" s="0" t="s">
        <v>240</v>
      </c>
      <c r="BL846" s="0" t="s">
        <v>240</v>
      </c>
      <c r="BM846" s="0" t="s">
        <v>240</v>
      </c>
      <c r="BN846" s="0" t="s">
        <v>240</v>
      </c>
      <c r="BO846" s="0" t="s">
        <v>240</v>
      </c>
      <c r="BP846" s="0" t="s">
        <v>240</v>
      </c>
      <c r="BQ846" s="0" t="s">
        <v>240</v>
      </c>
      <c r="BR846" s="0" t="s">
        <v>240</v>
      </c>
      <c r="BS846" s="0" t="s">
        <v>240</v>
      </c>
      <c r="BT846" s="0" t="s">
        <v>240</v>
      </c>
      <c r="CS846" s="0" t="s">
        <v>240</v>
      </c>
      <c r="CT846" s="0" t="s">
        <v>5496</v>
      </c>
      <c r="CU846" s="0" t="s">
        <v>5497</v>
      </c>
      <c r="CV846" s="0" t="s">
        <v>443</v>
      </c>
      <c r="CW846" s="0" t="s">
        <v>5527</v>
      </c>
      <c r="CX846" s="0" t="s">
        <v>5528</v>
      </c>
      <c r="CY846" s="0" t="s">
        <v>443</v>
      </c>
      <c r="CZ846" s="0" t="s">
        <v>299</v>
      </c>
      <c r="DA846" s="0" t="s">
        <v>5529</v>
      </c>
      <c r="DB846" s="0" t="s">
        <v>5527</v>
      </c>
      <c r="DC846" s="0" t="s">
        <v>384</v>
      </c>
      <c r="DD846" s="0" t="s">
        <v>300</v>
      </c>
      <c r="DE846" s="0" t="s">
        <v>7049</v>
      </c>
    </row>
    <row customHeight="1" ht="11.25">
      <c r="A847" s="1441" t="s">
        <v>240</v>
      </c>
      <c r="B847" s="0" t="s">
        <v>240</v>
      </c>
      <c r="C847" s="0" t="s">
        <v>240</v>
      </c>
      <c r="D847" s="0" t="s">
        <v>240</v>
      </c>
      <c r="E847" s="0" t="s">
        <v>240</v>
      </c>
      <c r="F847" s="0" t="s">
        <v>240</v>
      </c>
      <c r="G847" s="0" t="s">
        <v>240</v>
      </c>
      <c r="H847" s="0" t="s">
        <v>240</v>
      </c>
      <c r="I847" s="0" t="s">
        <v>7004</v>
      </c>
      <c r="J847" s="0" t="s">
        <v>240</v>
      </c>
      <c r="K847" s="0" t="s">
        <v>240</v>
      </c>
      <c r="L847" s="0" t="s">
        <v>240</v>
      </c>
      <c r="M847" s="0" t="s">
        <v>240</v>
      </c>
      <c r="N847" s="0" t="s">
        <v>240</v>
      </c>
      <c r="O847" s="0" t="s">
        <v>240</v>
      </c>
      <c r="P847" s="0" t="s">
        <v>240</v>
      </c>
      <c r="Q847" s="0" t="s">
        <v>240</v>
      </c>
      <c r="R847" s="0" t="s">
        <v>7050</v>
      </c>
      <c r="S847" s="0" t="s">
        <v>240</v>
      </c>
      <c r="T847" s="0" t="s">
        <v>240</v>
      </c>
      <c r="U847" s="0" t="s">
        <v>102</v>
      </c>
      <c r="V847" s="0" t="s">
        <v>240</v>
      </c>
      <c r="W847" s="0" t="s">
        <v>240</v>
      </c>
      <c r="X847" s="0" t="s">
        <v>546</v>
      </c>
      <c r="Y847" s="0" t="s">
        <v>240</v>
      </c>
      <c r="Z847" s="0" t="s">
        <v>161</v>
      </c>
      <c r="AA847" s="0" t="s">
        <v>152</v>
      </c>
      <c r="AB847" s="0" t="s">
        <v>152</v>
      </c>
      <c r="AC847" s="0" t="s">
        <v>3389</v>
      </c>
      <c r="AD847" s="0" t="s">
        <v>3389</v>
      </c>
      <c r="AE847" s="0" t="s">
        <v>3390</v>
      </c>
      <c r="AF847" s="0" t="s">
        <v>5519</v>
      </c>
      <c r="AG847" s="0" t="s">
        <v>5520</v>
      </c>
      <c r="AH847" s="0" t="s">
        <v>7040</v>
      </c>
      <c r="AI847" s="0" t="s">
        <v>5533</v>
      </c>
      <c r="AJ847" s="0" t="s">
        <v>7051</v>
      </c>
      <c r="AK847" s="0" t="s">
        <v>7052</v>
      </c>
      <c r="AL847" s="0" t="s">
        <v>7027</v>
      </c>
      <c r="AN847" s="0" t="s">
        <v>6470</v>
      </c>
      <c r="AO847" s="0" t="s">
        <v>7053</v>
      </c>
      <c r="AP847" s="0" t="s">
        <v>240</v>
      </c>
      <c r="AQ847" s="0" t="s">
        <v>240</v>
      </c>
      <c r="AR847" s="0" t="s">
        <v>240</v>
      </c>
      <c r="AS847" s="0" t="s">
        <v>240</v>
      </c>
      <c r="AT847" s="0" t="s">
        <v>240</v>
      </c>
      <c r="AU847" s="0" t="s">
        <v>240</v>
      </c>
      <c r="AV847" s="0" t="s">
        <v>240</v>
      </c>
      <c r="AW847" s="0" t="s">
        <v>240</v>
      </c>
      <c r="AX847" s="0" t="s">
        <v>240</v>
      </c>
      <c r="AY847" s="0" t="s">
        <v>240</v>
      </c>
      <c r="AZ847" s="0" t="s">
        <v>240</v>
      </c>
      <c r="BA847" s="0" t="s">
        <v>240</v>
      </c>
      <c r="BB847" s="0" t="s">
        <v>240</v>
      </c>
      <c r="BC847" s="0" t="s">
        <v>240</v>
      </c>
      <c r="BD847" s="0" t="s">
        <v>240</v>
      </c>
      <c r="BE847" s="0" t="s">
        <v>240</v>
      </c>
      <c r="BF847" s="0" t="s">
        <v>240</v>
      </c>
      <c r="BG847" s="0" t="s">
        <v>240</v>
      </c>
      <c r="BH847" s="0" t="s">
        <v>240</v>
      </c>
      <c r="BI847" s="0" t="s">
        <v>240</v>
      </c>
      <c r="BJ847" s="0" t="s">
        <v>240</v>
      </c>
      <c r="BK847" s="0" t="s">
        <v>240</v>
      </c>
      <c r="BL847" s="0" t="s">
        <v>240</v>
      </c>
      <c r="BM847" s="0" t="s">
        <v>240</v>
      </c>
      <c r="BN847" s="0" t="s">
        <v>240</v>
      </c>
      <c r="BO847" s="0" t="s">
        <v>240</v>
      </c>
      <c r="BP847" s="0" t="s">
        <v>240</v>
      </c>
      <c r="BQ847" s="0" t="s">
        <v>240</v>
      </c>
      <c r="BR847" s="0" t="s">
        <v>240</v>
      </c>
      <c r="BS847" s="0" t="s">
        <v>240</v>
      </c>
      <c r="BT847" s="0" t="s">
        <v>240</v>
      </c>
      <c r="CS847" s="0" t="s">
        <v>240</v>
      </c>
      <c r="CT847" s="0" t="s">
        <v>5496</v>
      </c>
      <c r="CU847" s="0" t="s">
        <v>5497</v>
      </c>
      <c r="CV847" s="0" t="s">
        <v>443</v>
      </c>
      <c r="CW847" s="0" t="s">
        <v>5527</v>
      </c>
      <c r="CX847" s="0" t="s">
        <v>229</v>
      </c>
      <c r="CY847" s="0" t="s">
        <v>443</v>
      </c>
      <c r="CZ847" s="0" t="s">
        <v>299</v>
      </c>
      <c r="DA847" s="0" t="s">
        <v>5529</v>
      </c>
      <c r="DB847" s="0" t="s">
        <v>5527</v>
      </c>
      <c r="DC847" s="0" t="s">
        <v>384</v>
      </c>
      <c r="DD847" s="0" t="s">
        <v>300</v>
      </c>
      <c r="DE847" s="0" t="s">
        <v>7044</v>
      </c>
    </row>
    <row customHeight="1" ht="11.25">
      <c r="A848" s="1441" t="s">
        <v>240</v>
      </c>
      <c r="B848" s="0" t="s">
        <v>240</v>
      </c>
      <c r="C848" s="0" t="s">
        <v>240</v>
      </c>
      <c r="D848" s="0" t="s">
        <v>240</v>
      </c>
      <c r="E848" s="0" t="s">
        <v>240</v>
      </c>
      <c r="F848" s="0" t="s">
        <v>240</v>
      </c>
      <c r="G848" s="0" t="s">
        <v>240</v>
      </c>
      <c r="H848" s="0" t="s">
        <v>240</v>
      </c>
      <c r="I848" s="0" t="s">
        <v>7004</v>
      </c>
      <c r="J848" s="0" t="s">
        <v>240</v>
      </c>
      <c r="K848" s="0" t="s">
        <v>240</v>
      </c>
      <c r="L848" s="0" t="s">
        <v>240</v>
      </c>
      <c r="M848" s="0" t="s">
        <v>240</v>
      </c>
      <c r="N848" s="0" t="s">
        <v>240</v>
      </c>
      <c r="O848" s="0" t="s">
        <v>240</v>
      </c>
      <c r="P848" s="0" t="s">
        <v>240</v>
      </c>
      <c r="Q848" s="0" t="s">
        <v>240</v>
      </c>
      <c r="R848" s="0" t="s">
        <v>7039</v>
      </c>
      <c r="S848" s="0" t="s">
        <v>240</v>
      </c>
      <c r="T848" s="0" t="s">
        <v>240</v>
      </c>
      <c r="U848" s="0" t="s">
        <v>102</v>
      </c>
      <c r="V848" s="0" t="s">
        <v>240</v>
      </c>
      <c r="W848" s="0" t="s">
        <v>240</v>
      </c>
      <c r="X848" s="0" t="s">
        <v>546</v>
      </c>
      <c r="Y848" s="0" t="s">
        <v>240</v>
      </c>
      <c r="Z848" s="0" t="s">
        <v>161</v>
      </c>
      <c r="AA848" s="0" t="s">
        <v>152</v>
      </c>
      <c r="AB848" s="0" t="s">
        <v>152</v>
      </c>
      <c r="AC848" s="0" t="s">
        <v>3389</v>
      </c>
      <c r="AD848" s="0" t="s">
        <v>3389</v>
      </c>
      <c r="AE848" s="0" t="s">
        <v>3390</v>
      </c>
      <c r="AF848" s="0" t="s">
        <v>5519</v>
      </c>
      <c r="AG848" s="0" t="s">
        <v>5520</v>
      </c>
      <c r="AH848" s="0" t="s">
        <v>7040</v>
      </c>
      <c r="AI848" s="0" t="s">
        <v>5533</v>
      </c>
      <c r="AJ848" s="0" t="s">
        <v>5781</v>
      </c>
      <c r="AK848" s="0" t="s">
        <v>7041</v>
      </c>
      <c r="AL848" s="0" t="s">
        <v>7027</v>
      </c>
      <c r="AN848" s="0" t="s">
        <v>7042</v>
      </c>
      <c r="AO848" s="0" t="s">
        <v>7043</v>
      </c>
      <c r="AP848" s="0" t="s">
        <v>240</v>
      </c>
      <c r="AQ848" s="0" t="s">
        <v>240</v>
      </c>
      <c r="AR848" s="0" t="s">
        <v>240</v>
      </c>
      <c r="AS848" s="0" t="s">
        <v>240</v>
      </c>
      <c r="AT848" s="0" t="s">
        <v>240</v>
      </c>
      <c r="AU848" s="0" t="s">
        <v>240</v>
      </c>
      <c r="AV848" s="0" t="s">
        <v>240</v>
      </c>
      <c r="AW848" s="0" t="s">
        <v>240</v>
      </c>
      <c r="AX848" s="0" t="s">
        <v>240</v>
      </c>
      <c r="AY848" s="0" t="s">
        <v>240</v>
      </c>
      <c r="AZ848" s="0" t="s">
        <v>240</v>
      </c>
      <c r="BA848" s="0" t="s">
        <v>240</v>
      </c>
      <c r="BB848" s="0" t="s">
        <v>240</v>
      </c>
      <c r="BC848" s="0" t="s">
        <v>240</v>
      </c>
      <c r="BD848" s="0" t="s">
        <v>240</v>
      </c>
      <c r="BE848" s="0" t="s">
        <v>240</v>
      </c>
      <c r="BF848" s="0" t="s">
        <v>240</v>
      </c>
      <c r="BG848" s="0" t="s">
        <v>240</v>
      </c>
      <c r="BH848" s="0" t="s">
        <v>240</v>
      </c>
      <c r="BI848" s="0" t="s">
        <v>240</v>
      </c>
      <c r="BJ848" s="0" t="s">
        <v>240</v>
      </c>
      <c r="BK848" s="0" t="s">
        <v>240</v>
      </c>
      <c r="BL848" s="0" t="s">
        <v>240</v>
      </c>
      <c r="BM848" s="0" t="s">
        <v>240</v>
      </c>
      <c r="BN848" s="0" t="s">
        <v>240</v>
      </c>
      <c r="BO848" s="0" t="s">
        <v>240</v>
      </c>
      <c r="BP848" s="0" t="s">
        <v>240</v>
      </c>
      <c r="BQ848" s="0" t="s">
        <v>240</v>
      </c>
      <c r="BR848" s="0" t="s">
        <v>240</v>
      </c>
      <c r="BS848" s="0" t="s">
        <v>240</v>
      </c>
      <c r="BT848" s="0" t="s">
        <v>240</v>
      </c>
      <c r="CS848" s="0" t="s">
        <v>240</v>
      </c>
      <c r="CT848" s="0" t="s">
        <v>5496</v>
      </c>
      <c r="CU848" s="0" t="s">
        <v>5497</v>
      </c>
      <c r="CV848" s="0" t="s">
        <v>443</v>
      </c>
      <c r="CW848" s="0" t="s">
        <v>5527</v>
      </c>
      <c r="CX848" s="0" t="s">
        <v>229</v>
      </c>
      <c r="CY848" s="0" t="s">
        <v>443</v>
      </c>
      <c r="CZ848" s="0" t="s">
        <v>299</v>
      </c>
      <c r="DA848" s="0" t="s">
        <v>5529</v>
      </c>
      <c r="DB848" s="0" t="s">
        <v>5527</v>
      </c>
      <c r="DC848" s="0" t="s">
        <v>384</v>
      </c>
      <c r="DD848" s="0" t="s">
        <v>300</v>
      </c>
      <c r="DE848" s="0" t="s">
        <v>7044</v>
      </c>
    </row>
    <row customHeight="1" ht="11.25">
      <c r="A849" s="1441" t="s">
        <v>240</v>
      </c>
      <c r="B849" s="0" t="s">
        <v>240</v>
      </c>
      <c r="C849" s="0" t="s">
        <v>240</v>
      </c>
      <c r="D849" s="0" t="s">
        <v>240</v>
      </c>
      <c r="E849" s="0" t="s">
        <v>240</v>
      </c>
      <c r="F849" s="0" t="s">
        <v>240</v>
      </c>
      <c r="G849" s="0" t="s">
        <v>240</v>
      </c>
      <c r="H849" s="0" t="s">
        <v>240</v>
      </c>
      <c r="I849" s="0" t="s">
        <v>7004</v>
      </c>
      <c r="J849" s="0" t="s">
        <v>240</v>
      </c>
      <c r="K849" s="0" t="s">
        <v>240</v>
      </c>
      <c r="L849" s="0" t="s">
        <v>240</v>
      </c>
      <c r="M849" s="0" t="s">
        <v>240</v>
      </c>
      <c r="N849" s="0" t="s">
        <v>240</v>
      </c>
      <c r="O849" s="0" t="s">
        <v>240</v>
      </c>
      <c r="P849" s="0" t="s">
        <v>240</v>
      </c>
      <c r="Q849" s="0" t="s">
        <v>240</v>
      </c>
      <c r="R849" s="0" t="s">
        <v>532</v>
      </c>
      <c r="S849" s="0" t="s">
        <v>240</v>
      </c>
      <c r="T849" s="0" t="s">
        <v>240</v>
      </c>
      <c r="U849" s="0" t="s">
        <v>102</v>
      </c>
      <c r="V849" s="0" t="s">
        <v>240</v>
      </c>
      <c r="W849" s="0" t="s">
        <v>240</v>
      </c>
      <c r="X849" s="0" t="s">
        <v>546</v>
      </c>
      <c r="Y849" s="0" t="s">
        <v>240</v>
      </c>
      <c r="Z849" s="0" t="s">
        <v>161</v>
      </c>
      <c r="AA849" s="0" t="s">
        <v>152</v>
      </c>
      <c r="AB849" s="0" t="s">
        <v>152</v>
      </c>
      <c r="AC849" s="0" t="s">
        <v>364</v>
      </c>
      <c r="AD849" s="0" t="s">
        <v>364</v>
      </c>
      <c r="AE849" s="0" t="s">
        <v>365</v>
      </c>
      <c r="AF849" s="0" t="s">
        <v>5486</v>
      </c>
      <c r="AG849" s="0" t="s">
        <v>5487</v>
      </c>
      <c r="AH849" s="0" t="s">
        <v>7329</v>
      </c>
      <c r="AI849" s="0" t="s">
        <v>7330</v>
      </c>
      <c r="AJ849" s="0" t="s">
        <v>7054</v>
      </c>
      <c r="AK849" s="0" t="s">
        <v>7055</v>
      </c>
      <c r="AL849" s="0" t="s">
        <v>7009</v>
      </c>
      <c r="AN849" s="0" t="s">
        <v>7319</v>
      </c>
      <c r="AO849" s="0" t="s">
        <v>7029</v>
      </c>
      <c r="AP849" s="0" t="s">
        <v>240</v>
      </c>
      <c r="AQ849" s="0" t="s">
        <v>240</v>
      </c>
      <c r="AR849" s="0" t="s">
        <v>240</v>
      </c>
      <c r="AS849" s="0" t="s">
        <v>240</v>
      </c>
      <c r="AT849" s="0" t="s">
        <v>240</v>
      </c>
      <c r="AU849" s="0" t="s">
        <v>240</v>
      </c>
      <c r="AV849" s="0" t="s">
        <v>240</v>
      </c>
      <c r="AW849" s="0" t="s">
        <v>240</v>
      </c>
      <c r="AX849" s="0" t="s">
        <v>240</v>
      </c>
      <c r="AY849" s="0" t="s">
        <v>240</v>
      </c>
      <c r="AZ849" s="0" t="s">
        <v>240</v>
      </c>
      <c r="BA849" s="0" t="s">
        <v>240</v>
      </c>
      <c r="BB849" s="0" t="s">
        <v>240</v>
      </c>
      <c r="BC849" s="0" t="s">
        <v>240</v>
      </c>
      <c r="BD849" s="0" t="s">
        <v>240</v>
      </c>
      <c r="BE849" s="0" t="s">
        <v>240</v>
      </c>
      <c r="BF849" s="0" t="s">
        <v>240</v>
      </c>
      <c r="BG849" s="0" t="s">
        <v>240</v>
      </c>
      <c r="BH849" s="0" t="s">
        <v>240</v>
      </c>
      <c r="BI849" s="0" t="s">
        <v>240</v>
      </c>
      <c r="BJ849" s="0" t="s">
        <v>240</v>
      </c>
      <c r="BK849" s="0" t="s">
        <v>240</v>
      </c>
      <c r="BL849" s="0" t="s">
        <v>240</v>
      </c>
      <c r="BM849" s="0" t="s">
        <v>240</v>
      </c>
      <c r="BN849" s="0" t="s">
        <v>240</v>
      </c>
      <c r="BO849" s="0" t="s">
        <v>240</v>
      </c>
      <c r="BP849" s="0" t="s">
        <v>240</v>
      </c>
      <c r="BQ849" s="0" t="s">
        <v>240</v>
      </c>
      <c r="BR849" s="0" t="s">
        <v>240</v>
      </c>
      <c r="BS849" s="0" t="s">
        <v>240</v>
      </c>
      <c r="BT849" s="0" t="s">
        <v>240</v>
      </c>
      <c r="CS849" s="0" t="s">
        <v>240</v>
      </c>
      <c r="CT849" s="0" t="s">
        <v>5496</v>
      </c>
      <c r="CU849" s="0" t="s">
        <v>5497</v>
      </c>
      <c r="CV849" s="0" t="s">
        <v>443</v>
      </c>
      <c r="CW849" s="0" t="s">
        <v>5498</v>
      </c>
      <c r="CX849" s="0" t="s">
        <v>229</v>
      </c>
      <c r="CY849" s="0" t="s">
        <v>443</v>
      </c>
      <c r="CZ849" s="0" t="s">
        <v>230</v>
      </c>
      <c r="DA849" s="0" t="s">
        <v>444</v>
      </c>
      <c r="DB849" s="0" t="s">
        <v>5498</v>
      </c>
      <c r="DC849" s="0" t="s">
        <v>384</v>
      </c>
      <c r="DD849" s="0" t="s">
        <v>300</v>
      </c>
      <c r="DE849" s="0" t="s">
        <v>533</v>
      </c>
    </row>
    <row customHeight="1" ht="11.25">
      <c r="A850" s="1441" t="s">
        <v>240</v>
      </c>
      <c r="B850" s="0" t="s">
        <v>240</v>
      </c>
      <c r="C850" s="0" t="s">
        <v>240</v>
      </c>
      <c r="D850" s="0" t="s">
        <v>240</v>
      </c>
      <c r="E850" s="0" t="s">
        <v>240</v>
      </c>
      <c r="F850" s="0" t="s">
        <v>240</v>
      </c>
      <c r="G850" s="0" t="s">
        <v>240</v>
      </c>
      <c r="H850" s="0" t="s">
        <v>240</v>
      </c>
      <c r="I850" s="0" t="s">
        <v>7004</v>
      </c>
      <c r="J850" s="0" t="s">
        <v>240</v>
      </c>
      <c r="K850" s="0" t="s">
        <v>240</v>
      </c>
      <c r="L850" s="0" t="s">
        <v>240</v>
      </c>
      <c r="M850" s="0" t="s">
        <v>240</v>
      </c>
      <c r="N850" s="0" t="s">
        <v>240</v>
      </c>
      <c r="O850" s="0" t="s">
        <v>240</v>
      </c>
      <c r="P850" s="0" t="s">
        <v>240</v>
      </c>
      <c r="Q850" s="0" t="s">
        <v>240</v>
      </c>
      <c r="R850" s="0" t="s">
        <v>534</v>
      </c>
      <c r="S850" s="0" t="s">
        <v>240</v>
      </c>
      <c r="T850" s="0" t="s">
        <v>240</v>
      </c>
      <c r="U850" s="0" t="s">
        <v>102</v>
      </c>
      <c r="V850" s="0" t="s">
        <v>240</v>
      </c>
      <c r="W850" s="0" t="s">
        <v>240</v>
      </c>
      <c r="X850" s="0" t="s">
        <v>5905</v>
      </c>
      <c r="Y850" s="0" t="s">
        <v>240</v>
      </c>
      <c r="Z850" s="0" t="s">
        <v>152</v>
      </c>
      <c r="AA850" s="0" t="s">
        <v>161</v>
      </c>
      <c r="AB850" s="0" t="s">
        <v>152</v>
      </c>
      <c r="AC850" s="0" t="s">
        <v>364</v>
      </c>
      <c r="AD850" s="0" t="s">
        <v>364</v>
      </c>
      <c r="AE850" s="0" t="s">
        <v>365</v>
      </c>
      <c r="AF850" s="0" t="s">
        <v>5486</v>
      </c>
      <c r="AG850" s="0" t="s">
        <v>5487</v>
      </c>
      <c r="AH850" s="0" t="s">
        <v>7329</v>
      </c>
      <c r="AI850" s="0" t="s">
        <v>7355</v>
      </c>
      <c r="AJ850" s="0" t="s">
        <v>240</v>
      </c>
      <c r="AK850" s="0" t="s">
        <v>240</v>
      </c>
      <c r="AL850" s="0" t="s">
        <v>240</v>
      </c>
      <c r="AN850" s="0" t="s">
        <v>240</v>
      </c>
      <c r="AO850" s="0" t="s">
        <v>240</v>
      </c>
      <c r="AP850" s="0" t="s">
        <v>7356</v>
      </c>
      <c r="AQ850" s="0" t="s">
        <v>7055</v>
      </c>
      <c r="AR850" s="0" t="s">
        <v>112</v>
      </c>
      <c r="AS850" s="0" t="s">
        <v>5589</v>
      </c>
      <c r="AT850" s="0" t="s">
        <v>123</v>
      </c>
      <c r="AU850" s="0" t="s">
        <v>240</v>
      </c>
      <c r="AV850" s="0" t="s">
        <v>550</v>
      </c>
      <c r="AW850" s="0" t="s">
        <v>364</v>
      </c>
      <c r="AX850" s="0" t="s">
        <v>364</v>
      </c>
      <c r="AY850" s="0" t="s">
        <v>6811</v>
      </c>
      <c r="AZ850" s="0" t="s">
        <v>5486</v>
      </c>
      <c r="BA850" s="0" t="s">
        <v>7057</v>
      </c>
      <c r="BB850" s="0" t="s">
        <v>7329</v>
      </c>
      <c r="BC850" s="0" t="s">
        <v>7355</v>
      </c>
      <c r="BD850" s="0" t="s">
        <v>5494</v>
      </c>
      <c r="BE850" s="0" t="s">
        <v>240</v>
      </c>
      <c r="BF850" s="0" t="s">
        <v>240</v>
      </c>
      <c r="BG850" s="0" t="s">
        <v>240</v>
      </c>
      <c r="BH850" s="0" t="s">
        <v>240</v>
      </c>
      <c r="BI850" s="0" t="s">
        <v>240</v>
      </c>
      <c r="BJ850" s="0" t="s">
        <v>240</v>
      </c>
      <c r="BK850" s="0" t="s">
        <v>240</v>
      </c>
      <c r="BL850" s="0" t="s">
        <v>240</v>
      </c>
      <c r="BM850" s="0" t="s">
        <v>240</v>
      </c>
      <c r="BN850" s="0" t="s">
        <v>240</v>
      </c>
      <c r="BO850" s="0" t="s">
        <v>240</v>
      </c>
      <c r="BP850" s="0" t="s">
        <v>240</v>
      </c>
      <c r="BQ850" s="0" t="s">
        <v>240</v>
      </c>
      <c r="BR850" s="0" t="s">
        <v>240</v>
      </c>
      <c r="BS850" s="0" t="s">
        <v>240</v>
      </c>
      <c r="BT850" s="0" t="s">
        <v>240</v>
      </c>
      <c r="CS850" s="0" t="s">
        <v>240</v>
      </c>
      <c r="CT850" s="0" t="s">
        <v>5496</v>
      </c>
      <c r="CU850" s="0" t="s">
        <v>5497</v>
      </c>
      <c r="CV850" s="0" t="s">
        <v>443</v>
      </c>
      <c r="CW850" s="0" t="s">
        <v>5498</v>
      </c>
      <c r="CX850" s="0" t="s">
        <v>229</v>
      </c>
      <c r="CY850" s="0" t="s">
        <v>443</v>
      </c>
      <c r="CZ850" s="0" t="s">
        <v>230</v>
      </c>
      <c r="DA850" s="0" t="s">
        <v>444</v>
      </c>
      <c r="DB850" s="0" t="s">
        <v>5498</v>
      </c>
      <c r="DC850" s="0" t="s">
        <v>384</v>
      </c>
      <c r="DD850" s="0" t="s">
        <v>300</v>
      </c>
      <c r="DE850" s="0" t="s">
        <v>535</v>
      </c>
    </row>
    <row customHeight="1" ht="11.25">
      <c r="A851" s="1441" t="s">
        <v>240</v>
      </c>
      <c r="B851" s="0" t="s">
        <v>240</v>
      </c>
      <c r="C851" s="0" t="s">
        <v>240</v>
      </c>
      <c r="D851" s="0" t="s">
        <v>240</v>
      </c>
      <c r="E851" s="0" t="s">
        <v>240</v>
      </c>
      <c r="F851" s="0" t="s">
        <v>240</v>
      </c>
      <c r="G851" s="0" t="s">
        <v>240</v>
      </c>
      <c r="H851" s="0" t="s">
        <v>240</v>
      </c>
      <c r="I851" s="0" t="s">
        <v>7004</v>
      </c>
      <c r="J851" s="0" t="s">
        <v>240</v>
      </c>
      <c r="K851" s="0" t="s">
        <v>240</v>
      </c>
      <c r="L851" s="0" t="s">
        <v>240</v>
      </c>
      <c r="M851" s="0" t="s">
        <v>240</v>
      </c>
      <c r="N851" s="0" t="s">
        <v>240</v>
      </c>
      <c r="O851" s="0" t="s">
        <v>240</v>
      </c>
      <c r="P851" s="0" t="s">
        <v>240</v>
      </c>
      <c r="Q851" s="0" t="s">
        <v>240</v>
      </c>
      <c r="R851" s="0" t="s">
        <v>544</v>
      </c>
      <c r="S851" s="0" t="s">
        <v>240</v>
      </c>
      <c r="T851" s="0" t="s">
        <v>240</v>
      </c>
      <c r="U851" s="0" t="s">
        <v>102</v>
      </c>
      <c r="V851" s="0" t="s">
        <v>240</v>
      </c>
      <c r="W851" s="0" t="s">
        <v>240</v>
      </c>
      <c r="X851" s="0" t="s">
        <v>546</v>
      </c>
      <c r="Y851" s="0" t="s">
        <v>240</v>
      </c>
      <c r="Z851" s="0" t="s">
        <v>161</v>
      </c>
      <c r="AA851" s="0" t="s">
        <v>152</v>
      </c>
      <c r="AB851" s="0" t="s">
        <v>152</v>
      </c>
      <c r="AC851" s="0" t="s">
        <v>364</v>
      </c>
      <c r="AD851" s="0" t="s">
        <v>364</v>
      </c>
      <c r="AE851" s="0" t="s">
        <v>365</v>
      </c>
      <c r="AF851" s="0" t="s">
        <v>6806</v>
      </c>
      <c r="AG851" s="0" t="s">
        <v>6807</v>
      </c>
      <c r="AH851" s="0" t="s">
        <v>7097</v>
      </c>
      <c r="AI851" s="0" t="s">
        <v>5533</v>
      </c>
      <c r="AJ851" s="0" t="s">
        <v>5491</v>
      </c>
      <c r="AK851" s="0" t="s">
        <v>7098</v>
      </c>
      <c r="AL851" s="0" t="s">
        <v>7009</v>
      </c>
      <c r="AN851" s="0" t="s">
        <v>5578</v>
      </c>
      <c r="AO851" s="0" t="s">
        <v>6485</v>
      </c>
      <c r="AP851" s="0" t="s">
        <v>240</v>
      </c>
      <c r="AQ851" s="0" t="s">
        <v>240</v>
      </c>
      <c r="AR851" s="0" t="s">
        <v>240</v>
      </c>
      <c r="AS851" s="0" t="s">
        <v>240</v>
      </c>
      <c r="AT851" s="0" t="s">
        <v>240</v>
      </c>
      <c r="AU851" s="0" t="s">
        <v>240</v>
      </c>
      <c r="AV851" s="0" t="s">
        <v>240</v>
      </c>
      <c r="AW851" s="0" t="s">
        <v>240</v>
      </c>
      <c r="AX851" s="0" t="s">
        <v>240</v>
      </c>
      <c r="AY851" s="0" t="s">
        <v>240</v>
      </c>
      <c r="AZ851" s="0" t="s">
        <v>240</v>
      </c>
      <c r="BA851" s="0" t="s">
        <v>240</v>
      </c>
      <c r="BB851" s="0" t="s">
        <v>240</v>
      </c>
      <c r="BC851" s="0" t="s">
        <v>240</v>
      </c>
      <c r="BD851" s="0" t="s">
        <v>240</v>
      </c>
      <c r="BE851" s="0" t="s">
        <v>240</v>
      </c>
      <c r="BF851" s="0" t="s">
        <v>240</v>
      </c>
      <c r="BG851" s="0" t="s">
        <v>240</v>
      </c>
      <c r="BH851" s="0" t="s">
        <v>240</v>
      </c>
      <c r="BI851" s="0" t="s">
        <v>240</v>
      </c>
      <c r="BJ851" s="0" t="s">
        <v>240</v>
      </c>
      <c r="BK851" s="0" t="s">
        <v>240</v>
      </c>
      <c r="BL851" s="0" t="s">
        <v>240</v>
      </c>
      <c r="BM851" s="0" t="s">
        <v>240</v>
      </c>
      <c r="BN851" s="0" t="s">
        <v>240</v>
      </c>
      <c r="BO851" s="0" t="s">
        <v>240</v>
      </c>
      <c r="BP851" s="0" t="s">
        <v>240</v>
      </c>
      <c r="BQ851" s="0" t="s">
        <v>240</v>
      </c>
      <c r="BR851" s="0" t="s">
        <v>240</v>
      </c>
      <c r="BS851" s="0" t="s">
        <v>240</v>
      </c>
      <c r="BT851" s="0" t="s">
        <v>240</v>
      </c>
      <c r="CS851" s="0" t="s">
        <v>240</v>
      </c>
      <c r="CT851" s="0" t="s">
        <v>5496</v>
      </c>
      <c r="CU851" s="0" t="s">
        <v>5497</v>
      </c>
      <c r="CV851" s="0" t="s">
        <v>443</v>
      </c>
      <c r="CW851" s="0" t="s">
        <v>6818</v>
      </c>
      <c r="CX851" s="0" t="s">
        <v>229</v>
      </c>
      <c r="CY851" s="0" t="s">
        <v>443</v>
      </c>
      <c r="CZ851" s="0" t="s">
        <v>234</v>
      </c>
      <c r="DA851" s="0" t="s">
        <v>444</v>
      </c>
      <c r="DB851" s="0" t="s">
        <v>6818</v>
      </c>
      <c r="DC851" s="0" t="s">
        <v>384</v>
      </c>
      <c r="DD851" s="0" t="s">
        <v>300</v>
      </c>
      <c r="DE851" s="0" t="s">
        <v>545</v>
      </c>
    </row>
    <row customHeight="1" ht="11.25">
      <c r="A852" s="1441" t="s">
        <v>240</v>
      </c>
      <c r="B852" s="0" t="s">
        <v>240</v>
      </c>
      <c r="C852" s="0" t="s">
        <v>240</v>
      </c>
      <c r="D852" s="0" t="s">
        <v>240</v>
      </c>
      <c r="E852" s="0" t="s">
        <v>240</v>
      </c>
      <c r="F852" s="0" t="s">
        <v>240</v>
      </c>
      <c r="G852" s="0" t="s">
        <v>240</v>
      </c>
      <c r="H852" s="0" t="s">
        <v>240</v>
      </c>
      <c r="I852" s="0" t="s">
        <v>7004</v>
      </c>
      <c r="J852" s="0" t="s">
        <v>240</v>
      </c>
      <c r="K852" s="0" t="s">
        <v>240</v>
      </c>
      <c r="L852" s="0" t="s">
        <v>240</v>
      </c>
      <c r="M852" s="0" t="s">
        <v>240</v>
      </c>
      <c r="N852" s="0" t="s">
        <v>240</v>
      </c>
      <c r="O852" s="0" t="s">
        <v>240</v>
      </c>
      <c r="P852" s="0" t="s">
        <v>240</v>
      </c>
      <c r="Q852" s="0" t="s">
        <v>240</v>
      </c>
      <c r="R852" s="0" t="s">
        <v>536</v>
      </c>
      <c r="S852" s="0" t="s">
        <v>240</v>
      </c>
      <c r="T852" s="0" t="s">
        <v>240</v>
      </c>
      <c r="U852" s="0" t="s">
        <v>102</v>
      </c>
      <c r="V852" s="0" t="s">
        <v>240</v>
      </c>
      <c r="W852" s="0" t="s">
        <v>240</v>
      </c>
      <c r="X852" s="0" t="s">
        <v>5905</v>
      </c>
      <c r="Y852" s="0" t="s">
        <v>240</v>
      </c>
      <c r="Z852" s="0" t="s">
        <v>152</v>
      </c>
      <c r="AA852" s="0" t="s">
        <v>161</v>
      </c>
      <c r="AB852" s="0" t="s">
        <v>152</v>
      </c>
      <c r="AC852" s="0" t="s">
        <v>364</v>
      </c>
      <c r="AD852" s="0" t="s">
        <v>364</v>
      </c>
      <c r="AE852" s="0" t="s">
        <v>365</v>
      </c>
      <c r="AF852" s="0" t="s">
        <v>6361</v>
      </c>
      <c r="AG852" s="0" t="s">
        <v>6362</v>
      </c>
      <c r="AH852" s="0" t="s">
        <v>7357</v>
      </c>
      <c r="AI852" s="0" t="s">
        <v>7358</v>
      </c>
      <c r="AJ852" s="0" t="s">
        <v>240</v>
      </c>
      <c r="AK852" s="0" t="s">
        <v>240</v>
      </c>
      <c r="AL852" s="0" t="s">
        <v>240</v>
      </c>
      <c r="AN852" s="0" t="s">
        <v>240</v>
      </c>
      <c r="AO852" s="0" t="s">
        <v>240</v>
      </c>
      <c r="AP852" s="0" t="s">
        <v>6884</v>
      </c>
      <c r="AQ852" s="0" t="s">
        <v>7359</v>
      </c>
      <c r="AR852" s="0" t="s">
        <v>112</v>
      </c>
      <c r="AS852" s="0" t="s">
        <v>5589</v>
      </c>
      <c r="AT852" s="0" t="s">
        <v>123</v>
      </c>
      <c r="AU852" s="0" t="s">
        <v>240</v>
      </c>
      <c r="AV852" s="0" t="s">
        <v>550</v>
      </c>
      <c r="AW852" s="0" t="s">
        <v>364</v>
      </c>
      <c r="AX852" s="0" t="s">
        <v>364</v>
      </c>
      <c r="AY852" s="0" t="s">
        <v>6811</v>
      </c>
      <c r="AZ852" s="0" t="s">
        <v>6361</v>
      </c>
      <c r="BA852" s="0" t="s">
        <v>7360</v>
      </c>
      <c r="BB852" s="0" t="s">
        <v>6363</v>
      </c>
      <c r="BC852" s="0" t="s">
        <v>5533</v>
      </c>
      <c r="BD852" s="0" t="s">
        <v>5494</v>
      </c>
      <c r="BE852" s="0" t="s">
        <v>240</v>
      </c>
      <c r="BF852" s="0" t="s">
        <v>240</v>
      </c>
      <c r="BG852" s="0" t="s">
        <v>240</v>
      </c>
      <c r="BH852" s="0" t="s">
        <v>240</v>
      </c>
      <c r="BI852" s="0" t="s">
        <v>240</v>
      </c>
      <c r="BJ852" s="0" t="s">
        <v>240</v>
      </c>
      <c r="BK852" s="0" t="s">
        <v>240</v>
      </c>
      <c r="BL852" s="0" t="s">
        <v>240</v>
      </c>
      <c r="BM852" s="0" t="s">
        <v>240</v>
      </c>
      <c r="BN852" s="0" t="s">
        <v>240</v>
      </c>
      <c r="BO852" s="0" t="s">
        <v>240</v>
      </c>
      <c r="BP852" s="0" t="s">
        <v>240</v>
      </c>
      <c r="BQ852" s="0" t="s">
        <v>240</v>
      </c>
      <c r="BR852" s="0" t="s">
        <v>240</v>
      </c>
      <c r="BS852" s="0" t="s">
        <v>240</v>
      </c>
      <c r="BT852" s="0" t="s">
        <v>240</v>
      </c>
      <c r="CS852" s="0" t="s">
        <v>240</v>
      </c>
      <c r="CT852" s="0" t="s">
        <v>5496</v>
      </c>
      <c r="CU852" s="0" t="s">
        <v>5497</v>
      </c>
      <c r="CV852" s="0" t="s">
        <v>443</v>
      </c>
      <c r="CW852" s="0" t="s">
        <v>5498</v>
      </c>
      <c r="CX852" s="0" t="s">
        <v>229</v>
      </c>
      <c r="CY852" s="0" t="s">
        <v>443</v>
      </c>
      <c r="CZ852" s="0" t="s">
        <v>230</v>
      </c>
      <c r="DA852" s="0" t="s">
        <v>444</v>
      </c>
      <c r="DB852" s="0" t="s">
        <v>5498</v>
      </c>
      <c r="DC852" s="0" t="s">
        <v>384</v>
      </c>
      <c r="DD852" s="0" t="s">
        <v>300</v>
      </c>
      <c r="DE852" s="0" t="s">
        <v>7411</v>
      </c>
    </row>
    <row customHeight="1" ht="11.25">
      <c r="A853" s="1441" t="s">
        <v>240</v>
      </c>
      <c r="B853" s="0" t="s">
        <v>240</v>
      </c>
      <c r="C853" s="0" t="s">
        <v>240</v>
      </c>
      <c r="D853" s="0" t="s">
        <v>240</v>
      </c>
      <c r="E853" s="0" t="s">
        <v>240</v>
      </c>
      <c r="F853" s="0" t="s">
        <v>240</v>
      </c>
      <c r="G853" s="0" t="s">
        <v>240</v>
      </c>
      <c r="H853" s="0" t="s">
        <v>240</v>
      </c>
      <c r="I853" s="0" t="s">
        <v>7004</v>
      </c>
      <c r="J853" s="0" t="s">
        <v>240</v>
      </c>
      <c r="K853" s="0" t="s">
        <v>240</v>
      </c>
      <c r="L853" s="0" t="s">
        <v>240</v>
      </c>
      <c r="M853" s="0" t="s">
        <v>240</v>
      </c>
      <c r="N853" s="0" t="s">
        <v>240</v>
      </c>
      <c r="O853" s="0" t="s">
        <v>240</v>
      </c>
      <c r="P853" s="0" t="s">
        <v>240</v>
      </c>
      <c r="Q853" s="0" t="s">
        <v>240</v>
      </c>
      <c r="R853" s="0" t="s">
        <v>7062</v>
      </c>
      <c r="S853" s="0" t="s">
        <v>240</v>
      </c>
      <c r="T853" s="0" t="s">
        <v>240</v>
      </c>
      <c r="U853" s="0" t="s">
        <v>102</v>
      </c>
      <c r="V853" s="0" t="s">
        <v>240</v>
      </c>
      <c r="W853" s="0" t="s">
        <v>240</v>
      </c>
      <c r="X853" s="0" t="s">
        <v>546</v>
      </c>
      <c r="Y853" s="0" t="s">
        <v>240</v>
      </c>
      <c r="Z853" s="0" t="s">
        <v>161</v>
      </c>
      <c r="AA853" s="0" t="s">
        <v>152</v>
      </c>
      <c r="AB853" s="0" t="s">
        <v>152</v>
      </c>
      <c r="AC853" s="0" t="s">
        <v>3389</v>
      </c>
      <c r="AD853" s="0" t="s">
        <v>3389</v>
      </c>
      <c r="AE853" s="0" t="s">
        <v>3390</v>
      </c>
      <c r="AF853" s="0" t="s">
        <v>5519</v>
      </c>
      <c r="AG853" s="0" t="s">
        <v>5520</v>
      </c>
      <c r="AH853" s="0" t="s">
        <v>7063</v>
      </c>
      <c r="AI853" s="0" t="s">
        <v>7064</v>
      </c>
      <c r="AJ853" s="0" t="s">
        <v>7065</v>
      </c>
      <c r="AK853" s="0" t="s">
        <v>6311</v>
      </c>
      <c r="AL853" s="0" t="s">
        <v>7009</v>
      </c>
      <c r="AN853" s="0" t="s">
        <v>7066</v>
      </c>
      <c r="AO853" s="0" t="s">
        <v>7067</v>
      </c>
      <c r="AP853" s="0" t="s">
        <v>240</v>
      </c>
      <c r="AQ853" s="0" t="s">
        <v>240</v>
      </c>
      <c r="AR853" s="0" t="s">
        <v>240</v>
      </c>
      <c r="AS853" s="0" t="s">
        <v>240</v>
      </c>
      <c r="AT853" s="0" t="s">
        <v>240</v>
      </c>
      <c r="AU853" s="0" t="s">
        <v>240</v>
      </c>
      <c r="AV853" s="0" t="s">
        <v>240</v>
      </c>
      <c r="AW853" s="0" t="s">
        <v>240</v>
      </c>
      <c r="AX853" s="0" t="s">
        <v>240</v>
      </c>
      <c r="AY853" s="0" t="s">
        <v>240</v>
      </c>
      <c r="AZ853" s="0" t="s">
        <v>240</v>
      </c>
      <c r="BA853" s="0" t="s">
        <v>240</v>
      </c>
      <c r="BB853" s="0" t="s">
        <v>240</v>
      </c>
      <c r="BC853" s="0" t="s">
        <v>240</v>
      </c>
      <c r="BD853" s="0" t="s">
        <v>240</v>
      </c>
      <c r="BE853" s="0" t="s">
        <v>240</v>
      </c>
      <c r="BF853" s="0" t="s">
        <v>240</v>
      </c>
      <c r="BG853" s="0" t="s">
        <v>240</v>
      </c>
      <c r="BH853" s="0" t="s">
        <v>240</v>
      </c>
      <c r="BI853" s="0" t="s">
        <v>240</v>
      </c>
      <c r="BJ853" s="0" t="s">
        <v>240</v>
      </c>
      <c r="BK853" s="0" t="s">
        <v>240</v>
      </c>
      <c r="BL853" s="0" t="s">
        <v>240</v>
      </c>
      <c r="BM853" s="0" t="s">
        <v>240</v>
      </c>
      <c r="BN853" s="0" t="s">
        <v>240</v>
      </c>
      <c r="BO853" s="0" t="s">
        <v>240</v>
      </c>
      <c r="BP853" s="0" t="s">
        <v>240</v>
      </c>
      <c r="BQ853" s="0" t="s">
        <v>240</v>
      </c>
      <c r="BR853" s="0" t="s">
        <v>240</v>
      </c>
      <c r="BS853" s="0" t="s">
        <v>240</v>
      </c>
      <c r="BT853" s="0" t="s">
        <v>240</v>
      </c>
      <c r="CS853" s="0" t="s">
        <v>240</v>
      </c>
      <c r="CT853" s="0" t="s">
        <v>5496</v>
      </c>
      <c r="CU853" s="0" t="s">
        <v>5497</v>
      </c>
      <c r="CV853" s="0" t="s">
        <v>5947</v>
      </c>
      <c r="CW853" s="0" t="s">
        <v>4249</v>
      </c>
      <c r="CX853" s="0" t="s">
        <v>5528</v>
      </c>
      <c r="CY853" s="0" t="s">
        <v>7068</v>
      </c>
      <c r="CZ853" s="0" t="s">
        <v>5533</v>
      </c>
      <c r="DA853" s="0" t="s">
        <v>7069</v>
      </c>
      <c r="DB853" s="0" t="s">
        <v>7013</v>
      </c>
      <c r="DC853" s="0" t="s">
        <v>384</v>
      </c>
      <c r="DD853" s="0" t="s">
        <v>300</v>
      </c>
      <c r="DE853" s="0" t="s">
        <v>7070</v>
      </c>
    </row>
    <row customHeight="1" ht="11.25">
      <c r="A854" s="1441" t="s">
        <v>240</v>
      </c>
      <c r="B854" s="0" t="s">
        <v>240</v>
      </c>
      <c r="C854" s="0" t="s">
        <v>240</v>
      </c>
      <c r="D854" s="0" t="s">
        <v>240</v>
      </c>
      <c r="E854" s="0" t="s">
        <v>240</v>
      </c>
      <c r="F854" s="0" t="s">
        <v>240</v>
      </c>
      <c r="G854" s="0" t="s">
        <v>240</v>
      </c>
      <c r="H854" s="0" t="s">
        <v>240</v>
      </c>
      <c r="I854" s="0" t="s">
        <v>7004</v>
      </c>
      <c r="J854" s="0" t="s">
        <v>240</v>
      </c>
      <c r="K854" s="0" t="s">
        <v>240</v>
      </c>
      <c r="L854" s="0" t="s">
        <v>240</v>
      </c>
      <c r="M854" s="0" t="s">
        <v>240</v>
      </c>
      <c r="N854" s="0" t="s">
        <v>240</v>
      </c>
      <c r="O854" s="0" t="s">
        <v>240</v>
      </c>
      <c r="P854" s="0" t="s">
        <v>240</v>
      </c>
      <c r="Q854" s="0" t="s">
        <v>240</v>
      </c>
      <c r="R854" s="0" t="s">
        <v>7071</v>
      </c>
      <c r="S854" s="0" t="s">
        <v>240</v>
      </c>
      <c r="T854" s="0" t="s">
        <v>240</v>
      </c>
      <c r="U854" s="0" t="s">
        <v>102</v>
      </c>
      <c r="V854" s="0" t="s">
        <v>240</v>
      </c>
      <c r="W854" s="0" t="s">
        <v>240</v>
      </c>
      <c r="X854" s="0" t="s">
        <v>546</v>
      </c>
      <c r="Y854" s="0" t="s">
        <v>240</v>
      </c>
      <c r="Z854" s="0" t="s">
        <v>161</v>
      </c>
      <c r="AA854" s="0" t="s">
        <v>152</v>
      </c>
      <c r="AB854" s="0" t="s">
        <v>152</v>
      </c>
      <c r="AC854" s="0" t="s">
        <v>3389</v>
      </c>
      <c r="AD854" s="0" t="s">
        <v>3389</v>
      </c>
      <c r="AE854" s="0" t="s">
        <v>3390</v>
      </c>
      <c r="AF854" s="0" t="s">
        <v>5519</v>
      </c>
      <c r="AG854" s="0" t="s">
        <v>5520</v>
      </c>
      <c r="AH854" s="0" t="s">
        <v>7072</v>
      </c>
      <c r="AI854" s="0" t="s">
        <v>5533</v>
      </c>
      <c r="AJ854" s="0" t="s">
        <v>5781</v>
      </c>
      <c r="AK854" s="0" t="s">
        <v>7073</v>
      </c>
      <c r="AL854" s="0" t="s">
        <v>7009</v>
      </c>
      <c r="AN854" s="0" t="s">
        <v>7074</v>
      </c>
      <c r="AO854" s="0" t="s">
        <v>7075</v>
      </c>
      <c r="AP854" s="0" t="s">
        <v>240</v>
      </c>
      <c r="AQ854" s="0" t="s">
        <v>240</v>
      </c>
      <c r="AR854" s="0" t="s">
        <v>240</v>
      </c>
      <c r="AS854" s="0" t="s">
        <v>240</v>
      </c>
      <c r="AT854" s="0" t="s">
        <v>240</v>
      </c>
      <c r="AU854" s="0" t="s">
        <v>240</v>
      </c>
      <c r="AV854" s="0" t="s">
        <v>240</v>
      </c>
      <c r="AW854" s="0" t="s">
        <v>240</v>
      </c>
      <c r="AX854" s="0" t="s">
        <v>240</v>
      </c>
      <c r="AY854" s="0" t="s">
        <v>240</v>
      </c>
      <c r="AZ854" s="0" t="s">
        <v>240</v>
      </c>
      <c r="BA854" s="0" t="s">
        <v>240</v>
      </c>
      <c r="BB854" s="0" t="s">
        <v>240</v>
      </c>
      <c r="BC854" s="0" t="s">
        <v>240</v>
      </c>
      <c r="BD854" s="0" t="s">
        <v>240</v>
      </c>
      <c r="BE854" s="0" t="s">
        <v>240</v>
      </c>
      <c r="BF854" s="0" t="s">
        <v>240</v>
      </c>
      <c r="BG854" s="0" t="s">
        <v>240</v>
      </c>
      <c r="BH854" s="0" t="s">
        <v>240</v>
      </c>
      <c r="BI854" s="0" t="s">
        <v>240</v>
      </c>
      <c r="BJ854" s="0" t="s">
        <v>240</v>
      </c>
      <c r="BK854" s="0" t="s">
        <v>240</v>
      </c>
      <c r="BL854" s="0" t="s">
        <v>240</v>
      </c>
      <c r="BM854" s="0" t="s">
        <v>240</v>
      </c>
      <c r="BN854" s="0" t="s">
        <v>240</v>
      </c>
      <c r="BO854" s="0" t="s">
        <v>240</v>
      </c>
      <c r="BP854" s="0" t="s">
        <v>240</v>
      </c>
      <c r="BQ854" s="0" t="s">
        <v>240</v>
      </c>
      <c r="BR854" s="0" t="s">
        <v>240</v>
      </c>
      <c r="BS854" s="0" t="s">
        <v>240</v>
      </c>
      <c r="BT854" s="0" t="s">
        <v>240</v>
      </c>
      <c r="CS854" s="0" t="s">
        <v>240</v>
      </c>
      <c r="CT854" s="0" t="s">
        <v>5496</v>
      </c>
      <c r="CU854" s="0" t="s">
        <v>5497</v>
      </c>
      <c r="CV854" s="0" t="s">
        <v>443</v>
      </c>
      <c r="CW854" s="0" t="s">
        <v>5527</v>
      </c>
      <c r="CX854" s="0" t="s">
        <v>229</v>
      </c>
      <c r="CY854" s="0" t="s">
        <v>443</v>
      </c>
      <c r="CZ854" s="0" t="s">
        <v>299</v>
      </c>
      <c r="DA854" s="0" t="s">
        <v>5529</v>
      </c>
      <c r="DB854" s="0" t="s">
        <v>5527</v>
      </c>
      <c r="DC854" s="0" t="s">
        <v>384</v>
      </c>
      <c r="DD854" s="0" t="s">
        <v>300</v>
      </c>
      <c r="DE854" s="0" t="s">
        <v>7076</v>
      </c>
    </row>
    <row customHeight="1" ht="11.25">
      <c r="A855" s="1441" t="s">
        <v>240</v>
      </c>
      <c r="B855" s="0" t="s">
        <v>240</v>
      </c>
      <c r="C855" s="0" t="s">
        <v>240</v>
      </c>
      <c r="D855" s="0" t="s">
        <v>240</v>
      </c>
      <c r="E855" s="0" t="s">
        <v>240</v>
      </c>
      <c r="F855" s="0" t="s">
        <v>240</v>
      </c>
      <c r="G855" s="0" t="s">
        <v>240</v>
      </c>
      <c r="H855" s="0" t="s">
        <v>240</v>
      </c>
      <c r="I855" s="0" t="s">
        <v>7004</v>
      </c>
      <c r="J855" s="0" t="s">
        <v>240</v>
      </c>
      <c r="K855" s="0" t="s">
        <v>240</v>
      </c>
      <c r="L855" s="0" t="s">
        <v>240</v>
      </c>
      <c r="M855" s="0" t="s">
        <v>240</v>
      </c>
      <c r="N855" s="0" t="s">
        <v>240</v>
      </c>
      <c r="O855" s="0" t="s">
        <v>240</v>
      </c>
      <c r="P855" s="0" t="s">
        <v>240</v>
      </c>
      <c r="Q855" s="0" t="s">
        <v>240</v>
      </c>
      <c r="R855" s="0" t="s">
        <v>7077</v>
      </c>
      <c r="S855" s="0" t="s">
        <v>240</v>
      </c>
      <c r="T855" s="0" t="s">
        <v>240</v>
      </c>
      <c r="U855" s="0" t="s">
        <v>102</v>
      </c>
      <c r="V855" s="0" t="s">
        <v>240</v>
      </c>
      <c r="W855" s="0" t="s">
        <v>240</v>
      </c>
      <c r="X855" s="0" t="s">
        <v>546</v>
      </c>
      <c r="Y855" s="0" t="s">
        <v>240</v>
      </c>
      <c r="Z855" s="0" t="s">
        <v>161</v>
      </c>
      <c r="AA855" s="0" t="s">
        <v>152</v>
      </c>
      <c r="AB855" s="0" t="s">
        <v>152</v>
      </c>
      <c r="AC855" s="0" t="s">
        <v>3389</v>
      </c>
      <c r="AD855" s="0" t="s">
        <v>3389</v>
      </c>
      <c r="AE855" s="0" t="s">
        <v>3390</v>
      </c>
      <c r="AF855" s="0" t="s">
        <v>5519</v>
      </c>
      <c r="AG855" s="0" t="s">
        <v>5520</v>
      </c>
      <c r="AH855" s="0" t="s">
        <v>7078</v>
      </c>
      <c r="AI855" s="0" t="s">
        <v>5533</v>
      </c>
      <c r="AJ855" s="0" t="s">
        <v>5781</v>
      </c>
      <c r="AK855" s="0" t="s">
        <v>7079</v>
      </c>
      <c r="AL855" s="0" t="s">
        <v>7009</v>
      </c>
      <c r="AN855" s="0" t="s">
        <v>7074</v>
      </c>
      <c r="AO855" s="0" t="s">
        <v>7075</v>
      </c>
      <c r="AP855" s="0" t="s">
        <v>240</v>
      </c>
      <c r="AQ855" s="0" t="s">
        <v>240</v>
      </c>
      <c r="AR855" s="0" t="s">
        <v>240</v>
      </c>
      <c r="AS855" s="0" t="s">
        <v>240</v>
      </c>
      <c r="AT855" s="0" t="s">
        <v>240</v>
      </c>
      <c r="AU855" s="0" t="s">
        <v>240</v>
      </c>
      <c r="AV855" s="0" t="s">
        <v>240</v>
      </c>
      <c r="AW855" s="0" t="s">
        <v>240</v>
      </c>
      <c r="AX855" s="0" t="s">
        <v>240</v>
      </c>
      <c r="AY855" s="0" t="s">
        <v>240</v>
      </c>
      <c r="AZ855" s="0" t="s">
        <v>240</v>
      </c>
      <c r="BA855" s="0" t="s">
        <v>240</v>
      </c>
      <c r="BB855" s="0" t="s">
        <v>240</v>
      </c>
      <c r="BC855" s="0" t="s">
        <v>240</v>
      </c>
      <c r="BD855" s="0" t="s">
        <v>240</v>
      </c>
      <c r="BE855" s="0" t="s">
        <v>240</v>
      </c>
      <c r="BF855" s="0" t="s">
        <v>240</v>
      </c>
      <c r="BG855" s="0" t="s">
        <v>240</v>
      </c>
      <c r="BH855" s="0" t="s">
        <v>240</v>
      </c>
      <c r="BI855" s="0" t="s">
        <v>240</v>
      </c>
      <c r="BJ855" s="0" t="s">
        <v>240</v>
      </c>
      <c r="BK855" s="0" t="s">
        <v>240</v>
      </c>
      <c r="BL855" s="0" t="s">
        <v>240</v>
      </c>
      <c r="BM855" s="0" t="s">
        <v>240</v>
      </c>
      <c r="BN855" s="0" t="s">
        <v>240</v>
      </c>
      <c r="BO855" s="0" t="s">
        <v>240</v>
      </c>
      <c r="BP855" s="0" t="s">
        <v>240</v>
      </c>
      <c r="BQ855" s="0" t="s">
        <v>240</v>
      </c>
      <c r="BR855" s="0" t="s">
        <v>240</v>
      </c>
      <c r="BS855" s="0" t="s">
        <v>240</v>
      </c>
      <c r="BT855" s="0" t="s">
        <v>240</v>
      </c>
      <c r="CS855" s="0" t="s">
        <v>240</v>
      </c>
      <c r="CT855" s="0" t="s">
        <v>5496</v>
      </c>
      <c r="CU855" s="0" t="s">
        <v>5497</v>
      </c>
      <c r="CV855" s="0" t="s">
        <v>443</v>
      </c>
      <c r="CW855" s="0" t="s">
        <v>5527</v>
      </c>
      <c r="CX855" s="0" t="s">
        <v>229</v>
      </c>
      <c r="CY855" s="0" t="s">
        <v>443</v>
      </c>
      <c r="CZ855" s="0" t="s">
        <v>299</v>
      </c>
      <c r="DA855" s="0" t="s">
        <v>5529</v>
      </c>
      <c r="DB855" s="0" t="s">
        <v>5527</v>
      </c>
      <c r="DC855" s="0" t="s">
        <v>384</v>
      </c>
      <c r="DD855" s="0" t="s">
        <v>300</v>
      </c>
      <c r="DE855" s="0" t="s">
        <v>7080</v>
      </c>
    </row>
    <row customHeight="1" ht="11.25">
      <c r="A856" s="1441" t="s">
        <v>240</v>
      </c>
      <c r="B856" s="0" t="s">
        <v>240</v>
      </c>
      <c r="C856" s="0" t="s">
        <v>240</v>
      </c>
      <c r="D856" s="0" t="s">
        <v>240</v>
      </c>
      <c r="E856" s="0" t="s">
        <v>240</v>
      </c>
      <c r="F856" s="0" t="s">
        <v>240</v>
      </c>
      <c r="G856" s="0" t="s">
        <v>240</v>
      </c>
      <c r="H856" s="0" t="s">
        <v>240</v>
      </c>
      <c r="I856" s="0" t="s">
        <v>7004</v>
      </c>
      <c r="J856" s="0" t="s">
        <v>240</v>
      </c>
      <c r="K856" s="0" t="s">
        <v>240</v>
      </c>
      <c r="L856" s="0" t="s">
        <v>240</v>
      </c>
      <c r="M856" s="0" t="s">
        <v>240</v>
      </c>
      <c r="N856" s="0" t="s">
        <v>240</v>
      </c>
      <c r="O856" s="0" t="s">
        <v>240</v>
      </c>
      <c r="P856" s="0" t="s">
        <v>240</v>
      </c>
      <c r="Q856" s="0" t="s">
        <v>240</v>
      </c>
      <c r="R856" s="0" t="s">
        <v>502</v>
      </c>
      <c r="S856" s="0" t="s">
        <v>240</v>
      </c>
      <c r="T856" s="0" t="s">
        <v>240</v>
      </c>
      <c r="U856" s="0" t="s">
        <v>102</v>
      </c>
      <c r="V856" s="0" t="s">
        <v>240</v>
      </c>
      <c r="W856" s="0" t="s">
        <v>240</v>
      </c>
      <c r="X856" s="0" t="s">
        <v>5585</v>
      </c>
      <c r="Y856" s="0" t="s">
        <v>240</v>
      </c>
      <c r="Z856" s="0" t="s">
        <v>152</v>
      </c>
      <c r="AA856" s="0" t="s">
        <v>152</v>
      </c>
      <c r="AB856" s="0" t="s">
        <v>161</v>
      </c>
      <c r="AC856" s="0" t="s">
        <v>364</v>
      </c>
      <c r="AD856" s="0" t="s">
        <v>364</v>
      </c>
      <c r="AE856" s="0" t="s">
        <v>365</v>
      </c>
      <c r="AF856" s="0" t="s">
        <v>5486</v>
      </c>
      <c r="AG856" s="0" t="s">
        <v>5487</v>
      </c>
      <c r="AH856" s="0" t="s">
        <v>6622</v>
      </c>
      <c r="AI856" s="0" t="s">
        <v>5533</v>
      </c>
      <c r="AJ856" s="0" t="s">
        <v>240</v>
      </c>
      <c r="AK856" s="0" t="s">
        <v>240</v>
      </c>
      <c r="AL856" s="0" t="s">
        <v>240</v>
      </c>
      <c r="AN856" s="0" t="s">
        <v>240</v>
      </c>
      <c r="AO856" s="0" t="s">
        <v>240</v>
      </c>
      <c r="AP856" s="0" t="s">
        <v>240</v>
      </c>
      <c r="AQ856" s="0" t="s">
        <v>240</v>
      </c>
      <c r="AR856" s="0" t="s">
        <v>240</v>
      </c>
      <c r="AS856" s="0" t="s">
        <v>240</v>
      </c>
      <c r="AT856" s="0" t="s">
        <v>240</v>
      </c>
      <c r="AU856" s="0" t="s">
        <v>240</v>
      </c>
      <c r="AV856" s="0" t="s">
        <v>240</v>
      </c>
      <c r="AW856" s="0" t="s">
        <v>240</v>
      </c>
      <c r="AX856" s="0" t="s">
        <v>240</v>
      </c>
      <c r="AY856" s="0" t="s">
        <v>240</v>
      </c>
      <c r="AZ856" s="0" t="s">
        <v>240</v>
      </c>
      <c r="BA856" s="0" t="s">
        <v>240</v>
      </c>
      <c r="BB856" s="0" t="s">
        <v>240</v>
      </c>
      <c r="BC856" s="0" t="s">
        <v>240</v>
      </c>
      <c r="BD856" s="0" t="s">
        <v>240</v>
      </c>
      <c r="BE856" s="0" t="s">
        <v>7054</v>
      </c>
      <c r="BF856" s="0" t="s">
        <v>7055</v>
      </c>
      <c r="BG856" s="0" t="s">
        <v>112</v>
      </c>
      <c r="BH856" s="0" t="s">
        <v>5589</v>
      </c>
      <c r="BI856" s="0" t="s">
        <v>123</v>
      </c>
      <c r="BJ856" s="0" t="s">
        <v>240</v>
      </c>
      <c r="BK856" s="0" t="s">
        <v>7056</v>
      </c>
      <c r="BL856" s="0" t="s">
        <v>364</v>
      </c>
      <c r="BM856" s="0" t="s">
        <v>364</v>
      </c>
      <c r="BN856" s="0" t="s">
        <v>6811</v>
      </c>
      <c r="BO856" s="0" t="s">
        <v>5486</v>
      </c>
      <c r="BP856" s="0" t="s">
        <v>7057</v>
      </c>
      <c r="BQ856" s="0" t="s">
        <v>6622</v>
      </c>
      <c r="BR856" s="0" t="s">
        <v>5533</v>
      </c>
      <c r="BS856" s="0" t="s">
        <v>240</v>
      </c>
      <c r="BT856" s="0" t="s">
        <v>5650</v>
      </c>
      <c r="CS856" s="0" t="s">
        <v>7058</v>
      </c>
      <c r="CT856" s="0" t="s">
        <v>5496</v>
      </c>
      <c r="CU856" s="0" t="s">
        <v>5497</v>
      </c>
      <c r="CV856" s="0" t="s">
        <v>443</v>
      </c>
      <c r="CW856" s="0" t="s">
        <v>5498</v>
      </c>
      <c r="CX856" s="0" t="s">
        <v>229</v>
      </c>
      <c r="CY856" s="0" t="s">
        <v>443</v>
      </c>
      <c r="CZ856" s="0" t="s">
        <v>230</v>
      </c>
      <c r="DA856" s="0" t="s">
        <v>444</v>
      </c>
      <c r="DB856" s="0" t="s">
        <v>5498</v>
      </c>
      <c r="DC856" s="0" t="s">
        <v>384</v>
      </c>
      <c r="DD856" s="0" t="s">
        <v>300</v>
      </c>
      <c r="DE856" s="0" t="s">
        <v>503</v>
      </c>
    </row>
    <row customHeight="1" ht="11.25">
      <c r="A857" s="1441" t="s">
        <v>240</v>
      </c>
      <c r="B857" s="0" t="s">
        <v>240</v>
      </c>
      <c r="C857" s="0" t="s">
        <v>240</v>
      </c>
      <c r="D857" s="0" t="s">
        <v>240</v>
      </c>
      <c r="E857" s="0" t="s">
        <v>240</v>
      </c>
      <c r="F857" s="0" t="s">
        <v>240</v>
      </c>
      <c r="G857" s="0" t="s">
        <v>240</v>
      </c>
      <c r="H857" s="0" t="s">
        <v>240</v>
      </c>
      <c r="I857" s="0" t="s">
        <v>7004</v>
      </c>
      <c r="J857" s="0" t="s">
        <v>240</v>
      </c>
      <c r="K857" s="0" t="s">
        <v>240</v>
      </c>
      <c r="L857" s="0" t="s">
        <v>240</v>
      </c>
      <c r="M857" s="0" t="s">
        <v>240</v>
      </c>
      <c r="N857" s="0" t="s">
        <v>240</v>
      </c>
      <c r="O857" s="0" t="s">
        <v>240</v>
      </c>
      <c r="P857" s="0" t="s">
        <v>240</v>
      </c>
      <c r="Q857" s="0" t="s">
        <v>240</v>
      </c>
      <c r="R857" s="0" t="s">
        <v>7099</v>
      </c>
      <c r="S857" s="0" t="s">
        <v>240</v>
      </c>
      <c r="T857" s="0" t="s">
        <v>240</v>
      </c>
      <c r="U857" s="0" t="s">
        <v>102</v>
      </c>
      <c r="V857" s="0" t="s">
        <v>240</v>
      </c>
      <c r="W857" s="0" t="s">
        <v>240</v>
      </c>
      <c r="X857" s="0" t="s">
        <v>546</v>
      </c>
      <c r="Y857" s="0" t="s">
        <v>240</v>
      </c>
      <c r="Z857" s="0" t="s">
        <v>161</v>
      </c>
      <c r="AA857" s="0" t="s">
        <v>152</v>
      </c>
      <c r="AB857" s="0" t="s">
        <v>152</v>
      </c>
      <c r="AC857" s="0" t="s">
        <v>3389</v>
      </c>
      <c r="AD857" s="0" t="s">
        <v>3389</v>
      </c>
      <c r="AE857" s="0" t="s">
        <v>3390</v>
      </c>
      <c r="AF857" s="0" t="s">
        <v>5519</v>
      </c>
      <c r="AG857" s="0" t="s">
        <v>5520</v>
      </c>
      <c r="AH857" s="0" t="s">
        <v>7100</v>
      </c>
      <c r="AI857" s="0" t="s">
        <v>7101</v>
      </c>
      <c r="AJ857" s="0" t="s">
        <v>7102</v>
      </c>
      <c r="AK857" s="0" t="s">
        <v>7103</v>
      </c>
      <c r="AL857" s="0" t="s">
        <v>7027</v>
      </c>
      <c r="AN857" s="0" t="s">
        <v>7104</v>
      </c>
      <c r="AO857" s="0" t="s">
        <v>7105</v>
      </c>
      <c r="AP857" s="0" t="s">
        <v>240</v>
      </c>
      <c r="AQ857" s="0" t="s">
        <v>240</v>
      </c>
      <c r="AR857" s="0" t="s">
        <v>240</v>
      </c>
      <c r="AS857" s="0" t="s">
        <v>240</v>
      </c>
      <c r="AT857" s="0" t="s">
        <v>240</v>
      </c>
      <c r="AU857" s="0" t="s">
        <v>240</v>
      </c>
      <c r="AV857" s="0" t="s">
        <v>240</v>
      </c>
      <c r="AW857" s="0" t="s">
        <v>240</v>
      </c>
      <c r="AX857" s="0" t="s">
        <v>240</v>
      </c>
      <c r="AY857" s="0" t="s">
        <v>240</v>
      </c>
      <c r="AZ857" s="0" t="s">
        <v>240</v>
      </c>
      <c r="BA857" s="0" t="s">
        <v>240</v>
      </c>
      <c r="BB857" s="0" t="s">
        <v>240</v>
      </c>
      <c r="BC857" s="0" t="s">
        <v>240</v>
      </c>
      <c r="BD857" s="0" t="s">
        <v>240</v>
      </c>
      <c r="BE857" s="0" t="s">
        <v>240</v>
      </c>
      <c r="BF857" s="0" t="s">
        <v>240</v>
      </c>
      <c r="BG857" s="0" t="s">
        <v>240</v>
      </c>
      <c r="BH857" s="0" t="s">
        <v>240</v>
      </c>
      <c r="BI857" s="0" t="s">
        <v>240</v>
      </c>
      <c r="BJ857" s="0" t="s">
        <v>240</v>
      </c>
      <c r="BK857" s="0" t="s">
        <v>240</v>
      </c>
      <c r="BL857" s="0" t="s">
        <v>240</v>
      </c>
      <c r="BM857" s="0" t="s">
        <v>240</v>
      </c>
      <c r="BN857" s="0" t="s">
        <v>240</v>
      </c>
      <c r="BO857" s="0" t="s">
        <v>240</v>
      </c>
      <c r="BP857" s="0" t="s">
        <v>240</v>
      </c>
      <c r="BQ857" s="0" t="s">
        <v>240</v>
      </c>
      <c r="BR857" s="0" t="s">
        <v>240</v>
      </c>
      <c r="BS857" s="0" t="s">
        <v>240</v>
      </c>
      <c r="BT857" s="0" t="s">
        <v>240</v>
      </c>
      <c r="CS857" s="0" t="s">
        <v>240</v>
      </c>
      <c r="CT857" s="0" t="s">
        <v>5496</v>
      </c>
      <c r="CU857" s="0" t="s">
        <v>7012</v>
      </c>
      <c r="CV857" s="0" t="s">
        <v>5947</v>
      </c>
      <c r="CW857" s="0" t="s">
        <v>7013</v>
      </c>
      <c r="CX857" s="0" t="s">
        <v>5528</v>
      </c>
      <c r="CY857" s="0" t="s">
        <v>5947</v>
      </c>
      <c r="CZ857" s="0" t="s">
        <v>7014</v>
      </c>
      <c r="DA857" s="0" t="s">
        <v>7015</v>
      </c>
      <c r="DB857" s="0" t="s">
        <v>7013</v>
      </c>
      <c r="DC857" s="0" t="s">
        <v>384</v>
      </c>
      <c r="DD857" s="0" t="s">
        <v>300</v>
      </c>
      <c r="DE857" s="0" t="s">
        <v>7106</v>
      </c>
    </row>
    <row customHeight="1" ht="11.25">
      <c r="A858" s="1441" t="s">
        <v>240</v>
      </c>
      <c r="B858" s="0" t="s">
        <v>240</v>
      </c>
      <c r="C858" s="0" t="s">
        <v>240</v>
      </c>
      <c r="D858" s="0" t="s">
        <v>240</v>
      </c>
      <c r="E858" s="0" t="s">
        <v>240</v>
      </c>
      <c r="F858" s="0" t="s">
        <v>240</v>
      </c>
      <c r="G858" s="0" t="s">
        <v>240</v>
      </c>
      <c r="H858" s="0" t="s">
        <v>240</v>
      </c>
      <c r="I858" s="0" t="s">
        <v>7004</v>
      </c>
      <c r="J858" s="0" t="s">
        <v>240</v>
      </c>
      <c r="K858" s="0" t="s">
        <v>240</v>
      </c>
      <c r="L858" s="0" t="s">
        <v>240</v>
      </c>
      <c r="M858" s="0" t="s">
        <v>240</v>
      </c>
      <c r="N858" s="0" t="s">
        <v>240</v>
      </c>
      <c r="O858" s="0" t="s">
        <v>240</v>
      </c>
      <c r="P858" s="0" t="s">
        <v>240</v>
      </c>
      <c r="Q858" s="0" t="s">
        <v>240</v>
      </c>
      <c r="R858" s="0" t="s">
        <v>502</v>
      </c>
      <c r="S858" s="0" t="s">
        <v>240</v>
      </c>
      <c r="T858" s="0" t="s">
        <v>240</v>
      </c>
      <c r="U858" s="0" t="s">
        <v>102</v>
      </c>
      <c r="V858" s="0" t="s">
        <v>240</v>
      </c>
      <c r="W858" s="0" t="s">
        <v>240</v>
      </c>
      <c r="X858" s="0" t="s">
        <v>5585</v>
      </c>
      <c r="Y858" s="0" t="s">
        <v>240</v>
      </c>
      <c r="Z858" s="0" t="s">
        <v>152</v>
      </c>
      <c r="AA858" s="0" t="s">
        <v>152</v>
      </c>
      <c r="AB858" s="0" t="s">
        <v>161</v>
      </c>
      <c r="AC858" s="0" t="s">
        <v>364</v>
      </c>
      <c r="AD858" s="0" t="s">
        <v>364</v>
      </c>
      <c r="AE858" s="0" t="s">
        <v>365</v>
      </c>
      <c r="AF858" s="0" t="s">
        <v>6806</v>
      </c>
      <c r="AG858" s="0" t="s">
        <v>6807</v>
      </c>
      <c r="AH858" s="0" t="s">
        <v>6808</v>
      </c>
      <c r="AI858" s="0" t="s">
        <v>5533</v>
      </c>
      <c r="AJ858" s="0" t="s">
        <v>240</v>
      </c>
      <c r="AK858" s="0" t="s">
        <v>240</v>
      </c>
      <c r="AL858" s="0" t="s">
        <v>240</v>
      </c>
      <c r="AN858" s="0" t="s">
        <v>240</v>
      </c>
      <c r="AO858" s="0" t="s">
        <v>240</v>
      </c>
      <c r="AP858" s="0" t="s">
        <v>240</v>
      </c>
      <c r="AQ858" s="0" t="s">
        <v>240</v>
      </c>
      <c r="AR858" s="0" t="s">
        <v>240</v>
      </c>
      <c r="AS858" s="0" t="s">
        <v>240</v>
      </c>
      <c r="AT858" s="0" t="s">
        <v>240</v>
      </c>
      <c r="AU858" s="0" t="s">
        <v>240</v>
      </c>
      <c r="AV858" s="0" t="s">
        <v>240</v>
      </c>
      <c r="AW858" s="0" t="s">
        <v>240</v>
      </c>
      <c r="AX858" s="0" t="s">
        <v>240</v>
      </c>
      <c r="AY858" s="0" t="s">
        <v>240</v>
      </c>
      <c r="AZ858" s="0" t="s">
        <v>240</v>
      </c>
      <c r="BA858" s="0" t="s">
        <v>240</v>
      </c>
      <c r="BB858" s="0" t="s">
        <v>240</v>
      </c>
      <c r="BC858" s="0" t="s">
        <v>240</v>
      </c>
      <c r="BD858" s="0" t="s">
        <v>240</v>
      </c>
      <c r="BE858" s="0" t="s">
        <v>6917</v>
      </c>
      <c r="BF858" s="0" t="s">
        <v>7059</v>
      </c>
      <c r="BG858" s="0" t="s">
        <v>112</v>
      </c>
      <c r="BH858" s="0" t="s">
        <v>5589</v>
      </c>
      <c r="BI858" s="0" t="s">
        <v>123</v>
      </c>
      <c r="BJ858" s="0" t="s">
        <v>240</v>
      </c>
      <c r="BK858" s="0" t="s">
        <v>546</v>
      </c>
      <c r="BL858" s="0" t="s">
        <v>364</v>
      </c>
      <c r="BM858" s="0" t="s">
        <v>364</v>
      </c>
      <c r="BN858" s="0" t="s">
        <v>6811</v>
      </c>
      <c r="BO858" s="0" t="s">
        <v>6806</v>
      </c>
      <c r="BP858" s="0" t="s">
        <v>6812</v>
      </c>
      <c r="BQ858" s="0" t="s">
        <v>7060</v>
      </c>
      <c r="BR858" s="0" t="s">
        <v>7061</v>
      </c>
      <c r="BS858" s="0" t="s">
        <v>240</v>
      </c>
      <c r="BT858" s="0" t="s">
        <v>5650</v>
      </c>
      <c r="CS858" s="0" t="s">
        <v>5504</v>
      </c>
      <c r="CT858" s="0" t="s">
        <v>5496</v>
      </c>
      <c r="CU858" s="0" t="s">
        <v>5497</v>
      </c>
      <c r="CV858" s="0" t="s">
        <v>443</v>
      </c>
      <c r="CW858" s="0" t="s">
        <v>6818</v>
      </c>
      <c r="CX858" s="0" t="s">
        <v>229</v>
      </c>
      <c r="CY858" s="0" t="s">
        <v>443</v>
      </c>
      <c r="CZ858" s="0" t="s">
        <v>234</v>
      </c>
      <c r="DA858" s="0" t="s">
        <v>444</v>
      </c>
      <c r="DB858" s="0" t="s">
        <v>6818</v>
      </c>
      <c r="DC858" s="0" t="s">
        <v>384</v>
      </c>
      <c r="DD858" s="0" t="s">
        <v>300</v>
      </c>
      <c r="DE858" s="0" t="s">
        <v>538</v>
      </c>
    </row>
    <row customHeight="1" ht="11.25">
      <c r="A859" s="1441" t="s">
        <v>240</v>
      </c>
      <c r="B859" s="0" t="s">
        <v>240</v>
      </c>
      <c r="C859" s="0" t="s">
        <v>240</v>
      </c>
      <c r="D859" s="0" t="s">
        <v>240</v>
      </c>
      <c r="E859" s="0" t="s">
        <v>240</v>
      </c>
      <c r="F859" s="0" t="s">
        <v>240</v>
      </c>
      <c r="G859" s="0" t="s">
        <v>240</v>
      </c>
      <c r="H859" s="0" t="s">
        <v>240</v>
      </c>
      <c r="I859" s="0" t="s">
        <v>7004</v>
      </c>
      <c r="J859" s="0" t="s">
        <v>240</v>
      </c>
      <c r="K859" s="0" t="s">
        <v>240</v>
      </c>
      <c r="L859" s="0" t="s">
        <v>240</v>
      </c>
      <c r="M859" s="0" t="s">
        <v>240</v>
      </c>
      <c r="N859" s="0" t="s">
        <v>240</v>
      </c>
      <c r="O859" s="0" t="s">
        <v>240</v>
      </c>
      <c r="P859" s="0" t="s">
        <v>240</v>
      </c>
      <c r="Q859" s="0" t="s">
        <v>240</v>
      </c>
      <c r="R859" s="0" t="s">
        <v>7081</v>
      </c>
      <c r="S859" s="0" t="s">
        <v>240</v>
      </c>
      <c r="T859" s="0" t="s">
        <v>240</v>
      </c>
      <c r="U859" s="0" t="s">
        <v>102</v>
      </c>
      <c r="V859" s="0" t="s">
        <v>240</v>
      </c>
      <c r="W859" s="0" t="s">
        <v>240</v>
      </c>
      <c r="X859" s="0" t="s">
        <v>546</v>
      </c>
      <c r="Y859" s="0" t="s">
        <v>240</v>
      </c>
      <c r="Z859" s="0" t="s">
        <v>161</v>
      </c>
      <c r="AA859" s="0" t="s">
        <v>152</v>
      </c>
      <c r="AB859" s="0" t="s">
        <v>152</v>
      </c>
      <c r="AC859" s="0" t="s">
        <v>3389</v>
      </c>
      <c r="AD859" s="0" t="s">
        <v>3389</v>
      </c>
      <c r="AE859" s="0" t="s">
        <v>3390</v>
      </c>
      <c r="AF859" s="0" t="s">
        <v>5519</v>
      </c>
      <c r="AG859" s="0" t="s">
        <v>5520</v>
      </c>
      <c r="AH859" s="0" t="s">
        <v>6123</v>
      </c>
      <c r="AI859" s="0" t="s">
        <v>7082</v>
      </c>
      <c r="AJ859" s="0" t="s">
        <v>7083</v>
      </c>
      <c r="AK859" s="0" t="s">
        <v>7084</v>
      </c>
      <c r="AL859" s="0" t="s">
        <v>7009</v>
      </c>
      <c r="AN859" s="0" t="s">
        <v>7085</v>
      </c>
      <c r="AO859" s="0" t="s">
        <v>7086</v>
      </c>
      <c r="AP859" s="0" t="s">
        <v>240</v>
      </c>
      <c r="AQ859" s="0" t="s">
        <v>240</v>
      </c>
      <c r="AR859" s="0" t="s">
        <v>240</v>
      </c>
      <c r="AS859" s="0" t="s">
        <v>240</v>
      </c>
      <c r="AT859" s="0" t="s">
        <v>240</v>
      </c>
      <c r="AU859" s="0" t="s">
        <v>240</v>
      </c>
      <c r="AV859" s="0" t="s">
        <v>240</v>
      </c>
      <c r="AW859" s="0" t="s">
        <v>240</v>
      </c>
      <c r="AX859" s="0" t="s">
        <v>240</v>
      </c>
      <c r="AY859" s="0" t="s">
        <v>240</v>
      </c>
      <c r="AZ859" s="0" t="s">
        <v>240</v>
      </c>
      <c r="BA859" s="0" t="s">
        <v>240</v>
      </c>
      <c r="BB859" s="0" t="s">
        <v>240</v>
      </c>
      <c r="BC859" s="0" t="s">
        <v>240</v>
      </c>
      <c r="BD859" s="0" t="s">
        <v>240</v>
      </c>
      <c r="BE859" s="0" t="s">
        <v>240</v>
      </c>
      <c r="BF859" s="0" t="s">
        <v>240</v>
      </c>
      <c r="BG859" s="0" t="s">
        <v>240</v>
      </c>
      <c r="BH859" s="0" t="s">
        <v>240</v>
      </c>
      <c r="BI859" s="0" t="s">
        <v>240</v>
      </c>
      <c r="BJ859" s="0" t="s">
        <v>240</v>
      </c>
      <c r="BK859" s="0" t="s">
        <v>240</v>
      </c>
      <c r="BL859" s="0" t="s">
        <v>240</v>
      </c>
      <c r="BM859" s="0" t="s">
        <v>240</v>
      </c>
      <c r="BN859" s="0" t="s">
        <v>240</v>
      </c>
      <c r="BO859" s="0" t="s">
        <v>240</v>
      </c>
      <c r="BP859" s="0" t="s">
        <v>240</v>
      </c>
      <c r="BQ859" s="0" t="s">
        <v>240</v>
      </c>
      <c r="BR859" s="0" t="s">
        <v>240</v>
      </c>
      <c r="BS859" s="0" t="s">
        <v>240</v>
      </c>
      <c r="BT859" s="0" t="s">
        <v>240</v>
      </c>
      <c r="CS859" s="0" t="s">
        <v>240</v>
      </c>
      <c r="CT859" s="0" t="s">
        <v>5496</v>
      </c>
      <c r="CU859" s="0" t="s">
        <v>5497</v>
      </c>
      <c r="CV859" s="0" t="s">
        <v>443</v>
      </c>
      <c r="CW859" s="0" t="s">
        <v>5527</v>
      </c>
      <c r="CX859" s="0" t="s">
        <v>229</v>
      </c>
      <c r="CY859" s="0" t="s">
        <v>443</v>
      </c>
      <c r="CZ859" s="0" t="s">
        <v>299</v>
      </c>
      <c r="DA859" s="0" t="s">
        <v>5529</v>
      </c>
      <c r="DB859" s="0" t="s">
        <v>5527</v>
      </c>
      <c r="DC859" s="0" t="s">
        <v>384</v>
      </c>
      <c r="DD859" s="0" t="s">
        <v>300</v>
      </c>
      <c r="DE859" s="0" t="s">
        <v>7087</v>
      </c>
    </row>
    <row customHeight="1" ht="11.25">
      <c r="A860" s="1441" t="s">
        <v>240</v>
      </c>
      <c r="B860" s="0" t="s">
        <v>240</v>
      </c>
      <c r="C860" s="0" t="s">
        <v>240</v>
      </c>
      <c r="D860" s="0" t="s">
        <v>240</v>
      </c>
      <c r="E860" s="0" t="s">
        <v>240</v>
      </c>
      <c r="F860" s="0" t="s">
        <v>240</v>
      </c>
      <c r="G860" s="0" t="s">
        <v>240</v>
      </c>
      <c r="H860" s="0" t="s">
        <v>240</v>
      </c>
      <c r="I860" s="0" t="s">
        <v>7004</v>
      </c>
      <c r="J860" s="0" t="s">
        <v>240</v>
      </c>
      <c r="K860" s="0" t="s">
        <v>240</v>
      </c>
      <c r="L860" s="0" t="s">
        <v>240</v>
      </c>
      <c r="M860" s="0" t="s">
        <v>240</v>
      </c>
      <c r="N860" s="0" t="s">
        <v>240</v>
      </c>
      <c r="O860" s="0" t="s">
        <v>240</v>
      </c>
      <c r="P860" s="0" t="s">
        <v>240</v>
      </c>
      <c r="Q860" s="0" t="s">
        <v>240</v>
      </c>
      <c r="R860" s="0" t="s">
        <v>7088</v>
      </c>
      <c r="S860" s="0" t="s">
        <v>240</v>
      </c>
      <c r="T860" s="0" t="s">
        <v>240</v>
      </c>
      <c r="U860" s="0" t="s">
        <v>102</v>
      </c>
      <c r="V860" s="0" t="s">
        <v>240</v>
      </c>
      <c r="W860" s="0" t="s">
        <v>240</v>
      </c>
      <c r="X860" s="0" t="s">
        <v>546</v>
      </c>
      <c r="Y860" s="0" t="s">
        <v>240</v>
      </c>
      <c r="Z860" s="0" t="s">
        <v>161</v>
      </c>
      <c r="AA860" s="0" t="s">
        <v>152</v>
      </c>
      <c r="AB860" s="0" t="s">
        <v>152</v>
      </c>
      <c r="AC860" s="0" t="s">
        <v>3389</v>
      </c>
      <c r="AD860" s="0" t="s">
        <v>3389</v>
      </c>
      <c r="AE860" s="0" t="s">
        <v>3390</v>
      </c>
      <c r="AF860" s="0" t="s">
        <v>5519</v>
      </c>
      <c r="AG860" s="0" t="s">
        <v>5520</v>
      </c>
      <c r="AH860" s="0" t="s">
        <v>7089</v>
      </c>
      <c r="AI860" s="0" t="s">
        <v>5533</v>
      </c>
      <c r="AJ860" s="0" t="s">
        <v>5903</v>
      </c>
      <c r="AK860" s="0" t="s">
        <v>7090</v>
      </c>
      <c r="AL860" s="0" t="s">
        <v>7009</v>
      </c>
      <c r="AN860" s="0" t="s">
        <v>7091</v>
      </c>
      <c r="AO860" s="0" t="s">
        <v>6125</v>
      </c>
      <c r="AP860" s="0" t="s">
        <v>240</v>
      </c>
      <c r="AQ860" s="0" t="s">
        <v>240</v>
      </c>
      <c r="AR860" s="0" t="s">
        <v>240</v>
      </c>
      <c r="AS860" s="0" t="s">
        <v>240</v>
      </c>
      <c r="AT860" s="0" t="s">
        <v>240</v>
      </c>
      <c r="AU860" s="0" t="s">
        <v>240</v>
      </c>
      <c r="AV860" s="0" t="s">
        <v>240</v>
      </c>
      <c r="AW860" s="0" t="s">
        <v>240</v>
      </c>
      <c r="AX860" s="0" t="s">
        <v>240</v>
      </c>
      <c r="AY860" s="0" t="s">
        <v>240</v>
      </c>
      <c r="AZ860" s="0" t="s">
        <v>240</v>
      </c>
      <c r="BA860" s="0" t="s">
        <v>240</v>
      </c>
      <c r="BB860" s="0" t="s">
        <v>240</v>
      </c>
      <c r="BC860" s="0" t="s">
        <v>240</v>
      </c>
      <c r="BD860" s="0" t="s">
        <v>240</v>
      </c>
      <c r="BE860" s="0" t="s">
        <v>240</v>
      </c>
      <c r="BF860" s="0" t="s">
        <v>240</v>
      </c>
      <c r="BG860" s="0" t="s">
        <v>240</v>
      </c>
      <c r="BH860" s="0" t="s">
        <v>240</v>
      </c>
      <c r="BI860" s="0" t="s">
        <v>240</v>
      </c>
      <c r="BJ860" s="0" t="s">
        <v>240</v>
      </c>
      <c r="BK860" s="0" t="s">
        <v>240</v>
      </c>
      <c r="BL860" s="0" t="s">
        <v>240</v>
      </c>
      <c r="BM860" s="0" t="s">
        <v>240</v>
      </c>
      <c r="BN860" s="0" t="s">
        <v>240</v>
      </c>
      <c r="BO860" s="0" t="s">
        <v>240</v>
      </c>
      <c r="BP860" s="0" t="s">
        <v>240</v>
      </c>
      <c r="BQ860" s="0" t="s">
        <v>240</v>
      </c>
      <c r="BR860" s="0" t="s">
        <v>240</v>
      </c>
      <c r="BS860" s="0" t="s">
        <v>240</v>
      </c>
      <c r="BT860" s="0" t="s">
        <v>240</v>
      </c>
      <c r="CS860" s="0" t="s">
        <v>240</v>
      </c>
      <c r="CT860" s="0" t="s">
        <v>5496</v>
      </c>
      <c r="CU860" s="0" t="s">
        <v>5497</v>
      </c>
      <c r="CV860" s="0" t="s">
        <v>443</v>
      </c>
      <c r="CW860" s="0" t="s">
        <v>5527</v>
      </c>
      <c r="CX860" s="0" t="s">
        <v>229</v>
      </c>
      <c r="CY860" s="0" t="s">
        <v>443</v>
      </c>
      <c r="CZ860" s="0" t="s">
        <v>299</v>
      </c>
      <c r="DA860" s="0" t="s">
        <v>5529</v>
      </c>
      <c r="DB860" s="0" t="s">
        <v>5527</v>
      </c>
      <c r="DC860" s="0" t="s">
        <v>384</v>
      </c>
      <c r="DD860" s="0" t="s">
        <v>300</v>
      </c>
      <c r="DE860" s="0" t="s">
        <v>7092</v>
      </c>
    </row>
    <row customHeight="1" ht="11.25">
      <c r="A861" s="1441" t="s">
        <v>240</v>
      </c>
      <c r="B861" s="0" t="s">
        <v>240</v>
      </c>
      <c r="C861" s="0" t="s">
        <v>240</v>
      </c>
      <c r="D861" s="0" t="s">
        <v>240</v>
      </c>
      <c r="E861" s="0" t="s">
        <v>240</v>
      </c>
      <c r="F861" s="0" t="s">
        <v>240</v>
      </c>
      <c r="G861" s="0" t="s">
        <v>240</v>
      </c>
      <c r="H861" s="0" t="s">
        <v>240</v>
      </c>
      <c r="I861" s="0" t="s">
        <v>7004</v>
      </c>
      <c r="J861" s="0" t="s">
        <v>240</v>
      </c>
      <c r="K861" s="0" t="s">
        <v>240</v>
      </c>
      <c r="L861" s="0" t="s">
        <v>240</v>
      </c>
      <c r="M861" s="0" t="s">
        <v>240</v>
      </c>
      <c r="N861" s="0" t="s">
        <v>240</v>
      </c>
      <c r="O861" s="0" t="s">
        <v>240</v>
      </c>
      <c r="P861" s="0" t="s">
        <v>240</v>
      </c>
      <c r="Q861" s="0" t="s">
        <v>240</v>
      </c>
      <c r="R861" s="0" t="s">
        <v>7252</v>
      </c>
      <c r="S861" s="0" t="s">
        <v>240</v>
      </c>
      <c r="T861" s="0" t="s">
        <v>240</v>
      </c>
      <c r="U861" s="0" t="s">
        <v>102</v>
      </c>
      <c r="V861" s="0" t="s">
        <v>240</v>
      </c>
      <c r="W861" s="0" t="s">
        <v>240</v>
      </c>
      <c r="X861" s="0" t="s">
        <v>5585</v>
      </c>
      <c r="Y861" s="0" t="s">
        <v>240</v>
      </c>
      <c r="Z861" s="0" t="s">
        <v>152</v>
      </c>
      <c r="AA861" s="0" t="s">
        <v>152</v>
      </c>
      <c r="AB861" s="0" t="s">
        <v>161</v>
      </c>
      <c r="AC861" s="0" t="s">
        <v>3389</v>
      </c>
      <c r="AD861" s="0" t="s">
        <v>3389</v>
      </c>
      <c r="AE861" s="0" t="s">
        <v>3390</v>
      </c>
      <c r="AF861" s="0" t="s">
        <v>5519</v>
      </c>
      <c r="AG861" s="0" t="s">
        <v>5520</v>
      </c>
      <c r="AH861" s="0" t="s">
        <v>7253</v>
      </c>
      <c r="AI861" s="0" t="s">
        <v>5533</v>
      </c>
      <c r="AJ861" s="0" t="s">
        <v>240</v>
      </c>
      <c r="AK861" s="0" t="s">
        <v>240</v>
      </c>
      <c r="AL861" s="0" t="s">
        <v>240</v>
      </c>
      <c r="AN861" s="0" t="s">
        <v>240</v>
      </c>
      <c r="AO861" s="0" t="s">
        <v>240</v>
      </c>
      <c r="AP861" s="0" t="s">
        <v>240</v>
      </c>
      <c r="AQ861" s="0" t="s">
        <v>240</v>
      </c>
      <c r="AR861" s="0" t="s">
        <v>240</v>
      </c>
      <c r="AS861" s="0" t="s">
        <v>240</v>
      </c>
      <c r="AT861" s="0" t="s">
        <v>240</v>
      </c>
      <c r="AU861" s="0" t="s">
        <v>240</v>
      </c>
      <c r="AV861" s="0" t="s">
        <v>240</v>
      </c>
      <c r="AW861" s="0" t="s">
        <v>240</v>
      </c>
      <c r="AX861" s="0" t="s">
        <v>240</v>
      </c>
      <c r="AY861" s="0" t="s">
        <v>240</v>
      </c>
      <c r="AZ861" s="0" t="s">
        <v>240</v>
      </c>
      <c r="BA861" s="0" t="s">
        <v>240</v>
      </c>
      <c r="BB861" s="0" t="s">
        <v>240</v>
      </c>
      <c r="BC861" s="0" t="s">
        <v>240</v>
      </c>
      <c r="BD861" s="0" t="s">
        <v>240</v>
      </c>
      <c r="BE861" s="0" t="s">
        <v>7254</v>
      </c>
      <c r="BF861" s="0" t="s">
        <v>7255</v>
      </c>
      <c r="BG861" s="0" t="s">
        <v>112</v>
      </c>
      <c r="BH861" s="0" t="s">
        <v>5589</v>
      </c>
      <c r="BI861" s="0" t="s">
        <v>123</v>
      </c>
      <c r="BJ861" s="0" t="s">
        <v>240</v>
      </c>
      <c r="BK861" s="0" t="s">
        <v>7256</v>
      </c>
      <c r="BL861" s="0" t="s">
        <v>3389</v>
      </c>
      <c r="BM861" s="0" t="s">
        <v>3389</v>
      </c>
      <c r="BN861" s="0" t="s">
        <v>5591</v>
      </c>
      <c r="BO861" s="0" t="s">
        <v>5519</v>
      </c>
      <c r="BP861" s="0" t="s">
        <v>5592</v>
      </c>
      <c r="BQ861" s="0" t="s">
        <v>5593</v>
      </c>
      <c r="BR861" s="0" t="s">
        <v>5533</v>
      </c>
      <c r="BS861" s="0" t="s">
        <v>240</v>
      </c>
      <c r="BT861" s="0" t="s">
        <v>5594</v>
      </c>
      <c r="CS861" s="0" t="s">
        <v>7257</v>
      </c>
      <c r="CT861" s="0" t="s">
        <v>5496</v>
      </c>
      <c r="CU861" s="0" t="s">
        <v>5497</v>
      </c>
      <c r="CV861" s="0" t="s">
        <v>443</v>
      </c>
      <c r="CW861" s="0" t="s">
        <v>5527</v>
      </c>
      <c r="CX861" s="0" t="s">
        <v>229</v>
      </c>
      <c r="CY861" s="0" t="s">
        <v>443</v>
      </c>
      <c r="CZ861" s="0" t="s">
        <v>299</v>
      </c>
      <c r="DA861" s="0" t="s">
        <v>5529</v>
      </c>
      <c r="DB861" s="0" t="s">
        <v>5527</v>
      </c>
      <c r="DC861" s="0" t="s">
        <v>384</v>
      </c>
      <c r="DD861" s="0" t="s">
        <v>300</v>
      </c>
      <c r="DE861" s="0" t="s">
        <v>7258</v>
      </c>
    </row>
    <row customHeight="1" ht="11.25">
      <c r="A862" s="1441" t="s">
        <v>240</v>
      </c>
      <c r="B862" s="0" t="s">
        <v>240</v>
      </c>
      <c r="C862" s="0" t="s">
        <v>240</v>
      </c>
      <c r="D862" s="0" t="s">
        <v>240</v>
      </c>
      <c r="E862" s="0" t="s">
        <v>240</v>
      </c>
      <c r="F862" s="0" t="s">
        <v>240</v>
      </c>
      <c r="G862" s="0" t="s">
        <v>240</v>
      </c>
      <c r="H862" s="0" t="s">
        <v>240</v>
      </c>
      <c r="I862" s="0" t="s">
        <v>7004</v>
      </c>
      <c r="J862" s="0" t="s">
        <v>240</v>
      </c>
      <c r="K862" s="0" t="s">
        <v>240</v>
      </c>
      <c r="L862" s="0" t="s">
        <v>240</v>
      </c>
      <c r="M862" s="0" t="s">
        <v>240</v>
      </c>
      <c r="N862" s="0" t="s">
        <v>240</v>
      </c>
      <c r="O862" s="0" t="s">
        <v>240</v>
      </c>
      <c r="P862" s="0" t="s">
        <v>240</v>
      </c>
      <c r="Q862" s="0" t="s">
        <v>240</v>
      </c>
      <c r="R862" s="0" t="s">
        <v>539</v>
      </c>
      <c r="S862" s="0" t="s">
        <v>240</v>
      </c>
      <c r="T862" s="0" t="s">
        <v>240</v>
      </c>
      <c r="U862" s="0" t="s">
        <v>102</v>
      </c>
      <c r="V862" s="0" t="s">
        <v>240</v>
      </c>
      <c r="W862" s="0" t="s">
        <v>240</v>
      </c>
      <c r="X862" s="0" t="s">
        <v>5585</v>
      </c>
      <c r="Y862" s="0" t="s">
        <v>240</v>
      </c>
      <c r="Z862" s="0" t="s">
        <v>152</v>
      </c>
      <c r="AA862" s="0" t="s">
        <v>152</v>
      </c>
      <c r="AB862" s="0" t="s">
        <v>161</v>
      </c>
      <c r="AC862" s="0" t="s">
        <v>364</v>
      </c>
      <c r="AD862" s="0" t="s">
        <v>364</v>
      </c>
      <c r="AE862" s="0" t="s">
        <v>365</v>
      </c>
      <c r="AF862" s="0" t="s">
        <v>6806</v>
      </c>
      <c r="AG862" s="0" t="s">
        <v>6807</v>
      </c>
      <c r="AH862" s="0" t="s">
        <v>6808</v>
      </c>
      <c r="AI862" s="0" t="s">
        <v>5533</v>
      </c>
      <c r="AJ862" s="0" t="s">
        <v>240</v>
      </c>
      <c r="AK862" s="0" t="s">
        <v>240</v>
      </c>
      <c r="AL862" s="0" t="s">
        <v>240</v>
      </c>
      <c r="AN862" s="0" t="s">
        <v>240</v>
      </c>
      <c r="AO862" s="0" t="s">
        <v>240</v>
      </c>
      <c r="AP862" s="0" t="s">
        <v>240</v>
      </c>
      <c r="AQ862" s="0" t="s">
        <v>240</v>
      </c>
      <c r="AR862" s="0" t="s">
        <v>240</v>
      </c>
      <c r="AS862" s="0" t="s">
        <v>240</v>
      </c>
      <c r="AT862" s="0" t="s">
        <v>240</v>
      </c>
      <c r="AU862" s="0" t="s">
        <v>240</v>
      </c>
      <c r="AV862" s="0" t="s">
        <v>240</v>
      </c>
      <c r="AW862" s="0" t="s">
        <v>240</v>
      </c>
      <c r="AX862" s="0" t="s">
        <v>240</v>
      </c>
      <c r="AY862" s="0" t="s">
        <v>240</v>
      </c>
      <c r="AZ862" s="0" t="s">
        <v>240</v>
      </c>
      <c r="BA862" s="0" t="s">
        <v>240</v>
      </c>
      <c r="BB862" s="0" t="s">
        <v>240</v>
      </c>
      <c r="BC862" s="0" t="s">
        <v>240</v>
      </c>
      <c r="BD862" s="0" t="s">
        <v>240</v>
      </c>
      <c r="BE862" s="0" t="s">
        <v>6917</v>
      </c>
      <c r="BF862" s="0" t="s">
        <v>7059</v>
      </c>
      <c r="BG862" s="0" t="s">
        <v>112</v>
      </c>
      <c r="BH862" s="0" t="s">
        <v>5589</v>
      </c>
      <c r="BI862" s="0" t="s">
        <v>123</v>
      </c>
      <c r="BJ862" s="0" t="s">
        <v>240</v>
      </c>
      <c r="BK862" s="0" t="s">
        <v>532</v>
      </c>
      <c r="BL862" s="0" t="s">
        <v>364</v>
      </c>
      <c r="BM862" s="0" t="s">
        <v>364</v>
      </c>
      <c r="BN862" s="0" t="s">
        <v>6811</v>
      </c>
      <c r="BO862" s="0" t="s">
        <v>6806</v>
      </c>
      <c r="BP862" s="0" t="s">
        <v>6812</v>
      </c>
      <c r="BQ862" s="0" t="s">
        <v>7374</v>
      </c>
      <c r="BR862" s="0" t="s">
        <v>5847</v>
      </c>
      <c r="BS862" s="0" t="s">
        <v>240</v>
      </c>
      <c r="BT862" s="0" t="s">
        <v>5650</v>
      </c>
      <c r="CS862" s="0" t="s">
        <v>5504</v>
      </c>
      <c r="CT862" s="0" t="s">
        <v>5496</v>
      </c>
      <c r="CU862" s="0" t="s">
        <v>5497</v>
      </c>
      <c r="CV862" s="0" t="s">
        <v>443</v>
      </c>
      <c r="CW862" s="0" t="s">
        <v>6818</v>
      </c>
      <c r="CX862" s="0" t="s">
        <v>229</v>
      </c>
      <c r="CY862" s="0" t="s">
        <v>443</v>
      </c>
      <c r="CZ862" s="0" t="s">
        <v>234</v>
      </c>
      <c r="DA862" s="0" t="s">
        <v>444</v>
      </c>
      <c r="DB862" s="0" t="s">
        <v>6818</v>
      </c>
      <c r="DC862" s="0" t="s">
        <v>384</v>
      </c>
      <c r="DD862" s="0" t="s">
        <v>300</v>
      </c>
      <c r="DE862" s="0" t="s">
        <v>538</v>
      </c>
    </row>
    <row customHeight="1" ht="11.25">
      <c r="A863" s="1441" t="s">
        <v>240</v>
      </c>
      <c r="B863" s="0" t="s">
        <v>240</v>
      </c>
      <c r="C863" s="0" t="s">
        <v>240</v>
      </c>
      <c r="D863" s="0" t="s">
        <v>240</v>
      </c>
      <c r="E863" s="0" t="s">
        <v>240</v>
      </c>
      <c r="F863" s="0" t="s">
        <v>240</v>
      </c>
      <c r="G863" s="0" t="s">
        <v>240</v>
      </c>
      <c r="H863" s="0" t="s">
        <v>240</v>
      </c>
      <c r="I863" s="0" t="s">
        <v>7004</v>
      </c>
      <c r="J863" s="0" t="s">
        <v>240</v>
      </c>
      <c r="K863" s="0" t="s">
        <v>240</v>
      </c>
      <c r="L863" s="0" t="s">
        <v>240</v>
      </c>
      <c r="M863" s="0" t="s">
        <v>240</v>
      </c>
      <c r="N863" s="0" t="s">
        <v>240</v>
      </c>
      <c r="O863" s="0" t="s">
        <v>240</v>
      </c>
      <c r="P863" s="0" t="s">
        <v>240</v>
      </c>
      <c r="Q863" s="0" t="s">
        <v>240</v>
      </c>
      <c r="R863" s="0" t="s">
        <v>7045</v>
      </c>
      <c r="S863" s="0" t="s">
        <v>240</v>
      </c>
      <c r="T863" s="0" t="s">
        <v>240</v>
      </c>
      <c r="U863" s="0" t="s">
        <v>102</v>
      </c>
      <c r="V863" s="0" t="s">
        <v>240</v>
      </c>
      <c r="W863" s="0" t="s">
        <v>240</v>
      </c>
      <c r="X863" s="0" t="s">
        <v>5585</v>
      </c>
      <c r="Y863" s="0" t="s">
        <v>240</v>
      </c>
      <c r="Z863" s="0" t="s">
        <v>152</v>
      </c>
      <c r="AA863" s="0" t="s">
        <v>152</v>
      </c>
      <c r="AB863" s="0" t="s">
        <v>161</v>
      </c>
      <c r="AC863" s="0" t="s">
        <v>3389</v>
      </c>
      <c r="AD863" s="0" t="s">
        <v>3389</v>
      </c>
      <c r="AE863" s="0" t="s">
        <v>3390</v>
      </c>
      <c r="AF863" s="0" t="s">
        <v>5519</v>
      </c>
      <c r="AG863" s="0" t="s">
        <v>5520</v>
      </c>
      <c r="AH863" s="0" t="s">
        <v>7046</v>
      </c>
      <c r="AI863" s="0" t="s">
        <v>5533</v>
      </c>
      <c r="AJ863" s="0" t="s">
        <v>240</v>
      </c>
      <c r="AK863" s="0" t="s">
        <v>240</v>
      </c>
      <c r="AL863" s="0" t="s">
        <v>240</v>
      </c>
      <c r="AN863" s="0" t="s">
        <v>240</v>
      </c>
      <c r="AO863" s="0" t="s">
        <v>240</v>
      </c>
      <c r="AP863" s="0" t="s">
        <v>240</v>
      </c>
      <c r="AQ863" s="0" t="s">
        <v>240</v>
      </c>
      <c r="AR863" s="0" t="s">
        <v>240</v>
      </c>
      <c r="AS863" s="0" t="s">
        <v>240</v>
      </c>
      <c r="AT863" s="0" t="s">
        <v>240</v>
      </c>
      <c r="AU863" s="0" t="s">
        <v>240</v>
      </c>
      <c r="AV863" s="0" t="s">
        <v>240</v>
      </c>
      <c r="AW863" s="0" t="s">
        <v>240</v>
      </c>
      <c r="AX863" s="0" t="s">
        <v>240</v>
      </c>
      <c r="AY863" s="0" t="s">
        <v>240</v>
      </c>
      <c r="AZ863" s="0" t="s">
        <v>240</v>
      </c>
      <c r="BA863" s="0" t="s">
        <v>240</v>
      </c>
      <c r="BB863" s="0" t="s">
        <v>240</v>
      </c>
      <c r="BC863" s="0" t="s">
        <v>240</v>
      </c>
      <c r="BD863" s="0" t="s">
        <v>240</v>
      </c>
      <c r="BE863" s="0" t="s">
        <v>7259</v>
      </c>
      <c r="BF863" s="0" t="s">
        <v>7048</v>
      </c>
      <c r="BG863" s="0" t="s">
        <v>112</v>
      </c>
      <c r="BH863" s="0" t="s">
        <v>5589</v>
      </c>
      <c r="BI863" s="0" t="s">
        <v>123</v>
      </c>
      <c r="BJ863" s="0" t="s">
        <v>240</v>
      </c>
      <c r="BK863" s="0" t="s">
        <v>7260</v>
      </c>
      <c r="BL863" s="0" t="s">
        <v>3389</v>
      </c>
      <c r="BM863" s="0" t="s">
        <v>3389</v>
      </c>
      <c r="BN863" s="0" t="s">
        <v>5591</v>
      </c>
      <c r="BO863" s="0" t="s">
        <v>5519</v>
      </c>
      <c r="BP863" s="0" t="s">
        <v>5592</v>
      </c>
      <c r="BQ863" s="0" t="s">
        <v>7261</v>
      </c>
      <c r="BR863" s="0" t="s">
        <v>5533</v>
      </c>
      <c r="BS863" s="0" t="s">
        <v>240</v>
      </c>
      <c r="BT863" s="0" t="s">
        <v>5594</v>
      </c>
      <c r="CS863" s="0" t="s">
        <v>7257</v>
      </c>
      <c r="CT863" s="0" t="s">
        <v>5496</v>
      </c>
      <c r="CU863" s="0" t="s">
        <v>5497</v>
      </c>
      <c r="CV863" s="0" t="s">
        <v>443</v>
      </c>
      <c r="CW863" s="0" t="s">
        <v>5527</v>
      </c>
      <c r="CX863" s="0" t="s">
        <v>229</v>
      </c>
      <c r="CY863" s="0" t="s">
        <v>443</v>
      </c>
      <c r="CZ863" s="0" t="s">
        <v>299</v>
      </c>
      <c r="DA863" s="0" t="s">
        <v>5529</v>
      </c>
      <c r="DB863" s="0" t="s">
        <v>5527</v>
      </c>
      <c r="DC863" s="0" t="s">
        <v>384</v>
      </c>
      <c r="DD863" s="0" t="s">
        <v>300</v>
      </c>
      <c r="DE863" s="0" t="s">
        <v>7049</v>
      </c>
    </row>
    <row customHeight="1" ht="11.25">
      <c r="A864" s="1441" t="s">
        <v>240</v>
      </c>
      <c r="B864" s="0" t="s">
        <v>240</v>
      </c>
      <c r="C864" s="0" t="s">
        <v>240</v>
      </c>
      <c r="D864" s="0" t="s">
        <v>240</v>
      </c>
      <c r="E864" s="0" t="s">
        <v>240</v>
      </c>
      <c r="F864" s="0" t="s">
        <v>240</v>
      </c>
      <c r="G864" s="0" t="s">
        <v>240</v>
      </c>
      <c r="H864" s="0" t="s">
        <v>240</v>
      </c>
      <c r="I864" s="0" t="s">
        <v>7004</v>
      </c>
      <c r="J864" s="0" t="s">
        <v>240</v>
      </c>
      <c r="K864" s="0" t="s">
        <v>240</v>
      </c>
      <c r="L864" s="0" t="s">
        <v>240</v>
      </c>
      <c r="M864" s="0" t="s">
        <v>240</v>
      </c>
      <c r="N864" s="0" t="s">
        <v>240</v>
      </c>
      <c r="O864" s="0" t="s">
        <v>240</v>
      </c>
      <c r="P864" s="0" t="s">
        <v>240</v>
      </c>
      <c r="Q864" s="0" t="s">
        <v>240</v>
      </c>
      <c r="R864" s="0" t="s">
        <v>550</v>
      </c>
      <c r="S864" s="0" t="s">
        <v>240</v>
      </c>
      <c r="T864" s="0" t="s">
        <v>240</v>
      </c>
      <c r="U864" s="0" t="s">
        <v>102</v>
      </c>
      <c r="V864" s="0" t="s">
        <v>240</v>
      </c>
      <c r="W864" s="0" t="s">
        <v>240</v>
      </c>
      <c r="X864" s="0" t="s">
        <v>5905</v>
      </c>
      <c r="Y864" s="0" t="s">
        <v>240</v>
      </c>
      <c r="Z864" s="0" t="s">
        <v>152</v>
      </c>
      <c r="AA864" s="0" t="s">
        <v>161</v>
      </c>
      <c r="AB864" s="0" t="s">
        <v>152</v>
      </c>
      <c r="AC864" s="0" t="s">
        <v>364</v>
      </c>
      <c r="AD864" s="0" t="s">
        <v>364</v>
      </c>
      <c r="AE864" s="0" t="s">
        <v>365</v>
      </c>
      <c r="AF864" s="0" t="s">
        <v>6806</v>
      </c>
      <c r="AG864" s="0" t="s">
        <v>6807</v>
      </c>
      <c r="AH864" s="0" t="s">
        <v>6910</v>
      </c>
      <c r="AI864" s="0" t="s">
        <v>290</v>
      </c>
      <c r="AJ864" s="0" t="s">
        <v>240</v>
      </c>
      <c r="AK864" s="0" t="s">
        <v>240</v>
      </c>
      <c r="AL864" s="0" t="s">
        <v>240</v>
      </c>
      <c r="AN864" s="0" t="s">
        <v>240</v>
      </c>
      <c r="AO864" s="0" t="s">
        <v>240</v>
      </c>
      <c r="AP864" s="0" t="s">
        <v>7177</v>
      </c>
      <c r="AQ864" s="0" t="s">
        <v>7059</v>
      </c>
      <c r="AR864" s="0" t="s">
        <v>112</v>
      </c>
      <c r="AS864" s="0" t="s">
        <v>5589</v>
      </c>
      <c r="AT864" s="0" t="s">
        <v>123</v>
      </c>
      <c r="AU864" s="0" t="s">
        <v>240</v>
      </c>
      <c r="AV864" s="0" t="s">
        <v>550</v>
      </c>
      <c r="AW864" s="0" t="s">
        <v>364</v>
      </c>
      <c r="AX864" s="0" t="s">
        <v>364</v>
      </c>
      <c r="AY864" s="0" t="s">
        <v>6811</v>
      </c>
      <c r="AZ864" s="0" t="s">
        <v>6806</v>
      </c>
      <c r="BA864" s="0" t="s">
        <v>6812</v>
      </c>
      <c r="BB864" s="0" t="s">
        <v>6910</v>
      </c>
      <c r="BC864" s="0" t="s">
        <v>290</v>
      </c>
      <c r="BD864" s="0" t="s">
        <v>5578</v>
      </c>
      <c r="BE864" s="0" t="s">
        <v>240</v>
      </c>
      <c r="BF864" s="0" t="s">
        <v>240</v>
      </c>
      <c r="BG864" s="0" t="s">
        <v>240</v>
      </c>
      <c r="BH864" s="0" t="s">
        <v>240</v>
      </c>
      <c r="BI864" s="0" t="s">
        <v>240</v>
      </c>
      <c r="BJ864" s="0" t="s">
        <v>240</v>
      </c>
      <c r="BK864" s="0" t="s">
        <v>240</v>
      </c>
      <c r="BL864" s="0" t="s">
        <v>240</v>
      </c>
      <c r="BM864" s="0" t="s">
        <v>240</v>
      </c>
      <c r="BN864" s="0" t="s">
        <v>240</v>
      </c>
      <c r="BO864" s="0" t="s">
        <v>240</v>
      </c>
      <c r="BP864" s="0" t="s">
        <v>240</v>
      </c>
      <c r="BQ864" s="0" t="s">
        <v>240</v>
      </c>
      <c r="BR864" s="0" t="s">
        <v>240</v>
      </c>
      <c r="BS864" s="0" t="s">
        <v>240</v>
      </c>
      <c r="BT864" s="0" t="s">
        <v>240</v>
      </c>
      <c r="CS864" s="0" t="s">
        <v>240</v>
      </c>
      <c r="CT864" s="0" t="s">
        <v>5496</v>
      </c>
      <c r="CU864" s="0" t="s">
        <v>5497</v>
      </c>
      <c r="CV864" s="0" t="s">
        <v>443</v>
      </c>
      <c r="CW864" s="0" t="s">
        <v>6818</v>
      </c>
      <c r="CX864" s="0" t="s">
        <v>229</v>
      </c>
      <c r="CY864" s="0" t="s">
        <v>443</v>
      </c>
      <c r="CZ864" s="0" t="s">
        <v>234</v>
      </c>
      <c r="DA864" s="0" t="s">
        <v>444</v>
      </c>
      <c r="DB864" s="0" t="s">
        <v>6818</v>
      </c>
      <c r="DC864" s="0" t="s">
        <v>384</v>
      </c>
      <c r="DD864" s="0" t="s">
        <v>300</v>
      </c>
      <c r="DE864" s="0" t="s">
        <v>551</v>
      </c>
    </row>
    <row customHeight="1" ht="11.25">
      <c r="A865" s="1441" t="s">
        <v>240</v>
      </c>
      <c r="B865" s="0" t="s">
        <v>240</v>
      </c>
      <c r="C865" s="0" t="s">
        <v>240</v>
      </c>
      <c r="D865" s="0" t="s">
        <v>240</v>
      </c>
      <c r="E865" s="0" t="s">
        <v>240</v>
      </c>
      <c r="F865" s="0" t="s">
        <v>240</v>
      </c>
      <c r="G865" s="0" t="s">
        <v>240</v>
      </c>
      <c r="H865" s="0" t="s">
        <v>240</v>
      </c>
      <c r="I865" s="0" t="s">
        <v>7004</v>
      </c>
      <c r="J865" s="0" t="s">
        <v>240</v>
      </c>
      <c r="K865" s="0" t="s">
        <v>240</v>
      </c>
      <c r="L865" s="0" t="s">
        <v>240</v>
      </c>
      <c r="M865" s="0" t="s">
        <v>240</v>
      </c>
      <c r="N865" s="0" t="s">
        <v>240</v>
      </c>
      <c r="O865" s="0" t="s">
        <v>240</v>
      </c>
      <c r="P865" s="0" t="s">
        <v>240</v>
      </c>
      <c r="Q865" s="0" t="s">
        <v>240</v>
      </c>
      <c r="R865" s="0" t="s">
        <v>546</v>
      </c>
      <c r="S865" s="0" t="s">
        <v>240</v>
      </c>
      <c r="T865" s="0" t="s">
        <v>240</v>
      </c>
      <c r="U865" s="0" t="s">
        <v>102</v>
      </c>
      <c r="V865" s="0" t="s">
        <v>240</v>
      </c>
      <c r="W865" s="0" t="s">
        <v>240</v>
      </c>
      <c r="X865" s="0" t="s">
        <v>546</v>
      </c>
      <c r="Y865" s="0" t="s">
        <v>240</v>
      </c>
      <c r="Z865" s="0" t="s">
        <v>161</v>
      </c>
      <c r="AA865" s="0" t="s">
        <v>152</v>
      </c>
      <c r="AB865" s="0" t="s">
        <v>152</v>
      </c>
      <c r="AC865" s="0" t="s">
        <v>364</v>
      </c>
      <c r="AD865" s="0" t="s">
        <v>364</v>
      </c>
      <c r="AE865" s="0" t="s">
        <v>365</v>
      </c>
      <c r="AF865" s="0" t="s">
        <v>6806</v>
      </c>
      <c r="AG865" s="0" t="s">
        <v>6807</v>
      </c>
      <c r="AH865" s="0" t="s">
        <v>7060</v>
      </c>
      <c r="AI865" s="0" t="s">
        <v>7301</v>
      </c>
      <c r="AJ865" s="0" t="s">
        <v>7302</v>
      </c>
      <c r="AK865" s="0" t="s">
        <v>7303</v>
      </c>
      <c r="AL865" s="0" t="s">
        <v>7009</v>
      </c>
      <c r="AN865" s="0" t="s">
        <v>5578</v>
      </c>
      <c r="AO865" s="0" t="s">
        <v>5619</v>
      </c>
      <c r="AP865" s="0" t="s">
        <v>240</v>
      </c>
      <c r="AQ865" s="0" t="s">
        <v>240</v>
      </c>
      <c r="AR865" s="0" t="s">
        <v>240</v>
      </c>
      <c r="AS865" s="0" t="s">
        <v>240</v>
      </c>
      <c r="AT865" s="0" t="s">
        <v>240</v>
      </c>
      <c r="AU865" s="0" t="s">
        <v>240</v>
      </c>
      <c r="AV865" s="0" t="s">
        <v>240</v>
      </c>
      <c r="AW865" s="0" t="s">
        <v>240</v>
      </c>
      <c r="AX865" s="0" t="s">
        <v>240</v>
      </c>
      <c r="AY865" s="0" t="s">
        <v>240</v>
      </c>
      <c r="AZ865" s="0" t="s">
        <v>240</v>
      </c>
      <c r="BA865" s="0" t="s">
        <v>240</v>
      </c>
      <c r="BB865" s="0" t="s">
        <v>240</v>
      </c>
      <c r="BC865" s="0" t="s">
        <v>240</v>
      </c>
      <c r="BD865" s="0" t="s">
        <v>240</v>
      </c>
      <c r="BE865" s="0" t="s">
        <v>240</v>
      </c>
      <c r="BF865" s="0" t="s">
        <v>240</v>
      </c>
      <c r="BG865" s="0" t="s">
        <v>240</v>
      </c>
      <c r="BH865" s="0" t="s">
        <v>240</v>
      </c>
      <c r="BI865" s="0" t="s">
        <v>240</v>
      </c>
      <c r="BJ865" s="0" t="s">
        <v>240</v>
      </c>
      <c r="BK865" s="0" t="s">
        <v>240</v>
      </c>
      <c r="BL865" s="0" t="s">
        <v>240</v>
      </c>
      <c r="BM865" s="0" t="s">
        <v>240</v>
      </c>
      <c r="BN865" s="0" t="s">
        <v>240</v>
      </c>
      <c r="BO865" s="0" t="s">
        <v>240</v>
      </c>
      <c r="BP865" s="0" t="s">
        <v>240</v>
      </c>
      <c r="BQ865" s="0" t="s">
        <v>240</v>
      </c>
      <c r="BR865" s="0" t="s">
        <v>240</v>
      </c>
      <c r="BS865" s="0" t="s">
        <v>240</v>
      </c>
      <c r="BT865" s="0" t="s">
        <v>240</v>
      </c>
      <c r="CS865" s="0" t="s">
        <v>240</v>
      </c>
      <c r="CT865" s="0" t="s">
        <v>5496</v>
      </c>
      <c r="CU865" s="0" t="s">
        <v>5497</v>
      </c>
      <c r="CV865" s="0" t="s">
        <v>443</v>
      </c>
      <c r="CW865" s="0" t="s">
        <v>6818</v>
      </c>
      <c r="CX865" s="0" t="s">
        <v>229</v>
      </c>
      <c r="CY865" s="0" t="s">
        <v>443</v>
      </c>
      <c r="CZ865" s="0" t="s">
        <v>234</v>
      </c>
      <c r="DA865" s="0" t="s">
        <v>444</v>
      </c>
      <c r="DB865" s="0" t="s">
        <v>6818</v>
      </c>
      <c r="DC865" s="0" t="s">
        <v>384</v>
      </c>
      <c r="DD865" s="0" t="s">
        <v>300</v>
      </c>
      <c r="DE865" s="0" t="s">
        <v>547</v>
      </c>
    </row>
    <row customHeight="1" ht="11.25">
      <c r="A866" s="1441" t="s">
        <v>240</v>
      </c>
      <c r="B866" s="0" t="s">
        <v>240</v>
      </c>
      <c r="C866" s="0" t="s">
        <v>240</v>
      </c>
      <c r="D866" s="0" t="s">
        <v>240</v>
      </c>
      <c r="E866" s="0" t="s">
        <v>240</v>
      </c>
      <c r="F866" s="0" t="s">
        <v>240</v>
      </c>
      <c r="G866" s="0" t="s">
        <v>240</v>
      </c>
      <c r="H866" s="0" t="s">
        <v>240</v>
      </c>
      <c r="I866" s="0" t="s">
        <v>7004</v>
      </c>
      <c r="J866" s="0" t="s">
        <v>240</v>
      </c>
      <c r="K866" s="0" t="s">
        <v>240</v>
      </c>
      <c r="L866" s="0" t="s">
        <v>240</v>
      </c>
      <c r="M866" s="0" t="s">
        <v>240</v>
      </c>
      <c r="N866" s="0" t="s">
        <v>240</v>
      </c>
      <c r="O866" s="0" t="s">
        <v>240</v>
      </c>
      <c r="P866" s="0" t="s">
        <v>240</v>
      </c>
      <c r="Q866" s="0" t="s">
        <v>240</v>
      </c>
      <c r="R866" s="0" t="s">
        <v>542</v>
      </c>
      <c r="S866" s="0" t="s">
        <v>240</v>
      </c>
      <c r="T866" s="0" t="s">
        <v>240</v>
      </c>
      <c r="U866" s="0" t="s">
        <v>102</v>
      </c>
      <c r="V866" s="0" t="s">
        <v>240</v>
      </c>
      <c r="W866" s="0" t="s">
        <v>240</v>
      </c>
      <c r="X866" s="0" t="s">
        <v>546</v>
      </c>
      <c r="Y866" s="0" t="s">
        <v>240</v>
      </c>
      <c r="Z866" s="0" t="s">
        <v>161</v>
      </c>
      <c r="AA866" s="0" t="s">
        <v>152</v>
      </c>
      <c r="AB866" s="0" t="s">
        <v>152</v>
      </c>
      <c r="AC866" s="0" t="s">
        <v>364</v>
      </c>
      <c r="AD866" s="0" t="s">
        <v>364</v>
      </c>
      <c r="AE866" s="0" t="s">
        <v>365</v>
      </c>
      <c r="AF866" s="0" t="s">
        <v>6806</v>
      </c>
      <c r="AG866" s="0" t="s">
        <v>6807</v>
      </c>
      <c r="AH866" s="0" t="s">
        <v>7304</v>
      </c>
      <c r="AI866" s="0" t="s">
        <v>5533</v>
      </c>
      <c r="AJ866" s="0" t="s">
        <v>5507</v>
      </c>
      <c r="AK866" s="0" t="s">
        <v>7305</v>
      </c>
      <c r="AL866" s="0" t="s">
        <v>7009</v>
      </c>
      <c r="AN866" s="0" t="s">
        <v>7195</v>
      </c>
      <c r="AO866" s="0" t="s">
        <v>7015</v>
      </c>
      <c r="AP866" s="0" t="s">
        <v>240</v>
      </c>
      <c r="AQ866" s="0" t="s">
        <v>240</v>
      </c>
      <c r="AR866" s="0" t="s">
        <v>240</v>
      </c>
      <c r="AS866" s="0" t="s">
        <v>240</v>
      </c>
      <c r="AT866" s="0" t="s">
        <v>240</v>
      </c>
      <c r="AU866" s="0" t="s">
        <v>240</v>
      </c>
      <c r="AV866" s="0" t="s">
        <v>240</v>
      </c>
      <c r="AW866" s="0" t="s">
        <v>240</v>
      </c>
      <c r="AX866" s="0" t="s">
        <v>240</v>
      </c>
      <c r="AY866" s="0" t="s">
        <v>240</v>
      </c>
      <c r="AZ866" s="0" t="s">
        <v>240</v>
      </c>
      <c r="BA866" s="0" t="s">
        <v>240</v>
      </c>
      <c r="BB866" s="0" t="s">
        <v>240</v>
      </c>
      <c r="BC866" s="0" t="s">
        <v>240</v>
      </c>
      <c r="BD866" s="0" t="s">
        <v>240</v>
      </c>
      <c r="BE866" s="0" t="s">
        <v>240</v>
      </c>
      <c r="BF866" s="0" t="s">
        <v>240</v>
      </c>
      <c r="BG866" s="0" t="s">
        <v>240</v>
      </c>
      <c r="BH866" s="0" t="s">
        <v>240</v>
      </c>
      <c r="BI866" s="0" t="s">
        <v>240</v>
      </c>
      <c r="BJ866" s="0" t="s">
        <v>240</v>
      </c>
      <c r="BK866" s="0" t="s">
        <v>240</v>
      </c>
      <c r="BL866" s="0" t="s">
        <v>240</v>
      </c>
      <c r="BM866" s="0" t="s">
        <v>240</v>
      </c>
      <c r="BN866" s="0" t="s">
        <v>240</v>
      </c>
      <c r="BO866" s="0" t="s">
        <v>240</v>
      </c>
      <c r="BP866" s="0" t="s">
        <v>240</v>
      </c>
      <c r="BQ866" s="0" t="s">
        <v>240</v>
      </c>
      <c r="BR866" s="0" t="s">
        <v>240</v>
      </c>
      <c r="BS866" s="0" t="s">
        <v>240</v>
      </c>
      <c r="BT866" s="0" t="s">
        <v>240</v>
      </c>
      <c r="CS866" s="0" t="s">
        <v>240</v>
      </c>
      <c r="CT866" s="0" t="s">
        <v>5496</v>
      </c>
      <c r="CU866" s="0" t="s">
        <v>5497</v>
      </c>
      <c r="CV866" s="0" t="s">
        <v>443</v>
      </c>
      <c r="CW866" s="0" t="s">
        <v>6818</v>
      </c>
      <c r="CX866" s="0" t="s">
        <v>229</v>
      </c>
      <c r="CY866" s="0" t="s">
        <v>443</v>
      </c>
      <c r="CZ866" s="0" t="s">
        <v>234</v>
      </c>
      <c r="DA866" s="0" t="s">
        <v>444</v>
      </c>
      <c r="DB866" s="0" t="s">
        <v>6818</v>
      </c>
      <c r="DC866" s="0" t="s">
        <v>384</v>
      </c>
      <c r="DD866" s="0" t="s">
        <v>300</v>
      </c>
      <c r="DE866" s="0" t="s">
        <v>543</v>
      </c>
    </row>
    <row customHeight="1" ht="11.25">
      <c r="A867" s="1441" t="s">
        <v>240</v>
      </c>
      <c r="B867" s="0" t="s">
        <v>240</v>
      </c>
      <c r="C867" s="0" t="s">
        <v>240</v>
      </c>
      <c r="D867" s="0" t="s">
        <v>240</v>
      </c>
      <c r="E867" s="0" t="s">
        <v>240</v>
      </c>
      <c r="F867" s="0" t="s">
        <v>240</v>
      </c>
      <c r="G867" s="0" t="s">
        <v>240</v>
      </c>
      <c r="H867" s="0" t="s">
        <v>240</v>
      </c>
      <c r="I867" s="0" t="s">
        <v>7004</v>
      </c>
      <c r="J867" s="0" t="s">
        <v>240</v>
      </c>
      <c r="K867" s="0" t="s">
        <v>240</v>
      </c>
      <c r="L867" s="0" t="s">
        <v>240</v>
      </c>
      <c r="M867" s="0" t="s">
        <v>240</v>
      </c>
      <c r="N867" s="0" t="s">
        <v>240</v>
      </c>
      <c r="O867" s="0" t="s">
        <v>240</v>
      </c>
      <c r="P867" s="0" t="s">
        <v>240</v>
      </c>
      <c r="Q867" s="0" t="s">
        <v>240</v>
      </c>
      <c r="R867" s="0" t="s">
        <v>7262</v>
      </c>
      <c r="S867" s="0" t="s">
        <v>240</v>
      </c>
      <c r="T867" s="0" t="s">
        <v>240</v>
      </c>
      <c r="U867" s="0" t="s">
        <v>102</v>
      </c>
      <c r="V867" s="0" t="s">
        <v>240</v>
      </c>
      <c r="W867" s="0" t="s">
        <v>240</v>
      </c>
      <c r="X867" s="0" t="s">
        <v>5585</v>
      </c>
      <c r="Y867" s="0" t="s">
        <v>240</v>
      </c>
      <c r="Z867" s="0" t="s">
        <v>152</v>
      </c>
      <c r="AA867" s="0" t="s">
        <v>152</v>
      </c>
      <c r="AB867" s="0" t="s">
        <v>161</v>
      </c>
      <c r="AC867" s="0" t="s">
        <v>3389</v>
      </c>
      <c r="AD867" s="0" t="s">
        <v>3389</v>
      </c>
      <c r="AE867" s="0" t="s">
        <v>3390</v>
      </c>
      <c r="AF867" s="0" t="s">
        <v>5519</v>
      </c>
      <c r="AG867" s="0" t="s">
        <v>5520</v>
      </c>
      <c r="AH867" s="0" t="s">
        <v>7263</v>
      </c>
      <c r="AI867" s="0" t="s">
        <v>5533</v>
      </c>
      <c r="AJ867" s="0" t="s">
        <v>240</v>
      </c>
      <c r="AK867" s="0" t="s">
        <v>240</v>
      </c>
      <c r="AL867" s="0" t="s">
        <v>240</v>
      </c>
      <c r="AN867" s="0" t="s">
        <v>240</v>
      </c>
      <c r="AO867" s="0" t="s">
        <v>240</v>
      </c>
      <c r="AP867" s="0" t="s">
        <v>240</v>
      </c>
      <c r="AQ867" s="0" t="s">
        <v>240</v>
      </c>
      <c r="AR867" s="0" t="s">
        <v>240</v>
      </c>
      <c r="AS867" s="0" t="s">
        <v>240</v>
      </c>
      <c r="AT867" s="0" t="s">
        <v>240</v>
      </c>
      <c r="AU867" s="0" t="s">
        <v>240</v>
      </c>
      <c r="AV867" s="0" t="s">
        <v>240</v>
      </c>
      <c r="AW867" s="0" t="s">
        <v>240</v>
      </c>
      <c r="AX867" s="0" t="s">
        <v>240</v>
      </c>
      <c r="AY867" s="0" t="s">
        <v>240</v>
      </c>
      <c r="AZ867" s="0" t="s">
        <v>240</v>
      </c>
      <c r="BA867" s="0" t="s">
        <v>240</v>
      </c>
      <c r="BB867" s="0" t="s">
        <v>240</v>
      </c>
      <c r="BC867" s="0" t="s">
        <v>240</v>
      </c>
      <c r="BD867" s="0" t="s">
        <v>240</v>
      </c>
      <c r="BE867" s="0" t="s">
        <v>5716</v>
      </c>
      <c r="BF867" s="0" t="s">
        <v>7264</v>
      </c>
      <c r="BG867" s="0" t="s">
        <v>112</v>
      </c>
      <c r="BH867" s="0" t="s">
        <v>5589</v>
      </c>
      <c r="BI867" s="0" t="s">
        <v>123</v>
      </c>
      <c r="BJ867" s="0" t="s">
        <v>240</v>
      </c>
      <c r="BK867" s="0" t="s">
        <v>7265</v>
      </c>
      <c r="BL867" s="0" t="s">
        <v>3389</v>
      </c>
      <c r="BM867" s="0" t="s">
        <v>3389</v>
      </c>
      <c r="BN867" s="0" t="s">
        <v>5591</v>
      </c>
      <c r="BO867" s="0" t="s">
        <v>5519</v>
      </c>
      <c r="BP867" s="0" t="s">
        <v>5592</v>
      </c>
      <c r="BQ867" s="0" t="s">
        <v>7263</v>
      </c>
      <c r="BR867" s="0" t="s">
        <v>5533</v>
      </c>
      <c r="BS867" s="0" t="s">
        <v>240</v>
      </c>
      <c r="BT867" s="0" t="s">
        <v>5594</v>
      </c>
      <c r="CS867" s="0" t="s">
        <v>7257</v>
      </c>
      <c r="CT867" s="0" t="s">
        <v>5496</v>
      </c>
      <c r="CU867" s="0" t="s">
        <v>5497</v>
      </c>
      <c r="CV867" s="0" t="s">
        <v>443</v>
      </c>
      <c r="CW867" s="0" t="s">
        <v>5527</v>
      </c>
      <c r="CX867" s="0" t="s">
        <v>229</v>
      </c>
      <c r="CY867" s="0" t="s">
        <v>443</v>
      </c>
      <c r="CZ867" s="0" t="s">
        <v>299</v>
      </c>
      <c r="DA867" s="0" t="s">
        <v>5529</v>
      </c>
      <c r="DB867" s="0" t="s">
        <v>5527</v>
      </c>
      <c r="DC867" s="0" t="s">
        <v>384</v>
      </c>
      <c r="DD867" s="0" t="s">
        <v>300</v>
      </c>
      <c r="DE867" s="0" t="s">
        <v>7266</v>
      </c>
    </row>
    <row customHeight="1" ht="11.25">
      <c r="A868" s="1441" t="s">
        <v>240</v>
      </c>
      <c r="B868" s="0" t="s">
        <v>240</v>
      </c>
      <c r="C868" s="0" t="s">
        <v>240</v>
      </c>
      <c r="D868" s="0" t="s">
        <v>240</v>
      </c>
      <c r="E868" s="0" t="s">
        <v>240</v>
      </c>
      <c r="F868" s="0" t="s">
        <v>240</v>
      </c>
      <c r="G868" s="0" t="s">
        <v>240</v>
      </c>
      <c r="H868" s="0" t="s">
        <v>240</v>
      </c>
      <c r="I868" s="0" t="s">
        <v>7004</v>
      </c>
      <c r="J868" s="0" t="s">
        <v>240</v>
      </c>
      <c r="K868" s="0" t="s">
        <v>240</v>
      </c>
      <c r="L868" s="0" t="s">
        <v>240</v>
      </c>
      <c r="M868" s="0" t="s">
        <v>240</v>
      </c>
      <c r="N868" s="0" t="s">
        <v>240</v>
      </c>
      <c r="O868" s="0" t="s">
        <v>240</v>
      </c>
      <c r="P868" s="0" t="s">
        <v>240</v>
      </c>
      <c r="Q868" s="0" t="s">
        <v>240</v>
      </c>
      <c r="R868" s="0" t="s">
        <v>548</v>
      </c>
      <c r="S868" s="0" t="s">
        <v>240</v>
      </c>
      <c r="T868" s="0" t="s">
        <v>240</v>
      </c>
      <c r="U868" s="0" t="s">
        <v>102</v>
      </c>
      <c r="V868" s="0" t="s">
        <v>240</v>
      </c>
      <c r="W868" s="0" t="s">
        <v>240</v>
      </c>
      <c r="X868" s="0" t="s">
        <v>546</v>
      </c>
      <c r="Y868" s="0" t="s">
        <v>240</v>
      </c>
      <c r="Z868" s="0" t="s">
        <v>161</v>
      </c>
      <c r="AA868" s="0" t="s">
        <v>152</v>
      </c>
      <c r="AB868" s="0" t="s">
        <v>152</v>
      </c>
      <c r="AC868" s="0" t="s">
        <v>364</v>
      </c>
      <c r="AD868" s="0" t="s">
        <v>364</v>
      </c>
      <c r="AE868" s="0" t="s">
        <v>365</v>
      </c>
      <c r="AF868" s="0" t="s">
        <v>6806</v>
      </c>
      <c r="AG868" s="0" t="s">
        <v>6807</v>
      </c>
      <c r="AH868" s="0" t="s">
        <v>7107</v>
      </c>
      <c r="AI868" s="0" t="s">
        <v>5533</v>
      </c>
      <c r="AJ868" s="0" t="s">
        <v>7108</v>
      </c>
      <c r="AK868" s="0" t="s">
        <v>7109</v>
      </c>
      <c r="AL868" s="0" t="s">
        <v>7009</v>
      </c>
      <c r="AN868" s="0" t="s">
        <v>5507</v>
      </c>
      <c r="AO868" s="0" t="s">
        <v>7110</v>
      </c>
      <c r="AP868" s="0" t="s">
        <v>240</v>
      </c>
      <c r="AQ868" s="0" t="s">
        <v>240</v>
      </c>
      <c r="AR868" s="0" t="s">
        <v>240</v>
      </c>
      <c r="AS868" s="0" t="s">
        <v>240</v>
      </c>
      <c r="AT868" s="0" t="s">
        <v>240</v>
      </c>
      <c r="AU868" s="0" t="s">
        <v>240</v>
      </c>
      <c r="AV868" s="0" t="s">
        <v>240</v>
      </c>
      <c r="AW868" s="0" t="s">
        <v>240</v>
      </c>
      <c r="AX868" s="0" t="s">
        <v>240</v>
      </c>
      <c r="AY868" s="0" t="s">
        <v>240</v>
      </c>
      <c r="AZ868" s="0" t="s">
        <v>240</v>
      </c>
      <c r="BA868" s="0" t="s">
        <v>240</v>
      </c>
      <c r="BB868" s="0" t="s">
        <v>240</v>
      </c>
      <c r="BC868" s="0" t="s">
        <v>240</v>
      </c>
      <c r="BD868" s="0" t="s">
        <v>240</v>
      </c>
      <c r="BE868" s="0" t="s">
        <v>240</v>
      </c>
      <c r="BF868" s="0" t="s">
        <v>240</v>
      </c>
      <c r="BG868" s="0" t="s">
        <v>240</v>
      </c>
      <c r="BH868" s="0" t="s">
        <v>240</v>
      </c>
      <c r="BI868" s="0" t="s">
        <v>240</v>
      </c>
      <c r="BJ868" s="0" t="s">
        <v>240</v>
      </c>
      <c r="BK868" s="0" t="s">
        <v>240</v>
      </c>
      <c r="BL868" s="0" t="s">
        <v>240</v>
      </c>
      <c r="BM868" s="0" t="s">
        <v>240</v>
      </c>
      <c r="BN868" s="0" t="s">
        <v>240</v>
      </c>
      <c r="BO868" s="0" t="s">
        <v>240</v>
      </c>
      <c r="BP868" s="0" t="s">
        <v>240</v>
      </c>
      <c r="BQ868" s="0" t="s">
        <v>240</v>
      </c>
      <c r="BR868" s="0" t="s">
        <v>240</v>
      </c>
      <c r="BS868" s="0" t="s">
        <v>240</v>
      </c>
      <c r="BT868" s="0" t="s">
        <v>240</v>
      </c>
      <c r="CS868" s="0" t="s">
        <v>240</v>
      </c>
      <c r="CT868" s="0" t="s">
        <v>5496</v>
      </c>
      <c r="CU868" s="0" t="s">
        <v>5497</v>
      </c>
      <c r="CV868" s="0" t="s">
        <v>443</v>
      </c>
      <c r="CW868" s="0" t="s">
        <v>6818</v>
      </c>
      <c r="CX868" s="0" t="s">
        <v>229</v>
      </c>
      <c r="CY868" s="0" t="s">
        <v>443</v>
      </c>
      <c r="CZ868" s="0" t="s">
        <v>234</v>
      </c>
      <c r="DA868" s="0" t="s">
        <v>444</v>
      </c>
      <c r="DB868" s="0" t="s">
        <v>6818</v>
      </c>
      <c r="DC868" s="0" t="s">
        <v>384</v>
      </c>
      <c r="DD868" s="0" t="s">
        <v>300</v>
      </c>
      <c r="DE868" s="0" t="s">
        <v>549</v>
      </c>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BA56282-D41C-40AA-E5F8-A613BF785888}" mc:Ignorable="x14ac xr xr2 xr3">
  <sheetPr>
    <tabColor rgb="FFFFCC99"/>
  </sheetPr>
  <dimension ref="A1:A1"/>
  <sheetViews>
    <sheetView topLeftCell="A1" showGridLines="0" workbookViewId="0">
      <selection activeCell="A1" sqref="A1"/>
    </sheetView>
  </sheetViews>
  <sheetFormatPr customHeight="1" defaultRowHeight="11.25"/>
  <cols>
    <col min="1" max="1" style="1441" width="89.7109375" customWidth="1"/>
  </cols>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C62411-0098-6392-F1E8-F6D489539EC3}" mc:Ignorable="x14ac xr xr2 xr3">
  <sheetPr>
    <tabColor rgb="FFFFCC99"/>
  </sheetPr>
  <dimension ref="A1:W33"/>
  <sheetViews>
    <sheetView topLeftCell="A1" showGridLines="0" workbookViewId="0">
      <selection activeCell="A1" sqref="A1"/>
    </sheetView>
  </sheetViews>
  <sheetFormatPr customHeight="1" defaultRowHeight="11.25"/>
  <sheetData>
    <row customHeight="1" ht="11.25">
      <c r="A1" s="0" t="s">
        <v>7412</v>
      </c>
      <c r="B1" s="0" t="s">
        <v>5400</v>
      </c>
      <c r="C1" s="0" t="s">
        <v>7413</v>
      </c>
      <c r="D1" s="0" t="s">
        <v>7414</v>
      </c>
      <c r="E1" s="0" t="s">
        <v>7415</v>
      </c>
      <c r="F1" s="0" t="s">
        <v>7416</v>
      </c>
      <c r="G1" s="0" t="s">
        <v>7417</v>
      </c>
      <c r="H1" s="0" t="s">
        <v>7418</v>
      </c>
      <c r="I1" s="0" t="s">
        <v>7419</v>
      </c>
      <c r="J1" s="0" t="s">
        <v>7420</v>
      </c>
      <c r="K1" s="0" t="s">
        <v>7421</v>
      </c>
      <c r="L1" s="0" t="s">
        <v>7422</v>
      </c>
      <c r="M1" s="0" t="s">
        <v>7423</v>
      </c>
      <c r="N1" s="0" t="s">
        <v>7424</v>
      </c>
      <c r="O1" s="0" t="s">
        <v>7425</v>
      </c>
      <c r="P1" s="0" t="s">
        <v>7426</v>
      </c>
      <c r="Q1" s="0" t="s">
        <v>7427</v>
      </c>
      <c r="R1" s="0" t="s">
        <v>7428</v>
      </c>
      <c r="S1" s="0" t="s">
        <v>7429</v>
      </c>
      <c r="T1" s="0" t="s">
        <v>7430</v>
      </c>
      <c r="U1" s="0" t="s">
        <v>7431</v>
      </c>
      <c r="V1" s="0" t="s">
        <v>7432</v>
      </c>
      <c r="W1" s="0" t="s">
        <v>7433</v>
      </c>
    </row>
    <row customHeight="1" ht="11.25">
      <c r="A2" s="0" t="s">
        <v>7434</v>
      </c>
      <c r="B2" s="0">
        <v>8741427401</v>
      </c>
      <c r="C2" s="0" t="s">
        <v>7435</v>
      </c>
      <c r="D2" s="0" t="s">
        <v>293</v>
      </c>
      <c r="E2" s="0" t="s">
        <v>294</v>
      </c>
      <c r="F2" s="0" t="s">
        <v>7436</v>
      </c>
      <c r="G2" s="0" t="s">
        <v>296</v>
      </c>
      <c r="I2" s="0" t="s">
        <v>7437</v>
      </c>
      <c r="J2" s="0" t="s">
        <v>7438</v>
      </c>
      <c r="K2" s="0" t="s">
        <v>7439</v>
      </c>
      <c r="L2" s="0" t="s">
        <v>7440</v>
      </c>
      <c r="M2" s="0" t="s">
        <v>7441</v>
      </c>
      <c r="O2" s="0">
        <v>588.13</v>
      </c>
      <c r="P2" s="0">
        <v>634.74976083</v>
      </c>
      <c r="U2" s="0" t="s">
        <v>7442</v>
      </c>
      <c r="V2" s="0" t="s">
        <v>7443</v>
      </c>
      <c r="W2" s="0" t="s">
        <v>7444</v>
      </c>
    </row>
    <row customHeight="1" ht="11.25">
      <c r="A3" s="0" t="s">
        <v>7445</v>
      </c>
      <c r="B3" s="0">
        <v>8741439337</v>
      </c>
      <c r="C3" s="0" t="s">
        <v>7446</v>
      </c>
      <c r="D3" s="0" t="s">
        <v>293</v>
      </c>
      <c r="E3" s="0" t="s">
        <v>294</v>
      </c>
      <c r="F3" s="0" t="s">
        <v>7436</v>
      </c>
      <c r="G3" s="0" t="s">
        <v>296</v>
      </c>
      <c r="I3" s="0" t="s">
        <v>7437</v>
      </c>
      <c r="J3" s="0" t="s">
        <v>7438</v>
      </c>
      <c r="K3" s="0" t="s">
        <v>7439</v>
      </c>
      <c r="L3" s="0" t="s">
        <v>7440</v>
      </c>
      <c r="M3" s="0" t="s">
        <v>7447</v>
      </c>
      <c r="O3" s="0">
        <v>588.13</v>
      </c>
      <c r="P3" s="0">
        <v>588.13</v>
      </c>
      <c r="U3" s="0" t="s">
        <v>7442</v>
      </c>
      <c r="V3" s="0" t="s">
        <v>7443</v>
      </c>
      <c r="W3" s="0" t="s">
        <v>7443</v>
      </c>
    </row>
    <row customHeight="1" ht="11.25">
      <c r="A4" s="0" t="s">
        <v>7448</v>
      </c>
      <c r="B4" s="0">
        <v>8283781529</v>
      </c>
      <c r="C4" s="0" t="s">
        <v>7446</v>
      </c>
      <c r="D4" s="0" t="s">
        <v>7449</v>
      </c>
      <c r="E4" s="0" t="s">
        <v>294</v>
      </c>
      <c r="F4" s="0" t="s">
        <v>7450</v>
      </c>
      <c r="G4" s="0" t="s">
        <v>7451</v>
      </c>
      <c r="I4" s="0" t="s">
        <v>7452</v>
      </c>
      <c r="J4" s="0" t="s">
        <v>7453</v>
      </c>
      <c r="K4" s="0" t="s">
        <v>7454</v>
      </c>
      <c r="L4" s="0" t="s">
        <v>104</v>
      </c>
      <c r="M4" s="0" t="s">
        <v>7455</v>
      </c>
      <c r="N4" s="0" t="s">
        <v>7456</v>
      </c>
      <c r="O4" s="0">
        <v>20.77</v>
      </c>
      <c r="P4" s="0">
        <v>20.77</v>
      </c>
      <c r="U4" s="0" t="s">
        <v>7442</v>
      </c>
      <c r="V4" s="0" t="s">
        <v>7457</v>
      </c>
      <c r="W4" s="0" t="s">
        <v>7457</v>
      </c>
    </row>
    <row customHeight="1" ht="11.25">
      <c r="A5" s="0" t="s">
        <v>7458</v>
      </c>
      <c r="B5" s="0">
        <v>8283781529</v>
      </c>
      <c r="C5" s="0" t="s">
        <v>7446</v>
      </c>
      <c r="D5" s="0" t="s">
        <v>293</v>
      </c>
      <c r="E5" s="0" t="s">
        <v>294</v>
      </c>
      <c r="F5" s="0" t="s">
        <v>295</v>
      </c>
      <c r="G5" s="0" t="s">
        <v>296</v>
      </c>
      <c r="I5" s="0" t="s">
        <v>7452</v>
      </c>
      <c r="J5" s="0" t="s">
        <v>7453</v>
      </c>
      <c r="K5" s="0" t="s">
        <v>7454</v>
      </c>
      <c r="L5" s="0" t="s">
        <v>104</v>
      </c>
      <c r="M5" s="0" t="s">
        <v>7455</v>
      </c>
      <c r="N5" s="0" t="s">
        <v>7456</v>
      </c>
      <c r="O5" s="0">
        <v>68.92</v>
      </c>
      <c r="P5" s="0">
        <v>75.8120002675</v>
      </c>
      <c r="U5" s="0" t="s">
        <v>7442</v>
      </c>
      <c r="V5" s="0" t="s">
        <v>7459</v>
      </c>
      <c r="W5" s="0" t="s">
        <v>7460</v>
      </c>
    </row>
    <row customHeight="1" ht="11.25">
      <c r="A6" s="0" t="s">
        <v>7461</v>
      </c>
      <c r="B6" s="0">
        <v>8281093491</v>
      </c>
      <c r="C6" s="0" t="s">
        <v>7446</v>
      </c>
      <c r="D6" s="0" t="s">
        <v>7449</v>
      </c>
      <c r="E6" s="0" t="s">
        <v>294</v>
      </c>
      <c r="F6" s="0" t="s">
        <v>7450</v>
      </c>
      <c r="G6" s="0" t="s">
        <v>7451</v>
      </c>
      <c r="I6" s="0" t="s">
        <v>7462</v>
      </c>
      <c r="J6" s="0" t="s">
        <v>7453</v>
      </c>
      <c r="K6" s="0" t="s">
        <v>7463</v>
      </c>
      <c r="L6" s="0" t="s">
        <v>104</v>
      </c>
      <c r="M6" s="0" t="s">
        <v>7455</v>
      </c>
      <c r="N6" s="0" t="s">
        <v>7456</v>
      </c>
      <c r="O6" s="0">
        <v>9.97</v>
      </c>
      <c r="P6" s="0">
        <v>11.1708261401</v>
      </c>
      <c r="U6" s="0" t="s">
        <v>7442</v>
      </c>
      <c r="V6" s="0" t="s">
        <v>7464</v>
      </c>
      <c r="W6" s="0" t="s">
        <v>7465</v>
      </c>
    </row>
    <row customHeight="1" ht="11.25">
      <c r="A7" s="0" t="s">
        <v>7466</v>
      </c>
      <c r="B7" s="0">
        <v>8281093491</v>
      </c>
      <c r="C7" s="0" t="s">
        <v>7446</v>
      </c>
      <c r="D7" s="0" t="s">
        <v>293</v>
      </c>
      <c r="E7" s="0" t="s">
        <v>294</v>
      </c>
      <c r="F7" s="0" t="s">
        <v>295</v>
      </c>
      <c r="G7" s="0" t="s">
        <v>296</v>
      </c>
      <c r="I7" s="0" t="s">
        <v>7462</v>
      </c>
      <c r="J7" s="0" t="s">
        <v>7453</v>
      </c>
      <c r="K7" s="0" t="s">
        <v>7463</v>
      </c>
      <c r="L7" s="0" t="s">
        <v>104</v>
      </c>
      <c r="M7" s="0" t="s">
        <v>7455</v>
      </c>
      <c r="N7" s="0" t="s">
        <v>7456</v>
      </c>
      <c r="O7" s="0">
        <v>68.32</v>
      </c>
      <c r="P7" s="0">
        <v>76.520001431</v>
      </c>
      <c r="U7" s="0" t="s">
        <v>7442</v>
      </c>
      <c r="V7" s="0" t="s">
        <v>7467</v>
      </c>
      <c r="W7" s="0" t="s">
        <v>7468</v>
      </c>
    </row>
    <row customHeight="1" ht="11.25">
      <c r="A8" s="0" t="s">
        <v>7469</v>
      </c>
      <c r="B8" s="0">
        <v>8281100189</v>
      </c>
      <c r="C8" s="0" t="s">
        <v>7446</v>
      </c>
      <c r="D8" s="0" t="s">
        <v>293</v>
      </c>
      <c r="E8" s="0" t="s">
        <v>294</v>
      </c>
      <c r="F8" s="0" t="s">
        <v>295</v>
      </c>
      <c r="G8" s="0" t="s">
        <v>296</v>
      </c>
      <c r="I8" s="0" t="s">
        <v>7470</v>
      </c>
      <c r="J8" s="0" t="s">
        <v>7471</v>
      </c>
      <c r="K8" s="0" t="s">
        <v>7472</v>
      </c>
      <c r="L8" s="0" t="s">
        <v>104</v>
      </c>
      <c r="M8" s="0" t="s">
        <v>7473</v>
      </c>
      <c r="N8" s="0" t="s">
        <v>7474</v>
      </c>
      <c r="O8" s="0">
        <v>76.79</v>
      </c>
      <c r="P8" s="0">
        <v>85.9999903931</v>
      </c>
      <c r="U8" s="0" t="s">
        <v>7442</v>
      </c>
      <c r="V8" s="0" t="s">
        <v>7475</v>
      </c>
      <c r="W8" s="0" t="s">
        <v>7476</v>
      </c>
    </row>
    <row customHeight="1" ht="11.25">
      <c r="A9" s="0" t="s">
        <v>7477</v>
      </c>
      <c r="B9" s="0">
        <v>8283786466</v>
      </c>
      <c r="C9" s="0" t="s">
        <v>7446</v>
      </c>
      <c r="D9" s="0" t="s">
        <v>293</v>
      </c>
      <c r="E9" s="0" t="s">
        <v>294</v>
      </c>
      <c r="F9" s="0" t="s">
        <v>295</v>
      </c>
      <c r="G9" s="0" t="s">
        <v>296</v>
      </c>
      <c r="I9" s="0" t="s">
        <v>7478</v>
      </c>
      <c r="J9" s="0" t="s">
        <v>7471</v>
      </c>
      <c r="K9" s="0" t="s">
        <v>7479</v>
      </c>
      <c r="L9" s="0" t="s">
        <v>104</v>
      </c>
      <c r="M9" s="0" t="s">
        <v>7480</v>
      </c>
      <c r="N9" s="0" t="s">
        <v>7481</v>
      </c>
      <c r="O9" s="0">
        <v>53.23</v>
      </c>
      <c r="P9" s="0">
        <v>58.5560491817</v>
      </c>
      <c r="U9" s="0" t="s">
        <v>7442</v>
      </c>
      <c r="V9" s="0" t="s">
        <v>7482</v>
      </c>
      <c r="W9" s="0" t="s">
        <v>7483</v>
      </c>
    </row>
    <row customHeight="1" ht="11.25">
      <c r="A10" s="0" t="s">
        <v>7484</v>
      </c>
      <c r="B10" s="0">
        <v>7621683766</v>
      </c>
      <c r="C10" s="0" t="s">
        <v>7455</v>
      </c>
      <c r="D10" s="0" t="s">
        <v>293</v>
      </c>
      <c r="E10" s="0" t="s">
        <v>294</v>
      </c>
      <c r="F10" s="0" t="s">
        <v>7436</v>
      </c>
      <c r="G10" s="0" t="s">
        <v>296</v>
      </c>
      <c r="O10" s="0">
        <v>459.34</v>
      </c>
      <c r="P10" s="0">
        <v>523.14</v>
      </c>
      <c r="U10" s="0" t="s">
        <v>7442</v>
      </c>
      <c r="V10" s="0" t="s">
        <v>7485</v>
      </c>
      <c r="W10" s="0" t="s">
        <v>7486</v>
      </c>
    </row>
    <row customHeight="1" ht="11.25">
      <c r="A11" s="0" t="s">
        <v>7487</v>
      </c>
      <c r="B11" s="0">
        <v>7616419566</v>
      </c>
      <c r="C11" s="0" t="s">
        <v>7455</v>
      </c>
      <c r="D11" s="0" t="s">
        <v>293</v>
      </c>
      <c r="E11" s="0" t="s">
        <v>294</v>
      </c>
      <c r="F11" s="0" t="s">
        <v>7436</v>
      </c>
      <c r="G11" s="0" t="s">
        <v>296</v>
      </c>
      <c r="O11" s="0">
        <v>467.26</v>
      </c>
      <c r="P11" s="0">
        <v>565.7169230769</v>
      </c>
      <c r="U11" s="0" t="s">
        <v>7442</v>
      </c>
      <c r="V11" s="0" t="s">
        <v>7488</v>
      </c>
      <c r="W11" s="0" t="s">
        <v>7489</v>
      </c>
    </row>
    <row customHeight="1" ht="11.25">
      <c r="A12" s="0" t="s">
        <v>7490</v>
      </c>
      <c r="B12" s="0">
        <v>7616175878</v>
      </c>
      <c r="C12" s="0" t="s">
        <v>7455</v>
      </c>
      <c r="D12" s="0" t="s">
        <v>7449</v>
      </c>
      <c r="E12" s="0" t="s">
        <v>294</v>
      </c>
      <c r="F12" s="0" t="s">
        <v>7450</v>
      </c>
      <c r="G12" s="0" t="s">
        <v>7451</v>
      </c>
      <c r="L12" s="0" t="s">
        <v>104</v>
      </c>
      <c r="M12" s="0" t="s">
        <v>7455</v>
      </c>
      <c r="N12" s="0" t="s">
        <v>7456</v>
      </c>
      <c r="O12" s="0">
        <v>5.74</v>
      </c>
      <c r="P12" s="0">
        <v>22.070926949</v>
      </c>
      <c r="U12" s="0" t="s">
        <v>7442</v>
      </c>
      <c r="V12" s="0" t="s">
        <v>7491</v>
      </c>
      <c r="W12" s="0" t="s">
        <v>7492</v>
      </c>
    </row>
    <row customHeight="1" ht="11.25">
      <c r="A13" s="0" t="s">
        <v>7493</v>
      </c>
      <c r="B13" s="0">
        <v>7616175878</v>
      </c>
      <c r="C13" s="0" t="s">
        <v>7455</v>
      </c>
      <c r="D13" s="0" t="s">
        <v>293</v>
      </c>
      <c r="E13" s="0" t="s">
        <v>294</v>
      </c>
      <c r="F13" s="0" t="s">
        <v>295</v>
      </c>
      <c r="G13" s="0" t="s">
        <v>296</v>
      </c>
      <c r="L13" s="0" t="s">
        <v>104</v>
      </c>
      <c r="M13" s="0" t="s">
        <v>7455</v>
      </c>
      <c r="N13" s="0" t="s">
        <v>7456</v>
      </c>
      <c r="O13" s="0">
        <v>62.88</v>
      </c>
      <c r="P13" s="0">
        <v>68.9200917838</v>
      </c>
      <c r="U13" s="0" t="s">
        <v>7442</v>
      </c>
      <c r="V13" s="0" t="s">
        <v>7494</v>
      </c>
      <c r="W13" s="0" t="s">
        <v>7459</v>
      </c>
    </row>
    <row customHeight="1" ht="11.25">
      <c r="A14" s="0" t="s">
        <v>292</v>
      </c>
      <c r="B14" s="0">
        <v>8362886418</v>
      </c>
      <c r="C14" s="0" t="s">
        <v>7446</v>
      </c>
      <c r="D14" s="0" t="s">
        <v>293</v>
      </c>
      <c r="E14" s="0" t="s">
        <v>294</v>
      </c>
      <c r="F14" s="0" t="s">
        <v>295</v>
      </c>
      <c r="G14" s="0" t="s">
        <v>296</v>
      </c>
      <c r="H14" s="0" t="s">
        <v>297</v>
      </c>
      <c r="I14" s="0" t="s">
        <v>7495</v>
      </c>
      <c r="J14" s="0" t="s">
        <v>7471</v>
      </c>
      <c r="L14" s="0" t="s">
        <v>104</v>
      </c>
      <c r="M14" s="0" t="s">
        <v>7455</v>
      </c>
      <c r="N14" s="0" t="s">
        <v>7456</v>
      </c>
      <c r="O14" s="0">
        <v>47.8</v>
      </c>
      <c r="P14" s="0">
        <v>53.5276145857</v>
      </c>
      <c r="U14" s="0" t="s">
        <v>7442</v>
      </c>
      <c r="V14" s="0" t="s">
        <v>7496</v>
      </c>
      <c r="W14" s="0" t="s">
        <v>7497</v>
      </c>
    </row>
    <row customHeight="1" ht="11.25">
      <c r="A15" s="0" t="s">
        <v>7498</v>
      </c>
      <c r="B15" s="0">
        <v>8295929637</v>
      </c>
      <c r="C15" s="0" t="s">
        <v>7455</v>
      </c>
      <c r="D15" s="0" t="s">
        <v>293</v>
      </c>
      <c r="E15" s="0" t="s">
        <v>294</v>
      </c>
      <c r="F15" s="0" t="s">
        <v>295</v>
      </c>
      <c r="G15" s="0" t="s">
        <v>296</v>
      </c>
      <c r="I15" s="0" t="s">
        <v>7499</v>
      </c>
      <c r="J15" s="0" t="s">
        <v>7500</v>
      </c>
      <c r="K15" s="0" t="s">
        <v>7501</v>
      </c>
      <c r="L15" s="0" t="s">
        <v>104</v>
      </c>
      <c r="M15" s="0" t="s">
        <v>7455</v>
      </c>
      <c r="N15" s="0" t="s">
        <v>7474</v>
      </c>
      <c r="O15" s="0">
        <v>53.91</v>
      </c>
      <c r="P15" s="0">
        <v>74.9431266135</v>
      </c>
      <c r="U15" s="0" t="s">
        <v>7442</v>
      </c>
      <c r="V15" s="0" t="s">
        <v>7502</v>
      </c>
      <c r="W15" s="0" t="s">
        <v>7503</v>
      </c>
    </row>
    <row customHeight="1" ht="11.25">
      <c r="A16" s="0" t="s">
        <v>7504</v>
      </c>
      <c r="B16" s="0">
        <v>7616361167</v>
      </c>
      <c r="C16" s="0" t="s">
        <v>7455</v>
      </c>
      <c r="D16" s="0" t="s">
        <v>293</v>
      </c>
      <c r="E16" s="0" t="s">
        <v>294</v>
      </c>
      <c r="F16" s="0" t="s">
        <v>295</v>
      </c>
      <c r="G16" s="0" t="s">
        <v>296</v>
      </c>
      <c r="I16" s="0" t="s">
        <v>7505</v>
      </c>
      <c r="J16" s="0" t="s">
        <v>7506</v>
      </c>
      <c r="L16" s="0" t="s">
        <v>104</v>
      </c>
      <c r="M16" s="0" t="s">
        <v>7455</v>
      </c>
      <c r="N16" s="0" t="s">
        <v>7456</v>
      </c>
      <c r="O16" s="0">
        <v>48.57</v>
      </c>
      <c r="P16" s="0">
        <v>53.2327204352</v>
      </c>
      <c r="U16" s="0" t="s">
        <v>7442</v>
      </c>
      <c r="V16" s="0" t="s">
        <v>7507</v>
      </c>
      <c r="W16" s="0" t="s">
        <v>7482</v>
      </c>
    </row>
    <row customHeight="1" ht="11.25">
      <c r="A17" s="0" t="s">
        <v>7508</v>
      </c>
      <c r="B17" s="0">
        <v>7616406782</v>
      </c>
      <c r="C17" s="0" t="s">
        <v>7455</v>
      </c>
      <c r="D17" s="0" t="s">
        <v>7449</v>
      </c>
      <c r="E17" s="0" t="s">
        <v>294</v>
      </c>
      <c r="F17" s="0" t="s">
        <v>7450</v>
      </c>
      <c r="G17" s="0" t="s">
        <v>7451</v>
      </c>
      <c r="I17" s="0" t="s">
        <v>7509</v>
      </c>
      <c r="J17" s="0" t="s">
        <v>7510</v>
      </c>
      <c r="K17" s="0" t="s">
        <v>7511</v>
      </c>
      <c r="L17" s="0" t="s">
        <v>104</v>
      </c>
      <c r="M17" s="0" t="s">
        <v>7455</v>
      </c>
      <c r="N17" s="0" t="s">
        <v>7456</v>
      </c>
      <c r="O17" s="0">
        <v>9.29</v>
      </c>
      <c r="P17" s="0">
        <v>9.9704121312</v>
      </c>
      <c r="U17" s="0" t="s">
        <v>7442</v>
      </c>
      <c r="V17" s="0" t="s">
        <v>7512</v>
      </c>
      <c r="W17" s="0" t="s">
        <v>7464</v>
      </c>
    </row>
    <row customHeight="1" ht="11.25">
      <c r="A18" s="0" t="s">
        <v>7513</v>
      </c>
      <c r="B18" s="0">
        <v>7616406782</v>
      </c>
      <c r="C18" s="0" t="s">
        <v>7455</v>
      </c>
      <c r="D18" s="0" t="s">
        <v>293</v>
      </c>
      <c r="E18" s="0" t="s">
        <v>294</v>
      </c>
      <c r="F18" s="0" t="s">
        <v>295</v>
      </c>
      <c r="G18" s="0" t="s">
        <v>296</v>
      </c>
      <c r="I18" s="0" t="s">
        <v>7509</v>
      </c>
      <c r="J18" s="0" t="s">
        <v>7510</v>
      </c>
      <c r="K18" s="0" t="s">
        <v>7511</v>
      </c>
      <c r="L18" s="0" t="s">
        <v>104</v>
      </c>
      <c r="M18" s="0" t="s">
        <v>7455</v>
      </c>
      <c r="N18" s="0" t="s">
        <v>7456</v>
      </c>
      <c r="O18" s="0">
        <v>62.22</v>
      </c>
      <c r="P18" s="0">
        <v>68.3199926039</v>
      </c>
      <c r="U18" s="0" t="s">
        <v>7442</v>
      </c>
      <c r="V18" s="0" t="s">
        <v>7514</v>
      </c>
      <c r="W18" s="0" t="s">
        <v>7467</v>
      </c>
    </row>
    <row customHeight="1" ht="11.25">
      <c r="A19" s="0" t="s">
        <v>7515</v>
      </c>
      <c r="B19" s="0">
        <v>7616400173</v>
      </c>
      <c r="C19" s="0" t="s">
        <v>7455</v>
      </c>
      <c r="D19" s="0" t="s">
        <v>293</v>
      </c>
      <c r="E19" s="0" t="s">
        <v>294</v>
      </c>
      <c r="F19" s="0" t="s">
        <v>295</v>
      </c>
      <c r="G19" s="0" t="s">
        <v>296</v>
      </c>
      <c r="L19" s="0" t="s">
        <v>104</v>
      </c>
      <c r="M19" s="0" t="s">
        <v>7473</v>
      </c>
      <c r="N19" s="0" t="s">
        <v>7456</v>
      </c>
      <c r="O19" s="0">
        <v>66.77</v>
      </c>
      <c r="P19" s="0">
        <v>76.79000285</v>
      </c>
      <c r="U19" s="0" t="s">
        <v>7442</v>
      </c>
      <c r="V19" s="0" t="s">
        <v>7516</v>
      </c>
      <c r="W19" s="0" t="s">
        <v>7475</v>
      </c>
    </row>
    <row customHeight="1" ht="11.25">
      <c r="A20" s="0" t="s">
        <v>7517</v>
      </c>
      <c r="B20" s="0">
        <v>8283781529</v>
      </c>
      <c r="C20" s="0" t="s">
        <v>7446</v>
      </c>
      <c r="D20" s="0" t="s">
        <v>302</v>
      </c>
      <c r="E20" s="0" t="s">
        <v>294</v>
      </c>
      <c r="F20" s="0" t="s">
        <v>303</v>
      </c>
      <c r="G20" s="0" t="s">
        <v>304</v>
      </c>
      <c r="I20" s="0" t="s">
        <v>7452</v>
      </c>
      <c r="J20" s="0" t="s">
        <v>7453</v>
      </c>
      <c r="K20" s="0" t="s">
        <v>7454</v>
      </c>
      <c r="L20" s="0" t="s">
        <v>104</v>
      </c>
      <c r="M20" s="0" t="s">
        <v>7455</v>
      </c>
      <c r="N20" s="0" t="s">
        <v>7456</v>
      </c>
      <c r="O20" s="0">
        <v>43.27</v>
      </c>
      <c r="P20" s="0">
        <v>47.5970121777</v>
      </c>
      <c r="U20" s="0" t="s">
        <v>7442</v>
      </c>
      <c r="V20" s="0" t="s">
        <v>7518</v>
      </c>
      <c r="W20" s="0" t="s">
        <v>7519</v>
      </c>
    </row>
    <row customHeight="1" ht="11.25">
      <c r="A21" s="0" t="s">
        <v>7520</v>
      </c>
      <c r="B21" s="0">
        <v>8281093491</v>
      </c>
      <c r="C21" s="0" t="s">
        <v>7446</v>
      </c>
      <c r="D21" s="0" t="s">
        <v>302</v>
      </c>
      <c r="E21" s="0" t="s">
        <v>294</v>
      </c>
      <c r="F21" s="0" t="s">
        <v>303</v>
      </c>
      <c r="G21" s="0" t="s">
        <v>304</v>
      </c>
      <c r="I21" s="0" t="s">
        <v>7462</v>
      </c>
      <c r="J21" s="0" t="s">
        <v>7453</v>
      </c>
      <c r="K21" s="0" t="s">
        <v>7463</v>
      </c>
      <c r="L21" s="0" t="s">
        <v>104</v>
      </c>
      <c r="M21" s="0" t="s">
        <v>7455</v>
      </c>
      <c r="N21" s="0" t="s">
        <v>7456</v>
      </c>
      <c r="O21" s="0">
        <v>85.47</v>
      </c>
      <c r="P21" s="0">
        <v>95.7298615578</v>
      </c>
      <c r="U21" s="0" t="s">
        <v>7442</v>
      </c>
      <c r="V21" s="0" t="s">
        <v>7521</v>
      </c>
      <c r="W21" s="0" t="s">
        <v>7522</v>
      </c>
    </row>
    <row customHeight="1" ht="11.25">
      <c r="A22" s="0" t="s">
        <v>7523</v>
      </c>
      <c r="B22" s="0">
        <v>8281100189</v>
      </c>
      <c r="C22" s="0" t="s">
        <v>7446</v>
      </c>
      <c r="D22" s="0" t="s">
        <v>302</v>
      </c>
      <c r="E22" s="0" t="s">
        <v>294</v>
      </c>
      <c r="F22" s="0" t="s">
        <v>303</v>
      </c>
      <c r="G22" s="0" t="s">
        <v>304</v>
      </c>
      <c r="I22" s="0" t="s">
        <v>7470</v>
      </c>
      <c r="J22" s="0" t="s">
        <v>7471</v>
      </c>
      <c r="K22" s="0" t="s">
        <v>7472</v>
      </c>
      <c r="L22" s="0" t="s">
        <v>104</v>
      </c>
      <c r="M22" s="0" t="s">
        <v>7473</v>
      </c>
      <c r="N22" s="0" t="s">
        <v>7474</v>
      </c>
      <c r="O22" s="0">
        <v>35.5</v>
      </c>
      <c r="P22" s="0">
        <v>35.500000207</v>
      </c>
      <c r="U22" s="0" t="s">
        <v>7442</v>
      </c>
      <c r="V22" s="0" t="s">
        <v>7524</v>
      </c>
      <c r="W22" s="0" t="s">
        <v>7524</v>
      </c>
    </row>
    <row customHeight="1" ht="11.25">
      <c r="A23" s="0" t="s">
        <v>7525</v>
      </c>
      <c r="B23" s="0">
        <v>8283786466</v>
      </c>
      <c r="C23" s="0" t="s">
        <v>7446</v>
      </c>
      <c r="D23" s="0" t="s">
        <v>302</v>
      </c>
      <c r="E23" s="0" t="s">
        <v>294</v>
      </c>
      <c r="F23" s="0" t="s">
        <v>303</v>
      </c>
      <c r="G23" s="0" t="s">
        <v>304</v>
      </c>
      <c r="H23" s="0" t="s">
        <v>7526</v>
      </c>
      <c r="I23" s="0" t="s">
        <v>7478</v>
      </c>
      <c r="J23" s="0" t="s">
        <v>7471</v>
      </c>
      <c r="K23" s="0" t="s">
        <v>7479</v>
      </c>
      <c r="L23" s="0" t="s">
        <v>104</v>
      </c>
      <c r="M23" s="0" t="s">
        <v>7480</v>
      </c>
      <c r="N23" s="0" t="s">
        <v>7481</v>
      </c>
      <c r="O23" s="0">
        <v>62</v>
      </c>
      <c r="P23" s="0">
        <v>74.4000099004</v>
      </c>
      <c r="U23" s="0" t="s">
        <v>7442</v>
      </c>
      <c r="V23" s="0" t="s">
        <v>7527</v>
      </c>
      <c r="W23" s="0" t="s">
        <v>7528</v>
      </c>
    </row>
    <row customHeight="1" ht="11.25">
      <c r="A24" s="0" t="s">
        <v>7529</v>
      </c>
      <c r="B24" s="0">
        <v>8283786466</v>
      </c>
      <c r="C24" s="0" t="s">
        <v>7446</v>
      </c>
      <c r="D24" s="0" t="s">
        <v>302</v>
      </c>
      <c r="E24" s="0" t="s">
        <v>294</v>
      </c>
      <c r="F24" s="0" t="s">
        <v>303</v>
      </c>
      <c r="G24" s="0" t="s">
        <v>304</v>
      </c>
      <c r="H24" s="0" t="s">
        <v>7530</v>
      </c>
      <c r="I24" s="0" t="s">
        <v>7478</v>
      </c>
      <c r="J24" s="0" t="s">
        <v>7471</v>
      </c>
      <c r="K24" s="0" t="s">
        <v>7479</v>
      </c>
      <c r="L24" s="0" t="s">
        <v>104</v>
      </c>
      <c r="M24" s="0" t="s">
        <v>7480</v>
      </c>
      <c r="N24" s="0" t="s">
        <v>7481</v>
      </c>
      <c r="O24" s="0">
        <v>35.84</v>
      </c>
      <c r="P24" s="0">
        <v>39.42</v>
      </c>
      <c r="U24" s="0" t="s">
        <v>7442</v>
      </c>
      <c r="V24" s="0" t="s">
        <v>7531</v>
      </c>
      <c r="W24" s="0" t="s">
        <v>7532</v>
      </c>
    </row>
    <row customHeight="1" ht="11.25">
      <c r="A25" s="0" t="s">
        <v>7533</v>
      </c>
      <c r="B25" s="0">
        <v>7616175878</v>
      </c>
      <c r="C25" s="0" t="s">
        <v>7455</v>
      </c>
      <c r="D25" s="0" t="s">
        <v>302</v>
      </c>
      <c r="E25" s="0" t="s">
        <v>294</v>
      </c>
      <c r="F25" s="0" t="s">
        <v>303</v>
      </c>
      <c r="G25" s="0" t="s">
        <v>304</v>
      </c>
      <c r="L25" s="0" t="s">
        <v>104</v>
      </c>
      <c r="M25" s="0" t="s">
        <v>7455</v>
      </c>
      <c r="N25" s="0" t="s">
        <v>7456</v>
      </c>
      <c r="O25" s="0">
        <v>39.48</v>
      </c>
      <c r="P25" s="0">
        <v>43.2699857505</v>
      </c>
      <c r="U25" s="0" t="s">
        <v>7442</v>
      </c>
      <c r="V25" s="0" t="s">
        <v>7534</v>
      </c>
      <c r="W25" s="0" t="s">
        <v>7518</v>
      </c>
    </row>
    <row customHeight="1" ht="11.25">
      <c r="A26" s="0" t="s">
        <v>307</v>
      </c>
      <c r="B26" s="0">
        <v>8362886418</v>
      </c>
      <c r="C26" s="0" t="s">
        <v>7446</v>
      </c>
      <c r="D26" s="0" t="s">
        <v>302</v>
      </c>
      <c r="E26" s="0" t="s">
        <v>294</v>
      </c>
      <c r="F26" s="0" t="s">
        <v>303</v>
      </c>
      <c r="G26" s="0" t="s">
        <v>304</v>
      </c>
      <c r="H26" s="0" t="s">
        <v>308</v>
      </c>
      <c r="I26" s="0" t="s">
        <v>7495</v>
      </c>
      <c r="J26" s="0" t="s">
        <v>7471</v>
      </c>
      <c r="L26" s="0" t="s">
        <v>104</v>
      </c>
      <c r="M26" s="0" t="s">
        <v>7455</v>
      </c>
      <c r="N26" s="0" t="s">
        <v>7456</v>
      </c>
      <c r="O26" s="0">
        <v>48.52</v>
      </c>
      <c r="P26" s="0">
        <v>54.3399938387</v>
      </c>
      <c r="U26" s="0" t="s">
        <v>7442</v>
      </c>
      <c r="V26" s="0" t="s">
        <v>7535</v>
      </c>
      <c r="W26" s="0" t="s">
        <v>7536</v>
      </c>
    </row>
    <row customHeight="1" ht="11.25">
      <c r="A27" s="0" t="s">
        <v>301</v>
      </c>
      <c r="B27" s="0">
        <v>8362886418</v>
      </c>
      <c r="C27" s="0" t="s">
        <v>7446</v>
      </c>
      <c r="D27" s="0" t="s">
        <v>302</v>
      </c>
      <c r="E27" s="0" t="s">
        <v>294</v>
      </c>
      <c r="F27" s="0" t="s">
        <v>303</v>
      </c>
      <c r="G27" s="0" t="s">
        <v>304</v>
      </c>
      <c r="H27" s="0" t="s">
        <v>305</v>
      </c>
      <c r="I27" s="0" t="s">
        <v>7495</v>
      </c>
      <c r="J27" s="0" t="s">
        <v>7471</v>
      </c>
      <c r="L27" s="0" t="s">
        <v>104</v>
      </c>
      <c r="M27" s="0" t="s">
        <v>7455</v>
      </c>
      <c r="N27" s="0" t="s">
        <v>7456</v>
      </c>
      <c r="O27" s="0">
        <v>40.56</v>
      </c>
      <c r="P27" s="0">
        <v>45.4299971278</v>
      </c>
      <c r="U27" s="0" t="s">
        <v>7442</v>
      </c>
      <c r="V27" s="0" t="s">
        <v>7537</v>
      </c>
      <c r="W27" s="0" t="s">
        <v>7538</v>
      </c>
    </row>
    <row customHeight="1" ht="11.25">
      <c r="A28" s="0" t="s">
        <v>7539</v>
      </c>
      <c r="B28" s="0">
        <v>8295929637</v>
      </c>
      <c r="C28" s="0" t="s">
        <v>7455</v>
      </c>
      <c r="D28" s="0" t="s">
        <v>302</v>
      </c>
      <c r="E28" s="0" t="s">
        <v>294</v>
      </c>
      <c r="F28" s="0" t="s">
        <v>303</v>
      </c>
      <c r="G28" s="0" t="s">
        <v>304</v>
      </c>
      <c r="I28" s="0" t="s">
        <v>7499</v>
      </c>
      <c r="J28" s="0" t="s">
        <v>7500</v>
      </c>
      <c r="K28" s="0" t="s">
        <v>7501</v>
      </c>
      <c r="L28" s="0" t="s">
        <v>104</v>
      </c>
      <c r="M28" s="0" t="s">
        <v>7455</v>
      </c>
      <c r="N28" s="0" t="s">
        <v>7474</v>
      </c>
      <c r="O28" s="0">
        <v>37.06</v>
      </c>
      <c r="P28" s="0">
        <v>56.4477886884</v>
      </c>
      <c r="U28" s="0" t="s">
        <v>7442</v>
      </c>
      <c r="V28" s="0" t="s">
        <v>7540</v>
      </c>
      <c r="W28" s="0" t="s">
        <v>7541</v>
      </c>
    </row>
    <row customHeight="1" ht="11.25">
      <c r="A29" s="0" t="s">
        <v>7542</v>
      </c>
      <c r="B29" s="0">
        <v>8218476367</v>
      </c>
      <c r="C29" s="0" t="s">
        <v>7446</v>
      </c>
      <c r="D29" s="0" t="s">
        <v>7543</v>
      </c>
      <c r="E29" s="0" t="s">
        <v>294</v>
      </c>
      <c r="F29" s="0" t="s">
        <v>7544</v>
      </c>
      <c r="G29" s="0" t="s">
        <v>304</v>
      </c>
      <c r="I29" s="0" t="s">
        <v>7545</v>
      </c>
      <c r="J29" s="0" t="s">
        <v>7471</v>
      </c>
      <c r="L29" s="0" t="s">
        <v>7546</v>
      </c>
      <c r="U29" s="0" t="s">
        <v>7442</v>
      </c>
    </row>
    <row customHeight="1" ht="11.25">
      <c r="A30" s="0" t="s">
        <v>7547</v>
      </c>
      <c r="B30" s="0">
        <v>7616361167</v>
      </c>
      <c r="C30" s="0" t="s">
        <v>7455</v>
      </c>
      <c r="D30" s="0" t="s">
        <v>302</v>
      </c>
      <c r="E30" s="0" t="s">
        <v>294</v>
      </c>
      <c r="F30" s="0" t="s">
        <v>303</v>
      </c>
      <c r="G30" s="0" t="s">
        <v>304</v>
      </c>
      <c r="H30" s="0" t="s">
        <v>7548</v>
      </c>
      <c r="I30" s="0" t="s">
        <v>7505</v>
      </c>
      <c r="J30" s="0" t="s">
        <v>7506</v>
      </c>
      <c r="L30" s="0" t="s">
        <v>104</v>
      </c>
      <c r="M30" s="0" t="s">
        <v>7455</v>
      </c>
      <c r="N30" s="0" t="s">
        <v>7456</v>
      </c>
      <c r="O30" s="0">
        <v>56.57</v>
      </c>
      <c r="P30" s="0">
        <v>62.0006926683</v>
      </c>
      <c r="U30" s="0" t="s">
        <v>7442</v>
      </c>
      <c r="V30" s="0" t="s">
        <v>7549</v>
      </c>
      <c r="W30" s="0" t="s">
        <v>7527</v>
      </c>
    </row>
    <row customHeight="1" ht="11.25">
      <c r="A31" s="0" t="s">
        <v>7550</v>
      </c>
      <c r="B31" s="0">
        <v>7616361167</v>
      </c>
      <c r="C31" s="0" t="s">
        <v>7455</v>
      </c>
      <c r="D31" s="0" t="s">
        <v>302</v>
      </c>
      <c r="E31" s="0" t="s">
        <v>294</v>
      </c>
      <c r="F31" s="0" t="s">
        <v>303</v>
      </c>
      <c r="G31" s="0" t="s">
        <v>304</v>
      </c>
      <c r="H31" s="0" t="s">
        <v>7551</v>
      </c>
      <c r="I31" s="0" t="s">
        <v>7505</v>
      </c>
      <c r="J31" s="0" t="s">
        <v>7506</v>
      </c>
      <c r="L31" s="0" t="s">
        <v>104</v>
      </c>
      <c r="M31" s="0" t="s">
        <v>7455</v>
      </c>
      <c r="N31" s="0" t="s">
        <v>7456</v>
      </c>
      <c r="O31" s="0">
        <v>32.7</v>
      </c>
      <c r="P31" s="0">
        <v>35.8391997408</v>
      </c>
      <c r="U31" s="0" t="s">
        <v>7442</v>
      </c>
      <c r="V31" s="0" t="s">
        <v>7552</v>
      </c>
      <c r="W31" s="0" t="s">
        <v>7531</v>
      </c>
    </row>
    <row customHeight="1" ht="11.25">
      <c r="A32" s="0" t="s">
        <v>7553</v>
      </c>
      <c r="B32" s="0">
        <v>7616406782</v>
      </c>
      <c r="C32" s="0" t="s">
        <v>7455</v>
      </c>
      <c r="D32" s="0" t="s">
        <v>302</v>
      </c>
      <c r="E32" s="0" t="s">
        <v>294</v>
      </c>
      <c r="F32" s="0" t="s">
        <v>303</v>
      </c>
      <c r="G32" s="0" t="s">
        <v>304</v>
      </c>
      <c r="I32" s="0" t="s">
        <v>7509</v>
      </c>
      <c r="J32" s="0" t="s">
        <v>7510</v>
      </c>
      <c r="K32" s="0" t="s">
        <v>7511</v>
      </c>
      <c r="L32" s="0" t="s">
        <v>104</v>
      </c>
      <c r="M32" s="0" t="s">
        <v>7455</v>
      </c>
      <c r="N32" s="0" t="s">
        <v>7456</v>
      </c>
      <c r="O32" s="0">
        <v>77.84</v>
      </c>
      <c r="P32" s="0">
        <v>85.4700385214</v>
      </c>
      <c r="U32" s="0" t="s">
        <v>7442</v>
      </c>
      <c r="V32" s="0" t="s">
        <v>7554</v>
      </c>
      <c r="W32" s="0" t="s">
        <v>7521</v>
      </c>
    </row>
    <row customHeight="1" ht="11.25">
      <c r="A33" s="0" t="s">
        <v>7555</v>
      </c>
      <c r="B33" s="0">
        <v>7616400173</v>
      </c>
      <c r="C33" s="0" t="s">
        <v>7455</v>
      </c>
      <c r="D33" s="0" t="s">
        <v>302</v>
      </c>
      <c r="E33" s="0" t="s">
        <v>294</v>
      </c>
      <c r="F33" s="0" t="s">
        <v>303</v>
      </c>
      <c r="G33" s="0" t="s">
        <v>304</v>
      </c>
      <c r="L33" s="0" t="s">
        <v>104</v>
      </c>
      <c r="M33" s="0" t="s">
        <v>7473</v>
      </c>
      <c r="N33" s="0" t="s">
        <v>7456</v>
      </c>
      <c r="O33" s="0">
        <v>31.55</v>
      </c>
      <c r="P33" s="0">
        <v>36.2799893803</v>
      </c>
      <c r="U33" s="0" t="s">
        <v>7442</v>
      </c>
      <c r="V33" s="0" t="s">
        <v>7556</v>
      </c>
      <c r="W33" s="0" t="s">
        <v>7557</v>
      </c>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CC66038-5BB8-5398-1518-1AC35C82A8C8}" mc:Ignorable="x14ac xr xr2 xr3">
  <sheetPr>
    <tabColor rgb="FFFFCC99"/>
  </sheetPr>
  <dimension ref="A1:C97"/>
  <sheetViews>
    <sheetView topLeftCell="A1" showGridLines="0" workbookViewId="0">
      <selection activeCell="A1" sqref="A1"/>
    </sheetView>
  </sheetViews>
  <sheetFormatPr customHeight="1" defaultRowHeight="11.25"/>
  <cols>
    <col min="1" max="1" style="1441" width="88.8515625" customWidth="1"/>
    <col min="2" max="2" style="1441" width="24.7109375" customWidth="1"/>
  </cols>
  <sheetData>
    <row customHeight="1" ht="11.25">
      <c r="A1" s="81" t="s">
        <v>7558</v>
      </c>
      <c r="C1" s="81" t="s">
        <v>7559</v>
      </c>
    </row>
    <row customHeight="1" ht="11.25">
      <c r="A2" s="81" t="s">
        <v>7560</v>
      </c>
    </row>
    <row customHeight="1" ht="11.25">
      <c r="A3" s="81" t="s">
        <v>7561</v>
      </c>
      <c r="C3" s="0" t="s">
        <v>7562</v>
      </c>
    </row>
    <row customHeight="1" ht="11.25">
      <c r="A4" s="81" t="s">
        <v>3517</v>
      </c>
      <c r="C4" s="0" t="s">
        <v>7563</v>
      </c>
    </row>
    <row customHeight="1" ht="11.25">
      <c r="A5" s="81" t="s">
        <v>3446</v>
      </c>
      <c r="C5" s="0" t="s">
        <v>7564</v>
      </c>
    </row>
    <row customHeight="1" ht="11.25">
      <c r="A6" s="81" t="s">
        <v>3745</v>
      </c>
      <c r="C6" s="0" t="s">
        <v>7565</v>
      </c>
    </row>
    <row customHeight="1" ht="11.25">
      <c r="A7" s="81" t="s">
        <v>7566</v>
      </c>
      <c r="C7" s="0" t="s">
        <v>7567</v>
      </c>
    </row>
    <row customHeight="1" ht="11.25">
      <c r="A8" s="81" t="s">
        <v>7568</v>
      </c>
      <c r="C8" s="0" t="s">
        <v>7569</v>
      </c>
    </row>
    <row customHeight="1" ht="11.25">
      <c r="A9" s="81" t="s">
        <v>7570</v>
      </c>
      <c r="C9" s="0" t="s">
        <v>7571</v>
      </c>
    </row>
    <row customHeight="1" ht="11.25">
      <c r="A10" s="81" t="s">
        <v>7572</v>
      </c>
      <c r="C10" s="0" t="s">
        <v>7573</v>
      </c>
    </row>
    <row customHeight="1" ht="11.25">
      <c r="A11" s="81" t="s">
        <v>7574</v>
      </c>
      <c r="C11" s="0" t="s">
        <v>7575</v>
      </c>
    </row>
    <row customHeight="1" ht="11.25">
      <c r="A12" s="81" t="s">
        <v>7576</v>
      </c>
      <c r="C12" s="0" t="s">
        <v>7577</v>
      </c>
    </row>
    <row customHeight="1" ht="11.25">
      <c r="A13" s="81" t="s">
        <v>7578</v>
      </c>
      <c r="C13" s="0" t="s">
        <v>7579</v>
      </c>
    </row>
    <row customHeight="1" ht="11.25">
      <c r="A14" s="81" t="s">
        <v>7580</v>
      </c>
      <c r="C14" s="0" t="s">
        <v>7581</v>
      </c>
    </row>
    <row customHeight="1" ht="11.25">
      <c r="A15" s="81" t="s">
        <v>7582</v>
      </c>
      <c r="C15" s="0" t="s">
        <v>7583</v>
      </c>
    </row>
    <row customHeight="1" ht="11.25">
      <c r="A16" s="81" t="s">
        <v>7584</v>
      </c>
      <c r="C16" s="0" t="s">
        <v>7585</v>
      </c>
    </row>
    <row customHeight="1" ht="11.25">
      <c r="A17" s="81" t="s">
        <v>7586</v>
      </c>
      <c r="C17" s="0" t="s">
        <v>7587</v>
      </c>
    </row>
    <row customHeight="1" ht="11.25">
      <c r="A18" s="81" t="s">
        <v>7588</v>
      </c>
      <c r="C18" s="0" t="s">
        <v>7589</v>
      </c>
    </row>
    <row customHeight="1" ht="11.25">
      <c r="A19" s="81" t="s">
        <v>7590</v>
      </c>
      <c r="C19" s="0" t="s">
        <v>7591</v>
      </c>
    </row>
    <row customHeight="1" ht="11.25">
      <c r="A20" s="81" t="s">
        <v>7592</v>
      </c>
      <c r="C20" s="0" t="s">
        <v>7593</v>
      </c>
    </row>
    <row customHeight="1" ht="11.25">
      <c r="A21" s="81" t="s">
        <v>7594</v>
      </c>
      <c r="C21" s="0" t="s">
        <v>7595</v>
      </c>
    </row>
    <row customHeight="1" ht="11.25">
      <c r="A22" s="81" t="s">
        <v>7596</v>
      </c>
      <c r="C22" s="0" t="s">
        <v>7597</v>
      </c>
    </row>
    <row customHeight="1" ht="11.25">
      <c r="A23" s="81" t="s">
        <v>7598</v>
      </c>
      <c r="C23" s="0" t="s">
        <v>7599</v>
      </c>
    </row>
    <row customHeight="1" ht="11.25">
      <c r="A24" s="81" t="s">
        <v>7600</v>
      </c>
      <c r="C24" s="0" t="s">
        <v>7601</v>
      </c>
    </row>
    <row customHeight="1" ht="11.25">
      <c r="A25" s="81" t="s">
        <v>7602</v>
      </c>
      <c r="C25" s="0" t="s">
        <v>7603</v>
      </c>
    </row>
    <row customHeight="1" ht="11.25">
      <c r="A26" s="81" t="s">
        <v>7604</v>
      </c>
      <c r="C26" s="0" t="s">
        <v>7605</v>
      </c>
    </row>
    <row customHeight="1" ht="11.25">
      <c r="A27" s="81" t="s">
        <v>7606</v>
      </c>
      <c r="C27" s="0" t="s">
        <v>7607</v>
      </c>
    </row>
    <row customHeight="1" ht="11.25">
      <c r="A28" s="81" t="s">
        <v>7608</v>
      </c>
      <c r="C28" s="0" t="s">
        <v>7609</v>
      </c>
    </row>
    <row customHeight="1" ht="11.25">
      <c r="A29" s="81" t="s">
        <v>7610</v>
      </c>
      <c r="C29" s="0" t="s">
        <v>7611</v>
      </c>
    </row>
    <row customHeight="1" ht="11.25">
      <c r="A30" s="81" t="s">
        <v>7612</v>
      </c>
      <c r="C30" s="0" t="s">
        <v>7613</v>
      </c>
    </row>
    <row customHeight="1" ht="11.25">
      <c r="A31" s="81" t="s">
        <v>7614</v>
      </c>
      <c r="C31" s="0" t="s">
        <v>7615</v>
      </c>
    </row>
    <row customHeight="1" ht="11.25">
      <c r="A32" s="81" t="s">
        <v>7616</v>
      </c>
      <c r="C32" s="0" t="s">
        <v>7617</v>
      </c>
    </row>
    <row customHeight="1" ht="11.25">
      <c r="A33" s="81" t="s">
        <v>7618</v>
      </c>
      <c r="C33" s="0" t="s">
        <v>7619</v>
      </c>
    </row>
    <row customHeight="1" ht="11.25">
      <c r="A34" s="81" t="s">
        <v>7620</v>
      </c>
      <c r="C34" s="0" t="s">
        <v>7621</v>
      </c>
    </row>
    <row customHeight="1" ht="11.25">
      <c r="A35" s="81" t="s">
        <v>7622</v>
      </c>
      <c r="C35" s="0" t="s">
        <v>7623</v>
      </c>
    </row>
    <row customHeight="1" ht="11.25">
      <c r="A36" s="81" t="s">
        <v>7624</v>
      </c>
      <c r="C36" s="0" t="s">
        <v>7625</v>
      </c>
    </row>
    <row customHeight="1" ht="11.25">
      <c r="A37" s="81" t="s">
        <v>7626</v>
      </c>
      <c r="C37" s="0" t="s">
        <v>7627</v>
      </c>
    </row>
    <row customHeight="1" ht="11.25">
      <c r="A38" s="81" t="s">
        <v>7628</v>
      </c>
      <c r="C38" s="0" t="s">
        <v>7629</v>
      </c>
    </row>
    <row customHeight="1" ht="11.25">
      <c r="A39" s="81" t="s">
        <v>7630</v>
      </c>
      <c r="C39" s="0" t="s">
        <v>7631</v>
      </c>
    </row>
    <row customHeight="1" ht="11.25">
      <c r="A40" s="81" t="s">
        <v>7632</v>
      </c>
      <c r="C40" s="0" t="s">
        <v>7633</v>
      </c>
    </row>
    <row customHeight="1" ht="11.25">
      <c r="A41" s="81" t="s">
        <v>7634</v>
      </c>
      <c r="C41" s="0" t="s">
        <v>7635</v>
      </c>
    </row>
    <row customHeight="1" ht="11.25">
      <c r="A42" s="81" t="s">
        <v>7636</v>
      </c>
      <c r="C42" s="0" t="s">
        <v>7637</v>
      </c>
    </row>
    <row customHeight="1" ht="11.25">
      <c r="A43" s="81" t="s">
        <v>7638</v>
      </c>
      <c r="C43" s="0" t="s">
        <v>7639</v>
      </c>
    </row>
    <row customHeight="1" ht="11.25">
      <c r="A44" s="81" t="s">
        <v>7640</v>
      </c>
    </row>
    <row customHeight="1" ht="11.25">
      <c r="A45" s="81" t="s">
        <v>7641</v>
      </c>
    </row>
    <row customHeight="1" ht="11.25">
      <c r="A46" s="81" t="s">
        <v>7642</v>
      </c>
    </row>
    <row customHeight="1" ht="11.25">
      <c r="A47" s="81" t="s">
        <v>7643</v>
      </c>
    </row>
    <row customHeight="1" ht="11.25">
      <c r="A48" s="81" t="s">
        <v>7644</v>
      </c>
    </row>
    <row customHeight="1" ht="11.25">
      <c r="A49" s="81" t="s">
        <v>7645</v>
      </c>
    </row>
    <row customHeight="1" ht="11.25">
      <c r="A50" s="81" t="s">
        <v>7646</v>
      </c>
    </row>
    <row customHeight="1" ht="11.25">
      <c r="A51" s="81" t="s">
        <v>7647</v>
      </c>
    </row>
    <row customHeight="1" ht="11.25">
      <c r="A52" s="81" t="s">
        <v>7648</v>
      </c>
    </row>
    <row customHeight="1" ht="11.25">
      <c r="A53" s="81" t="s">
        <v>7649</v>
      </c>
    </row>
    <row customHeight="1" ht="11.25">
      <c r="A54" s="81" t="s">
        <v>7650</v>
      </c>
    </row>
    <row customHeight="1" ht="11.25">
      <c r="A55" s="81" t="s">
        <v>7651</v>
      </c>
    </row>
    <row customHeight="1" ht="11.25">
      <c r="A56" s="81" t="s">
        <v>7652</v>
      </c>
    </row>
    <row customHeight="1" ht="11.25">
      <c r="A57" s="81" t="s">
        <v>3986</v>
      </c>
    </row>
    <row customHeight="1" ht="11.25">
      <c r="A58" s="81" t="s">
        <v>7653</v>
      </c>
    </row>
    <row customHeight="1" ht="11.25">
      <c r="A59" s="81" t="s">
        <v>7654</v>
      </c>
    </row>
    <row customHeight="1" ht="11.25">
      <c r="A60" s="81" t="s">
        <v>7655</v>
      </c>
    </row>
    <row customHeight="1" ht="11.25">
      <c r="A61" s="81" t="s">
        <v>7656</v>
      </c>
    </row>
    <row customHeight="1" ht="11.25">
      <c r="A62" s="81" t="s">
        <v>7657</v>
      </c>
    </row>
    <row customHeight="1" ht="11.25">
      <c r="A63" s="81" t="s">
        <v>7658</v>
      </c>
    </row>
    <row customHeight="1" ht="11.25">
      <c r="A64" s="81" t="s">
        <v>7659</v>
      </c>
    </row>
    <row customHeight="1" ht="11.25">
      <c r="A65" s="81" t="s">
        <v>7660</v>
      </c>
    </row>
    <row customHeight="1" ht="11.25">
      <c r="A66" s="81" t="s">
        <v>4252</v>
      </c>
    </row>
    <row customHeight="1" ht="11.25">
      <c r="A67" s="81" t="s">
        <v>7661</v>
      </c>
    </row>
    <row customHeight="1" ht="11.25">
      <c r="A68" s="81" t="s">
        <v>7662</v>
      </c>
    </row>
    <row customHeight="1" ht="11.25">
      <c r="A69" s="81" t="s">
        <v>7663</v>
      </c>
    </row>
    <row customHeight="1" ht="11.25">
      <c r="A70" s="81" t="s">
        <v>7664</v>
      </c>
    </row>
    <row customHeight="1" ht="11.25">
      <c r="A71" s="81" t="s">
        <v>3575</v>
      </c>
    </row>
    <row customHeight="1" ht="11.25">
      <c r="A72" s="81" t="s">
        <v>7665</v>
      </c>
    </row>
    <row customHeight="1" ht="11.25">
      <c r="A73" s="81" t="s">
        <v>7666</v>
      </c>
    </row>
    <row customHeight="1" ht="11.25">
      <c r="A74" s="81" t="s">
        <v>3587</v>
      </c>
    </row>
    <row customHeight="1" ht="11.25">
      <c r="A75" s="81" t="s">
        <v>7667</v>
      </c>
    </row>
    <row customHeight="1" ht="11.25">
      <c r="A76" s="81" t="s">
        <v>7668</v>
      </c>
    </row>
    <row customHeight="1" ht="11.25">
      <c r="A77" s="81" t="s">
        <v>7669</v>
      </c>
    </row>
    <row customHeight="1" ht="11.25">
      <c r="A78" s="81" t="s">
        <v>7670</v>
      </c>
    </row>
    <row customHeight="1" ht="11.25">
      <c r="A79" s="81" t="s">
        <v>7671</v>
      </c>
    </row>
    <row customHeight="1" ht="11.25">
      <c r="A80" s="81" t="s">
        <v>7672</v>
      </c>
    </row>
    <row customHeight="1" ht="11.25">
      <c r="A81" s="81" t="s">
        <v>7673</v>
      </c>
    </row>
    <row customHeight="1" ht="11.25">
      <c r="A82" s="81" t="s">
        <v>7674</v>
      </c>
    </row>
    <row customHeight="1" ht="11.25">
      <c r="A83" s="81" t="s">
        <v>7675</v>
      </c>
    </row>
    <row customHeight="1" ht="11.25">
      <c r="A84" s="81" t="s">
        <v>7676</v>
      </c>
    </row>
    <row customHeight="1" ht="11.25">
      <c r="A85" s="81" t="s">
        <v>4815</v>
      </c>
    </row>
    <row customHeight="1" ht="11.25">
      <c r="A86" s="81" t="s">
        <v>4007</v>
      </c>
    </row>
    <row customHeight="1" ht="11.25">
      <c r="A87" s="81" t="s">
        <v>7677</v>
      </c>
    </row>
    <row customHeight="1" ht="11.25">
      <c r="A88" s="81" t="s">
        <v>4220</v>
      </c>
    </row>
    <row customHeight="1" ht="11.25">
      <c r="A89" s="81" t="s">
        <v>7678</v>
      </c>
    </row>
    <row customHeight="1" ht="11.25">
      <c r="A90" s="81" t="s">
        <v>7679</v>
      </c>
    </row>
    <row customHeight="1" ht="11.25">
      <c r="A91" s="81" t="s">
        <v>7680</v>
      </c>
    </row>
    <row customHeight="1" ht="11.25">
      <c r="A92" s="81" t="s">
        <v>7681</v>
      </c>
    </row>
    <row customHeight="1" ht="11.25">
      <c r="A93" s="81" t="s">
        <v>4056</v>
      </c>
    </row>
    <row customHeight="1" ht="11.25">
      <c r="A94" s="81" t="s">
        <v>7682</v>
      </c>
    </row>
    <row customHeight="1" ht="11.25">
      <c r="A95" s="81" t="s">
        <v>7683</v>
      </c>
    </row>
    <row customHeight="1" ht="11.25">
      <c r="A96" s="81" t="s">
        <v>7684</v>
      </c>
    </row>
    <row customHeight="1" ht="11.25">
      <c r="A97" s="81" t="s">
        <v>7685</v>
      </c>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583EF8-12B8-9998-9D77-F7F5C3757C6F}" mc:Ignorable="x14ac xr xr2 xr3">
  <sheetPr>
    <tabColor rgb="FFFFCC99"/>
  </sheetPr>
  <dimension ref="A1:AG183"/>
  <sheetViews>
    <sheetView topLeftCell="A1" showGridLines="0" workbookViewId="0">
      <selection activeCell="A1" sqref="A1"/>
    </sheetView>
  </sheetViews>
  <sheetFormatPr defaultColWidth="9.140625" customHeight="1" defaultRowHeight="12"/>
  <cols>
    <col min="1" max="1" style="737" width="42.7109375" customWidth="1"/>
    <col min="2" max="2" style="737" width="6.7109375" customWidth="1"/>
    <col min="3" max="3" style="737" width="40.7109375" customWidth="1"/>
    <col min="4" max="4" style="737" width="15.57421875" customWidth="1"/>
    <col min="5" max="6" style="737" width="3.7109375" customWidth="1"/>
    <col min="7" max="7" style="737" width="32.7109375" customWidth="1"/>
    <col min="8" max="9" style="737" width="3.7109375" customWidth="1"/>
    <col min="10" max="10" style="737" width="4.7109375" customWidth="1"/>
    <col min="11" max="11" style="737" width="40.7109375" customWidth="1"/>
    <col min="12" max="12" style="737" width="4.7109375" customWidth="1"/>
    <col min="13" max="13" style="737" width="18.57421875" customWidth="1"/>
    <col min="14" max="15" style="737" width="4.7109375" customWidth="1"/>
    <col min="16" max="16" style="737" width="5.7109375" customWidth="1"/>
    <col min="17" max="18" style="737" width="12.57421875" customWidth="1"/>
    <col min="19" max="19" style="737" width="14.57421875" customWidth="1"/>
    <col min="20" max="20" style="737" width="18.8515625" customWidth="1"/>
    <col min="21" max="21" style="737" width="19.28125" customWidth="1"/>
    <col min="22" max="22" style="737" width="39.140625" customWidth="1"/>
    <col min="23" max="23" style="737" width="41.7109375" customWidth="1"/>
    <col min="24" max="24" style="737" width="54.8515625" customWidth="1"/>
    <col min="25" max="26" style="737" width="22.8515625" customWidth="1"/>
    <col min="27" max="31" style="737" width="9.140625"/>
  </cols>
  <sheetData>
    <row customHeight="1" ht="12">
      <c r="A1" s="104" t="s">
        <v>7686</v>
      </c>
      <c r="B1" s="103" t="s">
        <v>7687</v>
      </c>
      <c r="C1" s="104" t="s">
        <v>7686</v>
      </c>
      <c r="D1" s="426" t="s">
        <v>7688</v>
      </c>
      <c r="E1" s="159"/>
      <c r="F1" s="159"/>
      <c r="G1" s="160" t="s">
        <v>7689</v>
      </c>
      <c r="H1" s="159"/>
      <c r="I1" s="159"/>
      <c r="J1" s="159"/>
      <c r="K1" s="415" t="s">
        <v>7690</v>
      </c>
      <c r="L1" s="104"/>
      <c r="M1" s="160" t="s">
        <v>7691</v>
      </c>
      <c r="N1" s="159"/>
      <c r="O1" s="104"/>
      <c r="P1" s="159"/>
      <c r="Q1" s="160" t="s">
        <v>7692</v>
      </c>
      <c r="R1" s="160" t="s">
        <v>7693</v>
      </c>
      <c r="S1" s="160" t="s">
        <v>7694</v>
      </c>
      <c r="T1" s="160" t="s">
        <v>7695</v>
      </c>
      <c r="U1" s="160" t="s">
        <v>7696</v>
      </c>
      <c r="V1" s="167" t="s">
        <v>7697</v>
      </c>
      <c r="W1" s="167" t="s">
        <v>7698</v>
      </c>
      <c r="X1" s="167" t="s">
        <v>7699</v>
      </c>
      <c r="Y1" s="167" t="s">
        <v>7700</v>
      </c>
      <c r="Z1" s="167" t="s">
        <v>7701</v>
      </c>
      <c r="AA1" s="160" t="s">
        <v>7702</v>
      </c>
      <c r="AB1" s="160" t="s">
        <v>7703</v>
      </c>
      <c r="AC1" s="160" t="s">
        <v>7704</v>
      </c>
      <c r="AD1" s="160" t="s">
        <v>7705</v>
      </c>
      <c r="AE1" s="160" t="s">
        <v>7706</v>
      </c>
      <c r="AF1" s="47" t="s">
        <v>7707</v>
      </c>
      <c r="AG1" s="47" t="s">
        <v>7708</v>
      </c>
    </row>
    <row customHeight="1" ht="12">
      <c r="A2" s="104" t="s">
        <v>7709</v>
      </c>
      <c r="B2" s="103" t="s">
        <v>7710</v>
      </c>
      <c r="C2" s="104" t="s">
        <v>7709</v>
      </c>
      <c r="D2" s="425" t="s">
        <v>7711</v>
      </c>
      <c r="E2" s="159"/>
      <c r="F2" s="159"/>
      <c r="G2" s="161" t="s">
        <v>161</v>
      </c>
      <c r="H2" s="159"/>
      <c r="I2" s="159"/>
      <c r="J2" s="159"/>
      <c r="K2" s="416" t="s">
        <v>7712</v>
      </c>
      <c r="L2" s="159"/>
      <c r="M2" s="162" t="s">
        <v>7713</v>
      </c>
      <c r="N2" s="159"/>
      <c r="O2" s="159"/>
      <c r="P2" s="159"/>
      <c r="Q2" s="161">
        <v>2012</v>
      </c>
      <c r="R2" s="161" t="s">
        <v>7714</v>
      </c>
      <c r="S2" s="161">
        <v>3</v>
      </c>
      <c r="T2" s="166" t="s">
        <v>291</v>
      </c>
      <c r="U2" s="166" t="s">
        <v>294</v>
      </c>
      <c r="V2" s="177" t="s">
        <v>296</v>
      </c>
      <c r="W2" s="177" t="s">
        <v>293</v>
      </c>
      <c r="X2" s="177" t="s">
        <v>5947</v>
      </c>
      <c r="Y2" s="177" t="s">
        <v>7715</v>
      </c>
      <c r="Z2" s="177" t="s">
        <v>7715</v>
      </c>
      <c r="AA2" s="166" t="s">
        <v>7716</v>
      </c>
      <c r="AB2" s="166" t="s">
        <v>7717</v>
      </c>
      <c r="AC2" s="166" t="s">
        <v>7718</v>
      </c>
      <c r="AD2" s="166" t="s">
        <v>7719</v>
      </c>
      <c r="AE2" s="166" t="s">
        <v>290</v>
      </c>
      <c r="AF2" s="47" t="s">
        <v>7720</v>
      </c>
      <c r="AG2" s="47" t="s">
        <v>7721</v>
      </c>
    </row>
    <row customHeight="1" ht="12">
      <c r="A3" s="104" t="s">
        <v>7722</v>
      </c>
      <c r="B3" s="103" t="s">
        <v>7723</v>
      </c>
      <c r="C3" s="104" t="s">
        <v>7722</v>
      </c>
      <c r="D3" s="159"/>
      <c r="E3" s="159"/>
      <c r="F3" s="159"/>
      <c r="G3" s="161" t="s">
        <v>152</v>
      </c>
      <c r="H3" s="159"/>
      <c r="I3" s="159"/>
      <c r="J3" s="159"/>
      <c r="L3" s="159"/>
      <c r="M3" s="159"/>
      <c r="N3" s="159"/>
      <c r="O3" s="159"/>
      <c r="P3" s="159"/>
      <c r="Q3" s="161">
        <v>2013</v>
      </c>
      <c r="R3" s="161" t="s">
        <v>7724</v>
      </c>
      <c r="S3" s="161">
        <v>4</v>
      </c>
      <c r="T3" s="166" t="s">
        <v>300</v>
      </c>
      <c r="U3" s="166" t="s">
        <v>7725</v>
      </c>
      <c r="V3" s="177" t="s">
        <v>7451</v>
      </c>
      <c r="W3" s="177" t="s">
        <v>7449</v>
      </c>
      <c r="X3" s="177" t="s">
        <v>7068</v>
      </c>
      <c r="Y3" s="177" t="s">
        <v>7726</v>
      </c>
      <c r="Z3" s="177" t="s">
        <v>7726</v>
      </c>
      <c r="AA3" s="166" t="s">
        <v>7727</v>
      </c>
      <c r="AB3" s="166" t="s">
        <v>7728</v>
      </c>
      <c r="AC3" s="166" t="s">
        <v>7729</v>
      </c>
      <c r="AD3" s="166" t="s">
        <v>7730</v>
      </c>
      <c r="AE3" s="166" t="s">
        <v>299</v>
      </c>
      <c r="AF3" s="47" t="s">
        <v>7731</v>
      </c>
      <c r="AG3" s="47" t="s">
        <v>7732</v>
      </c>
    </row>
    <row customHeight="1" ht="12">
      <c r="A4" s="104" t="s">
        <v>7733</v>
      </c>
      <c r="B4" s="103" t="s">
        <v>7734</v>
      </c>
      <c r="C4" s="104" t="s">
        <v>7733</v>
      </c>
      <c r="D4" s="159"/>
      <c r="E4" s="159"/>
      <c r="F4" s="159"/>
      <c r="G4" s="159"/>
      <c r="H4" s="159"/>
      <c r="I4" s="159"/>
      <c r="J4" s="159"/>
      <c r="K4" s="415" t="s">
        <v>7735</v>
      </c>
      <c r="L4" s="159"/>
      <c r="M4" s="160" t="s">
        <v>7736</v>
      </c>
      <c r="N4" s="159"/>
      <c r="O4" s="159"/>
      <c r="P4" s="159"/>
      <c r="Q4" s="161">
        <v>2014</v>
      </c>
      <c r="R4" s="161" t="s">
        <v>7737</v>
      </c>
      <c r="S4" s="161">
        <v>5</v>
      </c>
      <c r="V4" s="177" t="s">
        <v>7738</v>
      </c>
      <c r="X4" s="177" t="s">
        <v>443</v>
      </c>
      <c r="Y4" s="177" t="s">
        <v>7739</v>
      </c>
      <c r="Z4" s="177" t="s">
        <v>7739</v>
      </c>
      <c r="AB4" s="166" t="s">
        <v>6038</v>
      </c>
      <c r="AC4" s="166" t="s">
        <v>7740</v>
      </c>
      <c r="AD4" s="165"/>
      <c r="AE4" s="166" t="s">
        <v>234</v>
      </c>
      <c r="AF4" s="47" t="s">
        <v>7741</v>
      </c>
      <c r="AG4" s="47" t="s">
        <v>7742</v>
      </c>
    </row>
    <row customHeight="1" ht="12">
      <c r="A5" s="104" t="s">
        <v>7743</v>
      </c>
      <c r="B5" s="103" t="s">
        <v>7744</v>
      </c>
      <c r="C5" s="104" t="s">
        <v>7743</v>
      </c>
      <c r="D5" s="159"/>
      <c r="E5" s="159"/>
      <c r="F5" s="159"/>
      <c r="G5" s="160" t="s">
        <v>7745</v>
      </c>
      <c r="H5" s="159"/>
      <c r="I5" s="159"/>
      <c r="J5" s="159"/>
      <c r="K5" s="161" t="s">
        <v>7746</v>
      </c>
      <c r="L5" s="159"/>
      <c r="M5" s="162">
        <v>1.2</v>
      </c>
      <c r="N5" s="159"/>
      <c r="O5" s="159"/>
      <c r="P5" s="159"/>
      <c r="Q5" s="161">
        <v>2015</v>
      </c>
      <c r="R5" s="161" t="s">
        <v>7747</v>
      </c>
      <c r="S5" s="161">
        <v>6</v>
      </c>
      <c r="V5" s="167" t="s">
        <v>7748</v>
      </c>
      <c r="W5" s="167" t="s">
        <v>7749</v>
      </c>
      <c r="X5" s="177" t="s">
        <v>7750</v>
      </c>
      <c r="Y5" s="177" t="s">
        <v>1039</v>
      </c>
      <c r="Z5" s="177" t="s">
        <v>1039</v>
      </c>
      <c r="AB5" s="166" t="s">
        <v>7751</v>
      </c>
      <c r="AC5" s="166" t="s">
        <v>7752</v>
      </c>
      <c r="AD5" s="165"/>
      <c r="AE5" s="166" t="s">
        <v>451</v>
      </c>
      <c r="AF5" s="47" t="s">
        <v>7753</v>
      </c>
      <c r="AG5" s="47" t="s">
        <v>7754</v>
      </c>
    </row>
    <row customHeight="1" ht="12">
      <c r="A6" s="104" t="s">
        <v>7755</v>
      </c>
      <c r="B6" s="103" t="s">
        <v>7756</v>
      </c>
      <c r="C6" s="104" t="s">
        <v>7755</v>
      </c>
      <c r="D6" s="159"/>
      <c r="E6" s="159"/>
      <c r="F6" s="159"/>
      <c r="G6" s="160" t="s">
        <v>7757</v>
      </c>
      <c r="H6" s="159"/>
      <c r="I6" s="159"/>
      <c r="J6" s="159"/>
      <c r="K6" s="161" t="s">
        <v>7758</v>
      </c>
      <c r="L6" s="159"/>
      <c r="M6" s="159"/>
      <c r="N6" s="159"/>
      <c r="O6" s="159"/>
      <c r="P6" s="159"/>
      <c r="Q6" s="161">
        <v>2016</v>
      </c>
      <c r="R6" s="161" t="s">
        <v>7759</v>
      </c>
      <c r="S6" s="161">
        <v>7</v>
      </c>
      <c r="V6" s="177" t="s">
        <v>304</v>
      </c>
      <c r="W6" s="257" t="s">
        <v>302</v>
      </c>
      <c r="X6" s="177" t="s">
        <v>7189</v>
      </c>
      <c r="Y6" s="177" t="s">
        <v>1022</v>
      </c>
      <c r="Z6" s="177" t="s">
        <v>1022</v>
      </c>
      <c r="AB6" s="166" t="s">
        <v>7760</v>
      </c>
      <c r="AC6" s="165"/>
      <c r="AD6" s="165"/>
      <c r="AE6" s="166" t="s">
        <v>454</v>
      </c>
      <c r="AF6" s="47" t="s">
        <v>7761</v>
      </c>
      <c r="AG6" s="47" t="s">
        <v>7762</v>
      </c>
    </row>
    <row customHeight="1" ht="12">
      <c r="A7" s="104" t="s">
        <v>7763</v>
      </c>
      <c r="B7" s="103" t="s">
        <v>7764</v>
      </c>
      <c r="C7" s="104" t="s">
        <v>7763</v>
      </c>
      <c r="D7" s="159"/>
      <c r="E7" s="159"/>
      <c r="F7" s="159"/>
      <c r="G7" s="163" t="s">
        <v>7765</v>
      </c>
      <c r="H7" s="159"/>
      <c r="I7" s="159"/>
      <c r="J7" s="159"/>
      <c r="K7" s="161" t="s">
        <v>7766</v>
      </c>
      <c r="L7" s="159"/>
      <c r="M7" s="160" t="s">
        <v>7767</v>
      </c>
      <c r="N7" s="159"/>
      <c r="O7" s="159"/>
      <c r="P7" s="159"/>
      <c r="Q7" s="161">
        <v>2017</v>
      </c>
      <c r="R7" s="161" t="s">
        <v>7768</v>
      </c>
      <c r="S7" s="161">
        <v>8</v>
      </c>
      <c r="V7" s="177" t="s">
        <v>7769</v>
      </c>
      <c r="X7" s="177" t="s">
        <v>7404</v>
      </c>
      <c r="Y7" s="177" t="s">
        <v>1019</v>
      </c>
      <c r="Z7" s="177" t="s">
        <v>1019</v>
      </c>
      <c r="AB7" s="166" t="s">
        <v>7770</v>
      </c>
      <c r="AC7" s="165"/>
      <c r="AD7" s="165"/>
      <c r="AE7" s="165"/>
      <c r="AF7" s="47" t="s">
        <v>7732</v>
      </c>
      <c r="AG7" s="47" t="s">
        <v>7771</v>
      </c>
    </row>
    <row customHeight="1" ht="12">
      <c r="A8" s="104" t="s">
        <v>7772</v>
      </c>
      <c r="B8" s="103" t="s">
        <v>7773</v>
      </c>
      <c r="C8" s="104" t="s">
        <v>7772</v>
      </c>
      <c r="D8" s="159"/>
      <c r="E8" s="159"/>
      <c r="F8" s="159"/>
      <c r="G8" s="163" t="s">
        <v>7774</v>
      </c>
      <c r="H8" s="159"/>
      <c r="I8" s="159"/>
      <c r="J8" s="159"/>
      <c r="K8" s="161" t="s">
        <v>7775</v>
      </c>
      <c r="L8" s="159"/>
      <c r="M8" s="162" cm="1" t="str">
        <f t="array" ref="M8:M8">IF(god="",YEAR(TODAY()),god)</f>
        <v>2026</v>
      </c>
      <c r="N8" s="159"/>
      <c r="O8" s="159"/>
      <c r="P8" s="159"/>
      <c r="Q8" s="161">
        <v>2018</v>
      </c>
      <c r="R8" s="161" t="s">
        <v>7776</v>
      </c>
      <c r="S8" s="161">
        <v>9</v>
      </c>
      <c r="V8" s="177" t="s">
        <v>7777</v>
      </c>
      <c r="X8" s="177" t="s">
        <v>7778</v>
      </c>
      <c r="Z8" s="177" t="s">
        <v>7779</v>
      </c>
      <c r="AB8" s="166" t="s">
        <v>7780</v>
      </c>
      <c r="AC8" s="165"/>
      <c r="AD8" s="165"/>
      <c r="AE8" s="165"/>
      <c r="AF8" s="47" t="s">
        <v>7742</v>
      </c>
      <c r="AG8" s="47" t="s">
        <v>7781</v>
      </c>
    </row>
    <row customHeight="1" ht="12">
      <c r="A9" s="104" t="s">
        <v>7782</v>
      </c>
      <c r="B9" s="103" t="s">
        <v>7783</v>
      </c>
      <c r="C9" s="104" t="s">
        <v>7782</v>
      </c>
      <c r="D9" s="159"/>
      <c r="E9" s="159"/>
      <c r="F9" s="159"/>
      <c r="G9" s="163" t="s">
        <v>7784</v>
      </c>
      <c r="H9" s="159"/>
      <c r="I9" s="159"/>
      <c r="J9" s="159"/>
      <c r="K9" s="161" t="s">
        <v>7785</v>
      </c>
      <c r="L9" s="159"/>
      <c r="M9" s="159"/>
      <c r="N9" s="159"/>
      <c r="O9" s="159"/>
      <c r="P9" s="159"/>
      <c r="Q9" s="161">
        <v>2019</v>
      </c>
      <c r="R9" s="161" t="s">
        <v>7786</v>
      </c>
      <c r="S9" s="161">
        <v>10</v>
      </c>
      <c r="V9" s="177" t="s">
        <v>7787</v>
      </c>
      <c r="X9" s="177" t="s">
        <v>7788</v>
      </c>
      <c r="AB9" s="166" t="s">
        <v>7789</v>
      </c>
      <c r="AC9" s="165"/>
      <c r="AD9" s="165"/>
      <c r="AE9" s="165"/>
      <c r="AF9" s="47" t="s">
        <v>7754</v>
      </c>
      <c r="AG9" s="47" t="s">
        <v>7790</v>
      </c>
    </row>
    <row customHeight="1" ht="12">
      <c r="A10" s="104" t="s">
        <v>7791</v>
      </c>
      <c r="B10" s="103" t="s">
        <v>7792</v>
      </c>
      <c r="C10" s="104" t="s">
        <v>7791</v>
      </c>
      <c r="D10" s="159"/>
      <c r="E10" s="159"/>
      <c r="F10" s="159"/>
      <c r="G10" s="164"/>
      <c r="H10" s="159"/>
      <c r="I10" s="159"/>
      <c r="J10" s="159"/>
      <c r="K10" s="161" t="s">
        <v>7793</v>
      </c>
      <c r="L10" s="159"/>
      <c r="M10" s="160" t="s">
        <v>7794</v>
      </c>
      <c r="N10" s="159"/>
      <c r="O10" s="159"/>
      <c r="P10" s="159"/>
      <c r="Q10" s="161">
        <v>2020</v>
      </c>
      <c r="R10" s="161" t="s">
        <v>7795</v>
      </c>
      <c r="S10" s="161">
        <v>11</v>
      </c>
      <c r="V10" s="177" t="s">
        <v>7796</v>
      </c>
      <c r="X10" s="177" t="s">
        <v>7797</v>
      </c>
      <c r="AB10" s="166" t="s">
        <v>7798</v>
      </c>
      <c r="AC10" s="165"/>
      <c r="AD10" s="165"/>
      <c r="AE10" s="165"/>
      <c r="AF10" s="47" t="s">
        <v>7762</v>
      </c>
      <c r="AG10" s="47" t="s">
        <v>7799</v>
      </c>
    </row>
    <row customHeight="1" ht="12">
      <c r="A11" s="410" t="s">
        <v>7800</v>
      </c>
      <c r="B11" s="103" t="s">
        <v>7801</v>
      </c>
      <c r="C11" s="104" t="s">
        <v>7802</v>
      </c>
      <c r="D11" s="159"/>
      <c r="E11" s="159"/>
      <c r="F11" s="159"/>
      <c r="G11" s="160" t="s">
        <v>7803</v>
      </c>
      <c r="H11" s="159"/>
      <c r="I11" s="159"/>
      <c r="J11" s="159"/>
      <c r="K11" s="161" t="s">
        <v>7804</v>
      </c>
      <c r="L11" s="159"/>
      <c r="M11" s="162" t="str">
        <f>"01.01."&amp;PERIOD</f>
        <v>01.01.2026</v>
      </c>
      <c r="N11" s="159"/>
      <c r="O11" s="159"/>
      <c r="P11" s="159"/>
      <c r="Q11" s="161">
        <v>2021</v>
      </c>
      <c r="R11" s="161" t="s">
        <v>7805</v>
      </c>
      <c r="S11" s="161">
        <v>12</v>
      </c>
      <c r="V11" s="177" t="s">
        <v>7806</v>
      </c>
      <c r="X11" s="177" t="s">
        <v>6556</v>
      </c>
      <c r="AB11" s="166" t="s">
        <v>7807</v>
      </c>
      <c r="AC11" s="165"/>
      <c r="AD11" s="165"/>
      <c r="AE11" s="165"/>
      <c r="AF11" s="47" t="s">
        <v>7771</v>
      </c>
      <c r="AG11" s="47" t="s">
        <v>7808</v>
      </c>
    </row>
    <row customHeight="1" ht="12">
      <c r="A12" s="410" t="s">
        <v>7809</v>
      </c>
      <c r="B12" s="103" t="s">
        <v>7810</v>
      </c>
      <c r="C12" s="104"/>
      <c r="D12" s="159"/>
      <c r="E12" s="159"/>
      <c r="F12" s="159"/>
      <c r="G12" s="160" t="s">
        <v>7811</v>
      </c>
      <c r="H12" s="159"/>
      <c r="I12" s="159"/>
      <c r="J12" s="159"/>
      <c r="K12" s="159"/>
      <c r="L12" s="159"/>
      <c r="M12" s="162" t="str">
        <f>"31.12."&amp;PERIOD</f>
        <v>31.12.2026</v>
      </c>
      <c r="N12" s="159"/>
      <c r="O12" s="159"/>
      <c r="P12" s="159"/>
      <c r="Q12" s="161">
        <v>2022</v>
      </c>
      <c r="R12" s="161" t="s">
        <v>7812</v>
      </c>
      <c r="S12" s="161">
        <v>13</v>
      </c>
      <c r="X12" s="177" t="s">
        <v>7813</v>
      </c>
      <c r="AB12" s="166" t="s">
        <v>7814</v>
      </c>
      <c r="AC12" s="165"/>
      <c r="AD12" s="165"/>
      <c r="AE12" s="165"/>
      <c r="AF12" s="47" t="s">
        <v>7781</v>
      </c>
      <c r="AG12" s="47" t="s">
        <v>7815</v>
      </c>
    </row>
    <row customHeight="1" ht="12">
      <c r="A13" s="410" t="s">
        <v>7816</v>
      </c>
      <c r="B13" s="103" t="s">
        <v>7817</v>
      </c>
      <c r="C13" s="104" t="s">
        <v>7818</v>
      </c>
      <c r="D13" s="159"/>
      <c r="E13" s="159"/>
      <c r="F13" s="159"/>
      <c r="G13" s="163" t="s">
        <v>7819</v>
      </c>
      <c r="H13" s="159"/>
      <c r="I13" s="159"/>
      <c r="J13" s="159"/>
      <c r="K13" s="461" t="s">
        <v>7820</v>
      </c>
      <c r="L13" s="159"/>
      <c r="M13" s="159"/>
      <c r="N13" s="159"/>
      <c r="O13" s="159"/>
      <c r="P13" s="159"/>
      <c r="Q13" s="161">
        <v>2023</v>
      </c>
      <c r="R13" s="161" t="s">
        <v>7821</v>
      </c>
      <c r="S13" s="161">
        <v>14</v>
      </c>
      <c r="X13" s="177" t="s">
        <v>7822</v>
      </c>
      <c r="AB13" s="166" t="s">
        <v>7823</v>
      </c>
      <c r="AC13" s="165"/>
      <c r="AD13" s="165"/>
      <c r="AE13" s="165"/>
      <c r="AF13" s="47" t="s">
        <v>7790</v>
      </c>
      <c r="AG13" s="47" t="s">
        <v>7824</v>
      </c>
    </row>
    <row customHeight="1" ht="12">
      <c r="A14" s="410" t="s">
        <v>7825</v>
      </c>
      <c r="B14" s="103" t="s">
        <v>7826</v>
      </c>
      <c r="C14" s="104" t="s">
        <v>7827</v>
      </c>
      <c r="D14" s="159"/>
      <c r="E14" s="159"/>
      <c r="F14" s="159"/>
      <c r="G14" s="163" t="s">
        <v>7828</v>
      </c>
      <c r="H14" s="159"/>
      <c r="I14" s="159"/>
      <c r="J14" s="159"/>
      <c r="K14" s="462" t="s">
        <v>104</v>
      </c>
      <c r="L14" s="159"/>
      <c r="M14" s="160" t="s">
        <v>7829</v>
      </c>
      <c r="N14" s="159"/>
      <c r="O14" s="159"/>
      <c r="P14" s="159"/>
      <c r="Q14" s="161">
        <v>2024</v>
      </c>
      <c r="R14" s="159"/>
      <c r="S14" s="161">
        <v>15</v>
      </c>
      <c r="X14" s="177" t="s">
        <v>7830</v>
      </c>
      <c r="AB14" s="166" t="s">
        <v>7831</v>
      </c>
      <c r="AC14" s="165"/>
      <c r="AD14" s="165"/>
      <c r="AE14" s="165"/>
      <c r="AF14" s="47" t="s">
        <v>7799</v>
      </c>
      <c r="AG14" s="47" t="s">
        <v>7832</v>
      </c>
    </row>
    <row customHeight="1" ht="12">
      <c r="A15" s="411" t="s">
        <v>7833</v>
      </c>
      <c r="B15" s="412" t="s">
        <v>7834</v>
      </c>
      <c r="C15" s="411"/>
      <c r="D15" s="159"/>
      <c r="E15" s="159"/>
      <c r="F15" s="159"/>
      <c r="G15" s="163" t="s">
        <v>7835</v>
      </c>
      <c r="H15" s="159"/>
      <c r="I15" s="159"/>
      <c r="J15" s="159"/>
      <c r="K15" s="462" t="s">
        <v>7440</v>
      </c>
      <c r="L15" s="159"/>
      <c r="M15" s="162" t="str">
        <f>"01.01."&amp;PERIOD</f>
        <v>01.01.2026</v>
      </c>
      <c r="N15" s="159"/>
      <c r="O15" s="159"/>
      <c r="P15" s="159"/>
      <c r="Q15" s="161">
        <v>2025</v>
      </c>
      <c r="R15" s="159"/>
      <c r="S15" s="161">
        <v>16</v>
      </c>
      <c r="AB15" s="166" t="s">
        <v>7836</v>
      </c>
      <c r="AC15" s="165"/>
      <c r="AD15" s="165"/>
      <c r="AE15" s="165"/>
      <c r="AF15" s="47" t="s">
        <v>7808</v>
      </c>
      <c r="AG15" s="47" t="s">
        <v>7837</v>
      </c>
    </row>
    <row customHeight="1" ht="12">
      <c r="A16" s="104" t="s">
        <v>7838</v>
      </c>
      <c r="B16" s="103" t="s">
        <v>7839</v>
      </c>
      <c r="C16" s="104" t="s">
        <v>7838</v>
      </c>
      <c r="D16" s="159"/>
      <c r="E16" s="159"/>
      <c r="F16" s="159"/>
      <c r="G16" s="163" t="s">
        <v>158</v>
      </c>
      <c r="H16" s="159"/>
      <c r="I16" s="159"/>
      <c r="J16" s="159"/>
      <c r="K16" s="462" t="s">
        <v>7546</v>
      </c>
      <c r="L16" s="159"/>
      <c r="M16" s="162" t="str">
        <f>"31.12."&amp;PERIOD</f>
        <v>31.12.2026</v>
      </c>
      <c r="N16" s="159"/>
      <c r="O16" s="159"/>
      <c r="P16" s="159"/>
      <c r="Q16" s="161">
        <v>2026</v>
      </c>
      <c r="R16" s="159"/>
      <c r="S16" s="161">
        <v>17</v>
      </c>
      <c r="X16" s="167" t="s">
        <v>7840</v>
      </c>
      <c r="AB16" s="166" t="s">
        <v>7841</v>
      </c>
      <c r="AC16" s="165"/>
      <c r="AD16" s="165"/>
      <c r="AE16" s="165"/>
      <c r="AF16" s="47" t="s">
        <v>7815</v>
      </c>
      <c r="AG16" s="47" t="s">
        <v>7842</v>
      </c>
    </row>
    <row customHeight="1" ht="23.25">
      <c r="A17" s="104" t="s">
        <v>7843</v>
      </c>
      <c r="B17" s="103" t="s">
        <v>7844</v>
      </c>
      <c r="C17" s="104" t="s">
        <v>7843</v>
      </c>
      <c r="D17" s="159"/>
      <c r="E17" s="159"/>
      <c r="F17" s="159"/>
      <c r="G17" s="159"/>
      <c r="H17" s="159"/>
      <c r="I17" s="159"/>
      <c r="J17" s="159"/>
      <c r="K17" s="462" t="s">
        <v>7845</v>
      </c>
      <c r="L17" s="159"/>
      <c r="M17" s="148"/>
      <c r="N17" s="159"/>
      <c r="O17" s="159"/>
      <c r="P17" s="159"/>
      <c r="Q17" s="161">
        <v>2027</v>
      </c>
      <c r="R17" s="159"/>
      <c r="S17" s="161">
        <v>18</v>
      </c>
      <c r="X17" s="177" t="s">
        <v>5528</v>
      </c>
      <c r="AB17" s="166" t="s">
        <v>7846</v>
      </c>
      <c r="AC17" s="165"/>
      <c r="AD17" s="165"/>
      <c r="AE17" s="165"/>
      <c r="AF17" s="47" t="s">
        <v>7824</v>
      </c>
      <c r="AG17" s="47" t="s">
        <v>7847</v>
      </c>
    </row>
    <row customHeight="1" ht="12">
      <c r="A18" s="411" t="s">
        <v>7848</v>
      </c>
      <c r="B18" s="412" t="s">
        <v>7849</v>
      </c>
      <c r="C18" s="411"/>
      <c r="D18" s="159"/>
      <c r="E18" s="159"/>
      <c r="F18" s="577"/>
      <c r="G18" s="160" t="s">
        <v>7850</v>
      </c>
      <c r="H18" s="159"/>
      <c r="I18" s="159"/>
      <c r="J18" s="159"/>
      <c r="K18" s="159"/>
      <c r="L18" s="159"/>
      <c r="M18" s="160" t="s">
        <v>7851</v>
      </c>
      <c r="N18" s="159"/>
      <c r="O18" s="159"/>
      <c r="P18" s="159"/>
      <c r="Q18" s="161">
        <v>2028</v>
      </c>
      <c r="R18" s="159"/>
      <c r="S18" s="161">
        <v>19</v>
      </c>
      <c r="X18" s="177" t="s">
        <v>7852</v>
      </c>
      <c r="AB18" s="166" t="s">
        <v>7853</v>
      </c>
      <c r="AC18" s="165"/>
      <c r="AD18" s="165"/>
      <c r="AE18" s="165"/>
      <c r="AF18" s="47" t="s">
        <v>7832</v>
      </c>
      <c r="AG18" s="47" t="s">
        <v>7854</v>
      </c>
    </row>
    <row customHeight="1" ht="12">
      <c r="A19" s="104" t="s">
        <v>7855</v>
      </c>
      <c r="B19" s="103" t="s">
        <v>7856</v>
      </c>
      <c r="C19" s="104" t="s">
        <v>7855</v>
      </c>
      <c r="D19" s="159"/>
      <c r="E19" s="159"/>
      <c r="F19" s="577"/>
      <c r="G19" s="576" t="s">
        <v>7857</v>
      </c>
      <c r="H19" s="159"/>
      <c r="I19" s="159"/>
      <c r="J19" s="159"/>
      <c r="K19" s="461" t="s">
        <v>7858</v>
      </c>
      <c r="L19" s="159"/>
      <c r="M19" s="162" t="str">
        <f>"01.01."&amp;PERIOD</f>
        <v>01.01.2026</v>
      </c>
      <c r="N19" s="159"/>
      <c r="O19" s="159"/>
      <c r="P19" s="159"/>
      <c r="Q19" s="161">
        <v>2029</v>
      </c>
      <c r="R19" s="159"/>
      <c r="S19" s="161">
        <v>20</v>
      </c>
      <c r="X19" s="177" t="s">
        <v>229</v>
      </c>
      <c r="AB19" s="166" t="s">
        <v>7859</v>
      </c>
      <c r="AC19" s="165"/>
      <c r="AD19" s="165"/>
      <c r="AE19" s="165"/>
      <c r="AF19" s="47" t="s">
        <v>7837</v>
      </c>
      <c r="AG19" s="47" t="s">
        <v>7860</v>
      </c>
    </row>
    <row customHeight="1" ht="12">
      <c r="A20" s="104" t="s">
        <v>7861</v>
      </c>
      <c r="B20" s="103" t="s">
        <v>7862</v>
      </c>
      <c r="C20" s="104" t="s">
        <v>7861</v>
      </c>
      <c r="D20" s="159"/>
      <c r="E20" s="159"/>
      <c r="F20" s="577"/>
      <c r="G20" s="576" t="s">
        <v>7863</v>
      </c>
      <c r="H20" s="159"/>
      <c r="I20" s="159"/>
      <c r="J20" s="159"/>
      <c r="K20" s="462" t="s">
        <v>7864</v>
      </c>
      <c r="L20" s="159"/>
      <c r="M20" s="162" t="str">
        <f>"31.12."&amp;PERIOD</f>
        <v>31.12.2026</v>
      </c>
      <c r="N20" s="159"/>
      <c r="O20" s="159"/>
      <c r="P20" s="159"/>
      <c r="Q20" s="161">
        <v>2030</v>
      </c>
      <c r="R20" s="159"/>
      <c r="S20" s="161">
        <v>21</v>
      </c>
      <c r="X20" s="177" t="s">
        <v>197</v>
      </c>
      <c r="AB20" s="166" t="s">
        <v>7865</v>
      </c>
      <c r="AC20" s="165"/>
      <c r="AD20" s="165"/>
      <c r="AE20" s="165"/>
      <c r="AF20" s="47" t="s">
        <v>7842</v>
      </c>
      <c r="AG20" s="47" t="s">
        <v>7866</v>
      </c>
    </row>
    <row customHeight="1" ht="12">
      <c r="A21" s="104" t="s">
        <v>7867</v>
      </c>
      <c r="B21" s="103" t="s">
        <v>7868</v>
      </c>
      <c r="C21" s="104" t="s">
        <v>7869</v>
      </c>
      <c r="D21" s="159"/>
      <c r="E21" s="159"/>
      <c r="F21" s="159"/>
      <c r="G21" s="159"/>
      <c r="H21" s="159"/>
      <c r="I21" s="159"/>
      <c r="J21" s="159"/>
      <c r="K21" s="462" t="s">
        <v>7870</v>
      </c>
      <c r="L21" s="159"/>
      <c r="M21" s="159"/>
      <c r="N21" s="159"/>
      <c r="O21" s="159"/>
      <c r="P21" s="159"/>
      <c r="Q21" s="159"/>
      <c r="R21" s="159"/>
      <c r="S21" s="161">
        <v>22</v>
      </c>
      <c r="X21" s="177" t="s">
        <v>7871</v>
      </c>
      <c r="AB21" s="166" t="s">
        <v>7872</v>
      </c>
      <c r="AC21" s="165"/>
      <c r="AD21" s="165"/>
      <c r="AE21" s="165"/>
      <c r="AF21" s="47" t="s">
        <v>7847</v>
      </c>
      <c r="AG21" s="47" t="s">
        <v>7873</v>
      </c>
    </row>
    <row customHeight="1" ht="12">
      <c r="A22" s="104" t="s">
        <v>7874</v>
      </c>
      <c r="B22" s="103" t="s">
        <v>7875</v>
      </c>
      <c r="C22" s="104" t="s">
        <v>7874</v>
      </c>
      <c r="D22" s="159"/>
      <c r="E22" s="159"/>
      <c r="F22" s="159"/>
      <c r="G22" s="159"/>
      <c r="H22" s="159"/>
      <c r="I22" s="159"/>
      <c r="J22" s="159"/>
      <c r="K22" s="462" t="s">
        <v>7876</v>
      </c>
      <c r="L22" s="159"/>
      <c r="M22" s="159"/>
      <c r="N22" s="159"/>
      <c r="O22" s="159"/>
      <c r="P22" s="159"/>
      <c r="Q22" s="159"/>
      <c r="R22" s="159"/>
      <c r="S22" s="161">
        <v>23</v>
      </c>
      <c r="X22" s="177" t="s">
        <v>7877</v>
      </c>
      <c r="AB22" s="166" t="s">
        <v>7878</v>
      </c>
      <c r="AC22" s="165"/>
      <c r="AD22" s="165"/>
      <c r="AE22" s="165"/>
      <c r="AF22" s="47" t="s">
        <v>7854</v>
      </c>
      <c r="AG22" s="47" t="s">
        <v>7879</v>
      </c>
    </row>
    <row customHeight="1" ht="12">
      <c r="A23" s="104" t="s">
        <v>7880</v>
      </c>
      <c r="B23" s="103" t="s">
        <v>7881</v>
      </c>
      <c r="C23" s="104" t="s">
        <v>7880</v>
      </c>
      <c r="D23" s="159"/>
      <c r="E23" s="159"/>
      <c r="F23" s="159"/>
      <c r="G23" s="159"/>
      <c r="H23" s="159"/>
      <c r="I23" s="159"/>
      <c r="J23" s="159"/>
      <c r="K23" s="462" t="s">
        <v>7882</v>
      </c>
      <c r="L23" s="159"/>
      <c r="M23" s="159"/>
      <c r="N23" s="159"/>
      <c r="O23" s="159"/>
      <c r="P23" s="159"/>
      <c r="Q23" s="159"/>
      <c r="R23" s="159"/>
      <c r="S23" s="161">
        <v>24</v>
      </c>
      <c r="X23" s="177" t="s">
        <v>7883</v>
      </c>
      <c r="AF23" s="47" t="s">
        <v>7860</v>
      </c>
      <c r="AG23" s="47" t="s">
        <v>7884</v>
      </c>
    </row>
    <row customHeight="1" ht="12">
      <c r="A24" s="104" t="s">
        <v>7885</v>
      </c>
      <c r="B24" s="103" t="s">
        <v>7886</v>
      </c>
      <c r="C24" s="104" t="s">
        <v>7885</v>
      </c>
      <c r="D24" s="159"/>
      <c r="E24" s="159"/>
      <c r="F24" s="159"/>
      <c r="G24" s="159"/>
      <c r="H24" s="159"/>
      <c r="I24" s="159"/>
      <c r="J24" s="159"/>
      <c r="K24" s="462" t="s">
        <v>7436</v>
      </c>
      <c r="L24" s="159"/>
      <c r="M24" s="159"/>
      <c r="N24" s="159"/>
      <c r="O24" s="159"/>
      <c r="P24" s="159"/>
      <c r="Q24" s="159"/>
      <c r="R24" s="159"/>
      <c r="S24" s="161">
        <v>25</v>
      </c>
      <c r="X24" s="177" t="s">
        <v>7887</v>
      </c>
      <c r="AF24" s="47" t="s">
        <v>7866</v>
      </c>
      <c r="AG24" s="47" t="s">
        <v>7888</v>
      </c>
    </row>
    <row customHeight="1" ht="12">
      <c r="A25" s="104" t="s">
        <v>7889</v>
      </c>
      <c r="B25" s="103" t="s">
        <v>7890</v>
      </c>
      <c r="C25" s="104" t="s">
        <v>7891</v>
      </c>
      <c r="D25" s="159"/>
      <c r="E25" s="159"/>
      <c r="F25" s="159"/>
      <c r="G25" s="159"/>
      <c r="H25" s="159"/>
      <c r="I25" s="159"/>
      <c r="J25" s="159"/>
      <c r="K25" s="159"/>
      <c r="L25" s="159"/>
      <c r="M25" s="159"/>
      <c r="N25" s="159"/>
      <c r="O25" s="159"/>
      <c r="P25" s="159"/>
      <c r="Q25" s="159"/>
      <c r="R25" s="159"/>
      <c r="S25" s="161">
        <v>26</v>
      </c>
      <c r="X25" s="177" t="s">
        <v>7209</v>
      </c>
      <c r="AF25" s="47" t="s">
        <v>7873</v>
      </c>
      <c r="AG25" s="47" t="s">
        <v>7892</v>
      </c>
    </row>
    <row customHeight="1" ht="12">
      <c r="A26" s="104" t="s">
        <v>102</v>
      </c>
      <c r="B26" s="103" t="s">
        <v>7893</v>
      </c>
      <c r="C26" s="104" t="s">
        <v>102</v>
      </c>
      <c r="D26" s="159"/>
      <c r="E26" s="159"/>
      <c r="F26" s="159"/>
      <c r="G26" s="159"/>
      <c r="H26" s="159"/>
      <c r="I26" s="159"/>
      <c r="J26" s="159"/>
      <c r="K26" s="461" t="s">
        <v>7894</v>
      </c>
      <c r="L26" s="159"/>
      <c r="M26" s="159"/>
      <c r="N26" s="159"/>
      <c r="O26" s="159"/>
      <c r="P26" s="159"/>
      <c r="Q26" s="159"/>
      <c r="R26" s="159"/>
      <c r="S26" s="161">
        <v>27</v>
      </c>
      <c r="X26" s="177" t="s">
        <v>7895</v>
      </c>
      <c r="AF26" s="47" t="s">
        <v>7879</v>
      </c>
      <c r="AG26" s="47" t="s">
        <v>7896</v>
      </c>
    </row>
    <row customHeight="1" ht="12">
      <c r="A27" s="104" t="s">
        <v>7897</v>
      </c>
      <c r="B27" s="103" t="s">
        <v>7898</v>
      </c>
      <c r="C27" s="104" t="s">
        <v>7897</v>
      </c>
      <c r="D27" s="159"/>
      <c r="E27" s="159"/>
      <c r="F27" s="159"/>
      <c r="G27" s="159"/>
      <c r="H27" s="159"/>
      <c r="I27" s="159"/>
      <c r="J27" s="159"/>
      <c r="K27" s="462" t="s">
        <v>7899</v>
      </c>
      <c r="L27" s="159"/>
      <c r="M27" s="159"/>
      <c r="N27" s="159"/>
      <c r="O27" s="159"/>
      <c r="P27" s="159"/>
      <c r="Q27" s="159"/>
      <c r="R27" s="159"/>
      <c r="S27" s="161">
        <v>28</v>
      </c>
      <c r="X27" s="177" t="s">
        <v>7900</v>
      </c>
      <c r="AF27" s="47" t="s">
        <v>7884</v>
      </c>
      <c r="AG27" s="47" t="s">
        <v>7901</v>
      </c>
    </row>
    <row customHeight="1" ht="12">
      <c r="A28" s="104" t="s">
        <v>7902</v>
      </c>
      <c r="B28" s="103" t="s">
        <v>7903</v>
      </c>
      <c r="C28" s="104" t="s">
        <v>7902</v>
      </c>
      <c r="D28" s="159"/>
      <c r="E28" s="159"/>
      <c r="F28" s="159"/>
      <c r="G28" s="159"/>
      <c r="H28" s="159"/>
      <c r="I28" s="159"/>
      <c r="J28" s="159"/>
      <c r="K28" s="462" t="s">
        <v>7904</v>
      </c>
      <c r="L28" s="159"/>
      <c r="M28" s="159"/>
      <c r="N28" s="159"/>
      <c r="O28" s="159"/>
      <c r="P28" s="159"/>
      <c r="Q28" s="159"/>
      <c r="R28" s="159"/>
      <c r="S28" s="161">
        <v>29</v>
      </c>
      <c r="X28" s="177" t="s">
        <v>7905</v>
      </c>
      <c r="AF28" s="47" t="s">
        <v>7888</v>
      </c>
      <c r="AG28" s="47" t="s">
        <v>7906</v>
      </c>
    </row>
    <row customHeight="1" ht="12">
      <c r="A29" s="104" t="s">
        <v>7907</v>
      </c>
      <c r="B29" s="103" t="s">
        <v>7908</v>
      </c>
      <c r="C29" s="104" t="s">
        <v>7907</v>
      </c>
      <c r="D29" s="159"/>
      <c r="E29" s="159"/>
      <c r="F29" s="159"/>
      <c r="G29" s="159"/>
      <c r="H29" s="159"/>
      <c r="I29" s="159"/>
      <c r="J29" s="159"/>
      <c r="K29" s="462" t="s">
        <v>7544</v>
      </c>
      <c r="L29" s="159"/>
      <c r="M29" s="159"/>
      <c r="N29" s="159"/>
      <c r="O29" s="159"/>
      <c r="P29" s="159"/>
      <c r="Q29" s="159"/>
      <c r="R29" s="159"/>
      <c r="S29" s="161">
        <v>30</v>
      </c>
      <c r="X29" s="177" t="s">
        <v>7909</v>
      </c>
      <c r="AF29" s="47" t="s">
        <v>7892</v>
      </c>
      <c r="AG29" s="47" t="s">
        <v>7910</v>
      </c>
    </row>
    <row customHeight="1" ht="12">
      <c r="A30" s="104" t="s">
        <v>7911</v>
      </c>
      <c r="B30" s="103" t="s">
        <v>7912</v>
      </c>
      <c r="C30" s="104" t="s">
        <v>7911</v>
      </c>
      <c r="D30" s="159"/>
      <c r="E30" s="159"/>
      <c r="F30" s="159"/>
      <c r="G30" s="159"/>
      <c r="H30" s="159"/>
      <c r="I30" s="159"/>
      <c r="J30" s="159"/>
      <c r="K30" s="159"/>
      <c r="L30" s="159"/>
      <c r="M30" s="159"/>
      <c r="N30" s="159"/>
      <c r="O30" s="159"/>
      <c r="P30" s="159"/>
      <c r="Q30" s="159"/>
      <c r="R30" s="159"/>
      <c r="S30" s="161">
        <v>31</v>
      </c>
      <c r="X30" s="177" t="s">
        <v>7913</v>
      </c>
      <c r="AF30" s="47" t="s">
        <v>7896</v>
      </c>
      <c r="AG30" s="47" t="s">
        <v>7914</v>
      </c>
    </row>
    <row customHeight="1" ht="12">
      <c r="A31" s="104" t="s">
        <v>7915</v>
      </c>
      <c r="B31" s="103" t="s">
        <v>7916</v>
      </c>
      <c r="C31" s="104" t="s">
        <v>7915</v>
      </c>
      <c r="D31" s="159"/>
      <c r="E31" s="159"/>
      <c r="F31" s="159"/>
      <c r="G31" s="159"/>
      <c r="H31" s="159"/>
      <c r="I31" s="159"/>
      <c r="J31" s="159"/>
      <c r="K31" s="159"/>
      <c r="L31" s="159"/>
      <c r="M31" s="159"/>
      <c r="N31" s="159"/>
      <c r="O31" s="159"/>
      <c r="P31" s="159"/>
      <c r="Q31" s="159"/>
      <c r="R31" s="159"/>
      <c r="S31" s="161">
        <v>32</v>
      </c>
      <c r="X31" s="177" t="s">
        <v>7917</v>
      </c>
      <c r="AF31" s="47" t="s">
        <v>7918</v>
      </c>
      <c r="AG31" s="47" t="s">
        <v>7919</v>
      </c>
    </row>
    <row customHeight="1" ht="12">
      <c r="A32" s="104" t="s">
        <v>7920</v>
      </c>
      <c r="B32" s="103" t="s">
        <v>7921</v>
      </c>
      <c r="C32" s="104" t="s">
        <v>7920</v>
      </c>
      <c r="D32" s="159"/>
      <c r="E32" s="159"/>
      <c r="F32" s="159"/>
      <c r="G32" s="159"/>
      <c r="H32" s="159"/>
      <c r="I32" s="159"/>
      <c r="J32" s="159"/>
      <c r="K32" s="159"/>
      <c r="L32" s="159"/>
      <c r="M32" s="159"/>
      <c r="N32" s="159"/>
      <c r="O32" s="159"/>
      <c r="P32" s="159"/>
      <c r="Q32" s="159"/>
      <c r="R32" s="159"/>
      <c r="S32" s="161">
        <v>33</v>
      </c>
      <c r="X32" s="177" t="s">
        <v>7922</v>
      </c>
      <c r="AF32" s="0" t="s">
        <v>7923</v>
      </c>
      <c r="AG32" s="0" t="s">
        <v>7924</v>
      </c>
    </row>
    <row customHeight="1" ht="12">
      <c r="A33" s="104" t="s">
        <v>7925</v>
      </c>
      <c r="B33" s="103" t="s">
        <v>7926</v>
      </c>
      <c r="C33" s="104" t="s">
        <v>7925</v>
      </c>
      <c r="D33" s="159"/>
      <c r="E33" s="159"/>
      <c r="F33" s="159"/>
      <c r="G33" s="159"/>
      <c r="H33" s="159"/>
      <c r="I33" s="159"/>
      <c r="J33" s="159"/>
      <c r="K33" s="159"/>
      <c r="L33" s="159"/>
      <c r="M33" s="159"/>
      <c r="N33" s="159"/>
      <c r="O33" s="159"/>
      <c r="P33" s="159"/>
      <c r="Q33" s="159"/>
      <c r="R33" s="159"/>
      <c r="S33" s="161">
        <v>34</v>
      </c>
      <c r="X33" s="177" t="s">
        <v>7927</v>
      </c>
      <c r="AF33" s="0" t="s">
        <v>7928</v>
      </c>
      <c r="AG33" s="0" t="s">
        <v>7929</v>
      </c>
    </row>
    <row customHeight="1" ht="12">
      <c r="A34" s="104" t="s">
        <v>7930</v>
      </c>
      <c r="B34" s="103" t="s">
        <v>7931</v>
      </c>
      <c r="C34" s="104" t="s">
        <v>7930</v>
      </c>
      <c r="D34" s="159"/>
      <c r="E34" s="159"/>
      <c r="F34" s="159"/>
      <c r="G34" s="159"/>
      <c r="H34" s="159"/>
      <c r="I34" s="159"/>
      <c r="J34" s="159"/>
      <c r="K34" s="159"/>
      <c r="L34" s="159"/>
      <c r="M34" s="159"/>
      <c r="N34" s="159"/>
      <c r="O34" s="159"/>
      <c r="P34" s="159"/>
      <c r="Q34" s="159"/>
      <c r="R34" s="159"/>
      <c r="S34" s="161">
        <v>35</v>
      </c>
      <c r="X34" s="177" t="s">
        <v>7932</v>
      </c>
      <c r="AF34" s="0" t="s">
        <v>7933</v>
      </c>
      <c r="AG34" s="0" t="s">
        <v>7934</v>
      </c>
    </row>
    <row customHeight="1" ht="12">
      <c r="A35" s="411" t="s">
        <v>7935</v>
      </c>
      <c r="B35" s="412" t="s">
        <v>7936</v>
      </c>
      <c r="C35" s="411"/>
      <c r="D35" s="159"/>
      <c r="E35" s="159"/>
      <c r="F35" s="159"/>
      <c r="G35" s="159"/>
      <c r="H35" s="159"/>
      <c r="I35" s="159"/>
      <c r="J35" s="159"/>
      <c r="K35" s="159"/>
      <c r="L35" s="159"/>
      <c r="M35" s="159"/>
      <c r="N35" s="159"/>
      <c r="O35" s="159"/>
      <c r="P35" s="159"/>
      <c r="Q35" s="159"/>
      <c r="R35" s="159"/>
      <c r="S35" s="161">
        <v>36</v>
      </c>
      <c r="X35" s="177" t="s">
        <v>7937</v>
      </c>
      <c r="AF35" s="0" t="s">
        <v>7938</v>
      </c>
      <c r="AG35" s="0" t="s">
        <v>7939</v>
      </c>
    </row>
    <row customHeight="1" ht="12">
      <c r="A36" s="104" t="s">
        <v>7940</v>
      </c>
      <c r="B36" s="103" t="s">
        <v>7941</v>
      </c>
      <c r="C36" s="104" t="s">
        <v>7940</v>
      </c>
      <c r="D36" s="159"/>
      <c r="E36" s="159"/>
      <c r="F36" s="159"/>
      <c r="G36" s="159"/>
      <c r="H36" s="159"/>
      <c r="I36" s="159"/>
      <c r="J36" s="159"/>
      <c r="K36" s="159"/>
      <c r="L36" s="159"/>
      <c r="M36" s="159"/>
      <c r="N36" s="159"/>
      <c r="O36" s="159"/>
      <c r="P36" s="159"/>
      <c r="Q36" s="159"/>
      <c r="R36" s="159"/>
      <c r="S36" s="161">
        <v>37</v>
      </c>
      <c r="X36" s="177" t="s">
        <v>7942</v>
      </c>
      <c r="AF36" s="0" t="s">
        <v>7943</v>
      </c>
      <c r="AG36" s="0" t="s">
        <v>7944</v>
      </c>
    </row>
    <row customHeight="1" ht="12">
      <c r="A37" s="104" t="s">
        <v>7945</v>
      </c>
      <c r="B37" s="103" t="s">
        <v>7946</v>
      </c>
      <c r="C37" s="104" t="s">
        <v>7945</v>
      </c>
      <c r="D37" s="159"/>
      <c r="E37" s="159"/>
      <c r="F37" s="159"/>
      <c r="G37" s="159"/>
      <c r="H37" s="159"/>
      <c r="I37" s="159"/>
      <c r="J37" s="159"/>
      <c r="K37" s="159"/>
      <c r="L37" s="159"/>
      <c r="M37" s="159"/>
      <c r="N37" s="159"/>
      <c r="O37" s="159"/>
      <c r="P37" s="159"/>
      <c r="Q37" s="159"/>
      <c r="R37" s="159"/>
      <c r="S37" s="161">
        <v>38</v>
      </c>
      <c r="AF37" s="0" t="s">
        <v>7947</v>
      </c>
      <c r="AG37" s="0" t="s">
        <v>7948</v>
      </c>
    </row>
    <row customHeight="1" ht="12">
      <c r="A38" s="104" t="s">
        <v>7949</v>
      </c>
      <c r="B38" s="103" t="s">
        <v>7950</v>
      </c>
      <c r="C38" s="104" t="s">
        <v>7949</v>
      </c>
      <c r="D38" s="159"/>
      <c r="E38" s="159"/>
      <c r="F38" s="159"/>
      <c r="G38" s="159"/>
      <c r="H38" s="159"/>
      <c r="I38" s="159"/>
      <c r="J38" s="159"/>
      <c r="K38" s="160" t="s">
        <v>7951</v>
      </c>
      <c r="L38" s="159"/>
      <c r="M38" s="159"/>
      <c r="N38" s="159"/>
      <c r="O38" s="159"/>
      <c r="P38" s="159"/>
      <c r="Q38" s="159"/>
      <c r="R38" s="159"/>
      <c r="S38" s="161">
        <v>39</v>
      </c>
      <c r="AF38" s="0" t="s">
        <v>7952</v>
      </c>
      <c r="AG38" s="0" t="s">
        <v>7953</v>
      </c>
    </row>
    <row customHeight="1" ht="12">
      <c r="A39" s="104" t="s">
        <v>7954</v>
      </c>
      <c r="B39" s="103" t="s">
        <v>7955</v>
      </c>
      <c r="C39" s="104" t="s">
        <v>7954</v>
      </c>
      <c r="D39" s="159"/>
      <c r="E39" s="159"/>
      <c r="F39" s="159"/>
      <c r="G39" s="159"/>
      <c r="H39" s="159"/>
      <c r="I39" s="159"/>
      <c r="J39" s="159"/>
      <c r="K39" s="462" t="s">
        <v>104</v>
      </c>
      <c r="L39" s="159"/>
      <c r="M39" s="159"/>
      <c r="N39" s="159"/>
      <c r="O39" s="159"/>
      <c r="P39" s="159"/>
      <c r="Q39" s="159"/>
      <c r="R39" s="159"/>
      <c r="S39" s="161">
        <v>40</v>
      </c>
      <c r="AF39" s="0" t="s">
        <v>7956</v>
      </c>
      <c r="AG39" s="0" t="s">
        <v>7957</v>
      </c>
    </row>
    <row customHeight="1" ht="12">
      <c r="A40" s="104" t="s">
        <v>7958</v>
      </c>
      <c r="B40" s="103" t="s">
        <v>7959</v>
      </c>
      <c r="C40" s="104" t="s">
        <v>7958</v>
      </c>
      <c r="D40" s="159"/>
      <c r="E40" s="159"/>
      <c r="F40" s="159"/>
      <c r="G40" s="159"/>
      <c r="H40" s="159"/>
      <c r="I40" s="159"/>
      <c r="J40" s="159"/>
      <c r="K40" s="462" t="s">
        <v>7440</v>
      </c>
      <c r="L40" s="159"/>
      <c r="M40" s="159"/>
      <c r="N40" s="159"/>
      <c r="O40" s="159"/>
      <c r="P40" s="159"/>
      <c r="Q40" s="159"/>
      <c r="R40" s="159"/>
      <c r="S40" s="161">
        <v>41</v>
      </c>
      <c r="AF40" s="0" t="s">
        <v>7960</v>
      </c>
      <c r="AG40" s="0" t="s">
        <v>7961</v>
      </c>
    </row>
    <row customHeight="1" ht="12">
      <c r="A41" s="104" t="s">
        <v>7962</v>
      </c>
      <c r="B41" s="103" t="s">
        <v>7963</v>
      </c>
      <c r="C41" s="104" t="s">
        <v>7962</v>
      </c>
      <c r="D41" s="159"/>
      <c r="E41" s="159"/>
      <c r="F41" s="159"/>
      <c r="G41" s="159"/>
      <c r="H41" s="159"/>
      <c r="I41" s="159"/>
      <c r="J41" s="159"/>
      <c r="K41" s="462" t="s">
        <v>7546</v>
      </c>
      <c r="L41" s="159"/>
      <c r="M41" s="159"/>
      <c r="N41" s="159"/>
      <c r="O41" s="159"/>
      <c r="P41" s="159"/>
      <c r="Q41" s="159"/>
      <c r="R41" s="159"/>
      <c r="S41" s="161">
        <v>42</v>
      </c>
      <c r="AF41" s="0" t="s">
        <v>7964</v>
      </c>
      <c r="AG41" s="0" t="s">
        <v>7965</v>
      </c>
    </row>
    <row customHeight="1" ht="27.75">
      <c r="A42" s="104" t="s">
        <v>7966</v>
      </c>
      <c r="B42" s="103" t="s">
        <v>7967</v>
      </c>
      <c r="C42" s="104" t="s">
        <v>7966</v>
      </c>
      <c r="D42" s="159"/>
      <c r="E42" s="159"/>
      <c r="F42" s="159"/>
      <c r="G42" s="159"/>
      <c r="H42" s="159"/>
      <c r="I42" s="159"/>
      <c r="J42" s="159"/>
      <c r="K42" s="462" t="s">
        <v>7845</v>
      </c>
      <c r="L42" s="159"/>
      <c r="M42" s="159"/>
      <c r="N42" s="159"/>
      <c r="O42" s="159"/>
      <c r="P42" s="159"/>
      <c r="Q42" s="159"/>
      <c r="R42" s="159"/>
      <c r="S42" s="161">
        <v>43</v>
      </c>
      <c r="AF42" s="0" t="s">
        <v>7968</v>
      </c>
      <c r="AG42" s="0" t="s">
        <v>7969</v>
      </c>
    </row>
    <row customHeight="1" ht="12">
      <c r="A43" s="104" t="s">
        <v>7970</v>
      </c>
      <c r="B43" s="103" t="s">
        <v>7971</v>
      </c>
      <c r="C43" s="104" t="s">
        <v>7970</v>
      </c>
      <c r="D43" s="159"/>
      <c r="E43" s="159"/>
      <c r="F43" s="159"/>
      <c r="G43" s="159"/>
      <c r="H43" s="159"/>
      <c r="I43" s="159"/>
      <c r="J43" s="159"/>
      <c r="K43" s="159"/>
      <c r="L43" s="159"/>
      <c r="M43" s="159"/>
      <c r="N43" s="159"/>
      <c r="O43" s="159"/>
      <c r="P43" s="159"/>
      <c r="Q43" s="159"/>
      <c r="R43" s="159"/>
      <c r="S43" s="161">
        <v>44</v>
      </c>
      <c r="AF43" s="0" t="s">
        <v>7972</v>
      </c>
      <c r="AG43" s="0" t="s">
        <v>7973</v>
      </c>
    </row>
    <row customHeight="1" ht="12">
      <c r="A44" s="104" t="s">
        <v>7974</v>
      </c>
      <c r="B44" s="103" t="s">
        <v>7975</v>
      </c>
      <c r="C44" s="104" t="s">
        <v>7974</v>
      </c>
      <c r="D44" s="159"/>
      <c r="E44" s="159"/>
      <c r="F44" s="159"/>
      <c r="G44" s="159"/>
      <c r="H44" s="159"/>
      <c r="I44" s="159"/>
      <c r="J44" s="159"/>
      <c r="K44" s="159"/>
      <c r="L44" s="159"/>
      <c r="M44" s="159"/>
      <c r="N44" s="159"/>
      <c r="O44" s="159"/>
      <c r="P44" s="159"/>
      <c r="Q44" s="159"/>
      <c r="R44" s="159"/>
      <c r="S44" s="161">
        <v>45</v>
      </c>
      <c r="AF44" s="0" t="s">
        <v>7976</v>
      </c>
      <c r="AG44" s="0" t="s">
        <v>7977</v>
      </c>
    </row>
    <row customHeight="1" ht="12">
      <c r="A45" s="104" t="s">
        <v>7978</v>
      </c>
      <c r="B45" s="103" t="s">
        <v>7979</v>
      </c>
      <c r="C45" s="104" t="s">
        <v>7978</v>
      </c>
      <c r="D45" s="159"/>
      <c r="E45" s="159"/>
      <c r="F45" s="159"/>
      <c r="G45" s="159"/>
      <c r="H45" s="159"/>
      <c r="I45" s="159"/>
      <c r="J45" s="159"/>
      <c r="K45" s="160" t="s">
        <v>7980</v>
      </c>
      <c r="L45" s="159"/>
      <c r="M45" s="159"/>
      <c r="N45" s="159"/>
      <c r="O45" s="159"/>
      <c r="P45" s="159"/>
      <c r="Q45" s="159"/>
      <c r="R45" s="159"/>
      <c r="S45" s="161">
        <v>46</v>
      </c>
      <c r="AF45" s="0" t="s">
        <v>7981</v>
      </c>
      <c r="AG45" s="0" t="s">
        <v>7982</v>
      </c>
    </row>
    <row customHeight="1" ht="12">
      <c r="A46" s="104" t="s">
        <v>7983</v>
      </c>
      <c r="B46" s="103" t="s">
        <v>7984</v>
      </c>
      <c r="C46" s="104" t="s">
        <v>7983</v>
      </c>
      <c r="D46" s="159"/>
      <c r="E46" s="159"/>
      <c r="F46" s="159"/>
      <c r="G46" s="159"/>
      <c r="H46" s="159"/>
      <c r="I46" s="159"/>
      <c r="J46" s="159"/>
      <c r="K46" s="163" t="s">
        <v>197</v>
      </c>
      <c r="L46" s="159"/>
      <c r="M46" s="159"/>
      <c r="N46" s="159"/>
      <c r="O46" s="159"/>
      <c r="P46" s="159"/>
      <c r="Q46" s="159"/>
      <c r="R46" s="159"/>
      <c r="S46" s="161">
        <v>47</v>
      </c>
      <c r="AF46" s="0" t="s">
        <v>7985</v>
      </c>
      <c r="AG46" s="0" t="s">
        <v>7986</v>
      </c>
    </row>
    <row customHeight="1" ht="12">
      <c r="A47" s="104" t="s">
        <v>7987</v>
      </c>
      <c r="B47" s="103" t="s">
        <v>7988</v>
      </c>
      <c r="C47" s="104" t="s">
        <v>7987</v>
      </c>
      <c r="D47" s="159"/>
      <c r="E47" s="159"/>
      <c r="F47" s="159"/>
      <c r="G47" s="159"/>
      <c r="H47" s="159"/>
      <c r="I47" s="159"/>
      <c r="J47" s="159"/>
      <c r="K47" s="163" t="s">
        <v>7871</v>
      </c>
      <c r="L47" s="159"/>
      <c r="M47" s="159"/>
      <c r="N47" s="159"/>
      <c r="O47" s="159"/>
      <c r="P47" s="159"/>
      <c r="Q47" s="159"/>
      <c r="R47" s="159"/>
      <c r="S47" s="161">
        <v>48</v>
      </c>
      <c r="AF47" s="0" t="s">
        <v>7989</v>
      </c>
      <c r="AG47" s="0" t="s">
        <v>7990</v>
      </c>
    </row>
    <row customHeight="1" ht="12">
      <c r="A48" s="104" t="s">
        <v>7991</v>
      </c>
      <c r="B48" s="103" t="s">
        <v>7992</v>
      </c>
      <c r="C48" s="104" t="s">
        <v>7991</v>
      </c>
      <c r="D48" s="159"/>
      <c r="E48" s="159"/>
      <c r="F48" s="159"/>
      <c r="G48" s="159"/>
      <c r="H48" s="159"/>
      <c r="I48" s="159"/>
      <c r="J48" s="159"/>
      <c r="K48" s="163" t="s">
        <v>7877</v>
      </c>
      <c r="L48" s="159"/>
      <c r="M48" s="159"/>
      <c r="N48" s="159"/>
      <c r="O48" s="159"/>
      <c r="P48" s="159"/>
      <c r="Q48" s="159"/>
      <c r="R48" s="159"/>
      <c r="S48" s="161">
        <v>49</v>
      </c>
      <c r="AF48" s="0" t="s">
        <v>7993</v>
      </c>
      <c r="AG48" s="0" t="s">
        <v>7994</v>
      </c>
    </row>
    <row customHeight="1" ht="12">
      <c r="A49" s="104" t="s">
        <v>7995</v>
      </c>
      <c r="B49" s="103" t="s">
        <v>7996</v>
      </c>
      <c r="C49" s="104" t="s">
        <v>7995</v>
      </c>
      <c r="D49" s="159"/>
      <c r="E49" s="159"/>
      <c r="F49" s="159"/>
      <c r="G49" s="159"/>
      <c r="H49" s="159"/>
      <c r="I49" s="159"/>
      <c r="J49" s="159"/>
      <c r="K49" s="163" t="s">
        <v>7883</v>
      </c>
      <c r="L49" s="159"/>
      <c r="M49" s="159"/>
      <c r="N49" s="159"/>
      <c r="O49" s="159"/>
      <c r="P49" s="159"/>
      <c r="Q49" s="159"/>
      <c r="R49" s="159"/>
      <c r="S49" s="161">
        <v>50</v>
      </c>
      <c r="AF49" s="0" t="s">
        <v>7997</v>
      </c>
      <c r="AG49" s="0" t="s">
        <v>7998</v>
      </c>
    </row>
    <row customHeight="1" ht="12">
      <c r="A50" s="104" t="s">
        <v>7999</v>
      </c>
      <c r="B50" s="103" t="s">
        <v>8000</v>
      </c>
      <c r="C50" s="104" t="s">
        <v>7999</v>
      </c>
      <c r="D50" s="159"/>
      <c r="E50" s="159"/>
      <c r="F50" s="159"/>
      <c r="G50" s="159"/>
      <c r="H50" s="159"/>
      <c r="I50" s="159"/>
      <c r="J50" s="159"/>
      <c r="K50" s="163" t="s">
        <v>212</v>
      </c>
      <c r="L50" s="159"/>
      <c r="M50" s="159"/>
      <c r="N50" s="159"/>
      <c r="O50" s="159"/>
      <c r="P50" s="159"/>
      <c r="Q50" s="159"/>
      <c r="R50" s="159"/>
      <c r="AF50" s="0" t="s">
        <v>8001</v>
      </c>
      <c r="AG50" s="0" t="s">
        <v>8002</v>
      </c>
    </row>
    <row customHeight="1" ht="12">
      <c r="A51" s="104" t="s">
        <v>8003</v>
      </c>
      <c r="B51" s="103" t="s">
        <v>8004</v>
      </c>
      <c r="C51" s="104" t="s">
        <v>8003</v>
      </c>
      <c r="D51" s="159"/>
      <c r="E51" s="159"/>
      <c r="F51" s="159"/>
      <c r="G51" s="159"/>
      <c r="H51" s="159"/>
      <c r="I51" s="159"/>
      <c r="J51" s="159"/>
      <c r="K51" s="163" t="s">
        <v>229</v>
      </c>
      <c r="L51" s="159"/>
      <c r="M51" s="159"/>
      <c r="N51" s="159"/>
      <c r="O51" s="159"/>
      <c r="P51" s="159"/>
      <c r="Q51" s="159"/>
      <c r="R51" s="159"/>
      <c r="AF51" s="0" t="s">
        <v>8005</v>
      </c>
      <c r="AG51" s="0" t="s">
        <v>8006</v>
      </c>
    </row>
    <row customHeight="1" ht="12">
      <c r="A52" s="104" t="s">
        <v>8007</v>
      </c>
      <c r="B52" s="103" t="s">
        <v>8008</v>
      </c>
      <c r="C52" s="104" t="s">
        <v>8007</v>
      </c>
      <c r="D52" s="159"/>
      <c r="E52" s="159"/>
      <c r="F52" s="159"/>
      <c r="G52" s="159"/>
      <c r="H52" s="159"/>
      <c r="I52" s="159"/>
      <c r="J52" s="159"/>
      <c r="K52" s="163" t="s">
        <v>8009</v>
      </c>
      <c r="L52" s="159"/>
      <c r="M52" s="159"/>
      <c r="N52" s="159"/>
      <c r="O52" s="159"/>
      <c r="P52" s="159"/>
      <c r="Q52" s="159"/>
      <c r="R52" s="159"/>
      <c r="AF52" s="0" t="s">
        <v>8010</v>
      </c>
      <c r="AG52" s="0" t="s">
        <v>8011</v>
      </c>
    </row>
    <row customHeight="1" ht="12">
      <c r="A53" s="104" t="s">
        <v>8012</v>
      </c>
      <c r="B53" s="103" t="s">
        <v>8013</v>
      </c>
      <c r="C53" s="104" t="s">
        <v>8012</v>
      </c>
      <c r="D53" s="159"/>
      <c r="E53" s="159"/>
      <c r="F53" s="159"/>
      <c r="G53" s="159"/>
      <c r="H53" s="159"/>
      <c r="I53" s="159"/>
      <c r="J53" s="159"/>
      <c r="K53" s="159"/>
      <c r="L53" s="159"/>
      <c r="M53" s="159"/>
      <c r="N53" s="159"/>
      <c r="O53" s="159"/>
      <c r="P53" s="159"/>
      <c r="Q53" s="159"/>
      <c r="R53" s="159"/>
      <c r="AF53" s="0" t="s">
        <v>8014</v>
      </c>
      <c r="AG53" s="0" t="s">
        <v>8015</v>
      </c>
    </row>
    <row customHeight="1" ht="12">
      <c r="A54" s="104" t="s">
        <v>8016</v>
      </c>
      <c r="B54" s="103" t="s">
        <v>8017</v>
      </c>
      <c r="C54" s="104" t="s">
        <v>8016</v>
      </c>
      <c r="D54" s="159"/>
      <c r="E54" s="159"/>
      <c r="F54" s="159"/>
      <c r="G54" s="159"/>
      <c r="H54" s="159"/>
      <c r="I54" s="159"/>
      <c r="J54" s="159"/>
      <c r="K54" s="159"/>
      <c r="L54" s="159"/>
      <c r="M54" s="159"/>
      <c r="N54" s="159"/>
      <c r="O54" s="159"/>
      <c r="P54" s="159"/>
      <c r="Q54" s="159"/>
      <c r="R54" s="159"/>
      <c r="AF54" s="0" t="s">
        <v>8018</v>
      </c>
      <c r="AG54" s="0" t="s">
        <v>8019</v>
      </c>
    </row>
    <row customHeight="1" ht="10.5">
      <c r="A55" s="104" t="s">
        <v>8020</v>
      </c>
      <c r="B55" s="103" t="s">
        <v>8021</v>
      </c>
      <c r="C55" s="104" t="s">
        <v>8020</v>
      </c>
      <c r="D55" s="159"/>
      <c r="E55" s="159"/>
      <c r="F55" s="159"/>
      <c r="G55" s="159"/>
      <c r="H55" s="159"/>
      <c r="I55" s="159"/>
      <c r="J55" s="159"/>
      <c r="K55" s="159"/>
      <c r="L55" s="159"/>
      <c r="M55" s="159"/>
      <c r="N55" s="159"/>
      <c r="O55" s="159"/>
      <c r="P55" s="159"/>
      <c r="Q55" s="159"/>
      <c r="R55" s="159"/>
      <c r="AF55" s="0" t="s">
        <v>8022</v>
      </c>
      <c r="AG55" s="0" t="s">
        <v>8023</v>
      </c>
    </row>
    <row customHeight="1" ht="12">
      <c r="A56" s="104" t="s">
        <v>8024</v>
      </c>
      <c r="B56" s="103" t="s">
        <v>8025</v>
      </c>
      <c r="C56" s="104" t="s">
        <v>8024</v>
      </c>
      <c r="D56" s="159"/>
      <c r="E56" s="159"/>
      <c r="F56" s="159"/>
      <c r="G56" s="159"/>
      <c r="H56" s="159"/>
      <c r="I56" s="159"/>
      <c r="J56" s="159"/>
      <c r="K56" s="159"/>
      <c r="L56" s="159"/>
      <c r="M56" s="159"/>
      <c r="N56" s="159"/>
      <c r="O56" s="159"/>
      <c r="P56" s="159"/>
      <c r="Q56" s="159"/>
      <c r="R56" s="159"/>
      <c r="AG56" s="0" t="s">
        <v>8026</v>
      </c>
    </row>
    <row customHeight="1" ht="12">
      <c r="A57" s="104" t="s">
        <v>8027</v>
      </c>
      <c r="B57" s="103" t="s">
        <v>8028</v>
      </c>
      <c r="C57" s="104" t="s">
        <v>8027</v>
      </c>
      <c r="D57" s="159"/>
      <c r="E57" s="159"/>
      <c r="F57" s="159"/>
      <c r="G57" s="159"/>
      <c r="H57" s="159"/>
      <c r="I57" s="159"/>
      <c r="J57" s="159"/>
      <c r="K57" s="159"/>
      <c r="L57" s="159"/>
      <c r="M57" s="159"/>
      <c r="N57" s="159"/>
      <c r="O57" s="159"/>
      <c r="P57" s="159"/>
      <c r="Q57" s="159"/>
      <c r="R57" s="159"/>
      <c r="AG57" s="0" t="s">
        <v>8029</v>
      </c>
    </row>
    <row customHeight="1" ht="12">
      <c r="A58" s="104" t="s">
        <v>8030</v>
      </c>
      <c r="B58" s="103" t="s">
        <v>8031</v>
      </c>
      <c r="C58" s="104" t="s">
        <v>8030</v>
      </c>
      <c r="D58" s="159"/>
      <c r="E58" s="159"/>
      <c r="F58" s="159"/>
      <c r="G58" s="159"/>
      <c r="H58" s="159"/>
      <c r="I58" s="159"/>
      <c r="J58" s="159"/>
      <c r="K58" s="159"/>
      <c r="L58" s="159"/>
      <c r="M58" s="159"/>
      <c r="N58" s="159"/>
      <c r="O58" s="159"/>
      <c r="P58" s="159"/>
      <c r="Q58" s="159"/>
      <c r="R58" s="159"/>
      <c r="AG58" s="0" t="s">
        <v>8032</v>
      </c>
    </row>
    <row customHeight="1" ht="12">
      <c r="A59" s="104" t="s">
        <v>8033</v>
      </c>
      <c r="B59" s="103" t="s">
        <v>8034</v>
      </c>
      <c r="C59" s="104" t="s">
        <v>8035</v>
      </c>
      <c r="D59" s="159"/>
      <c r="E59" s="159"/>
      <c r="F59" s="159"/>
      <c r="G59" s="159"/>
      <c r="H59" s="159"/>
      <c r="I59" s="159"/>
      <c r="J59" s="159"/>
      <c r="K59" s="159"/>
      <c r="L59" s="159"/>
      <c r="M59" s="159"/>
      <c r="N59" s="159"/>
      <c r="O59" s="159"/>
      <c r="P59" s="159"/>
      <c r="Q59" s="159"/>
      <c r="R59" s="159"/>
      <c r="AG59" s="0" t="s">
        <v>8036</v>
      </c>
    </row>
    <row customHeight="1" ht="12">
      <c r="A60" s="104" t="s">
        <v>8037</v>
      </c>
      <c r="B60" s="103" t="s">
        <v>8038</v>
      </c>
      <c r="C60" s="104" t="s">
        <v>8037</v>
      </c>
      <c r="D60" s="159"/>
      <c r="E60" s="159"/>
      <c r="F60" s="159"/>
      <c r="G60" s="159"/>
      <c r="H60" s="159"/>
      <c r="I60" s="159"/>
      <c r="J60" s="159"/>
      <c r="K60" s="159"/>
      <c r="L60" s="159"/>
      <c r="M60" s="159"/>
      <c r="N60" s="159"/>
      <c r="O60" s="159"/>
      <c r="P60" s="159"/>
      <c r="Q60" s="159"/>
      <c r="R60" s="159"/>
      <c r="AG60" s="0" t="s">
        <v>8039</v>
      </c>
    </row>
    <row customHeight="1" ht="12">
      <c r="A61" s="104" t="s">
        <v>8040</v>
      </c>
      <c r="B61" s="103" t="s">
        <v>8041</v>
      </c>
      <c r="C61" s="104" t="s">
        <v>8040</v>
      </c>
      <c r="D61" s="159"/>
      <c r="E61" s="159"/>
      <c r="F61" s="159"/>
      <c r="G61" s="159"/>
      <c r="H61" s="159"/>
      <c r="I61" s="159"/>
      <c r="J61" s="159"/>
      <c r="K61" s="159"/>
      <c r="L61" s="159"/>
      <c r="M61" s="159"/>
      <c r="N61" s="159"/>
      <c r="O61" s="159"/>
      <c r="P61" s="159"/>
      <c r="Q61" s="159"/>
      <c r="R61" s="159"/>
      <c r="AG61" s="0" t="s">
        <v>8042</v>
      </c>
    </row>
    <row customHeight="1" ht="12">
      <c r="A62" s="104" t="s">
        <v>8043</v>
      </c>
      <c r="B62" s="103" t="s">
        <v>8044</v>
      </c>
      <c r="C62" s="104" t="s">
        <v>8043</v>
      </c>
      <c r="D62" s="159"/>
      <c r="E62" s="159"/>
      <c r="F62" s="159"/>
      <c r="G62" s="159"/>
      <c r="H62" s="159"/>
      <c r="I62" s="159"/>
      <c r="J62" s="159"/>
      <c r="K62" s="159"/>
      <c r="L62" s="159"/>
      <c r="M62" s="159"/>
      <c r="N62" s="159"/>
      <c r="O62" s="159"/>
      <c r="P62" s="159"/>
      <c r="Q62" s="159"/>
      <c r="R62" s="159"/>
      <c r="AG62" s="0" t="s">
        <v>8045</v>
      </c>
    </row>
    <row customHeight="1" ht="12">
      <c r="A63" s="104" t="s">
        <v>8046</v>
      </c>
      <c r="B63" s="103" t="s">
        <v>8047</v>
      </c>
      <c r="C63" s="104" t="s">
        <v>8048</v>
      </c>
      <c r="D63" s="159"/>
      <c r="E63" s="159"/>
      <c r="F63" s="159"/>
      <c r="G63" s="159"/>
      <c r="H63" s="159"/>
      <c r="I63" s="159"/>
      <c r="J63" s="159"/>
      <c r="K63" s="159"/>
      <c r="L63" s="159"/>
      <c r="M63" s="159"/>
      <c r="N63" s="159"/>
      <c r="O63" s="159"/>
      <c r="P63" s="159"/>
      <c r="Q63" s="159"/>
      <c r="R63" s="159"/>
      <c r="AG63" s="0" t="s">
        <v>8049</v>
      </c>
    </row>
    <row customHeight="1" ht="12">
      <c r="A64" s="104" t="s">
        <v>8050</v>
      </c>
      <c r="B64" s="103" t="s">
        <v>8051</v>
      </c>
      <c r="C64" s="104" t="s">
        <v>8050</v>
      </c>
      <c r="D64" s="159"/>
      <c r="E64" s="159"/>
      <c r="F64" s="159"/>
      <c r="G64" s="159"/>
      <c r="H64" s="159"/>
      <c r="I64" s="159"/>
      <c r="J64" s="159"/>
      <c r="K64" s="159"/>
      <c r="L64" s="159"/>
      <c r="M64" s="159"/>
      <c r="N64" s="159"/>
      <c r="O64" s="159"/>
      <c r="P64" s="159"/>
      <c r="Q64" s="159"/>
      <c r="R64" s="159"/>
      <c r="AG64" s="0" t="s">
        <v>8052</v>
      </c>
    </row>
    <row customHeight="1" ht="12">
      <c r="A65" s="104" t="s">
        <v>8053</v>
      </c>
      <c r="B65" s="103" t="s">
        <v>8054</v>
      </c>
      <c r="C65" s="104" t="s">
        <v>8055</v>
      </c>
      <c r="D65" s="159"/>
      <c r="E65" s="159"/>
      <c r="F65" s="159"/>
      <c r="G65" s="159"/>
      <c r="H65" s="159"/>
      <c r="I65" s="159"/>
      <c r="J65" s="159"/>
      <c r="K65" s="159"/>
      <c r="L65" s="159"/>
      <c r="M65" s="159"/>
      <c r="N65" s="159"/>
      <c r="O65" s="159"/>
      <c r="P65" s="159"/>
      <c r="Q65" s="159"/>
      <c r="R65" s="159"/>
      <c r="AG65" s="0" t="s">
        <v>8056</v>
      </c>
    </row>
    <row customHeight="1" ht="12">
      <c r="A66" s="104" t="s">
        <v>8057</v>
      </c>
      <c r="B66" s="103" t="s">
        <v>8058</v>
      </c>
      <c r="C66" s="104" t="s">
        <v>8057</v>
      </c>
      <c r="D66" s="159"/>
      <c r="E66" s="159"/>
      <c r="F66" s="159"/>
      <c r="G66" s="159"/>
      <c r="H66" s="159"/>
      <c r="I66" s="159"/>
      <c r="J66" s="159"/>
      <c r="K66" s="159"/>
      <c r="L66" s="159"/>
      <c r="M66" s="159"/>
      <c r="N66" s="159"/>
      <c r="O66" s="159"/>
      <c r="P66" s="159"/>
      <c r="Q66" s="159"/>
      <c r="R66" s="159"/>
      <c r="AG66" s="0" t="s">
        <v>8059</v>
      </c>
    </row>
    <row customHeight="1" ht="12">
      <c r="A67" s="104" t="s">
        <v>8060</v>
      </c>
      <c r="B67" s="103" t="s">
        <v>8061</v>
      </c>
      <c r="C67" s="104" t="s">
        <v>8060</v>
      </c>
      <c r="D67" s="159"/>
      <c r="E67" s="159"/>
      <c r="F67" s="159"/>
      <c r="G67" s="159"/>
      <c r="H67" s="159"/>
      <c r="I67" s="159"/>
      <c r="J67" s="159"/>
      <c r="K67" s="159"/>
      <c r="L67" s="159"/>
      <c r="M67" s="159"/>
      <c r="N67" s="159"/>
      <c r="O67" s="159"/>
      <c r="P67" s="159"/>
      <c r="Q67" s="159"/>
      <c r="R67" s="159"/>
      <c r="AG67" s="0" t="s">
        <v>8062</v>
      </c>
    </row>
    <row customHeight="1" ht="12">
      <c r="A68" s="104" t="s">
        <v>8063</v>
      </c>
      <c r="B68" s="103" t="s">
        <v>8064</v>
      </c>
      <c r="C68" s="104" t="s">
        <v>8063</v>
      </c>
      <c r="D68" s="159"/>
      <c r="E68" s="159"/>
      <c r="F68" s="159"/>
      <c r="G68" s="159"/>
      <c r="H68" s="159"/>
      <c r="I68" s="159"/>
      <c r="J68" s="159"/>
      <c r="K68" s="159"/>
      <c r="L68" s="159"/>
      <c r="M68" s="159"/>
      <c r="N68" s="159"/>
      <c r="O68" s="159"/>
      <c r="P68" s="159"/>
      <c r="Q68" s="159"/>
      <c r="R68" s="159"/>
      <c r="AG68" s="0" t="s">
        <v>8065</v>
      </c>
    </row>
    <row customHeight="1" ht="12">
      <c r="A69" s="104" t="s">
        <v>8066</v>
      </c>
      <c r="B69" s="103" t="s">
        <v>8067</v>
      </c>
      <c r="C69" s="104" t="s">
        <v>8066</v>
      </c>
      <c r="D69" s="159"/>
      <c r="E69" s="159"/>
      <c r="F69" s="159"/>
      <c r="G69" s="159"/>
      <c r="H69" s="159"/>
      <c r="I69" s="159"/>
      <c r="J69" s="159"/>
      <c r="K69" s="159"/>
      <c r="L69" s="159"/>
      <c r="M69" s="159"/>
      <c r="N69" s="159"/>
      <c r="O69" s="159"/>
      <c r="P69" s="159"/>
      <c r="Q69" s="159"/>
      <c r="R69" s="159"/>
      <c r="AG69" s="0" t="s">
        <v>8068</v>
      </c>
    </row>
    <row customHeight="1" ht="12">
      <c r="A70" s="104" t="s">
        <v>8069</v>
      </c>
      <c r="B70" s="103" t="s">
        <v>8070</v>
      </c>
      <c r="C70" s="104" t="s">
        <v>8069</v>
      </c>
      <c r="D70" s="159"/>
      <c r="E70" s="159"/>
      <c r="F70" s="159"/>
      <c r="G70" s="159"/>
      <c r="H70" s="159"/>
      <c r="I70" s="159"/>
      <c r="J70" s="159"/>
      <c r="K70" s="159"/>
      <c r="L70" s="159"/>
      <c r="M70" s="159"/>
      <c r="N70" s="159"/>
      <c r="O70" s="159"/>
      <c r="P70" s="159"/>
      <c r="Q70" s="159"/>
      <c r="R70" s="159"/>
      <c r="AG70" s="0" t="s">
        <v>8071</v>
      </c>
    </row>
    <row customHeight="1" ht="12">
      <c r="A71" s="104" t="s">
        <v>8072</v>
      </c>
      <c r="B71" s="103" t="s">
        <v>8073</v>
      </c>
      <c r="C71" s="104" t="s">
        <v>8072</v>
      </c>
      <c r="D71" s="159"/>
      <c r="E71" s="159"/>
      <c r="F71" s="159"/>
      <c r="G71" s="159"/>
      <c r="H71" s="159"/>
      <c r="I71" s="159"/>
      <c r="J71" s="159"/>
      <c r="K71" s="159"/>
      <c r="L71" s="159"/>
      <c r="M71" s="159"/>
      <c r="N71" s="159"/>
      <c r="O71" s="159"/>
      <c r="P71" s="159"/>
      <c r="Q71" s="159"/>
      <c r="R71" s="159"/>
      <c r="AG71" s="0" t="s">
        <v>8074</v>
      </c>
    </row>
    <row customHeight="1" ht="12">
      <c r="A72" s="104" t="s">
        <v>8075</v>
      </c>
      <c r="B72" s="103" t="s">
        <v>8076</v>
      </c>
      <c r="C72" s="104" t="s">
        <v>8075</v>
      </c>
      <c r="D72" s="159"/>
      <c r="E72" s="159"/>
      <c r="F72" s="159"/>
      <c r="G72" s="159"/>
      <c r="H72" s="159"/>
      <c r="I72" s="159"/>
      <c r="J72" s="159"/>
      <c r="K72" s="159"/>
      <c r="L72" s="159"/>
      <c r="M72" s="159"/>
      <c r="N72" s="159"/>
      <c r="O72" s="159"/>
      <c r="P72" s="159"/>
      <c r="Q72" s="159"/>
      <c r="R72" s="159"/>
      <c r="AG72" s="0" t="s">
        <v>8077</v>
      </c>
    </row>
    <row customHeight="1" ht="12">
      <c r="A73" s="104" t="s">
        <v>8078</v>
      </c>
      <c r="B73" s="103" t="s">
        <v>8079</v>
      </c>
      <c r="C73" s="104" t="s">
        <v>8078</v>
      </c>
      <c r="D73" s="159"/>
      <c r="E73" s="159"/>
      <c r="F73" s="159"/>
      <c r="G73" s="159"/>
      <c r="H73" s="159"/>
      <c r="I73" s="159"/>
      <c r="J73" s="159"/>
      <c r="K73" s="159"/>
      <c r="L73" s="159"/>
      <c r="M73" s="159"/>
      <c r="N73" s="159"/>
      <c r="O73" s="159"/>
      <c r="P73" s="159"/>
      <c r="Q73" s="159"/>
      <c r="R73" s="159"/>
      <c r="AG73" s="0" t="s">
        <v>8080</v>
      </c>
    </row>
    <row customHeight="1" ht="12">
      <c r="A74" s="104" t="s">
        <v>8081</v>
      </c>
      <c r="B74" s="103" t="s">
        <v>8082</v>
      </c>
      <c r="C74" s="104" t="s">
        <v>8081</v>
      </c>
      <c r="D74" s="159"/>
      <c r="E74" s="159"/>
      <c r="F74" s="159"/>
      <c r="G74" s="159"/>
      <c r="H74" s="159"/>
      <c r="I74" s="159"/>
      <c r="J74" s="159"/>
      <c r="K74" s="159"/>
      <c r="L74" s="159"/>
      <c r="M74" s="159"/>
      <c r="N74" s="159"/>
      <c r="O74" s="159"/>
      <c r="P74" s="159"/>
      <c r="Q74" s="159"/>
      <c r="R74" s="159"/>
      <c r="AG74" s="0" t="s">
        <v>8083</v>
      </c>
    </row>
    <row customHeight="1" ht="12">
      <c r="A75" s="104" t="s">
        <v>8084</v>
      </c>
      <c r="B75" s="103" t="s">
        <v>8085</v>
      </c>
      <c r="C75" s="104" t="s">
        <v>8084</v>
      </c>
      <c r="D75" s="159"/>
      <c r="E75" s="159"/>
      <c r="F75" s="159"/>
      <c r="G75" s="159"/>
      <c r="H75" s="159"/>
      <c r="I75" s="159"/>
      <c r="J75" s="159"/>
      <c r="K75" s="159"/>
      <c r="L75" s="159"/>
      <c r="M75" s="159"/>
      <c r="N75" s="159"/>
      <c r="O75" s="159"/>
      <c r="P75" s="159"/>
      <c r="Q75" s="159"/>
      <c r="R75" s="159"/>
      <c r="AG75" s="0" t="s">
        <v>8086</v>
      </c>
    </row>
    <row customHeight="1" ht="12">
      <c r="A76" s="104" t="s">
        <v>8087</v>
      </c>
      <c r="B76" s="103" t="s">
        <v>8088</v>
      </c>
      <c r="C76" s="104" t="s">
        <v>8087</v>
      </c>
      <c r="D76" s="159"/>
      <c r="E76" s="159"/>
      <c r="F76" s="159"/>
      <c r="G76" s="159"/>
      <c r="H76" s="159"/>
      <c r="I76" s="159"/>
      <c r="J76" s="159"/>
      <c r="K76" s="159"/>
      <c r="L76" s="159"/>
      <c r="M76" s="159"/>
      <c r="N76" s="159"/>
      <c r="O76" s="159"/>
      <c r="P76" s="159"/>
      <c r="Q76" s="159"/>
      <c r="R76" s="159"/>
      <c r="AG76" s="0" t="s">
        <v>8089</v>
      </c>
    </row>
    <row customHeight="1" ht="12">
      <c r="A77" s="104" t="s">
        <v>8090</v>
      </c>
      <c r="B77" s="103" t="s">
        <v>8091</v>
      </c>
      <c r="C77" s="104" t="s">
        <v>8090</v>
      </c>
      <c r="D77" s="159"/>
      <c r="E77" s="159"/>
      <c r="F77" s="159"/>
      <c r="G77" s="159"/>
      <c r="H77" s="159"/>
      <c r="I77" s="159"/>
      <c r="J77" s="159"/>
      <c r="K77" s="159"/>
      <c r="L77" s="159"/>
      <c r="M77" s="159"/>
      <c r="N77" s="159"/>
      <c r="O77" s="159"/>
      <c r="P77" s="159"/>
      <c r="Q77" s="159"/>
      <c r="R77" s="159"/>
      <c r="AG77" s="0" t="s">
        <v>8092</v>
      </c>
    </row>
    <row customHeight="1" ht="12">
      <c r="A78" s="104" t="s">
        <v>8093</v>
      </c>
      <c r="B78" s="103" t="s">
        <v>8094</v>
      </c>
      <c r="C78" s="104" t="s">
        <v>8093</v>
      </c>
      <c r="D78" s="159"/>
      <c r="E78" s="159"/>
      <c r="F78" s="159"/>
      <c r="G78" s="159"/>
      <c r="H78" s="159"/>
      <c r="I78" s="159"/>
      <c r="J78" s="159"/>
      <c r="K78" s="159"/>
      <c r="L78" s="159"/>
      <c r="M78" s="159"/>
      <c r="N78" s="159"/>
      <c r="O78" s="159"/>
      <c r="P78" s="159"/>
      <c r="Q78" s="159"/>
      <c r="R78" s="159"/>
      <c r="AG78" s="0" t="s">
        <v>7968</v>
      </c>
    </row>
    <row customHeight="1" ht="12">
      <c r="A79" s="104" t="s">
        <v>8095</v>
      </c>
      <c r="B79" s="103" t="s">
        <v>8096</v>
      </c>
      <c r="C79" s="104" t="s">
        <v>8095</v>
      </c>
      <c r="D79" s="159"/>
      <c r="E79" s="159"/>
      <c r="F79" s="159"/>
      <c r="G79" s="159"/>
      <c r="H79" s="159"/>
      <c r="I79" s="159"/>
      <c r="J79" s="159"/>
      <c r="K79" s="159"/>
      <c r="L79" s="159"/>
      <c r="M79" s="159"/>
      <c r="N79" s="159"/>
      <c r="O79" s="159"/>
      <c r="P79" s="159"/>
      <c r="Q79" s="159"/>
      <c r="R79" s="159"/>
      <c r="AG79" s="0" t="s">
        <v>7972</v>
      </c>
    </row>
    <row customHeight="1" ht="12">
      <c r="A80" s="104" t="s">
        <v>8097</v>
      </c>
      <c r="B80" s="103" t="s">
        <v>8098</v>
      </c>
      <c r="C80" s="104" t="s">
        <v>8099</v>
      </c>
      <c r="D80" s="159"/>
      <c r="E80" s="159"/>
      <c r="F80" s="159"/>
      <c r="G80" s="159"/>
      <c r="H80" s="159"/>
      <c r="I80" s="159"/>
      <c r="J80" s="159"/>
      <c r="K80" s="159"/>
      <c r="L80" s="159"/>
      <c r="M80" s="159"/>
      <c r="N80" s="159"/>
      <c r="O80" s="159"/>
      <c r="P80" s="159"/>
      <c r="Q80" s="159"/>
      <c r="R80" s="159"/>
      <c r="AG80" s="0" t="s">
        <v>7976</v>
      </c>
    </row>
    <row customHeight="1" ht="12">
      <c r="A81" s="104" t="s">
        <v>8100</v>
      </c>
      <c r="B81" s="103" t="s">
        <v>8101</v>
      </c>
      <c r="C81" s="104" t="s">
        <v>8100</v>
      </c>
      <c r="D81" s="159"/>
      <c r="E81" s="159"/>
      <c r="F81" s="159"/>
      <c r="G81" s="159"/>
      <c r="H81" s="159"/>
      <c r="I81" s="159"/>
      <c r="J81" s="159"/>
      <c r="K81" s="159"/>
      <c r="L81" s="159"/>
      <c r="M81" s="159"/>
      <c r="N81" s="159"/>
      <c r="O81" s="159"/>
      <c r="P81" s="159"/>
      <c r="Q81" s="159"/>
      <c r="R81" s="159"/>
      <c r="AG81" s="0" t="s">
        <v>8102</v>
      </c>
    </row>
    <row customHeight="1" ht="12">
      <c r="A82" s="104" t="s">
        <v>8103</v>
      </c>
      <c r="B82" s="103" t="s">
        <v>8104</v>
      </c>
      <c r="C82" s="104" t="s">
        <v>8103</v>
      </c>
      <c r="D82" s="159"/>
      <c r="E82" s="159"/>
      <c r="F82" s="159"/>
      <c r="G82" s="159"/>
      <c r="H82" s="159"/>
      <c r="I82" s="159"/>
      <c r="J82" s="159"/>
      <c r="K82" s="159"/>
      <c r="L82" s="159"/>
      <c r="M82" s="159"/>
      <c r="N82" s="159"/>
      <c r="O82" s="159"/>
      <c r="P82" s="159"/>
      <c r="Q82" s="159"/>
      <c r="R82" s="159"/>
      <c r="AG82" s="0" t="s">
        <v>8105</v>
      </c>
    </row>
    <row customHeight="1" ht="12">
      <c r="A83" s="104" t="s">
        <v>8106</v>
      </c>
      <c r="B83" s="103" t="s">
        <v>8107</v>
      </c>
      <c r="C83" s="104" t="s">
        <v>8106</v>
      </c>
      <c r="D83" s="159"/>
      <c r="E83" s="159"/>
      <c r="F83" s="159"/>
      <c r="G83" s="159"/>
      <c r="H83" s="159"/>
      <c r="I83" s="159"/>
      <c r="J83" s="159"/>
      <c r="K83" s="159"/>
      <c r="L83" s="159"/>
      <c r="M83" s="159"/>
      <c r="N83" s="159"/>
      <c r="O83" s="159"/>
      <c r="P83" s="159"/>
      <c r="Q83" s="159"/>
      <c r="R83" s="159"/>
      <c r="AG83" s="0" t="s">
        <v>8108</v>
      </c>
    </row>
    <row customHeight="1" ht="12">
      <c r="A84" s="411" t="s">
        <v>8109</v>
      </c>
      <c r="B84" s="412" t="s">
        <v>8110</v>
      </c>
      <c r="C84" s="411"/>
      <c r="D84" s="159"/>
      <c r="E84" s="159"/>
      <c r="F84" s="159"/>
      <c r="G84" s="159"/>
      <c r="H84" s="159"/>
      <c r="I84" s="159"/>
      <c r="J84" s="159"/>
      <c r="K84" s="159"/>
      <c r="L84" s="159"/>
      <c r="M84" s="159"/>
      <c r="N84" s="159"/>
      <c r="O84" s="159"/>
      <c r="P84" s="159"/>
      <c r="Q84" s="159"/>
      <c r="R84" s="159"/>
      <c r="AG84" s="0" t="s">
        <v>8111</v>
      </c>
    </row>
    <row customHeight="1" ht="12">
      <c r="A85" s="104" t="s">
        <v>8112</v>
      </c>
      <c r="B85" s="103" t="s">
        <v>8113</v>
      </c>
      <c r="C85" s="104" t="s">
        <v>8112</v>
      </c>
      <c r="D85" s="159"/>
      <c r="E85" s="159"/>
      <c r="F85" s="159"/>
      <c r="G85" s="159"/>
      <c r="H85" s="159"/>
      <c r="I85" s="159"/>
      <c r="J85" s="159"/>
      <c r="K85" s="159"/>
      <c r="L85" s="159"/>
      <c r="M85" s="159"/>
      <c r="N85" s="159"/>
      <c r="O85" s="159"/>
      <c r="P85" s="159"/>
      <c r="Q85" s="159"/>
      <c r="R85" s="159"/>
      <c r="AG85" s="0" t="s">
        <v>8114</v>
      </c>
    </row>
    <row customHeight="1" ht="12">
      <c r="A86" s="104" t="s">
        <v>8115</v>
      </c>
      <c r="B86" s="103" t="s">
        <v>8116</v>
      </c>
      <c r="C86" s="104" t="s">
        <v>8117</v>
      </c>
      <c r="D86" s="159"/>
      <c r="E86" s="159"/>
      <c r="F86" s="159"/>
      <c r="G86" s="159"/>
      <c r="H86" s="159"/>
      <c r="I86" s="159"/>
      <c r="J86" s="159"/>
      <c r="K86" s="159"/>
      <c r="L86" s="159"/>
      <c r="M86" s="159"/>
      <c r="N86" s="159"/>
      <c r="O86" s="159"/>
      <c r="P86" s="159"/>
      <c r="Q86" s="159"/>
      <c r="R86" s="159"/>
      <c r="AG86" s="0" t="s">
        <v>8118</v>
      </c>
    </row>
    <row customHeight="1" ht="12">
      <c r="A87" s="104" t="s">
        <v>8119</v>
      </c>
      <c r="B87" s="103" t="s">
        <v>8120</v>
      </c>
      <c r="C87" s="104" t="s">
        <v>8121</v>
      </c>
      <c r="D87" s="159"/>
      <c r="E87" s="159"/>
      <c r="F87" s="159"/>
      <c r="G87" s="159"/>
      <c r="H87" s="159"/>
      <c r="I87" s="159"/>
      <c r="J87" s="159"/>
      <c r="K87" s="159"/>
      <c r="L87" s="159"/>
      <c r="M87" s="159"/>
      <c r="N87" s="159"/>
      <c r="O87" s="159"/>
      <c r="P87" s="159"/>
      <c r="Q87" s="159"/>
      <c r="R87" s="159"/>
      <c r="AG87" s="0" t="s">
        <v>8122</v>
      </c>
    </row>
    <row customHeight="1" ht="12">
      <c r="A88" s="104" t="s">
        <v>8123</v>
      </c>
      <c r="B88" s="103" t="s">
        <v>8124</v>
      </c>
      <c r="C88" s="104" t="s">
        <v>8123</v>
      </c>
      <c r="D88" s="159"/>
      <c r="E88" s="159"/>
      <c r="F88" s="159"/>
      <c r="G88" s="159"/>
      <c r="H88" s="159"/>
      <c r="I88" s="159"/>
      <c r="J88" s="159"/>
      <c r="K88" s="159"/>
      <c r="L88" s="159"/>
      <c r="M88" s="159"/>
      <c r="N88" s="159"/>
      <c r="O88" s="159"/>
      <c r="P88" s="159"/>
      <c r="Q88" s="159"/>
      <c r="R88" s="159"/>
      <c r="AG88" s="0" t="s">
        <v>8125</v>
      </c>
    </row>
    <row customHeight="1" ht="12">
      <c r="A89" s="104" t="s">
        <v>8126</v>
      </c>
      <c r="B89" s="103" t="s">
        <v>8127</v>
      </c>
      <c r="C89" s="104" t="s">
        <v>8126</v>
      </c>
      <c r="D89" s="159"/>
      <c r="E89" s="159"/>
      <c r="F89" s="159"/>
      <c r="G89" s="159"/>
      <c r="H89" s="159"/>
      <c r="I89" s="159"/>
      <c r="J89" s="159"/>
      <c r="K89" s="159"/>
      <c r="L89" s="159"/>
      <c r="M89" s="159"/>
      <c r="N89" s="159"/>
      <c r="O89" s="159"/>
      <c r="P89" s="159"/>
      <c r="Q89" s="159"/>
      <c r="R89" s="159"/>
      <c r="AG89" s="0" t="s">
        <v>8128</v>
      </c>
    </row>
    <row customHeight="1" ht="12">
      <c r="A90" s="104" t="s">
        <v>8129</v>
      </c>
      <c r="B90" s="103" t="s">
        <v>8130</v>
      </c>
      <c r="C90" s="104" t="s">
        <v>8129</v>
      </c>
      <c r="D90" s="159"/>
      <c r="E90" s="159"/>
      <c r="F90" s="159"/>
      <c r="G90" s="159"/>
      <c r="H90" s="159"/>
      <c r="I90" s="159"/>
      <c r="J90" s="159"/>
      <c r="K90" s="159"/>
      <c r="L90" s="159"/>
      <c r="M90" s="159"/>
      <c r="N90" s="159"/>
      <c r="O90" s="159"/>
      <c r="P90" s="159"/>
      <c r="Q90" s="159"/>
      <c r="R90" s="159"/>
      <c r="AG90" s="0" t="s">
        <v>8131</v>
      </c>
    </row>
    <row customHeight="1" ht="12">
      <c r="A91" s="148"/>
      <c r="B91" s="148"/>
      <c r="C91" s="413"/>
      <c r="D91" s="159"/>
      <c r="E91" s="159"/>
      <c r="F91" s="159"/>
      <c r="G91" s="159"/>
      <c r="H91" s="159"/>
      <c r="I91" s="159"/>
      <c r="J91" s="159"/>
      <c r="K91" s="159"/>
      <c r="L91" s="159"/>
      <c r="M91" s="159"/>
      <c r="N91" s="159"/>
      <c r="O91" s="159"/>
      <c r="P91" s="159"/>
      <c r="Q91" s="159"/>
      <c r="R91" s="159"/>
      <c r="AG91" s="0" t="s">
        <v>8132</v>
      </c>
    </row>
    <row customHeight="1" ht="12">
      <c r="A92" s="159"/>
      <c r="B92" s="159"/>
      <c r="C92" s="159"/>
      <c r="D92" s="159"/>
      <c r="E92" s="159"/>
      <c r="F92" s="159"/>
      <c r="G92" s="159"/>
      <c r="H92" s="159"/>
      <c r="I92" s="159"/>
      <c r="J92" s="159"/>
      <c r="K92" s="159"/>
      <c r="L92" s="159"/>
      <c r="M92" s="159"/>
      <c r="N92" s="159"/>
      <c r="O92" s="159"/>
      <c r="P92" s="159"/>
      <c r="Q92" s="159"/>
      <c r="R92" s="159"/>
      <c r="AG92" s="0" t="s">
        <v>8133</v>
      </c>
    </row>
    <row customHeight="1" ht="12">
      <c r="A93" s="159"/>
      <c r="B93" s="159"/>
      <c r="C93" s="159"/>
      <c r="D93" s="159"/>
      <c r="E93" s="159"/>
      <c r="F93" s="159"/>
      <c r="G93" s="159"/>
      <c r="H93" s="159"/>
      <c r="I93" s="159"/>
      <c r="J93" s="159"/>
      <c r="K93" s="159"/>
      <c r="L93" s="159"/>
      <c r="M93" s="159"/>
      <c r="N93" s="159"/>
      <c r="O93" s="159"/>
      <c r="P93" s="159"/>
      <c r="Q93" s="159"/>
      <c r="R93" s="159"/>
      <c r="AG93" s="0" t="s">
        <v>8134</v>
      </c>
    </row>
    <row customHeight="1" ht="12">
      <c r="A94" s="148" t="s">
        <v>7686</v>
      </c>
      <c r="B94" s="414" t="s">
        <v>8135</v>
      </c>
      <c r="C94" s="148"/>
      <c r="D94" s="159"/>
      <c r="E94" s="159"/>
      <c r="F94" s="159"/>
      <c r="G94" s="159"/>
      <c r="H94" s="159"/>
      <c r="I94" s="159"/>
      <c r="J94" s="159"/>
      <c r="K94" s="159"/>
      <c r="L94" s="159"/>
      <c r="M94" s="159"/>
      <c r="N94" s="159"/>
      <c r="O94" s="159"/>
      <c r="P94" s="159"/>
      <c r="Q94" s="159"/>
      <c r="R94" s="159"/>
      <c r="AG94" s="0" t="s">
        <v>8136</v>
      </c>
    </row>
    <row customHeight="1" ht="12">
      <c r="A95" s="148" t="s">
        <v>7709</v>
      </c>
      <c r="B95" s="414" t="s">
        <v>8137</v>
      </c>
      <c r="C95" s="148"/>
      <c r="D95" s="159"/>
      <c r="E95" s="159"/>
      <c r="F95" s="159"/>
      <c r="G95" s="159"/>
      <c r="H95" s="159"/>
      <c r="I95" s="159"/>
      <c r="J95" s="159"/>
      <c r="K95" s="159"/>
      <c r="L95" s="159"/>
      <c r="M95" s="159"/>
      <c r="N95" s="159"/>
      <c r="O95" s="159"/>
      <c r="P95" s="159"/>
      <c r="Q95" s="159"/>
      <c r="R95" s="159"/>
      <c r="AG95" s="0" t="s">
        <v>8138</v>
      </c>
    </row>
    <row customHeight="1" ht="12">
      <c r="A96" s="148" t="s">
        <v>7722</v>
      </c>
      <c r="B96" s="414" t="s">
        <v>8139</v>
      </c>
      <c r="C96" s="148"/>
      <c r="D96" s="159"/>
      <c r="E96" s="159"/>
      <c r="F96" s="159"/>
      <c r="G96" s="159"/>
      <c r="H96" s="159"/>
      <c r="I96" s="159"/>
      <c r="J96" s="159"/>
      <c r="K96" s="159"/>
      <c r="L96" s="159"/>
      <c r="M96" s="159"/>
      <c r="N96" s="159"/>
      <c r="O96" s="159"/>
      <c r="P96" s="159"/>
      <c r="Q96" s="159"/>
      <c r="R96" s="159"/>
      <c r="AG96" s="0" t="s">
        <v>8140</v>
      </c>
    </row>
    <row customHeight="1" ht="12">
      <c r="A97" s="148" t="s">
        <v>7733</v>
      </c>
      <c r="B97" s="414" t="s">
        <v>8141</v>
      </c>
      <c r="C97" s="148"/>
      <c r="D97" s="159"/>
      <c r="E97" s="159"/>
      <c r="F97" s="159"/>
      <c r="G97" s="159"/>
      <c r="H97" s="159"/>
      <c r="I97" s="159"/>
      <c r="J97" s="159"/>
      <c r="K97" s="159"/>
      <c r="L97" s="159"/>
      <c r="M97" s="159"/>
      <c r="N97" s="159"/>
      <c r="O97" s="159"/>
      <c r="P97" s="159"/>
      <c r="Q97" s="159"/>
      <c r="R97" s="159"/>
      <c r="AG97" s="0" t="s">
        <v>8142</v>
      </c>
    </row>
    <row customHeight="1" ht="12">
      <c r="A98" s="148" t="s">
        <v>7743</v>
      </c>
      <c r="B98" s="414" t="s">
        <v>8143</v>
      </c>
      <c r="C98" s="148"/>
      <c r="D98" s="159"/>
      <c r="E98" s="159"/>
      <c r="F98" s="159"/>
      <c r="G98" s="159"/>
      <c r="H98" s="159"/>
      <c r="I98" s="159"/>
      <c r="J98" s="159"/>
      <c r="K98" s="159"/>
      <c r="L98" s="159"/>
      <c r="M98" s="159"/>
      <c r="N98" s="159"/>
      <c r="O98" s="159"/>
      <c r="P98" s="159"/>
      <c r="Q98" s="159"/>
      <c r="R98" s="159"/>
      <c r="AG98" s="0" t="s">
        <v>8144</v>
      </c>
    </row>
    <row customHeight="1" ht="12">
      <c r="A99" s="148" t="s">
        <v>7755</v>
      </c>
      <c r="B99" s="414" t="s">
        <v>8145</v>
      </c>
      <c r="C99" s="148"/>
      <c r="D99" s="159"/>
      <c r="E99" s="159"/>
      <c r="F99" s="159"/>
      <c r="G99" s="159"/>
      <c r="H99" s="159"/>
      <c r="I99" s="159"/>
      <c r="J99" s="159"/>
      <c r="K99" s="159"/>
      <c r="L99" s="159"/>
      <c r="M99" s="159"/>
      <c r="N99" s="159"/>
      <c r="O99" s="159"/>
      <c r="P99" s="159"/>
      <c r="Q99" s="159"/>
      <c r="R99" s="159"/>
      <c r="AG99" s="0" t="s">
        <v>8146</v>
      </c>
    </row>
    <row customHeight="1" ht="12">
      <c r="A100" s="148" t="s">
        <v>7763</v>
      </c>
      <c r="B100" s="414" t="s">
        <v>8147</v>
      </c>
      <c r="C100" s="148"/>
      <c r="D100" s="159"/>
      <c r="E100" s="159"/>
      <c r="F100" s="159"/>
      <c r="G100" s="159"/>
      <c r="H100" s="159"/>
      <c r="I100" s="159"/>
      <c r="J100" s="159"/>
      <c r="K100" s="159"/>
      <c r="L100" s="159"/>
      <c r="M100" s="159"/>
      <c r="N100" s="159"/>
      <c r="O100" s="165"/>
      <c r="P100" s="159"/>
      <c r="Q100" s="159"/>
      <c r="R100" s="159"/>
      <c r="AG100" s="0" t="s">
        <v>8148</v>
      </c>
    </row>
    <row customHeight="1" ht="12">
      <c r="A101" s="148" t="s">
        <v>7772</v>
      </c>
      <c r="B101" s="414" t="s">
        <v>8149</v>
      </c>
      <c r="C101" s="148"/>
      <c r="D101" s="159"/>
      <c r="E101" s="159"/>
      <c r="F101" s="159"/>
      <c r="G101" s="159"/>
      <c r="H101" s="159"/>
      <c r="I101" s="159"/>
      <c r="J101" s="159"/>
      <c r="K101" s="159"/>
      <c r="L101" s="159"/>
      <c r="M101" s="159"/>
      <c r="N101" s="159"/>
      <c r="O101" s="165"/>
      <c r="P101" s="159"/>
      <c r="Q101" s="159"/>
      <c r="R101" s="159"/>
      <c r="AG101" s="0" t="s">
        <v>8150</v>
      </c>
    </row>
    <row customHeight="1" ht="12">
      <c r="A102" s="148" t="s">
        <v>7782</v>
      </c>
      <c r="B102" s="414" t="s">
        <v>8151</v>
      </c>
      <c r="C102" s="148"/>
      <c r="D102" s="159"/>
      <c r="E102" s="159"/>
      <c r="F102" s="159"/>
      <c r="G102" s="159"/>
      <c r="H102" s="159"/>
      <c r="I102" s="159"/>
      <c r="J102" s="159"/>
      <c r="K102" s="159"/>
      <c r="L102" s="159"/>
      <c r="M102" s="159"/>
      <c r="N102" s="159"/>
      <c r="O102" s="165"/>
      <c r="P102" s="159"/>
      <c r="Q102" s="159"/>
      <c r="R102" s="159"/>
      <c r="AG102" s="0" t="s">
        <v>8152</v>
      </c>
    </row>
    <row customHeight="1" ht="12">
      <c r="A103" s="148" t="s">
        <v>7791</v>
      </c>
      <c r="B103" s="414" t="s">
        <v>8153</v>
      </c>
      <c r="C103" s="148"/>
      <c r="D103" s="159"/>
      <c r="E103" s="159"/>
      <c r="F103" s="159"/>
      <c r="G103" s="159"/>
      <c r="H103" s="159"/>
      <c r="I103" s="159"/>
      <c r="J103" s="159"/>
      <c r="K103" s="159"/>
      <c r="L103" s="159"/>
      <c r="M103" s="159"/>
      <c r="N103" s="159"/>
      <c r="O103" s="165"/>
      <c r="P103" s="159"/>
      <c r="Q103" s="159"/>
      <c r="R103" s="159"/>
      <c r="AG103" s="0" t="s">
        <v>8154</v>
      </c>
    </row>
    <row customHeight="1" ht="12">
      <c r="A104" s="148" t="s">
        <v>7800</v>
      </c>
      <c r="B104" s="414" t="s">
        <v>8155</v>
      </c>
      <c r="C104" s="148"/>
      <c r="D104" s="159"/>
      <c r="E104" s="159"/>
      <c r="F104" s="159"/>
      <c r="G104" s="159"/>
      <c r="H104" s="159"/>
      <c r="I104" s="159"/>
      <c r="J104" s="159"/>
      <c r="K104" s="159"/>
      <c r="L104" s="159"/>
      <c r="M104" s="159"/>
      <c r="N104" s="159"/>
      <c r="O104" s="165"/>
      <c r="P104" s="159"/>
      <c r="Q104" s="159"/>
      <c r="R104" s="159"/>
      <c r="AG104" s="0" t="s">
        <v>8156</v>
      </c>
    </row>
    <row customHeight="1" ht="12">
      <c r="A105" s="148" t="s">
        <v>8157</v>
      </c>
      <c r="B105" s="414" t="s">
        <v>8158</v>
      </c>
      <c r="C105" s="148"/>
      <c r="D105" s="159"/>
      <c r="E105" s="159"/>
      <c r="F105" s="159"/>
      <c r="G105" s="159"/>
      <c r="H105" s="159"/>
      <c r="I105" s="159"/>
      <c r="J105" s="159"/>
      <c r="K105" s="159"/>
      <c r="L105" s="159"/>
      <c r="M105" s="159"/>
      <c r="N105" s="159"/>
      <c r="O105" s="165"/>
      <c r="P105" s="159"/>
      <c r="Q105" s="159"/>
      <c r="R105" s="159"/>
      <c r="AG105" s="0" t="s">
        <v>8159</v>
      </c>
    </row>
    <row customHeight="1" ht="12">
      <c r="A106" s="148" t="s">
        <v>8160</v>
      </c>
      <c r="B106" s="414" t="s">
        <v>8161</v>
      </c>
      <c r="C106" s="148"/>
      <c r="D106" s="159"/>
      <c r="E106" s="159"/>
      <c r="F106" s="159"/>
      <c r="G106" s="159"/>
      <c r="H106" s="159"/>
      <c r="I106" s="159"/>
      <c r="J106" s="159"/>
      <c r="K106" s="159"/>
      <c r="L106" s="159"/>
      <c r="M106" s="159"/>
      <c r="N106" s="159"/>
      <c r="O106" s="165"/>
      <c r="P106" s="159"/>
      <c r="Q106" s="159"/>
      <c r="R106" s="159"/>
      <c r="AG106" s="0" t="s">
        <v>8162</v>
      </c>
    </row>
    <row customHeight="1" ht="12">
      <c r="A107" s="148" t="s">
        <v>8163</v>
      </c>
      <c r="B107" s="414" t="s">
        <v>8164</v>
      </c>
      <c r="C107" s="148"/>
      <c r="D107" s="159"/>
      <c r="E107" s="159"/>
      <c r="F107" s="159"/>
      <c r="G107" s="159"/>
      <c r="H107" s="159"/>
      <c r="I107" s="159"/>
      <c r="J107" s="159"/>
      <c r="K107" s="159"/>
      <c r="L107" s="159"/>
      <c r="M107" s="159"/>
      <c r="N107" s="159"/>
      <c r="O107" s="165"/>
      <c r="P107" s="159"/>
      <c r="Q107" s="159"/>
      <c r="R107" s="159"/>
      <c r="AG107" s="0" t="s">
        <v>8165</v>
      </c>
    </row>
    <row customHeight="1" ht="12">
      <c r="A108" s="148" t="s">
        <v>7833</v>
      </c>
      <c r="B108" s="414" t="s">
        <v>8166</v>
      </c>
      <c r="C108" s="148"/>
      <c r="D108" s="159"/>
      <c r="E108" s="159"/>
      <c r="F108" s="159"/>
      <c r="G108" s="159"/>
      <c r="H108" s="159"/>
      <c r="I108" s="159"/>
      <c r="J108" s="159"/>
      <c r="K108" s="159"/>
      <c r="L108" s="159"/>
      <c r="M108" s="165"/>
      <c r="N108" s="159"/>
      <c r="O108" s="165"/>
      <c r="P108" s="159"/>
      <c r="Q108" s="159"/>
      <c r="R108" s="159"/>
      <c r="AG108" s="0" t="s">
        <v>8167</v>
      </c>
    </row>
    <row customHeight="1" ht="12">
      <c r="A109" s="148" t="s">
        <v>7838</v>
      </c>
      <c r="B109" s="414" t="s">
        <v>8168</v>
      </c>
      <c r="C109" s="148"/>
      <c r="D109" s="159"/>
      <c r="E109" s="159"/>
      <c r="F109" s="159"/>
      <c r="G109" s="159"/>
      <c r="H109" s="159"/>
      <c r="I109" s="159"/>
      <c r="J109" s="159"/>
      <c r="K109" s="159"/>
      <c r="L109" s="159"/>
      <c r="M109" s="165"/>
      <c r="N109" s="159"/>
      <c r="O109" s="165"/>
      <c r="P109" s="159"/>
      <c r="Q109" s="159"/>
      <c r="R109" s="159"/>
      <c r="AG109" s="0" t="s">
        <v>8169</v>
      </c>
    </row>
    <row customHeight="1" ht="12">
      <c r="A110" s="148" t="s">
        <v>7843</v>
      </c>
      <c r="B110" s="414" t="s">
        <v>8170</v>
      </c>
      <c r="C110" s="148"/>
      <c r="D110" s="159"/>
      <c r="E110" s="159"/>
      <c r="F110" s="159"/>
      <c r="G110" s="159"/>
      <c r="H110" s="159"/>
      <c r="I110" s="159"/>
      <c r="J110" s="159"/>
      <c r="K110" s="159"/>
      <c r="L110" s="159"/>
      <c r="M110" s="165"/>
      <c r="N110" s="159"/>
      <c r="O110" s="165"/>
      <c r="P110" s="159"/>
      <c r="Q110" s="159"/>
      <c r="R110" s="159"/>
      <c r="AG110" s="0" t="s">
        <v>8171</v>
      </c>
    </row>
    <row customHeight="1" ht="12">
      <c r="A111" s="148" t="s">
        <v>7848</v>
      </c>
      <c r="B111" s="414" t="s">
        <v>8172</v>
      </c>
      <c r="C111" s="148"/>
      <c r="D111" s="159"/>
      <c r="E111" s="159"/>
      <c r="F111" s="159"/>
      <c r="G111" s="159"/>
      <c r="H111" s="159"/>
      <c r="I111" s="159"/>
      <c r="J111" s="159"/>
      <c r="K111" s="159"/>
      <c r="L111" s="159"/>
      <c r="M111" s="165"/>
      <c r="N111" s="159"/>
      <c r="O111" s="165"/>
      <c r="P111" s="159"/>
      <c r="Q111" s="159"/>
      <c r="R111" s="159"/>
      <c r="AG111" s="0" t="s">
        <v>8173</v>
      </c>
    </row>
    <row customHeight="1" ht="12">
      <c r="A112" s="148" t="s">
        <v>7855</v>
      </c>
      <c r="B112" s="414" t="s">
        <v>8174</v>
      </c>
      <c r="C112" s="148"/>
      <c r="D112" s="159"/>
      <c r="E112" s="159"/>
      <c r="F112" s="159"/>
      <c r="G112" s="159"/>
      <c r="H112" s="159"/>
      <c r="I112" s="159"/>
      <c r="J112" s="159"/>
      <c r="K112" s="159"/>
      <c r="L112" s="159"/>
      <c r="M112" s="165"/>
      <c r="N112" s="159"/>
      <c r="O112" s="165"/>
      <c r="P112" s="159"/>
      <c r="Q112" s="159"/>
      <c r="R112" s="159"/>
      <c r="AG112" s="0" t="s">
        <v>8175</v>
      </c>
    </row>
    <row customHeight="1" ht="12">
      <c r="A113" s="148" t="s">
        <v>7861</v>
      </c>
      <c r="B113" s="414" t="s">
        <v>8176</v>
      </c>
      <c r="C113" s="148"/>
      <c r="D113" s="159"/>
      <c r="E113" s="159"/>
      <c r="F113" s="159"/>
      <c r="G113" s="159"/>
      <c r="H113" s="159"/>
      <c r="I113" s="159"/>
      <c r="J113" s="159"/>
      <c r="K113" s="159"/>
      <c r="L113" s="159"/>
      <c r="M113" s="165"/>
      <c r="N113" s="159"/>
      <c r="O113" s="165"/>
      <c r="P113" s="159"/>
      <c r="Q113" s="159"/>
      <c r="R113" s="159"/>
      <c r="AG113" s="0" t="s">
        <v>8177</v>
      </c>
    </row>
    <row customHeight="1" ht="12">
      <c r="A114" s="148" t="s">
        <v>7867</v>
      </c>
      <c r="B114" s="414" t="s">
        <v>8178</v>
      </c>
      <c r="C114" s="148"/>
      <c r="D114" s="159"/>
      <c r="E114" s="159"/>
      <c r="F114" s="159"/>
      <c r="G114" s="159"/>
      <c r="H114" s="159"/>
      <c r="I114" s="159"/>
      <c r="J114" s="159"/>
      <c r="K114" s="159"/>
      <c r="L114" s="159"/>
      <c r="M114" s="165"/>
      <c r="N114" s="159"/>
      <c r="O114" s="165"/>
      <c r="P114" s="159"/>
      <c r="Q114" s="159"/>
      <c r="R114" s="159"/>
      <c r="AG114" s="0" t="s">
        <v>8179</v>
      </c>
    </row>
    <row customHeight="1" ht="12">
      <c r="A115" s="148" t="s">
        <v>7874</v>
      </c>
      <c r="B115" s="414" t="s">
        <v>8180</v>
      </c>
      <c r="C115" s="148"/>
      <c r="D115" s="159"/>
      <c r="E115" s="159"/>
      <c r="F115" s="159"/>
      <c r="G115" s="159"/>
      <c r="H115" s="159"/>
      <c r="I115" s="159"/>
      <c r="J115" s="159"/>
      <c r="K115" s="159"/>
      <c r="L115" s="159"/>
      <c r="M115" s="165"/>
      <c r="N115" s="159"/>
      <c r="O115" s="165"/>
      <c r="P115" s="159"/>
      <c r="Q115" s="159"/>
      <c r="R115" s="159"/>
      <c r="AG115" s="0" t="s">
        <v>8181</v>
      </c>
    </row>
    <row customHeight="1" ht="12">
      <c r="A116" s="148" t="s">
        <v>7880</v>
      </c>
      <c r="B116" s="414" t="s">
        <v>8182</v>
      </c>
      <c r="C116" s="148"/>
      <c r="D116" s="159"/>
      <c r="E116" s="159"/>
      <c r="F116" s="159"/>
      <c r="G116" s="159"/>
      <c r="H116" s="159"/>
      <c r="I116" s="159"/>
      <c r="J116" s="159"/>
      <c r="K116" s="159"/>
      <c r="L116" s="159"/>
      <c r="M116" s="165"/>
      <c r="N116" s="159"/>
      <c r="O116" s="165"/>
      <c r="P116" s="159"/>
      <c r="Q116" s="159"/>
      <c r="R116" s="159"/>
      <c r="AG116" s="0" t="s">
        <v>8183</v>
      </c>
    </row>
    <row customHeight="1" ht="12">
      <c r="A117" s="148" t="s">
        <v>7885</v>
      </c>
      <c r="B117" s="414" t="s">
        <v>8184</v>
      </c>
      <c r="C117" s="148"/>
      <c r="D117" s="159"/>
      <c r="E117" s="159"/>
      <c r="F117" s="159"/>
      <c r="G117" s="159"/>
      <c r="H117" s="159"/>
      <c r="I117" s="159"/>
      <c r="J117" s="159"/>
      <c r="K117" s="159"/>
      <c r="L117" s="159"/>
      <c r="M117" s="165"/>
      <c r="N117" s="159"/>
      <c r="O117" s="165"/>
      <c r="P117" s="159"/>
      <c r="Q117" s="159"/>
      <c r="R117" s="159"/>
      <c r="AG117" s="0" t="s">
        <v>8185</v>
      </c>
    </row>
    <row customHeight="1" ht="12">
      <c r="A118" s="148" t="s">
        <v>7889</v>
      </c>
      <c r="B118" s="414" t="s">
        <v>8186</v>
      </c>
      <c r="C118" s="148"/>
      <c r="D118" s="159"/>
      <c r="E118" s="159"/>
      <c r="F118" s="159"/>
      <c r="G118" s="159"/>
      <c r="H118" s="159"/>
      <c r="I118" s="159"/>
      <c r="J118" s="159"/>
      <c r="K118" s="159"/>
      <c r="L118" s="159"/>
      <c r="M118" s="165"/>
      <c r="N118" s="159"/>
      <c r="O118" s="165"/>
      <c r="P118" s="159"/>
      <c r="Q118" s="159"/>
      <c r="R118" s="159"/>
      <c r="AG118" s="0" t="s">
        <v>8187</v>
      </c>
    </row>
    <row customHeight="1" ht="12">
      <c r="A119" s="148" t="s">
        <v>102</v>
      </c>
      <c r="B119" s="414" t="s">
        <v>110</v>
      </c>
      <c r="C119" s="148"/>
      <c r="D119" s="159"/>
      <c r="E119" s="159"/>
      <c r="F119" s="159"/>
      <c r="G119" s="159"/>
      <c r="H119" s="159"/>
      <c r="I119" s="159"/>
      <c r="J119" s="159"/>
      <c r="K119" s="159"/>
      <c r="L119" s="159"/>
      <c r="M119" s="165"/>
      <c r="N119" s="159"/>
      <c r="O119" s="165"/>
      <c r="P119" s="159"/>
      <c r="Q119" s="159"/>
      <c r="R119" s="159"/>
      <c r="AG119" s="0" t="s">
        <v>8188</v>
      </c>
    </row>
    <row customHeight="1" ht="12">
      <c r="A120" s="148" t="s">
        <v>7897</v>
      </c>
      <c r="B120" s="414" t="s">
        <v>8189</v>
      </c>
      <c r="C120" s="148"/>
      <c r="D120" s="159"/>
      <c r="E120" s="159"/>
      <c r="F120" s="159"/>
      <c r="G120" s="159"/>
      <c r="H120" s="159"/>
      <c r="I120" s="159"/>
      <c r="J120" s="159"/>
      <c r="K120" s="159"/>
      <c r="L120" s="159"/>
      <c r="M120" s="165"/>
      <c r="N120" s="159"/>
      <c r="O120" s="165"/>
      <c r="P120" s="159"/>
      <c r="Q120" s="159"/>
      <c r="R120" s="159"/>
      <c r="AG120" s="0" t="s">
        <v>8190</v>
      </c>
    </row>
    <row customHeight="1" ht="12">
      <c r="A121" s="148" t="s">
        <v>7902</v>
      </c>
      <c r="B121" s="414" t="s">
        <v>8191</v>
      </c>
      <c r="C121" s="148"/>
      <c r="D121" s="159"/>
      <c r="E121" s="159"/>
      <c r="F121" s="159"/>
      <c r="G121" s="159"/>
      <c r="H121" s="159"/>
      <c r="I121" s="159"/>
      <c r="J121" s="159"/>
      <c r="K121" s="159"/>
      <c r="L121" s="159"/>
      <c r="M121" s="165"/>
      <c r="N121" s="159"/>
      <c r="O121" s="165"/>
      <c r="P121" s="159"/>
      <c r="Q121" s="159"/>
      <c r="R121" s="159"/>
      <c r="AG121" s="0" t="s">
        <v>8192</v>
      </c>
    </row>
    <row customHeight="1" ht="12">
      <c r="A122" s="148" t="s">
        <v>7907</v>
      </c>
      <c r="B122" s="414" t="s">
        <v>8193</v>
      </c>
      <c r="C122" s="148"/>
      <c r="D122" s="159"/>
      <c r="E122" s="159"/>
      <c r="F122" s="159"/>
      <c r="G122" s="159"/>
      <c r="H122" s="159"/>
      <c r="I122" s="159"/>
      <c r="J122" s="159"/>
      <c r="K122" s="159"/>
      <c r="L122" s="159"/>
      <c r="M122" s="165"/>
      <c r="N122" s="159"/>
      <c r="O122" s="165"/>
      <c r="P122" s="159"/>
      <c r="Q122" s="159"/>
      <c r="R122" s="159"/>
      <c r="AG122" s="0" t="s">
        <v>8194</v>
      </c>
    </row>
    <row customHeight="1" ht="12">
      <c r="A123" s="148" t="s">
        <v>7911</v>
      </c>
      <c r="B123" s="414" t="s">
        <v>8195</v>
      </c>
      <c r="C123" s="148"/>
      <c r="D123" s="159"/>
      <c r="E123" s="159"/>
      <c r="F123" s="159"/>
      <c r="G123" s="159"/>
      <c r="H123" s="159"/>
      <c r="I123" s="159"/>
      <c r="J123" s="159"/>
      <c r="K123" s="159"/>
      <c r="L123" s="159"/>
      <c r="M123" s="165"/>
      <c r="N123" s="159"/>
      <c r="O123" s="165"/>
      <c r="P123" s="159"/>
      <c r="Q123" s="159"/>
      <c r="R123" s="159"/>
      <c r="AG123" s="0" t="s">
        <v>8196</v>
      </c>
    </row>
    <row customHeight="1" ht="12">
      <c r="A124" s="148" t="s">
        <v>7915</v>
      </c>
      <c r="B124" s="414" t="s">
        <v>8197</v>
      </c>
      <c r="C124" s="148"/>
      <c r="D124" s="159"/>
      <c r="E124" s="159"/>
      <c r="F124" s="159"/>
      <c r="G124" s="159"/>
      <c r="H124" s="159"/>
      <c r="I124" s="159"/>
      <c r="J124" s="159"/>
      <c r="K124" s="159"/>
      <c r="L124" s="159"/>
      <c r="M124" s="165"/>
      <c r="N124" s="159"/>
      <c r="O124" s="165"/>
      <c r="P124" s="159"/>
      <c r="Q124" s="159"/>
      <c r="R124" s="159"/>
      <c r="AG124" s="0" t="s">
        <v>8198</v>
      </c>
    </row>
    <row customHeight="1" ht="12">
      <c r="A125" s="148" t="s">
        <v>7920</v>
      </c>
      <c r="B125" s="414" t="s">
        <v>8199</v>
      </c>
      <c r="C125" s="148"/>
      <c r="D125" s="159"/>
      <c r="E125" s="159"/>
      <c r="F125" s="159"/>
      <c r="G125" s="159"/>
      <c r="H125" s="159"/>
      <c r="I125" s="159"/>
      <c r="J125" s="159"/>
      <c r="K125" s="159"/>
      <c r="L125" s="159"/>
      <c r="M125" s="165"/>
      <c r="N125" s="159"/>
      <c r="O125" s="165"/>
      <c r="P125" s="159"/>
      <c r="Q125" s="159"/>
      <c r="R125" s="159"/>
      <c r="AG125" s="0" t="s">
        <v>8200</v>
      </c>
    </row>
    <row customHeight="1" ht="12">
      <c r="A126" s="148" t="s">
        <v>7925</v>
      </c>
      <c r="B126" s="414" t="s">
        <v>8201</v>
      </c>
      <c r="C126" s="148"/>
      <c r="D126" s="159"/>
      <c r="E126" s="159"/>
      <c r="F126" s="159"/>
      <c r="G126" s="159"/>
      <c r="H126" s="159"/>
      <c r="I126" s="159"/>
      <c r="J126" s="159"/>
      <c r="K126" s="159"/>
      <c r="L126" s="159"/>
      <c r="M126" s="165"/>
      <c r="N126" s="159"/>
      <c r="O126" s="165"/>
      <c r="P126" s="159"/>
      <c r="Q126" s="159"/>
      <c r="R126" s="159"/>
      <c r="AG126" s="0" t="s">
        <v>8202</v>
      </c>
    </row>
    <row customHeight="1" ht="12">
      <c r="A127" s="148" t="s">
        <v>7930</v>
      </c>
      <c r="B127" s="414" t="s">
        <v>8203</v>
      </c>
      <c r="C127" s="148"/>
      <c r="D127" s="159"/>
      <c r="E127" s="159"/>
      <c r="F127" s="159"/>
      <c r="G127" s="159"/>
      <c r="H127" s="159"/>
      <c r="I127" s="159"/>
      <c r="J127" s="159"/>
      <c r="K127" s="159"/>
      <c r="L127" s="159"/>
      <c r="M127" s="165"/>
      <c r="N127" s="159"/>
      <c r="O127" s="165"/>
      <c r="P127" s="159"/>
      <c r="Q127" s="159"/>
      <c r="R127" s="159"/>
      <c r="AG127" s="0" t="s">
        <v>8204</v>
      </c>
    </row>
    <row customHeight="1" ht="12">
      <c r="A128" s="148" t="s">
        <v>7935</v>
      </c>
      <c r="B128" s="414" t="s">
        <v>8205</v>
      </c>
      <c r="C128" s="148"/>
      <c r="D128" s="159"/>
      <c r="E128" s="159"/>
      <c r="F128" s="159"/>
      <c r="G128" s="159"/>
      <c r="H128" s="159"/>
      <c r="I128" s="159"/>
      <c r="J128" s="159"/>
      <c r="K128" s="159"/>
      <c r="L128" s="159"/>
      <c r="M128" s="165"/>
      <c r="N128" s="159"/>
      <c r="O128" s="165"/>
      <c r="P128" s="159"/>
      <c r="Q128" s="159"/>
      <c r="R128" s="159"/>
      <c r="AG128" s="0" t="s">
        <v>8206</v>
      </c>
    </row>
    <row customHeight="1" ht="12">
      <c r="A129" s="148" t="s">
        <v>7940</v>
      </c>
      <c r="B129" s="414" t="s">
        <v>8207</v>
      </c>
      <c r="C129" s="148"/>
      <c r="D129" s="159"/>
      <c r="E129" s="159"/>
      <c r="F129" s="159"/>
      <c r="G129" s="159"/>
      <c r="H129" s="159"/>
      <c r="I129" s="159"/>
      <c r="J129" s="159"/>
      <c r="K129" s="159"/>
      <c r="L129" s="159"/>
      <c r="M129" s="165"/>
      <c r="N129" s="159"/>
      <c r="O129" s="165"/>
      <c r="P129" s="159"/>
      <c r="Q129" s="159"/>
      <c r="R129" s="159"/>
      <c r="AG129" s="0" t="s">
        <v>8208</v>
      </c>
    </row>
    <row customHeight="1" ht="12">
      <c r="A130" s="148" t="s">
        <v>7945</v>
      </c>
      <c r="B130" s="414" t="s">
        <v>8209</v>
      </c>
      <c r="C130" s="148"/>
      <c r="D130" s="159"/>
      <c r="E130" s="159"/>
      <c r="F130" s="159"/>
      <c r="G130" s="159"/>
      <c r="H130" s="159"/>
      <c r="I130" s="159"/>
      <c r="J130" s="159"/>
      <c r="K130" s="159"/>
      <c r="L130" s="165"/>
      <c r="M130" s="165"/>
      <c r="N130" s="159"/>
      <c r="O130" s="159"/>
      <c r="P130" s="159"/>
      <c r="Q130" s="159"/>
      <c r="R130" s="159"/>
      <c r="AG130" s="0" t="s">
        <v>8210</v>
      </c>
    </row>
    <row customHeight="1" ht="12">
      <c r="A131" s="148" t="s">
        <v>7949</v>
      </c>
      <c r="B131" s="414" t="s">
        <v>8211</v>
      </c>
      <c r="C131" s="148"/>
      <c r="D131" s="159"/>
      <c r="E131" s="159"/>
      <c r="F131" s="159"/>
      <c r="G131" s="159"/>
      <c r="H131" s="159"/>
      <c r="I131" s="159"/>
      <c r="J131" s="159"/>
      <c r="K131" s="159"/>
      <c r="L131" s="165"/>
      <c r="M131" s="165"/>
      <c r="N131" s="159"/>
      <c r="O131" s="159"/>
      <c r="P131" s="159"/>
      <c r="Q131" s="159"/>
      <c r="R131" s="159"/>
      <c r="AG131" s="0" t="s">
        <v>8212</v>
      </c>
    </row>
    <row customHeight="1" ht="12">
      <c r="A132" s="148" t="s">
        <v>7954</v>
      </c>
      <c r="B132" s="414" t="s">
        <v>8213</v>
      </c>
      <c r="C132" s="148"/>
      <c r="D132" s="159"/>
      <c r="E132" s="159"/>
      <c r="F132" s="159"/>
      <c r="G132" s="159"/>
      <c r="H132" s="159"/>
      <c r="I132" s="159"/>
      <c r="J132" s="159"/>
      <c r="K132" s="159"/>
      <c r="L132" s="165"/>
      <c r="M132" s="165"/>
      <c r="N132" s="159"/>
      <c r="O132" s="159"/>
      <c r="P132" s="159"/>
      <c r="Q132" s="159"/>
      <c r="R132" s="159"/>
      <c r="AG132" s="0" t="s">
        <v>8214</v>
      </c>
    </row>
    <row customHeight="1" ht="12">
      <c r="A133" s="148" t="s">
        <v>7958</v>
      </c>
      <c r="B133" s="414" t="s">
        <v>8215</v>
      </c>
      <c r="C133" s="148"/>
      <c r="D133" s="159"/>
      <c r="E133" s="159"/>
      <c r="F133" s="159"/>
      <c r="G133" s="159"/>
      <c r="H133" s="159"/>
      <c r="I133" s="159"/>
      <c r="J133" s="159"/>
      <c r="K133" s="159"/>
      <c r="L133" s="165"/>
      <c r="M133" s="165"/>
      <c r="N133" s="159"/>
      <c r="O133" s="159"/>
      <c r="P133" s="159"/>
      <c r="Q133" s="159"/>
      <c r="R133" s="159"/>
      <c r="AG133" s="0" t="s">
        <v>8216</v>
      </c>
    </row>
    <row customHeight="1" ht="12">
      <c r="A134" s="148" t="s">
        <v>7962</v>
      </c>
      <c r="B134" s="414" t="s">
        <v>8217</v>
      </c>
      <c r="C134" s="148"/>
      <c r="D134" s="159"/>
      <c r="E134" s="159"/>
      <c r="F134" s="159"/>
      <c r="G134" s="159"/>
      <c r="H134" s="159"/>
      <c r="I134" s="159"/>
      <c r="J134" s="159"/>
      <c r="K134" s="159"/>
      <c r="L134" s="165"/>
      <c r="M134" s="165"/>
      <c r="N134" s="159"/>
      <c r="O134" s="159"/>
      <c r="P134" s="159"/>
      <c r="Q134" s="159"/>
      <c r="R134" s="159"/>
      <c r="AG134" s="0" t="s">
        <v>8218</v>
      </c>
    </row>
    <row customHeight="1" ht="12">
      <c r="A135" s="148" t="s">
        <v>7966</v>
      </c>
      <c r="B135" s="414" t="s">
        <v>8219</v>
      </c>
      <c r="C135" s="148"/>
      <c r="D135" s="159"/>
      <c r="E135" s="159"/>
      <c r="F135" s="159"/>
      <c r="G135" s="159"/>
      <c r="H135" s="159"/>
      <c r="I135" s="159"/>
      <c r="J135" s="159"/>
      <c r="K135" s="165"/>
      <c r="L135" s="165"/>
      <c r="M135" s="165"/>
      <c r="N135" s="159"/>
      <c r="O135" s="159"/>
      <c r="P135" s="159"/>
      <c r="Q135" s="159"/>
      <c r="R135" s="159"/>
      <c r="AG135" s="0" t="s">
        <v>8220</v>
      </c>
    </row>
    <row customHeight="1" ht="12">
      <c r="A136" s="148" t="s">
        <v>7970</v>
      </c>
      <c r="B136" s="414" t="s">
        <v>8221</v>
      </c>
      <c r="C136" s="148"/>
      <c r="D136" s="159"/>
      <c r="E136" s="159"/>
      <c r="F136" s="159"/>
      <c r="G136" s="159"/>
      <c r="H136" s="159"/>
      <c r="I136" s="159"/>
      <c r="J136" s="159"/>
      <c r="K136" s="165"/>
      <c r="L136" s="165"/>
      <c r="M136" s="165"/>
      <c r="N136" s="159"/>
      <c r="O136" s="159"/>
      <c r="P136" s="159"/>
      <c r="Q136" s="159"/>
      <c r="R136" s="159"/>
      <c r="AG136" s="0" t="s">
        <v>8222</v>
      </c>
    </row>
    <row customHeight="1" ht="12">
      <c r="A137" s="148" t="s">
        <v>7974</v>
      </c>
      <c r="B137" s="414" t="s">
        <v>8223</v>
      </c>
      <c r="C137" s="148"/>
      <c r="D137" s="159"/>
      <c r="E137" s="159"/>
      <c r="F137" s="159"/>
      <c r="G137" s="159"/>
      <c r="H137" s="159"/>
      <c r="I137" s="159"/>
      <c r="J137" s="159"/>
      <c r="K137" s="165"/>
      <c r="L137" s="165"/>
      <c r="M137" s="165"/>
      <c r="N137" s="159"/>
      <c r="O137" s="159"/>
      <c r="P137" s="159"/>
      <c r="Q137" s="159"/>
      <c r="R137" s="159"/>
      <c r="AG137" s="0" t="s">
        <v>8224</v>
      </c>
    </row>
    <row customHeight="1" ht="12">
      <c r="A138" s="148" t="s">
        <v>7978</v>
      </c>
      <c r="B138" s="414" t="s">
        <v>8225</v>
      </c>
      <c r="C138" s="148"/>
      <c r="D138" s="159"/>
      <c r="E138" s="159"/>
      <c r="F138" s="159"/>
      <c r="G138" s="159"/>
      <c r="H138" s="159"/>
      <c r="I138" s="159"/>
      <c r="J138" s="159"/>
      <c r="K138" s="165"/>
      <c r="L138" s="165"/>
      <c r="M138" s="165"/>
      <c r="N138" s="159"/>
      <c r="O138" s="159"/>
      <c r="P138" s="159"/>
      <c r="Q138" s="159"/>
      <c r="R138" s="159"/>
      <c r="AG138" s="0" t="s">
        <v>8226</v>
      </c>
    </row>
    <row customHeight="1" ht="12">
      <c r="A139" s="148" t="s">
        <v>7983</v>
      </c>
      <c r="B139" s="414" t="s">
        <v>8227</v>
      </c>
      <c r="C139" s="148"/>
      <c r="D139" s="159"/>
      <c r="E139" s="159"/>
      <c r="F139" s="159"/>
      <c r="G139" s="159"/>
      <c r="H139" s="159"/>
      <c r="I139" s="159"/>
      <c r="J139" s="159"/>
      <c r="K139" s="165"/>
      <c r="L139" s="165"/>
      <c r="M139" s="165"/>
      <c r="N139" s="159"/>
      <c r="O139" s="159"/>
      <c r="P139" s="159"/>
      <c r="Q139" s="159"/>
      <c r="R139" s="159"/>
      <c r="AG139" s="0" t="s">
        <v>8228</v>
      </c>
    </row>
    <row customHeight="1" ht="12">
      <c r="A140" s="148" t="s">
        <v>7987</v>
      </c>
      <c r="B140" s="414" t="s">
        <v>8229</v>
      </c>
      <c r="C140" s="148"/>
      <c r="D140" s="159"/>
      <c r="E140" s="159"/>
      <c r="F140" s="159"/>
      <c r="G140" s="159"/>
      <c r="H140" s="159"/>
      <c r="I140" s="159"/>
      <c r="J140" s="159"/>
      <c r="K140" s="165"/>
      <c r="L140" s="165"/>
      <c r="M140" s="165"/>
      <c r="N140" s="159"/>
      <c r="O140" s="159"/>
      <c r="P140" s="159"/>
      <c r="Q140" s="159"/>
      <c r="R140" s="159"/>
      <c r="AG140" s="0" t="s">
        <v>8230</v>
      </c>
    </row>
    <row customHeight="1" ht="12">
      <c r="A141" s="148" t="s">
        <v>7991</v>
      </c>
      <c r="B141" s="414" t="s">
        <v>8231</v>
      </c>
      <c r="C141" s="148"/>
      <c r="D141" s="159"/>
      <c r="E141" s="159"/>
      <c r="F141" s="159"/>
      <c r="G141" s="159"/>
      <c r="H141" s="159"/>
      <c r="I141" s="159"/>
      <c r="J141" s="159"/>
      <c r="K141" s="165"/>
      <c r="L141" s="165"/>
      <c r="M141" s="165"/>
      <c r="N141" s="159"/>
      <c r="O141" s="159"/>
      <c r="P141" s="159"/>
      <c r="Q141" s="159"/>
      <c r="R141" s="159"/>
    </row>
    <row customHeight="1" ht="12">
      <c r="A142" s="148" t="s">
        <v>7995</v>
      </c>
      <c r="B142" s="414" t="s">
        <v>8232</v>
      </c>
      <c r="C142" s="148"/>
      <c r="D142" s="159"/>
      <c r="E142" s="159"/>
      <c r="F142" s="159"/>
      <c r="G142" s="159"/>
      <c r="H142" s="159"/>
      <c r="I142" s="159"/>
      <c r="J142" s="159"/>
      <c r="K142" s="165"/>
      <c r="L142" s="165"/>
      <c r="M142" s="165"/>
      <c r="N142" s="159"/>
      <c r="O142" s="159"/>
      <c r="P142" s="159"/>
      <c r="Q142" s="159"/>
      <c r="R142" s="159"/>
    </row>
    <row customHeight="1" ht="12">
      <c r="A143" s="148" t="s">
        <v>7999</v>
      </c>
      <c r="B143" s="414" t="s">
        <v>8233</v>
      </c>
      <c r="C143" s="148"/>
      <c r="D143" s="159"/>
      <c r="E143" s="159"/>
      <c r="F143" s="159"/>
      <c r="G143" s="159"/>
      <c r="H143" s="159"/>
      <c r="I143" s="159"/>
      <c r="J143" s="159"/>
      <c r="K143" s="165"/>
      <c r="L143" s="165"/>
      <c r="M143" s="165"/>
      <c r="N143" s="159"/>
      <c r="O143" s="159"/>
      <c r="P143" s="159"/>
      <c r="Q143" s="159"/>
      <c r="R143" s="159"/>
    </row>
    <row customHeight="1" ht="12">
      <c r="A144" s="148" t="s">
        <v>8003</v>
      </c>
      <c r="B144" s="414" t="s">
        <v>8234</v>
      </c>
      <c r="C144" s="148"/>
      <c r="D144" s="159"/>
      <c r="E144" s="159"/>
      <c r="F144" s="159"/>
      <c r="G144" s="159"/>
      <c r="H144" s="159"/>
      <c r="I144" s="159"/>
      <c r="J144" s="159"/>
      <c r="K144" s="165"/>
      <c r="L144" s="165"/>
      <c r="M144" s="165"/>
      <c r="N144" s="159"/>
      <c r="O144" s="159"/>
      <c r="P144" s="159"/>
      <c r="Q144" s="159"/>
      <c r="R144" s="159"/>
    </row>
    <row customHeight="1" ht="12">
      <c r="A145" s="148" t="s">
        <v>8007</v>
      </c>
      <c r="B145" s="414" t="s">
        <v>8235</v>
      </c>
      <c r="C145" s="148"/>
      <c r="D145" s="159"/>
      <c r="E145" s="159"/>
      <c r="F145" s="159"/>
      <c r="G145" s="159"/>
      <c r="H145" s="159"/>
      <c r="I145" s="159"/>
      <c r="J145" s="159"/>
      <c r="K145" s="165"/>
      <c r="L145" s="165"/>
      <c r="M145" s="165"/>
      <c r="N145" s="159"/>
      <c r="O145" s="159"/>
      <c r="P145" s="159"/>
      <c r="R145" s="159"/>
    </row>
    <row customHeight="1" ht="12">
      <c r="A146" s="148" t="s">
        <v>8012</v>
      </c>
      <c r="B146" s="414" t="s">
        <v>8236</v>
      </c>
      <c r="C146" s="148"/>
      <c r="D146" s="159"/>
      <c r="E146" s="159"/>
      <c r="F146" s="159"/>
      <c r="G146" s="159"/>
      <c r="H146" s="159"/>
      <c r="I146" s="159"/>
      <c r="J146" s="159"/>
      <c r="K146" s="165"/>
      <c r="L146" s="165"/>
      <c r="M146" s="165"/>
      <c r="N146" s="159"/>
      <c r="O146" s="159"/>
      <c r="P146" s="159"/>
      <c r="R146" s="159"/>
    </row>
    <row customHeight="1" ht="12">
      <c r="A147" s="148" t="s">
        <v>8016</v>
      </c>
      <c r="B147" s="414" t="s">
        <v>8237</v>
      </c>
      <c r="C147" s="148"/>
      <c r="D147" s="159"/>
      <c r="E147" s="159"/>
      <c r="F147" s="159"/>
      <c r="G147" s="159"/>
      <c r="H147" s="159"/>
      <c r="I147" s="159"/>
      <c r="J147" s="159"/>
      <c r="K147" s="165"/>
      <c r="L147" s="165"/>
      <c r="M147" s="165"/>
      <c r="N147" s="159"/>
      <c r="O147" s="159"/>
      <c r="P147" s="159"/>
      <c r="R147" s="159"/>
    </row>
    <row customHeight="1" ht="12">
      <c r="A148" s="148" t="s">
        <v>8020</v>
      </c>
      <c r="B148" s="414" t="s">
        <v>8238</v>
      </c>
      <c r="C148" s="148"/>
      <c r="D148" s="159"/>
      <c r="E148" s="159"/>
      <c r="F148" s="159"/>
      <c r="G148" s="159"/>
      <c r="H148" s="159"/>
      <c r="I148" s="159"/>
      <c r="J148" s="159"/>
      <c r="K148" s="165"/>
      <c r="L148" s="165"/>
      <c r="M148" s="165"/>
      <c r="N148" s="159"/>
      <c r="O148" s="159"/>
      <c r="P148" s="159"/>
      <c r="R148" s="159"/>
    </row>
    <row customHeight="1" ht="12">
      <c r="A149" s="148" t="s">
        <v>8024</v>
      </c>
      <c r="B149" s="414" t="s">
        <v>8239</v>
      </c>
      <c r="C149" s="148"/>
      <c r="D149" s="159"/>
      <c r="E149" s="159"/>
      <c r="F149" s="159"/>
      <c r="G149" s="159"/>
      <c r="H149" s="159"/>
      <c r="I149" s="159"/>
      <c r="J149" s="159"/>
      <c r="K149" s="165"/>
      <c r="L149" s="165"/>
      <c r="M149" s="165"/>
      <c r="N149" s="159"/>
      <c r="O149" s="159"/>
      <c r="P149" s="159"/>
      <c r="R149" s="159"/>
    </row>
    <row customHeight="1" ht="12">
      <c r="A150" s="148" t="s">
        <v>8027</v>
      </c>
      <c r="B150" s="414" t="s">
        <v>8240</v>
      </c>
      <c r="C150" s="148"/>
      <c r="D150" s="159"/>
      <c r="E150" s="159"/>
      <c r="F150" s="159"/>
      <c r="G150" s="159"/>
      <c r="H150" s="159"/>
      <c r="I150" s="159"/>
      <c r="J150" s="159"/>
      <c r="K150" s="165"/>
      <c r="L150" s="165"/>
      <c r="M150" s="165"/>
      <c r="N150" s="159"/>
      <c r="O150" s="159"/>
      <c r="P150" s="159"/>
      <c r="R150" s="159"/>
    </row>
    <row customHeight="1" ht="12">
      <c r="A151" s="148" t="s">
        <v>8030</v>
      </c>
      <c r="B151" s="414" t="s">
        <v>8241</v>
      </c>
      <c r="C151" s="148"/>
      <c r="D151" s="159"/>
      <c r="E151" s="159"/>
      <c r="F151" s="159"/>
      <c r="G151" s="159"/>
      <c r="H151" s="159"/>
      <c r="I151" s="159"/>
      <c r="J151" s="159"/>
      <c r="K151" s="165"/>
      <c r="L151" s="165"/>
      <c r="M151" s="165"/>
      <c r="N151" s="159"/>
      <c r="O151" s="159"/>
      <c r="P151" s="159"/>
      <c r="R151" s="159"/>
    </row>
    <row customHeight="1" ht="12">
      <c r="A152" s="148" t="s">
        <v>8033</v>
      </c>
      <c r="B152" s="414" t="s">
        <v>8242</v>
      </c>
      <c r="C152" s="148"/>
      <c r="D152" s="159"/>
      <c r="E152" s="159"/>
      <c r="F152" s="159"/>
      <c r="G152" s="159"/>
      <c r="H152" s="159"/>
      <c r="I152" s="159"/>
      <c r="J152" s="159"/>
      <c r="K152" s="165"/>
      <c r="L152" s="165"/>
      <c r="M152" s="165"/>
      <c r="N152" s="159"/>
      <c r="O152" s="159"/>
      <c r="P152" s="159"/>
      <c r="R152" s="159"/>
    </row>
    <row customHeight="1" ht="12">
      <c r="A153" s="148" t="s">
        <v>8037</v>
      </c>
      <c r="B153" s="414" t="s">
        <v>8243</v>
      </c>
      <c r="C153" s="148"/>
      <c r="D153" s="159"/>
      <c r="E153" s="159"/>
      <c r="F153" s="159"/>
      <c r="G153" s="159"/>
      <c r="H153" s="159"/>
      <c r="I153" s="159"/>
      <c r="J153" s="159"/>
      <c r="K153" s="165"/>
      <c r="L153" s="165"/>
      <c r="M153" s="165"/>
      <c r="N153" s="159"/>
      <c r="O153" s="159"/>
      <c r="P153" s="159"/>
      <c r="R153" s="159"/>
    </row>
    <row customHeight="1" ht="12">
      <c r="A154" s="148" t="s">
        <v>8040</v>
      </c>
      <c r="B154" s="414" t="s">
        <v>8244</v>
      </c>
      <c r="C154" s="148"/>
      <c r="D154" s="159"/>
      <c r="E154" s="159"/>
      <c r="F154" s="159"/>
      <c r="G154" s="159"/>
      <c r="H154" s="159"/>
      <c r="I154" s="159"/>
      <c r="J154" s="159"/>
      <c r="K154" s="165"/>
      <c r="L154" s="165"/>
      <c r="M154" s="165"/>
      <c r="N154" s="159"/>
      <c r="O154" s="159"/>
      <c r="P154" s="159"/>
      <c r="R154" s="159"/>
    </row>
    <row customHeight="1" ht="12">
      <c r="A155" s="148" t="s">
        <v>8043</v>
      </c>
      <c r="B155" s="414" t="s">
        <v>8245</v>
      </c>
      <c r="C155" s="148"/>
      <c r="D155" s="159"/>
      <c r="E155" s="159"/>
      <c r="F155" s="159"/>
      <c r="G155" s="159"/>
      <c r="H155" s="159"/>
      <c r="I155" s="159"/>
      <c r="J155" s="159"/>
      <c r="K155" s="165"/>
      <c r="L155" s="165"/>
      <c r="M155" s="165"/>
      <c r="N155" s="159"/>
      <c r="O155" s="159"/>
      <c r="P155" s="159"/>
      <c r="R155" s="159"/>
    </row>
    <row customHeight="1" ht="12">
      <c r="A156" s="148" t="s">
        <v>8046</v>
      </c>
      <c r="B156" s="414" t="s">
        <v>8246</v>
      </c>
      <c r="C156" s="148"/>
      <c r="D156" s="159"/>
      <c r="E156" s="159"/>
      <c r="F156" s="159"/>
      <c r="G156" s="159"/>
      <c r="H156" s="159"/>
      <c r="I156" s="159"/>
      <c r="J156" s="159"/>
      <c r="K156" s="165"/>
      <c r="L156" s="165"/>
      <c r="M156" s="165"/>
      <c r="N156" s="159"/>
      <c r="O156" s="159"/>
      <c r="P156" s="159"/>
      <c r="R156" s="159"/>
    </row>
    <row customHeight="1" ht="12">
      <c r="A157" s="148" t="s">
        <v>8050</v>
      </c>
      <c r="B157" s="414" t="s">
        <v>8247</v>
      </c>
      <c r="C157" s="148"/>
      <c r="D157" s="159"/>
      <c r="E157" s="159"/>
      <c r="F157" s="159"/>
      <c r="G157" s="159"/>
      <c r="H157" s="159"/>
      <c r="I157" s="159"/>
      <c r="J157" s="159"/>
      <c r="K157" s="165"/>
      <c r="L157" s="165"/>
      <c r="M157" s="165"/>
      <c r="N157" s="159"/>
      <c r="O157" s="159"/>
      <c r="P157" s="159"/>
      <c r="R157" s="159"/>
    </row>
    <row customHeight="1" ht="12">
      <c r="A158" s="148" t="s">
        <v>8053</v>
      </c>
      <c r="B158" s="414" t="s">
        <v>8248</v>
      </c>
      <c r="C158" s="148"/>
      <c r="D158" s="159"/>
      <c r="E158" s="159"/>
      <c r="F158" s="159"/>
      <c r="G158" s="159"/>
      <c r="H158" s="159"/>
      <c r="I158" s="159"/>
      <c r="J158" s="159"/>
      <c r="K158" s="165"/>
      <c r="L158" s="165"/>
      <c r="M158" s="165"/>
      <c r="N158" s="159"/>
      <c r="O158" s="159"/>
      <c r="P158" s="159"/>
      <c r="R158" s="159"/>
    </row>
    <row customHeight="1" ht="12">
      <c r="A159" s="148" t="s">
        <v>8057</v>
      </c>
      <c r="B159" s="414" t="s">
        <v>8249</v>
      </c>
      <c r="C159" s="148"/>
      <c r="D159" s="159"/>
      <c r="E159" s="159"/>
      <c r="F159" s="159"/>
      <c r="G159" s="159"/>
      <c r="H159" s="159"/>
      <c r="I159" s="159"/>
      <c r="J159" s="159"/>
      <c r="K159" s="165"/>
      <c r="L159" s="165"/>
      <c r="M159" s="165"/>
      <c r="N159" s="159"/>
      <c r="O159" s="159"/>
      <c r="P159" s="159"/>
      <c r="R159" s="159"/>
    </row>
    <row customHeight="1" ht="12">
      <c r="A160" s="148" t="s">
        <v>8060</v>
      </c>
      <c r="B160" s="414" t="s">
        <v>8250</v>
      </c>
      <c r="C160" s="148"/>
      <c r="D160" s="159"/>
      <c r="E160" s="159"/>
      <c r="F160" s="159"/>
      <c r="G160" s="159"/>
      <c r="H160" s="159"/>
      <c r="I160" s="159"/>
      <c r="J160" s="159"/>
      <c r="K160" s="165"/>
      <c r="L160" s="165"/>
      <c r="M160" s="165"/>
      <c r="N160" s="159"/>
      <c r="O160" s="159"/>
      <c r="P160" s="159"/>
      <c r="R160" s="159"/>
    </row>
    <row customHeight="1" ht="12">
      <c r="A161" s="148" t="s">
        <v>8063</v>
      </c>
      <c r="B161" s="414" t="s">
        <v>8251</v>
      </c>
      <c r="C161" s="148"/>
      <c r="D161" s="159"/>
      <c r="E161" s="159"/>
      <c r="F161" s="159"/>
      <c r="G161" s="159"/>
      <c r="H161" s="159"/>
      <c r="I161" s="159"/>
      <c r="J161" s="159"/>
      <c r="K161" s="165"/>
      <c r="L161" s="165"/>
      <c r="M161" s="165"/>
      <c r="N161" s="159"/>
      <c r="O161" s="159"/>
      <c r="P161" s="159"/>
      <c r="R161" s="159"/>
    </row>
    <row customHeight="1" ht="12">
      <c r="A162" s="148" t="s">
        <v>8066</v>
      </c>
      <c r="B162" s="414" t="s">
        <v>8252</v>
      </c>
      <c r="C162" s="148"/>
      <c r="D162" s="159"/>
      <c r="E162" s="159"/>
      <c r="F162" s="159"/>
      <c r="G162" s="159"/>
      <c r="H162" s="159"/>
      <c r="I162" s="159"/>
      <c r="J162" s="159"/>
      <c r="K162" s="165"/>
      <c r="L162" s="165"/>
      <c r="M162" s="165"/>
      <c r="N162" s="159"/>
      <c r="O162" s="159"/>
      <c r="P162" s="159"/>
      <c r="R162" s="159"/>
    </row>
    <row customHeight="1" ht="12">
      <c r="A163" s="148" t="s">
        <v>8069</v>
      </c>
      <c r="B163" s="414" t="s">
        <v>8253</v>
      </c>
      <c r="C163" s="148"/>
      <c r="D163" s="159"/>
      <c r="E163" s="159"/>
      <c r="F163" s="159"/>
      <c r="G163" s="159"/>
      <c r="H163" s="159"/>
      <c r="I163" s="159"/>
      <c r="J163" s="159"/>
      <c r="K163" s="165"/>
      <c r="L163" s="165"/>
      <c r="M163" s="165"/>
      <c r="N163" s="159"/>
      <c r="O163" s="159"/>
      <c r="P163" s="159"/>
      <c r="R163" s="159"/>
    </row>
    <row customHeight="1" ht="12">
      <c r="A164" s="148" t="s">
        <v>8072</v>
      </c>
      <c r="B164" s="414" t="s">
        <v>8254</v>
      </c>
      <c r="C164" s="148"/>
      <c r="D164" s="159"/>
      <c r="E164" s="159"/>
      <c r="F164" s="159"/>
      <c r="G164" s="159"/>
      <c r="H164" s="159"/>
      <c r="I164" s="159"/>
      <c r="J164" s="159"/>
      <c r="L164" s="165"/>
      <c r="M164" s="165"/>
      <c r="N164" s="159"/>
      <c r="O164" s="159"/>
      <c r="P164" s="159"/>
      <c r="R164" s="159"/>
    </row>
    <row customHeight="1" ht="12">
      <c r="A165" s="148" t="s">
        <v>8075</v>
      </c>
      <c r="B165" s="414" t="s">
        <v>8255</v>
      </c>
      <c r="C165" s="148"/>
      <c r="D165" s="159"/>
      <c r="E165" s="159"/>
      <c r="F165" s="159"/>
      <c r="G165" s="159"/>
      <c r="H165" s="159"/>
      <c r="I165" s="159"/>
      <c r="J165" s="159"/>
      <c r="L165" s="165"/>
      <c r="M165" s="165"/>
      <c r="N165" s="159"/>
      <c r="O165" s="159"/>
      <c r="P165" s="159"/>
      <c r="R165" s="159"/>
    </row>
    <row customHeight="1" ht="12">
      <c r="A166" s="148" t="s">
        <v>8078</v>
      </c>
      <c r="B166" s="414" t="s">
        <v>8256</v>
      </c>
      <c r="C166" s="148"/>
      <c r="D166" s="159"/>
      <c r="E166" s="159"/>
      <c r="F166" s="159"/>
      <c r="G166" s="159"/>
      <c r="H166" s="159"/>
      <c r="I166" s="159"/>
      <c r="J166" s="159"/>
      <c r="L166" s="165"/>
      <c r="M166" s="165"/>
      <c r="N166" s="159"/>
      <c r="O166" s="159"/>
      <c r="P166" s="159"/>
      <c r="R166" s="159"/>
    </row>
    <row customHeight="1" ht="12">
      <c r="A167" s="148" t="s">
        <v>8081</v>
      </c>
      <c r="B167" s="414" t="s">
        <v>8257</v>
      </c>
      <c r="C167" s="148"/>
      <c r="D167" s="159"/>
      <c r="E167" s="159"/>
      <c r="F167" s="159"/>
      <c r="G167" s="159"/>
      <c r="H167" s="159"/>
      <c r="I167" s="159"/>
      <c r="J167" s="159"/>
      <c r="L167" s="165"/>
      <c r="M167" s="165"/>
      <c r="N167" s="159"/>
      <c r="O167" s="159"/>
      <c r="P167" s="159"/>
      <c r="R167" s="159"/>
    </row>
    <row customHeight="1" ht="12">
      <c r="A168" s="148" t="s">
        <v>8084</v>
      </c>
      <c r="B168" s="414" t="s">
        <v>8258</v>
      </c>
      <c r="C168" s="148"/>
      <c r="D168" s="159"/>
      <c r="E168" s="159"/>
      <c r="F168" s="159"/>
      <c r="G168" s="159"/>
      <c r="H168" s="159"/>
      <c r="I168" s="159"/>
      <c r="J168" s="159"/>
      <c r="L168" s="165"/>
      <c r="M168" s="165"/>
      <c r="N168" s="159"/>
      <c r="O168" s="159"/>
      <c r="P168" s="159"/>
      <c r="R168" s="159"/>
    </row>
    <row customHeight="1" ht="12">
      <c r="A169" s="148" t="s">
        <v>8087</v>
      </c>
      <c r="B169" s="414" t="s">
        <v>8259</v>
      </c>
      <c r="C169" s="148"/>
      <c r="D169" s="159"/>
      <c r="E169" s="159"/>
      <c r="F169" s="159"/>
      <c r="H169" s="159"/>
      <c r="I169" s="159"/>
      <c r="J169" s="159"/>
      <c r="L169" s="165"/>
      <c r="M169" s="165"/>
      <c r="N169" s="159"/>
      <c r="O169" s="159"/>
      <c r="P169" s="159"/>
      <c r="R169" s="159"/>
    </row>
    <row customHeight="1" ht="12">
      <c r="A170" s="148" t="s">
        <v>8090</v>
      </c>
      <c r="B170" s="414" t="s">
        <v>8260</v>
      </c>
      <c r="C170" s="148"/>
      <c r="D170" s="159"/>
      <c r="E170" s="159"/>
      <c r="F170" s="159"/>
      <c r="H170" s="159"/>
      <c r="I170" s="159"/>
      <c r="J170" s="159"/>
      <c r="L170" s="165"/>
      <c r="M170" s="165"/>
      <c r="N170" s="159"/>
      <c r="O170" s="159"/>
      <c r="P170" s="159"/>
      <c r="R170" s="159"/>
    </row>
    <row customHeight="1" ht="12">
      <c r="A171" s="148" t="s">
        <v>8093</v>
      </c>
      <c r="B171" s="414" t="s">
        <v>8261</v>
      </c>
      <c r="C171" s="148"/>
      <c r="D171" s="159"/>
      <c r="E171" s="159"/>
      <c r="F171" s="159"/>
      <c r="H171" s="159"/>
      <c r="I171" s="159"/>
      <c r="J171" s="159"/>
      <c r="L171" s="165"/>
      <c r="M171" s="165"/>
      <c r="N171" s="159"/>
      <c r="O171" s="159"/>
      <c r="P171" s="159"/>
      <c r="R171" s="159"/>
    </row>
    <row customHeight="1" ht="12">
      <c r="A172" s="148" t="s">
        <v>8095</v>
      </c>
      <c r="B172" s="414" t="s">
        <v>8262</v>
      </c>
      <c r="C172" s="148"/>
      <c r="D172" s="159"/>
      <c r="E172" s="159"/>
      <c r="F172" s="159"/>
      <c r="H172" s="159"/>
      <c r="I172" s="159"/>
      <c r="J172" s="159"/>
      <c r="L172" s="165"/>
      <c r="M172" s="165"/>
      <c r="N172" s="159"/>
      <c r="O172" s="159"/>
      <c r="P172" s="159"/>
      <c r="R172" s="159"/>
    </row>
    <row customHeight="1" ht="12">
      <c r="A173" s="148" t="s">
        <v>8097</v>
      </c>
      <c r="B173" s="414" t="s">
        <v>8263</v>
      </c>
      <c r="C173" s="148"/>
      <c r="D173" s="159"/>
      <c r="E173" s="159"/>
      <c r="F173" s="159"/>
      <c r="H173" s="159"/>
      <c r="I173" s="159"/>
      <c r="J173" s="159"/>
      <c r="L173" s="165"/>
      <c r="M173" s="165"/>
      <c r="N173" s="159"/>
      <c r="O173" s="159"/>
      <c r="P173" s="159"/>
      <c r="R173" s="159"/>
    </row>
    <row customHeight="1" ht="12">
      <c r="A174" s="148" t="s">
        <v>8100</v>
      </c>
      <c r="B174" s="414" t="s">
        <v>8264</v>
      </c>
      <c r="C174" s="148"/>
      <c r="D174" s="159"/>
      <c r="E174" s="159"/>
      <c r="F174" s="159"/>
      <c r="H174" s="159"/>
      <c r="I174" s="159"/>
      <c r="J174" s="159"/>
      <c r="L174" s="165"/>
      <c r="M174" s="165"/>
      <c r="N174" s="159"/>
      <c r="O174" s="159"/>
      <c r="P174" s="159"/>
      <c r="R174" s="159"/>
    </row>
    <row customHeight="1" ht="12">
      <c r="A175" s="148" t="s">
        <v>8103</v>
      </c>
      <c r="B175" s="414" t="s">
        <v>8265</v>
      </c>
      <c r="C175" s="148"/>
      <c r="D175" s="159"/>
      <c r="E175" s="159"/>
      <c r="F175" s="159"/>
      <c r="H175" s="159"/>
      <c r="I175" s="159"/>
      <c r="J175" s="159"/>
      <c r="L175" s="165"/>
      <c r="M175" s="165"/>
      <c r="N175" s="159"/>
      <c r="O175" s="159"/>
      <c r="P175" s="159"/>
      <c r="R175" s="159"/>
    </row>
    <row customHeight="1" ht="12">
      <c r="A176" s="148" t="s">
        <v>8106</v>
      </c>
      <c r="B176" s="414" t="s">
        <v>8266</v>
      </c>
      <c r="C176" s="148"/>
    </row>
    <row customHeight="1" ht="12">
      <c r="A177" s="148" t="s">
        <v>8109</v>
      </c>
      <c r="B177" s="414" t="s">
        <v>8267</v>
      </c>
      <c r="C177" s="148"/>
    </row>
    <row customHeight="1" ht="12">
      <c r="A178" s="148" t="s">
        <v>8112</v>
      </c>
      <c r="B178" s="414" t="s">
        <v>8268</v>
      </c>
      <c r="C178" s="148"/>
    </row>
    <row customHeight="1" ht="12">
      <c r="A179" s="148" t="s">
        <v>8115</v>
      </c>
      <c r="B179" s="414" t="s">
        <v>8269</v>
      </c>
      <c r="C179" s="148"/>
    </row>
    <row customHeight="1" ht="12">
      <c r="A180" s="148" t="s">
        <v>8119</v>
      </c>
      <c r="B180" s="414" t="s">
        <v>8270</v>
      </c>
      <c r="C180" s="148"/>
    </row>
    <row customHeight="1" ht="12">
      <c r="A181" s="148" t="s">
        <v>8123</v>
      </c>
      <c r="B181" s="414" t="s">
        <v>8271</v>
      </c>
      <c r="C181" s="148"/>
    </row>
    <row customHeight="1" ht="12">
      <c r="A182" s="148" t="s">
        <v>8126</v>
      </c>
      <c r="B182" s="414" t="s">
        <v>8272</v>
      </c>
      <c r="C182" s="148"/>
    </row>
    <row customHeight="1" ht="12">
      <c r="A183" s="148" t="s">
        <v>8129</v>
      </c>
      <c r="B183" s="414" t="s">
        <v>8273</v>
      </c>
      <c r="C183" s="148"/>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A2BACF9-D7B2-FFF8-D988-B71092039FC8}" mc:Ignorable="x14ac xr xr2 xr3">
  <sheetPr>
    <tabColor rgb="FFFFCC99"/>
  </sheetPr>
  <dimension ref="A1:A5"/>
  <sheetViews>
    <sheetView topLeftCell="A1" workbookViewId="0">
      <selection activeCell="A1" sqref="A1"/>
    </sheetView>
  </sheetViews>
  <sheetFormatPr defaultColWidth="8.8515625" customHeight="1" defaultRowHeight="15"/>
  <sheetData>
    <row customHeight="1" ht="15">
      <c r="A1" s="0" t="s">
        <v>8274</v>
      </c>
    </row>
    <row customHeight="1" ht="15">
      <c r="A2" s="0" t="s">
        <v>8275</v>
      </c>
    </row>
    <row customHeight="1" ht="15">
      <c r="A3" s="0" t="s">
        <v>8276</v>
      </c>
    </row>
    <row customHeight="1" ht="15">
      <c r="A4" s="0" t="s">
        <v>8277</v>
      </c>
    </row>
    <row customHeight="1" ht="15">
      <c r="A5" s="0" t="s">
        <v>8278</v>
      </c>
    </row>
  </sheetData>
  <sheetProtection sort="0" autoFilter="0" insertRows="0" insertColumns="1" deleteRows="0" deleteColum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85C968D-40E6-F388-3167-F265F99FF788}" mc:Ignorable="x14ac xr xr2 xr3">
  <sheetPr>
    <tabColor rgb="FFFFCC99"/>
  </sheetPr>
  <dimension ref="A1:A16"/>
  <sheetViews>
    <sheetView topLeftCell="A1" workbookViewId="0">
      <selection activeCell="A1" sqref="A1"/>
    </sheetView>
  </sheetViews>
  <sheetFormatPr defaultColWidth="8.8515625" customHeight="1" defaultRowHeight="15"/>
  <sheetData>
    <row customHeight="1" ht="15">
      <c r="A1" s="0" t="s">
        <v>8279</v>
      </c>
    </row>
    <row customHeight="1" ht="15">
      <c r="A2" s="0" t="s">
        <v>375</v>
      </c>
    </row>
    <row customHeight="1" ht="15">
      <c r="A3" s="0" t="s">
        <v>7526</v>
      </c>
    </row>
    <row customHeight="1" ht="15">
      <c r="A4" s="0" t="s">
        <v>7530</v>
      </c>
    </row>
    <row customHeight="1" ht="15">
      <c r="A5" s="0" t="s">
        <v>8280</v>
      </c>
    </row>
    <row customHeight="1" ht="15">
      <c r="A6" s="0" t="s">
        <v>305</v>
      </c>
    </row>
    <row customHeight="1" ht="15">
      <c r="A7" s="0" t="s">
        <v>297</v>
      </c>
    </row>
    <row customHeight="1" ht="15">
      <c r="A8" s="0" t="s">
        <v>8281</v>
      </c>
    </row>
    <row customHeight="1" ht="15">
      <c r="A9" s="0" t="s">
        <v>308</v>
      </c>
    </row>
    <row customHeight="1" ht="15">
      <c r="A10" s="0" t="s">
        <v>8282</v>
      </c>
    </row>
    <row customHeight="1" ht="15">
      <c r="A11" s="0" t="s">
        <v>8283</v>
      </c>
    </row>
    <row customHeight="1" ht="15">
      <c r="A12" s="0" t="s">
        <v>8284</v>
      </c>
    </row>
    <row customHeight="1" ht="15">
      <c r="A13" s="0" t="s">
        <v>8285</v>
      </c>
    </row>
    <row customHeight="1" ht="15">
      <c r="A14" s="0" t="s">
        <v>8286</v>
      </c>
    </row>
    <row customHeight="1" ht="15">
      <c r="A15" s="0" t="s">
        <v>8287</v>
      </c>
    </row>
    <row customHeight="1" ht="15">
      <c r="A16" s="0" t="s">
        <v>8288</v>
      </c>
    </row>
  </sheetData>
  <sheetProtection sort="0" autoFilter="0" insertRows="0" insertColumns="1" deleteRows="0" deleteColum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943C08-E138-D508-1B1E-5D6CD4C92358}" mc:Ignorable="x14ac xr xr2 xr3">
  <sheetPr>
    <tabColor rgb="FFFFCC99"/>
  </sheetPr>
  <dimension ref="A1:A85"/>
  <sheetViews>
    <sheetView topLeftCell="A1" workbookViewId="0">
      <selection activeCell="A1" sqref="A1"/>
    </sheetView>
  </sheetViews>
  <sheetFormatPr defaultColWidth="8.8515625" customHeight="1" defaultRowHeight="15"/>
  <sheetData>
    <row customHeight="1" ht="15">
      <c r="A1" s="0" t="s">
        <v>8274</v>
      </c>
    </row>
    <row customHeight="1" ht="15">
      <c r="A2" s="0" t="s">
        <v>8289</v>
      </c>
    </row>
    <row customHeight="1" ht="15">
      <c r="A3" s="0" t="s">
        <v>8290</v>
      </c>
    </row>
    <row customHeight="1" ht="15">
      <c r="A4" s="0" t="s">
        <v>8291</v>
      </c>
    </row>
    <row customHeight="1" ht="15">
      <c r="A5" s="0" t="s">
        <v>8292</v>
      </c>
    </row>
    <row customHeight="1" ht="15">
      <c r="A6" s="0" t="s">
        <v>8293</v>
      </c>
    </row>
    <row customHeight="1" ht="15">
      <c r="A7" s="0" t="s">
        <v>8294</v>
      </c>
    </row>
    <row customHeight="1" ht="15">
      <c r="A8" s="0" t="s">
        <v>8295</v>
      </c>
    </row>
    <row customHeight="1" ht="15">
      <c r="A9" s="0" t="s">
        <v>8296</v>
      </c>
    </row>
    <row customHeight="1" ht="15">
      <c r="A10" s="0" t="s">
        <v>8297</v>
      </c>
    </row>
    <row customHeight="1" ht="15">
      <c r="A11" s="0" t="s">
        <v>8298</v>
      </c>
    </row>
    <row customHeight="1" ht="15">
      <c r="A12" s="0" t="s">
        <v>8299</v>
      </c>
    </row>
    <row customHeight="1" ht="15">
      <c r="A13" s="0" t="s">
        <v>8300</v>
      </c>
    </row>
    <row customHeight="1" ht="15">
      <c r="A14" s="0" t="s">
        <v>8301</v>
      </c>
    </row>
    <row customHeight="1" ht="15">
      <c r="A15" s="0" t="s">
        <v>8302</v>
      </c>
    </row>
    <row customHeight="1" ht="15">
      <c r="A16" s="0" t="s">
        <v>8303</v>
      </c>
    </row>
    <row customHeight="1" ht="15">
      <c r="A17" s="0" t="s">
        <v>8304</v>
      </c>
    </row>
    <row customHeight="1" ht="15">
      <c r="A18" s="0" t="s">
        <v>8305</v>
      </c>
    </row>
    <row customHeight="1" ht="15">
      <c r="A19" s="0" t="s">
        <v>8306</v>
      </c>
    </row>
    <row customHeight="1" ht="15">
      <c r="A20" s="0" t="s">
        <v>8307</v>
      </c>
    </row>
    <row customHeight="1" ht="15">
      <c r="A21" s="0" t="s">
        <v>8308</v>
      </c>
    </row>
    <row customHeight="1" ht="15">
      <c r="A22" s="0" t="s">
        <v>8309</v>
      </c>
    </row>
    <row customHeight="1" ht="15">
      <c r="A23" s="0" t="s">
        <v>8310</v>
      </c>
    </row>
    <row customHeight="1" ht="15">
      <c r="A24" s="0" t="s">
        <v>8311</v>
      </c>
    </row>
    <row customHeight="1" ht="15">
      <c r="A25" s="0" t="s">
        <v>8312</v>
      </c>
    </row>
    <row customHeight="1" ht="15">
      <c r="A26" s="0" t="s">
        <v>8313</v>
      </c>
    </row>
    <row customHeight="1" ht="15">
      <c r="A27" s="0" t="s">
        <v>8314</v>
      </c>
    </row>
    <row customHeight="1" ht="15">
      <c r="A28" s="0" t="s">
        <v>8315</v>
      </c>
    </row>
    <row customHeight="1" ht="15">
      <c r="A29" s="0" t="s">
        <v>8316</v>
      </c>
    </row>
    <row customHeight="1" ht="15">
      <c r="A30" s="0" t="s">
        <v>8317</v>
      </c>
    </row>
    <row customHeight="1" ht="15">
      <c r="A31" s="0" t="s">
        <v>8318</v>
      </c>
    </row>
    <row customHeight="1" ht="15">
      <c r="A32" s="0" t="s">
        <v>8319</v>
      </c>
    </row>
    <row customHeight="1" ht="15">
      <c r="A33" s="0" t="s">
        <v>8320</v>
      </c>
    </row>
    <row customHeight="1" ht="15">
      <c r="A34" s="0" t="s">
        <v>8321</v>
      </c>
    </row>
    <row customHeight="1" ht="15">
      <c r="A35" s="0" t="s">
        <v>8322</v>
      </c>
    </row>
    <row customHeight="1" ht="15">
      <c r="A36" s="0" t="s">
        <v>8323</v>
      </c>
    </row>
    <row customHeight="1" ht="15">
      <c r="A37" s="0" t="s">
        <v>8324</v>
      </c>
    </row>
    <row customHeight="1" ht="15">
      <c r="A38" s="0" t="s">
        <v>8325</v>
      </c>
    </row>
    <row customHeight="1" ht="15">
      <c r="A39" s="0" t="s">
        <v>8326</v>
      </c>
    </row>
    <row customHeight="1" ht="15">
      <c r="A40" s="0" t="s">
        <v>8327</v>
      </c>
    </row>
    <row customHeight="1" ht="15">
      <c r="A41" s="0" t="s">
        <v>8328</v>
      </c>
    </row>
    <row customHeight="1" ht="15">
      <c r="A42" s="0" t="s">
        <v>8329</v>
      </c>
    </row>
    <row customHeight="1" ht="15">
      <c r="A43" s="0" t="s">
        <v>8330</v>
      </c>
    </row>
    <row customHeight="1" ht="15">
      <c r="A44" s="0" t="s">
        <v>8331</v>
      </c>
    </row>
    <row customHeight="1" ht="15">
      <c r="A45" s="0" t="s">
        <v>8332</v>
      </c>
    </row>
    <row customHeight="1" ht="15">
      <c r="A46" s="0" t="s">
        <v>8333</v>
      </c>
    </row>
    <row customHeight="1" ht="15">
      <c r="A47" s="0" t="s">
        <v>8334</v>
      </c>
    </row>
    <row customHeight="1" ht="15">
      <c r="A48" s="0" t="s">
        <v>8335</v>
      </c>
    </row>
    <row customHeight="1" ht="15">
      <c r="A49" s="0" t="s">
        <v>8336</v>
      </c>
    </row>
    <row customHeight="1" ht="15">
      <c r="A50" s="0" t="s">
        <v>8337</v>
      </c>
    </row>
    <row customHeight="1" ht="15">
      <c r="A51" s="0" t="s">
        <v>8338</v>
      </c>
    </row>
    <row customHeight="1" ht="15">
      <c r="A52" s="0" t="s">
        <v>8339</v>
      </c>
    </row>
    <row customHeight="1" ht="15">
      <c r="A53" s="0" t="s">
        <v>8340</v>
      </c>
    </row>
    <row customHeight="1" ht="15">
      <c r="A54" s="0" t="s">
        <v>8341</v>
      </c>
    </row>
    <row customHeight="1" ht="15">
      <c r="A55" s="0" t="s">
        <v>8342</v>
      </c>
    </row>
    <row customHeight="1" ht="15">
      <c r="A56" s="0" t="s">
        <v>8343</v>
      </c>
    </row>
    <row customHeight="1" ht="15">
      <c r="A57" s="0" t="s">
        <v>8344</v>
      </c>
    </row>
    <row customHeight="1" ht="15">
      <c r="A58" s="0" t="s">
        <v>8345</v>
      </c>
    </row>
    <row customHeight="1" ht="15">
      <c r="A59" s="0" t="s">
        <v>8346</v>
      </c>
    </row>
    <row customHeight="1" ht="15">
      <c r="A60" s="0" t="s">
        <v>8347</v>
      </c>
    </row>
    <row customHeight="1" ht="15">
      <c r="A61" s="0" t="s">
        <v>8348</v>
      </c>
    </row>
    <row customHeight="1" ht="15">
      <c r="A62" s="0" t="s">
        <v>8349</v>
      </c>
    </row>
    <row customHeight="1" ht="15">
      <c r="A63" s="0" t="s">
        <v>8350</v>
      </c>
    </row>
    <row customHeight="1" ht="15">
      <c r="A64" s="0" t="s">
        <v>8351</v>
      </c>
    </row>
    <row customHeight="1" ht="15">
      <c r="A65" s="0" t="s">
        <v>8352</v>
      </c>
    </row>
    <row customHeight="1" ht="15">
      <c r="A66" s="0" t="s">
        <v>8353</v>
      </c>
    </row>
    <row customHeight="1" ht="15">
      <c r="A67" s="0" t="s">
        <v>8354</v>
      </c>
    </row>
    <row customHeight="1" ht="15">
      <c r="A68" s="0" t="s">
        <v>8355</v>
      </c>
    </row>
    <row customHeight="1" ht="15">
      <c r="A69" s="0" t="s">
        <v>8356</v>
      </c>
    </row>
    <row customHeight="1" ht="15">
      <c r="A70" s="0" t="s">
        <v>8357</v>
      </c>
    </row>
    <row customHeight="1" ht="15">
      <c r="A71" s="0" t="s">
        <v>8358</v>
      </c>
    </row>
    <row customHeight="1" ht="15">
      <c r="A72" s="0" t="s">
        <v>8359</v>
      </c>
    </row>
    <row customHeight="1" ht="15">
      <c r="A73" s="0" t="s">
        <v>8360</v>
      </c>
    </row>
    <row customHeight="1" ht="15">
      <c r="A74" s="0" t="s">
        <v>8361</v>
      </c>
    </row>
    <row customHeight="1" ht="15">
      <c r="A75" s="0" t="s">
        <v>8362</v>
      </c>
    </row>
    <row customHeight="1" ht="15">
      <c r="A76" s="0" t="s">
        <v>8363</v>
      </c>
    </row>
    <row customHeight="1" ht="15">
      <c r="A77" s="0" t="s">
        <v>8364</v>
      </c>
    </row>
    <row customHeight="1" ht="15">
      <c r="A78" s="0" t="s">
        <v>8365</v>
      </c>
    </row>
    <row customHeight="1" ht="15">
      <c r="A79" s="0" t="s">
        <v>8366</v>
      </c>
    </row>
    <row customHeight="1" ht="15">
      <c r="A80" s="0" t="s">
        <v>8367</v>
      </c>
    </row>
    <row customHeight="1" ht="15">
      <c r="A81" s="0" t="s">
        <v>8368</v>
      </c>
    </row>
    <row customHeight="1" ht="15">
      <c r="A82" s="0" t="s">
        <v>8369</v>
      </c>
    </row>
    <row customHeight="1" ht="15">
      <c r="A83" s="0" t="s">
        <v>8370</v>
      </c>
    </row>
    <row customHeight="1" ht="15">
      <c r="A84" s="0" t="s">
        <v>8371</v>
      </c>
    </row>
    <row customHeight="1" ht="15">
      <c r="A85" s="0" t="s">
        <v>724</v>
      </c>
    </row>
  </sheetData>
  <sheetProtection sort="0" autoFilter="0" insertRows="0" insertColumns="1" deleteRows="0" deleteColum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754494A-CE38-6428-4C08-57502214AA88}" mc:Ignorable="x14ac xr xr2 xr3">
  <sheetPr>
    <tabColor rgb="FF000001"/>
  </sheetPr>
  <dimension ref="A1:T200"/>
  <sheetViews>
    <sheetView topLeftCell="T1" zoomScale="170" workbookViewId="0">
      <selection activeCell="A4" sqref="A4"/>
    </sheetView>
  </sheetViews>
  <sheetFormatPr defaultColWidth="8.8515625" customHeight="1" defaultRowHeight="15"/>
  <sheetData>
    <row r="4" customHeight="1" ht="15">
      <c r="A4" s="6736"/>
    </row>
    <row customHeight="1" ht="15">
      <c r="B5" s="6736"/>
    </row>
  </sheetData>
  <sheetProtection sort="0" autoFilter="0" insertRows="0" deleteRows="0" deleteColumns="0"/>
  <pageSetup pageOrder="overThenDown"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42</vt:i4>
      </vt:variant>
      <vt:variant>
        <vt:lpstr>Именованные диапазоны</vt:lpstr>
      </vt:variant>
      <vt:variant>
        <vt:i4>569</vt:i4>
      </vt:variant>
    </vt:vector>
  </HeadingPairs>
  <TitlesOfParts>
    <vt:vector size="611" baseType="lpstr">
      <vt:lpstr>Информация JSON</vt:lpstr>
      <vt:lpstr>Инструкция</vt:lpstr>
      <vt:lpstr>Пояснения</vt:lpstr>
      <vt:lpstr>Список листов</vt:lpstr>
      <vt:lpstr>Общие сведения</vt:lpstr>
      <vt:lpstr>Список территорий</vt:lpstr>
      <vt:lpstr>Перечень объектов</vt:lpstr>
      <vt:lpstr>Список объектов</vt:lpstr>
      <vt:lpstr>Сценарии</vt:lpstr>
      <vt:lpstr>ИИКА</vt:lpstr>
      <vt:lpstr>Баланс</vt:lpstr>
      <vt:lpstr>Условные метры</vt:lpstr>
      <vt:lpstr>Сырье и материалы</vt:lpstr>
      <vt:lpstr>ЭЭ</vt:lpstr>
      <vt:lpstr>Амортизация</vt:lpstr>
      <vt:lpstr>Аренда</vt:lpstr>
      <vt:lpstr>Амортизация (аналог)</vt:lpstr>
      <vt:lpstr>Покупка</vt:lpstr>
      <vt:lpstr>ФОТ</vt:lpstr>
      <vt:lpstr>Административные</vt:lpstr>
      <vt:lpstr>Сбытовые расходы ГО</vt:lpstr>
      <vt:lpstr>Налоги</vt:lpstr>
      <vt:lpstr>ИП + источники</vt:lpstr>
      <vt:lpstr>Экономия_корр</vt:lpstr>
      <vt:lpstr>Плата за негативное возд</vt:lpstr>
      <vt:lpstr>Корректировка НВВ</vt:lpstr>
      <vt:lpstr>ТМ</vt:lpstr>
      <vt:lpstr>Калькуляция (МЭОР)</vt:lpstr>
      <vt:lpstr>Калькуляция (МИ)</vt:lpstr>
      <vt:lpstr>Калькуляция (МИ корр)</vt:lpstr>
      <vt:lpstr>ДПР</vt:lpstr>
      <vt:lpstr>ДПР (концессии)</vt:lpstr>
      <vt:lpstr>ГО</vt:lpstr>
      <vt:lpstr>Калькуляция (МСА)</vt:lpstr>
      <vt:lpstr>Комментарии</vt:lpstr>
      <vt:lpstr>REESTR_MO</vt:lpstr>
      <vt:lpstr>REESTR_ORG</vt:lpstr>
      <vt:lpstr>REESTR_OBJECT</vt:lpstr>
      <vt:lpstr>REESTR_ROIV_OMS</vt:lpstr>
      <vt:lpstr>REESTR_TARIFF</vt:lpstr>
      <vt:lpstr>DICTIONARIES</vt:lpstr>
      <vt:lpstr>TEHSHEET</vt:lpstr>
      <vt:lpstr>'Список территорий'!_ФильтрБазыДанных</vt:lpstr>
      <vt:lpstr>AdminExpenses_LOAD_2</vt:lpstr>
      <vt:lpstr>AdminExpenses_pIns_comm</vt:lpstr>
      <vt:lpstr>AdminExpenses_vis_flags</vt:lpstr>
      <vt:lpstr>AdminiExpenses_LOAD_1</vt:lpstr>
      <vt:lpstr>Amortization_LOAD_1</vt:lpstr>
      <vt:lpstr>Amortization_LOAD_2</vt:lpstr>
      <vt:lpstr>Amortization_pIns_comm</vt:lpstr>
      <vt:lpstr>Amortization_vis_flags</vt:lpstr>
      <vt:lpstr>AUTHORIZED_PERSON_EMAIL</vt:lpstr>
      <vt:lpstr>AUTHORIZED_PERSON_FIO</vt:lpstr>
      <vt:lpstr>AUTHORIZED_PERSON_PHONE</vt:lpstr>
      <vt:lpstr>AUTHORIZED_PERSON_POSITION</vt:lpstr>
      <vt:lpstr>Balance_vis_flags</vt:lpstr>
      <vt:lpstr>Calculation_LOAD_1</vt:lpstr>
      <vt:lpstr>Calculation_LOAD_2</vt:lpstr>
      <vt:lpstr>Calculation_pIns_comm</vt:lpstr>
      <vt:lpstr>Calculation_vis_flags</vt:lpstr>
      <vt:lpstr>Calculation_vis_flags2</vt:lpstr>
      <vt:lpstr>code</vt:lpstr>
      <vt:lpstr>COLDVSNA_TRANSP_VTOV</vt:lpstr>
      <vt:lpstr>COLDVSNA_VDET_LIST</vt:lpstr>
      <vt:lpstr>COLDVSNA_VTARIFF</vt:lpstr>
      <vt:lpstr>COLDVSNA_VTOV</vt:lpstr>
      <vt:lpstr>diametr_list</vt:lpstr>
      <vt:lpstr>diametr_list_vo</vt:lpstr>
      <vt:lpstr>diametr_list_vs</vt:lpstr>
      <vt:lpstr>DOCUMENT_TYPES</vt:lpstr>
      <vt:lpstr>DPR_check_range1</vt:lpstr>
      <vt:lpstr>DPR_ee_divide</vt:lpstr>
      <vt:lpstr>dpr_list</vt:lpstr>
      <vt:lpstr>DPR_LOAD_1</vt:lpstr>
      <vt:lpstr>DPR_pIns_comm</vt:lpstr>
      <vt:lpstr>DPR_vis_flags</vt:lpstr>
      <vt:lpstr>DPR_vis_flags2</vt:lpstr>
      <vt:lpstr>DPRConcessions_LOAD_1</vt:lpstr>
      <vt:lpstr>DPRConcessions_pIns_comm</vt:lpstr>
      <vt:lpstr>DPRConcessions_vis_flags</vt:lpstr>
      <vt:lpstr>DPRConcessions_vis_flags2</vt:lpstr>
      <vt:lpstr>Electricity_LOAD_1</vt:lpstr>
      <vt:lpstr>Electricity_vis_flags</vt:lpstr>
      <vt:lpstr>entityName</vt:lpstr>
      <vt:lpstr>et_AdminExpenses_tariff</vt:lpstr>
      <vt:lpstr>et_Amortization_tariff</vt:lpstr>
      <vt:lpstr>et_Balance_tariff_vo</vt:lpstr>
      <vt:lpstr>et_Balance_tariff_vo_transp</vt:lpstr>
      <vt:lpstr>et_Balance_tariff_vs</vt:lpstr>
      <vt:lpstr>et_Balance_tariff_vs_transp</vt:lpstr>
      <vt:lpstr>et_Calculation_tariff</vt:lpstr>
      <vt:lpstr>et_DPR_tariff_vs</vt:lpstr>
      <vt:lpstr>et_DPRConcessions_block</vt:lpstr>
      <vt:lpstr>et_DPRConcessions_tariff</vt:lpstr>
      <vt:lpstr>et_GeneralInfo_fio</vt:lpstr>
      <vt:lpstr>et_GeneralInfo_tariff</vt:lpstr>
      <vt:lpstr>et_InvestmentSources_tariff</vt:lpstr>
      <vt:lpstr>et_NegativeImpactFee_tariff</vt:lpstr>
      <vt:lpstr>et_NVVCorrection_tariff</vt:lpstr>
      <vt:lpstr>et_ObjectList_obj</vt:lpstr>
      <vt:lpstr>et_ObjectList_tariff_vs</vt:lpstr>
      <vt:lpstr>et_Purchase_org2</vt:lpstr>
      <vt:lpstr>et_Purchase_org3</vt:lpstr>
      <vt:lpstr>et_Purchase_org4</vt:lpstr>
      <vt:lpstr>et_Purchase_org5</vt:lpstr>
      <vt:lpstr>et_Purchase_tariff</vt:lpstr>
      <vt:lpstr>et_Reagents_reagent</vt:lpstr>
      <vt:lpstr>et_Reagents_tariff</vt:lpstr>
      <vt:lpstr>et_Rent_tariff</vt:lpstr>
      <vt:lpstr>et_SalesExpensesGO_1</vt:lpstr>
      <vt:lpstr>et_SalesExpensesGO_tariff</vt:lpstr>
      <vt:lpstr>et_SavingsCorrection_tariff</vt:lpstr>
      <vt:lpstr>et_Scenarios_tariff</vt:lpstr>
      <vt:lpstr>et_tariff_Iika</vt:lpstr>
      <vt:lpstr>et_Taxes_tariff</vt:lpstr>
      <vt:lpstr>et_TerritoryList_tariff</vt:lpstr>
      <vt:lpstr>et_TM_tariff</vt:lpstr>
      <vt:lpstr>et_TM_tariff_transp</vt:lpstr>
      <vt:lpstr>et_WageFund_dolj</vt:lpstr>
      <vt:lpstr>et_WageFund_tariff</vt:lpstr>
      <vt:lpstr>FIRST_TIME_REG</vt:lpstr>
      <vt:lpstr>first_year</vt:lpstr>
      <vt:lpstr>flag_end_AdminExpenses</vt:lpstr>
      <vt:lpstr>flag_end_AmorAnalog</vt:lpstr>
      <vt:lpstr>flag_end_Amortization</vt:lpstr>
      <vt:lpstr>flag_end_Balance</vt:lpstr>
      <vt:lpstr>flag_end_CalcMeor</vt:lpstr>
      <vt:lpstr>flag_end_CalcMiCorr</vt:lpstr>
      <vt:lpstr>flag_end_Calculation</vt:lpstr>
      <vt:lpstr>flag_end_Comments</vt:lpstr>
      <vt:lpstr>flag_end_DPR</vt:lpstr>
      <vt:lpstr>flag_end_DPRConcessions</vt:lpstr>
      <vt:lpstr>flag_end_Electricity</vt:lpstr>
      <vt:lpstr>flag_end_Explanations</vt:lpstr>
      <vt:lpstr>flag_end_GeneralInfo</vt:lpstr>
      <vt:lpstr>flag_end_GO</vt:lpstr>
      <vt:lpstr>flag_end_iika</vt:lpstr>
      <vt:lpstr>flag_end_InvestmentSources</vt:lpstr>
      <vt:lpstr>flag_end_NegativeImpactFee</vt:lpstr>
      <vt:lpstr>flag_end_NVVCorrection</vt:lpstr>
      <vt:lpstr>flag_end_ObjectList</vt:lpstr>
      <vt:lpstr>flag_end_Objects</vt:lpstr>
      <vt:lpstr>flag_end_Purchase</vt:lpstr>
      <vt:lpstr>flag_end_Reagents</vt:lpstr>
      <vt:lpstr>flag_end_Rent</vt:lpstr>
      <vt:lpstr>flag_end_SalesExpensesGO</vt:lpstr>
      <vt:lpstr>flag_end_SavingsCorrection</vt:lpstr>
      <vt:lpstr>flag_end_Scenarios</vt:lpstr>
      <vt:lpstr>flag_end_SheetList</vt:lpstr>
      <vt:lpstr>flag_end_TariffCalcMsa</vt:lpstr>
      <vt:lpstr>flag_end_Taxes</vt:lpstr>
      <vt:lpstr>flag_end_TerritoryList</vt:lpstr>
      <vt:lpstr>flag_end_TM</vt:lpstr>
      <vt:lpstr>flag_end_uslmetr</vt:lpstr>
      <vt:lpstr>flag_end_WageFund</vt:lpstr>
      <vt:lpstr>flag_size_AdminExpenses</vt:lpstr>
      <vt:lpstr>flag_size_AmorAnalog</vt:lpstr>
      <vt:lpstr>flag_size_Amortization</vt:lpstr>
      <vt:lpstr>flag_size_Balance</vt:lpstr>
      <vt:lpstr>flag_size_CalcMeor</vt:lpstr>
      <vt:lpstr>flag_size_CalcMiCorr</vt:lpstr>
      <vt:lpstr>flag_size_Calculation</vt:lpstr>
      <vt:lpstr>flag_size_Comments</vt:lpstr>
      <vt:lpstr>flag_size_DPR</vt:lpstr>
      <vt:lpstr>flag_size_DPRConcessions</vt:lpstr>
      <vt:lpstr>flag_size_Electricity</vt:lpstr>
      <vt:lpstr>flag_size_Explanations</vt:lpstr>
      <vt:lpstr>flag_size_GeneralInfo</vt:lpstr>
      <vt:lpstr>flag_size_GO</vt:lpstr>
      <vt:lpstr>flag_size_iika</vt:lpstr>
      <vt:lpstr>flag_size_InvestmentSources</vt:lpstr>
      <vt:lpstr>flag_size_NegativeImpactFee</vt:lpstr>
      <vt:lpstr>flag_size_NVVCorrection</vt:lpstr>
      <vt:lpstr>flag_size_ObjectList</vt:lpstr>
      <vt:lpstr>flag_size_Objects</vt:lpstr>
      <vt:lpstr>flag_size_Purchase</vt:lpstr>
      <vt:lpstr>flag_size_Reagents</vt:lpstr>
      <vt:lpstr>flag_size_Rent</vt:lpstr>
      <vt:lpstr>flag_size_SalesExpensesGO</vt:lpstr>
      <vt:lpstr>flag_size_SavingsCorrection</vt:lpstr>
      <vt:lpstr>flag_size_Scenarios</vt:lpstr>
      <vt:lpstr>flag_size_SheetList</vt:lpstr>
      <vt:lpstr>flag_size_TariffCalcMsa</vt:lpstr>
      <vt:lpstr>flag_size_Taxes</vt:lpstr>
      <vt:lpstr>flag_size_TerritoryList</vt:lpstr>
      <vt:lpstr>flag_size_TM</vt:lpstr>
      <vt:lpstr>flag_size_uslmetr</vt:lpstr>
      <vt:lpstr>flag_size_WageFund</vt:lpstr>
      <vt:lpstr>flag_start_AdminExpenses</vt:lpstr>
      <vt:lpstr>flag_start_AmorAnalog</vt:lpstr>
      <vt:lpstr>flag_start_Amortization</vt:lpstr>
      <vt:lpstr>flag_start_Balance</vt:lpstr>
      <vt:lpstr>flag_start_CalcMeor</vt:lpstr>
      <vt:lpstr>flag_start_CalcMiCorr</vt:lpstr>
      <vt:lpstr>flag_start_Calculation</vt:lpstr>
      <vt:lpstr>flag_start_Comments</vt:lpstr>
      <vt:lpstr>flag_start_DPR</vt:lpstr>
      <vt:lpstr>flag_start_DPRConcessions</vt:lpstr>
      <vt:lpstr>flag_start_Electricity</vt:lpstr>
      <vt:lpstr>flag_start_Explanations</vt:lpstr>
      <vt:lpstr>flag_start_GeneralInfo</vt:lpstr>
      <vt:lpstr>flag_start_GO</vt:lpstr>
      <vt:lpstr>flag_start_iika</vt:lpstr>
      <vt:lpstr>flag_start_InvestmentSources</vt:lpstr>
      <vt:lpstr>flag_start_NegativeImpactFee</vt:lpstr>
      <vt:lpstr>flag_start_NVVCorrection</vt:lpstr>
      <vt:lpstr>flag_start_ObjectList</vt:lpstr>
      <vt:lpstr>flag_start_Objects</vt:lpstr>
      <vt:lpstr>flag_start_Purchase</vt:lpstr>
      <vt:lpstr>flag_start_Reagents</vt:lpstr>
      <vt:lpstr>flag_start_Rent</vt:lpstr>
      <vt:lpstr>flag_start_SalesExpensesGO</vt:lpstr>
      <vt:lpstr>flag_start_SavingsCorrection</vt:lpstr>
      <vt:lpstr>flag_start_Scenarios</vt:lpstr>
      <vt:lpstr>flag_start_SheetList</vt:lpstr>
      <vt:lpstr>flag_start_TariffCalcMsa</vt:lpstr>
      <vt:lpstr>flag_start_Taxes</vt:lpstr>
      <vt:lpstr>flag_start_TerritoryList</vt:lpstr>
      <vt:lpstr>flag_start_TM</vt:lpstr>
      <vt:lpstr>flag_start_uslmetr</vt:lpstr>
      <vt:lpstr>flag_start_WageFund</vt:lpstr>
      <vt:lpstr>flag_vis_AdminExpenses</vt:lpstr>
      <vt:lpstr>flag_vis_AmorAnalog</vt:lpstr>
      <vt:lpstr>flag_vis_Amortization</vt:lpstr>
      <vt:lpstr>flag_vis_Balance</vt:lpstr>
      <vt:lpstr>flag_vis_CalcMeor</vt:lpstr>
      <vt:lpstr>flag_vis_CalcMiCorr</vt:lpstr>
      <vt:lpstr>flag_vis_Calculation</vt:lpstr>
      <vt:lpstr>flag_vis_Comments</vt:lpstr>
      <vt:lpstr>flag_vis_DPR</vt:lpstr>
      <vt:lpstr>flag_vis_DPRConcessions</vt:lpstr>
      <vt:lpstr>flag_vis_Electricity</vt:lpstr>
      <vt:lpstr>flag_vis_Explanations</vt:lpstr>
      <vt:lpstr>flag_vis_GeneralInfo</vt:lpstr>
      <vt:lpstr>flag_vis_GO</vt:lpstr>
      <vt:lpstr>flag_vis_iika</vt:lpstr>
      <vt:lpstr>flag_vis_Instruction</vt:lpstr>
      <vt:lpstr>flag_vis_InvestmentSources</vt:lpstr>
      <vt:lpstr>flag_vis_NegativeImpactFee</vt:lpstr>
      <vt:lpstr>flag_vis_NVVCorrection</vt:lpstr>
      <vt:lpstr>flag_vis_ObjectList</vt:lpstr>
      <vt:lpstr>flag_vis_Objects</vt:lpstr>
      <vt:lpstr>flag_vis_Purchase</vt:lpstr>
      <vt:lpstr>flag_vis_Reagents</vt:lpstr>
      <vt:lpstr>flag_vis_Rent</vt:lpstr>
      <vt:lpstr>flag_vis_SalesExpensesGO</vt:lpstr>
      <vt:lpstr>flag_vis_SavingsCorrection</vt:lpstr>
      <vt:lpstr>flag_vis_Scenarios</vt:lpstr>
      <vt:lpstr>flag_vis_SheetList</vt:lpstr>
      <vt:lpstr>flag_vis_TariffCalcMsa</vt:lpstr>
      <vt:lpstr>flag_vis_Taxes</vt:lpstr>
      <vt:lpstr>flag_vis_TerritoryList</vt:lpstr>
      <vt:lpstr>flag_vis_TM</vt:lpstr>
      <vt:lpstr>flag_vis_uslmetr</vt:lpstr>
      <vt:lpstr>flag_vis_WageFund</vt:lpstr>
      <vt:lpstr>GeneralInfo_check_area</vt:lpstr>
      <vt:lpstr>GeneralInfo_LOAD_1</vt:lpstr>
      <vt:lpstr>GeneralInfo_pIns1</vt:lpstr>
      <vt:lpstr>GeneralInfo_pIns2</vt:lpstr>
      <vt:lpstr>GeneralInfo_pIns3</vt:lpstr>
      <vt:lpstr>GeneralInfo_pIns4</vt:lpstr>
      <vt:lpstr>GeneralInfo_pIns5</vt:lpstr>
      <vt:lpstr>GeneralInfo_pIns6</vt:lpstr>
      <vt:lpstr>GeneralInfo_pIns7</vt:lpstr>
      <vt:lpstr>GeneralInfo_tariff_start</vt:lpstr>
      <vt:lpstr>GeneralInfo_vis_flags</vt:lpstr>
      <vt:lpstr>glubina_list</vt:lpstr>
      <vt:lpstr>GO_INN</vt:lpstr>
      <vt:lpstr>GO_KPP</vt:lpstr>
      <vt:lpstr>GO_ORG</vt:lpstr>
      <vt:lpstr>god</vt:lpstr>
      <vt:lpstr>grunt_list</vt:lpstr>
      <vt:lpstr>HAS_DOC2</vt:lpstr>
      <vt:lpstr>HAS_DOC2_block</vt:lpstr>
      <vt:lpstr>HAS_DOC3</vt:lpstr>
      <vt:lpstr>HAS_DOC3_block</vt:lpstr>
      <vt:lpstr>HAS_DOC4</vt:lpstr>
      <vt:lpstr>HAS_DOC4_block</vt:lpstr>
      <vt:lpstr>HAS_DOC5</vt:lpstr>
      <vt:lpstr>HAS_DOC5_block</vt:lpstr>
      <vt:lpstr>HAS_DOC6</vt:lpstr>
      <vt:lpstr>HAS_DOC6_block</vt:lpstr>
      <vt:lpstr>HAS_DOC7</vt:lpstr>
      <vt:lpstr>HAS_DOC7_block</vt:lpstr>
      <vt:lpstr>hasTranspVO</vt:lpstr>
      <vt:lpstr>hasTranspVS</vt:lpstr>
      <vt:lpstr>hasVO</vt:lpstr>
      <vt:lpstr>hasVS</vt:lpstr>
      <vt:lpstr>inn</vt:lpstr>
      <vt:lpstr>InsB_GeneralInfo_tariff</vt:lpstr>
      <vt:lpstr>InvestmentSources_is_one_block</vt:lpstr>
      <vt:lpstr>InvestmentSources_LOAD_1</vt:lpstr>
      <vt:lpstr>InvestmentSources_LOAD_2</vt:lpstr>
      <vt:lpstr>InvestmentSources_pIns_comm</vt:lpstr>
      <vt:lpstr>InvestmentSources_vis_flags</vt:lpstr>
      <vt:lpstr>InvestmentSources_vis_flags2</vt:lpstr>
      <vt:lpstr>isBlocked_CalcMiCorr</vt:lpstr>
      <vt:lpstr>ist_info_build_list</vt:lpstr>
      <vt:lpstr>kpp</vt:lpstr>
      <vt:lpstr>last_year</vt:lpstr>
      <vt:lpstr>last_year_vis</vt:lpstr>
      <vt:lpstr>LIST_MR_MO_OKTMO</vt:lpstr>
      <vt:lpstr>List04_LOAD_1</vt:lpstr>
      <vt:lpstr>List04_pIns_comm</vt:lpstr>
      <vt:lpstr>List05_LOAD_1</vt:lpstr>
      <vt:lpstr>List05_pIns_comm</vt:lpstr>
      <vt:lpstr>List06_LOAD_1</vt:lpstr>
      <vt:lpstr>List06_pIns_comm</vt:lpstr>
      <vt:lpstr>List07_LOAD_1</vt:lpstr>
      <vt:lpstr>List07_pIns_comm</vt:lpstr>
      <vt:lpstr>List15_LOAD_1</vt:lpstr>
      <vt:lpstr>List15_LOAD_2</vt:lpstr>
      <vt:lpstr>List15_pIns_comm</vt:lpstr>
      <vt:lpstr>List15_vis_flags</vt:lpstr>
      <vt:lpstr>List15_vis_flags2</vt:lpstr>
      <vt:lpstr>material_list</vt:lpstr>
      <vt:lpstr>method_list</vt:lpstr>
      <vt:lpstr>method_reg</vt:lpstr>
      <vt:lpstr>metod_list</vt:lpstr>
      <vt:lpstr>MO_END_DATE</vt:lpstr>
      <vt:lpstr>MO_LIST_10</vt:lpstr>
      <vt:lpstr>MO_LIST_11</vt:lpstr>
      <vt:lpstr>MO_LIST_12</vt:lpstr>
      <vt:lpstr>MO_LIST_13</vt:lpstr>
      <vt:lpstr>MO_LIST_14</vt:lpstr>
      <vt:lpstr>MO_LIST_15</vt:lpstr>
      <vt:lpstr>MO_LIST_16</vt:lpstr>
      <vt:lpstr>MO_LIST_17</vt:lpstr>
      <vt:lpstr>MO_LIST_18</vt:lpstr>
      <vt:lpstr>MO_LIST_19</vt:lpstr>
      <vt:lpstr>MO_LIST_2</vt:lpstr>
      <vt:lpstr>MO_LIST_20</vt:lpstr>
      <vt:lpstr>MO_LIST_21</vt:lpstr>
      <vt:lpstr>MO_LIST_22</vt:lpstr>
      <vt:lpstr>MO_LIST_23</vt:lpstr>
      <vt:lpstr>MO_LIST_24</vt:lpstr>
      <vt:lpstr>MO_LIST_25</vt:lpstr>
      <vt:lpstr>MO_LIST_26</vt:lpstr>
      <vt:lpstr>MO_LIST_27</vt:lpstr>
      <vt:lpstr>MO_LIST_28</vt:lpstr>
      <vt:lpstr>MO_LIST_29</vt:lpstr>
      <vt:lpstr>MO_LIST_3</vt:lpstr>
      <vt:lpstr>MO_LIST_4</vt:lpstr>
      <vt:lpstr>MO_LIST_5</vt:lpstr>
      <vt:lpstr>MO_LIST_6</vt:lpstr>
      <vt:lpstr>MO_LIST_7</vt:lpstr>
      <vt:lpstr>MO_LIST_8</vt:lpstr>
      <vt:lpstr>MO_LIST_9</vt:lpstr>
      <vt:lpstr>MO_START_DATE</vt:lpstr>
      <vt:lpstr>MONTH_LIST</vt:lpstr>
      <vt:lpstr>MR_LIST</vt:lpstr>
      <vt:lpstr>NALOG_SYSTEM_LIST</vt:lpstr>
      <vt:lpstr>NDS</vt:lpstr>
      <vt:lpstr>NegativeImpactFee_LOAD_1</vt:lpstr>
      <vt:lpstr>NegativeImpactFee_pIns_comm</vt:lpstr>
      <vt:lpstr>NONPRIVATE_OWNERSHIP_TYPE</vt:lpstr>
      <vt:lpstr>NVVCorrection_LOAD_1</vt:lpstr>
      <vt:lpstr>NVVCorrection_LOAD_2</vt:lpstr>
      <vt:lpstr>NVVCorrection_pIns_comm</vt:lpstr>
      <vt:lpstr>NVVCorrection_vis_flags</vt:lpstr>
      <vt:lpstr>ObjectList_LOAD_1</vt:lpstr>
      <vt:lpstr>ObjectList_LOAD_3</vt:lpstr>
      <vt:lpstr>ObjectList_object_range</vt:lpstr>
      <vt:lpstr>ObjectList_osn_ekpl_range</vt:lpstr>
      <vt:lpstr>OGRN</vt:lpstr>
      <vt:lpstr>OIV_LIST</vt:lpstr>
      <vt:lpstr>okopf</vt:lpstr>
      <vt:lpstr>okopf_list</vt:lpstr>
      <vt:lpstr>okpo</vt:lpstr>
      <vt:lpstr>OKTMO_VS_TYPE_LIST</vt:lpstr>
      <vt:lpstr>onlyOneYear</vt:lpstr>
      <vt:lpstr>org</vt:lpstr>
      <vt:lpstr>org_declaration</vt:lpstr>
      <vt:lpstr>ORG_DIRECTOR_POSITION</vt:lpstr>
      <vt:lpstr>ORG_EMAIL</vt:lpstr>
      <vt:lpstr>ORG_END_DATE</vt:lpstr>
      <vt:lpstr>ORG_EXECUTOR_EMAIL</vt:lpstr>
      <vt:lpstr>ORG_EXECUTOR_FIO</vt:lpstr>
      <vt:lpstr>ORG_EXECUTOR_PHONE</vt:lpstr>
      <vt:lpstr>ORG_EXECUTOR_POSITION</vt:lpstr>
      <vt:lpstr>ORG_FIO_DIRECTOR</vt:lpstr>
      <vt:lpstr>ORG_FULL_NAME</vt:lpstr>
      <vt:lpstr>ORG_LEGAL_ADDRESS</vt:lpstr>
      <vt:lpstr>ORG_MAIL_ADDRESS</vt:lpstr>
      <vt:lpstr>ORG_PHONE</vt:lpstr>
      <vt:lpstr>ORG_SHORT_NAME</vt:lpstr>
      <vt:lpstr>ORG_SITE</vt:lpstr>
      <vt:lpstr>ORG_START_DATE</vt:lpstr>
      <vt:lpstr>osn_expl_list</vt:lpstr>
      <vt:lpstr>OWNERSHIP_TYPE</vt:lpstr>
      <vt:lpstr>OWNERSHIP_TYPE_VALUE</vt:lpstr>
      <vt:lpstr>OwnNeedsInPO</vt:lpstr>
      <vt:lpstr>PERIOD</vt:lpstr>
      <vt:lpstr>PERIOD_LENGTH</vt:lpstr>
      <vt:lpstr>period_list</vt:lpstr>
      <vt:lpstr>pIns_AdminExpenses_1</vt:lpstr>
      <vt:lpstr>pIns_Electricity_tariff</vt:lpstr>
      <vt:lpstr>pIns_Electricity_voltage</vt:lpstr>
      <vt:lpstr>pIns_Iika</vt:lpstr>
      <vt:lpstr>pIns_InvestmentSources_tariff</vt:lpstr>
      <vt:lpstr>pIns_List04_tariff</vt:lpstr>
      <vt:lpstr>pIns_List05_tariff</vt:lpstr>
      <vt:lpstr>pIns_List07_tariff</vt:lpstr>
      <vt:lpstr>pIns_List15_1</vt:lpstr>
      <vt:lpstr>pIns_List15_tariff</vt:lpstr>
      <vt:lpstr>pIns_ObjectList_obj</vt:lpstr>
      <vt:lpstr>pIns_Purchase_postav</vt:lpstr>
      <vt:lpstr>pIns_Reagents_reagent</vt:lpstr>
      <vt:lpstr>pIns_Reagents_tariff</vt:lpstr>
      <vt:lpstr>pIns_SalesExpensesGO_1</vt:lpstr>
      <vt:lpstr>pIns_Taxes_nalog</vt:lpstr>
      <vt:lpstr>pIns_TM_tariff</vt:lpstr>
      <vt:lpstr>pIns_WageFund_dolj</vt:lpstr>
      <vt:lpstr>plat_nds</vt:lpstr>
      <vt:lpstr>Purchase_LOAD_1</vt:lpstr>
      <vt:lpstr>Purchase_LOAD_2</vt:lpstr>
      <vt:lpstr>Purchase_pIns_comm</vt:lpstr>
      <vt:lpstr>Purchase_vis_flags</vt:lpstr>
      <vt:lpstr>Reagents_LOAD_1</vt:lpstr>
      <vt:lpstr>Reagents_LOAD_2</vt:lpstr>
      <vt:lpstr>Reagents_pIns_comm</vt:lpstr>
      <vt:lpstr>Reagents_vis_flags</vt:lpstr>
      <vt:lpstr>REESTR_OBJECT_LIST</vt:lpstr>
      <vt:lpstr>REESTR_ORG_RANGE</vt:lpstr>
      <vt:lpstr>REGION</vt:lpstr>
      <vt:lpstr>region_id</vt:lpstr>
      <vt:lpstr>region_name</vt:lpstr>
      <vt:lpstr>Rent_LOAD_1</vt:lpstr>
      <vt:lpstr>Rent_LOAD_2</vt:lpstr>
      <vt:lpstr>Rent_pIns_comm</vt:lpstr>
      <vt:lpstr>Rent_vis_flags</vt:lpstr>
      <vt:lpstr>roiv_oms</vt:lpstr>
      <vt:lpstr>roiv_oms_list</vt:lpstr>
      <vt:lpstr>rst_org_id</vt:lpstr>
      <vt:lpstr>SalesExpensesGO_LOAD_1</vt:lpstr>
      <vt:lpstr>SalesExpensesGO_LOAD_2</vt:lpstr>
      <vt:lpstr>SalesExpensesGO_pIns_comm</vt:lpstr>
      <vt:lpstr>SalesExpensesGO_vis_flags</vt:lpstr>
      <vt:lpstr>SavingsCorrection_LOAD_1</vt:lpstr>
      <vt:lpstr>SavingsCorrection_LOAD_2</vt:lpstr>
      <vt:lpstr>SavingsCorrection_pIns_comm</vt:lpstr>
      <vt:lpstr>SavingsCorrection_vis_flags</vt:lpstr>
      <vt:lpstr>SAX_PARSER_FEATURE</vt:lpstr>
      <vt:lpstr>Scenarios_LOAD_1</vt:lpstr>
      <vt:lpstr>Scenarios_LOAD_2</vt:lpstr>
      <vt:lpstr>Scenarios_LOAD_3</vt:lpstr>
      <vt:lpstr>Scenarios_LOAD_COM_1</vt:lpstr>
      <vt:lpstr>Scenarios_LOAD_COM_2</vt:lpstr>
      <vt:lpstr>Scenarios_vis_flags</vt:lpstr>
      <vt:lpstr>Scenarios_vis_flags2</vt:lpstr>
      <vt:lpstr>sphere_list</vt:lpstr>
      <vt:lpstr>STATE_SHARE</vt:lpstr>
      <vt:lpstr>STATE_SHARE_EXISTENCE</vt:lpstr>
      <vt:lpstr>STATE_SHARE_VALUE</vt:lpstr>
      <vt:lpstr>STATUS_GO</vt:lpstr>
      <vt:lpstr>STATUS_GO_block</vt:lpstr>
      <vt:lpstr>subsidiary</vt:lpstr>
      <vt:lpstr>subsidiary_list</vt:lpstr>
      <vt:lpstr>support_docs_list</vt:lpstr>
      <vt:lpstr>TARIFF_CALC_METHOD</vt:lpstr>
      <vt:lpstr>tariff_del</vt:lpstr>
      <vt:lpstr>tariff_type_list</vt:lpstr>
      <vt:lpstr>tax_system</vt:lpstr>
      <vt:lpstr>Taxes_LOAD_1</vt:lpstr>
      <vt:lpstr>Taxes_LOAD_2</vt:lpstr>
      <vt:lpstr>Taxes_pIns_comm</vt:lpstr>
      <vt:lpstr>Taxes_vis_flags</vt:lpstr>
      <vt:lpstr>TemplateState</vt:lpstr>
      <vt:lpstr>TerritoryList_mo_column</vt:lpstr>
      <vt:lpstr>TerritoryList_mr_column</vt:lpstr>
      <vt:lpstr>TM_LOAD_1</vt:lpstr>
      <vt:lpstr>TM_pIns_comm</vt:lpstr>
      <vt:lpstr>TM_vis_flags</vt:lpstr>
      <vt:lpstr>TM_vis_flags2</vt:lpstr>
      <vt:lpstr>tpl_title</vt:lpstr>
      <vt:lpstr>tplCode</vt:lpstr>
      <vt:lpstr>VALUABLE_STATE_SHARE</vt:lpstr>
      <vt:lpstr>VDET_END_DATE</vt:lpstr>
      <vt:lpstr>VDET_START_DATE</vt:lpstr>
      <vt:lpstr>version</vt:lpstr>
      <vt:lpstr>VOLTAGE_LEVEL_list</vt:lpstr>
      <vt:lpstr>VOLTAGE_LEVEL2_list</vt:lpstr>
      <vt:lpstr>VOTV_VDET_LIST</vt:lpstr>
      <vt:lpstr>VOTV_VTARIFF</vt:lpstr>
      <vt:lpstr>VOTV_VTOV</vt:lpstr>
      <vt:lpstr>WageFund_LOAD_1</vt:lpstr>
      <vt:lpstr>WageFund_LOAD_2</vt:lpstr>
      <vt:lpstr>WageFund_pIns_comm</vt:lpstr>
      <vt:lpstr>WageFund_vis_flags</vt:lpstr>
      <vt:lpstr>wsAdmins_json_coms</vt:lpstr>
      <vt:lpstr>wsAdmins_preload</vt:lpstr>
      <vt:lpstr>wsAdmins_preload_coms</vt:lpstr>
      <vt:lpstr>wsAdmins_preload_full</vt:lpstr>
      <vt:lpstr>wsAdmins_preload_json</vt:lpstr>
      <vt:lpstr>wsAmor_json_coms</vt:lpstr>
      <vt:lpstr>wsAmor_preload</vt:lpstr>
      <vt:lpstr>wsAmor_preload_coms</vt:lpstr>
      <vt:lpstr>wsAmor_preload_full</vt:lpstr>
      <vt:lpstr>wsAmor_preload_json</vt:lpstr>
      <vt:lpstr>wsAmorAnalog_json_coms</vt:lpstr>
      <vt:lpstr>wsAmorAnalog_preload</vt:lpstr>
      <vt:lpstr>wsAmorAnalog_preload_json</vt:lpstr>
      <vt:lpstr>wsBalance_json_coms</vt:lpstr>
      <vt:lpstr>wsBalance_preload</vt:lpstr>
      <vt:lpstr>wsBalance_preload_coms</vt:lpstr>
      <vt:lpstr>wsBalance_preload_full</vt:lpstr>
      <vt:lpstr>wsBalance_preload_json</vt:lpstr>
      <vt:lpstr>wsComments_json_coms</vt:lpstr>
      <vt:lpstr>wsDPR_json_coms</vt:lpstr>
      <vt:lpstr>wsDPR_preload</vt:lpstr>
      <vt:lpstr>wsDPR_preload_json</vt:lpstr>
      <vt:lpstr>wsDPRconc_json_coms</vt:lpstr>
      <vt:lpstr>wsDPRconc_preload</vt:lpstr>
      <vt:lpstr>wsDPRconc_preload_json</vt:lpstr>
      <vt:lpstr>wsEE_json_coms</vt:lpstr>
      <vt:lpstr>wsEe_preload</vt:lpstr>
      <vt:lpstr>wsEE_preload_coms</vt:lpstr>
      <vt:lpstr>wsEE_preload_full</vt:lpstr>
      <vt:lpstr>wsEE_preload_json</vt:lpstr>
      <vt:lpstr>wsGO_json_coms</vt:lpstr>
      <vt:lpstr>wsGO_preload</vt:lpstr>
      <vt:lpstr>wsGO_preload_json</vt:lpstr>
      <vt:lpstr>wsIika_preload_json</vt:lpstr>
      <vt:lpstr>wsIPSources_json_coms</vt:lpstr>
      <vt:lpstr>wsIPSources_preload</vt:lpstr>
      <vt:lpstr>wsIPSources_preload_coms</vt:lpstr>
      <vt:lpstr>wsIPSources_preload_full</vt:lpstr>
      <vt:lpstr>wsIPSources_preload_json</vt:lpstr>
      <vt:lpstr>wsMeorCalc_json_coms</vt:lpstr>
      <vt:lpstr>wsMeorCalc_preload</vt:lpstr>
      <vt:lpstr>wsMeorCalc_preload_coms</vt:lpstr>
      <vt:lpstr>wsMeorCalc_preload_full</vt:lpstr>
      <vt:lpstr>wsMeorCalc_preload_json</vt:lpstr>
      <vt:lpstr>wsMiCalc_json_coms</vt:lpstr>
      <vt:lpstr>wsMiCalc_preload</vt:lpstr>
      <vt:lpstr>wsMiCalc_preload_coms</vt:lpstr>
      <vt:lpstr>wsMiCalc_preload_full</vt:lpstr>
      <vt:lpstr>wsMiCalc_preload_json</vt:lpstr>
      <vt:lpstr>wsMiCalcCorr_json_coms</vt:lpstr>
      <vt:lpstr>wsMiCalcCorr_preload</vt:lpstr>
      <vt:lpstr>wsMiCalcCorr_preload_coms</vt:lpstr>
      <vt:lpstr>wsMiCalcCorr_preload_full</vt:lpstr>
      <vt:lpstr>wsMiCalcCorr_preload_json</vt:lpstr>
      <vt:lpstr>wsMsaCalc_json_coms</vt:lpstr>
      <vt:lpstr>wsMsaCalc_preload</vt:lpstr>
      <vt:lpstr>wsMsaCalc_preload_full</vt:lpstr>
      <vt:lpstr>wsMsaCalc_preload_json</vt:lpstr>
      <vt:lpstr>wsNegativePays_json_coms</vt:lpstr>
      <vt:lpstr>wsNegativePays_preload</vt:lpstr>
      <vt:lpstr>wsNegativePays_preload_json</vt:lpstr>
      <vt:lpstr>wsNvvCorr_json_coms</vt:lpstr>
      <vt:lpstr>wsNvvCorr_preload</vt:lpstr>
      <vt:lpstr>wsNvvCorr_preload_coms</vt:lpstr>
      <vt:lpstr>wsNvvCorr_preload_json</vt:lpstr>
      <vt:lpstr>wsObjectList_preload_json</vt:lpstr>
      <vt:lpstr>wsObjects_json_coms</vt:lpstr>
      <vt:lpstr>wsObjects_preload</vt:lpstr>
      <vt:lpstr>wsObjects_preload_full</vt:lpstr>
      <vt:lpstr>wsObjects_preload_json</vt:lpstr>
      <vt:lpstr>wsPurchase_json_coms</vt:lpstr>
      <vt:lpstr>wsPurchase_preload</vt:lpstr>
      <vt:lpstr>wsPurchase_preload_coms</vt:lpstr>
      <vt:lpstr>wsPurchase_preload_full</vt:lpstr>
      <vt:lpstr>wsPurchase_preload_json</vt:lpstr>
      <vt:lpstr>wsReagents_json_coms</vt:lpstr>
      <vt:lpstr>wsReagents_preload</vt:lpstr>
      <vt:lpstr>wsReagents_preload_coms</vt:lpstr>
      <vt:lpstr>wsReagents_preload_full</vt:lpstr>
      <vt:lpstr>wsReagents_preload_json</vt:lpstr>
      <vt:lpstr>wsRent_json_coms</vt:lpstr>
      <vt:lpstr>wsRent_preload</vt:lpstr>
      <vt:lpstr>wsRent_preload_coms</vt:lpstr>
      <vt:lpstr>wsRent_preload_full</vt:lpstr>
      <vt:lpstr>wsRent_preload_json</vt:lpstr>
      <vt:lpstr>wsSavingsCorr_json_coms</vt:lpstr>
      <vt:lpstr>wsSavingsCorr_preload</vt:lpstr>
      <vt:lpstr>wsSavingsCorr_preload_coms</vt:lpstr>
      <vt:lpstr>wsSavingsCorr_preload_full</vt:lpstr>
      <vt:lpstr>wsSavingsCorr_preload_json</vt:lpstr>
      <vt:lpstr>wsScenarios_preload</vt:lpstr>
      <vt:lpstr>wsScenarios_preload_coms</vt:lpstr>
      <vt:lpstr>wsScenarios_preload_full</vt:lpstr>
      <vt:lpstr>wsScenarios_preload_json</vt:lpstr>
      <vt:lpstr>wsSellingCosts_json_coms</vt:lpstr>
      <vt:lpstr>wsSellingCosts_preload</vt:lpstr>
      <vt:lpstr>wsSellingCosts_preload_coms</vt:lpstr>
      <vt:lpstr>wsSellingCosts_preload_full</vt:lpstr>
      <vt:lpstr>wsSellingCosts_preload_json</vt:lpstr>
      <vt:lpstr>wsTaxes_json_coms</vt:lpstr>
      <vt:lpstr>wsTaxes_preload</vt:lpstr>
      <vt:lpstr>wsTaxes_preload_coms</vt:lpstr>
      <vt:lpstr>wsTaxes_preload_full</vt:lpstr>
      <vt:lpstr>wsTaxes_preload_json</vt:lpstr>
      <vt:lpstr>wsTerritoryList_preload</vt:lpstr>
      <vt:lpstr>wsTerritoryList_preload_json</vt:lpstr>
      <vt:lpstr>wsTM_json_coms</vt:lpstr>
      <vt:lpstr>wsTM_preload</vt:lpstr>
      <vt:lpstr>wsTM_preload_full</vt:lpstr>
      <vt:lpstr>wsTM_preload_json</vt:lpstr>
      <vt:lpstr>wsUslMetr_json_coms</vt:lpstr>
      <vt:lpstr>wsUslMetr_preload</vt:lpstr>
      <vt:lpstr>wsUslMetr_preload_json</vt:lpstr>
      <vt:lpstr>wsWageFund_json_coms</vt:lpstr>
      <vt:lpstr>wsWageFund_preload</vt:lpstr>
      <vt:lpstr>wsWageFund_preload_coms</vt:lpstr>
      <vt:lpstr>wsWageFund_preload_full</vt:lpstr>
      <vt:lpstr>wsWageFund_preload_json</vt:lpstr>
      <vt:lpstr>XML_MR_MO_OKTMO_LIST_TAG_NAMES</vt:lpstr>
      <vt:lpstr>YEAR_LIST</vt:lpstr>
      <vt:lpstr>year_list2</vt:lpstr>
      <vt:lpstr>YES_NO</vt:lpstr>
    </vt:vector>
  </TitlesOfParts>
  <Manager/>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Экспертное заключение об установлении тарифов в сфере холодного водоснабжения / водоотведения методом индексации (первый год ДПР)</dc:title>
  <dc:subject>Экспертное заключение об установлении тарифов в сфере холодного водоснабжения / водоотведения методом индексации (первый год ДПР)</dc:subject>
  <dc:creator>user</dc:creator>
  <dc:description/>
  <cp:lastModifiedBy>Ildar Sagdiev</cp:lastModifiedBy>
  <cp:lastPrinted>2010-03-18T14:38:46Z</cp:lastPrinted>
  <dcterms:created xsi:type="dcterms:W3CDTF">2004-05-21T07:18:45Z</dcterms:created>
  <dcterms:modified xsi:type="dcterms:W3CDTF">2025-12-10T15:55:34Z</dcterms:modified>
</cp:coreProperties>
</file>

<file path=docProps/custom.xml><?xml version="1.0" encoding="utf-8"?>
<Properties xmlns="http://schemas.openxmlformats.org/officeDocument/2006/custom-properties" xmlns:vt="http://schemas.openxmlformats.org/officeDocument/2006/docPropsVTypes"/>
</file>